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BALANÇO DOS POVOS" sheetId="2" r:id="rId6"/>
    <sheet state="visible" name="BALANÇO POR NTE" sheetId="3" r:id="rId7"/>
    <sheet state="visible" name="ESTRUTURA FÍSICA" sheetId="4" r:id="rId8"/>
    <sheet state="visible" name="UEEs Retiradas" sheetId="5" r:id="rId9"/>
    <sheet state="visible" name="Banco_power" sheetId="6" r:id="rId10"/>
    <sheet state="visible" name="BALANÇO POR MUNICIPIOS" sheetId="7" r:id="rId11"/>
    <sheet state="visible" name="Página12" sheetId="8" r:id="rId12"/>
    <sheet state="hidden" name="Página3" sheetId="9" r:id="rId13"/>
    <sheet state="hidden" name="Por Município" sheetId="10" r:id="rId14"/>
    <sheet state="hidden" name="O que foi considerado..." sheetId="11" r:id="rId15"/>
  </sheets>
  <definedNames>
    <definedName hidden="1" localSheetId="3" name="Z_618DB2E1_EE25_4726_A456_BA1CA148415D_.wvu.FilterData">'ESTRUTURA FÍSICA'!$A$4:$O$1699</definedName>
    <definedName hidden="1" localSheetId="0" name="Z_618DB2E1_EE25_4726_A456_BA1CA148415D_.wvu.FilterData">GERAL!$A$7:$BK$1697</definedName>
    <definedName hidden="1" localSheetId="3" name="Z_EF557F84_12FA_4F7A_905C_6F88AE4CA8F5_.wvu.FilterData">'ESTRUTURA FÍSICA'!$A$4:$O$1699</definedName>
    <definedName hidden="1" localSheetId="0" name="Z_EF557F84_12FA_4F7A_905C_6F88AE4CA8F5_.wvu.FilterData">GERAL!$A$7:$BK$1697</definedName>
    <definedName hidden="1" localSheetId="4" name="Z_497721AE_6796_4CEC_BAFA_4DA242D184B8_.wvu.FilterData">'UEEs Retiradas'!$A$5:$I$41</definedName>
    <definedName hidden="1" localSheetId="3" name="Z_497721AE_6796_4CEC_BAFA_4DA242D184B8_.wvu.FilterData">'ESTRUTURA FÍSICA'!$A$4:$O$1699</definedName>
    <definedName hidden="1" localSheetId="0" name="Z_497721AE_6796_4CEC_BAFA_4DA242D184B8_.wvu.FilterData">GERAL!$A$7:$BK$1697</definedName>
    <definedName hidden="1" localSheetId="5" name="Z_99CEA508_C7F0_4987_97B3_3EF1D27983A4_.wvu.FilterData">Banco_power!$A$1:$BK$1744</definedName>
    <definedName hidden="1" localSheetId="3" name="Z_A29742EB_F11F_43EB_8C4B_8CE98826A64E_.wvu.FilterData">'ESTRUTURA FÍSICA'!$A$1:$AS$1700</definedName>
    <definedName hidden="1" localSheetId="0" name="Z_A29742EB_F11F_43EB_8C4B_8CE98826A64E_.wvu.FilterData">GERAL!$A$1:$BK$1697</definedName>
    <definedName hidden="1" localSheetId="3" name="Z_C12EAA4E_1A6D_414D_8BCC_55A5C0B926D4_.wvu.FilterData">'ESTRUTURA FÍSICA'!$A$4:$O$1699</definedName>
    <definedName hidden="1" localSheetId="0" name="Z_C12EAA4E_1A6D_414D_8BCC_55A5C0B926D4_.wvu.FilterData">GERAL!$A$7:$BK$1697</definedName>
    <definedName hidden="1" localSheetId="5" name="Z_DEFD7AC9_596F_4A25_9775_CE70D461D96D_.wvu.FilterData">Banco_power!$A$1:$BH$1744</definedName>
    <definedName hidden="1" localSheetId="3" name="Z_5274F0F5_6AA6_46D9_A1A6_927760C0A5C8_.wvu.FilterData">'ESTRUTURA FÍSICA'!$A$4:$O$1699</definedName>
    <definedName hidden="1" localSheetId="0" name="Z_5274F0F5_6AA6_46D9_A1A6_927760C0A5C8_.wvu.FilterData">GERAL!$A$7:$BK$1697</definedName>
    <definedName hidden="1" localSheetId="5" name="Z_2F56BEB0_2DA7_43C9_9187_5E2EA8BFCDAA_.wvu.FilterData">Banco_power!$A$1:$BK$1744</definedName>
    <definedName hidden="1" localSheetId="3" name="Z_E0BC5A03_7891_4303_8566_682774A607E3_.wvu.FilterData">'ESTRUTURA FÍSICA'!$A$4:$AS$1700</definedName>
    <definedName hidden="1" localSheetId="0" name="Z_E0BC5A03_7891_4303_8566_682774A607E3_.wvu.FilterData">GERAL!$A$7:$BM$1697</definedName>
    <definedName hidden="1" localSheetId="4" name="Z_155F24BD_BF2D_46E6_AADD_C5714EA5DFA0_.wvu.FilterData">'UEEs Retiradas'!$A$5:$I$41</definedName>
    <definedName hidden="1" localSheetId="3" name="Z_155F24BD_BF2D_46E6_AADD_C5714EA5DFA0_.wvu.FilterData">'ESTRUTURA FÍSICA'!$A$4:$O$1699</definedName>
    <definedName hidden="1" localSheetId="0" name="Z_155F24BD_BF2D_46E6_AADD_C5714EA5DFA0_.wvu.FilterData">GERAL!$A$7:$BK$1697</definedName>
    <definedName hidden="1" localSheetId="6" name="Z_155F24BD_BF2D_46E6_AADD_C5714EA5DFA0_.wvu.FilterData">'BALANÇO POR MUNICIPIOS'!$A$17:$AW$436</definedName>
    <definedName hidden="1" localSheetId="5" name="Z_9D5BA56E_E2B4_4BAB_804E_3ED298AF01C1_.wvu.FilterData">Banco_power!$A$1:$BK$1744</definedName>
    <definedName hidden="1" localSheetId="3" name="Z_515E7C85_F041_4C50_B1E8_5399958A02A8_.wvu.FilterData">'ESTRUTURA FÍSICA'!$A$4:$AS$1700</definedName>
    <definedName hidden="1" localSheetId="0" name="Z_515E7C85_F041_4C50_B1E8_5399958A02A8_.wvu.FilterData">GERAL!$A$7:$BM$1697</definedName>
    <definedName hidden="1" localSheetId="4" name="Z_D7DBD89C_7529_4A32_A79C_18D37D466F44_.wvu.FilterData">'UEEs Retiradas'!$A$5:$I$41</definedName>
    <definedName hidden="1" localSheetId="3" name="Z_D7DBD89C_7529_4A32_A79C_18D37D466F44_.wvu.FilterData">'ESTRUTURA FÍSICA'!$A$4:$O$1699</definedName>
    <definedName hidden="1" localSheetId="0" name="Z_D7DBD89C_7529_4A32_A79C_18D37D466F44_.wvu.FilterData">GERAL!$A$7:$BK$1697</definedName>
    <definedName hidden="1" localSheetId="5" name="Z_F93D0C2E_019C_4C5E_B992_D232369E1B31_.wvu.FilterData">Banco_power!$A$1:$BJ$1744</definedName>
    <definedName name="COPY_MY_FUNCTION1">LAMBDA(IFERROR(VLOOKUP(GERAL!$D$1690,
IMPORTRANGE("https://docs.google.com/spreadsheets/d/1MjHtlUikwobi2MaWJgy7tfLeBmhj1u-dRFRs_8GwSoA/edit#gid=0","Gestores Escolares!D7:J"),3,0),"VERIFICAR CÓD SEC"))</definedName>
    <definedName name="MY_FUNCTION1">LAMBDA(IFERROR(VLOOKUP(GERAL!$D$1690,
IMPORTRANGE("https://docs.google.com/spreadsheets/d/1MjHtlUikwobi2MaWJgy7tfLeBmhj1u-dRFRs_8GwSoA/edit#gid=0","Gestores Escolares!D7:J"),3,0),"VERIFICAR CÓD SEC"))</definedName>
  </definedNames>
  <calcPr/>
  <customWorkbookViews>
    <customWorkbookView activeSheetId="0" maximized="1" windowHeight="0" windowWidth="0" guid="{618DB2E1-EE25-4726-A456-BA1CA148415D}" name="LUCAS"/>
    <customWorkbookView activeSheetId="0" maximized="1" windowHeight="0" windowWidth="0" guid="{EF557F84-12FA-4F7A-905C-6F88AE4CA8F5}" name="Camila"/>
    <customWorkbookView activeSheetId="0" maximized="1" windowHeight="0" windowWidth="0" guid="{497721AE-6796-4CEC-BAFA-4DA242D184B8}" name="ORGANIZAR"/>
    <customWorkbookView activeSheetId="0" maximized="1" windowHeight="0" windowWidth="0" guid="{99CEA508-C7F0-4987-97B3-3EF1D27983A4}" name="Filtro 2"/>
    <customWorkbookView activeSheetId="0" maximized="1" windowHeight="0" windowWidth="0" guid="{A29742EB-F11F-43EB-8C4B-8CE98826A64E}" name="Camila "/>
    <customWorkbookView activeSheetId="0" maximized="1" windowHeight="0" windowWidth="0" guid="{C12EAA4E-1A6D-414D-8BCC-55A5C0B926D4}" name="Renata"/>
    <customWorkbookView activeSheetId="0" maximized="1" windowHeight="0" windowWidth="0" guid="{DEFD7AC9-596F-4A25-9775-CE70D461D96D}" name="Filtro 1"/>
    <customWorkbookView activeSheetId="0" maximized="1" windowHeight="0" windowWidth="0" guid="{5274F0F5-6AA6-46D9-A1A6-927760C0A5C8}" name="LUCAS.1"/>
    <customWorkbookView activeSheetId="0" maximized="1" windowHeight="0" windowWidth="0" guid="{2F56BEB0-2DA7-43C9-9187-5E2EA8BFCDAA}" name="Filtro 6"/>
    <customWorkbookView activeSheetId="0" maximized="1" windowHeight="0" windowWidth="0" guid="{E0BC5A03-7891-4303-8566-682774A607E3}" name="Tainara"/>
    <customWorkbookView activeSheetId="0" maximized="1" windowHeight="0" windowWidth="0" guid="{155F24BD-BF2D-46E6-AADD-C5714EA5DFA0}" name="Gabriel"/>
    <customWorkbookView activeSheetId="0" maximized="1" windowHeight="0" windowWidth="0" guid="{9D5BA56E-E2B4-4BAB-804E-3ED298AF01C1}" name="JAIME"/>
    <customWorkbookView activeSheetId="0" maximized="1" windowHeight="0" windowWidth="0" guid="{515E7C85-F041-4C50-B1E8-5399958A02A8}" name="SALAS DE AULA - EB"/>
    <customWorkbookView activeSheetId="0" maximized="1" windowHeight="0" windowWidth="0" guid="{D7DBD89C-7529-4A32-A79C-18D37D466F44}" name="Tati"/>
    <customWorkbookView activeSheetId="0" maximized="1" windowHeight="0" windowWidth="0" guid="{F93D0C2E-019C-4C5E-B992-D232369E1B31}" name="Filtro 10"/>
  </customWorkbookViews>
</workbook>
</file>

<file path=xl/sharedStrings.xml><?xml version="1.0" encoding="utf-8"?>
<sst xmlns="http://schemas.openxmlformats.org/spreadsheetml/2006/main" count="86449" uniqueCount="13955">
  <si>
    <t>Panorama Geral das Unidades Escolares</t>
  </si>
  <si>
    <t>Atualizada em: 15/09/2026</t>
  </si>
  <si>
    <t>NTE</t>
  </si>
  <si>
    <t>Escolas Novas Rui Costa</t>
  </si>
  <si>
    <t xml:space="preserve">MUNICIPIOS </t>
  </si>
  <si>
    <t>PANORAMA TERRITORIAL DAS UNIDADES ESCOLARES</t>
  </si>
  <si>
    <t>Escolas Novas Gov. Jerônimo</t>
  </si>
  <si>
    <r>
      <rPr>
        <rFont val="Calibri"/>
        <b/>
        <color theme="1"/>
        <sz val="12.0"/>
      </rPr>
      <t xml:space="preserve">TIPO
</t>
    </r>
    <r>
      <rPr>
        <rFont val="Arial"/>
        <b/>
        <color rgb="FFFF0000"/>
        <sz val="8.0"/>
      </rPr>
      <t>E - ESCOLA
A - ANEXO 
EFA - ESCOLA AGRÍCOLA</t>
    </r>
  </si>
  <si>
    <r>
      <rPr>
        <rFont val="Calibri"/>
        <b/>
        <color theme="1"/>
        <sz val="12.0"/>
      </rPr>
      <t xml:space="preserve">COD_SEC </t>
    </r>
    <r>
      <rPr>
        <rFont val="Calibri"/>
        <b/>
        <color rgb="FFFF0000"/>
        <sz val="12.0"/>
      </rPr>
      <t>ESCOLA SEDE</t>
    </r>
  </si>
  <si>
    <r>
      <rPr>
        <rFont val="Calibri"/>
        <b/>
        <color theme="1"/>
        <sz val="12.0"/>
      </rPr>
      <t xml:space="preserve">COD_SEC
</t>
    </r>
    <r>
      <rPr>
        <rFont val="Calibri"/>
        <b/>
        <color rgb="FFFF0000"/>
        <sz val="12.0"/>
      </rPr>
      <t>ANEXO</t>
    </r>
  </si>
  <si>
    <t>COD_MEC</t>
  </si>
  <si>
    <t>COLÉGIO</t>
  </si>
  <si>
    <t>ENDEREÇO</t>
  </si>
  <si>
    <t>BAIRRO</t>
  </si>
  <si>
    <t>TOTAL DE ESTUDANTES POR NTE</t>
  </si>
  <si>
    <t>DISTANCIA PARA SEDE</t>
  </si>
  <si>
    <t>SITUAÇÃO DO PRÉDIO</t>
  </si>
  <si>
    <t>(*) - O nº de estudantes em processo de matricula estão sendo atualizados no sigeduc com série/turno, a planilha deverá ser regularizada até 30 de setembro/26.</t>
  </si>
  <si>
    <t>PORTE</t>
  </si>
  <si>
    <t>Coordenadas Google Maps</t>
  </si>
  <si>
    <t>PADRÃO</t>
  </si>
  <si>
    <t>POVOS</t>
  </si>
  <si>
    <t>FOTOS</t>
  </si>
  <si>
    <t>SALA DE AULA</t>
  </si>
  <si>
    <t>GERAL - POVOS</t>
  </si>
  <si>
    <t>SALA DE AEE</t>
  </si>
  <si>
    <r>
      <rPr>
        <rFont val="Calibri"/>
        <b/>
        <color theme="1"/>
        <sz val="12.0"/>
      </rPr>
      <t xml:space="preserve">TIPO
</t>
    </r>
    <r>
      <rPr>
        <rFont val="Arial"/>
        <b/>
        <color rgb="FFFF0000"/>
        <sz val="8.0"/>
      </rPr>
      <t>E - ESCOLA
A - ANEXO 
EFA - ESCOLA AGRÍCOLA</t>
    </r>
  </si>
  <si>
    <t>INDÍGENAS</t>
  </si>
  <si>
    <t>SALA MULTIFUNCIONAL</t>
  </si>
  <si>
    <r>
      <rPr>
        <rFont val="Calibri"/>
        <b/>
        <color theme="1"/>
        <sz val="12.0"/>
      </rPr>
      <t xml:space="preserve">COD_SEC </t>
    </r>
    <r>
      <rPr>
        <rFont val="Calibri"/>
        <b/>
        <color rgb="FFFF0000"/>
        <sz val="12.0"/>
      </rPr>
      <t>ESCOLA SEDE</t>
    </r>
  </si>
  <si>
    <t>LABORATÓRIO DE CIÊNCIAS</t>
  </si>
  <si>
    <r>
      <rPr>
        <rFont val="Calibri"/>
        <b/>
        <color theme="1"/>
        <sz val="12.0"/>
      </rPr>
      <t xml:space="preserve">COD_SEC
</t>
    </r>
    <r>
      <rPr>
        <rFont val="Calibri"/>
        <b/>
        <color rgb="FFFF0000"/>
        <sz val="12.0"/>
      </rPr>
      <t>ANEXO</t>
    </r>
  </si>
  <si>
    <t>QUILOMBOLAS</t>
  </si>
  <si>
    <t>LABORATÓRIO DE INFORMÁTICA</t>
  </si>
  <si>
    <t>DEMAIS LABORATÓRIOS</t>
  </si>
  <si>
    <t>BIBLIOTECA</t>
  </si>
  <si>
    <t>ASSENTAMENTOS</t>
  </si>
  <si>
    <t>SALA DE LEITURA</t>
  </si>
  <si>
    <t>TEATRO</t>
  </si>
  <si>
    <t>CAMPO</t>
  </si>
  <si>
    <t>AUDITÓRIO</t>
  </si>
  <si>
    <t>RESTAURANTE</t>
  </si>
  <si>
    <t>REFEITÓRIO</t>
  </si>
  <si>
    <t>ESPAÇO DE VIVÊNCIAS CORPORAIS</t>
  </si>
  <si>
    <t>ACADEMIA AO AR LIVRE</t>
  </si>
  <si>
    <t>EFA</t>
  </si>
  <si>
    <t>QUADRA COBERTA</t>
  </si>
  <si>
    <t>QUADRA DESCOBERTA</t>
  </si>
  <si>
    <t xml:space="preserve">                                                                   </t>
  </si>
  <si>
    <t>GINÁSIO</t>
  </si>
  <si>
    <t>ESCOLAS</t>
  </si>
  <si>
    <t>CAMPO DE FUTEBOL</t>
  </si>
  <si>
    <t>CAMPO DE FUTEBOL SOCIETY</t>
  </si>
  <si>
    <t>ANEXOS</t>
  </si>
  <si>
    <t>EFAS</t>
  </si>
  <si>
    <t>INFANTIL</t>
  </si>
  <si>
    <t>CAMPO DE FUTEBOL SOCIETY  COM PISTA DE ATLETISMO</t>
  </si>
  <si>
    <t>FUNDAMENTAL</t>
  </si>
  <si>
    <t>Nº DE SALAS (SIGDUC)</t>
  </si>
  <si>
    <t>MEDIO</t>
  </si>
  <si>
    <t>QUADRA DE AREIA</t>
  </si>
  <si>
    <t>EJA FUNDAMENTAL</t>
  </si>
  <si>
    <t>EJA MEDIO</t>
  </si>
  <si>
    <t>PISTA DE SALTO</t>
  </si>
  <si>
    <t>PROFISSIONAL</t>
  </si>
  <si>
    <t>TOTAL DE ESTUDANTES</t>
  </si>
  <si>
    <t>PISTA DE SKATE</t>
  </si>
  <si>
    <r>
      <rPr>
        <rFont val="Calibri"/>
        <b/>
        <color theme="1"/>
        <sz val="11.0"/>
      </rPr>
      <t xml:space="preserve">Nº DE SALAS
 DE AULA 
</t>
    </r>
    <r>
      <rPr>
        <rFont val="Calibri"/>
        <b/>
        <color rgb="FF6AA84F"/>
        <sz val="14.0"/>
      </rPr>
      <t xml:space="preserve">VERDE: Atualizado pela nota em 2025
</t>
    </r>
    <r>
      <rPr>
        <rFont val="Calibri"/>
        <b/>
        <color rgb="FF674EA7"/>
        <sz val="14.0"/>
      </rPr>
      <t>ROXO: Falta atualizar</t>
    </r>
  </si>
  <si>
    <t>ESCOLA</t>
  </si>
  <si>
    <t>PISCINA</t>
  </si>
  <si>
    <t>ESTRUTURAS ADAPTADAS</t>
  </si>
  <si>
    <t xml:space="preserve">EDUCAÇÃO INFANTIL </t>
  </si>
  <si>
    <t>QNT DE ANEXOS</t>
  </si>
  <si>
    <t>OBSERVAÇÕES/ADAPTAÇÕES</t>
  </si>
  <si>
    <t>INFANTIL 2</t>
  </si>
  <si>
    <t>FUNDAMENTAL 2</t>
  </si>
  <si>
    <t>MÉDIO</t>
  </si>
  <si>
    <t>EJA FUNDAMENTAL 2</t>
  </si>
  <si>
    <t>EJA MÉDIO</t>
  </si>
  <si>
    <t>PROFISSIONAL 2</t>
  </si>
  <si>
    <t>TOTAL DE ESTUDANTES 2</t>
  </si>
  <si>
    <t>Data da informação</t>
  </si>
  <si>
    <t>ESCOLAS 2</t>
  </si>
  <si>
    <t>EJA - FUND.</t>
  </si>
  <si>
    <t>ANEXOS 2</t>
  </si>
  <si>
    <t>INFANTIL 3</t>
  </si>
  <si>
    <t>EJA - MÉDIO</t>
  </si>
  <si>
    <t>FUNDAMENTAL 3</t>
  </si>
  <si>
    <t>COD_SEC</t>
  </si>
  <si>
    <t>MÉDIO 2</t>
  </si>
  <si>
    <t>EJA FUNDAMENTAL 3</t>
  </si>
  <si>
    <t>EJA MÉDIO 2</t>
  </si>
  <si>
    <t>PROFISSIONAL 3</t>
  </si>
  <si>
    <t>TOTAL DE ESTUDANTES 3</t>
  </si>
  <si>
    <t>ESCOLAS 3</t>
  </si>
  <si>
    <t>ANEXOS 3</t>
  </si>
  <si>
    <t>INFANTIL 4</t>
  </si>
  <si>
    <t>TOTAL
GERAL MATRICULADOS</t>
  </si>
  <si>
    <t>FUNDAMENTAL 4</t>
  </si>
  <si>
    <t>MÉDIO 3</t>
  </si>
  <si>
    <t>EJA FUNDAMENTAL 4</t>
  </si>
  <si>
    <t>EJA MÉDIO 3</t>
  </si>
  <si>
    <t>TOTAL POR TURNO</t>
  </si>
  <si>
    <t>PROFISSIONAL 4</t>
  </si>
  <si>
    <t>TOTAL DE ESTUDANTES 4</t>
  </si>
  <si>
    <r>
      <rPr>
        <rFont val="Calibri"/>
        <b/>
        <color theme="1"/>
        <sz val="11.0"/>
      </rPr>
      <t xml:space="preserve">Nº DE ESTUDANTES EM PROCESSO DE MATRICULA </t>
    </r>
    <r>
      <rPr>
        <rFont val="Calibri"/>
        <b/>
        <color rgb="FFFF0000"/>
        <sz val="11.0"/>
      </rPr>
      <t>(*)</t>
    </r>
  </si>
  <si>
    <t>ESCOLAS 4</t>
  </si>
  <si>
    <t>ANEXOS 4</t>
  </si>
  <si>
    <r>
      <rPr>
        <rFont val="Calibri"/>
        <b/>
        <color rgb="FFFF0000"/>
        <sz val="11.0"/>
      </rPr>
      <t xml:space="preserve">(*) </t>
    </r>
    <r>
      <rPr>
        <rFont val="Calibri"/>
        <b/>
        <color theme="1"/>
        <sz val="11.0"/>
      </rPr>
      <t xml:space="preserve">TOTAL ESTUDANTES </t>
    </r>
  </si>
  <si>
    <t>INFANTIL 5</t>
  </si>
  <si>
    <t>FUNDAMENTAL 5</t>
  </si>
  <si>
    <t>MODALIDADE</t>
  </si>
  <si>
    <t>MÉDIO 4</t>
  </si>
  <si>
    <t>EJA FUNDAMENTAL 5</t>
  </si>
  <si>
    <t>CATEGORIA</t>
  </si>
  <si>
    <t>EJA MÉDIO 4</t>
  </si>
  <si>
    <t>ENSINO</t>
  </si>
  <si>
    <t>PROFISSIONAL 5</t>
  </si>
  <si>
    <t>TOTAL DE ESTUDANTES 5</t>
  </si>
  <si>
    <t>OBS</t>
  </si>
  <si>
    <t>ESCOLAS 5</t>
  </si>
  <si>
    <t>INFANTIL 6</t>
  </si>
  <si>
    <t>cod sec ( para transferência dos dados)</t>
  </si>
  <si>
    <t>FUNDAMENTAL 6</t>
  </si>
  <si>
    <t>MÉDIO 5</t>
  </si>
  <si>
    <t>EJA FUNDAMENTAL 6</t>
  </si>
  <si>
    <t>EJA MÉDIO 5</t>
  </si>
  <si>
    <t>N° de salas ( resumo)</t>
  </si>
  <si>
    <t>PROFISSIONAL 6</t>
  </si>
  <si>
    <t>TOTAL DE ESTUDANTES 6</t>
  </si>
  <si>
    <t>NTE 01 - IRECÊ</t>
  </si>
  <si>
    <t>MATRICULA INTEGRAL</t>
  </si>
  <si>
    <t xml:space="preserve"> </t>
  </si>
  <si>
    <t>DIRETOR(A)</t>
  </si>
  <si>
    <t>CELULAR</t>
  </si>
  <si>
    <t>VICE -DIRETOR(A) 1</t>
  </si>
  <si>
    <t>VICE -DIRETOR(A) 2</t>
  </si>
  <si>
    <t>TELEFONE DA UEE</t>
  </si>
  <si>
    <t>MAT</t>
  </si>
  <si>
    <t>VES</t>
  </si>
  <si>
    <t>NOT</t>
  </si>
  <si>
    <t>INTEG.</t>
  </si>
  <si>
    <t>TOTAL</t>
  </si>
  <si>
    <t>INTEGR.</t>
  </si>
  <si>
    <t>DIURNO</t>
  </si>
  <si>
    <t>NOTURNO</t>
  </si>
  <si>
    <t>AMERICA DOURADA</t>
  </si>
  <si>
    <t>COLÉGIO ESTADUAL SÃO SEBASTIÃO</t>
  </si>
  <si>
    <t>RUA NESTOR BORGES - 100</t>
  </si>
  <si>
    <t>CENTRO</t>
  </si>
  <si>
    <t>SEDE</t>
  </si>
  <si>
    <t>PRÓPRIO</t>
  </si>
  <si>
    <t>GRANDE</t>
  </si>
  <si>
    <t/>
  </si>
  <si>
    <t>-11.456445479476455, -41.43890636036543</t>
  </si>
  <si>
    <t>PADRÃO ANTIGO</t>
  </si>
  <si>
    <t>SIM</t>
  </si>
  <si>
    <t>Estruturas adaptadas: 01 refeitório, 01 biblioteca.</t>
  </si>
  <si>
    <t xml:space="preserve">                                              </t>
  </si>
  <si>
    <t>COLÉGIO ESTADUAL DE TEMPO INTEGRAL PROFESSORA NANCY DA ROCHA CARDOSO - DIST. DE SOARES</t>
  </si>
  <si>
    <t xml:space="preserve">ESTRADA BA 052 - 88188 - N S/N Bairro: CENTRO CEP: 44910-000
</t>
  </si>
  <si>
    <t>-11.313835928826945, -41.47264134866215</t>
  </si>
  <si>
    <t>NOVO PADRÃO (NOVA ESCOLA)</t>
  </si>
  <si>
    <t>Demais laboratórios: 01 química/biologia, 01 física/matemática, 01 linguagens.</t>
  </si>
  <si>
    <t>ANEXO</t>
  </si>
  <si>
    <t>ANEXO - CEMIT - IRECÊ - DISTRITO DE BELO CAMPO</t>
  </si>
  <si>
    <t>DISTRITO DE BELO CAMPO - SN(00004)</t>
  </si>
  <si>
    <t>31KM</t>
  </si>
  <si>
    <t>CEDIDO</t>
  </si>
  <si>
    <t>PEQUENO</t>
  </si>
  <si>
    <t>Anexo</t>
  </si>
  <si>
    <t>-</t>
  </si>
  <si>
    <t>BARRA DO MENDES</t>
  </si>
  <si>
    <t>COLEGIO ESTADUAL DE TEMPO INTEGRAL EDIVALDO MACHADO BOAVENTURA</t>
  </si>
  <si>
    <t>RUA JURACY MAGALHÃES - S/N</t>
  </si>
  <si>
    <t>-11.804665179549133, -42.058620844234696</t>
  </si>
  <si>
    <t>NOVO PADRÃO (AMPLIAÇÃO COM MODERNIZAÇÃO)</t>
  </si>
  <si>
    <t>ESCOLA SEDE</t>
  </si>
  <si>
    <t>A DEFINIR</t>
  </si>
  <si>
    <t>Estruturas adaptadas: 01 biblioteca, 01 sala AEE; Laboratório: 01 laboratório</t>
  </si>
  <si>
    <t xml:space="preserve">ANEXO-COL EST DE T. INTEG EDIVALDO MACHADO BOAVENTURA-DIST DE CANARINA </t>
  </si>
  <si>
    <t>DISTRITO DE CANARINA - S/N</t>
  </si>
  <si>
    <t>CANARINA</t>
  </si>
  <si>
    <t>60KM</t>
  </si>
  <si>
    <t>ANEXO - CEMIT - IRECÊ - DISTRITO DE MILAGRES</t>
  </si>
  <si>
    <t>DISTRITO DE MILAGRES - S/N</t>
  </si>
  <si>
    <t xml:space="preserve">DISTRITO DE MILAGRES </t>
  </si>
  <si>
    <t>30KM</t>
  </si>
  <si>
    <t>ANEXO - CEMIT - IRECÊ - DISTRITO DE CAPIM DURO</t>
  </si>
  <si>
    <t>DISTRITO DE CAPIM DURO - S/N</t>
  </si>
  <si>
    <t>DISTRITO DE CAPIM DURO</t>
  </si>
  <si>
    <t>37KM</t>
  </si>
  <si>
    <t>BARRO ALTO</t>
  </si>
  <si>
    <t xml:space="preserve">COLEGIO ESTADUAL DO CAMPO DE GAMELEIRA
</t>
  </si>
  <si>
    <t>RUA SETE DE SETEMBRO, Nº S/N</t>
  </si>
  <si>
    <t xml:space="preserve">	PRÓPRIO</t>
  </si>
  <si>
    <t>COLEGIO ESTADUAL DE TEMPO INTEGRAL NECY NOVAIS</t>
  </si>
  <si>
    <t>PRACA DA BANDEIRA - 282</t>
  </si>
  <si>
    <t>-11.317796181873934, -39.85582524236693</t>
  </si>
  <si>
    <t>Estruturas adaptadas: 01 biblioteca, 01 sala de video.</t>
  </si>
  <si>
    <t>CAFARNAUM</t>
  </si>
  <si>
    <t>COLÉGIO ESTADUAL DE TEMPO INTEGRAL IMACULADA CONCEIÇÃO</t>
  </si>
  <si>
    <t>CIRILO TOME DA SILVA - SN(00028)</t>
  </si>
  <si>
    <t>-11.689388913938808, -41.475732103318904</t>
  </si>
  <si>
    <t>Demais laboratórios: 01 biologia/química , 01 física/matemática, 01 linguagens.
Salas multifuncionais: 01 dança, 01 multifuncional.</t>
  </si>
  <si>
    <t>NTE 02 - VELHO CHICO</t>
  </si>
  <si>
    <t>ANEXO - CEMIT - IRECÊ - DISTRITO DE CANAL</t>
  </si>
  <si>
    <t>HELIO MARQUES BARRETO - SN(00006)</t>
  </si>
  <si>
    <t>DISTRITO DE CANAL</t>
  </si>
  <si>
    <t>22KM</t>
  </si>
  <si>
    <t>CANARANA</t>
  </si>
  <si>
    <t>COLÉGIO ESTADUAL JOSÉ RIBEIRO DE ARAUJO</t>
  </si>
  <si>
    <t>RUA 16 DE JULHO - 177</t>
  </si>
  <si>
    <t>-11.686352338828677, -41.769402236241454</t>
  </si>
  <si>
    <t>Estruturas adaptadas:01 biblioteca, 01 multiuso e AEE</t>
  </si>
  <si>
    <t>COLÉGIO ESTADUAL DO CAMPO MAXIMINO MARTINS - DISTRITO DE SALOBRO</t>
  </si>
  <si>
    <t>PRAÇA CATÃO DOURADO - SN(00020)</t>
  </si>
  <si>
    <t>-11.859144622782148, -41.75367598550662</t>
  </si>
  <si>
    <t>Estruturas adaptadas: 01 refetório.</t>
  </si>
  <si>
    <t>ANEXO - CEMIT - IRECÊ - POVOADO UMBURANA DO QUERE</t>
  </si>
  <si>
    <t>UMBURANA DO QUERE - SN(00006)</t>
  </si>
  <si>
    <t>POVOADO UMBURANA DO QUERE</t>
  </si>
  <si>
    <t>35KM</t>
  </si>
  <si>
    <t>ANEXO - CEMIT - IRECÊ - DISTRITO LAGOA VELHA</t>
  </si>
  <si>
    <t>LAGOA VELHA - SN(00012)</t>
  </si>
  <si>
    <t>DISTRITO LAGOA VELHA</t>
  </si>
  <si>
    <t>CENTRAL</t>
  </si>
  <si>
    <t>CEMIT</t>
  </si>
  <si>
    <t>COLÉGIO ESTADUAL DE TEMPO INTEGRAL JOSE DE SOUZA MACHADO</t>
  </si>
  <si>
    <t>AV. ANTÔNIO CARLOS MAGALHÃES, 42 - CENTRO, CENTRAL - BA, 44940-000</t>
  </si>
  <si>
    <t>ESPECIAL</t>
  </si>
  <si>
    <t>-11.131275357459675, -42.10954975054417</t>
  </si>
  <si>
    <t>Estruturas adaptadas: 01 laboratório de linguagem adaptado como sala de aula.
Demais laboratórios: 01 física/matemática, 01 horta, 01 viveiro, 01 química/biologia.</t>
  </si>
  <si>
    <t>GENTIO DO OURO</t>
  </si>
  <si>
    <t>COLÉGIO ESTADUAL MARIA QUITÉRIA - TEMPO INTEGRAL</t>
  </si>
  <si>
    <t>PÇA EDMUNDO PEREIRA BASTOS - 212</t>
  </si>
  <si>
    <t>-11.428866151079575, -42.50793797779119</t>
  </si>
  <si>
    <t>Estruturas adaptadas: 01 refeitório</t>
  </si>
  <si>
    <t>ANEXO - COLÉGIO ESTADUAL MARIA QUITÉRIA - DISTRITO DE ITAJUBAQUARA</t>
  </si>
  <si>
    <t>RUA EDMUNDO PEREIRA BASTOS - 212</t>
  </si>
  <si>
    <t>18KM</t>
  </si>
  <si>
    <r>
      <rPr>
        <rFont val="Calibri"/>
        <b/>
        <color theme="1"/>
        <sz val="11.0"/>
      </rPr>
      <t xml:space="preserve">11 salas, </t>
    </r>
    <r>
      <rPr>
        <rFont val="Calibri"/>
        <b/>
        <color rgb="FFFF0000"/>
        <sz val="11.0"/>
      </rPr>
      <t>sendo 08 salas de aula</t>
    </r>
    <r>
      <rPr>
        <rFont val="Calibri"/>
        <b/>
        <color theme="1"/>
        <sz val="11.0"/>
      </rPr>
      <t xml:space="preserve">, e 03 adaptadas para Sala de AEE e salas de oficinas do Educa Mais. </t>
    </r>
  </si>
  <si>
    <t>ANEXO - CEMIT - IRECÊ- DISTRITO DE IBITUNANE</t>
  </si>
  <si>
    <t>DISTRITO DE IBITUNANE - S/N</t>
  </si>
  <si>
    <t>45KM</t>
  </si>
  <si>
    <t>ANEXO - CEMIT - IRECÊ - DISTRITO DE PITUBA</t>
  </si>
  <si>
    <t>DIST. DE PITUBA - S/N</t>
  </si>
  <si>
    <t>59KM</t>
  </si>
  <si>
    <t>IBIPEBA</t>
  </si>
  <si>
    <t>COLÉGIO ESTADUAL DO CAMPO DE TEMPO INTEGRAL DE MIROROS</t>
  </si>
  <si>
    <t>RUA DA IGREJA - SN(00147)</t>
  </si>
  <si>
    <t>POVOADO DE MIRORÓS</t>
  </si>
  <si>
    <t>50KM</t>
  </si>
  <si>
    <t xml:space="preserve"> -11.439389308500333, -42.312256697387305</t>
  </si>
  <si>
    <t>COLÉGIO ESTADUAL DE TEMPO INTEGRAL PROFESSORA CÉLIA OLIVEIRA LEITE 
(ANTIGO CE ACM)</t>
  </si>
  <si>
    <t>R. ADÉLIA DOURADA 380 - IBIPEBA, BA, 44970-000</t>
  </si>
  <si>
    <t>-11.645743486851487, -42.0075519870747</t>
  </si>
  <si>
    <t xml:space="preserve">Demais laboratórios: 01 física/matemática 
</t>
  </si>
  <si>
    <t>IBITITA</t>
  </si>
  <si>
    <t>COLÉGIO ESTADUAL DO CAMPO DE TEMPO INTEGRAL DE IBITITÁ</t>
  </si>
  <si>
    <t>PROFESSORA ELZY OLIVEIRA CARDOSO - SN(00118)</t>
  </si>
  <si>
    <t>-11.54032585532116, -41.97791977474087</t>
  </si>
  <si>
    <t>Estruturas adaptadas: 01 refeitório; Laboratório: 01 ciências</t>
  </si>
  <si>
    <t>ANEXO - CEMIT IRECÊ - DISTRITO FEIRA NOVA</t>
  </si>
  <si>
    <t>FEIRA NOVA - SN(00018)</t>
  </si>
  <si>
    <t>QUILOMBOLA</t>
  </si>
  <si>
    <t>IPUPIARA</t>
  </si>
  <si>
    <t>COLEGIO ESTADUAL DE TEMPO INTEGRAL CASTRO ALVES</t>
  </si>
  <si>
    <t>PRACA DA BANDEIRA - 36</t>
  </si>
  <si>
    <t>-11.823454045493607, -42.612628556429286</t>
  </si>
  <si>
    <t>Estruturas adaptadas:01 Sala de AEE</t>
  </si>
  <si>
    <t>IRECE</t>
  </si>
  <si>
    <t>COLÉGIO ESTADUAL DE TEMPO INTEGRAL PROFESSORA DÁRIA DOURADO LOPES (ANTIGO - CE LUIZ VIANA FILHO)</t>
  </si>
  <si>
    <t>AVENIDA CARAIBAS - 659</t>
  </si>
  <si>
    <t>-11.314962763572884, -41.85850190963313</t>
  </si>
  <si>
    <t>Estruturas adaptadas: 01 Biblioteca, 01 Refeitório, 01 Sala de AEE</t>
  </si>
  <si>
    <t>COLÉGIO ESTADUAL DE TEMPO INTEGRAL PROFESSOR JORGE RODRIGUES DOS SANTOS
(ANTIGO COLÉGIO MODELO LUIS EDUARDO MAGALHÃES)</t>
  </si>
  <si>
    <t>RUA RAIMUNDO BONFIM - S/N</t>
  </si>
  <si>
    <t>-11.310090420860126, -41.85831676037118</t>
  </si>
  <si>
    <t>Estruturas adaptadas: 01 refeitório, 01 Sala de AEE
Sala multifuncional: Sala multifuncional: 03 Salas para oficna de saúde, 01 Sala para oficina de esportes, 01 Sala de grêmio</t>
  </si>
  <si>
    <t>CENTRO TERRITORIAL DE EDUCAÇÃO PROFISSIONAL DE IRECÊ</t>
  </si>
  <si>
    <t>EST VELHA DA FAZ. BAIXÃO - S/N</t>
  </si>
  <si>
    <t xml:space="preserve"> BAX. DE SINESIA</t>
  </si>
  <si>
    <t>-11.29890690984817, -41.85545604586694</t>
  </si>
  <si>
    <t>NOVO PADRÃO (MODERNIZAÇÃO)</t>
  </si>
  <si>
    <t>NTE 03 - CHAPADA DIAMANTINA</t>
  </si>
  <si>
    <t>Demais laboratórios: 01 Desenho técnico, 01 Solos
01 Beneficiamento de alimentos, 01 Enfermagem, 01 Química, 01 Analises clinicas, 01 Informática, 01 Escritório Criativo Protejo PAIS, 01 horta Escolar (Hortaçiças) ,01 Estufa hidropônica 
Sala multifuncional: 01 Sala para educa mais de Jiu-jitsu</t>
  </si>
  <si>
    <t>CENTRO REGIONAL DE ENSINO MÉDIO COM INTERMEDIAÇÃO TECNOLÓGICA - CEMIT DE IRECÊ</t>
  </si>
  <si>
    <t>RAIMUNDO BONFIM N SN(00041) Bairro: CENTRO CEP: 44900000</t>
  </si>
  <si>
    <t>CENTRO JUVENIL DE CIÊNCIA E CULTURA - CJCC IRECÊ</t>
  </si>
  <si>
    <t>AVENIDA CARAIBAS N 659 Bairro: CENTRO CEP: 44900000</t>
  </si>
  <si>
    <t>-11.302379329878278, -41.85370003501203</t>
  </si>
  <si>
    <t xml:space="preserve">ANEXO - COLÉGIO ESTADUAL DE TEMPO INTEGRAL PROFESSORA DÁRIA DOURADO LOPES - POVOADO DE LAGOA NOVA- CONJUNTO PENAL
</t>
  </si>
  <si>
    <t xml:space="preserve">BA 052 KM 8 LAGOA NOVA ZONA RURAL POVOADO DE LAGOA NOVA N Bairro: - CEP: 44860-089
</t>
  </si>
  <si>
    <t>CENTRO DE APOIO PEDAGOGICO ESPECIALIZADO IRECE</t>
  </si>
  <si>
    <t xml:space="preserve">AVENIDA CARAIBAS -CENTRO N 659 Bairro: CENTRO CEP: 44900-000
</t>
  </si>
  <si>
    <t>ITAGUACU DA BAHIA</t>
  </si>
  <si>
    <t>COLÉGIO ESTADUAL DO CAMPO FRANCISCO CASTRO LARANJEIRA</t>
  </si>
  <si>
    <t>RUA DO HOSPITAL - 150</t>
  </si>
  <si>
    <t xml:space="preserve">MÉDIO
</t>
  </si>
  <si>
    <t>-11.009233981867455, -42.3955388386851</t>
  </si>
  <si>
    <r>
      <rPr>
        <rFont val="Calibri"/>
        <b/>
        <color theme="1"/>
        <sz val="11.0"/>
      </rPr>
      <t xml:space="preserve">06 salas, </t>
    </r>
    <r>
      <rPr>
        <rFont val="Calibri"/>
        <b/>
        <color rgb="FFFF0000"/>
        <sz val="11.0"/>
      </rPr>
      <t>sendo 05 utilizadas para aula</t>
    </r>
    <r>
      <rPr>
        <rFont val="Calibri"/>
        <b/>
        <color theme="1"/>
        <sz val="11.0"/>
      </rPr>
      <t>, 01 adaptada para biblioteca e sala de vídeo.</t>
    </r>
  </si>
  <si>
    <t>Estruturas adaptadas: Laboratórios adaptados como sala de aula: 01 ciências, 01 informática.</t>
  </si>
  <si>
    <t>ANEXO -CEMIT - IRECÊ - POVOADO DE MARAVILHA</t>
  </si>
  <si>
    <t>SN(00002)</t>
  </si>
  <si>
    <t>44KM</t>
  </si>
  <si>
    <t>ANEXO - CEMIT - IRECE - POVOADO MUNDINHO</t>
  </si>
  <si>
    <t>POV. DE MUNDINHO - SN(00002)</t>
  </si>
  <si>
    <t>ANEXO - CEMIT - IRECÊ - POVOADO FAZENDA ALMAS</t>
  </si>
  <si>
    <t>POV. FAZ. ALMAS - SN(00009)</t>
  </si>
  <si>
    <t>27KM</t>
  </si>
  <si>
    <t>ANEXO - CEMIT - IRECÊ - POVOADO BARREIROS - COMUNIDADE QUILOMBOLA</t>
  </si>
  <si>
    <t>BARREIROS - SN(00028)</t>
  </si>
  <si>
    <t>ANEXO - CEMIT - IRECÊ - DISTRITO VÁRZEA GRANDE</t>
  </si>
  <si>
    <t>VARZEA GRANDE - SN(00084)</t>
  </si>
  <si>
    <t>25KM</t>
  </si>
  <si>
    <t>ANEXO - CEMIT - IRECÊ - ASSENTAMENTO CALIFÓRNIA II</t>
  </si>
  <si>
    <t>CALIFORNIA II - SN(00002)</t>
  </si>
  <si>
    <t>87KM</t>
  </si>
  <si>
    <t>JOAO DOURADO</t>
  </si>
  <si>
    <t>COLÉGIO ESTADUAL DE TEMPO INTEGRAL IDALINA DA SILVA DOURADO</t>
  </si>
  <si>
    <t>JOAQUIM AUGUSTO DOURADO - SN(00021)</t>
  </si>
  <si>
    <t>-11.343506453429942, -41.65595640872485</t>
  </si>
  <si>
    <t>Estruturas adaptadas: 01 sala AEE.</t>
  </si>
  <si>
    <t>ANEXO - CEMIT - IRECÊ - POVOADO CALDEIRÃO DO JACO</t>
  </si>
  <si>
    <t>RUA DIVINO ESPIRITO SANTO - SN(00003)</t>
  </si>
  <si>
    <t>POVOADO CALDEIRÃO DO JACO</t>
  </si>
  <si>
    <t>9KM</t>
  </si>
  <si>
    <t>ANEXO - CEMIT - IRECÊ - DISTRITO RIACHO DE JOÃO DOURADO</t>
  </si>
  <si>
    <t>DISTRITO DE RIACHO DE JOAO DOURADO - SN(00005)</t>
  </si>
  <si>
    <t>GERAL</t>
  </si>
  <si>
    <t>42KM</t>
  </si>
  <si>
    <t>ANEXO - CEMIT - IRECÊ - DISTRITO DE MATA DO MILHO - COMUNIDADE QUILOMBOLA</t>
  </si>
  <si>
    <t>DISTRITO DE MATA DO MILHO - SN(00007)</t>
  </si>
  <si>
    <t>43KM</t>
  </si>
  <si>
    <t>ANEXO - CEMIT - IRECÊ - DISTRITO DE FLORESTA</t>
  </si>
  <si>
    <t>FLORESTA - SN(00079)</t>
  </si>
  <si>
    <t>32,6KM</t>
  </si>
  <si>
    <t>INTEGRAL</t>
  </si>
  <si>
    <t>JUSSARA</t>
  </si>
  <si>
    <t>COLÉGIO ESTADUAL DE TEMPO INTEGRAL PROFESSOR ETEVALDO MARTINIANO DA ROCHA (ANTIGO - COLÉGIO ESTADUAL CAROLINA ALMEIDA LOPES)</t>
  </si>
  <si>
    <t>RUA JOSÉ DE ANCHIETA - S/N</t>
  </si>
  <si>
    <t>-11.050364545223243, -41.96966928954358</t>
  </si>
  <si>
    <t xml:space="preserve">Demais laboratórios: 01 química/ biologia; 01 matemática/ física; 01 linguagens. </t>
  </si>
  <si>
    <t>LAPAO</t>
  </si>
  <si>
    <t>COLÉGIO ESTADUAL DO CAMPO DE AGUADA NOVA - DISTRITO DE AGUADA NOVA</t>
  </si>
  <si>
    <t>RUA DO BARRO VERMELHO - S/N</t>
  </si>
  <si>
    <t>-11.459584054928188, -41.807448881500136</t>
  </si>
  <si>
    <t>ENSINO MÉDIO</t>
  </si>
  <si>
    <t>10 + 03 (Adapt)</t>
  </si>
  <si>
    <t>Estruturas adaptadas: 01 refeitório, sala 01 AEE</t>
  </si>
  <si>
    <t>ENSINO MÉDIO E EJA MÉDIO</t>
  </si>
  <si>
    <t>COLÉGIO ESTADUAL DE TEMPO INTEGRAL JUSTINIANO DE CASTRO DOURADO</t>
  </si>
  <si>
    <t>ESTR. IRECE-LAPÃO,S/N</t>
  </si>
  <si>
    <t>-11.37583292184791, -41.84159439232399</t>
  </si>
  <si>
    <t xml:space="preserve">Estruturas adaptadas: 01 matemática, 01 Psicologia
01 Artes, 01 Grêmio
Demais laboratórios: 01 biologia/química, 01 física, 01 linguagens
Sala multifuncional: 01 Dança, 01 Multifuncional </t>
  </si>
  <si>
    <t>MULUNGU DO MORRO</t>
  </si>
  <si>
    <t>COLÉGIO ESTADUAL DE TEMPO INTEGRAL DE MULUNGU DO MORRO</t>
  </si>
  <si>
    <t>BENEDITO NOGUEIRA - SN(00048)</t>
  </si>
  <si>
    <t>-11.967223522622936, -41.64585240430931</t>
  </si>
  <si>
    <t>Estruturas adaptadas: 01 laboratório de informática adaptado como sala de aula.
Demais laboratórios: 01 química, 01 horta.</t>
  </si>
  <si>
    <t>ANEXO - CEMIT - IRECÊ - DISTRITO DE VÁRZEA DO CERCO</t>
  </si>
  <si>
    <t>DIST. DE VARZEA DO CERCO - S/N</t>
  </si>
  <si>
    <t>DISTRITO DE VARZEA DO CERCO</t>
  </si>
  <si>
    <t>PRESIDENTE DUTRA</t>
  </si>
  <si>
    <t>MEDIO 2</t>
  </si>
  <si>
    <t>COLÉGIO ESTADUAL DE TEMPO INTEGRAL LEILA JANAINA BRITO GONÇALVES 
(ANTIGO C.E DOUTOR ANTONIO CARLOS MAGALHAES)</t>
  </si>
  <si>
    <t>EJA MEDIO 2</t>
  </si>
  <si>
    <t>RUA PROJETADA, S/N 44.930-000 CENTRO</t>
  </si>
  <si>
    <t>-11.29115446805411, -41.993385086993364</t>
  </si>
  <si>
    <t>MEDIO 3</t>
  </si>
  <si>
    <t>EJA MEDIO 3</t>
  </si>
  <si>
    <t>ESCOLA 2</t>
  </si>
  <si>
    <t>DO CAMPO</t>
  </si>
  <si>
    <t>QNT DE ANEXOS 2</t>
  </si>
  <si>
    <t>SAO GABRIEL</t>
  </si>
  <si>
    <t>EFAS 2</t>
  </si>
  <si>
    <t>MUNICIPIOS COM ALUNOS MATRICULADOS</t>
  </si>
  <si>
    <t>COLÉGIO ESTADUAL DE TEMPO INTEGRAL PROFESSORA ROSÁLIA PEREIRA DA ROCHA</t>
  </si>
  <si>
    <t>JOÃO DURVAL - 127</t>
  </si>
  <si>
    <t>MUNICIPIOS SEM ALUNOS MATRICULADOS</t>
  </si>
  <si>
    <t>-11.231179604058674, -41.8789779928961</t>
  </si>
  <si>
    <t>MEDIO 4</t>
  </si>
  <si>
    <t>NTE 04 - SISAL</t>
  </si>
  <si>
    <t>MUNICIPIOS COM ALUNOS MATRICULADOS 2</t>
  </si>
  <si>
    <t>MUNICIPIOS SEM ALUNOS MATRICULADOS 2</t>
  </si>
  <si>
    <t>Sala multifuncional: 01 Sala de esportes</t>
  </si>
  <si>
    <t>ESCOLA 3</t>
  </si>
  <si>
    <t>QNT DE ANEXOS 3</t>
  </si>
  <si>
    <t>EFAS 3</t>
  </si>
  <si>
    <t>MUNICIPIOS COM ALUNOS MATRICULADOS 3</t>
  </si>
  <si>
    <t>COLÉGIO ESTADUAL ALMERINDA ALMEIDA - DISTRITO DE GAMELEIRA DO JACARÉ</t>
  </si>
  <si>
    <t>TRAVESSA DUQUE DE CAXIAS - 01</t>
  </si>
  <si>
    <t>MUNICIPIOS SEM ALUNOS MATRICULADOS 3</t>
  </si>
  <si>
    <t>-11.225375962960939, -41.86878029942797</t>
  </si>
  <si>
    <t>DIURNO 2</t>
  </si>
  <si>
    <t>NOTURNO 2</t>
  </si>
  <si>
    <t>INTEGRAL 2</t>
  </si>
  <si>
    <t>TOTAL 2</t>
  </si>
  <si>
    <t>ESCOLA 4</t>
  </si>
  <si>
    <t>QNT DE ANEXOS 4</t>
  </si>
  <si>
    <t>EFAS 4</t>
  </si>
  <si>
    <t>MUNICIPIOS COM ALUNOS MATRICULADOS 4</t>
  </si>
  <si>
    <t>MUNICIPIOS SEM ALUNOS MATRICULADOS 4</t>
  </si>
  <si>
    <t>DIURNO 3</t>
  </si>
  <si>
    <t>NOTURNO 3</t>
  </si>
  <si>
    <t>TOTAL 3</t>
  </si>
  <si>
    <t>ESCOLA 5</t>
  </si>
  <si>
    <t>QNT DE ANEXOS 5</t>
  </si>
  <si>
    <t>MUNICIPIOS COM ALUNOS MATRICULADOS 5</t>
  </si>
  <si>
    <t>TOTAL 4</t>
  </si>
  <si>
    <t xml:space="preserve">Sala multifuncional: 01 Sala de multimídia </t>
  </si>
  <si>
    <t>UIBAI</t>
  </si>
  <si>
    <t>COLÉGIO ESTADUAL MANOEL LEVI - TEMPO INTEGRAL</t>
  </si>
  <si>
    <t>RUA ABILIO MACHADO - S/N</t>
  </si>
  <si>
    <t>-11.335750546103549, -42.13098928417718</t>
  </si>
  <si>
    <t>Estrututas adaptadas: 01 refeitório, 02 salas de aula adaptadas para salas de vídeo.</t>
  </si>
  <si>
    <t>XIQUE-XIQUE</t>
  </si>
  <si>
    <t>COLÉGIO ESTADUAL PROFESSORA GILDETE DE SOUZA VIANA</t>
  </si>
  <si>
    <t>ANTIGO AEROPORTO - SN(00097)</t>
  </si>
  <si>
    <t>-10.822998357483721, -42.723402900748546</t>
  </si>
  <si>
    <t>Demais laboratórios: 01 Biologia, química e física,01 Análises clínicas ,01 Agropecuária,01  Robótica,01 Escritório Criativo ,01 Enfermagem.</t>
  </si>
  <si>
    <t>CENTRO ESTADUAL DE EDUCAÇÃO PROFISSIONAL EM RECURSOS NATURAIS DO CENTRO BAIANO</t>
  </si>
  <si>
    <t>PRACA POLIVALENTE - SN(00584)</t>
  </si>
  <si>
    <t>-10.82791301403092, -42.72619543619899</t>
  </si>
  <si>
    <t>Demais laboratórios: 1 Biologia, química e física01 Análises clínicas ,01 Agropecuária,01  Robótica,01 Escritório Criativo ,01 Enfermagem; Produção Agropecuária: 01 Estufa (Horticultura),01 Aviário (Avicultura)</t>
  </si>
  <si>
    <t>BARRA</t>
  </si>
  <si>
    <t>COLÉGIO ESTADUAL DE TEMPO INTEGRAL DE BARRA</t>
  </si>
  <si>
    <t>RUA DOM PEDRO II - S/N</t>
  </si>
  <si>
    <t>-11.087653249093082, -43.155823459240736</t>
  </si>
  <si>
    <t xml:space="preserve">Demais laboratórios: 01 Biologia/química, 01 Física/matemática, 01 Linguagens
Sala multifuncional: 01 Sala de dança </t>
  </si>
  <si>
    <t>CENTRO REG DE ENS MEDIO COM INTERMEDIACAO TEC-CEMIT VELHO CHICO-BARRA</t>
  </si>
  <si>
    <t>RUA N 02 N SN(00006)   47100970</t>
  </si>
  <si>
    <t>SANTA CLARA CEP:</t>
  </si>
  <si>
    <t>CENTRO ESTADUAL DE EDUCACAO PROFISSIONAL AGUAS - TEMPO INTEGRAL</t>
  </si>
  <si>
    <t>ANTIGA FAZENDA BALI HAI, BR 161 - S/N</t>
  </si>
  <si>
    <t>-11.095358822403696, -43.21548188537059</t>
  </si>
  <si>
    <t xml:space="preserve">Estruturas adaptadas: 01 Refeitório
Demais laboratórios: 01 Biologia, 01 Química, 01 Escritório criativo, 01 Viveiro de galinhas, 01 Estufa p/ hidroponia </t>
  </si>
  <si>
    <t>ANEXO - CEMIT - VELHO CHICO-BARRA- CURRALINHO - COMUNIDADE QUILOMBOLA</t>
  </si>
  <si>
    <t>CURRALINHO - SN(00042)</t>
  </si>
  <si>
    <t>48KM</t>
  </si>
  <si>
    <t>ANEXO - CEMIT - VELHO CHICO-BARRA - WANDERLEY</t>
  </si>
  <si>
    <t>WANDERLEY - SN(00037)</t>
  </si>
  <si>
    <t>34KM</t>
  </si>
  <si>
    <t>ANEXO - CEMIT - VELHO CHICO-BARRA - POVOADO PRIMAVERA</t>
  </si>
  <si>
    <t>PRIMAVERA - SN(00016)</t>
  </si>
  <si>
    <t>ANEXO - CEMIT - VELHO CHICO-BARRA - POVOADO ITACOATIARA</t>
  </si>
  <si>
    <t>POVOADO DE ITACOATIARA - SN(00006)</t>
  </si>
  <si>
    <t>ANEXO - CEMIT - VELHO CHICO-BARRA - LIMOEIRO</t>
  </si>
  <si>
    <t>LIMOEIRO - SN(00043)</t>
  </si>
  <si>
    <t>96KM</t>
  </si>
  <si>
    <t>NTE 05 - LITORAL SUL</t>
  </si>
  <si>
    <t>ANEXO - CEMIT - VELHO CHICO-BARRA - DISTRITO DE IGARITE - COMUNIDADE QUILOMBOLA</t>
  </si>
  <si>
    <t>DISTRITO DE IGARITE - S/N</t>
  </si>
  <si>
    <t>ANEXO - CEMIT - VELHO CHICO-BARRA - DISTRITO DE IBIRABA</t>
  </si>
  <si>
    <t>DISTRITO DE IBIRABA - S/N</t>
  </si>
  <si>
    <t>54KM</t>
  </si>
  <si>
    <t>ANEXO - CEMIT - VELHO CHICO-BARRA - DISTRITO DE BREJO DO SACO</t>
  </si>
  <si>
    <t>DISTRITO DE BREJO DO SACO - SN(00029)</t>
  </si>
  <si>
    <t>ANEXO - CEMIT - VELHO CHICO-BARRA - DISTRITO DE BAIXAO DE ARCANJO</t>
  </si>
  <si>
    <t>DISTRITO DE BAIXAO DE ARCANJA - S/N</t>
  </si>
  <si>
    <t>110KM</t>
  </si>
  <si>
    <t>ANEXO - CEMIT - VELHO CHICO-BARRA - BREJO DO SÃO GONCALO</t>
  </si>
  <si>
    <t>BREJO DO SAO GONCALO - SN(00006)</t>
  </si>
  <si>
    <t>40KM</t>
  </si>
  <si>
    <t>ANEXO - CEMIT - VELHO CHICO-BARRA - BAIXÃO DE APARECIDA</t>
  </si>
  <si>
    <t>BAIXAO DE APARECIDA - SN(00033)</t>
  </si>
  <si>
    <t>32KM</t>
  </si>
  <si>
    <t>ANEXO - CEMIT - VELHO CHICO BARRA - FAZENDA SACO</t>
  </si>
  <si>
    <t>SACO - SN(00002)</t>
  </si>
  <si>
    <t>SANTA CLARA</t>
  </si>
  <si>
    <t>26KM</t>
  </si>
  <si>
    <t>BOM JESUS DA LAPA</t>
  </si>
  <si>
    <t>COLÉGIO ESTADUAL SÃO VICENTE DE PAULO - TEMPO INTEGRAL</t>
  </si>
  <si>
    <t>RUA DOS ESCOTEIROS - S/N</t>
  </si>
  <si>
    <t>SAO GOTARDO</t>
  </si>
  <si>
    <t>-13.259108049601386, -43.407487930457236</t>
  </si>
  <si>
    <r>
      <rPr>
        <rFont val="Calibri"/>
        <b/>
        <color theme="1"/>
        <sz val="11.0"/>
      </rPr>
      <t xml:space="preserve"> 14 (</t>
    </r>
    <r>
      <rPr>
        <rFont val="Calibri"/>
        <b/>
        <color rgb="FFFF0000"/>
        <sz val="11.0"/>
      </rPr>
      <t xml:space="preserve">sendo 11 salas de aula </t>
    </r>
    <r>
      <rPr>
        <rFont val="Calibri"/>
        <b/>
        <color theme="1"/>
        <sz val="11.0"/>
      </rPr>
      <t>e</t>
    </r>
    <r>
      <rPr>
        <rFont val="Calibri"/>
        <b/>
        <color rgb="FFFF0000"/>
        <sz val="11.0"/>
      </rPr>
      <t xml:space="preserve"> </t>
    </r>
    <r>
      <rPr>
        <rFont val="Calibri"/>
        <b/>
        <color theme="1"/>
        <sz val="11.0"/>
      </rPr>
      <t>01 sala (adapt.) para libras, 01 sala (adapt.) para biblioteca e 01 sala (adapt.) informática)</t>
    </r>
  </si>
  <si>
    <t>Estruturas adaptadas: 01 laboratório de informática sendo usado como sala de aula.</t>
  </si>
  <si>
    <t>COLÉGIO ESTADUAL MONSENHOR TURIBIO VILANOVA - TEMPO INTEGRAL</t>
  </si>
  <si>
    <t>AVENIDA AGENOR MAGALHAES- S/N</t>
  </si>
  <si>
    <t>-13.251386637433487, -43.40696864504367</t>
  </si>
  <si>
    <t>Estruturas adaptadas: 01 sala de leitura, 01 sala AEE, 01 sala multifuncional; Laboratórios: 01 robótica, 01 escritório criativo da educação profissional.
Demais laboratórios: 01 horta</t>
  </si>
  <si>
    <t>COLÉGIO ESTADUAL EVERTON OLIVEIRA DE SANTANA - DISTRITO FAVELANDIA</t>
  </si>
  <si>
    <t>PRACA ZECA DE PLACIDO - SN(00002)</t>
  </si>
  <si>
    <t>63KM</t>
  </si>
  <si>
    <t>-13.290186265233627, -42.95447755548243</t>
  </si>
  <si>
    <r>
      <rPr>
        <rFont val="Calibri"/>
        <b/>
        <color theme="1"/>
        <sz val="11.0"/>
      </rPr>
      <t>8 (</t>
    </r>
    <r>
      <rPr>
        <rFont val="Calibri"/>
        <b/>
        <color rgb="FFFF0000"/>
        <sz val="11.0"/>
      </rPr>
      <t>sendo 07 como salas de aula</t>
    </r>
    <r>
      <rPr>
        <rFont val="Calibri"/>
        <b/>
        <color theme="1"/>
        <sz val="11.0"/>
      </rPr>
      <t xml:space="preserve"> e 01 adaptada para informática)</t>
    </r>
  </si>
  <si>
    <t>Estruturas adaptadas: 01 refeitório e 01 sala de aula para biblioteca.</t>
  </si>
  <si>
    <t>COLÉGIO ESTADUAL DO CAMPO PROJETO FORMOSO</t>
  </si>
  <si>
    <t>Rua do Dreno, Vila do Setor 33</t>
  </si>
  <si>
    <t xml:space="preserve"> DISTRITO PROJETO FORMOSO</t>
  </si>
  <si>
    <t>ALUGADO R$(22.784,28anual)</t>
  </si>
  <si>
    <t>-13.245968536258555, -43.652980582241966</t>
  </si>
  <si>
    <t>COLÉGIO DA POLICIA MILITAR - CPM BOM JESUS DA LAPA</t>
  </si>
  <si>
    <t>CENTRO - S/N</t>
  </si>
  <si>
    <t>JOÃO PAULO II</t>
  </si>
  <si>
    <t>-13.246338090103931, -43.407733634932995</t>
  </si>
  <si>
    <t>Estruturas adaptadas: 01 refeitório.</t>
  </si>
  <si>
    <r>
      <rPr>
        <rFont val="Calibri"/>
        <b/>
        <color theme="1"/>
        <sz val="11.0"/>
      </rPr>
      <t xml:space="preserve">16 salas, </t>
    </r>
    <r>
      <rPr>
        <rFont val="Calibri"/>
        <b/>
        <color rgb="FFFF0000"/>
        <sz val="11.0"/>
      </rPr>
      <t>sendo 15 salas de aula e</t>
    </r>
    <r>
      <rPr>
        <rFont val="Calibri"/>
        <b/>
        <color theme="1"/>
        <sz val="11.0"/>
      </rPr>
      <t xml:space="preserve"> 01 adaptada para AEE.</t>
    </r>
  </si>
  <si>
    <t>CENTRO REGIONAL DE ENSINO MEDIO COM INTERMEDIACAO TEC-CEMIT DO VELHO CHICO</t>
  </si>
  <si>
    <t>AGENOR MAGALHÃES N SN(00031)  CEP: 47600970</t>
  </si>
  <si>
    <t>AMARALINA</t>
  </si>
  <si>
    <t>ANEXO DO COLÉGIO ESTADUAL MONSENHOR TURIBIO VILANOVA - DIST. RIO DAS RAS I - COMUNIDADE QUILOMBOLA</t>
  </si>
  <si>
    <t>DIST. RIO DAS RÃS I /COM. QUILOMBOLA, Nº</t>
  </si>
  <si>
    <t>81 KM</t>
  </si>
  <si>
    <t>ANEXO DO COLÉGIO ESTADUAL EVERTON OLIVEIRA DE SANTANA- DISTRITO DE SILVESTRE</t>
  </si>
  <si>
    <t>DISTRITO DE SILVESTRE - SN(00040)</t>
  </si>
  <si>
    <t>65KM</t>
  </si>
  <si>
    <r>
      <rPr>
        <rFont val="Calibri"/>
        <b/>
        <color theme="1"/>
        <sz val="11.0"/>
      </rPr>
      <t>33 salas,</t>
    </r>
    <r>
      <rPr>
        <rFont val="Calibri"/>
        <b/>
        <color rgb="FFFF0000"/>
        <sz val="11.0"/>
      </rPr>
      <t xml:space="preserve"> sendo 32 salas de aula </t>
    </r>
    <r>
      <rPr>
        <rFont val="Calibri"/>
        <b/>
        <color theme="1"/>
        <sz val="11.0"/>
      </rPr>
      <t>e 01 adaptada para AEE.</t>
    </r>
  </si>
  <si>
    <t xml:space="preserve">ANEXO AO COLEGIO ESTADUAL MONSENHOR TURIBIO VILANOVA QUILOMBO ARACA CARIACA
</t>
  </si>
  <si>
    <t>QUILOMBO ARACA/CARIACA, Nº S/N</t>
  </si>
  <si>
    <t>NÃO DEFINIDO</t>
  </si>
  <si>
    <t>ANEXO - MONSENHOR TURIBIO VILANOVA - DISTRITO DE BATALHA - COMUNIDADE QUILOMBOLA</t>
  </si>
  <si>
    <t>DIST. DE BATALHA - S/N</t>
  </si>
  <si>
    <t>DISTRITO DE BATALHA - COMUNIDADE QUILOMBOLA</t>
  </si>
  <si>
    <t>ANEXO - COLÉGIO ESTADUAL SÃO VICENTE DE PAULO - POVOADO DE SANTA RITA</t>
  </si>
  <si>
    <t>SANTA RITA - SN(00004)</t>
  </si>
  <si>
    <t>POVOADO DE SANTA RITA</t>
  </si>
  <si>
    <t>50 KM</t>
  </si>
  <si>
    <t>ANEXO - COLÉGIO ESTADUAL SÃO VICENTE DE PAULO - DISTRITO ILHA DA CANABRAVA</t>
  </si>
  <si>
    <t>DIST. ILHA DA CANABRAVA</t>
  </si>
  <si>
    <t>CETEP</t>
  </si>
  <si>
    <t>ANEXO - COLÉGIO ESTADUAL SÃO VICENTE DE PAULO - DISTRITO CURRAL DAS VARZEAS - COMUNIDADE QUILOMBOLA</t>
  </si>
  <si>
    <t>DISTRITO CURRAL DAS VARZEAS - S/N</t>
  </si>
  <si>
    <t>DISTRITO CURRAL DAS VARZEAS - COMUNIDADE QUILOMBOLA</t>
  </si>
  <si>
    <t>40km</t>
  </si>
  <si>
    <t>ANEXO - COLÉGIO ESTADUAL PROJETO FORMOSO - SETOR 14 - DISTRITO IRRIGAÇÃO</t>
  </si>
  <si>
    <t>DIST. SETOR 14 DO PROJETO FORMOSO A - S/N</t>
  </si>
  <si>
    <t xml:space="preserve"> SETOR 14 - DISTRITO IRRIGAÇÃO</t>
  </si>
  <si>
    <t>ANEXO - COLÉGIO ESTADUAL EVERTON OLIVEIRA DE SANTANA - DISTRITO CHAPADA GRANDE</t>
  </si>
  <si>
    <t>DIST. DE CHAPADA GRANDE - S/N</t>
  </si>
  <si>
    <t>DIST. DE CHAPADA GRANDE</t>
  </si>
  <si>
    <t xml:space="preserve">Não possui salas de aula </t>
  </si>
  <si>
    <t>UEE ADMINISTRATIVA CEMIT</t>
  </si>
  <si>
    <t>ANEXO - CEMIT DO VELHO CHICO - COMUNIDADE DE LAPINHA</t>
  </si>
  <si>
    <t>ANEXO - CEMIT - VELHO CHICO - DISTRITO COMUNIDADE DO EXU - COMUNIDADE QUILOMBOLA</t>
  </si>
  <si>
    <t>COMUNIDADE DO EXU - SN(00002)</t>
  </si>
  <si>
    <t>85 KM</t>
  </si>
  <si>
    <t>BROTAS DE MACAUBAS</t>
  </si>
  <si>
    <t>NTE 06 - BAIXO SUL</t>
  </si>
  <si>
    <t>ESCOLA FAMILIA AGRICOLA REGIONAL - EFAR</t>
  </si>
  <si>
    <t>RUA SANTO AFONSO - 183</t>
  </si>
  <si>
    <t>-11.99520415973576, -42.630050204898026</t>
  </si>
  <si>
    <r>
      <rPr>
        <rFont val="Calibri"/>
        <color theme="1"/>
        <sz val="11.0"/>
      </rPr>
      <t>Demais laboratórios (</t>
    </r>
    <r>
      <rPr>
        <rFont val="Calibri"/>
        <b/>
        <color theme="1"/>
        <sz val="11.0"/>
      </rPr>
      <t>setores agropeguários</t>
    </r>
    <r>
      <rPr>
        <rFont val="Calibri"/>
        <color theme="1"/>
        <sz val="11.0"/>
      </rPr>
      <t xml:space="preserve">): A escola tem 07 setores de produção: Produção Agroecológica Integrado e Sustentavel – PAIS, viveiro de mudas, jardim, criação de animais, matrizeiro, medicinais e Sistema Agroflorestal – SAF e 01 de abastecimento hídrico que é o sistema de reuso de água </t>
    </r>
  </si>
  <si>
    <t>COLÉGIO ESTADUAL PAPA JOÃO PAULO I - TEMPO INTEGRAL</t>
  </si>
  <si>
    <t>RUA JONIVAL LUCAS - 160</t>
  </si>
  <si>
    <t>CJCC</t>
  </si>
  <si>
    <t>-12.003150271192812, -42.63243282334938</t>
  </si>
  <si>
    <t>Estruturas adaptadas: 1 Biblioteca</t>
  </si>
  <si>
    <t>COLÉGIO ESTADUAL DO CAMPO RITA DE OLIVEIRA BARAÚNA</t>
  </si>
  <si>
    <t>TRAVESSA RUA DA IGREJA S/N</t>
  </si>
  <si>
    <t>POVOADO DE COCAL</t>
  </si>
  <si>
    <t>CAP/ESPECIAL</t>
  </si>
  <si>
    <t>CAPE</t>
  </si>
  <si>
    <t>Estruturas adaptadas: 1 refeitório</t>
  </si>
  <si>
    <t>ANEXO - CEMIT - VELHO CHICO - POVOADO DE MATA DE BOM JESUS</t>
  </si>
  <si>
    <t>POV. DE MATA DE BOM JESUS - S/N</t>
  </si>
  <si>
    <t>CARINHANHA</t>
  </si>
  <si>
    <t>COLÉGIO ESTADUAL DE TEMPO INTEGRAL VELHO CHICO</t>
  </si>
  <si>
    <t>PRACA GETULIO VARGAS - SN(00471)</t>
  </si>
  <si>
    <t>-14.30462464759418, -43.76690518018709</t>
  </si>
  <si>
    <t>Estruturas adaptadas: Refeitório (48 lugares), 01 sala AEE.</t>
  </si>
  <si>
    <t>PRISIONAL</t>
  </si>
  <si>
    <t>ANEXO - COLÉGIO ESTADUAL DE TEMPO INTEGRAL VELHO CHICO- DISTRITO DE BARRA DO PARATECA - COMUNIDADE QUILOMBOLA</t>
  </si>
  <si>
    <t>BARRA DO PARATECA - S/N</t>
  </si>
  <si>
    <t>ANEXO - COLÉGIO ESTADUAL DE TEMPO INTEGRAL VELHO CHICO - AGROVILA 15</t>
  </si>
  <si>
    <t>AGROVILA 15 - S/N</t>
  </si>
  <si>
    <t>70KM</t>
  </si>
  <si>
    <r>
      <rPr>
        <rFont val="Calibri"/>
        <b/>
        <color theme="1"/>
        <sz val="11.0"/>
      </rPr>
      <t xml:space="preserve">09 salas, sendo: </t>
    </r>
    <r>
      <rPr>
        <rFont val="Calibri"/>
        <b/>
        <color rgb="FFFF0000"/>
        <sz val="11.0"/>
      </rPr>
      <t>07 utilizadas para aula e</t>
    </r>
    <r>
      <rPr>
        <rFont val="Calibri"/>
        <b/>
        <color theme="1"/>
        <sz val="11.0"/>
      </rPr>
      <t xml:space="preserve"> 02 adaptadas para laboratórios de 01 informática e 01 ciências.</t>
    </r>
  </si>
  <si>
    <t>ANEXO - CEMIT VELHO CHICO - VILA SÃO JOSÉ</t>
  </si>
  <si>
    <t>SAO JOSE - SN(00166)</t>
  </si>
  <si>
    <t>ANEXO - CEMIT VELHO CHICO - POVOADO SÃO JOSÉ</t>
  </si>
  <si>
    <t>BARRINHA - S/N</t>
  </si>
  <si>
    <t>ANEXO - CEMIT VELHO CHICO - AGUADA DO MEIO</t>
  </si>
  <si>
    <t>AGUADA DO MEIO - SN(00004)</t>
  </si>
  <si>
    <t>ZONA RURAL</t>
  </si>
  <si>
    <t>52KM</t>
  </si>
  <si>
    <t>ANEXO - CEMIT VELHO CHICO - AGROVILA 16</t>
  </si>
  <si>
    <t>AGROVILA XVI - SN(00086)</t>
  </si>
  <si>
    <t>ANEXO - CEMIT DO VELHO CHICO - POVOADO DE MARREQUEIRO</t>
  </si>
  <si>
    <t>SANTO ANTÔNIO - SN(01830)</t>
  </si>
  <si>
    <t>ANEXO - CEMIT - VELHO CHICO - DISTRITO DE CAPINÃO</t>
  </si>
  <si>
    <t>DISTRITO DE CAPINAO - SN(00006)</t>
  </si>
  <si>
    <t>ANEXO - CEMIT - VELHO CHICO - DISTRITO DE ANGICO</t>
  </si>
  <si>
    <t>DISTRITO DE ANGICO - S/N</t>
  </si>
  <si>
    <t>ANEXO - CEMIT - VELHO CHICO - AGROVILA 23</t>
  </si>
  <si>
    <t>AGROVILA 23 - S/N</t>
  </si>
  <si>
    <t>64KM</t>
  </si>
  <si>
    <t>FEIRA DA MATA</t>
  </si>
  <si>
    <t>COLÉGIO ESTADUAL FILOMENA PEREIRA RODRIGUES - TEMPO INTEGRAL</t>
  </si>
  <si>
    <t>RUA TANCREDO NEVES - S/N</t>
  </si>
  <si>
    <t>-14.206822920063898, -44.28077730059312</t>
  </si>
  <si>
    <t>ANEXO - COLÉGIO ESTADUAL FILOMENA PEREIRA RODRIGUES - DISTRITO DE RAMALHO</t>
  </si>
  <si>
    <t>DISTRITO DE RAMALHO - S/N</t>
  </si>
  <si>
    <t>DISTRITO DE RAMALHO</t>
  </si>
  <si>
    <t>-14.20681008714131, -44.2806117056368</t>
  </si>
  <si>
    <t>IBOTIRAMA</t>
  </si>
  <si>
    <t>COLÉGIO ESTADUAL INDIGENA MARECHAL RONDON - ASSENTAMENTO TERRA INDIGENA TUXA</t>
  </si>
  <si>
    <t>ASSENTAMENTO TERRA INDIGENA TUXA - SN(00009)</t>
  </si>
  <si>
    <t>ASSENTAMENTO TERRA INDIGENA TUXA</t>
  </si>
  <si>
    <t>-12.084199785534668, -43.25517379744271</t>
  </si>
  <si>
    <t>COLÉGIO ESTADUAL DE TEMPO INTEGRAL PROFESSORA ODONTINA LARANJEIRA DE SOUZA</t>
  </si>
  <si>
    <t>RUA 14 DE AGOSTO - S/N</t>
  </si>
  <si>
    <t>-12.180605267814505, -43.21085857601795</t>
  </si>
  <si>
    <t>NTE 07 - EXTREMO SUL</t>
  </si>
  <si>
    <t>CENTRO TERRITORIAL DE EDUCACAO PROFISSIONAL DO VELHO CHICO</t>
  </si>
  <si>
    <t>RUA EX- COMBATENTES - S/N</t>
  </si>
  <si>
    <t>-12.182940404548313, -43.21667517698352</t>
  </si>
  <si>
    <t>ANEXO - CEMIT - VELHO CHICO-BARRA - POVOADO DE BOA VISTA DO LAGAMAR</t>
  </si>
  <si>
    <t>POV. DE BOA VISTA DO LAGAMAR - S/N</t>
  </si>
  <si>
    <t>IGAPORA</t>
  </si>
  <si>
    <t>COLÉGIO ESTADUAL DE TEMPO INTEGRAL DE IGAPORA</t>
  </si>
  <si>
    <t>R. DANIEL SOARES BONFIM, 171, IGAPORÃ - BA, 46490-000</t>
  </si>
  <si>
    <t>ALTO DO CRUZEIRO</t>
  </si>
  <si>
    <t>-13.779677914900603, -42.71370771542494</t>
  </si>
  <si>
    <t>MALHADA</t>
  </si>
  <si>
    <t>COLÉGIO ESTADUAL DE TEMPO INTEGRAL DE MALHADA</t>
  </si>
  <si>
    <t>RUA LÍDIO PIRES , S/N</t>
  </si>
  <si>
    <t>-14.347208832597044, -43.77411554467496</t>
  </si>
  <si>
    <t>Demais laboratórios: 01 quimica/biologia, 01 fisica/matemática, 01 linguagens.</t>
  </si>
  <si>
    <t>ANEXO - COLÉGIO ESTADUAL DE TEMPO INTEGRAL DE MALHADA - DISTRITO DE CANA BRAVA</t>
  </si>
  <si>
    <t>DIST. DE CANA BRAVA - S/N</t>
  </si>
  <si>
    <t>DISTRITO DE CAVA BRAVA</t>
  </si>
  <si>
    <t>ANEXO - CEMIT VELHO CHICO - DISTRITO DE PARATECA - COMUNIDADE QUILOMBOLA</t>
  </si>
  <si>
    <t>DISTRITO DE PARATECA - S/N</t>
  </si>
  <si>
    <t>DISTRITO DE PARATECA</t>
  </si>
  <si>
    <t>MATINA</t>
  </si>
  <si>
    <t>COLÉGIO ESTADUAL DE TEMPO INTEGRAL GRANDES MESTRES BRASILEIROS</t>
  </si>
  <si>
    <t xml:space="preserve">R. HERICO DO PRADO FERNANDES, 350-384, MATINA - BA, 46480-000 PROX APRAÇA
</t>
  </si>
  <si>
    <t>-13.906624652666686, -42.83830776008264</t>
  </si>
  <si>
    <t>ASSENTAMENTO</t>
  </si>
  <si>
    <t>Anexo - Alunos serão matriculados</t>
  </si>
  <si>
    <t>MORPARA</t>
  </si>
  <si>
    <t>COLÉGIO ESTADUAL DE TEMPO INTEGRAL NEMÍSIA RIBEIRO DOS SANTOS</t>
  </si>
  <si>
    <t>PRAÇA DA BANDEIRA - SN(00093)</t>
  </si>
  <si>
    <t>-11.563948628398773, -43.27427466060324</t>
  </si>
  <si>
    <t>08 + 02 adapt.</t>
  </si>
  <si>
    <t>Estruturas adaptadas: 01 auditório, 01 refeitório.</t>
  </si>
  <si>
    <t>ANEXO - CEMIT - VELHO CHICO - POVOADO CAPIM DE RAIZ</t>
  </si>
  <si>
    <t>CAPIM DE RAIZ - SN(00002)</t>
  </si>
  <si>
    <t>46KM</t>
  </si>
  <si>
    <t>ANEXO - CEMIT - VELHO CHICO - DISTRITO DE MOCAMBO BRANCO</t>
  </si>
  <si>
    <t>MOCAMBO BRANCO - S/N</t>
  </si>
  <si>
    <t>MUQUEM DO SAO FRANCISCO</t>
  </si>
  <si>
    <t>COLÉGIO INDIGENA PAJE ROQUE MOISES DA SILVA</t>
  </si>
  <si>
    <t>ALDEIA RIACHO DA SERRA BRANCA - SN(00074)</t>
  </si>
  <si>
    <t>ALDEIA RIACHO DA SERRA BRANCA</t>
  </si>
  <si>
    <t>-12.343265728098588, -43.29253033674513</t>
  </si>
  <si>
    <t>COLÉGIO ESTADUAL SUZANA DE ARAÚJO BONFIM</t>
  </si>
  <si>
    <t>RUA FRANCISCO MENDES - S/N</t>
  </si>
  <si>
    <t xml:space="preserve"> -12.071832070798859, -43.55324748017808</t>
  </si>
  <si>
    <t>COLÉGIO ESTADUAL DO CAMPO SIDNEY MASCARENHAS - DISTRITO DE JAVI</t>
  </si>
  <si>
    <t>DISTRITO DE JAVI - S/N</t>
  </si>
  <si>
    <t>-12.199410503878878, -43.669691517414485</t>
  </si>
  <si>
    <t>ANEXO CEMIT - VELHO CHICO-BARRA - DISTRITO DE PASSAGEM</t>
  </si>
  <si>
    <t>DISTRITO PASSAGEM - S/N</t>
  </si>
  <si>
    <t>62KM</t>
  </si>
  <si>
    <t>ANEXO - COLÉGIO ESTADUAL SUZANA DE ARAÚJO BONFIM - FAZENDA GRANDE - COMUNIDADE QUILOMBOLA</t>
  </si>
  <si>
    <t>FAZENDA GRANDE - S/N</t>
  </si>
  <si>
    <t>ANEXO - COL. EST. SUZANA DE ARAÚJO BONFIM DISTRTO DE BOA VISTA DE PICHAIM - COMUNIDADE QUILOMBOLA</t>
  </si>
  <si>
    <t>POVOADO DE BOA VISTA DE PIXAIM N S/N Bairro: CENTRO CEP: 47115000</t>
  </si>
  <si>
    <t>ANEXO - CEMIT - VELHO CHICO-BARRA - POVOADO DE MANGAS</t>
  </si>
  <si>
    <t>MANGAS - S/N</t>
  </si>
  <si>
    <t>120KM</t>
  </si>
  <si>
    <t>OLIVEIRA DOS BREJINHOS</t>
  </si>
  <si>
    <t>COLÉGIO ESTADUAL DE TEMPO INTEGRAL TIRADENTES</t>
  </si>
  <si>
    <t>RUA DUQUE DE CAXIAS - SN(00001)</t>
  </si>
  <si>
    <t>-12.318742627755274, -42.88664913185671</t>
  </si>
  <si>
    <t>Demais laboratórios: 01 biologia/quimica, 01 fisica/matemática, 01 linguagens.</t>
  </si>
  <si>
    <t>ANEXO - COLÉGIO ESTADUAL DE TEMPO INTEGRAL TIRADENTES - POVOADO QUEIMADA NOVA</t>
  </si>
  <si>
    <t>POV. QUIMADA NOVA - S/N</t>
  </si>
  <si>
    <t>69KM</t>
  </si>
  <si>
    <t>NTE 08 - MÉDIO SUDOESTE DA BAHIA</t>
  </si>
  <si>
    <t>ANEXO - CEMIT - VELHO CHICO - VILA IPUCABA</t>
  </si>
  <si>
    <t>VILA IPUCABA - S/N</t>
  </si>
  <si>
    <t>ANEXO - CEMIT - VELHO CHICO - POVOADO DE BOM SOSSEGO</t>
  </si>
  <si>
    <t>POVOADO DE BOM SUSSECO, Nº SN</t>
  </si>
  <si>
    <t>35kM</t>
  </si>
  <si>
    <t>ANEXO - CEMIT - VELHO CHICO - DISTRITO DE CACHOEIRA DO BRUNDUE</t>
  </si>
  <si>
    <t>CACHOEIRA DO BRUNDUE - SN(00096)</t>
  </si>
  <si>
    <t>PARATINGA</t>
  </si>
  <si>
    <t>COLÉGIO ESTADUAL DE TEMPO INTEGRAL EVANDRO BRANDÃO</t>
  </si>
  <si>
    <t>AV. CRISTÓVÃO NOGUEIRA LEITE - ENTROCAMENTO, PARATINGA - BA, 47500-000</t>
  </si>
  <si>
    <t>ENTROCAMENTO</t>
  </si>
  <si>
    <t>-12.699208671397903, -43.18344898399928</t>
  </si>
  <si>
    <t>06 + 03 Adapt.</t>
  </si>
  <si>
    <t>Estruturas adaptadas: 01 sala de aula adaptada para biblioteca; 01 refeitório.</t>
  </si>
  <si>
    <t>AREFASF - ESCOLA FAMILIA AGRICOLA DO SERTAO DO SAO FRANCISCO</t>
  </si>
  <si>
    <t>NO ASSENTAMENTO LAGOA DOURADA, ZONA RURAL - S/N</t>
  </si>
  <si>
    <t>#N/A</t>
  </si>
  <si>
    <r>
      <rPr>
        <rFont val="Calibri"/>
        <b/>
        <color theme="1"/>
        <sz val="11.0"/>
      </rPr>
      <t xml:space="preserve">24 Salas,  </t>
    </r>
    <r>
      <rPr>
        <rFont val="Calibri"/>
        <b/>
        <color rgb="FFFF0000"/>
        <sz val="11.0"/>
      </rPr>
      <t>sendo 20 como salas de aula e</t>
    </r>
    <r>
      <rPr>
        <rFont val="Calibri"/>
        <b/>
        <color theme="1"/>
        <sz val="11.0"/>
      </rPr>
      <t xml:space="preserve"> 04 adaptadas: 01 para almoxarifado, 01 sala de artes, 01 sala de atendimento de psicologia e 01 sala de esportes.</t>
    </r>
  </si>
  <si>
    <t>ANEXO - COLÉGIO ESTADUAL DE TEMPO INTEGRAL EVANDRO BRANDAO - VOLTA DA SERRA</t>
  </si>
  <si>
    <t>RODOVIA BA 160, Nº S/N</t>
  </si>
  <si>
    <t>15KM</t>
  </si>
  <si>
    <t>ANEXO - COLÉGIO ESTADUAL DE TEMPO INTEGRAL EVANDRO BRANDAO - PATOS</t>
  </si>
  <si>
    <t>COMUNIDADE DE PATOS, Nº S/N</t>
  </si>
  <si>
    <t>ANEXO - COLÉGIO ESTADUAL DE TEMPO INTEGRAL EVANDRO BRANDAO - CANABRAVA</t>
  </si>
  <si>
    <t>COMUNIDADE DE CANABRAVA, Nº S/N</t>
  </si>
  <si>
    <t>6 + 2 (Adapt)</t>
  </si>
  <si>
    <t>ANEXO - COLÉGIO ESTADUAL DE TEMPO INTEGRAL EVANDRO BRANDAO - AGUAS TERMAIS DO PAULISTA</t>
  </si>
  <si>
    <t>POV AGUAS TERMAIS DO PAULISTA, Nº S/N</t>
  </si>
  <si>
    <t>28KM</t>
  </si>
  <si>
    <t>ANEXO - COLÉGIO ESTADUAL DE TEMPO INTEGRAL EVANDRO BRANDAO - AGRESTE</t>
  </si>
  <si>
    <t>COMUNIDADE AGRESTE, Nº S/N</t>
  </si>
  <si>
    <t>75KM</t>
  </si>
  <si>
    <t>RIACHO DE SANTANA</t>
  </si>
  <si>
    <t>ESCOLA TECNICA DA FAMÍLIA AGRÍCOLA DA BAHIA-ETFAB</t>
  </si>
  <si>
    <t>AV. DO AGRICULTOR - S N</t>
  </si>
  <si>
    <t>-13.604976350983751, -42.942375239708326</t>
  </si>
  <si>
    <t>ESCOLA FAMILIA AGRICOLA DE RIACHO DE SANTANA</t>
  </si>
  <si>
    <t>SITIO SÃO FELIX - SN(00014)</t>
  </si>
  <si>
    <t>SITIO SÃO FELIX</t>
  </si>
  <si>
    <t>-13.603000688032866, -42.94567827513456</t>
  </si>
  <si>
    <t xml:space="preserve">Demais laboratórios: 01 química/física/biologia, 01 topografia, 10 setores agropecuários.
</t>
  </si>
  <si>
    <t xml:space="preserve">COLÉGIO ESTADUAL DE TEMPO INTEGRAL SINESIO COSTA </t>
  </si>
  <si>
    <t>RUA MANOEL GUIMARAES PRATES - 422</t>
  </si>
  <si>
    <t>-13.615072549255101, -42.936383686754134</t>
  </si>
  <si>
    <t>Demais laboratórios: 01 Projeto PAIS</t>
  </si>
  <si>
    <t>ANEXO -CEMIT - VELHO CHICO - POVOADO DE GADO BRAVO</t>
  </si>
  <si>
    <t>POVOADO GADO BRAVO - S/N</t>
  </si>
  <si>
    <t xml:space="preserve">ANEXO - COLEGIO ESTADUAL SINESIO COSTA - POVOADO DE SANTA RITA
</t>
  </si>
  <si>
    <t>POVOADO DE SANTA RITA, Nº S/N</t>
  </si>
  <si>
    <t>NTE 09 - VALE DO JIQUIRIÇÁ</t>
  </si>
  <si>
    <r>
      <rPr>
        <rFont val="Calibri"/>
        <b/>
        <color rgb="FF000000"/>
        <sz val="11.0"/>
      </rPr>
      <t xml:space="preserve">12 salas, </t>
    </r>
    <r>
      <rPr>
        <rFont val="Calibri"/>
        <b/>
        <color rgb="FFFF0000"/>
        <sz val="11.0"/>
      </rPr>
      <t>sendo 09 salas de aula</t>
    </r>
    <r>
      <rPr>
        <rFont val="Calibri"/>
        <b/>
        <color rgb="FF000000"/>
        <sz val="11.0"/>
      </rPr>
      <t>, 02 para multifuncional, 01 para sala de oficinas, 01 para sala de professores.</t>
    </r>
  </si>
  <si>
    <t>ANEXO - CEMIT - VELHO CHICO - POVOADO VESPERINA</t>
  </si>
  <si>
    <t>POVOADO VESPERINA - S/N</t>
  </si>
  <si>
    <t>92KM</t>
  </si>
  <si>
    <t>ANEXO - CEMIT - VELHO CHICO - POVOADO DE LAGUNA</t>
  </si>
  <si>
    <t>POVOADO DE LAGUNA - SN(00010)</t>
  </si>
  <si>
    <t>ANEXO - CEMIT - VELHO CHICO - POVOADO DE CAMPINAS</t>
  </si>
  <si>
    <t>POVOADO DE CAMPINAS - SN(00010)</t>
  </si>
  <si>
    <t>SERRA DO RAMALHO</t>
  </si>
  <si>
    <t xml:space="preserve">COLÉGIO ESTADUAL DO CAMPO DE TEMPO INTEGRAL CLEONICE OLEGÁRIO DOS SANTOS - NA AGROVILA 02 
ATENDER DEMANDA DE ALUNOS DAS AGROVILAS 01, 03, 04 E CSB </t>
  </si>
  <si>
    <t>BA 161, AGROVILA 02, Nº S/N</t>
  </si>
  <si>
    <t>AGROVILA 2</t>
  </si>
  <si>
    <t>-13.276969704285644, -43.583094181533845</t>
  </si>
  <si>
    <t>COLÉGIO ESTADUAL ANISIO HONORATO GODOY - TEMPO INTEGRAL</t>
  </si>
  <si>
    <t>SUL - S/N</t>
  </si>
  <si>
    <t>-13.54157319863566, -43.58084211823296</t>
  </si>
  <si>
    <t>ANEXO - COLEGIO ESTADUAL DE TEMPO INTEGRAL CLEONICE OLEGARIO DOS SANTOS - AGROVILA 20</t>
  </si>
  <si>
    <t>AV. CENTRAL SUL , S/N - S/N</t>
  </si>
  <si>
    <t>ANEXO - COLEGIO ESTADUAL DE TEMPO INTEGRAL CLEONICE OLEGARIO DOS SANTOS - AGROVILA 18</t>
  </si>
  <si>
    <t>AGROVILA 18 - S/N</t>
  </si>
  <si>
    <t>ANEXO - COLEGIO ESTADUAL DE TEMPO INTEGRAL CLEONICE OLEGARIO DOS SANTOS - AGROVILA 01</t>
  </si>
  <si>
    <t>AGROVILA 01 - S/N</t>
  </si>
  <si>
    <t>AGROVILA 1</t>
  </si>
  <si>
    <t>ANEXO - COLÉGIO ESTADUAL ANISIO HONORATO GODOY - POVOADO BOA VISTA</t>
  </si>
  <si>
    <t>POV BOA VISTA - S/N</t>
  </si>
  <si>
    <t>ANEXO - COLÉGIO ESTADUAL ANISIO HONORATO GODOY - AGROVILA 17</t>
  </si>
  <si>
    <t>AGROVILA 17 - S/N</t>
  </si>
  <si>
    <t>21KM</t>
  </si>
  <si>
    <r>
      <rPr>
        <rFont val="Calibri"/>
        <b/>
        <color theme="1"/>
        <sz val="11.0"/>
      </rPr>
      <t xml:space="preserve">14 salas, </t>
    </r>
    <r>
      <rPr>
        <rFont val="Calibri"/>
        <b/>
        <color rgb="FFFF0000"/>
        <sz val="11.0"/>
      </rPr>
      <t>sendo 12 salas de aula e</t>
    </r>
    <r>
      <rPr>
        <rFont val="Calibri"/>
        <b/>
        <color theme="1"/>
        <sz val="11.0"/>
      </rPr>
      <t xml:space="preserve"> 02 adaptadas para sala de vídeo.</t>
    </r>
  </si>
  <si>
    <t>ANEXO - COLÉGIO ESTADUAL ANISIO HONORATO GODOY - AGROVILA 13</t>
  </si>
  <si>
    <t>AGROVILA 13 - S/N</t>
  </si>
  <si>
    <t>AGROVILA 13</t>
  </si>
  <si>
    <t>ANEXO - CEMIT DO VELHO CHICO - POVOADO DE JENIPAPO</t>
  </si>
  <si>
    <t>POVOADO DE JENIPAPO, Nº S/N</t>
  </si>
  <si>
    <t>ANEXO - CEMIT - VELHO CHICO - AGROVILA 21</t>
  </si>
  <si>
    <t>AV. CENTRAL SUL, S/N - S/N</t>
  </si>
  <si>
    <t>AGROVILA 3</t>
  </si>
  <si>
    <t>ANEXO - CEMIT - VELHO CHICO - AGROVILA 05</t>
  </si>
  <si>
    <t>14KM</t>
  </si>
  <si>
    <t>ANEXO - CEMIT - VELHO CHICO - AGROVILA 03</t>
  </si>
  <si>
    <t>SITIO DO MATO</t>
  </si>
  <si>
    <t>COLÉGIO ESTADUAL DO CAMPO DE TEMPO INTEGRAL THOMAZ LEITE - DIST. DE GAMELEIRA</t>
  </si>
  <si>
    <t>RUA 9 DE OUTUBRO - DISTRITO DE GAMELEIRA - S/N</t>
  </si>
  <si>
    <t>20KM</t>
  </si>
  <si>
    <t>-12.86437092287068, -43.38346665523749</t>
  </si>
  <si>
    <t>COLÉGIO ESTADUAL DE TEMPO INTEGRAL NOSSA SENHORA DO ROSÁRIO</t>
  </si>
  <si>
    <t>TRAVESSA SAO JOSE - S/N</t>
  </si>
  <si>
    <t>-13.080388994085528, -43.4674469770301</t>
  </si>
  <si>
    <t>ANEXO - COLÉGIO ESTADUAL NOSSA SENHORA DO ROSARIO - ASSENTAMENTO VALE VERDE</t>
  </si>
  <si>
    <t>VALE VERDE - S/N</t>
  </si>
  <si>
    <t>86KM</t>
  </si>
  <si>
    <t>ABAIRA</t>
  </si>
  <si>
    <t>COLÉGIO ESTADUAL DOUTOR FRANCISCO ROCHA FILHO - TEMPO INTEGRAL</t>
  </si>
  <si>
    <t>RUA DO COLEGIO - S/N</t>
  </si>
  <si>
    <t>-13.251674457124782, -41.66731966650746</t>
  </si>
  <si>
    <t>CEEP</t>
  </si>
  <si>
    <t xml:space="preserve">Estruturas adaptadas: 01 Biblioteca, 01 Auditório, 01
 Refeitório, 01 Sala de jogos 
</t>
  </si>
  <si>
    <t>ANEXO - COLÉGIO DOUTOR FRANCISCO ROCHA FILHO - DISTRITO DE OURO VERDE</t>
  </si>
  <si>
    <t>RUA DO COMERCIO S/N - S/N</t>
  </si>
  <si>
    <t xml:space="preserve"> DISTRITO DE OURO VERDE</t>
  </si>
  <si>
    <t>24KM</t>
  </si>
  <si>
    <t>ANEXO - COLÉGIO DOUTOR FRANCISCO ROCHA FILHO - DISTRITO DE CATOLÉS- QUILOMBOLA</t>
  </si>
  <si>
    <t>DISTRITO DE CATOLÉS- QUILOMBOLA</t>
  </si>
  <si>
    <t>35km</t>
  </si>
  <si>
    <t>ANDARAI</t>
  </si>
  <si>
    <t>COLÉGIO ESTADUAL PROFESSORA CARMENILZA DE ARAUJO LIMA DE MATOS - DISTRITO UBIRAITA</t>
  </si>
  <si>
    <t>UBIRAITÁ - SN(00009)</t>
  </si>
  <si>
    <t>DISTRITO UBIRAITA</t>
  </si>
  <si>
    <t>COLÉGIO ESTADUAL DE TEMPO INTEGRAL EDGAR SILVA 
(ANTIGO C.E EDGAR SILVA)</t>
  </si>
  <si>
    <t xml:space="preserve">RUA DO CAMPO. S/N / CENTRO
</t>
  </si>
  <si>
    <t>-12.798346060017758, -41.32445795528061</t>
  </si>
  <si>
    <t>BARRA DA ESTIVA</t>
  </si>
  <si>
    <t>NTE 10 - SERTÃO DO SÃO FRANCISCO</t>
  </si>
  <si>
    <t>COLÉGIO ESTADUAL DE TEMPO INTEGRAL PROFESSORA ANA LÚCIA AGUIAR VIANA
- (ANTIGO COLÉGIO ESTADUAL NERCY ANTONIO DUARTE)</t>
  </si>
  <si>
    <t>RUA FRANCISCO SANTANA SOBRINHO - S/N</t>
  </si>
  <si>
    <t>-13.623619220211342, -41.33545729160111</t>
  </si>
  <si>
    <t>ANEXO - CEMIT - CHAPADA DIAMANTINA - DISTRITO DE TRIUNFO DO SINCORA</t>
  </si>
  <si>
    <t>DIST. DE TRIUNFO DO SINCORA - S/N</t>
  </si>
  <si>
    <t>DISTRITO DE TRIUNFO DO SINCORA</t>
  </si>
  <si>
    <t>ANEXO - CEMIT - CHAPADA DIAMANTINA - DISTRITO DE ENTRONCAMENTO</t>
  </si>
  <si>
    <t>DIST. DE ENTRONCAMENTO - S/N</t>
  </si>
  <si>
    <t xml:space="preserve"> DISTRITO DE ENTRONCAMENTO</t>
  </si>
  <si>
    <t>BONINAL</t>
  </si>
  <si>
    <t>COLÉGIO ESTADUAL DE TEMPO INTEGRAL RUI BARBOSA 
(ANTIGO C.E RUI BARBOSA)</t>
  </si>
  <si>
    <t>AV. PROFESSOR ARMÊNIO SANT'ANNA PAIVA, Nº 650</t>
  </si>
  <si>
    <t>-12.715788616141847, -41.82741574384819</t>
  </si>
  <si>
    <t>ANEXO - COLÉGIO ESTADUAL DE TEMPO INTEGRAL RUI BARBOSA - POVOADO DE NOVA COLINA</t>
  </si>
  <si>
    <t>FAZENDA GUARIBAS, POVOADO DE NOVA COLINA, Nº S/N</t>
  </si>
  <si>
    <t>BONITO</t>
  </si>
  <si>
    <t>COLÉGIO ESTADUAL DE TEMPO INTEGRAL DE BONITO</t>
  </si>
  <si>
    <t>DO COMÉRCIO - 08</t>
  </si>
  <si>
    <t>-11.966449945050359, -41.26365076450267</t>
  </si>
  <si>
    <t>ANEXO - CEMIT CHAPADA DIAMANTINA- DISTRITO DE ARIZONA - COMUNIDADE QUILOMBOLA</t>
  </si>
  <si>
    <t>ARIZONA - SN(00006)</t>
  </si>
  <si>
    <t>06 + 06 (Adapt)</t>
  </si>
  <si>
    <t>ANEXO - CEMIT CHAPADA DIAMANTINA- DISTRITO CABECEIRA DO BREJO- COMUNDADE QUILOMBOLA</t>
  </si>
  <si>
    <t>CABECEIRA DO BREJO - SN(00019)</t>
  </si>
  <si>
    <t>DISTRITO CABECEIRA DO BREJO- COMUNDADE QUILOMBOLA</t>
  </si>
  <si>
    <t>12KM</t>
  </si>
  <si>
    <t>ANEXO - CEMIT CHAPADA DIAMANTINA - DISTRITO BOTAFOGO- COMUNIDADE QUILOMBOLA</t>
  </si>
  <si>
    <t>BOTAFOGO - SN(00007)</t>
  </si>
  <si>
    <t>DISTRITO BOTAFOGO- COMUNIDADE QUILOMBOLA</t>
  </si>
  <si>
    <t>IBICOARA</t>
  </si>
  <si>
    <t>COLÉGIO ESTADUAL DO CAMPO DE TEMPO INTEGRAL DE CASCAVEL - DISTRITO DE CASCAVEL</t>
  </si>
  <si>
    <t xml:space="preserve"> Rua Ibicoara, s/n, Bairro Renascer, Distrito de Cascavel</t>
  </si>
  <si>
    <t>CASCAVEL</t>
  </si>
  <si>
    <t>-13.28876376704036, -41.4046610190602</t>
  </si>
  <si>
    <t>COLÉGIO ESTADUAL DE TEMPO INTEGRAL DE IBICOARA</t>
  </si>
  <si>
    <t>Rua Rita Neto Santos, nº 101</t>
  </si>
  <si>
    <t>JOSÉ SANTOS</t>
  </si>
  <si>
    <t>-13.418066026301549, -41.28347289911348</t>
  </si>
  <si>
    <t>Demais laboratórios: 01 biologia/química, 01 física/matemática, 01 linguagens.</t>
  </si>
  <si>
    <t>IBITIARA</t>
  </si>
  <si>
    <t>COLEGIO ESTADUAL DO CAMPO DE LAGOA DO DIONISIO - DISTRITO LAGOA DO DIONISIO</t>
  </si>
  <si>
    <t>LAGOA DE DIONISIO - S/N</t>
  </si>
  <si>
    <t>23KM</t>
  </si>
  <si>
    <t>-12.461682457425134, -42.23122227452656</t>
  </si>
  <si>
    <t>COLÉGIO ESTADUAL DE TEMPO INTEGRAL EVILASIO SANTANA GAMA</t>
  </si>
  <si>
    <t>Rua Padre Aldo Coppola, s/n, Centro, município de Ibitiara,</t>
  </si>
  <si>
    <t>-12.634828986678885, -42.21695592531597</t>
  </si>
  <si>
    <t>ANEXO - COLÉGIO ESTADUAL EVILASIO SANTANA GAMA -DISTRITO DE MOCAMBO</t>
  </si>
  <si>
    <t>VILA DE MOCAMBO - POV DE MOCAMBO - S/N</t>
  </si>
  <si>
    <t>DISTRITO DE MOCAMBO</t>
  </si>
  <si>
    <t>ANEXO - COLÉGIO ESTADUAL DE TEMPO INTEGRAL EVILASIO SANTANA GAMA - DISTRITO DE BELA VISTA</t>
  </si>
  <si>
    <t>POVOADO DE BELA VISTA, Nº S/N</t>
  </si>
  <si>
    <t>IRAMAIA</t>
  </si>
  <si>
    <t>COLÉGIO ESTADUAL DE TEMPO INTEGRAL ANTÔNIO FERNANDO SOUZA RAMOS</t>
  </si>
  <si>
    <t>RUA DA PISTA S/N</t>
  </si>
  <si>
    <t xml:space="preserve"> -13.300205594094736, -40.95441470047493</t>
  </si>
  <si>
    <t>ANEXO - CEMIT - CHAPADA DIAMANTINA- DISTRITO DE ILHA GRANDE</t>
  </si>
  <si>
    <t>POVOADO DE ILHA GRANDE - S/N</t>
  </si>
  <si>
    <t>118KM</t>
  </si>
  <si>
    <t>ANEXO - CEMIT - CHAPADA DIAMANTINA - POVOADO DE CRUZLANDIA</t>
  </si>
  <si>
    <t>POVOADO DE CRUSLANDIA - S/N</t>
  </si>
  <si>
    <t>ANEXO - CEMIT - CHAPADA DIAMANTINA - DISTRITO OLHOS DAGUA DO CRUZEIRO</t>
  </si>
  <si>
    <t>RUA DO POSTO - DISTRITO DE OLHOS DAGUA DO CRUZEIRO - S/N</t>
  </si>
  <si>
    <t>NTE 11 - BACIA DO RIO GRANDE</t>
  </si>
  <si>
    <t>ANEXO - CEMIT - CHAPADA DIAMANTINA - DISTRITO NOVO ACRE</t>
  </si>
  <si>
    <t>PRACA DO COMERCIO, S/N DISTRITO DE NOVO ACRE - S/N</t>
  </si>
  <si>
    <t>ANEXO - CEMIT - CHAPADA DIAMANTINA - DISTRITO DE SINCORA DA SERRA</t>
  </si>
  <si>
    <t>POVOADA DE SINCORA DA SERRA - S/N</t>
  </si>
  <si>
    <t>90KM</t>
  </si>
  <si>
    <t>ANEXO - CEMIT - CHAPADA DIAMANTINA - DISTRITO BOM JESUS</t>
  </si>
  <si>
    <t>FAZENDA BOM JESUS - DISTRITO DE BOM JESUS - S/N</t>
  </si>
  <si>
    <t>55KM</t>
  </si>
  <si>
    <t>IRAQUARA</t>
  </si>
  <si>
    <t>COLÉGIO ESTADUAL DO CAMPO PROFESSORA MARIA MENEZES RIBEIRO</t>
  </si>
  <si>
    <t>IRAPORANGA - SN(00009)</t>
  </si>
  <si>
    <t>11KM</t>
  </si>
  <si>
    <t>-12.274188217893869, -41.50913657746941</t>
  </si>
  <si>
    <t>Estruturas adaptadas: 01 Administrativo, 01 biblioteca</t>
  </si>
  <si>
    <t>COLÉGIO ESTADUAL DE TEMPO INTEGRAL DE IRAQUARA 
(ANTIGO CENTRO EDUCACIONAL MANOEL TEIXEIRA LEITE)</t>
  </si>
  <si>
    <t>R. DA EMBASA - IRAQUARA, BA, 46980-000</t>
  </si>
  <si>
    <t>-12.250147526359827, -41.61407485993028</t>
  </si>
  <si>
    <t>Estruturas adaptadas: 01 Sala AEE
Demais laboratórios: 01 biologia/química, 01 física/matemática,01 linguagens, 01 estufa.</t>
  </si>
  <si>
    <t>ANEXO - CEMIT - CHAPADA DIAMANTINA - DISTRITO SANTA RITA</t>
  </si>
  <si>
    <t>SANTA RITA - SN(00047)</t>
  </si>
  <si>
    <t>DISTRITO DE SANTA RITA</t>
  </si>
  <si>
    <t>ITAETE</t>
  </si>
  <si>
    <t>COLÉGIO ESTADUAL DE TEMPO INTEGRAL JOSÉ AMÉRICO ARAÚJO</t>
  </si>
  <si>
    <t>AV.MAGALHAES NETO - SN(00071)</t>
  </si>
  <si>
    <t>-12.980488960455574, -40.965667715443296</t>
  </si>
  <si>
    <t>Salas multifuncionais: 01 sala de dança, 01 sala de podcast.</t>
  </si>
  <si>
    <t>ANEXO - COLÉGIO ESTADUAL JOSE AMERICO ARAUJO - DISTRITO DE RUMO</t>
  </si>
  <si>
    <t>DOUTOR INOCÊNCIO MONTEIRO DE SOUZA - SN(00005)</t>
  </si>
  <si>
    <t>DISTRITO DE RUMO</t>
  </si>
  <si>
    <t>39KM</t>
  </si>
  <si>
    <t>ANEXO - COLÉGIO ESTADUAL JOSE AMERICO ARAUJO - DISTRITO DE COLONIA</t>
  </si>
  <si>
    <t>COLONIA - SN(00046)</t>
  </si>
  <si>
    <t>DISTRITO DE COLONIA</t>
  </si>
  <si>
    <t>JUSSIAPE</t>
  </si>
  <si>
    <t>COLÉGIO ESTADUAL HORACIO DE MATOS</t>
  </si>
  <si>
    <t>AVENIDA SAO JOSE - 00320</t>
  </si>
  <si>
    <t>-13.505320054688957, -41.592306952520055</t>
  </si>
  <si>
    <t>COLEGIO ESTADUAL DO CAMPO RODOLFO DE ABREU</t>
  </si>
  <si>
    <t>RUA TIRADENTES, Nº S/N</t>
  </si>
  <si>
    <t>CARAGUATAÍ</t>
  </si>
  <si>
    <t>-13.39909478443792, -41.64276187657397</t>
  </si>
  <si>
    <t>LENCOIS</t>
  </si>
  <si>
    <t>CENTRO EDUCACIONAL RENATO PEREIRA VIANA</t>
  </si>
  <si>
    <t>RUA JOSÉ FLORÊNCIO - 036</t>
  </si>
  <si>
    <t>-12.563230525718952, -41.38811732181409</t>
  </si>
  <si>
    <t>Estruturas adaptadas: 01 blibioteca, 01 
auditório, 01 refeitório, 01 química/biologia
01 matemática/física, 01 sala de AEE</t>
  </si>
  <si>
    <t>ANEXO - CENTRO EDUCACIONAL RENATO PEREIRA VIANA - DISTRITO CORONEL OTAVIANO ALVES</t>
  </si>
  <si>
    <t>RUA PRACA DO ESTUDANTE N S/N Bairro: - CEP:</t>
  </si>
  <si>
    <t>DIST. CEL OTAVIANO A</t>
  </si>
  <si>
    <t>MARCIONILIO SOUZA</t>
  </si>
  <si>
    <t>COLÉGIO ESTADUAL DE TEMPO INTEGRAL EURIDICE SANTANA</t>
  </si>
  <si>
    <t>Rua Coronel Juca Medrado, s/n, bairro Centro</t>
  </si>
  <si>
    <t>-13.003374570749992, -40.530267211742235</t>
  </si>
  <si>
    <t>NTE 12 - BACIA DO PARAMIRIM</t>
  </si>
  <si>
    <t>Demais laboratórios: 01 Química/biologia, 01 Física/matemática , 01 Linguagens</t>
  </si>
  <si>
    <t>ANEXO - COLÉGIO ESTADUAL EURIDICE SANTANA - POVOADO MACHADO PORTELA</t>
  </si>
  <si>
    <t>OLEGÁRIO FERREIRA - S/N</t>
  </si>
  <si>
    <t>DISTRITO DE MACHADO PORTELLA</t>
  </si>
  <si>
    <t>MORRO DO CHAPEU</t>
  </si>
  <si>
    <t>COLÉGIO ESTADUAL DO CAMPO DE ICO</t>
  </si>
  <si>
    <t>POVOADO DE ICO - SN(00018)</t>
  </si>
  <si>
    <t>POVOADO DE ICO</t>
  </si>
  <si>
    <t>29KM</t>
  </si>
  <si>
    <t>-11.55076329353256, -41.154164007463706</t>
  </si>
  <si>
    <t>COLÉGIO ESTADUAL DE FEDEGOSOS - DISTRITO DE FEDEGOSO</t>
  </si>
  <si>
    <t>RUA VÁRZEA NOVA - SN(00013)</t>
  </si>
  <si>
    <t>FEDEGOSO</t>
  </si>
  <si>
    <t>-11.460993276827525, -40.8770735249777</t>
  </si>
  <si>
    <t>CENTRO TERRITORIAL DE EDUCAÇÃO PROFISSIONAL DA CHAPADA DIAMANTINA II</t>
  </si>
  <si>
    <t>PRAÇA FLAVIANO GUIMARÃES, 50 - MORRO DO CHAPÉU, BA, 44850-000</t>
  </si>
  <si>
    <t>PEDRA GRANDE</t>
  </si>
  <si>
    <t>-11.547651468819415, -41.15676597875719</t>
  </si>
  <si>
    <t>ANEXO- CEMIT - CHAPADA DIAMANTINA - DISTRITO DUAS BARRAS- QUILOMBOLA</t>
  </si>
  <si>
    <t>DUAS BARRAS - SN(00026)</t>
  </si>
  <si>
    <t>DISTRITO DUAS BARRAS</t>
  </si>
  <si>
    <t>ANEXO - CEMIT - CHAPADA DIAMANTINA - POVOADO DE UMBURANINHAS</t>
  </si>
  <si>
    <t>POVOADO DE UMBURANINHAS - S/N</t>
  </si>
  <si>
    <t>POVOADO DE UMBURANINHAS</t>
  </si>
  <si>
    <t>180KM</t>
  </si>
  <si>
    <t>MUCUGE</t>
  </si>
  <si>
    <t>COLÉGIO ESTADUAL DE TEMPO INTEGRAL DE MUCUGÊ - (ANTIGO CE HORACIO DE MATOS)</t>
  </si>
  <si>
    <t>RUA SANTA ISABEL - SN(00429)</t>
  </si>
  <si>
    <t>-13.006162775269472, -41.37593025553772</t>
  </si>
  <si>
    <t>Demais laboratórios: 01 Estufa de hidroponia, 01 Horta.</t>
  </si>
  <si>
    <t>ANEXO - COLÉGIO ESTADUAL DE TEMPO INTEGRAL DE MUCUGÊ - DISTRITO DE JOAO CORREIA</t>
  </si>
  <si>
    <t>DISTRITO DE JOAO CORREIA - S/N</t>
  </si>
  <si>
    <t>Estruturas adaptadas: 01 biblioteca.</t>
  </si>
  <si>
    <t>ANEXO - COLÉGIO ESTADUAL DE TEMPO INTEGRAL DE MUCUGÊ - DISTRITO DE GUINE</t>
  </si>
  <si>
    <t>DISTRITO DE QUINE - S/N</t>
  </si>
  <si>
    <t>NOVA REDENCAO</t>
  </si>
  <si>
    <t>COLÉGIO ESTADUAL DE TEMPO INTEGRAL EDILSON JOAQUIM DOS SANTOS</t>
  </si>
  <si>
    <t>AVENIDA DR.GERALDO SINAÍ - SN(00002)</t>
  </si>
  <si>
    <t>-12.809685918020463, -41.07108920024078</t>
  </si>
  <si>
    <t>Estruturas adaptadas: 01 biblioteca, 01 informática</t>
  </si>
  <si>
    <t>NOVO HORIZONTE</t>
  </si>
  <si>
    <t>COLÉGIO ESTADUAL CASTRO ALVES</t>
  </si>
  <si>
    <t>AV.PROFª VERA LUCIA DOS SANTOS PRADO - 267</t>
  </si>
  <si>
    <t>-12.806951145462207, -42.170754673278545</t>
  </si>
  <si>
    <t>ANEXO - COLÉGIO ESTADUAL CASTRO ALVES- DISTRITO BREJO LUIZA DE BRITO</t>
  </si>
  <si>
    <t>AV 7 DE SETEMBRO S/N DISTRITO BREJO LUIZA DE BRITO - SN(00033)</t>
  </si>
  <si>
    <t>ANEXO - COLÉGIO ESTADUAL CASTRO ALVES - DISTRITO OLHOS DAGUA DO SERAFIM</t>
  </si>
  <si>
    <t>RUA DO COLEGIO S/N - S/N</t>
  </si>
  <si>
    <t>ANEXO - CEMIT - CHAPADA DIAMANTINA - POVOADO DE TAPERA</t>
  </si>
  <si>
    <t>VERA LUCIA DOS SANTOS - 267</t>
  </si>
  <si>
    <t>ANEXO - CEMIT - CHAPADA DIAMANTINA - POVOADO DAS MERCES</t>
  </si>
  <si>
    <t>PALMEIRAS</t>
  </si>
  <si>
    <r>
      <rPr>
        <rFont val="Calibri"/>
        <color theme="1"/>
        <sz val="10.0"/>
      </rPr>
      <t xml:space="preserve">COLÉGIO ESTADUAL DE TEMPO INTEGRAL DE PALMEIRAS
</t>
    </r>
    <r>
      <rPr>
        <rFont val="Calibri"/>
        <b/>
        <color theme="1"/>
        <sz val="10.0"/>
      </rPr>
      <t>(ANTIGO:PROFESSORA NILDE MARIA MONTEIRO XAVIER)</t>
    </r>
  </si>
  <si>
    <t>15 DE JANEIRO - 232</t>
  </si>
  <si>
    <t xml:space="preserve"> -12.514112242817422 -41.591175411524624</t>
  </si>
  <si>
    <t>ANEXO - COLÉGIO PROFESSORA NILDE MARIA MONTEIRO XAVIER - DISTRITO DE CAETEACU</t>
  </si>
  <si>
    <t>RUA 15 DE JANEIRO - S/N</t>
  </si>
  <si>
    <t>PIATA</t>
  </si>
  <si>
    <t>NTE 13 - SERTÃO PRODUTIVO</t>
  </si>
  <si>
    <t>COLÉGIO ESTADUAL DO CAMPO DE INÚBIA - DISTRITO DE INUBIA</t>
  </si>
  <si>
    <t>INUBIA - SN(00008)</t>
  </si>
  <si>
    <t>DISTRITO DE INUBIA</t>
  </si>
  <si>
    <t>-13.104641855519153, -42.0108613600894</t>
  </si>
  <si>
    <t>Estruturas adaptadas: 01 sala de leitura</t>
  </si>
  <si>
    <t>COLÉGIO ESTADUAL DO CAMPO DE CABRALIA - DISTRITO DE CABRALIA</t>
  </si>
  <si>
    <t>RUA AUGUSTO ROCHA - S/N</t>
  </si>
  <si>
    <t>DISTRITO DE CABRALIA</t>
  </si>
  <si>
    <t>-13.152513584605476, -41.7695847931401</t>
  </si>
  <si>
    <t>COLÉGIO ESTADUAL DE TEMPO INTEGRAL DE PIATÃ (ANTIGO COLÉGIO ESTADUAL CORONEL HORACIO DE MATOS)</t>
  </si>
  <si>
    <t>PRAÇA DO ROSÁRIO - S/N</t>
  </si>
  <si>
    <t>-13.155872099368768, -41.77422801128378</t>
  </si>
  <si>
    <t>4 + 1 (Adapt)</t>
  </si>
  <si>
    <t>Estruturas adaptadas: laboratório: 01 matemática/ciências da natureza.
Demais laboratórios: 01 estufa.</t>
  </si>
  <si>
    <t>RIO DE CONTAS</t>
  </si>
  <si>
    <t>COLÉGIO ESTADUAL DO CAMPO MARCOLINO MOURA</t>
  </si>
  <si>
    <t>RUA ANTONIO CARLOS MAGALHAES - 267</t>
  </si>
  <si>
    <t>MARCOLINO MOURA</t>
  </si>
  <si>
    <t>33KM</t>
  </si>
  <si>
    <t>-13.600285749987568, -41.687461699173845</t>
  </si>
  <si>
    <t>Estruturas adaptadas: 01 biblioteca, 01 sala para fanfarra
Demais laboratórios: 01 Horta</t>
  </si>
  <si>
    <t>COLÉGIO ESTADUAL CARLOS SOUTO - TEMPO INTEGRAL</t>
  </si>
  <si>
    <t>AV.PROFESSOR FRANCISCO JOSE SANTANA - S/N</t>
  </si>
  <si>
    <t>-13.590069040893766, -41.81625154306232</t>
  </si>
  <si>
    <t>Demais laboratórios: 01 Horta</t>
  </si>
  <si>
    <t>ANEXO - COLÉGIO ESTADUAL CARLOS SOUTO - DISTRITO ARAPIRANGA</t>
  </si>
  <si>
    <t>RUA JOSE EVARISTO - 74</t>
  </si>
  <si>
    <t>DISTRITO DE ARAPIRANGA</t>
  </si>
  <si>
    <t>ANEXO - CEMIT - CHAPADA DIAMANTINA -DISTRITO JOAO VAZ</t>
  </si>
  <si>
    <t>JOAO VAZ - SN(00046)</t>
  </si>
  <si>
    <t>DISTRITO DE JOAO VAZ</t>
  </si>
  <si>
    <t>49KM</t>
  </si>
  <si>
    <t>ANEXO - CEMIT - CHAPADA DIAMANTINA - DISTRITO DE MATO GROSSO</t>
  </si>
  <si>
    <t>DIST. DE MATO GROSSO - S/N</t>
  </si>
  <si>
    <t>DISTRITO DE MATOS</t>
  </si>
  <si>
    <t>SEABRA</t>
  </si>
  <si>
    <t>ESCOLA FAMILIA AGRICOLA DO TERRITORIO DA CHAPADA</t>
  </si>
  <si>
    <t>ESTRADA LAGOA DA BOA VISTA, POVOADO DA PRATA - SN(00002)</t>
  </si>
  <si>
    <t>5KM</t>
  </si>
  <si>
    <t>-12.393945759264373, -41.7558983337613</t>
  </si>
  <si>
    <t>CPM</t>
  </si>
  <si>
    <t>Demais laboratórios: 01 analise de solo.</t>
  </si>
  <si>
    <t>COLÉGIO ESTADUAL DO CAMPO FILINTO JUSTINIANO BASTOS</t>
  </si>
  <si>
    <t>POVOADO DE ANGICAL, Nº S/N</t>
  </si>
  <si>
    <t>-12.41732166078322, -41.769652712470275</t>
  </si>
  <si>
    <t>Estruturas adaptadas: 01 refeitório; Setores agropecuátios: 01 aprisco, 01 pocilga, 01 aviário</t>
  </si>
  <si>
    <t>CENTRO REGIONAL DE ENSINO MÉDIO COM INTERMEDIAÇÃO TECNOLÓGICA-CEMIT DA CHAPADA DIAMANTINA</t>
  </si>
  <si>
    <t xml:space="preserve">RUA PIO XII N 190 </t>
  </si>
  <si>
    <t xml:space="preserve">CEDIDO </t>
  </si>
  <si>
    <t>-12.418393413661743, -41.76234989308325</t>
  </si>
  <si>
    <t>CENTRO ESTADUAL DE EDUCAÇÃO PROFISSIONAL DE SEABRA</t>
  </si>
  <si>
    <t>AVENIDA FRANKLIN DE QUEIROZ - 0595</t>
  </si>
  <si>
    <t>-12.414361292156142, -41.770668609412596</t>
  </si>
  <si>
    <t>NTE 14 - PIEMONTE DO PARAGUAÇU</t>
  </si>
  <si>
    <t>Demais laboratórios: 01 matemática/física, 01 biologia/química.</t>
  </si>
  <si>
    <t>CENTRO DE APOIO PEDAGÓGICO ESPECIALIZADO DA CHAPADA DIAMANTINA</t>
  </si>
  <si>
    <t>AVENIDA FRANKLIN DE QUEIROZ, Nº 565</t>
  </si>
  <si>
    <t>-12.417711871024846, -41.76246191448778</t>
  </si>
  <si>
    <t>Estruturas adaptadas: 01 biblioteca, 01 refeitório, 01 administrativo.</t>
  </si>
  <si>
    <t>ANEXO - COLEGIO ESTADUAL DO CAMPO FILINTO JUSTINIANO BASTOS- DISTRITO DE LAGOA DA BOA VISTA</t>
  </si>
  <si>
    <t>DISTRITO DE LAGOA DE BOA VISTA - S/N</t>
  </si>
  <si>
    <t>DISTRITO DE LAGOA DA BOA VISTA</t>
  </si>
  <si>
    <t>ANEXO - COLEGIO ESTADUAL DO CAMPO FILINTO JUSTINIANO BASTOS - POVOADO VÃO DAS PALMEIRAS</t>
  </si>
  <si>
    <t>POVOADO VÃO DAS PALMEIRAS</t>
  </si>
  <si>
    <t>ANEXO - COLEGIO ESTADUAL DO CAMPO FILINTO JUSTINIANO BASTOS - POVOADO DE PALMEIRAS DOS MENDES</t>
  </si>
  <si>
    <t>POVOADO DE PALMEIRAS DOS MENDES - S/N</t>
  </si>
  <si>
    <t xml:space="preserve">30KM </t>
  </si>
  <si>
    <t>ANEXO - COLEGIO ESTADUAL DO CAMPO FILINTO JUSTINIANO BASTOS - POVOADO DE ANGICO</t>
  </si>
  <si>
    <t>POVOADO DE ANGICO - S/N</t>
  </si>
  <si>
    <t>SOUTO SOARES</t>
  </si>
  <si>
    <t>COLÉGIO ESTADUAL DO CAMPO DE TEMPO INTEGRAL PROFESSOR ADEMAR SOUZA OLIVEIRA</t>
  </si>
  <si>
    <t>RUA OLÍCIO MIRANDA</t>
  </si>
  <si>
    <t>DISTRITO DE CISTERNA</t>
  </si>
  <si>
    <t>-11.934514731295023, -41.84831962625059</t>
  </si>
  <si>
    <t xml:space="preserve">Sala multifuncional: 01 Sala de música, 01 Sala de jogos </t>
  </si>
  <si>
    <t>COLÉGIO ESTADUAL DE TEMPO INTEGRAL DE SOUTO SOARES</t>
  </si>
  <si>
    <t>RUA IDALINA PINTO - S/N</t>
  </si>
  <si>
    <t>-12.09938743387864, -41.637712371007474</t>
  </si>
  <si>
    <t xml:space="preserve">Demais laboratórios: 01 Física/Química, 01 Linguagem 
01 Matemática
Sala multifuncional: 01 Sala de dança, 01 de música </t>
  </si>
  <si>
    <t>UTINGA</t>
  </si>
  <si>
    <t>COLÉGIO ESTADUAL PROFESSORA ZENAIDE ALVES BARRETO</t>
  </si>
  <si>
    <t>AVENIDA JORGE AMADO - SN(00034)</t>
  </si>
  <si>
    <t>-12.08585680534928, -41.10288215855043</t>
  </si>
  <si>
    <t>ANEXO - CEMIT - CHAPADA DIAMANTINA - POVOADO DE LAGOA BONITA</t>
  </si>
  <si>
    <t>AVENIDA JORGE ARMANDO - S/N</t>
  </si>
  <si>
    <t>POVOADO DE LAGOA BONITA</t>
  </si>
  <si>
    <t>ANEXO - CEMIT - CHAPADA DIAMANTINA - POVOADO CABECEIRA DO RIO</t>
  </si>
  <si>
    <t>AVENIDA JORGE AMADO, S/N - S/N</t>
  </si>
  <si>
    <t>POVOADO CABECEIRA DO RIO</t>
  </si>
  <si>
    <t>WAGNER</t>
  </si>
  <si>
    <t>CENTRO TERRITORIAL DE EDUCAÇÃO PROFISSIONAL DA CHAPADA DIAMANTINA - TEMPO INTEGRAL</t>
  </si>
  <si>
    <t>-12.28812266794375, -41.16051626548602</t>
  </si>
  <si>
    <t>ARACI</t>
  </si>
  <si>
    <t>CENTRO TERRITORIAL DE EDUCAÇÃO PROFISSIONAL DE ARACI</t>
  </si>
  <si>
    <t>ROD. DOS MINÉRIOS, 2192, ARACI - BA, 48760-000
R. LUDOVINO RENATO DE CARVALHO, 82, ARACI - BA, 48760-000</t>
  </si>
  <si>
    <t>-11.342690721539968, -38.96089250175932</t>
  </si>
  <si>
    <t xml:space="preserve">Demais laboratórios: 01 Programação, 01 Manutenção, 01 Analises clinicas, 01 Segurança do trabalho , 01 Escritório criativo ,01 Ciências da natureza,01 Robótica.
</t>
  </si>
  <si>
    <t>ANEXO - CEMIT SISAL - DISTRITO DE BARREIRA</t>
  </si>
  <si>
    <t>RUA DOM PEDRO II - SN(00001)</t>
  </si>
  <si>
    <t>DISTRITO DE BARREIRA</t>
  </si>
  <si>
    <t>36KM</t>
  </si>
  <si>
    <t>ALUGADO (6.749,88)</t>
  </si>
  <si>
    <t xml:space="preserve">ANEXO - CEMIT SISAL - DIST. DE PEDRA ALTA </t>
  </si>
  <si>
    <t xml:space="preserve">DIST. DE PEDRA ALTA </t>
  </si>
  <si>
    <t>ALUGADO</t>
  </si>
  <si>
    <t>ANEXO - CEMIT - SISAL - POVOADO SEM FREIO</t>
  </si>
  <si>
    <t>POVOADO SEM FREIO - SN(00002)</t>
  </si>
  <si>
    <t>POVOADO SEM FREIO</t>
  </si>
  <si>
    <t>ANEXO - CEMIT - SISAL - POVOADO DE BARBOSA</t>
  </si>
  <si>
    <t>POVOADO BARBOSA - SN(00047)</t>
  </si>
  <si>
    <t>POVOADO BARBOSA</t>
  </si>
  <si>
    <t>ANEXO - CEMIT - SISAL - DISTRITO RIBEIRA</t>
  </si>
  <si>
    <t>RIBEIRA - SN(00014)</t>
  </si>
  <si>
    <t>ANEXO - CEMIT - SISAL - DISTRITO DE VARZEA DA PEDRA</t>
  </si>
  <si>
    <t>JOSE ELESBÃO - SN(00009)</t>
  </si>
  <si>
    <t>DISTRITO DE VARZEA DA PEDRA</t>
  </si>
  <si>
    <t>NTE 15 - BACIA DO JACUÍPE</t>
  </si>
  <si>
    <t>ANEXO - CEMIT - SISAL - DISTRITO DE TAPUIO</t>
  </si>
  <si>
    <t>DIST. DE TAPUIO - S/N</t>
  </si>
  <si>
    <t>DISTRITO DE TAPUIO</t>
  </si>
  <si>
    <t>ANEXO - CEMIT - SISAL - DISTRITO DE JOÃO VIEIRA</t>
  </si>
  <si>
    <t>DISTRITO DE JOAO VIEIRA - S/N</t>
  </si>
  <si>
    <t>DISTRITO DE JOÃO VIEIRA</t>
  </si>
  <si>
    <t>BARROCAS</t>
  </si>
  <si>
    <t>COLÉGIO ESTADUAL DE BARROCAS</t>
  </si>
  <si>
    <t>RUA D CONDOMINIO ALTO DO IPE - SN(00019)</t>
  </si>
  <si>
    <t>-11.533877134015427, -39.08482860315746</t>
  </si>
  <si>
    <t>BIRITINGA</t>
  </si>
  <si>
    <t>COLÉGIO ESTADUAL DE TEMPO INTEGRAL DE BIRITINGA</t>
  </si>
  <si>
    <t>RUA ELADIO GOMES - 390</t>
  </si>
  <si>
    <t>-11.61743520956891, -38.8072521306844</t>
  </si>
  <si>
    <t>CANDEAL</t>
  </si>
  <si>
    <t>COLÉGIO ESTADUAL JOSE RUFINO</t>
  </si>
  <si>
    <t>RUA CORONEL JOAO PAULO - SN(00065)</t>
  </si>
  <si>
    <t>-11.811175504315841, -39.11769262596182</t>
  </si>
  <si>
    <t>Demais laboratórios: 01 Horta.</t>
  </si>
  <si>
    <t>CANSANCAO</t>
  </si>
  <si>
    <t>COLÉGIO ESTADUAL OSMILTON BATISTA SOUZA</t>
  </si>
  <si>
    <t>AVENIDA CEZARIO PEREIRA - 155</t>
  </si>
  <si>
    <t>ALUGADO (141.263,04)</t>
  </si>
  <si>
    <t>-10.671453495121964, -39.4939619631988</t>
  </si>
  <si>
    <t>COLÉGIO ESTADUAL DO CAMPO CAMINHO DO SABER - POVOADO DE BELA VISTA</t>
  </si>
  <si>
    <t>POV. BELA VISTA - SN(00584)</t>
  </si>
  <si>
    <t>POV DE BELA VISTA</t>
  </si>
  <si>
    <t>-10.613515307697059, -39.73485761154986</t>
  </si>
  <si>
    <t>COLEGIO ESTADUAL DE TEMPO INTEGRAL SENHOR DO BONFIM</t>
  </si>
  <si>
    <t>AVENIDA JOÃO DURVAL CARNEIRO - SN(00113)</t>
  </si>
  <si>
    <t>-10.670096719078195, -39.50485087615404</t>
  </si>
  <si>
    <t xml:space="preserve">ANEXO AO COLEGIO ESTADUAL DE TEMPO INTEGRAL SENHOR DO BONFIM SEDE
</t>
  </si>
  <si>
    <t>AVENIDA CEZARIO PEREIRA, Nº 155</t>
  </si>
  <si>
    <t>CONCEICAO DO COITE</t>
  </si>
  <si>
    <t>COLÉGIO POLIVALENTE DE CONCEIÇÃO DO COITE</t>
  </si>
  <si>
    <t>RUA BAILON LOPES CARNEIRO - S/N</t>
  </si>
  <si>
    <t>-11.571333237881849, -39.2805412915497</t>
  </si>
  <si>
    <t>Estruturas adaptadas: 01 laboratório de informática e 01 sala de artes adaptados para sala de aula.</t>
  </si>
  <si>
    <t>COLÉGIO ESTADUAL JOSE FERREIRA DE OLIVEIRA - DISTRITO DE SALGADALIA</t>
  </si>
  <si>
    <t>RUA FELIPE DOS SANTOS-DIST.DE SALGADOLIA - S/N</t>
  </si>
  <si>
    <t>-11.45308166911318, -39.190542919910804</t>
  </si>
  <si>
    <t>COLÉGIO ESTADUAL DO CAMPO RIO BRANCO</t>
  </si>
  <si>
    <t>BARÃO DO RIO BRANCO - SN(00004)</t>
  </si>
  <si>
    <t>-11.666595013659142, -39.27507691556606</t>
  </si>
  <si>
    <t>COLÉGIO ESTADUAL DO CAMPO HAMILTON RIOS DE ARAÚJO - POVOADO DE SÃO JOÃO</t>
  </si>
  <si>
    <t>RUA ALMIR NEY DE ARAUJO, - S/N</t>
  </si>
  <si>
    <t>-11.548820040775572, -39.39229429758836</t>
  </si>
  <si>
    <t>COLÉGIO ESTADUAL DO CAMPO DUQUE DE CAXIAS</t>
  </si>
  <si>
    <t>RUA ARMANDO RAMOS - S/N</t>
  </si>
  <si>
    <t>-11.671034930832663, -39.20135156318652</t>
  </si>
  <si>
    <t>Estruturas adaptadas: 01 biblioteca, 01 refeitório.</t>
  </si>
  <si>
    <t>COLÉGIO ESTADUAL DO CAMPO DE BANDIAÇÚ</t>
  </si>
  <si>
    <t>POVOADO DE BANDEAÇU - SN(00489)</t>
  </si>
  <si>
    <t>POVOADO DE BANDIAÇU</t>
  </si>
  <si>
    <t>-11.595556698058436, -39.17253518631207</t>
  </si>
  <si>
    <t>Estruturas adaptadas: 01 sala de AEE, 01 sala multimídia, 01 refeitório.</t>
  </si>
  <si>
    <t>COLÉGIO ESTADUAL DO AÇUDINHO</t>
  </si>
  <si>
    <t>AVENIDA GETULIO VARGAS - SN(00424)</t>
  </si>
  <si>
    <t>AÇUDINHO</t>
  </si>
  <si>
    <t>-11.557521402754912, -39.2888439971647</t>
  </si>
  <si>
    <t>COLÉGIO ESTADUAL DE TEMPO INTEGRAL PAPA JOÃO PAULO I</t>
  </si>
  <si>
    <t>Estruturas adaptadas: 01 refeitório (no pátio).</t>
  </si>
  <si>
    <t>CENTRO ESTADUAL DE EDUCAÇÃO PROFISSIONAL PROFESSORA OLGARINA PITANGUEIRA PINHEIRO</t>
  </si>
  <si>
    <r>
      <rPr>
        <rFont val="Calibri"/>
        <b/>
        <color theme="1"/>
        <sz val="11.0"/>
      </rPr>
      <t xml:space="preserve">11 salas, </t>
    </r>
    <r>
      <rPr>
        <rFont val="Calibri"/>
        <b/>
        <color rgb="FFFF0000"/>
        <sz val="11.0"/>
      </rPr>
      <t>sendo 06 salas de aula</t>
    </r>
    <r>
      <rPr>
        <rFont val="Calibri"/>
        <b/>
        <color theme="1"/>
        <sz val="11.0"/>
      </rPr>
      <t xml:space="preserve">, 01 para secretaria e arquivo, 01 coordenação, 01 sala de vídeo e biblioteca, 01 sala de professores, 01 sala eletiva. </t>
    </r>
  </si>
  <si>
    <t>RUA MAXIMINO MADUREIRA - 291</t>
  </si>
  <si>
    <t>-11.568831183058073, -39.288369276208115</t>
  </si>
  <si>
    <t>ICHU</t>
  </si>
  <si>
    <t>COLÉGIO ESTADUAL DE TEMPO INTEGRAL ARISTIDES  CEDRAZ DE OLIVEIRA</t>
  </si>
  <si>
    <t>JOSE ANDRE DE ALMEIDA - 31</t>
  </si>
  <si>
    <t>-11.752279235340536, -39.18418941190264</t>
  </si>
  <si>
    <t>NTE 16 - PIEMONTE DE DIAMANTINA II</t>
  </si>
  <si>
    <t>Estruturas adaptadas: 01 sala de linguagens, 01 biblioteca.</t>
  </si>
  <si>
    <t>ITIUBA</t>
  </si>
  <si>
    <t>ESCOLA FAMILIA AGRICOLA DE ITIUBA</t>
  </si>
  <si>
    <t>FAZENDA PERIMETRO IRRIGADO DE JACURICI, - SN(00007)</t>
  </si>
  <si>
    <t>FAZENDA PERIMETRO IRRIGADO DE JACURICI,</t>
  </si>
  <si>
    <t>-10.661795674606891, -39.72575987638659</t>
  </si>
  <si>
    <t xml:space="preserve">COLÉGIO ESTADUAL EM TEMPO INTEGRAL ARY SILVA  </t>
  </si>
  <si>
    <t>AV. VER. OSVALDO CAMPOS - S/N</t>
  </si>
  <si>
    <t>-10.68717683101137, -39.86283919735793</t>
  </si>
  <si>
    <t>COLÉGIO ESTADUAL DO CAMPO DE TEMPO INTEGRAL JOÃO FRANCISCO DA SILVA - DISTRITO DE ROMULO CAMPOS</t>
  </si>
  <si>
    <t>AVENIDA SAO PEDRO - 900</t>
  </si>
  <si>
    <t>16 KM</t>
  </si>
  <si>
    <t>-10.666846877589213, -39.751536711702244</t>
  </si>
  <si>
    <t>ANEXO COLÉGIO ESTADUAL ARY SILVA - POVOADO DE CACIMBAS</t>
  </si>
  <si>
    <t>POVOADO DE CACIMBAS - S/N</t>
  </si>
  <si>
    <t>ANEXO - COLÉGIO ESTADUAL ARY SILVA - DISTRITO DE PICOS</t>
  </si>
  <si>
    <t>DISTRITO DE PICOS - S/N</t>
  </si>
  <si>
    <t>DISTRITO DE PICOS</t>
  </si>
  <si>
    <t>ANEXO - COLÉGIO ESTADUAL ARY SILVA - DISTRITO DE PIAUS</t>
  </si>
  <si>
    <t>DISTRITO DE PIAUS - S/N</t>
  </si>
  <si>
    <t>DISTRITO DE PIAUS</t>
  </si>
  <si>
    <r>
      <rPr>
        <rFont val="Calibri"/>
        <b/>
        <color theme="1"/>
        <sz val="11.0"/>
      </rPr>
      <t>10 salas de aulas:</t>
    </r>
    <r>
      <rPr>
        <rFont val="Calibri"/>
        <b/>
        <color rgb="FFFF0000"/>
        <sz val="11.0"/>
      </rPr>
      <t xml:space="preserve"> sendo 09 utilizadas para aula e</t>
    </r>
    <r>
      <rPr>
        <rFont val="Calibri"/>
        <b/>
        <color theme="1"/>
        <sz val="11.0"/>
      </rPr>
      <t xml:space="preserve"> 01 adaptada para sala de AEE e coordenação. </t>
    </r>
  </si>
  <si>
    <t>ANEXO - COLÉGIO ESTADUAL ARY SILVA - DISTRITO DE PEDRA SOLTA</t>
  </si>
  <si>
    <t>DISTRITO DE PEDRA SOLTA - SN(00008)</t>
  </si>
  <si>
    <t>DISTRITO DE PEDRA SOLTA</t>
  </si>
  <si>
    <t>ANEXO - COLÉGIO ESTADUAL ARY SILVA - DISTRITO DE JACURICI DA LESTE</t>
  </si>
  <si>
    <t>DISTRITO DE JUCURICI - S/N</t>
  </si>
  <si>
    <t>DISTRITO DE JUCURICI</t>
  </si>
  <si>
    <t>ANEXO - COLÉGIO ESTADUAL ARY SILVA - DISTRITO DE BELA VISTA DE COVAS</t>
  </si>
  <si>
    <t>DISTRITO DE BELA VISTA DE COVAS - SN(00008)</t>
  </si>
  <si>
    <t>DISTRITO DE BELA VISTA DE COVAS</t>
  </si>
  <si>
    <t>ANEXO - COLÉGIO ESTADUAL ARY SILVA - - DISTRITO DE ALTO DE SÃO GONCALO</t>
  </si>
  <si>
    <t>DISTRITO DE SAO GONCALO - SN(00004)</t>
  </si>
  <si>
    <t>DISTRITO DE ALTO DE SAO GONCALO</t>
  </si>
  <si>
    <t>ANEXO - CEMIT - SISAL - POVOADO DE TAQUARI</t>
  </si>
  <si>
    <t>POVOADO DE TAQUARI - SN(00049)</t>
  </si>
  <si>
    <t>POVOADO DE TAQUARI</t>
  </si>
  <si>
    <t>LAMARAO</t>
  </si>
  <si>
    <t>COLÉGIO ESTADUAL DOUTOR JAIRO AZZI - EM TEMPO INTEGRAL</t>
  </si>
  <si>
    <t>RUA DO CAMPO - SN(00089)</t>
  </si>
  <si>
    <t>-11.761620473772322, -38.96500383848008</t>
  </si>
  <si>
    <t>COLEGIO ESTADUAL DO CAMPO SACO DO CORREIO</t>
  </si>
  <si>
    <t>SACO DO CORREIO - SN(00017)</t>
  </si>
  <si>
    <t>-11.794428531942344, -38.887454398735805</t>
  </si>
  <si>
    <t>Estruturas adaptadas: 01 refeitório
Salas multifuncionais: 01 TaeKwondo; 01 Matemática; 01 L. Portuguesa;01 Autoconhecimento e bem-estar; 01 Informática e mídias digitais.</t>
  </si>
  <si>
    <t>MONTE SANTO</t>
  </si>
  <si>
    <t>ESCOLA FAMÍLIA AGRÍCOLA DO SERTÃO - EFASE</t>
  </si>
  <si>
    <t>FAZ LAGOA DO PIMENTEL - S/N</t>
  </si>
  <si>
    <t>-10.41955556740819, -39.43038905916648</t>
  </si>
  <si>
    <t>COLÉGIO ESTADUAL DO CAMPO DE PEDRA VERMELHA - POVOADO DE PEDRA VERMELHA</t>
  </si>
  <si>
    <t>BA 120, POVOADO DE PEDRA VERMELHA, CEP: 48800970</t>
  </si>
  <si>
    <t>POVOADO DE PEDRA VERMELHA</t>
  </si>
  <si>
    <t>-10.358257623826306, -39.49986100319633</t>
  </si>
  <si>
    <t>Demais laboratórios: 01 Química.</t>
  </si>
  <si>
    <t>COLEGIO ESTADUAL DE TEMPO INTEGRAL SANTA CRUZ</t>
  </si>
  <si>
    <t>LUIS EDUARDO MAGALHAES - 500</t>
  </si>
  <si>
    <t>-10.439295665302652, -39.32393406130183</t>
  </si>
  <si>
    <t>Estruturas adaptadas: Laboratório: 01 Ciências, 01 Exatas, 01 Informática; Salas multifuncionais: 01 Sala de AEE ,01 Sala de música ,01 Sala de jogos , 01 Sala de apoio.</t>
  </si>
  <si>
    <t xml:space="preserve">ANEXO - EFASE - COLÉGIO ESTADUAL DO CAMPO DE PEDRA VERMELHA - FAZENDA LAGOA DO PIMENTEL
</t>
  </si>
  <si>
    <t>NORDESTINA</t>
  </si>
  <si>
    <t>COLÉGIO ESTADUAL DE TEMPO INTEGRAL MANOEL GUIMARÃES SANTANA</t>
  </si>
  <si>
    <t>AVENIDA LUIS EDUARDO MAGALHAES - 999</t>
  </si>
  <si>
    <t>NTE 17 - SEMIÁRIDO NORDESTE II</t>
  </si>
  <si>
    <t>-10.824857079194356, -39.43365334378679</t>
  </si>
  <si>
    <t>Demais laboratórios: 01 biologia, 01 química, 01 física, 01 matemática.</t>
  </si>
  <si>
    <t>QUEIMADAS</t>
  </si>
  <si>
    <t>CENTRO TERRITORIAL DE EDUCAÇÃO PROFISSIONAL DE TEMPO INTEGRAL SANTO ANTÔNIO DAS QUEIMADAS</t>
  </si>
  <si>
    <t>KM 90 BR 120 - 30</t>
  </si>
  <si>
    <t>-10.98333914298891, -39.62048125295184</t>
  </si>
  <si>
    <t>ANEXO - CENTRO TERRITORIAL DE EDUCAÇÃO PROFISSIONAL DE TEMPO INTEGRAL SANTO ANTÔNIO DAS QUEIMADAS - POVOADO DE LAGOINHAS</t>
  </si>
  <si>
    <t>LARGO HILDEBRANDO SOARES COSTA - S/N</t>
  </si>
  <si>
    <t>ANEXO - CENTRO TERRITORIAL DE EDUCAÇÃO PROFISSIONAL DE TEMPO INTEGRAL SANTO ANTÔNIO DAS QUEIMADAS - ESPANTA GADO</t>
  </si>
  <si>
    <t>LARGO HILDEBRANDO SOARES COSTA; CENTRO - S/N</t>
  </si>
  <si>
    <t>ANEXO - CENTRO TERRITORIAL DE EDUCAÇÃO PROFISSIONAL DE TEMPO INTEGRAL SANTO ANTÔNIO DAS QUEIMADAS - DISTRITO CORONEL JOAO BORGES - RIACHO DA ONCA</t>
  </si>
  <si>
    <t>QUIJINGUE</t>
  </si>
  <si>
    <t>COLÉGIO ESTADUAL DO CAMPO DE TEMPO INTEGRAL SÃO
SEBASTIÃO - DISTRITO DE ALGODÕES</t>
  </si>
  <si>
    <t>Rua Castro Alves - n300</t>
  </si>
  <si>
    <t>DISTRITO DE ALGODÕES</t>
  </si>
  <si>
    <t>-10.683430642174319, -39.04930063583353</t>
  </si>
  <si>
    <t>COLÉGIO ESTADUAL DE TEMPO INTEGRAL PADRE FRANCISCO GONCALVES DE SOUZA
(ANTIGO CE LEM)</t>
  </si>
  <si>
    <t>JOAQUIM PEREIRA DE OLIVEIRA - SN(00029)</t>
  </si>
  <si>
    <t>-10.753969916023463, -39.214213425867584</t>
  </si>
  <si>
    <t>ANEXO - COLÉGIO ESTADUAL SÃO SEBASTIÃO - DISTRITO DE MACETE</t>
  </si>
  <si>
    <t>POVOADO MACETE - S/N</t>
  </si>
  <si>
    <t>DISTRITO DE MACETE</t>
  </si>
  <si>
    <t>ANEXO - CEMIT - SISAL - DISTRITO DE LAGOA DO JUNCO</t>
  </si>
  <si>
    <t>LAGOA DO JUNCO - SN(00081)</t>
  </si>
  <si>
    <t>RETIROLANDIA</t>
  </si>
  <si>
    <t>COLÉGIO ESTADUAL DE TEMPO INTEGRAL OLAVO ALVES PINTO</t>
  </si>
  <si>
    <t>RUA MARGARIDA FERREIRA, RETIROLÂNDIA - BA, 48750-000</t>
  </si>
  <si>
    <t>-11.48986343346967, -39.42189161276639</t>
  </si>
  <si>
    <t>SANTALUZ</t>
  </si>
  <si>
    <t>COLÉGIO ESTADUAL DO CAMPO DE TEMPO INTEGRAL NECY NOVAES -  NO DISTRITO PEREIRA
  (UNIFICAÇÃO COM O ANEXO DO DIST. PEREIRA)</t>
  </si>
  <si>
    <t>RUA NECY NOVAIS - 143</t>
  </si>
  <si>
    <t>DISTRITO DE PEREIRA</t>
  </si>
  <si>
    <t>-11.31797030181835, -39.856190467049295</t>
  </si>
  <si>
    <t>COLÉGIO ESTADUAL DE TEMPO INTEGRAL JOSÉ LEITÃO</t>
  </si>
  <si>
    <t>RUA D PEDRO II, SN - 40</t>
  </si>
  <si>
    <t>-11.26110395352977, -39.37510385625251</t>
  </si>
  <si>
    <t>CENTRO ESTADUAL DE EDUCACAO PROFISSIONAL DO CAMPO PAULO FREIRE</t>
  </si>
  <si>
    <t>NOVA - 120</t>
  </si>
  <si>
    <t>-11.247807741817605, -39.38321107932559</t>
  </si>
  <si>
    <t>ANEXO - CEMIT - SISAL - POVOADO SISALANDIA</t>
  </si>
  <si>
    <t>POVOADO SISALANDIA - SN(00030)</t>
  </si>
  <si>
    <t>SAO DOMINGOS</t>
  </si>
  <si>
    <t>CENTRO ESTADUAL DE EDUCAÇÃO PROFISSIONAL DO SEMI ARIDO</t>
  </si>
  <si>
    <t>RUA VANILDA ARAUJO LIMA SILVA - S/N</t>
  </si>
  <si>
    <t>-11.457353090531376, -39.52514859949043</t>
  </si>
  <si>
    <t>SERRINHA</t>
  </si>
  <si>
    <t>COLÉGIO ESTADUAL RUBEM NOGUEIRA - TEMPO INTEGRAL</t>
  </si>
  <si>
    <t>ASTROGILDA GUIMARÃES - 135</t>
  </si>
  <si>
    <t>GINASIO</t>
  </si>
  <si>
    <t>-11.664362148392069, -39.00328645961371</t>
  </si>
  <si>
    <t>COLEGIO ESTADUAL DO CAMPO DE SANTANA - POVOADO DE CAJUEIRO</t>
  </si>
  <si>
    <t>POVOADO DO CAJUEIRO - S/N</t>
  </si>
  <si>
    <t>-11.604299207138235, -39.01837536775661</t>
  </si>
  <si>
    <t>COLEGIO ESTADUAL DO CAMPO ALUIZIO CARNEIRO DA SILVA - DISTRITO DE BELA VISTA</t>
  </si>
  <si>
    <t>POVOADO DE BELA VISTA - SN(00228)</t>
  </si>
  <si>
    <t>-11.699340961005356, -39.09429583334429</t>
  </si>
  <si>
    <t>NTE 18 - LITORAL NORTE AGRESTE BAIANO</t>
  </si>
  <si>
    <t>Estruturas adaptadas: 01 sala de leitura, 01 sala de vídeo.</t>
  </si>
  <si>
    <t>COLÉGIO ESTADUAL DE TEMPO INTEGRAL DE SERRINHA</t>
  </si>
  <si>
    <t>RUA ÁLVARO AUGUSTO</t>
  </si>
  <si>
    <t>Demais laboratórios: 01 informática, 01 química/biologia, 01 física/matemática, 01 linguagem.</t>
  </si>
  <si>
    <t>CENTRO TERRITORIAL DE EDUCACAO PROFISSIONAL DO SISAL</t>
  </si>
  <si>
    <t>AVENIDA CIDADE DE ARACI - 0028</t>
  </si>
  <si>
    <t>CIDADE NOVA</t>
  </si>
  <si>
    <t>-11.684328728569266, -38.9968528804841</t>
  </si>
  <si>
    <t>Estruturas adaptadas: 01 sala de professores e 01 sala de coordenação pedagógica
Demais laboratórios: 01 Agroecologia e Meio Ambiente, 01 Análises Clínicas, 01 Manutenção em informática , 01 Anatomia e Fisiologia Humana , 01 Edificações ,01 Gestão e Negócios.
Salas multifuncionais: 01 jogos/esportes, 01 música, 01 multimídia, 01 dança.</t>
  </si>
  <si>
    <t>CENTRO REGIONAL DE ENSINO MEDIO COM INTERMEDIACAO TECNOLOGICA - CEMIT SISAL</t>
  </si>
  <si>
    <t>PRACA ASTROGILDA GUIMARAES N 135 Bairro: DO GINASIO CEP: 48700000</t>
  </si>
  <si>
    <t>DO GINASIO</t>
  </si>
  <si>
    <t>INDIGENA</t>
  </si>
  <si>
    <t>CENTRO JUVENIL DE CIENCIA E CULTURA - CJCC SERRINHA</t>
  </si>
  <si>
    <t>RUA MACHADO DE ASSIS N 152 CEP: 48700000</t>
  </si>
  <si>
    <t>-11.666446503520511, -39.00298124434883</t>
  </si>
  <si>
    <t>Estruturas adaptadas: 01 biblioteca; Laboratórios: 01 informática, 01 ciências.</t>
  </si>
  <si>
    <t>ANEXO - COLÉGIO ESTADUAL RUBEM NOGUEIRA - PRESÍDIO - DISTRITO CARNAUBAS</t>
  </si>
  <si>
    <t>BR116, KM 407 - CARNAUBAS - SN(00009)</t>
  </si>
  <si>
    <t>6KM</t>
  </si>
  <si>
    <t>ANEXO - COLÉGIO ESTADUAL ALUIZIO CARNEIRO DA SILVA - POVOADO DE SUBAÉ</t>
  </si>
  <si>
    <t>SUBAE - SN(00021)</t>
  </si>
  <si>
    <t>ANEXO - CEMIT - SISAL - POVOADO DE VERTENTE</t>
  </si>
  <si>
    <t>VERTENTE - SN(00022)</t>
  </si>
  <si>
    <r>
      <rPr>
        <rFont val="Calibri"/>
        <b/>
        <color theme="1"/>
        <sz val="11.0"/>
      </rPr>
      <t xml:space="preserve">15, </t>
    </r>
    <r>
      <rPr>
        <rFont val="Calibri"/>
        <b/>
        <color rgb="FFFF0000"/>
        <sz val="11.0"/>
      </rPr>
      <t>sendo 13 utilizadas para aula</t>
    </r>
    <r>
      <rPr>
        <rFont val="Calibri"/>
        <b/>
        <color theme="1"/>
        <sz val="11.0"/>
      </rPr>
      <t>, 01 adaptada para laboratório e 01 adaptada para multiuso.</t>
    </r>
  </si>
  <si>
    <t>ANEXO - CEMIT - SISAL - DISTRITO DE RECANTO</t>
  </si>
  <si>
    <t>RUA ANDRE NEGREIROS FALCAO - S/N</t>
  </si>
  <si>
    <t>TEOFILANDIA</t>
  </si>
  <si>
    <t>COLÉGIO ESTADUAL DE TEMPO INTEGRAL DE TEOFILÂNDIA</t>
  </si>
  <si>
    <t>Rua Queimadas, Vila da MFB, nº 01</t>
  </si>
  <si>
    <t>-13.270058380939656, -39.66249021593443</t>
  </si>
  <si>
    <t>Demais laboratórios: 01 biologia/química, 01 física/matemática, estufa ,01 linguagens.</t>
  </si>
  <si>
    <t>ANEXO - CEMIT - SISAL - POVOADO SETOR DE SAO FRANCISCO</t>
  </si>
  <si>
    <t>POVOADO SETOR DE SAO FRANCISCO - SN(00007)</t>
  </si>
  <si>
    <t xml:space="preserve"> POVOADO SETOR DE SAO FRANCISCO</t>
  </si>
  <si>
    <t>TUCANO</t>
  </si>
  <si>
    <t>COLÉGIO ESTADUAL ROMULO GALVÃO - DISTRITO CALDAS DO JORRO</t>
  </si>
  <si>
    <t>CALDAS DO JORRO - 471</t>
  </si>
  <si>
    <t>CALDAS DO JORRO</t>
  </si>
  <si>
    <t>10KM</t>
  </si>
  <si>
    <t>-11.032019589622239, -38.79673020800046</t>
  </si>
  <si>
    <t>12 + 01 adapt</t>
  </si>
  <si>
    <t xml:space="preserve">COLÉGIO ESTADUAL DE TEMPO INTEGRAL DE TUCANO
 (ANTIGO C.E LUIS EDUARDO MAGALHÃES) </t>
  </si>
  <si>
    <t>RODOVIA BR 116 NORTE, NAS MARGENS DA RUA DO MATADOURO VELHO, S/Nº</t>
  </si>
  <si>
    <t xml:space="preserve">ESPECIAL </t>
  </si>
  <si>
    <t>-10.969026908786132, -38.789062273905905</t>
  </si>
  <si>
    <t>VALENTE</t>
  </si>
  <si>
    <t>ESCOLA FAMILIA AGRICOLA AVANI DE LIMA CUNHA - EFA VALENTE</t>
  </si>
  <si>
    <t>FAZENDA MADEIRA - S/N</t>
  </si>
  <si>
    <t>-11.383002130009974, -39.44502147619955</t>
  </si>
  <si>
    <t>COLÉGIO ESTADUAL DO CAMPO LUCIBERTO OLIVEIRA DOS SANTOS</t>
  </si>
  <si>
    <t>TRAVESSA DANIEL MARTINS - S/N</t>
  </si>
  <si>
    <t>-11.357188214095434, -39.58347467642415</t>
  </si>
  <si>
    <t>NTE 19 - PORTAL DO SERTÃO</t>
  </si>
  <si>
    <r>
      <rPr>
        <rFont val="Calibri"/>
        <b/>
        <color theme="1"/>
        <sz val="11.0"/>
      </rPr>
      <t>Estrutura:</t>
    </r>
    <r>
      <rPr>
        <rFont val="Calibri"/>
        <color theme="1"/>
        <sz val="11.0"/>
      </rPr>
      <t xml:space="preserve"> 08 salas. Sendo que é de uso compartilhado com o município que utiliza 04 salas para aula e as outras 04 salas são da UEE.
</t>
    </r>
    <r>
      <rPr>
        <rFont val="Calibri"/>
        <b/>
        <color theme="1"/>
        <sz val="11.0"/>
      </rPr>
      <t>Estruturas adaptadas:</t>
    </r>
    <r>
      <rPr>
        <rFont val="Calibri"/>
        <color theme="1"/>
        <sz val="11.0"/>
      </rPr>
      <t xml:space="preserve"> 01 refeitório adaptado no pátio.</t>
    </r>
  </si>
  <si>
    <t>COLÉGIO ESTADUAL DE VALENTE</t>
  </si>
  <si>
    <t>ANTONIO EDIL LOPES - 289</t>
  </si>
  <si>
    <t>-11.413236412697184, -39.45620886567383</t>
  </si>
  <si>
    <t>Estruturas adaptadas: 01 sala de aula para 01 biblioteca; 01 refeitório adaptado no pátio.</t>
  </si>
  <si>
    <t>COLÉGIO ESTADUAL DE TEMPO INTEGRAL WILSON LINS</t>
  </si>
  <si>
    <t>PRAÇA NEMESIO MARTINS DA SILVA - 476</t>
  </si>
  <si>
    <t>-11.409593680278979, -39.46139648548304</t>
  </si>
  <si>
    <t>Estruturas adaptadas: 01 laboratório de matemática, 01 sala de AEE e 01 sala multimídia.</t>
  </si>
  <si>
    <t>ANEXO - CEMIT - SISAL - DISTRITO DE VALILANDIA</t>
  </si>
  <si>
    <t>DA VITÓRIA - S/N</t>
  </si>
  <si>
    <t>16KM</t>
  </si>
  <si>
    <t>ALMADINA</t>
  </si>
  <si>
    <t>COLÉGIO ESTADUAL SENADOR LUIZ VIANA FILHO - TEMPO INTEGRAL</t>
  </si>
  <si>
    <t>RUA FERNANDO BARROS - 21</t>
  </si>
  <si>
    <t>-14.69864059026616, -39.634625985337195</t>
  </si>
  <si>
    <t>ARATACA</t>
  </si>
  <si>
    <t>COLÉGIO ESTADUAL BRAULIO XAVIER - TEMPO INTEGRAL</t>
  </si>
  <si>
    <t>RUA HEITOR DIAS - 75</t>
  </si>
  <si>
    <t>-15.260476539448705, -39.41332023867216</t>
  </si>
  <si>
    <t>CENTRO ESTADUAL DE EDUCAÇÃO PROFISSIONAL DA FLORESTA DO CACAU E DO CHOCOLATE MILTON - TEMPO INTEGRAL</t>
  </si>
  <si>
    <t>ASSENTAMENTO TERRA VISTA - SN(00079)</t>
  </si>
  <si>
    <t>-15.251100719514792, -39.446213339374395</t>
  </si>
  <si>
    <t>AURELINO LEAL</t>
  </si>
  <si>
    <r>
      <rPr>
        <rFont val="Calibri"/>
        <color theme="1"/>
        <sz val="11.0"/>
      </rPr>
      <t xml:space="preserve">COLÉGIO ESTADUAL DE TEMPO INTEGRAL PROFESSORA JADIÊ ROCHA 
</t>
    </r>
    <r>
      <rPr>
        <rFont val="Calibri"/>
        <b/>
        <color theme="1"/>
        <sz val="11.0"/>
      </rPr>
      <t>( ANTIGO PROFESSORA MARIA OLIMPIA )</t>
    </r>
  </si>
  <si>
    <t>PRESIDENTE MÉDICI - S.N</t>
  </si>
  <si>
    <t>-14.318007098174073, -39.3239865694208</t>
  </si>
  <si>
    <t>ANEXO - CEMIT- LITORAL SUL - DISTRITO DE POCO CENTRAL</t>
  </si>
  <si>
    <t>DISTRITO DE POCO CENTRAL - S/N</t>
  </si>
  <si>
    <t>DISTRITO</t>
  </si>
  <si>
    <t>BARRO PRETO</t>
  </si>
  <si>
    <t>COLÉGIO ESTADUAL LOMANTO JUNIOR</t>
  </si>
  <si>
    <t>RUI BARBOSA - 68</t>
  </si>
  <si>
    <t>-14.809585585649115, -39.47724572015717</t>
  </si>
  <si>
    <t>BUERAREMA</t>
  </si>
  <si>
    <t>COLÉGIO ESTADUAL INDÍGENA TUPINAMBÁ DE TEMPO INTEGRAL SERRA DO PADEIRO</t>
  </si>
  <si>
    <t>POSTO INDIGENA TUPINAMBA - S/N</t>
  </si>
  <si>
    <t>ALDEIA TUPINAMBA SERRA DO PADEIRO</t>
  </si>
  <si>
    <t>-15.067093673144944, -39.2562315860252</t>
  </si>
  <si>
    <t>COLÉGIO ESTADUAL ENEDINA OLIVA - TEMPO INTEGRAL</t>
  </si>
  <si>
    <t>AV PAULO PORTELA - S/N</t>
  </si>
  <si>
    <t>-14.954923007707475, -39.302591833193155</t>
  </si>
  <si>
    <t>CAMACAN</t>
  </si>
  <si>
    <t>COLÉGIO ESTADUAL DE TEMPO INTEGRAL DE CAMACAN 
(ANTIGO POLIVALENTE)</t>
  </si>
  <si>
    <t>RUA ALTO DA BOA VISTA - SN(00034)</t>
  </si>
  <si>
    <t>-15.422147153975205, -39.49593239165121</t>
  </si>
  <si>
    <t>Estruturas adaptadas: 01 sala AEE , 01 biblioteca ,01 sala de video e refeitório adaptado no pátio.</t>
  </si>
  <si>
    <t>COLÉGIO ESTADUAL ANISIO LOUREIRO - DISTRITO DE SÃO JOÃO DO PANELINHA</t>
  </si>
  <si>
    <t>TRAVESSA JOSÉ PAJEU - SN(00081)</t>
  </si>
  <si>
    <t>DISTRITO DE SÃO JOÃO DO PANELINHA</t>
  </si>
  <si>
    <t>7KM</t>
  </si>
  <si>
    <t>-15.373241756319851, -39.49398785492064</t>
  </si>
  <si>
    <t>CANAVIEIRAS</t>
  </si>
  <si>
    <t>COLEGIO ESTADUAL DE TEMPO INTEGRAL DE CANAVIEIRAS</t>
  </si>
  <si>
    <t>RUA AGUSTO SEVERO - 1020</t>
  </si>
  <si>
    <t xml:space="preserve">ESPECIAL
</t>
  </si>
  <si>
    <t>-15.67438838912312, -38.949457456012475</t>
  </si>
  <si>
    <t>NTE 20 - SUDOESTE BAIANO</t>
  </si>
  <si>
    <t>ANEXO - CEMIT LITORAL SUL - POVOADO DE ERA NOVA</t>
  </si>
  <si>
    <t>POVOADO DE ERA NOVA N S/N Bairro: - CEP:</t>
  </si>
  <si>
    <r>
      <rPr>
        <rFont val="Calibri"/>
        <b/>
        <color theme="1"/>
        <sz val="11.0"/>
      </rPr>
      <t xml:space="preserve">04 salas, </t>
    </r>
    <r>
      <rPr>
        <rFont val="Calibri"/>
        <b/>
        <color rgb="FFFF0000"/>
        <sz val="11.0"/>
      </rPr>
      <t>sendo 03 usadas para aula</t>
    </r>
    <r>
      <rPr>
        <rFont val="Calibri"/>
        <b/>
        <color theme="1"/>
        <sz val="11.0"/>
      </rPr>
      <t xml:space="preserve"> e 01 adaptada para sala de leitura/multimídia.           </t>
    </r>
  </si>
  <si>
    <t>ANEXO - CEMIT LITORAL SUL - DISTRITO DE POXIM</t>
  </si>
  <si>
    <t>DISTRITO DE POXIM</t>
  </si>
  <si>
    <t>ANEXO - CEMIT LITORAL SUL - DISTRITO DE PIMENTEIRA</t>
  </si>
  <si>
    <t>DISTRITO DE PIMENTEIRA N S/N Bairro: - CEP:</t>
  </si>
  <si>
    <t>COARACI</t>
  </si>
  <si>
    <r>
      <rPr>
        <rFont val="Calibri"/>
        <b/>
        <color theme="1"/>
        <sz val="11.0"/>
      </rPr>
      <t xml:space="preserve">04 salas, </t>
    </r>
    <r>
      <rPr>
        <rFont val="Calibri"/>
        <b/>
        <color rgb="FFFF0000"/>
        <sz val="11.0"/>
      </rPr>
      <t>sendo 03 usadas para aula e</t>
    </r>
    <r>
      <rPr>
        <rFont val="Calibri"/>
        <b/>
        <color theme="1"/>
        <sz val="11.0"/>
      </rPr>
      <t xml:space="preserve"> 01 adaptada para sala de leitura/laboratório de informática.         </t>
    </r>
  </si>
  <si>
    <t>COLÉGIO ESTADUAL DE TEMPO INTEGRAL ALMAKAZIR GALLY GALVAO</t>
  </si>
  <si>
    <t>JUVÊNCIO PERI LIMA - S/N</t>
  </si>
  <si>
    <t>-14.639880887728715, -39.55509202404434</t>
  </si>
  <si>
    <t>ANEXO DO COLÉGIO ESTADUAL DE TEMPO INTEGRAL ALMAKAZIR GALLY GALVAO - DISTRITO DE ITAMOTINGA</t>
  </si>
  <si>
    <t>DISTRITO DE ITAMOTINGA - S/N</t>
  </si>
  <si>
    <t>FLORESTA AZUL</t>
  </si>
  <si>
    <t>COLÉGIO ESTADUAL DE TEMPO INTEGRAL FRED GEDEON</t>
  </si>
  <si>
    <t>R. DO MATADOURO, 309-229</t>
  </si>
  <si>
    <t>-14.86025832213142, -39.65856663813861</t>
  </si>
  <si>
    <t>Estruturas adaptadas: Para sala de aula: 01 antiga sala multifuncional e 01 sala de música
Salas multifuncionais: 01 sala de dança, 01 sala de artes, 01 multimidia + matemática.</t>
  </si>
  <si>
    <t>IBICARAI</t>
  </si>
  <si>
    <r>
      <rPr>
        <rFont val="Calibri"/>
        <b/>
        <color theme="1"/>
        <sz val="11.0"/>
      </rPr>
      <t xml:space="preserve">05 salas, </t>
    </r>
    <r>
      <rPr>
        <rFont val="Calibri"/>
        <b/>
        <color rgb="FFFF0000"/>
        <sz val="11.0"/>
      </rPr>
      <t>sendo 03 usadas para aula</t>
    </r>
    <r>
      <rPr>
        <rFont val="Calibri"/>
        <b/>
        <color theme="1"/>
        <sz val="11.0"/>
      </rPr>
      <t xml:space="preserve">, 01 adaptada para sala de leitura e 01 para Sala de AEE .         </t>
    </r>
  </si>
  <si>
    <t>COLEGIO ESTADUAL DO CAMPO CAJUEIRO - DISTRITO DE CAJUEIRO</t>
  </si>
  <si>
    <t>RUA ANTONIO ESTEVES - S/N</t>
  </si>
  <si>
    <t>DISTRITO DE CAJUEIRO</t>
  </si>
  <si>
    <t>-14.859120018515293, -39.59178246594103</t>
  </si>
  <si>
    <t>COLÉGIO ESTADUAL DE TEMPO INTEGRAL PROFESSORA ELIETE MALAQUIAS - ANTIGO LEM</t>
  </si>
  <si>
    <t>RUA MARECHAL RONDOM - S/N</t>
  </si>
  <si>
    <t xml:space="preserve">GRANDE
</t>
  </si>
  <si>
    <t>-14.870854844198481, -39.594971024445556</t>
  </si>
  <si>
    <t>ILHEUS</t>
  </si>
  <si>
    <t>ESCOLA ESTADUAL INDIGENA TUPINAMBA DE ABAETE</t>
  </si>
  <si>
    <t>ALDEIA SANTANA DO ABAITE - SN(00003)</t>
  </si>
  <si>
    <t>COLÉGIO ESTADUAL PROFESSOR FABIO ARARIPE GOULART - TEMPO INTEGRAL</t>
  </si>
  <si>
    <t>RUA AZUL JARDIM DËL REY - S/N</t>
  </si>
  <si>
    <t>-14.807025579816315, -39.05855840436125</t>
  </si>
  <si>
    <t>COLÉGIO ESTADUAL INDIGENA TUPINAMBA DE OLIVENCA</t>
  </si>
  <si>
    <t>ALDEIA INDIGENA TUPINAMBA - - S/N</t>
  </si>
  <si>
    <t>-14.97893997547574, -39.08646854462442</t>
  </si>
  <si>
    <t>COLÉGIO ESTADUAL INDIGENA TUPINAMBA DE ACUIPE DE BAIXO</t>
  </si>
  <si>
    <t>ALDEIA DE ACUIPE DE BAIXO - SN(00006)</t>
  </si>
  <si>
    <t>-15.07876749130803, -38.999466167537264</t>
  </si>
  <si>
    <t>COLEGIO ESTADUAL INDIGENA TUPINAMBA ARAMARI</t>
  </si>
  <si>
    <t>ALDEIA ACUIPE DO MEIO I, Nº S/N</t>
  </si>
  <si>
    <t>COLÉGIO ESTADUAL INDIGENA TUPINAMBA AMOTARA - ALDEIA ITAPUA</t>
  </si>
  <si>
    <t>BA 001(TRECHO ILHEUS/UNA) KM 24 - SN(00005)</t>
  </si>
  <si>
    <t>ALDEIA ITAPUA</t>
  </si>
  <si>
    <t>COLÉGIO ESTADUAL DO IGUAPE - TEMPO INTEGRAL</t>
  </si>
  <si>
    <t>MARIA LUÍZA - SN(00006)</t>
  </si>
  <si>
    <t>-14.742052325499207, -39.06986798685901</t>
  </si>
  <si>
    <t>COLÉGIO ESTADUAL DO CAMPO JORGE CALMON - DISTRITO DE OLIVENCA - TEMPO INTEGRAL</t>
  </si>
  <si>
    <t>AV LOMANTO JUNIOR - 00110</t>
  </si>
  <si>
    <t>-14.944348398521978, -39.0110178178513</t>
  </si>
  <si>
    <t>COLÉGIO ESTADUAL DE TEMPO INTEGRAL PROFESSORA CARMELITA ÂNGELA SOUZA OLIVEIRA</t>
  </si>
  <si>
    <t>EIXO COLETOR PRINCIPAL - SN(00135)</t>
  </si>
  <si>
    <t>HERNANI SÁ</t>
  </si>
  <si>
    <t>-14.824870481304984, -39.03428711686181</t>
  </si>
  <si>
    <t>COLÉGIO ESTADUAL DE TEMPO INTEGRAL PROFESSOR CARLOS ROBERTO ARLEO BARBOSA
(ANTIGO C.E PAULO AMÉRICO DE OLIVEIRA)</t>
  </si>
  <si>
    <t>R. DA PAZ, 56 - ESPERANÇA</t>
  </si>
  <si>
    <t>BARRA ITAIPE</t>
  </si>
  <si>
    <t>-14.78212876738799, -39.0530451292845</t>
  </si>
  <si>
    <t>COLÉGIO ESTADUAL DE TEMPO INTEGRAL JORGE AMADO (ANTIGO MODELO)</t>
  </si>
  <si>
    <t>AV ROBERTO SANTOS - SN(00022)</t>
  </si>
  <si>
    <t>-14.788704554723124, -39.06040801152475</t>
  </si>
  <si>
    <t>COLÉGIO ESTADUAL DE SALOBRINHO - DISTRITO DE SALOBRINHO</t>
  </si>
  <si>
    <t>RUA DO CAMPO - 84</t>
  </si>
  <si>
    <t>SOLABRINHO</t>
  </si>
  <si>
    <t>19KM</t>
  </si>
  <si>
    <t>-14.801733726661013, -39.17601234039298</t>
  </si>
  <si>
    <t>COLÉGIO DA POLICIA MILITAR - CPM ROMULO GALVAO</t>
  </si>
  <si>
    <t>NTE 21 - RECÔNCAVO</t>
  </si>
  <si>
    <t>RUA DO BONFIM - SN(00378)</t>
  </si>
  <si>
    <t>-14.811605143765465, -39.03562167704766</t>
  </si>
  <si>
    <t>CENTRO ESTADUAL DE EDUCACAO PROFISSIONAL EM GESTAO E TECNOLOGIA DA INFORMACAO ALVARO MELO VIEIRA</t>
  </si>
  <si>
    <t>AVENIDA CANAVIEIRAS - 00092</t>
  </si>
  <si>
    <t>-14.792282759661186, -39.033838465511074</t>
  </si>
  <si>
    <t>CENTRO ESTADUAL DE EDUCACAO PROFISSIONAL DO CHOCOLATE NELSON SCHAUN</t>
  </si>
  <si>
    <t>ANTONIO CARLOS MAGALHAES - 755</t>
  </si>
  <si>
    <t>-14.784583335506055, -39.04425379859092</t>
  </si>
  <si>
    <t>CENT REG DE ENS MED COM INTER TECNO. DO LIT. SUL - CEMIT LITORAL SUL</t>
  </si>
  <si>
    <t>RUA SANTAREM - S/N</t>
  </si>
  <si>
    <t>ANEXO DO COLÉGIO INDIGENA TUPINAMBA DE ACUIPE DE BAIXO - ALDEIA ACUIPE DO MEIO II</t>
  </si>
  <si>
    <t>ALDEIA ACUIPE DO MEIO II - SN(00001)</t>
  </si>
  <si>
    <t>ANEXO DO COLÉGIO INDIGENA TUPINAMBA DE ACUIPE DE BAIXO - ALDEIA ACUIPE DE BAIXO II</t>
  </si>
  <si>
    <t>ALDEIA ACUIPE DE BAIXO II - SN(00002)</t>
  </si>
  <si>
    <t xml:space="preserve">38KM </t>
  </si>
  <si>
    <t>ANEXO DO COLÉGIO ESTADUAL INDIGENA TUPINAMBA DE OLIVENCA - SERRA NEGRA</t>
  </si>
  <si>
    <t>ALDEIA SERRA NEGRA - SN(00001)</t>
  </si>
  <si>
    <t>OLIVENCA</t>
  </si>
  <si>
    <t xml:space="preserve">PEQUENO </t>
  </si>
  <si>
    <t>ANEXO DO COLÉGIO ESTADUAL INDIGENA TUPINAMBA DE OLIVENCA - ALDEIA TUCUM</t>
  </si>
  <si>
    <t>ALDEIA TUCUM - SN(00001)</t>
  </si>
  <si>
    <t>ANEXO DO COLÉGIO ESTADUAL INDIGENA TUPINAMBA DE OLIVENCA - ALDEIA TABA JARY</t>
  </si>
  <si>
    <t>TABA JARY - SN(00001)</t>
  </si>
  <si>
    <t>ANEXO DO COLÉGIO ESTADUAL INDIGENA TUPINAMBA DE OLIVENCA - ALDEIA MAMAO</t>
  </si>
  <si>
    <t>ALDEIA MAMAO - SN(00001)</t>
  </si>
  <si>
    <t>ANEXO DO COLÉGIO ESTADUAL INDIGENA TUPINAMBA DE OLIVENCA - ACUIPE DE CIMA</t>
  </si>
  <si>
    <t>ACUIPE DE CIMA - SN(00001)</t>
  </si>
  <si>
    <t>ANEXO DO COLÉGIO ESTADUAL INDIGENA TUPINAMBÁ AMOTARA - ALDEIA TAMANDARE</t>
  </si>
  <si>
    <t>CAIRU - SN(00017)</t>
  </si>
  <si>
    <t xml:space="preserve">ALDEIA TAMANDARE  </t>
  </si>
  <si>
    <t>32 KM</t>
  </si>
  <si>
    <t>ANEXO DO COLÉGIO ESTADUAL INDIGENA TUPINAMBÁ AMOTARA - ALDEIA KURUMIM</t>
  </si>
  <si>
    <t>CAIRU - SN(00015)</t>
  </si>
  <si>
    <t xml:space="preserve">ALDEIA KURUMIM   </t>
  </si>
  <si>
    <t>15 KM</t>
  </si>
  <si>
    <t>ANEXO DO COLÉGIO ESTADUAL INDIGENA TUPINAMBA AMOTARA - ALDEIA KATUANA</t>
  </si>
  <si>
    <t>ALDEIA KATUANA - SN(00002)</t>
  </si>
  <si>
    <t>ALDEIA KATUANA</t>
  </si>
  <si>
    <t>17KM</t>
  </si>
  <si>
    <t>ANEXO DO COLÉGIO ESTADUAL INDIGENA TUPINAMBA AMOTARA - ALDEIA ACUIPE DO MEIO</t>
  </si>
  <si>
    <t>CAIRU - SN(00014)</t>
  </si>
  <si>
    <t xml:space="preserve">ALDEIA ACUIPE DO MEIO  </t>
  </si>
  <si>
    <t>9 KM</t>
  </si>
  <si>
    <t>ANEXO DO COLÉGIO ESTADUAL DO IGUAPE - PRESÍDIO - SEDE - PENAL</t>
  </si>
  <si>
    <t>ESPERANCA - SN(00008)</t>
  </si>
  <si>
    <t>ANEXO DO CEMIT LITORA SUL - DISTRITO DE INEMA</t>
  </si>
  <si>
    <t>DISTRITO DE INEMA - SN(00002)</t>
  </si>
  <si>
    <t>ANEXO - CEMIT LITORAL SUL - DISTRITO DE CASTELO NOVO</t>
  </si>
  <si>
    <t>DISTRITO DE CASTELO NOVO</t>
  </si>
  <si>
    <t>ANEXO - CEMIT LITORAL SUL - DISTRITO DE BANCO DA VITORIA</t>
  </si>
  <si>
    <t>RUA DO CAMPO, 84 - S/N</t>
  </si>
  <si>
    <t>DISTRITO DE BANCO DA VITORIA</t>
  </si>
  <si>
    <t>ANEXO - CEMIT - LITORAL SUL - POVOADO PONTA DA TULHA</t>
  </si>
  <si>
    <t>RODOVIA ILHEUS/ITACARE KM 17 - PONTA DA TULHA - SN(00002)</t>
  </si>
  <si>
    <t>ANEXO - CEMIT - LITORAL SUL - DISTRITO DE SAMBAITUBA</t>
  </si>
  <si>
    <t>ESCOLA NUCLEADA SAMBAITUBA - S/N</t>
  </si>
  <si>
    <t>DISTRITO DE SAMBAITUBA</t>
  </si>
  <si>
    <t>ANEXO - CEMIT - LITORAL SUL - DISTRITO DE COUTO</t>
  </si>
  <si>
    <t>RODOVIA ILHEUS/BUERAREMA KM 08 - SN(00003)</t>
  </si>
  <si>
    <t>DISTRITO DE COUTO</t>
  </si>
  <si>
    <t>ANEXO - CEMIT - LITORAL SUL - DISTRITO DE BANCO CENTRAL</t>
  </si>
  <si>
    <t>DIST. DE BANCO CENTRAL - S/N</t>
  </si>
  <si>
    <t>ANEXO - CEMIT - LITORAL SUL - DISTRITO ARITAGUA I</t>
  </si>
  <si>
    <t>DISTRITO DE ARITAGUA I - S/N</t>
  </si>
  <si>
    <t xml:space="preserve"> DISTRITO ARITAGUA I</t>
  </si>
  <si>
    <t>ITABUNA</t>
  </si>
  <si>
    <t>COMPLEXO INTEGRADO DE EDUCAÇÃO BÁSICA PROFISSIONAL E TECNOLÓGICA DE ITABUNA (ANTIGO CIE ITABUNA)</t>
  </si>
  <si>
    <t>AVENIDA MANOEL CHAVES - SN(01468)</t>
  </si>
  <si>
    <t>-14.80987626143927, -39.27947669104686</t>
  </si>
  <si>
    <r>
      <rPr>
        <rFont val="Calibri"/>
        <b/>
        <color theme="1"/>
        <sz val="11.0"/>
      </rPr>
      <t>17,</t>
    </r>
    <r>
      <rPr>
        <rFont val="Calibri"/>
        <b/>
        <color rgb="FFFF0000"/>
        <sz val="11.0"/>
      </rPr>
      <t xml:space="preserve"> sendo 16 utilizadas para aula e</t>
    </r>
    <r>
      <rPr>
        <rFont val="Calibri"/>
        <b/>
        <color theme="1"/>
        <sz val="11.0"/>
      </rPr>
      <t xml:space="preserve"> 01 adpatada para biblioteca.</t>
    </r>
  </si>
  <si>
    <t>Demais laboratórios:01 Biologia ,01 microscopia ,01 física/matemática
Salas multifuncionais: 01 sala de podcast, 01 sala musical, 01 sala de jogos.</t>
  </si>
  <si>
    <t>NTE 22 - MÉDIO RIO DE CONTAS</t>
  </si>
  <si>
    <t>COLÉGIO MODELO LUIS EDUARDO MAGALHAES - TEMPO INTEGRAL</t>
  </si>
  <si>
    <t>AV. ANTONIO CARLOS MAGALHAES - SN(00082)</t>
  </si>
  <si>
    <t>-14.8061162080523, -39.293113994939866</t>
  </si>
  <si>
    <t>-12.690112601536816, -43.173308271210836</t>
  </si>
  <si>
    <t>COLÉGIO ESTADUAL VALDELICE SOARES PINHEIRO - TEMPO INTEGRAL</t>
  </si>
  <si>
    <t>RUA SANTA RITA - SN(00485)</t>
  </si>
  <si>
    <t>CALIFÓRNIA</t>
  </si>
  <si>
    <t>-14.772457553973142, -39.26594775067659</t>
  </si>
  <si>
    <t>Estruturas adaptadas: 01 sala de leitura, 01 laboratório de informática, 01 refeitório, 01 sala AEE..</t>
  </si>
  <si>
    <t>COLÉGIO ESTADUAL INACIO TOSTA FILHO</t>
  </si>
  <si>
    <t>RUA MONTE ALTO - SN(00419)</t>
  </si>
  <si>
    <t>-14.777132538368031, -39.26956686762964</t>
  </si>
  <si>
    <t>Estruturas adaptadas: 01 sala de leitura, 01 refeitório, 01 sala AEE.</t>
  </si>
  <si>
    <t>COLÉGIO ESTADUAL DE TEMPO INTEGRAL PROFESSOR ADEUM HILÁRIO SAUER (ANTIGO C.E FELIX MENDONCA)</t>
  </si>
  <si>
    <t>TRAVESSA RITA DANTAS - BAIRRO JAÇANA N 80 Bairro: CENTRO CEP:</t>
  </si>
  <si>
    <t>-14.816165412396542, -39.276624165842236</t>
  </si>
  <si>
    <t xml:space="preserve">Demais laboratórios: 01 Química e Biologia, 01 Física e matemática, 01 Linguagem.
Salas multifuncionais: 01 Dança ,01 Vivências corporais , 01 Jogos/Artes,01 sala de atendimento/escuta/psicólogo,01 sala de línguas estrangeiras </t>
  </si>
  <si>
    <t>COLÉGIO ESTADUAL DE TEMPO INTEGRAL OSCAR MARINHO FALCÃO</t>
  </si>
  <si>
    <t>ITAJUÍPE - SN(00097)</t>
  </si>
  <si>
    <t>-14.787221680542228, -39.280446443753824</t>
  </si>
  <si>
    <t>Estruturas adaptadas: 01 sala do educa mais / AEE</t>
  </si>
  <si>
    <t>COLÉGIO ESTADUAL ADONIAS FILHO</t>
  </si>
  <si>
    <t>RUA AURORA - SN(00160)</t>
  </si>
  <si>
    <t>-14.792083083283856, -39.27003141266878</t>
  </si>
  <si>
    <t>Estruturas adaptadas: 01 refeitório, 01 sala de leitura e 01 laboratório de robótica.</t>
  </si>
  <si>
    <t>COLÉGIO DA POLICIA MILITAR - CPM ANTONIO CARLOS MAGALHAES</t>
  </si>
  <si>
    <t>AVENIDA MANOEL CHAVES - S/N</t>
  </si>
  <si>
    <t>JARDIM PRIMAVERA</t>
  </si>
  <si>
    <t>-14.811856286374185, -39.28419234461369</t>
  </si>
  <si>
    <t>Estruturas adaptadas: 01 refeitório, 01 biblioteca e 02 laboratórios:01 informática e 01 de ciências.</t>
  </si>
  <si>
    <t>CENTRO ESTADUAL DE EDUCACAO PROFISSIONAL EM BIOTECNOLOGIA E SAUDE</t>
  </si>
  <si>
    <t>RUA ANTONIO MUNIZ - SN(00168)</t>
  </si>
  <si>
    <t>-14.78690495788565, -39.27797937346269</t>
  </si>
  <si>
    <t>Demais laboratórios: 01 Biologia e microscopia ,01 Biologia e anatomia ,01 Física/matemática ,01 Robótica e manutenção de Pcs ,01 Saúde bucal ,01 Analises clinicas,01 Gastronomia, 01 Enfermagem.
Salas multifuncionais: 01 Sala de Dança , 01 Sala de Música , 01 Núcleo de Ensino Pesquisa e Extensão , 01 Teatro e Artes Cênicas.</t>
  </si>
  <si>
    <t>CENTRO DE APOIO PEDAGÓGICO ESPECIALIZADO - GRAPIÚNA</t>
  </si>
  <si>
    <t>MANUEL CHAVES - 2200</t>
  </si>
  <si>
    <t>LOMANTO</t>
  </si>
  <si>
    <t>NTE 23 - BACIA DO RIO CORRENTE</t>
  </si>
  <si>
    <t>ANEXO AO COLÉGIO ESTADUAL ADONIAS FILHO - CONJUNTO PENAL</t>
  </si>
  <si>
    <t>RODOVIA ITABUNA IBICARAI BR 415 - SN(00834)</t>
  </si>
  <si>
    <t>ITACARE</t>
  </si>
  <si>
    <t>COLÉGIO ESTADUAL DO CAMPO PROFESSORA LÚCIA MARIA BATISTA DA SILVA</t>
  </si>
  <si>
    <t>RAFAEL MOTA BARROS - SN(00019)</t>
  </si>
  <si>
    <t>DISTRITO DE TABOQUINHAS</t>
  </si>
  <si>
    <t>-14.35262304933352, -39.170175612974234</t>
  </si>
  <si>
    <t xml:space="preserve">COLÉGIO ESTADUAL DE TEMPO INTEGRAL AURELINO LEAL </t>
  </si>
  <si>
    <t>RUA RUI BARBOSA - 159</t>
  </si>
  <si>
    <t>-14.294922234900653, -38.99461519962079</t>
  </si>
  <si>
    <t>ITAJU DO COLONIA</t>
  </si>
  <si>
    <t>COLÉGIO ESTADUAL DE TEMPO INTEGRAL CORDEIRO DE MIRANDA</t>
  </si>
  <si>
    <t>AV LOMANTO JUNIOR - 00001</t>
  </si>
  <si>
    <t>-15.139480355034623, -39.72305032861432</t>
  </si>
  <si>
    <t>Estruturas adaptadas: laboratórios: 01 biologia/química, 01 biblioteca, 01 sala de jogos.</t>
  </si>
  <si>
    <t>ANEXO COLÉGIO ESTADUAL CORDEIRO DE MIRANDA - DISTRITO DE PALMIRA</t>
  </si>
  <si>
    <t>MANOEL ALVARINO - SN(00007)</t>
  </si>
  <si>
    <t>ITAJUIPE</t>
  </si>
  <si>
    <t>COLÉGIO ESTADUAL DE TEMPO INTEGRAL DE ITAJUÍPE 
(ANTIGO POLIVALENTE)</t>
  </si>
  <si>
    <t>JARDIM BELA VISTA, SN - S/N</t>
  </si>
  <si>
    <t>-14.680955443695165, -39.374809129793746</t>
  </si>
  <si>
    <t>Demais laboratórios: 01 gestão e negócios, 01 horta.</t>
  </si>
  <si>
    <t>ITAPE</t>
  </si>
  <si>
    <t>COLÉGIO ESTADUAL DE TEMPO INTEGRAL DOM PAULO LOPES DE FARIAS (ANTIGO COL. ALZAIR MARTINS)</t>
  </si>
  <si>
    <t>ANTONIO CARLOS MAGALHAES - 01</t>
  </si>
  <si>
    <t>LUIS VIANA FILHO</t>
  </si>
  <si>
    <t>-14.896192655834723, -39.42640120718564</t>
  </si>
  <si>
    <t xml:space="preserve">
NOVO PADRÃO (NOVA ESCOLA)</t>
  </si>
  <si>
    <t>Demais laboratórios: 01 Laboratório (química/biologia/ física/matemática)</t>
  </si>
  <si>
    <t>ITAPITANGA</t>
  </si>
  <si>
    <t>COLÉGIO ESTADUAL DE TEMPO INTEGRAL PROFESSOR ANTÔNIO MARCOS SANTOS ESTEVES</t>
  </si>
  <si>
    <t>RUA EDUARDO GOMES - 076</t>
  </si>
  <si>
    <t>-14.418193954205625, -39.56837712178681</t>
  </si>
  <si>
    <t>JUSSARI</t>
  </si>
  <si>
    <t>COLÉGIO ESTADUAL DE TEMPO INTEGRAL AMÉLIA AMADO</t>
  </si>
  <si>
    <t>AVENIDA MARINEDA - SN(00039)</t>
  </si>
  <si>
    <t>-15.189210684603482, -39.49666216438976</t>
  </si>
  <si>
    <t>Estruturas adaptadas: laboratórios:01 informática, 01 ciências.</t>
  </si>
  <si>
    <t>MARAU</t>
  </si>
  <si>
    <t>COLÉGIO ESTADUAL DO CAMPO CLEMENTE MARIANI</t>
  </si>
  <si>
    <t>DA BANDEIRA - IBIAÇU - SN(00008)</t>
  </si>
  <si>
    <t>DISTRITO DE IBIAÇU</t>
  </si>
  <si>
    <t>-13.893606219872595, -38.950579933500286</t>
  </si>
  <si>
    <t>COLÉGIO ESTADUAL ANTONIO EDUARDO RIBEIRO ROCHA - DISTRITO DE BARRA GRANDE - TEMPO INTEGRAL</t>
  </si>
  <si>
    <t>RUA DRª LILI - SN(00002)</t>
  </si>
  <si>
    <t>-13.898232426821934, -38.95385618749522</t>
  </si>
  <si>
    <t>Estruturas adaptadas:  01 sala AEE.</t>
  </si>
  <si>
    <t>CENTRO TERRITORIAL DE EDUCAÇÃO PROFISSIONAL DO LITORAL SUL - COMUNIDADE QUILOMBOLA</t>
  </si>
  <si>
    <t>RUA DR VASCO FILHO - 106</t>
  </si>
  <si>
    <t>-14.103154370753561, -39.02020095353289</t>
  </si>
  <si>
    <t>Estruturas adaptadas:  01 sala de jogos, 01 biblioteca.
Demais laboratórios: 01 hospedagem, 01 química/biologia.</t>
  </si>
  <si>
    <t>MASCOTE</t>
  </si>
  <si>
    <t>COLÉGIO ESTADUAL DE TEMPO INTEGRAL PROFESSORA MARILENA SENA LOUREIRO</t>
  </si>
  <si>
    <t>RUA GUARANY - SN(00336)</t>
  </si>
  <si>
    <t>-15.618705345872359, -39.430021847406685</t>
  </si>
  <si>
    <t>NTE 24 - ITAPARICA</t>
  </si>
  <si>
    <t>Demais laboratórios: 01 horta</t>
  </si>
  <si>
    <t>COLÉGIO ESTADUAL CAROLINA SEVERIANO RIBEIRO - TEMPO INTEGRAL</t>
  </si>
  <si>
    <t>RUA INACIO TOSTA FILHO - 00270</t>
  </si>
  <si>
    <t>-15.565310243243674, -39.30255417900973</t>
  </si>
  <si>
    <t>PAU BRASIL</t>
  </si>
  <si>
    <t>COLÉGIO ESTADUAL GERSON DE SOUZA MELO PATAXO - TEMPO INTEGRAL</t>
  </si>
  <si>
    <t>SALVIO ROSA DE ASSIS - SN(00003)</t>
  </si>
  <si>
    <t>-15.461311239952137, -39.64756849236763</t>
  </si>
  <si>
    <t>COLÉGIO ESTADUAL DA ALDEIA INDIGENA CARAMURU PARAGUACU - TEMPO INTEGRAL</t>
  </si>
  <si>
    <t>RESERVA INDIGENA CARAMURU / PARAGUAÇU - S/N</t>
  </si>
  <si>
    <t>RESERVA INDIGENA</t>
  </si>
  <si>
    <t>800MTS</t>
  </si>
  <si>
    <t>-15.448143121663588, -39.691445776322034</t>
  </si>
  <si>
    <t>ANEXO DO COLÉGIO ESTADUAL INDIGENA CARAMURU PARAGUACU - ALDEIA - POVOADO OURINHO</t>
  </si>
  <si>
    <t>POVOADO DE OURINHO - S/N</t>
  </si>
  <si>
    <t>13KM</t>
  </si>
  <si>
    <t>ANEXO DO COLÉGIO ESTADUAL INDIGENA CARAMURU PARAGUACU - ALDEIA - POVOADO DO TAQUARI-BRACO DA DUVIDA</t>
  </si>
  <si>
    <t>POVOADO BRACO DA DUVIDA - SN(00139)</t>
  </si>
  <si>
    <t>ANEXO DO COLÉGIO ESTADUAL INDIGENA CARAMURU PARAGUACU - ALDEIA - POVOADO DE AGUA VERMELHA</t>
  </si>
  <si>
    <t>POVOADO DE AGUA VERMELHA - S/N</t>
  </si>
  <si>
    <t>SANTA LUZIA</t>
  </si>
  <si>
    <t>COLÉGIO ESTADUAL JORGE AMADO</t>
  </si>
  <si>
    <t>RUA SIMOES BARBOSA DE MATOS - S N</t>
  </si>
  <si>
    <t>-15.435129406892413, -39.32721994087601</t>
  </si>
  <si>
    <t>SAO JOSE DA VITORIA</t>
  </si>
  <si>
    <t>COLÉGIO ESTADUAL 13 DE JUNHO - TEMPO INTEGRAL</t>
  </si>
  <si>
    <t>AVENIDA ANTONIO CARLOS MAGALHAES - S/N</t>
  </si>
  <si>
    <t>-15.07956711338466, -39.33696597367019</t>
  </si>
  <si>
    <t>UBAITABA</t>
  </si>
  <si>
    <t>COLÉGIO ESTADUAL DE TEMPO INTEGRAL OCTACILIO MANOEL GOMES</t>
  </si>
  <si>
    <t>VASCO NETO - SN(00022)</t>
  </si>
  <si>
    <t>-14.30962261552488, -39.323783557279796</t>
  </si>
  <si>
    <t>Estruturas adaptadas:  01 refeitório.</t>
  </si>
  <si>
    <t>UNA</t>
  </si>
  <si>
    <t>COLÉGIO ESTADUAL MENANDRO MINAHIM</t>
  </si>
  <si>
    <t>RUA ALICE FUCHS DE ALMEIDA - 66</t>
  </si>
  <si>
    <t>-15.290107937671495, -39.06540539587783</t>
  </si>
  <si>
    <t>ANEXO - CEMIT - LITORAL SUL - DISTRITO VILA BRASIL</t>
  </si>
  <si>
    <t>DISTRITO DE VILA BRASIL - S/N</t>
  </si>
  <si>
    <t>URUCUCA</t>
  </si>
  <si>
    <t>COLEGIO ESTADUAL DO CAMPO DE TEMPO INTEGRAL DE SERRA GRANDE</t>
  </si>
  <si>
    <t>SERRA GRANDE - SN(00077)</t>
  </si>
  <si>
    <t>DISTRITO DE SERRA GRANDE</t>
  </si>
  <si>
    <t>ALUGADO (R$ 60.000.00)</t>
  </si>
  <si>
    <t>-14.465774024277426, -39.03859624229466</t>
  </si>
  <si>
    <t>COLÉGIO ESTADUAL DE TEMPO INTEGRAL CARNEIRO RIBEIRO</t>
  </si>
  <si>
    <t>RUI BARBOSA - 265</t>
  </si>
  <si>
    <t>-14.597047960605309, -39.27769151863761</t>
  </si>
  <si>
    <t>ARATUIPE</t>
  </si>
  <si>
    <t xml:space="preserve">COLEGIO ESTADUAL DE TEMPO INTEGRAL PROFESSOR ROCHA PITA </t>
  </si>
  <si>
    <t xml:space="preserve"> Rua Barão do Rio Branco, nº 0002,</t>
  </si>
  <si>
    <t>-13.080140503686094, -39.00150757554245</t>
  </si>
  <si>
    <t>CAIRU</t>
  </si>
  <si>
    <t>COLÉGIO ESTADUAL CÂNDIDO MEIRELES - TEMPO INTEGRAL</t>
  </si>
  <si>
    <t>PRACA DA BANDEIRA - 81</t>
  </si>
  <si>
    <t xml:space="preserve">PRÓPRIO </t>
  </si>
  <si>
    <t>-13.484963666060382, -39.046658018899656</t>
  </si>
  <si>
    <t>ANEXO - COLÉGIO ESTADUAL CÂNDIDO MEIRELES - DISTRITO DE MORRO DE SÃO PAULO</t>
  </si>
  <si>
    <t>MORRO DE SAO PAULO - S/N</t>
  </si>
  <si>
    <t xml:space="preserve"> DISTRITO DE MORRO DE SÃO PAULO</t>
  </si>
  <si>
    <t>20KM/ 10.8MI NÁUTICAS</t>
  </si>
  <si>
    <t>ANEXO - COLÉGIO ESTADUAL CÂNDIDO MEIRELES - DISTRITO DE GAMBOA</t>
  </si>
  <si>
    <t>GAMBOA - SN(00115)</t>
  </si>
  <si>
    <t>22KM/ 11.98MI NÁUTICAS</t>
  </si>
  <si>
    <t>ANEXO - COLÉGIO ESTADUAL CÂNDIDO MEIRELES - DISTRITO DE BOIPEBA</t>
  </si>
  <si>
    <t>BOIPEBA - SN(00016)</t>
  </si>
  <si>
    <t xml:space="preserve"> 30KM/ 16.2MI NÁUTICAS.</t>
  </si>
  <si>
    <t>ANEXO - CENTRO REGIONAL - CEMIT DO BAIXO SUL - DISTRITO DE GALEAO</t>
  </si>
  <si>
    <t>GALEAO - SN(00120)</t>
  </si>
  <si>
    <t>24KM/ 12.36MI NÁUTICAS</t>
  </si>
  <si>
    <t>ANEXO - CEMIT BAIXO SUL - DISTRITO DE SÃO SEBASTIÃO</t>
  </si>
  <si>
    <t>DISTRITO DE SÃO SEBASTIÃO - SN(00010)</t>
  </si>
  <si>
    <t>36KM/ 19.4MI NÁUTICAS</t>
  </si>
  <si>
    <t>ANEXO - CEMIT BAIXO SUL - DISTRITO DE GARAPUÁ</t>
  </si>
  <si>
    <t>GARAPUA - SN(00016)</t>
  </si>
  <si>
    <t xml:space="preserve"> 40KM/ 21,6MI NÁUTICAS</t>
  </si>
  <si>
    <t>CAMAMU</t>
  </si>
  <si>
    <t>NTE 25 - PIEMONTE NORTE DO ITAPICURU</t>
  </si>
  <si>
    <t>COLÉGIO ESTADUAL LUIZ ROGÉRIO DE SOUZA</t>
  </si>
  <si>
    <t>PRACA LUIZ ROGERIO DE SOUZA - S/N</t>
  </si>
  <si>
    <t>-13.943468024164057, -39.10289301556332</t>
  </si>
  <si>
    <t>COLÉGIO ESTADUAL DE TEMPO INTEGRAL MARIA DO ROSÁRIO COUTINHO SANTANA (ANTIGO - ANEXO AO COLÉGIO ESTADUAL LUIZ ROGERIO DE SOUZA - DIST DE TRAVESSÃO)</t>
  </si>
  <si>
    <t>DISTRITO DE TRAVESSAO - S/N</t>
  </si>
  <si>
    <t>ANEXO - CEMIT BAIXO SUL - DISTRITO ILHA GRANDE</t>
  </si>
  <si>
    <t>DISTRITO DE ILHA GRANDE - SN(00007)</t>
  </si>
  <si>
    <t>30 KM- 16 - MILHAS NAUTICAS</t>
  </si>
  <si>
    <t>GANDU</t>
  </si>
  <si>
    <t>COLÉGIO ESTADUAL POLIVALENTE DE GANDU</t>
  </si>
  <si>
    <t>PRACA ELISEU LEAL - S/N</t>
  </si>
  <si>
    <t>-13.741014022634966, -39.485641140504235</t>
  </si>
  <si>
    <t xml:space="preserve">Estruturas adaptadas: 01 Refeitório, 01 Informática, 01 Ciências, 01 Física, 02 Projeto Educa Mais Bahia , 02 Vídeo, 01 AEE </t>
  </si>
  <si>
    <t>CENTRO TERRITORIAL DE EDUCAÇÃO PROFISSIONAL DO BAIXO SUL</t>
  </si>
  <si>
    <t>BR 101 KM 368 - S/N</t>
  </si>
  <si>
    <t>-13.747361047597236, -39.48292079535847</t>
  </si>
  <si>
    <t xml:space="preserve">Estruturas adaptadas: 01 Refeitório 
Demais laboratórios: 01 Análises Clínicas  </t>
  </si>
  <si>
    <t>IBIRAPITANGA</t>
  </si>
  <si>
    <t>COLÉGIO ESTADUAL PAULO CÉSAR DA NOVA ALMEIDA - TEMPO INTEGRAL</t>
  </si>
  <si>
    <t>TRAVESSA ISRAEL DANTAS BARCELOS - S/N</t>
  </si>
  <si>
    <t>-14.169212871073038, -39.37533234650733</t>
  </si>
  <si>
    <t>Estruturas adaptadas: 01 refeitório adapt. no pátio, 01 AEE</t>
  </si>
  <si>
    <t>COLÉGIO ESTADUAL ANDRELINA EUFRAZIA DE JESUS REIS - DISTRITO DE ITAMARATI</t>
  </si>
  <si>
    <t>ITAMARATI - 01</t>
  </si>
  <si>
    <t>DISTRITO DE ITAMARATI</t>
  </si>
  <si>
    <t>-14.023170246829727, -39.43013308194055</t>
  </si>
  <si>
    <t xml:space="preserve">Estruturas adaptadas: 01 Sala de leitura, 01 AEE </t>
  </si>
  <si>
    <t>IGRAPIUNA</t>
  </si>
  <si>
    <t>COLÉGIO ESTADUAL PROFESSOR NEILTON LIMA MOREIRA</t>
  </si>
  <si>
    <t>RUA JOAO PAULO II - SN(00124)</t>
  </si>
  <si>
    <t>-13.818761298431795, -39.14366699381874</t>
  </si>
  <si>
    <t>CASA FAMILIAR RURAL DE IGRAPIUNA</t>
  </si>
  <si>
    <t>RODOVIA ITUBERA, CAMAMU, KM 5 - S/N</t>
  </si>
  <si>
    <t>4KM</t>
  </si>
  <si>
    <t>-13.821009358976433, -39.17019761867715</t>
  </si>
  <si>
    <t>ANEXO- CEMIT BAIXO SUL- DISTRITO VALE DO JULIANA</t>
  </si>
  <si>
    <t>GUILHERMINA - SN(00002)</t>
  </si>
  <si>
    <t>47KM</t>
  </si>
  <si>
    <t>ANEXO - CEMIT BAIXO SUL - DISTRITO ILHA DO CONTRATO</t>
  </si>
  <si>
    <t>DA ILHA DO CONTRATO - S/N</t>
  </si>
  <si>
    <t>88KM</t>
  </si>
  <si>
    <t>ANEXO - CEMIT - BAIXO SUL - DISTRITO DE RIO DO BRAÇO</t>
  </si>
  <si>
    <t>DISTRITO RIO DO BRAÇO - S/N</t>
  </si>
  <si>
    <t>ITUBERA</t>
  </si>
  <si>
    <t>COLÉGIO ESTADUAL IDELZITO ELOY DE ABREU</t>
  </si>
  <si>
    <t>RUA DR JOY LEITE CAIRO - SN(00878)</t>
  </si>
  <si>
    <t>NORBERTO ODEBRECHT</t>
  </si>
  <si>
    <t>-13.728002475494973, -39.14363701673098</t>
  </si>
  <si>
    <t>ANEXO - COLÉGIO ESTADUAL IDELZITO ELOY DE ABREU - ASSENTAMENTO JOSINEI HIPÓLITO</t>
  </si>
  <si>
    <t>ASSENTAMENTO JOSINEI HIPOLITO, KM 15 - S/N</t>
  </si>
  <si>
    <t>JAGUARIPE</t>
  </si>
  <si>
    <t>COLÉGIO ESTADUAL DE TEMPO INTEGRAL DOUTOR ARISTIDES MALTEZ
(COLÉGIO ESTADUAL DOUTOR ARISTIDES MALTEZ)</t>
  </si>
  <si>
    <t>RUA DO AREAL, S/Nº - CENTRO</t>
  </si>
  <si>
    <t>-13.11522405913793, -38.89337348808365</t>
  </si>
  <si>
    <t>Demais laboratórios: 01 química/biologia, 01 física/matemática.</t>
  </si>
  <si>
    <t>ANEXO - COLÉGIO ESTADUAL DOUTOR ARISTIDES MALTEZ - DISTRITO DE PALMA</t>
  </si>
  <si>
    <t>DISTRITO DE PALMA - S/N</t>
  </si>
  <si>
    <t>38KM</t>
  </si>
  <si>
    <t>NILO PECANHA</t>
  </si>
  <si>
    <t>COLÉGIO ESTADUAL ADELAIDE SOUZA - TEMPO INTEGRAL</t>
  </si>
  <si>
    <t>R JOAO OLIVEIRA DE SOUZA - 56</t>
  </si>
  <si>
    <t>-13.60595521550388, -39.1032033086524</t>
  </si>
  <si>
    <t>Demais laboratórios: 01 biologia/química, 01 física/matemática.</t>
  </si>
  <si>
    <t>CASA FAMILIAR AGROFLORESTAL DO BAIXO SUL DA BAHIA - CFAFBS</t>
  </si>
  <si>
    <t>RODOVIA BA 001, KM 12, TREVO NILO PECANHA, CAIRU - SN(00002)</t>
  </si>
  <si>
    <t>1.200M</t>
  </si>
  <si>
    <t>-13.609966489053829, -39.10293089264816</t>
  </si>
  <si>
    <t>ANEXO - COLÉGIO ESTADUAL ADELAIDE SOUZA  - DISTRITO DE SAO BENEDITO</t>
  </si>
  <si>
    <t>DISTRITO DE SAO BENEDITO - S/N</t>
  </si>
  <si>
    <t>ANEXO - CEMIT - BAIXO SUL - DIST. DE SAO FRANCISCO</t>
  </si>
  <si>
    <t>POVOADO SAO FRANCISCO - S/N</t>
  </si>
  <si>
    <t>ANEXO - CEMIT - BAIXO SUL - BARRA DOS CARVALHOS</t>
  </si>
  <si>
    <t>BARRA DOS CAVALHOS - SN(00010)</t>
  </si>
  <si>
    <t>PIRAI DO NORTE</t>
  </si>
  <si>
    <t xml:space="preserve">COLÉGIO ESTADUAL DE TEMPO INTEGRAL LUIS NAVARRO DE BRITO  </t>
  </si>
  <si>
    <t>RUA RUI BARBOSA - 135</t>
  </si>
  <si>
    <t>-13.766950787914137, -39.368817713322</t>
  </si>
  <si>
    <t>NTE 26 - SALVADOR / RMS</t>
  </si>
  <si>
    <t>Estruturas adaptadas: 01 Sala de leitura, 01 Refeitório, 01 Sala AEE, 01 Sala de vídeo</t>
  </si>
  <si>
    <t>PRESIDENTE TANCREDO NEVES</t>
  </si>
  <si>
    <t>COLÉGIO ESTADUAL DE TEMPO INTEGRAL MARIA XAVIER DE ANDRADE REIS</t>
  </si>
  <si>
    <t>SETE DE SETEMBRO - S/N</t>
  </si>
  <si>
    <t>-13.443137322506988, -39.42681813194382</t>
  </si>
  <si>
    <t>Estruturas adaptadas: Laboratórios: 01 ciências e 01 informática.</t>
  </si>
  <si>
    <t>CASA FAMILIA RURAL DE PRESIDENTE TANCREDO NEVES - CFRPTN</t>
  </si>
  <si>
    <t>FAZENDA NOVO HORIZONTE, BR 101, KM 315 - SN(00004)</t>
  </si>
  <si>
    <t>-13.372932490576362, -39.371752405189795</t>
  </si>
  <si>
    <t>Demais laboratórios: 01 (ciências/agropecuária/informática).</t>
  </si>
  <si>
    <t>TAPEROA</t>
  </si>
  <si>
    <t xml:space="preserve">COLEGIO ESTADUAL DE TEMPO INTEGRAL ESTELA ALELUIA GUIMARAES
</t>
  </si>
  <si>
    <t>BA-001, 459 - TAPEROÁ, BA, 45657-701
AO LADO DO POSTO DE GASOLINA LITORAL SUL</t>
  </si>
  <si>
    <t>-13.547723584988177, -39.0993749719911</t>
  </si>
  <si>
    <t>ANEXO - CEMIT BAIXO SUL - DISTRITO RODA D AGUA</t>
  </si>
  <si>
    <t>RODA DAGUA - SN(00032)</t>
  </si>
  <si>
    <t>ANEXO - CEMIT BAIXO SUL - DISTRITO DE JEQUIEZINHO MIRIM</t>
  </si>
  <si>
    <t>GUILHERMINA - SN(00004)</t>
  </si>
  <si>
    <t>ANEXO - CEMIT BAIXO SUL - DISTRITO DE FORMOSA</t>
  </si>
  <si>
    <t>FORMOSA - SN(00021)</t>
  </si>
  <si>
    <t>80KM</t>
  </si>
  <si>
    <t>ANEXO - CEMIT - BAIXO SUL - POVOADO DE ITIUBA</t>
  </si>
  <si>
    <t>ITIUBA - SN(00066)</t>
  </si>
  <si>
    <t>POVOADO DE ITIUBA</t>
  </si>
  <si>
    <t>ANEXO - CEMIT - BAIXO SUL - DISTRITO AREINHA</t>
  </si>
  <si>
    <t>AREINHA - SN(00186)</t>
  </si>
  <si>
    <t>TEOLANDIA</t>
  </si>
  <si>
    <t>COLÉGIO ESTADUAL DE TEMPO INTEGRAL LÍBIA TINOCO MELO</t>
  </si>
  <si>
    <t>PRAÇA OLIVIA DE SOUZA OLIVEIRA - S/N</t>
  </si>
  <si>
    <t>-13.59268002185235, -39.487444267091526</t>
  </si>
  <si>
    <t>06 + 01 adapt.</t>
  </si>
  <si>
    <t>Estruturas adaptadas: 01 Sala de leitura, 01 ADM.</t>
  </si>
  <si>
    <t>ANEXO - CEMIT DO BAIXO SUL - DISTRITO DE SAO PAULINHO</t>
  </si>
  <si>
    <t>DIST. DE SAO PAULINHO N SN(00003) Bairro: CENTRO CEP: 45465000</t>
  </si>
  <si>
    <t>ANEXO - CEMIT - BAIXO SUL - POV. DE ALTO ALEGRE</t>
  </si>
  <si>
    <t>POVOADO DE ALTO ALEGRE - SN(00006)</t>
  </si>
  <si>
    <t>VALENCA</t>
  </si>
  <si>
    <t>10+02 adapt.</t>
  </si>
  <si>
    <t>COLÉGIO ESTADUAL ONILDO RAIMUNDO CRISTO - DISTRITO DE OROBO - COMUNIDADE QUILOMBOLA</t>
  </si>
  <si>
    <t>SITIO BOM JESUS - SN(00004)</t>
  </si>
  <si>
    <t>-13.36081860020765, -39.07089600270201</t>
  </si>
  <si>
    <t>Estruturas adaptadas: 01 laboratório de informática.
Demais laboratórios: 01 biologia/química, 01 Projeto PAIS.</t>
  </si>
  <si>
    <t>COLÉGIO ESTADUAL JOAO CARDOSO DOS SANTOS</t>
  </si>
  <si>
    <t>CONJ. HAB. DE VALENÇA, RUA A - 01</t>
  </si>
  <si>
    <t>-13.367202719109624, -39.067370602658215</t>
  </si>
  <si>
    <t>Estruturas adaptadas: 01 auditório, 01 refeitório; Laboratórios: 01 química e 01 biologia; 02 salas de multimídia.</t>
  </si>
  <si>
    <t>COLÉGIO ESTADUAL GENTIL PARAISO MARTINS - EM TEMPO INTEGRAL</t>
  </si>
  <si>
    <t>RUA PROF PEDRO SANCHO - 49</t>
  </si>
  <si>
    <t xml:space="preserve">Estruturas adaptadas: 01 refeitório; Laboratórios: 01 ciências e 01 informática; Salas multifuncionais: 01 Sala de lutas , 01 Sala de Artes, 03 Sala de multimídia, 01 Sala de jogos. </t>
  </si>
  <si>
    <t>COLÉGIO ESTADUAL DO CAMPO HERMINIO MANOEL DE JESUS - DISTRITO DE BONFIM</t>
  </si>
  <si>
    <t>DE BONFIM - SN(00006)</t>
  </si>
  <si>
    <t>-13.321727882153768, -39.23773844891932</t>
  </si>
  <si>
    <t>Demais laboratórios: 01 ciências e física</t>
  </si>
  <si>
    <t>COLÉGIO ESTADUAL BERNARDO BISPO DOS SANTOS - DISTRITO DE JIQUIRIÇA - COMUNIDADE QUILOMBOLA</t>
  </si>
  <si>
    <t>DISTRITO DE JIQUIRICA - SN(00010)</t>
  </si>
  <si>
    <t>-13.28812533754301, -39.11590719548318</t>
  </si>
  <si>
    <t>NTE 27 - COSTA DO DESCOBRIMENTO</t>
  </si>
  <si>
    <t>Estruturas adaptadas: 01 biblioteca, 01 refeitório, 01 laboratório de ciências/matemática.</t>
  </si>
  <si>
    <t>CENTRO ESTADUAL DE EDUCAÇÃO PROFISSIONAL DA COSTA DO DENDÊ</t>
  </si>
  <si>
    <t>RUA FLORESTAL - 01</t>
  </si>
  <si>
    <t>-13.3761028067973, -39.06756232607747</t>
  </si>
  <si>
    <t xml:space="preserve">Estruturas adaptadas: 01 refeitório e 01 sala de pscicologia.
Demais laboratórios: 01 Analises Clinicas,01 Gastronomia,01 Química,01 Segurança do trabalho, 01 Matemática.
</t>
  </si>
  <si>
    <t>CENTRO DE APOIO PEDAGOGICO ESPECIALIZADO - CAPE VALENÇA</t>
  </si>
  <si>
    <t>RUA ANTONIO LAURINDO, Nº 324</t>
  </si>
  <si>
    <t>ANEXO DO CENTRO ESTADUAL DE EDUCAÇÃO PROFISSIONAL DA COSTA DO DENDÊ-DISTRITO DE SERRA GRANDE</t>
  </si>
  <si>
    <t>DA REPÚBLICA - SN(04898)</t>
  </si>
  <si>
    <t>ALUGADO R$ 32.020,44</t>
  </si>
  <si>
    <t>Estruturas adaptadas: 01 laboratório de informática.</t>
  </si>
  <si>
    <t>ANEXO - COLÉGIO ESTADUAL GENTIL PARAISO MARTINS - CONJ. PENAL DE VALENCA - SEDE</t>
  </si>
  <si>
    <t>RUA CONJ. PENAL DE VALENCA - SEDE, Nº</t>
  </si>
  <si>
    <t xml:space="preserve">
CENTRO REGIONAL DE ENSINO COM INTERMEDIACAO TECNOLOGICA - CEMIT DO BAIXO SUL
(ANTIGA ESCOLA ESTADUAL LOMANTO JÚNIOR)</t>
  </si>
  <si>
    <t>GUILHERMINA GOES N SN(00029)  CEP: 45400000</t>
  </si>
  <si>
    <t>-13.361197552026113, -39.066213228392385</t>
  </si>
  <si>
    <t>WENCESLAU GUIMARAES</t>
  </si>
  <si>
    <t>COLÉGIO ESTADUAL DE TEMPO INTEGRAL NAIR LOPES JENKINS</t>
  </si>
  <si>
    <t>RUA BEIRA RIO - SN(00437)</t>
  </si>
  <si>
    <t>-13.681771685229114, -39.47571801283493</t>
  </si>
  <si>
    <t>ANEXO - NAIR LOPES JENKINS - COLÉGIO ESTADUAL - DISTRITO DE COCAO</t>
  </si>
  <si>
    <t>DIST. DE COCAO - S/N</t>
  </si>
  <si>
    <t>DIST. DE COCAO</t>
  </si>
  <si>
    <t>ANEXO - CEMIT - BAIXO SUL - DISTRITO NOVO HORIZONTE</t>
  </si>
  <si>
    <t>NOVO HORIZONTE - SN(00015)</t>
  </si>
  <si>
    <t>ANEXO - CEMIT - BAIXO SUL - DISTRITO NOVA ESPERANCA</t>
  </si>
  <si>
    <t>NOVA ESPERANÇA - SN(00062)</t>
  </si>
  <si>
    <t>68KM</t>
  </si>
  <si>
    <t>ANEXO - CEMIT - BAIXO SUL - DISTRITO DE PALMEIRA</t>
  </si>
  <si>
    <t>PALMEIRA - SN(00032)</t>
  </si>
  <si>
    <t>ALCOBACA</t>
  </si>
  <si>
    <t>COLÉGIO ESTADUAL EUNICE JERÔNIMO DE OLIVEIRA - DISTRITO SÃO JOSÉ DE ALCOBAÇA</t>
  </si>
  <si>
    <t>SAO JOSE DE ALCOBACA - SN(00010)</t>
  </si>
  <si>
    <t>DISTRITO SAO JOSE DE ALCOBACA</t>
  </si>
  <si>
    <t>-17.490981050005153, -39.429825010408784</t>
  </si>
  <si>
    <t>COLÉGIO ESTADUAL ERALDO TINOCO - TEMPO INTEGRAL</t>
  </si>
  <si>
    <t>AV. ANTONIO CARLOS MAGALHAES - S/N</t>
  </si>
  <si>
    <t>-17.508473774113167, -39.206594512868946</t>
  </si>
  <si>
    <t>Estruturas adaptadas: 01 refeitório, e 04 laboratórios adaptados para salas de aula.</t>
  </si>
  <si>
    <t>ANEXO DO CEMIT EXTREMO SUL - DISTRITO DE TAQUARI</t>
  </si>
  <si>
    <t>SENADOR MELGAÇO - SN(00007)</t>
  </si>
  <si>
    <t>DISTRITO DE TAQUARI</t>
  </si>
  <si>
    <t>ANEXO DO CEMIT EXTREMO SUL - DISTRITO DE POUSO ALEGRE</t>
  </si>
  <si>
    <t>DISTRITO DE POUSO ALEGRE - S/N</t>
  </si>
  <si>
    <t>DISTRITO DE POUSO ALEGRE</t>
  </si>
  <si>
    <t>ANEXO - COLÉGIO ESTADUAL VINTE E CINCO DE JULHO - ASSENTAMENTO PROJETO 4045</t>
  </si>
  <si>
    <t>ASSENTAMENTO PROJETO 404 - S/N</t>
  </si>
  <si>
    <t xml:space="preserve">ASSENTAMENTO PROJETO 404 </t>
  </si>
  <si>
    <t xml:space="preserve">ANEXO - CEMIT EXTREMO SUL - DISTRITO NOVO DESTINO </t>
  </si>
  <si>
    <t>RUA 7 DE SETEMBRO, Nº S/N</t>
  </si>
  <si>
    <t>CARAVELAS</t>
  </si>
  <si>
    <t>COLÉGIO POLIVALENTE DE CARAVELAS - TEMPO INTEGRAL</t>
  </si>
  <si>
    <t>RUA DAS PALMEIRAS - 00077</t>
  </si>
  <si>
    <t>-17.736054063639386, -39.26151247905484</t>
  </si>
  <si>
    <t>ANEXO - COLÉGIO POLIVALENTE DE CARAVELAS- DISTRITO DE SANTO ANTÔNIO DE BARCELONA</t>
  </si>
  <si>
    <t>RUA DO CENTRO - CENTRO - DISTRITO DE Sº ANTONIO DE BARCELONA - S/N</t>
  </si>
  <si>
    <t>SANTO ANTONIO DE BARCELON</t>
  </si>
  <si>
    <t>126KM</t>
  </si>
  <si>
    <t>ANEXO - COLÉGIO POLIVALENTE DE CARAVELAS - NOVA TRIBUNA</t>
  </si>
  <si>
    <t>DISTRITO NOVA TRIBUNA - S/N</t>
  </si>
  <si>
    <t>NOVA TRIBUNA</t>
  </si>
  <si>
    <t>114KM</t>
  </si>
  <si>
    <t>ANEXO - COLÉGIO POLIVALENTE DE CARAVELAS - DISTRITO JUERANA</t>
  </si>
  <si>
    <t>JUERANA - SN(00002)</t>
  </si>
  <si>
    <t>ANEXO - COLÉGIO POLIVALENTE DE CARAVELAS - DISTRITO DE RANCHO ALEGRE</t>
  </si>
  <si>
    <t>RUA DO CENTRO - DISTRITO DE RANCHO ALEGRE - S/N</t>
  </si>
  <si>
    <t>103KM</t>
  </si>
  <si>
    <t>IBIRAPUA</t>
  </si>
  <si>
    <t>COLÉGIO ESTADUAL PROFESSOR PAULO FREIRE</t>
  </si>
  <si>
    <t>RUA ITAPUA - SN(00229)</t>
  </si>
  <si>
    <t>-17.684579632949372, -40.113693647411495</t>
  </si>
  <si>
    <t>ITAMARAJU</t>
  </si>
  <si>
    <t>COMPLEXO INTEGRADO DE EDUCACAO DE ITAMARAJU - CIE DE ITAMARAJU - TEMPO INTEGRAL</t>
  </si>
  <si>
    <t>MARANHAO - 52</t>
  </si>
  <si>
    <t>DE FATIMA</t>
  </si>
  <si>
    <t>-17.03644323944202, -39.52815328649316</t>
  </si>
  <si>
    <t>COLÉGIO ESTADUAL PROFESSORA MARIA DO CARMO MARQUÊS DE FREITAS</t>
  </si>
  <si>
    <t>ITAJUIPE - 200</t>
  </si>
  <si>
    <t>CRISTO REDENTOR</t>
  </si>
  <si>
    <t>-17.032309357052725, -39.54200440203891</t>
  </si>
  <si>
    <t>COLÉGIO ESTADUAL PROFESSORA AURIVALDINA JOAZEIRO</t>
  </si>
  <si>
    <t>RUA IRMÃO ANDRADA - 1635</t>
  </si>
  <si>
    <t>JAQUEIRA</t>
  </si>
  <si>
    <t>-17.048679082194706, -39.52738450203874</t>
  </si>
  <si>
    <t>ANEXO DO EXTREMO SUL - POVOADO DE CAMPO ALEGRE</t>
  </si>
  <si>
    <t>POVOADO DE CAMPO ALEGRE - S/N</t>
  </si>
  <si>
    <t>ANEXO DO CEMIT EXTREMO SUL - POVOADO DE SÃO JOÃO DA PRATA</t>
  </si>
  <si>
    <t>POVOADO SAO JOAO DA PRATA - S/N</t>
  </si>
  <si>
    <t>106KM</t>
  </si>
  <si>
    <t>ANEXO DO CEMIT EXTREMO SUL - DISTRITO VILA UNIÃO</t>
  </si>
  <si>
    <t>INDEPENDENCIA - S/N</t>
  </si>
  <si>
    <t>ANEXO DO CEMIT EXTREMO SUL - DISTRITO PIRAJI</t>
  </si>
  <si>
    <t>MARECHAL CARVALHO CHAVES - S/N</t>
  </si>
  <si>
    <t>71KM</t>
  </si>
  <si>
    <t>ANEXO DO CEMIT EXTREMO SUL - DISTRITO NOVA ALEGRIA</t>
  </si>
  <si>
    <t>EMIMIDIO SILIRIO SILVA - 60</t>
  </si>
  <si>
    <t>ANEXO DO CEMIT EXTREMO SUL - DISTRITO DE PIRAJÁ</t>
  </si>
  <si>
    <t>POVOADO DE PIRAJÁ - S/N</t>
  </si>
  <si>
    <t>ANEXO CEMIT EXTREMO SUL - POVOADO DE SÃO PAULINHO</t>
  </si>
  <si>
    <t>POVOADO SAO PAULINHO - S/N</t>
  </si>
  <si>
    <r>
      <rPr>
        <rFont val="Calibri"/>
        <b/>
        <color theme="1"/>
        <sz val="11.0"/>
      </rPr>
      <t xml:space="preserve">06 salas: </t>
    </r>
    <r>
      <rPr>
        <rFont val="Calibri"/>
        <b/>
        <color rgb="FFFF0000"/>
        <sz val="11.0"/>
      </rPr>
      <t>Sendo 05 utilizadas para aula</t>
    </r>
    <r>
      <rPr>
        <rFont val="Calibri"/>
        <b/>
        <color theme="1"/>
        <sz val="11.0"/>
      </rPr>
      <t xml:space="preserve"> e 01 multiuso. </t>
    </r>
  </si>
  <si>
    <t>ANEXO CEMIT EXTREMO SUL - DISTRITO ITABRASIL</t>
  </si>
  <si>
    <t>DOIS DE JULHO - S/N</t>
  </si>
  <si>
    <t>72KM</t>
  </si>
  <si>
    <t>ANEXO CEMIT EXTREMO SUL - DISTRITO DE PAU D' ALHO</t>
  </si>
  <si>
    <t>-POVOADO DE PAU D'ALHO - S/N</t>
  </si>
  <si>
    <t>ANEXO - COLÉGIO ESTADUAL DO CAMPO ANDERSON FRANCA - ASSENTAMENTO BELA VISTA</t>
  </si>
  <si>
    <t>RODOVIA ITAMARAJU/JUCURUCU - SN(00008)</t>
  </si>
  <si>
    <t>ASSENTAMENTO BELA VISTA</t>
  </si>
  <si>
    <t>ITANHEM</t>
  </si>
  <si>
    <t>COLÉGIO ESTADUAL DE TEMPO INTEGRAL DE ITANHEM (ANTIGO POLIVALENTE )</t>
  </si>
  <si>
    <t>ALVES DE MACEDO - 85</t>
  </si>
  <si>
    <t>SAO JOAO</t>
  </si>
  <si>
    <t>-17.162581492394576, -40.332237865765926</t>
  </si>
  <si>
    <t>Estruturas adapadas: 01 blibioteca
Demais laboratórios: 01 de Aprendizagem</t>
  </si>
  <si>
    <t>UNIDADES EM TRAMITES DE UNIFICAÇÃO/PARALISAÇÃO E EXTINÇÃO</t>
  </si>
  <si>
    <t>ANEXO DO CEMIT EXTRMO SUL - DISTRITO VILA SALOMÃO</t>
  </si>
  <si>
    <t>JOÃO LOPES DE ANGELO - 80</t>
  </si>
  <si>
    <t>DISTRITO VILA SALOMÃO</t>
  </si>
  <si>
    <t>ANEXO DO CEMIT EXTREMO SUL - DISTRITO VILA SÃO JOSÉ</t>
  </si>
  <si>
    <t>PRINCIPAL - SN(00015)</t>
  </si>
  <si>
    <t>DISTRITO VILA SÃO JOSÉ</t>
  </si>
  <si>
    <t>Atualizada em: 24/02/2025</t>
  </si>
  <si>
    <t>ANEXO DO CEMIT EXTREMO SUL - DISTRITO VILA JOSE RESENDE</t>
  </si>
  <si>
    <t>MUNICIPIO</t>
  </si>
  <si>
    <r>
      <rPr>
        <rFont val="Calibri"/>
        <b/>
        <color theme="1"/>
        <sz val="12.0"/>
      </rPr>
      <t xml:space="preserve">TIPO
</t>
    </r>
    <r>
      <rPr>
        <rFont val="Arial"/>
        <b/>
        <color rgb="FFFF0000"/>
        <sz val="8.0"/>
      </rPr>
      <t>E - ESCOLA
A - ANEXO 
EFA - ESCOLA AGRÍCOLA</t>
    </r>
  </si>
  <si>
    <r>
      <rPr>
        <rFont val="Calibri"/>
        <b/>
        <color theme="1"/>
        <sz val="12.0"/>
      </rPr>
      <t xml:space="preserve">COD_SEC </t>
    </r>
    <r>
      <rPr>
        <rFont val="Calibri"/>
        <b/>
        <color rgb="FFFF0000"/>
        <sz val="12.0"/>
      </rPr>
      <t>ESCOLA SEDE</t>
    </r>
  </si>
  <si>
    <r>
      <rPr>
        <rFont val="Calibri"/>
        <b/>
        <color theme="1"/>
        <sz val="12.0"/>
      </rPr>
      <t xml:space="preserve">COD_SEC
</t>
    </r>
    <r>
      <rPr>
        <rFont val="Calibri"/>
        <b/>
        <color rgb="FFFF0000"/>
        <sz val="12.0"/>
      </rPr>
      <t>ANEXO</t>
    </r>
  </si>
  <si>
    <t>ANEXO DO CEMIT EXTREMO SUL - DISTRITO CURVELO DA CONCEIÇÃO</t>
  </si>
  <si>
    <t>PRINCIPAL - S/N</t>
  </si>
  <si>
    <t>DISTRITO CURVELO DA CONCEIÇÃO</t>
  </si>
  <si>
    <t>DATA DA RETIRADA</t>
  </si>
  <si>
    <t>UNIDADE MIGRADORA</t>
  </si>
  <si>
    <r>
      <rPr>
        <rFont val="Calibri"/>
        <b/>
        <color theme="1"/>
        <sz val="11.0"/>
      </rPr>
      <t>10 (</t>
    </r>
    <r>
      <rPr>
        <rFont val="Calibri"/>
        <b/>
        <color rgb="FFFF0000"/>
        <sz val="11.0"/>
      </rPr>
      <t>Sendo 06 salas de aula</t>
    </r>
    <r>
      <rPr>
        <rFont val="Calibri"/>
        <b/>
        <color theme="1"/>
        <sz val="11.0"/>
      </rPr>
      <t>, 01 adaptada para biblioteca, 02 adaptada para auditório e 01 adaptada para sala  de jogos)</t>
    </r>
  </si>
  <si>
    <t>ANEXO - COLÉGIO ESTADUAL DE TEMPO INTEGRAL DE ITANHÉM  - DISTRITO SANTA RITA DO PLANALTO</t>
  </si>
  <si>
    <t>TEOFILO OTONI - 80</t>
  </si>
  <si>
    <t>DISTRITO SANTA RITA DO PLANALTO</t>
  </si>
  <si>
    <t xml:space="preserve">                                                                                                                                                                                                                                                                                                                                                                                                                                                               </t>
  </si>
  <si>
    <t>SITUAÇÃO ATUAL DA UEE</t>
  </si>
  <si>
    <t>ANEXO - COLÉGIO ESTADUAL DE TEMPO INTEGRAL DE ITANHÉM  - DISTRITO IBIRAJA</t>
  </si>
  <si>
    <t>SADY TEIXEIRA - 14</t>
  </si>
  <si>
    <t>DISTRITO IBIRAJA</t>
  </si>
  <si>
    <t>UNIDADE QUE RECEBEU OS ESTUDANTES</t>
  </si>
  <si>
    <t xml:space="preserve">NTE 05 </t>
  </si>
  <si>
    <t>COLEGIO ESTADUAL EDUARDO CATALAO</t>
  </si>
  <si>
    <t>ANEXO - COLÉGIO ESTADUAL DE TEMPO INTEGRAL DE ITANHÉM  - DISTRITO BATINGA</t>
  </si>
  <si>
    <t>DA MATRIZ - S/N</t>
  </si>
  <si>
    <t>DISTRITO BATINGA</t>
  </si>
  <si>
    <t>UNIFICADA</t>
  </si>
  <si>
    <t>1176424 - COLEGIO MODELO LUIS EDUARDO MAGALHAES - TEMPO INTEGRAL</t>
  </si>
  <si>
    <t>NTE 26</t>
  </si>
  <si>
    <t>SALVADOR</t>
  </si>
  <si>
    <t>JUCURUCU</t>
  </si>
  <si>
    <t>CENTRO EDUCACIONAL PELA ARTE HORA DA CRIANCA</t>
  </si>
  <si>
    <t>SEM ESTUDANTES</t>
  </si>
  <si>
    <t>COLEGIO ESTADUAL DE TEMPO INTEGRAL PROFESSORA MARIA EDITE VIEIRA GUSMAO</t>
  </si>
  <si>
    <t>NTE 17</t>
  </si>
  <si>
    <t>EUCLIDES DA CUNHA</t>
  </si>
  <si>
    <t>COLÉGIO ESTADUAL ANTONIETA XAVIER SIQUEIRA SANTOS - TEMPO INTEGRAL</t>
  </si>
  <si>
    <t>RUA RAMIRO ROCHA - 131</t>
  </si>
  <si>
    <t>1114559 - CENTRO TERRITORIAL DE EDUCACAO PROFISSIONAL SERTAO FORTE</t>
  </si>
  <si>
    <t>-16.845428037434157, -40.162939983366485</t>
  </si>
  <si>
    <t>CIPO</t>
  </si>
  <si>
    <t>COLÉGIO ESTADUAL PROFESSORA MARIA MACEDO VIEIRA DE BRITO</t>
  </si>
  <si>
    <t>1178322 COLÉGIO ESTADUAL DE TEMPO INTEGRAL ÁGUAS TERMAIS DE CIPÓ (ANTIGO CE PROFESSORA IVONE VICTOR FERNANDES SANTOS)</t>
  </si>
  <si>
    <t>ANEXO - COLÉGIO ESTADUAL PROFESSORA MARIA MACEDO VIEIRA DE BRITO - DISTRITO DE ITAPICURU</t>
  </si>
  <si>
    <t>NTE 10</t>
  </si>
  <si>
    <t>CURAÇA</t>
  </si>
  <si>
    <t>COLÉGIO ESTADUAL MANOEL NOVAES</t>
  </si>
  <si>
    <t>Sala multifuncional: 01 sala de grêmio</t>
  </si>
  <si>
    <t>1161638 - CENTRO TERRITORIAL DE EDUCAÇÃO PROFISSIONAL EM TEMPO INTEGRAL MARIA DE ALMEIDA ARAÚJO</t>
  </si>
  <si>
    <t>DIAS DAVILA</t>
  </si>
  <si>
    <t>ANEXO - COLEGIO ESTADUAL DE TEMPO INTEGRAL PROFESSORA MARIA EDITE VIEIRA GUSMAO - DISTRITO DE SÃO JOÃO DA BOA NOVA</t>
  </si>
  <si>
    <t>DIST. DE SAO JOAO DA BOA NOVA - S/N</t>
  </si>
  <si>
    <t>DISTRITO DE SAO JOAO DA BOA NOVA</t>
  </si>
  <si>
    <t>ANEXO - CENTRO TERRITORIAL DE EDUC. PROF. DE DIAS DAVILA</t>
  </si>
  <si>
    <t>CETEP DE DIAS D AVILA 1179670</t>
  </si>
  <si>
    <t>COLEGIO ESTADUAL DOUTOR LUIS DE MOURA BASTOS - TEMPO INTEGRAL</t>
  </si>
  <si>
    <t>LAURO DE FREITAS</t>
  </si>
  <si>
    <t>ANEXO - COLEGIO ESTADUAL DE TEMPO INTEGRAL PROFESSORA MARIA EDITE VIEIRA GUSMAO - DISTRITO DE MONTE AZUL</t>
  </si>
  <si>
    <t>RUA GUARATINGA, S/N DISTRITO DE MONTE AZUL - SN(00285)</t>
  </si>
  <si>
    <t>DISTRITO DE MONTE AZUL</t>
  </si>
  <si>
    <t>25 KM</t>
  </si>
  <si>
    <t>COLEGIO SOCIAL DE PORTAO</t>
  </si>
  <si>
    <t xml:space="preserve">COLÉGIO ESTADUAL DE TEMPO INTEGRAL DE PORTÃO (ANTIGO CE KLEBER PACHECO DE OLIVEIRA) 1102470 </t>
  </si>
  <si>
    <t>ANEXO - COLEGIO ESTADUAL KLEBER PACHECO DE OLIVEIRA - SEDE</t>
  </si>
  <si>
    <t>NTE 11</t>
  </si>
  <si>
    <t>FORMOSA DO RIO PRETO</t>
  </si>
  <si>
    <t>COLEGIO ESTADUAL NOSSA SENHORA APARECIDA</t>
  </si>
  <si>
    <t>CENTRO TERRITORIAL DE EDUCACAO PROFISSIONAL VALE DO RIO PRETO (1179662)</t>
  </si>
  <si>
    <t>ANEXO - COLEGIO ESTADUAL DE TEMPO INTEGRAL PROFESSORA MARIA EDITE VIEIRA GUSMAO - DISTRITO DE ÁGUA LIMPA</t>
  </si>
  <si>
    <t>COLEGIO ESTADUAL ISABEL ARAUJO DA SILVA</t>
  </si>
  <si>
    <t>RUA PRINCIPAL, S/N - DISTRITO DE AGUA LIMPA - S/N</t>
  </si>
  <si>
    <t>DISTRITO DE ÁGUA LIMPA</t>
  </si>
  <si>
    <t xml:space="preserve">NTE 13 </t>
  </si>
  <si>
    <t>BRUMADO</t>
  </si>
  <si>
    <t>COLEGIO ESTADUAL GETULIO VARGAS</t>
  </si>
  <si>
    <t>1123817 - COLÉGIO ESTADUAL DE TEMPO INTEGRAL DE BRUMADO</t>
  </si>
  <si>
    <t xml:space="preserve">NTE 27 </t>
  </si>
  <si>
    <t>EUNAPOLIS</t>
  </si>
  <si>
    <t>LAJEDAO</t>
  </si>
  <si>
    <t>COLEGIO ESTADUAL PROFESSOR JAIRO ALVES PEREIRA</t>
  </si>
  <si>
    <t xml:space="preserve">1146167 - COMPLEXO INTEGRADO DE EDUCAÇÃO MARIA DE LOURDES TAVARES LEITE
</t>
  </si>
  <si>
    <t>COLÉGIO ESTADUAL PROFESSORA NEIDE SOARES BORGES</t>
  </si>
  <si>
    <t>CLAUDEMIRO R. PASSOS - SN(01231)</t>
  </si>
  <si>
    <t>-17.611266836680855, -40.34887321638231</t>
  </si>
  <si>
    <t xml:space="preserve">NTE 19 </t>
  </si>
  <si>
    <t>FEIRA DE SANTANA</t>
  </si>
  <si>
    <t>ANEXO - COLEGIO EST TEMPO INTEGRAL PAULO VI - DISTRITO DE LIMOEIRO</t>
  </si>
  <si>
    <t>PARALISADA</t>
  </si>
  <si>
    <t>MEDEIROS NETO</t>
  </si>
  <si>
    <t>CENTRO TERRITORIAL DE EDUCAÇÃO PROFISSIONAL DE MEDEIROS NETO</t>
  </si>
  <si>
    <t>RODOVIA MEDEIROS NETO, BA 290 - SN(00004)</t>
  </si>
  <si>
    <t>NTE 25</t>
  </si>
  <si>
    <t xml:space="preserve">6KM </t>
  </si>
  <si>
    <t>ANTONIO GANÇALVES</t>
  </si>
  <si>
    <t>-17.38739162972637, -40.227924670047564</t>
  </si>
  <si>
    <t xml:space="preserve">ANEXO-COL. EST. DE T.I. DE ANTONIO GONCALVES -CALDEIRAO DO MULATO </t>
  </si>
  <si>
    <t xml:space="preserve">ANEXO - COL. EST. PROF HILDA MONTEIRO MENEZES -DIST BREJAO DA GROTA </t>
  </si>
  <si>
    <t>NTE 22</t>
  </si>
  <si>
    <t>APUEREMA</t>
  </si>
  <si>
    <t>Estruturas adaptadas: 01 sala de podcast
Demais laboratórios: 01 Gestão e negócios , 01 Agropecuária,  01 Quimica e biologia, 01 Estufa e hidropônica, 01 Aviario, 01 Horta.</t>
  </si>
  <si>
    <t>ANEXO - CEMIT MEDIO RIO DE CONTAS - DIST. NOVO HORIZONTE</t>
  </si>
  <si>
    <t>ANEXO DO CEMIT EXTREMO SUL - DIST VILA MUTUM COMUNIDADE QUILOMBOLA</t>
  </si>
  <si>
    <t>VILA MUTUM - SN(00017)</t>
  </si>
  <si>
    <t>NTE 02</t>
  </si>
  <si>
    <t>DISTRITO VILA MUTUM COMUNIDADE QUILOMBOLA</t>
  </si>
  <si>
    <t>ANEXO DO COLEGIO EST. INDIGENA MARECHAL RONDON - ALDEIA TUXA</t>
  </si>
  <si>
    <t>NTE 03</t>
  </si>
  <si>
    <t>COLÉGIO ESTADUAL GETULIO VARGAS - TEMPO INTEGRAL</t>
  </si>
  <si>
    <t>UNIFICADO</t>
  </si>
  <si>
    <t>1176466 - C. E. NERCY ANTÔNIO DUARTE</t>
  </si>
  <si>
    <t>ANEXO - CENTRO TERRITORIAL DE EDUCACAO PROFISSIONAL DE MEDEIROS NETO - DISTRITO NOVA LÍDICE</t>
  </si>
  <si>
    <t>ANEXO - COLÉGIO ESTADUAL EVILASIO SANTANA GAMA - SEDE</t>
  </si>
  <si>
    <t>SN(00004)</t>
  </si>
  <si>
    <t>DISTRITO DE NOVA LÍDICE</t>
  </si>
  <si>
    <t>1133090 - COLÉGIO ESTADUAL DE TEMPO INTEGRAL EVILASIO SANTANA GAMA</t>
  </si>
  <si>
    <t>NTE 09</t>
  </si>
  <si>
    <t>JAGUAQUARA</t>
  </si>
  <si>
    <t>ESCOLA ESTADUAL RURAL TAYLOR EGIDIO</t>
  </si>
  <si>
    <t>GESTÃO DO NTE INFORMOU QUE A UNIDADE ESTÁ EM PROCESSO DE PARALISAÇÃO/EXTINÇÃO</t>
  </si>
  <si>
    <t>ANEXO - CENTRO TERRITORIAL DE EDUCAÇÃO PROFISSIONAL DE MEDEIROS NETO - DISTRITO ITUPEVA</t>
  </si>
  <si>
    <t>PRACA EUGENIA VIANA - 559</t>
  </si>
  <si>
    <t>DISTRITO DE ITUPEVA</t>
  </si>
  <si>
    <t>JUAZEIRO</t>
  </si>
  <si>
    <t>ANEXO - COLÉGIO ESTADUAL CECILIO MATTOS - BAIRRO ARGEMIRO</t>
  </si>
  <si>
    <t>1120338 - COLÉGIO ESTADUAL DE TEMPO INTEGRAL PROFESSOR PAULO JOSÉ DE OLIVEIRA
(PRÓXIMO A PRAÇA DA JUVENTUDE)</t>
  </si>
  <si>
    <t>MUCURI</t>
  </si>
  <si>
    <t>COLÉGIO ESTADUAL INTEGRAÇÃO - DISTRITO DE ITABATAN</t>
  </si>
  <si>
    <t>AVENIDA ESTADOS UNIDOS - 79</t>
  </si>
  <si>
    <t>COLÉGIO ESTADUAL DE TEMPO INTEGRAL PROFESSOR PAULO JOSÉ DE OLIVEIRA
(PRÓXIMO A PRAÇA DA JUVENTUDE)</t>
  </si>
  <si>
    <t>NOVA UNIDADE/MUDANÇA DE NOME</t>
  </si>
  <si>
    <t>-17.996691984531612, -39.85985704860544</t>
  </si>
  <si>
    <t>ANTIGO - COLÉGIO ESTADUAL MISAEL AGUILAR SILVA SEC 1178255 MEC 29467004</t>
  </si>
  <si>
    <t>FATIMA</t>
  </si>
  <si>
    <t>COLÉGIO ESTADUAL PAULO FREIRE</t>
  </si>
  <si>
    <t xml:space="preserve">1114478 - COLÉGIO ESTADUAL DE TEMPO INTEGRAL PROFESSORA ANA MIRENA DA SILVA </t>
  </si>
  <si>
    <t>COLÉGIO ESTADUAL ERALDO TINOCO DE MELLO - TEMPO INTEGRAL</t>
  </si>
  <si>
    <t>GESTÃO DO NTE INFORMOU QUE OS ALUNOS MIGRARAM PARA O GENERAL SAMPAIO, PRÉDIO ENTREGUE A PM</t>
  </si>
  <si>
    <t>1106530 - COLÉGIO ESTADUAL GENERAL SAMPAIO</t>
  </si>
  <si>
    <t xml:space="preserve">Estruturas adaptadas: 01 Biblioteca, 01 Refeitório </t>
  </si>
  <si>
    <t>COLÉGIO ESTADUAL DO CAMPO ALCIDES AFONSO DE SOUZA</t>
  </si>
  <si>
    <t>RODOVIA BA 698 KM 16 - SN(00120)</t>
  </si>
  <si>
    <t>ASSENTAMENTO PAULO FREIRE</t>
  </si>
  <si>
    <t>-18.095776618091055, -39.660272990921406</t>
  </si>
  <si>
    <t>ESCOLA JESUS CRISTO</t>
  </si>
  <si>
    <t>INFORMAÇÃO DO NTE: EM TRAMITAÇÃO PARA SER ENSINO PARTICULAR</t>
  </si>
  <si>
    <t>ANDORINHA</t>
  </si>
  <si>
    <t>COLEGIO ESTADUAL DO CAMPO CARLOS HUMBERTO DE MIRANDA PEREIRA MELLO - DISTRITO DE VILA MEDRADO</t>
  </si>
  <si>
    <t>EM TRAMITE PARA VIRAR ANEXO DO COLÉGIO ESTADUAL DO CAMPO DE TEMPO INTEGRAL DE ANDORINHA - 1164998</t>
  </si>
  <si>
    <t>CONCEICAO DO JACUIPE</t>
  </si>
  <si>
    <t xml:space="preserve">Estrututras adaptadas: 01 Auditório  </t>
  </si>
  <si>
    <t>COLÉGIO ESTADUAL DOMINGOS BARROS DE AZEVEDO</t>
  </si>
  <si>
    <t>1105266 - COLÉGIO ESTADUAL DE CONCEIÇÃO DO JACUIPE</t>
  </si>
  <si>
    <t>COLÉGIO ESTADUAL DE TEMPO INTEGRAL JACI FERREIRA DOS SANTOS</t>
  </si>
  <si>
    <t>PÇA CUSTODIA COSTA DE OLIVEIRA, 101 - SN(00135)</t>
  </si>
  <si>
    <t>NTE 01</t>
  </si>
  <si>
    <t>-18.069843598316417, -39.55539790917128</t>
  </si>
  <si>
    <t>ANEXO - COLEGIO ESTADUAL DE TEMPO INTEGRAL DO CAMPO DE MIROROS - DISTRITO DE MIRORÓS II</t>
  </si>
  <si>
    <t>1126050 COLEGIO ESTADUAL DE TEMPO INTEGRAL DO CAMPO DE MIROROS</t>
  </si>
  <si>
    <t>ANEXO - COLEGIO ESTADUAL DE TEMPO INTEGRAL DO CAMPO DE MIROROS - DISTRITO DE MIRORÓS I</t>
  </si>
  <si>
    <t xml:space="preserve">Estruturas adaptadas: 01 Refeitório, 01 Informática
01 Ciências, 01 Sala de AEE, 01 Sala de artes, </t>
  </si>
  <si>
    <t>ANEXO - COLÉGIO ESTADUAL INTEGRAÇÃO - DISTRITO DE TAQUARINHA</t>
  </si>
  <si>
    <t>DISTRITO DE TAQUARINHA - SN(00004)</t>
  </si>
  <si>
    <r>
      <rPr>
        <rFont val="Calibri"/>
        <b/>
        <color theme="1"/>
        <sz val="11.0"/>
      </rPr>
      <t>12 (</t>
    </r>
    <r>
      <rPr>
        <rFont val="Calibri"/>
        <b/>
        <color rgb="FFFF0000"/>
        <sz val="11.0"/>
      </rPr>
      <t>Sendo 11 como aula,</t>
    </r>
    <r>
      <rPr>
        <rFont val="Calibri"/>
        <b/>
        <color theme="1"/>
        <sz val="11.0"/>
      </rPr>
      <t xml:space="preserve"> 01 adaptada para sala de jogos)</t>
    </r>
  </si>
  <si>
    <t>ANEXO - COLÉGIO ESTADUAL INTEGRAÇÃO - DISTRITO DE IBIRANHÉM</t>
  </si>
  <si>
    <t>PRACA - S/N</t>
  </si>
  <si>
    <t xml:space="preserve">NTE 04 </t>
  </si>
  <si>
    <t>COLÉGIO ESTADUAL IMACULADA CONCEIÇÃO</t>
  </si>
  <si>
    <t>ANEXO - COLÉGIO ESTADUAL INTEGRAÇÃO - DISTRITO DE CRUZELÂNDIA</t>
  </si>
  <si>
    <t>DISTRITO DE CRUZELANDIA - S/N</t>
  </si>
  <si>
    <t>1115431
CENTRO TERRITORIAL DE EDUCAÇÃO PROFISSIONAL DO SISAL II</t>
  </si>
  <si>
    <t>ITAPARICA</t>
  </si>
  <si>
    <t>COLEGIO ESTADUAL JOAO UBALDO RIBEIRO - EM TEMPO INTEGRAL</t>
  </si>
  <si>
    <t>1102453
 COLÉGIO ESTADUAL DE TEMPO INTEGRAL ERNESTO CARNEIRO RIBEIRO</t>
  </si>
  <si>
    <t>COLÉGIO ESTADUAL WILSON FALCÃO - TEMPO INTEGRAL</t>
  </si>
  <si>
    <t>ANEXO - COLÉGIO ESTADUAL INTEGRAÇÃO - DISTRITO DE BELO CRUZEIRO</t>
  </si>
  <si>
    <t>1179770
 COLÉGIO ESTADUAL DE TEMPO INTEGRAL GEORGINA DE MELO ERISMANN</t>
  </si>
  <si>
    <t>BELO CRUZEIRO - 689</t>
  </si>
  <si>
    <t>38 KM</t>
  </si>
  <si>
    <t>NTE 04</t>
  </si>
  <si>
    <t>ANEXO - COLEGIO ESTADUAL NECY NOVAES - DISTRITO DE PEREIRA</t>
  </si>
  <si>
    <t>1115814
 COLÉGIO ESTADUAL NECY NOVAES - DISTRITO DE PEREIRA</t>
  </si>
  <si>
    <t>NOVA VICOSA</t>
  </si>
  <si>
    <t xml:space="preserve">NTE 18 </t>
  </si>
  <si>
    <t>ENTRE RIOS</t>
  </si>
  <si>
    <t>COMPLEXO INTEGRADO DE EDUCAÇÃO BÁSICA, PROFISSIONAL E TECNOLÓGICA CHICO MENDES - TEMPO INTEGRAL</t>
  </si>
  <si>
    <t>COLEGIO ESTADUAL ERALDO TINOCO - EM TEMPO INTEGRAL</t>
  </si>
  <si>
    <t>POSTO DA MATA - 10</t>
  </si>
  <si>
    <t>-17.88636492710616, -39.848750647818505</t>
  </si>
  <si>
    <t>COLÉGIO ESTADUAL PROFESSORA IRENIL COSTA BRANDÃO - TEMPO INTEGRAL</t>
  </si>
  <si>
    <t>1178009 COLÉGIO ESTADUAL DE TEMPO INTEGRAL EVANDRO BRANDÃO</t>
  </si>
  <si>
    <t>COLÉGIO ESTADUAL PROFESSORA JANE ASSIS PEIXOTO - DISTRITO POSTO DA MATA</t>
  </si>
  <si>
    <t>RUA GIRASSOL - SN(00001)</t>
  </si>
  <si>
    <t>CIDADE ALTA</t>
  </si>
  <si>
    <t>-17.875672373760345, -39.85989233273593</t>
  </si>
  <si>
    <t>REMANSO</t>
  </si>
  <si>
    <t>ANEXO - CEMIT - SERTAO DO SAO FRANCISCO - DISTRITO DE XIQUE - XIQUE</t>
  </si>
  <si>
    <t>PLANALTINO</t>
  </si>
  <si>
    <t>COLÉGIO ESTADUAL DE TEMPO INTEGRAL PROFESSORA GERALDA MARIA CRISTINA BRITO (ANTIGO - COLÉGIO ESTADUAL JOHN KENNEDY)</t>
  </si>
  <si>
    <t>RUA ITUASSU - 30</t>
  </si>
  <si>
    <t>ANEXO - COLÉGIO ESTADUAL MANOEL JOSE DE ANDRADE - SEDE</t>
  </si>
  <si>
    <t>-17.91257118893069, -39.39347372035438</t>
  </si>
  <si>
    <t>NOVA CANAA</t>
  </si>
  <si>
    <t>ANEXO - COLÉGIO ESTADUAL FLORESTAL - DISTRITO DE ICARAI</t>
  </si>
  <si>
    <t>ANEXO DO CEMIT EXTREMO SUL - DISTRITO DE ARGOLO</t>
  </si>
  <si>
    <t>DIST. DE ARGOLO - S/N</t>
  </si>
  <si>
    <t>CAETITE</t>
  </si>
  <si>
    <t>COMPLEXO INTEGRADO DE EDUCACAO DE CAETITE - CIE DE CAETITE - TEMPO INTEGRAL</t>
  </si>
  <si>
    <t>INATIVA</t>
  </si>
  <si>
    <t>CRISTOPOLIS</t>
  </si>
  <si>
    <t>ANEXO- COLÉGIO ESTADUAL DE CRISTOPOLIS - SEDE</t>
  </si>
  <si>
    <t>JACOBINA</t>
  </si>
  <si>
    <t>ANEXO - COLÉGIO ESTADUAL PROFESSORA JANE ASSIS PEIXOTO - DIST DE HELVÉCIA - COMUNIDADE QUILOMBOLA</t>
  </si>
  <si>
    <t>DIST. DE HELVECIA - S/N</t>
  </si>
  <si>
    <t>ANEXO - COLÉGIO ESTADUAL DE JUNCO - DISTRITO DE NOVO PARAISO</t>
  </si>
  <si>
    <t>COLÉGIO ESTADUAL GENERAL SAMPAIO</t>
  </si>
  <si>
    <t>PRADO</t>
  </si>
  <si>
    <t>COLEGIO ESTADUAL DE TEMPO INTEGRAL PROFESSORA CELIA SANTOS ANDRADE</t>
  </si>
  <si>
    <t>COLÉGIO ESTADUAL INDÍGENA TAWA - ALDEIA TAWA</t>
  </si>
  <si>
    <t>ALDEIA TAWA - SN(00014)</t>
  </si>
  <si>
    <t>-16.968339798478773, -39.17165663581949</t>
  </si>
  <si>
    <t>INSTITUTO DE EDUCACAO ANISIO TEIXEIRA</t>
  </si>
  <si>
    <t>1179778 COMPLEXO INTEGRADO DE EDUCAÇÃO BÁSICA, PROFISSIONAL E TECNOLÓGICA - CIEBTEC - TEMPO INTEGRAL</t>
  </si>
  <si>
    <t>CENTRO TERRITORIAL DE EDUCACAO PROFISSIONAL DO SERTAO PRODUTIVO</t>
  </si>
  <si>
    <t>ANEXO - COLÉGIO ESTADUAL ANISIO HONORATO GODOY - AGROVILA 02</t>
  </si>
  <si>
    <t xml:space="preserve">1179772 COLÉGIO ESTADUAL DO CAMPO DE TEMPO INTEGRAL CLEONICE OLEGÁRIO DOS SANTOS - NA AGROVILA 02 
ATENDER DEMANDA DE ALUNOS DAS AGROVILAS 01, 03, 04 E CSB </t>
  </si>
  <si>
    <t>CHORROCHO</t>
  </si>
  <si>
    <t>COLÉGIO ESTADUAL INDÍGENA TANARA PATAXÓ PEQUI/GURITA - ALDEIA PEQUI</t>
  </si>
  <si>
    <t>ANEXO - COLÉGIO ESTADUAL SAO JOSE - POVOADO SAO JOSE</t>
  </si>
  <si>
    <t>ALDEIA PEQUI - SN(00656)</t>
  </si>
  <si>
    <t>ALDEIA PEQUI</t>
  </si>
  <si>
    <t>1178070 COLÉGIO ESTADUAL DE TEMPO INTEGRAL SÃO JOSÉ</t>
  </si>
  <si>
    <t>-17.333120397317526, -39.22676881552744</t>
  </si>
  <si>
    <t>CAMACARI</t>
  </si>
  <si>
    <t>ANEXO - COLÉGIO ESTADUAL DE VILA DE ABRANTES - DISTRITO DE CATU DE ABRANTES</t>
  </si>
  <si>
    <t>COLÉGIO ESTADUAL INDÍGENA KIJETXAWE ZABELÊ - DISTRITO ALDEIA CUMURUXATIBA</t>
  </si>
  <si>
    <t>BAIRRO CANTA GALO, RUA DOS NATIVOS N SN(00047) Bairro: CUMURUXATIBA CEP: 45980000</t>
  </si>
  <si>
    <t>DISTRITO DE COMURUXATIBA</t>
  </si>
  <si>
    <t>COLÉGIO ESTADUAL LUIZ VIANA FILHO - TEMPO INTEGRAL</t>
  </si>
  <si>
    <t>-17.114349726540176, -39.19060517975835</t>
  </si>
  <si>
    <t>COLÉGIO ESTADUAL DE TEMPO INTEGRAL DE BARRA 1127502</t>
  </si>
  <si>
    <t>CURACA</t>
  </si>
  <si>
    <t>ESCOLA ESTADUAL INDÍGENA NOSSA SENHORA DE LOURDES</t>
  </si>
  <si>
    <t>COLÉGIO ESTADUAL INDÍGENA DE CORUMBAUZINHO - ALDEIA CORUMBAUZINHO</t>
  </si>
  <si>
    <t>ALDEIA INDIGENA CORUMBAUZINHO - SN(00209)</t>
  </si>
  <si>
    <t>-17.334706457471544, -39.227716188541535</t>
  </si>
  <si>
    <t>ANEXO - COLÉGIO ESTADUAL SOUTO SOARES - DISTRITO DE CISTERNA</t>
  </si>
  <si>
    <t>MIGROU PRA NOVA UNIDADE</t>
  </si>
  <si>
    <t xml:space="preserve">COLEGIO ESTADUAL DE TEMPO INTEGRAL PROFESSOR ADEMAR SOUZA OLIVEIRA 1179793
</t>
  </si>
  <si>
    <t>COLÉGIO ESTADUAL INDÍGENA BOM JESUS - ALDEIA INDÍGENA ÁGUAS BELAS</t>
  </si>
  <si>
    <t>ALDEIA INDIGENA AGUAS BELAS - S/N</t>
  </si>
  <si>
    <t>COLÉGIO ESTADUAL TEOTONIO MARQUES DOURADO FILHO</t>
  </si>
  <si>
    <t>1176457 - CENTRO TERRITORIAL DE EDUCAÇÃO PROFISSIONAL DA CHAPADA DIAMANTINA II</t>
  </si>
  <si>
    <t>-16.933544721677407, -39.254098654686814</t>
  </si>
  <si>
    <t>COTEGIPE</t>
  </si>
  <si>
    <t>COLÉGIO ESTADUAL INDIGENA AKSA PATAXO - ALDEIA CRAVEIRO</t>
  </si>
  <si>
    <t>ANEXO - COLÉGIO ESTADUAL JUTAHY MAGALHAES - DISTRITO DE TABATINGA</t>
  </si>
  <si>
    <t>ALDEIA CRAVEIRO - SN(00010)</t>
  </si>
  <si>
    <t>-16.935775045903927, -39.23998332406101</t>
  </si>
  <si>
    <t>JEREMOABO</t>
  </si>
  <si>
    <t>COLÉGIO ESTADUAL PROFESSORA MARIA LEIDE OLIVEIRA - TEMPO INTEGRAL</t>
  </si>
  <si>
    <t>CENTRO TERRITORIAL DE EDUCAÇÃO PROFISSIONAL RASO DA CATARINA 1178136</t>
  </si>
  <si>
    <t>COLÉGIO ESTADUAL JOSÉ LOURENCO DE CARVALHO - TEMPO INTEGRAL</t>
  </si>
  <si>
    <t>COLÉGIO ESTADUAL DO CAMPO VINTE E CINCO DE JULHO - ASSENTAMENTO TRÊS IRMÃOS</t>
  </si>
  <si>
    <t>ASSENTAMENTO TRES IRMAOS - S/N</t>
  </si>
  <si>
    <t>SANTA RITA DE CASSIA</t>
  </si>
  <si>
    <t>-16.926546715711794, -39.29678815767034</t>
  </si>
  <si>
    <t>COLÉGIO ESTADUAL DEPUTADO HORACIO DE MATOS - EM TEMPO INTEGRAL</t>
  </si>
  <si>
    <t>CENTRO TERRITORIAL DE EDUCACAO PROFISSIONAL SANTA RITA DE CÁSSIA 1130929</t>
  </si>
  <si>
    <t>COLÉGIO ESTADUAL GOVERNADOR LUIZ VIANA FILHO</t>
  </si>
  <si>
    <t>SENTO SE</t>
  </si>
  <si>
    <t>COLÉGIO ESTADUAL DO CAMPO ANDERSON FRANÇA - ASSENTAMENTO JACI ROCHA - TEMPO INTEGRAL</t>
  </si>
  <si>
    <t>ASSENTAMENTO JACI ROCHA - SN(00003)</t>
  </si>
  <si>
    <t>ANEXO - CEMIT SERTAO DE SAO FRANCISCO - POVOADO DE ILHAS</t>
  </si>
  <si>
    <t>-16.92606345572507, -39.29498100430765</t>
  </si>
  <si>
    <t>SAO JOSE DO JACUIPE</t>
  </si>
  <si>
    <t xml:space="preserve"> ANEXO - BERILO VILAS BOAS - COLÉGIO EST - DIST. ITATIAIA</t>
  </si>
  <si>
    <t>ANEXO PARA NOVA UNIDADE</t>
  </si>
  <si>
    <t>COLÉGIO ESTADUAL DE TEMPO INTEGRAL MARIA NEVES CARNEIRO
(ANTIGO ANEXO - BERILO VILAS BOAS - COLÉGIO EST - DIST. ITATIAIA)</t>
  </si>
  <si>
    <t>COLÉGIO ESTADUAL DE TEMPO INTEGRAL HOMERO PIRES</t>
  </si>
  <si>
    <t>BA - 001
AV. JOSÉ PONTES DE ALMEIDA, 742 - PRADO, BA, 45980-000</t>
  </si>
  <si>
    <t>POCOES</t>
  </si>
  <si>
    <t>-17.334316564867486, -39.22438107386104</t>
  </si>
  <si>
    <t>COLÉGIO ESTADUAL ISAIAS ALVES - EM TEMPO INTEGRAL</t>
  </si>
  <si>
    <t>1125186 COLÉGIO ESTADUAL DE TEMPO INTEGRAL ROBERTO SANTOS
(ANTIGO DR ROBERTO SANTOS)</t>
  </si>
  <si>
    <t>COLÉGIO ESTADUAL CARMEN ANDRADE LIMA</t>
  </si>
  <si>
    <t xml:space="preserve">1105754 COLÉGIO ESTADUAL DE TEMPO INTEGRAL ASSIS CHATEAUBRIAND
</t>
  </si>
  <si>
    <t>ANEXO - COLÉGIO ESTADUAL INDÍGENA TANARA PATAXÓ PEQUI/GURITA - ALDEIA MUCUGÊ</t>
  </si>
  <si>
    <t>MUCUGE - SN(00003)</t>
  </si>
  <si>
    <t>COLÉGIO ESTADUAL PADRE VIEIRA</t>
  </si>
  <si>
    <t>DISTRITO DE CORUMBAU</t>
  </si>
  <si>
    <t>1106289 COLÉGIO ESTADUAL ODORICO TAVARES</t>
  </si>
  <si>
    <t>COLÉGIO ESTADUAL YEDA BARRADAS CARNEIRO - TEMPO INTEGRAL</t>
  </si>
  <si>
    <t>Em processo de municipalização, prédio será cedido ao municipio</t>
  </si>
  <si>
    <t>1106491 COLÉGIO ESTADUAL JUIZ JORGE FARIAS GÓES - TEMPO INTEGRAL</t>
  </si>
  <si>
    <t>ANEXO - COLÉGIO ESTADUAL INDÍGENA TANARA PATAXÓ PEQUI/GURITA - ALDEIA GURITA</t>
  </si>
  <si>
    <t>ALDEIA GURITA - SN(00005)</t>
  </si>
  <si>
    <t>IPIRA</t>
  </si>
  <si>
    <t>COLÉGIO ESTADUAL PROFESSORA MARIA BASTOS MELO</t>
  </si>
  <si>
    <t>1160445 COLÉGIO ESTADUAL DE TEMPO INTEGRAL PROFESSOR ARISMÁRIO SENA FERREIRA</t>
  </si>
  <si>
    <t>LAJE</t>
  </si>
  <si>
    <t>COLÉGIO ESTADUAL JUVENILIA PEIXOTO SAMPAIO</t>
  </si>
  <si>
    <t>1178269 COLÉGIO ESTADUAL DE TEMPO INTEGRAL RUY JOSE DE ALMEIDA</t>
  </si>
  <si>
    <t>ANEXO - COLÉGIO ESTADUAL INDÍGENA KIJETXAWE ZABELÊ - ALDEIA TIBA</t>
  </si>
  <si>
    <t>ALDEIA TIBA - SN(00001)</t>
  </si>
  <si>
    <t>MARACAS</t>
  </si>
  <si>
    <t>COLÉGIO ESTADUAL EDIVALDO BOAVENTURA - EM TEMPO INTEGRAL</t>
  </si>
  <si>
    <t>1176455 COLÉGIO ESTADUAL DE TEMPO INTEGRAL DE MARACÁS IRACY MARLENE DA HORA PASSOS (ANTIGO - CE. EDILSON FREIRE)</t>
  </si>
  <si>
    <t>ANEXO - COLÉGIO ESTADUAL INDÍGENA KIJETXAWE ZABELÊ - ALDEIA RENASCER</t>
  </si>
  <si>
    <t>ALDEIA RENASCER - SN(00001)</t>
  </si>
  <si>
    <t>CENTRO TERRITORIAL DE EDUCACAO PROFISSIONAL SANTA BERNADETE</t>
  </si>
  <si>
    <t>1178050 CENTRO TERRITORIAL DE EDUCAÇÃO PROFISSIONAL DE TEMPO INTEGRAL SANTO ANTÔNIO DAS QUEIMADAS</t>
  </si>
  <si>
    <t>MUNDO NOVO</t>
  </si>
  <si>
    <t>COLÉGIO ESTADUAL LUIS EDUARDO MAGALHAES</t>
  </si>
  <si>
    <t>A UNIDADE SERÁ DESATIVADA E OS ESTUDANTES SERÃO MATRICULADOS NO CETEP PIEMONTE DO PARAGUAÇU II.</t>
  </si>
  <si>
    <t>1123000 CENTRO TERRITORIAL DE EDUCACAO PROFISSIONAL PIEMONTE DO PARAGUACU II</t>
  </si>
  <si>
    <t>ANEXO - COLÉGIO ESTADUAL INDÍGENA KIJETXAWE ZABELÊ - ALDEIA MONTE DOURADO</t>
  </si>
  <si>
    <t>ALDEIA MONTE DOURADO - SN(00001)</t>
  </si>
  <si>
    <t>VITORIA DA CONQUISTA</t>
  </si>
  <si>
    <t>COLÉGIO ESTADUAL ABDIAS MENEZES</t>
  </si>
  <si>
    <t>CENTRO TERRITORIAL DE EDUCACAO PROFISSIONAL DO LITORAL SUL II - TEMPO INTEGRAL</t>
  </si>
  <si>
    <t>ANEXO - COLÉGIO ESTADUAL INDÍGENA KIJETXAWE ZABELÊ - ALDEIA KAI</t>
  </si>
  <si>
    <t>ALDEIA KAI - SN(00001)</t>
  </si>
  <si>
    <t>OLINDINA</t>
  </si>
  <si>
    <t>ANEXO - COLÉGIO ESTADUAL MINISTRO OLIVEIRA BRITO - TEMPO INTEGRAL</t>
  </si>
  <si>
    <t>ANEXO - COLÉGIO ESTADUAL DE TEMPO INTEGRAL PROFESSORA JADIÊ ROCHA - SEDE</t>
  </si>
  <si>
    <t>ANEXO - COLÉGIO ESTADUAL INDÍGENA KIJETXAWE ZABELÊ - ALDEIA DOIS IRMÃOS</t>
  </si>
  <si>
    <t>ALDEIA DOIS IRMAOS - SN(00002)</t>
  </si>
  <si>
    <t>ANEXO DO CEMIT EXTREMO SUL - DISTRITO VILA JOSÉ RESENDE</t>
  </si>
  <si>
    <t>ANEXO - COLÉGIO ESTADUAL INDÍGENA KIJETXAWE ZABELÊ - ALDEIA ALEGRIA NOVA</t>
  </si>
  <si>
    <t>ALDEIA ALEGRIA NOVA - SN(00001)</t>
  </si>
  <si>
    <t>ANEXO - CEMIT - VELHO CHICO - POVOADO DA CSB</t>
  </si>
  <si>
    <t>TEIXEIRA DE FREITAS</t>
  </si>
  <si>
    <t>CORRENTINA</t>
  </si>
  <si>
    <t>ANEXO - COLÉGIO ESTADUAL DUQUE DE CAXIAS - DISTRITO SAO MANOEL DE BAIXO</t>
  </si>
  <si>
    <t>COLÉGIO ESTADUAL PROFESSOR RÔMULO GALVÃO - MONTE CASTELO - TEMPO INTEGRAL</t>
  </si>
  <si>
    <t>SANTA ISABEL - 37</t>
  </si>
  <si>
    <t>MONTE CASTELO</t>
  </si>
  <si>
    <t>COLÉGIO ESTADUAL DO PHOC</t>
  </si>
  <si>
    <t>-17.536628365928213, -39.72517538043431</t>
  </si>
  <si>
    <t>COLÉGIO ESTADUAL ANGIOLINA TEIXEIRA DE SOUZA</t>
  </si>
  <si>
    <t>COLÉGIO ESTADUAL DE TEMPO INTEGRAL DE CORRENTINA</t>
  </si>
  <si>
    <t>1131453 COLÉGIO ESTADUAL DUQUE DE CAXIAS - TEMPO INTEGRAL</t>
  </si>
  <si>
    <t>CATU</t>
  </si>
  <si>
    <t>COLÉGIO ESTADUAL DE TEMPO INTEGRAL DE CATU (ANTIGO MARIA ISABEL DE MELO GOES)</t>
  </si>
  <si>
    <t>1108591 COLÉGIO ESTADUAL DE TEMPO INTEGRAL DE CATU - (ANTIGO COLÉGIO ESTADUAL ANTONIO DE DEUS SEIXAS)</t>
  </si>
  <si>
    <t>COLÉGIO ESTADUAL VITOR SOARES</t>
  </si>
  <si>
    <t>PARALISADO</t>
  </si>
  <si>
    <t>1103441 - CENTRO DE ATENDIMENTO EDUCACIONAL ESPECIALIZADO PROFESSOR ALBERTO DE ASSIS</t>
  </si>
  <si>
    <t>COLÉGIO ESTADUAL MACHADO DE ASSIS</t>
  </si>
  <si>
    <t>DA REPÚBLICA - SN(00106)</t>
  </si>
  <si>
    <t>VILA VARGAS</t>
  </si>
  <si>
    <t>-17.54549666436171, -39.75050291180945</t>
  </si>
  <si>
    <t>COLÉGIO ESTADUAL LUZIA SILVA</t>
  </si>
  <si>
    <t>COLÉGIO ESTADUAL PROFESSORA ISAURA SANTOS</t>
  </si>
  <si>
    <t>1170360 - COLÉGIO ESTADUAL DE TEMPO INTEGRAL JOSÉ AMÉRICO ARAÚJO</t>
  </si>
  <si>
    <t>CENTRO ESTADUAL DE EDUCAÇÃO PROFISSIONAL EM GESTÃO E NEGÓCIO LETICE OLIVEIRA MACIEL</t>
  </si>
  <si>
    <t>1133138 - COLÉGIO ESTADUAL DE SEABRA - TEMPO INTEGRAL</t>
  </si>
  <si>
    <t>ANEXO - COLÉGIO ESTADUAL DE SEABRA - DISTRITO DE ANGICAL - QUILOMBOLA</t>
  </si>
  <si>
    <t>ANEXO - COLÉGIO ESTADUAL VIRGILIO PEREIRA DE ALMEIDA - DISTRITO DE ITIUBA</t>
  </si>
  <si>
    <t>1119461 - COLÉGIO ESTADUAL DO CAMPO VIRGILIO PEREIRA DE ALMEIDA</t>
  </si>
  <si>
    <t>COLÉGIO ESTADUAL HENRIQUE BRITO - TEMPO INTEGRAL</t>
  </si>
  <si>
    <t>RUA MINISTRO MARIO ANDREAZZA - SN(01137)</t>
  </si>
  <si>
    <t>TEIXEIRINHA</t>
  </si>
  <si>
    <t>CRISOPOLIS</t>
  </si>
  <si>
    <t>-17.53296411445653, -39.74065963576117</t>
  </si>
  <si>
    <t>ANEXO - COLÉGIO ESTADUAL DE TEMPO INTEGRAL EUDOXIA MARIA - DISTRITO DE BURIL</t>
  </si>
  <si>
    <t>ANEXO - COLÉGIO ESTADUAL FLORESTAL - DISTRITO DE ITAJAI</t>
  </si>
  <si>
    <t>CAPIM GROSSO</t>
  </si>
  <si>
    <t>ANEXO -CENTRO TERRITORIAL DE EDUCAÇÃO PROFISSIONAL DA BACIA DO JACUÍPE III-EDNA DALTRO</t>
  </si>
  <si>
    <t>ANEXO - CEMIT - VELHO CHICO - DISTRITO DE JUA - COMUNIDADE QUILOMBOLA</t>
  </si>
  <si>
    <t>COLÉGIO ESTADUAL DE TEMPO INTEGRAL RUY BARBOSA</t>
  </si>
  <si>
    <t>RUA LEUR LOMANTO - SN(00079)</t>
  </si>
  <si>
    <t>-17.535967210671288, -39.72878803880029</t>
  </si>
  <si>
    <t>ANEXO - CEMIT - VELHO CHICO - POVOADO VILA DA QUIXABA</t>
  </si>
  <si>
    <t>ANEXO - CEMIT - VELHO CHICO - POVOADO DE FLORA</t>
  </si>
  <si>
    <t>ANEXO -COLÉGIO ESTADUAL CORONEL HORACIO DE MATOS - DISTRITO DE BOCAINA</t>
  </si>
  <si>
    <t>Demais laboratórios: 01 Química/Biologia, 01 Física/Matemática, 01 Espaço Maker.</t>
  </si>
  <si>
    <t>ANEXO - CEMIT - VELHO CHICO - DISTRITO DE COCAL</t>
  </si>
  <si>
    <t>ANEXO - COLÉGIO ESTADUAL INDIGENA DOM JACKSON BERENGUER PRADO - DISTRITO DE MASSACARA</t>
  </si>
  <si>
    <t>COLÉGIO DA POLÍCIA MILITAR - CPM ANÍSIO TEIXEIRA</t>
  </si>
  <si>
    <t>AVENIDA MARECHAL HERMES DA FONSECA, BAIRRO MONTE CASTELO</t>
  </si>
  <si>
    <t>-17.54173770734816, -39.718511477846484</t>
  </si>
  <si>
    <t>OUROLANDIA</t>
  </si>
  <si>
    <t>ANEXO - COLÉGIO ESTADUAL DE OUROLANDIA- DISTRITO LAGOA DO 33</t>
  </si>
  <si>
    <t>CONDEUBA</t>
  </si>
  <si>
    <t>ANEXO - COLÉGIO EST. DE CONDEUBA - DIST. DE ALEGRE</t>
  </si>
  <si>
    <t>ANEXO - CEMIT - IRECÊ - DISTRITO DE SOARES</t>
  </si>
  <si>
    <t>PLANALTO</t>
  </si>
  <si>
    <t>ANEXO - COLÉGIO ESTADUAL DE PLANALTO - DISTRITO DE LUCAIA</t>
  </si>
  <si>
    <t>Demais laboratórios: 01 Química, 01 Física, 01 linguagens.
Salas multifuncionais: 01 sala de dança, 01 sala de jogos.</t>
  </si>
  <si>
    <t>CENTRO TERRITORIAL DE EDUCAÇÃO PROFISSIONAL DO EXTREMO SUL</t>
  </si>
  <si>
    <t>ANEXO - COLEGIO ESTADUAL JOSE SA NUNES - POVOADO DE VEREDINHA</t>
  </si>
  <si>
    <t>AVENIDA BEIRA VALE - 38</t>
  </si>
  <si>
    <t>JARDIM CARAIPE</t>
  </si>
  <si>
    <t>-17.546498601371173, -39.74126951984324</t>
  </si>
  <si>
    <t>ANEXO - CEMIT BAIXO SUL - DISTRITO DE GUAIBIM</t>
  </si>
  <si>
    <t>SIMOES FILHO</t>
  </si>
  <si>
    <t>ANEXO DO COLÉGIO ESTADUAL DOUTOR BERLINDO MAMEDE DE OLIVEIRA - CASE/CIA</t>
  </si>
  <si>
    <t>ANEXO - CEMIT - LITORAL SUL - BANCO DO PEDRO</t>
  </si>
  <si>
    <t xml:space="preserve">Demais laboratórios: 01 Enfermagem ,01 Hardware e Software,02 Química/Biologia  ,01 Robótica,01 Escritório Criativo.
</t>
  </si>
  <si>
    <t xml:space="preserve">ANEXO - CEMIT IRECE - POVOADO DE MATO VERDE
</t>
  </si>
  <si>
    <t>BOA NOVA</t>
  </si>
  <si>
    <t>CENTRO REGIONAL DE ENSINO MÉDIO COM INTERMEDIAÇÃO TECNOLÓGICA - CEMIT EXTREMO SUL</t>
  </si>
  <si>
    <t>AVENIDA PRESIDENTE GETULIO VARGAS, Nº 3297</t>
  </si>
  <si>
    <t>BELA VISTA</t>
  </si>
  <si>
    <t>-17.545140271866867, -39.7419037903764</t>
  </si>
  <si>
    <t xml:space="preserve">ANEXO - CEMIT MEDIO RIO DE CONTAS - COMUNIDADE DO LAGOAO
</t>
  </si>
  <si>
    <t>RIACHAO DAS NEVES</t>
  </si>
  <si>
    <t>ANEXO - CEMIT - BACIA DO RIO GRANDE - ASSENTAMENTO RIO BRANCO</t>
  </si>
  <si>
    <t>COLÉGIO ESTADUAL DOUTOR JUCA SENTO SÉ - TEMPO INTEGRAL</t>
  </si>
  <si>
    <t>ANEXO - COLÉGIO ESTADUAL MACHADO DE ASSIS - DISTRITO SANTO ANTÔNIO</t>
  </si>
  <si>
    <t>COLÉGIO ESTADUAL DE TEMPO INTEGRAL SETE DE SETEMBRO DE SENTO SÉ , código MEC nº 29031761 e código SEC nº 1179841</t>
  </si>
  <si>
    <t>DISTRITO SANTO ANTONIO - S/N</t>
  </si>
  <si>
    <t>MATA DE SAO JOAO</t>
  </si>
  <si>
    <t>COLÉGIO ESTADUAL GETÚLIO VARGAS</t>
  </si>
  <si>
    <t>1134134 COLÉGIO ESTADUAL DE TEMPO INTEGRAL DE MATA DE SÃO JOÃO</t>
  </si>
  <si>
    <t>GLORIA</t>
  </si>
  <si>
    <t>ANEXO - ESCOLA ESTADUAL INDIGENA MANOEL COELHO - ALDEIA SERROTA</t>
  </si>
  <si>
    <t>PORTO SEGURO</t>
  </si>
  <si>
    <t>ANEXO - COLÉGIO ESTADUAL MACHADO DE ASSIS - CONJUNTO PENAL DE TEIXEIRA DE FREITAS</t>
  </si>
  <si>
    <t>KAIKAN - SN(00005)</t>
  </si>
  <si>
    <t>COLÉGIO ESTADUAL INDÍGENA PATAXÓ BARRA VELHA</t>
  </si>
  <si>
    <t>INSTITUTO EDUCACIONAL DE PEDRA ALTA - DISTRITO DE PEDRA ALTA</t>
  </si>
  <si>
    <t xml:space="preserve">1179820 ANEXO - CEMIT SISAL - DIST. DE PEDRA ALTA </t>
  </si>
  <si>
    <t>CENTRO DE APOIO PEDAGOGICO ESPECIALIZADO - CAPE IRECÊ</t>
  </si>
  <si>
    <t>ANEXO - COLÉGIO ESTADUAL DEMOCRÁTICO RUY BARBOSA DISTRITO DE CACHOEIRA DO MATO</t>
  </si>
  <si>
    <t>RUA - S/N</t>
  </si>
  <si>
    <t>CENTRO DE APOIO PEDAGOGICO ESPECIALIZADO - CAPE SEABRA</t>
  </si>
  <si>
    <t>CENTRO DE APOIO PEDAGOGICO ESPECIALIZADO - CAPE SERRINHA</t>
  </si>
  <si>
    <t>ANEXO - COLÉGIO ESTADUAL DEMOCRÁTICO RUY BARBOSA - DISTRITO DE DUQUE DE CAXIAS</t>
  </si>
  <si>
    <t>DUQUE DE CAXIAS - SN(00005)</t>
  </si>
  <si>
    <t>Reativado</t>
  </si>
  <si>
    <t>CENTRO DE APOIO PEDAGOGICO ESPECIALIZADO - CAPE BOM JESUS DA LAPA</t>
  </si>
  <si>
    <t>VEREDA</t>
  </si>
  <si>
    <t>ANEXO - CEMIT - IRECÊ - DISTRITO DE ITAPICURU</t>
  </si>
  <si>
    <t>COLÉGIO ESTADUAL ODÍLIO ALVES NETO - TEMPO INTEGRAL</t>
  </si>
  <si>
    <t>RUA SERVILHA DA SILVEIRA - 41</t>
  </si>
  <si>
    <t>-17.22601110096896, -40.08608775960373</t>
  </si>
  <si>
    <t>LUIS EDUARDO MAGALHAES</t>
  </si>
  <si>
    <t>ANEXO - COLÉGIO ESTADUAL MIMOSO DO OESTE - SEDE II</t>
  </si>
  <si>
    <t>SAO DESIDERIO</t>
  </si>
  <si>
    <t>COLÉGIO ESTADUAL PROFESSOR MANOEL MACEDO CIRILO</t>
  </si>
  <si>
    <t>COLÉGIO ESTADUAL FRANCISCO SILVA PASSOS - DISTRITO CRUZEIRO DO SUL</t>
  </si>
  <si>
    <t>1176129 - CENTRO TERRITORIAL DE EDUCAÇÃO PROFISSIONAL BENTO ALVES DAS NEVES DE SÃO DESIDÉRIO</t>
  </si>
  <si>
    <t>RUA 12 DE OUTUBRO - S/N</t>
  </si>
  <si>
    <t>100KM</t>
  </si>
  <si>
    <t>-16.97814657285698, -40.24373993892606</t>
  </si>
  <si>
    <t>ANEXO - COL. EST. PROF MANOEL MACEDO CIRILO- DIST SITIO DO RIO GRANDE</t>
  </si>
  <si>
    <t>ANEXO - COMPLEXO INTEGRADO DE EDUCAÇÃO BÁSICA TECNOLÓGICA E PROFISSIONAL DE VITÓRIA DA CONQUISTA - DISTRITO DE PRADOSO</t>
  </si>
  <si>
    <t>ANEXO DO CEMIT EXTREMO SUL - VILA SUZINHO</t>
  </si>
  <si>
    <t>VILA SUZINHO - S/N</t>
  </si>
  <si>
    <t>ANEXO - COLÉGIO ESTADUAL JOSE SA NUNES - DISTRITO INHOBIM</t>
  </si>
  <si>
    <t>ANEXO DO CEMIT EXTREMO SUL - DISTRITO SÃO JOSÉ DE VEREDA</t>
  </si>
  <si>
    <t>PRINCIPAL, SÃO JOSE DE VEREDA - SN(00002)</t>
  </si>
  <si>
    <t>ANEXO - COLÉGIO ESTADUAL JOSE SA NUNES - DISTRITO DE LAGOA DAS FLORES</t>
  </si>
  <si>
    <t>ANEXO - COLÉGIO ESTADUAL JOSE SA NUNES - DIST. SAO JOÃO DA VITORIA ( BATUQUE)</t>
  </si>
  <si>
    <t>ANEXO - COLÉGIO ESTADUAL ODÍLIO ALVES NETO - DISTRITO MASSARANDUBA</t>
  </si>
  <si>
    <t>DISTRITO DE MASSARANDUBA - S/N</t>
  </si>
  <si>
    <t>DISTRITO DE MASSARANDUBA</t>
  </si>
  <si>
    <t>ANEXO - COL. EST. ANISIO TEIXEIRA - DISTRITO DE IGUA</t>
  </si>
  <si>
    <t>CAATIBA</t>
  </si>
  <si>
    <t>BREJOLANDIA</t>
  </si>
  <si>
    <t>COLÉGIO ESTADUAL GELASIO ALVES DOS SANTOS</t>
  </si>
  <si>
    <t>ANEXO - COLÉGIO ESTADUAL DE BREJOLÂNDIA - DIST. DE SANTA LUZIA</t>
  </si>
  <si>
    <t>PRACA JOAO SANTOS - SN(00116)</t>
  </si>
  <si>
    <t>-14.978534494984268, -40.410565044353824</t>
  </si>
  <si>
    <t>FIRMINO ALVES</t>
  </si>
  <si>
    <t>ANEXO - COLÉGIO ESTADUAL DE TEMPO INTEGRAL DE CORRENTINA - DISTRITO DE VILA DO ROSARIO (ANTIGO - COLÉGIO ESTADUAL DUQUE DE CAXIAS)</t>
  </si>
  <si>
    <t>CENTRO EDUCACIONAL MONTEIRO LOBATO - TEMPO INTEGRAL</t>
  </si>
  <si>
    <t>RUA LEONEL VIEIRA LIMA - S/N</t>
  </si>
  <si>
    <t>CEDIDO POR CONVÊNIO PREFEITURA</t>
  </si>
  <si>
    <t>-14.988408086591262, -39.926151795264055</t>
  </si>
  <si>
    <t>TABOCAS DO BREJO VELHO</t>
  </si>
  <si>
    <t>ANEXO - COLÉGIO ESTADUAL LEONIDAS DE ARAUJO SILVA - DISTRITO DE MUCAMBO</t>
  </si>
  <si>
    <t>ANEXO - COLÉGIO ESTADUAL LEONIDAS DE ARAUJO SILVA - DISTRITO DE CAMARINHA</t>
  </si>
  <si>
    <t>COLÉGIO ESTADUAL MONSENHOR MANOEL BARBOSA</t>
  </si>
  <si>
    <t>transferir os alunos fundamental para o Georgina e médio para Pedro Calmon;</t>
  </si>
  <si>
    <t>AMARGOSA</t>
  </si>
  <si>
    <t>COLÉGIO ESTADUAL SANTA BERNADETE - TEMPO INTEGRAL</t>
  </si>
  <si>
    <t>1179832 - COLEGIO ESTADUAL DE TEMPO INTEGRAL DE AMARGOSA</t>
  </si>
  <si>
    <t>Estruturas adaptadas: 01 Refeitório
Demais laboratórios: 01  Horta</t>
  </si>
  <si>
    <t>IBICUI</t>
  </si>
  <si>
    <t>COLÉGIO ESTADUAL DE TEMPO INTEGRAL PEDRO CALMON</t>
  </si>
  <si>
    <t xml:space="preserve">ANEXO - CEMIT VELHO CHICO - BARRA - POVOADO DE PASSAGEM
</t>
  </si>
  <si>
    <r>
      <rPr>
        <rFont val="Calibri"/>
        <b val="0"/>
        <color theme="1"/>
        <sz val="12.0"/>
      </rPr>
      <t>COLÉGIO ESTADUAL DE TEMPO INTEGRAL PAULO FREIRE</t>
    </r>
    <r>
      <rPr>
        <rFont val="Calibri"/>
        <b/>
        <color theme="1"/>
        <sz val="12.0"/>
      </rPr>
      <t xml:space="preserve"> (ANTIGO DOUTOR MANOEL NOVAES)</t>
    </r>
  </si>
  <si>
    <t>R. GERÇON BATISTA FRANÇA, 395 - IBICUÍ, BA, 45290-000</t>
  </si>
  <si>
    <t>ANEXO - CEMIT - VELHO CHICO - POVOADO FEIRA NOVA</t>
  </si>
  <si>
    <t>-14.84301584971104, -39.98227956164026</t>
  </si>
  <si>
    <t>ANEXO -CEMIT VELHO CHICO - DISTRITO BAIXÃO DO MOCAMBO</t>
  </si>
  <si>
    <t>ANEXO - CEMIT VELHO CHICO - VILA SÃO JOÃO</t>
  </si>
  <si>
    <t>ANEXO - CEMIT VELHO CHICO - POVOADO FEIRINHA DE SANTA LUZIA - QUILOMBOLA</t>
  </si>
  <si>
    <t>Estruturas adaptadas: Laboratório: 01 informática desativado para adaptar para sala de aula.</t>
  </si>
  <si>
    <t>ANEXO - CEMIT VELHO CHICO - DISTRITO RIACHO DO CAPINÃO</t>
  </si>
  <si>
    <t>ANEXO - COLÉGIO ESTADUAL DE TEMPO INTEGRAL PAULO FREIRE - DISTRITO IBITUPA</t>
  </si>
  <si>
    <t>DIST. DE IBITUPA - S/N</t>
  </si>
  <si>
    <t>DISTRITO IBITUPA</t>
  </si>
  <si>
    <t>56KM</t>
  </si>
  <si>
    <t>ANEXO - COLÉGIO ESTADUAL DE TEMPO INTEGRAL DE MALHADA - DISTRITO DO JULIÃO</t>
  </si>
  <si>
    <t>ANEXO - CEMIT - VELHO CHICO/BARRA - RIACHO DA SERRA BRANCA</t>
  </si>
  <si>
    <t>ANEXO - CEMIT - VELHO CHICO-BARRA - ALDEIA KIRIRI</t>
  </si>
  <si>
    <t>ANEXO - COLÉGIO ESTADUAL DE TEMPO INTEGRAL PAULO FREIRE - DISTRITO AGUA DOCE</t>
  </si>
  <si>
    <t>DISTRITO AGUA DOCE - SN(00004)</t>
  </si>
  <si>
    <t>ANEXO - COLÉGIO ESTADUAL ANISIO HONORATO GODOY - AGROVILA 14</t>
  </si>
  <si>
    <t>ANEXO - COLÉGIO PROFESSORA NILDE MARIA MONTEIRO XAVIER - POVOADO TEJUCO - COMUNIDADE QUILOMBOLA</t>
  </si>
  <si>
    <t>IGUAI</t>
  </si>
  <si>
    <t>COLÉGIO ESTADUAL DE TEMPO INTEGRAL MARIA ODÍLIA TEIXEIRA (ANTIGO - COLÉGIO ESTADUAL DUQUE DE CAXIAS)</t>
  </si>
  <si>
    <t>COLÉGIO ESTADUAL DE TEMPO INTEGRAL DE JACOBINA
(ANTIGO COLÉGIO MODELO LUIS EDUARDO MAGALHÃES)</t>
  </si>
  <si>
    <t>Avenida Juarez Carlos Gomes, nº 1020</t>
  </si>
  <si>
    <t>1121962 COLEGIO ESTADUAL DE TEMPO INTEGRAL DEOCLECIANO BARBOSA DE CASTRO</t>
  </si>
  <si>
    <t>Marinho Freitas</t>
  </si>
  <si>
    <t>-14.762180933628958, -40.10087780571628</t>
  </si>
  <si>
    <t>ALAGOINHAS</t>
  </si>
  <si>
    <t>COLÉGIO ESTADUAL DOUTOR MAGALHÃES NETO - TEMPO INTEGRAL</t>
  </si>
  <si>
    <t>A Unidade será paralisada, pois o prédio será cedido ao município e os estudantes serão atendidos nas UEEs: COLÉGIO MODELO LUIS EDUARDO MAGALHÃES - COLÉGIO ESTADUAL LUIZ NAVARRO DE BRITO - COLÉGIO ESTADUAL BRAZILINO VIEGAS - COLÉGIO ESTADUAL SÃO FRANCISCO</t>
  </si>
  <si>
    <t>ESCOLA PROFESSORA CANDOLINA - CLASSE VII - TEMPO INTEGRAL</t>
  </si>
  <si>
    <t xml:space="preserve">Demais laboratórios: 01 biologia/química, 01 matemática/física, 01 linguagens 
Sala multifuncional: 01 dança, 01 multifuncional </t>
  </si>
  <si>
    <t>Paralisada em 11/02/2026 - solicitação feita pela CRR via e-mail</t>
  </si>
  <si>
    <t>ITAMBE</t>
  </si>
  <si>
    <t>COLÉGIO ESTADUAL DE TEMPO INTEGRAL DE ITAMBÉ 
(ANTIGO POLIVALENTE)</t>
  </si>
  <si>
    <t>RUA SEBASTIAO SOARES - S/N</t>
  </si>
  <si>
    <t>SID. PER. DE ALM</t>
  </si>
  <si>
    <t>COLÉGIO ESTADUAL PADRE PALMEIRA</t>
  </si>
  <si>
    <t>-15.247678040546116, -40.62318077383733</t>
  </si>
  <si>
    <t>COLÉGIO ESTADUAL EDSON TENORIO DE ALBUQUERQUE</t>
  </si>
  <si>
    <t>ANEXO - COLÉGIO ESTADUAL DE TEMPO INTEGRAL DE ITAMBÉ - DISTRITO DE SAO JOSE DO COLONIA</t>
  </si>
  <si>
    <t>SAO JOSE DO COLONIA - SN(00002)</t>
  </si>
  <si>
    <t>DISTRITO DE SAO JOSE DO COLONIA</t>
  </si>
  <si>
    <t>82KM</t>
  </si>
  <si>
    <t>COLÉGIO ESTADUAL ABÍLIO CÉSAR BORGES - TEMPO INTEGRAL</t>
  </si>
  <si>
    <t>ANEXO - COLÉGIO ESTADUAL DE TEMPO INTEGRAL DE ITAMBÉ - DISTRITO DE CASILANDIA/CATOLEZINHO</t>
  </si>
  <si>
    <r>
      <rPr>
        <rFont val="Calibri"/>
        <b/>
        <color theme="1"/>
        <sz val="11.0"/>
      </rPr>
      <t>07 salas, sendo:</t>
    </r>
    <r>
      <rPr>
        <rFont val="Calibri"/>
        <b/>
        <color rgb="FFFF0000"/>
        <sz val="11.0"/>
      </rPr>
      <t xml:space="preserve"> 05 salas de aula</t>
    </r>
    <r>
      <rPr>
        <rFont val="Calibri"/>
        <b/>
        <color theme="1"/>
        <sz val="11.0"/>
      </rPr>
      <t>, 02 adaptadas para administrativo e biblioteca.</t>
    </r>
  </si>
  <si>
    <t>ANEXO DO CEMIT BAIXO SUL - POVOADO DE TARARANGA</t>
  </si>
  <si>
    <t>CATOLEZINHO - SN(00009)</t>
  </si>
  <si>
    <t>DISTRITO DE CASILANDIA/CATOLEZINHO</t>
  </si>
  <si>
    <t>COLÉGIO ESTADUAL PROFESSOR DORIVAL PASSOS - TEMPO INTEGRAL</t>
  </si>
  <si>
    <t>ITAPETINGA</t>
  </si>
  <si>
    <t>só foram efetivadas 04 matrículas diurno e 02 noturno, os 39 alunos que renovaram vamos garantir a transferência na escola de preferência deles.</t>
  </si>
  <si>
    <t>COLÉGIO POLIVALENTE DE ITAPETINGA</t>
  </si>
  <si>
    <t>RUA FRANCISCO DE ASSIS - SN(00002)</t>
  </si>
  <si>
    <t>-15.256312283214658, -40.24078156769201</t>
  </si>
  <si>
    <t>COLÉGIO ESTADUAL ADELMARIO PINHEIRO</t>
  </si>
  <si>
    <t>ANEXO COLÉGIO ESTADUAL GOVERNADOR ROBERTO SANTOS - CASE</t>
  </si>
  <si>
    <t>ANEXO - COLÉGIO ESTADUAL NECY NOVAIS - DISTRITO DE GAMELEIRA</t>
  </si>
  <si>
    <t>ANEXO - CEMIT - CHAPADA DIAMANTINA - POVOADO DE SAO ROQUE</t>
  </si>
  <si>
    <t xml:space="preserve">Estruturas adaptadas: 01 Auditório, 01 Refeitório, 01 Sala de (adaptada), 01 Sala de Vivências Corporais
Demais laboratórios: 01 Horta </t>
  </si>
  <si>
    <r>
      <rPr>
        <rFont val="Calibri"/>
        <b/>
        <color theme="1"/>
        <sz val="11.0"/>
      </rPr>
      <t xml:space="preserve">24 salas, sendo: </t>
    </r>
    <r>
      <rPr>
        <rFont val="Calibri"/>
        <b/>
        <color rgb="FFFF0000"/>
        <sz val="11.0"/>
      </rPr>
      <t>21 salas de aula</t>
    </r>
    <r>
      <rPr>
        <rFont val="Calibri"/>
        <b/>
        <color theme="1"/>
        <sz val="11.0"/>
      </rPr>
      <t xml:space="preserve"> e 03 adaptadas para as funções: 01 sala de jogos, 01 sala multifuncional e 01 sala de AEE.</t>
    </r>
  </si>
  <si>
    <t>ANEXO COLÉGIO ESTADUAL INDIGENA DOM JACKSON BERENGUER PRADO - ALDEIA ICO</t>
  </si>
  <si>
    <t>COLÉGIO MODELO LUIS EDUARDO MAGALHAES</t>
  </si>
  <si>
    <t>RUA EQUADOR - S/N</t>
  </si>
  <si>
    <t>-15.258421021379418, -40.241581783659626</t>
  </si>
  <si>
    <t>ANEXO - CEMIT - LITORAL SUL - DISTRITO DE TEIXEIRA DO PROGRESSO</t>
  </si>
  <si>
    <t>BELMONTE</t>
  </si>
  <si>
    <t>ANEXO - COLÉGIO ESTADUAL ESTADUAL DE TEMPO INTEGRAL DE BELMONTE - DISTRITO DE BARROLÂNDIA</t>
  </si>
  <si>
    <t>RIO REAL</t>
  </si>
  <si>
    <t>COLÉGIO ESTADUAL MARQUES DE ABRANTES</t>
  </si>
  <si>
    <t xml:space="preserve">Estruturas adaptadas: 01 Refeitório,  01 Química/física, 01 Multimídia , 01 AEE </t>
  </si>
  <si>
    <t>COLÉGIO ESTADUAL DOUTOR JOSE CARVALHO BAPTISTA</t>
  </si>
  <si>
    <t>COLÉGIO ESTADUAL DE TEMPO INTEGRAL ALFREDO DUTRA</t>
  </si>
  <si>
    <t>AVENIDA ESPERANTO - S/N</t>
  </si>
  <si>
    <t>SATIRO DIAS</t>
  </si>
  <si>
    <t>-15.242158286760505, -40.24085813479255</t>
  </si>
  <si>
    <t>ANEXO - COLÉGIO ESTADUAL DE TEMPO INTEGRAL PROFESSOR EDGARD SANTOS - DISTRITO DE MIMOSO</t>
  </si>
  <si>
    <t>ANEXO - COLÉGIO ESTADUAL DE JACOBINA- DISTRITO CAATINGA DO MOURA</t>
  </si>
  <si>
    <t>Virou colégio</t>
  </si>
  <si>
    <t>COLÉGIO ESTADUAL PROFESSOR CARLOS SANT ANNA - TEMPO INTEGRAL</t>
  </si>
  <si>
    <t>CENTRO ESTADUAL DE EDUCAÇÃO PROFISSIONAL EM SAÚDE E TECNOLOGIA DA INFORMAÇÃO CARLOS CORRÊA DE MENEZES SANT' ANNA</t>
  </si>
  <si>
    <t>Estruturas adaptadas: 01 Refeitório, 01 AEE
Demais laboratórios: 01 Lab. Robótica, 01 Lab.  Física/ matemática, 01 Lab. Manutenção Informática, 01 Lab. Nutrição (adaptados), 01 Lab. Analise clínica/química, 01 Horta</t>
  </si>
  <si>
    <t>ITARANTIM</t>
  </si>
  <si>
    <t>COLÉGIO ESTADUAL DE TEMPO INTEGRAL ADINÁLIA PEREIRA DE ARAÚJO - (ANTIGO CE NAOMAR SOARES ALCANTARA)</t>
  </si>
  <si>
    <t>TRAVESSA AFRANIO FERRAZ - S/N</t>
  </si>
  <si>
    <t xml:space="preserve"> -15.646231529738687, -40.0598044459878</t>
  </si>
  <si>
    <t>ITABERABA</t>
  </si>
  <si>
    <t>CENTRO DE APOIO PEDAGOGICO ESPECIALIZADO - CAPE ITABERABA</t>
  </si>
  <si>
    <t>1116241
 - COLEGIO ESTADUAL DE TEMPO INTEGRAL DE SERRINHA</t>
  </si>
  <si>
    <t xml:space="preserve">Estruturas adaptadas: 01 Sala de leitura, 01 Refeitório 
150 lugares </t>
  </si>
  <si>
    <t xml:space="preserve">ANEXO DO COLEGIO PROFESSOR GEORGE FRAGOSOS MODESTO COLONIA PENAL
</t>
  </si>
  <si>
    <t>ANEXO - COLÉGIO ESTADUAL DE TEMPO INTEGRAL ADINÁLIA PEREIRA DE ARAÚJO - DISTRITO RIBEIRAO DO SALTO</t>
  </si>
  <si>
    <t>DISTRITO DE RIBEIRAO DO SALTO - S/N</t>
  </si>
  <si>
    <t>CENTRO DE ENSINO E CULTURA DOUTOR EDUARDO FRÓES DA MOTTA</t>
  </si>
  <si>
    <t>COLÉGIO ESTADUAL DE TEMPO INTEGRAL SETE DE SETEMBRO</t>
  </si>
  <si>
    <t>ITORORO</t>
  </si>
  <si>
    <t>COLÉGIO ESTADUAL EDSON OLIVEIRA - DISTRITO RIO DO MEIO</t>
  </si>
  <si>
    <t>PRAÇA EDSON OLIVEIRA - S/N</t>
  </si>
  <si>
    <t>-15.066348760359539, -39.97413754434731</t>
  </si>
  <si>
    <t>CENTRO TERRITORIAL DE EDUCAÇÃO PROFISSIONAL DO MÉDIO SUDOESTE DA BAHIA EURIDES EVANGELISTA PINTO</t>
  </si>
  <si>
    <t>BA - 130
R. FRANCISCO GOMES - ITORORÓ, BA, 45710-000
EM FRENTE AO CENTRO DE TREINAMENTO TENIS MESA ROCHA</t>
  </si>
  <si>
    <t>-15.120598899418244, -40.06001196274059</t>
  </si>
  <si>
    <t>Demais laboratórios: 01 enfermagem/
01 análise clínica/química/biologia,
01 nutrição/agroindústria/ recursos naturais,
01 escritório criativo/Edificações</t>
  </si>
  <si>
    <t>ANEXO - COLÉGIO ESTADUAL EDSON OLIVEIRA - DISTRITO DE ITATI</t>
  </si>
  <si>
    <t>DISTRITO DE ITATI - S/N</t>
  </si>
  <si>
    <t>DISTRITO DE ITATI</t>
  </si>
  <si>
    <t xml:space="preserve">Estruturas adadaptas: 01 Sala de leitura
Demais laboratórios: 01 Horta </t>
  </si>
  <si>
    <t>MACARANI</t>
  </si>
  <si>
    <t>COLÉGIO ESTADUAL DE TEMPO INTEGRAL SÃO PEDRO</t>
  </si>
  <si>
    <t>AVENIDA CAMILO DE JEJUS LIMA - 02</t>
  </si>
  <si>
    <t>-15.56533509040873, -40.42381841773859</t>
  </si>
  <si>
    <t>MAIQUINIQUE</t>
  </si>
  <si>
    <t>COLÉGIO ESTADUAL ALTAIR ALMEIDA MEIRA</t>
  </si>
  <si>
    <t>RUA ZEFERINO SILVEIRA FILHO - 1</t>
  </si>
  <si>
    <t>MORUMBI</t>
  </si>
  <si>
    <t>-15.621882876009789, -40.268288562122386</t>
  </si>
  <si>
    <t>COLÉGIO ESTADUAL DE TEMPO INTEGRAL FLORESTAL</t>
  </si>
  <si>
    <t>PRACA LEOVIGILDO RODRIGUES MATOS - 00006</t>
  </si>
  <si>
    <t>-14.799250023478734, -40.149206215440316</t>
  </si>
  <si>
    <t>ANEXO - COLÉGIO ESTADUAL FLORESTAL - SERRA DO CAPA BODE</t>
  </si>
  <si>
    <t>SERRA DO CAPA BODE - SN(00042)</t>
  </si>
  <si>
    <t>22 KM</t>
  </si>
  <si>
    <t>ANEXO - COLÉGIO ESTADUAL FLORESTAL - POVOADO DE ENDIRETOR</t>
  </si>
  <si>
    <t>ENDIRETOR - SN(00008)</t>
  </si>
  <si>
    <t>23 KM</t>
  </si>
  <si>
    <r>
      <rPr>
        <rFont val="Calibri"/>
        <b/>
        <color theme="1"/>
        <sz val="11.0"/>
      </rPr>
      <t xml:space="preserve">10 </t>
    </r>
    <r>
      <rPr>
        <rFont val="Calibri"/>
        <b/>
        <color rgb="FFFF0000"/>
        <sz val="11.0"/>
      </rPr>
      <t xml:space="preserve">(sendo 07 como salas de aula </t>
    </r>
    <r>
      <rPr>
        <rFont val="Calibri"/>
        <b/>
        <color theme="1"/>
        <sz val="11.0"/>
      </rPr>
      <t>e 03 adaptadas: 01 para biblioteca, 01 para sala de professores e 01 para secretaria)</t>
    </r>
  </si>
  <si>
    <t>POTIRAGUA</t>
  </si>
  <si>
    <r>
      <rPr>
        <rFont val="Calibri"/>
        <b/>
        <color theme="1"/>
        <sz val="12.0"/>
      </rPr>
      <t xml:space="preserve">TIPO
</t>
    </r>
    <r>
      <rPr>
        <rFont val="Arial"/>
        <b/>
        <color rgb="FFFF0000"/>
        <sz val="8.0"/>
      </rPr>
      <t>E - ESCOLA
A - ANEXO 
EFA - ESCOLA AGRÍCOLA</t>
    </r>
  </si>
  <si>
    <r>
      <rPr>
        <rFont val="Calibri"/>
        <b/>
        <color theme="1"/>
        <sz val="12.0"/>
      </rPr>
      <t xml:space="preserve">COD_SEC </t>
    </r>
    <r>
      <rPr>
        <rFont val="Calibri"/>
        <b/>
        <color rgb="FFFF0000"/>
        <sz val="12.0"/>
      </rPr>
      <t>ESCOLA SEDE</t>
    </r>
  </si>
  <si>
    <t>COLÉGIO ESTADUAL DE TEMPO INTEGRAL ANISIO TEIXEIRA</t>
  </si>
  <si>
    <t>DA BANDEIRA - 26</t>
  </si>
  <si>
    <r>
      <rPr>
        <rFont val="Calibri"/>
        <b/>
        <color theme="1"/>
        <sz val="12.0"/>
      </rPr>
      <t xml:space="preserve">COD_SEC
</t>
    </r>
    <r>
      <rPr>
        <rFont val="Calibri"/>
        <b/>
        <color rgb="FFFF0000"/>
        <sz val="12.0"/>
      </rPr>
      <t>ANEXO</t>
    </r>
  </si>
  <si>
    <t>-15.602899426044875, -39.871858324030256</t>
  </si>
  <si>
    <t>PORTE 2022</t>
  </si>
  <si>
    <t xml:space="preserve">Estruturas adaptadas: 01 Sala de AEE </t>
  </si>
  <si>
    <r>
      <rPr>
        <rFont val="Calibri"/>
        <b/>
        <color theme="1"/>
        <sz val="11.0"/>
      </rPr>
      <t xml:space="preserve">Nº DE SALAS
 DE AULA 
</t>
    </r>
    <r>
      <rPr>
        <rFont val="Calibri"/>
        <b/>
        <color rgb="FFE06666"/>
        <sz val="14.0"/>
      </rPr>
      <t xml:space="preserve">ROSA: Atulizado pela nota </t>
    </r>
    <r>
      <rPr>
        <rFont val="Calibri"/>
        <b/>
        <color rgb="FFFF0000"/>
        <sz val="14.0"/>
      </rPr>
      <t xml:space="preserve">
</t>
    </r>
    <r>
      <rPr>
        <rFont val="Calibri"/>
        <b/>
        <color rgb="FF6AA84F"/>
        <sz val="14.0"/>
      </rPr>
      <t xml:space="preserve">VERDE: Atualizado pelo perfil escola
</t>
    </r>
    <r>
      <rPr>
        <rFont val="Calibri"/>
        <b/>
        <color rgb="FF674EA7"/>
        <sz val="14.0"/>
      </rPr>
      <t>ROXO: Falta atualizar</t>
    </r>
  </si>
  <si>
    <t>MAT_(EDUCAÇÃO INFANTIL )</t>
  </si>
  <si>
    <t>VES_(EDUCAÇÃO INFANTIL )</t>
  </si>
  <si>
    <t>ANEXO - COLÉGIO DEMOCRATICO ESTADUAL ANISIO TEIXEIRA - DISTRITO DE ITAIMBE</t>
  </si>
  <si>
    <t>NOT_(EDUCAÇÃO INFANTIL )</t>
  </si>
  <si>
    <t>SAO JOAO - DISTRITO DE ITAIMBE - SN(00021)</t>
  </si>
  <si>
    <t>DISTRITO DE ITAIMBE</t>
  </si>
  <si>
    <t>INTEG_(EDUCAÇÃO INFANTIL )</t>
  </si>
  <si>
    <t>TOTAL_(EDUCAÇÃO INFANTIL )</t>
  </si>
  <si>
    <t>MAT_FUNDAMENTAL</t>
  </si>
  <si>
    <t>VES_FUNDAMENTAL</t>
  </si>
  <si>
    <t>NOT_FUNDAMENTAL</t>
  </si>
  <si>
    <t>INTEG_FUNDAMENTAL</t>
  </si>
  <si>
    <t>TOTAL_FUNDAMENTAL</t>
  </si>
  <si>
    <t>MAT_MÉDIO</t>
  </si>
  <si>
    <t>VES_MÉDIO</t>
  </si>
  <si>
    <t>NOT_MÉDIO</t>
  </si>
  <si>
    <t>INTEGR_MÉDIO</t>
  </si>
  <si>
    <t>TOTAL_MÉDIO</t>
  </si>
  <si>
    <t>MAT_EJA - FUND.</t>
  </si>
  <si>
    <t>VES_EJA - FUND.</t>
  </si>
  <si>
    <t>NOT_EJA - FUND.</t>
  </si>
  <si>
    <t>TOTAL_EJA - FUND.</t>
  </si>
  <si>
    <t>MAT_EJA - MÉDIO</t>
  </si>
  <si>
    <t>VES_EJA - MÉDIO</t>
  </si>
  <si>
    <t>NOT_EJA - MÉDIO</t>
  </si>
  <si>
    <t>TOTAL_EJA - MÉDIO</t>
  </si>
  <si>
    <t>MAT_PROFISSIONAL</t>
  </si>
  <si>
    <t>VES_PROFISSIONAL</t>
  </si>
  <si>
    <t>NOT_PROFISSIONAL</t>
  </si>
  <si>
    <t>INTEGR_PROFISSIONAL</t>
  </si>
  <si>
    <t>TOTAL_PROFISSIONAL</t>
  </si>
  <si>
    <t>TOTAL
GERAL ALOCADOS</t>
  </si>
  <si>
    <t xml:space="preserve">Estruturas adaptadas: 01 Sala de leitura </t>
  </si>
  <si>
    <t>DIURNO_TOTAL</t>
  </si>
  <si>
    <t>SANTA CRUZ DA VITORIA</t>
  </si>
  <si>
    <t>NOTURNO_TOTAL</t>
  </si>
  <si>
    <t>ESTUDANTES EM PROCESSO DE MATRICULA</t>
  </si>
  <si>
    <t xml:space="preserve"> TOTAL ESTUDANTES </t>
  </si>
  <si>
    <r>
      <rPr>
        <rFont val="Calibri"/>
        <color theme="1"/>
        <sz val="11.0"/>
      </rPr>
      <t xml:space="preserve">COLÉGIO ESTADUAL DE TEMPO INTEGRAL PROFESSORA MARIA DA CONCEIÇÃO SOBRINHO MIRANDA
</t>
    </r>
    <r>
      <rPr>
        <rFont val="Calibri"/>
        <b/>
        <color theme="1"/>
        <sz val="11.0"/>
      </rPr>
      <t>(ANTIGO - COLÉGIO ESTADUAL JOHN KENNEDY)</t>
    </r>
  </si>
  <si>
    <t>RUA JOSE GUEDES DE MAGALHAES - 139</t>
  </si>
  <si>
    <t>-14.95914828794947, -39.80925590423821</t>
  </si>
  <si>
    <t>N_SALAS_AULA_RESUMO</t>
  </si>
  <si>
    <t>INTEGRAL?</t>
  </si>
  <si>
    <t>1125747</t>
  </si>
  <si>
    <t>ARIVONE MARIA DA SILVA SANTOS</t>
  </si>
  <si>
    <t>(74) 9 8836-0537/ 9 9925-8934</t>
  </si>
  <si>
    <t>AURIVAN OLIVEIRA DE SOUZA</t>
  </si>
  <si>
    <t>(74) 9 9922-7133</t>
  </si>
  <si>
    <t>(74) 3692-2287</t>
  </si>
  <si>
    <t>COLEGIO ESTADUAL DE TEMPO INTEGRAL DE AMARGOSA</t>
  </si>
  <si>
    <t>AVENIDA DR. LUIS SANDES, Nº 469</t>
  </si>
  <si>
    <t>-13.027279849924852, -39.606800692068575</t>
  </si>
  <si>
    <t>Demais laboratórios: 01 física/ matemática, 01 biologia/química , 01 linguagens</t>
  </si>
  <si>
    <t>CENTRO TERRITORIAL DE EDUCACAO PROFISSIONAL DO VALE DO JEQUIRICA</t>
  </si>
  <si>
    <r>
      <rPr>
        <rFont val="Calibri"/>
        <b/>
        <color theme="1"/>
        <sz val="11.0"/>
      </rPr>
      <t>10 salas, sendo</t>
    </r>
    <r>
      <rPr>
        <rFont val="Calibri"/>
        <b/>
        <color rgb="FFFF0000"/>
        <sz val="11.0"/>
      </rPr>
      <t xml:space="preserve"> 06 utilizadas para salas de aula</t>
    </r>
    <r>
      <rPr>
        <rFont val="Calibri"/>
        <b/>
        <color theme="1"/>
        <sz val="11.0"/>
      </rPr>
      <t>, 01 adaptada para sala de coordenação/sala de AEE, 01 adaptada para sala de professores e 01 como auditório, 01 sala adaptada para laboratório de biologia em parceria com a UEFS</t>
    </r>
  </si>
  <si>
    <t>QN 2 ESTRADA AMARGOSA MILAGRES - S/N</t>
  </si>
  <si>
    <t>3KM</t>
  </si>
  <si>
    <t>-13.009989667018232, -39.61755572491835</t>
  </si>
  <si>
    <t>Estruturas adaptadas: Refeitório
Demais laboratórios: 01 nutrição, 01 enfermagem, 01 edificações, 01 administração.</t>
  </si>
  <si>
    <t>AV SOARES DO MEIO - DISTRITO SOARES - S/N</t>
  </si>
  <si>
    <t>SOARE</t>
  </si>
  <si>
    <t>CENTRO DE APOIO PEDAGOGICO ESPECIALIZADO - CAPE AMARGOSA</t>
  </si>
  <si>
    <t>PRACA DA BANDEIRA N 371 Bairro: CENTRO CEP: 45300-000</t>
  </si>
  <si>
    <t>ANA CAROLINA DE CASTRO DOURADO</t>
  </si>
  <si>
    <t>(74) 9 8817-3766</t>
  </si>
  <si>
    <t>MARCOS PAULO DA SILVA ALMEIDA</t>
  </si>
  <si>
    <t>(74) 9 9998-8112</t>
  </si>
  <si>
    <t>(74) 3641-8657</t>
  </si>
  <si>
    <t>BREJOES</t>
  </si>
  <si>
    <t>COLÉGIO ESTADUAL DO CAMPO DE TEMPO INTEGRAL DA TERRA DO CAFÉ (ANTIGO CE EDIVALDO BOAVENTURA)</t>
  </si>
  <si>
    <t>RUA GETÚLIO VARGAS - S/N</t>
  </si>
  <si>
    <t>-13.07668086624043, -39.960479810975635</t>
  </si>
  <si>
    <t>COLÉGIO ESTADUAL DE TEMPO INTEGRAL PROFESSORA HELENA SOUZA BISPO</t>
  </si>
  <si>
    <t>LOTEAMENTO JOSE VAZ DE ANDRADE - S/N</t>
  </si>
  <si>
    <t>-13.100483118276228, -39.79565716553276</t>
  </si>
  <si>
    <t>CRAVOLANDIA</t>
  </si>
  <si>
    <t>COLÉGIO ESTADUAL DE CRAVOLANDIA - TEMPO INTEGRAL</t>
  </si>
  <si>
    <t>CRAVOLÂNDIA, JAGUAQUARA - 09</t>
  </si>
  <si>
    <t>-13.35832482677404, -39.81114603466241</t>
  </si>
  <si>
    <t>ANEXO - COLÉGIO ESTADUAL DE CRAVOLANDIA - DISTRITO ILHA FORMOSA</t>
  </si>
  <si>
    <t>POVOADO DE ILHA FORMOSA - SN(00004)</t>
  </si>
  <si>
    <t xml:space="preserve"> DISTRITO ILHA FORMOSA</t>
  </si>
  <si>
    <t>35 KM</t>
  </si>
  <si>
    <t>COLÉGIO ESTADUAL EDIVALDO MACHADO BOAVENTURA</t>
  </si>
  <si>
    <t>ELISIO MEDRADO</t>
  </si>
  <si>
    <t>ANTÔNIO FRANCISCO RODRIGUES DE FREITAS</t>
  </si>
  <si>
    <t>(74) 9 9111-4048</t>
  </si>
  <si>
    <t>(74) 3654-1124</t>
  </si>
  <si>
    <t>COLÉGIO ESTADUAL DEMOCRATICO PROFESSOR ROMULO GALVAO - TEMPO INTEGRAL</t>
  </si>
  <si>
    <t>PRACA JONIVAL LUCAS - SN(00161)</t>
  </si>
  <si>
    <t xml:space="preserve">8 (sendo 06 como salas de aula, 01 adaptada p/ laboratório de informática e 01 adaptada para sala de vídeo) </t>
  </si>
  <si>
    <t>-12.947695110516607, -39.52244293444453</t>
  </si>
  <si>
    <t>IRAJUBA</t>
  </si>
  <si>
    <t>COLÉGIO ESTADUAL DE TEMPO INTEGRAL PROFESSOR  ISAIAS ALEIXO</t>
  </si>
  <si>
    <t>RODOVIA BA 888, S/N</t>
  </si>
  <si>
    <t>-13.256940434743685, -40.07727857451496</t>
  </si>
  <si>
    <t>ANEXO - COLÉGIO ESTADUAL EDIVALDO MACHADO BOAVENTURA - DISTRITO DE CANARINA - COMUNIDADE QUILOMBOLA</t>
  </si>
  <si>
    <t>Salas multifuncionais:  01 sala multifuncional, 01 sala de grêmio.</t>
  </si>
  <si>
    <t>ITAQUARA</t>
  </si>
  <si>
    <t>COLÉGIO ESTADUAL DE TEMPO INTEGRAL JOÃO PESSOA</t>
  </si>
  <si>
    <t>LOTEAMENTO AGENOR ARAÚJO, Nº 91</t>
  </si>
  <si>
    <t xml:space="preserve"> -13.445973787736076, -39.94164836360137</t>
  </si>
  <si>
    <t>ITIRUCU</t>
  </si>
  <si>
    <t>COLEGIO ESTADUAL DE TEMPO INTEGRAL MARIA CANDIDA DE CASTILHO FONTOURA</t>
  </si>
  <si>
    <t>RUA ANASTÁCIO JOSÉ DE SOUZA DR ANTENOR R. COSTA - 31</t>
  </si>
  <si>
    <t>-13.536163091368168, -40.14886671841832</t>
  </si>
  <si>
    <t>COLÉGIO ESTADUAL NECY NOVAIS</t>
  </si>
  <si>
    <t>Demais laboratórios: 01 química/biologia, 01 matemática/física, 01 linguagem.</t>
  </si>
  <si>
    <t>ARMANDA ANDRADE BARRETO RAMOS</t>
  </si>
  <si>
    <t>(74) 9 9936-0280</t>
  </si>
  <si>
    <t>(74) 3629-1031</t>
  </si>
  <si>
    <t>6 (sendo 05 como salas de aula e 01 adaptada para biblioteca)</t>
  </si>
  <si>
    <t>COLÉGIO ESTADUAL DO CAMPO VIRGILIO PEREIRA DE ALMEIDA</t>
  </si>
  <si>
    <t>AVENIDA PIO XII - 300</t>
  </si>
  <si>
    <t>SAO JORGE</t>
  </si>
  <si>
    <t>-13.531797743876746, -39.9734276310182</t>
  </si>
  <si>
    <t>COLÉGIO ESTADUAL DE TEMPO INTEGRAL NOSSA SENHORA AUXILIADORA - DISTRITO DE ESTELA CAMARA</t>
  </si>
  <si>
    <t>AVENIDA RIO BAHIA - SN(00121)</t>
  </si>
  <si>
    <t>12 KM</t>
  </si>
  <si>
    <t>-13.514526082962538, -40.0592890516006</t>
  </si>
  <si>
    <t>SETE DE SETEMBRO - SN(00002)</t>
  </si>
  <si>
    <t>CENTRO ESTADUAL DE EDUCACAO PROFISSIONAL EM ALIMENTOS E RECURSOS NATURAIS PIO XII</t>
  </si>
  <si>
    <t>AVENIDA PIO XII - 76</t>
  </si>
  <si>
    <t>MURITIBA</t>
  </si>
  <si>
    <t>-13.529711218050126, -39.972868114843166</t>
  </si>
  <si>
    <t>ANEXO - COLÉGIO ESTADUAL VIRGILIO PEREIRA DE ALMEIDA - POVOADO BAIXAO DE IPIUNA</t>
  </si>
  <si>
    <t>DISTRITO DE BAIXAO DE IPIUNA - S/N</t>
  </si>
  <si>
    <t>DISTRITO BAIXAO DE IPIUNA</t>
  </si>
  <si>
    <t>17 KM</t>
  </si>
  <si>
    <t>CÍCERA MARIA PIRES</t>
  </si>
  <si>
    <t>(74) 7400-2488</t>
  </si>
  <si>
    <t>LEONARA ALVES DE MIRANDA GOMES</t>
  </si>
  <si>
    <t>(74) 9 8804-4298</t>
  </si>
  <si>
    <t>(74) 3646-1131 / 3686-5037</t>
  </si>
  <si>
    <t>JIQUIRICA</t>
  </si>
  <si>
    <t>COLÉGIO ESTADUAL DE TEMPO INTEGRAL JOSE MALTA MAIA</t>
  </si>
  <si>
    <t xml:space="preserve">RUA SETE DE SETEMBRO, JIQUIRIÇÁ - BA, 45470-000
</t>
  </si>
  <si>
    <t>-13.268720007676858, -39.57175530988225</t>
  </si>
  <si>
    <t>Estruturas adaptadas: Laboratórios: 02 ciências.</t>
  </si>
  <si>
    <t>LAFAIETE COUTINHO</t>
  </si>
  <si>
    <t>COLÉGIO ESTADUAL DE TEMPO INTEGRAL PROFESSOR ERALDO TINOCO</t>
  </si>
  <si>
    <t>RUA FILINTO SOUZA - 92</t>
  </si>
  <si>
    <t>-13.657387435699302, -40.21410660255039</t>
  </si>
  <si>
    <t>OSIAS CARDOSO PIMENTA</t>
  </si>
  <si>
    <t>(74) 9 9988-0421</t>
  </si>
  <si>
    <t>MONICA ALMEIDA DA SILVA GONÇALVES</t>
  </si>
  <si>
    <t>(74) 9 9973-3834</t>
  </si>
  <si>
    <t>(74) 3656-2644</t>
  </si>
  <si>
    <t>COLÉGIO ESTADUAL DE TEMPO INTEGRAL RUY JOSE DE ALMEIDA</t>
  </si>
  <si>
    <t>RUA DA LADEIRA - S/N</t>
  </si>
  <si>
    <t>-13.175906147601745, -39.42035918759333</t>
  </si>
  <si>
    <t>LAJEDO DO TABOCAL</t>
  </si>
  <si>
    <t>COLÉGIO ESTADUAL FERNANDO PRESIDIO</t>
  </si>
  <si>
    <t>AVENIDA AURÉLIO ASSIS DE OLIVEIRA - SN(00002)</t>
  </si>
  <si>
    <t>-13.476076636812575, -40.21732801932128</t>
  </si>
  <si>
    <t>JAILSON SOUZA DE JESUS</t>
  </si>
  <si>
    <t>(75) 9 8123-2627</t>
  </si>
  <si>
    <t>(74) 3658-2371</t>
  </si>
  <si>
    <t>COLÉGIO ESTADUAL DE TEMPO INTEGRAL DE MARACÁS IRACY MARLENE DA HORA PASSOS (ANTIGO - CE. EDILSON FREIRE)</t>
  </si>
  <si>
    <t>BRASILIA - 1185</t>
  </si>
  <si>
    <t>AYRTON SENA</t>
  </si>
  <si>
    <t>-13.436749403305438, -40.43233936633952</t>
  </si>
  <si>
    <r>
      <rPr>
        <rFont val="Calibri"/>
        <b/>
        <color theme="1"/>
        <sz val="11.0"/>
      </rPr>
      <t>06 (</t>
    </r>
    <r>
      <rPr>
        <rFont val="Calibri"/>
        <b/>
        <color rgb="FFFF0000"/>
        <sz val="11.0"/>
      </rPr>
      <t>sendo 03 utilizadas para aula</t>
    </r>
    <r>
      <rPr>
        <rFont val="Calibri"/>
        <b/>
        <color theme="1"/>
        <sz val="11.0"/>
      </rPr>
      <t>, 01 para sala de vídeo, 01 para atividades de oficinas para o Educa mais Bahia E 01 sala de aula sem uso)</t>
    </r>
  </si>
  <si>
    <t>Estruturas adaptadas: Sala de robótica
Demais laboratórios: 01 biologia/química/física/matemática.</t>
  </si>
  <si>
    <t>ANEXO - COLÉGIO ESTADUAL DE TEMPO INTEGRAL DE MARACÁS IRACY MARLENE DA HORA PASSOS - POVOADO DE PORTO ALEGRE</t>
  </si>
  <si>
    <t>POVOADO DE PORTO ALEGRE, Nº S/N</t>
  </si>
  <si>
    <t>78 KM</t>
  </si>
  <si>
    <t>MILAGRES</t>
  </si>
  <si>
    <t>COLÉGIO ESTADUAL DE MILAGRES - TEMPO INTEGRAL</t>
  </si>
  <si>
    <t>AVENIDA SANTO ANTONIO - SN(00001)</t>
  </si>
  <si>
    <t>-12.865272917303237, -39.86078252701154</t>
  </si>
  <si>
    <t>COLEGIO ESTADUAL DE TEMPO INTEGRAL JOSE DE SOUZA MACHADO
(ANTIGO C.E JOSE DE SOUZA MACHADO)</t>
  </si>
  <si>
    <t>TEREZA CRISTINA PORTO DE CARVALHO</t>
  </si>
  <si>
    <t>(77 ) 9 9940-7430 / 9 9813-4060</t>
  </si>
  <si>
    <t>MARCIO SARMENTO AMARAL</t>
  </si>
  <si>
    <t>(74) 9 9991-3155</t>
  </si>
  <si>
    <t>(74) 3655-1319</t>
  </si>
  <si>
    <t>Estruturas adaptadas: 01 biblioteca, 01 refeitório, 01 sala de vídeo, 01 sala de vivências corporais; Laboratório: 01 ciências/química e matemática.</t>
  </si>
  <si>
    <t>MUTUIPE</t>
  </si>
  <si>
    <t>COLEGIO ESTADUAL DE TEMPO INTEGRAL ANTONIO FELIPE EVANGELISTA NETO</t>
  </si>
  <si>
    <t>RUA AURELIANO OLIVEIRA,nº 615</t>
  </si>
  <si>
    <t>-13.232728804727435, -39.50272546882529</t>
  </si>
  <si>
    <t>DIEGO APARECIDO SANTOS PINHEIRO</t>
  </si>
  <si>
    <t>(74) 9 9129-6598</t>
  </si>
  <si>
    <t>(74) 3637-2091</t>
  </si>
  <si>
    <t>NOVA ITARANA</t>
  </si>
  <si>
    <t>COLEGIO ESTADUAL DE TEMPO INTEGRAL DE NOVA ITARANA  - (ANTIGO CE LUIZ VIANA FILHO)</t>
  </si>
  <si>
    <t>RUA TIRADENTES - SN(00232)</t>
  </si>
  <si>
    <t>-13.020365842445347, -40.06441289170078</t>
  </si>
  <si>
    <r>
      <rPr>
        <rFont val="Calibri"/>
        <b/>
        <color theme="1"/>
        <sz val="11.0"/>
      </rPr>
      <t xml:space="preserve">Estrutura: </t>
    </r>
    <r>
      <rPr>
        <rFont val="Calibri"/>
        <color theme="1"/>
        <sz val="11.0"/>
      </rPr>
      <t xml:space="preserve">13 salas de aula; </t>
    </r>
    <r>
      <rPr>
        <rFont val="Calibri"/>
        <b/>
        <color theme="1"/>
        <sz val="11.0"/>
      </rPr>
      <t>Adaptações:</t>
    </r>
    <r>
      <rPr>
        <rFont val="Calibri"/>
        <color theme="1"/>
        <sz val="11.0"/>
      </rPr>
      <t xml:space="preserve"> 07 salas de aula e 06 adaptadas para: 01 Biblioteca, 01 sala de vídeo, 01 para deposito de instrumentos da fanfarra, 01 para Atividade Complementar e 01  para lab. de informática.</t>
    </r>
  </si>
  <si>
    <t>COLÉGIO ESTADUAL DE TEMPO INTEGRAL MANOEL JOSÉ DE ANDRADE</t>
  </si>
  <si>
    <t>PRAÇA ISAURA COUTO DA SILVA - SN(00275)</t>
  </si>
  <si>
    <t>-13.25725429014135, -40.36909495763187</t>
  </si>
  <si>
    <t>RUA JOSUE ALVES BARRETO - 380</t>
  </si>
  <si>
    <t>PAULINY GABRIELA BARRETO</t>
  </si>
  <si>
    <t>(74) 9 8135-8606</t>
  </si>
  <si>
    <t>(74) 3648-2162</t>
  </si>
  <si>
    <t>8 (sendo 6 como salas de aula, 01 adaptada para sala de multimidia e 01 como sala multiuso)</t>
  </si>
  <si>
    <t>SANTA INES</t>
  </si>
  <si>
    <t>COLÉGIO ESTADUAL DE TEMPO INTEGRAL DE SANTA INES</t>
  </si>
  <si>
    <t>RUA MESSIAS BARRETO N 97, CEP:  45320000</t>
  </si>
  <si>
    <t>-13.289954531125161, -39.81589198039908</t>
  </si>
  <si>
    <t>COLEGIO ESTADUAL DE TEMPO INTEGRAL DO CAMPO DE MIROROS</t>
  </si>
  <si>
    <t>SAO MIGUEL DAS MATAS</t>
  </si>
  <si>
    <t>LUZIA PEREIRA DE SOUSA TEIXEIRA</t>
  </si>
  <si>
    <t>(74) 9 9934-3499</t>
  </si>
  <si>
    <t>(74) 3686-8026</t>
  </si>
  <si>
    <t>COLÉGIO ESTADUAL DE TEMPO INTEGRAL ALDEMIRO VILAS BOAS</t>
  </si>
  <si>
    <t>RUA RUI BARBOSA - SN(00178)</t>
  </si>
  <si>
    <t>-13.050661636048556, -39.45845251497079</t>
  </si>
  <si>
    <t>COLÉGIO ESTADUAL DO CAMPO DE IBITITA</t>
  </si>
  <si>
    <t>ITAMAR FERREIRA DE BRITO</t>
  </si>
  <si>
    <t>(74) 9 9940-0723</t>
  </si>
  <si>
    <t>CRISTIANE BARRETO DE ALMEIDA CARDOSO</t>
  </si>
  <si>
    <t>(74) 9 8121-1706 / 9 9110-5616</t>
  </si>
  <si>
    <t>EDVANIA BEZERRA DE LIMA</t>
  </si>
  <si>
    <t>(74) 9 9194-4783</t>
  </si>
  <si>
    <t>(74) 3652-1233</t>
  </si>
  <si>
    <t>12 (sendo 11 como salas aula e 01 adaptada para sala de libras)</t>
  </si>
  <si>
    <t>Estruturas adaptadas: 01 sala de vídeo adaptada.</t>
  </si>
  <si>
    <t>UBAIRA</t>
  </si>
  <si>
    <t>COLÉGIO ESTADUAL DE TEMPO INTEGRAL BALBINO MUNIZ BARRETO</t>
  </si>
  <si>
    <t>RUA JOSÉ RIBEIRO FILHO - 31</t>
  </si>
  <si>
    <t>-13.270283867452132, -39.65602241238964</t>
  </si>
  <si>
    <t>COLÉGIO DEMOCRÁTICO ESTADUAL CASTRO ALVES</t>
  </si>
  <si>
    <t>ANA MARIA RODRIGUES DA SILVA</t>
  </si>
  <si>
    <t>(77) 9 8127-8663</t>
  </si>
  <si>
    <t>JOSE CARLOS RODRIGUES NOVAIS</t>
  </si>
  <si>
    <t>(77) 9 9129-8664</t>
  </si>
  <si>
    <t>(77) 3646-1284</t>
  </si>
  <si>
    <t>8 (sendo 07 como salas de aula e 01 adaptada para biblioteca)</t>
  </si>
  <si>
    <t>Estruturas adaptadas: Para sala de aula: 01 laboratório de linguagens
Demais laboratórios: 01 matemática/ física, 01 biologia/química.</t>
  </si>
  <si>
    <t>ANEXO - COLÉGIO ESTADUAL BALBINO MUNIZ BARRETO - POVOADO DE TRES BRACOS</t>
  </si>
  <si>
    <t>POVOADO DE TRÊS BRAÇOS - SN(00013)</t>
  </si>
  <si>
    <t>POVOADO DE TRÊS BRAÇOS -</t>
  </si>
  <si>
    <t>28 KM</t>
  </si>
  <si>
    <t>COLÉGIO ESTADUAL LUIZ VIANA FILHO - EM TEMPO INTEGRAL</t>
  </si>
  <si>
    <t>ELOISA MENDES SILVA</t>
  </si>
  <si>
    <t>(74) 9 8844-9693</t>
  </si>
  <si>
    <t>ERIVAL BATISTA DE OLIVEIRA</t>
  </si>
  <si>
    <t>(74) 9 9985-7659</t>
  </si>
  <si>
    <t>GRESIELE DA SILVA CARVALHO</t>
  </si>
  <si>
    <t xml:space="preserve"> (77) 9 9959-0571</t>
  </si>
  <si>
    <t>(74) 3641-4209 / 5540</t>
  </si>
  <si>
    <t>CAMPO ALEGRE DE LOURDES</t>
  </si>
  <si>
    <t>COLÉGIO ESTADUAL DE TEMPO INTEGRAL DOUTOR IVES ORLANDO LOPES DA SILVA</t>
  </si>
  <si>
    <t>RUA JOAO ADELINO - S/N</t>
  </si>
  <si>
    <t>-9.520910484196566, -43.005518812006066</t>
  </si>
  <si>
    <t>WASHINGTON VINÍCIO MATOS DE SOUZA</t>
  </si>
  <si>
    <t>(74) 9 9996-5782</t>
  </si>
  <si>
    <t>NEURA MARIA SANTOS DOURADO</t>
  </si>
  <si>
    <t>(74) 9 9996-0398</t>
  </si>
  <si>
    <t>VIVIANE DA GAMA SILVA</t>
  </si>
  <si>
    <t>(74) 9 9955-1444</t>
  </si>
  <si>
    <t>(74) 3641-4699 / 3481</t>
  </si>
  <si>
    <t>Estruturas adaptadas: 01 biblioteca
Demais laboratórios: 01 física/matemática, 01 química/biologia.</t>
  </si>
  <si>
    <t>ANEXO - CEMIT SERTAO DO SAO FRANCISCO - POV. ANGICO DOS DIAS</t>
  </si>
  <si>
    <t>POV. DE ANGICO DOS DIAS - S/N</t>
  </si>
  <si>
    <t>JOICE MACHADO DE CARVALHO</t>
  </si>
  <si>
    <t>(74) 9 8801-9785</t>
  </si>
  <si>
    <t>LEANA FERREIRA DE ABREU</t>
  </si>
  <si>
    <t>(74) 9 9929-6438</t>
  </si>
  <si>
    <t>NAIARA ALVES ANDRADE</t>
  </si>
  <si>
    <t>(74) 9 9902-4563</t>
  </si>
  <si>
    <t>(74) 3641-5062/3050</t>
  </si>
  <si>
    <t>16 (Sendo 06 salas no prédio do CETEP e 10 salas em 02 blocos do Brasil Profissionalizado)</t>
  </si>
  <si>
    <t>ANEXO - CEMIT - SERTAO DO SAO FRANCISCO - POVOADO LAGOA DO BAIAO</t>
  </si>
  <si>
    <t>LAGOA DO BAIAO - SN(00019)</t>
  </si>
  <si>
    <t xml:space="preserve"> POVOADO LAGOA DO BAIAO</t>
  </si>
  <si>
    <t>57KM</t>
  </si>
  <si>
    <t>ANEXO - CEMIT - SERTAO DO SAO FRANCISCO - POVOADO LAGOA DO ANGICO</t>
  </si>
  <si>
    <t>POVOADO LAGOA DO ANGICO - S/N</t>
  </si>
  <si>
    <t xml:space="preserve"> POVOADO LAGOA DO ANGICO</t>
  </si>
  <si>
    <t>ANEXO - CEMIT - SERTAO DO SAO FRANCISCO - POVOADO DE VOLTA DE CIMA</t>
  </si>
  <si>
    <t>POV. DE VOLTA DE CIMA - S/N</t>
  </si>
  <si>
    <t>POVOADO DE VOLTA DE CIMA</t>
  </si>
  <si>
    <t>MANOEL AUGUSTO MIRANDA DOURADO</t>
  </si>
  <si>
    <t>(74) 9 9968-4497</t>
  </si>
  <si>
    <t>EUGENIO RODRIGUES DE FREITAS</t>
  </si>
  <si>
    <t>(74) 9 9966-4585 / 9 9949-2841</t>
  </si>
  <si>
    <t>THIAGO FILGUEIRA PEREIRA</t>
  </si>
  <si>
    <t>(74) 9 8829-0038</t>
  </si>
  <si>
    <t>12 (Sendo 08 salas de aula, 02 cedidas para o NTE e 02 cedidas para CEMIT)</t>
  </si>
  <si>
    <t>ANEXO - CEMIT - SERTAO DO SAO FRANCISCO - POVOADO DE TAPAGEM</t>
  </si>
  <si>
    <t>POV DE TAPAGEM - S/N</t>
  </si>
  <si>
    <t>POVOADO DE TAPAGEM</t>
  </si>
  <si>
    <t>DIST. DE ITAPICURU - S/N</t>
  </si>
  <si>
    <t>DISTRITO DE ITAPICURU</t>
  </si>
  <si>
    <t>ANEXO - CEMIT - SERTAO DO SAO FRANCISCO - POVOADO DE TAMBORIL</t>
  </si>
  <si>
    <t>TAMBORIL - SN(00009)</t>
  </si>
  <si>
    <t xml:space="preserve"> POVOADO DE TAMBORIL</t>
  </si>
  <si>
    <t>36km</t>
  </si>
  <si>
    <t>JOSE WILTON FRANCISCO DA SILVA</t>
  </si>
  <si>
    <t>(74) 9 9967-4837</t>
  </si>
  <si>
    <t>DANIELA PIRES BARRETO</t>
  </si>
  <si>
    <t>(74) 9 9935-0933</t>
  </si>
  <si>
    <t>(74) 3644-1176</t>
  </si>
  <si>
    <t>7 (sendo 06 como salas de aula e 01 adaptada para sala de multimídia)</t>
  </si>
  <si>
    <t>ANEXO - CEMIT - SERTAO DO SAO FRANCISCO - POVOADO DE JUREMA DO VIRGILIO</t>
  </si>
  <si>
    <t>POV. DE JUREMA DO VIRGILIO - S/N</t>
  </si>
  <si>
    <t xml:space="preserve"> POVOADO DE JUREMA DO VIRGILIO</t>
  </si>
  <si>
    <t>ANEXO - CEMIT - SERTAO DO SAO FRANCISCO - POVOADO DE BARREIRO DO ESPINHEIRO</t>
  </si>
  <si>
    <t>POV BARREIRO DO ESPINHEIRO - S/N</t>
  </si>
  <si>
    <t>POVOADO DE BARREIRO DO ESPINHEIRO</t>
  </si>
  <si>
    <t>ANEXO - CEMIT - SERTAO DO SAO FRANCISCO - POVOADO DE BARRA</t>
  </si>
  <si>
    <t>POVOADO DE BARRA - S/N</t>
  </si>
  <si>
    <t>POVOADO DE BARRA</t>
  </si>
  <si>
    <t>ANEXO - CEMIT - SERTAO DO SAO FRANCISCO - POVOADO BAIXAOZINHO</t>
  </si>
  <si>
    <t>BAIXAOZINHO - SN(00035)</t>
  </si>
  <si>
    <t>POVOADO BAIXAOZINHO</t>
  </si>
  <si>
    <t>95KM</t>
  </si>
  <si>
    <t>ANEXO - CEMIT - SERTAO DO SAO FRANCISCO - POVOADO ANGICO II</t>
  </si>
  <si>
    <t>POVOADO ANGICO II - S/N</t>
  </si>
  <si>
    <t>POVOADO ANGICO II</t>
  </si>
  <si>
    <t>ANEXO - CEMIT - SERTAO DO SAO FRANCISCO - DISTRITO DE PEIXE</t>
  </si>
  <si>
    <t>DISTRITO DE PEIXE - S/N</t>
  </si>
  <si>
    <t>DISTRITO DE PEIXE</t>
  </si>
  <si>
    <t>71km</t>
  </si>
  <si>
    <t>ANEXO - CEMIT - SERTAO DO SAO FRANCISCO - DISTRITO DE PAU DE BIRRO</t>
  </si>
  <si>
    <t>PAU DE BIRRO - S/N</t>
  </si>
  <si>
    <t>DISTRITO DE PAU DE BIRRO</t>
  </si>
  <si>
    <t>51KM</t>
  </si>
  <si>
    <t>ANEXO - CEMIT - SERTAO DO SAO FRANCISCO - DISTRITO DE JIQUITAIA</t>
  </si>
  <si>
    <t>DISTRITO DE JIQUITAIA - S/N</t>
  </si>
  <si>
    <t xml:space="preserve"> DISTRITO DE JIQUITAIA</t>
  </si>
  <si>
    <t>CANUDOS</t>
  </si>
  <si>
    <t>RAQUEL VASCONCELOS DOS SANTOS NETA</t>
  </si>
  <si>
    <t>COLÉGIO ESTADUAL LUIS CABRAL</t>
  </si>
  <si>
    <t>(74) 9 9978-8773</t>
  </si>
  <si>
    <t>BR 235 KM 05 - SN(00228)</t>
  </si>
  <si>
    <t>ANA LÉCIA CARDOSO DE BRITO  DOURADO</t>
  </si>
  <si>
    <t>(74) 9 9991-7475</t>
  </si>
  <si>
    <t>SANDRA MARGARETE DOURADO CASTRO TEIXEIRA</t>
  </si>
  <si>
    <t>-9.902028015120864, -39.02684307431989</t>
  </si>
  <si>
    <t>(74) 9 9988-2870</t>
  </si>
  <si>
    <t>(74) 3668-1308</t>
  </si>
  <si>
    <t>ANEXO - CEMIT - SERTAO DO SAO FRANCISCO - DISTRITO DE BENDEGO</t>
  </si>
  <si>
    <t>DIST. BENDEGO - S/N</t>
  </si>
  <si>
    <t>DISTRITO DE BENDEGO</t>
  </si>
  <si>
    <t>CASA NOVA</t>
  </si>
  <si>
    <t>COLÉGIO ESTADUAL DO CAMPO DE TEMPO INTEGRAL PROFESSORA  MARIA TEREZA BRAGA CABRAL - DISTRITO DE PAU A PIQUE
OBS.:  A nova unidade irá receber os estudantes do Antigo Anexo do CE de Casa Nova no distrito de Pau a Pique.</t>
  </si>
  <si>
    <t>R. DOS VEADOS - PAU A PIQUE, CASA NOVA - BA, 47300-000</t>
  </si>
  <si>
    <t>113KM</t>
  </si>
  <si>
    <t>-9.620432962469971, -41.61892436689342</t>
  </si>
  <si>
    <r>
      <rPr>
        <rFont val="Calibri"/>
        <b/>
        <color theme="1"/>
        <sz val="11.0"/>
      </rPr>
      <t>21 salas, s</t>
    </r>
    <r>
      <rPr>
        <rFont val="Calibri"/>
        <b/>
        <color rgb="FFFF0000"/>
        <sz val="11.0"/>
      </rPr>
      <t>endo 19 utilizadas para aula e</t>
    </r>
    <r>
      <rPr>
        <rFont val="Calibri"/>
        <b/>
        <color theme="1"/>
        <sz val="11.0"/>
      </rPr>
      <t xml:space="preserve"> 02 adaptadas: 01 para laboratório de informática e 01 para biblioteca.</t>
    </r>
  </si>
  <si>
    <t>COLÉGIO ESTADUAL DO CAMPO AGNALDO ALMEIDA - DISTRITO DE SANTANA DO SOBRADO - TEMPO INTEGRAL</t>
  </si>
  <si>
    <t>DIST. SANTANA DO SOBRADO - 2, CENTRO, CEP: 47300000</t>
  </si>
  <si>
    <t>-9.29332131906384, -40.8222380025251</t>
  </si>
  <si>
    <t>COLÉGIO ESTADUAL CAROLINA ALMEIDA LOPES - EM TEMPO INTEGRAL</t>
  </si>
  <si>
    <t>LUCIEL RODRIGUES DA SILVA</t>
  </si>
  <si>
    <t>(74) 9 8147-1052</t>
  </si>
  <si>
    <t>ARTÊNIA RIBEIRO DA MOTA</t>
  </si>
  <si>
    <t>(74) 9 9997-6753</t>
  </si>
  <si>
    <t>FRANCISCO DE SOUZA NUNES NETO</t>
  </si>
  <si>
    <t>(74) 9 8124-4545</t>
  </si>
  <si>
    <t>(74) 3647-1170</t>
  </si>
  <si>
    <t>COLÉGIO ESTADUAL DE TEMPO INTEGRAL DE CASA NOVA
(Antigo COLÉGIO Antônio Honorato)</t>
  </si>
  <si>
    <t>RUA A - 2</t>
  </si>
  <si>
    <r>
      <rPr>
        <rFont val="Calibri"/>
        <b/>
        <color theme="1"/>
        <sz val="11.0"/>
      </rPr>
      <t>10 (</t>
    </r>
    <r>
      <rPr>
        <rFont val="Calibri"/>
        <b/>
        <color rgb="FFFF0000"/>
        <sz val="11.0"/>
      </rPr>
      <t>Sendo 8 como salas de aula</t>
    </r>
    <r>
      <rPr>
        <rFont val="Calibri"/>
        <b/>
        <color theme="1"/>
        <sz val="11.0"/>
      </rPr>
      <t>, 01 adaptada para sala de professores e 01 adaptada para laboratório de informática)</t>
    </r>
  </si>
  <si>
    <t>-9.178173452470165, -40.97355912191652</t>
  </si>
  <si>
    <t>CARLOS ADOLFO STOLZE DE OLIVEIRA</t>
  </si>
  <si>
    <t>(74) 9 9947-8884</t>
  </si>
  <si>
    <t>(74) 3699-4054</t>
  </si>
  <si>
    <t>06 + 02 (Adapt)</t>
  </si>
  <si>
    <t>COLEGIO ESTADUAL DE TEMPO INTEGRAL JUSTINIANO DE CASTRO DOURADO
(ANTIGO C.E JUSTINIANO DE CASTRO DOURADO)</t>
  </si>
  <si>
    <t>Estruturas adaptadas: 01 sala de AEE, 02 Salas Educa Mais 
Sala multifuncional: 01 sala de jogos</t>
  </si>
  <si>
    <t>KALINE CASTRO CAMPOS NEVES MORAIS</t>
  </si>
  <si>
    <t>(74) 9 9978-4377</t>
  </si>
  <si>
    <t>ARIEVANDRO CARDOSO NUNES</t>
  </si>
  <si>
    <t>(74) 9 9973-8723</t>
  </si>
  <si>
    <t>(74) 3657-1874</t>
  </si>
  <si>
    <t>ANEXO - COLÉGIO ESTADUAL DO CAMPO DE TEMPO INTEGRAL PROFESSORA  MARIA TEREZA BRAGA CABRAL - DISTRITO DE PAU A PIQUE - POVOADO BEM BOM</t>
  </si>
  <si>
    <t>DISTRITO DE BEM BOM - S/N</t>
  </si>
  <si>
    <t xml:space="preserve">DISTRITO DE BEM BOM </t>
  </si>
  <si>
    <t>COLÉGIO ESTADUAL DE MULUNGU DO MORRO</t>
  </si>
  <si>
    <t>130KM</t>
  </si>
  <si>
    <t>SEM DIREÇÃO</t>
  </si>
  <si>
    <t>ADAIR SILVA MACHADO (ASSUMINDO A DIREÇÃO ATÉ ENTÃO)</t>
  </si>
  <si>
    <t>(75) 9 9228-6198</t>
  </si>
  <si>
    <t>(74) 3643-1054</t>
  </si>
  <si>
    <t>ANEXO - COLÉGIO ESTADUAL DE TEMPO INTEGRAL DE CASA NOVA - DISTRITO DE OURICURI</t>
  </si>
  <si>
    <t>DISTRITO DE OURICURI - S/N</t>
  </si>
  <si>
    <t xml:space="preserve">DISTRITO DE OURICURI </t>
  </si>
  <si>
    <t>ANEXO - COLÉGIO ESTADUAL DE TEMPO INTEGRAL DE CASA NOVA - DISTRITO DE LUIZ VIANA</t>
  </si>
  <si>
    <t>DIST. DE LUIZ VIANA - S/N</t>
  </si>
  <si>
    <t>DIST. DE LUIZ VIANA</t>
  </si>
  <si>
    <t>INDIRA NEIVA SOUZA</t>
  </si>
  <si>
    <t>(74) 9 9998-1299</t>
  </si>
  <si>
    <t>NEUZETE GONÇALVES MACHADO</t>
  </si>
  <si>
    <t>(74) 9 8822-4448</t>
  </si>
  <si>
    <t>(74) 3640-1276</t>
  </si>
  <si>
    <t>ANEXO - COLÉGIO ESTADUAL DE TEMPO INTEGRAL DE CASA NOVA - DISTRITO DE LAGOA DO ALEGRE</t>
  </si>
  <si>
    <t>LAGOA DO ALEGRE - S/N</t>
  </si>
  <si>
    <t>LAGOA DO ALEGRE</t>
  </si>
  <si>
    <t>COLÉGIO ESTADUAL JOÃO DURVAL CARNEIRO</t>
  </si>
  <si>
    <t>CECILIA MACHADO DE OLIVEIRA</t>
  </si>
  <si>
    <t>(74) 9 9937-8438</t>
  </si>
  <si>
    <t>AIMA GLICERIO ROCHA</t>
  </si>
  <si>
    <t>(74) 9 9917-0121</t>
  </si>
  <si>
    <t>(74) 3620-2256</t>
  </si>
  <si>
    <t>14 (Sendo 06 como salas aulas, 01 sala de leitura; 01 laboratório de ciências; 01 sala de esportes, 01 sala de Atividade Complementar – AC; 02 salas multimídia e 02 multifuncionais)</t>
  </si>
  <si>
    <t>ANEXO - CEMIT SERTAO DO SAO FRANCISCO - DISTRITO DE TIRIRICA</t>
  </si>
  <si>
    <t>DISTRITO DE TIRIRICA - S/N</t>
  </si>
  <si>
    <t>DISTRITO DE TIRIRICA</t>
  </si>
  <si>
    <t>FRANCINEIDE COSTA GAMA</t>
  </si>
  <si>
    <t>(74) 9 9959-4410</t>
  </si>
  <si>
    <t xml:space="preserve">- </t>
  </si>
  <si>
    <t xml:space="preserve">ALDEIA SALGADO, Nº N S/N Bairro: CENTRO CEP: 48930-000
</t>
  </si>
  <si>
    <t>NATÉRCIA SILVA MATOS</t>
  </si>
  <si>
    <t>(74) 9 9909-8948</t>
  </si>
  <si>
    <t>JARIETE MACHADO</t>
  </si>
  <si>
    <t>(74) 9 8808-0273</t>
  </si>
  <si>
    <t>(74) 3649-1646</t>
  </si>
  <si>
    <t>COLÉGIO ESTADUAL ANANIAS CARLOS DO NASCIMENTO - DISTRITO RIACHO DE SECO</t>
  </si>
  <si>
    <t>LUIZ DA COSTA MENDONCA - SN(00011)</t>
  </si>
  <si>
    <t>DISTRITO RIACHO DE SECO</t>
  </si>
  <si>
    <t>EDINALVA DA CONCEICAO OLIVEIRA</t>
  </si>
  <si>
    <t>(74) 9 9818-2525</t>
  </si>
  <si>
    <t>SAMUEL RODRIGUES SOARES FILHO</t>
  </si>
  <si>
    <t>(74) 9 9981-5751</t>
  </si>
  <si>
    <t>(74) 3661-1074</t>
  </si>
  <si>
    <t>COLÉGIO ESTADUAL AGROVILA 08 - DISTRITO PEDRA BRANCA</t>
  </si>
  <si>
    <t>DISTRITO DE PEDRA BRANCA - SN(00322)</t>
  </si>
  <si>
    <t>-8.685759145126857, -39.46279247884624</t>
  </si>
  <si>
    <t>CENTRO TERRITORIAL DE EDUCAÇÃO PROFISSIONAL EM TEMPO INTEGRAL MARIA DE ALMEIDA DE ARAÚJO ( ANTIGO JOSE AMANCIO FILHO )</t>
  </si>
  <si>
    <t>AV. GOVERNADOR ANTÔNIO CARLOS MAGALHAES, S/N</t>
  </si>
  <si>
    <t>CENTRO CURACA 2</t>
  </si>
  <si>
    <t>-8.996099144371478, -39.90321879078438</t>
  </si>
  <si>
    <t>MARIA GORETE DE MIRANDA ALVES</t>
  </si>
  <si>
    <t>(74) 9 9144-6072/ 9 9976-5882</t>
  </si>
  <si>
    <t>ARLENE BARBOSA DOS SANTOS</t>
  </si>
  <si>
    <t>(71) 9 9714-1780</t>
  </si>
  <si>
    <t>LIGIAN SANTOS OLIVEIRA</t>
  </si>
  <si>
    <t>(74) 9 9957-7311</t>
  </si>
  <si>
    <t>(74) 3661-2460/4574</t>
  </si>
  <si>
    <t>12 (sendo 11 como salas de aula e 01 adaptada para sala de jogos)</t>
  </si>
  <si>
    <t xml:space="preserve">ANEXO - CENTRO TERRITORIAL DE EDUCACAÇÃO PROFISSIONAL EM TEMPO INTEGRAL - POVOADO DE MUNDO NOVO 
</t>
  </si>
  <si>
    <t>POVOADO DE MUNDO NOVO - S/N</t>
  </si>
  <si>
    <t>POVOADO DE MUNDO NOVO</t>
  </si>
  <si>
    <t>124KM</t>
  </si>
  <si>
    <t>ANEXO - CEMIT- SERTAO DO SAO FRANCISCO - DISTRITO DE BARRO VERMELHO</t>
  </si>
  <si>
    <t>RUA VISCONDE DO BOM CONSELHO - 01074</t>
  </si>
  <si>
    <t>DIST. DE BARRO VERMELHO - S/N</t>
  </si>
  <si>
    <t>DIST. DE BARRO VERMELHO</t>
  </si>
  <si>
    <t>MARIA REGINA CAMANDAROBA DE CARVALHO</t>
  </si>
  <si>
    <t>(74) 9 9934-0316</t>
  </si>
  <si>
    <t>PAULO SERGIO PEREIRA PAMPLO</t>
  </si>
  <si>
    <t>(74) 9 8831-0229</t>
  </si>
  <si>
    <t>(74) 3662-3154</t>
  </si>
  <si>
    <t>05 + 01 (Adapt)</t>
  </si>
  <si>
    <t>ANEXO - CEMIT SERTAO DO SAO FRANCISCO - FAZENDA BRANDAO</t>
  </si>
  <si>
    <t>POCO DE FORA (FAZENDA BRANDAO) - S/N</t>
  </si>
  <si>
    <r>
      <rPr>
        <rFont val="Calibri"/>
        <color theme="1"/>
        <sz val="10.0"/>
      </rPr>
      <t xml:space="preserve">COLÉGIO ESTADUAL DE TEMPO INTEGRAL DE PALMEIRAS
</t>
    </r>
    <r>
      <rPr>
        <rFont val="Calibri"/>
        <b/>
        <color theme="1"/>
        <sz val="10.0"/>
      </rPr>
      <t>(ANTIGO:PROFESSORA NILDE MARIA MONTEIRO XAVIER)</t>
    </r>
  </si>
  <si>
    <t>ANEXO - CEMIT - SERTAO DO SAO FRANCISCO - DISTRITO DE SAO BENTO</t>
  </si>
  <si>
    <t>COLÉGIO ESTADUAL DOUTOR LUIZ ROGÉRIO DE SOUZA</t>
  </si>
  <si>
    <t>SAO BENTO - SN(00012)</t>
  </si>
  <si>
    <t>DISTRITO DE SAO BENTO</t>
  </si>
  <si>
    <t>FRANCISCO DE ARAUJO LEAL</t>
  </si>
  <si>
    <t>(74) 9 8836-8463</t>
  </si>
  <si>
    <t>MARILEIDE RAMOS DE CARVALHO</t>
  </si>
  <si>
    <t>(73) 9 9994-1397</t>
  </si>
  <si>
    <t>(74) 3662-2700</t>
  </si>
  <si>
    <t>ANEXO - CEMIT - SERTAO DO SAO FRANCISCO - DISTRITO DE PATAMUTE</t>
  </si>
  <si>
    <t>DISTRITO DE PATAMUTE - S/N</t>
  </si>
  <si>
    <t>DISTRITO DE PATAMUTE</t>
  </si>
  <si>
    <r>
      <rPr>
        <rFont val="Calibri"/>
        <b/>
        <color theme="1"/>
        <sz val="11.0"/>
      </rPr>
      <t xml:space="preserve">08 salas, </t>
    </r>
    <r>
      <rPr>
        <rFont val="Calibri"/>
        <b/>
        <color rgb="FFFF0000"/>
        <sz val="11.0"/>
      </rPr>
      <t>sendo 06 salas de aula</t>
    </r>
    <r>
      <rPr>
        <rFont val="Calibri"/>
        <b/>
        <color theme="1"/>
        <sz val="11.0"/>
      </rPr>
      <t xml:space="preserve">, 02 adaptadas (01 para laboratório de informática/biblioteca e 01 laboratório de gastronomia). </t>
    </r>
  </si>
  <si>
    <t>NEIDE RAFAEL DE SOUZA ROCHA</t>
  </si>
  <si>
    <t>ANEXO -  CENTRO TERRITORIAL DE EDUCAÇÃO PROFISSIONAL EM TEMPO INTEGRAL - DISTRITO POCO DE FORA</t>
  </si>
  <si>
    <t>(74) 9 9988-0594/9 9807-3175</t>
  </si>
  <si>
    <t>DISTRITO POCO DE FORA - SN(00001)</t>
  </si>
  <si>
    <t>ISRAEL FERREIRA ASSIS</t>
  </si>
  <si>
    <t>DISTRITO POCO DE FORA</t>
  </si>
  <si>
    <t>(74) 9 9953-8669/9 807-3175</t>
  </si>
  <si>
    <t>NÃO POSSUI</t>
  </si>
  <si>
    <t>COMPLEXO INTEGRADO DE EDUCACAO BÁSICA, PROFISSIONAL E TECNOLÓGICA DA BAHIA - TEMPO INTEGRAL</t>
  </si>
  <si>
    <t>ANTÔNIO CARLOS MAGALHÃES - SN(01070)</t>
  </si>
  <si>
    <t>SANTO ANTÔNIO</t>
  </si>
  <si>
    <t>-9.412019908285446, -40.51403965784979</t>
  </si>
  <si>
    <t>MONICA SUELI OLIVEIRA DE CARVALHO</t>
  </si>
  <si>
    <t>(74) 9 9949-7715</t>
  </si>
  <si>
    <t>(74) 3662-1143</t>
  </si>
  <si>
    <t>5+3 ADAP</t>
  </si>
  <si>
    <t>Estruturas adaptadas: 01 laboratório de informática, 01 biblioteca
Demais laboratórios: 01 matematica 
Multifuncional: 01 sala de vídeo, 01 sala de podcast</t>
  </si>
  <si>
    <t>COLÉGIO MODELO LUIS EDUARDO MAGALHÃES</t>
  </si>
  <si>
    <t>AV. LOMANTO JUNIOR - S/N</t>
  </si>
  <si>
    <t>JOAO XXIII</t>
  </si>
  <si>
    <t>-9.436902933140953, -40.49718859915839</t>
  </si>
  <si>
    <t>COLÉGIO ESTADUAL ROTARY CLUBE</t>
  </si>
  <si>
    <t>RUA PADRE FEIJÓ - SN(00020)</t>
  </si>
  <si>
    <t>-9.431278033860607, -40.4979891355748</t>
  </si>
  <si>
    <t>COLÉGIO ESTADUAL HILDETE LOMANTO</t>
  </si>
  <si>
    <t>RUA DR. OSCAR BIBEIRO - 73</t>
  </si>
  <si>
    <t>-9.415281061648416, -40.501610663019775</t>
  </si>
  <si>
    <t xml:space="preserve">Estruturas adaptadas: 01 sala de leitura, 01 refeitório </t>
  </si>
  <si>
    <t>COLÉGIO ESTADUAL DONA GUIOMAR BARRETO MEIRA</t>
  </si>
  <si>
    <t>PARQUE RESIDENCIAL JUAZEIRO - SN(02560)</t>
  </si>
  <si>
    <t>-9.475605352810174, -40.49256194570945</t>
  </si>
  <si>
    <t>Estruturas adaptadas: 01 refeitório
Demais laboratórios: Quimica</t>
  </si>
  <si>
    <t>COLÉGIO ESTADUAL DO CAMPO OLAVO FERREIRA NETO - DISTRITO DE MANIÇOBA</t>
  </si>
  <si>
    <t>DISTRITO MANICOBA - 390</t>
  </si>
  <si>
    <r>
      <rPr>
        <rFont val="Calibri"/>
        <b/>
        <color theme="1"/>
        <sz val="11.0"/>
      </rPr>
      <t>04 (</t>
    </r>
    <r>
      <rPr>
        <rFont val="Calibri"/>
        <b/>
        <color rgb="FFFF0000"/>
        <sz val="11.0"/>
      </rPr>
      <t>sendo 03 salas de aula</t>
    </r>
    <r>
      <rPr>
        <rFont val="Calibri"/>
        <b/>
        <color theme="1"/>
        <sz val="11.0"/>
      </rPr>
      <t xml:space="preserve"> e 01 adaptada para sala de leitura)</t>
    </r>
  </si>
  <si>
    <t>-9.321750028055728, -40.289985468726194</t>
  </si>
  <si>
    <t>RUA IMPERATRIZ, 182 - ARGEMIRO, JUAZEIRO - BA, 48916-255</t>
  </si>
  <si>
    <t>-9.440294790753033, -40.514528115935086</t>
  </si>
  <si>
    <t xml:space="preserve">Demais Laboratórios: 01 quimica/fisica, 01 matemática, 01 linguagem  
Sala multifuncional: 01 dança, 01 jogos
</t>
  </si>
  <si>
    <t>COLÉGIO ESTADUAL DE TEMPO INTEGRAL PEDRO RAYMUNDO MOREIRA REGO</t>
  </si>
  <si>
    <t>AVENIDA IRMÃ DULCE - SN(00190)</t>
  </si>
  <si>
    <t>ALTO DA ALIANÇA</t>
  </si>
  <si>
    <t>-9.446757801747301, -40.498695314639676</t>
  </si>
  <si>
    <t>Estruturas adaptadas: 01 Educa Mais Bahia, 01 blibioteca</t>
  </si>
  <si>
    <t>COLEGIO ESTADUAL DE TEMPO INTEGRAL LOMANTO JUNIOR</t>
  </si>
  <si>
    <t>RODOVIA LOMANTO JUNIOR KM3 - SN(00011)</t>
  </si>
  <si>
    <t>CASTELO BRANCO</t>
  </si>
  <si>
    <t>-9.437347580616063, -40.49475814513754</t>
  </si>
  <si>
    <t>Estuturas adaptadas: 01 sala de AEE</t>
  </si>
  <si>
    <t>COLÉGIO ESTADUAL DE TEMPO INTEGRAL JUTAHY MAGALHÃES</t>
  </si>
  <si>
    <t>PRACA IMACULADA CONCEICAO - SN(00004)</t>
  </si>
  <si>
    <t>PIRANGA</t>
  </si>
  <si>
    <t>-9.433746448679374, -40.50309139438277</t>
  </si>
  <si>
    <t>Estruturas adaptadas: 01 refeitório
Demais laboratórios: 01 horta</t>
  </si>
  <si>
    <t>COLÉGIO ESTADUAL DE TEMPO INTEGRAL FLORENTINA ALVES DOS SANTOS</t>
  </si>
  <si>
    <t>PRACA SANTA TEREZINHA - S/N</t>
  </si>
  <si>
    <t>-9.432182773407442, -40.504518610105606</t>
  </si>
  <si>
    <t>04 + 01 Adapt.</t>
  </si>
  <si>
    <t>Demais Laboratórios: 01 Linguagens, 01 Matemática/
Física, 01 Biologia/ Química 
Sala multifuncional: 01 Sala de Dança; 01 Sala Maker</t>
  </si>
  <si>
    <t xml:space="preserve">COLÉGIO ESTADUAL DE TEMPO INTEGRAL AGOSTINHO MUNIZ </t>
  </si>
  <si>
    <t>TABULEIRO - SN(00577)</t>
  </si>
  <si>
    <t>TABULEIRO</t>
  </si>
  <si>
    <t>-9.434116004828084, -40.47505852813871</t>
  </si>
  <si>
    <t>Estruturas adaptadas: 01 sala de AEE</t>
  </si>
  <si>
    <t>COLÉGIO ESTADUAL CECILIO MATTOS</t>
  </si>
  <si>
    <t>RUA TRAVESSA DA MARAVILHA - S/N</t>
  </si>
  <si>
    <t>ALAGADIÇO</t>
  </si>
  <si>
    <t>-9.419160241800434, -40.50524129789305</t>
  </si>
  <si>
    <t>COLÉGIO ESTADUAL DE TEMPO INTEGRAL CORONEL HORÁCIO DE MATOS</t>
  </si>
  <si>
    <t>Estuturas Adaptadas: 01 sala de AEE, 01 sala de leitura, 01 sala de repouso e 01 sala de jogos.</t>
  </si>
  <si>
    <t>COLÉGIO ESTADUAL ARTUR OLIVEIRA DA SILVA</t>
  </si>
  <si>
    <t>LOTEAMENTO PALMARES - S/N</t>
  </si>
  <si>
    <t>PALMARES</t>
  </si>
  <si>
    <t>-9.42553712267567, -40.51846427569974</t>
  </si>
  <si>
    <t>Estruturas adaptadas: 01 refeitório, 01 Sala de vídeo, 01 Sala de Educa mais
Demais laboratórios: 01 horta</t>
  </si>
  <si>
    <t>COLÉGIO ESTADUAL ANTONILIO DA FRANÇA CARDOSO</t>
  </si>
  <si>
    <r>
      <rPr>
        <rFont val="Calibri"/>
        <b/>
        <color theme="1"/>
        <sz val="11.0"/>
      </rPr>
      <t xml:space="preserve">12 salas, </t>
    </r>
    <r>
      <rPr>
        <rFont val="Calibri"/>
        <b/>
        <color rgb="FFFF0000"/>
        <sz val="11.0"/>
      </rPr>
      <t>sendo 09 salas de aula,</t>
    </r>
    <r>
      <rPr>
        <rFont val="Calibri"/>
        <b/>
        <color theme="1"/>
        <sz val="11.0"/>
      </rPr>
      <t xml:space="preserve"> 01 adaptada para sala coordenação pedagógica, 01 laboratório de ciências da natureza e 01 laboratório de matemática/informática.</t>
    </r>
  </si>
  <si>
    <t>AVENIDA ALFA - SN(00384)</t>
  </si>
  <si>
    <t>DOM JOSE RODRIGUES</t>
  </si>
  <si>
    <t>-9.452612630531691, -40.514007142855085</t>
  </si>
  <si>
    <t>COLÉGIO DA POLICIA MILITAR - CPM ALFREDO VIANNA</t>
  </si>
  <si>
    <t>EDGARD CHASTINET - SN(00003)</t>
  </si>
  <si>
    <t>HORTO FLORESTAL</t>
  </si>
  <si>
    <t>-9.42008754467275, -40.49076603483056</t>
  </si>
  <si>
    <t xml:space="preserve">Demais laboratórios: 01 Matemática/Física
Estruturas adaptadas: 01 blibioteca, 01 Auditório, 01
Refeitorio
Sala multifuncional:  01 Sala de Jogos, 01 Sala de Xadrez, 01 Sala de judô, 01 Sala de NODPS </t>
  </si>
  <si>
    <t>CENTRO TERRITORIAL DE EDUCACAO PROFISSIONAL DO SERTÃO DO SÃO FRANCISCO</t>
  </si>
  <si>
    <t>AV ENG .AGR .EDGAR CHASTINET GUIMARAES - 12</t>
  </si>
  <si>
    <t>SÃO GERALDO</t>
  </si>
  <si>
    <t>-9.423151325268334, -40.484767931747115</t>
  </si>
  <si>
    <t>ELIZABETE DE CASTRO MARQUES MAGALHAES</t>
  </si>
  <si>
    <t>(77) 9 9964-3535</t>
  </si>
  <si>
    <t>MONACITA PINTO REIS</t>
  </si>
  <si>
    <t>(77) 9 9977 - 7646</t>
  </si>
  <si>
    <t>MARLEUZA FERNANDES DE OLIVEIRA</t>
  </si>
  <si>
    <t>(77) 9 9103-0448</t>
  </si>
  <si>
    <t>(77) 3481-2966/2929</t>
  </si>
  <si>
    <t xml:space="preserve">Estruturas adaptadas: 01 Refeitório, 01 Sala de vivências corporais 
Demais laboratórios:  01 Ciência, 01 Física , 01 Segurança do Trabalho, 01 Robótica, 01 Edificações e Topografia
</t>
  </si>
  <si>
    <t>CENTRO REGIONAL DE ENSINO MÉDIO COM INTERMEDIAÇÃO TECNOLÓGICA - CEMIT SERTÃO DO SÃO FRANCISCO</t>
  </si>
  <si>
    <t>DAS ALGAROBAS N SN(00006) CEP: 48902860</t>
  </si>
  <si>
    <t xml:space="preserve">CENTENARIO </t>
  </si>
  <si>
    <t>-9.417634669470319, -40.50816394386635</t>
  </si>
  <si>
    <t>ISABEL GEANNE FELISBELA NEVES RIBEIRO</t>
  </si>
  <si>
    <t>(77) 9 8134-4582</t>
  </si>
  <si>
    <t xml:space="preserve">MARCIO FERREIRA DO NASCIMENTO </t>
  </si>
  <si>
    <t>(77) 9 9943-0277</t>
  </si>
  <si>
    <t>ANA LÚCIA RODRIGUES GARCIA</t>
  </si>
  <si>
    <t>(77) 9 8812-7226</t>
  </si>
  <si>
    <t>(77) 3481-2290</t>
  </si>
  <si>
    <t>14 + 08 (Adapt)</t>
  </si>
  <si>
    <t>CENTRO ESTADUAL DE EDUCAÇÃO PROFISSIONAL EM GESTAO E NEGOCIOS DO NORTE BAIANO</t>
  </si>
  <si>
    <t>RUA DO CAJUEIRO - S/N</t>
  </si>
  <si>
    <t>-9.416580984339882, -40.491064742303166</t>
  </si>
  <si>
    <t>AILTON SILVA NASCIMENTO</t>
  </si>
  <si>
    <t>(77) 9 9939-3884</t>
  </si>
  <si>
    <r>
      <rPr>
        <rFont val="Calibri"/>
        <b/>
        <color theme="1"/>
        <sz val="11.0"/>
      </rPr>
      <t>06 (</t>
    </r>
    <r>
      <rPr>
        <rFont val="Calibri"/>
        <b/>
        <color rgb="FFFF0000"/>
        <sz val="11.0"/>
      </rPr>
      <t xml:space="preserve">sendo 04 salas de aula, </t>
    </r>
    <r>
      <rPr>
        <rFont val="Calibri"/>
        <b/>
        <color theme="1"/>
        <sz val="11.0"/>
      </rPr>
      <t>01 adaptada oficina de artísticas e 01 para oficina de pintura)</t>
    </r>
  </si>
  <si>
    <t xml:space="preserve">Estruturas adaptadas: 01 Sala de leitura, 01 Refeitório, 01 Informática, </t>
  </si>
  <si>
    <t xml:space="preserve">VIA DO SETOR 33, S/N, SÃO JOÃO </t>
  </si>
  <si>
    <t>CENTRO DE APOIO PEDAGOGICO ESPECIALIZADO - CAPE JUAZEIRO</t>
  </si>
  <si>
    <t>AV. ANTONIO CARLOS MAGALHAES, N S/N Bairro: - CEP:</t>
  </si>
  <si>
    <t>MARIA DAS GRACAS SANTOS RIBEIRO</t>
  </si>
  <si>
    <t>(77) 9 9121-5927</t>
  </si>
  <si>
    <t>(77) 3498-4096</t>
  </si>
  <si>
    <t>ANEXO- COLÉGIO ESTADUAL ROTARY CLUBE - DISTRITO DE CAMPO DOS CAVALOS</t>
  </si>
  <si>
    <t>CAMPO DOS CAVALOS - SN(00001)</t>
  </si>
  <si>
    <t>DISTRITO DE CAMPO DOS CAVALOS</t>
  </si>
  <si>
    <t>COLEGIO DA POLICIA MILITAR - CPM BOM JESUS DA LAPA</t>
  </si>
  <si>
    <t>DIREÇÃO DA ESCOLA: ENILSON MARQUES DE OLIVEIRA - (77) 9 9995-4162
DIREÇÃO DA UNIDADE PM: TENENTE PM LUÍZ AUGUSTO NORMANHA DE CARVALHO - (77) 9 9196-6293
DIREÇÃO DO ADJUNTO: JULIANDSON BARBOSA DE ARAÚJO - (71) 9 9267-8408</t>
  </si>
  <si>
    <t>ANDREA REGINA FLORIANO DA SILVA ARRUDA</t>
  </si>
  <si>
    <t>(77) 9 9187-4237</t>
  </si>
  <si>
    <t>(77) 3481 0971</t>
  </si>
  <si>
    <t>ANEXO- COLÉGIO ESTADUAL DE TEMPO INTEGRAL AGOSTINHO MUNIZ  - CONJUNTO PENAL DE JUAZEIRO</t>
  </si>
  <si>
    <t>R - S/N</t>
  </si>
  <si>
    <t>05 + 02 (adapt.)</t>
  </si>
  <si>
    <t>ANEXO - COLÉGIO ESTADUAL ROTARY CLUBE - DISTRITO JUREMAL</t>
  </si>
  <si>
    <t>DIST. JUREMAL - S/N</t>
  </si>
  <si>
    <t>JUREMAL</t>
  </si>
  <si>
    <t>ANEXO - COLÉGIO ESTADUAL PEDRO RAYMUNDO MOREIRA REGO - PROJETO CURAÇÁ</t>
  </si>
  <si>
    <t>PROJETO CURACA NH-1 - S/N</t>
  </si>
  <si>
    <t>PROJETO CURACA</t>
  </si>
  <si>
    <t>ALECSANDRO MARCIEL CARVALHO DE CASTRO</t>
  </si>
  <si>
    <t>(77) 9 9193-1417</t>
  </si>
  <si>
    <t>CARLOS MAGNO PAZ NOGUEIRA</t>
  </si>
  <si>
    <t>(77) 9 9985-6387</t>
  </si>
  <si>
    <t>(77) 3481-9102</t>
  </si>
  <si>
    <t>ANEXO - COLÉGIO ESTADUAL JUTAHY MAGALHÃES - POVOADO LAGOA DO SALITRE</t>
  </si>
  <si>
    <t>LAGOA DO SALITRE - SN(00007)</t>
  </si>
  <si>
    <t>LAGOA DO SALITRE</t>
  </si>
  <si>
    <t>ANEXO - COLÉGIO ESTADUAL JUTAHY MAGALHÃES - DISTRITO DE ABOBORA</t>
  </si>
  <si>
    <t>DISTRITO DE ABOBORA - S/N</t>
  </si>
  <si>
    <t>128KM</t>
  </si>
  <si>
    <t>ANEXO - COLÉGIO ESTADUAL DONA GUIOMAR BARRETO MEIRA - DISTRITO MASSAROCA</t>
  </si>
  <si>
    <t>DISTRITO DE MASSAROCA - S/N</t>
  </si>
  <si>
    <t>ANEXO - COLEGIO ESTADUAL DE TEMPO INTEGRAL PAULO JOSE DE OLIVEIRA - DISTRITO DE PINHÕES</t>
  </si>
  <si>
    <t>PC. ANTONIO TANURI - S/N</t>
  </si>
  <si>
    <t>ANEXO - COLEGIO ESTADUAL DE TEMPO INTEGRAL PAULO JOSE DE OLIVEIRA - DISTRITO DE ANGICO</t>
  </si>
  <si>
    <t>DIST. DE ANGICO - S/N</t>
  </si>
  <si>
    <t>ANEXO - COLEGIO ESTADUAL DE TEMPO INTEGRAL LOMANTO JUNIOR - DISTRITO DE ITAMOTINGA</t>
  </si>
  <si>
    <t>DISTRITO DE ITAMOTINGA - SN(00031)</t>
  </si>
  <si>
    <t>DISTRITO DE ITAMOTINGA</t>
  </si>
  <si>
    <t>ANEXO - COLÉGIO ESTADUAL DE TEMPO INTEGRAL AGOSTINHO MUNIZ  - POVOADO JARDIM PRIMAVERA</t>
  </si>
  <si>
    <t>JARDIM PRIMAVERA - S/N</t>
  </si>
  <si>
    <t>ANEXO - COLÉGIO ESTADUAL CECILIO MATTOS - SEDE</t>
  </si>
  <si>
    <t>RUA PROJETADA C, RESIDENCIAL DR HUMBERTO, Nº S/N</t>
  </si>
  <si>
    <t>ANEXO - COLÉGIO ESTADUAL CECILIO MATTOS - DISTRITO PROJETO MANDACARU</t>
  </si>
  <si>
    <t>DISTRITO DE PROJETO MANDACARU - S/N</t>
  </si>
  <si>
    <t>ANEXO - COLÉGIO ESTADUAL CECILIO MATTOS - COOPERATIVA AGRICOLA - CAJ</t>
  </si>
  <si>
    <t>COOPERATIVA AGRICOLA - CAJ - S/N</t>
  </si>
  <si>
    <t>78KM</t>
  </si>
  <si>
    <t>ANEXO - COLÉGIO ESTADUAL CECILIO MATTOS - BAIRRO DE ITABERABA</t>
  </si>
  <si>
    <t>BAIRRO ITABERABA - SN(00032)</t>
  </si>
  <si>
    <t xml:space="preserve"> ITABERABA</t>
  </si>
  <si>
    <t>3 KM</t>
  </si>
  <si>
    <t>ANEXO - COLÉGIO ESTADUAL ARTUR OLIVEIRA DA SILVA - DISTRITO GOIABEIRA II</t>
  </si>
  <si>
    <t>GOIABEIRA - SN(00029)</t>
  </si>
  <si>
    <t>GOIABEIRA</t>
  </si>
  <si>
    <t>58KM</t>
  </si>
  <si>
    <t>ANEXO - CEMIT DO VELHO CHICO - POVOADO DE SANTA RITA</t>
  </si>
  <si>
    <t>ANEXO - COLÉGIO ESTADUAL ANTONILIO DA FRANCA CARDOSO - DISTRITO NH3</t>
  </si>
  <si>
    <t>DISTRITO NH3 - S/N</t>
  </si>
  <si>
    <t>DISTRITO NH3</t>
  </si>
  <si>
    <t>83KM</t>
  </si>
  <si>
    <t>ANEXO - COLÉGIO ESTADUAL ANTONILIO DA FRANCA CARDOSO - DISTRITO NH2 - PROJETO ITAMOTINGA</t>
  </si>
  <si>
    <t>DISTRITO NH2 PROJETO ITAMOTINGA - SN(00009)</t>
  </si>
  <si>
    <t xml:space="preserve">DISTRITO NH2 PROJETO ITAMOTINGA </t>
  </si>
  <si>
    <t>ANEXO - COLÉGIO DEMOCRATICO ESTADUAL PROFESSORA FLORENTINA ALVES DOS SANTOS - DISTRITO DE CARNAIBA</t>
  </si>
  <si>
    <t>DISTRITO DE CARNAIBA DO SERTAO - S/N</t>
  </si>
  <si>
    <t>PILAO ARCADO</t>
  </si>
  <si>
    <t xml:space="preserve">COLÉGIO ESTADUAL DE TEMPO INTEGRAL SOFIA MASCARENHAS </t>
  </si>
  <si>
    <t>DISTRITO DE JUA - S/N</t>
  </si>
  <si>
    <t>RUA QUINTINO BOCAIÚVA, Q 03 - 05</t>
  </si>
  <si>
    <t>154KM</t>
  </si>
  <si>
    <t>-10.00412614801984, -42.47991576084012</t>
  </si>
  <si>
    <t>Demais laboratórios: 01 matemática/física, 01 química/biologia, 01 linguagens.</t>
  </si>
  <si>
    <t>ANEXO - COLÉGIO ESTADUAL DE TEMPO INTEGRAL SOFIA MASCARENHAS - POVOADO VILA SALDANHA MARINHO</t>
  </si>
  <si>
    <t>VILA SALDANHA MARINHO - SN(00010)</t>
  </si>
  <si>
    <t>96 KM</t>
  </si>
  <si>
    <t>MARIA ISABEL RODRIGUES RIBEIRO</t>
  </si>
  <si>
    <t>(77) 9 8116-4707</t>
  </si>
  <si>
    <t>ANEXO - COLÉGIO ESTADUAL DE TEMPO INTEGRAL SOFIA MASCARENHAS - POVOADO LAGOA DO PADRE</t>
  </si>
  <si>
    <t>LAGOA DO PADRE - SN(00110)</t>
  </si>
  <si>
    <t>02 + 01 ADAPT.</t>
  </si>
  <si>
    <t>ANEXO - COLÉGIO ESTADUAL DE TEMPO INTEGRAL SOFIA MASCARENHAS - POVOADO BREJO DE DOIS IRMAOS</t>
  </si>
  <si>
    <t>BREJO DE DOIS IRMAOS - SN(00003)</t>
  </si>
  <si>
    <t>154 KM</t>
  </si>
  <si>
    <t>NEIDILSON RODRIGUES DOS SANTOS</t>
  </si>
  <si>
    <t>(77) 9 9127-8881</t>
  </si>
  <si>
    <t>MARIANNA ISABELLA ROSA RODRIGUES DE OLIVEIRA</t>
  </si>
  <si>
    <t>(77) 3498-4096/ 3644-2096</t>
  </si>
  <si>
    <t>7 (sendo 6 como salas de aula e 01 sala adaptada para multiuso)</t>
  </si>
  <si>
    <t>ANEXO - COLÉGIO ESTADUAL DE TEMPO INTEGRAL SOFIA MASCARENHAS - DISTRITO DE CASA VERDE</t>
  </si>
  <si>
    <t>DE CASA VERDE - SN(00009)</t>
  </si>
  <si>
    <t>DISTRITO DE CASA VERDE</t>
  </si>
  <si>
    <t>FEIRA NOVA - SN(00022)</t>
  </si>
  <si>
    <t>25km</t>
  </si>
  <si>
    <t>ANEXO - COLÉGIO ESTADUAL DE TEMPO INTEGRAL SOFIA MASCARENHAS - DISTRITO BREJO DA SERRA</t>
  </si>
  <si>
    <t>BREJO DA SERRA - SN(00014)</t>
  </si>
  <si>
    <t>DISTRITO DE BREJO DA SERRA</t>
  </si>
  <si>
    <t>ANEXO - COLÉGIO ESTADUAL DE TEMPO INTEGRAL SOFIA MASCARENHAS  - POVOADO MANDARINO</t>
  </si>
  <si>
    <t>MANDARINO - SN(00016)</t>
  </si>
  <si>
    <t>120 KM</t>
  </si>
  <si>
    <t>ANEXO - COLÉGIO ESTADUAL DE TEMPO INTEGRAL SOFIA MASCARENHAS  - POVOADO LAGOA GRANDE</t>
  </si>
  <si>
    <t>LAGOA GRANDE - SN(00008)</t>
  </si>
  <si>
    <t>168KM</t>
  </si>
  <si>
    <t>DISTRITO DE COCAL - S/N</t>
  </si>
  <si>
    <t>ANEXO - COLÉGIO ESTADUAL DE TEMPO INTEGRAL SOFIA MASCARENHAS  - POVOADO DE LAGOA DA PEDRA</t>
  </si>
  <si>
    <t>POVOADO DE LAGOA DA PEDRA - S/N</t>
  </si>
  <si>
    <t>ANEXO - COLÉGIO ESTADUAL DE TEMPO INTEGRAL SOFIA MASCARENHAS  - POVOADO DE CAMPO GRANDE</t>
  </si>
  <si>
    <t>POVOADO DE CAMPO GRANDE - SN(00078)</t>
  </si>
  <si>
    <t>JUMARIA DIAS DOS SANTOS LIMA</t>
  </si>
  <si>
    <t>(77) 9 9992-5854</t>
  </si>
  <si>
    <t>FABIOLA DE BARROS CASTRO CALDEIRA</t>
  </si>
  <si>
    <t>(77) 9 8116-5059</t>
  </si>
  <si>
    <t>PRISCILA GUSMAO COSTA</t>
  </si>
  <si>
    <t>(77) 9 9963-0612</t>
  </si>
  <si>
    <t>(77) 3485-2226</t>
  </si>
  <si>
    <r>
      <rPr>
        <rFont val="Calibri"/>
        <b/>
        <color theme="1"/>
        <sz val="11.0"/>
      </rPr>
      <t xml:space="preserve">38 salas de aula, sendo: 24 salas novas e 14 salas existentes, </t>
    </r>
    <r>
      <rPr>
        <rFont val="Calibri"/>
        <b/>
        <color rgb="FFFF0000"/>
        <sz val="11.0"/>
      </rPr>
      <t>sendo 08 como salas de aula</t>
    </r>
    <r>
      <rPr>
        <rFont val="Calibri"/>
        <b/>
        <color theme="1"/>
        <sz val="11.0"/>
      </rPr>
      <t xml:space="preserve"> e 06 adaptadas: 01 sala multifuncional, 01 para coordenação, 01 sala  p/ oficinas de capoeira, 01 sala Jiu-jitsu, 01 sala da A.C, 01 sala de CPA
</t>
    </r>
  </si>
  <si>
    <t>9 (sendo 08 como salas de aula e 01 adaptada para sala multimídia)</t>
  </si>
  <si>
    <t>ANEXO - COLÉGIO ESTADUAL DE TEMPO INTEGRAL SOFIA MASCARENHAS  - DISTRITO VILA BALUARTE</t>
  </si>
  <si>
    <t>VILA BALUARTE - S/N</t>
  </si>
  <si>
    <t>DISTRITO DE VILA BALUARTE</t>
  </si>
  <si>
    <t>183KM</t>
  </si>
  <si>
    <t>ANEXO - COLÉGIO ESTADUAL DE TEMPO INTEGRAL SOFIA MASCARENHAS  - DISTRITO DE REDENÇÃO</t>
  </si>
  <si>
    <t>DIST. DE REDENCAO - S/N</t>
  </si>
  <si>
    <t>DISTRITO DE REDENÇAO</t>
  </si>
  <si>
    <t>219KM</t>
  </si>
  <si>
    <t>BAIXAO DO MOCAMBO - SN(00001)</t>
  </si>
  <si>
    <t>ANEXO - COLÉGIO ESTADUAL DE TEMPO INTEGRAL SOFIA MASCARENHAS   - DISTRITO NOVA HOLANDA</t>
  </si>
  <si>
    <t>RUA QUINTINO BOCAIUVA - 05 - S/N</t>
  </si>
  <si>
    <t>DISTRITO DE NOVA HOLANDA</t>
  </si>
  <si>
    <t>186KM</t>
  </si>
  <si>
    <t>ANEXO - COLÉGIO ESTADUAL VELHO CHICO- DISTRITO DE BARRA DO PARATECA - COMUNIDADE QUILOMBOLA</t>
  </si>
  <si>
    <t>COLÉGIO ESTADUAL REITOR EDGARD SANTOS</t>
  </si>
  <si>
    <t>RUA EURICO GUANAES - S/N</t>
  </si>
  <si>
    <t>-9.615026514764876, -42.08514713481406</t>
  </si>
  <si>
    <t>COLEGIO ESTADUAL DE TEMPO INTEGRAL PROFESSORA IRENE DE SOUZA ARAUJO</t>
  </si>
  <si>
    <t>AV. DÉCIO CASTELO BRANCO, 926-1028 - REMANSO</t>
  </si>
  <si>
    <t>ANEXO - COLÉGIO ESTADUAL VELHO CHICO - AGROVILA 15</t>
  </si>
  <si>
    <t>ANEXO - CEMIT- SERTAO DO SAO FRANCISCO- DISTRITO DE SALINA DO DESIDERIO</t>
  </si>
  <si>
    <t>AV. CEL. ANFILOFIO CASTELO BRANCO - S/N</t>
  </si>
  <si>
    <t>ANEXO - CEMIT- SERTAO DO SAO FRANCISCO - DISTRITO DE VILA APARECIDA</t>
  </si>
  <si>
    <t>DIST. VILA APARECIDA - SN(00005)</t>
  </si>
  <si>
    <t>ANEXO - CEMIT- SERTAO DO SAO FRANCISCO - DISTRITO DE JATOBA</t>
  </si>
  <si>
    <t>DIST. DE JATOBA N S/N Bairro: CENTRO CEP: 47200000</t>
  </si>
  <si>
    <t>VILA SÃO JOÃO - S/N</t>
  </si>
  <si>
    <t>ANEXO - CEMIT - SERTAO DO SAO FRANCISCO - POVOADO DE ESPINHEIRO</t>
  </si>
  <si>
    <t>POVOADO ESPINHEIRO - S/N</t>
  </si>
  <si>
    <t>ANEXO - CEMIT - SERTAO DO SAO FRANCISCO - DISTRITO NOVA ESPERANCA</t>
  </si>
  <si>
    <t>67KM</t>
  </si>
  <si>
    <t>ANEXO - CEMIT - SERTAO DO SAO FRANCISCO - DISTRITO DE ESTACADA</t>
  </si>
  <si>
    <t>DIST. ESTACADA - S/N</t>
  </si>
  <si>
    <t>ANEXO - CEMIT VELHO CHICO - POVOADO FEIRINHA DE SANTA LUZIA</t>
  </si>
  <si>
    <t>FEIRINHA DE SANTA LUZIA - SN(00002)</t>
  </si>
  <si>
    <t>ANEXO - CEMIT - SERTAO DO SAO FRANCISCO - DISTRITO DE CACIMBA DO BASILIO</t>
  </si>
  <si>
    <t>DIST. CAIMBA DO BASILIO - S/N</t>
  </si>
  <si>
    <t>ESTRADA SENTO SE CAJUI KM 05 - SN(00396)</t>
  </si>
  <si>
    <t>-9.743156205127688, -41.89321811326593</t>
  </si>
  <si>
    <t>ANEXO -CEMIT SERTÃO DO SÃO FRANCISCO - POVOADO DE CAMPO LARGO</t>
  </si>
  <si>
    <t>POVOADO DE CAMPO LARGO, Nº</t>
  </si>
  <si>
    <t>RIACHO DO CAPINAO - SN(00002)</t>
  </si>
  <si>
    <t>ANEXO - COLÉGIO ESTADUAL JUCA SENTO SÉ - POV. BREJO DE FORA</t>
  </si>
  <si>
    <t>POV. BREJO DE FORA - S/N</t>
  </si>
  <si>
    <t>POV. BREJO DE FORA</t>
  </si>
  <si>
    <t>160KM</t>
  </si>
  <si>
    <t>ANEXO - COLÉGIO ESTADUAL DOUTOR JUCA SENTO SE - DISTRITO DE PICARRAO</t>
  </si>
  <si>
    <t>DIST. DE PICARRAO - S/N</t>
  </si>
  <si>
    <t>ISTRITO DE PICARRAO</t>
  </si>
  <si>
    <t>ANEXO - COLÉGIO ESTADUAL DOUTOR JUCA SENTO - DISTRITO DE PIRI</t>
  </si>
  <si>
    <t>RUA J.J. FERNANDES DA CUNHA, S/N - S/N</t>
  </si>
  <si>
    <t xml:space="preserve"> DISTRITO DE PIRI</t>
  </si>
  <si>
    <t>ANEXO - CEMIT SERTÃO DO SERTAO DO SAO FRANCISCO - POVOADO DE SANHARO</t>
  </si>
  <si>
    <t>SALA AVANCADA DOM PEDRO II N Bairro: - CEP:</t>
  </si>
  <si>
    <t>ANEXO - CEMIT SERTAO DO SAO FRANCISCO - DISTRITO DE VOLTA DA SERRA</t>
  </si>
  <si>
    <t>DIST. DE VOLTA DA SERRA - S/N</t>
  </si>
  <si>
    <t>76KM</t>
  </si>
  <si>
    <t>ANEXO - CEMIT - SERTAO DO SAO FRANCISCO - POVOADO DO JUNCO</t>
  </si>
  <si>
    <t>POV. DO JUNCO - S/N</t>
  </si>
  <si>
    <t>ANEXO - CEMIT - SERTAO DO SAO FRANCISCO - POVOADO DO CAJUI</t>
  </si>
  <si>
    <t>POVOADO DO CAJUI - S/N</t>
  </si>
  <si>
    <t>116KM</t>
  </si>
  <si>
    <t>ANEXO - CEMIT - SERTAO DO SAO FRANCISCO - POVOADO DE TOMBADOR DE CIMA</t>
  </si>
  <si>
    <t>POVOADO DE TOMBADOR DE CIMA - S/N</t>
  </si>
  <si>
    <t>ANEXO - CEMIT - SERTAO DO SAO FRANCISCO - POVOADO DE PONTA DAGUA</t>
  </si>
  <si>
    <t>POV. DE PONTA DAGUA - SN(00006)</t>
  </si>
  <si>
    <t>COLEGIO ESTADUAL FILOMENA PEREIRA RODRIGUES - TEMPO INTEGRAL</t>
  </si>
  <si>
    <t xml:space="preserve">MARIA DA GLORIA GUEDES SENA </t>
  </si>
  <si>
    <t>(77) 9 9953-1117</t>
  </si>
  <si>
    <t>(77) 3474-1280</t>
  </si>
  <si>
    <t>10 (Sendo 9 como salas de aula, 02 salas ociosas e 01 adaptada para laboratório de biologia)</t>
  </si>
  <si>
    <t>ANEXO - CEMIT - SERTAO DO SAO FRANCISCO - POVOADO DE LIMOEIRO DA BATATEIRA</t>
  </si>
  <si>
    <t>POVOADO DO LIMOEIRO DA BATATEIRA - S/N</t>
  </si>
  <si>
    <t>ANEXO - CEMIT - SERTAO DO SAO FRANCISCO - POVOADO DE BAZUA</t>
  </si>
  <si>
    <t>POVOADO DE BAZUA - S/N</t>
  </si>
  <si>
    <t>ANEXO - CEMIT - SERTAO DO SAO FRANCISCO - DISTRITO DE RETIRO DE CIMA</t>
  </si>
  <si>
    <t>RETIRO DE CIMA - SN(00008)</t>
  </si>
  <si>
    <t>SOBRADINHO</t>
  </si>
  <si>
    <t>ESCOLA FAMÍLIA AGRÍCOLA DE SOBRADINHO</t>
  </si>
  <si>
    <t>ESTRADA DA CORRENTEZA KM 06 - S/N</t>
  </si>
  <si>
    <t>COLEGIO ESTADUAL INDIGENA MARECHAL RONDON - ASSENTAMENTO TERRA INDIGENA TUXA</t>
  </si>
  <si>
    <t>-9.482121977562906, -40.77177620153675</t>
  </si>
  <si>
    <t>CLEITON DE JESUS SANTOS</t>
  </si>
  <si>
    <t>(77) 9 8863-5012</t>
  </si>
  <si>
    <t>POLLIANA SOCORRO CAMPOS</t>
  </si>
  <si>
    <t>(77) 9 8832-8449</t>
  </si>
  <si>
    <t>(77) 3698-1028</t>
  </si>
  <si>
    <t>COLÉGIO ESTADUAL JORGE KHOURY - TEMPO INTEGRAL</t>
  </si>
  <si>
    <t>CENTRO COMUNIT. LOTE 04 - SN(00081)</t>
  </si>
  <si>
    <t>-9.473890179771372, -40.81579801890318</t>
  </si>
  <si>
    <t>COLEGIO ESTADUAL DE TEMPO INTEGRAL PROFESSORA ODONTINA LARANJEIRA DE SOUZA</t>
  </si>
  <si>
    <t>ANTONIA OLIVEIRA DE ALMEIDA</t>
  </si>
  <si>
    <t>(77) 9 9973-1086</t>
  </si>
  <si>
    <t>RITA DE CASSIA QUEIROZ SILVEIRA</t>
  </si>
  <si>
    <t>(77) 9 9954-0718</t>
  </si>
  <si>
    <t xml:space="preserve"> SELMA CHRISTIANY NOVAIS REGO MARQUES</t>
  </si>
  <si>
    <t>(71) 9 8776-3869</t>
  </si>
  <si>
    <t>(77) 3698-1086</t>
  </si>
  <si>
    <r>
      <t xml:space="preserve">
</t>
    </r>
    <r>
      <rPr>
        <rFont val="Calibri"/>
        <b/>
        <color theme="1"/>
        <sz val="11.0"/>
      </rPr>
      <t xml:space="preserve">24 salas de aula, </t>
    </r>
    <r>
      <rPr>
        <rFont val="Calibri"/>
        <b/>
        <color rgb="FFFF0000"/>
        <sz val="11.0"/>
      </rPr>
      <t>sendo 21 como salas de aula e</t>
    </r>
    <r>
      <rPr>
        <rFont val="Calibri"/>
        <b/>
        <color theme="1"/>
        <sz val="11.0"/>
      </rPr>
      <t xml:space="preserve"> 03 adaptadas: 01 sala de música, 01 sala de jogos e 01 sala de lutas.</t>
    </r>
  </si>
  <si>
    <t xml:space="preserve">Estruturas adaptadas: Laboratório: Agroecologia ; Salas Multifuncionais: 01 Multimídia, 01 Fanfarra , 01 Sala de Vivências Corporais , 01 Multifuncional.
</t>
  </si>
  <si>
    <t>RENAILDO PEREIRA DOS SANTOS</t>
  </si>
  <si>
    <t>(77) 9 9975-8831</t>
  </si>
  <si>
    <t>KLECIOS RANGEL DA SILVA</t>
  </si>
  <si>
    <t>(77) 9 9928-1505</t>
  </si>
  <si>
    <t>(77) 3698-1111</t>
  </si>
  <si>
    <t>COLÉGIO ESTADUAL DE TEMPO INTEGRAL VILA SÃO JOAQUIM</t>
  </si>
  <si>
    <t>QUADRA S 09 RUA 02 - S/N</t>
  </si>
  <si>
    <t>-9.474759108945165, -40.81030161839769</t>
  </si>
  <si>
    <t xml:space="preserve">Estruturas adaptadas: Refeitório, Sala AEE.
</t>
  </si>
  <si>
    <t>COLEGIO ESTADUAL DE TEMPO INTEGRAL DE IGAPORA</t>
  </si>
  <si>
    <t>ANEXO - COLÉGIO ESTADUAL DE TEMPO INTEGRAL VILA SÃO JOAQUIM - ASSENTAMENTO VALE DA CONQUISTA</t>
  </si>
  <si>
    <t>RUA MINAS GERAIS - SN(00198)</t>
  </si>
  <si>
    <t>VALE DA CONQUISTA - SN(00003)</t>
  </si>
  <si>
    <t>ASSENTAMENTO VALE DA CONQUISTA</t>
  </si>
  <si>
    <t>TIAGO ALENCAR DE AQUINO ALVES</t>
  </si>
  <si>
    <t>(77) 9 9127-5623</t>
  </si>
  <si>
    <t>MARCIO CLEBER BOMFIM DA SILVA</t>
  </si>
  <si>
    <t>(77) 9 9129-4886</t>
  </si>
  <si>
    <t>JOSÉ ALONSO GOMES FERREIRA</t>
  </si>
  <si>
    <t>(77) 9 9168-7789</t>
  </si>
  <si>
    <t>(77) 3460-1599</t>
  </si>
  <si>
    <t>COLÉGIO ESTADUAL ROSALVO OLIVEIRA SOUZA</t>
  </si>
  <si>
    <t>AVENIDA GOVERNADOR NILO COELHO - SN(00017)</t>
  </si>
  <si>
    <t>TIAGO TEIXEIRA SOARES</t>
  </si>
  <si>
    <t>(77) 9 9900-5239/9 9847-7855</t>
  </si>
  <si>
    <t xml:space="preserve"> PATRICIA GUSMAO COSTA</t>
  </si>
  <si>
    <t>(77) 9 9982-6743</t>
  </si>
  <si>
    <t>(77) 3691-2176</t>
  </si>
  <si>
    <t>UAUA</t>
  </si>
  <si>
    <t>8 (sendo 07 como salas de aula, 01 adaptada para sala de vídeo)</t>
  </si>
  <si>
    <t>COLÉGIO ESTADUAL NOSSA SENHORA AUXILIADORA - TEMPO INTEGRAL</t>
  </si>
  <si>
    <t>PRACA DA BANDEIRA - 65</t>
  </si>
  <si>
    <t>-9.843885461090933, -39.48064058619112</t>
  </si>
  <si>
    <t>ANEXO - COLÉGIO ESTADUAL ROSALVO OLIVEIRA SOUZA - DISTRITO DO JULIÃO</t>
  </si>
  <si>
    <t>AVENIDA GOVERNADOR NILO COELHO - SN(00004)</t>
  </si>
  <si>
    <t>DISTRITO DE JULIÃO</t>
  </si>
  <si>
    <t>Estruturas adaptadas: 01 blibioteca, 02 refeitórios, 01 informática</t>
  </si>
  <si>
    <t>COLÉGIO ESTADUAL DO CAMPO PROFESSOR EDIVALDO MACHADO BOAVENTURA - DISTRITO SERRA DA CANABRAVA</t>
  </si>
  <si>
    <t>DISTRITO DE SERRA DA CANABRAVA - S/N</t>
  </si>
  <si>
    <t>-9.73935502192388, -39.63030455433884</t>
  </si>
  <si>
    <t>ANEXO - COLÉGIO ESTADUAL ROSALVO OLIVEIRA SOUZA - DISTRITO DE PARATECA - COMUNIDADE QUILOMBOLA</t>
  </si>
  <si>
    <t>Estruturas adaptadas: 01 refeitório, 01 sala de AEE</t>
  </si>
  <si>
    <t>ANEXO - COLÉGIO ESTADUAL ROSALVO OLIVEIRA SOUZA - DISTRITO DE CANA BRAVA</t>
  </si>
  <si>
    <t>COLÉGIO ESTADUAL DO CAMPO INTEGRAÇÃO LAGOA DO PIRES - POVOADO LAGOA DO PIRES</t>
  </si>
  <si>
    <t>POVOADO DE LAGOA DO PIRES - S/N</t>
  </si>
  <si>
    <t>-10.012185897285862, -39.49641216368422</t>
  </si>
  <si>
    <t>COLEGIO ESTADUAL GRANDES MESTRES BRASILEIROS - EM TEMPO INTEGRAL</t>
  </si>
  <si>
    <t>HELENA CARMEM CASTRO DONATO - S/N</t>
  </si>
  <si>
    <t>GILVANE CALDAS LIMA</t>
  </si>
  <si>
    <t>(77) 9 9172-6328</t>
  </si>
  <si>
    <t>BETANIA RITA DOS ANJOS</t>
  </si>
  <si>
    <t>(77) 9 9918-9041</t>
  </si>
  <si>
    <t>(77) 3643-1093</t>
  </si>
  <si>
    <t>19 salas, sendo 18 salas de aula e 01 adaptada para biblioteca.</t>
  </si>
  <si>
    <t>06 + 02 (2 laboratórios de ciências foram adaptados para salas de aula)</t>
  </si>
  <si>
    <t xml:space="preserve">Estruturas adaptadas: 01 Sala de leitura
Demais laboratórios: 01 de Química </t>
  </si>
  <si>
    <t>CENTRO TERRITORIAL DE EDUCAÇÃO PROFISSIONAL DO SERTÃO DO SÃO FRANCISCO II ANTONIO CONSELHEIRO</t>
  </si>
  <si>
    <t>BA - 120
R. BOA VISTA - UAUÁ, BA, 48950-000
OU 
ORLA SECA DE UAUÁ</t>
  </si>
  <si>
    <t>COLEGIO ESTADUAL NEMISIA RIBEIRO DOS SANTOS</t>
  </si>
  <si>
    <t>-9.839827680032998, -39.485686804782716</t>
  </si>
  <si>
    <t>MATIAS SOUZA SODRÉ</t>
  </si>
  <si>
    <t>(77) 9 9933-5526</t>
  </si>
  <si>
    <t>SABRINA DA CONCEIÇAO FRANCO RODRIGUES</t>
  </si>
  <si>
    <t>(77) 9 9942-7135</t>
  </si>
  <si>
    <t>(77) 3663-2445</t>
  </si>
  <si>
    <t>MARECHAL DUTRA - SN(00171)</t>
  </si>
  <si>
    <t>POVOADO VILA DA QUIXABA</t>
  </si>
  <si>
    <t>Estruturas adaptadas: 01 sala de leitura, 01 enfermagem
Demais laboratórios: 01 robótica</t>
  </si>
  <si>
    <t>ANEXO - COLÉGIO ESTADUAL INTEGRACAO LAGOA DO PIRES- POVOADO SAO PAULO</t>
  </si>
  <si>
    <t>SAO PAULO - SN(00103)</t>
  </si>
  <si>
    <t>POVOADO SAO PAULO</t>
  </si>
  <si>
    <t>ANEXO - COLÉGIO ESTADUAL INTEGRACAO LAGOA DO PIRES - DISTRITO CALDEIRAO DO ALMEIDA</t>
  </si>
  <si>
    <t>CALDEIRAO DO ALMEIDA - SN(00011)</t>
  </si>
  <si>
    <t xml:space="preserve"> DISTRITO CALDEIRAO DO ALMEIDA</t>
  </si>
  <si>
    <t>ANGICAL</t>
  </si>
  <si>
    <t>ESCOLA FAMILIA AGRICOLA JOSE NUNES DA MATA - POVOADO DE COVAS</t>
  </si>
  <si>
    <t>POVOADO DE COVAS KM 1,5 - SN(00007)</t>
  </si>
  <si>
    <t>1,1KM</t>
  </si>
  <si>
    <t>PROPRIO</t>
  </si>
  <si>
    <t>-11.998998488873111, -44.70350904670405</t>
  </si>
  <si>
    <t xml:space="preserve">COLÉGIO ESTADUAL DE TEMPO INTEGRAL APARICIO JOSÉ DA SILVA </t>
  </si>
  <si>
    <t>AVENIDA DEPUTADO MARCIO CARDOSO - 07</t>
  </si>
  <si>
    <t>-12.008570962015234, -44.69775003151825</t>
  </si>
  <si>
    <t>ADRIELLY DE OLIVEIRA BARROS</t>
  </si>
  <si>
    <t>(77) 9 9200-6407 / (73) 9 9908-0239</t>
  </si>
  <si>
    <t>Demais laboratórios: 01 biologia/química</t>
  </si>
  <si>
    <t>ANEXO - COLÉGIO ESTADUAL APARÍCIO JOSE DA SILVA- DISTRITO MUCAMBINHO</t>
  </si>
  <si>
    <t>DISTRITO DE MAUCAMBINHO - S/N</t>
  </si>
  <si>
    <t xml:space="preserve"> MAISA ALVES MOURA</t>
  </si>
  <si>
    <t>(77) 9 8142-9203</t>
  </si>
  <si>
    <t>(77) 3652-1081</t>
  </si>
  <si>
    <t>ANEXO - COLÉGIO ESTADUAL APARÍCIO JOSE DA SILVA - DISTRITO MISSÃO DO ARICOBE</t>
  </si>
  <si>
    <t>PRAÇA DO MERCADO MISSÃO - 02</t>
  </si>
  <si>
    <t>DIVINA MICHELLE PIMENTEL DE SOUZA RAMOS</t>
  </si>
  <si>
    <t>(77) 9 9954-7558</t>
  </si>
  <si>
    <t>(77) 3652-5015</t>
  </si>
  <si>
    <t>Demais laboratórios: 01 biologia/matemática</t>
  </si>
  <si>
    <t>BAIANOPOLIS</t>
  </si>
  <si>
    <t>COLÉGIO ESTADUAL PIO ALVES DOS SANTOS - TEMPO INTEGRAL</t>
  </si>
  <si>
    <t>RUA LUIS EDUARDO MAGALHAES - S/N</t>
  </si>
  <si>
    <t>-12.307217401049611, -44.53937810601965</t>
  </si>
  <si>
    <t>COLÉGIO ESTADUAL DO CAMPO VERONILDO MENDES PEREIRA - DISTRITO DE LAGOA CLARA</t>
  </si>
  <si>
    <t>LAGOA CLARA - SN(00010)</t>
  </si>
  <si>
    <t>DISTRITO LAGOA CLARA</t>
  </si>
  <si>
    <t>-12.658260181764176, -44.39972797497616</t>
  </si>
  <si>
    <t>ANEXO - COLÉGIO ESTADUAL PIO ALVES DOS SANTOS - DISTRITO DE VARZEAS</t>
  </si>
  <si>
    <t>DISITRITO DE VARZEAS - S/N</t>
  </si>
  <si>
    <t>POVOADO DE BOA VISTA DE PIXAIM - S/N</t>
  </si>
  <si>
    <t>BARREIRAS</t>
  </si>
  <si>
    <t>COLÉGIO ESTADUAL PRISCO VIANA</t>
  </si>
  <si>
    <t>RUA PEDRO DOURADO - S/N</t>
  </si>
  <si>
    <t>-12.142627904464426, -44.989034829142504</t>
  </si>
  <si>
    <t>DISTRITO DE RIACHO DA SERRA BRANCA - S/N</t>
  </si>
  <si>
    <t>COLÉGIO ESTADUAL HERCULANO FARIA</t>
  </si>
  <si>
    <t>RUA DOM PEDRO I - 461</t>
  </si>
  <si>
    <t>-12.149633854919989, -44.98967093093235</t>
  </si>
  <si>
    <t>ALDEIA KARIRI - SN(00005)</t>
  </si>
  <si>
    <t>COLEGIO ESTADUAL TIRADENTES - EM TEMPO INTEGRAL</t>
  </si>
  <si>
    <t>Estruturas adaptadas: 01 blibioteca</t>
  </si>
  <si>
    <t>LUCIANO LUNARDI</t>
  </si>
  <si>
    <t>(77) 9 9963-9105</t>
  </si>
  <si>
    <t>(77) 3642-2265</t>
  </si>
  <si>
    <t>10 (sendo 07 como salas de aula, 01 adatpada p/ sala de video, 01 adaptada p/ biblioteca, 01 adaptada p/ laboratório de informatica)</t>
  </si>
  <si>
    <t>COLÉGIO ESTADUAL DUQUE DE CAXIAS</t>
  </si>
  <si>
    <t>A - SN(00149)</t>
  </si>
  <si>
    <t>VILA FUNCIONÁRIOS</t>
  </si>
  <si>
    <t>-12.123338197553961, -45.006335344629065</t>
  </si>
  <si>
    <t>ANEXO - CEMIT VELHO CHICO - POVOADO QUEIMADA NOVA</t>
  </si>
  <si>
    <t>Demais laboratórios: 01 ciências</t>
  </si>
  <si>
    <t>COLÉGIO ESTADUAL DE TEMPO INTEGRAL PROFESSORA KELLY MAGALHÃES (ANTIGO - CE EL SHADAI)</t>
  </si>
  <si>
    <t>RUA E, QUADRA R - 48</t>
  </si>
  <si>
    <t>LOT. RIO GRANDE</t>
  </si>
  <si>
    <t>ALUGADO (R$ 61.081.44)</t>
  </si>
  <si>
    <t>-12.142119460238607, -44.96471829889226</t>
  </si>
  <si>
    <t>DUQUE DE CAXIAS - SN(00806)</t>
  </si>
  <si>
    <t>COLÉGIO ESTADUAL DE BARREIRINHAS</t>
  </si>
  <si>
    <t>PRACA PROFESSOR ROBERTO SANTOS - S/N</t>
  </si>
  <si>
    <t>-12.137181932373226, -45.0044395512678</t>
  </si>
  <si>
    <t>COLÉGIO ESTADUAL ANTONIO GERALDO</t>
  </si>
  <si>
    <t>RUA JOSE BONIFICIO - 01</t>
  </si>
  <si>
    <t>-12.145966058685444, -44.9961339306844</t>
  </si>
  <si>
    <t>-11.223783613794573, -39.17643906014157</t>
  </si>
  <si>
    <t>AVENIDA DR MANOEL NOVAIS - S/N</t>
  </si>
  <si>
    <t>GERSON MORAIS BRITO</t>
  </si>
  <si>
    <t>(77) 9 9965-4756</t>
  </si>
  <si>
    <t>FABIOLA NOGUEIRA ALMEIDA</t>
  </si>
  <si>
    <t>(77) 9 8850-1070</t>
  </si>
  <si>
    <t>(77) 3664-2858 /2859</t>
  </si>
  <si>
    <t>8 (Sendo 05 como salas de aula, 01 adaptada p/ biblioteca, 01 adaptada p/ sala de música e 01 adaptada p/ sala de jogos)</t>
  </si>
  <si>
    <t xml:space="preserve">Estruturas adaptadas: 01 auditório </t>
  </si>
  <si>
    <t>COLÉGIO DEMOCRATICO ESTADUAL MARCOS FREIRE - TEMPO INTEGRAL</t>
  </si>
  <si>
    <t>RUA DAS VARZEAS - SN(00180)</t>
  </si>
  <si>
    <t>-12.150883923355126, -45.004767859997656</t>
  </si>
  <si>
    <t>COLÉGIO ESTADUAL EVANDRO BRANDÃO - TEMPO INTEGRAL</t>
  </si>
  <si>
    <t>AVENIDA RIO BRANCO - SN(00032)</t>
  </si>
  <si>
    <t>ILKA MARIA MOURA BRANDAO</t>
  </si>
  <si>
    <t>(77) 9 9941-0420</t>
  </si>
  <si>
    <t>GEOVANDO RODRIGUES DOS SANTOS</t>
  </si>
  <si>
    <t>(77) 9 9966-1737</t>
  </si>
  <si>
    <t>(77) 3664-2281</t>
  </si>
  <si>
    <t>Estruturas adaptadas: 01 Auditório, 01 Refeitório</t>
  </si>
  <si>
    <t>COLÉGIO DA POLICIA MILITAR - CPM PROFESSOR ALEXANDRE LEAL COSTA</t>
  </si>
  <si>
    <t>RUA CERONEL MAGNO - 533</t>
  </si>
  <si>
    <t>-12.149533696944431, -44.99614533173053</t>
  </si>
  <si>
    <t>06+01 adapt.</t>
  </si>
  <si>
    <t>GILSA XAVIER DA SILVA</t>
  </si>
  <si>
    <t>(77) 9 9937-6779</t>
  </si>
  <si>
    <t>CENTRO TERRITORIAL DE EDUCACAO PROFISSIONAL DA BACIA DO RIO GRANDE</t>
  </si>
  <si>
    <t>ANTONIO CARLOS MAGALHAES - 2600</t>
  </si>
  <si>
    <t>-12.142115399538861, -44.964725035370115</t>
  </si>
  <si>
    <t>ANEXO - COLÉGIO ESTADUAL EVANDRO BRANDÃO - VOLTA DA SERRA</t>
  </si>
  <si>
    <t>06+02 (Adapt)</t>
  </si>
  <si>
    <t>CENTRO REGIONAL DE ENSINO MEDIO COM INTERMEDIACAO TECNOLOGICA - CEMIT BACIA DO RIO GRANDE</t>
  </si>
  <si>
    <t>Rua Coronel Magno, nº 533, Centro</t>
  </si>
  <si>
    <t>ANEXO - COLÉGIO ESTADUAL EVANDRO BRANDÃO - PATOS</t>
  </si>
  <si>
    <t>CENTRO JUVENIL DE CIENCIA E CULTURA - CJCC BARREIRAS</t>
  </si>
  <si>
    <t>DOM PEDRO I N 461  CEP: 47808021</t>
  </si>
  <si>
    <t xml:space="preserve">SANDRA REGINA </t>
  </si>
  <si>
    <t>-12.1519168838434, -45.00302667097439</t>
  </si>
  <si>
    <t>ANEXO - COLÉGIO ESTADUAL EVANDRO BRANDÃO - CANABRAVA</t>
  </si>
  <si>
    <t>Estruturas adaptadas: 01 cozinha</t>
  </si>
  <si>
    <t>ANEXO - COLEGIO ESTADUAL PRISCO VIANA - COMUNIDADE RIO DE PEDRAS</t>
  </si>
  <si>
    <t>COMUNIDADE RIO DAS PEDRAS</t>
  </si>
  <si>
    <t>ANEXO - COLÉGIO ESTADUAL EVANDRO BRANDÃO - AGUAS TERMAIS DO PAULISTA</t>
  </si>
  <si>
    <t>ANEXO - COLÉGIO ESTADUAL DUQUE DE CAXIAS - CONJUNTO PENAL DE BARREIRAS</t>
  </si>
  <si>
    <t>BA 827 KM01 - SN(00001)</t>
  </si>
  <si>
    <t>ANEXO - COLÉGIO ESTADUAL EVANDRO BRANDÃO - AGRESTE</t>
  </si>
  <si>
    <t>ANEXO - CEMIT - BACIA DO RIO GRANDE - POVOADO DE CERRADAO</t>
  </si>
  <si>
    <t>POV DE CERRADAO - S/N</t>
  </si>
  <si>
    <t>ELISETE ANA DE OLIVEIRA</t>
  </si>
  <si>
    <t>(77) 9 9920-2321</t>
  </si>
  <si>
    <t>ANEXO - CEMIT - BACIA DO RIO GRANDE - DISTRITO DE RIO BRANCO</t>
  </si>
  <si>
    <t>RIO BRANCO - SN(00054)</t>
  </si>
  <si>
    <t>KATIA CASSIA DE CARVALHO</t>
  </si>
  <si>
    <t>(77) 9 9927-8769</t>
  </si>
  <si>
    <t>ANEXO - CEMIT - BACIA DO RIO GRANDE - DISTRITO DE MOCAMBO</t>
  </si>
  <si>
    <t>MUCAMBO - SN(00005)</t>
  </si>
  <si>
    <t>ROSIMERE MARQUES CARDOSO FARIAS</t>
  </si>
  <si>
    <t>(77) 9 9979-3592</t>
  </si>
  <si>
    <t>FRANCISCO DE AZEVEDO PRATES</t>
  </si>
  <si>
    <t>(77) 9 9974-9318</t>
  </si>
  <si>
    <t>(77) 3457-2566 / 9 9850-3618</t>
  </si>
  <si>
    <t>BURITIRAMA</t>
  </si>
  <si>
    <t>COLÉGIO ESTADUAL ANTONIO RODRIGUES VIANA</t>
  </si>
  <si>
    <t>RUA CORNELIO REIS SANTOS - S/N</t>
  </si>
  <si>
    <t>-10.713310373781258, -43.63759342967019</t>
  </si>
  <si>
    <t>ANEXO - CEMIT - BACIA DO RIO GRANDE - POVOADO DE POCO DA JUREMA</t>
  </si>
  <si>
    <t>POVOADO DE POCO DA JUREMA - S/N</t>
  </si>
  <si>
    <t>POVOADO DE POCO DA JUREMA</t>
  </si>
  <si>
    <t>ANEXO - CEMIT - BACIA DO RIO GRANDE - POVOADO DE LAGOA BONITA</t>
  </si>
  <si>
    <t>POVOADO DE LAGOA BONITA - SN(00022)</t>
  </si>
  <si>
    <t xml:space="preserve"> POVOADO DE LAGOA BONITA</t>
  </si>
  <si>
    <t>ANEXO - CEMIT - BACIA DO RIO GRANDE - POVOADO DE BOM SOSSEGO</t>
  </si>
  <si>
    <t>POVOADO DE BOM SOSSEGO - S/N</t>
  </si>
  <si>
    <t>POVOADO DE BOM SOSSEGO</t>
  </si>
  <si>
    <t>ANEXO - CEMIT - BACIA DO RIO GRANDE - POVOADO DE BAIXAO DE PANELA</t>
  </si>
  <si>
    <t>POVOADO DE BAIXAO DE PANELA - S/N</t>
  </si>
  <si>
    <t>POVOADO DE BAIXAO DE PANELA</t>
  </si>
  <si>
    <t>ANEXO - CEMIT - BACIA DO RIO GRANDE - POVOADO DE ALTAMIRA</t>
  </si>
  <si>
    <t>POVOADO DE ALTAMIRA - S/N</t>
  </si>
  <si>
    <t>POVOADO DE ALTAMIRA</t>
  </si>
  <si>
    <t>ANEXO - CEMIT - BACIA DO RIO GRANDE - DISTRITO DE MORRINHOS</t>
  </si>
  <si>
    <t>DISTRITO DE MORRINHOS - S/N</t>
  </si>
  <si>
    <t xml:space="preserve"> DISTRITO DE MORRINHOS</t>
  </si>
  <si>
    <t>ANEXO - CEMIT - BACIA DO RIO GRANDE - DISTRITO DE LAJEDO</t>
  </si>
  <si>
    <t>LAJEDO - SN(00086)</t>
  </si>
  <si>
    <t>AGROVIAL 02 - S/N</t>
  </si>
  <si>
    <t>DISTRITO DE LAJEDO</t>
  </si>
  <si>
    <t>VANIA FERREIRA COSTA DE OLIVEIRA</t>
  </si>
  <si>
    <t>(77) 9 9147-4010</t>
  </si>
  <si>
    <t>CRISTINI MARIA GUEDES SANTOS</t>
  </si>
  <si>
    <t>(77) 9 9110-0392</t>
  </si>
  <si>
    <t>(77) 3620-1434</t>
  </si>
  <si>
    <t>ANEXO - CEMIT - BACIA DO RIO GRANDE - DISTRITO DE LAGOA COMPRIDA</t>
  </si>
  <si>
    <t>LAGOA COMPRIDA, - SN(00003)</t>
  </si>
  <si>
    <t xml:space="preserve"> DISTRITO DE LAGOA COMPRIDA</t>
  </si>
  <si>
    <t>14 + 01 adapt.</t>
  </si>
  <si>
    <t>ANEXO - CEMIT - BACIA DO RIO GRANDE - DISTRITO CURRAL NOVO</t>
  </si>
  <si>
    <t>CURRAL NOVO - SN(00001)</t>
  </si>
  <si>
    <t>DISTRITO CURRAL NOVO</t>
  </si>
  <si>
    <t>11 (sendo 10 como salas de aulas e 01 adaptada para sala de descanso de tempo integral)</t>
  </si>
  <si>
    <t>CATOLANDIA</t>
  </si>
  <si>
    <t>COLÉGIO ESTADUAL NOSSA SENHORA DA PENHA - TEMPO INTEGRAL</t>
  </si>
  <si>
    <t>RUA JURACY DE LIMA PINTO - S/N</t>
  </si>
  <si>
    <t>-12.313817767533658, -44.86107833038997</t>
  </si>
  <si>
    <t>ANEXO - CEMIT BACIA DO RIO GRANDE - DISTRITO MOZONDO</t>
  </si>
  <si>
    <t>JURACY DE LIMA PINTO - S/N</t>
  </si>
  <si>
    <t>DISTRITO MOZONDO</t>
  </si>
  <si>
    <t>COLÉGIO ESTADUAL DE TEMPO INTEGRAL JOSÉ MARCELO SILVEIRA MARIANI</t>
  </si>
  <si>
    <t>RUA ALTAIR DE
ALENCAR MACIEL, S/N, QUADRA 108</t>
  </si>
  <si>
    <t>-12.037575216177919, -44.265697647222204</t>
  </si>
  <si>
    <t>ANEXO - COLÉGIO ESTADUAL ANISIO HONORATO GODOY - AGROVILA 20</t>
  </si>
  <si>
    <t>Estruturas adaptadas: 01 laboratório de informática para sala de aula.</t>
  </si>
  <si>
    <t>ANEXO - COLÉGIO ESTADUAL DE TEMPO INTEGRAL JOSÉ MARCELO SILVEIRA MARIANI - DISTRITO DE TAGUA</t>
  </si>
  <si>
    <t>DISTRITO DE TAGUA - S/N</t>
  </si>
  <si>
    <t xml:space="preserve">DISTRITO DE TAGUA </t>
  </si>
  <si>
    <t>53KM</t>
  </si>
  <si>
    <t>ANEXO - COLÉGIO ESTADUAL ANISIO HONORATO GODOY - AGROVILA 18</t>
  </si>
  <si>
    <t>ANEXO - COLÉGIO ESTADUAL DE TEMPO INTEGRAL JOSÉ MARCELO SILVEIRA MARIANI - DISTRITO DE JUPAGUA</t>
  </si>
  <si>
    <t>JUPAGUA - SN(00143)</t>
  </si>
  <si>
    <t>DISTRITO DE JUPAGUA</t>
  </si>
  <si>
    <t>ANEXO - CEMIT BACIA DO RIO GRANDE - DISTRITO DE REFORMA DO RIO GRANDE II</t>
  </si>
  <si>
    <t>REFORMA DO RIO GRANDE II - S/N</t>
  </si>
  <si>
    <t xml:space="preserve"> AGROVILA 14</t>
  </si>
  <si>
    <t>ANEXO - CEMIT - BACIA DO RIO GRANDE - POVOADO BENFICA</t>
  </si>
  <si>
    <t>GELINO DE SA - SN(00002)</t>
  </si>
  <si>
    <t>RECANTO DOS PASSAROS</t>
  </si>
  <si>
    <t>ANEXO - CEMIT - BACIA DO RIO GRANDE - DISTRITO DE TABATINGA</t>
  </si>
  <si>
    <t>DISTRITO DE TABATINGA N S/N Bairro: CENTRO CEP: 47900000</t>
  </si>
  <si>
    <t>ANEXO - COLÉGIO ESTADUAL ANISIO HONORATO GODOY - AGROVILA 01</t>
  </si>
  <si>
    <t>03 + 04 Adapt.</t>
  </si>
  <si>
    <t>ANEXO - CEMIT - BACIA DO RIO GRANDE - DISTRITO DE MACAMBIRA</t>
  </si>
  <si>
    <t>MACAMBIRA - SN(00022)</t>
  </si>
  <si>
    <t>COLÉGIO ESTADUAL DE TEMPO INTEGRAL DE CRISTÓPOLIS</t>
  </si>
  <si>
    <t>MAJOR CLARO - 675</t>
  </si>
  <si>
    <t>-12.235900998596119, -44.41919404029105</t>
  </si>
  <si>
    <t xml:space="preserve">CENTRO TERRITORIAL DE EDUCACAO PROFISSIONAL ALMIR TEIXEIRA SANTOS </t>
  </si>
  <si>
    <t>AV. JUSCELINO KUBITSCHECK, 199-191, FORMOSA DO RIO PRETO - BA, 47990-000</t>
  </si>
  <si>
    <t>-11.046346267385546, -45.19044529518455</t>
  </si>
  <si>
    <t>AVENIDA CENTRAL SUL, S/N - POV. DA CSB - S/N</t>
  </si>
  <si>
    <t xml:space="preserve">COLÉGIO ESTADUAL DE TEMPO INTEGRAL MIMOSO DO OESTE </t>
  </si>
  <si>
    <t>RUA PARANÁ - 400</t>
  </si>
  <si>
    <t>-12.074366608487132, -45.80708209031357</t>
  </si>
  <si>
    <t>Demais laboratórios: 01 Química/biologia ,01 Matemática/física , 01 Horta.</t>
  </si>
  <si>
    <t>COLÉGIO ESTADUAL DE TEMPO INTEGRAL MARIA OTÍLIA LUTZ</t>
  </si>
  <si>
    <t>FLAMBOYANT - SN(00001);QD 102,CEP: 47850000</t>
  </si>
  <si>
    <t>JARDIM DAS ACACIAS</t>
  </si>
  <si>
    <t>-12.076807374396001, -45.772635467126655</t>
  </si>
  <si>
    <t>Estruturas adaptadas: 01 auditório, 01 refeitório, 01 sala AEE.
Demais laboratórios: 01 Viveiro com estufa e hidropônica.</t>
  </si>
  <si>
    <t>COLÉGIO ESTADUAL DE TEMPO INTEGRAL CONSTANTINO CATARINO DE SOUZA</t>
  </si>
  <si>
    <t>RUA PORTO SEGURO,QUADRA 23,LOTE A - S/N</t>
  </si>
  <si>
    <t>-12.094049008908522, -45.79752197387507</t>
  </si>
  <si>
    <t>COLÉGIO ESTADUAL NOSSA SENHORA DO ROSARIO</t>
  </si>
  <si>
    <t>SEBASTIAO TEIXEIRA SOARES</t>
  </si>
  <si>
    <t>(77) 9 8816 - 0494</t>
  </si>
  <si>
    <t>IVONETE BARBOSA SENA</t>
  </si>
  <si>
    <t>(77) 9 8886 -3579</t>
  </si>
  <si>
    <t>(77) 3671-2419</t>
  </si>
  <si>
    <t>04 + 01 (Adapt)</t>
  </si>
  <si>
    <t>ANEXO - CEMIT BACIA DO RIO GRANDE - DISTRITO NOVO PARANA</t>
  </si>
  <si>
    <t>BR 020 - S/N</t>
  </si>
  <si>
    <t>DISTRITO NOVO PARANA</t>
  </si>
  <si>
    <t>ANEXO - CEMIT - BACIA DO RIO GRANDE - DISTRITO REFORMA - VILA 02</t>
  </si>
  <si>
    <t>VILA 02 - SN(00009)</t>
  </si>
  <si>
    <t xml:space="preserve"> DISTRITO REFORMA - VILA 02</t>
  </si>
  <si>
    <t>COLÉGIO ESTADUAL DO CAMPO THOMAZ LEITE - DISTRITO DE GAMELEIRA</t>
  </si>
  <si>
    <t>DIEGO DA SILVA OLIVEIRA</t>
  </si>
  <si>
    <t>(77) 9 8868-0268</t>
  </si>
  <si>
    <t>(77) 3671-5073</t>
  </si>
  <si>
    <t>6 (Sendo 05 como salas de aula e 01 adaptada p/ multiuso)</t>
  </si>
  <si>
    <t>ANEXO - CEMIT - BACIA DO RIO GRANDE - DISTRITO DE BELA VISTA</t>
  </si>
  <si>
    <t>BELA VISTA - SN(00037)</t>
  </si>
  <si>
    <t>MANSIDAO</t>
  </si>
  <si>
    <t>COLÉGIO ESTADUAL DE TEMPO INTEGRAL PROFESSORA MARIA HELENA OLIVEIRA</t>
  </si>
  <si>
    <t>AV. LÍDIO FRANCISCO - S/N</t>
  </si>
  <si>
    <t>-10.722548788501852, -44.03184176283597</t>
  </si>
  <si>
    <t>MARK SLAD NOVAIS AZEVEDO</t>
  </si>
  <si>
    <t>(77) 9 9128-9472</t>
  </si>
  <si>
    <t>DENIS RIBEIRO DE NOVAIS JUNIOR</t>
  </si>
  <si>
    <t>(77) 9 9131-7063</t>
  </si>
  <si>
    <t>(77) 3476-2330</t>
  </si>
  <si>
    <t>9 (sendo 06 salas de aula, 01 adaptada para biblioteca, 01 adaptada para auditórioe  01 adaptada para multifuncional.</t>
  </si>
  <si>
    <t>ANEXO - COLÉGIO ESTADUAL DE TEMPO INTEGRAL PROFESSORA MARIA HELENA OLIVEIRA - POVOADO DE ANGICAL</t>
  </si>
  <si>
    <t>POVOADO ANGICAL - S/N</t>
  </si>
  <si>
    <r>
      <rPr>
        <rFont val="Calibri"/>
        <b/>
        <color theme="1"/>
        <sz val="11.0"/>
      </rPr>
      <t xml:space="preserve">11 salas, </t>
    </r>
    <r>
      <rPr>
        <rFont val="Calibri"/>
        <b/>
        <color rgb="FFFF0000"/>
        <sz val="11.0"/>
      </rPr>
      <t>sendo 09 para aula e</t>
    </r>
    <r>
      <rPr>
        <rFont val="Calibri"/>
        <b/>
        <color theme="1"/>
        <sz val="11.0"/>
      </rPr>
      <t xml:space="preserve"> 01 adaptada para biblioteca e 01 para sala de linguagens</t>
    </r>
  </si>
  <si>
    <t>ANEXO - COLÉGIO ESTADUAL DE TEMPO INTEGRAL PROFESSORA MARIA HELENA OLIVEIRA - DISTRITO DE AROEIRAS</t>
  </si>
  <si>
    <t>DISTRITO DE AROEIRAS - S/N</t>
  </si>
  <si>
    <t>ANEXO - CEMIT - BACIA DO RIO GRANDE - DISTRITO DE BURITIZINHO</t>
  </si>
  <si>
    <t>BURITIZINHO - SN(00009)</t>
  </si>
  <si>
    <t>ANEXO -  COLÉGIO ESTADUAL DE TEMPO INTEGRAL PROFESSORA MARIA HELENA OLIVEIRA - POVOADO DE BARREIRO</t>
  </si>
  <si>
    <t>POVOADO BARREIRO - S/N</t>
  </si>
  <si>
    <t>COLÉGIO ESTADUAL RODOLFO DE QUEIROZ - TEMPO INTEGRAL</t>
  </si>
  <si>
    <t>RUA JUAREZ DE SOUZA - 19</t>
  </si>
  <si>
    <t>-11.752828273213176, -44.904651079120114</t>
  </si>
  <si>
    <t>JULIANA RODRIGUES SALLES</t>
  </si>
  <si>
    <t>(71) 9 9238-1257</t>
  </si>
  <si>
    <t>(75) 3335-6122</t>
  </si>
  <si>
    <t>COLÉGIO ESTADUAL PROFESSOR IVARDO PEREIRA BASTOS - DISTRITO DE CARIPARE</t>
  </si>
  <si>
    <t>HOTEL - SN(00001)</t>
  </si>
  <si>
    <t>-11.745355577342172, -44.91274283130884</t>
  </si>
  <si>
    <t>ANEXO - COLÉGIO ESTADUAL PROFº IVARDO PEREIRA BASTOS- DISTRITO DE SÃO JOSÉ DO RIO GRANDE</t>
  </si>
  <si>
    <t>DISTRITO SAO JOSE - S/N</t>
  </si>
  <si>
    <t>RUA DO CAMPO. S/N - CENTRO</t>
  </si>
  <si>
    <t>CLESIA VALQUIRIA BATISTA DA SILVA</t>
  </si>
  <si>
    <t>(75) 9 8269-8138</t>
  </si>
  <si>
    <t>JULIANA DE SOUZA ROCHA</t>
  </si>
  <si>
    <t xml:space="preserve"> (75) 9 8108-2073</t>
  </si>
  <si>
    <t>(75) 3335-2514</t>
  </si>
  <si>
    <t>ANEXO - COLÉGIO ESTADUAL PROFº IVARDO PEREIRA BASTOS - DISTRITO DE ENTROCAMENTO</t>
  </si>
  <si>
    <t>DISTRITO DE ENTROCAMENTO - S/N</t>
  </si>
  <si>
    <t>COLÉGIO ESTADUAL NERCY ANTONIO DUARTE</t>
  </si>
  <si>
    <t>ANEXO - CEMIT BACIA DO RIO GRANDE - DISTRITO DE ANGICO</t>
  </si>
  <si>
    <t>ANGICO - SN(00001)</t>
  </si>
  <si>
    <t>DISTRITO DE ANGICO</t>
  </si>
  <si>
    <t>GILSON RODOLFO DA SILVA</t>
  </si>
  <si>
    <t>(77) 99997-2787</t>
  </si>
  <si>
    <t>SORAIA CELESTE FREITAS DA SILVA</t>
  </si>
  <si>
    <t>(77) 9 9928 - 8070</t>
  </si>
  <si>
    <t>(77) 3450-1020</t>
  </si>
  <si>
    <r>
      <rPr>
        <rFont val="Calibri"/>
        <b/>
        <color theme="1"/>
        <sz val="11.0"/>
      </rPr>
      <t xml:space="preserve">17 Salas, </t>
    </r>
    <r>
      <rPr>
        <rFont val="Calibri"/>
        <b/>
        <color rgb="FFFF0000"/>
        <sz val="11.0"/>
      </rPr>
      <t>sendo 16 utilizadas para aula</t>
    </r>
    <r>
      <rPr>
        <rFont val="Calibri"/>
        <b/>
        <color theme="1"/>
        <sz val="11.0"/>
      </rPr>
      <t xml:space="preserve"> e 01 adaptada para biblioteca.</t>
    </r>
  </si>
  <si>
    <t>CENTRO TERRITORIAL DE EDUCACAO PROFISSIONAL SANTA RITA DE CÁSSIA</t>
  </si>
  <si>
    <t>RUA PROFESSOR ELPIDIO SANTANA - 90</t>
  </si>
  <si>
    <t>-11.001743102563829, -44.52532268033693</t>
  </si>
  <si>
    <t>LAIZA BRANDAO MIRANDA</t>
  </si>
  <si>
    <t>(75) 9 9966-5253</t>
  </si>
  <si>
    <t>ROSANA ISABEL DO R. TELES</t>
  </si>
  <si>
    <t>(75) 9 9966-4696</t>
  </si>
  <si>
    <t>MOZART MACEDO XAVIER</t>
  </si>
  <si>
    <t>(75) 9 9918-1536</t>
  </si>
  <si>
    <t>(75) 3331-9754</t>
  </si>
  <si>
    <t>Estruturas adaptadas: 01 Sala AEE
Salas multifuncionais: 01 dança/vivencias corporais, 01 multifuncional.
Demais laboratórios: 01 Química/biologia, 01 Recursos/administração, 01 Nutrição adaptado, 01 Viveiro.</t>
  </si>
  <si>
    <t>ANEXO - CEMIT BACIA DO RIO GRANDE - POVOADO DE PEDRAS</t>
  </si>
  <si>
    <t>POVOADO DE PEDRAS - SN(00001)</t>
  </si>
  <si>
    <t>POVOADO DE PEDRAS</t>
  </si>
  <si>
    <t>06 + 02 adapt</t>
  </si>
  <si>
    <t>ANEXO - CEMIT BACIA DO RIO GRANDE - DISTRITO DE PEIXE DE FORA</t>
  </si>
  <si>
    <t>PEIXE DE FORA - SN(00001)</t>
  </si>
  <si>
    <t>DISTRITO DE PEIXE DE FORA</t>
  </si>
  <si>
    <t>CHARLES ROBERTO MEDEIROS SANTANA PAIVA</t>
  </si>
  <si>
    <t>(75) 9 9298-0059</t>
  </si>
  <si>
    <t>LUAN ANJOS SOUZA</t>
  </si>
  <si>
    <t>(75) 9 9924-5798</t>
  </si>
  <si>
    <t>(75) 3330-2485</t>
  </si>
  <si>
    <t>ANEXO - CEMIT BACIA DO RIO GRANDE - DISTRITO DE CARAIBA DE MELO</t>
  </si>
  <si>
    <t>CARAIBA DE MELO - SN(00010)</t>
  </si>
  <si>
    <t>DISTRITO DE CARAIBA DE MELO</t>
  </si>
  <si>
    <t>ANEXO - COLEGIO ESTADUAL DE TEMPO INTEGRAL RUI BARBOSA - POVOADO DE NOVA COLINA</t>
  </si>
  <si>
    <t>ANEXO - CEMIT BACIA DO RIO GRANDE - DISTRITO DE CAMPOS</t>
  </si>
  <si>
    <t>DISTRITO DE CAMPOS - S/N</t>
  </si>
  <si>
    <t>DISTRITO DE CAMPOS</t>
  </si>
  <si>
    <t>COLÉGIO ESTADUAL DO BONITO - TEMPO INTEGRAL</t>
  </si>
  <si>
    <t>ANEXO - CEMIT - BACIA DO RIO GRANDE - DISTRITO DE MALHADA GRANDE</t>
  </si>
  <si>
    <t>LUIZ SANTOS ZILLI</t>
  </si>
  <si>
    <t>DISTRITO DE MALHADA GRANDE - S/N</t>
  </si>
  <si>
    <t>DISTRITO DE MALHADA GRANDE</t>
  </si>
  <si>
    <t>(75) 9 9910-6905</t>
  </si>
  <si>
    <t>66KM</t>
  </si>
  <si>
    <t>(75) 3343-2129</t>
  </si>
  <si>
    <t>10 (sendo 08 como salas de aula, 01 adaptada para multiuso e 01 adaptada para sala de TV)</t>
  </si>
  <si>
    <t>ANEXO - CEMIT - BACIA DO RIO GRANDE - DISTRITO DE ITIQUIRA</t>
  </si>
  <si>
    <t>DISTRITO DE ITIQUIRA - S/N</t>
  </si>
  <si>
    <t>DISTRITO DE ITIQUIRA</t>
  </si>
  <si>
    <t>COLÉGIO ESTADUAL DO CAMPO MIGUEL MOREIRA DE CARVALHO - DIST RODA VELHA</t>
  </si>
  <si>
    <t>POV. RODA VELHA</t>
  </si>
  <si>
    <t>135KM</t>
  </si>
  <si>
    <t>-12.75707570296909, -45.95411162356749</t>
  </si>
  <si>
    <t>CENTRO TERRITORIAL DE EDUCAÇÃO PROFISSIONAL BENTO ALVES DAS NEVES DE SÃO DESIDÉRIO</t>
  </si>
  <si>
    <t>RUA PARÁ, S/N</t>
  </si>
  <si>
    <t>-12.359507278946966, -44.967502224883454</t>
  </si>
  <si>
    <t>ANEXO - CENTRO TERRITORIAL DE EDUCAÇÃO PROFISSIONAL BENTO ALVES DAS NEVES DE SÃO DESIDÉRIO - POVOADO PONTEZINHA</t>
  </si>
  <si>
    <t>POVOADO DE PONTEZINHA N S/N Bairro: - CEP:</t>
  </si>
  <si>
    <t>95 KM</t>
  </si>
  <si>
    <t>COLÉGIO ESTADUAL DEMOCRATICO DE IBICOARA</t>
  </si>
  <si>
    <t>TRAV FERNANDO NETO - 18</t>
  </si>
  <si>
    <t>LUCAS LUZ PIRES</t>
  </si>
  <si>
    <t>(77) 9 9985-5559</t>
  </si>
  <si>
    <t>SANDRO AGUIAR</t>
  </si>
  <si>
    <t>(77) 9 9196-8785</t>
  </si>
  <si>
    <t>(77) 3413-2382</t>
  </si>
  <si>
    <t>ANEXO - CENTRO TERRITORIAL DE EDUCAÇÃO PROFISSIONAL BENTO ALVES DAS NEVES DE SÃO DESIDÉRIO - POVOADO CAMPO GRANDE</t>
  </si>
  <si>
    <t>7 (Sendo 06 como salas de aula e 01 adaptada para biblioteca)</t>
  </si>
  <si>
    <t>POVOADO CAMPO GRANDE N S/N Bairro: - CEP:</t>
  </si>
  <si>
    <t>65 KM</t>
  </si>
  <si>
    <t>COLÉGIO ESTADUAL DE CASCAVEL - DISTRITO DE CASCAVEL</t>
  </si>
  <si>
    <t>BELO PLANALTO - SN(00043)</t>
  </si>
  <si>
    <t>FABIO CESAR DA SILVA</t>
  </si>
  <si>
    <t>(19) 9 8178-9977</t>
  </si>
  <si>
    <t>ANEXO - CENTRO TERRITORIAL DE EDUCAÇÃO PROFISSIONAL BENTO ALVES DAS NEVES DE SÃO DESIDÉRIO - POV. PONTE DE MATEUS</t>
  </si>
  <si>
    <t>MARIA PAIXAO AGUIAR ROCHA CARVALHO</t>
  </si>
  <si>
    <t>POVOADO PONTE DE MATEUS N S/N Bairro: CEP 47820-000:</t>
  </si>
  <si>
    <t>(77) 9 8143 - 1966</t>
  </si>
  <si>
    <t>(77) 3413-5144/ 5107</t>
  </si>
  <si>
    <t>100 KM</t>
  </si>
  <si>
    <t>WANDERLEY</t>
  </si>
  <si>
    <t>COLÉGIO ESTADUAL LAGOA DE DIONISIO - DISTRITO LAGOA DO DIONISIO</t>
  </si>
  <si>
    <t>TERESA CRISTINA SILVA ABADE</t>
  </si>
  <si>
    <t>(75) 9 9284-7266</t>
  </si>
  <si>
    <t xml:space="preserve">	ANDRE LUIZ SANTOS DE OLIVEIRA</t>
  </si>
  <si>
    <t>(71) 9 9296-7229</t>
  </si>
  <si>
    <t>(77) 3658-1076</t>
  </si>
  <si>
    <t>COLÉGIO ESTADUAL DE TEMPO INTEGRAL ANTÔNIO INÁCIO DE OLIVEIRA</t>
  </si>
  <si>
    <t>Rua Gustavo José Fernandes - S/N</t>
  </si>
  <si>
    <t>-12.122941042365941, -43.889355328257274</t>
  </si>
  <si>
    <t>COLEGIO ESTADUAL DE TEMPO INTEGRAL EVILASIO SANTANA GAMA</t>
  </si>
  <si>
    <t>PRACA PIO XX - S/N</t>
  </si>
  <si>
    <t>EDILMA NOVAIS SILVA OLIVEIRA</t>
  </si>
  <si>
    <t>(77) 9 9148-4741</t>
  </si>
  <si>
    <t>MARINALVA LIMA DOS SANTOS</t>
  </si>
  <si>
    <t>(77) 3647-2129</t>
  </si>
  <si>
    <t>ANEXO - COLEGIO ESTADUAL EVILASIO SANTANA GAMA - DISTRITO DE BELA VISTA</t>
  </si>
  <si>
    <t>ANEXO - CEMIT BACIA DO RIO GRANDE - POVOADO NOVA CALEMBE</t>
  </si>
  <si>
    <t>NOVA CALEMBE - SN(00002)</t>
  </si>
  <si>
    <t>POVOADO NOVA CALEMBE</t>
  </si>
  <si>
    <t>ANEXO - CEMIT BACIA DO RIO GRANDE - DISTRITO DE GOIABEIRA</t>
  </si>
  <si>
    <t>DIST. DE GOIABEIRA - SN(00027)</t>
  </si>
  <si>
    <t>COLÉGIO ESTADUAL DE TEMPO INTEGRAL PROFESSORA AIDIL CIRNE</t>
  </si>
  <si>
    <t>AV ANTONIO CARLOS MAGALHAES - SN(00278)</t>
  </si>
  <si>
    <t>ROMARIO DA SILVA DOS SANTOS</t>
  </si>
  <si>
    <t>(77) 9 8114-6356</t>
  </si>
  <si>
    <t>ELIZABETE GONÇALVES DE SOUZA</t>
  </si>
  <si>
    <t>(77) 9 8839 - 9741</t>
  </si>
  <si>
    <t>(77) 3412-2216</t>
  </si>
  <si>
    <t>BOQUIRA</t>
  </si>
  <si>
    <t>ESCOLA FAMILIA AGRICOLA DE BOQUIRA</t>
  </si>
  <si>
    <t>FAZ ALTO DA ESPIA -BA 156 KM01 - SN(00005)</t>
  </si>
  <si>
    <t>Estruturas adaptadas: 01 auditório.
Salas multifuncionais: 09 alojamentos</t>
  </si>
  <si>
    <t>COLÉGIO ESTADUAL DE BOQUIRA - EM TEMPO INTEGRAL</t>
  </si>
  <si>
    <t>VIA DO ACESSO - SN(04458)</t>
  </si>
  <si>
    <t>-12.8190646763996, -42.72489095450526</t>
  </si>
  <si>
    <t>Estruturas adaptadas: 01 refeitório, 01 laboratório de informática, 01 sala AEE.</t>
  </si>
  <si>
    <t>ANEXO - CENTRO REGIONAL DE ENSINO MEDIO COM INTERMEDIACAO TECNOLOGICA-CEMIT - POVOADO DE VACA MORTA</t>
  </si>
  <si>
    <t>POV. DE VACA MORTA - S/N</t>
  </si>
  <si>
    <t>ANEXO - CENTRO REGIONAL DE ENSINO MEDIO COM INTERMEDIACAO TECNOLOGICA-CEMIT - DISTRITO DE LAPINHA</t>
  </si>
  <si>
    <t>DISTRITO DE LAPINHA - SN(00005)</t>
  </si>
  <si>
    <t>DISTRITO DE LAPINHA</t>
  </si>
  <si>
    <t>ANEXO - CENTRO REGIONAL DE ENSINO MEDIO COM INTERMEDIACAO TECNOLOGICA- DISTRITO LAGOA DE FAZENDINHA</t>
  </si>
  <si>
    <t>LAGOA DE FAZENDINHA - SN(00045)</t>
  </si>
  <si>
    <t>BOTUPORA</t>
  </si>
  <si>
    <t>ESCOLA FAMILIA AGRICOLA DE BOTUPORÃ</t>
  </si>
  <si>
    <t>AV TANQUE NOVO - SN(00005)</t>
  </si>
  <si>
    <t>-13.388084424182397, -42.524155978202586</t>
  </si>
  <si>
    <r>
      <rPr>
        <rFont val="Calibri"/>
        <color theme="1"/>
        <sz val="11.0"/>
      </rPr>
      <t xml:space="preserve">COLÉGIO ESTADUAL DO CAMPO DE TEMPO INTEGRAL DE BOTUPORÃ 
</t>
    </r>
    <r>
      <rPr>
        <rFont val="Calibri"/>
        <b/>
        <color theme="1"/>
        <sz val="11.0"/>
      </rPr>
      <t xml:space="preserve"> (ANTIGO C.E LUIS EDUARDO MAGALHÃES)</t>
    </r>
  </si>
  <si>
    <t>SANTOS DUMONT - 429</t>
  </si>
  <si>
    <t>-13.375753625694271, -42.518859501352004</t>
  </si>
  <si>
    <t>CATURAMA</t>
  </si>
  <si>
    <t>COLÉGIO ESTADUAL SAO SEBASTIAO - TEMPO INTEGRAL</t>
  </si>
  <si>
    <t>PRACA CASTRO ALVES - SN(00084)</t>
  </si>
  <si>
    <t xml:space="preserve">MÉDIO </t>
  </si>
  <si>
    <t>-13.331261980292496, -42.291064320226056</t>
  </si>
  <si>
    <t>ERICO CARDOSO</t>
  </si>
  <si>
    <t>DOMINGOS PERAZZO ARAUJO</t>
  </si>
  <si>
    <t>(75) 9 8261-7680</t>
  </si>
  <si>
    <t>JAMILE CARLA DOS SANTOS AFONSO</t>
  </si>
  <si>
    <t>(75) 3365-3102</t>
  </si>
  <si>
    <t>9 (sendo 07 salas de aula, 01 sala adaptada para vídeo e 01 sala adaptada para direção, secretaria e sala de professores)</t>
  </si>
  <si>
    <t>COLÉGIO  ESTADUAL  DE  TEMPO  INTEGRAL  DE  ÁGUA  QUENTE - ANTIGO ANTÔNIO CARLOS MAGALHÃES</t>
  </si>
  <si>
    <t>AVENIDA PARAMIRIM, S/N</t>
  </si>
  <si>
    <t xml:space="preserve"> -13.419135380560792, -42.14532693819443</t>
  </si>
  <si>
    <t>Demais laboratórios: 01 Química/Biologia,01 Física/Matemática, 01 Linguagens.</t>
  </si>
  <si>
    <t>COLEGIO ESTADUAL DE TEMPO INTEGRAL DE IRAQUARA 
(ANTIGO CENTRO EDUCACIONAL MANOEL TEIXEIRA LEITE)</t>
  </si>
  <si>
    <t>ANEXO - COLÉGIO  ESTADUAL  DE  TEMPO  INTEGRAL  DE  ÁGUA  QUENTE - DISTRITO DE RIO DA CAIXA</t>
  </si>
  <si>
    <t>DISTRITO DE RIO DA CAIXA - S/N</t>
  </si>
  <si>
    <t>DISTRITO DE RIO DA CAIXA</t>
  </si>
  <si>
    <t>JOSE AUGUSTO DE OLIVEIRA SANTOS</t>
  </si>
  <si>
    <t>(75) 9 9905-5089</t>
  </si>
  <si>
    <t>DANIELA EMIDIO CERQUEIRA</t>
  </si>
  <si>
    <t>(75) 9 9823-7405</t>
  </si>
  <si>
    <t xml:space="preserve"> THAISA ALVES DE ARAUJO</t>
  </si>
  <si>
    <t>(71) 9 9919 0354</t>
  </si>
  <si>
    <t>(75) 3364-2243</t>
  </si>
  <si>
    <t>24 (sendo 19 salas para aula e 05 adaptadas para as funções: 01 sala de jogos, 01 sala de vivências corporais, 01 sala de música, 01 sala de xadrez profissional, 01 sala de AEE)</t>
  </si>
  <si>
    <t>IBIPITANGA</t>
  </si>
  <si>
    <t>COLÉGIO ESTADUAL DO CAMPO DE
TEMPO INTEGRAL DE IBIPITANGA</t>
  </si>
  <si>
    <t>AV ANA AMELIA - SN(00002)</t>
  </si>
  <si>
    <t>-12.883707115794941, -42.47307349749322</t>
  </si>
  <si>
    <t>ANEXO- CENTRO REGIONAL DE ENSINO MEDIO COM INTERMEDIACAO TECNOLOGICA-CEMIT- POVOADO SACO DO FOGO</t>
  </si>
  <si>
    <t>POV. SACO DO FOGO - SN(00006)</t>
  </si>
  <si>
    <t>ANEXO- CENTRO REGIONAL DE ENSINO MEDIO COM INTERMEDIACAO TECNOLOGICA-CEMIT - POVOADO DE PITUCI</t>
  </si>
  <si>
    <t>POVOADO DE PITUCI - SN(00030)</t>
  </si>
  <si>
    <t>RUA DR INOCENCIO MONTEIRO - 525</t>
  </si>
  <si>
    <t>PAULA DAIANE ARAUJO</t>
  </si>
  <si>
    <t>(75) 9 8144-8716</t>
  </si>
  <si>
    <t>NEUZA CECILIA DA SILVA DANTAS (Secretária)</t>
  </si>
  <si>
    <t>(75) 9 9113-3653</t>
  </si>
  <si>
    <t>(75) 3320-2503</t>
  </si>
  <si>
    <t>ANEXO - CENTRO REGIONAL DE ENSINO MEDIO COM INTERMEDIACAO TECNOLOGICA-CEMIT - DISTRITO DE JUREMA</t>
  </si>
  <si>
    <t>DISTRITO DE JUREMA - S/N</t>
  </si>
  <si>
    <t>ANEXO - CENTRO REGIONAL DE ENSINO MEDIO COM INTERMEDIACAO TECNOLOGICA POVOADO CASTANHAO - COMUNIDADE QUILOMBOLA</t>
  </si>
  <si>
    <t>POVOADO CASTANHAO - SN(00016)</t>
  </si>
  <si>
    <t>COLÉGIO ESTADUAL JOSE AMERICO ARAUJO</t>
  </si>
  <si>
    <t xml:space="preserve"> TALES FERNANDES CHAGAS</t>
  </si>
  <si>
    <t>(77) 9 8856-3522</t>
  </si>
  <si>
    <t>(75) 3320-2502</t>
  </si>
  <si>
    <t>ANEXO - CENTRO REGIONAL DE ENSINO MEDIO COM INTERMEDIACAO TECNOLOGICA - DISTRITO DE ALVINOPOLIS</t>
  </si>
  <si>
    <t>DIST. DE ALVINOPOLIS - S/N</t>
  </si>
  <si>
    <t>MACAUBAS</t>
  </si>
  <si>
    <t>ESCOLA FAMILIA AGRICOLA DE MACAUBAS</t>
  </si>
  <si>
    <t>ANEXO - COLEGIO ESTADUAL JOSE AMERICO ARAUJO - DISTRITO DE RUMO</t>
  </si>
  <si>
    <t>RUA EST DE ROD MAC LAGOA CLARA - SN(00021)</t>
  </si>
  <si>
    <t>-13.07903074703793, -42.69364895657194</t>
  </si>
  <si>
    <t>Demais laboratórios: 01 produção de hortaliças, 01 pomar , 01 cerqueira , 01 setores de produção animal.</t>
  </si>
  <si>
    <t xml:space="preserve">6 + 1 (Adapt) </t>
  </si>
  <si>
    <t>COLÉGIO ESTADUAL CONEGO FIRMINO SOARES</t>
  </si>
  <si>
    <t>RUA DOIS DE JULHO - 00006</t>
  </si>
  <si>
    <t>-13.019604371244103, -42.69188121558402</t>
  </si>
  <si>
    <t>NEUSA MARIA LIMA SANTOS CARVALHO</t>
  </si>
  <si>
    <t>(77) 9 9127-3638</t>
  </si>
  <si>
    <t>BRAÚLIO FERREIRA DE SOUZA BENTO</t>
  </si>
  <si>
    <t>(33) 9 8701-7191</t>
  </si>
  <si>
    <t>(77) 3414-2413</t>
  </si>
  <si>
    <t>Estrutruas adaptadas: 01 blibioteca, 01
Sala de Informática</t>
  </si>
  <si>
    <t>CENTRO TERRITORIAL DE EDUCACAO PROFISSIONAL DA BACIA DO PARAMIRIM</t>
  </si>
  <si>
    <t>RUA DOUTOR MANOEL VITORINO N S/N Bairro: CENTRO CEP: 46500000</t>
  </si>
  <si>
    <t>-13.01578554042852, -42.698288668115126</t>
  </si>
  <si>
    <t>SUELY COSTA DOS ANJOS</t>
  </si>
  <si>
    <t>(75) 9 9124-5509</t>
  </si>
  <si>
    <t>(75) 3334-1277</t>
  </si>
  <si>
    <t xml:space="preserve">10 (sendo 5 como salas de aula, 01 adaptada p/ auditório, 01 adaptada p/ sala de professores, 01 adaptada p/ biblioteca, 01 adptada p/ sala de coordenação/sala de AEE e 01 adaptada p/ laboratório de biologia em parceria com o Campus Avançado da UEFS </t>
  </si>
  <si>
    <r>
      <rPr>
        <rFont val="Calibri"/>
        <b/>
        <color theme="1"/>
        <sz val="11.0"/>
      </rPr>
      <t>11 (</t>
    </r>
    <r>
      <rPr>
        <rFont val="Calibri"/>
        <b/>
        <color rgb="FFFF0000"/>
        <sz val="11.0"/>
      </rPr>
      <t xml:space="preserve"> sendo, 06 como salas de aula,</t>
    </r>
    <r>
      <rPr>
        <rFont val="Calibri"/>
        <b/>
        <color theme="1"/>
        <sz val="11.0"/>
      </rPr>
      <t xml:space="preserve"> 05 adaptadas para oficinas: 01 Taekwondo, 01 Língua portuguesa, 01 Matemática, 01 Informática e mídias digitais e 01 Autoconhecimento e bem-estar)</t>
    </r>
  </si>
  <si>
    <t>Demais laboratórios: 01 Enfermagem</t>
  </si>
  <si>
    <t>CENTRO REGIONAL DE ENSINO MEDIO COM INTERMEDIACAO TECNOLOGICA-CEMIT BACIA DO PARAMIRIM</t>
  </si>
  <si>
    <t>RUA ANTÔNIO ALFREDO SOUSA FILHO, Nº 200</t>
  </si>
  <si>
    <t>-13.016292438647978, -42.698659865146254</t>
  </si>
  <si>
    <t>COLÉGIO ESTADUAL EURIDICE SANTANA</t>
  </si>
  <si>
    <t>ANEXO-CENTRO REGIONAL DE ENSINO MEDIO COM INTERMEDIACAO TECNOLOGICA-DISTRITO DE SANTA TEREZINHA</t>
  </si>
  <si>
    <t>RUA DO CENTRO - DISTRITO DE SANTA TEREZINHA - SN(00115)</t>
  </si>
  <si>
    <t>RUA CORONEL JUCA MEDRADO - SN(00088)</t>
  </si>
  <si>
    <t xml:space="preserve"> TAILANE NEVES DE JESUS</t>
  </si>
  <si>
    <t>(71) 9 9406-5328</t>
  </si>
  <si>
    <t>NORLANDIA DOS SANTOS DA SILVA</t>
  </si>
  <si>
    <t>ANEXO-CENTRO REGIONAL DE ENSINO MEDIO COM INTERMEDIACAO TECNOLOGICA-CEMIT-DISTRITO BARRA DE CIMA</t>
  </si>
  <si>
    <t>(75) 9 9126-5275</t>
  </si>
  <si>
    <t>BARRA DE CIMA, - SN(00050)</t>
  </si>
  <si>
    <t>(75) 3340-2100
 (75) 3340-2228</t>
  </si>
  <si>
    <t>ANEXO - CENTRO REGIONAL DE ENSINO MEDIO COM INTERMEDIACAO TECNOLOGICA-CEMIT DISTRITO DE LAGOA CLARA</t>
  </si>
  <si>
    <t>RUA DO CENTRO - DISTRITO DE LAGOA CLARA - SN(00017)</t>
  </si>
  <si>
    <t>ANEXO - CENTRO REGIONAL DE ENSINO MEDIO COM INTERMEDIACAO TECNOLOGICA-CEMIT - DISTRITO DE CANATIBA</t>
  </si>
  <si>
    <t>RUA DO CENTRO - DISTRITO DE CANATIBA - SN(00038)</t>
  </si>
  <si>
    <t>RUA DANTAS BRITO - 130</t>
  </si>
  <si>
    <t>PARAMIRIM</t>
  </si>
  <si>
    <t>VICENTE MAXIMINIANO DE SOUZA</t>
  </si>
  <si>
    <t>(74) 9 9129-3015</t>
  </si>
  <si>
    <t>ADRIANA NOVAIS V. DE OLIVEIRA</t>
  </si>
  <si>
    <t>(74) 9 9949-9843</t>
  </si>
  <si>
    <t>MARISE REIS VALOIS COELHO</t>
  </si>
  <si>
    <t>(75) 9 9231-8306</t>
  </si>
  <si>
    <t>(74) 3653-2339</t>
  </si>
  <si>
    <t>ESCOLA FAMILIA AGRICOLA DE PARAMIRIM</t>
  </si>
  <si>
    <t>AVENIDA PE ALDO LUCHETTA - SN(00001)</t>
  </si>
  <si>
    <t>-13.43078510211497, -42.239534796897374</t>
  </si>
  <si>
    <t>Demais laboratórios: 01
Ciências/agropecuária/informática)</t>
  </si>
  <si>
    <t>COLÉGIO ESTADUAL DE PARAMIRIM</t>
  </si>
  <si>
    <t>RUA TRASIBULO OLÍMPIO DE BRITO, Nº 34, BAIRRO CENTRO</t>
  </si>
  <si>
    <t>COLEGIO ESTADUAL DO CAMPO DE ICO</t>
  </si>
  <si>
    <t>-13.440843211457018, -42.25353787289392</t>
  </si>
  <si>
    <t xml:space="preserve">JONATHAS MARTINS NUNES </t>
  </si>
  <si>
    <t>(75) 9 9192-6131</t>
  </si>
  <si>
    <t>(74) 3672-6056</t>
  </si>
  <si>
    <t>SIMONE CARLA OLIVEIRA E SILVA FREITAS</t>
  </si>
  <si>
    <t>( 77) 9 8152-4456</t>
  </si>
  <si>
    <t>(74) 3672-7050
 (74) 3672-7077</t>
  </si>
  <si>
    <t>Estruturas adaptadas: 01 Refeitório</t>
  </si>
  <si>
    <t>ANEXO - COLÉGIO ESTADUAL DE PARAMIRIM - DISTRITO DE CARAIBAS</t>
  </si>
  <si>
    <t>SANTANA(CARAIBAS) - S/N</t>
  </si>
  <si>
    <t>VALDICE MATOS - 255</t>
  </si>
  <si>
    <t>MARIA CELESTINA DIAS DA ROCHA</t>
  </si>
  <si>
    <t>(74) 9 9927-2903</t>
  </si>
  <si>
    <t>MARCELE CARDOSO SANTANA</t>
  </si>
  <si>
    <t>(74) 9 9976-4062</t>
  </si>
  <si>
    <t>LIANA PAULA ALCÂNTARA SENA PINHEIRO</t>
  </si>
  <si>
    <t>(74) 9 9961-0072</t>
  </si>
  <si>
    <t>(74) 3653-2771</t>
  </si>
  <si>
    <t>RIO DO PIRES</t>
  </si>
  <si>
    <t>COLÉGIO ESTADUAL PAULO VI</t>
  </si>
  <si>
    <t>RUA DOMINGOS JOSE PEREIRA - S/N</t>
  </si>
  <si>
    <t>-13.127853753832648, -42.29331082083536</t>
  </si>
  <si>
    <t>COLÉGIO ESTADUAL DO CAMPO DE IBIAJARA - DISTRITO DE IBIAJARA</t>
  </si>
  <si>
    <t>RUA PADRE LOURENCO BARONE - S/N</t>
  </si>
  <si>
    <t>-12.98667874442545, -42.21895831586987</t>
  </si>
  <si>
    <t>ANEXO - CENTRO REGIONAL DE ENSINO MEDIO COM INTERMEDIACAO TECNOLOGICA-CEMIT - DISTRITO DE VARZINHA</t>
  </si>
  <si>
    <t>DISTRITO DE VARZINHA - SN(00003)</t>
  </si>
  <si>
    <t>ANEXO - CENTRO REGIONAL DE ENSINO MEDIO COM INTERMEDIACAO TECNOLOGICA-CEMIT - DISTRITO DE CURRALINHO</t>
  </si>
  <si>
    <t>CURRALINHO - SN(00034)</t>
  </si>
  <si>
    <t>COLÉGIO ESTADUAL DE TEMPO INTEGRAL DE BRUMADO</t>
  </si>
  <si>
    <t>RUA VEREADOR ELIAS ATAÍDE, S/N°, BAIRRO SÃO TOMÉ</t>
  </si>
  <si>
    <t>-14.206149386675015, -41.66992838836184</t>
  </si>
  <si>
    <t>MEL REIS LOUREIRO</t>
  </si>
  <si>
    <t>(75) 9 8315-0422</t>
  </si>
  <si>
    <t>ALCINEIA DA S. FRANÇA</t>
  </si>
  <si>
    <t>(75) 9 8213-3677</t>
  </si>
  <si>
    <t>(75) 3338-2067</t>
  </si>
  <si>
    <t>12 (sendo 11 como salas de aula e 01 adaptada para sala de professores)</t>
  </si>
  <si>
    <t>ANEXO - COLEGIO ESTADUAL HORACIO DE MATOS - DISTRITO DE JOAO CORREIA</t>
  </si>
  <si>
    <t>Demais laboratórios:  01 Química/biologia, 01 Matemática/física 
Sala multifuncional: 01 Dança, 01 Sala de apoio pedagógico</t>
  </si>
  <si>
    <t>CENTRO ESTADUAL DE EDUCACAO PROFISSIONAL EM GESTAO E MEIO AMBIENTE</t>
  </si>
  <si>
    <t>PRAÇA M.PERPETUA C.MANGIERE - S/N</t>
  </si>
  <si>
    <t>-14.210229006884614, -41.676535186969886</t>
  </si>
  <si>
    <t>ANEXO - COLÉGIO ESTADUAL HORACIO DE MATOS - DISTRITO DE GUINE</t>
  </si>
  <si>
    <t xml:space="preserve">Estruturas adaptadas:  01 Informática, 01 Ciências, 01 Segurança do trabalho, 01 AEE </t>
  </si>
  <si>
    <t xml:space="preserve">ANEXO AO CEEP EM GESTAO E MEIO AMBIENTE - CONJUNTO PENAL DE BRUMADO </t>
  </si>
  <si>
    <t>ESTRADA VICINAL, BR 030</t>
  </si>
  <si>
    <t>JOSIELITON DIAS LIMA</t>
  </si>
  <si>
    <t>(75) 9 9272-1863</t>
  </si>
  <si>
    <t>ELETICIA MACHADO DA SILVA DE JESUS</t>
  </si>
  <si>
    <t>(75) 9 9110-0414</t>
  </si>
  <si>
    <t xml:space="preserve"> KESIA MIRELLE JESUS SANTOS CARVALHO</t>
  </si>
  <si>
    <t>CACULE</t>
  </si>
  <si>
    <t>(71) 9 9292-3569</t>
  </si>
  <si>
    <t>(75) 3345-2488
 (75) 3345-2444</t>
  </si>
  <si>
    <t>ESCOLA FAMILIA AGRICOLA DE CACULE - FAZENDA DEUS ME LIVRE</t>
  </si>
  <si>
    <t>FAZENDA DEUS-ME-LIVRE - SN(00001)</t>
  </si>
  <si>
    <t>7,3KM</t>
  </si>
  <si>
    <t>-14.498698206534389, -42.25918011366833</t>
  </si>
  <si>
    <t>AECIO ARAUJO DO PRADO</t>
  </si>
  <si>
    <t>(75) 9 9228-2747</t>
  </si>
  <si>
    <t>COLÉGIO ESTADUAL DE TEMPO INTEGRAL NORBERTO FERNANDES
(ANTIGO C.E NORBERTO FERNANDES)</t>
  </si>
  <si>
    <t>ALOIZO LOPES DE OLIVEIRA BELO</t>
  </si>
  <si>
    <t>BRASILIA - 13</t>
  </si>
  <si>
    <t>(77) 9 9144-8622</t>
  </si>
  <si>
    <t>(77) 3648-1116</t>
  </si>
  <si>
    <t>-14.509657143187992, -42.2336107524862</t>
  </si>
  <si>
    <t>10 (Sendo 8 como salas de aula, 01 adaptada para sala de professores e 01 adaptada para laboratório de informática)</t>
  </si>
  <si>
    <t>ANEXO - COLÉGIO ESTADUAL NORBERTO FERNANDES - DISTRITO DE VARZEA GRANDE</t>
  </si>
  <si>
    <t>DISTRITO DE VARZEA GRANDE - S/N</t>
  </si>
  <si>
    <t xml:space="preserve">DISTRITO DE VARZEA GRANDE - </t>
  </si>
  <si>
    <t>ANEXO - COLEGIO ESTADUAL CASTRO ALVES- DISTRITO BREJO LUIZA DE BRITO</t>
  </si>
  <si>
    <r>
      <rPr>
        <rFont val="Calibri"/>
        <b/>
        <color rgb="FFFF0000"/>
        <sz val="11.0"/>
      </rPr>
      <t>39 salas:</t>
    </r>
    <r>
      <rPr>
        <rFont val="Calibri"/>
        <b/>
        <color theme="1"/>
        <sz val="11.0"/>
      </rPr>
      <t xml:space="preserve"> 15 salas do prédio existente (em reforma) + 24 salas da ampliação (19 salas aulas e 05 adaptadas para direção, vice-direção, sala de professor, AEE e biblioteca)</t>
    </r>
  </si>
  <si>
    <t>ANEXO - COLÉGIO ESTADUAL NORBERTO FERNANDES - DISTRITO DE  SAO DOMINGOS</t>
  </si>
  <si>
    <t>COMPLEXO INTEGRADO DE EDUCAÇÃO BÁSICA, PROFISSIONAL E TECNOLÓGICA - CIEBTEC - TEMPO INTEGRAL</t>
  </si>
  <si>
    <t>AV. ANÍSIO TEIXEIRA N S/N Bairro: - CEP: 46400000</t>
  </si>
  <si>
    <t>-14.06855618823401, -42.493023043141555</t>
  </si>
  <si>
    <t>COLÉGIO ESTADUAL DO CAMPO PEDRO ATANASIO GARCIA - DISTRITO DE MANIACU -EM TEMPO INTEGRAL</t>
  </si>
  <si>
    <t>RUA FERNANDO BATISTA - SN(00041)</t>
  </si>
  <si>
    <t>-13.842457786633611, -42.39434316540662</t>
  </si>
  <si>
    <t>CENTRO ESTADUAL EDUCACAO ESPECIAL DE CAETITE PROFESSORA IELITA NEVES COTRIM SILVA</t>
  </si>
  <si>
    <t>RUA NOVE DE MAIO - SN(00003)</t>
  </si>
  <si>
    <t>SANTA RITA</t>
  </si>
  <si>
    <t>ANEXO-COMPLEXO INTEGRADO DE EDUCAÇÃO BASICA, PROFISSIONAL E TECNOLÓ- DISTRITO BREJINHO DAS AMETISTAS</t>
  </si>
  <si>
    <t>JOAQUIM DE BRITO - S/N</t>
  </si>
  <si>
    <t>DISTRITO BREJINHO DAS AMETISTAS</t>
  </si>
  <si>
    <t>CANDIBA</t>
  </si>
  <si>
    <t>COLÉGIO ESTADUAL PROFESSORA NILDE MARIA MONTEIRO XAVIER</t>
  </si>
  <si>
    <t>COLÉGIO ESTADUAL DE TEMPO INTEGRAL ANTÔNIO BATISTA</t>
  </si>
  <si>
    <t>RUA PRESIDENTE VARGAS - 00083</t>
  </si>
  <si>
    <t>YARA PEREIRA GONCALVES</t>
  </si>
  <si>
    <t>-14.4047072887205, -42.852242128288765</t>
  </si>
  <si>
    <t>(75) 9 9900-4424</t>
  </si>
  <si>
    <t>RENATA OLIVEIRA GUIMARAES</t>
  </si>
  <si>
    <t>( 71) 9 9224 6169</t>
  </si>
  <si>
    <t>(75) 3332-2231</t>
  </si>
  <si>
    <t>8 (sendo 06 salas de aula, 01 adaptada p/ sala de vídeo e 01 adaptada p/ laboratório de informática)</t>
  </si>
  <si>
    <t>CONTENDAS DO SINCORA</t>
  </si>
  <si>
    <t>COLÉGIO ESTADUAL DE TEMPO INTEGRAL DE CONTENDAS DO SINCORÁ (ANTIGO - COLÉGIO ESTADUAL DOUTOR LUIZ EDSON DE GOUVEIA)</t>
  </si>
  <si>
    <t>AVENIDA JOSE CORREIA - 494</t>
  </si>
  <si>
    <t>-13.760974753453308, -41.04732706123772</t>
  </si>
  <si>
    <t>POVOADO DO TEJUCO - S/N</t>
  </si>
  <si>
    <t>ANEXO - COLÉGIO PROFESSORA MARIA MONTEIRO XAVIER - DISTRITO DE CAETEACU</t>
  </si>
  <si>
    <t>DOM BASILIO</t>
  </si>
  <si>
    <t>SABRINA (PROFESSORA DA UEE DANDO APOIO SOBRE A ESCOLA)</t>
  </si>
  <si>
    <t>(75) 9 9127-5991</t>
  </si>
  <si>
    <t>MARIA HELENA CAETANO XAVIER</t>
  </si>
  <si>
    <t>(75) 9 9139-0186</t>
  </si>
  <si>
    <t>COLÉGIO ESTADUAL DE TEMPO INTEGRAL JOSÉ CAIRES ARAÚJO (ANTIGO CE MANOEL FRANCISCO DE CAIRES)</t>
  </si>
  <si>
    <t>AV ZEZITO CAIRES, DOM BASÍLIO - BA, 46165-000</t>
  </si>
  <si>
    <t>-13.76160399449847, -41.777410733086455</t>
  </si>
  <si>
    <t>COLÉGIO ESTADUAL DE INUBIA - DISTRITO DE INUBIA</t>
  </si>
  <si>
    <t>FABRICIA DA SILVA MEDEIROS NASCIMENTO</t>
  </si>
  <si>
    <t xml:space="preserve">(77) 9 8106-3649/ 9 9999-3173
</t>
  </si>
  <si>
    <t xml:space="preserve">
</t>
  </si>
  <si>
    <t>(77) 3479-6400</t>
  </si>
  <si>
    <t>COLÉGIO ESTADUAL CORONEL HORACIO DE MATOS</t>
  </si>
  <si>
    <t>ANDRE LULA MACIEL</t>
  </si>
  <si>
    <t>(77) 9 8169-7001</t>
  </si>
  <si>
    <t>PAULA LULA XAVIER MARTINS</t>
  </si>
  <si>
    <t>(77) 9 8115-4454/9 9137-4393</t>
  </si>
  <si>
    <t>MAGDA DE C. M. XAVIER</t>
  </si>
  <si>
    <t>Demais laboratórios: 01 biologia/química, 01 matemática/física, 01 linguagens</t>
  </si>
  <si>
    <t>(77) 9 8134-3071</t>
  </si>
  <si>
    <t>(77) 3479-2452</t>
  </si>
  <si>
    <t>GUANAMBI</t>
  </si>
  <si>
    <t>COLÉGIO ESTADUAL GOVERNADOR LUIZ VIANA FILHO - TEMPO INTEGRAL</t>
  </si>
  <si>
    <t>PRACA MANOEL NOVAES - 324</t>
  </si>
  <si>
    <t>-14.222223790302605, -42.779828302076595</t>
  </si>
  <si>
    <t>BOCAINA - SN(00014)</t>
  </si>
  <si>
    <t>DISTRITO DE BOCAINA</t>
  </si>
  <si>
    <t>COLEGIO ESTADUAL DO CAMPO MARCOLINO MOURA</t>
  </si>
  <si>
    <t>GINETON SANTOS SOUZA</t>
  </si>
  <si>
    <t xml:space="preserve">Estruturas adaptadas: 01 auditório, 01 
Refeitório 
Sala multifuncional: 01 Jogos, 01 Grêmio, 01 Dança </t>
  </si>
  <si>
    <t>(77) 9 8128-8823</t>
  </si>
  <si>
    <t>KLEBER SANTOS CHAVES</t>
  </si>
  <si>
    <t>(77) 9 9803-7084</t>
  </si>
  <si>
    <t>(77) 3475-7017</t>
  </si>
  <si>
    <t>6 (sendo 03 como salas de aula, 01 adaptada p/ vídeo, 01 adaptada p/ sala de leitura e 01 adaptada p/ sala de reunião)</t>
  </si>
  <si>
    <t>COLÉGIO ESTADUAL DO CAMPO DE MUTÃS -DISTRITO DE MUTANS</t>
  </si>
  <si>
    <t>RUA JOANA ANGELICA - 10</t>
  </si>
  <si>
    <t>DISTRITO DE MUTANS</t>
  </si>
  <si>
    <t>-14.222565442126728, -42.78191949227651</t>
  </si>
  <si>
    <t>SOLANGE OLIVEIRA DOS SANTOS</t>
  </si>
  <si>
    <t>(77) 9 8156-7614</t>
  </si>
  <si>
    <t>(77) 3475-2421</t>
  </si>
  <si>
    <t>Demais laboratórios: 01 Matemática/física
01 Estufa de Mudas de árvores nativas
01 Produção Agroecológica Integrada e Sustentável</t>
  </si>
  <si>
    <t>COLÉGIO ESTADUAL DE TEMPO INTEGRAL PROFESSORA BEATRIZ GOMES E SOUZA DE BARROS (ANTIGO MODELO LEM)</t>
  </si>
  <si>
    <t>AV BARAO DO RIO BRANCO - SN(00182)</t>
  </si>
  <si>
    <t>-14.215215200330483, -42.77352934727345</t>
  </si>
  <si>
    <t>Demais laboratórios: 01 Química/Biologia,
 01 Física/matemática</t>
  </si>
  <si>
    <t>CENTRO ESTADUAL DE EDUCACAO PROFISSIONAL EM SAUDE E GESTAO</t>
  </si>
  <si>
    <t>AVENIDA SANTOS DUMONT - SN(00138)</t>
  </si>
  <si>
    <t>-14.217136219915604, -42.78376224595372</t>
  </si>
  <si>
    <t>RAFAELA</t>
  </si>
  <si>
    <t>(99) 9 9987-0425</t>
  </si>
  <si>
    <t xml:space="preserve">Estruturas adaptadas: 01 Biblioteca, 01 Sala de leitura, 2 orientação de estágio
Demais laboratórios: 01 Química/biologia, 01 Nutrição, 01 Física/matemática, 01 Análises Clínicas, 01 Enfermagem,  01  Gestão de Negócios </t>
  </si>
  <si>
    <t>IBIASSUCE</t>
  </si>
  <si>
    <t>COLÉGIO ESTADUAL ANTONIO FIGUEREDO - TEMPO INTEGRAL</t>
  </si>
  <si>
    <t>RUA VICENTE PIRES - SN(00038)</t>
  </si>
  <si>
    <t>-14.270902218954404, -42.254469975958486</t>
  </si>
  <si>
    <t>ITUACU</t>
  </si>
  <si>
    <t>RUA JACOB GUANAIS - 0260</t>
  </si>
  <si>
    <t>ÁGUIDA RODRIGUES DE ARAÚJO</t>
  </si>
  <si>
    <t>(75) 9 9944-5829</t>
  </si>
  <si>
    <t>(75) 3331-1655</t>
  </si>
  <si>
    <t>COLÉGIO ESTADUAL DE TEMPO INTEGRAL ALBÉRCIO DA COSTA BRITO</t>
  </si>
  <si>
    <t>BA - 142, CENTRO</t>
  </si>
  <si>
    <t>-13.822832256998545, -41.29591387575304</t>
  </si>
  <si>
    <t>ANEXO - COLÉGIO ESTADUAL DE TEMPO INTEGRAL ALBÉRCIO DA COSTA BRITO - POVOADO DE LARANJEIRAS</t>
  </si>
  <si>
    <t>COLÉGIO ESTADUAL DE SEABRA - TEMPO INTEGRAL</t>
  </si>
  <si>
    <t>POVOADO DA LARANJEIRAS - SN(00003)</t>
  </si>
  <si>
    <t>CELSINO FERNANDES TEIXEIRA</t>
  </si>
  <si>
    <t>(75) 9 9848-0730</t>
  </si>
  <si>
    <t xml:space="preserve"> CELIANE RIBEIRO MIRANDA SANTIAGO</t>
  </si>
  <si>
    <t>(71) 9 9353-6859</t>
  </si>
  <si>
    <t>MILENA LIVIA PEREIRA MARQUES</t>
  </si>
  <si>
    <t>(75) 9 9123-1632</t>
  </si>
  <si>
    <t>(75) 3331-1620</t>
  </si>
  <si>
    <t>ANEXO - COLÉGIO ESTADUAL DE TEMPO INTEGRAL ALBÉRCIO DA COSTA BRITO - DISTRITO DE TRANQUEIRAS</t>
  </si>
  <si>
    <t>DIST. DE TRANQUEIRAS - S/N</t>
  </si>
  <si>
    <t>DISTRITO DE TRANQUIERAS</t>
  </si>
  <si>
    <t>ANEXO - COLÉGIO ESTADUAL DE TEMPO INTEGRAL ALBÉRCIO DA COSTA BRITO - DISTRITO DE LAGOA DA LAGE</t>
  </si>
  <si>
    <t>DIST. DE LAGOA DA LAGE - S/N</t>
  </si>
  <si>
    <t>DISTRITO LAGOA DA JAGE</t>
  </si>
  <si>
    <t>IUIU</t>
  </si>
  <si>
    <t>COLÉGIO ESTADUAL DE TEMPO INTEGRAL JORGE AMADO</t>
  </si>
  <si>
    <t>BRINDES - S/N</t>
  </si>
  <si>
    <t>PLANALTINA</t>
  </si>
  <si>
    <t>-14.409589102934325, -43.54964060266534</t>
  </si>
  <si>
    <t>LAGOA REAL</t>
  </si>
  <si>
    <t>ULISSES GUIMARAES - SN(00019)</t>
  </si>
  <si>
    <t>BOA VISTA</t>
  </si>
  <si>
    <t>ADEMILTON FERREIRA DOS SANTOS</t>
  </si>
  <si>
    <t>COLÉGIO ESTADUAL LUIS PRISCO VIANA</t>
  </si>
  <si>
    <t>(75) 9 9987 - 3040</t>
  </si>
  <si>
    <t>AVENIDA PARQUE DO VAQUEIRO - SN(00001)</t>
  </si>
  <si>
    <t>MARTA APARECIDA DE S. OLIVEIRA</t>
  </si>
  <si>
    <t>(75) 9 9831-2908</t>
  </si>
  <si>
    <t>MARCELLA MARIA LEITE</t>
  </si>
  <si>
    <t>-14.035461115964102, -42.15229390043899</t>
  </si>
  <si>
    <t>(75) 9 9971-8571</t>
  </si>
  <si>
    <t>(75) 3331-3458</t>
  </si>
  <si>
    <t>ANEXO DO COLÉGIO ESTADUAL FILINTO JUSTINIANO BASTOS - POVOADO DE PALMEIRAS DOS MENDES</t>
  </si>
  <si>
    <r>
      <rPr>
        <rFont val="Calibri"/>
        <color theme="1"/>
        <sz val="11.0"/>
      </rPr>
      <t xml:space="preserve">Estruturas adaptadas: 01 sala de video, 01 sala multifuncional, 01 biblioteca; </t>
    </r>
    <r>
      <rPr>
        <rFont val="Calibri"/>
        <color rgb="FFFF0000"/>
        <sz val="11.0"/>
      </rPr>
      <t>Laboratórios adaptados como sala de aula: 01 ciências, 01 informática.</t>
    </r>
  </si>
  <si>
    <t>LIVRAMENTO DE NOSSA SENHORA</t>
  </si>
  <si>
    <t>COLÉGIO ESTADUAL DE TEMPO INTEGRAL JOAO VILAS BOAS</t>
  </si>
  <si>
    <t>PRAÇA CORONEL ZEZINHO TANAJURA - 053</t>
  </si>
  <si>
    <t>-13.643712276350419, -41.84282846185737</t>
  </si>
  <si>
    <t>ANEXO - COLÉGIO ESTADUAL DE SEABRA- DISTRITO DE LAGOA DA BOA VISTA</t>
  </si>
  <si>
    <t>ANEXO - COLÉGIO ESTADUAL DE TEMPO INTEGRAL JOAO VILAS BOAS -DISTRITO DE SAO TIMOTEO</t>
  </si>
  <si>
    <t>DISTRITO DE SAO TIMOTEO - SN(00007)</t>
  </si>
  <si>
    <t>DISTRITO DE SAO TIMOTEO</t>
  </si>
  <si>
    <t>ANGICAL - S/N</t>
  </si>
  <si>
    <t>DISTRITO DE ANGICAL - QUILOMBOLA</t>
  </si>
  <si>
    <t>ANEXO - COLÉGIO ESTADUAL DE TEMPO INTEGRAL JOAO VILAS BOAS -DISTRITO DE ITANAGE</t>
  </si>
  <si>
    <t>DISTRITO DE ITANAGE - S/N</t>
  </si>
  <si>
    <t xml:space="preserve">02(Sendo 01 adaptada)
</t>
  </si>
  <si>
    <t>DISTRITO DE ITANAGE</t>
  </si>
  <si>
    <t>ANEXO - COLÉGIO ESTADUAL DE TEMPO INTEGRAL JOAO VILAS BOAS -DISTRITO DE IGUATEMI</t>
  </si>
  <si>
    <t>DISTRITO DE IGUATEMI - S/N</t>
  </si>
  <si>
    <t>COLÉGIO ESTADUAL DE SOUTO SOARES - TEMPO INTEGRAL</t>
  </si>
  <si>
    <t>DISTRITO DE IGUATEMI</t>
  </si>
  <si>
    <t>ELVYS ALVES COSTA</t>
  </si>
  <si>
    <t>(75) 9 9242-7128</t>
  </si>
  <si>
    <t>CLARISA ANJOS SALES</t>
  </si>
  <si>
    <t>(75) 99219-0267</t>
  </si>
  <si>
    <t>IVANETE DA PAIXAO VIEIRA DE ALMEIDA</t>
  </si>
  <si>
    <t>(77) 9 8832-4166</t>
  </si>
  <si>
    <t>(75) 3339-2178</t>
  </si>
  <si>
    <t>ANEXO - COLÉGIO ESTADUAL DE TEMPO INTEGRAL JOAO VILAS BOAS - POVOADO DE ITAGUACU - COMUNIDADE QUILOMBOLA</t>
  </si>
  <si>
    <t>ITAGUACU - SN(00064)</t>
  </si>
  <si>
    <t>COMUNIDADE QUILOMBOLA</t>
  </si>
  <si>
    <t>MALHADA DE PEDRAS</t>
  </si>
  <si>
    <t>PRACA BOM JESUS S/N. POVOADO DE CISTERNA - S/N</t>
  </si>
  <si>
    <t>COLEGIO ESTADUAL DE TEMPO INTEGRAL DE MALHADA DE PEDRAS</t>
  </si>
  <si>
    <t>RUA JOAQUIM JUSTINIANO DE AGUIAR,S/N</t>
  </si>
  <si>
    <t>RECANTO DAS PALMEIRAS</t>
  </si>
  <si>
    <t>-14.384061804150743, -41.88848614444904</t>
  </si>
  <si>
    <t>CRICIA TAINA CERQUEIRA BONFIM</t>
  </si>
  <si>
    <t>(75) 9 8116-5568</t>
  </si>
  <si>
    <t>AUGUSTO FRANKLIN SILVA DE OLIVEIRA</t>
  </si>
  <si>
    <t>(75) 333-71993</t>
  </si>
  <si>
    <t xml:space="preserve">Demais laboratórios: 01 Horta, 01 Estufa  </t>
  </si>
  <si>
    <t>PALMAS DE MONTE ALTO</t>
  </si>
  <si>
    <t>COLEGIO ESTADUAL DE TEMPO INTEGRAL ANISIO TEIXEIRA</t>
  </si>
  <si>
    <t>RUA JOAO RIBEIRO DA SILVA - 201</t>
  </si>
  <si>
    <t>-14.259193036587911, -43.168932744575436</t>
  </si>
  <si>
    <t>AVENIDA JORGE ARMANDO - SN(00004)</t>
  </si>
  <si>
    <t xml:space="preserve"> POVOADO DE SAO ROQUE</t>
  </si>
  <si>
    <t>ANEXO - COLÉGIO ESTADUAL ANISIO TEIXEIRA - POVOADO DE ESPRAIADO</t>
  </si>
  <si>
    <t>ESPRAIADO - S/N</t>
  </si>
  <si>
    <t>PINDAI</t>
  </si>
  <si>
    <t>COLÉGIO ESTADUAL DE TEMPO INTEGRAL PETRONILIO DA SILVA PRADO</t>
  </si>
  <si>
    <t>RUA DOS GRUPOS, S/N</t>
  </si>
  <si>
    <t>VILA NOVA</t>
  </si>
  <si>
    <t>-14.482696529279211, -42.68529742707177</t>
  </si>
  <si>
    <t xml:space="preserve">SIM </t>
  </si>
  <si>
    <t xml:space="preserve">Demais laboratórios: 01 Química
01 Biologia, 01 Matemática, 01 Física
Sala multfuncional: 01 Sala de dança </t>
  </si>
  <si>
    <t>ANEXO - COLÉGIO ESTADUAL PETRONILIO DA SILVA PRADO - DISTRITO DE GUIRAPA</t>
  </si>
  <si>
    <t>DISTRITO DE GUARIPA - SN(00047)</t>
  </si>
  <si>
    <t>GILENO PEREIRA DE MENEZES</t>
  </si>
  <si>
    <t>(75) 9 8824-9559</t>
  </si>
  <si>
    <t>ANA CELIA SANTANA BISPO</t>
  </si>
  <si>
    <t>(75) 9 8851-4915</t>
  </si>
  <si>
    <t>JARBAS FERREIRA CARNEIRO</t>
  </si>
  <si>
    <t>(75) 9 8862-3435</t>
  </si>
  <si>
    <t>(75) 3336-2196</t>
  </si>
  <si>
    <t>RIO DO ANTONIO</t>
  </si>
  <si>
    <t>COLÉGIO ESTADUAL PROFESSORA LIA PUBLIO DE CASTRO - DISTRITO DE IBITIRA - TEMPO INTEGRAL</t>
  </si>
  <si>
    <t>RUA NORBERTO FERNANDES - - S/N</t>
  </si>
  <si>
    <t>DISTRITO DE IBITIRA</t>
  </si>
  <si>
    <t>-14.20082006084833, -42.11492617479624</t>
  </si>
  <si>
    <t>RUA JOSÉ SÁTIRO DE MOURA - SN(00002)</t>
  </si>
  <si>
    <t>ALUGADO (60.000,00)</t>
  </si>
  <si>
    <t>COLEGIO ESTADUAL DE TEMPO INTEGRAL DE RIO DO ANTONIO</t>
  </si>
  <si>
    <t>LAUDILINO ANUNCIAÇÃO DAS NEVES</t>
  </si>
  <si>
    <t>RODOVIA BA 614, KM 01, S/N</t>
  </si>
  <si>
    <t>(75) 9 8200-0011</t>
  </si>
  <si>
    <t>LAGOA DO BARRO</t>
  </si>
  <si>
    <t>MAURA PINHO DA SILVA MENDOÇA (secretária)</t>
  </si>
  <si>
    <t>-14.39883341241568, -42.072253092845386</t>
  </si>
  <si>
    <t>(75) 3258-7089</t>
  </si>
  <si>
    <t>4 (sendo 03 como salas de aula e 01 adaptada pata sala multifuncional)</t>
  </si>
  <si>
    <t>SEBASTIAO LARANJEIRAS</t>
  </si>
  <si>
    <t>COLÉGIO ESTADUAL DO CAMPO DE TEMPO INTEGRAL DOM PEDRO I</t>
  </si>
  <si>
    <t>PRAÇA DA MATRIZ - 128</t>
  </si>
  <si>
    <t>-14.567587475212449, -42.946309674511326</t>
  </si>
  <si>
    <t>CENTRO TERRITORIAL DE EDUCAÇÃO PROFISSIONAL DO SISAL II</t>
  </si>
  <si>
    <t>RUA AMERINO OLIVEIRA LIMA - 193</t>
  </si>
  <si>
    <t>LUÍS HENRIQUE CARVALHO LOPES</t>
  </si>
  <si>
    <t>(75) 9 9999-0234</t>
  </si>
  <si>
    <t>NATANAEL OLIVEIRA DOS SANTOS</t>
  </si>
  <si>
    <t>(75) 999198-4321</t>
  </si>
  <si>
    <t>ADRIANA MOTA DE CARVALHO</t>
  </si>
  <si>
    <t>TANHACU</t>
  </si>
  <si>
    <t>(75) 9 9231-8346</t>
  </si>
  <si>
    <t>(75) 3266-2320</t>
  </si>
  <si>
    <t>COLÉGIO ESTADUAL DE TEMPO INTEGRAL JOÃO TEIXEIRA DE NOVAES (ANTIGO - CE COSTA E SILVA - DISTRITO DE SUSSUARANA)</t>
  </si>
  <si>
    <t>RUA DO MERCADO - S/N</t>
  </si>
  <si>
    <t>DISTRITO DE SUSSUARANA</t>
  </si>
  <si>
    <t>-14.162742965896022, -41.20751830090141</t>
  </si>
  <si>
    <t>RUA GETÚLIO VARGAS, Nº 656</t>
  </si>
  <si>
    <t>COLÉGIO ESTADUAL DE TEMPO INTEGRAL EVA ROCHA (ANTIGO ACM)</t>
  </si>
  <si>
    <t>RUA JOANA ANGELICA - 579</t>
  </si>
  <si>
    <t>-14.026219359807008, -41.24598472183537</t>
  </si>
  <si>
    <t>TÉCIO LUIZ BOAVENTURA DE MENEZES</t>
  </si>
  <si>
    <t>(75) 9 9948 - 8050/ 9 9197 - 7457</t>
  </si>
  <si>
    <t>ELISANGELA DE ALMEIDA CARDOSO</t>
  </si>
  <si>
    <t>(71)  9 9121 - 4747</t>
  </si>
  <si>
    <t>MANOEL DA CRUZ LIMA</t>
  </si>
  <si>
    <t>(75) 9 9884-4896</t>
  </si>
  <si>
    <t>(75) 3261-7490/ 9439</t>
  </si>
  <si>
    <t>TANQUE NOVO</t>
  </si>
  <si>
    <t>ESCOLA FAMILIA AGRICOLA DE TANQUE NOVO</t>
  </si>
  <si>
    <t>AVENIDA PADRE ALDO LUCCHETTA - SN(00012)</t>
  </si>
  <si>
    <t>2KM</t>
  </si>
  <si>
    <r>
      <rPr>
        <rFont val="Calibri"/>
        <b/>
        <color theme="1"/>
        <sz val="11.0"/>
      </rPr>
      <t xml:space="preserve">20 salas, </t>
    </r>
    <r>
      <rPr>
        <rFont val="Calibri"/>
        <b/>
        <color rgb="FFFF0000"/>
        <sz val="11.0"/>
      </rPr>
      <t>sendo 19 utilizadas para aula</t>
    </r>
    <r>
      <rPr>
        <rFont val="Calibri"/>
        <b/>
        <color theme="1"/>
        <sz val="11.0"/>
      </rPr>
      <t xml:space="preserve"> e 01 adaptada para sala dos professores </t>
    </r>
  </si>
  <si>
    <t>COLÉGIO ESTADUAL DE TEMPO INTEGRAL DE TANQUE NOVO</t>
  </si>
  <si>
    <t>Rua Vereador Osvaldo Alves Carneiro, S/N</t>
  </si>
  <si>
    <t>OLINDA</t>
  </si>
  <si>
    <t>-13.558638530633939, -42.490985834734914</t>
  </si>
  <si>
    <t>Sala multifuncional: 01 Dança 
Demais laboratórios: 01 Biologia/química, 01 Física/matemática, 01 Línguas, 01 Horta pequena</t>
  </si>
  <si>
    <t>URANDI</t>
  </si>
  <si>
    <t>COLÉGIO ESTADUAL DE TEMPO INTEGRAL DE URANDI</t>
  </si>
  <si>
    <t>Rua Isabel Gonçalves, Quadra R, lote 01</t>
  </si>
  <si>
    <t>OLIVEIRA</t>
  </si>
  <si>
    <t>-14.76289733505854, -42.66367020334647</t>
  </si>
  <si>
    <t>BOA VISTA DO TUPIM</t>
  </si>
  <si>
    <t>COLÉGIO ESTADUAL DO CAMPO EDGAR SANTOS - POVOADO DE AMPARO</t>
  </si>
  <si>
    <t>POVOADO DE AMPARO - SN(00327)</t>
  </si>
  <si>
    <t xml:space="preserve">POVOADO DE AMPARO </t>
  </si>
  <si>
    <t>-12.45054467308083, -40.62640908998857</t>
  </si>
  <si>
    <t>COLÉGIO ESTADUAL DO CAMPO CASTELO BRANCO - POVOADO TERRA BOA</t>
  </si>
  <si>
    <t>RUA ANTONIO CARDOSO - SN(00061)</t>
  </si>
  <si>
    <t>POVOADO TERRA BOA</t>
  </si>
  <si>
    <t>42 KM</t>
  </si>
  <si>
    <t>-12.965959940872128, -40.71739827639972</t>
  </si>
  <si>
    <t>COLÉGIO ESTADUAL DO CAMPO ALOISIO DAMASCENO DE JESUS- ASSENTAMENTO BEIRA RIO</t>
  </si>
  <si>
    <t>FABIO HENRIQUE CERQUEIRA - SN(00006)</t>
  </si>
  <si>
    <t>ASSENTAMENTO BEIRA RIO</t>
  </si>
  <si>
    <t>56 KM</t>
  </si>
  <si>
    <t>-12.997552346769462, -40.57829911873549</t>
  </si>
  <si>
    <t>COLÉGIO ESTADUAL BOA VISTA DO TUPIM</t>
  </si>
  <si>
    <t>PRACA ALICIO DULTRA - S/N</t>
  </si>
  <si>
    <r>
      <rPr>
        <rFont val="Calibri"/>
        <b/>
        <color theme="1"/>
        <sz val="11.0"/>
      </rPr>
      <t xml:space="preserve">17 Salas, </t>
    </r>
    <r>
      <rPr>
        <rFont val="Calibri"/>
        <b/>
        <color rgb="FFFF0000"/>
        <sz val="11.0"/>
      </rPr>
      <t>sendo 15 para aula e</t>
    </r>
    <r>
      <rPr>
        <rFont val="Calibri"/>
        <b/>
        <color theme="1"/>
        <sz val="11.0"/>
      </rPr>
      <t xml:space="preserve"> 02 adaptada 01 para sala de AEE e 01 para mutifuncional.</t>
    </r>
  </si>
  <si>
    <t>-12.661609007524788, -40.603195317023406</t>
  </si>
  <si>
    <t>GEAN GEOVALTER SILVA MOTA</t>
  </si>
  <si>
    <t>(75) 9 8813-8323</t>
  </si>
  <si>
    <t>KARLA MARIA DE QUEIROZ DOS SANTOS</t>
  </si>
  <si>
    <t>(75) 9 9226 - 4027</t>
  </si>
  <si>
    <t>(75) 3608-2071</t>
  </si>
  <si>
    <t xml:space="preserve">06 + 01 (Adapt) </t>
  </si>
  <si>
    <t>ANEXO - COLÉGIO ESTADUAL DO CAMPO ALOISIO DAMASCENO DE JESUS - ASSENTAMENTO BARRA VERDE</t>
  </si>
  <si>
    <t>BARRA VERDE - SN(00030)</t>
  </si>
  <si>
    <t>ASSENTAMENTO BARRA VERDE</t>
  </si>
  <si>
    <t>COLÉGIO ESTADUAL DE BIRITINGA</t>
  </si>
  <si>
    <t>MARIO TIERRES DE ARAUJO JUNIOR</t>
  </si>
  <si>
    <t>(74) 9 8135-8127</t>
  </si>
  <si>
    <t>JOSE ROBERTO DOS SANTOS BRITO</t>
  </si>
  <si>
    <t>(75) 9 9264-6535</t>
  </si>
  <si>
    <t>IACU</t>
  </si>
  <si>
    <t>(75) 3267-2053</t>
  </si>
  <si>
    <t>7 + 1 (Adapt)</t>
  </si>
  <si>
    <t>COLÉGIO ESTADUAL DE TEMPO INTEGRAL LAURO FARANI PEDREIRA DE FREITAS</t>
  </si>
  <si>
    <t>RUA DO NATAL, BOIADEIRO - S/N</t>
  </si>
  <si>
    <t>-12.778191111825965, -40.2230388446887</t>
  </si>
  <si>
    <t>ANEXO - COLÉGIO ESTADUAL LAURO FARANI PEDREIRA DE FREITAS - POVOADO JOAO AMARO</t>
  </si>
  <si>
    <t>RUI BARBOSA - SN(00492)</t>
  </si>
  <si>
    <t xml:space="preserve"> POVOADO JOAO AMARO</t>
  </si>
  <si>
    <t>18 KM</t>
  </si>
  <si>
    <t>MARIA DA CONCEICAO PEREIRA DOS SANTOS</t>
  </si>
  <si>
    <t>(75) 9 8207-6445</t>
  </si>
  <si>
    <t>ADENILSA NERI DE MATOS (secretária)</t>
  </si>
  <si>
    <t>(75) 3235-2272</t>
  </si>
  <si>
    <t>IBIQUERA</t>
  </si>
  <si>
    <t>COLÉGIO ESTADUAL DE IBIQUERA</t>
  </si>
  <si>
    <t>PRACA NOVA - S/N</t>
  </si>
  <si>
    <t>-12.64800984242729, -40.93044836710626</t>
  </si>
  <si>
    <t>COLÉGIO ESTADUAL SENHOR DO BONFIM</t>
  </si>
  <si>
    <t>RACHEL BISPO DE SOUSA</t>
  </si>
  <si>
    <t>(74) 9 9971-9218</t>
  </si>
  <si>
    <t>MARCELO FELIX DA SILVA</t>
  </si>
  <si>
    <t>(75) 9 9201 0874/ 9 9181-4439</t>
  </si>
  <si>
    <t>CELIA APARECIDA FERREIRA BELAU</t>
  </si>
  <si>
    <t>(75) 9 9116-1307</t>
  </si>
  <si>
    <r>
      <rPr>
        <rFont val="Calibri"/>
        <color theme="1"/>
        <sz val="10.0"/>
      </rPr>
      <t xml:space="preserve">COLÉGIO ESTADUAL DE TEMPO INTEGRAL DARCI MARQUES DOS SANTOS
</t>
    </r>
    <r>
      <rPr>
        <rFont val="Calibri"/>
        <b/>
        <color theme="1"/>
        <sz val="10.0"/>
      </rPr>
      <t>(ANTIGO: COLÉGIO MODELO LUIS EDUARDO MAGALHÃES)</t>
    </r>
  </si>
  <si>
    <t>(75) 3274-1025</t>
  </si>
  <si>
    <t>JOEL PRESIDIO - S/N</t>
  </si>
  <si>
    <t>10 ( Sendo 08 utilizadas como salas de aula, 01 adaptada para laboratório de informática e 01 para biblioteca.</t>
  </si>
  <si>
    <t>SÃO JOÃO</t>
  </si>
  <si>
    <t>-12.534500389719513, -40.30407930970818</t>
  </si>
  <si>
    <t>NEUSA ALCÂNTARA DA SILVA SOUZA</t>
  </si>
  <si>
    <t>(75) 9 9147-3954</t>
  </si>
  <si>
    <t>JOELMA ALCANTRA DA SILVA</t>
  </si>
  <si>
    <t>(75) 9 9101 - 0030</t>
  </si>
  <si>
    <t>(75) 3274-1000</t>
  </si>
  <si>
    <r>
      <rPr>
        <rFont val="Calibri"/>
        <b/>
        <color theme="1"/>
        <sz val="11.0"/>
      </rPr>
      <t>5 (</t>
    </r>
    <r>
      <rPr>
        <rFont val="Calibri"/>
        <b/>
        <color rgb="FFFF0000"/>
        <sz val="11.0"/>
      </rPr>
      <t>Sendo 03 como salas de aula</t>
    </r>
    <r>
      <rPr>
        <rFont val="Calibri"/>
        <b/>
        <color theme="1"/>
        <sz val="11.0"/>
      </rPr>
      <t>, 01 adaptada para sala de vídeo)</t>
    </r>
  </si>
  <si>
    <t xml:space="preserve">Estruturas adaptadas: 01 AEE </t>
  </si>
  <si>
    <t>COLÉGIO ESTADUAL CENTENARIO - EM TEMPO INTEGRAL</t>
  </si>
  <si>
    <t>RUA FRANCISCO GIL - S/N</t>
  </si>
  <si>
    <t>CIDADE DE DEUS</t>
  </si>
  <si>
    <t>-12.518887616486454, -40.309183620486905</t>
  </si>
  <si>
    <t>COLEGIO ESTADUAL CAMINHO DO SABER - POVOADO DE BELA VISTA</t>
  </si>
  <si>
    <t>RENATA SILVA DE FREITAS SANTOS</t>
  </si>
  <si>
    <t>(74) 9 9137-7962</t>
  </si>
  <si>
    <t>JOSE NILTON DE ANDRADE (secretária)</t>
  </si>
  <si>
    <t>(75) 3274-7042</t>
  </si>
  <si>
    <t>Estruturas adaptadas: 01 Sala de leitura, 01 Refeitório, 01 Informática
Demais laboratórios: 01 Horta</t>
  </si>
  <si>
    <t>CENTRO TERRITORIAL DE EDUCACAO PROFISSIONAL PIEMONTE DO PARAGUACU I</t>
  </si>
  <si>
    <t>RUA GOES CALMON - S/N</t>
  </si>
  <si>
    <t>-12.528073957727072, -40.30846860642416</t>
  </si>
  <si>
    <t>RITA TARCISA COSTA DA SILVA</t>
  </si>
  <si>
    <t>(71) 9 9272-0542</t>
  </si>
  <si>
    <t>TANIA REGINA LIMA GOMES</t>
  </si>
  <si>
    <t>(75) 9 9107 - 4160</t>
  </si>
  <si>
    <t>TAMIRES DE OLIVEIRA ARAUJO</t>
  </si>
  <si>
    <t>(75) 9 9263-8954</t>
  </si>
  <si>
    <t>(75) 3262-2322</t>
  </si>
  <si>
    <t xml:space="preserve">14 + 1 ( O laboratório de informatica foi adaptado para sala de aula) </t>
  </si>
  <si>
    <t xml:space="preserve">Estruturas adaptadas: 01 Sala de AEE, 01 Manutenção e Suporte de Informática, 01 Nutrição, 01 Enfermagem, 01 Informática, 01 Robótica e 01 Segurança do trabalho </t>
  </si>
  <si>
    <t>RUA RAUL ROCHA N 21 Bairro: CENTRO CEP: 46880-000</t>
  </si>
  <si>
    <t>CATIANI ARAÚJO MOTA RAMOS</t>
  </si>
  <si>
    <t>(75) 9 8123-0080</t>
  </si>
  <si>
    <t>JAMILLE PEREIRA RODRIGUES</t>
  </si>
  <si>
    <t>(75) 9 8109 - 5942</t>
  </si>
  <si>
    <t>(75) 3218-5182</t>
  </si>
  <si>
    <t xml:space="preserve">   -</t>
  </si>
  <si>
    <t>ITATIM</t>
  </si>
  <si>
    <t>COLÉGIO ESTADUAL DE TEMPO INTEGRAL GEOVANIA NOGUEIRA NUNES</t>
  </si>
  <si>
    <t>2ª TRAVESSA JOSE VIEIRA GOMES - 996</t>
  </si>
  <si>
    <t>-12.721633124406548, -39.69295661869665</t>
  </si>
  <si>
    <r>
      <rPr>
        <rFont val="Calibri"/>
        <b/>
        <color theme="1"/>
        <sz val="11.0"/>
      </rPr>
      <t>44 (</t>
    </r>
    <r>
      <rPr>
        <rFont val="Calibri"/>
        <b/>
        <color rgb="FFFF0000"/>
        <sz val="11.0"/>
      </rPr>
      <t>Sendo 42 com salas de aula e</t>
    </r>
    <r>
      <rPr>
        <rFont val="Calibri"/>
        <b/>
        <color theme="1"/>
        <sz val="11.0"/>
      </rPr>
      <t xml:space="preserve"> 02 adaptadas: 01 sala de professores e 01 sala de coordenação pedagógica)</t>
    </r>
  </si>
  <si>
    <t>COLÉGIO ESTADUAL HAMILTON RIOS DE ARAUJO - POVOADO DE SÃO JOÃO</t>
  </si>
  <si>
    <t>ANTÔNIO SÉRGIO DA SILVA PASTOR</t>
  </si>
  <si>
    <t>(75) 9 9218 - 9975</t>
  </si>
  <si>
    <t>MARIA EDNA SOUZA DOS SANTOS</t>
  </si>
  <si>
    <t>(75) 9 9123-0755</t>
  </si>
  <si>
    <t>(75) 3262-7030</t>
  </si>
  <si>
    <t>03 + 04 (Adapt)</t>
  </si>
  <si>
    <t>Demais laboratórios: 01 química/biologia, 01 física/matemáticca, 01 linguagens.
Salas multifuncionais: 01 sala de dança, 01 sala de música.</t>
  </si>
  <si>
    <t>LAJEDINHO</t>
  </si>
  <si>
    <t>COLÉGIO ESTADUAL PROFESSORA DELZAIR NASCIMENTO GALVAO - TEMPO INTEGRAL</t>
  </si>
  <si>
    <t>A,CJ. HABIT. DEMERVAL ROCHA DA SILVA - S/N</t>
  </si>
  <si>
    <t>-12.35185412645585, -40.904889275865855</t>
  </si>
  <si>
    <t>MACAJUBA</t>
  </si>
  <si>
    <t>COLEGIO ESTADUAL DO CAMPO RIO BRANCO</t>
  </si>
  <si>
    <t>COLÉGIO ESTADUAL DE TEMPO INTEGRAL CARLITO DE CARVALHO</t>
  </si>
  <si>
    <t>AVELINA SAMPAIO ROCHA - 03</t>
  </si>
  <si>
    <t>ALENAIDE LIMA DE ALMEIDA</t>
  </si>
  <si>
    <t>(75) 9 9959 - 7994</t>
  </si>
  <si>
    <t>-14.97127012127887, -41.40235793313544</t>
  </si>
  <si>
    <t>ELIANE ARAUJO CUNHA</t>
  </si>
  <si>
    <t>(75) 9 8175-5688</t>
  </si>
  <si>
    <t>(75)3218-1138</t>
  </si>
  <si>
    <t>ESCOLA TECNICA FAMILIA AGRICOLA DIVINA PASTORA</t>
  </si>
  <si>
    <t>FAZENDA JEQUITIBA - SN(00003)</t>
  </si>
  <si>
    <t>FAZENDA JEQUITIBA</t>
  </si>
  <si>
    <t>-11.858778270316135, -40.46890981656044</t>
  </si>
  <si>
    <t>CENTRO TERRITORIAL DE EDUCACAO PROFISSIONAL PIEMONTE DO PARAGUACU II</t>
  </si>
  <si>
    <t>AV NILTON MATOS PAMPONET - SN(00109)</t>
  </si>
  <si>
    <t>JACKELINE DE SOUZA QUEIROZ</t>
  </si>
  <si>
    <t>(75) 9 9865 - 7155</t>
  </si>
  <si>
    <t>LUCICLAUDIA SILVA LOPES</t>
  </si>
  <si>
    <t>(75) 9 9975-3222</t>
  </si>
  <si>
    <r>
      <rPr>
        <rFont val="Calibri"/>
        <b/>
        <color theme="1"/>
        <sz val="11.0"/>
      </rPr>
      <t>6 (</t>
    </r>
    <r>
      <rPr>
        <rFont val="Calibri"/>
        <b/>
        <color rgb="FFFF0000"/>
        <sz val="11.0"/>
      </rPr>
      <t>Sendo 03 como salas de aula e</t>
    </r>
    <r>
      <rPr>
        <rFont val="Calibri"/>
        <b/>
        <color theme="1"/>
        <sz val="11.0"/>
      </rPr>
      <t xml:space="preserve"> 01 biblioteca e 02 laboratórios.</t>
    </r>
  </si>
  <si>
    <t>(75) 3218- 6083</t>
  </si>
  <si>
    <t xml:space="preserve">ANEXO - CETEP PIEMONTE DO PARAGUACU II - POVOADO DE IBIAPORA </t>
  </si>
  <si>
    <t>POVOADO DE IBIAPORA - S/N</t>
  </si>
  <si>
    <t xml:space="preserve">ANEXO - CETEP PIEMONTE DO PARAGUACU II - POV. DE UMBUZEIRO </t>
  </si>
  <si>
    <t>UMBUZEIRO - SN(00004)</t>
  </si>
  <si>
    <t>ARYANE MOTA PEREIRA GOMES</t>
  </si>
  <si>
    <t>(75) 9 9263-9939</t>
  </si>
  <si>
    <t>KEILA LOPES DA SILVA SANTOS</t>
  </si>
  <si>
    <t>(75) 9 8151-2440</t>
  </si>
  <si>
    <t>(75) 3262-2318</t>
  </si>
  <si>
    <t>PIRITIBA</t>
  </si>
  <si>
    <t>ANEXO - COLÉGIO ESTADUAL DE TEMPO INTEGRAL DE SERRINHA - PRESÍDIO - DISTRITO CARNAUBAS</t>
  </si>
  <si>
    <t>COLÉGIO ESTADUAL DE TEMPO INTEGRAL PROFESSORA AYDIL LIMA DOS SANTOS</t>
  </si>
  <si>
    <t>AVENIDA ROBERTO SANTOS - S/N</t>
  </si>
  <si>
    <t>-11.733248388040765, -40.56060983893521</t>
  </si>
  <si>
    <t>RAFAEL JAMBEIRO</t>
  </si>
  <si>
    <t>COLÉGIO ESTADUAL DE TEMPO INTEGRAL PROFESSORA OLGARINA PITANGUEIRA PINHEIRO</t>
  </si>
  <si>
    <t>COLÉGIO ESTADUAL DO CAMPO SANTO ANTONIO DO ARGOIM - DISTRITO DE ARGOIM</t>
  </si>
  <si>
    <t>RUA SAO JOSE - 301</t>
  </si>
  <si>
    <t>ALOIZIA BARROS DE OLIVEIRA</t>
  </si>
  <si>
    <t>-12.553760926743678, -39.53612852142928</t>
  </si>
  <si>
    <t>(75) 9 9920 - 2149</t>
  </si>
  <si>
    <t>EVANIA LUZIA MASCARENHAS CUNHA CARNEIRO</t>
  </si>
  <si>
    <t>(75) 9 9216-8442</t>
  </si>
  <si>
    <t>(75) 3262-1868</t>
  </si>
  <si>
    <t>COLÉGIO ESTADUAL ANA LUCIA MAGALHAES</t>
  </si>
  <si>
    <t>LUÍS EDUARDO MAGALHÃES - 00</t>
  </si>
  <si>
    <t>-12.40940276469152, -39.50147927644939</t>
  </si>
  <si>
    <t>COLÉGIO ESTADUAL DE BANDIAÇU - POVOADO DE BANDIAÇU</t>
  </si>
  <si>
    <t>RUY BARBOSA</t>
  </si>
  <si>
    <t>VALDEMARA SOUZA DE OLIVEIRA COSTA</t>
  </si>
  <si>
    <t>(75) 9 9872 - 4747/ 9 9194 - 0676</t>
  </si>
  <si>
    <t xml:space="preserve">MARIA NIVANEIDE DE SOUZA ANDRADE </t>
  </si>
  <si>
    <t>(75) 9 9250 - 4103</t>
  </si>
  <si>
    <t>(75) 3218-4048</t>
  </si>
  <si>
    <t>ESCOLA FAMILIA AGRICOLA MAE JOVINA</t>
  </si>
  <si>
    <t>R JOAO FORTUNATO CALDAS - 400</t>
  </si>
  <si>
    <t>-12.290982144577114, -40.501044318547244</t>
  </si>
  <si>
    <t>Demais laboratórios: 01 ciência/ agropecuária; Laboratórios agropecuátios: 01 horta, 01 sistema PAIS, 01 hidroponia, 01 minhocário, 01 viveiro, 01 pocilga, 01 biodigestor, 01 meliponário, 01 casa do motor, 01 bovinocultura, 01 compostagem, 01 paisagistmo, 01 agrofloresta, 01 sistema de reuso de aguas totais, 01 setor de forragicultura.</t>
  </si>
  <si>
    <t xml:space="preserve">COLEGIO ESTADUAL DE TEMPO INTEGRAL PROFESSOR MAGALHAES NETO
</t>
  </si>
  <si>
    <t>RUA SAO PAULO - S/N</t>
  </si>
  <si>
    <t>NOVA BRASILIA</t>
  </si>
  <si>
    <t>EDILMA CARNEIRO DE ALMEIDA ARAUJO</t>
  </si>
  <si>
    <t>-12.282132507680235, -40.49326298490746</t>
  </si>
  <si>
    <t>(75) 9 8218-2904</t>
  </si>
  <si>
    <t>ILKA MYRELE CORDEIRO OLIVEIRA CARNEIRO PERAZZO</t>
  </si>
  <si>
    <t>(75) 9 8172-5524</t>
  </si>
  <si>
    <t>(75) 3684-2251</t>
  </si>
  <si>
    <t>Estruturas adaptadas: 01 auditório
Demais laboratórios: 01 química, 01 biologia, 01 matemática, 01 física.
Salas multifuncionais: 01 sala de reunião, 01 sala multimídia, 01 multiuso, 04 salas educa mais.</t>
  </si>
  <si>
    <t>ANEXO - COLEGIO ESTADUAL DE TEMPO INTEGRAL PROFESSOR MAGALHAES NETO
 - DISTRITO TAPIRAIPE</t>
  </si>
  <si>
    <t>AV. OSVALDO AZEVEDO MACHADO - S/N</t>
  </si>
  <si>
    <t>DISTRITO TAPIRAIPE</t>
  </si>
  <si>
    <t>EDNO DE JESUS ANDRADE</t>
  </si>
  <si>
    <t>(75) 9 9150-3521</t>
  </si>
  <si>
    <t>DANILO RODRIGUES</t>
  </si>
  <si>
    <t>(74) 9 9119-7264</t>
  </si>
  <si>
    <t>ANEXO - COLEGIO ESTADUAL DE TEMPO INTEGRAL PROFESSOR MAGALHAES NETO
 - DISTRITO SANTA CLARA</t>
  </si>
  <si>
    <t>PRAÇA DA IGREJA - S/N</t>
  </si>
  <si>
    <t xml:space="preserve"> DISTRITO SANTA CLARA</t>
  </si>
  <si>
    <t>COLÉGIO ESTADUAL JOÃO FRANCISCO DA SILVA - DISTRITO DE CAMANDAROBA</t>
  </si>
  <si>
    <t>IZABEL FERREIRA DO NASCIMENTO SILVA</t>
  </si>
  <si>
    <t>(75) 9 9951 - 3135/(74) 9 9135-0862</t>
  </si>
  <si>
    <t>(74) 3549-3105</t>
  </si>
  <si>
    <t>Estruturas adaptadas: 01 refeitório.
Demais laboratórios: 01 fisica/matemática.</t>
  </si>
  <si>
    <t>SANTA TEREZINHA</t>
  </si>
  <si>
    <t>RUA CASTRO ALVES - S/N</t>
  </si>
  <si>
    <t>ISAAC BATISTA VILAS BOAS</t>
  </si>
  <si>
    <t>(74) 9 9195-7667</t>
  </si>
  <si>
    <t>GILSE CAMPOS CARVALHO SPITZBARTH</t>
  </si>
  <si>
    <t>-12.767406976916064, -39.51858736967572</t>
  </si>
  <si>
    <t>(71) 9 9114-4339</t>
  </si>
  <si>
    <t>MARIA AMALIA BARBOSA PINTO CARVALHO</t>
  </si>
  <si>
    <t>(71) 9 9962-2490</t>
  </si>
  <si>
    <t>(74) 3546-1226</t>
  </si>
  <si>
    <t>09 + 02 (Adapt)</t>
  </si>
  <si>
    <t>Estruturas adaptadas: 01 refeitório e 01 biblioteca.
Demais laboratórios: 01 horta</t>
  </si>
  <si>
    <t>TAPIRAMUTA</t>
  </si>
  <si>
    <t>COLÉGIO ESTADUAL DE TEMPO INTEGRAL JOÃO QUEIROZ</t>
  </si>
  <si>
    <t>RUA ALTO DA BOA VISTA ,Nº 358</t>
  </si>
  <si>
    <t>RUA NOVA</t>
  </si>
  <si>
    <t>-11.840475078502156, -40.800076423872376</t>
  </si>
  <si>
    <t>BAIXA GRANDE</t>
  </si>
  <si>
    <t>COLÉGIO ESTADUAL DE TEMPO INTEGRAL JOSÉ RIBEIRO PAMPONET</t>
  </si>
  <si>
    <t>RUA A S/N</t>
  </si>
  <si>
    <t>SÃO MATHEUS</t>
  </si>
  <si>
    <t>-11.95799041272456, -40.185294692347355</t>
  </si>
  <si>
    <t>Demais laboratórios: 01 biologia/matemática, 01 fisica/química.</t>
  </si>
  <si>
    <t>CAPELA DO ALTO ALEGRE</t>
  </si>
  <si>
    <t>COLÉGIO ESTADUAL DE TEMPO INTEGRAL PROFESSORA ZENILDA FERNANDES DOS SANTOS FARIAS</t>
  </si>
  <si>
    <t>LINDOLFO JOAO CARNEIRO - 891</t>
  </si>
  <si>
    <t>-11.665980534680013, -39.83385163346685</t>
  </si>
  <si>
    <t>COLÉGIO ESTADUAL DO CAMPO DE PEDRAS ALTAS</t>
  </si>
  <si>
    <t>-11.377460966168252, -40.00727120121973</t>
  </si>
  <si>
    <r>
      <rPr>
        <rFont val="Calibri"/>
        <b/>
        <color theme="1"/>
        <sz val="11.0"/>
      </rPr>
      <t>8 (</t>
    </r>
    <r>
      <rPr>
        <rFont val="Calibri"/>
        <b/>
        <color rgb="FFFF0000"/>
        <sz val="11.0"/>
      </rPr>
      <t xml:space="preserve">sendo 07 como salas de aula </t>
    </r>
    <r>
      <rPr>
        <rFont val="Calibri"/>
        <b/>
        <color theme="1"/>
        <sz val="11.0"/>
      </rPr>
      <t>e 01 adaptada p/ sala multiuso)</t>
    </r>
  </si>
  <si>
    <t>CENTRO TERRITORIAL DE EDUCAÇÃO PROFISSIONAL DA BACIA DO JACUÍPE III-EDNA DALTRO - EM TEMPO INTEGRAL</t>
  </si>
  <si>
    <t>AVENAV. ANTONIO CARLOS MAGALHÃES - S/N;PD, CENTRO, CEP: 44695000 AVENIDA RUI BARBOSA - 225, CENTRO, CEP: 4469500IDA RUI BARBOSA - 225</t>
  </si>
  <si>
    <t>-11.375269707050421, -40.016647851774344</t>
  </si>
  <si>
    <t>ROSANGELA DOS SANTOS LIMA SOUZA</t>
  </si>
  <si>
    <t>(71) 9 8136-9318</t>
  </si>
  <si>
    <t>CAMILA FIGUEIREDO DE CARVALHO MELO</t>
  </si>
  <si>
    <t xml:space="preserve"> (71) 9 8827 - 2251</t>
  </si>
  <si>
    <t>(75) 3688- 2198</t>
  </si>
  <si>
    <t xml:space="preserve">Estruturas adaptadas: 01 Informática (adapt.)
01 Saúde bucal (adapt.), 01 Sala de dança/vivências corporais, 01 Sala de música, 01 Sala AEE </t>
  </si>
  <si>
    <r>
      <rPr>
        <rFont val="Calibri"/>
        <b/>
        <color theme="1"/>
        <sz val="11.0"/>
      </rPr>
      <t>34 (</t>
    </r>
    <r>
      <rPr>
        <rFont val="Calibri"/>
        <b/>
        <color rgb="FFFF0000"/>
        <sz val="11.0"/>
      </rPr>
      <t>sendo 26 como salas de aula</t>
    </r>
    <r>
      <rPr>
        <rFont val="Calibri"/>
        <b/>
        <color theme="1"/>
        <sz val="11.0"/>
      </rPr>
      <t xml:space="preserve"> e 08 adaptadas: 1 sala de música, 1 sala de artes, 1 sala de lutas, 1 sala de jogos, 2 laboratórios de outras palavras, 1 laboratório de manuntenção da computação e 1 laboratório de matemática e pensamento computacional.</t>
    </r>
  </si>
  <si>
    <t>GAVIAO</t>
  </si>
  <si>
    <t>COLÉGIO ESTADUAL DE TEMPO INTEGRAL ANÍSIO TEIXEIRA
(ANTIGO - CE NOSSA SENHORA DA CONCEIÇÃO)</t>
  </si>
  <si>
    <t>PÇA CEL AGOSTINHO A. MOURA - 0200</t>
  </si>
  <si>
    <t>COLEGIO ESTADUAL DO CAMPO SACO DO CORREIO  - TEMPO INTEGRAL</t>
  </si>
  <si>
    <t>-11.472476379562618, -39.78567790213648</t>
  </si>
  <si>
    <t>GENI FERREIRA ALVES</t>
  </si>
  <si>
    <t>(75) 9 9109-1677</t>
  </si>
  <si>
    <t>MARIA DA NATIVIDADE OLIVEIRA LEAL (secretária)</t>
  </si>
  <si>
    <t>NÃO TEM</t>
  </si>
  <si>
    <t>COLÉGIO ESTADUAL DE TEMPO INTEGRAL PROFESSOR ARISMÁRIO SENA FERREIRA</t>
  </si>
  <si>
    <t>RUA CECILIO XAVIER MACHADO - 31</t>
  </si>
  <si>
    <t>MONTE BELO</t>
  </si>
  <si>
    <t>-12.158386898883846, -39.74410190210104</t>
  </si>
  <si>
    <t>NELSON DE JESUS LOPES</t>
  </si>
  <si>
    <t xml:space="preserve"> (75) 9 9101-8192</t>
  </si>
  <si>
    <t>Estrutura adaptada: 01 atelier de artes
Demais laboratórios: 01 Física/química,01 matemática/biologia e 01 Linguagens. 
Salas multifuncionais: 01 sala de dança, 01 sala de jogos.</t>
  </si>
  <si>
    <t>CENTRO TERRITORIAL DE EDUCAÇÃO PROFISSIONAL DA BACIA DO JACUÍPE PROFESSOR LUIZ CARLOS ARAÚJO</t>
  </si>
  <si>
    <t>RUA DR ELZIRO MACEDO - SN(00185)</t>
  </si>
  <si>
    <t>-12.160525625118591, -39.74151520320946</t>
  </si>
  <si>
    <t>COLÉGIO ESTADUAL SANTA CRUZ</t>
  </si>
  <si>
    <t>JOSE RICARDO PINHEIRO DA SILVA</t>
  </si>
  <si>
    <t>(75) 9 9117-9636</t>
  </si>
  <si>
    <t>SIMONE CONCEIÇÃO SOARES DIAS</t>
  </si>
  <si>
    <t>(75) 9 9963-3389</t>
  </si>
  <si>
    <t xml:space="preserve">IVONE OLIVEIRA DA COSTA SOUZA </t>
  </si>
  <si>
    <t>(75) 9 9139-1887</t>
  </si>
  <si>
    <t>(75) 3275-1044</t>
  </si>
  <si>
    <t xml:space="preserve">Demais laboratórios: 01 Manutenção e Suporte informática,01 Robótica,01 Agroecologia,01  Gestão e Negócios, 01 Enfermagem,01 Análise Clínica e 01 Fábrica Escola de Couro
</t>
  </si>
  <si>
    <t>CEMIT BACIA DO JACUIPE</t>
  </si>
  <si>
    <t>AVENIDA SERGIO DANTAS S/N</t>
  </si>
  <si>
    <t>VARZEA</t>
  </si>
  <si>
    <t>DANIELLE SANTANA DA SILVA</t>
  </si>
  <si>
    <t>(75) 9 9184-2685</t>
  </si>
  <si>
    <t>CATIANA GUIMARAES RIBEIRO</t>
  </si>
  <si>
    <t>(75) 9 9962-7923</t>
  </si>
  <si>
    <t>ANEXO - CEMIT BACIA DO JACUIPE - POVOADO SÃO ROQUE</t>
  </si>
  <si>
    <t>SAO ROQUE - SN(00008)</t>
  </si>
  <si>
    <t>(75) 3474-6090</t>
  </si>
  <si>
    <t>06 + 02 ADAPT</t>
  </si>
  <si>
    <t>ANEXO - CEMIT BACIA DO JACUIPE - POVOADO MALHADOR</t>
  </si>
  <si>
    <t>MALHADOR - SN(00079)</t>
  </si>
  <si>
    <t>COLÉGIO ESTADUAL MANOEL GUIMARÃES SANTANA</t>
  </si>
  <si>
    <t>PAULO VINICIUS MORAES FERREIRA</t>
  </si>
  <si>
    <t>(71) 9 8115-9859</t>
  </si>
  <si>
    <t>(75) 3650-2277</t>
  </si>
  <si>
    <t>5 +3 (3 Laboratórios de Ciências adaptados como sala de aula)</t>
  </si>
  <si>
    <t>ANEXO - CEMIT BACIA DO JACUIPE - POVOADO DE BONFIM</t>
  </si>
  <si>
    <t>RUA GENARIO DA S MEND DIST. DE BONFIM, Nº SN</t>
  </si>
  <si>
    <t>COLÉGIO ESTADUAL DE TEMPO INTEGRAL SANTO ANTÔNIO DAS QUEIMADAS</t>
  </si>
  <si>
    <t>CARLOS IVAN ALMEIDA LIMA</t>
  </si>
  <si>
    <t>(75) 9 9927 - 0797/9 9907-2797</t>
  </si>
  <si>
    <t>TIAGO DA SILVA OLIVEIRA</t>
  </si>
  <si>
    <t>(75) 9 8121 - 2041</t>
  </si>
  <si>
    <t>(75) 3644-1945</t>
  </si>
  <si>
    <t>ANEXO - CEMIT BACIA DO JACUIPE - POVOADO CORAÇÃO DE MARIA</t>
  </si>
  <si>
    <t>CORAÇÃO DE MARIA - SN(00013)</t>
  </si>
  <si>
    <r>
      <rPr>
        <rFont val="Calibri"/>
        <b/>
        <color theme="1"/>
        <sz val="11.0"/>
      </rPr>
      <t xml:space="preserve">10 salas, </t>
    </r>
    <r>
      <rPr>
        <rFont val="Calibri"/>
        <b/>
        <color rgb="FFFF0000"/>
        <sz val="11.0"/>
      </rPr>
      <t>sendo 09 para aula</t>
    </r>
    <r>
      <rPr>
        <rFont val="Calibri"/>
        <b/>
        <color theme="1"/>
        <sz val="11.0"/>
      </rPr>
      <t xml:space="preserve"> e 01 como biblioteca</t>
    </r>
  </si>
  <si>
    <t>AVENIDA CEL BENEVIDES ANDRADE - 69</t>
  </si>
  <si>
    <t>MARIA ALAÍDE DE MORGADO</t>
  </si>
  <si>
    <t>(74) 9 9189 - 0928/ 9 9963-2500</t>
  </si>
  <si>
    <t>ANA CRISTINA ANDRADE (secretária)</t>
  </si>
  <si>
    <t>(75) 3644-1324</t>
  </si>
  <si>
    <t>4 + 2 (Adapt)</t>
  </si>
  <si>
    <t>ANEXO - CEMIT BACIA DO JACUIPE - POVOADO CAIXA D'AGUA</t>
  </si>
  <si>
    <t>POVOADO DE CAIXA D'AGUA</t>
  </si>
  <si>
    <t>ANEXO - COLÉGIO ESTADUAL SANTO ANTONIO QUEIMADAS - ESPANTA GADO</t>
  </si>
  <si>
    <t>MAIRI</t>
  </si>
  <si>
    <t>COLÉGIO ESTADUAL DE TEMPO INTEGRAL ABELARDO MOREIRA</t>
  </si>
  <si>
    <t>R PROFA CLAUDIONORA BRASIL - 14</t>
  </si>
  <si>
    <t>-11.720390528644431, -40.15293761586411</t>
  </si>
  <si>
    <t>ANEXO - COLÉGIO ESTADUAL SANTO ANTONIO DE QUEIMADAS- DISTRITO CORONEL JOAO BORGES - RIACHO DA ONCA</t>
  </si>
  <si>
    <t xml:space="preserve">Demais laboratórios: 01 Física/matemática, 01 Biologia/química, 01 Linguagens 
</t>
  </si>
  <si>
    <t>NOVA FATIMA</t>
  </si>
  <si>
    <t>ANEXO - COLÉGIO ESTADUAL SANTO ANTONIO DE QUEIMADAS -POVOADO DE LAGOINHAS</t>
  </si>
  <si>
    <t>COLÉGIO ESTADUAL DE TEMPO INTEGRAL VIRGÍLIO FRANCISCO PEREIRA</t>
  </si>
  <si>
    <t>RUA PEDRO MAIA DE MATOS - 93</t>
  </si>
  <si>
    <t>-11.610797682455994, -39.63178297435938</t>
  </si>
  <si>
    <t>PE DE SERRA</t>
  </si>
  <si>
    <t>COLÉGIO ESTADUAL DE TEMPO INTEGRAL PEDRO FALCONERI RIOS</t>
  </si>
  <si>
    <t>Rua Bom Gosto, nº 136, Loteamento Minha Casa Minha Vida, bairro Centro</t>
  </si>
  <si>
    <t>-11.836937675536229, -39.619423807394746</t>
  </si>
  <si>
    <t>COLÉGIO ESTADUAL SÃO SEBASTIÃO - DISTRITO DE ALGODÕES</t>
  </si>
  <si>
    <t>RUA DO CEMITERIO - SN(00007)</t>
  </si>
  <si>
    <t>ADENILZA LUNA CAVALCANTE</t>
  </si>
  <si>
    <t>(75) 9 9990 - 3426</t>
  </si>
  <si>
    <t>(75) 3387-6039(res. Func.)</t>
  </si>
  <si>
    <t>6 (sendo 5 como salas de aula e 01 adaptada para sala de vídeo)</t>
  </si>
  <si>
    <t>PINTADAS</t>
  </si>
  <si>
    <t>COLÉGIO ESTADUAL DE TEMPO INTEGRAL EUFRÁSIO GONÇALVES DE ALMEIDA - (ANTIGO NOME: COLEGIO ESTADUAL NORMAL DE PINTADAS - TEMPO INTEGRAL)</t>
  </si>
  <si>
    <t>RU PROF ZILD DIAS DA SILVA - S/N</t>
  </si>
  <si>
    <t>-11.810120404254079, -39.90039793794734</t>
  </si>
  <si>
    <t>COLEGIO ESTADUAL DE TEMPO INTEGRAL PADRE FRANCISCO GONCALVES DE SOUZA
(ANTIGO CE LEM)</t>
  </si>
  <si>
    <t xml:space="preserve"> LUIS LINDEMBERG SOUZA ABREU</t>
  </si>
  <si>
    <t>(75) 9 9943-6292</t>
  </si>
  <si>
    <t>ZENILDA LUCIA DE BRITO</t>
  </si>
  <si>
    <t>(75) 9 9857-0218</t>
  </si>
  <si>
    <t>16 (sendo 10 salas de aula novas e 06 salas de aula existente)</t>
  </si>
  <si>
    <t>PADRÃO NOVO (AMPLIAÇÃO COM MODERNIZAÇÃO)</t>
  </si>
  <si>
    <t xml:space="preserve">Demais laboratórios: 01 física; 01 química e biologia
Sala multifuncional: 01 Sala de dança </t>
  </si>
  <si>
    <t>QUIXABEIRA</t>
  </si>
  <si>
    <t>ESCOLA FAMÍLIA AGRÍCOLA DE JABOTICABA</t>
  </si>
  <si>
    <t>FAZENDA JABOTICABA - S/N</t>
  </si>
  <si>
    <t>FAZENDA JABOTICABA</t>
  </si>
  <si>
    <t>Demais laboratórios: 01 Analise de solo e topografia; 10 laboratórios vivos (01 Agrocaatinga, 01 sistema pais, 01 horticultura, 01 pomar - fruticultura, 01 viveiro, 01 sistema de saneamento rural, 01 avicultura, 01 bovinocultura, 01 caprinovinocultura, 01 apicultura.)</t>
  </si>
  <si>
    <t>COLÉGIO ESTADUAL DE TEMPO INTEGRAL PROFESSORA TEREZINHA GONÇALVES NOVAIS</t>
  </si>
  <si>
    <t>RUA IRENIO DELFINO DE LIMA - SN(00016)</t>
  </si>
  <si>
    <t>-11.410747789507058, -40.127983188616376</t>
  </si>
  <si>
    <t>COLÉGIO ESTADUAL OLAVO ALVES PINTO - EM TEMPO INTEGRAL</t>
  </si>
  <si>
    <t>RUA JOANA ANGELICA - 538</t>
  </si>
  <si>
    <t xml:space="preserve"> RENICIO LIMA DA SILVA</t>
  </si>
  <si>
    <t xml:space="preserve"> (75) 9 8119-3920</t>
  </si>
  <si>
    <t xml:space="preserve"> 	ELISANGELA DE MATOS SILVA MORAIS</t>
  </si>
  <si>
    <t>(75) 9 9971-0101</t>
  </si>
  <si>
    <t>(75) 3202-1507</t>
  </si>
  <si>
    <t>RIACHAO DO JACUIPE</t>
  </si>
  <si>
    <t>COLÉGIO ESTADUAL DO CAMPO PROFESSOR DIDIMO MASCARENHAS RIOS - POVOADO DE CHAPADA</t>
  </si>
  <si>
    <t>RUA DERMIVAL MASCARENHAS - S/N</t>
  </si>
  <si>
    <t>-11.669312243025688, -39.37980014443505</t>
  </si>
  <si>
    <t>COLÉGIO ESTADUAL DO CAMPO DE TEMPO INTEGRAL NECY NOVAES -  NO DISTRITO PEREIRA
 (UNIFICAÇÃO COM O ANEXO DO DIST. PEREIRA)</t>
  </si>
  <si>
    <t>COLÉGIO ESTADUAL DE TEMPO INTEGRAL MARIA FELIPA
(ANTIGO: BRAULIO XAVIER)</t>
  </si>
  <si>
    <t>SUZANEIDE OLIVEIRA MEDRADO</t>
  </si>
  <si>
    <t>(75) 9 8281-5287</t>
  </si>
  <si>
    <t>GILDAZIA BATISTA LOPES DE ALMEIDA (secretária)</t>
  </si>
  <si>
    <t>(75) 3265-6111</t>
  </si>
  <si>
    <t>Estruturas adaptadas: 01 refeitório, 01 sala multiuso.</t>
  </si>
  <si>
    <t>COLÉGIO ESTADUAL DO CAMPO DACILDA RIOS DE OLIVEIRA - DISTRITO DE BARREIROS</t>
  </si>
  <si>
    <t>RUA DO COLEGIO - SN(00016)</t>
  </si>
  <si>
    <t>-11.60280843239899, -39.519067122363026</t>
  </si>
  <si>
    <t>ANANIAS FRANCISCO CRUZ FILHO</t>
  </si>
  <si>
    <t>(75) 9 8171-1577</t>
  </si>
  <si>
    <t>ANEDY CARNEIRO DO CARMO BELISARIO</t>
  </si>
  <si>
    <t>(75) 99263-1020</t>
  </si>
  <si>
    <t>MARCO ANTONIO CONCEICAO MONTEIRO JUNIOR</t>
  </si>
  <si>
    <t>(71) 9 9208-1999</t>
  </si>
  <si>
    <t>(75) 3265-3498</t>
  </si>
  <si>
    <t>Estruturas adaptadas: 01 refeitório, 01 sala de video.</t>
  </si>
  <si>
    <t>COLÉGIO ESTADUAL DE TEMPO INTEGRAL MARIA DAGMAR MIRANDA</t>
  </si>
  <si>
    <t>PCA TEODOMIRO R MASCARENHAS - SN(00724)</t>
  </si>
  <si>
    <t>ERMANO DE MOURA BARRETO</t>
  </si>
  <si>
    <t>-11.806937093619478, -39.38147858948883</t>
  </si>
  <si>
    <t>(75) 9 9126-9298</t>
  </si>
  <si>
    <t>CRISLEY JAMILE ARAUJO</t>
  </si>
  <si>
    <t>(75) 9 8118 - 2607</t>
  </si>
  <si>
    <t>CLEISON FERREIRA DOS SANTOS</t>
  </si>
  <si>
    <t>(75) 9 8118-1108</t>
  </si>
  <si>
    <t>(75) 3265-2871</t>
  </si>
  <si>
    <t>17 (sendo 7 salas existentes e 10 novas)</t>
  </si>
  <si>
    <r>
      <rPr>
        <rFont val="Calibri"/>
        <b/>
        <color theme="1"/>
        <sz val="11.0"/>
      </rPr>
      <t>10 (</t>
    </r>
    <r>
      <rPr>
        <rFont val="Calibri"/>
        <b/>
        <color rgb="FFFF0000"/>
        <sz val="11.0"/>
      </rPr>
      <t>sendo 09 para aula</t>
    </r>
    <r>
      <rPr>
        <rFont val="Calibri"/>
        <b/>
        <color theme="1"/>
        <sz val="11.0"/>
      </rPr>
      <t xml:space="preserve"> e 01 adaptada para laboratório de informática)</t>
    </r>
  </si>
  <si>
    <t>CENTRO TERRITORIAL DE EDUCAÇÃO PROFISSIONAL DA BACIA DO JACUÍPE II JOÃO CAMPOS</t>
  </si>
  <si>
    <t>RUA PADRE HELIO ROCHA SOUSA - SN(00304)</t>
  </si>
  <si>
    <t>ALUGADO(34.800,00) ANUAL</t>
  </si>
  <si>
    <t>-11.807004449426106, -39.38055545977635</t>
  </si>
  <si>
    <t>ANSELMO OLIVEIRA SANTOS</t>
  </si>
  <si>
    <t>(75) 9 8185-8031</t>
  </si>
  <si>
    <t>SONIA ALMEIDA DOS SANTOS</t>
  </si>
  <si>
    <t>(75) 9 8122-7756</t>
  </si>
  <si>
    <t>ANTONIA ROSANE PEREIRA LIMA</t>
  </si>
  <si>
    <t>(75) 3695-2123</t>
  </si>
  <si>
    <t>14 (Sendo 06 salas existentes e 08 construídas)</t>
  </si>
  <si>
    <t>Demais laboratórios: 01 analises clinicas, 01 Projeto PAIS, 01 Estufa, 01 Horta, 01 Viveiro.</t>
  </si>
  <si>
    <r>
      <rPr>
        <rFont val="Calibri"/>
        <color theme="1"/>
        <sz val="11.0"/>
      </rPr>
      <t xml:space="preserve">COLEGIO ESTADUAL DE TEMPO INTEGRAL PROFESSORA JAIDE ROCHA 
</t>
    </r>
    <r>
      <rPr>
        <rFont val="Calibri"/>
        <b/>
        <color theme="1"/>
        <sz val="11.0"/>
      </rPr>
      <t>( ANTIGO PROFESSORA MARIA OLIMPIA )</t>
    </r>
  </si>
  <si>
    <t>RUA SANTA LUZ S/N- DISTRITO DE ITATIAIA - S/N</t>
  </si>
  <si>
    <t xml:space="preserve"> -11.42255657727245 -39.88897934281413</t>
  </si>
  <si>
    <t>JUDITE SANT’ANNA LIMA</t>
  </si>
  <si>
    <t>(75) 9 9199 - 9944</t>
  </si>
  <si>
    <t>JORLEIDE FERNANDES QUEIROZ</t>
  </si>
  <si>
    <t>(75) 9 9103-2632/9 9851-1116</t>
  </si>
  <si>
    <t>(75) 3261-4445</t>
  </si>
  <si>
    <t>25 (Sendo 17 como salas de aula, 02 adaptada para sala de vídeo, 02 adaptada para biblioteca, 01 sala de artes, 02 laboratórios de informática e 01 laboratório de ciências)</t>
  </si>
  <si>
    <t>COLÉGIO ESTADUAL DE TEMPO INTEGRAL BERILO VILAS BOAS</t>
  </si>
  <si>
    <t>RUA RAMIRO GRANDE - S/N</t>
  </si>
  <si>
    <t>-11.507173121627963, -40.025693852106016</t>
  </si>
  <si>
    <t>SERRA PRETA</t>
  </si>
  <si>
    <t>COLÉGIO ESTADUAL NORMAL DE SERRINHA</t>
  </si>
  <si>
    <t>RUA ANDRE NEGREIROS FALCAO - 132</t>
  </si>
  <si>
    <t>COLÉGIO ESTADUAL NOSSA SENHORA DE LOURDES - DISTRITO DO PONTO</t>
  </si>
  <si>
    <t xml:space="preserve">MARIA FRANCINEIDE DE QUEIROZ PAIVA NEVES </t>
  </si>
  <si>
    <t>RUA MANOEL ARAUJO - 169</t>
  </si>
  <si>
    <t>(75) 9 9969-2565</t>
  </si>
  <si>
    <t>CRISTIANO MATHEUS NOGUEIRA SILVA DE OLIVEIRA</t>
  </si>
  <si>
    <t xml:space="preserve"> (75) 9 9196-7949</t>
  </si>
  <si>
    <t>-12.13680423683623, -39.33286678096807</t>
  </si>
  <si>
    <t>(75) 3261-1065</t>
  </si>
  <si>
    <t>COLÉGIO ESTADUAL DE SANTANA - POVOADO DE CAJUEIRO</t>
  </si>
  <si>
    <t>CARLOS HUDSON DE OLIVEIRA BATISTA</t>
  </si>
  <si>
    <t>(75) 9 9284 - 3482</t>
  </si>
  <si>
    <t>LEANDRO CRUZ DOS SANTOS</t>
  </si>
  <si>
    <t>(75) 9 9110-8964</t>
  </si>
  <si>
    <t>(75) 3273-1015</t>
  </si>
  <si>
    <t>Estruturas adaptadas: 01 biblioteca, 01 Refeitório, 01 AEE</t>
  </si>
  <si>
    <t>COLÉGIO ESTADUAL EM TEMPO INTEGRAL RENATO MEDEIROS NETO - DISTRITO DE BRAVO</t>
  </si>
  <si>
    <t>AV CONTORNO - SN(00643)</t>
  </si>
  <si>
    <t>-12.156682744809057, -39.45761162932782</t>
  </si>
  <si>
    <t>COLÉGIO ESTADUAL ALUIZIO CARNEIRO DA SILVA - DISTRITO DE BELA VISTA</t>
  </si>
  <si>
    <t xml:space="preserve"> 	JANESSUELLY CONCEICAO DE PAULA SANTOS</t>
  </si>
  <si>
    <t>(75) 9 9157-0402</t>
  </si>
  <si>
    <t xml:space="preserve">APARECIDA CÁSSIA REBOUÇAS NOVAIS </t>
  </si>
  <si>
    <t>(75) 9 9985-1864</t>
  </si>
  <si>
    <t>(75) 3273-4063</t>
  </si>
  <si>
    <t>5 (Sendo 03 como salas de aula, 01 adaptada para sala de vídeo e 01 adaptada para biblioteca)</t>
  </si>
  <si>
    <t>Estruturas adaptadas: 01 informática 
Sala multifuncional:  01 Artes</t>
  </si>
  <si>
    <t>VARZEA DA ROCA</t>
  </si>
  <si>
    <t>COLÉGIO ESTADUAL DE TEMPO INTEGRAL PROFESSORA ADÉLIA MENDES</t>
  </si>
  <si>
    <t>AVENIDA D MATHIAS SCHIMIT - SN(00130)</t>
  </si>
  <si>
    <t>LEDNA DE MENEZES SACRAMENTO</t>
  </si>
  <si>
    <t>-11.600201373353174, -40.14270047779179</t>
  </si>
  <si>
    <t>(75) 9 9198-8339</t>
  </si>
  <si>
    <t>JACKELINE LISBOA ARAUJO SANTOS</t>
  </si>
  <si>
    <t>(75) 9 9101-3010</t>
  </si>
  <si>
    <t>GLEIDSON SILVA SANTOS</t>
  </si>
  <si>
    <t>(75) 9 8232-6102</t>
  </si>
  <si>
    <t>(75) 3261-2331</t>
  </si>
  <si>
    <t>VARZEA DO POCO</t>
  </si>
  <si>
    <t>COLÉGIO ESTADUAL DE TEMPO INTEGRAL FELIPE CASSIANO</t>
  </si>
  <si>
    <t>AVENIDA PRESIDE JUSCELINO K. DE OLIVEIRA - 179</t>
  </si>
  <si>
    <t>-11.527545879892319, -40.315658737406984</t>
  </si>
  <si>
    <r>
      <rPr>
        <rFont val="Calibri"/>
        <b/>
        <color theme="1"/>
        <sz val="11.0"/>
      </rPr>
      <t xml:space="preserve">06 salas, </t>
    </r>
    <r>
      <rPr>
        <rFont val="Calibri"/>
        <b/>
        <color rgb="FFFF0000"/>
        <sz val="11.0"/>
      </rPr>
      <t xml:space="preserve">sendo 05 para aulas e </t>
    </r>
    <r>
      <rPr>
        <rFont val="Calibri"/>
        <b/>
        <color theme="1"/>
        <sz val="11.0"/>
      </rPr>
      <t>01 adaptada para sala de leitura.</t>
    </r>
  </si>
  <si>
    <t>Salas multifuncionais: 01 sala multifuncional, 01 sala de grêmio.</t>
  </si>
  <si>
    <t>CAEM</t>
  </si>
  <si>
    <t>COLÉGIO ESTADUAL DE TEMPO INTEGRAL ARNALDO DE OLIVEIRA</t>
  </si>
  <si>
    <t>LORENA RAMOS DE OLIVEIRA</t>
  </si>
  <si>
    <t>RUA EUFROZINO RIBEIRO MARTINS - SN(00061)</t>
  </si>
  <si>
    <t>(71) 9 9996 - 2935</t>
  </si>
  <si>
    <t>IVONEI DE ALMEIDA CARNEIRO</t>
  </si>
  <si>
    <t xml:space="preserve">(75) 9 8191-7046 </t>
  </si>
  <si>
    <t xml:space="preserve"> -11.093710870473148, -40.42622695153436</t>
  </si>
  <si>
    <t>(75) 3261-1528</t>
  </si>
  <si>
    <t>Demais laboratórios: 01 linguagens, 01 química/biologia, 01 matemática/física.</t>
  </si>
  <si>
    <t>ANEXO - COLÉGIO ESTADUAL ARNALDO DE OLIVEIRA - DISTRITO DE GONÇALO</t>
  </si>
  <si>
    <t>DISTRITO DE GONCALO/RUA AFRISIO VIEIRA LIMA - S/Nº - S/N</t>
  </si>
  <si>
    <t xml:space="preserve"> DISTRITO DE GONÇALO</t>
  </si>
  <si>
    <t>COLEGIO ESTADUAL DO CAMPO PROFESSORA MARIA IZABEL DE OLIVEIRA</t>
  </si>
  <si>
    <t>AVENIDA SANTA ROSA DE LIMA - DISTRITO NOVO PARAISO N S/N Bairro: - CEP:</t>
  </si>
  <si>
    <t>11°17'15"S 40°16'26"W</t>
  </si>
  <si>
    <t xml:space="preserve">COLEGIO ESTADUAL DO CAMPO DA CAATINGA DO MOURA DISTRITO CAATINGA DO MOURA
</t>
  </si>
  <si>
    <t>DISTRITO DE CAATINGA DO MOURA N S/N Bairro: - CEP: 44700-000</t>
  </si>
  <si>
    <t>DISTRITO DE CAATINGA DO MOURA</t>
  </si>
  <si>
    <t>RUA ANTONIO CARNEIRO DE OLIVEIRA - 60</t>
  </si>
  <si>
    <t>SIDNEI SILVA DA VISITACAO</t>
  </si>
  <si>
    <t>(75) 9 9962 - 7341</t>
  </si>
  <si>
    <t>ARIANE MATOS DE CARVALHO</t>
  </si>
  <si>
    <t>(75) 9 9112 - 1571</t>
  </si>
  <si>
    <t>ANA BARBARA VITERBO DE AZEVEDO</t>
  </si>
  <si>
    <t>(75) 9 9910-5571/9 9129-3733</t>
  </si>
  <si>
    <t>(75) 3268-3061</t>
  </si>
  <si>
    <t>COLEGIO ESTADUAL DE TEMPO INTEGRAL DEOCLECIANO BARBOSA DE CASTRO</t>
  </si>
  <si>
    <t>RUA PRESIDENTE KENNEDY - 00200</t>
  </si>
  <si>
    <t>ESTACAO</t>
  </si>
  <si>
    <t>-11.188657656587994, -40.5153164932756</t>
  </si>
  <si>
    <r>
      <rPr>
        <rFont val="Calibri"/>
        <b/>
        <color theme="1"/>
        <sz val="11.0"/>
      </rPr>
      <t xml:space="preserve">16 ( </t>
    </r>
    <r>
      <rPr>
        <rFont val="Calibri"/>
        <b/>
        <color rgb="FFFF0000"/>
        <sz val="11.0"/>
      </rPr>
      <t>Sendo 14 como salas de aula</t>
    </r>
    <r>
      <rPr>
        <rFont val="Calibri"/>
        <b/>
        <color theme="1"/>
        <sz val="11.0"/>
      </rPr>
      <t>, 01 adaptada p/ sala vídeo, 01 adaptada p/ AEE)</t>
    </r>
  </si>
  <si>
    <t>Estrutura adaptada:  01 sala AEE.</t>
  </si>
  <si>
    <t>DELMARK DA ANUNCIAÇÃO PIMENTEL</t>
  </si>
  <si>
    <t>(75) 9 9156-7897</t>
  </si>
  <si>
    <t>LEANDRO SILVA PIMENTEL</t>
  </si>
  <si>
    <t>(75) 9 9224-1668</t>
  </si>
  <si>
    <t>(75) 3256-1269</t>
  </si>
  <si>
    <t>8 (sendo 07 como salas de aula e 01 adaptada p/ sala multiuso)</t>
  </si>
  <si>
    <t>COLÉGIO ESTADUAL DE JUNCO - DISTRITO DE JUNCO - EM TEMPO INTEGRAL</t>
  </si>
  <si>
    <t>AVENIDA PRESIDENTE MEDICE - SN(00089)</t>
  </si>
  <si>
    <t>DISTRITO DE JUNCO</t>
  </si>
  <si>
    <t>-11.327227174453014, -40.167313966099286</t>
  </si>
  <si>
    <t xml:space="preserve">COLEGIO ESTADUAL DE TEMPO INTEGRAL DE TUCANO
 (ANTIGO C.E LUIS EDUARDO MAGALHÃES) </t>
  </si>
  <si>
    <t>TELMA PIMENTEL DA CONCEIÇAO</t>
  </si>
  <si>
    <t>(75) 9 9138 - 0258</t>
  </si>
  <si>
    <t>MATEUS NASCIMENTO FERREIRA</t>
  </si>
  <si>
    <t>(75) 9 9144-3344</t>
  </si>
  <si>
    <t>(75) 3272-2440</t>
  </si>
  <si>
    <t>34 (sendo 26 como salas de aula e 08 adaptadas: 1 sala de música, 1 sala de artes, 1 sala de lutas, 1 sala de jogos, 2 laboratórios de outras palavras, 1 laboratório de manuntenção da computação e 1 laboratório de matemática e pensamento computacional.</t>
  </si>
  <si>
    <t>Estrutura adaptada: 02 (01 biblioteca e 01 sala de professores) adaptados para sala de aula.</t>
  </si>
  <si>
    <t>MARILENE BISPO</t>
  </si>
  <si>
    <t xml:space="preserve"> (75) 9 8190-7242</t>
  </si>
  <si>
    <t>RONIVIA DE LIMA OLIVEIRA</t>
  </si>
  <si>
    <t>(75) 9 8177-1456</t>
  </si>
  <si>
    <t>CENTRO TERRITORIAL DE EDUCACAO PROFIS. DO PIEMONTE DA DIAMANTINA II</t>
  </si>
  <si>
    <t>AVENIDA CENTENARIO - SN(00356)</t>
  </si>
  <si>
    <t>NAZARE</t>
  </si>
  <si>
    <t>-11.18194248314797, -40.53376130229727</t>
  </si>
  <si>
    <t>ANA ZILDA DE JESUS OLIVEIRA</t>
  </si>
  <si>
    <t>(75) 9 8239-0323</t>
  </si>
  <si>
    <t>(75) 3291-5029</t>
  </si>
  <si>
    <t>ROMULO MONTEIRO SOARES JUNIOR</t>
  </si>
  <si>
    <t>(75) 9 8108-4043</t>
  </si>
  <si>
    <t>Estrutura adaptada: 03 (01 sala de artes, 01 sala de educação física, 01 sala de agronegócio) adaptados para sala de aula.</t>
  </si>
  <si>
    <t>SANMAI VIANA PEREIRA OLIVEIRA</t>
  </si>
  <si>
    <t>(75) 9 8173-0298</t>
  </si>
  <si>
    <t>(75) 3263-2022</t>
  </si>
  <si>
    <t xml:space="preserve">15+2 adapt. </t>
  </si>
  <si>
    <t>ANEXO - COLÉGIO ESTADUAL DE JUNCO - DISTRITO ITAITU</t>
  </si>
  <si>
    <t>ITAITU - SN(00146)</t>
  </si>
  <si>
    <t xml:space="preserve"> ROZENILDA LIMA DE OLIVEIRA ARAUJO</t>
  </si>
  <si>
    <t>(75) 9 8124-0519</t>
  </si>
  <si>
    <t>MARIANA CARNEIRO DE ARAUJO SANTOS</t>
  </si>
  <si>
    <t>(75) 9 8147-9097</t>
  </si>
  <si>
    <t>GILDA MARIA CUNHA PEREIRA</t>
  </si>
  <si>
    <t>(75) 9 9843-9573</t>
  </si>
  <si>
    <t>(75) 3263-2590</t>
  </si>
  <si>
    <t>10 + 03 `(Adapt)</t>
  </si>
  <si>
    <t>ANEXO - COLEGIO ESTADUAL DO CAMPO DA CAATINGA DO MOURA  - DISTRITO LAGES DO BATATA - QUILOMBOLA</t>
  </si>
  <si>
    <t>DISTRITO DE LAGES DO BATATA - S/N</t>
  </si>
  <si>
    <t>DISTRITO DE LAGES DO BATATA</t>
  </si>
  <si>
    <t>COLEGIO ESTADUAL SENADOR LUIZ VIANA FILHO - TEMPO INTEGRAL</t>
  </si>
  <si>
    <t>ANTONIO LUIS ARAUJO NETO</t>
  </si>
  <si>
    <t>(73) 9 8134-4247</t>
  </si>
  <si>
    <t>LUCINETE AMARAL ARGOLO DE SOUSA</t>
  </si>
  <si>
    <t>(73) 9 9805-3838</t>
  </si>
  <si>
    <t xml:space="preserve">(73) 3247 1316 </t>
  </si>
  <si>
    <t>MIGUEL CALMON</t>
  </si>
  <si>
    <t xml:space="preserve">09 ( Sendo 06 utilizadas como  salas de aula, 01 sala de leitura, 01 adap. para sala de professores e 01 sala de jogos) 
</t>
  </si>
  <si>
    <t>COLÉGIO ESTADUAL DE TEMPO INTEGRAL NOSSA SENHORA DA CONCEIÇÃO</t>
  </si>
  <si>
    <t>PARQUE EDUCACIONAL PRESIDENTE MEDICI - 00</t>
  </si>
  <si>
    <t>-11.432977236052643, -40.59829127722404</t>
  </si>
  <si>
    <t>COLEGIO ESTADUAL BRAULIO XAVIER - TEMPO INTEGRAL</t>
  </si>
  <si>
    <t>ROSANI GENTIL DE OLIVEIRA</t>
  </si>
  <si>
    <t>(73) 9 8134-2061</t>
  </si>
  <si>
    <t>SAMUEL DA SILVA COSTA</t>
  </si>
  <si>
    <t>(73) 9 8896-6773</t>
  </si>
  <si>
    <t>(73) 3673-1176</t>
  </si>
  <si>
    <r>
      <rPr>
        <rFont val="Calibri"/>
        <color theme="1"/>
        <sz val="11.0"/>
      </rPr>
      <t xml:space="preserve">Estruturas adaptadas: 01 sala de AEE, 01 biblioteca, 01 refeitório (no pátio); Laboratório: 01 informática.
</t>
    </r>
    <r>
      <rPr>
        <rFont val="Calibri"/>
        <color rgb="FFFF0000"/>
        <sz val="11.0"/>
      </rPr>
      <t>Auditório repartido em 05 salas:  secretaria, sala de informática, sala de AEE, sala de secretaria</t>
    </r>
  </si>
  <si>
    <t>LUIZ CARLOS SANTOS</t>
  </si>
  <si>
    <t>(73) 9 8162-0608</t>
  </si>
  <si>
    <t xml:space="preserve">NAYARA SILVA SANTANA </t>
  </si>
  <si>
    <t>(73) 9 8199-3411</t>
  </si>
  <si>
    <t>(73) 9 8123-4510</t>
  </si>
  <si>
    <t>COLÉGIO ESTADUAL DE TEMPO INTEGRAL DE MIGUEL CALMON (ANTIGO POLIVALENTE)</t>
  </si>
  <si>
    <t>RUA HELENITO BARRETO PINTO - SN(00021)</t>
  </si>
  <si>
    <t>-11.433823875325738, -40.59742423049194</t>
  </si>
  <si>
    <t>COLÉGIO ESTADUAL DE TEMPO INTEGRAL PROFESSORA JADIÊ ROCHA 
( ANTIGO PROFESSORA MARIA OLIMPIA )</t>
  </si>
  <si>
    <t xml:space="preserve">DENIS ANJOS DE SANTANA SOUZA </t>
  </si>
  <si>
    <t>(73) 9 8190-6608</t>
  </si>
  <si>
    <t xml:space="preserve">DALMO SOUZA ENCARNAÇÃO </t>
  </si>
  <si>
    <t>(73) 9 9827-9204</t>
  </si>
  <si>
    <t>(73) 3554-1886</t>
  </si>
  <si>
    <t>ANEXO - COL. EST. PROFª MARIA OLIMPIA - TEMPO INTEGRAL</t>
  </si>
  <si>
    <t>RUA ALMIR ARAUJO SN - SN(00023)</t>
  </si>
  <si>
    <t>Estruturas adaptadas: Laboratório: 01 ciências
Salas multifuncionais: 01 dança, 01 artes e 01 multimídia.</t>
  </si>
  <si>
    <r>
      <rPr>
        <rFont val="Calibri"/>
        <b/>
        <color theme="1"/>
        <sz val="11.0"/>
      </rPr>
      <t>20 (</t>
    </r>
    <r>
      <rPr>
        <rFont val="Calibri"/>
        <b/>
        <color rgb="FFFF0000"/>
        <sz val="11.0"/>
      </rPr>
      <t xml:space="preserve">sendo 18 salas de aulas utilizadas pela rede estadual </t>
    </r>
    <r>
      <rPr>
        <rFont val="Calibri"/>
        <b/>
        <color theme="1"/>
        <sz val="11.0"/>
      </rPr>
      <t>e 02 salas cedidas para a Universidade Federal no noturno)</t>
    </r>
  </si>
  <si>
    <t>ANEXO - COLÉGIO ESTADUAL NOSSA SENHORA DA CONCEIÇÃO - DISTRITO DE TAPIRANGA</t>
  </si>
  <si>
    <t>PARQUE EDUCACIONAL PRESIDENTE MEDICI, S/N - S/N</t>
  </si>
  <si>
    <t>ALESSANDRO COELHO MARQUES</t>
  </si>
  <si>
    <t>(73) 9 9978-4374</t>
  </si>
  <si>
    <t>CLEUSA MARIA DE JESUS PINTO SANTOS</t>
  </si>
  <si>
    <t>(73) 9 8838-0551</t>
  </si>
  <si>
    <t>MIRANGABA</t>
  </si>
  <si>
    <t>COLÉGIO ESTADUAL DE TEMPO INTEGRAL SOROR JOANA ANGÉLICA</t>
  </si>
  <si>
    <t>LOTEAMENTO ARTUR MIRANDA DE CARVALHO - S/N</t>
  </si>
  <si>
    <t>-10.950030054857695, -40.57776621560724</t>
  </si>
  <si>
    <t>COLEGIO ESTADUAL LOMANTO JUNIOR</t>
  </si>
  <si>
    <t>LUCIANE FELISBERTO DOS SANTOS</t>
  </si>
  <si>
    <t>(73) 9 8197-0579</t>
  </si>
  <si>
    <t>JOSE REIS MARTINS</t>
  </si>
  <si>
    <t>(73) 9 8121-0312</t>
  </si>
  <si>
    <t>(73) 3249 1320</t>
  </si>
  <si>
    <t>COLEGIO ESTADUAL INDIGENA TUPINAMBA SERRA DO PADEIRO -EM TEMPO INTEGRAL</t>
  </si>
  <si>
    <t>MAGNOLIA JESUS DA SILVA</t>
  </si>
  <si>
    <t>(73) 9 8843 3333</t>
  </si>
  <si>
    <t xml:space="preserve">MARIA ERENITA SOUZA SANTOS </t>
  </si>
  <si>
    <t>(73) 9 8151-8664</t>
  </si>
  <si>
    <t>ANEXO - COLÉGIO ESTADUAL DE TEMPO INTEGRAL SOROR JOANA ANGÉLICA - DISTRITO TAQUARANDI</t>
  </si>
  <si>
    <t>RUA DO PRÉDIO S/N - DISTRITO DE TAQUARANDI - S/N</t>
  </si>
  <si>
    <t>COLEGIO ESTADUAL ENEDINA OLIVA - TEMPO INTEGRAL</t>
  </si>
  <si>
    <t xml:space="preserve">VALTER BRITO DA SILVA </t>
  </si>
  <si>
    <t>(73) 9 8848-6680</t>
  </si>
  <si>
    <t xml:space="preserve">EVELINE LACERDA COLL </t>
  </si>
  <si>
    <t>DISTRITO DE TAQUARANDI</t>
  </si>
  <si>
    <t>(73) 9 9159-4366</t>
  </si>
  <si>
    <t>(73) 3237 -376</t>
  </si>
  <si>
    <t>ANEXO - COLÉGIO ESTADUAL DE TEMPO INTEGRAL SOROR JOANA ANGÉLICA - DISTRITO SUSSUARANA</t>
  </si>
  <si>
    <t>COLEGIO ESTADUAL POLIVALENTE DE CAMACAN - TEMPO INTEGRAL</t>
  </si>
  <si>
    <t>07 + 01  adapt</t>
  </si>
  <si>
    <t>SUSSUARANA - SN(00002)</t>
  </si>
  <si>
    <t xml:space="preserve">VAGNER GONCALVES  VIANA </t>
  </si>
  <si>
    <t>(73) 9 9122 8373</t>
  </si>
  <si>
    <t>ROOZEVELT CIRIACO DOS SANTOS</t>
  </si>
  <si>
    <t>(73) 9 9934-9941</t>
  </si>
  <si>
    <t>PATRICIA DA SILVA SANTANA BOMFIM</t>
  </si>
  <si>
    <t>(73) 9 8143-2264</t>
  </si>
  <si>
    <t>(73) 3283 1621/ 3283 1973</t>
  </si>
  <si>
    <t>17 ( Sendo 13 como salas de aula, 01 adaptada p/ sala vídeo, 01 adaptada p/ AEE, 02 adaptadas p/ laboratórios: informática e ciêmcias)</t>
  </si>
  <si>
    <t>ANEXO - COLÉGIO ESTADUAL DE TEMPO INTEGRAL SOROR JOANA ANGÉLICA - DISTRITO DE NUGUACU - COMUNIDADE QUILOMBOLA</t>
  </si>
  <si>
    <t>NUGUACU - SN(00051)</t>
  </si>
  <si>
    <t>DISTRITO DE NUGUACU</t>
  </si>
  <si>
    <t>COLEGIO ESTADUAL ANISIO LOUREIRO - DISTRITO DE SÃO JOÃO DO PANELINHA</t>
  </si>
  <si>
    <t>ELIZETE VERONICA SILVA DE ARGOLO</t>
  </si>
  <si>
    <t>(73) 9 8118-1492</t>
  </si>
  <si>
    <t>EUDES DIAS BARBOSA</t>
  </si>
  <si>
    <t>(73) 9 8883-1325</t>
  </si>
  <si>
    <t>(73) 3692 2298</t>
  </si>
  <si>
    <t>11 (Sendo 04 salas como salas de aula, 01 adaptada p/ sala jogos, 01 adaptada p/ biblioteca, 01 adaptada p/ sala para reuniões e 01 adaptada p/ oficinas e 03 cedidas ao município)</t>
  </si>
  <si>
    <t>ANEXO - COLÉGIO ESTADUAL DE TEMPO INTEGRAL SOROR JOANA ANGÉLICA - DISTRITO DE CANABRAVA</t>
  </si>
  <si>
    <t>CANABRAVA - SN</t>
  </si>
  <si>
    <t>DISTRITO DE CANABRAVA</t>
  </si>
  <si>
    <t>COLEGIO MODELO LUIS EDUARDO MAGALHAES - TEMPO INTEGRAL</t>
  </si>
  <si>
    <t>SILVAN AVELINO DOS SANTOS</t>
  </si>
  <si>
    <t>(73) 9 9995 9170</t>
  </si>
  <si>
    <t>VALQUIRIA SANTOS DE SOUZA</t>
  </si>
  <si>
    <r>
      <rPr>
        <rFont val="Calibri"/>
        <b/>
        <color theme="1"/>
        <sz val="11.0"/>
      </rPr>
      <t>4  (</t>
    </r>
    <r>
      <rPr>
        <rFont val="Calibri"/>
        <b/>
        <color rgb="FFFF0000"/>
        <sz val="11.0"/>
      </rPr>
      <t xml:space="preserve"> Sendo 3 utilizadas como salas de aula, </t>
    </r>
    <r>
      <rPr>
        <rFont val="Calibri"/>
        <b/>
        <color theme="1"/>
        <sz val="11.0"/>
      </rPr>
      <t xml:space="preserve">1 adaptada como sala multifuncional) </t>
    </r>
  </si>
  <si>
    <t>(73) 9 9104-8253</t>
  </si>
  <si>
    <t>KARINE FRANCO DANTAS</t>
  </si>
  <si>
    <t>(73) 9 9164-4818</t>
  </si>
  <si>
    <t>(73) 3284-1873/ 3304</t>
  </si>
  <si>
    <t xml:space="preserve">15+3 (Sala de video,sala do gremio, laboratorio de ciências foram adaptadas para sala de aula) </t>
  </si>
  <si>
    <t>COLÉGIO ESTADUAL DO CAMPO MARIA LÚCIA BARBOSA DA PAIXÃO</t>
  </si>
  <si>
    <t>Distrito Lagoa do 33</t>
  </si>
  <si>
    <t>-10.844537392221438, -41.385505023969245</t>
  </si>
  <si>
    <t>COLÉGIO ESTADUAL DE TEMPO INTEGRAL DE OUROLÂNDIA</t>
  </si>
  <si>
    <t>RUA DA SAUDADE - SN(00024)</t>
  </si>
  <si>
    <t>-10.970589450957469, -41.0754083701305</t>
  </si>
  <si>
    <t>SAUDE</t>
  </si>
  <si>
    <t>COLÉGIO ESTADUAL DE TEMPO INTEGRAL ERNESTO CARNEIRO RIBEIRO</t>
  </si>
  <si>
    <t>RUA APOLINARIO SILVA - S/N</t>
  </si>
  <si>
    <t>-10.94149693702855, -40.42338795111804</t>
  </si>
  <si>
    <t>COLEGIO ESTADUAL ALMAKAZIR GALLY GALVAO - TEMPO INTEGRAL</t>
  </si>
  <si>
    <t>ADRIANA SANTANA SILVA</t>
  </si>
  <si>
    <t>(73) 9 9113-8035</t>
  </si>
  <si>
    <t xml:space="preserve">SUELY REGINA GOMES SANTANA </t>
  </si>
  <si>
    <t>(73) 9 9134-2146</t>
  </si>
  <si>
    <t>MARLI SOUZA PEREIRA</t>
  </si>
  <si>
    <t>(73) 9 8241-6184</t>
  </si>
  <si>
    <t>(73) 3241-2951/ 3241 2553</t>
  </si>
  <si>
    <t>12 ( sendo 10 salas de aulas utilizadas pela rede estadual e 03 salas cedidas para a Universidade Federal nonoturno)</t>
  </si>
  <si>
    <t>SERROLANDIA</t>
  </si>
  <si>
    <t>COLÉGIO ESTADUAL DE TEMPO INTEGRAL DE SERROLANDIA
(ANTIGO C.E DE SERROLANDIA)</t>
  </si>
  <si>
    <t>R. PROFA. DAMIANA MOREIRA, SERROL NDIA - BA, 44710-000</t>
  </si>
  <si>
    <t>-11.422270486256071, -40.296938553873204</t>
  </si>
  <si>
    <t>ANEXO DO COLÉGIO ESTADUAL ALMAKAZIR GALLY GALVAO - DISTRITO DE ITAMOTINGA</t>
  </si>
  <si>
    <t>UMBURANAS</t>
  </si>
  <si>
    <t>COLÉGIO ESTADUAL DE TEMPO INTEGRAL PROFESSORA MARIA MADALENA DA SILVA</t>
  </si>
  <si>
    <t>DANIEL QUINTINO LOPES - SN(00004)</t>
  </si>
  <si>
    <t>-10.728320435964296, -41.31971349747153</t>
  </si>
  <si>
    <t>COLEGIO ESTADUAL DE TEMPO INTEGRAL FRED GEDEON</t>
  </si>
  <si>
    <t>ANEXO - COLÉGIO ESTADUAL DE TEMPO INTEGRAL PROFESSORA MARIA MADALENA DA SILVA - DISTRITO DE DELFINO</t>
  </si>
  <si>
    <t>POVOADO DO DELFINO - S/N</t>
  </si>
  <si>
    <t>JUSCELIA SIRQUEIRA PINHEIRO</t>
  </si>
  <si>
    <t>(73) 9 8162 9340</t>
  </si>
  <si>
    <t xml:space="preserve">EDVANISE SOUZA BARBOSA CORDEIRO </t>
  </si>
  <si>
    <t>(73) 9 8165-7767</t>
  </si>
  <si>
    <t>CLAUDIA SOARES PACHECO</t>
  </si>
  <si>
    <t>(73) 9 8837-9407</t>
  </si>
  <si>
    <t>(73) 3243-2409/ 3243 2481</t>
  </si>
  <si>
    <t>VARZEA NOVA</t>
  </si>
  <si>
    <t>COLÉGIO ESTADUAL DE TEMPO INTEGRAL PROFESSORA ADJACI MARTINS DURANS</t>
  </si>
  <si>
    <t>RUA MANOEL FRAGA RIOS - 194</t>
  </si>
  <si>
    <t>-11.259736507969402, -40.947222338649766</t>
  </si>
  <si>
    <t>COLEGIO ESTADUAL LUIS EDUARDO MAGALHAES - TEMPO INTEGRAL</t>
  </si>
  <si>
    <t>ROSENDA OLIVEIRA CARDOSO</t>
  </si>
  <si>
    <t>(73) 9 8124 7604</t>
  </si>
  <si>
    <t>CRISTIANE SOUZA BARBERINO</t>
  </si>
  <si>
    <t>(73) 9 8180-3432</t>
  </si>
  <si>
    <t>LENILDO ALVES SANTANA</t>
  </si>
  <si>
    <t>(73) 9 9132-1171</t>
  </si>
  <si>
    <t>(73) 3242-3001</t>
  </si>
  <si>
    <t>ADUSTINA</t>
  </si>
  <si>
    <t>COLEGIO ESTADUAL DO CAJUEIRO - DISTRITO DE CAJUEIRO</t>
  </si>
  <si>
    <t>COLÉGIO ESTADUAL DE TEMPO INTEGRAL CASTRO ALVES</t>
  </si>
  <si>
    <t>RUA JOSÉ GESSE RIBEIRO - S/N</t>
  </si>
  <si>
    <t>FABRIZIO MENEZES MIRANDA</t>
  </si>
  <si>
    <t>(73) 9 9126 2628</t>
  </si>
  <si>
    <t xml:space="preserve">TANIA REGIA MORAES SILVA </t>
  </si>
  <si>
    <t>(73) 9 8121-0732</t>
  </si>
  <si>
    <t>(73) 3203-1012</t>
  </si>
  <si>
    <t xml:space="preserve">4  ( Sendo 3 utilizadas como salas de aula, 1 adaptada como sala multifuncional) </t>
  </si>
  <si>
    <t>-10.539909765679, -38.112139628350235</t>
  </si>
  <si>
    <t>ANTAS</t>
  </si>
  <si>
    <t>COLÉGIO ESTADUAL DE TEMPO INTEGRAL PROFESSORA LUZIA CARVALHO SILVA</t>
  </si>
  <si>
    <t>RUA SAO PEDRO - SN(00114)</t>
  </si>
  <si>
    <t>-10.421523844616324, -38.33514050928380</t>
  </si>
  <si>
    <t>ADMILSON SILVA AMARAL</t>
  </si>
  <si>
    <t>(73) 9 8834-5668</t>
  </si>
  <si>
    <t>FATIMA KELLY PESSOA BOMFIM ALMEIDA</t>
  </si>
  <si>
    <t>(73) 9 9154-2325</t>
  </si>
  <si>
    <t>Demais laboratórios: 01 química/física, 01 biologia/matemática e 01 linguagens.
Salas multifuncionais: 01 sala de dança, 01 multifuncional.</t>
  </si>
  <si>
    <t>BANZAE</t>
  </si>
  <si>
    <t>COLÉGIO ESTADUAL INDIGENA TUXA CACIQUE RAUL VALERIO DE OLIVEIRA</t>
  </si>
  <si>
    <t>ALDEIA TUXA - FAZENDA SITIO - SN(00078)</t>
  </si>
  <si>
    <t>ALDEIA TUXA - FAZENDA SITIO</t>
  </si>
  <si>
    <t>COLEGIO MODELO LUIS EDUARDO MAGALHAES - TEMPO INTEGRAL ( RECEBEU O COLEGIO ESTADUAL EDUARDO CATALAO - TEMPO INTEGRAL)</t>
  </si>
  <si>
    <t>COLÉGIO ESTADUAL INDIGENA KIRIRI INDIO FELIZ - ALDEIA CAJAZEIRA</t>
  </si>
  <si>
    <t>ALDEIA CAJAZEIRA - SN(00001)</t>
  </si>
  <si>
    <t>ALDEIA CAJAZEIRA</t>
  </si>
  <si>
    <t>-10.640339706615123, -38.59825201391434</t>
  </si>
  <si>
    <t>MODELO: MILENA SANTOS DE JESUS             
CATALÃO: PAULO SERGIO</t>
  </si>
  <si>
    <t>MODELO: (73) 9 9925-1277          CATALÃO: (73) 9 9173-0949</t>
  </si>
  <si>
    <t xml:space="preserve">EUZNER TELES ALVES </t>
  </si>
  <si>
    <t>(73) 9 9136-3110</t>
  </si>
  <si>
    <t>(73) 3634-7921/1968</t>
  </si>
  <si>
    <t>COLÉGIO ESTADUAL INDIGENA JOSE ZACARIAS - ALDEIA MIRANDELA</t>
  </si>
  <si>
    <t>ALDEIA MIRANDELA KIRIRI - SN(01227)</t>
  </si>
  <si>
    <t>ALDEIA MIRANDELA</t>
  </si>
  <si>
    <t>-10.663350296132123, -38.59484280711084</t>
  </si>
  <si>
    <t>COLÉGIO ESTADUAL INDIGENA FLORENTINO DOMINGOS DE ANDRADE</t>
  </si>
  <si>
    <t>ARACAS - SN(00015)</t>
  </si>
  <si>
    <t>ARACAS</t>
  </si>
  <si>
    <t>COLEGIO ESTADUAL PROFESSOR FABIO ARARIPE GOULART - TEMPO INTEGRAL</t>
  </si>
  <si>
    <t xml:space="preserve">COLÉGIO ESTADUAL DE TEMPO INTEGRAL FLAVIANO DANTAS DO NASCIMENTO
</t>
  </si>
  <si>
    <t>RUA VICENTE GOUVEIA, SN - SN(00094)</t>
  </si>
  <si>
    <t>-10.584831492188036, -38.61399889151458</t>
  </si>
  <si>
    <t xml:space="preserve">            ADELINE GOMES DA SILVA </t>
  </si>
  <si>
    <t>(73) 9 9196-5955</t>
  </si>
  <si>
    <t>JEAN PIERRE NASCIMENTO COSTA</t>
  </si>
  <si>
    <t>(73) 9 8179- 9198</t>
  </si>
  <si>
    <t>JACIRA OLIVEIRA FERNANDES DOS SANTOS</t>
  </si>
  <si>
    <t>(73) 9 8822-3768</t>
  </si>
  <si>
    <t>(73) 3633-1509</t>
  </si>
  <si>
    <t>ANEXO DO COLÉGIO ESTADUAL INDIGENA JOSE ZACARIAS - ALDEIA GADO VELHACO</t>
  </si>
  <si>
    <t>POVOADO ALDEIA GADO DO VELHACO - S/N</t>
  </si>
  <si>
    <t>POVOADO ALDEIA GADO DO VELHACO</t>
  </si>
  <si>
    <t>ANEXO DO COLÉGIO ESTADUAL - INDIGENA JOSE ZACARIAS - ALDEIA PAU FERRO</t>
  </si>
  <si>
    <t>POVOADO ALDEIA PAU FERRO - S/N</t>
  </si>
  <si>
    <t>COLEGIO ESTADUAL MOYSES BOHANA - TEMPO INTEGRAL</t>
  </si>
  <si>
    <t>ANEXO DO COL. EST - INDIGENA JOSE ZACARIAS - ALDEIA MARCACAO</t>
  </si>
  <si>
    <t>POVOADO ALDEIA MARCACAO - S/N</t>
  </si>
  <si>
    <t>POVOADO ALDEIA MARCACAO</t>
  </si>
  <si>
    <t xml:space="preserve">GLEIDE PIRES OLIVEIRA </t>
  </si>
  <si>
    <t>(73) 9 8858-6428/9 8182-2330</t>
  </si>
  <si>
    <t>RENATA PESTANA PACOVA</t>
  </si>
  <si>
    <t>(73) 9 9155-6105</t>
  </si>
  <si>
    <t>SARITA DANTAS SENA GONÇALVES</t>
  </si>
  <si>
    <t>(73) 9 9123-3386</t>
  </si>
  <si>
    <t xml:space="preserve">(73) 3632 1793 </t>
  </si>
  <si>
    <t>ANEXO AO COL. EST. INDIGENA FLORENTINO DOMINGOS DE ANDRADE - ALDEIA BAIXA DO JUA</t>
  </si>
  <si>
    <t>BAIXA DO JUA - SN(00012)</t>
  </si>
  <si>
    <t>BAIXA DO JUA</t>
  </si>
  <si>
    <t>ANEXO AO COL. EST. INDIGENA FLORENTINO DOMINGOS DE ANDRADE - ALDEIA BAIXA DA CANGALHA</t>
  </si>
  <si>
    <t>BAIXA DA CANGALHA - SN(00029)</t>
  </si>
  <si>
    <t>BAIXA DA CANGALHA</t>
  </si>
  <si>
    <t>ANEXO -COLÉGIO EST. INDIGENA KIRIRI INDIO FELIZ - ALDEIA ARACAS</t>
  </si>
  <si>
    <t>ALDEIA ARACAS - SN(00017)</t>
  </si>
  <si>
    <t>ALDEIA ARACAS</t>
  </si>
  <si>
    <t>COLEGIO ESTADUAL INDIGENA TUPINAMBA DE OLIVENCA</t>
  </si>
  <si>
    <t>LEONARDO GONÇALVES DE JESUS</t>
  </si>
  <si>
    <t>(73) 9 8205-0172</t>
  </si>
  <si>
    <t xml:space="preserve">MARIA JESUINA BARBOSA DOS SANTOS </t>
  </si>
  <si>
    <t>(73) 9 8854-4876</t>
  </si>
  <si>
    <t>ANEXO - COLÉGIO ESTADUAL INDIGENA KIRIRI INDIO FELIZ - SACÃO SACO DOS MORCEGOS</t>
  </si>
  <si>
    <t>ALDEIA SACÃO SACO DOS MORCEGOSN CEP:</t>
  </si>
  <si>
    <t>SACO DOS MORCEGOS</t>
  </si>
  <si>
    <t>ANEXO - COLÉGIO ESTADUAL INDIGENA FLORENTINO DOMINGOS DE ANDRADE - ALDEIA SEGREDO</t>
  </si>
  <si>
    <t>ALDEIA SEGREDO - SN(00003)</t>
  </si>
  <si>
    <t>ALDEIA SEGREDO</t>
  </si>
  <si>
    <t>COLEGIO ESTADUAL INDIGENA TUPINAMBA DE ACUIPE DE BAIXO</t>
  </si>
  <si>
    <t>JULIANA CARDOSO SANTOS</t>
  </si>
  <si>
    <t>(73) 9 8146-9476</t>
  </si>
  <si>
    <t>EDNA MARIA PEREIRA SANTOS</t>
  </si>
  <si>
    <t>(73) 9 8127-2856</t>
  </si>
  <si>
    <t>ANEXO - COLÉGIO EST. INDIGENA KIRIRI INDIO FELIZ - ALDEIA SEGREDO</t>
  </si>
  <si>
    <t>ALDEIA SEGREDO - SN(00004)</t>
  </si>
  <si>
    <t>8KM</t>
  </si>
  <si>
    <t>COLEGIO ESTADUAL INDIGENA TUPINAMBA AMOTARA - ALDEIA ITAPUA</t>
  </si>
  <si>
    <t>CICERO DANTAS</t>
  </si>
  <si>
    <t>MAGNO MACIEL DAS NEVES</t>
  </si>
  <si>
    <t>(73) 9 8839-9793</t>
  </si>
  <si>
    <t>GICELIA MENEZES DE MATOS SANTOS</t>
  </si>
  <si>
    <t>(73) 9 8113-7313</t>
  </si>
  <si>
    <t>COLÉGIO ESTADUAL PROFESSOR LUIZ NAVARRO DE BRITO</t>
  </si>
  <si>
    <t>ANTONIO CARLOS MAGALHÃES - 1478</t>
  </si>
  <si>
    <t>-10.602039717914685, -38.385707452385034</t>
  </si>
  <si>
    <t>COLEGIO ESTADUAL DO IGUAPE - TEMPO INTEGRAL</t>
  </si>
  <si>
    <t>FLAVIA DE ANDRADE BRITO</t>
  </si>
  <si>
    <t>(73) 9 8817-2853</t>
  </si>
  <si>
    <t>CENTRO EST DE EDUC PROFISSIONAL EM INFORMATICA E GESTAO LOURDES CARVALHO NEVES BATISTA</t>
  </si>
  <si>
    <t>PRISCILA SOUZA SANTOS DE AQUINO</t>
  </si>
  <si>
    <t>BAIRRO MANGUEIRA - 9998</t>
  </si>
  <si>
    <t>(73) 9 8816-5798</t>
  </si>
  <si>
    <t>PHILLIPE OLIVEIRA FREIRE</t>
  </si>
  <si>
    <t>(73) 9 8814-1105</t>
  </si>
  <si>
    <t>(73) 3639 1402</t>
  </si>
  <si>
    <t>-10.608648410618462, -38.392581408261194</t>
  </si>
  <si>
    <t>COLEGIO ESTADUAL DO CAMPO JORGE CALMON - DISTRITO DE OLIVENCA - TEMPO INTEGRAL</t>
  </si>
  <si>
    <t>ANEXO - COLÉGIO ESTADUAL PROFESSOR LUIZ NAVARRO DE BRITO - POVOADO DE CAXIAS</t>
  </si>
  <si>
    <t>POVOADO CAXIAS - S/N</t>
  </si>
  <si>
    <t>IVALCY BISPO DOS SANTOS</t>
  </si>
  <si>
    <t>(73) 9 9174-3514</t>
  </si>
  <si>
    <t xml:space="preserve">KEYLA DIAS RODRIGUES </t>
  </si>
  <si>
    <t>(73) 9 9924-7663</t>
  </si>
  <si>
    <t>(73) 3269 1308</t>
  </si>
  <si>
    <t>ANEXO - COLÉGIO ESTADUAL PROFESSOR LUIZ NAVARRO DE BRITO - POV SÃO JOÃO DA FORTALEZA</t>
  </si>
  <si>
    <t>POV SAO JOAO DA FORTALEZA - S/N</t>
  </si>
  <si>
    <t>R. JASIEL MARTINS - BARRA DO ITAÍPE, ILHÉUS - BA, 45658-180</t>
  </si>
  <si>
    <t>DULCINEIA PEREIRA FAIR SIMOES</t>
  </si>
  <si>
    <t>(73) 9 9992-2827</t>
  </si>
  <si>
    <t>MARICELIA CARDOSO MATOS</t>
  </si>
  <si>
    <t>(73) 9 9119-7968</t>
  </si>
  <si>
    <t>(73) 3634 1586</t>
  </si>
  <si>
    <t xml:space="preserve">COLÉGIO ESTADUAL DE TEMPO INTEGRAL ÁGUAS TERMAIS DE CIPÓ (ANTIGO CE PROFESSORA IVONE VICTOR FERNANDES SANTOS, RECEBEU O ANEXO DO DISTRITO DE ITAPICURU E O CE PROFESSORA MARIA MACEDO VIEIRA DE BRITO) </t>
  </si>
  <si>
    <t>RUA DA RIBEIRÃO -  S/N</t>
  </si>
  <si>
    <t>-11.095226673440408, -38.5092575224851</t>
  </si>
  <si>
    <t>COLEGIO ESTADUAL DE SALOBRINHO - DISTRITO DE SALOBRINHO</t>
  </si>
  <si>
    <t>ERBSON CARDOSO SILVA</t>
  </si>
  <si>
    <t>(73) 9 8169-3484</t>
  </si>
  <si>
    <t>VALERIA CUNHA ROSARIO LEVITA</t>
  </si>
  <si>
    <t>(73) 9 8248-8925</t>
  </si>
  <si>
    <t>(73) 3689-1128</t>
  </si>
  <si>
    <t xml:space="preserve">9 ( Sendo 8 utilizadas como salas de aula e 01 adaptada para sala de multimidia) </t>
  </si>
  <si>
    <t>Demais laboratórios: 01 química/biologia, 01 matemática/física, 01 linguagens.</t>
  </si>
  <si>
    <t>COLEGIO DA POLICIA MILITAR - CPM ROMULO GALVAO</t>
  </si>
  <si>
    <t>CORONEL JOAO SA</t>
  </si>
  <si>
    <t>DIREÇÃO DA ESCOLA: CLAUDIA MARIA MACEDO ARCANJO SOARES - (73) 9 8854-5541
DIREÇÃO DA UNIDADE PM: 
DIREÇÃO DO ADJUNTO:</t>
  </si>
  <si>
    <t xml:space="preserve">MARIA LUCIMAR MENEZES SANTOS </t>
  </si>
  <si>
    <t>(73) 9 9913-7293</t>
  </si>
  <si>
    <t>SUZETTE COUTO BONFIM</t>
  </si>
  <si>
    <t>(73) 9 8823-0196</t>
  </si>
  <si>
    <t>(73) 3634 4133</t>
  </si>
  <si>
    <t>COLÉGIO ESTADUAL DE TEMPO INTEGRAL DE SANTO ANTONIO</t>
  </si>
  <si>
    <t>AVENIDA CARVALHO DE SA - S/N</t>
  </si>
  <si>
    <t>-10.278327750185307, -37.92408586138725</t>
  </si>
  <si>
    <t>JORGENEY ELCYMARCOS DE ARGOLO SOUZA</t>
  </si>
  <si>
    <t>(73) 9 9105 0748</t>
  </si>
  <si>
    <t xml:space="preserve">CLICIA SILVA MATOS </t>
  </si>
  <si>
    <t>(73) 9 9135-4771</t>
  </si>
  <si>
    <t xml:space="preserve">RENATO PEREIRA SILVA </t>
  </si>
  <si>
    <t>(73) 9 9124-1746</t>
  </si>
  <si>
    <t>(73) 3231 3221/7114</t>
  </si>
  <si>
    <t xml:space="preserve">Estruturas adaptadas: 01  Sala de AEE  
Sala multifuncional: 01 Sala de estúdio </t>
  </si>
  <si>
    <t xml:space="preserve">JULIERME BARROS COUTO </t>
  </si>
  <si>
    <t>(73) 9 9105 6625</t>
  </si>
  <si>
    <t>MARIA DA LUZ MARTINS DA SILVA COUTINHO</t>
  </si>
  <si>
    <t>(73) 9 8894-6664</t>
  </si>
  <si>
    <t>PAULO ROBERTO QUADROS JUNIOR</t>
  </si>
  <si>
    <t>COLÉGIO ESTADUAL INDIGENA DOM JACKSON BERENGUER PRADO - COMUNIDADE INDIGENA VILA MASSACARA</t>
  </si>
  <si>
    <t>(73) 9 8108-0884</t>
  </si>
  <si>
    <t>VILA MASSACARA - SN(00041)</t>
  </si>
  <si>
    <t>(73) 3634 1559/ 3634 3961</t>
  </si>
  <si>
    <t>VILA MASSACARA</t>
  </si>
  <si>
    <t>-10.424006302068259, -38.754862290476126</t>
  </si>
  <si>
    <t>Demais laboratórios: 01 Biologia, 01 física/ matemática, 01 horta</t>
  </si>
  <si>
    <t>COLÉGIO ESTADUAL DE TEMPO INTEGRAL EDUCANDÁRIO OLIVEIRA BRITO</t>
  </si>
  <si>
    <t>RUA JOAQUIM SANTANA LIMA - 101</t>
  </si>
  <si>
    <r>
      <rPr>
        <rFont val="Calibri, Arial"/>
        <b/>
        <color rgb="FF000000"/>
        <sz val="11.0"/>
      </rPr>
      <t xml:space="preserve">9 ( </t>
    </r>
    <r>
      <rPr>
        <rFont val="Calibri, Arial"/>
        <b/>
        <color rgb="FFFF0000"/>
        <sz val="11.0"/>
      </rPr>
      <t>Sendo 8 utilizadas como salas de aula</t>
    </r>
    <r>
      <rPr>
        <rFont val="Calibri, Arial"/>
        <b/>
        <color rgb="FF000000"/>
        <sz val="11.0"/>
      </rPr>
      <t xml:space="preserve"> e 01 adaptada para sala de multimidia) </t>
    </r>
  </si>
  <si>
    <t>-10.507159782657698, -39.01793619556316</t>
  </si>
  <si>
    <t>Estruturas: 01 lab. de informática/matemática, 01 lab. de ciências da natureza e 01 sala multifuncional.</t>
  </si>
  <si>
    <t xml:space="preserve">CENTRO TERRITORIAL DE EDUCACAO PROFISSIONAL SERTAO FORTE
(OBS: A NOVA UNIDADE RECEBEU TAMBÉM OS ESTUDANTES C.E. ANTONIETA XAVIER SIQUERA SANTOS) </t>
  </si>
  <si>
    <t>RUA CATARINO PIRES BESSA, 97 – EUCLIDES DA CUNHA</t>
  </si>
  <si>
    <t>-10.499073693290091, -39.01390782964964</t>
  </si>
  <si>
    <t>Demais laboratórios: 01 Biologia, 01 Química, física e matemática, 01 robótica, 01 Estufa
Sala multifuncional: 01 música, 01 sala de vivências corporais, 01 jogos, 01 escritório criativo, 01 recursos naturais</t>
  </si>
  <si>
    <t>COLÉGIO ESTADUAL DE TEMPO INTEGRAL PROFESSORA ANA MIRENA DA SILVA (ANTIGO CE NOSSA SENHORA DE FATIMA)</t>
  </si>
  <si>
    <t>AO LADO DO ESTADIO MUNICIPAL VALDOMIRO PINHEIRO - ITA - BA-220, FÁTIMA - BA</t>
  </si>
  <si>
    <t>-10.596246888452079, -38.198065834983375</t>
  </si>
  <si>
    <t>HELIOPOLIS</t>
  </si>
  <si>
    <t>COLÉGIO ESTADUAL DE TEMPO INTEGRAL JOSÉ DANTAS DE SOUZA</t>
  </si>
  <si>
    <t>RUA FRANCISCA ALVES - 28</t>
  </si>
  <si>
    <t>-10.679114793692223, -38.27841889119979</t>
  </si>
  <si>
    <t>CENTRO TERRITORIAL DE EDUCAÇÃO PROFISSIONAL RASO DA CATARINA</t>
  </si>
  <si>
    <t>AV. RECIFE - JEREMOABO, BA, 48540-000
AO LADO DA POUSADA RODRIGAO E PROXIMO A SECRETARIA DE AGRICULTURA DE JEREMOABO</t>
  </si>
  <si>
    <t>-10.080177937883208, -38.34094558559078</t>
  </si>
  <si>
    <t>ANEXO - CENTRO TERRITORIAL DE EDUCAÇÃO PROFISSIONAL RASO DA CATARINA - POV. DE LAGOA DO INACIO</t>
  </si>
  <si>
    <t>POV. DE LAGOA DO INACIO - S/N</t>
  </si>
  <si>
    <t>NOVA SOURE</t>
  </si>
  <si>
    <t>COLÉGIO ESTADUAL DE TEMPO INTEGRAL SERTÃO DA NATUBA DE NOVA SOURE</t>
  </si>
  <si>
    <t>BR - 110 
PROXIMO AO POSTO DE COMBUSTIVEL SHEL E EM FRENTE A ARENA NATUBA 
R. NORDESTE - NOSSA SENHORA DE FÁTIMA, NOVA SOURE - BA, 48460-000</t>
  </si>
  <si>
    <t>TORRE</t>
  </si>
  <si>
    <t>-11.245840951090656, -38.47426819694054</t>
  </si>
  <si>
    <t>ANEXO DO COLÉGIO ESTADUAL INDIGENA TUPINAMBA AMOTARA - ALDEIA TAMANDARE  </t>
  </si>
  <si>
    <t>NOVO TRIUNFO</t>
  </si>
  <si>
    <t>COLÉGIO ESTADUAL DE TEMPO INTEGRAL PROFESSORA MARIA TEREZA DE OLIVEIRA</t>
  </si>
  <si>
    <t>RUA NOVA ESPERANÇA - SN(00001)</t>
  </si>
  <si>
    <t>-10.340407777737905, -38.418827920339176</t>
  </si>
  <si>
    <t>ANEXO DO COLÉGIO ESTADUAL INDIGENA TUPINAMBA AMOTARA - ALDEIA KURUMIM   </t>
  </si>
  <si>
    <t>PARIPIRANGA</t>
  </si>
  <si>
    <t>COLÉGIO ESTADUAL DE TEMPO INTEGRAL DOUTOR JOSÉ CARLOS BEZERRA CARVALHO</t>
  </si>
  <si>
    <t>Rodovia BA-220, s/n</t>
  </si>
  <si>
    <t>MATOSO</t>
  </si>
  <si>
    <t xml:space="preserve"> -10.67370587108784 -37.86698926554117</t>
  </si>
  <si>
    <t>"Demais laboratórios: 01 linguagem, 01 Química e biologia ,01 física e matemática.</t>
  </si>
  <si>
    <t>ANEXO - COLÉGIO ESTADUAL DE TEMPO INTEGRAL DOUTOR JOSÉ CARLOS BEZERRA CARVALHO - POVOADO MARIA CORREIA</t>
  </si>
  <si>
    <t>ANEXO DO COLÉGIO ESTADUAL INDIGENA TUPINAMBA AMOTARA - ALDEIA ACUIPE DO MEIO  </t>
  </si>
  <si>
    <t>ANEXO - COLÉGIO ESTADUAL DE TEMPO INTEGRAL DOUTOR JOSÉ CARLOS BEZERRA CARVALHO - POVOADO LAGOA PRETA (ANTIGO ANTAS DO RASO)</t>
  </si>
  <si>
    <t>ANEXO - COLÉGIO ESTADUAL DE TEMPO INTEGRAL DOUTOR JOSÉ CARLOS BEZERRA CARVALHO - DISTRITO DE MARITA</t>
  </si>
  <si>
    <t>MARITA - SN(00119)</t>
  </si>
  <si>
    <t>PEDRO ALEXANDRE</t>
  </si>
  <si>
    <r>
      <rPr>
        <rFont val="Calibri"/>
        <color theme="1"/>
        <sz val="11.0"/>
      </rPr>
      <t xml:space="preserve">COLEGIO ESTADUAL DE TEMPO INTEGRAL PROFESSORA HELENA BRITTO
</t>
    </r>
    <r>
      <rPr>
        <rFont val="Calibri"/>
        <color theme="1"/>
        <sz val="11.0"/>
      </rPr>
      <t xml:space="preserve"> (ANTIGA UEE DR. RUY BACELAR)</t>
    </r>
  </si>
  <si>
    <t>DEUS DARA - SN(00006)</t>
  </si>
  <si>
    <t>AREA RURAL</t>
  </si>
  <si>
    <t>-10.018498318404415, -37.894320337004466</t>
  </si>
  <si>
    <t>RIBEIRA DO AMPARO</t>
  </si>
  <si>
    <t>COLÉGIO ESTADUAL JOSEFA SOARES DE OLIVEIRA</t>
  </si>
  <si>
    <t>RUA OVIDIO RODRIGUES DE MATOS - 100</t>
  </si>
  <si>
    <t>-11.046006948215023, -38.43582924222962</t>
  </si>
  <si>
    <t>RIBEIRA DO POMBAL</t>
  </si>
  <si>
    <t>ESCOLA COMUNITARIA FAMILIA AGRICOLA DE RIBEIRA DO POMBAL</t>
  </si>
  <si>
    <t>DR ORLANDO TEIXEIRA - 131</t>
  </si>
  <si>
    <t>-10.68181697361265, -38.43136779803103</t>
  </si>
  <si>
    <t xml:space="preserve">
-</t>
  </si>
  <si>
    <t>COLÉGIO ESTADUAL DO CAMPO DE TEMPO INTEGRAL JOÃO MARQUES DA SILVA - DISTRITO DE VILA RODRIGUES</t>
  </si>
  <si>
    <t>RUA NOVA, Nº S/N, 	DIST. VILA RODRIGUES</t>
  </si>
  <si>
    <t>-10.696098480237943, -38.53223217437242</t>
  </si>
  <si>
    <t xml:space="preserve">Estruturas adaptadas: 01 Refeitório </t>
  </si>
  <si>
    <t>COLÉGIO ESTADUAL DE TEMPO INTEGRAL PROFESSORA SILVIA FERREIRA DE BRITO</t>
  </si>
  <si>
    <t>RUA JOAO FERNANDES GAMA - 523</t>
  </si>
  <si>
    <t>-10.841530750623175, -38.537356829756945</t>
  </si>
  <si>
    <t>Estruturas adaptadas: 02 Salas do Cursinho popular 2026
adaptada</t>
  </si>
  <si>
    <t>COLÉGIO CENTRAL DE RIBEIRA DO POMBAL</t>
  </si>
  <si>
    <t>DEPUTADO ANTONIO BRITO - S/N</t>
  </si>
  <si>
    <t>-10.8381873549923, -38.54039029290387</t>
  </si>
  <si>
    <t>CENTRO TERRITORIAL DE EDUCACAO PROFISSIONAL DO SEMIARIDO NORDESTE II</t>
  </si>
  <si>
    <t>RUA JOSE DOMINGOS SILVA NETO - 01</t>
  </si>
  <si>
    <t>-10.841978550488161, -38.53471543644681</t>
  </si>
  <si>
    <t>BANCO DO PEDRO - SN(00028)</t>
  </si>
  <si>
    <t>Demais laboratórios: 01 Manutenção de computadores
01 Nutrição  e dietética, 01 Escritório criativo, 01 Solos, 01 Enfermagem 
Brasil Profissionalizado: 
01 Analises Clinicas , 01 Química, 01 Física , 01 Biologia, 01 Matemática</t>
  </si>
  <si>
    <t>SANTA BRIGIDA</t>
  </si>
  <si>
    <t>COMPLEXO INTEGRADO DE EDUCACAO DE ITABUNA - CIE DE ITABUNA - TEMPO INTEGRAL</t>
  </si>
  <si>
    <t>DENELISIO NOBRE LEITE</t>
  </si>
  <si>
    <t>(73) 9 8846-2928</t>
  </si>
  <si>
    <t>COLÉGIO ESTADUAL DE TEMPO INTEGRAL MADRINHA DODÔ - (ANTIGO CE LUIZ VIANA FILHO)</t>
  </si>
  <si>
    <t xml:space="preserve">TEREZA CRISTINA FIDELIS DE JESUS </t>
  </si>
  <si>
    <t>CONJ HABITACIONAL MADRINHA DODO - SN(00001)</t>
  </si>
  <si>
    <t>(73) 9 9108-0416</t>
  </si>
  <si>
    <t>DANIEL DAMASCENO NOVAES FILHO</t>
  </si>
  <si>
    <t>(73) 9 8111-0758</t>
  </si>
  <si>
    <t>-14.79294359681473, -39.2766893206737</t>
  </si>
  <si>
    <t>(73) 3613-5167</t>
  </si>
  <si>
    <t>SITIO DO QUINTO</t>
  </si>
  <si>
    <t>COLÉGIO ESTADUAL DE TEMPO INTEGRAL JOÃO FRANCISCO DA SILVA</t>
  </si>
  <si>
    <t>R. DO CAMPO, SÍTIO DO QUINTO - BA, 48565-000</t>
  </si>
  <si>
    <t>-10.367817751967307, -38.21004747447453</t>
  </si>
  <si>
    <t>EDNAILZA MIRANDA CARVALHO ABOBOREIRA</t>
  </si>
  <si>
    <t>(73) 9 9191-0700</t>
  </si>
  <si>
    <t>ALINE SOARES DE SOUZA</t>
  </si>
  <si>
    <t>(73) 9 8865-2980</t>
  </si>
  <si>
    <t xml:space="preserve">TANIA REGINA SOARES FARIAS </t>
  </si>
  <si>
    <t>(73) 9 8849-5405</t>
  </si>
  <si>
    <t>(73) 3613-6444</t>
  </si>
  <si>
    <t xml:space="preserve">17 (Sendo 14 utilizadas como salas de aula , 02 multifuncional e 01 CPA) </t>
  </si>
  <si>
    <t>COLEGIO ESTADUAL VALDELICE SOARES PINHEIRO - TEMPO INTEGRAL</t>
  </si>
  <si>
    <t>Demais laboratórios: 01 física/química, 01 matemática/ biologia.</t>
  </si>
  <si>
    <t>ACAJUTIBA</t>
  </si>
  <si>
    <t>MAGALI TEIXEIRA MORAES</t>
  </si>
  <si>
    <t>(73) 9 8134-8615</t>
  </si>
  <si>
    <t xml:space="preserve">MIRALVO MENDES DA SILVA JUNIOR </t>
  </si>
  <si>
    <t>COLÉGIO ESTADUAL DE TEMPO INTEGRAL ANTÔNIO DA COSTA BRITO</t>
  </si>
  <si>
    <t>(73) 9 8862-8676</t>
  </si>
  <si>
    <t>SÃO PAULO - 145</t>
  </si>
  <si>
    <t>ALEX FABIO PEREIRA LIMA</t>
  </si>
  <si>
    <t>(73) 9 8836-5659</t>
  </si>
  <si>
    <t>(73) 3613-4885/ 4886</t>
  </si>
  <si>
    <t>-11.657306882979226, -38.0182601619045</t>
  </si>
  <si>
    <t>ESCOLA PROFESSOR JULIO LEAL ARAUJO</t>
  </si>
  <si>
    <t>ARISTOTELES DE SOUZA DANTAS - SN(00006)</t>
  </si>
  <si>
    <t>MANGALO</t>
  </si>
  <si>
    <t>-12.14902283799225, -38.442922412244776</t>
  </si>
  <si>
    <t>COLEGIO ESTADUAL INACIO TOSTA FILHO</t>
  </si>
  <si>
    <t>CORBULON BATISTA DOS SANTOS FILHO</t>
  </si>
  <si>
    <t>(73) 9 9136-4221</t>
  </si>
  <si>
    <t xml:space="preserve">ICLEA CERQUEIRA MOREIRA </t>
  </si>
  <si>
    <t>(73) 9 9178-6017</t>
  </si>
  <si>
    <t xml:space="preserve">TIAGO MOTA BAHIA </t>
  </si>
  <si>
    <t>(73) 9 8829-5512</t>
  </si>
  <si>
    <t>(73) 3617-4192</t>
  </si>
  <si>
    <t xml:space="preserve">Estruturas adaptadas: 01 refeitório, 01                   
 Sala multimídia/AEE </t>
  </si>
  <si>
    <t>ESCOLA ESTADUAL OSCAR CORDEIRO</t>
  </si>
  <si>
    <t>LUIZ VIANA - 860</t>
  </si>
  <si>
    <t>-12.148063615107121, -38.42516766636268</t>
  </si>
  <si>
    <t>ROSIMEIRE DOS SANTOS GUERRA</t>
  </si>
  <si>
    <t>(73) 9 9166-1365</t>
  </si>
  <si>
    <t xml:space="preserve">MARIA HELENA RIBEIRO DE CARVALHO NOVAES </t>
  </si>
  <si>
    <t>(73) 9 9125-7106</t>
  </si>
  <si>
    <t>JOSE ROBERTO TEIXEIRA</t>
  </si>
  <si>
    <t>(73) 9 9180-9074</t>
  </si>
  <si>
    <t>(73) 3613-6815</t>
  </si>
  <si>
    <t xml:space="preserve">Estruturas adaptadas: 01 refeitório </t>
  </si>
  <si>
    <t>Codigo SEC correto 1111738, aguardando mudança de nomeclatura da UEE</t>
  </si>
  <si>
    <t>ESCOLA DOS RODOVIARIOS</t>
  </si>
  <si>
    <t>AUREA CRAVO - 138</t>
  </si>
  <si>
    <t>PIRINEL</t>
  </si>
  <si>
    <t>-12.127375511694405, -38.41766495726154</t>
  </si>
  <si>
    <t>COLEGIO ESTADUAL ADONIAS FILHO</t>
  </si>
  <si>
    <t>JOSÉ DOS SANTOS JUNIOR</t>
  </si>
  <si>
    <t>(73) 9 9119-8616</t>
  </si>
  <si>
    <t>MAYRA APARECIDA FERNANDES DE CARVALHO</t>
  </si>
  <si>
    <t>(73) 9 8827-7278</t>
  </si>
  <si>
    <t>(73) 3617-4042</t>
  </si>
  <si>
    <t xml:space="preserve">Estruturas adaptadas: 01 sala de leitura, 01 refeitório, 01 Sala de reunião </t>
  </si>
  <si>
    <t>COLEGIO DA POLICIA MILITAR - CPM ANTONIO CARLOS MAGALHAES</t>
  </si>
  <si>
    <t>DIREÇÃO DA ESCOLA: ISABELA COSTA MELO - (73) 9 8825-3800 
DIREÇÃO DA UNIDADE PM: TENENTE FERREIRA LOPES - 73 9140-2107
DIREÇÃO DO ADJUNTO: MAJOR ROBSON - (71) 9 8802-5779</t>
  </si>
  <si>
    <t xml:space="preserve">DANIELA RIBEIRO DE CARVALHO </t>
  </si>
  <si>
    <t>(73) 9 9109-6765</t>
  </si>
  <si>
    <t>LUÍS VIANA - SN(00013)</t>
  </si>
  <si>
    <t>-12.147465878094696, -38.42511969858631</t>
  </si>
  <si>
    <t>(73) 3616-5024</t>
  </si>
  <si>
    <t>16 + 2 (Adapt)</t>
  </si>
  <si>
    <t>AVENIDA MANOEL CHAVES - SN(01267)</t>
  </si>
  <si>
    <t>Sala multifuncional: 01 Sala  de vídeo, 01 sala de grêmio</t>
  </si>
  <si>
    <t>JUCELIA ALVES OLIVEIRA SANTOS (ASSUMINDO A DIREÇÃO ATÉ ENTÃO)</t>
  </si>
  <si>
    <t>(73) 9 9151-9888</t>
  </si>
  <si>
    <t>(73) 3613-7875</t>
  </si>
  <si>
    <t>COLÉGIO ESTADUAL MARIA JOSE BASTOS SILVA</t>
  </si>
  <si>
    <t>RUA PROFESSOR ARTHUR P DE OLIVEIRA - 88</t>
  </si>
  <si>
    <t>SILVA JARDIM</t>
  </si>
  <si>
    <t>-12.140260992372644, -38.43548292242224</t>
  </si>
  <si>
    <t>CENTRO INTEGRADO OSCAR MARINHO FALCAO - CIOMF - EM TEMPO INTEGRAL</t>
  </si>
  <si>
    <t>SEMIRAMES CRISTINA DIAS SILVA DE CASTRO</t>
  </si>
  <si>
    <t>(73) 9 8869-9887</t>
  </si>
  <si>
    <t>ALBERTO JOSE DOS SANTOS JUNIOR</t>
  </si>
  <si>
    <t>(73) 9 8826-7386</t>
  </si>
  <si>
    <t>AURENIZE ROCHA SANTOS PALMEIRA DE LIMA</t>
  </si>
  <si>
    <t xml:space="preserve">Estruturas adaptadas: 01 Sala de leitura, 01
refeitório, 01 Sala de AEE </t>
  </si>
  <si>
    <t>(73) 9 8101-1392</t>
  </si>
  <si>
    <t>(73) 3613-5038</t>
  </si>
  <si>
    <t>COLÉGIO ESTADUAL LUIZ NAVARRO DE BRITO</t>
  </si>
  <si>
    <t>RUA 13 DE JUNHO - S/N</t>
  </si>
  <si>
    <t>-12.141259032021226, -38.416141711313315</t>
  </si>
  <si>
    <r>
      <rPr>
        <rFont val="Calibri"/>
        <color theme="1"/>
        <sz val="11.0"/>
      </rPr>
      <t xml:space="preserve">Estruturas adaptadas: 01 Auditório; Laboratórios: 01 ciências e 01 Informática; 01 refeitório, Salas multifuncionais, 05 sendo:
(01 sala de vivências corporais, 01 sala de artes, 01 sala de AEE, 01 multimídia e 01 sala de projeto de vida).
</t>
    </r>
    <r>
      <rPr>
        <rFont val="Calibri"/>
        <b/>
        <color theme="1"/>
        <sz val="11.0"/>
      </rPr>
      <t>Complexo:</t>
    </r>
    <r>
      <rPr>
        <rFont val="Calibri"/>
        <color theme="1"/>
        <sz val="11.0"/>
      </rPr>
      <t xml:space="preserve">  
Salas multifuncionais: 01 Sala de vivencias corporais, 01 Sala de Dança.
Equipamentos esportivos: 01 ginásio coberto, 01 campo society com pista de atletismo, 01 pista de salto, 01 quadra de areia, 01 academia ao ar livre.
</t>
    </r>
  </si>
  <si>
    <t xml:space="preserve">JOSE CARLOS RIBEIRO FLORO </t>
  </si>
  <si>
    <t>(73) 9 9836-6817</t>
  </si>
  <si>
    <t>COLÉGIO ESTADUAL DO CAMPO LEONCIO PEREIRA DOS SANTOS - POVOADO ESTEVAO</t>
  </si>
  <si>
    <t xml:space="preserve">ARTUR DE OLIVEIRA NETO </t>
  </si>
  <si>
    <t>ESTEVAO - SN(00012)</t>
  </si>
  <si>
    <t>(73) 9 8859-1221</t>
  </si>
  <si>
    <t>POVOADO ESTEVAO</t>
  </si>
  <si>
    <t>MILENA SANTOS DORIA</t>
  </si>
  <si>
    <t>(73) 3613-8051</t>
  </si>
  <si>
    <t>CENTRO DE APOIO PEDAGOGICO GRAPIUNA - CAP</t>
  </si>
  <si>
    <t>DENISE MENEZES ALMEIDA</t>
  </si>
  <si>
    <t>(73) 9 8853-9834</t>
  </si>
  <si>
    <t>BRUNA RODRIGUES SANTOS LEAL</t>
  </si>
  <si>
    <t>(73) 98857-8969</t>
  </si>
  <si>
    <t>LARISSE  SILVA ANDRADE</t>
  </si>
  <si>
    <t>(73) 9 9815-6170</t>
  </si>
  <si>
    <t>(73) 3617-4829</t>
  </si>
  <si>
    <t>COLÉGIO ESTADUAL DO CAMPO JOÃO CARLOS MEIRELES PAULILO</t>
  </si>
  <si>
    <t>RIACHO DA GUIA - SN(00021)</t>
  </si>
  <si>
    <t>DISTRITO  RIACHO DA GUIA</t>
  </si>
  <si>
    <t>ALUGADO R$80.245,92</t>
  </si>
  <si>
    <t>-11.967489572507082, -38.378137523065405</t>
  </si>
  <si>
    <t xml:space="preserve">Estruturas adaptadas: 01 blibioteca
Sala multifuncional: 01 sala de vídeo </t>
  </si>
  <si>
    <t>ANEXO AO COLEGIO ESTADUAL ADONIAS FILHO - CONJUNTO PENAL</t>
  </si>
  <si>
    <t>COLÉGIO ESTADUAL DEPUTADO LUIS EDUARDO MAGALHAES</t>
  </si>
  <si>
    <t>MARGEM DA LINHA - S/N</t>
  </si>
  <si>
    <t>BARREIRO</t>
  </si>
  <si>
    <t>-12.139370389327308, -38.43933443448404</t>
  </si>
  <si>
    <t>Sala multifuncional: 01 Sala de Vivências Corporais (Em reforma)
01 sala multimídia</t>
  </si>
  <si>
    <t xml:space="preserve">HORLEI VITORIA RIBEIRO </t>
  </si>
  <si>
    <t>(73) 9 9101-0635</t>
  </si>
  <si>
    <t>CRISTIANO GOMES DOS SANTOS</t>
  </si>
  <si>
    <t>(73) 9 9151-8656</t>
  </si>
  <si>
    <t>COLÉGIO ESTADUAL DE TEMPO INTEGRAL SÃO FRANCISCO</t>
  </si>
  <si>
    <t>MANOEL ROMÃO - SN(00068)</t>
  </si>
  <si>
    <t>(73) 3696-2257</t>
  </si>
  <si>
    <t>-12.145544703154558, -38.404767390159456</t>
  </si>
  <si>
    <t>COLEGIO ESTADUAL AURELINO LEAL - TEMPO INTEGRAL</t>
  </si>
  <si>
    <t>JULIANA DELMONT</t>
  </si>
  <si>
    <t>(73) 9 9155-4276</t>
  </si>
  <si>
    <t>DIEGO DE ASSIS BRITO</t>
  </si>
  <si>
    <t>(73) 9 9154-9625</t>
  </si>
  <si>
    <t xml:space="preserve">Estruturas adaptadas: 01 blibioteca
Demais laboratorios: 01 
 Química, biologia e informática </t>
  </si>
  <si>
    <t>(73) 3251-3408</t>
  </si>
  <si>
    <t>7 (Sendo 6 como salas de aula e 01 adaptada para secretaria)</t>
  </si>
  <si>
    <t>COLÉGIO ESTADUAL DE ALAGOINHAS</t>
  </si>
  <si>
    <t>ALCINDO DE CAMARGO - S/N</t>
  </si>
  <si>
    <t>-12.134278357219804, -38.42255531372908</t>
  </si>
  <si>
    <t>COLEGIO ESTADUAL DE TEMPO INTEGRAL CORDEIRO DE MIRANDA</t>
  </si>
  <si>
    <t>SILMARA SILVA MELO</t>
  </si>
  <si>
    <t>(73) 9 8876-9797/9 8130-6276</t>
  </si>
  <si>
    <t>ANNE MARGARETH COSTA MARQUES</t>
  </si>
  <si>
    <t>(73) 9 8819-6477</t>
  </si>
  <si>
    <t>(73) 3204-2354</t>
  </si>
  <si>
    <t>12 (sendo: 09 como salas de aula (05 salas novas e 04 existentes), 01 adaptada para sala de
leitura/vídeo e 02 adaptadas para laboratórios: 01 biologia/química e 01 informática.</t>
  </si>
  <si>
    <t>COLÉGIO ESTADUAL BRAZILINO VIEGAS</t>
  </si>
  <si>
    <t>MARECHAL BITTENCOURT - 00182</t>
  </si>
  <si>
    <t>-12.133812834818997, -38.42246171770252</t>
  </si>
  <si>
    <t>ANEXO COLEGIO ESTADUAL CORDEIRO DE MIRANDA - DISTRITO DE PALMIRA</t>
  </si>
  <si>
    <t>Estruturas adaptadas: 01 
Biblioteca, 01 Refeitório
Sala multifuncional: 01  Sala de Atendimento Educacional Especializado</t>
  </si>
  <si>
    <t>COLÉGIO DA POLICIA MILITAR - CPM PROFESSOR CARLOS ROSA</t>
  </si>
  <si>
    <t>PROFESSOR ARTHUR PEREIRA DE OLIVEIRA - SN(00003)</t>
  </si>
  <si>
    <t>-12.138768902621353, -38.43473214214434</t>
  </si>
  <si>
    <t>SOELY CARVALHO RAMOS</t>
  </si>
  <si>
    <t>(73) 9 8115-9638</t>
  </si>
  <si>
    <t>TANIA SILVA SANTOS</t>
  </si>
  <si>
    <t>(73) 9 9155-4589</t>
  </si>
  <si>
    <t>LUCAS OLIVEIRA ROCHA</t>
  </si>
  <si>
    <t>(73) 9 9118-4269</t>
  </si>
  <si>
    <t>(73) 3238-2438</t>
  </si>
  <si>
    <t>11 + 01 ( O laboratório de informática foi adaptado para aula )</t>
  </si>
  <si>
    <t>Sala multifuncional: 05 salas (artes, grêmio, dança, música, AEE) e 02 salas multifuncionais
Demais laboratórios: matemática, física</t>
  </si>
  <si>
    <t>COLEGIO ESTADUAL DE TEMPO INTEGRAL DOM PAULO LOPES DE FARIA (ANTIGO COL. ALZAIR MARTINS)</t>
  </si>
  <si>
    <t>CENTRO TERRITORIAL DE EDUCACAO PROFISSIONAL DO LITORAL NORTE E AGRESTE BAIANO</t>
  </si>
  <si>
    <t>ALUGADO (R$ 11.844.57)</t>
  </si>
  <si>
    <t>RUA MARIA FEIJO - 13</t>
  </si>
  <si>
    <t>VALDINAH SILVA DOS SANTOS</t>
  </si>
  <si>
    <t>(73) 9 8828-4077</t>
  </si>
  <si>
    <t xml:space="preserve">SIDELE BATISTA NASCIMENTO </t>
  </si>
  <si>
    <t>-12.140454974922203, -38.41654888076028</t>
  </si>
  <si>
    <t>(73) 9 9824-6536</t>
  </si>
  <si>
    <t>(73) 3248-2477</t>
  </si>
  <si>
    <t>COLEGIO ESTADUAL ALCIDES DAVID</t>
  </si>
  <si>
    <t xml:space="preserve">ELIANE FERNANDES DA SILVA </t>
  </si>
  <si>
    <t>(73) 9 8851-9592 (zap)</t>
  </si>
  <si>
    <t>RAIANY FRANCA OLIVEIRA</t>
  </si>
  <si>
    <t>Demais laboratórios: 01 Enfermagem, 01 Analises Clinicas, 01 Nutrição,  01 Estufa
Sala multifuncional: 01 Espaço de vivências corporais e 01 sala AEE</t>
  </si>
  <si>
    <t>(73) 9 9146-0527</t>
  </si>
  <si>
    <t xml:space="preserve">(73) 3246-2178 </t>
  </si>
  <si>
    <t xml:space="preserve">6 (sendo 05 como salas de aula e 01 adaptada para sala de professores)  </t>
  </si>
  <si>
    <t>ANEXO - COLÉGIO ESTADUAL BRAZILINO VIEGAS - DISTRITO BOA UNIAO - COMUNIDADE QUILOMBOLA</t>
  </si>
  <si>
    <t>PRACA DA CAPELINHA S/N - DISTRITO DE BOA UNIAO - S/N</t>
  </si>
  <si>
    <t>DISTRITO DE BOA UNIAO</t>
  </si>
  <si>
    <t>APORA</t>
  </si>
  <si>
    <t>COLÉGIO ESTADUAL DE TEMPO INTEGRAL PROF AUREA DOS HUMILDES OLIVEIRA
(ANTIGO C.E PROFESSORA ÁUREA DOS HUMILDES OLIVEIRA)</t>
  </si>
  <si>
    <t>TRAVESSA DS GAMELEIRA, N 310 - CENTRO, APORÁ - BA, 48350-000</t>
  </si>
  <si>
    <t>-11.655744460671773, -38.08181735378323</t>
  </si>
  <si>
    <t>ALEXANDRE DAVID MOREIRA ASSIS</t>
  </si>
  <si>
    <t>(73) 9 8881 -9311</t>
  </si>
  <si>
    <t xml:space="preserve">DANIELA SILVA DE SOUZA </t>
  </si>
  <si>
    <t>(73) 9 8175 - 4405</t>
  </si>
  <si>
    <t>(73) 3624-1162</t>
  </si>
  <si>
    <t>COLÉGIO ESTADUAL DE TEMPO INTEGRAL DE ITAMIRA - DISTRITO DE ITAMIRA</t>
  </si>
  <si>
    <t>RUA PROF. INÁCIO ASSIS DE SOUZA, S/Nº - ITAMIRA.</t>
  </si>
  <si>
    <t xml:space="preserve"> DISTRITO DE ITAMIRA</t>
  </si>
  <si>
    <t xml:space="preserve">10 (Sendo 8 como salas de aula e 02 adaptadas: 1 Laboratório de ciêcias e Laboratório de informática) </t>
  </si>
  <si>
    <t>-11.719630041754433, -38.22587190500093</t>
  </si>
  <si>
    <t>COLÉGIO ESTADUAL DE TEMPO INTEGRAL JOSÉ VICENTE LEAL</t>
  </si>
  <si>
    <t>BA 504, KM 0, S/Nº - RODOVIA - ARAÇÁS</t>
  </si>
  <si>
    <t>-12.21120205120665, -38.204680262346464</t>
  </si>
  <si>
    <t>ARAMARI</t>
  </si>
  <si>
    <t>COLÉGIO ESTADUAL DE TEMPO INTEGRAL PROFESSORA MARIA DO CARMO SANTANA
(ANTIGO C.E PROFESSORA MARIA DO CARMO SANTANA)</t>
  </si>
  <si>
    <t xml:space="preserve">RUA CASTRO ALVES, S/N- ARAMARI </t>
  </si>
  <si>
    <t>-12.091508020624875, -38.49640551513728</t>
  </si>
  <si>
    <t>AMANDA NASCIMENTO ARAUJO</t>
  </si>
  <si>
    <t>(73) 9 8849-5598</t>
  </si>
  <si>
    <t>MARIA ESTELITA BARBOSA FARIAS</t>
  </si>
  <si>
    <t>(73) 9 8170-5005</t>
  </si>
  <si>
    <t>(73) 3258-5005</t>
  </si>
  <si>
    <t>CIEBTC</t>
  </si>
  <si>
    <t>Demais laboratórios: 01 Matemática/Física 
01 Química/Biologia</t>
  </si>
  <si>
    <t>COLEGIO ESTADUAL ANTONIO EDUARDO RIBEIRO ROCHA - DISTRITO DE BARRA GRANDE - TEMPO INTEGRAL</t>
  </si>
  <si>
    <t>CARDEAL DA SILVA</t>
  </si>
  <si>
    <t xml:space="preserve">JOLENILZE FERNANDES DE SANTANA </t>
  </si>
  <si>
    <t>(73) 9 9827 5617</t>
  </si>
  <si>
    <t>LUIZ GUSTAVO JAPIASSU FIDELMAN</t>
  </si>
  <si>
    <r>
      <rPr>
        <rFont val="Calibri"/>
        <b/>
        <color theme="1"/>
        <sz val="11.0"/>
      </rPr>
      <t>17 (</t>
    </r>
    <r>
      <rPr>
        <rFont val="Calibri"/>
        <b/>
        <color rgb="FFFF0000"/>
        <sz val="11.0"/>
      </rPr>
      <t>Sendo 14 utilizadas como salas de aula</t>
    </r>
    <r>
      <rPr>
        <rFont val="Calibri"/>
        <b/>
        <color theme="1"/>
        <sz val="11.0"/>
      </rPr>
      <t xml:space="preserve"> , 02 multifuncional e 01 CPA) </t>
    </r>
  </si>
  <si>
    <t>(73) 9 9155-9331</t>
  </si>
  <si>
    <t>COLÉGIO ESTADUAL DO CAMPO DE TEMPO INTEGRAL DOUTOR JOSÉ ANTÔNIO DE ARAÚJO PIMENTA</t>
  </si>
  <si>
    <t>(73) 3258-6256</t>
  </si>
  <si>
    <t>RODOVIA BAHIA - 676</t>
  </si>
  <si>
    <t>-11.943912762224514, -37.9503284899268</t>
  </si>
  <si>
    <t>CESAR ALEX DE SOUZA LEAL</t>
  </si>
  <si>
    <t>(73) 9 8846-3162</t>
  </si>
  <si>
    <t xml:space="preserve">Demais laboratórios: 01 Química/biologia,01 Física/matemática, 01 linguagens , 01 Horta,01 viveiro. </t>
  </si>
  <si>
    <t>(73) 3258-2035/ 2004</t>
  </si>
  <si>
    <t>06 + 02 (O Laboratório de biologia e de manutenção foram adaptados para 2 salas de aula)</t>
  </si>
  <si>
    <t>COLÉGIO ESTADUAL DOUTOR ANTONIO CARLOS MAGALHAES - DISTRITO DE PAU LAVRADO</t>
  </si>
  <si>
    <t>RUA DO CRUZEIRO - SN(00951)</t>
  </si>
  <si>
    <t>-12.308260065731798, -38.37415589350843</t>
  </si>
  <si>
    <r>
      <rPr>
        <rFont val="Calibri"/>
        <b/>
        <color theme="1"/>
        <sz val="11.0"/>
      </rPr>
      <t xml:space="preserve">12 salas de aulas, </t>
    </r>
    <r>
      <rPr>
        <rFont val="Calibri"/>
        <b/>
        <color rgb="FFFF0000"/>
        <sz val="11.0"/>
      </rPr>
      <t xml:space="preserve">sendo 11 utilizadas para aula </t>
    </r>
    <r>
      <rPr>
        <rFont val="Calibri"/>
        <b/>
        <color theme="1"/>
        <sz val="11.0"/>
      </rPr>
      <t xml:space="preserve">e 01 adaptada para sala de AEE </t>
    </r>
  </si>
  <si>
    <t>COLEGIO ESTADUAL ROMULO GALVAO - DISTRITO DE SAO JOAO DO PARAISO - TEMPO INTEGRAL</t>
  </si>
  <si>
    <t>LUIS CLAUDIO ROSARIO POLVORA</t>
  </si>
  <si>
    <t xml:space="preserve">(73) 9 8882-7023 </t>
  </si>
  <si>
    <t>ANA PAULA MENDES YAMAMOTO</t>
  </si>
  <si>
    <t>(73) 3629-2130</t>
  </si>
  <si>
    <t>Estruturas adaptadas:01 refeitório,  01 biblioteca e 01 laboratório de informática.</t>
  </si>
  <si>
    <t>COLÉGIO ESTADUAL DE TEMPO INTEGRAL DE CATU - (ANTIGO COLÉGIO ESTADUAL ANTONIO DE DEUS SEIXAS)</t>
  </si>
  <si>
    <t>RUA RODOLFO GOES - 120</t>
  </si>
  <si>
    <t>PIONEIRO</t>
  </si>
  <si>
    <t>-12.368384432103177, -38.38793669326588</t>
  </si>
  <si>
    <t>COLEGIO ESTADUAL CAROLINA SEVERIANO RIBEIRO - TEMPO INTEGRAL</t>
  </si>
  <si>
    <r>
      <rPr>
        <rFont val="Calibri"/>
        <b/>
        <color theme="1"/>
        <sz val="11.0"/>
      </rPr>
      <t xml:space="preserve">12 salas, </t>
    </r>
    <r>
      <rPr>
        <rFont val="Calibri"/>
        <b/>
        <color rgb="FFFF0000"/>
        <sz val="11.0"/>
      </rPr>
      <t>sendo 10 utilizada para aula</t>
    </r>
    <r>
      <rPr>
        <rFont val="Calibri"/>
        <b/>
        <color theme="1"/>
        <sz val="11.0"/>
      </rPr>
      <t>, 02 adaptada, 01 para sala de leitura e 01 para sala AEE.</t>
    </r>
  </si>
  <si>
    <t>ROSIMEIRE SILVA SANTOS REIS</t>
  </si>
  <si>
    <t>(73) 9 9195-3738</t>
  </si>
  <si>
    <t>NIRALDO ROCHA JUNIOR</t>
  </si>
  <si>
    <t>(73) 9 9117-3714</t>
  </si>
  <si>
    <t>(73)3625-2032</t>
  </si>
  <si>
    <t>CENTRO ESTADUAL DE EDUCACAO PROF EM CONTROLE E GESTAO DO NORDESTE BAIANO PEDRO RIBEIRO PESSOA</t>
  </si>
  <si>
    <t>PRACA ANA QUEIROZ - SN(00332)</t>
  </si>
  <si>
    <t>MATRIZ - SN(00002)</t>
  </si>
  <si>
    <t>-12.349749395426477, -38.37700743683332</t>
  </si>
  <si>
    <r>
      <rPr>
        <rFont val="Calibri"/>
        <b/>
        <color theme="1"/>
        <sz val="11.0"/>
      </rPr>
      <t>Demais laboratórios:</t>
    </r>
    <r>
      <rPr>
        <rFont val="Calibri"/>
        <color theme="1"/>
        <sz val="11.0"/>
      </rPr>
      <t xml:space="preserve"> 01 ciências/matemática/química/física; </t>
    </r>
    <r>
      <rPr>
        <rFont val="Calibri"/>
        <b/>
        <color theme="1"/>
        <sz val="11.0"/>
      </rPr>
      <t>Profissionalizante</t>
    </r>
    <r>
      <rPr>
        <rFont val="Calibri"/>
        <color theme="1"/>
        <sz val="11.0"/>
      </rPr>
      <t>: 01 Produção industrial, 01 Gestão e negócios, 01 Meio ambiente e saúde, 01 Robótica.</t>
    </r>
  </si>
  <si>
    <t>CONDE</t>
  </si>
  <si>
    <t>COLEGIO ESTADUAL GERSON DE SOUZA MELO PATAXO - TEMPO INTEGRAL</t>
  </si>
  <si>
    <t>ROSINEIDE VENANCIO DO NASCIMENTO SANTANA</t>
  </si>
  <si>
    <t>(73) 9 8836-0132</t>
  </si>
  <si>
    <t>JONAS MARCEL DE ALMEIDA CAMPOS</t>
  </si>
  <si>
    <t>COLÉGIO ESTADUAL DE TEMPO INTEGRAL DO CONDE
(ANTIGO CENTRO INTEGRADO DE EDUCAÇÃO DO CONDE)</t>
  </si>
  <si>
    <t>(73) 9 8896-5963</t>
  </si>
  <si>
    <t>JOÃO IZIDORO LINS - S/N</t>
  </si>
  <si>
    <t>SARA SANTOS MORAES</t>
  </si>
  <si>
    <t>(73) 98112-8231</t>
  </si>
  <si>
    <t>(73) 3273-2731</t>
  </si>
  <si>
    <t>-11.814297705748007, -37.60857420273586</t>
  </si>
  <si>
    <t>COLEGIO ESTADUAL DA ALDEIA INDIGENA CARAMURU PARAGUACU - TEMPO INTEGRAL</t>
  </si>
  <si>
    <t>Estruturas adaptadas: 01 refeitório 
Demais laboratórios: 01 Biologia/Química,  01 Matemática</t>
  </si>
  <si>
    <t>IVANILDA PEREIRA DOS SANTOS</t>
  </si>
  <si>
    <t>(73) 9 8243-0673</t>
  </si>
  <si>
    <t>HARIA NUNES DE SOUZA</t>
  </si>
  <si>
    <t>(73) 9 8230-0422</t>
  </si>
  <si>
    <r>
      <rPr>
        <rFont val="Calibri"/>
        <b/>
        <color theme="1"/>
        <sz val="11.0"/>
      </rPr>
      <t xml:space="preserve"> 08 salas, </t>
    </r>
    <r>
      <rPr>
        <rFont val="Calibri"/>
        <b/>
        <color rgb="FFFF0000"/>
        <sz val="11.0"/>
      </rPr>
      <t>sendo 06 utilizadas para aula</t>
    </r>
    <r>
      <rPr>
        <rFont val="Calibri"/>
        <b/>
        <color theme="1"/>
        <sz val="11.0"/>
      </rPr>
      <t>, 01 adaptada para sala de leitura, 01 sala de robótica.</t>
    </r>
  </si>
  <si>
    <t>RAIMUNDO ALVES DOS SANTOS</t>
  </si>
  <si>
    <t>(73) 9 8122-5300</t>
  </si>
  <si>
    <t>10+4IMP</t>
  </si>
  <si>
    <t>COLÉGIO ESTADUAL CELSO MENDES DE LIMA - TEMPO INTEGRAL</t>
  </si>
  <si>
    <t>RUA BAIXA DA AREIA - SN(00390)</t>
  </si>
  <si>
    <t>-11.794528749657191, -37.62670463911251</t>
  </si>
  <si>
    <t>Estruturas adaptadas: 01 Refeitório 
Demais laboratórios: 01 Química/biologia/física ,  01 Agroindústria, 01 Horta</t>
  </si>
  <si>
    <t>ANEXO - CEMIT LITORAL NORTE E AGRESTE BAIANO - DISTRITO DE SEMPRE VIVA COBO</t>
  </si>
  <si>
    <t>DISTRITO DE SEMPRE VIVA (COBO) - S/N</t>
  </si>
  <si>
    <t>DISTRITO DE SEMPRE VIVA (COBO)</t>
  </si>
  <si>
    <t>--</t>
  </si>
  <si>
    <t>ANEXO - CEMIT LITORAL NORTE E AGRESTE BAIANO - DISTRITO DE ALTAMIRA</t>
  </si>
  <si>
    <t>DISTRITO DE ALTAMIRA - S/N</t>
  </si>
  <si>
    <t>DISTRITO DE ALTAMIRA</t>
  </si>
  <si>
    <t xml:space="preserve">COLÉGIO ESTADUAL DE TEMPO INTEGRAL EUDOXIA MARIA </t>
  </si>
  <si>
    <t>GR4P+58 - CRISÓPOLIS, BA, 48480-000</t>
  </si>
  <si>
    <t>-11.509338983138827, -38.14870447344986</t>
  </si>
  <si>
    <t>Demais laboratórios: 01 física /matemática, 01 biológicas/química e 01 espaço maker.
Salas multifuncionais: 01 vivências corporais, 01 recursos, 01 Atendimento Especializado, 01 jogos, 01 linguagem, 01 música e 01 artes</t>
  </si>
  <si>
    <t xml:space="preserve">COLÉGIO ESTADUAL DO CAMPO DE TEMPO INTEGRAL PROFESSORA IVANECK MARIA AGUIAR COSTA </t>
  </si>
  <si>
    <t>NOVA BRASILIA - SN(00051)</t>
  </si>
  <si>
    <t xml:space="preserve">-11.943685322196039, -38.08026883145671 </t>
  </si>
  <si>
    <t>COLEGIO ESTADUAL JORGE AMADO</t>
  </si>
  <si>
    <t>ELIECY ALVES PEREIRA DOS ANJOS</t>
  </si>
  <si>
    <t>(73) 9 9803-6919</t>
  </si>
  <si>
    <t xml:space="preserve"> LUCIANA QUEIROZ RODRIGUES</t>
  </si>
  <si>
    <t>(73) 9 9850-4140</t>
  </si>
  <si>
    <t>(73) 3628-1169</t>
  </si>
  <si>
    <t>COLÉGIO ESTADUAL DE TEMPO INTEGRAL DUQUE DE CAXIAS</t>
  </si>
  <si>
    <t>EUCLIDES MACHADO DE ALMEIDA - 564</t>
  </si>
  <si>
    <t>COLEGIO ESTADUAL 13 DE JUNHO - TEMPO INTEGRAL</t>
  </si>
  <si>
    <t>TIAGO DOS SANTOS VIANA</t>
  </si>
  <si>
    <t>(73) 9 8171-4411</t>
  </si>
  <si>
    <t>ISIS DE OLIVEIRA BRITO</t>
  </si>
  <si>
    <t>(73) 9 8234-8981</t>
  </si>
  <si>
    <t>(73) 3694-1303</t>
  </si>
  <si>
    <t xml:space="preserve">16 ( Sendo 10  utilizadas como salad de aula, 01 está adaptada para sala de vídeo, 01 sala de leitura, 01 para sala de informática, 01 para sala de educ. física, 01 laboratório de ciências e 01 para refeitório. </t>
  </si>
  <si>
    <t>Estruturas adaptadas: 01 refeitório, 01 sala AEE, 01 sala de artes, 01 sala de oficinas, 03 salas de vídeo.
Demais laboratórios: 01 química.</t>
  </si>
  <si>
    <t>ANEXO - COLÉGIO EST. ERALDO TINOCO - DIST. SITIO DO MEIO</t>
  </si>
  <si>
    <t>DISTRITO SITIO DO MEIO - SN(00006)</t>
  </si>
  <si>
    <t xml:space="preserve"> DIST. SITIO DO MEIO</t>
  </si>
  <si>
    <t>COLEGIO ESTADUAL DE TEMPO INTEGRAL OCTACILIO MANOEL GOMES</t>
  </si>
  <si>
    <t>GERALDO DANTAS SILVA</t>
  </si>
  <si>
    <t>ANEXO - CEMIT LITORAL NORTE E AGRESTE BAIANO - DISTRITO DE SUBAUMA</t>
  </si>
  <si>
    <t>(73) 9 9965-3400</t>
  </si>
  <si>
    <t>SUBAUMA - S/N</t>
  </si>
  <si>
    <t>DISTRITO DE SUBAUMA</t>
  </si>
  <si>
    <t>VIRLESIO CARLOS DE OLIVEIRA</t>
  </si>
  <si>
    <t>(73) 9 8853-2539</t>
  </si>
  <si>
    <t>MONIQUE MACIEL DE MATOS ANDRADE</t>
  </si>
  <si>
    <t>(73) 9 8199-5776</t>
  </si>
  <si>
    <t>(73) 3230-1675</t>
  </si>
  <si>
    <t>ESPLANADA</t>
  </si>
  <si>
    <t>COLÉGIO ESTADUAL DE TEMPO INTEGRAL PROFESSORA JOANICE BACELAR BATISTA</t>
  </si>
  <si>
    <t>AV. MARIO ANDREAZZA, 917-701 - ESPLANADA, BA, 48370-000</t>
  </si>
  <si>
    <t>-11.795179952214333, -37.94579559596861</t>
  </si>
  <si>
    <t>COLEGIO ESTADUAL MENANDRO MINAHIM</t>
  </si>
  <si>
    <t xml:space="preserve">Demais laboratórios: 01 química/biologia; 01 matemática/física; 01 linguagens </t>
  </si>
  <si>
    <t>MARCOS SILVA SANTOS</t>
  </si>
  <si>
    <t>(73) 9 9906-9657</t>
  </si>
  <si>
    <t>MARIA DA PAZ SANTOS FERREIRA</t>
  </si>
  <si>
    <t>ANEXO - CEMIT LITORAL NORTE E AGRESTE BAIANO - SAO JOSE</t>
  </si>
  <si>
    <t>SAO JOSE - SN(00006)</t>
  </si>
  <si>
    <r>
      <rPr>
        <rFont val="Calibri, Arial"/>
        <b/>
        <color rgb="FF000000"/>
        <sz val="11.0"/>
      </rPr>
      <t>12 (</t>
    </r>
    <r>
      <rPr>
        <rFont val="Calibri, Arial"/>
        <b/>
        <color rgb="FFFF0000"/>
        <sz val="11.0"/>
      </rPr>
      <t>sendo: 09 como salas de aula (05 salas novas e 04 existentes),</t>
    </r>
    <r>
      <rPr>
        <rFont val="Calibri, Arial"/>
        <b/>
        <color rgb="FF000000"/>
        <sz val="11.0"/>
      </rPr>
      <t xml:space="preserve"> 01 adaptada para sala de
leitura/vídeo e 02 adaptadas para laboratórios: 01 biologia/química e 01 informática.</t>
    </r>
  </si>
  <si>
    <t>(73) 9 9944-1657</t>
  </si>
  <si>
    <t>SILVANA SANTOS CORREA</t>
  </si>
  <si>
    <t>(73) 9 8880-7102</t>
  </si>
  <si>
    <t>(73) 3236 2083</t>
  </si>
  <si>
    <t>ANEXO - CEMIT LITORAL NORTE E AGRESTE BAIANO - BAIXIO</t>
  </si>
  <si>
    <t>BAIXIO - SN(00004)</t>
  </si>
  <si>
    <t>85KM</t>
  </si>
  <si>
    <t>INHAMBUPE</t>
  </si>
  <si>
    <t>ESCOLA FAMILIA AGRICOLA DA REGIAO DE ALAGOINHAS</t>
  </si>
  <si>
    <t>FAZENDA BEBEDOURO BOA VISTA - SN(00007)</t>
  </si>
  <si>
    <t>-11.780864088681396, -38.36374536372721</t>
  </si>
  <si>
    <t>COLÉGIO ESTADUAL DO CAMPO MARIA MENDES DE SOUZA (ANTIGO - COLÉGIO ESTADUAL DE INHAMBUPE)</t>
  </si>
  <si>
    <t>RUA DAS LARANJEIRAS - S/N</t>
  </si>
  <si>
    <t>-11.793328581288856, -38.352183451235774</t>
  </si>
  <si>
    <t>COLÉGIO ESTADUAL DE TEMPO INTEGRAL PROFESSORA SIMONE SIMÕES NERI</t>
  </si>
  <si>
    <t>RUA JOAO SILVA NERI - S/N</t>
  </si>
  <si>
    <t>-11.793370294039045, -38.351909218119545</t>
  </si>
  <si>
    <t>CENTRO REG. INT. TECNOLOGICA-CEMIT LITORAL NORTE E AGRESTE BAIANO</t>
  </si>
  <si>
    <t>Rua Manoel Ramos Machado, Centro</t>
  </si>
  <si>
    <t>-11.787995249920993, -38.35542508247281</t>
  </si>
  <si>
    <t>COLEGIO ESTADUAL DO CAMPO DE SERRA GRANDE - DISTRITO DE SERRA GRANDE - TEMPO INTEGRAL</t>
  </si>
  <si>
    <t>ANEXO - CEMIT LITORAL NORTE E AGRESTE BAIANO - POVOADO DE VOLTA DE CIMA</t>
  </si>
  <si>
    <t>VOLTA DE CIMA - SN(00131)</t>
  </si>
  <si>
    <t xml:space="preserve"> POVOADO DE VOLTA DE CIMA</t>
  </si>
  <si>
    <t>LEANDRO LESSA BEZERRA</t>
  </si>
  <si>
    <t>(73) 9 9138-4938</t>
  </si>
  <si>
    <t>HYLLO NADER DE ARAUJO</t>
  </si>
  <si>
    <t>(73) 9 9858-1414</t>
  </si>
  <si>
    <t>(73) 3239-6038</t>
  </si>
  <si>
    <t>ANEXO - CEMIT LITORAL NORTE E AGRESTE BAIANO - DISTRITO DE SAQUINHO</t>
  </si>
  <si>
    <t>DIST. DE SAQUINHO - S/N</t>
  </si>
  <si>
    <t>ANEXO - CEMIT LITORAL NORTE E AGRESTE BAIANO - DISTRITO DE COLONIA</t>
  </si>
  <si>
    <t>DISTRITO DE COLONIA - S/N</t>
  </si>
  <si>
    <t>ITANAGRA</t>
  </si>
  <si>
    <t>COLÉGIO ESTADUAL PROFESSOR CARLOS SANTANA - TEMPO INTEGRAL</t>
  </si>
  <si>
    <t>PRACA LAURO DE FREITAS - SN(00337)</t>
  </si>
  <si>
    <t>-12.253338396559313, -38.03916058860679</t>
  </si>
  <si>
    <t>ITAPICURU</t>
  </si>
  <si>
    <t>COLÉGIO ESTADUAL DO CAMPO DE TEMPO INTEGRAL PROFESSORA MARIA FREIRE ANUNCIAÇÃO SILVA - DIST. DE LAGOA REDONDA</t>
  </si>
  <si>
    <t>LAGOA REDONDA - SN(00006)</t>
  </si>
  <si>
    <t>DISTRITO DE LAGOA REDONDA</t>
  </si>
  <si>
    <t>-11.207872410844878, -38.00545074813926</t>
  </si>
  <si>
    <t>COLEGIO ESTADUAL CARNEIRO RIBEIRO - EM TEMPO INTEGRAL</t>
  </si>
  <si>
    <t>COLÉGIO ESTADUAL DE TEMPO INTEGRAL UIRASSÚ DE ASSIS BATISTA
(ANTIGO CE ANTÔNIO CARLOS MAGALHÃES)</t>
  </si>
  <si>
    <t>IEDA LIMA DE ALMEIDA</t>
  </si>
  <si>
    <t>-11.313004279263456, -38.218760238240044</t>
  </si>
  <si>
    <t>(73) 9 9156-2872/ 9 8126-0278</t>
  </si>
  <si>
    <t xml:space="preserve">MÁRCIA OLIVEIRA SANTANA </t>
  </si>
  <si>
    <t>(73) 9 8806-9186</t>
  </si>
  <si>
    <t>ROSANA BENTO DA SILVA</t>
  </si>
  <si>
    <t>(73) 9 8102-4548</t>
  </si>
  <si>
    <t>(73) 3239-2460</t>
  </si>
  <si>
    <t>JANDAIRA</t>
  </si>
  <si>
    <t>COLÉGIO ESTADUAL DE TEMPO  INTEGRAL PROFESSORA ELISABETH CALAZANS ALVES DOS SANTOS
(ANTIGO: COLÉGIO ESTADUAL DOUTOR LUIS VIANA FILHO)</t>
  </si>
  <si>
    <t>ARGEMIRO GOMES - 76</t>
  </si>
  <si>
    <t>-11.563681271134762, -37.78401101911366</t>
  </si>
  <si>
    <t>Demais laboratórios: 01 Física/matemática
01  Química/biologia
Sala Multifuncional:  01 Sala de jogos, 01 sala de artes marciais.</t>
  </si>
  <si>
    <r>
      <rPr>
        <rFont val="Calibri"/>
        <b/>
        <color theme="1"/>
        <sz val="11.0"/>
      </rPr>
      <t>6 (</t>
    </r>
    <r>
      <rPr>
        <rFont val="Calibri"/>
        <b/>
        <color rgb="FFFF0000"/>
        <sz val="11.0"/>
      </rPr>
      <t>sendo 05 como salas de aula</t>
    </r>
    <r>
      <rPr>
        <rFont val="Calibri"/>
        <b/>
        <color theme="1"/>
        <sz val="11.0"/>
      </rPr>
      <t xml:space="preserve"> e 01 adaptada para sala de professores)  </t>
    </r>
  </si>
  <si>
    <t>ANEXO - CEMIT LITORAL NORTE E AGRESTE BAIANO - POVOADO DE MONTE BELO</t>
  </si>
  <si>
    <t>COLEGIO ESTADUAL PROFESSOR ROCHA PITA - EM TEMPO INTEGRAL</t>
  </si>
  <si>
    <t>PRAÇA JOSÉ ALVES DA SILVA - 186</t>
  </si>
  <si>
    <t>JOSENEL DOS SANTOS OLIVEIRA</t>
  </si>
  <si>
    <t>(75) 9 8818-8982</t>
  </si>
  <si>
    <t>HYAN DA SILVA CARDOSO DOS SANTOS</t>
  </si>
  <si>
    <t>(75) 9 8164-7899</t>
  </si>
  <si>
    <t>(75) 3647-2274</t>
  </si>
  <si>
    <t>ANEXO - CEMIT LITORAL NORTE E AGRESTE BAIANO - DISTRITO COQUEIRO</t>
  </si>
  <si>
    <t>COQUEIROS - SN(00035)</t>
  </si>
  <si>
    <t>DISTRITO DE COQUEIROS</t>
  </si>
  <si>
    <t>ANEXO - CEMIT LITORAL NORTE E AGRESTE BAIANO - DISTRITO ABADIA</t>
  </si>
  <si>
    <t>ABADIA - SN(00124)</t>
  </si>
  <si>
    <t>DISTRITO DE ABADIA</t>
  </si>
  <si>
    <r>
      <rPr>
        <rFont val="Calibri"/>
        <b/>
        <color theme="1"/>
        <sz val="11.0"/>
      </rPr>
      <t>10 (</t>
    </r>
    <r>
      <rPr>
        <rFont val="Calibri"/>
        <b/>
        <color rgb="FFFF0000"/>
        <sz val="11.0"/>
      </rPr>
      <t xml:space="preserve">sendo 8 como salas de aula </t>
    </r>
    <r>
      <rPr>
        <rFont val="Calibri"/>
        <b/>
        <color theme="1"/>
        <sz val="11.0"/>
      </rPr>
      <t>e 01 adaptada para lab. de informática e 01 adaptada para lab. ciências)</t>
    </r>
  </si>
  <si>
    <t>HELIO SOUZA DE CRISTO</t>
  </si>
  <si>
    <t>(75) 9 9921-8611</t>
  </si>
  <si>
    <t>JANINE SANTOS DA SILVA SOARES</t>
  </si>
  <si>
    <t>(75) 9 9966-8823</t>
  </si>
  <si>
    <t>(75) 3653-2110 / 2124</t>
  </si>
  <si>
    <t>ANEXO - CEMIT LITORAL NORTE E AGRESTE BAIANO - CACHOEIRA DO ITANHY</t>
  </si>
  <si>
    <t>CACHOEIRA DO ITANHY - SN(00025)</t>
  </si>
  <si>
    <t>COLÉGIO ESTADUAL DE TEMPO INTEGRAL PROFESSORA NINALVA MARIA PARAIZO SILVA</t>
  </si>
  <si>
    <t>RUA CÂNDIDO DE FARIAS - 388</t>
  </si>
  <si>
    <t xml:space="preserve"> -11.367275844920934 -38.322110601811424</t>
  </si>
  <si>
    <t>NOVO PADRÃO (AMPLIAÇÃO)</t>
  </si>
  <si>
    <t>Estruturas adaptadas: 02 salas de aula.
Demais laboratórios: 01 Biologia/ Química, 01 Matemática/física, 01 Linguagem, 01 estufa e 01 horta</t>
  </si>
  <si>
    <t>COLÉGIO ESTADUAL ACELINA DANTAS DA SILVA - DISTRITO DONA MARIA - EM TEMPO INTEGRAL</t>
  </si>
  <si>
    <t>DISTRITO DE DONA MARIA - SN(00087)</t>
  </si>
  <si>
    <t>-11.503117211879118, -38.29813800210834</t>
  </si>
  <si>
    <t>Estruturas adaptadas: 01 refeitório
Demais laboratórios: 01 estufa</t>
  </si>
  <si>
    <t>OURICANGAS</t>
  </si>
  <si>
    <t>COLÉGIO ESTADUAL DE TEMPO INTEGRAL ELIEL MARTINS</t>
  </si>
  <si>
    <t>RUA IDELFONSO MARTINS DE ABREU - SN(00544)</t>
  </si>
  <si>
    <t>-12.007256091237142, -38.625991679659095</t>
  </si>
  <si>
    <t>05 + 02 
 Adapt.</t>
  </si>
  <si>
    <t>PEDRAO</t>
  </si>
  <si>
    <t>COLÉGIO ESTADUAL JOAO BENEVIDES NOGUEIRA - EM TEMPO INTEGRAL</t>
  </si>
  <si>
    <t>AVENIDA TANCREDO NEVES QUADRA E - S/Nº</t>
  </si>
  <si>
    <t>-12.146246595396248, -38.64166245598658</t>
  </si>
  <si>
    <t>Estruturas adaptadas: 01 biblioteca, 01 refeitório, 01 agência de notícias; Laboratórios: 01 química, 01 física, 01 matemática e 01 informática.</t>
  </si>
  <si>
    <t>ESCOLA FAMILIA AGRICOLA DO LITORAL NORTE</t>
  </si>
  <si>
    <t>MANGABINHA - SN(01478)</t>
  </si>
  <si>
    <t>LAGOA DE BAIXO</t>
  </si>
  <si>
    <t>-11.483290439110094, -37.93166376700291</t>
  </si>
  <si>
    <t>06 + 02 
 Adapt.</t>
  </si>
  <si>
    <t>COLEGIO ESTADUAL DE TEMPO INTEGRAL DE RIO REAL</t>
  </si>
  <si>
    <t>TRAVESSA SAO LAZARO, Nº S/N</t>
  </si>
  <si>
    <t xml:space="preserve">	SALGADEIRA</t>
  </si>
  <si>
    <t>-11.498175609010136, -37.93273853736222</t>
  </si>
  <si>
    <t>COLÉGIO ESTADUAL DE TEMPO INTEGRAL PROFESSOR EDGARD SANTOS</t>
  </si>
  <si>
    <t>PRACA HEITOR DIAS - 18</t>
  </si>
  <si>
    <t>-11.61284957420707, -38.5783137455002</t>
  </si>
  <si>
    <t>AGUA FRIA</t>
  </si>
  <si>
    <t>COLÉGIO ESTADUAL DE ÁGUA FRIA</t>
  </si>
  <si>
    <t>AV ANTONIO SERGIO CARNEIRO - 280</t>
  </si>
  <si>
    <t>-11.886043078682052, -38.76869066494309</t>
  </si>
  <si>
    <t>ANEXO- COLÉGIO ESTADUAL DE ÁGUA FRIA DISTRITO DE PATAIBA</t>
  </si>
  <si>
    <t>AV. GETULIO VARGAS, S/N - 280</t>
  </si>
  <si>
    <t>FLORDOLINA ANGELICA DE ANDRADE</t>
  </si>
  <si>
    <t>AMELIA RODRIGUES</t>
  </si>
  <si>
    <t>(75) 9 8833-9392</t>
  </si>
  <si>
    <t>FRANCISCO CRUZ DO NASCIMENTO</t>
  </si>
  <si>
    <t>(73) 9 8123-9143</t>
  </si>
  <si>
    <t>NILCEANNE NOGUEIRA LIMA FELICIO</t>
  </si>
  <si>
    <t>COLÉGIO ESTADUAL DE TEMPO INTEGRAL AMELIA RODRIGUES 
(ANTIGO C.E MARIA TEOFILA0</t>
  </si>
  <si>
    <t>R. MARIA DA PAZ, 284/694 - AMÉLIA RODRIGUES, BA, 44230-000</t>
  </si>
  <si>
    <t>(73) 9 9123-7129</t>
  </si>
  <si>
    <t>(75) 3641-3341</t>
  </si>
  <si>
    <t>-12.391391944625093, -38.756958886369915</t>
  </si>
  <si>
    <t>Demais laboratórios: 01 Química/física
01  Matemática/ biologia
Sala Multifuncional:  01 Sala de dança 
01 Sala de vivências corporais</t>
  </si>
  <si>
    <t>ANGUERA</t>
  </si>
  <si>
    <t>COLÉGIO ESTADUAL DE TEMPO INTEGRAL ARTHUR VIEIRA DE OLIVEIRA</t>
  </si>
  <si>
    <t>RUA 20 DE NOVEMBRO - S/N</t>
  </si>
  <si>
    <t>-12.152227935155818, -39.23875638073872</t>
  </si>
  <si>
    <t>ANTONIO CARDOSO</t>
  </si>
  <si>
    <t>COLÉGIO ESTADUAL DO CAMPO DE TEMPO INTEGRAL GENIVALDO DE ALMEIDA BRANDÃO</t>
  </si>
  <si>
    <t>BA - 499
VIA PRINCIPAL: RUA OLÁVO LÔBO -S/N - ANTONIO CARDOSO 
RUA DO COLEGIO: R. EVERALDO SOUZA PEREIRA, 655-257 - ANTÔNIO CARDOSO, BA, 44180-000</t>
  </si>
  <si>
    <t>-12.438095584662667, -39.11979765649802</t>
  </si>
  <si>
    <t>CONCEICAO DA FEIRA</t>
  </si>
  <si>
    <t xml:space="preserve">COLÉGIO ESTADUAL DE TEMPO INTEGRAL DE CONCEICAO DA FEIRA </t>
  </si>
  <si>
    <t>RUA DA LIBERDADE - S/N</t>
  </si>
  <si>
    <t>-12.498799733665376, -39.005573864900185</t>
  </si>
  <si>
    <t>COLÉGIO ESTADUAL DE TEMPO INTEGRAL CONCEIÇÃO DO JACUIPE</t>
  </si>
  <si>
    <t>RUA CASTRO ALVES - 229</t>
  </si>
  <si>
    <t>-12.324056228613467, -38.76743438823615</t>
  </si>
  <si>
    <t>CORACAO DE MARIA</t>
  </si>
  <si>
    <t>COLÉGIO ESTADUAL DO CAMPO PROFESSOR JOSÉ WALDOMIRO SANTOS DA CONCEIÇÃO - DISTRITO DO RETIRO</t>
  </si>
  <si>
    <t>RUA CLETO ALVES DA CRUZ - S/N</t>
  </si>
  <si>
    <t>RETIRO</t>
  </si>
  <si>
    <t>-12.127859761134028, -38.81122698485738</t>
  </si>
  <si>
    <t>10 + 04 (Adapt)</t>
  </si>
  <si>
    <t>GILSON SANTOS DE SANTANA</t>
  </si>
  <si>
    <t>(73) 9 9968-9653</t>
  </si>
  <si>
    <t>ELINEUDES ALMEIDA SOUTO SOLEDADE</t>
  </si>
  <si>
    <t>(73) 9 9977-3934</t>
  </si>
  <si>
    <t>MARIA CRISTINA DA ROCHA SOUSA</t>
  </si>
  <si>
    <t>(73) 3255-2405</t>
  </si>
  <si>
    <t>COLÉGIO ESTADUAL DE TEMPO INTEGRAL MARIA LUZIA COSTA DOS SANTOS</t>
  </si>
  <si>
    <t>AVENIDA JOAO AMORIM - 130</t>
  </si>
  <si>
    <t xml:space="preserve"> -12.24730765692567, -38.75869542983238</t>
  </si>
  <si>
    <t>INSTITUTO DE EDUCACAO DE TEMPO INTEGRAL GASTAO GUIMARAES</t>
  </si>
  <si>
    <t>AVENIDA SAMPAIO - S/N</t>
  </si>
  <si>
    <t>-12.257221529303449, -38.957457601826945</t>
  </si>
  <si>
    <t>ANEXO - COLÉGIO ESTADUAL LUIZ ROGERIO DE SOUZA - DISTRITO DE TRAVESSÃO</t>
  </si>
  <si>
    <t>RUA VASCO FILHO - 15</t>
  </si>
  <si>
    <t>-12.259389631344877, -38.95711685344621</t>
  </si>
  <si>
    <t>COLÉGIO GEORGINA SOARES NASCIMENTO</t>
  </si>
  <si>
    <t>RUA DO SALVADOR - 2010</t>
  </si>
  <si>
    <t>TOMBA</t>
  </si>
  <si>
    <t>ALUGADO  VALOR ANUAL ( R$ 71.727,60)</t>
  </si>
  <si>
    <t>-12.291578506676943, -38.94467319402468</t>
  </si>
  <si>
    <t>Estruturas adaptadas: 01 refeitório e 01 auditório.</t>
  </si>
  <si>
    <t>COLÉGIO ESTADUAL TEOTÔNIO VILELA - TEMPO INTEGRAL</t>
  </si>
  <si>
    <t>RUA O CONJUNTO JOÃO PAULO II - S/N</t>
  </si>
  <si>
    <t>MANGABEIRA</t>
  </si>
  <si>
    <t>-12.21727264334711, -38.949811095139104</t>
  </si>
  <si>
    <t>ADRIANA NUNES DE ALMEIDA</t>
  </si>
  <si>
    <t>(73) 9 8140-4778/ 9 9993-7389</t>
  </si>
  <si>
    <t>MARCIO ROBERTO SANTANA</t>
  </si>
  <si>
    <t>(73) 9 9803-9570</t>
  </si>
  <si>
    <t>(73) 3254-0944 / 1431</t>
  </si>
  <si>
    <t>Estruturas adaptadas: 01 refeitório, 01 auditório e 01 sala de leitura.</t>
  </si>
  <si>
    <t>23 (Sendo 15 como salas de aula, 04 salas para Educa Mais Brasil, 01 multiuso, 01 para auditório, 01 para
laboratório de ciências e 01 para informática)</t>
  </si>
  <si>
    <t>COLÉGIO ESTADUAL SANTO ANTÔNIO</t>
  </si>
  <si>
    <t>RUA FREI AURELINO DE GROTTANARE - 823</t>
  </si>
  <si>
    <t>CAPUCHINHOS</t>
  </si>
  <si>
    <t xml:space="preserve">ALUGADO VALOR ANUAL(R$ 162.000,00) </t>
  </si>
  <si>
    <t>Estruturas adaptadas: 01 refeitório e 01 biblioteca.</t>
  </si>
  <si>
    <t>COLÉGIO ESTADUAL ROTARY</t>
  </si>
  <si>
    <t>JUSSEANDRE SANTOS SANTANA</t>
  </si>
  <si>
    <t>RUA JOAO SAMPAIO MACHADO - 235</t>
  </si>
  <si>
    <t>(73) 9 9982-2499</t>
  </si>
  <si>
    <t>ANTONIA ARGOLO DE JESUS</t>
  </si>
  <si>
    <t>CEDIDO ATRAVÉS DE TERMO DE COMODATO</t>
  </si>
  <si>
    <t>(71) 9 9641-1152</t>
  </si>
  <si>
    <t>TALYTA BORGES BEZERRA SAMPAIO</t>
  </si>
  <si>
    <t>-12.259707983857785, -38.94893619144553</t>
  </si>
  <si>
    <t>(73) 9 9972-7850</t>
  </si>
  <si>
    <t>(73) 3254-0582</t>
  </si>
  <si>
    <t>ELEONDES COELHO DOS SANTOS</t>
  </si>
  <si>
    <t>(73) 9 8113-5805</t>
  </si>
  <si>
    <t>COLÉGIO ESTADUAL QUILOMBOLA DE TEMPO INTEGRAL 
DISTRITO DE MATINHA</t>
  </si>
  <si>
    <t>DANIELE LEITE ANDRADE</t>
  </si>
  <si>
    <t>ESTRADA DA MATINHA, Nº S/N</t>
  </si>
  <si>
    <t>(71) 9 8793-6568</t>
  </si>
  <si>
    <t>DISTRITO DA MATINHA</t>
  </si>
  <si>
    <t>(73) 3259-2004</t>
  </si>
  <si>
    <t>-12.986379686420939, -38.43829851850219</t>
  </si>
  <si>
    <r>
      <rPr>
        <rFont val="Calibri"/>
        <b/>
        <color theme="1"/>
        <sz val="11.0"/>
      </rPr>
      <t xml:space="preserve">16 ( </t>
    </r>
    <r>
      <rPr>
        <rFont val="Calibri"/>
        <b/>
        <color rgb="FFFF0000"/>
        <sz val="11.0"/>
      </rPr>
      <t>sendo 06 como salas de aula e</t>
    </r>
    <r>
      <rPr>
        <rFont val="Calibri"/>
        <b/>
        <color theme="1"/>
        <sz val="11.0"/>
      </rPr>
      <t xml:space="preserve"> 10 adaptadas: 01 sala de vídeo, 01 sala de leitura, 01 para laboratório de informática, 01  para sala de AEE, 01 sala de vivências corporais, 01 sala de jogos, 02 unificadas para auditório e 02 unificadas para refeitório)</t>
    </r>
  </si>
  <si>
    <t>COLÉGIO ESTADUAL PROFESSORA TECLA MELLO</t>
  </si>
  <si>
    <t>AVENIDA CENTENÁRIO - 697</t>
  </si>
  <si>
    <t>-12.25509618174328, -38.92560266589215</t>
  </si>
  <si>
    <t>GIANE ROSA DE OLIVEIRA</t>
  </si>
  <si>
    <t>(73) 9 8164-3744</t>
  </si>
  <si>
    <t>VALDENILTON JOSE DOS SANTOS</t>
  </si>
  <si>
    <t>(73) 9 8829-0611</t>
  </si>
  <si>
    <t>(73) 3684-1065</t>
  </si>
  <si>
    <t>COLÉGIO ESTADUAL ODORICO TAVARES</t>
  </si>
  <si>
    <t>RUA JAPÃO - S/N</t>
  </si>
  <si>
    <t>CASEB</t>
  </si>
  <si>
    <t>-12.24552090218189, -38.94767118354428</t>
  </si>
  <si>
    <t>TATIANA DE OLIVEIRA REIS VIANA</t>
  </si>
  <si>
    <t>(73) 9 8168-9363</t>
  </si>
  <si>
    <t>JOELMA GOMES FRANCA</t>
  </si>
  <si>
    <t>(73) 9 9997-5307</t>
  </si>
  <si>
    <t>(73) 3225-1166</t>
  </si>
  <si>
    <t>COLÉGIO ESTADUAL LAZÁRO DOS SANTOS FERREIRA - TEMPO INTEGRAL</t>
  </si>
  <si>
    <t>R. CINQÜENTA E OITO - CONJ. VIVEIROS</t>
  </si>
  <si>
    <t>-12.284530524932483, -38.98975002084386</t>
  </si>
  <si>
    <t>Estruturas adaptadas: 01 refeitório; Laboratórios: 01 ciências e 01 informática adaptados para sala de aula, totalizando 09 salas para aula.</t>
  </si>
  <si>
    <t>COLÉGIO ESTADUAL JUIZ JORGE FARIAS GÓES - TEMPO INTEGRAL</t>
  </si>
  <si>
    <t>MOGI DAS CRUZES - S/N</t>
  </si>
  <si>
    <t>FRANCISVALDO AMARAL ROZA</t>
  </si>
  <si>
    <t>(75) 9 8129-0932</t>
  </si>
  <si>
    <t>-12.237097374929448, -38.9517877278975</t>
  </si>
  <si>
    <t>COLÉGIO ESTADUAL ITAN GUIMARÃES CERQUEIRA - POVOADO DE SANTA QUITÉRIA</t>
  </si>
  <si>
    <t>POVOADO DE SANTA QUITERIA - S/N</t>
  </si>
  <si>
    <t>TIQUARUCU</t>
  </si>
  <si>
    <t>20 KM</t>
  </si>
  <si>
    <t>-12.194644361204574, -38.93482635591321</t>
  </si>
  <si>
    <t>COLÉGIO ESTADUAL IRMÃ ROSA APARECIDA</t>
  </si>
  <si>
    <t>RUA VÊNUS - 275</t>
  </si>
  <si>
    <t>JARDIM ACÁCIA</t>
  </si>
  <si>
    <t>-12.2681146473888, -38.96654409119294</t>
  </si>
  <si>
    <t>Estruturas adaptadas: 02 salas para projetos (multifuncional).</t>
  </si>
  <si>
    <t>RUA CALAMAR - 8</t>
  </si>
  <si>
    <t>CONCEIÇÃO</t>
  </si>
  <si>
    <t>-12.233784353406495, -38.93835935366575</t>
  </si>
  <si>
    <t>COLÉGIO ESTADUAL HELENA ASSIS SUZART</t>
  </si>
  <si>
    <t>RUA L CONJUNTO FEIRA X - S/N</t>
  </si>
  <si>
    <t>FEIRA X</t>
  </si>
  <si>
    <t>-12.272778109987849, -38.97601824749406</t>
  </si>
  <si>
    <t>RUA 2 - 65</t>
  </si>
  <si>
    <t>-12.224471147570178, -38.96097733240181</t>
  </si>
  <si>
    <t>ELIZANGELA BARBOSA MORENO</t>
  </si>
  <si>
    <t>(73) 9 8135-0853</t>
  </si>
  <si>
    <t>GLEYDE AUZILLENE TIAGO DA SILVA</t>
  </si>
  <si>
    <t>(75) 9 9708-4469</t>
  </si>
  <si>
    <t>TABATHA YUKIKO IDOGAWA TIANO</t>
  </si>
  <si>
    <t>(71) 9 9955-8062</t>
  </si>
  <si>
    <t>(73) 3256-2964</t>
  </si>
  <si>
    <t>COLÉGIO ESTADUAL ERNESTO CARNEIRO RIBEIRO</t>
  </si>
  <si>
    <t>RUA A CONJUNTO FEIRA IV - S/N</t>
  </si>
  <si>
    <t>-12.25795244054468, -38.97540147391813</t>
  </si>
  <si>
    <t>COLÉGIO ESTADUAL DURVALINA CARNEIRO</t>
  </si>
  <si>
    <t>RUA VALENTINA CERQUEIRA - 00000</t>
  </si>
  <si>
    <t>SANTO ANTÔNIO DOS PRAZERES</t>
  </si>
  <si>
    <t>-12.244113280472869, -38.933040900250546</t>
  </si>
  <si>
    <t>COLÉGIO ESTADUAL DOUTOR JAIR SANTOS SILVA</t>
  </si>
  <si>
    <t>RUA TOME DE SOUZA - S/N</t>
  </si>
  <si>
    <t>CALUMBI</t>
  </si>
  <si>
    <t>-12.250508814328395, -38.98427415838372</t>
  </si>
  <si>
    <t>COLEGIO ESTADUAL DE TEMPO INTEGRAL DOUTOR ARISTIDES MALTEZ
(COLEGIO ESTADUAL DOUTOR ARISTIDES MALTEZ)</t>
  </si>
  <si>
    <t xml:space="preserve"> IRAE LILIANA CONSIGLIO DE SOUSA</t>
  </si>
  <si>
    <t>(75) 9 8852-9857</t>
  </si>
  <si>
    <t>MEIRE JANE CERQUEIRA SANTOS</t>
  </si>
  <si>
    <t>(71) 98676-2711</t>
  </si>
  <si>
    <t>(75) 3642-2200</t>
  </si>
  <si>
    <t>COLÉGIO ESTADUAL DO CAMPO PADRE HENRIQUE ALVES BORGES - DISTRITO DE HUMILDES</t>
  </si>
  <si>
    <t>RUA CONEGO OLIMPIO - S/N</t>
  </si>
  <si>
    <t>HUMILDES</t>
  </si>
  <si>
    <t>-12.354826688454107, -38.868813277823335</t>
  </si>
  <si>
    <t>COLÉGIO ESTADUAL DO CAMPO MARIA QUITÉRIA- DISTRITO DE MARIA QUITÉRIA</t>
  </si>
  <si>
    <t>ESTRADA DE MARIA QUITERIA - S/N</t>
  </si>
  <si>
    <t>DISTRITO DE MARIA QUITÉRIA</t>
  </si>
  <si>
    <t>-12.150956128336535, -38.98707528340322</t>
  </si>
  <si>
    <t>Estruturas adaptadas: 01 auditório.</t>
  </si>
  <si>
    <t>SONY MARIA LOPES DO ROSARIO</t>
  </si>
  <si>
    <t>(73) 9 8138-0633</t>
  </si>
  <si>
    <t>JOSE OURACI SOUZA ROXO</t>
  </si>
  <si>
    <t>(73 9 9984-2940</t>
  </si>
  <si>
    <t>(73) 3257-2152</t>
  </si>
  <si>
    <t>COLÉGIO ESTADUAL DO CAMPO JOÃO BAPTISTA CARNEIRO - DISTRITO DE IPUAÇU</t>
  </si>
  <si>
    <t>IPUACU - BR KM 07 RODOVIA RIO BAHIA - S/N</t>
  </si>
  <si>
    <t>6+1ADAP</t>
  </si>
  <si>
    <t>IPUAÇU</t>
  </si>
  <si>
    <t>-12.292318859309534, -39.02219049417933</t>
  </si>
  <si>
    <t>Estruturas adaptadas: Laboratório: 01 informática.</t>
  </si>
  <si>
    <t>COLÉGIO ESTADUAL DO CAMPO EDIVALDO MACHADO BOAVENTURA - DISTRITO DE IPUAÇU</t>
  </si>
  <si>
    <t>RUA DO CAJUEIRA - DISTRITO DE IPUACU - S/N</t>
  </si>
  <si>
    <t>14 KM</t>
  </si>
  <si>
    <t>-12.332594727774522, -39.05952097949144</t>
  </si>
  <si>
    <t>RITA MARIA DE CÁSSIA BITTENCOURT CARDOSO</t>
  </si>
  <si>
    <t>(73) 9 9944-6339</t>
  </si>
  <si>
    <t>Estruturas adaptadas: 01 refeitório e 01 sala AEE.</t>
  </si>
  <si>
    <t>COLÉGIO ESTADUAL DO CAMPO DE JAGUARA - DISTRITO DE JAGUARA</t>
  </si>
  <si>
    <t>PRACA DA MATRIZ - S/N</t>
  </si>
  <si>
    <t>-12.127582, -39.111146</t>
  </si>
  <si>
    <t>ANEXO - COLEGIO ESTADUAL ADELAIDE SOUZA  - DISTRITO DE SAO BENEDITO</t>
  </si>
  <si>
    <t>COLEGIO ESTADUAL DE TEMPO INTEGRAL PROFESSORA CELIA SANTOS ANDRADE (ANTIGO GENERAL SAMPAIO)</t>
  </si>
  <si>
    <t>AVENIDA EDUARDO FROES DA MOTA N S/N Bairro: 35º BI CEP: 44001001</t>
  </si>
  <si>
    <t xml:space="preserve">SEDE
</t>
  </si>
  <si>
    <t xml:space="preserve">PRÓPRIO
</t>
  </si>
  <si>
    <t xml:space="preserve">GRANDE
</t>
  </si>
  <si>
    <t>-12.278242679798293, -38.94146937137816</t>
  </si>
  <si>
    <t>COLÉGIO ESTADUAL DE TEMPO INTEGRAL PROFESSORA CARMINDA MASCARENHAS VIEIRA (ANTIGO  GENERAL OSÓRIO)</t>
  </si>
  <si>
    <t>-12.26365340610553, -38.962088914930256</t>
  </si>
  <si>
    <t>COLÉGIO ESTADUAL DE TEMPO INTEGRAL PROFESSORA ANA ANGÉLICA VERGNE DE MORAIS (ANTIGO - CE JOSÉ FERREIRA PINTO)</t>
  </si>
  <si>
    <t>AV. FREI FÉLIX DE PACAUBA, 739 - CAMPO LIMPO, FEIRA DE SANTANA - BA</t>
  </si>
  <si>
    <t>CAMPO LIMPO</t>
  </si>
  <si>
    <t>-12.21065118471123, -38.96674900648368</t>
  </si>
  <si>
    <t>Demais laboratórios: 01 linguagens</t>
  </si>
  <si>
    <t>COLÉGIO ESTADUAL DE TEMPO INTEGRAL PROFESSORA ANA ALICE FIGUEREDO DOS SANTOS (ANTIGO POLIVALENTE)</t>
  </si>
  <si>
    <t>AVENIDA JOÃO DURVAL CARNEIRO - S/N</t>
  </si>
  <si>
    <t>BRASÍLIA</t>
  </si>
  <si>
    <t>-12.270799766442208, -38.95428985336094</t>
  </si>
  <si>
    <t>Estruturas adaptadas: 01 refeitório e 01 sala de vídeo.
Salas multifuncionais: 03 oficinas: 01 dança, 01 capoeira e 01 canto.
Demais laboratórios: 01 linguagens.</t>
  </si>
  <si>
    <t>COLÉGIO ESTADUAL DE TEMPO INTEGRAL HILDA CARNEIRO</t>
  </si>
  <si>
    <t>RUA ADALGISA BORGES - 500</t>
  </si>
  <si>
    <t>-12.229347056749178, -38.9506498445694</t>
  </si>
  <si>
    <t>COLEGIO ESTADUAL LUIS NAVARRO DE BRITO</t>
  </si>
  <si>
    <t>COLÉGIO ESTADUAL DE TEMPO INTEGRAL GEORGINA DE MELO ERISMANN</t>
  </si>
  <si>
    <t>AV. SEN. QUINTINO, 518 - OLHOS D'AGUA, FEIRA DE SANTANA - BA, 44003-677</t>
  </si>
  <si>
    <t>OLHOS D'AGUA</t>
  </si>
  <si>
    <t>-12.264682357404785, -38.96455260197342</t>
  </si>
  <si>
    <t>FABIANA SANTOS DE CARVALHO</t>
  </si>
  <si>
    <t>(73) 9 8103-3641</t>
  </si>
  <si>
    <t>ANA CRISTINA DOS SANTOS ARAGAO</t>
  </si>
  <si>
    <t>(73) 9 8171-3206</t>
  </si>
  <si>
    <t>(73) 3688-2058</t>
  </si>
  <si>
    <r>
      <rPr>
        <rFont val="Calibri, Arial"/>
        <b/>
        <color rgb="FF000000"/>
        <sz val="11.0"/>
      </rPr>
      <t>25 (</t>
    </r>
    <r>
      <rPr>
        <rFont val="Calibri, Arial"/>
        <b/>
        <color rgb="FFFF0000"/>
        <sz val="11.0"/>
      </rPr>
      <t>Sendo 15 como salas de aula</t>
    </r>
    <r>
      <rPr>
        <rFont val="Calibri, Arial"/>
        <b/>
        <color rgb="FF000000"/>
        <sz val="11.0"/>
      </rPr>
      <t>, 04 salas para Educa Mais Brasil, 02 de video, 01 AEE, 01 para labóratorio de ciências, 01 para informatica)</t>
    </r>
  </si>
  <si>
    <t>Demais laboratórios: 01 matemática/física, 01 química e 01 gestão e negócios.</t>
  </si>
  <si>
    <t>COLÉGIO ESTADUAL DE TEMPO INTEGRAL EDITH MACHADO BOAVENTURA</t>
  </si>
  <si>
    <t>RUA DA PRIMAVERA - 2770</t>
  </si>
  <si>
    <t>-12.21779787483362, -38.98807216347076</t>
  </si>
  <si>
    <t>ADRIANO SANTOS FONSECA</t>
  </si>
  <si>
    <t>(73) 9 8254-1939</t>
  </si>
  <si>
    <t>COLÉGIO ESTADUAL DE TEMPO INTEGRAL DE FEIRA DE SANTANA
 (ANTIGO CE PAULO VI)</t>
  </si>
  <si>
    <t>ELVIS RANGEL BARRETO</t>
  </si>
  <si>
    <t>RUA OLNEY ALBERTO SÃO PAULO, 3031 AVIÁRIO,  FEIRA DE SANTANA.</t>
  </si>
  <si>
    <t>AVIÁRIO</t>
  </si>
  <si>
    <t>(75) 9 9880-0327</t>
  </si>
  <si>
    <t>-12.296391107555955, -38.92385119197198</t>
  </si>
  <si>
    <t>(73) 3540-4195</t>
  </si>
  <si>
    <t>Quadras de areia: 02 para futevôlei, 01 para beach tênis.
Demais laboratórios: 01 Linguagem, 01 de biologia/química e 01 matemática/física, 01 sala de robótica,01 escritório criativo, 01 estufa.</t>
  </si>
  <si>
    <t>COLÉGIO ESTADUAL DE TEMPO INTEGRAL CAROLINA MARIA DE JESUS
 (ANTIGA C.E. UYARA PORTUGAL)</t>
  </si>
  <si>
    <t>VILA ANTÔNIO SERGIO CARNEIRO - S/N</t>
  </si>
  <si>
    <t>-12.305437769720257, -38.954113835621406</t>
  </si>
  <si>
    <t>THALES LAGE LIMA</t>
  </si>
  <si>
    <t>(73) 9 8237-1870</t>
  </si>
  <si>
    <t xml:space="preserve">COLÉGIO ESTADUAL DE TEMPO INTEGRAL ASSIS CHATEAUBRIAND
</t>
  </si>
  <si>
    <t>RUA DOUTOR ARIVALDO DE CARVALHO - S/N</t>
  </si>
  <si>
    <t>-12.237129379832282, -38.97546491744282</t>
  </si>
  <si>
    <t>COLEGIO ESTADUAL ESTELA ALELUIA GUIMARAES - EM TEMPO INTEGRAL</t>
  </si>
  <si>
    <t>RUA CICERO ANTERO DE BRITO - SN(00283)</t>
  </si>
  <si>
    <t>JOEDNA AGUIAR DOS SANTOS</t>
  </si>
  <si>
    <t>Estruturas adaptadas: 02 refeitórios.
Demais laboratórios: 01 Química.</t>
  </si>
  <si>
    <t>(75) 9 9249-7930</t>
  </si>
  <si>
    <t>KETYANE DA SILVA EVARISTO</t>
  </si>
  <si>
    <t>(75) 9 9973-4911</t>
  </si>
  <si>
    <t>(75) 3664-1049</t>
  </si>
  <si>
    <t>COLÉGIO DA POLÍCIA MILITAR CPM DIVA PORTELA</t>
  </si>
  <si>
    <t>RUA MONSENHOR MOISÉS GONÇALVES DO COUTO - 2225</t>
  </si>
  <si>
    <t>-12.219088581751693, -38.96850577550518</t>
  </si>
  <si>
    <t>CENTRO TERRITORIAL DE EDUCAÇÃO PROFISSIONAL DO PORTAL DO SERTÃO - DISTRITO DE MARIA QUITÉRIA</t>
  </si>
  <si>
    <t>ESTRADA DO BESOURO - S/N</t>
  </si>
  <si>
    <t>-12.182636741313964, -38.99110356380466</t>
  </si>
  <si>
    <t xml:space="preserve">
Estruturas adaptadas: Laboratório: 01 edificações
Demais laboratórios: 06 laboratórios (01 química/ biologia; 01 matemática/física; 01 robótica; 01 manutenção de computadores; 01 Redes; 01manipulação de alimentos)</t>
  </si>
  <si>
    <t>CENTRO JUVENIL DE CIÊNCIA E CULTURA - CJCC FEIRA DE SANTANA</t>
  </si>
  <si>
    <t>AVENIDA RIO DE JANEIRO N 156   CEP: 44007195</t>
  </si>
  <si>
    <t>PEDRA DO DESCANSO</t>
  </si>
  <si>
    <t>-12.26231311306634, -38.97297587180113</t>
  </si>
  <si>
    <t>CENTRO ESTADUAL DE EDUCAÇÃO PROFISSIONAL EM SAÚDE DO CENTRO BAIANO</t>
  </si>
  <si>
    <t>AVENIDA SENHOR DOS PASSOS,nº 222</t>
  </si>
  <si>
    <t>-12.25911938094318, -38.95509221576254</t>
  </si>
  <si>
    <t>Estruturas adaptadas: 01 refeitório.
Demais laboratórios: 01 enfermagem e saúde bucal, 01 química, 01 analises clínicas.</t>
  </si>
  <si>
    <t>CENTRO ESTADUAL DE EDUCAÇÃO PROFISSIONAL ÁUREO DE OLIVEIRA FILHO</t>
  </si>
  <si>
    <t>RUA BRUXELAS - 123</t>
  </si>
  <si>
    <t>SANTA MÔNICA</t>
  </si>
  <si>
    <t>-12.26290870762119, -38.93596839657863</t>
  </si>
  <si>
    <t>Estruturas adaptadas: 01 refeitório ;Laboratórios: 01 informática.
Demais laboratórios: 7 sendo: 01 Química, 01 Física, 01 Biologia, 01 Eletromecânica, 01 Solos, 01 Elétrica,01 Eletrotécnica.</t>
  </si>
  <si>
    <t>CENTRO EDUCACIONAL CENECISTA DO CAMPO CÔNEGO CUPERTINO DE LACERDA - DISTRITO BONFIM DE FEIRA</t>
  </si>
  <si>
    <t>RUA SOSTENES DE CARVALHO - S/N</t>
  </si>
  <si>
    <t>BONFIM DE FEIRA</t>
  </si>
  <si>
    <t>34 KM</t>
  </si>
  <si>
    <t>-12.270001685124482, -38.93525375399655</t>
  </si>
  <si>
    <t>AVENIDA RIACHUELO - S/N</t>
  </si>
  <si>
    <t>BARAUNAS</t>
  </si>
  <si>
    <t>CENTRO DE APOIO PEDAGÓGICO AO DEFICIENTE VISUAL JONATHAS TELES DE CARVALHO - CAP</t>
  </si>
  <si>
    <t>COMODATO</t>
  </si>
  <si>
    <t>CENTRO DE APOIO PEDAGÓGICO - CAP</t>
  </si>
  <si>
    <t>AVENIDA SAMPAIO - 518</t>
  </si>
  <si>
    <t>-12.257197576333454, -38.95670362944624</t>
  </si>
  <si>
    <t>Estruturas adaptadas: 01 refeitório , 01 biblioteca , 01 sala de música e 01 auditório.</t>
  </si>
  <si>
    <t>ANEXO II - COLÉGIO ESTADUAL DE TEMPO INTEGRAL DE FEIRA DE SANTANA  - CASA DE ATENDIMENTO SOCIOEDUCATIVO JUIZ DE MELO MATOS</t>
  </si>
  <si>
    <t>ESTACAO DE AVICULTURA, S/N - S/N</t>
  </si>
  <si>
    <t>13 KM</t>
  </si>
  <si>
    <t>ANEXO I - COLÉGIO ESTADUAL DE TEMPO INTEGRAL DE FEIRA DE SANTANA - CONJUNTO PENAL DE FEIRA DE SANTANA</t>
  </si>
  <si>
    <t>RUA ESTACAO DE AVICULTURA - S/N</t>
  </si>
  <si>
    <t>2 KM</t>
  </si>
  <si>
    <t>ANEXO - COLÉGIO ESTADUAL DE TEMPO INTEGRAL DE FEIRA DE SANTANA - CASA DE ATENDIMENTO SOCIOEDUCATIVO ZILDA ARNS - DISTRITO MERCANT</t>
  </si>
  <si>
    <t>DISTRITO DE MERCANTE - S/N</t>
  </si>
  <si>
    <t>IPECAETA</t>
  </si>
  <si>
    <t xml:space="preserve">COLÉGIO ESTADUAL DE TEMPO INTEGRAL ÁUREO FILHO </t>
  </si>
  <si>
    <t>RUA ISAURO GONÇALVES GOMES, S/Nº - CENTRO</t>
  </si>
  <si>
    <r>
      <rPr>
        <rFont val="Calibri"/>
        <b/>
        <color theme="1"/>
        <sz val="11.0"/>
      </rPr>
      <t xml:space="preserve">16 salas, </t>
    </r>
    <r>
      <rPr>
        <rFont val="Calibri"/>
        <b/>
        <color rgb="FFFF0000"/>
        <sz val="11.0"/>
      </rPr>
      <t>sendo 14 salas de aula e</t>
    </r>
    <r>
      <rPr>
        <rFont val="Calibri"/>
        <b/>
        <color theme="1"/>
        <sz val="11.0"/>
      </rPr>
      <t xml:space="preserve"> 02 salas adaptadas (sala de artes e sala de vídeo).</t>
    </r>
  </si>
  <si>
    <t>-12.3177457210649, -39.303365151343996</t>
  </si>
  <si>
    <t>COLEGIO ESTADUAL DEMOCRATICA LIBIA TINOCO MELO - EM TEMPO INTEGRAL</t>
  </si>
  <si>
    <t>MARILENE SOUZA BARRETO LIMA</t>
  </si>
  <si>
    <t>(73) 9 8144-8575</t>
  </si>
  <si>
    <t>SAYONARA RIBEIRO DOS SANTOS</t>
  </si>
  <si>
    <t>(73) 9 8212-5379</t>
  </si>
  <si>
    <t>MARIA RITA GOMES DE ASSUNCAO DOS SANTOS</t>
  </si>
  <si>
    <t>(73) 3279-2358</t>
  </si>
  <si>
    <t>8 (sendo 07 como salas de aula e 01 adaptada para sala dos professores)</t>
  </si>
  <si>
    <t>IRARA</t>
  </si>
  <si>
    <t>ESCOLA FAMÍLIA AGRÍCOLA DOS MUNICÍPIOS INTEGRADOS DA REGIÃO DE IRARÁ</t>
  </si>
  <si>
    <t>FAZENDA BOCA DE VARZEA - S/N</t>
  </si>
  <si>
    <t>FAZENDA BOCA DE VARZEA</t>
  </si>
  <si>
    <t>-12.037244276441289, -38.7412610651194</t>
  </si>
  <si>
    <t xml:space="preserve">COLÉGIO ESTADUAL DE TEMPO INTEGRAL PROFESSORA MARLENE ALVES DOS SANTOS </t>
  </si>
  <si>
    <t xml:space="preserve">BA - 504 
 PRÓXIMO AO SUCATÃO DO DENY
</t>
  </si>
  <si>
    <t>-12.027621137204177, -38.770174375890036</t>
  </si>
  <si>
    <t>ANEXO - COLÉGIO ESTADUAL DE TEMPO INTEGRAL PROFESSORA MARLENE ALVES DOS SANTOS - DISTRITO DE LARGO</t>
  </si>
  <si>
    <t>DISTRITO DE LARGO - 104</t>
  </si>
  <si>
    <t>8 KM</t>
  </si>
  <si>
    <t>ANEXO - COLÉGIO ESTADUAL DE TEMPO INTEGRAL PROFESSORA MARLENE ALVES DOS SANTOS - DISTRITO BENTO SIMOES</t>
  </si>
  <si>
    <t>BENTO SIMOES - S/N</t>
  </si>
  <si>
    <t>SANTA BARBARA</t>
  </si>
  <si>
    <t>COLÉGIO ESTADUAL PROFESSOR CARLOS VALADARES</t>
  </si>
  <si>
    <t>AV PATRICIO SAO PAULO - S/N</t>
  </si>
  <si>
    <t>-11.9573115582578, -38.97309720791871</t>
  </si>
  <si>
    <t>COLÉGIO ESTADUAL DE TEMPO INTEGRAL SÃO JOSÉ</t>
  </si>
  <si>
    <t>SAO VICENTE DE PAULO - 198</t>
  </si>
  <si>
    <t>-11.961975523958793, -38.97191840409831</t>
  </si>
  <si>
    <t>SANTANOPOLIS</t>
  </si>
  <si>
    <t>COLÉGIO ESTADUAL DO CAMPO DE TEMPO INTEGRAL JOSÉ ANTÔNIO DE ALMEIDA</t>
  </si>
  <si>
    <t>RUA HERCILIA CAMPOS - S/N</t>
  </si>
  <si>
    <t>-12.023916810075857, -38.866130871104076</t>
  </si>
  <si>
    <t>SANTO ESTEVAO</t>
  </si>
  <si>
    <t>COLÉGIO ESTADUAL DE TEMPO INTEGRAL PROFESSORA EDITE FERREIRA FONSECA</t>
  </si>
  <si>
    <t>PRAÇA HUMBERTO ALVES NOGUEIRA - S/N</t>
  </si>
  <si>
    <t>-12.433092760838171, -39.25170736461789</t>
  </si>
  <si>
    <t>COLEGIO ESTADUAL ONILDO RAIMUNDO CRISTO - DISTRITO DE OROBO - COMUNIDADE QUILOMBOLA</t>
  </si>
  <si>
    <t>COLÉGIO ESTADUAL DE TEMPO INTEGRAL DE SANTO ESTEVÃO</t>
  </si>
  <si>
    <t>R. DR. ANISIO MOREIRA ALVES, 65, SANTO ESTÊVÃO - BA, 44190-000</t>
  </si>
  <si>
    <t>-12.432522587758147, -39.25296574932279</t>
  </si>
  <si>
    <t>DIEGO MENEZES DOS SANTOS</t>
  </si>
  <si>
    <t>(75) 9 8893-2111</t>
  </si>
  <si>
    <t>GILMARA SANDRA DOS SANTOS DE JESUS</t>
  </si>
  <si>
    <t>(75) 9 8175-3014</t>
  </si>
  <si>
    <t>SAO GONCALO DOS CAMPOS</t>
  </si>
  <si>
    <t>(75) 9 9925-5310</t>
  </si>
  <si>
    <t xml:space="preserve">4 ( Sendo 03 utilizadas como salas de aula e 01  sala de multimidia) </t>
  </si>
  <si>
    <t>COLÉGIO ESTADUAL DE TEMPO INTEGRAL DE SÃO GONÇALO DOS CAMPOS</t>
  </si>
  <si>
    <t>AVENIDA DOUTOR ANTÔNIO MUNIZ - 80</t>
  </si>
  <si>
    <t>-12.429158497503325, -38.949750644323444</t>
  </si>
  <si>
    <t>NOVO PADRÃO (COMPLEXO INTEGRADO)</t>
  </si>
  <si>
    <t>Rodovia BA 001, trecho Nilo Peçanha/Ituberá, KM 01</t>
  </si>
  <si>
    <t>Estruturas adaptadas: 01 refeitório, 01 sala de vídeo.</t>
  </si>
  <si>
    <t>TANQUINHO</t>
  </si>
  <si>
    <t>COLÉGIO ESTADUAL DE TEMPO INTEGRAL NOVIS FILHO</t>
  </si>
  <si>
    <t>COLEGIO ESTADUAL JOAO CARDOSO DOS SANTOS</t>
  </si>
  <si>
    <t>R. Américo Trabuco, 41 - Centro, Tanquinho - BA, 44160-000</t>
  </si>
  <si>
    <t xml:space="preserve">KRENY LIMA CARVALHO DE SOUZA </t>
  </si>
  <si>
    <t>(75) 9 8122-2003</t>
  </si>
  <si>
    <t>-11.975659269726789, -39.10301400588824</t>
  </si>
  <si>
    <t>(75) 3641-0174 / 4550</t>
  </si>
  <si>
    <t xml:space="preserve">12 ( Sendo 10  utilizadas como sala de aula e 02 adaptadas para auditório. </t>
  </si>
  <si>
    <t>TEODORO SAMPAIO</t>
  </si>
  <si>
    <t>COLÉGIO ESTADUAL ASSIS VALENTE</t>
  </si>
  <si>
    <t>AVENIDA PAU BRASIL - S/N</t>
  </si>
  <si>
    <t>-12.3139574832979, -38.65095863135001</t>
  </si>
  <si>
    <t>TERRA NOVA</t>
  </si>
  <si>
    <t>COLÉGIO ESTADUAL TERRA NOVA</t>
  </si>
  <si>
    <t>RUA FLÁVIO GODOFREDO PACHECO - 02</t>
  </si>
  <si>
    <t>-12.407370154666403, -38.624259051491</t>
  </si>
  <si>
    <t>COLEGIO ESTADUAL GENTIL PARAISO MARTINS - EM TEMPO INTEGRAL</t>
  </si>
  <si>
    <t>MARA ADRIANE LIMA FRANCA GONCALVES</t>
  </si>
  <si>
    <t>(75) 9 9981-9116</t>
  </si>
  <si>
    <t>ANA MARIA SOUZA SARMENTO SANTOS</t>
  </si>
  <si>
    <t>(75) 9 8812-2858</t>
  </si>
  <si>
    <t>ROSANGELA GOES DE QUEIROZ FIGUEIREDO</t>
  </si>
  <si>
    <t>ANAGE</t>
  </si>
  <si>
    <t>(75) 9 8865-4563</t>
  </si>
  <si>
    <t>(75) 3641-3192</t>
  </si>
  <si>
    <t>ESCOLA FAMILIA AGRICOLA DE ANAGE</t>
  </si>
  <si>
    <t>FAZENDA SERTANEJA - SN(00002)</t>
  </si>
  <si>
    <t>1.9KM</t>
  </si>
  <si>
    <t>-14.617912690702747, -41.1501966220386</t>
  </si>
  <si>
    <t>Demais laboratórios: 1 (ciências/agropecuária/informática) 
 Setores Agropecuários: (Fruteira, Aprisco, Aviário, Viveiro, Horta, Curral, Pocilga, Apiário</t>
  </si>
  <si>
    <t>COLÉGIO ESTADUAL DE TEMPO INTEGRAL SISINIO RIBEIRO SILVA  - DISTRITO DE LINDO HORIZONTE</t>
  </si>
  <si>
    <t>DISTRITO DE LINDO HORIZONTE - S/N</t>
  </si>
  <si>
    <t>-14.55096628160434, -40.73445363927598</t>
  </si>
  <si>
    <t>COLEGIO ESTADUAL DO CAMPO HERMINIO MANOEL DE JESUS - DISTRITO DE BONFIM</t>
  </si>
  <si>
    <t>CLAUDIANA DE SOUZA PEREIRA COSTA</t>
  </si>
  <si>
    <t>(75) 9 8836-3628</t>
  </si>
  <si>
    <t>DANILLO RANGEL PEREIRA</t>
  </si>
  <si>
    <t>(75) 9 8844-2815</t>
  </si>
  <si>
    <t>COLÉGIO ESTADUAL DE TEMPO INTEGRAL DE ANAGÉ (ANTIGO - CE RENATO VIANA)</t>
  </si>
  <si>
    <t>RUA ULISSES OLIVEIRA, S/N</t>
  </si>
  <si>
    <t xml:space="preserve">AUGUSTO VIEIRA </t>
  </si>
  <si>
    <t>-14.612197173572492, -41.12569408285837</t>
  </si>
  <si>
    <t>COLEGIO ESTADUAL BERNARDO BISPO DOS SANTOS - DISTRITO DE JIQUIRIÇA - COMUNIDADE QUILOMBOLA</t>
  </si>
  <si>
    <t>ADEMARIO REIS OLIVEIRA</t>
  </si>
  <si>
    <t>(75) 9 8892-3404/ (71) 9 9123-4633</t>
  </si>
  <si>
    <t>(75) 9 8813-0389</t>
  </si>
  <si>
    <t xml:space="preserve">Demais laboratórios: 01 Biologia/química, 01 Física/matemática, 01 Linguagens </t>
  </si>
  <si>
    <t>ARACATU</t>
  </si>
  <si>
    <t>COLÉGIO ESTADUAL DE TEMPO INTEGRAL DE ARACATU
 (ANTIGO CE CORONEL CANDIDO SILVEIRA SANTOS)</t>
  </si>
  <si>
    <t>R. SANTOS DUMONT, 383, ARACATU - BA, 46130-000</t>
  </si>
  <si>
    <t>-14.426166379152928, -41.46100604957586</t>
  </si>
  <si>
    <t>BARRA DO CHOCA</t>
  </si>
  <si>
    <t>COLÉGIO ESTADUAL DO CAMPO LUCIA ROCHA MACEDO- ASSENTAMENTO CANGUSSU</t>
  </si>
  <si>
    <t>RODOVIA VITORIA DACONQUISTA/BARRA DO CHOCA - SN(00009)</t>
  </si>
  <si>
    <t>ASSENTAMENTO CANGUSSU</t>
  </si>
  <si>
    <t>64 KM</t>
  </si>
  <si>
    <t>-14.961562025481246, -40.647525396927975</t>
  </si>
  <si>
    <t>CENTRO REGIONAL DE ENSINO COM INTERMEDIACAO TECNOLOGICA - CEMIT DO BAIXO SUL</t>
  </si>
  <si>
    <t>COLÉGIO ESTADUAL DE TEMPO INTEGRAL VITORIA LIMA DE OLIVEIRA - DISTRITO DE BARRA NOVA</t>
  </si>
  <si>
    <t>CLEMENTE VIANA - S/N</t>
  </si>
  <si>
    <t xml:space="preserve"> DISTRITO DE BARRA NOVA</t>
  </si>
  <si>
    <t>-14.969678601862263, -40.55635229130778</t>
  </si>
  <si>
    <t>COLÉGIO ESTADUAL DE TEMPO INTEGRAL DE BARRA DO CHOÇA (ANTIGO CE DARIA VIANA DE QUEIROZ)</t>
  </si>
  <si>
    <t>RUA BELA VISTA, 1.086</t>
  </si>
  <si>
    <t>-14.87503800388515, -40.583199503880635</t>
  </si>
  <si>
    <t>ANEXO - COLÉGIO ESTADUAL DO CAMPO LUCIA ROCHA MACEDO - ASSENTAMENTO PATRIA LIVRE</t>
  </si>
  <si>
    <t>ASSENTAMENTO PATRIA LIVRE - SN(00001)</t>
  </si>
  <si>
    <t>ASSENTAMENTO PATRIA LIVRE</t>
  </si>
  <si>
    <t>CENTRO ESTADUAL DE EDUCACAO PROFISSIONAL EM SAÚDE DO LESTE BAIANO</t>
  </si>
  <si>
    <t>GISELDA MARIA ATZLER STOPILHA CAMBRUZZI</t>
  </si>
  <si>
    <t>(75) 9 9252-4826</t>
  </si>
  <si>
    <t>ADEMILTON DE JESUS SANTOS</t>
  </si>
  <si>
    <t>(75) 9 8102-0816/9 9228-1444</t>
  </si>
  <si>
    <t>CEZAR MARTONIO SOUZA SILVA</t>
  </si>
  <si>
    <t>(75) 9 9104-6535</t>
  </si>
  <si>
    <t>08+01 adapt.</t>
  </si>
  <si>
    <t>ANEXO - CEMIT DE VIT.DA CONQUISTA - POVOADO DO SOSSEGO</t>
  </si>
  <si>
    <t>(75) 3641-0572/ 3242</t>
  </si>
  <si>
    <t>POVOADO FAZENDA SOSSEGO, S/N</t>
  </si>
  <si>
    <t xml:space="preserve"> BAIRRO: - CEP: 45120000</t>
  </si>
  <si>
    <t>BELO CAMPO</t>
  </si>
  <si>
    <r>
      <rPr>
        <rFont val="Calibri"/>
        <color theme="1"/>
        <sz val="11.0"/>
      </rPr>
      <t xml:space="preserve">COLÉGIO ESTADUAL DE TEMPO INTEGRAL PROFESSORA ELINEUZA DA SILVA FERREIRA
</t>
    </r>
    <r>
      <rPr>
        <rFont val="Calibri"/>
        <b/>
        <color theme="1"/>
        <sz val="11.0"/>
      </rPr>
      <t>(ANTIGO COLÉGIO ESTADUAL CARLOS SANTANA)</t>
    </r>
  </si>
  <si>
    <t>AVENIDA VITORIA DA CONQUISTA - 826</t>
  </si>
  <si>
    <t>-15.030085430688642, -41.257696573605934</t>
  </si>
  <si>
    <t>ANEXO DO CENTRO ESTADUAL DE EDUCACAO PROFISSIONAL EM SAUDE DO LESTE BAIANO-DISTRITO DE SERRA GRANDE</t>
  </si>
  <si>
    <t>ANEXO - COLÉGIO ESTADUAL DE TEMPO INTEGRAL PROFESSORA ELINEUZA DA SILVA FERREIRA
 - DISTRITO DE TIMBO</t>
  </si>
  <si>
    <t>DISTRITO DE TIMBO - LOCALIZADO A 28 KM DA SEDE - S/N</t>
  </si>
  <si>
    <t xml:space="preserve"> DISTRITO DE TIMBO</t>
  </si>
  <si>
    <t>BOM JESUS DA SERRA</t>
  </si>
  <si>
    <t>COLÉGIO ESTADUAL DE TEMPO INTEGRAL DE BOM JESUS DA SERRA</t>
  </si>
  <si>
    <t>REFERÊNCIA: R. DA SAUDADE - BOM JESUS DA SERRA, BA, 45263-000
O COLEGIO FICA AO LADO DO CEMITÉRIO MUNICIPAL DE BOM JESUS DA SERRA</t>
  </si>
  <si>
    <t>-14.376135201994643, -40.51061535236902</t>
  </si>
  <si>
    <t>CAETANOS</t>
  </si>
  <si>
    <t>COLÉGIO ESTADUAL DE TEMPO INTEGRAL DE CAETANOS - (ANTIGO CE JOAO LOPES DE OLIVEIRA)</t>
  </si>
  <si>
    <t>PRACA OTAVIO JOSE CURVELO - SN(00041)</t>
  </si>
  <si>
    <t>-14.332377308285855, -40.91474177897593</t>
  </si>
  <si>
    <t>ANEXO - COLEGIO ESTADUAL GENTIL PARAISO MARTINS - CONJ. PENAL DE VALENCA - SEDE</t>
  </si>
  <si>
    <t>Demais laboratórios: laboratórios (01 física e matemática, 01 biologia e química, 01 línguas)</t>
  </si>
  <si>
    <t>COLEGIO ESTADUAL NAIR LOPES JENKINS</t>
  </si>
  <si>
    <t>ANEXO - COLÉGIO ESTADUAL DE TEMPO INTEGRAL DE CAETANOS - DIST. DE CALDEIRAO</t>
  </si>
  <si>
    <t>DISTRITO DE CALDEIRAO - S/N</t>
  </si>
  <si>
    <t>DIST. DE CALDEIRAO</t>
  </si>
  <si>
    <t>27 KM</t>
  </si>
  <si>
    <t>SARAH PATRICIA DE ALMEIDA NASCIMENTO</t>
  </si>
  <si>
    <t>(73) 9 9975-5634</t>
  </si>
  <si>
    <t>ISABEL LISBOA DA SILVA</t>
  </si>
  <si>
    <t>(73) 9 9958-3990</t>
  </si>
  <si>
    <t>(73) 3278-2284</t>
  </si>
  <si>
    <t>8 (sendo 07 como salas de aula e 01 adaptada para sala de vídeo)</t>
  </si>
  <si>
    <t>CANDIDO SALES</t>
  </si>
  <si>
    <t>COLÉGIO ESTADUAL DO CAMPO DE TEMPO INTEGRAL MAMEDIO BATISTA LOBÃO - DISTRITO DE LAGOA GRANDE</t>
  </si>
  <si>
    <t>LAGOA GRANDE - SN(00007)</t>
  </si>
  <si>
    <t>-15.300923165170161, -41.39751639219383</t>
  </si>
  <si>
    <t>ANEXO - NAIR LOPES JENKINS - COLEGIO ESTADUAL - DISTRITO DE COCAO</t>
  </si>
  <si>
    <t>COLÉGIO ESTADUAL DO CAMPO DE TEMPO INTEGRAL GEOVANE FERREIRA DE QUEIROZ - DISTRITO DE QUARACU</t>
  </si>
  <si>
    <t>QUARACU - SN(00577)</t>
  </si>
  <si>
    <t>DISTRITO DE QUARACU</t>
  </si>
  <si>
    <t>-15.177465550881001, -41.34701423254981</t>
  </si>
  <si>
    <t>COLÉGIO ESTADUAL DE TEMPO INTEGRAL DE CÂNDIDO SALES</t>
  </si>
  <si>
    <t>SETE DE SETEMBRO - 438</t>
  </si>
  <si>
    <t>-15.500426918089227, -41.25003349201136</t>
  </si>
  <si>
    <t>Demais laboratórios: 01 quimica/biologia, 01 fisica/matemática, 01 linguagens.
Salas multifuncionais: 01 dança/vivencias corporais, 01 multifuncional.</t>
  </si>
  <si>
    <t>ANEXO - CEMIT VITORIA DA CONQUISTA - DISTRITO LAGOA DE TIMOTEO</t>
  </si>
  <si>
    <t>LAGOA DE TIMOTEO - SN(00002)</t>
  </si>
  <si>
    <t>DISTRITO LAGOA DE TIMOTEO</t>
  </si>
  <si>
    <t>115 KM</t>
  </si>
  <si>
    <t>CARAIBAS</t>
  </si>
  <si>
    <t>COLÉGIO ESTADUAL PETRINA NOVAIS SILVA CAIRO</t>
  </si>
  <si>
    <t>PRACA LUIS EDUARDO MAGALHAES - SN(00070)</t>
  </si>
  <si>
    <t>-14.724146512378258, -41.26308683235616</t>
  </si>
  <si>
    <t>Estruturas adaptadas: 01 refeitório, 01 laboratório de ciências, 01 sala de vídeo.</t>
  </si>
  <si>
    <t>COLÉGIO ESTADUAL DE TEMPO INTEGRAL DE CONDEÚBA</t>
  </si>
  <si>
    <t>ALCIDES CORDEIRO - 100</t>
  </si>
  <si>
    <t>-14.900235375224044, -41.97178498001176</t>
  </si>
  <si>
    <t>JULIANO SANTOS COSTA</t>
  </si>
  <si>
    <t>(73) 9 9928-4763</t>
  </si>
  <si>
    <t xml:space="preserve">Estruturas adaptadas: 1 blibioteca, 01 Informática 
01 Ciências </t>
  </si>
  <si>
    <t>CORDEIROS</t>
  </si>
  <si>
    <t xml:space="preserve">COLÉGIO ESTADUAL DE TEMPO INTEGRAL DE CORDEIROS
</t>
  </si>
  <si>
    <t>LOTEAMENTO NOVO CORDEIRO - SN(00059)</t>
  </si>
  <si>
    <t>-15.029386368238104, -41.930547106466726</t>
  </si>
  <si>
    <t>SONIA BARBOSA SANTOS</t>
  </si>
  <si>
    <t>(73) 9 9860-3978</t>
  </si>
  <si>
    <t>06 +04 (Adapt)</t>
  </si>
  <si>
    <t>Estruturas adaptadas: 01 blibioteca,  01 matemática/física
Demais laboratórios: 01 informática e
química/biologia</t>
  </si>
  <si>
    <t>ENCRUZILHADA</t>
  </si>
  <si>
    <t>COLÉGIO ESTADUAL DO CAMPO NANCY DE CASTRO ESTAVES - DIST DE VILA DO CAFE</t>
  </si>
  <si>
    <t>POVOADO VILA DO CAFE - SN(00065)</t>
  </si>
  <si>
    <t>POVOADO VILA DO CAFE</t>
  </si>
  <si>
    <t>-15.623824559482863, -40.712090303123574</t>
  </si>
  <si>
    <r>
      <rPr>
        <rFont val="Calibri"/>
        <b/>
        <color theme="1"/>
        <sz val="11.0"/>
      </rPr>
      <t>8 (</t>
    </r>
    <r>
      <rPr>
        <rFont val="Calibri"/>
        <b/>
        <color rgb="FFFF0000"/>
        <sz val="11.0"/>
      </rPr>
      <t>sendo 07 como salas de aula</t>
    </r>
    <r>
      <rPr>
        <rFont val="Calibri"/>
        <b/>
        <color theme="1"/>
        <sz val="11.0"/>
      </rPr>
      <t xml:space="preserve"> e 01 adaptada para sala dos professores)</t>
    </r>
  </si>
  <si>
    <t>DANILO LARANJEIRA DE JESUS</t>
  </si>
  <si>
    <t>(73) 9 8123-1590</t>
  </si>
  <si>
    <t>COLÉGIO ESTADUAL DE TEMPO INTEGRAL JOSÉ PALLES SOBRINHO</t>
  </si>
  <si>
    <t>RUA JOAQUIM DAMASCENO LACERDA - S/N</t>
  </si>
  <si>
    <t>-15.535033197442466, -40.90215943936597</t>
  </si>
  <si>
    <t>GUAJERU</t>
  </si>
  <si>
    <t>RUA MAURINO DA SILVA AZEREDO - S/N</t>
  </si>
  <si>
    <t>-14.542446865512936, -41.93608025916479</t>
  </si>
  <si>
    <t>"Estruturas adaptadas:  01 informática,  01 refeitório.
Demais laboratórios:  01 biologia e 01 horta.</t>
  </si>
  <si>
    <t>FELIPE PIRES CAITITE</t>
  </si>
  <si>
    <t>(77) 9 8123-4057</t>
  </si>
  <si>
    <t>JACARACI</t>
  </si>
  <si>
    <t>COLÉGIO ESTADUAL ZULEIDE FREIRE DE ABREU</t>
  </si>
  <si>
    <t>AVENIDA WANDERLEI BOTELHO DE MELO - SN(00002)</t>
  </si>
  <si>
    <t>-14.839710210036253, -42.4242661155509</t>
  </si>
  <si>
    <t>LUIZ LEONARDO SOARES FERREIRA</t>
  </si>
  <si>
    <t>(73) 9 8815-1223</t>
  </si>
  <si>
    <t>DEBORA SILVIANNE CARILLO SANTOS RAAD</t>
  </si>
  <si>
    <t>(73) 9 8844-7713</t>
  </si>
  <si>
    <t>CARLOS EDUARDO TORRES</t>
  </si>
  <si>
    <t>(73) 9 9930-8508</t>
  </si>
  <si>
    <t xml:space="preserve">11 ( Sendo 07 como salas de aula e 04 adaptadas para salas multifuncionais) </t>
  </si>
  <si>
    <t>Laboratório de informatica em fase de montagem. (28/07/2026)</t>
  </si>
  <si>
    <t>COLÉGIO ESTADUAL QUILOMBOLA DE TEMPO INTEGRAL BERNARDO BISPO DOS SANTOS - DIST. DE JIQUIRIÇÁ - COMUNIDADE QUILOMBOLA</t>
  </si>
  <si>
    <t>ANEXO - COLÉGIO EST ZULEIDE FREIRE DE ABREU - DISTRITO DE VILA PAIOL</t>
  </si>
  <si>
    <t>PAIOL - SN(00041)</t>
  </si>
  <si>
    <t>DISTRITO DE VILA PAIOL</t>
  </si>
  <si>
    <t>62 KM</t>
  </si>
  <si>
    <r>
      <rPr>
        <rFont val="Calibri"/>
        <b/>
        <color theme="1"/>
        <sz val="11.0"/>
      </rPr>
      <t xml:space="preserve">06 ( </t>
    </r>
    <r>
      <rPr>
        <rFont val="Calibri"/>
        <b/>
        <color rgb="FFFF0000"/>
        <sz val="11.0"/>
      </rPr>
      <t>sendo 05 salas de aula e</t>
    </r>
    <r>
      <rPr>
        <rFont val="Calibri"/>
        <b/>
        <color theme="1"/>
        <sz val="11.0"/>
      </rPr>
      <t xml:space="preserve"> 01 adaptada para sala de leitura)</t>
    </r>
  </si>
  <si>
    <t>ANEXO - COLÉGIO EST ZULEIDE FREIRE DE ABREU - DISTRITO DE SAO JOSE</t>
  </si>
  <si>
    <t>DISTRITO DE SAO JOSE - S/N</t>
  </si>
  <si>
    <t>DISTRITO DE SAO JOSE</t>
  </si>
  <si>
    <r>
      <rPr>
        <rFont val="Calibri"/>
        <b/>
        <color theme="1"/>
        <sz val="11.0"/>
      </rPr>
      <t xml:space="preserve">04 ( </t>
    </r>
    <r>
      <rPr>
        <rFont val="Calibri"/>
        <b/>
        <color rgb="FFFF0000"/>
        <sz val="11.0"/>
      </rPr>
      <t>sendo 03 salas de aula e</t>
    </r>
    <r>
      <rPr>
        <rFont val="Calibri"/>
        <b/>
        <color theme="1"/>
        <sz val="11.0"/>
      </rPr>
      <t xml:space="preserve"> 01 almoxarifado) </t>
    </r>
  </si>
  <si>
    <t>ANEXO - COLÉGIO EST ZULEIDE FREIRE DE ABREU - DISTRITO DE ITUMERIM</t>
  </si>
  <si>
    <t>DISTRITO DE ITUMERIM - S/N</t>
  </si>
  <si>
    <t>DISTRITO DE ITUMERIM</t>
  </si>
  <si>
    <r>
      <rPr>
        <rFont val="Calibri"/>
        <b/>
        <color theme="1"/>
        <sz val="11.0"/>
      </rPr>
      <t xml:space="preserve">10 ( </t>
    </r>
    <r>
      <rPr>
        <rFont val="Calibri"/>
        <b/>
        <color rgb="FFFF0000"/>
        <sz val="11.0"/>
      </rPr>
      <t>sendo 08 salas de aula e</t>
    </r>
    <r>
      <rPr>
        <rFont val="Calibri"/>
        <b/>
        <color theme="1"/>
        <sz val="11.0"/>
      </rPr>
      <t xml:space="preserve"> 02 adaptadas para sala multimídia) </t>
    </r>
  </si>
  <si>
    <t>RICARDO DE OLIVEIRA CARDOSO MONFARDINI</t>
  </si>
  <si>
    <t>(73) 9 8149-0709</t>
  </si>
  <si>
    <t>(73) 3290-2645/998161-6282</t>
  </si>
  <si>
    <t xml:space="preserve">MARIALDA DIAS ASSUNÇÃO </t>
  </si>
  <si>
    <t>(73) 9 9847-1855 / 9 9927-2064</t>
  </si>
  <si>
    <t>ELIAS ANTONIO ALMEIDA DA FONSECA</t>
  </si>
  <si>
    <t>(73) 9 9122-3598</t>
  </si>
  <si>
    <t>ERLEI GOMES FERRARI</t>
  </si>
  <si>
    <t xml:space="preserve"> (73) 9953-0580</t>
  </si>
  <si>
    <t>ANEXO - COLÉGIO EST ZULEIDE FREIRE DE ABREU - DISTRITO DE IRUNDIARA</t>
  </si>
  <si>
    <t>(73) 99827-8490/99918-3019</t>
  </si>
  <si>
    <t>IRUNDIARA - S/N</t>
  </si>
  <si>
    <t>DISTRITO DE IRUNDIARA</t>
  </si>
  <si>
    <t>19 KM</t>
  </si>
  <si>
    <r>
      <rPr>
        <rFont val="Calibri"/>
        <b/>
        <color theme="1"/>
        <sz val="11.0"/>
      </rPr>
      <t xml:space="preserve">27 ( </t>
    </r>
    <r>
      <rPr>
        <rFont val="Calibri"/>
        <b/>
        <color rgb="FFFF0000"/>
        <sz val="11.0"/>
      </rPr>
      <t>sendo 20 como salas de aula e</t>
    </r>
    <r>
      <rPr>
        <rFont val="Calibri"/>
        <b/>
        <color theme="1"/>
        <sz val="11.0"/>
      </rPr>
      <t xml:space="preserve"> 07 adaptadas, sendo: 03 laboratórios (02 informática e 01 ciências), 01 sala de CPA, 01 para sala de professores, 01 sala de lutas e 01 para coordenação)</t>
    </r>
  </si>
  <si>
    <t>IVONETE LIMA DE ALMEIDA</t>
  </si>
  <si>
    <t>(73) 9 9128-2134</t>
  </si>
  <si>
    <t>MARIA MADALENA DA CONCEICAO SANTOS</t>
  </si>
  <si>
    <t>(73) 9 9178-2365</t>
  </si>
  <si>
    <t>(73) 3294-3795/98812-1460</t>
  </si>
  <si>
    <t>ALINE DE SOUZA GALISA</t>
  </si>
  <si>
    <t>(73) 9 9966-3789</t>
  </si>
  <si>
    <t>UALLAS DA SILVA PEREIRA</t>
  </si>
  <si>
    <t>(73) 9 8837-4403</t>
  </si>
  <si>
    <t>(73) 3294-7933/3294-4010</t>
  </si>
  <si>
    <t>LICINIO DE ALMEIDA</t>
  </si>
  <si>
    <t>ESCOLA FAMILIA AGRICOLA DE LICINIO DE ALMEIDA</t>
  </si>
  <si>
    <t>AV ANTONIO CARLOS MAGALHAES - 1099</t>
  </si>
  <si>
    <t>850M</t>
  </si>
  <si>
    <t>-14.688922378532151, -42.50440941681601</t>
  </si>
  <si>
    <t>COLÉGIO ESTADUAL DE TEMPO INTEGRAL DE LICÍNIO DE ALMEIDA (ANTIGO CE DUQUE DE CAXIAS)</t>
  </si>
  <si>
    <t>Rua Silva Jardim, n° 1050</t>
  </si>
  <si>
    <t>POTOSI</t>
  </si>
  <si>
    <t>-14.680170001128676, -42.49784574464709</t>
  </si>
  <si>
    <t>Demais laboratórios: 01 Química/Biologia 
01 Física/matemática, 01 Linguagens</t>
  </si>
  <si>
    <t>ANEXO - COLÉGIO ESTADUAL DE TEMPO INTEGRAL DE LICÍNIO DE ALMEIDA - POV DE JUREMA</t>
  </si>
  <si>
    <t>RUA MANOEL CAETANO, S/N - S/N</t>
  </si>
  <si>
    <t>JUREMA</t>
  </si>
  <si>
    <t>ANEXO - COLÉGIO ESTADUAL DE TEMPO INTEGRAL DE LICÍNIO DE ALMEIDA - DIST TAUAPE</t>
  </si>
  <si>
    <t>RUI BARBOSA -DIST TAUAPE - 199</t>
  </si>
  <si>
    <t>MAETINGA</t>
  </si>
  <si>
    <t>COLÉGIO ESTADUAL DE TEMPO INTEGRAL DE MAETINGA (ANITGO CE EDVALDO FLORES)</t>
  </si>
  <si>
    <t>RUA EXUPERIO LIMA - S/N</t>
  </si>
  <si>
    <t>-14.667248379499014, -41.489189283844766</t>
  </si>
  <si>
    <t>MIRANTE</t>
  </si>
  <si>
    <t>COLÉGIO ESTADUAL DE TEMPO INTEGRAL PROFESSOR DIOMAR SILVA BRITO</t>
  </si>
  <si>
    <t>JOSE MATOS - 503</t>
  </si>
  <si>
    <t>-14.24043725639861, -40.76319673338725</t>
  </si>
  <si>
    <t>MORTUGABA</t>
  </si>
  <si>
    <t>COLÉGIO ESTADUAL DE TEMPO INTEGRAL DE MORTUGABA (ANTIGO - CE LEONIDIA SILVA MOREIRA PARDINHO)</t>
  </si>
  <si>
    <t>RUA ANTÔNIO CARVALHO - S/N</t>
  </si>
  <si>
    <t>-15.02820115318263, -42.370351659719</t>
  </si>
  <si>
    <t xml:space="preserve">NURIA SILVA LYRA </t>
  </si>
  <si>
    <t>(73) 9 9957-7609</t>
  </si>
  <si>
    <t>(73) 9 9954-3439 - ZAP DA UEE</t>
  </si>
  <si>
    <t>Demais laboratórios: 01 Linguagens, 01 Química/biologia, 01 Física/matemática
Sala multifuncional: 01 Sala de dança, 01 Sala multifuncional</t>
  </si>
  <si>
    <t>PIRIPA</t>
  </si>
  <si>
    <t>COLEGIO ESTADUAL DE TEMPO INTEGRAL DE ITANHEM (ANTIGO POLIVALENTE )</t>
  </si>
  <si>
    <t>MARIA DENISE LISBOA MEDEIROS</t>
  </si>
  <si>
    <t>(73) 9 8829-9620</t>
  </si>
  <si>
    <t>CREUSA FERREIRA DOS SANTOS</t>
  </si>
  <si>
    <t>(73) 9 9932-0715</t>
  </si>
  <si>
    <t>COLÉGIO ESTADUAL DE TEMPO INTEGRAL DE PIRIPA</t>
  </si>
  <si>
    <t>(73) 3295-2119</t>
  </si>
  <si>
    <t>PRACA DO COLÉGIO - 221</t>
  </si>
  <si>
    <t>10 + 01 (Adapt)</t>
  </si>
  <si>
    <t>-14.944139540184597 -41.71784402627486</t>
  </si>
  <si>
    <t>ANEXO - CEMIT VITORIA DA CONQUISTA - DISTRITO DE BARRA DA ILHA</t>
  </si>
  <si>
    <t>OLIVEIRA BRITO - SN(02243)</t>
  </si>
  <si>
    <t>161 KM</t>
  </si>
  <si>
    <t>COLÉGIO ESTADUAL DE TEMPO INTEGRAL DE PLANALTO</t>
  </si>
  <si>
    <t>AVENIDA SÃO JOÃO - 200</t>
  </si>
  <si>
    <t>MOR DO PLANALTO</t>
  </si>
  <si>
    <t>-14.670243325120394, -40.48621247251168</t>
  </si>
  <si>
    <t>DA MATRIZ - SN(00005)</t>
  </si>
  <si>
    <t>DISTRITO VILA JOSÉ RESENDE</t>
  </si>
  <si>
    <t>ANEXO - COLÉGIO ESTADUAL DE TEMPO INTEGRAL DE PLANALTO - DISTRITO DE GERIBA</t>
  </si>
  <si>
    <t>GERIBA - SN(00002)</t>
  </si>
  <si>
    <t>DISTRITO DE GERIBA</t>
  </si>
  <si>
    <t>48 KM</t>
  </si>
  <si>
    <t>COLÉGIO ESTADUAL DE TEMPO INTEGRAL ROBERTO SANTOS
(ANTIGO DR ROBERTO SANTOS)</t>
  </si>
  <si>
    <t>RUA VISCONDE DO RIO BRANCO - 274</t>
  </si>
  <si>
    <t>INDAIA</t>
  </si>
  <si>
    <t>-14.524260159281276, -40.37238974445033</t>
  </si>
  <si>
    <t>COLÉGIO ESTADUAL DE TEMPO INTEGRAL EURIDES SANTANA</t>
  </si>
  <si>
    <t>RUA SARGENTO MOR - 459</t>
  </si>
  <si>
    <t>-14.531914221469679, -40.359406726974555</t>
  </si>
  <si>
    <t>ANEXO - CEMIT VITORIA DA CONQUISTA - DISTRITO ROCADO GRANDE</t>
  </si>
  <si>
    <t>07 DE SETEMBRO - 37</t>
  </si>
  <si>
    <t>73 KM</t>
  </si>
  <si>
    <t>ANEXO - CEMIT VITORIA DA CONQUISTA - DISTRITO DE BANDEIRA NOVA</t>
  </si>
  <si>
    <t>ANEXO - CEMIT VITORIA DA CONQUISTA - DIST. DE LAGOA DA SERRA</t>
  </si>
  <si>
    <t>DISTRITO DE LAGOA DA SERRA - S/N</t>
  </si>
  <si>
    <t>103 KM</t>
  </si>
  <si>
    <t>PRESIDENTE JANIO QUADROS</t>
  </si>
  <si>
    <t>COLÉGIO ESTADUAL DO CAMPO ERALDO TINOCO - TEMPO INTEGRAL</t>
  </si>
  <si>
    <t>AVENIDA PADRE LADISLAU KLENER - S/N</t>
  </si>
  <si>
    <t>-14.691359295041172, -41.674443285819216</t>
  </si>
  <si>
    <t>COLÉGIO ESTADUAL PROFESSORA MARIA EDITE VIEIRA GUSMÃO - EM TEMPO INTEGRAL</t>
  </si>
  <si>
    <t>NILSON CORREIA AMORIM</t>
  </si>
  <si>
    <t>(73) 9 8184-8063</t>
  </si>
  <si>
    <t>Luzia de Oliveira Santos</t>
  </si>
  <si>
    <t>(73) 9 8146 - 0540</t>
  </si>
  <si>
    <t>(73) 3662-2221/ 98179-3533</t>
  </si>
  <si>
    <t>RIBEIRAO DO LARGO</t>
  </si>
  <si>
    <t>COLÉGIO ESTADUAL DE TEMPO INTEGRAL ANTÔNIO GONÇALVES</t>
  </si>
  <si>
    <t>PRACA VALDEMAR NOGUEIRA - 7</t>
  </si>
  <si>
    <t>-15.458455938703173, -40.74206712684554</t>
  </si>
  <si>
    <t>ANEXO - COLÉGIO ESTADUAL PROFESSORA MARIA EDITE VIEIRA GUSMÃO - DISTRITO DE SÃO JOÃO DA BOA NOVA</t>
  </si>
  <si>
    <t>ANEXO - COLÉGIO ESTADUAL DO CAMPO LUCIA ROCHA MACEDO - ASSENTAMENTO BOA SORTE</t>
  </si>
  <si>
    <t>ASSENTAMENTO BOA SORTE - SN(00001)</t>
  </si>
  <si>
    <t>170 KM</t>
  </si>
  <si>
    <t>ANEXO - COLÉGIO ESTADUAL DE TEMPO INTEGRAL ANTÔNIO GONÇALVES - DISTRITO NOVA BRASÍLIA</t>
  </si>
  <si>
    <t>PRACA VALDEMAR NOGUEIRA DISTRITO DE NOVA BRASILIA - S/N</t>
  </si>
  <si>
    <t>21 KM</t>
  </si>
  <si>
    <t>ANEXO - COLÉGIO ESTADUAL PROFESSORA MARIA EDITE VIEIRA GUSMÃO - DISTRITO DE MONTE AZUL</t>
  </si>
  <si>
    <t>ANEXO - CEMIT VITORIA DA CONQUISTA - DISTRITO DE CACHOEIRA</t>
  </si>
  <si>
    <t>POLICARPO FERREIRA DOS ANJOS - SN(00323)</t>
  </si>
  <si>
    <t>TREMEDAL</t>
  </si>
  <si>
    <t>ANEXO - COLÉGIO ESTADUAL PROFESSORA MARIA EDITE VIEIRA GUSMÃO - DISTRITO DE ÁGUA LIMPA</t>
  </si>
  <si>
    <t>COLÉGIO ESTADUAL MARIETA PEREIRA DOS SANTOS - TEMPO INTEGRAL</t>
  </si>
  <si>
    <t>AVENIDA JOAQUIM FERRAZ DE ARAUJO - S/N</t>
  </si>
  <si>
    <t>-14.97126334270327, -41.402365048748806</t>
  </si>
  <si>
    <t>ANEXO - COLÉGIO EST. MARIETA PEREIRA DOS SANTOS - DIST. FURADO DA CANCELA</t>
  </si>
  <si>
    <t>DIST. FURADO DA CANCELA - S/N</t>
  </si>
  <si>
    <t xml:space="preserve"> DIST. FURADO DA CANCELA</t>
  </si>
  <si>
    <t>SIRLEI BRITO DE OLIVEIRA SANTOS</t>
  </si>
  <si>
    <t>(73) 9 8217-3131</t>
  </si>
  <si>
    <t>(73) 3299-2030 /98217-3131</t>
  </si>
  <si>
    <t>3+1ADAP</t>
  </si>
  <si>
    <t>6 + 4 (Adapt)</t>
  </si>
  <si>
    <t>ANEXO - COL. ESTADUAL MARIETA PEREIRA DOS SANTOS - DIST. LAGOA PRETA</t>
  </si>
  <si>
    <t>DE LAGOA PRETA - S/N</t>
  </si>
  <si>
    <t xml:space="preserve"> DIST. LAGOA PRETA</t>
  </si>
  <si>
    <t>40 KM</t>
  </si>
  <si>
    <t>COMPLEXO INTEGRADO DE EDUCAÇÃO BÁSICA TECNOLÓGICA E PROFISSIONAL DE VITÓRIA DA CONQUISTA</t>
  </si>
  <si>
    <t>AVENIDA GUANAMBI - 1765</t>
  </si>
  <si>
    <t>INDEPENDENCIA</t>
  </si>
  <si>
    <t>-14.860806013025847, -40.855547098457265</t>
  </si>
  <si>
    <t>SERGIO ALVES DE SOUZA</t>
  </si>
  <si>
    <t>(73) 9 9994-7760</t>
  </si>
  <si>
    <t>FILIPE GUSTAVO BARBOSA SARMENTO</t>
  </si>
  <si>
    <t>(73) 9 9961-6973</t>
  </si>
  <si>
    <t>ANDREIA OLIVEIRA PRATES</t>
  </si>
  <si>
    <t>COLÉGIO ESTADUAL PROFESSORA HELEUSA FIGUEIRA CAMARA - TEMPO INTEGRAL</t>
  </si>
  <si>
    <t>AV OLIVIA FLORES - 1.180</t>
  </si>
  <si>
    <t>CANDEIAS</t>
  </si>
  <si>
    <t>-14.866724697241988, -40.8232494587729</t>
  </si>
  <si>
    <t>COLÉGIO ESTADUAL JOSE SA NUNES</t>
  </si>
  <si>
    <t>RUA CARNEIRO DE CAMPOS - S/N</t>
  </si>
  <si>
    <t>-14.844329132194181, -40.84626108365491</t>
  </si>
  <si>
    <t>Estruturas adaptadas: 01 sala de leitura
Demais laboratórios: 01 Matemática/ Física/Química e Biologia</t>
  </si>
  <si>
    <t>COLÉGIO ESTADUAL DO CAMPO JOSE GONCALVES - DISTRITO DE JOSE GONCALVES - TEMPO INTEGRAL</t>
  </si>
  <si>
    <t>VITORIA DA CONQUISTA - 1000</t>
  </si>
  <si>
    <t>DISTRITO JOSE GONÇALVES</t>
  </si>
  <si>
    <t>COLÉGIO ESTADUAL JACI FERREIRA DOS SANTOS - TEMPO INTEGRAL</t>
  </si>
  <si>
    <t>-14.730698334103058, -40.719228009177534</t>
  </si>
  <si>
    <t>MONICA APARECIDA DOMINGUES</t>
  </si>
  <si>
    <t>(73) 9 9957-5592</t>
  </si>
  <si>
    <t>REJANE SOARES RUAS</t>
  </si>
  <si>
    <t>(73) 9 9908-5192</t>
  </si>
  <si>
    <t xml:space="preserve">(73) 3206-2428 </t>
  </si>
  <si>
    <t>12 (Sendo 9 como sala de aula, 1 adaptada p/ laboratório de informática, 1 adaptada p/ laboratório de informática e 1 sala ambiente)</t>
  </si>
  <si>
    <t>Estruturas adaptadas: 01 Viveiro, 01 Horta</t>
  </si>
  <si>
    <t>MARCOS SANTOS NOVAIS</t>
  </si>
  <si>
    <t>(73) 9 9982-8164</t>
  </si>
  <si>
    <t>COLÉGIO ESTADUAL DO CAMPO ERASMO NOVAIS DOS SANTOS</t>
  </si>
  <si>
    <t>ELIENE FERREIRA DA SILVA NOVAIS</t>
  </si>
  <si>
    <t>RUA MANOEL VIANA NOVAIS, S/N, DISTRITO DO PRADOSO</t>
  </si>
  <si>
    <t>(73) 9 9929-2993</t>
  </si>
  <si>
    <t>BRASIL</t>
  </si>
  <si>
    <t>VANESSA THOMAZINI DA SILVA</t>
  </si>
  <si>
    <t>(73) 9 9975-9839</t>
  </si>
  <si>
    <t>-14.860358714776467, -40.85592501005673</t>
  </si>
  <si>
    <t>(73) 3605-2435</t>
  </si>
  <si>
    <t>COLÉGIO ESTADUAL ALCIDES AFONSO DE SOUZA - ASSENTAMENTO PAULO FREIRE</t>
  </si>
  <si>
    <t>ISAIAS FERREIRA DE OLIVEIRA</t>
  </si>
  <si>
    <t>(73) 9 9953-0333</t>
  </si>
  <si>
    <t>ÉRICA ALCIDES - FUNCIONÁRIA DA UEE                                                        FUNÇÃO: APOIO ADMINISTRATIVO    CELULAR: (73) 9 9925-9976</t>
  </si>
  <si>
    <t>(73) 99926-8881</t>
  </si>
  <si>
    <t xml:space="preserve">COLEGIO ESTADUAL DO CAMPO DE TEMPO INTEGRAL PROFESSORA ELISABETH MARIA COUTO </t>
  </si>
  <si>
    <t>RODOVIA BA - 639, Nº S/N</t>
  </si>
  <si>
    <t>-15.267863999679749 -40.95569973237174</t>
  </si>
  <si>
    <t>Demais laboratórios: 01 Biologia/química 
01 Física/matemática, 01 linguagens 
Sala multifuncional: 01 Sala de dança/vivências corporais</t>
  </si>
  <si>
    <t>COLÉGIO ESTADUAL DO CAMPO DA CABECEIRA DO RIO JIBÓIA - DISTRITO CABECEIRA DA JIBOIA</t>
  </si>
  <si>
    <t>CABECEIRA DA JIBOIA - SN(00608)</t>
  </si>
  <si>
    <t>DISTRITO CABECEIRA DA JIBOIA</t>
  </si>
  <si>
    <t>ALUGADO (R$ 7.679.52)</t>
  </si>
  <si>
    <t>-15.062692232979638, -40.8045535578527</t>
  </si>
  <si>
    <t>11 + 01 adapt</t>
  </si>
  <si>
    <t>COLÉGIO ESTADUAL DE TEMPO INTEGRAL PADRE LUIS SOARES PALMEIRA</t>
  </si>
  <si>
    <t>RUA LOCAL E, URBIS V - 90</t>
  </si>
  <si>
    <t>URBIS</t>
  </si>
  <si>
    <t>-14.843258124675263, -40.872444322142165</t>
  </si>
  <si>
    <t>Estruturas adaptadas: 01 adaptada para secretaria e 01 adaptada para sala de cordenação/professores)</t>
  </si>
  <si>
    <t>FERNANDA SOARES DE ARAUJO</t>
  </si>
  <si>
    <t>(73) 9 9936-2244</t>
  </si>
  <si>
    <t>ALDA MARIA DE OLIVEIRA QUINELATO</t>
  </si>
  <si>
    <t>(73) 9 9992-9678</t>
  </si>
  <si>
    <t>(73) 3209-3293/ 9 9976-5861</t>
  </si>
  <si>
    <t>COLÉGIO ESTADUAL DE TEMPO INTEGRAL DOM CLIMERIO ALMEIDA DE ANDRADE,</t>
  </si>
  <si>
    <t>F - 987</t>
  </si>
  <si>
    <t>-14.907673976070233, -40.836555845953704</t>
  </si>
  <si>
    <t>MONICA ILEDE REY ALVES</t>
  </si>
  <si>
    <t>(73) 9 9995-7627</t>
  </si>
  <si>
    <t>SALETE FATIMA LIEFEN</t>
  </si>
  <si>
    <t>(73) 9 8896-1331</t>
  </si>
  <si>
    <t>MARIA JOSE ALMEIDA SANTIAGO</t>
  </si>
  <si>
    <t>(73) 9 9911-3113</t>
  </si>
  <si>
    <t>Estruturas adaptadas: 01 Sala de AEE</t>
  </si>
  <si>
    <t>(73) 3209-3114/ 9 9900-3365</t>
  </si>
  <si>
    <t>8+2ADAP</t>
  </si>
  <si>
    <t>COLÉGIO ESTADUAL DE TEMPO INTEGRAL DE VITÓRIA DA CONQUISTA (ANTIGO ABDIAS)</t>
  </si>
  <si>
    <t>WASHINGTON LUÍS - SN(00025)</t>
  </si>
  <si>
    <t>RECREIO</t>
  </si>
  <si>
    <t>-14.858211987072034, -40.83281152657225</t>
  </si>
  <si>
    <t>COLÉGIO ESTADUAL JOHN KENNEDY</t>
  </si>
  <si>
    <t>MARIA AUXILIADORA FAVALESSA</t>
  </si>
  <si>
    <t>(73) 9 9956-7409</t>
  </si>
  <si>
    <t>MÁRCIO JEFFERSON GONÇALVES</t>
  </si>
  <si>
    <t>(73) 9 9949-2341</t>
  </si>
  <si>
    <t>(73) 3208-1345/9 9956-7409</t>
  </si>
  <si>
    <t>6 (Sendo 5 como sala de aula e 1 Biblioteca Improvisada)</t>
  </si>
  <si>
    <t xml:space="preserve">Demais laboratórios: 01 Biologia/química, 01 Física/matemática
</t>
  </si>
  <si>
    <t>COLÉGIO ESTADUAL DE TEMPO INTEGRAL CAMILLO DE JESUS LIMA</t>
  </si>
  <si>
    <t>POTIRAGUÁ - SN(00002)</t>
  </si>
  <si>
    <t>PATAGÔNIA</t>
  </si>
  <si>
    <t>-14.878882714173551, -40.86523089346243</t>
  </si>
  <si>
    <t>RUA ANISIO TEIXEIRA - S/N</t>
  </si>
  <si>
    <t>SUMARE</t>
  </si>
  <si>
    <t>-14.847502617448562, -40.830161997353834</t>
  </si>
  <si>
    <t>Estruturas adaptadas: 01 Sala de leitura, 01 Refeitório</t>
  </si>
  <si>
    <t>LETICIA FERREIRA (COORDENADORA INDIGENA RESPONDENDO PELAS ESCOLAS DE PRADO)</t>
  </si>
  <si>
    <t>(73) 9 8868-8611</t>
  </si>
  <si>
    <t>07 + 01 (Adapt)</t>
  </si>
  <si>
    <t>COLÉGIO DA POLICIA MILITAR - CPM ERALDO TINOCO</t>
  </si>
  <si>
    <t>BRASÍLIA - SN(00010)</t>
  </si>
  <si>
    <t>PATAGONIA</t>
  </si>
  <si>
    <t>-14.877263165476494, -40.857598843390456</t>
  </si>
  <si>
    <t>Estruturas adaptadas: 01 Refeitório
Demais laboratórios: 01 de química, física, biologia e matemática</t>
  </si>
  <si>
    <t>COL. EST. KLEBER PACHECO DE OLIVEIRA - PRISIONAL</t>
  </si>
  <si>
    <t>RUA H - SN(00056)</t>
  </si>
  <si>
    <t>BATEIAS</t>
  </si>
  <si>
    <t>-14.850224276044553, -40.86324349537287</t>
  </si>
  <si>
    <t>CENTRO TERRITORIAL DE EDUCACAO PROFISSIONAL DE VITORIA DA CONQUISTA</t>
  </si>
  <si>
    <t>BEM QUERER - SN(00046)</t>
  </si>
  <si>
    <t>ADMINISTRATIVA</t>
  </si>
  <si>
    <t>-14.891729126292086, -40.8043400770052</t>
  </si>
  <si>
    <t>UEE ADMINISTRATIVA INDÍGENA</t>
  </si>
  <si>
    <t>08 + 03 adapt.</t>
  </si>
  <si>
    <t>MAICON RODRIGUES DOS SANTOS</t>
  </si>
  <si>
    <t>(73) 9 8858-3480</t>
  </si>
  <si>
    <t>DAMIANA DA CRUZ DEOCLECIANO</t>
  </si>
  <si>
    <t>(73) 9 8863-7223</t>
  </si>
  <si>
    <t>(73) 98898-8882/988871-1747</t>
  </si>
  <si>
    <t>Estruturas adaptadas: 01 Auditório
Demais laboratórios:  01 de topografia, 01 desenho técnico, 01 de agropecuária, 01 biologia e 01 de química, 01 de robótica e 01 de edificações - Projeto PAIS - 01 Horta, 01 Viveiros de mudas</t>
  </si>
  <si>
    <t>CENTRO REG DE ENS MEDIO COM INTERMEDIACAO TEC-CEMIT DE VIT.DA CONQUISTA</t>
  </si>
  <si>
    <t>Avenida Olívia Flores, nº 1180</t>
  </si>
  <si>
    <t>-14.85014052485559, -40.83907999938837</t>
  </si>
  <si>
    <t>UILIAN CONCEICAO DE SOUZA RODRIGUES</t>
  </si>
  <si>
    <t>(73) 9 8899-8166</t>
  </si>
  <si>
    <t>CENTRO JUVENIL DE CIENCIA E CULTURA - CJCC VITORIA DA CONQUISTA</t>
  </si>
  <si>
    <t>GUANAMBI N 1765 Bairro: BRASIL CEP: 45051445</t>
  </si>
  <si>
    <r>
      <rPr>
        <rFont val="Calibri"/>
        <b/>
        <color theme="1"/>
        <sz val="11.0"/>
      </rPr>
      <t xml:space="preserve">15 salas, </t>
    </r>
    <r>
      <rPr>
        <rFont val="Calibri"/>
        <b/>
        <color rgb="FFFF0000"/>
        <sz val="11.0"/>
      </rPr>
      <t>sendo 14 salas de aula e</t>
    </r>
    <r>
      <rPr>
        <rFont val="Calibri"/>
        <b/>
        <color theme="1"/>
        <sz val="11.0"/>
      </rPr>
      <t xml:space="preserve"> 01 adaptada para sala de vivências corporais</t>
    </r>
  </si>
  <si>
    <t>-14.861444431297873, -40.856311187363325</t>
  </si>
  <si>
    <t>CENTRO DE APOIO PEDAGÓGICO ESPECIALIZADO DE VITÓRIA DA CONQUISTA</t>
  </si>
  <si>
    <t>RUA H S/N N S/N Bairro: URBIS CEP: 45050-015</t>
  </si>
  <si>
    <t>-14.85031733366909, -40.863336298983036</t>
  </si>
  <si>
    <t>COLEGIO ESTADUAL INDIGENA AKSA PATAXO - ALDEIA CRAVEIRO</t>
  </si>
  <si>
    <t>ANEXO - COLÉGIO ESTADUAL KLEBER PACHECO - CASE WANDERLINO NOGUEIRA NETO</t>
  </si>
  <si>
    <t>CHÁCARAS CANDEIAS - 07</t>
  </si>
  <si>
    <t>ALEX DOS SANTOS PEREIRA</t>
  </si>
  <si>
    <t>02 + 05 (Adapt)</t>
  </si>
  <si>
    <t>ANEXO - COLÉGIO ESTADUAL DO CAMPO LUCIA ROCHA MACEDO - ASSENTAMENTO LAGOA DO CALDEIRAO</t>
  </si>
  <si>
    <t>ASSENTAMENTO CALDEIRAO - SN(00021)</t>
  </si>
  <si>
    <t>ANEXO - COLÉGIO ESTADUAL DO CAMPO ERASMO NOVAIS DOS SANTOS - DIST. DE BATE-PE</t>
  </si>
  <si>
    <t>BATE-PE - 90</t>
  </si>
  <si>
    <t>ANEXO - COLÉGIO ESTADUAL DO CAMPO DA CABECEIRA DA JIBOIA - DISTRITO CAPINAL</t>
  </si>
  <si>
    <t>CAPINAL - SN(00088)</t>
  </si>
  <si>
    <t xml:space="preserve">ANEXO - CEMIT VITORIA DA CONQUISTA DISTRITO DE CERCADINHO
</t>
  </si>
  <si>
    <t>RUA ALTO DA BOA VISTA, S/N - S/N</t>
  </si>
  <si>
    <t>DISTRITO DE CERCADINHO</t>
  </si>
  <si>
    <t>93 KM</t>
  </si>
  <si>
    <t>RUA PRESIDENTE KENNEDY - 98</t>
  </si>
  <si>
    <t>CABACEIRAS DO PARAGUACU</t>
  </si>
  <si>
    <t>JEAN FELIPE RAMALHO E SILVA</t>
  </si>
  <si>
    <t>(73) 9 9981-3802</t>
  </si>
  <si>
    <t>MARYSLANDIA RIBEIRO MOTA SANTANA</t>
  </si>
  <si>
    <t xml:space="preserve"> (73) 9 9961-6187</t>
  </si>
  <si>
    <t>(73) 3298-1620 / 99900-3365</t>
  </si>
  <si>
    <t>COLÉGIO ESTADUAL ALBERICO GOMES SANTANA</t>
  </si>
  <si>
    <t>CABACEIRAS DO PARAGUAÇU - S/N</t>
  </si>
  <si>
    <t>-12.540197689811967, -39.18735961582119</t>
  </si>
  <si>
    <t>ANEXO - COLÉGIO ESTADUAL ALBERICO GOMES SANTANA - POVOADO DE TIMBORINHA</t>
  </si>
  <si>
    <t>POV. TIMBORINHA - S/N</t>
  </si>
  <si>
    <t>POVOADO DE TIMBORINHA</t>
  </si>
  <si>
    <t>ANEXO - COLÉGIO ESTADUAL ALBERICO GOMES SANTANA - DISTRITO DE GEOLANDIA</t>
  </si>
  <si>
    <t>RUA JOSE RIBEIRO MACHADO - S/N</t>
  </si>
  <si>
    <t xml:space="preserve"> DISTRITO DE GEOLANDIA</t>
  </si>
  <si>
    <t>CACHOEIRA</t>
  </si>
  <si>
    <t>COLÉGIO ESTADUAL QUILOMBOLA DE TEMPO INTEGRAL DA BACIA DO IGUAPE - DISTRITO DE SANTIAGO DO IGUAPE</t>
  </si>
  <si>
    <t>AVENIDA GONÇALO - S/N</t>
  </si>
  <si>
    <t>SANTIAGO DO IGUAPE</t>
  </si>
  <si>
    <t>-12.689855699139477, -38.85719676926539</t>
  </si>
  <si>
    <t>COLÉGIO ESTADUAL DE CACHOEIRA</t>
  </si>
  <si>
    <t>PRACA ARISTON MASCARENHAS - S/N</t>
  </si>
  <si>
    <t>-12.600343826355815, -38.961603426008324</t>
  </si>
  <si>
    <t>CASTRO ALVES</t>
  </si>
  <si>
    <r>
      <rPr>
        <rFont val="Calibri"/>
        <color theme="1"/>
        <sz val="11.0"/>
      </rPr>
      <t>COLÉGIO ESTADUAL DO CAMPO DE  TEMPO INTEGRAL CASTRO ALVES (</t>
    </r>
    <r>
      <rPr>
        <rFont val="Calibri"/>
        <b/>
        <color theme="1"/>
        <sz val="11.0"/>
      </rPr>
      <t>ANTIGO POLIVALENTE</t>
    </r>
    <r>
      <rPr>
        <rFont val="Calibri"/>
        <color theme="1"/>
        <sz val="11.0"/>
      </rPr>
      <t>)</t>
    </r>
  </si>
  <si>
    <t>RUA DA CORRIDA - S/N</t>
  </si>
  <si>
    <t>-12.763578631853722, -39.43441634866026</t>
  </si>
  <si>
    <t>Estruturas adaptadas: 01 blibioteca, 01 sala multifuncional.</t>
  </si>
  <si>
    <t>CONCEICAO DO ALMEIDA</t>
  </si>
  <si>
    <t>COLÉGIO ESTADUAL DE TEMPO INTEGRAL MANDINHO DE SOUZA ALMEIDA</t>
  </si>
  <si>
    <t>RUA DOUTOR ULISSES CALDAS PINTO - 41/43</t>
  </si>
  <si>
    <t>-12.784759942264571, -39.16858526406672</t>
  </si>
  <si>
    <t>CRUZ DAS ALMAS</t>
  </si>
  <si>
    <t>COLÉGIO ESTADUAL LUCIANO PASSOS</t>
  </si>
  <si>
    <t>RUA DA EMBRAPA - SN(00017)</t>
  </si>
  <si>
    <t>SUZANA</t>
  </si>
  <si>
    <t>-12.680362246034052, -39.09277269542291</t>
  </si>
  <si>
    <t>Estruturas adaptadas: 01 refeitório , 01 sala AEE.</t>
  </si>
  <si>
    <t>COLÉGIO ESTADUAL LANDULFO ALVES DE ALMEIDA</t>
  </si>
  <si>
    <t>PRACA LANDULFO ALVES - 180</t>
  </si>
  <si>
    <t>-12.677644336810332, -39.097240902954134</t>
  </si>
  <si>
    <t>JULIANA GUSMAO DE SOUZA GONCALVES</t>
  </si>
  <si>
    <t>(73)9 9987-7773/(41) 9 9198-1855</t>
  </si>
  <si>
    <t>DEUSIRA NUNES DI LAURO DIAS</t>
  </si>
  <si>
    <t>(73) 9 9944-5606</t>
  </si>
  <si>
    <t>(73) 3292-7399</t>
  </si>
  <si>
    <t>Estruturas adaptadas: 01 blibioteca, 01 refeitório , 01 sala AEE.</t>
  </si>
  <si>
    <t>COLÉGIO ESTADUAL DOUTOR LAURO PASSOS</t>
  </si>
  <si>
    <t>NUCLEO HAB ALIOMAR BALEEIRO - 466</t>
  </si>
  <si>
    <t>ROSANGELA MARTINS DE SOUZA PASSOS</t>
  </si>
  <si>
    <t>-12.659279385016806, -39.11834626108053</t>
  </si>
  <si>
    <t>(73) 9 9987-9299</t>
  </si>
  <si>
    <t>LUCIDALVA T. DOS SANTOS DEOCLECIANO</t>
  </si>
  <si>
    <t>(73) 9 9942-5956</t>
  </si>
  <si>
    <t>SANCHOLYNE CASTINER DIONOR SOUZA</t>
  </si>
  <si>
    <t>(77) 9 8124  2525</t>
  </si>
  <si>
    <t>(73) 3291-6422/ 99987-9299</t>
  </si>
  <si>
    <t>CENTRO TERRITORIAL DE EDUCAÇÃO PROFISSIONAL RECONCAVO II ALBERTO TORRES</t>
  </si>
  <si>
    <t>RUA RUI BARBOSA - 832</t>
  </si>
  <si>
    <t>ERISNALVA GUSMAO RAMOS</t>
  </si>
  <si>
    <t>(73) 9 9953-4412</t>
  </si>
  <si>
    <t>-12.66313027629374, -39.10034446504742</t>
  </si>
  <si>
    <t>SOFIA APARECIDA SANTANA MESQUITA DA SILVA</t>
  </si>
  <si>
    <t>(73) 9 8188-1872</t>
  </si>
  <si>
    <t>(73) 3291-3150 / 99945-0878</t>
  </si>
  <si>
    <t>COLÉGIO ESTADUAL DEMOCRÁTICO RUY BARBOSA</t>
  </si>
  <si>
    <t xml:space="preserve">Estruturas adaptadas: 01 sala AEE.
Demais laboratórios:
01 Manutenção de informática,01 Física,01 Biologia/análises clínicas,01 Nutrição e Dietética ,01 Segurança do trabalho,01 Robótica , 01 Gestão e Negócios , 01 Agropecuária.
</t>
  </si>
  <si>
    <t>CLELIA APARECIDA HENRIQUETA DOS SANTOS MALHEIRO</t>
  </si>
  <si>
    <t>(73) 9 9178-2224</t>
  </si>
  <si>
    <t>EDJANE SANTOS DE HOLANDA CARVALHO</t>
  </si>
  <si>
    <t>DOM MACEDO COSTA</t>
  </si>
  <si>
    <t>(73) 9 9939-4055</t>
  </si>
  <si>
    <t>PRISCILA FELIX ALMEIDA BONADIMAN</t>
  </si>
  <si>
    <t>(73) 9 9979-8142</t>
  </si>
  <si>
    <t>(73) 3292-6999/ 99945-5350</t>
  </si>
  <si>
    <t>COLÉGIO ESTADUAL DE TEMPO INTEGRAL MARIA JURANDI OLIVEIRA BARRÊTTO (ANTIGO - CE ERALDO TINOCO MELO)</t>
  </si>
  <si>
    <t>RUA MANOEL JOSE DA COSTA - SN(01197)</t>
  </si>
  <si>
    <t>-12.897853086452077, -39.19504093516982</t>
  </si>
  <si>
    <t>GOVERNADOR MANGABEIRA</t>
  </si>
  <si>
    <t>COLÉGIO ESTADUAL PROFESSOR EDGARD SANTOS</t>
  </si>
  <si>
    <t>RUA MANOEL MACHADO PEDREIRA - SN(00112)</t>
  </si>
  <si>
    <t>-12.602948040042033, -39.04840353315825</t>
  </si>
  <si>
    <t>DIREÇÃO DA ESCOLA: MONICA DA SILVA SANTOS - (73) 9 9986-6900
DIREÇÃO DA UNIDADE CPM: MAJOR ROBSON LOPES CALMON - (77) 9 9992-0111
DIREÇÃO DO ADJUNTO: MAJOR PM EDUARDO FABRICIO GALVÃO DA SILVA - (71) 9 9259-3994</t>
  </si>
  <si>
    <t>LUCAS DA SILVA FRANCA</t>
  </si>
  <si>
    <t>(73) 9 9926-4136</t>
  </si>
  <si>
    <t>(73) 3263-4560/ 99991-4757</t>
  </si>
  <si>
    <t>ANEXO - COLÉGIO ESTADUAL PROFESSOR EDGARD SANTOS - DISTRITO DE QUIXABEIRA</t>
  </si>
  <si>
    <t>LOCALIDADE DE QUIXABEIRA - S/N</t>
  </si>
  <si>
    <t>DISTRITO DE QUIXABEIRA</t>
  </si>
  <si>
    <t>MARAGOGIPE</t>
  </si>
  <si>
    <t>COLÉGIO ESTADUAL DO CAMPO KLEBER PACHECO - DISTRITO SÃO ROQUE DO PARAGUAÇU</t>
  </si>
  <si>
    <t>RUA DA SANTA CRUZ - SN(00960)</t>
  </si>
  <si>
    <t>-12.862333309290436, -38.854681611728836</t>
  </si>
  <si>
    <t>PETRONIO BONFIM SILVA</t>
  </si>
  <si>
    <t>(73) 9 9196-3750</t>
  </si>
  <si>
    <t>SIMEIA SOUZA DAMASCENO</t>
  </si>
  <si>
    <t>(73) 9 9909-8218</t>
  </si>
  <si>
    <t>JESSE PATRICIO DE ALMEIDA</t>
  </si>
  <si>
    <t>(73) 9 9975-4694</t>
  </si>
  <si>
    <t xml:space="preserve">(73) 3291-1322/1300 </t>
  </si>
  <si>
    <t>COLEGIO ESTADUAL DO CAMPO DE TEMPO INTEGRAL NOSSA SENHORA DA CONCEICAO - FAZENDA DO ROSARIO</t>
  </si>
  <si>
    <t>FAZENDA ROSARIO - 95</t>
  </si>
  <si>
    <t>-12.704327593222628, -38.94055878621796</t>
  </si>
  <si>
    <t>Estruturas adaptadas: 01 sala de video, 01 refeitório.
Demais laboratórios: 01 química, 01 horta.</t>
  </si>
  <si>
    <t xml:space="preserve">COLÉGIO ESTADUAL DE TEMPO INTEGRAL DE MARAGOGIPE (ANTIGO - COLÉGIO ESTADUAL GERHARD MEYER SUERDIECK) </t>
  </si>
  <si>
    <t>JOSE MARTINS BARBOSA - SN(00001)</t>
  </si>
  <si>
    <t>BOIADAS</t>
  </si>
  <si>
    <t>-12.772136867284203, -38.91502545252515</t>
  </si>
  <si>
    <r>
      <rPr>
        <rFont val="Calibri"/>
        <color theme="1"/>
        <sz val="11.0"/>
      </rPr>
      <t xml:space="preserve">Estruturas adaptadas: 01 refeitório
</t>
    </r>
    <r>
      <rPr>
        <rFont val="Calibri"/>
        <color rgb="FFFF0000"/>
        <sz val="11.0"/>
      </rPr>
      <t>Quadra descoberta: desativada.</t>
    </r>
  </si>
  <si>
    <t>CENTRO ESTADUAL DE EDUCAÇÃO PROFISSIONAL DO VALE DO PARAGUAÇU - COMUNIDADE QUILOMBOLA</t>
  </si>
  <si>
    <t>VILA DE CAPANEMA - S/N</t>
  </si>
  <si>
    <t>-12.850157618538308, -38.943994504698517</t>
  </si>
  <si>
    <r>
      <rPr>
        <rFont val="Calibri"/>
        <color theme="1"/>
        <sz val="11.0"/>
      </rPr>
      <t xml:space="preserve">Estruturas adaptadas: 01 refeitório; Laboratórios: 01 Física/matemática, 01 Biologia /química, 01 Informática; 01 Sala de agência de notícias, 01 sala de jogos.
Demais laboratórios: 01 Projeto PAIS.
</t>
    </r>
    <r>
      <rPr>
        <rFont val="Calibri"/>
        <color rgb="FFFF0000"/>
        <sz val="11.0"/>
      </rPr>
      <t>Teatro: desativado.</t>
    </r>
  </si>
  <si>
    <t>MUNIZ FERREIRA</t>
  </si>
  <si>
    <t>COLÉGIO ESTADUAL DE TEMPO INTEGRAL EVANCLEIDE ALMEIDA SANTOS BARRETO - (ANTIGO CELEM)</t>
  </si>
  <si>
    <t>RUA VEREADOR SALVADOR RIBEIRO - S/N</t>
  </si>
  <si>
    <t>-12.99779877312165, -39.108787205691534</t>
  </si>
  <si>
    <t>COLÉGIO ESTADUAL JOÃO BATISTA PEREIRA FRAGA</t>
  </si>
  <si>
    <t>VILA RESIDENCIAL - SN(00088)</t>
  </si>
  <si>
    <t>-12.62439985573935, -38.99342206767779</t>
  </si>
  <si>
    <t>NAIR JULIA DA SILVA CORDEIRO</t>
  </si>
  <si>
    <t>COLÉGIO ESTADUAL DO CAMPO MANOEL BENEDITO MASCARENHAS - DISTRITO DE ITAPORÃ</t>
  </si>
  <si>
    <t>ESTRADA DE SÃO JOSÉ - S/N</t>
  </si>
  <si>
    <t>-12.62752016203218, -39.14985027859364</t>
  </si>
  <si>
    <t>(73) 9 8231-4550</t>
  </si>
  <si>
    <t>CARLITO GONCALVES CORDEIRO</t>
  </si>
  <si>
    <t>(73) 3661-2111</t>
  </si>
  <si>
    <t>COLÉGIO ESTADUAL GOVERNADOR LUIZ VIANA FILHO - EM TEMPO INTEGRAL</t>
  </si>
  <si>
    <t>RUA PROFESSOR NAVARRO DE BRITO - SN(02024)</t>
  </si>
  <si>
    <t>-13.038602577648026, -39.003956924933995</t>
  </si>
  <si>
    <t>JEAN OLIVEIRA DASILVA</t>
  </si>
  <si>
    <t>(73) 9 8166-7236</t>
  </si>
  <si>
    <t>(73) 3661-6076</t>
  </si>
  <si>
    <t>Estruturas adaptadas: 01 sala de leitura, 01 refeitório, 02 laboratórios de informática, 01 sala de vídeo,01 sala de jogos, 03 oficinas do educa mais.</t>
  </si>
  <si>
    <t>COLÉGIO ESTADUAL DOUTOR JOSÉ MARCELINO DE SOUZA</t>
  </si>
  <si>
    <t>CLEMENTE CALDAS - 16</t>
  </si>
  <si>
    <t>MULUGUIS</t>
  </si>
  <si>
    <t>-13.034533710650761, -39.01605528603073</t>
  </si>
  <si>
    <t>SALINAS DA MARGARIDA</t>
  </si>
  <si>
    <t>COLÉGIO ESTADUAL DE TEMPO INTEGRAL DE SALINAS DA MARGARIDA
(ANTIGO CE JURACY MAGALHÃES)</t>
  </si>
  <si>
    <t>RUA DA BOA VISTA - SN(00186)</t>
  </si>
  <si>
    <t>-12.883426544636553, -38.75588954734528</t>
  </si>
  <si>
    <t>COLEGIO ESTADUAL GELASIO ALVES DOS SANTOS</t>
  </si>
  <si>
    <t>MIKELAL ROST ARAUJO</t>
  </si>
  <si>
    <t xml:space="preserve"> (77) 9 8125-5535</t>
  </si>
  <si>
    <t>HELLEN CRISTINA SILVA</t>
  </si>
  <si>
    <t>(77) 9 8837-8099</t>
  </si>
  <si>
    <t>(77) 3430-2365</t>
  </si>
  <si>
    <t>Estruturas adaptadas: 01 sala de video.
Demais laboratórios: 01 Cozinha experimental, 01 de matemática, 01 de física, 01 de línguas estrangeiras, 01 biologia e 01 química.</t>
  </si>
  <si>
    <t>SANTO AMARO</t>
  </si>
  <si>
    <t>COLÉGIO ESTADUAL DE TEMPO INTEGRAL TEODORO SAMPAIO</t>
  </si>
  <si>
    <t>RODOVIA BR 420, S/Nº</t>
  </si>
  <si>
    <t>-12.548452167628508, -38.711168644425285</t>
  </si>
  <si>
    <t>SANDRA HELENA LEMOS FRANÇA ALMEIDA</t>
  </si>
  <si>
    <t>(73) 9 8154-3707</t>
  </si>
  <si>
    <t>CICLEDE SOARES DA GRAÇA CINTRA</t>
  </si>
  <si>
    <t>(73) 98131-9749</t>
  </si>
  <si>
    <t>5 (sendo 4 como aulas e 01 adaptada para vivências corporais)</t>
  </si>
  <si>
    <t xml:space="preserve">Demais laboratórios: 01 Química/ Biologia e 01 matemática/Física)
Sala multifuncional: 01 Sala maker 
Estruturas adaptadas: 01 sala de AEE </t>
  </si>
  <si>
    <t>COLÉGIO ESTADUAL DE TEMPO INTEGRAL PAULO FREIRE (ANTIGO DOUTOR MANOEL NOVAES)</t>
  </si>
  <si>
    <t>RUA DR ALOISIO ROCHA - SN(00023)</t>
  </si>
  <si>
    <t>COLÉGIO ESTADUAL CASTRO ALVES - DISTRITO DE ACUPE</t>
  </si>
  <si>
    <t>RUA EDVAL BARRETO - 00</t>
  </si>
  <si>
    <t>CARLOS JORDAN SOUZA DA ROCHA</t>
  </si>
  <si>
    <t>(73) 9 8137-2127</t>
  </si>
  <si>
    <t>-12.661185829092586, -38.750494315838324</t>
  </si>
  <si>
    <t>ANA SORAYA PIRES VEIGA BRITO</t>
  </si>
  <si>
    <t>(73) 9 8133-2526</t>
  </si>
  <si>
    <t>(73) 3272-2461</t>
  </si>
  <si>
    <t>09 (sendo 06 como salas de aula, 01 adaptada para biblioteca e 01 adaptada  para laboratório de Ciências e 01
adaptada para multiuso)</t>
  </si>
  <si>
    <t>Estruturas adaptadas: 01 biblioteca/ sala de vídeo, 01 Sala de Musica</t>
  </si>
  <si>
    <t>COLÉGIO ESTADUAL ANTONIO DOS SANTOS PAIM - DISTRITO OLIVEIRA DOS CAMPINHOS</t>
  </si>
  <si>
    <t>RUA PROFESSORA NORMA MARQUES DE FREITAS - S/N</t>
  </si>
  <si>
    <t>-12.425700882139244, -38.79308947762612</t>
  </si>
  <si>
    <t>CENTRO ESTADUAL DE EDUCACÃO PROFISSIONAL EM TURISMO DO LESTE BAIANO</t>
  </si>
  <si>
    <t>AVENIDA PAULINO A. DE ANDRADE - SN(00076)</t>
  </si>
  <si>
    <t>COLEGIO ESTADUAL DUQUE DE CAXIAS - EM TEMPO INTEGRAL</t>
  </si>
  <si>
    <t>AVENIDA SETE DE SETEMBRO - S/N</t>
  </si>
  <si>
    <t>LUIS RAMON S. DE LIMA</t>
  </si>
  <si>
    <t>(73) 9 8839-8438</t>
  </si>
  <si>
    <t>JOCELIA BRITO RIBEIRO CAMPOS</t>
  </si>
  <si>
    <t>(73) 9 8873-1174</t>
  </si>
  <si>
    <t>FREDERICK OLIVEIRA MORAE</t>
  </si>
  <si>
    <t xml:space="preserve">Demais laboratórios: 01 Gastronomia  </t>
  </si>
  <si>
    <t>(73) 9 8246-7677</t>
  </si>
  <si>
    <t>(73) 3271-2305</t>
  </si>
  <si>
    <t>SANTO ANTONIO DE JESUS</t>
  </si>
  <si>
    <t xml:space="preserve">12 ( Sendo 11  utilizadas como salas de aula e 01 adapatada para laboratorio de informatica) </t>
  </si>
  <si>
    <t>COLÉGIO ESTADUAL FRANCISCO DA CONCEIÇÃO MENEZES</t>
  </si>
  <si>
    <t>MACHADO BITTENCOURT - SN(00209)</t>
  </si>
  <si>
    <t>ANDAIA</t>
  </si>
  <si>
    <t>-12.970133637542476, -39.26962434922773</t>
  </si>
  <si>
    <t>NEUMA MARIA DOS SANTOS OLIVEIRA</t>
  </si>
  <si>
    <t>(77) 9 9996-48437 / (77) 9 9208-8581</t>
  </si>
  <si>
    <t>HUMBERTO SILVA DA PAIXÃO</t>
  </si>
  <si>
    <t>COLÉGIO ESTADUAL DE TEMPO INTEGRAL PROFESSOR CLÓVIS ESEQUIEL DOS SANTOS</t>
  </si>
  <si>
    <t>(77) 9 9974-5704</t>
  </si>
  <si>
    <t>JOSE FERNANDO E SILVA</t>
  </si>
  <si>
    <t>Loteamento Jardim Bahia, s/n, bairro Centro</t>
  </si>
  <si>
    <t>(77) 9 9954-0398</t>
  </si>
  <si>
    <t>(77) 3432-2001</t>
  </si>
  <si>
    <t>-12.966978936259302, -39.25404563330853</t>
  </si>
  <si>
    <t>17 (sendo 16 como salas de aula e 01 adaptada para sala de vídeo)</t>
  </si>
  <si>
    <t>CENTRO TERRITORIAL DE EDUCAÇÃO PROFISSIONAL DO RECONCAVO</t>
  </si>
  <si>
    <t>RUA DO AMPARO, SN - S/N</t>
  </si>
  <si>
    <t>CAJUEIRO</t>
  </si>
  <si>
    <t>-12.968620171644087, -39.27207112663202</t>
  </si>
  <si>
    <t>ANEXO - COLEGIO ESTADUAL DE TEMPO INTEGRAL DE ITAMBÉ - DISTRITO DE SAO JOSE DO COLONIA</t>
  </si>
  <si>
    <t xml:space="preserve">NOVO PADRÃO (MODERNIZAÇÃO)  </t>
  </si>
  <si>
    <t>CENTRO DE APOIO PEDAGOGICO COMPANHEIRO LEAO AURELIO PIRES - CAP</t>
  </si>
  <si>
    <t>RUA TENENTE CORONEL BANDEIRA DE MELO - 180</t>
  </si>
  <si>
    <t>JARDIM BAHIA</t>
  </si>
  <si>
    <t>-12.967020501964827, -39.25524946701368</t>
  </si>
  <si>
    <t>SAO FELIPE</t>
  </si>
  <si>
    <t>COLÉGIO ESTADUAL DE TEMPO INTEGRAL SÃO FELIPE</t>
  </si>
  <si>
    <t>RUA DR DJALMA ROCHA GALVAO - SN(00171)</t>
  </si>
  <si>
    <t>-12.847147057730599, -39.08424048114997</t>
  </si>
  <si>
    <t>SAO FELIX</t>
  </si>
  <si>
    <t>COLÉGIO ESTADUAL ROMULO GALVÃO - TEMPO INTEGRAL</t>
  </si>
  <si>
    <t>RUA SALVA VIDAS - 00033</t>
  </si>
  <si>
    <t>-12.613698551553163, -38.96387046621434</t>
  </si>
  <si>
    <t>ANEXO - COLÉGIO ESTADUAL ROMULO GALVÃO - DISTRITO DE OUTEIRO REDONDO</t>
  </si>
  <si>
    <t>DISTRITO DE OUTEIRO REDONDO - S/N</t>
  </si>
  <si>
    <t>COLEGIO POLIVALENTE DE ITAPETINGA</t>
  </si>
  <si>
    <t>LUCIA MORAIS DA SILVA DE SOUZA</t>
  </si>
  <si>
    <t xml:space="preserve">(77) 9 9160-5569 </t>
  </si>
  <si>
    <t>RAFFAEL SALOES DE SOUZA</t>
  </si>
  <si>
    <t>(77) 9 9103-2223/9 8800-2223</t>
  </si>
  <si>
    <t>(77)3261-4340 3261-2427</t>
  </si>
  <si>
    <t>SAPEACU</t>
  </si>
  <si>
    <t>COLÉGIO ESTADUAL DOUTOR ELIEL DA SILVA MARTINS</t>
  </si>
  <si>
    <t>RUA PARQUE DAS MANGUEIRAS - S/N</t>
  </si>
  <si>
    <t>-12.726116113595186, -39.184239944340085</t>
  </si>
  <si>
    <t>COLEGIO MODELO LUIS EDUARDO MAGALHAES</t>
  </si>
  <si>
    <t>COLÉGIO ESTADUAL ANATIVO DO SACRAMENTO - DISTRITO MUCURI</t>
  </si>
  <si>
    <t>MURICI - 946</t>
  </si>
  <si>
    <t>EDMO SANTOS OLIVEIRA</t>
  </si>
  <si>
    <t>(77) 9 8812-5470</t>
  </si>
  <si>
    <t>-12.65604629733394, -39.223663045648124</t>
  </si>
  <si>
    <t>CARLITO ALVES DE BRITO</t>
  </si>
  <si>
    <t>(77) 9 8808-9022</t>
  </si>
  <si>
    <t>MARIA DE LOURDES GOES</t>
  </si>
  <si>
    <t>(77) 9 9116-4930 /9 9182-9695</t>
  </si>
  <si>
    <t>(77) 3261-3522 / 3261-3520 (Dir)</t>
  </si>
  <si>
    <t>14 (Sendo 13 como salas de aula e 01 adaptada para sala de vídeo)</t>
  </si>
  <si>
    <t>CENTRO TERRITORIAL DE EDUCAÇÃO PROFISSIONAL DO RECONCAVO JONIVAL LUCAS</t>
  </si>
  <si>
    <t>ANT. R. G-ATUAL R. FIRMINO ROSALVO LOPES - 71</t>
  </si>
  <si>
    <t>-12.728807799265173, -39.18525462711099</t>
  </si>
  <si>
    <t>SAUBARA</t>
  </si>
  <si>
    <t>ROSIMAR OLIVEIRA SALES</t>
  </si>
  <si>
    <t>(77) 9 9135-9717 (77) 3261-1274</t>
  </si>
  <si>
    <t>DENILSON DE OLIVEIRA</t>
  </si>
  <si>
    <t>(77) 9 9135-8620</t>
  </si>
  <si>
    <t>(77) 3261-2526 (77) 3261-1219/9 8857-3924</t>
  </si>
  <si>
    <t>COLÉGIO ESTADUAL DE TEMPO INTEGRAL RICARDO CÂMARA DA SILVA</t>
  </si>
  <si>
    <t>RUA DA VALA - 00</t>
  </si>
  <si>
    <t>-12.73329658573417, -38.766999265218</t>
  </si>
  <si>
    <t>COLEGIO ESTADUAL NAOMAR SOARES ALCANTARA - TEMPO INTEGRAL</t>
  </si>
  <si>
    <t>AMISSON DOS SANTOS NUNES</t>
  </si>
  <si>
    <t>(73) 9 8101-8733</t>
  </si>
  <si>
    <t>8 (sendo 07 como salas de aula e 01 adaptada p/ oficina dos programas Educa Mais Bahia e Mais Estudo)</t>
  </si>
  <si>
    <t>VARZEDO</t>
  </si>
  <si>
    <t>COLÉGIO ESTADUAL NOSSA SENHORA DA CONCEIÇÃO</t>
  </si>
  <si>
    <t>RUA ANTONIO INACIO BARRETO - SN(00079)</t>
  </si>
  <si>
    <t>CENTRO 0050</t>
  </si>
  <si>
    <t>-12.979368675208873, -39.39402418938867</t>
  </si>
  <si>
    <t>ANEXO - COLEGIO ESTADUAL NAOMAR SOARES ALCANTARA - DISTRITO RIBEIRAO DO SALTO</t>
  </si>
  <si>
    <t>01 Informática/Biologia</t>
  </si>
  <si>
    <t>AIQUARA</t>
  </si>
  <si>
    <t xml:space="preserve">COLÉGIO ESTADUAL DE TEMPO INTEGRAL DE  AIQUARA </t>
  </si>
  <si>
    <t>ARILO NUNES FERREIRA - S/N</t>
  </si>
  <si>
    <t>-14.126249841969045, -39.88689344478894</t>
  </si>
  <si>
    <t>COLEGIO ESTADUAL EDSON OLIVEIRA - DISTRITO RIO DO MEIO</t>
  </si>
  <si>
    <t>TEDICARLA OTACILIA NOVAIS SILVA</t>
  </si>
  <si>
    <t>(77) 9 8154-9495 (73) 3267-2279</t>
  </si>
  <si>
    <t>(73) 3267-2279/3267-2066</t>
  </si>
  <si>
    <t>7 (Sendo 3 como sala de aula e 4 cedidas ao município)</t>
  </si>
  <si>
    <t xml:space="preserve">ANEXO AO COL EST DE TEMPO INTEGRAL DE AIQUARA DISTRITO DE PALMEIRINHA </t>
  </si>
  <si>
    <t>LARGO SAO FRANCISCO, Nº S/N</t>
  </si>
  <si>
    <t xml:space="preserve">	PEQUENO</t>
  </si>
  <si>
    <t>APUAREMA</t>
  </si>
  <si>
    <t>CENTRO TERRITORIAL DE EDUCACAO PROFISSIONAL DO MEDIO SUDOESTE DA BAHIA</t>
  </si>
  <si>
    <t>RUA ODILON POMPILIO - SN(00279)</t>
  </si>
  <si>
    <t>ANDREA MORAIS DOS SANTOS</t>
  </si>
  <si>
    <t>(73) 9 8133-3901</t>
  </si>
  <si>
    <t>COLÉGIO ESTADUAL DE TEMPO INTEGRAL DOUTOR VASCO FILHO</t>
  </si>
  <si>
    <t>ARACELE PRATES DE OLIVEIRA</t>
  </si>
  <si>
    <t>RUA ANTÔNIO DE ALMEIDA Nº 99998</t>
  </si>
  <si>
    <t>(73) 9 8830-2957</t>
  </si>
  <si>
    <t>(73) 3265-1039/1412</t>
  </si>
  <si>
    <t>-13.851895651874468, -39.74438357460653</t>
  </si>
  <si>
    <t>ANEXO - COLEGIO ESTADUAL EDSON OLIVEIRA - DISTRITO DE ITATI</t>
  </si>
  <si>
    <t>BARRA DO ROCHA</t>
  </si>
  <si>
    <t>COLÉGIO ESTADUAL ANTONIO MOTA BITTENCOURT - TEMPO INTEGRAL</t>
  </si>
  <si>
    <t>OLIVIA DE PAULA MATOS - SN(00019)</t>
  </si>
  <si>
    <t>-14.207584956726135, -39.60824171384881</t>
  </si>
  <si>
    <t>COLEGIO ESTADUAL SAO PEDRO</t>
  </si>
  <si>
    <t>COLÉGIO ESTADUAL BOANOVENSE - TEMPO INTEGRAL</t>
  </si>
  <si>
    <t>AVENIDA PADRE VICENTE SANTINAME - 01</t>
  </si>
  <si>
    <t>ERMI MOREIRA DE ABREU</t>
  </si>
  <si>
    <t>(77) 9 8805-9383</t>
  </si>
  <si>
    <t>-14.365914933197566, -40.203907842682107</t>
  </si>
  <si>
    <t>(77) 3274-2849</t>
  </si>
  <si>
    <t>12 (Sendo 11 como salas de aula e 1 Laboratório Informática)</t>
  </si>
  <si>
    <t>COLEGIO ESTADUAL ALTAIR ALMEIDA MEIRA</t>
  </si>
  <si>
    <t>KEITIANE SANTANA SILVA</t>
  </si>
  <si>
    <t>(77) 9 8131-5522</t>
  </si>
  <si>
    <t>JESSICA SILVA LOPES</t>
  </si>
  <si>
    <t>(73) 9 9197-2978</t>
  </si>
  <si>
    <t>(77) 3275-2710</t>
  </si>
  <si>
    <t>9 (Sendo 07 como salas de aula, 01 adaptada para sala de vídeo e 01 adaptada para laboratório de informática)</t>
  </si>
  <si>
    <t>Estruturas adaptadas: 01 sala de aula, 01 refeitório.</t>
  </si>
  <si>
    <t>COLEGIO ESTADUAL FLORESTAL - EM TEMPO INTEGRAL</t>
  </si>
  <si>
    <t xml:space="preserve">ANEXO AO COLEGIO ESTADUAL BOANOVENSE POVOADO DO PENACHINHO </t>
  </si>
  <si>
    <t>POVOADO DO PENACHINHO</t>
  </si>
  <si>
    <t>33,7 KM</t>
  </si>
  <si>
    <t>ANA PAULA DA SILVA MATOS LIMA</t>
  </si>
  <si>
    <t>(77) 9 8817-3353</t>
  </si>
  <si>
    <t>ROZINALVA FERREIRA DE SOUZA</t>
  </si>
  <si>
    <t>(73) 9 8815-5760</t>
  </si>
  <si>
    <t>(73) 3207-2629</t>
  </si>
  <si>
    <r>
      <rPr>
        <rFont val="Calibri"/>
        <b/>
        <color theme="1"/>
        <sz val="11.0"/>
      </rPr>
      <t>6 (</t>
    </r>
    <r>
      <rPr>
        <rFont val="Calibri"/>
        <b/>
        <color rgb="FFFF0000"/>
        <sz val="11.0"/>
      </rPr>
      <t>sendo 05 salas de aula</t>
    </r>
    <r>
      <rPr>
        <rFont val="Calibri"/>
        <b/>
        <color theme="1"/>
        <sz val="11.0"/>
      </rPr>
      <t xml:space="preserve"> e 01 adaptada para sala de professores)</t>
    </r>
  </si>
  <si>
    <t>9 (Sendo 6 como sala de aula, 1 Sala multifuncional, 1 Sala eletiva e 1 Biblioteca)</t>
  </si>
  <si>
    <t>ANEXO - CEMIT- MÉDIO RIO DE CONTAS - DISTRITO DE VALENTIM</t>
  </si>
  <si>
    <t>DISTRITO DE VALENTIM - S/N</t>
  </si>
  <si>
    <t>ANEXO - COLEGIO ESTADUAL FLORESTAL - SERRA DO CAPA BODE</t>
  </si>
  <si>
    <t xml:space="preserve">ANEXO - CEMIT MEDIO RIO DE CONTAS - COMUNIDADE DO LAGOAO </t>
  </si>
  <si>
    <t>COMUNIDADE DO LAGOAO, Nº S/N</t>
  </si>
  <si>
    <t>ANEXO - COLEGIO ESTADUAL FLORESTAL - POVOADO DE ENDIRETOR</t>
  </si>
  <si>
    <t>DARIO MEIRA</t>
  </si>
  <si>
    <t>COLÉGIO ESTADUAL DE TEMPO INTEGRAL DE DÁRIO MEIRA</t>
  </si>
  <si>
    <t>Avenida Caetano Bernardino Santana, s/n</t>
  </si>
  <si>
    <t>Nova Jerusalém</t>
  </si>
  <si>
    <t>-14.43352873712917, -39.90062013417485</t>
  </si>
  <si>
    <t>ANEXO - COLEGIO ESTADUAL FLORESTAL - DISTRITO DE ITAJAI</t>
  </si>
  <si>
    <t>ITAJAI - SN(00033)</t>
  </si>
  <si>
    <t>ANEXO - COLEGIO ESTADUAL FLORESTAL - DISTRITO DE ICARAI</t>
  </si>
  <si>
    <t>ICARAI - SN(00053)</t>
  </si>
  <si>
    <t>ANEXO - CEMIT MÉDIO RIO DE CONTAS - DISTRITO DE PONTO NOVO</t>
  </si>
  <si>
    <t>DISTRITO DE ICARAI</t>
  </si>
  <si>
    <t>PONTO NOVO - S/N</t>
  </si>
  <si>
    <t>DISTRITO DE PONTO NOVO</t>
  </si>
  <si>
    <t>ANEXO - CEMIT MÉDIO RIO DE CONTAS - DISTRITO DE PLANALTO IRIS</t>
  </si>
  <si>
    <t>DISTRITO DE PLANALTO IRIS - S/N</t>
  </si>
  <si>
    <t>COLEGIO DEMOCRATICO ESTADUAL ANISIO TEIXEIRA</t>
  </si>
  <si>
    <t>LEVI SOUZA NASCIMENTO</t>
  </si>
  <si>
    <t>(73) 9 8150-2233</t>
  </si>
  <si>
    <t>TEREZA SANTOS RIBAS DE FARIAS</t>
  </si>
  <si>
    <t>(73) 9 8118-0810</t>
  </si>
  <si>
    <t>(73) 3285-2437</t>
  </si>
  <si>
    <t>11 (sendo 7 como sala de aula, 01 está adaptada para laboratório de ciências, 01 para Atendimento Educacional
Especializado - AEE) e sala de música, 01 sala da coordenação e 01 sala multimídia.)</t>
  </si>
  <si>
    <t>GONGOGI</t>
  </si>
  <si>
    <t>COLÉGIO ESTADUAL JOSE ARAUJO PEREIRA -TEMPO INTEGRAL</t>
  </si>
  <si>
    <t>RUA JAMIL RIHAN - 1</t>
  </si>
  <si>
    <t>-14.326335411445559, -39.466337369327384</t>
  </si>
  <si>
    <t>ANEXO - COLEGIO DEMOCRATICO ESTADUAL ANISIO TEIXEIRA - DISTRITO DE ITAIMBE</t>
  </si>
  <si>
    <t>6 (sendo 4 como sala de aula, 01 está adaptada para laboratório de ciências, 01 para Atendimento Educacional)</t>
  </si>
  <si>
    <t>ANEXO - COLÉGIO ESTADUAL JOSE ARAUJO PEREIRA - DISTRITO NOVA PALMA</t>
  </si>
  <si>
    <t>DISTRITO NOVA PALMA - SN(00005)</t>
  </si>
  <si>
    <t>DISTRITO NOVA PALMA</t>
  </si>
  <si>
    <t>COLEGIO ESTADUAL JOHN KENNEDY</t>
  </si>
  <si>
    <t>EDILEUZA GARCIA GOMES</t>
  </si>
  <si>
    <t>ANEXO - CEMIT MÉDIO RIO DE CONTAS - DISTRITO TAPIRAMA</t>
  </si>
  <si>
    <t>(73) 9 8117-9500</t>
  </si>
  <si>
    <t>DISTRITO TAPIRAMA - S/N</t>
  </si>
  <si>
    <t>DISTRITO TAPIRAMA</t>
  </si>
  <si>
    <t>41KM</t>
  </si>
  <si>
    <t>(77) 3627-2211/ 2207</t>
  </si>
  <si>
    <t xml:space="preserve">7 ( Sendo 6 utilizadas como salas de aula e 1 adaptada para sala de professores) </t>
  </si>
  <si>
    <t>IBIRATAIA</t>
  </si>
  <si>
    <t>COLÉGIO ESTADUAL DO CAMPO DE ALGODÃO - DISTRITO DE ALGODÃO</t>
  </si>
  <si>
    <t>RUA FLORISVAL ABDON FAIR, SN - SN(00031)</t>
  </si>
  <si>
    <t>DISTRITO DE ALGODÃO</t>
  </si>
  <si>
    <t>-13.928427206451724, -39.628856634063105</t>
  </si>
  <si>
    <t>BENEDITO ALMEIDA - 120</t>
  </si>
  <si>
    <t>NEILTON SOUZA DE JESUS</t>
  </si>
  <si>
    <t>(75) 9 8853-2047</t>
  </si>
  <si>
    <t>FABIO SANTOS DA SILVA</t>
  </si>
  <si>
    <t>(75) 9 8824-7628</t>
  </si>
  <si>
    <t xml:space="preserve">MARCIA MESQUITA BITTENCOURT </t>
  </si>
  <si>
    <t>(75) 9 9816-9602</t>
  </si>
  <si>
    <t>(75) 3634-1369/ 3634-1487</t>
  </si>
  <si>
    <t>27 (sendo 24 salas de aula, 02 salas AEE e 01 sala de vídeo)</t>
  </si>
  <si>
    <t>PRACA DA BANDEIRA - 371</t>
  </si>
  <si>
    <t xml:space="preserve">Estruturas adaptadas: 01 Sala de Leitura, 01 Refeitório
Sala multifuncional: 01 Sala de agência de notícias </t>
  </si>
  <si>
    <t>ANDREA IONA DOS SANTOS SILVA</t>
  </si>
  <si>
    <t>(75) 9 9234-2078</t>
  </si>
  <si>
    <t xml:space="preserve">FLÁVIO FERREIRA DE SOUZA </t>
  </si>
  <si>
    <t>(75) 9 8171-4099</t>
  </si>
  <si>
    <t>GLAUCO CORREIA SALES ESTEVES</t>
  </si>
  <si>
    <t>(75) 9 8156-6936</t>
  </si>
  <si>
    <t>(75) 3634-1159/ 3634-1092</t>
  </si>
  <si>
    <t>14 (sendo 11 salas de aula, 01 CPA – Digital e 02 Apoio pedagógico)</t>
  </si>
  <si>
    <t>COLÉGIO ESTADUAL DE IBIRATAIA - TEMPO INTEGRAL</t>
  </si>
  <si>
    <t>RUA BOM JESUS,01-- - 01</t>
  </si>
  <si>
    <t>-14.069396675760844, -39.638936961625014</t>
  </si>
  <si>
    <t>JOELMA CRISTINA REBOUCAS ARGOLO</t>
  </si>
  <si>
    <t>(75) 9 8169-0135</t>
  </si>
  <si>
    <t>LUCIANA BISPO DA ROSA</t>
  </si>
  <si>
    <t xml:space="preserve"> (75) 9 9193-1509</t>
  </si>
  <si>
    <t>(75) 3634-3108/ 3634-1429</t>
  </si>
  <si>
    <t xml:space="preserve">22 (sendo 12 como salas de aula novas e 10 salas antigas que estão sendo utilizadas como salas administrativas e multifuncionais </t>
  </si>
  <si>
    <t>IPIAU</t>
  </si>
  <si>
    <t>COMPLEXO INTEGRADO DE EDUCAÇÃO DE IPIAÚ - CIE DE IPIAÚ</t>
  </si>
  <si>
    <t>RUA DOIS DE DEZEMBRO - SN(00073)</t>
  </si>
  <si>
    <t>SANTANA</t>
  </si>
  <si>
    <t>-14.129999186538928, -39.75180120723492</t>
  </si>
  <si>
    <t>COLEGIO ESTADUAL EDIVALDO BOAVENTURA - POVOADO KM 100</t>
  </si>
  <si>
    <t>ALDO BRITO DE JESUS</t>
  </si>
  <si>
    <t>(77) 9 8877-0199</t>
  </si>
  <si>
    <t>(73) 3542-2102</t>
  </si>
  <si>
    <t xml:space="preserve">8 (Sendo 7 utilizadas como salas de aula e 01 adaptada para laboratório de informática) </t>
  </si>
  <si>
    <t>COLÉGIO ESTADUAL DE TEMPO INTEGRAL DE IPIAÚ</t>
  </si>
  <si>
    <t>AVENIDA GETULIO VARGAS - 845</t>
  </si>
  <si>
    <t>DEMOCRACIA</t>
  </si>
  <si>
    <t>-14.13323706825394, -39.73591977138839</t>
  </si>
  <si>
    <t>COLEGIO ESTADUAL ANA LUCIA CASTELO BRANCO - TEMPO INTEGRAL</t>
  </si>
  <si>
    <t>CENTRO TERRITORIAL DE EDUCAÇÃO PROFISSIONAL DO MÉDIO RIO DAS CONTAS - TEMPO INTEGRAL</t>
  </si>
  <si>
    <t>RODOVIA IPIAU-UBATA - KM 06 - BR 330 - SN(00032)</t>
  </si>
  <si>
    <t>TATIANE RIBEIRO DE SOUZA</t>
  </si>
  <si>
    <t>(75) 9 8103-0118</t>
  </si>
  <si>
    <t>-14.170579271152778, -39.69026640183977</t>
  </si>
  <si>
    <t>ADRIANA MIRANDA DE ANDRADE KURATANI</t>
  </si>
  <si>
    <t>(75) 9 8180-0786</t>
  </si>
  <si>
    <t>(75) 3654-2490/ 3654-2567</t>
  </si>
  <si>
    <t xml:space="preserve">6+1( Sala de deposito sendo utilizada como sala de aula) </t>
  </si>
  <si>
    <t>CENTRO DE APOIO PEDAGÓGICO DE IPIAÚ - CAP</t>
  </si>
  <si>
    <t>AVENIDA GETULIO VARGAS - 303</t>
  </si>
  <si>
    <t>-14.134281225128483, -39.7376550245076</t>
  </si>
  <si>
    <t>COLEGIO ESTADUAL DE CRAVOLANDIA - TEMPO INTEGRAL</t>
  </si>
  <si>
    <t xml:space="preserve">06 salas, sendo 03 salas utilizada pelo estado e 03 salas cedidas para o município que funciona a Escola Municipal Ana Carolina. 
</t>
  </si>
  <si>
    <t>JOSUE SANTOS DE ALMEIDA JUNIOR</t>
  </si>
  <si>
    <t>(73) 9 8883-3607</t>
  </si>
  <si>
    <t>VIRGINIA LUCIA MOLINA SOARES</t>
  </si>
  <si>
    <t>(73) 9 8898-8433</t>
  </si>
  <si>
    <t>(73) 3545-2140</t>
  </si>
  <si>
    <t xml:space="preserve">10( Sendo 6 como salas de aula, 01 adaptada para biblioteca, 01 para laboratório de ciências, 01 para laboratório de informatica e 01 para sala de vivencias corporais) </t>
  </si>
  <si>
    <t>ANEXO - CEMIT- MÉDIO RIO DE CONTAS - DISTRITO DE CORREGO DE PEDRAS</t>
  </si>
  <si>
    <t>CORREGO DE PEDRAS - SN(00008)</t>
  </si>
  <si>
    <t>ITAGI</t>
  </si>
  <si>
    <t>COLÉGIO ESTADUAL PROFESSORA RENI MIRANDA FERREIRA - TEMPO INTEGRAL</t>
  </si>
  <si>
    <t>RUA HELOISA CINTRA - 4</t>
  </si>
  <si>
    <t>ANEXO - COLEGIO ESTADUAL DE CRAVOLANDIA - DISTRITO ILHA FORMOSA</t>
  </si>
  <si>
    <t>-14.161596580269846, -40.0030106055218</t>
  </si>
  <si>
    <t>Estruturas adaptadas: 01 refeitório, 01 laboratório de informática.
Salas multifuncionais: 01 sala de avaliações digitais, 01 oficina do Educa Mais.</t>
  </si>
  <si>
    <t>ITAGIBA</t>
  </si>
  <si>
    <t>COLÉGIO ESTADUAL DE TEMPO INTEGRAL DULCE ALMEIDA</t>
  </si>
  <si>
    <t>RUA ABILIO LOPES DE MIRANDA - S/N</t>
  </si>
  <si>
    <t>-14.282189595226438, -39.84770668239132</t>
  </si>
  <si>
    <t>COLEGIO ESTADUAL DEMOCRATICO PROFESSOR ROMULO GALVAO - TEMPO INTEGRAL</t>
  </si>
  <si>
    <t>IVANILDO SILVA DE JESUS</t>
  </si>
  <si>
    <t>(75) 9 8119-7655</t>
  </si>
  <si>
    <t>RITA DE CASSIA ARGOLO CUEVAS</t>
  </si>
  <si>
    <t>(71) 9 9980-0660</t>
  </si>
  <si>
    <t>IRACI MARIA DE JESUS</t>
  </si>
  <si>
    <t>(75) 3649-2097</t>
  </si>
  <si>
    <r>
      <rPr>
        <rFont val="Calibri"/>
        <b/>
        <color theme="1"/>
        <sz val="11.0"/>
      </rPr>
      <t xml:space="preserve"> 12 salas, </t>
    </r>
    <r>
      <rPr>
        <rFont val="Calibri"/>
        <b/>
        <color rgb="FFFF0000"/>
        <sz val="11.0"/>
      </rPr>
      <t>sendo 07 salas de aulas e</t>
    </r>
    <r>
      <rPr>
        <rFont val="Calibri"/>
        <b/>
        <color theme="1"/>
        <sz val="11.0"/>
      </rPr>
      <t xml:space="preserve"> 05 adaptadas: 01 para laboratório de informática e 01 para sala de AEE e 01 adaptadas para refeitório e 01 sala de artes e 01 para sala de humanas e suas tecnologias.</t>
    </r>
  </si>
  <si>
    <t>COLEGIO ESTADUAL PROFESSOR ISAIAS ALEIXO</t>
  </si>
  <si>
    <t>RUA ANTONIO REIS DOS SANTOS - S/N</t>
  </si>
  <si>
    <t>ALEXSANDRA SOUZA LOPES</t>
  </si>
  <si>
    <t>(73) 9 9922-5701</t>
  </si>
  <si>
    <t>ANEXO - CEMIT - MÉDIO RIO DE CONTAS - DISTRITO DE TAPIRAGI</t>
  </si>
  <si>
    <t>(73) 3548-2266</t>
  </si>
  <si>
    <t>RUA SABINO GOMES - SN - DISTRITO DE TAPIRAGI - S/N</t>
  </si>
  <si>
    <t>ITAMARI</t>
  </si>
  <si>
    <t>COLEGIO ESTADUAL JOAO PESSOA</t>
  </si>
  <si>
    <t>DIOGO SPÍNOLA - 01</t>
  </si>
  <si>
    <t>MEIO</t>
  </si>
  <si>
    <t>COLÉGIO ESTADUAL DE TEMPO INTEGRAL JOÃO GALVÃO SOBRINHO</t>
  </si>
  <si>
    <t>AVENIDA PRESIDENTE MEDICI - SN(00658)</t>
  </si>
  <si>
    <t>MABEL SARABELA NASCIMENTO ALMEIDA</t>
  </si>
  <si>
    <t>(73) 9 8136-1091</t>
  </si>
  <si>
    <t>-13.782829021220225, -39.69202587982164</t>
  </si>
  <si>
    <t>(73) 3543-2292</t>
  </si>
  <si>
    <t>7 (Sendo 6 como sala de aula e 1 Depósito)</t>
  </si>
  <si>
    <t>JEQUIE</t>
  </si>
  <si>
    <t>COMPLEXO INTEGRADO DE EDUCACAO BÁSICA, PROFISSIONAL E TECNÓLOGICA DE JEQUIÉ - EM TEMPO INTEGRAL</t>
  </si>
  <si>
    <t>LIONS CLUB - SN(01024)</t>
  </si>
  <si>
    <t>JEQUIEZINHO</t>
  </si>
  <si>
    <t>-13.869482267916483, -40.0764373155199</t>
  </si>
  <si>
    <t>COLÉGIO ESTADUAL MARIA CANDIDA DE CASTILHO FONTOURA</t>
  </si>
  <si>
    <t xml:space="preserve">MANOEL MISSIAS ALVES FERREIRA </t>
  </si>
  <si>
    <t>(73) 9 9177-4558</t>
  </si>
  <si>
    <t>MARCOS CESAR DOS SANTOS SILVA</t>
  </si>
  <si>
    <t>(73) 9 9186-0130</t>
  </si>
  <si>
    <t>SAULO OLIVEIRA MARTINS</t>
  </si>
  <si>
    <t>(73) 3538-1779</t>
  </si>
  <si>
    <t>6 (sendo 05 utilizadas como salas de aula e 01 adaptada para sala de leitura)</t>
  </si>
  <si>
    <t>COLEGIO ESTADUAL LUZIA SILVA</t>
  </si>
  <si>
    <t>PRACA DR J J SEABRA - 00018</t>
  </si>
  <si>
    <t xml:space="preserve">Estruturas adaptadas: 01 refeitório
Demais laboratórios: 01 física/matemática.
Salas multifunciibais: 01 Dança, 01 Jogos, 01 Maker, 01 Sala de cinema
</t>
  </si>
  <si>
    <t>ANDRE DIAS DA SILVA</t>
  </si>
  <si>
    <t>(73) 9 8825-1056</t>
  </si>
  <si>
    <t>JULIANA DOS SANTOS SILVA</t>
  </si>
  <si>
    <t>(73) 9 9132-5503</t>
  </si>
  <si>
    <t>(73) 3534-1187</t>
  </si>
  <si>
    <t>COLÉGIO ESTADUAL PROFESSOR FIRMO NUNES DE OLIVEIRA - TEMPO INTEGRAL</t>
  </si>
  <si>
    <t>GOVERNADOR LOMANTO JÚNIOR - S/N</t>
  </si>
  <si>
    <t>JOAQUIM ROMÃO</t>
  </si>
  <si>
    <t>-13.861122986889109, -40.09359599165504</t>
  </si>
  <si>
    <t>COLEGIO ESTADUAL DO CAMPO DE TEMPO INTEGRAL NOSSA SENHORA AUXILIADORA - DISTRITO DE ESTELA CAMARA</t>
  </si>
  <si>
    <t>QUEZIA NARDE DE OLIVEIRA ROSA</t>
  </si>
  <si>
    <t xml:space="preserve"> (73) 9 8812-5066</t>
  </si>
  <si>
    <t>FABIANA BRAGA DA SILVA</t>
  </si>
  <si>
    <t>(73) 9 9948-6268</t>
  </si>
  <si>
    <t>14 (Sendo 10 salas de aula, 01 sala de vídeo e 01 multifuncional, 01 sala de professor e 01 biblioteca)</t>
  </si>
  <si>
    <t>COLÉGIO ESTADUAL DE TEMPO INTEGRAL VIRGÍLIO PEREIRA DE ALMEIDA</t>
  </si>
  <si>
    <t>AVENIDA CESAR BORGES - SN(00013)</t>
  </si>
  <si>
    <t>-13.858083765461046, -40.0742169209506</t>
  </si>
  <si>
    <t>ANTONIO EDEZIO SANTOS DE SOUSA</t>
  </si>
  <si>
    <t>(75) 9 8886-6646</t>
  </si>
  <si>
    <t>JAMILLE FONSECA DE SOUZA</t>
  </si>
  <si>
    <t>(73) 9 8824-8044</t>
  </si>
  <si>
    <t>LUCIANA SOARES MENDES</t>
  </si>
  <si>
    <t>(73) 9 8892-2990</t>
  </si>
  <si>
    <t>(73) 3534-2445</t>
  </si>
  <si>
    <t xml:space="preserve">Demais laboratórios: 01 Química, 01 Física, 01 Biologia, 01 Matemática </t>
  </si>
  <si>
    <t>SAMARA MACEDO DE ALMEIDA</t>
  </si>
  <si>
    <t>(73) 9 8817-1056</t>
  </si>
  <si>
    <t xml:space="preserve">VALERIA MARIA SOUSA BRITO </t>
  </si>
  <si>
    <t>(73) 9 9997-9174</t>
  </si>
  <si>
    <t>ADRIANA DE SOUZA SANTOS</t>
  </si>
  <si>
    <t>(73) 9 8828-4609</t>
  </si>
  <si>
    <t>(73) 3534-1039</t>
  </si>
  <si>
    <t>25 (Sendo 21 como sala de aula e 04 são adaptadas para sala de jogos, dança e cinema e projeção
e progressão facial)</t>
  </si>
  <si>
    <t>COLÉGIO ESTADUAL QUILOMBOLA DOUTOR MILTON SANTOS</t>
  </si>
  <si>
    <t>DOM CLIMÉRIO - SN(00421)</t>
  </si>
  <si>
    <t>-13.850527298299147, -40.09193880624103</t>
  </si>
  <si>
    <t>ANEXO - COLEGIO ESTADUAL VIRGILIO PEREIRA DE ALMEIDA - POVOADO BAIXAO DE IPIUNA</t>
  </si>
  <si>
    <t>COLÉGIO ESTADUAL DE TEMPO INTEGRAL PROFESSORA FARAILDES SANTOS</t>
  </si>
  <si>
    <t>LARGO DA IGREJA - SN(00013)</t>
  </si>
  <si>
    <t>CURRAL NOVO</t>
  </si>
  <si>
    <t>-13.864494558561303, -40.13066127816424</t>
  </si>
  <si>
    <t>DISTRITO DE ITIUBA - SN(00003)</t>
  </si>
  <si>
    <t>DISTRITO DE ITIUBA</t>
  </si>
  <si>
    <t>Estruturas adaptadas: 01 biblioteca, 01 laboratório de ciências, 01 refeitório.</t>
  </si>
  <si>
    <t>COLEGIO ESTADUAL DE TEMPO INTEGRAL JOSE MALTA MAIA</t>
  </si>
  <si>
    <t>AVENIDA PRESIDENTE VARGAS - 33</t>
  </si>
  <si>
    <t>COLÉGIO ESTADUAL DE TEMPO INTEGRAL LUIZ NAVARRO DE BRITO</t>
  </si>
  <si>
    <t>GIVANILSON JESUS DE SOUZA</t>
  </si>
  <si>
    <t>NAVARRO DE BRITO - SN(01221)</t>
  </si>
  <si>
    <t>(75) 9 8809-3487</t>
  </si>
  <si>
    <t>KM-3</t>
  </si>
  <si>
    <t>MARIA JOSELENE DE QUADRO REIS BORGES</t>
  </si>
  <si>
    <t>(75) 9 8812-0460</t>
  </si>
  <si>
    <t>UERIC SILVA OLIVEIRA</t>
  </si>
  <si>
    <t>-13.872991944116855, -40.09857129498061</t>
  </si>
  <si>
    <t>(75) 9 8841-1622</t>
  </si>
  <si>
    <t>(75) 3662-2119</t>
  </si>
  <si>
    <t>6 + 3 (Adapt)</t>
  </si>
  <si>
    <t>COLEGIO ESTADUAL PROFESSOR ERALDO TINOCO</t>
  </si>
  <si>
    <r>
      <rPr>
        <rFont val="Calibri"/>
        <b/>
        <color theme="1"/>
        <sz val="11.0"/>
      </rPr>
      <t>12 (</t>
    </r>
    <r>
      <rPr>
        <rFont val="Calibri"/>
        <b/>
        <color rgb="FFFF0000"/>
        <sz val="11.0"/>
      </rPr>
      <t>Sendo 08 salas de aula</t>
    </r>
    <r>
      <rPr>
        <rFont val="Calibri"/>
        <b/>
        <color theme="1"/>
        <sz val="11.0"/>
      </rPr>
      <t>, 01 sala de vídeo adaptada, 01 sala de informática adaptada e 02 salas cedidas para a UFSB)</t>
    </r>
  </si>
  <si>
    <t>MANOELA DE JESUS SANTOS</t>
  </si>
  <si>
    <t>(73) 9 9122-7455</t>
  </si>
  <si>
    <t>Demais laboratórios: 01 Química/biologia, 01 Física/matemática, 01 Espaço Maker, 01 Estufa. 
Salas multifuncionais: 01 sala de dança/jogos, 01 multifuncional.</t>
  </si>
  <si>
    <t>(75) 3662-2180</t>
  </si>
  <si>
    <t>8 (Sendo 6 como sala de aula, 1 adaptada para biblioteca e 1 adaptada para  laboratório de Informática)</t>
  </si>
  <si>
    <t>COLÉGIO ESTADUAL DE TEMPO INTEGRAL LUISA MAHIM</t>
  </si>
  <si>
    <t>RUA PROFESSOR RAIMUNDO DA COSTA - 100</t>
  </si>
  <si>
    <t>MANDACARU</t>
  </si>
  <si>
    <t>-13.8762560921378, -40.082467517790334</t>
  </si>
  <si>
    <t>COLEGIO ESTADUAL JUVENILIA PEIXOTO SAMPAIO</t>
  </si>
  <si>
    <t>PRACA LOMANTO JUNIOR - SN(00097)</t>
  </si>
  <si>
    <t>JANEIBE COSTA SANTOS</t>
  </si>
  <si>
    <t>(75) 9 8806-6358</t>
  </si>
  <si>
    <t>Demais laboratórios: 01 biologia
Salas multifuncionais: 01 sala de dança/jogos, 01 sala de vídeo.</t>
  </si>
  <si>
    <t>COLÉGIO ESTADUAL DE TEMPO INTEGRAL DE JEQUIÉ</t>
  </si>
  <si>
    <t>AVENIDA FRANZ GEDEON - SN(00506)</t>
  </si>
  <si>
    <t>-13.865973161768007, -40.06439802348933</t>
  </si>
  <si>
    <t>COLEGIO ESTADUAL DE TEMPO INTEGRAL RUY JOSE DE ALMEIDA</t>
  </si>
  <si>
    <t>GILDENY SANTANA DE ANDRADE LIMA</t>
  </si>
  <si>
    <t>(75) 9 9951-8890</t>
  </si>
  <si>
    <t>EDILEUSA MARCIA DA SILVA</t>
  </si>
  <si>
    <t>(75) 9 8881-2134</t>
  </si>
  <si>
    <t>8 + 2 (Adapt)</t>
  </si>
  <si>
    <t>16 (sendo: 10 salas de aula novas e 6 salas de aula existentes)</t>
  </si>
  <si>
    <t xml:space="preserve">Estruturas adaptadas: 01 biblioteca.
Demais laboratórios: 01 Nutrição ,01 Enfermagem ,01 Análises Clínicas ,01 Saúde Bucal. </t>
  </si>
  <si>
    <t>COLÉGIO DA POLICIA MILITAR - CPM PROFESSOR POETA LUIS NEVES COTRIM</t>
  </si>
  <si>
    <t>MARIA ADÉLIA - S/N</t>
  </si>
  <si>
    <t>COLEGIO ESTADUAL FERNANDO PRESIDIO</t>
  </si>
  <si>
    <t>-13.866551261134687, -40.061636380265945</t>
  </si>
  <si>
    <t>MIRIAN FERREIRA MOREIRA</t>
  </si>
  <si>
    <t>(73) 9 9157-6679</t>
  </si>
  <si>
    <t>JOCÉLIO PEREIRA DE OLIVEIRA</t>
  </si>
  <si>
    <t>(73) 9 9105-6775</t>
  </si>
  <si>
    <t>(73) 3556-1265</t>
  </si>
  <si>
    <t>COLEGIO ESTADUAL EDIVALDO BOAVENTURA - EM TEMPO INTEGRAL</t>
  </si>
  <si>
    <t>JOAQUIM JOSÉ DA ROCHA - 308</t>
  </si>
  <si>
    <t>Estruturas adaptadas: 01 Música, 01 Espaço Maker ,01 AEE, 02 Reforço escolar.</t>
  </si>
  <si>
    <t>JOSIANE VIEIRA DE ALMEIDA SARAIVA</t>
  </si>
  <si>
    <t>(73) 9 8820-7073</t>
  </si>
  <si>
    <t>CRISTIANE ARAUJO DOS SANTOS</t>
  </si>
  <si>
    <t>(77) 9 9135-5757</t>
  </si>
  <si>
    <t>MARIA LAURITO DA SILVA</t>
  </si>
  <si>
    <t>(73) 3533-3253</t>
  </si>
  <si>
    <t>CENTRO REGIONAL DE ENSINO MÉDIO COM INTERMEDIAÇÃO TECNOLÓGICA MÉDIO RIO DE CONTAS</t>
  </si>
  <si>
    <t>CESAR BORGES N SN(00001)CEP: 45208001</t>
  </si>
  <si>
    <t xml:space="preserve">JEQUIEZINHO </t>
  </si>
  <si>
    <t>-13.861306617668733, -40.07603623216987</t>
  </si>
  <si>
    <t>COLÉGIO ESTADUAL EDILSON FREIRE</t>
  </si>
  <si>
    <t>CENTRO JUVENIL DE CIÊNCIA E CULTURA - CJCC JEQUIÉ</t>
  </si>
  <si>
    <t>AUGUSTO MARQUES N 1629 CEP: 45208325</t>
  </si>
  <si>
    <t>ALEXSANDRA DA SILVA OLIVEIRA D AQUINO DE SOUZA</t>
  </si>
  <si>
    <t>(73) 9 9901-3180</t>
  </si>
  <si>
    <t>-13.866463426459687, -40.064878390996924</t>
  </si>
  <si>
    <t>BRUNO DE JESUS FONTES</t>
  </si>
  <si>
    <t>(73) 9 9163-5338</t>
  </si>
  <si>
    <t>FLAVIO GUIMARAES DE SOUZA</t>
  </si>
  <si>
    <t>(73) 9 8805-3173</t>
  </si>
  <si>
    <t>(73) 3533-2787</t>
  </si>
  <si>
    <t>7+1 (Adapt)</t>
  </si>
  <si>
    <t>ANEXO - COLÉGIO ESTADUAL EDILSON FREIRE-POVOADO DE PORTO ALEGRE</t>
  </si>
  <si>
    <t>CENTRO ESTADUAL DE EDUCAÇÃO PROFISSIONAL EM GESTÃO E TECNOLOGIA DA INFORMAÇÃO REGIS PACHECO</t>
  </si>
  <si>
    <t>RUA XV DE NOVEMBRO - S/N</t>
  </si>
  <si>
    <t>CAMPO DO AMERICA</t>
  </si>
  <si>
    <t>-13.855771010906388, -40.075688401966076</t>
  </si>
  <si>
    <t>COLEGIO ESTADUAL DE MILAGRES - TEMPO INTEGRAL</t>
  </si>
  <si>
    <t>JOSE PAULO ALMEIDA CERQUEIRA</t>
  </si>
  <si>
    <t>(75) 9 8171-0015</t>
  </si>
  <si>
    <t>JAMILI SOUZA COSTA DAMACENO</t>
  </si>
  <si>
    <t>(75) 9 8104-9842</t>
  </si>
  <si>
    <t>ANA VALERIA REIS SOUZA FONSECA</t>
  </si>
  <si>
    <t>(75) 9 8285-6081</t>
  </si>
  <si>
    <t>15 ( Sendo 12 utilizadas como salas de aula, 1 sala adaptada para laboratório de ciências, 1 sala adaptada para biblioteca e 1 sala adaptada para sala de movimentos corporais.</t>
  </si>
  <si>
    <t>COLEGIO ESTADUAL ANTONIO FELIPE EVANGELISTA NETO - TEMPO INTEGRAL</t>
  </si>
  <si>
    <t>2ª TRAVESSA DA RUA AURELIANO OLIVEIRA - S/N</t>
  </si>
  <si>
    <t xml:space="preserve">JOILDES SANTOS DE SOUSA </t>
  </si>
  <si>
    <t>(75) 9 8811-8680</t>
  </si>
  <si>
    <t xml:space="preserve">REINALDO DOS SANTOS SILVA </t>
  </si>
  <si>
    <t>(75) 9 9896-3877</t>
  </si>
  <si>
    <t>CRISTIANE NASCIMENTO DE ANDRADE</t>
  </si>
  <si>
    <t>(75) 9 8817-2017</t>
  </si>
  <si>
    <t>(75) 3635-1791</t>
  </si>
  <si>
    <t>8+1ADAP</t>
  </si>
  <si>
    <t>Demais laboratórios: 01 Manutenção de Informática, 01 Robótica, 01 Edificações, 01 Seg. do Trabalho, 01 Enfermagem, 02 Gastronomia, 01 Escritório Criativo.
Salas multifuncionais: 03 multimídia, 01 espaço maker</t>
  </si>
  <si>
    <t>CENTRO DE APOIO PEDAGÓGICO DE JEQUIÉ - CAP</t>
  </si>
  <si>
    <t>EROTILDES SOARES - SN(00020)</t>
  </si>
  <si>
    <t>SÃO JOSÉ</t>
  </si>
  <si>
    <t>-13.854320370047715, -40.074353252798524</t>
  </si>
  <si>
    <t>COLEGIO ESTADUAL LUIZ VIANA FILHO - TEMPO INTEGRAL</t>
  </si>
  <si>
    <t>KARINE COSTA OLIVEIRA</t>
  </si>
  <si>
    <t>(73) 9 9961-3262</t>
  </si>
  <si>
    <t>RONALDO SANTANA BRANDAO</t>
  </si>
  <si>
    <t>(71) 9 8536-9122</t>
  </si>
  <si>
    <t>VALDECIO DE QUEIROZ ARAUJO</t>
  </si>
  <si>
    <t>(73) 9 9971-2470</t>
  </si>
  <si>
    <t>(73) 3545-2222</t>
  </si>
  <si>
    <t>12 (Sendo 8 como sala de aula, 2 Refeitório, 1 Sala de vídeo e 1 Sala de fanfarra)</t>
  </si>
  <si>
    <t>Estruturas adaptadas:01 Laboratório de informática.</t>
  </si>
  <si>
    <t>ANA PRISCILA CARDOSO FAUSTINO</t>
  </si>
  <si>
    <t xml:space="preserve"> (71) 9 9175-5613</t>
  </si>
  <si>
    <t>UILSON DE ALMEIDA BITTENCOURT</t>
  </si>
  <si>
    <t>(75) 9 8830-2819</t>
  </si>
  <si>
    <t>(73) 3357-0153</t>
  </si>
  <si>
    <t>ANEXO-COLÉGIO ESTADUAL LUIZ NAVARRO DE BRITO - PRESIDIO PENAL FAZENDA SITIO PANGOLANDIA</t>
  </si>
  <si>
    <t>FAZENDA SITIO PANGOLANDIA - S/N</t>
  </si>
  <si>
    <t>PRESIDIO PENAL FAZENDA SITIO PANGOLANDIA</t>
  </si>
  <si>
    <t>ANEXO - COLÉGIO ESTADUAL LUIZ NAVARRO DE BRITO - DISTRITO DE ITAJURU</t>
  </si>
  <si>
    <t>CACAU - S/N</t>
  </si>
  <si>
    <t>DISTRITO DE ITAJURU</t>
  </si>
  <si>
    <t>ANEXO - COLEGIO ESTADUAL MANOEL JOSE DE ANDRADE - SEDE</t>
  </si>
  <si>
    <t>PRACA ISAURA COUTO, S/N - S/N</t>
  </si>
  <si>
    <t>ANEXO - COLÉGIO ESTADUAL LUIZ NAVARRO DE BRITO - DISTRITO DE FLORESTAL</t>
  </si>
  <si>
    <t>FLORESTAL - SN(00460)</t>
  </si>
  <si>
    <t>DISTRITO DE FLORESTAL</t>
  </si>
  <si>
    <t>COLEGIO ESTADUAL DE SANTA INES - CESI - TEMPO INTEGRAL</t>
  </si>
  <si>
    <t>RUA ALTO DA BELA VISTA - SN(00738)</t>
  </si>
  <si>
    <t>EDNA ADRIANA COSTA MATOS LIMA</t>
  </si>
  <si>
    <t>(73) 9 8257-8958</t>
  </si>
  <si>
    <t>JEANE ROCHA BANDEIRA</t>
  </si>
  <si>
    <t>(73)  98172-7277</t>
  </si>
  <si>
    <t>(73) 3536-1011</t>
  </si>
  <si>
    <t>13 (sendo 11 como salas de aula, 01 adaptada para sala de vivências corporais e 01 adaptada para informática)</t>
  </si>
  <si>
    <t>ANEXO - CEMIT MÉDIO RIO DE CONTAS - DISTRITO DE NOVA ESPERANÇA</t>
  </si>
  <si>
    <t>COLEGIO ESTADUAL ALDEMIRO VILAS BOAS</t>
  </si>
  <si>
    <t>DISTRITO DE NOVA ESPERANCA - S/N</t>
  </si>
  <si>
    <t>PATRICIA SOUZA ANDRADE</t>
  </si>
  <si>
    <t>(75) 9 8808-9296</t>
  </si>
  <si>
    <t>GEOVANE BASTOS PEREIRA</t>
  </si>
  <si>
    <t>(73) 98809-5227</t>
  </si>
  <si>
    <t>(75) 3676-2329</t>
  </si>
  <si>
    <t>JITAUNA</t>
  </si>
  <si>
    <t>COLÉGIO ESTADUAL DE TEMPO INTEGRAL GILDA RAMOS DOS SANTOS</t>
  </si>
  <si>
    <t>MARGEM DA BR 330,KM 27 - S/N</t>
  </si>
  <si>
    <t>-14.009979698136332, -39.895000523383835</t>
  </si>
  <si>
    <t>COLEGIO ESTADUAL BALBINO MUNIZ BARRETO</t>
  </si>
  <si>
    <t>KATIA REGINA SANTOS ROCHA</t>
  </si>
  <si>
    <t>(75) 9 8809-4022</t>
  </si>
  <si>
    <t>ROBERTA LEAL TRAVI RIBEIRO</t>
  </si>
  <si>
    <t>(75) 98844-3288</t>
  </si>
  <si>
    <t>GENIVALDO CARVALHO DOS SANTOS</t>
  </si>
  <si>
    <t>(75) 9 8842-6933</t>
  </si>
  <si>
    <t>MANOEL VITORINO</t>
  </si>
  <si>
    <t>(75) 3544--2187</t>
  </si>
  <si>
    <t xml:space="preserve">7+1(laboratório de química adaptado como sala de aula) </t>
  </si>
  <si>
    <t>COLÉGIO ESTADUAL PROFESSORA ALMERINDA MEIRA DO CARMO - TEMPO INTEGRAL</t>
  </si>
  <si>
    <t>RUA HERCULES ALVES MEIRA - SN(00042)</t>
  </si>
  <si>
    <t>-14.14998289007061, -40.2423260234555</t>
  </si>
  <si>
    <t>ANEXO - COLEGIO ESTADUAL BALBINO MUNIZ BARRETO - POVOADO DE TRES BRACOS</t>
  </si>
  <si>
    <t>ANEXO - COLÉGIO ESTADUAL PROFESSORA ALMERINDA MEIRA DO CARMO - POVOADO DO SALGADO</t>
  </si>
  <si>
    <t>POVOADO DO SALGADO, Nº S/N</t>
  </si>
  <si>
    <t>ANEXO - COLÉGIO ESTADUAL PROFESSORA ALMERINDA MEIRA DO CARMO - DISTRITO DE CATINGAL</t>
  </si>
  <si>
    <t>RUA DIRETA, Nº 5</t>
  </si>
  <si>
    <t>COLÉGIO ESTADUAL DOUTOR IVES ORLANDO LOPES DA SILVA</t>
  </si>
  <si>
    <t xml:space="preserve">CLAUDIVON DIAS DA SILVA </t>
  </si>
  <si>
    <t xml:space="preserve">(74) 9 9982-8003 </t>
  </si>
  <si>
    <t xml:space="preserve"> ELIEZER MOREIRA MIRANDA</t>
  </si>
  <si>
    <t xml:space="preserve"> (74) 9 9989-3366</t>
  </si>
  <si>
    <t xml:space="preserve"> (74) 3533-2791</t>
  </si>
  <si>
    <t>8 ( Sendo 07 como salas de aula e 01 adaptada para laboratório de informática)</t>
  </si>
  <si>
    <t>ANEXO - CEMIT - MÉDIO RIO DE CONTAS - DISTRITO DE POMBAS</t>
  </si>
  <si>
    <t>POMBAS - SN(00066)</t>
  </si>
  <si>
    <t>93KM</t>
  </si>
  <si>
    <t>NOVA IBIA</t>
  </si>
  <si>
    <t>COLÉGIO ESTADUAL PROFESSORA MARIA LEAL LOPES - TEMPO INTEGRAL</t>
  </si>
  <si>
    <t>ADAILSON BARBOSA GOMES</t>
  </si>
  <si>
    <t>(74) 9 8828-2249</t>
  </si>
  <si>
    <t>BAIRRO NOVOS TEMPOS-AREA ESPECIAL - 145</t>
  </si>
  <si>
    <t>JOSE NELSON ALVES DA SILVA</t>
  </si>
  <si>
    <t>(74) 9 8862-1210</t>
  </si>
  <si>
    <t>JOSEMAR RODRIGUES SANTOS</t>
  </si>
  <si>
    <t>(74) 9 8832-3106</t>
  </si>
  <si>
    <t>(74) 3611-2709</t>
  </si>
  <si>
    <t>-13.809752866957648, -39.62400741329352</t>
  </si>
  <si>
    <t xml:space="preserve">Estruturas adaptadas: 01 Refeitório, 01 sala de leitura </t>
  </si>
  <si>
    <t>UBATA</t>
  </si>
  <si>
    <t>ESTUDANTES POR MUNICÍPIO</t>
  </si>
  <si>
    <t>COLÉGIO ESTADUAL DE TEMPO INTEGRAL DE UBATÃ</t>
  </si>
  <si>
    <t>AVENIDA LANDULFO ALVES - SN(00036)</t>
  </si>
  <si>
    <t>-14.214240360167961, -39.52177686038645</t>
  </si>
  <si>
    <t xml:space="preserve">NOVO PADRÃO (MODERNIZAÇÃO ) </t>
  </si>
  <si>
    <t>2 + 5 (Adapt)</t>
  </si>
  <si>
    <t>Sala multifuncional: 01 sala multifuncional, 01 sala de jogos.
Demais laboratórios: 01 Biologia/química ,01 Matemática/física, 01 Informática, 01 Horta escolar (hortaliças)</t>
  </si>
  <si>
    <t>ESCOLA FAMILIA AGRICOLA PADRE LUIS LINTNER</t>
  </si>
  <si>
    <t>FAZENDA LAGOA DO INOCENCIO - S/N</t>
  </si>
  <si>
    <t>-12.68635276938502, -44.02684306634367</t>
  </si>
  <si>
    <t>Demais laboratórios: Setores agropecuários: 01 granja, 01 pocilga, 01 curral para vaca, 01 horta, 01 viveiro, 01 propriedade, 01 apiários.</t>
  </si>
  <si>
    <t>COLÉGIO ESTADUAL DE BREJOLÂNDIA (ANTIGO - CE LUIS EDUARDO MAGALHAES)</t>
  </si>
  <si>
    <t>RUA AEROPORTO - S/N</t>
  </si>
  <si>
    <t>-12.4844771630145, -43.967749329410424</t>
  </si>
  <si>
    <t>Estruturas adaptadas: 01 sala de leitura, 01 auditório, 01 refeitório, 01 sala AEE.
Demais laboratórios: 01 Horta</t>
  </si>
  <si>
    <t>ANEXO - COLÉGIO ESTADUAL DE BREJOLÂNDIA - POVOADO DE MAMONAL</t>
  </si>
  <si>
    <t>POV. DE MAMONAL - S/N</t>
  </si>
  <si>
    <t>POVOADO DE MAMONAL</t>
  </si>
  <si>
    <t>ANEXO - COLÉGIO ESTADUAL DE BREJOLÂNDIA - DISTRITO DE MOMBACA</t>
  </si>
  <si>
    <t>RUA DO AEROPORTO, S/N - S/N</t>
  </si>
  <si>
    <t>DISTRITO DE MOMBACA</t>
  </si>
  <si>
    <t>CANAPOLIS</t>
  </si>
  <si>
    <t>Avenida Duque de Caxias</t>
  </si>
  <si>
    <t>-13.070368416098832, -44.205179935971984</t>
  </si>
  <si>
    <t>COCOS</t>
  </si>
  <si>
    <t>COLÉGIO ESTADUAL DE TEMPO INTEGRAL DE COCOS</t>
  </si>
  <si>
    <t>PRAÇA DA CULTURA - SN(00113)</t>
  </si>
  <si>
    <t>-14.180666688618901, -44.53926854934055</t>
  </si>
  <si>
    <t>Estruturas adaptadas: 01 biblioteca, 01 laboratório de informática.</t>
  </si>
  <si>
    <t>ANEXO - COLÉGIO ESTADUAL DE TEMPO INTEGRAL DE COCOS - COMUNIDADE QUILOMBOLA DE CAJUEIRO</t>
  </si>
  <si>
    <t>DISTRITO DE CAJUEIRO - SN(00003)</t>
  </si>
  <si>
    <t>ANEXO - COLÉGIO ESTADUAL DE TEMPO INTEGRAL DE COCOS - COMUNIDADE INDIGENA DE PORCOS</t>
  </si>
  <si>
    <t>FAZENDA PORCOS - SN(00033)</t>
  </si>
  <si>
    <t>150 KM</t>
  </si>
  <si>
    <t>JOSILEIDE VALENÇA VARJÃO</t>
  </si>
  <si>
    <t>(75) 9 9184-5707 / (75) 9 9213-0501</t>
  </si>
  <si>
    <t>MAISA BORGES DA GAMA</t>
  </si>
  <si>
    <t>(75) 9 9172-6644</t>
  </si>
  <si>
    <t>(75) 3494-2029</t>
  </si>
  <si>
    <t>CORIBE</t>
  </si>
  <si>
    <t>COLÉGIO ESTADUAL DE TEMPO INTEGRAL SÃO JOÃO DOS GERAIS</t>
  </si>
  <si>
    <t>RUA JUSCELINO KUBITSCHEK - 54</t>
  </si>
  <si>
    <t>-13.830100742045918, -44.45941207350308</t>
  </si>
  <si>
    <t>ANEXO - COLÉGIO ESTADUAL DE TEMPO INTEGRAL SÃO JOÃO DOS GERAIS -DISTRITO DE COLONIA DO FORMOSO</t>
  </si>
  <si>
    <t>DISTRITO DE COLONIA DO FORMOSO - S/N</t>
  </si>
  <si>
    <t>DISTRITO DE COLONIA DO FORMOSO</t>
  </si>
  <si>
    <t xml:space="preserve"> CEDIDO</t>
  </si>
  <si>
    <t>COLÉGIO ESTADUAL DO CAMPO DE TEMPO INTEGRAL PROFESSORA TEREZA CABRAL -  DISTRITO DE PAU A PIQUE
OBS.:  A nova unidade irá receber os estudantes do Antigo Anexo do CE de Casa Nova no distrito de Pau a Pique.</t>
  </si>
  <si>
    <t>RUA DA HORTA N S/N Bairro: - CEP:</t>
  </si>
  <si>
    <t>ALESSANDRA ALMEIDA E SILVA</t>
  </si>
  <si>
    <t>(74) 9 8868-2554</t>
  </si>
  <si>
    <t>ANEXO - COLÉGIO ESTADUAL DE TEMPO INTEGRAL SÃO JOÃO DOS GERAIS - DISTRITO DE DESCOBERTO</t>
  </si>
  <si>
    <t>DIST. DE DESCOBERTO - S/N</t>
  </si>
  <si>
    <t>DISTRITO DE DESCOBERTO</t>
  </si>
  <si>
    <t>ESCOLA FAMILIA AGRICOLA DE CORRENTINA</t>
  </si>
  <si>
    <t>SITIO TERRA NOVA RODOVIA CORRENTINA - KM 15</t>
  </si>
  <si>
    <t>-13.449936310217135, -44.564808039570096</t>
  </si>
  <si>
    <t>BRUNA ANTONIELLA CORDEIRO BRIENE</t>
  </si>
  <si>
    <t>(74) 9 8814-6090/(87) 9 8833-7715</t>
  </si>
  <si>
    <t>Demais laboratórios:01 experimentação agropecuária; Setores agropecuários: 01 viveiro e matrizeiro, 01 plantas medicinais, 01 ovino caprinocultura, 01 aviário, 01 horta, 01 apicultura, 01 meliponicultura, 01 compostagem/biofertilizantes, 01 jarinagem, 01 banco de sementes, 01 forragem, 01 fruticultura, 01 bovinocultura, 01 minhocário, 01 suinocultura, 01 oficina didática de mecanização agrícola, 01 sistema agroflorestal.</t>
  </si>
  <si>
    <t>COLÉGIO ESTADUAL DE TEMPO INTEGRAL DE CORRENTINA (ANTIGO - COLÉGIO ESTADUAL DUQUE DE CAXIAS)</t>
  </si>
  <si>
    <t>AV DUQUE DE CAXIAS - 176</t>
  </si>
  <si>
    <t>-13.34502595828093, -44.63225367876598</t>
  </si>
  <si>
    <t>COLÉGIO ESTADUAL DE TEMPO INTEGRAL DE CASA NOVA
(Antigo Colegio Antônio Honorato)</t>
  </si>
  <si>
    <t>KELLY DE CASTRO SILVA TELES</t>
  </si>
  <si>
    <t>(74) 9 8859-1325</t>
  </si>
  <si>
    <t xml:space="preserve">	LIDIANNE DA SILVA CARVALHO</t>
  </si>
  <si>
    <t>(74) 9 8824-5667</t>
  </si>
  <si>
    <t>Demais Laboratórios: 01 Química/biologia, 01 Física/matemática, 01 Linguagens, 01 Estufa, 01 Horta
Sala multifuncional: 01 sala de dança</t>
  </si>
  <si>
    <t>COLÉGIO ESTADUAL DE TEMPO INTEGRAL CENILDA SELMA SCHERRER STIMER
 DISTRITO DE VILA DO ROSÁRIO</t>
  </si>
  <si>
    <t>RUA ALAMEDA SW, Nº S/N</t>
  </si>
  <si>
    <t>-13.950869322113192, -46.191506023709785</t>
  </si>
  <si>
    <t>ANEXO - COLEGIO ESTADUAL DE CASA NOVA - POVOADO BEM BOM</t>
  </si>
  <si>
    <t>Demais Laboratórios: Cências</t>
  </si>
  <si>
    <t>ANEXO - COLÉGIO ESTADUAL DE TEMPO INTEGRAL DE CORRENTINA - DISTRITO DE ARROGELANDIA (ANTIGO - COLÉGIO ESTADUAL DUQUE DE CAXIAS)</t>
  </si>
  <si>
    <t>ARROGELÂNDIA - S/N</t>
  </si>
  <si>
    <t>DISTRITO DE ARROGELANDIA</t>
  </si>
  <si>
    <t>ANEXO - COLÉGIO ESTADUAL DE CASA NOVA - DISTRITO DE OURICURI</t>
  </si>
  <si>
    <t>JABORANDI</t>
  </si>
  <si>
    <t>COLÉGIO ESTADUAL DE TEMPO INTEGRAL MARIA DO SOCORRO PEREIRA DE MATOS - (ANTIGO CE FRANCISCO MOREIRA ALVES)</t>
  </si>
  <si>
    <t>AVENIDA FRANCISCO MOREIRA ALVES - 417</t>
  </si>
  <si>
    <t>-13.62296367712446, -44.46696761810113</t>
  </si>
  <si>
    <t>ANEXO - COLEGIO ESTADUAL DE CASA NOVA - DISTRITO DE LUIZ VIANA</t>
  </si>
  <si>
    <t>Demais laboratórios: 01 Química/biologia, 01 Matemática/física</t>
  </si>
  <si>
    <t>ANEXO - COLÉGIO ESTADUAL FRANCISCO MOREIRA ALVES - POVOADO DE BREJAO</t>
  </si>
  <si>
    <t>POVOADO DE BREJAO - S/N</t>
  </si>
  <si>
    <t>SANTA MARIA DA VITORIA</t>
  </si>
  <si>
    <t>ANEXO - COLEGIO ESTADUAL DE CASA NOVA - DISTRITO DE LAGOA DO ALEGRE</t>
  </si>
  <si>
    <t>COLÉGIO ESTADUAL ROLANDO LARANJEIRA BARBOSA</t>
  </si>
  <si>
    <t>RUA GONCALVES LÊDO - 065</t>
  </si>
  <si>
    <t>-13.391789248959682, -44.19630715350238</t>
  </si>
  <si>
    <t>Estruturas adaptadas: 01 sala de leitura, 01 refeitório, 01 informática</t>
  </si>
  <si>
    <t>CENTRO TERRITORIAL DE EDUCACAO PROFISSIONAL DA BACIA DO RIO CORRENTE</t>
  </si>
  <si>
    <t>-13.386953951655554, -44.18994043708994</t>
  </si>
  <si>
    <t>FERNANDA MACIEL SANTANA</t>
  </si>
  <si>
    <t>(74) 9 8857-2107/ 9111-1868/9 8142-9005</t>
  </si>
  <si>
    <t>MARLY SOARES DO NASCIMENTO</t>
  </si>
  <si>
    <t>(74) 9 9914-6264</t>
  </si>
  <si>
    <t>(74) 3531-6064</t>
  </si>
  <si>
    <t>COLÉGIO ESTADUAL AGROVILA 08 - DISTRIRTO PEDRA BRANCA</t>
  </si>
  <si>
    <t>VALDIR PEREIRA ALVES</t>
  </si>
  <si>
    <t>(87) 9 9806-3589</t>
  </si>
  <si>
    <t>LUZIA DIAS MENEZES</t>
  </si>
  <si>
    <t>(87) 9 9107-9253</t>
  </si>
  <si>
    <t>MARIA DA PAZ DOS SANTOS SOUZA E SILVA</t>
  </si>
  <si>
    <t>(87) 9 9627-1294</t>
  </si>
  <si>
    <t>(87) 9 9642-7252</t>
  </si>
  <si>
    <t>Estruturas adaptadas: 01 biblioteca, 01 nutrição 
Demais laboratórios: 01 agropecuária, 01 administração, 01 enfermagem, 01 análises clínicas 
Sala multifuncional: 01 multimídia, 01 AEE, 01 oficinas educa mais, 01 atendimento psicológico</t>
  </si>
  <si>
    <t xml:space="preserve">CEMIT BACIA DO RIO CORRENTE </t>
  </si>
  <si>
    <t>RUA CAPITAO MARCELINO NASCIMENTO, Nº 186</t>
  </si>
  <si>
    <t>-13.386959658938355, -44.18991636322969</t>
  </si>
  <si>
    <t>JOAO MENDES GOMES JUNIOR</t>
  </si>
  <si>
    <t>(74) 9 8831-5191</t>
  </si>
  <si>
    <t>(74) 3531-1470</t>
  </si>
  <si>
    <t>ANEXO - COLÉGIO ESTADUAL ROLANDO LARANJEIRAS BARBOSA - DISTRITO DE JATOBA</t>
  </si>
  <si>
    <t>DE JATOBA - SN(00002)</t>
  </si>
  <si>
    <t>CLAUDETE DE ALMEIDA GAMA</t>
  </si>
  <si>
    <t>(74) 9 8853-2364</t>
  </si>
  <si>
    <t>(74) 3531-1639</t>
  </si>
  <si>
    <t>ANEXO - COLÉGIO ESTADUAL ROLANDO LARANJEIRA BARBOSA - POVOADO DE INHAUMAS</t>
  </si>
  <si>
    <t>POV. DE INHAUMAS - S/N</t>
  </si>
  <si>
    <t>POV. DE INHAUMAS</t>
  </si>
  <si>
    <t>( ANTIGO ANEXO - COLEGIO ESTADUAL MANOEL NOVAES - POVOADO DE MUNDO NOVO)</t>
  </si>
  <si>
    <t>ANEXO - COLÉGIO ESTADUAL ROLANDO LARANJEIRA BARBOSA - DISTRITO DE MOCAMBO</t>
  </si>
  <si>
    <t>DISTRITO DE MOCAMBRO - S/N</t>
  </si>
  <si>
    <t>DISTRITO DE MOCAMBRO</t>
  </si>
  <si>
    <t>ANEXO - COLÉGIO ESTADUAL ROLANDO LARANJEIRA BARBOSA - DISTRITO DE ACUDINA</t>
  </si>
  <si>
    <t>DISTRITO DE ACUDINA - S/N</t>
  </si>
  <si>
    <t>ANEXO - COLÉGIO ESTADUAL ROLANDO LARANJEIRA BARBOSA - CURRAIS</t>
  </si>
  <si>
    <t>CURRAIS - S/N</t>
  </si>
  <si>
    <t xml:space="preserve">CURRAIS </t>
  </si>
  <si>
    <t>ESCOLA FAMILIA AGRICOLA DE SANTANA PADRE ARTHUR BIRK</t>
  </si>
  <si>
    <t>ESTRADA SALINAS - SN(00007)</t>
  </si>
  <si>
    <t>COLÉGIO ESTADUAL DE TEMPO INTEGRAL DE SANTANA</t>
  </si>
  <si>
    <t>R. INDIRA GANDHI, 68-412 - SANTANA</t>
  </si>
  <si>
    <t>-12.975670442688886, -44.04297747342741</t>
  </si>
  <si>
    <t>( ANTIGO ANEXO - COLEGIO ESTADUAL MANOEL NOVAES - DISTRITO POCO DE FORA)</t>
  </si>
  <si>
    <t>ANEXO - COLÉGIO ESTADUAL EDVALDO FLORES - DISTRITO DE PORTO NOVO</t>
  </si>
  <si>
    <t>PRACA DA MATRIZ S/N - DISTRITO PORTO NOVO - S/N</t>
  </si>
  <si>
    <t xml:space="preserve"> DISTRITO DE PORTO NOVO</t>
  </si>
  <si>
    <t>LUCIMONE DOS SANTOS LOPES BRUNO</t>
  </si>
  <si>
    <t>(74)  9 8809-0766</t>
  </si>
  <si>
    <t>EDILSON ALVES DE SOUZA</t>
  </si>
  <si>
    <t>(74) 9 8854-4719</t>
  </si>
  <si>
    <t>SHEYLA MARIA LOPES DA COSTA</t>
  </si>
  <si>
    <t>(87) 9 9636-9082</t>
  </si>
  <si>
    <t xml:space="preserve">(74) 3611-7140
3611-8366
</t>
  </si>
  <si>
    <t>SAO FELIX DO CORIBE</t>
  </si>
  <si>
    <t>COLÉGIO ESTADUAL DE TEMPO INTEGRAL RIO CORRENTE</t>
  </si>
  <si>
    <t>RUA LESSA - 90</t>
  </si>
  <si>
    <t>-13.399104883502025, -44.19409352748369</t>
  </si>
  <si>
    <t>DINOELMA DA SILVA MOURA</t>
  </si>
  <si>
    <t>(74) 9 9996-5030</t>
  </si>
  <si>
    <t xml:space="preserve">LUZENAIDE GONÇALVES DA CUNHA </t>
  </si>
  <si>
    <t>(74) 9 8832-5094</t>
  </si>
  <si>
    <t>PAULO VINICIUS PEREIRA DE ALMEIDA</t>
  </si>
  <si>
    <t>(74) 9 8834-4884</t>
  </si>
  <si>
    <t xml:space="preserve">(74) 3611-5076
3617-8343
</t>
  </si>
  <si>
    <t>Demais laboratórios: 01 biologia/química, 01 física/matemática, 01 linguagens.
Sala multifuncional: 01 Dança/vivências corporais.</t>
  </si>
  <si>
    <t>NEIDE DOS SANTOS BARBOSA</t>
  </si>
  <si>
    <t>(74) 9 8815-2802</t>
  </si>
  <si>
    <t>TERCIANNE SENTO SE DE SOUZA BRITO</t>
  </si>
  <si>
    <t>(74) 9 8854-0398</t>
  </si>
  <si>
    <t xml:space="preserve">(74) 3613-4084
3611-6439
</t>
  </si>
  <si>
    <t>ANEXO - COLÉGIO ESTADUAL RIO CORRENTE - DISTRITO DE TABULEIRO</t>
  </si>
  <si>
    <t>TABULEIRO - SN(00005)</t>
  </si>
  <si>
    <t>COLÉGIO ESTADUAL MISAEL AGUILAR SILVA</t>
  </si>
  <si>
    <t>RUA EDESIO SANTOS - SN(00036)</t>
  </si>
  <si>
    <t>ANEXO - COLÉGIO ESTADUAL RIO CORRENTE - DISTRITO DE ALAGOINHA</t>
  </si>
  <si>
    <t>DIST. DE ALAGOINHA - S/N</t>
  </si>
  <si>
    <t xml:space="preserve"> LUAN SANTOS SOUZA REIS</t>
  </si>
  <si>
    <t>(87) 9 8847-1965</t>
  </si>
  <si>
    <t>(74) 3611-9748</t>
  </si>
  <si>
    <t>SERRA DOURADA</t>
  </si>
  <si>
    <t>COLÉGIO ESTADUAL DE TEMPO INTEGRAL SÃO GONÇALO</t>
  </si>
  <si>
    <t>MANSO CABRAL - S/N</t>
  </si>
  <si>
    <t xml:space="preserve"> -12.765533679246944  -43.93824074985651</t>
  </si>
  <si>
    <t>MARCOS ANTONIO DA SILVA DUARTE</t>
  </si>
  <si>
    <t>(74) 9 8803-8732</t>
  </si>
  <si>
    <t>JOAO ROBERTO CAMILO</t>
  </si>
  <si>
    <t>(74) 9 8142-9944</t>
  </si>
  <si>
    <t>ELBA MARIA DA SILVA CAMPOS</t>
  </si>
  <si>
    <t>(74) 9 9148-7963</t>
  </si>
  <si>
    <t xml:space="preserve">(74) 3611-2937
3611-6502
</t>
  </si>
  <si>
    <t>ANEXO - COLÉGIO ESTADUAL SAO GONCALO - DISTRITO DE TRAIRAS</t>
  </si>
  <si>
    <t>DIST. DE TRAIRAS - S/N</t>
  </si>
  <si>
    <t>DISTRITO DE TRAIRAS</t>
  </si>
  <si>
    <t>COLÉGIO ESTADUAL JUTAHY MAGALHÃES</t>
  </si>
  <si>
    <t>MARINEZ SILVA MENEZES SANTOS</t>
  </si>
  <si>
    <t>(74) 9 8816-7348</t>
  </si>
  <si>
    <t xml:space="preserve">(74) 3611-8339
3611-6492
</t>
  </si>
  <si>
    <r>
      <rPr>
        <rFont val="Calibri"/>
        <color theme="1"/>
        <sz val="10.0"/>
      </rPr>
      <t>COLÉGIO ESTADUAL DE TEMPO INTEGRAL DE TABOCAS
(</t>
    </r>
    <r>
      <rPr>
        <rFont val="Calibri"/>
        <b/>
        <color theme="1"/>
        <sz val="10.0"/>
      </rPr>
      <t>ANTIGO - COLÉGIO ESTADUAL DE TEMPO INTEGRAL LEONIDAS DE ARAÚJO SILVA</t>
    </r>
    <r>
      <rPr>
        <rFont val="Calibri"/>
        <color theme="1"/>
        <sz val="10.0"/>
      </rPr>
      <t>)</t>
    </r>
  </si>
  <si>
    <t>PRAÇA 31 DE MARÇO - S/N</t>
  </si>
  <si>
    <t xml:space="preserve"> -12.699917517944478, -44.01002246412705</t>
  </si>
  <si>
    <r>
      <rPr>
        <rFont val="Calibri"/>
        <b/>
        <color rgb="FF000000"/>
        <sz val="11.0"/>
      </rPr>
      <t xml:space="preserve">13 ( </t>
    </r>
    <r>
      <rPr>
        <rFont val="Calibri"/>
        <b/>
        <color rgb="FFFF0000"/>
        <sz val="11.0"/>
      </rPr>
      <t>Sendo 11 salas ultililizadas como salas de aula e</t>
    </r>
    <r>
      <rPr>
        <rFont val="Calibri"/>
        <b/>
        <color rgb="FF000000"/>
        <sz val="11.0"/>
      </rPr>
      <t xml:space="preserve"> 01 para sala de jogos e 01 sala de multimídia)</t>
    </r>
  </si>
  <si>
    <t>ANEXO - COLÉGIO ESTADUAL DE TEMPO INTEGRAL DE TABOCAS - DISTRITO DE VEREDA</t>
  </si>
  <si>
    <t>VEREDA - SN(00044)</t>
  </si>
  <si>
    <t>RENATA LIMA MARTINS</t>
  </si>
  <si>
    <t>(74) 9 9999-1509</t>
  </si>
  <si>
    <t>EDLEUSA FERREIRA DOS SANTOS</t>
  </si>
  <si>
    <t>(74) 9 8804-3686/(87) 9 8828-6278</t>
  </si>
  <si>
    <t xml:space="preserve">(74) 3611-6613
3611-5462
</t>
  </si>
  <si>
    <t>ANEXO - COLÉGIO ESTADUAL DE TEMPO INTEGRAL DE TABOCAS - DISTRITO DE MARIQUITA</t>
  </si>
  <si>
    <t>DISTRITO DE MARIQUITA - S/N</t>
  </si>
  <si>
    <t>ABARE</t>
  </si>
  <si>
    <t>COLÉGIO ESTADUAL INDÍGENA DE TEMPO INTEGRAL SANTO ANTÔNIO DO PAMBU - ALDEIA PAMBU</t>
  </si>
  <si>
    <t>ALIRIO RIBEIRO SOARES</t>
  </si>
  <si>
    <t>(87) 9 8807-8307</t>
  </si>
  <si>
    <t>ALDEIA PAMBU - SN(00008)</t>
  </si>
  <si>
    <t>MARIA JOSE VARJAO GAMA</t>
  </si>
  <si>
    <t>ALDEIA PAMBU</t>
  </si>
  <si>
    <t>(87) 9 9905-5798</t>
  </si>
  <si>
    <t>JUCIMAR GOMES VENCESLAU</t>
  </si>
  <si>
    <t>(74) 9 9103-0240</t>
  </si>
  <si>
    <t>(74) 3612-5304</t>
  </si>
  <si>
    <t>-8.546975475748031, -39.35871221886347</t>
  </si>
  <si>
    <t>16 + 01 (Adapt)</t>
  </si>
  <si>
    <t>JOSÉ MIRONDES MAURÍCIO DE SOUZA</t>
  </si>
  <si>
    <t>(87) 9 8851-5708</t>
  </si>
  <si>
    <t>(74) 3617-8343</t>
  </si>
  <si>
    <t>COLÉGIO ESTADUAL DO CAMPO JOSEFINA GOMES DE ARAÚJO - DISTRITO DE IBÓ</t>
  </si>
  <si>
    <t>RUA PLACIDO POSSIDONIO - S/N</t>
  </si>
  <si>
    <t xml:space="preserve"> DISTRITO DE IBÓ</t>
  </si>
  <si>
    <t>-8.629623251487319, -39.24756902763123</t>
  </si>
  <si>
    <t>MABIO DUTRA</t>
  </si>
  <si>
    <t>(87) 9 9955-4322</t>
  </si>
  <si>
    <t>ITALO DA SILVA OLIVEIRA</t>
  </si>
  <si>
    <t>(74) 9 8802-5107</t>
  </si>
  <si>
    <t xml:space="preserve">(74) 3613-0723
3613-3700
</t>
  </si>
  <si>
    <t xml:space="preserve">10 ( Sendo 9 utilizadas como salas de aula e 01 adaptada para biblioteca) </t>
  </si>
  <si>
    <t>Estruturas adaptadas: 01 refeitório
Demais laboratórios: 01 Biologia</t>
  </si>
  <si>
    <t>JUCINARA VIANA DE ALCANTARA</t>
  </si>
  <si>
    <t>(77) 9 9819-1928</t>
  </si>
  <si>
    <t>DAILTON AUGUSTO VARGAS</t>
  </si>
  <si>
    <t>(74) 9 8802-0380</t>
  </si>
  <si>
    <t>ROBERIO GRANJA</t>
  </si>
  <si>
    <t>(87) 9 8841-5279</t>
  </si>
  <si>
    <t>(74) 3613-3134</t>
  </si>
  <si>
    <t>COLÉGIO ESTADUAL DE TEMPO INTEGRAL PROFESSORA MARIA DO SOCORRO GOMES POSSIDÔNIO (ANTIGO C. E. SANTO ANTÔNIO DE ABARÉ)</t>
  </si>
  <si>
    <t>R. Ibó / Bahia - Abaré, BA, 48680-000</t>
  </si>
  <si>
    <t>-8.722144318210319, -39.11502608697594</t>
  </si>
  <si>
    <t>LINDOMAR DE SOUZA MENEZES</t>
  </si>
  <si>
    <t>(74) 9 9809-5034</t>
  </si>
  <si>
    <t>LILIAN DE SOUZA SILVA RODRIGUES</t>
  </si>
  <si>
    <t>(74) 9 8813-5474</t>
  </si>
  <si>
    <t>ADILSON DE SOUSA MOREIRA</t>
  </si>
  <si>
    <t>(74) 9 8861-0841</t>
  </si>
  <si>
    <t xml:space="preserve">(74) 3612-7185
3611-0026
</t>
  </si>
  <si>
    <t>Demais laboratórios: 01 Biologia/química, 01 Matemática/física, 01 Linguagem, 01 Estufa</t>
  </si>
  <si>
    <t>ANEXO - COLÉGIO ESTADUAL DE TEMPO INTEGRAL PROFESSORA MARIA DO SOCORRO GOMES BARBOSA - DISTRITO ICOZEIRA</t>
  </si>
  <si>
    <t>DONARIA CARDOSO DO CARMO</t>
  </si>
  <si>
    <t>DISTRITO DE ICOZEIRA - S/N</t>
  </si>
  <si>
    <t>(74) 9 8809-9296 /(74) 9 9914-6298 - zap</t>
  </si>
  <si>
    <t xml:space="preserve">DISTRITO DE ICOZEIRA </t>
  </si>
  <si>
    <t>LUCILEIDE ALVES DA SILVA MONTEIRO</t>
  </si>
  <si>
    <t xml:space="preserve">(74) 9 8813-8059 </t>
  </si>
  <si>
    <t>JOANA ARAÚJO SANTOS</t>
  </si>
  <si>
    <t>(87) 9 8824-2413</t>
  </si>
  <si>
    <t>(74) 3613-6885</t>
  </si>
  <si>
    <t>ANEXO - COLÉGIO ESTADUAL DE TEMPO INTEGRAL PROFESSORA MARIA DO SOCORRO GOMES BARBOSA - AGROVILA 18</t>
  </si>
  <si>
    <t>MINISTRO OLIVEIRA BRITO - S/N</t>
  </si>
  <si>
    <t>AGROVILA 18</t>
  </si>
  <si>
    <t>61KM</t>
  </si>
  <si>
    <t>JOSÉ ADELSON TELES DA GRAÇA</t>
  </si>
  <si>
    <t>(74) 9 8814-3275</t>
  </si>
  <si>
    <t>APARECIDA ARAUJO BEZERRA DE SOUZA</t>
  </si>
  <si>
    <t>(87) 9 8826-6387</t>
  </si>
  <si>
    <t>MARIA DO SOCORRO ALVES BARBOSA</t>
  </si>
  <si>
    <t>(74) 9 9110-1238</t>
  </si>
  <si>
    <t xml:space="preserve">(74) 3613-3406
3612-7216
</t>
  </si>
  <si>
    <t>COLÉGIO ESTADUAL MARIA DE LOURDES LIMA PEREIRA - POVOADO DE TARRACHIL</t>
  </si>
  <si>
    <t>QUADRA A RUA 1 - S/N</t>
  </si>
  <si>
    <t xml:space="preserve"> POVOADO DE TARRACHIL</t>
  </si>
  <si>
    <t>-8.825314577843498, -38.98283925166214</t>
  </si>
  <si>
    <t>COLÉGIO DEMOCRATICO ESTADUAL PROFESSORA FLORENTINA ALVES DOS SANTOS - TEMPO INTEGRAL</t>
  </si>
  <si>
    <t>CHARLES JEAN DA SILVA PEREIRA</t>
  </si>
  <si>
    <t>(74) 9 8805-3560</t>
  </si>
  <si>
    <t>ROSIDALVA VARJAO ROBERTO</t>
  </si>
  <si>
    <t>(74) 9 8801-0379</t>
  </si>
  <si>
    <t>JANETE BEANES MALTEZ DO ESPIRITO SANTO</t>
  </si>
  <si>
    <t>(74) 9 8855-0695/ 71 9 8646-3064</t>
  </si>
  <si>
    <t>(74) 3611-5239</t>
  </si>
  <si>
    <r>
      <rPr>
        <rFont val="Calibri"/>
        <b/>
        <color rgb="FF000000"/>
        <sz val="11.0"/>
      </rPr>
      <t>24 (</t>
    </r>
    <r>
      <rPr>
        <rFont val="Calibri"/>
        <b/>
        <color rgb="FFFF0000"/>
        <sz val="11.0"/>
      </rPr>
      <t>Sendo 22 ultilizadas como salas de aula</t>
    </r>
    <r>
      <rPr>
        <rFont val="Calibri"/>
        <b/>
        <color rgb="FF000000"/>
        <sz val="11.0"/>
      </rPr>
      <t>, 01 para Serviço de orientações pedagogicas e 01 sala de apoio/corpo de alunos)</t>
    </r>
  </si>
  <si>
    <t>COLEGIO DA POLICIA MILITAR - CPM ALFREDO VIANNA</t>
  </si>
  <si>
    <t>Estruturas adaptadas:01 Biblioteca; Laboratório: 01 informática
Demais laboratórios: 01 química/biologia/física/matemática.</t>
  </si>
  <si>
    <t>DIREÇÃO ESCOLA: JAILSON REGO BRAZ - (74) 9 8815-2225
DIREÇÃO DA UNIDADE PM: TENENTE JAMERSON - (71) 9 8201-0214
DIREÇÃO DO ADJUNTO: MAJOR ALMEIDA (87) 9 8820-5895</t>
  </si>
  <si>
    <t>EDNA MARIA DE SOUZA</t>
  </si>
  <si>
    <t>(87) 9 8809-4970</t>
  </si>
  <si>
    <t>MARCIO DIAS DOS SANTOS</t>
  </si>
  <si>
    <t>(74) 9 8815-4336</t>
  </si>
  <si>
    <t xml:space="preserve">(74) 3611-6828
3612-9280
</t>
  </si>
  <si>
    <t>16 (10 salas de aula novas e 6 existentes)</t>
  </si>
  <si>
    <t>CENTRAL - SN(00008)</t>
  </si>
  <si>
    <t>-8.974969178442393, -39.10514218435071</t>
  </si>
  <si>
    <t>LEILA CRISTINA SILVA SANTANA PACHECO</t>
  </si>
  <si>
    <t>(87) 9 8149-0470</t>
  </si>
  <si>
    <t>SILVANA MIRANDA PIRES</t>
  </si>
  <si>
    <t>(74) 9 8818 - 41500</t>
  </si>
  <si>
    <t>NEILA CRISTINA RAMOS LÍRIO</t>
  </si>
  <si>
    <t>(74) 9 8817-7847</t>
  </si>
  <si>
    <t>(74) 3611-3863</t>
  </si>
  <si>
    <t>ANEXO - COLÉGIO ESTADUAL SÃO JOSÉ - DISTRITO DE CARAIBAS</t>
  </si>
  <si>
    <t>CARAIBAS - SN(00001)</t>
  </si>
  <si>
    <t>DISTRITO DE CARAIBAS</t>
  </si>
  <si>
    <t>ESCOLA ESTADUAL INDÍGENA MANOEL COELHO - POVOADO BAIXA DAS PEDRAS</t>
  </si>
  <si>
    <t>BAIXA DAS PEDRAS - SN(00085)</t>
  </si>
  <si>
    <t xml:space="preserve"> POVOADO BAIXA DAS PEDRAS</t>
  </si>
  <si>
    <t>ANA ANGELICA ALMEIDA LIMA SANTANA</t>
  </si>
  <si>
    <t>(74) 9 9979-6545</t>
  </si>
  <si>
    <t>-9.33406083595323, -38.25323717836707</t>
  </si>
  <si>
    <t>JANE GOMES NASCIMENTO DE SA</t>
  </si>
  <si>
    <t>(74) 9 9922-1488</t>
  </si>
  <si>
    <t>MARIA BORGES DE CARVALHO SANTOS</t>
  </si>
  <si>
    <t>(74) 9 8838-1124</t>
  </si>
  <si>
    <t>(74) 3613-0713
 3612-9279</t>
  </si>
  <si>
    <t>ESCOLA ESTADUAL INDIGENA JOSE MARTINS - POV.BREJO DO BURGO</t>
  </si>
  <si>
    <t>ALDEIA PONTA D'AGUA POV BREJO DO BURGO - SN(00001)</t>
  </si>
  <si>
    <t>COMUNIDADE PANKARARE</t>
  </si>
  <si>
    <t>-9.332320945504526, -38.492680673849236</t>
  </si>
  <si>
    <t>COLÉGIO ESTADUAL INDIGENA XUCURU KARIRI</t>
  </si>
  <si>
    <t>ALDEIA XUCURU KARIRI - SN(00247)</t>
  </si>
  <si>
    <t>ALDEIA XUCURU KARIRI</t>
  </si>
  <si>
    <t>Não possui salas de aula</t>
  </si>
  <si>
    <t>-9.342001089515328, -38.25349345980153</t>
  </si>
  <si>
    <t>COLÉGIO ESTADUAL INDIGENA SANTA RITA DE CASSIA - FAZ. GLORIA</t>
  </si>
  <si>
    <t>BATIDA - SN(00006)</t>
  </si>
  <si>
    <t>FAZENDA GLORIA</t>
  </si>
  <si>
    <t>-9.34227031557873, -38.25373135765811</t>
  </si>
  <si>
    <t>ANEXO- COLÉGIO ESTADUAL AGOSTINHO MUNIZ - CONJUNTO PENAL DE JUAZEIRO</t>
  </si>
  <si>
    <t>COLÉGIO ESTADUAL INDIGENA ANGELO PEREIRA XAVIER</t>
  </si>
  <si>
    <t>TERRA INDIGENA PANKARARE - SN(00006)</t>
  </si>
  <si>
    <t>BREJO DO BURGO</t>
  </si>
  <si>
    <t>-9.332949058990282, -38.49285926880477</t>
  </si>
  <si>
    <t>COLÉGIO ESTADUAL INDÍGENA ANANIAS VITORIANO</t>
  </si>
  <si>
    <t xml:space="preserve">TERRA INDIGENA PANKARERÉ - ALDEIA SERROTA N S/N Bairro: - CEP: 48000-00
</t>
  </si>
  <si>
    <t>COLÉGIO ESTADUAL DE TEMPO INTEGRAL REIS MAGALHÃES</t>
  </si>
  <si>
    <t>EDUARDO CAMPOS - SN(00375)</t>
  </si>
  <si>
    <t>-9.340250328591502, -38.25532718863712</t>
  </si>
  <si>
    <t>ANEXO - COLÉGIO ESTADUAL INDÍGENA ÂNGELO PEREIRA XAVIER - RASO DA CATARINA</t>
  </si>
  <si>
    <t>FAZENDA CHICO - SN(00004)</t>
  </si>
  <si>
    <t>RASO DA CATARINA</t>
  </si>
  <si>
    <t>ANEXO - COLÉGIO ESTADUAL INDÍGENA ÂNGELO PEREIRA XAVIER - FAZENDA SERROTA</t>
  </si>
  <si>
    <t>FAZENDA SERROTE - SN(00006)</t>
  </si>
  <si>
    <t xml:space="preserve"> FAZENDA SERROTA</t>
  </si>
  <si>
    <t>ANEXO - COLÉGIO ESTADUAL MISAEL AGUILAR - DISTRITO DE PINHÕES</t>
  </si>
  <si>
    <t>MACURURE</t>
  </si>
  <si>
    <t>COLÉGIO ESTADUAL DE TEMPO INTEGRAL IRMÃ OLIVEIRA</t>
  </si>
  <si>
    <t>AV. PAULO AFONSO , S/N</t>
  </si>
  <si>
    <t xml:space="preserve"> -9.174787452671287, -39.05332115831143</t>
  </si>
  <si>
    <t>ANEXO - COLÉGIO ESTADUAL MISAEL AGUILAR - DISTRITO DE ANGICO</t>
  </si>
  <si>
    <t>ANEXO -COLÉGIO ESTADUAL DE TEMPO INTEGRAL IRMÃ OLIVEIRA - POVOADO SALGADO DO MELÃO</t>
  </si>
  <si>
    <t>POVOADO SALGADO DO MELAO - S/N</t>
  </si>
  <si>
    <t>ANEXO - COLÉGIO ESTADUAL DE TEMPO INTEGRAL IRMÃ OLIVEIRA - POVOADO DE SITIO</t>
  </si>
  <si>
    <t>SITIO DO BERNARDO - SN(00002)</t>
  </si>
  <si>
    <t>ANEXO - COLÉGIO ESTADUAL LOMANTO JUNIOR - DISTRITO DE ITAMOTINGA</t>
  </si>
  <si>
    <t>ANEXO - COLÉGIO ESTADUAL DE TEMPO INTEGRAL IRMÃ OLIVEIRA - POVOADO DE SÃO FRANCISCO</t>
  </si>
  <si>
    <t>ANEXO - COLÉGIO ESTADUAL DE TEMPO INTEGRAL IRMÃ OLIVEIRA - POVOADO DE FORMOSA</t>
  </si>
  <si>
    <t>POVOADO FORMOSA - S/N</t>
  </si>
  <si>
    <t>PAULO AFONSO</t>
  </si>
  <si>
    <t>COLÉGIO ESTADUAL PAULO FREIRE
(Antigo - Colégio Modelo Luis Eduardo Magalhães)</t>
  </si>
  <si>
    <t>DO ESTUDANTE - SN(02029)</t>
  </si>
  <si>
    <t>-9.398026915562392, -38.23211584198689</t>
  </si>
  <si>
    <t>COLÉGIO ESTADUAL DE TEMPO INTEGRAL PAULO AFONSO</t>
  </si>
  <si>
    <t>JOSÉ HEMETÉRIO DE CARVALHO - 1512</t>
  </si>
  <si>
    <t>-9.401208207948805, -38.229193261850874</t>
  </si>
  <si>
    <t>COLÉGIO ESTADUAL DE TEMPO INTEGRAL DEMOCRATICO QUITÉRIA MARIA DE JESUS</t>
  </si>
  <si>
    <t>AV 13 DE MAIO - 152</t>
  </si>
  <si>
    <t>TANCREDO NEVES 1</t>
  </si>
  <si>
    <t>-9.440422706920643, -38.22130848527675</t>
  </si>
  <si>
    <t>COLÉGIO ESTADUAL CARLINA BARBOSA DE DEUS</t>
  </si>
  <si>
    <t>RUA DA HARMONIA - 700</t>
  </si>
  <si>
    <t>CHESF</t>
  </si>
  <si>
    <t>-9.405851794334607, -38.214904363466225</t>
  </si>
  <si>
    <t>CENTRO TERRITORIAL DE EDUCACAO PROFISSIONAL ITAPARICA II WILSON PEREIRA</t>
  </si>
  <si>
    <t>RUA WILSON PEREIRA - 255</t>
  </si>
  <si>
    <t>BTN 2</t>
  </si>
  <si>
    <t>-9.448206705872614, -38.22311515659791</t>
  </si>
  <si>
    <t>CENTRO TERRITORIAL DE EDUCACAO PROFISSIONAL DE ITAPARICA</t>
  </si>
  <si>
    <t>AVENIDA DOS ESTUDANTES - SN(01245)</t>
  </si>
  <si>
    <t>BNH</t>
  </si>
  <si>
    <t>-9.390406873052074, -38.23143336971335</t>
  </si>
  <si>
    <t>ANEXO - COLEGIO ESTADUAL CECILIO MATTOS - SEDE</t>
  </si>
  <si>
    <t>ANEXO - COLÉGIO ESTADUAL INDIGENA XUCURU KARIRI - ALDEIA TRUKA TUPAN</t>
  </si>
  <si>
    <t>ALDEIA TRUKA TUPAN - SN(00058)</t>
  </si>
  <si>
    <t>ANEXO - COLÉGIO ESTADUAL DEMOCRÁTICO QUITÉRIA MARIA DE JESUS - CONJUNTO PENAL</t>
  </si>
  <si>
    <t>RUA MARACANA, 28 - TANCREDO NEVES III - SN(00004)</t>
  </si>
  <si>
    <t>TANCREDO NEVES 3</t>
  </si>
  <si>
    <t>RODELAS</t>
  </si>
  <si>
    <t>COLEGIO ESTADUAL INDIGENA DE TEMPO INTEGRAL CAPITAO FRANCISCO RODELAS
 -ALDEIA TUXÁ</t>
  </si>
  <si>
    <t>RUA L 18 - 855</t>
  </si>
  <si>
    <t>-8.843562713094238, -38.76977475128125</t>
  </si>
  <si>
    <r>
      <rPr>
        <rFont val="Calibri"/>
        <b/>
        <color theme="1"/>
        <sz val="11.0"/>
      </rPr>
      <t>6 (</t>
    </r>
    <r>
      <rPr>
        <rFont val="Calibri"/>
        <b/>
        <color rgb="FFFF0000"/>
        <sz val="11.0"/>
      </rPr>
      <t>sendo 03 salas de aula</t>
    </r>
    <r>
      <rPr>
        <rFont val="Calibri"/>
        <b/>
        <color theme="1"/>
        <sz val="11.0"/>
      </rPr>
      <t>, 01 para reunião com estudantes e 02 ociosas)</t>
    </r>
  </si>
  <si>
    <t>COLÉGIO ESTADUAL DULCINA CRUZ LIMA</t>
  </si>
  <si>
    <t>RUA JOSE ROSA DE ALMEIDA - S/N</t>
  </si>
  <si>
    <t>-8.845237569085599, -38.77059816089679</t>
  </si>
  <si>
    <t>COLÉGIO ESTADUAL DO CAMPO DE TEMPO INTEGRAL DE ANDORINHA</t>
  </si>
  <si>
    <t>X - VILA PEIXE - 45</t>
  </si>
  <si>
    <t>-10.345153182643681, -39.82404954207597</t>
  </si>
  <si>
    <t>3 + 1 (Adapt)</t>
  </si>
  <si>
    <t>ANEXO - COLÉGIO ESTADUAL DO CAMPO CARLOS HUMBERTO DE MIRANDA PEREIRA MELLO - POVOADO DE MORRO BRANCO</t>
  </si>
  <si>
    <t>MORRO BRANCO - SN(00122)</t>
  </si>
  <si>
    <t>ANEXO - COLÉGIO ESTADUAL DE CAMPO DE ANDORINHA - DISTRITO DE VILA MEDRADO</t>
  </si>
  <si>
    <t>AVENIDA CARLOS HUMBERTO FILHO, Nº S/N</t>
  </si>
  <si>
    <t>ANTONIO GONCALVES</t>
  </si>
  <si>
    <t>ESCOLA FAMILIA AGRICOLA DE ANTONIO GONCALVES</t>
  </si>
  <si>
    <t>POVOADO CALDEIRAO DO MULATO - SN(00004)</t>
  </si>
  <si>
    <t>POVOADO CALDEIRAO DO MULATO</t>
  </si>
  <si>
    <t>-10.597350917640426, -40.19640440649374</t>
  </si>
  <si>
    <t>COLÉGIO ESTADUAL DE TEMPO INTEGRAL ANTONIO GONCALVES 
(ANTIGO CE ARTUR OLIVEIRA DA SILVA)</t>
  </si>
  <si>
    <t>R. REDE DE TRANSMISSÃO, 2, ANTÔNIO GONÇALVES - BA, 44780-000</t>
  </si>
  <si>
    <t>-10.569430144536378, -40.27324899171903</t>
  </si>
  <si>
    <t>CALDEIRAO GRANDE</t>
  </si>
  <si>
    <t>COLÉGIO ESTADUAL DO CAMPO RÔMULO GALVÃO</t>
  </si>
  <si>
    <t>RUA DA ESPERANÇA - S/N</t>
  </si>
  <si>
    <t>-11.02110109262689, -40.30460727000774</t>
  </si>
  <si>
    <t>CAMPO FORMOSO</t>
  </si>
  <si>
    <t>COLÉGIO ESTADUAL QUILOMBOLA LUIS JOSE DOS SANTOS - DISTRITO DE LAGE DOS NEGROS - TEMPO INTEGRAL</t>
  </si>
  <si>
    <t>PRINCIPAL - SN(00859)</t>
  </si>
  <si>
    <t>DISTRITO DE LAGE DOS NEGROS -</t>
  </si>
  <si>
    <t>-10.185879851028286, -40.95836728164836</t>
  </si>
  <si>
    <t>ANEXO - COLÉGIO ESTADUAL AGOSTINHO MUNIZ - POVOADO JARDIM PRIMAVERA</t>
  </si>
  <si>
    <t>COLÉGIO ESTADUAL QUILOMBOLA DE SAO TOME - COMUNIDADE QUILOMBOLA</t>
  </si>
  <si>
    <t>DISTRITO DE SAO TOME - SN(00007)</t>
  </si>
  <si>
    <t>DISTRITO DE SAO TOME</t>
  </si>
  <si>
    <t>-10.595544490024846, -40.93139878506266</t>
  </si>
  <si>
    <t>COLÉGIO ESTADUAL DO CAMPO PROFESSORA HILDA MONTEIRO MENEZES</t>
  </si>
  <si>
    <t>RUA BELO HORIZONTE - 250</t>
  </si>
  <si>
    <t>-10.505186969569186, -40.31917838356179</t>
  </si>
  <si>
    <t>ANEXO - COLÉGIO ESTADUAL QUILOMBOLA LUIS JOSÉ DOS SANTOS - POVOADO OLHOS D'ÁGUA DAS POMBAS</t>
  </si>
  <si>
    <t>POV DE OLHOS D''AGUA DAS POMBAS,</t>
  </si>
  <si>
    <t>ANTONIO JERIDELSON DIAS</t>
  </si>
  <si>
    <t>(74) 9 8848-8607/9 9933-7177</t>
  </si>
  <si>
    <t>MARIA GORETE DIAS DA SILVA</t>
  </si>
  <si>
    <t>(74) 9 9954-8179</t>
  </si>
  <si>
    <t>NEWTON JOSE DIAS</t>
  </si>
  <si>
    <t>(74) 9 8859-3898</t>
  </si>
  <si>
    <t>(74) 3534-2150</t>
  </si>
  <si>
    <t>ANEXO - COLEGIO ESTADUAL QUILOMBOLA LUIS JOSE DOS SANTOS - POVOADO CURRAL VELHO</t>
  </si>
  <si>
    <t>POV CURRAL VELHO - S/N</t>
  </si>
  <si>
    <t xml:space="preserve"> POVOADO DE CURRAL VELHO</t>
  </si>
  <si>
    <t>ANEXO - COLEGIO ESTADUAL QUILOMBOLA DE SAO TOME - POVOADO DE LAGOA DA BARRA</t>
  </si>
  <si>
    <t>POVOADO DE LAGOA DA BARRA - SN(00099)</t>
  </si>
  <si>
    <t xml:space="preserve"> POVOADO DE LAGOA DA BARRA</t>
  </si>
  <si>
    <t>104KM</t>
  </si>
  <si>
    <t>ANEXO - COLEGIO ESTADUAL SOFIA MASCARENHAS- POVOADO VILA SALDANHA MARINHO</t>
  </si>
  <si>
    <t>ANEXO - COLEGIO ESTADUAL QUILOMBOLA DE SAO TOME - DISTRITO DE BREJAO DA CAATINGA</t>
  </si>
  <si>
    <t>BREJAO DA CAATINGA - S/N</t>
  </si>
  <si>
    <t>DISTRITO DE BREJAO DA CAATINGA</t>
  </si>
  <si>
    <t>ANEXO - COLEGIO ESTADUAL SOFIA MASCARENHAS- DISTRITO DE CASA VERDE</t>
  </si>
  <si>
    <t>ANEXO - COLÉGIO ESTADUAL PROFESSORA HILDA MONTEIRO MENEZES - POVOADO TUIUTIBA</t>
  </si>
  <si>
    <t>TUIUTIBA - SN(00627)</t>
  </si>
  <si>
    <t>POVOADO DE TUIUTIBA</t>
  </si>
  <si>
    <r>
      <rPr>
        <rFont val="Calibri"/>
        <b/>
        <color theme="1"/>
        <sz val="11.0"/>
      </rPr>
      <t>06 (</t>
    </r>
    <r>
      <rPr>
        <rFont val="Calibri"/>
        <b/>
        <color rgb="FFFF0000"/>
        <sz val="11.0"/>
      </rPr>
      <t>sendo 05 salas de aula</t>
    </r>
    <r>
      <rPr>
        <rFont val="Calibri"/>
        <b/>
        <color theme="1"/>
        <sz val="11.0"/>
      </rPr>
      <t xml:space="preserve"> e 01 adaptada para cozinha)</t>
    </r>
  </si>
  <si>
    <t>ANEXO - COLÉGIO ESTADUAL PROFESSORA HILDA MONTEIRO MENEZES - POVOADO DE ARARAS</t>
  </si>
  <si>
    <t>POVOADO DE ARARAS - S/N</t>
  </si>
  <si>
    <t xml:space="preserve"> POVOADO DE ARARAS</t>
  </si>
  <si>
    <t>ANEXO - COLÉGIO ESTADUAL SOFIA MASCARENHAS - POVOADO MANDARINO</t>
  </si>
  <si>
    <t>ANEXO - COLÉGIO ESTADUAL DO CAMPO PROFESSORA HILDA MONTEIRO MENEZES - DIST. DE TIQUARA</t>
  </si>
  <si>
    <t>RUA BELO HORIZONTE - S/N</t>
  </si>
  <si>
    <t>DISTRITO DE TIQUARA</t>
  </si>
  <si>
    <t>ANEXO - COLÉGIO ESTADUAL SOFIA MASCARENHAS - POVOADO LAGOA GRANDE</t>
  </si>
  <si>
    <t>ANEXO - CEMIT - PIEMONTE NORTE DO ITAPICURU - POVOADO DE LAGOA DO PORCO</t>
  </si>
  <si>
    <t>POVOADO DE LAGOA DO PORCO - SN(00013)</t>
  </si>
  <si>
    <t>POVOADO DE LAGOA DO PORCO</t>
  </si>
  <si>
    <t>ANEXO - CEMIT - PIEMONTE NORTE DO ITAPICURU - POVOADO DE CARAIBAS</t>
  </si>
  <si>
    <t>PADRE BEVENUTO - SN(05411)</t>
  </si>
  <si>
    <t xml:space="preserve"> POVOADO DE CARAIBAS</t>
  </si>
  <si>
    <t>ANEXO - COLÉGIO ESTADUAL SOFIA MASCARENHAS - POVOADO LAGOA DO PADRE</t>
  </si>
  <si>
    <t>FILADELFIA</t>
  </si>
  <si>
    <t>COLÉGIO ESTADUAL DE TEMPO INTEGRAL CECENTINO PEREIRA MAIA</t>
  </si>
  <si>
    <t>ACM - 56</t>
  </si>
  <si>
    <t>-10.738077218151917, -40.133536156247644</t>
  </si>
  <si>
    <t>JAGUARARI</t>
  </si>
  <si>
    <t>ANEXO - COLÉGIO ESTADUAL SOFIA MASCARENHAS - POVOADO DE LAGOA DA PEDRA</t>
  </si>
  <si>
    <t>COLÉGIO ESTADUAL DO CAMPO PETRONIO PORTELA - DISTRITO DE PILAR - EM TEMPO INTEGRAL</t>
  </si>
  <si>
    <t>RUA DO PATURI QD 30 LOTE 01 - 115</t>
  </si>
  <si>
    <t>DISTRITO DE PILAR</t>
  </si>
  <si>
    <t>-9.887904333084787, -39.96613556542403</t>
  </si>
  <si>
    <r>
      <rPr>
        <rFont val="Calibri"/>
        <b val="0"/>
        <color theme="1"/>
        <sz val="12.0"/>
      </rPr>
      <t>COLÉGIO ESTADUAL DE TEMPO INTEGRAL PAULO FREIRE</t>
    </r>
    <r>
      <rPr>
        <rFont val="Calibri"/>
        <b/>
        <color theme="1"/>
        <sz val="12.0"/>
      </rPr>
      <t xml:space="preserve"> (ANTIGO DOUTOR MANOEL NOVAES)</t>
    </r>
  </si>
  <si>
    <t>CENTRO TERRITORIAL DE EDUCACAO PROFISSIONAL DO PIEMONTE N DO ITAPICURU - TEMPO INTEGRAL</t>
  </si>
  <si>
    <t>BA 407
AV. JUAZEIRO, 102 - JAGUARARI, BA, 48960-000</t>
  </si>
  <si>
    <t>-10.253103908039346, -40.194016488881125</t>
  </si>
  <si>
    <t>ANEXO - COLÉGIO ESTADUAL SOFIA MASCARENHAS - POVOADO DE CAMPO GRANDE</t>
  </si>
  <si>
    <t>ANEXO - CEMIT - PIEMONTE NORTE DO ITAPICURU - DISTRITO DE SANTA ROSA DE LIMA</t>
  </si>
  <si>
    <t>SEVERIANO ALVES - SN(00220)</t>
  </si>
  <si>
    <t xml:space="preserve"> DISTRITO DE SANTA ROSA DE LIMA</t>
  </si>
  <si>
    <t>ANEXO - CEMIT - PIEMONTE NORTE DO ITAPICURU - DISTRITO DE FLAMENGO</t>
  </si>
  <si>
    <t>DISTRITO DE FLAMENGO - SN(01151)</t>
  </si>
  <si>
    <t>DISTRITO DE FLAMENGO</t>
  </si>
  <si>
    <t>ANEXO - COLÉGIO ESTADUAL SOFIA MASCARENHAS - POVOADO BREJO DE DOIS IRMAOS</t>
  </si>
  <si>
    <t>PINDOBACU</t>
  </si>
  <si>
    <t>COLÉGIO ESTADUAL DO CAMPO  DE TEMPO INTEGRAL DE CARNAÍBA - DISTRITO DE CARNAIBA</t>
  </si>
  <si>
    <t>RUA DA AREIA - SN(00113)</t>
  </si>
  <si>
    <t xml:space="preserve"> -10.733555919689998 -40.45020345313663</t>
  </si>
  <si>
    <t>ANEXO - COLÉGIO ESTADUAL SOFIA MASCARENHAS - DISTRITO VILA BALUARTE</t>
  </si>
  <si>
    <t>Estruturas adaptadas: 01 Refeitório
Demais laboratórios: 01 Horta.</t>
  </si>
  <si>
    <t>COLÉGIO ESTADUAL DE TEMPO INTEGRAL DE PINDOBAÇU</t>
  </si>
  <si>
    <t>AVENIDA RUA REGIS PACHECO - 121</t>
  </si>
  <si>
    <t>-10.728980901148523, -40.355066536829014</t>
  </si>
  <si>
    <t>ANEXO - COLÉGIO ESTADUAL SOFIA MASCARENHAS - DISTRITO NOVA HOLANDA</t>
  </si>
  <si>
    <t>Demais laboratórios: 01 Química/Biologia; 01 Física/Matemática; 01 Linguagens</t>
  </si>
  <si>
    <t>ANEXO - COLÉGIO ESTADUAL SOFIA MASCARENHAS - DISTRITO DE REDENÇÃO</t>
  </si>
  <si>
    <t>ANEXO DO CEMIT PIEMONTE NORTE DO ITAPICURU POVOADO DE BANANEIRAS-COMUNIDADE QUILOMBOLA</t>
  </si>
  <si>
    <t>BANANEIRAS - SN(00067)</t>
  </si>
  <si>
    <t>ANEXO - COLÉGIO ESTADUAL SOFIA MASCARENHAS - DISTRITO BREJO DA SERRA</t>
  </si>
  <si>
    <t>ANEXO DO CEMIT PIEMONTE NORTE DO ITAPICURU - POVOADO DE LAGINHA-COMUNIDADE QUILOMBOLA</t>
  </si>
  <si>
    <t>DE LAGINHA - SN(00004)</t>
  </si>
  <si>
    <t>PONTO NOVO</t>
  </si>
  <si>
    <t>COLÉGIO ESTADUAL DE TEMPO INTEGRAL NELSON MAIA</t>
  </si>
  <si>
    <t>RUA SAO JORGE - SN(00510)</t>
  </si>
  <si>
    <t>-10.864245323852577, -40.119383911276834</t>
  </si>
  <si>
    <t>CLESCIO ALMEIDA DE JESUS</t>
  </si>
  <si>
    <t>(74) 9 8863-1120</t>
  </si>
  <si>
    <t>EDNA CAMPINHO DA SILVA</t>
  </si>
  <si>
    <t>(74) 9 8808-3905</t>
  </si>
  <si>
    <t>11 (Sendo 10 como sala de aula e 1 adaptada para laboratório de Informática)</t>
  </si>
  <si>
    <t xml:space="preserve">COLÉGIO ESTADUAL PROFESSORA IRENE DE SOUZA ARAUJO  - TEMPO INTEGRAL </t>
  </si>
  <si>
    <t>Estruturas adaptadas: 01 laboratório de informática adaptado para sala de aula
Demais laboratórios: 01 Biologia/Química ,01 Física/Matemática, 01 Linguagens.</t>
  </si>
  <si>
    <t>KATIA CAMPINHO PASSOS</t>
  </si>
  <si>
    <t>(74) 9 8802-7391</t>
  </si>
  <si>
    <t>GASTAO GOMES DE MACEDO MIRANDA</t>
  </si>
  <si>
    <t>(74) 9 8102-7768</t>
  </si>
  <si>
    <t>14 (Sendo 13 como sala de aula e 1 adaptada para laboratório de Informática)</t>
  </si>
  <si>
    <t>ANEXO - COLÉGIO ESTADUAL NELSON MAIA - DISTRITO DE BARRACAS</t>
  </si>
  <si>
    <t>DISTRITO DE BARRACAS - S/N</t>
  </si>
  <si>
    <t>SENHOR DO BONFIM</t>
  </si>
  <si>
    <t>AVENIDA ANTONIO CARLOS MAGALHAES - SN(00016)</t>
  </si>
  <si>
    <t>SANTOS DUMONT</t>
  </si>
  <si>
    <t>-10.468124645224762, -40.185144850483624</t>
  </si>
  <si>
    <t>Demais laboratórios: 01 Sala de Artes, 01 Sala de projeção, 01 Sala de vídeo 
Estruturas adaptadas: laboratório de física</t>
  </si>
  <si>
    <t>COLÉGIO ESTADUAL TEIXEIRA DE FREITAS - TEMPO INTEGRAL</t>
  </si>
  <si>
    <t>RUA ANTONIO LAURINDO - 324</t>
  </si>
  <si>
    <t>-10.460374433869134, -40.18398825096354</t>
  </si>
  <si>
    <t>MUNICÍPIOS</t>
  </si>
  <si>
    <t xml:space="preserve">Estruturas adaptadas: 01 sala de leitura, 01 laboratório de ciências, 01 sala AEE, </t>
  </si>
  <si>
    <t>COLÉGIO ESTADUAL DO CAMPO PROFESSORA MARIANA AGOSTINHO DE OLIVEIRA DIST. DE IGARA</t>
  </si>
  <si>
    <t>RUA SAO JOAO - SN(00113)</t>
  </si>
  <si>
    <t>-10.402183164079684, -40.12070300812942</t>
  </si>
  <si>
    <t>DIST. XIQUE - XIQUE N S/N Bairro: CENTRO CEP: 47200000</t>
  </si>
  <si>
    <t>TOTAL DE ESTUDANTES POR MUNICÍPIO</t>
  </si>
  <si>
    <t>COLÉGIO ESTADUAL DE TEMPO INTEGRAL SENHOR DO BONFIM</t>
  </si>
  <si>
    <t>RUA FLORIANO PEIXOTO - 150</t>
  </si>
  <si>
    <t>-10.464776859374734, -40.185909056099504</t>
  </si>
  <si>
    <t xml:space="preserve">Estruturas adaptadas: 01 sala de leitura, 02 Informática, 01 Ciências, 01 Matemática, 01 Química
01 Física, 03 salas AEE, 01 Multimídia, 01 Artes maciais 
</t>
  </si>
  <si>
    <t>CENTRO REGIONAL DE ENSINO MEDIO INTERMEDIACAO TEC - CEMIT DO PIEMONTE NORTE DO ITAPICURU</t>
  </si>
  <si>
    <t>AGRICULTURA N SN(00005) CEP: 48970970</t>
  </si>
  <si>
    <t>DERBA</t>
  </si>
  <si>
    <t>-10.469277573390272, -40.187774023063184</t>
  </si>
  <si>
    <t>CENTRO JUVENIL DE CIENCIA E CULTURA - CJCC SENHOR DO BOMFIM</t>
  </si>
  <si>
    <t>CANTIDIO DUARTE N 87 Bairro: GAMBOA CEP: 48970000</t>
  </si>
  <si>
    <t>GAMBOA</t>
  </si>
  <si>
    <t>-10.472064866836734, -40.196315173176934</t>
  </si>
  <si>
    <t>RUA J.J. FERNANDES DA CUNHA - S/N</t>
  </si>
  <si>
    <r>
      <rPr>
        <rFont val="Calibri"/>
        <b/>
        <color theme="1"/>
        <sz val="11.0"/>
      </rPr>
      <t>12 (</t>
    </r>
    <r>
      <rPr>
        <rFont val="Calibri"/>
        <b/>
        <color rgb="FFFF0000"/>
        <sz val="11.0"/>
      </rPr>
      <t>Sendo 11 como salas de aula,</t>
    </r>
    <r>
      <rPr>
        <rFont val="Calibri"/>
        <b/>
        <color theme="1"/>
        <sz val="11.0"/>
      </rPr>
      <t xml:space="preserve"> e 01 adaptada para AEE)</t>
    </r>
  </si>
  <si>
    <t>MARIA DO SOCORRO COSTA DOS SANTOS</t>
  </si>
  <si>
    <t>(74) 9 8109-2046</t>
  </si>
  <si>
    <t>LISANDRAY NUNES DA SILVA ALMEIDA SANTOS</t>
  </si>
  <si>
    <t>(74) 9 8111-4741</t>
  </si>
  <si>
    <t>8 + 2 (08 salas de aula + 02 adaptadas: Os laboratórios de Química e Matemática, estão funcionandocomo salas de aula)</t>
  </si>
  <si>
    <t>CENTRO ESTADUAL DE EDUCACAO PROFISSIONAL PROF. PAULO BATISTA MACHADO</t>
  </si>
  <si>
    <t>. R. PAULO BRAGA, 54-88 - BONFIM III</t>
  </si>
  <si>
    <t>-10.472002844676014, -40.19633091307354</t>
  </si>
  <si>
    <t>JOSÉ RENATO DE ALMEIDA SILVA</t>
  </si>
  <si>
    <t>(74) 9 9161-1762</t>
  </si>
  <si>
    <t>CELY RODRIGUES DA ROCHA</t>
  </si>
  <si>
    <t>(74 ) 9 8122-9376</t>
  </si>
  <si>
    <t xml:space="preserve">Estruturas adaptadas: 01 informática, 01 matemática/física, 01 Anatomia, 01 Gestão e Negócios 
Demais laboratórios: 01 Análises clínicas, 01 Química, 01 Nutrição, 01 Panificação
</t>
  </si>
  <si>
    <t>CENTRO DE APOIO PEDAGOGICO ESPECIALIZADO - CAPE SENHOR DO BONFIM</t>
  </si>
  <si>
    <t>TRAVESSA JOSÉ COELHO - S/N</t>
  </si>
  <si>
    <t>-10.46419163805234, -40.18484781376055"</t>
  </si>
  <si>
    <r>
      <rPr>
        <rFont val="Calibri"/>
        <b/>
        <color theme="1"/>
        <sz val="11.0"/>
      </rPr>
      <t>17 (</t>
    </r>
    <r>
      <rPr>
        <rFont val="Calibri"/>
        <b/>
        <color rgb="FFFF0000"/>
        <sz val="11.0"/>
      </rPr>
      <t xml:space="preserve">Sendo 15 como salas de aula, </t>
    </r>
    <r>
      <rPr>
        <rFont val="Calibri"/>
        <b/>
        <color theme="1"/>
        <sz val="11.0"/>
      </rPr>
      <t>01 adaptada para sala de multimídia e 01 sala para o Mais Estudos)</t>
    </r>
  </si>
  <si>
    <t>ANEXO - COLEGIO ESTADUAL DOUTOR JUCA SENTO SE - DISTRITO DE PICARRAO</t>
  </si>
  <si>
    <t>ANEXO - COLEGIO ESTADUAL DOUTOR JUCA SENTO - DISTRITO DE PIRI</t>
  </si>
  <si>
    <t>ANEXO DO CEMIT PIEMONTE NORTE DO ITAPICURU - POVOADO DE UMBURANA - COMUNIDADE QUILOMBOLA</t>
  </si>
  <si>
    <t>UMBURANA - S/N</t>
  </si>
  <si>
    <t>UMBURANA</t>
  </si>
  <si>
    <r>
      <rPr>
        <rFont val="Calibri"/>
        <b/>
        <color theme="1"/>
        <sz val="11.0"/>
      </rPr>
      <t xml:space="preserve">22 salas, </t>
    </r>
    <r>
      <rPr>
        <rFont val="Calibri"/>
        <b/>
        <color rgb="FFFF0000"/>
        <sz val="11.0"/>
      </rPr>
      <t xml:space="preserve">sendo 19 utilizada para aula e </t>
    </r>
    <r>
      <rPr>
        <rFont val="Calibri"/>
        <b/>
        <color theme="1"/>
        <sz val="11.0"/>
      </rPr>
      <t>03 adaptadas: 01 para laboratório de física/matemática adaptada, 01 para sala de AEE  e 01 para multimídia.</t>
    </r>
  </si>
  <si>
    <t>ANEXO DO CEMIT PIEMONTE NORTE DO ITAPICURU - POVOADO DE CARIACA - COMUNIDADE QUILOMBOLA</t>
  </si>
  <si>
    <t>POVOADO DE CARIACA - SN(00037)</t>
  </si>
  <si>
    <t>ANEXO - COLÉGIO ESTADUAL TEIXEIRA DE FREITAS - DISTRITO DE MISSAO DO SAHY</t>
  </si>
  <si>
    <t>ROSALINA VIANA - SN(00007)</t>
  </si>
  <si>
    <t>DISTRITDO MISSAO DE SAHY</t>
  </si>
  <si>
    <t>ANEXO - COLÉGIO ESTADUAL TEIXEIRA DE FREITAS - DIST. DE TIJUACU - COMUNIDADE QUILOMBOLA</t>
  </si>
  <si>
    <t>DIST. DE TIJUACU - S/N</t>
  </si>
  <si>
    <r>
      <rPr>
        <rFont val="Calibri"/>
        <b/>
        <color theme="1"/>
        <sz val="11.0"/>
      </rPr>
      <t>08 salas,</t>
    </r>
    <r>
      <rPr>
        <rFont val="Calibri"/>
        <b/>
        <color rgb="FFFF0000"/>
        <sz val="11.0"/>
      </rPr>
      <t xml:space="preserve"> sendo 07 como sala de aula e</t>
    </r>
    <r>
      <rPr>
        <rFont val="Calibri"/>
        <b/>
        <color theme="1"/>
        <sz val="11.0"/>
      </rPr>
      <t xml:space="preserve"> 01 adaptada para oficina dos programas Educa mais e Mais estudo</t>
    </r>
  </si>
  <si>
    <t>ANEXO - COLÉGIO ESTADUAL DE TEMPO INTEGRAL SENHOR DO BONFIM - DISTRITO DE QUICE</t>
  </si>
  <si>
    <t>RUA JOSE BARBOSA S/N - QUICE - S/N</t>
  </si>
  <si>
    <t>DISTRITO DE QUICE</t>
  </si>
  <si>
    <t>ANEXO - COLÉGIO ESTADUAL DE TEMPO INTEGRAL SENHOR DO BONFIM - DISTRITO DE CARRAPICHEL</t>
  </si>
  <si>
    <t>RUA LAURO DE FREITAS - 02</t>
  </si>
  <si>
    <t>DISTRITO DE CARRAPICHEL</t>
  </si>
  <si>
    <t>COLÉGIO ESTADUAL PROFESSORA NADIR ARAUJO COPQUE - TEMPO INTEGRAL</t>
  </si>
  <si>
    <t>BA-099, 3830 - ABRANTES</t>
  </si>
  <si>
    <t>AREMBEPE</t>
  </si>
  <si>
    <t>25 KM (ORLA)</t>
  </si>
  <si>
    <t>-12.76768188173287, -38.188992926455214</t>
  </si>
  <si>
    <t>COLÉGIO ESTADUAL DE TEMPO INTEGRAL ROSÁLIA NATIVIDADE GOMES 
(ANTIGO POLIVALENTE)</t>
  </si>
  <si>
    <t>RUA SANTA BERNADETE - 16</t>
  </si>
  <si>
    <t>-12.698045560036322, -38.324903094661494</t>
  </si>
  <si>
    <r>
      <rPr>
        <rFont val="Calibri"/>
        <b/>
        <color theme="1"/>
        <sz val="11.0"/>
      </rPr>
      <t>7 (</t>
    </r>
    <r>
      <rPr>
        <rFont val="Calibri"/>
        <b/>
        <color rgb="FFFF0000"/>
        <sz val="11.0"/>
      </rPr>
      <t>Sendo 3 como sala de aula</t>
    </r>
    <r>
      <rPr>
        <rFont val="Calibri"/>
        <b/>
        <color theme="1"/>
        <sz val="11.0"/>
      </rPr>
      <t xml:space="preserve"> e 4 cedidas ao município)</t>
    </r>
  </si>
  <si>
    <t>Demais laboratórios: 01 Quimica
Sala Multifuncional: 01 sala de vídeo</t>
  </si>
  <si>
    <t>COLÉGIO ESTADUAL DE TEMPO INTEGRAL MASCARENHAS DE CAMAÇARI</t>
  </si>
  <si>
    <t>AV. DO CANAL - S/N</t>
  </si>
  <si>
    <t>ALTO DA CRUZ</t>
  </si>
  <si>
    <t>-12.69338868818131, -38.33337513712347</t>
  </si>
  <si>
    <t>Demais laboratórios: 01 Logística
01 Meio Ambiente, 01 Segurança do trabalho</t>
  </si>
  <si>
    <t>BRUNO DOS SANTOS SILVA</t>
  </si>
  <si>
    <t>(74) 9 9113-0481</t>
  </si>
  <si>
    <t xml:space="preserve">COLÉGIO ESTADUAL DE TEMPO INTEGRAL GONÇALO MUNIZ 
</t>
  </si>
  <si>
    <t>RUA ESCOLA CONVENIO - 377</t>
  </si>
  <si>
    <t>CAMAÇARI DE DENTRO</t>
  </si>
  <si>
    <t>-12.703981886545193, -38.332174402664265</t>
  </si>
  <si>
    <t>COLÉGIO ESTADUAL VILA SÃO JOAQUIM</t>
  </si>
  <si>
    <t>EMANOEL IVO DE MENDONCA</t>
  </si>
  <si>
    <t>(74) 9 8801-5755</t>
  </si>
  <si>
    <t>MARIA APARECIDA DE LUNA SILVA</t>
  </si>
  <si>
    <t>(74) 9 8841-1835</t>
  </si>
  <si>
    <t>MAIKE MAGNO NUNES BARBOSA</t>
  </si>
  <si>
    <t>12 (sendo 09 como salas de aula e 03 adaptadas: 1 biblioteca, 1 sala de vídeo e 1 sala de AEE)</t>
  </si>
  <si>
    <t>Demais laboratórios: 01 Química/biologia
 01 Matemática/física, 01 Linguagens
Sala multifuncional: 01 Dança</t>
  </si>
  <si>
    <t>COLÉGIO ESTADUAL DE TEMPO INTEGRAL DE VILA DE ABRANTES</t>
  </si>
  <si>
    <t>AVENIDA TIRADENTES - S/N</t>
  </si>
  <si>
    <t>VILA DE ABRANTES</t>
  </si>
  <si>
    <t>21 KM (ORLA)</t>
  </si>
  <si>
    <t>EVANYLMA SANTOS DE LUNA BRITTO</t>
  </si>
  <si>
    <t>(74) 9 8813-3454/ 9 8833-7338</t>
  </si>
  <si>
    <t>-12.829988101098785, -38.262736962465645</t>
  </si>
  <si>
    <t>ADALCINA DE CARVALHO GONZAGA</t>
  </si>
  <si>
    <t>(74)  9 8833-7338</t>
  </si>
  <si>
    <t>(74) 3538-2537</t>
  </si>
  <si>
    <t>12 (sendo 11 como salas de aula e 01 adaptada para sala de vídeo)</t>
  </si>
  <si>
    <t>ANEXO - COLÉGIO ESTADUAL VILA SÃO JOAQUIM - ASSENTAMENTO VALE DA CONQUISTA</t>
  </si>
  <si>
    <t xml:space="preserve">Estruturas adaptadas: 01 sala de leitura, 01 Grêmio, 01 Educa Mais, 01 Sala de reuniões </t>
  </si>
  <si>
    <t>COLÉGIO ESTADUAL DE TEMPO INTEGRAL DE MONTE GORDO</t>
  </si>
  <si>
    <t>BA- 529</t>
  </si>
  <si>
    <t>MONTE GORDO</t>
  </si>
  <si>
    <t>34 KM (ORLA)</t>
  </si>
  <si>
    <t>-12.660374657825095, -38.107949773890866</t>
  </si>
  <si>
    <t>MARIA DOS ANJOS BARBOZA OLIVEIRA TORRES</t>
  </si>
  <si>
    <t>(74) 9 9934-1140</t>
  </si>
  <si>
    <t>LIVIA GUIMARAES CARDOSO</t>
  </si>
  <si>
    <t>(74) 9 9998-5038</t>
  </si>
  <si>
    <t>14 (sendo 10 como salas de aula, 01 adaptada para laboratório de informática, 01 adaptada para sala de leitura e 02 salas adaptadas para refeitório)</t>
  </si>
  <si>
    <r>
      <rPr>
        <rFont val="Calibri, Arial"/>
        <b/>
        <color rgb="FF000000"/>
        <sz val="11.0"/>
      </rPr>
      <t>13 (</t>
    </r>
    <r>
      <rPr>
        <rFont val="Calibri, Arial"/>
        <b/>
        <color rgb="FFFF0000"/>
        <sz val="11.0"/>
      </rPr>
      <t xml:space="preserve">sendo 12 utilizadas como salas de aula </t>
    </r>
    <r>
      <rPr>
        <rFont val="Calibri, Arial"/>
        <b/>
        <color rgb="FF000000"/>
        <sz val="11.0"/>
      </rPr>
      <t>e 01 adaptada para laboratório de informática)</t>
    </r>
  </si>
  <si>
    <t>Sala multifuncional: 01 Sala de Capoeira/Judor/dança</t>
  </si>
  <si>
    <t>COLÉGIO ESTADUAL DE TEMPO INTEGRAL DE CAMAÇARI - (ANTIGO MODELO)</t>
  </si>
  <si>
    <t>AV DEP. LUIS EDUARDO MAGALHAES - SN(00037)</t>
  </si>
  <si>
    <t>-12.701347187848592, -38.32003146739997</t>
  </si>
  <si>
    <t>GEILVANNETTE ALVES BARRETO</t>
  </si>
  <si>
    <t>(74) 9 9987-1458</t>
  </si>
  <si>
    <t>ROSA LETICE DAMASCENO</t>
  </si>
  <si>
    <t>12 (sendo 04 como salas de aula, 01 adaptada para secretaria, 01 adaptada para sala de professores, 01 adatpada para sala de vídeo)</t>
  </si>
  <si>
    <t>HELIENE REGINA RODRIGUES CARDOSO</t>
  </si>
  <si>
    <t>(74) 9 9979-8081</t>
  </si>
  <si>
    <t xml:space="preserve">Demais labratórios: 01 Fisica/matemática </t>
  </si>
  <si>
    <t>MARIA DE LOURDES FERREIRA DE MORAIS</t>
  </si>
  <si>
    <t>(74) 9 9969-5593</t>
  </si>
  <si>
    <t>6 (sendo 4 como salas de  aula, 01 sala adaptada para biblioteca e 01 para laboratório de informática)</t>
  </si>
  <si>
    <t>COLÉGIO ESTADUAL DE TEMPO INTEGRAL DE BARRA DE POJUCA</t>
  </si>
  <si>
    <t>DISTRITO DE BARRA DE POJUCA - SN(02064), CENTRAL, CEP: 42800005</t>
  </si>
  <si>
    <t>41KM  (ORLA)</t>
  </si>
  <si>
    <t>-12.588554995007373, -38.05121021351198</t>
  </si>
  <si>
    <t>AVENIDA JOÃO BORGES DE SÁ - S/N</t>
  </si>
  <si>
    <r>
      <rPr>
        <rFont val="Calibri"/>
        <b/>
        <color theme="1"/>
        <sz val="11.0"/>
      </rPr>
      <t>09, sendo</t>
    </r>
    <r>
      <rPr>
        <rFont val="Calibri"/>
        <b/>
        <color rgb="FFFF0000"/>
        <sz val="11.0"/>
      </rPr>
      <t xml:space="preserve"> 07 utilizadas para aula</t>
    </r>
    <r>
      <rPr>
        <rFont val="Calibri"/>
        <b/>
        <color theme="1"/>
        <sz val="11.0"/>
      </rPr>
      <t>, 01 adaptada para sala de vídeo e 01 para laboratório de informática.</t>
    </r>
  </si>
  <si>
    <t>MARILUCE CARDOSO DOS SANTOS</t>
  </si>
  <si>
    <t>(74) 9 9962-8882</t>
  </si>
  <si>
    <t>JESARELA ALMEIDA DE MOURA</t>
  </si>
  <si>
    <t>MAIANE MOURAGOMES</t>
  </si>
  <si>
    <t>ANEXO - COLEGIO ESTADUAL INTEGRACAO LAGOA DO PIRES- POVOADO SAO PAULO</t>
  </si>
  <si>
    <t>CENTRO TERRITORIAL DE EDUCACAO PROFISSIONAL DA REGIAO METROPOLITANA</t>
  </si>
  <si>
    <t>DA RODOVIÁRIA - 142</t>
  </si>
  <si>
    <t>-12.70030275669511, -38.320024749124634</t>
  </si>
  <si>
    <t>ANEXO - COLEGIO ESTADUAL INTEGRACAO LAGOA DO PIRES - DISTRITO CALDEIRAO DO ALMEIDA</t>
  </si>
  <si>
    <t xml:space="preserve">Demais laboratórios: 02 Química, 01 Máquinas elétrica, 01 Instalações prediais, 01 Hidraulica, 01 Circuito </t>
  </si>
  <si>
    <t>ANEXO DO COLÉGIO ESTADUAL DE TEMPO INTEGRAL MASCARENHAS DE CAMACARI - CASE</t>
  </si>
  <si>
    <t>BA 512, KM 12 - SN(00004)</t>
  </si>
  <si>
    <t>SANTO ANTONIO</t>
  </si>
  <si>
    <t>18 KM (ORLA)</t>
  </si>
  <si>
    <t>JOSETE SANTOS DINIZ</t>
  </si>
  <si>
    <t>(77) 9 9933-3239</t>
  </si>
  <si>
    <t>ANEXO - COLÉGIO ESTADUAL PROFESSORA NADIR ARAUJO COPQUE - DISTRITO DE AREIAS</t>
  </si>
  <si>
    <t>VILA DE ABRANTES N S/N Bairro: AREIAS CEP: 42800005</t>
  </si>
  <si>
    <t>14,7KM (ORLA)</t>
  </si>
  <si>
    <t>ELYS REGINA CRUZ DE JESUS MATOS</t>
  </si>
  <si>
    <t>(77) 9 9908-9601</t>
  </si>
  <si>
    <t>DJALMA JAMES DANTAS GUIMARAES</t>
  </si>
  <si>
    <t>(77) 9 9953-0165</t>
  </si>
  <si>
    <t>77 3622-2135</t>
  </si>
  <si>
    <t>6 (sendo 5 como salas de aula e 01 adaptada para laboratóio de ciência)</t>
  </si>
  <si>
    <t>COLÉGIO ESTADUAL OURO NEGRO</t>
  </si>
  <si>
    <t>RUA DOS MISSIONARIOS - SN(00451)</t>
  </si>
  <si>
    <t>-12.670798213622415, -38.54568471079234</t>
  </si>
  <si>
    <t>COLÉGIO ESTADUAL LUIZ VIANA FILHO</t>
  </si>
  <si>
    <t>RUA DESEMBAGADOR TEIXEIRA DE FREITAS - 00010</t>
  </si>
  <si>
    <t>PITANGA</t>
  </si>
  <si>
    <t>-12.66605422540074, -38.5438390983324</t>
  </si>
  <si>
    <t>ANEXO - COLEGIO ESTADUAL APARÍCIO JOSE DA SILVA - DISTRITO MISSÃO DO ARICOBE</t>
  </si>
  <si>
    <t>COLÉGIO ESTADUAL CIDADE DE CANDEIAS</t>
  </si>
  <si>
    <t>-12.664987713056302, -38.526605641096644</t>
  </si>
  <si>
    <t>COLÉGIO DA POLICIA MILITAR - CPM FRANCISCO PEDRO DE OLIVEIRA</t>
  </si>
  <si>
    <t>RUA GUANABARA - S/N</t>
  </si>
  <si>
    <t>-12.667391998394246, -38.54035664987067</t>
  </si>
  <si>
    <t>COLEGIO ESTADUAL PIO ALVES DOS SANTOS - TEMPO INTEGRAL</t>
  </si>
  <si>
    <t>WELLINGTON FRANCISCO DA SILVA</t>
  </si>
  <si>
    <t>(77) 9 9922-7030</t>
  </si>
  <si>
    <t>FREDSON PAULO DOS SANTOS</t>
  </si>
  <si>
    <t>(77) 9 9941-6151</t>
  </si>
  <si>
    <t>77-3617-2161</t>
  </si>
  <si>
    <t>CENTRO ESTADUAL DE EDUCAÇÃO PROFISSIONAL DE CANDEIAS
(ANTIGO: POLIVALENTE DE CANDEIAS)</t>
  </si>
  <si>
    <t>RUA JOSE XAVIER - S/N</t>
  </si>
  <si>
    <t>PAS TEIXEIRA</t>
  </si>
  <si>
    <t>-12.676848588301443, -38.543101868682996</t>
  </si>
  <si>
    <t>COLEGIO ESTADUAL DO CAMPO VERONILDO MENDES PEREIRA - DISTRITO DE LAGOA CLARA</t>
  </si>
  <si>
    <t>ANEXO - COLÉGIO ESTADUAL POLIVALENTE DE CANDEIAS - DIST. DE PASSE</t>
  </si>
  <si>
    <t>DE PASSE - 49</t>
  </si>
  <si>
    <t>ADEIR SOARES DE SOUZA SILVA</t>
  </si>
  <si>
    <t>DIST. DE PASSE</t>
  </si>
  <si>
    <t>(77) 9 9993-1126</t>
  </si>
  <si>
    <t>(77) 3638-1088</t>
  </si>
  <si>
    <t>ANEXO - COLÉGIO ESTADUAL LUIZ VIANA FILHO - DISTRITO DE CAROBA</t>
  </si>
  <si>
    <t>QUATORZE DE AGOSTO - 440</t>
  </si>
  <si>
    <t>DISTRITO DE CAROBA</t>
  </si>
  <si>
    <t>DIAS D AVILA</t>
  </si>
  <si>
    <t>COLÉGIO ESTADUAL PROFESSOR EDILSON SOUTO FREIRE</t>
  </si>
  <si>
    <t>HOLANDA - 188</t>
  </si>
  <si>
    <t>-12.617891374948236, -38.29942813162424</t>
  </si>
  <si>
    <r>
      <rPr>
        <rFont val="Calibri"/>
        <b/>
        <color theme="1"/>
        <sz val="11.0"/>
      </rPr>
      <t xml:space="preserve">10 salas, </t>
    </r>
    <r>
      <rPr>
        <rFont val="Calibri"/>
        <b/>
        <color rgb="FFFF0000"/>
        <sz val="11.0"/>
      </rPr>
      <t>sendo 08 como sala de aula e</t>
    </r>
    <r>
      <rPr>
        <rFont val="Calibri"/>
        <b/>
        <color theme="1"/>
        <sz val="11.0"/>
      </rPr>
      <t xml:space="preserve"> 02 adaptadas: 01 biologia/química e 01 física/matemática.</t>
    </r>
  </si>
  <si>
    <t>COLEGIO ESTADUAL PRISCO VIANA</t>
  </si>
  <si>
    <t>LIVIA DOS SANTOS RIBEIRO LAURINDO</t>
  </si>
  <si>
    <t>(77) 9 9971-5250</t>
  </si>
  <si>
    <t>SINISIA MACEDO DOS SANTOS PINTO</t>
  </si>
  <si>
    <t>(77) 9 9141-4306</t>
  </si>
  <si>
    <t>Estruturas adaptadas: 01 auditório e 01 biblioteca  adaptados para sala de aula</t>
  </si>
  <si>
    <t>(77) 3611-6365</t>
  </si>
  <si>
    <t>CENTRO TERRITO. DE EDUC. PROFIS. DE DIAS D AVILA-CETEP DE DIAS D AVILA ( RECEBEU OS ALUNOS DO ANEXO - CETEP E CE DR. LUIS MOURA BASTOS)</t>
  </si>
  <si>
    <t xml:space="preserve">R. DA MANGUEIRA, 499 - PARQUE DE DIAS DAVILA, DIAS D'ÁVILA - BA, 42850-000
</t>
  </si>
  <si>
    <t>-12.6119616220067, -38.29701619605564</t>
  </si>
  <si>
    <t>COLEGIO ESTADUAL HERCULANO FARIA</t>
  </si>
  <si>
    <t>AUDEMARA RODRIGUES VIEIRA DO NASCIMENTO</t>
  </si>
  <si>
    <t>(77) 9 9971-8913</t>
  </si>
  <si>
    <t>MARCIA GORETE OLIVEIRA DOS SANTOS PORTO</t>
  </si>
  <si>
    <t>(77) 9 9982-2114</t>
  </si>
  <si>
    <t>(77) 3611-6156 / 3611-6091</t>
  </si>
  <si>
    <t>Estruturas adaptadas: 01 sala AEE; Laboratórios:  01 gestão e negócios, 01 linguagens.
Demais laboratórios: 01 robótica, 01  segurança do trabalho, 01 biologia/química.</t>
  </si>
  <si>
    <t>COLEGIO ESTADUAL EL SHADAI</t>
  </si>
  <si>
    <t>WELLINGTON MATOS PEREIRA</t>
  </si>
  <si>
    <t>(77) 9 8152-6004</t>
  </si>
  <si>
    <t>LUCIETE SIMÕES LIRA DA SILVA</t>
  </si>
  <si>
    <t>(77) 9 9945-0889</t>
  </si>
  <si>
    <t>(77) 3613-0881 / 3611-4969</t>
  </si>
  <si>
    <t>ANEXO - CENTRO TERRITO. DE EDUC. PROFIS. DE DIAS D AVILA-CETEP DE DIAS D AVILA - ENTROCAMENTO (ANTIGO ANEXO - COLEGIO ESTADUAL DOUTOR LUIS DE MOURA BASTOS - ENTRONCAMENTO)</t>
  </si>
  <si>
    <t>COLEGIO ESTADUAL DUQUE DE CAXIAS</t>
  </si>
  <si>
    <t>R. C- QUATRO, 90 - LOT. PONTA VILLE, ITAPARICA - BA, 44460-000</t>
  </si>
  <si>
    <t>-12.900739276695353, -38.67212490223985</t>
  </si>
  <si>
    <t>STEFANI LAIRA DUTRA FERREIRA</t>
  </si>
  <si>
    <t>(77) 9 9180-5154</t>
  </si>
  <si>
    <r>
      <rPr>
        <rFont val="Calibri"/>
        <color theme="1"/>
        <sz val="11.0"/>
      </rPr>
      <t xml:space="preserve">COLÉGIO ESTADUAL DE TEMPO INTEGRAL PROFESSORA MARIA DA CONCEIÇÃO SOBRINHO MIRANDA
</t>
    </r>
    <r>
      <rPr>
        <rFont val="Calibri"/>
        <b/>
        <color theme="1"/>
        <sz val="11.0"/>
      </rPr>
      <t>(ANTIGO - COLÉGIO ESTADUAL JOHN KENNEDY)</t>
    </r>
  </si>
  <si>
    <t>ROBERTA MARMORE E SILVA GALANTE</t>
  </si>
  <si>
    <t>(77) 9 9115-2108</t>
  </si>
  <si>
    <t>ALINE GUEDES BARBOSA TEIXEIRA</t>
  </si>
  <si>
    <t>(77) 9 9988-3616</t>
  </si>
  <si>
    <t>(77) 3612-1983</t>
  </si>
  <si>
    <t>COLÉGIO ESTADUAL HERMANO GOUVEIA NETO</t>
  </si>
  <si>
    <t>RUA LOTEAMENTO VIDA NOVA - S/N</t>
  </si>
  <si>
    <t>-12.880815119690014, -38.33145891558582</t>
  </si>
  <si>
    <r>
      <rPr>
        <rFont val="Calibri"/>
        <b/>
        <color theme="1"/>
        <sz val="11.0"/>
      </rPr>
      <t xml:space="preserve">7 ( </t>
    </r>
    <r>
      <rPr>
        <rFont val="Calibri"/>
        <b/>
        <color rgb="FFFF0000"/>
        <sz val="11.0"/>
      </rPr>
      <t>Sendo 6 utilizadas como salas de aula</t>
    </r>
    <r>
      <rPr>
        <rFont val="Calibri"/>
        <b/>
        <color theme="1"/>
        <sz val="11.0"/>
      </rPr>
      <t xml:space="preserve"> e 1 adaptada para sala de professores) </t>
    </r>
  </si>
  <si>
    <t>COLEGIO ESTADUAL DE BARREIRINHAS</t>
  </si>
  <si>
    <t>GERCILENE DA SILVA DE SOUZA</t>
  </si>
  <si>
    <t>COLÉGIO ESTADUAL FRANCISCO PEREIRA FRANCO</t>
  </si>
  <si>
    <t>(77) 9 8118-8492</t>
  </si>
  <si>
    <t>PARQUE SAO PAULO - S/N</t>
  </si>
  <si>
    <t>LUCIAN DE PINA ALVES</t>
  </si>
  <si>
    <t>ITINGA</t>
  </si>
  <si>
    <t>(77) 9 9155-4685</t>
  </si>
  <si>
    <t>-12.883089139559559, -38.35442953092828</t>
  </si>
  <si>
    <t>(77) 3612-2832 /3613-2057</t>
  </si>
  <si>
    <t>COLÉGIO ESTADUAL DE TEMPO INTEGRAL DE PORTÃO (ANTIGO CE KLEBER PACHECO DE OLIVEIRA)</t>
  </si>
  <si>
    <t>R. QUEIRA DEUS, 722 - PORTÃO, LAURO DE FREITAS - BA, 42700-000</t>
  </si>
  <si>
    <t>PORTAO</t>
  </si>
  <si>
    <t>-12.864204408677928, -38.308764493250585</t>
  </si>
  <si>
    <t>COLEGIO ESTADUAL ANTONIO GERALDO</t>
  </si>
  <si>
    <t>ALESSANDRA NERY OLIVEIRA SILVA GUEDES</t>
  </si>
  <si>
    <t xml:space="preserve"> (77) 9 9700-2624</t>
  </si>
  <si>
    <t>FAGNE VASCO SARDEIRO</t>
  </si>
  <si>
    <t>(77) 3612-2627</t>
  </si>
  <si>
    <t>RONIVON PEREIRA RODRIGUES</t>
  </si>
  <si>
    <t>(77) 9 9957-5567</t>
  </si>
  <si>
    <t>(77) 3612-2627 / 3612-7667</t>
  </si>
  <si>
    <t>COLÉGIO ESTADUAL DE TEMPO INTEGRAL BARTOLOMEU DE GUSMÃO</t>
  </si>
  <si>
    <t>BRIGADEIRO MÁRIO EPINGAUS - S/N</t>
  </si>
  <si>
    <t>-12.897337513756732, -38.31660819539887</t>
  </si>
  <si>
    <t>COLÉGIO ESTADUAL AMERICO SIMAS</t>
  </si>
  <si>
    <t>RUA MANOEL SILVESTRE LEITE - SN(00656)</t>
  </si>
  <si>
    <t>COLEGIO DEMOCRATICO ESTADUAL MARCOS FREIRE - TEMPO INTEGRAL</t>
  </si>
  <si>
    <t>-12.897437020739307, -38.32251322722907</t>
  </si>
  <si>
    <t>MARIA ZILDA DE CARVALHO DA SILVA</t>
  </si>
  <si>
    <t>(77) 9 9838-9972</t>
  </si>
  <si>
    <t>HERMINSON PAULO FARIA SOUZA</t>
  </si>
  <si>
    <t>(77) 9 9810-2544</t>
  </si>
  <si>
    <t>(77) 3612-2691</t>
  </si>
  <si>
    <t>10 (Sendo 08 utilizadas para aula, 01 adaptada p/ auditório e 01 adaptada p/ sala de multiuso)</t>
  </si>
  <si>
    <t>COLÉGIO ESTADUAL ALFREDO AGOSTINHO DE DEUS</t>
  </si>
  <si>
    <t>AVENIDA FORTALEZA - SN(00009)</t>
  </si>
  <si>
    <t>-12.895522409726599, -38.340486717435276</t>
  </si>
  <si>
    <t>COLEGIO DA POLICIA MILITAR - CPM PROFESSOR ALEXANDRE LEAL COSTA</t>
  </si>
  <si>
    <t>DIREÇÃO DE ESCOLA: CARLOS HENRIQUE DA SILVA NEIVA - (77) 9 9818-9854/ 9 9962-4169
DIREÇÃO DA UNIDADE PM: CORONEL ANTONIO JORGE LOPES OLIVEIRA - (77) 9 9962-4169
DIREÇÃO DO ADJUNTO: CAPITÃO ALÁDIO DORIA DOS SANTOS - (77) 9 9808-3130</t>
  </si>
  <si>
    <t>ELIATA SILVA BARROS</t>
  </si>
  <si>
    <t>CENTRO ESTADUAL DE EDUCACAO PROFISSIONAL EM TECNOLOGIA INFORMACAO E COMUNICACAO</t>
  </si>
  <si>
    <t>(77) 9 9191-3705</t>
  </si>
  <si>
    <t>R. EUVALDO SANTOS LEITE - CENTRO</t>
  </si>
  <si>
    <t>(77) 3612-8343 / 2841 / 3158</t>
  </si>
  <si>
    <t>-12.899556539162552, -38.326991117694675</t>
  </si>
  <si>
    <t>ANEXO DO COLÉGIO ESTADUAL AMERICO SIMAS - CONJUNTO PENAL</t>
  </si>
  <si>
    <t>DJANIRA MARIA BASTOS - SN(00003)</t>
  </si>
  <si>
    <t>FERNANDA SUELY SOUZA DA PAZ</t>
  </si>
  <si>
    <t>(77) 9 8835-8559/9 9969-4676</t>
  </si>
  <si>
    <t>RODRIGO PORTO WANDERLEY MORENO</t>
  </si>
  <si>
    <t>(77) 9 9174-0395</t>
  </si>
  <si>
    <t>JOSÉ CARLOS ROCHA MACHADO</t>
  </si>
  <si>
    <t>MADRE DE DEUS</t>
  </si>
  <si>
    <t>(77) 9 9906-6304</t>
  </si>
  <si>
    <t>(77) 3612-3530 / 2001 / 2002</t>
  </si>
  <si>
    <t>COLÉGIO ESTADUAL ANTONIO BALBINO - TEMPO INTEGRAL</t>
  </si>
  <si>
    <t>AVENIDA 13 DE JUNHO - S/N</t>
  </si>
  <si>
    <t>-12.73272568454232, -38.61097150241827</t>
  </si>
  <si>
    <t>GILENO DE SA OLIVEIRA N SN(00002)  CEP: 47808006</t>
  </si>
  <si>
    <t>COLÉGIO ESTADUAL DE TEMPO INTEGRAL DE MATA DE SÃO JOÃO</t>
  </si>
  <si>
    <t>RUA DO BAIXIO - SN(00095)</t>
  </si>
  <si>
    <t xml:space="preserve"> RECANTO DOS PASSAROS</t>
  </si>
  <si>
    <t>-12.537381885188681, -38.2970526118906</t>
  </si>
  <si>
    <t>SUELY PASSOS DE SOUZA</t>
  </si>
  <si>
    <t>(77) 9 9913-6204</t>
  </si>
  <si>
    <t>JOSE LUIZ SCHEIDEGGER</t>
  </si>
  <si>
    <t>LUCIANGELA SILVA COSTA</t>
  </si>
  <si>
    <t>Demais laboratórios: 01 Química/biologia, 01 física/matemática e 01 llnguagens.</t>
  </si>
  <si>
    <t>JULIANA MIRANDA SALES DE SOUZA</t>
  </si>
  <si>
    <t>(77) 9 9920-1510</t>
  </si>
  <si>
    <t>ISA MARCIA DE SOUZA</t>
  </si>
  <si>
    <t>(77) 9 9999-2179</t>
  </si>
  <si>
    <t xml:space="preserve">8 (Sendo 07 utilizadas para aula, 01 adaptada para cozinha) </t>
  </si>
  <si>
    <t>COLÉGIO ESTADUAL ALAOR COUTINHO - TEMPO INTEGRAL</t>
  </si>
  <si>
    <t>ARTUZINHO - S/N</t>
  </si>
  <si>
    <t>-12.559804810988515, -38.01508120619859</t>
  </si>
  <si>
    <t>Estruturas adaptadas: 03 Salas de aula, 01 laboratório de matemática.</t>
  </si>
  <si>
    <t>POJUCA</t>
  </si>
  <si>
    <t>ETFAP - ESCOLA TÉCNICA FAMÍLIA AGRÍCOLA A PARTILHA</t>
  </si>
  <si>
    <t>KM 68 BA 093, FAZENDA A PARTILHA, Nº S/N</t>
  </si>
  <si>
    <t>FAZENDA A PARTILHA</t>
  </si>
  <si>
    <t>Demais laboratórios: 01 agropecuária.</t>
  </si>
  <si>
    <t>COLÉGIO ESTADUAL PADRE JOÃO MONTEZ</t>
  </si>
  <si>
    <t>PRACA JURACY MAGALHAES - S/N</t>
  </si>
  <si>
    <t>-12.425592961400325, -38.32477893641733</t>
  </si>
  <si>
    <r>
      <rPr>
        <rFont val="Calibri"/>
        <b/>
        <color theme="1"/>
        <sz val="11.0"/>
      </rPr>
      <t xml:space="preserve">14 Salas, </t>
    </r>
    <r>
      <rPr>
        <rFont val="Calibri"/>
        <b/>
        <color rgb="FFFF0000"/>
        <sz val="11.0"/>
      </rPr>
      <t xml:space="preserve">sendo 09 como salas de aula e </t>
    </r>
    <r>
      <rPr>
        <rFont val="Calibri"/>
        <b/>
        <color theme="1"/>
        <sz val="11.0"/>
      </rPr>
      <t xml:space="preserve">05 adaptadas: 02 salas para fanfarra, 01 sala de AEE, 01 Sala de esportes e 01 Sala de professores.
</t>
    </r>
  </si>
  <si>
    <t>COLÉGIO ESTADUAL LUIS EDUARDO MAGALHÃES - TEMPO INTEGRAL</t>
  </si>
  <si>
    <t>RUA CONSELHEIRO CHAVES - SN(00035)</t>
  </si>
  <si>
    <t>-12.432748986470463, -38.3305572145683</t>
  </si>
  <si>
    <t>LOTEAMENTO BAVISA, S/N</t>
  </si>
  <si>
    <r>
      <rPr>
        <rFont val="Calibri"/>
        <b/>
        <color theme="1"/>
        <sz val="11.0"/>
      </rPr>
      <t>Estrutura:</t>
    </r>
    <r>
      <rPr>
        <rFont val="Calibri"/>
        <color theme="1"/>
        <sz val="11.0"/>
      </rPr>
      <t xml:space="preserve">12 salas para aula ; </t>
    </r>
    <r>
      <rPr>
        <rFont val="Calibri"/>
        <b/>
        <color theme="1"/>
        <sz val="11.0"/>
      </rPr>
      <t>Adaptações:</t>
    </r>
    <r>
      <rPr>
        <rFont val="Calibri"/>
        <color theme="1"/>
        <sz val="11.0"/>
      </rPr>
      <t xml:space="preserve"> 05 adaptadas para: 01 Biblioteca, 01 Lab. De ciências, 01 Sala de jogos, 02 Refeitorios.</t>
    </r>
  </si>
  <si>
    <t>COLEGIO ESTADUAL ANTONIO RODRIGUES VIANA</t>
  </si>
  <si>
    <t>ALIOMAR REIS DOS SANTOS FILHO</t>
  </si>
  <si>
    <t>ESCOLA VISCONDE DE ITAPARICA</t>
  </si>
  <si>
    <t>(77) 9 9982-7672</t>
  </si>
  <si>
    <t>08+04 Adapt.</t>
  </si>
  <si>
    <t>IDENILCE MARIA DA COSTA SANTOS</t>
  </si>
  <si>
    <t>SILVEIRA MARTINS - S/N</t>
  </si>
  <si>
    <t>(77) 9 9925-8381</t>
  </si>
  <si>
    <t>CABULA</t>
  </si>
  <si>
    <t>ELIANA PEREIRA DA COSTA</t>
  </si>
  <si>
    <t>(77) 3442-2369</t>
  </si>
  <si>
    <t>-12.95715907954493, -38.464416227228476</t>
  </si>
  <si>
    <t>08 + 01 (A biblioteca foi adaptada para sala de aula)</t>
  </si>
  <si>
    <t>ESCOLA PROFESSOR ROBERTO SANTOS</t>
  </si>
  <si>
    <t>3ª ETAPA DO CASTELO BRANCO - 538</t>
  </si>
  <si>
    <t>-12.901976192408192, -38.41781731607424</t>
  </si>
  <si>
    <t>ESCOLA ESTADUAL TEODORO SAMPAIO</t>
  </si>
  <si>
    <t>RUA 8 NOVEMBRO - 300</t>
  </si>
  <si>
    <t>PIRAJA</t>
  </si>
  <si>
    <t>-12.898814769963325, -38.47193949726382</t>
  </si>
  <si>
    <t>ESCOLA ESTADUAL SEVERINO VIEIRA - TEMPO INTEGRAL</t>
  </si>
  <si>
    <t>AV.JOANA ANGÉLICA - 253</t>
  </si>
  <si>
    <t>-12.975636131341506, -38.50236535775672</t>
  </si>
  <si>
    <t>ESCOLA ESTADUAL RAUL SA</t>
  </si>
  <si>
    <t>DOUTOR ARTHUR COUTO - SN(00055)</t>
  </si>
  <si>
    <t>MUSSURUNGA I</t>
  </si>
  <si>
    <t>-12.916508554786832, -38.36383283685058</t>
  </si>
  <si>
    <t>ESCOLA ESTADUAL PROFESSORA NATALIA VINHAES - TEMPO INTEGRAL</t>
  </si>
  <si>
    <t>RUA DIVA PIMENTEL - SN(01259)</t>
  </si>
  <si>
    <t>SAN MARTIN</t>
  </si>
  <si>
    <t>-12.94962186331307, -38.476975046474095</t>
  </si>
  <si>
    <t>ESCOLA ESTADUAL PROFESSORA MARIINHA TAVARES - TEMPO INTEGRAL</t>
  </si>
  <si>
    <t>RUA PIRAPORA - S/N</t>
  </si>
  <si>
    <t>PERNAMBUÉS</t>
  </si>
  <si>
    <t>-12.971731945855188, -38.470882862135994</t>
  </si>
  <si>
    <t>ESCOLA ESTADUAL PROFESSORA ARMANDINA MARQUES</t>
  </si>
  <si>
    <t>CAPITÃO THEÓGENES SOUZA BULCÃO - 23</t>
  </si>
  <si>
    <t>PAU DA LIMA</t>
  </si>
  <si>
    <t>ALUGADO (R$ 49.037.52)</t>
  </si>
  <si>
    <t>-12.918636040014137, -38.44311578970139</t>
  </si>
  <si>
    <t>ESCOLA ESTADUAL PROFESSOR GERMANO MACHADO NETO</t>
  </si>
  <si>
    <t>VICENTE CELESTINO - 382</t>
  </si>
  <si>
    <t>MARECHAL RONDON</t>
  </si>
  <si>
    <t>-12.913558103824306, -38.466479807307806</t>
  </si>
  <si>
    <t>ESCOLA ESTADUAL PRESCILIANO SILVA - TEMPO INTEGRAL</t>
  </si>
  <si>
    <t>DOMINGOS RABELO - 00052</t>
  </si>
  <si>
    <t>RIBEIRA</t>
  </si>
  <si>
    <t>-12.919616504129044, -38.50080267805292</t>
  </si>
  <si>
    <t>ESCOLA ESTADUAL PIERRE VERGER</t>
  </si>
  <si>
    <t>DA LIBERDADE - 397</t>
  </si>
  <si>
    <t>LIBERDADE</t>
  </si>
  <si>
    <t>-12.947647543931811, -38.49090944490527</t>
  </si>
  <si>
    <t>ESCOLA ESTADUAL OCRIDALINA MADUREIRA</t>
  </si>
  <si>
    <t>RUA LOPES TROVAO - 113</t>
  </si>
  <si>
    <t>MASSARANDUBA</t>
  </si>
  <si>
    <t>-12.928714818427876, -38.49805361580085</t>
  </si>
  <si>
    <t>ESCOLA ESTADUAL MARIA ROMANA CALMON</t>
  </si>
  <si>
    <t>RUA ALMIRANTE ALVES CÂMARA - 114 E</t>
  </si>
  <si>
    <t>ENGENHO VELHO DE BROTAS</t>
  </si>
  <si>
    <t>-12.988719394831557, -38.50080613051788</t>
  </si>
  <si>
    <t>ESCOLA ESTADUAL LEA LEAL - TEMPO INTEGRAL</t>
  </si>
  <si>
    <t>FAZ.GRANDE I QUADRA F - SN(00640)</t>
  </si>
  <si>
    <t>BOCA DA MATA</t>
  </si>
  <si>
    <t>-12.892409934120318, -38.40069371722373</t>
  </si>
  <si>
    <t>ESCOLA ESTADUAL DEPUTADO NAOMAR ALCANTARA - TEMPO INTEGRAL</t>
  </si>
  <si>
    <t>CONJ REMANESCENTE - S/N</t>
  </si>
  <si>
    <t>CAJAZEIRAS V</t>
  </si>
  <si>
    <t>-12.89346659801409, -38.42086846537625</t>
  </si>
  <si>
    <t>ESCOLA ESTADUAL CASTRO ALVES</t>
  </si>
  <si>
    <t>RUA BARAO DE COTEGIPE - 00153</t>
  </si>
  <si>
    <t>CALCADA</t>
  </si>
  <si>
    <t>COLEGIO ESTADUAL NOSSA SENHORA DA PENHA - TEMPO INTEGRAL</t>
  </si>
  <si>
    <t>-12.942139801931642, -38.502601892673205</t>
  </si>
  <si>
    <t>MARIA RITA NASCIMENTO DA SILVA</t>
  </si>
  <si>
    <t>(77) 9 9850-5072</t>
  </si>
  <si>
    <t>(77) 3619-2205 / 2111</t>
  </si>
  <si>
    <t>ESCOLA ESTADUAL BILÍNGUE E CENTRO DE APOIO PEDAGÓGICO ESPECIALIZADO PARA PESSOAS COM SURDEZ - WILSON LINS</t>
  </si>
  <si>
    <t>RUA RAIMUNDO PEREIRA MAGALHAES - S N</t>
  </si>
  <si>
    <r>
      <rPr>
        <rFont val="Calibri"/>
        <b/>
        <color theme="1"/>
        <sz val="11.0"/>
      </rPr>
      <t xml:space="preserve">06 salas, </t>
    </r>
    <r>
      <rPr>
        <rFont val="Calibri"/>
        <b/>
        <color rgb="FFFF0000"/>
        <sz val="11.0"/>
      </rPr>
      <t>sendo 05 para aula e</t>
    </r>
    <r>
      <rPr>
        <rFont val="Calibri"/>
        <b/>
        <color theme="1"/>
        <sz val="11.0"/>
      </rPr>
      <t xml:space="preserve"> 01 como sala multifuncional.</t>
    </r>
  </si>
  <si>
    <t>ONDINA</t>
  </si>
  <si>
    <t>-13.006610530707936, -38.50758485261115</t>
  </si>
  <si>
    <t>ESCOLA ESTADUAL ANÍSIO TEIXEIRA - CLASSE VI - TEMPO INTEGRAL</t>
  </si>
  <si>
    <t>LADEIRA DO PAIVA - 40</t>
  </si>
  <si>
    <t>CAIXA D'ÁGUA</t>
  </si>
  <si>
    <t>-12.960610405237794, -38.494914742234045</t>
  </si>
  <si>
    <t>COLEGIO ESTADUAL JUTAHY MAGALHAES - TEMPO INTEGRAL</t>
  </si>
  <si>
    <t>BARÃO DO RIO BRANCO - SN(00518)</t>
  </si>
  <si>
    <t>BEATRIZ BATISTA RIBEIRO CALADO</t>
  </si>
  <si>
    <t>(77)  9 8837-2533</t>
  </si>
  <si>
    <t xml:space="preserve">VALDINEA MOREIRA NUNES </t>
  </si>
  <si>
    <t>(77) 9 8805-3926</t>
  </si>
  <si>
    <t>(77) 3621-2281</t>
  </si>
  <si>
    <t>ESCOLA DONA JENNY GOMES</t>
  </si>
  <si>
    <t>VILA MILITAR DA AERONAUTICA - SN(00223)</t>
  </si>
  <si>
    <t>ITAPUA</t>
  </si>
  <si>
    <t>-13.013236490882576, -38.47591382767094</t>
  </si>
  <si>
    <t>ANEXO - COLEGIO ESTADUAL JUTAHY MAGALHAES - DISTRITO DE TAGUA</t>
  </si>
  <si>
    <t>COLÉGIO ESTADUAL YPIRANGA - TEMPO INTEGRAL</t>
  </si>
  <si>
    <t>DO SODRÉ - 43</t>
  </si>
  <si>
    <t>DOIS DE JULHO</t>
  </si>
  <si>
    <t>-12.98001964809105, -38.515791596499604</t>
  </si>
  <si>
    <r>
      <rPr>
        <rFont val="Calibri"/>
        <b/>
        <color theme="1"/>
        <sz val="11.0"/>
      </rPr>
      <t>7 (</t>
    </r>
    <r>
      <rPr>
        <rFont val="Calibri"/>
        <b/>
        <color rgb="FFFF0000"/>
        <sz val="11.0"/>
      </rPr>
      <t>Sendo 6 como sala de aula</t>
    </r>
    <r>
      <rPr>
        <rFont val="Calibri"/>
        <b/>
        <color theme="1"/>
        <sz val="11.0"/>
      </rPr>
      <t xml:space="preserve"> e 1 Depósito)</t>
    </r>
  </si>
  <si>
    <t>BONSUCESSO - S/N</t>
  </si>
  <si>
    <t>-12.940751306645993, -38.37167839882982</t>
  </si>
  <si>
    <t>ANEXO - COLEGIO ESTADUAL JUTAHY MAGALHAES - DISTRITO DE TABATINGA</t>
  </si>
  <si>
    <t>DISTRITO DE TABATINGA, Nº SN</t>
  </si>
  <si>
    <t>COLÉGIO ESTADUAL VISCONDE DE MAUA</t>
  </si>
  <si>
    <t>RUA OSVALDO GORDILHO - SN(00319)</t>
  </si>
  <si>
    <t>SAO CRISTOVAO</t>
  </si>
  <si>
    <t>-12.911077384851538, -38.35453531186734</t>
  </si>
  <si>
    <t>ANEXO - COLEGIO ESTADUAL JUTAHY MAGALHAES - DISTRITO DE JUPAGUA</t>
  </si>
  <si>
    <t>COLÉGIO ESTADUAL VILA CANARIA - TEMPO INTEGRAL
(ANTIGO C.E VILA CANÁRIA)</t>
  </si>
  <si>
    <t>R. DIRETA DO YPIRANGA, 31 
 BAIRRO: VILA CANÁRIA</t>
  </si>
  <si>
    <t>VILA CANÁRIA</t>
  </si>
  <si>
    <t>-12.912461709288957, -38.443364411588625</t>
  </si>
  <si>
    <t>COLÉGIO ESTADUAL VERA LUX</t>
  </si>
  <si>
    <t>RUA NELSON LACERDA - S/N</t>
  </si>
  <si>
    <t>NOVA BRASÍLIA</t>
  </si>
  <si>
    <t>TERMO DE COMODATO ATÉ 2019</t>
  </si>
  <si>
    <t>-12.917455253396165, -38.40868475526625</t>
  </si>
  <si>
    <t>COLÉGIO ESTADUAL VALE DOS LAGOS</t>
  </si>
  <si>
    <t>CONJ. RES. VALE DOS LAGOS - S/N</t>
  </si>
  <si>
    <t>SAO MARCOS</t>
  </si>
  <si>
    <t>-12.933439066586967, -38.421590266733475</t>
  </si>
  <si>
    <t>COLÉGIO ESTADUAL URSULA CATHARINO</t>
  </si>
  <si>
    <t>TRAVESSA DO ROSARIO - 009</t>
  </si>
  <si>
    <t>POLITEAMA</t>
  </si>
  <si>
    <t>-12.984715810590874, -38.5167386578586</t>
  </si>
  <si>
    <t>COLÉGIO ESTADUAL THALES DE AZEVEDO</t>
  </si>
  <si>
    <t>ADELAIDE FERNANDES DA COSTA - SN(00072)</t>
  </si>
  <si>
    <t>COSTA AZUL</t>
  </si>
  <si>
    <t>-12.997387197480759, -38.44935095347075</t>
  </si>
  <si>
    <t>COLÉGIO ESTADUAL TEREZA HELENA MATA PIRES</t>
  </si>
  <si>
    <t>DO CAJU - SN(00174)</t>
  </si>
  <si>
    <t>ALTO DO CABRITO</t>
  </si>
  <si>
    <t>-12.908859559755873, -38.47818506825617</t>
  </si>
  <si>
    <r>
      <rPr>
        <rFont val="Calibri"/>
        <b/>
        <color theme="1"/>
        <sz val="11.0"/>
      </rPr>
      <t>4 salas,</t>
    </r>
    <r>
      <rPr>
        <rFont val="Calibri"/>
        <b/>
        <color rgb="FFFF0000"/>
        <sz val="11.0"/>
      </rPr>
      <t xml:space="preserve"> sendo 03 salas de aula e</t>
    </r>
    <r>
      <rPr>
        <rFont val="Calibri"/>
        <b/>
        <color theme="1"/>
        <sz val="11.0"/>
      </rPr>
      <t xml:space="preserve"> 01 adaptada como laboratório de biologia</t>
    </r>
  </si>
  <si>
    <t>COLÉGIO ESTADUAL TEREZA CONCEICAO MENEZES</t>
  </si>
  <si>
    <t>RUA DO CURUZU - SN(00300)</t>
  </si>
  <si>
    <t>-12.945455457757568, -38.48676601457216</t>
  </si>
  <si>
    <t>EUNICE NUNES DE ALMEIDA</t>
  </si>
  <si>
    <t>(77) 9 9922-3701</t>
  </si>
  <si>
    <t>TARCISIO ITALO OLIVEIRA DEFENSOR</t>
  </si>
  <si>
    <t>(77) 9 8119-1507</t>
  </si>
  <si>
    <t>(77) 3618-1195 / 1427</t>
  </si>
  <si>
    <t>COLÉGIO ESTADUAL SOLANGE HORTELIO FRANCO - TEMPO INTEGRAL</t>
  </si>
  <si>
    <t>RUA DIREITA DO URUGUAI - 00200</t>
  </si>
  <si>
    <t>URUGUAI</t>
  </si>
  <si>
    <t>-12.936585322317963, -38.497445488488594</t>
  </si>
  <si>
    <t>COLÉGIO ESTADUAL SETE DE SETEMBRO</t>
  </si>
  <si>
    <t>ANEXO- COLEGIO ESTADUAL DE CRISTOPOLIS - SEDE</t>
  </si>
  <si>
    <t>RUA 21 DE ABRIL - 16</t>
  </si>
  <si>
    <t>AVENIDA SAO JOSE, 675 - ESC. EST. IRMÃ DULCE - S/N</t>
  </si>
  <si>
    <t>PARIPE</t>
  </si>
  <si>
    <t>500M</t>
  </si>
  <si>
    <t>ALUGADO ( R$128.286,20)</t>
  </si>
  <si>
    <r>
      <rPr>
        <rFont val="Calibri, Arial"/>
        <b/>
        <color rgb="FF000000"/>
        <sz val="11.0"/>
      </rPr>
      <t>12 salas,</t>
    </r>
    <r>
      <rPr>
        <rFont val="Calibri, Arial"/>
        <b/>
        <color rgb="FFFF0000"/>
        <sz val="11.0"/>
      </rPr>
      <t xml:space="preserve"> sendo 08 salas para aul</t>
    </r>
    <r>
      <rPr>
        <rFont val="Calibri, Arial"/>
        <b/>
        <color rgb="FF000000"/>
        <sz val="11.0"/>
      </rPr>
      <t>a e 04 adaptadas para: 01 sala de AEE, 01 de Audio/Vídeo e 01 Multiuso.</t>
    </r>
  </si>
  <si>
    <t>RUA GENERAL LABATUT - 49</t>
  </si>
  <si>
    <t>BARRIS</t>
  </si>
  <si>
    <t>-12.985572468028472, -38.51264515722613</t>
  </si>
  <si>
    <t>CENTRO TERRITORIAL DE EDUCACAO PROFISSIONAL VALE DO RIO PRETO</t>
  </si>
  <si>
    <t>AVENIDA ITABERABA - SN(00023)</t>
  </si>
  <si>
    <t>ENIVÂNIA SERPA DOS SANTOS</t>
  </si>
  <si>
    <t>(77) 9 9942-4108</t>
  </si>
  <si>
    <t>JAQUELINE MORAIS LOUZEIRO</t>
  </si>
  <si>
    <t>(77) 9 9826-0758</t>
  </si>
  <si>
    <t>(77) 3616-2518</t>
  </si>
  <si>
    <t>COLÉGIO ESTADUAL SATIRO DIAS</t>
  </si>
  <si>
    <t>PARÁ - 346</t>
  </si>
  <si>
    <t>PITUBA</t>
  </si>
  <si>
    <t>-13.008124033394353, -38.46669666254753</t>
  </si>
  <si>
    <t>COLÉGIO ESTADUAL SARA VIOLETA DE MELLO KERTESZ</t>
  </si>
  <si>
    <t>RUA GETULIO VARGAS - S/N</t>
  </si>
  <si>
    <t>ALTO TEREZINHA</t>
  </si>
  <si>
    <t>-12.878555395554772, -38.474118767445056</t>
  </si>
  <si>
    <t>COLEGIO ESTADUAL MARIA OTILIA LUTZ (BAIRRO JARDIM DAS ACACIAS) - TEMPO INTEGRAL</t>
  </si>
  <si>
    <t>LUZICLÉIA ARAÚJO SOUSA</t>
  </si>
  <si>
    <t>(77) 9 9829-7086</t>
  </si>
  <si>
    <t>SANDRA RAMOS DOURADO BASTOS</t>
  </si>
  <si>
    <t>(74) 9 9981-0991</t>
  </si>
  <si>
    <t>COLÉGIO ESTADUAL SANTA RITA DE CASSIA</t>
  </si>
  <si>
    <t>ZONA A BR 324 - KM 13</t>
  </si>
  <si>
    <t>AGUAS CLARAS</t>
  </si>
  <si>
    <t>-12.883591546017604, -38.42830906236806</t>
  </si>
  <si>
    <t>27 salas, sendo 24 slas de aula e 03 adaptadas: 01 para sala de dança/vivencias corporais e 01 biblioteca.</t>
  </si>
  <si>
    <t xml:space="preserve">COLEGIO ESTADUAL DE TEMPO INTEGRAL MIMOSO DO OESTE </t>
  </si>
  <si>
    <t>COLÉGIO ESTADUAL RUTH PACHECO</t>
  </si>
  <si>
    <t>RUA RÉGIA BARRETO - SN(00372)</t>
  </si>
  <si>
    <t>NOVA SUSSUARANA</t>
  </si>
  <si>
    <t>DENIZE DE ALBUQUERQUE NUNES</t>
  </si>
  <si>
    <t>(77) 9 9969-5003</t>
  </si>
  <si>
    <t>ANA BEATRIZ KONIG DE OLIVEIRA</t>
  </si>
  <si>
    <t>VIVIANE MAGIONI LEMOS</t>
  </si>
  <si>
    <t>(45) 9 906-5921</t>
  </si>
  <si>
    <t>(77) 3628-4839</t>
  </si>
  <si>
    <t>12 + 01 (Adapt)</t>
  </si>
  <si>
    <t>COLÉGIO ESTADUAL RUBEN DARIO</t>
  </si>
  <si>
    <t>AVENIDA SAN MARTIN - 00342</t>
  </si>
  <si>
    <t>-12.941698068267813, -38.48626036162062</t>
  </si>
  <si>
    <t>COLEGIO ESTADUAL CONSTANTINO CATARINO DE SOUZA</t>
  </si>
  <si>
    <t>COLÉGIO ESTADUAL RAYMUNDO MATTA</t>
  </si>
  <si>
    <t>AV. PENINSULA DO JOANES - SN(00071)</t>
  </si>
  <si>
    <t>LOBATO</t>
  </si>
  <si>
    <t>ELAINE DE CASTRO MATTOS DEL REI HERMIDA</t>
  </si>
  <si>
    <t>(75) 9 9207-9111</t>
  </si>
  <si>
    <t>MARCELO DA SILVA MOURA</t>
  </si>
  <si>
    <t>-12.922465716263547, -38.487207837519136</t>
  </si>
  <si>
    <t>(77) 9 9837-9785</t>
  </si>
  <si>
    <t>JANNETT CLER ALVES BARRETO REIS</t>
  </si>
  <si>
    <t>(77) 3628-3936</t>
  </si>
  <si>
    <t>18 (sendo 15 como salas de aula, 01 adaptada p/ AEE e 02 adaptadas p/ oficinas do educa mais)</t>
  </si>
  <si>
    <t>COLÉGIO ESTADUAL RAYMUNDO DE ALMEIDA GOUVEIA</t>
  </si>
  <si>
    <t>RUA A SN 2ª ETAPA - SN(01097)</t>
  </si>
  <si>
    <t>-12.922241680575846, -38.48556360875347</t>
  </si>
  <si>
    <t>ANEXO - COLEGIO ESTADUAL MIMOSO DO OESTE - SEDE II</t>
  </si>
  <si>
    <t>PARAIBA N S/N Bairro: - CEP: 47850000</t>
  </si>
  <si>
    <t>COLÉGIO ESTADUAL RAFAEL OLIVEIRA</t>
  </si>
  <si>
    <t>SETOR A, VIA LOCAL -E- LOCAL 4 - SN(00021)</t>
  </si>
  <si>
    <t>CAJAZEIRAS VIII</t>
  </si>
  <si>
    <t>-12.899121296358778, -38.413106787044875</t>
  </si>
  <si>
    <t>COLÉGIO ESTADUAL PROFESSORA MARILEINE DA SILVA</t>
  </si>
  <si>
    <t>RUA BENJAMIN ABDON - S/N</t>
  </si>
  <si>
    <t>MATA ESCURA</t>
  </si>
  <si>
    <t>-12.937697878205471, -38.460648588054916</t>
  </si>
  <si>
    <t>COLÉGIO ESTADUAL PROFESSORA MARIA ODETTE PITHON RAYNAL</t>
  </si>
  <si>
    <t>RUA DA INDEPENDÊNCIA - 17</t>
  </si>
  <si>
    <t>ALUGADO (R$85.297,20)</t>
  </si>
  <si>
    <t>-12.904097370196238, -38.486545433467676</t>
  </si>
  <si>
    <t>COLÉGIO ESTADUAL PROFESSORA MARIA DE LOURDES PARADA FRANCH</t>
  </si>
  <si>
    <t>RUA MARECHAL DEODORO - 11</t>
  </si>
  <si>
    <t>ALUGADO (R$ 164.392.80)</t>
  </si>
  <si>
    <t>-12.918388421681323, -38.44358166075795</t>
  </si>
  <si>
    <t>COLÉGIO ESTADUAL PROFESSORA MARIA BERNADETE BRANDAO</t>
  </si>
  <si>
    <t>VALDECK CISNE - 14 -E</t>
  </si>
  <si>
    <t>ALUGADO  (R$156.000,00)</t>
  </si>
  <si>
    <t>-12.942234302534477, -38.45719531558494</t>
  </si>
  <si>
    <t>COLÉGIO ESTADUAL PROFESSORA MARIA ANITA</t>
  </si>
  <si>
    <t>COLINAS DE PERIPERI - S/N</t>
  </si>
  <si>
    <t>PERIPERI</t>
  </si>
  <si>
    <t>-12.870376049528348, -38.4616460020928</t>
  </si>
  <si>
    <t>COLEGIO ESTADUAL PROFESSORA MARIA HELENA OLIVEIRA - TEMPO INTEGRAL</t>
  </si>
  <si>
    <t>DAVI FRANK GOMES MACHADO</t>
  </si>
  <si>
    <t>COLÉGIO ESTADUAL PROFESSORA LEILA RUBENS FONSECA</t>
  </si>
  <si>
    <t>(77) 9 9999-7271 / 9 8110-8959</t>
  </si>
  <si>
    <t>RUA E SETOR J - S/N</t>
  </si>
  <si>
    <t>BALTAZAR DIAS DE OLIVEIRA</t>
  </si>
  <si>
    <t>(77) 9 9992-0099</t>
  </si>
  <si>
    <t>-12.921424341474204, -38.373079552565805</t>
  </si>
  <si>
    <t>9 (sendo 08 como salas de aula e 01 sala adaptada para multimídia)</t>
  </si>
  <si>
    <r>
      <rPr>
        <rFont val="Calibri"/>
        <b/>
        <color theme="1"/>
        <sz val="11.0"/>
      </rPr>
      <t xml:space="preserve">08 salas, </t>
    </r>
    <r>
      <rPr>
        <rFont val="Calibri"/>
        <b/>
        <color rgb="FFFF0000"/>
        <sz val="11.0"/>
      </rPr>
      <t>sendo 06 salas de aula e</t>
    </r>
    <r>
      <rPr>
        <rFont val="Calibri"/>
        <b/>
        <color theme="1"/>
        <sz val="11.0"/>
      </rPr>
      <t xml:space="preserve"> 01 adaptada para sala de leitura e 01 para multiuso.        </t>
    </r>
  </si>
  <si>
    <t>COLÉGIO ESTADUAL PROFESSORA GEORGINA RAMOS DA SILVA</t>
  </si>
  <si>
    <t>PRACA DIDIE LUZ - 29</t>
  </si>
  <si>
    <t>BOCA DO RIO</t>
  </si>
  <si>
    <t>-12.978501474750567, -38.435745981783036</t>
  </si>
  <si>
    <t>ANEXO - COLEGIO ESTADUAL MARIA HELENA DE OLIVEIRA - POVOADO DE BARREIRO</t>
  </si>
  <si>
    <t>COLÉGIO ESTADUAL PROFESSORA ELISABETH CHAVES VELOSO</t>
  </si>
  <si>
    <t>RUA TEODULO ALBUQUERQUE - SN(00331)</t>
  </si>
  <si>
    <t>CABULA VI</t>
  </si>
  <si>
    <t>-12.95574162901891, -38.43737948425467</t>
  </si>
  <si>
    <t>COLÉGIO ESTADUAL PROFESSOR ROMULO ALMEIDA - TEMPO INTEGRAL</t>
  </si>
  <si>
    <t>RUA DAS ARARAS - 114, IMBUÍ</t>
  </si>
  <si>
    <t>IMBUÍ</t>
  </si>
  <si>
    <t>ANEXO - COLEGIO ESTADUAL MARIA HELENA DE OLIVEIRA - POVOADO DE ANGICAL</t>
  </si>
  <si>
    <t>-12.969767862195871, -38.43315253992177</t>
  </si>
  <si>
    <t>COLÉGIO ESTADUAL PROFESSOR JOSE BARRETO DE ARAUJO BASTOS</t>
  </si>
  <si>
    <t>RUA DO BAMBUI - SN(00050)</t>
  </si>
  <si>
    <t>SAO CAETANO</t>
  </si>
  <si>
    <t>-12.930796734137134, -38.474324772891435</t>
  </si>
  <si>
    <t>ANEXO - COLEGIO ESTADUAL MARIA HELENA DE OLIVEIRA - DISTRITO DE AROEIRAS</t>
  </si>
  <si>
    <t>16 + 02 adapt.</t>
  </si>
  <si>
    <t>COLÉGIO ESTADUAL PROFESSOR GEORGE FRAGOSO MODESTO</t>
  </si>
  <si>
    <t>EST DA MATA ESCURA PENITENCIAR - S/N</t>
  </si>
  <si>
    <t>CONVENIADO</t>
  </si>
  <si>
    <t>-12.909965923003648, -38.352773086749586</t>
  </si>
  <si>
    <t>COLÉGIO ESTADUAL PROFESSOR EDSON CARNEIRO</t>
  </si>
  <si>
    <t>RUA ENG AUSTRICLIANO DE CARVALHO - SN(00197)</t>
  </si>
  <si>
    <t>-12.932801798903636, -38.48240790664473</t>
  </si>
  <si>
    <t>COLÉGIO ESTADUAL PROFESSOR CARLOS BARROS</t>
  </si>
  <si>
    <t>RUA PAULO AVELAR - 01</t>
  </si>
  <si>
    <t>-12.845449110560963, -38.47047084489394</t>
  </si>
  <si>
    <t>COLÉGIO ESTADUAL PROFESSOR CARLOS ALBERTO CERQUEIRA</t>
  </si>
  <si>
    <t>ANA MARIANI BITTENCOURT - SN(00387)</t>
  </si>
  <si>
    <t>-12.935685693714683, -38.47638290572045</t>
  </si>
  <si>
    <t>COLEGIO ESTADUAL RODOLFO DE QUEIROZ - TEMPO INTEGRAL</t>
  </si>
  <si>
    <t>HELENA JEANNE ARRUDA CARDOZO</t>
  </si>
  <si>
    <t>(77) 9 9963-6952</t>
  </si>
  <si>
    <t>NELSON TORRES BORGES</t>
  </si>
  <si>
    <t>(77) 9 9977-5484</t>
  </si>
  <si>
    <t>(77) 3624-2118</t>
  </si>
  <si>
    <r>
      <rPr>
        <rFont val="Calibri"/>
        <b/>
        <color theme="1"/>
        <sz val="11.0"/>
      </rPr>
      <t>7 (</t>
    </r>
    <r>
      <rPr>
        <rFont val="Calibri"/>
        <b/>
        <color rgb="FFFF0000"/>
        <sz val="11.0"/>
      </rPr>
      <t>sendo 05 para aulas de aula</t>
    </r>
    <r>
      <rPr>
        <rFont val="Calibri"/>
        <b/>
        <color theme="1"/>
        <sz val="11.0"/>
      </rPr>
      <t>, 01 adaptada para laboratório de ciências e 01 adaptada para leitura)</t>
    </r>
  </si>
  <si>
    <t>COLÉGIO ESTADUAL PROFESSOR ARISTIDES DE SOUZA OLIVEIRA</t>
  </si>
  <si>
    <t>RUA DOS FERROVIARIOS - SN(00009)</t>
  </si>
  <si>
    <t>PLATAFORMA</t>
  </si>
  <si>
    <t>COLEGIO ESTADUAL PROFESSOR IVARDO PEREIRA BASTOS - DISTRITO DE CARIPARE</t>
  </si>
  <si>
    <t>COLÉGIO ESTADUAL PRINCESA IZABEL</t>
  </si>
  <si>
    <t>PRIMEIRO DE JANEIRO - 37</t>
  </si>
  <si>
    <t>DULCELICE ALCÂNTARA SANTOS BRITO</t>
  </si>
  <si>
    <t>(77) 9 9952-5866 / 9 9188-9886</t>
  </si>
  <si>
    <t>-12.965425148019358, -38.484597893020165</t>
  </si>
  <si>
    <t>(77) 3624-2160</t>
  </si>
  <si>
    <t>COLÉGIO ESTADUAL POLIVALENTE SAN DIEGO</t>
  </si>
  <si>
    <t>RUA LUIZ REGIS PACHECO - 2182</t>
  </si>
  <si>
    <t>-12.929678256858042, -38.491881817379344</t>
  </si>
  <si>
    <t>COLÉGIO ESTADUAL POLIVALENTE DE AMARALINA</t>
  </si>
  <si>
    <t>RUA PARA - 00221</t>
  </si>
  <si>
    <t>-13.005998770705224, -38.468940791614955</t>
  </si>
  <si>
    <t>COLÉGIO ESTADUAL PAULO AMÉRICO DE OLIVEIRA</t>
  </si>
  <si>
    <t>BECO JOAO DO BOI - SN(00420)</t>
  </si>
  <si>
    <t>BONFIM</t>
  </si>
  <si>
    <r>
      <rPr>
        <rFont val="Calibri"/>
        <b/>
        <color theme="1"/>
        <sz val="11.0"/>
      </rPr>
      <t xml:space="preserve">24 salas, </t>
    </r>
    <r>
      <rPr>
        <rFont val="Calibri"/>
        <b/>
        <color rgb="FFFF0000"/>
        <sz val="11.0"/>
      </rPr>
      <t>sendo 20 utilizadas para aula e</t>
    </r>
    <r>
      <rPr>
        <rFont val="Calibri"/>
        <b/>
        <color theme="1"/>
        <sz val="11.0"/>
      </rPr>
      <t xml:space="preserve"> 04 adaptadas para: 01 sala de música, 01 Jiu Jitsu, 01 sala de dança e 01 sala para capoeira.</t>
    </r>
  </si>
  <si>
    <t>-12.923853225406194, -38.504104223362596</t>
  </si>
  <si>
    <t>COLÉGIO ESTADUAL PADRE JOSE VASCONCELOS</t>
  </si>
  <si>
    <t>SIMONE BARRADAS - S/N</t>
  </si>
  <si>
    <t>JARDIM NOVA ESPERANÇA</t>
  </si>
  <si>
    <t>-12.91411593929783, -38.42162129370562</t>
  </si>
  <si>
    <t>COLÉGIO ESTADUAL OLIVEIRA BRITO - TEMPO INTEGRAL</t>
  </si>
  <si>
    <t>CONJ. HAB. FAZENDA GRANDE II - SN(00076)</t>
  </si>
  <si>
    <t>CAJAZEIRAS VI</t>
  </si>
  <si>
    <t>-12.891533225801094, -38.39643916542083</t>
  </si>
  <si>
    <t>COLÉGIO ESTADUAL NOSSA SENHORA DE FATIMA - DERBA</t>
  </si>
  <si>
    <t>SERV MECANICO INDUSTRIAL DO DERBA - SN(01797)</t>
  </si>
  <si>
    <t>VALÉRIA</t>
  </si>
  <si>
    <t>PROPRIO (dominialidade do DERBA)</t>
  </si>
  <si>
    <t>ASSENTAMENTO RIO BRANCO - S/N</t>
  </si>
  <si>
    <t>-12.879870973312384, -38.4391439558341</t>
  </si>
  <si>
    <t>COLÉGIO ESTADUAL NOSSA SENHORA DE FATIMA</t>
  </si>
  <si>
    <t>LOTEAMENTO NOSSA SENHORA DE FATIMA - 102</t>
  </si>
  <si>
    <t>-12.85822415570557, -38.45579615405815</t>
  </si>
  <si>
    <t>COLEGIO ESTADUAL GOVERNADOR LUIZ VIANA FILHO</t>
  </si>
  <si>
    <t>RUA SANTOS DUMONT - 584</t>
  </si>
  <si>
    <t>GABRIELA ARAÚJO DA SILVEIRA FERNANDES</t>
  </si>
  <si>
    <t>(77) 9 9977-0193</t>
  </si>
  <si>
    <t>MARIENE GUEDES DE SOUZA</t>
  </si>
  <si>
    <t>(77) 3625-1533</t>
  </si>
  <si>
    <t>COLÉGIO ESTADUAL NORMA RIBEIRO - TEMPO INTEGRAL</t>
  </si>
  <si>
    <t>GILBERTO BASTOS - SN(00723)</t>
  </si>
  <si>
    <t>TANCREDO NEVES</t>
  </si>
  <si>
    <t>-12.945653121133088, -38.44343245403568</t>
  </si>
  <si>
    <t>COLÉGIO ESTADUAL MONTEIRO LOBATO</t>
  </si>
  <si>
    <t>CONJ HAB VISTA ALEGRE DE COUTOS, - S/N</t>
  </si>
  <si>
    <t>COUTOS</t>
  </si>
  <si>
    <t>COLEGIO ESTADUAL DEPUTADO HORACIO DE MATOS - EM TEMPO INTEGRAL</t>
  </si>
  <si>
    <t>-12.855277946911155, -38.459214323178216</t>
  </si>
  <si>
    <t>RUA COSTA E SILVA - 349</t>
  </si>
  <si>
    <t>ROSA ENILDE BRANDÃO BARBOSA</t>
  </si>
  <si>
    <t>(77) 9 9953-8660</t>
  </si>
  <si>
    <t>DALCIONE JORDÃO DE OLIVEIRA BRANDÃO</t>
  </si>
  <si>
    <t>(77) 9 9909-9897</t>
  </si>
  <si>
    <t>(77) 3625-1024</t>
  </si>
  <si>
    <t>7 (sendo 06 como salas de aula e 01 adaptada p/ laboratório de informática)</t>
  </si>
  <si>
    <t>COLÉGIO ESTADUAL MESTRE MOA DO KATENDE - EM TEMPO INTEGRAL</t>
  </si>
  <si>
    <t>RUA DIQUE PEQUENO - S/N</t>
  </si>
  <si>
    <t>VASCO DA GAMA</t>
  </si>
  <si>
    <t>-12.982369789735657, -38.5023361122647</t>
  </si>
  <si>
    <r>
      <rPr>
        <rFont val="Calibri"/>
        <b/>
        <color theme="1"/>
        <sz val="11.0"/>
      </rPr>
      <t>15 (</t>
    </r>
    <r>
      <rPr>
        <rFont val="Calibri"/>
        <b/>
        <color rgb="FFFF0000"/>
        <sz val="11.0"/>
      </rPr>
      <t>sendo 11 salas de aula</t>
    </r>
    <r>
      <rPr>
        <rFont val="Calibri"/>
        <b/>
        <color theme="1"/>
        <sz val="11.0"/>
      </rPr>
      <t>, 01 sala adaptada para laboratório de ciências, 01 para biblioteca, 01 para vídeo,
01 sala de vivências corporais)</t>
    </r>
  </si>
  <si>
    <t>COLÉGIO ESTADUAL MARQUÊS DE MARICÁ - TEMPO INTEGRAL</t>
  </si>
  <si>
    <t>MARQUÊS DE MARICÁ - SN(00062)</t>
  </si>
  <si>
    <t>PAU MIÚDO</t>
  </si>
  <si>
    <t>-12.961129977908666, -38.48092604485073</t>
  </si>
  <si>
    <t>CENTRO TERRITORIAL DE EDUCACAO PROFISSIONAL CONSELHEIRO SANTA RITA DE CASSIA</t>
  </si>
  <si>
    <t>GUIOMAR MONTEIRO MOURA RIBEIRO</t>
  </si>
  <si>
    <t>(77) 9 9986-2523</t>
  </si>
  <si>
    <t>MARIA DE FÁTIMA PEREGRINO SILVA</t>
  </si>
  <si>
    <t>(77) 9 9946-9449</t>
  </si>
  <si>
    <t>(77) 3625-1520</t>
  </si>
  <si>
    <t>7 (sendo 05 como salas de aula, 01 adaptada p/ sala de leitura e 01 adaptada p/ cozinha industria)</t>
  </si>
  <si>
    <t>COLÉGIO ESTADUAL MARIO AUGUSTO TEIXEIRA DE FREITAS</t>
  </si>
  <si>
    <t>DA MANGUEIRA - 20</t>
  </si>
  <si>
    <t>-12.98020076710406, -38.510157591762294</t>
  </si>
  <si>
    <t>COLÉGIO ESTADUAL MARIA AMELIA SANTOS</t>
  </si>
  <si>
    <t>ANTÔNIO CARLOS MAGALHÃES - SN(00180)</t>
  </si>
  <si>
    <t>-12.922566167868954, -38.43785898696616</t>
  </si>
  <si>
    <t>COLÉGIO ESTADUAL MARECHAL MASCARENHAS DE MORAIS</t>
  </si>
  <si>
    <t>AVENIDA DORIVAL CAYMMI - S/N</t>
  </si>
  <si>
    <t>-12.933031908269433, -38.35793313989309</t>
  </si>
  <si>
    <t>COLÉGIO ESTADUAL MARCILIO DIAS - TEMPO INTEGRAL</t>
  </si>
  <si>
    <t>BENJAMIM DE SOUZA - SN(00040)</t>
  </si>
  <si>
    <t>SAO TOME DE PARIPE</t>
  </si>
  <si>
    <t>-12.813122893631004, -38.48808594489637</t>
  </si>
  <si>
    <t>COLÉGIO ESTADUAL LUIZ JOSE DE OLIVEIRA</t>
  </si>
  <si>
    <t>RUA H SETOR I FAZENDA GRANDE I - S/N</t>
  </si>
  <si>
    <t>FAZENDA GRANDE I</t>
  </si>
  <si>
    <t>-12.889010945548568, -38.40242674444403</t>
  </si>
  <si>
    <t>COLÉGIO ESTADUAL LUIZ FERNANDO MACEDO COSTA - TEMPO INTEGRAL</t>
  </si>
  <si>
    <t>RUA F CAJAZEIRA VII - SN(00405)</t>
  </si>
  <si>
    <t>CAJAZEIRAS VII</t>
  </si>
  <si>
    <t>-12.887604261015506, -38.42655077325702</t>
  </si>
  <si>
    <t>COLÉGIO ESTADUAL LUÍS ROGÉRIO DE SOUZA</t>
  </si>
  <si>
    <t>DEOGRÁCIAS MANOEL DOS SANTOS - SN(00255)</t>
  </si>
  <si>
    <t>-12.896200523171895, -38.474526813838686</t>
  </si>
  <si>
    <t>COLÉGIO ESTADUAL LINDEMBERGUE CARDOSO</t>
  </si>
  <si>
    <t>RUA IRECE ANTIGO CAMPO DA MINA - S/N</t>
  </si>
  <si>
    <t>PRAIA GRANDE</t>
  </si>
  <si>
    <t>-12.876180982221795, -38.46652031124277</t>
  </si>
  <si>
    <t>COLÉGIO ESTADUAL LEDA JESUÍNO DOS SANTOS - TEMPO INTEGRAL</t>
  </si>
  <si>
    <t>ALMIRANTE ALVES CAMARA - SN(00019)</t>
  </si>
  <si>
    <t>-12.989700521656541, -38.49960983081018</t>
  </si>
  <si>
    <r>
      <rPr>
        <rFont val="Calibri, sans-serif"/>
        <b/>
        <color rgb="FF000000"/>
        <sz val="11.0"/>
      </rPr>
      <t>14 (</t>
    </r>
    <r>
      <rPr>
        <rFont val="Calibri, sans-serif"/>
        <b/>
        <color rgb="FFFF0000"/>
        <sz val="11.0"/>
      </rPr>
      <t>Sendo 12 como salas de aula,</t>
    </r>
    <r>
      <rPr>
        <rFont val="Calibri, sans-serif"/>
        <b/>
        <color rgb="FF000000"/>
        <sz val="11.0"/>
      </rPr>
      <t xml:space="preserve"> 01 adaptada para sala de video e 01 adaptada para biblioteca/AEE)</t>
    </r>
  </si>
  <si>
    <t>COLÉGIO ESTADUAL KLEBER PACHECO - TEMPO INTEGRAL</t>
  </si>
  <si>
    <t>NUMA POMPILIO - SN(00237)</t>
  </si>
  <si>
    <t>-12.97144760404441, -38.4712345145035</t>
  </si>
  <si>
    <t>COLÉGIO ESTADUAL JOSIAS DE ALMEIDA MELO</t>
  </si>
  <si>
    <t>JOSÉ JOAQUIM ALVES - SN(00205)</t>
  </si>
  <si>
    <t>-12.88980896609018, -38.477731860347006</t>
  </si>
  <si>
    <t>COLÉGIO ESTADUAL JOÃO DAS BOTAS</t>
  </si>
  <si>
    <t>MORRO DO GAVAZZA - SN(00236)</t>
  </si>
  <si>
    <t>COLEGIO ESTADUAL PROFESSOR MANOEL MACEDO CIRILO</t>
  </si>
  <si>
    <t>-13.005938807726261, -38.52988057805362</t>
  </si>
  <si>
    <t>AVENIDA J. K - S/N</t>
  </si>
  <si>
    <t>REGINITA CEZAR DOS SANTOS DE JESUS</t>
  </si>
  <si>
    <t>(77) 9 9917-0486</t>
  </si>
  <si>
    <t>MAYANA DOS SANTOS SOUZA DE ARAUJO</t>
  </si>
  <si>
    <t>(77) 8104-6644</t>
  </si>
  <si>
    <t>(77) 3623-2483 / 3623-2454</t>
  </si>
  <si>
    <t>COLÉGIO ESTADUAL JOAO CARIBE</t>
  </si>
  <si>
    <t>SANTA FILOMENA - 443E</t>
  </si>
  <si>
    <t>-12.823153302529262, -38.48275909189581</t>
  </si>
  <si>
    <t>COLEGIO ESTADUAL DO CAMPO MIGUEL MOREIRA DE CARVALHO - DIST RODA VELHA</t>
  </si>
  <si>
    <t>COLÉGIO ESTADUAL HENRIQUETA MARTINS CATHARINO</t>
  </si>
  <si>
    <t>RUA. HENRIQUETA M CATHARINO - 158</t>
  </si>
  <si>
    <t>FEDERAÇÃO</t>
  </si>
  <si>
    <t>-13.001665075174738, -38.500757626525875</t>
  </si>
  <si>
    <t>EDNA RODRIGUES DE SOUSA</t>
  </si>
  <si>
    <t>(77) 9 9846-0928</t>
  </si>
  <si>
    <t>(77) 3684-2074</t>
  </si>
  <si>
    <r>
      <rPr>
        <rFont val="Calibri"/>
        <b/>
        <color theme="1"/>
        <sz val="11.0"/>
      </rPr>
      <t>15 salas (</t>
    </r>
    <r>
      <rPr>
        <rFont val="Calibri"/>
        <b/>
        <color rgb="FFFF0000"/>
        <sz val="11.0"/>
      </rPr>
      <t>sendo 8 salas de aula</t>
    </r>
    <r>
      <rPr>
        <rFont val="Calibri"/>
        <b/>
        <color theme="1"/>
        <sz val="11.0"/>
      </rPr>
      <t>, 01 biblioteca, 01 sala de oficinas, 02 salas de vídeo, 01 sala de AEE, 01 sala de professores, 01 sala de informática)</t>
    </r>
  </si>
  <si>
    <t>COLÉGIO ESTADUAL HELENA CELESTINO MAGALHÃES - TEMPO INTEGRAL</t>
  </si>
  <si>
    <t>DESEMBARGADOR JOSÉ MACIEL DOS SANTOS - SN(00039)</t>
  </si>
  <si>
    <t>IAPI</t>
  </si>
  <si>
    <t>-12.952982403826203, -38.478149734996435</t>
  </si>
  <si>
    <t>COLEGIO ESTADUAL BENTO ALVES DAS NEVES</t>
  </si>
  <si>
    <t>RUA DAS MANGUEIRAS - 100</t>
  </si>
  <si>
    <t>CLEIDIANE SANTOS DA CRUZ BASTOS</t>
  </si>
  <si>
    <t>COLÉGIO ESTADUAL GOVERNADOR OTAVIO MANGABEIRA</t>
  </si>
  <si>
    <t>(77) 9 9924-0123</t>
  </si>
  <si>
    <t>SABOEIRO - SN(00046)</t>
  </si>
  <si>
    <t>SABOEIRO</t>
  </si>
  <si>
    <t>(77) 3623-2673</t>
  </si>
  <si>
    <t>-12.960018927633342, -38.447786399926855</t>
  </si>
  <si>
    <t>ANEXO - COLEGIO ESTADUAL BENTO ALVES DAS NEVES - POVOADO PONTEZINHA</t>
  </si>
  <si>
    <t>COLÉGIO ESTADUAL GOVERNADOR LOMANTO JUNIOR - TEMPO INTEGRAL</t>
  </si>
  <si>
    <t>RUA PROF SOUZA BRITO - SN(00515)</t>
  </si>
  <si>
    <t>-12.952253068652578, -38.360055092105355</t>
  </si>
  <si>
    <t>COLÉGIO ESTADUAL GOES CALMON</t>
  </si>
  <si>
    <t>AVENIDA DOM JOAO VI - 131</t>
  </si>
  <si>
    <t>BROTAS</t>
  </si>
  <si>
    <t>-12.986560955781789, -38.49374869586973</t>
  </si>
  <si>
    <r>
      <rPr>
        <rFont val="Calibri"/>
        <b/>
        <color theme="1"/>
        <sz val="11.0"/>
      </rPr>
      <t xml:space="preserve">15 salas, </t>
    </r>
    <r>
      <rPr>
        <rFont val="Calibri"/>
        <b/>
        <color rgb="FFFF0000"/>
        <sz val="11.0"/>
      </rPr>
      <t>sendo 11 salas de aula</t>
    </r>
    <r>
      <rPr>
        <rFont val="Calibri"/>
        <b/>
        <color theme="1"/>
        <sz val="11.0"/>
      </rPr>
      <t>, 01 adaptada para sala de AEE, 01 para laboratório de informática 01 para laboratório de ciências e 01 para curso técnico).</t>
    </r>
  </si>
  <si>
    <t>ANEXO - COLEGIO EST. PROF MANOEL MACEDO CIRILO - POV. PONTE DE MATEUS</t>
  </si>
  <si>
    <t>COLÉGIO ESTADUAL FRANCISCO DA CONCEICAO MENEZES</t>
  </si>
  <si>
    <t>SILVEIRA MARTINS - SN(00679)</t>
  </si>
  <si>
    <t>-12.957455478252282, -38.454384907723934</t>
  </si>
  <si>
    <t>COLÉGIO ESTADUAL EURICLES DE MATOS</t>
  </si>
  <si>
    <t>RUA OSVALDO CRUZ - 00016</t>
  </si>
  <si>
    <t>RIO VERMELHO</t>
  </si>
  <si>
    <t>-13.012691217022816, -38.4873712482612</t>
  </si>
  <si>
    <t>ANEXO - COLEGIO EST BENTO ALVES DAS NEVES - POVOADO CAMPO GRANDE</t>
  </si>
  <si>
    <t>COLÉGIO ESTADUAL ERALDO TINOCO</t>
  </si>
  <si>
    <t>RUA 03 QUADRA G- SN(00071)</t>
  </si>
  <si>
    <t>SETE DE ABRIL</t>
  </si>
  <si>
    <t>-12.912624020889009, -38.42467673793604</t>
  </si>
  <si>
    <t>COLÉGIO ESTADUAL EDIVALDO BOAVENTURA</t>
  </si>
  <si>
    <t>CONJ. HAB. V. DOS RIOS - S/N</t>
  </si>
  <si>
    <t>STIEP</t>
  </si>
  <si>
    <t>-12.979865989128696, -38.44831322907754</t>
  </si>
  <si>
    <r>
      <rPr>
        <rFont val="Calibri"/>
        <b/>
        <color theme="1"/>
        <sz val="11.0"/>
      </rPr>
      <t>09 salas,</t>
    </r>
    <r>
      <rPr>
        <rFont val="Calibri"/>
        <b/>
        <color rgb="FFFF0000"/>
        <sz val="11.0"/>
      </rPr>
      <t xml:space="preserve"> sendo 08 salas de aula e </t>
    </r>
    <r>
      <rPr>
        <rFont val="Calibri"/>
        <b/>
        <color theme="1"/>
        <sz val="11.0"/>
      </rPr>
      <t>01 adaptada para sala de vídeo.</t>
    </r>
  </si>
  <si>
    <t>COLÉGIO ESTADUAL DOUTOR JOÃO PEDRO DOS SANTOS</t>
  </si>
  <si>
    <t>RUA MARIO LEAL FERREIRA - 30</t>
  </si>
  <si>
    <t>BONOCO</t>
  </si>
  <si>
    <t>-12.983695413083735, -38.48704366456404</t>
  </si>
  <si>
    <t>RUA DUQUE DE CAXIAS N S/N Bairro: CEP:47825-000</t>
  </si>
  <si>
    <t>COLÉGIO ESTADUAL DOUTOR AILTON PINTO DE ANDRADE</t>
  </si>
  <si>
    <t>ATERRO DO JOANES - SN(00062)</t>
  </si>
  <si>
    <t>-12.92515578520132, -38.48751632425617</t>
  </si>
  <si>
    <t>COLÉGIO ESTADUAL DONA MORA GUIMARAES</t>
  </si>
  <si>
    <t>FAZENDA GRANDE I, QUADRA C - S/N</t>
  </si>
  <si>
    <t>CAJAZEIRAS</t>
  </si>
  <si>
    <t>-12.891063184788528, -38.407566291187855</t>
  </si>
  <si>
    <t>RUA VILARD CAMPOS DE OLIVEIRA - S/N</t>
  </si>
  <si>
    <t>ALEX SANDRO RODRIGUES DE OLIVEIRA</t>
  </si>
  <si>
    <t>(77) 9 9975-7720</t>
  </si>
  <si>
    <t>(77) 3626-1391 / 1236</t>
  </si>
  <si>
    <t>COLÉGIO ESTADUAL DOIS DE JULHO</t>
  </si>
  <si>
    <t>MELLO MORAES FILHO - 311</t>
  </si>
  <si>
    <t>FAZENDA GRANDE DO RETIRO</t>
  </si>
  <si>
    <t>-12.942509198253216, -38.479225513075434</t>
  </si>
  <si>
    <t>COLÉGIO ESTADUAL DO STIEP CARLOS MARIGHELLA</t>
  </si>
  <si>
    <t>CONJUNTO HAB STIEP QUADRA 1 - SN(00685)</t>
  </si>
  <si>
    <t>-12.984830350745664, -38.44506970135612</t>
  </si>
  <si>
    <t>COLÉGIO ESTADUAL DESEMBARGADOR PEDRO RIBEIRO</t>
  </si>
  <si>
    <t>DIREITA DA GOMÉIA - 7</t>
  </si>
  <si>
    <t>-12.934249497329155, -38.427553641829014</t>
  </si>
  <si>
    <t>COLÉGIO ESTADUAL DEPUTADO MANOEL NOVAES</t>
  </si>
  <si>
    <t>RUA ARAUJO PINHO - 30</t>
  </si>
  <si>
    <t>CANELA</t>
  </si>
  <si>
    <t>-12.99249549082373, -38.52164125976273</t>
  </si>
  <si>
    <t>COLÉGIO ESTADUAL DEPUTADO HENRIQUE BRITO - TEMPO INTEGRAL</t>
  </si>
  <si>
    <t>RUA ENGENHEIRO JOSE ANASOL - 420-E</t>
  </si>
  <si>
    <t>-12.978600825592155, -38.4786810774939</t>
  </si>
  <si>
    <t>SILVANA ROCHA OLIVEIRA CARDOSO</t>
  </si>
  <si>
    <t>(77) 9 9987-9987</t>
  </si>
  <si>
    <t>COLÉGIO ESTADUAL DEMOCRATICO BERTHOLDO CIRILO DOS REIS</t>
  </si>
  <si>
    <t>RUA ESTRADA DO CABRITO - 0080 E</t>
  </si>
  <si>
    <t>-12.900672294345995, -38.48355074857135</t>
  </si>
  <si>
    <t>COLÉGIO ESTADUAL DE TEMPO INTEGRAL ZUMBI DOS PALMARES</t>
  </si>
  <si>
    <t>PARAÍBA - S/N</t>
  </si>
  <si>
    <t>-12.949417647397636, -38.45101515976314</t>
  </si>
  <si>
    <t>COLEGIO ESTADUAL DE BOQUIRA - EM TEMPO INTEGRAL</t>
  </si>
  <si>
    <t xml:space="preserve">JANE ANGELICA APARECIDA XAVIER </t>
  </si>
  <si>
    <t>(77) 9 9966-9725</t>
  </si>
  <si>
    <t>ANDRE DA SILVA LIMA</t>
  </si>
  <si>
    <t>(77) 9 9965-6833</t>
  </si>
  <si>
    <t>DORALICE LIMA SOARES SANTOS</t>
  </si>
  <si>
    <t>(77) 9 9926-4422</t>
  </si>
  <si>
    <t>(77) 3645-2270</t>
  </si>
  <si>
    <t>COLÉGIO ESTADUAL DE TEMPO INTEGRAL SATÉLITE</t>
  </si>
  <si>
    <t>AVENIDA ORLANDO GOMES - 1094</t>
  </si>
  <si>
    <t>PIATÃ</t>
  </si>
  <si>
    <t>-12.946263851118166, -38.38065979084673</t>
  </si>
  <si>
    <t>COLÉGIO ESTADUAL DE TEMPO INTEGRAL SÃO DANIEL COMBONI</t>
  </si>
  <si>
    <t>2ªAV. MOISES MENDES</t>
  </si>
  <si>
    <t>SUSSUARANA</t>
  </si>
  <si>
    <t>-12.934541531010463, -38.44007175254509</t>
  </si>
  <si>
    <t>MOYSES ANTONIO LIMA SANTOS</t>
  </si>
  <si>
    <t>(77) 9 9979-4607</t>
  </si>
  <si>
    <t>COLÉGIO ESTADUAL DE TEMPO INTEGRAL ROTARY</t>
  </si>
  <si>
    <t>LADEIRA DO ABAETE - SN(01055)</t>
  </si>
  <si>
    <t>-12.947595244286168, -38.361704061834295</t>
  </si>
  <si>
    <t>COLÉGIO ESTADUAL DE TEMPO INTEGRAL RENAN BALEEIRO</t>
  </si>
  <si>
    <t>LOT NOGUEIRA KM 10 BR 324 - SN(00098)</t>
  </si>
  <si>
    <t>-12.892792437912188, -38.44258494624754</t>
  </si>
  <si>
    <t>COLÉGIO ESTADUAL DE TEMPO INTEGRAL RAPHAEL SERRAVALLE</t>
  </si>
  <si>
    <t>GUILLARD MUNIZ - S/N</t>
  </si>
  <si>
    <t>-12.99166868850794, -38.45656109401335</t>
  </si>
  <si>
    <t xml:space="preserve">COLÉGIO ESTADUAL DE TEMPO INTEGRAL PROFESSORA NOÊMIA REGO </t>
  </si>
  <si>
    <t>RUA BOCA DA MATA - SN(02551)</t>
  </si>
  <si>
    <t>-12.864466404973554, -38.436637227589664</t>
  </si>
  <si>
    <t>COLÉGIO ESTADUAL DE TEMPO INTEGRAL PROFESSORA HELOÍSA COSTA  - (ANTIGO CE JOSÉ AUGUSTO TOURINHO DANTAS)</t>
  </si>
  <si>
    <t>ESTRADA DO CIA KM 2 - S/N</t>
  </si>
  <si>
    <t>-12.904098359112187, -38.36282136424196</t>
  </si>
  <si>
    <t>JOCASTA FERNANDES MAGALHÃES</t>
  </si>
  <si>
    <t>(19) 9 8721-4077</t>
  </si>
  <si>
    <t>COLÉGIO ESTADUAL DE TEMPO INTEGRAL PROFESSORA CLARICE PEREIRA DOS SANTOS</t>
  </si>
  <si>
    <t>RUA DO FUTURO ALTO SANTA CRUZ - SN(00475)</t>
  </si>
  <si>
    <t xml:space="preserve">SANTA CRUZ </t>
  </si>
  <si>
    <t>-13.000852262166497, -38.475661353963844</t>
  </si>
  <si>
    <t>COLÉGIO ESTADUAL DO CAMPO DE TEMPO INTEGRAL DE BOTUPORÃ 
 (ANTIGO C.E LUIS EDUARDO MAGALHÃES)</t>
  </si>
  <si>
    <t>ALENE BONFIM QUEIROZ RIBEIRO</t>
  </si>
  <si>
    <t>(77) 9 9112-9361</t>
  </si>
  <si>
    <t>TATIANE NUNES LOIOLA VIEIRA</t>
  </si>
  <si>
    <t>(77) 9 9141-2232</t>
  </si>
  <si>
    <t>(77) 3678-2005</t>
  </si>
  <si>
    <t>COLÉGIO ESTADUAL DE TEMPO INTEGRAL PROFESSOR PEDRO PAULO MARQUES E MARQUES</t>
  </si>
  <si>
    <t>AV. SÃO CRISTÓVÃO, CEP: 41.510-000</t>
  </si>
  <si>
    <t>-12.916721169166728, -38.35288668166357</t>
  </si>
  <si>
    <t>COLÉGIO ESTADUAL DE TEMPO INTEGRAL PROFESSOR NOGUEIRA PASSOS</t>
  </si>
  <si>
    <t>RUA DAS ROSAS, N° 348</t>
  </si>
  <si>
    <t>COLEGIO ESTADUAL SAO SEBASTIAO - TEMPO INTEGRAL</t>
  </si>
  <si>
    <t>-12.99111340955708, -38.456659306895276</t>
  </si>
  <si>
    <t>ZULEIDE ABREU RAMOS</t>
  </si>
  <si>
    <t>(77) 9 9701-9005</t>
  </si>
  <si>
    <t>APARECIDA DE FATIMA CASTRO DOMINGUES</t>
  </si>
  <si>
    <t>(77) 3650-1187</t>
  </si>
  <si>
    <t>COLÉGIO ESTADUAL DE TEMPO INTEGRAL PROFESSOR NELSON BARROS</t>
  </si>
  <si>
    <t>RUA C SETOR C - SN(01090)</t>
  </si>
  <si>
    <t>CAJAZEIRAS X</t>
  </si>
  <si>
    <t>-12.890191734778515, -38.409646055284036</t>
  </si>
  <si>
    <t>COLEGIO ESTADUAL ANTONIO CARLOS MAGALHAES - TEMPO INTEGRAL</t>
  </si>
  <si>
    <t>DA USINA - 30</t>
  </si>
  <si>
    <t>ELIZANGELA APARECIDA ROCHA GUIMARAES AMARAL</t>
  </si>
  <si>
    <t>(77)  9 9901-9024</t>
  </si>
  <si>
    <t>ANTÔNIO EUGÊNIO DA SILVA</t>
  </si>
  <si>
    <t>COLÉGIO ESTADUAL DE TEMPO INTEGRAL PINTO DE AGUIAR</t>
  </si>
  <si>
    <t>(77) 3677-2496</t>
  </si>
  <si>
    <t>DOUTOR ARTHUR COUTO - SN(00205)</t>
  </si>
  <si>
    <t>8 (sendo 07 como salas de aula e 01 adaptada para sala de leitura)</t>
  </si>
  <si>
    <t>-12.916200539378243, -38.36161266061774</t>
  </si>
  <si>
    <t>GENERAL BRÁULIO GUIMARÃES - 53</t>
  </si>
  <si>
    <t>ARMAÇÃO</t>
  </si>
  <si>
    <t>ANEXO - COLEGIO ESTADUAL ANTONIO CARLOS MAGALHAES - DISTRITO DE RIO DA CAIXA</t>
  </si>
  <si>
    <t>-12.986394576962692, -38.43794193577167</t>
  </si>
  <si>
    <t>COLEGIO ESTADUAL DE TEMPO INTEGRAL PAULO FREIRE</t>
  </si>
  <si>
    <t>SAN MARTIN AV. - SN(00229)</t>
  </si>
  <si>
    <t>-12.948068774492523, -38.4788449569533</t>
  </si>
  <si>
    <t>COLEGIO ESTADUAL DO CAMPO DE IBIPITANGA - ANTIGA UEE LUCIA CORREIA</t>
  </si>
  <si>
    <t>COLÉGIO ESTADUAL DE TEMPO INTEGRAL NELSON MANDELA</t>
  </si>
  <si>
    <t>RUA DOUTOR ALMEIDA - 00001</t>
  </si>
  <si>
    <t>LENILSON CHAVES DE ARAÚJO MIRANDA</t>
  </si>
  <si>
    <t>(77) 9 9136-9046</t>
  </si>
  <si>
    <t>NILZA RITA DE OLIVEIRA</t>
  </si>
  <si>
    <t>-12.867092505241713, -38.47198674197073</t>
  </si>
  <si>
    <t>(77) 9 8144-1299</t>
  </si>
  <si>
    <t>RAMON VITOR OLIVEIRA</t>
  </si>
  <si>
    <t>(77) 9 9115-4990</t>
  </si>
  <si>
    <t>(77) 3674-2373</t>
  </si>
  <si>
    <t>COLÉGIO ESTADUAL DE TEMPO INTEGRAL MINISTRO ALIOMAR BALEEIRO</t>
  </si>
  <si>
    <t>RUA SATURNO - SN(00435)</t>
  </si>
  <si>
    <t>-12.965871871683799, -38.4606237857671</t>
  </si>
  <si>
    <t>COLÉGIO ESTADUAL DE TEMPO INTEGRAL MESTRE PAULO DOS ANJOS</t>
  </si>
  <si>
    <t>TANCREDO NEVES - SN(00001)</t>
  </si>
  <si>
    <t>BAIRRO DA PAZ</t>
  </si>
  <si>
    <t>-12.937752381358711, -38.38106886191261</t>
  </si>
  <si>
    <t>COLÉGIO ESTADUAL DE TEMPO INTEGRAL MARIO COSTA NETO</t>
  </si>
  <si>
    <t>ENGENHEIRO JAIME ZAVERUCHA - SN(00096)</t>
  </si>
  <si>
    <t>-12.980177244050392, -38.51016295618136</t>
  </si>
  <si>
    <t>COLÉGIO ESTADUAL DE TEMPO INTEGRAL MANOEL DEVOTO</t>
  </si>
  <si>
    <t>OSWALDO CRUZ - S/N</t>
  </si>
  <si>
    <t>-13.011847136838702, -38.4825553134308</t>
  </si>
  <si>
    <t>COLÉGIO ESTADUAL DE TEMPO INTEGRAL JOSÉ DIAS DE SALES - JARDIM CAJAZEIRAS 
(ANTIGO COLÉGIO ESTADUAL DEPUTADO ROGÉRIO RÊGO)</t>
  </si>
  <si>
    <t>R. LUCIANO GOMES, 126A - JARDIM CAJAZEIRAS, SALVADOR - BA</t>
  </si>
  <si>
    <t>JARDIM CAJAZEIRAS</t>
  </si>
  <si>
    <t>-12.918696123691003, -38.449277217885836</t>
  </si>
  <si>
    <t>COLÉGIO ESTADUAL DE TEMPO INTEGRAL HELENA MAGALHÃES</t>
  </si>
  <si>
    <t>DIRETA DE TANCREDO NEVES - S/N</t>
  </si>
  <si>
    <t>-12.944064693586675, -38.44907246301268</t>
  </si>
  <si>
    <t>COLÉGIO ESTADUAL DE TEMPO INTEGRAL HEITOR VILLA LOBOS</t>
  </si>
  <si>
    <t>THEODULO DE ALBUQUERQUE - SN(00457)</t>
  </si>
  <si>
    <t>-12.954653704334214, -38.44070304487421</t>
  </si>
  <si>
    <t>COLÉGIO ESTADUAL DE TEMPO INTEGRAL GOVERNADOR ROBERTO SANTOS</t>
  </si>
  <si>
    <t>SILVEIRA MARTINS - SN(01287)</t>
  </si>
  <si>
    <t>-12.957422711671061, -38.45471632594589</t>
  </si>
  <si>
    <t>COLÉGIO ESTADUAL DE TEMPO INTEGRAL EVARISTO DA VEIGA</t>
  </si>
  <si>
    <t>JARDIM BOTÂNICO - 393</t>
  </si>
  <si>
    <t>-13.005512439539865, -38.50286491053846</t>
  </si>
  <si>
    <t>COLÉGIO ESTADUAL DE TEMPO INTEGRAL EDVALDO BRANDÃO CORREIA</t>
  </si>
  <si>
    <t>QUADRA 3, CAMINHO 1 - SN(00203)</t>
  </si>
  <si>
    <t>CAJAZEIRAS IV</t>
  </si>
  <si>
    <t>-12.898157257593226, -38.42351840025524</t>
  </si>
  <si>
    <t>COLÉGIO ESTADUAL DE TEMPO INTEGRAL EDUARDO BAHIANA</t>
  </si>
  <si>
    <t>ESTRADA DO COQUEIRO GRANDE - JAGUARIPE - S/N</t>
  </si>
  <si>
    <t>FAZENDA GRANDE III</t>
  </si>
  <si>
    <t>-12.904476424151, -38.4064759542342</t>
  </si>
  <si>
    <t>COLÉGIO ESTADUAL DE TEMPO INTEGRAL EDGARD SANTOS</t>
  </si>
  <si>
    <t>RUA PREDILIANO PITA - 019</t>
  </si>
  <si>
    <t>GARCIA</t>
  </si>
  <si>
    <t>-12.993935365151282, -38.5117809155484</t>
  </si>
  <si>
    <t>RUA LIMA E SILVA - SN(00415)</t>
  </si>
  <si>
    <t>-12.947868709082327, -38.493690575398695</t>
  </si>
  <si>
    <t>COLÉGIO ESTADUAL DE TEMPO INTEGRAL DOM AVELAR BRANDÃO VILELA</t>
  </si>
  <si>
    <t>RUA MELO MORAIS FILHO - 00410</t>
  </si>
  <si>
    <t>-12.939613048948933, -38.480564799336825</t>
  </si>
  <si>
    <t xml:space="preserve"> ELIZETE COTRIM MEIRA ABREU</t>
  </si>
  <si>
    <t>(77) 9 9951-2415</t>
  </si>
  <si>
    <t>COLÉGIO ESTADUAL DE TEMPO INTEGRAL DINAH GONÇALVES</t>
  </si>
  <si>
    <t>ENGENHEIRO ANTÔNIO FRANCO - 328</t>
  </si>
  <si>
    <t>-12.877258548955428, -38.43986372558719</t>
  </si>
  <si>
    <t>COLÉGIO ESTADUAL DE TEMPO INTEGRAL DE PRAIA GRANDE</t>
  </si>
  <si>
    <t>(BAIRRO: PARIPE)</t>
  </si>
  <si>
    <t>-12.869269622830796, -38.47351032097944</t>
  </si>
  <si>
    <t>COLEGIO ESTADUAL CONEGO FIRMINO SOARES</t>
  </si>
  <si>
    <t>ADRIANA PEREIRA OLIVEIRA</t>
  </si>
  <si>
    <t>(77) 9 9963-6340</t>
  </si>
  <si>
    <t>(77) 3473-2316</t>
  </si>
  <si>
    <t>COLÉGIO ESTADUAL DE TEMPO INTEGRAL BATISTA NEVES</t>
  </si>
  <si>
    <t>QUADRA 5 - URBIS - SN(00548)</t>
  </si>
  <si>
    <t>-12.892355390092638, -38.42265841743499</t>
  </si>
  <si>
    <t xml:space="preserve">COLÉGIO ESTADUAL DE TEMPO INTEGRAL BARROS BARRETO </t>
  </si>
  <si>
    <t>R. DR. EDUARDO DOTTO, S/N - PARIPE, SALVADOR - BA, BRASIL
 (BAIRRO: PARIPE)</t>
  </si>
  <si>
    <t>-12.839804746506466, -38.47258562661328</t>
  </si>
  <si>
    <t>TEOTONIO DA SILVA FERREIRA</t>
  </si>
  <si>
    <t>(77) 9 9867-2846/9 9800-4024</t>
  </si>
  <si>
    <t>ANTONIO SANTOS XAVIER</t>
  </si>
  <si>
    <t xml:space="preserve"> (77) 9 9126-0099</t>
  </si>
  <si>
    <t>LUCELIO DA CONCEICAO MATOS</t>
  </si>
  <si>
    <t>(77) 9 9955-2047</t>
  </si>
  <si>
    <t>(77) 3473-2319</t>
  </si>
  <si>
    <t>COLÉGIO ESTADUAL DE TEMPO INTEGRAL  LUIZ VIANA</t>
  </si>
  <si>
    <t>RUA WALDEMAR FALCAO - 07</t>
  </si>
  <si>
    <t>-12.991710604691507, -38.484150150936955</t>
  </si>
  <si>
    <t>COLÉGIO ESTADUAL DE PLATAFORMA</t>
  </si>
  <si>
    <t>RUA NOVA BRASILIA - 320</t>
  </si>
  <si>
    <t>-12.899855336125713, -38.48717439052109</t>
  </si>
  <si>
    <t>COLÉGIO ESTADUAL DE NOVA ESPERANCA</t>
  </si>
  <si>
    <t>DA VITÓRIA DA CEASA - SN(00005)</t>
  </si>
  <si>
    <t>CIA</t>
  </si>
  <si>
    <t>-12.833936100824722, -38.377622006634105</t>
  </si>
  <si>
    <t>COLÉGIO ESTADUAL DE APLICACAO ANISIO TEIXEIRA</t>
  </si>
  <si>
    <t>DA MURIÇOCA - SN(00228)</t>
  </si>
  <si>
    <t>PARALELA</t>
  </si>
  <si>
    <t>-12.93763456889222, -38.4155475847362</t>
  </si>
  <si>
    <t>COLÉGIO ESTADUAL DAVID MENDES PEREIRA</t>
  </si>
  <si>
    <t>CONDOMINIO COLINAS DO MAR RUA VIA B1 - SN(00049)</t>
  </si>
  <si>
    <t>COLÉGIO ESTADUAL DANTAS JUNIOR</t>
  </si>
  <si>
    <t>LADEIRA DOS FIAIS - SN(00159)</t>
  </si>
  <si>
    <t>LARGO DO TANQUE</t>
  </si>
  <si>
    <t>-12.936499855141012, -38.490677436334856</t>
  </si>
  <si>
    <t>COLÉGIO ESTADUAL DANIEL LISBOA</t>
  </si>
  <si>
    <t>ARTUR GONZALEZ - 00181</t>
  </si>
  <si>
    <t>ALUGADO (R$ 60.690.24)</t>
  </si>
  <si>
    <t>-12.92184645475606, -38.44483559051589</t>
  </si>
  <si>
    <t>COLÉGIO ESTADUAL DALVA MATOS - TEMPO INTEGRAL</t>
  </si>
  <si>
    <t>ATERRO JOANES CENTRO OESTE,- SN(00474)</t>
  </si>
  <si>
    <t>-12.923016682585889, -38.49111263302057</t>
  </si>
  <si>
    <t>COLÉGIO ESTADUAL DA BAHIA CENTRAL</t>
  </si>
  <si>
    <t>PRACA CARNEIRO RIBEIRO - SN(00115)</t>
  </si>
  <si>
    <t>NAZARÉ</t>
  </si>
  <si>
    <t>-12.98107605126703, -38.511333888864826</t>
  </si>
  <si>
    <t>ANOZIDES ROSA DE MACEDO OLIVEIRA</t>
  </si>
  <si>
    <t>(77) 9 9964-6496</t>
  </si>
  <si>
    <t>COLÉGIO ESTADUAL COSME DE FARIAS</t>
  </si>
  <si>
    <t>RUA WENCESLAU GALO - SN(01152)</t>
  </si>
  <si>
    <t>COSME DE FARIAS</t>
  </si>
  <si>
    <t>-12.980991269921304, -38.488908715584564</t>
  </si>
  <si>
    <t>COLEGIO ESTADUAL DE PARAMIRIM</t>
  </si>
  <si>
    <t>COLÉGIO ESTADUAL CONSELHEIRO VICENTE PACHECO DE OLIVEIRA - TEMPO INTEGRAL</t>
  </si>
  <si>
    <t>RUA DAS PAULINAS - SN(00372)</t>
  </si>
  <si>
    <t>DOM AVELAR</t>
  </si>
  <si>
    <t>AGNALDO DUARTE DA SILVA</t>
  </si>
  <si>
    <t>-12.903476627552665, -38.44942561743501</t>
  </si>
  <si>
    <t>(77) 9 9996-5070</t>
  </si>
  <si>
    <t>APARECIDA DA SILVA SOUZA</t>
  </si>
  <si>
    <t>(77) 9 9954-1975</t>
  </si>
  <si>
    <t>(77) 3471-2455</t>
  </si>
  <si>
    <t>COLÉGIO ESTADUAL CLERISTON ANDRADE</t>
  </si>
  <si>
    <t>RUA RIO SERGIMIRIM, SN - SN(03500)</t>
  </si>
  <si>
    <t>ITACARANHA</t>
  </si>
  <si>
    <t>-12.88659346711588, -38.48189035976392</t>
  </si>
  <si>
    <t>ANEXO - COLEGIO ESTADUAL DE PARAMIRIM - DISTRITO DE CARAIBAS</t>
  </si>
  <si>
    <t>COLÉGIO ESTADUAL CLARICE SANTIAGO DOS SANTOS - ANTIGO COLÉGIO ESTADUAL DEPUTADO LUIS EDUARDO MAGALHAES</t>
  </si>
  <si>
    <t>RUA MANOEL RUFINO - S/N</t>
  </si>
  <si>
    <t>ARENOSO</t>
  </si>
  <si>
    <t>-12.949019379030961, -38.443825890448316</t>
  </si>
  <si>
    <t>COLÉGIO ESTADUAL CIDADE DE CURITIBA</t>
  </si>
  <si>
    <t>RUA PADRE LUIS FILGUEIRAS - SN(00366)</t>
  </si>
  <si>
    <t>COLEGIO ESTADUAL PAULO VI</t>
  </si>
  <si>
    <t>-12.990196357913586, -38.49932777787555</t>
  </si>
  <si>
    <t>LIEGE DE CÁSSIA RAMOS SILVA</t>
  </si>
  <si>
    <t>(77) 9 9176-4617/ 9 9171-2176</t>
  </si>
  <si>
    <t>CARLOS ROBERTO SILVA</t>
  </si>
  <si>
    <t>(77) 9 9213-8873</t>
  </si>
  <si>
    <t>(077) 3693-2130</t>
  </si>
  <si>
    <t>COLÉGIO ESTADUAL CESARE CASALI - EM TEMPO INTEGRAL</t>
  </si>
  <si>
    <t>PIRAJÁ - VL 3</t>
  </si>
  <si>
    <t>-12.892877190615529, -38.45600388674992</t>
  </si>
  <si>
    <t>COLÉGIO ESTADUAL CELIA MATA PIRES</t>
  </si>
  <si>
    <t>RUA DIRETA DO SANTO INACIO - SN(00083)</t>
  </si>
  <si>
    <t>-12.927007867950937, -38.46084374442087</t>
  </si>
  <si>
    <t>COLEGIO ESTADUAL DO CAMPO DE IBIAJARA - DISTRITO DE IBIAJARA</t>
  </si>
  <si>
    <t xml:space="preserve">WASHINGTON LUIZ DE ARAUJO </t>
  </si>
  <si>
    <t>(77) 9 9957-1834 ZAP   (77) 3693-5072 RES</t>
  </si>
  <si>
    <t>COLÉGIO ESTADUAL BRIGADEIRO EDUARDO GOMES</t>
  </si>
  <si>
    <t>(77) 3693-5143</t>
  </si>
  <si>
    <t>RUA SAO GERALDO - 24</t>
  </si>
  <si>
    <t>MATATU</t>
  </si>
  <si>
    <t>06 +  1 (Adapt)</t>
  </si>
  <si>
    <t>-12.975142708639488, -38.491702273255804</t>
  </si>
  <si>
    <t>COLÉGIO ESTADUAL BENTO GONÇALVES</t>
  </si>
  <si>
    <t>RUA MELO MORAIS FILHO - 00536</t>
  </si>
  <si>
    <t>-12.935948316541477, -38.48259973092774</t>
  </si>
  <si>
    <t>COLÉGIO ESTADUAL AZEVEDO FERNANDES</t>
  </si>
  <si>
    <t>PRACA JOSE DE ALENCAR - 00011</t>
  </si>
  <si>
    <t>PELOURINHO</t>
  </si>
  <si>
    <t>-12.971326104310027, -38.508208415584534</t>
  </si>
  <si>
    <t>COLÉGIO ESTADUAL ASSIS CHATEAUBRIAND</t>
  </si>
  <si>
    <t>GERSON DE CARVALHO - S/N</t>
  </si>
  <si>
    <t>-12.93411585293675, -38.48019553601166</t>
  </si>
  <si>
    <t>COLÉGIO ESTADUAL ARTUR DE SALES</t>
  </si>
  <si>
    <t>DE CAMPINAS - SN(00012)</t>
  </si>
  <si>
    <t>CAMPINAS DE PIRAJÁ</t>
  </si>
  <si>
    <t>-12.913225485021425, -38.46577431937233</t>
  </si>
  <si>
    <t>COLÉGIO ESTADUAL ANTONIO CARLOS MAGALHÃES</t>
  </si>
  <si>
    <t>RUA PADRE ELOI - SN(00384)</t>
  </si>
  <si>
    <t>COLEGIO ESTADUAL DE BRUMADO</t>
  </si>
  <si>
    <t>OGUNJA</t>
  </si>
  <si>
    <t>AV DR GUILHERME DIAS - 00280</t>
  </si>
  <si>
    <t>VANUSIA CAIRES RIZERIO</t>
  </si>
  <si>
    <t>(77) 9 9941-4450</t>
  </si>
  <si>
    <t>CESAR LEONARDO MOREIRA FERRAZ</t>
  </si>
  <si>
    <t>(77) 9 9936-4195</t>
  </si>
  <si>
    <t>CRISTIANE VIEIRA COSTA ABREU</t>
  </si>
  <si>
    <t>(77) 9 9956-0531</t>
  </si>
  <si>
    <t>(77) 3441-3604</t>
  </si>
  <si>
    <t xml:space="preserve">22 ( Sendo 21 como salas de aula, e 01 adaptada para sala multifuncional) </t>
  </si>
  <si>
    <t>COLÉGIO ESTADUAL ANFRISIA SANTIAGO - TEMPO INTEGRAL</t>
  </si>
  <si>
    <t>AVENIDA AFRANIO PEIXOTO - SN(00780)</t>
  </si>
  <si>
    <t>-12.847676665849326, -38.47305227325748</t>
  </si>
  <si>
    <t xml:space="preserve">COLÉGIO ESTADUAL ANA NERY
</t>
  </si>
  <si>
    <t>AVENIDA DIVINO ESPIRITO SANTO DO SALVADO, Nº S/N</t>
  </si>
  <si>
    <t xml:space="preserve"> EMANOELA DE SOUZA SILVA</t>
  </si>
  <si>
    <t>(77) 9 9997-1474</t>
  </si>
  <si>
    <t>SERGIANA ALVES CANGUSCU MIRANDA</t>
  </si>
  <si>
    <t>-13.010708901776262, -38.499967671873115</t>
  </si>
  <si>
    <t xml:space="preserve"> (77) 9 9997-1661</t>
  </si>
  <si>
    <t>(77) 3441-5066/5044</t>
  </si>
  <si>
    <t>COLÉGIO ESTADUAL ANA CRISTINA PRAZERES MATA PIRES</t>
  </si>
  <si>
    <t>RUA CAMBOJA - S/N</t>
  </si>
  <si>
    <t>-12.854549372447458, -38.47047795976422</t>
  </si>
  <si>
    <t>COLÉGIO ESTADUAL ANA BERNARDES</t>
  </si>
  <si>
    <t>GERALDO MARQUES DA  SILVA</t>
  </si>
  <si>
    <t>VIA LOCAL C-2 - SN(01924)</t>
  </si>
  <si>
    <t>(77) 9 8135-8416</t>
  </si>
  <si>
    <t>GERALDA</t>
  </si>
  <si>
    <t>(77) 9 8115-9916</t>
  </si>
  <si>
    <t>-12.89319970759285, -38.43011590024287</t>
  </si>
  <si>
    <t>COLÉGIO ESTADUAL ALMIRANTE BARROSO</t>
  </si>
  <si>
    <t>ALMIRANTE TAMANDARÉ - SN(00420)</t>
  </si>
  <si>
    <t>-12.841465083569169, -38.464486517435866</t>
  </si>
  <si>
    <t>EXPEDITO JOSE DOS SANTOS FILHO</t>
  </si>
  <si>
    <t>(77) 9 8142-6000</t>
  </si>
  <si>
    <t>CARLOS ALESSANDRO ALVES XAVIER</t>
  </si>
  <si>
    <t>(77) 9 8117-5446</t>
  </si>
  <si>
    <t>LUCAS CARVALHO BRITO</t>
  </si>
  <si>
    <t>(77) 3455-1132</t>
  </si>
  <si>
    <t>COLÉGIO ESTADUAL ALÍPIO FRANCA</t>
  </si>
  <si>
    <t>AV BONFIM - 0200</t>
  </si>
  <si>
    <t>-12.926959666307258, -38.50793645976334</t>
  </si>
  <si>
    <r>
      <rPr>
        <rFont val="Calibri"/>
        <color theme="1"/>
        <sz val="11.0"/>
      </rPr>
      <t>COLÉGIO ESTADUAL ALFREDO MAGALHAES</t>
    </r>
    <r>
      <rPr>
        <rFont val="Tahoma"/>
        <color rgb="FF000000"/>
        <sz val="6.0"/>
      </rPr>
      <t> </t>
    </r>
  </si>
  <si>
    <t>RUA IPIRA - SN(00487)</t>
  </si>
  <si>
    <t>-13.002775637299024, -38.48690126996396</t>
  </si>
  <si>
    <t>ANEXO - COLEGIO ESTADUAL NORBERTO FERNANDES - DISTRITO DE VARZEA GRANDE</t>
  </si>
  <si>
    <t>COLÉGIO ESTADUAL ALBERTO VALENCA - TEMPO INTEGRAL</t>
  </si>
  <si>
    <t>RUA MILTON GOMES COSTA - 125</t>
  </si>
  <si>
    <t>SAO GONCALO</t>
  </si>
  <si>
    <t>-12.947450733308957, -38.46848891743433</t>
  </si>
  <si>
    <t>AV. ANISIO TEIXEIRA - SN(00170)</t>
  </si>
  <si>
    <t>COLÉGIO ESTADUAL ALBERTO SANTOS DUMONT</t>
  </si>
  <si>
    <t>RUA OITO DE NOVEMBRO - SN(00059)</t>
  </si>
  <si>
    <t>JUDITE MARIA DE SOUZA AZEVEDO CORREIA PEREIRA</t>
  </si>
  <si>
    <t>(77) 9 9110-5133</t>
  </si>
  <si>
    <t>-12.901049630805224, -38.46445171182224</t>
  </si>
  <si>
    <t>ALEXANDRA VALERIA FLORA GAMA (ASSUMINDO A DIREÇÃO ATÉ ENTÃO)</t>
  </si>
  <si>
    <t>(77) 9 9994-3026</t>
  </si>
  <si>
    <t>(77) 3454-1755/1041/2408</t>
  </si>
  <si>
    <t>COLÉGIO DA POLICIA MILITAR - CPM LUIZ TARQUINIO</t>
  </si>
  <si>
    <t>RUA POLÍDORO BITTENCURT - SN(00131)</t>
  </si>
  <si>
    <t>BOA VIAGEM</t>
  </si>
  <si>
    <t>-12.930788699346039, -38.51137853467335</t>
  </si>
  <si>
    <t>PRAÇA DA BANDEIRA - SN(00070)</t>
  </si>
  <si>
    <t>JOSÉ ORLANDO DIAS CARDOSO</t>
  </si>
  <si>
    <t>(77) 9 9107-5188</t>
  </si>
  <si>
    <t>JADIEL NEVES JUNQUEIRA</t>
  </si>
  <si>
    <t>(77) 9 9959-9196</t>
  </si>
  <si>
    <t>COLÉGIO DA POLICIA MILITAR - CPM LOBATO</t>
  </si>
  <si>
    <t>ANA VIRGINIA RODRIGUES DE FREITAS SANTOS</t>
  </si>
  <si>
    <t>AVENIDA PENISULA DO JOANES - SN(00251)</t>
  </si>
  <si>
    <t>(77) 9 9976-1918</t>
  </si>
  <si>
    <t>(77) 3454-2973</t>
  </si>
  <si>
    <t>16 (Sendo 15 como salas de aula e 01 adaptada para biblioteca)</t>
  </si>
  <si>
    <t>COLÉGIO DA POLÍCIA MILITAR - CPM JOÃO FLORÊNCIO GOMES</t>
  </si>
  <si>
    <t>AVENIDA BEIRA MAR - 00481</t>
  </si>
  <si>
    <t>-12.912123254465527, -38.49704912669118</t>
  </si>
  <si>
    <t>COLEGIO ESTADUAL DO CAMPO PEDRO ATANASIO GARCIA - DISTRITO DE MANIACU -EM TEMPO INTEGRAL</t>
  </si>
  <si>
    <t>DEYVIS NASCIMENTO RODRIGUES</t>
  </si>
  <si>
    <t>(77) 9 9167-5432</t>
  </si>
  <si>
    <t>JOSIANE RODRIGUES PEREIRA XAVIER</t>
  </si>
  <si>
    <t>(77) 9 9964-6253</t>
  </si>
  <si>
    <t>(77)3495-4027
 (77)3495-4213</t>
  </si>
  <si>
    <t>COLÉGIO DA POLICIA MILITAR - CPM DONA LEONOR CALMON</t>
  </si>
  <si>
    <t>CONJ. FAZENA GRANDE II - JAGUARIPE - S/N</t>
  </si>
  <si>
    <t>-12.904742668085175, -38.40674605856738</t>
  </si>
  <si>
    <t>COLÉGIO DA POLICIA MILITAR - CPM DENDEZEIROS</t>
  </si>
  <si>
    <t>AVENIDA ANISIO TEIXEIRA - SN(00916)</t>
  </si>
  <si>
    <t>AVENIDA BONFIM - SN(00086)</t>
  </si>
  <si>
    <t>-12.932792353413166, -38.51091470881509</t>
  </si>
  <si>
    <t>HEYDHIRENA GOMES DE CARVALHO SILVA SANTOS</t>
  </si>
  <si>
    <t>(77) 9 9973-8281</t>
  </si>
  <si>
    <t>ANA FARIAS COSTA SILVA</t>
  </si>
  <si>
    <t>(77) 9 9131-8972</t>
  </si>
  <si>
    <t>ELAINE CRISTINA TINTI</t>
  </si>
  <si>
    <t>(77) 9 8112-3636</t>
  </si>
  <si>
    <t>(77) 3454-4027/4024</t>
  </si>
  <si>
    <t>CENTRO JUVENIL DE CIENCIA E CULTURA - CJCC CENTRAL</t>
  </si>
  <si>
    <t>JOANA ANGÉLICA N SN(00012)  CEP: 40040455</t>
  </si>
  <si>
    <t>-12.980835105797349, -38.511414757913336</t>
  </si>
  <si>
    <t>CENTRO ESTADUAL DE EDUCAÇÃO, INOVAÇÃO E FORMAÇÃO DA BAHIA - CEEINFOR - MÃE STELLA</t>
  </si>
  <si>
    <t>R. CRISTIANO BUYS, 281-257 - PERNAMBUÉS</t>
  </si>
  <si>
    <t>FRANCELY DA SILVA OLIVEIRA</t>
  </si>
  <si>
    <t>(77) 9 9941-9034</t>
  </si>
  <si>
    <t>-12.962568059591632, -38.47293588601958</t>
  </si>
  <si>
    <t>FERNANDA SILVA SOARES GUANAES</t>
  </si>
  <si>
    <t>(77) 9 9145-9594</t>
  </si>
  <si>
    <t>(77) 3454-4081/ 4178</t>
  </si>
  <si>
    <t>CENTRO ESTADUAL DE EDUCACAO PROFISSIONAL FORMACAO E EVENTOS ISAIAS ALVES</t>
  </si>
  <si>
    <r>
      <rPr>
        <rFont val="Calibri"/>
        <b/>
        <color theme="1"/>
        <sz val="11.0"/>
      </rPr>
      <t xml:space="preserve"> 26 (</t>
    </r>
    <r>
      <rPr>
        <rFont val="Calibri"/>
        <b/>
        <color rgb="FFFF0000"/>
        <sz val="11.0"/>
      </rPr>
      <t>sendo, 24 salas de aula,</t>
    </r>
    <r>
      <rPr>
        <rFont val="Calibri"/>
        <b/>
        <color theme="1"/>
        <sz val="11.0"/>
      </rPr>
      <t xml:space="preserve"> 01 adaptada para laboratório de informática, 01 para sala de AEE)</t>
    </r>
  </si>
  <si>
    <t>PRACA DO BARBALHO - SN(01310)</t>
  </si>
  <si>
    <t>BARBALHO</t>
  </si>
  <si>
    <t>-12.966317247757791, -38.50067587533465</t>
  </si>
  <si>
    <t>ANEXO-COMPLEXO INTEGRADO DE EDUCACAO DE CAETITE - CIE DE CAETITE - DISTRITO BREJINHO DAS AMETISTAS</t>
  </si>
  <si>
    <t>CENTRO ESTADUAL DE EDUCAÇÃO PROFISSIONAL EMPREENDE BAHIA</t>
  </si>
  <si>
    <t>AVENIDA OSCAR PONTES - S/N</t>
  </si>
  <si>
    <t>AGUA DE MENINOS</t>
  </si>
  <si>
    <t>-12.94864070262112, -38.5020218020919</t>
  </si>
  <si>
    <t>PARA - 264</t>
  </si>
  <si>
    <t>NORDESTE DE AMARALINA</t>
  </si>
  <si>
    <t>-13.004767205792893, -38.46750440860048</t>
  </si>
  <si>
    <t>COLEGIO ESTADUAL ANTONIO BATISTA - TEMPO INTEGRAL</t>
  </si>
  <si>
    <t>VALDIMIR PEREIRA REIS</t>
  </si>
  <si>
    <t>(77) 9 8140-4513</t>
  </si>
  <si>
    <t>MARIA DO AMPARO OLIVEIRA BRITO</t>
  </si>
  <si>
    <t>(77) 9 8115-4741</t>
  </si>
  <si>
    <t>MARIA CECILIA DA SILVA DOMINGUES</t>
  </si>
  <si>
    <t>(77) 9 8142-8140</t>
  </si>
  <si>
    <t>(77) 3661-2318</t>
  </si>
  <si>
    <t xml:space="preserve">10+2 (O espaço de leitura e  os laboratórios de ciencias e informatica estão sendo utilizadas como salas de aula) </t>
  </si>
  <si>
    <t>CENTRO ESTADUAL DE EDUCAÇÃO PROFISSIONAL EM SAÚDE ANÍSIO TEIXEIRA</t>
  </si>
  <si>
    <t>-12.960680225238752, -38.49518471558485</t>
  </si>
  <si>
    <t>CENTRO ESTADUAL DE EDUCACAO PROFISSIONAL EM MUSICA</t>
  </si>
  <si>
    <t>RUA ARAÚJO PINHO, Nº 30</t>
  </si>
  <si>
    <t>-12.992788120217918, -38.52165738810251</t>
  </si>
  <si>
    <t>COLEGIO ESTADUAL DOUTOR LUIZ EDSON DE GOUVEIA</t>
  </si>
  <si>
    <t>JOCELMO SILVA SANTOS</t>
  </si>
  <si>
    <t>(77) 9 9136-9187</t>
  </si>
  <si>
    <t>(77) 3416-2270</t>
  </si>
  <si>
    <t xml:space="preserve">4 ( Sendo 3 utilizadas como salas de aula e 1 como sala multiuso) </t>
  </si>
  <si>
    <t>CENTRO ESTADUAL DE EDUCACAO PROFISSIONAL EM LOGISTICA E TRANSPORTE LUIZ PINTO DE CARVALHO</t>
  </si>
  <si>
    <t>PRACA ANA MARIANI BITTENCOURT - S/N</t>
  </si>
  <si>
    <t>-12.934714162842159, -38.47649048859898</t>
  </si>
  <si>
    <t>COLEGIO ESTADUAL MANOEL FRANCISCO DE CAIRES - EM TEMPO INTEGRAL</t>
  </si>
  <si>
    <t>PRACA SENHOR DO BONFIM - 00172</t>
  </si>
  <si>
    <t>CENTRO ESTADUAL DE EDUCACAO PROFISSIONAL EM GESTAO SEVERINO VIEIRA</t>
  </si>
  <si>
    <t>JOANA ANGÉLICA - 00253</t>
  </si>
  <si>
    <t>-12.975880236041457, -38.50182045635025</t>
  </si>
  <si>
    <t>ANA APARECIDA PINHEIRO DA SILVA</t>
  </si>
  <si>
    <t>(77) 9 9192-9658</t>
  </si>
  <si>
    <t>ALISSON FLORES CAIRES</t>
  </si>
  <si>
    <t>(77) 9 9118-0459/9 9931-8247</t>
  </si>
  <si>
    <t>(77) 3448-2221</t>
  </si>
  <si>
    <t>CENTRO ESTADUAL DE EDUCACAO PROFISSIONAL EM GESTAO NEGOCIOS E TURISMO LUIZ NAVARRO DE BRITO</t>
  </si>
  <si>
    <t>RUA DO QUEIMADINHO - S/N</t>
  </si>
  <si>
    <t>LAPINHA</t>
  </si>
  <si>
    <t>-12.954492531706022, -38.497651507237514</t>
  </si>
  <si>
    <t>CENTRO ESTADUAL DE EDUCACAO PROFISSIONAL EM CONTROLE E PROCESSOS INDUSTRIAIS NEWTON SUCUPIRA</t>
  </si>
  <si>
    <t>RUA M , SETOR F - SN(01343)</t>
  </si>
  <si>
    <t>-12.912526106249507, -38.367925091931596</t>
  </si>
  <si>
    <t>ROSELI DE CARVALHO MAGALHAES ROCHA</t>
  </si>
  <si>
    <t>(77) 9 8808-4233/9 9174-4578</t>
  </si>
  <si>
    <t>ERISMAR LUIS DA SILVA SOUZA</t>
  </si>
  <si>
    <t>(77) 3451-5646</t>
  </si>
  <si>
    <t>CENTRO ESTADUAL DE EDUCACAO PESTALOZZI DA BAHIA</t>
  </si>
  <si>
    <t>RUA ADEMAR DE BARROS - SN(00007)</t>
  </si>
  <si>
    <t>-13.00572741846103, -38.5088048410153</t>
  </si>
  <si>
    <t>COLEGIO ESTADUAL GOVERNADOR LUIZ VIANA FILHO - TEMPO INTEGRAL</t>
  </si>
  <si>
    <t>IOLANDA CARLOS NOGUEIRA MEIRA</t>
  </si>
  <si>
    <t>(77) 9 9986-1955</t>
  </si>
  <si>
    <t>CLERIA ROZANE MONTALVAO SANTOS</t>
  </si>
  <si>
    <t>(77) 9 9130-9194</t>
  </si>
  <si>
    <t>ERLON ASSUNCAO WANDENKOLK ALVES</t>
  </si>
  <si>
    <t>(77) 9 9953-9078</t>
  </si>
  <si>
    <t>(77) 3451-1137</t>
  </si>
  <si>
    <t>23 (Sendo 17 como salas de aula, 01 adaptada para Projeto Educa Mais, 04 salas de atendimento educacional especializado - AEE)</t>
  </si>
  <si>
    <t>CENTRO EDUCACIONAL CARNEIRO RIBEIRO - ESCOLA PARQUE</t>
  </si>
  <si>
    <t>SALDANHA MARINHO N 134  - CEP: 40323010</t>
  </si>
  <si>
    <t>-12.957609728514543, -38.492157697146155</t>
  </si>
  <si>
    <t>COLEGIO ESTADUAL DO CAMPO DE MUTÃS -DISTRITO DE MUTANS</t>
  </si>
  <si>
    <t>CENTRO EDUCACIONAL CARNEIRO RIBEIRO - CLASSE IV</t>
  </si>
  <si>
    <t>RUA SALDANHA MARINHO - 194</t>
  </si>
  <si>
    <t>EURIDES PEREIRA DOS SANTOS</t>
  </si>
  <si>
    <t>(77) 9 9805-8605</t>
  </si>
  <si>
    <t>-12.958308023148444, -38.49064213092731</t>
  </si>
  <si>
    <t>EDIVALDA DA SILVA DOMINGUES LOPES</t>
  </si>
  <si>
    <t>(77) 9 9857-3437</t>
  </si>
  <si>
    <t>(77) 3493-3033</t>
  </si>
  <si>
    <t>6 (Sendo 05 como salas de aula e 01 adaptada para multimídia)</t>
  </si>
  <si>
    <t>CENTRO EDUCACIONAL CARNEIRO RIBEIRO - CLASSE III</t>
  </si>
  <si>
    <t>RUA MARQUES DE MARICA - 00195</t>
  </si>
  <si>
    <t>-12.960816673534795, -38.4817096146959</t>
  </si>
  <si>
    <t>CLAUDIANA LIMA TEIXEIRA</t>
  </si>
  <si>
    <t>(77) 9 9103-4508</t>
  </si>
  <si>
    <t>MARLA ARAUJO PIMENTEL NEVES</t>
  </si>
  <si>
    <t>(77) 9 9828-5656</t>
  </si>
  <si>
    <t>CENTRO EDUCACIONAL CARNEIRO RIBEIRO - CLASSE II</t>
  </si>
  <si>
    <t>EDENICE DA SILVA TORRES</t>
  </si>
  <si>
    <t>RUA VITOR SERRA - SN(00526)</t>
  </si>
  <si>
    <t>(77) 9 9136-6042</t>
  </si>
  <si>
    <t>PERO VAZ</t>
  </si>
  <si>
    <t>(77) 3451-5096
 /5444</t>
  </si>
  <si>
    <t>-12.954839268952291, -38.48637328320016</t>
  </si>
  <si>
    <t>23 + 2 (Adapt)</t>
  </si>
  <si>
    <t>CENTRO EDUCACIONAL CARNEIRO RIBEIRO - CLASSE I</t>
  </si>
  <si>
    <t>RUA PERO VAZ - 148</t>
  </si>
  <si>
    <t>-12.9506066722886, -38.4897430020918</t>
  </si>
  <si>
    <t>COLEGIO ESTADUAL ANTONIO FIGUEREDO - TEMPO INTEGRAL</t>
  </si>
  <si>
    <t>FRANK ALVES RODRIGUES</t>
  </si>
  <si>
    <t>(77) 9 9121-4130</t>
  </si>
  <si>
    <t>CLEONICE MARIA GOMES ANDRADE</t>
  </si>
  <si>
    <t>(77) 9 9138-6228</t>
  </si>
  <si>
    <t>CENTRO DE EDUCACAO ESPECIAL DA BAHIA - CEEBA</t>
  </si>
  <si>
    <t>(77)3465-2290</t>
  </si>
  <si>
    <t>RAIMUNDO PEREIRA MAGALHAES - SN(00045)</t>
  </si>
  <si>
    <t>-13.00569627219469, -38.508741573255456</t>
  </si>
  <si>
    <t>CENTRO DE ATENDIMENTO EDUCACIONAL ESPECIALIZADO PROFESSOR ALBERTO DE ASSIS</t>
  </si>
  <si>
    <t>Rua da Penha, s/n, bairro Ribeira</t>
  </si>
  <si>
    <t>-12.96174070997673, -38.5016579186885</t>
  </si>
  <si>
    <t>MARIA CARMEM COSTA BRITO</t>
  </si>
  <si>
    <t>(77) 9 8109-4450</t>
  </si>
  <si>
    <t>CENTRO DE APOIO PEDAGOGICO A PESSOA COM DEFICIENCIA VISUAL PROFESSORA CATIA MARIA PAIM DA CRUZ - CAP</t>
  </si>
  <si>
    <t>MARIA LUIZA SANTOS AGUIAR</t>
  </si>
  <si>
    <t>RUA DA JAQUEIRA - 12</t>
  </si>
  <si>
    <t>SAÚDE</t>
  </si>
  <si>
    <t>(77) 9 8846-5290</t>
  </si>
  <si>
    <t>(77) 3415-2336
 /2659</t>
  </si>
  <si>
    <t>-12.975319500426147, -38.504787402535285</t>
  </si>
  <si>
    <t>10 (sendo 09 como salas de aula e 01 adaptada para sala de vivências corporais)</t>
  </si>
  <si>
    <t>CENT EST DE REFERENCIA DO ENSINO MEDIO COM INTER TECNOLOGICA-CEMITEC</t>
  </si>
  <si>
    <t>ESTRADA DAS MURICOCAS N SN(00191) CEP: 41250420</t>
  </si>
  <si>
    <t>-12.937442883612729, -38.41549196101761</t>
  </si>
  <si>
    <t>ANEXO - COLÉGIO ESTADUAL ALBÉRCIO DA COSTA BRITO - POVOADO DE LARANJEIRAS</t>
  </si>
  <si>
    <t>ANEXO - COLÉGIO ESTADUAL PROFESSORA MARIA DE LOURDES PARADA FRANCH</t>
  </si>
  <si>
    <t>SAO MARCOS N 02 - S/N</t>
  </si>
  <si>
    <t>ALUGADO (R$120.000,00)</t>
  </si>
  <si>
    <t>ANEXO - COLÉGIO ESTADUAL PROFESSORA MARIA BERNADETE BRANDAO</t>
  </si>
  <si>
    <t>RUA WALDECK CIRNE, 18 - CABULA, CP-41195240 - S/N</t>
  </si>
  <si>
    <t>ANEXO - COLÉGIO ESTADUAL ALBÉRCIO DA COSTA BRITO - DISTRITO DE TRANQUEIRAS</t>
  </si>
  <si>
    <t>(ANTIGO - COLEGIO ESTADUAL GENERAL DIONISIO CERQUEIRA)</t>
  </si>
  <si>
    <t>RUA BERNARDO SPECTOR - SN(00685)</t>
  </si>
  <si>
    <t>-12.970114505049056, -38.488904311108165</t>
  </si>
  <si>
    <r>
      <rPr>
        <rFont val="Calibri"/>
        <color theme="1"/>
        <sz val="10.0"/>
      </rPr>
      <t xml:space="preserve"> COLÉGIO ESTADUAL DE TEMPO INTEGRAL DA RIBEIRA
</t>
    </r>
    <r>
      <rPr>
        <rFont val="Calibri"/>
        <b/>
        <color theme="1"/>
        <sz val="10.0"/>
      </rPr>
      <t>(ANTIGO: CE PRESIDENTE COSTA E SILVA)</t>
    </r>
  </si>
  <si>
    <t>DA MADRAGOA - 00001</t>
  </si>
  <si>
    <t>-12.916618549996727, -38.49927722094789</t>
  </si>
  <si>
    <t>ANEXO - COLÉGIO ESTADUAL ALBÉRCIO DA COSTA BRITO - DISTRITO DE LAGOA DA LAGE</t>
  </si>
  <si>
    <t>SAO FRANCISCO DO CONDE</t>
  </si>
  <si>
    <t>COLÉGIO ESTADUAL MARTINHO SALLES BRASIL - TEMPO INTEGRAL</t>
  </si>
  <si>
    <t>RUA RODOLFO TOURINHO - S/N</t>
  </si>
  <si>
    <t>-12.615268129219647, -38.660625894755505</t>
  </si>
  <si>
    <t>COLÉGIO ESTADUAL DO CAMPO ANNA JUNQUEIRA AYRES TOURINHO - DISTRITO DE MATARIPE</t>
  </si>
  <si>
    <t>BA - 523 
CEP: 43.900-000</t>
  </si>
  <si>
    <t>CAIPE</t>
  </si>
  <si>
    <t>26,5KM</t>
  </si>
  <si>
    <t>-12.731558998667198, -38.59769646390804</t>
  </si>
  <si>
    <t>ANDREIA PEREIRA ROCHA</t>
  </si>
  <si>
    <t>(77) 9 9134-7076</t>
  </si>
  <si>
    <t>KARINA RODRIGUES BOTELHO</t>
  </si>
  <si>
    <t>(77) 9 9128-6429
(77) 9 9115-5526</t>
  </si>
  <si>
    <t>SAO SEBASTIAO DO PASSE</t>
  </si>
  <si>
    <t>06 + 01 (Adapt)</t>
  </si>
  <si>
    <t>COLÉGIO ESTADUAL DE TEMPO INTEGRAL MONSENHOR LUIZ FERREIRA DE BRITO</t>
  </si>
  <si>
    <t>RUA EUTIQUIO DE LIMA - 456</t>
  </si>
  <si>
    <t>-12.508826734567016, -38.4893387906236</t>
  </si>
  <si>
    <t>COLEGIO ESTADUAL LUIS PRISCO VIANA</t>
  </si>
  <si>
    <t>LUIZ PEREIRA DOS SANTOS</t>
  </si>
  <si>
    <t>(77) 9 9111-8207</t>
  </si>
  <si>
    <t>COLÉGIO ESTADUAL DE TEMPO INTEGRAL JARDILINA DE SANTANA OLIVEIRA</t>
  </si>
  <si>
    <t>INA TELMA FERNANDES MOREIRA SILVA</t>
  </si>
  <si>
    <t>RUA ISIDORO MENEZES - 16 E</t>
  </si>
  <si>
    <t>(77) 9 9123-7976</t>
  </si>
  <si>
    <t>(77) 3682-2347</t>
  </si>
  <si>
    <t>-12.521406182980895, -38.4956736793209</t>
  </si>
  <si>
    <t>10 (Sendo 08 como salas de aula, 01 adaptada para sala de vídeo e 01 adatpada para sala de leitura)</t>
  </si>
  <si>
    <t>ANEXO - COLÉGIO ESTADUAL DEPUTADO LUIS EDUARDO MAGALHAES - DISTRITO DE JACUIPE</t>
  </si>
  <si>
    <t>DISTRITO DE JACUIPE - S/N</t>
  </si>
  <si>
    <t>DISTRITO DE JACUIPE</t>
  </si>
  <si>
    <t>COLEGIO ESTADUAL JOAO VILAS BOAS</t>
  </si>
  <si>
    <t>ANA PAULA SOARES DA SILVA</t>
  </si>
  <si>
    <t>(77) 9 8140-6466</t>
  </si>
  <si>
    <t>JOSE ROBERTO AGUIAR LIMA</t>
  </si>
  <si>
    <t>(77) 9 9966-6209</t>
  </si>
  <si>
    <t>MATEUS ARAUJO DA SILVA</t>
  </si>
  <si>
    <t>COLÉGIO ESTADUAL REGINA SIMOES</t>
  </si>
  <si>
    <t>(77) 9 91220702</t>
  </si>
  <si>
    <t>RUA WASHINGTON LUIS - 1079</t>
  </si>
  <si>
    <t>(77) 3444-2060</t>
  </si>
  <si>
    <t>-12.778731019632904, -38.3973527148276</t>
  </si>
  <si>
    <t>COLÉGIO ESTADUAL MANOEL DE JESUS</t>
  </si>
  <si>
    <t>ANEXO - COLÉGIO ESTADUAL JOAO VILAS BOAS -DISTRITO DE SAO TIMOTEO</t>
  </si>
  <si>
    <t>PRAÇA DA BANDEIRA, S/N - SN(00030)</t>
  </si>
  <si>
    <t>-12.78688086057428, -38.402049406276504</t>
  </si>
  <si>
    <t>COLÉGIO ESTADUAL DOUTOR LUIZ VIANA FILHO</t>
  </si>
  <si>
    <t>RUA VISCONDE DE MARICA - 00316</t>
  </si>
  <si>
    <t>6 KM</t>
  </si>
  <si>
    <t>-12.787982850888682, -38.39748350291307</t>
  </si>
  <si>
    <t>COLÉGIO ESTADUAL DOUTOR BERLINDO MAMEDE DE OLIVEIRA</t>
  </si>
  <si>
    <t>AVENIDA LOMANTO JUNIOR - 71</t>
  </si>
  <si>
    <t>ANEXO - COLÉGIO ESTADUAL JOAO VILAS BOAS -DISTRITO DE ITANAGE</t>
  </si>
  <si>
    <t>PONTO PARADA</t>
  </si>
  <si>
    <t>-12.791119452392586, -38.40250230350874</t>
  </si>
  <si>
    <t>COLÉGIO ESTADUAL DE TEMPO INTEGRAL REITOR MIGUEL CALMON</t>
  </si>
  <si>
    <t>GENERAL LABATUT - S/N</t>
  </si>
  <si>
    <t>-12.7913307007238, -38.39892841986707</t>
  </si>
  <si>
    <t>ANEXO - COLÉGIO ESTADUAL JOAO VILAS BOAS -DISTRITO DE IGUATEMI</t>
  </si>
  <si>
    <t>COLÉGIO ESTADUAL DE TEMPO INTEGRAL DE ARATU (ANTIGO POLIVALENTE)</t>
  </si>
  <si>
    <t>AVENIDA ELMO SEREJO FARIAS KM 2 - SN(00153)</t>
  </si>
  <si>
    <t>CIA 2</t>
  </si>
  <si>
    <t>-12.812317153822763, -38.39211688035654</t>
  </si>
  <si>
    <t>COLÉGIO ESTADUAL DE TEMPO INTEGRAL ALBERTO SILVA</t>
  </si>
  <si>
    <t>RUA RUY BARBOSA - S/N</t>
  </si>
  <si>
    <t>ANEXO - COLEGIO ESTADUAL JOAO VILAS BOAS - POVOADO DE ITAGUACU - COMUNIDADE QUILOMBOLA</t>
  </si>
  <si>
    <t>COLÉGIO ESTADUAL DE ARATU</t>
  </si>
  <si>
    <t>PRACA 31 DE MARCO - S/N</t>
  </si>
  <si>
    <t>CIA 1</t>
  </si>
  <si>
    <t>-12.811967151400392, -38.392575148059215</t>
  </si>
  <si>
    <t>CENTRO ESTADUAL DE EDUCACAO PROFISSIONAL EM SERVICOS E PROCESSOS INDUSTRIAIS IRMA DULCE</t>
  </si>
  <si>
    <t>BR 324 KM 18.5 - SN(00547)</t>
  </si>
  <si>
    <t>-12.824730627716999, -38.40864071145478</t>
  </si>
  <si>
    <t>COLEGIO ESTADUAL DE MALHADA DE PEDRAS</t>
  </si>
  <si>
    <t>RUA GERONCIO AZEVEDO - 182</t>
  </si>
  <si>
    <t>CENTRO EDUCACIONAL SANTO ANTONIO</t>
  </si>
  <si>
    <t>AV WALTER ARAGAO DE SOUZA - SN(00036)</t>
  </si>
  <si>
    <t>CAMILA PAULA JUNQUEIRA</t>
  </si>
  <si>
    <t>-12.7892561680211, -38.39487750436386</t>
  </si>
  <si>
    <t>(77) 9 9968-3140</t>
  </si>
  <si>
    <t>AMANDA VANELE PRATES DOMINGUES</t>
  </si>
  <si>
    <t>(77) 9 9812-2724</t>
  </si>
  <si>
    <t>(77) 3449-2288</t>
  </si>
  <si>
    <t>12 (Sendo 7 como sala de aula, 1 Sala de professor, 1 Coordenação, 1 Multiuso, 1 Sala de jogos e 1 sala de vivências corporais)</t>
  </si>
  <si>
    <t xml:space="preserve">AVENIDA ASFALTO N 71 Bairro: PALMARES CEP: 43729-540
</t>
  </si>
  <si>
    <t>COLEGIO ESTADUAL ANISIO TEIXEIRA - TEMPO INTEGRAL</t>
  </si>
  <si>
    <t>JANIO MARTINS MONTALVAO</t>
  </si>
  <si>
    <t>(77) 9 9981-5206</t>
  </si>
  <si>
    <t>ROBERTO JUNIOR ALVES DOS SANTOS</t>
  </si>
  <si>
    <t>(77) 9 9978-7390</t>
  </si>
  <si>
    <t>ANEXO DO COLÉGIO ESTADUAL DOUTOR LUIZ VIANA FILHO - CHACARA DOS PALMARES</t>
  </si>
  <si>
    <t>GERCIVALDA PORTO REGO LARANJEIRA ROCHA</t>
  </si>
  <si>
    <t>KM 18.5 BR 324 CIA - S/N</t>
  </si>
  <si>
    <t>(77) 9 9973-3679</t>
  </si>
  <si>
    <t>(77) 3662-2153</t>
  </si>
  <si>
    <t>6 + 5 (Adapt)</t>
  </si>
  <si>
    <t>ANEXO DO COLÉGIO ESTADUAL DOUTOR BERLINDO MAMEDE DE OLIVEIRA - COLONIA PENAL</t>
  </si>
  <si>
    <t>DO ASFALTO - 71</t>
  </si>
  <si>
    <t>ANEXO - COLEGIO ESTADUAL ANISIO TEIXEIRA - POVOADO DE ESPRAIADO</t>
  </si>
  <si>
    <t xml:space="preserve">ANEXO AO COLEGIO ESTADUAL DE TEMPO INTEGRAL PROFESSOR PEDRO PAULO MARQUES E MARQUES CASE
</t>
  </si>
  <si>
    <t>RODOVIA CIA/AEROPORTO, Nº S/N</t>
  </si>
  <si>
    <t>VERA CRUZ</t>
  </si>
  <si>
    <t>COLÉGIO ESTADUAL JURACY MAGALHAES JUNIOR-DISTRITO DE CACHA PREGOS</t>
  </si>
  <si>
    <t>AVENIDA BEIRA MAR - SN(00042)</t>
  </si>
  <si>
    <t>CACHA PREGOS</t>
  </si>
  <si>
    <t>COLEGIO ESTADUAL DE TEMPO INTEGRAL PETRONILIO DA SILVA PRADO</t>
  </si>
  <si>
    <t>RUA SAO JOAO - S/N</t>
  </si>
  <si>
    <t>-13.120266121781421, -38.79533364966401</t>
  </si>
  <si>
    <t>MARIVONE MARTINHO DA SILVA</t>
  </si>
  <si>
    <t>(77) 9 9102-7273</t>
  </si>
  <si>
    <t>RENATA VANDILENE GOMES PEREIRA</t>
  </si>
  <si>
    <t>(38) 9 9130-5795</t>
  </si>
  <si>
    <t>(77) 3667-2226</t>
  </si>
  <si>
    <t>ANEXO - COLEGIO ESTADUAL PETRONILIO DA SILVA PRADO - DISTRITO DE GUIRAPA</t>
  </si>
  <si>
    <t>Estruturas adaptadas: 01 Sala multifuncional (multimídia)</t>
  </si>
  <si>
    <t>COLEGIO ESTADUAL PROFESSORA LIA PUBLIO DE CASTRO - DISTRITO DE IBITIRA - TEMPO INTEGRAL</t>
  </si>
  <si>
    <t>COLÉGIO ESTADUAL DESEMBARGADOR JULIO VIRGINIO DE SANTANA - TEMPO INTEGRAL</t>
  </si>
  <si>
    <t>RUA DA USINA - S/N</t>
  </si>
  <si>
    <t>MAR GRANDE</t>
  </si>
  <si>
    <t>MARIA ELIENE SILVA CORREIA</t>
  </si>
  <si>
    <t>-12.961281810137272, -38.608326636765796</t>
  </si>
  <si>
    <t>(77) 9 8811-2788</t>
  </si>
  <si>
    <t>(77) 3411-1133</t>
  </si>
  <si>
    <t>12 (Sendo 8 como sala de aula e 4 como apoio)</t>
  </si>
  <si>
    <t>COLEGIO ESTADUAL DO RIO DO ANTONIO</t>
  </si>
  <si>
    <t>RUA NOSSA SENHORA DAS GRACAS - SN(00016)</t>
  </si>
  <si>
    <t>UMBUZEIROS</t>
  </si>
  <si>
    <t>CLEBER CLEITON SILVEIRA TEIXEIRA</t>
  </si>
  <si>
    <t>(77) 9 8803-7531</t>
  </si>
  <si>
    <t>NATHALIA GUEDES DIAS GALICCHIO</t>
  </si>
  <si>
    <t>(77) 9 8127-4342</t>
  </si>
  <si>
    <t>(77)3470-2123</t>
  </si>
  <si>
    <t>7 (Sendo 6 como sala de aula e 1 como multiuso)</t>
  </si>
  <si>
    <t>CENTRO ESTADUAL DE EDUCACAO PROFISSIONAL DO OCEANO</t>
  </si>
  <si>
    <t>RUA DA RODAGEM, Nº 2907 TAIRU - 2907</t>
  </si>
  <si>
    <t>TAIRU</t>
  </si>
  <si>
    <t>-13.076784033941461, -38.73472108936334</t>
  </si>
  <si>
    <t>COLEGIO ESTADUAL DOM PEDRO I</t>
  </si>
  <si>
    <t>ELIVÂNIA DE OLIVEIRA SILVA MACEDO</t>
  </si>
  <si>
    <t>(77) 9 9199-5841</t>
  </si>
  <si>
    <t>KELLYNAY LIMA SOUZA</t>
  </si>
  <si>
    <t>(77) 9 9109-9551</t>
  </si>
  <si>
    <t>(77) 3668-2148/(77) 3668-2148</t>
  </si>
  <si>
    <t xml:space="preserve">9 (Sendo 06 como salas de aula,  01 adaptada p/ biblioteca, 01 adaptada p/ sala de video e 01 adaptada p/ sala de professores) </t>
  </si>
  <si>
    <t>Estruturas adapdatas: Refeitório</t>
  </si>
  <si>
    <t>ADEANE BONFIM SANTANA BRITTO</t>
  </si>
  <si>
    <t>(77) 9 9995-4104</t>
  </si>
  <si>
    <t>LUCIANA DE CARVALHO ALVES</t>
  </si>
  <si>
    <t>(77) 9 9997-3468</t>
  </si>
  <si>
    <t>(77) 3459-1568</t>
  </si>
  <si>
    <t>COLÉGIO ESTADUAL DO CAMPO DE TEMPO INTEGRAL TEOBALDA PASSOS DOS SANTOS</t>
  </si>
  <si>
    <t>Rua Flamengo, s/n, Mogiquiçaba, Distrito de Barrolândia</t>
  </si>
  <si>
    <t>-16.104634054951724, -39.27960385067049</t>
  </si>
  <si>
    <t>COLEGIO ESTADUAL COSTA E SILVA - DISTRITO DE SUSSUARANA</t>
  </si>
  <si>
    <t>LEANDRA PIRES FERREIRA</t>
  </si>
  <si>
    <t>(77) 9 9956-9782</t>
  </si>
  <si>
    <t>LÚCIO FLÁVIO FREIRE LIMA</t>
  </si>
  <si>
    <t>(77) 9 9856-0689</t>
  </si>
  <si>
    <t>(77) 3499-2012</t>
  </si>
  <si>
    <t>7 ( Sendo 06 como salas de aula, e 01 adaptada para oficina de eletivas)</t>
  </si>
  <si>
    <t>Demais laboratórios: 01 matemática/física, 01 química/biologia.</t>
  </si>
  <si>
    <t>JOAQUIM XAVIER SANTOS</t>
  </si>
  <si>
    <t>(75) 9 9912-9341</t>
  </si>
  <si>
    <t>ZEZAO</t>
  </si>
  <si>
    <t>(77) 9 9963-9502</t>
  </si>
  <si>
    <t>COLÉGIO ESTADUAL DE TEMPO INTEGRAL DE BELMONTE</t>
  </si>
  <si>
    <t>RUA 23 DE MAIO - SN(00591)</t>
  </si>
  <si>
    <t>-15.867202199236418, -38.88182661030532</t>
  </si>
  <si>
    <t>AVENIDA PREFEITO JOAO NEVES - S/N</t>
  </si>
  <si>
    <t>ALEXANDRO SOUSA CRUZ</t>
  </si>
  <si>
    <t>(77) 9 8835-9292</t>
  </si>
  <si>
    <t>JOSE CARDOSO DA SILVA</t>
  </si>
  <si>
    <t>(77) 9 8806-1210</t>
  </si>
  <si>
    <t>(77) 3695-1247</t>
  </si>
  <si>
    <t xml:space="preserve">12  (sendo 10 como salas de aula, 01 adaptada p/ sala de TV e 01 adaptada p/ sala de projeção) </t>
  </si>
  <si>
    <t>Estruturas adaptadas: 01 refeitório
Demais laboratórios: 01 matemática/física, 01 química/biologia.</t>
  </si>
  <si>
    <t>ANEXO - COLÉGIO ESTADUAL DE TEMPO INTEGRAL DE BELMONTE - DISTRITO DE SANTA MARIA ETERNA</t>
  </si>
  <si>
    <t>SETE DE SETEMBRO - SN(00004)</t>
  </si>
  <si>
    <t>COLEGIO ESTADUAL DE URANDI - TEMPO INTEGRAL</t>
  </si>
  <si>
    <t>PRACA OLIVINA LUZ BALEEIRO - 156</t>
  </si>
  <si>
    <t>JOSE MILTON SOUZA PINTO</t>
  </si>
  <si>
    <t>(77) 9 9117-8868</t>
  </si>
  <si>
    <t>MARIA MEIRE ATAÍDE BRANDÃO</t>
  </si>
  <si>
    <t>(77) 9 9144-4250</t>
  </si>
  <si>
    <t>(77) 3456 2119</t>
  </si>
  <si>
    <t>17 (Sendo 13 como salas de aula, 01 sala adaptada para biblioteca, 01 para sala de vídeo, 01 sala para laboratório de
informática e 01 sala para laboratório de ciências)</t>
  </si>
  <si>
    <t>ANEXO - COLÉGIO ESTADUAL DE TEMPO INTEGRAL DE BELMONTE - DISTRITO DE BOCA DO CORREGO</t>
  </si>
  <si>
    <t>RUA DO OURO - SN(00002)</t>
  </si>
  <si>
    <t>200KM</t>
  </si>
  <si>
    <t>COLEGIO ESTADUAL DO CAMPO EDGAR SANTOS - POVOADO DE AMPARO</t>
  </si>
  <si>
    <t>GILMAR SOUZA BRITO</t>
  </si>
  <si>
    <t>(75) 9 9905-0589</t>
  </si>
  <si>
    <t>5( Sendo 03 são utilizadas para aula, 01 para biblioteca e sala de professor  e 01 usada para sala de multimídia.</t>
  </si>
  <si>
    <t>COMPLEXO INTEGRADO DE EDUCAÇÃO BÁSICA, PROFISSIONAL E TECNOLÓGICA DE EUNÁPOLIS (ANTIGO CIE)</t>
  </si>
  <si>
    <t>AV PAULINO MENDES LIMA - 674</t>
  </si>
  <si>
    <t>-16.381263461000884, -39.589150254719804</t>
  </si>
  <si>
    <t>COLEGIO ESTADUAL DO CAMPO CASTELO BRANCO - POVOADO TERRA BOA</t>
  </si>
  <si>
    <t>MARTINA EMILLE RIBEIRO CERQUEIRA</t>
  </si>
  <si>
    <t>(75) 9 9183-6383</t>
  </si>
  <si>
    <t xml:space="preserve">6 ( Sendo 04 utilizadas como salas de aula, 01biblioteca e 01 sala multifuncional) </t>
  </si>
  <si>
    <t>Demais laboratórios: 01 Física/Química
Sala multifuncional: 01 Dança 01 Jogos</t>
  </si>
  <si>
    <t>COLEGIO ESTADUAL DO CAMPO ALOISIO DAMASCENO DE JESUS- ASSENTAMENTO BEIRA RIO</t>
  </si>
  <si>
    <t>COLÉGIO ESTADUAL ELOYNA BARRADAS - TEMPO INTEGRAL</t>
  </si>
  <si>
    <t>LENILDO BISPO DOS SANTOS</t>
  </si>
  <si>
    <t>MISS MARILÉIA - SN(00962)</t>
  </si>
  <si>
    <t>(75) 9 9177-1310</t>
  </si>
  <si>
    <t>JUCA ROSA</t>
  </si>
  <si>
    <t>-16.338615894344354, -39.57690389905467</t>
  </si>
  <si>
    <t>COLEGIO ESTADUAL BOA VISTA DO TUPIM</t>
  </si>
  <si>
    <t>ANTONIO CARLOS MENDES PINHO</t>
  </si>
  <si>
    <t>(75) 9 8327-8522</t>
  </si>
  <si>
    <t>AUDO MASCARENHAS RAFAEL BARROS</t>
  </si>
  <si>
    <t>(75) 9 8835-7571</t>
  </si>
  <si>
    <t>Estruturas adaptadas: 01 Refeitório, 01 biologia, 01 AEE</t>
  </si>
  <si>
    <t>COLÉGIO ESTADUAL BADEN POWELL</t>
  </si>
  <si>
    <t>RUA PINHEIRO, SN - S/N</t>
  </si>
  <si>
    <t>MOISES REIS</t>
  </si>
  <si>
    <t>-16.362470635902962, -39.577768020746895</t>
  </si>
  <si>
    <t>ANEXO - COLEGIO ESTADUAL DO CAMPO ALOISIO DAMASCENO DE JESUS - ASSENTAMENTO BARRA VERDE</t>
  </si>
  <si>
    <t>Demais laboratórios: 01 matemática</t>
  </si>
  <si>
    <t>COLEGIO ESTADUAL LAURO FARANI PEDREIRA DE FREITAS - TEMPO INTEGRAL</t>
  </si>
  <si>
    <t>LILIAN RAFAELLA CASTELHANO DIAS</t>
  </si>
  <si>
    <t>(75) 9 8161-7552</t>
  </si>
  <si>
    <t>CENTRO TERRITORIAL DE EDUCACAO PROFISSIONAL DA COSTA DO DESCOBRIMENTO</t>
  </si>
  <si>
    <t>JEANNE COUTO RIBEIRO</t>
  </si>
  <si>
    <t>ADOLPHO XAVIER GOMES - SN(00019)</t>
  </si>
  <si>
    <t>(75) 9 9161-8311</t>
  </si>
  <si>
    <t>MEIRIVALDO OLIVEIRA DA SILVA</t>
  </si>
  <si>
    <t>-16.375490690283165, -39.572926225570704</t>
  </si>
  <si>
    <t>ANEXO - COLEGIO ESTADUAL LAURO FARANI PEDREIRA DE FREITAS - POVOADO JOAO AMARO</t>
  </si>
  <si>
    <t>Estruturas adaptadas: 01 multimídia
Demais laboratórios: 01 Hospedagem, 01 Desenho, 01 Marcenaria, 01 Agropecuária , 01 Alimentos
Sala mulfifuncional: 01 Vídeo</t>
  </si>
  <si>
    <t>09+01 (adapt)</t>
  </si>
  <si>
    <t>ANEXO - COLÉGIO ESTADUAL BADEN POWELL - POVOADO DE GABIARRA</t>
  </si>
  <si>
    <t>POVOADO DE GABIARRA - S/N</t>
  </si>
  <si>
    <t>COLEGIO ESTADUAL DE IBIQUERA</t>
  </si>
  <si>
    <t>ALANA CATARINA SILVA DE SOUZA TANAN</t>
  </si>
  <si>
    <t>(75) 9 8897-7389</t>
  </si>
  <si>
    <t>DAIANE DA CRUZ SILVA</t>
  </si>
  <si>
    <t>(75) 9 9231-3445</t>
  </si>
  <si>
    <t xml:space="preserve">5 ( Sendo 4 utilizadas como salas de aula, e 01 adaptada para biblioteca) </t>
  </si>
  <si>
    <t>ANEXO - COLÉGIO ESTADUAL BADEN POWELL - CONJUNTO PENAL</t>
  </si>
  <si>
    <t>MARIA - SN(00004)</t>
  </si>
  <si>
    <t>ALECRIM</t>
  </si>
  <si>
    <t>GUARATINGA</t>
  </si>
  <si>
    <t>COLÉGIO ESTADUAL JESUS MOURA</t>
  </si>
  <si>
    <t>AVENIDA BRASIL - 747</t>
  </si>
  <si>
    <t>GIDEON DOS SANTOS MIRANDA</t>
  </si>
  <si>
    <t>(75) 9 9136-8373</t>
  </si>
  <si>
    <t>CINELANDIA SANTOS VIEIRA RIBEIRO</t>
  </si>
  <si>
    <t>-16.58462541497018, -39.78709921698536</t>
  </si>
  <si>
    <t>(75) 9 9231-1371</t>
  </si>
  <si>
    <t>16 + 03 (Adapt)</t>
  </si>
  <si>
    <t>Estruturas adaptadas: 01 auditório
Demais laboratórios: 01 Horta</t>
  </si>
  <si>
    <t>ANEXO - COLÉGIO ESTADUAL JESUS MOURA - POVOADO DE MONTE ALEGRE</t>
  </si>
  <si>
    <t>POVOADO DE MONTE ALEGRE - S/N</t>
  </si>
  <si>
    <t xml:space="preserve">40KM </t>
  </si>
  <si>
    <t>-11.561884391763234, -37.97717816484618</t>
  </si>
  <si>
    <t>COLEGIO ESTADUAL CENTENARIO - EM TEMPO INTEGRAL</t>
  </si>
  <si>
    <t>ISMAEL JESUS DOS SANTOS JUNIOR</t>
  </si>
  <si>
    <t>(75) 9 9236 - 2535</t>
  </si>
  <si>
    <t>SERGIO AUGUSTO MARTINS MASCARENHAS</t>
  </si>
  <si>
    <t>(71) 9 9121-4258</t>
  </si>
  <si>
    <t>8 (Sendo 07 como salas de aula e 01 adaptada p/ laboratório)</t>
  </si>
  <si>
    <t>ANEXO - COLÉGIO ESTADUAL JESUS MOURA - POVOADO DE CAJUITA</t>
  </si>
  <si>
    <t>POVOADO DE CAJUITA - SN(00009)</t>
  </si>
  <si>
    <t xml:space="preserve"> POVOADO DE CAJUITA</t>
  </si>
  <si>
    <t>ANEXO - COLÉGIO ESTADUAL JESUS MOURA - DISTRITO SAO JOAO DO SUL</t>
  </si>
  <si>
    <t>AVENIDA BRASIL, 772 - S/N</t>
  </si>
  <si>
    <t>JUVENAL MORAIS SILVA JUNIOR</t>
  </si>
  <si>
    <t>(75) 9 9136-6969</t>
  </si>
  <si>
    <t>MARILENE DE ALMEIDA HONORIO</t>
  </si>
  <si>
    <t>(75) 9 9139-5968</t>
  </si>
  <si>
    <t>MIRES SOUZA SANTOS</t>
  </si>
  <si>
    <t>(75) 9 9215-6922</t>
  </si>
  <si>
    <t>ANEXO - COLÉGIO ESTADUAL JESUS MOURA - DISTRITO DE BURANHÉM</t>
  </si>
  <si>
    <t>BURANHEM - SN(00001)</t>
  </si>
  <si>
    <t>EMANUELLE SAMPAIO SANTOS</t>
  </si>
  <si>
    <t>(75) 9 8144-2853</t>
  </si>
  <si>
    <t>6+8ADAP</t>
  </si>
  <si>
    <t>ANEXO - COLÉGIO ESTADUAL JESUS MOURA - DISTRITO DE BARRA NOVA</t>
  </si>
  <si>
    <t>BARRA NOVA - SN(00033)</t>
  </si>
  <si>
    <t>COLEGIO ESTADUAL PROFESSORA DELZAIR NASCIMENTO GALVAO - TEMPO INTEGRAL</t>
  </si>
  <si>
    <t>ITABELA</t>
  </si>
  <si>
    <t xml:space="preserve"> ELIENE NUNES MAIA</t>
  </si>
  <si>
    <t>(75) 9 9136 - 2120</t>
  </si>
  <si>
    <t xml:space="preserve">6 (Sendo 04 utilizadas como salas de aula e 02 multifuncionais: 01 para aula de box e 01 multimidia ) </t>
  </si>
  <si>
    <t>COLÉGIO ESTADUAL DE TEMPO INTEGRAL PAULO FREIRE</t>
  </si>
  <si>
    <t>RUA DOUTOR HELIO BRITO COSTA - S/N</t>
  </si>
  <si>
    <t>-16.57625720781767, -39.56155740217319</t>
  </si>
  <si>
    <t>COLEGIO ESTADUAL CARLITO DE CARVALHO - EM TEMPO INTEGRAL</t>
  </si>
  <si>
    <t>RENAN MACEDO DA SILVA</t>
  </si>
  <si>
    <t>(75) 9 9848-5243</t>
  </si>
  <si>
    <t>TANIA MARIA PAMPONET DE SOUZA CARVALHO</t>
  </si>
  <si>
    <t>(74) 9 9969-9207</t>
  </si>
  <si>
    <t>12 (sendo 11 como salas de aula e 01 adaptada p/ laboratório de biologia)</t>
  </si>
  <si>
    <t>ANEXO - COLÉGIO ESTADUAL PAULO FREIRE - POVOADO DE SÃO JOÃO DO MONTE</t>
  </si>
  <si>
    <t>POV. SAO JOAO DO MONTE - S/N</t>
  </si>
  <si>
    <t>PATRÍCIA BATISTA OLIVEIRA</t>
  </si>
  <si>
    <t>(74) 9 9983-3041</t>
  </si>
  <si>
    <t>ANEXO - COLÉGIO ESTADUAL PAULO FREIRE - DISTRITO DE MONTE PASCOAL</t>
  </si>
  <si>
    <t>RUA VEREADOR NASCIMENTO,S/N - S/N</t>
  </si>
  <si>
    <t>DISTRITO DE MONTE PASCOAL</t>
  </si>
  <si>
    <t>ANEXO - COLÉGIO ESTADUAL PAULO FREIRE - ASSENTAMENTO CHICO MENDES</t>
  </si>
  <si>
    <t>PEDRO ÁLVARES CABRAL - SN(01630)</t>
  </si>
  <si>
    <t>COLEGIO ESTADUAL LUIS EDUARDO MAGALHAES</t>
  </si>
  <si>
    <t>RUA DOUTOR JOSE ALVES MARTINS - S/N</t>
  </si>
  <si>
    <t>CAMILA ALMEIDA ALVES</t>
  </si>
  <si>
    <t>(74) 9 9978-3859</t>
  </si>
  <si>
    <t>JANILEIDE VASCONCELOS PERAZZO</t>
  </si>
  <si>
    <t>(74) 9 8128-9857</t>
  </si>
  <si>
    <r>
      <rPr>
        <rFont val="Calibri"/>
        <b/>
        <color theme="1"/>
        <sz val="11.0"/>
      </rPr>
      <t xml:space="preserve">10 ( </t>
    </r>
    <r>
      <rPr>
        <rFont val="Calibri"/>
        <b/>
        <color rgb="FFFF0000"/>
        <sz val="11.0"/>
      </rPr>
      <t>Sendo 9 utilizadas como salas de aula</t>
    </r>
    <r>
      <rPr>
        <rFont val="Calibri"/>
        <b/>
        <color theme="1"/>
        <sz val="11.0"/>
      </rPr>
      <t xml:space="preserve"> e 01 adaptada para biblioteca) </t>
    </r>
  </si>
  <si>
    <t>MARIA DO CARMO OLIVEIRA DE CERQUEIRA</t>
  </si>
  <si>
    <t>(75) 9 9113-2842</t>
  </si>
  <si>
    <t>8 (Sendo 3 como sala de aula e 5 como eletiva do ensino médio)</t>
  </si>
  <si>
    <t>ITAGIMIRIM</t>
  </si>
  <si>
    <t>COLÉGIO ESTADUAL LOIDE ALCANTARA NEVES</t>
  </si>
  <si>
    <t>RUA SAO DOMINGOS - 163</t>
  </si>
  <si>
    <t>-16.086159053280582, -39.615240327502484</t>
  </si>
  <si>
    <t>FABIANA SANTOS DA SILVA</t>
  </si>
  <si>
    <t xml:space="preserve"> (74) 9 9989-2452</t>
  </si>
  <si>
    <t>FLORIVA MOURA DE OLIVEIRA</t>
  </si>
  <si>
    <t>(74) 9 9961-9196</t>
  </si>
  <si>
    <t>GEORGE NERES GUIMARAES</t>
  </si>
  <si>
    <t>(74) 9 9978-5250</t>
  </si>
  <si>
    <t>13 (Sendo 12 como sala de aula e 1 Laboratório Informática)</t>
  </si>
  <si>
    <t>Estruturas adaptadas: 01 Refeitório adaptado, 01 laboratório de matemática, 01 sala multifuncional.</t>
  </si>
  <si>
    <t>ANEXO - COLÉGIO ESTADUAL LOIDE ALCANTARA NEVES - DISTRITO DE UNIÃO BAHIANA</t>
  </si>
  <si>
    <t>RUA ALVINO ALVES, S/Nº - S/N</t>
  </si>
  <si>
    <t>ANEXO - COLEGIO ESTADUAL LUIS EDUARDO MAGALHAES - POVOADO DE UMBUZEIRO</t>
  </si>
  <si>
    <t>ITAPEBI</t>
  </si>
  <si>
    <t>COLÉGIO ESTADUAL CLOVIS ADOLPHO STOLZE - TEMPO INTEGRAL</t>
  </si>
  <si>
    <t>AVENIDA VICENTE BARREIRA - 434</t>
  </si>
  <si>
    <t>-15.969105971129334, -39.53190429137295</t>
  </si>
  <si>
    <t>ANEXO - COLEGIO ESTADUAL LUIS EDUARDO MAGALHAES - POVOADO DE IBIAPORA</t>
  </si>
  <si>
    <t>Estruturas adaptadas: 01 sala de video, 01 sala dos professores, 01 sala de leitura, 01 refeitório.</t>
  </si>
  <si>
    <t>ANEXO - COLÉGIO ESTADUAL CLOVIS ADOLPHO STOLZE - POVOADO DE CAIUBI</t>
  </si>
  <si>
    <t>POVOADO DE CAIUBI - S/N</t>
  </si>
  <si>
    <t>EDSON SANTOS DE SOUZA</t>
  </si>
  <si>
    <t>(74) 9 9950-9933</t>
  </si>
  <si>
    <t>VIVIANE MARIA SOUZA BARRETO</t>
  </si>
  <si>
    <t>(74)  9 9913-5116</t>
  </si>
  <si>
    <t>COMPLEXO INTEGRADO DE EDUCACAO DE PORTO SEGURO - CIE DE PORTO SEGURO - TEMPO INTEGRAL</t>
  </si>
  <si>
    <t>RUA GENERAL FREITAS - 00057</t>
  </si>
  <si>
    <t>-16.449877331818687, -39.064754573176515</t>
  </si>
  <si>
    <t>COLEGIO ESTADUAL DO CAMPO SANTO ANTONIO DO ARGOIM - DISTRITO DE ARGOIM</t>
  </si>
  <si>
    <t>SIMONE DOS SANTOS RIBEIRO ALMEIDA</t>
  </si>
  <si>
    <t>(71) 9 9294 - 6659</t>
  </si>
  <si>
    <t>GIVONILSON BARBOSA DOS SANTOS</t>
  </si>
  <si>
    <t>(75) 9 9886-2799</t>
  </si>
  <si>
    <t>COLEGIO ESTADUAL ANA LUCIA MAGALHAES</t>
  </si>
  <si>
    <t>MÁRIO SÉRGIO DE JESUS ARAÚJO</t>
  </si>
  <si>
    <t xml:space="preserve">Estruturas adaptadas: 01 Sala de leitura/Informática, 01 Refeitório adaptado, 01 sala de Oficina
Demais laboratórios: 01 de física e química e 01 de matemática e biologia
</t>
  </si>
  <si>
    <t>(75) 9 9924-2798</t>
  </si>
  <si>
    <t>COLEGIO ESTADUAL INDIGENA PATAXO BOCA DA MATA</t>
  </si>
  <si>
    <t>ALDEIA BOCA DA MATA, TERRITORIO INDIGENA, Nº S/N</t>
  </si>
  <si>
    <t>-16.84970862088716, -39.27648106645593</t>
  </si>
  <si>
    <t>JEANE SILVA DOS SANTOS</t>
  </si>
  <si>
    <t>(75) 9 9924-8028</t>
  </si>
  <si>
    <t>COLEGIO ESTADUAL PROFESSOR MAGALHAES NETO - CEMAN -EM TEMPO INTEGRAL</t>
  </si>
  <si>
    <t>COLEGIO ESTADUAL INDIGENA PATAXO BARRA VELHA  - DISTRITO DE CARAIVA</t>
  </si>
  <si>
    <t>ALDEIA INDIGENA PATAXO BARRA VELHA, Nº</t>
  </si>
  <si>
    <t>MARIA AUXILIADORA MAGALHAES DE ARAUJO</t>
  </si>
  <si>
    <t>(75) 9 9996-0211</t>
  </si>
  <si>
    <t>ANA LUCIA DE MIRANDA SANTOS COIMBRA</t>
  </si>
  <si>
    <t>-16.863041503852465, -39.15096832842665</t>
  </si>
  <si>
    <t>BRUNO FREITAS MATOS ALVIM</t>
  </si>
  <si>
    <t>(75) 9 9126-7207</t>
  </si>
  <si>
    <t>COLÉGIO ESTADUAL DE TEMPO INTEGRAL ARTUR OLIVEIRA DA SILVA</t>
  </si>
  <si>
    <t>COLÉGIO ESTADUAL DO CAMPO DOUTOR ERALDO TINOCO - DISTRITO DE VERA CRUZ</t>
  </si>
  <si>
    <t>AV. PORTO SEGURO - DISTRITO DE VERA CRUZ - SN(00003)</t>
  </si>
  <si>
    <t>ANEXO - COLEGIO ESTADUAL PROFESSOR MAGALHAES NETO. - DISTRITO TAPIRAIPE</t>
  </si>
  <si>
    <t>-16.38698382882721, -39.397477933916505</t>
  </si>
  <si>
    <r>
      <rPr>
        <rFont val="Calibri"/>
        <b/>
        <color theme="1"/>
        <sz val="11.0"/>
      </rPr>
      <t>12 (</t>
    </r>
    <r>
      <rPr>
        <rFont val="Calibri"/>
        <b/>
        <color rgb="FFFF0000"/>
        <sz val="11.0"/>
      </rPr>
      <t>sendo 11  utilizadas como salas de aula</t>
    </r>
    <r>
      <rPr>
        <rFont val="Calibri"/>
        <b/>
        <color theme="1"/>
        <sz val="11.0"/>
      </rPr>
      <t xml:space="preserve"> e 01 multifuncional adaptada para video)</t>
    </r>
  </si>
  <si>
    <t>ANEXO - COLEGIO ESTADUAL PROFESSOR MAGALHAES NETO - DISTRITO SANTA CLARA</t>
  </si>
  <si>
    <t>Estruturas adaptadas: 01 biblioteca, 01 biologia, 01 sala para oficina de judô e 01 Sala de jogos</t>
  </si>
  <si>
    <t>COLÉGIO ESTADUAL DE TRANCOSO - DISTRITO DE TRANCOSO</t>
  </si>
  <si>
    <t>AVENIDA 9 DE AGOSTO - S/N</t>
  </si>
  <si>
    <t>-16.590453921162712, -39.10171281162871</t>
  </si>
  <si>
    <t>COLÉGIO ESTADUAL DE TEMPO INTEGRAL ANTONÍLIO DA FRANÇA CARDOSO</t>
  </si>
  <si>
    <t>EMILIA CLAUDIA SOUZA ALCANTARA LOBO</t>
  </si>
  <si>
    <t>(71) 9 9605-7594</t>
  </si>
  <si>
    <t>LEANDRO NOVAES DOS SANTOS</t>
  </si>
  <si>
    <t>(75) 9 9853-9345</t>
  </si>
  <si>
    <t>Estruturas adaptadas: 01 Sala de leitura, 01 Refeitório
adaptado, 01 informática</t>
  </si>
  <si>
    <t>COLÉGIO ESTADUAL DE TEMPO INTEGRAL DE PORTO SEGURO 
(ANTIGO COLÉGIO MODELO LUIS EDUARDO MAGALHAES)</t>
  </si>
  <si>
    <t>BR 367, KM 26 - S/N</t>
  </si>
  <si>
    <t>TABAPIRY</t>
  </si>
  <si>
    <t>COLEGIO ESTADUAL JOAO QUEIROZ</t>
  </si>
  <si>
    <t>-16.434545809217973, -39.094825908275475</t>
  </si>
  <si>
    <t>TV JOSEFA SIMPLICIA OLIVEIRA - S/N</t>
  </si>
  <si>
    <t>LUCIANA SENA LIMA</t>
  </si>
  <si>
    <t>(74) 9 8823-4348</t>
  </si>
  <si>
    <t>ANA PAULA SOUZA VELOSO</t>
  </si>
  <si>
    <t>(74) 9 8862-8541</t>
  </si>
  <si>
    <t>NORBERTA TORRES DE QUEIROZ</t>
  </si>
  <si>
    <t>(74) 7400-9650</t>
  </si>
  <si>
    <t>RUA DR GETULIO VARGAS - 200</t>
  </si>
  <si>
    <t xml:space="preserve">Estruturas adaptadas: 01 multimídia, 01 Sala de AEE, 01 física/ matemática e 01 ciências humanas
Demais laboratórios: 01 Biologia e química </t>
  </si>
  <si>
    <t>MARIA DO CARMO PEREIRA BISPO</t>
  </si>
  <si>
    <t>(74) 9 9946-2782</t>
  </si>
  <si>
    <t>JUSCIMEIRE OLIVEIRA ALVES PAMPONET</t>
  </si>
  <si>
    <t>(74) 9 9997-6216</t>
  </si>
  <si>
    <t>DALILA DUMAS TEIXEIRA GONCALVES</t>
  </si>
  <si>
    <t>(74) 9 9981-4722</t>
  </si>
  <si>
    <t>(74) 3258-1289/ 1398</t>
  </si>
  <si>
    <t>COLÉGIO ESTADUAL ARRAIAL D' AJUDA - CEAAL - DISTRITO ARRAIAL D' AJUDA</t>
  </si>
  <si>
    <t>AVENIDA DAS PALMEIRAS - S/N</t>
  </si>
  <si>
    <t>-16.485451640497857, -39.0835712026392</t>
  </si>
  <si>
    <t xml:space="preserve"> COLÉGIO ESTADUAL DE TEMPO INTEGRAL PROFESSORA ZENILDA FERNANDES DOS SANTOS</t>
  </si>
  <si>
    <t>LUCELIA MARINHO DA PAIXAO</t>
  </si>
  <si>
    <t>(75) 9 8217-6720</t>
  </si>
  <si>
    <t>MARISTELA NUNES DE LIMA</t>
  </si>
  <si>
    <t>(75) 9 8212-7111</t>
  </si>
  <si>
    <t>(75)3690-2249/ 8158-0054</t>
  </si>
  <si>
    <t>Estruturas adaptadas: 01 Refeitório 
Adaptado
Demais laboratórios: 01 Educação Profissional</t>
  </si>
  <si>
    <t>CENTRO ESTADUAL DE EDUCAÇÃO PROFISSIONAL 2 DE JULHO</t>
  </si>
  <si>
    <t>R. JARDIM NOVO BRASIL, 19 - PORTO SEGURO, BA, 45810-000</t>
  </si>
  <si>
    <t>VILA VITORIA</t>
  </si>
  <si>
    <t>-16.40983240157539, -39.09988202660686</t>
  </si>
  <si>
    <t>NAYARA CÉSAR ALMEIDA SILVA</t>
  </si>
  <si>
    <t>(74) 9 9153-2502</t>
  </si>
  <si>
    <t>RENATA DOS SANTOS LOULA ALVES</t>
  </si>
  <si>
    <t>(74) 9 9197-6988/ 9 8113-9310</t>
  </si>
  <si>
    <t>JAILMA DA SILVA OLIVEIRA</t>
  </si>
  <si>
    <t>(74) 9 8140-5645</t>
  </si>
  <si>
    <t>(74) 3651-0881</t>
  </si>
  <si>
    <t>DISTRITO DE PEDRAS ALTAS - SN(00009)</t>
  </si>
  <si>
    <t>Demais laboratórios: 01 Biologia/química, 01 Meio Ambiente, 01 Manutenção e suporte de informática 
01 Gestão e Negócios</t>
  </si>
  <si>
    <r>
      <rPr>
        <rFont val="Calibri"/>
        <b/>
        <color theme="1"/>
        <sz val="11.0"/>
      </rPr>
      <t xml:space="preserve"> 10 (</t>
    </r>
    <r>
      <rPr>
        <rFont val="Calibri"/>
        <b/>
        <color rgb="FFFF0000"/>
        <sz val="11.0"/>
      </rPr>
      <t>sendo 08 salas de aula</t>
    </r>
    <r>
      <rPr>
        <rFont val="Calibri"/>
        <b/>
        <color theme="1"/>
        <sz val="11.0"/>
      </rPr>
      <t>, 01 adaptada para AEE e 01 para educa mais)</t>
    </r>
  </si>
  <si>
    <t>ANEXO- COLÉGIO EST INDIGENA COROA VERMELHA - ALDEIA DE GUAXUMA</t>
  </si>
  <si>
    <t>GUAXUMA - SN(00002)</t>
  </si>
  <si>
    <t>123KM</t>
  </si>
  <si>
    <t>ANTONIO FLAVIO DA COSTA</t>
  </si>
  <si>
    <t>(75) 9 8143-7234</t>
  </si>
  <si>
    <t>CELESTE AIDA SOARES GOMES</t>
  </si>
  <si>
    <t xml:space="preserve"> (75) 9 8240-4465</t>
  </si>
  <si>
    <t>NATALINA SOUZA SILVA</t>
  </si>
  <si>
    <t>(75) 9 9189-9087</t>
  </si>
  <si>
    <t>(75) 3682-2125</t>
  </si>
  <si>
    <t>6 ( Sendo utilizados 4 como salas de aula, e 02 adaptadas como biblioteca/sala de professores e (01) administrativo.</t>
  </si>
  <si>
    <t>ANEXO - ERALDO TINOCO - COL. EST. DR. - DIST. DE PINDORAMA</t>
  </si>
  <si>
    <t>DISTRITO DE PINDORAMA - S/N</t>
  </si>
  <si>
    <t>RUA RAFAEL AZEVEDO SILVA - 00078</t>
  </si>
  <si>
    <t>JOILSON SANTOS LIMA</t>
  </si>
  <si>
    <t>(75) 9 9198-7092</t>
  </si>
  <si>
    <t>IVANA DA SILVA MACEDO</t>
  </si>
  <si>
    <t>(75) 9 9155-3267</t>
  </si>
  <si>
    <t>(75)3254-1747</t>
  </si>
  <si>
    <t>ANEXO - COLÉGIO ESTADUAL TRANCOSO - POVOADO DE ITAPORANGA</t>
  </si>
  <si>
    <t>POVOADO DE ITAPORANGA - S/N</t>
  </si>
  <si>
    <t>COLÉGIO ESTADUAL MARIA EVANGELINA LIMA SANTOS</t>
  </si>
  <si>
    <t>LIANA MACEDO DE MACEDO</t>
  </si>
  <si>
    <t>(75) 9 9180-3288</t>
  </si>
  <si>
    <r>
      <rPr>
        <rFont val="Calibri"/>
        <b/>
        <color theme="1"/>
        <sz val="11.0"/>
      </rPr>
      <t xml:space="preserve">26 ( </t>
    </r>
    <r>
      <rPr>
        <rFont val="Calibri"/>
        <b/>
        <color rgb="FFFF0000"/>
        <sz val="11.0"/>
      </rPr>
      <t xml:space="preserve">sendo 16 salas do predio antigo (10 salas de aula e 06 adaptadas) </t>
    </r>
    <r>
      <rPr>
        <rFont val="Calibri"/>
        <b/>
        <color theme="1"/>
        <sz val="11.0"/>
      </rPr>
      <t>e no predio novo 10 salas de aulas, ao total sendo ultilizadas 20 ultilizadas para aulas)</t>
    </r>
  </si>
  <si>
    <t>INALDA ALMEIDA SERRA PASSOS</t>
  </si>
  <si>
    <t>(75) 9 9162-3553</t>
  </si>
  <si>
    <t>CASSIO DE CERQUEIRA OLIVEIRA</t>
  </si>
  <si>
    <t>(74) 98808-3804</t>
  </si>
  <si>
    <t>(75) 3254-1720/ 1728</t>
  </si>
  <si>
    <t>07 + 01 (A sala de vídeo foi adaptada para aula)</t>
  </si>
  <si>
    <t>ANEXO - COLÉGIO ESTADUAL TRANCOSO - POVOADO DE CARAÍVA</t>
  </si>
  <si>
    <t>DISTRITO DE CARAIVA - S/N</t>
  </si>
  <si>
    <t>CENTRO TERRITORIAL DE EDUCAÇÃO PROFISSIONAL DA BACIA DO JACUÍPE</t>
  </si>
  <si>
    <t>ANEXO - COLÉGIO ESTADUAL INDÍGENA COROA VERMELHA - ALDEIA MIRA PÉ</t>
  </si>
  <si>
    <t>GILDA MATOS DE OLIVEIRA</t>
  </si>
  <si>
    <t>ALDEIA MIRA PE - SN(00004)</t>
  </si>
  <si>
    <t>(71) 9 9293-9749</t>
  </si>
  <si>
    <t>GILDASIO DE JESUS CARVALHO</t>
  </si>
  <si>
    <t>(75) 9 9105-1566</t>
  </si>
  <si>
    <t>ADALBERIO SANTOS FREITAS</t>
  </si>
  <si>
    <t>(71) 9 9245-2518</t>
  </si>
  <si>
    <t>(75) 3254-1867</t>
  </si>
  <si>
    <t>20 (Sendo 12 como sala de aula e 8 Multifuncional)</t>
  </si>
  <si>
    <t>ANEXO - COLÉGIO ESTADUAL INDÍGENA COROA VERMELHA - ALDEIA MEIO DA MATA</t>
  </si>
  <si>
    <t>ANEXO - COLÉGIO ESTADUAL MARIA EVANGELINA LIMA SANTOS - POVOADO SÃO ROQUE</t>
  </si>
  <si>
    <t>MEIO DA MATA - SN(00003)</t>
  </si>
  <si>
    <t>190KM</t>
  </si>
  <si>
    <t>ANEXO - COLÉGIO ESTADUAL MARIA EVANGELINA LIMA SANTOS - POVOADO MALHADOR</t>
  </si>
  <si>
    <t>ANEXO - COLÉGIO ESTADUAL INDÍGENA COROA VERMELHA - ALDEIA JUERANA</t>
  </si>
  <si>
    <t>ALDEIA JUERANA - SN(00004)</t>
  </si>
  <si>
    <t>ANEXO - COLÉGIO ESTADUAL MARIA EVANGELINA LIMA SANTOS - POVOADO DE BONFIM</t>
  </si>
  <si>
    <t>ANEXO - COLÉGIO ESTADUAL DO CAMPO DOUTOR ERALDO TINOCO - ASSENTAMENTO MILTON SANTOS</t>
  </si>
  <si>
    <t>ASSENTAMENTO MILTON SANTOS - SN(00001)</t>
  </si>
  <si>
    <t>ANEXO - COLÉGIO ESTADUAL MARIA EVANGELINA LIMA SANTOS - POVOADO CORAÇÃO DE MARIA</t>
  </si>
  <si>
    <t>ANEXO - COLÉGIO ESTADUAL DE PORTO SEGURO - DISTRITO AGROVILA</t>
  </si>
  <si>
    <t>AGROVILA - SN(00015)</t>
  </si>
  <si>
    <t>COLÉGIO ESTADUAL ABELARDO MOREIRA - TEMPO INTEGRAL</t>
  </si>
  <si>
    <t>SARA SILVA SOUZA</t>
  </si>
  <si>
    <t>(74) 9 9978-3497</t>
  </si>
  <si>
    <t>SANTA CRUZ CABRALIA</t>
  </si>
  <si>
    <t>SUSANETE LIMA OLIVEIRA</t>
  </si>
  <si>
    <t>(74) 9 9975-6679</t>
  </si>
  <si>
    <t>(74)3632-3223</t>
  </si>
  <si>
    <t>10 (Sendo 9 como sala de aula e 1 Biblioteca)</t>
  </si>
  <si>
    <t>COLÉGIO ESTADUAL PROFESSORA TEREZINHA SCARAMUSSA</t>
  </si>
  <si>
    <t>PRACA FREI HENRIQUE DE COIMBRA - S/N</t>
  </si>
  <si>
    <t>-16.318594769566452, -39.0409256620651</t>
  </si>
  <si>
    <t>COLÉGIO ESTADUAL VIRGÍLIO FRANCISCO PEREIRA - TEMPO INTEGRAL</t>
  </si>
  <si>
    <t>CRISTIANO DA HORA SILVA</t>
  </si>
  <si>
    <t>(75) 9 8105-8199</t>
  </si>
  <si>
    <t>RENILDA CARNEIRO OLIVEIRA</t>
  </si>
  <si>
    <t>(75) 9 8206-5228</t>
  </si>
  <si>
    <t xml:space="preserve">MARIANA CARNEIRO SANTANA
</t>
  </si>
  <si>
    <t>(75) 9 8233-4202</t>
  </si>
  <si>
    <t>(75)3234-1108</t>
  </si>
  <si>
    <t>9 (Sendo 07 como salas de aula, 01 adaptada p/ biblioteca e 01 adaptada p/ sala dos professores/Coordenação)</t>
  </si>
  <si>
    <t>COLÉGIO ESTADUAL INDÍGENA COROA VERMELHA - ALDEIA COROA VERMELHA - TEMPO INTEGRAL</t>
  </si>
  <si>
    <t>ALDEIA INDIGENA DE COROA VERMELHA - S/N</t>
  </si>
  <si>
    <t>-16.33537394974129, -39.01402592138678</t>
  </si>
  <si>
    <t>COLÉGIO ESTADUAL PEDRO FALCONERI RIOS - TEMPO INTEGRAL</t>
  </si>
  <si>
    <t>ANEXO - COLÉGIO ESTADUAL PROFESSORA TEREZINHA SCARAMUSSA - DISTRITO PONTO CENTRAL</t>
  </si>
  <si>
    <t>AV PEDRO F RIOS - SN(00767)</t>
  </si>
  <si>
    <t>PRESIDENTE VARGAS - SN(01103)</t>
  </si>
  <si>
    <t>MIGUEL ANGELO DA SILVA OLIVEIRA</t>
  </si>
  <si>
    <t>(75) 99199-2654</t>
  </si>
  <si>
    <t>LUDMILLA ALMEIDA SANTANA</t>
  </si>
  <si>
    <t>(75) 9 8123-5188</t>
  </si>
  <si>
    <t>ROSA VIRGINIA RIOS DE OLIVEIRA</t>
  </si>
  <si>
    <t>(75) 98101-6505</t>
  </si>
  <si>
    <t>(75)3660-2048/ 2397</t>
  </si>
  <si>
    <t>11 (Sendo 10 como sala de aula e 1 Biblioteca adaptada)</t>
  </si>
  <si>
    <t>ANEXO - COLÉGIO ESTADUAL PROFESSORA TEREZINHA SCARAMUSSA - DISTRITO DE SANTO ANTONIO</t>
  </si>
  <si>
    <t>RUA DO TELEGRAFO, BR 367, KM77 - S/N</t>
  </si>
  <si>
    <t>COLÉGIO ESTADUAL NORMAL DE PINTADAS - TEMPO INTEGRAL</t>
  </si>
  <si>
    <t>MARIA NILZA NUNES DE ALMEIDA</t>
  </si>
  <si>
    <t>(75) 9 8298-3984</t>
  </si>
  <si>
    <t>ELIEIDE LIMA SANTOS DE JESUS</t>
  </si>
  <si>
    <t>(75) 9 8142-5654</t>
  </si>
  <si>
    <t>(75)3693-2136</t>
  </si>
  <si>
    <t>ANEXO - COLÉGIO ESTADUAL INDÍGENA COROA VERMELHA - ALDEIA MATA MEDONHA</t>
  </si>
  <si>
    <t>ALDEIA MATA MEDONHA</t>
  </si>
  <si>
    <t>IRACEMA LIMA DOS SANTOS</t>
  </si>
  <si>
    <t>(74) 9 9115-4561</t>
  </si>
  <si>
    <t>COLÉGIO ESTADUAL PROFESSORA TEREZINHA GONÇALVES NOVAIS - TEMPO INTEGRAL</t>
  </si>
  <si>
    <t>LUÍZA EXDRA CARNEIRO</t>
  </si>
  <si>
    <t>(74) 9 9143-3318/ 9 9923-2877</t>
  </si>
  <si>
    <t>IRIS VANESSA DE SOUSA SILVA</t>
  </si>
  <si>
    <t>(74) 9 8106-6696</t>
  </si>
  <si>
    <t>FLORICEA SILVA OLIVEIRA</t>
  </si>
  <si>
    <t>(74) 9 9814-2786</t>
  </si>
  <si>
    <t>(74)3676-1176</t>
  </si>
  <si>
    <t>12 (Sendo 8 como sala de aula, 1 Sala de vídeo, 1 Biblioteca, 1 Sala de AEE e 1 Laboratório Informática/Sala de leitura)</t>
  </si>
  <si>
    <t>TOTAL GERAL</t>
  </si>
  <si>
    <t>COLÉGIO ESTADUAL MARIA DAGMAR MIRANDA - TEMPO INTEGRAL</t>
  </si>
  <si>
    <t>JUCEMAR DA COSTA</t>
  </si>
  <si>
    <t>(75) 9 9228-7472</t>
  </si>
  <si>
    <t>LUIZ ALBERICO RIOS CARNEIRO</t>
  </si>
  <si>
    <t>(75) 9 9871-3917</t>
  </si>
  <si>
    <t>JOSE AVELANGE OLIVEIRA MOTA</t>
  </si>
  <si>
    <t>(75) 9 9132-3564</t>
  </si>
  <si>
    <t>(75)3264-1637</t>
  </si>
  <si>
    <t>MARIA LUIZA SILVA LIMA</t>
  </si>
  <si>
    <t>(75) 9 9194-3492</t>
  </si>
  <si>
    <t>ESTELITA DE FATIMA CARNEIRO</t>
  </si>
  <si>
    <t>(75) 9 8372-7566</t>
  </si>
  <si>
    <t>EDCARLOS RIOS DE OLIVEIRA</t>
  </si>
  <si>
    <t>(75) 9 8186-0638</t>
  </si>
  <si>
    <t>EPITÁCIO DE OLIVEIRA SILVA</t>
  </si>
  <si>
    <t>(75) 999695374</t>
  </si>
  <si>
    <t>7 (Sendo 5 como salas de aula, 01 adaptada para laboratório ciências e 01 adaptada para sala de vídeo)</t>
  </si>
  <si>
    <t>INGRIDH ARAPIRACA OLIVEIRA</t>
  </si>
  <si>
    <t>(75) 9 9183-4610</t>
  </si>
  <si>
    <t>JULIANA REGINA TOSTA SOBRAL</t>
  </si>
  <si>
    <t>(71) 99160-7653</t>
  </si>
  <si>
    <t>(75) 3264-1633</t>
  </si>
  <si>
    <t>COLÉGIO ESTADUAL BERILO VILAS BOAS - TEMPO INTEGRAL</t>
  </si>
  <si>
    <t>NUBIA OLIVEIRA DA SILVA</t>
  </si>
  <si>
    <t>(74) 9 9977-8058</t>
  </si>
  <si>
    <t>DOURIVAL MEDEIROS JUNIOR</t>
  </si>
  <si>
    <t>(74) 9 9962-9595</t>
  </si>
  <si>
    <t>ANDREIA PEIXOTO DOS SANTOS</t>
  </si>
  <si>
    <t>(75) 9 9911-6225/ (74) 9 9922-9622</t>
  </si>
  <si>
    <t xml:space="preserve">7 (Sendo 06 como salas de aula e 01 adaptada para biblioteca) </t>
  </si>
  <si>
    <t>ANEXO - COLÉGIO ESTADUAL BERILO VILAS BOAS - DISTRITO DE ITATIAIA</t>
  </si>
  <si>
    <t>ALMIRO CERQUEIRA BATISTA</t>
  </si>
  <si>
    <t>(75) 9 8147-6945</t>
  </si>
  <si>
    <t>MARCELO CUNHA OLIVEIRA</t>
  </si>
  <si>
    <t>(75) 98221-1367</t>
  </si>
  <si>
    <t>KARINE RIBEIRO MOREIRA</t>
  </si>
  <si>
    <t>(75) 9 8223-1200</t>
  </si>
  <si>
    <t>LUCINEIDE SILVA DE ARAUJO RIBEIRO</t>
  </si>
  <si>
    <t>(75) 9 9210-9567</t>
  </si>
  <si>
    <t>DENIZE MARIA SANTOS GUERRA</t>
  </si>
  <si>
    <t>(75) 9 8822-6601</t>
  </si>
  <si>
    <t>COLÉGIO ESTADUAL PROFESSORA ADELIA MENDES - TEMPO INTEGRAL</t>
  </si>
  <si>
    <t>AMANDA DA SILVA RIOS</t>
  </si>
  <si>
    <t>(74) 9 8802-4306</t>
  </si>
  <si>
    <t>DAYANE OLIVEIRA DE ALMEIDA</t>
  </si>
  <si>
    <t>(75) 98122-5669</t>
  </si>
  <si>
    <t>10 ( Sendo 08 como salas de aula e  01 adaptada para sala de professor e 01 adaptada para laboratório de ciências)</t>
  </si>
  <si>
    <t>COLÉGIO ESTADUAL FELIPE CASSIANO</t>
  </si>
  <si>
    <t>MANOEL LEÔNIDAS OLIVEIRA RIOS</t>
  </si>
  <si>
    <t>(74) 9 9964-4347</t>
  </si>
  <si>
    <t>CRISTIANE OLIVEIRA DOS SANTOS</t>
  </si>
  <si>
    <t>(74) 99951-4962</t>
  </si>
  <si>
    <t>(74)3639-2560</t>
  </si>
  <si>
    <t>COLEGIO ESTADUAL ARNALDO DE OLIVEIRA - TEMPO INTEGRAL</t>
  </si>
  <si>
    <t>ADRIANA COSTA SILVA OLIVEIRA</t>
  </si>
  <si>
    <t>(74) 9 8108--5053</t>
  </si>
  <si>
    <t>LENIVALTER PEREIRA LOPES</t>
  </si>
  <si>
    <t>(74) 9 8109-8485</t>
  </si>
  <si>
    <t>(74) 3636-2053</t>
  </si>
  <si>
    <t>7 (sendo 06 como salas de aula e 01 adaptada para multiuso)</t>
  </si>
  <si>
    <t>PRISCILA DE OLIVEIRA SANTANA</t>
  </si>
  <si>
    <t>(74) 9 9908-6541</t>
  </si>
  <si>
    <t>EDSON RIBEIRO DE JESUS</t>
  </si>
  <si>
    <t>(74) 9 9949-8861</t>
  </si>
  <si>
    <t>(74) 3665-1300</t>
  </si>
  <si>
    <t>COLEGIO ESTADUAL DE JACOBINA - TEMPO INTEGRAL</t>
  </si>
  <si>
    <t>AV.NOSSA SENHORA DA CONCEIÇÃO - S/N</t>
  </si>
  <si>
    <t>ROBERIO RODRIGUES ANGELO</t>
  </si>
  <si>
    <t>(74) 9 9114-2105</t>
  </si>
  <si>
    <t>DJANIRA DUARTE NUNES</t>
  </si>
  <si>
    <t>(73) 9 9948-8436</t>
  </si>
  <si>
    <t>(74) 3621-9253/3621-0463.</t>
  </si>
  <si>
    <t>16 (sendo: 12 como salas de aula , 01 para sala artes, 01 para sala de tecnologia e 02 salas de descanso)</t>
  </si>
  <si>
    <t>GILDEON ALVES DOS SANTOS</t>
  </si>
  <si>
    <t>(74) 9 9915-1305</t>
  </si>
  <si>
    <t>FABIO DA SILVA GONCALO</t>
  </si>
  <si>
    <t>(74) 9 8803-9951/ 9 9138-0937</t>
  </si>
  <si>
    <t>JUCIMARA JUNQUEIRA DOS SANTOS SANTANA</t>
  </si>
  <si>
    <t>(74) 9  8804-9171</t>
  </si>
  <si>
    <t>(74) 3621-5729/5739</t>
  </si>
  <si>
    <t>CENTRO EDUCACIONAL DEOCLECIANO BARBOSA DE CASTRO - TEMPO INTEGRAL</t>
  </si>
  <si>
    <t>MAGNA CRISTINA MARIA MAIA</t>
  </si>
  <si>
    <t>(74) 9 8129-9782</t>
  </si>
  <si>
    <t>NELSON LINHARES MAIA FILHO</t>
  </si>
  <si>
    <t>(74) 9 8853-8873</t>
  </si>
  <si>
    <t>FRANCILENE RAMOS NOVAIS SAMPAIO</t>
  </si>
  <si>
    <t>(74) 9 9104-1567</t>
  </si>
  <si>
    <t>(74) 3621-5386</t>
  </si>
  <si>
    <t>23 (sendo 22 como salas de aula e 01 sala de Atendimento Educacional Especializado - AEE)</t>
  </si>
  <si>
    <t>ANEXO - COLEGIO ESTADUAL DE JUNCO - DISTRITO ITAITU</t>
  </si>
  <si>
    <t>ANEXO - COLEGIO ESTADUAL DE JUNCO - DISTRITO DE NOVO PARAISO</t>
  </si>
  <si>
    <t>PARAISO - SN(00020)</t>
  </si>
  <si>
    <t>CAATINGA DO MOURA - SN(00233)</t>
  </si>
  <si>
    <t>ANEXO - COLÉGIO ESTADUAL DE JACOBINA - DISTRITO LAGES DO BATATA - QUILOMBOLA</t>
  </si>
  <si>
    <t>COLEGIO ESTADUAL NOSSA SENHORA DA CONCEICAO - TEMPO INTEGRAL</t>
  </si>
  <si>
    <t>CRISTINA SOARES DE SOUZA</t>
  </si>
  <si>
    <t>(74) 9 9962-9759</t>
  </si>
  <si>
    <t>MARCELO ALVES DIAS</t>
  </si>
  <si>
    <t>(71) 9 9957-8159</t>
  </si>
  <si>
    <t>74 3627-1934/1308</t>
  </si>
  <si>
    <t>11 (sendo 10 salas de aulas + 01 adaptada para sala de aula / laboratório de biologia – analises clinicas</t>
  </si>
  <si>
    <t>CUSTODIO BELITARDO COUTINHO</t>
  </si>
  <si>
    <t>(74) 9 9991-2140</t>
  </si>
  <si>
    <t>ANDREZZA ALVES DOS SANTOS GONCALVES</t>
  </si>
  <si>
    <t>(74) 9 9805-8301</t>
  </si>
  <si>
    <t>FABIANA OLIVEIRA DA SILVA</t>
  </si>
  <si>
    <t>(74) 9 9956-4238</t>
  </si>
  <si>
    <t>(74) 3627-2143</t>
  </si>
  <si>
    <t>14 (sendo 12 como salas de aula e 02 salas temáticas de dança e de vivências corporais</t>
  </si>
  <si>
    <t>CENTRO EDUCACIONAL SOROR JOANA ANGELICA - TEMPO INTEGRAL</t>
  </si>
  <si>
    <t>EDSON MENDES RIBEIRO</t>
  </si>
  <si>
    <t>(74) 9 8105-5290</t>
  </si>
  <si>
    <t>(74) 3630-2168</t>
  </si>
  <si>
    <t>ANEXO - CENTRO EDUCACIONAL SOROR JOANA ANGÉLICA - DISTRITO TAQUARANDI</t>
  </si>
  <si>
    <t>ANEXO - CENTRO EDUCACIONAL SOROR JOANA ANGELICA - DISTRITO SUSSUARANA</t>
  </si>
  <si>
    <t>ANEXO - CENTRO EDUCACIONAL SOROR JOANA ANGELICA - DISTRITO DE NUGUACU - COMUNIDADE QUILOMBOLA</t>
  </si>
  <si>
    <t>COLEGIO ESTADUAL DE OUROLANDIA - TEMPO INTEGRAL</t>
  </si>
  <si>
    <t>DHIONE ANDRADE FIGUEIREDO</t>
  </si>
  <si>
    <t>(74) 981220829</t>
  </si>
  <si>
    <t>EDILENE FREIRE PEREIRA</t>
  </si>
  <si>
    <t>(74) 9 8113-4550</t>
  </si>
  <si>
    <t>(74) 3681-2418</t>
  </si>
  <si>
    <t>DO CAMPO LAGOA DO 33 - SN(00001)</t>
  </si>
  <si>
    <t xml:space="preserve">MOEMA FREITAS DE ALENCAR WANDERLEY </t>
  </si>
  <si>
    <t>(74) 9 8848-6646/6656/ (71) 9 9231-2206</t>
  </si>
  <si>
    <t>BENEDITA CORREIA DOS SANTOS FELIX</t>
  </si>
  <si>
    <t>(74) 9 8147-6179/ 9 8804-3306</t>
  </si>
  <si>
    <t>(74) 3633-2895</t>
  </si>
  <si>
    <t>COLEGIO ESTADUAL DE TEMPO INTEGRAL DE SERROLANDIA
(ANTIGO C.E DE SERROLANDIA)</t>
  </si>
  <si>
    <t>RUA TRINTA DE ABRIL, S/N, CENTRO</t>
  </si>
  <si>
    <t>ANA PAULA MOREIRA DO NASCIMENTO</t>
  </si>
  <si>
    <t>(74) 9 8129-7189</t>
  </si>
  <si>
    <t>FILEMOM LOPES DE ALMEIDA</t>
  </si>
  <si>
    <t>(74) 9 9915-0084</t>
  </si>
  <si>
    <t>ALLANTHEVSON DE SA SAMPAIO</t>
  </si>
  <si>
    <t>(74) 9 8126-0122</t>
  </si>
  <si>
    <t>(74) 3631-2779</t>
  </si>
  <si>
    <t>10 (sendo 9  como salas de aula e 01 adaptada para laboratório de linguagem e informática)</t>
  </si>
  <si>
    <t>COLEGIO ESTADUAL PROFESSORA MARIA MADALENA DA SILVA - TEMPO INTEGRAL</t>
  </si>
  <si>
    <t>JEISSINALDO DE CARVALHO MACEDO</t>
  </si>
  <si>
    <t>(74) 9 8821-8815</t>
  </si>
  <si>
    <t>LEILA LOPES DE ALMEIDA MATOS</t>
  </si>
  <si>
    <t>(74) 9 8816-8699</t>
  </si>
  <si>
    <t>(74) 3528-1266</t>
  </si>
  <si>
    <t>ANEXO - COLÉGIO ESTADUAL PROFESSORA MARIA MADALENA DA SILVA - DISTRITO DE DELFINO</t>
  </si>
  <si>
    <t>COLEGIO ESTADUAL PROFESSORA ADJACI MARTINS DURANS - EM TEMPO INTEGRAL</t>
  </si>
  <si>
    <t>NILMA CARNEIRO DE SOUZA</t>
  </si>
  <si>
    <t>(74) 9 8821-9914</t>
  </si>
  <si>
    <t xml:space="preserve">ILMA BATISTA DE ALCANTARA </t>
  </si>
  <si>
    <t>(74) 9 8803-5025</t>
  </si>
  <si>
    <t>(74) 3659-2474</t>
  </si>
  <si>
    <t>COLÉGIO ESTADUAL CASTRO ALVES - TEMPO INTEGRAL</t>
  </si>
  <si>
    <t>JULIANA CARVALHO MATOS</t>
  </si>
  <si>
    <t>(75) 9 9986-9915</t>
  </si>
  <si>
    <t>GILMAR FERREIRA</t>
  </si>
  <si>
    <t>(79)  9 9997-1200</t>
  </si>
  <si>
    <t xml:space="preserve">07 + 01 (Adapt) </t>
  </si>
  <si>
    <t>COLÉGIO ESTADUAL PROFESSORA LUZIA CARVALHO SILVA - TEMPO INTEGRAL</t>
  </si>
  <si>
    <t>CARLA MARIA CARVALHO SILVA DE SANTANA</t>
  </si>
  <si>
    <t>(75) 9 9999-2074</t>
  </si>
  <si>
    <t>COLEGIO ESTADUAL INDIGENA TUXA CACIQUE RAUL VALERIO DE OLIVEIRA</t>
  </si>
  <si>
    <t>MARCOS SILVA DOS SANTOS</t>
  </si>
  <si>
    <t>(75) 9 9705-6627</t>
  </si>
  <si>
    <t>ILCLENIA CAMPOS DA SILVA</t>
  </si>
  <si>
    <t>(71) 9 9654-4004</t>
  </si>
  <si>
    <t>COLEGIO ESTADUAL INDIGENA KIRIRI INDIO FELIZ - ALDEIA CAJAZEIRA</t>
  </si>
  <si>
    <t>ROBSON MATOS (AFASTADOS INTERINAMENTE, O NTE 17 RESPONDE PELA DIREÇÃO)</t>
  </si>
  <si>
    <t>(75) 9 9868-2044/9 9828 - 4617</t>
  </si>
  <si>
    <t>JEOVAN DE JESUS SOUZA  (AFASTADOS INTERINAMENTE, O NTE 17 RESPONDE PELA DIREÇÃO)</t>
  </si>
  <si>
    <t>(75) 9 9892 - 6343</t>
  </si>
  <si>
    <t>COLEGIO ESTADUAL INDIGENA JOSE ZACARIAS - ALDEIA MIRANDELA</t>
  </si>
  <si>
    <t>COLEGIO ESTADUAL INDIGENA FLORENTINO DOMINGOS DE ANDRADE</t>
  </si>
  <si>
    <t>JOZILENE ANDRADE DE SOUZA</t>
  </si>
  <si>
    <t>(75) 9 9963-1975</t>
  </si>
  <si>
    <t>04 + 04 (Adapt)</t>
  </si>
  <si>
    <t>COLÉGIO ESTADUAL FLAVIANO DANTAS DO NASCIMENTO</t>
  </si>
  <si>
    <t>MARIA NEIDE MIRANDA CASTRO</t>
  </si>
  <si>
    <t>(75) 9 9999 - 2221</t>
  </si>
  <si>
    <t>ANDRESON PEREIRA DOS SANTOS</t>
  </si>
  <si>
    <t>(75) 9 9830-2719</t>
  </si>
  <si>
    <t>ANEXO -COLEGIO EST. INDIGENA KIRIRI INDIO FELIZ - ALDEIA ARACAS</t>
  </si>
  <si>
    <t>ANEXO - COLEGIO ESTADUAL INDIGENA FLORENTINO DOMINGOS DE ANDRADE - ALDEIA SEGREDO</t>
  </si>
  <si>
    <t>ANEXO - COLEGIO EST. INDIGENA KIRIRI INDIO FELIZ - ALDEIA SEGREDO</t>
  </si>
  <si>
    <t>MARIA SALETE DA SILVA</t>
  </si>
  <si>
    <t>(75) 9 9982 - 2102</t>
  </si>
  <si>
    <t>CLAUDIA CARVALHO SILVA</t>
  </si>
  <si>
    <t>(75) 9 9957-2065</t>
  </si>
  <si>
    <t>SANDRA CONCEICAO LIRA DE ALMEIDA</t>
  </si>
  <si>
    <t>(75) 9 9923-1878</t>
  </si>
  <si>
    <t>JOÃO PAULO OLIVEIRA TEIXEIRA</t>
  </si>
  <si>
    <t>(75) 9 9999-0711</t>
  </si>
  <si>
    <t>GENIVALDO FERREIRA SA</t>
  </si>
  <si>
    <t>(75) 9 9928-4696</t>
  </si>
  <si>
    <t>ANEXO - COLEGIO ESTADUAL PROFESSOR LUIZ NAVARRO DE BRITO - POV SÃO JOÃO DA FORTALEZA</t>
  </si>
  <si>
    <t xml:space="preserve">COLÉGIO ESTADUAL DE TEMPO INTEGRAL ÁGUAS TERMAIS DE CIPÓ (ANTIGO CE PROFESSORA MARIA MACEDO VIEIRA DE BRITO, RECEBEU O ANEXO DO DISTRITO DE ITAPICURU E O CE IVONE VICTOR FERNANDES SANTOS) </t>
  </si>
  <si>
    <t>GLADYS ROSA VICTOR FERNANDES DE OLIVEIRA</t>
  </si>
  <si>
    <t>(71) 9 9379-5700</t>
  </si>
  <si>
    <t>DILANNY QUINSY SANTOS BORGES</t>
  </si>
  <si>
    <t>(75) 9 8116-0190</t>
  </si>
  <si>
    <t>(75) 3435-1832</t>
  </si>
  <si>
    <t>Colégio Estadual de Tempo Integral Águas Termais de Cipó</t>
  </si>
  <si>
    <t>COLEGIO ESTADUAL DE TEMPO INTEGRAL DE SANTO ANTONIO</t>
  </si>
  <si>
    <t>MARIA HILDA CARVALHO ANDRADE</t>
  </si>
  <si>
    <t>(79) 9 9955-8637</t>
  </si>
  <si>
    <t>(75) 3286-2109</t>
  </si>
  <si>
    <t xml:space="preserve">6+1 ( Sala de leitura adaptada para aula) </t>
  </si>
  <si>
    <t>EDUCANDARIO OLIVEIRA BRITO</t>
  </si>
  <si>
    <t>ONIRAM SOARES DO NASCIMENTO</t>
  </si>
  <si>
    <t>(75) 9 9986-0648</t>
  </si>
  <si>
    <t>JOSE AUGUSTO REIS CAMPOS DOS SANTOS</t>
  </si>
  <si>
    <t>(75) 9 9111-3253</t>
  </si>
  <si>
    <t>ERIDAM DE SANTANA COSTA</t>
  </si>
  <si>
    <t>(75) 9 9827-5290</t>
  </si>
  <si>
    <t>COLEGIO ESTADUAL INDIGENA DOM JACKSON BERENGUER PRADO - COMUNIDADE INDIGENA VILA MASSACARA</t>
  </si>
  <si>
    <t>MARIA DE FATIMA FERREIRA DE CARVALHO</t>
  </si>
  <si>
    <t>(75) 9 9895-7725</t>
  </si>
  <si>
    <t>IRAJANE FERREIRA DA SILVA</t>
  </si>
  <si>
    <t>(75) 9 9902-1282</t>
  </si>
  <si>
    <t>1177068 (COD. 2 )</t>
  </si>
  <si>
    <t>29117666
29412021</t>
  </si>
  <si>
    <t>JOSEFA NEUMA ROCHA DA SILVA</t>
  </si>
  <si>
    <t>(75) 9 9821 - 7608 / 9 9156 - 5640</t>
  </si>
  <si>
    <t>MARCELO FARIAS PINHEIRO</t>
  </si>
  <si>
    <t>(73) 9 9138-7520</t>
  </si>
  <si>
    <t>ANEXO COLEGIO ESTADUAL INDIGENA DOM JACKSON BERENGUER PRADO - ALDEIA ICO</t>
  </si>
  <si>
    <t>ALDEIA ICO - SN(00018)</t>
  </si>
  <si>
    <t>ALDEIA ICO</t>
  </si>
  <si>
    <t>ANEXO - COLEGIO ESTADUAL INDIGENA DOM JACKSON BERENGUER PRADO - DISTRITO DE MASSACARA</t>
  </si>
  <si>
    <t>MASSACARA - SN(00031)</t>
  </si>
  <si>
    <t xml:space="preserve">MASSACARA </t>
  </si>
  <si>
    <t>COLEGIO ESTADUAL NOSSA SENHORA DE FATIMA - TEMPO INTEGRAL</t>
  </si>
  <si>
    <t>PRACA RUI BARBOSA - SN(00058)</t>
  </si>
  <si>
    <t>LEOMARCOS REIS ALMEIDA</t>
  </si>
  <si>
    <t>(79) 9 9864-0788</t>
  </si>
  <si>
    <t>CREILSON DE JESUS CONCEICAO</t>
  </si>
  <si>
    <t>(79) 9 9945-8879</t>
  </si>
  <si>
    <t>COLEGIO ESTADUAL JOSE DANTAS DE SOUZA - TEMPO INTEGRAL</t>
  </si>
  <si>
    <t>GILBERTO JACO CARVALHO SANTOS</t>
  </si>
  <si>
    <t>(71) 9 9999-6879/ 75 8118-1253</t>
  </si>
  <si>
    <t>LANDISVALTH DOS SANTOS LIMA</t>
  </si>
  <si>
    <t>(75) 9 9947-6393</t>
  </si>
  <si>
    <t>ALAN VINICIUS ROCHA VIANA</t>
  </si>
  <si>
    <t>(79) 9 9974-5351</t>
  </si>
  <si>
    <t>(75) 3593-2176</t>
  </si>
  <si>
    <t>11 ( Sendo 6 utilizadas como salas de aula e 05 adaptadas para: 01 sala de vídeo, 01 programa de informática (proinfo), 01 laboratório de ciências, 01 laboratório de informática e 01 sala de leitura</t>
  </si>
  <si>
    <t>RUA MANOEL PORFIRIO DA COSTA BORGES - S/N</t>
  </si>
  <si>
    <t>MAXIMILIANO JOSÉ CARVALHO VARJÃO</t>
  </si>
  <si>
    <t>(71) 9 9174-9440</t>
  </si>
  <si>
    <t>AVENIDA RECIFE - S/N</t>
  </si>
  <si>
    <t>ANA MARIA DE JESUS</t>
  </si>
  <si>
    <t>(75) 9 9148-7711</t>
  </si>
  <si>
    <t>JAILTON DUARTE MOTA</t>
  </si>
  <si>
    <t>(75) 9 9816-7765</t>
  </si>
  <si>
    <t>LUANA NASCIMENTO COSTA</t>
  </si>
  <si>
    <t>(75) 9 8859-6602</t>
  </si>
  <si>
    <t>09 + 01 (Adapt)</t>
  </si>
  <si>
    <t>CENTRO TERRITORIAL DE EDUC. PROFISSIONAL DO SEMIARIDO DO NORDESTE II - II</t>
  </si>
  <si>
    <t>BR 110, KM 94 - S/N</t>
  </si>
  <si>
    <t>GIRLEIDE BARRETO FERREIRA</t>
  </si>
  <si>
    <t>(71) 9 9135-1427 (zap)</t>
  </si>
  <si>
    <t>JILMARA SANDRA DO NASCIMENTO SANTOS</t>
  </si>
  <si>
    <t>(75) 9 9810-6868 (zap)</t>
  </si>
  <si>
    <t>ANEXO - COL. EST. PROFES. MARIA LEIDE OLIVEIRA - POV. DE LAGOA DO INACIO</t>
  </si>
  <si>
    <t>COLÉGIO ESTADUAL DOM PEDRO I</t>
  </si>
  <si>
    <t>PRACA DA BANDEIRA - 22</t>
  </si>
  <si>
    <t>MARIO ARTUR BARBOSA DA ROCHA</t>
  </si>
  <si>
    <t>(79) 9 9950 5040</t>
  </si>
  <si>
    <t>‎(75) 3437-2524</t>
  </si>
  <si>
    <t>ANTONIO MOREIRA DOS REIS - S/N</t>
  </si>
  <si>
    <t>JUCELINO MOREIRA DE CARVALHO</t>
  </si>
  <si>
    <t>(75) 9 9851- 3376</t>
  </si>
  <si>
    <t>TARCIZIO VITORIO DE SOUZA</t>
  </si>
  <si>
    <t>(75) 9 9932-1269</t>
  </si>
  <si>
    <t>FLAVIO COSTA DA CRUZ</t>
  </si>
  <si>
    <t>(75) 9 9956-7585</t>
  </si>
  <si>
    <t>COLÉGIO ESTADUAL PROFESSORA MARIA TEREZA DE OLIVEIRA - TEMPO INTEGRAL</t>
  </si>
  <si>
    <t xml:space="preserve">	GLEDSON OLIVEIRA GUERRA</t>
  </si>
  <si>
    <t>(75) 9 9935-5303</t>
  </si>
  <si>
    <t>MARINA LEITE SUZART</t>
  </si>
  <si>
    <t>(79) 9 9139-7507</t>
  </si>
  <si>
    <r>
      <rPr>
        <rFont val="Calibri, Arial"/>
        <b/>
        <color rgb="FF000000"/>
        <sz val="11.0"/>
      </rPr>
      <t xml:space="preserve">13 salas, </t>
    </r>
    <r>
      <rPr>
        <rFont val="Calibri, Arial"/>
        <b/>
        <color rgb="FFFF0000"/>
        <sz val="11.0"/>
      </rPr>
      <t xml:space="preserve">sendo 09 utilizadas para aula </t>
    </r>
    <r>
      <rPr>
        <rFont val="Calibri, Arial"/>
        <b/>
        <color rgb="FF000000"/>
        <sz val="11.0"/>
      </rPr>
      <t>e 04 adaptações (01 laboratório de informática, 01 laboratório de ciências, 01 sala de reunião e 01 manutenção de informática).</t>
    </r>
  </si>
  <si>
    <t>COLÉGIO ESTADUAL DOUTOR JOSÉ CARLOS BEZERRA CARVALHO</t>
  </si>
  <si>
    <t>PRACA REITOR EDGAR SANTOS - SN(00116)</t>
  </si>
  <si>
    <t>JOSE BARBOSA SANTANA</t>
  </si>
  <si>
    <t>(75) 9 9931-4416</t>
  </si>
  <si>
    <t>ALEXANDRE DO NASCIMENTO BARRETO JUNIOR</t>
  </si>
  <si>
    <t>(79) 9 9816 -2345</t>
  </si>
  <si>
    <t>ALINE SANTOS SOUZA</t>
  </si>
  <si>
    <t>(75) 9 9712-9277</t>
  </si>
  <si>
    <t>ANEXO - COLÉGIO ESTADUAL DOUTOR JOSÉ CARLOS BEZERRA CARVALHO - DISTRITO DE MARITA</t>
  </si>
  <si>
    <t>COLÉGIO ESTADUAL PROFESSORA HELENA BRITTO</t>
  </si>
  <si>
    <t>JOAO MILTON BRITO JUNIOR</t>
  </si>
  <si>
    <t>(75) 9 8821-4457</t>
  </si>
  <si>
    <t>ANTONIO CARLOS PINTO OLIVEIRA</t>
  </si>
  <si>
    <t>(75) 9 9834-3636</t>
  </si>
  <si>
    <t>6+1IMP</t>
  </si>
  <si>
    <t>BRUNO CESAR RODRIGUES CARDOSO</t>
  </si>
  <si>
    <t>(75) 9 9915-0423</t>
  </si>
  <si>
    <t>EDINANDO BARRETO DOS SANTOS</t>
  </si>
  <si>
    <t>(79) 9 9845-3789 / 79 9838-3879</t>
  </si>
  <si>
    <t>(75) 3439-2198</t>
  </si>
  <si>
    <t>7 (Sendo 06 como salas de aula e 01 adaptada para bibliteca)</t>
  </si>
  <si>
    <t xml:space="preserve">
EDMILSON MENEZES DE SOUZA RODRIGUES</t>
  </si>
  <si>
    <t>(75) 9 9992-2990</t>
  </si>
  <si>
    <t>COLÉGIO ESTADUAL PROFESSORA SILVIA FERREIRA DE BRITO</t>
  </si>
  <si>
    <t>DAMIAO SANTANA CARDOSO</t>
  </si>
  <si>
    <t>(75) 9 9956-1017</t>
  </si>
  <si>
    <t>EDICLEIA ANDRADE DE MATOS</t>
  </si>
  <si>
    <t>(75) 9 9988-1211</t>
  </si>
  <si>
    <t>(75) 3276-3931</t>
  </si>
  <si>
    <t>13 (Sendo 06 como sala de aula, 02 adaptadas p/ multifuncionais (Sala de TV e Sala de Reunião), 01 adaptada p/ sala de leitura e 01 adaptada p/ laboratório de ciências)</t>
  </si>
  <si>
    <t>COLÉGIO ESTADUAL DO CAMPO JOÃO MARQUES DA SILVA - POVOADO DE BARROCÃO</t>
  </si>
  <si>
    <t>POVOADO DE BARROCAO - SN(00071)</t>
  </si>
  <si>
    <t>CHRISTIANE BRITO ACCIOLY BORGES</t>
  </si>
  <si>
    <t>(75) 9 9998-8924</t>
  </si>
  <si>
    <t>(75) 3298-7080</t>
  </si>
  <si>
    <t>MARINEIDE DAMACENA CRISTO</t>
  </si>
  <si>
    <t>(75) 9 8875 - 4186</t>
  </si>
  <si>
    <t>JUSSARA OLIVEIRA DE CARVALHO</t>
  </si>
  <si>
    <t>(75) 9 9911-9494</t>
  </si>
  <si>
    <t>FRANCISCO DE ASSIS CEZAR</t>
  </si>
  <si>
    <t>(75) 9 9866-3720</t>
  </si>
  <si>
    <t>(75) 3276-4186</t>
  </si>
  <si>
    <t>HELOISA BOAVENTURA GUIMARAES</t>
  </si>
  <si>
    <t>(75) 9 9936-9718/  9 8137-1670</t>
  </si>
  <si>
    <t>HELDA ALVES MARTINS SILVA</t>
  </si>
  <si>
    <t>(75) 9 9913-0565</t>
  </si>
  <si>
    <t>MARIA ODETE DOS SANTOS CARVALHO</t>
  </si>
  <si>
    <t>(71) 3654-9553</t>
  </si>
  <si>
    <t>JOSE ANTONIO DO NASCIMENTO ALVES DE OLIVEIRA</t>
  </si>
  <si>
    <t>(75) 9 8817-3404 /9 8172-0360</t>
  </si>
  <si>
    <t xml:space="preserve">ALEXSANDRO DE LIMA PEREIRA	</t>
  </si>
  <si>
    <t>(75) 9 8868-5535</t>
  </si>
  <si>
    <t>‎(75) 3698-2150</t>
  </si>
  <si>
    <t>08 + 03 (Sala de vídeo, laboratório de ciências e biblioteca foram adaptados para aula)</t>
  </si>
  <si>
    <t>PRACA JOSE LOURENCO DE CARVALHO - SN(00021)</t>
  </si>
  <si>
    <t>EDMAR ROCHA PIRES</t>
  </si>
  <si>
    <t>(75) 9 9944-9143</t>
  </si>
  <si>
    <t>(75) 3296-2278</t>
  </si>
  <si>
    <t>COLEGIO ESTADUAL DE TEMPO INTEGRAL ANTONIO DA COSTA BRITO</t>
  </si>
  <si>
    <t>ANA LUCIA DE SOUZA ANDRADE</t>
  </si>
  <si>
    <t>(71) 9 9713-2314</t>
  </si>
  <si>
    <t>ROMULO DOS SANTOS BATISTA</t>
  </si>
  <si>
    <t>(75) 9 9813-0922</t>
  </si>
  <si>
    <t>(75) 3434 2717</t>
  </si>
  <si>
    <t>CARLOS AUGUSTO DOS SANTOS</t>
  </si>
  <si>
    <t>(75) 9 9942-9016</t>
  </si>
  <si>
    <t>ISIS SOUZA MAIA</t>
  </si>
  <si>
    <t>(75) 9 9115-8927</t>
  </si>
  <si>
    <t>(75) 3423-2328</t>
  </si>
  <si>
    <t>NTE 05</t>
  </si>
  <si>
    <t>NTE 06</t>
  </si>
  <si>
    <t>NTE 08</t>
  </si>
  <si>
    <t>SIMONE DEOLINA SANTANA</t>
  </si>
  <si>
    <t>(75) 9 9920-1396</t>
  </si>
  <si>
    <t>ISABEL LESLIE FIGUEIREDO DE MENEZES LIMA</t>
  </si>
  <si>
    <t>(75) 3423-4559</t>
  </si>
  <si>
    <t>NTE 12</t>
  </si>
  <si>
    <t>NTE 13</t>
  </si>
  <si>
    <t>NTE 14</t>
  </si>
  <si>
    <t>NTE 15</t>
  </si>
  <si>
    <t>NTE 18</t>
  </si>
  <si>
    <t>NTE 20</t>
  </si>
  <si>
    <t>NTE 21</t>
  </si>
  <si>
    <t>NTE 23</t>
  </si>
  <si>
    <t>VIRGINIA MARIA BRITO SANTOS</t>
  </si>
  <si>
    <t>(75) 9 9951-5378</t>
  </si>
  <si>
    <t>NTE 24</t>
  </si>
  <si>
    <t>SIMONE PEIXOTO BASTOS DE ARAÚJO</t>
  </si>
  <si>
    <t>(75) 9 9971-7060</t>
  </si>
  <si>
    <t>(75) 3421-0857</t>
  </si>
  <si>
    <t>JEAN FÁBIO DE AMORIM LIMA</t>
  </si>
  <si>
    <t>(75) 9 9957-8811</t>
  </si>
  <si>
    <t>MARILENE BISPO DE CRISTO SOUZA</t>
  </si>
  <si>
    <t>(75) 9 8163-8530</t>
  </si>
  <si>
    <t>(75) 3421-4896</t>
  </si>
  <si>
    <t>COLEGIO ESTADUAL MARIA JOSE BASTOS SILVA</t>
  </si>
  <si>
    <t>SANDRA SANTOS CONCEIÇÃO</t>
  </si>
  <si>
    <t>(75) 9 9937-8795</t>
  </si>
  <si>
    <t>CELIA MARIA CHAGAS DA SILVA</t>
  </si>
  <si>
    <t>(75) 98804-1801</t>
  </si>
  <si>
    <t>(75) 3423-4684</t>
  </si>
  <si>
    <t>COLEGIO ESTADUAL LUIZ NAVARRO DE BRITO</t>
  </si>
  <si>
    <t>JOCELIA NOVAES GONCALVES</t>
  </si>
  <si>
    <t>(75) 9 9971-4252</t>
  </si>
  <si>
    <t>NIELSON DOS SANTOS BISPO</t>
  </si>
  <si>
    <t>(75) 9 9949-8486</t>
  </si>
  <si>
    <t>DULCILENE PEREIRA DE ARAUJO NUNES</t>
  </si>
  <si>
    <t>(75) 9 9927-3505</t>
  </si>
  <si>
    <t>(75) 3421-4909</t>
  </si>
  <si>
    <t>20 (Sendo 11 como salas de aula, 01 laboratório de informática, 01 Sala de luta, 01 Sala coordenação, 01 sala de artes, 01 sala de AEE, 01 Sala de fisioterapia/psicologia, 01 sala multifuncional, 01 laboratorio de ciências e 01 sala de projeto de vida )</t>
  </si>
  <si>
    <t>RUA JOSE JOAQUIM LEAL - SN(00031)</t>
  </si>
  <si>
    <t>ZENAIDE BATISTA DE SOUZA</t>
  </si>
  <si>
    <t>(75) 9 8181-0618</t>
  </si>
  <si>
    <t>ZENAIDE MARIA SANTOS</t>
  </si>
  <si>
    <t>(75) 9 9121-7273</t>
  </si>
  <si>
    <t>COLÉGIO ESTADUAL DE TEMPO INTEGRAL SETE DE SETEMBRO DE SENTO SÉ</t>
  </si>
  <si>
    <t>COLEGIO ESTADUAL DO CAMPO LEONCIO PEREIRA DOS SANTOS - POVOADO ESTEVAO</t>
  </si>
  <si>
    <t>GENILZA MARIA DA C. REIS DOS SANTOS</t>
  </si>
  <si>
    <t>(71) 9 9954-5625</t>
  </si>
  <si>
    <t>LEONILDA PAIVA EVANGELISTA ALVES</t>
  </si>
  <si>
    <t>(75) 9 9278-8557</t>
  </si>
  <si>
    <t>(75) 3418-3033</t>
  </si>
  <si>
    <t>ALEXSANDRA DE BRITO</t>
  </si>
  <si>
    <t>(75) 9 9969-7799</t>
  </si>
  <si>
    <t>MARILIA DE BRITO IMPROTA</t>
  </si>
  <si>
    <t>(71) 9 9631-9020</t>
  </si>
  <si>
    <t>(75) 3181-0675</t>
  </si>
  <si>
    <t>7 (Sendo 06 como salas de aula e 01 adaptada para bibioteca)</t>
  </si>
  <si>
    <t>COLEGIO ESTADUAL DEPUTADO LUIS EDUARDO MAGALHAES</t>
  </si>
  <si>
    <t>ADRIANA CARLA DA SILVA NASCIMENTO</t>
  </si>
  <si>
    <t>(75) 9 9900-5656</t>
  </si>
  <si>
    <t>JECILENE DO NASCIMENTO REZENDE</t>
  </si>
  <si>
    <t>(75) 9 9903-4193</t>
  </si>
  <si>
    <t>(75) 3421-7903</t>
  </si>
  <si>
    <t>ANNY DOS SANTOS NONATO LEAL</t>
  </si>
  <si>
    <t>(75) 9 9929-4658</t>
  </si>
  <si>
    <t>MILENA DE SOUZA MELO</t>
  </si>
  <si>
    <t>(75) 9 9981-0013</t>
  </si>
  <si>
    <t>PATRICIA DE JESUS MEDEIROS COSTA</t>
  </si>
  <si>
    <t>(75) 9 9989-2775</t>
  </si>
  <si>
    <t>(75) 3422-5171</t>
  </si>
  <si>
    <t>COLEGIO ESTADUAL DE ALAGOINHAS</t>
  </si>
  <si>
    <t>ANA PAULA SANTANA SOUZA</t>
  </si>
  <si>
    <t xml:space="preserve">(75) 9 9927-1330 </t>
  </si>
  <si>
    <t>RAIMUNDA OLIVEIRA DOS SANTOS</t>
  </si>
  <si>
    <t>(75) 9 9969-1716</t>
  </si>
  <si>
    <t>ANTONIVAL TEIXEIRA DOS SANTOS</t>
  </si>
  <si>
    <t>(75) 9 9858-4450</t>
  </si>
  <si>
    <t>(75) 3422-4866</t>
  </si>
  <si>
    <t>COLEGIO ESTADUAL BRAZILINO VIEGAS</t>
  </si>
  <si>
    <t>TANIA LÚCIA MORAIS SILVA</t>
  </si>
  <si>
    <t>(75) 9 9969-4205 / 98139-5444</t>
  </si>
  <si>
    <t>FRANCISCA RUFINO PARANHOS</t>
  </si>
  <si>
    <t>(75) 9 9941-1154</t>
  </si>
  <si>
    <t>LUCIANA DA CRUZ AZEVEDO FRANÇA</t>
  </si>
  <si>
    <t>(75) 9 9937-2204</t>
  </si>
  <si>
    <t>(75) 3422-4916</t>
  </si>
  <si>
    <t>15 + 02 (Adapt)</t>
  </si>
  <si>
    <t>COLEGIO DA POLICIA MILITAR - CPM PROFESSOR CARLOS ROSA</t>
  </si>
  <si>
    <t>DIREÇÃO DA ESCOLA: SANDRA REGINA LIMA NASCIMENTO - (75) 9 9945-0099             
DIREÇÃO DA UNIDADE PM: TENENTE CORONEL MAURÍCIO SODRÉ SANTANA - (71) 9 8187-6012
DIREÇÃO DO ADJUNTO: ISNARD MAJOR - (75) 9 9154-7051</t>
  </si>
  <si>
    <t>JEANNE MAGALI LEAL DANTAS</t>
  </si>
  <si>
    <t>(75) 9 9971-4739</t>
  </si>
  <si>
    <t>(75) 3422-5607</t>
  </si>
  <si>
    <t>26 (Sendo 23 como salas de aula, 01 sala de vivências corporais, 01 laboratorio de ciências e 01 laboratorio de biologia)</t>
  </si>
  <si>
    <t>ROUSE MARIA DE SANTANA SANTOS</t>
  </si>
  <si>
    <t>(75) 9 8138-1116</t>
  </si>
  <si>
    <t>CRISTIANE SANTANA SODRE</t>
  </si>
  <si>
    <t>(75) 9 9905-5968</t>
  </si>
  <si>
    <t>(75) 3422-5642</t>
  </si>
  <si>
    <t>ANEXO - COLEGIO ESTADUAL BRAZILINO VIEGAS - DISTRITO BOA UNIAO - COMUNIDADE QUILOMBOLA</t>
  </si>
  <si>
    <t>COLEGIO ESTADUAL DE TEMPO INTEGRAL PROF AUREA DOS HUMILDES OLIVEIRA
(ANTIGO C.E PROFESSORA ÁUREA DOS HUMILDES OLIVEIRA)</t>
  </si>
  <si>
    <t>RUA ALTO DA LAGOA, S/Nº - CENTRO</t>
  </si>
  <si>
    <t>CONJ PENAL</t>
  </si>
  <si>
    <t>CLÉA DANTAS GOUVEIA</t>
  </si>
  <si>
    <t>(75) 9 9900-8466</t>
  </si>
  <si>
    <t>JANE EUGENIA DA SILVA NEGREIROS</t>
  </si>
  <si>
    <t>(75) 9 9809-8989</t>
  </si>
  <si>
    <t>(75) 3441-2581</t>
  </si>
  <si>
    <t>FOI UNIFICADO</t>
  </si>
  <si>
    <t>CASE</t>
  </si>
  <si>
    <t>INDÍGENA</t>
  </si>
  <si>
    <t>COLEGIO ESTADUAL DE TEMPO INTEGRAL DE ITAMIRA - DISTRITO DE ITAMIRA</t>
  </si>
  <si>
    <t>JOSAIR MOURA OLIVEIRA</t>
  </si>
  <si>
    <t>(75) 9 9953-2815</t>
  </si>
  <si>
    <t>SONIA MARIA LIMA</t>
  </si>
  <si>
    <t>(75) 9 9891 - 2084</t>
  </si>
  <si>
    <t>DENISSON DA SILVA SANTOS</t>
  </si>
  <si>
    <t>(75) 3448 - 1132</t>
  </si>
  <si>
    <t>NA MATRÍCULA ESTÁ COM O CÓD 1118830</t>
  </si>
  <si>
    <t>COLEGIO ESTADUAL JOSE VICENTE LEAL - EM TEMPO INTEGRAL</t>
  </si>
  <si>
    <t>NIVEA BISPO DE SANTANA</t>
  </si>
  <si>
    <t>(75) 9 9944 - 5629</t>
  </si>
  <si>
    <t>ADRIANA CARDOSO DOS SANTOS</t>
  </si>
  <si>
    <t>(75) 9 9819-1563</t>
  </si>
  <si>
    <t>RODRIGO MERCES PINTO SANTOS</t>
  </si>
  <si>
    <t>(75) 9 9214-7059</t>
  </si>
  <si>
    <t>(75) 3451-2192</t>
  </si>
  <si>
    <t>COLEGIO ESTADUAL DE TEMPO INTEGRAL PROFESSORA MARIA DO CARMO SANTANA
(ANTIGO C.E PROFESSORA MARIA DO CARMO SANTANA)</t>
  </si>
  <si>
    <t>MARIA DA CONCEICAO SOUSA PEREIRA</t>
  </si>
  <si>
    <t>(75) 9 9805-9500 / 9 8210-3037</t>
  </si>
  <si>
    <t>GEORGINA LESSA SILVA</t>
  </si>
  <si>
    <t>(75) 9 8302-7033</t>
  </si>
  <si>
    <t>PATRICIA LIMA SANTOS SILVA</t>
  </si>
  <si>
    <t>(75) 9 9908-4324</t>
  </si>
  <si>
    <t>(75) 3432-1119</t>
  </si>
  <si>
    <t>10 (sendo 9  como salas de aula e 01 adaptada para sala multifuncional)</t>
  </si>
  <si>
    <t>COLÉGIO ESTADUAL DOUTOR JOSE ANTONIO DE ARAUJO PIMENTA - TEMPO INTEGRAL</t>
  </si>
  <si>
    <t>MATHEUS GOMES DA SILVA</t>
  </si>
  <si>
    <t>ANDREA LIMA DE ARGOLO</t>
  </si>
  <si>
    <t>(75) 9 9995-6829</t>
  </si>
  <si>
    <t>(75) 3456-2179</t>
  </si>
  <si>
    <t>12 (Sendo 08 como salas de aulas, 02 salas adaptadas para laboratórios: informática e ciências, 01 adaptada para sala de  vivênciais corporais/vídeos e 01 sala adaptada para auditório)</t>
  </si>
  <si>
    <t>COLEGIO ESTADUAL MARIA ISABEL DE MELO GOES</t>
  </si>
  <si>
    <t>RUA SENHORA SANTANA - SN(00236)</t>
  </si>
  <si>
    <t>APOENA JULIO DA SILVA ARAUJO</t>
  </si>
  <si>
    <t>(71) 9 9961-6652</t>
  </si>
  <si>
    <t>IZABEL SILVA BOMFIM</t>
  </si>
  <si>
    <t xml:space="preserve">(75) 9 9971-3968 </t>
  </si>
  <si>
    <t>CLEOPATRA GUARANI ALVES SANTANA</t>
  </si>
  <si>
    <t>(71) 9 9975-7796</t>
  </si>
  <si>
    <t>(71) 3641-3290</t>
  </si>
  <si>
    <t>COLEGIO ESTADUAL DOUTOR ANTONIO CARLOS MAGALHAES - DISTRITO DE PAU LAVRADO</t>
  </si>
  <si>
    <t>GILBERTO DE MELO FILHO</t>
  </si>
  <si>
    <t>(71) 9 9906-5029</t>
  </si>
  <si>
    <t>TELMA SANTOS NUNES</t>
  </si>
  <si>
    <t>(75) 9 9983-3632</t>
  </si>
  <si>
    <t>(71) 3665-2074</t>
  </si>
  <si>
    <t>6 (sendo 04 como salas de aula, 01 adaptada p/ biblioteca e 01 adaptada p/ sala de jogos)</t>
  </si>
  <si>
    <t>COLEGIO ESTADUAL ANTONIO DE DEUS SEIXAS - TEMPO INTEGRAL</t>
  </si>
  <si>
    <t>JEANE RIOS CHIAN FIGUEREDO</t>
  </si>
  <si>
    <t>(71) 9 9915-6142</t>
  </si>
  <si>
    <t>JOSE ROBERTO DA SILVA MAGALHAES</t>
  </si>
  <si>
    <t>(75) 9 9964-3361</t>
  </si>
  <si>
    <t>(71) 3641-1021</t>
  </si>
  <si>
    <t>RICARDO ARAUJO MIRANDA</t>
  </si>
  <si>
    <t>(71) 9 9729-4954</t>
  </si>
  <si>
    <t>SANDRA REGINA PEREIRA LOPES</t>
  </si>
  <si>
    <t>(71) 9 9638-2929</t>
  </si>
  <si>
    <t>EDCLEIDE VALENÇA SANTOS</t>
  </si>
  <si>
    <t>(71) 9 9917-5659</t>
  </si>
  <si>
    <t>(71) 3641-5662</t>
  </si>
  <si>
    <t>22 ( Sendo 18 como salas de aula, 01 adaptada p/ biblioteca, 01 adaptada p/ laboratório de ciências, 01 adaptada p/ laboratório de informática e 01 adaptada para Educa Bahia)</t>
  </si>
  <si>
    <t>COLEGIO ESTADUAL CELSO MENDES DE LIMA - TEMPO INTEGRAL</t>
  </si>
  <si>
    <t>ÁUREA REGINA SANTOS</t>
  </si>
  <si>
    <t>(75) 9 9900-2729</t>
  </si>
  <si>
    <t>(75) 3429-1335</t>
  </si>
  <si>
    <t xml:space="preserve">6+1( Espaço utilizado como laboratório de informatica  foi adaptado para sala) </t>
  </si>
  <si>
    <t>CENTRO INTEGRADO DE EDUCACAO DO CONDE</t>
  </si>
  <si>
    <t>PATRICIA SANTOS ALMEIDA</t>
  </si>
  <si>
    <t>(75) 9 9995-1378</t>
  </si>
  <si>
    <t>EMILEIDY MARIA DOS SANTOS NEVES</t>
  </si>
  <si>
    <t>(75) 9 9855-9175</t>
  </si>
  <si>
    <t>MARIA JOSÉ DE JESUS SILVA</t>
  </si>
  <si>
    <t>(75) 9 9924-0156</t>
  </si>
  <si>
    <t>(75) 3429-1245</t>
  </si>
  <si>
    <t xml:space="preserve">16 (Sendo 12 utilizadas como salas de aula, 3 para sala de multiuso e 01 biblioteca) </t>
  </si>
  <si>
    <t>ANEXO - CENTRO INTEGRADO DE EDUCACAO DO CONDE - DISTRITO DE SEMPRE VIVA (COBO)</t>
  </si>
  <si>
    <t>ANEXO - CENTRO INTEGRADO DE EDUCACAO DO CONDE - DISTRITO DE ALTAMIRA</t>
  </si>
  <si>
    <t xml:space="preserve">COLEGIO ESTADUAL DE TEMPO INTEGRAL EUDOXIA MARIA </t>
  </si>
  <si>
    <t xml:space="preserve">BA-398. Nº 2142 ( FRENTE AO LOTEAMENTO PRÓXIMO À BRASIL GÁS) </t>
  </si>
  <si>
    <t>LUCIO SILVA DOS SANTOS</t>
  </si>
  <si>
    <t>(75) 9 9982-8666</t>
  </si>
  <si>
    <t>MONICA GUALBERTO SALDANHA</t>
  </si>
  <si>
    <t>(75) 9 9986-7525</t>
  </si>
  <si>
    <t>24 (sendo 17 salas de aula e 07 multifuncionais: 01 sala de Vivências Corporais, 01 dança, 01 Atendimento Especializado, 01 Jogos, 01 Ciências Humanas, 01 Música e 01 artes)</t>
  </si>
  <si>
    <t>ANEXO - COLEGIO ESTADUAL DE TEMPO INTEGRAL EUDOXIA MARIA - DISTRITO DE BURIL</t>
  </si>
  <si>
    <t>BURIL - SN(00002)</t>
  </si>
  <si>
    <t>DISTRITO DE BURIL</t>
  </si>
  <si>
    <t>COLEGIO ESTADUAL PROFESSORA IVANECK MARIA AGUIAR COSTA - TEMPO INTEGRAL</t>
  </si>
  <si>
    <t>CLAUDIA DANTAS SCHRAMM</t>
  </si>
  <si>
    <t>(75) 9 9878-0444</t>
  </si>
  <si>
    <t>CRISTOVAO MELO GALVAO</t>
  </si>
  <si>
    <t>(71) 9 9994-0233</t>
  </si>
  <si>
    <t>(75) 3475- 1434</t>
  </si>
  <si>
    <t>AV ANTONIO CARLOS MAGALHAES - 370</t>
  </si>
  <si>
    <t>ARIELSON DE OLIVEIRA BATISTA</t>
  </si>
  <si>
    <t>(75) 9 9103-5251</t>
  </si>
  <si>
    <t>(75) 3420-2982</t>
  </si>
  <si>
    <t>COLEGIO ESTADUAL DE TEMPO INTEGRAL DUQUE DE CAXIAS</t>
  </si>
  <si>
    <t>ECRISTIO RAISLAN BISPO DOS SANTOS</t>
  </si>
  <si>
    <t>(75) 9 9995 5095</t>
  </si>
  <si>
    <t>MAGDA MARIA DA CONCEICAO LIMA</t>
  </si>
  <si>
    <t>(75) 9 9936-4129</t>
  </si>
  <si>
    <t>ÁMALIA SIMÕES DE OLIVEIRA</t>
  </si>
  <si>
    <t>(75) 9 9122-783</t>
  </si>
  <si>
    <t>(75) 3420-2150</t>
  </si>
  <si>
    <t>ANEXO - COLEGIO ESTADUAL ERALDO TINOCO - DISTRITO DE SUBAUMA</t>
  </si>
  <si>
    <t>ANEXO - COLEGIO EST. ERALDO TINOCO - DIST. SITIO DO MEIO</t>
  </si>
  <si>
    <t>COLEGIO ESTADUAL DE TEMPO INTEGRAL CELINA SARAIVA</t>
  </si>
  <si>
    <t>DR ANTONIO GOMES DE OLIVEIRA - S/N</t>
  </si>
  <si>
    <t>TERESA CRISTINA SILVA CAVALCANTE DOS SANTOS</t>
  </si>
  <si>
    <t>(75) 9 9869-5732</t>
  </si>
  <si>
    <t>CLEUZE MARIA CHAGAS CARVALHO</t>
  </si>
  <si>
    <t>(75) 9 9848-0421</t>
  </si>
  <si>
    <t>JACQUEZ SANTOS DE SANTANA</t>
  </si>
  <si>
    <t>(75) 9 9902-0167</t>
  </si>
  <si>
    <t>(75) 3427-2775</t>
  </si>
  <si>
    <t>ANEXO - COLEGIO ESTADUAL CELINA SARAIVA - SAO JOSE</t>
  </si>
  <si>
    <t>ANEXO - COLEGIO ESTADUAL CELINA SARAIVA - BAIXIO</t>
  </si>
  <si>
    <t>GLEICE EMANUELA PEREIRA DOS SANTOS</t>
  </si>
  <si>
    <t>(75) 9 9874-8226</t>
  </si>
  <si>
    <t>JAILZA DA HORA SILVA</t>
  </si>
  <si>
    <t>(75) 9 8238-8969</t>
  </si>
  <si>
    <t>COLEGIO ESTADUAL PROFESSORA SIMONE SIMOES NERI</t>
  </si>
  <si>
    <t>FRANCISCO DA SILVA OLIVEIRA</t>
  </si>
  <si>
    <t>(75) 9 9944-4433</t>
  </si>
  <si>
    <t>LICIA SAYONARA SANTOS COSTA SENA</t>
  </si>
  <si>
    <t>(75) 9 9989-7215</t>
  </si>
  <si>
    <t>(75) 3431-2401</t>
  </si>
  <si>
    <t>10+2ADAPT</t>
  </si>
  <si>
    <t>COLEGIO ESTADUAL DE INHAMBUPE - DISTRITO DE BAIXA GRANDE</t>
  </si>
  <si>
    <r>
      <rPr>
        <rFont val="Calibri"/>
        <b/>
        <color theme="1"/>
        <sz val="11.0"/>
      </rPr>
      <t xml:space="preserve">12 salas, </t>
    </r>
    <r>
      <rPr>
        <rFont val="Calibri"/>
        <b/>
        <color rgb="FFFF0000"/>
        <sz val="11.0"/>
      </rPr>
      <t>sendo 08 salas de aula</t>
    </r>
    <r>
      <rPr>
        <rFont val="Calibri"/>
        <b/>
        <color theme="1"/>
        <sz val="11.0"/>
      </rPr>
      <t>, 01 adaptada para sala de multimídia, 01 para fanfarra, 01 para sala de vivências corporais e 01 para multiuso.</t>
    </r>
  </si>
  <si>
    <t>ANA CATIA DE JESUS</t>
  </si>
  <si>
    <t>(75) 9 9913-3026</t>
  </si>
  <si>
    <t>ALISSON CRISTIAN SANTOS</t>
  </si>
  <si>
    <t>(75) 9 8170-9580</t>
  </si>
  <si>
    <t>(75) 3422-4421</t>
  </si>
  <si>
    <t>ANEXO -COLEGIO ESTADUAL PROFESSORA SIMONE SIMOES NERI - DISTRITO DE COLONIA</t>
  </si>
  <si>
    <t>ANEXO - COLEGIO ESTADUAL PROFESSORA SIMONE SIMOES NERI - POVOADO DE VOLTA DE CIMA</t>
  </si>
  <si>
    <t>ANEXO - COLEGIO ESTADUAL PROFESSORA SIMONE SIMOES NERI - DISTRITO DE SAQUINHO</t>
  </si>
  <si>
    <r>
      <rPr>
        <rFont val="Calibri"/>
        <b/>
        <color theme="1"/>
        <sz val="11.0"/>
      </rPr>
      <t xml:space="preserve">12 salas, </t>
    </r>
    <r>
      <rPr>
        <rFont val="Calibri"/>
        <b/>
        <color rgb="FFFF0000"/>
        <sz val="11.0"/>
      </rPr>
      <t>sendo 10 salas de aula,</t>
    </r>
    <r>
      <rPr>
        <rFont val="Calibri"/>
        <b/>
        <color theme="1"/>
        <sz val="11.0"/>
      </rPr>
      <t xml:space="preserve"> 01 adaptada para biblioteca e 01 para sala de vídeo.</t>
    </r>
  </si>
  <si>
    <t>COLEGIO ESTADUAL PROFESSOR CARLOS SANTANA - TEMPO INTEGRAL</t>
  </si>
  <si>
    <t>FLAVIA RODRIGUES DE ARAÚJO</t>
  </si>
  <si>
    <t>(71) 9 9964-8332</t>
  </si>
  <si>
    <t>JOSE NILTON RODRIGUES DOS SANTOS</t>
  </si>
  <si>
    <t>(75) 3453-2261</t>
  </si>
  <si>
    <t>9 (Sendo 8 como sala de aula e 1 Sala de vídeo)</t>
  </si>
  <si>
    <t>COLEGIO ESTADUAL UIRASSU DE ASSIS BATISTA</t>
  </si>
  <si>
    <t>JOÃO OLIVEIRA DOS SANTOS</t>
  </si>
  <si>
    <t>(75) 9 9932-3580</t>
  </si>
  <si>
    <t>VERALDINA SILVA GUIMARÃES</t>
  </si>
  <si>
    <t>(79) 9 9931-1075</t>
  </si>
  <si>
    <t>(75) 3430-2201</t>
  </si>
  <si>
    <t>8 (Sendo 07 como salas de aula e 01 adaptada para sala de vídeo)</t>
  </si>
  <si>
    <t>COLÉGIO ESTADUAL DO CAMPO PROFESSORA MARIA FREIRE ANUNCIAÇÃO SILVA - DISTRITO DE LAGOA REDONDA</t>
  </si>
  <si>
    <t>PAULO ANDRE DAS NEVES MATOS NASCIMENTO</t>
  </si>
  <si>
    <t>(79) 9 9670-7873</t>
  </si>
  <si>
    <t>RICARDO DE OLIVEIRA SANTOS</t>
  </si>
  <si>
    <t>(75) 9 9810-3481</t>
  </si>
  <si>
    <t>MARCIO ARLINDO PIMENTA ANDRADE</t>
  </si>
  <si>
    <t>(71) 9 9153-0394</t>
  </si>
  <si>
    <t>COLEGIO ESTADUAL DOUTOR LUIS VIANA FILHO</t>
  </si>
  <si>
    <t>ROBSON LUIZ DE CAMPOS VAQUEIRO</t>
  </si>
  <si>
    <r>
      <rPr>
        <rFont val="Calibri"/>
        <b/>
        <color theme="1"/>
        <sz val="11.0"/>
      </rPr>
      <t>14 (</t>
    </r>
    <r>
      <rPr>
        <rFont val="Calibri"/>
        <b/>
        <color rgb="FFFF0000"/>
        <sz val="11.0"/>
      </rPr>
      <t>sendo 10 salas de aula</t>
    </r>
    <r>
      <rPr>
        <rFont val="Calibri"/>
        <b/>
        <color theme="1"/>
        <sz val="11.0"/>
      </rPr>
      <t>, 01 adaptada para laboratório de informática, 01 adaptada para sala de
leitura e 02 salas adaptadas para refeitório)</t>
    </r>
  </si>
  <si>
    <t>(79) 9 9945-2107</t>
  </si>
  <si>
    <t>CAROLLINE STEFANI DA LUZ QUEIROZ</t>
  </si>
  <si>
    <t>(71) 9 9922-8075</t>
  </si>
  <si>
    <t>(75) 3445-2283</t>
  </si>
  <si>
    <t>ANEXO - COLEGIO ESTADUAL DOUTOR LUIZ VIANA FILHO - POVOADO DE MONTE BELO</t>
  </si>
  <si>
    <t>ANEXO - COLEGIO ESTADUAL DOUTOR LUIS VIANA FILHO - DISTRITO COQUEIRO</t>
  </si>
  <si>
    <r>
      <rPr>
        <rFont val="Calibri"/>
        <b/>
        <color theme="1"/>
        <sz val="11.0"/>
      </rPr>
      <t>12 (</t>
    </r>
    <r>
      <rPr>
        <rFont val="Calibri"/>
        <b/>
        <color rgb="FFFF0000"/>
        <sz val="11.0"/>
      </rPr>
      <t>sendo 04 salas de aula</t>
    </r>
    <r>
      <rPr>
        <rFont val="Calibri"/>
        <b/>
        <color theme="1"/>
        <sz val="11.0"/>
      </rPr>
      <t>, 01 adaptada para secretaria, 01 sala de professores, 01 para sala de vídeo, 01
para refeitório, 01 para sala de leitura, 01 para biblioteca e 02 cedidas para o município)</t>
    </r>
  </si>
  <si>
    <t>ANEXO - COLEGIO ESTADUAL DOUTOR LUIS VIANA FILHO - DISTRITO ABADIA</t>
  </si>
  <si>
    <t>ANEXO - COLEGIO ESTADUAL DOUTOR LUIS VIANA FILHO - CACHOEIRA DO ITANHY</t>
  </si>
  <si>
    <r>
      <rPr>
        <rFont val="Calibri"/>
        <b/>
        <color theme="1"/>
        <sz val="11.0"/>
      </rPr>
      <t>06 (</t>
    </r>
    <r>
      <rPr>
        <rFont val="Calibri"/>
        <b/>
        <color rgb="FFFF0000"/>
        <sz val="11.0"/>
      </rPr>
      <t>sendo 04 salas de aula</t>
    </r>
    <r>
      <rPr>
        <rFont val="Calibri"/>
        <b/>
        <color theme="1"/>
        <sz val="11.0"/>
      </rPr>
      <t>, 01 adaptada para biblioteca e 01 para laboratório de informática</t>
    </r>
  </si>
  <si>
    <t>COLEGIO ESTADUAL MINISTRO OLIVEIRA BRITO - TEMPO INTEGRAL</t>
  </si>
  <si>
    <t>JOSEFA ROSA DOS SANTOS BORGES</t>
  </si>
  <si>
    <t>(75) 9 9974-6051</t>
  </si>
  <si>
    <t>ADROALDO JOSE CRUZ DA ROCHA</t>
  </si>
  <si>
    <t>(75) 9 9914-7982</t>
  </si>
  <si>
    <t>RONIVALDO SANTOS DE JESUS</t>
  </si>
  <si>
    <t>(75) 3436-1150</t>
  </si>
  <si>
    <t>10+1ADAP</t>
  </si>
  <si>
    <t xml:space="preserve">                                               Total de estudantes por Município -  12.07.2021</t>
  </si>
  <si>
    <t>COLEGIO ESTADUAL ACELINA DANTAS DA SILVA - DISTRITO DONA MARIA - EM TEMPO INTEGRAL</t>
  </si>
  <si>
    <t>MARIA DILZA DE MACEDO BORGES</t>
  </si>
  <si>
    <t>(75) 9 9863-6418</t>
  </si>
  <si>
    <t>MUNICÍPIO</t>
  </si>
  <si>
    <t>(75) 3436-5061</t>
  </si>
  <si>
    <r>
      <rPr>
        <rFont val="Calibri"/>
        <b/>
        <color theme="1"/>
        <sz val="11.0"/>
      </rPr>
      <t xml:space="preserve">24 Salas, </t>
    </r>
    <r>
      <rPr>
        <rFont val="Calibri"/>
        <b/>
        <color rgb="FFFF0000"/>
        <sz val="11.0"/>
      </rPr>
      <t xml:space="preserve">sendo 17 para aula </t>
    </r>
    <r>
      <rPr>
        <rFont val="Calibri"/>
        <b/>
        <color theme="1"/>
        <sz val="11.0"/>
      </rPr>
      <t xml:space="preserve">e 07 adaptadas: 01 para direção, 01 para secretaria, 01 sala de leitura, 01 para lab. de robótica, 01 sala de prof, 01 lab. de enfermagem, 01 la. De informática </t>
    </r>
  </si>
  <si>
    <t>TOTAL  Σ</t>
  </si>
  <si>
    <t>AV. JOÃO DA COSTA PINTO DANTAS - S/N</t>
  </si>
  <si>
    <t>MICHELÂNGELA SILVA DOS SANTOS</t>
  </si>
  <si>
    <t>(75) 9 8233-1331</t>
  </si>
  <si>
    <t>SORAIA DE CRISTO SANTOS</t>
  </si>
  <si>
    <t>(75) 9 8205-6361</t>
  </si>
  <si>
    <t>(75) 3447-2151</t>
  </si>
  <si>
    <t>8 (Sendo 6 como sala de aula, 1 Laboratório e 1 Biblioteca)</t>
  </si>
  <si>
    <t>COLEGIO ESTADUAL JOAO BENEVIDES NOGUEIRA - EM TEMPO INTEGRAL</t>
  </si>
  <si>
    <t>VERA LUCIA DE ARAUJO SANTOS</t>
  </si>
  <si>
    <t>(75) 9 8184-0360</t>
  </si>
  <si>
    <t>MARY JANE DE ALMEIDA RAMOS VALVERDE</t>
  </si>
  <si>
    <t>(75) 9 9968-7779</t>
  </si>
  <si>
    <t>(75) 3428-2186</t>
  </si>
  <si>
    <t>8+1Adaptada</t>
  </si>
  <si>
    <t>OSMAR PEREIRA DE SOUZA</t>
  </si>
  <si>
    <t>(75) 9900-2857</t>
  </si>
  <si>
    <t>COLEGIO ESTADUAL MARQUES DE ABRANTES</t>
  </si>
  <si>
    <t>PRACA DA BANDEIRA - 00164</t>
  </si>
  <si>
    <t>MARIA DE FATIMA SANTANA DE OLIVEIRA BASTOS</t>
  </si>
  <si>
    <t>(75) 9 8844-8809</t>
  </si>
  <si>
    <t>EDITH DE SOUZA SANTANA</t>
  </si>
  <si>
    <t>(75) 9 9986-9513</t>
  </si>
  <si>
    <t>(75) 3426-2469</t>
  </si>
  <si>
    <t>COLEGIO ESTADUAL DOUTOR JOSE CARVALHO BAPTISTA</t>
  </si>
  <si>
    <t>RUA DR ANTONIO C MAGALHAES - 431</t>
  </si>
  <si>
    <t>EDINA CARDOZO DA SILVA</t>
  </si>
  <si>
    <t>(75) 9 9915-8513</t>
  </si>
  <si>
    <r>
      <rPr>
        <rFont val="Calibri"/>
        <b/>
        <color theme="1"/>
        <sz val="11.0"/>
      </rPr>
      <t xml:space="preserve">12 salas, </t>
    </r>
    <r>
      <rPr>
        <rFont val="Calibri"/>
        <b/>
        <color rgb="FFFF0000"/>
        <sz val="11.0"/>
      </rPr>
      <t>sendo 08 para aula</t>
    </r>
    <r>
      <rPr>
        <rFont val="Calibri"/>
        <b/>
        <color theme="1"/>
        <sz val="11.0"/>
      </rPr>
      <t>, 01 adaptada para sala de leitura, 01 para sala dos professores, 01 para laboratórios e 01 para almoxarifado.</t>
    </r>
  </si>
  <si>
    <t>EDIVANIA ARAUJO SANTOS</t>
  </si>
  <si>
    <t>(75) 9 9911-3613</t>
  </si>
  <si>
    <t>ANDRE LUIZ NASCIMENTO DOS ANJOS</t>
  </si>
  <si>
    <t>(75) 9 9955-9661</t>
  </si>
  <si>
    <t>(75) 3426-2149</t>
  </si>
  <si>
    <t>-12.063637758567575, -44.46321896677759</t>
  </si>
  <si>
    <t>COLEGIO DEMOCRATICO ESTADUAL PROFESSOR EDGARD SANTOS</t>
  </si>
  <si>
    <t>MAGNA PIRES SOUZA</t>
  </si>
  <si>
    <t>(75) 9 9165-8257</t>
  </si>
  <si>
    <t>WILTON CARDOSO NASCIMENTO</t>
  </si>
  <si>
    <t>(75) 9 8169-4353</t>
  </si>
  <si>
    <t>(75) 3446-2526</t>
  </si>
  <si>
    <t>ANEXO - COLEGIO DEMOCRATICO ESTADUAL PROFESSOR EDGARD SANTOS - DISTRITO DE MIMOSO</t>
  </si>
  <si>
    <t>MIMOSO - SN(00124)</t>
  </si>
  <si>
    <t>CELIANE MASCARENHAS SILVA</t>
  </si>
  <si>
    <t>(75) 9 8134-0334</t>
  </si>
  <si>
    <t>ANTONIO LAERTE ALVES CERQUEIRA</t>
  </si>
  <si>
    <t>(75) 9 8225-4882</t>
  </si>
  <si>
    <t>(75) 3294-2198/ 9 8233-9978</t>
  </si>
  <si>
    <r>
      <rPr>
        <rFont val="Calibri"/>
        <b/>
        <color theme="1"/>
        <sz val="11.0"/>
      </rPr>
      <t>08 salas,</t>
    </r>
    <r>
      <rPr>
        <rFont val="Calibri"/>
        <b/>
        <color rgb="FFFF0000"/>
        <sz val="11.0"/>
      </rPr>
      <t xml:space="preserve"> sendo 06 salas de aula, </t>
    </r>
    <r>
      <rPr>
        <rFont val="Calibri"/>
        <b/>
        <color theme="1"/>
        <sz val="11.0"/>
      </rPr>
      <t>01 adapt. para sala de professor e 01 para sala de leitura.</t>
    </r>
  </si>
  <si>
    <t>COLEGIO ESTADUAL DE TEMPO INTEGRAL AMELIA RODRIGUES 
(ANTIGO C.E MARIA TEOFILA0</t>
  </si>
  <si>
    <t>LUCIDALVA DE OLIVEIRA BOAVENTURA</t>
  </si>
  <si>
    <t>(75) 9 9231-6899</t>
  </si>
  <si>
    <t>PEROLINA DA COSTA PINTO SILVA NETA</t>
  </si>
  <si>
    <t>(75) 9 8127-8637</t>
  </si>
  <si>
    <t>CRISCELY DE JESUS DAMASCENO</t>
  </si>
  <si>
    <t>(75) 9 8222-3914</t>
  </si>
  <si>
    <t>(75) 3242-2758</t>
  </si>
  <si>
    <t>24 (Sendo 22 utilizadas para aula, 02 para sala de vivências corporais e sala de dança).</t>
  </si>
  <si>
    <t>IVONE DA SILVA BORGES</t>
  </si>
  <si>
    <t>(75) 9 8277-5868</t>
  </si>
  <si>
    <t>ANA CRISTINA OLIVEIRA DOS SANTOS</t>
  </si>
  <si>
    <t>(75) 9 9167-5865</t>
  </si>
  <si>
    <t>(75) 3239-2205</t>
  </si>
  <si>
    <t>COLÉGIO ESTADUAL DO CAMPO GENIVALDO DE ALMEIDA BRANDAO</t>
  </si>
  <si>
    <t>RUA TIBURCIO JOSE DE OLIVEIRA - 79</t>
  </si>
  <si>
    <t>SANDRO AUGUSTO DA SILVA CERQUEIRA JUNIOR</t>
  </si>
  <si>
    <t>(77) 9 8159-0648</t>
  </si>
  <si>
    <t>JACIENE DE ANDRADE SANTOS</t>
  </si>
  <si>
    <t>(75) 9 9157-2431</t>
  </si>
  <si>
    <t>(75) 3230-2187</t>
  </si>
  <si>
    <t>14 (sendo 11 como salas de aula, 01 adaptada p/ biblioteca, 01 adaptada p/ laboratório de informática e 01 adaptada p/ secretaria)</t>
  </si>
  <si>
    <t xml:space="preserve">COLEGIO ESTADUAL DE TEMPO INTEGRAL DE CONCEICAO DA FEIRA </t>
  </si>
  <si>
    <t>ANA CRISTINA PEREIRA CASTELO</t>
  </si>
  <si>
    <t>(75) 9 8883-6149</t>
  </si>
  <si>
    <t>MARISANGELA CONCEICAO DOS ANJOS</t>
  </si>
  <si>
    <t>(75) 9 8266-5227</t>
  </si>
  <si>
    <t>(75) 3244-2296</t>
  </si>
  <si>
    <t xml:space="preserve">26  (sendo 21 como salas de aula (10 salas novas e 11 existentes)  e 05 salas adaptadas: 1 sala de coordenação, 1 sala de professores, 1 laboratório de química e 2 salas de vídeo) </t>
  </si>
  <si>
    <t>COLÉGIO ESTADUAL CONCEIÇÃO DO JACUÍPE</t>
  </si>
  <si>
    <t>JOSOEL PEREIRA DA SILVA</t>
  </si>
  <si>
    <t>(75) 9 8104-2162</t>
  </si>
  <si>
    <t>EVILA DIAS DE JESUS</t>
  </si>
  <si>
    <t>(75) 9 9937-7429</t>
  </si>
  <si>
    <t>(75) 3243-2684/ 3243-2771</t>
  </si>
  <si>
    <t>MARIA GORETTI DE JESUS BORGES</t>
  </si>
  <si>
    <t>(75) 9 9113-2851</t>
  </si>
  <si>
    <t>MARCELO DE OLIVEIRA SANTANA</t>
  </si>
  <si>
    <t>71-982492075</t>
  </si>
  <si>
    <t>(75) 3248-6029</t>
  </si>
  <si>
    <t>11 ( Sendo 07 utilizadas  como salas de aula , e 04 salas adaptadas para: 01 secretaria da escola/administrativo, 01 sala de digitação, 01 rádio escolar/sala de instrumentos e 01 laboratório de informática e ciências.</t>
  </si>
  <si>
    <t>COLÉGIO ESTADUAL DE TEMPO INTEGRAL DOM PEDRO II</t>
  </si>
  <si>
    <t>LUCIANY VIEIRA RIBEIRO DE CERQUEIRA</t>
  </si>
  <si>
    <t>(75) 9 9151-1319</t>
  </si>
  <si>
    <t>(75) 3248-2109/3248-2874</t>
  </si>
  <si>
    <t xml:space="preserve">16 (Sendo 14 salas utilizadas como salas de aula e 02 adaptadas,  biblioteca e laboratorio de informatica) </t>
  </si>
  <si>
    <t>ALFREDA MARIA SILVA CAMPOS NETA XAVIER</t>
  </si>
  <si>
    <t>(75) 9 9703-0506</t>
  </si>
  <si>
    <t xml:space="preserve"> VIRGINIA LIMA DE OLIVEIRA BISPO </t>
  </si>
  <si>
    <t>(75) 9 9244-6252</t>
  </si>
  <si>
    <t>ACMAR FELIZ DOS SANTOS DE SANTANA</t>
  </si>
  <si>
    <t>(75) 3623-0260| 3626-0525</t>
  </si>
  <si>
    <t>EDVAN PEDREIRA DE OLIVEIRA</t>
  </si>
  <si>
    <t>(75) 9 8287-1581/9 9131-8398</t>
  </si>
  <si>
    <t>DAGMAR RIBEIRO DUARTE</t>
  </si>
  <si>
    <t>(75) 9 8846-0047</t>
  </si>
  <si>
    <t>ROSANE BOAVENTURA DE ALMEIDA</t>
  </si>
  <si>
    <t>(75) 9 9199-6607</t>
  </si>
  <si>
    <t>(75) 3223-7666</t>
  </si>
  <si>
    <t>JOAO PEDRO DE OLIVEIRA FILHO</t>
  </si>
  <si>
    <t>(75) 9 9124-5964</t>
  </si>
  <si>
    <t>SILVIA DE SANTANA BORGES</t>
  </si>
  <si>
    <t>(75) 9 9231-2131</t>
  </si>
  <si>
    <t>GISELIA DE SOUSA SILVA DOS SANTOS</t>
  </si>
  <si>
    <t>(75) 9 8836-2945</t>
  </si>
  <si>
    <t>(75) 3616-6577</t>
  </si>
  <si>
    <t>QUADRA F - CONJUNTO CENTENÁRIO - S/N</t>
  </si>
  <si>
    <t>QUEIMADINHA</t>
  </si>
  <si>
    <t>CLARICE BATISTA BARBOSA DE SOUZA</t>
  </si>
  <si>
    <t>(75) 9 9249-0272</t>
  </si>
  <si>
    <t>ANA PAULA DE ARRUDA GALVAO SOUSA</t>
  </si>
  <si>
    <t>(75) 9 9926-4266</t>
  </si>
  <si>
    <t>(75) 3602-7274</t>
  </si>
  <si>
    <t>MARIA DA CONCEICAO OLIVEIRA LOPES</t>
  </si>
  <si>
    <t>(75) 9 9116-8400</t>
  </si>
  <si>
    <t xml:space="preserve">	RAFAELA GIOVANA LIMA SANTANA DE ARAUJO</t>
  </si>
  <si>
    <t xml:space="preserve"> (75) 9 9135-9145</t>
  </si>
  <si>
    <t>FABIANA SANTOS DE JESUS</t>
  </si>
  <si>
    <t>(75) 9 9144-4416</t>
  </si>
  <si>
    <t>75-32240042| 32240788</t>
  </si>
  <si>
    <t>LUCIA BRANCO AMORIM DE ALMEIDA</t>
  </si>
  <si>
    <t>(75) 9 9217-3005</t>
  </si>
  <si>
    <t>FABIO SANTOS DE OLIVEIRA</t>
  </si>
  <si>
    <t>(75) 9 8818-7240</t>
  </si>
  <si>
    <t>ADENILZA NASCIMENTO ROCHA</t>
  </si>
  <si>
    <t>(75) 9 9212-4632</t>
  </si>
  <si>
    <t>(75) 3625-5728</t>
  </si>
  <si>
    <t>CLAUDIANA DE SOUZA SANTOS CARVALHO</t>
  </si>
  <si>
    <t>(75) 9 9208-8303</t>
  </si>
  <si>
    <t>GLEICE KELI BARBOSA SOUZA PORTUGAL</t>
  </si>
  <si>
    <t>(75) 9 8109-7581</t>
  </si>
  <si>
    <t>(75) 3622-6500</t>
  </si>
  <si>
    <t>COLEGIO ESTADUAL PROFESSORA TECLA MELLO</t>
  </si>
  <si>
    <t>ANDRE LUIS GOMES DE MATOS</t>
  </si>
  <si>
    <t>(75) 9 9153-5713</t>
  </si>
  <si>
    <t>MARIA VALDECI DAS MERCES CARNEIRO</t>
  </si>
  <si>
    <t>(75) 9 8161-7320</t>
  </si>
  <si>
    <t>(75) 3625-1639</t>
  </si>
  <si>
    <t>COLÉGIO ESTADUAL POLIVALENTE DE FEIRA DE SANTANA</t>
  </si>
  <si>
    <t>DANIELA CORDEIRO CONCEIÇÃO PEREIRA</t>
  </si>
  <si>
    <t>(75) 9 9989-0060</t>
  </si>
  <si>
    <t>GRACIELIA DA SILVA SOUZA E SENA</t>
  </si>
  <si>
    <t>(75) 9 9100-6898</t>
  </si>
  <si>
    <t>APOLIANNY LIMA DOS SANTOS BASTOS</t>
  </si>
  <si>
    <t>(75) 9 9134-3429</t>
  </si>
  <si>
    <t>(75) 3225-3361</t>
  </si>
  <si>
    <t>RUA 1 DE MAIO - S/N</t>
  </si>
  <si>
    <t>JACIDALVA SOARES GUSMAO CARVALHO</t>
  </si>
  <si>
    <t>(75) 9 8130-7232</t>
  </si>
  <si>
    <t>SANDRA DA SILVA CASTRO</t>
  </si>
  <si>
    <t>(75) 9 9129-5470</t>
  </si>
  <si>
    <t>(75) 3225-1147</t>
  </si>
  <si>
    <t>08 + 01 (Adapt)</t>
  </si>
  <si>
    <t>SHEILA CRISTINA TORRES SANTOS</t>
  </si>
  <si>
    <t>(75) 9 9198-1026</t>
  </si>
  <si>
    <t>NILDA FRANCA DE SOUZA</t>
  </si>
  <si>
    <t>(75) 9 9220-2525</t>
  </si>
  <si>
    <t>JANNINE SERRA ARAUJO</t>
  </si>
  <si>
    <t>(75) 9 9131-3883/ 9 8841-3883</t>
  </si>
  <si>
    <t>(75) 3223-6126| 3223-5608</t>
  </si>
  <si>
    <t>NEUMA CRISTINA PEREIRA PORTUGAL</t>
  </si>
  <si>
    <t>(75) 9 9961-4316</t>
  </si>
  <si>
    <t>THIAGO DE CARVALHO CUNHA</t>
  </si>
  <si>
    <t>(75) 9 9177-0959</t>
  </si>
  <si>
    <t>GLEICIANE SANTOS DE JESUS</t>
  </si>
  <si>
    <t>(75) 9 9800-5395</t>
  </si>
  <si>
    <t>(75) 3223-8060</t>
  </si>
  <si>
    <t>FLAVIA ALMEIDA DE ARAUJO</t>
  </si>
  <si>
    <t>(75) 9 9139-2495</t>
  </si>
  <si>
    <t>FELLIPE FREIRE DE ABREU</t>
  </si>
  <si>
    <t>(75) 9 9128-9254</t>
  </si>
  <si>
    <t>(75) 3223-6129| 3223-5640</t>
  </si>
  <si>
    <t>COLÉGIO ESTADUAL JOSÉ FERREIRA PINTO</t>
  </si>
  <si>
    <t>RUA A, SN CONJ FEIRA VI - S/N</t>
  </si>
  <si>
    <t>JORGE CARNEIRO RIOS</t>
  </si>
  <si>
    <t>(75) 9 8158-6500</t>
  </si>
  <si>
    <t>CLAUDIJANE PIMENTA LEAL DA SILVA</t>
  </si>
  <si>
    <t>(75) 9 9192-0605</t>
  </si>
  <si>
    <t>ADRIANO COSME PEREIRA LIMA</t>
  </si>
  <si>
    <t>(75) 9 9116-4488</t>
  </si>
  <si>
    <t>(75) 3224-0010| 3224-0426</t>
  </si>
  <si>
    <t>KALLY CRISTINA MATOS DE SOUZA CARNEIRO</t>
  </si>
  <si>
    <t>(75) 9 8278-6378</t>
  </si>
  <si>
    <t>JEQUIRICA</t>
  </si>
  <si>
    <t>IVANETE SOUA REIS SILVA</t>
  </si>
  <si>
    <t>(75) 9 9273-3701</t>
  </si>
  <si>
    <t>JOSELICE FERREIRA DA SILVA</t>
  </si>
  <si>
    <t>(75) 9 9966-7901</t>
  </si>
  <si>
    <t>(75) 3223-1479| 3223-0047</t>
  </si>
  <si>
    <t>LUCIANA DE MACEDO MACARIO</t>
  </si>
  <si>
    <t>(75) 9 9299-1766</t>
  </si>
  <si>
    <t>UBINEIDE CAVALLARO BOAVENTURA</t>
  </si>
  <si>
    <t>(75) 9 9160-0123</t>
  </si>
  <si>
    <t>MARIA DAS GRAÇAS CANCIO RAYNE</t>
  </si>
  <si>
    <t>(75) 9 9266-6521</t>
  </si>
  <si>
    <t>(75) 3225-1850</t>
  </si>
  <si>
    <t>COLÉGIO ESTADUAL HILDA CARNEIRO</t>
  </si>
  <si>
    <t>RUBENILDES FRANCISCA DA CONCEICAO NASCIMENTO</t>
  </si>
  <si>
    <t>(75) 9 8854-9619</t>
  </si>
  <si>
    <t>MARCIA MARIA DE OLIVEIRA ALMEIDA</t>
  </si>
  <si>
    <t>(75) 9 9977-4110</t>
  </si>
  <si>
    <t>(75) 3225-2424</t>
  </si>
  <si>
    <t>JOSINEIDE LIMA DE OLIVEIRA</t>
  </si>
  <si>
    <t>(75) 9 8198-6720</t>
  </si>
  <si>
    <t xml:space="preserve"> CARLOS LIVERTON DA SILVA BORGES</t>
  </si>
  <si>
    <t xml:space="preserve"> (75) 9 8105-6231</t>
  </si>
  <si>
    <t>(75) 3602-2180</t>
  </si>
  <si>
    <r>
      <rPr>
        <rFont val="Calibri, sans-serif"/>
        <b/>
        <color rgb="FF000000"/>
        <sz val="11.0"/>
      </rPr>
      <t>10 (</t>
    </r>
    <r>
      <rPr>
        <rFont val="Calibri, sans-serif"/>
        <b/>
        <color rgb="FFFF0000"/>
        <sz val="11.0"/>
      </rPr>
      <t>Sendo 08 como salas de aula,</t>
    </r>
    <r>
      <rPr>
        <rFont val="Calibri, sans-serif"/>
        <b/>
        <color rgb="FF000000"/>
        <sz val="11.0"/>
      </rPr>
      <t xml:space="preserve"> 01 adaptada para auditório e 01 adaptada para refeitório)</t>
    </r>
  </si>
  <si>
    <t>EDUARDO BRITO CORREIA</t>
  </si>
  <si>
    <t>(75) 9 9178-7016</t>
  </si>
  <si>
    <t>GILZON GONCALVES ARAUJO</t>
  </si>
  <si>
    <t>(75) 9 9973-3475</t>
  </si>
  <si>
    <t>JOSEMAURO DE SOUSA ALVES</t>
  </si>
  <si>
    <t>(75) 9 8845-9917</t>
  </si>
  <si>
    <t>75-32240029</t>
  </si>
  <si>
    <t>RUA ANGUERA - S/N</t>
  </si>
  <si>
    <t>IRANEIA FERREIRA LEITE</t>
  </si>
  <si>
    <t>(75) 9 9193-4602</t>
  </si>
  <si>
    <t>(75) 3603-0149| 3603-0063</t>
  </si>
  <si>
    <t>AVENIDA EDUARDO FRÓES DA MOTA - S/N</t>
  </si>
  <si>
    <t>35º BI</t>
  </si>
  <si>
    <t>RITA DE CASSIA DE SOUZA COSTA</t>
  </si>
  <si>
    <t>(75) 9 8877-6677/9 8871-8136</t>
  </si>
  <si>
    <t>JACKSON PALMEIRA FERREIRA</t>
  </si>
  <si>
    <t>(75) 9 9118-6360</t>
  </si>
  <si>
    <t>(75) 3225-3994</t>
  </si>
  <si>
    <t>COLÉGIO ESTADUAL GENERAL OSÓRIO</t>
  </si>
  <si>
    <t>LEANDRO MACIEL SOUZA</t>
  </si>
  <si>
    <t>(75) 9 9116-6058</t>
  </si>
  <si>
    <t>MERCIA CLEIDE BARBOSA MOTA DE SOUSA</t>
  </si>
  <si>
    <t>(75) 9 9132-5737</t>
  </si>
  <si>
    <t>ERICA SANTOS DE ALMEIDA</t>
  </si>
  <si>
    <t>(75) 9 9179-7536</t>
  </si>
  <si>
    <t>(75) 3221-8377</t>
  </si>
  <si>
    <t>MARYANGELA PINHEIRO DE ALMEIDA FRANCA</t>
  </si>
  <si>
    <t>(75) 9 8223-9024</t>
  </si>
  <si>
    <t>SILVANA MARIA SANTOS GUERRA</t>
  </si>
  <si>
    <t>(75) 9 9148-3028</t>
  </si>
  <si>
    <t>SUSANA CASTRO LEITE</t>
  </si>
  <si>
    <t>(75) 9 8806-4554</t>
  </si>
  <si>
    <t>(75) 3223-5636</t>
  </si>
  <si>
    <t>MUQUEM DE SAO FRANCISCO</t>
  </si>
  <si>
    <t>YANEZ MARCELO DE CERQUEIRA FREITAS</t>
  </si>
  <si>
    <t>(75) 9 8117-6986/9 9701-1605</t>
  </si>
  <si>
    <t>RAFAELA ROCHA DOS SANTOS</t>
  </si>
  <si>
    <t>(75) 9 9216-2283</t>
  </si>
  <si>
    <t>ALEXANDRA PATROCINIO NOGUEIRA</t>
  </si>
  <si>
    <t>(71) 9 9223-5223</t>
  </si>
  <si>
    <t>75-36257626</t>
  </si>
  <si>
    <t>ARACELI CARVALHO GOMES DANTAS</t>
  </si>
  <si>
    <t>(75) 9 8842-5003</t>
  </si>
  <si>
    <t>JACY BARBARA CUNHA DA SILVA SANTOS</t>
  </si>
  <si>
    <t>(75) 9 9210-8965</t>
  </si>
  <si>
    <t>(75) 3614-0775| 3602-7294</t>
  </si>
  <si>
    <t>MARIA NICE DE CERQUEIRA FERREIRA</t>
  </si>
  <si>
    <t>(75) 9 9111-9433</t>
  </si>
  <si>
    <t>TANIA GLACIA PORTO QUINTELLA</t>
  </si>
  <si>
    <t>(75) 9 9155-9975</t>
  </si>
  <si>
    <t>VENICIUS BOMFIM PANTOJA</t>
  </si>
  <si>
    <t>(75) 9 9151-8997</t>
  </si>
  <si>
    <t>(75) 3683-1248</t>
  </si>
  <si>
    <t>CLAUDIA FREIRE COSTA</t>
  </si>
  <si>
    <t>(75) 9 9134-7963</t>
  </si>
  <si>
    <t>ROSILANDIA DA PAIXAO GOMES</t>
  </si>
  <si>
    <t>(75) 9 8807-2973</t>
  </si>
  <si>
    <t>DILIENE DE JESUS SANTANA</t>
  </si>
  <si>
    <t>(75) 9 9154-9345</t>
  </si>
  <si>
    <t>75-32486029</t>
  </si>
  <si>
    <r>
      <rPr>
        <rFont val="Calibri, sans-serif"/>
        <b/>
        <color rgb="FF000000"/>
        <sz val="11.0"/>
      </rPr>
      <t>8 (</t>
    </r>
    <r>
      <rPr>
        <rFont val="Calibri, sans-serif"/>
        <b/>
        <color rgb="FFFF0000"/>
        <sz val="11.0"/>
      </rPr>
      <t>Sendo 07 como salas de aula</t>
    </r>
    <r>
      <rPr>
        <rFont val="Calibri, sans-serif"/>
        <b/>
        <color rgb="FF000000"/>
        <sz val="11.0"/>
      </rPr>
      <t xml:space="preserve"> e 01 adaptada para cozinha)</t>
    </r>
  </si>
  <si>
    <t>JULIANA FURTADO R SANTOS SANTANA</t>
  </si>
  <si>
    <t>(75) 9 9248-7644</t>
  </si>
  <si>
    <t>RODRIGO MARTINS SERPELONI</t>
  </si>
  <si>
    <t>(75) 9 8843-0640</t>
  </si>
  <si>
    <t>(75) 3225-4487</t>
  </si>
  <si>
    <t>CRISTIANE OLIVEIRA NUNES DE ARAUJO</t>
  </si>
  <si>
    <t>(75) 9 9120-1682</t>
  </si>
  <si>
    <t>ADILSON KLEBER MOTA CUNHA</t>
  </si>
  <si>
    <t>(75) 9 8148-7323</t>
  </si>
  <si>
    <t>75-32043011| 32043026</t>
  </si>
  <si>
    <t>MARIA EDJANE DE JESUS MENEZES</t>
  </si>
  <si>
    <t>(75) 9 9958-2492</t>
  </si>
  <si>
    <t>CLAUDIO RESSURREICAO DOS SANTOS</t>
  </si>
  <si>
    <t>(75) 9 9230-1654</t>
  </si>
  <si>
    <t>(75) 3204-5158</t>
  </si>
  <si>
    <t>ROSIENE FIGUEREDO RODRIGUES</t>
  </si>
  <si>
    <t>(75) 9 8834-2685</t>
  </si>
  <si>
    <t>SONIA RIBEIRO PEREIRA DE LIMA</t>
  </si>
  <si>
    <t>(75) 9 8814-6367</t>
  </si>
  <si>
    <t>(75) 3624-1908</t>
  </si>
  <si>
    <t>ANA VERENA RODRIGUES AMORIM</t>
  </si>
  <si>
    <t>(75) 9 9133-6078</t>
  </si>
  <si>
    <t>SÃO PEDRO AUXILIADORA DE JESUS A. ALMEIDA</t>
  </si>
  <si>
    <t>(75) 9 9810-7963</t>
  </si>
  <si>
    <t>ANDREA DOS REIS FILHO</t>
  </si>
  <si>
    <t>(75) 9 8838-1506</t>
  </si>
  <si>
    <t>(75) 3614-4109| 3614-1303</t>
  </si>
  <si>
    <t>JOSEANE SOUSA LIMA COSTA</t>
  </si>
  <si>
    <t>(75) 9 9101-4411</t>
  </si>
  <si>
    <t>JOSELITO DE ASSIS SANTOS</t>
  </si>
  <si>
    <t>(75) 9 9122-7367</t>
  </si>
  <si>
    <t>WILLIAM SOUZA LIMA</t>
  </si>
  <si>
    <t>(75) 9 9163-8698</t>
  </si>
  <si>
    <t>(75) 3622-6060</t>
  </si>
  <si>
    <t>RUA SANTA RITA - S/N</t>
  </si>
  <si>
    <t>PATRICIA FARIAS DOS SANTOS</t>
  </si>
  <si>
    <t>(75) 9 8156-4237</t>
  </si>
  <si>
    <t>ROSANGELA RIBEIRO REIS</t>
  </si>
  <si>
    <t>(75) 9 8247-9568</t>
  </si>
  <si>
    <t>(75) 3614-4587| 3624-0588</t>
  </si>
  <si>
    <t>DIREÇÃO DA ESCOLA: EDIANN DE ALMEIDA SANTOS - (75) 9 9272-0939
DIREÇÃO DA UNIDADE PM: TENENTE CORONEL LEONIR OLIVEIRA MORAES - (75) 9 9947-5177
DIREÇÃO DO ADJUNTO: MAJOR ADRIANA VILAS BOAS DE ATHAYDE - (75) 9 9100-3127</t>
  </si>
  <si>
    <t>SYNTIA MENEZES SILVA</t>
  </si>
  <si>
    <t>(75) 9 9268-7818</t>
  </si>
  <si>
    <t>TATIANA AMORIM DE OLIVEIRA</t>
  </si>
  <si>
    <t>(75) 9 9295-0015</t>
  </si>
  <si>
    <t>(75) 3224-4444/3224-1583</t>
  </si>
  <si>
    <t>MURILO JOSE RIBEIRO CERQUEIRA</t>
  </si>
  <si>
    <t>(75) 9 9966-1980</t>
  </si>
  <si>
    <t>SILVIA LETICIA DE SOUZA CERQUEIRA</t>
  </si>
  <si>
    <t>(75) 9 8368-0211</t>
  </si>
  <si>
    <t>SIDNEY SANTOS MARTINS DA SILVA</t>
  </si>
  <si>
    <t>(75) 9 9121-1820</t>
  </si>
  <si>
    <t>(75) 3624-5160</t>
  </si>
  <si>
    <t>TATIANA DOS SANTOS MOREIRA</t>
  </si>
  <si>
    <t>(75) 9 9191-3665</t>
  </si>
  <si>
    <t>JACQUELINE MELO DE SOUZA MORAIS</t>
  </si>
  <si>
    <t>(75) 9 8118-8206</t>
  </si>
  <si>
    <t>MATEUS DUMONT FADIGAS</t>
  </si>
  <si>
    <t>(75) 9 8137-4827</t>
  </si>
  <si>
    <t>(75) 3225-5173</t>
  </si>
  <si>
    <t>CENTRO INTEGRADO DE EDUCAÇÃO DE TEMPO INTEGRAL ASSIS CHATEAUBRIAND</t>
  </si>
  <si>
    <t>LEISLYANI COSTA DA SILVA VIEIRA</t>
  </si>
  <si>
    <t>(75) 9 9117-3663</t>
  </si>
  <si>
    <t>ROBSON RIBEIRO REIS</t>
  </si>
  <si>
    <t>(75) 9 8859-2538</t>
  </si>
  <si>
    <t>ERNESTO ANTONIO NEIVA SANTOS</t>
  </si>
  <si>
    <t>(75) 9 9190-0515</t>
  </si>
  <si>
    <t>(75) 3624-1040/ 3624-0788</t>
  </si>
  <si>
    <t>RUA JURACY MAGALHAES JUNIOR - S/N</t>
  </si>
  <si>
    <t>EDIVANE LIMA FONSECA PERGENTINO</t>
  </si>
  <si>
    <t>(75) 9 8855-3187</t>
  </si>
  <si>
    <t>FLORIZETE SANTOS LIMA</t>
  </si>
  <si>
    <t>(75) 9 9152-5494</t>
  </si>
  <si>
    <t>ELIZABETH MOTA NAZARETH DE ALMEIDA</t>
  </si>
  <si>
    <t>(75) 9 9901-7899</t>
  </si>
  <si>
    <t>(75) 3221-0499| 32235591</t>
  </si>
  <si>
    <t>JHOYNE RIOS DE MENEZES OLIVEIRA</t>
  </si>
  <si>
    <t>(75) 9 9236-8098</t>
  </si>
  <si>
    <t>MARIA SUELI DE OLIVEIRA</t>
  </si>
  <si>
    <t>(75) 9 9910-9890</t>
  </si>
  <si>
    <t>(75) 2102-8516</t>
  </si>
  <si>
    <t>ANA KARLA COUTINHO LEITE</t>
  </si>
  <si>
    <t>(75) 9 9231-9952</t>
  </si>
  <si>
    <t>JOAO RAFAEL SANTOS OLIVEIRA</t>
  </si>
  <si>
    <t>(75) 9 9138-6665</t>
  </si>
  <si>
    <t>(75) 3204-8102</t>
  </si>
  <si>
    <t>LUCIMAURA MARINHO DA PAIXAO</t>
  </si>
  <si>
    <t>(75) 9 9258-0427</t>
  </si>
  <si>
    <t>MARCELIA SOUZA NASCIMENTO CIDREIRA</t>
  </si>
  <si>
    <t>(75) 9 9980-5660</t>
  </si>
  <si>
    <t>(75) 3221-0675</t>
  </si>
  <si>
    <t>FABRICIO SILVA SANTOS</t>
  </si>
  <si>
    <t>(75) 9 8854-5863</t>
  </si>
  <si>
    <t>GILSELIA ELOI DA SILVA DE OLIVEIRA</t>
  </si>
  <si>
    <t>(75) 9 8841-1782</t>
  </si>
  <si>
    <t>(75) 3625-7755</t>
  </si>
  <si>
    <t>RITA DE CASSIA JAMBEIRO TABOADA DA SILVA</t>
  </si>
  <si>
    <t>(75) 9 9919-4433</t>
  </si>
  <si>
    <t>CAROLINA SOUZA PAIM BISPO</t>
  </si>
  <si>
    <t>(75) 9 9123-1378</t>
  </si>
  <si>
    <t>(75) 3223-3067</t>
  </si>
  <si>
    <t>ANEXO II - COLEGIO ESTADUAL DE TEMPO INTEGRAL DE FEIRA DE SANTANA  - CASA DE ATENDIMENTO SOCIOEDUCATIVO JUIZ DE MELO MATOS</t>
  </si>
  <si>
    <t>ANEXO I - COLEGIO ESTADUAL DE TEMPO INTEGRAL DE FEIRA DE SANTANA - CONJUNTO PENAL DE FEIRA DE SANTANA</t>
  </si>
  <si>
    <t>ANEXO - COLEGIO ESTADUAL DE TEMPO INTEGRAL DE FEIRA DE SANTANA - CASA DE ATENDIMENTO SOCIOEDUCATIVO ZILDA ARNS - DISTRITO MERCANT</t>
  </si>
  <si>
    <t>SIMONE NETO DE SANTANA OLIVEIRA</t>
  </si>
  <si>
    <t>(75) 9 9946-6638</t>
  </si>
  <si>
    <t>GISELA MARIA DA COSTA ARAUJO GOMES</t>
  </si>
  <si>
    <t>(75) 9 9903-6485</t>
  </si>
  <si>
    <t>(75) 3685-2267</t>
  </si>
  <si>
    <t>LUCIMARA SANTOS DA SILVA</t>
  </si>
  <si>
    <t>(75) 9 9918-3565</t>
  </si>
  <si>
    <t>COLÉGIO ESTADUAL DE TEMPO INTEGRAL PROFESSORA MARLENE ALVES DOS SANTOS</t>
  </si>
  <si>
    <t>AV PEDRO NOLASCO DE PINHO - 104</t>
  </si>
  <si>
    <t>NEUZA ALVES DOS SANTOS</t>
  </si>
  <si>
    <t>(75) 9 8200-3338</t>
  </si>
  <si>
    <t>RENAN OLIVEIRA ALVES DE SOUZA</t>
  </si>
  <si>
    <t>(75) 9 8302-2690</t>
  </si>
  <si>
    <t>IEDA MARIA BARBOSA FRANCO</t>
  </si>
  <si>
    <t>(75) 9 8355-4554</t>
  </si>
  <si>
    <t>(75) 3247-2686</t>
  </si>
  <si>
    <t>16 (Sendo 12 como sala de aula, 1 Laboratório Informática, 1 Biblioteca, 1 Laboratório Ciências/Depósito e 1 Sala dos professores/Articulação)</t>
  </si>
  <si>
    <t>ANEXO - COLÉGIO ESTADUAL DE TEMPO INTEGRAL PROFESSORA MARLENE ALVES DOS SANTOS - POVOADO BENTO SIMOES</t>
  </si>
  <si>
    <t>3 (Sendo 2 como sala de aula e 1 Depósito)</t>
  </si>
  <si>
    <t>COLÉGIO ESTADUAL SÃO JOSÉ</t>
  </si>
  <si>
    <t>JANETE AMORIM DE BRITO</t>
  </si>
  <si>
    <t>(75) 9 9955-9245</t>
  </si>
  <si>
    <t>CASSIANO RICARDO DE JESUS ASSIS</t>
  </si>
  <si>
    <t>(75) 9 9142-2337</t>
  </si>
  <si>
    <t>MURIEL PATRICIA SILVA DE ASSIS</t>
  </si>
  <si>
    <t>(75) 9 9100-0450</t>
  </si>
  <si>
    <t>(75) 3236-1251</t>
  </si>
  <si>
    <t xml:space="preserve"> 20 (Sendo 12 como salas de aula, 05 adaptadas para (laboratórios: 01 Humanas, 01 Inglês,
01 Linguagens, 01 Matemática e Ciências Naturais e 01 Clube de Ciências), 01 sala de AEE, 01 sala de vídeo e 01 sala de esportes)</t>
  </si>
  <si>
    <t>LADJANE BARBOSA DOS SANTOS</t>
  </si>
  <si>
    <t>(75) 9 9954-8765</t>
  </si>
  <si>
    <t>MARCOS SANTANA BRITO</t>
  </si>
  <si>
    <t>(75) 9 9961-3255</t>
  </si>
  <si>
    <t>GIOVANA MONTEIRO LEITE</t>
  </si>
  <si>
    <t>(75) 9 9961-7121</t>
  </si>
  <si>
    <t>(75) 3236-1019</t>
  </si>
  <si>
    <t>COLÉGIO ESTADUAL DE TEMPO INTEGRAL JOSÉ ANTÔNIO DE ALMEIDA</t>
  </si>
  <si>
    <t>BARBARA KELLY SANTOS PINHEIRO</t>
  </si>
  <si>
    <t>(75) 9 9161-7385</t>
  </si>
  <si>
    <t>DEISE BENN PEREIRA VIVAS</t>
  </si>
  <si>
    <t>(75) 9 9263-1953</t>
  </si>
  <si>
    <t>(75) 3694-2124</t>
  </si>
  <si>
    <t>8 ( Sendo 06 utilizadas como salas de aula, 01 sala adequada para biblioteca e 01 secretaria/administrativo</t>
  </si>
  <si>
    <t>COLÉGIO ESTADUAL POLIVALENTE DE SANTO ESTEVÃO</t>
  </si>
  <si>
    <t>RUA DR ANISIO MOREIRA ALVES - 00079</t>
  </si>
  <si>
    <t>ANTONIA AILDA CONCEICAO MAGALHAES</t>
  </si>
  <si>
    <t>(75) 9 8103-5719</t>
  </si>
  <si>
    <t>DINORA DE SOUSA PEREIRA NETA DAMASCENO</t>
  </si>
  <si>
    <t>(75) 9 9194-6195</t>
  </si>
  <si>
    <t>ADRIANA DE ALMEIDA SILVA</t>
  </si>
  <si>
    <t>(75) 9 9111-4967</t>
  </si>
  <si>
    <t>(75) 3245-3770</t>
  </si>
  <si>
    <t>FLAVIA DA ROCHA SILVA URBANO</t>
  </si>
  <si>
    <t>(75) 9 9177-6040</t>
  </si>
  <si>
    <t>LUCIANA DE CERQUEIRA PIMENTEL COSTA</t>
  </si>
  <si>
    <t>(75) 9 9820-6119</t>
  </si>
  <si>
    <t>ERICA BAIAO BAHIA</t>
  </si>
  <si>
    <t>(71) 9 9233-5854</t>
  </si>
  <si>
    <t>(75) 3245-1599</t>
  </si>
  <si>
    <t>COLÉGIO POLIVALENTE DE SÃO GONÇALO DOS CAMPOS - EM TEMPO INTEGRAL</t>
  </si>
  <si>
    <t>LUCIDALVA DE JESUS DALTRO</t>
  </si>
  <si>
    <t>(75) 9 9974-2448</t>
  </si>
  <si>
    <t>IVANA BORGES DE SOUZA</t>
  </si>
  <si>
    <t>(75) 9 9192-6519</t>
  </si>
  <si>
    <t xml:space="preserve"> ANTONIO CARLOS OLIVEIRA LEAL</t>
  </si>
  <si>
    <t>(71) 9 9286-8344</t>
  </si>
  <si>
    <t>(75) 3246-1456</t>
  </si>
  <si>
    <t>NOVO PADRÃO (COMPLEXO)</t>
  </si>
  <si>
    <t>COLÉGIO ESTADUAL NOVIS FILHO - TEMPO INTEGRAL</t>
  </si>
  <si>
    <t>RUA AMERICO TRABUCO - 41</t>
  </si>
  <si>
    <t>MARIA REGIVALDA SOUZA DOS SANTOS</t>
  </si>
  <si>
    <t>(75) 9 8143-7674</t>
  </si>
  <si>
    <t>MARIA DIONE SANTANA GUIMARAES</t>
  </si>
  <si>
    <t>(75) 9 8287-2695</t>
  </si>
  <si>
    <t>(75) 3249-2230</t>
  </si>
  <si>
    <t>19 ( Sendo 11 utilizadas como salas de  aula, 04 salas eletivas, 01 sala adaptada para refeitório, 01 sala adaptada para biblioteca, 01 sala adaptada para vídeo e 01 sala para secretaria.</t>
  </si>
  <si>
    <t>NILTON CESAR COUTINHO</t>
  </si>
  <si>
    <t>(75) 9 8879-3037</t>
  </si>
  <si>
    <t>(75) 3237-2389</t>
  </si>
  <si>
    <t>8  (Sendo 06 utilizadas como salas de aula, 01 adequada com laboratório de informática e 01 com sala de leitura/vídeo</t>
  </si>
  <si>
    <t>JOSE WILSON PEREIRA CORREIA</t>
  </si>
  <si>
    <t>(75) 9 81219165</t>
  </si>
  <si>
    <t>EUNICE MARIA DA SILVA</t>
  </si>
  <si>
    <t>(74) 9 9199-2580</t>
  </si>
  <si>
    <t>(75) 3238-9341</t>
  </si>
  <si>
    <t xml:space="preserve">10 ( Sendo 06 utilizadas como salas de aula e 04 adaptadas (02 salas multimídia, 01 depósito e 01 sala de leitura/bliblioteca). </t>
  </si>
  <si>
    <t>AILTON PALMEIRA DA SILVA</t>
  </si>
  <si>
    <t>(77) 9 9999-0937</t>
  </si>
  <si>
    <t>COLEGIO ESTADUAL SISINIO RIBEIRO SILVA - DISTRITO DE LINDO HORIZONTE - EM TEMPO INTEGRAL</t>
  </si>
  <si>
    <t>JESUINO DE SOUSA ROCHA</t>
  </si>
  <si>
    <t>(77) 9 9964 -6160</t>
  </si>
  <si>
    <t>PATRICK GOMES PEIXOTO</t>
  </si>
  <si>
    <t>(77) 9 9197-5750</t>
  </si>
  <si>
    <t>(77) 3435-6048</t>
  </si>
  <si>
    <t>COLEGIO ESTADUAL RENATO VIANA</t>
  </si>
  <si>
    <t>RUA 5 DE ABRIL - 114</t>
  </si>
  <si>
    <t>LEILA OLIVEIRA SILVA SOARES</t>
  </si>
  <si>
    <t>(77) 9 9967-5070</t>
  </si>
  <si>
    <t>MARIDELSON LIMA PORTO</t>
  </si>
  <si>
    <t>ARLENE SOARES RIBEIRO</t>
  </si>
  <si>
    <t>(77) 9 8844-3344</t>
  </si>
  <si>
    <t>(77) 3435-2308</t>
  </si>
  <si>
    <t>RUA SANTOS DUMONT, S/N, ARACATU.</t>
  </si>
  <si>
    <t>OLGA NETA DOS SANTOS LEMOS</t>
  </si>
  <si>
    <t>(77) 9 8135-8839/ 3446-2111</t>
  </si>
  <si>
    <t>CLAUDENICE SILVEIRA LOPES AIRES</t>
  </si>
  <si>
    <t>(77) 9 8131-2892</t>
  </si>
  <si>
    <t>(77) 3446-2209</t>
  </si>
  <si>
    <t>COLEGIO ESTADUAL VITORIA LIMA DE OLIVEIRA - DISTRITO DE BARRA NOVA</t>
  </si>
  <si>
    <t>ROMENITO VIANA DE SOUZA</t>
  </si>
  <si>
    <t>(77) 9 9982-7725</t>
  </si>
  <si>
    <t>REINALDO PEREIRA SILVA</t>
  </si>
  <si>
    <t>(77) 9 8105-4245</t>
  </si>
  <si>
    <t>(77) 3405-3012</t>
  </si>
  <si>
    <t>COLEGIO ESTADUAL DO CAMPO LUCIA ROCHA MACEDO- ASSENTAMENTO CANGUSSU</t>
  </si>
  <si>
    <t>LUCIENE ROCHA SILVA</t>
  </si>
  <si>
    <t>(77) 9 8877-6474</t>
  </si>
  <si>
    <t>02 + 02 (sendo 02 salas de aulas + 02 salas adaptadas para sala de aula (na antiga secretaria e na entiga sala de computação)</t>
  </si>
  <si>
    <t>MARIALANDIA COSTA MOREIRA</t>
  </si>
  <si>
    <t>(77) 9 8888-9951 / (77) 99990-7331</t>
  </si>
  <si>
    <t>MARIA LANE SABINO DA CUNHA ALMEIDA</t>
  </si>
  <si>
    <t>(77) 9 9960-8477</t>
  </si>
  <si>
    <t>(77) 3436-1049/2133</t>
  </si>
  <si>
    <t>ANEXO - COLÉGIO ESTADUAL DO CAMPO LÚCIA ROCHA MACEDO - ASSENTAMENTO PATRIA LIVRE</t>
  </si>
  <si>
    <t>ZENAIDE DE OLIVEIRA FERRAZ SILVA</t>
  </si>
  <si>
    <t>(77) 9 8809-6307</t>
  </si>
  <si>
    <t>MONIQUE ALVES BRITO</t>
  </si>
  <si>
    <t>(71) 98622-0492</t>
  </si>
  <si>
    <t>(77) 3421-6039</t>
  </si>
  <si>
    <t>COLÉGIO ESTADUAL DE TEMPO INTEGRAL PROFESSORA ELINEUZA DA SILVA FERREIRA
(ANTIGO COLÉGIO ESTADUAL CARLOS SANTANA)</t>
  </si>
  <si>
    <t>LUCIANO WEBER NUNES DE AGUIAR</t>
  </si>
  <si>
    <t>(77) 9 9966-8653</t>
  </si>
  <si>
    <t>PAULA FERRAZ OLIVEIRA</t>
  </si>
  <si>
    <t>(77) 9 9964- 0593</t>
  </si>
  <si>
    <t>CASSIANA PAULA FERRAZ SANTOS SILVA</t>
  </si>
  <si>
    <t>(77) 9 9954- 3520/9 9919-1036</t>
  </si>
  <si>
    <t>(77) 3437-2517 / 3437- 3480</t>
  </si>
  <si>
    <r>
      <rPr>
        <rFont val="Calibri"/>
        <b/>
        <color theme="1"/>
        <sz val="11.0"/>
      </rPr>
      <t>6 (</t>
    </r>
    <r>
      <rPr>
        <rFont val="Calibri"/>
        <b/>
        <color rgb="FFFF0000"/>
        <sz val="11.0"/>
      </rPr>
      <t>Sendo 04 como salas de aula</t>
    </r>
    <r>
      <rPr>
        <rFont val="Calibri"/>
        <b/>
        <color theme="1"/>
        <sz val="11.0"/>
      </rPr>
      <t>, 01 adaptada para sala de leitura e 01 adaptada para multiuso)</t>
    </r>
  </si>
  <si>
    <t>ANEXO - COLEGIO ESTADUAL CARLOS SANTANA - DISTRITO DE TIMBO</t>
  </si>
  <si>
    <t>/</t>
  </si>
  <si>
    <t>PRACA JUVENCIO AMARAL - S/N</t>
  </si>
  <si>
    <t>MIRAMAR BASTOS SILVA VILASBOAS ALVES</t>
  </si>
  <si>
    <t>(77) 9 8844-1797</t>
  </si>
  <si>
    <t>(77) 3461-1007</t>
  </si>
  <si>
    <t>COLEGIO ESTADUAL JOAO LOPES DE OLIVEIRA - EM TEMPO INTEGRAL</t>
  </si>
  <si>
    <t>ADAILSON DE JESUS COSTA</t>
  </si>
  <si>
    <t>(77) 9 8821-8627</t>
  </si>
  <si>
    <t>JOCASTA RIBEIRO SILVA SANTOS</t>
  </si>
  <si>
    <t>(77) 9 9977-2797</t>
  </si>
  <si>
    <t>(77) 3462-1061</t>
  </si>
  <si>
    <t xml:space="preserve">7+1 (Sendo que a biblioteca foi adaptada para sala de aula) </t>
  </si>
  <si>
    <t>ANEXO - COL. ESTADUAL JOAO LOPES DE OLIVEIRA - DIST. DE CALDEIRAO</t>
  </si>
  <si>
    <t>COLEGIO ESTADUAL O CAMPO MAMEDIO BATISTA LOBAO - DISTRITO DE LAGOA GRANDE</t>
  </si>
  <si>
    <t>DIANA FERRAZ DOS SANTOS</t>
  </si>
  <si>
    <t>(77) 9 8822-5784</t>
  </si>
  <si>
    <t>(77)3438-7574</t>
  </si>
  <si>
    <t>COLEGIO ESTADUAL DO CAMPO GEOVANE FERREIRA DE QUEIROZ - DISTRITO DE QUARACU</t>
  </si>
  <si>
    <t>PAULA APARECIDA DOS SANTOS</t>
  </si>
  <si>
    <t>(77) 9 9950-5948</t>
  </si>
  <si>
    <t>LUZIANE LISBOA MOITINHO</t>
  </si>
  <si>
    <t>(77) 9 8836-9664</t>
  </si>
  <si>
    <t>(77) 3438-6432</t>
  </si>
  <si>
    <t>COLEGIO ESTADUAL DE CÂNDIDO SALES - EM TEMPO INTEGRAL</t>
  </si>
  <si>
    <t>MARCIA DAIANA SOARES DE OLIVEIRA</t>
  </si>
  <si>
    <t>(77) 9 8803-3894/ 9 9131-6272</t>
  </si>
  <si>
    <t>ANA PAULA DE CASTRO CARVALHO</t>
  </si>
  <si>
    <t>(77) 9 8806-0316</t>
  </si>
  <si>
    <t>(77) 3438-1416 / 3438-2757</t>
  </si>
  <si>
    <t xml:space="preserve">10 ( Sendo 9 como salas de aula e 01 adaptada para biblioteca) </t>
  </si>
  <si>
    <t>COLEGIO ESTADUAL PETRINA NOVAIS SILVA CAIRO</t>
  </si>
  <si>
    <t>JOAO DA CRUZ NEVES SILVA NETO</t>
  </si>
  <si>
    <t>(77) 9 9103-9571</t>
  </si>
  <si>
    <t>LAURA CRISTINA ASSIS</t>
  </si>
  <si>
    <t>(77) 9 9119-0016</t>
  </si>
  <si>
    <t>(77) 3443-1254</t>
  </si>
  <si>
    <t>9+1</t>
  </si>
  <si>
    <t>PLINIO JOSE BARBOSA JUNIOR</t>
  </si>
  <si>
    <t>(77) 9 9116-7740</t>
  </si>
  <si>
    <t>RITA MARIA DOS SANTOS FERREIRA PORTO DUARTE</t>
  </si>
  <si>
    <t>(77) 9 9118-6756 / 98873-7169</t>
  </si>
  <si>
    <t>(77) 3445-2115</t>
  </si>
  <si>
    <t xml:space="preserve">10 (Sendo 8 como salas de aula e  01 adaptada para professores 01 adaptada para secretaria) </t>
  </si>
  <si>
    <t>ANEXO - COLEGIO EST. DE CONDEUBA - DIST. DE ALEGRE</t>
  </si>
  <si>
    <t>DIST. DE ALEGRE - S/N</t>
  </si>
  <si>
    <t>DIST. DE ALEGRE</t>
  </si>
  <si>
    <t>COLEGIO ESTADUAL JOSE MOREIRA CORDEIROS</t>
  </si>
  <si>
    <t>ELLEN CAIRES PESSOA COSTA</t>
  </si>
  <si>
    <t>(77) 9 8829 -5304</t>
  </si>
  <si>
    <t>IONARA KEILLA ANDRADE RIBEIRO</t>
  </si>
  <si>
    <t>(77) 9 8806-7449</t>
  </si>
  <si>
    <t>(77) 3447-2219</t>
  </si>
  <si>
    <t>COLEGIO ESTADUAL JOSE PALLES SOBRINHO - TEMPO INTEGRAL</t>
  </si>
  <si>
    <t>MARCIA FATIMA DE SOUZA BARBOSA</t>
  </si>
  <si>
    <t>(77) 9 9911- 3664</t>
  </si>
  <si>
    <t>(77) 9 9991-5618</t>
  </si>
  <si>
    <t>(77) 3439-2426</t>
  </si>
  <si>
    <t>9 ( Sendo 8 utilizadas como salas de aula e 01 para sala de video)</t>
  </si>
  <si>
    <t>COLEGIO ESTADUAL DO CAMPO NANCY DE CASTRO ESTAVES - DIST DE VILA DO CAFE</t>
  </si>
  <si>
    <t>PAULO ADOLFO COSTA NASCIMENTO</t>
  </si>
  <si>
    <t>(77) 9 9957-1438</t>
  </si>
  <si>
    <t>MURILO FRAGA PEREIRA</t>
  </si>
  <si>
    <t>(71) 9 9162-2376</t>
  </si>
  <si>
    <t>(77) 3439-6254</t>
  </si>
  <si>
    <t xml:space="preserve">4+1 ( Adaptou o laboratório de informatica para sala de aula) </t>
  </si>
  <si>
    <t>OFERTA</t>
  </si>
  <si>
    <t>Educacao Infantil</t>
  </si>
  <si>
    <t xml:space="preserve">Fundamental 9 </t>
  </si>
  <si>
    <t>Fundamental 9 em Tempo Integral</t>
  </si>
  <si>
    <t>LAERCIO MIRANDA COUTINHO</t>
  </si>
  <si>
    <t>(77) 9 8837-5258</t>
  </si>
  <si>
    <t>(77) 3417-2085</t>
  </si>
  <si>
    <t xml:space="preserve">7 ( Sendo 6  utilizadas como salas de aula e 1 como sala multifuncional) </t>
  </si>
  <si>
    <t>Ensino Médio</t>
  </si>
  <si>
    <t>Ensino Médio em Tempo Integral</t>
  </si>
  <si>
    <t>Médio Intermediação Tecnologica (EMITEC)</t>
  </si>
  <si>
    <t>COLEGIO ESTADUAL ZULEIDE FREIRE DE ABREU</t>
  </si>
  <si>
    <t>Tempo Juvenil</t>
  </si>
  <si>
    <t>EDJANE BOTELHO DE ABREU</t>
  </si>
  <si>
    <t>(77) 9 9127-9125</t>
  </si>
  <si>
    <t>MARCIA LEAL SANTANA SILVA</t>
  </si>
  <si>
    <t>(77) 9 9169-8824</t>
  </si>
  <si>
    <t>(77) 3466-2087</t>
  </si>
  <si>
    <t>Tempo de Aprender I</t>
  </si>
  <si>
    <t>Tempo Formativo I</t>
  </si>
  <si>
    <t>Tempo Formativo II</t>
  </si>
  <si>
    <t>Tempo de Aprender II</t>
  </si>
  <si>
    <t>Tempo Formativo III</t>
  </si>
  <si>
    <t>ANEXO - COLEGIO EST ZULEIDE FREIRE DE ABREU - DISTRITO DE VILA PAIOL</t>
  </si>
  <si>
    <t>PROEJA - Fundamental (Profissionalizante)</t>
  </si>
  <si>
    <t>PROEJA - Médio (Profissionalizante)</t>
  </si>
  <si>
    <t>Médio Integrado (Profissionalizante)</t>
  </si>
  <si>
    <t>Médio Integrado com Tempo Integral (Profissionalizante)</t>
  </si>
  <si>
    <t>Concomitante (Profissionalizante)</t>
  </si>
  <si>
    <t>Ensino Subsequente Profissionalizante</t>
  </si>
  <si>
    <t>ANEXO - COLEGIO EST ZULEIDE FREIRE DE ABREU - DISTRITO DE SAO JOSE</t>
  </si>
  <si>
    <t>Solicitado por Luan o desmenbramento desta totalização</t>
  </si>
  <si>
    <t>ANEXO - COLEGIO EST ZULEIDE FREIRE DE ABREU - DISTRITO DE ITUMERIM</t>
  </si>
  <si>
    <t>ANEXO - COLEGIO EST ZULEIDE FREIRE DE ABREU - DISTRITO DE IRUNDIARA</t>
  </si>
  <si>
    <r>
      <rPr>
        <rFont val="Calibri"/>
        <b/>
        <color theme="1"/>
        <sz val="11.0"/>
      </rPr>
      <t>15 (</t>
    </r>
    <r>
      <rPr>
        <rFont val="Calibri"/>
        <b/>
        <color rgb="FFFF0000"/>
        <sz val="11.0"/>
      </rPr>
      <t xml:space="preserve">sendo 09 salas de aula e </t>
    </r>
    <r>
      <rPr>
        <rFont val="Calibri"/>
        <b/>
        <color theme="1"/>
        <sz val="11.0"/>
      </rPr>
      <t>06 adaptadas: 01 para professores, 01 para multiuso e 04 multifuncionais)</t>
    </r>
  </si>
  <si>
    <t>MANOEL CARLOS FREIRA  SOUZA</t>
  </si>
  <si>
    <t>(77) 9 9189-6068</t>
  </si>
  <si>
    <t>COLEGIO ESTADUAL DUQUE DE CAXIAS - TEMPO INTEGRAL</t>
  </si>
  <si>
    <t>AVENIDA MONTEIRO LOBATO - 429</t>
  </si>
  <si>
    <t>LEUCE LILIANE GAMA SILVA</t>
  </si>
  <si>
    <t>(77) 9 9126-9341</t>
  </si>
  <si>
    <t>CLOVIS GONCALVES PESSOA</t>
  </si>
  <si>
    <t>(77) 9 9155-3819</t>
  </si>
  <si>
    <t>(77) 3463-2589 / 3463-2200</t>
  </si>
  <si>
    <t>ANEXO - COLEGIO EST DUQUE DE CAXIAS - POV DE JUREMA</t>
  </si>
  <si>
    <t>ANEXO - COLEGIO EST DUQUE DE CAXIAS - DIST TAUAPE</t>
  </si>
  <si>
    <t>COLEGIO ESTADUAL EDVALDO FLORES - EM TEMPO INTEGRAL</t>
  </si>
  <si>
    <t>MARCIANO SANTOS SILVA</t>
  </si>
  <si>
    <t>(71) 9 8754-6893</t>
  </si>
  <si>
    <t>JERONILDO ALMEIDA SILVA</t>
  </si>
  <si>
    <t>(77) 9 8824-1479</t>
  </si>
  <si>
    <t>ITAMAR ELOY MACHADO DA SILVA</t>
  </si>
  <si>
    <t>(77) 3472-2109</t>
  </si>
  <si>
    <t>COLEGIO ESTADUAL PROFESSOR DIOMAR SILVA BRITO</t>
  </si>
  <si>
    <t>MISAEL VIEIRA CASCAES</t>
  </si>
  <si>
    <t>(77) 9 8808-5471</t>
  </si>
  <si>
    <t>(77) 3468-1065</t>
  </si>
  <si>
    <r>
      <rPr>
        <rFont val="Calibri"/>
        <b/>
        <color theme="1"/>
        <sz val="11.0"/>
      </rPr>
      <t>20 salas,</t>
    </r>
    <r>
      <rPr>
        <rFont val="Calibri"/>
        <b/>
        <color rgb="FFFF0000"/>
        <sz val="11.0"/>
      </rPr>
      <t xml:space="preserve"> sendo 17 utilizadas para aula e </t>
    </r>
    <r>
      <rPr>
        <rFont val="Calibri"/>
        <b/>
        <color theme="1"/>
        <sz val="11.0"/>
      </rPr>
      <t>03 adaptadas: 01 para cozinha, 01 para sala de AEE e 01 para sala de coordenação</t>
    </r>
  </si>
  <si>
    <t>COLEGIO ESTADUAL LEONIDIA SILVA MOREIRA PARDINHO - TEMPO INTEGRAL</t>
  </si>
  <si>
    <t>RUA JOSE SILVA - 240</t>
  </si>
  <si>
    <t>MURILO SOUSA ALVES</t>
  </si>
  <si>
    <t>(77) 9 9196-6765</t>
  </si>
  <si>
    <t>MARIA DAS DORES DE SOUSA PEREIRA</t>
  </si>
  <si>
    <t>(77) 3464-2127</t>
  </si>
  <si>
    <t>COLEGIO ESTADUAL DE PIRIPA</t>
  </si>
  <si>
    <t>LUCIANO ROSAGUGE</t>
  </si>
  <si>
    <t>(77) 9 8832- 6755</t>
  </si>
  <si>
    <t>ANFRISIO CARVALHO DA ROCHA</t>
  </si>
  <si>
    <t>(77) 9 8833 -8828</t>
  </si>
  <si>
    <t>(77) 3440-2336</t>
  </si>
  <si>
    <t>16 salas, sendo 15 utilizadas para aula e 01 adaptada para sala de coordenação</t>
  </si>
  <si>
    <t>RITA DE CASSIA GOMES FONSECA ROCHA</t>
  </si>
  <si>
    <t>(77) 9 9963 6848</t>
  </si>
  <si>
    <t>LEILA SANTOS ROCHA OLIVEIRA</t>
  </si>
  <si>
    <t>(77) 9 979-4735</t>
  </si>
  <si>
    <t>(77) 3434-2914/3434-2625</t>
  </si>
  <si>
    <t>10 (Sendo 9 como sala de aula e 1 Sala multifuncional)</t>
  </si>
  <si>
    <t>ANEXO - COLEGIO ESTADUAL DE PLANALTO - DISTRITO DE LUCAIA</t>
  </si>
  <si>
    <t>LUCAIA - SN(00023)</t>
  </si>
  <si>
    <t xml:space="preserve">DISTRITO DE LUCAIA </t>
  </si>
  <si>
    <t>ANEXO - COLEGIO ESTADUAL DE PLANALTO - DISTRITO DE GERIBA</t>
  </si>
  <si>
    <t>COLEGIO ESTADUAL EURIDES SANTANA - TEMPO INTEGRAL</t>
  </si>
  <si>
    <t>TÂNIA CRISTINA ALMEIDA NOLASCO</t>
  </si>
  <si>
    <t>(77) 9 8122-6225</t>
  </si>
  <si>
    <t>JOSÉ DA COSTA PALMEIRA</t>
  </si>
  <si>
    <t>(77) 9 8823-8780</t>
  </si>
  <si>
    <t>DINORA SANTOS DIAS</t>
  </si>
  <si>
    <t>(77) 9 8848-0325</t>
  </si>
  <si>
    <t>(77) 3431-2262</t>
  </si>
  <si>
    <t>COLÉGIO ESTADUAL DOUTOR ROBERTO SANTOS - EM TEMPO INTEGRAL (antigo Col. Est. Milton Almeida dos Santos)</t>
  </si>
  <si>
    <t>RODRIGO SCHETTINI LONGO CALDAS</t>
  </si>
  <si>
    <t>(77) 9 9977-9274</t>
  </si>
  <si>
    <t>SANDRA TEIXEIRA SANTOS MARTINS</t>
  </si>
  <si>
    <t>(77) 9 8818-3237</t>
  </si>
  <si>
    <t>3431-2420/3431-1661</t>
  </si>
  <si>
    <t>COLEGIO ESTADUAL DO CAMPO ERALDO TINOCO - TEMPO INTEGRAL</t>
  </si>
  <si>
    <t>DEMARQUES CHAVES PORTELA</t>
  </si>
  <si>
    <t>(77) 9 8815-9790</t>
  </si>
  <si>
    <t>ANA APARECIDA DUARTE ISAAC COSTA</t>
  </si>
  <si>
    <t>(77) 9 8843-3280</t>
  </si>
  <si>
    <t>(77) 3492-2131/3492-2173</t>
  </si>
  <si>
    <t>06 + 03 (Adapt)</t>
  </si>
  <si>
    <r>
      <rPr>
        <rFont val="Calibri"/>
        <b/>
        <color theme="1"/>
        <sz val="11.0"/>
      </rPr>
      <t xml:space="preserve">09 salas, </t>
    </r>
    <r>
      <rPr>
        <rFont val="Calibri"/>
        <b/>
        <color rgb="FFFF0000"/>
        <sz val="11.0"/>
      </rPr>
      <t>sendo 08 salas de aula e</t>
    </r>
    <r>
      <rPr>
        <rFont val="Calibri"/>
        <b/>
        <color theme="1"/>
        <sz val="11.0"/>
      </rPr>
      <t xml:space="preserve"> 01 sala adaptada para multimídia. </t>
    </r>
  </si>
  <si>
    <t>COLEGIO ESTADUAL ANTONIO GONCALVES - TEMPO INTEGRAL</t>
  </si>
  <si>
    <t>HIGO LOPES ROCHA</t>
  </si>
  <si>
    <t>(77) 9 9143-6046</t>
  </si>
  <si>
    <t>FLAVIA AMARAL ROCHA</t>
  </si>
  <si>
    <t>(77) 9 8843-8645</t>
  </si>
  <si>
    <t>(77) 3478-1157</t>
  </si>
  <si>
    <t>7 (Sendo 5 como sala de aula, 1 como biblioteca e 1 como sal de recursos de multimidia)</t>
  </si>
  <si>
    <t>ANEXO - COLEGIO ESTADUAL ANTONIO GONCALVES - DISTRITO NOVA BRASILIA  </t>
  </si>
  <si>
    <t xml:space="preserve">6 (Sendo 5 como sala de aula e 1 como sala de leitura) </t>
  </si>
  <si>
    <t>ANEXO - COLÉGIO ESTADUAL ANTÔNIO GONÇALVES - ASSENTAMENTO BOA SORTE</t>
  </si>
  <si>
    <t>COLEGIO ESTADUAL MARIETA PEREIRA DOS SANTOS - TEMPO INTEGRAL</t>
  </si>
  <si>
    <t>DEBORAH FERRAZ DE MORAIS ALMEIDA</t>
  </si>
  <si>
    <t>(77) 9 9942-4852</t>
  </si>
  <si>
    <t>JAILTON SOUTO BAHIA</t>
  </si>
  <si>
    <t>(77) 9 9932-0180</t>
  </si>
  <si>
    <t>(77) 3494-2493</t>
  </si>
  <si>
    <t xml:space="preserve">7 ( Sendo 6 utilizadas como salas de aula e 01 adaptada para laboratorio de biologia) </t>
  </si>
  <si>
    <t>ANEXO - COLEGIO EST. MARIETA PEREIRA DOS SANTOS - DIST. FURADO DA CANCELA</t>
  </si>
  <si>
    <t>INSTITUTO DE EDUCACAO EUCLIDES DANTAS - TEMPO INTEGRAL</t>
  </si>
  <si>
    <t>ALEXANDRE DE JESUS SANTOS</t>
  </si>
  <si>
    <t>(75) 9 9285-1124</t>
  </si>
  <si>
    <t>GUTEMBERG RIBEIRO VIEIRA</t>
  </si>
  <si>
    <t>(77) 9 9115-2282</t>
  </si>
  <si>
    <t>ALBANO SILVA CARVALHO</t>
  </si>
  <si>
    <t>(77) 9 8875-3400</t>
  </si>
  <si>
    <t>(77) 3424-6321/3422-3354</t>
  </si>
  <si>
    <t>NAYARA OLIVEIRA VASCONCELOS</t>
  </si>
  <si>
    <t>(77) 9 8821-3989</t>
  </si>
  <si>
    <t>MARIA CONSUELO SILVA OLIVEIRA</t>
  </si>
  <si>
    <t>(77) 9 8844-3850</t>
  </si>
  <si>
    <t>LUCILENE FONTES DIAS DE MATOS</t>
  </si>
  <si>
    <t>(77) 9 9814-7075</t>
  </si>
  <si>
    <t>(77) 3427-3160</t>
  </si>
  <si>
    <t xml:space="preserve">COLÉGIO POLIVALENTE DE VITÓRIA DA CONQUISTA
(ESTUDANTES TRANSFERIDOS PARA O COMPLEXO INTEGRADO DE EDUCACAO BASICA, PROFISSIONAL E TECNOLOGIA DE VITORIA DA CONQUISTA)
 </t>
  </si>
  <si>
    <t>AVENIDA GUANAMBI, Nº S/N</t>
  </si>
  <si>
    <t>KEILA SIMARA MARQUES CAMPOS</t>
  </si>
  <si>
    <t>(77) 9 8823-9949</t>
  </si>
  <si>
    <t xml:space="preserve">UEE PARALISADA. (ATENDENDO A DEMANDA DO CPA (Comissões Permanentes de Avaliação) , FUNCIONA COMO ADMINISTRADORA DO ANEXO - C.E POLIVALENTE DE VITÓRIA DA CONQUISTA  - DISTRITO PRADOSO.) </t>
  </si>
  <si>
    <t>COLEGIO ESTADUAL PROFESSORA HELEUSA FIGUEIRA CAMARA - TEMPO INTEGRAL</t>
  </si>
  <si>
    <t>ADEMARIO SILVA SOUSA</t>
  </si>
  <si>
    <t>(77) 9 8825-3944</t>
  </si>
  <si>
    <t>NEIDIMA DE OLIVEIRA SILVA</t>
  </si>
  <si>
    <t>(77) 9 9841-2992</t>
  </si>
  <si>
    <t>(77) 3424-2671</t>
  </si>
  <si>
    <t>COLEGIO ESTADUAL PADRE LUIZ SOARES PALMEIRA</t>
  </si>
  <si>
    <t>PEDRO CAMPOS SOUSA</t>
  </si>
  <si>
    <t>(77) 9 8841-1172</t>
  </si>
  <si>
    <t xml:space="preserve"> MARI JANE MENEZES FILADELFO</t>
  </si>
  <si>
    <t>(77) 9 9176-5202</t>
  </si>
  <si>
    <t>JUSSARA SANTANA PEREIRA</t>
  </si>
  <si>
    <t>(77) 9 8821-5376</t>
  </si>
  <si>
    <t>(77) 3426-1599/3426-2218</t>
  </si>
  <si>
    <t>15 (Sendo 13 como salas de aula, 01 adaptada para secretaria e 01 adaptada para sala de ccordenação/professores))</t>
  </si>
  <si>
    <t>COLEGIO ESTADUAL JOSE SA NUNES</t>
  </si>
  <si>
    <t>DILCINÉIA PEREIRA DA SILVA</t>
  </si>
  <si>
    <t>(77) 9 8815-1295</t>
  </si>
  <si>
    <t>CRISTIANE CAMPOS PEREIRA SANTANA</t>
  </si>
  <si>
    <t>(77) 9 8809-7085</t>
  </si>
  <si>
    <t>LIANA FERRAZ BARBOSA PEREIRA</t>
  </si>
  <si>
    <t>(77) 98815-1628</t>
  </si>
  <si>
    <t>(77) 3424-6210 / 3424-6213</t>
  </si>
  <si>
    <t>COLEGIO ESTADUAL DOM CLIMERIO ALMEIDA DE ANDRADE - TEMPO INTEGRAL</t>
  </si>
  <si>
    <t>MARCELA GEAN MAIA DA VISITACAO BASTOS</t>
  </si>
  <si>
    <t>(77) 9 9874-9190</t>
  </si>
  <si>
    <t>MARIELLE LELES NEVES</t>
  </si>
  <si>
    <t>(77) 9 9151-2315</t>
  </si>
  <si>
    <t>(77) 3420-8087</t>
  </si>
  <si>
    <t>18 + 02 (Adapt)</t>
  </si>
  <si>
    <t>COLEGIO ESTADUAL DO CAMPO JOSE GONCALVES - DISTRITO DE JOSE GONCALVES - TEMPO INTEGRAL</t>
  </si>
  <si>
    <t>UILDIMA LIMA DO PRADO PEREIRA</t>
  </si>
  <si>
    <t>(77) 9 8144-1250</t>
  </si>
  <si>
    <t>IANY FRANCA PEREIRA</t>
  </si>
  <si>
    <t>(77) 9 8819-3438</t>
  </si>
  <si>
    <t>(77) 3402-6130</t>
  </si>
  <si>
    <t>COLEGIO ESTADUAL CAMILO DE JESUS LIMA</t>
  </si>
  <si>
    <t>MARIA DO SOCORRO DA COSTA PASSOS</t>
  </si>
  <si>
    <t>(77) 9 8801-7508</t>
  </si>
  <si>
    <t>RENATO GOMES BRIOSCHI</t>
  </si>
  <si>
    <t>(77)  9 8822-4931</t>
  </si>
  <si>
    <t>ELIZANIA CARVALHO OLIVEIRA SANTANA</t>
  </si>
  <si>
    <t>(77) 9 8817-7089</t>
  </si>
  <si>
    <t>(77) 3421-9620</t>
  </si>
  <si>
    <t>8 + 01 (Adapt)</t>
  </si>
  <si>
    <t>COLEGIO ESTADUAL ANISIO TEIXEIRA</t>
  </si>
  <si>
    <t>ALEXSANDRA DOS SANTOS RIBEIRO FROES</t>
  </si>
  <si>
    <t>(77) 9 8825-8668 / 3423-3902</t>
  </si>
  <si>
    <t>RITA DE CASSIA DO PRADO TRINDADE SANTOS</t>
  </si>
  <si>
    <t>(77) 9 8812-0541</t>
  </si>
  <si>
    <t>(77) 3421-1172</t>
  </si>
  <si>
    <t>COLEGIO ESTADUAL ADELMARIO PINHEIRO</t>
  </si>
  <si>
    <t>RUA PADRE JOSE DE ANCHIETA - S/N</t>
  </si>
  <si>
    <t>ALTO MARON</t>
  </si>
  <si>
    <t>ROSELI CORREIA MADUREIRA MOREIRA</t>
  </si>
  <si>
    <t>(77) 9 9174-6161</t>
  </si>
  <si>
    <t>SUZERLEI LIMA DE TRINDADE</t>
  </si>
  <si>
    <t>(77) 9 8823-8460</t>
  </si>
  <si>
    <t>MARIA LUIZA MEIRA BARROS LISBOA</t>
  </si>
  <si>
    <t>(77) 3425-6725</t>
  </si>
  <si>
    <t>(77) 3425-6725 / 3421-5737</t>
  </si>
  <si>
    <t>COLEGIO ESTADUAL ABDIAS MENEZES</t>
  </si>
  <si>
    <t>AVENIDA ROSA CRUZ - S/N</t>
  </si>
  <si>
    <t>RUTHNELLE DE OLIVEIRA CHAGAS</t>
  </si>
  <si>
    <t>(77) 9 8832-1954</t>
  </si>
  <si>
    <t>(77) 9 8888-1584</t>
  </si>
  <si>
    <t>(77) 3424-5685 / 3424-6033</t>
  </si>
  <si>
    <t>20 (Sendo 17 como salas de aula, 01 adaptada para biblioteca, 01 para sala de video e 01 para sala de AEE)</t>
  </si>
  <si>
    <t>COLEGIO EST DO CAMPO DA CABECEIRA DA JIBOIA - DIST CABECEIRA DA JIBOIA</t>
  </si>
  <si>
    <t>FABIOLA PEREIRA DE ARAUJO MELLO</t>
  </si>
  <si>
    <t>(77) 9 9983-0462</t>
  </si>
  <si>
    <t>COLEGIO DA POLICIA MILITAR - CPM ERALDO TINOCO</t>
  </si>
  <si>
    <t>DIREÇÃO DE ESCOLA: MILANA RIBEIRO GONCALVES DOS SANTOS - (77) 9 8802-3347
DIREÇÃO DA UNIDADE PM: TENENTE CORONEL RICARDO JOSÉ SOUZA E SILVA - (71) 9 8899-1973
DIREÇÃO DO ADJUNTO: MAJOR RONIVALDO PONTES DA SILVA - (77) 9 9936-9191</t>
  </si>
  <si>
    <t>ELAINE PITA GOMES GUENES</t>
  </si>
  <si>
    <t>(77) 9 9100-5730</t>
  </si>
  <si>
    <t>MARTAMIRA MARTINS DE OLIVEIRA</t>
  </si>
  <si>
    <t>(77) 9 8808-5822</t>
  </si>
  <si>
    <t>(77) 34246062</t>
  </si>
  <si>
    <t>17 (Sendo 16 como salas de aula e 01 adaptada pela fanfarra)</t>
  </si>
  <si>
    <t>ANGELICA MARINELIA DA SILVA CORDEIRO</t>
  </si>
  <si>
    <t>(77) 9 8803-1482</t>
  </si>
  <si>
    <t>VERUSKA ANACIREMA SANTOS DA SILVA</t>
  </si>
  <si>
    <t>(77) 9 8817-1365</t>
  </si>
  <si>
    <t>(77) 34221625 / 34255221</t>
  </si>
  <si>
    <t>LILIAN MOURA SILVA</t>
  </si>
  <si>
    <t>(77) 9 9135-1386</t>
  </si>
  <si>
    <t>SANDRA SILVA DAS VIRGENS</t>
  </si>
  <si>
    <t>(77) 9 8811-8331</t>
  </si>
  <si>
    <t>MARIA ESTELIA OLIVEIRA CORREIA</t>
  </si>
  <si>
    <t>(77) 98829-6775</t>
  </si>
  <si>
    <t>(77) 3421-6090/3423-1797/ 3423-2664</t>
  </si>
  <si>
    <t>PRACA TANCREDO NEVES N 86  - CEP: 45000540</t>
  </si>
  <si>
    <t>ALICE PERES IRIGOYEN</t>
  </si>
  <si>
    <t>(77) 9 8806-8192/ 9 8853-2613</t>
  </si>
  <si>
    <t>SARA RIBEIRO DOS SANTOS</t>
  </si>
  <si>
    <t>(77) 9 8822-0182</t>
  </si>
  <si>
    <t>ELMARA PEREIRA DE SOUZA</t>
  </si>
  <si>
    <t>(77) 9 9211-2218</t>
  </si>
  <si>
    <t>(77) 3424-6747</t>
  </si>
  <si>
    <t>ANEXO COLEGIO ESTADUAL PADRE LUIS SOARES PALMEIRA - DIST. DE BATE-PE</t>
  </si>
  <si>
    <t>ANEXO - JOSE DE SA NUNES - COL. EST - DISTRITO DE CERCADINHO</t>
  </si>
  <si>
    <t>ANEXO - COLEGIO POLIVALENTE DE VITORIA DA CONQUISTA - DISTRITO DE PRADOSO</t>
  </si>
  <si>
    <t>DISTRITO DE PRADOSO - SN(00010)</t>
  </si>
  <si>
    <t>ALUGADO (R$15.600.00)</t>
  </si>
  <si>
    <t>(77) 3426-0501/3426-0500</t>
  </si>
  <si>
    <t>ANEXO - COLEGIO ESTADUAL KLEBER PACHECO - CASE WANDERLINO NOGUEIRA NETO</t>
  </si>
  <si>
    <t>VEREDINHA - SN(00004)</t>
  </si>
  <si>
    <t>POVOADO DE VEREDINHA</t>
  </si>
  <si>
    <t>45 KM</t>
  </si>
  <si>
    <t>ANEXO - COLEGIO ESTADUAL JOSE SA NUNES - DISTRITO INHOBIM</t>
  </si>
  <si>
    <t>DISTRITO DE INHOBIM - S/Nº</t>
  </si>
  <si>
    <t>GUARANI</t>
  </si>
  <si>
    <t>ALUGADO (R$18.687.36)</t>
  </si>
  <si>
    <t>ANEXO - COLEGIO ESTADUAL JOSE SA NUNES - DIST. SAO JOÃO DA VITORIA ( BATUQUE)</t>
  </si>
  <si>
    <t>DISTRITO DE SAO JOAO DAS VITORIAS - S/N</t>
  </si>
  <si>
    <t>DIST. SAO JOÃO DA VITORIA ( BATUQUE)</t>
  </si>
  <si>
    <t>ANEXO - COLEGIO ESTADUAL JOSE SA NUNES - ASSENTAMENTO LAGOA DO CALDEIRAO</t>
  </si>
  <si>
    <t>ANEXO - COLEGIO ESTADUAL DO CAMPO DA CABECEIRA DA JIBOIA - DISTRITO CAPINAL</t>
  </si>
  <si>
    <t>ANEXO - COLEGIO EST ABDIAS MENEZES - DISTRITO DE LAGOA DAS FLORES</t>
  </si>
  <si>
    <t>RUA BELARMINO R. MARINHO, 28 - S/N</t>
  </si>
  <si>
    <t>LAGOA FLORES</t>
  </si>
  <si>
    <t>ALUGADO (R$ 46.800.00)</t>
  </si>
  <si>
    <t>JOSENALDO SOUZA CRUZ</t>
  </si>
  <si>
    <t>(75) 9 8208-7788/ 9 8150-9886</t>
  </si>
  <si>
    <t>CRISTIANE PINTO DE CASTRO SANTANA DA PAZ</t>
  </si>
  <si>
    <t>(75) 9 8208-7788</t>
  </si>
  <si>
    <t>RITA DE CASSIA GOMES SANTANA COSTA</t>
  </si>
  <si>
    <t>(75) 9 8157-5181</t>
  </si>
  <si>
    <t>(75) 3681-1025</t>
  </si>
  <si>
    <t>COLEGIO ESTADUAL QUILOMBOLA DE TEMPO INTEGRAL DA BACIA DO IGUAPE - DISTRITO DE SANTIAGO DO IGUAPE</t>
  </si>
  <si>
    <t>SAMIRA GESSICA ALVES DE SANTANA SANTOS</t>
  </si>
  <si>
    <t>(71) 9 8836-5079</t>
  </si>
  <si>
    <t>SAUL LOMBA BULHOSA OLIVEIRA</t>
  </si>
  <si>
    <t>(75) 9 9154-5491</t>
  </si>
  <si>
    <t>(75) 3414-5128</t>
  </si>
  <si>
    <t>MARIA HELENA DOS SANTOS ARAÚJO</t>
  </si>
  <si>
    <t>(71) 9 9162-4582</t>
  </si>
  <si>
    <t>ANDRE GUSTAVO PINHEIRO DOS SANTOS</t>
  </si>
  <si>
    <t>(75) 9 9250-0276</t>
  </si>
  <si>
    <t>RUANCELA OLIVEIRA DOS SANTOS SOUZA</t>
  </si>
  <si>
    <t>(75) 9 8184-8317</t>
  </si>
  <si>
    <t>(75) 3425-1619</t>
  </si>
  <si>
    <t>21 (sendo: 09 salas de aula, 01 adaptada para biblioteca e 11 encontram-se interditadas (A obra estava condicionada a conclusão da encosta pela CONDER, concluída em 30/06. Em fase de execução da reforma do bloco de salas para posterior liberação).</t>
  </si>
  <si>
    <t>COLÉGIO ESTADUAL DO CAMPO DE  TEMPO INTEGRAL CASTRO ALVES (ANTIGO POLIVALENTE)</t>
  </si>
  <si>
    <t>LÍLIAN GOMES DA SILVA</t>
  </si>
  <si>
    <t>(75) 9 8107-9547/9 9122-6547</t>
  </si>
  <si>
    <t>SORAIA CRISTINA CORDEIRO CEZAR</t>
  </si>
  <si>
    <t>(75) 9 8109-8343</t>
  </si>
  <si>
    <t>EDILEUSA BATISTA BARBOSA</t>
  </si>
  <si>
    <t>(75) 9 9115-9339</t>
  </si>
  <si>
    <t>(75) 3522-1689</t>
  </si>
  <si>
    <t>COLÉGIO ESTADUAL MANDINHO DE SOUZA ALMEIDA - TEMPO INTEGRAL</t>
  </si>
  <si>
    <t>MARILSON CARVALHO SANTOS</t>
  </si>
  <si>
    <t>(71) 9 8229-0678</t>
  </si>
  <si>
    <t>GRACIMARA FONSECA SANTOS</t>
  </si>
  <si>
    <t>(75) 9 8105-3168</t>
  </si>
  <si>
    <t>BÁRBARA SANTOS LOPES</t>
  </si>
  <si>
    <t>(75) 9 8277-7138</t>
  </si>
  <si>
    <t>(75) 3629-2051</t>
  </si>
  <si>
    <t>ZENAIDE DA SILVA OLIVEIRA</t>
  </si>
  <si>
    <t>(75) 9 9263-6770</t>
  </si>
  <si>
    <t>JUCELIA FIUZA DA CONCEIÇÃO DE JESUS</t>
  </si>
  <si>
    <t>(75) 9 9241-5750</t>
  </si>
  <si>
    <t>(75) 3621-4369</t>
  </si>
  <si>
    <t>AURILENE MALTA SILVA</t>
  </si>
  <si>
    <t>(75) 9 8165-0268</t>
  </si>
  <si>
    <t>CLAUDIA Mª FRANÇA DE SANTANA</t>
  </si>
  <si>
    <t>(75) ) 9 8181-9745 /9 8811-5444</t>
  </si>
  <si>
    <t>EMANUELLE DE SOUZA OLIVEIRA</t>
  </si>
  <si>
    <t>(75) 9 8803-2218</t>
  </si>
  <si>
    <t>(75) 3621-3370</t>
  </si>
  <si>
    <t>11 (sendo 09 como salas de aula e 02 adaptadas para biblioteca e laboratório de informática)</t>
  </si>
  <si>
    <t>JAASIEL JOAQUIM DOS SANTOS</t>
  </si>
  <si>
    <t>(74) 9 9107-0714</t>
  </si>
  <si>
    <t>NEIDE MOURA DOS SANTOS</t>
  </si>
  <si>
    <t>(75) 9 8224-4008</t>
  </si>
  <si>
    <t>(75) 3621-1245</t>
  </si>
  <si>
    <t>09 (sendo 07 como salas de aula e 02 adaptadas para sala de leitura e sala de professores)</t>
  </si>
  <si>
    <t>SILVIA MARIA COSTA BRANDAO DANTAS</t>
  </si>
  <si>
    <t>(75) 9 8148-9148</t>
  </si>
  <si>
    <t>EDLIVIA DOS SANTOS LEITE TRINDADE</t>
  </si>
  <si>
    <t>(75) 9 8119-1019/9 9181-3740</t>
  </si>
  <si>
    <t>ALDEVANE DE ALMEIDA ARAUJO</t>
  </si>
  <si>
    <t>(75) 9 8215-3593</t>
  </si>
  <si>
    <t>(75) 3621-3277</t>
  </si>
  <si>
    <t>COLÉGIO ESTADUAL ERALDO TINOCO MELO - - EM TEMPO INTEGRAL</t>
  </si>
  <si>
    <t>RONELIS PEREIRA MACEDO</t>
  </si>
  <si>
    <t>(75) 9 8351-5054</t>
  </si>
  <si>
    <t>FLORISMAR BEZERRA PITHON</t>
  </si>
  <si>
    <t>(75) 9 8371-5489</t>
  </si>
  <si>
    <t>(75) 3648-2104</t>
  </si>
  <si>
    <t>7 (sendo 06 como salas de aula e 01 adaptada p/ biblioteca)</t>
  </si>
  <si>
    <t>RITA DE CÁSSIA F. DE C. DE SANTANA</t>
  </si>
  <si>
    <t>(71) 9 9704-4362</t>
  </si>
  <si>
    <t>LUCIANO DANTAS ESTEVAM</t>
  </si>
  <si>
    <t>(75) 9 9141-2820</t>
  </si>
  <si>
    <t>ANIGER ROCHA DA SILVEIRA</t>
  </si>
  <si>
    <t>(75) 9 8121-4212/
  9 9180-2420</t>
  </si>
  <si>
    <t>(75) 3638-2263</t>
  </si>
  <si>
    <t>COLÉGIO ESTADUAL GERHARD MEYER SUERDIECK
(ANTIGO CE POLIVALENTE DE MARAGOGIPE)</t>
  </si>
  <si>
    <t>RUTH MARCIA SILVA FERREIRA SILVA</t>
  </si>
  <si>
    <t>(71) 9 8338-1680</t>
  </si>
  <si>
    <t>DENILSON ROMEIRO GARCIA JUNIOR</t>
  </si>
  <si>
    <t>(75) 9 8127-5951</t>
  </si>
  <si>
    <t>(75) 3526-1314</t>
  </si>
  <si>
    <t>15 (Sendo 12 como salas de aula, 01 adaptada p/ sala de jogos, 02 adaptadas p/ sala de multimidia)</t>
  </si>
  <si>
    <t>COLÉGIO ESTADUAL DO CAMPO NOSSA SENHORA DA CONCEICÃO - FAZENDA DO ROSARIO - TEMPO INTEGRAL</t>
  </si>
  <si>
    <t>GILMAR OLIVEIRA MALAQUIAS</t>
  </si>
  <si>
    <t>(71) 9 9646-3075</t>
  </si>
  <si>
    <t>(75) 3527-3429</t>
  </si>
  <si>
    <t>ALESSANDRA FERREIRA FAUSTO</t>
  </si>
  <si>
    <t>(75) 9 8146-6104</t>
  </si>
  <si>
    <t>BRUNA DE ASSIS DOS SANTOS</t>
  </si>
  <si>
    <t>(75) 9 8208-6219</t>
  </si>
  <si>
    <t>(75) 3527-6236</t>
  </si>
  <si>
    <t>5 (sendo 3 como salas de aula, 01 adaptada para sala de vídeo e 01 adaptada para refeitório)</t>
  </si>
  <si>
    <t>ALAN FERNANDES PRAZERES</t>
  </si>
  <si>
    <t>(75) 9 9986-6157</t>
  </si>
  <si>
    <t>ALDA MARIA PINTO PARANHOS</t>
  </si>
  <si>
    <t>(71) 9 9996-5317</t>
  </si>
  <si>
    <t>22 (sendo 16 como salas de aula, 03 adaptadas para laboratórios, 01 adaptada para cozinha, 01 adaptada para refeitório e 01 adaptada para grêmio)</t>
  </si>
  <si>
    <t>COLÉGIO ESTADUAL LUIS EDUARDO MAGALHÃES</t>
  </si>
  <si>
    <t xml:space="preserve"> MIRIAN FERREIRA BRITO DE ALMEIDA</t>
  </si>
  <si>
    <t>(75) 9 8822-5300</t>
  </si>
  <si>
    <t>LUCRECIA CRISTINA FIGUEIREDO LIRIO</t>
  </si>
  <si>
    <t>(75) 9 8840-0209</t>
  </si>
  <si>
    <t>(75) 3663-2141</t>
  </si>
  <si>
    <t>6 (Sendo 5 como sala de aula e 1 Sala Multifuncional)</t>
  </si>
  <si>
    <t>COLÉGIO ESTADUAL MANOEL BENEDITO MASCARENHAS - DISTRITO DE ITAPORÃ</t>
  </si>
  <si>
    <t>ELIANA CONCEIÇÃO BRAGA NUNES</t>
  </si>
  <si>
    <t>(75) 9 9217-1255</t>
  </si>
  <si>
    <t>IRACI PEREIRA MASCARENHAS CARMO</t>
  </si>
  <si>
    <t>(75) 9 8321-4295</t>
  </si>
  <si>
    <t>(75) 3424-6235</t>
  </si>
  <si>
    <t>CLAUDIA LEAL DOS SANTOS</t>
  </si>
  <si>
    <t>(75) 9 8203-4722</t>
  </si>
  <si>
    <t>PAULO RICARDO DE OLIVEIRA RIBEIRO</t>
  </si>
  <si>
    <t>(75) 9 9231-4931</t>
  </si>
  <si>
    <t>(75) 3424-1338</t>
  </si>
  <si>
    <t>ALINE PEIXOTO DE JESUS</t>
  </si>
  <si>
    <t>(75) 9 8200-8789</t>
  </si>
  <si>
    <t>ARLETE DE ANDRADE BARBOSA</t>
  </si>
  <si>
    <t>(75) 9 8172-3072</t>
  </si>
  <si>
    <t>JACIARA SILVA DE BRITO</t>
  </si>
  <si>
    <t>(75) 9 9964-2131</t>
  </si>
  <si>
    <t>(75) 3636-1709</t>
  </si>
  <si>
    <t>AURELINO CONCEIÇÃO PEREIRA JUNIOR</t>
  </si>
  <si>
    <t>(75) 9 8182-7855</t>
  </si>
  <si>
    <t>JOSÉ JORGE DA PAZ RIBEIRO</t>
  </si>
  <si>
    <t>(75) 9 8111-9210</t>
  </si>
  <si>
    <t>UBIRAJARA BARRETO COSTA</t>
  </si>
  <si>
    <t xml:space="preserve"> (75) 9 8114-0119</t>
  </si>
  <si>
    <t>COLÉGIO ESTADUAL JURACY MAGALHÃES</t>
  </si>
  <si>
    <t>DÊNISON SOARES DOS SANTOS</t>
  </si>
  <si>
    <t>(75) 9 8843-0191 - Zap (71) 9 9614-6589</t>
  </si>
  <si>
    <t>VALDIRENE FELIX GRANJA</t>
  </si>
  <si>
    <t>(75) 9 8843-5251</t>
  </si>
  <si>
    <t>JAIME DE AZEVEDO SILVA</t>
  </si>
  <si>
    <t>(71) 9 9997-2796</t>
  </si>
  <si>
    <t>(75) 3659-1600</t>
  </si>
  <si>
    <t>AV FERREIRA BANDEIRA - SN(00868)</t>
  </si>
  <si>
    <t>NAIHARA DE FREITAS CARVALHO</t>
  </si>
  <si>
    <t>(75) 9 8169-0169</t>
  </si>
  <si>
    <t>ELANY CRISTINA SEIXAS OLIVEIRA DE CASTRO</t>
  </si>
  <si>
    <t>(75) 9 9963-6399</t>
  </si>
  <si>
    <t>WILLIANA NEPOMUCENO SINVAL</t>
  </si>
  <si>
    <t>(75) 9 8100-8625</t>
  </si>
  <si>
    <t>(75) 3241-2942</t>
  </si>
  <si>
    <t>MARISTELA PORTELA PEREIRA</t>
  </si>
  <si>
    <t>(75) 9 9964-3608</t>
  </si>
  <si>
    <t>ISADORA MARIA LIMA DA SILVA</t>
  </si>
  <si>
    <t>(71) 9 9206-1818</t>
  </si>
  <si>
    <t>(75) 3201-2729</t>
  </si>
  <si>
    <t>7 (sendo 06 como salas de aula e 01 adaptada para biblioteca)</t>
  </si>
  <si>
    <t>MERCIA MARGARETE OLIVEIRA</t>
  </si>
  <si>
    <t>(75) 9 9989-0862</t>
  </si>
  <si>
    <t>SIMONE RODRIGUES DA SILVA</t>
  </si>
  <si>
    <t>(75) 9 9189-7306</t>
  </si>
  <si>
    <t>(75) 3208-1033</t>
  </si>
  <si>
    <t>LUCIMERY DOS SANTOS CARVALHO</t>
  </si>
  <si>
    <t>(75) 9 8859-0051</t>
  </si>
  <si>
    <t>MERCIA MARIA BARBOSA DE MENEZES</t>
  </si>
  <si>
    <t>(75) 9 9111-0860</t>
  </si>
  <si>
    <t>(75) 3241 3164</t>
  </si>
  <si>
    <t>JOELMA DE QUEIROZ NUNES</t>
  </si>
  <si>
    <t>(75) 9 9218-0831</t>
  </si>
  <si>
    <t>ANDREIA DO VALE REIS</t>
  </si>
  <si>
    <t>(75) 9 8125-1809</t>
  </si>
  <si>
    <t>ANA RITA OLIVEIRA M. C. NASCIMENTO</t>
  </si>
  <si>
    <t>(75) 9 8837-2316/9 9206-3541</t>
  </si>
  <si>
    <t>(75) 3631-3502</t>
  </si>
  <si>
    <t>COLÉGIO ESTADUAL DEMOCRATICO DOUTOR ROMULO ALMEIDA</t>
  </si>
  <si>
    <t>RUA CONSELHEIRO JOSE CASAES E SILVA - S/N</t>
  </si>
  <si>
    <t>NOSSA SENHORA DAS GRACAS</t>
  </si>
  <si>
    <t>MANOELA MERCÊS SANTOS</t>
  </si>
  <si>
    <t>(75) 9 8825-8716 / 9 9189-8436</t>
  </si>
  <si>
    <t>JOSELENE DOS SANTOS SOUZA</t>
  </si>
  <si>
    <t>(75) 9 8824-6749/ 71 9 9163-1606</t>
  </si>
  <si>
    <t>IVONETE BARBOSA DEOLIVEIRA</t>
  </si>
  <si>
    <t>(71) 9 9966-0848/(75) 9 8153-1238</t>
  </si>
  <si>
    <t>(75) 3632-3820</t>
  </si>
  <si>
    <t>IVANA APARECIDA GOMES LAGE MATOS</t>
  </si>
  <si>
    <t>(75) 9 9128-9150</t>
  </si>
  <si>
    <t>DAINA DOS SANTOS TEIXEIRA</t>
  </si>
  <si>
    <t>(75) 9 8221-8214/9 9134-6993</t>
  </si>
  <si>
    <t>(75) 3631-9003</t>
  </si>
  <si>
    <t>ALEXANDRA VEIGA SANTOS MEIRA</t>
  </si>
  <si>
    <t>(75) 9 8350-4004</t>
  </si>
  <si>
    <t>ELISABETE ALMEIDA DO VALE</t>
  </si>
  <si>
    <t>(75) 9 8844-0183</t>
  </si>
  <si>
    <t>(75) 3631-3167</t>
  </si>
  <si>
    <t>13 + 3 (adapt)</t>
  </si>
  <si>
    <t>COLÉGIO ESTADUAL SÃO FELIPE</t>
  </si>
  <si>
    <t>NEILSON GUEDES FERREIRA</t>
  </si>
  <si>
    <t>(71) 9 8841-6553</t>
  </si>
  <si>
    <t>ELIZABETE DE OLIVEIRA ALMEIDA</t>
  </si>
  <si>
    <t>(75) 9 8861-4323</t>
  </si>
  <si>
    <t>ADALGISA MARIA SOUZA DE QUEIROZ</t>
  </si>
  <si>
    <t>(75) 9 8823-8620</t>
  </si>
  <si>
    <t>(75) 3628-2650</t>
  </si>
  <si>
    <r>
      <rPr>
        <rFont val="Calibri"/>
        <color theme="1"/>
        <sz val="11.0"/>
      </rPr>
      <t xml:space="preserve">COLÉGIO ESTADUAL DO CAMPO DE TEMPO INTEGRAL DE BOTUPORÃ 
</t>
    </r>
    <r>
      <rPr>
        <rFont val="Calibri"/>
        <b/>
        <color theme="1"/>
        <sz val="11.0"/>
      </rPr>
      <t xml:space="preserve"> (ANTIGO C.E LUIS EDUARDO MAGALHÃES)</t>
    </r>
  </si>
  <si>
    <t>HOZANA MOTA C. PINTO DE SANTANA PEDREIRA</t>
  </si>
  <si>
    <t>(75) 9 9247-9414</t>
  </si>
  <si>
    <t>ELAINE CRISTINA DOS SANTOS PEREIRA</t>
  </si>
  <si>
    <t>(75) 9 8211-9906/9 9143-3730</t>
  </si>
  <si>
    <t>GLAUCE SOUZA SANTOS</t>
  </si>
  <si>
    <t>(75) 9 9979-4471</t>
  </si>
  <si>
    <t>(75) 3438 4195</t>
  </si>
  <si>
    <t>EDNALDO BARRETO DA SILVA</t>
  </si>
  <si>
    <t>(75) 9 9967-4694/9 8141-3501</t>
  </si>
  <si>
    <t>ROSANGELA MARIA BRITO OLIVEIRA DOS SANTOS</t>
  </si>
  <si>
    <t>(75) 9 8106-6787</t>
  </si>
  <si>
    <t>RICARDO JOSE RAMOS DOS SANTOS</t>
  </si>
  <si>
    <t>(75) 9 9968-7304</t>
  </si>
  <si>
    <t>(75) 3627 2616</t>
  </si>
  <si>
    <t>ROQUE CARDOZO PEREIRA</t>
  </si>
  <si>
    <t>(75) 9 8120-8576</t>
  </si>
  <si>
    <t>(75) 3627 5021</t>
  </si>
  <si>
    <r>
      <rPr>
        <rFont val="Calibri"/>
        <b/>
        <color theme="1"/>
        <sz val="11.0"/>
      </rPr>
      <t>09 (</t>
    </r>
    <r>
      <rPr>
        <rFont val="Calibri"/>
        <b/>
        <color rgb="FFFF0000"/>
        <sz val="11.0"/>
      </rPr>
      <t>sendo 08 salas de aula e</t>
    </r>
    <r>
      <rPr>
        <rFont val="Calibri"/>
        <b/>
        <color theme="1"/>
        <sz val="11.0"/>
      </rPr>
      <t xml:space="preserve"> 01 adaptada para laboratórios de química/física/biologia/matemática)</t>
    </r>
  </si>
  <si>
    <t>SÍLVIA REGINA DAS NEVES COAXI</t>
  </si>
  <si>
    <t>(75) 9 8115-4985/ 3627-2823</t>
  </si>
  <si>
    <t>DANIELA SILVA DE JESUS OLIVEIRA</t>
  </si>
  <si>
    <t>(75) 9 8112-1649</t>
  </si>
  <si>
    <t>GLEICIANE DAMASCENO DOS SANTOS</t>
  </si>
  <si>
    <t>(75) 9 8125-3190</t>
  </si>
  <si>
    <t>(75) 3627 3134</t>
  </si>
  <si>
    <t>COLEGIO ESTADUAL VALDELINA SIQUEIRA SANTOS- TEMPO INTEGRAL</t>
  </si>
  <si>
    <t>HELITANIA DOS SANTOS PEREIRA</t>
  </si>
  <si>
    <t>(71) 9 9221-4624</t>
  </si>
  <si>
    <t>DANIEL AVELINO LIMA DA SILVA</t>
  </si>
  <si>
    <t>(71) 9 9234-0045</t>
  </si>
  <si>
    <t>(71) 3696-1470</t>
  </si>
  <si>
    <r>
      <rPr>
        <rFont val="Calibri"/>
        <b/>
        <color theme="1"/>
        <sz val="11.0"/>
      </rPr>
      <t>8 (</t>
    </r>
    <r>
      <rPr>
        <rFont val="Calibri"/>
        <b/>
        <color rgb="FFFF0000"/>
        <sz val="11.0"/>
      </rPr>
      <t>sendo 07 como salas de aula</t>
    </r>
    <r>
      <rPr>
        <rFont val="Calibri"/>
        <b/>
        <color theme="1"/>
        <sz val="11.0"/>
      </rPr>
      <t xml:space="preserve"> e 01 adaptada para sala de leitura)</t>
    </r>
  </si>
  <si>
    <t>ADENOR SIMÕES CERQUEIRA</t>
  </si>
  <si>
    <t>(73) 9 9193-3356</t>
  </si>
  <si>
    <t>ANA LUCIA DOS SANTOS ALMEIDA</t>
  </si>
  <si>
    <t>(75) 9 9959-1017</t>
  </si>
  <si>
    <t>(75) 3381-1231</t>
  </si>
  <si>
    <t>COLÉGIO ESTADUAL DE AIQUARA - TEMPO INTEGRAL</t>
  </si>
  <si>
    <t>INDIRA OLIVEIRA DUQUE</t>
  </si>
  <si>
    <t>(73) 9 9140 - 1117</t>
  </si>
  <si>
    <t>PAULO SERGIO LIMA</t>
  </si>
  <si>
    <t>(73) 9 9104 - 0837</t>
  </si>
  <si>
    <t>(73) 3547-2063 / 2089</t>
  </si>
  <si>
    <t>COLÉGIO ESTADUAL DOUTOR VASCO FILHO - TEMPO INTEGRAL</t>
  </si>
  <si>
    <t>PRACA FRANCISCO PEREIRA DOS SANTOS - 25</t>
  </si>
  <si>
    <t>ALLAN GOIABEIRA DOS SANTOS</t>
  </si>
  <si>
    <t>(73) 9 9984-2796</t>
  </si>
  <si>
    <t>ALEX DOS SANTOS AMORIM</t>
  </si>
  <si>
    <t>(73) 9 9153 - 5887</t>
  </si>
  <si>
    <t>(73) 3276-1182</t>
  </si>
  <si>
    <t>CRISTIANO PEDREIRA LOPES</t>
  </si>
  <si>
    <t>(73) 9 8101-0840</t>
  </si>
  <si>
    <t>DENISE ALVES SANTOS</t>
  </si>
  <si>
    <t>(73) 98848-6262</t>
  </si>
  <si>
    <t>(73) 3202-2100 / 2312</t>
  </si>
  <si>
    <t>7 (sendo 06 como salas de aula e 01 adaptada para sala de leitura)</t>
  </si>
  <si>
    <r>
      <rPr>
        <rFont val="Calibri"/>
        <b/>
        <color theme="1"/>
        <sz val="11.0"/>
      </rPr>
      <t xml:space="preserve">* 18 salas, </t>
    </r>
    <r>
      <rPr>
        <rFont val="Calibri"/>
        <b/>
        <color rgb="FFFF0000"/>
        <sz val="11.0"/>
      </rPr>
      <t>sendo 13 para aula e</t>
    </r>
    <r>
      <rPr>
        <rFont val="Calibri"/>
        <b/>
        <color theme="1"/>
        <sz val="11.0"/>
      </rPr>
      <t xml:space="preserve"> 05 adapt.: 01 AEE, 03 de vídeo e 01 artesanato.</t>
    </r>
  </si>
  <si>
    <t xml:space="preserve">LUANDA NOGUEIRA SOUZA
</t>
  </si>
  <si>
    <t>(73) 9 9977 -3915</t>
  </si>
  <si>
    <t>JOAO LENO PEREIRA DE SOUSA</t>
  </si>
  <si>
    <t>(73) 9 9113 - 0296/ 98126-9038</t>
  </si>
  <si>
    <t>BRUNO MORBECK DE QUEIROZ</t>
  </si>
  <si>
    <t>(73) 9 9920-5861</t>
  </si>
  <si>
    <t>(77) 3433-2337</t>
  </si>
  <si>
    <t>NERIVAN SILVA NOVAIS</t>
  </si>
  <si>
    <t>(73) 9 9915-5257</t>
  </si>
  <si>
    <t>EMERSON CARLOS SOOUZA PAIM</t>
  </si>
  <si>
    <t>(73) 9 8847-9824</t>
  </si>
  <si>
    <t>DEBORA SAMPAIO LIMA MARQUES</t>
  </si>
  <si>
    <t>(73) 9 8838-5472</t>
  </si>
  <si>
    <t>(73) 3528-2700</t>
  </si>
  <si>
    <t>COLÉGIO ESTADUAL DE DARIO MEIRA - EM TEMPO INTEGRAL</t>
  </si>
  <si>
    <t>CLEMENTE MARIANI - SN(00025)</t>
  </si>
  <si>
    <t>ANA MARCIA VIEIRA MIRANDA</t>
  </si>
  <si>
    <t>(73) 9 8813 - 4930</t>
  </si>
  <si>
    <t>NEILSON FERNANDES</t>
  </si>
  <si>
    <t>(73) 9 8852 - 0288</t>
  </si>
  <si>
    <t>(73) 3621-2204</t>
  </si>
  <si>
    <t>MARA REGINA SANTOS TRAVIESO</t>
  </si>
  <si>
    <t>(73) 9 8811-0181</t>
  </si>
  <si>
    <t>MARDSON VASCONCELOS MACIEL</t>
  </si>
  <si>
    <t>(73) 9 8191-6136</t>
  </si>
  <si>
    <t>(73) 3240-2014</t>
  </si>
  <si>
    <t>JEANE DE JESUS DE SOUZA</t>
  </si>
  <si>
    <t>(73) 9 9136-7050</t>
  </si>
  <si>
    <t>(73) 3537-6055/6075</t>
  </si>
  <si>
    <t xml:space="preserve">JULIANE MACHADO CARVALHO RIBEIRO                           </t>
  </si>
  <si>
    <t>(73) 9 9818-8466</t>
  </si>
  <si>
    <t>MARIA NINA VIEIRA MOZER</t>
  </si>
  <si>
    <t>(73) 9 9152-3675</t>
  </si>
  <si>
    <t>RENAILDO SANTOS DA CONCEICAO</t>
  </si>
  <si>
    <t>(73) 9 9963-1383</t>
  </si>
  <si>
    <t>(73) 3537-3430</t>
  </si>
  <si>
    <t>COMPLEXO INTEGRADO DE EDUCAÇÃO DE IPIAÚ - CIE DE IPIAU - TEMPO INTEGRAL</t>
  </si>
  <si>
    <t>SUZERLEA LEITE BARRETO</t>
  </si>
  <si>
    <t>(73) 9 9147-6919</t>
  </si>
  <si>
    <t>THAISLANE SILVA DOS SANTOS CARVALHO</t>
  </si>
  <si>
    <t>(73) 9 9143-0653</t>
  </si>
  <si>
    <t>BRUNO PEREIRA PINHEIRO</t>
  </si>
  <si>
    <t>(73) 9 9171-5265</t>
  </si>
  <si>
    <t>(73) 3531-4494/ 4525</t>
  </si>
  <si>
    <t>17 + 01 (Adapt)</t>
  </si>
  <si>
    <t>JOSÉ CARLOS RIBEIRO SANTOS</t>
  </si>
  <si>
    <t>(73) 9 8149-8680</t>
  </si>
  <si>
    <t>CRISTINE SANTANA DOS SANTOS</t>
  </si>
  <si>
    <t>(73) 3531-3159</t>
  </si>
  <si>
    <t>LUIZ CARLOS DOS SANTOS</t>
  </si>
  <si>
    <t>(71) 9 9258-1246</t>
  </si>
  <si>
    <t>(73) 3531-3455/3634</t>
  </si>
  <si>
    <t>RADIMARA BOMFIM RAMOS DA SILVA</t>
  </si>
  <si>
    <t>(73) 9 8125 - 6936</t>
  </si>
  <si>
    <t>SIMONE SAMPAIO VEIGA</t>
  </si>
  <si>
    <t>(73) 99128-1261</t>
  </si>
  <si>
    <t>RAVIELLEN VIEIRA BARROS</t>
  </si>
  <si>
    <t>(73) 9 9184-7324</t>
  </si>
  <si>
    <t>(73) 98229-1203</t>
  </si>
  <si>
    <t>GENI SOUZA ZAIDAN NASSRI</t>
  </si>
  <si>
    <t>(73) 9 9108-3832</t>
  </si>
  <si>
    <t>NARA OLIVEIRA FREIRE</t>
  </si>
  <si>
    <t>(73) 9 9997-8818</t>
  </si>
  <si>
    <t>LIS DA SILVA MEIRA</t>
  </si>
  <si>
    <t>(73) 9 9191-1548</t>
  </si>
  <si>
    <t>(73) 3531-3390 /5293</t>
  </si>
  <si>
    <t>JOSÉ MAGNO RIBEIRO AGUIAR</t>
  </si>
  <si>
    <t>(73) 9 9824-7787</t>
  </si>
  <si>
    <t>ELIETE ALMEIDA DE OLIVEIRA</t>
  </si>
  <si>
    <t>(73) 9 9968-2803</t>
  </si>
  <si>
    <t>(73) 3539-2186</t>
  </si>
  <si>
    <t>10 (Sendo 8 como sala de aula e 2 Sala de vídeo)</t>
  </si>
  <si>
    <t>COLÉGIO ESTADUAL DULCE ALMEIDA - TEMPO INTEGRAL</t>
  </si>
  <si>
    <t>PAULA LEONOR MARCELO MIRANDA SAMPAIO</t>
  </si>
  <si>
    <t>(73) 9 8152-3497</t>
  </si>
  <si>
    <t>RUBIA SANTANA SOUZA GOMES</t>
  </si>
  <si>
    <t>(73) 9 8136-5376</t>
  </si>
  <si>
    <t>(73) 3244-2542</t>
  </si>
  <si>
    <t>9 (Sendo 7 como sala de aula, 1 Sala de leitura e 1 Auditório)</t>
  </si>
  <si>
    <t>COLÉGIO ESTADUAL JOÃO GALVÃO SOBRINHO - TEMPO INTEGRAL</t>
  </si>
  <si>
    <t>TAIANA ARAUJO VENEGEROLES</t>
  </si>
  <si>
    <t>(73) 9 8876-5486</t>
  </si>
  <si>
    <t>NATALIA FERREIRA SANTOS</t>
  </si>
  <si>
    <t>(73) 9 8893-3425</t>
  </si>
  <si>
    <t>JOSÉ GONÇALVES LOPES JÚNIOR</t>
  </si>
  <si>
    <t>(73) 9 9963-8361</t>
  </si>
  <si>
    <t>CARLA WALERIA DE SOUZA GARGANO SOGLIA</t>
  </si>
  <si>
    <t>(73) 9 9911-3162</t>
  </si>
  <si>
    <t>JOAO MARCIO RESENDE COSTA</t>
  </si>
  <si>
    <t>(73) 9 8843-4460</t>
  </si>
  <si>
    <t>(73) 3525-6915/9776</t>
  </si>
  <si>
    <t>COLÉGIO ESTADUAL PROFESSORA FARAILDES SANTOS - TEMPO INTEGRAL</t>
  </si>
  <si>
    <t>ISAAC OLIVEIRA CAIRES</t>
  </si>
  <si>
    <t>(73) 9 8863-4832</t>
  </si>
  <si>
    <t xml:space="preserve">LUCAS FLAVIO SOUZA NUNES </t>
  </si>
  <si>
    <t>(73) 3525-9370/ 3526-3029</t>
  </si>
  <si>
    <t>DAVID TONE SILVA CARREIRO</t>
  </si>
  <si>
    <t>(73) 9 9119-9073</t>
  </si>
  <si>
    <t>ANA PAULA MOREIRA DOS SANTOS PEIXOTO</t>
  </si>
  <si>
    <t>(73) 9 9177-4673</t>
  </si>
  <si>
    <t>IGOR EVANGELISTA DO CARMO</t>
  </si>
  <si>
    <t>(73) 9 8863-0368</t>
  </si>
  <si>
    <t>(73) 3525-0958/8525</t>
  </si>
  <si>
    <t>RISIA LOPES SOARES FURTUOSO</t>
  </si>
  <si>
    <t>(73) 9 9146-4910</t>
  </si>
  <si>
    <t>CLAUDINEIA JESUS NASCIMENTO QUADROS REIS</t>
  </si>
  <si>
    <t>(73) 9  8809-2736</t>
  </si>
  <si>
    <t>(73) 3525-4054/8651</t>
  </si>
  <si>
    <t>COLÉGIO ESTADUAL LUIZ NAVARRO DE BRITO - TEMPO INTEGRAL</t>
  </si>
  <si>
    <t>FABRINE MACHADO DE NOVAES</t>
  </si>
  <si>
    <t>(73) 9 8838-0908</t>
  </si>
  <si>
    <t>VILMAR SILVA SOUZA</t>
  </si>
  <si>
    <t>(73) 9 8845-1722</t>
  </si>
  <si>
    <t>JAILTON OLIVEIRA DOS SANTOS</t>
  </si>
  <si>
    <t>(73) 9 8846-7077</t>
  </si>
  <si>
    <t>(73) 3526-0671 / 2107</t>
  </si>
  <si>
    <t>COLÉGIO ESTADUAL LUISA MAHIM - TEMPO INTEGRAL</t>
  </si>
  <si>
    <t>JULIANA SOUZA ALVES</t>
  </si>
  <si>
    <t>(73) 9 8821-9486</t>
  </si>
  <si>
    <t>MARIA DE FÁTIMA NUNES DE SOUZA</t>
  </si>
  <si>
    <t>(73) 9 8808-9306</t>
  </si>
  <si>
    <t>KLEBER ANJOS BITTENCOURT BARRETO</t>
  </si>
  <si>
    <t>(73) 3525-0972</t>
  </si>
  <si>
    <t>COLÉGIO ESTADUAL DOUTOR MILTON SANTOS - COMUNIDADE QUILOMBOLA</t>
  </si>
  <si>
    <t>JEFFERSON ANDRADE ROSA</t>
  </si>
  <si>
    <t>(73) 9 8845-4320</t>
  </si>
  <si>
    <t xml:space="preserve"> LAURISTELLA ARAGAO SANTOS DASNEVES BORGES</t>
  </si>
  <si>
    <t>(73) 9 9162-1095</t>
  </si>
  <si>
    <t>(73) 3527-5209</t>
  </si>
  <si>
    <t>COLÉGIO ESTADUAL DE JEQUIÉ</t>
  </si>
  <si>
    <t>EMILY DE SOUZA SANTOS</t>
  </si>
  <si>
    <t>(73) 9 8851-0587/9 9117-2693</t>
  </si>
  <si>
    <t>ADRIANA EVANGELISTA GONCALVES</t>
  </si>
  <si>
    <t>(73) 9 9867-5002</t>
  </si>
  <si>
    <t>ROSA CLEUDE RIBEIRO OLIVEIRA</t>
  </si>
  <si>
    <t>(73) 9 8852-9766</t>
  </si>
  <si>
    <t>(73) 3525-6731/6730</t>
  </si>
  <si>
    <t>DIREÇÃO DA ESCOLA: EDILBERTO GONCALVES DOS SANTOS - (73) 9 8811-8582
DIREÇÃO DA UNIDADE PM: TENENTE CARLOS FERNANDO LEITE TEIXEIRA JUNIOR - (71) 9 9962-6227
DIREÇÃO DO ADJUNTO: MAJOR PAULO RAIMUNDO DE SOUZA CRUZ - (73) 9 9170-0000</t>
  </si>
  <si>
    <t>MARA CRISTINA SENA MATOS</t>
  </si>
  <si>
    <t xml:space="preserve"> (73) 9 9177-7344</t>
  </si>
  <si>
    <t>(73) 3525-5765</t>
  </si>
  <si>
    <t>SAÚ DA SILVA SOUZA</t>
  </si>
  <si>
    <t>(73) 9 9160 - 5199/ 99121-6438</t>
  </si>
  <si>
    <t>ADRIANO DE SOUZA OLIVEIRA</t>
  </si>
  <si>
    <t>(73) 9 9837-0155</t>
  </si>
  <si>
    <t>LUCIARA PEREIRA DA SILVA FURTUOZO</t>
  </si>
  <si>
    <t>(73) 9 8878-3155</t>
  </si>
  <si>
    <t>(73) 3525-8184</t>
  </si>
  <si>
    <t>FANNIE SAMPAIO PEREIRA NOVAIS</t>
  </si>
  <si>
    <t>(73) 9 9121-3097</t>
  </si>
  <si>
    <t>GENIVALDO SANTOS GOMES</t>
  </si>
  <si>
    <t>(73) 9 8803 8799</t>
  </si>
  <si>
    <t>KELDO VIRGILIO SILVA ANDRADE</t>
  </si>
  <si>
    <t>(73) 9 8193 8496</t>
  </si>
  <si>
    <t>(73) 3525-1341/9515</t>
  </si>
  <si>
    <t>EDVALDO RAIMUNDO DE NOVAES FILHO</t>
  </si>
  <si>
    <t>(73) 9 9138-9356</t>
  </si>
  <si>
    <t>ANDERSON DE SOUZA SANTOS</t>
  </si>
  <si>
    <t xml:space="preserve"> (73) 9 8807-8451</t>
  </si>
  <si>
    <t>GIRLANE DE SOUZA BRANDAO RODRIGUES</t>
  </si>
  <si>
    <t xml:space="preserve"> (73) 9 9137-4745</t>
  </si>
  <si>
    <t>(73) 3525-9540/9100</t>
  </si>
  <si>
    <t>COLÉGIO ESTADUAL GILDA RAMOS DOS SANTOS - TEMPO INTEGRAL</t>
  </si>
  <si>
    <t>ELIANE SARDINHA BARRETO</t>
  </si>
  <si>
    <t>(73) 9 9971-1991</t>
  </si>
  <si>
    <t>EDELZITA DIAS DUARTE OLIVEIRA</t>
  </si>
  <si>
    <t>(73) 9 9973-8518</t>
  </si>
  <si>
    <t>JEFERSON ALVES DOS SANTOS</t>
  </si>
  <si>
    <t>(73) 9 8817-7318</t>
  </si>
  <si>
    <t>(73) 3535 -2196</t>
  </si>
  <si>
    <t>6+4Adaptada</t>
  </si>
  <si>
    <t xml:space="preserve">          FABIANE DE AZEVEDO NOGUEIRA</t>
  </si>
  <si>
    <t>(73) 9 8112 - 2210</t>
  </si>
  <si>
    <t>NATANAEL ALMEIDA SANTOS</t>
  </si>
  <si>
    <t>(73) 9 8836-7202</t>
  </si>
  <si>
    <t>(73) 3549-2198 / 2153</t>
  </si>
  <si>
    <t>8 (Sendo 6 como sala de aula, 1 Sala de vídeo e 1 Coordenação Pedagógica)</t>
  </si>
  <si>
    <t>DALILA FONSECA PONTES FERNANDES</t>
  </si>
  <si>
    <t>(73) 9 9860-6845</t>
  </si>
  <si>
    <t xml:space="preserve"> ELISANGELA LIMA MASCARENHAS</t>
  </si>
  <si>
    <t>(73) 9 8833-8988</t>
  </si>
  <si>
    <t>(73) 3653-1156</t>
  </si>
  <si>
    <t>10 (Sendo 9 como sala de aula e 1 adaptada para sala de leitura)</t>
  </si>
  <si>
    <t>RUBENS SANTOS</t>
  </si>
  <si>
    <t>(73) 9 8839 - 1408</t>
  </si>
  <si>
    <t xml:space="preserve">ANA PAULA MARQUES </t>
  </si>
  <si>
    <t>(73) 9 8823-2499</t>
  </si>
  <si>
    <t>CAMILE BARBOSA MORAES</t>
  </si>
  <si>
    <t>(73) 9 8830-7742</t>
  </si>
  <si>
    <t>(73) 3245-1275 / 2225</t>
  </si>
  <si>
    <t xml:space="preserve">16 ( Sendo 14 salas de aulas, 01 utilizada como laboratório de ciências e 01 como deposito, </t>
  </si>
  <si>
    <t>ZILENE DOS SANTOS OLIVEIRA</t>
  </si>
  <si>
    <t>(77) 9 9965-8310</t>
  </si>
  <si>
    <t>SOLANGE LINHARES JORGE</t>
  </si>
  <si>
    <t>(77) 9 9961-0635</t>
  </si>
  <si>
    <t>6 ( Sendo 04 como salas de aula e 01 de adaptada para informática e 01 adaptada para sala de multiuso)</t>
  </si>
  <si>
    <t>ANEXO - COLEGIO ESTADUAL LUIS EDUARDO MAGALHAES - POVOADO DE MAMONAL</t>
  </si>
  <si>
    <t>ANEXO - COLEGIO ESTADUAL LUIS EDUARDO MAGALHAES - DISTRITO DE MOMBACA</t>
  </si>
  <si>
    <t>ANEXO - COLEGIO ESTADUAL LUIS EDUARDO MAGALHAES - DIST. DE SANTA LUZIA</t>
  </si>
  <si>
    <t>SANTA LUZIA - SN(00007)</t>
  </si>
  <si>
    <t>DIST. DE SANTA LUZIA</t>
  </si>
  <si>
    <t>COLEGIO ESTADUAL RUY BARBOSA</t>
  </si>
  <si>
    <t>RUA PATRICIO DE QUEIROZ - SN(00164)</t>
  </si>
  <si>
    <t xml:space="preserve"> JOSENILTON CERQUEIRA SANTOS</t>
  </si>
  <si>
    <t>(71) 9 8242-7465</t>
  </si>
  <si>
    <t>VIVALDA DOMINGUES A. QUEIROZ</t>
  </si>
  <si>
    <t>(77) 9 9913-2129</t>
  </si>
  <si>
    <t>SANDRA MARIA MOURA TRINDADE VIANA</t>
  </si>
  <si>
    <r>
      <rPr>
        <rFont val="Calibri"/>
        <b/>
        <color theme="1"/>
        <sz val="11.0"/>
      </rPr>
      <t xml:space="preserve">16 salas, </t>
    </r>
    <r>
      <rPr>
        <rFont val="Calibri"/>
        <b/>
        <color rgb="FFFF0000"/>
        <sz val="11.0"/>
      </rPr>
      <t>sendo 13 como salas de aula</t>
    </r>
    <r>
      <rPr>
        <rFont val="Calibri"/>
        <b/>
        <color theme="1"/>
        <sz val="11.0"/>
      </rPr>
      <t>, 01 adapt. para lab. de informática, 01 adapt. para segurança do trabalho e 01 adapt. para lab. ciências.</t>
    </r>
  </si>
  <si>
    <t>(77) 9 9101-1366</t>
  </si>
  <si>
    <t>JEANCARLO ROCHA FALCAO</t>
  </si>
  <si>
    <t>(77) 9 9101-3702</t>
  </si>
  <si>
    <t>VALMI QUEIROZ DA SILVA</t>
  </si>
  <si>
    <t>(77) 9 8159-2786</t>
  </si>
  <si>
    <t>ANEXO - COLEGIO ESTADUAL DE COCOS - COMUNIDADE QUILOMBOLA DE CAJUEIRO</t>
  </si>
  <si>
    <t>ANEXO - COLEGIO ESTADAUAL DE COCOS - COMUNIDADE INDIGENA DE PORCOS</t>
  </si>
  <si>
    <t>COLEGIO ESTADUAL SAO JOAO DOS GERAIS</t>
  </si>
  <si>
    <t>ROMILDA ALVES DOS ANJOS</t>
  </si>
  <si>
    <t>(77) 9 8145-4211</t>
  </si>
  <si>
    <t>(SECRETÁRIA) DIOLIRA SILVA COSTA</t>
  </si>
  <si>
    <t>(77) 9 9196-0078</t>
  </si>
  <si>
    <t xml:space="preserve">16 ( Sendo  12 utilizadas como salas de aula, 01 sala de multimidia e 03 depositos) </t>
  </si>
  <si>
    <t>ANEXO - COLEGIO ESTADUAL SAO JOAO DOS GERAIS -DISTRITO DE COLONIA DO FORMOSO</t>
  </si>
  <si>
    <t>ANEXO - COLEGIO ESTADUAL SAO JOAO DOS GERAIS - DISTRITO DE DESCOBERTO</t>
  </si>
  <si>
    <t>GENIVAL DE SOUZA LOPES</t>
  </si>
  <si>
    <t>(77) 9 9929-5872</t>
  </si>
  <si>
    <r>
      <rPr>
        <rFont val="Calibri"/>
        <b/>
        <color theme="1"/>
        <sz val="11.0"/>
      </rPr>
      <t>20 salas sendo:</t>
    </r>
    <r>
      <rPr>
        <rFont val="Calibri"/>
        <b/>
        <color rgb="FFFF0000"/>
        <sz val="11.0"/>
      </rPr>
      <t xml:space="preserve"> 19 salas de aula</t>
    </r>
    <r>
      <rPr>
        <rFont val="Calibri"/>
        <b/>
        <color theme="1"/>
        <sz val="11.0"/>
      </rPr>
      <t xml:space="preserve"> e 01 sala adaptada para artes.</t>
    </r>
  </si>
  <si>
    <t>CLEBER AIRES NASICMENTO</t>
  </si>
  <si>
    <t>(77) 9 8854-0717</t>
  </si>
  <si>
    <t>CRISTINA DE NOVAIS GONÇALVES</t>
  </si>
  <si>
    <t>(77) 9 9903-2189</t>
  </si>
  <si>
    <t>ALBERTO JANIO SOUSA NASCIMENTO</t>
  </si>
  <si>
    <t>(77) 9 8801-2298</t>
  </si>
  <si>
    <t>(77) 3488-2816</t>
  </si>
  <si>
    <t>RUA DA EXTREMA - S/N</t>
  </si>
  <si>
    <t xml:space="preserve">ALUGADO(R$ 60.000,00)
</t>
  </si>
  <si>
    <t>SANDRA DE MATOS ROCHA</t>
  </si>
  <si>
    <t>(77) 9 8811-5361</t>
  </si>
  <si>
    <t>APARECIDA AMARAL SILVA</t>
  </si>
  <si>
    <t>(77) 9 9986 - 1044</t>
  </si>
  <si>
    <t>16 (Sendo 16 como salas de aulas e 01 adaptada para biblioteca)</t>
  </si>
  <si>
    <t>ANEXO - COLEGIO ESTADUAL DUQUE DE CAXIAS -DISTRITO DE ARROGELANDIA</t>
  </si>
  <si>
    <t>ANEXO - COLEGIO ESTADUAL DUQUE DE CAXIAS - DISTRITO SAO MANOEL DE BAIXO</t>
  </si>
  <si>
    <t>TIRADENTES - 30</t>
  </si>
  <si>
    <t>DISTRITO SAO MANOEL DE BAIXO</t>
  </si>
  <si>
    <t>ANEXO - COLEGIO ESTADUAL DUQUE DE CAXIAS - DISTRITO DE VILA DO ROSARIO</t>
  </si>
  <si>
    <t>VILA DO ROSARIO - S/N</t>
  </si>
  <si>
    <t xml:space="preserve"> DISTRITO DE VILA DO ROSARIO</t>
  </si>
  <si>
    <t>210KM</t>
  </si>
  <si>
    <t>COLEGIO ESTADUAL FRANCISCO MOREIRA ALVES</t>
  </si>
  <si>
    <t>VERALUZIA SANTOS CASTRO RODRIGUES</t>
  </si>
  <si>
    <t>(77) 9 9866-4470</t>
  </si>
  <si>
    <t>HILDA REGIA LUCENA CAMELO</t>
  </si>
  <si>
    <t>(77) 9 9994-5342</t>
  </si>
  <si>
    <t>9 (Sendo 8 como sala de aula e 1 Multimidia)</t>
  </si>
  <si>
    <t>ANEXO - COLEGIO ESTADUAL FRANCISCO MOREIRA ALVES - POVOADO DE BREJAO</t>
  </si>
  <si>
    <t>COLEGIO ESTADUAL ROLANDO LARANJEIRA BARBOSA</t>
  </si>
  <si>
    <t xml:space="preserve"> RAMON DE SA AMARAL</t>
  </si>
  <si>
    <t xml:space="preserve"> (77) 9 9191-3280</t>
  </si>
  <si>
    <t>DEISIVANIA SANTOS MARQUES DA HORA</t>
  </si>
  <si>
    <t>(77) 9 9168-6575</t>
  </si>
  <si>
    <t>DUCILENE DE OLIVEIRA SOUZA PEREIRA</t>
  </si>
  <si>
    <t>(77) 9 9995-7244</t>
  </si>
  <si>
    <t>LIECI SANTOS DE MOURA MONTEIRO (A SECRETÁRIA ESCOLAR) - (77) 9 9141-2507</t>
  </si>
  <si>
    <t>07 + 03 (Adapt)</t>
  </si>
  <si>
    <r>
      <rPr>
        <rFont val="Calibri"/>
        <b/>
        <color theme="1"/>
        <sz val="11.0"/>
      </rPr>
      <t>16 (</t>
    </r>
    <r>
      <rPr>
        <rFont val="Calibri"/>
        <b/>
        <color rgb="FFFF0000"/>
        <sz val="11.0"/>
      </rPr>
      <t>sendo 15 como salas de aula e</t>
    </r>
    <r>
      <rPr>
        <rFont val="Calibri"/>
        <b/>
        <color theme="1"/>
        <sz val="11.0"/>
      </rPr>
      <t xml:space="preserve"> 01 adaptada para biblioteca)</t>
    </r>
  </si>
  <si>
    <t>AV PROF ROBERTO SANTOS - SN(00057)</t>
  </si>
  <si>
    <t>GILVANE FAGUNDES DE CASTRO OLIVEIRA</t>
  </si>
  <si>
    <t>(77) 9 9127-2284</t>
  </si>
  <si>
    <t>JACKSON RAIMUNDO DA SILVA</t>
  </si>
  <si>
    <t>(77) 9 8162-8582</t>
  </si>
  <si>
    <t>ANEXO - COLEGIO ESTADUAL ROLANDO LARANJEIRAS BARBOSA - DISTRITO DE JATOBA</t>
  </si>
  <si>
    <t>ANEXO - COLEGIO ESTADUAL ROLANDO LARANJEIRA BARBOSA - POVOADO DE INHAUMAS</t>
  </si>
  <si>
    <t>ANEXO - COLEGIO ESTADUAL ROLANDO LARANJEIRA BARBOSA - DISTRITO DE MOCAMBO</t>
  </si>
  <si>
    <t>ANEXO - COLEGIO ESTADUAL ROLANDO LARANJEIRA BARBOSA - DISTRITO DE ACUDINA</t>
  </si>
  <si>
    <t>ANEXO - COLEGIO ESTADUAL ROLANDO LARANJEIRA BARBOSA - CURRAIS</t>
  </si>
  <si>
    <t>MARIA ARLETE DE CARVALHO</t>
  </si>
  <si>
    <t>(77) 9 8108-1595</t>
  </si>
  <si>
    <t>COLEGIO ESTADUAL EDVALDO FLORES - TEMPO INTEGRAL</t>
  </si>
  <si>
    <t>ANAIR DE ALMEIDA VILAS BOAS</t>
  </si>
  <si>
    <t>(77) 9 8103-7205</t>
  </si>
  <si>
    <t>MILENE ARAUJO OLIVEIRA SOUZA</t>
  </si>
  <si>
    <t>(77) 9 8103-7458</t>
  </si>
  <si>
    <t>MARA SELMA CEDRAZ CARNEIRO VELAME</t>
  </si>
  <si>
    <t>(77) 9 9825-6262</t>
  </si>
  <si>
    <t xml:space="preserve">24 (Sendo 20 como salas de aula e 04 adaptdas: 1 sala para laboratório, 1 sala multiuso e 2 sala para oficinas de redação e auto conhecimento) </t>
  </si>
  <si>
    <t>ANEXO - COLEGIO ESTADUAL EDVALDO FLORES - DISTRITO DE PORTO NOVO</t>
  </si>
  <si>
    <t>09+03 adaptadas</t>
  </si>
  <si>
    <t>WASHINGTON SOUZA ANDRADE</t>
  </si>
  <si>
    <t>(75) 9 9194-2419</t>
  </si>
  <si>
    <t>JOELIA DE MOURA FOGACA BELLO</t>
  </si>
  <si>
    <t>ANEXO - COLEGIO ESTADUAL RIO CORRENTE - DISTRITO DE TABULEIRO</t>
  </si>
  <si>
    <t>ANEXO - COLEGIO ESTADUAL RIO CORRENTE - DISTRITO DE ALAGOINHA</t>
  </si>
  <si>
    <t>COLEGIO ESTADUAL SAO GONCALO</t>
  </si>
  <si>
    <t>IRENILDE MOREIRA FROTADE SOUZA</t>
  </si>
  <si>
    <t>(77) 9 9118-2169</t>
  </si>
  <si>
    <t>CARLA GISELI RODRIGUES DE CASTRO</t>
  </si>
  <si>
    <t>(77) 9 9106-0033</t>
  </si>
  <si>
    <t xml:space="preserve">8 ( Sendo 06 como salas de aula, 01 adaptada p/ sala de professores e 01 adaptada p/ biblioteca)  </t>
  </si>
  <si>
    <t>ANEXO - COLEGIO ESTADUAL SAO GONCALO - DISTRITO DE TRAIRAS</t>
  </si>
  <si>
    <t>COLEGIO ESTADUAL LEONIDAS DE ARAUJO SILVA</t>
  </si>
  <si>
    <t>AMERICO MUNIZ DOS SANTOS JUNIOR</t>
  </si>
  <si>
    <t>(77) 9 9971-0952</t>
  </si>
  <si>
    <t>ANA PAULA LIMA MELO</t>
  </si>
  <si>
    <t>(77) 9 9915-4190</t>
  </si>
  <si>
    <r>
      <rPr>
        <rFont val="Calibri, Arial"/>
        <b/>
        <color rgb="FF000000"/>
        <sz val="11.0"/>
      </rPr>
      <t>23 (</t>
    </r>
    <r>
      <rPr>
        <rFont val="Calibri, Arial"/>
        <b/>
        <color rgb="FFFF0000"/>
        <sz val="11.0"/>
      </rPr>
      <t>sendo 18 como salas de aula</t>
    </r>
    <r>
      <rPr>
        <rFont val="Calibri, Arial"/>
        <b/>
        <color rgb="FF000000"/>
        <sz val="11.0"/>
      </rPr>
      <t>, 01 adaptada para sala de vídeo, 01 adaptada para sla de jogos e 03 adaptadas para AEE)</t>
    </r>
  </si>
  <si>
    <t>ANEXO - COLEGIO ESTADUAL LEONIDAS DE ARAUJO SILVA - DISTRITO DE VEREDA</t>
  </si>
  <si>
    <t>ANEXO - COLEGIO ESTADUAL LEONIDAS DE ARAUJO SILVA - DISTRITO DE MUCAMBO</t>
  </si>
  <si>
    <t>DISTRITO DE MUCAMBO - S/N</t>
  </si>
  <si>
    <t>ANEXO - COLEGIO ESTADUAL LEONIDAS DE ARAUJO SILVA - DISTRITO DE MARIQUITA</t>
  </si>
  <si>
    <t>ANEXO - COLEGIO ESTADUAL LEONIDAS DE ARAUJO SILVA - DISTRITO DE CAMARINHA</t>
  </si>
  <si>
    <t>DISTRITO DE CAMARINHA - S/N</t>
  </si>
  <si>
    <t>COLEGIO ESTADUAL INDIGENA SANTO ANTONIO DO PAMBU - ALDEIA PAMBU</t>
  </si>
  <si>
    <t>TATIANE ARAÚJO DOS SANTOS (Coordenadora Indígena)</t>
  </si>
  <si>
    <t>(75) 9 8832-1492</t>
  </si>
  <si>
    <t>MARIA SANTÍSSIMA DE AGUIAR SANTOS
(SECRETÁRIA) - Consegue responder tudo sobre a escola</t>
  </si>
  <si>
    <t>(87) 9 9102 - 4258</t>
  </si>
  <si>
    <t>(75) 9 9878-0467</t>
  </si>
  <si>
    <t>FATIMA CRISTIANE PEREIRA FONTES</t>
  </si>
  <si>
    <t>(87) 9 9818 - 2110</t>
  </si>
  <si>
    <t>MARIA LUZANEIDE DOS SANTOS MAIA</t>
  </si>
  <si>
    <t>(87) 9 9116 - 4535/ 9 9649 - 4006</t>
  </si>
  <si>
    <t>(75) 3215 -1100</t>
  </si>
  <si>
    <t xml:space="preserve">COLÉGIO ESTADUAL DE TEMPO INTEGRAL PROFESSORA MARIA DO SOCORRO GOMES BARBOSA (ANTIGO - COLEGIO ESTADUAL SANTO ANTONIO DE ABARE) </t>
  </si>
  <si>
    <t>RUA CONEGO PASCOAL - 179</t>
  </si>
  <si>
    <t>WILLIAM PEREIRA DA SILVA</t>
  </si>
  <si>
    <t>(75) 9 9703-9467</t>
  </si>
  <si>
    <t>ALISSON RICARDO DOS SANTOS</t>
  </si>
  <si>
    <t>(75) 9 9826-6582</t>
  </si>
  <si>
    <t>(75) 3287-2259</t>
  </si>
  <si>
    <r>
      <rPr>
        <rFont val="Calibri"/>
        <b/>
        <color theme="1"/>
        <sz val="11.0"/>
      </rPr>
      <t xml:space="preserve">48 salas, </t>
    </r>
    <r>
      <rPr>
        <rFont val="Calibri"/>
        <b/>
        <color rgb="FFFF0000"/>
        <sz val="11.0"/>
      </rPr>
      <t>sendo 40 utilizada para aula e</t>
    </r>
    <r>
      <rPr>
        <rFont val="Calibri"/>
        <b/>
        <color theme="1"/>
        <sz val="11.0"/>
      </rPr>
      <t xml:space="preserve"> 08 adaptadas:  02 orientação de estagio, 01 biblioteca, 01 sala de leitura, 01 coordenação, 02 salas de professores e 01 administrativo.</t>
    </r>
  </si>
  <si>
    <t>COLEGIO ESTADUAL MARIA DE LOURDES LIMA PEREIRA - POVOADO DE TARRACHIL</t>
  </si>
  <si>
    <r>
      <rPr>
        <rFont val="Calibri"/>
        <b/>
        <color theme="1"/>
        <sz val="11.0"/>
      </rPr>
      <t>15 salas de aula</t>
    </r>
    <r>
      <rPr>
        <rFont val="Calibri"/>
        <b/>
        <color rgb="FFFF0000"/>
        <sz val="11.0"/>
      </rPr>
      <t xml:space="preserve"> sendo 11 para aula, </t>
    </r>
    <r>
      <rPr>
        <rFont val="Calibri"/>
        <b/>
        <color theme="1"/>
        <sz val="11.0"/>
      </rPr>
      <t>01 adaptada para biblioteca, 01 adaptada para laboratório de química, 01 adaptada para sala de convivências corporais e 01 adaptada para sala multimídia.</t>
    </r>
  </si>
  <si>
    <t>EMANOEL JACKSON BARBOSA PEREIRA</t>
  </si>
  <si>
    <t>(75) 9 9935 - 2517</t>
  </si>
  <si>
    <t>GLEICE SILVA LEITE</t>
  </si>
  <si>
    <t>(87) 9 9160-6449</t>
  </si>
  <si>
    <t>(75) 3477 - 5123</t>
  </si>
  <si>
    <t>JOANA DARC DA SILVA BELFORT</t>
  </si>
  <si>
    <t xml:space="preserve"> (75) 9 9822-2073</t>
  </si>
  <si>
    <t>(75)3477 - 2234</t>
  </si>
  <si>
    <t>ANEXO - COLEGIO ESTADUAL SAO JOSE - POVOADO SAO JOSE</t>
  </si>
  <si>
    <t>POVOADO SAO JOSE - SN(00004)</t>
  </si>
  <si>
    <t>POVOADO SAO JOSE</t>
  </si>
  <si>
    <r>
      <rPr>
        <rFont val="Calibri"/>
        <b/>
        <color theme="1"/>
        <sz val="11.0"/>
      </rPr>
      <t>10 (</t>
    </r>
    <r>
      <rPr>
        <rFont val="Calibri"/>
        <b/>
        <color rgb="FFFF0000"/>
        <sz val="11.0"/>
      </rPr>
      <t xml:space="preserve">sendo 09 como salas de aula </t>
    </r>
    <r>
      <rPr>
        <rFont val="Calibri"/>
        <b/>
        <color theme="1"/>
        <sz val="11.0"/>
      </rPr>
      <t>e 01 adaptada para sala de vivências corporais)</t>
    </r>
  </si>
  <si>
    <t>JEANE THAYS SILVA</t>
  </si>
  <si>
    <t>(75) 9 9268 - 0235</t>
  </si>
  <si>
    <t>(APOIO ADMINISTRATIVO) - POLIANA APARECIDA XAVIER CARVALHO</t>
  </si>
  <si>
    <t>(75) 9 9158 - 3375</t>
  </si>
  <si>
    <t>COLEGIO ESTADUAL REIS MAGALHAES - TEMPO INTEGRAL</t>
  </si>
  <si>
    <t>JOÃO PAULO DE SANTANA VIEIRA</t>
  </si>
  <si>
    <t>(75) 9 9113 - 4435/9 9188 - 9300</t>
  </si>
  <si>
    <t>CARLOS ANTÔNIO SANTOS DA SILVA JÚNIOR</t>
  </si>
  <si>
    <t>(75) 9 9214-2788</t>
  </si>
  <si>
    <t xml:space="preserve"> ELENICE DOS SANTOS ROCHA</t>
  </si>
  <si>
    <t>(73) 9 8830-6577</t>
  </si>
  <si>
    <t>(75) 3656 - 2212</t>
  </si>
  <si>
    <t>COLEGIO ESTADUAL INDIGENA XUCURU KARIRI</t>
  </si>
  <si>
    <t>COLEGIO ESTADUAL INDIGENA SANTA RITA DE CASSIA - FAZ. GLORIA</t>
  </si>
  <si>
    <t>TELMA ARAUJO CRUZ</t>
  </si>
  <si>
    <t>(75) 9 8831 - 1492</t>
  </si>
  <si>
    <t>COLEGIO ESTADUAL INDIGENA ANGELO PEREIRA XAVIER</t>
  </si>
  <si>
    <t>ELAINE PATRICIA DE SOUZA OLIVEIRA</t>
  </si>
  <si>
    <t>(75) 9 8859 - 6628</t>
  </si>
  <si>
    <t>ROZILENE SILVA SA</t>
  </si>
  <si>
    <t>(75) 9 8872-2970</t>
  </si>
  <si>
    <t>SERROTA - SN(00008)</t>
  </si>
  <si>
    <t>POVOADO DE BREJO DO BURGO</t>
  </si>
  <si>
    <r>
      <rPr>
        <rFont val="Calibri"/>
        <b/>
        <color theme="1"/>
        <sz val="11.0"/>
      </rPr>
      <t xml:space="preserve">13 salas, </t>
    </r>
    <r>
      <rPr>
        <rFont val="Calibri"/>
        <b/>
        <color rgb="FFFF0000"/>
        <sz val="11.0"/>
      </rPr>
      <t>sendo 12 utilizadas para aula e</t>
    </r>
    <r>
      <rPr>
        <rFont val="Calibri"/>
        <b/>
        <color theme="1"/>
        <sz val="11.0"/>
      </rPr>
      <t xml:space="preserve"> 01 adaptada para sala de jogos.</t>
    </r>
  </si>
  <si>
    <t>COLEGIO ESTADUAL DE MACURURE - TEMPO INTEGRAL</t>
  </si>
  <si>
    <t>AV ANTONIO CARLOS MAGALHAES - SN(00077)</t>
  </si>
  <si>
    <t>NOEMI RAQUEL GOMES DE BRITO</t>
  </si>
  <si>
    <t>(75) 9 9933 - 9919</t>
  </si>
  <si>
    <t>SOLANGE OLIVEIRA SANTOS</t>
  </si>
  <si>
    <t>(75) 9 9808 - 5629</t>
  </si>
  <si>
    <t>(75) 3284-2226</t>
  </si>
  <si>
    <t>ANEXO -COLÉGIO ESTADUAL DE MACURURÉ - POVOADO SALGADO DO MELÃO</t>
  </si>
  <si>
    <r>
      <rPr>
        <rFont val="Calibri, Arial"/>
        <b/>
        <color rgb="FF000000"/>
        <sz val="11.0"/>
      </rPr>
      <t xml:space="preserve">08 salas, </t>
    </r>
    <r>
      <rPr>
        <rFont val="Calibri, Arial"/>
        <b/>
        <color rgb="FFFF0000"/>
        <sz val="11.0"/>
      </rPr>
      <t>sendo 07 salas de aula e</t>
    </r>
    <r>
      <rPr>
        <rFont val="Calibri, Arial"/>
        <b/>
        <color rgb="FF000000"/>
        <sz val="11.0"/>
      </rPr>
      <t xml:space="preserve"> 01 adaptada para sala de vídeo.</t>
    </r>
  </si>
  <si>
    <t>ANEXO - COLÉGIO ESTADUAL DE MACURURE - POVOADO DE SITIO</t>
  </si>
  <si>
    <t>ANEXO - COLÉGIO ESTADUAL DE MACURURÉ - POVOADO DE SÃO FRANCISCO</t>
  </si>
  <si>
    <t>ANEXO - COLÉGIO ESTADUAL DE MACURURÉ - POVOADO DE FORMOSA</t>
  </si>
  <si>
    <t>ODINAELTON CARVALHO DE MORAES (ELTON)</t>
  </si>
  <si>
    <t>(75) 9 9153 - 8524</t>
  </si>
  <si>
    <t>ROSANA COSTA DA SILVA PAZ</t>
  </si>
  <si>
    <t>75 9 8881 - 2361</t>
  </si>
  <si>
    <t>VERUSKA LEANDRA DE MENEZES GALLINDO</t>
  </si>
  <si>
    <t>(75) 9 8804-1073</t>
  </si>
  <si>
    <t>(75) 3281-4885</t>
  </si>
  <si>
    <t>16 (Sendo 15 como salas de aula e 01 adaptada para  Laboratório Ciências da Natureza)</t>
  </si>
  <si>
    <t>COLEGIO ESTADUAL POLIVALENTE DE PAULO AFONSO</t>
  </si>
  <si>
    <t xml:space="preserve">IVANILDA OLIVEIRA DA SILVA </t>
  </si>
  <si>
    <t>(75) 9 8841 - 5952</t>
  </si>
  <si>
    <t xml:space="preserve">KLEILSON RODRIGUES DA SILVA </t>
  </si>
  <si>
    <t>(75) 9 9191-3223</t>
  </si>
  <si>
    <t>CYNTIA PAULA GOMES ALCANTARA DE CARVALHO</t>
  </si>
  <si>
    <t>(75) 9 9125-6941</t>
  </si>
  <si>
    <t>(75) 3281-2246</t>
  </si>
  <si>
    <t>16 (Sendo 15 como salas de aula e 01 adaptada para  Laboratório Informática)</t>
  </si>
  <si>
    <t>MARIA DO SOCORRO GALINDO FEITOZA</t>
  </si>
  <si>
    <t>(75) 9 9294-2122</t>
  </si>
  <si>
    <t>JOSELI FLORENTINO DE BRITO</t>
  </si>
  <si>
    <t>(87) 9 8135-9989</t>
  </si>
  <si>
    <t>(75) 3692-2551</t>
  </si>
  <si>
    <t>10 (Sendo 9 como salas de aula e 01 improvisada como deposito)</t>
  </si>
  <si>
    <t>COLEGIO ESTADUAL CARLINA BARBOSA DE DEUS</t>
  </si>
  <si>
    <t>RONILSON SANTOS DE MENEZES</t>
  </si>
  <si>
    <t>(75) 9 9129 - 0751</t>
  </si>
  <si>
    <t>ANA PAULA CONCEIÇÃO CANÁRIO</t>
  </si>
  <si>
    <t>(75) 9 8836 - 7573</t>
  </si>
  <si>
    <t>VALÉRIA CRISTINA LIVINO E SILVA</t>
  </si>
  <si>
    <t>(75) 9 8876 - 5946</t>
  </si>
  <si>
    <t>(75)3281 - 6570/3281 - 5453</t>
  </si>
  <si>
    <t>07 +  2 (Adapt)</t>
  </si>
  <si>
    <t>IRANILDO BEZERRA DA CRUZ</t>
  </si>
  <si>
    <t>(75) 9 9138 - 0992</t>
  </si>
  <si>
    <t>ADRIANA CRISTINA LIMA DE CARVALHO</t>
  </si>
  <si>
    <t>(75) 9 8848 - 0630</t>
  </si>
  <si>
    <t>BIANCA COELHO DE OLIVEIRA AGUIAR</t>
  </si>
  <si>
    <t>(75) 9 9954-9091</t>
  </si>
  <si>
    <t>(75) 3692 - 1006</t>
  </si>
  <si>
    <t xml:space="preserve">WALLACE BEZERRA RIBEIRO </t>
  </si>
  <si>
    <t>(75) 9 8824 - 7475</t>
  </si>
  <si>
    <t>DANIELA MOURA DE OLIVEIRA</t>
  </si>
  <si>
    <t>(75) 9 8824-4932</t>
  </si>
  <si>
    <t>MARIA DO CARMO FERREIRA DE SIQUEIRA</t>
  </si>
  <si>
    <t>(75) 9 9191-6696</t>
  </si>
  <si>
    <t>(75) 3281-5616/3281-5066</t>
  </si>
  <si>
    <t>ANEXO - COLEGIO ESTADUAL INDIGENA XUCURU KARIRI - ALDEIA TRUKA TUPAN</t>
  </si>
  <si>
    <t>COLÉGIO ESTADUAL INDÍGENA CAPITÃO FRANCISCO RODELAS -ALDEIA TUXÁ</t>
  </si>
  <si>
    <t>ROSIVANIA DE ARAUJO ALMEIDA</t>
  </si>
  <si>
    <t>(75) 9 8821-7547</t>
  </si>
  <si>
    <t>OTAVIO VIEIRA DE ALMEIDA</t>
  </si>
  <si>
    <t>(75) 9 8858-2433</t>
  </si>
  <si>
    <t>5 (Funcionando no prédio da prefeitura)</t>
  </si>
  <si>
    <t>COLEGIO ESTADUAL DULCINA CRUZ LIMA</t>
  </si>
  <si>
    <t xml:space="preserve">ROSENILDE MARINA DA SILVA </t>
  </si>
  <si>
    <t>(75) 9 8807 - 4263</t>
  </si>
  <si>
    <t xml:space="preserve">GILVANIA MOURA PERZENTINO SANTOS </t>
  </si>
  <si>
    <t>(75) 9 8849-6559</t>
  </si>
  <si>
    <t>8 (Sendo 6 sala de aula, 1 adaptada como secretaria e 1 como biblioteca)</t>
  </si>
  <si>
    <t>MILTON BEZERRA DE ARAUJO</t>
  </si>
  <si>
    <t>(74) 9 9196-5520</t>
  </si>
  <si>
    <t>PATRICIA ANDRADE DE ALMEIDA BARRETO</t>
  </si>
  <si>
    <t>(74) 9 9148 - 7467</t>
  </si>
  <si>
    <t>(74) 3529-1466</t>
  </si>
  <si>
    <t>11 +  01 (adapt)</t>
  </si>
  <si>
    <t>ANEXO - COLEGIO ESTADUAL DO CAMPO CARLOS HUMBERTO DE MIRANDA PEREIRA MELLO - POVOADO DE MORRO BRANCO</t>
  </si>
  <si>
    <t>(74) 3529-5015</t>
  </si>
  <si>
    <t>ADMILSON BATISTA DA SILVA</t>
  </si>
  <si>
    <t>(74) 9 9133-0522</t>
  </si>
  <si>
    <t>RUA REDE DE TRANSMISSÃO, S/Nº</t>
  </si>
  <si>
    <t>VIVIANNE LEAL POMBO OLIVEIRA</t>
  </si>
  <si>
    <t>(74) 9 9106 - 0043</t>
  </si>
  <si>
    <t>YARA LIDIANNE NERES DE LIMA</t>
  </si>
  <si>
    <t>(74) 9 9193-3706</t>
  </si>
  <si>
    <t>(74) 3547-2082</t>
  </si>
  <si>
    <t>COLEGIO ESTADUAL ROMULO GALVAO</t>
  </si>
  <si>
    <t>DANIELMA DA SILVA BEZERRA BRASILEIRO</t>
  </si>
  <si>
    <t>(74) 9 8107-0609</t>
  </si>
  <si>
    <t>(74) 3634-2129</t>
  </si>
  <si>
    <t>COLEGIO ESTADUAL QUILOMBOLA LUIS JOSE DOS SANTOS - DISTRITO DE LAGE DOS NEGROS - TEMPO INTEGRAL</t>
  </si>
  <si>
    <t>IRIS LUAN DE OLIVEIRA MATOS</t>
  </si>
  <si>
    <t>(74) 9 9880 -7335/9 9116 - 0894</t>
  </si>
  <si>
    <t>A UEE NÃO POSSUI TELEFONE FIXO</t>
  </si>
  <si>
    <t>COLEGIO ESTADUAL QUILOMBOLA DE SAO TOME - COMUNIDADE QUILOMBOLA</t>
  </si>
  <si>
    <t>CARINA CRUZ NASCIMENTO</t>
  </si>
  <si>
    <t xml:space="preserve">
(74) 99927-3778
</t>
  </si>
  <si>
    <t>(74) 3552 6247</t>
  </si>
  <si>
    <t xml:space="preserve">COLEGIO ESTADUAL PROFESSORA HILDA MONTEIRO MENEZES - TEMPO INTEGRAL </t>
  </si>
  <si>
    <t>JOSIAS BARBOSA FERREIRA</t>
  </si>
  <si>
    <t>(74) 9 8819 - 3307</t>
  </si>
  <si>
    <t>NIERIVANIA CUNHA PINTO DE OLIVEIRA</t>
  </si>
  <si>
    <t>(74) 9 9118-6264</t>
  </si>
  <si>
    <t>ACACIO CASSEANO DE SOUZA SILVA</t>
  </si>
  <si>
    <t>(74) 9 9110-5602</t>
  </si>
  <si>
    <t>(74) 3645-2893</t>
  </si>
  <si>
    <t>ANEXO - COLEGIO ESTADUAL PROFESSORA HILDA MONTEIRO MENEZES - POVOADO TUIUTIBA</t>
  </si>
  <si>
    <t>ANEXO - COLEGIO ESTADUAL PROFESSORA HILDA MONTEIRO MENEZES - POVOADO DE LAGOA DA BARRA</t>
  </si>
  <si>
    <t>ANEXO - COLEGIO ESTADUAL PROFESSORA HILDA MONTEIRO MENEZES - POVOADO DE ARARAS</t>
  </si>
  <si>
    <t>ANEXO - COLEGIO ESTADUAL PROFESSORA HILDA MONTEIRO MENEZES - POVOADO CURRAL VELHO</t>
  </si>
  <si>
    <t>ANEXO - COLEGIO ESTADUAL PROFESSORA HILDA MONTEIRO MENEZES - DISTRITO TIQUARA</t>
  </si>
  <si>
    <t>ANEXO - COLEGIO ESTADUAL PROFESSORA HILDA MONTEIRO MENEZES - DISTRITO DE BREJAO DA CAATINGA</t>
  </si>
  <si>
    <r>
      <rPr>
        <rFont val="Calibri"/>
        <b/>
        <color theme="1"/>
        <sz val="11.0"/>
      </rPr>
      <t>7 (</t>
    </r>
    <r>
      <rPr>
        <rFont val="Calibri"/>
        <b/>
        <color rgb="FFFF0000"/>
        <sz val="11.0"/>
      </rPr>
      <t>sendo 05 utilizadas para aula</t>
    </r>
    <r>
      <rPr>
        <rFont val="Calibri"/>
        <b/>
        <color theme="1"/>
        <sz val="11.0"/>
      </rPr>
      <t xml:space="preserve"> e 01 adaptada para multimidia, 01 para multiuso)</t>
    </r>
  </si>
  <si>
    <t>GISELDA VIEIRA FEITOSA DE ALMEIDA</t>
  </si>
  <si>
    <t>(74) 9 9148-3771</t>
  </si>
  <si>
    <t>JOSEFA CRISTINA DA SILVA RIBEIRO</t>
  </si>
  <si>
    <t>(74) 9 9111-4149</t>
  </si>
  <si>
    <t>(74) 3541-5639</t>
  </si>
  <si>
    <t>COLEGIO ESTADUAL CECENTINO PEREIRA MAIA</t>
  </si>
  <si>
    <t>SOLANGE BARROS MUNIZ MOTA</t>
  </si>
  <si>
    <t>(74) 9 9961 - 6670</t>
  </si>
  <si>
    <t>SIMÔNICA BARROS MUNIZ ALEXANDRE</t>
  </si>
  <si>
    <t>(74) 9 9961-5248</t>
  </si>
  <si>
    <t>EVANICE DE ALMEIDA PEREIRA</t>
  </si>
  <si>
    <t>(74) 35512656</t>
  </si>
  <si>
    <t xml:space="preserve">12 ( Sendo 09 salas utilizadas como salas de aula,
01 biblioteca adaptada,
01 laboratório de informática adaptado e 
01 adaptada para sala de professor
</t>
  </si>
  <si>
    <t>COLEGIO ESTADUAL DO CAMPO PETRONIO PORTELA - DISTRITO DE PILAR - EM TEMPO INTEGRAL</t>
  </si>
  <si>
    <t>EDINEUZA DA SILVA REIS OLIVEIRA</t>
  </si>
  <si>
    <t>(74) 9 9982 - 9254</t>
  </si>
  <si>
    <t>MARIA DA CONCEICAO PEREIRA DA SILVA</t>
  </si>
  <si>
    <t>(74) 9 9995-3665</t>
  </si>
  <si>
    <t>(74) 3532-1312</t>
  </si>
  <si>
    <t>MARIA CERILENE OLIVEIRA GUEDES DOS SANTOS</t>
  </si>
  <si>
    <t>(74) 9 9981-1437</t>
  </si>
  <si>
    <t>PEDRO BARROS JÚNIOR</t>
  </si>
  <si>
    <t>(74) 9 9979 -8953</t>
  </si>
  <si>
    <t>MARIA CELESTE DOS SANTOS</t>
  </si>
  <si>
    <t>(74) 9  9962-2172</t>
  </si>
  <si>
    <t>(74) 3619-2219</t>
  </si>
  <si>
    <t>COLEGIO ESTADUAL DO CAMPO DE CARNAIBA - DISTRITO DE CARNAIBA</t>
  </si>
  <si>
    <t>JORDANIA AZEVEDO DE MIRANDA SILVA</t>
  </si>
  <si>
    <t>(74) 9 9923 - 2067</t>
  </si>
  <si>
    <t>JOSELIA ARAUJO SILVA</t>
  </si>
  <si>
    <t>(74) 9 9974-3010</t>
  </si>
  <si>
    <t>(74) 3559-3219 /3559-3038</t>
  </si>
  <si>
    <t>7 (Sendo 05 como salas de aula, 01 adaptada para leitura e 01 adaptada para sala de vídeo)</t>
  </si>
  <si>
    <t>COLEGIO ESTADUAL DE PINDOBACU - TEMPO INTEGRAL</t>
  </si>
  <si>
    <t>ALINE CAVALCANTE SANTOS</t>
  </si>
  <si>
    <t>(74) 9 9120 - 5744</t>
  </si>
  <si>
    <t>(74) 3548-2486</t>
  </si>
  <si>
    <t>SILVANIA CARVALHO</t>
  </si>
  <si>
    <t>(74) 9 8122 - 6299</t>
  </si>
  <si>
    <t>ALEXANDRO DOS ANJOS SILVA</t>
  </si>
  <si>
    <t>(74) 9 8813-6318</t>
  </si>
  <si>
    <t>(74) 3677-1414/ 3677-1386</t>
  </si>
  <si>
    <t>ANEXO - COLEGIO ESTADUAL NELSON MAIA - DISTRITO DE BARRACAS</t>
  </si>
  <si>
    <t>INSTITUTO PSICO PEDAGOGICO DE BONFIM</t>
  </si>
  <si>
    <t>LILIAN REGINA MARQUES BARTILOTTI</t>
  </si>
  <si>
    <t>(74) 9 9117 - 1525</t>
  </si>
  <si>
    <t>AIDÊ OLIVEIRA SILVA</t>
  </si>
  <si>
    <t>(74) 9 9139-7751</t>
  </si>
  <si>
    <t>(74) 3541-1761</t>
  </si>
  <si>
    <t>MARLY ANDRADE REIS</t>
  </si>
  <si>
    <t>(74) 9 9194 - 7501</t>
  </si>
  <si>
    <t>(74) 3541-9280 / 6490</t>
  </si>
  <si>
    <t>COLEGIO ESTADUAL TEIXEIRA DE FREITAS - TEMPO INTEGRAL</t>
  </si>
  <si>
    <t>CLEBER CARVALHO CHAVES</t>
  </si>
  <si>
    <t>(74) 9 9122 - 3066</t>
  </si>
  <si>
    <t>JUCIANA GALINDO DOS SANTOS VERAS MARQUES</t>
  </si>
  <si>
    <t>(74) 9 9116-6795</t>
  </si>
  <si>
    <t>ANA PAULA ALMEIDA SOUZA</t>
  </si>
  <si>
    <t>(74) 9 9195-8024</t>
  </si>
  <si>
    <t>(74) 3542-1073 /3541-9280/3508</t>
  </si>
  <si>
    <t>COLEGIO ESTADUAL PROFESSORA MARIANA AGOSTINHO DE OLIVEIRA DIST. DE IGARA</t>
  </si>
  <si>
    <r>
      <rPr>
        <rFont val="Calibri"/>
        <b/>
        <color theme="1"/>
        <sz val="11.0"/>
      </rPr>
      <t>05 salas,</t>
    </r>
    <r>
      <rPr>
        <rFont val="Calibri"/>
        <b/>
        <color rgb="FFFF0000"/>
        <sz val="11.0"/>
      </rPr>
      <t xml:space="preserve"> sendo 03 salas de aula e </t>
    </r>
    <r>
      <rPr>
        <rFont val="Calibri"/>
        <b/>
        <color theme="1"/>
        <sz val="11.0"/>
      </rPr>
      <t xml:space="preserve"> 02 adaptadas,  01 para diretoria e 01 adaptada para sala de leitura.</t>
    </r>
  </si>
  <si>
    <t>VALSIONE PEREIRA DO VALE (RESPONDENDO PELA DIREÇÃO ATÉ ENTÃO)</t>
  </si>
  <si>
    <t>(74) 9 9964-7288</t>
  </si>
  <si>
    <t>CELMA CONCEIÇÃO DA SILVA</t>
  </si>
  <si>
    <t>(74) 9 9814-3166</t>
  </si>
  <si>
    <t>(74) 3544 6148</t>
  </si>
  <si>
    <t>JOSÉ PEIXINHO DE MACEDO</t>
  </si>
  <si>
    <t>(74) 9 9110 - 8694</t>
  </si>
  <si>
    <t>IVONEIDE FERREIRA DOS SANTOS</t>
  </si>
  <si>
    <t>(74) 9 9158-3387</t>
  </si>
  <si>
    <t>NORMARY ALVES CRUZ</t>
  </si>
  <si>
    <t>(74) 9 8823-0818</t>
  </si>
  <si>
    <t>(74) 3541-3570</t>
  </si>
  <si>
    <r>
      <rPr>
        <rFont val="Calibri"/>
        <b/>
        <color theme="1"/>
        <sz val="11.0"/>
      </rPr>
      <t xml:space="preserve">06 salas, </t>
    </r>
    <r>
      <rPr>
        <rFont val="Calibri"/>
        <b/>
        <color rgb="FFFF0000"/>
        <sz val="11.0"/>
      </rPr>
      <t>sendo 04 salas de aulas</t>
    </r>
    <r>
      <rPr>
        <rFont val="Calibri"/>
        <b/>
        <color theme="1"/>
        <sz val="11.0"/>
      </rPr>
      <t xml:space="preserve">, 01 adaptada para sala de jogos, 01 para sala de leitura e laboratório de matemática. </t>
    </r>
  </si>
  <si>
    <t>JANAIR TORRES BORGES DE MELO</t>
  </si>
  <si>
    <t>(74) 9 9119 - 7840</t>
  </si>
  <si>
    <t>ANGELITA SANTOS DE SOUZA</t>
  </si>
  <si>
    <t>(74) 9 9115-6130</t>
  </si>
  <si>
    <t>TANIA LUZIA AMARAL FREITAS</t>
  </si>
  <si>
    <t>(74) 3541-3990</t>
  </si>
  <si>
    <t>ELAINE SILVA SANTOS DO NASCIMENTO</t>
  </si>
  <si>
    <t>(74) 9 9979 - 6512</t>
  </si>
  <si>
    <t>ALYNE DAYHANA DIAS LEAL</t>
  </si>
  <si>
    <t>(74) 9 8132 - 9256</t>
  </si>
  <si>
    <t>REGINA CELE SANTANA DA SILVA SOUZA</t>
  </si>
  <si>
    <t>(74) 9 9192-2112</t>
  </si>
  <si>
    <t>(74) 3541 3721 / 4561</t>
  </si>
  <si>
    <t>ANEXO - COLEGIO ESTADUAL TEIXEIRA DE FREITAS - DISTRITO DE QUICE</t>
  </si>
  <si>
    <t>ANEXO - COLEGIO ESTADUAL TEIXEIRA DE FREITAS - DISTRITO DE MISSAO DO SAHY</t>
  </si>
  <si>
    <t>ANEXO - COLEGIO ESTADUAL TEIXEIRA DE FREITAS - DISTRITO DE CARRAPICHEL</t>
  </si>
  <si>
    <t>ANEXO - COLEGIO ESTADUAL TEIXEIRA DE FREITAS - DIST. DE TIJUACU - COMUNIDADE QUILOMBOLA</t>
  </si>
  <si>
    <t>JÉSSICA DA SILVA SANTOS</t>
  </si>
  <si>
    <t>(71) 9 9173-7729</t>
  </si>
  <si>
    <t>EVELINE SANTOS ALVAREZ</t>
  </si>
  <si>
    <t>(71) 9 9977-2041</t>
  </si>
  <si>
    <t>JOANA DARC SILVA SANTOS</t>
  </si>
  <si>
    <t>(71) 9 9276-7438</t>
  </si>
  <si>
    <t>(71)  3622-0071</t>
  </si>
  <si>
    <t>COLEGIO ESTADUAL PROFESSORA NADIR ARAUJO COPQUE - TEMPO INTEGRAL</t>
  </si>
  <si>
    <t xml:space="preserve">  GUILHERMINA DA SILVA SOUZA</t>
  </si>
  <si>
    <t>(71) 9 9101-7684</t>
  </si>
  <si>
    <t>SAULO DE JARSO FIGUEREDO GRECCO</t>
  </si>
  <si>
    <t>(71) 9 8742-9277</t>
  </si>
  <si>
    <t>(71)  3624-2785/3742</t>
  </si>
  <si>
    <t>COLEGIO ESTADUAL POLIVALENTE DE CAMACARI</t>
  </si>
  <si>
    <t>VIVIANA OLIVEIRA MATEUS</t>
  </si>
  <si>
    <t>(71) 9 9196-8524</t>
  </si>
  <si>
    <t>ZITA MARIA BISPO DE SINO</t>
  </si>
  <si>
    <t>(71) 9 8233-6220</t>
  </si>
  <si>
    <t>CESAR ALEXANDRE OLIVEIRA MALTA</t>
  </si>
  <si>
    <t>(71) 9 9943-0244</t>
  </si>
  <si>
    <t>(71)  3621-7768</t>
  </si>
  <si>
    <t>COLEGIO ESTADUAL JOSE DE FREITAS MASCARENHAS (UNIFICADO COM O COLEGIO ESTADUAL CIDADE DE CAMACARI)</t>
  </si>
  <si>
    <t>CÍNTIA LIMA DE SOUZA DA SILVA</t>
  </si>
  <si>
    <t>(71) 9 8751-2741</t>
  </si>
  <si>
    <t>ANA CRISTINA DE OLIVEIRA</t>
  </si>
  <si>
    <t>(71) 9 9265-1388
(71)  9 8316-4280</t>
  </si>
  <si>
    <t>GREGÓRIO DE BARROS FILHO</t>
  </si>
  <si>
    <t>(71) 9 8753-4429</t>
  </si>
  <si>
    <t>(71)  3621-3738</t>
  </si>
  <si>
    <r>
      <rPr>
        <rFont val="Calibri"/>
        <b/>
        <color theme="1"/>
        <sz val="11.0"/>
      </rPr>
      <t xml:space="preserve">5 ( </t>
    </r>
    <r>
      <rPr>
        <rFont val="Calibri"/>
        <b/>
        <color rgb="FFFF0000"/>
        <sz val="11.0"/>
      </rPr>
      <t>Sendo 4 utilizadas como salas de aula</t>
    </r>
    <r>
      <rPr>
        <rFont val="Calibri"/>
        <b/>
        <color theme="1"/>
        <sz val="11.0"/>
      </rPr>
      <t xml:space="preserve">, e 01 adaptada para biblioteca) </t>
    </r>
  </si>
  <si>
    <t>COLEGIO ESTADUAL GONCALO MUNIZ</t>
  </si>
  <si>
    <t>MARIA JOSE DOS SANTOS</t>
  </si>
  <si>
    <t>(71) 9 8316-4280</t>
  </si>
  <si>
    <t>CAIO SILVA</t>
  </si>
  <si>
    <t>(71) 9 9249-4993</t>
  </si>
  <si>
    <t>ANDRE MONTEIRO DOS SANTOS</t>
  </si>
  <si>
    <t>(71) 9 9954-9770</t>
  </si>
  <si>
    <t>(71) 3621-5461</t>
  </si>
  <si>
    <t xml:space="preserve">12 ( Sendo 11 utilizadas como salas de aula e 01 adapatada para biblioteca) </t>
  </si>
  <si>
    <t>COLEGIO ESTADUAL DO PHOC</t>
  </si>
  <si>
    <t>ARACY - SN(00016)</t>
  </si>
  <si>
    <t>PHOC II</t>
  </si>
  <si>
    <r>
      <rPr>
        <rFont val="Calibri"/>
        <color theme="1"/>
        <sz val="10.0"/>
      </rPr>
      <t xml:space="preserve">COLÉGIO ESTADUAL DE TEMPO INTEGRAL DARCI MARQUES DOS SANTOS
</t>
    </r>
    <r>
      <rPr>
        <rFont val="Calibri"/>
        <b/>
        <color theme="1"/>
        <sz val="10.0"/>
      </rPr>
      <t>(ANTIGO: COLÉGIO MODELO LUIS EDUARDO MAGALHÃES)</t>
    </r>
  </si>
  <si>
    <t>JULIO CESAR OLIVEIRA PINHEIRO</t>
  </si>
  <si>
    <t>(71) 9 8553-8273</t>
  </si>
  <si>
    <t>JEAN AMARAL GOMES S. SILVA</t>
  </si>
  <si>
    <t>(75) 9 9886-1413</t>
  </si>
  <si>
    <t>(71)  3621-7385</t>
  </si>
  <si>
    <r>
      <rPr>
        <rFont val="Calibri"/>
        <b/>
        <color theme="1"/>
        <sz val="11.0"/>
      </rPr>
      <t>26 (</t>
    </r>
    <r>
      <rPr>
        <rFont val="Calibri"/>
        <b/>
        <color rgb="FFFF0000"/>
        <sz val="11.0"/>
      </rPr>
      <t>Sendo 25 como salas de aula</t>
    </r>
    <r>
      <rPr>
        <rFont val="Calibri"/>
        <b/>
        <color theme="1"/>
        <sz val="11.0"/>
      </rPr>
      <t xml:space="preserve"> e 01 adaptada para sala de AEE)</t>
    </r>
  </si>
  <si>
    <t>COLÉGIO ESTADUAL DE VILA DE ABRANTES</t>
  </si>
  <si>
    <t>JOSÉ ADRIANO SANTOS SOUSA</t>
  </si>
  <si>
    <t>(71)  9 8747-7516</t>
  </si>
  <si>
    <t>DEBORA CAMPOS CAVALCANTE DE CARVALHO</t>
  </si>
  <si>
    <t>(71) 9 8616-0019</t>
  </si>
  <si>
    <t>(71) 3623-4777/ 3623-1035</t>
  </si>
  <si>
    <t>COLEGIO ESTADUAL DE MONTE GORDO</t>
  </si>
  <si>
    <t>CREONICE MARIA CAMPOS</t>
  </si>
  <si>
    <t>(71) 9 8810-1173 - 99698-7476</t>
  </si>
  <si>
    <t>CRISTIANE SANTOS DA SILVA</t>
  </si>
  <si>
    <t>(71) 9 9999-9641</t>
  </si>
  <si>
    <t>(71)  3674-1379</t>
  </si>
  <si>
    <t>8 + 1 (Adapt)</t>
  </si>
  <si>
    <t>COLEGIO ESTADUAL DE BARRA DO POJUCA - TEMPO INTEGRAL</t>
  </si>
  <si>
    <t xml:space="preserve">CACIA MENDES </t>
  </si>
  <si>
    <t>(71) 9 9204-0514 / 99684-5956</t>
  </si>
  <si>
    <t>RICARDO DA ENCARNACAO CONCEICAO</t>
  </si>
  <si>
    <t>(71) 9 9662-2895</t>
  </si>
  <si>
    <t>LEIDE VIRGINIA MARINHO DE CARVALHO</t>
  </si>
  <si>
    <t>(71) 9 9917-7804</t>
  </si>
  <si>
    <t>(71)  3626-1770</t>
  </si>
  <si>
    <t>COLEGIO ESTADUAL ANGIOLINA TEIXEIRA DE SOUZA</t>
  </si>
  <si>
    <t>ALTO DA BELA VISTA - SN(00003)</t>
  </si>
  <si>
    <t>PIACAVEIRA</t>
  </si>
  <si>
    <t>CELESTE MARIA DE SANTANA DOS SANTOS</t>
  </si>
  <si>
    <t>(71) 9 9178-4939</t>
  </si>
  <si>
    <t>ALBA BEATRIZ RIBEIRO DE ALENCAR PIRES</t>
  </si>
  <si>
    <t>(71) 9 9230-3030</t>
  </si>
  <si>
    <t>(71)  3649-7276</t>
  </si>
  <si>
    <t>MONICA MARIA ARAUJO DOS SANTOS</t>
  </si>
  <si>
    <t xml:space="preserve">(71) 9 8862-8551/9 8174-3003 </t>
  </si>
  <si>
    <t>CLÁUDIA CRISTINA ARAÚJO DE OLIVEIRA</t>
  </si>
  <si>
    <t>(71)  9 9334-0942</t>
  </si>
  <si>
    <t>FLAVIO SANTOS HORA</t>
  </si>
  <si>
    <t>(71) 9 9108-1130</t>
  </si>
  <si>
    <t>(71)  3621-7771</t>
  </si>
  <si>
    <r>
      <rPr>
        <rFont val="Calibri"/>
        <b/>
        <color theme="1"/>
        <sz val="11.0"/>
      </rPr>
      <t>20 (</t>
    </r>
    <r>
      <rPr>
        <rFont val="Calibri"/>
        <b/>
        <color rgb="FFFF0000"/>
        <sz val="11.0"/>
      </rPr>
      <t xml:space="preserve"> sendo, 17 utilizadas para aula e</t>
    </r>
    <r>
      <rPr>
        <rFont val="Calibri"/>
        <b/>
        <color theme="1"/>
        <sz val="11.0"/>
      </rPr>
      <t xml:space="preserve"> 03 adaptadas: 01 para laboratório de gestão, 01 coordenação e 01 sala AEE)</t>
    </r>
  </si>
  <si>
    <t>10 + 3 (Adapt)</t>
  </si>
  <si>
    <t>ANEXO DO COLEGIO ESTADUAL JOSE DE FREITAS MASCARENHAS - CASE</t>
  </si>
  <si>
    <t>ANEXO - COLEGIO ESTADUAL PROFESSORA NADIR ARAUJO COPQUE - DISTRITO DE AREIAS</t>
  </si>
  <si>
    <t>ANEXO - COLEGIO ESTADUAL DE VILA DE ABRANTES - DISTRITO DE CATU DE ABRANTES</t>
  </si>
  <si>
    <t>CATU DE ABRANTES - SN(00002)</t>
  </si>
  <si>
    <t>10 KM (ORLA)</t>
  </si>
  <si>
    <t>COLEGIO ESTADUAL POLIVALENTE DE CANDEIAS</t>
  </si>
  <si>
    <t>DANIELE DE SOUZA CERQUEIRA</t>
  </si>
  <si>
    <t>(71) 9 9142-2359</t>
  </si>
  <si>
    <t>RAIMUNDA DOS SANTOS RODRIGUES</t>
  </si>
  <si>
    <t>(71) 9 9195-4039/ 9 9253-6049</t>
  </si>
  <si>
    <t>(71) 3605-0702</t>
  </si>
  <si>
    <t>18 (Sendo 15 como salas de aula, 02 adaptada p/ laboratórios de gestão e negócios e 01 adatpado p/ projetos artístico (dança, artes, teatro, música entre outras atividades artísticas)</t>
  </si>
  <si>
    <t>COLEGIO ESTADUAL OURO NEGRO</t>
  </si>
  <si>
    <t>WALDENILMA CARDOSO DE SANTANA DA SILVA</t>
  </si>
  <si>
    <t>(71) 9 9201 0065</t>
  </si>
  <si>
    <t>JORGENETE ANDRADE MORAES DE CARVALHO</t>
  </si>
  <si>
    <t>(71) 9 9248-3887</t>
  </si>
  <si>
    <t>CLECIA CAMPOS DO CARMO DE ARAUJO</t>
  </si>
  <si>
    <t>(71) 9 9383-7621</t>
  </si>
  <si>
    <t>71 3601-5805/ 71 3601-4310</t>
  </si>
  <si>
    <t>COLEGIO ESTADUAL LUIZ VIANA FILHO</t>
  </si>
  <si>
    <t>MARILENE SACRAMENTO MIRANDA</t>
  </si>
  <si>
    <t>(71) 9 8663-0306</t>
  </si>
  <si>
    <t>TATIANE DE SOUZA FRANCISCO</t>
  </si>
  <si>
    <t>(71) 9 8864-1205</t>
  </si>
  <si>
    <t>DIEGO CRUZ ARGOLO</t>
  </si>
  <si>
    <t>(71) 9 9251-9241</t>
  </si>
  <si>
    <t>(71) 3601-3605</t>
  </si>
  <si>
    <t>11 + 1 (o laboratório de informática foi sdaptado para sala de aula)</t>
  </si>
  <si>
    <t>COLEGIO ESTADUAL CIDADE DE CANDEIAS</t>
  </si>
  <si>
    <r>
      <rPr>
        <rFont val="Calibri"/>
        <b/>
        <color theme="1"/>
        <sz val="11.0"/>
      </rPr>
      <t>12 (</t>
    </r>
    <r>
      <rPr>
        <rFont val="Calibri"/>
        <b/>
        <color rgb="FFFF0000"/>
        <sz val="11.0"/>
      </rPr>
      <t>sendo 11salas de aula</t>
    </r>
    <r>
      <rPr>
        <rFont val="Calibri"/>
        <b/>
        <color theme="1"/>
        <sz val="11.0"/>
      </rPr>
      <t xml:space="preserve"> e 01 adaptada para laboratório de biologia)</t>
    </r>
  </si>
  <si>
    <t>AMELIA GOMES DOS SANTOS</t>
  </si>
  <si>
    <t>(71) 9 9974-1273</t>
  </si>
  <si>
    <t>ANA MARIA DA SILVA CERQUEIRA</t>
  </si>
  <si>
    <t>(71) 9 9988-0495</t>
  </si>
  <si>
    <t>(71) 3601-6569</t>
  </si>
  <si>
    <t xml:space="preserve">8 (Sendo 7 utilizadas como salas de aula e 01 adaptada para sala de leitura) </t>
  </si>
  <si>
    <t>COLEGIO DA POLICIA MILITAR - CPM FRANCISCO PEDRO DE OLIVEIRA</t>
  </si>
  <si>
    <t>DIREÇÃO DA ESCOLA: ROBERT DA CRUZ COSTA - (71) 9 9987-4102
DIREÇÃO DA UNIDADE PM: TENENTE ANDRE LUIS CUNHA CAMPOS - (71) 9 8159-6295
DIREÇÃO DO ADJUNTO: MAJOR FRANCISCO MENEZES MOREIRA JÚNIOR - (71) 9 9982-0989</t>
  </si>
  <si>
    <t>ANGELA MEIRE VIEIRA SABA DE SANTANA</t>
  </si>
  <si>
    <t>(71) 9 8865-3961</t>
  </si>
  <si>
    <t>ROBERTA CRISTINA DE ARAUJO ALMEIDA</t>
  </si>
  <si>
    <t>(71) 9 8182-1117</t>
  </si>
  <si>
    <t>(71) 3601-6416</t>
  </si>
  <si>
    <t>ANEXO - COLEGIO ESTADUAL POLIVALENTE DE CANDEIAS - DIST. DE PASSE</t>
  </si>
  <si>
    <t>ANEXO - COLEGIO ESTADUAL LUIZ VIANA FILHO - DISTRITO DE CAROBA</t>
  </si>
  <si>
    <t>COLEGIO ESTADUAL PROFESSOR EDILSON SOUTO FREIRE</t>
  </si>
  <si>
    <t>NANCY ARAÚJO DE JESUS</t>
  </si>
  <si>
    <t>(71) 9 9987-1102</t>
  </si>
  <si>
    <t>CATARINA CANDIDO DE OLIVEIRA</t>
  </si>
  <si>
    <t>(71) 9 8639-1074</t>
  </si>
  <si>
    <t>JOSE MARCELO LIMA COSTA</t>
  </si>
  <si>
    <t>(71) 9 8617-4794</t>
  </si>
  <si>
    <t>(71)  3625-9732</t>
  </si>
  <si>
    <r>
      <rPr>
        <rFont val="Calibri"/>
        <b/>
        <color theme="1"/>
        <sz val="11.0"/>
      </rPr>
      <t>13 (</t>
    </r>
    <r>
      <rPr>
        <rFont val="Calibri"/>
        <b/>
        <color rgb="FFFF0000"/>
        <sz val="11.0"/>
      </rPr>
      <t>Sendo 12 como sala de aula</t>
    </r>
    <r>
      <rPr>
        <rFont val="Calibri"/>
        <b/>
        <color theme="1"/>
        <sz val="11.0"/>
      </rPr>
      <t xml:space="preserve"> e 1 Laboratório Informática)</t>
    </r>
  </si>
  <si>
    <t>AV. LAURO DE FREITAS, FAIXA 29, QUADRA 4 - SN(00002)</t>
  </si>
  <si>
    <t>JEFFERSON SANTANA DIAS</t>
  </si>
  <si>
    <t>(71) 9 9943- 3951</t>
  </si>
  <si>
    <t>MARA LÚCIA DOS SANTOS MAMONA</t>
  </si>
  <si>
    <t>(71) 9 9156-9547/ 9 8231-5655</t>
  </si>
  <si>
    <t>JEFERSON BORGES FONSECA</t>
  </si>
  <si>
    <t>(71) 9 9103-4573</t>
  </si>
  <si>
    <t>(71)  3648-2966</t>
  </si>
  <si>
    <r>
      <rPr>
        <rFont val="Calibri"/>
        <color theme="1"/>
      </rPr>
      <t xml:space="preserve">ANEXO - CENTRO TERRITORIAL DE EDUCAÇÃO PROFISSIONAL PIEMONTE DO PARAGUAÇU II - POVOADO DE VISGUEIRA
</t>
    </r>
    <r>
      <rPr>
        <rFont val="Calibri"/>
        <b/>
        <color theme="1"/>
      </rPr>
      <t>(ANTIGO POVOADO DE IBIAPORÃ)</t>
    </r>
  </si>
  <si>
    <t>POVOADO DE VISGUEIRA - S/N</t>
  </si>
  <si>
    <t>RUA JURACY MAGALHAES - 19</t>
  </si>
  <si>
    <t>LUCINALDO DE OLIVEIRA REIS</t>
  </si>
  <si>
    <t xml:space="preserve"> (71) 9 8823-5518</t>
  </si>
  <si>
    <t>JOSÉ GONÇALVES DE ARAÚJO</t>
  </si>
  <si>
    <t xml:space="preserve">(71) 9 8855-8864 </t>
  </si>
  <si>
    <t>ANDERSON JOSE DO NASCIMENTO SANTOS</t>
  </si>
  <si>
    <t>(71) 9 8707-0774</t>
  </si>
  <si>
    <t>(71) 3631-1518
(71)  3631-3039
(71)  3631-1500</t>
  </si>
  <si>
    <t>COLEGIO ESTADUAL HERMANO GOUVEIA NETO</t>
  </si>
  <si>
    <t>ELIENE DOS S. SANTOS DE JESUS</t>
  </si>
  <si>
    <t>(71) 9 8895-3771</t>
  </si>
  <si>
    <t>KARINA RAMOS BARBOSA DE SANTANA</t>
  </si>
  <si>
    <t>(71) 9 8486-6866</t>
  </si>
  <si>
    <t>PATRICIA CRISTINA NATIVIDADE DE JESUS</t>
  </si>
  <si>
    <t>(71) 9 9235-0952</t>
  </si>
  <si>
    <t>(71) 3026-3901</t>
  </si>
  <si>
    <t xml:space="preserve">ANEXO - CENTRO TERRITORIAL DE EDUCAÇÃO PROFISSIONAL PIEMONTE DO PARAGUAÇU II - POV. DE UMBUZEIRO </t>
  </si>
  <si>
    <t>COLEGIO ESTADUAL FRANCISCO PEREIRA FRANCO</t>
  </si>
  <si>
    <t>ALZIRA CRISTINA CORREIA DA SILVA SANTOS</t>
  </si>
  <si>
    <t>(71) 9 8835-7387</t>
  </si>
  <si>
    <t>KASSANDRA SOARES RODRIGUES</t>
  </si>
  <si>
    <t>(71) 9 9107-5355</t>
  </si>
  <si>
    <t>PATRICIA SOUZA PLESSYM</t>
  </si>
  <si>
    <t>(71) 9 9963-9333</t>
  </si>
  <si>
    <t>(71) 3377-0944/ 3365-1363 / 3377-6181</t>
  </si>
  <si>
    <t>RUA DIREITA DE PORTAO - SN(00301)</t>
  </si>
  <si>
    <t>PAULO CÉSAR PINHEIRO PATROCINIO DOS SANTOS</t>
  </si>
  <si>
    <t>(71) 9 9626-1503</t>
  </si>
  <si>
    <t>TEREZINHA GUERRA JACOB MAZZUCCHI</t>
  </si>
  <si>
    <t>(71) 9 8175-7564</t>
  </si>
  <si>
    <t>GENESIA MAIA DE OLIVEIRA</t>
  </si>
  <si>
    <t>(71) 9 8893 3412</t>
  </si>
  <si>
    <t>(71) 3379-3202 / 3379-4165</t>
  </si>
  <si>
    <t>8 (Sendo 7 como sala de aula e 01 sala adaptada para sala de vídeo)</t>
  </si>
  <si>
    <t>(Após conclusão das obras, a unidade escolar receberá os estudantes do C.E Social de Portão, anexo do Kleber Pacheco da sede e parte dos estudantes do CE Américo Simas)</t>
  </si>
  <si>
    <t>COLEGIO ESTADUAL BARTOLOMEU DE GUSMAO</t>
  </si>
  <si>
    <t>DULCE CLEIDE DE ARAUJO SANTOS DA SILVA</t>
  </si>
  <si>
    <t>(71) 9 8826-1134</t>
  </si>
  <si>
    <t>LUIS ALBERTO ALVES DE JESUS</t>
  </si>
  <si>
    <t>(71) 9 8617-9262</t>
  </si>
  <si>
    <t>(71)3288-3257 / 3378-0576 / 3378-9285</t>
  </si>
  <si>
    <t>COLEGIO ESTADUAL AMERICO SIMAS</t>
  </si>
  <si>
    <t xml:space="preserve">
VIRGINIA ROCHA COSTA</t>
  </si>
  <si>
    <t>(71) 9 9122-1032</t>
  </si>
  <si>
    <t>LUÍSA MÁRCIA DE ALMEIDA SERRAVALLE COSTA</t>
  </si>
  <si>
    <t>(71) 9 9203-1856</t>
  </si>
  <si>
    <t>EDUARDO SANDRO BORGES ARGOLE</t>
  </si>
  <si>
    <t>(71) 9 8835-3523</t>
  </si>
  <si>
    <t>(71)3378-0950 / 3378-5754/ 3378-4101</t>
  </si>
  <si>
    <t>14 (Sendo 13 como salas de aula e 01 sal adaptada para sala de vídeo)</t>
  </si>
  <si>
    <t>COLEGIO ESTADUAL ALFREDO AGOSTINHO DE DEUS</t>
  </si>
  <si>
    <t>ANA PATRICIA DOS SANTOS ROCHA</t>
  </si>
  <si>
    <t>(71) 9 8757-4759 3371-4754</t>
  </si>
  <si>
    <t>MAILDES FONSECA DE MENEZES</t>
  </si>
  <si>
    <t>(71) 9 9321-1716</t>
  </si>
  <si>
    <t>GUSTAVO CRUSOE  ALVES DA SILVA</t>
  </si>
  <si>
    <t>(71) 9 9610-4266</t>
  </si>
  <si>
    <t>(71) 3378-5012 / 3378-5011 /3378-2501</t>
  </si>
  <si>
    <t>13 + 02 (Adapt)</t>
  </si>
  <si>
    <t>DENIS RIOS DALTRO</t>
  </si>
  <si>
    <t>(71) 9 8506-4811</t>
  </si>
  <si>
    <t>LUCIO JOSE SILVA GALVAO</t>
  </si>
  <si>
    <t>(71) 9 8749-5170</t>
  </si>
  <si>
    <t>JESSICA FREITAS DO ESPIRITO SANTO</t>
  </si>
  <si>
    <t>(71) 9 9162-8732</t>
  </si>
  <si>
    <t>(71) 3378-4663 / 3288-2387</t>
  </si>
  <si>
    <r>
      <rPr>
        <rFont val="Calibri"/>
        <b/>
        <color theme="1"/>
        <sz val="11.0"/>
      </rPr>
      <t>40 (</t>
    </r>
    <r>
      <rPr>
        <rFont val="Calibri"/>
        <b/>
        <color rgb="FFFF0000"/>
        <sz val="11.0"/>
      </rPr>
      <t xml:space="preserve">sendo 16 salas do predio antigo </t>
    </r>
    <r>
      <rPr>
        <rFont val="Calibri"/>
        <b/>
        <color theme="1"/>
        <sz val="11.0"/>
      </rPr>
      <t>(12 salas de aula e 04 adaptadas) e 24 do predio novo)</t>
    </r>
  </si>
  <si>
    <t>DIOGO SPINOLA SODRÉ</t>
  </si>
  <si>
    <t>(71) 9 9229-7590</t>
  </si>
  <si>
    <t>ELIETE DE SANTANA ROCHA</t>
  </si>
  <si>
    <t>(71) 9 9188-0874</t>
  </si>
  <si>
    <t>(71) 3604-1421 3604-4226</t>
  </si>
  <si>
    <t>PRACA AMADO BAHIA - S/N</t>
  </si>
  <si>
    <t>MARINA FONSECA LAGO</t>
  </si>
  <si>
    <t>(71) 9 8181-6963</t>
  </si>
  <si>
    <t>ANA LUCIA GARCIA MENDES FRANCA</t>
  </si>
  <si>
    <t>(71) 9 9912-2148</t>
  </si>
  <si>
    <t>COLÉGIO ESTADUAL BRÁULIO SAMPAIO</t>
  </si>
  <si>
    <t>JACI LEAL PEREIRA DOS SANTOS</t>
  </si>
  <si>
    <t>(71) 9 9999-8064</t>
  </si>
  <si>
    <t>CLEA MARIA RODRIGUES DOS SANTOS</t>
  </si>
  <si>
    <t>(71) 9 8652-0718</t>
  </si>
  <si>
    <t>(71) 3635-3630</t>
  </si>
  <si>
    <t>10 (Sendo 9 como sala de aula e 1 Multifuncional)</t>
  </si>
  <si>
    <t>KADJA CRISTINA GRIMALDI GUEDES</t>
  </si>
  <si>
    <t>(71) 9 9126-6181/ 9 9974-0877</t>
  </si>
  <si>
    <t>ANDRÉA PENALVA DE OLIVEIRA</t>
  </si>
  <si>
    <t>(71) 9 9715-1504</t>
  </si>
  <si>
    <t>RONALDO SANTOS FALCAO</t>
  </si>
  <si>
    <t>(71) 9 9667-1532</t>
  </si>
  <si>
    <t>(71) 3667-2211</t>
  </si>
  <si>
    <t>LUCIDALVA RODRIGUES DOS SANTOS</t>
  </si>
  <si>
    <t>(71) 9 8897-5497</t>
  </si>
  <si>
    <t>COORDENADORA PEDAGÓGICA - LUSENICE</t>
  </si>
  <si>
    <t>(71) 9 9919-5139</t>
  </si>
  <si>
    <t>HELENA APARECIDA RODRIGUES</t>
  </si>
  <si>
    <t>(71) 9 9136-2111</t>
  </si>
  <si>
    <t>ANALICE SILVA JORGE SOBRINHA</t>
  </si>
  <si>
    <t>(71) 9 9682-5781</t>
  </si>
  <si>
    <t>FRANCISCO DE ASSIS DA SILVA REGO</t>
  </si>
  <si>
    <t>(71) 9 9998-3773</t>
  </si>
  <si>
    <t>(71) 3645-3938 / 99620-5745</t>
  </si>
  <si>
    <t>MARIA CRISTINA SOUZA DE JESUS</t>
  </si>
  <si>
    <t>(71) 9 9964-5049</t>
  </si>
  <si>
    <t>IRANI ROQUE SANTOS RIBEIRO</t>
  </si>
  <si>
    <t>(71) 9 9949-0964</t>
  </si>
  <si>
    <t>(71) 3645-2424</t>
  </si>
  <si>
    <t>VALDEZE ANTONIA SILVA E SILVA</t>
  </si>
  <si>
    <t>(71) 9 8831-6168</t>
  </si>
  <si>
    <t>DIVA ALVES DE SOUZA</t>
  </si>
  <si>
    <t>(71) 9 8751-1582</t>
  </si>
  <si>
    <t>(71) 3384-9400
(71) 3384-8486</t>
  </si>
  <si>
    <t>RUA PROFESSOR SOEIRO - SN(00033)</t>
  </si>
  <si>
    <t xml:space="preserve">MARINALDO DOS SANTOS BEZERRA </t>
  </si>
  <si>
    <t>(71) 9 9984-8595</t>
  </si>
  <si>
    <t xml:space="preserve"> JAIR DOS SANTOS SOUZA</t>
  </si>
  <si>
    <t>(71) 9 8782-3736        9 9122-3536</t>
  </si>
  <si>
    <t>(71) 3388-6337</t>
  </si>
  <si>
    <t>8+3ADAP</t>
  </si>
  <si>
    <t>ETHEL ROCHA SILVEIRA DE CARVALHO</t>
  </si>
  <si>
    <t>(71) 9 9914-5911</t>
  </si>
  <si>
    <t>CLAUDIA SANTOS OLIVEIRA</t>
  </si>
  <si>
    <t>(71) 9 8729-8375/ 9 9217-0206</t>
  </si>
  <si>
    <t>(71) 3395-8182</t>
  </si>
  <si>
    <t>ELISANGELA PEREIRA DE OLIVEIRA</t>
  </si>
  <si>
    <t>(71) 9 9278-6369</t>
  </si>
  <si>
    <t>JOSEMAR CARVALHO DOS SANTOS</t>
  </si>
  <si>
    <t>DARCILENE SANTOS PEREIRA</t>
  </si>
  <si>
    <t>17 + 01 adapt</t>
  </si>
  <si>
    <t>ANA PAULA NEVES DOS SANTOS RODRIGUES</t>
  </si>
  <si>
    <t xml:space="preserve">(71) 9 9136-8264 </t>
  </si>
  <si>
    <t>NIVEA MERCIA BATISTA NEVES</t>
  </si>
  <si>
    <t>(71) 9 9615-1012</t>
  </si>
  <si>
    <t>(71) 3243-6293 3243-1254</t>
  </si>
  <si>
    <t>SABRINA LIMA DE SOUZA</t>
  </si>
  <si>
    <t>(71) 3377-7522</t>
  </si>
  <si>
    <t>HILMARIA CONCEIÇÃO CERQUEIRA</t>
  </si>
  <si>
    <t>(71) 9 9128-8430/ 9 9977-8430</t>
  </si>
  <si>
    <t>(71) 3389-0163</t>
  </si>
  <si>
    <t>LUCIENE OLIVEIRA LIMA</t>
  </si>
  <si>
    <t>(71) 9 8729-2835</t>
  </si>
  <si>
    <t>DIRCEU DO SOCORRO PEREIRA</t>
  </si>
  <si>
    <t>(71) 9 8769-1817</t>
  </si>
  <si>
    <t>(71) 3431-1141
 3431-0800</t>
  </si>
  <si>
    <t>LUIS PAULO DE SOUSA PINTO COSTA</t>
  </si>
  <si>
    <t>(71) 9 9717-8627 /9 9323-5414</t>
  </si>
  <si>
    <t>ITALO ALMEIDA DE OLIVEIRA</t>
  </si>
  <si>
    <t>(71) 9 9139-9318</t>
  </si>
  <si>
    <t>(71) 3393-4662             3393-1741</t>
  </si>
  <si>
    <t>ANA MARIA BOKER TORRES OLIVEIRA</t>
  </si>
  <si>
    <t>(71) 9 9630-8541</t>
  </si>
  <si>
    <t>TELMA LIMA DA CRUZ</t>
  </si>
  <si>
    <t>9 8747-1516 /9 9323-2507</t>
  </si>
  <si>
    <t>3392-3868</t>
  </si>
  <si>
    <t>CAMERINA CHAVES CONTREIRAS DE SOUZA</t>
  </si>
  <si>
    <t>(71) 9 9378-8150</t>
  </si>
  <si>
    <t>GEISA PALMEIRA SILVA SANTOS</t>
  </si>
  <si>
    <t>(71) 9 8708-0515</t>
  </si>
  <si>
    <t>VIVIANE CARLA BANDEIRA SANTOS</t>
  </si>
  <si>
    <t>9 9121-7060</t>
  </si>
  <si>
    <t>(71) 3314-1519</t>
  </si>
  <si>
    <t>16 (Sendo 15 como sala de aula e 1 Multimidia)</t>
  </si>
  <si>
    <t>EDNALDO SILVA DE FREITAS</t>
  </si>
  <si>
    <t>(71) 9 8819-9195</t>
  </si>
  <si>
    <t>PATRICIA MARA ARAUJO DE OLIVEIRA</t>
  </si>
  <si>
    <t>(71) 9 8728-6796</t>
  </si>
  <si>
    <t>(71) 3386-4305</t>
  </si>
  <si>
    <t>REJANE CUNHA FREIRE BANDEIRA</t>
  </si>
  <si>
    <t>(71) 9 8888-2952</t>
  </si>
  <si>
    <t>FABRICIO DE ALMEIDA MATTOS AMORIM</t>
  </si>
  <si>
    <t>(71) 9 9374-7071</t>
  </si>
  <si>
    <t>(71) 3314-8200</t>
  </si>
  <si>
    <r>
      <rPr>
        <rFont val="Calibri"/>
        <b/>
        <color theme="1"/>
        <sz val="11.0"/>
      </rPr>
      <t>34 (</t>
    </r>
    <r>
      <rPr>
        <rFont val="Calibri"/>
        <b/>
        <color rgb="FFFF0000"/>
        <sz val="11.0"/>
      </rPr>
      <t>sendo 29 utilizadas como salas de aula</t>
    </r>
    <r>
      <rPr>
        <rFont val="Calibri"/>
        <b/>
        <color theme="1"/>
        <sz val="11.0"/>
      </rPr>
      <t xml:space="preserve"> e 05 adaptadas para: 01 dança, 01 AEE, 01 informática, 01 saúde bucal, 01 musica)</t>
    </r>
  </si>
  <si>
    <t>MARIA DAS GRAÇAS DE OLIVEIRA</t>
  </si>
  <si>
    <t>(71) 9 9113-8127</t>
  </si>
  <si>
    <t>HARILDA MARIA DE ALMEIDA LIMA CORREIA</t>
  </si>
  <si>
    <t>(71) 9 9652-0724/9 9113-8127</t>
  </si>
  <si>
    <t xml:space="preserve">(71) 3261-2628           </t>
  </si>
  <si>
    <t>IVANA PEREIRA DE SOUZA PINHEIRO</t>
  </si>
  <si>
    <t>(71) 9 9153-8751/9 8715-0419</t>
  </si>
  <si>
    <t>ADRIANO CURVELO PENA JUNIOR</t>
  </si>
  <si>
    <t>(71) 9 8810-9661</t>
  </si>
  <si>
    <t>(71) 3253-0706</t>
  </si>
  <si>
    <r>
      <rPr>
        <rFont val="Calibri"/>
        <b/>
        <color theme="1"/>
        <sz val="11.0"/>
      </rPr>
      <t xml:space="preserve">06 salas, </t>
    </r>
    <r>
      <rPr>
        <rFont val="Calibri"/>
        <b/>
        <color rgb="FFFF0000"/>
        <sz val="11.0"/>
      </rPr>
      <t>sendo 04 como salas de aula</t>
    </r>
    <r>
      <rPr>
        <rFont val="Calibri"/>
        <b/>
        <color theme="1"/>
        <sz val="11.0"/>
      </rPr>
      <t>, 01 adaptada para sala de leitura e 01 adaptada para sala de professores.</t>
    </r>
  </si>
  <si>
    <t>PALOMA VANDERLEY DA SILVA</t>
  </si>
  <si>
    <t>(71) 9 9190-1021</t>
  </si>
  <si>
    <t>(71) 3309-2063</t>
  </si>
  <si>
    <t>8 (Sendo 7 como sala de aula e 1 Sala de jogos)</t>
  </si>
  <si>
    <t>MARCELO MARCOS HABIB BAPTISTA</t>
  </si>
  <si>
    <t xml:space="preserve">(71) 9 8823-2300   </t>
  </si>
  <si>
    <t xml:space="preserve">ELAINE CRISTINA BARBOSA MONTEIRO </t>
  </si>
  <si>
    <t>(71) 9 8211-7253</t>
  </si>
  <si>
    <t>(71) 3312-2639 / 3313-9798</t>
  </si>
  <si>
    <t>ANA CAROLINA QUEIROS FONSECA PAIM</t>
  </si>
  <si>
    <t>(71) 9 9399-0405</t>
  </si>
  <si>
    <t>(71) 3389-0226</t>
  </si>
  <si>
    <t>GERUZA DE ARAÚJO</t>
  </si>
  <si>
    <t>(71) 9 9952-6339</t>
  </si>
  <si>
    <t>MÁRCIO MOTTA MALTEZ</t>
  </si>
  <si>
    <t>(71) 9 8700-9497</t>
  </si>
  <si>
    <t>(71) 3286-7060</t>
  </si>
  <si>
    <t xml:space="preserve">JURACI XAVIER DOURADO </t>
  </si>
  <si>
    <t>(71) 9 9947-3337</t>
  </si>
  <si>
    <t>ITAMARA MARIA BEZERRA TAVARES</t>
  </si>
  <si>
    <t>(71) 9 8808-3396</t>
  </si>
  <si>
    <t>DANIELA DOS SANTOS FERREIRA</t>
  </si>
  <si>
    <t>(71) 9 8603-5466</t>
  </si>
  <si>
    <t>(71) 3244-7779</t>
  </si>
  <si>
    <r>
      <rPr>
        <rFont val="Calibri"/>
        <b/>
        <color theme="1"/>
        <sz val="11.0"/>
      </rPr>
      <t>22 (</t>
    </r>
    <r>
      <rPr>
        <rFont val="Calibri"/>
        <b/>
        <color rgb="FFFF0000"/>
        <sz val="11.0"/>
      </rPr>
      <t xml:space="preserve"> sendo 20 salas de aula,</t>
    </r>
    <r>
      <rPr>
        <rFont val="Calibri"/>
        <b/>
        <color theme="1"/>
        <sz val="11.0"/>
      </rPr>
      <t xml:space="preserve"> 01 adapt. para coordenação e 01 cedida ao NTE)</t>
    </r>
  </si>
  <si>
    <t>COLEGIO ESTADUAL YPIRANGA - TEMPO INTEGRAL</t>
  </si>
  <si>
    <t xml:space="preserve">ROSA DO AMPARO CUNHA DE MATTOS </t>
  </si>
  <si>
    <t>(71) 9 9970-2777</t>
  </si>
  <si>
    <t>MARIA DO CARMO DA SILVA</t>
  </si>
  <si>
    <t xml:space="preserve">(71) 9 9106-5441 </t>
  </si>
  <si>
    <t>(71) 3322-5968</t>
  </si>
  <si>
    <t>COLEGIO ESTADUAL YEDA BARRADAS CARNEIRO - TEMPO INTEGRAL</t>
  </si>
  <si>
    <t>GIULEMAR DE SOUZA SANTANA</t>
  </si>
  <si>
    <t>EGELZA GOMES SOUZA</t>
  </si>
  <si>
    <t>(71) 9 8876-7551</t>
  </si>
  <si>
    <t>LINDOMAR ANDRADE PORTUGAL</t>
  </si>
  <si>
    <t>(71) 9 8255-1055</t>
  </si>
  <si>
    <t>ENG PIMENTA DA CUNHA - 00003</t>
  </si>
  <si>
    <t>ITAPAGIPE</t>
  </si>
  <si>
    <t xml:space="preserve"> ELIANA SOUZA DOS ANJOS</t>
  </si>
  <si>
    <t>(71) 9 8178-9246/ 3231-8547</t>
  </si>
  <si>
    <t>MARTHA MARIA FERRAZ DO CARMO DA SILVIA</t>
  </si>
  <si>
    <t>(71) 9 9348-2179</t>
  </si>
  <si>
    <t>(71) 3313-2593 /3312-2382</t>
  </si>
  <si>
    <t>COLEGIO ESTADUAL VISCONDE DE MAUA</t>
  </si>
  <si>
    <t>EDILENE SOUZA DE SENA</t>
  </si>
  <si>
    <t>(71) 9 8555-3207</t>
  </si>
  <si>
    <t xml:space="preserve">ANTONIO CARLOS SANTOS DA SILVA     </t>
  </si>
  <si>
    <t>(71) 9 8768-2791</t>
  </si>
  <si>
    <t>FERNANDA SIMOES NASCIMENTO</t>
  </si>
  <si>
    <t>(71) 9 9960 - 4720</t>
  </si>
  <si>
    <t xml:space="preserve"> MARYLUZ VIEIRA LIMA</t>
  </si>
  <si>
    <t>(71) 9 8811-6150</t>
  </si>
  <si>
    <t>ANTONIO GABRIEL SANTOS ASSUNCAO</t>
  </si>
  <si>
    <t>(71) 9 8801-3696</t>
  </si>
  <si>
    <t>(71) 3391-5350</t>
  </si>
  <si>
    <t>COLEGIO ESTADUAL VERA LUX</t>
  </si>
  <si>
    <t>VLADIMIR DE CASTRO MORAES</t>
  </si>
  <si>
    <t>(77) 9 9959-5630</t>
  </si>
  <si>
    <t>JULIETE FERREIRA CASTELO BRANCO</t>
  </si>
  <si>
    <t>(71) 9 9201-6009</t>
  </si>
  <si>
    <t>LILIAN MARIA DA SILVA SANTOS</t>
  </si>
  <si>
    <t>(71) 9 8225-6165</t>
  </si>
  <si>
    <t>(71) 3213-1504</t>
  </si>
  <si>
    <t>COLEGIO ESTADUAL VALE DOS LAGOS</t>
  </si>
  <si>
    <t>SERGIO RICARDO DE CARVALHO FURTADO</t>
  </si>
  <si>
    <t>(71) 9 9999-3637</t>
  </si>
  <si>
    <t>ANDREA FELIX DE SANTANA DA SILVA</t>
  </si>
  <si>
    <t xml:space="preserve">(71) 9 8603-7506 </t>
  </si>
  <si>
    <t>IZABEL DE SOUZA LEMOS RAMOS</t>
  </si>
  <si>
    <t xml:space="preserve">(71) 9 9994-4705 </t>
  </si>
  <si>
    <t>(71) 3213-5458     3399-8688</t>
  </si>
  <si>
    <t>COLEGIO ESTADUAL URSULA CATHARINO</t>
  </si>
  <si>
    <t>FERNANDA MAGALHAES DANTAS</t>
  </si>
  <si>
    <t>(71) 9 8894-1349</t>
  </si>
  <si>
    <t>BIANCA JEZLER LIMA CONTE</t>
  </si>
  <si>
    <t xml:space="preserve">(71) 9 8132-0899 </t>
  </si>
  <si>
    <t>(71) 3329-6127 3329-0500</t>
  </si>
  <si>
    <t>COLEGIO ESTADUAL THALES DE AZEVEDO</t>
  </si>
  <si>
    <t>ELISANGELA LOPES MARQUES</t>
  </si>
  <si>
    <t>(71) 9 9660 - 2441</t>
  </si>
  <si>
    <t>MARIA AMÉLIA OLIVEIRA DE FARIAS MOTA</t>
  </si>
  <si>
    <t>(71) 9 8669-8089</t>
  </si>
  <si>
    <t>LEIDA BARACAT OLIVEIRA</t>
  </si>
  <si>
    <t>(71) 9 8715-9663</t>
  </si>
  <si>
    <t>(71) 3341-3770 3341-7138</t>
  </si>
  <si>
    <t>23 (Sendo 20 como sala de aula, 2 Salas de idioma e 1 Áudio visual</t>
  </si>
  <si>
    <t>DIVANEY DOS SANTOS VIEIRA</t>
  </si>
  <si>
    <t>(71) 9 9118-0558/ 9 8807-5733</t>
  </si>
  <si>
    <t>ANTONIA DA SILVA PINTO</t>
  </si>
  <si>
    <t>(71) 9 8885-5702</t>
  </si>
  <si>
    <t>JAIRO DIAS DA COSTA</t>
  </si>
  <si>
    <t>(71) 9 8633-7041</t>
  </si>
  <si>
    <t>MIRAILDES TEIXEIRA LOPES TELES</t>
  </si>
  <si>
    <t>(71) 9 9403-9039</t>
  </si>
  <si>
    <t>(71) 3256-1346</t>
  </si>
  <si>
    <t>LEILA MARIA SOUZA DE CARVALHO</t>
  </si>
  <si>
    <t>(71) 9 9608-2345</t>
  </si>
  <si>
    <t>(71) 3312-5578</t>
  </si>
  <si>
    <t>23 (Sendo 13 como sala de aula, 2 Multimidia, 1 Atividade física (Boxe), 1 Sala de guardar reserva de livros e 6 Salas Multifuncionais)</t>
  </si>
  <si>
    <t>COLEGIO ESTADUAL SETE DE SETEMBRO</t>
  </si>
  <si>
    <t>DIÓGENES RIBEIRO DA SILVA</t>
  </si>
  <si>
    <t xml:space="preserve">(71) 9 9147-3680  </t>
  </si>
  <si>
    <t>(71) 3397-0673 / 3397-0673</t>
  </si>
  <si>
    <t>COLEGIO ESTADUAL SENHOR DO BONFIM</t>
  </si>
  <si>
    <t>JENER FREIRE</t>
  </si>
  <si>
    <t>(71) 9 8845-9398</t>
  </si>
  <si>
    <t>MARISTELA NEVES MACHADO</t>
  </si>
  <si>
    <t>(71)  9 9934-5773/ 3385-3336</t>
  </si>
  <si>
    <t>(71) 3328-2473 3328-0767</t>
  </si>
  <si>
    <t>COLEGIO ESTADUAL SATIRO DIAS</t>
  </si>
  <si>
    <t>SOANE NASCIMENTO LIMA</t>
  </si>
  <si>
    <t>(71) 9 9936-3927</t>
  </si>
  <si>
    <t>JUSSARA SILVA PINHEIRO DE MATOS</t>
  </si>
  <si>
    <t>(71) 3346-0051/9 9270-1082</t>
  </si>
  <si>
    <t>GUSTAVO EMILIO DE JESUS CONDE</t>
  </si>
  <si>
    <t>(71) 9 9991-0813</t>
  </si>
  <si>
    <t>(71) 3248-0260</t>
  </si>
  <si>
    <t>ROSILENE FRANCA ARAUJO REIS</t>
  </si>
  <si>
    <t>(71) 9 8629-3606</t>
  </si>
  <si>
    <t>JEOVÁ LOPES DA FRANÇA</t>
  </si>
  <si>
    <t>(71) 9 8848-6144</t>
  </si>
  <si>
    <t>ROBERVAL DE MOURA MONTEIRO</t>
  </si>
  <si>
    <t>(71) 9 9244-9138/ 9 8764-0081</t>
  </si>
  <si>
    <t>(71) 3218-0446  / 3398-0412</t>
  </si>
  <si>
    <t>MIRIAN OLIVEIRA MACHADO</t>
  </si>
  <si>
    <t>(71) 9 8703-1017 99672-2166</t>
  </si>
  <si>
    <t>JORGE LUIZ MOTA PORTO</t>
  </si>
  <si>
    <t>(71) 9 9947-5983</t>
  </si>
  <si>
    <t>ADILTON DO NASCIMENTYO CARDOSO</t>
  </si>
  <si>
    <t>(71) 9 8723-2893</t>
  </si>
  <si>
    <t>(71) 3309-0460</t>
  </si>
  <si>
    <t>COLEGIO ESTADUAL RUTH PACHECO</t>
  </si>
  <si>
    <t xml:space="preserve">DORIS MONTEIRO RIBEIRO SOARES </t>
  </si>
  <si>
    <t>(71) 9 9235-0443</t>
  </si>
  <si>
    <t>NILDETE COSTA DA MATA</t>
  </si>
  <si>
    <t xml:space="preserve">(71) 9 8899-3203 </t>
  </si>
  <si>
    <t xml:space="preserve">	ROSIDALVA EVANGELINA DE CERQUEIRA</t>
  </si>
  <si>
    <t>(71) 9 9136-3016</t>
  </si>
  <si>
    <t>(71) 33061710</t>
  </si>
  <si>
    <t>ANTONIO LAZARO PIMENTA DE ARAUJO</t>
  </si>
  <si>
    <t>(71) 9 9735-0674</t>
  </si>
  <si>
    <t>SÉRGIO BARBOSA CABRAL DE SOUZA</t>
  </si>
  <si>
    <t>(71) 9 9101-4408</t>
  </si>
  <si>
    <t>MARIA ANITA DOS REIS</t>
  </si>
  <si>
    <t>(71) 9 9259-6999</t>
  </si>
  <si>
    <t>(71) 3389-3868// 3389-7306/3383-2797</t>
  </si>
  <si>
    <t>COLEGIO ESTADUAL ROTARY</t>
  </si>
  <si>
    <t>JULIANA NOVAIS LOPES</t>
  </si>
  <si>
    <t>(71) 9 8850-7812</t>
  </si>
  <si>
    <t>JORGE LUIZ OLIVEIRA COSTA</t>
  </si>
  <si>
    <t>(71) 9 8658-1960</t>
  </si>
  <si>
    <t>CYOMARA DA COSTA PITANGA</t>
  </si>
  <si>
    <t>(71) 9 9373-6599</t>
  </si>
  <si>
    <t>ANTÔNIO AUGUSTO COSTA</t>
  </si>
  <si>
    <t xml:space="preserve">(71) 9 9277-2424 </t>
  </si>
  <si>
    <t>MARIA CRISTINA REIS ARAUJO</t>
  </si>
  <si>
    <t>(71) 9 8868-4242</t>
  </si>
  <si>
    <t>(71) 3246-9289</t>
  </si>
  <si>
    <t>EVERALDO PALMEIRAS PATTAS FILHO</t>
  </si>
  <si>
    <t>(71) 9 8816-6601</t>
  </si>
  <si>
    <t>ANGELA CRISTINA DOS SANTOS ALCANTARA</t>
  </si>
  <si>
    <t>(71)  9 8145-3961</t>
  </si>
  <si>
    <t>LEILA MILA LIMA CAVALCANTE RUFINO</t>
  </si>
  <si>
    <t xml:space="preserve"> (71) 9 9121-5249        </t>
  </si>
  <si>
    <t>(71) 3309-5668</t>
  </si>
  <si>
    <t>COLEGIO ESTADUAL RAPHAEL SERRAVALLE</t>
  </si>
  <si>
    <t>RENATA SILVA DE SOUZA</t>
  </si>
  <si>
    <t>(71) 9 9209-8665</t>
  </si>
  <si>
    <t>DENISE LAGO DE MIRANDA</t>
  </si>
  <si>
    <t>(71) 9 9155-8311</t>
  </si>
  <si>
    <t>ALINE PEREIRA LAGO DA NOVA MOREIRA</t>
  </si>
  <si>
    <t>(71) 9 9987-5974</t>
  </si>
  <si>
    <t>(71)3359-7855</t>
  </si>
  <si>
    <t>DEMOSTENES SOARES JUNIOR</t>
  </si>
  <si>
    <t>(71) 9 8273-7320</t>
  </si>
  <si>
    <t>JOSINALDO PINTO DE SOUZA</t>
  </si>
  <si>
    <t>(71) 9 9129-4455</t>
  </si>
  <si>
    <t>LAURA RODRIGUES SOUZA SILVA</t>
  </si>
  <si>
    <t>(71) 9 8836-7546</t>
  </si>
  <si>
    <t>TANIA REGINA SALDANHA LELLIS</t>
  </si>
  <si>
    <t>(71) 9 8153-9822</t>
  </si>
  <si>
    <t>CRISTIANILDES BARROSO DE OLIVEIRA</t>
  </si>
  <si>
    <t>(71) 9 8811-8604</t>
  </si>
  <si>
    <t>(71) 3306-9783
(71) 3390-6892</t>
  </si>
  <si>
    <t>COLEGIO ESTADUAL PROFESSORA MARIA ODETTE PITHON RAYNAL</t>
  </si>
  <si>
    <t>ESTER ALVES MARINHO DE LIMA MARINHO</t>
  </si>
  <si>
    <t>(71) 9 9205-2979</t>
  </si>
  <si>
    <t>MARIA LEDA GUIMARAES RODRIGUES</t>
  </si>
  <si>
    <t>(71) 9 8640-1587</t>
  </si>
  <si>
    <t>ROSANGELA MOTA BURGOS</t>
  </si>
  <si>
    <t>(71) 9 8850-4405/ 9 8837-8847</t>
  </si>
  <si>
    <t>BARBARA DE CASSIA VIEIRA</t>
  </si>
  <si>
    <t xml:space="preserve">98600-8123  </t>
  </si>
  <si>
    <t>MARIA CRISTINA SANTOS DE ALBUQUERQUE</t>
  </si>
  <si>
    <t>98705-9583</t>
  </si>
  <si>
    <t xml:space="preserve">FERCY PINTO PEDREIRA </t>
  </si>
  <si>
    <t>(71) 3213-7733</t>
  </si>
  <si>
    <t>COLEGIO ESTADUAL PROFESSORA MARIA BERNADETE BRANDAO</t>
  </si>
  <si>
    <t>CLECIO ROULLET DE AZEVEDO</t>
  </si>
  <si>
    <t>9 9964-7572</t>
  </si>
  <si>
    <t>MARIA DE FATIMA BATISTA DO ESPIRITO SANTO</t>
  </si>
  <si>
    <t>9 9131-2084</t>
  </si>
  <si>
    <t>EDILTON AGARENO DE SOUZA JR.</t>
  </si>
  <si>
    <t>(71) 9 8852-7033</t>
  </si>
  <si>
    <t>(71) 3387-9448
 3384-5714</t>
  </si>
  <si>
    <t>08 + 01 adapt</t>
  </si>
  <si>
    <t>COLEGIO ESTADUAL PROFESSORA MARIA ANITA</t>
  </si>
  <si>
    <t>CLAUDIO LUIS GOMES DOS SANTOS</t>
  </si>
  <si>
    <t>(71) 9 9665-3114/ 9 9724-1407</t>
  </si>
  <si>
    <t>ROBSON LUIS SANTOS LIMA</t>
  </si>
  <si>
    <t>(71) 9 8898-8107</t>
  </si>
  <si>
    <t>ELSON FARIA BARBOSA DE CARVALHO</t>
  </si>
  <si>
    <t>(71) 9 9972-0851/ 9 8718-8794</t>
  </si>
  <si>
    <t>(71) 3308-3107</t>
  </si>
  <si>
    <t>COLEGIO ESTADUAL PROFESSORA LEILA RUBENS FONSECA</t>
  </si>
  <si>
    <t>IVANILTON DE SANTANA SILVA</t>
  </si>
  <si>
    <t>(71) 9 8745-9778/9 9935-0598</t>
  </si>
  <si>
    <t>ADILSON SILVA NEVES</t>
  </si>
  <si>
    <t>(71) 9 9309-6522</t>
  </si>
  <si>
    <t>(71) 3365-0781</t>
  </si>
  <si>
    <t>COLEGIO ESTADUAL PROFESSORA GEORGINA RAMOS DA SILVA</t>
  </si>
  <si>
    <t>ARMANDO IDALÊNCIO DOS SANTOS FILHO</t>
  </si>
  <si>
    <t>(71) 9 9982-3260</t>
  </si>
  <si>
    <t>EDWARD GOMES DOS SANTOS NETO</t>
  </si>
  <si>
    <t>9 8115-0406/ 9 9128-4448/ 9 8780-5413</t>
  </si>
  <si>
    <t>(71) 3116-1715 3231-9090</t>
  </si>
  <si>
    <r>
      <rPr>
        <rFont val="Calibri"/>
        <b/>
        <color rgb="FF000000"/>
        <sz val="11.0"/>
      </rPr>
      <t>05</t>
    </r>
    <r>
      <rPr>
        <rFont val="Calibri"/>
        <b/>
        <color rgb="FFFF0000"/>
        <sz val="11.0"/>
      </rPr>
      <t xml:space="preserve"> </t>
    </r>
    <r>
      <rPr>
        <rFont val="Calibri"/>
        <b/>
        <color rgb="FF000000"/>
        <sz val="11.0"/>
      </rPr>
      <t>(</t>
    </r>
    <r>
      <rPr>
        <rFont val="Calibri"/>
        <b/>
        <color rgb="FFFF0000"/>
        <sz val="11.0"/>
      </rPr>
      <t xml:space="preserve">Sendo 04 como salas de aula </t>
    </r>
    <r>
      <rPr>
        <rFont val="Calibri"/>
        <b/>
        <color rgb="FF000000"/>
        <sz val="11.0"/>
      </rPr>
      <t>e 01 adaptada para sala multiuso.)</t>
    </r>
  </si>
  <si>
    <t>COLEGIO ESTADUAL PROFESSORA ELISABETH CHAVES VELOSO</t>
  </si>
  <si>
    <t>VÂNIA MARIA NASCIMENTO FONSECA GLÓRIA</t>
  </si>
  <si>
    <t>(71) 9 8633-1415</t>
  </si>
  <si>
    <t>DIANA SOUTO DOS REIS</t>
  </si>
  <si>
    <t>(71) 9 8746-9968</t>
  </si>
  <si>
    <t>CARLOS ROBERTO BARRETO DOS SANTOS JUNIOR</t>
  </si>
  <si>
    <t>(71) 9 9165-9722</t>
  </si>
  <si>
    <t xml:space="preserve">(71) 3373-3088 </t>
  </si>
  <si>
    <t>COLEGIO ESTADUAL PROFESSOR ROMULO ALMEIDA - TEMPO INTEGRAL</t>
  </si>
  <si>
    <t>ELISIO SOUZA SANTOS</t>
  </si>
  <si>
    <t>(71) 9 9990-2509</t>
  </si>
  <si>
    <t>LUISE ALVES DE OLIVEIRA MOREIRA</t>
  </si>
  <si>
    <t>(71) 9 9901-2417/ 9 9957-1356</t>
  </si>
  <si>
    <t>CRISTIANE PINTO NUNES</t>
  </si>
  <si>
    <t>(71) 9 8199-0232</t>
  </si>
  <si>
    <t>(71) 3303-3766</t>
  </si>
  <si>
    <r>
      <rPr>
        <rFont val="Calibri"/>
        <b/>
        <color theme="1"/>
        <sz val="11.0"/>
      </rPr>
      <t>07 (</t>
    </r>
    <r>
      <rPr>
        <rFont val="Calibri"/>
        <b/>
        <color rgb="FFFF0000"/>
        <sz val="11.0"/>
      </rPr>
      <t>Sendo 05 como salas de aula</t>
    </r>
    <r>
      <rPr>
        <rFont val="Calibri"/>
        <b/>
        <color theme="1"/>
        <sz val="11.0"/>
      </rPr>
      <t>, 01 adaptada para sala de vídeo)</t>
    </r>
  </si>
  <si>
    <t>COLEGIO ESTADUAL PROFESSOR NOGUEIRA PASSOS - TEMPO INTEGRAL</t>
  </si>
  <si>
    <t>MARCELO DA CRUZ NASCIMENTO</t>
  </si>
  <si>
    <t>(71) 9 8820-6102/ 9 9215-6186</t>
  </si>
  <si>
    <t>MAYRA PANIAGO</t>
  </si>
  <si>
    <t>(75) 9 9171-1731</t>
  </si>
  <si>
    <t>(71) 3358-5919</t>
  </si>
  <si>
    <t>COLEGIO ESTADUAL PROFESSOR NELSON BARROS</t>
  </si>
  <si>
    <t>ANTONIO MARCELO DE OLIVEIRA FERREIRA</t>
  </si>
  <si>
    <t>(71) 9 9977-0051</t>
  </si>
  <si>
    <t>CRISTIANE CARVALHO SANTANA</t>
  </si>
  <si>
    <t>(71) 9 8812-2927</t>
  </si>
  <si>
    <t>ERICO BOMFIM NOVATO</t>
  </si>
  <si>
    <t>(71) 9 9347-9394</t>
  </si>
  <si>
    <t>(71) 3309-6406</t>
  </si>
  <si>
    <t>COLEGIO ESTADUAL PROFESSOR JOSE BARRETO DE ARAUJO BASTOS</t>
  </si>
  <si>
    <t>GILSON BARROS FERREIRA</t>
  </si>
  <si>
    <t>(71) 9 8772-7059</t>
  </si>
  <si>
    <t>AGDA CELESTE DOS SANTOS</t>
  </si>
  <si>
    <r>
      <rPr>
        <rFont val="Calibri"/>
        <b/>
        <color theme="1"/>
        <sz val="11.0"/>
      </rPr>
      <t>16 (</t>
    </r>
    <r>
      <rPr>
        <rFont val="Calibri"/>
        <b/>
        <color rgb="FFFF0000"/>
        <sz val="11.0"/>
      </rPr>
      <t>Sendo 14 como sala de aula</t>
    </r>
    <r>
      <rPr>
        <rFont val="Calibri"/>
        <b/>
        <color theme="1"/>
        <sz val="11.0"/>
      </rPr>
      <t>, 01 adaptada para dança e boxe e 01 adaptada para laboratório de ciências.</t>
    </r>
  </si>
  <si>
    <t>(71) 9 8887-2466</t>
  </si>
  <si>
    <t>JUÇARA BATISTA MENEZES DA SILVA</t>
  </si>
  <si>
    <t>(71) 9 8677-3186</t>
  </si>
  <si>
    <t>(71) 3246-1521</t>
  </si>
  <si>
    <t>COLEGIO ESTADUAL PROFESSOR GEORGE FRAGOSO MODESTO</t>
  </si>
  <si>
    <t>GIDEON RIBEIRO CARDOSO</t>
  </si>
  <si>
    <t>(71) 9 9214-2368</t>
  </si>
  <si>
    <t>JOSE ANTONIO SOUZA MATOS</t>
  </si>
  <si>
    <t>(71) 9 9924-4079</t>
  </si>
  <si>
    <t>ANTONIO DA CONCEICAO DE JESUS</t>
  </si>
  <si>
    <t>(71) 9 9905-3594</t>
  </si>
  <si>
    <t>(71) 3306-3280</t>
  </si>
  <si>
    <t>COLEGIO ESTADUAL PROFESSOR EDSON CARNEIRO</t>
  </si>
  <si>
    <t>DILCE MARIA SOUTO DE ASSIS</t>
  </si>
  <si>
    <t xml:space="preserve">(71) 9 9136-6667   </t>
  </si>
  <si>
    <t>ERIC CAMPOS DA SILVA SOUSA</t>
  </si>
  <si>
    <t>(71) 9 9126-6488</t>
  </si>
  <si>
    <t>WELBER CESAR DE ALCANTARA ROCHA</t>
  </si>
  <si>
    <t>(71) 9 8837-4212</t>
  </si>
  <si>
    <t>(71) 3303-3011</t>
  </si>
  <si>
    <t>CARDEAL AVELAR BRANDÃO VILLELA - SN(00404)</t>
  </si>
  <si>
    <t>KARLA DA COSTA BASTOS GUIMARAES</t>
  </si>
  <si>
    <t>(71) 9 8797-7110</t>
  </si>
  <si>
    <t>ADRIANO CESAR DOS REIS PEREIRA</t>
  </si>
  <si>
    <t>(71) 9 8228-7836</t>
  </si>
  <si>
    <t>(71) 3306-1152 
(71)  3306-0477 3306-7000</t>
  </si>
  <si>
    <t>RUA ALTO DOS COQUEIROS - SN(00372)</t>
  </si>
  <si>
    <t>NORDESTE</t>
  </si>
  <si>
    <t>ANTONIO JORGE PEREIRA DE ABREU</t>
  </si>
  <si>
    <t xml:space="preserve">(71) 9 8607-0070 </t>
  </si>
  <si>
    <t>ANA KATIA MENEZES RAMOS COELHO DA SILVA</t>
  </si>
  <si>
    <t>(71) 9 8736-3973</t>
  </si>
  <si>
    <t>JOAO PAULO FRAGA DINIZ GUERRA</t>
  </si>
  <si>
    <t>(71) 9 9998-3533</t>
  </si>
  <si>
    <t>(71) 3248-7474</t>
  </si>
  <si>
    <t>COLEGIO ESTADUAL PROFESSOR CARLOS BARROS</t>
  </si>
  <si>
    <t>LUCIANO MELLO DE CARVALHO</t>
  </si>
  <si>
    <t>(71) 9 8641-2619</t>
  </si>
  <si>
    <t>EDMILSON MERCÊS OLIVEIRA</t>
  </si>
  <si>
    <t>(71) 9 8877-3933/9 9953-0911</t>
  </si>
  <si>
    <t>VAGNER DE CERQUEIRA PAIM</t>
  </si>
  <si>
    <t>(71) 9 9982-2780</t>
  </si>
  <si>
    <t>(71) 3397-2877</t>
  </si>
  <si>
    <t>COLEGIO ESTADUAL PROFESSOR CARLOS ALBERTO CERQUEIRA</t>
  </si>
  <si>
    <t>ROBERTO SOUZA FREITAS</t>
  </si>
  <si>
    <t>(71) 9 8717-1926</t>
  </si>
  <si>
    <t>EDILENE BRITO BARBOSA</t>
  </si>
  <si>
    <t xml:space="preserve">  (71) 9 8885-5093</t>
  </si>
  <si>
    <t>LENILDES DE OLIVEIRA ALVES SANTOS</t>
  </si>
  <si>
    <t xml:space="preserve">(71) 9 9100-4744  </t>
  </si>
  <si>
    <t>(71) 3303-3083</t>
  </si>
  <si>
    <t>SYLVELANY REGINA DE JESUS</t>
  </si>
  <si>
    <t>(71)9 8786-0835</t>
  </si>
  <si>
    <t>JOSINETE FRANCISCA TELES DOS SANTOS</t>
  </si>
  <si>
    <t>(71) 9 8861-6157</t>
  </si>
  <si>
    <t>(71) 3398-0436</t>
  </si>
  <si>
    <r>
      <rPr>
        <rFont val="Calibri"/>
        <b/>
        <color theme="1"/>
        <sz val="11.0"/>
      </rPr>
      <t>7 (</t>
    </r>
    <r>
      <rPr>
        <rFont val="Calibri"/>
        <b/>
        <color rgb="FFFF0000"/>
        <sz val="11.0"/>
      </rPr>
      <t>Sendo 06 como salas de aula e</t>
    </r>
    <r>
      <rPr>
        <rFont val="Calibri"/>
        <b/>
        <color theme="1"/>
        <sz val="11.0"/>
      </rPr>
      <t xml:space="preserve"> 01 adaptada para biblioteca) </t>
    </r>
  </si>
  <si>
    <t>KATIUSSIA FELIX DOS SANTOS</t>
  </si>
  <si>
    <t>(74) 9 9199-3621</t>
  </si>
  <si>
    <t>EMANUEL JACKSON SILVA JERONIMO</t>
  </si>
  <si>
    <t>(71) 3244-5239</t>
  </si>
  <si>
    <t>COLÉGIO ESTADUAL PRESIDENTE COSTA E SILVA</t>
  </si>
  <si>
    <t>RAIMUNDO NONATO COSTA MELO</t>
  </si>
  <si>
    <t xml:space="preserve">(71) 9 9910-8414 </t>
  </si>
  <si>
    <t xml:space="preserve">	NILCEIA MONTEIRO COSTA</t>
  </si>
  <si>
    <t>(71) 9 9963-2784</t>
  </si>
  <si>
    <t>INAIA BRANDAO PEREIRA</t>
  </si>
  <si>
    <t>(71) 9 9286-2868</t>
  </si>
  <si>
    <t>(71) 3312-1416/3312-5527</t>
  </si>
  <si>
    <t xml:space="preserve">28( Sendo 23 utilizadas como salas de aula e 5 salas multifuncionais) </t>
  </si>
  <si>
    <r>
      <rPr>
        <rFont val="Calibri"/>
        <b/>
        <color theme="1"/>
        <sz val="11.0"/>
      </rPr>
      <t xml:space="preserve">10 ( </t>
    </r>
    <r>
      <rPr>
        <rFont val="Calibri"/>
        <b/>
        <color rgb="FFFF0000"/>
        <sz val="11.0"/>
      </rPr>
      <t xml:space="preserve">sendo, 06 para aula e </t>
    </r>
    <r>
      <rPr>
        <rFont val="Calibri"/>
        <b/>
        <color theme="1"/>
        <sz val="11.0"/>
      </rPr>
      <t xml:space="preserve">01 adapt. p/ biblioteca, 01 para refeitório, 01 para secretaria e 01 para professores/coordenação) </t>
    </r>
  </si>
  <si>
    <t>MARLENE BISPO SANTOS</t>
  </si>
  <si>
    <t>(71) 9 9978-4597</t>
  </si>
  <si>
    <t>MARCOS MAIA DOS SANTOS</t>
  </si>
  <si>
    <t>(71) 9 9708-1822</t>
  </si>
  <si>
    <t>(71) 3313-0291 /  3208-1845</t>
  </si>
  <si>
    <t xml:space="preserve">14 ( Sendo 13 utilizadas com salas de aula, e 01 sala de video adaptada) </t>
  </si>
  <si>
    <t>MARIA CONCEIÇÃO FERREIRA DOS SANTOS</t>
  </si>
  <si>
    <t>(71) 9 98381-1359/
 3037-3056</t>
  </si>
  <si>
    <t>CERISE TOSTA PEDREIRA SANTOS</t>
  </si>
  <si>
    <t>(71) 9 8248-8937</t>
  </si>
  <si>
    <t>(71) 3116-3131 /3248-8325 /3248-9620 3248-8339</t>
  </si>
  <si>
    <t>COLEGIO ESTADUAL PEDRO CALMON</t>
  </si>
  <si>
    <t>JORGE ALBERTO CARDOSO CASTRO</t>
  </si>
  <si>
    <t>(71) 9 9955-0704</t>
  </si>
  <si>
    <t>CLAUDIO ROBERTO SAMPAIO AMORIM</t>
  </si>
  <si>
    <t>(71) 9 9255-8017</t>
  </si>
  <si>
    <t>(71) 3231-9786</t>
  </si>
  <si>
    <t>CACILDA BRAGA RÉGIS</t>
  </si>
  <si>
    <t>9 8601-8164/9 9934-4198</t>
  </si>
  <si>
    <t>TELMA MARIA DOURADO DE ANDRADE</t>
  </si>
  <si>
    <t>(71) 9 9911-4980</t>
  </si>
  <si>
    <t>(71) 3312-1293//3313-4992</t>
  </si>
  <si>
    <r>
      <rPr>
        <rFont val="Calibri"/>
        <b/>
        <color theme="1"/>
        <sz val="11.0"/>
      </rPr>
      <t xml:space="preserve">10 salas, </t>
    </r>
    <r>
      <rPr>
        <rFont val="Calibri"/>
        <b/>
        <color rgb="FFFF0000"/>
        <sz val="11.0"/>
      </rPr>
      <t>sendo 09 salas de aula</t>
    </r>
    <r>
      <rPr>
        <rFont val="Calibri"/>
        <b/>
        <color theme="1"/>
        <sz val="11.0"/>
      </rPr>
      <t xml:space="preserve"> e 01 adaptada para biblioteca.</t>
    </r>
  </si>
  <si>
    <t>COLEGIO ESTADUAL PADRE PALMEIRA</t>
  </si>
  <si>
    <t>ADRIANO DE AZEVEDO PONDÉ - SN(00001)</t>
  </si>
  <si>
    <t>CIBELE AZEVEDO DA HORA SILVA</t>
  </si>
  <si>
    <t>(71) 9 8742-4057/ 9 8704-0775</t>
  </si>
  <si>
    <t>MARIA APARECIDA REIS CONCEIÇÃO</t>
  </si>
  <si>
    <t>(71) 9 8816-6058</t>
  </si>
  <si>
    <t>RUY VIDERO CALDAS</t>
  </si>
  <si>
    <t>(71) 9 9709-4482/ 3231-9348</t>
  </si>
  <si>
    <t>(71) 3365-0782   3376-3977</t>
  </si>
  <si>
    <t>COLEGIO ESTADUAL PADRE JOSE VASCONCELOS</t>
  </si>
  <si>
    <t>CONCEICAO MARIA DE CASTRO</t>
  </si>
  <si>
    <t>(71) 9 8701-2576</t>
  </si>
  <si>
    <t>RITA DE CÁSSIA PEREIRA DE SOUSA</t>
  </si>
  <si>
    <t>(71) 9 9218-6770</t>
  </si>
  <si>
    <t>MARCOS JOSE DOS SANTOS DE OLIVEIRA</t>
  </si>
  <si>
    <t>(71) 9 9110-3341</t>
  </si>
  <si>
    <t>(71) 3393-1105</t>
  </si>
  <si>
    <t>COLEGIO ESTADUAL OLIVEIRA BRITO - TEMPO INTEGRAL</t>
  </si>
  <si>
    <t>EDUARDO PEREIRA SANTOS</t>
  </si>
  <si>
    <t>(71) 9 8868-9395/9 9237-3900</t>
  </si>
  <si>
    <t>EUNICE RIBEIRO DOS SANTOS</t>
  </si>
  <si>
    <t>(71) 9 8861-1970</t>
  </si>
  <si>
    <t>(71) 3395-9564</t>
  </si>
  <si>
    <t>WILSON SANTOS DE SANTANA</t>
  </si>
  <si>
    <t>(71) 9 9643-2800</t>
  </si>
  <si>
    <t>WELITO SANTA BARBARA FRANCO</t>
  </si>
  <si>
    <t>(71) 9 8212-1970</t>
  </si>
  <si>
    <t>CLAUDIO TELES SANTANA</t>
  </si>
  <si>
    <t>(71) 9 9249-6922</t>
  </si>
  <si>
    <t>(71) 3301-8394</t>
  </si>
  <si>
    <t>COLEGIO ESTADUAL NOSSA SENHORA DE FATIMA</t>
  </si>
  <si>
    <t>CÁSSIA CILENE DE ALMEIDA ARAGÃO</t>
  </si>
  <si>
    <t>(71) 9 8797-3267</t>
  </si>
  <si>
    <t>CÁSSIO MURILO DE ALMEIDA</t>
  </si>
  <si>
    <t>(71) 9 8768-9678</t>
  </si>
  <si>
    <t>(71) 3397-5655 // 3397-1605</t>
  </si>
  <si>
    <r>
      <rPr>
        <rFont val="Calibri"/>
        <b/>
        <color theme="1"/>
        <sz val="11.0"/>
      </rPr>
      <t>7 (</t>
    </r>
    <r>
      <rPr>
        <rFont val="Calibri"/>
        <b/>
        <color rgb="FFFF0000"/>
        <sz val="11.0"/>
      </rPr>
      <t>Sendo 06 como salas de aula</t>
    </r>
    <r>
      <rPr>
        <rFont val="Calibri"/>
        <b/>
        <color theme="1"/>
        <sz val="11.0"/>
      </rPr>
      <t xml:space="preserve"> e 01 adaptada para multiuso)</t>
    </r>
  </si>
  <si>
    <t>COLEGIO ESTADUAL NORMA RIBEIRO - TEMPO INTEGRAL</t>
  </si>
  <si>
    <t>ROSANA DE CARVALHO SOUZA ANDRADE</t>
  </si>
  <si>
    <t>(71) 9 9211-1134</t>
  </si>
  <si>
    <t>SEFORA JOCA MACIEL</t>
  </si>
  <si>
    <t>(71) 9 9127-8588</t>
  </si>
  <si>
    <t>(71) 3230-8252
(71)  3230-8230</t>
  </si>
  <si>
    <t>COLEGIO ESTADUAL NELSON MANDELA - TEMPO INTEGRAL</t>
  </si>
  <si>
    <t>OLIVIA VIRGINIA VIEIRA COSTA</t>
  </si>
  <si>
    <t>(71) 9 9206-3919</t>
  </si>
  <si>
    <t>JULIO SOUZA DE JESUS</t>
  </si>
  <si>
    <t xml:space="preserve"> (71) 9 9200-6801 / 9 8129-3254</t>
  </si>
  <si>
    <t>ZENILDA FREIRE SOUZA SILVA</t>
  </si>
  <si>
    <t>(71) 9 9240-2301</t>
  </si>
  <si>
    <t>(71) 3308-1330//3308-5059</t>
  </si>
  <si>
    <t>COLEGIO ESTADUAL MONTEIRO LOBATO</t>
  </si>
  <si>
    <t>AGILDO COSTA</t>
  </si>
  <si>
    <t>(71) 9 8742-4609</t>
  </si>
  <si>
    <t>CRISTINA JOAU PEREZ KELER</t>
  </si>
  <si>
    <t>(71) 9 9971-8583</t>
  </si>
  <si>
    <t>RAFAEL AZEVEDO WYZYKOWSK</t>
  </si>
  <si>
    <t>(71) 9 8847-4377</t>
  </si>
  <si>
    <t>(71) 3397-3946
(71) 3521-0908</t>
  </si>
  <si>
    <t>COLEGIO ESTADUAL MONSENHOR MANOEL BARBOSA</t>
  </si>
  <si>
    <t>GUILHERME MARBACK - S/N</t>
  </si>
  <si>
    <t>ALDENIZIA DOS SANTOS</t>
  </si>
  <si>
    <t>(71) 9 8873-7129</t>
  </si>
  <si>
    <t>ANA PAULA COSTA GANEM</t>
  </si>
  <si>
    <t>(71) 9 9191-0441</t>
  </si>
  <si>
    <t>MARCELO HENRIQUE DE SOUZA</t>
  </si>
  <si>
    <t>(71) 9 9738-4841</t>
  </si>
  <si>
    <t>(71) 3362-8801</t>
  </si>
  <si>
    <t>COLEGIO ESTADUAL MINISTRO ALIOMAR BALEEIRO</t>
  </si>
  <si>
    <t>ANDREIA NASCIMENTO PASSOS</t>
  </si>
  <si>
    <t>(71) 9 9954-4242</t>
  </si>
  <si>
    <t>ADRIANA MAIA CERQUEIRA</t>
  </si>
  <si>
    <t>(71) 9 9122-2691</t>
  </si>
  <si>
    <t>ADRIANA CAIRES OLIVEIRA</t>
  </si>
  <si>
    <t>(71) 9 9681-9274</t>
  </si>
  <si>
    <t>(71) 3431-5148 
 (71) 3431-3714</t>
  </si>
  <si>
    <t>32 (sendo 23 como salas de aula, 01 adaptada p/ biblioteca, 01 adaptada p/ dança , 01 adaptada p/ reunição e 05 adaptadas p/ laboratórios ( ed. física, matemática, linguagem, humanas e artes)</t>
  </si>
  <si>
    <t>RODRENICE SANTANA BORGES</t>
  </si>
  <si>
    <t>(71) 9 8769-5322</t>
  </si>
  <si>
    <t>(71) 3381-4102
(71) 3233-4270</t>
  </si>
  <si>
    <t>ÂNGELA ALMEIDA ARAÚJO</t>
  </si>
  <si>
    <t>(71)  9 9174-1391</t>
  </si>
  <si>
    <t>AIDA DE SOUZA SALES</t>
  </si>
  <si>
    <t>(71) 9 8818-8808</t>
  </si>
  <si>
    <t xml:space="preserve">(71) 3244-3210   </t>
  </si>
  <si>
    <t>COLEGIO ESTADUAL MARIO COSTA NETO</t>
  </si>
  <si>
    <t>MANOEL BARBOSA DE JESUS</t>
  </si>
  <si>
    <t>(71) 9 8821-5430</t>
  </si>
  <si>
    <t>EULINA LOUREIRO MESSIAS DE FIGUEIREDO</t>
  </si>
  <si>
    <t>(71) 9 9262-0136</t>
  </si>
  <si>
    <t>(71) 3245-0175</t>
  </si>
  <si>
    <r>
      <rPr>
        <rFont val="Calibri"/>
        <b/>
        <color theme="1"/>
        <sz val="11.0"/>
      </rPr>
      <t>23 (</t>
    </r>
    <r>
      <rPr>
        <rFont val="Calibri"/>
        <b/>
        <color rgb="FFFF0000"/>
        <sz val="11.0"/>
      </rPr>
      <t>sendo 21 como salas de aula</t>
    </r>
    <r>
      <rPr>
        <rFont val="Calibri"/>
        <b/>
        <color theme="1"/>
        <sz val="11.0"/>
      </rPr>
      <t xml:space="preserve"> e 02 ociosas)</t>
    </r>
  </si>
  <si>
    <t>COLEGIO ESTADUAL MARIO AUGUSTO TEIXEIRA DE FREITAS</t>
  </si>
  <si>
    <t>JULIANA CONCEICAO DE OLIVEIRA</t>
  </si>
  <si>
    <t>(71) 9 9907-4740</t>
  </si>
  <si>
    <t>JEANE AFONSO DOS SANTOS</t>
  </si>
  <si>
    <t>(71) 9 9924-1921</t>
  </si>
  <si>
    <t>(71) 3261-3121</t>
  </si>
  <si>
    <t>COLEGIO ESTADUAL MARIA AMELIA SANTOS</t>
  </si>
  <si>
    <t>CARLA MAYNART CALO DA SILVA SOUSA</t>
  </si>
  <si>
    <t>(71) 9 9289-8331</t>
  </si>
  <si>
    <t>ITA TEODORO DA SILVA</t>
  </si>
  <si>
    <t>(71) 9 8777-5977</t>
  </si>
  <si>
    <t>HUGO ERNANE LEITE BOMFIM</t>
  </si>
  <si>
    <t>(71) 9 9256-3315</t>
  </si>
  <si>
    <t>(71) 3393-1086</t>
  </si>
  <si>
    <t>COLEGIO ESTADUAL MARECHAL MASCARENHAS DE MORAIS</t>
  </si>
  <si>
    <t>ANA AMÉLIA MESSIAS CÂMARA</t>
  </si>
  <si>
    <t>(71) 9 9137-6204/ 9 9938-2710</t>
  </si>
  <si>
    <t>FABIANA RODRIGUES ANTUNES</t>
  </si>
  <si>
    <t>(71) 9 8260-0270</t>
  </si>
  <si>
    <t>(71) 3375-4504</t>
  </si>
  <si>
    <t>COLEGIO ESTADUAL MARCILIO DIAS - TEMPO INTEGRAL</t>
  </si>
  <si>
    <t>JOSÉ ANSELMO AMORIM DOS SANTOS</t>
  </si>
  <si>
    <t>(71) 9 9918-9731</t>
  </si>
  <si>
    <t>DAIANA ANDRADE GONDIM</t>
  </si>
  <si>
    <t>(71) 9 8835-50856</t>
  </si>
  <si>
    <t>(71) 3307-1519</t>
  </si>
  <si>
    <t>COLÉGIO ESTADUAL MANOEL DEVOTO</t>
  </si>
  <si>
    <t>LUCIANO ELOY SANTOS ALVES</t>
  </si>
  <si>
    <t>(71) 9 9913-9408</t>
  </si>
  <si>
    <t>VANDRA DE QUEIROZ BARBOSA E SILVA</t>
  </si>
  <si>
    <t>(71) 9 9118-1377</t>
  </si>
  <si>
    <t>(71) 3345-9169 TP</t>
  </si>
  <si>
    <t>NADILSON JOSÉ ANDRADE SILVA</t>
  </si>
  <si>
    <t xml:space="preserve">(71) 9 8835-2956  </t>
  </si>
  <si>
    <t>HÁLISSON FERRER BATISTA</t>
  </si>
  <si>
    <t>(71) 9 9139-2611</t>
  </si>
  <si>
    <t>JAIRO DE OLIVEIRA RAMOS</t>
  </si>
  <si>
    <t>(71) 9 8796-1355</t>
  </si>
  <si>
    <t>(71) 3395-6817</t>
  </si>
  <si>
    <t>ÂNGELO SOUZA OLIVEIRA</t>
  </si>
  <si>
    <t>(71) 9 9951-9847</t>
  </si>
  <si>
    <t>ALEX HUDSON REIS MATOS</t>
  </si>
  <si>
    <t>(71) 9 9962-9188/ 3395-3373</t>
  </si>
  <si>
    <t>RAIMUNDO JORGE PEREIRA DOS SANTOS</t>
  </si>
  <si>
    <t>(71) 9 8147-8524</t>
  </si>
  <si>
    <t>(71) 3395-6813</t>
  </si>
  <si>
    <t>MARCONI EDUARDO SILVA DE JESUS</t>
  </si>
  <si>
    <t xml:space="preserve"> (71) 9 8803-5208 </t>
  </si>
  <si>
    <t>RODOLFO PINHEIRO REGIS</t>
  </si>
  <si>
    <t>(71) 9 9920-5370</t>
  </si>
  <si>
    <t>(71) 3390-0001/3398-5232/3401-4052</t>
  </si>
  <si>
    <t>12 (sendo 9 como salas aula e 02 adaptadas para sala de multimidia)</t>
  </si>
  <si>
    <t>COLEGIO ESTADUAL LINDEMBERGUE CARDOSO</t>
  </si>
  <si>
    <t>RAILDA FERNANDES MATO GROSSO</t>
  </si>
  <si>
    <t>(71) 9 8824-2615 /9 8127-1347 / 3401-4999</t>
  </si>
  <si>
    <t>ELIANA DE LIMA COSTA</t>
  </si>
  <si>
    <t xml:space="preserve"> (71) 9 8684-5083/ 3401-1278    </t>
  </si>
  <si>
    <t>(71) 3307-4539</t>
  </si>
  <si>
    <t>12 (Sendo 11 como salas de aula e 01 adaptada para sala de vídeo)</t>
  </si>
  <si>
    <t>MARIA INÊS SILVA VASCONCELOS</t>
  </si>
  <si>
    <t>(71) 9 8892-0339/ 9 9984-9244 / 9 9106-6928</t>
  </si>
  <si>
    <t xml:space="preserve">(71) 3261-2630 </t>
  </si>
  <si>
    <t>12 (sendo 11 como salas de aula e 01 adaptada para biblioteca.</t>
  </si>
  <si>
    <t>10+01 adapt.</t>
  </si>
  <si>
    <t xml:space="preserve">EDMILSON GAMA SILVA </t>
  </si>
  <si>
    <t>(71) 9 9285-8959</t>
  </si>
  <si>
    <t>ALMERITA DA SILVA MOURA</t>
  </si>
  <si>
    <t>(71) 9 9248-9123/ 9 8875-6805</t>
  </si>
  <si>
    <t>CELMA PEREIRA PASSOS</t>
  </si>
  <si>
    <t>(71) 9 9988-6765</t>
  </si>
  <si>
    <t>(71) 3431-9316
(71) 3431-0798</t>
  </si>
  <si>
    <t>RITA DE CÁSSIA COELHO MEDEIROS</t>
  </si>
  <si>
    <t>(71) 9 8763-6929 /  99615-3689</t>
  </si>
  <si>
    <t>BRENDA ARAÚJO SCHULTZ</t>
  </si>
  <si>
    <t>(71) 9 8632-6050 / 9 9364-6560</t>
  </si>
  <si>
    <t>MARCOS APARECIDO BARBOSA DA SILVA</t>
  </si>
  <si>
    <t xml:space="preserve">(71) 9 8718-1866	</t>
  </si>
  <si>
    <t>(71) 3398-3407/ 3218-0718 /3117-8118</t>
  </si>
  <si>
    <t>9 (Sendo 08 como salas de aula e 01 adaptada para sala de multimidia)</t>
  </si>
  <si>
    <r>
      <rPr>
        <rFont val="Calibri"/>
        <b/>
        <color theme="1"/>
        <sz val="11.0"/>
      </rPr>
      <t>24 sendo,</t>
    </r>
    <r>
      <rPr>
        <rFont val="Calibri"/>
        <b/>
        <color rgb="FFFF0000"/>
        <sz val="11.0"/>
      </rPr>
      <t xml:space="preserve"> 16 utilizadas para aula e</t>
    </r>
    <r>
      <rPr>
        <rFont val="Calibri"/>
        <b/>
        <color theme="1"/>
        <sz val="11.0"/>
      </rPr>
      <t xml:space="preserve"> 08 adaptadas: 01 para sala de professores, 01 para coordenação, 01 para multimídia, 01 para sala de AEE, 01 para sala de dança, 01 para de artes, 01 para laboratório e 01 para almoxarifado.</t>
    </r>
  </si>
  <si>
    <t>COLEGIO ESTADUAL JOSE AUGUSTO TOURINHO DANTAS</t>
  </si>
  <si>
    <t>CARLUCE MESSIAS NEVES</t>
  </si>
  <si>
    <t>(71) 9 9210-7264</t>
  </si>
  <si>
    <t>AUDIVAL FERREIRA DE SENA JÚNIOR</t>
  </si>
  <si>
    <t>(71) 9 9185-2941</t>
  </si>
  <si>
    <t>GILSON FERREIRA DOS ANJOS</t>
  </si>
  <si>
    <t>(71) 9 9691-9610/ 9222-3434/ 9 9999-7849</t>
  </si>
  <si>
    <t>(71) 3377-5473</t>
  </si>
  <si>
    <t>MARISE ARAÚJO SANTOS</t>
  </si>
  <si>
    <t>(71) 9 8830-2640/ 3235-1374</t>
  </si>
  <si>
    <t>MARIA CONCEIÇÃO SANTOS CERQUEIRA</t>
  </si>
  <si>
    <t>(71) 9 9171-4511</t>
  </si>
  <si>
    <t>COLEGIO ESTADUAL JOAO CARIBE</t>
  </si>
  <si>
    <t>ROSILANE MARIA GOMES DE JESUS</t>
  </si>
  <si>
    <t>(71) 9 9928-6209</t>
  </si>
  <si>
    <t>MARIO SERGIO DE FREITAS ARAGÃO</t>
  </si>
  <si>
    <t>(71) 9 9121-1032/ 9 9978-0584</t>
  </si>
  <si>
    <t>(71) 3394-8094</t>
  </si>
  <si>
    <t>COLEGIO ESTADUAL HENRIQUETA MARTINS CATHARINO</t>
  </si>
  <si>
    <t>MERCIA MARIA DE SOUZA SANTOS</t>
  </si>
  <si>
    <t>(71) 9 9104-2262</t>
  </si>
  <si>
    <t>JAIME ANTONIO TEIXEIRA OLIVEIRA</t>
  </si>
  <si>
    <t>(71) 9 9109-4937</t>
  </si>
  <si>
    <t>(71) 3245-0179 3247-4490</t>
  </si>
  <si>
    <t>05 + 02 (Adapt)</t>
  </si>
  <si>
    <t>COLEGIO ESTADUAL HELENA MAGALHAES</t>
  </si>
  <si>
    <t>WENDEL COSTA DA SILVA</t>
  </si>
  <si>
    <t>(71) 9 8762-2342 98131-3661 99658-4879</t>
  </si>
  <si>
    <t>CARLOS ALBERTO ARAGÃO ALVES</t>
  </si>
  <si>
    <t>(71) 9 9712-0203 98123-3661</t>
  </si>
  <si>
    <t>(71) 3461-2902
(71) 3461-2605
(71) 3231-8530</t>
  </si>
  <si>
    <t>TATIANE COELHO DOS SANTOS</t>
  </si>
  <si>
    <t>(71) 9 9681-3656</t>
  </si>
  <si>
    <t>(71) 3388-8535</t>
  </si>
  <si>
    <t>COLEGIO ESTADUAL HEITOR VILLA LOBOS</t>
  </si>
  <si>
    <t>JEANA LEMOS DE OLIVEIRA</t>
  </si>
  <si>
    <t>(71) 9 8819-5502</t>
  </si>
  <si>
    <t>LEONARDO SACRAMENTO CANCISSU</t>
  </si>
  <si>
    <t>(71) 9 9185-8755</t>
  </si>
  <si>
    <t>CRISTIANO ALVES COSTA</t>
  </si>
  <si>
    <t>(71) 9 9624-0765</t>
  </si>
  <si>
    <t>(71) 3373-3508
(71) 3373-3763</t>
  </si>
  <si>
    <t>COLEGIO ESTADUAL GOVERNADOR ROBERTO SANTOS</t>
  </si>
  <si>
    <t>ADSON MORADILLO DA SILVA</t>
  </si>
  <si>
    <t>(71) 9 8215-2245</t>
  </si>
  <si>
    <t>WLADICLECIO REGIS DOS SANTOS</t>
  </si>
  <si>
    <t>(71) 9 9236-3919</t>
  </si>
  <si>
    <t>JOSÉ DOMINGOS DE OLIVEIRA NETTO</t>
  </si>
  <si>
    <t>(71) 9 9968-0050/ 3272-0520</t>
  </si>
  <si>
    <t>(71) 3387-4695 /  
3387-3450 /*3117-2714</t>
  </si>
  <si>
    <t>COLEGIO ESTADUAL GOVERNADOR OTAVIO MANGABEIRA</t>
  </si>
  <si>
    <t>MARCIA REGO MENEZES MARQUES</t>
  </si>
  <si>
    <t xml:space="preserve">(71) 9 9109-5773 </t>
  </si>
  <si>
    <t>ELLEM LARA CARNEIRO</t>
  </si>
  <si>
    <t>(71) 9 8616-2221</t>
  </si>
  <si>
    <t>(71) 3387-3477
(71) 3387-4814
(71) 3384-0106</t>
  </si>
  <si>
    <t>COLEGIO ESTADUAL GOVERNADOR LOMANTO JUNIOR - TEMPO INTEGRAL</t>
  </si>
  <si>
    <t>JOSÉ RICARDO MONTEIRO NASCIMENTO</t>
  </si>
  <si>
    <t>(71) 9 9131-7076</t>
  </si>
  <si>
    <t>TÂNIA CONCEIÇÃO BARBOZA DE SOUZA SANTOS</t>
  </si>
  <si>
    <t>(71) 9 8155-8338</t>
  </si>
  <si>
    <t>(71) 3375-2551</t>
  </si>
  <si>
    <t>LÚCIA GRACIETE FRAGA DE BRITO</t>
  </si>
  <si>
    <t>(71) 9 9253-2974</t>
  </si>
  <si>
    <t>SAFIRA LIMA GUIMARÃES LOPES</t>
  </si>
  <si>
    <t>(71) 9 9253-2996</t>
  </si>
  <si>
    <t>AUGUSTO CÉSAR PELLEGRINE BARROS</t>
  </si>
  <si>
    <t>(71) 9 8248-7687</t>
  </si>
  <si>
    <t>(71) 3357-5285
(71) 3357-5166</t>
  </si>
  <si>
    <t>COLÉGIO ESTADUAL GENERAL DIONISIO CERQUEIRA - TEMPO INTEGRAL</t>
  </si>
  <si>
    <t>ILCA GUIMARAES DA SILVA</t>
  </si>
  <si>
    <t>(71) 9 9274-3798</t>
  </si>
  <si>
    <t>MARIANA PRATES SACRAMENTO</t>
  </si>
  <si>
    <t>(71) 9 9643-0789</t>
  </si>
  <si>
    <t>(71) 3354-9400/ 3354-9494</t>
  </si>
  <si>
    <t>COLÉGIO ESTADUAL FREDERICO COSTA</t>
  </si>
  <si>
    <t xml:space="preserve">CIRIA TEIXEIRA DE CASTRO CUNHA </t>
  </si>
  <si>
    <t>(71) 9 9945-2514</t>
  </si>
  <si>
    <t>HILDETE PURIFICAÇÃO DE MELHOR</t>
  </si>
  <si>
    <t>(71) 9 9238-5649</t>
  </si>
  <si>
    <t>(71) 3233-2130</t>
  </si>
  <si>
    <t>COLEGIO ESTADUAL FRANCISCO DA CONCEICAO MENEZES</t>
  </si>
  <si>
    <t>ANA CRISTINA BISPO DE JESUS</t>
  </si>
  <si>
    <t>(71) 9 9197-6782</t>
  </si>
  <si>
    <t>SILVIA REGINA HELENO MOURA</t>
  </si>
  <si>
    <t>(71) 9 9924-0716</t>
  </si>
  <si>
    <t>(71) 3387-4650   3387-3468</t>
  </si>
  <si>
    <t>COLÉGIO ESTADUAL EVARISTO DA VEIGA - TEMPO INTEGRAL</t>
  </si>
  <si>
    <t>ANA RITA SILVA</t>
  </si>
  <si>
    <t>(71) 9 8875-3634</t>
  </si>
  <si>
    <t>LUCIENE PINTO DA ROCHA JUNQUEIRA AYRES</t>
  </si>
  <si>
    <t>(71) 9 9914-6118</t>
  </si>
  <si>
    <t>ANDERSON TORRES MORADILLO</t>
  </si>
  <si>
    <t>(71) 9 8362-4735</t>
  </si>
  <si>
    <t>(71) 3245-1941 3245-2107</t>
  </si>
  <si>
    <t>JANIRIO LUCIANO DE SOUSA</t>
  </si>
  <si>
    <t>(71) 9 9305-8228</t>
  </si>
  <si>
    <t>SANDRA DOS SANTOS CONCEIÇÃO</t>
  </si>
  <si>
    <t>(71) 9 9963-9286</t>
  </si>
  <si>
    <t>(71) 3334-3339</t>
  </si>
  <si>
    <t>ENILZETE MONÇÃO ROCHA</t>
  </si>
  <si>
    <t xml:space="preserve">(71) 9 8605-9355              </t>
  </si>
  <si>
    <t>SORAIA FREIRE DA SILVA</t>
  </si>
  <si>
    <t>(71) 9 8212-2349</t>
  </si>
  <si>
    <t>ALESSANDRO OLIVEIRA ANDRADE</t>
  </si>
  <si>
    <t>(71) 9 9904-5066</t>
  </si>
  <si>
    <t xml:space="preserve">(71) 3393-1051 </t>
  </si>
  <si>
    <t>08+02 adapt.</t>
  </si>
  <si>
    <t>COLÉGIO ESTADUAL EDVALDO BRANDAO CORREIA - TEMPO INTEGRAL</t>
  </si>
  <si>
    <t>FIRMINA VITERBO DE AZEVEDO</t>
  </si>
  <si>
    <t>(71) 9 8798-4484</t>
  </si>
  <si>
    <t>ROSANE SANTOS FERREIRA</t>
  </si>
  <si>
    <t>(71) 9 8843-5099/9 9949-1499</t>
  </si>
  <si>
    <t>TERESA CRSITINA SILVA DE SOUZA SOUTO</t>
  </si>
  <si>
    <t>(71) 9 9988-8301/ 9 8778-5149</t>
  </si>
  <si>
    <t>(71) 3395-8018</t>
  </si>
  <si>
    <t>COLEGIO ESTADUAL EDUARDO BAHIANA</t>
  </si>
  <si>
    <t>IVANI ALMEIDA TELES DA SILVA</t>
  </si>
  <si>
    <t>(71) 9 8722-4877/9 9143-6388</t>
  </si>
  <si>
    <t>MARTA ANDRÉA DA S. PACHECO GOMES</t>
  </si>
  <si>
    <t>(71) 9 8807-8749</t>
  </si>
  <si>
    <t>CLERIVALDO DE SOUSA SANTOS</t>
  </si>
  <si>
    <t>(71) 9 8878-9205</t>
  </si>
  <si>
    <t>(71) 3305-6643</t>
  </si>
  <si>
    <t>8 + 1 (adapt)</t>
  </si>
  <si>
    <t>COLEGIO ESTADUAL EDSON TENORIO DE ALBUQUERQUE</t>
  </si>
  <si>
    <t>ALMIRANTE TAMANDARÉ - 25E</t>
  </si>
  <si>
    <t>JAIRO FRANCISCO DOS SANTOS</t>
  </si>
  <si>
    <t>(71) 9 8123-9080</t>
  </si>
  <si>
    <t>MARIA GRACIETE SILVA SACRAMENTO</t>
  </si>
  <si>
    <t>(71) 9 8642-9080</t>
  </si>
  <si>
    <t>JOSEMIR UPINHO CAETANO DO NASCIMENTO</t>
  </si>
  <si>
    <t>(71) 3397-5391 // 3397-3636 /3397-4690</t>
  </si>
  <si>
    <t>COLEGIO ESTADUAL EDIVALDO BOAVENTURA</t>
  </si>
  <si>
    <t>ROGÉRIA MARTINS DOS SANTOS SOUZA</t>
  </si>
  <si>
    <t>(71) 9 9673-5284 3489-7059</t>
  </si>
  <si>
    <t xml:space="preserve"> WAGNER BARBOSA DE ALBERGARIA BARRETO</t>
  </si>
  <si>
    <t>(71) 9 9929-8228</t>
  </si>
  <si>
    <t>(71) 3341-5935/3341-5758</t>
  </si>
  <si>
    <t>9 + 2 (Adapt)</t>
  </si>
  <si>
    <t>ELIETE DOS SANTOS SILVA</t>
  </si>
  <si>
    <t xml:space="preserve">(71) 9 9609-6951  </t>
  </si>
  <si>
    <t>RUBEM DA SILVA TADEU FILHO</t>
  </si>
  <si>
    <t>(71) 9 8864-8388</t>
  </si>
  <si>
    <t>MARCIA EUGENIA SANTOS MEDRADO ALMEIDA</t>
  </si>
  <si>
    <t>(71) 9 8839-5445</t>
  </si>
  <si>
    <t>(71) 3243-1328</t>
  </si>
  <si>
    <t>TANIA MARCIA MAIA DE CARVALHO</t>
  </si>
  <si>
    <t>(71) 9 8648-9351</t>
  </si>
  <si>
    <t>JOSE RICARDO FREITAS MOTA</t>
  </si>
  <si>
    <t>(71) 9 8778-7207</t>
  </si>
  <si>
    <t>NOEMI MAGALHAES DE MELLO DANTAS</t>
  </si>
  <si>
    <t>(71) 9 8831-2321</t>
  </si>
  <si>
    <t>(71) 3389-2068
(71) 3382-8595</t>
  </si>
  <si>
    <t>COLEGIO ESTADUAL DOUTOR AILTON PINTO DE ANDRADE</t>
  </si>
  <si>
    <t>VILMA WEBER AMORIM</t>
  </si>
  <si>
    <t>(71) 9 9977-0734</t>
  </si>
  <si>
    <t>JANICE DOS SANTOS MACHADO DA CONCEICAO</t>
  </si>
  <si>
    <t>(71) 9 9215-4560</t>
  </si>
  <si>
    <t>JAQUELINE BARBOSA PINHEIRO</t>
  </si>
  <si>
    <t xml:space="preserve"> (71) 9 9607-0908</t>
  </si>
  <si>
    <t>(71) 3215-1121 /  3392-1031</t>
  </si>
  <si>
    <t>COLEGIO ESTADUAL DONA MORA GUIMARAES</t>
  </si>
  <si>
    <t>ANTONIA DE FREITAS BARBOSA</t>
  </si>
  <si>
    <t>(71) 9 9206-3857</t>
  </si>
  <si>
    <t>PATRÍCIA BONFIM POCEIRO</t>
  </si>
  <si>
    <t>(71) 9 8638-7547</t>
  </si>
  <si>
    <t>ADEILTON COSTA</t>
  </si>
  <si>
    <t>(71) 9 8821-0756</t>
  </si>
  <si>
    <t>(71) 3395-3880</t>
  </si>
  <si>
    <t>SILVONILTON CARVALHO BASTOS</t>
  </si>
  <si>
    <t>(71) 9 9204-8095</t>
  </si>
  <si>
    <t>CRISTIANE DE ASSIS LIMA</t>
  </si>
  <si>
    <t>(71) 9 9608-7882</t>
  </si>
  <si>
    <t>STAEL MARIA MENDES LIMA</t>
  </si>
  <si>
    <t>(71) 9 9969-9940</t>
  </si>
  <si>
    <t>(71) 3214-1402</t>
  </si>
  <si>
    <t>COLEGIO ESTADUAL DO STIEP CARLOS MARIGHELLA</t>
  </si>
  <si>
    <t>ALDAIR ALMEIDA DANTAS</t>
  </si>
  <si>
    <t xml:space="preserve">(71) 9 8755-3254 </t>
  </si>
  <si>
    <t>JAQUELINE PINTO DOS SANTOS BORRONI</t>
  </si>
  <si>
    <t>9 9213-5851/ 9 8618-9709</t>
  </si>
  <si>
    <t>KARLA DANIELLA BRITO DE CARVALHO</t>
  </si>
  <si>
    <t>(71) 9 8861-8656</t>
  </si>
  <si>
    <t>(71) 3341-8552</t>
  </si>
  <si>
    <t>COLÉGIO ESTADUAL DINAH GONÇALVES</t>
  </si>
  <si>
    <t>CRISTIANE CUNHA LIMA SODRÉ LÉ</t>
  </si>
  <si>
    <t>(71) 9 8817-3649</t>
  </si>
  <si>
    <t>JOSE ROBERTO DE SOUZA SILVA</t>
  </si>
  <si>
    <t>(71) 9 8556-4880</t>
  </si>
  <si>
    <t>(71) 3301-8107</t>
  </si>
  <si>
    <t>COLEGIO ESTADUAL DESEMBARGADOR PEDRO RIBEIRO</t>
  </si>
  <si>
    <t>ROSEMEIRE ALFAIA DE SANTANA</t>
  </si>
  <si>
    <t>(71) 9 9714-6001</t>
  </si>
  <si>
    <t>ELNEIDE JESUS ARIANY</t>
  </si>
  <si>
    <t>(71) 9 8123-8736</t>
  </si>
  <si>
    <t>EMERSON COSTA FARIA</t>
  </si>
  <si>
    <t>(71) 9 9239-5481</t>
  </si>
  <si>
    <t>(71) 3304-2929
(71) 3303-2713
(71) 3303-4550</t>
  </si>
  <si>
    <t>COLEGIO ESTADUAL DEPUTADO MANOEL NOVAES</t>
  </si>
  <si>
    <t>ARLENA TAVARES HOMEM DEL REY</t>
  </si>
  <si>
    <t>(71) 9 8603-3316</t>
  </si>
  <si>
    <t>JOSÉ MARIO REGIS COSTA</t>
  </si>
  <si>
    <t>(71) 9 8849-0491/9 8822-0406</t>
  </si>
  <si>
    <t>RICARDO LEITE TEIXEIRA</t>
  </si>
  <si>
    <t>(71) 9 9207-1617/ 9 9936-2998</t>
  </si>
  <si>
    <t>(71) 3247-1433/3245-0194</t>
  </si>
  <si>
    <r>
      <rPr>
        <rFont val="Calibri"/>
        <b/>
        <color theme="1"/>
        <sz val="11.0"/>
      </rPr>
      <t xml:space="preserve">15 salas, </t>
    </r>
    <r>
      <rPr>
        <rFont val="Calibri"/>
        <b/>
        <color rgb="FFFF0000"/>
        <sz val="11.0"/>
      </rPr>
      <t xml:space="preserve">14 utilizadas para aula e </t>
    </r>
    <r>
      <rPr>
        <rFont val="Calibri"/>
        <b/>
        <color theme="1"/>
        <sz val="11.0"/>
      </rPr>
      <t xml:space="preserve">01 adaptada para sala de vivências corporais). </t>
    </r>
  </si>
  <si>
    <t>MARCOS CESAR GUIMARAES DOS SANTOS</t>
  </si>
  <si>
    <t>ANA MARIA MARTINS SOUTO</t>
  </si>
  <si>
    <t>(71) 9 9341-0124</t>
  </si>
  <si>
    <t>(71) 3461-4505</t>
  </si>
  <si>
    <t>SELMA SAMPAIO CORREIA</t>
  </si>
  <si>
    <t>(71) 9 9263-1776</t>
  </si>
  <si>
    <t>ANA CRISTINA DE PINHO ESTRELLA</t>
  </si>
  <si>
    <t>(71) 9 9234-4451</t>
  </si>
  <si>
    <t>(71) 3382-6476
(71) 3389-3880 
(71) 3389-4914
(71) 3381-4003</t>
  </si>
  <si>
    <t>ANTÔNIO MAXIMO DANTAS ABREU</t>
  </si>
  <si>
    <t xml:space="preserve">(71) 9 9978-1933/ 9 9329-4435/ </t>
  </si>
  <si>
    <t>GUTEMBERG DA SILVA CAZAIS FERREIRA</t>
  </si>
  <si>
    <t>(71) 9 8864-4877</t>
  </si>
  <si>
    <t>ALCIDES SANTOS DE MAGALHAES</t>
  </si>
  <si>
    <t>(71) 9 8753-8592</t>
  </si>
  <si>
    <t>(71) 3398-3728/3398-2006</t>
  </si>
  <si>
    <t>22 ( Sendo 18 como salas de aula, 01 adaptada para laboratório de ciências, 01 adaptada para arquivo de livros, 01 adaptada para e 01 adaptada para mecanografia)</t>
  </si>
  <si>
    <t>ANDERSON DE ARAUJO ROSA</t>
  </si>
  <si>
    <t>(71) 9 8727-7140</t>
  </si>
  <si>
    <t>LUCIANA CONCEIÇÃO VALOIS RIOS</t>
  </si>
  <si>
    <t>(71) 9 9963-2595</t>
  </si>
  <si>
    <t xml:space="preserve"> DENISE SOUZA DE ARAUJO</t>
  </si>
  <si>
    <t>(71) 9 8154-8736</t>
  </si>
  <si>
    <t>(71) 3371-1742
(71) 3371-1741</t>
  </si>
  <si>
    <t>ADRINA MENDES BARBOSA</t>
  </si>
  <si>
    <t>(71) 9 9924-2534 Zap/9 9371-3603</t>
  </si>
  <si>
    <t>ANA CRISTINA SOUZA ARAÚJO</t>
  </si>
  <si>
    <t>(71) 9 9284-7767</t>
  </si>
  <si>
    <t>(71) 9 8335-5984</t>
  </si>
  <si>
    <t>NEUZA RIBEIRO DOS SANTOS</t>
  </si>
  <si>
    <t>(71) 9 9135-8705</t>
  </si>
  <si>
    <t>JOSE BATISTA LOPES SANTOS</t>
  </si>
  <si>
    <t>(71) 9 9199-7964</t>
  </si>
  <si>
    <t>MARIA ISABEL LOPES ARAUJO</t>
  </si>
  <si>
    <t>(71) 9 9254-7075</t>
  </si>
  <si>
    <t>(71) 3117-2944/3405-0033</t>
  </si>
  <si>
    <t>ANDREA DE FÁTIMA CRUZ SENHORINHO</t>
  </si>
  <si>
    <t>(71) 9 8199-9559</t>
  </si>
  <si>
    <t>ELIETE ALVES DE ARAÚJO SOUSA</t>
  </si>
  <si>
    <t xml:space="preserve">(71) 9 9979-2854 </t>
  </si>
  <si>
    <t>JOÃO MILTON DA SILVA SANTOS JÚNIOR</t>
  </si>
  <si>
    <t>(71) 9 8953-6325/9 9136-3754</t>
  </si>
  <si>
    <t>(71) 3215-6561</t>
  </si>
  <si>
    <t>ANTÔNIO EDSON DE LIMA SOUZA</t>
  </si>
  <si>
    <t>(71) 9 8718-6459/ 9 9161-4329</t>
  </si>
  <si>
    <t>NELSON CICERO PORTELA NETO</t>
  </si>
  <si>
    <t>(71) 9 8792-0443</t>
  </si>
  <si>
    <t xml:space="preserve">
VANESSA Mª DE CARVALHO BOMFIM</t>
  </si>
  <si>
    <t>(71) 9 8746-3942</t>
  </si>
  <si>
    <t>(71) 3301-8358</t>
  </si>
  <si>
    <t>COLEGIO ESTADUAL DE TEMPO INTEGRAL PROFESSOR PEDRO PAULO MARQUES E MARQUES</t>
  </si>
  <si>
    <t>-10.660474436935266, -38.632491881533056</t>
  </si>
  <si>
    <t>LILIANE FONSECA DO CARMO</t>
  </si>
  <si>
    <t xml:space="preserve"> (71) 9 8152-8974 ZAP DA UEE /9 8745-2789/ 9 9700-9015/ 9 8314-2660</t>
  </si>
  <si>
    <t>CLAUDIA PATRICIA ALMADA CABANELAS</t>
  </si>
  <si>
    <t>(75) 9 9268-0125</t>
  </si>
  <si>
    <t>NELMA CABRAL SILVA</t>
  </si>
  <si>
    <t>(71) 9 8151-5478</t>
  </si>
  <si>
    <t>(71) 3377-0422
(71) 3365-2426</t>
  </si>
  <si>
    <t>34 (Sendo 30 como salas de aula e 04 adaptadas: 1 sala multifucional, 1 sala de outras palavras, 1 sala de música e 1 sala de luta e jogos)</t>
  </si>
  <si>
    <t>MELISSA SOUZA MELLO</t>
  </si>
  <si>
    <t>RENATA DA CRUZ PEREIRA (ASSUMINDO A DIREÇÃO ATÉ ENTÃO)</t>
  </si>
  <si>
    <t>4 + 4 (Adapt)</t>
  </si>
  <si>
    <t xml:space="preserve">(71) 9 9996-7923 / 98790-1655 </t>
  </si>
  <si>
    <t>(71) 3376- 3487</t>
  </si>
  <si>
    <t>FERNANDO DO NASCIMENTO LIMA</t>
  </si>
  <si>
    <t>-10.655412650348753, -38.59708850469282</t>
  </si>
  <si>
    <t>(71) 9 9962-1091</t>
  </si>
  <si>
    <t>CLEIDE FALCÃO DE CARVALHO</t>
  </si>
  <si>
    <t>(71) 9 8742-8440</t>
  </si>
  <si>
    <t>ALEXSANDRO SOUZA DA SILVA</t>
  </si>
  <si>
    <t>(71) 9 9293-9443</t>
  </si>
  <si>
    <t>(71) 3368-0291/3367-8116/ 3368-0349</t>
  </si>
  <si>
    <t>RUA LUCIANO GOMES - 123-E</t>
  </si>
  <si>
    <t>JANE CLEIA DA SILVA CARNEIRO</t>
  </si>
  <si>
    <t>(71) 9 9956-0460</t>
  </si>
  <si>
    <t>Roberto Rivelino Boaventura de Oliveira</t>
  </si>
  <si>
    <t>(71) 9 8737-2229</t>
  </si>
  <si>
    <t>JORGE LUIZ ECA DOS SANTOS</t>
  </si>
  <si>
    <t>(71) 9 9715-9209</t>
  </si>
  <si>
    <t>(71) 3246-2127</t>
  </si>
  <si>
    <t>TARCISIO FERREIRA DE JESUS</t>
  </si>
  <si>
    <t>(71) 9 8760-6639/ 9 9189-5290</t>
  </si>
  <si>
    <t>LUCIANA DA SILVA VIANA</t>
  </si>
  <si>
    <t>(71) 9 8887-4351</t>
  </si>
  <si>
    <t>ANA CRISTINA SILVA DA PURIFICACAO</t>
  </si>
  <si>
    <t>(71) 9 9694-8625/9 9133-9968</t>
  </si>
  <si>
    <t>(71) 3304-4305</t>
  </si>
  <si>
    <t xml:space="preserve">COLEGIO ESTADUAL DE TEMPO INTEGRAL BARROS BARRETO </t>
  </si>
  <si>
    <t>RUI CÉSAR CERQUEIRA DA SILVA</t>
  </si>
  <si>
    <t>(71) 9 9913-5456  / 9 9240-2357</t>
  </si>
  <si>
    <t>ELISABETE NETO MACHADO</t>
  </si>
  <si>
    <t>(71) 9 8602-6215/9 8725-3903</t>
  </si>
  <si>
    <t>(71) 3397-4142 // 3397-5717</t>
  </si>
  <si>
    <t>34 (Sendo 16 como salas de aulas funcionando no prédio novo e 09 adaptadas no predio novo: 6 laboratorios (física, informática, química, matemática, biologia e artes), 1 sala de música, 1 sala para biblioteca/direção/vice- direção, 1 sala de AEE.
10 salas adaptadas no prédio antigo: 1 sala de artes marcias, 1 sala de ginástica, 1 sala de boxe, 1 sala de capoeira, 1 sala para arquio administrativo e 05 salas em fase de adaptação para laboratórios.</t>
  </si>
  <si>
    <t>ANA PAULA CARDOSO RAMOS</t>
  </si>
  <si>
    <t>(71) 9 9905-8653</t>
  </si>
  <si>
    <t>ALICE MARY DIAS BISPO</t>
  </si>
  <si>
    <t>(71) 9 9117-7818</t>
  </si>
  <si>
    <t>ALMIR PEREIRA NUNES</t>
  </si>
  <si>
    <t>(71) 9 8875-8631</t>
  </si>
  <si>
    <t>COLEGIO ESTADUAL DE PRAIA GRANDE</t>
  </si>
  <si>
    <t>ROSELENE MESQUITA DE PAULA</t>
  </si>
  <si>
    <t xml:space="preserve"> (71) 9 9126-2044/ 9 8886-5567</t>
  </si>
  <si>
    <t>MARY LUCIA REQUIAO FERREIRA</t>
  </si>
  <si>
    <t>(71) 9 8642-6567</t>
  </si>
  <si>
    <t>UELDNEI GOMES FERREIRA</t>
  </si>
  <si>
    <t>(71) 9 8759-1205</t>
  </si>
  <si>
    <t>COLEGIO ESTADUAL DE PLATAFORMA</t>
  </si>
  <si>
    <t>ALUGADO R$ 2.143,8</t>
  </si>
  <si>
    <t>JOSENILDA BATISTA DOS S. MARCIEL</t>
  </si>
  <si>
    <t>9 9984-4805</t>
  </si>
  <si>
    <t>ANDREA DA SILVEIRA CORDEIRO CUNHA</t>
  </si>
  <si>
    <t xml:space="preserve">(71) 98746-7702 99923-8639 </t>
  </si>
  <si>
    <t>JOSE ARTUR SANTANA CATRAMBY</t>
  </si>
  <si>
    <t>(71) 9 9132-8144</t>
  </si>
  <si>
    <t>COLEGIO ESTADUAL DE NOVA ESPERANCA</t>
  </si>
  <si>
    <t>LUZIA MARIA ANDRADE PEREIRA</t>
  </si>
  <si>
    <t>(71) 9 8790-6734</t>
  </si>
  <si>
    <t>PAULA PATRICIA LIMA BRITO</t>
  </si>
  <si>
    <t>(71) 9 9177-8293</t>
  </si>
  <si>
    <t>COLEGIO ESTADUAL DE APLICACAO ANISIO TEIXEIRA</t>
  </si>
  <si>
    <t>VALDENICE CERQUEIRA ESTRELA DE SOUSA</t>
  </si>
  <si>
    <t xml:space="preserve">(71) 9 9676-1412        </t>
  </si>
  <si>
    <t>JOÃO MAURÍCIO BASTOS PORTELA</t>
  </si>
  <si>
    <t>(71) 9 9983-9853</t>
  </si>
  <si>
    <t>PATRICIA MARIA TEIXEIRA BARRADAS</t>
  </si>
  <si>
    <t>(71) 9 9969-5729</t>
  </si>
  <si>
    <t>(71) 3366-0005</t>
  </si>
  <si>
    <t>COLEGIO ESTADUAL DAVID MENDES PEREIRA</t>
  </si>
  <si>
    <t>MARÍLIA MALHADO DE ARAUJO SANTOS</t>
  </si>
  <si>
    <t>(71) 9 9122-4926</t>
  </si>
  <si>
    <t>ISABELA SOUZA SANTANA</t>
  </si>
  <si>
    <t xml:space="preserve">(71) 9 9213-2442 </t>
  </si>
  <si>
    <t>FABIA GERTRUDES DE MELO CARNEIRO</t>
  </si>
  <si>
    <t>(71) 9 9164-1908</t>
  </si>
  <si>
    <t>(71) 3393-1116</t>
  </si>
  <si>
    <t>SILVIA CELESTE FERREIRA DA CONCEIÇÃO</t>
  </si>
  <si>
    <t>(71) 9 8256-4595</t>
  </si>
  <si>
    <t>(71) 3303-3049
(71) 3259-6914
(71) 3259-6121</t>
  </si>
  <si>
    <t>RANY DE FÁTIMA SALDANHA CARNEIRO</t>
  </si>
  <si>
    <t>(71) 9 9146-5189</t>
  </si>
  <si>
    <t>NÁDIA MARIA VIANA REIS</t>
  </si>
  <si>
    <t>(71) 9 9936-3137</t>
  </si>
  <si>
    <t>CLEONICE FERREIRA DA SILVA</t>
  </si>
  <si>
    <t>(71) 9 9944-6879</t>
  </si>
  <si>
    <t>(71) 3393-0644</t>
  </si>
  <si>
    <t>COLEGIO ESTADUAL DALVA MATOS - TEMPO INTEGRAL</t>
  </si>
  <si>
    <t xml:space="preserve">MÁRCIA MARIA ARAÚJO RIBEIRO </t>
  </si>
  <si>
    <t>(71)  9 9183-7569/ 9 8626-0083</t>
  </si>
  <si>
    <t>CARLOS ALBERTO BRITO DA SILVA</t>
  </si>
  <si>
    <t>(71) 9 8814-8567/ 9 9929-4111</t>
  </si>
  <si>
    <t>(71) 3215-1440 3392-1085</t>
  </si>
  <si>
    <t>COLEGIO ESTADUAL DA BAHIA CENTRAL</t>
  </si>
  <si>
    <t>ROSENILDA MESQUITA DE SANTANA</t>
  </si>
  <si>
    <t xml:space="preserve">(71) 9 8838-1022 </t>
  </si>
  <si>
    <t>ARNALDO HAFNER OLIVEIRA BRITTO</t>
  </si>
  <si>
    <t>(71) 9 9983-2323</t>
  </si>
  <si>
    <t>JESUS GOES ORGE</t>
  </si>
  <si>
    <t xml:space="preserve">(71) 9 8804-0239 </t>
  </si>
  <si>
    <t xml:space="preserve">(71) 3243-7481 </t>
  </si>
  <si>
    <t>MARIA DE FATIMA DE ARAUJO FIUZA MARINHO</t>
  </si>
  <si>
    <t>(71) 9 8341-0894</t>
  </si>
  <si>
    <t>(71) 3382-4330
(71) 3244-9656</t>
  </si>
  <si>
    <t>COLEGIO ESTADUAL CONSELHEIRO VICENTE PACHECO DE OLIVEIRA - TEMPO INTEGRAL</t>
  </si>
  <si>
    <t>CLAUDIA FERREIRA NUNES</t>
  </si>
  <si>
    <t>(73) 9 9187-3942</t>
  </si>
  <si>
    <t>SELMIR ESTRELADO FERNANDES SANTOS</t>
  </si>
  <si>
    <t>(71) 9 9260-8412 / 3386-1649</t>
  </si>
  <si>
    <t>JOSETE FERREIRA NUNES</t>
  </si>
  <si>
    <t xml:space="preserve"> (73) 9 9124-6024</t>
  </si>
  <si>
    <t>(71) 3392-4864</t>
  </si>
  <si>
    <t>MARIA MADALENA LIMA SILVA</t>
  </si>
  <si>
    <t>(71) 9 8870-4935</t>
  </si>
  <si>
    <t xml:space="preserve">                DAVI DIOGO VIANA MONTEIRO</t>
  </si>
  <si>
    <t>(71) 9 9262-9775 / 9 8804-2611</t>
  </si>
  <si>
    <t>LILIAM SOUSA SALES</t>
  </si>
  <si>
    <t>(71) 9 9188-9521</t>
  </si>
  <si>
    <t>(71) 3218-2004/ 3398-4380</t>
  </si>
  <si>
    <t xml:space="preserve"> ANTONIO FERNANDO SILVA DOS SANTOS</t>
  </si>
  <si>
    <t>(71) 9 9651-0161</t>
  </si>
  <si>
    <t>DINAZILDA IDALENCIO KONAN</t>
  </si>
  <si>
    <t>(71) 9 9252-6439/ 3332-1233</t>
  </si>
  <si>
    <t>(71) 3332-1233</t>
  </si>
  <si>
    <t>COLEGIO ESTADUAL CESARE CASALI - EM TEMPO INTEGRAL</t>
  </si>
  <si>
    <t>AUGUSTO CESAR PENELU DA SILVA</t>
  </si>
  <si>
    <t>(71) 9 8868-8578/ 9 9227-6844</t>
  </si>
  <si>
    <t>JOSÉ RAMALHO DE OLIVEIRA LIMA</t>
  </si>
  <si>
    <t>(71) 9 9395-2345</t>
  </si>
  <si>
    <t>JOÃO CAETANO DA ANUNCIAÇÃO</t>
  </si>
  <si>
    <t>(71) 9 8893-0456</t>
  </si>
  <si>
    <t>(71) 3392-1505</t>
  </si>
  <si>
    <t>CLAUDIANE BOMFIM OLIVEIRA</t>
  </si>
  <si>
    <t>(71) 9 9100-9658</t>
  </si>
  <si>
    <t>CLEONICE NONATO DOS ANJOS</t>
  </si>
  <si>
    <t>(71) 9 9202-8893</t>
  </si>
  <si>
    <t>(71) 3390-7686</t>
  </si>
  <si>
    <t>NEIDE MARIA OLIVEIRA AZEVEDO DE ALMEIDA</t>
  </si>
  <si>
    <t>(71) 9 9271-7805</t>
  </si>
  <si>
    <t xml:space="preserve">(71) 3382-6477
(71) 3233-2150 3233-9903
</t>
  </si>
  <si>
    <r>
      <rPr>
        <rFont val="Calibri"/>
        <b/>
        <color theme="1"/>
        <sz val="11.0"/>
      </rPr>
      <t>10 (</t>
    </r>
    <r>
      <rPr>
        <rFont val="Calibri"/>
        <b/>
        <color rgb="FFFF0000"/>
        <sz val="11.0"/>
      </rPr>
      <t xml:space="preserve">sendo 07 salas de aula, </t>
    </r>
    <r>
      <rPr>
        <rFont val="Calibri"/>
        <b/>
        <color theme="1"/>
        <sz val="11.0"/>
      </rPr>
      <t>01 adaptada para sala de leitura e 02 adaptadas para auditório)</t>
    </r>
  </si>
  <si>
    <t>ANDRE LUIZ FAGUNDES</t>
  </si>
  <si>
    <t>(71) 9 8116-0482     99326-6123</t>
  </si>
  <si>
    <t>ALTHIELIS SANTOS DE JESUS</t>
  </si>
  <si>
    <t>(71) 9 8162-1818</t>
  </si>
  <si>
    <t>(71) 3303-3784</t>
  </si>
  <si>
    <t xml:space="preserve">15 ( Sendo 13 utilizadas como salas de aula e 02 salas multifuncionais) </t>
  </si>
  <si>
    <t>COLÉGIO ESTADUAL BATISTA NEVES - EM TEMPO INTEGRAL</t>
  </si>
  <si>
    <t>EVERALDO CONCEIÇÃO DUARTE JR.</t>
  </si>
  <si>
    <t xml:space="preserve">(71) 9 9145-1223 98797-3803 </t>
  </si>
  <si>
    <t>ROBERTO ARAÚJO ALVES</t>
  </si>
  <si>
    <t>(71) 9 8884-1969</t>
  </si>
  <si>
    <t xml:space="preserve">(71) 3309-4943                                         (71) 3395-8862 ORELHÃO  </t>
  </si>
  <si>
    <t>COLEGIO ESTADUAL AZEVEDO FERNANDES</t>
  </si>
  <si>
    <t>ELIANA TELES DOS ANJOS</t>
  </si>
  <si>
    <t>(71) 9 9977-6361</t>
  </si>
  <si>
    <t>JAIR GOMES DA SILVA</t>
  </si>
  <si>
    <t>(71) 9 8172-5048</t>
  </si>
  <si>
    <t>(71) 3321-5457</t>
  </si>
  <si>
    <t xml:space="preserve">06 + 07
adaptadas
</t>
  </si>
  <si>
    <t>COLEGIO ESTADUAL ASSIS CHATEAUBRIAND</t>
  </si>
  <si>
    <t>NOEMI DA SILVA CALMON SANTANA</t>
  </si>
  <si>
    <t>(71) 9 9264-6338 / 3303-4343</t>
  </si>
  <si>
    <t>EDELCLIDES DE SANTANA ALCÂNTARA</t>
  </si>
  <si>
    <t xml:space="preserve">(71) 9 9122-0481 </t>
  </si>
  <si>
    <t>DALVAILDES DE JESUS ANDRADE DOS SANTOS</t>
  </si>
  <si>
    <t>(71) 9 8837-2849</t>
  </si>
  <si>
    <t>COLEGIO ESTADUAL ARTUR DE SALES</t>
  </si>
  <si>
    <t>VALERIA SOUZA LIMA VILARONGA</t>
  </si>
  <si>
    <t>(71) 9 8724-3418</t>
  </si>
  <si>
    <t>EDGAR DA SILVA BARAUNA</t>
  </si>
  <si>
    <t>(71) 9 8851-0182</t>
  </si>
  <si>
    <t>JORGE ANTONIO LIMA DOS SANTOS</t>
  </si>
  <si>
    <t>(71) 9 8770-8469/ 9 9325-1317</t>
  </si>
  <si>
    <t>ANA CRISTINA BELAS LAMEGO</t>
  </si>
  <si>
    <t>(71) 9 8753-5884</t>
  </si>
  <si>
    <t>VANUSA SOUSA ALMEIDA</t>
  </si>
  <si>
    <t>(71) 9 9300-0174</t>
  </si>
  <si>
    <t>(71) 3261-5628
(71) 3261-1588</t>
  </si>
  <si>
    <t>COLEGIO ESTADUAL ANFRISIA SANTIAGO - TEMPO INTEGRAL</t>
  </si>
  <si>
    <t>MARIA DA CONCEICAO S. SOUZA DE CARVALHO</t>
  </si>
  <si>
    <t>(71) 9 9267-2007/ 9 9926-2107</t>
  </si>
  <si>
    <t>MAGNOLIA SANTANA PIRES</t>
  </si>
  <si>
    <t xml:space="preserve"> (71) 9 9249-0327</t>
  </si>
  <si>
    <t>(71) 3397-1068/ 3397-1401</t>
  </si>
  <si>
    <t>COLEGIO ESTADUAL ANA CRISTINA PRAZERES MATA PIRES</t>
  </si>
  <si>
    <t>CARLOS HENRIQUE DA SILVA CUNHA</t>
  </si>
  <si>
    <t>(71) 9 9151-3584</t>
  </si>
  <si>
    <t>MARIA ALICE DOS SANTOS LIMA</t>
  </si>
  <si>
    <t>(71) 9 8808-4176</t>
  </si>
  <si>
    <t>EDER LIMA DE SOUZA</t>
  </si>
  <si>
    <t>(71) 9 8876-6460</t>
  </si>
  <si>
    <t>(71) 3408-8476</t>
  </si>
  <si>
    <t>MANOEL MENEZES DA SILVA</t>
  </si>
  <si>
    <t>(71) 9 8742-0165</t>
  </si>
  <si>
    <t>CARLOS RENATO GONCALVES DOS SANTOS</t>
  </si>
  <si>
    <t>(71) 9 9320-8629</t>
  </si>
  <si>
    <t>CLEO RICARDO BITENCOURT</t>
  </si>
  <si>
    <t>(71) 9 9146-3944</t>
  </si>
  <si>
    <t>(71) 3219-0119</t>
  </si>
  <si>
    <t>COLEGIO ESTADUAL ALMIRANTE BARROSO</t>
  </si>
  <si>
    <t>ADRIANA SILVA DO ROSARIO</t>
  </si>
  <si>
    <t>(71) 9 9196-0356 / 98613-3561</t>
  </si>
  <si>
    <t>CELSINA DA SILVA BORBA</t>
  </si>
  <si>
    <t>(71) 9 9299-0740</t>
  </si>
  <si>
    <t>ALICE ANCHIETA</t>
  </si>
  <si>
    <t>(75) 9 8814-3307</t>
  </si>
  <si>
    <t>(71) 3397-2820/ 3397-4550</t>
  </si>
  <si>
    <t>MÁRCIA DA SILVA SOARES</t>
  </si>
  <si>
    <t>(71) 9 9213-2949</t>
  </si>
  <si>
    <t>CRISTIANE MASCARENHAS LEITE</t>
  </si>
  <si>
    <t>(71) 9 9991-3083</t>
  </si>
  <si>
    <t>(71) 3312-2869/ 3312-0592</t>
  </si>
  <si>
    <r>
      <rPr>
        <rFont val="Calibri"/>
        <b/>
        <color theme="1"/>
        <sz val="11.0"/>
      </rPr>
      <t>16 (</t>
    </r>
    <r>
      <rPr>
        <rFont val="Calibri"/>
        <b/>
        <color rgb="FFFF0000"/>
        <sz val="11.0"/>
      </rPr>
      <t>10 novas,</t>
    </r>
    <r>
      <rPr>
        <rFont val="Calibri"/>
        <b/>
        <color theme="1"/>
        <sz val="11.0"/>
      </rPr>
      <t xml:space="preserve"> sendo 09 como salas de aula e 01 adaptada para ADM e </t>
    </r>
    <r>
      <rPr>
        <rFont val="Calibri"/>
        <b/>
        <color rgb="FFFF0000"/>
        <sz val="11.0"/>
      </rPr>
      <t>06 existentes</t>
    </r>
    <r>
      <rPr>
        <rFont val="Calibri"/>
        <b/>
        <color theme="1"/>
        <sz val="11.0"/>
      </rPr>
      <t xml:space="preserve"> em reforma. </t>
    </r>
  </si>
  <si>
    <t>COLEGIO ESTADUAL ALFREDO MAGALHAES </t>
  </si>
  <si>
    <t>EDMILSON DOS SANTOS CARDOSO</t>
  </si>
  <si>
    <t>(71) 9 9380-3118</t>
  </si>
  <si>
    <t>GILVANIA PEIXOTO DE OLIVEIRA</t>
  </si>
  <si>
    <t>(71) 9 9191-3051</t>
  </si>
  <si>
    <t>(71) 3240-0362</t>
  </si>
  <si>
    <t>COLEGIO ESTADUAL ALBERTO VALENCA - TEMPO INTEGRAL</t>
  </si>
  <si>
    <t>JOSILENE FERNANDES SALES</t>
  </si>
  <si>
    <t>(71) 9 8892-4372</t>
  </si>
  <si>
    <t>ADELAIDE HENRIQUE GOMES</t>
  </si>
  <si>
    <t>(71) 9 8620-9881</t>
  </si>
  <si>
    <t>(71) 3384-0066 / 3384-7622</t>
  </si>
  <si>
    <t>COLEGIO ESTADUAL ALBERTO SANTOS DUMONT</t>
  </si>
  <si>
    <t>SÉRGIO NOGUEIRA NONATO</t>
  </si>
  <si>
    <t>(71) 9 8878-3345</t>
  </si>
  <si>
    <t>VIVALDO MARCOS NASCIMENTO DOS SANTOS</t>
  </si>
  <si>
    <t>(71) 9 9191-6359</t>
  </si>
  <si>
    <t>JEANE ALICE DA SILVA LEITE LORDELO</t>
  </si>
  <si>
    <t>(71) 9 9995-3172</t>
  </si>
  <si>
    <t>(71) 3391-2576/3215-0124</t>
  </si>
  <si>
    <t>AVENIDA LUIZ TARQUÍNIO - 00006</t>
  </si>
  <si>
    <t>ROMA</t>
  </si>
  <si>
    <t>MARCIA MARIA CONCEICAO DUARTE</t>
  </si>
  <si>
    <t>(71) 9 8841-7605 /  9 8168-2588</t>
  </si>
  <si>
    <t>MARILANGE PEREIRA DA SILVA</t>
  </si>
  <si>
    <t>(71) 9 8883-1034</t>
  </si>
  <si>
    <t>(71) 3313-0139
(71)  3313-6835
(71) 3313-1600</t>
  </si>
  <si>
    <t xml:space="preserve">16( Sendo 14 utilizadas como salas de aula, 01 adaptada para sala de video e 01 para sala de leitura) </t>
  </si>
  <si>
    <r>
      <rPr>
        <rFont val="Calibri"/>
        <b/>
        <color theme="1"/>
        <sz val="11.0"/>
      </rPr>
      <t>24 salas novas e 10 salas no pavilhão antigo: sendo</t>
    </r>
    <r>
      <rPr>
        <rFont val="Calibri"/>
        <b/>
        <color rgb="FFFF0000"/>
        <sz val="11.0"/>
      </rPr>
      <t xml:space="preserve"> 15 usadas para aula</t>
    </r>
    <r>
      <rPr>
        <rFont val="Calibri"/>
        <b/>
        <color theme="1"/>
        <sz val="11.0"/>
      </rPr>
      <t>, 10 adaptadas para secretaria, sala de direção, sala dos prof., sala de leitura, lab. de informática, lab. de ciências da natureza, sala de jogos, laboratório de matemática e sala de arquivo, e 10 antigas inativas.  )</t>
    </r>
  </si>
  <si>
    <t>COLÉGIO DA POLÍCIA MILITAR - UNIDADE I CPM DENDEZEIROS - TEMPO INTEGRAL</t>
  </si>
  <si>
    <t>DIREÇÃO DA ESCOLA: MARIA DO CARMO COSTA DE JESUS SANTOS - (71) 9 8881-7411 
DIREÇÃO DA UNIDADE PM: TENENTE CORONEL ADRIANO CHASCHINET - (71) 9 9143-4293 
DIREÇÃO DO ADJUNTO: MAJOR MARCELO CARVALHO ESPÍRITO SANTO - (71) 9 9235-7865</t>
  </si>
  <si>
    <t>ANTONIO JOSE BARRETO DE OLIVEIRA</t>
  </si>
  <si>
    <t>(71) 9 9938-6622</t>
  </si>
  <si>
    <t>(71) 3314-5715   3116-6624</t>
  </si>
  <si>
    <t>COLEGIO DA POLICIA MILITAR - CPM LUIZ TARQUINIO</t>
  </si>
  <si>
    <t>DIREÇÃO DE ESCOLA: KEUCILENE ANDRADE CUNHA - (71) 9 9741-2160
DIREÇÃO DA UNIDADE PM: TENENTE CORONEL PM GILDEMAR ALMEIDA GUALBERTO - (71) 9 8878-5630 
DIREÇÃO DO ADJUNTO: MAJOR PM BONFIM DE OLIVEIRA ALCÂNTARA - (71) 9 8796-1695</t>
  </si>
  <si>
    <t>RITA DE CASSIA DE LIMA BATISTA</t>
  </si>
  <si>
    <t>(71) 9 8643-4826</t>
  </si>
  <si>
    <t>(71) 3312-2472 3313-7755</t>
  </si>
  <si>
    <t>DIREÇÃO DE ESCOLA: LEONOR SALGADO DE MAGALHÃES - (71) 9 9112-6854/9 9138-6853
DIREÇÃO DA UNIDADE PM: TENENTE PAULO JOSÉ DA SILVA SANTOS - (71) 9 8851-7482
DIREÇÃO DO ADJUNTO: MAJOR EDUARDO DA COSTA SANTOS - (71) 9 9342-7111</t>
  </si>
  <si>
    <t>ISA DOS SANTOS BARBOSA</t>
  </si>
  <si>
    <t>(71) 9 8742-7136</t>
  </si>
  <si>
    <t>(71) 3292-1208</t>
  </si>
  <si>
    <t>DIREÇÃO DA ESCOLA: ANA CARINE ARAÚJO DOS SANTOS MORAIS - (71) 9 9365-3266
DIREÇÃO DA UNIDADE PM: TENENTE CORONEL CARLOS AUGUSTO - (74) 9 9191-9089
DIREÇÃO DO ADJUNTO: MAJOR VOLMAR NASCIMENTO DE SOUZA - (71) 9 8770-4900</t>
  </si>
  <si>
    <t>(71) 3312-0075/3117-6631</t>
  </si>
  <si>
    <t>COLEGIO DA POLICIA MILITAR - CPM DONA LEONOR CALMON</t>
  </si>
  <si>
    <t>DIREÇÃO DA ESCOLA: LUIZ CARLOS DO ESPIRITO SANTO GUIMARÃES - (71) 9 8755-2578 
DIREÇÃO DA UNIDADE PM: TENENTE CORONEL CARLOS AUGUSTO REIS SANTOS - (71) 9 8611-4134
DIREÇÃO DO ADJUNTO: ANA PAULA COSTA QUEIROZ - (71) 9 9622-6022</t>
  </si>
  <si>
    <t>GUSTAVO FERNANDO FRANÇA MENEZES</t>
  </si>
  <si>
    <t>(71) 9 8801-1959</t>
  </si>
  <si>
    <t>(71) 3305-6627</t>
  </si>
  <si>
    <t>ISABEL CRISTINA DAS VIRGENS</t>
  </si>
  <si>
    <t>(71) 9 8844-3725/9 9123-9224</t>
  </si>
  <si>
    <t>ELIZABETH ABREU MALUF</t>
  </si>
  <si>
    <t>(71) 9 9711-7090</t>
  </si>
  <si>
    <t>RICARDO FERNANDES DE SOUZA</t>
  </si>
  <si>
    <t xml:space="preserve">(71) 9 9131-0059 </t>
  </si>
  <si>
    <t>(71) 3321-4028</t>
  </si>
  <si>
    <t xml:space="preserve">LUCIA MARIA DE SANTANA FERREIRA  </t>
  </si>
  <si>
    <t>(71) 9 9246-8415</t>
  </si>
  <si>
    <t>SANDRA INES PINHO DOS SANTOS</t>
  </si>
  <si>
    <t>(71) 9 9609-3190</t>
  </si>
  <si>
    <t>(71) 3384-9317</t>
  </si>
  <si>
    <t>CEEINFOR</t>
  </si>
  <si>
    <t>MARIBEL COSTA SILVA</t>
  </si>
  <si>
    <t>(71) 9 8730-1975</t>
  </si>
  <si>
    <t>MARIANGELA BARRETO SANTOS FREITAS</t>
  </si>
  <si>
    <t xml:space="preserve">(75) 9 8837-2208 </t>
  </si>
  <si>
    <t>IVONE ROCHA TEIXEIRA</t>
  </si>
  <si>
    <t>(71) 9 9913-9769</t>
  </si>
  <si>
    <t xml:space="preserve">(71) 3242-4514 </t>
  </si>
  <si>
    <t xml:space="preserve">JANETE SANTOS LESSA </t>
  </si>
  <si>
    <t>(71) 9 9129-0486</t>
  </si>
  <si>
    <t>ARIEDALVA LOPES DE BRITO</t>
  </si>
  <si>
    <t>(71) 9 9104-7919</t>
  </si>
  <si>
    <t>FRANCISCO MAGALHAES COSTA NETO</t>
  </si>
  <si>
    <t>(71)  9 997-8732</t>
  </si>
  <si>
    <t>VERÔNICA LISBOA RAMOS</t>
  </si>
  <si>
    <t xml:space="preserve">(71) 9 9231-2902/ 9 9367-296 </t>
  </si>
  <si>
    <t>LEONISIA LACERDA LOPES SANCHES</t>
  </si>
  <si>
    <t>(71) 9 8842-1371</t>
  </si>
  <si>
    <t>PAULO CESAR ROCHA</t>
  </si>
  <si>
    <t>(71) 9 9250-5926</t>
  </si>
  <si>
    <t>(71) 3244-4140</t>
  </si>
  <si>
    <t>PRAÇA DO BARBALHO - 34</t>
  </si>
  <si>
    <t>CRISTINA MARIA CARVALHO NASCIMENTO</t>
  </si>
  <si>
    <t>(71) 9 8179-0722</t>
  </si>
  <si>
    <t>IZABEL ANDRADE</t>
  </si>
  <si>
    <t>(71) 9 9926-9212</t>
  </si>
  <si>
    <t>(71) 3321-0430</t>
  </si>
  <si>
    <t>ARIOSVALDO SILVA</t>
  </si>
  <si>
    <t>(71) 9 8884-7963</t>
  </si>
  <si>
    <t>GILSON LUCIANO PARENTE DE CARVALHO</t>
  </si>
  <si>
    <t>(71) 9 9302-7000</t>
  </si>
  <si>
    <t>DANIELA MIRANDA RAMOS SANTANA</t>
  </si>
  <si>
    <t>(71) 9 9671-3391</t>
  </si>
  <si>
    <t>(71) 3304-4674/3303-2273</t>
  </si>
  <si>
    <r>
      <rPr>
        <rFont val="Calibri"/>
        <b/>
        <color theme="1"/>
        <sz val="11.0"/>
      </rPr>
      <t xml:space="preserve">12 </t>
    </r>
    <r>
      <rPr>
        <rFont val="Calibri"/>
        <b/>
        <color rgb="FFFF0000"/>
        <sz val="11.0"/>
      </rPr>
      <t>(sendo 11 salas de aula</t>
    </r>
    <r>
      <rPr>
        <rFont val="Calibri"/>
        <b/>
        <color theme="1"/>
        <sz val="11.0"/>
      </rPr>
      <t xml:space="preserve"> e 01 adaptada)</t>
    </r>
  </si>
  <si>
    <t>JUÇARA SILVA SANTOS</t>
  </si>
  <si>
    <t>(71) 9 9303-5076 / 9 8896-0918</t>
  </si>
  <si>
    <t>GEISA TAVARES DE MELO</t>
  </si>
  <si>
    <t>(71) 9 9222-9492</t>
  </si>
  <si>
    <t>(71) 3243-8259 3243-8304</t>
  </si>
  <si>
    <t>TEREZA CRISTINA RESENDE DA SILVA</t>
  </si>
  <si>
    <t>(71) 9 9971-9214 / 3243-9207 / 3243-0784</t>
  </si>
  <si>
    <t>MARCIA DO CARMO GRASSI</t>
  </si>
  <si>
    <t>(71) 9 9191-7495</t>
  </si>
  <si>
    <t>MARIA EVELYN HABIB BAPTISTA LIMA</t>
  </si>
  <si>
    <t>(71) 9 8857-2307  99634-8945</t>
  </si>
  <si>
    <t>(71) 3243-9207 3243-0290</t>
  </si>
  <si>
    <t>GEORGE MATOS DA SILVA</t>
  </si>
  <si>
    <t>(71) 9 8681-8003</t>
  </si>
  <si>
    <t>DENISE CARDOSO DA PAIXÃO</t>
  </si>
  <si>
    <t>(71) 9 8866-5596</t>
  </si>
  <si>
    <t>EDILMA CRISTINA MOTA COSTA</t>
  </si>
  <si>
    <t>(71) 9 9131-7701</t>
  </si>
  <si>
    <t>(71) 3376-2834</t>
  </si>
  <si>
    <t>MARIA EUGENIA SEIXAS RIBEIRO</t>
  </si>
  <si>
    <t>(71) 9 9934-9811</t>
  </si>
  <si>
    <t>SIMONE PEREIRA LISBOA FREIRE</t>
  </si>
  <si>
    <t>(71) 9 9209-8248</t>
  </si>
  <si>
    <t>(71) 3247-0049</t>
  </si>
  <si>
    <t>CENTRO EST. DE ED PROFISSIONAL EM SAÚDE E TECNOLOGIA DA INFORMAÇÃO CARLOS CORREA DE MENEZES SANTANA</t>
  </si>
  <si>
    <t xml:space="preserve">LUIZ HENRIQUE DE SOUZA TEIXEIRA </t>
  </si>
  <si>
    <t>GILCELIA SOUZA LIMA</t>
  </si>
  <si>
    <t>(71) 9 8862-1608</t>
  </si>
  <si>
    <t>NILO JOSE NASCIMENTO ARAUJO</t>
  </si>
  <si>
    <t>(71) 9 8745-6679</t>
  </si>
  <si>
    <t>CENTRO EDUCACIONAL EDGAR SANTOS</t>
  </si>
  <si>
    <t>ANDRE DE OLIVEIRA ROCHA</t>
  </si>
  <si>
    <t>(71) 9 8318-6262</t>
  </si>
  <si>
    <t>JOÃO PEREIRA DE ALMEIDA</t>
  </si>
  <si>
    <t>(71) 9 8856-2318/ 3233-9903</t>
  </si>
  <si>
    <t>ROSANA BEZERRA PIRES LIMA</t>
  </si>
  <si>
    <t xml:space="preserve">(71) 9 8784-5486/ 9 9157-4870   </t>
  </si>
  <si>
    <t>(71) 3247-0796/3235-2154</t>
  </si>
  <si>
    <t>MONICA BONFIM DE SANTANA</t>
  </si>
  <si>
    <t>(71) 9 9951-7266</t>
  </si>
  <si>
    <t>JAQUELINE CONCEICAO OLIVEIRA LIMA RAMOS</t>
  </si>
  <si>
    <t>(71) 9 9166-9516</t>
  </si>
  <si>
    <t>NEIDE BASTOS PEREIRA DOS SANTOS</t>
  </si>
  <si>
    <t>(71) 9 8870-2887</t>
  </si>
  <si>
    <t xml:space="preserve">(71) 3244-1025 </t>
  </si>
  <si>
    <t>LOURDES CONCEICAO BARBUDA AMARAL DOS SANTOS</t>
  </si>
  <si>
    <t>(71) 9 9196-3616/ 9 9973-1353</t>
  </si>
  <si>
    <t>RONALDO DANTAS DOS SANTOS</t>
  </si>
  <si>
    <t>(71) 9 9284-4573</t>
  </si>
  <si>
    <r>
      <rPr>
        <rFont val="Calibri"/>
        <color theme="1"/>
        <sz val="11.0"/>
      </rPr>
      <t xml:space="preserve">COLEGIO ESTADUAL DE TEMPO INTEGRAL PROFESSORA HELENA BRITTO
</t>
    </r>
    <r>
      <rPr>
        <rFont val="Calibri"/>
        <color theme="1"/>
        <sz val="11.0"/>
      </rPr>
      <t xml:space="preserve"> (ANTIGA UEE DR. RUY BACELAR)</t>
    </r>
  </si>
  <si>
    <t>(71) 3388-6211</t>
  </si>
  <si>
    <t>IVANIR SANTOS GANEM</t>
  </si>
  <si>
    <t>(71) 9 9220-8899 98801-9766</t>
  </si>
  <si>
    <t>IVANA MORAIS ALMEIDA</t>
  </si>
  <si>
    <t>(71) 98812-3406</t>
  </si>
  <si>
    <t>LUIS RAIMUNDO PEREIRA DA FONSECA FILHO</t>
  </si>
  <si>
    <t xml:space="preserve">(71) 9 9963-1481 </t>
  </si>
  <si>
    <t>(71) 3389-0462 / 32336067</t>
  </si>
  <si>
    <t>LUCINETE CALMON DE ARAUJO</t>
  </si>
  <si>
    <t>(71) 9 9373-2996</t>
  </si>
  <si>
    <t>ADROALDO GONCALVES GOMES</t>
  </si>
  <si>
    <t>(71) 3388-4397/3386-2525</t>
  </si>
  <si>
    <t>CARLA DIAS ROCHA</t>
  </si>
  <si>
    <t>(71) 9 8799-9554</t>
  </si>
  <si>
    <t>ROQUELINE MARIA ALMEIDA</t>
  </si>
  <si>
    <t xml:space="preserve">(71) 9 8793-1956  </t>
  </si>
  <si>
    <t>DAYANA SANTANA SOUZA</t>
  </si>
  <si>
    <t xml:space="preserve">(71) 9 9276-7685 </t>
  </si>
  <si>
    <t>(71) 3388-5083</t>
  </si>
  <si>
    <t>12+2Adapt</t>
  </si>
  <si>
    <t>SIDENISE ESTRELADO SOUSA</t>
  </si>
  <si>
    <t>(71) 9 9979-3027</t>
  </si>
  <si>
    <t>NEEMIAS FRAGA CUNHA ARAUJO</t>
  </si>
  <si>
    <t>(71) 9 9223 9034</t>
  </si>
  <si>
    <t>(71) 3235-8855/ 3245-7396</t>
  </si>
  <si>
    <t>CENTRO DE CAPACITACAO DE PROFISSIONAIS DA EDUCACAO E DE ATEND WILSON LINS CAS BA</t>
  </si>
  <si>
    <t>LILIA CRISTINA PEIXOTO SOUSA LEAL</t>
  </si>
  <si>
    <t>(71) 9 9295-9414</t>
  </si>
  <si>
    <t>PATRICIA PEREIRA DA SILVA MACHADO</t>
  </si>
  <si>
    <t>(71) 9 9949-0693</t>
  </si>
  <si>
    <t>(71) 3235-7217 3247-7470</t>
  </si>
  <si>
    <t>RUA SAO JOSE DE BAIXO - 00055</t>
  </si>
  <si>
    <t xml:space="preserve">REUVAN SODRÉ DE OLIVEIRA </t>
  </si>
  <si>
    <t>(71) 9 8876-8575</t>
  </si>
  <si>
    <t>ANA CIBELE MENDONÇA DA SILVA</t>
  </si>
  <si>
    <t>(71) 9 9126-9788</t>
  </si>
  <si>
    <t>(71) 3242-1073</t>
  </si>
  <si>
    <t>RIVER CARVALHO DE AZEVEDO SANTANA</t>
  </si>
  <si>
    <t>(71) 9 9999-1073/ 9 8671-1551</t>
  </si>
  <si>
    <t>JUSSARA VILELA BOMFIM</t>
  </si>
  <si>
    <t>(71) 9 9215-7806</t>
  </si>
  <si>
    <t>(71) 3322-1294 3321-3014</t>
  </si>
  <si>
    <t>NÃO INFORMADO</t>
  </si>
  <si>
    <t>DA MURIÇOCA N SN(00191) CEP: 41250420</t>
  </si>
  <si>
    <t>FLAVIA BARBOSA DE CARVALHO</t>
  </si>
  <si>
    <t>(71) 9 8898-1628</t>
  </si>
  <si>
    <t>JOSE FRANCISCO BARRETTO NETO</t>
  </si>
  <si>
    <t>(71) 9 8182-7455</t>
  </si>
  <si>
    <t>CLARICE DOS SANTOS SILVA</t>
  </si>
  <si>
    <t>(71) 9 8832-0343</t>
  </si>
  <si>
    <t>ANEXO COLEGIO ESTADUAL GOVERNADOR ROBERTO SANTOS - CASE</t>
  </si>
  <si>
    <t>GUANABARA - 70</t>
  </si>
  <si>
    <r>
      <rPr>
        <rFont val="Calibri"/>
        <color theme="1"/>
        <sz val="10.0"/>
      </rPr>
      <t xml:space="preserve">COLÉGIO ESTADUAL DE TEMPO INTEGRAL TERRAS DE CANABRAVA
(ANTIGO CENTRAL)
</t>
    </r>
    <r>
      <rPr>
        <rFont val="Calibri"/>
        <b/>
        <color theme="1"/>
        <sz val="10.0"/>
      </rPr>
      <t>(IRÁ RECEBER OS ESTUDANTES DO CE SILVIA FERREIRA DE BRITO)</t>
    </r>
  </si>
  <si>
    <t>RUA PRINCESA ISABEL, S,N</t>
  </si>
  <si>
    <r>
      <rPr>
        <rFont val="Calibri"/>
        <b/>
        <color theme="1"/>
        <sz val="11.0"/>
      </rPr>
      <t>10 (</t>
    </r>
    <r>
      <rPr>
        <rFont val="Calibri"/>
        <b/>
        <color rgb="FFFF0000"/>
        <sz val="11.0"/>
      </rPr>
      <t>sendo 09 utilizadas para aula e</t>
    </r>
    <r>
      <rPr>
        <rFont val="Calibri"/>
        <b/>
        <color theme="1"/>
        <sz val="11.0"/>
      </rPr>
      <t xml:space="preserve"> 01 adaptada como sala de reuniões/escritório) </t>
    </r>
  </si>
  <si>
    <t>ANEXO - COLEGIO ESTADUAL PROFESSORA MARIA BERNADETE BRANDAO</t>
  </si>
  <si>
    <r>
      <rPr>
        <rFont val="Calibri"/>
        <b/>
        <color theme="1"/>
        <sz val="11.0"/>
      </rPr>
      <t xml:space="preserve">13 salas, </t>
    </r>
    <r>
      <rPr>
        <rFont val="Calibri"/>
        <b/>
        <color rgb="FFFF0000"/>
        <sz val="11.0"/>
      </rPr>
      <t xml:space="preserve">sendo 06 para aula e  </t>
    </r>
    <r>
      <rPr>
        <rFont val="Calibri"/>
        <b/>
        <color theme="1"/>
        <sz val="11.0"/>
      </rPr>
      <t>4 adaptadas para esse fium. O colégio está em reforma</t>
    </r>
  </si>
  <si>
    <t>COLEGIO ESTADUAL MARTINHO SALLES BRASIL - TEMPO INTEGRAL</t>
  </si>
  <si>
    <t>JOSE RAIMUNDO DE OLIVEIRA RIBEIRO</t>
  </si>
  <si>
    <t>(71) 9 8807-6151</t>
  </si>
  <si>
    <t>SANDRA CECILIA DE ANDRADE ARAUJO</t>
  </si>
  <si>
    <t>(75) 9 8141-2184</t>
  </si>
  <si>
    <t>(71) 3651-3676/3651-1107 3651-1091</t>
  </si>
  <si>
    <t>07 + 05 (Adapt)</t>
  </si>
  <si>
    <t>COLEGIO ESTADUAL DO CAMPO ANNA JUNQUEIRA AYRES TOURINHO - DISTRITO DE MATARIPE</t>
  </si>
  <si>
    <t>RUA DO ASFALTO CAIPE DE BAIXO - DISTRITO DE MATARIPE - SN(00002)</t>
  </si>
  <si>
    <t>JOILMA MENEZES SALES DA CRUZ</t>
  </si>
  <si>
    <t xml:space="preserve">(71) 9 9114-0218 zap/ 9 8793-2618 </t>
  </si>
  <si>
    <t>RAQUELINE DE ALMEIDA COUTO</t>
  </si>
  <si>
    <t>(71) 9 8304-6703/9 8820-7708</t>
  </si>
  <si>
    <t>(71) 3651-3424 3651-2865</t>
  </si>
  <si>
    <t>COLEGIO POLIVALENTE MONSENHOR LUIZ FERREIRA DE BRITO</t>
  </si>
  <si>
    <t>EVANICE PEREIRA DOS SANTOS</t>
  </si>
  <si>
    <t>(71) 9 9331-5462</t>
  </si>
  <si>
    <t>OSVALDO RODRIGUES DE SOUZA</t>
  </si>
  <si>
    <t>(71) 9 9143-7828</t>
  </si>
  <si>
    <t xml:space="preserve">MARIA VIVALDA MOTA SANTOS </t>
  </si>
  <si>
    <t>(71) 9 9988-8611</t>
  </si>
  <si>
    <t>(71) 3655-1264</t>
  </si>
  <si>
    <t>ERICO DOS SANTOS SILVA</t>
  </si>
  <si>
    <t>(71) 9 9706-8670</t>
  </si>
  <si>
    <t>SUELY DO NASCIMENTO DOS SANTOS</t>
  </si>
  <si>
    <t>(71) 9 8761-3040</t>
  </si>
  <si>
    <t>(71) 3655-4465</t>
  </si>
  <si>
    <t xml:space="preserve">12 ( Sendo 11 utilizadas para  salas de aula e 1 sala de professor ) </t>
  </si>
  <si>
    <t>ANEXO - COLEGIO ESTADUAL DEPUTADO LUIS EDUARDO MAGALHAES - DISTRITO DE JACUIPE</t>
  </si>
  <si>
    <t>COLEGIO ESTADUAL REITOR MIGUEL CALMON</t>
  </si>
  <si>
    <t>EUDES RODRIGUES DA SILVA</t>
  </si>
  <si>
    <t>(71) 9 8648-4845</t>
  </si>
  <si>
    <t>ÉRICA DO COUTO MARTINS</t>
  </si>
  <si>
    <t>(71) 9 8745-7015</t>
  </si>
  <si>
    <t>ELISANGELA RAMOS DA SILVA DE SOUZA</t>
  </si>
  <si>
    <t>(71) 9 8769-0984</t>
  </si>
  <si>
    <t>3396-2176
 3396-2070</t>
  </si>
  <si>
    <t>COLEGIO ESTADUAL REGINA SIMOES</t>
  </si>
  <si>
    <t>SHEILA MACEDO PINTO DE SOUSA</t>
  </si>
  <si>
    <t>(71) 9 8886-8416 (TELEFONE)
 9 9956-9912 (ZAP)</t>
  </si>
  <si>
    <t>SIMONE DAMIÃO DA SILVA</t>
  </si>
  <si>
    <t>(71) 9 9909-1615</t>
  </si>
  <si>
    <r>
      <rPr>
        <rFont val="Calibri"/>
        <b/>
        <color theme="1"/>
        <sz val="11.0"/>
      </rPr>
      <t>10 (</t>
    </r>
    <r>
      <rPr>
        <rFont val="Calibri"/>
        <b/>
        <color rgb="FFFF0000"/>
        <sz val="11.0"/>
      </rPr>
      <t xml:space="preserve">Sendo 09 como salas de aula </t>
    </r>
    <r>
      <rPr>
        <rFont val="Calibri"/>
        <b/>
        <color theme="1"/>
        <sz val="11.0"/>
      </rPr>
      <t>e 01 adaptada para laboratório de informática)</t>
    </r>
  </si>
  <si>
    <t>JULIMARA CONCEICAO SANTOS</t>
  </si>
  <si>
    <t>(71) 9 8741-0700</t>
  </si>
  <si>
    <t>3396-7309
 3396-2503</t>
  </si>
  <si>
    <t>COLEGIO ESTADUAL POLIVALENTE DE ARATU</t>
  </si>
  <si>
    <t>JOSENILDA MOITINHO SENA</t>
  </si>
  <si>
    <t>(71) 9 9224-1931/9 8788-9409</t>
  </si>
  <si>
    <t>JOEL GOMES SILVA NETO</t>
  </si>
  <si>
    <t>(71) 9 9147-4053</t>
  </si>
  <si>
    <t>TATIANA RIBEIRO CALLEIA</t>
  </si>
  <si>
    <t>(71) 9 8802-4677</t>
  </si>
  <si>
    <t>3296-8792 3396-9082
 3296-8790 3296-2870</t>
  </si>
  <si>
    <t>COLEGIO ESTADUAL MANOEL DE JESUS</t>
  </si>
  <si>
    <t>ALICE QUEIROZ OLIVEIRA</t>
  </si>
  <si>
    <t>(71) 9 8556-7930</t>
  </si>
  <si>
    <t>EDMAR DOS SANTOS SANTOS</t>
  </si>
  <si>
    <t>(71) 9 9266-5431</t>
  </si>
  <si>
    <t>ROSANGELA MARIA DOS SANTOS</t>
  </si>
  <si>
    <t>(71) 9 9620-2595</t>
  </si>
  <si>
    <t xml:space="preserve">
 3396-1773/3364</t>
  </si>
  <si>
    <t>COLEGIO ESTADUAL DOUTOR LUIZ VIANA FILHO</t>
  </si>
  <si>
    <t>IRADIS TEOLINA FERREIRA DA SILVA</t>
  </si>
  <si>
    <t>(71) 9 9302-3504/9 8884-8782</t>
  </si>
  <si>
    <t>SERGIO ANDRADE DE CASTRO</t>
  </si>
  <si>
    <t>(71)  9 9173-7850</t>
  </si>
  <si>
    <t>3396-9839</t>
  </si>
  <si>
    <t>COLEGIO ESTADUAL DOUTOR BERLINDO MAMEDE DE OLIVEIRA</t>
  </si>
  <si>
    <t>IRILENE DE SANTANA SOUZA</t>
  </si>
  <si>
    <t>(71) 9 8601-1983</t>
  </si>
  <si>
    <t>JURACY VIEIRA DE MENEZES LIMA</t>
  </si>
  <si>
    <t>(71) 9 8701-6511</t>
  </si>
  <si>
    <t>(71) 3396-3662/3296-0617</t>
  </si>
  <si>
    <t>COLEGIO ESTADUAL DE ARATU</t>
  </si>
  <si>
    <t>MARIA DE FÁTIMA CARVALHO DOS SANTOS</t>
  </si>
  <si>
    <t>(71) 9 9977-2727</t>
  </si>
  <si>
    <t>MARIA APARECIDA DOS SANTOS CONCEIÇÃO</t>
  </si>
  <si>
    <t>(71) 9 9257-8221</t>
  </si>
  <si>
    <t>VERA LUCIA BURI SANTANA ALBUQUERQUE</t>
  </si>
  <si>
    <t>(71) 9 8873-0073</t>
  </si>
  <si>
    <t>3396-2481</t>
  </si>
  <si>
    <t>COLEGIO ESTADUAL ALBERTO SILVA</t>
  </si>
  <si>
    <t>EMILE DE JESUS DE LIMA</t>
  </si>
  <si>
    <t>(71) 9 8203-1630</t>
  </si>
  <si>
    <t>TIANE MELO DOS ANJOS</t>
  </si>
  <si>
    <t>(71) 9 8712-6884</t>
  </si>
  <si>
    <t>ERIC PEREIRA BARBOSA</t>
  </si>
  <si>
    <t>(71) 9 9616-9837</t>
  </si>
  <si>
    <t>3396-2930
3396-2232</t>
  </si>
  <si>
    <t>DÉBORA BELTOSO CRUZ</t>
  </si>
  <si>
    <t>(71) 9 8860-5177/9 8401-2222</t>
  </si>
  <si>
    <t>RENATO SOUZA SANTOS</t>
  </si>
  <si>
    <t>(71) 9 9989-4415</t>
  </si>
  <si>
    <t>ALEXANDRO MOREIRA DA PAIXÃO</t>
  </si>
  <si>
    <t>(71) 9 8771-0693</t>
  </si>
  <si>
    <t>3594-9498</t>
  </si>
  <si>
    <t>MÁRCIA ANTÔNIA DE BARROS SANTOS</t>
  </si>
  <si>
    <t>(71) 9 8160-1184</t>
  </si>
  <si>
    <t>RICARDO KASSIUS PRAZERES</t>
  </si>
  <si>
    <t>(71) 9 8879-0637</t>
  </si>
  <si>
    <t>3296-9040 3616-1265</t>
  </si>
  <si>
    <t>ANEXO DO COLEGIO ESTADUAL DOUTOR LUIZ VIANA FILHO - CHACARA DOS PALMARES</t>
  </si>
  <si>
    <t>ANEXO DO COLEGIO ESTADUAL DOUTOR BERLINDO MAMEDE DE OLIVEIRA - COLONIA PENAL</t>
  </si>
  <si>
    <t>ANEXO DO COLEGIO ESTADUAL DOUTOR BERLINDO MAMEDE DE OLIVEIRA - CASE/CIA</t>
  </si>
  <si>
    <t>LOMANTO JUNIOR - SN(00004)</t>
  </si>
  <si>
    <t>16 (sendo 13 salas de aula e 01 adaptadas)</t>
  </si>
  <si>
    <t>COLEGIO ESTADUAL JURACY MAGALHAES JUNIOR-DISTRITO DE CACHA PREGOS</t>
  </si>
  <si>
    <t>CLAUDIA MARIA DA SILVA MENEZES</t>
  </si>
  <si>
    <t>(71) 9 9135-2868</t>
  </si>
  <si>
    <t>ELIZANGELA DE JESUS VAZ</t>
  </si>
  <si>
    <t>(71) 9 9353-8464 98717-7817</t>
  </si>
  <si>
    <t>3637-1279</t>
  </si>
  <si>
    <t>COLEGIO ESTADUAL DESEMBARGADOR JULIO VIRGINIO DE SANTANA - TEMPO INTEGRAL</t>
  </si>
  <si>
    <t>DENIVALDO DE SANTANA DA SILVA</t>
  </si>
  <si>
    <t>(71) 9 8681-0186</t>
  </si>
  <si>
    <t>ANTONIO CESAR CALMON DA SILVA</t>
  </si>
  <si>
    <t>(71) 9 9222-5874</t>
  </si>
  <si>
    <t>IZABEL CRISTINA DE OLIVEIRA LOPES</t>
  </si>
  <si>
    <t>(71) 9 8658-5589</t>
  </si>
  <si>
    <t>3633-3340 / 3633-3341</t>
  </si>
  <si>
    <t>ILINALVA DAS VIRGENS FRANCA PEREIRA</t>
  </si>
  <si>
    <t>(71) 9 8108-0590 / 98757-1482</t>
  </si>
  <si>
    <t>SOLANGE PARANHOS SOUZA DE OLIVEIRA</t>
  </si>
  <si>
    <t>(71) 9 8829-4144</t>
  </si>
  <si>
    <t>3638-2102</t>
  </si>
  <si>
    <t>COLÉGIO ESTADUAL POLIVALENTE DE BELMONTE</t>
  </si>
  <si>
    <t>JULIANA SOUZA DE AQUINO</t>
  </si>
  <si>
    <t>(73) 9 9116-4489/ 9945-1644</t>
  </si>
  <si>
    <r>
      <rPr>
        <rFont val="Calibri"/>
        <b/>
        <color rgb="FF000000"/>
        <sz val="11.0"/>
      </rPr>
      <t>20 (</t>
    </r>
    <r>
      <rPr>
        <rFont val="Calibri"/>
        <b/>
        <color rgb="FFFF0000"/>
        <sz val="11.0"/>
      </rPr>
      <t xml:space="preserve">sendo 11 como salas de aula, </t>
    </r>
    <r>
      <rPr>
        <rFont val="Calibri"/>
        <b/>
        <color rgb="FF000000"/>
        <sz val="11.0"/>
      </rPr>
      <t>01 laboratório de informática, 01 Sala de luta, 01 Sala coordenação, 01 sala de artes, 01 sala de AEE, 01 Sala de fisioterapia/psicologia, 01 sala multifuncional, 01 laboratorio de ciências e 01 sala de projeto de vida)</t>
    </r>
  </si>
  <si>
    <t>JORGEA DOS SANTOS BRAGA DE CARVALHO</t>
  </si>
  <si>
    <t>(73) 9 8136-2855</t>
  </si>
  <si>
    <t>(73) 3287-2195</t>
  </si>
  <si>
    <t xml:space="preserve">12 ( Sendo 10 utilizadas como salas de aula e 02 salas multifuncional) </t>
  </si>
  <si>
    <t>ANEXO - COLÉGIO ESTADUAL POLIVALENTE DE BELMONTE - DISTRITO DE SANTA MARIA ETERNA</t>
  </si>
  <si>
    <t>ANEXO - COLÉGIO ESTADUAL POLIVALENTE DE BELMONTE - DISTRITO DE BOCA DO CORREGO</t>
  </si>
  <si>
    <r>
      <rPr>
        <rFont val="Calibri"/>
        <b/>
        <color rgb="FF000000"/>
        <sz val="11.0"/>
      </rPr>
      <t>6 (</t>
    </r>
    <r>
      <rPr>
        <rFont val="Calibri"/>
        <b/>
        <color rgb="FFFF0000"/>
        <sz val="11.0"/>
      </rPr>
      <t>sendo 05 salas de aula e</t>
    </r>
    <r>
      <rPr>
        <rFont val="Calibri"/>
        <b/>
        <color rgb="FF000000"/>
        <sz val="11.0"/>
      </rPr>
      <t xml:space="preserve"> 01 adaptada)</t>
    </r>
  </si>
  <si>
    <t>ANEXO - COLÉGIO ESTADUAL POLIVALENTE DE BELMONTE - DISTRITO DE BARROLÂNDIA</t>
  </si>
  <si>
    <t>RUA DOS ARTISTAS - SN(00002)</t>
  </si>
  <si>
    <t>COMPLEXO INTEGRADO DE EDUCAÇÃO MARIA DE LOURDES TAVARES LEITE</t>
  </si>
  <si>
    <t>EDALZA HELENA BOSETTI SANTIAGO</t>
  </si>
  <si>
    <t>(73) 9 8123-0230</t>
  </si>
  <si>
    <t>CLAUDIONOR PEREIRA TEIXEIRA</t>
  </si>
  <si>
    <t>(73) 9 8129-9478</t>
  </si>
  <si>
    <t>JONDSON PEREIRA DA SILVA</t>
  </si>
  <si>
    <t>(73) 9 9818-7501</t>
  </si>
  <si>
    <t>(73) 3281-5686</t>
  </si>
  <si>
    <r>
      <rPr>
        <rFont val="Calibri"/>
        <b/>
        <color rgb="FF000000"/>
        <sz val="11.0"/>
      </rPr>
      <t>7 (</t>
    </r>
    <r>
      <rPr>
        <rFont val="Calibri"/>
        <b/>
        <color rgb="FFFF0000"/>
        <sz val="11.0"/>
      </rPr>
      <t>Sendo 06 como salas de aula e</t>
    </r>
    <r>
      <rPr>
        <rFont val="Calibri"/>
        <b/>
        <color rgb="FF000000"/>
        <sz val="11.0"/>
      </rPr>
      <t xml:space="preserve"> 01 adaptada para bibioteca)</t>
    </r>
  </si>
  <si>
    <t xml:space="preserve">ISRAEL MATOS MAGNO </t>
  </si>
  <si>
    <t>(73) 9 8165-0546</t>
  </si>
  <si>
    <t xml:space="preserve">ANA MARA COSTA DE MELO	</t>
  </si>
  <si>
    <t>(73) 98845-0518</t>
  </si>
  <si>
    <t>ADRIEL ARAUJO DAMACENA</t>
  </si>
  <si>
    <t>(73) 9 9931-2502</t>
  </si>
  <si>
    <t>(73) 3281-7899</t>
  </si>
  <si>
    <t>RONALDO SANTANA PEREIRA</t>
  </si>
  <si>
    <t>(73) 9 8202-1551</t>
  </si>
  <si>
    <t>MARIA APARECIDA SILVA DO NASCIMENTO</t>
  </si>
  <si>
    <t>(73) 9 8133-9119</t>
  </si>
  <si>
    <t>(73) 3281-2098</t>
  </si>
  <si>
    <t>IOLANDA VAZ CEDRO</t>
  </si>
  <si>
    <t>(73) 9 9973-2523</t>
  </si>
  <si>
    <t>VICTOR HUGO FERNANDES DA SILVA</t>
  </si>
  <si>
    <t>(73) 9 8233-6822</t>
  </si>
  <si>
    <t>SALATIELE PEREIRA DA SILVA CEO</t>
  </si>
  <si>
    <t>(73) 9 8121-5494</t>
  </si>
  <si>
    <t>(73) 3261-3501</t>
  </si>
  <si>
    <t>JOCÉLIA MOREIRA DA SILVA</t>
  </si>
  <si>
    <t>(73)  9 8246-9817</t>
  </si>
  <si>
    <t>JOARA NASCIMENTO BARBOSA</t>
  </si>
  <si>
    <t>(73) 9 8128-6432</t>
  </si>
  <si>
    <t>(73) 3277-2729</t>
  </si>
  <si>
    <r>
      <rPr>
        <rFont val="Calibri"/>
        <b/>
        <color rgb="FF000000"/>
        <sz val="11.0"/>
      </rPr>
      <t>18 (</t>
    </r>
    <r>
      <rPr>
        <rFont val="Calibri"/>
        <b/>
        <color rgb="FFFF0000"/>
        <sz val="11.0"/>
      </rPr>
      <t>sendo 15 salas de aula e</t>
    </r>
    <r>
      <rPr>
        <rFont val="Calibri"/>
        <b/>
        <color rgb="FF000000"/>
        <sz val="11.0"/>
      </rPr>
      <t xml:space="preserve"> 03 salas adaptadas para direção, secretaria e sala dos professore)</t>
    </r>
  </si>
  <si>
    <t>MAURO LUIZ DE SOUZA</t>
  </si>
  <si>
    <t>(73) 9 8123-4660</t>
  </si>
  <si>
    <t>MARCELA CRISTINA OLIVEIRA DA SILVA</t>
  </si>
  <si>
    <t>(73) 98132-3201</t>
  </si>
  <si>
    <t>NEILSON CASTRO SOARES</t>
  </si>
  <si>
    <t>(73) 9 8175-4086</t>
  </si>
  <si>
    <t>(73) 3270-2346</t>
  </si>
  <si>
    <t>12 (sendo 11 como salas de aula e 01 adaptada para sala multifuncional)</t>
  </si>
  <si>
    <r>
      <rPr>
        <rFont val="Calibri"/>
        <b/>
        <color rgb="FF000000"/>
        <sz val="11.0"/>
      </rPr>
      <t>25 (</t>
    </r>
    <r>
      <rPr>
        <rFont val="Calibri"/>
        <b/>
        <color rgb="FFFF0000"/>
        <sz val="11.0"/>
      </rPr>
      <t>Sendo 22 como salas de aula,</t>
    </r>
    <r>
      <rPr>
        <rFont val="Calibri"/>
        <b/>
        <color rgb="FF000000"/>
        <sz val="11.0"/>
      </rPr>
      <t xml:space="preserve"> 01 sala de vivências corporais, 02 para laboratório)</t>
    </r>
  </si>
  <si>
    <t>1. 
-12.141191070952013, -38.41591769115823
2.
-12.140236172504228, -38.416954341254154</t>
  </si>
  <si>
    <t xml:space="preserve">CELETE PEREIRA PINHO </t>
  </si>
  <si>
    <t>(73) 9 9974-4718</t>
  </si>
  <si>
    <t>(73) 3289-2119</t>
  </si>
  <si>
    <t>08 ( Sendo 06 utilizadas para salas de aula, 01 para sala de leitura e 01 improvisado para auditório.</t>
  </si>
  <si>
    <t>ERICA SANTOS DIAS BATISTA</t>
  </si>
  <si>
    <t>(73) 9 9936-6869</t>
  </si>
  <si>
    <t>(73) 3286-1880</t>
  </si>
  <si>
    <t>10 (sendo 8 como salas de aula, 01 adaptada para sala de vídeo, 01 para secretaria)</t>
  </si>
  <si>
    <t>CAETANO CUPOLO DO SACRAMENTO</t>
  </si>
  <si>
    <t>(73) 9 9923-0511</t>
  </si>
  <si>
    <t>AGNALDO NEIVA SILVA</t>
  </si>
  <si>
    <t>(73) 9 8108-4985</t>
  </si>
  <si>
    <t>(73) 3288-4360</t>
  </si>
  <si>
    <t>21 (sendo 20 como salas de aula e 01 adaptada para sala de leitura.</t>
  </si>
  <si>
    <t xml:space="preserve">         THIAGO HENRIQUE DE OLIVEIRA AZEVEDO</t>
  </si>
  <si>
    <t>(73) 9 8142-4087</t>
  </si>
  <si>
    <t>(73) 3274-4157</t>
  </si>
  <si>
    <t>ELOÁ TAKACY PRUDENTE</t>
  </si>
  <si>
    <t>(71) 9 8213-2224</t>
  </si>
  <si>
    <t>MARIA APARECIDA DO SANTOS SOUSA</t>
  </si>
  <si>
    <t>(73) 9 9966-3849</t>
  </si>
  <si>
    <t>TIAGO FERRAZ COSTA</t>
  </si>
  <si>
    <t>(77) 9 8160-3829</t>
  </si>
  <si>
    <t>(73) 3668-1055</t>
  </si>
  <si>
    <t>10 (sendo 07 como salas de aula, 01 adaptada para laboratório de física e química, 01 p/ lab. informática e 01 para</t>
  </si>
  <si>
    <t>COLEGIO ESTADUAL DE TEMPO INTEGRAL DE PORTO SEGURO 
(ANTIGO COLEGIO MODELO LUIS EDUARDO MAGALHAES)</t>
  </si>
  <si>
    <t>CAMBOLO</t>
  </si>
  <si>
    <t>JAIME CARNEIRO DOS REIS JUNIOR</t>
  </si>
  <si>
    <t xml:space="preserve"> (73) 9 8841-6250</t>
  </si>
  <si>
    <t>LIZZIANE DO NASCIMENTO SANTOS SILVA</t>
  </si>
  <si>
    <t>(73) 9 9933-7979</t>
  </si>
  <si>
    <t>GLACE SCHMIDKI RIBEIRO</t>
  </si>
  <si>
    <t>(73) 9 9985-4956</t>
  </si>
  <si>
    <t>(73) 3288-6548</t>
  </si>
  <si>
    <t>-11.719630041754433, -38.22587190500092</t>
  </si>
  <si>
    <t>22 (sendo 10 salas de aula novas e 12 salas de aula existentes)</t>
  </si>
  <si>
    <t>DEISE EVANGELISTA FERNANDES PEREIRA</t>
  </si>
  <si>
    <t>(73) 9 9180-6996</t>
  </si>
  <si>
    <t>LUCIANE HERNANDEZ</t>
  </si>
  <si>
    <t>(73) 9 8866-1175</t>
  </si>
  <si>
    <t>MICHELLE PEREIRA SOUZA</t>
  </si>
  <si>
    <t>(73) 9 9110-1035</t>
  </si>
  <si>
    <t>(73) 3575-1922</t>
  </si>
  <si>
    <t>10 (sendo 08 como salas de aula, 01 adaptada para sala de leitura e 01 para sala de música)</t>
  </si>
  <si>
    <r>
      <rPr>
        <rFont val="Calibri"/>
        <b/>
        <color theme="1"/>
        <sz val="11.0"/>
      </rPr>
      <t>11 salas de aula,</t>
    </r>
    <r>
      <rPr>
        <rFont val="Calibri"/>
        <b/>
        <color rgb="FFFF0000"/>
        <sz val="11.0"/>
      </rPr>
      <t xml:space="preserve"> sendo 01 sala multifuncional e</t>
    </r>
    <r>
      <rPr>
        <rFont val="Calibri"/>
        <b/>
        <color theme="1"/>
        <sz val="11.0"/>
      </rPr>
      <t xml:space="preserve"> 01 AEE adaptados para sala de aula.</t>
    </r>
  </si>
  <si>
    <t>CENTRO ESTADUAL DE EDUCAÇÃO PROFISSIONAL 2 DE JULHO - ANTIGO COLEGIO ESTADUAL CRISTINA BATISTA</t>
  </si>
  <si>
    <t>RUA JARDIM NOVO BRASIL, Nº S/N</t>
  </si>
  <si>
    <t>GLEISE SILVA ALVES</t>
  </si>
  <si>
    <t xml:space="preserve"> (73) 9 9180-6969</t>
  </si>
  <si>
    <t xml:space="preserve"> THAIS DA SILVA JULHO</t>
  </si>
  <si>
    <t>ANEXO- COLEGIO EST INDIGENA COROA VERMELHA - ALDEIA DE GUAXUMA</t>
  </si>
  <si>
    <t>RAILSON SENA BRAZ CONCEICAO</t>
  </si>
  <si>
    <t>(73) 9 9944-4029</t>
  </si>
  <si>
    <t>RUAN SANTOS SILVA</t>
  </si>
  <si>
    <t>(73) 9 9957-2897</t>
  </si>
  <si>
    <t>(73) 3672-1964</t>
  </si>
  <si>
    <r>
      <rPr>
        <rFont val="Calibri"/>
        <b/>
        <color theme="1"/>
        <sz val="11.0"/>
      </rPr>
      <t xml:space="preserve">06( </t>
    </r>
    <r>
      <rPr>
        <rFont val="Calibri"/>
        <b/>
        <color rgb="FFFF0000"/>
        <sz val="11.0"/>
      </rPr>
      <t>sendo 04 salas de aula,</t>
    </r>
    <r>
      <rPr>
        <rFont val="Calibri"/>
        <b/>
        <color theme="1"/>
        <sz val="11.0"/>
      </rPr>
      <t xml:space="preserve"> 01 adaptada para biblioteca e 01laboratório de informática)</t>
    </r>
  </si>
  <si>
    <t>NAISÂNGELA CARRILHO DE OLIVEIRA</t>
  </si>
  <si>
    <t>(73) 9 9904-0057</t>
  </si>
  <si>
    <t>MONICA OLIVEIRA SILVA DOS SANTOS</t>
  </si>
  <si>
    <t>(73) 9 9906-4412</t>
  </si>
  <si>
    <t>(73) 3282-1376</t>
  </si>
  <si>
    <t>12 (sendo 9 como salas de aula e 03 salas são utilizadas pela Universidade Federal do Sul da Bahia – UFESBA.</t>
  </si>
  <si>
    <r>
      <rPr>
        <rFont val="Calibri"/>
        <b/>
        <color theme="1"/>
        <sz val="11.0"/>
      </rPr>
      <t xml:space="preserve">22 ( </t>
    </r>
    <r>
      <rPr>
        <rFont val="Calibri"/>
        <b/>
        <color rgb="FFFF0000"/>
        <sz val="11.0"/>
      </rPr>
      <t>sendo, 18 salas utilizadas para aula,</t>
    </r>
    <r>
      <rPr>
        <rFont val="Calibri"/>
        <b/>
        <color theme="1"/>
        <sz val="11.0"/>
      </rPr>
      <t xml:space="preserve"> 01 adaptada para biblioteca, 01 Apoio Educa Mais Bahia, 01 laboratório de informática e 01 vídeo)</t>
    </r>
  </si>
  <si>
    <t>25 salas, sendo: 10 em construção + 15 existentes (Sendo 10 para aula, 3 multimídias, 01 sala de informática, 01 laboratório de química).</t>
  </si>
  <si>
    <r>
      <rPr>
        <rFont val="Calibri"/>
        <b/>
        <color theme="1"/>
        <sz val="11.0"/>
      </rPr>
      <t>08 (</t>
    </r>
    <r>
      <rPr>
        <rFont val="Calibri"/>
        <b/>
        <color rgb="FFFF0000"/>
        <sz val="11.0"/>
      </rPr>
      <t>sendo 05 salas de aula</t>
    </r>
    <r>
      <rPr>
        <rFont val="Calibri"/>
        <b/>
        <color theme="1"/>
        <sz val="11.0"/>
      </rPr>
      <t>, 01 adaptada para sala de professores, 01 para La. de química e biologia e 01 adaptada sala de vivencias corporais)</t>
    </r>
  </si>
  <si>
    <r>
      <rPr>
        <rFont val="Calibri"/>
        <b/>
        <color theme="1"/>
        <sz val="11.0"/>
      </rPr>
      <t>24 (</t>
    </r>
    <r>
      <rPr>
        <rFont val="Calibri"/>
        <b/>
        <color rgb="FFFF0000"/>
        <sz val="11.0"/>
      </rPr>
      <t xml:space="preserve">Sendo 17 salas de aula </t>
    </r>
    <r>
      <rPr>
        <rFont val="Calibri"/>
        <b/>
        <color theme="1"/>
        <sz val="11.0"/>
      </rPr>
      <t>e 07 multifuncionais: 01 sala de vivências corporais, 01 dança, 01 atendimento especializado educacional - AEE, 01 jogos, 01 ciências humanas, 01 música e 01 artes)</t>
    </r>
  </si>
  <si>
    <r>
      <rPr>
        <rFont val="Calibri"/>
        <b/>
        <color theme="1"/>
        <sz val="11.0"/>
      </rPr>
      <t xml:space="preserve">28 salas, sendo </t>
    </r>
    <r>
      <rPr>
        <rFont val="Calibri"/>
        <b/>
        <color rgb="FFFF0000"/>
        <sz val="11.0"/>
      </rPr>
      <t>21 utilizadas para aula</t>
    </r>
    <r>
      <rPr>
        <rFont val="Calibri"/>
        <b/>
        <color theme="1"/>
        <sz val="11.0"/>
      </rPr>
      <t xml:space="preserve"> e 07 adaptadas: 01 para sala de AEE, 01 para laboratório de informática, 01 para sala de artes, 01 para sala de oficina e 03 adaptadas para sala de video.</t>
    </r>
  </si>
  <si>
    <r>
      <rPr>
        <rFont val="Calibri"/>
        <b/>
        <color theme="1"/>
        <sz val="11.0"/>
      </rPr>
      <t xml:space="preserve">24 salas, </t>
    </r>
    <r>
      <rPr>
        <rFont val="Calibri"/>
        <b/>
        <color rgb="FFFF0000"/>
        <sz val="11.0"/>
      </rPr>
      <t>sendo 23 para aula</t>
    </r>
    <r>
      <rPr>
        <rFont val="Calibri"/>
        <b/>
        <color theme="1"/>
        <sz val="11.0"/>
      </rPr>
      <t xml:space="preserve"> e 01 adaptada para AC (Atividades Complementares).</t>
    </r>
  </si>
  <si>
    <r>
      <rPr>
        <rFont val="Calibri"/>
        <b/>
        <color theme="1"/>
        <sz val="11.0"/>
      </rPr>
      <t xml:space="preserve">36 salas, </t>
    </r>
    <r>
      <rPr>
        <rFont val="Calibri"/>
        <b/>
        <color rgb="FFFF0000"/>
        <sz val="11.0"/>
      </rPr>
      <t>sendo 31 utilizadas para aula e</t>
    </r>
    <r>
      <rPr>
        <rFont val="Calibri"/>
        <b/>
        <color theme="1"/>
        <sz val="11.0"/>
      </rPr>
      <t xml:space="preserve"> 01 adaptada direção, 01 coordenação, 01 professores, 01 secretaria e 01 para biblioteca.</t>
    </r>
  </si>
  <si>
    <t>12 + 05 (Adapt)</t>
  </si>
  <si>
    <r>
      <rPr>
        <rFont val="Calibri"/>
        <b/>
        <color theme="1"/>
        <sz val="11.0"/>
      </rPr>
      <t>11 (</t>
    </r>
    <r>
      <rPr>
        <rFont val="Calibri"/>
        <b/>
        <color rgb="FFFF0000"/>
        <sz val="11.0"/>
      </rPr>
      <t xml:space="preserve">sendo 04 salas de aula </t>
    </r>
    <r>
      <rPr>
        <rFont val="Calibri"/>
        <b/>
        <color theme="1"/>
        <sz val="11.0"/>
      </rPr>
      <t>e 7 adaptadas para secretaria, direção, sala dos professores, educa mais, laboratório, sala de reunião e biblioteca)</t>
    </r>
  </si>
  <si>
    <r>
      <rPr>
        <rFont val="Calibri"/>
        <b/>
        <color theme="1"/>
        <sz val="11.0"/>
      </rPr>
      <t xml:space="preserve">10 salas de aula, </t>
    </r>
    <r>
      <rPr>
        <rFont val="Calibri"/>
        <b/>
        <color rgb="FFFF0000"/>
        <sz val="11.0"/>
      </rPr>
      <t>sendo 06 como salas de aula e</t>
    </r>
    <r>
      <rPr>
        <rFont val="Calibri"/>
        <b/>
        <color theme="1"/>
        <sz val="11.0"/>
      </rPr>
      <t xml:space="preserve"> 04 adaptadas: 01 biblioteca, 01 laboratório de informática, 01 sala dos professores e 01 sala de AEE.</t>
    </r>
  </si>
  <si>
    <r>
      <rPr>
        <rFont val="Calibri"/>
        <b/>
        <color theme="1"/>
        <sz val="11.0"/>
      </rPr>
      <t>24 (</t>
    </r>
    <r>
      <rPr>
        <rFont val="Calibri"/>
        <b/>
        <color rgb="FFFF0000"/>
        <sz val="11.0"/>
      </rPr>
      <t xml:space="preserve">Sendo 23 utilizadas para aula, </t>
    </r>
    <r>
      <rPr>
        <rFont val="Calibri"/>
        <b/>
        <color theme="1"/>
        <sz val="11.0"/>
      </rPr>
      <t>01 para sala de vivências corporais).</t>
    </r>
  </si>
  <si>
    <r>
      <rPr>
        <rFont val="Calibri"/>
        <b/>
        <color theme="1"/>
        <sz val="11.0"/>
      </rPr>
      <t>9 (</t>
    </r>
    <r>
      <rPr>
        <rFont val="Calibri"/>
        <b/>
        <color rgb="FFFF0000"/>
        <sz val="11.0"/>
      </rPr>
      <t>sendo 08 salas de aula</t>
    </r>
    <r>
      <rPr>
        <rFont val="Calibri"/>
        <b/>
        <color theme="1"/>
        <sz val="11.0"/>
      </rPr>
      <t xml:space="preserve"> e 01 adaptada para sala de multimidia)</t>
    </r>
  </si>
  <si>
    <r>
      <rPr>
        <rFont val="Calibri"/>
        <b/>
        <color theme="1"/>
        <sz val="11.0"/>
      </rPr>
      <t xml:space="preserve">10 salas, sendo: </t>
    </r>
    <r>
      <rPr>
        <rFont val="Calibri"/>
        <b/>
        <color rgb="FFFF0000"/>
        <sz val="11.0"/>
      </rPr>
      <t>07 como salas de aula</t>
    </r>
    <r>
      <rPr>
        <rFont val="Calibri"/>
        <b/>
        <color theme="1"/>
        <sz val="11.0"/>
      </rPr>
      <t xml:space="preserve"> e 03 foram adaptadas para atividades do Educa Mais e reuniões.</t>
    </r>
  </si>
  <si>
    <t>-12.430468399693407, -39.121852799655805</t>
  </si>
  <si>
    <r>
      <rPr>
        <rFont val="Calibri, Arial"/>
        <b/>
        <color rgb="FF000000"/>
        <sz val="11.0"/>
      </rPr>
      <t>21 (</t>
    </r>
    <r>
      <rPr>
        <rFont val="Calibri, Arial"/>
        <b/>
        <color rgb="FFFF0000"/>
        <sz val="11.0"/>
      </rPr>
      <t xml:space="preserve">sendo, 20 para aula e  </t>
    </r>
    <r>
      <rPr>
        <rFont val="Calibri, Arial"/>
        <b/>
        <color rgb="FF000000"/>
        <sz val="11.0"/>
      </rPr>
      <t>01 sala de leitura)</t>
    </r>
  </si>
  <si>
    <r>
      <rPr>
        <rFont val="Calibri"/>
        <b/>
        <color theme="1"/>
        <sz val="11.0"/>
      </rPr>
      <t xml:space="preserve">36 salas, </t>
    </r>
    <r>
      <rPr>
        <rFont val="Calibri"/>
        <b/>
        <color rgb="FFFF0000"/>
        <sz val="11.0"/>
      </rPr>
      <t>sendo 34 com salas de aula e</t>
    </r>
    <r>
      <rPr>
        <rFont val="Calibri"/>
        <b/>
        <color theme="1"/>
        <sz val="11.0"/>
      </rPr>
      <t xml:space="preserve"> 02 adaptadas: 01 para salas de luta e 01 para sala de música.</t>
    </r>
  </si>
  <si>
    <r>
      <rPr>
        <rFont val="Calibri"/>
        <b/>
        <color rgb="FF000000"/>
        <sz val="11.0"/>
      </rPr>
      <t xml:space="preserve">11 salas, </t>
    </r>
    <r>
      <rPr>
        <rFont val="Calibri"/>
        <b/>
        <color rgb="FFFF0000"/>
        <sz val="11.0"/>
      </rPr>
      <t>sendo 06 salas de aulas e</t>
    </r>
    <r>
      <rPr>
        <rFont val="Calibri"/>
        <b/>
        <color rgb="FF000000"/>
        <sz val="11.0"/>
      </rPr>
      <t xml:space="preserve"> 05 adaptadas; 01 secretaria, 01 sala de rádio, 01 sala de AEE, 01 laboratório de informática/ ciências e 01 sala de coordenação/digitação.
</t>
    </r>
  </si>
  <si>
    <r>
      <rPr>
        <rFont val="Calibri"/>
        <b/>
        <color theme="1"/>
        <sz val="11.0"/>
      </rPr>
      <t xml:space="preserve">20 salas, </t>
    </r>
    <r>
      <rPr>
        <rFont val="Calibri"/>
        <b/>
        <color rgb="FFFF0000"/>
        <sz val="11.0"/>
      </rPr>
      <t>sendo 19 para aula e</t>
    </r>
    <r>
      <rPr>
        <rFont val="Calibri"/>
        <b/>
        <color theme="1"/>
        <sz val="11.0"/>
      </rPr>
      <t xml:space="preserve"> 01 adapt. para AEE (Atendimento Educacional Especializado).
</t>
    </r>
  </si>
  <si>
    <t>Rua Cônego José Cupertino de Lacerda, s/n</t>
  </si>
  <si>
    <t>Brasília</t>
  </si>
  <si>
    <r>
      <rPr>
        <rFont val="Calibri"/>
        <b/>
        <color theme="1"/>
        <sz val="11.0"/>
      </rPr>
      <t>24 (</t>
    </r>
    <r>
      <rPr>
        <rFont val="Calibri"/>
        <b/>
        <color rgb="FFFF0000"/>
        <sz val="11.0"/>
      </rPr>
      <t xml:space="preserve">Sendo 23 como sala de aula </t>
    </r>
    <r>
      <rPr>
        <rFont val="Calibri"/>
        <b/>
        <color theme="1"/>
        <sz val="11.0"/>
      </rPr>
      <t>e</t>
    </r>
    <r>
      <rPr>
        <rFont val="Calibri"/>
        <b/>
        <color rgb="FFFF0000"/>
        <sz val="11.0"/>
      </rPr>
      <t xml:space="preserve"> </t>
    </r>
    <r>
      <rPr>
        <rFont val="Calibri"/>
        <b/>
        <color theme="1"/>
        <sz val="11.0"/>
      </rPr>
      <t>01 adaptada para escritorio criativo)</t>
    </r>
  </si>
  <si>
    <r>
      <rPr>
        <rFont val="Calibri"/>
        <b/>
        <color theme="1"/>
        <sz val="11.0"/>
      </rPr>
      <t xml:space="preserve">20 salas, </t>
    </r>
    <r>
      <rPr>
        <rFont val="Calibri"/>
        <b/>
        <color rgb="FFFF0000"/>
        <sz val="11.0"/>
      </rPr>
      <t>sendo 12 utilizadas para aula</t>
    </r>
    <r>
      <rPr>
        <rFont val="Calibri"/>
        <b/>
        <color theme="1"/>
        <sz val="11.0"/>
      </rPr>
      <t>, 05 adaptadas para (laboratórios: 01 Humanas, 01 Inglês, 01 Linguagens, 01 Matemática/Ciências e 01 clube de ciências), 01 sala de AEE, 01 de vídeo e 01 de esportes.</t>
    </r>
  </si>
  <si>
    <r>
      <rPr>
        <rFont val="Calibri"/>
        <b/>
        <color theme="1"/>
        <sz val="11.0"/>
      </rPr>
      <t xml:space="preserve">8 ( </t>
    </r>
    <r>
      <rPr>
        <rFont val="Calibri"/>
        <b/>
        <color rgb="FFFF0000"/>
        <sz val="11.0"/>
      </rPr>
      <t>Sendo 06 utilizadas como salas de aula</t>
    </r>
    <r>
      <rPr>
        <rFont val="Calibri"/>
        <b/>
        <color theme="1"/>
        <sz val="11.0"/>
      </rPr>
      <t>, 01 sala adequada para biblioteca e 01 secretaria/administrativo</t>
    </r>
  </si>
  <si>
    <r>
      <rPr>
        <rFont val="Calibri"/>
        <b/>
        <color theme="1"/>
        <sz val="11.0"/>
      </rPr>
      <t xml:space="preserve">14 salas sendo, </t>
    </r>
    <r>
      <rPr>
        <rFont val="Calibri"/>
        <b/>
        <color rgb="FFFF0000"/>
        <sz val="11.0"/>
      </rPr>
      <t>10 salas de aula</t>
    </r>
    <r>
      <rPr>
        <rFont val="Calibri"/>
        <b/>
        <color theme="1"/>
        <sz val="11.0"/>
      </rPr>
      <t xml:space="preserve"> e 04 adaptadas: 03 laboratórios  (Informática, ciências e escritório criativo) e 01 sala de jiu-jitsu.</t>
    </r>
  </si>
  <si>
    <t>24+01
(Adapt.)</t>
  </si>
  <si>
    <r>
      <rPr>
        <rFont val="Calibri"/>
        <b/>
        <color theme="1"/>
        <sz val="11.0"/>
      </rPr>
      <t xml:space="preserve">08 salas, </t>
    </r>
    <r>
      <rPr>
        <rFont val="Calibri"/>
        <b/>
        <color rgb="FFFF0000"/>
        <sz val="11.0"/>
      </rPr>
      <t xml:space="preserve">sendo 06 como sala de aula e </t>
    </r>
    <r>
      <rPr>
        <rFont val="Calibri"/>
        <b/>
        <color theme="1"/>
        <sz val="11.0"/>
      </rPr>
      <t>02 adaptadas: 01 informática e 01 sala de leitura.</t>
    </r>
  </si>
  <si>
    <r>
      <rPr>
        <rFont val="Calibri"/>
        <b/>
        <color theme="1"/>
        <sz val="11.0"/>
      </rPr>
      <t xml:space="preserve">10 salas, </t>
    </r>
    <r>
      <rPr>
        <rFont val="Calibri"/>
        <b/>
        <color rgb="FFFF0000"/>
        <sz val="11.0"/>
      </rPr>
      <t xml:space="preserve">Sendo 07 salas de aula e </t>
    </r>
    <r>
      <rPr>
        <rFont val="Calibri"/>
        <b/>
        <color theme="1"/>
        <sz val="11.0"/>
      </rPr>
      <t xml:space="preserve">03 adaptadas para multimídias.  </t>
    </r>
  </si>
  <si>
    <t>02 + 02 (Adapt)</t>
  </si>
  <si>
    <r>
      <rPr>
        <rFont val="Calibri"/>
        <color theme="1"/>
        <sz val="11.0"/>
      </rPr>
      <t xml:space="preserve">COLÉGIO ESTADUAL DE TEMPO INTEGRAL PROFESSORA ELINEUZA DA SILVA FERREIRA
</t>
    </r>
    <r>
      <rPr>
        <rFont val="Calibri"/>
        <b/>
        <color theme="1"/>
        <sz val="11.0"/>
      </rPr>
      <t>(ANTIGO COLÉGIO ESTADUAL CARLOS SANTANA)</t>
    </r>
  </si>
  <si>
    <r>
      <rPr>
        <rFont val="Calibri"/>
        <b/>
        <color rgb="FFFF0000"/>
        <sz val="11.0"/>
      </rPr>
      <t>14 salas,</t>
    </r>
    <r>
      <rPr>
        <rFont val="Calibri"/>
        <b/>
        <color theme="1"/>
        <sz val="11.0"/>
      </rPr>
      <t xml:space="preserve"> sendo 11 salas antigas + 03 salas novas.</t>
    </r>
  </si>
  <si>
    <r>
      <rPr>
        <rFont val="Calibri"/>
        <b/>
        <color theme="1"/>
        <sz val="11.0"/>
      </rPr>
      <t>10 (</t>
    </r>
    <r>
      <rPr>
        <rFont val="Calibri"/>
        <b/>
        <color rgb="FFFF0000"/>
        <sz val="11.0"/>
      </rPr>
      <t>sendo 09 para aulas</t>
    </r>
    <r>
      <rPr>
        <rFont val="Calibri"/>
        <b/>
        <color theme="1"/>
        <sz val="11.0"/>
      </rPr>
      <t xml:space="preserve"> e 01 adaptada para laboratório de ciências)</t>
    </r>
  </si>
  <si>
    <t>6 + 1 (Adapt)</t>
  </si>
  <si>
    <t>04 + 01 adapt</t>
  </si>
  <si>
    <r>
      <rPr>
        <rFont val="Calibri"/>
        <b/>
        <color theme="1"/>
        <sz val="11.0"/>
      </rPr>
      <t>7 (</t>
    </r>
    <r>
      <rPr>
        <rFont val="Calibri"/>
        <b/>
        <color rgb="FFFF0000"/>
        <sz val="11.0"/>
      </rPr>
      <t>Sendo 5 como sala de aula</t>
    </r>
    <r>
      <rPr>
        <rFont val="Calibri"/>
        <b/>
        <color theme="1"/>
        <sz val="11.0"/>
      </rPr>
      <t>, 1 como biblioteca e 1 como sal de recursos de multimidia)</t>
    </r>
  </si>
  <si>
    <r>
      <rPr>
        <rFont val="Calibri"/>
        <b/>
        <color theme="1"/>
        <sz val="11.0"/>
      </rPr>
      <t>6 (</t>
    </r>
    <r>
      <rPr>
        <rFont val="Calibri"/>
        <b/>
        <color rgb="FFFF0000"/>
        <sz val="11.0"/>
      </rPr>
      <t>Sendo 5 como sala de aula</t>
    </r>
    <r>
      <rPr>
        <rFont val="Calibri"/>
        <b/>
        <color theme="1"/>
        <sz val="11.0"/>
      </rPr>
      <t xml:space="preserve"> e 1 como sala de leitura) </t>
    </r>
  </si>
  <si>
    <r>
      <rPr>
        <rFont val="Calibri"/>
        <b/>
        <color theme="1"/>
        <sz val="11.0"/>
      </rPr>
      <t>UEE PARALISADA.</t>
    </r>
    <r>
      <rPr>
        <rFont val="Calibri"/>
        <color theme="1"/>
        <sz val="11.0"/>
      </rPr>
      <t xml:space="preserve"> (ATENDENDO A DEMANDA DO CPA (Comissões Permanentes de Avaliação) , FUNCIONA COMO ADMINISTRADORA DO ANEXO - C.E POLIVALENTE DE VITÓRIA DA CONQUISTA  - DISTRITO PRADOSO.) </t>
    </r>
  </si>
  <si>
    <r>
      <rPr>
        <rFont val="Calibri"/>
        <b/>
        <color theme="1"/>
        <sz val="11.0"/>
      </rPr>
      <t>15 (</t>
    </r>
    <r>
      <rPr>
        <rFont val="Calibri"/>
        <b/>
        <color rgb="FFFF0000"/>
        <sz val="11.0"/>
      </rPr>
      <t>Sendo 13 como salas de aula</t>
    </r>
    <r>
      <rPr>
        <rFont val="Calibri"/>
        <b/>
        <color theme="1"/>
        <sz val="11.0"/>
      </rPr>
      <t>, 01 adaptada para secretaria e 01 adaptada para sala de ccordenação/professores).</t>
    </r>
  </si>
  <si>
    <r>
      <rPr>
        <rFont val="Calibri"/>
        <b/>
        <color theme="1"/>
        <sz val="11.0"/>
      </rPr>
      <t>17 (</t>
    </r>
    <r>
      <rPr>
        <rFont val="Calibri"/>
        <b/>
        <color rgb="FFFF0000"/>
        <sz val="11.0"/>
      </rPr>
      <t>Sendo 16 como salas de aula</t>
    </r>
    <r>
      <rPr>
        <rFont val="Calibri"/>
        <b/>
        <color theme="1"/>
        <sz val="11.0"/>
      </rPr>
      <t xml:space="preserve"> e 01 adaptada pela fanfarra)</t>
    </r>
  </si>
  <si>
    <t>COLÉGIO ESTADUAL DE TEMPO INTEGRAL DA CACHOEIRA</t>
  </si>
  <si>
    <r>
      <rPr>
        <rFont val="Calibri, Arial"/>
        <b/>
        <color rgb="FF000000"/>
        <sz val="11.0"/>
      </rPr>
      <t xml:space="preserve">21 salas, </t>
    </r>
    <r>
      <rPr>
        <rFont val="Calibri, Arial"/>
        <b/>
        <color rgb="FFFF0000"/>
        <sz val="11.0"/>
      </rPr>
      <t>sendo 20 utilizadas para aula e</t>
    </r>
    <r>
      <rPr>
        <rFont val="Calibri, Arial"/>
        <b/>
        <color rgb="FF000000"/>
        <sz val="11.0"/>
      </rPr>
      <t xml:space="preserve"> 01 adaptada para biblioteca
</t>
    </r>
  </si>
  <si>
    <r>
      <rPr>
        <rFont val="Calibri"/>
        <color theme="1"/>
        <sz val="11.0"/>
      </rPr>
      <t>COLÉGIO ESTADUAL DO CAMPO DE  TEMPO INTEGRAL CASTRO ALVES (</t>
    </r>
    <r>
      <rPr>
        <rFont val="Calibri"/>
        <b/>
        <color theme="1"/>
        <sz val="11.0"/>
      </rPr>
      <t>ANTIGO POLIVALENTE</t>
    </r>
    <r>
      <rPr>
        <rFont val="Calibri"/>
        <color theme="1"/>
        <sz val="11.0"/>
      </rPr>
      <t>)</t>
    </r>
  </si>
  <si>
    <r>
      <rPr>
        <rFont val="Calibri, Arial"/>
        <b/>
        <color rgb="FF000000"/>
        <sz val="11.0"/>
      </rPr>
      <t>10 (</t>
    </r>
    <r>
      <rPr>
        <rFont val="Calibri, Arial"/>
        <b/>
        <color rgb="FFFF0000"/>
        <sz val="11.0"/>
      </rPr>
      <t>sendo 09 como salas de aula</t>
    </r>
    <r>
      <rPr>
        <rFont val="Calibri, Arial"/>
        <b/>
        <color rgb="FF000000"/>
        <sz val="11.0"/>
      </rPr>
      <t xml:space="preserve"> e 01 adaptada para biblioteca)</t>
    </r>
  </si>
  <si>
    <r>
      <rPr>
        <rFont val="Calibri, Arial"/>
        <b/>
        <color rgb="FF000000"/>
        <sz val="11.0"/>
      </rPr>
      <t>09 (</t>
    </r>
    <r>
      <rPr>
        <rFont val="Calibri, Arial"/>
        <b/>
        <color rgb="FFFF0000"/>
        <sz val="11.0"/>
      </rPr>
      <t>sendo 07 como salas de aula</t>
    </r>
    <r>
      <rPr>
        <rFont val="Calibri, Arial"/>
        <b/>
        <color rgb="FF000000"/>
        <sz val="11.0"/>
      </rPr>
      <t xml:space="preserve"> e 02 adaptadas: 01 para sala de leitura e 01 para sala de professores)</t>
    </r>
  </si>
  <si>
    <t>COLÉGIO ESTADUAL DE TEMPO INTEGRAL LUCIANO PASSOS</t>
  </si>
  <si>
    <r>
      <rPr>
        <rFont val="Calibri"/>
        <b/>
        <color theme="1"/>
        <sz val="11.0"/>
      </rPr>
      <t>7 (</t>
    </r>
    <r>
      <rPr>
        <rFont val="Calibri"/>
        <b/>
        <color rgb="FFFF0000"/>
        <sz val="11.0"/>
      </rPr>
      <t>sendo 06 como salas de aula</t>
    </r>
    <r>
      <rPr>
        <rFont val="Calibri"/>
        <b/>
        <color theme="1"/>
        <sz val="11.0"/>
      </rPr>
      <t xml:space="preserve"> e 01 adaptada p/ biblioteca)</t>
    </r>
  </si>
  <si>
    <r>
      <rPr>
        <rFont val="Calibri"/>
        <b/>
        <color theme="1"/>
        <sz val="11.0"/>
      </rPr>
      <t xml:space="preserve">05 salas, </t>
    </r>
    <r>
      <rPr>
        <rFont val="Calibri"/>
        <b/>
        <color rgb="FFFF0000"/>
        <sz val="11.0"/>
      </rPr>
      <t>sendo 04 salas de aula</t>
    </r>
    <r>
      <rPr>
        <rFont val="Calibri"/>
        <b/>
        <color theme="1"/>
        <sz val="11.0"/>
      </rPr>
      <t>, 01 adaptada para sala multiuso.</t>
    </r>
  </si>
  <si>
    <r>
      <rPr>
        <rFont val="Calibri"/>
        <b/>
        <color theme="1"/>
        <sz val="11.0"/>
      </rPr>
      <t xml:space="preserve">10 salas, </t>
    </r>
    <r>
      <rPr>
        <rFont val="Calibri"/>
        <b/>
        <color rgb="FFFF0000"/>
        <sz val="11.0"/>
      </rPr>
      <t>sendo 08 salas de aula,</t>
    </r>
    <r>
      <rPr>
        <rFont val="Calibri"/>
        <b/>
        <color theme="1"/>
        <sz val="11.0"/>
      </rPr>
      <t xml:space="preserve"> 01 adaptada para biblioteca e 01 para o educa mais</t>
    </r>
  </si>
  <si>
    <r>
      <rPr>
        <rFont val="Calibri"/>
        <b/>
        <color theme="1"/>
        <sz val="11.0"/>
      </rPr>
      <t xml:space="preserve">18 salas, </t>
    </r>
    <r>
      <rPr>
        <rFont val="Calibri"/>
        <b/>
        <color rgb="FFFF0000"/>
        <sz val="11.0"/>
      </rPr>
      <t>sendo 14 salas de aula</t>
    </r>
    <r>
      <rPr>
        <rFont val="Calibri"/>
        <b/>
        <color theme="1"/>
        <sz val="11.0"/>
      </rPr>
      <t>, 01 adaptada para biblioteca, 01 para sala multifuncional e 02 multimídia.</t>
    </r>
  </si>
  <si>
    <r>
      <rPr>
        <rFont val="Calibri"/>
        <b/>
        <color theme="1"/>
        <sz val="11.0"/>
      </rPr>
      <t xml:space="preserve">21 salas, </t>
    </r>
    <r>
      <rPr>
        <rFont val="Calibri"/>
        <b/>
        <color rgb="FFFF0000"/>
        <sz val="11.0"/>
      </rPr>
      <t>sendo 15 salas de aula</t>
    </r>
    <r>
      <rPr>
        <rFont val="Calibri"/>
        <b/>
        <color theme="1"/>
        <sz val="11.0"/>
      </rPr>
      <t>, 03 adaptadas para laboratórios, 01 para refeitório e 02 para o Programa Educa Mais.</t>
    </r>
  </si>
  <si>
    <r>
      <rPr>
        <rFont val="Calibri"/>
        <b/>
        <color theme="1"/>
        <sz val="11.0"/>
      </rPr>
      <t>21 (</t>
    </r>
    <r>
      <rPr>
        <rFont val="Calibri"/>
        <b/>
        <color rgb="FFFF0000"/>
        <sz val="11.0"/>
      </rPr>
      <t>Sendo 12 salas de aula,</t>
    </r>
    <r>
      <rPr>
        <rFont val="Calibri"/>
        <b/>
        <color theme="1"/>
        <sz val="11.0"/>
      </rPr>
      <t xml:space="preserve"> 01 adaptada para sala de jogos, 01 sala de vídeo, 03 para Oficinas do Educa Mais, 02 para laboratório de informática, 01 sala de professores, 01 sala de leitura)</t>
    </r>
  </si>
  <si>
    <r>
      <rPr>
        <rFont val="Calibri"/>
        <b/>
        <color theme="1"/>
        <sz val="11.0"/>
      </rPr>
      <t xml:space="preserve">24 Salas, </t>
    </r>
    <r>
      <rPr>
        <rFont val="Calibri"/>
        <b/>
        <color rgb="FFFF0000"/>
        <sz val="11.0"/>
      </rPr>
      <t>sendo 22 salas de aula e</t>
    </r>
    <r>
      <rPr>
        <rFont val="Calibri"/>
        <b/>
        <color theme="1"/>
        <sz val="11.0"/>
      </rPr>
      <t xml:space="preserve"> 02 adaptadas para (sala de vídeo e sala de professores).</t>
    </r>
  </si>
  <si>
    <r>
      <rPr>
        <rFont val="Calibri"/>
        <b/>
        <color rgb="FF000000"/>
        <sz val="11.0"/>
      </rPr>
      <t>7 (</t>
    </r>
    <r>
      <rPr>
        <rFont val="Calibri"/>
        <b/>
        <color rgb="FFFF0000"/>
        <sz val="11.0"/>
      </rPr>
      <t>sendo 06 como salas de aula</t>
    </r>
    <r>
      <rPr>
        <rFont val="Calibri"/>
        <b/>
        <color rgb="FF000000"/>
        <sz val="11.0"/>
      </rPr>
      <t xml:space="preserve"> e 01 adaptada para sala de música)</t>
    </r>
  </si>
  <si>
    <t>25 + 03 adapt.</t>
  </si>
  <si>
    <r>
      <rPr>
        <rFont val="Calibri"/>
        <b/>
        <color theme="1"/>
        <sz val="11.0"/>
      </rPr>
      <t xml:space="preserve">16 salas, </t>
    </r>
    <r>
      <rPr>
        <rFont val="Calibri"/>
        <b/>
        <color rgb="FFFF0000"/>
        <sz val="11.0"/>
      </rPr>
      <t>sendo 12 salas de aula e</t>
    </r>
    <r>
      <rPr>
        <rFont val="Calibri"/>
        <b/>
        <color theme="1"/>
        <sz val="11.0"/>
      </rPr>
      <t xml:space="preserve"> 01 adaptada para sala de professores, 01 para vídeo, 01 para auditório e 01 para Lab. de informática.</t>
    </r>
  </si>
  <si>
    <r>
      <rPr>
        <rFont val="Calibri"/>
        <b/>
        <color theme="1"/>
        <sz val="11.0"/>
      </rPr>
      <t>7 (</t>
    </r>
    <r>
      <rPr>
        <rFont val="Calibri"/>
        <b/>
        <color rgb="FFFF0000"/>
        <sz val="11.0"/>
      </rPr>
      <t>Sendo 03 salas de aula em uso pela SEC</t>
    </r>
    <r>
      <rPr>
        <rFont val="Calibri"/>
        <b/>
        <color theme="1"/>
        <sz val="11.0"/>
      </rPr>
      <t xml:space="preserve"> e 04 salas de aula em uso pelo município)</t>
    </r>
  </si>
  <si>
    <t>5 + 1 (Adapt)</t>
  </si>
  <si>
    <t>05+01 adapt.</t>
  </si>
  <si>
    <r>
      <rPr>
        <rFont val="Calibri"/>
        <b/>
        <color theme="1"/>
        <sz val="11.0"/>
      </rPr>
      <t>7 (</t>
    </r>
    <r>
      <rPr>
        <rFont val="Calibri"/>
        <b/>
        <color rgb="FFFF0000"/>
        <sz val="11.0"/>
      </rPr>
      <t>sendo 06 como salas de aula</t>
    </r>
    <r>
      <rPr>
        <rFont val="Calibri"/>
        <b/>
        <color theme="1"/>
        <sz val="11.0"/>
      </rPr>
      <t xml:space="preserve"> e 01 adaptada para sala de leitura)</t>
    </r>
  </si>
  <si>
    <r>
      <rPr>
        <rFont val="Calibri"/>
        <b/>
        <color theme="1"/>
        <sz val="11.0"/>
      </rPr>
      <t xml:space="preserve">05 salas, </t>
    </r>
    <r>
      <rPr>
        <rFont val="Calibri"/>
        <b/>
        <color rgb="FFFF0000"/>
        <sz val="11.0"/>
      </rPr>
      <t>sendo 04 como salas de aula e</t>
    </r>
    <r>
      <rPr>
        <rFont val="Calibri"/>
        <b/>
        <color theme="1"/>
        <sz val="11.0"/>
      </rPr>
      <t xml:space="preserve"> 01 adaptada para sala de leitura.</t>
    </r>
  </si>
  <si>
    <r>
      <rPr>
        <rFont val="Calibri"/>
        <b/>
        <color theme="1"/>
        <sz val="11.0"/>
      </rPr>
      <t xml:space="preserve">18 salas, </t>
    </r>
    <r>
      <rPr>
        <rFont val="Calibri"/>
        <b/>
        <color rgb="FFFF0000"/>
        <sz val="11.0"/>
      </rPr>
      <t>sendo 17 para sala de aula e</t>
    </r>
    <r>
      <rPr>
        <rFont val="Calibri"/>
        <b/>
        <color theme="1"/>
        <sz val="11.0"/>
      </rPr>
      <t xml:space="preserve"> 01 adaptada para laboratório de informática.</t>
    </r>
  </si>
  <si>
    <t>11+03</t>
  </si>
  <si>
    <r>
      <rPr>
        <rFont val="Calibri"/>
        <b/>
        <color theme="1"/>
        <sz val="11.0"/>
      </rPr>
      <t xml:space="preserve">12 salas, sendo: </t>
    </r>
    <r>
      <rPr>
        <rFont val="Calibri"/>
        <b/>
        <color rgb="FFFF0000"/>
        <sz val="11.0"/>
      </rPr>
      <t>09 salas de aula</t>
    </r>
    <r>
      <rPr>
        <rFont val="Calibri"/>
        <b/>
        <color theme="1"/>
        <sz val="11.0"/>
      </rPr>
      <t xml:space="preserve">, e 01 adaptada para sala de avaliações digitais,  01 sala de AEE e 01 para Oficinas do Educa Mais. </t>
    </r>
  </si>
  <si>
    <r>
      <rPr>
        <rFont val="Calibri"/>
        <b/>
        <color theme="1"/>
        <sz val="11.0"/>
      </rPr>
      <t>10 (</t>
    </r>
    <r>
      <rPr>
        <rFont val="Calibri"/>
        <b/>
        <color rgb="FFFF0000"/>
        <sz val="11.0"/>
      </rPr>
      <t>Sendo 09 como sala de aula</t>
    </r>
    <r>
      <rPr>
        <rFont val="Calibri"/>
        <b/>
        <color theme="1"/>
        <sz val="11.0"/>
      </rPr>
      <t>, 1 adaptada para biblioteca)</t>
    </r>
  </si>
  <si>
    <r>
      <rPr>
        <rFont val="Calibri"/>
        <b/>
        <color theme="1"/>
        <sz val="11.0"/>
      </rPr>
      <t>17 (</t>
    </r>
    <r>
      <rPr>
        <rFont val="Calibri"/>
        <b/>
        <color rgb="FFFF0000"/>
        <sz val="11.0"/>
      </rPr>
      <t>Sendo 12 como salas de aula e</t>
    </r>
    <r>
      <rPr>
        <rFont val="Calibri"/>
        <b/>
        <color theme="1"/>
        <sz val="11.0"/>
      </rPr>
      <t xml:space="preserve"> 05 adaptadas: 02 salas de AEE, 01 sala de dança, 01 sala de jogos e 01 maker)</t>
    </r>
  </si>
  <si>
    <r>
      <rPr>
        <rFont val="Calibri"/>
        <b/>
        <color theme="1"/>
        <sz val="11.0"/>
      </rPr>
      <t>14 (</t>
    </r>
    <r>
      <rPr>
        <rFont val="Calibri"/>
        <b/>
        <color rgb="FFFF0000"/>
        <sz val="11.0"/>
      </rPr>
      <t xml:space="preserve">Sendo 12 como salas de aula e </t>
    </r>
    <r>
      <rPr>
        <rFont val="Calibri"/>
        <b/>
        <color theme="1"/>
        <sz val="11.0"/>
      </rPr>
      <t>02 adaptadas: 01 AAE e 01 Audiotrio</t>
    </r>
  </si>
  <si>
    <r>
      <rPr>
        <rFont val="Calibri"/>
        <b/>
        <color theme="1"/>
        <sz val="11.0"/>
      </rPr>
      <t>10 (</t>
    </r>
    <r>
      <rPr>
        <rFont val="Calibri"/>
        <b/>
        <color rgb="FFFF0000"/>
        <sz val="11.0"/>
      </rPr>
      <t>Sendo 09 salas de aula e</t>
    </r>
    <r>
      <rPr>
        <rFont val="Calibri"/>
        <b/>
        <color theme="1"/>
        <sz val="11.0"/>
      </rPr>
      <t xml:space="preserve"> 01 adaptada para biblioteca)</t>
    </r>
  </si>
  <si>
    <r>
      <rPr>
        <rFont val="Calibri"/>
        <b/>
        <color theme="1"/>
        <sz val="11.0"/>
      </rPr>
      <t xml:space="preserve">27 salas, </t>
    </r>
    <r>
      <rPr>
        <rFont val="Calibri"/>
        <b/>
        <color rgb="FFFF0000"/>
        <sz val="11.0"/>
      </rPr>
      <t>sendo 26 para aula e</t>
    </r>
    <r>
      <rPr>
        <rFont val="Calibri"/>
        <b/>
        <color theme="1"/>
        <sz val="11.0"/>
      </rPr>
      <t xml:space="preserve"> 01 adaptada para AEE</t>
    </r>
  </si>
  <si>
    <r>
      <rPr>
        <rFont val="Calibri"/>
        <b/>
        <color theme="1"/>
        <sz val="11.0"/>
      </rPr>
      <t xml:space="preserve">18 salas, </t>
    </r>
    <r>
      <rPr>
        <rFont val="Calibri"/>
        <b/>
        <color rgb="FFFF0000"/>
        <sz val="11.0"/>
      </rPr>
      <t>12 para aula e</t>
    </r>
    <r>
      <rPr>
        <rFont val="Calibri"/>
        <b/>
        <color theme="1"/>
        <sz val="11.0"/>
      </rPr>
      <t xml:space="preserve"> 06 adaptadas: 01 multiuso, 01 arquivo morto, 01 música, 01 luta/esporte, 01 AEE e 01 reforço escolar</t>
    </r>
  </si>
  <si>
    <r>
      <rPr>
        <rFont val="Calibri"/>
        <b/>
        <color theme="1"/>
        <sz val="11.0"/>
      </rPr>
      <t>30 (</t>
    </r>
    <r>
      <rPr>
        <rFont val="Calibri"/>
        <b/>
        <color rgb="FFFF0000"/>
        <sz val="11.0"/>
      </rPr>
      <t>Sendo 29 como sala de aula e</t>
    </r>
    <r>
      <rPr>
        <rFont val="Calibri"/>
        <b/>
        <color theme="1"/>
        <sz val="11.0"/>
      </rPr>
      <t xml:space="preserve"> 01 adaptada para sala de informática)</t>
    </r>
  </si>
  <si>
    <t>06+04 Adapt.</t>
  </si>
  <si>
    <r>
      <rPr>
        <rFont val="Calibri"/>
        <b/>
        <color theme="1"/>
        <sz val="11.0"/>
      </rPr>
      <t>10 (</t>
    </r>
    <r>
      <rPr>
        <rFont val="Calibri"/>
        <b/>
        <color rgb="FFFF0000"/>
        <sz val="11.0"/>
      </rPr>
      <t>Sendo 9 como sala de aula</t>
    </r>
    <r>
      <rPr>
        <rFont val="Calibri"/>
        <b/>
        <color theme="1"/>
        <sz val="11.0"/>
      </rPr>
      <t xml:space="preserve"> e 1 adaptada para sala de leitura)</t>
    </r>
  </si>
  <si>
    <r>
      <rPr>
        <rFont val="Calibri"/>
        <b/>
        <color theme="1"/>
        <sz val="11.0"/>
      </rPr>
      <t xml:space="preserve">17 Salas, </t>
    </r>
    <r>
      <rPr>
        <rFont val="Calibri"/>
        <b/>
        <color rgb="FFFF0000"/>
        <sz val="11.0"/>
      </rPr>
      <t xml:space="preserve">sendo 14 utilizadas para aula e </t>
    </r>
    <r>
      <rPr>
        <rFont val="Calibri"/>
        <b/>
        <color theme="1"/>
        <sz val="11.0"/>
      </rPr>
      <t>01 adaptada para laboratório de biologia/química, 01 para laboratório de informática e 01 para multiuso.</t>
    </r>
  </si>
  <si>
    <r>
      <rPr>
        <rFont val="Calibri"/>
        <b/>
        <color theme="1"/>
        <sz val="11.0"/>
      </rPr>
      <t>06 salas,</t>
    </r>
    <r>
      <rPr>
        <rFont val="Calibri"/>
        <b/>
        <color rgb="FFFF0000"/>
        <sz val="11.0"/>
      </rPr>
      <t xml:space="preserve"> sendo 4 utilizadas como salas de aula</t>
    </r>
    <r>
      <rPr>
        <rFont val="Calibri"/>
        <b/>
        <color theme="1"/>
        <sz val="11.0"/>
      </rPr>
      <t xml:space="preserve">, 01 de adaptada para informática e 01 sala multiuso. </t>
    </r>
  </si>
  <si>
    <t>06+02 adapt.</t>
  </si>
  <si>
    <r>
      <rPr>
        <rFont val="Calibri"/>
        <b/>
        <color theme="1"/>
        <sz val="11.0"/>
      </rPr>
      <t>20 ,</t>
    </r>
    <r>
      <rPr>
        <rFont val="Calibri"/>
        <b/>
        <color rgb="FFFF0000"/>
        <sz val="11.0"/>
      </rPr>
      <t xml:space="preserve"> sendo 14 como salas de aula e</t>
    </r>
    <r>
      <rPr>
        <rFont val="Calibri"/>
        <b/>
        <color theme="1"/>
        <sz val="11.0"/>
      </rPr>
      <t xml:space="preserve"> 06 adaptadas: 01 coordenação, 01 laboratório de informática, 01 biblioteca e 03 salas para o Programa Educa Mais)</t>
    </r>
  </si>
  <si>
    <r>
      <rPr>
        <rFont val="Calibri"/>
        <b/>
        <color theme="1"/>
        <sz val="11.0"/>
      </rPr>
      <t>10 (</t>
    </r>
    <r>
      <rPr>
        <rFont val="Calibri"/>
        <b/>
        <color rgb="FFFF0000"/>
        <sz val="11.0"/>
      </rPr>
      <t xml:space="preserve">sendo 09 salas de aula e </t>
    </r>
    <r>
      <rPr>
        <rFont val="Calibri"/>
        <b/>
        <color theme="1"/>
        <sz val="11.0"/>
      </rPr>
      <t>01 adaptada para depósito)</t>
    </r>
  </si>
  <si>
    <r>
      <rPr>
        <rFont val="Calibri"/>
        <b/>
        <color theme="1"/>
        <sz val="11.0"/>
      </rPr>
      <t>24 (</t>
    </r>
    <r>
      <rPr>
        <rFont val="Calibri"/>
        <b/>
        <color rgb="FFFF0000"/>
        <sz val="11.0"/>
      </rPr>
      <t xml:space="preserve">Sendo 21 como salas de aula, </t>
    </r>
    <r>
      <rPr>
        <rFont val="Calibri"/>
        <b/>
        <color theme="1"/>
        <sz val="11.0"/>
      </rPr>
      <t xml:space="preserve">01 adaptada para laboratório de informática, 01 adaptada para sala de multiuso e 01 adaptada para oficinas de redação/português/jiu-jítsu). </t>
    </r>
  </si>
  <si>
    <t>06+02 ADAPT.</t>
  </si>
  <si>
    <r>
      <rPr>
        <rFont val="Calibri"/>
        <color theme="1"/>
        <sz val="10.0"/>
      </rPr>
      <t>COLÉGIO ESTADUAL DE TEMPO INTEGRAL DE TABOCAS
(</t>
    </r>
    <r>
      <rPr>
        <rFont val="Calibri"/>
        <b/>
        <color theme="1"/>
        <sz val="10.0"/>
      </rPr>
      <t>ANTIGO - COLÉGIO ESTADUAL DE TEMPO INTEGRAL LEONIDAS DE ARAÚJO SILVA</t>
    </r>
    <r>
      <rPr>
        <rFont val="Calibri"/>
        <color theme="1"/>
        <sz val="10.0"/>
      </rPr>
      <t>)</t>
    </r>
  </si>
  <si>
    <t>-08.72959179096576, -39.11459449511664</t>
  </si>
  <si>
    <r>
      <rPr>
        <rFont val="Calibri"/>
        <b/>
        <color theme="1"/>
        <sz val="11.0"/>
      </rPr>
      <t xml:space="preserve">08 salas, </t>
    </r>
    <r>
      <rPr>
        <rFont val="Calibri"/>
        <b/>
        <color rgb="FFFF0000"/>
        <sz val="11.0"/>
      </rPr>
      <t xml:space="preserve">sendo 07 salas de aula </t>
    </r>
    <r>
      <rPr>
        <rFont val="Calibri"/>
        <b/>
        <color theme="1"/>
        <sz val="11.0"/>
      </rPr>
      <t>e 01 adaptada para biblioteca</t>
    </r>
  </si>
  <si>
    <r>
      <rPr>
        <rFont val="Calibri"/>
        <b/>
        <color theme="1"/>
        <sz val="11.0"/>
      </rPr>
      <t xml:space="preserve">05 salas, </t>
    </r>
    <r>
      <rPr>
        <rFont val="Calibri"/>
        <b/>
        <color rgb="FFFF0000"/>
        <sz val="11.0"/>
      </rPr>
      <t>sendo 04 de aulas e</t>
    </r>
    <r>
      <rPr>
        <rFont val="Calibri"/>
        <b/>
        <color theme="1"/>
        <sz val="11.0"/>
      </rPr>
      <t xml:space="preserve"> 01 adaptada para biblioteca</t>
    </r>
  </si>
  <si>
    <r>
      <rPr>
        <rFont val="Calibri"/>
        <b/>
        <color rgb="FFFF0000"/>
        <sz val="11.0"/>
      </rPr>
      <t xml:space="preserve">16 salas: 07 salas novas + 09 salas antigas </t>
    </r>
    <r>
      <rPr>
        <rFont val="Calibri"/>
        <b/>
        <color theme="1"/>
        <sz val="11.0"/>
      </rPr>
      <t>(sendo: 06 salas de aula, 01 adaptada para sala de leitura, 01 para laboratório de ciências e 01 sala multimídia)</t>
    </r>
  </si>
  <si>
    <r>
      <rPr>
        <rFont val="Calibri"/>
        <b/>
        <color theme="1"/>
        <sz val="11.0"/>
      </rPr>
      <t>09 (</t>
    </r>
    <r>
      <rPr>
        <rFont val="Calibri"/>
        <b/>
        <color rgb="FFFF0000"/>
        <sz val="11.0"/>
      </rPr>
      <t>sendo 07 salas de aulas</t>
    </r>
    <r>
      <rPr>
        <rFont val="Calibri"/>
        <b/>
        <color theme="1"/>
        <sz val="11.0"/>
      </rPr>
      <t>, 01 adaptada para sala de leitura e 01 para sala de professores)</t>
    </r>
  </si>
  <si>
    <r>
      <rPr>
        <rFont val="Calibri"/>
        <b/>
        <color theme="1"/>
        <sz val="11.0"/>
      </rPr>
      <t>16 (</t>
    </r>
    <r>
      <rPr>
        <rFont val="Calibri"/>
        <b/>
        <color rgb="FFFF0000"/>
        <sz val="11.0"/>
      </rPr>
      <t xml:space="preserve">Sendo 15 como salas de aula </t>
    </r>
    <r>
      <rPr>
        <rFont val="Calibri"/>
        <b/>
        <color theme="1"/>
        <sz val="11.0"/>
      </rPr>
      <t>e 01 adaptada para  Laboratório Ciências da Natureza)</t>
    </r>
  </si>
  <si>
    <r>
      <rPr>
        <rFont val="Calibri"/>
        <b/>
        <color theme="1"/>
        <sz val="11.0"/>
      </rPr>
      <t>16 (</t>
    </r>
    <r>
      <rPr>
        <rFont val="Calibri"/>
        <b/>
        <color rgb="FFFF0000"/>
        <sz val="11.0"/>
      </rPr>
      <t>Sendo 15 como salas de aula</t>
    </r>
    <r>
      <rPr>
        <rFont val="Calibri"/>
        <b/>
        <color theme="1"/>
        <sz val="11.0"/>
      </rPr>
      <t xml:space="preserve"> e 01 adaptada para  Laboratório Informática)</t>
    </r>
  </si>
  <si>
    <r>
      <rPr>
        <rFont val="Calibri"/>
        <b/>
        <color theme="1"/>
        <sz val="11.0"/>
      </rPr>
      <t>10 (</t>
    </r>
    <r>
      <rPr>
        <rFont val="Calibri"/>
        <b/>
        <color rgb="FFFF0000"/>
        <sz val="11.0"/>
      </rPr>
      <t>Sendo 9 como salas de aula</t>
    </r>
    <r>
      <rPr>
        <rFont val="Calibri"/>
        <b/>
        <color theme="1"/>
        <sz val="11.0"/>
      </rPr>
      <t xml:space="preserve"> e 01 improvisada como deposito)</t>
    </r>
  </si>
  <si>
    <t>7 +  2 (Adapt)</t>
  </si>
  <si>
    <r>
      <rPr>
        <rFont val="Calibri"/>
        <b/>
        <color theme="1"/>
        <sz val="11.0"/>
      </rPr>
      <t>6 (</t>
    </r>
    <r>
      <rPr>
        <rFont val="Calibri"/>
        <b/>
        <color rgb="FFFF0000"/>
        <sz val="11.0"/>
      </rPr>
      <t>sendo 04 sala de aula</t>
    </r>
    <r>
      <rPr>
        <rFont val="Calibri"/>
        <b/>
        <color theme="1"/>
        <sz val="11.0"/>
      </rPr>
      <t>, 01 sala adaptada para informática e 01 sala adaptada para secretaria)</t>
    </r>
  </si>
  <si>
    <t>10 + 02 Adapt.</t>
  </si>
  <si>
    <r>
      <rPr>
        <rFont val="Calibri"/>
        <b/>
        <color theme="1"/>
        <sz val="11.0"/>
      </rPr>
      <t>12 salas,</t>
    </r>
    <r>
      <rPr>
        <rFont val="Calibri"/>
        <b/>
        <color rgb="FFFF0000"/>
        <sz val="11.0"/>
      </rPr>
      <t xml:space="preserve"> sendo 03 salas de aula</t>
    </r>
    <r>
      <rPr>
        <rFont val="Calibri"/>
        <b/>
        <color theme="1"/>
        <sz val="11.0"/>
      </rPr>
      <t>, 01 adaptada para sala de leitura, 01 para laboratório de química, 01 para laboratório de informática,
 01 para educação física, 01 para sala de vídeo e 04 salas multifuncionais.</t>
    </r>
  </si>
  <si>
    <t>05 + 03 (Adapt)</t>
  </si>
  <si>
    <r>
      <rPr>
        <rFont val="Calibri"/>
        <b/>
        <color theme="1"/>
        <sz val="11.0"/>
      </rPr>
      <t xml:space="preserve">12 ( </t>
    </r>
    <r>
      <rPr>
        <rFont val="Calibri"/>
        <b/>
        <color rgb="FFFF0000"/>
        <sz val="11.0"/>
      </rPr>
      <t>Sendo 09 salas utilizadas como salas de aula</t>
    </r>
    <r>
      <rPr>
        <rFont val="Calibri"/>
        <b/>
        <color theme="1"/>
        <sz val="11.0"/>
      </rPr>
      <t xml:space="preserve">,
01 biblioteca adaptada,
01 laboratório de informática adaptado e 
01 adaptada para sala de professor
</t>
    </r>
  </si>
  <si>
    <r>
      <rPr>
        <rFont val="Calibri"/>
        <b/>
        <color theme="1"/>
        <sz val="11.0"/>
      </rPr>
      <t xml:space="preserve">14 salas, </t>
    </r>
    <r>
      <rPr>
        <rFont val="Calibri"/>
        <b/>
        <color rgb="FFFF0000"/>
        <sz val="11.0"/>
      </rPr>
      <t>sendo 13 salas de aula e</t>
    </r>
    <r>
      <rPr>
        <rFont val="Calibri"/>
        <b/>
        <color theme="1"/>
        <sz val="11.0"/>
      </rPr>
      <t xml:space="preserve"> 01 sala adaptada para laboratório de física</t>
    </r>
  </si>
  <si>
    <r>
      <rPr>
        <rFont val="Calibri"/>
        <b/>
        <color theme="1"/>
        <sz val="11.0"/>
      </rPr>
      <t xml:space="preserve">11 salas, </t>
    </r>
    <r>
      <rPr>
        <rFont val="Calibri"/>
        <b/>
        <color rgb="FFFF0000"/>
        <sz val="11.0"/>
      </rPr>
      <t>sendo 10 salas de aula e</t>
    </r>
    <r>
      <rPr>
        <rFont val="Calibri"/>
        <b/>
        <color theme="1"/>
        <sz val="11.0"/>
      </rPr>
      <t xml:space="preserve"> 01 adaptada para lab. ciências.   </t>
    </r>
  </si>
  <si>
    <r>
      <rPr>
        <rFont val="Calibri"/>
        <b/>
        <color theme="1"/>
        <sz val="11.0"/>
      </rPr>
      <t xml:space="preserve">20 salas de aula, </t>
    </r>
    <r>
      <rPr>
        <rFont val="Calibri"/>
        <b/>
        <color rgb="FFFF0000"/>
        <sz val="11.0"/>
      </rPr>
      <t>sendo 11 salas de aula e</t>
    </r>
    <r>
      <rPr>
        <rFont val="Calibri"/>
        <b/>
        <color theme="1"/>
        <sz val="11.0"/>
      </rPr>
      <t xml:space="preserve"> 09 adaptadas para: 02 lab. Informática, 01 ciências, 01 matemática, 01 química, 01 física; 01 sala multimídia, 01 sala de leitura e 01 sala de artes maciais.</t>
    </r>
  </si>
  <si>
    <t>08+01 Adapt.</t>
  </si>
  <si>
    <r>
      <rPr>
        <rFont val="Calibri, Arial"/>
        <b/>
        <color rgb="FF000000"/>
        <sz val="11.0"/>
      </rPr>
      <t xml:space="preserve">25 salas, </t>
    </r>
    <r>
      <rPr>
        <rFont val="Calibri, Arial"/>
        <b/>
        <color rgb="FFFF0000"/>
        <sz val="11.0"/>
      </rPr>
      <t>sendo 22 salas de aula e</t>
    </r>
    <r>
      <rPr>
        <rFont val="Calibri, Arial"/>
        <b/>
        <color rgb="FF000000"/>
        <sz val="11.0"/>
      </rPr>
      <t xml:space="preserve"> 03 adaptadas para o Educa Mais Bahia</t>
    </r>
  </si>
  <si>
    <r>
      <rPr>
        <rFont val="Calibri"/>
        <b/>
        <color theme="1"/>
        <sz val="11.0"/>
      </rPr>
      <t xml:space="preserve">39 salas, </t>
    </r>
    <r>
      <rPr>
        <rFont val="Calibri"/>
        <b/>
        <color rgb="FFFF0000"/>
        <sz val="11.0"/>
      </rPr>
      <t>sendo 32 como sala de aula e</t>
    </r>
    <r>
      <rPr>
        <rFont val="Calibri"/>
        <b/>
        <color theme="1"/>
        <sz val="11.0"/>
      </rPr>
      <t xml:space="preserve"> 07 adaptadas: 01 para AEE, 01 sala de leitura, 01 para oficina do educa mais bahia, 01 para sala de grêmio,  01 sala de reuniões. 01 para sala de professores e 01 para coordenação.</t>
    </r>
  </si>
  <si>
    <r>
      <rPr>
        <rFont val="Calibri"/>
        <b/>
        <color theme="1"/>
        <sz val="11.0"/>
      </rPr>
      <t xml:space="preserve">23 salas, </t>
    </r>
    <r>
      <rPr>
        <rFont val="Calibri"/>
        <b/>
        <color rgb="FFFF0000"/>
        <sz val="11.0"/>
      </rPr>
      <t xml:space="preserve">sendo 22 utilizadas para aula e </t>
    </r>
    <r>
      <rPr>
        <rFont val="Calibri"/>
        <b/>
        <color theme="1"/>
        <sz val="11.0"/>
      </rPr>
      <t xml:space="preserve">01 adaptada para sala de Judô. </t>
    </r>
  </si>
  <si>
    <r>
      <rPr>
        <rFont val="Calibri"/>
        <b/>
        <color theme="1"/>
        <sz val="11.0"/>
      </rPr>
      <t>20 (</t>
    </r>
    <r>
      <rPr>
        <rFont val="Calibri"/>
        <b/>
        <color rgb="FFFF0000"/>
        <sz val="11.0"/>
      </rPr>
      <t xml:space="preserve">Sendo 18 salas de aulas e </t>
    </r>
    <r>
      <rPr>
        <rFont val="Calibri"/>
        <b/>
        <color theme="1"/>
        <sz val="11.0"/>
      </rPr>
      <t>02 adaptada; 01 laboratório de informática e 01 laboratório ciências)</t>
    </r>
  </si>
  <si>
    <r>
      <rPr>
        <rFont val="Calibri"/>
        <b/>
        <color theme="1"/>
        <sz val="11.0"/>
      </rPr>
      <t xml:space="preserve">19 salas, </t>
    </r>
    <r>
      <rPr>
        <rFont val="Calibri"/>
        <b/>
        <color rgb="FFFF0000"/>
        <sz val="11.0"/>
      </rPr>
      <t>sendo 16 salas de aula,</t>
    </r>
    <r>
      <rPr>
        <rFont val="Calibri"/>
        <b/>
        <color theme="1"/>
        <sz val="11.0"/>
      </rPr>
      <t xml:space="preserve"> 03 adaptadas: 01 para coordenação, 01 para sala de AEE e 01 para refeitório.
.</t>
    </r>
  </si>
  <si>
    <t>5 + 1 ( Adapt)</t>
  </si>
  <si>
    <t>7 + 1 ( Adapt)</t>
  </si>
  <si>
    <r>
      <rPr>
        <rFont val="Calibri"/>
        <b/>
        <color theme="1"/>
        <sz val="11.0"/>
      </rPr>
      <t>19 (</t>
    </r>
    <r>
      <rPr>
        <rFont val="Calibri"/>
        <b/>
        <color rgb="FFFF0000"/>
        <sz val="11.0"/>
      </rPr>
      <t>sendo 15 salas de aula,</t>
    </r>
    <r>
      <rPr>
        <rFont val="Calibri"/>
        <b/>
        <color theme="1"/>
        <sz val="11.0"/>
      </rPr>
      <t xml:space="preserve"> 01 adaptada para projetos artísticos, 01 para artes, 01 para laboratório de Gestão e Negócios e 01 para lab. de ciências)</t>
    </r>
  </si>
  <si>
    <r>
      <rPr>
        <rFont val="Calibri"/>
        <b/>
        <color rgb="FFFF0000"/>
        <sz val="11.0"/>
      </rPr>
      <t>14 salas de aula</t>
    </r>
    <r>
      <rPr>
        <rFont val="Calibri"/>
        <b/>
        <color theme="1"/>
        <sz val="11.0"/>
      </rPr>
      <t xml:space="preserve"> + 01 laboratório de ciências e 01 biblioteca adaptada para sala de aula</t>
    </r>
  </si>
  <si>
    <r>
      <rPr>
        <rFont val="Calibri"/>
        <b/>
        <color theme="1"/>
        <sz val="11.0"/>
      </rPr>
      <t xml:space="preserve">36 salas: </t>
    </r>
    <r>
      <rPr>
        <rFont val="Calibri"/>
        <b/>
        <color rgb="FFFF0000"/>
        <sz val="11.0"/>
      </rPr>
      <t>Sendo 35 salas de aula e</t>
    </r>
    <r>
      <rPr>
        <rFont val="Calibri"/>
        <b/>
        <color theme="1"/>
        <sz val="11.0"/>
      </rPr>
      <t xml:space="preserve"> 01 adaptada para coordenação</t>
    </r>
  </si>
  <si>
    <r>
      <rPr>
        <rFont val="Calibri"/>
        <b/>
        <color theme="1"/>
        <sz val="11.0"/>
      </rPr>
      <t xml:space="preserve">34 salas, </t>
    </r>
    <r>
      <rPr>
        <rFont val="Calibri"/>
        <b/>
        <color rgb="FFFF0000"/>
        <sz val="11.0"/>
      </rPr>
      <t xml:space="preserve">sendo 29 em uso pelo estado e </t>
    </r>
    <r>
      <rPr>
        <rFont val="Calibri"/>
        <b/>
        <color theme="1"/>
        <sz val="11.0"/>
      </rPr>
      <t>05 cedidas ao município.</t>
    </r>
  </si>
  <si>
    <r>
      <rPr>
        <rFont val="Calibri"/>
        <b/>
        <color theme="1"/>
        <sz val="11.0"/>
      </rPr>
      <t>24 (</t>
    </r>
    <r>
      <rPr>
        <rFont val="Calibri"/>
        <b/>
        <color rgb="FFFF0000"/>
        <sz val="11.0"/>
      </rPr>
      <t>sendo 15 para aulas</t>
    </r>
    <r>
      <rPr>
        <rFont val="Calibri"/>
        <b/>
        <color theme="1"/>
        <sz val="11.0"/>
      </rPr>
      <t xml:space="preserve"> e 09 para o educa mais)			</t>
    </r>
  </si>
  <si>
    <r>
      <t xml:space="preserve">
</t>
    </r>
    <r>
      <rPr>
        <rFont val="Calibri"/>
        <b/>
        <color theme="1"/>
        <sz val="11.0"/>
      </rPr>
      <t>24, sendo 2</t>
    </r>
    <r>
      <rPr>
        <rFont val="Calibri"/>
        <b/>
        <color rgb="FFFF0000"/>
        <sz val="11.0"/>
      </rPr>
      <t xml:space="preserve">2 utilizadas para aula </t>
    </r>
    <r>
      <rPr>
        <rFont val="Calibri"/>
        <b/>
        <color theme="1"/>
        <sz val="11.0"/>
      </rPr>
      <t>e 02 adaptadas para: 01 para reforço e 01 AEE.</t>
    </r>
  </si>
  <si>
    <t>10 + 03  (Adapt)</t>
  </si>
  <si>
    <r>
      <rPr>
        <rFont val="Calibri"/>
        <b/>
        <color theme="1"/>
        <sz val="11.0"/>
      </rPr>
      <t xml:space="preserve">17 salas, </t>
    </r>
    <r>
      <rPr>
        <rFont val="Calibri"/>
        <b/>
        <color rgb="FFFF0000"/>
        <sz val="11.0"/>
      </rPr>
      <t xml:space="preserve">sendo 12 para aula e </t>
    </r>
    <r>
      <rPr>
        <rFont val="Calibri"/>
        <b/>
        <color theme="1"/>
        <sz val="11.0"/>
      </rPr>
      <t xml:space="preserve">05 adaptadas (02 para refeitórios, 01 de laboratório de ciências, 01 biblioteca e 01 sala de jogos). </t>
    </r>
  </si>
  <si>
    <r>
      <rPr>
        <rFont val="Calibri"/>
        <b/>
        <color theme="1"/>
        <sz val="11.0"/>
      </rPr>
      <t>16 (</t>
    </r>
    <r>
      <rPr>
        <rFont val="Calibri"/>
        <b/>
        <color rgb="FFFF0000"/>
        <sz val="11.0"/>
      </rPr>
      <t>Sendo 15 como sala de aula</t>
    </r>
    <r>
      <rPr>
        <rFont val="Calibri"/>
        <b/>
        <color theme="1"/>
        <sz val="11.0"/>
      </rPr>
      <t xml:space="preserve"> e 1 Multimidia)</t>
    </r>
  </si>
  <si>
    <r>
      <rPr>
        <rFont val="Calibri"/>
        <b/>
        <color theme="1"/>
        <sz val="11.0"/>
      </rPr>
      <t>8 (</t>
    </r>
    <r>
      <rPr>
        <rFont val="Calibri"/>
        <b/>
        <color rgb="FFFF0000"/>
        <sz val="11.0"/>
      </rPr>
      <t>Sendo 7 como sala de aula</t>
    </r>
    <r>
      <rPr>
        <rFont val="Calibri"/>
        <b/>
        <color theme="1"/>
        <sz val="11.0"/>
      </rPr>
      <t xml:space="preserve"> e 1 Sala de jogos)</t>
    </r>
  </si>
  <si>
    <r>
      <rPr>
        <rFont val="Calibri"/>
        <b/>
        <color theme="1"/>
        <sz val="11.0"/>
      </rPr>
      <t>23 (</t>
    </r>
    <r>
      <rPr>
        <rFont val="Calibri"/>
        <b/>
        <color rgb="FFFF0000"/>
        <sz val="11.0"/>
      </rPr>
      <t>Sendo 20 como sala de aula</t>
    </r>
    <r>
      <rPr>
        <rFont val="Calibri"/>
        <b/>
        <color theme="1"/>
        <sz val="11.0"/>
      </rPr>
      <t>, 2 Salas de idioma e 1 Áudio visual</t>
    </r>
  </si>
  <si>
    <r>
      <rPr>
        <rFont val="Calibri"/>
        <b/>
        <color theme="1"/>
        <sz val="11.0"/>
      </rPr>
      <t>23 (</t>
    </r>
    <r>
      <rPr>
        <rFont val="Calibri"/>
        <b/>
        <color rgb="FFFF0000"/>
        <sz val="11.0"/>
      </rPr>
      <t>Sendo 13 como sala de aula</t>
    </r>
    <r>
      <rPr>
        <rFont val="Calibri"/>
        <b/>
        <color theme="1"/>
        <sz val="11.0"/>
      </rPr>
      <t>, 2 Multimidia, 1 Atividade física (Boxe), 1 Sala de guardar reserva de livros e 6 Salas Multifuncionais)</t>
    </r>
  </si>
  <si>
    <r>
      <rPr>
        <rFont val="Calibri"/>
        <b/>
        <color theme="1"/>
        <sz val="11.0"/>
      </rPr>
      <t xml:space="preserve">14 ( </t>
    </r>
    <r>
      <rPr>
        <rFont val="Calibri"/>
        <b/>
        <color rgb="FFFF0000"/>
        <sz val="11.0"/>
      </rPr>
      <t>Sendo 13 utilizadas com salas de aula</t>
    </r>
    <r>
      <rPr>
        <rFont val="Calibri"/>
        <b/>
        <color theme="1"/>
        <sz val="11.0"/>
      </rPr>
      <t xml:space="preserve">, e 01 sala de video adaptada) </t>
    </r>
  </si>
  <si>
    <r>
      <rPr>
        <rFont val="Calibri"/>
        <b/>
        <color theme="1"/>
        <sz val="11.0"/>
      </rPr>
      <t>12 (</t>
    </r>
    <r>
      <rPr>
        <rFont val="Calibri"/>
        <b/>
        <color rgb="FFFF0000"/>
        <sz val="11.0"/>
      </rPr>
      <t>sendo 9 como salas aula</t>
    </r>
    <r>
      <rPr>
        <rFont val="Calibri"/>
        <b/>
        <color theme="1"/>
        <sz val="11.0"/>
      </rPr>
      <t xml:space="preserve"> e 02 adaptadas para sala de multimidia)</t>
    </r>
  </si>
  <si>
    <r>
      <rPr>
        <rFont val="Calibri"/>
        <b/>
        <color theme="1"/>
        <sz val="11.0"/>
      </rPr>
      <t>12 (</t>
    </r>
    <r>
      <rPr>
        <rFont val="Calibri"/>
        <b/>
        <color rgb="FFFF0000"/>
        <sz val="11.0"/>
      </rPr>
      <t>Sendo 11 como salas de aula</t>
    </r>
    <r>
      <rPr>
        <rFont val="Calibri"/>
        <b/>
        <color theme="1"/>
        <sz val="11.0"/>
      </rPr>
      <t xml:space="preserve"> e 01 adaptada para sala de vídeo)</t>
    </r>
  </si>
  <si>
    <r>
      <rPr>
        <rFont val="Calibri"/>
        <b/>
        <color theme="1"/>
        <sz val="11.0"/>
      </rPr>
      <t>12 (</t>
    </r>
    <r>
      <rPr>
        <rFont val="Calibri"/>
        <b/>
        <color rgb="FFFF0000"/>
        <sz val="11.0"/>
      </rPr>
      <t>sendo 11 como salas de aula</t>
    </r>
    <r>
      <rPr>
        <rFont val="Calibri"/>
        <b/>
        <color theme="1"/>
        <sz val="11.0"/>
      </rPr>
      <t xml:space="preserve"> e 01 adaptada para biblioteca.</t>
    </r>
  </si>
  <si>
    <r>
      <rPr>
        <rFont val="Calibri"/>
        <b/>
        <color theme="1"/>
        <sz val="11.0"/>
      </rPr>
      <t>9 (</t>
    </r>
    <r>
      <rPr>
        <rFont val="Calibri"/>
        <b/>
        <color rgb="FFFF0000"/>
        <sz val="11.0"/>
      </rPr>
      <t>Sendo 08 como salas de aula</t>
    </r>
    <r>
      <rPr>
        <rFont val="Calibri"/>
        <b/>
        <color theme="1"/>
        <sz val="11.0"/>
      </rPr>
      <t xml:space="preserve"> e 01 adaptada para sala de multimidia)</t>
    </r>
  </si>
  <si>
    <r>
      <rPr>
        <rFont val="Calibri"/>
        <b/>
        <color theme="1"/>
        <sz val="11.0"/>
      </rPr>
      <t xml:space="preserve">35 salas, </t>
    </r>
    <r>
      <rPr>
        <rFont val="Calibri"/>
        <b/>
        <color rgb="FFFF0000"/>
        <sz val="11.0"/>
      </rPr>
      <t>sendo 33 salas de aula</t>
    </r>
    <r>
      <rPr>
        <rFont val="Calibri"/>
        <b/>
        <color theme="1"/>
        <sz val="11.0"/>
      </rPr>
      <t>, 01 adaptada para sala de vivências corporais e 01 adaptada para sala de AEE.</t>
    </r>
  </si>
  <si>
    <t>COLÉGIO ESTADUAL DE TEMPO INTEGRAL PROFESSORA MARIA BERNADETE BRANDÃO</t>
  </si>
  <si>
    <r>
      <rPr>
        <rFont val="Calibri"/>
        <b/>
        <color theme="1"/>
        <sz val="11.0"/>
      </rPr>
      <t>17 (</t>
    </r>
    <r>
      <rPr>
        <rFont val="Calibri"/>
        <b/>
        <color rgb="FFFF0000"/>
        <sz val="11.0"/>
      </rPr>
      <t xml:space="preserve">sendo 12 para aula e </t>
    </r>
    <r>
      <rPr>
        <rFont val="Calibri"/>
        <b/>
        <color theme="1"/>
        <sz val="11.0"/>
      </rPr>
      <t>05 adaptadas para biblioteca, 01 laboratório de informática, 01 sala multimídia, 01 copa e 01 dispensa)</t>
    </r>
  </si>
  <si>
    <r>
      <rPr>
        <rFont val="Calibri"/>
        <b/>
        <color rgb="FF000000"/>
        <sz val="11.0"/>
      </rPr>
      <t>32 (</t>
    </r>
    <r>
      <rPr>
        <rFont val="Calibri"/>
        <b/>
        <color rgb="FFFF0000"/>
        <sz val="11.0"/>
      </rPr>
      <t>sendo 23 como salas de aula</t>
    </r>
    <r>
      <rPr>
        <rFont val="Calibri"/>
        <b/>
        <color rgb="FF000000"/>
        <sz val="11.0"/>
      </rPr>
      <t>, 01 adaptada p/ biblioteca, 01 adaptada p/ dança , 01 adaptada p/ reunição e 05 adaptadas p/ laboratórios ( ed. física, matemática, linguagem, humanas e artes)</t>
    </r>
  </si>
  <si>
    <t>COLÉGIO ESTADUAL DE TEMPO INTEGRAL LOMANTO JUNIOR</t>
  </si>
  <si>
    <t xml:space="preserve">34 salas, sendo 24 no prédio novo e 10 no prédio antigo
Prédio novo: 19 como salas de aulas e 05 salas adaptadas para 1 sala de música 1 sala para biblioteca/direção/vice- direção, 1 sala de professores, 1 sala de jogos e 1 sala de informática.
Prédio antigo: 10 salas adaptadas para 04 laboratórios (biologia/química, física/matemática, mecânica e gastronomia),
 1 sala de artes marciais, 3 salas de dança, 1 sala de jogos, 1 sala para arquivo administrativo.
</t>
  </si>
  <si>
    <r>
      <rPr>
        <rFont val="Calibri"/>
        <b/>
        <color theme="1"/>
        <sz val="11.0"/>
      </rPr>
      <t>65 salas</t>
    </r>
    <r>
      <rPr>
        <rFont val="Calibri"/>
        <b/>
        <color rgb="FFFF0000"/>
        <sz val="11.0"/>
      </rPr>
      <t>, sendo 64 para aula e</t>
    </r>
    <r>
      <rPr>
        <rFont val="Calibri"/>
        <b/>
        <color theme="1"/>
        <sz val="11.0"/>
      </rPr>
      <t xml:space="preserve"> 01 adaptada para biblioteca </t>
    </r>
  </si>
  <si>
    <r>
      <rPr>
        <rFont val="Calibri"/>
        <b/>
        <color theme="1"/>
        <sz val="11.0"/>
      </rPr>
      <t>15 (</t>
    </r>
    <r>
      <rPr>
        <rFont val="Calibri"/>
        <b/>
        <color rgb="FFFF0000"/>
        <sz val="11.0"/>
      </rPr>
      <t xml:space="preserve"> Sendo 13 utilizadas como salas de aula</t>
    </r>
    <r>
      <rPr>
        <rFont val="Calibri"/>
        <b/>
        <color theme="1"/>
        <sz val="11.0"/>
      </rPr>
      <t xml:space="preserve"> e 02 salas multifuncionais) </t>
    </r>
  </si>
  <si>
    <r>
      <rPr>
        <rFont val="Calibri"/>
        <color theme="1"/>
        <sz val="11.0"/>
      </rPr>
      <t>COLÉGIO ESTADUAL ALFREDO MAGALHAES</t>
    </r>
    <r>
      <rPr>
        <rFont val="Tahoma"/>
        <color rgb="FF000000"/>
        <sz val="6.0"/>
      </rPr>
      <t> </t>
    </r>
  </si>
  <si>
    <t>COLEGIO ESTADUAL FREDERICO COSTA</t>
  </si>
  <si>
    <r>
      <rPr>
        <rFont val="Calibri"/>
        <color theme="1"/>
        <sz val="10.0"/>
      </rPr>
      <t xml:space="preserve"> COLÉGIO ESTADUAL DE TEMPO INTEGRAL DA RIBEIRA
</t>
    </r>
    <r>
      <rPr>
        <rFont val="Calibri"/>
        <b/>
        <color theme="1"/>
        <sz val="10.0"/>
      </rPr>
      <t>(ANTIGO: CE PRESIDENTE COSTA E SILVA)</t>
    </r>
  </si>
  <si>
    <r>
      <rPr>
        <rFont val="Calibri"/>
        <b/>
        <color theme="1"/>
        <sz val="11.0"/>
      </rPr>
      <t xml:space="preserve">28( </t>
    </r>
    <r>
      <rPr>
        <rFont val="Calibri"/>
        <b/>
        <color rgb="FFFF0000"/>
        <sz val="11.0"/>
      </rPr>
      <t xml:space="preserve">Sendo 23 utilizadas como salas de aula </t>
    </r>
    <r>
      <rPr>
        <rFont val="Calibri"/>
        <b/>
        <color theme="1"/>
        <sz val="11.0"/>
      </rPr>
      <t xml:space="preserve">e 5 salas multifuncionais) </t>
    </r>
  </si>
  <si>
    <r>
      <rPr>
        <rFont val="Calibri"/>
        <b/>
        <color theme="1"/>
        <sz val="11.0"/>
      </rPr>
      <t xml:space="preserve">24 salas, </t>
    </r>
    <r>
      <rPr>
        <rFont val="Calibri"/>
        <b/>
        <color rgb="FFFF0000"/>
        <sz val="11.0"/>
      </rPr>
      <t>sendo 19 utilizadas para aula</t>
    </r>
    <r>
      <rPr>
        <rFont val="Calibri"/>
        <b/>
        <color theme="1"/>
        <sz val="11.0"/>
      </rPr>
      <t xml:space="preserve">, 03 sem uso, 01 adaptada para depósito e 01 adaptada para sala de AEE. </t>
    </r>
  </si>
  <si>
    <t>11 + 01 (Adapt)</t>
  </si>
  <si>
    <r>
      <rPr>
        <rFont val="Calibri, sans-serif"/>
        <b/>
        <color rgb="FF000000"/>
        <sz val="11.0"/>
      </rPr>
      <t>7 (</t>
    </r>
    <r>
      <rPr>
        <rFont val="Calibri, sans-serif"/>
        <b/>
        <color rgb="FFFF0000"/>
        <sz val="11.0"/>
      </rPr>
      <t>Sendo 06 como salas de aula</t>
    </r>
    <r>
      <rPr>
        <rFont val="Calibri, sans-serif"/>
        <b/>
        <color rgb="FF000000"/>
        <sz val="11.0"/>
      </rPr>
      <t xml:space="preserve"> e 01 adaptada para biblioteca)</t>
    </r>
  </si>
  <si>
    <r>
      <rPr>
        <rFont val="Calibri, sans-serif"/>
        <b/>
        <color rgb="FF000000"/>
        <sz val="11.0"/>
      </rPr>
      <t>19 (</t>
    </r>
    <r>
      <rPr>
        <rFont val="Calibri, sans-serif"/>
        <b/>
        <color rgb="FFFF0000"/>
        <sz val="11.0"/>
      </rPr>
      <t xml:space="preserve">Sendo 17 como salas de aula, </t>
    </r>
    <r>
      <rPr>
        <rFont val="Calibri, sans-serif"/>
        <b/>
        <color rgb="FF000000"/>
        <sz val="11.0"/>
      </rPr>
      <t>01 adaptada para sala de esportes e 01 adaptada para fanfarra)</t>
    </r>
  </si>
  <si>
    <r>
      <rPr>
        <rFont val="Calibri, sans-serif"/>
        <b/>
        <color rgb="FF000000"/>
        <sz val="11.0"/>
      </rPr>
      <t>9 (</t>
    </r>
    <r>
      <rPr>
        <rFont val="Calibri, sans-serif"/>
        <b/>
        <color rgb="FFFF0000"/>
        <sz val="11.0"/>
      </rPr>
      <t>Sendo 08 como salas de aula</t>
    </r>
    <r>
      <rPr>
        <rFont val="Calibri, sans-serif"/>
        <b/>
        <color rgb="FF000000"/>
        <sz val="11.0"/>
      </rPr>
      <t xml:space="preserve"> e 01 adaptada para Atendimento Especializado Educacional - AEE)</t>
    </r>
  </si>
  <si>
    <r>
      <rPr>
        <rFont val="Calibri"/>
        <b/>
        <color theme="1"/>
        <sz val="11.0"/>
      </rPr>
      <t xml:space="preserve">06 salas, </t>
    </r>
    <r>
      <rPr>
        <rFont val="Calibri"/>
        <b/>
        <color rgb="FFFF0000"/>
        <sz val="11.0"/>
      </rPr>
      <t>sendo 05 salas de aula e</t>
    </r>
    <r>
      <rPr>
        <rFont val="Calibri"/>
        <b/>
        <color theme="1"/>
        <sz val="11.0"/>
      </rPr>
      <t xml:space="preserve"> 01 sala adaptada para laboratório de informática.</t>
    </r>
  </si>
  <si>
    <r>
      <rPr>
        <rFont val="Calibri"/>
        <b/>
        <color theme="1"/>
        <sz val="11.0"/>
      </rPr>
      <t xml:space="preserve">26 salas, </t>
    </r>
    <r>
      <rPr>
        <rFont val="Calibri"/>
        <b/>
        <color rgb="FFFF0000"/>
        <sz val="11.0"/>
      </rPr>
      <t>Sendo 23 utilizadas como salas de aula e</t>
    </r>
    <r>
      <rPr>
        <rFont val="Calibri"/>
        <b/>
        <color theme="1"/>
        <sz val="11.0"/>
      </rPr>
      <t xml:space="preserve"> 03 adaptadas para 01 CPA, 01 UFSB e 01 professor. </t>
    </r>
  </si>
  <si>
    <r>
      <rPr>
        <rFont val="Calibri"/>
        <b/>
        <color theme="1"/>
        <sz val="11.0"/>
      </rPr>
      <t xml:space="preserve">15 salas, </t>
    </r>
    <r>
      <rPr>
        <rFont val="Calibri"/>
        <b/>
        <color rgb="FFFF0000"/>
        <sz val="11.0"/>
      </rPr>
      <t>Sendo 14 utilizadas como salas de aula e</t>
    </r>
    <r>
      <rPr>
        <rFont val="Calibri"/>
        <b/>
        <color theme="1"/>
        <sz val="11.0"/>
      </rPr>
      <t xml:space="preserve"> 01 adaptada para sala de multimídia)</t>
    </r>
  </si>
  <si>
    <r>
      <rPr>
        <rFont val="Calibri"/>
        <b/>
        <color theme="1"/>
        <sz val="11.0"/>
      </rPr>
      <t xml:space="preserve">09 salas de aula, </t>
    </r>
    <r>
      <rPr>
        <rFont val="Calibri"/>
        <b/>
        <color rgb="FFFF0000"/>
        <sz val="11.0"/>
      </rPr>
      <t>sendo 07 como salas de aula e</t>
    </r>
    <r>
      <rPr>
        <rFont val="Calibri"/>
        <b/>
        <color theme="1"/>
        <sz val="11.0"/>
      </rPr>
      <t xml:space="preserve"> 02 adaptadas para laboratórios: 01 informática e 01 química.</t>
    </r>
  </si>
  <si>
    <r>
      <rPr>
        <rFont val="Calibri"/>
        <b/>
        <color theme="1"/>
        <sz val="11.0"/>
      </rPr>
      <t xml:space="preserve">07 ( </t>
    </r>
    <r>
      <rPr>
        <rFont val="Calibri"/>
        <b/>
        <color rgb="FFFF0000"/>
        <sz val="11.0"/>
      </rPr>
      <t xml:space="preserve">Sendo 06 para aula </t>
    </r>
    <r>
      <rPr>
        <rFont val="Calibri"/>
        <b/>
        <color theme="1"/>
        <sz val="11.0"/>
      </rPr>
      <t>e 01 adaptada para sala de leitura)</t>
    </r>
  </si>
  <si>
    <r>
      <rPr>
        <rFont val="Calibri"/>
        <b/>
        <color theme="1"/>
        <sz val="11.0"/>
      </rPr>
      <t>10 (</t>
    </r>
    <r>
      <rPr>
        <rFont val="Calibri"/>
        <b/>
        <color rgb="FFFF0000"/>
        <sz val="11.0"/>
      </rPr>
      <t>Sendo 8 como salas de aula</t>
    </r>
    <r>
      <rPr>
        <rFont val="Calibri"/>
        <b/>
        <color theme="1"/>
        <sz val="11.0"/>
      </rPr>
      <t>, 01 adaptada para sala de vídeo e  01 adaptada para sala de professores)</t>
    </r>
  </si>
  <si>
    <r>
      <rPr>
        <rFont val="Calibri, sans-serif"/>
        <b/>
        <color rgb="FF000000"/>
        <sz val="11.0"/>
      </rPr>
      <t>20 (</t>
    </r>
    <r>
      <rPr>
        <rFont val="Calibri, sans-serif"/>
        <b/>
        <color rgb="FFFF0000"/>
        <sz val="11.0"/>
      </rPr>
      <t xml:space="preserve">Sendo 17 como salas de aula </t>
    </r>
    <r>
      <rPr>
        <rFont val="Calibri, sans-serif"/>
        <b/>
        <color rgb="FF000000"/>
        <sz val="11.0"/>
      </rPr>
      <t>e 01 adaptada para sala de leitura e 02 adaptadas para laboratórios: fisica/matematica e quimica/biologia)</t>
    </r>
  </si>
  <si>
    <r>
      <rPr>
        <rFont val="Calibri, sans-serif"/>
        <b/>
        <color rgb="FF000000"/>
        <sz val="11.0"/>
      </rPr>
      <t>14 (</t>
    </r>
    <r>
      <rPr>
        <rFont val="Calibri, sans-serif"/>
        <b/>
        <color rgb="FFFF0000"/>
        <sz val="11.0"/>
      </rPr>
      <t>Sendo 07 como salas de aula,</t>
    </r>
    <r>
      <rPr>
        <rFont val="Calibri, sans-serif"/>
        <b/>
        <color rgb="FF000000"/>
        <sz val="11.0"/>
      </rPr>
      <t xml:space="preserve"> e 07 adaptadas: 01 multifuncional, 01 laboratório de quimica/biologia, 01 biblioteca, 01 leitura, 01 sala de professores, 01 sala de artes, 01 secretaria)</t>
    </r>
  </si>
  <si>
    <r>
      <rPr>
        <rFont val="Calibri, sans-serif"/>
        <b/>
        <color rgb="FF000000"/>
        <sz val="11.0"/>
      </rPr>
      <t>08 (</t>
    </r>
    <r>
      <rPr>
        <rFont val="Calibri, sans-serif"/>
        <b/>
        <color rgb="FFFF0000"/>
        <sz val="11.0"/>
      </rPr>
      <t>Sendo 07 como salas de aula</t>
    </r>
    <r>
      <rPr>
        <rFont val="Calibri, sans-serif"/>
        <b/>
        <color rgb="FF000000"/>
        <sz val="11.0"/>
      </rPr>
      <t xml:space="preserve"> e 01 adaptada para laboratório de ciências)</t>
    </r>
  </si>
  <si>
    <r>
      <rPr>
        <rFont val="Calibri, sans-serif"/>
        <b/>
        <color rgb="FF000000"/>
        <sz val="11.0"/>
      </rPr>
      <t>27 (</t>
    </r>
    <r>
      <rPr>
        <rFont val="Calibri, sans-serif"/>
        <b/>
        <color rgb="FFFF0000"/>
        <sz val="11.0"/>
      </rPr>
      <t>Sendo 25 como salas de aula,</t>
    </r>
    <r>
      <rPr>
        <rFont val="Calibri, sans-serif"/>
        <b/>
        <color rgb="FF000000"/>
        <sz val="11.0"/>
      </rPr>
      <t xml:space="preserve"> 02 adaptadas para salas de multimidia)</t>
    </r>
  </si>
  <si>
    <r>
      <rPr>
        <rFont val="Calibri"/>
        <b/>
        <color theme="1"/>
        <sz val="11.0"/>
      </rPr>
      <t>10 (</t>
    </r>
    <r>
      <rPr>
        <rFont val="Calibri"/>
        <b/>
        <color rgb="FFFF0000"/>
        <sz val="11.0"/>
      </rPr>
      <t>Sendo 08 salas de aula utilizada pelo Colégio</t>
    </r>
    <r>
      <rPr>
        <rFont val="Calibri"/>
        <b/>
        <color theme="1"/>
        <sz val="11.0"/>
      </rPr>
      <t xml:space="preserve"> e 02 salas + o laboratório de ciências que foi adaptado para sala de aula são utilizadas pela Universidade Federal do Sul da Bahia.</t>
    </r>
  </si>
  <si>
    <t>TODOS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</si>
</sst>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yyyy"/>
    <numFmt numFmtId="166" formatCode="dd/MM/yyyy"/>
  </numFmts>
  <fonts count="53">
    <font>
      <sz val="11.0"/>
      <color theme="1"/>
      <name val="Calibri"/>
      <scheme val="minor"/>
    </font>
    <font>
      <b/>
      <sz val="31.0"/>
      <color rgb="FF000000"/>
      <name val="Calibri"/>
    </font>
    <font/>
    <font>
      <b/>
      <sz val="31.0"/>
      <color theme="1"/>
      <name val="Calibri"/>
    </font>
    <font>
      <b/>
      <sz val="11.0"/>
      <color rgb="FF000000"/>
      <name val="Calibri"/>
    </font>
    <font>
      <b/>
      <sz val="12.0"/>
      <color theme="1"/>
      <name val="Calibri"/>
    </font>
    <font>
      <b/>
      <sz val="26.0"/>
      <color theme="1"/>
      <name val="Calibri"/>
    </font>
    <font>
      <b/>
      <sz val="10.0"/>
      <color theme="1"/>
      <name val="Calibri"/>
    </font>
    <font>
      <b/>
      <sz val="9.0"/>
      <color theme="1"/>
      <name val="Calibri"/>
    </font>
    <font>
      <b/>
      <sz val="13.0"/>
      <color rgb="FF000000"/>
      <name val="Calibri"/>
    </font>
    <font>
      <b/>
      <sz val="11.0"/>
      <color theme="1"/>
      <name val="Calibri"/>
    </font>
    <font>
      <color theme="1"/>
      <name val="Calibri"/>
      <scheme val="minor"/>
    </font>
    <font>
      <b/>
      <sz val="17.0"/>
      <color theme="1"/>
      <name val="Calibri"/>
    </font>
    <font>
      <b/>
      <sz val="8.0"/>
      <color theme="1"/>
      <name val="Calibri"/>
    </font>
    <font>
      <b/>
      <sz val="13.0"/>
      <color theme="1"/>
      <name val="Calibri"/>
    </font>
    <font>
      <sz val="12.0"/>
      <color theme="1"/>
      <name val="Calibri"/>
    </font>
    <font>
      <b/>
      <sz val="13.0"/>
      <color rgb="FFFF0000"/>
      <name val="Calibri"/>
    </font>
    <font>
      <sz val="11.0"/>
      <color theme="1"/>
      <name val="Calibri"/>
    </font>
    <font>
      <u/>
      <sz val="11.0"/>
      <color rgb="FF0000FF"/>
      <name val="Calibri"/>
    </font>
    <font>
      <b/>
      <sz val="14.0"/>
      <color theme="1"/>
      <name val="Calibri"/>
    </font>
    <font>
      <sz val="11.0"/>
      <color rgb="FF000000"/>
      <name val="Calibri"/>
    </font>
    <font>
      <sz val="6.0"/>
      <color theme="1"/>
      <name val="Calibri"/>
    </font>
    <font>
      <u/>
      <sz val="11.0"/>
      <color rgb="FF0000FF"/>
      <name val="Calibri"/>
    </font>
    <font>
      <b/>
      <sz val="11.0"/>
      <color rgb="FFFF0000"/>
      <name val="Calibri"/>
    </font>
    <font>
      <b/>
      <sz val="11.0"/>
      <color rgb="FFD99594"/>
      <name val="Calibri"/>
    </font>
    <font>
      <sz val="10.0"/>
      <color theme="1"/>
      <name val="Calibri"/>
      <scheme val="minor"/>
    </font>
    <font>
      <sz val="11.0"/>
      <color rgb="FFFF0000"/>
      <name val="Calibri"/>
    </font>
    <font>
      <color theme="1"/>
      <name val="Calibri"/>
    </font>
    <font>
      <b/>
      <sz val="29.0"/>
      <color theme="1"/>
      <name val="Calibri"/>
    </font>
    <font>
      <b/>
      <sz val="12.0"/>
      <color rgb="FF000000"/>
      <name val="Calibri"/>
    </font>
    <font>
      <sz val="10.0"/>
      <color theme="1"/>
      <name val="Calibri"/>
    </font>
    <font>
      <sz val="9.0"/>
      <color theme="1"/>
      <name val="Calibri"/>
    </font>
    <font>
      <sz val="9.0"/>
      <color theme="1"/>
      <name val="Calibri"/>
      <scheme val="minor"/>
    </font>
    <font>
      <b/>
      <sz val="14.0"/>
      <color rgb="FF000000"/>
      <name val="Calibri"/>
    </font>
    <font>
      <b/>
      <sz val="10.0"/>
      <color rgb="FF000000"/>
      <name val="Calibri"/>
    </font>
    <font>
      <sz val="11.0"/>
      <color rgb="FF000000"/>
      <name val="&quot;Calibri\"/>
    </font>
    <font>
      <sz val="11.0"/>
      <color rgb="FF000000"/>
      <name val="Calibri"/>
      <scheme val="minor"/>
    </font>
    <font>
      <u/>
      <sz val="11.0"/>
      <color rgb="FF0000FF"/>
      <name val="Calibri"/>
    </font>
    <font>
      <b/>
      <color rgb="FF000000"/>
      <name val="Calibri"/>
    </font>
    <font>
      <b/>
      <sz val="14.0"/>
      <color theme="1"/>
      <name val="Montserrat"/>
    </font>
    <font>
      <b/>
      <sz val="20.0"/>
      <color theme="1"/>
      <name val="Oswald"/>
    </font>
    <font>
      <sz val="14.0"/>
      <color theme="1"/>
      <name val="Calibri"/>
    </font>
    <font>
      <sz val="10.0"/>
      <color rgb="FF000000"/>
      <name val="&quot;Calibri\"/>
    </font>
    <font>
      <sz val="9.0"/>
      <color rgb="FF000000"/>
      <name val="Calibri"/>
    </font>
    <font>
      <sz val="11.0"/>
      <color rgb="FF4A86E8"/>
      <name val="Calibri"/>
    </font>
    <font>
      <u/>
      <sz val="11.0"/>
      <color rgb="FF0000FF"/>
      <name val="Calibri"/>
    </font>
    <font>
      <u/>
      <sz val="11.0"/>
      <color rgb="FF0000FF"/>
      <name val="Calibri"/>
    </font>
    <font>
      <color rgb="FF434343"/>
      <name val="Roboto"/>
    </font>
    <font>
      <color theme="1"/>
      <name val="Arial"/>
    </font>
    <font>
      <sz val="9.0"/>
      <color theme="1"/>
      <name val="Arial"/>
    </font>
    <font>
      <sz val="20.0"/>
      <color theme="1"/>
      <name val="Calibri"/>
    </font>
    <font>
      <b/>
      <sz val="8.0"/>
      <color theme="1"/>
      <name val="Arial"/>
    </font>
    <font>
      <b/>
      <sz val="9.0"/>
      <color theme="1"/>
      <name val="Arial"/>
    </font>
  </fonts>
  <fills count="38">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FFF2CC"/>
        <bgColor rgb="FFFFF2CC"/>
      </patternFill>
    </fill>
    <fill>
      <patternFill patternType="solid">
        <fgColor rgb="FFD9EAD3"/>
        <bgColor rgb="FFD9EAD3"/>
      </patternFill>
    </fill>
    <fill>
      <patternFill patternType="solid">
        <fgColor rgb="FF6FA8DC"/>
        <bgColor rgb="FF6FA8DC"/>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
      <patternFill patternType="solid">
        <fgColor rgb="FFD9D9D9"/>
        <bgColor rgb="FFD9D9D9"/>
      </patternFill>
    </fill>
    <fill>
      <patternFill patternType="solid">
        <fgColor rgb="FFF4CCCC"/>
        <bgColor rgb="FFF4CCCC"/>
      </patternFill>
    </fill>
    <fill>
      <patternFill patternType="solid">
        <fgColor rgb="FFCCCCCC"/>
        <bgColor rgb="FFCCCCCC"/>
      </patternFill>
    </fill>
    <fill>
      <patternFill patternType="solid">
        <fgColor rgb="FFF7F4CD"/>
        <bgColor rgb="FFF7F4CD"/>
      </patternFill>
    </fill>
    <fill>
      <patternFill patternType="solid">
        <fgColor theme="6"/>
        <bgColor theme="6"/>
      </patternFill>
    </fill>
    <fill>
      <patternFill patternType="solid">
        <fgColor theme="0"/>
        <bgColor theme="0"/>
      </patternFill>
    </fill>
    <fill>
      <patternFill patternType="solid">
        <fgColor rgb="FFF2DBDB"/>
        <bgColor rgb="FFF2DBDB"/>
      </patternFill>
    </fill>
    <fill>
      <patternFill patternType="solid">
        <fgColor rgb="FFDBE5F1"/>
        <bgColor rgb="FFDBE5F1"/>
      </patternFill>
    </fill>
    <fill>
      <patternFill patternType="solid">
        <fgColor rgb="FFEAF1DD"/>
        <bgColor rgb="FFEAF1DD"/>
      </patternFill>
    </fill>
    <fill>
      <patternFill patternType="solid">
        <fgColor rgb="FFB4A7D6"/>
        <bgColor rgb="FFB4A7D6"/>
      </patternFill>
    </fill>
    <fill>
      <patternFill patternType="solid">
        <fgColor rgb="FFFFFF00"/>
        <bgColor rgb="FFFFFF00"/>
      </patternFill>
    </fill>
    <fill>
      <patternFill patternType="solid">
        <fgColor rgb="FF00FF00"/>
        <bgColor rgb="FF00FF00"/>
      </patternFill>
    </fill>
    <fill>
      <patternFill patternType="solid">
        <fgColor rgb="FFE6B8AF"/>
        <bgColor rgb="FFE6B8AF"/>
      </patternFill>
    </fill>
    <fill>
      <patternFill patternType="solid">
        <fgColor rgb="FFE5DFEC"/>
        <bgColor rgb="FFE5DFEC"/>
      </patternFill>
    </fill>
    <fill>
      <patternFill patternType="solid">
        <fgColor rgb="FFFBD4B4"/>
        <bgColor rgb="FFFBD4B4"/>
      </patternFill>
    </fill>
    <fill>
      <patternFill patternType="solid">
        <fgColor rgb="FFB6D7A8"/>
        <bgColor rgb="FFB6D7A8"/>
      </patternFill>
    </fill>
    <fill>
      <patternFill patternType="solid">
        <fgColor rgb="FFCCC0D9"/>
        <bgColor rgb="FFCCC0D9"/>
      </patternFill>
    </fill>
    <fill>
      <patternFill patternType="solid">
        <fgColor rgb="FF8E7CC3"/>
        <bgColor rgb="FF8E7CC3"/>
      </patternFill>
    </fill>
    <fill>
      <patternFill patternType="solid">
        <fgColor rgb="FF6AA84F"/>
        <bgColor rgb="FF6AA84F"/>
      </patternFill>
    </fill>
    <fill>
      <patternFill patternType="solid">
        <fgColor rgb="FFA5A5A5"/>
        <bgColor rgb="FFA5A5A5"/>
      </patternFill>
    </fill>
    <fill>
      <patternFill patternType="solid">
        <fgColor rgb="FFFF0000"/>
        <bgColor rgb="FFFF0000"/>
      </patternFill>
    </fill>
    <fill>
      <patternFill patternType="solid">
        <fgColor rgb="FFB7B7B7"/>
        <bgColor rgb="FFB7B7B7"/>
      </patternFill>
    </fill>
    <fill>
      <patternFill patternType="solid">
        <fgColor rgb="FFF3F3F3"/>
        <bgColor rgb="FFF3F3F3"/>
      </patternFill>
    </fill>
    <fill>
      <patternFill patternType="solid">
        <fgColor rgb="FFEAD1DC"/>
        <bgColor rgb="FFEAD1DC"/>
      </patternFill>
    </fill>
    <fill>
      <patternFill patternType="solid">
        <fgColor rgb="FFFFE599"/>
        <bgColor rgb="FFFFE599"/>
      </patternFill>
    </fill>
    <fill>
      <patternFill patternType="solid">
        <fgColor rgb="FFBFBFBF"/>
        <bgColor rgb="FFBFBFBF"/>
      </patternFill>
    </fill>
    <fill>
      <patternFill patternType="solid">
        <fgColor rgb="FF00FFFF"/>
        <bgColor rgb="FF00FFFF"/>
      </patternFill>
    </fill>
    <fill>
      <patternFill patternType="solid">
        <fgColor rgb="FFD99594"/>
        <bgColor rgb="FFD99594"/>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ck">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border>
    <border>
      <left style="medium">
        <color rgb="FF000000"/>
      </left>
      <right style="thin">
        <color rgb="FF000000"/>
      </right>
      <bottom style="thin">
        <color rgb="FF000000"/>
      </bottom>
    </border>
    <border>
      <right style="thick">
        <color rgb="FF000000"/>
      </right>
      <bottom style="thin">
        <color rgb="FF000000"/>
      </bottom>
    </border>
    <border>
      <left style="thin">
        <color rgb="FF000000"/>
      </left>
      <right/>
      <top style="thin">
        <color rgb="FF000000"/>
      </top>
      <bottom style="thin">
        <color rgb="FF000000"/>
      </bottom>
    </border>
    <border>
      <left style="medium">
        <color rgb="FF000000"/>
      </left>
    </border>
    <border>
      <left style="medium">
        <color rgb="FF000000"/>
      </left>
      <right style="thin">
        <color rgb="FF000000"/>
      </right>
      <top style="thin">
        <color rgb="FF000000"/>
      </top>
    </border>
    <border>
      <left style="thin">
        <color rgb="FF000000"/>
      </left>
      <top style="thin">
        <color rgb="FF000000"/>
      </top>
    </border>
    <border>
      <left/>
      <right style="thin">
        <color rgb="FF000000"/>
      </right>
      <top style="thin">
        <color rgb="FF000000"/>
      </top>
      <bottom style="thin">
        <color rgb="FF000000"/>
      </bottom>
    </border>
    <border>
      <right style="thin">
        <color rgb="FF000000"/>
      </right>
      <top style="thin">
        <color rgb="FF000000"/>
      </top>
    </border>
    <border>
      <left/>
      <right/>
      <top/>
      <bottom/>
    </border>
    <border>
      <left style="thin">
        <color rgb="FF000000"/>
      </left>
      <bottom/>
    </border>
    <border>
      <left/>
      <right/>
      <bottom/>
    </border>
    <border>
      <left style="thin">
        <color rgb="FF000000"/>
      </left>
      <right/>
      <top style="thin">
        <color rgb="FF000000"/>
      </top>
      <bottom/>
    </border>
    <border>
      <left style="thin">
        <color rgb="FF000000"/>
      </left>
      <right/>
      <top style="thin">
        <color rgb="FF000000"/>
      </top>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right style="thick">
        <color rgb="FF000000"/>
      </right>
      <top style="thin">
        <color rgb="FF000000"/>
      </top>
    </border>
    <border>
      <left style="thick">
        <color rgb="FF000000"/>
      </left>
      <right style="thick">
        <color rgb="FF000000"/>
      </right>
      <top style="thick">
        <color rgb="FF000000"/>
      </top>
      <bottom style="thick">
        <color rgb="FF000000"/>
      </bottom>
    </border>
    <border>
      <left/>
      <right/>
      <top style="thin">
        <color rgb="FF000000"/>
      </top>
      <bottom style="thin">
        <color rgb="FF000000"/>
      </bottom>
    </border>
    <border>
      <left style="thin">
        <color rgb="FF000000"/>
      </left>
      <bottom style="thin">
        <color rgb="FF000000"/>
      </bottom>
    </border>
    <border>
      <left style="thin">
        <color rgb="FF000000"/>
      </left>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bottom/>
    </border>
    <border>
      <left style="medium">
        <color rgb="FF000000"/>
      </left>
      <right style="medium">
        <color rgb="FF000000"/>
      </right>
      <top style="thin">
        <color rgb="FF000000"/>
      </top>
    </border>
    <border>
      <left style="medium">
        <color rgb="FF000000"/>
      </left>
      <right/>
      <top style="medium">
        <color rgb="FF000000"/>
      </top>
      <bottom/>
    </border>
    <border>
      <left style="medium">
        <color rgb="FF000000"/>
      </left>
      <right style="medium">
        <color rgb="FF000000"/>
      </right>
      <top/>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66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readingOrder="0" shrinkToFit="0" vertical="center" wrapText="1"/>
    </xf>
    <xf borderId="1" fillId="2" fontId="4" numFmtId="164" xfId="0" applyAlignment="1" applyBorder="1" applyFill="1" applyFont="1" applyNumberFormat="1">
      <alignment horizontal="center" readingOrder="0" vertical="center"/>
    </xf>
    <xf borderId="0" fillId="2" fontId="5" numFmtId="164" xfId="0" applyAlignment="1" applyFill="1" applyFont="1" applyNumberFormat="1">
      <alignment horizontal="center" readingOrder="0" shrinkToFit="0" vertical="center" wrapText="1"/>
    </xf>
    <xf borderId="4" fillId="3" fontId="5" numFmtId="164" xfId="0" applyAlignment="1" applyBorder="1" applyFill="1" applyFont="1" applyNumberFormat="1">
      <alignment horizontal="center" shrinkToFit="0" vertical="center" wrapText="1"/>
    </xf>
    <xf borderId="0" fillId="2" fontId="6" numFmtId="0" xfId="0" applyAlignment="1" applyFill="1" applyFont="1">
      <alignment horizontal="center" vertical="center"/>
    </xf>
    <xf borderId="0" fillId="4" fontId="7" numFmtId="164" xfId="0" applyAlignment="1" applyFill="1" applyFont="1" applyNumberFormat="1">
      <alignment horizontal="center" readingOrder="0" shrinkToFit="0" vertical="center" wrapText="1"/>
    </xf>
    <xf borderId="4" fillId="3" fontId="5" numFmtId="164" xfId="0" applyAlignment="1" applyBorder="1" applyFill="1" applyFont="1" applyNumberFormat="1">
      <alignment horizontal="center" readingOrder="0" shrinkToFit="0" vertical="center" wrapText="1"/>
    </xf>
    <xf borderId="0" fillId="5" fontId="7" numFmtId="0" xfId="0" applyAlignment="1" applyFill="1" applyFont="1">
      <alignment horizontal="center" readingOrder="0" shrinkToFit="0" vertical="center" wrapText="1"/>
    </xf>
    <xf borderId="0" fillId="2" fontId="6"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4" fillId="3" fontId="5"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2" fontId="6" numFmtId="0" xfId="0" applyAlignment="1" applyFill="1" applyFont="1">
      <alignment horizontal="center"/>
    </xf>
    <xf borderId="0" fillId="0" fontId="8"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4" fillId="3" fontId="5" numFmtId="0" xfId="0" applyAlignment="1" applyBorder="1" applyFill="1" applyFont="1">
      <alignment horizontal="center" shrinkToFit="0" vertical="center" wrapText="1"/>
    </xf>
    <xf borderId="0" fillId="0" fontId="10" numFmtId="3" xfId="0" applyAlignment="1" applyFont="1" applyNumberFormat="1">
      <alignment horizontal="center" vertical="center"/>
    </xf>
    <xf borderId="0" fillId="2" fontId="11" numFmtId="0" xfId="0" applyFill="1" applyFont="1"/>
    <xf borderId="4" fillId="6" fontId="6" numFmtId="0" xfId="0" applyAlignment="1" applyBorder="1" applyFill="1" applyFont="1">
      <alignment horizontal="center" vertical="center"/>
    </xf>
    <xf borderId="0" fillId="0" fontId="10" numFmtId="3" xfId="0" applyAlignment="1" applyFont="1" applyNumberFormat="1">
      <alignment horizontal="center" shrinkToFit="0" vertical="center" wrapText="1"/>
    </xf>
    <xf borderId="1" fillId="7" fontId="6" numFmtId="0" xfId="0" applyAlignment="1" applyBorder="1" applyFill="1" applyFont="1">
      <alignment horizontal="center"/>
    </xf>
    <xf borderId="4" fillId="3" fontId="8" numFmtId="0" xfId="0" applyAlignment="1" applyBorder="1" applyFill="1" applyFont="1">
      <alignment horizontal="center" shrinkToFit="0" vertical="center" wrapText="1"/>
    </xf>
    <xf borderId="0" fillId="0" fontId="10" numFmtId="0" xfId="0" applyAlignment="1" applyFont="1">
      <alignment horizontal="left" readingOrder="0" shrinkToFit="0" vertical="center" wrapText="0"/>
    </xf>
    <xf borderId="4" fillId="3" fontId="8" numFmtId="0" xfId="0" applyAlignment="1" applyBorder="1" applyFill="1" applyFont="1">
      <alignment horizontal="center" readingOrder="0" shrinkToFit="0" vertical="center" wrapText="1"/>
    </xf>
    <xf borderId="2" fillId="7" fontId="6" numFmtId="0" xfId="0" applyAlignment="1" applyBorder="1" applyFill="1" applyFont="1">
      <alignment horizontal="center"/>
    </xf>
    <xf borderId="4" fillId="3" fontId="5" numFmtId="0" xfId="0" applyAlignment="1" applyBorder="1" applyFill="1" applyFont="1">
      <alignment horizontal="center" readingOrder="0" shrinkToFit="0" textRotation="90" vertical="center" wrapText="1"/>
    </xf>
    <xf borderId="5" fillId="0" fontId="2" numFmtId="0" xfId="0" applyBorder="1" applyFont="1"/>
    <xf borderId="4" fillId="3" fontId="7" numFmtId="0" xfId="0" applyAlignment="1" applyBorder="1" applyFill="1" applyFont="1">
      <alignment horizontal="center" readingOrder="0" shrinkToFit="0" textRotation="90" vertical="center" wrapText="1"/>
    </xf>
    <xf borderId="1" fillId="8" fontId="12" numFmtId="0" xfId="0" applyAlignment="1" applyBorder="1" applyFill="1" applyFont="1">
      <alignment horizontal="center" readingOrder="0" vertical="bottom"/>
    </xf>
    <xf borderId="6" fillId="0" fontId="2" numFmtId="0" xfId="0" applyBorder="1" applyFont="1"/>
    <xf borderId="2" fillId="9" fontId="12" numFmtId="0" xfId="0" applyAlignment="1" applyBorder="1" applyFill="1" applyFont="1">
      <alignment horizontal="center" readingOrder="0" vertical="bottom"/>
    </xf>
    <xf borderId="2" fillId="8" fontId="12" numFmtId="0" xfId="0" applyAlignment="1" applyBorder="1" applyFill="1" applyFont="1">
      <alignment horizontal="center" readingOrder="0" vertical="bottom"/>
    </xf>
    <xf borderId="7" fillId="9" fontId="12" numFmtId="0" xfId="0" applyAlignment="1" applyBorder="1" applyFill="1" applyFont="1">
      <alignment horizontal="center" readingOrder="0" vertical="bottom"/>
    </xf>
    <xf borderId="7" fillId="8" fontId="12" numFmtId="0" xfId="0" applyAlignment="1" applyBorder="1" applyFill="1" applyFont="1">
      <alignment horizontal="center" readingOrder="0" shrinkToFit="0" vertical="center" wrapText="1"/>
    </xf>
    <xf borderId="2" fillId="8" fontId="2" numFmtId="0" xfId="0" applyBorder="1" applyFill="1" applyFont="1"/>
    <xf borderId="3" fillId="8" fontId="2" numFmtId="0" xfId="0" applyBorder="1" applyFill="1" applyFont="1"/>
    <xf borderId="8" fillId="0" fontId="2" numFmtId="0" xfId="0" applyBorder="1" applyFont="1"/>
    <xf borderId="9" fillId="8" fontId="13" numFmtId="0" xfId="0" applyAlignment="1" applyBorder="1" applyFill="1" applyFont="1">
      <alignment horizontal="center" readingOrder="0" shrinkToFit="0" vertical="center" wrapText="1"/>
    </xf>
    <xf borderId="1" fillId="10" fontId="9" numFmtId="0" xfId="0" applyAlignment="1" applyBorder="1" applyFill="1" applyFont="1">
      <alignment horizontal="center" readingOrder="0" shrinkToFit="0" vertical="center" wrapText="1"/>
    </xf>
    <xf borderId="4" fillId="3" fontId="10" numFmtId="0" xfId="0" applyAlignment="1" applyBorder="1" applyFill="1" applyFont="1">
      <alignment horizontal="center" shrinkToFit="0" vertical="center" wrapText="1"/>
    </xf>
    <xf borderId="1" fillId="8" fontId="13" numFmtId="0" xfId="0" applyAlignment="1" applyBorder="1" applyFill="1" applyFont="1">
      <alignment horizontal="center" readingOrder="0" shrinkToFit="0" vertical="center" wrapText="1"/>
    </xf>
    <xf borderId="4" fillId="10" fontId="10" numFmtId="0" xfId="0" applyAlignment="1" applyBorder="1" applyFill="1" applyFont="1">
      <alignment horizontal="center" readingOrder="0" shrinkToFit="0" vertical="center" wrapText="1"/>
    </xf>
    <xf borderId="10" fillId="9" fontId="13" numFmtId="0" xfId="0" applyAlignment="1" applyBorder="1" applyFill="1" applyFont="1">
      <alignment horizontal="center" readingOrder="0" shrinkToFit="0" vertical="center" wrapText="1"/>
    </xf>
    <xf borderId="4" fillId="11" fontId="7" numFmtId="0" xfId="0" applyAlignment="1" applyBorder="1" applyFill="1" applyFont="1">
      <alignment horizontal="center" readingOrder="0" shrinkToFit="0" textRotation="90" vertical="center" wrapText="1"/>
    </xf>
    <xf borderId="9" fillId="9" fontId="13" numFmtId="0" xfId="0" applyAlignment="1" applyBorder="1" applyFill="1" applyFont="1">
      <alignment horizontal="center" shrinkToFit="0" vertical="center" wrapText="1"/>
    </xf>
    <xf borderId="1" fillId="3" fontId="10" numFmtId="3" xfId="0" applyAlignment="1" applyBorder="1" applyFill="1" applyFont="1" applyNumberFormat="1">
      <alignment horizontal="center" vertical="center"/>
    </xf>
    <xf borderId="4" fillId="11" fontId="5" numFmtId="0" xfId="0" applyAlignment="1" applyBorder="1" applyFill="1" applyFont="1">
      <alignment horizontal="center" readingOrder="0" shrinkToFit="0" vertical="center" wrapText="1"/>
    </xf>
    <xf borderId="11" fillId="9" fontId="13" numFmtId="0" xfId="0" applyAlignment="1" applyBorder="1" applyFill="1" applyFont="1">
      <alignment horizontal="center" readingOrder="0" shrinkToFit="0" vertical="center" wrapText="1"/>
    </xf>
    <xf borderId="3" fillId="8" fontId="13" numFmtId="0" xfId="0" applyAlignment="1" applyBorder="1" applyFill="1" applyFont="1">
      <alignment horizontal="center" readingOrder="0" shrinkToFit="0" vertical="center" wrapText="1"/>
    </xf>
    <xf borderId="4" fillId="3" fontId="10" numFmtId="0" xfId="0" applyAlignment="1" applyBorder="1" applyFill="1" applyFont="1">
      <alignment horizontal="center" readingOrder="0" shrinkToFit="0" vertical="center" wrapText="1"/>
    </xf>
    <xf borderId="12" fillId="0" fontId="2" numFmtId="0" xfId="0" applyBorder="1" applyFont="1"/>
    <xf borderId="4" fillId="3" fontId="10" numFmtId="3" xfId="0" applyAlignment="1" applyBorder="1" applyFill="1" applyFont="1" applyNumberFormat="1">
      <alignment horizontal="center" readingOrder="0" shrinkToFit="0" vertical="center" wrapText="1"/>
    </xf>
    <xf borderId="9" fillId="8" fontId="13" numFmtId="0" xfId="0" applyAlignment="1" applyBorder="1" applyFill="1" applyFont="1">
      <alignment horizontal="center" shrinkToFit="0" vertical="center" wrapText="1"/>
    </xf>
    <xf borderId="4" fillId="3" fontId="14" numFmtId="3" xfId="0" applyAlignment="1" applyBorder="1" applyFill="1" applyFont="1" applyNumberFormat="1">
      <alignment horizontal="center" readingOrder="0" shrinkToFit="0" vertical="center" wrapText="1"/>
    </xf>
    <xf borderId="1" fillId="8" fontId="13" numFmtId="0" xfId="0" applyAlignment="1" applyBorder="1" applyFill="1" applyFont="1">
      <alignment horizontal="center" shrinkToFit="0" vertical="center" wrapText="1"/>
    </xf>
    <xf borderId="9" fillId="8" fontId="13" numFmtId="0" xfId="0" applyAlignment="1" applyBorder="1" applyFill="1" applyFont="1">
      <alignment horizontal="center" shrinkToFit="0" wrapText="1"/>
    </xf>
    <xf borderId="9" fillId="8" fontId="13" numFmtId="0" xfId="0" applyAlignment="1" applyBorder="1" applyFill="1" applyFont="1">
      <alignment horizontal="center" shrinkToFit="0" wrapText="1"/>
    </xf>
    <xf borderId="1" fillId="8" fontId="13" numFmtId="0" xfId="0" applyAlignment="1" applyBorder="1" applyFill="1" applyFont="1">
      <alignment horizontal="center" shrinkToFit="0" wrapText="1"/>
    </xf>
    <xf borderId="8" fillId="8" fontId="15" numFmtId="164" xfId="0" applyAlignment="1" applyBorder="1" applyFill="1" applyFont="1" applyNumberFormat="1">
      <alignment horizontal="left" vertical="bottom"/>
    </xf>
    <xf borderId="9" fillId="3" fontId="10" numFmtId="0" xfId="0" applyAlignment="1" applyBorder="1" applyFill="1" applyFont="1">
      <alignment horizontal="center" readingOrder="0" shrinkToFit="0" vertical="center" wrapText="1"/>
    </xf>
    <xf borderId="13" fillId="3" fontId="5" numFmtId="164" xfId="0" applyAlignment="1" applyBorder="1" applyFill="1" applyFont="1" applyNumberFormat="1">
      <alignment horizontal="center" readingOrder="0" shrinkToFit="0" vertical="center" wrapText="1"/>
    </xf>
    <xf borderId="8" fillId="3" fontId="5" numFmtId="164" xfId="0" applyAlignment="1" applyBorder="1" applyFill="1" applyFont="1" applyNumberFormat="1">
      <alignment horizontal="center" readingOrder="0" shrinkToFit="0" vertical="center" wrapText="1"/>
    </xf>
    <xf borderId="8" fillId="10" fontId="16" numFmtId="0" xfId="0" applyAlignment="1" applyBorder="1" applyFill="1" applyFont="1">
      <alignment horizontal="center" shrinkToFit="0" vertical="center" wrapText="1"/>
    </xf>
    <xf borderId="13" fillId="3" fontId="5" numFmtId="0" xfId="0" applyAlignment="1" applyBorder="1" applyFill="1" applyFont="1">
      <alignment horizontal="center" readingOrder="0" shrinkToFit="0" vertical="center" wrapText="1"/>
    </xf>
    <xf borderId="14" fillId="10" fontId="16" numFmtId="0" xfId="0" applyAlignment="1" applyBorder="1" applyFill="1" applyFont="1">
      <alignment horizontal="center" shrinkToFit="0" vertical="center" wrapText="1"/>
    </xf>
    <xf borderId="13" fillId="3" fontId="5" numFmtId="0" xfId="0" applyAlignment="1" applyBorder="1" applyFill="1" applyFont="1">
      <alignment horizontal="center" shrinkToFit="0" vertical="center" wrapText="1"/>
    </xf>
    <xf borderId="14" fillId="10" fontId="10" numFmtId="0" xfId="0" applyAlignment="1" applyBorder="1" applyFill="1" applyFont="1">
      <alignment horizontal="center" shrinkToFit="0" vertical="center" wrapText="1"/>
    </xf>
    <xf borderId="14" fillId="10" fontId="10" numFmtId="0" xfId="0" applyAlignment="1" applyBorder="1" applyFill="1" applyFont="1">
      <alignment horizontal="center" readingOrder="0" shrinkToFit="0" vertical="center" wrapText="1"/>
    </xf>
    <xf borderId="15" fillId="10" fontId="11" numFmtId="0" xfId="0" applyAlignment="1" applyBorder="1" applyFill="1" applyFont="1">
      <alignment horizontal="center"/>
    </xf>
    <xf borderId="14" fillId="12" fontId="10" numFmtId="3" xfId="0" applyAlignment="1" applyBorder="1" applyFill="1" applyFont="1" applyNumberFormat="1">
      <alignment horizontal="center"/>
    </xf>
    <xf borderId="16" fillId="3" fontId="17" numFmtId="3" xfId="0" applyAlignment="1" applyBorder="1" applyFill="1" applyFont="1" applyNumberFormat="1">
      <alignment horizontal="center" vertical="center"/>
    </xf>
    <xf borderId="13" fillId="3" fontId="8" numFmtId="0" xfId="0" applyAlignment="1" applyBorder="1" applyFill="1" applyFont="1">
      <alignment horizontal="center" shrinkToFit="0" vertical="center" wrapText="1"/>
    </xf>
    <xf borderId="16" fillId="3" fontId="10" numFmtId="3" xfId="0" applyAlignment="1" applyBorder="1" applyFill="1" applyFont="1" applyNumberFormat="1">
      <alignment horizontal="center" vertical="center"/>
    </xf>
    <xf borderId="13" fillId="11" fontId="8" numFmtId="0" xfId="0" applyAlignment="1" applyBorder="1" applyFill="1" applyFont="1">
      <alignment horizontal="center" shrinkToFit="0" vertical="center" wrapText="1"/>
    </xf>
    <xf borderId="9" fillId="3" fontId="10" numFmtId="3" xfId="0" applyAlignment="1" applyBorder="1" applyFill="1" applyFont="1" applyNumberFormat="1">
      <alignment horizontal="center" vertical="center"/>
    </xf>
    <xf borderId="8" fillId="0" fontId="17" numFmtId="164" xfId="0" applyAlignment="1" applyBorder="1" applyFont="1" applyNumberFormat="1">
      <alignment horizontal="center" shrinkToFit="0" vertical="center" wrapText="1"/>
    </xf>
    <xf borderId="8" fillId="0" fontId="17" numFmtId="0" xfId="0" applyAlignment="1" applyBorder="1" applyFont="1">
      <alignment horizontal="center" shrinkToFit="0" vertical="center" wrapText="1"/>
    </xf>
    <xf borderId="9" fillId="0" fontId="17"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14" fillId="0" fontId="17" numFmtId="3" xfId="0" applyAlignment="1" applyBorder="1" applyFont="1" applyNumberFormat="1">
      <alignment horizontal="center"/>
    </xf>
    <xf borderId="13" fillId="3" fontId="10" numFmtId="0" xfId="0" applyAlignment="1" applyBorder="1" applyFill="1" applyFont="1">
      <alignment horizontal="center" shrinkToFit="0" vertical="center" wrapText="1"/>
    </xf>
    <xf borderId="13" fillId="3" fontId="17" numFmtId="3" xfId="0" applyAlignment="1" applyBorder="1" applyFill="1" applyFont="1" applyNumberFormat="1">
      <alignment horizontal="center" vertical="center"/>
    </xf>
    <xf borderId="15" fillId="12" fontId="10" numFmtId="3" xfId="0" applyAlignment="1" applyBorder="1" applyFill="1" applyFont="1" applyNumberFormat="1">
      <alignment horizontal="center"/>
    </xf>
    <xf borderId="13" fillId="3" fontId="10" numFmtId="3" xfId="0" applyAlignment="1" applyBorder="1" applyFill="1" applyFont="1" applyNumberFormat="1">
      <alignment horizontal="center" vertical="center"/>
    </xf>
    <xf borderId="13" fillId="3" fontId="10" numFmtId="3" xfId="0" applyAlignment="1" applyBorder="1" applyFill="1" applyFont="1" applyNumberFormat="1">
      <alignment horizontal="center" shrinkToFit="0" vertical="center" wrapText="1"/>
    </xf>
    <xf borderId="8" fillId="0" fontId="17" numFmtId="0" xfId="0" applyAlignment="1" applyBorder="1" applyFont="1">
      <alignment horizontal="left" shrinkToFit="0" vertical="center" wrapText="1"/>
    </xf>
    <xf borderId="9" fillId="3" fontId="10" numFmtId="0" xfId="0" applyAlignment="1" applyBorder="1" applyFill="1" applyFont="1">
      <alignment horizontal="center" shrinkToFit="0" vertical="center" wrapText="1"/>
    </xf>
    <xf borderId="9" fillId="3" fontId="10" numFmtId="3" xfId="0" applyAlignment="1" applyBorder="1" applyFill="1" applyFont="1" applyNumberFormat="1">
      <alignment horizontal="center" shrinkToFit="0" vertical="center" wrapText="1"/>
    </xf>
    <xf borderId="8" fillId="0" fontId="17" numFmtId="0" xfId="0" applyAlignment="1" applyBorder="1" applyFont="1">
      <alignment horizontal="center" readingOrder="0" shrinkToFit="0" vertical="center" wrapText="1"/>
    </xf>
    <xf borderId="17" fillId="12" fontId="10" numFmtId="3" xfId="0" applyAlignment="1" applyBorder="1" applyFill="1" applyFont="1" applyNumberFormat="1">
      <alignment horizontal="center"/>
    </xf>
    <xf quotePrefix="1" borderId="9" fillId="3" fontId="14" numFmtId="0" xfId="0" applyAlignment="1" applyBorder="1" applyFill="1" applyFont="1">
      <alignment horizontal="center" readingOrder="0" shrinkToFit="0" vertical="center" wrapText="1"/>
    </xf>
    <xf borderId="9" fillId="3" fontId="14" numFmtId="3" xfId="0" applyAlignment="1" applyBorder="1" applyFill="1" applyFont="1" applyNumberFormat="1">
      <alignment horizontal="center" readingOrder="0" shrinkToFit="0" vertical="center" wrapText="1"/>
    </xf>
    <xf borderId="9" fillId="0" fontId="17" numFmtId="0" xfId="0" applyAlignment="1" applyBorder="1" applyFont="1">
      <alignment horizontal="center" readingOrder="0" shrinkToFit="0" vertical="center" wrapText="1"/>
    </xf>
    <xf borderId="9" fillId="0" fontId="17" numFmtId="3" xfId="0" applyAlignment="1" applyBorder="1" applyFont="1" applyNumberFormat="1">
      <alignment horizontal="center" readingOrder="0" shrinkToFit="0" vertical="center" wrapText="1"/>
    </xf>
    <xf borderId="14" fillId="10" fontId="17" numFmtId="3" xfId="0" applyAlignment="1" applyBorder="1" applyFill="1" applyFont="1" applyNumberFormat="1">
      <alignment horizontal="center"/>
    </xf>
    <xf borderId="9" fillId="0" fontId="18" numFmtId="0" xfId="0" applyAlignment="1" applyBorder="1" applyFont="1">
      <alignment horizontal="center" readingOrder="0" shrinkToFit="0" vertical="center" wrapText="1"/>
    </xf>
    <xf borderId="9" fillId="0" fontId="17" numFmtId="165" xfId="0" applyAlignment="1" applyBorder="1" applyFont="1" applyNumberFormat="1">
      <alignment horizontal="center" readingOrder="0" shrinkToFit="0" vertical="center" wrapText="1"/>
    </xf>
    <xf borderId="18" fillId="12" fontId="10" numFmtId="3" xfId="0" applyAlignment="1" applyBorder="1" applyFill="1" applyFont="1" applyNumberFormat="1">
      <alignment horizontal="center"/>
    </xf>
    <xf borderId="13" fillId="13" fontId="19" numFmtId="0" xfId="0" applyAlignment="1" applyBorder="1" applyFill="1" applyFont="1">
      <alignment horizontal="center" vertical="center"/>
    </xf>
    <xf borderId="13" fillId="14" fontId="10" numFmtId="0" xfId="0" applyAlignment="1" applyBorder="1" applyFill="1" applyFont="1">
      <alignment horizontal="center" shrinkToFit="0" vertical="center" wrapText="1"/>
    </xf>
    <xf borderId="8" fillId="0" fontId="20" numFmtId="3" xfId="0" applyAlignment="1" applyBorder="1" applyFont="1" applyNumberFormat="1">
      <alignment horizontal="center" readingOrder="0" vertical="center"/>
    </xf>
    <xf borderId="14" fillId="0" fontId="20" numFmtId="3" xfId="0" applyAlignment="1" applyBorder="1" applyFont="1" applyNumberFormat="1">
      <alignment horizontal="center" readingOrder="0" vertical="center"/>
    </xf>
    <xf borderId="8" fillId="0" fontId="17" numFmtId="0" xfId="0" applyAlignment="1" applyBorder="1" applyFont="1">
      <alignment horizontal="left" readingOrder="0" shrinkToFit="0" vertical="center" wrapText="1"/>
    </xf>
    <xf borderId="9" fillId="0" fontId="17" numFmtId="3" xfId="0" applyAlignment="1" applyBorder="1" applyFont="1" applyNumberFormat="1">
      <alignment horizontal="center" readingOrder="0" vertical="center"/>
    </xf>
    <xf borderId="9" fillId="15" fontId="17" numFmtId="3" xfId="0" applyAlignment="1" applyBorder="1" applyFill="1" applyFont="1" applyNumberFormat="1">
      <alignment horizontal="center" readingOrder="0" vertical="center"/>
    </xf>
    <xf borderId="9" fillId="0" fontId="17" numFmtId="164" xfId="0" applyAlignment="1" applyBorder="1" applyFont="1" applyNumberFormat="1">
      <alignment horizontal="center" shrinkToFit="0" vertical="center" wrapText="1"/>
    </xf>
    <xf borderId="9" fillId="0" fontId="17" numFmtId="0" xfId="0" applyAlignment="1" applyBorder="1" applyFont="1">
      <alignment horizontal="center" shrinkToFit="0" vertical="center" wrapText="1"/>
    </xf>
    <xf borderId="13" fillId="16" fontId="10" numFmtId="3" xfId="0" applyAlignment="1" applyBorder="1" applyFill="1" applyFont="1" applyNumberFormat="1">
      <alignment horizontal="center" vertical="center"/>
    </xf>
    <xf borderId="9" fillId="0" fontId="17" numFmtId="0" xfId="0" applyAlignment="1" applyBorder="1" applyFont="1">
      <alignment horizontal="left" shrinkToFit="0" vertical="center" wrapText="1"/>
    </xf>
    <xf borderId="9" fillId="2" fontId="17" numFmtId="0" xfId="0" applyAlignment="1" applyBorder="1" applyFill="1" applyFont="1">
      <alignment horizontal="center" readingOrder="0" shrinkToFit="0" vertical="center" wrapText="1"/>
    </xf>
    <xf borderId="10" fillId="12" fontId="10" numFmtId="3" xfId="0" applyAlignment="1" applyBorder="1" applyFill="1" applyFont="1" applyNumberFormat="1">
      <alignment horizontal="center"/>
    </xf>
    <xf borderId="13" fillId="17" fontId="10" numFmtId="3" xfId="0" applyAlignment="1" applyBorder="1" applyFill="1" applyFont="1" applyNumberFormat="1">
      <alignment horizontal="center" vertical="center"/>
    </xf>
    <xf borderId="9" fillId="12" fontId="10" numFmtId="3" xfId="0" applyAlignment="1" applyBorder="1" applyFill="1" applyFont="1" applyNumberFormat="1">
      <alignment horizontal="center"/>
    </xf>
    <xf borderId="9" fillId="0" fontId="17" numFmtId="0" xfId="0" applyAlignment="1" applyBorder="1" applyFont="1">
      <alignment horizontal="left" readingOrder="0" shrinkToFit="0" vertical="center" wrapText="1"/>
    </xf>
    <xf borderId="9" fillId="18" fontId="10" numFmtId="3" xfId="0" applyAlignment="1" applyBorder="1" applyFill="1" applyFont="1" applyNumberFormat="1">
      <alignment horizontal="center" vertical="center"/>
    </xf>
    <xf borderId="9" fillId="0" fontId="17" numFmtId="3" xfId="0" applyAlignment="1" applyBorder="1" applyFont="1" applyNumberFormat="1">
      <alignment horizontal="center"/>
    </xf>
    <xf borderId="9" fillId="0" fontId="10" numFmtId="0" xfId="0" applyAlignment="1" applyBorder="1" applyFont="1">
      <alignment horizontal="center" readingOrder="0" vertical="center"/>
    </xf>
    <xf borderId="9" fillId="0" fontId="17" numFmtId="0" xfId="0" applyAlignment="1" applyBorder="1" applyFont="1">
      <alignment horizontal="center"/>
    </xf>
    <xf borderId="1" fillId="12" fontId="10" numFmtId="3" xfId="0" applyAlignment="1" applyBorder="1" applyFill="1" applyFont="1" applyNumberFormat="1">
      <alignment horizontal="center"/>
    </xf>
    <xf borderId="0" fillId="0" fontId="17" numFmtId="0" xfId="0" applyAlignment="1" applyFont="1">
      <alignment horizontal="left" shrinkToFit="0" vertical="center" wrapText="1"/>
    </xf>
    <xf borderId="8" fillId="5" fontId="17" numFmtId="0" xfId="0" applyAlignment="1" applyBorder="1" applyFill="1" applyFont="1">
      <alignment horizontal="left" readingOrder="0" shrinkToFit="0" vertical="center" wrapText="1"/>
    </xf>
    <xf borderId="9" fillId="0" fontId="17" numFmtId="164" xfId="0" applyAlignment="1" applyBorder="1" applyFont="1" applyNumberFormat="1">
      <alignment horizontal="center" readingOrder="0" shrinkToFit="0" vertical="center" wrapText="1"/>
    </xf>
    <xf borderId="9" fillId="4" fontId="17" numFmtId="0" xfId="0" applyAlignment="1" applyBorder="1" applyFill="1" applyFont="1">
      <alignment horizontal="center" readingOrder="0" shrinkToFit="0" vertical="center" wrapText="1"/>
    </xf>
    <xf borderId="13" fillId="13" fontId="19" numFmtId="0" xfId="0" applyAlignment="1" applyBorder="1" applyFill="1" applyFont="1">
      <alignment horizontal="center" readingOrder="0" vertical="center"/>
    </xf>
    <xf borderId="13" fillId="14" fontId="10" numFmtId="0" xfId="0" applyAlignment="1" applyBorder="1" applyFill="1" applyFont="1">
      <alignment horizontal="center" readingOrder="0" shrinkToFit="0" vertical="center" wrapText="1"/>
    </xf>
    <xf borderId="8" fillId="2" fontId="17" numFmtId="0" xfId="0" applyAlignment="1" applyBorder="1" applyFill="1" applyFont="1">
      <alignment horizontal="center" readingOrder="0" shrinkToFit="0" vertical="center" wrapText="1"/>
    </xf>
    <xf borderId="8" fillId="0" fontId="10" numFmtId="0" xfId="0" applyAlignment="1" applyBorder="1" applyFont="1">
      <alignment horizontal="center" readingOrder="0" vertical="center"/>
    </xf>
    <xf borderId="8" fillId="0" fontId="17" numFmtId="0" xfId="0" applyAlignment="1" applyBorder="1" applyFont="1">
      <alignment horizontal="center"/>
    </xf>
    <xf borderId="2" fillId="12" fontId="10" numFmtId="3" xfId="0" applyAlignment="1" applyBorder="1" applyFill="1" applyFont="1" applyNumberFormat="1">
      <alignment horizontal="center"/>
    </xf>
    <xf borderId="8" fillId="2" fontId="15" numFmtId="0" xfId="0" applyAlignment="1" applyBorder="1" applyFill="1" applyFont="1">
      <alignment horizontal="left" vertical="bottom"/>
    </xf>
    <xf borderId="9" fillId="2" fontId="17" numFmtId="0" xfId="0" applyAlignment="1" applyBorder="1" applyFill="1" applyFont="1">
      <alignment horizontal="center" shrinkToFit="0" vertical="center" wrapText="1"/>
    </xf>
    <xf borderId="9" fillId="2" fontId="0" numFmtId="0" xfId="0" applyAlignment="1" applyBorder="1" applyFill="1" applyFont="1">
      <alignment horizontal="center" readingOrder="0" shrinkToFit="0" vertical="center" wrapText="1"/>
    </xf>
    <xf borderId="9" fillId="13" fontId="19" numFmtId="0" xfId="0" applyAlignment="1" applyBorder="1" applyFill="1" applyFont="1">
      <alignment horizontal="center" vertical="center"/>
    </xf>
    <xf borderId="9" fillId="14" fontId="10" numFmtId="0" xfId="0" applyAlignment="1" applyBorder="1" applyFill="1" applyFont="1">
      <alignment horizontal="center" shrinkToFit="0" vertical="center" wrapText="1"/>
    </xf>
    <xf borderId="3" fillId="0" fontId="17" numFmtId="3" xfId="0" applyAlignment="1" applyBorder="1" applyFont="1" applyNumberFormat="1">
      <alignment horizontal="center" readingOrder="0" vertical="center"/>
    </xf>
    <xf borderId="1" fillId="0" fontId="17" numFmtId="3" xfId="0" applyAlignment="1" applyBorder="1" applyFont="1" applyNumberFormat="1">
      <alignment horizontal="center" readingOrder="0" vertical="center"/>
    </xf>
    <xf borderId="19" fillId="15" fontId="17" numFmtId="3" xfId="0" applyAlignment="1" applyBorder="1" applyFill="1" applyFont="1" applyNumberFormat="1">
      <alignment horizontal="center" readingOrder="0" vertical="center"/>
    </xf>
    <xf borderId="8" fillId="0" fontId="10" numFmtId="0" xfId="0" applyAlignment="1" applyBorder="1" applyFont="1">
      <alignment horizontal="center" vertical="center"/>
    </xf>
    <xf borderId="9" fillId="4" fontId="17" numFmtId="0" xfId="0" applyAlignment="1" applyBorder="1" applyFill="1" applyFont="1">
      <alignment horizontal="center" shrinkToFit="0" vertical="center" wrapText="1"/>
    </xf>
    <xf borderId="9" fillId="14" fontId="10" numFmtId="0" xfId="0" applyAlignment="1" applyBorder="1" applyFill="1" applyFont="1">
      <alignment horizontal="center" readingOrder="0" shrinkToFit="0" vertical="center" wrapText="1"/>
    </xf>
    <xf borderId="0" fillId="0" fontId="17" numFmtId="0" xfId="0" applyAlignment="1" applyFont="1">
      <alignment horizontal="center" shrinkToFit="0" vertical="center" wrapText="1"/>
    </xf>
    <xf borderId="9" fillId="2" fontId="17" numFmtId="0" xfId="0" applyAlignment="1" applyBorder="1" applyFill="1" applyFont="1">
      <alignment horizontal="left" readingOrder="0" shrinkToFit="0" vertical="center" wrapText="1"/>
    </xf>
    <xf borderId="9" fillId="14" fontId="4" numFmtId="0" xfId="0" applyAlignment="1" applyBorder="1" applyFill="1" applyFont="1">
      <alignment horizontal="center" readingOrder="0" shrinkToFit="0" vertical="center" wrapText="1"/>
    </xf>
    <xf borderId="9" fillId="0" fontId="21" numFmtId="0" xfId="0" applyAlignment="1" applyBorder="1" applyFont="1">
      <alignment horizontal="center" readingOrder="0" shrinkToFit="0" vertical="center" wrapText="1"/>
    </xf>
    <xf borderId="9" fillId="14" fontId="4" numFmtId="0" xfId="0" applyAlignment="1" applyBorder="1" applyFill="1" applyFont="1">
      <alignment horizontal="center" shrinkToFit="0" vertical="center" wrapText="1"/>
    </xf>
    <xf borderId="8" fillId="8" fontId="15" numFmtId="0" xfId="0" applyAlignment="1" applyBorder="1" applyFill="1" applyFont="1">
      <alignment horizontal="left" vertical="bottom"/>
    </xf>
    <xf borderId="9" fillId="19" fontId="10" numFmtId="0" xfId="0" applyAlignment="1" applyBorder="1" applyFill="1" applyFont="1">
      <alignment horizontal="center" shrinkToFit="0" vertical="center" wrapText="1"/>
    </xf>
    <xf borderId="9" fillId="5" fontId="17" numFmtId="0" xfId="0" applyAlignment="1" applyBorder="1" applyFill="1" applyFont="1">
      <alignment horizontal="left" readingOrder="0" shrinkToFit="0" vertical="center" wrapText="1"/>
    </xf>
    <xf borderId="9" fillId="2" fontId="11" numFmtId="0" xfId="0" applyBorder="1" applyFill="1" applyFont="1"/>
    <xf borderId="20" fillId="9" fontId="12" numFmtId="0" xfId="0" applyAlignment="1" applyBorder="1" applyFill="1" applyFont="1">
      <alignment horizontal="center" readingOrder="0" shrinkToFit="0" vertical="center" wrapText="1"/>
    </xf>
    <xf borderId="9" fillId="0" fontId="17" numFmtId="0" xfId="0" applyAlignment="1" applyBorder="1" applyFont="1">
      <alignment horizontal="center" shrinkToFit="0" wrapText="1"/>
    </xf>
    <xf borderId="0" fillId="8" fontId="12" numFmtId="0" xfId="0" applyAlignment="1" applyFill="1" applyFont="1">
      <alignment horizontal="center" readingOrder="0" shrinkToFit="0" vertical="center" wrapText="1"/>
    </xf>
    <xf borderId="1" fillId="9" fontId="12" numFmtId="0" xfId="0" applyAlignment="1" applyBorder="1" applyFill="1" applyFont="1">
      <alignment horizontal="center" readingOrder="0" shrinkToFit="0" vertical="center" wrapText="1"/>
    </xf>
    <xf borderId="9" fillId="9" fontId="13" numFmtId="0" xfId="0" applyAlignment="1" applyBorder="1" applyFill="1" applyFont="1">
      <alignment horizontal="center" readingOrder="0" shrinkToFit="0" vertical="center" wrapText="1"/>
    </xf>
    <xf borderId="8" fillId="2" fontId="17" numFmtId="0" xfId="0" applyAlignment="1" applyBorder="1" applyFill="1" applyFont="1">
      <alignment horizontal="left" shrinkToFit="0" vertical="center" wrapText="1"/>
    </xf>
    <xf borderId="21" fillId="9" fontId="13" numFmtId="0" xfId="0" applyAlignment="1" applyBorder="1" applyFill="1" applyFont="1">
      <alignment horizontal="center" readingOrder="0" shrinkToFit="0" vertical="center" wrapText="1"/>
    </xf>
    <xf borderId="4" fillId="9" fontId="13" numFmtId="0" xfId="0" applyAlignment="1" applyBorder="1" applyFill="1" applyFont="1">
      <alignment horizontal="center" shrinkToFit="0" vertical="center" wrapText="1"/>
    </xf>
    <xf borderId="4" fillId="9" fontId="13" numFmtId="0" xfId="0" applyAlignment="1" applyBorder="1" applyFill="1" applyFont="1">
      <alignment horizontal="center" readingOrder="0" shrinkToFit="0" vertical="center" wrapText="1"/>
    </xf>
    <xf borderId="22" fillId="9" fontId="13" numFmtId="0" xfId="0" applyAlignment="1" applyBorder="1" applyFill="1" applyFont="1">
      <alignment horizontal="center" readingOrder="0" shrinkToFit="0" vertical="center" wrapText="1"/>
    </xf>
    <xf borderId="10" fillId="8" fontId="13" numFmtId="0" xfId="0" applyAlignment="1" applyBorder="1" applyFill="1" applyFont="1">
      <alignment horizontal="center" shrinkToFit="0" vertical="center" wrapText="1"/>
    </xf>
    <xf borderId="10" fillId="8" fontId="13" numFmtId="0" xfId="0" applyAlignment="1" applyBorder="1" applyFill="1" applyFont="1">
      <alignment horizontal="center" readingOrder="0" shrinkToFit="0" vertical="center" wrapText="1"/>
    </xf>
    <xf borderId="9" fillId="2" fontId="17" numFmtId="164" xfId="0" applyAlignment="1" applyBorder="1" applyFill="1" applyFont="1" applyNumberFormat="1">
      <alignment horizontal="center" shrinkToFit="0" vertical="center" wrapText="1"/>
    </xf>
    <xf borderId="9" fillId="2" fontId="17" numFmtId="3" xfId="0" applyAlignment="1" applyBorder="1" applyFill="1" applyFont="1" applyNumberFormat="1">
      <alignment horizontal="center" readingOrder="0" shrinkToFit="0" vertical="center" wrapText="1"/>
    </xf>
    <xf borderId="9" fillId="2" fontId="22" numFmtId="0" xfId="0" applyAlignment="1" applyBorder="1" applyFill="1" applyFont="1">
      <alignment horizontal="center" readingOrder="0" shrinkToFit="0" vertical="center" wrapText="1"/>
    </xf>
    <xf borderId="9" fillId="2" fontId="17" numFmtId="165" xfId="0" applyAlignment="1" applyBorder="1" applyFill="1" applyFont="1" applyNumberFormat="1">
      <alignment horizontal="center" readingOrder="0" shrinkToFit="0" vertical="center" wrapText="1"/>
    </xf>
    <xf borderId="9" fillId="15" fontId="0" numFmtId="0" xfId="0" applyAlignment="1" applyBorder="1" applyFill="1" applyFont="1">
      <alignment horizontal="center" readingOrder="0" shrinkToFit="0" vertical="center" wrapText="1"/>
    </xf>
    <xf borderId="9" fillId="15" fontId="17" numFmtId="0" xfId="0" applyAlignment="1" applyBorder="1" applyFill="1" applyFont="1">
      <alignment horizontal="center" shrinkToFit="0" vertical="center" wrapText="1"/>
    </xf>
    <xf borderId="9" fillId="14" fontId="4" numFmtId="0" xfId="0" applyAlignment="1" applyBorder="1" applyFill="1" applyFont="1">
      <alignment horizontal="center" readingOrder="0" vertical="center"/>
    </xf>
    <xf borderId="8" fillId="14" fontId="4" numFmtId="0" xfId="0" applyAlignment="1" applyBorder="1" applyFill="1" applyFont="1">
      <alignment horizontal="center" readingOrder="0" vertical="center"/>
    </xf>
    <xf borderId="8" fillId="15" fontId="17" numFmtId="0" xfId="0" applyAlignment="1" applyBorder="1" applyFill="1" applyFont="1">
      <alignment horizontal="center" shrinkToFit="0" vertical="center" wrapText="1"/>
    </xf>
    <xf borderId="9" fillId="2" fontId="17" numFmtId="3" xfId="0" applyAlignment="1" applyBorder="1" applyFill="1" applyFont="1" applyNumberFormat="1">
      <alignment horizontal="center"/>
    </xf>
    <xf borderId="9" fillId="2" fontId="10" numFmtId="3" xfId="0" applyAlignment="1" applyBorder="1" applyFill="1" applyFont="1" applyNumberFormat="1">
      <alignment horizontal="center"/>
    </xf>
    <xf borderId="3" fillId="12" fontId="10" numFmtId="3" xfId="0" applyAlignment="1" applyBorder="1" applyFill="1" applyFont="1" applyNumberFormat="1">
      <alignment horizontal="center"/>
    </xf>
    <xf borderId="9" fillId="0" fontId="23" numFmtId="0" xfId="0" applyAlignment="1" applyBorder="1" applyFont="1">
      <alignment horizontal="center" vertical="center"/>
    </xf>
    <xf borderId="9" fillId="0" fontId="20" numFmtId="0" xfId="0" applyAlignment="1" applyBorder="1" applyFont="1">
      <alignment horizontal="center" readingOrder="0"/>
    </xf>
    <xf borderId="9" fillId="0" fontId="24" numFmtId="0" xfId="0" applyAlignment="1" applyBorder="1" applyFont="1">
      <alignment horizontal="center" vertical="center"/>
    </xf>
    <xf borderId="0" fillId="12" fontId="10" numFmtId="0" xfId="0" applyAlignment="1" applyFill="1" applyFont="1">
      <alignment horizontal="center"/>
    </xf>
    <xf borderId="8" fillId="0" fontId="10" numFmtId="0" xfId="0" applyAlignment="1" applyBorder="1" applyFont="1">
      <alignment horizontal="center" shrinkToFit="0" vertical="center" wrapText="1"/>
    </xf>
    <xf borderId="9" fillId="0" fontId="20" numFmtId="0" xfId="0" applyAlignment="1" applyBorder="1" applyFont="1">
      <alignment horizontal="left" readingOrder="0" shrinkToFit="0" vertical="center" wrapText="1"/>
    </xf>
    <xf borderId="9" fillId="0" fontId="20" numFmtId="0" xfId="0" applyAlignment="1" applyBorder="1" applyFont="1">
      <alignment horizontal="left" shrinkToFit="0" vertical="center" wrapText="1"/>
    </xf>
    <xf borderId="9" fillId="20" fontId="17" numFmtId="0" xfId="0" applyAlignment="1" applyBorder="1" applyFill="1" applyFont="1">
      <alignment horizontal="center" readingOrder="0" shrinkToFit="0" vertical="center" wrapText="1"/>
    </xf>
    <xf borderId="9" fillId="2" fontId="17" numFmtId="0" xfId="0" applyAlignment="1" applyBorder="1" applyFill="1" applyFont="1">
      <alignment horizontal="left" shrinkToFit="0" vertical="center" wrapText="1"/>
    </xf>
    <xf borderId="9" fillId="2" fontId="0" numFmtId="0" xfId="0" applyAlignment="1" applyBorder="1" applyFill="1" applyFont="1">
      <alignment horizontal="center" shrinkToFit="0" vertical="center" wrapText="1"/>
    </xf>
    <xf borderId="4"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23" fillId="0" fontId="17" numFmtId="0" xfId="0" applyAlignment="1" applyBorder="1" applyFont="1">
      <alignment horizontal="left" readingOrder="0" shrinkToFit="0" vertical="center" wrapText="1"/>
    </xf>
    <xf borderId="9" fillId="20" fontId="17" numFmtId="0" xfId="0" applyAlignment="1" applyBorder="1" applyFill="1" applyFont="1">
      <alignment horizontal="center" shrinkToFit="0" vertical="center" wrapText="1"/>
    </xf>
    <xf borderId="8" fillId="0" fontId="23" numFmtId="0" xfId="0" applyAlignment="1" applyBorder="1" applyFont="1">
      <alignment horizontal="center" shrinkToFit="0" vertical="center" wrapText="1"/>
    </xf>
    <xf borderId="9" fillId="2" fontId="17" numFmtId="0" xfId="0" applyAlignment="1" applyBorder="1" applyFill="1" applyFont="1">
      <alignment horizontal="center" shrinkToFit="0" vertical="center" wrapText="1"/>
    </xf>
    <xf borderId="8" fillId="2" fontId="17" numFmtId="0" xfId="0" applyAlignment="1" applyBorder="1" applyFill="1" applyFont="1">
      <alignment horizontal="center" shrinkToFit="0" vertical="center" wrapText="1"/>
    </xf>
    <xf borderId="9" fillId="4" fontId="19" numFmtId="0" xfId="0" applyAlignment="1" applyBorder="1" applyFill="1" applyFont="1">
      <alignment horizontal="center" vertical="center"/>
    </xf>
    <xf borderId="8" fillId="2" fontId="20" numFmtId="3" xfId="0" applyAlignment="1" applyBorder="1" applyFill="1" applyFont="1" applyNumberFormat="1">
      <alignment horizontal="center" readingOrder="0" vertical="center"/>
    </xf>
    <xf borderId="14" fillId="2" fontId="20" numFmtId="3" xfId="0" applyAlignment="1" applyBorder="1" applyFill="1" applyFont="1" applyNumberFormat="1">
      <alignment horizontal="center" readingOrder="0" vertical="center"/>
    </xf>
    <xf borderId="3" fillId="2" fontId="17" numFmtId="3" xfId="0" applyAlignment="1" applyBorder="1" applyFill="1" applyFont="1" applyNumberFormat="1">
      <alignment horizontal="center" readingOrder="0" vertical="center"/>
    </xf>
    <xf borderId="9" fillId="2" fontId="17" numFmtId="3" xfId="0" applyAlignment="1" applyBorder="1" applyFill="1" applyFont="1" applyNumberFormat="1">
      <alignment horizontal="center" readingOrder="0" vertical="center"/>
    </xf>
    <xf borderId="1" fillId="2" fontId="17" numFmtId="3" xfId="0" applyAlignment="1" applyBorder="1" applyFill="1" applyFont="1" applyNumberFormat="1">
      <alignment horizontal="center" readingOrder="0" vertical="center"/>
    </xf>
    <xf borderId="19" fillId="2" fontId="17" numFmtId="3" xfId="0" applyAlignment="1" applyBorder="1" applyFill="1" applyFont="1" applyNumberFormat="1">
      <alignment horizontal="center" readingOrder="0" vertical="center"/>
    </xf>
    <xf borderId="13" fillId="12" fontId="10" numFmtId="3" xfId="0" applyAlignment="1" applyBorder="1" applyFill="1" applyFont="1" applyNumberFormat="1">
      <alignment horizontal="center" vertical="center"/>
    </xf>
    <xf borderId="8" fillId="2" fontId="10" numFmtId="0" xfId="0" applyAlignment="1" applyBorder="1" applyFill="1" applyFont="1">
      <alignment horizontal="center" readingOrder="0" vertical="center"/>
    </xf>
    <xf borderId="9" fillId="2" fontId="17" numFmtId="0" xfId="0" applyAlignment="1" applyBorder="1" applyFill="1" applyFont="1">
      <alignment horizontal="center"/>
    </xf>
    <xf borderId="9" fillId="12" fontId="10" numFmtId="0" xfId="0" applyAlignment="1" applyBorder="1" applyFill="1" applyFont="1">
      <alignment horizontal="center"/>
    </xf>
    <xf borderId="4" fillId="0" fontId="17" numFmtId="0" xfId="0" applyAlignment="1" applyBorder="1" applyFont="1">
      <alignment horizontal="center" shrinkToFit="0" vertical="center" wrapText="1"/>
    </xf>
    <xf borderId="4" fillId="0" fontId="17" numFmtId="0" xfId="0" applyAlignment="1" applyBorder="1" applyFont="1">
      <alignment horizontal="left" readingOrder="0" shrinkToFit="0" vertical="center" wrapText="1"/>
    </xf>
    <xf borderId="4" fillId="0" fontId="17" numFmtId="0" xfId="0" applyAlignment="1" applyBorder="1" applyFont="1">
      <alignment horizontal="left" shrinkToFit="0" vertical="center" wrapText="1"/>
    </xf>
    <xf borderId="16" fillId="0" fontId="17" numFmtId="0" xfId="0" applyAlignment="1" applyBorder="1" applyFont="1">
      <alignment horizontal="center" shrinkToFit="0" vertical="center" wrapText="1"/>
    </xf>
    <xf borderId="4" fillId="0" fontId="17" numFmtId="0" xfId="0" applyAlignment="1" applyBorder="1" applyFont="1">
      <alignment horizontal="center" readingOrder="0" shrinkToFit="0" vertical="center" wrapText="1"/>
    </xf>
    <xf borderId="24" fillId="0" fontId="17" numFmtId="0" xfId="0" applyAlignment="1" applyBorder="1" applyFont="1">
      <alignment horizontal="center" shrinkToFit="0" vertical="center" wrapText="1"/>
    </xf>
    <xf borderId="3" fillId="15" fontId="17" numFmtId="0" xfId="0" applyAlignment="1" applyBorder="1" applyFill="1" applyFont="1">
      <alignment horizontal="center" shrinkToFit="0" vertical="center" wrapText="1"/>
    </xf>
    <xf borderId="13" fillId="0" fontId="17" numFmtId="0" xfId="0" applyAlignment="1" applyBorder="1" applyFont="1">
      <alignment horizontal="left" readingOrder="0" shrinkToFit="0" vertical="center" wrapText="1"/>
    </xf>
    <xf borderId="9" fillId="0" fontId="20" numFmtId="3" xfId="0" applyAlignment="1" applyBorder="1" applyFont="1" applyNumberFormat="1">
      <alignment horizontal="center" readingOrder="0" vertical="center"/>
    </xf>
    <xf borderId="9" fillId="19" fontId="10" numFmtId="0" xfId="0" applyAlignment="1" applyBorder="1" applyFill="1" applyFont="1">
      <alignment horizontal="center" readingOrder="0" shrinkToFit="0" vertical="center" wrapText="1"/>
    </xf>
    <xf borderId="9" fillId="0" fontId="25" numFmtId="0" xfId="0" applyAlignment="1" applyBorder="1" applyFont="1">
      <alignment horizontal="center" readingOrder="0" shrinkToFit="0" vertical="center" wrapText="1"/>
    </xf>
    <xf borderId="9" fillId="5" fontId="17" numFmtId="0" xfId="0" applyAlignment="1" applyBorder="1" applyFill="1" applyFont="1">
      <alignment horizontal="left" shrinkToFit="0" vertical="center" wrapText="1"/>
    </xf>
    <xf borderId="9" fillId="4" fontId="17" numFmtId="0" xfId="0" applyAlignment="1" applyBorder="1" applyFill="1" applyFont="1">
      <alignment horizontal="left" readingOrder="0" shrinkToFit="0" vertical="center" wrapText="1"/>
    </xf>
    <xf borderId="9" fillId="0" fontId="26" numFmtId="0" xfId="0" applyAlignment="1" applyBorder="1" applyFont="1">
      <alignment horizontal="center" vertical="center"/>
    </xf>
    <xf borderId="14" fillId="0" fontId="17" numFmtId="3" xfId="0" applyAlignment="1" applyBorder="1" applyFont="1" applyNumberFormat="1">
      <alignment horizontal="center" readingOrder="0" vertical="center"/>
    </xf>
    <xf borderId="9" fillId="0" fontId="0" numFmtId="0" xfId="0" applyAlignment="1" applyBorder="1" applyFont="1">
      <alignment horizontal="center" readingOrder="0" shrinkToFit="0" vertical="center" wrapText="1"/>
    </xf>
    <xf borderId="15" fillId="0" fontId="17" numFmtId="3" xfId="0" applyAlignment="1" applyBorder="1" applyFont="1" applyNumberFormat="1">
      <alignment horizontal="center" readingOrder="0" vertical="center"/>
    </xf>
    <xf borderId="3" fillId="0" fontId="20" numFmtId="3" xfId="0" applyAlignment="1" applyBorder="1" applyFont="1" applyNumberFormat="1">
      <alignment horizontal="center" readingOrder="0" shrinkToFit="0" wrapText="0"/>
    </xf>
    <xf borderId="9" fillId="0" fontId="20" numFmtId="3" xfId="0" applyAlignment="1" applyBorder="1" applyFont="1" applyNumberFormat="1">
      <alignment horizontal="center" readingOrder="0" shrinkToFit="0" wrapText="0"/>
    </xf>
    <xf borderId="1" fillId="0" fontId="20" numFmtId="3" xfId="0" applyAlignment="1" applyBorder="1" applyFont="1" applyNumberFormat="1">
      <alignment horizontal="center" readingOrder="0" shrinkToFit="0" wrapText="0"/>
    </xf>
    <xf borderId="9" fillId="14" fontId="10" numFmtId="0" xfId="0" applyAlignment="1" applyBorder="1" applyFill="1" applyFont="1">
      <alignment horizontal="center" readingOrder="0" vertical="center"/>
    </xf>
    <xf borderId="9" fillId="15" fontId="17" numFmtId="0" xfId="0" applyAlignment="1" applyBorder="1" applyFill="1" applyFont="1">
      <alignment horizontal="center" readingOrder="0" shrinkToFit="0" vertical="center" wrapText="1"/>
    </xf>
    <xf borderId="9" fillId="14" fontId="10" numFmtId="0" xfId="0" applyAlignment="1" applyBorder="1" applyFill="1" applyFont="1">
      <alignment horizontal="center" vertical="center"/>
    </xf>
    <xf borderId="9" fillId="20" fontId="20" numFmtId="0" xfId="0" applyAlignment="1" applyBorder="1" applyFill="1" applyFont="1">
      <alignment horizontal="left" shrinkToFit="0" vertical="center" wrapText="1"/>
    </xf>
    <xf borderId="9" fillId="0" fontId="17" numFmtId="0" xfId="0" applyAlignment="1" applyBorder="1" applyFont="1">
      <alignment horizontal="center" readingOrder="0" shrinkToFit="0" vertical="center" wrapText="1"/>
    </xf>
    <xf borderId="9" fillId="2" fontId="20" numFmtId="0" xfId="0" applyAlignment="1" applyBorder="1" applyFill="1" applyFont="1">
      <alignment horizontal="center" shrinkToFit="0" vertical="center" wrapText="1"/>
    </xf>
    <xf borderId="9" fillId="13" fontId="19" numFmtId="0" xfId="0" applyAlignment="1" applyBorder="1" applyFill="1" applyFont="1">
      <alignment horizontal="center" readingOrder="0" vertical="center"/>
    </xf>
    <xf borderId="9" fillId="0" fontId="17" numFmtId="0" xfId="0" applyAlignment="1" applyBorder="1" applyFont="1">
      <alignment horizontal="center" readingOrder="0" shrinkToFit="0" wrapText="1"/>
    </xf>
    <xf borderId="9" fillId="0" fontId="11" numFmtId="0" xfId="0" applyAlignment="1" applyBorder="1" applyFont="1">
      <alignment horizontal="center" readingOrder="0" vertical="center"/>
    </xf>
    <xf borderId="2" fillId="0" fontId="17" numFmtId="0" xfId="0" applyAlignment="1" applyBorder="1" applyFont="1">
      <alignment horizontal="center" shrinkToFit="0" vertical="center" wrapText="1"/>
    </xf>
    <xf borderId="23" fillId="0" fontId="17" numFmtId="0" xfId="0" applyAlignment="1" applyBorder="1" applyFont="1">
      <alignment horizontal="center" shrinkToFit="0" vertical="center" wrapText="1"/>
    </xf>
    <xf borderId="9" fillId="0" fontId="20" numFmtId="0" xfId="0" applyAlignment="1" applyBorder="1" applyFont="1">
      <alignment horizontal="center" shrinkToFit="0" vertical="center" wrapText="1"/>
    </xf>
    <xf borderId="9" fillId="0" fontId="17" numFmtId="0" xfId="0" applyAlignment="1" applyBorder="1" applyFont="1">
      <alignment horizontal="left" shrinkToFit="0" vertical="center" wrapText="1"/>
    </xf>
    <xf borderId="9" fillId="2" fontId="20" numFmtId="0" xfId="0" applyAlignment="1" applyBorder="1" applyFill="1" applyFont="1">
      <alignment horizontal="left" shrinkToFit="0" vertical="center" wrapText="1"/>
    </xf>
    <xf borderId="25" fillId="0" fontId="17" numFmtId="0" xfId="0" applyAlignment="1" applyBorder="1" applyFont="1">
      <alignment horizontal="center" shrinkToFit="0" vertical="center" wrapText="1"/>
    </xf>
    <xf borderId="23" fillId="2" fontId="17" numFmtId="0" xfId="0" applyAlignment="1" applyBorder="1" applyFill="1" applyFont="1">
      <alignment horizontal="left" readingOrder="0" shrinkToFit="0" vertical="center" wrapText="1"/>
    </xf>
    <xf borderId="8" fillId="0" fontId="20" numFmtId="0" xfId="0" applyAlignment="1" applyBorder="1" applyFont="1">
      <alignment horizontal="left" readingOrder="0" shrinkToFit="0" vertical="center" wrapText="1"/>
    </xf>
    <xf borderId="0" fillId="0" fontId="17" numFmtId="0" xfId="0" applyAlignment="1" applyFont="1">
      <alignment horizontal="center" readingOrder="0" shrinkToFit="0" vertical="center" wrapText="1"/>
    </xf>
    <xf borderId="14" fillId="0" fontId="20" numFmtId="3" xfId="0" applyAlignment="1" applyBorder="1" applyFont="1" applyNumberFormat="1">
      <alignment horizontal="center" readingOrder="0" shrinkToFit="0" wrapText="0"/>
    </xf>
    <xf borderId="15" fillId="0" fontId="20" numFmtId="3" xfId="0" applyAlignment="1" applyBorder="1" applyFont="1" applyNumberFormat="1">
      <alignment horizontal="center" readingOrder="0" shrinkToFit="0" wrapText="0"/>
    </xf>
    <xf borderId="3" fillId="0" fontId="17" numFmtId="0" xfId="0" applyAlignment="1" applyBorder="1" applyFont="1">
      <alignment horizontal="center" shrinkToFit="0" vertical="center" wrapText="1"/>
    </xf>
    <xf borderId="8" fillId="0" fontId="27" numFmtId="0" xfId="0" applyAlignment="1" applyBorder="1" applyFont="1">
      <alignment horizontal="center" readingOrder="0" shrinkToFit="0" vertical="center" wrapText="1"/>
    </xf>
    <xf borderId="8" fillId="6" fontId="10" numFmtId="0" xfId="0" applyAlignment="1" applyBorder="1" applyFill="1" applyFont="1">
      <alignment horizontal="center" vertical="bottom"/>
    </xf>
    <xf borderId="14" fillId="8" fontId="10" numFmtId="3" xfId="0" applyAlignment="1" applyBorder="1" applyFill="1" applyFont="1" applyNumberFormat="1">
      <alignment horizontal="center" vertical="bottom"/>
    </xf>
    <xf borderId="15" fillId="8" fontId="10" numFmtId="3" xfId="0" applyAlignment="1" applyBorder="1" applyFill="1" applyFont="1" applyNumberFormat="1">
      <alignment horizontal="center" vertical="bottom"/>
    </xf>
    <xf borderId="17" fillId="8" fontId="10" numFmtId="3" xfId="0" applyAlignment="1" applyBorder="1" applyFill="1" applyFont="1" applyNumberFormat="1">
      <alignment horizontal="center" vertical="bottom"/>
    </xf>
    <xf borderId="18" fillId="8" fontId="10" numFmtId="3" xfId="0" applyAlignment="1" applyBorder="1" applyFill="1" applyFont="1" applyNumberFormat="1">
      <alignment horizontal="center" vertical="bottom"/>
    </xf>
    <xf borderId="9" fillId="8" fontId="10" numFmtId="3" xfId="0" applyAlignment="1" applyBorder="1" applyFill="1" applyFont="1" applyNumberFormat="1">
      <alignment horizontal="center" vertical="bottom"/>
    </xf>
    <xf borderId="3" fillId="8" fontId="10" numFmtId="3" xfId="0" applyAlignment="1" applyBorder="1" applyFill="1" applyFont="1" applyNumberFormat="1">
      <alignment horizontal="center" vertical="bottom"/>
    </xf>
    <xf borderId="2" fillId="8" fontId="10" numFmtId="3" xfId="0" applyAlignment="1" applyBorder="1" applyFill="1" applyFont="1" applyNumberFormat="1">
      <alignment horizontal="center" vertical="bottom"/>
    </xf>
    <xf borderId="1" fillId="0" fontId="28" numFmtId="0" xfId="0" applyAlignment="1" applyBorder="1" applyFont="1">
      <alignment horizontal="right" readingOrder="0" shrinkToFit="0" vertical="center" wrapText="1"/>
    </xf>
    <xf borderId="0" fillId="0" fontId="28" numFmtId="0" xfId="0" applyAlignment="1" applyFont="1">
      <alignment horizontal="center" readingOrder="0" shrinkToFit="0" vertical="center" wrapText="1"/>
    </xf>
    <xf borderId="1" fillId="2" fontId="29" numFmtId="164" xfId="0" applyAlignment="1" applyBorder="1" applyFill="1" applyFont="1" applyNumberFormat="1">
      <alignment horizontal="center" readingOrder="0" vertical="center"/>
    </xf>
    <xf borderId="22" fillId="3" fontId="8" numFmtId="0" xfId="0" applyAlignment="1" applyBorder="1" applyFill="1" applyFont="1">
      <alignment horizontal="center" readingOrder="0" shrinkToFit="0" vertical="center" wrapText="1"/>
    </xf>
    <xf borderId="0" fillId="3" fontId="10" numFmtId="0" xfId="0" applyAlignment="1" applyFill="1" applyFont="1">
      <alignment horizontal="center" shrinkToFit="0" vertical="center" wrapText="1"/>
    </xf>
    <xf borderId="26" fillId="0" fontId="2" numFmtId="0" xfId="0" applyBorder="1" applyFont="1"/>
    <xf borderId="8" fillId="3" fontId="8" numFmtId="0" xfId="0" applyAlignment="1" applyBorder="1" applyFill="1" applyFont="1">
      <alignment horizontal="center" readingOrder="0" shrinkToFit="0" vertical="center" wrapText="1"/>
    </xf>
    <xf borderId="9" fillId="3" fontId="8" numFmtId="0" xfId="0" applyAlignment="1" applyBorder="1" applyFill="1" applyFont="1">
      <alignment horizontal="center" readingOrder="0" shrinkToFit="0" vertical="center" wrapText="1"/>
    </xf>
    <xf borderId="0" fillId="3" fontId="8" numFmtId="0" xfId="0" applyAlignment="1" applyFill="1" applyFont="1">
      <alignment horizontal="center" readingOrder="0" shrinkToFit="0" vertical="center" wrapText="1"/>
    </xf>
    <xf borderId="8" fillId="21" fontId="17" numFmtId="0" xfId="0" applyAlignment="1" applyBorder="1" applyFill="1" applyFont="1">
      <alignment horizontal="left" shrinkToFit="0" vertical="center" wrapText="1"/>
    </xf>
    <xf borderId="8" fillId="0" fontId="17" numFmtId="165" xfId="0" applyAlignment="1" applyBorder="1" applyFont="1" applyNumberFormat="1">
      <alignment horizontal="center" readingOrder="0" shrinkToFit="0" vertical="center" wrapText="1"/>
    </xf>
    <xf borderId="9" fillId="0" fontId="17" numFmtId="0" xfId="0" applyAlignment="1" applyBorder="1" applyFont="1">
      <alignment horizontal="center" readingOrder="0" vertical="center"/>
    </xf>
    <xf borderId="9" fillId="0" fontId="30"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9" fillId="2" fontId="17" numFmtId="164" xfId="0" applyAlignment="1" applyBorder="1" applyFill="1" applyFont="1" applyNumberFormat="1">
      <alignment horizontal="center" readingOrder="0" shrinkToFit="0" vertical="center" wrapText="1"/>
    </xf>
    <xf borderId="9" fillId="0" fontId="20" numFmtId="0" xfId="0" applyAlignment="1" applyBorder="1" applyFont="1">
      <alignment readingOrder="0" shrinkToFit="0" vertical="bottom" wrapText="1"/>
    </xf>
    <xf borderId="9" fillId="21" fontId="17" numFmtId="0" xfId="0" applyAlignment="1" applyBorder="1" applyFill="1" applyFont="1">
      <alignment horizontal="left" shrinkToFit="0" vertical="center" wrapText="1"/>
    </xf>
    <xf borderId="9" fillId="21" fontId="17" numFmtId="0" xfId="0" applyAlignment="1" applyBorder="1" applyFill="1" applyFont="1">
      <alignment horizontal="left" readingOrder="0" shrinkToFit="0" vertical="center" wrapText="1"/>
    </xf>
    <xf borderId="9" fillId="2" fontId="17" numFmtId="166" xfId="0" applyAlignment="1" applyBorder="1" applyFill="1" applyFont="1" applyNumberFormat="1">
      <alignment horizontal="center" readingOrder="0" shrinkToFit="0" vertical="center" wrapText="1"/>
    </xf>
    <xf borderId="9" fillId="21" fontId="17" numFmtId="0" xfId="0" applyAlignment="1" applyBorder="1" applyFill="1" applyFont="1">
      <alignment horizontal="left" shrinkToFit="0" vertical="center" wrapText="1"/>
    </xf>
    <xf borderId="9" fillId="2" fontId="17" numFmtId="166" xfId="0" applyAlignment="1" applyBorder="1" applyFill="1" applyFont="1" applyNumberFormat="1">
      <alignment horizontal="center" shrinkToFit="0" vertical="center" wrapText="1"/>
    </xf>
    <xf borderId="0" fillId="0" fontId="20" numFmtId="0" xfId="0" applyAlignment="1" applyFont="1">
      <alignment horizontal="left" readingOrder="0" shrinkToFit="0" vertical="center" wrapText="1"/>
    </xf>
    <xf borderId="8" fillId="0" fontId="31" numFmtId="0" xfId="0" applyAlignment="1" applyBorder="1" applyFont="1">
      <alignment horizontal="center" readingOrder="0" shrinkToFit="0" vertical="center" wrapText="1"/>
    </xf>
    <xf borderId="0" fillId="0" fontId="31" numFmtId="0" xfId="0" applyAlignment="1" applyFont="1">
      <alignment horizontal="center" readingOrder="0" shrinkToFit="0" vertical="center" wrapText="1"/>
    </xf>
    <xf borderId="0" fillId="0" fontId="17" numFmtId="0" xfId="0" applyAlignment="1" applyFont="1">
      <alignment horizontal="left" readingOrder="0" shrinkToFit="0" vertical="center" wrapText="1"/>
    </xf>
    <xf borderId="9" fillId="0" fontId="32" numFmtId="0" xfId="0" applyAlignment="1" applyBorder="1" applyFont="1">
      <alignment horizontal="center" readingOrder="0" shrinkToFit="0" vertical="center" wrapText="1"/>
    </xf>
    <xf borderId="0" fillId="0" fontId="32" numFmtId="0" xfId="0" applyAlignment="1" applyFont="1">
      <alignment horizontal="center" readingOrder="0" shrinkToFit="0" vertical="center" wrapText="1"/>
    </xf>
    <xf borderId="9" fillId="21" fontId="20" numFmtId="0" xfId="0" applyAlignment="1" applyBorder="1" applyFill="1" applyFont="1">
      <alignment horizontal="left" shrinkToFit="0" vertical="center" wrapText="1"/>
    </xf>
    <xf borderId="9" fillId="21" fontId="20" numFmtId="0" xfId="0" applyAlignment="1" applyBorder="1" applyFill="1" applyFont="1">
      <alignment horizontal="left" readingOrder="0" shrinkToFit="0" vertical="center" wrapText="1"/>
    </xf>
    <xf borderId="8" fillId="0" fontId="17" numFmtId="165" xfId="0" applyAlignment="1" applyBorder="1" applyFont="1" applyNumberFormat="1">
      <alignment horizontal="left" readingOrder="0" shrinkToFit="0" vertical="center" wrapText="1"/>
    </xf>
    <xf borderId="9" fillId="0" fontId="20" numFmtId="0" xfId="0" applyAlignment="1" applyBorder="1" applyFont="1">
      <alignment horizontal="right" readingOrder="0" shrinkToFit="0" vertical="bottom" wrapText="0"/>
    </xf>
    <xf borderId="9" fillId="20" fontId="17" numFmtId="0" xfId="0" applyAlignment="1" applyBorder="1" applyFill="1" applyFont="1">
      <alignment horizontal="left" readingOrder="0" shrinkToFit="0" vertical="center" wrapText="1"/>
    </xf>
    <xf borderId="0" fillId="0" fontId="20" numFmtId="0" xfId="0" applyAlignment="1" applyFont="1">
      <alignment horizontal="left" shrinkToFit="0" vertical="center" wrapText="1"/>
    </xf>
    <xf borderId="9" fillId="0" fontId="26" numFmtId="0" xfId="0" applyAlignment="1" applyBorder="1" applyFont="1">
      <alignment horizontal="center" shrinkToFit="0" vertical="center" wrapText="1"/>
    </xf>
    <xf borderId="9" fillId="2" fontId="20" numFmtId="0" xfId="0" applyAlignment="1" applyBorder="1" applyFill="1" applyFont="1">
      <alignment horizontal="left" readingOrder="0" shrinkToFit="0" vertical="center" wrapText="1"/>
    </xf>
    <xf borderId="16" fillId="0" fontId="17" numFmtId="0" xfId="0" applyAlignment="1" applyBorder="1" applyFont="1">
      <alignment horizontal="left" readingOrder="0" shrinkToFit="0" vertical="center" wrapText="1"/>
    </xf>
    <xf borderId="16" fillId="0" fontId="20" numFmtId="0" xfId="0" applyAlignment="1" applyBorder="1" applyFont="1">
      <alignment horizontal="left" readingOrder="0" shrinkToFit="0" vertical="center" wrapText="1"/>
    </xf>
    <xf borderId="8" fillId="5" fontId="17" numFmtId="165" xfId="0" applyAlignment="1" applyBorder="1" applyFill="1" applyFont="1" applyNumberFormat="1">
      <alignment horizontal="left" readingOrder="0" shrinkToFit="0" vertical="center" wrapText="1"/>
    </xf>
    <xf borderId="9" fillId="15" fontId="17" numFmtId="0" xfId="0" applyAlignment="1" applyBorder="1" applyFill="1" applyFont="1">
      <alignment horizontal="left" readingOrder="0" shrinkToFit="0" vertical="center" wrapText="1"/>
    </xf>
    <xf borderId="9" fillId="0" fontId="5" numFmtId="0" xfId="0" applyAlignment="1" applyBorder="1" applyFont="1">
      <alignment horizontal="left" readingOrder="0" shrinkToFit="0" vertical="center" wrapText="1"/>
    </xf>
    <xf borderId="9" fillId="15" fontId="17" numFmtId="0" xfId="0" applyAlignment="1" applyBorder="1" applyFill="1" applyFont="1">
      <alignment horizontal="left" shrinkToFit="0" vertical="center" wrapText="1"/>
    </xf>
    <xf borderId="0" fillId="0" fontId="11" numFmtId="165" xfId="0" applyAlignment="1" applyFont="1" applyNumberFormat="1">
      <alignment horizontal="center" readingOrder="0" vertical="center"/>
    </xf>
    <xf borderId="9" fillId="3" fontId="5" numFmtId="164" xfId="0" applyAlignment="1" applyBorder="1" applyFill="1" applyFont="1" applyNumberFormat="1">
      <alignment horizontal="center" shrinkToFit="0" vertical="center" wrapText="1"/>
    </xf>
    <xf borderId="9" fillId="3" fontId="5" numFmtId="0" xfId="0" applyAlignment="1" applyBorder="1" applyFill="1" applyFont="1">
      <alignment horizontal="center" shrinkToFit="0" vertical="center" wrapText="1"/>
    </xf>
    <xf borderId="9" fillId="3" fontId="5" numFmtId="0" xfId="0" applyAlignment="1" applyBorder="1" applyFill="1" applyFont="1">
      <alignment horizontal="center" readingOrder="0" shrinkToFit="0" vertical="center" wrapText="1"/>
    </xf>
    <xf borderId="9" fillId="3" fontId="8" numFmtId="0" xfId="0" applyAlignment="1" applyBorder="1" applyFill="1" applyFont="1">
      <alignment horizontal="center" shrinkToFit="0" vertical="center" wrapText="1"/>
    </xf>
    <xf borderId="9" fillId="10" fontId="16" numFmtId="0" xfId="0" applyAlignment="1" applyBorder="1" applyFill="1" applyFont="1">
      <alignment horizontal="center" shrinkToFit="0" vertical="center" wrapText="1"/>
    </xf>
    <xf borderId="9" fillId="10" fontId="10" numFmtId="0" xfId="0" applyAlignment="1" applyBorder="1" applyFill="1" applyFont="1">
      <alignment horizontal="center" shrinkToFit="0" vertical="center" wrapText="1"/>
    </xf>
    <xf borderId="9" fillId="3" fontId="10" numFmtId="0" xfId="0" applyAlignment="1" applyBorder="1" applyFill="1" applyFont="1">
      <alignment horizontal="center" shrinkToFit="0" vertical="center" wrapText="1"/>
    </xf>
    <xf borderId="9" fillId="10" fontId="10" numFmtId="0" xfId="0" applyAlignment="1" applyBorder="1" applyFill="1" applyFont="1">
      <alignment horizontal="center" readingOrder="0" shrinkToFit="0" vertical="center" wrapText="1"/>
    </xf>
    <xf borderId="9" fillId="3" fontId="17" numFmtId="3" xfId="0" applyAlignment="1" applyBorder="1" applyFill="1" applyFont="1" applyNumberFormat="1">
      <alignment horizontal="center" readingOrder="0" shrinkToFit="0" vertical="center" wrapText="1"/>
    </xf>
    <xf borderId="9" fillId="3" fontId="10" numFmtId="3" xfId="0" applyAlignment="1" applyBorder="1" applyFill="1" applyFont="1" applyNumberFormat="1">
      <alignment horizontal="center" readingOrder="0" shrinkToFit="0" vertical="center" wrapText="1"/>
    </xf>
    <xf borderId="0" fillId="3" fontId="10" numFmtId="0" xfId="0" applyAlignment="1" applyFill="1" applyFont="1">
      <alignment horizontal="center" readingOrder="0" shrinkToFit="0" vertical="center" wrapText="1"/>
    </xf>
    <xf borderId="8" fillId="0" fontId="17" numFmtId="49" xfId="0" applyAlignment="1" applyBorder="1" applyFont="1" applyNumberFormat="1">
      <alignment horizontal="center" shrinkToFit="0" vertical="center" wrapText="1"/>
    </xf>
    <xf borderId="13" fillId="22" fontId="19" numFmtId="0" xfId="0" applyAlignment="1" applyBorder="1" applyFill="1" applyFont="1">
      <alignment horizontal="center" shrinkToFit="0" vertical="center" wrapText="1"/>
    </xf>
    <xf borderId="4" fillId="2" fontId="17" numFmtId="0" xfId="0" applyAlignment="1" applyBorder="1" applyFill="1" applyFont="1">
      <alignment horizontal="left" shrinkToFit="0" vertical="center" wrapText="1"/>
    </xf>
    <xf borderId="9" fillId="17" fontId="10" numFmtId="3" xfId="0" applyAlignment="1" applyBorder="1" applyFill="1" applyFont="1" applyNumberFormat="1">
      <alignment horizontal="center" vertical="center"/>
    </xf>
    <xf borderId="9" fillId="23" fontId="17" numFmtId="0" xfId="0" applyAlignment="1" applyBorder="1" applyFill="1" applyFont="1">
      <alignment horizontal="center" readingOrder="0" shrinkToFit="0" vertical="center" wrapText="1"/>
    </xf>
    <xf borderId="13" fillId="24" fontId="10" numFmtId="3" xfId="0" applyAlignment="1" applyBorder="1" applyFill="1" applyFont="1" applyNumberFormat="1">
      <alignment horizontal="center" vertical="center"/>
    </xf>
    <xf borderId="4" fillId="2" fontId="17" numFmtId="0" xfId="0" applyAlignment="1" applyBorder="1" applyFill="1" applyFont="1">
      <alignment horizontal="center" shrinkToFit="0" vertical="center" wrapText="1"/>
    </xf>
    <xf borderId="8" fillId="17" fontId="10" numFmtId="3" xfId="0" applyAlignment="1" applyBorder="1" applyFill="1" applyFont="1" applyNumberFormat="1">
      <alignment horizontal="center" vertical="center"/>
    </xf>
    <xf borderId="8" fillId="18" fontId="10" numFmtId="3" xfId="0" applyAlignment="1" applyBorder="1" applyFill="1" applyFont="1" applyNumberFormat="1">
      <alignment horizontal="center" vertical="center"/>
    </xf>
    <xf borderId="8" fillId="23" fontId="17" numFmtId="0" xfId="0" applyAlignment="1" applyBorder="1" applyFill="1" applyFont="1">
      <alignment horizontal="center" readingOrder="0" shrinkToFit="0" vertical="center" wrapText="1"/>
    </xf>
    <xf borderId="16" fillId="13" fontId="19" numFmtId="0" xfId="0" applyAlignment="1" applyBorder="1" applyFill="1" applyFont="1">
      <alignment horizontal="center" vertical="center"/>
    </xf>
    <xf borderId="16" fillId="14" fontId="10" numFmtId="0" xfId="0" applyAlignment="1" applyBorder="1" applyFill="1" applyFont="1">
      <alignment horizontal="center" readingOrder="0" shrinkToFit="0" vertical="center" wrapText="1"/>
    </xf>
    <xf borderId="9" fillId="22" fontId="19" numFmtId="0" xfId="0" applyAlignment="1" applyBorder="1" applyFill="1" applyFont="1">
      <alignment horizontal="center" shrinkToFit="0" vertical="center" wrapText="1"/>
    </xf>
    <xf borderId="24" fillId="0" fontId="17" numFmtId="3" xfId="0" applyAlignment="1" applyBorder="1" applyFont="1" applyNumberFormat="1">
      <alignment horizontal="center" readingOrder="0" vertical="center"/>
    </xf>
    <xf borderId="4" fillId="0" fontId="17" numFmtId="3" xfId="0" applyAlignment="1" applyBorder="1" applyFont="1" applyNumberFormat="1">
      <alignment horizontal="center" readingOrder="0" vertical="center"/>
    </xf>
    <xf borderId="22" fillId="0" fontId="17" numFmtId="3" xfId="0" applyAlignment="1" applyBorder="1" applyFont="1" applyNumberFormat="1">
      <alignment horizontal="center" readingOrder="0" vertical="center"/>
    </xf>
    <xf borderId="27" fillId="15" fontId="17" numFmtId="3" xfId="0" applyAlignment="1" applyBorder="1" applyFill="1" applyFont="1" applyNumberFormat="1">
      <alignment horizontal="center" readingOrder="0" vertical="center"/>
    </xf>
    <xf borderId="13" fillId="18" fontId="10" numFmtId="3" xfId="0" applyAlignment="1" applyBorder="1" applyFill="1" applyFont="1" applyNumberFormat="1">
      <alignment horizontal="center" vertical="center"/>
    </xf>
    <xf borderId="16" fillId="15" fontId="17" numFmtId="3" xfId="0" applyAlignment="1" applyBorder="1" applyFill="1" applyFont="1" applyNumberFormat="1">
      <alignment horizontal="center" readingOrder="0" vertical="center"/>
    </xf>
    <xf borderId="28" fillId="15" fontId="17" numFmtId="3" xfId="0" applyAlignment="1" applyBorder="1" applyFill="1" applyFont="1" applyNumberFormat="1">
      <alignment horizontal="center" readingOrder="0" vertical="center"/>
    </xf>
    <xf borderId="9" fillId="22" fontId="19" numFmtId="0" xfId="0" applyAlignment="1" applyBorder="1" applyFill="1" applyFont="1">
      <alignment horizontal="center" readingOrder="0" shrinkToFit="0" vertical="center" wrapText="1"/>
    </xf>
    <xf borderId="4" fillId="5" fontId="17" numFmtId="0" xfId="0" applyAlignment="1" applyBorder="1" applyFill="1" applyFont="1">
      <alignment horizontal="left" readingOrder="0" shrinkToFit="0" vertical="center" wrapText="1"/>
    </xf>
    <xf borderId="9" fillId="22" fontId="33" numFmtId="0" xfId="0" applyAlignment="1" applyBorder="1" applyFill="1" applyFont="1">
      <alignment horizontal="center" readingOrder="0" shrinkToFit="0" vertical="center" wrapText="1"/>
    </xf>
    <xf borderId="9" fillId="22" fontId="33" numFmtId="0" xfId="0" applyAlignment="1" applyBorder="1" applyFill="1" applyFont="1">
      <alignment horizontal="center" shrinkToFit="0" vertical="center" wrapText="1"/>
    </xf>
    <xf borderId="4" fillId="13" fontId="19" numFmtId="0" xfId="0" applyAlignment="1" applyBorder="1" applyFill="1" applyFont="1">
      <alignment horizontal="center" vertical="center"/>
    </xf>
    <xf borderId="4" fillId="14" fontId="10" numFmtId="0" xfId="0" applyAlignment="1" applyBorder="1" applyFill="1" applyFont="1">
      <alignment horizontal="center" readingOrder="0" shrinkToFit="0" vertical="center" wrapText="1"/>
    </xf>
    <xf borderId="4" fillId="15" fontId="17" numFmtId="3" xfId="0" applyAlignment="1" applyBorder="1" applyFill="1" applyFont="1" applyNumberFormat="1">
      <alignment horizontal="center" readingOrder="0" vertical="center"/>
    </xf>
    <xf borderId="29" fillId="15" fontId="17" numFmtId="3" xfId="0" applyAlignment="1" applyBorder="1" applyFill="1" applyFont="1" applyNumberFormat="1">
      <alignment horizontal="center" readingOrder="0" vertical="center"/>
    </xf>
    <xf borderId="9" fillId="22" fontId="7" numFmtId="0" xfId="0" applyAlignment="1" applyBorder="1" applyFill="1" applyFont="1">
      <alignment horizontal="center" readingOrder="0" shrinkToFit="0" vertical="center" wrapText="1"/>
    </xf>
    <xf borderId="9" fillId="25" fontId="19" numFmtId="0" xfId="0" applyAlignment="1" applyBorder="1" applyFill="1" applyFont="1">
      <alignment horizontal="center" shrinkToFit="0" vertical="center" wrapText="1"/>
    </xf>
    <xf borderId="9" fillId="26" fontId="19" numFmtId="0" xfId="0" applyAlignment="1" applyBorder="1" applyFill="1" applyFont="1">
      <alignment horizontal="center" shrinkToFit="0" vertical="center" wrapText="1"/>
    </xf>
    <xf borderId="9" fillId="25" fontId="7" numFmtId="0" xfId="0" applyAlignment="1" applyBorder="1" applyFill="1" applyFont="1">
      <alignment horizontal="center" readingOrder="0" shrinkToFit="0" vertical="center" wrapText="1"/>
    </xf>
    <xf borderId="9" fillId="25" fontId="19" numFmtId="0" xfId="0" applyAlignment="1" applyBorder="1" applyFill="1" applyFont="1">
      <alignment horizontal="center" readingOrder="0" shrinkToFit="0" vertical="center" wrapText="1"/>
    </xf>
    <xf borderId="9" fillId="22" fontId="10" numFmtId="0" xfId="0" applyAlignment="1" applyBorder="1" applyFill="1" applyFont="1">
      <alignment horizontal="center" readingOrder="0" shrinkToFit="0" vertical="center" wrapText="1"/>
    </xf>
    <xf borderId="9" fillId="13" fontId="19" numFmtId="0" xfId="0" applyAlignment="1" applyBorder="1" applyFill="1" applyFont="1">
      <alignment horizontal="center" readingOrder="0" shrinkToFit="0" vertical="center" wrapText="1"/>
    </xf>
    <xf borderId="13" fillId="16" fontId="10" numFmtId="0" xfId="0" applyAlignment="1" applyBorder="1" applyFill="1" applyFont="1">
      <alignment horizontal="center" readingOrder="0" vertical="center"/>
    </xf>
    <xf borderId="13" fillId="17" fontId="10" numFmtId="3" xfId="0" applyAlignment="1" applyBorder="1" applyFill="1" applyFont="1" applyNumberFormat="1">
      <alignment horizontal="center" readingOrder="0" vertical="center"/>
    </xf>
    <xf borderId="13" fillId="18" fontId="10" numFmtId="3" xfId="0" applyAlignment="1" applyBorder="1" applyFill="1" applyFont="1" applyNumberFormat="1">
      <alignment horizontal="center" readingOrder="0" vertical="center"/>
    </xf>
    <xf borderId="9" fillId="23" fontId="17" numFmtId="3" xfId="0" applyAlignment="1" applyBorder="1" applyFill="1" applyFont="1" applyNumberFormat="1">
      <alignment horizontal="center" readingOrder="0" shrinkToFit="0" vertical="center" wrapText="1"/>
    </xf>
    <xf borderId="23" fillId="2" fontId="17" numFmtId="0" xfId="0" applyAlignment="1" applyBorder="1" applyFill="1" applyFont="1">
      <alignment horizontal="center" shrinkToFit="0" vertical="center" wrapText="1"/>
    </xf>
    <xf borderId="9" fillId="22" fontId="34" numFmtId="0" xfId="0" applyAlignment="1" applyBorder="1" applyFill="1" applyFont="1">
      <alignment horizontal="center" readingOrder="0" shrinkToFit="0" vertical="center" wrapText="1"/>
    </xf>
    <xf borderId="9" fillId="26" fontId="19" numFmtId="0" xfId="0" applyAlignment="1" applyBorder="1" applyFill="1" applyFont="1">
      <alignment horizontal="center" readingOrder="0" shrinkToFit="0" vertical="center" wrapText="1"/>
    </xf>
    <xf borderId="9" fillId="2" fontId="25" numFmtId="0" xfId="0" applyAlignment="1" applyBorder="1" applyFill="1" applyFont="1">
      <alignment horizontal="center" readingOrder="0" shrinkToFit="0" vertical="center" wrapText="1"/>
    </xf>
    <xf borderId="9" fillId="0" fontId="17" numFmtId="165" xfId="0" applyAlignment="1" applyBorder="1" applyFont="1" applyNumberFormat="1">
      <alignment horizontal="center" readingOrder="0" shrinkToFit="0" vertical="center" wrapText="1"/>
    </xf>
    <xf borderId="8" fillId="0" fontId="20" numFmtId="3" xfId="0" applyAlignment="1" applyBorder="1" applyFont="1" applyNumberFormat="1">
      <alignment horizontal="center" readingOrder="0" shrinkToFit="0" wrapText="0"/>
    </xf>
    <xf borderId="8" fillId="0" fontId="10" numFmtId="0" xfId="0" applyAlignment="1" applyBorder="1" applyFont="1">
      <alignment horizontal="center" readingOrder="0" shrinkToFit="0" vertical="center" wrapText="1"/>
    </xf>
    <xf borderId="9" fillId="22" fontId="7" numFmtId="0" xfId="0" applyAlignment="1" applyBorder="1" applyFill="1" applyFont="1">
      <alignment horizontal="center" readingOrder="0" vertical="center"/>
    </xf>
    <xf borderId="9" fillId="22" fontId="19" numFmtId="0" xfId="0" applyAlignment="1" applyBorder="1" applyFill="1" applyFont="1">
      <alignment horizontal="center" vertical="center"/>
    </xf>
    <xf borderId="9" fillId="27" fontId="10" numFmtId="0" xfId="0" applyAlignment="1" applyBorder="1" applyFill="1" applyFont="1">
      <alignment horizontal="center" readingOrder="0" shrinkToFit="0" vertical="center" wrapText="1"/>
    </xf>
    <xf borderId="3" fillId="15" fontId="17" numFmtId="0" xfId="0" applyAlignment="1" applyBorder="1" applyFill="1" applyFont="1">
      <alignment horizontal="center" readingOrder="0" shrinkToFit="0" vertical="center" wrapText="1"/>
    </xf>
    <xf borderId="9" fillId="0" fontId="23" numFmtId="0" xfId="0" applyAlignment="1" applyBorder="1" applyFont="1">
      <alignment horizontal="center" shrinkToFit="0" vertical="center" wrapText="1"/>
    </xf>
    <xf borderId="9" fillId="4" fontId="20" numFmtId="0" xfId="0" applyAlignment="1" applyBorder="1" applyFill="1" applyFont="1">
      <alignment horizontal="center" readingOrder="0"/>
    </xf>
    <xf borderId="9" fillId="4" fontId="35" numFmtId="0" xfId="0" applyAlignment="1" applyBorder="1" applyFill="1" applyFont="1">
      <alignment horizontal="center" readingOrder="0"/>
    </xf>
    <xf borderId="9" fillId="20" fontId="19" numFmtId="0" xfId="0" applyAlignment="1" applyBorder="1" applyFill="1" applyFont="1">
      <alignment horizontal="center" shrinkToFit="0" vertical="center" wrapText="1"/>
    </xf>
    <xf borderId="9" fillId="20" fontId="17" numFmtId="0" xfId="0" applyAlignment="1" applyBorder="1" applyFill="1" applyFont="1">
      <alignment horizontal="left" shrinkToFit="0" vertical="center" wrapText="1"/>
    </xf>
    <xf borderId="8" fillId="4" fontId="35" numFmtId="0" xfId="0" applyAlignment="1" applyBorder="1" applyFill="1" applyFont="1">
      <alignment horizontal="center" readingOrder="0"/>
    </xf>
    <xf borderId="8" fillId="15" fontId="20" numFmtId="0" xfId="0" applyAlignment="1" applyBorder="1" applyFill="1" applyFont="1">
      <alignment horizontal="center" readingOrder="0"/>
    </xf>
    <xf borderId="8" fillId="4" fontId="20" numFmtId="0" xfId="0" applyAlignment="1" applyBorder="1" applyFill="1" applyFont="1">
      <alignment horizontal="center" readingOrder="0"/>
    </xf>
    <xf borderId="9" fillId="14" fontId="4" numFmtId="0" xfId="0" applyAlignment="1" applyBorder="1" applyFill="1" applyFont="1">
      <alignment horizontal="center" readingOrder="0" shrinkToFit="0" vertical="center" wrapText="1"/>
    </xf>
    <xf borderId="9" fillId="28" fontId="19" numFmtId="0" xfId="0" applyAlignment="1" applyBorder="1" applyFill="1" applyFont="1">
      <alignment horizontal="center" shrinkToFit="0" vertical="center" wrapText="1"/>
    </xf>
    <xf borderId="9" fillId="0" fontId="36" numFmtId="3" xfId="0" applyAlignment="1" applyBorder="1" applyFont="1" applyNumberFormat="1">
      <alignment horizontal="center" readingOrder="0" shrinkToFit="0" vertical="center" wrapText="1"/>
    </xf>
    <xf borderId="23" fillId="20" fontId="17" numFmtId="0" xfId="0" applyAlignment="1" applyBorder="1" applyFill="1" applyFont="1">
      <alignment horizontal="center" shrinkToFit="0" vertical="center" wrapText="1"/>
    </xf>
    <xf borderId="9" fillId="0" fontId="15" numFmtId="0" xfId="0" applyAlignment="1" applyBorder="1" applyFont="1">
      <alignment horizontal="center" shrinkToFit="0" vertical="center" wrapText="1"/>
    </xf>
    <xf borderId="3" fillId="0" fontId="17" numFmtId="0" xfId="0" applyAlignment="1" applyBorder="1" applyFont="1">
      <alignment horizontal="left" readingOrder="0" shrinkToFit="0" vertical="center" wrapText="1"/>
    </xf>
    <xf borderId="4" fillId="0" fontId="17" numFmtId="164" xfId="0" applyAlignment="1" applyBorder="1" applyFont="1" applyNumberFormat="1">
      <alignment horizontal="center" shrinkToFit="0" vertical="center" wrapText="1"/>
    </xf>
    <xf borderId="4" fillId="0" fontId="20" numFmtId="0" xfId="0" applyAlignment="1" applyBorder="1" applyFont="1">
      <alignment horizontal="left" readingOrder="0" shrinkToFit="0" vertical="center" wrapText="1"/>
    </xf>
    <xf borderId="16" fillId="0" fontId="17" numFmtId="0" xfId="0" applyAlignment="1" applyBorder="1" applyFont="1">
      <alignment horizontal="left" shrinkToFit="0" vertical="center" wrapText="1"/>
    </xf>
    <xf borderId="5" fillId="0" fontId="17" numFmtId="0" xfId="0" applyAlignment="1" applyBorder="1" applyFont="1">
      <alignment horizontal="center" shrinkToFit="0" vertical="center" wrapText="1"/>
    </xf>
    <xf borderId="16" fillId="25" fontId="7" numFmtId="0" xfId="0" applyAlignment="1" applyBorder="1" applyFill="1" applyFont="1">
      <alignment horizontal="center" readingOrder="0" shrinkToFit="0" vertical="center" wrapText="1"/>
    </xf>
    <xf borderId="19" fillId="0" fontId="17" numFmtId="0" xfId="0" applyAlignment="1" applyBorder="1" applyFont="1">
      <alignment horizontal="center" shrinkToFit="0" vertical="center" wrapText="1"/>
    </xf>
    <xf borderId="3" fillId="0" fontId="17" numFmtId="0" xfId="0" applyAlignment="1" applyBorder="1" applyFont="1">
      <alignment horizontal="left" shrinkToFit="0" vertical="center" wrapText="1"/>
    </xf>
    <xf borderId="8" fillId="21" fontId="17" numFmtId="0" xfId="0" applyAlignment="1" applyBorder="1" applyFill="1" applyFont="1">
      <alignment horizontal="center" shrinkToFit="0" vertical="center" wrapText="1"/>
    </xf>
    <xf borderId="13" fillId="2" fontId="17" numFmtId="0" xfId="0" applyAlignment="1" applyBorder="1" applyFill="1" applyFont="1">
      <alignment horizontal="left" shrinkToFit="0" vertical="center" wrapText="1"/>
    </xf>
    <xf borderId="9" fillId="4" fontId="17" numFmtId="0" xfId="0" applyAlignment="1" applyBorder="1" applyFill="1" applyFont="1">
      <alignment horizontal="left" shrinkToFit="0" vertical="center" wrapText="1"/>
    </xf>
    <xf borderId="9" fillId="0" fontId="0" numFmtId="0" xfId="0" applyAlignment="1" applyBorder="1" applyFont="1">
      <alignment horizontal="center" shrinkToFit="0" vertical="center" wrapText="1"/>
    </xf>
    <xf borderId="9" fillId="0" fontId="20" numFmtId="0" xfId="0" applyAlignment="1" applyBorder="1" applyFont="1">
      <alignment readingOrder="0" shrinkToFit="0" vertical="center" wrapText="1"/>
    </xf>
    <xf borderId="9" fillId="26" fontId="7" numFmtId="0" xfId="0" applyAlignment="1" applyBorder="1" applyFill="1" applyFont="1">
      <alignment horizontal="center" shrinkToFit="0" vertical="center" wrapText="1"/>
    </xf>
    <xf borderId="8" fillId="14" fontId="10" numFmtId="0" xfId="0" applyAlignment="1" applyBorder="1" applyFill="1" applyFont="1">
      <alignment horizontal="center" readingOrder="0" shrinkToFit="0" vertical="center" wrapText="1"/>
    </xf>
    <xf borderId="9" fillId="22" fontId="7" numFmtId="0" xfId="0" applyAlignment="1" applyBorder="1" applyFill="1" applyFont="1">
      <alignment horizontal="center" shrinkToFit="0" vertical="center" wrapText="1"/>
    </xf>
    <xf borderId="9" fillId="14" fontId="10" numFmtId="0" xfId="0" applyAlignment="1" applyBorder="1" applyFill="1" applyFont="1">
      <alignment horizontal="center" readingOrder="0" shrinkToFit="0" vertical="center" wrapText="1"/>
    </xf>
    <xf borderId="9" fillId="20" fontId="19" numFmtId="0" xfId="0" applyAlignment="1" applyBorder="1" applyFill="1" applyFont="1">
      <alignment horizontal="center" readingOrder="0" shrinkToFit="0" vertical="center" wrapText="1"/>
    </xf>
    <xf borderId="8" fillId="20" fontId="17" numFmtId="0" xfId="0" applyAlignment="1" applyBorder="1" applyFill="1" applyFont="1">
      <alignment horizontal="left" readingOrder="0" shrinkToFit="0" vertical="center" wrapText="1"/>
    </xf>
    <xf borderId="9" fillId="13" fontId="19" numFmtId="0" xfId="0" applyAlignment="1" applyBorder="1" applyFill="1" applyFont="1">
      <alignment horizontal="center" shrinkToFit="0" vertical="center" wrapText="1"/>
    </xf>
    <xf borderId="9" fillId="2" fontId="37" numFmtId="0" xfId="0" applyAlignment="1" applyBorder="1" applyFill="1" applyFont="1">
      <alignment horizontal="center" readingOrder="0" shrinkToFit="0" vertical="center" wrapText="1"/>
    </xf>
    <xf borderId="2" fillId="0" fontId="17" numFmtId="0" xfId="0" applyAlignment="1" applyBorder="1" applyFont="1">
      <alignment horizontal="center" readingOrder="0" shrinkToFit="0" vertical="center" wrapText="1"/>
    </xf>
    <xf borderId="23" fillId="2" fontId="17" numFmtId="0" xfId="0" applyAlignment="1" applyBorder="1" applyFill="1" applyFont="1">
      <alignment horizontal="left" shrinkToFit="0" vertical="center" wrapText="1"/>
    </xf>
    <xf borderId="3" fillId="2" fontId="17" numFmtId="0" xfId="0" applyAlignment="1" applyBorder="1" applyFill="1" applyFont="1">
      <alignment horizontal="center" shrinkToFit="0" vertical="center" wrapText="1"/>
    </xf>
    <xf borderId="4" fillId="2" fontId="17" numFmtId="0" xfId="0" applyAlignment="1" applyBorder="1" applyFill="1" applyFont="1">
      <alignment horizontal="left" readingOrder="0" shrinkToFit="0" vertical="center" wrapText="1"/>
    </xf>
    <xf borderId="23" fillId="0" fontId="17" numFmtId="0" xfId="0" applyAlignment="1" applyBorder="1" applyFont="1">
      <alignment horizontal="left" shrinkToFit="0" vertical="center" wrapText="1"/>
    </xf>
    <xf borderId="8" fillId="20" fontId="17" numFmtId="0" xfId="0" applyAlignment="1" applyBorder="1" applyFill="1" applyFont="1">
      <alignment horizontal="left" shrinkToFit="0" vertical="center" wrapText="1"/>
    </xf>
    <xf borderId="8" fillId="22" fontId="19" numFmtId="0" xfId="0" applyAlignment="1" applyBorder="1" applyFill="1" applyFont="1">
      <alignment horizontal="center" shrinkToFit="0" vertical="center" wrapText="1"/>
    </xf>
    <xf borderId="8" fillId="2" fontId="17" numFmtId="0" xfId="0" applyAlignment="1" applyBorder="1" applyFill="1" applyFont="1">
      <alignment horizontal="left" readingOrder="0" shrinkToFit="0" vertical="center" wrapText="1"/>
    </xf>
    <xf borderId="8" fillId="19" fontId="10" numFmtId="0" xfId="0" applyAlignment="1" applyBorder="1" applyFill="1" applyFont="1">
      <alignment horizontal="center" shrinkToFit="0" vertical="center" wrapText="1"/>
    </xf>
    <xf borderId="8" fillId="19" fontId="10" numFmtId="0" xfId="0" applyAlignment="1" applyBorder="1" applyFill="1" applyFont="1">
      <alignment horizontal="center" readingOrder="0" shrinkToFit="0" vertical="center" wrapText="1"/>
    </xf>
    <xf borderId="8" fillId="22" fontId="38" numFmtId="0" xfId="0" applyAlignment="1" applyBorder="1" applyFill="1" applyFont="1">
      <alignment horizontal="center" shrinkToFit="0" vertical="center" wrapText="1"/>
    </xf>
    <xf borderId="8" fillId="22" fontId="19" numFmtId="0" xfId="0" applyAlignment="1" applyBorder="1" applyFill="1" applyFont="1">
      <alignment horizontal="center" readingOrder="0" shrinkToFit="0" vertical="center" wrapText="1"/>
    </xf>
    <xf borderId="9" fillId="0" fontId="20" numFmtId="0" xfId="0" applyAlignment="1" applyBorder="1" applyFont="1">
      <alignment horizontal="center" readingOrder="0" shrinkToFit="0" vertical="center" wrapText="1"/>
    </xf>
    <xf borderId="8" fillId="19" fontId="4" numFmtId="0" xfId="0" applyAlignment="1" applyBorder="1" applyFill="1" applyFont="1">
      <alignment horizontal="center" shrinkToFit="0" vertical="center" wrapText="1"/>
    </xf>
    <xf borderId="8" fillId="13" fontId="19" numFmtId="0" xfId="0" applyAlignment="1" applyBorder="1" applyFill="1" applyFont="1">
      <alignment horizontal="center" shrinkToFit="0" vertical="center" wrapText="1"/>
    </xf>
    <xf borderId="8" fillId="20" fontId="19" numFmtId="0" xfId="0" applyAlignment="1" applyBorder="1" applyFill="1" applyFont="1">
      <alignment horizontal="center" shrinkToFit="0" vertical="center" wrapText="1"/>
    </xf>
    <xf borderId="25" fillId="2" fontId="17" numFmtId="0" xfId="0" applyAlignment="1" applyBorder="1" applyFill="1" applyFont="1">
      <alignment horizontal="left" shrinkToFit="0" vertical="center" wrapText="1"/>
    </xf>
    <xf borderId="8" fillId="22" fontId="7" numFmtId="0" xfId="0" applyAlignment="1" applyBorder="1" applyFill="1" applyFont="1">
      <alignment horizontal="center" shrinkToFit="0" vertical="center" wrapText="1"/>
    </xf>
    <xf borderId="9" fillId="0" fontId="24" numFmtId="0" xfId="0" applyAlignment="1" applyBorder="1" applyFont="1">
      <alignment horizontal="center" readingOrder="0" vertical="center"/>
    </xf>
    <xf borderId="9" fillId="22" fontId="38" numFmtId="0" xfId="0" applyAlignment="1" applyBorder="1" applyFill="1" applyFont="1">
      <alignment horizontal="center" readingOrder="0" shrinkToFit="0" vertical="center" wrapText="1"/>
    </xf>
    <xf borderId="8" fillId="25" fontId="7" numFmtId="0" xfId="0" applyAlignment="1" applyBorder="1" applyFill="1" applyFont="1">
      <alignment horizontal="center" readingOrder="0" shrinkToFit="0" vertical="center" wrapText="1"/>
    </xf>
    <xf borderId="8" fillId="14" fontId="10" numFmtId="0" xfId="0" applyAlignment="1" applyBorder="1" applyFill="1" applyFont="1">
      <alignment horizontal="center" shrinkToFit="0" vertical="center" wrapText="1"/>
    </xf>
    <xf borderId="9" fillId="0" fontId="24" numFmtId="0" xfId="0" applyAlignment="1" applyBorder="1" applyFont="1">
      <alignment horizontal="center" shrinkToFit="0" vertical="center" wrapText="1"/>
    </xf>
    <xf borderId="9" fillId="19" fontId="4" numFmtId="0" xfId="0" applyAlignment="1" applyBorder="1" applyFill="1" applyFont="1">
      <alignment horizontal="center" readingOrder="0" shrinkToFit="0" vertical="center" wrapText="1"/>
    </xf>
    <xf borderId="9" fillId="22" fontId="38" numFmtId="0" xfId="0" applyAlignment="1" applyBorder="1" applyFill="1" applyFont="1">
      <alignment horizontal="center" shrinkToFit="0" vertical="center" wrapText="1"/>
    </xf>
    <xf borderId="8" fillId="26" fontId="19" numFmtId="0" xfId="0" applyAlignment="1" applyBorder="1" applyFill="1" applyFont="1">
      <alignment horizontal="center" shrinkToFit="0" vertical="center" wrapText="1"/>
    </xf>
    <xf borderId="9" fillId="14" fontId="4" numFmtId="0" xfId="0" applyAlignment="1" applyBorder="1" applyFill="1" applyFont="1">
      <alignment horizontal="center" readingOrder="0" shrinkToFit="0" vertical="center" wrapText="1"/>
    </xf>
    <xf borderId="8" fillId="0" fontId="11" numFmtId="0" xfId="0" applyAlignment="1" applyBorder="1" applyFont="1">
      <alignment horizontal="left" readingOrder="0" shrinkToFit="0" vertical="center" wrapText="1"/>
    </xf>
    <xf borderId="4" fillId="2" fontId="27" numFmtId="0" xfId="0" applyAlignment="1" applyBorder="1" applyFill="1" applyFont="1">
      <alignment horizontal="center" readingOrder="0" shrinkToFit="0" vertical="center" wrapText="1"/>
    </xf>
    <xf borderId="3" fillId="20" fontId="17" numFmtId="0" xfId="0" applyAlignment="1" applyBorder="1" applyFill="1" applyFont="1">
      <alignment horizontal="center" shrinkToFit="0" vertical="center" wrapText="1"/>
    </xf>
    <xf borderId="9" fillId="0" fontId="20" numFmtId="0" xfId="0" applyAlignment="1" applyBorder="1" applyFont="1">
      <alignment horizontal="left" shrinkToFit="0" vertical="center" wrapText="1"/>
    </xf>
    <xf borderId="9" fillId="0" fontId="19" numFmtId="0" xfId="0" applyAlignment="1" applyBorder="1" applyFont="1">
      <alignment horizontal="center" vertical="center"/>
    </xf>
    <xf borderId="9" fillId="0" fontId="10" numFmtId="3" xfId="0" applyAlignment="1" applyBorder="1" applyFont="1" applyNumberFormat="1">
      <alignment horizontal="center" vertical="center"/>
    </xf>
    <xf borderId="19" fillId="0" fontId="17" numFmtId="3" xfId="0" applyAlignment="1" applyBorder="1" applyFont="1" applyNumberFormat="1">
      <alignment horizontal="center" readingOrder="0" vertical="center"/>
    </xf>
    <xf borderId="13" fillId="0" fontId="10" numFmtId="3" xfId="0" applyAlignment="1" applyBorder="1" applyFont="1" applyNumberFormat="1">
      <alignment horizontal="center" vertical="center"/>
    </xf>
    <xf borderId="9" fillId="4" fontId="20" numFmtId="0" xfId="0" applyAlignment="1" applyBorder="1" applyFill="1" applyFont="1">
      <alignment horizontal="left" shrinkToFit="0" vertical="center" wrapText="1"/>
    </xf>
    <xf borderId="30" fillId="0" fontId="17" numFmtId="0" xfId="0" applyAlignment="1" applyBorder="1" applyFont="1">
      <alignment horizontal="center" shrinkToFit="0" vertical="center" wrapText="1"/>
    </xf>
    <xf borderId="0" fillId="5" fontId="5" numFmtId="0" xfId="0" applyAlignment="1" applyFill="1" applyFont="1">
      <alignment horizontal="left" readingOrder="0" shrinkToFit="0" vertical="center" wrapText="1"/>
    </xf>
    <xf borderId="8" fillId="26" fontId="7" numFmtId="0" xfId="0" applyAlignment="1" applyBorder="1" applyFill="1" applyFont="1">
      <alignment horizontal="center" readingOrder="0" shrinkToFit="0" vertical="center" wrapText="1"/>
    </xf>
    <xf borderId="8" fillId="22" fontId="10" numFmtId="0" xfId="0" applyAlignment="1" applyBorder="1" applyFill="1" applyFont="1">
      <alignment horizontal="center" shrinkToFit="0" vertical="center" wrapText="1"/>
    </xf>
    <xf borderId="9" fillId="2" fontId="20" numFmtId="0" xfId="0" applyAlignment="1" applyBorder="1" applyFill="1" applyFont="1">
      <alignment readingOrder="0" shrinkToFit="0" vertical="bottom" wrapText="1"/>
    </xf>
    <xf borderId="9" fillId="0" fontId="20" numFmtId="0" xfId="0" applyAlignment="1" applyBorder="1" applyFont="1">
      <alignment horizontal="center" readingOrder="0" shrinkToFit="0" wrapText="1"/>
    </xf>
    <xf borderId="8" fillId="26" fontId="7" numFmtId="0" xfId="0" applyAlignment="1" applyBorder="1" applyFill="1" applyFont="1">
      <alignment horizontal="center" shrinkToFit="0" vertical="center" wrapText="1"/>
    </xf>
    <xf borderId="8" fillId="22" fontId="7" numFmtId="0" xfId="0" applyAlignment="1" applyBorder="1" applyFill="1" applyFont="1">
      <alignment horizontal="center" readingOrder="0" shrinkToFit="0" vertical="center" wrapText="1"/>
    </xf>
    <xf borderId="10" fillId="8" fontId="10" numFmtId="3" xfId="0" applyAlignment="1" applyBorder="1" applyFill="1" applyFont="1" applyNumberFormat="1">
      <alignment horizontal="center" vertical="bottom"/>
    </xf>
    <xf borderId="9" fillId="22" fontId="10" numFmtId="0" xfId="0" applyAlignment="1" applyBorder="1" applyFill="1" applyFont="1">
      <alignment horizontal="center" shrinkToFit="0" vertical="center" wrapText="1"/>
    </xf>
    <xf borderId="31" fillId="2" fontId="39" numFmtId="0" xfId="0" applyAlignment="1" applyBorder="1" applyFill="1" applyFont="1">
      <alignment horizontal="center" readingOrder="0" vertical="center"/>
    </xf>
    <xf borderId="0" fillId="2" fontId="40" numFmtId="0" xfId="0" applyAlignment="1" applyFill="1" applyFont="1">
      <alignment horizontal="center" readingOrder="0" vertical="center"/>
    </xf>
    <xf borderId="0" fillId="2" fontId="12" numFmtId="0" xfId="0" applyAlignment="1" applyFill="1" applyFont="1">
      <alignment horizontal="center" readingOrder="0" vertical="bottom"/>
    </xf>
    <xf borderId="32" fillId="0" fontId="2" numFmtId="0" xfId="0" applyBorder="1" applyFont="1"/>
    <xf borderId="2" fillId="8" fontId="12" numFmtId="0" xfId="0" applyAlignment="1" applyBorder="1" applyFill="1" applyFont="1">
      <alignment horizontal="center" readingOrder="0" vertical="center"/>
    </xf>
    <xf borderId="2" fillId="9" fontId="12" numFmtId="0" xfId="0" applyAlignment="1" applyBorder="1" applyFill="1" applyFont="1">
      <alignment horizontal="center" readingOrder="0" vertical="center"/>
    </xf>
    <xf borderId="7" fillId="9" fontId="12" numFmtId="0" xfId="0" applyAlignment="1" applyBorder="1" applyFill="1" applyFont="1">
      <alignment horizontal="center" readingOrder="0" vertical="center"/>
    </xf>
    <xf borderId="33" fillId="0" fontId="2" numFmtId="0" xfId="0" applyBorder="1" applyFont="1"/>
    <xf borderId="11" fillId="8" fontId="13" numFmtId="0" xfId="0" applyAlignment="1" applyBorder="1" applyFill="1" applyFont="1">
      <alignment horizontal="center" readingOrder="0" shrinkToFit="0" vertical="center" wrapText="1"/>
    </xf>
    <xf borderId="3" fillId="9" fontId="13" numFmtId="0" xfId="0" applyAlignment="1" applyBorder="1" applyFill="1" applyFont="1">
      <alignment horizontal="center" readingOrder="0" shrinkToFit="0" vertical="center" wrapText="1"/>
    </xf>
    <xf borderId="34" fillId="9" fontId="13" numFmtId="0" xfId="0" applyAlignment="1" applyBorder="1" applyFill="1" applyFont="1">
      <alignment horizontal="center" readingOrder="0" shrinkToFit="0" vertical="center" wrapText="1"/>
    </xf>
    <xf borderId="3" fillId="8" fontId="13" numFmtId="0" xfId="0" applyAlignment="1" applyBorder="1" applyFill="1" applyFont="1">
      <alignment horizontal="center" shrinkToFit="0" vertical="center" wrapText="1"/>
    </xf>
    <xf borderId="23" fillId="2" fontId="20" numFmtId="0" xfId="0" applyAlignment="1" applyBorder="1" applyFill="1" applyFont="1">
      <alignment horizontal="left" shrinkToFit="0" vertical="center" wrapText="1"/>
    </xf>
    <xf borderId="9" fillId="0" fontId="31" numFmtId="0" xfId="0" applyAlignment="1" applyBorder="1" applyFont="1">
      <alignment horizontal="center" shrinkToFit="0" vertical="center" wrapText="1"/>
    </xf>
    <xf borderId="35" fillId="2" fontId="39" numFmtId="0" xfId="0" applyAlignment="1" applyBorder="1" applyFill="1" applyFont="1">
      <alignment horizontal="center" readingOrder="0" vertical="center"/>
    </xf>
    <xf borderId="14" fillId="12" fontId="19" numFmtId="3" xfId="0" applyAlignment="1" applyBorder="1" applyFill="1" applyFont="1" applyNumberFormat="1">
      <alignment horizontal="center" vertical="center"/>
    </xf>
    <xf borderId="14" fillId="0" fontId="41" numFmtId="3" xfId="0" applyAlignment="1" applyBorder="1" applyFont="1" applyNumberFormat="1">
      <alignment horizontal="center" vertical="center"/>
    </xf>
    <xf borderId="18" fillId="12" fontId="19" numFmtId="3" xfId="0" applyAlignment="1" applyBorder="1" applyFill="1" applyFont="1" applyNumberFormat="1">
      <alignment horizontal="center" vertical="center"/>
    </xf>
    <xf borderId="14" fillId="10" fontId="41" numFmtId="3" xfId="0" applyAlignment="1" applyBorder="1" applyFill="1" applyFont="1" applyNumberFormat="1">
      <alignment horizontal="center" vertical="center"/>
    </xf>
    <xf borderId="15" fillId="12" fontId="19" numFmtId="3" xfId="0" applyAlignment="1" applyBorder="1" applyFill="1" applyFont="1" applyNumberFormat="1">
      <alignment horizontal="center" vertical="center"/>
    </xf>
    <xf borderId="10" fillId="12" fontId="19" numFmtId="3" xfId="0" applyAlignment="1" applyBorder="1" applyFill="1" applyFont="1" applyNumberFormat="1">
      <alignment horizontal="center" vertical="center"/>
    </xf>
    <xf borderId="9" fillId="12" fontId="19" numFmtId="3" xfId="0" applyAlignment="1" applyBorder="1" applyFill="1" applyFont="1" applyNumberFormat="1">
      <alignment horizontal="center" vertical="center"/>
    </xf>
    <xf borderId="9" fillId="0" fontId="17" numFmtId="0" xfId="0" applyAlignment="1" applyBorder="1" applyFont="1">
      <alignment horizontal="center" readingOrder="0"/>
    </xf>
    <xf borderId="9" fillId="0" fontId="41" numFmtId="3" xfId="0" applyAlignment="1" applyBorder="1" applyFont="1" applyNumberFormat="1">
      <alignment horizontal="center" vertical="center"/>
    </xf>
    <xf borderId="11" fillId="12" fontId="19" numFmtId="3" xfId="0" applyAlignment="1" applyBorder="1" applyFill="1" applyFont="1" applyNumberFormat="1">
      <alignment horizontal="center" vertical="center"/>
    </xf>
    <xf borderId="3" fillId="12" fontId="19" numFmtId="3" xfId="0" applyAlignment="1" applyBorder="1" applyFill="1" applyFont="1" applyNumberFormat="1">
      <alignment horizontal="center" vertical="center"/>
    </xf>
    <xf borderId="9" fillId="2" fontId="19" numFmtId="3" xfId="0" applyAlignment="1" applyBorder="1" applyFill="1" applyFont="1" applyNumberFormat="1">
      <alignment horizontal="center" vertical="center"/>
    </xf>
    <xf borderId="8" fillId="14" fontId="4" numFmtId="0" xfId="0" applyAlignment="1" applyBorder="1" applyFill="1" applyFont="1">
      <alignment horizontal="center" readingOrder="0" shrinkToFit="0" vertical="center" wrapText="1"/>
    </xf>
    <xf borderId="9" fillId="5" fontId="5" numFmtId="0" xfId="0" applyAlignment="1" applyBorder="1" applyFill="1" applyFont="1">
      <alignment horizontal="left" readingOrder="0" shrinkToFit="0" vertical="center" wrapText="1"/>
    </xf>
    <xf borderId="8" fillId="14" fontId="4" numFmtId="0" xfId="0" applyAlignment="1" applyBorder="1" applyFill="1" applyFont="1">
      <alignment horizontal="center" readingOrder="0" shrinkToFit="0" vertical="center" wrapText="1"/>
    </xf>
    <xf borderId="9" fillId="4" fontId="20" numFmtId="0" xfId="0" applyAlignment="1" applyBorder="1" applyFill="1" applyFont="1">
      <alignment horizontal="center" readingOrder="0" vertical="center"/>
    </xf>
    <xf borderId="4" fillId="15" fontId="17" numFmtId="0" xfId="0" applyAlignment="1" applyBorder="1" applyFill="1" applyFont="1">
      <alignment horizontal="left" shrinkToFit="0" vertical="center" wrapText="1"/>
    </xf>
    <xf borderId="8" fillId="4" fontId="20" numFmtId="0" xfId="0" applyAlignment="1" applyBorder="1" applyFill="1" applyFont="1">
      <alignment horizontal="center" readingOrder="0" vertical="center"/>
    </xf>
    <xf borderId="4" fillId="6" fontId="6" numFmtId="0" xfId="0" applyAlignment="1" applyBorder="1" applyFill="1" applyFont="1">
      <alignment horizontal="center" readingOrder="0" vertical="center"/>
    </xf>
    <xf borderId="1" fillId="7" fontId="6" numFmtId="0" xfId="0" applyAlignment="1" applyBorder="1" applyFill="1" applyFont="1">
      <alignment horizontal="center" readingOrder="0"/>
    </xf>
    <xf borderId="8" fillId="15" fontId="17" numFmtId="0" xfId="0" applyAlignment="1" applyBorder="1" applyFill="1" applyFont="1">
      <alignment horizontal="left" shrinkToFit="0" vertical="center" wrapText="1"/>
    </xf>
    <xf borderId="0" fillId="7" fontId="6" numFmtId="0" xfId="0" applyAlignment="1" applyFill="1" applyFont="1">
      <alignment horizontal="center"/>
    </xf>
    <xf borderId="8" fillId="20" fontId="19" numFmtId="0" xfId="0" applyAlignment="1" applyBorder="1" applyFill="1" applyFont="1">
      <alignment horizontal="center" readingOrder="0" shrinkToFit="0" vertical="center" wrapText="1"/>
    </xf>
    <xf borderId="1" fillId="9" fontId="12" numFmtId="0" xfId="0" applyAlignment="1" applyBorder="1" applyFill="1" applyFont="1">
      <alignment horizontal="center" readingOrder="0" vertical="bottom"/>
    </xf>
    <xf borderId="7" fillId="8" fontId="12" numFmtId="0" xfId="0" applyAlignment="1" applyBorder="1" applyFill="1" applyFont="1">
      <alignment horizontal="center" readingOrder="0" vertical="bottom"/>
    </xf>
    <xf borderId="9" fillId="20" fontId="20" numFmtId="0" xfId="0" applyAlignment="1" applyBorder="1" applyFill="1" applyFont="1">
      <alignment horizontal="left" readingOrder="0" shrinkToFit="0" vertical="center" wrapText="1"/>
    </xf>
    <xf borderId="1" fillId="9" fontId="13" numFmtId="0" xfId="0" applyAlignment="1" applyBorder="1" applyFill="1" applyFont="1">
      <alignment horizontal="center" readingOrder="0" shrinkToFit="0" vertical="center" wrapText="1"/>
    </xf>
    <xf borderId="0" fillId="8" fontId="13" numFmtId="0" xfId="0" applyAlignment="1" applyFill="1" applyFont="1">
      <alignment horizontal="center" readingOrder="0" shrinkToFit="0" vertical="center" wrapText="1"/>
    </xf>
    <xf borderId="8" fillId="8" fontId="15" numFmtId="0" xfId="0" applyAlignment="1" applyBorder="1" applyFill="1" applyFont="1">
      <alignment horizontal="left" vertical="bottom"/>
    </xf>
    <xf borderId="36" fillId="0" fontId="17" numFmtId="0" xfId="0" applyAlignment="1" applyBorder="1" applyFont="1">
      <alignment horizontal="center" shrinkToFit="0" vertical="center" wrapText="1"/>
    </xf>
    <xf borderId="8" fillId="29" fontId="20" numFmtId="0" xfId="0" applyAlignment="1" applyBorder="1" applyFill="1" applyFont="1">
      <alignment horizontal="center" readingOrder="0" vertical="center"/>
    </xf>
    <xf borderId="9" fillId="5" fontId="20" numFmtId="0" xfId="0" applyAlignment="1" applyBorder="1" applyFill="1" applyFont="1">
      <alignment horizontal="left" readingOrder="0" shrinkToFit="0" vertical="center" wrapText="1"/>
    </xf>
    <xf borderId="8" fillId="29" fontId="42" numFmtId="0" xfId="0" applyAlignment="1" applyBorder="1" applyFill="1" applyFont="1">
      <alignment horizontal="center" readingOrder="0" vertical="center"/>
    </xf>
    <xf borderId="8" fillId="15" fontId="43" numFmtId="0" xfId="0" applyAlignment="1" applyBorder="1" applyFill="1" applyFont="1">
      <alignment horizontal="center" readingOrder="0" vertical="center"/>
    </xf>
    <xf borderId="9" fillId="30" fontId="19" numFmtId="0" xfId="0" applyAlignment="1" applyBorder="1" applyFill="1" applyFont="1">
      <alignment horizontal="center" readingOrder="0" shrinkToFit="0" vertical="center" wrapText="1"/>
    </xf>
    <xf borderId="9" fillId="0" fontId="44" numFmtId="0" xfId="0" applyAlignment="1" applyBorder="1" applyFont="1">
      <alignment horizontal="center" readingOrder="0" shrinkToFit="0" vertical="center" wrapText="1"/>
    </xf>
    <xf borderId="11" fillId="12" fontId="10" numFmtId="3" xfId="0" applyAlignment="1" applyBorder="1" applyFill="1" applyFont="1" applyNumberFormat="1">
      <alignment horizontal="center"/>
    </xf>
    <xf borderId="0" fillId="12" fontId="10" numFmtId="0" xfId="0" applyAlignment="1" applyFill="1" applyFont="1">
      <alignment horizontal="left" readingOrder="0"/>
    </xf>
    <xf borderId="8" fillId="2" fontId="15" numFmtId="0" xfId="0" applyAlignment="1" applyBorder="1" applyFill="1" applyFont="1">
      <alignment horizontal="left" vertical="bottom"/>
    </xf>
    <xf borderId="3" fillId="0" fontId="30" numFmtId="3" xfId="0" applyAlignment="1" applyBorder="1" applyFont="1" applyNumberFormat="1">
      <alignment horizontal="center" readingOrder="0" vertical="center"/>
    </xf>
    <xf borderId="9" fillId="25" fontId="7" numFmtId="0" xfId="0" applyAlignment="1" applyBorder="1" applyFill="1" applyFont="1">
      <alignment horizontal="center" shrinkToFit="0" vertical="center" wrapText="1"/>
    </xf>
    <xf borderId="9" fillId="0" fontId="20" numFmtId="0" xfId="0" applyAlignment="1" applyBorder="1" applyFont="1">
      <alignment horizontal="right" shrinkToFit="0" vertical="bottom" wrapText="0"/>
    </xf>
    <xf borderId="23" fillId="15" fontId="17" numFmtId="0" xfId="0" applyAlignment="1" applyBorder="1" applyFill="1" applyFont="1">
      <alignment horizontal="left" shrinkToFit="0" vertical="center" wrapText="1"/>
    </xf>
    <xf borderId="9" fillId="19" fontId="4" numFmtId="0" xfId="0" applyAlignment="1" applyBorder="1" applyFill="1" applyFont="1">
      <alignment horizontal="center" readingOrder="0" shrinkToFit="0" vertical="center" wrapText="1"/>
    </xf>
    <xf borderId="3" fillId="15" fontId="17" numFmtId="0" xfId="0" applyAlignment="1" applyBorder="1" applyFill="1" applyFont="1">
      <alignment horizontal="left" shrinkToFit="0" vertical="center" wrapText="1"/>
    </xf>
    <xf borderId="16" fillId="26" fontId="19" numFmtId="0" xfId="0" applyAlignment="1" applyBorder="1" applyFill="1" applyFont="1">
      <alignment horizontal="center" shrinkToFit="0" vertical="center" wrapText="1"/>
    </xf>
    <xf borderId="16" fillId="23" fontId="17" numFmtId="0" xfId="0" applyAlignment="1" applyBorder="1" applyFill="1" applyFont="1">
      <alignment horizontal="center" readingOrder="0" shrinkToFit="0" vertical="center" wrapText="1"/>
    </xf>
    <xf borderId="4" fillId="0" fontId="17" numFmtId="0" xfId="0" applyAlignment="1" applyBorder="1" applyFont="1">
      <alignment horizontal="center"/>
    </xf>
    <xf borderId="13" fillId="26" fontId="19" numFmtId="0" xfId="0" applyAlignment="1" applyBorder="1" applyFill="1" applyFont="1">
      <alignment horizontal="center" shrinkToFit="0" vertical="center" wrapText="1"/>
    </xf>
    <xf borderId="8" fillId="0" fontId="17" numFmtId="3" xfId="0" applyAlignment="1" applyBorder="1" applyFont="1" applyNumberFormat="1">
      <alignment horizontal="center" readingOrder="0" vertical="center"/>
    </xf>
    <xf borderId="37" fillId="0" fontId="17" numFmtId="3" xfId="0" applyAlignment="1" applyBorder="1" applyFont="1" applyNumberFormat="1">
      <alignment horizontal="center" readingOrder="0" vertical="center"/>
    </xf>
    <xf borderId="13" fillId="15" fontId="17" numFmtId="3" xfId="0" applyAlignment="1" applyBorder="1" applyFill="1" applyFont="1" applyNumberFormat="1">
      <alignment horizontal="center" readingOrder="0" vertical="center"/>
    </xf>
    <xf borderId="38" fillId="15" fontId="17" numFmtId="3" xfId="0" applyAlignment="1" applyBorder="1" applyFill="1" applyFont="1" applyNumberFormat="1">
      <alignment horizontal="center" readingOrder="0" vertical="center"/>
    </xf>
    <xf borderId="13" fillId="23" fontId="17" numFmtId="0" xfId="0" applyAlignment="1" applyBorder="1" applyFill="1" applyFont="1">
      <alignment horizontal="center" readingOrder="0" shrinkToFit="0" vertical="center" wrapText="1"/>
    </xf>
    <xf borderId="8" fillId="26" fontId="19" numFmtId="0" xfId="0" applyAlignment="1" applyBorder="1" applyFill="1" applyFont="1">
      <alignment horizontal="center" readingOrder="0" shrinkToFit="0" vertical="center" wrapText="1"/>
    </xf>
    <xf borderId="8" fillId="22" fontId="38" numFmtId="0" xfId="0" applyAlignment="1" applyBorder="1" applyFill="1" applyFont="1">
      <alignment horizontal="center" readingOrder="0" shrinkToFit="0" vertical="center" wrapText="1"/>
    </xf>
    <xf borderId="9" fillId="15" fontId="20" numFmtId="0" xfId="0" applyAlignment="1" applyBorder="1" applyFill="1" applyFont="1">
      <alignment horizontal="center" shrinkToFit="0" vertical="center" wrapText="1"/>
    </xf>
    <xf borderId="9" fillId="5" fontId="20" numFmtId="0" xfId="0" applyAlignment="1" applyBorder="1" applyFill="1" applyFont="1">
      <alignment horizontal="left" shrinkToFit="0" vertical="center" wrapText="1"/>
    </xf>
    <xf borderId="9" fillId="26" fontId="7" numFmtId="0" xfId="0" applyAlignment="1" applyBorder="1" applyFill="1" applyFont="1">
      <alignment horizontal="center" readingOrder="0" shrinkToFit="0" vertical="center" wrapText="1"/>
    </xf>
    <xf borderId="9" fillId="0" fontId="45" numFmtId="0" xfId="0" applyAlignment="1" applyBorder="1" applyFont="1">
      <alignment horizontal="center" readingOrder="0" shrinkToFit="0" vertical="center" wrapText="1"/>
    </xf>
    <xf borderId="9" fillId="0" fontId="20" numFmtId="0" xfId="0" applyAlignment="1" applyBorder="1" applyFont="1">
      <alignment horizontal="center" readingOrder="0" shrinkToFit="0" vertical="center" wrapText="1"/>
    </xf>
    <xf borderId="9" fillId="5" fontId="17" numFmtId="0" xfId="0" applyAlignment="1" applyBorder="1" applyFill="1" applyFont="1">
      <alignment horizontal="left" shrinkToFit="0" vertical="center" wrapText="1"/>
    </xf>
    <xf borderId="9" fillId="26" fontId="5" numFmtId="0" xfId="0" applyAlignment="1" applyBorder="1" applyFill="1" applyFont="1">
      <alignment horizontal="center" shrinkToFit="0" vertical="center" wrapText="1"/>
    </xf>
    <xf borderId="4" fillId="0" fontId="46" numFmtId="0" xfId="0" applyAlignment="1" applyBorder="1" applyFont="1">
      <alignment horizontal="center" readingOrder="0" shrinkToFit="0" vertical="center" wrapText="1"/>
    </xf>
    <xf borderId="4" fillId="0" fontId="17" numFmtId="165" xfId="0" applyAlignment="1" applyBorder="1" applyFont="1" applyNumberFormat="1">
      <alignment horizontal="center" readingOrder="0" shrinkToFit="0" vertical="center" wrapText="1"/>
    </xf>
    <xf borderId="4" fillId="0" fontId="20" numFmtId="0" xfId="0" applyAlignment="1" applyBorder="1" applyFont="1">
      <alignment horizontal="left" shrinkToFit="0" vertical="center" wrapText="1"/>
    </xf>
    <xf borderId="16" fillId="0" fontId="20" numFmtId="0" xfId="0" applyAlignment="1" applyBorder="1" applyFont="1">
      <alignment horizontal="left" shrinkToFit="0" vertical="center" wrapText="1"/>
    </xf>
    <xf borderId="4" fillId="2" fontId="17" numFmtId="0" xfId="0" applyAlignment="1" applyBorder="1" applyFill="1" applyFont="1">
      <alignment horizontal="center" readingOrder="0" shrinkToFit="0" vertical="center" wrapText="1"/>
    </xf>
    <xf borderId="1" fillId="2" fontId="17" numFmtId="0" xfId="0" applyAlignment="1" applyBorder="1" applyFill="1" applyFont="1">
      <alignment horizontal="center" shrinkToFit="0" vertical="center" wrapText="1"/>
    </xf>
    <xf borderId="0" fillId="0" fontId="17" numFmtId="0" xfId="0" applyAlignment="1" applyFont="1">
      <alignment horizontal="center" shrinkToFit="0" vertical="center" wrapText="1"/>
    </xf>
    <xf borderId="0" fillId="0" fontId="17" numFmtId="0" xfId="0" applyAlignment="1" applyFont="1">
      <alignment horizontal="center"/>
    </xf>
    <xf borderId="0" fillId="0" fontId="17" numFmtId="0" xfId="0" applyAlignment="1" applyFont="1">
      <alignment horizontal="center" readingOrder="0"/>
    </xf>
    <xf borderId="1" fillId="31" fontId="17" numFmtId="0" xfId="0" applyAlignment="1" applyBorder="1" applyFill="1" applyFont="1">
      <alignment horizontal="center" readingOrder="0" shrinkToFit="0" vertical="center" wrapText="1"/>
    </xf>
    <xf borderId="2" fillId="31" fontId="17" numFmtId="0" xfId="0" applyAlignment="1" applyBorder="1" applyFill="1" applyFont="1">
      <alignment horizontal="center" shrinkToFit="0" vertical="center" wrapText="1"/>
    </xf>
    <xf borderId="3" fillId="31" fontId="17" numFmtId="0" xfId="0" applyAlignment="1" applyBorder="1" applyFill="1" applyFont="1">
      <alignment horizontal="center" shrinkToFit="0" vertical="center" wrapText="1"/>
    </xf>
    <xf borderId="0" fillId="31" fontId="17" numFmtId="0" xfId="0" applyAlignment="1" applyFill="1" applyFont="1">
      <alignment horizontal="center" readingOrder="0" shrinkToFit="0" vertical="center" wrapText="1"/>
    </xf>
    <xf borderId="0" fillId="31" fontId="17" numFmtId="0" xfId="0" applyAlignment="1" applyFill="1" applyFont="1">
      <alignment horizontal="center"/>
    </xf>
    <xf borderId="0" fillId="31" fontId="17" numFmtId="0" xfId="0" applyAlignment="1" applyFill="1" applyFont="1">
      <alignment horizontal="center" readingOrder="0"/>
    </xf>
    <xf borderId="0" fillId="0" fontId="17" numFmtId="0" xfId="0" applyAlignment="1" applyFont="1">
      <alignment shrinkToFit="0" vertical="center" wrapText="1"/>
    </xf>
    <xf borderId="9" fillId="15" fontId="20" numFmtId="0" xfId="0" applyAlignment="1" applyBorder="1" applyFill="1" applyFont="1">
      <alignment horizontal="left" shrinkToFit="0" vertical="center" wrapText="1"/>
    </xf>
    <xf borderId="8" fillId="2" fontId="10" numFmtId="0" xfId="0" applyAlignment="1" applyBorder="1" applyFill="1" applyFont="1">
      <alignment horizontal="center" vertical="center"/>
    </xf>
    <xf borderId="0" fillId="0" fontId="20" numFmtId="0" xfId="0" applyAlignment="1" applyFont="1">
      <alignment readingOrder="0" shrinkToFit="0" vertical="bottom" wrapText="0"/>
    </xf>
    <xf borderId="0" fillId="0" fontId="11" numFmtId="0" xfId="0" applyFont="1"/>
    <xf borderId="9" fillId="32" fontId="47" numFmtId="0" xfId="0" applyAlignment="1" applyBorder="1" applyFill="1" applyFont="1">
      <alignment horizontal="center" shrinkToFit="0" wrapText="1"/>
    </xf>
    <xf borderId="9" fillId="33" fontId="47" numFmtId="0" xfId="0" applyAlignment="1" applyBorder="1" applyFill="1" applyFont="1">
      <alignment horizontal="center" shrinkToFit="0" wrapText="1"/>
    </xf>
    <xf borderId="9" fillId="34" fontId="47" numFmtId="0" xfId="0" applyAlignment="1" applyBorder="1" applyFill="1" applyFont="1">
      <alignment horizontal="center" shrinkToFit="0" wrapText="1"/>
    </xf>
    <xf borderId="9" fillId="32" fontId="48" numFmtId="0" xfId="0" applyAlignment="1" applyBorder="1" applyFill="1" applyFont="1">
      <alignment horizontal="center" shrinkToFit="0" vertical="bottom" wrapText="1"/>
    </xf>
    <xf borderId="0" fillId="2" fontId="20" numFmtId="0" xfId="0" applyAlignment="1" applyFill="1" applyFont="1">
      <alignment horizontal="left" shrinkToFit="0" vertical="center" wrapText="1"/>
    </xf>
    <xf borderId="9" fillId="0" fontId="11" numFmtId="0" xfId="0" applyAlignment="1" applyBorder="1" applyFont="1">
      <alignment horizontal="center"/>
    </xf>
    <xf borderId="9" fillId="0" fontId="11" numFmtId="0" xfId="0" applyAlignment="1" applyBorder="1" applyFont="1">
      <alignment readingOrder="0"/>
    </xf>
    <xf borderId="9" fillId="0" fontId="11" numFmtId="0" xfId="0" applyAlignment="1" applyBorder="1" applyFont="1">
      <alignment horizontal="center" readingOrder="0"/>
    </xf>
    <xf borderId="9" fillId="0" fontId="11" numFmtId="0" xfId="0" applyAlignment="1" applyBorder="1" applyFont="1">
      <alignment horizontal="center" readingOrder="0" shrinkToFit="0" vertical="center" wrapText="1"/>
    </xf>
    <xf borderId="9" fillId="0" fontId="11" numFmtId="0" xfId="0" applyAlignment="1" applyBorder="1" applyFont="1">
      <alignment readingOrder="0" shrinkToFit="0" vertical="center" wrapText="1"/>
    </xf>
    <xf borderId="0" fillId="0" fontId="11" numFmtId="0" xfId="0" applyAlignment="1" applyFont="1">
      <alignment shrinkToFit="0" wrapText="1"/>
    </xf>
    <xf borderId="0" fillId="0" fontId="11" numFmtId="0" xfId="0" applyAlignment="1" applyFont="1">
      <alignment horizontal="center"/>
    </xf>
    <xf borderId="9" fillId="22" fontId="8" numFmtId="0" xfId="0" applyAlignment="1" applyBorder="1" applyFill="1" applyFont="1">
      <alignment horizontal="center" shrinkToFit="0" vertical="center" wrapText="1"/>
    </xf>
    <xf borderId="0" fillId="0" fontId="19" numFmtId="0" xfId="0" applyAlignment="1" applyFont="1">
      <alignment horizontal="center" vertical="center"/>
    </xf>
    <xf borderId="0" fillId="0" fontId="49" numFmtId="0" xfId="0" applyFont="1"/>
    <xf borderId="16" fillId="35" fontId="10" numFmtId="0" xfId="0" applyAlignment="1" applyBorder="1" applyFill="1" applyFont="1">
      <alignment horizontal="center" vertical="center"/>
    </xf>
    <xf borderId="9" fillId="35" fontId="10" numFmtId="0" xfId="0" applyAlignment="1" applyBorder="1" applyFill="1" applyFont="1">
      <alignment horizontal="center"/>
    </xf>
    <xf borderId="13" fillId="35" fontId="10" numFmtId="0" xfId="0" applyAlignment="1" applyBorder="1" applyFill="1" applyFont="1">
      <alignment horizontal="center" vertical="center"/>
    </xf>
    <xf borderId="4" fillId="0" fontId="50" numFmtId="3" xfId="0" applyAlignment="1" applyBorder="1" applyFont="1" applyNumberFormat="1">
      <alignment horizontal="center" vertical="center"/>
    </xf>
    <xf borderId="9" fillId="0" fontId="51" numFmtId="3" xfId="0" applyAlignment="1" applyBorder="1" applyFont="1" applyNumberFormat="1">
      <alignment horizontal="center"/>
    </xf>
    <xf borderId="9" fillId="0" fontId="10"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8" fillId="14" fontId="4" numFmtId="0" xfId="0" applyAlignment="1" applyBorder="1" applyFill="1" applyFont="1">
      <alignment horizontal="center" readingOrder="0" shrinkToFit="0" vertical="center" wrapText="1"/>
    </xf>
    <xf borderId="9" fillId="20" fontId="19" numFmtId="0" xfId="0" applyAlignment="1" applyBorder="1" applyFill="1" applyFont="1">
      <alignment horizontal="center" vertical="center"/>
    </xf>
    <xf borderId="36" fillId="35" fontId="10" numFmtId="164" xfId="0" applyAlignment="1" applyBorder="1" applyFill="1" applyFont="1" applyNumberFormat="1">
      <alignment horizontal="center"/>
    </xf>
    <xf borderId="9" fillId="35" fontId="52" numFmtId="3" xfId="0" applyAlignment="1" applyBorder="1" applyFill="1" applyFont="1" applyNumberFormat="1">
      <alignment horizontal="center"/>
    </xf>
    <xf borderId="0" fillId="0" fontId="49" numFmtId="0" xfId="0" applyAlignment="1" applyFont="1">
      <alignment horizontal="center"/>
    </xf>
    <xf borderId="0" fillId="0" fontId="52" numFmtId="3" xfId="0" applyAlignment="1" applyFont="1" applyNumberFormat="1">
      <alignment horizontal="center"/>
    </xf>
    <xf borderId="25" fillId="15" fontId="50" numFmtId="0" xfId="0" applyAlignment="1" applyBorder="1" applyFill="1" applyFont="1">
      <alignment horizontal="center"/>
    </xf>
    <xf borderId="25" fillId="15" fontId="50" numFmtId="0" xfId="0" applyBorder="1" applyFill="1" applyFont="1"/>
    <xf borderId="39" fillId="3" fontId="5" numFmtId="0" xfId="0" applyAlignment="1" applyBorder="1" applyFill="1" applyFont="1">
      <alignment horizontal="center" shrinkToFit="0" vertical="center" wrapText="1"/>
    </xf>
    <xf borderId="39" fillId="3" fontId="5" numFmtId="0" xfId="0" applyAlignment="1" applyBorder="1" applyFill="1" applyFont="1">
      <alignment horizontal="center" vertical="center"/>
    </xf>
    <xf borderId="40" fillId="0" fontId="2" numFmtId="0" xfId="0" applyBorder="1" applyFont="1"/>
    <xf borderId="41" fillId="0" fontId="2" numFmtId="0" xfId="0" applyBorder="1" applyFont="1"/>
    <xf borderId="42" fillId="0" fontId="15" numFmtId="0" xfId="0" applyAlignment="1" applyBorder="1" applyFont="1">
      <alignment horizontal="left" vertical="center"/>
    </xf>
    <xf borderId="43" fillId="0" fontId="15" numFmtId="0" xfId="0" applyAlignment="1" applyBorder="1" applyFont="1">
      <alignment horizontal="left" vertical="center"/>
    </xf>
    <xf borderId="44" fillId="0" fontId="2" numFmtId="0" xfId="0" applyBorder="1" applyFont="1"/>
    <xf borderId="45" fillId="3" fontId="5" numFmtId="0" xfId="0" applyAlignment="1" applyBorder="1" applyFill="1" applyFont="1">
      <alignment horizontal="center" shrinkToFit="0" vertical="center" wrapText="1"/>
    </xf>
    <xf borderId="46" fillId="0" fontId="15" numFmtId="0" xfId="0" applyAlignment="1" applyBorder="1" applyFont="1">
      <alignment horizontal="left" vertical="center"/>
    </xf>
    <xf borderId="47" fillId="3" fontId="5" numFmtId="0" xfId="0" applyAlignment="1" applyBorder="1" applyFill="1" applyFont="1">
      <alignment horizontal="center" shrinkToFit="0" vertical="center" wrapText="1"/>
    </xf>
    <xf borderId="48" fillId="0" fontId="15" numFmtId="0" xfId="0" applyAlignment="1" applyBorder="1" applyFont="1">
      <alignment horizontal="left" shrinkToFit="0" vertical="center" wrapText="1"/>
    </xf>
    <xf borderId="49" fillId="3" fontId="5" numFmtId="0" xfId="0" applyAlignment="1" applyBorder="1" applyFill="1" applyFont="1">
      <alignment horizontal="center" shrinkToFit="0" vertical="center" wrapText="1"/>
    </xf>
    <xf borderId="50" fillId="3" fontId="5" numFmtId="0" xfId="0" applyAlignment="1" applyBorder="1" applyFill="1" applyFont="1">
      <alignment horizontal="center" shrinkToFit="0" vertical="center" wrapText="1"/>
    </xf>
    <xf borderId="51" fillId="0" fontId="15" numFmtId="0" xfId="0" applyAlignment="1" applyBorder="1" applyFont="1">
      <alignment horizontal="left" vertical="center"/>
    </xf>
    <xf borderId="43" fillId="0" fontId="15" numFmtId="0" xfId="0" applyAlignment="1" applyBorder="1" applyFont="1">
      <alignment horizontal="left" shrinkToFit="0" vertical="center" wrapText="1"/>
    </xf>
    <xf borderId="51" fillId="0" fontId="15" numFmtId="0" xfId="0" applyAlignment="1" applyBorder="1" applyFont="1">
      <alignment horizontal="left" shrinkToFit="0" vertical="center" wrapText="1"/>
    </xf>
    <xf borderId="41" fillId="0" fontId="15" numFmtId="0" xfId="0" applyAlignment="1" applyBorder="1" applyFont="1">
      <alignment horizontal="left" vertical="center"/>
    </xf>
    <xf borderId="20" fillId="0" fontId="26" numFmtId="0" xfId="0" applyAlignment="1" applyBorder="1" applyFont="1">
      <alignment horizontal="left"/>
    </xf>
    <xf borderId="0" fillId="0" fontId="50" numFmtId="0" xfId="0" applyAlignment="1" applyFont="1">
      <alignment horizontal="center"/>
    </xf>
    <xf borderId="0" fillId="0" fontId="50" numFmtId="0" xfId="0" applyFont="1"/>
    <xf borderId="2" fillId="0" fontId="20" numFmtId="3" xfId="0" applyAlignment="1" applyBorder="1" applyFont="1" applyNumberFormat="1">
      <alignment horizontal="center" readingOrder="0" shrinkToFit="0" wrapText="0"/>
    </xf>
    <xf borderId="9" fillId="4" fontId="20" numFmtId="0" xfId="0" applyAlignment="1" applyBorder="1" applyFill="1" applyFont="1">
      <alignment horizontal="left" readingOrder="0" shrinkToFit="0" vertical="center" wrapText="1"/>
    </xf>
    <xf borderId="9" fillId="3" fontId="10" numFmtId="3" xfId="0" applyAlignment="1" applyBorder="1" applyFill="1" applyFont="1" applyNumberFormat="1">
      <alignment horizontal="center" readingOrder="0" vertical="center"/>
    </xf>
    <xf borderId="8" fillId="22" fontId="4" numFmtId="0" xfId="0" applyAlignment="1" applyBorder="1" applyFill="1" applyFont="1">
      <alignment horizontal="center" shrinkToFit="0" vertical="center" wrapText="1"/>
    </xf>
    <xf borderId="16" fillId="2" fontId="17" numFmtId="0" xfId="0" applyAlignment="1" applyBorder="1" applyFill="1" applyFont="1">
      <alignment horizontal="center" readingOrder="0" shrinkToFit="0" vertical="center" wrapText="1"/>
    </xf>
    <xf borderId="4" fillId="21" fontId="17" numFmtId="0" xfId="0" applyAlignment="1" applyBorder="1" applyFill="1" applyFont="1">
      <alignment horizontal="center" shrinkToFit="0" vertical="center" wrapText="1"/>
    </xf>
    <xf borderId="13" fillId="2" fontId="17" numFmtId="0" xfId="0" applyAlignment="1" applyBorder="1" applyFill="1" applyFont="1">
      <alignment horizontal="center" readingOrder="0" shrinkToFit="0" vertical="center" wrapText="1"/>
    </xf>
    <xf borderId="9" fillId="14" fontId="4" numFmtId="0" xfId="0" applyAlignment="1" applyBorder="1" applyFill="1" applyFont="1">
      <alignment horizontal="center" readingOrder="0" shrinkToFit="0" vertical="center" wrapText="0"/>
    </xf>
    <xf borderId="4" fillId="4" fontId="17" numFmtId="0" xfId="0" applyAlignment="1" applyBorder="1" applyFill="1" applyFont="1">
      <alignment horizontal="left" readingOrder="0" shrinkToFit="0" vertical="center" wrapText="1"/>
    </xf>
    <xf borderId="9" fillId="2" fontId="20" numFmtId="0" xfId="0" applyAlignment="1" applyBorder="1" applyFill="1" applyFont="1">
      <alignment readingOrder="0" shrinkToFit="0" vertical="center" wrapText="1"/>
    </xf>
    <xf borderId="9" fillId="19" fontId="4" numFmtId="0" xfId="0" applyAlignment="1" applyBorder="1" applyFill="1" applyFont="1">
      <alignment horizontal="center" readingOrder="0" shrinkToFit="0" vertical="center" wrapText="1"/>
    </xf>
    <xf borderId="9" fillId="19" fontId="4" numFmtId="0" xfId="0" applyAlignment="1" applyBorder="1" applyFill="1" applyFont="1">
      <alignment horizontal="center" shrinkToFit="0" vertical="center" wrapText="1"/>
    </xf>
    <xf borderId="16" fillId="2" fontId="17" numFmtId="0" xfId="0" applyAlignment="1" applyBorder="1" applyFill="1" applyFont="1">
      <alignment horizontal="center" shrinkToFit="0" vertical="center" wrapText="1"/>
    </xf>
    <xf borderId="16" fillId="2" fontId="20" numFmtId="0" xfId="0" applyAlignment="1" applyBorder="1" applyFill="1" applyFont="1">
      <alignment horizontal="left" shrinkToFit="0" vertical="center" wrapText="1"/>
    </xf>
    <xf borderId="19" fillId="2" fontId="17" numFmtId="0" xfId="0" applyAlignment="1" applyBorder="1" applyFill="1" applyFont="1">
      <alignment horizontal="center" shrinkToFit="0" vertical="center" wrapText="1"/>
    </xf>
    <xf borderId="36" fillId="2" fontId="17" numFmtId="0" xfId="0" applyAlignment="1" applyBorder="1" applyFill="1" applyFont="1">
      <alignment horizontal="center" shrinkToFit="0" vertical="center" wrapText="1"/>
    </xf>
    <xf borderId="9" fillId="2" fontId="27" numFmtId="0" xfId="0" applyAlignment="1" applyBorder="1" applyFill="1" applyFont="1">
      <alignment horizontal="center" readingOrder="0" shrinkToFit="0" vertical="center" wrapText="1"/>
    </xf>
    <xf borderId="9" fillId="0" fontId="44" numFmtId="0" xfId="0" applyAlignment="1" applyBorder="1" applyFont="1">
      <alignment horizontal="center" shrinkToFit="0" vertical="center" wrapText="1"/>
    </xf>
    <xf borderId="9" fillId="2" fontId="19" numFmtId="0" xfId="0" applyAlignment="1" applyBorder="1" applyFill="1" applyFont="1">
      <alignment horizontal="center" vertical="center"/>
    </xf>
    <xf borderId="9" fillId="2" fontId="17" numFmtId="0" xfId="0" applyAlignment="1" applyBorder="1" applyFill="1" applyFont="1">
      <alignment horizontal="center" readingOrder="0"/>
    </xf>
    <xf borderId="8" fillId="20" fontId="17" numFmtId="0" xfId="0" applyAlignment="1" applyBorder="1" applyFill="1" applyFont="1">
      <alignment horizontal="center" shrinkToFit="0" vertical="center" wrapText="1"/>
    </xf>
    <xf borderId="9" fillId="15" fontId="20" numFmtId="0" xfId="0" applyAlignment="1" applyBorder="1" applyFill="1" applyFont="1">
      <alignment horizontal="left" readingOrder="0" shrinkToFit="0" vertical="center" wrapText="1"/>
    </xf>
    <xf borderId="9" fillId="14" fontId="23" numFmtId="0" xfId="0" applyAlignment="1" applyBorder="1" applyFill="1" applyFont="1">
      <alignment horizontal="center" readingOrder="0" shrinkToFit="0" vertical="center" wrapText="1"/>
    </xf>
    <xf borderId="9" fillId="25" fontId="33" numFmtId="0" xfId="0" applyAlignment="1" applyBorder="1" applyFill="1" applyFont="1">
      <alignment horizontal="center" shrinkToFit="0" vertical="center" wrapText="1"/>
    </xf>
    <xf borderId="3" fillId="2" fontId="20" numFmtId="0" xfId="0" applyAlignment="1" applyBorder="1" applyFill="1" applyFont="1">
      <alignment horizontal="center" shrinkToFit="0" vertical="center" wrapText="1"/>
    </xf>
    <xf borderId="9" fillId="25" fontId="10" numFmtId="0" xfId="0" applyAlignment="1" applyBorder="1" applyFill="1" applyFont="1">
      <alignment horizontal="center" shrinkToFit="0" vertical="center" wrapText="1"/>
    </xf>
    <xf borderId="9" fillId="15" fontId="17" numFmtId="0" xfId="0" applyAlignment="1" applyBorder="1" applyFill="1" applyFont="1">
      <alignment horizontal="center" readingOrder="0" vertical="center"/>
    </xf>
    <xf borderId="9" fillId="14" fontId="4" numFmtId="0" xfId="0" applyAlignment="1" applyBorder="1" applyFill="1" applyFont="1">
      <alignment horizontal="center" readingOrder="0" shrinkToFit="0" vertical="center" wrapText="0"/>
    </xf>
    <xf borderId="9" fillId="2" fontId="41" numFmtId="0" xfId="0" applyAlignment="1" applyBorder="1" applyFill="1" applyFont="1">
      <alignment horizontal="left" shrinkToFit="0" vertical="center" wrapText="1"/>
    </xf>
    <xf borderId="3" fillId="0" fontId="20" numFmtId="3" xfId="0" applyAlignment="1" applyBorder="1" applyFont="1" applyNumberFormat="1">
      <alignment horizontal="center" readingOrder="0" vertical="center"/>
    </xf>
    <xf borderId="9" fillId="14" fontId="4" numFmtId="0" xfId="0" applyAlignment="1" applyBorder="1" applyFill="1" applyFont="1">
      <alignment horizontal="center" readingOrder="0" vertical="center"/>
    </xf>
    <xf borderId="8" fillId="15" fontId="17" numFmtId="3" xfId="0" applyAlignment="1" applyBorder="1" applyFill="1" applyFont="1" applyNumberFormat="1">
      <alignment horizontal="center" readingOrder="0" vertical="center"/>
    </xf>
    <xf borderId="14" fillId="15" fontId="17" numFmtId="3" xfId="0" applyAlignment="1" applyBorder="1" applyFill="1" applyFont="1" applyNumberFormat="1">
      <alignment horizontal="center" readingOrder="0" vertical="center"/>
    </xf>
    <xf borderId="1" fillId="0" fontId="20" numFmtId="3" xfId="0" applyAlignment="1" applyBorder="1" applyFont="1" applyNumberFormat="1">
      <alignment horizontal="center" readingOrder="0" vertical="center"/>
    </xf>
    <xf borderId="19" fillId="0" fontId="20" numFmtId="3" xfId="0" applyAlignment="1" applyBorder="1" applyFont="1" applyNumberFormat="1">
      <alignment horizontal="center" readingOrder="0" vertical="center"/>
    </xf>
    <xf borderId="2" fillId="0" fontId="17" numFmtId="3" xfId="0" applyAlignment="1" applyBorder="1" applyFont="1" applyNumberFormat="1">
      <alignment horizontal="center" readingOrder="0" vertical="center"/>
    </xf>
    <xf borderId="9" fillId="5" fontId="20" numFmtId="0" xfId="0" applyAlignment="1" applyBorder="1" applyFill="1" applyFont="1">
      <alignment horizontal="left" shrinkToFit="0" vertical="center" wrapText="1"/>
    </xf>
    <xf borderId="0" fillId="14" fontId="10" numFmtId="0" xfId="0" applyAlignment="1" applyFill="1" applyFont="1">
      <alignment horizontal="center" readingOrder="0" shrinkToFit="0" vertical="center" wrapText="1"/>
    </xf>
    <xf borderId="9" fillId="19" fontId="4" numFmtId="0" xfId="0" applyAlignment="1" applyBorder="1" applyFill="1" applyFont="1">
      <alignment horizontal="center" readingOrder="0" vertical="center"/>
    </xf>
    <xf borderId="9" fillId="2" fontId="25" numFmtId="0" xfId="0" applyAlignment="1" applyBorder="1" applyFill="1" applyFont="1">
      <alignment horizontal="left" readingOrder="0" shrinkToFit="0" vertical="center" wrapText="1"/>
    </xf>
    <xf borderId="9" fillId="30" fontId="17" numFmtId="0" xfId="0" applyAlignment="1" applyBorder="1" applyFill="1" applyFont="1">
      <alignment horizontal="center" shrinkToFit="0" vertical="center" wrapText="1"/>
    </xf>
    <xf borderId="8" fillId="30" fontId="17" numFmtId="0" xfId="0" applyAlignment="1" applyBorder="1" applyFill="1" applyFont="1">
      <alignment horizontal="center" shrinkToFit="0" vertical="center" wrapText="1"/>
    </xf>
    <xf borderId="9" fillId="19" fontId="4" numFmtId="0" xfId="0" applyAlignment="1" applyBorder="1" applyFill="1" applyFont="1">
      <alignment horizontal="center" readingOrder="0" vertical="center"/>
    </xf>
    <xf borderId="9" fillId="30" fontId="17" numFmtId="0" xfId="0" applyAlignment="1" applyBorder="1" applyFill="1" applyFont="1">
      <alignment horizontal="center" readingOrder="0" shrinkToFit="0" vertical="center" wrapText="1"/>
    </xf>
    <xf borderId="9" fillId="36" fontId="17" numFmtId="0" xfId="0" applyAlignment="1" applyBorder="1" applyFill="1" applyFont="1">
      <alignment horizontal="left" readingOrder="0" shrinkToFit="0" vertical="center" wrapText="1"/>
    </xf>
    <xf borderId="0" fillId="0" fontId="20" numFmtId="3" xfId="0" applyAlignment="1" applyFont="1" applyNumberFormat="1">
      <alignment horizontal="center" readingOrder="0" vertical="center"/>
    </xf>
    <xf borderId="8" fillId="19" fontId="4" numFmtId="0" xfId="0" applyAlignment="1" applyBorder="1" applyFill="1" applyFont="1">
      <alignment horizontal="center" readingOrder="0" shrinkToFit="0" vertical="center" wrapText="1"/>
    </xf>
    <xf borderId="16" fillId="2" fontId="17" numFmtId="0" xfId="0" applyAlignment="1" applyBorder="1" applyFill="1" applyFont="1">
      <alignment horizontal="left" shrinkToFit="0" vertical="center" wrapText="1"/>
    </xf>
    <xf borderId="16" fillId="2" fontId="17" numFmtId="0" xfId="0" applyAlignment="1" applyBorder="1" applyFill="1" applyFont="1">
      <alignment horizontal="left" readingOrder="0" shrinkToFit="0" vertical="center" wrapText="1"/>
    </xf>
    <xf borderId="9" fillId="2" fontId="17" numFmtId="0" xfId="0" applyAlignment="1" applyBorder="1" applyFill="1" applyFont="1">
      <alignment shrinkToFit="0" wrapText="1"/>
    </xf>
    <xf borderId="9" fillId="2" fontId="17" numFmtId="0" xfId="0" applyBorder="1" applyFill="1" applyFont="1"/>
    <xf borderId="9" fillId="0" fontId="20" numFmtId="0" xfId="0" applyAlignment="1" applyBorder="1" applyFont="1">
      <alignment shrinkToFit="0" wrapText="1"/>
    </xf>
    <xf borderId="9" fillId="2" fontId="10" numFmtId="3" xfId="0" applyAlignment="1" applyBorder="1" applyFill="1" applyFont="1" applyNumberFormat="1">
      <alignment horizontal="center" vertical="center"/>
    </xf>
    <xf borderId="9" fillId="2" fontId="10" numFmtId="3" xfId="0" applyAlignment="1" applyBorder="1" applyFill="1" applyFont="1" applyNumberFormat="1">
      <alignment horizontal="center" readingOrder="0"/>
    </xf>
    <xf borderId="9" fillId="31" fontId="17" numFmtId="0" xfId="0" applyAlignment="1" applyBorder="1" applyFill="1" applyFont="1">
      <alignment shrinkToFit="0" wrapText="1"/>
    </xf>
    <xf borderId="9" fillId="31" fontId="17" numFmtId="0" xfId="0" applyBorder="1" applyFill="1" applyFont="1"/>
    <xf borderId="9" fillId="37" fontId="10" numFmtId="3" xfId="0" applyAlignment="1" applyBorder="1" applyFill="1" applyFont="1" applyNumberFormat="1">
      <alignment horizontal="center" vertical="center"/>
    </xf>
    <xf borderId="9" fillId="31" fontId="10" numFmtId="3" xfId="0" applyAlignment="1" applyBorder="1" applyFill="1" applyFont="1" applyNumberFormat="1">
      <alignment horizontal="center"/>
    </xf>
    <xf borderId="9" fillId="31" fontId="17" numFmtId="0" xfId="0" applyAlignment="1" applyBorder="1" applyFill="1" applyFont="1">
      <alignment horizontal="center"/>
    </xf>
    <xf borderId="0" fillId="31" fontId="10" numFmtId="3" xfId="0" applyAlignment="1" applyFill="1" applyFont="1" applyNumberFormat="1">
      <alignment horizontal="center"/>
    </xf>
    <xf borderId="8" fillId="8" fontId="15" numFmtId="0" xfId="0" applyAlignment="1" applyBorder="1" applyFill="1" applyFont="1">
      <alignment horizontal="left" readingOrder="0" vertical="bottom"/>
    </xf>
    <xf borderId="14" fillId="12" fontId="10" numFmtId="3" xfId="0" applyAlignment="1" applyBorder="1" applyFill="1" applyFont="1" applyNumberFormat="1">
      <alignment horizontal="center" readingOrder="0"/>
    </xf>
    <xf borderId="14" fillId="0" fontId="17" numFmtId="3" xfId="0" applyAlignment="1" applyBorder="1" applyFont="1" applyNumberFormat="1">
      <alignment horizontal="center" readingOrder="0"/>
    </xf>
    <xf borderId="14" fillId="10" fontId="17" numFmtId="3" xfId="0" applyAlignment="1" applyBorder="1" applyFill="1" applyFont="1" applyNumberFormat="1">
      <alignment horizontal="center" readingOrder="0"/>
    </xf>
    <xf borderId="3" fillId="12" fontId="10" numFmtId="3" xfId="0" applyAlignment="1" applyBorder="1" applyFill="1" applyFont="1" applyNumberFormat="1">
      <alignment horizontal="center" readingOrder="0"/>
    </xf>
    <xf borderId="15" fillId="12" fontId="10" numFmtId="3" xfId="0" applyAlignment="1" applyBorder="1" applyFill="1" applyFont="1" applyNumberFormat="1">
      <alignment horizontal="center" readingOrder="0"/>
    </xf>
    <xf borderId="9" fillId="0" fontId="17" numFmtId="3" xfId="0" applyAlignment="1" applyBorder="1" applyFont="1" applyNumberFormat="1">
      <alignment horizontal="center" readingOrder="0"/>
    </xf>
    <xf borderId="11" fillId="12" fontId="10" numFmtId="3" xfId="0" applyAlignment="1" applyBorder="1" applyFill="1" applyFont="1" applyNumberFormat="1">
      <alignment horizontal="center" readingOrder="0"/>
    </xf>
    <xf borderId="9" fillId="12" fontId="10" numFmtId="3" xfId="0" applyAlignment="1" applyBorder="1" applyFill="1" applyFont="1" applyNumberFormat="1">
      <alignment horizontal="center" readingOrder="0"/>
    </xf>
    <xf borderId="0" fillId="12" fontId="10" numFmtId="0" xfId="0" applyAlignment="1" applyFill="1" applyFont="1">
      <alignment horizontal="center" readingOrder="0"/>
    </xf>
    <xf borderId="9" fillId="6" fontId="10" numFmtId="0" xfId="0" applyAlignment="1" applyBorder="1" applyFill="1" applyFont="1">
      <alignment readingOrder="0" vertical="bottom"/>
    </xf>
    <xf borderId="9" fillId="6" fontId="17" numFmtId="3" xfId="0" applyAlignment="1" applyBorder="1" applyFill="1" applyFont="1" applyNumberFormat="1">
      <alignment horizontal="center" vertical="center"/>
    </xf>
    <xf borderId="0" fillId="0" fontId="17" numFmtId="0" xfId="0" applyAlignment="1" applyFont="1">
      <alignment vertical="bottom"/>
    </xf>
  </cellXfs>
  <cellStyles count="1">
    <cellStyle xfId="0" name="Normal" builtinId="0"/>
  </cellStyles>
  <dxfs count="12">
    <dxf>
      <font/>
      <fill>
        <patternFill patternType="none"/>
      </fill>
      <border/>
    </dxf>
    <dxf>
      <font/>
      <fill>
        <patternFill patternType="solid">
          <fgColor rgb="FF9FC5E8"/>
          <bgColor rgb="FF9FC5E8"/>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none"/>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8F9FA"/>
          <bgColor rgb="FFF8F9FA"/>
        </patternFill>
      </fill>
      <border/>
    </dxf>
    <dxf>
      <font>
        <color rgb="FF000000"/>
      </font>
      <fill>
        <patternFill patternType="solid">
          <fgColor rgb="FFFFE599"/>
          <bgColor rgb="FFFFE599"/>
        </patternFill>
      </fill>
      <border/>
    </dxf>
    <dxf>
      <font/>
      <fill>
        <patternFill patternType="solid">
          <fgColor rgb="FFFFFFFF"/>
          <bgColor rgb="FFFFFFFF"/>
        </patternFill>
      </fill>
      <border/>
    </dxf>
  </dxfs>
  <tableStyles count="9">
    <tableStyle count="3" pivot="0" name="BALANÇO DOS POVOS-style">
      <tableStyleElement dxfId="1" type="headerRow"/>
      <tableStyleElement dxfId="2" type="firstRowStripe"/>
      <tableStyleElement dxfId="3" type="secondRowStripe"/>
    </tableStyle>
    <tableStyle count="3" pivot="0" name="BALANÇO POR NTE-style">
      <tableStyleElement dxfId="1" type="headerRow"/>
      <tableStyleElement dxfId="2" type="firstRowStripe"/>
      <tableStyleElement dxfId="3" type="secondRowStripe"/>
    </tableStyle>
    <tableStyle count="3" pivot="0" name="BALANÇO POR NTE-style 2">
      <tableStyleElement dxfId="1" type="headerRow"/>
      <tableStyleElement dxfId="2" type="firstRowStripe"/>
      <tableStyleElement dxfId="3" type="secondRowStripe"/>
    </tableStyle>
    <tableStyle count="3" pivot="0" name="BALANÇO POR MUNICIPIOS-style">
      <tableStyleElement dxfId="1" type="headerRow"/>
      <tableStyleElement dxfId="2" type="firstRowStripe"/>
      <tableStyleElement dxfId="3" type="secondRowStripe"/>
    </tableStyle>
    <tableStyle count="2" pivot="0" name="BALANÇO POR MUNICIPIOS-style 2">
      <tableStyleElement dxfId="2" type="firstRowStripe"/>
      <tableStyleElement dxfId="3" type="secondRowStripe"/>
    </tableStyle>
    <tableStyle count="2" pivot="0" name="BALANÇO POR MUNICIPIOS-style 3">
      <tableStyleElement dxfId="3" type="firstRowStripe"/>
      <tableStyleElement dxfId="2" type="secondRowStripe"/>
    </tableStyle>
    <tableStyle count="3" pivot="0" name="BALANÇO POR MUNICIPIOS-style 4">
      <tableStyleElement dxfId="1" type="headerRow"/>
      <tableStyleElement dxfId="2" type="firstRowStripe"/>
      <tableStyleElement dxfId="3" type="secondRowStripe"/>
    </tableStyle>
    <tableStyle count="2" pivot="0" name="Página12-style">
      <tableStyleElement dxfId="2" type="firstRowStripe"/>
      <tableStyleElement dxfId="9" type="secondRowStripe"/>
    </tableStyle>
    <tableStyle count="2" pivot="0" name="Página12-style 2">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757575"/>
                </a:solidFill>
                <a:latin typeface="+mn-lt"/>
              </a:defRPr>
            </a:pPr>
            <a:r>
              <a:rPr b="1" i="1">
                <a:solidFill>
                  <a:srgbClr val="757575"/>
                </a:solidFill>
                <a:latin typeface="+mn-lt"/>
              </a:rPr>
              <a:t>Balanço das chuvas - 2026</a:t>
            </a:r>
          </a:p>
        </c:rich>
      </c:tx>
      <c:overlay val="0"/>
    </c:title>
    <c:plotArea>
      <c:layout/>
      <c:barChart>
        <c:barDir val="col"/>
        <c:ser>
          <c:idx val="0"/>
          <c:order val="0"/>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'Página12'!$M$2:$M$23</c:f>
            </c:strRef>
          </c:cat>
          <c:val>
            <c:numRef>
              <c:f>'Página12'!$N$2:$N$23</c:f>
              <c:numCache/>
            </c:numRef>
          </c:val>
        </c:ser>
        <c:axId val="1165035633"/>
        <c:axId val="288593497"/>
      </c:barChart>
      <c:catAx>
        <c:axId val="1165035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8593497"/>
      </c:catAx>
      <c:valAx>
        <c:axId val="2885934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Acionamentos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503563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66675</xdr:rowOff>
    </xdr:from>
    <xdr:ext cx="4181475" cy="5715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71750" cy="68580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71750" cy="68580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66675</xdr:rowOff>
    </xdr:from>
    <xdr:ext cx="4181475" cy="5715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66675</xdr:rowOff>
    </xdr:from>
    <xdr:ext cx="4181475" cy="5715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8</xdr:row>
      <xdr:rowOff>66675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28575</xdr:rowOff>
    </xdr:from>
    <xdr:ext cx="1266825" cy="495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95425" cy="495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4:BC31" displayName="Table_2" name="Table_2" id="1">
  <tableColumns count="54">
    <tableColumn name="ESCOLAS" id="1"/>
    <tableColumn name="ANEXOS" id="2"/>
    <tableColumn name="EFAS" id="3"/>
    <tableColumn name="INFANTIL" id="4"/>
    <tableColumn name="FUNDAMENTAL" id="5"/>
    <tableColumn name="MEDIO" id="6"/>
    <tableColumn name="EJA FUNDAMENTAL" id="7"/>
    <tableColumn name="EJA MEDIO" id="8"/>
    <tableColumn name="PROFISSIONAL" id="9"/>
    <tableColumn name="TOTAL DE ESTUDANTES" id="10"/>
    <tableColumn name="ESCOLA" id="11"/>
    <tableColumn name="QNT DE ANEXOS" id="12"/>
    <tableColumn name="INFANTIL 2" id="13"/>
    <tableColumn name="FUNDAMENTAL 2" id="14"/>
    <tableColumn name="MÉDIO" id="15"/>
    <tableColumn name="EJA FUNDAMENTAL 2" id="16"/>
    <tableColumn name="EJA MÉDIO" id="17"/>
    <tableColumn name="PROFISSIONAL 2" id="18"/>
    <tableColumn name="TOTAL DE ESTUDANTES 2" id="19"/>
    <tableColumn name="ESCOLAS 2" id="20"/>
    <tableColumn name="ANEXOS 2" id="21"/>
    <tableColumn name="INFANTIL 3" id="22"/>
    <tableColumn name="FUNDAMENTAL 3" id="23"/>
    <tableColumn name="MÉDIO 2" id="24"/>
    <tableColumn name="EJA FUNDAMENTAL 3" id="25"/>
    <tableColumn name="EJA MÉDIO 2" id="26"/>
    <tableColumn name="PROFISSIONAL 3" id="27"/>
    <tableColumn name="TOTAL DE ESTUDANTES 3" id="28"/>
    <tableColumn name="ESCOLAS 3" id="29"/>
    <tableColumn name="ANEXOS 3" id="30"/>
    <tableColumn name="INFANTIL 4" id="31"/>
    <tableColumn name="FUNDAMENTAL 4" id="32"/>
    <tableColumn name="MÉDIO 3" id="33"/>
    <tableColumn name="EJA FUNDAMENTAL 4" id="34"/>
    <tableColumn name="EJA MÉDIO 3" id="35"/>
    <tableColumn name="PROFISSIONAL 4" id="36"/>
    <tableColumn name="TOTAL DE ESTUDANTES 4" id="37"/>
    <tableColumn name="ESCOLAS 4" id="38"/>
    <tableColumn name="ANEXOS 4" id="39"/>
    <tableColumn name="INFANTIL 5" id="40"/>
    <tableColumn name="FUNDAMENTAL 5" id="41"/>
    <tableColumn name="MÉDIO 4" id="42"/>
    <tableColumn name="EJA FUNDAMENTAL 5" id="43"/>
    <tableColumn name="EJA MÉDIO 4" id="44"/>
    <tableColumn name="PROFISSIONAL 5" id="45"/>
    <tableColumn name="TOTAL DE ESTUDANTES 5" id="46"/>
    <tableColumn name="ESCOLAS 5" id="47"/>
    <tableColumn name="INFANTIL 6" id="48"/>
    <tableColumn name="FUNDAMENTAL 6" id="49"/>
    <tableColumn name="MÉDIO 5" id="50"/>
    <tableColumn name="EJA FUNDAMENTAL 6" id="51"/>
    <tableColumn name="EJA MÉDIO 5" id="52"/>
    <tableColumn name="PROFISSIONAL 6" id="53"/>
    <tableColumn name="TOTAL DE ESTUDANTES 6" id="54"/>
  </tableColumns>
  <tableStyleInfo name="BALANÇO DOS POVOS-style" showColumnStripes="0" showFirstColumn="1" showLastColumn="1" showRowStripes="1"/>
</table>
</file>

<file path=xl/tables/table2.xml><?xml version="1.0" encoding="utf-8"?>
<table xmlns="http://schemas.openxmlformats.org/spreadsheetml/2006/main" ref="B4:BM31" displayName="Table_1" name="Table_1" id="2">
  <tableColumns count="64">
    <tableColumn name="ESCOLAS" id="1"/>
    <tableColumn name="ANEXOS" id="2"/>
    <tableColumn name="EFAS" id="3"/>
    <tableColumn name="INFANTIL" id="4"/>
    <tableColumn name="FUNDAMENTAL" id="5"/>
    <tableColumn name="MEDIO" id="6"/>
    <tableColumn name="EJA FUNDAMENTAL" id="7"/>
    <tableColumn name="EJA MEDIO" id="8"/>
    <tableColumn name="PROFISSIONAL" id="9"/>
    <tableColumn name="TOTAL DE ESTUDANTES" id="10"/>
    <tableColumn name="ESCOLA" id="11"/>
    <tableColumn name="QNT DE ANEXOS" id="12"/>
    <tableColumn name="INFANTIL 2" id="13"/>
    <tableColumn name="FUNDAMENTAL 2" id="14"/>
    <tableColumn name="MEDIO 2" id="15"/>
    <tableColumn name="EJA FUNDAMENTAL 2" id="16"/>
    <tableColumn name="EJA MEDIO 2" id="17"/>
    <tableColumn name="PROFISSIONAL 2" id="18"/>
    <tableColumn name="TOTAL DE ESTUDANTES 2" id="19"/>
    <tableColumn name="ESCOLAS 2" id="20"/>
    <tableColumn name="ANEXOS 2" id="21"/>
    <tableColumn name="MEDIO 3" id="22"/>
    <tableColumn name="EJA FUNDAMENTAL 3" id="23"/>
    <tableColumn name="EJA MEDIO 3" id="24"/>
    <tableColumn name="PROFISSIONAL 3" id="25"/>
    <tableColumn name="TOTAL DE ESTUDANTES 3" id="26"/>
    <tableColumn name="ESCOLA 2" id="27"/>
    <tableColumn name="QNT DE ANEXOS 2" id="28"/>
    <tableColumn name="EFAS 2" id="29"/>
    <tableColumn name="MUNICIPIOS COM ALUNOS MATRICULADOS" id="30"/>
    <tableColumn name="MUNICIPIOS SEM ALUNOS MATRICULADOS" id="31"/>
    <tableColumn name="FUNDAMENTAL 3" id="32"/>
    <tableColumn name="MEDIO 4" id="33"/>
    <tableColumn name="PROFISSIONAL 4" id="34"/>
    <tableColumn name="TOTAL DE ESTUDANTES 4" id="35"/>
    <tableColumn name="ESCOLAS 3" id="36"/>
    <tableColumn name="ANEXOS 3" id="37"/>
    <tableColumn name="MUNICIPIOS COM ALUNOS MATRICULADOS 2" id="38"/>
    <tableColumn name="MUNICIPIOS SEM ALUNOS MATRICULADOS 2" id="39"/>
    <tableColumn name="DIURNO" id="40"/>
    <tableColumn name="NOTURNO" id="41"/>
    <tableColumn name="INTEGRAL" id="42"/>
    <tableColumn name="TOTAL" id="43"/>
    <tableColumn name="ESCOLA 3" id="44"/>
    <tableColumn name="QNT DE ANEXOS 3" id="45"/>
    <tableColumn name="EFAS 3" id="46"/>
    <tableColumn name="MUNICIPIOS COM ALUNOS MATRICULADOS 3" id="47"/>
    <tableColumn name="MUNICIPIOS SEM ALUNOS MATRICULADOS 3" id="48"/>
    <tableColumn name="DIURNO 2" id="49"/>
    <tableColumn name="NOTURNO 2" id="50"/>
    <tableColumn name="INTEGRAL 2" id="51"/>
    <tableColumn name="TOTAL 2" id="52"/>
    <tableColumn name="ESCOLA 4" id="53"/>
    <tableColumn name="QNT DE ANEXOS 4" id="54"/>
    <tableColumn name="EFAS 4" id="55"/>
    <tableColumn name="MUNICIPIOS COM ALUNOS MATRICULADOS 4" id="56"/>
    <tableColumn name="MUNICIPIOS SEM ALUNOS MATRICULADOS 4" id="57"/>
    <tableColumn name="DIURNO 3" id="58"/>
    <tableColumn name="NOTURNO 3" id="59"/>
    <tableColumn name="TOTAL 3" id="60"/>
    <tableColumn name="ESCOLA 5" id="61"/>
    <tableColumn name="QNT DE ANEXOS 5" id="62"/>
    <tableColumn name="MUNICIPIOS COM ALUNOS MATRICULADOS 5" id="63"/>
    <tableColumn name="TOTAL 4" id="64"/>
  </tableColumns>
  <tableStyleInfo name="BALANÇO POR NTE-style" showColumnStripes="0" showFirstColumn="1" showLastColumn="1" showRowStripes="1"/>
</table>
</file>

<file path=xl/tables/table3.xml><?xml version="1.0" encoding="utf-8"?>
<table xmlns="http://schemas.openxmlformats.org/spreadsheetml/2006/main" ref="BN4:CM5" displayName="Table_3" name="Table_3" id="3">
  <tableColumns count="26">
    <tableColumn name="ESCOLA" id="1"/>
    <tableColumn name="QNT DE ANEXOS" id="2"/>
    <tableColumn name="EFAS" id="3"/>
    <tableColumn name="MUNICIPIOS COM ALUNOS MATRICULADOS" id="4"/>
    <tableColumn name="MUNICIPIOS SEM ALUNOS MATRICULADOS" id="5"/>
    <tableColumn name="DIURNO" id="6"/>
    <tableColumn name="NOTURNO" id="7"/>
    <tableColumn name="TOTAL" id="8"/>
    <tableColumn name="ESCOLA 2" id="9"/>
    <tableColumn name="QNT DE ANEXOS 2" id="10"/>
    <tableColumn name="EFAS 2" id="11"/>
    <tableColumn name="MUNICIPIOS COM ALUNOS MATRICULADOS 2" id="12"/>
    <tableColumn name="MUNICIPIOS SEM ALUNOS MATRICULADOS 2" id="13"/>
    <tableColumn name="DIURNO 2" id="14"/>
    <tableColumn name="NOTURNO 2" id="15"/>
    <tableColumn name="TOTAL 2" id="16"/>
    <tableColumn name="ESCOLA 3" id="17"/>
    <tableColumn name="QNT DE ANEXOS 3" id="18"/>
    <tableColumn name="EFAS 3" id="19"/>
    <tableColumn name="MUNICIPIOS COM ALUNOS MATRICULADOS 3" id="20"/>
    <tableColumn name="MUNICIPIOS SEM ALUNOS MATRICULADOS 3" id="21"/>
    <tableColumn name="DIURNO 3" id="22"/>
    <tableColumn name="TOTAL 3" id="23"/>
    <tableColumn name="ESCOLA 4" id="24"/>
    <tableColumn name="QNT DE ANEXOS 4" id="25"/>
    <tableColumn name="TOTAL DE ESTUDANTES" id="26"/>
  </tableColumns>
  <tableStyleInfo name="BALANÇO POR NTE-style 2" showColumnStripes="0" showFirstColumn="1" showLastColumn="1" showRowStripes="1"/>
</table>
</file>

<file path=xl/tables/table4.xml><?xml version="1.0" encoding="utf-8"?>
<table xmlns="http://schemas.openxmlformats.org/spreadsheetml/2006/main" headerRowCount="0" ref="B3:AL3" displayName="Table_4" name="Table_4" id="4">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BALANÇO POR MUNICIPIO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4:AL13" displayName="Table_5" name="Table_5" id="5">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BALANÇO POR MUNICIPIOS-style 2" showColumnStripes="0" showFirstColumn="1" showLastColumn="1" showRowStripes="1"/>
</table>
</file>

<file path=xl/tables/table6.xml><?xml version="1.0" encoding="utf-8"?>
<table xmlns="http://schemas.openxmlformats.org/spreadsheetml/2006/main" headerRowCount="0" ref="B14:AL14" displayName="Table_6" name="Table_6" id="6">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BALANÇO POR MUNICIPIOS-style 3" showColumnStripes="0" showFirstColumn="1" showLastColumn="1" showRowStripes="1"/>
</table>
</file>

<file path=xl/tables/table7.xml><?xml version="1.0" encoding="utf-8"?>
<table xmlns="http://schemas.openxmlformats.org/spreadsheetml/2006/main" ref="B17:AM435" displayName="Table_7" name="Table_7" id="7">
  <tableColumns count="38">
    <tableColumn name="ESCOLAS" id="1"/>
    <tableColumn name="ANEXOS" id="2"/>
    <tableColumn name="INFANTIL" id="3"/>
    <tableColumn name="FUNDAMENTAL" id="4"/>
    <tableColumn name="MEDIO" id="5"/>
    <tableColumn name="EJA FUNDAMENTAL" id="6"/>
    <tableColumn name="EJA MEDIO" id="7"/>
    <tableColumn name="PROFISSIONAL" id="8"/>
    <tableColumn name="TOTAL DE ESTUDANTES" id="9"/>
    <tableColumn name="ESCOLA" id="10"/>
    <tableColumn name="QNT DE ANEXOS" id="11"/>
    <tableColumn name="INFANTIL 2" id="12"/>
    <tableColumn name="FUNDAMENTAL 2" id="13"/>
    <tableColumn name="MEDIO 2" id="14"/>
    <tableColumn name="EJA FUNDAMENTAL 2" id="15"/>
    <tableColumn name="EJA MEDIO 2" id="16"/>
    <tableColumn name="PROFISSIONAL 2" id="17"/>
    <tableColumn name="TOTAL DE ESTUDANTES 2" id="18"/>
    <tableColumn name="ESCOLAS 2" id="19"/>
    <tableColumn name="ANEXOS 2" id="20"/>
    <tableColumn name="MEDIO 3" id="21"/>
    <tableColumn name="EJA FUNDAMENTAL 3" id="22"/>
    <tableColumn name="EJA MEDIO 3" id="23"/>
    <tableColumn name="PROFISSIONAL 3" id="24"/>
    <tableColumn name="TOTAL DE ESTUDANTES 3" id="25"/>
    <tableColumn name="ESCOLA 2" id="26"/>
    <tableColumn name="QNT DE ANEXOS 2" id="27"/>
    <tableColumn name="FUNDAMENTAL 3" id="28"/>
    <tableColumn name="MEDIO 4" id="29"/>
    <tableColumn name="PROFISSIONAL 4" id="30"/>
    <tableColumn name="TOTAL DE ESTUDANTES 4" id="31"/>
    <tableColumn name="ESCOLAS 3" id="32"/>
    <tableColumn name="ANEXOS 3" id="33"/>
    <tableColumn name="DIURNO" id="34"/>
    <tableColumn name="NOTURNO" id="35"/>
    <tableColumn name="INTEGRAL" id="36"/>
    <tableColumn name="TOTAL" id="37"/>
    <tableColumn name="NTE" id="38"/>
  </tableColumns>
  <tableStyleInfo name="BALANÇO POR MUNICIPIOS-style 4" showColumnStripes="0" showFirstColumn="1" showLastColumn="1" showRowStripes="1"/>
</table>
</file>

<file path=xl/tables/table8.xml><?xml version="1.0" encoding="utf-8"?>
<table xmlns="http://schemas.openxmlformats.org/spreadsheetml/2006/main" headerRowCount="0" ref="A3:A203" displayName="Table_8" name="Table_8" id="8">
  <tableColumns count="1">
    <tableColumn name="Column1" id="1"/>
  </tableColumns>
  <tableStyleInfo name="Página12-style" showColumnStripes="0" showFirstColumn="1" showLastColumn="1" showRowStripes="1"/>
</table>
</file>

<file path=xl/tables/table9.xml><?xml version="1.0" encoding="utf-8"?>
<table xmlns="http://schemas.openxmlformats.org/spreadsheetml/2006/main" headerRowCount="0" ref="A204" displayName="Table_9" name="Table_9" id="9">
  <tableColumns count="1">
    <tableColumn name="Column1" id="1"/>
  </tableColumns>
  <tableStyleInfo name="Página1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drive/folders/1ci6zAuFDHBEvKNHqEaxwQvJNWC0FfwD9?usp=drive_link" TargetMode="External"/><Relationship Id="rId194" Type="http://schemas.openxmlformats.org/officeDocument/2006/relationships/hyperlink" Target="https://drive.google.com/drive/folders/1BAaTQiMiytNVVlVQqZ__v4P62DbP6lQA?usp=drive_link" TargetMode="External"/><Relationship Id="rId193" Type="http://schemas.openxmlformats.org/officeDocument/2006/relationships/hyperlink" Target="https://drive.google.com/drive/folders/1Z7Wo9CbD3Y0zTd10fy493R09z6BqW0dz?usp=drive_link" TargetMode="External"/><Relationship Id="rId192" Type="http://schemas.openxmlformats.org/officeDocument/2006/relationships/hyperlink" Target="https://drive.google.com/drive/folders/1hCAe0cqAk47Z351Hz-P0JXigFeZYl1zA?usp=drive_link" TargetMode="External"/><Relationship Id="rId191" Type="http://schemas.openxmlformats.org/officeDocument/2006/relationships/hyperlink" Target="https://drive.google.com/drive/folders/1EB4lweGM9ycZx_WEA5iIiOXxaIQJ87co?usp=drive_link" TargetMode="External"/><Relationship Id="rId187" Type="http://schemas.openxmlformats.org/officeDocument/2006/relationships/hyperlink" Target="https://drive.google.com/drive/folders/1G8hO561OlPt_m1WkoA6pKr63cKl9JFec?usp=drive_link" TargetMode="External"/><Relationship Id="rId186" Type="http://schemas.openxmlformats.org/officeDocument/2006/relationships/hyperlink" Target="https://drive.google.com/drive/folders/1vSE1tc-jce0Lh-DB9mNSbeimZnIW6Q9L?usp=drive_link" TargetMode="External"/><Relationship Id="rId185" Type="http://schemas.openxmlformats.org/officeDocument/2006/relationships/hyperlink" Target="https://drive.google.com/drive/folders/18cmU9kMBQvlXTtYptilX-Ak2efbk-Fmv?usp=drive_link" TargetMode="External"/><Relationship Id="rId184" Type="http://schemas.openxmlformats.org/officeDocument/2006/relationships/hyperlink" Target="https://drive.google.com/drive/folders/1UqMtrRVjSii78p2WYlZAIbG_8EMfpzEH?usp=drive_link" TargetMode="External"/><Relationship Id="rId189" Type="http://schemas.openxmlformats.org/officeDocument/2006/relationships/hyperlink" Target="https://drive.google.com/drive/folders/1AJd3OMtK12tnpIhl1QO2j36GGDoGGDHi?usp=drive_link" TargetMode="External"/><Relationship Id="rId188" Type="http://schemas.openxmlformats.org/officeDocument/2006/relationships/hyperlink" Target="https://drive.google.com/drive/folders/1vSpohppL5AplHRxmMxCYImHcUx7Nkd31?usp=drive_link" TargetMode="External"/><Relationship Id="rId183" Type="http://schemas.openxmlformats.org/officeDocument/2006/relationships/hyperlink" Target="https://drive.google.com/drive/folders/11kz7QwMxjb_-QY2oc5_439MpmB9h91PG?usp=drive_link" TargetMode="External"/><Relationship Id="rId182" Type="http://schemas.openxmlformats.org/officeDocument/2006/relationships/hyperlink" Target="https://drive.google.com/drive/folders/1iZdEmuy0COO9lq2nwhkXoxcmZTAjB1LM?usp=drive_link" TargetMode="External"/><Relationship Id="rId181" Type="http://schemas.openxmlformats.org/officeDocument/2006/relationships/hyperlink" Target="https://drive.google.com/drive/folders/14Ad3R6FnYPzXaFM0rabX9LccEYCXzAkW?usp=drive_link" TargetMode="External"/><Relationship Id="rId180" Type="http://schemas.openxmlformats.org/officeDocument/2006/relationships/hyperlink" Target="https://drive.google.com/drive/folders/1696v4qHk7UKvcVgT1yj4OIQpP4cbcJg0?usp=drive_link" TargetMode="External"/><Relationship Id="rId176" Type="http://schemas.openxmlformats.org/officeDocument/2006/relationships/hyperlink" Target="https://drive.google.com/drive/folders/1-ImiodB8DFQfXBhkKa_gmek99Tc140Cv?usp=drive_link" TargetMode="External"/><Relationship Id="rId297" Type="http://schemas.openxmlformats.org/officeDocument/2006/relationships/hyperlink" Target="https://drive.google.com/drive/folders/1gy4LHcs4-uZA8I9sV_ovT_Depsdirh4_?usp=drive_link" TargetMode="External"/><Relationship Id="rId175" Type="http://schemas.openxmlformats.org/officeDocument/2006/relationships/hyperlink" Target="https://drive.google.com/drive/folders/1VmCyzBmo1nYmZZa591qKnF9OW1xIAV3J?usp=drive_link" TargetMode="External"/><Relationship Id="rId296" Type="http://schemas.openxmlformats.org/officeDocument/2006/relationships/hyperlink" Target="https://drive.google.com/drive/folders/1m4mBK6DFGXAHgfwp6ZRcWi0bN52uGIls?usp=drive_link" TargetMode="External"/><Relationship Id="rId174" Type="http://schemas.openxmlformats.org/officeDocument/2006/relationships/hyperlink" Target="https://drive.google.com/drive/folders/1w46ketX7VOtZdDQbc-H-9Lz7EEiL5kjY?usp=drive_link" TargetMode="External"/><Relationship Id="rId295" Type="http://schemas.openxmlformats.org/officeDocument/2006/relationships/hyperlink" Target="https://drive.google.com/drive/folders/11qubz2m8awgI3jT9i1QzjnwYyGZ-IzPB?usp=drive_link" TargetMode="External"/><Relationship Id="rId173" Type="http://schemas.openxmlformats.org/officeDocument/2006/relationships/hyperlink" Target="https://drive.google.com/drive/folders/1N25qE83AuyWUXn_bUb2gDNq6SbRlDeim?usp=drive_link" TargetMode="External"/><Relationship Id="rId294" Type="http://schemas.openxmlformats.org/officeDocument/2006/relationships/hyperlink" Target="https://drive.google.com/drive/folders/1k2nP1ymTKYbPe5OJjjf34k5ecLlbu77x?usp=drive_link" TargetMode="External"/><Relationship Id="rId179" Type="http://schemas.openxmlformats.org/officeDocument/2006/relationships/hyperlink" Target="https://drive.google.com/drive/folders/1dMX9_8DwoC0isfjTXC-XMmTI7_KjWvBi?usp=drive_link" TargetMode="External"/><Relationship Id="rId178" Type="http://schemas.openxmlformats.org/officeDocument/2006/relationships/hyperlink" Target="https://drive.google.com/drive/folders/1FUR1eNvDumoKh2m56OBbNksVYMClApBQ?usp=drive_link" TargetMode="External"/><Relationship Id="rId299" Type="http://schemas.openxmlformats.org/officeDocument/2006/relationships/hyperlink" Target="https://drive.google.com/drive/folders/1Kct5fbLw9Xr26UqKGYwr4gSuG71Iioo0?usp=drive_link" TargetMode="External"/><Relationship Id="rId177" Type="http://schemas.openxmlformats.org/officeDocument/2006/relationships/hyperlink" Target="https://drive.google.com/drive/folders/19Udgmw5QyJfGaM5-SX8LpeeHmQfvCmhP?usp=drive_link" TargetMode="External"/><Relationship Id="rId298" Type="http://schemas.openxmlformats.org/officeDocument/2006/relationships/hyperlink" Target="https://drive.google.com/drive/folders/1tLjdhHsAmZCmD_unkjHEaIbXWLqF2_iU?usp=drive_link" TargetMode="External"/><Relationship Id="rId198" Type="http://schemas.openxmlformats.org/officeDocument/2006/relationships/hyperlink" Target="https://drive.google.com/drive/folders/17OaHM_RJHwkL1EV3VBDsYdF9n_f88ZDN?usp=drive_link" TargetMode="External"/><Relationship Id="rId197" Type="http://schemas.openxmlformats.org/officeDocument/2006/relationships/hyperlink" Target="https://drive.google.com/drive/folders/11n1WS55MGQIp-rFnt74gM74NbfLO-dMY?usp=drive_link" TargetMode="External"/><Relationship Id="rId196" Type="http://schemas.openxmlformats.org/officeDocument/2006/relationships/hyperlink" Target="https://drive.google.com/drive/folders/1rTyB6eK9mo4aO41cGMw0BsgDBcSYilyJ?usp=drive_link" TargetMode="External"/><Relationship Id="rId195" Type="http://schemas.openxmlformats.org/officeDocument/2006/relationships/hyperlink" Target="https://drive.google.com/drive/folders/1-k2uXKJGzx4J4_h-BBmCO8CIDQoOtzbx?usp=drive_link" TargetMode="External"/><Relationship Id="rId199" Type="http://schemas.openxmlformats.org/officeDocument/2006/relationships/hyperlink" Target="https://drive.google.com/drive/folders/1UE1nlIMDnWSfQF5ZEiyrQcEYabnFCSOu?usp=drive_link" TargetMode="External"/><Relationship Id="rId150" Type="http://schemas.openxmlformats.org/officeDocument/2006/relationships/hyperlink" Target="https://drive.google.com/drive/folders/1Bw10CF4pHKGpS-s1zw-ByYtLd-m_Lkp1?usp=drive_link" TargetMode="External"/><Relationship Id="rId271" Type="http://schemas.openxmlformats.org/officeDocument/2006/relationships/hyperlink" Target="https://drive.google.com/drive/folders/187ubnvl_Sfl13RjWcyzWkj3F-CtQtY0Q?usp=drive_link" TargetMode="External"/><Relationship Id="rId392" Type="http://schemas.openxmlformats.org/officeDocument/2006/relationships/hyperlink" Target="https://drive.google.com/drive/folders/1G6t28BwrK34NdochTeD3hCij3IS36Yep?usp=drive_link" TargetMode="External"/><Relationship Id="rId270" Type="http://schemas.openxmlformats.org/officeDocument/2006/relationships/hyperlink" Target="https://drive.google.com/drive/folders/1tHNGeZa6t38vHiEpDrYMI8lQArgkcnx2?usp=drive_link" TargetMode="External"/><Relationship Id="rId391" Type="http://schemas.openxmlformats.org/officeDocument/2006/relationships/hyperlink" Target="https://drive.google.com/drive/folders/1L574V2IJcuR-bgkBvFw-RwFoyzJ-K73L?usp=drive_link" TargetMode="External"/><Relationship Id="rId390" Type="http://schemas.openxmlformats.org/officeDocument/2006/relationships/hyperlink" Target="https://drive.google.com/drive/folders/1-y1PHRJI_zfgmu3m2VSeZsBGOJyGMDRM?usp=drive_link" TargetMode="External"/><Relationship Id="rId1" Type="http://schemas.openxmlformats.org/officeDocument/2006/relationships/hyperlink" Target="https://drive.google.com/drive/folders/1AKHfHjVAXqFEGgc6jNcb7VdPjotxoINN?usp=drive_link" TargetMode="External"/><Relationship Id="rId2" Type="http://schemas.openxmlformats.org/officeDocument/2006/relationships/hyperlink" Target="https://drive.google.com/drive/folders/1l_OGQ2flvCmxS_TdN5CX1xep2E1SV0cE?usp=drive_link" TargetMode="External"/><Relationship Id="rId3" Type="http://schemas.openxmlformats.org/officeDocument/2006/relationships/hyperlink" Target="https://drive.google.com/drive/folders/19J07IBqbA-R3cJpZoVMFcnDRa3QInGv6?usp=drive_link" TargetMode="External"/><Relationship Id="rId149" Type="http://schemas.openxmlformats.org/officeDocument/2006/relationships/hyperlink" Target="https://drive.google.com/drive/folders/1sb7fa2q5vbjBmxzqwbcJy7kC-1UHnDH2?usp=drive_link" TargetMode="External"/><Relationship Id="rId4" Type="http://schemas.openxmlformats.org/officeDocument/2006/relationships/hyperlink" Target="https://drive.google.com/drive/folders/1YMG5GV5o6JWz8t8kUxPoz5GKqbeTQiu9?usp=drive_link" TargetMode="External"/><Relationship Id="rId148" Type="http://schemas.openxmlformats.org/officeDocument/2006/relationships/hyperlink" Target="https://drive.google.com/drive/folders/1eqUGoq77d3PVdlLhDSp0VTix8J-FqIkD?usp=drive_link" TargetMode="External"/><Relationship Id="rId269" Type="http://schemas.openxmlformats.org/officeDocument/2006/relationships/hyperlink" Target="https://drive.google.com/drive/folders/1Ibk3kX4B6hmYYUKak0W354NxmLP4EBQi?usp=drive_link" TargetMode="External"/><Relationship Id="rId9" Type="http://schemas.openxmlformats.org/officeDocument/2006/relationships/hyperlink" Target="https://drive.google.com/drive/folders/11HmRjeL8IhWH9yUpxsk4hPUtuYApcRgC?usp=drive_link" TargetMode="External"/><Relationship Id="rId143" Type="http://schemas.openxmlformats.org/officeDocument/2006/relationships/hyperlink" Target="https://drive.google.com/drive/folders/1G4MWcZb-aoartUcjYG8s-3IPuyuNEC_3?usp=drive_link" TargetMode="External"/><Relationship Id="rId264" Type="http://schemas.openxmlformats.org/officeDocument/2006/relationships/hyperlink" Target="https://drive.google.com/drive/folders/18ny34ZxdF0mvmz6qOvedg-PGFS-Oip3v?usp=drive_link" TargetMode="External"/><Relationship Id="rId385" Type="http://schemas.openxmlformats.org/officeDocument/2006/relationships/hyperlink" Target="https://drive.google.com/drive/folders/1WgMbEYUBJkBIaZjNIJODyOrLXidWjA06?usp=drive_link" TargetMode="External"/><Relationship Id="rId142" Type="http://schemas.openxmlformats.org/officeDocument/2006/relationships/hyperlink" Target="https://drive.google.com/drive/folders/1iC6XWLprgLdj6wgWVU922-Go1pi6tGIT?usp=drive_link" TargetMode="External"/><Relationship Id="rId263" Type="http://schemas.openxmlformats.org/officeDocument/2006/relationships/hyperlink" Target="https://drive.google.com/drive/folders/1aY-plpu4jBQJSZD1z4kTXcMbuLkadMP0?usp=drive_link" TargetMode="External"/><Relationship Id="rId384" Type="http://schemas.openxmlformats.org/officeDocument/2006/relationships/hyperlink" Target="https://drive.google.com/drive/folders/1vsIQ5bDguV0CL-H8d4iD97nJmgbi2Y4n?usp=drive_link" TargetMode="External"/><Relationship Id="rId141" Type="http://schemas.openxmlformats.org/officeDocument/2006/relationships/hyperlink" Target="https://drive.google.com/drive/folders/1qkcI4USOLXvwTCxGXQbfH5t7Pet7UOUa?usp=drive_link" TargetMode="External"/><Relationship Id="rId262" Type="http://schemas.openxmlformats.org/officeDocument/2006/relationships/hyperlink" Target="https://drive.google.com/drive/folders/1AcP5-IL2T2stsbavffY0gkKPcbc6ftUv?usp=drive_link" TargetMode="External"/><Relationship Id="rId383" Type="http://schemas.openxmlformats.org/officeDocument/2006/relationships/hyperlink" Target="https://drive.google.com/drive/folders/1jeC38Uo-Qv5Bcs9dIfCNL1xF5dxUm63n?usp=drive_link" TargetMode="External"/><Relationship Id="rId140" Type="http://schemas.openxmlformats.org/officeDocument/2006/relationships/hyperlink" Target="https://drive.google.com/drive/folders/1NM-sv6V2yoyd1C8iXQUgyQNNKUNTCfC7?usp=drive_link" TargetMode="External"/><Relationship Id="rId261" Type="http://schemas.openxmlformats.org/officeDocument/2006/relationships/hyperlink" Target="https://drive.google.com/drive/folders/1-5PwSmusD9Kj-S67v8dXKiHyKeEqMXcP?usp=drive_link" TargetMode="External"/><Relationship Id="rId382" Type="http://schemas.openxmlformats.org/officeDocument/2006/relationships/hyperlink" Target="https://drive.google.com/drive/folders/1HEnKCirfbXYv2MqSJoGatCF7DBgS0prx?usp=drive_link" TargetMode="External"/><Relationship Id="rId5" Type="http://schemas.openxmlformats.org/officeDocument/2006/relationships/hyperlink" Target="https://drive.google.com/drive/folders/1BJfBY4eFtVOX24c5VgI2yl8prz5EAruV?usp=drive_link" TargetMode="External"/><Relationship Id="rId147" Type="http://schemas.openxmlformats.org/officeDocument/2006/relationships/hyperlink" Target="https://drive.google.com/drive/folders/1jrxB-mFk5XaN2upcevux4w36Eb_mMIMV?usp=drive_link" TargetMode="External"/><Relationship Id="rId268" Type="http://schemas.openxmlformats.org/officeDocument/2006/relationships/hyperlink" Target="https://drive.google.com/drive/folders/1tYfAXDskgSUJWKh9qP3EJvWSUmUciPFa?usp=drive_link" TargetMode="External"/><Relationship Id="rId389" Type="http://schemas.openxmlformats.org/officeDocument/2006/relationships/hyperlink" Target="https://drive.google.com/drive/folders/1CqdIou9FmeplR9SRWeLffHX4h2G-Syxi?usp=drive_link" TargetMode="External"/><Relationship Id="rId6" Type="http://schemas.openxmlformats.org/officeDocument/2006/relationships/hyperlink" Target="https://drive.google.com/drive/folders/12JS6DCk4x4rWQx8ZFAnaGLLZWHOnwMwF?usp=drive_link" TargetMode="External"/><Relationship Id="rId146" Type="http://schemas.openxmlformats.org/officeDocument/2006/relationships/hyperlink" Target="https://drive.google.com/drive/folders/1m0OiqSRtR-Gna9crg2dny9hlCIAL7CgJ?usp=drive_link" TargetMode="External"/><Relationship Id="rId267" Type="http://schemas.openxmlformats.org/officeDocument/2006/relationships/hyperlink" Target="https://drive.google.com/drive/folders/1M4pOXGh29wAeRICfX5dWLURf7d7kEEgh?usp=drive_link" TargetMode="External"/><Relationship Id="rId388" Type="http://schemas.openxmlformats.org/officeDocument/2006/relationships/hyperlink" Target="https://drive.google.com/drive/folders/1hUyEA765-RMZufZZaU54eKiZgEl7hkaa?usp=drive_link" TargetMode="External"/><Relationship Id="rId7" Type="http://schemas.openxmlformats.org/officeDocument/2006/relationships/hyperlink" Target="https://drive.google.com/drive/folders/1aK4EeJm5PnKUmWEdegpjddqa_kSAKlJ0?usp=drive_link" TargetMode="External"/><Relationship Id="rId145" Type="http://schemas.openxmlformats.org/officeDocument/2006/relationships/hyperlink" Target="https://drive.google.com/drive/folders/1EQPV44_nR35JhXe9uc_gBdR1TuREbRHF?usp=drive_link" TargetMode="External"/><Relationship Id="rId266" Type="http://schemas.openxmlformats.org/officeDocument/2006/relationships/hyperlink" Target="https://drive.google.com/drive/folders/10jWRK5tLXL3K_bQMkqiqF5b-utI282Lt?usp=drive_link" TargetMode="External"/><Relationship Id="rId387" Type="http://schemas.openxmlformats.org/officeDocument/2006/relationships/hyperlink" Target="https://drive.google.com/drive/folders/1cqiyudHCgHU3wSpnXKAppuE_dCM8EnnD?usp=drive_link" TargetMode="External"/><Relationship Id="rId8" Type="http://schemas.openxmlformats.org/officeDocument/2006/relationships/hyperlink" Target="https://drive.google.com/drive/folders/1OXuaa9wUMsbpv_tp7VTLPa2mOSMkFetd?usp=drive_link" TargetMode="External"/><Relationship Id="rId144" Type="http://schemas.openxmlformats.org/officeDocument/2006/relationships/hyperlink" Target="https://drive.google.com/drive/folders/1faXNGOF4QL8wVUf6LzBZ2Cgjgp18hTtP?usp=drive_link" TargetMode="External"/><Relationship Id="rId265" Type="http://schemas.openxmlformats.org/officeDocument/2006/relationships/hyperlink" Target="https://drive.google.com/drive/folders/1bpxIVLwSW6o5jjabFWfY9GN2oznnfJQP?usp=drive_link" TargetMode="External"/><Relationship Id="rId386" Type="http://schemas.openxmlformats.org/officeDocument/2006/relationships/hyperlink" Target="https://drive.google.com/drive/folders/10zk3MNipJakyXrAc-B4n-110ZQdJK5Gt?usp=drive_link" TargetMode="External"/><Relationship Id="rId260" Type="http://schemas.openxmlformats.org/officeDocument/2006/relationships/hyperlink" Target="https://drive.google.com/drive/folders/1aY-plpu4jBQJSZD1z4kTXcMbuLkadMP0?usp=drive_link" TargetMode="External"/><Relationship Id="rId381" Type="http://schemas.openxmlformats.org/officeDocument/2006/relationships/hyperlink" Target="https://drive.google.com/drive/folders/1r0EnbKDpYVQYcuzfWyOzXvKB4LnXpLdR?usp=drive_link" TargetMode="External"/><Relationship Id="rId380" Type="http://schemas.openxmlformats.org/officeDocument/2006/relationships/hyperlink" Target="https://drive.google.com/drive/folders/1HEnKCirfbXYv2MqSJoGatCF7DBgS0prx?usp=drive_link" TargetMode="External"/><Relationship Id="rId139" Type="http://schemas.openxmlformats.org/officeDocument/2006/relationships/hyperlink" Target="https://drive.google.com/drive/folders/1ghG9Rj0gyUpDfdFqP4CtAk-TBK9uP7Ag?usp=drive_link" TargetMode="External"/><Relationship Id="rId138" Type="http://schemas.openxmlformats.org/officeDocument/2006/relationships/hyperlink" Target="https://drive.google.com/drive/folders/1Ln7Kpa5Q6kS48ydZPqHlcYzhKvZgWOGn?usp=drive_link" TargetMode="External"/><Relationship Id="rId259" Type="http://schemas.openxmlformats.org/officeDocument/2006/relationships/hyperlink" Target="https://drive.google.com/drive/folders/16glb-itYZztdTiLNI6UroE2opa6_OFn2?usp=drive_link" TargetMode="External"/><Relationship Id="rId137" Type="http://schemas.openxmlformats.org/officeDocument/2006/relationships/hyperlink" Target="https://drive.google.com/drive/folders/1KPRE4XG_8bBaPq4tUJg-qxeJQjUCahpd?usp=drive_link" TargetMode="External"/><Relationship Id="rId258" Type="http://schemas.openxmlformats.org/officeDocument/2006/relationships/hyperlink" Target="https://drive.google.com/drive/folders/1nXEQYIDk9zzHBECqm9hKSlO1LHwFjEra?usp=drive_link" TargetMode="External"/><Relationship Id="rId379" Type="http://schemas.openxmlformats.org/officeDocument/2006/relationships/hyperlink" Target="https://drive.google.com/drive/folders/15w2huxdSNvcDoFhJI5VTvBXqmKx7nFEW?usp=drive_link" TargetMode="External"/><Relationship Id="rId132" Type="http://schemas.openxmlformats.org/officeDocument/2006/relationships/hyperlink" Target="https://drive.google.com/drive/folders/1RUI_fmhHubGcFH3BfCn00pXfhVyrOx1V?usp=drive_link" TargetMode="External"/><Relationship Id="rId253" Type="http://schemas.openxmlformats.org/officeDocument/2006/relationships/hyperlink" Target="https://drive.google.com/drive/folders/1ur-WJMczkl2SisJzXpwEv7W8bUJ2gqYN?usp=drive_link" TargetMode="External"/><Relationship Id="rId374" Type="http://schemas.openxmlformats.org/officeDocument/2006/relationships/hyperlink" Target="https://drive.google.com/drive/folders/1zXZcLIdzNoIZr6MhMozjRoPQieg5R0yp?usp=drive_link" TargetMode="External"/><Relationship Id="rId131" Type="http://schemas.openxmlformats.org/officeDocument/2006/relationships/hyperlink" Target="https://drive.google.com/drive/folders/12fuerNaMv7KeXv7iFqjR9qTjv4gG3ORL?usp=drive_link" TargetMode="External"/><Relationship Id="rId252" Type="http://schemas.openxmlformats.org/officeDocument/2006/relationships/hyperlink" Target="https://drive.google.com/drive/folders/1fXr2FBBH_6F20Sk8quA4c1nUBsHTxm0V?usp=drive_link" TargetMode="External"/><Relationship Id="rId373" Type="http://schemas.openxmlformats.org/officeDocument/2006/relationships/hyperlink" Target="https://drive.google.com/drive/folders/1_rVn6zEfpdGzIM5Ga0TOrOs7G84FGvEM?usp=drive_link" TargetMode="External"/><Relationship Id="rId130" Type="http://schemas.openxmlformats.org/officeDocument/2006/relationships/hyperlink" Target="https://drive.google.com/drive/folders/1HcpRo7lwNTTYzqF7m6kX2EnDH1yrbncI?usp=drive_link" TargetMode="External"/><Relationship Id="rId251" Type="http://schemas.openxmlformats.org/officeDocument/2006/relationships/hyperlink" Target="https://drive.google.com/drive/folders/1ttiCV0Esh6KxDd-KWq-_24UZ4dLov69o?usp=drive_link" TargetMode="External"/><Relationship Id="rId372" Type="http://schemas.openxmlformats.org/officeDocument/2006/relationships/hyperlink" Target="https://drive.google.com/drive/folders/1MFfNHggm0crhc8U-C9IYUpvH-tyIRUb9?usp=drive_link" TargetMode="External"/><Relationship Id="rId250" Type="http://schemas.openxmlformats.org/officeDocument/2006/relationships/hyperlink" Target="https://drive.google.com/drive/folders/1gOAEGJEkdotiLSQqa3BmtyB6S__cqQB9?usp=drive_link" TargetMode="External"/><Relationship Id="rId371" Type="http://schemas.openxmlformats.org/officeDocument/2006/relationships/hyperlink" Target="https://drive.google.com/drive/folders/1V0iF-X_TvX-XRAztRLptASMSkxMIZa6c?usp=drive_link" TargetMode="External"/><Relationship Id="rId136" Type="http://schemas.openxmlformats.org/officeDocument/2006/relationships/hyperlink" Target="https://drive.google.com/drive/folders/12SXQFuRfVprIhWoCvLLF-ZrseVT33psM?usp=drive_link" TargetMode="External"/><Relationship Id="rId257" Type="http://schemas.openxmlformats.org/officeDocument/2006/relationships/hyperlink" Target="https://drive.google.com/drive/folders/1Dm4d11pCkgmcLSHvJOlzHOlyknDXJlFA?usp=drive_link" TargetMode="External"/><Relationship Id="rId378" Type="http://schemas.openxmlformats.org/officeDocument/2006/relationships/hyperlink" Target="https://drive.google.com/drive/folders/1osLFubPMsrNVehTZVV-TUkCJLRF08HNZ?usp=drive_link" TargetMode="External"/><Relationship Id="rId135" Type="http://schemas.openxmlformats.org/officeDocument/2006/relationships/hyperlink" Target="https://drive.google.com/drive/folders/1nKKuwCMi5PJru219bbHvJlC4OLvoV8Cm?usp=drive_link" TargetMode="External"/><Relationship Id="rId256" Type="http://schemas.openxmlformats.org/officeDocument/2006/relationships/hyperlink" Target="https://drive.google.com/drive/folders/1NKQaFVpkNlyClQAilU-FbMH6NAvUFNO2?usp=drive_link" TargetMode="External"/><Relationship Id="rId377" Type="http://schemas.openxmlformats.org/officeDocument/2006/relationships/hyperlink" Target="https://drive.google.com/drive/folders/1BJjecj2omdxjmf0jdYYwT9eujfqbWQWO?usp=drive_link" TargetMode="External"/><Relationship Id="rId134" Type="http://schemas.openxmlformats.org/officeDocument/2006/relationships/hyperlink" Target="https://drive.google.com/drive/folders/1e7SV8CdtwhVQVrHvmz82z5Vj_49jZAr5?usp=drive_link" TargetMode="External"/><Relationship Id="rId255" Type="http://schemas.openxmlformats.org/officeDocument/2006/relationships/hyperlink" Target="https://drive.google.com/drive/folders/1JYf1UqIroKnlYfQ7k2386XQVnS6JQoMP?usp=drive_link" TargetMode="External"/><Relationship Id="rId376" Type="http://schemas.openxmlformats.org/officeDocument/2006/relationships/hyperlink" Target="https://drive.google.com/drive/folders/1Iz-KoWgZYzskParAvW2BR_q7eJ8YExe9?usp=drive_link" TargetMode="External"/><Relationship Id="rId133" Type="http://schemas.openxmlformats.org/officeDocument/2006/relationships/hyperlink" Target="https://drive.google.com/drive/folders/1xbonmKrnH_8Y7HkOpNyhzA386PYrBeTz?usp=drive_link" TargetMode="External"/><Relationship Id="rId254" Type="http://schemas.openxmlformats.org/officeDocument/2006/relationships/hyperlink" Target="https://drive.google.com/drive/folders/1PifsCoQW5r-5lFnk7WE9EpbkE-5Oqdfa?usp=drive_link" TargetMode="External"/><Relationship Id="rId375" Type="http://schemas.openxmlformats.org/officeDocument/2006/relationships/hyperlink" Target="https://drive.google.com/drive/folders/1S_x2WqCEiupo5Ln9tiNGFSKcZNCHduvS?usp=drive_link" TargetMode="External"/><Relationship Id="rId172" Type="http://schemas.openxmlformats.org/officeDocument/2006/relationships/hyperlink" Target="https://drive.google.com/drive/folders/1SgdnT4lfOJaAKV40pZOwc0vZOVuTtWLh?usp=drive_link" TargetMode="External"/><Relationship Id="rId293" Type="http://schemas.openxmlformats.org/officeDocument/2006/relationships/hyperlink" Target="https://drive.google.com/drive/folders/1aMrHVGkSjBY8SDRki42Xpe18lVLxdoPA?usp=drive_link" TargetMode="External"/><Relationship Id="rId171" Type="http://schemas.openxmlformats.org/officeDocument/2006/relationships/hyperlink" Target="https://drive.google.com/drive/folders/1n61oIQsKkWz-bz4XfaffS_0M8x2PMO4A?usp=drive_link" TargetMode="External"/><Relationship Id="rId292" Type="http://schemas.openxmlformats.org/officeDocument/2006/relationships/hyperlink" Target="https://drive.google.com/drive/folders/1Y_LOYMdMXEhCotwdY0hn8Z60_jNQeYzX?usp=drive_link" TargetMode="External"/><Relationship Id="rId170" Type="http://schemas.openxmlformats.org/officeDocument/2006/relationships/hyperlink" Target="https://drive.google.com/drive/folders/1MTy6lm_QltCnlOKTFtStcX1AMeGZXsgM?usp=drive_link" TargetMode="External"/><Relationship Id="rId291" Type="http://schemas.openxmlformats.org/officeDocument/2006/relationships/hyperlink" Target="https://drive.google.com/drive/folders/1Z4DMKygytX9L39a_U4KzzCCQWddaZ3Yn?usp=drive_link" TargetMode="External"/><Relationship Id="rId290" Type="http://schemas.openxmlformats.org/officeDocument/2006/relationships/hyperlink" Target="https://drive.google.com/drive/folders/149V_1p-OhiMpL_0w-eiPADUr6-M0UkC_?usp=drive_link" TargetMode="External"/><Relationship Id="rId165" Type="http://schemas.openxmlformats.org/officeDocument/2006/relationships/hyperlink" Target="https://drive.google.com/drive/folders/1jO4_GWGf_2XYx7KrK_JAblZkHFXuCwPR?usp=drive_link" TargetMode="External"/><Relationship Id="rId286" Type="http://schemas.openxmlformats.org/officeDocument/2006/relationships/hyperlink" Target="https://drive.google.com/drive/folders/1TKyEZVfmUIuhwhRj5vHmPHmH1l_iKij9?usp=drive_link" TargetMode="External"/><Relationship Id="rId164" Type="http://schemas.openxmlformats.org/officeDocument/2006/relationships/hyperlink" Target="https://drive.google.com/drive/folders/19GLxP1m-PPDuFR-TOz_wn2Phau3kydde?usp=drive_link" TargetMode="External"/><Relationship Id="rId285" Type="http://schemas.openxmlformats.org/officeDocument/2006/relationships/hyperlink" Target="https://drive.google.com/drive/folders/1mG-AFhx7QS1f4mMOJ_Rnb9Z5-VhzNFe4?usp=drive_link" TargetMode="External"/><Relationship Id="rId163" Type="http://schemas.openxmlformats.org/officeDocument/2006/relationships/hyperlink" Target="https://drive.google.com/drive/folders/1Z_4FczSmjd08In1ehY_E7IESy397LamB?usp=drive_link" TargetMode="External"/><Relationship Id="rId284" Type="http://schemas.openxmlformats.org/officeDocument/2006/relationships/hyperlink" Target="https://drive.google.com/drive/folders/12Z40Iy5_AV6VNZfVOxFBQXgKLRZBnuOZ?usp=drive_link" TargetMode="External"/><Relationship Id="rId162" Type="http://schemas.openxmlformats.org/officeDocument/2006/relationships/hyperlink" Target="https://drive.google.com/drive/folders/14Aut7tp0qRq_RrZqU_Xytq4F_mc3IPRz?usp=drive_link" TargetMode="External"/><Relationship Id="rId283" Type="http://schemas.openxmlformats.org/officeDocument/2006/relationships/hyperlink" Target="https://drive.google.com/drive/folders/1w9h28eNEencghTjPWsujL2bDzL5xQOBy?usp=drive_link" TargetMode="External"/><Relationship Id="rId169" Type="http://schemas.openxmlformats.org/officeDocument/2006/relationships/hyperlink" Target="https://drive.google.com/drive/folders/1ozg3ndL7gqZdOkZH7rzunbm1j5gk-lve?usp=drive_link" TargetMode="External"/><Relationship Id="rId168" Type="http://schemas.openxmlformats.org/officeDocument/2006/relationships/hyperlink" Target="https://drive.google.com/drive/folders/1idtmMUeTmpAMSmQN7y_0CcWk95BuVdwQ?usp=drive_link" TargetMode="External"/><Relationship Id="rId289" Type="http://schemas.openxmlformats.org/officeDocument/2006/relationships/hyperlink" Target="https://drive.google.com/drive/folders/1dz3xq6IMAP_CkYijJRWvwoPXOYZUcQz3?usp=drive_link" TargetMode="External"/><Relationship Id="rId167" Type="http://schemas.openxmlformats.org/officeDocument/2006/relationships/hyperlink" Target="https://drive.google.com/drive/folders/1jhqWppDTL_-V1ritoV5UHbCRrarB3UoM?usp=drive_link" TargetMode="External"/><Relationship Id="rId288" Type="http://schemas.openxmlformats.org/officeDocument/2006/relationships/hyperlink" Target="https://drive.google.com/drive/folders/178Urb7mSlrEbBq0lWcBCTvVnjOu1Voue?usp=drive_link" TargetMode="External"/><Relationship Id="rId166" Type="http://schemas.openxmlformats.org/officeDocument/2006/relationships/hyperlink" Target="https://drive.google.com/drive/folders/1YgT1681hjEcO46cGZ4MTx-ye6LBM440C?usp=drive_link" TargetMode="External"/><Relationship Id="rId287" Type="http://schemas.openxmlformats.org/officeDocument/2006/relationships/hyperlink" Target="https://drive.google.com/drive/folders/1jwZZJSblrqElwKSEW8OXwKo1ngUatz2-?usp=drive_link" TargetMode="External"/><Relationship Id="rId161" Type="http://schemas.openxmlformats.org/officeDocument/2006/relationships/hyperlink" Target="https://drive.google.com/drive/folders/1Ap7UnezeYY-QNTefzc53hhdBMgtvVTDQ?usp=drive_link" TargetMode="External"/><Relationship Id="rId282" Type="http://schemas.openxmlformats.org/officeDocument/2006/relationships/hyperlink" Target="https://drive.google.com/drive/folders/1JGBoqUxqDqSaytpufkf62N7b9qtGo9PT?usp=drive_link" TargetMode="External"/><Relationship Id="rId160" Type="http://schemas.openxmlformats.org/officeDocument/2006/relationships/hyperlink" Target="https://drive.google.com/drive/folders/1vRa9jbeaFKnxEdBNn86MIkrOhPfUPOD2?usp=drive_link" TargetMode="External"/><Relationship Id="rId281" Type="http://schemas.openxmlformats.org/officeDocument/2006/relationships/hyperlink" Target="https://drive.google.com/drive/folders/1ECvCpF2u1xhMJBauuGffw8oB6v2v8QFP?usp=drive_link" TargetMode="External"/><Relationship Id="rId280" Type="http://schemas.openxmlformats.org/officeDocument/2006/relationships/hyperlink" Target="https://drive.google.com/drive/folders/1J4OMOsHchw8sKhbPtPiE9ZyyStJHxmXS?usp=drive_link" TargetMode="External"/><Relationship Id="rId159" Type="http://schemas.openxmlformats.org/officeDocument/2006/relationships/hyperlink" Target="https://drive.google.com/drive/folders/1xCpP_nktoFTpEXS7LypevlcG1q43YXfa?usp=drive_link" TargetMode="External"/><Relationship Id="rId154" Type="http://schemas.openxmlformats.org/officeDocument/2006/relationships/hyperlink" Target="https://drive.google.com/drive/folders/1BwN6nh-VkUyBTQY-qfo23m5eEdNB5RPJ?usp=drive_link" TargetMode="External"/><Relationship Id="rId275" Type="http://schemas.openxmlformats.org/officeDocument/2006/relationships/hyperlink" Target="https://drive.google.com/drive/folders/1XmIFQZnPDCK8TyQMtHqAL0AHPGPyrdWE?usp=drive_link" TargetMode="External"/><Relationship Id="rId396" Type="http://schemas.openxmlformats.org/officeDocument/2006/relationships/hyperlink" Target="https://drive.google.com/drive/folders/1Gsh8GsVmnrbrPgStZwvcY8Zag_cAEmaQ?usp=drive_link" TargetMode="External"/><Relationship Id="rId153" Type="http://schemas.openxmlformats.org/officeDocument/2006/relationships/hyperlink" Target="https://drive.google.com/drive/folders/1jPkz-w6wrV4ANIF4QXsZ_uXA8nfxbZ91?usp=drive_link" TargetMode="External"/><Relationship Id="rId274" Type="http://schemas.openxmlformats.org/officeDocument/2006/relationships/hyperlink" Target="https://drive.google.com/drive/folders/1eNKBY-cvs0u_F39jctzfdfNbBsoF6fd8?usp=drive_link" TargetMode="External"/><Relationship Id="rId395" Type="http://schemas.openxmlformats.org/officeDocument/2006/relationships/hyperlink" Target="https://drive.google.com/drive/folders/1sdXIipqcMjuI7AC0SSEZglICB7E4VijD?usp=drive_link" TargetMode="External"/><Relationship Id="rId152" Type="http://schemas.openxmlformats.org/officeDocument/2006/relationships/hyperlink" Target="https://drive.google.com/drive/folders/1XgcS_jtzZxGt1RJ0JABBa6T-TDMLJQco?usp=drive_link" TargetMode="External"/><Relationship Id="rId273" Type="http://schemas.openxmlformats.org/officeDocument/2006/relationships/hyperlink" Target="https://drive.google.com/drive/folders/1TEUi4s7PTmFSfHTj5mkgZt-PaiNtOPFT?usp=drive_link" TargetMode="External"/><Relationship Id="rId394" Type="http://schemas.openxmlformats.org/officeDocument/2006/relationships/hyperlink" Target="https://drive.google.com/drive/folders/13KvSz3oCqnSwmsvhiBZ23eiKCLeBc1_W?usp=drive_link" TargetMode="External"/><Relationship Id="rId151" Type="http://schemas.openxmlformats.org/officeDocument/2006/relationships/hyperlink" Target="https://drive.google.com/drive/folders/1_9y38-EnilIlTUxrL2SdO8Glo8UM-lL7?usp=drive_link" TargetMode="External"/><Relationship Id="rId272" Type="http://schemas.openxmlformats.org/officeDocument/2006/relationships/hyperlink" Target="https://drive.google.com/drive/folders/19HNK2DW4Thbg63eX_Uc8U6iLL2_KXF4B?usp=drive_link" TargetMode="External"/><Relationship Id="rId393" Type="http://schemas.openxmlformats.org/officeDocument/2006/relationships/hyperlink" Target="https://drive.google.com/drive/folders/1i4zDwCR7f0cZTqXgy6eklpThyDeSOeh2?usp=drive_link" TargetMode="External"/><Relationship Id="rId158" Type="http://schemas.openxmlformats.org/officeDocument/2006/relationships/hyperlink" Target="https://drive.google.com/drive/folders/1_2E_r-fsOVobZFngR-UlJA7b6y4OrmFT?usp=drive_link" TargetMode="External"/><Relationship Id="rId279" Type="http://schemas.openxmlformats.org/officeDocument/2006/relationships/hyperlink" Target="https://drive.google.com/drive/folders/1vaXSI1hCuZv3ZomcQNyrfHS-g8OCwzWA?usp=drive_link" TargetMode="External"/><Relationship Id="rId157" Type="http://schemas.openxmlformats.org/officeDocument/2006/relationships/hyperlink" Target="https://drive.google.com/drive/folders/1E9IN1WeY2iKxTQb41OQU9DkhAMUQEBlJ?usp=drive_link" TargetMode="External"/><Relationship Id="rId278" Type="http://schemas.openxmlformats.org/officeDocument/2006/relationships/hyperlink" Target="https://drive.google.com/drive/folders/1gvSZ8Fc4_FgopPXw0sN_Qa9w5MdohH8u?usp=drive_link" TargetMode="External"/><Relationship Id="rId399" Type="http://schemas.openxmlformats.org/officeDocument/2006/relationships/hyperlink" Target="https://drive.google.com/drive/folders/1opFYx5P35xgfoOEWur2n9t_XF90wd7RT?usp=drive_link" TargetMode="External"/><Relationship Id="rId156" Type="http://schemas.openxmlformats.org/officeDocument/2006/relationships/hyperlink" Target="https://drive.google.com/drive/folders/14U2PCF4YsjNSO_1Wt-BkcQaukmZRoEfF?usp=drive_link" TargetMode="External"/><Relationship Id="rId277" Type="http://schemas.openxmlformats.org/officeDocument/2006/relationships/hyperlink" Target="https://drive.google.com/drive/folders/1LO4dQg84Pb84DfVqENYyvgAlBo7WMzyO?usp=drive_link" TargetMode="External"/><Relationship Id="rId398" Type="http://schemas.openxmlformats.org/officeDocument/2006/relationships/hyperlink" Target="https://drive.google.com/drive/folders/1d4Q_BzzuXotEeoMSKlbe5J8w62ENlqZY?usp=drive_link" TargetMode="External"/><Relationship Id="rId155" Type="http://schemas.openxmlformats.org/officeDocument/2006/relationships/hyperlink" Target="https://drive.google.com/drive/folders/13p-J2T-_sOUhFR122UUMezCEKbuiIRWZ?usp=drive_link" TargetMode="External"/><Relationship Id="rId276" Type="http://schemas.openxmlformats.org/officeDocument/2006/relationships/hyperlink" Target="https://drive.google.com/drive/folders/1g6w0PqjrBoDkiP6hnKwGEaIhbSeIxp3i?usp=drive_link" TargetMode="External"/><Relationship Id="rId397" Type="http://schemas.openxmlformats.org/officeDocument/2006/relationships/hyperlink" Target="https://drive.google.com/drive/folders/1V03RKrlBHirrYTeQgBiFUJuhkY7LD8yY?usp=drive_link" TargetMode="External"/><Relationship Id="rId40" Type="http://schemas.openxmlformats.org/officeDocument/2006/relationships/hyperlink" Target="https://drive.google.com/drive/folders/1WVkfxe421kteNI63SqtvNg1wOzTKuwSL?usp=drive_link" TargetMode="External"/><Relationship Id="rId42" Type="http://schemas.openxmlformats.org/officeDocument/2006/relationships/hyperlink" Target="https://drive.google.com/drive/folders/147aiO4NTh870pVO1eyullZTrvi8xiaU3?usp=drive_link" TargetMode="External"/><Relationship Id="rId41" Type="http://schemas.openxmlformats.org/officeDocument/2006/relationships/hyperlink" Target="https://drive.google.com/drive/folders/1XoSsJ2vAkYVvpwVQQW67htTn970L3qFj?usp=drive_link" TargetMode="External"/><Relationship Id="rId44" Type="http://schemas.openxmlformats.org/officeDocument/2006/relationships/hyperlink" Target="https://drive.google.com/drive/folders/1jEpfKLjN7ZJpk9s7gcEmZ67dDFSLJ16F?usp=drive_link" TargetMode="External"/><Relationship Id="rId43" Type="http://schemas.openxmlformats.org/officeDocument/2006/relationships/hyperlink" Target="https://drive.google.com/drive/folders/1M4JhFmA-V70rX1_0r4r3rG2I9bYUBAwQ?usp=drive_link" TargetMode="External"/><Relationship Id="rId46" Type="http://schemas.openxmlformats.org/officeDocument/2006/relationships/hyperlink" Target="https://drive.google.com/drive/folders/1ISLkI5o8JzAT2KJvS8STWu7lo1x8WIg2?usp=drive_link" TargetMode="External"/><Relationship Id="rId45" Type="http://schemas.openxmlformats.org/officeDocument/2006/relationships/hyperlink" Target="https://drive.google.com/drive/folders/12jYuAa-Aou-drZo0L20-Qb1LAYIh5hJF?usp=drive_link" TargetMode="External"/><Relationship Id="rId48" Type="http://schemas.openxmlformats.org/officeDocument/2006/relationships/hyperlink" Target="https://drive.google.com/drive/folders/1ycQZ0-TODutzy_h6pl2Ya-74llFLz0PF?usp=drive_link" TargetMode="External"/><Relationship Id="rId47" Type="http://schemas.openxmlformats.org/officeDocument/2006/relationships/hyperlink" Target="https://drive.google.com/drive/folders/1zWHCfkSo08S3pdS8aqO3VSmo9KF69OVX?usp=drive_link" TargetMode="External"/><Relationship Id="rId49" Type="http://schemas.openxmlformats.org/officeDocument/2006/relationships/hyperlink" Target="https://drive.google.com/drive/folders/1WF6q9-bsr0bVn7GUEXJgunmnSKKXq5i_?usp=drive_link" TargetMode="External"/><Relationship Id="rId31" Type="http://schemas.openxmlformats.org/officeDocument/2006/relationships/hyperlink" Target="https://drive.google.com/drive/folders/1FRJ6Zfky_CIif1NhRdnWUln-RAp2her7?usp=drive_link" TargetMode="External"/><Relationship Id="rId30" Type="http://schemas.openxmlformats.org/officeDocument/2006/relationships/hyperlink" Target="https://drive.google.com/drive/folders/1URIQejbT13_f56eXPsyNV4nR-Eb2uO6p?usp=drive_link" TargetMode="External"/><Relationship Id="rId33" Type="http://schemas.openxmlformats.org/officeDocument/2006/relationships/hyperlink" Target="https://drive.google.com/drive/folders/1yaQd0MN_GGUHEdEMwMjlKltI8Eye8yua?usp=drive_link" TargetMode="External"/><Relationship Id="rId32" Type="http://schemas.openxmlformats.org/officeDocument/2006/relationships/hyperlink" Target="https://drive.google.com/drive/folders/1ea29twpoqnh1jrZmfDYTd0FmcyXsuaJN?usp=drive_link" TargetMode="External"/><Relationship Id="rId35" Type="http://schemas.openxmlformats.org/officeDocument/2006/relationships/hyperlink" Target="https://drive.google.com/drive/folders/1U_H9qFjAt1FRsHcWSAnrYgI_0Xeba-y0?usp=drive_link" TargetMode="External"/><Relationship Id="rId34" Type="http://schemas.openxmlformats.org/officeDocument/2006/relationships/hyperlink" Target="https://drive.google.com/drive/folders/1cInSlre5ubiPNmcnIFmkW3D5xYFSsYJR?usp=drive_link" TargetMode="External"/><Relationship Id="rId37" Type="http://schemas.openxmlformats.org/officeDocument/2006/relationships/hyperlink" Target="https://drive.google.com/drive/folders/1FQThXpivyLS98MhlB6DVq5nowlB5hjk_?usp=drive_link" TargetMode="External"/><Relationship Id="rId36" Type="http://schemas.openxmlformats.org/officeDocument/2006/relationships/hyperlink" Target="https://drive.google.com/drive/folders/1NLyzeS-nesOVgfd_SfARkIVRSSeMvpR4?usp=drive_link" TargetMode="External"/><Relationship Id="rId39" Type="http://schemas.openxmlformats.org/officeDocument/2006/relationships/hyperlink" Target="https://drive.google.com/drive/folders/1KMB7Fg-JbXmYv1elnRGgJ7ZHS15oERPQ?usp=drive_link" TargetMode="External"/><Relationship Id="rId38" Type="http://schemas.openxmlformats.org/officeDocument/2006/relationships/hyperlink" Target="https://drive.google.com/drive/folders/1yaBAotOwJOj1dXpK1ppmJrvX0MwlqFs_?usp=drive_link" TargetMode="External"/><Relationship Id="rId20" Type="http://schemas.openxmlformats.org/officeDocument/2006/relationships/hyperlink" Target="https://drive.google.com/drive/folders/1Qg8NZbZyUJawt3XnuPj7gPggVngkhOlH?usp=drive_link" TargetMode="External"/><Relationship Id="rId22" Type="http://schemas.openxmlformats.org/officeDocument/2006/relationships/hyperlink" Target="https://drive.google.com/drive/folders/1R4vtvcCmnuggzTdS55ut5uczMEsMhW51?usp=drive_link" TargetMode="External"/><Relationship Id="rId21" Type="http://schemas.openxmlformats.org/officeDocument/2006/relationships/hyperlink" Target="https://drive.google.com/drive/folders/1lwdrhvFHjwSycOKy5RExN8o4Rbbx1BO_?usp=drive_link" TargetMode="External"/><Relationship Id="rId24" Type="http://schemas.openxmlformats.org/officeDocument/2006/relationships/hyperlink" Target="https://drive.google.com/drive/folders/1xHXdnUkAbmdpqd5n7jpxPlxqtLp9DbFn?usp=drive_link" TargetMode="External"/><Relationship Id="rId23" Type="http://schemas.openxmlformats.org/officeDocument/2006/relationships/hyperlink" Target="https://drive.google.com/drive/folders/1f3zCrq3cdv5m_7G3DHvy3cHcImFWDu8X?usp=drive_link" TargetMode="External"/><Relationship Id="rId409" Type="http://schemas.openxmlformats.org/officeDocument/2006/relationships/hyperlink" Target="https://drive.google.com/drive/folders/12zkdIlNu675VLNIg2vMaCxz_jIWdjxla?usp=drive_link" TargetMode="External"/><Relationship Id="rId404" Type="http://schemas.openxmlformats.org/officeDocument/2006/relationships/hyperlink" Target="https://drive.google.com/drive/folders/1uN8OiNzhRd2cga2vfBgm_sIeQLKiTHW2?usp=drive_link" TargetMode="External"/><Relationship Id="rId403" Type="http://schemas.openxmlformats.org/officeDocument/2006/relationships/hyperlink" Target="https://drive.google.com/drive/folders/1D0rJVHrihsvFgjp2r79kBokREk2V8wyH?usp=drive_link" TargetMode="External"/><Relationship Id="rId402" Type="http://schemas.openxmlformats.org/officeDocument/2006/relationships/hyperlink" Target="https://drive.google.com/drive/folders/1JfE5D0zLJw9aarkn38TPQBE8o2UGViaO?usp=drive_link" TargetMode="External"/><Relationship Id="rId401" Type="http://schemas.openxmlformats.org/officeDocument/2006/relationships/hyperlink" Target="https://drive.google.com/drive/folders/1olq2Vbsq3ox2em5oEpnHx9NI2r8wcNR1?usp=drive_link" TargetMode="External"/><Relationship Id="rId408" Type="http://schemas.openxmlformats.org/officeDocument/2006/relationships/hyperlink" Target="https://drive.google.com/drive/folders/1QNtun7R8Q591YQSzwotigkA0J0k7GLEt?usp=drive_link" TargetMode="External"/><Relationship Id="rId407" Type="http://schemas.openxmlformats.org/officeDocument/2006/relationships/hyperlink" Target="https://drive.google.com/drive/folders/1f3AKAmgMY135p_djbD9ToWwvn1aLIB5W?usp=drive_link" TargetMode="External"/><Relationship Id="rId406" Type="http://schemas.openxmlformats.org/officeDocument/2006/relationships/hyperlink" Target="https://drive.google.com/drive/folders/19uLN9r9RmNISOiGl9NufIKRdyvgPBLQJ?usp=drive_link" TargetMode="External"/><Relationship Id="rId405" Type="http://schemas.openxmlformats.org/officeDocument/2006/relationships/hyperlink" Target="https://drive.google.com/drive/folders/1V0yWqg5JMNm3AaC7hX0GkcmNVSZhlzzW?usp=drive_link" TargetMode="External"/><Relationship Id="rId26" Type="http://schemas.openxmlformats.org/officeDocument/2006/relationships/hyperlink" Target="https://drive.google.com/drive/folders/1s1utAEvh1KA_-6tZLnFswILM_2Vy1itC?usp=drive_link" TargetMode="External"/><Relationship Id="rId25" Type="http://schemas.openxmlformats.org/officeDocument/2006/relationships/hyperlink" Target="https://drive.google.com/drive/folders/1VW9byCydCb1KpoKphFD14CTHVPX5-Vwh?usp=drive_link" TargetMode="External"/><Relationship Id="rId28" Type="http://schemas.openxmlformats.org/officeDocument/2006/relationships/hyperlink" Target="https://drive.google.com/drive/folders/1sT_tnanu0IHa8H6AbQf8LDmK132Nsyml?usp=drive_link" TargetMode="External"/><Relationship Id="rId27" Type="http://schemas.openxmlformats.org/officeDocument/2006/relationships/hyperlink" Target="https://drive.google.com/drive/folders/1o6EFFqkaE5dv9TjB0TKUHEfFLBYR_aKZ?usp=drive_link" TargetMode="External"/><Relationship Id="rId400" Type="http://schemas.openxmlformats.org/officeDocument/2006/relationships/hyperlink" Target="https://drive.google.com/drive/folders/1HbR-CNRv05e-UQE4A-Bwk1mbIUuXqGUg?usp=drive_link" TargetMode="External"/><Relationship Id="rId29" Type="http://schemas.openxmlformats.org/officeDocument/2006/relationships/hyperlink" Target="https://drive.google.com/drive/folders/1cffZtW2X4yK7bwdz3Y7NMfUTXSktb7ra?usp=drive_link" TargetMode="External"/><Relationship Id="rId11" Type="http://schemas.openxmlformats.org/officeDocument/2006/relationships/hyperlink" Target="https://drive.google.com/drive/folders/1ESHK3Di2xx_3svaq18RAOjq9BJ28yZAh?usp=drive_link" TargetMode="External"/><Relationship Id="rId10" Type="http://schemas.openxmlformats.org/officeDocument/2006/relationships/hyperlink" Target="https://drive.google.com/drive/folders/1MhDNqEpb8BFf-U2JZL-xcJrU2nuAwttT?usp=drive_link" TargetMode="External"/><Relationship Id="rId13" Type="http://schemas.openxmlformats.org/officeDocument/2006/relationships/hyperlink" Target="https://drive.google.com/drive/folders/12OfFuhkn6w52p6-tqmHedDgTqr5jbUfI?usp=drive_link" TargetMode="External"/><Relationship Id="rId12" Type="http://schemas.openxmlformats.org/officeDocument/2006/relationships/hyperlink" Target="https://drive.google.com/drive/folders/1PBrthISb6RyJcJgS18PPyRnP5vCslNIX?usp=drive_link" TargetMode="External"/><Relationship Id="rId15" Type="http://schemas.openxmlformats.org/officeDocument/2006/relationships/hyperlink" Target="https://drive.google.com/drive/folders/1kMNqih1QCHKIphcZdnxI-6InyMJBY2qG?usp=drive_link" TargetMode="External"/><Relationship Id="rId14" Type="http://schemas.openxmlformats.org/officeDocument/2006/relationships/hyperlink" Target="https://drive.google.com/drive/folders/1IOR0VvTAqZtwAYvOHnyO2swm7TD5GpWP?usp=drive_link" TargetMode="External"/><Relationship Id="rId17" Type="http://schemas.openxmlformats.org/officeDocument/2006/relationships/hyperlink" Target="https://drive.google.com/drive/folders/1fbZ__Wr9EDyhh57ETXQURkcNg9fHm_AS?usp=drive_link" TargetMode="External"/><Relationship Id="rId16" Type="http://schemas.openxmlformats.org/officeDocument/2006/relationships/hyperlink" Target="https://drive.google.com/drive/folders/1LoZISA5ISsOls7FgPmL3_qq5TydJ27Qc?usp=drive_link" TargetMode="External"/><Relationship Id="rId19" Type="http://schemas.openxmlformats.org/officeDocument/2006/relationships/hyperlink" Target="https://drive.google.com/drive/folders/1mi1_gjhEMAcmgwnXxJoiMcI7GeG_oCXu?usp=drive_link" TargetMode="External"/><Relationship Id="rId18" Type="http://schemas.openxmlformats.org/officeDocument/2006/relationships/hyperlink" Target="https://drive.google.com/drive/folders/1u7dFTjxXkrRn9y1NgUroJ1XP7MY45bDE?usp=drive_link" TargetMode="External"/><Relationship Id="rId84" Type="http://schemas.openxmlformats.org/officeDocument/2006/relationships/hyperlink" Target="https://drive.google.com/drive/folders/1ePsZo1jKHoaLMOD8uB8npjC54oCbdNVx?usp=drive_link" TargetMode="External"/><Relationship Id="rId83" Type="http://schemas.openxmlformats.org/officeDocument/2006/relationships/hyperlink" Target="https://drive.google.com/drive/folders/1DWDhBPS50H7NUrn0iF6uvKczUeMrMHSf?usp=drive_link" TargetMode="External"/><Relationship Id="rId86" Type="http://schemas.openxmlformats.org/officeDocument/2006/relationships/hyperlink" Target="https://drive.google.com/drive/folders/1B8V_jvy0YBkIEAsVsoEbnssb6zVxlBjJ?usp=drive_link" TargetMode="External"/><Relationship Id="rId85" Type="http://schemas.openxmlformats.org/officeDocument/2006/relationships/hyperlink" Target="https://drive.google.com/drive/folders/10k1FxbHSLJliTX8GHhVWAoFcE_dJhgHy?usp=drive_link" TargetMode="External"/><Relationship Id="rId88" Type="http://schemas.openxmlformats.org/officeDocument/2006/relationships/hyperlink" Target="https://drive.google.com/drive/folders/1YVjlWKqtWn5hMS2G6rAzrFf7bIziKxnw?usp=drive_link" TargetMode="External"/><Relationship Id="rId87" Type="http://schemas.openxmlformats.org/officeDocument/2006/relationships/hyperlink" Target="https://drive.google.com/drive/folders/16YmHkuLr9x8YgSaH5HraHP9DBcBe3arJ?usp=drive_link" TargetMode="External"/><Relationship Id="rId89" Type="http://schemas.openxmlformats.org/officeDocument/2006/relationships/hyperlink" Target="https://drive.google.com/drive/folders/1zBA5m92ODEDMKsS1jCOncTjjRO2KvoIR?usp=drive_link" TargetMode="External"/><Relationship Id="rId80" Type="http://schemas.openxmlformats.org/officeDocument/2006/relationships/hyperlink" Target="https://drive.google.com/drive/folders/1Jx4cC2UKbohpM_ZHeUDbJ953MJVMFRcG?usp=drive_link" TargetMode="External"/><Relationship Id="rId82" Type="http://schemas.openxmlformats.org/officeDocument/2006/relationships/hyperlink" Target="https://drive.google.com/drive/folders/1zHtwuYShi6sM41CUtENPqBZC2Y7hZGzj?usp=drive_link" TargetMode="External"/><Relationship Id="rId81" Type="http://schemas.openxmlformats.org/officeDocument/2006/relationships/hyperlink" Target="https://drive.google.com/drive/folders/1rJ9zKEP0uWxhfkADSCCKR-KvMFtA9BCY?usp=drive_link" TargetMode="External"/><Relationship Id="rId73" Type="http://schemas.openxmlformats.org/officeDocument/2006/relationships/hyperlink" Target="https://drive.google.com/drive/folders/1aikFFujoCsp_0HQiZDKgwSAPWs7D-gTs?usp=drive_link" TargetMode="External"/><Relationship Id="rId72" Type="http://schemas.openxmlformats.org/officeDocument/2006/relationships/hyperlink" Target="https://drive.google.com/drive/folders/1iu6MWO6uUdtu36Lk9kLRgBDfI7WxHZLP?usp=drive_link" TargetMode="External"/><Relationship Id="rId75" Type="http://schemas.openxmlformats.org/officeDocument/2006/relationships/hyperlink" Target="https://drive.google.com/drive/folders/1Smy60zrWuTR0tu6oYr7LkZtDDNhnPS54?usp=drive_link" TargetMode="External"/><Relationship Id="rId74" Type="http://schemas.openxmlformats.org/officeDocument/2006/relationships/hyperlink" Target="https://drive.google.com/drive/folders/1wtCCNW53rJk_y7-3uEHHrHw1S4J-kJ4D?usp=drive_link" TargetMode="External"/><Relationship Id="rId77" Type="http://schemas.openxmlformats.org/officeDocument/2006/relationships/hyperlink" Target="https://drive.google.com/drive/folders/1juqRpNqx65oZdBIlvRpWViOMC-NfYttH?usp=drive_link" TargetMode="External"/><Relationship Id="rId76" Type="http://schemas.openxmlformats.org/officeDocument/2006/relationships/hyperlink" Target="https://drive.google.com/drive/folders/1wzwDJaMA5ovxalWK2GFvOeewnJdhh4S7?usp=drive_link" TargetMode="External"/><Relationship Id="rId79" Type="http://schemas.openxmlformats.org/officeDocument/2006/relationships/hyperlink" Target="https://drive.google.com/drive/folders/1eEB7toUuBdmHPChzwRMPP1PEigoT-of6?usp=drive_link" TargetMode="External"/><Relationship Id="rId78" Type="http://schemas.openxmlformats.org/officeDocument/2006/relationships/hyperlink" Target="https://drive.google.com/drive/folders/1FKezdoExjPdOZq1RzHVWnN9Kz0iqOMu3?usp=drive_link" TargetMode="External"/><Relationship Id="rId71" Type="http://schemas.openxmlformats.org/officeDocument/2006/relationships/hyperlink" Target="https://drive.google.com/drive/folders/16nBllDS-xdYb_k6QR74Uk6wrKYo4VrUn?usp=drive_link" TargetMode="External"/><Relationship Id="rId70" Type="http://schemas.openxmlformats.org/officeDocument/2006/relationships/hyperlink" Target="https://drive.google.com/drive/folders/1AGR43_S39Ax85Q9oYT7_rq_LRmzbs0Nm?usp=drive_link" TargetMode="External"/><Relationship Id="rId62" Type="http://schemas.openxmlformats.org/officeDocument/2006/relationships/hyperlink" Target="https://drive.google.com/drive/folders/1K2-IfKclgPc4MTK3rYvCameI3LDO9Rr1?usp=drive_link" TargetMode="External"/><Relationship Id="rId61" Type="http://schemas.openxmlformats.org/officeDocument/2006/relationships/hyperlink" Target="https://drive.google.com/drive/folders/1H-Os25-7UHVriAhGkYpBf5YqU3F0Z7pi?usp=drive_link" TargetMode="External"/><Relationship Id="rId64" Type="http://schemas.openxmlformats.org/officeDocument/2006/relationships/hyperlink" Target="https://drive.google.com/drive/folders/14Bz1Zf1r5CRI0ugl_7bOC_BSX1EUQCQi?usp=drive_link" TargetMode="External"/><Relationship Id="rId63" Type="http://schemas.openxmlformats.org/officeDocument/2006/relationships/hyperlink" Target="https://drive.google.com/drive/folders/1R7p2Ga-5xrv2cJYP-pkX00aVlrsa5_Hf?usp=drive_link" TargetMode="External"/><Relationship Id="rId66" Type="http://schemas.openxmlformats.org/officeDocument/2006/relationships/hyperlink" Target="https://drive.google.com/drive/folders/1Y5wBNFUz-E4BBBlCjXYaurUFP_QQPEeO?usp=drive_link" TargetMode="External"/><Relationship Id="rId65" Type="http://schemas.openxmlformats.org/officeDocument/2006/relationships/hyperlink" Target="https://drive.google.com/drive/folders/1hiu4F3O6dUfLVAVg8yotiw66hp96bg8Q?usp=drive_link" TargetMode="External"/><Relationship Id="rId68" Type="http://schemas.openxmlformats.org/officeDocument/2006/relationships/hyperlink" Target="https://drive.google.com/drive/folders/14FSi9VvtKsbEcLusOmv_ms8U338g3vxL?usp=drive_link" TargetMode="External"/><Relationship Id="rId67" Type="http://schemas.openxmlformats.org/officeDocument/2006/relationships/hyperlink" Target="https://drive.google.com/drive/folders/1_niITA0QapqECy0oMp79oVTc60SVadvk?usp=drive_link" TargetMode="External"/><Relationship Id="rId60" Type="http://schemas.openxmlformats.org/officeDocument/2006/relationships/hyperlink" Target="https://drive.google.com/drive/folders/1e_jCEjI81T5U9cW48xMWL85tMUVaMCx4?usp=drive_link" TargetMode="External"/><Relationship Id="rId69" Type="http://schemas.openxmlformats.org/officeDocument/2006/relationships/hyperlink" Target="https://drive.google.com/drive/folders/1KvxdpOzYNBR8-MkH70jlO77t-njhq0RN?usp=drive_link" TargetMode="External"/><Relationship Id="rId51" Type="http://schemas.openxmlformats.org/officeDocument/2006/relationships/hyperlink" Target="https://drive.google.com/drive/folders/1CdBDg-EO6Ulns-OKYzEU2JhYNqtFQoQL?usp=drive_link" TargetMode="External"/><Relationship Id="rId50" Type="http://schemas.openxmlformats.org/officeDocument/2006/relationships/hyperlink" Target="https://drive.google.com/drive/folders/1pdQ0Zrh1JOiRV0Y8K1RM3po6AStUn5r9?usp=drive_link" TargetMode="External"/><Relationship Id="rId53" Type="http://schemas.openxmlformats.org/officeDocument/2006/relationships/hyperlink" Target="https://drive.google.com/drive/folders/1GrVoDr9RkeUz3BLUneWcSbvGP1hUTmSV?usp=drive_link" TargetMode="External"/><Relationship Id="rId52" Type="http://schemas.openxmlformats.org/officeDocument/2006/relationships/hyperlink" Target="https://drive.google.com/drive/folders/1tCjK-bKsAUdWkUK3o6kFmo18AybmipjO?usp=drive_link" TargetMode="External"/><Relationship Id="rId55" Type="http://schemas.openxmlformats.org/officeDocument/2006/relationships/hyperlink" Target="https://drive.google.com/drive/folders/1Gjh37e86eHCi93ZrjW2J3Pn_e5kZrUpE?usp=drive_link" TargetMode="External"/><Relationship Id="rId54" Type="http://schemas.openxmlformats.org/officeDocument/2006/relationships/hyperlink" Target="https://drive.google.com/drive/folders/1aUkjVwd6jYCZhsjnISSL2tg52ASHMQJI?usp=drive_link" TargetMode="External"/><Relationship Id="rId57" Type="http://schemas.openxmlformats.org/officeDocument/2006/relationships/hyperlink" Target="https://drive.google.com/drive/folders/16Rr_iLk6xPdbWAdA_gpAjXnV8mtpWOV2?usp=drive_link" TargetMode="External"/><Relationship Id="rId56" Type="http://schemas.openxmlformats.org/officeDocument/2006/relationships/hyperlink" Target="https://drive.google.com/drive/folders/11xVo04mvT6-emGJcykPP3psEfoeWA6qj?usp=drive_link" TargetMode="External"/><Relationship Id="rId59" Type="http://schemas.openxmlformats.org/officeDocument/2006/relationships/hyperlink" Target="https://drive.google.com/drive/folders/1e1l04Aoa9lVwD8DjCr91jn8Ry4YF9rfa?usp=drive_link" TargetMode="External"/><Relationship Id="rId58" Type="http://schemas.openxmlformats.org/officeDocument/2006/relationships/hyperlink" Target="https://drive.google.com/drive/folders/1j9eYYdd6-ctROn3VF9sxbM7WxHS5jpw3?usp=drive_link" TargetMode="External"/><Relationship Id="rId107" Type="http://schemas.openxmlformats.org/officeDocument/2006/relationships/hyperlink" Target="https://drive.google.com/drive/folders/1NzSuSKfSxOLuHz8I74mnsQIeWx_8HA5a?usp=drive_link" TargetMode="External"/><Relationship Id="rId228" Type="http://schemas.openxmlformats.org/officeDocument/2006/relationships/hyperlink" Target="https://drive.google.com/drive/folders/1vEQKUCHaIAEzrVTR7rh8CiCJOWWu8p44?usp=drive_link" TargetMode="External"/><Relationship Id="rId349" Type="http://schemas.openxmlformats.org/officeDocument/2006/relationships/hyperlink" Target="https://drive.google.com/drive/folders/10Bv70rFf7IGCU10VWrsdiV1O9ac8cdBA?usp=drive_link" TargetMode="External"/><Relationship Id="rId106" Type="http://schemas.openxmlformats.org/officeDocument/2006/relationships/hyperlink" Target="https://drive.google.com/drive/folders/1ul-OmpaLWM2EymBwsCIIuzncoyH0Mh9x?usp=drive_link" TargetMode="External"/><Relationship Id="rId227" Type="http://schemas.openxmlformats.org/officeDocument/2006/relationships/hyperlink" Target="https://drive.google.com/drive/folders/10aAgGvf4isoSqyTyPGDdaVEehif__R1g?usp=drive_link" TargetMode="External"/><Relationship Id="rId348" Type="http://schemas.openxmlformats.org/officeDocument/2006/relationships/hyperlink" Target="https://drive.google.com/drive/folders/1bmbYOLyivUhypxF96vYLBt1m1ATrin7Y?usp=drive_link" TargetMode="External"/><Relationship Id="rId105" Type="http://schemas.openxmlformats.org/officeDocument/2006/relationships/hyperlink" Target="https://drive.google.com/drive/folders/1vU-_0WxZUrxXADgFjpakury1QOKBgvPh?usp=drive_link" TargetMode="External"/><Relationship Id="rId226" Type="http://schemas.openxmlformats.org/officeDocument/2006/relationships/hyperlink" Target="https://drive.google.com/drive/folders/1bltKRi0mZJ57DA1F-OVxxQOz3YWwP2w_?usp=drive_link" TargetMode="External"/><Relationship Id="rId347" Type="http://schemas.openxmlformats.org/officeDocument/2006/relationships/hyperlink" Target="https://drive.google.com/drive/folders/1ZiMxK7hRwCfurSIH6hXcWR3vyv79us4q?usp=drive_link" TargetMode="External"/><Relationship Id="rId104" Type="http://schemas.openxmlformats.org/officeDocument/2006/relationships/hyperlink" Target="https://drive.google.com/drive/folders/1AZ-hoKtBn-xsHsZqMa28HxlRHWiUb-cU?usp=drive_link" TargetMode="External"/><Relationship Id="rId225" Type="http://schemas.openxmlformats.org/officeDocument/2006/relationships/hyperlink" Target="https://drive.google.com/drive/folders/1eSjFi1gQvxiJNlMziW0FBveNWbq8_pQo?usp=drive_link" TargetMode="External"/><Relationship Id="rId346" Type="http://schemas.openxmlformats.org/officeDocument/2006/relationships/hyperlink" Target="https://drive.google.com/drive/folders/1NcA4pCzgTzinsDt0-yCol8gy1t31foxt?usp=drive_link" TargetMode="External"/><Relationship Id="rId109" Type="http://schemas.openxmlformats.org/officeDocument/2006/relationships/hyperlink" Target="https://drive.google.com/drive/folders/1zbbu8odNNBgRkNUi8neUYLub6jmOn47O?usp=drive_link" TargetMode="External"/><Relationship Id="rId108" Type="http://schemas.openxmlformats.org/officeDocument/2006/relationships/hyperlink" Target="https://drive.google.com/drive/folders/1tJi-PNx_q8ht0w9od5QWPDpsV1x_6Bnw?usp=drive_link" TargetMode="External"/><Relationship Id="rId229" Type="http://schemas.openxmlformats.org/officeDocument/2006/relationships/hyperlink" Target="https://drive.google.com/drive/folders/1PShZEWqIwTfbTLhC-T8dN9ORLwcXmGtT?usp=drive_link" TargetMode="External"/><Relationship Id="rId220" Type="http://schemas.openxmlformats.org/officeDocument/2006/relationships/hyperlink" Target="https://drive.google.com/drive/folders/1PVMk5rWsOXQano0-4-H9GR7TL3mBXeQa?usp=drive_link" TargetMode="External"/><Relationship Id="rId341" Type="http://schemas.openxmlformats.org/officeDocument/2006/relationships/hyperlink" Target="https://drive.google.com/drive/folders/1tStwtQhK_leTqqvjl-INNXY4Snz6IuJK?usp=drive_link" TargetMode="External"/><Relationship Id="rId462" Type="http://schemas.openxmlformats.org/officeDocument/2006/relationships/hyperlink" Target="https://drive.google.com/drive/folders/1uizvmDoT-A19AFksKjg7zhCSxMtRXUU2?usp=drive_link" TargetMode="External"/><Relationship Id="rId340" Type="http://schemas.openxmlformats.org/officeDocument/2006/relationships/hyperlink" Target="https://drive.google.com/drive/folders/1ZhQKD90EdrJUdETWm_8W_guA94psHfwq?usp=drive_link" TargetMode="External"/><Relationship Id="rId461" Type="http://schemas.openxmlformats.org/officeDocument/2006/relationships/hyperlink" Target="https://drive.google.com/drive/folders/1g1QLI5_OI3gzenLhsIrpW1lEjvlPacxr?usp=drive_link" TargetMode="External"/><Relationship Id="rId460" Type="http://schemas.openxmlformats.org/officeDocument/2006/relationships/hyperlink" Target="https://drive.google.com/drive/folders/1FIYUboxl4UcEfWlyugGngXwrCrgjbvXO?usp=drive_link" TargetMode="External"/><Relationship Id="rId103" Type="http://schemas.openxmlformats.org/officeDocument/2006/relationships/hyperlink" Target="https://drive.google.com/drive/folders/1Lp2VgxVTnI_z9frut6eqD9DRSjAyuWup?usp=drive_link" TargetMode="External"/><Relationship Id="rId224" Type="http://schemas.openxmlformats.org/officeDocument/2006/relationships/hyperlink" Target="https://drive.google.com/drive/folders/1oDvxuFA17ZmNAjeSiizihIe3nWGapJxo?usp=drive_link" TargetMode="External"/><Relationship Id="rId345" Type="http://schemas.openxmlformats.org/officeDocument/2006/relationships/hyperlink" Target="https://drive.google.com/drive/folders/1SR99pV13zcaXbyjzJz5Jh4L_MEM8OrgQ?usp=drive_link" TargetMode="External"/><Relationship Id="rId102" Type="http://schemas.openxmlformats.org/officeDocument/2006/relationships/hyperlink" Target="https://drive.google.com/drive/folders/1z6ygYs8ItFtLpsQ9Q51s59dKVpelxkQO?usp=drive_link" TargetMode="External"/><Relationship Id="rId223" Type="http://schemas.openxmlformats.org/officeDocument/2006/relationships/hyperlink" Target="https://drive.google.com/drive/folders/1ee8JzaNC7ibe7xC4CSZYIRonk_l8784H?usp=drive_link" TargetMode="External"/><Relationship Id="rId344" Type="http://schemas.openxmlformats.org/officeDocument/2006/relationships/hyperlink" Target="https://drive.google.com/drive/folders/1u-RXbx8BoxHIn_RDOvd95rlrKQPORKuh?usp=drive_link" TargetMode="External"/><Relationship Id="rId101" Type="http://schemas.openxmlformats.org/officeDocument/2006/relationships/hyperlink" Target="https://drive.google.com/drive/folders/10Kl9YLHUTf-3H2sNKYnN2hMqeFPm1IfN?usp=drive_link" TargetMode="External"/><Relationship Id="rId222" Type="http://schemas.openxmlformats.org/officeDocument/2006/relationships/hyperlink" Target="https://drive.google.com/drive/folders/15OBEgzWzb8ocPiXcaiJhvQZp8xjjUVdb?usp=drive_link" TargetMode="External"/><Relationship Id="rId343" Type="http://schemas.openxmlformats.org/officeDocument/2006/relationships/hyperlink" Target="https://drive.google.com/drive/folders/1RtPpMMkpHLkAvcIt3vgzyOGJVK5uhwkb?usp=drive_link" TargetMode="External"/><Relationship Id="rId464" Type="http://schemas.openxmlformats.org/officeDocument/2006/relationships/drawing" Target="../drawings/drawing4.xml"/><Relationship Id="rId100" Type="http://schemas.openxmlformats.org/officeDocument/2006/relationships/hyperlink" Target="https://drive.google.com/drive/folders/1p97JTyE54pw2pEEHsh4h-gj9-j5Znf3v?usp=drive_link" TargetMode="External"/><Relationship Id="rId221" Type="http://schemas.openxmlformats.org/officeDocument/2006/relationships/hyperlink" Target="https://drive.google.com/drive/folders/1tsN_0AXMFoYSayinISgixBk1jAp778o4?usp=drive_link" TargetMode="External"/><Relationship Id="rId342" Type="http://schemas.openxmlformats.org/officeDocument/2006/relationships/hyperlink" Target="https://drive.google.com/drive/folders/1gLZDLCReTKFDyVZ5dFH9CJ_pulSCM3L_?usp=drive_link" TargetMode="External"/><Relationship Id="rId463" Type="http://schemas.openxmlformats.org/officeDocument/2006/relationships/hyperlink" Target="https://drive.google.com/drive/folders/1Q0ksunl3bCxCXZ3NfVoqq36oLphfMOFS?usp=drive_link" TargetMode="External"/><Relationship Id="rId217" Type="http://schemas.openxmlformats.org/officeDocument/2006/relationships/hyperlink" Target="https://drive.google.com/drive/folders/1UUo-RQFQsyUzoImxqk77s_0cA66Knhsz?usp=drive_link" TargetMode="External"/><Relationship Id="rId338" Type="http://schemas.openxmlformats.org/officeDocument/2006/relationships/hyperlink" Target="https://drive.google.com/drive/folders/1Nd32bTWNs5yAQMTbbPXWgMmTjjux5KfK?usp=drive_link" TargetMode="External"/><Relationship Id="rId459" Type="http://schemas.openxmlformats.org/officeDocument/2006/relationships/hyperlink" Target="https://drive.google.com/drive/folders/1BRB6M28NGB3quRXpd2I57ODO7UUQCanD?usp=drive_link" TargetMode="External"/><Relationship Id="rId216" Type="http://schemas.openxmlformats.org/officeDocument/2006/relationships/hyperlink" Target="https://drive.google.com/drive/folders/1gU7gLZwMwircRcUce3RAMbpwaM8ex2yV?usp=drive_link" TargetMode="External"/><Relationship Id="rId337" Type="http://schemas.openxmlformats.org/officeDocument/2006/relationships/hyperlink" Target="https://drive.google.com/drive/folders/1ZBeXcy7x9x7h82vvwCCiFzGIt7IL1ipp?usp=drive_link" TargetMode="External"/><Relationship Id="rId458" Type="http://schemas.openxmlformats.org/officeDocument/2006/relationships/hyperlink" Target="https://drive.google.com/drive/folders/16cvhqLvT7Fkon9WLzC-93g2znZkWLVkh?usp=drive_link" TargetMode="External"/><Relationship Id="rId215" Type="http://schemas.openxmlformats.org/officeDocument/2006/relationships/hyperlink" Target="https://drive.google.com/drive/folders/109Lu-bZU4kGrHc8dTtIjKr3RCR-dzKh5?usp=drive_link" TargetMode="External"/><Relationship Id="rId336" Type="http://schemas.openxmlformats.org/officeDocument/2006/relationships/hyperlink" Target="https://drive.google.com/drive/folders/1ZFTf2DtBjxrfhQ8N96E1Vm3-DHAX00Y6?usp=drive_link" TargetMode="External"/><Relationship Id="rId457" Type="http://schemas.openxmlformats.org/officeDocument/2006/relationships/hyperlink" Target="https://drive.google.com/drive/folders/13r0sMq2Y6Md5O7sRBHBBKS9_gpGf504I?usp=drive_link" TargetMode="External"/><Relationship Id="rId214" Type="http://schemas.openxmlformats.org/officeDocument/2006/relationships/hyperlink" Target="https://drive.google.com/drive/folders/1ZMuKHBekxnqvHMoFdet_Mx6RiPfPzPF7?usp=drive_link" TargetMode="External"/><Relationship Id="rId335" Type="http://schemas.openxmlformats.org/officeDocument/2006/relationships/hyperlink" Target="https://drive.google.com/drive/folders/1uJK3Wbww7IlRmIlgFRm4H4CQXxD77MV8?usp=drive_link" TargetMode="External"/><Relationship Id="rId456" Type="http://schemas.openxmlformats.org/officeDocument/2006/relationships/hyperlink" Target="https://drive.google.com/drive/folders/1yqUZy0Kt8jit9gREOge20iRYwKsjzVvl?usp=drive_link" TargetMode="External"/><Relationship Id="rId219" Type="http://schemas.openxmlformats.org/officeDocument/2006/relationships/hyperlink" Target="https://drive.google.com/drive/folders/1UiNZxajYTeSklWrsXkAw1R4KJJU5s46M?usp=drive_link" TargetMode="External"/><Relationship Id="rId218" Type="http://schemas.openxmlformats.org/officeDocument/2006/relationships/hyperlink" Target="https://drive.google.com/drive/folders/1HtIq3tI48yLwfT9UIUnpMiSXDhCD9j0B?usp=drive_link" TargetMode="External"/><Relationship Id="rId339" Type="http://schemas.openxmlformats.org/officeDocument/2006/relationships/hyperlink" Target="https://drive.google.com/drive/folders/1ysbR5kzGscfBzKCnWde-yIXPkslzDGcQ?usp=drive_link" TargetMode="External"/><Relationship Id="rId330" Type="http://schemas.openxmlformats.org/officeDocument/2006/relationships/hyperlink" Target="https://drive.google.com/drive/folders/1OWhnT5ismw8QjlkkoAkzLEQhDEnt9ZtR?usp=drive_link" TargetMode="External"/><Relationship Id="rId451" Type="http://schemas.openxmlformats.org/officeDocument/2006/relationships/hyperlink" Target="https://drive.google.com/drive/folders/1CrHklVAHyd0eR7z6nMsj73fsxI0eTebs?usp=drive_link" TargetMode="External"/><Relationship Id="rId450" Type="http://schemas.openxmlformats.org/officeDocument/2006/relationships/hyperlink" Target="https://drive.google.com/drive/folders/18eV_2q5eLtpsjtXrNMyznsGbQFwaEEs_?usp=drive_link" TargetMode="External"/><Relationship Id="rId213" Type="http://schemas.openxmlformats.org/officeDocument/2006/relationships/hyperlink" Target="https://drive.google.com/drive/folders/1BKExAnO1nGVt4ELoRGVSuSkyO4eiZInf?usp=drive_link" TargetMode="External"/><Relationship Id="rId334" Type="http://schemas.openxmlformats.org/officeDocument/2006/relationships/hyperlink" Target="https://drive.google.com/drive/folders/1QjjBG3BoMrRlpxRAHAgP4aQI9EV1LBft?usp=drive_link" TargetMode="External"/><Relationship Id="rId455" Type="http://schemas.openxmlformats.org/officeDocument/2006/relationships/hyperlink" Target="https://drive.google.com/drive/folders/1IGggTsoHBrFOFb7FOM4PAM_WO5iXXMC8?usp=drive_link" TargetMode="External"/><Relationship Id="rId212" Type="http://schemas.openxmlformats.org/officeDocument/2006/relationships/hyperlink" Target="https://drive.google.com/drive/folders/10a7jGyCLlu3F7_vcVvyUN6GdjggaDsqT?usp=drive_link" TargetMode="External"/><Relationship Id="rId333" Type="http://schemas.openxmlformats.org/officeDocument/2006/relationships/hyperlink" Target="https://drive.google.com/drive/folders/1qKHDjkwPB4vphoWG7tD4sL3ZS0dE8bZt?usp=drive_link" TargetMode="External"/><Relationship Id="rId454" Type="http://schemas.openxmlformats.org/officeDocument/2006/relationships/hyperlink" Target="https://drive.google.com/drive/folders/1DHeKNWr5kVRro-Yjcr7l8VcGC1M_lFAC?usp=drive_link" TargetMode="External"/><Relationship Id="rId211" Type="http://schemas.openxmlformats.org/officeDocument/2006/relationships/hyperlink" Target="https://drive.google.com/drive/folders/1e4lV2yvaWJMYliXSECXt8KaOaqF5Arv7?usp=drive_link" TargetMode="External"/><Relationship Id="rId332" Type="http://schemas.openxmlformats.org/officeDocument/2006/relationships/hyperlink" Target="https://drive.google.com/drive/folders/1smTjgh0_gB9Bpd0EI_9MeAz6_1KI5Z4V?usp=drive_link" TargetMode="External"/><Relationship Id="rId453" Type="http://schemas.openxmlformats.org/officeDocument/2006/relationships/hyperlink" Target="https://drive.google.com/drive/folders/1-1_FhFlkR_sxtew0H4MmOiTKV6tDddIB?usp=drive_link" TargetMode="External"/><Relationship Id="rId210" Type="http://schemas.openxmlformats.org/officeDocument/2006/relationships/hyperlink" Target="https://drive.google.com/drive/folders/1JltoLg5pC8iwOfeyEfAkreNLX9BO43cl?usp=drive_link" TargetMode="External"/><Relationship Id="rId331" Type="http://schemas.openxmlformats.org/officeDocument/2006/relationships/hyperlink" Target="https://drive.google.com/drive/folders/1Gmc1QlsfdkCfUoLQMxYaxkekAs8iSh8C?usp=drive_link" TargetMode="External"/><Relationship Id="rId452" Type="http://schemas.openxmlformats.org/officeDocument/2006/relationships/hyperlink" Target="https://drive.google.com/drive/folders/1jQhIc6qfJzj_PsEaGDJnOOIVqmVQIgWd?usp=drive_link" TargetMode="External"/><Relationship Id="rId370" Type="http://schemas.openxmlformats.org/officeDocument/2006/relationships/hyperlink" Target="https://drive.google.com/drive/folders/1r53Td_mMVOWC5vu5tDG4f_erwghdpYu8?usp=drive_link" TargetMode="External"/><Relationship Id="rId129" Type="http://schemas.openxmlformats.org/officeDocument/2006/relationships/hyperlink" Target="https://drive.google.com/drive/folders/186IQ2w_FuJ8MOtEDMueuA1c2MEP1Pgsz?usp=drive_link" TargetMode="External"/><Relationship Id="rId128" Type="http://schemas.openxmlformats.org/officeDocument/2006/relationships/hyperlink" Target="https://drive.google.com/drive/folders/1ZAlxj97CSYM_pZULmHnVi4DM0MRNZO9X?usp=drive_link" TargetMode="External"/><Relationship Id="rId249" Type="http://schemas.openxmlformats.org/officeDocument/2006/relationships/hyperlink" Target="https://drive.google.com/drive/folders/1HaXJvFadtN_cOuXR57ZsfbEupxoKQ4Os?usp=drive_link" TargetMode="External"/><Relationship Id="rId127" Type="http://schemas.openxmlformats.org/officeDocument/2006/relationships/hyperlink" Target="https://drive.google.com/drive/folders/1q_coDCS2q8TN0vNrzUxnuZSLU8U2kNSJ?usp=drive_link" TargetMode="External"/><Relationship Id="rId248" Type="http://schemas.openxmlformats.org/officeDocument/2006/relationships/hyperlink" Target="https://drive.google.com/drive/folders/1lGRfBrWErCglcxfq8pbDRwoe4LCeDnMB?usp=drive_link" TargetMode="External"/><Relationship Id="rId369" Type="http://schemas.openxmlformats.org/officeDocument/2006/relationships/hyperlink" Target="https://drive.google.com/drive/folders/1C8Yl45FC9od5vuAew2_GlIOApL8qsshM?usp=drive_link" TargetMode="External"/><Relationship Id="rId126" Type="http://schemas.openxmlformats.org/officeDocument/2006/relationships/hyperlink" Target="https://drive.google.com/drive/folders/1EMrbve8Pe86XPdCk8B_ZM5PjQXOJbtPu?usp=drive_link" TargetMode="External"/><Relationship Id="rId247" Type="http://schemas.openxmlformats.org/officeDocument/2006/relationships/hyperlink" Target="https://drive.google.com/drive/folders/1HWxbIqt4NVHpSJjap5jvvbvhCI6jquZC?usp=drive_link" TargetMode="External"/><Relationship Id="rId368" Type="http://schemas.openxmlformats.org/officeDocument/2006/relationships/hyperlink" Target="https://drive.google.com/drive/folders/1WtPLKsjQ9TePcr-TtfWs_VZIz-Oag41_?usp=drive_link" TargetMode="External"/><Relationship Id="rId121" Type="http://schemas.openxmlformats.org/officeDocument/2006/relationships/hyperlink" Target="https://drive.google.com/drive/folders/1Ie7KX77PJJ9LfCgN9ZGGkJyhClGFGpou?usp=drive_link" TargetMode="External"/><Relationship Id="rId242" Type="http://schemas.openxmlformats.org/officeDocument/2006/relationships/hyperlink" Target="https://drive.google.com/drive/folders/1ecsH6s5LrlmY3hyEO-Zs3ccmyHuCa8PD?usp=drive_link" TargetMode="External"/><Relationship Id="rId363" Type="http://schemas.openxmlformats.org/officeDocument/2006/relationships/hyperlink" Target="https://drive.google.com/drive/folders/117wuue3-_xxDjJI0X5LFlyY-fNUklqym?usp=drive_link" TargetMode="External"/><Relationship Id="rId120" Type="http://schemas.openxmlformats.org/officeDocument/2006/relationships/hyperlink" Target="https://drive.google.com/drive/folders/1In2lx4M1bur3rQZZ7PNAyOWmILnsyCut?usp=drive_link" TargetMode="External"/><Relationship Id="rId241" Type="http://schemas.openxmlformats.org/officeDocument/2006/relationships/hyperlink" Target="https://drive.google.com/drive/folders/1sgi2jspnsPbUA4XTKlIJpePglHBtNREa?usp=drive_link" TargetMode="External"/><Relationship Id="rId362" Type="http://schemas.openxmlformats.org/officeDocument/2006/relationships/hyperlink" Target="https://drive.google.com/drive/folders/1On1ynTZ11NnVedSJ16CA_pOpBUszwEEQ?usp=drive_link" TargetMode="External"/><Relationship Id="rId240" Type="http://schemas.openxmlformats.org/officeDocument/2006/relationships/hyperlink" Target="https://drive.google.com/drive/folders/1WntC-IO0jd4cqJVcmogh3fkGYf9bDg3o?usp=drive_link" TargetMode="External"/><Relationship Id="rId361" Type="http://schemas.openxmlformats.org/officeDocument/2006/relationships/hyperlink" Target="https://drive.google.com/drive/folders/13WMBvUoTbnnE8hyxrBlQNX52wFFpzot5?usp=drive_link" TargetMode="External"/><Relationship Id="rId360" Type="http://schemas.openxmlformats.org/officeDocument/2006/relationships/hyperlink" Target="https://drive.google.com/drive/folders/1ihsUkLscx6qKWlEC7hH5aHGuv9ZMS82M?usp=drive_link" TargetMode="External"/><Relationship Id="rId125" Type="http://schemas.openxmlformats.org/officeDocument/2006/relationships/hyperlink" Target="https://drive.google.com/drive/folders/1gBeEnyQYI-1ORPduK7hJti64iYehlO36?usp=drive_link" TargetMode="External"/><Relationship Id="rId246" Type="http://schemas.openxmlformats.org/officeDocument/2006/relationships/hyperlink" Target="https://drive.google.com/drive/folders/1blX_iYCryVibbcG14rJAN9_KdUD0rpqG?usp=drive_link" TargetMode="External"/><Relationship Id="rId367" Type="http://schemas.openxmlformats.org/officeDocument/2006/relationships/hyperlink" Target="https://drive.google.com/drive/folders/1mbIV0znMU5i8lA1oeA7qnm1lu6msESeN?usp=drive_link" TargetMode="External"/><Relationship Id="rId124" Type="http://schemas.openxmlformats.org/officeDocument/2006/relationships/hyperlink" Target="https://drive.google.com/drive/folders/14PY64Zg0CaQyqaTYMfb6EIo_HTleh9hI?usp=drive_link" TargetMode="External"/><Relationship Id="rId245" Type="http://schemas.openxmlformats.org/officeDocument/2006/relationships/hyperlink" Target="https://drive.google.com/drive/folders/1b2CaHnEJMcYKAf4QTX8seUVDbANvNFT4?usp=drive_link" TargetMode="External"/><Relationship Id="rId366" Type="http://schemas.openxmlformats.org/officeDocument/2006/relationships/hyperlink" Target="https://drive.google.com/drive/folders/1-6PHat-15RtaL_99bemtflh6lDAMu9DM?usp=drive_link" TargetMode="External"/><Relationship Id="rId123" Type="http://schemas.openxmlformats.org/officeDocument/2006/relationships/hyperlink" Target="https://drive.google.com/drive/folders/1d4HBMfRG7-ghYiq9PrJF-wDvfiB9V9iZ?usp=drive_link" TargetMode="External"/><Relationship Id="rId244" Type="http://schemas.openxmlformats.org/officeDocument/2006/relationships/hyperlink" Target="https://drive.google.com/drive/folders/1VjnrMX8JzRB-usx4UeQC8NRaH8kji2OM?usp=drive_link" TargetMode="External"/><Relationship Id="rId365" Type="http://schemas.openxmlformats.org/officeDocument/2006/relationships/hyperlink" Target="https://drive.google.com/drive/folders/1NleLGDeVJP78CnInG7rlGovRODf0T0oA?usp=drive_link" TargetMode="External"/><Relationship Id="rId122" Type="http://schemas.openxmlformats.org/officeDocument/2006/relationships/hyperlink" Target="https://drive.google.com/drive/folders/1lhO8R4r89EWORczgPTTrckPv_T6CLlcz?usp=drive_link" TargetMode="External"/><Relationship Id="rId243" Type="http://schemas.openxmlformats.org/officeDocument/2006/relationships/hyperlink" Target="https://drive.google.com/drive/folders/1JH_1XJER-OB3B-r5jI1OZmNe3-eiP-7g?usp=drive_link" TargetMode="External"/><Relationship Id="rId364" Type="http://schemas.openxmlformats.org/officeDocument/2006/relationships/hyperlink" Target="https://drive.google.com/drive/folders/1TSmU0F0idrcDv_BikzMl0l_Pd86yFPLI?usp=drive_link" TargetMode="External"/><Relationship Id="rId95" Type="http://schemas.openxmlformats.org/officeDocument/2006/relationships/hyperlink" Target="https://drive.google.com/drive/folders/1lW0O4IypcoO2-AcZkcDKAyXQBy-AjuUm?usp=drive_link" TargetMode="External"/><Relationship Id="rId94" Type="http://schemas.openxmlformats.org/officeDocument/2006/relationships/hyperlink" Target="https://drive.google.com/drive/folders/1scYFPWH3jPg9Y-ZNG9dbSXr8xIN5lfiN?usp=drive_link" TargetMode="External"/><Relationship Id="rId97" Type="http://schemas.openxmlformats.org/officeDocument/2006/relationships/hyperlink" Target="https://drive.google.com/drive/folders/13gTEdGF5f4URz8XH-dj7_1U1urQTqnld?usp=drive_link" TargetMode="External"/><Relationship Id="rId96" Type="http://schemas.openxmlformats.org/officeDocument/2006/relationships/hyperlink" Target="https://drive.google.com/drive/folders/1Kes2VNzuZdzJo2sNZGRuXwoG5yju26bg?usp=drive_link" TargetMode="External"/><Relationship Id="rId99" Type="http://schemas.openxmlformats.org/officeDocument/2006/relationships/hyperlink" Target="https://drive.google.com/drive/folders/1sEIEiZmWUcnq-w5U6GzIceAlD7cfnT5B?usp=drive_link" TargetMode="External"/><Relationship Id="rId98" Type="http://schemas.openxmlformats.org/officeDocument/2006/relationships/hyperlink" Target="https://drive.google.com/drive/folders/1IW7a1_7-qSzDmEJqRKC8-6oiBk8tOAGE?usp=drive_link" TargetMode="External"/><Relationship Id="rId91" Type="http://schemas.openxmlformats.org/officeDocument/2006/relationships/hyperlink" Target="https://drive.google.com/drive/folders/1THzWUy8ABs7u_rKZcrmIsUnlKaXfrXsc?usp=drive_link" TargetMode="External"/><Relationship Id="rId90" Type="http://schemas.openxmlformats.org/officeDocument/2006/relationships/hyperlink" Target="https://drive.google.com/drive/folders/1LhPMuux0s3bkV-ueNyZ4CMpuO0S4K9Mv?usp=drive_link" TargetMode="External"/><Relationship Id="rId93" Type="http://schemas.openxmlformats.org/officeDocument/2006/relationships/hyperlink" Target="https://drive.google.com/drive/folders/1V-oe3MjsKzDNBXuSJ73I4-tyzuZ5vdZ_?usp=drive_link" TargetMode="External"/><Relationship Id="rId92" Type="http://schemas.openxmlformats.org/officeDocument/2006/relationships/hyperlink" Target="https://drive.google.com/drive/folders/1hr8k9AvNZnezVcQtgGECv5ThxSJMEWqG?usp=drive_link" TargetMode="External"/><Relationship Id="rId118" Type="http://schemas.openxmlformats.org/officeDocument/2006/relationships/hyperlink" Target="https://drive.google.com/drive/folders/1SvP5DNYNeoNPMxDgp65TBpSh4EO4_D91?usp=drive_link" TargetMode="External"/><Relationship Id="rId239" Type="http://schemas.openxmlformats.org/officeDocument/2006/relationships/hyperlink" Target="https://drive.google.com/drive/folders/1hyEgYKw_d2H6Vkn6XJX5oOaTXu11igtB?usp=drive_link" TargetMode="External"/><Relationship Id="rId117" Type="http://schemas.openxmlformats.org/officeDocument/2006/relationships/hyperlink" Target="https://drive.google.com/drive/folders/1r1qPeU__KVFB-Cwan1X_cEPJ5PZTMz83?usp=drive_link" TargetMode="External"/><Relationship Id="rId238" Type="http://schemas.openxmlformats.org/officeDocument/2006/relationships/hyperlink" Target="https://drive.google.com/drive/folders/1VpfD76I9rYLgigRzEeQ_MgjW6CvhcffV?usp=drive_link" TargetMode="External"/><Relationship Id="rId359" Type="http://schemas.openxmlformats.org/officeDocument/2006/relationships/hyperlink" Target="https://drive.google.com/drive/folders/1OrxX-ehenFIK4X_4ApJggF7tXBikYeYX?usp=drive_link" TargetMode="External"/><Relationship Id="rId116" Type="http://schemas.openxmlformats.org/officeDocument/2006/relationships/hyperlink" Target="https://drive.google.com/drive/folders/1G0Yw0zW9Fs38JsnH8OVg3IQYr1Hdciat?usp=drive_link" TargetMode="External"/><Relationship Id="rId237" Type="http://schemas.openxmlformats.org/officeDocument/2006/relationships/hyperlink" Target="https://drive.google.com/drive/folders/1KII_d_Cb7OVzkgv1WHPpLM3-3_ivkdnq?usp=drive_link" TargetMode="External"/><Relationship Id="rId358" Type="http://schemas.openxmlformats.org/officeDocument/2006/relationships/hyperlink" Target="https://drive.google.com/drive/folders/1a-altKRxj5p3A9lPHlSk-yZ1qsHMnPRt?usp=drive_link" TargetMode="External"/><Relationship Id="rId115" Type="http://schemas.openxmlformats.org/officeDocument/2006/relationships/hyperlink" Target="https://drive.google.com/drive/folders/1mKhHEwyZBcnubkswytzJG3G_67LtfurE?usp=drive_link" TargetMode="External"/><Relationship Id="rId236" Type="http://schemas.openxmlformats.org/officeDocument/2006/relationships/hyperlink" Target="https://drive.google.com/drive/folders/17yehSxmryJICAsiN72CG5GZ3fp4sabZ9?usp=drive_link" TargetMode="External"/><Relationship Id="rId357" Type="http://schemas.openxmlformats.org/officeDocument/2006/relationships/hyperlink" Target="https://drive.google.com/drive/folders/1ToggxMvNW_tHpIKXM_cvOHRw0xvUkr4X?usp=drive_link" TargetMode="External"/><Relationship Id="rId119" Type="http://schemas.openxmlformats.org/officeDocument/2006/relationships/hyperlink" Target="https://drive.google.com/drive/folders/1ygpKTErE1p6Rkg7pzEpySlHU-oLvI9pe?usp=drive_link" TargetMode="External"/><Relationship Id="rId110" Type="http://schemas.openxmlformats.org/officeDocument/2006/relationships/hyperlink" Target="https://drive.google.com/drive/folders/13zyAvZVildeTEnSAX-prBXi02Njamxn4?usp=drive_link" TargetMode="External"/><Relationship Id="rId231" Type="http://schemas.openxmlformats.org/officeDocument/2006/relationships/hyperlink" Target="https://drive.google.com/drive/folders/1b5FEvun_2FduLkT6c_AZ2BevI9sSdWWp?usp=drive_link" TargetMode="External"/><Relationship Id="rId352" Type="http://schemas.openxmlformats.org/officeDocument/2006/relationships/hyperlink" Target="https://drive.google.com/drive/folders/1-goY8h-EMteREbK_E0LWPFx6xN6-5zuo?usp=drive_link" TargetMode="External"/><Relationship Id="rId230" Type="http://schemas.openxmlformats.org/officeDocument/2006/relationships/hyperlink" Target="https://drive.google.com/drive/folders/17RQPdf319InhAe_DsnMu7Zrq9ZnuK5kj?usp=drive_link" TargetMode="External"/><Relationship Id="rId351" Type="http://schemas.openxmlformats.org/officeDocument/2006/relationships/hyperlink" Target="https://drive.google.com/drive/folders/1QA7edKNNgrFDhU8MpuJlaYmHEAYJpIqA?usp=drive_link" TargetMode="External"/><Relationship Id="rId350" Type="http://schemas.openxmlformats.org/officeDocument/2006/relationships/hyperlink" Target="https://drive.google.com/drive/folders/1g2ZhXndWRiWGFGFx56Cv4SEPVSf6DqA5?usp=drive_link" TargetMode="External"/><Relationship Id="rId114" Type="http://schemas.openxmlformats.org/officeDocument/2006/relationships/hyperlink" Target="https://drive.google.com/drive/folders/1P93aO0eUDSSeaT3EGGGyC3XsLd9iL_jz?usp=drive_link" TargetMode="External"/><Relationship Id="rId235" Type="http://schemas.openxmlformats.org/officeDocument/2006/relationships/hyperlink" Target="https://drive.google.com/drive/folders/1aUKTiIhvKYNduOOLxnzTdfQdbjg5I4oL?usp=drive_link" TargetMode="External"/><Relationship Id="rId356" Type="http://schemas.openxmlformats.org/officeDocument/2006/relationships/hyperlink" Target="https://drive.google.com/drive/folders/1REyUE6LN-fN-H74-5ck4J6C9wOiSb-6d?usp=drive_link" TargetMode="External"/><Relationship Id="rId113" Type="http://schemas.openxmlformats.org/officeDocument/2006/relationships/hyperlink" Target="https://drive.google.com/drive/folders/1o7trNBnmewYs2ADlrCgBU-HiSLMib2F7?usp=drive_link" TargetMode="External"/><Relationship Id="rId234" Type="http://schemas.openxmlformats.org/officeDocument/2006/relationships/hyperlink" Target="https://drive.google.com/drive/folders/1L1bMrUnNLcjc9tunPtSSTo7QxJwheFXf?usp=drive_link" TargetMode="External"/><Relationship Id="rId355" Type="http://schemas.openxmlformats.org/officeDocument/2006/relationships/hyperlink" Target="https://drive.google.com/drive/folders/1qjrZ--ECNSD8i13D5U2rHpFKvWw0msSK?usp=drive_link" TargetMode="External"/><Relationship Id="rId112" Type="http://schemas.openxmlformats.org/officeDocument/2006/relationships/hyperlink" Target="https://drive.google.com/drive/folders/1ADfH_mgRlXvA-I75lNqczYT_fQxeEEvr?usp=drive_link" TargetMode="External"/><Relationship Id="rId233" Type="http://schemas.openxmlformats.org/officeDocument/2006/relationships/hyperlink" Target="https://drive.google.com/drive/folders/1-1_FhFlkR_sxtew0H4MmOiTKV6tDddIB?usp=drive_link" TargetMode="External"/><Relationship Id="rId354" Type="http://schemas.openxmlformats.org/officeDocument/2006/relationships/hyperlink" Target="https://drive.google.com/drive/folders/1LLMl1RzweuE0dzCsd60qrPObaB0hjFxZ?usp=drive_link" TargetMode="External"/><Relationship Id="rId111" Type="http://schemas.openxmlformats.org/officeDocument/2006/relationships/hyperlink" Target="https://drive.google.com/drive/folders/1XX7nXs_R0LNhskZGBR-GWaRI5KB3lDPl?usp=drive_link" TargetMode="External"/><Relationship Id="rId232" Type="http://schemas.openxmlformats.org/officeDocument/2006/relationships/hyperlink" Target="https://drive.google.com/drive/folders/1BOlN_WsAA97xfBSMicm1HfzfFB1PJSzw?usp=drive_link" TargetMode="External"/><Relationship Id="rId353" Type="http://schemas.openxmlformats.org/officeDocument/2006/relationships/hyperlink" Target="https://drive.google.com/drive/folders/16qdnUmNfiWyZ9oR87h0XbqhvWisWLPc3?usp=drive_link" TargetMode="External"/><Relationship Id="rId305" Type="http://schemas.openxmlformats.org/officeDocument/2006/relationships/hyperlink" Target="https://drive.google.com/drive/folders/1ykXG6B_MBZ_wJmDGQLrq95JiWbAxj4ca?usp=drive_link" TargetMode="External"/><Relationship Id="rId426" Type="http://schemas.openxmlformats.org/officeDocument/2006/relationships/hyperlink" Target="https://drive.google.com/drive/folders/1WorHwDz2iNvUDaE01QfvY9bxUq8KG0da?usp=drive_link" TargetMode="External"/><Relationship Id="rId304" Type="http://schemas.openxmlformats.org/officeDocument/2006/relationships/hyperlink" Target="https://drive.google.com/drive/folders/1-TwRpop1ysNeJzOy_EXMxWvDKK38KC6Q?usp=drive_link" TargetMode="External"/><Relationship Id="rId425" Type="http://schemas.openxmlformats.org/officeDocument/2006/relationships/hyperlink" Target="https://drive.google.com/drive/folders/1D4XTfNod0rCIrmuNMT3cVxPIwe0YcGNl?usp=drive_link" TargetMode="External"/><Relationship Id="rId303" Type="http://schemas.openxmlformats.org/officeDocument/2006/relationships/hyperlink" Target="https://drive.google.com/drive/folders/1UUuj7HpsnPAw0h7VNzuvtqGV36RFjtDe?usp=drive_link" TargetMode="External"/><Relationship Id="rId424" Type="http://schemas.openxmlformats.org/officeDocument/2006/relationships/hyperlink" Target="https://drive.google.com/drive/folders/1btIfe-BZqaBNH-142-gKOgXfqHP_AMBF?usp=drive_link" TargetMode="External"/><Relationship Id="rId302" Type="http://schemas.openxmlformats.org/officeDocument/2006/relationships/hyperlink" Target="https://drive.google.com/drive/folders/1jsz6xRGsjANMmROGR9kQ9aAOc5eKpVLt?usp=drive_link" TargetMode="External"/><Relationship Id="rId423" Type="http://schemas.openxmlformats.org/officeDocument/2006/relationships/hyperlink" Target="https://drive.google.com/drive/folders/1GuM9hj_5VwBuuEbrO8_adqDlParqOcA0?usp=drive_link" TargetMode="External"/><Relationship Id="rId309" Type="http://schemas.openxmlformats.org/officeDocument/2006/relationships/hyperlink" Target="https://drive.google.com/drive/folders/15D60rpptBOWCSmQuJ2HnyH5sKiaZM6Zo?usp=drive_link" TargetMode="External"/><Relationship Id="rId308" Type="http://schemas.openxmlformats.org/officeDocument/2006/relationships/hyperlink" Target="https://drive.google.com/drive/folders/1WMLYjkDc5e4Am4J_HszGgZSVAUZxGxU3?usp=drive_link" TargetMode="External"/><Relationship Id="rId429" Type="http://schemas.openxmlformats.org/officeDocument/2006/relationships/hyperlink" Target="https://drive.google.com/drive/folders/1Unn7cxeeSBrcJZPs4bBloIx3f41KdE3u?usp=drive_link" TargetMode="External"/><Relationship Id="rId307" Type="http://schemas.openxmlformats.org/officeDocument/2006/relationships/hyperlink" Target="https://drive.google.com/drive/folders/1PmgNJei0evy8qlnzts5_B3AnOoI9tAe5?usp=drive_link" TargetMode="External"/><Relationship Id="rId428" Type="http://schemas.openxmlformats.org/officeDocument/2006/relationships/hyperlink" Target="https://drive.google.com/drive/folders/1MJGwzCfaIT4nPpzzN3FKvMz9NagDSJz3?usp=drive_link" TargetMode="External"/><Relationship Id="rId306" Type="http://schemas.openxmlformats.org/officeDocument/2006/relationships/hyperlink" Target="https://drive.google.com/drive/folders/1Y0BtYMV2OTV8Jt9rYX4_Ia5kHgskPHX0?usp=drive_link" TargetMode="External"/><Relationship Id="rId427" Type="http://schemas.openxmlformats.org/officeDocument/2006/relationships/hyperlink" Target="https://drive.google.com/drive/folders/1g-axZmmakPlmRZkpAILbtY-G0RDiOPUj?usp=drive_link" TargetMode="External"/><Relationship Id="rId301" Type="http://schemas.openxmlformats.org/officeDocument/2006/relationships/hyperlink" Target="https://drive.google.com/drive/folders/1WQKauoAp_LgufGWxcWsXOJp4T69b9Xlz?usp=drive_link" TargetMode="External"/><Relationship Id="rId422" Type="http://schemas.openxmlformats.org/officeDocument/2006/relationships/hyperlink" Target="https://drive.google.com/drive/folders/1drLKoSzr1uap9305Qh1fKeQdy4jZoV4t?usp=drive_link" TargetMode="External"/><Relationship Id="rId300" Type="http://schemas.openxmlformats.org/officeDocument/2006/relationships/hyperlink" Target="https://drive.google.com/drive/folders/1XZRVl5eBtNPcXZlRTRENvmyyaf5fnhfs?usp=drive_link" TargetMode="External"/><Relationship Id="rId421" Type="http://schemas.openxmlformats.org/officeDocument/2006/relationships/hyperlink" Target="https://drive.google.com/drive/folders/1fvrpvPjhspRKNaxsvT6j3uLlc2yD6Sl3?usp=drive_link" TargetMode="External"/><Relationship Id="rId420" Type="http://schemas.openxmlformats.org/officeDocument/2006/relationships/hyperlink" Target="https://drive.google.com/drive/folders/1jyETDaD9qouJhzJIjvfVyIJH7sZV2qtC?usp=drive_link" TargetMode="External"/><Relationship Id="rId415" Type="http://schemas.openxmlformats.org/officeDocument/2006/relationships/hyperlink" Target="https://drive.google.com/drive/folders/16z4qLNc6b5LIUWPSilrkpwwADOGDGpBj?usp=drive_link" TargetMode="External"/><Relationship Id="rId414" Type="http://schemas.openxmlformats.org/officeDocument/2006/relationships/hyperlink" Target="https://drive.google.com/drive/folders/1u8cO3vOrZ8N8mClZSsO1WdDQ1sdaKmk7?usp=drive_link" TargetMode="External"/><Relationship Id="rId413" Type="http://schemas.openxmlformats.org/officeDocument/2006/relationships/hyperlink" Target="https://drive.google.com/drive/folders/1WDio5MXVC6ydCgkjHuS0Mmz8UAT92LBN?usp=drive_link" TargetMode="External"/><Relationship Id="rId412" Type="http://schemas.openxmlformats.org/officeDocument/2006/relationships/hyperlink" Target="https://drive.google.com/drive/folders/1zh1QbZE1BS22epUmstFLdsu7ADIGbYTd?usp=drive_link" TargetMode="External"/><Relationship Id="rId419" Type="http://schemas.openxmlformats.org/officeDocument/2006/relationships/hyperlink" Target="https://drive.google.com/drive/folders/13FlbXRxqkNqxIjYw4Ya7f34uxPNZkOjg?usp=drive_link" TargetMode="External"/><Relationship Id="rId418" Type="http://schemas.openxmlformats.org/officeDocument/2006/relationships/hyperlink" Target="https://drive.google.com/drive/folders/1BWf1w7_jifeBHdfwQWg1lM08-ItYRGQ1?usp=drive_link" TargetMode="External"/><Relationship Id="rId417" Type="http://schemas.openxmlformats.org/officeDocument/2006/relationships/hyperlink" Target="https://drive.google.com/drive/folders/1VSy4PqMJr4wlXc4Qf2HPgIGGMFyD0fx3?usp=drive_link" TargetMode="External"/><Relationship Id="rId416" Type="http://schemas.openxmlformats.org/officeDocument/2006/relationships/hyperlink" Target="https://drive.google.com/drive/folders/14RpJNfrFLmDMP0Glw1k6YtBbL5Jj0FQU?usp=drive_link" TargetMode="External"/><Relationship Id="rId411" Type="http://schemas.openxmlformats.org/officeDocument/2006/relationships/hyperlink" Target="https://drive.google.com/drive/folders/1B8QXWwf_5PejHrO0loiUE3wCXxfqg5eY?usp=drive_link" TargetMode="External"/><Relationship Id="rId410" Type="http://schemas.openxmlformats.org/officeDocument/2006/relationships/hyperlink" Target="https://drive.google.com/drive/folders/1ZgaYTWcqf-xJ-MhpPv64MHaHGrD36pGb?usp=drive_link" TargetMode="External"/><Relationship Id="rId206" Type="http://schemas.openxmlformats.org/officeDocument/2006/relationships/hyperlink" Target="https://drive.google.com/drive/folders/118M7si22avXTnCr-MMhcnPpJVqT7edND?usp=drive_link" TargetMode="External"/><Relationship Id="rId327" Type="http://schemas.openxmlformats.org/officeDocument/2006/relationships/hyperlink" Target="https://drive.google.com/drive/folders/113R6srdeAB4ZB7DJe3EKjqf8QBVWxeqg?usp=drive_link" TargetMode="External"/><Relationship Id="rId448" Type="http://schemas.openxmlformats.org/officeDocument/2006/relationships/hyperlink" Target="https://drive.google.com/drive/folders/1lhMIp6aYSl07Q5gymnCaAzpOl3qXEjcH?usp=drive_link" TargetMode="External"/><Relationship Id="rId205" Type="http://schemas.openxmlformats.org/officeDocument/2006/relationships/hyperlink" Target="https://drive.google.com/drive/folders/1qU9mt4bwtwK41HCg94N-eu1F0QKulAWm?usp=drive_link" TargetMode="External"/><Relationship Id="rId326" Type="http://schemas.openxmlformats.org/officeDocument/2006/relationships/hyperlink" Target="https://drive.google.com/drive/folders/1G29jYXfz2ZynzVx04XhZ7qhDwUH5g3I7?usp=drive_link" TargetMode="External"/><Relationship Id="rId447" Type="http://schemas.openxmlformats.org/officeDocument/2006/relationships/hyperlink" Target="https://drive.google.com/drive/folders/1bSlfTkcQpqmHzSiybGv1irHW-6Fj62oB?usp=drive_link" TargetMode="External"/><Relationship Id="rId204" Type="http://schemas.openxmlformats.org/officeDocument/2006/relationships/hyperlink" Target="https://drive.google.com/drive/folders/1GR1s8_EF0AFeSE5RKFHVh7Vl3XGPs2IG?usp=drive_link" TargetMode="External"/><Relationship Id="rId325" Type="http://schemas.openxmlformats.org/officeDocument/2006/relationships/hyperlink" Target="https://drive.google.com/drive/folders/1qUsNU723QSKn1Fh8cnBSQJ7a6-rLLaBc?usp=drive_link" TargetMode="External"/><Relationship Id="rId446" Type="http://schemas.openxmlformats.org/officeDocument/2006/relationships/hyperlink" Target="https://drive.google.com/drive/folders/1Wk9VmyvxJuadIAKF98XMDBxiONaqZXol?usp=drive_link" TargetMode="External"/><Relationship Id="rId203" Type="http://schemas.openxmlformats.org/officeDocument/2006/relationships/hyperlink" Target="https://drive.google.com/drive/folders/1UGTQuRFi6DouvwNuw1gugBrH0QvxksJ_?usp=drive_link" TargetMode="External"/><Relationship Id="rId324" Type="http://schemas.openxmlformats.org/officeDocument/2006/relationships/hyperlink" Target="https://drive.google.com/drive/folders/1dYrOuoZqJRQgACiGj_UDXBAlijSd2AFA?usp=drive_link" TargetMode="External"/><Relationship Id="rId445" Type="http://schemas.openxmlformats.org/officeDocument/2006/relationships/hyperlink" Target="https://drive.google.com/drive/folders/1wEKogw9QV-sGl1egkbWPUNxg2yw4VT2s?usp=drive_link" TargetMode="External"/><Relationship Id="rId209" Type="http://schemas.openxmlformats.org/officeDocument/2006/relationships/hyperlink" Target="https://drive.google.com/drive/folders/1gTIkvp7Jh0SWVsNEQzc6fJ-BE5c7UYch?usp=drive_link" TargetMode="External"/><Relationship Id="rId208" Type="http://schemas.openxmlformats.org/officeDocument/2006/relationships/hyperlink" Target="https://drive.google.com/drive/folders/1T1CPwerlxpy4yPrw4nNifk4Q2IdEYXLx?usp=drive_link" TargetMode="External"/><Relationship Id="rId329" Type="http://schemas.openxmlformats.org/officeDocument/2006/relationships/hyperlink" Target="https://drive.google.com/drive/folders/1p1Ygy38ZK2kb5BWwp9NljfNtmXq8Cklo?usp=drive_link" TargetMode="External"/><Relationship Id="rId207" Type="http://schemas.openxmlformats.org/officeDocument/2006/relationships/hyperlink" Target="https://drive.google.com/drive/folders/11e_QfJWSR89y7lGKxEhRCX5LMQXjYu5r?usp=drive_link" TargetMode="External"/><Relationship Id="rId328" Type="http://schemas.openxmlformats.org/officeDocument/2006/relationships/hyperlink" Target="https://drive.google.com/drive/folders/1Me4TJHFwHgxB-f_axduina5atnFo40UT?usp=drive_link" TargetMode="External"/><Relationship Id="rId449" Type="http://schemas.openxmlformats.org/officeDocument/2006/relationships/hyperlink" Target="https://drive.google.com/drive/folders/1G_0bNFXnfI6fZoPZsxtHj7uPH-FXmDU6?usp=drive_link" TargetMode="External"/><Relationship Id="rId440" Type="http://schemas.openxmlformats.org/officeDocument/2006/relationships/hyperlink" Target="https://drive.google.com/drive/folders/1uiSKxOqfbjLiK2lGavdexJuKUeMfSUVk?usp=drive_link" TargetMode="External"/><Relationship Id="rId202" Type="http://schemas.openxmlformats.org/officeDocument/2006/relationships/hyperlink" Target="https://drive.google.com/drive/folders/1bgeLIcyFUm0btkHHSaeLkW1RkFh8emiB?usp=drive_link" TargetMode="External"/><Relationship Id="rId323" Type="http://schemas.openxmlformats.org/officeDocument/2006/relationships/hyperlink" Target="https://drive.google.com/drive/folders/1FCfhLCq75k28Qo9xtqnC-Bu_kuzKMSg-?usp=drive_link" TargetMode="External"/><Relationship Id="rId444" Type="http://schemas.openxmlformats.org/officeDocument/2006/relationships/hyperlink" Target="https://drive.google.com/drive/folders/19__zUkcYnSPGbAMl0wJ6SYNDDQjitT8v?usp=drive_link" TargetMode="External"/><Relationship Id="rId201" Type="http://schemas.openxmlformats.org/officeDocument/2006/relationships/hyperlink" Target="https://drive.google.com/drive/folders/1GjtKfpp7dVIPWbTKkwMgE1mgAdzaJ0s5?usp=drive_link" TargetMode="External"/><Relationship Id="rId322" Type="http://schemas.openxmlformats.org/officeDocument/2006/relationships/hyperlink" Target="https://drive.google.com/drive/folders/1jxKXHENnbvas2L22FmEOKIrAw-OgRyel?usp=drive_link" TargetMode="External"/><Relationship Id="rId443" Type="http://schemas.openxmlformats.org/officeDocument/2006/relationships/hyperlink" Target="https://drive.google.com/drive/folders/1zovMhK3DNMTBu3dehDF3bPXghMPQVyvn?usp=drive_link" TargetMode="External"/><Relationship Id="rId200" Type="http://schemas.openxmlformats.org/officeDocument/2006/relationships/hyperlink" Target="https://drive.google.com/drive/folders/1faQ-df6PSt57_UZxylwS0jvmvU1auoEm?usp=drive_link" TargetMode="External"/><Relationship Id="rId321" Type="http://schemas.openxmlformats.org/officeDocument/2006/relationships/hyperlink" Target="https://drive.google.com/drive/folders/1HHbtfQyupCCnlJLf1ikqCj_qPSJFkx8K?usp=drive_link" TargetMode="External"/><Relationship Id="rId442" Type="http://schemas.openxmlformats.org/officeDocument/2006/relationships/hyperlink" Target="https://drive.google.com/drive/folders/1c2ibc31uihy6Y3YbtSw189BKJTPeSuZl?usp=drive_link" TargetMode="External"/><Relationship Id="rId320" Type="http://schemas.openxmlformats.org/officeDocument/2006/relationships/hyperlink" Target="https://drive.google.com/drive/folders/1SSgq8JqKr6RtVDbjkFZPN_CFAhYeTRh8?usp=drive_link" TargetMode="External"/><Relationship Id="rId441" Type="http://schemas.openxmlformats.org/officeDocument/2006/relationships/hyperlink" Target="https://drive.google.com/drive/folders/19caRmEOJ3DyFXG4y_H9-l5Bt1Xxn7rEN?usp=drive_link" TargetMode="External"/><Relationship Id="rId316" Type="http://schemas.openxmlformats.org/officeDocument/2006/relationships/hyperlink" Target="https://drive.google.com/drive/folders/1w35885AjbUJqIyUuRQg8O17y4RLnSPxN?usp=drive_link" TargetMode="External"/><Relationship Id="rId437" Type="http://schemas.openxmlformats.org/officeDocument/2006/relationships/hyperlink" Target="https://drive.google.com/drive/folders/1TIq-7VxHvWMVhpred3gdFyr5_0ZVHwwB?usp=drive_link" TargetMode="External"/><Relationship Id="rId315" Type="http://schemas.openxmlformats.org/officeDocument/2006/relationships/hyperlink" Target="https://drive.google.com/drive/folders/1JtSk3iRux2wT6WoTL5TT5UxCPywDLvMi?usp=drive_link" TargetMode="External"/><Relationship Id="rId436" Type="http://schemas.openxmlformats.org/officeDocument/2006/relationships/hyperlink" Target="https://drive.google.com/drive/folders/1ES4FkLwDety8otzKN_UIpcYephdYSpXK?usp=drive_link" TargetMode="External"/><Relationship Id="rId314" Type="http://schemas.openxmlformats.org/officeDocument/2006/relationships/hyperlink" Target="https://drive.google.com/drive/folders/1eNmOKBC9tM8FgISBrLowCwSrVKSJB74G?usp=drive_link" TargetMode="External"/><Relationship Id="rId435" Type="http://schemas.openxmlformats.org/officeDocument/2006/relationships/hyperlink" Target="https://drive.google.com/drive/folders/1olo1Y29eLwQkGur7imZ_lA8tja8wg9dN?usp=drive_link" TargetMode="External"/><Relationship Id="rId313" Type="http://schemas.openxmlformats.org/officeDocument/2006/relationships/hyperlink" Target="https://drive.google.com/drive/folders/1ZxW4S2f7qmJh7MxQz5t6qnCszIpOWpYE?usp=drive_link" TargetMode="External"/><Relationship Id="rId434" Type="http://schemas.openxmlformats.org/officeDocument/2006/relationships/hyperlink" Target="https://drive.google.com/drive/folders/1lzkzPPeQmwyq2x17iMkGZ3XrjtqQ9qDK?usp=drive_link" TargetMode="External"/><Relationship Id="rId319" Type="http://schemas.openxmlformats.org/officeDocument/2006/relationships/hyperlink" Target="https://drive.google.com/drive/folders/1OEFOzTTI07oOCTDj__4GnJhywIr4rkFN?usp=drive_link" TargetMode="External"/><Relationship Id="rId318" Type="http://schemas.openxmlformats.org/officeDocument/2006/relationships/hyperlink" Target="https://drive.google.com/drive/folders/1ZW6Qj34RYJbIzNGPBHKIItmBapqBHDfi?usp=drive_link" TargetMode="External"/><Relationship Id="rId439" Type="http://schemas.openxmlformats.org/officeDocument/2006/relationships/hyperlink" Target="https://drive.google.com/drive/folders/1lYd7-sGis3cXICyQsqpRQ2DmzAivDuK1?usp=drive_link" TargetMode="External"/><Relationship Id="rId317" Type="http://schemas.openxmlformats.org/officeDocument/2006/relationships/hyperlink" Target="https://drive.google.com/drive/folders/1TZSWlqQn4LI9JW7g3JYvqU4-WUn8zVN9?usp=drive_link" TargetMode="External"/><Relationship Id="rId438" Type="http://schemas.openxmlformats.org/officeDocument/2006/relationships/hyperlink" Target="https://drive.google.com/drive/folders/1ElrqTZaD-2vkiXErxy_og0rjtzORVpwL?usp=drive_link" TargetMode="External"/><Relationship Id="rId312" Type="http://schemas.openxmlformats.org/officeDocument/2006/relationships/hyperlink" Target="https://drive.google.com/drive/folders/1htJfqzwKxzAmFOLwJolEytMZOIAQ6HzP?usp=drive_link" TargetMode="External"/><Relationship Id="rId433" Type="http://schemas.openxmlformats.org/officeDocument/2006/relationships/hyperlink" Target="https://drive.google.com/drive/folders/1-baqtRbuRMjTnb1kuc5QcQ1rVreqnDi8?usp=drive_link" TargetMode="External"/><Relationship Id="rId311" Type="http://schemas.openxmlformats.org/officeDocument/2006/relationships/hyperlink" Target="https://drive.google.com/drive/folders/1dgE4FpRo7U8_5I6T7R2BM6Lxm13gqr-N?usp=drive_link" TargetMode="External"/><Relationship Id="rId432" Type="http://schemas.openxmlformats.org/officeDocument/2006/relationships/hyperlink" Target="https://drive.google.com/drive/folders/1QW63elQbloj7GooZRIYbdE8wPg8cerJ-?usp=drive_link" TargetMode="External"/><Relationship Id="rId310" Type="http://schemas.openxmlformats.org/officeDocument/2006/relationships/hyperlink" Target="https://drive.google.com/drive/folders/1YgB0YL6U0EQXGr0CQOdevTgAgwX7ezmu?usp=drive_link" TargetMode="External"/><Relationship Id="rId431" Type="http://schemas.openxmlformats.org/officeDocument/2006/relationships/hyperlink" Target="https://drive.google.com/drive/folders/1oMi4TAuxYT7d_ct-mfCdb-eozEFePPBW?usp=drive_link" TargetMode="External"/><Relationship Id="rId430" Type="http://schemas.openxmlformats.org/officeDocument/2006/relationships/hyperlink" Target="https://drive.google.com/drive/folders/1WsjgsUtVLjVy06HF4NRjrz24Q3hG5Kxn?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7.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8.xml"/><Relationship Id="rId5"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5.71"/>
    <col customWidth="1" min="2" max="2" width="15.0"/>
    <col customWidth="1" min="3" max="3" width="11.14"/>
    <col customWidth="1" min="4" max="4" width="11.71"/>
    <col customWidth="1" min="5" max="5" width="11.14"/>
    <col customWidth="1" min="6" max="6" width="13.57"/>
    <col customWidth="1" min="7" max="7" width="38.14"/>
    <col customWidth="1" min="8" max="8" width="25.0"/>
    <col customWidth="1" min="9" max="9" width="19.57"/>
    <col customWidth="1" min="10" max="10" width="8.86"/>
    <col customWidth="1" min="11" max="11" width="11.86"/>
    <col customWidth="1" min="12" max="12" width="14.29"/>
    <col customWidth="1" min="13" max="13" width="20.43"/>
    <col customWidth="1" min="14" max="14" width="16.29"/>
    <col customWidth="1" min="15" max="15" width="20.29"/>
    <col customWidth="1" min="16" max="16" width="17.43"/>
    <col customWidth="1" min="17" max="17" width="19.57"/>
    <col customWidth="1" min="18" max="18" width="12.14"/>
    <col customWidth="1" min="19" max="19" width="16.71"/>
    <col customWidth="1" min="20" max="20" width="13.0"/>
    <col customWidth="1" min="21" max="21" width="36.0"/>
    <col customWidth="1" min="22" max="22" width="10.43"/>
    <col customWidth="1" min="23" max="24" width="7.71"/>
    <col customWidth="1" min="25" max="25" width="5.71"/>
    <col customWidth="1" min="26" max="26" width="8.0"/>
    <col customWidth="1" min="27" max="27" width="10.43"/>
    <col customWidth="1" min="28" max="29" width="7.71"/>
    <col customWidth="1" min="30" max="30" width="7.86"/>
    <col customWidth="1" min="31" max="31" width="11.29"/>
    <col customWidth="1" min="32" max="32" width="10.86"/>
    <col customWidth="1" min="33" max="33" width="11.43"/>
    <col customWidth="1" min="34" max="34" width="8.0"/>
    <col customWidth="1" min="35" max="35" width="9.29"/>
    <col customWidth="1" min="36" max="36" width="9.71"/>
    <col customWidth="1" min="37" max="37" width="6.71"/>
    <col customWidth="1" min="38" max="38" width="7.71"/>
    <col customWidth="1" min="39" max="39" width="8.86"/>
    <col customWidth="1" min="40" max="40" width="9.0"/>
    <col customWidth="1" min="41" max="41" width="5.14"/>
    <col customWidth="1" min="42" max="42" width="6.86"/>
    <col customWidth="1" min="43" max="43" width="8.29"/>
    <col customWidth="1" min="44" max="44" width="9.0"/>
    <col customWidth="1" min="45" max="46" width="7.71"/>
    <col customWidth="1" min="47" max="47" width="7.29"/>
    <col customWidth="1" min="48" max="48" width="9.43"/>
    <col customWidth="1" min="49" max="49" width="12.43"/>
    <col customWidth="1" min="50" max="50" width="15.86"/>
    <col customWidth="1" min="51" max="51" width="14.86"/>
    <col customWidth="1" min="52" max="52" width="15.29"/>
    <col customWidth="1" min="53" max="53" width="16.14"/>
    <col customWidth="1" min="54" max="54" width="21.71"/>
    <col customWidth="1" min="55" max="57" width="25.29"/>
    <col customWidth="1" min="58" max="65" width="21.71"/>
  </cols>
  <sheetData>
    <row r="1" ht="55.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3"/>
      <c r="BL1" s="4"/>
      <c r="BM1" s="4"/>
    </row>
    <row r="2" ht="19.5" customHeight="1">
      <c r="A2" s="5" t="s">
        <v>1</v>
      </c>
      <c r="B2" s="2"/>
      <c r="C2" s="2"/>
      <c r="D2" s="3"/>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row>
    <row r="3">
      <c r="A3" s="9" t="s">
        <v>3</v>
      </c>
      <c r="B3" s="11" t="s">
        <v>6</v>
      </c>
      <c r="C3" s="13"/>
      <c r="D3" s="13"/>
      <c r="E3" s="15"/>
      <c r="G3" s="15"/>
      <c r="H3" s="15"/>
      <c r="I3" s="15"/>
      <c r="J3" s="17"/>
      <c r="K3" s="17"/>
      <c r="L3" s="17"/>
      <c r="M3" s="18"/>
      <c r="N3" s="18"/>
      <c r="O3" s="18"/>
      <c r="P3" s="18"/>
      <c r="Q3" s="18"/>
      <c r="R3" s="18"/>
      <c r="S3" s="18"/>
      <c r="T3" s="19"/>
      <c r="U3" s="20"/>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5"/>
      <c r="AY3" s="22"/>
      <c r="AZ3" s="22"/>
      <c r="BA3" s="19"/>
      <c r="BB3" s="25"/>
      <c r="BC3" s="25"/>
      <c r="BD3" s="25"/>
      <c r="BE3" s="25"/>
      <c r="BF3" s="19"/>
      <c r="BG3" s="13"/>
      <c r="BH3" s="13"/>
      <c r="BI3" s="13"/>
      <c r="BJ3" s="13"/>
      <c r="BK3" s="13"/>
      <c r="BL3" s="13"/>
      <c r="BM3" s="13"/>
    </row>
    <row r="4" ht="15.0" customHeight="1">
      <c r="A4" s="28" t="s">
        <v>17</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ht="22.5" customHeight="1">
      <c r="A5" s="7" t="s">
        <v>2</v>
      </c>
      <c r="B5" s="10" t="s">
        <v>4</v>
      </c>
      <c r="C5" s="14" t="s">
        <v>26</v>
      </c>
      <c r="D5" s="14" t="s">
        <v>29</v>
      </c>
      <c r="E5" s="14" t="s">
        <v>31</v>
      </c>
      <c r="F5" s="21" t="s">
        <v>10</v>
      </c>
      <c r="G5" s="21" t="s">
        <v>11</v>
      </c>
      <c r="H5" s="21" t="s">
        <v>12</v>
      </c>
      <c r="I5" s="21" t="s">
        <v>13</v>
      </c>
      <c r="J5" s="27" t="s">
        <v>15</v>
      </c>
      <c r="K5" s="27" t="s">
        <v>16</v>
      </c>
      <c r="L5" s="29" t="s">
        <v>18</v>
      </c>
      <c r="M5" s="44" t="s">
        <v>48</v>
      </c>
      <c r="N5" s="2"/>
      <c r="O5" s="2"/>
      <c r="P5" s="2"/>
      <c r="Q5" s="2"/>
      <c r="R5" s="2"/>
      <c r="S5" s="3"/>
      <c r="T5" s="45" t="s">
        <v>58</v>
      </c>
      <c r="U5" s="47" t="s">
        <v>67</v>
      </c>
      <c r="V5" s="51" t="s">
        <v>71</v>
      </c>
      <c r="W5" s="2"/>
      <c r="X5" s="2"/>
      <c r="Y5" s="2"/>
      <c r="Z5" s="3"/>
      <c r="AA5" s="51" t="s">
        <v>57</v>
      </c>
      <c r="AB5" s="2"/>
      <c r="AC5" s="2"/>
      <c r="AD5" s="2"/>
      <c r="AE5" s="3"/>
      <c r="AF5" s="51" t="s">
        <v>76</v>
      </c>
      <c r="AG5" s="2"/>
      <c r="AH5" s="2"/>
      <c r="AI5" s="2"/>
      <c r="AJ5" s="3"/>
      <c r="AK5" s="51" t="s">
        <v>83</v>
      </c>
      <c r="AL5" s="2"/>
      <c r="AM5" s="2"/>
      <c r="AN5" s="3"/>
      <c r="AO5" s="51" t="s">
        <v>86</v>
      </c>
      <c r="AP5" s="2"/>
      <c r="AQ5" s="2"/>
      <c r="AR5" s="3"/>
      <c r="AS5" s="51" t="s">
        <v>64</v>
      </c>
      <c r="AT5" s="2"/>
      <c r="AU5" s="2"/>
      <c r="AV5" s="2"/>
      <c r="AW5" s="3"/>
      <c r="AX5" s="57" t="s">
        <v>97</v>
      </c>
      <c r="AY5" s="51" t="s">
        <v>102</v>
      </c>
      <c r="AZ5" s="3"/>
      <c r="BA5" s="55" t="s">
        <v>105</v>
      </c>
      <c r="BB5" s="57" t="s">
        <v>108</v>
      </c>
      <c r="BC5" s="59" t="s">
        <v>111</v>
      </c>
      <c r="BD5" s="59" t="s">
        <v>114</v>
      </c>
      <c r="BE5" s="59" t="s">
        <v>116</v>
      </c>
      <c r="BF5" s="45" t="s">
        <v>119</v>
      </c>
      <c r="BG5" s="55" t="s">
        <v>122</v>
      </c>
      <c r="BH5" s="55" t="s">
        <v>19</v>
      </c>
      <c r="BI5" s="55" t="s">
        <v>127</v>
      </c>
      <c r="BJ5" s="55" t="s">
        <v>20</v>
      </c>
      <c r="BK5" s="55" t="s">
        <v>131</v>
      </c>
      <c r="BL5" s="65"/>
      <c r="BM5" s="55" t="s">
        <v>21</v>
      </c>
    </row>
    <row r="6" ht="57.75" customHeight="1">
      <c r="A6" s="56"/>
      <c r="B6" s="42"/>
      <c r="C6" s="56"/>
      <c r="D6" s="56"/>
      <c r="E6" s="56"/>
      <c r="F6" s="56"/>
      <c r="G6" s="56"/>
      <c r="H6" s="56"/>
      <c r="I6" s="56"/>
      <c r="J6" s="56"/>
      <c r="K6" s="56"/>
      <c r="L6" s="56"/>
      <c r="M6" s="68" t="s">
        <v>133</v>
      </c>
      <c r="N6" s="70" t="s">
        <v>134</v>
      </c>
      <c r="O6" s="72" t="s">
        <v>135</v>
      </c>
      <c r="P6" s="72" t="s">
        <v>134</v>
      </c>
      <c r="Q6" s="73" t="s">
        <v>136</v>
      </c>
      <c r="R6" s="72" t="s">
        <v>134</v>
      </c>
      <c r="S6" s="72" t="s">
        <v>137</v>
      </c>
      <c r="T6" s="56"/>
      <c r="U6" s="56"/>
      <c r="V6" s="76" t="s">
        <v>138</v>
      </c>
      <c r="W6" s="76" t="s">
        <v>139</v>
      </c>
      <c r="X6" s="76" t="s">
        <v>140</v>
      </c>
      <c r="Y6" s="76" t="s">
        <v>141</v>
      </c>
      <c r="Z6" s="78" t="s">
        <v>142</v>
      </c>
      <c r="AA6" s="76" t="s">
        <v>138</v>
      </c>
      <c r="AB6" s="76" t="s">
        <v>139</v>
      </c>
      <c r="AC6" s="76" t="s">
        <v>140</v>
      </c>
      <c r="AD6" s="76" t="s">
        <v>141</v>
      </c>
      <c r="AE6" s="78" t="s">
        <v>142</v>
      </c>
      <c r="AF6" s="76" t="s">
        <v>138</v>
      </c>
      <c r="AG6" s="76" t="s">
        <v>139</v>
      </c>
      <c r="AH6" s="76" t="s">
        <v>140</v>
      </c>
      <c r="AI6" s="76" t="s">
        <v>143</v>
      </c>
      <c r="AJ6" s="78" t="s">
        <v>142</v>
      </c>
      <c r="AK6" s="76" t="s">
        <v>138</v>
      </c>
      <c r="AL6" s="76" t="s">
        <v>139</v>
      </c>
      <c r="AM6" s="76" t="s">
        <v>140</v>
      </c>
      <c r="AN6" s="78" t="s">
        <v>142</v>
      </c>
      <c r="AO6" s="76" t="s">
        <v>138</v>
      </c>
      <c r="AP6" s="76" t="s">
        <v>139</v>
      </c>
      <c r="AQ6" s="76" t="s">
        <v>140</v>
      </c>
      <c r="AR6" s="78" t="s">
        <v>142</v>
      </c>
      <c r="AS6" s="76" t="s">
        <v>138</v>
      </c>
      <c r="AT6" s="76" t="s">
        <v>139</v>
      </c>
      <c r="AU6" s="76" t="s">
        <v>140</v>
      </c>
      <c r="AV6" s="76" t="s">
        <v>143</v>
      </c>
      <c r="AW6" s="78" t="s">
        <v>142</v>
      </c>
      <c r="AX6" s="56"/>
      <c r="AY6" s="80" t="s">
        <v>144</v>
      </c>
      <c r="AZ6" s="80" t="s">
        <v>145</v>
      </c>
      <c r="BA6" s="42"/>
      <c r="BB6" s="42"/>
      <c r="BC6" s="42"/>
      <c r="BD6" s="42"/>
      <c r="BE6" s="42"/>
      <c r="BF6" s="42"/>
      <c r="BG6" s="42"/>
      <c r="BH6" s="42"/>
      <c r="BI6" s="42"/>
      <c r="BJ6" s="42"/>
      <c r="BK6" s="42"/>
      <c r="BL6" s="65"/>
      <c r="BM6" s="42"/>
    </row>
    <row r="7">
      <c r="A7" s="66"/>
      <c r="B7" s="67"/>
      <c r="C7" s="69"/>
      <c r="D7" s="71"/>
      <c r="E7" s="71"/>
      <c r="F7" s="71"/>
      <c r="G7" s="71"/>
      <c r="H7" s="71"/>
      <c r="I7" s="74"/>
      <c r="J7" s="77"/>
      <c r="K7" s="77"/>
      <c r="L7" s="77"/>
      <c r="M7" s="86"/>
      <c r="N7" s="86"/>
      <c r="O7" s="86"/>
      <c r="P7" s="86"/>
      <c r="Q7" s="86"/>
      <c r="R7" s="86"/>
      <c r="S7" s="86"/>
      <c r="T7" s="86"/>
      <c r="U7" s="87"/>
      <c r="V7" s="87"/>
      <c r="W7" s="87"/>
      <c r="X7" s="87"/>
      <c r="Y7" s="87"/>
      <c r="Z7" s="89"/>
      <c r="AA7" s="87"/>
      <c r="AB7" s="87"/>
      <c r="AC7" s="87"/>
      <c r="AD7" s="87"/>
      <c r="AE7" s="89"/>
      <c r="AF7" s="87"/>
      <c r="AG7" s="87"/>
      <c r="AH7" s="87"/>
      <c r="AI7" s="87"/>
      <c r="AJ7" s="89"/>
      <c r="AK7" s="87"/>
      <c r="AL7" s="87"/>
      <c r="AM7" s="87"/>
      <c r="AN7" s="89"/>
      <c r="AO7" s="87"/>
      <c r="AP7" s="87"/>
      <c r="AQ7" s="87"/>
      <c r="AR7" s="87"/>
      <c r="AS7" s="87"/>
      <c r="AT7" s="87"/>
      <c r="AU7" s="87"/>
      <c r="AV7" s="89"/>
      <c r="AW7" s="89"/>
      <c r="AX7" s="90"/>
      <c r="AY7" s="80"/>
      <c r="AZ7" s="80"/>
      <c r="BA7" s="92"/>
      <c r="BB7" s="93"/>
      <c r="BC7" s="93"/>
      <c r="BD7" s="96" t="s">
        <v>153</v>
      </c>
      <c r="BE7" s="97"/>
      <c r="BF7" s="92"/>
      <c r="BG7" s="92"/>
      <c r="BH7" s="65"/>
      <c r="BI7" s="65"/>
      <c r="BJ7" s="65"/>
      <c r="BK7" s="65"/>
      <c r="BL7" s="65"/>
      <c r="BM7" s="65"/>
    </row>
    <row r="8">
      <c r="A8" s="81" t="s">
        <v>130</v>
      </c>
      <c r="B8" s="82" t="s">
        <v>146</v>
      </c>
      <c r="C8" s="83" t="s">
        <v>68</v>
      </c>
      <c r="D8" s="84">
        <v>1125747.0</v>
      </c>
      <c r="E8" s="82"/>
      <c r="F8" s="82">
        <v>2.9057809E7</v>
      </c>
      <c r="G8" s="91" t="s">
        <v>147</v>
      </c>
      <c r="H8" s="91" t="s">
        <v>148</v>
      </c>
      <c r="I8" s="82" t="s">
        <v>149</v>
      </c>
      <c r="J8" s="82" t="s">
        <v>150</v>
      </c>
      <c r="K8" s="82" t="s">
        <v>151</v>
      </c>
      <c r="L8" s="94" t="s">
        <v>152</v>
      </c>
      <c r="M8" s="82" t="str">
        <f>IFERROR(__xludf.DUMMYFUNCTION("(VLOOKUP(D8,
IMPORTRANGE(""https://docs.google.com/spreadsheets/d/1MjHtlUikwobi2MaWJgy7tfLeBmhj1u-dRFRs_8GwSoA/edit#gid=0"",""Gestores Escolares!D7:J""),3,0))"),"AURIVAN OLIVEIRA DE SOUZA")</f>
        <v>AURIVAN OLIVEIRA DE SOUZA</v>
      </c>
      <c r="N8" s="82" t="str">
        <f>IFERROR(__xludf.DUMMYFUNCTION("IFERROR(VLOOKUP(D8,
IMPORTRANGE(""https://docs.google.com/spreadsheets/d/1MjHtlUikwobi2MaWJgy7tfLeBmhj1u-dRFRs_8GwSoA/edit#gid=0"",""Gestores Escolares!D7:J""),4,0),""VERIFICAR CÓD SEC"")"),"(74) 9 9922-7133")</f>
        <v>(74) 9 9922-7133</v>
      </c>
      <c r="O8" s="82" t="str">
        <f>IFERROR(__xludf.DUMMYFUNCTION("IFERROR(VLOOKUP(D8,
IMPORTRANGE(""https://docs.google.com/spreadsheets/d/1MjHtlUikwobi2MaWJgy7tfLeBmhj1u-dRFRs_8GwSoA/edit#gid=0"",""Gestores Escolares!D7:J""),6,0),""VERIFICAR CÓD SEC"")"),"LUCAS BORGES DOS SANTOS")</f>
        <v>LUCAS BORGES DOS SANTOS</v>
      </c>
      <c r="P8" s="82" t="str">
        <f>IFERROR(__xludf.DUMMYFUNCTION("IFERROR(VLOOKUP(D8,
IMPORTRANGE(""https://docs.google.com/spreadsheets/d/1MjHtlUikwobi2MaWJgy7tfLeBmhj1u-dRFRs_8GwSoA/edit#gid=0"",""Gestores Escolares!D7:J""),7,0),""VERIFICAR CÓD SEC"")"),"(74) 9 9816-6696")</f>
        <v>(74) 9 9816-6696</v>
      </c>
      <c r="Q8" s="82" t="str">
        <f>IFERROR(__xludf.DUMMYFUNCTION("IFERROR(VLOOKUP(D8,
IMPORTRANGE(""https://docs.google.com/spreadsheets/d/1MjHtlUikwobi2MaWJgy7tfLeBmhj1u-dRFRs_8GwSoA/edit#gid=0"",""Gestores Escolares!D7:m""),9,0),""VERIFICAR CÓD SEC"")"),"")</f>
        <v/>
      </c>
      <c r="R8" s="82" t="str">
        <f>IFERROR(__xludf.DUMMYFUNCTION("IFERROR(VLOOKUP(D8,
IMPORTRANGE(""https://docs.google.com/spreadsheets/d/1MjHtlUikwobi2MaWJgy7tfLeBmhj1u-dRFRs_8GwSoA/edit#gid=0"",""Gestores Escolares!D7:m""),10,0),""VERIFICAR CÓD SEC"")"),"")</f>
        <v/>
      </c>
      <c r="S8" s="82"/>
      <c r="T8" s="104">
        <v>8.0</v>
      </c>
      <c r="U8" s="105">
        <v>8.0</v>
      </c>
      <c r="V8" s="106">
        <v>0.0</v>
      </c>
      <c r="W8" s="107">
        <v>0.0</v>
      </c>
      <c r="X8" s="107">
        <v>0.0</v>
      </c>
      <c r="Y8" s="107">
        <v>0.0</v>
      </c>
      <c r="Z8" s="80">
        <f t="shared" ref="Z8:Z1696" si="1">SUM(V8:Y8)</f>
        <v>0</v>
      </c>
      <c r="AA8" s="107">
        <v>0.0</v>
      </c>
      <c r="AB8" s="107">
        <v>0.0</v>
      </c>
      <c r="AC8" s="107">
        <v>0.0</v>
      </c>
      <c r="AD8" s="107">
        <v>0.0</v>
      </c>
      <c r="AE8" s="80">
        <f t="shared" ref="AE8:AE1696" si="2">SUM(AA8:AD8)</f>
        <v>0</v>
      </c>
      <c r="AF8" s="109">
        <v>183.0</v>
      </c>
      <c r="AG8" s="109">
        <v>172.0</v>
      </c>
      <c r="AH8" s="109">
        <v>0.0</v>
      </c>
      <c r="AI8" s="109">
        <v>0.0</v>
      </c>
      <c r="AJ8" s="80">
        <f t="shared" ref="AJ8:AJ1696" si="3">SUM(AF8:AI8)</f>
        <v>355</v>
      </c>
      <c r="AK8" s="109">
        <v>0.0</v>
      </c>
      <c r="AL8" s="109">
        <v>0.0</v>
      </c>
      <c r="AM8" s="109">
        <v>0.0</v>
      </c>
      <c r="AN8" s="80">
        <f t="shared" ref="AN8:AN1696" si="4">SUM(AK8:AM8)</f>
        <v>0</v>
      </c>
      <c r="AO8" s="109">
        <v>0.0</v>
      </c>
      <c r="AP8" s="109">
        <v>0.0</v>
      </c>
      <c r="AQ8" s="109">
        <v>74.0</v>
      </c>
      <c r="AR8" s="80">
        <f t="shared" ref="AR8:AR1696" si="5">SUM(AO8:AQ8)</f>
        <v>74</v>
      </c>
      <c r="AS8" s="110">
        <v>0.0</v>
      </c>
      <c r="AT8" s="110">
        <v>0.0</v>
      </c>
      <c r="AU8" s="110">
        <v>32.0</v>
      </c>
      <c r="AV8" s="110">
        <v>0.0</v>
      </c>
      <c r="AW8" s="80">
        <f t="shared" ref="AW8:AW1696" si="6">SUM(AS8:AV8)</f>
        <v>32</v>
      </c>
      <c r="AX8" s="113">
        <f t="shared" ref="AX8:AX1696" si="7">SUM(AY8:AZ8)</f>
        <v>461</v>
      </c>
      <c r="AY8" s="117">
        <f t="shared" ref="AY8:AY1696" si="8">SUM(AV8,AT8,AS8,AP8,AO8,AL8,AK8,AI8,AG8,AF8,AD8,AB8,AA8,Y8,W8,V8)</f>
        <v>355</v>
      </c>
      <c r="AZ8" s="120">
        <f t="shared" ref="AZ8:AZ1696" si="9">SUM(AU8,AQ8,AM8,AH8,AC8,X8)</f>
        <v>106</v>
      </c>
      <c r="BA8" s="115">
        <v>0.0</v>
      </c>
      <c r="BB8" s="89">
        <f t="shared" ref="BB8:BB1696" si="10">SUM(AX8+BA8)</f>
        <v>461</v>
      </c>
      <c r="BC8" s="122" t="s">
        <v>177</v>
      </c>
      <c r="BD8" s="122" t="s">
        <v>178</v>
      </c>
      <c r="BE8" s="122" t="s">
        <v>178</v>
      </c>
      <c r="BF8" s="123"/>
      <c r="BG8" s="83">
        <v>1125747.0</v>
      </c>
      <c r="BH8" s="98" t="s">
        <v>154</v>
      </c>
      <c r="BI8" s="112">
        <v>8.0</v>
      </c>
      <c r="BJ8" s="98" t="s">
        <v>155</v>
      </c>
      <c r="BK8" s="99">
        <f t="shared" ref="BK8:BK1696" si="11">Y8+AD8+AI8+AV8</f>
        <v>0</v>
      </c>
      <c r="BL8" s="99">
        <f t="shared" ref="BL8:BL1696" si="12">V8+W8+AA8+AB8+AF8+AG8+AK8+AL8+AO8+AP8+AS8+AT8</f>
        <v>355</v>
      </c>
      <c r="BM8" s="99" t="str">
        <f>IFERROR(__xludf.DUMMYFUNCTION("IFERROR(VLOOKUP(BG8,IMPORTRANGE(""https://docs.google.com/spreadsheets/d/1juPI-Fb8LD0YtltB2mlGEnp_R3UVu1t3wSFPzgCyHXE/edit?gid=0#gid=0"",""GERAL!A2:C""),3,0),""-"")"),"-")</f>
        <v>-</v>
      </c>
    </row>
    <row r="9">
      <c r="A9" s="81" t="s">
        <v>130</v>
      </c>
      <c r="B9" s="82" t="s">
        <v>146</v>
      </c>
      <c r="C9" s="82" t="s">
        <v>68</v>
      </c>
      <c r="D9" s="98">
        <v>1179795.0</v>
      </c>
      <c r="E9" s="94" t="s">
        <v>158</v>
      </c>
      <c r="F9" s="94">
        <v>2.9488974E7</v>
      </c>
      <c r="G9" s="126" t="s">
        <v>159</v>
      </c>
      <c r="H9" s="108" t="s">
        <v>160</v>
      </c>
      <c r="I9" s="83" t="s">
        <v>149</v>
      </c>
      <c r="J9" s="83"/>
      <c r="K9" s="82" t="s">
        <v>151</v>
      </c>
      <c r="L9" s="94" t="s">
        <v>152</v>
      </c>
      <c r="M9" s="82" t="str">
        <f>IFERROR(__xludf.DUMMYFUNCTION("IFERROR(VLOOKUP(D9,
IMPORTRANGE(""https://docs.google.com/spreadsheets/d/1MjHtlUikwobi2MaWJgy7tfLeBmhj1u-dRFRs_8GwSoA/edit#gid=0"",""Gestores Escolares!D7:J""),3,0),""VERIFICAR CÓD SEC"")"),"ARIVONE MARIA DA SILVA SANTOS ")</f>
        <v>ARIVONE MARIA DA SILVA SANTOS </v>
      </c>
      <c r="N9" s="82" t="str">
        <f>IFERROR(__xludf.DUMMYFUNCTION("IFERROR(VLOOKUP(D9,
IMPORTRANGE(""https://docs.google.com/spreadsheets/d/1MjHtlUikwobi2MaWJgy7tfLeBmhj1u-dRFRs_8GwSoA/edit#gid=0"",""Gestores Escolares!D7:J""),4,0),""VERIFICAR CÓD SEC"")"),"(74) 9 8836-0537/ 
9 9925-8934 (ZAP)")</f>
        <v>(74) 9 8836-0537/ 
9 9925-8934 (ZAP)</v>
      </c>
      <c r="O9" s="82" t="str">
        <f>IFERROR(__xludf.DUMMYFUNCTION("IFERROR(VLOOKUP(D9,
IMPORTRANGE(""https://docs.google.com/spreadsheets/d/1MjHtlUikwobi2MaWJgy7tfLeBmhj1u-dRFRs_8GwSoA/edit#gid=0"",""Gestores Escolares!D7:J""),6,0),""VERIFICAR CÓD SEC"")"),"RODRIGO SILVA DE OLIVEIRA")</f>
        <v>RODRIGO SILVA DE OLIVEIRA</v>
      </c>
      <c r="P9" s="82" t="str">
        <f>IFERROR(__xludf.DUMMYFUNCTION("IFERROR(VLOOKUP(D9,
IMPORTRANGE(""https://docs.google.com/spreadsheets/d/1MjHtlUikwobi2MaWJgy7tfLeBmhj1u-dRFRs_8GwSoA/edit#gid=0"",""Gestores Escolares!D7:J""),7,0),""VERIFICAR CÓD SEC"")"),"(74) 9 9996-0577")</f>
        <v>(74) 9 9996-0577</v>
      </c>
      <c r="Q9" s="82" t="str">
        <f>IFERROR(__xludf.DUMMYFUNCTION("IFERROR(VLOOKUP(D9,
IMPORTRANGE(""https://docs.google.com/spreadsheets/d/1MjHtlUikwobi2MaWJgy7tfLeBmhj1u-dRFRs_8GwSoA/edit#gid=0"",""Gestores Escolares!D7:m""),9,0),""VERIFICAR CÓD SEC"")"),"")</f>
        <v/>
      </c>
      <c r="R9" s="82" t="str">
        <f>IFERROR(__xludf.DUMMYFUNCTION("IFERROR(VLOOKUP(D9,
IMPORTRANGE(""https://docs.google.com/spreadsheets/d/1MjHtlUikwobi2MaWJgy7tfLeBmhj1u-dRFRs_8GwSoA/edit#gid=0"",""Gestores Escolares!D7:m""),10,0),""VERIFICAR CÓD SEC"")"),"")</f>
        <v/>
      </c>
      <c r="S9" s="82"/>
      <c r="T9" s="129">
        <v>12.0</v>
      </c>
      <c r="U9" s="130">
        <v>12.0</v>
      </c>
      <c r="V9" s="106">
        <v>0.0</v>
      </c>
      <c r="W9" s="107">
        <v>0.0</v>
      </c>
      <c r="X9" s="107">
        <v>0.0</v>
      </c>
      <c r="Y9" s="107">
        <v>0.0</v>
      </c>
      <c r="Z9" s="80">
        <f t="shared" si="1"/>
        <v>0</v>
      </c>
      <c r="AA9" s="106">
        <v>0.0</v>
      </c>
      <c r="AB9" s="107">
        <v>0.0</v>
      </c>
      <c r="AC9" s="107">
        <v>0.0</v>
      </c>
      <c r="AD9" s="107">
        <v>0.0</v>
      </c>
      <c r="AE9" s="80">
        <f t="shared" si="2"/>
        <v>0</v>
      </c>
      <c r="AF9" s="109">
        <v>104.0</v>
      </c>
      <c r="AG9" s="109">
        <v>0.0</v>
      </c>
      <c r="AH9" s="109">
        <v>0.0</v>
      </c>
      <c r="AI9" s="109">
        <v>211.0</v>
      </c>
      <c r="AJ9" s="80">
        <f t="shared" si="3"/>
        <v>315</v>
      </c>
      <c r="AK9" s="109">
        <v>0.0</v>
      </c>
      <c r="AL9" s="109">
        <v>0.0</v>
      </c>
      <c r="AM9" s="109">
        <v>0.0</v>
      </c>
      <c r="AN9" s="80">
        <f t="shared" si="4"/>
        <v>0</v>
      </c>
      <c r="AO9" s="109">
        <v>0.0</v>
      </c>
      <c r="AP9" s="109">
        <v>0.0</v>
      </c>
      <c r="AQ9" s="109">
        <v>58.0</v>
      </c>
      <c r="AR9" s="80">
        <f t="shared" si="5"/>
        <v>58</v>
      </c>
      <c r="AS9" s="110">
        <v>0.0</v>
      </c>
      <c r="AT9" s="110">
        <v>0.0</v>
      </c>
      <c r="AU9" s="110">
        <v>0.0</v>
      </c>
      <c r="AV9" s="110">
        <v>0.0</v>
      </c>
      <c r="AW9" s="80">
        <f t="shared" si="6"/>
        <v>0</v>
      </c>
      <c r="AX9" s="113">
        <f t="shared" si="7"/>
        <v>373</v>
      </c>
      <c r="AY9" s="117">
        <f t="shared" si="8"/>
        <v>315</v>
      </c>
      <c r="AZ9" s="120">
        <f t="shared" si="9"/>
        <v>58</v>
      </c>
      <c r="BA9" s="131">
        <v>0.0</v>
      </c>
      <c r="BB9" s="89">
        <f t="shared" si="10"/>
        <v>373</v>
      </c>
      <c r="BC9" s="132"/>
      <c r="BD9" s="132"/>
      <c r="BE9" s="132"/>
      <c r="BF9" s="133"/>
      <c r="BG9" s="98">
        <v>1179795.0</v>
      </c>
      <c r="BH9" s="98" t="s">
        <v>161</v>
      </c>
      <c r="BI9" s="98">
        <v>12.0</v>
      </c>
      <c r="BJ9" s="98" t="s">
        <v>162</v>
      </c>
      <c r="BK9" s="99">
        <f t="shared" si="11"/>
        <v>211</v>
      </c>
      <c r="BL9" s="99">
        <f t="shared" si="12"/>
        <v>104</v>
      </c>
      <c r="BM9" s="99" t="str">
        <f>IFERROR(__xludf.DUMMYFUNCTION("IFERROR(VLOOKUP(BG9,IMPORTRANGE(""https://docs.google.com/spreadsheets/d/1juPI-Fb8LD0YtltB2mlGEnp_R3UVu1t3wSFPzgCyHXE/edit?gid=0#gid=0"",""GERAL!A2:C""),3,0),""-"")"),"-")</f>
        <v>-</v>
      </c>
    </row>
    <row r="10">
      <c r="A10" s="111" t="s">
        <v>130</v>
      </c>
      <c r="B10" s="83" t="s">
        <v>146</v>
      </c>
      <c r="C10" s="83" t="s">
        <v>164</v>
      </c>
      <c r="D10" s="112">
        <v>1179281.0</v>
      </c>
      <c r="E10" s="83">
        <v>1178787.0</v>
      </c>
      <c r="F10" s="98">
        <v>2.9459141E7</v>
      </c>
      <c r="G10" s="114" t="s">
        <v>165</v>
      </c>
      <c r="H10" s="91" t="s">
        <v>166</v>
      </c>
      <c r="I10" s="83" t="s">
        <v>149</v>
      </c>
      <c r="J10" s="83" t="s">
        <v>167</v>
      </c>
      <c r="K10" s="83" t="s">
        <v>168</v>
      </c>
      <c r="L10" s="83" t="s">
        <v>169</v>
      </c>
      <c r="M10" s="82" t="str">
        <f>IFERROR(__xludf.DUMMYFUNCTION("IFERROR(VLOOKUP(D10,
IMPORTRANGE(""https://docs.google.com/spreadsheets/d/1MjHtlUikwobi2MaWJgy7tfLeBmhj1u-dRFRs_8GwSoA/edit#gid=0"",""Gestores Escolares!D7:J""),3,0),""VERIFICAR CÓD SEC"")"),"MARCOS PAULO DA SILVA ALMEIDA")</f>
        <v>MARCOS PAULO DA SILVA ALMEIDA</v>
      </c>
      <c r="N10" s="82" t="str">
        <f>IFERROR(__xludf.DUMMYFUNCTION("IFERROR(VLOOKUP(D10,
IMPORTRANGE(""https://docs.google.com/spreadsheets/d/1MjHtlUikwobi2MaWJgy7tfLeBmhj1u-dRFRs_8GwSoA/edit#gid=0"",""Gestores Escolares!D7:J""),4,0),""VERIFICAR CÓD SEC"")"),"(74) 9 9998-8112")</f>
        <v>(74) 9 9998-8112</v>
      </c>
      <c r="O10" s="82" t="str">
        <f>IFERROR(__xludf.DUMMYFUNCTION("IFERROR(VLOOKUP(D10,
IMPORTRANGE(""https://docs.google.com/spreadsheets/d/1MjHtlUikwobi2MaWJgy7tfLeBmhj1u-dRFRs_8GwSoA/edit#gid=0"",""Gestores Escolares!D7:J""),6,0),""VERIFICAR CÓD SEC"")"),"FERNANDA MIRANDA CAMPOS")</f>
        <v>FERNANDA MIRANDA CAMPOS</v>
      </c>
      <c r="P10" s="82" t="str">
        <f>IFERROR(__xludf.DUMMYFUNCTION("IFERROR(VLOOKUP(D10,
IMPORTRANGE(""https://docs.google.com/spreadsheets/d/1MjHtlUikwobi2MaWJgy7tfLeBmhj1u-dRFRs_8GwSoA/edit#gid=0"",""Gestores Escolares!D7:J""),7,0),""VERIFICAR CÓD SEC"")"),"(74) 9 9963-4717")</f>
        <v>(74) 9 9963-4717</v>
      </c>
      <c r="Q10" s="82" t="str">
        <f>IFERROR(__xludf.DUMMYFUNCTION("IFERROR(VLOOKUP(D10,
IMPORTRANGE(""https://docs.google.com/spreadsheets/d/1MjHtlUikwobi2MaWJgy7tfLeBmhj1u-dRFRs_8GwSoA/edit#gid=0"",""Gestores Escolares!D7:m""),9,0),""VERIFICAR CÓD SEC"")"),"")</f>
        <v/>
      </c>
      <c r="R10" s="82" t="str">
        <f>IFERROR(__xludf.DUMMYFUNCTION("IFERROR(VLOOKUP(D10,
IMPORTRANGE(""https://docs.google.com/spreadsheets/d/1MjHtlUikwobi2MaWJgy7tfLeBmhj1u-dRFRs_8GwSoA/edit#gid=0"",""Gestores Escolares!D7:m""),10,0),""VERIFICAR CÓD SEC"")"),"")</f>
        <v/>
      </c>
      <c r="S10" s="82"/>
      <c r="T10" s="138">
        <v>3.0</v>
      </c>
      <c r="U10" s="139">
        <v>3.0</v>
      </c>
      <c r="V10" s="106">
        <v>0.0</v>
      </c>
      <c r="W10" s="107">
        <v>0.0</v>
      </c>
      <c r="X10" s="107">
        <v>0.0</v>
      </c>
      <c r="Y10" s="107">
        <v>0.0</v>
      </c>
      <c r="Z10" s="80">
        <f t="shared" si="1"/>
        <v>0</v>
      </c>
      <c r="AA10" s="106">
        <v>0.0</v>
      </c>
      <c r="AB10" s="107">
        <v>0.0</v>
      </c>
      <c r="AC10" s="107">
        <v>0.0</v>
      </c>
      <c r="AD10" s="107">
        <v>0.0</v>
      </c>
      <c r="AE10" s="80">
        <f t="shared" si="2"/>
        <v>0</v>
      </c>
      <c r="AF10" s="140">
        <v>0.0</v>
      </c>
      <c r="AG10" s="109">
        <v>0.0</v>
      </c>
      <c r="AH10" s="109">
        <v>23.0</v>
      </c>
      <c r="AI10" s="141">
        <v>0.0</v>
      </c>
      <c r="AJ10" s="80">
        <f t="shared" si="3"/>
        <v>23</v>
      </c>
      <c r="AK10" s="140">
        <v>0.0</v>
      </c>
      <c r="AL10" s="109">
        <v>0.0</v>
      </c>
      <c r="AM10" s="141">
        <v>0.0</v>
      </c>
      <c r="AN10" s="80">
        <f t="shared" si="4"/>
        <v>0</v>
      </c>
      <c r="AO10" s="140">
        <v>0.0</v>
      </c>
      <c r="AP10" s="109">
        <v>0.0</v>
      </c>
      <c r="AQ10" s="109">
        <v>0.0</v>
      </c>
      <c r="AR10" s="80">
        <f t="shared" si="5"/>
        <v>0</v>
      </c>
      <c r="AS10" s="110">
        <v>0.0</v>
      </c>
      <c r="AT10" s="110">
        <v>0.0</v>
      </c>
      <c r="AU10" s="110">
        <v>0.0</v>
      </c>
      <c r="AV10" s="142">
        <v>0.0</v>
      </c>
      <c r="AW10" s="80">
        <f t="shared" si="6"/>
        <v>0</v>
      </c>
      <c r="AX10" s="113">
        <f t="shared" si="7"/>
        <v>23</v>
      </c>
      <c r="AY10" s="117">
        <f t="shared" si="8"/>
        <v>0</v>
      </c>
      <c r="AZ10" s="120">
        <f t="shared" si="9"/>
        <v>23</v>
      </c>
      <c r="BA10" s="115">
        <v>0.0</v>
      </c>
      <c r="BB10" s="89">
        <f t="shared" si="10"/>
        <v>23</v>
      </c>
      <c r="BC10" s="132" t="s">
        <v>178</v>
      </c>
      <c r="BD10" s="143" t="s">
        <v>227</v>
      </c>
      <c r="BE10" s="132" t="s">
        <v>64</v>
      </c>
      <c r="BF10" s="123"/>
      <c r="BG10" s="83">
        <v>1178787.0</v>
      </c>
      <c r="BH10" s="144"/>
      <c r="BI10" s="112">
        <v>3.0</v>
      </c>
      <c r="BJ10" s="98" t="s">
        <v>155</v>
      </c>
      <c r="BK10" s="99">
        <f t="shared" si="11"/>
        <v>0</v>
      </c>
      <c r="BL10" s="99">
        <f t="shared" si="12"/>
        <v>0</v>
      </c>
      <c r="BM10" s="99" t="str">
        <f>IFERROR(__xludf.DUMMYFUNCTION("IFERROR(VLOOKUP(BG10,IMPORTRANGE(""https://docs.google.com/spreadsheets/d/1juPI-Fb8LD0YtltB2mlGEnp_R3UVu1t3wSFPzgCyHXE/edit?gid=0#gid=0"",""GERAL!A2:C""),3,0),""-"")"),"-")</f>
        <v>-</v>
      </c>
    </row>
    <row r="11">
      <c r="A11" s="111" t="s">
        <v>130</v>
      </c>
      <c r="B11" s="83" t="s">
        <v>172</v>
      </c>
      <c r="C11" s="83" t="s">
        <v>68</v>
      </c>
      <c r="D11" s="112">
        <v>1125925.0</v>
      </c>
      <c r="E11" s="83"/>
      <c r="F11" s="83">
        <v>2.9058244E7</v>
      </c>
      <c r="G11" s="119" t="s">
        <v>173</v>
      </c>
      <c r="H11" s="91" t="s">
        <v>174</v>
      </c>
      <c r="I11" s="83" t="s">
        <v>149</v>
      </c>
      <c r="J11" s="83" t="s">
        <v>150</v>
      </c>
      <c r="K11" s="83" t="s">
        <v>151</v>
      </c>
      <c r="L11" s="83" t="s">
        <v>76</v>
      </c>
      <c r="M11" s="82" t="str">
        <f>IFERROR(__xludf.DUMMYFUNCTION("IFERROR(VLOOKUP(D11,
IMPORTRANGE(""https://docs.google.com/spreadsheets/d/1MjHtlUikwobi2MaWJgy7tfLeBmhj1u-dRFRs_8GwSoA/edit#gid=0"",""Gestores Escolares!D7:J""),3,0),""VERIFICAR CÓD SEC"")"),"ANTÔNIO FRANCISCO RODRIGUES DE FREITAS")</f>
        <v>ANTÔNIO FRANCISCO RODRIGUES DE FREITAS</v>
      </c>
      <c r="N11" s="82" t="str">
        <f>IFERROR(__xludf.DUMMYFUNCTION("IFERROR(VLOOKUP(D11,
IMPORTRANGE(""https://docs.google.com/spreadsheets/d/1MjHtlUikwobi2MaWJgy7tfLeBmhj1u-dRFRs_8GwSoA/edit#gid=0"",""Gestores Escolares!D7:J""),4,0),""VERIFICAR CÓD SEC"")"),"(74) 9 9924-5179")</f>
        <v>(74) 9 9924-5179</v>
      </c>
      <c r="O11" s="82" t="str">
        <f>IFERROR(__xludf.DUMMYFUNCTION("IFERROR(VLOOKUP(D11,
IMPORTRANGE(""https://docs.google.com/spreadsheets/d/1MjHtlUikwobi2MaWJgy7tfLeBmhj1u-dRFRs_8GwSoA/edit#gid=0"",""Gestores Escolares!D7:J""),6,0),""VERIFICAR CÓD SEC"")"),"SHIRLEY MENDES BARRETO")</f>
        <v>SHIRLEY MENDES BARRETO</v>
      </c>
      <c r="P11" s="82" t="str">
        <f>IFERROR(__xludf.DUMMYFUNCTION("IFERROR(VLOOKUP(D11,
IMPORTRANGE(""https://docs.google.com/spreadsheets/d/1MjHtlUikwobi2MaWJgy7tfLeBmhj1u-dRFRs_8GwSoA/edit#gid=0"",""Gestores Escolares!D7:J""),7,0),""VERIFICAR CÓD SEC"")"),"(74) 9 9801-4575")</f>
        <v>(74) 9 9801-4575</v>
      </c>
      <c r="Q11" s="82" t="str">
        <f>IFERROR(__xludf.DUMMYFUNCTION("IFERROR(VLOOKUP(D11,
IMPORTRANGE(""https://docs.google.com/spreadsheets/d/1MjHtlUikwobi2MaWJgy7tfLeBmhj1u-dRFRs_8GwSoA/edit#gid=0"",""Gestores Escolares!D7:m""),9,0),""VERIFICAR CÓD SEC"")"),"")</f>
        <v/>
      </c>
      <c r="R11" s="82" t="str">
        <f>IFERROR(__xludf.DUMMYFUNCTION("IFERROR(VLOOKUP(D11,
IMPORTRANGE(""https://docs.google.com/spreadsheets/d/1MjHtlUikwobi2MaWJgy7tfLeBmhj1u-dRFRs_8GwSoA/edit#gid=0"",""Gestores Escolares!D7:m""),10,0),""VERIFICAR CÓD SEC"")"),"")</f>
        <v/>
      </c>
      <c r="S11" s="82"/>
      <c r="T11" s="138">
        <v>6.0</v>
      </c>
      <c r="U11" s="145" t="s">
        <v>241</v>
      </c>
      <c r="V11" s="106">
        <v>0.0</v>
      </c>
      <c r="W11" s="107">
        <v>0.0</v>
      </c>
      <c r="X11" s="107">
        <v>0.0</v>
      </c>
      <c r="Y11" s="107">
        <v>0.0</v>
      </c>
      <c r="Z11" s="80">
        <f t="shared" si="1"/>
        <v>0</v>
      </c>
      <c r="AA11" s="106">
        <v>0.0</v>
      </c>
      <c r="AB11" s="107">
        <v>0.0</v>
      </c>
      <c r="AC11" s="107">
        <v>0.0</v>
      </c>
      <c r="AD11" s="107">
        <v>0.0</v>
      </c>
      <c r="AE11" s="80">
        <f t="shared" si="2"/>
        <v>0</v>
      </c>
      <c r="AF11" s="140">
        <v>63.0</v>
      </c>
      <c r="AG11" s="109">
        <v>59.0</v>
      </c>
      <c r="AH11" s="109">
        <v>0.0</v>
      </c>
      <c r="AI11" s="141">
        <v>127.0</v>
      </c>
      <c r="AJ11" s="80">
        <f t="shared" si="3"/>
        <v>249</v>
      </c>
      <c r="AK11" s="140">
        <v>0.0</v>
      </c>
      <c r="AL11" s="109">
        <v>0.0</v>
      </c>
      <c r="AM11" s="141">
        <v>0.0</v>
      </c>
      <c r="AN11" s="80">
        <f t="shared" si="4"/>
        <v>0</v>
      </c>
      <c r="AO11" s="140">
        <v>0.0</v>
      </c>
      <c r="AP11" s="109">
        <v>0.0</v>
      </c>
      <c r="AQ11" s="109">
        <v>40.0</v>
      </c>
      <c r="AR11" s="80">
        <f t="shared" si="5"/>
        <v>40</v>
      </c>
      <c r="AS11" s="110">
        <v>0.0</v>
      </c>
      <c r="AT11" s="110">
        <v>0.0</v>
      </c>
      <c r="AU11" s="110">
        <v>0.0</v>
      </c>
      <c r="AV11" s="142">
        <v>118.0</v>
      </c>
      <c r="AW11" s="80">
        <f t="shared" si="6"/>
        <v>118</v>
      </c>
      <c r="AX11" s="113">
        <f t="shared" si="7"/>
        <v>407</v>
      </c>
      <c r="AY11" s="117">
        <f t="shared" si="8"/>
        <v>367</v>
      </c>
      <c r="AZ11" s="120">
        <f t="shared" si="9"/>
        <v>40</v>
      </c>
      <c r="BA11" s="115">
        <v>0.0</v>
      </c>
      <c r="BB11" s="89">
        <f t="shared" si="10"/>
        <v>407</v>
      </c>
      <c r="BC11" s="132" t="s">
        <v>177</v>
      </c>
      <c r="BD11" s="132" t="s">
        <v>178</v>
      </c>
      <c r="BE11" s="132" t="s">
        <v>178</v>
      </c>
      <c r="BF11" s="123"/>
      <c r="BG11" s="83">
        <v>1125925.0</v>
      </c>
      <c r="BH11" s="98" t="s">
        <v>175</v>
      </c>
      <c r="BI11" s="112">
        <v>6.0</v>
      </c>
      <c r="BJ11" s="98" t="s">
        <v>176</v>
      </c>
      <c r="BK11" s="99">
        <f t="shared" si="11"/>
        <v>245</v>
      </c>
      <c r="BL11" s="99">
        <f t="shared" si="12"/>
        <v>122</v>
      </c>
      <c r="BM11" s="99" t="str">
        <f>IFERROR(__xludf.DUMMYFUNCTION("IFERROR(VLOOKUP(BG11,IMPORTRANGE(""https://docs.google.com/spreadsheets/d/1juPI-Fb8LD0YtltB2mlGEnp_R3UVu1t3wSFPzgCyHXE/edit?gid=0#gid=0"",""GERAL!A2:C""),3,0),""-"")"),"-")</f>
        <v>-</v>
      </c>
    </row>
    <row r="12">
      <c r="A12" s="111" t="s">
        <v>130</v>
      </c>
      <c r="B12" s="82" t="s">
        <v>172</v>
      </c>
      <c r="C12" s="83" t="s">
        <v>164</v>
      </c>
      <c r="D12" s="112">
        <v>1125925.0</v>
      </c>
      <c r="E12" s="83">
        <v>1178206.0</v>
      </c>
      <c r="F12" s="98">
        <v>2.9491916E7</v>
      </c>
      <c r="G12" s="147" t="s">
        <v>180</v>
      </c>
      <c r="H12" s="91" t="s">
        <v>181</v>
      </c>
      <c r="I12" s="83" t="s">
        <v>182</v>
      </c>
      <c r="J12" s="83" t="s">
        <v>183</v>
      </c>
      <c r="K12" s="83" t="s">
        <v>168</v>
      </c>
      <c r="L12" s="83" t="s">
        <v>169</v>
      </c>
      <c r="M12" s="82" t="str">
        <f>IFERROR(__xludf.DUMMYFUNCTION("IFERROR(VLOOKUP(D12,
IMPORTRANGE(""https://docs.google.com/spreadsheets/d/1MjHtlUikwobi2MaWJgy7tfLeBmhj1u-dRFRs_8GwSoA/edit#gid=0"",""Gestores Escolares!D7:J""),3,0),""VERIFICAR CÓD SEC"")"),"ANTÔNIO FRANCISCO RODRIGUES DE FREITAS")</f>
        <v>ANTÔNIO FRANCISCO RODRIGUES DE FREITAS</v>
      </c>
      <c r="N12" s="82" t="str">
        <f>IFERROR(__xludf.DUMMYFUNCTION("IFERROR(VLOOKUP(D12,
IMPORTRANGE(""https://docs.google.com/spreadsheets/d/1MjHtlUikwobi2MaWJgy7tfLeBmhj1u-dRFRs_8GwSoA/edit#gid=0"",""Gestores Escolares!D7:J""),4,0),""VERIFICAR CÓD SEC"")"),"(74) 9 9924-5179")</f>
        <v>(74) 9 9924-5179</v>
      </c>
      <c r="O12" s="82" t="str">
        <f>IFERROR(__xludf.DUMMYFUNCTION("IFERROR(VLOOKUP(D12,
IMPORTRANGE(""https://docs.google.com/spreadsheets/d/1MjHtlUikwobi2MaWJgy7tfLeBmhj1u-dRFRs_8GwSoA/edit#gid=0"",""Gestores Escolares!D7:J""),6,0),""VERIFICAR CÓD SEC"")"),"SHIRLEY MENDES BARRETO")</f>
        <v>SHIRLEY MENDES BARRETO</v>
      </c>
      <c r="P12" s="82" t="str">
        <f>IFERROR(__xludf.DUMMYFUNCTION("IFERROR(VLOOKUP(D12,
IMPORTRANGE(""https://docs.google.com/spreadsheets/d/1MjHtlUikwobi2MaWJgy7tfLeBmhj1u-dRFRs_8GwSoA/edit#gid=0"",""Gestores Escolares!D7:J""),7,0),""VERIFICAR CÓD SEC"")"),"(74) 9 9801-4575")</f>
        <v>(74) 9 9801-4575</v>
      </c>
      <c r="Q12" s="82" t="str">
        <f>IFERROR(__xludf.DUMMYFUNCTION("IFERROR(VLOOKUP(D12,
IMPORTRANGE(""https://docs.google.com/spreadsheets/d/1MjHtlUikwobi2MaWJgy7tfLeBmhj1u-dRFRs_8GwSoA/edit#gid=0"",""Gestores Escolares!D7:m""),9,0),""VERIFICAR CÓD SEC"")"),"")</f>
        <v/>
      </c>
      <c r="R12" s="82" t="str">
        <f>IFERROR(__xludf.DUMMYFUNCTION("IFERROR(VLOOKUP(D12,
IMPORTRANGE(""https://docs.google.com/spreadsheets/d/1MjHtlUikwobi2MaWJgy7tfLeBmhj1u-dRFRs_8GwSoA/edit#gid=0"",""Gestores Escolares!D7:m""),10,0),""VERIFICAR CÓD SEC"")"),"")</f>
        <v/>
      </c>
      <c r="S12" s="82"/>
      <c r="T12" s="138">
        <v>4.0</v>
      </c>
      <c r="U12" s="148">
        <v>4.0</v>
      </c>
      <c r="V12" s="106">
        <v>0.0</v>
      </c>
      <c r="W12" s="107">
        <v>0.0</v>
      </c>
      <c r="X12" s="107">
        <v>0.0</v>
      </c>
      <c r="Y12" s="107">
        <v>0.0</v>
      </c>
      <c r="Z12" s="80">
        <f t="shared" si="1"/>
        <v>0</v>
      </c>
      <c r="AA12" s="106">
        <v>0.0</v>
      </c>
      <c r="AB12" s="107">
        <v>0.0</v>
      </c>
      <c r="AC12" s="107">
        <v>0.0</v>
      </c>
      <c r="AD12" s="107">
        <v>0.0</v>
      </c>
      <c r="AE12" s="80">
        <f t="shared" si="2"/>
        <v>0</v>
      </c>
      <c r="AF12" s="140">
        <v>73.0</v>
      </c>
      <c r="AG12" s="109">
        <v>0.0</v>
      </c>
      <c r="AH12" s="109">
        <v>0.0</v>
      </c>
      <c r="AI12" s="141">
        <v>0.0</v>
      </c>
      <c r="AJ12" s="80">
        <f t="shared" si="3"/>
        <v>73</v>
      </c>
      <c r="AK12" s="140">
        <v>0.0</v>
      </c>
      <c r="AL12" s="109">
        <v>0.0</v>
      </c>
      <c r="AM12" s="141">
        <v>0.0</v>
      </c>
      <c r="AN12" s="80">
        <f t="shared" si="4"/>
        <v>0</v>
      </c>
      <c r="AO12" s="140">
        <v>0.0</v>
      </c>
      <c r="AP12" s="109">
        <v>0.0</v>
      </c>
      <c r="AQ12" s="109">
        <v>0.0</v>
      </c>
      <c r="AR12" s="80">
        <f t="shared" si="5"/>
        <v>0</v>
      </c>
      <c r="AS12" s="110">
        <v>0.0</v>
      </c>
      <c r="AT12" s="110">
        <v>0.0</v>
      </c>
      <c r="AU12" s="110">
        <v>0.0</v>
      </c>
      <c r="AV12" s="142">
        <v>0.0</v>
      </c>
      <c r="AW12" s="80">
        <f t="shared" si="6"/>
        <v>0</v>
      </c>
      <c r="AX12" s="113">
        <f t="shared" si="7"/>
        <v>73</v>
      </c>
      <c r="AY12" s="117">
        <f t="shared" si="8"/>
        <v>73</v>
      </c>
      <c r="AZ12" s="120">
        <f t="shared" si="9"/>
        <v>0</v>
      </c>
      <c r="BA12" s="115">
        <v>0.0</v>
      </c>
      <c r="BB12" s="89">
        <f t="shared" si="10"/>
        <v>73</v>
      </c>
      <c r="BC12" s="132" t="s">
        <v>265</v>
      </c>
      <c r="BD12" s="132" t="s">
        <v>178</v>
      </c>
      <c r="BE12" s="132" t="s">
        <v>178</v>
      </c>
      <c r="BF12" s="123"/>
      <c r="BG12" s="83">
        <v>1178206.0</v>
      </c>
      <c r="BH12" s="98" t="s">
        <v>175</v>
      </c>
      <c r="BI12" s="112">
        <v>4.0</v>
      </c>
      <c r="BJ12" s="98" t="s">
        <v>155</v>
      </c>
      <c r="BK12" s="99">
        <f t="shared" si="11"/>
        <v>0</v>
      </c>
      <c r="BL12" s="99">
        <f t="shared" si="12"/>
        <v>73</v>
      </c>
      <c r="BM12" s="99" t="str">
        <f>IFERROR(__xludf.DUMMYFUNCTION("IFERROR(VLOOKUP(BG12,IMPORTRANGE(""https://docs.google.com/spreadsheets/d/1juPI-Fb8LD0YtltB2mlGEnp_R3UVu1t3wSFPzgCyHXE/edit?gid=0#gid=0"",""GERAL!A2:C""),3,0),""-"")"),"QUILOMBOLAS")</f>
        <v>QUILOMBOLAS</v>
      </c>
    </row>
    <row r="13">
      <c r="A13" s="111" t="s">
        <v>130</v>
      </c>
      <c r="B13" s="83" t="s">
        <v>172</v>
      </c>
      <c r="C13" s="83" t="s">
        <v>164</v>
      </c>
      <c r="D13" s="112">
        <v>1179281.0</v>
      </c>
      <c r="E13" s="83">
        <v>1178790.0</v>
      </c>
      <c r="F13" s="98">
        <v>2.9459141E7</v>
      </c>
      <c r="G13" s="125" t="s">
        <v>184</v>
      </c>
      <c r="H13" s="91" t="s">
        <v>185</v>
      </c>
      <c r="I13" s="83" t="s">
        <v>186</v>
      </c>
      <c r="J13" s="83" t="s">
        <v>187</v>
      </c>
      <c r="K13" s="83" t="s">
        <v>168</v>
      </c>
      <c r="L13" s="83" t="s">
        <v>169</v>
      </c>
      <c r="M13" s="82" t="str">
        <f>IFERROR(__xludf.DUMMYFUNCTION("IFERROR(VLOOKUP(D13,
IMPORTRANGE(""https://docs.google.com/spreadsheets/d/1MjHtlUikwobi2MaWJgy7tfLeBmhj1u-dRFRs_8GwSoA/edit#gid=0"",""Gestores Escolares!D7:J""),3,0),""VERIFICAR CÓD SEC"")"),"MARCOS PAULO DA SILVA ALMEIDA")</f>
        <v>MARCOS PAULO DA SILVA ALMEIDA</v>
      </c>
      <c r="N13" s="82" t="str">
        <f>IFERROR(__xludf.DUMMYFUNCTION("IFERROR(VLOOKUP(D13,
IMPORTRANGE(""https://docs.google.com/spreadsheets/d/1MjHtlUikwobi2MaWJgy7tfLeBmhj1u-dRFRs_8GwSoA/edit#gid=0"",""Gestores Escolares!D7:J""),4,0),""VERIFICAR CÓD SEC"")"),"(74) 9 9998-8112")</f>
        <v>(74) 9 9998-8112</v>
      </c>
      <c r="O13" s="82" t="str">
        <f>IFERROR(__xludf.DUMMYFUNCTION("IFERROR(VLOOKUP(D13,
IMPORTRANGE(""https://docs.google.com/spreadsheets/d/1MjHtlUikwobi2MaWJgy7tfLeBmhj1u-dRFRs_8GwSoA/edit#gid=0"",""Gestores Escolares!D7:J""),6,0),""VERIFICAR CÓD SEC"")"),"FERNANDA MIRANDA CAMPOS")</f>
        <v>FERNANDA MIRANDA CAMPOS</v>
      </c>
      <c r="P13" s="82" t="str">
        <f>IFERROR(__xludf.DUMMYFUNCTION("IFERROR(VLOOKUP(D13,
IMPORTRANGE(""https://docs.google.com/spreadsheets/d/1MjHtlUikwobi2MaWJgy7tfLeBmhj1u-dRFRs_8GwSoA/edit#gid=0"",""Gestores Escolares!D7:J""),7,0),""VERIFICAR CÓD SEC"")"),"(74) 9 9963-4717")</f>
        <v>(74) 9 9963-4717</v>
      </c>
      <c r="Q13" s="82" t="str">
        <f>IFERROR(__xludf.DUMMYFUNCTION("IFERROR(VLOOKUP(D13,
IMPORTRANGE(""https://docs.google.com/spreadsheets/d/1MjHtlUikwobi2MaWJgy7tfLeBmhj1u-dRFRs_8GwSoA/edit#gid=0"",""Gestores Escolares!D7:m""),9,0),""VERIFICAR CÓD SEC"")"),"")</f>
        <v/>
      </c>
      <c r="R13" s="82" t="str">
        <f>IFERROR(__xludf.DUMMYFUNCTION("IFERROR(VLOOKUP(D13,
IMPORTRANGE(""https://docs.google.com/spreadsheets/d/1MjHtlUikwobi2MaWJgy7tfLeBmhj1u-dRFRs_8GwSoA/edit#gid=0"",""Gestores Escolares!D7:m""),10,0),""VERIFICAR CÓD SEC"")"),"")</f>
        <v/>
      </c>
      <c r="S13" s="82"/>
      <c r="T13" s="138">
        <v>2.0</v>
      </c>
      <c r="U13" s="150">
        <v>2.0</v>
      </c>
      <c r="V13" s="106">
        <v>0.0</v>
      </c>
      <c r="W13" s="107">
        <v>0.0</v>
      </c>
      <c r="X13" s="107">
        <v>0.0</v>
      </c>
      <c r="Y13" s="107">
        <v>0.0</v>
      </c>
      <c r="Z13" s="80">
        <f t="shared" si="1"/>
        <v>0</v>
      </c>
      <c r="AA13" s="106">
        <v>0.0</v>
      </c>
      <c r="AB13" s="107">
        <v>0.0</v>
      </c>
      <c r="AC13" s="107">
        <v>0.0</v>
      </c>
      <c r="AD13" s="107">
        <v>0.0</v>
      </c>
      <c r="AE13" s="80">
        <f t="shared" si="2"/>
        <v>0</v>
      </c>
      <c r="AF13" s="140">
        <v>0.0</v>
      </c>
      <c r="AG13" s="109">
        <v>0.0</v>
      </c>
      <c r="AH13" s="109">
        <v>55.0</v>
      </c>
      <c r="AI13" s="141">
        <v>0.0</v>
      </c>
      <c r="AJ13" s="80">
        <f t="shared" si="3"/>
        <v>55</v>
      </c>
      <c r="AK13" s="140">
        <v>0.0</v>
      </c>
      <c r="AL13" s="109">
        <v>0.0</v>
      </c>
      <c r="AM13" s="141">
        <v>0.0</v>
      </c>
      <c r="AN13" s="80">
        <f t="shared" si="4"/>
        <v>0</v>
      </c>
      <c r="AO13" s="140">
        <v>0.0</v>
      </c>
      <c r="AP13" s="109">
        <v>0.0</v>
      </c>
      <c r="AQ13" s="109">
        <v>0.0</v>
      </c>
      <c r="AR13" s="80">
        <f t="shared" si="5"/>
        <v>0</v>
      </c>
      <c r="AS13" s="110">
        <v>0.0</v>
      </c>
      <c r="AT13" s="110">
        <v>0.0</v>
      </c>
      <c r="AU13" s="110">
        <v>0.0</v>
      </c>
      <c r="AV13" s="142">
        <v>0.0</v>
      </c>
      <c r="AW13" s="80">
        <f t="shared" si="6"/>
        <v>0</v>
      </c>
      <c r="AX13" s="113">
        <f t="shared" si="7"/>
        <v>55</v>
      </c>
      <c r="AY13" s="117">
        <f t="shared" si="8"/>
        <v>0</v>
      </c>
      <c r="AZ13" s="120">
        <f t="shared" si="9"/>
        <v>55</v>
      </c>
      <c r="BA13" s="115">
        <v>0.0</v>
      </c>
      <c r="BB13" s="89">
        <f t="shared" si="10"/>
        <v>55</v>
      </c>
      <c r="BC13" s="132" t="s">
        <v>178</v>
      </c>
      <c r="BD13" s="143" t="s">
        <v>227</v>
      </c>
      <c r="BE13" s="132" t="s">
        <v>64</v>
      </c>
      <c r="BF13" s="123"/>
      <c r="BG13" s="83">
        <v>1178790.0</v>
      </c>
      <c r="BH13" s="144"/>
      <c r="BI13" s="112">
        <v>2.0</v>
      </c>
      <c r="BJ13" s="98" t="s">
        <v>155</v>
      </c>
      <c r="BK13" s="99">
        <f t="shared" si="11"/>
        <v>0</v>
      </c>
      <c r="BL13" s="99">
        <f t="shared" si="12"/>
        <v>0</v>
      </c>
      <c r="BM13" s="99" t="str">
        <f>IFERROR(__xludf.DUMMYFUNCTION("IFERROR(VLOOKUP(BG13,IMPORTRANGE(""https://docs.google.com/spreadsheets/d/1juPI-Fb8LD0YtltB2mlGEnp_R3UVu1t3wSFPzgCyHXE/edit?gid=0#gid=0"",""GERAL!A2:C""),3,0),""-"")"),"-")</f>
        <v>-</v>
      </c>
    </row>
    <row r="14">
      <c r="A14" s="111" t="s">
        <v>130</v>
      </c>
      <c r="B14" s="83" t="s">
        <v>172</v>
      </c>
      <c r="C14" s="83" t="s">
        <v>164</v>
      </c>
      <c r="D14" s="112">
        <v>1179281.0</v>
      </c>
      <c r="E14" s="83">
        <v>1178789.0</v>
      </c>
      <c r="F14" s="98">
        <v>2.9459141E7</v>
      </c>
      <c r="G14" s="114" t="s">
        <v>188</v>
      </c>
      <c r="H14" s="108" t="s">
        <v>189</v>
      </c>
      <c r="I14" s="83" t="s">
        <v>190</v>
      </c>
      <c r="J14" s="83" t="s">
        <v>191</v>
      </c>
      <c r="K14" s="83" t="s">
        <v>168</v>
      </c>
      <c r="L14" s="83" t="s">
        <v>169</v>
      </c>
      <c r="M14" s="82" t="str">
        <f>IFERROR(__xludf.DUMMYFUNCTION("IFERROR(VLOOKUP(D14,
IMPORTRANGE(""https://docs.google.com/spreadsheets/d/1MjHtlUikwobi2MaWJgy7tfLeBmhj1u-dRFRs_8GwSoA/edit#gid=0"",""Gestores Escolares!D7:J""),3,0),""VERIFICAR CÓD SEC"")"),"MARCOS PAULO DA SILVA ALMEIDA")</f>
        <v>MARCOS PAULO DA SILVA ALMEIDA</v>
      </c>
      <c r="N14" s="82" t="str">
        <f>IFERROR(__xludf.DUMMYFUNCTION("IFERROR(VLOOKUP(D14,
IMPORTRANGE(""https://docs.google.com/spreadsheets/d/1MjHtlUikwobi2MaWJgy7tfLeBmhj1u-dRFRs_8GwSoA/edit#gid=0"",""Gestores Escolares!D7:J""),4,0),""VERIFICAR CÓD SEC"")"),"(74) 9 9998-8112")</f>
        <v>(74) 9 9998-8112</v>
      </c>
      <c r="O14" s="82" t="str">
        <f>IFERROR(__xludf.DUMMYFUNCTION("IFERROR(VLOOKUP(D14,
IMPORTRANGE(""https://docs.google.com/spreadsheets/d/1MjHtlUikwobi2MaWJgy7tfLeBmhj1u-dRFRs_8GwSoA/edit#gid=0"",""Gestores Escolares!D7:J""),6,0),""VERIFICAR CÓD SEC"")"),"FERNANDA MIRANDA CAMPOS")</f>
        <v>FERNANDA MIRANDA CAMPOS</v>
      </c>
      <c r="P14" s="82" t="str">
        <f>IFERROR(__xludf.DUMMYFUNCTION("IFERROR(VLOOKUP(D14,
IMPORTRANGE(""https://docs.google.com/spreadsheets/d/1MjHtlUikwobi2MaWJgy7tfLeBmhj1u-dRFRs_8GwSoA/edit#gid=0"",""Gestores Escolares!D7:J""),7,0),""VERIFICAR CÓD SEC"")"),"(74) 9 9963-4717")</f>
        <v>(74) 9 9963-4717</v>
      </c>
      <c r="Q14" s="82" t="str">
        <f>IFERROR(__xludf.DUMMYFUNCTION("IFERROR(VLOOKUP(D14,
IMPORTRANGE(""https://docs.google.com/spreadsheets/d/1MjHtlUikwobi2MaWJgy7tfLeBmhj1u-dRFRs_8GwSoA/edit#gid=0"",""Gestores Escolares!D7:m""),9,0),""VERIFICAR CÓD SEC"")"),"")</f>
        <v/>
      </c>
      <c r="R14" s="82" t="str">
        <f>IFERROR(__xludf.DUMMYFUNCTION("IFERROR(VLOOKUP(D14,
IMPORTRANGE(""https://docs.google.com/spreadsheets/d/1MjHtlUikwobi2MaWJgy7tfLeBmhj1u-dRFRs_8GwSoA/edit#gid=0"",""Gestores Escolares!D7:m""),10,0),""VERIFICAR CÓD SEC"")"),"")</f>
        <v/>
      </c>
      <c r="S14" s="82"/>
      <c r="T14" s="138">
        <v>4.0</v>
      </c>
      <c r="U14" s="150">
        <v>4.0</v>
      </c>
      <c r="V14" s="106">
        <v>0.0</v>
      </c>
      <c r="W14" s="107">
        <v>0.0</v>
      </c>
      <c r="X14" s="107">
        <v>0.0</v>
      </c>
      <c r="Y14" s="107">
        <v>0.0</v>
      </c>
      <c r="Z14" s="80">
        <f t="shared" si="1"/>
        <v>0</v>
      </c>
      <c r="AA14" s="106">
        <v>0.0</v>
      </c>
      <c r="AB14" s="107">
        <v>0.0</v>
      </c>
      <c r="AC14" s="107">
        <v>0.0</v>
      </c>
      <c r="AD14" s="107">
        <v>0.0</v>
      </c>
      <c r="AE14" s="80">
        <f t="shared" si="2"/>
        <v>0</v>
      </c>
      <c r="AF14" s="140">
        <v>26.0</v>
      </c>
      <c r="AG14" s="109">
        <v>0.0</v>
      </c>
      <c r="AH14" s="109">
        <v>84.0</v>
      </c>
      <c r="AI14" s="141">
        <v>0.0</v>
      </c>
      <c r="AJ14" s="80">
        <f t="shared" si="3"/>
        <v>110</v>
      </c>
      <c r="AK14" s="140">
        <v>0.0</v>
      </c>
      <c r="AL14" s="109">
        <v>0.0</v>
      </c>
      <c r="AM14" s="141">
        <v>0.0</v>
      </c>
      <c r="AN14" s="80">
        <f t="shared" si="4"/>
        <v>0</v>
      </c>
      <c r="AO14" s="140">
        <v>0.0</v>
      </c>
      <c r="AP14" s="109">
        <v>0.0</v>
      </c>
      <c r="AQ14" s="109">
        <v>0.0</v>
      </c>
      <c r="AR14" s="80">
        <f t="shared" si="5"/>
        <v>0</v>
      </c>
      <c r="AS14" s="110">
        <v>0.0</v>
      </c>
      <c r="AT14" s="110">
        <v>0.0</v>
      </c>
      <c r="AU14" s="110">
        <v>0.0</v>
      </c>
      <c r="AV14" s="142">
        <v>0.0</v>
      </c>
      <c r="AW14" s="80">
        <f t="shared" si="6"/>
        <v>0</v>
      </c>
      <c r="AX14" s="113">
        <f t="shared" si="7"/>
        <v>110</v>
      </c>
      <c r="AY14" s="117">
        <f t="shared" si="8"/>
        <v>26</v>
      </c>
      <c r="AZ14" s="120">
        <f t="shared" si="9"/>
        <v>84</v>
      </c>
      <c r="BA14" s="115">
        <v>0.0</v>
      </c>
      <c r="BB14" s="89">
        <f t="shared" si="10"/>
        <v>110</v>
      </c>
      <c r="BC14" s="132" t="s">
        <v>178</v>
      </c>
      <c r="BD14" s="143" t="s">
        <v>227</v>
      </c>
      <c r="BE14" s="132" t="s">
        <v>64</v>
      </c>
      <c r="BF14" s="123"/>
      <c r="BG14" s="83">
        <v>1178789.0</v>
      </c>
      <c r="BH14" s="144"/>
      <c r="BI14" s="112">
        <v>4.0</v>
      </c>
      <c r="BJ14" s="98" t="s">
        <v>155</v>
      </c>
      <c r="BK14" s="99">
        <f t="shared" si="11"/>
        <v>0</v>
      </c>
      <c r="BL14" s="99">
        <f t="shared" si="12"/>
        <v>26</v>
      </c>
      <c r="BM14" s="99" t="str">
        <f>IFERROR(__xludf.DUMMYFUNCTION("IFERROR(VLOOKUP(BG14,IMPORTRANGE(""https://docs.google.com/spreadsheets/d/1juPI-Fb8LD0YtltB2mlGEnp_R3UVu1t3wSFPzgCyHXE/edit?gid=0#gid=0"",""GERAL!A2:C""),3,0),""-"")"),"-")</f>
        <v>-</v>
      </c>
    </row>
    <row r="15">
      <c r="A15" s="127" t="s">
        <v>130</v>
      </c>
      <c r="B15" s="98" t="s">
        <v>192</v>
      </c>
      <c r="C15" s="98" t="s">
        <v>68</v>
      </c>
      <c r="D15" s="98">
        <v>1179833.0</v>
      </c>
      <c r="E15" s="83"/>
      <c r="F15" s="98">
        <v>2.9496969E7</v>
      </c>
      <c r="G15" s="147" t="s">
        <v>193</v>
      </c>
      <c r="H15" s="108" t="s">
        <v>194</v>
      </c>
      <c r="I15" s="83" t="s">
        <v>149</v>
      </c>
      <c r="J15" s="83"/>
      <c r="K15" s="98" t="s">
        <v>195</v>
      </c>
      <c r="L15" s="98" t="s">
        <v>169</v>
      </c>
      <c r="M15" s="82" t="str">
        <f>IFERROR(__xludf.DUMMYFUNCTION("IFERROR(VLOOKUP(D15,
IMPORTRANGE(""https://docs.google.com/spreadsheets/d/1MjHtlUikwobi2MaWJgy7tfLeBmhj1u-dRFRs_8GwSoA/edit#gid=0"",""Gestores Escolares!D7:J""),3,0),""VERIFICAR CÓD SEC"")"),"JANIVALDA ROSA MIRANDA")</f>
        <v>JANIVALDA ROSA MIRANDA</v>
      </c>
      <c r="N15" s="82" t="str">
        <f>IFERROR(__xludf.DUMMYFUNCTION("IFERROR(VLOOKUP(D15,
IMPORTRANGE(""https://docs.google.com/spreadsheets/d/1MjHtlUikwobi2MaWJgy7tfLeBmhj1u-dRFRs_8GwSoA/edit#gid=0"",""Gestores Escolares!D7:J""),4,0),""VERIFICAR CÓD SEC"")"),"(74) 9 9806-9091")</f>
        <v>(74) 9 9806-9091</v>
      </c>
      <c r="O15" s="82" t="str">
        <f>IFERROR(__xludf.DUMMYFUNCTION("IFERROR(VLOOKUP(D15,
IMPORTRANGE(""https://docs.google.com/spreadsheets/d/1MjHtlUikwobi2MaWJgy7tfLeBmhj1u-dRFRs_8GwSoA/edit#gid=0"",""Gestores Escolares!D7:J""),6,0),""VERIFICAR CÓD SEC"")"),"")</f>
        <v/>
      </c>
      <c r="P15" s="82" t="str">
        <f>IFERROR(__xludf.DUMMYFUNCTION("IFERROR(VLOOKUP(D15,
IMPORTRANGE(""https://docs.google.com/spreadsheets/d/1MjHtlUikwobi2MaWJgy7tfLeBmhj1u-dRFRs_8GwSoA/edit#gid=0"",""Gestores Escolares!D7:J""),7,0),""VERIFICAR CÓD SEC"")"),"")</f>
        <v/>
      </c>
      <c r="Q15" s="82" t="str">
        <f>IFERROR(__xludf.DUMMYFUNCTION("IFERROR(VLOOKUP(D15,
IMPORTRANGE(""https://docs.google.com/spreadsheets/d/1MjHtlUikwobi2MaWJgy7tfLeBmhj1u-dRFRs_8GwSoA/edit#gid=0"",""Gestores Escolares!D7:m""),9,0),""VERIFICAR CÓD SEC"")"),"")</f>
        <v/>
      </c>
      <c r="R15" s="82" t="str">
        <f>IFERROR(__xludf.DUMMYFUNCTION("IFERROR(VLOOKUP(D15,
IMPORTRANGE(""https://docs.google.com/spreadsheets/d/1MjHtlUikwobi2MaWJgy7tfLeBmhj1u-dRFRs_8GwSoA/edit#gid=0"",""Gestores Escolares!D7:m""),10,0),""VERIFICAR CÓD SEC"")"),"")</f>
        <v/>
      </c>
      <c r="S15" s="82"/>
      <c r="T15" s="138"/>
      <c r="U15" s="152"/>
      <c r="V15" s="106">
        <v>0.0</v>
      </c>
      <c r="W15" s="107">
        <v>0.0</v>
      </c>
      <c r="X15" s="107">
        <v>0.0</v>
      </c>
      <c r="Y15" s="107">
        <v>0.0</v>
      </c>
      <c r="Z15" s="80">
        <f t="shared" si="1"/>
        <v>0</v>
      </c>
      <c r="AA15" s="106">
        <v>0.0</v>
      </c>
      <c r="AB15" s="107">
        <v>0.0</v>
      </c>
      <c r="AC15" s="107">
        <v>0.0</v>
      </c>
      <c r="AD15" s="107">
        <v>0.0</v>
      </c>
      <c r="AE15" s="80">
        <f t="shared" si="2"/>
        <v>0</v>
      </c>
      <c r="AF15" s="140">
        <v>59.0</v>
      </c>
      <c r="AG15" s="109">
        <v>121.0</v>
      </c>
      <c r="AH15" s="109">
        <v>0.0</v>
      </c>
      <c r="AI15" s="141">
        <v>0.0</v>
      </c>
      <c r="AJ15" s="80">
        <f t="shared" si="3"/>
        <v>180</v>
      </c>
      <c r="AK15" s="140">
        <v>0.0</v>
      </c>
      <c r="AL15" s="109">
        <v>0.0</v>
      </c>
      <c r="AM15" s="141">
        <v>0.0</v>
      </c>
      <c r="AN15" s="80">
        <f t="shared" si="4"/>
        <v>0</v>
      </c>
      <c r="AO15" s="140">
        <v>0.0</v>
      </c>
      <c r="AP15" s="109">
        <v>0.0</v>
      </c>
      <c r="AQ15" s="109">
        <v>54.0</v>
      </c>
      <c r="AR15" s="80">
        <f t="shared" si="5"/>
        <v>54</v>
      </c>
      <c r="AS15" s="110">
        <v>0.0</v>
      </c>
      <c r="AT15" s="110">
        <v>0.0</v>
      </c>
      <c r="AU15" s="110">
        <v>21.0</v>
      </c>
      <c r="AV15" s="142">
        <v>0.0</v>
      </c>
      <c r="AW15" s="80">
        <f t="shared" si="6"/>
        <v>21</v>
      </c>
      <c r="AX15" s="113">
        <f t="shared" si="7"/>
        <v>255</v>
      </c>
      <c r="AY15" s="117">
        <f t="shared" si="8"/>
        <v>180</v>
      </c>
      <c r="AZ15" s="120">
        <f t="shared" si="9"/>
        <v>75</v>
      </c>
      <c r="BA15" s="115">
        <v>0.0</v>
      </c>
      <c r="BB15" s="89">
        <f t="shared" si="10"/>
        <v>255</v>
      </c>
      <c r="BC15" s="132" t="s">
        <v>178</v>
      </c>
      <c r="BD15" s="132" t="s">
        <v>178</v>
      </c>
      <c r="BE15" s="132" t="s">
        <v>178</v>
      </c>
      <c r="BF15" s="123"/>
      <c r="BG15" s="98">
        <v>1179833.0</v>
      </c>
      <c r="BH15" s="144"/>
      <c r="BI15" s="112"/>
      <c r="BJ15" s="98"/>
      <c r="BK15" s="99">
        <f t="shared" si="11"/>
        <v>0</v>
      </c>
      <c r="BL15" s="99">
        <f t="shared" si="12"/>
        <v>180</v>
      </c>
      <c r="BM15" s="99" t="str">
        <f>IFERROR(__xludf.DUMMYFUNCTION("IFERROR(VLOOKUP(BG15,IMPORTRANGE(""https://docs.google.com/spreadsheets/d/1juPI-Fb8LD0YtltB2mlGEnp_R3UVu1t3wSFPzgCyHXE/edit?gid=0#gid=0"",""GERAL!A2:C""),3,0),""-"")"),"CAMPO")</f>
        <v>CAMPO</v>
      </c>
    </row>
    <row r="16">
      <c r="A16" s="111" t="s">
        <v>130</v>
      </c>
      <c r="B16" s="83" t="s">
        <v>192</v>
      </c>
      <c r="C16" s="83" t="s">
        <v>68</v>
      </c>
      <c r="D16" s="112">
        <v>1126212.0</v>
      </c>
      <c r="E16" s="83"/>
      <c r="F16" s="83">
        <v>2.905938E7</v>
      </c>
      <c r="G16" s="119" t="s">
        <v>196</v>
      </c>
      <c r="H16" s="91" t="s">
        <v>197</v>
      </c>
      <c r="I16" s="83" t="s">
        <v>149</v>
      </c>
      <c r="J16" s="83" t="s">
        <v>150</v>
      </c>
      <c r="K16" s="83" t="s">
        <v>151</v>
      </c>
      <c r="L16" s="82" t="s">
        <v>76</v>
      </c>
      <c r="M16" s="82" t="str">
        <f>IFERROR(__xludf.DUMMYFUNCTION("IFERROR(VLOOKUP(D16,
IMPORTRANGE(""https://docs.google.com/spreadsheets/d/1MjHtlUikwobi2MaWJgy7tfLeBmhj1u-dRFRs_8GwSoA/edit#gid=0"",""Gestores Escolares!D7:J""),3,0),""VERIFICAR CÓD SEC"")"),"ARMANDA ANDRADE BARRETO RAMOS")</f>
        <v>ARMANDA ANDRADE BARRETO RAMOS</v>
      </c>
      <c r="N16" s="82" t="str">
        <f>IFERROR(__xludf.DUMMYFUNCTION("IFERROR(VLOOKUP(D16,
IMPORTRANGE(""https://docs.google.com/spreadsheets/d/1MjHtlUikwobi2MaWJgy7tfLeBmhj1u-dRFRs_8GwSoA/edit#gid=0"",""Gestores Escolares!D7:J""),4,0),""VERIFICAR CÓD SEC"")"),"(74) 9 9936-0280")</f>
        <v>(74) 9 9936-0280</v>
      </c>
      <c r="O16" s="82" t="str">
        <f>IFERROR(__xludf.DUMMYFUNCTION("IFERROR(VLOOKUP(D16,
IMPORTRANGE(""https://docs.google.com/spreadsheets/d/1MjHtlUikwobi2MaWJgy7tfLeBmhj1u-dRFRs_8GwSoA/edit#gid=0"",""Gestores Escolares!D7:J""),6,0),""VERIFICAR CÓD SEC"")")," RAMON ROCHA RIBEIRO")</f>
        <v> RAMON ROCHA RIBEIRO</v>
      </c>
      <c r="P16" s="82" t="str">
        <f>IFERROR(__xludf.DUMMYFUNCTION("IFERROR(VLOOKUP(D16,
IMPORTRANGE(""https://docs.google.com/spreadsheets/d/1MjHtlUikwobi2MaWJgy7tfLeBmhj1u-dRFRs_8GwSoA/edit#gid=0"",""Gestores Escolares!D7:J""),7,0),""VERIFICAR CÓD SEC"")"),"(74) 9 8114-6964")</f>
        <v>(74) 9 8114-6964</v>
      </c>
      <c r="Q16" s="82" t="str">
        <f>IFERROR(__xludf.DUMMYFUNCTION("IFERROR(VLOOKUP(D16,
IMPORTRANGE(""https://docs.google.com/spreadsheets/d/1MjHtlUikwobi2MaWJgy7tfLeBmhj1u-dRFRs_8GwSoA/edit#gid=0"",""Gestores Escolares!D7:m""),9,0),""VERIFICAR CÓD SEC"")"),"")</f>
        <v/>
      </c>
      <c r="R16" s="82" t="str">
        <f>IFERROR(__xludf.DUMMYFUNCTION("IFERROR(VLOOKUP(D16,
IMPORTRANGE(""https://docs.google.com/spreadsheets/d/1MjHtlUikwobi2MaWJgy7tfLeBmhj1u-dRFRs_8GwSoA/edit#gid=0"",""Gestores Escolares!D7:m""),10,0),""VERIFICAR CÓD SEC"")"),"")</f>
        <v/>
      </c>
      <c r="S16" s="82"/>
      <c r="T16" s="138">
        <v>5.0</v>
      </c>
      <c r="U16" s="145" t="s">
        <v>301</v>
      </c>
      <c r="V16" s="106">
        <v>0.0</v>
      </c>
      <c r="W16" s="107">
        <v>0.0</v>
      </c>
      <c r="X16" s="107">
        <v>0.0</v>
      </c>
      <c r="Y16" s="107">
        <v>0.0</v>
      </c>
      <c r="Z16" s="80">
        <f t="shared" si="1"/>
        <v>0</v>
      </c>
      <c r="AA16" s="106">
        <v>0.0</v>
      </c>
      <c r="AB16" s="107">
        <v>0.0</v>
      </c>
      <c r="AC16" s="107">
        <v>0.0</v>
      </c>
      <c r="AD16" s="107">
        <v>0.0</v>
      </c>
      <c r="AE16" s="80">
        <f t="shared" si="2"/>
        <v>0</v>
      </c>
      <c r="AF16" s="140">
        <v>133.0</v>
      </c>
      <c r="AG16" s="109">
        <v>123.0</v>
      </c>
      <c r="AH16" s="109">
        <v>0.0</v>
      </c>
      <c r="AI16" s="141">
        <v>0.0</v>
      </c>
      <c r="AJ16" s="80">
        <f t="shared" si="3"/>
        <v>256</v>
      </c>
      <c r="AK16" s="140">
        <v>0.0</v>
      </c>
      <c r="AL16" s="109">
        <v>0.0</v>
      </c>
      <c r="AM16" s="141">
        <v>0.0</v>
      </c>
      <c r="AN16" s="80">
        <f t="shared" si="4"/>
        <v>0</v>
      </c>
      <c r="AO16" s="140">
        <v>0.0</v>
      </c>
      <c r="AP16" s="109">
        <v>0.0</v>
      </c>
      <c r="AQ16" s="109">
        <v>0.0</v>
      </c>
      <c r="AR16" s="80">
        <f t="shared" si="5"/>
        <v>0</v>
      </c>
      <c r="AS16" s="110">
        <v>31.0</v>
      </c>
      <c r="AT16" s="110">
        <v>24.0</v>
      </c>
      <c r="AU16" s="110">
        <v>26.0</v>
      </c>
      <c r="AV16" s="142">
        <v>0.0</v>
      </c>
      <c r="AW16" s="80">
        <f t="shared" si="6"/>
        <v>81</v>
      </c>
      <c r="AX16" s="113">
        <f t="shared" si="7"/>
        <v>337</v>
      </c>
      <c r="AY16" s="117">
        <f t="shared" si="8"/>
        <v>311</v>
      </c>
      <c r="AZ16" s="120">
        <f t="shared" si="9"/>
        <v>26</v>
      </c>
      <c r="BA16" s="115">
        <v>0.0</v>
      </c>
      <c r="BB16" s="89">
        <f t="shared" si="10"/>
        <v>337</v>
      </c>
      <c r="BC16" s="132" t="s">
        <v>178</v>
      </c>
      <c r="BD16" s="132" t="s">
        <v>178</v>
      </c>
      <c r="BE16" s="132" t="s">
        <v>178</v>
      </c>
      <c r="BF16" s="123"/>
      <c r="BG16" s="83">
        <v>1126212.0</v>
      </c>
      <c r="BH16" s="98" t="s">
        <v>198</v>
      </c>
      <c r="BI16" s="112">
        <v>5.0</v>
      </c>
      <c r="BJ16" s="98" t="s">
        <v>155</v>
      </c>
      <c r="BK16" s="99">
        <f t="shared" si="11"/>
        <v>0</v>
      </c>
      <c r="BL16" s="99">
        <f t="shared" si="12"/>
        <v>311</v>
      </c>
      <c r="BM16" s="99" t="str">
        <f>IFERROR(__xludf.DUMMYFUNCTION("IFERROR(VLOOKUP(BG16,IMPORTRANGE(""https://docs.google.com/spreadsheets/d/1juPI-Fb8LD0YtltB2mlGEnp_R3UVu1t3wSFPzgCyHXE/edit?gid=0#gid=0"",""GERAL!A2:C""),3,0),""-"")"),"-")</f>
        <v>-</v>
      </c>
    </row>
    <row r="17">
      <c r="A17" s="111" t="s">
        <v>130</v>
      </c>
      <c r="B17" s="83" t="s">
        <v>200</v>
      </c>
      <c r="C17" s="83" t="s">
        <v>68</v>
      </c>
      <c r="D17" s="112">
        <v>1126247.0</v>
      </c>
      <c r="E17" s="83"/>
      <c r="F17" s="83">
        <v>2.9060001E7</v>
      </c>
      <c r="G17" s="153" t="s">
        <v>201</v>
      </c>
      <c r="H17" s="91" t="s">
        <v>202</v>
      </c>
      <c r="I17" s="83" t="s">
        <v>149</v>
      </c>
      <c r="J17" s="83" t="s">
        <v>150</v>
      </c>
      <c r="K17" s="83" t="s">
        <v>151</v>
      </c>
      <c r="L17" s="83" t="s">
        <v>152</v>
      </c>
      <c r="M17" s="82" t="str">
        <f>IFERROR(__xludf.DUMMYFUNCTION("IFERROR(VLOOKUP(D17,
IMPORTRANGE(""https://docs.google.com/spreadsheets/d/1MjHtlUikwobi2MaWJgy7tfLeBmhj1u-dRFRs_8GwSoA/edit#gid=0"",""Gestores Escolares!D7:J""),3,0),""VERIFICAR CÓD SEC"")"),"CÍCERA MARIA PIRES")</f>
        <v>CÍCERA MARIA PIRES</v>
      </c>
      <c r="N17" s="82" t="str">
        <f>IFERROR(__xludf.DUMMYFUNCTION("IFERROR(VLOOKUP(D17,
IMPORTRANGE(""https://docs.google.com/spreadsheets/d/1MjHtlUikwobi2MaWJgy7tfLeBmhj1u-dRFRs_8GwSoA/edit#gid=0"",""Gestores Escolares!D7:J""),4,0),""VERIFICAR CÓD SEC"")"),"(62) 9 9607-3189")</f>
        <v>(62) 9 9607-3189</v>
      </c>
      <c r="O17" s="82" t="str">
        <f>IFERROR(__xludf.DUMMYFUNCTION("IFERROR(VLOOKUP(D17,
IMPORTRANGE(""https://docs.google.com/spreadsheets/d/1MjHtlUikwobi2MaWJgy7tfLeBmhj1u-dRFRs_8GwSoA/edit#gid=0"",""Gestores Escolares!D7:J""),6,0),""VERIFICAR CÓD SEC"")"),"CEZAR LOPES DE SOUZA")</f>
        <v>CEZAR LOPES DE SOUZA</v>
      </c>
      <c r="P17" s="82" t="str">
        <f>IFERROR(__xludf.DUMMYFUNCTION("IFERROR(VLOOKUP(D17,
IMPORTRANGE(""https://docs.google.com/spreadsheets/d/1MjHtlUikwobi2MaWJgy7tfLeBmhj1u-dRFRs_8GwSoA/edit#gid=0"",""Gestores Escolares!D7:J""),7,0),""VERIFICAR CÓD SEC"")"),"(74) 9 9804-9765")</f>
        <v>(74) 9 9804-9765</v>
      </c>
      <c r="Q17" s="82" t="str">
        <f>IFERROR(__xludf.DUMMYFUNCTION("IFERROR(VLOOKUP(D17,
IMPORTRANGE(""https://docs.google.com/spreadsheets/d/1MjHtlUikwobi2MaWJgy7tfLeBmhj1u-dRFRs_8GwSoA/edit#gid=0"",""Gestores Escolares!D7:m""),9,0),""VERIFICAR CÓD SEC"")"),"")</f>
        <v/>
      </c>
      <c r="R17" s="82" t="str">
        <f>IFERROR(__xludf.DUMMYFUNCTION("IFERROR(VLOOKUP(D17,
IMPORTRANGE(""https://docs.google.com/spreadsheets/d/1MjHtlUikwobi2MaWJgy7tfLeBmhj1u-dRFRs_8GwSoA/edit#gid=0"",""Gestores Escolares!D7:m""),10,0),""VERIFICAR CÓD SEC"")"),"")</f>
        <v/>
      </c>
      <c r="S17" s="82"/>
      <c r="T17" s="138">
        <v>9.0</v>
      </c>
      <c r="U17" s="145">
        <v>17.0</v>
      </c>
      <c r="V17" s="106">
        <v>0.0</v>
      </c>
      <c r="W17" s="107">
        <v>0.0</v>
      </c>
      <c r="X17" s="107">
        <v>0.0</v>
      </c>
      <c r="Y17" s="107">
        <v>0.0</v>
      </c>
      <c r="Z17" s="80">
        <f t="shared" si="1"/>
        <v>0</v>
      </c>
      <c r="AA17" s="106">
        <v>0.0</v>
      </c>
      <c r="AB17" s="107">
        <v>0.0</v>
      </c>
      <c r="AC17" s="107">
        <v>0.0</v>
      </c>
      <c r="AD17" s="107">
        <v>0.0</v>
      </c>
      <c r="AE17" s="80">
        <f t="shared" si="2"/>
        <v>0</v>
      </c>
      <c r="AF17" s="140">
        <v>0.0</v>
      </c>
      <c r="AG17" s="109">
        <v>0.0</v>
      </c>
      <c r="AH17" s="109">
        <v>0.0</v>
      </c>
      <c r="AI17" s="141">
        <v>555.0</v>
      </c>
      <c r="AJ17" s="80">
        <f t="shared" si="3"/>
        <v>555</v>
      </c>
      <c r="AK17" s="140">
        <v>0.0</v>
      </c>
      <c r="AL17" s="109">
        <v>0.0</v>
      </c>
      <c r="AM17" s="141">
        <v>0.0</v>
      </c>
      <c r="AN17" s="80">
        <f t="shared" si="4"/>
        <v>0</v>
      </c>
      <c r="AO17" s="140">
        <v>0.0</v>
      </c>
      <c r="AP17" s="109">
        <v>0.0</v>
      </c>
      <c r="AQ17" s="109">
        <v>108.0</v>
      </c>
      <c r="AR17" s="80">
        <f t="shared" si="5"/>
        <v>108</v>
      </c>
      <c r="AS17" s="110">
        <v>0.0</v>
      </c>
      <c r="AT17" s="110">
        <v>0.0</v>
      </c>
      <c r="AU17" s="110">
        <v>0.0</v>
      </c>
      <c r="AV17" s="142">
        <v>82.0</v>
      </c>
      <c r="AW17" s="80">
        <f t="shared" si="6"/>
        <v>82</v>
      </c>
      <c r="AX17" s="113">
        <f t="shared" si="7"/>
        <v>745</v>
      </c>
      <c r="AY17" s="117">
        <f t="shared" si="8"/>
        <v>637</v>
      </c>
      <c r="AZ17" s="120">
        <f t="shared" si="9"/>
        <v>108</v>
      </c>
      <c r="BA17" s="115">
        <v>0.0</v>
      </c>
      <c r="BB17" s="89">
        <f t="shared" si="10"/>
        <v>745</v>
      </c>
      <c r="BC17" s="132" t="s">
        <v>178</v>
      </c>
      <c r="BD17" s="132" t="s">
        <v>178</v>
      </c>
      <c r="BE17" s="132" t="s">
        <v>178</v>
      </c>
      <c r="BF17" s="123"/>
      <c r="BG17" s="83">
        <v>1126247.0</v>
      </c>
      <c r="BH17" s="98" t="s">
        <v>203</v>
      </c>
      <c r="BI17" s="112">
        <v>9.0</v>
      </c>
      <c r="BJ17" s="98" t="s">
        <v>162</v>
      </c>
      <c r="BK17" s="99">
        <f t="shared" si="11"/>
        <v>637</v>
      </c>
      <c r="BL17" s="99">
        <f t="shared" si="12"/>
        <v>0</v>
      </c>
      <c r="BM17" s="99" t="str">
        <f>IFERROR(__xludf.DUMMYFUNCTION("IFERROR(VLOOKUP(BG17,IMPORTRANGE(""https://docs.google.com/spreadsheets/d/1juPI-Fb8LD0YtltB2mlGEnp_R3UVu1t3wSFPzgCyHXE/edit?gid=0#gid=0"",""GERAL!A2:C""),3,0),""-"")"),"-")</f>
        <v>-</v>
      </c>
    </row>
    <row r="18">
      <c r="A18" s="111" t="s">
        <v>130</v>
      </c>
      <c r="B18" s="83" t="s">
        <v>200</v>
      </c>
      <c r="C18" s="83" t="s">
        <v>164</v>
      </c>
      <c r="D18" s="112">
        <v>1179281.0</v>
      </c>
      <c r="E18" s="83">
        <v>1178792.0</v>
      </c>
      <c r="F18" s="98">
        <v>2.9459141E7</v>
      </c>
      <c r="G18" s="114" t="s">
        <v>206</v>
      </c>
      <c r="H18" s="91" t="s">
        <v>207</v>
      </c>
      <c r="I18" s="136" t="s">
        <v>208</v>
      </c>
      <c r="J18" s="83" t="s">
        <v>209</v>
      </c>
      <c r="K18" s="83" t="s">
        <v>151</v>
      </c>
      <c r="L18" s="83" t="s">
        <v>169</v>
      </c>
      <c r="M18" s="82" t="str">
        <f>IFERROR(__xludf.DUMMYFUNCTION("IFERROR(VLOOKUP(D18,
IMPORTRANGE(""https://docs.google.com/spreadsheets/d/1MjHtlUikwobi2MaWJgy7tfLeBmhj1u-dRFRs_8GwSoA/edit#gid=0"",""Gestores Escolares!D7:J""),3,0),""VERIFICAR CÓD SEC"")"),"MARCOS PAULO DA SILVA ALMEIDA")</f>
        <v>MARCOS PAULO DA SILVA ALMEIDA</v>
      </c>
      <c r="N18" s="82" t="str">
        <f>IFERROR(__xludf.DUMMYFUNCTION("IFERROR(VLOOKUP(D18,
IMPORTRANGE(""https://docs.google.com/spreadsheets/d/1MjHtlUikwobi2MaWJgy7tfLeBmhj1u-dRFRs_8GwSoA/edit#gid=0"",""Gestores Escolares!D7:J""),4,0),""VERIFICAR CÓD SEC"")"),"(74) 9 9998-8112")</f>
        <v>(74) 9 9998-8112</v>
      </c>
      <c r="O18" s="82" t="str">
        <f>IFERROR(__xludf.DUMMYFUNCTION("IFERROR(VLOOKUP(D18,
IMPORTRANGE(""https://docs.google.com/spreadsheets/d/1MjHtlUikwobi2MaWJgy7tfLeBmhj1u-dRFRs_8GwSoA/edit#gid=0"",""Gestores Escolares!D7:J""),6,0),""VERIFICAR CÓD SEC"")"),"FERNANDA MIRANDA CAMPOS")</f>
        <v>FERNANDA MIRANDA CAMPOS</v>
      </c>
      <c r="P18" s="82" t="str">
        <f>IFERROR(__xludf.DUMMYFUNCTION("IFERROR(VLOOKUP(D18,
IMPORTRANGE(""https://docs.google.com/spreadsheets/d/1MjHtlUikwobi2MaWJgy7tfLeBmhj1u-dRFRs_8GwSoA/edit#gid=0"",""Gestores Escolares!D7:J""),7,0),""VERIFICAR CÓD SEC"")"),"(74) 9 9963-4717")</f>
        <v>(74) 9 9963-4717</v>
      </c>
      <c r="Q18" s="82" t="str">
        <f>IFERROR(__xludf.DUMMYFUNCTION("IFERROR(VLOOKUP(D18,
IMPORTRANGE(""https://docs.google.com/spreadsheets/d/1MjHtlUikwobi2MaWJgy7tfLeBmhj1u-dRFRs_8GwSoA/edit#gid=0"",""Gestores Escolares!D7:m""),9,0),""VERIFICAR CÓD SEC"")"),"")</f>
        <v/>
      </c>
      <c r="R18" s="82" t="str">
        <f>IFERROR(__xludf.DUMMYFUNCTION("IFERROR(VLOOKUP(D18,
IMPORTRANGE(""https://docs.google.com/spreadsheets/d/1MjHtlUikwobi2MaWJgy7tfLeBmhj1u-dRFRs_8GwSoA/edit#gid=0"",""Gestores Escolares!D7:m""),10,0),""VERIFICAR CÓD SEC"")"),"")</f>
        <v/>
      </c>
      <c r="S18" s="82"/>
      <c r="T18" s="138">
        <v>3.0</v>
      </c>
      <c r="U18" s="145">
        <v>1.0</v>
      </c>
      <c r="V18" s="106">
        <v>0.0</v>
      </c>
      <c r="W18" s="107">
        <v>0.0</v>
      </c>
      <c r="X18" s="107">
        <v>0.0</v>
      </c>
      <c r="Y18" s="107">
        <v>0.0</v>
      </c>
      <c r="Z18" s="80">
        <f t="shared" si="1"/>
        <v>0</v>
      </c>
      <c r="AA18" s="106">
        <v>0.0</v>
      </c>
      <c r="AB18" s="107">
        <v>0.0</v>
      </c>
      <c r="AC18" s="107">
        <v>0.0</v>
      </c>
      <c r="AD18" s="107">
        <v>0.0</v>
      </c>
      <c r="AE18" s="80">
        <f t="shared" si="2"/>
        <v>0</v>
      </c>
      <c r="AF18" s="140">
        <v>0.0</v>
      </c>
      <c r="AG18" s="109">
        <v>0.0</v>
      </c>
      <c r="AH18" s="109">
        <v>60.0</v>
      </c>
      <c r="AI18" s="141">
        <v>0.0</v>
      </c>
      <c r="AJ18" s="80">
        <f t="shared" si="3"/>
        <v>60</v>
      </c>
      <c r="AK18" s="140">
        <v>0.0</v>
      </c>
      <c r="AL18" s="109">
        <v>0.0</v>
      </c>
      <c r="AM18" s="141">
        <v>0.0</v>
      </c>
      <c r="AN18" s="80">
        <f t="shared" si="4"/>
        <v>0</v>
      </c>
      <c r="AO18" s="140">
        <v>0.0</v>
      </c>
      <c r="AP18" s="109">
        <v>0.0</v>
      </c>
      <c r="AQ18" s="109">
        <v>0.0</v>
      </c>
      <c r="AR18" s="80">
        <f t="shared" si="5"/>
        <v>0</v>
      </c>
      <c r="AS18" s="110">
        <v>0.0</v>
      </c>
      <c r="AT18" s="110">
        <v>0.0</v>
      </c>
      <c r="AU18" s="110">
        <v>0.0</v>
      </c>
      <c r="AV18" s="142">
        <v>0.0</v>
      </c>
      <c r="AW18" s="80">
        <f t="shared" si="6"/>
        <v>0</v>
      </c>
      <c r="AX18" s="113">
        <f t="shared" si="7"/>
        <v>60</v>
      </c>
      <c r="AY18" s="117">
        <f t="shared" si="8"/>
        <v>0</v>
      </c>
      <c r="AZ18" s="120">
        <f t="shared" si="9"/>
        <v>60</v>
      </c>
      <c r="BA18" s="115">
        <v>0.0</v>
      </c>
      <c r="BB18" s="89">
        <f t="shared" si="10"/>
        <v>60</v>
      </c>
      <c r="BC18" s="132" t="s">
        <v>178</v>
      </c>
      <c r="BD18" s="143" t="s">
        <v>227</v>
      </c>
      <c r="BE18" s="132" t="s">
        <v>64</v>
      </c>
      <c r="BF18" s="123"/>
      <c r="BG18" s="83">
        <v>1178792.0</v>
      </c>
      <c r="BH18" s="144"/>
      <c r="BI18" s="112">
        <v>3.0</v>
      </c>
      <c r="BJ18" s="98" t="s">
        <v>155</v>
      </c>
      <c r="BK18" s="99">
        <f t="shared" si="11"/>
        <v>0</v>
      </c>
      <c r="BL18" s="99">
        <f t="shared" si="12"/>
        <v>0</v>
      </c>
      <c r="BM18" s="99" t="str">
        <f>IFERROR(__xludf.DUMMYFUNCTION("IFERROR(VLOOKUP(BG18,IMPORTRANGE(""https://docs.google.com/spreadsheets/d/1juPI-Fb8LD0YtltB2mlGEnp_R3UVu1t3wSFPzgCyHXE/edit?gid=0#gid=0"",""GERAL!A2:C""),3,0),""-"")"),"-")</f>
        <v>-</v>
      </c>
    </row>
    <row r="19">
      <c r="A19" s="111" t="s">
        <v>130</v>
      </c>
      <c r="B19" s="83" t="s">
        <v>210</v>
      </c>
      <c r="C19" s="83" t="s">
        <v>68</v>
      </c>
      <c r="D19" s="112">
        <v>1163100.0</v>
      </c>
      <c r="E19" s="83"/>
      <c r="F19" s="83">
        <v>2.9060214E7</v>
      </c>
      <c r="G19" s="114" t="s">
        <v>211</v>
      </c>
      <c r="H19" s="91" t="s">
        <v>212</v>
      </c>
      <c r="I19" s="83" t="s">
        <v>149</v>
      </c>
      <c r="J19" s="83" t="s">
        <v>150</v>
      </c>
      <c r="K19" s="83" t="s">
        <v>151</v>
      </c>
      <c r="L19" s="83" t="s">
        <v>152</v>
      </c>
      <c r="M19" s="82" t="str">
        <f>IFERROR(__xludf.DUMMYFUNCTION("IFERROR(VLOOKUP(D19,
IMPORTRANGE(""https://docs.google.com/spreadsheets/d/1MjHtlUikwobi2MaWJgy7tfLeBmhj1u-dRFRs_8GwSoA/edit#gid=0"",""Gestores Escolares!D7:J""),3,0),""VERIFICAR CÓD SEC"")"),"OSIAS CARDOSO PIMENTA")</f>
        <v>OSIAS CARDOSO PIMENTA</v>
      </c>
      <c r="N19" s="82" t="str">
        <f>IFERROR(__xludf.DUMMYFUNCTION("IFERROR(VLOOKUP(D19,
IMPORTRANGE(""https://docs.google.com/spreadsheets/d/1MjHtlUikwobi2MaWJgy7tfLeBmhj1u-dRFRs_8GwSoA/edit#gid=0"",""Gestores Escolares!D7:J""),4,0),""VERIFICAR CÓD SEC"")"),"(74) 9 9988-0421")</f>
        <v>(74) 9 9988-0421</v>
      </c>
      <c r="O19" s="82" t="str">
        <f>IFERROR(__xludf.DUMMYFUNCTION("IFERROR(VLOOKUP(D19,
IMPORTRANGE(""https://docs.google.com/spreadsheets/d/1MjHtlUikwobi2MaWJgy7tfLeBmhj1u-dRFRs_8GwSoA/edit#gid=0"",""Gestores Escolares!D7:J""),6,0),""VERIFICAR CÓD SEC"")"),"MONICA ALMEIDA DA SILVA GONÇALVES")</f>
        <v>MONICA ALMEIDA DA SILVA GONÇALVES</v>
      </c>
      <c r="P19" s="82" t="str">
        <f>IFERROR(__xludf.DUMMYFUNCTION("IFERROR(VLOOKUP(D19,
IMPORTRANGE(""https://docs.google.com/spreadsheets/d/1MjHtlUikwobi2MaWJgy7tfLeBmhj1u-dRFRs_8GwSoA/edit#gid=0"",""Gestores Escolares!D7:J""),7,0),""VERIFICAR CÓD SEC"")"),"(74) 9 9973-3834")</f>
        <v>(74) 9 9973-3834</v>
      </c>
      <c r="Q19" s="82" t="str">
        <f>IFERROR(__xludf.DUMMYFUNCTION("IFERROR(VLOOKUP(D19,
IMPORTRANGE(""https://docs.google.com/spreadsheets/d/1MjHtlUikwobi2MaWJgy7tfLeBmhj1u-dRFRs_8GwSoA/edit#gid=0"",""Gestores Escolares!D7:m""),9,0),""VERIFICAR CÓD SEC"")"),"CALEBE MIRANDA DA SILVA")</f>
        <v>CALEBE MIRANDA DA SILVA</v>
      </c>
      <c r="R19" s="82" t="str">
        <f>IFERROR(__xludf.DUMMYFUNCTION("IFERROR(VLOOKUP(D19,
IMPORTRANGE(""https://docs.google.com/spreadsheets/d/1MjHtlUikwobi2MaWJgy7tfLeBmhj1u-dRFRs_8GwSoA/edit#gid=0"",""Gestores Escolares!D7:m""),10,0),""VERIFICAR CÓD SEC"")"),"(74) 9 9969-0595")</f>
        <v>(74) 9 9969-0595</v>
      </c>
      <c r="S19" s="82"/>
      <c r="T19" s="138">
        <v>13.0</v>
      </c>
      <c r="U19" s="145" t="s">
        <v>349</v>
      </c>
      <c r="V19" s="106">
        <v>0.0</v>
      </c>
      <c r="W19" s="107">
        <v>0.0</v>
      </c>
      <c r="X19" s="107">
        <v>0.0</v>
      </c>
      <c r="Y19" s="107">
        <v>0.0</v>
      </c>
      <c r="Z19" s="80">
        <f t="shared" si="1"/>
        <v>0</v>
      </c>
      <c r="AA19" s="106">
        <v>0.0</v>
      </c>
      <c r="AB19" s="107">
        <v>0.0</v>
      </c>
      <c r="AC19" s="107">
        <v>0.0</v>
      </c>
      <c r="AD19" s="107">
        <v>0.0</v>
      </c>
      <c r="AE19" s="80">
        <f t="shared" si="2"/>
        <v>0</v>
      </c>
      <c r="AF19" s="140">
        <v>0.0</v>
      </c>
      <c r="AG19" s="109">
        <v>0.0</v>
      </c>
      <c r="AH19" s="109">
        <v>0.0</v>
      </c>
      <c r="AI19" s="141">
        <v>489.0</v>
      </c>
      <c r="AJ19" s="80">
        <f t="shared" si="3"/>
        <v>489</v>
      </c>
      <c r="AK19" s="140">
        <v>0.0</v>
      </c>
      <c r="AL19" s="109">
        <v>0.0</v>
      </c>
      <c r="AM19" s="141">
        <v>0.0</v>
      </c>
      <c r="AN19" s="80">
        <f t="shared" si="4"/>
        <v>0</v>
      </c>
      <c r="AO19" s="140">
        <v>0.0</v>
      </c>
      <c r="AP19" s="109">
        <v>0.0</v>
      </c>
      <c r="AQ19" s="109">
        <v>0.0</v>
      </c>
      <c r="AR19" s="80">
        <f t="shared" si="5"/>
        <v>0</v>
      </c>
      <c r="AS19" s="110">
        <v>0.0</v>
      </c>
      <c r="AT19" s="110">
        <v>0.0</v>
      </c>
      <c r="AU19" s="110">
        <v>98.0</v>
      </c>
      <c r="AV19" s="142">
        <v>0.0</v>
      </c>
      <c r="AW19" s="80">
        <f t="shared" si="6"/>
        <v>98</v>
      </c>
      <c r="AX19" s="113">
        <f t="shared" si="7"/>
        <v>587</v>
      </c>
      <c r="AY19" s="117">
        <f t="shared" si="8"/>
        <v>489</v>
      </c>
      <c r="AZ19" s="120">
        <f t="shared" si="9"/>
        <v>98</v>
      </c>
      <c r="BA19" s="115">
        <v>0.0</v>
      </c>
      <c r="BB19" s="89">
        <f t="shared" si="10"/>
        <v>587</v>
      </c>
      <c r="BC19" s="132" t="s">
        <v>178</v>
      </c>
      <c r="BD19" s="132" t="s">
        <v>178</v>
      </c>
      <c r="BE19" s="132" t="s">
        <v>178</v>
      </c>
      <c r="BF19" s="156"/>
      <c r="BG19" s="83">
        <v>1163100.0</v>
      </c>
      <c r="BH19" s="137" t="s">
        <v>213</v>
      </c>
      <c r="BI19" s="112">
        <v>10.0</v>
      </c>
      <c r="BJ19" s="98" t="s">
        <v>155</v>
      </c>
      <c r="BK19" s="99">
        <f t="shared" si="11"/>
        <v>489</v>
      </c>
      <c r="BL19" s="99">
        <f t="shared" si="12"/>
        <v>0</v>
      </c>
      <c r="BM19" s="99" t="str">
        <f>IFERROR(__xludf.DUMMYFUNCTION("IFERROR(VLOOKUP(BG19,IMPORTRANGE(""https://docs.google.com/spreadsheets/d/1juPI-Fb8LD0YtltB2mlGEnp_R3UVu1t3wSFPzgCyHXE/edit?gid=0#gid=0"",""GERAL!A2:C""),3,0),""-"")"),"-")</f>
        <v>-</v>
      </c>
    </row>
    <row r="20">
      <c r="A20" s="111" t="s">
        <v>130</v>
      </c>
      <c r="B20" s="83" t="s">
        <v>210</v>
      </c>
      <c r="C20" s="83" t="s">
        <v>68</v>
      </c>
      <c r="D20" s="112">
        <v>1137583.0</v>
      </c>
      <c r="E20" s="83"/>
      <c r="F20" s="83">
        <v>2.9060206E7</v>
      </c>
      <c r="G20" s="114" t="s">
        <v>215</v>
      </c>
      <c r="H20" s="91" t="s">
        <v>216</v>
      </c>
      <c r="I20" s="83" t="s">
        <v>149</v>
      </c>
      <c r="J20" s="83" t="s">
        <v>209</v>
      </c>
      <c r="K20" s="83" t="s">
        <v>151</v>
      </c>
      <c r="L20" s="83" t="s">
        <v>76</v>
      </c>
      <c r="M20" s="82" t="str">
        <f>IFERROR(__xludf.DUMMYFUNCTION("IFERROR(VLOOKUP(D20,
IMPORTRANGE(""https://docs.google.com/spreadsheets/d/1MjHtlUikwobi2MaWJgy7tfLeBmhj1u-dRFRs_8GwSoA/edit#gid=0"",""Gestores Escolares!D7:J""),3,0),""VERIFICAR CÓD SEC"")"),"LEDA DOURADO CARNEIRO MARTINS")</f>
        <v>LEDA DOURADO CARNEIRO MARTINS</v>
      </c>
      <c r="N20" s="82" t="str">
        <f>IFERROR(__xludf.DUMMYFUNCTION("IFERROR(VLOOKUP(D20,
IMPORTRANGE(""https://docs.google.com/spreadsheets/d/1MjHtlUikwobi2MaWJgy7tfLeBmhj1u-dRFRs_8GwSoA/edit#gid=0"",""Gestores Escolares!D7:J""),4,0),""VERIFICAR CÓD SEC"")"),"(74) 9 9996-9536")</f>
        <v>(74) 9 9996-9536</v>
      </c>
      <c r="O20" s="82" t="str">
        <f>IFERROR(__xludf.DUMMYFUNCTION("IFERROR(VLOOKUP(D20,
IMPORTRANGE(""https://docs.google.com/spreadsheets/d/1MjHtlUikwobi2MaWJgy7tfLeBmhj1u-dRFRs_8GwSoA/edit#gid=0"",""Gestores Escolares!D7:J""),6,0),""VERIFICAR CÓD SEC"")"),"VAGNER NASCIMENTO MACHADO")</f>
        <v>VAGNER NASCIMENTO MACHADO</v>
      </c>
      <c r="P20" s="82" t="str">
        <f>IFERROR(__xludf.DUMMYFUNCTION("IFERROR(VLOOKUP(D20,
IMPORTRANGE(""https://docs.google.com/spreadsheets/d/1MjHtlUikwobi2MaWJgy7tfLeBmhj1u-dRFRs_8GwSoA/edit#gid=0"",""Gestores Escolares!D7:J""),7,0),""VERIFICAR CÓD SEC"")"),"(74) 9 9996-9006")</f>
        <v>(74) 9 9996-9006</v>
      </c>
      <c r="Q20" s="82" t="str">
        <f>IFERROR(__xludf.DUMMYFUNCTION("IFERROR(VLOOKUP(D20,
IMPORTRANGE(""https://docs.google.com/spreadsheets/d/1MjHtlUikwobi2MaWJgy7tfLeBmhj1u-dRFRs_8GwSoA/edit#gid=0"",""Gestores Escolares!D7:m""),9,0),""VERIFICAR CÓD SEC"")"),"")</f>
        <v/>
      </c>
      <c r="R20" s="82" t="str">
        <f>IFERROR(__xludf.DUMMYFUNCTION("IFERROR(VLOOKUP(D20,
IMPORTRANGE(""https://docs.google.com/spreadsheets/d/1MjHtlUikwobi2MaWJgy7tfLeBmhj1u-dRFRs_8GwSoA/edit#gid=0"",""Gestores Escolares!D7:m""),10,0),""VERIFICAR CÓD SEC"")"),"")</f>
        <v/>
      </c>
      <c r="S20" s="82"/>
      <c r="T20" s="138">
        <v>8.0</v>
      </c>
      <c r="U20" s="145">
        <v>8.0</v>
      </c>
      <c r="V20" s="106">
        <v>0.0</v>
      </c>
      <c r="W20" s="107">
        <v>0.0</v>
      </c>
      <c r="X20" s="107">
        <v>0.0</v>
      </c>
      <c r="Y20" s="107">
        <v>0.0</v>
      </c>
      <c r="Z20" s="80">
        <f t="shared" si="1"/>
        <v>0</v>
      </c>
      <c r="AA20" s="106">
        <v>0.0</v>
      </c>
      <c r="AB20" s="107">
        <v>0.0</v>
      </c>
      <c r="AC20" s="107">
        <v>0.0</v>
      </c>
      <c r="AD20" s="107">
        <v>0.0</v>
      </c>
      <c r="AE20" s="80">
        <f t="shared" si="2"/>
        <v>0</v>
      </c>
      <c r="AF20" s="140">
        <v>149.0</v>
      </c>
      <c r="AG20" s="109">
        <v>0.0</v>
      </c>
      <c r="AH20" s="109">
        <v>0.0</v>
      </c>
      <c r="AI20" s="141">
        <v>78.0</v>
      </c>
      <c r="AJ20" s="80">
        <f t="shared" si="3"/>
        <v>227</v>
      </c>
      <c r="AK20" s="140">
        <v>0.0</v>
      </c>
      <c r="AL20" s="109">
        <v>0.0</v>
      </c>
      <c r="AM20" s="141">
        <v>0.0</v>
      </c>
      <c r="AN20" s="80">
        <f t="shared" si="4"/>
        <v>0</v>
      </c>
      <c r="AO20" s="140">
        <v>0.0</v>
      </c>
      <c r="AP20" s="109">
        <v>0.0</v>
      </c>
      <c r="AQ20" s="109">
        <v>30.0</v>
      </c>
      <c r="AR20" s="80">
        <f t="shared" si="5"/>
        <v>30</v>
      </c>
      <c r="AS20" s="110">
        <v>0.0</v>
      </c>
      <c r="AT20" s="110">
        <v>0.0</v>
      </c>
      <c r="AU20" s="110">
        <v>0.0</v>
      </c>
      <c r="AV20" s="142">
        <v>0.0</v>
      </c>
      <c r="AW20" s="80">
        <f t="shared" si="6"/>
        <v>0</v>
      </c>
      <c r="AX20" s="113">
        <f t="shared" si="7"/>
        <v>257</v>
      </c>
      <c r="AY20" s="117">
        <f t="shared" si="8"/>
        <v>227</v>
      </c>
      <c r="AZ20" s="120">
        <f t="shared" si="9"/>
        <v>30</v>
      </c>
      <c r="BA20" s="115">
        <v>0.0</v>
      </c>
      <c r="BB20" s="89">
        <f t="shared" si="10"/>
        <v>257</v>
      </c>
      <c r="BC20" s="132" t="s">
        <v>373</v>
      </c>
      <c r="BD20" s="132" t="s">
        <v>178</v>
      </c>
      <c r="BE20" s="132" t="s">
        <v>178</v>
      </c>
      <c r="BF20" s="156"/>
      <c r="BG20" s="83">
        <v>1137583.0</v>
      </c>
      <c r="BH20" s="137" t="s">
        <v>217</v>
      </c>
      <c r="BI20" s="112">
        <v>7.0</v>
      </c>
      <c r="BJ20" s="98" t="s">
        <v>155</v>
      </c>
      <c r="BK20" s="99">
        <f t="shared" si="11"/>
        <v>78</v>
      </c>
      <c r="BL20" s="99">
        <f t="shared" si="12"/>
        <v>149</v>
      </c>
      <c r="BM20" s="99" t="str">
        <f>IFERROR(__xludf.DUMMYFUNCTION("IFERROR(VLOOKUP(BG20,IMPORTRANGE(""https://docs.google.com/spreadsheets/d/1juPI-Fb8LD0YtltB2mlGEnp_R3UVu1t3wSFPzgCyHXE/edit?gid=0#gid=0"",""GERAL!A2:C""),3,0),""-"")"),"CAMPO")</f>
        <v>CAMPO</v>
      </c>
    </row>
    <row r="21">
      <c r="A21" s="111" t="s">
        <v>130</v>
      </c>
      <c r="B21" s="83" t="s">
        <v>210</v>
      </c>
      <c r="C21" s="83" t="s">
        <v>164</v>
      </c>
      <c r="D21" s="112">
        <v>1179281.0</v>
      </c>
      <c r="E21" s="83">
        <v>1179207.0</v>
      </c>
      <c r="F21" s="98">
        <v>2.9459141E7</v>
      </c>
      <c r="G21" s="114" t="s">
        <v>219</v>
      </c>
      <c r="H21" s="91" t="s">
        <v>220</v>
      </c>
      <c r="I21" s="136" t="s">
        <v>221</v>
      </c>
      <c r="J21" s="83" t="s">
        <v>222</v>
      </c>
      <c r="K21" s="83" t="s">
        <v>168</v>
      </c>
      <c r="L21" s="83" t="s">
        <v>169</v>
      </c>
      <c r="M21" s="82" t="str">
        <f>IFERROR(__xludf.DUMMYFUNCTION("IFERROR(VLOOKUP(D21,
IMPORTRANGE(""https://docs.google.com/spreadsheets/d/1MjHtlUikwobi2MaWJgy7tfLeBmhj1u-dRFRs_8GwSoA/edit#gid=0"",""Gestores Escolares!D7:J""),3,0),""VERIFICAR CÓD SEC"")"),"MARCOS PAULO DA SILVA ALMEIDA")</f>
        <v>MARCOS PAULO DA SILVA ALMEIDA</v>
      </c>
      <c r="N21" s="82" t="str">
        <f>IFERROR(__xludf.DUMMYFUNCTION("IFERROR(VLOOKUP(D21,
IMPORTRANGE(""https://docs.google.com/spreadsheets/d/1MjHtlUikwobi2MaWJgy7tfLeBmhj1u-dRFRs_8GwSoA/edit#gid=0"",""Gestores Escolares!D7:J""),4,0),""VERIFICAR CÓD SEC"")"),"(74) 9 9998-8112")</f>
        <v>(74) 9 9998-8112</v>
      </c>
      <c r="O21" s="82" t="str">
        <f>IFERROR(__xludf.DUMMYFUNCTION("IFERROR(VLOOKUP(D21,
IMPORTRANGE(""https://docs.google.com/spreadsheets/d/1MjHtlUikwobi2MaWJgy7tfLeBmhj1u-dRFRs_8GwSoA/edit#gid=0"",""Gestores Escolares!D7:J""),6,0),""VERIFICAR CÓD SEC"")"),"FERNANDA MIRANDA CAMPOS")</f>
        <v>FERNANDA MIRANDA CAMPOS</v>
      </c>
      <c r="P21" s="82" t="str">
        <f>IFERROR(__xludf.DUMMYFUNCTION("IFERROR(VLOOKUP(D21,
IMPORTRANGE(""https://docs.google.com/spreadsheets/d/1MjHtlUikwobi2MaWJgy7tfLeBmhj1u-dRFRs_8GwSoA/edit#gid=0"",""Gestores Escolares!D7:J""),7,0),""VERIFICAR CÓD SEC"")"),"(74) 9 9963-4717")</f>
        <v>(74) 9 9963-4717</v>
      </c>
      <c r="Q21" s="82" t="str">
        <f>IFERROR(__xludf.DUMMYFUNCTION("IFERROR(VLOOKUP(D21,
IMPORTRANGE(""https://docs.google.com/spreadsheets/d/1MjHtlUikwobi2MaWJgy7tfLeBmhj1u-dRFRs_8GwSoA/edit#gid=0"",""Gestores Escolares!D7:m""),9,0),""VERIFICAR CÓD SEC"")"),"")</f>
        <v/>
      </c>
      <c r="R21" s="82" t="str">
        <f>IFERROR(__xludf.DUMMYFUNCTION("IFERROR(VLOOKUP(D21,
IMPORTRANGE(""https://docs.google.com/spreadsheets/d/1MjHtlUikwobi2MaWJgy7tfLeBmhj1u-dRFRs_8GwSoA/edit#gid=0"",""Gestores Escolares!D7:m""),10,0),""VERIFICAR CÓD SEC"")"),"")</f>
        <v/>
      </c>
      <c r="S21" s="82"/>
      <c r="T21" s="138">
        <v>3.0</v>
      </c>
      <c r="U21" s="145">
        <v>3.0</v>
      </c>
      <c r="V21" s="106">
        <v>0.0</v>
      </c>
      <c r="W21" s="107">
        <v>0.0</v>
      </c>
      <c r="X21" s="107">
        <v>0.0</v>
      </c>
      <c r="Y21" s="107">
        <v>0.0</v>
      </c>
      <c r="Z21" s="80">
        <f t="shared" si="1"/>
        <v>0</v>
      </c>
      <c r="AA21" s="106">
        <v>0.0</v>
      </c>
      <c r="AB21" s="107">
        <v>0.0</v>
      </c>
      <c r="AC21" s="107">
        <v>0.0</v>
      </c>
      <c r="AD21" s="107">
        <v>0.0</v>
      </c>
      <c r="AE21" s="80">
        <f t="shared" si="2"/>
        <v>0</v>
      </c>
      <c r="AF21" s="140">
        <v>0.0</v>
      </c>
      <c r="AG21" s="109">
        <v>0.0</v>
      </c>
      <c r="AH21" s="109">
        <v>64.0</v>
      </c>
      <c r="AI21" s="141">
        <v>0.0</v>
      </c>
      <c r="AJ21" s="80">
        <f t="shared" si="3"/>
        <v>64</v>
      </c>
      <c r="AK21" s="140">
        <v>0.0</v>
      </c>
      <c r="AL21" s="109">
        <v>0.0</v>
      </c>
      <c r="AM21" s="141">
        <v>0.0</v>
      </c>
      <c r="AN21" s="80">
        <f t="shared" si="4"/>
        <v>0</v>
      </c>
      <c r="AO21" s="140">
        <v>0.0</v>
      </c>
      <c r="AP21" s="109">
        <v>0.0</v>
      </c>
      <c r="AQ21" s="109">
        <v>0.0</v>
      </c>
      <c r="AR21" s="80">
        <f t="shared" si="5"/>
        <v>0</v>
      </c>
      <c r="AS21" s="110">
        <v>0.0</v>
      </c>
      <c r="AT21" s="110">
        <v>0.0</v>
      </c>
      <c r="AU21" s="110">
        <v>0.0</v>
      </c>
      <c r="AV21" s="142">
        <v>0.0</v>
      </c>
      <c r="AW21" s="80">
        <f t="shared" si="6"/>
        <v>0</v>
      </c>
      <c r="AX21" s="113">
        <f t="shared" si="7"/>
        <v>64</v>
      </c>
      <c r="AY21" s="117">
        <f t="shared" si="8"/>
        <v>0</v>
      </c>
      <c r="AZ21" s="120">
        <f t="shared" si="9"/>
        <v>64</v>
      </c>
      <c r="BA21" s="115">
        <v>0.0</v>
      </c>
      <c r="BB21" s="89">
        <f t="shared" si="10"/>
        <v>64</v>
      </c>
      <c r="BC21" s="132" t="s">
        <v>178</v>
      </c>
      <c r="BD21" s="143" t="s">
        <v>227</v>
      </c>
      <c r="BE21" s="132" t="s">
        <v>64</v>
      </c>
      <c r="BF21" s="123"/>
      <c r="BG21" s="83">
        <v>1179207.0</v>
      </c>
      <c r="BH21" s="144"/>
      <c r="BI21" s="112">
        <v>3.0</v>
      </c>
      <c r="BJ21" s="98" t="s">
        <v>155</v>
      </c>
      <c r="BK21" s="99">
        <f t="shared" si="11"/>
        <v>0</v>
      </c>
      <c r="BL21" s="99">
        <f t="shared" si="12"/>
        <v>0</v>
      </c>
      <c r="BM21" s="99" t="str">
        <f>IFERROR(__xludf.DUMMYFUNCTION("IFERROR(VLOOKUP(BG21,IMPORTRANGE(""https://docs.google.com/spreadsheets/d/1juPI-Fb8LD0YtltB2mlGEnp_R3UVu1t3wSFPzgCyHXE/edit?gid=0#gid=0"",""GERAL!A2:C""),3,0),""-"")"),"-")</f>
        <v>-</v>
      </c>
    </row>
    <row r="22">
      <c r="A22" s="111" t="s">
        <v>130</v>
      </c>
      <c r="B22" s="83" t="s">
        <v>210</v>
      </c>
      <c r="C22" s="83" t="s">
        <v>164</v>
      </c>
      <c r="D22" s="112">
        <v>1179281.0</v>
      </c>
      <c r="E22" s="83">
        <v>1179160.0</v>
      </c>
      <c r="F22" s="98">
        <v>2.9459141E7</v>
      </c>
      <c r="G22" s="114" t="s">
        <v>223</v>
      </c>
      <c r="H22" s="91" t="s">
        <v>224</v>
      </c>
      <c r="I22" s="136" t="s">
        <v>225</v>
      </c>
      <c r="J22" s="83" t="s">
        <v>187</v>
      </c>
      <c r="K22" s="83" t="s">
        <v>168</v>
      </c>
      <c r="L22" s="83" t="s">
        <v>169</v>
      </c>
      <c r="M22" s="82" t="str">
        <f>IFERROR(__xludf.DUMMYFUNCTION("IFERROR(VLOOKUP(D22,
IMPORTRANGE(""https://docs.google.com/spreadsheets/d/1MjHtlUikwobi2MaWJgy7tfLeBmhj1u-dRFRs_8GwSoA/edit#gid=0"",""Gestores Escolares!D7:J""),3,0),""VERIFICAR CÓD SEC"")"),"MARCOS PAULO DA SILVA ALMEIDA")</f>
        <v>MARCOS PAULO DA SILVA ALMEIDA</v>
      </c>
      <c r="N22" s="82" t="str">
        <f>IFERROR(__xludf.DUMMYFUNCTION("IFERROR(VLOOKUP(D22,
IMPORTRANGE(""https://docs.google.com/spreadsheets/d/1MjHtlUikwobi2MaWJgy7tfLeBmhj1u-dRFRs_8GwSoA/edit#gid=0"",""Gestores Escolares!D7:J""),4,0),""VERIFICAR CÓD SEC"")"),"(74) 9 9998-8112")</f>
        <v>(74) 9 9998-8112</v>
      </c>
      <c r="O22" s="82" t="str">
        <f>IFERROR(__xludf.DUMMYFUNCTION("IFERROR(VLOOKUP(D22,
IMPORTRANGE(""https://docs.google.com/spreadsheets/d/1MjHtlUikwobi2MaWJgy7tfLeBmhj1u-dRFRs_8GwSoA/edit#gid=0"",""Gestores Escolares!D7:J""),6,0),""VERIFICAR CÓD SEC"")"),"FERNANDA MIRANDA CAMPOS")</f>
        <v>FERNANDA MIRANDA CAMPOS</v>
      </c>
      <c r="P22" s="82" t="str">
        <f>IFERROR(__xludf.DUMMYFUNCTION("IFERROR(VLOOKUP(D22,
IMPORTRANGE(""https://docs.google.com/spreadsheets/d/1MjHtlUikwobi2MaWJgy7tfLeBmhj1u-dRFRs_8GwSoA/edit#gid=0"",""Gestores Escolares!D7:J""),7,0),""VERIFICAR CÓD SEC"")"),"(74) 9 9963-4717")</f>
        <v>(74) 9 9963-4717</v>
      </c>
      <c r="Q22" s="82" t="str">
        <f>IFERROR(__xludf.DUMMYFUNCTION("IFERROR(VLOOKUP(D22,
IMPORTRANGE(""https://docs.google.com/spreadsheets/d/1MjHtlUikwobi2MaWJgy7tfLeBmhj1u-dRFRs_8GwSoA/edit#gid=0"",""Gestores Escolares!D7:m""),9,0),""VERIFICAR CÓD SEC"")"),"")</f>
        <v/>
      </c>
      <c r="R22" s="82" t="str">
        <f>IFERROR(__xludf.DUMMYFUNCTION("IFERROR(VLOOKUP(D22,
IMPORTRANGE(""https://docs.google.com/spreadsheets/d/1MjHtlUikwobi2MaWJgy7tfLeBmhj1u-dRFRs_8GwSoA/edit#gid=0"",""Gestores Escolares!D7:m""),10,0),""VERIFICAR CÓD SEC"")"),"")</f>
        <v/>
      </c>
      <c r="S22" s="82"/>
      <c r="T22" s="138">
        <v>3.0</v>
      </c>
      <c r="U22" s="145">
        <v>3.0</v>
      </c>
      <c r="V22" s="106">
        <v>0.0</v>
      </c>
      <c r="W22" s="107">
        <v>0.0</v>
      </c>
      <c r="X22" s="107">
        <v>0.0</v>
      </c>
      <c r="Y22" s="107">
        <v>0.0</v>
      </c>
      <c r="Z22" s="80">
        <f t="shared" si="1"/>
        <v>0</v>
      </c>
      <c r="AA22" s="106">
        <v>0.0</v>
      </c>
      <c r="AB22" s="107">
        <v>0.0</v>
      </c>
      <c r="AC22" s="107">
        <v>0.0</v>
      </c>
      <c r="AD22" s="107">
        <v>0.0</v>
      </c>
      <c r="AE22" s="80">
        <f t="shared" si="2"/>
        <v>0</v>
      </c>
      <c r="AF22" s="140">
        <v>0.0</v>
      </c>
      <c r="AG22" s="109">
        <v>0.0</v>
      </c>
      <c r="AH22" s="109">
        <v>75.0</v>
      </c>
      <c r="AI22" s="141">
        <v>0.0</v>
      </c>
      <c r="AJ22" s="80">
        <f t="shared" si="3"/>
        <v>75</v>
      </c>
      <c r="AK22" s="140">
        <v>0.0</v>
      </c>
      <c r="AL22" s="109">
        <v>0.0</v>
      </c>
      <c r="AM22" s="141">
        <v>0.0</v>
      </c>
      <c r="AN22" s="80">
        <f t="shared" si="4"/>
        <v>0</v>
      </c>
      <c r="AO22" s="140">
        <v>0.0</v>
      </c>
      <c r="AP22" s="109">
        <v>0.0</v>
      </c>
      <c r="AQ22" s="109">
        <v>0.0</v>
      </c>
      <c r="AR22" s="80">
        <f t="shared" si="5"/>
        <v>0</v>
      </c>
      <c r="AS22" s="110">
        <v>0.0</v>
      </c>
      <c r="AT22" s="110">
        <v>0.0</v>
      </c>
      <c r="AU22" s="110">
        <v>0.0</v>
      </c>
      <c r="AV22" s="142">
        <v>0.0</v>
      </c>
      <c r="AW22" s="80">
        <f t="shared" si="6"/>
        <v>0</v>
      </c>
      <c r="AX22" s="113">
        <f t="shared" si="7"/>
        <v>75</v>
      </c>
      <c r="AY22" s="117">
        <f t="shared" si="8"/>
        <v>0</v>
      </c>
      <c r="AZ22" s="120">
        <f t="shared" si="9"/>
        <v>75</v>
      </c>
      <c r="BA22" s="115">
        <v>0.0</v>
      </c>
      <c r="BB22" s="89">
        <f t="shared" si="10"/>
        <v>75</v>
      </c>
      <c r="BC22" s="132" t="s">
        <v>178</v>
      </c>
      <c r="BD22" s="143" t="s">
        <v>227</v>
      </c>
      <c r="BE22" s="132" t="s">
        <v>64</v>
      </c>
      <c r="BF22" s="156"/>
      <c r="BG22" s="83">
        <v>1179160.0</v>
      </c>
      <c r="BH22" s="112"/>
      <c r="BI22" s="112">
        <v>3.0</v>
      </c>
      <c r="BJ22" s="98" t="s">
        <v>155</v>
      </c>
      <c r="BK22" s="99">
        <f t="shared" si="11"/>
        <v>0</v>
      </c>
      <c r="BL22" s="99">
        <f t="shared" si="12"/>
        <v>0</v>
      </c>
      <c r="BM22" s="99" t="str">
        <f>IFERROR(__xludf.DUMMYFUNCTION("IFERROR(VLOOKUP(BG22,IMPORTRANGE(""https://docs.google.com/spreadsheets/d/1juPI-Fb8LD0YtltB2mlGEnp_R3UVu1t3wSFPzgCyHXE/edit?gid=0#gid=0"",""GERAL!A2:C""),3,0),""-"")"),"-")</f>
        <v>-</v>
      </c>
    </row>
    <row r="23">
      <c r="A23" s="111" t="s">
        <v>130</v>
      </c>
      <c r="B23" s="83" t="s">
        <v>226</v>
      </c>
      <c r="C23" s="83" t="s">
        <v>68</v>
      </c>
      <c r="D23" s="112">
        <v>1163088.0</v>
      </c>
      <c r="E23" s="83"/>
      <c r="F23" s="83">
        <v>2.9061016E7</v>
      </c>
      <c r="G23" s="153" t="s">
        <v>228</v>
      </c>
      <c r="H23" s="91" t="s">
        <v>229</v>
      </c>
      <c r="I23" s="83" t="s">
        <v>149</v>
      </c>
      <c r="J23" s="83" t="s">
        <v>150</v>
      </c>
      <c r="K23" s="83" t="s">
        <v>151</v>
      </c>
      <c r="L23" s="83" t="s">
        <v>230</v>
      </c>
      <c r="M23" s="82" t="str">
        <f>IFERROR(__xludf.DUMMYFUNCTION("IFERROR(VLOOKUP(D23,
IMPORTRANGE(""https://docs.google.com/spreadsheets/d/1MjHtlUikwobi2MaWJgy7tfLeBmhj1u-dRFRs_8GwSoA/edit#gid=0"",""Gestores Escolares!D7:J""),3,0),""VERIFICAR CÓD SEC"")"),"TEREZA CRISTINA PORTO DE CARVALHO")</f>
        <v>TEREZA CRISTINA PORTO DE CARVALHO</v>
      </c>
      <c r="N23" s="82" t="str">
        <f>IFERROR(__xludf.DUMMYFUNCTION("IFERROR(VLOOKUP(D23,
IMPORTRANGE(""https://docs.google.com/spreadsheets/d/1MjHtlUikwobi2MaWJgy7tfLeBmhj1u-dRFRs_8GwSoA/edit#gid=0"",""Gestores Escolares!D7:J""),4,0),""VERIFICAR CÓD SEC"")"),"(77) 9 9940-7430/ 
9 9813-4060")</f>
        <v>(77) 9 9940-7430/ 
9 9813-4060</v>
      </c>
      <c r="O23" s="82" t="str">
        <f>IFERROR(__xludf.DUMMYFUNCTION("IFERROR(VLOOKUP(D23,
IMPORTRANGE(""https://docs.google.com/spreadsheets/d/1MjHtlUikwobi2MaWJgy7tfLeBmhj1u-dRFRs_8GwSoA/edit#gid=0"",""Gestores Escolares!D7:J""),6,0),""VERIFICAR CÓD SEC"")"),"MARCIO SARMENTO AMARAL")</f>
        <v>MARCIO SARMENTO AMARAL</v>
      </c>
      <c r="P23" s="82" t="str">
        <f>IFERROR(__xludf.DUMMYFUNCTION("IFERROR(VLOOKUP(D23,
IMPORTRANGE(""https://docs.google.com/spreadsheets/d/1MjHtlUikwobi2MaWJgy7tfLeBmhj1u-dRFRs_8GwSoA/edit#gid=0"",""Gestores Escolares!D7:J""),7,0),""VERIFICAR CÓD SEC"")"),"(74) 9 9991-3155")</f>
        <v>(74) 9 9991-3155</v>
      </c>
      <c r="Q23" s="82" t="str">
        <f>IFERROR(__xludf.DUMMYFUNCTION("IFERROR(VLOOKUP(D23,
IMPORTRANGE(""https://docs.google.com/spreadsheets/d/1MjHtlUikwobi2MaWJgy7tfLeBmhj1u-dRFRs_8GwSoA/edit#gid=0"",""Gestores Escolares!D7:m""),9,0),""VERIFICAR CÓD SEC"")"),"	REBECA CARVALHO DOS SANTOS")</f>
        <v>	REBECA CARVALHO DOS SANTOS</v>
      </c>
      <c r="R23" s="82" t="str">
        <f>IFERROR(__xludf.DUMMYFUNCTION("IFERROR(VLOOKUP(D23,
IMPORTRANGE(""https://docs.google.com/spreadsheets/d/1MjHtlUikwobi2MaWJgy7tfLeBmhj1u-dRFRs_8GwSoA/edit#gid=0"",""Gestores Escolares!D7:m""),10,0),""VERIFICAR CÓD SEC"")"),"(74) 9 9943-0353")</f>
        <v>(74) 9 9943-0353</v>
      </c>
      <c r="S23" s="82"/>
      <c r="T23" s="138">
        <v>10.0</v>
      </c>
      <c r="U23" s="145">
        <v>12.0</v>
      </c>
      <c r="V23" s="106">
        <v>0.0</v>
      </c>
      <c r="W23" s="107">
        <v>0.0</v>
      </c>
      <c r="X23" s="107">
        <v>0.0</v>
      </c>
      <c r="Y23" s="107">
        <v>0.0</v>
      </c>
      <c r="Z23" s="80">
        <f t="shared" si="1"/>
        <v>0</v>
      </c>
      <c r="AA23" s="106">
        <v>0.0</v>
      </c>
      <c r="AB23" s="107">
        <v>0.0</v>
      </c>
      <c r="AC23" s="107">
        <v>0.0</v>
      </c>
      <c r="AD23" s="107">
        <v>0.0</v>
      </c>
      <c r="AE23" s="80">
        <f t="shared" si="2"/>
        <v>0</v>
      </c>
      <c r="AF23" s="140">
        <v>0.0</v>
      </c>
      <c r="AG23" s="109">
        <v>0.0</v>
      </c>
      <c r="AH23" s="109">
        <v>0.0</v>
      </c>
      <c r="AI23" s="141">
        <v>393.0</v>
      </c>
      <c r="AJ23" s="80">
        <f t="shared" si="3"/>
        <v>393</v>
      </c>
      <c r="AK23" s="140">
        <v>0.0</v>
      </c>
      <c r="AL23" s="109">
        <v>0.0</v>
      </c>
      <c r="AM23" s="141">
        <v>0.0</v>
      </c>
      <c r="AN23" s="80">
        <f t="shared" si="4"/>
        <v>0</v>
      </c>
      <c r="AO23" s="140">
        <v>0.0</v>
      </c>
      <c r="AP23" s="109">
        <v>0.0</v>
      </c>
      <c r="AQ23" s="109">
        <v>82.0</v>
      </c>
      <c r="AR23" s="80">
        <f t="shared" si="5"/>
        <v>82</v>
      </c>
      <c r="AS23" s="110">
        <v>0.0</v>
      </c>
      <c r="AT23" s="110">
        <v>0.0</v>
      </c>
      <c r="AU23" s="110">
        <v>0.0</v>
      </c>
      <c r="AV23" s="142">
        <v>79.0</v>
      </c>
      <c r="AW23" s="80">
        <f t="shared" si="6"/>
        <v>79</v>
      </c>
      <c r="AX23" s="113">
        <f t="shared" si="7"/>
        <v>554</v>
      </c>
      <c r="AY23" s="117">
        <f t="shared" si="8"/>
        <v>472</v>
      </c>
      <c r="AZ23" s="120">
        <f t="shared" si="9"/>
        <v>82</v>
      </c>
      <c r="BA23" s="115">
        <v>0.0</v>
      </c>
      <c r="BB23" s="89">
        <f t="shared" si="10"/>
        <v>554</v>
      </c>
      <c r="BC23" s="132" t="s">
        <v>178</v>
      </c>
      <c r="BD23" s="132" t="s">
        <v>178</v>
      </c>
      <c r="BE23" s="132" t="s">
        <v>178</v>
      </c>
      <c r="BF23" s="156"/>
      <c r="BG23" s="83">
        <v>1163088.0</v>
      </c>
      <c r="BH23" s="98" t="s">
        <v>231</v>
      </c>
      <c r="BI23" s="112">
        <v>12.0</v>
      </c>
      <c r="BJ23" s="98" t="s">
        <v>162</v>
      </c>
      <c r="BK23" s="99">
        <f t="shared" si="11"/>
        <v>472</v>
      </c>
      <c r="BL23" s="99">
        <f t="shared" si="12"/>
        <v>0</v>
      </c>
      <c r="BM23" s="99" t="str">
        <f>IFERROR(__xludf.DUMMYFUNCTION("IFERROR(VLOOKUP(BG23,IMPORTRANGE(""https://docs.google.com/spreadsheets/d/1juPI-Fb8LD0YtltB2mlGEnp_R3UVu1t3wSFPzgCyHXE/edit?gid=0#gid=0"",""GERAL!A2:C""),3,0),""-"")"),"-")</f>
        <v>-</v>
      </c>
    </row>
    <row r="24" ht="15.75" customHeight="1">
      <c r="A24" s="111" t="s">
        <v>130</v>
      </c>
      <c r="B24" s="83" t="s">
        <v>233</v>
      </c>
      <c r="C24" s="83" t="s">
        <v>68</v>
      </c>
      <c r="D24" s="112">
        <v>1125887.0</v>
      </c>
      <c r="E24" s="83"/>
      <c r="F24" s="83">
        <v>2.9061628E7</v>
      </c>
      <c r="G24" s="114" t="s">
        <v>234</v>
      </c>
      <c r="H24" s="114" t="s">
        <v>235</v>
      </c>
      <c r="I24" s="83" t="s">
        <v>149</v>
      </c>
      <c r="J24" s="83" t="s">
        <v>150</v>
      </c>
      <c r="K24" s="83" t="s">
        <v>151</v>
      </c>
      <c r="L24" s="83" t="s">
        <v>152</v>
      </c>
      <c r="M24" s="82" t="str">
        <f>IFERROR(__xludf.DUMMYFUNCTION("IFERROR(VLOOKUP(D24,
IMPORTRANGE(""https://docs.google.com/spreadsheets/d/1MjHtlUikwobi2MaWJgy7tfLeBmhj1u-dRFRs_8GwSoA/edit#gid=0"",""Gestores Escolares!D7:J""),3,0),""VERIFICAR CÓD SEC"")"),"UMBERTO GOMES LEITE")</f>
        <v>UMBERTO GOMES LEITE</v>
      </c>
      <c r="N24" s="82" t="str">
        <f>IFERROR(__xludf.DUMMYFUNCTION("IFERROR(VLOOKUP(D24,
IMPORTRANGE(""https://docs.google.com/spreadsheets/d/1MjHtlUikwobi2MaWJgy7tfLeBmhj1u-dRFRs_8GwSoA/edit#gid=0"",""Gestores Escolares!D7:J""),4,0),""VERIFICAR CÓD SEC"")"),"(74) 9 8136-9548")</f>
        <v>(74) 9 8136-9548</v>
      </c>
      <c r="O24" s="82" t="str">
        <f>IFERROR(__xludf.DUMMYFUNCTION("IFERROR(VLOOKUP(D24,
IMPORTRANGE(""https://docs.google.com/spreadsheets/d/1MjHtlUikwobi2MaWJgy7tfLeBmhj1u-dRFRs_8GwSoA/edit#gid=0"",""Gestores Escolares!D7:J""),6,0),""VERIFICAR CÓD SEC"")"),"ALESSANDRA DE SENA SILVA")</f>
        <v>ALESSANDRA DE SENA SILVA</v>
      </c>
      <c r="P24" s="82" t="str">
        <f>IFERROR(__xludf.DUMMYFUNCTION("IFERROR(VLOOKUP(D24,
IMPORTRANGE(""https://docs.google.com/spreadsheets/d/1MjHtlUikwobi2MaWJgy7tfLeBmhj1u-dRFRs_8GwSoA/edit#gid=0"",""Gestores Escolares!D7:J""),7,0),""VERIFICAR CÓD SEC"")"),"")</f>
        <v/>
      </c>
      <c r="Q24" s="82" t="str">
        <f>IFERROR(__xludf.DUMMYFUNCTION("IFERROR(VLOOKUP(D24,
IMPORTRANGE(""https://docs.google.com/spreadsheets/d/1MjHtlUikwobi2MaWJgy7tfLeBmhj1u-dRFRs_8GwSoA/edit#gid=0"",""Gestores Escolares!D7:m""),9,0),""VERIFICAR CÓD SEC"")"),"EDMILSON SOARES BARBOSA (COORDENADOR PEDAGÓGICO)")</f>
        <v>EDMILSON SOARES BARBOSA (COORDENADOR PEDAGÓGICO)</v>
      </c>
      <c r="R24" s="82" t="str">
        <f>IFERROR(__xludf.DUMMYFUNCTION("IFERROR(VLOOKUP(D24,
IMPORTRANGE(""https://docs.google.com/spreadsheets/d/1MjHtlUikwobi2MaWJgy7tfLeBmhj1u-dRFRs_8GwSoA/edit#gid=0"",""Gestores Escolares!D7:m""),10,0),""VERIFICAR CÓD SEC"")"),"(77) 9 9958-2972")</f>
        <v>(77) 9 9958-2972</v>
      </c>
      <c r="S24" s="82"/>
      <c r="T24" s="138">
        <v>9.0</v>
      </c>
      <c r="U24" s="139">
        <v>7.0</v>
      </c>
      <c r="V24" s="106">
        <v>0.0</v>
      </c>
      <c r="W24" s="107">
        <v>0.0</v>
      </c>
      <c r="X24" s="107">
        <v>0.0</v>
      </c>
      <c r="Y24" s="107">
        <v>0.0</v>
      </c>
      <c r="Z24" s="80">
        <f t="shared" si="1"/>
        <v>0</v>
      </c>
      <c r="AA24" s="106">
        <v>0.0</v>
      </c>
      <c r="AB24" s="107">
        <v>0.0</v>
      </c>
      <c r="AC24" s="107">
        <v>0.0</v>
      </c>
      <c r="AD24" s="107">
        <v>0.0</v>
      </c>
      <c r="AE24" s="80">
        <f t="shared" si="2"/>
        <v>0</v>
      </c>
      <c r="AF24" s="140">
        <v>0.0</v>
      </c>
      <c r="AG24" s="109">
        <v>0.0</v>
      </c>
      <c r="AH24" s="109">
        <v>0.0</v>
      </c>
      <c r="AI24" s="141">
        <v>141.0</v>
      </c>
      <c r="AJ24" s="80">
        <f t="shared" si="3"/>
        <v>141</v>
      </c>
      <c r="AK24" s="140">
        <v>0.0</v>
      </c>
      <c r="AL24" s="109">
        <v>0.0</v>
      </c>
      <c r="AM24" s="141">
        <v>0.0</v>
      </c>
      <c r="AN24" s="80">
        <f t="shared" si="4"/>
        <v>0</v>
      </c>
      <c r="AO24" s="140">
        <v>0.0</v>
      </c>
      <c r="AP24" s="109">
        <v>0.0</v>
      </c>
      <c r="AQ24" s="109">
        <v>19.0</v>
      </c>
      <c r="AR24" s="80">
        <f t="shared" si="5"/>
        <v>19</v>
      </c>
      <c r="AS24" s="110">
        <v>0.0</v>
      </c>
      <c r="AT24" s="110">
        <v>0.0</v>
      </c>
      <c r="AU24" s="110">
        <v>14.0</v>
      </c>
      <c r="AV24" s="142">
        <v>99.0</v>
      </c>
      <c r="AW24" s="80">
        <f t="shared" si="6"/>
        <v>113</v>
      </c>
      <c r="AX24" s="113">
        <f t="shared" si="7"/>
        <v>273</v>
      </c>
      <c r="AY24" s="117">
        <f t="shared" si="8"/>
        <v>240</v>
      </c>
      <c r="AZ24" s="120">
        <f t="shared" si="9"/>
        <v>33</v>
      </c>
      <c r="BA24" s="115">
        <v>0.0</v>
      </c>
      <c r="BB24" s="89">
        <f t="shared" si="10"/>
        <v>273</v>
      </c>
      <c r="BC24" s="132" t="s">
        <v>178</v>
      </c>
      <c r="BD24" s="132" t="s">
        <v>178</v>
      </c>
      <c r="BE24" s="132" t="s">
        <v>178</v>
      </c>
      <c r="BF24" s="123"/>
      <c r="BG24" s="83">
        <v>1125887.0</v>
      </c>
      <c r="BH24" s="137" t="s">
        <v>236</v>
      </c>
      <c r="BI24" s="112">
        <v>7.0</v>
      </c>
      <c r="BJ24" s="98" t="s">
        <v>155</v>
      </c>
      <c r="BK24" s="99">
        <f t="shared" si="11"/>
        <v>240</v>
      </c>
      <c r="BL24" s="99">
        <f t="shared" si="12"/>
        <v>0</v>
      </c>
      <c r="BM24" s="99" t="str">
        <f>IFERROR(__xludf.DUMMYFUNCTION("IFERROR(VLOOKUP(BG24,IMPORTRANGE(""https://docs.google.com/spreadsheets/d/1juPI-Fb8LD0YtltB2mlGEnp_R3UVu1t3wSFPzgCyHXE/edit?gid=0#gid=0"",""GERAL!A2:C""),3,0),""-"")"),"-")</f>
        <v>-</v>
      </c>
    </row>
    <row r="25" ht="15.75" customHeight="1">
      <c r="A25" s="111" t="s">
        <v>130</v>
      </c>
      <c r="B25" s="83" t="s">
        <v>233</v>
      </c>
      <c r="C25" s="83" t="s">
        <v>164</v>
      </c>
      <c r="D25" s="112">
        <v>1125887.0</v>
      </c>
      <c r="E25" s="83">
        <v>1179258.0</v>
      </c>
      <c r="F25" s="98">
        <v>2.9492742E7</v>
      </c>
      <c r="G25" s="114" t="s">
        <v>238</v>
      </c>
      <c r="H25" s="91" t="s">
        <v>239</v>
      </c>
      <c r="I25" s="83" t="s">
        <v>149</v>
      </c>
      <c r="J25" s="83" t="s">
        <v>240</v>
      </c>
      <c r="K25" s="83" t="s">
        <v>168</v>
      </c>
      <c r="L25" s="83" t="s">
        <v>169</v>
      </c>
      <c r="M25" s="82" t="str">
        <f>IFERROR(__xludf.DUMMYFUNCTION("IFERROR(VLOOKUP(D25,
IMPORTRANGE(""https://docs.google.com/spreadsheets/d/1MjHtlUikwobi2MaWJgy7tfLeBmhj1u-dRFRs_8GwSoA/edit#gid=0"",""Gestores Escolares!D7:J""),3,0),""VERIFICAR CÓD SEC"")"),"UMBERTO GOMES LEITE")</f>
        <v>UMBERTO GOMES LEITE</v>
      </c>
      <c r="N25" s="82" t="str">
        <f>IFERROR(__xludf.DUMMYFUNCTION("IFERROR(VLOOKUP(D25,
IMPORTRANGE(""https://docs.google.com/spreadsheets/d/1MjHtlUikwobi2MaWJgy7tfLeBmhj1u-dRFRs_8GwSoA/edit#gid=0"",""Gestores Escolares!D7:J""),4,0),""VERIFICAR CÓD SEC"")"),"(74) 9 8136-9548")</f>
        <v>(74) 9 8136-9548</v>
      </c>
      <c r="O25" s="82" t="str">
        <f>IFERROR(__xludf.DUMMYFUNCTION("IFERROR(VLOOKUP(D25,
IMPORTRANGE(""https://docs.google.com/spreadsheets/d/1MjHtlUikwobi2MaWJgy7tfLeBmhj1u-dRFRs_8GwSoA/edit#gid=0"",""Gestores Escolares!D7:J""),6,0),""VERIFICAR CÓD SEC"")"),"ALESSANDRA DE SENA SILVA")</f>
        <v>ALESSANDRA DE SENA SILVA</v>
      </c>
      <c r="P25" s="82" t="str">
        <f>IFERROR(__xludf.DUMMYFUNCTION("IFERROR(VLOOKUP(D25,
IMPORTRANGE(""https://docs.google.com/spreadsheets/d/1MjHtlUikwobi2MaWJgy7tfLeBmhj1u-dRFRs_8GwSoA/edit#gid=0"",""Gestores Escolares!D7:J""),7,0),""VERIFICAR CÓD SEC"")"),"")</f>
        <v/>
      </c>
      <c r="Q25" s="82" t="str">
        <f>IFERROR(__xludf.DUMMYFUNCTION("IFERROR(VLOOKUP(D25,
IMPORTRANGE(""https://docs.google.com/spreadsheets/d/1MjHtlUikwobi2MaWJgy7tfLeBmhj1u-dRFRs_8GwSoA/edit#gid=0"",""Gestores Escolares!D7:m""),9,0),""VERIFICAR CÓD SEC"")"),"EDMILSON SOARES BARBOSA (COORDENADOR PEDAGÓGICO)")</f>
        <v>EDMILSON SOARES BARBOSA (COORDENADOR PEDAGÓGICO)</v>
      </c>
      <c r="R25" s="82" t="str">
        <f>IFERROR(__xludf.DUMMYFUNCTION("IFERROR(VLOOKUP(D25,
IMPORTRANGE(""https://docs.google.com/spreadsheets/d/1MjHtlUikwobi2MaWJgy7tfLeBmhj1u-dRFRs_8GwSoA/edit#gid=0"",""Gestores Escolares!D7:m""),10,0),""VERIFICAR CÓD SEC"")"),"(77) 9 9958-2972")</f>
        <v>(77) 9 9958-2972</v>
      </c>
      <c r="S25" s="82"/>
      <c r="T25" s="138">
        <v>4.0</v>
      </c>
      <c r="U25" s="145">
        <v>2.0</v>
      </c>
      <c r="V25" s="106">
        <v>0.0</v>
      </c>
      <c r="W25" s="107">
        <v>0.0</v>
      </c>
      <c r="X25" s="107">
        <v>0.0</v>
      </c>
      <c r="Y25" s="107">
        <v>0.0</v>
      </c>
      <c r="Z25" s="80">
        <f t="shared" si="1"/>
        <v>0</v>
      </c>
      <c r="AA25" s="106">
        <v>0.0</v>
      </c>
      <c r="AB25" s="107">
        <v>0.0</v>
      </c>
      <c r="AC25" s="107">
        <v>0.0</v>
      </c>
      <c r="AD25" s="107">
        <v>0.0</v>
      </c>
      <c r="AE25" s="80">
        <f t="shared" si="2"/>
        <v>0</v>
      </c>
      <c r="AF25" s="140">
        <v>0.0</v>
      </c>
      <c r="AG25" s="109">
        <v>0.0</v>
      </c>
      <c r="AH25" s="109">
        <v>0.0</v>
      </c>
      <c r="AI25" s="141">
        <v>0.0</v>
      </c>
      <c r="AJ25" s="80">
        <f t="shared" si="3"/>
        <v>0</v>
      </c>
      <c r="AK25" s="140">
        <v>0.0</v>
      </c>
      <c r="AL25" s="109">
        <v>0.0</v>
      </c>
      <c r="AM25" s="141">
        <v>0.0</v>
      </c>
      <c r="AN25" s="80">
        <f t="shared" si="4"/>
        <v>0</v>
      </c>
      <c r="AO25" s="140">
        <v>0.0</v>
      </c>
      <c r="AP25" s="109">
        <v>0.0</v>
      </c>
      <c r="AQ25" s="109">
        <v>47.0</v>
      </c>
      <c r="AR25" s="80">
        <f t="shared" si="5"/>
        <v>47</v>
      </c>
      <c r="AS25" s="110">
        <v>0.0</v>
      </c>
      <c r="AT25" s="110">
        <v>0.0</v>
      </c>
      <c r="AU25" s="110">
        <v>0.0</v>
      </c>
      <c r="AV25" s="142">
        <v>0.0</v>
      </c>
      <c r="AW25" s="80">
        <f t="shared" si="6"/>
        <v>0</v>
      </c>
      <c r="AX25" s="113">
        <f t="shared" si="7"/>
        <v>47</v>
      </c>
      <c r="AY25" s="117">
        <f t="shared" si="8"/>
        <v>0</v>
      </c>
      <c r="AZ25" s="120">
        <f t="shared" si="9"/>
        <v>47</v>
      </c>
      <c r="BA25" s="115">
        <v>0.0</v>
      </c>
      <c r="BB25" s="89">
        <f t="shared" si="10"/>
        <v>47</v>
      </c>
      <c r="BC25" s="132" t="s">
        <v>373</v>
      </c>
      <c r="BD25" s="132" t="s">
        <v>178</v>
      </c>
      <c r="BE25" s="132" t="s">
        <v>178</v>
      </c>
      <c r="BF25" s="156"/>
      <c r="BG25" s="83">
        <v>1179258.0</v>
      </c>
      <c r="BH25" s="144"/>
      <c r="BI25" s="112">
        <v>4.0</v>
      </c>
      <c r="BJ25" s="98" t="s">
        <v>155</v>
      </c>
      <c r="BK25" s="99">
        <f t="shared" si="11"/>
        <v>0</v>
      </c>
      <c r="BL25" s="99">
        <f t="shared" si="12"/>
        <v>0</v>
      </c>
      <c r="BM25" s="99" t="str">
        <f>IFERROR(__xludf.DUMMYFUNCTION("IFERROR(VLOOKUP(BG25,IMPORTRANGE(""https://docs.google.com/spreadsheets/d/1juPI-Fb8LD0YtltB2mlGEnp_R3UVu1t3wSFPzgCyHXE/edit?gid=0#gid=0"",""GERAL!A2:C""),3,0),""-"")"),"CAMPO")</f>
        <v>CAMPO</v>
      </c>
    </row>
    <row r="26" ht="15.75" customHeight="1">
      <c r="A26" s="111" t="s">
        <v>130</v>
      </c>
      <c r="B26" s="83" t="s">
        <v>233</v>
      </c>
      <c r="C26" s="83" t="s">
        <v>164</v>
      </c>
      <c r="D26" s="112">
        <v>1179281.0</v>
      </c>
      <c r="E26" s="83">
        <v>1178795.0</v>
      </c>
      <c r="F26" s="98">
        <v>2.9459141E7</v>
      </c>
      <c r="G26" s="114" t="s">
        <v>242</v>
      </c>
      <c r="H26" s="91" t="s">
        <v>243</v>
      </c>
      <c r="I26" s="136" t="s">
        <v>149</v>
      </c>
      <c r="J26" s="83" t="s">
        <v>244</v>
      </c>
      <c r="K26" s="83" t="s">
        <v>168</v>
      </c>
      <c r="L26" s="83" t="s">
        <v>169</v>
      </c>
      <c r="M26" s="82" t="str">
        <f>IFERROR(__xludf.DUMMYFUNCTION("IFERROR(VLOOKUP(D26,
IMPORTRANGE(""https://docs.google.com/spreadsheets/d/1MjHtlUikwobi2MaWJgy7tfLeBmhj1u-dRFRs_8GwSoA/edit#gid=0"",""Gestores Escolares!D7:J""),3,0),""VERIFICAR CÓD SEC"")"),"MARCOS PAULO DA SILVA ALMEIDA")</f>
        <v>MARCOS PAULO DA SILVA ALMEIDA</v>
      </c>
      <c r="N26" s="82" t="str">
        <f>IFERROR(__xludf.DUMMYFUNCTION("IFERROR(VLOOKUP(D26,
IMPORTRANGE(""https://docs.google.com/spreadsheets/d/1MjHtlUikwobi2MaWJgy7tfLeBmhj1u-dRFRs_8GwSoA/edit#gid=0"",""Gestores Escolares!D7:J""),4,0),""VERIFICAR CÓD SEC"")"),"(74) 9 9998-8112")</f>
        <v>(74) 9 9998-8112</v>
      </c>
      <c r="O26" s="82" t="str">
        <f>IFERROR(__xludf.DUMMYFUNCTION("IFERROR(VLOOKUP(D26,
IMPORTRANGE(""https://docs.google.com/spreadsheets/d/1MjHtlUikwobi2MaWJgy7tfLeBmhj1u-dRFRs_8GwSoA/edit#gid=0"",""Gestores Escolares!D7:J""),6,0),""VERIFICAR CÓD SEC"")"),"FERNANDA MIRANDA CAMPOS")</f>
        <v>FERNANDA MIRANDA CAMPOS</v>
      </c>
      <c r="P26" s="82" t="str">
        <f>IFERROR(__xludf.DUMMYFUNCTION("IFERROR(VLOOKUP(D26,
IMPORTRANGE(""https://docs.google.com/spreadsheets/d/1MjHtlUikwobi2MaWJgy7tfLeBmhj1u-dRFRs_8GwSoA/edit#gid=0"",""Gestores Escolares!D7:J""),7,0),""VERIFICAR CÓD SEC"")"),"(74) 9 9963-4717")</f>
        <v>(74) 9 9963-4717</v>
      </c>
      <c r="Q26" s="82" t="str">
        <f>IFERROR(__xludf.DUMMYFUNCTION("IFERROR(VLOOKUP(D26,
IMPORTRANGE(""https://docs.google.com/spreadsheets/d/1MjHtlUikwobi2MaWJgy7tfLeBmhj1u-dRFRs_8GwSoA/edit#gid=0"",""Gestores Escolares!D7:m""),9,0),""VERIFICAR CÓD SEC"")"),"")</f>
        <v/>
      </c>
      <c r="R26" s="82" t="str">
        <f>IFERROR(__xludf.DUMMYFUNCTION("IFERROR(VLOOKUP(D26,
IMPORTRANGE(""https://docs.google.com/spreadsheets/d/1MjHtlUikwobi2MaWJgy7tfLeBmhj1u-dRFRs_8GwSoA/edit#gid=0"",""Gestores Escolares!D7:m""),10,0),""VERIFICAR CÓD SEC"")"),"")</f>
        <v/>
      </c>
      <c r="S26" s="82"/>
      <c r="T26" s="138">
        <v>3.0</v>
      </c>
      <c r="U26" s="139">
        <v>3.0</v>
      </c>
      <c r="V26" s="106">
        <v>0.0</v>
      </c>
      <c r="W26" s="107">
        <v>0.0</v>
      </c>
      <c r="X26" s="107">
        <v>0.0</v>
      </c>
      <c r="Y26" s="107">
        <v>0.0</v>
      </c>
      <c r="Z26" s="80">
        <f t="shared" si="1"/>
        <v>0</v>
      </c>
      <c r="AA26" s="106">
        <v>0.0</v>
      </c>
      <c r="AB26" s="107">
        <v>0.0</v>
      </c>
      <c r="AC26" s="107">
        <v>0.0</v>
      </c>
      <c r="AD26" s="107">
        <v>0.0</v>
      </c>
      <c r="AE26" s="80">
        <f t="shared" si="2"/>
        <v>0</v>
      </c>
      <c r="AF26" s="140">
        <v>0.0</v>
      </c>
      <c r="AG26" s="109">
        <v>0.0</v>
      </c>
      <c r="AH26" s="109">
        <v>80.0</v>
      </c>
      <c r="AI26" s="141">
        <v>0.0</v>
      </c>
      <c r="AJ26" s="80">
        <f t="shared" si="3"/>
        <v>80</v>
      </c>
      <c r="AK26" s="140">
        <v>0.0</v>
      </c>
      <c r="AL26" s="109">
        <v>0.0</v>
      </c>
      <c r="AM26" s="141">
        <v>0.0</v>
      </c>
      <c r="AN26" s="80">
        <f t="shared" si="4"/>
        <v>0</v>
      </c>
      <c r="AO26" s="140">
        <v>0.0</v>
      </c>
      <c r="AP26" s="109">
        <v>0.0</v>
      </c>
      <c r="AQ26" s="109">
        <v>0.0</v>
      </c>
      <c r="AR26" s="80">
        <f t="shared" si="5"/>
        <v>0</v>
      </c>
      <c r="AS26" s="110">
        <v>0.0</v>
      </c>
      <c r="AT26" s="110">
        <v>0.0</v>
      </c>
      <c r="AU26" s="110">
        <v>0.0</v>
      </c>
      <c r="AV26" s="142">
        <v>0.0</v>
      </c>
      <c r="AW26" s="80">
        <f t="shared" si="6"/>
        <v>0</v>
      </c>
      <c r="AX26" s="113">
        <f t="shared" si="7"/>
        <v>80</v>
      </c>
      <c r="AY26" s="117">
        <f t="shared" si="8"/>
        <v>0</v>
      </c>
      <c r="AZ26" s="120">
        <f t="shared" si="9"/>
        <v>80</v>
      </c>
      <c r="BA26" s="115">
        <v>0.0</v>
      </c>
      <c r="BB26" s="89">
        <f t="shared" si="10"/>
        <v>80</v>
      </c>
      <c r="BC26" s="132" t="s">
        <v>178</v>
      </c>
      <c r="BD26" s="143" t="s">
        <v>227</v>
      </c>
      <c r="BE26" s="132" t="s">
        <v>64</v>
      </c>
      <c r="BF26" s="123"/>
      <c r="BG26" s="83">
        <v>1178795.0</v>
      </c>
      <c r="BH26" s="112"/>
      <c r="BI26" s="112">
        <v>3.0</v>
      </c>
      <c r="BJ26" s="98" t="s">
        <v>155</v>
      </c>
      <c r="BK26" s="99">
        <f t="shared" si="11"/>
        <v>0</v>
      </c>
      <c r="BL26" s="99">
        <f t="shared" si="12"/>
        <v>0</v>
      </c>
      <c r="BM26" s="99" t="str">
        <f>IFERROR(__xludf.DUMMYFUNCTION("IFERROR(VLOOKUP(BG26,IMPORTRANGE(""https://docs.google.com/spreadsheets/d/1juPI-Fb8LD0YtltB2mlGEnp_R3UVu1t3wSFPzgCyHXE/edit?gid=0#gid=0"",""GERAL!A2:C""),3,0),""-"")"),"-")</f>
        <v>-</v>
      </c>
    </row>
    <row r="27" ht="15.75" customHeight="1">
      <c r="A27" s="111" t="s">
        <v>130</v>
      </c>
      <c r="B27" s="83" t="s">
        <v>233</v>
      </c>
      <c r="C27" s="83" t="s">
        <v>164</v>
      </c>
      <c r="D27" s="112">
        <v>1179281.0</v>
      </c>
      <c r="E27" s="83">
        <v>1178794.0</v>
      </c>
      <c r="F27" s="98">
        <v>2.9459141E7</v>
      </c>
      <c r="G27" s="114" t="s">
        <v>245</v>
      </c>
      <c r="H27" s="91" t="s">
        <v>246</v>
      </c>
      <c r="I27" s="136" t="s">
        <v>149</v>
      </c>
      <c r="J27" s="83" t="s">
        <v>247</v>
      </c>
      <c r="K27" s="83" t="s">
        <v>168</v>
      </c>
      <c r="L27" s="83" t="s">
        <v>169</v>
      </c>
      <c r="M27" s="82" t="str">
        <f>IFERROR(__xludf.DUMMYFUNCTION("IFERROR(VLOOKUP(D27,
IMPORTRANGE(""https://docs.google.com/spreadsheets/d/1MjHtlUikwobi2MaWJgy7tfLeBmhj1u-dRFRs_8GwSoA/edit#gid=0"",""Gestores Escolares!D7:J""),3,0),""VERIFICAR CÓD SEC"")"),"MARCOS PAULO DA SILVA ALMEIDA")</f>
        <v>MARCOS PAULO DA SILVA ALMEIDA</v>
      </c>
      <c r="N27" s="82" t="str">
        <f>IFERROR(__xludf.DUMMYFUNCTION("IFERROR(VLOOKUP(D27,
IMPORTRANGE(""https://docs.google.com/spreadsheets/d/1MjHtlUikwobi2MaWJgy7tfLeBmhj1u-dRFRs_8GwSoA/edit#gid=0"",""Gestores Escolares!D7:J""),4,0),""VERIFICAR CÓD SEC"")"),"(74) 9 9998-8112")</f>
        <v>(74) 9 9998-8112</v>
      </c>
      <c r="O27" s="82" t="str">
        <f>IFERROR(__xludf.DUMMYFUNCTION("IFERROR(VLOOKUP(D27,
IMPORTRANGE(""https://docs.google.com/spreadsheets/d/1MjHtlUikwobi2MaWJgy7tfLeBmhj1u-dRFRs_8GwSoA/edit#gid=0"",""Gestores Escolares!D7:J""),6,0),""VERIFICAR CÓD SEC"")"),"FERNANDA MIRANDA CAMPOS")</f>
        <v>FERNANDA MIRANDA CAMPOS</v>
      </c>
      <c r="P27" s="82" t="str">
        <f>IFERROR(__xludf.DUMMYFUNCTION("IFERROR(VLOOKUP(D27,
IMPORTRANGE(""https://docs.google.com/spreadsheets/d/1MjHtlUikwobi2MaWJgy7tfLeBmhj1u-dRFRs_8GwSoA/edit#gid=0"",""Gestores Escolares!D7:J""),7,0),""VERIFICAR CÓD SEC"")"),"(74) 9 9963-4717")</f>
        <v>(74) 9 9963-4717</v>
      </c>
      <c r="Q27" s="82" t="str">
        <f>IFERROR(__xludf.DUMMYFUNCTION("IFERROR(VLOOKUP(D27,
IMPORTRANGE(""https://docs.google.com/spreadsheets/d/1MjHtlUikwobi2MaWJgy7tfLeBmhj1u-dRFRs_8GwSoA/edit#gid=0"",""Gestores Escolares!D7:m""),9,0),""VERIFICAR CÓD SEC"")"),"")</f>
        <v/>
      </c>
      <c r="R27" s="82" t="str">
        <f>IFERROR(__xludf.DUMMYFUNCTION("IFERROR(VLOOKUP(D27,
IMPORTRANGE(""https://docs.google.com/spreadsheets/d/1MjHtlUikwobi2MaWJgy7tfLeBmhj1u-dRFRs_8GwSoA/edit#gid=0"",""Gestores Escolares!D7:m""),10,0),""VERIFICAR CÓD SEC"")"),"")</f>
        <v/>
      </c>
      <c r="S27" s="82"/>
      <c r="T27" s="138">
        <v>3.0</v>
      </c>
      <c r="U27" s="139">
        <v>3.0</v>
      </c>
      <c r="V27" s="106">
        <v>0.0</v>
      </c>
      <c r="W27" s="107">
        <v>0.0</v>
      </c>
      <c r="X27" s="107">
        <v>0.0</v>
      </c>
      <c r="Y27" s="107">
        <v>0.0</v>
      </c>
      <c r="Z27" s="80">
        <f t="shared" si="1"/>
        <v>0</v>
      </c>
      <c r="AA27" s="106">
        <v>0.0</v>
      </c>
      <c r="AB27" s="107">
        <v>0.0</v>
      </c>
      <c r="AC27" s="107">
        <v>0.0</v>
      </c>
      <c r="AD27" s="107">
        <v>0.0</v>
      </c>
      <c r="AE27" s="80">
        <f t="shared" si="2"/>
        <v>0</v>
      </c>
      <c r="AF27" s="140">
        <v>0.0</v>
      </c>
      <c r="AG27" s="109">
        <v>0.0</v>
      </c>
      <c r="AH27" s="109">
        <v>32.0</v>
      </c>
      <c r="AI27" s="141">
        <v>0.0</v>
      </c>
      <c r="AJ27" s="80">
        <f t="shared" si="3"/>
        <v>32</v>
      </c>
      <c r="AK27" s="140">
        <v>0.0</v>
      </c>
      <c r="AL27" s="109">
        <v>0.0</v>
      </c>
      <c r="AM27" s="141">
        <v>0.0</v>
      </c>
      <c r="AN27" s="80">
        <f t="shared" si="4"/>
        <v>0</v>
      </c>
      <c r="AO27" s="140">
        <v>0.0</v>
      </c>
      <c r="AP27" s="109">
        <v>0.0</v>
      </c>
      <c r="AQ27" s="109">
        <v>0.0</v>
      </c>
      <c r="AR27" s="80">
        <f t="shared" si="5"/>
        <v>0</v>
      </c>
      <c r="AS27" s="110">
        <v>0.0</v>
      </c>
      <c r="AT27" s="110">
        <v>0.0</v>
      </c>
      <c r="AU27" s="110">
        <v>0.0</v>
      </c>
      <c r="AV27" s="142">
        <v>0.0</v>
      </c>
      <c r="AW27" s="80">
        <f t="shared" si="6"/>
        <v>0</v>
      </c>
      <c r="AX27" s="113">
        <f t="shared" si="7"/>
        <v>32</v>
      </c>
      <c r="AY27" s="117">
        <f t="shared" si="8"/>
        <v>0</v>
      </c>
      <c r="AZ27" s="120">
        <f t="shared" si="9"/>
        <v>32</v>
      </c>
      <c r="BA27" s="115">
        <v>0.0</v>
      </c>
      <c r="BB27" s="89">
        <f t="shared" si="10"/>
        <v>32</v>
      </c>
      <c r="BC27" s="132" t="s">
        <v>178</v>
      </c>
      <c r="BD27" s="143" t="s">
        <v>227</v>
      </c>
      <c r="BE27" s="132" t="s">
        <v>64</v>
      </c>
      <c r="BF27" s="123"/>
      <c r="BG27" s="83">
        <v>1178794.0</v>
      </c>
      <c r="BH27" s="112"/>
      <c r="BI27" s="112">
        <v>3.0</v>
      </c>
      <c r="BJ27" s="98" t="s">
        <v>155</v>
      </c>
      <c r="BK27" s="99">
        <f t="shared" si="11"/>
        <v>0</v>
      </c>
      <c r="BL27" s="99">
        <f t="shared" si="12"/>
        <v>0</v>
      </c>
      <c r="BM27" s="99" t="str">
        <f>IFERROR(__xludf.DUMMYFUNCTION("IFERROR(VLOOKUP(BG27,IMPORTRANGE(""https://docs.google.com/spreadsheets/d/1juPI-Fb8LD0YtltB2mlGEnp_R3UVu1t3wSFPzgCyHXE/edit?gid=0#gid=0"",""GERAL!A2:C""),3,0),""-"")"),"-")</f>
        <v>-</v>
      </c>
    </row>
    <row r="28" ht="15.75" customHeight="1">
      <c r="A28" s="111" t="s">
        <v>130</v>
      </c>
      <c r="B28" s="83" t="s">
        <v>248</v>
      </c>
      <c r="C28" s="83" t="s">
        <v>68</v>
      </c>
      <c r="D28" s="112">
        <v>1126050.0</v>
      </c>
      <c r="E28" s="83"/>
      <c r="F28" s="83">
        <v>2.9062519E7</v>
      </c>
      <c r="G28" s="119" t="s">
        <v>249</v>
      </c>
      <c r="H28" s="91" t="s">
        <v>250</v>
      </c>
      <c r="I28" s="146" t="s">
        <v>251</v>
      </c>
      <c r="J28" s="83" t="s">
        <v>252</v>
      </c>
      <c r="K28" s="83" t="s">
        <v>151</v>
      </c>
      <c r="L28" s="98" t="s">
        <v>152</v>
      </c>
      <c r="M28" s="82" t="str">
        <f>IFERROR(__xludf.DUMMYFUNCTION("IFERROR(VLOOKUP(D28,
IMPORTRANGE(""https://docs.google.com/spreadsheets/d/1MjHtlUikwobi2MaWJgy7tfLeBmhj1u-dRFRs_8GwSoA/edit#gid=0"",""Gestores Escolares!D7:J""),3,0),""VERIFICAR CÓD SEC"")"),"SIDON FELIPE SILVA DA CRUZ")</f>
        <v>SIDON FELIPE SILVA DA CRUZ</v>
      </c>
      <c r="N28" s="82" t="str">
        <f>IFERROR(__xludf.DUMMYFUNCTION("IFERROR(VLOOKUP(D28,
IMPORTRANGE(""https://docs.google.com/spreadsheets/d/1MjHtlUikwobi2MaWJgy7tfLeBmhj1u-dRFRs_8GwSoA/edit#gid=0"",""Gestores Escolares!D7:J""),4,0),""VERIFICAR CÓD SEC"")"),"(74) 9 9929-8067")</f>
        <v>(74) 9 9929-8067</v>
      </c>
      <c r="O28" s="82" t="str">
        <f>IFERROR(__xludf.DUMMYFUNCTION("IFERROR(VLOOKUP(D28,
IMPORTRANGE(""https://docs.google.com/spreadsheets/d/1MjHtlUikwobi2MaWJgy7tfLeBmhj1u-dRFRs_8GwSoA/edit#gid=0"",""Gestores Escolares!D7:J""),6,0),""VERIFICAR CÓD SEC"")"),"HIANDRA MUNIQUE DE SOUZA COSTA")</f>
        <v>HIANDRA MUNIQUE DE SOUZA COSTA</v>
      </c>
      <c r="P28" s="82" t="str">
        <f>IFERROR(__xludf.DUMMYFUNCTION("IFERROR(VLOOKUP(D28,
IMPORTRANGE(""https://docs.google.com/spreadsheets/d/1MjHtlUikwobi2MaWJgy7tfLeBmhj1u-dRFRs_8GwSoA/edit#gid=0"",""Gestores Escolares!D7:J""),7,0),""VERIFICAR CÓD SEC"")")," (74) 9 9910-6082")</f>
        <v> (74) 9 9910-6082</v>
      </c>
      <c r="Q28" s="82" t="str">
        <f>IFERROR(__xludf.DUMMYFUNCTION("IFERROR(VLOOKUP(D28,
IMPORTRANGE(""https://docs.google.com/spreadsheets/d/1MjHtlUikwobi2MaWJgy7tfLeBmhj1u-dRFRs_8GwSoA/edit#gid=0"",""Gestores Escolares!D7:m""),9,0),""VERIFICAR CÓD SEC"")"),"")</f>
        <v/>
      </c>
      <c r="R28" s="82" t="str">
        <f>IFERROR(__xludf.DUMMYFUNCTION("IFERROR(VLOOKUP(D28,
IMPORTRANGE(""https://docs.google.com/spreadsheets/d/1MjHtlUikwobi2MaWJgy7tfLeBmhj1u-dRFRs_8GwSoA/edit#gid=0"",""Gestores Escolares!D7:m""),10,0),""VERIFICAR CÓD SEC"")"),"")</f>
        <v/>
      </c>
      <c r="S28" s="82"/>
      <c r="T28" s="138">
        <v>3.0</v>
      </c>
      <c r="U28" s="173">
        <v>6.0</v>
      </c>
      <c r="V28" s="106">
        <v>0.0</v>
      </c>
      <c r="W28" s="107">
        <v>0.0</v>
      </c>
      <c r="X28" s="107">
        <v>0.0</v>
      </c>
      <c r="Y28" s="107">
        <v>0.0</v>
      </c>
      <c r="Z28" s="80">
        <f t="shared" si="1"/>
        <v>0</v>
      </c>
      <c r="AA28" s="106">
        <v>0.0</v>
      </c>
      <c r="AB28" s="107">
        <v>0.0</v>
      </c>
      <c r="AC28" s="107">
        <v>0.0</v>
      </c>
      <c r="AD28" s="107">
        <v>0.0</v>
      </c>
      <c r="AE28" s="80">
        <f t="shared" si="2"/>
        <v>0</v>
      </c>
      <c r="AF28" s="140">
        <v>0.0</v>
      </c>
      <c r="AG28" s="109">
        <v>0.0</v>
      </c>
      <c r="AH28" s="109">
        <v>0.0</v>
      </c>
      <c r="AI28" s="141">
        <v>161.0</v>
      </c>
      <c r="AJ28" s="80">
        <f t="shared" si="3"/>
        <v>161</v>
      </c>
      <c r="AK28" s="140">
        <v>0.0</v>
      </c>
      <c r="AL28" s="109">
        <v>0.0</v>
      </c>
      <c r="AM28" s="141">
        <v>0.0</v>
      </c>
      <c r="AN28" s="80">
        <f t="shared" si="4"/>
        <v>0</v>
      </c>
      <c r="AO28" s="140">
        <v>0.0</v>
      </c>
      <c r="AP28" s="109">
        <v>0.0</v>
      </c>
      <c r="AQ28" s="109">
        <v>31.0</v>
      </c>
      <c r="AR28" s="80">
        <f t="shared" si="5"/>
        <v>31</v>
      </c>
      <c r="AS28" s="110">
        <v>0.0</v>
      </c>
      <c r="AT28" s="110">
        <v>0.0</v>
      </c>
      <c r="AU28" s="110">
        <v>0.0</v>
      </c>
      <c r="AV28" s="142">
        <v>0.0</v>
      </c>
      <c r="AW28" s="80">
        <f t="shared" si="6"/>
        <v>0</v>
      </c>
      <c r="AX28" s="113">
        <f t="shared" si="7"/>
        <v>192</v>
      </c>
      <c r="AY28" s="117">
        <f t="shared" si="8"/>
        <v>161</v>
      </c>
      <c r="AZ28" s="120">
        <f t="shared" si="9"/>
        <v>31</v>
      </c>
      <c r="BA28" s="115">
        <v>0.0</v>
      </c>
      <c r="BB28" s="89">
        <f t="shared" si="10"/>
        <v>192</v>
      </c>
      <c r="BC28" s="132" t="s">
        <v>373</v>
      </c>
      <c r="BD28" s="132" t="s">
        <v>178</v>
      </c>
      <c r="BE28" s="132" t="s">
        <v>178</v>
      </c>
      <c r="BF28" s="123"/>
      <c r="BG28" s="83">
        <v>1126050.0</v>
      </c>
      <c r="BH28" s="98" t="s">
        <v>253</v>
      </c>
      <c r="BI28" s="98">
        <v>6.0</v>
      </c>
      <c r="BJ28" s="98" t="s">
        <v>162</v>
      </c>
      <c r="BK28" s="99">
        <f t="shared" si="11"/>
        <v>161</v>
      </c>
      <c r="BL28" s="99">
        <f t="shared" si="12"/>
        <v>0</v>
      </c>
      <c r="BM28" s="99" t="str">
        <f>IFERROR(__xludf.DUMMYFUNCTION("IFERROR(VLOOKUP(BG28,IMPORTRANGE(""https://docs.google.com/spreadsheets/d/1juPI-Fb8LD0YtltB2mlGEnp_R3UVu1t3wSFPzgCyHXE/edit?gid=0#gid=0"",""GERAL!A2:C""),3,0),""-"")"),"CAMPO")</f>
        <v>CAMPO</v>
      </c>
    </row>
    <row r="29" ht="15.75" customHeight="1">
      <c r="A29" s="111" t="s">
        <v>130</v>
      </c>
      <c r="B29" s="83" t="s">
        <v>248</v>
      </c>
      <c r="C29" s="83" t="s">
        <v>68</v>
      </c>
      <c r="D29" s="112">
        <v>1125968.0</v>
      </c>
      <c r="E29" s="83"/>
      <c r="F29" s="83">
        <v>2.906225E7</v>
      </c>
      <c r="G29" s="153" t="s">
        <v>254</v>
      </c>
      <c r="H29" s="108" t="s">
        <v>255</v>
      </c>
      <c r="I29" s="83" t="s">
        <v>149</v>
      </c>
      <c r="J29" s="83" t="s">
        <v>150</v>
      </c>
      <c r="K29" s="83" t="s">
        <v>151</v>
      </c>
      <c r="L29" s="98" t="s">
        <v>230</v>
      </c>
      <c r="M29" s="82" t="str">
        <f>IFERROR(__xludf.DUMMYFUNCTION("IFERROR(VLOOKUP(D29,
IMPORTRANGE(""https://docs.google.com/spreadsheets/d/1MjHtlUikwobi2MaWJgy7tfLeBmhj1u-dRFRs_8GwSoA/edit#gid=0"",""Gestores Escolares!D7:J""),3,0),""VERIFICAR CÓD SEC"")"),"PAULINY GABRIELA BARRETO")</f>
        <v>PAULINY GABRIELA BARRETO</v>
      </c>
      <c r="N29" s="82" t="str">
        <f>IFERROR(__xludf.DUMMYFUNCTION("IFERROR(VLOOKUP(D29,
IMPORTRANGE(""https://docs.google.com/spreadsheets/d/1MjHtlUikwobi2MaWJgy7tfLeBmhj1u-dRFRs_8GwSoA/edit#gid=0"",""Gestores Escolares!D7:J""),4,0),""VERIFICAR CÓD SEC"")"),"(74) 9 8135-8606")</f>
        <v>(74) 9 8135-8606</v>
      </c>
      <c r="O29" s="82" t="str">
        <f>IFERROR(__xludf.DUMMYFUNCTION("IFERROR(VLOOKUP(D29,
IMPORTRANGE(""https://docs.google.com/spreadsheets/d/1MjHtlUikwobi2MaWJgy7tfLeBmhj1u-dRFRs_8GwSoA/edit#gid=0"",""Gestores Escolares!D7:J""),6,0),""VERIFICAR CÓD SEC"")"),"CASSIO CUNHA DOURADO")</f>
        <v>CASSIO CUNHA DOURADO</v>
      </c>
      <c r="P29" s="82" t="str">
        <f>IFERROR(__xludf.DUMMYFUNCTION("IFERROR(VLOOKUP(D29,
IMPORTRANGE(""https://docs.google.com/spreadsheets/d/1MjHtlUikwobi2MaWJgy7tfLeBmhj1u-dRFRs_8GwSoA/edit#gid=0"",""Gestores Escolares!D7:J""),7,0),""VERIFICAR CÓD SEC"")"),"(74) 9 9932-6090")</f>
        <v>(74) 9 9932-6090</v>
      </c>
      <c r="Q29" s="82" t="str">
        <f>IFERROR(__xludf.DUMMYFUNCTION("IFERROR(VLOOKUP(D29,
IMPORTRANGE(""https://docs.google.com/spreadsheets/d/1MjHtlUikwobi2MaWJgy7tfLeBmhj1u-dRFRs_8GwSoA/edit#gid=0"",""Gestores Escolares!D7:m""),9,0),""VERIFICAR CÓD SEC"")"),"VICTOR DOS ANJOS NUNES DA GAMA")</f>
        <v>VICTOR DOS ANJOS NUNES DA GAMA</v>
      </c>
      <c r="R29" s="82" t="str">
        <f>IFERROR(__xludf.DUMMYFUNCTION("IFERROR(VLOOKUP(D29,
IMPORTRANGE(""https://docs.google.com/spreadsheets/d/1MjHtlUikwobi2MaWJgy7tfLeBmhj1u-dRFRs_8GwSoA/edit#gid=0"",""Gestores Escolares!D7:m""),10,0),""VERIFICAR CÓD SEC"")"),"(74) 9 8818-9192")</f>
        <v>(74) 9 8818-9192</v>
      </c>
      <c r="S29" s="82"/>
      <c r="T29" s="138">
        <v>8.0</v>
      </c>
      <c r="U29" s="174">
        <v>11.0</v>
      </c>
      <c r="V29" s="106">
        <v>0.0</v>
      </c>
      <c r="W29" s="107">
        <v>0.0</v>
      </c>
      <c r="X29" s="107">
        <v>0.0</v>
      </c>
      <c r="Y29" s="107">
        <v>0.0</v>
      </c>
      <c r="Z29" s="80">
        <f t="shared" si="1"/>
        <v>0</v>
      </c>
      <c r="AA29" s="106">
        <v>0.0</v>
      </c>
      <c r="AB29" s="107">
        <v>0.0</v>
      </c>
      <c r="AC29" s="107">
        <v>0.0</v>
      </c>
      <c r="AD29" s="107">
        <v>0.0</v>
      </c>
      <c r="AE29" s="80">
        <f t="shared" si="2"/>
        <v>0</v>
      </c>
      <c r="AF29" s="140">
        <v>0.0</v>
      </c>
      <c r="AG29" s="109">
        <v>0.0</v>
      </c>
      <c r="AH29" s="109">
        <v>0.0</v>
      </c>
      <c r="AI29" s="141">
        <v>283.0</v>
      </c>
      <c r="AJ29" s="80">
        <f t="shared" si="3"/>
        <v>283</v>
      </c>
      <c r="AK29" s="140">
        <v>0.0</v>
      </c>
      <c r="AL29" s="109">
        <v>0.0</v>
      </c>
      <c r="AM29" s="141">
        <v>0.0</v>
      </c>
      <c r="AN29" s="80">
        <f t="shared" si="4"/>
        <v>0</v>
      </c>
      <c r="AO29" s="140">
        <v>0.0</v>
      </c>
      <c r="AP29" s="109">
        <v>0.0</v>
      </c>
      <c r="AQ29" s="109">
        <v>50.0</v>
      </c>
      <c r="AR29" s="80">
        <f t="shared" si="5"/>
        <v>50</v>
      </c>
      <c r="AS29" s="110">
        <v>0.0</v>
      </c>
      <c r="AT29" s="110">
        <v>0.0</v>
      </c>
      <c r="AU29" s="110">
        <v>0.0</v>
      </c>
      <c r="AV29" s="142">
        <v>54.0</v>
      </c>
      <c r="AW29" s="80">
        <f t="shared" si="6"/>
        <v>54</v>
      </c>
      <c r="AX29" s="113">
        <f t="shared" si="7"/>
        <v>387</v>
      </c>
      <c r="AY29" s="117">
        <f t="shared" si="8"/>
        <v>337</v>
      </c>
      <c r="AZ29" s="120">
        <f t="shared" si="9"/>
        <v>50</v>
      </c>
      <c r="BA29" s="115">
        <v>0.0</v>
      </c>
      <c r="BB29" s="89">
        <f t="shared" si="10"/>
        <v>387</v>
      </c>
      <c r="BC29" s="132" t="s">
        <v>178</v>
      </c>
      <c r="BD29" s="132" t="s">
        <v>178</v>
      </c>
      <c r="BE29" s="132" t="s">
        <v>178</v>
      </c>
      <c r="BF29" s="123"/>
      <c r="BG29" s="83">
        <v>1125968.0</v>
      </c>
      <c r="BH29" s="98" t="s">
        <v>256</v>
      </c>
      <c r="BI29" s="98">
        <v>6.0</v>
      </c>
      <c r="BJ29" s="98" t="s">
        <v>162</v>
      </c>
      <c r="BK29" s="99">
        <f t="shared" si="11"/>
        <v>337</v>
      </c>
      <c r="BL29" s="99">
        <f t="shared" si="12"/>
        <v>0</v>
      </c>
      <c r="BM29" s="99" t="str">
        <f>IFERROR(__xludf.DUMMYFUNCTION("IFERROR(VLOOKUP(BG29,IMPORTRANGE(""https://docs.google.com/spreadsheets/d/1juPI-Fb8LD0YtltB2mlGEnp_R3UVu1t3wSFPzgCyHXE/edit?gid=0#gid=0"",""GERAL!A2:C""),3,0),""-"")"),"-")</f>
        <v>-</v>
      </c>
    </row>
    <row r="30" ht="15.75" customHeight="1">
      <c r="A30" s="111" t="s">
        <v>130</v>
      </c>
      <c r="B30" s="83" t="s">
        <v>258</v>
      </c>
      <c r="C30" s="83" t="s">
        <v>68</v>
      </c>
      <c r="D30" s="112">
        <v>1162774.0</v>
      </c>
      <c r="E30" s="83"/>
      <c r="F30" s="83">
        <v>2.9062632E7</v>
      </c>
      <c r="G30" s="119" t="s">
        <v>259</v>
      </c>
      <c r="H30" s="91" t="s">
        <v>260</v>
      </c>
      <c r="I30" s="83" t="s">
        <v>149</v>
      </c>
      <c r="J30" s="83" t="s">
        <v>150</v>
      </c>
      <c r="K30" s="83" t="s">
        <v>151</v>
      </c>
      <c r="L30" s="83" t="s">
        <v>152</v>
      </c>
      <c r="M30" s="82" t="str">
        <f>IFERROR(__xludf.DUMMYFUNCTION("IFERROR(VLOOKUP(D30,
IMPORTRANGE(""https://docs.google.com/spreadsheets/d/1MjHtlUikwobi2MaWJgy7tfLeBmhj1u-dRFRs_8GwSoA/edit#gid=0"",""Gestores Escolares!D7:J""),3,0),""VERIFICAR CÓD SEC"")"),"ITAMAR FERREIRA DE BRITO")</f>
        <v>ITAMAR FERREIRA DE BRITO</v>
      </c>
      <c r="N30" s="82" t="str">
        <f>IFERROR(__xludf.DUMMYFUNCTION("IFERROR(VLOOKUP(D30,
IMPORTRANGE(""https://docs.google.com/spreadsheets/d/1MjHtlUikwobi2MaWJgy7tfLeBmhj1u-dRFRs_8GwSoA/edit#gid=0"",""Gestores Escolares!D7:J""),4,0),""VERIFICAR CÓD SEC"")"),"(74) 9 9940-0723")</f>
        <v>(74) 9 9940-0723</v>
      </c>
      <c r="O30" s="82" t="str">
        <f>IFERROR(__xludf.DUMMYFUNCTION("IFERROR(VLOOKUP(D30,
IMPORTRANGE(""https://docs.google.com/spreadsheets/d/1MjHtlUikwobi2MaWJgy7tfLeBmhj1u-dRFRs_8GwSoA/edit#gid=0"",""Gestores Escolares!D7:J""),6,0),""VERIFICAR CÓD SEC"")"),"CRISTIANE BARRETO DE ALMEIDA CARDOSO")</f>
        <v>CRISTIANE BARRETO DE ALMEIDA CARDOSO</v>
      </c>
      <c r="P30" s="82" t="str">
        <f>IFERROR(__xludf.DUMMYFUNCTION("IFERROR(VLOOKUP(D30,
IMPORTRANGE(""https://docs.google.com/spreadsheets/d/1MjHtlUikwobi2MaWJgy7tfLeBmhj1u-dRFRs_8GwSoA/edit#gid=0"",""Gestores Escolares!D7:J""),7,0),""VERIFICAR CÓD SEC"")"),"(74) 9 8121-1706 / 9 9110-5616")</f>
        <v>(74) 9 8121-1706 / 9 9110-5616</v>
      </c>
      <c r="Q30" s="82" t="str">
        <f>IFERROR(__xludf.DUMMYFUNCTION("IFERROR(VLOOKUP(D30,
IMPORTRANGE(""https://docs.google.com/spreadsheets/d/1MjHtlUikwobi2MaWJgy7tfLeBmhj1u-dRFRs_8GwSoA/edit#gid=0"",""Gestores Escolares!D7:m""),9,0),""VERIFICAR CÓD SEC"")"),"EDVANIA BEZERRA DE LIMA")</f>
        <v>EDVANIA BEZERRA DE LIMA</v>
      </c>
      <c r="R30" s="82" t="str">
        <f>IFERROR(__xludf.DUMMYFUNCTION("IFERROR(VLOOKUP(D30,
IMPORTRANGE(""https://docs.google.com/spreadsheets/d/1MjHtlUikwobi2MaWJgy7tfLeBmhj1u-dRFRs_8GwSoA/edit#gid=0"",""Gestores Escolares!D7:m""),10,0),""VERIFICAR CÓD SEC"")"),"(74) 9 9194-4783")</f>
        <v>(74) 9 9194-4783</v>
      </c>
      <c r="S30" s="82"/>
      <c r="T30" s="138">
        <v>12.0</v>
      </c>
      <c r="U30" s="145" t="s">
        <v>477</v>
      </c>
      <c r="V30" s="106">
        <v>0.0</v>
      </c>
      <c r="W30" s="107">
        <v>0.0</v>
      </c>
      <c r="X30" s="107">
        <v>0.0</v>
      </c>
      <c r="Y30" s="107">
        <v>0.0</v>
      </c>
      <c r="Z30" s="80">
        <f t="shared" si="1"/>
        <v>0</v>
      </c>
      <c r="AA30" s="106">
        <v>0.0</v>
      </c>
      <c r="AB30" s="107">
        <v>0.0</v>
      </c>
      <c r="AC30" s="107">
        <v>0.0</v>
      </c>
      <c r="AD30" s="107">
        <v>0.0</v>
      </c>
      <c r="AE30" s="80">
        <f t="shared" si="2"/>
        <v>0</v>
      </c>
      <c r="AF30" s="140">
        <v>0.0</v>
      </c>
      <c r="AG30" s="109">
        <v>0.0</v>
      </c>
      <c r="AH30" s="109">
        <v>0.0</v>
      </c>
      <c r="AI30" s="141">
        <v>346.0</v>
      </c>
      <c r="AJ30" s="80">
        <f t="shared" si="3"/>
        <v>346</v>
      </c>
      <c r="AK30" s="140">
        <v>0.0</v>
      </c>
      <c r="AL30" s="109">
        <v>0.0</v>
      </c>
      <c r="AM30" s="141">
        <v>0.0</v>
      </c>
      <c r="AN30" s="80">
        <f t="shared" si="4"/>
        <v>0</v>
      </c>
      <c r="AO30" s="140">
        <v>0.0</v>
      </c>
      <c r="AP30" s="109">
        <v>0.0</v>
      </c>
      <c r="AQ30" s="109">
        <v>123.0</v>
      </c>
      <c r="AR30" s="80">
        <f t="shared" si="5"/>
        <v>123</v>
      </c>
      <c r="AS30" s="110">
        <v>0.0</v>
      </c>
      <c r="AT30" s="110">
        <v>0.0</v>
      </c>
      <c r="AU30" s="110">
        <v>0.0</v>
      </c>
      <c r="AV30" s="142">
        <v>151.0</v>
      </c>
      <c r="AW30" s="80">
        <f t="shared" si="6"/>
        <v>151</v>
      </c>
      <c r="AX30" s="113">
        <f t="shared" si="7"/>
        <v>620</v>
      </c>
      <c r="AY30" s="117">
        <f t="shared" si="8"/>
        <v>497</v>
      </c>
      <c r="AZ30" s="120">
        <f t="shared" si="9"/>
        <v>123</v>
      </c>
      <c r="BA30" s="115">
        <v>0.0</v>
      </c>
      <c r="BB30" s="89">
        <f t="shared" si="10"/>
        <v>620</v>
      </c>
      <c r="BC30" s="132" t="s">
        <v>373</v>
      </c>
      <c r="BD30" s="132" t="s">
        <v>178</v>
      </c>
      <c r="BE30" s="132" t="s">
        <v>178</v>
      </c>
      <c r="BF30" s="156"/>
      <c r="BG30" s="83">
        <v>1162774.0</v>
      </c>
      <c r="BH30" s="98" t="s">
        <v>261</v>
      </c>
      <c r="BI30" s="98">
        <v>11.0</v>
      </c>
      <c r="BJ30" s="98" t="s">
        <v>155</v>
      </c>
      <c r="BK30" s="99">
        <f t="shared" si="11"/>
        <v>497</v>
      </c>
      <c r="BL30" s="99">
        <f t="shared" si="12"/>
        <v>0</v>
      </c>
      <c r="BM30" s="99" t="str">
        <f>IFERROR(__xludf.DUMMYFUNCTION("IFERROR(VLOOKUP(BG30,IMPORTRANGE(""https://docs.google.com/spreadsheets/d/1juPI-Fb8LD0YtltB2mlGEnp_R3UVu1t3wSFPzgCyHXE/edit?gid=0#gid=0"",""GERAL!A2:C""),3,0),""-"")"),"CAMPO")</f>
        <v>CAMPO</v>
      </c>
    </row>
    <row r="31" ht="15.75" customHeight="1">
      <c r="A31" s="111" t="s">
        <v>130</v>
      </c>
      <c r="B31" s="83" t="s">
        <v>258</v>
      </c>
      <c r="C31" s="83" t="s">
        <v>164</v>
      </c>
      <c r="D31" s="112">
        <v>1179281.0</v>
      </c>
      <c r="E31" s="83">
        <v>1179372.0</v>
      </c>
      <c r="F31" s="98">
        <v>2.9459141E7</v>
      </c>
      <c r="G31" s="114" t="s">
        <v>263</v>
      </c>
      <c r="H31" s="91" t="s">
        <v>264</v>
      </c>
      <c r="I31" s="136" t="s">
        <v>149</v>
      </c>
      <c r="J31" s="83" t="s">
        <v>187</v>
      </c>
      <c r="K31" s="83" t="s">
        <v>168</v>
      </c>
      <c r="L31" s="83" t="s">
        <v>169</v>
      </c>
      <c r="M31" s="82" t="str">
        <f>IFERROR(__xludf.DUMMYFUNCTION("IFERROR(VLOOKUP(D31,
IMPORTRANGE(""https://docs.google.com/spreadsheets/d/1MjHtlUikwobi2MaWJgy7tfLeBmhj1u-dRFRs_8GwSoA/edit#gid=0"",""Gestores Escolares!D7:J""),3,0),""VERIFICAR CÓD SEC"")"),"MARCOS PAULO DA SILVA ALMEIDA")</f>
        <v>MARCOS PAULO DA SILVA ALMEIDA</v>
      </c>
      <c r="N31" s="82" t="str">
        <f>IFERROR(__xludf.DUMMYFUNCTION("IFERROR(VLOOKUP(D31,
IMPORTRANGE(""https://docs.google.com/spreadsheets/d/1MjHtlUikwobi2MaWJgy7tfLeBmhj1u-dRFRs_8GwSoA/edit#gid=0"",""Gestores Escolares!D7:J""),4,0),""VERIFICAR CÓD SEC"")"),"(74) 9 9998-8112")</f>
        <v>(74) 9 9998-8112</v>
      </c>
      <c r="O31" s="82" t="str">
        <f>IFERROR(__xludf.DUMMYFUNCTION("IFERROR(VLOOKUP(D31,
IMPORTRANGE(""https://docs.google.com/spreadsheets/d/1MjHtlUikwobi2MaWJgy7tfLeBmhj1u-dRFRs_8GwSoA/edit#gid=0"",""Gestores Escolares!D7:J""),6,0),""VERIFICAR CÓD SEC"")"),"FERNANDA MIRANDA CAMPOS")</f>
        <v>FERNANDA MIRANDA CAMPOS</v>
      </c>
      <c r="P31" s="82" t="str">
        <f>IFERROR(__xludf.DUMMYFUNCTION("IFERROR(VLOOKUP(D31,
IMPORTRANGE(""https://docs.google.com/spreadsheets/d/1MjHtlUikwobi2MaWJgy7tfLeBmhj1u-dRFRs_8GwSoA/edit#gid=0"",""Gestores Escolares!D7:J""),7,0),""VERIFICAR CÓD SEC"")"),"(74) 9 9963-4717")</f>
        <v>(74) 9 9963-4717</v>
      </c>
      <c r="Q31" s="82" t="str">
        <f>IFERROR(__xludf.DUMMYFUNCTION("IFERROR(VLOOKUP(D31,
IMPORTRANGE(""https://docs.google.com/spreadsheets/d/1MjHtlUikwobi2MaWJgy7tfLeBmhj1u-dRFRs_8GwSoA/edit#gid=0"",""Gestores Escolares!D7:m""),9,0),""VERIFICAR CÓD SEC"")"),"")</f>
        <v/>
      </c>
      <c r="R31" s="82" t="str">
        <f>IFERROR(__xludf.DUMMYFUNCTION("IFERROR(VLOOKUP(D31,
IMPORTRANGE(""https://docs.google.com/spreadsheets/d/1MjHtlUikwobi2MaWJgy7tfLeBmhj1u-dRFRs_8GwSoA/edit#gid=0"",""Gestores Escolares!D7:m""),10,0),""VERIFICAR CÓD SEC"")"),"")</f>
        <v/>
      </c>
      <c r="S31" s="82"/>
      <c r="T31" s="138">
        <v>3.0</v>
      </c>
      <c r="U31" s="139">
        <v>3.0</v>
      </c>
      <c r="V31" s="106">
        <v>0.0</v>
      </c>
      <c r="W31" s="107">
        <v>0.0</v>
      </c>
      <c r="X31" s="107">
        <v>0.0</v>
      </c>
      <c r="Y31" s="107">
        <v>0.0</v>
      </c>
      <c r="Z31" s="80">
        <f t="shared" si="1"/>
        <v>0</v>
      </c>
      <c r="AA31" s="106">
        <v>0.0</v>
      </c>
      <c r="AB31" s="107">
        <v>0.0</v>
      </c>
      <c r="AC31" s="107">
        <v>0.0</v>
      </c>
      <c r="AD31" s="107">
        <v>0.0</v>
      </c>
      <c r="AE31" s="80">
        <f t="shared" si="2"/>
        <v>0</v>
      </c>
      <c r="AF31" s="140">
        <v>0.0</v>
      </c>
      <c r="AG31" s="109">
        <v>0.0</v>
      </c>
      <c r="AH31" s="109">
        <v>42.0</v>
      </c>
      <c r="AI31" s="141">
        <v>0.0</v>
      </c>
      <c r="AJ31" s="80">
        <f t="shared" si="3"/>
        <v>42</v>
      </c>
      <c r="AK31" s="140">
        <v>0.0</v>
      </c>
      <c r="AL31" s="109">
        <v>0.0</v>
      </c>
      <c r="AM31" s="141">
        <v>0.0</v>
      </c>
      <c r="AN31" s="80">
        <f t="shared" si="4"/>
        <v>0</v>
      </c>
      <c r="AO31" s="140">
        <v>0.0</v>
      </c>
      <c r="AP31" s="109">
        <v>0.0</v>
      </c>
      <c r="AQ31" s="109">
        <v>0.0</v>
      </c>
      <c r="AR31" s="80">
        <f t="shared" si="5"/>
        <v>0</v>
      </c>
      <c r="AS31" s="110">
        <v>0.0</v>
      </c>
      <c r="AT31" s="110">
        <v>0.0</v>
      </c>
      <c r="AU31" s="110">
        <v>0.0</v>
      </c>
      <c r="AV31" s="142">
        <v>0.0</v>
      </c>
      <c r="AW31" s="80">
        <f t="shared" si="6"/>
        <v>0</v>
      </c>
      <c r="AX31" s="113">
        <f t="shared" si="7"/>
        <v>42</v>
      </c>
      <c r="AY31" s="117">
        <f t="shared" si="8"/>
        <v>0</v>
      </c>
      <c r="AZ31" s="120">
        <f t="shared" si="9"/>
        <v>42</v>
      </c>
      <c r="BA31" s="115">
        <v>0.0</v>
      </c>
      <c r="BB31" s="89">
        <f t="shared" si="10"/>
        <v>42</v>
      </c>
      <c r="BC31" s="132" t="s">
        <v>178</v>
      </c>
      <c r="BD31" s="143" t="s">
        <v>227</v>
      </c>
      <c r="BE31" s="132" t="s">
        <v>64</v>
      </c>
      <c r="BF31" s="156"/>
      <c r="BG31" s="83">
        <v>1179372.0</v>
      </c>
      <c r="BH31" s="144"/>
      <c r="BI31" s="112">
        <v>3.0</v>
      </c>
      <c r="BJ31" s="98" t="s">
        <v>155</v>
      </c>
      <c r="BK31" s="99">
        <f t="shared" si="11"/>
        <v>0</v>
      </c>
      <c r="BL31" s="99">
        <f t="shared" si="12"/>
        <v>0</v>
      </c>
      <c r="BM31" s="99" t="str">
        <f>IFERROR(__xludf.DUMMYFUNCTION("IFERROR(VLOOKUP(BG31,IMPORTRANGE(""https://docs.google.com/spreadsheets/d/1juPI-Fb8LD0YtltB2mlGEnp_R3UVu1t3wSFPzgCyHXE/edit?gid=0#gid=0"",""GERAL!A2:C""),3,0),""-"")"),"-")</f>
        <v>-</v>
      </c>
    </row>
    <row r="32" ht="15.75" customHeight="1">
      <c r="A32" s="111" t="s">
        <v>130</v>
      </c>
      <c r="B32" s="83" t="s">
        <v>266</v>
      </c>
      <c r="C32" s="83" t="s">
        <v>68</v>
      </c>
      <c r="D32" s="112">
        <v>1127260.0</v>
      </c>
      <c r="E32" s="83"/>
      <c r="F32" s="83">
        <v>2.9207843E7</v>
      </c>
      <c r="G32" s="119" t="s">
        <v>267</v>
      </c>
      <c r="H32" s="91" t="s">
        <v>268</v>
      </c>
      <c r="I32" s="83" t="s">
        <v>149</v>
      </c>
      <c r="J32" s="83" t="s">
        <v>150</v>
      </c>
      <c r="K32" s="83" t="s">
        <v>151</v>
      </c>
      <c r="L32" s="83" t="s">
        <v>76</v>
      </c>
      <c r="M32" s="82" t="str">
        <f>IFERROR(__xludf.DUMMYFUNCTION("IFERROR(VLOOKUP(D32,
IMPORTRANGE(""https://docs.google.com/spreadsheets/d/1MjHtlUikwobi2MaWJgy7tfLeBmhj1u-dRFRs_8GwSoA/edit#gid=0"",""Gestores Escolares!D7:J""),3,0),""VERIFICAR CÓD SEC"")"),"ANA MARIA RODRIGUES DA SILVA")</f>
        <v>ANA MARIA RODRIGUES DA SILVA</v>
      </c>
      <c r="N32" s="82" t="str">
        <f>IFERROR(__xludf.DUMMYFUNCTION("IFERROR(VLOOKUP(D32,
IMPORTRANGE(""https://docs.google.com/spreadsheets/d/1MjHtlUikwobi2MaWJgy7tfLeBmhj1u-dRFRs_8GwSoA/edit#gid=0"",""Gestores Escolares!D7:J""),4,0),""VERIFICAR CÓD SEC"")"),"(77) 9 8127-8663")</f>
        <v>(77) 9 8127-8663</v>
      </c>
      <c r="O32" s="82" t="str">
        <f>IFERROR(__xludf.DUMMYFUNCTION("IFERROR(VLOOKUP(D32,
IMPORTRANGE(""https://docs.google.com/spreadsheets/d/1MjHtlUikwobi2MaWJgy7tfLeBmhj1u-dRFRs_8GwSoA/edit#gid=0"",""Gestores Escolares!D7:J""),6,0),""VERIFICAR CÓD SEC"")"),"JOSE CARLOS RODRIGUES NOVAIS")</f>
        <v>JOSE CARLOS RODRIGUES NOVAIS</v>
      </c>
      <c r="P32" s="82" t="str">
        <f>IFERROR(__xludf.DUMMYFUNCTION("IFERROR(VLOOKUP(D32,
IMPORTRANGE(""https://docs.google.com/spreadsheets/d/1MjHtlUikwobi2MaWJgy7tfLeBmhj1u-dRFRs_8GwSoA/edit#gid=0"",""Gestores Escolares!D7:J""),7,0),""VERIFICAR CÓD SEC"")"),"(77) 9 9129-8664")</f>
        <v>(77) 9 9129-8664</v>
      </c>
      <c r="Q32" s="82" t="str">
        <f>IFERROR(__xludf.DUMMYFUNCTION("IFERROR(VLOOKUP(D32,
IMPORTRANGE(""https://docs.google.com/spreadsheets/d/1MjHtlUikwobi2MaWJgy7tfLeBmhj1u-dRFRs_8GwSoA/edit#gid=0"",""Gestores Escolares!D7:m""),9,0),""VERIFICAR CÓD SEC"")"),"")</f>
        <v/>
      </c>
      <c r="R32" s="82" t="str">
        <f>IFERROR(__xludf.DUMMYFUNCTION("IFERROR(VLOOKUP(D32,
IMPORTRANGE(""https://docs.google.com/spreadsheets/d/1MjHtlUikwobi2MaWJgy7tfLeBmhj1u-dRFRs_8GwSoA/edit#gid=0"",""Gestores Escolares!D7:m""),10,0),""VERIFICAR CÓD SEC"")"),"")</f>
        <v/>
      </c>
      <c r="S32" s="82"/>
      <c r="T32" s="138">
        <v>9.0</v>
      </c>
      <c r="U32" s="145" t="s">
        <v>487</v>
      </c>
      <c r="V32" s="106">
        <v>0.0</v>
      </c>
      <c r="W32" s="107">
        <v>0.0</v>
      </c>
      <c r="X32" s="107">
        <v>0.0</v>
      </c>
      <c r="Y32" s="107">
        <v>0.0</v>
      </c>
      <c r="Z32" s="80">
        <f t="shared" si="1"/>
        <v>0</v>
      </c>
      <c r="AA32" s="106">
        <v>0.0</v>
      </c>
      <c r="AB32" s="107">
        <v>0.0</v>
      </c>
      <c r="AC32" s="107">
        <v>0.0</v>
      </c>
      <c r="AD32" s="107">
        <v>0.0</v>
      </c>
      <c r="AE32" s="80">
        <f t="shared" si="2"/>
        <v>0</v>
      </c>
      <c r="AF32" s="140">
        <v>182.0</v>
      </c>
      <c r="AG32" s="109">
        <v>168.0</v>
      </c>
      <c r="AH32" s="109">
        <v>0.0</v>
      </c>
      <c r="AI32" s="141">
        <v>0.0</v>
      </c>
      <c r="AJ32" s="80">
        <f t="shared" si="3"/>
        <v>350</v>
      </c>
      <c r="AK32" s="140">
        <v>0.0</v>
      </c>
      <c r="AL32" s="109">
        <v>0.0</v>
      </c>
      <c r="AM32" s="141">
        <v>0.0</v>
      </c>
      <c r="AN32" s="80">
        <f t="shared" si="4"/>
        <v>0</v>
      </c>
      <c r="AO32" s="140">
        <v>0.0</v>
      </c>
      <c r="AP32" s="109">
        <v>0.0</v>
      </c>
      <c r="AQ32" s="109">
        <v>52.0</v>
      </c>
      <c r="AR32" s="80">
        <f t="shared" si="5"/>
        <v>52</v>
      </c>
      <c r="AS32" s="110">
        <v>0.0</v>
      </c>
      <c r="AT32" s="110">
        <v>0.0</v>
      </c>
      <c r="AU32" s="110">
        <v>10.0</v>
      </c>
      <c r="AV32" s="142">
        <v>0.0</v>
      </c>
      <c r="AW32" s="80">
        <f t="shared" si="6"/>
        <v>10</v>
      </c>
      <c r="AX32" s="113">
        <f t="shared" si="7"/>
        <v>412</v>
      </c>
      <c r="AY32" s="117">
        <f t="shared" si="8"/>
        <v>350</v>
      </c>
      <c r="AZ32" s="120">
        <f t="shared" si="9"/>
        <v>62</v>
      </c>
      <c r="BA32" s="115">
        <v>0.0</v>
      </c>
      <c r="BB32" s="89">
        <f t="shared" si="10"/>
        <v>412</v>
      </c>
      <c r="BC32" s="132" t="s">
        <v>178</v>
      </c>
      <c r="BD32" s="132" t="s">
        <v>178</v>
      </c>
      <c r="BE32" s="132" t="s">
        <v>178</v>
      </c>
      <c r="BF32" s="123"/>
      <c r="BG32" s="83">
        <v>1127260.0</v>
      </c>
      <c r="BH32" s="98" t="s">
        <v>269</v>
      </c>
      <c r="BI32" s="98">
        <v>7.0</v>
      </c>
      <c r="BJ32" s="98" t="s">
        <v>155</v>
      </c>
      <c r="BK32" s="99">
        <f t="shared" si="11"/>
        <v>0</v>
      </c>
      <c r="BL32" s="99">
        <f t="shared" si="12"/>
        <v>350</v>
      </c>
      <c r="BM32" s="99" t="str">
        <f>IFERROR(__xludf.DUMMYFUNCTION("IFERROR(VLOOKUP(BG32,IMPORTRANGE(""https://docs.google.com/spreadsheets/d/1juPI-Fb8LD0YtltB2mlGEnp_R3UVu1t3wSFPzgCyHXE/edit?gid=0#gid=0"",""GERAL!A2:C""),3,0),""-"")"),"-")</f>
        <v>-</v>
      </c>
    </row>
    <row r="33" ht="15.75" customHeight="1">
      <c r="A33" s="111" t="s">
        <v>130</v>
      </c>
      <c r="B33" s="83" t="s">
        <v>271</v>
      </c>
      <c r="C33" s="83" t="s">
        <v>68</v>
      </c>
      <c r="D33" s="112">
        <v>1126611.0</v>
      </c>
      <c r="E33" s="83"/>
      <c r="F33" s="83">
        <v>2.9064147E7</v>
      </c>
      <c r="G33" s="119" t="s">
        <v>272</v>
      </c>
      <c r="H33" s="91" t="s">
        <v>273</v>
      </c>
      <c r="I33" s="83" t="s">
        <v>149</v>
      </c>
      <c r="J33" s="83" t="s">
        <v>150</v>
      </c>
      <c r="K33" s="83" t="s">
        <v>151</v>
      </c>
      <c r="L33" s="98" t="s">
        <v>230</v>
      </c>
      <c r="M33" s="82" t="str">
        <f>IFERROR(__xludf.DUMMYFUNCTION("IFERROR(VLOOKUP(D33,
IMPORTRANGE(""https://docs.google.com/spreadsheets/d/1MjHtlUikwobi2MaWJgy7tfLeBmhj1u-dRFRs_8GwSoA/edit#gid=0"",""Gestores Escolares!D7:J""),3,0),""VERIFICAR CÓD SEC"")"),"VIVIANE DA GAMA SILVA")</f>
        <v>VIVIANE DA GAMA SILVA</v>
      </c>
      <c r="N33" s="82" t="str">
        <f>IFERROR(__xludf.DUMMYFUNCTION("IFERROR(VLOOKUP(D33,
IMPORTRANGE(""https://docs.google.com/spreadsheets/d/1MjHtlUikwobi2MaWJgy7tfLeBmhj1u-dRFRs_8GwSoA/edit#gid=0"",""Gestores Escolares!D7:J""),4,0),""VERIFICAR CÓD SEC"")"),"(74) 9 9955-1444/
9 8127-5221")</f>
        <v>(74) 9 9955-1444/
9 8127-5221</v>
      </c>
      <c r="O33" s="82" t="str">
        <f>IFERROR(__xludf.DUMMYFUNCTION("IFERROR(VLOOKUP(D33,
IMPORTRANGE(""https://docs.google.com/spreadsheets/d/1MjHtlUikwobi2MaWJgy7tfLeBmhj1u-dRFRs_8GwSoA/edit#gid=0"",""Gestores Escolares!D7:J""),6,0),""VERIFICAR CÓD SEC"")"),"ERIVAL BATISTA DE OLIVEIRA")</f>
        <v>ERIVAL BATISTA DE OLIVEIRA</v>
      </c>
      <c r="P33" s="82" t="str">
        <f>IFERROR(__xludf.DUMMYFUNCTION("IFERROR(VLOOKUP(D33,
IMPORTRANGE(""https://docs.google.com/spreadsheets/d/1MjHtlUikwobi2MaWJgy7tfLeBmhj1u-dRFRs_8GwSoA/edit#gid=0"",""Gestores Escolares!D7:J""),7,0),""VERIFICAR CÓD SEC"")"),"(74) 9 9985-7659")</f>
        <v>(74) 9 9985-7659</v>
      </c>
      <c r="Q33" s="82" t="str">
        <f>IFERROR(__xludf.DUMMYFUNCTION("IFERROR(VLOOKUP(D33,
IMPORTRANGE(""https://docs.google.com/spreadsheets/d/1MjHtlUikwobi2MaWJgy7tfLeBmhj1u-dRFRs_8GwSoA/edit#gid=0"",""Gestores Escolares!D7:m""),9,0),""VERIFICAR CÓD SEC"")"),"GRESIELE DA SILVA CARVALHO")</f>
        <v>GRESIELE DA SILVA CARVALHO</v>
      </c>
      <c r="R33" s="82" t="str">
        <f>IFERROR(__xludf.DUMMYFUNCTION("IFERROR(VLOOKUP(D33,
IMPORTRANGE(""https://docs.google.com/spreadsheets/d/1MjHtlUikwobi2MaWJgy7tfLeBmhj1u-dRFRs_8GwSoA/edit#gid=0"",""Gestores Escolares!D7:m""),10,0),""VERIFICAR CÓD SEC"")"),"(77) 9 9959-0571")</f>
        <v>(77) 9 9959-0571</v>
      </c>
      <c r="S33" s="82"/>
      <c r="T33" s="138">
        <v>24.0</v>
      </c>
      <c r="U33" s="145" t="s">
        <v>499</v>
      </c>
      <c r="V33" s="106">
        <v>0.0</v>
      </c>
      <c r="W33" s="107">
        <v>0.0</v>
      </c>
      <c r="X33" s="107">
        <v>0.0</v>
      </c>
      <c r="Y33" s="107">
        <v>0.0</v>
      </c>
      <c r="Z33" s="80">
        <f t="shared" si="1"/>
        <v>0</v>
      </c>
      <c r="AA33" s="106">
        <v>0.0</v>
      </c>
      <c r="AB33" s="107">
        <v>0.0</v>
      </c>
      <c r="AC33" s="107">
        <v>0.0</v>
      </c>
      <c r="AD33" s="107">
        <v>0.0</v>
      </c>
      <c r="AE33" s="80">
        <f t="shared" si="2"/>
        <v>0</v>
      </c>
      <c r="AF33" s="140">
        <v>0.0</v>
      </c>
      <c r="AG33" s="109">
        <v>0.0</v>
      </c>
      <c r="AH33" s="109">
        <v>0.0</v>
      </c>
      <c r="AI33" s="141">
        <v>364.0</v>
      </c>
      <c r="AJ33" s="80">
        <f t="shared" si="3"/>
        <v>364</v>
      </c>
      <c r="AK33" s="140">
        <v>0.0</v>
      </c>
      <c r="AL33" s="109">
        <v>0.0</v>
      </c>
      <c r="AM33" s="141">
        <v>0.0</v>
      </c>
      <c r="AN33" s="80">
        <f t="shared" si="4"/>
        <v>0</v>
      </c>
      <c r="AO33" s="140">
        <v>0.0</v>
      </c>
      <c r="AP33" s="109">
        <v>0.0</v>
      </c>
      <c r="AQ33" s="109">
        <v>179.0</v>
      </c>
      <c r="AR33" s="80">
        <f t="shared" si="5"/>
        <v>179</v>
      </c>
      <c r="AS33" s="110">
        <v>0.0</v>
      </c>
      <c r="AT33" s="110">
        <v>0.0</v>
      </c>
      <c r="AU33" s="110">
        <v>0.0</v>
      </c>
      <c r="AV33" s="142">
        <v>0.0</v>
      </c>
      <c r="AW33" s="80">
        <f t="shared" si="6"/>
        <v>0</v>
      </c>
      <c r="AX33" s="113">
        <f t="shared" si="7"/>
        <v>543</v>
      </c>
      <c r="AY33" s="117">
        <f t="shared" si="8"/>
        <v>364</v>
      </c>
      <c r="AZ33" s="120">
        <f t="shared" si="9"/>
        <v>179</v>
      </c>
      <c r="BA33" s="115">
        <v>0.0</v>
      </c>
      <c r="BB33" s="89">
        <f t="shared" si="10"/>
        <v>543</v>
      </c>
      <c r="BC33" s="132" t="s">
        <v>178</v>
      </c>
      <c r="BD33" s="132" t="s">
        <v>178</v>
      </c>
      <c r="BE33" s="132" t="s">
        <v>178</v>
      </c>
      <c r="BF33" s="123"/>
      <c r="BG33" s="83">
        <v>1126611.0</v>
      </c>
      <c r="BH33" s="98" t="s">
        <v>274</v>
      </c>
      <c r="BI33" s="112">
        <v>14.0</v>
      </c>
      <c r="BJ33" s="98" t="s">
        <v>176</v>
      </c>
      <c r="BK33" s="99">
        <f t="shared" si="11"/>
        <v>364</v>
      </c>
      <c r="BL33" s="99">
        <f t="shared" si="12"/>
        <v>0</v>
      </c>
      <c r="BM33" s="99" t="str">
        <f>IFERROR(__xludf.DUMMYFUNCTION("IFERROR(VLOOKUP(BG33,IMPORTRANGE(""https://docs.google.com/spreadsheets/d/1juPI-Fb8LD0YtltB2mlGEnp_R3UVu1t3wSFPzgCyHXE/edit?gid=0#gid=0"",""GERAL!A2:C""),3,0),""-"")"),"-")</f>
        <v>-</v>
      </c>
    </row>
    <row r="34" ht="15.75" customHeight="1">
      <c r="A34" s="111" t="s">
        <v>130</v>
      </c>
      <c r="B34" s="83" t="s">
        <v>271</v>
      </c>
      <c r="C34" s="83" t="s">
        <v>68</v>
      </c>
      <c r="D34" s="112">
        <v>1176431.0</v>
      </c>
      <c r="E34" s="83"/>
      <c r="F34" s="83">
        <v>2.940323E7</v>
      </c>
      <c r="G34" s="147" t="s">
        <v>276</v>
      </c>
      <c r="H34" s="91" t="s">
        <v>277</v>
      </c>
      <c r="I34" s="83" t="s">
        <v>149</v>
      </c>
      <c r="J34" s="83" t="s">
        <v>150</v>
      </c>
      <c r="K34" s="83" t="s">
        <v>151</v>
      </c>
      <c r="L34" s="98" t="s">
        <v>230</v>
      </c>
      <c r="M34" s="82" t="str">
        <f>IFERROR(__xludf.DUMMYFUNCTION("IFERROR(VLOOKUP(D34,
IMPORTRANGE(""https://docs.google.com/spreadsheets/d/1MjHtlUikwobi2MaWJgy7tfLeBmhj1u-dRFRs_8GwSoA/edit#gid=0"",""Gestores Escolares!D7:J""),3,0),""VERIFICAR CÓD SEC"")"),"WASHINGTON VINÍCIO MATOS DE SOUZA")</f>
        <v>WASHINGTON VINÍCIO MATOS DE SOUZA</v>
      </c>
      <c r="N34" s="82" t="str">
        <f>IFERROR(__xludf.DUMMYFUNCTION("IFERROR(VLOOKUP(D34,
IMPORTRANGE(""https://docs.google.com/spreadsheets/d/1MjHtlUikwobi2MaWJgy7tfLeBmhj1u-dRFRs_8GwSoA/edit#gid=0"",""Gestores Escolares!D7:J""),4,0),""VERIFICAR CÓD SEC"")"),"(74) 9 9996-5782")</f>
        <v>(74) 9 9996-5782</v>
      </c>
      <c r="O34" s="82" t="str">
        <f>IFERROR(__xludf.DUMMYFUNCTION("IFERROR(VLOOKUP(D34,
IMPORTRANGE(""https://docs.google.com/spreadsheets/d/1MjHtlUikwobi2MaWJgy7tfLeBmhj1u-dRFRs_8GwSoA/edit#gid=0"",""Gestores Escolares!D7:J""),6,0),""VERIFICAR CÓD SEC"")"),"ELIANE LACERDA MACHADO")</f>
        <v>ELIANE LACERDA MACHADO</v>
      </c>
      <c r="P34" s="82" t="str">
        <f>IFERROR(__xludf.DUMMYFUNCTION("IFERROR(VLOOKUP(D34,
IMPORTRANGE(""https://docs.google.com/spreadsheets/d/1MjHtlUikwobi2MaWJgy7tfLeBmhj1u-dRFRs_8GwSoA/edit#gid=0"",""Gestores Escolares!D7:J""),7,0),""VERIFICAR CÓD SEC"")")," (74) 9 9995-8553")</f>
        <v> (74) 9 9995-8553</v>
      </c>
      <c r="Q34" s="82" t="str">
        <f>IFERROR(__xludf.DUMMYFUNCTION("IFERROR(VLOOKUP(D34,
IMPORTRANGE(""https://docs.google.com/spreadsheets/d/1MjHtlUikwobi2MaWJgy7tfLeBmhj1u-dRFRs_8GwSoA/edit#gid=0"",""Gestores Escolares!D7:m""),9,0),""VERIFICAR CÓD SEC"")"),"EUGENIO RODRIGUES DE FREITAS")</f>
        <v>EUGENIO RODRIGUES DE FREITAS</v>
      </c>
      <c r="R34" s="82" t="str">
        <f>IFERROR(__xludf.DUMMYFUNCTION("IFERROR(VLOOKUP(D34,
IMPORTRANGE(""https://docs.google.com/spreadsheets/d/1MjHtlUikwobi2MaWJgy7tfLeBmhj1u-dRFRs_8GwSoA/edit#gid=0"",""Gestores Escolares!D7:m""),10,0),""VERIFICAR CÓD SEC"")"),"(74) 9 9966-4585/ 
9 9949-2841")</f>
        <v>(74) 9 9966-4585/ 
9 9949-2841</v>
      </c>
      <c r="S34" s="82"/>
      <c r="T34" s="138">
        <v>13.0</v>
      </c>
      <c r="U34" s="145" t="s">
        <v>509</v>
      </c>
      <c r="V34" s="106">
        <v>0.0</v>
      </c>
      <c r="W34" s="107">
        <v>0.0</v>
      </c>
      <c r="X34" s="107">
        <v>0.0</v>
      </c>
      <c r="Y34" s="107">
        <v>0.0</v>
      </c>
      <c r="Z34" s="80">
        <f t="shared" si="1"/>
        <v>0</v>
      </c>
      <c r="AA34" s="106">
        <v>0.0</v>
      </c>
      <c r="AB34" s="107">
        <v>0.0</v>
      </c>
      <c r="AC34" s="107">
        <v>0.0</v>
      </c>
      <c r="AD34" s="107">
        <v>0.0</v>
      </c>
      <c r="AE34" s="80">
        <f t="shared" si="2"/>
        <v>0</v>
      </c>
      <c r="AF34" s="140">
        <v>31.0</v>
      </c>
      <c r="AG34" s="109">
        <v>0.0</v>
      </c>
      <c r="AH34" s="109">
        <v>0.0</v>
      </c>
      <c r="AI34" s="141">
        <v>907.0</v>
      </c>
      <c r="AJ34" s="80">
        <f t="shared" si="3"/>
        <v>938</v>
      </c>
      <c r="AK34" s="140">
        <v>0.0</v>
      </c>
      <c r="AL34" s="109">
        <v>0.0</v>
      </c>
      <c r="AM34" s="141">
        <v>0.0</v>
      </c>
      <c r="AN34" s="80">
        <f t="shared" si="4"/>
        <v>0</v>
      </c>
      <c r="AO34" s="140">
        <v>0.0</v>
      </c>
      <c r="AP34" s="109">
        <v>0.0</v>
      </c>
      <c r="AQ34" s="109">
        <v>0.0</v>
      </c>
      <c r="AR34" s="80">
        <f t="shared" si="5"/>
        <v>0</v>
      </c>
      <c r="AS34" s="110">
        <v>0.0</v>
      </c>
      <c r="AT34" s="110">
        <v>0.0</v>
      </c>
      <c r="AU34" s="110">
        <v>0.0</v>
      </c>
      <c r="AV34" s="142">
        <v>0.0</v>
      </c>
      <c r="AW34" s="80">
        <f t="shared" si="6"/>
        <v>0</v>
      </c>
      <c r="AX34" s="113">
        <f t="shared" si="7"/>
        <v>938</v>
      </c>
      <c r="AY34" s="117">
        <f t="shared" si="8"/>
        <v>938</v>
      </c>
      <c r="AZ34" s="120">
        <f t="shared" si="9"/>
        <v>0</v>
      </c>
      <c r="BA34" s="115">
        <v>0.0</v>
      </c>
      <c r="BB34" s="89">
        <f t="shared" si="10"/>
        <v>938</v>
      </c>
      <c r="BC34" s="132" t="s">
        <v>178</v>
      </c>
      <c r="BD34" s="132" t="s">
        <v>178</v>
      </c>
      <c r="BE34" s="132" t="s">
        <v>178</v>
      </c>
      <c r="BF34" s="156"/>
      <c r="BG34" s="83">
        <v>1176431.0</v>
      </c>
      <c r="BH34" s="98" t="s">
        <v>278</v>
      </c>
      <c r="BI34" s="112">
        <v>13.0</v>
      </c>
      <c r="BJ34" s="98" t="s">
        <v>155</v>
      </c>
      <c r="BK34" s="99">
        <f t="shared" si="11"/>
        <v>907</v>
      </c>
      <c r="BL34" s="99">
        <f t="shared" si="12"/>
        <v>31</v>
      </c>
      <c r="BM34" s="99" t="str">
        <f>IFERROR(__xludf.DUMMYFUNCTION("IFERROR(VLOOKUP(BG34,IMPORTRANGE(""https://docs.google.com/spreadsheets/d/1juPI-Fb8LD0YtltB2mlGEnp_R3UVu1t3wSFPzgCyHXE/edit?gid=0#gid=0"",""GERAL!A2:C""),3,0),""-"")"),"-")</f>
        <v>-</v>
      </c>
    </row>
    <row r="35" ht="114.75" customHeight="1">
      <c r="A35" s="111" t="s">
        <v>130</v>
      </c>
      <c r="B35" s="83" t="s">
        <v>271</v>
      </c>
      <c r="C35" s="83" t="s">
        <v>68</v>
      </c>
      <c r="D35" s="112">
        <v>1126590.0</v>
      </c>
      <c r="E35" s="83"/>
      <c r="F35" s="83">
        <v>2.906412E7</v>
      </c>
      <c r="G35" s="114" t="s">
        <v>280</v>
      </c>
      <c r="H35" s="91" t="s">
        <v>281</v>
      </c>
      <c r="I35" s="83" t="s">
        <v>282</v>
      </c>
      <c r="J35" s="83" t="s">
        <v>150</v>
      </c>
      <c r="K35" s="83" t="s">
        <v>151</v>
      </c>
      <c r="L35" s="83" t="s">
        <v>230</v>
      </c>
      <c r="M35" s="82" t="str">
        <f>IFERROR(__xludf.DUMMYFUNCTION("IFERROR(VLOOKUP(D35,
IMPORTRANGE(""https://docs.google.com/spreadsheets/d/1MjHtlUikwobi2MaWJgy7tfLeBmhj1u-dRFRs_8GwSoA/edit#gid=0"",""Gestores Escolares!D7:J""),3,0),""VERIFICAR CÓD SEC"")"),"JOICE MACHADO DE CARVALHO")</f>
        <v>JOICE MACHADO DE CARVALHO</v>
      </c>
      <c r="N35" s="82" t="str">
        <f>IFERROR(__xludf.DUMMYFUNCTION("IFERROR(VLOOKUP(D35,
IMPORTRANGE(""https://docs.google.com/spreadsheets/d/1MjHtlUikwobi2MaWJgy7tfLeBmhj1u-dRFRs_8GwSoA/edit#gid=0"",""Gestores Escolares!D7:J""),4,0),""VERIFICAR CÓD SEC"")"),"(74) 9 8801-9785")</f>
        <v>(74) 9 8801-9785</v>
      </c>
      <c r="O35" s="82" t="str">
        <f>IFERROR(__xludf.DUMMYFUNCTION("IFERROR(VLOOKUP(D35,
IMPORTRANGE(""https://docs.google.com/spreadsheets/d/1MjHtlUikwobi2MaWJgy7tfLeBmhj1u-dRFRs_8GwSoA/edit#gid=0"",""Gestores Escolares!D7:J""),6,0),""VERIFICAR CÓD SEC"")"),"LEANA FERREIRA DE ABREU")</f>
        <v>LEANA FERREIRA DE ABREU</v>
      </c>
      <c r="P35" s="82" t="str">
        <f>IFERROR(__xludf.DUMMYFUNCTION("IFERROR(VLOOKUP(D35,
IMPORTRANGE(""https://docs.google.com/spreadsheets/d/1MjHtlUikwobi2MaWJgy7tfLeBmhj1u-dRFRs_8GwSoA/edit#gid=0"",""Gestores Escolares!D7:J""),7,0),""VERIFICAR CÓD SEC"")"),"(74) 9 9929-6438")</f>
        <v>(74) 9 9929-6438</v>
      </c>
      <c r="Q35" s="82" t="str">
        <f>IFERROR(__xludf.DUMMYFUNCTION("IFERROR(VLOOKUP(D35,
IMPORTRANGE(""https://docs.google.com/spreadsheets/d/1MjHtlUikwobi2MaWJgy7tfLeBmhj1u-dRFRs_8GwSoA/edit#gid=0"",""Gestores Escolares!D7:m""),9,0),""VERIFICAR CÓD SEC"")"),"NAIARA ALVES ANDRADE")</f>
        <v>NAIARA ALVES ANDRADE</v>
      </c>
      <c r="R35" s="82" t="str">
        <f>IFERROR(__xludf.DUMMYFUNCTION("IFERROR(VLOOKUP(D35,
IMPORTRANGE(""https://docs.google.com/spreadsheets/d/1MjHtlUikwobi2MaWJgy7tfLeBmhj1u-dRFRs_8GwSoA/edit#gid=0"",""Gestores Escolares!D7:m""),10,0),""VERIFICAR CÓD SEC"")"),"(74) 9 9902-4563")</f>
        <v>(74) 9 9902-4563</v>
      </c>
      <c r="S35" s="82"/>
      <c r="T35" s="138">
        <v>15.0</v>
      </c>
      <c r="U35" s="145">
        <v>18.0</v>
      </c>
      <c r="V35" s="106">
        <v>0.0</v>
      </c>
      <c r="W35" s="107">
        <v>0.0</v>
      </c>
      <c r="X35" s="107">
        <v>0.0</v>
      </c>
      <c r="Y35" s="107">
        <v>0.0</v>
      </c>
      <c r="Z35" s="80">
        <f t="shared" si="1"/>
        <v>0</v>
      </c>
      <c r="AA35" s="106">
        <v>0.0</v>
      </c>
      <c r="AB35" s="107">
        <v>0.0</v>
      </c>
      <c r="AC35" s="107">
        <v>0.0</v>
      </c>
      <c r="AD35" s="107">
        <v>0.0</v>
      </c>
      <c r="AE35" s="80">
        <f t="shared" si="2"/>
        <v>0</v>
      </c>
      <c r="AF35" s="140">
        <v>0.0</v>
      </c>
      <c r="AG35" s="109">
        <v>0.0</v>
      </c>
      <c r="AH35" s="109">
        <v>0.0</v>
      </c>
      <c r="AI35" s="141">
        <v>0.0</v>
      </c>
      <c r="AJ35" s="80">
        <f t="shared" si="3"/>
        <v>0</v>
      </c>
      <c r="AK35" s="140">
        <v>0.0</v>
      </c>
      <c r="AL35" s="109">
        <v>0.0</v>
      </c>
      <c r="AM35" s="141">
        <v>0.0</v>
      </c>
      <c r="AN35" s="80">
        <f t="shared" si="4"/>
        <v>0</v>
      </c>
      <c r="AO35" s="140">
        <v>0.0</v>
      </c>
      <c r="AP35" s="109">
        <v>0.0</v>
      </c>
      <c r="AQ35" s="109">
        <v>0.0</v>
      </c>
      <c r="AR35" s="80">
        <f t="shared" si="5"/>
        <v>0</v>
      </c>
      <c r="AS35" s="110">
        <v>698.0</v>
      </c>
      <c r="AT35" s="110">
        <v>673.0</v>
      </c>
      <c r="AU35" s="110">
        <v>348.0</v>
      </c>
      <c r="AV35" s="142">
        <v>0.0</v>
      </c>
      <c r="AW35" s="80">
        <f t="shared" si="6"/>
        <v>1719</v>
      </c>
      <c r="AX35" s="113">
        <f t="shared" si="7"/>
        <v>1719</v>
      </c>
      <c r="AY35" s="117">
        <f t="shared" si="8"/>
        <v>1371</v>
      </c>
      <c r="AZ35" s="120">
        <f t="shared" si="9"/>
        <v>348</v>
      </c>
      <c r="BA35" s="115">
        <v>0.0</v>
      </c>
      <c r="BB35" s="89">
        <f t="shared" si="10"/>
        <v>1719</v>
      </c>
      <c r="BC35" s="132" t="s">
        <v>178</v>
      </c>
      <c r="BD35" s="132" t="s">
        <v>522</v>
      </c>
      <c r="BE35" s="132" t="s">
        <v>64</v>
      </c>
      <c r="BF35" s="179"/>
      <c r="BG35" s="83">
        <v>1126590.0</v>
      </c>
      <c r="BH35" s="98" t="s">
        <v>283</v>
      </c>
      <c r="BI35" s="112">
        <v>16.0</v>
      </c>
      <c r="BJ35" s="98" t="s">
        <v>284</v>
      </c>
      <c r="BK35" s="99">
        <f t="shared" si="11"/>
        <v>0</v>
      </c>
      <c r="BL35" s="99">
        <f t="shared" si="12"/>
        <v>1371</v>
      </c>
      <c r="BM35" s="99" t="str">
        <f>IFERROR(__xludf.DUMMYFUNCTION("IFERROR(VLOOKUP(BG35,IMPORTRANGE(""https://docs.google.com/spreadsheets/d/1juPI-Fb8LD0YtltB2mlGEnp_R3UVu1t3wSFPzgCyHXE/edit?gid=0#gid=0"",""GERAL!A2:C""),3,0),""-"")"),"-")</f>
        <v>-</v>
      </c>
    </row>
    <row r="36" ht="15.75" customHeight="1">
      <c r="A36" s="111" t="s">
        <v>130</v>
      </c>
      <c r="B36" s="83" t="s">
        <v>271</v>
      </c>
      <c r="C36" s="83" t="s">
        <v>68</v>
      </c>
      <c r="D36" s="112">
        <v>1179281.0</v>
      </c>
      <c r="E36" s="83"/>
      <c r="F36" s="83">
        <v>2.9459141E7</v>
      </c>
      <c r="G36" s="114" t="s">
        <v>287</v>
      </c>
      <c r="H36" s="91" t="s">
        <v>288</v>
      </c>
      <c r="I36" s="83" t="s">
        <v>149</v>
      </c>
      <c r="J36" s="83" t="s">
        <v>150</v>
      </c>
      <c r="K36" s="83" t="s">
        <v>151</v>
      </c>
      <c r="L36" s="83" t="s">
        <v>230</v>
      </c>
      <c r="M36" s="82" t="str">
        <f>IFERROR(__xludf.DUMMYFUNCTION("IFERROR(VLOOKUP(D36,
IMPORTRANGE(""https://docs.google.com/spreadsheets/d/1MjHtlUikwobi2MaWJgy7tfLeBmhj1u-dRFRs_8GwSoA/edit#gid=0"",""Gestores Escolares!D7:J""),3,0),""VERIFICAR CÓD SEC"")"),"MARCOS PAULO DA SILVA ALMEIDA")</f>
        <v>MARCOS PAULO DA SILVA ALMEIDA</v>
      </c>
      <c r="N36" s="82" t="str">
        <f>IFERROR(__xludf.DUMMYFUNCTION("IFERROR(VLOOKUP(D36,
IMPORTRANGE(""https://docs.google.com/spreadsheets/d/1MjHtlUikwobi2MaWJgy7tfLeBmhj1u-dRFRs_8GwSoA/edit#gid=0"",""Gestores Escolares!D7:J""),4,0),""VERIFICAR CÓD SEC"")"),"(74) 9 9998-8112")</f>
        <v>(74) 9 9998-8112</v>
      </c>
      <c r="O36" s="82" t="str">
        <f>IFERROR(__xludf.DUMMYFUNCTION("IFERROR(VLOOKUP(D36,
IMPORTRANGE(""https://docs.google.com/spreadsheets/d/1MjHtlUikwobi2MaWJgy7tfLeBmhj1u-dRFRs_8GwSoA/edit#gid=0"",""Gestores Escolares!D7:J""),6,0),""VERIFICAR CÓD SEC"")"),"FERNANDA MIRANDA CAMPOS")</f>
        <v>FERNANDA MIRANDA CAMPOS</v>
      </c>
      <c r="P36" s="82" t="str">
        <f>IFERROR(__xludf.DUMMYFUNCTION("IFERROR(VLOOKUP(D36,
IMPORTRANGE(""https://docs.google.com/spreadsheets/d/1MjHtlUikwobi2MaWJgy7tfLeBmhj1u-dRFRs_8GwSoA/edit#gid=0"",""Gestores Escolares!D7:J""),7,0),""VERIFICAR CÓD SEC"")"),"(74) 9 9963-4717")</f>
        <v>(74) 9 9963-4717</v>
      </c>
      <c r="Q36" s="82" t="str">
        <f>IFERROR(__xludf.DUMMYFUNCTION("IFERROR(VLOOKUP(D36,
IMPORTRANGE(""https://docs.google.com/spreadsheets/d/1MjHtlUikwobi2MaWJgy7tfLeBmhj1u-dRFRs_8GwSoA/edit#gid=0"",""Gestores Escolares!D7:m""),9,0),""VERIFICAR CÓD SEC"")"),"")</f>
        <v/>
      </c>
      <c r="R36" s="82" t="str">
        <f>IFERROR(__xludf.DUMMYFUNCTION("IFERROR(VLOOKUP(D36,
IMPORTRANGE(""https://docs.google.com/spreadsheets/d/1MjHtlUikwobi2MaWJgy7tfLeBmhj1u-dRFRs_8GwSoA/edit#gid=0"",""Gestores Escolares!D7:m""),10,0),""VERIFICAR CÓD SEC"")"),"")</f>
        <v/>
      </c>
      <c r="S36" s="82"/>
      <c r="T36" s="138" t="s">
        <v>171</v>
      </c>
      <c r="U36" s="145" t="s">
        <v>533</v>
      </c>
      <c r="V36" s="106">
        <v>0.0</v>
      </c>
      <c r="W36" s="107">
        <v>0.0</v>
      </c>
      <c r="X36" s="107">
        <v>0.0</v>
      </c>
      <c r="Y36" s="107">
        <v>0.0</v>
      </c>
      <c r="Z36" s="80">
        <f t="shared" si="1"/>
        <v>0</v>
      </c>
      <c r="AA36" s="106">
        <v>0.0</v>
      </c>
      <c r="AB36" s="107">
        <v>0.0</v>
      </c>
      <c r="AC36" s="107">
        <v>0.0</v>
      </c>
      <c r="AD36" s="107">
        <v>0.0</v>
      </c>
      <c r="AE36" s="80">
        <f t="shared" si="2"/>
        <v>0</v>
      </c>
      <c r="AF36" s="140">
        <v>0.0</v>
      </c>
      <c r="AG36" s="109">
        <v>0.0</v>
      </c>
      <c r="AH36" s="109">
        <v>0.0</v>
      </c>
      <c r="AI36" s="141">
        <v>0.0</v>
      </c>
      <c r="AJ36" s="80">
        <f t="shared" si="3"/>
        <v>0</v>
      </c>
      <c r="AK36" s="140">
        <v>0.0</v>
      </c>
      <c r="AL36" s="109">
        <v>0.0</v>
      </c>
      <c r="AM36" s="141">
        <v>0.0</v>
      </c>
      <c r="AN36" s="80">
        <f t="shared" si="4"/>
        <v>0</v>
      </c>
      <c r="AO36" s="140">
        <v>0.0</v>
      </c>
      <c r="AP36" s="109">
        <v>0.0</v>
      </c>
      <c r="AQ36" s="109">
        <v>0.0</v>
      </c>
      <c r="AR36" s="80">
        <f t="shared" si="5"/>
        <v>0</v>
      </c>
      <c r="AS36" s="110">
        <v>0.0</v>
      </c>
      <c r="AT36" s="110">
        <v>0.0</v>
      </c>
      <c r="AU36" s="110">
        <v>0.0</v>
      </c>
      <c r="AV36" s="142">
        <v>0.0</v>
      </c>
      <c r="AW36" s="80">
        <f t="shared" si="6"/>
        <v>0</v>
      </c>
      <c r="AX36" s="113">
        <f t="shared" si="7"/>
        <v>0</v>
      </c>
      <c r="AY36" s="117">
        <f t="shared" si="8"/>
        <v>0</v>
      </c>
      <c r="AZ36" s="120">
        <f t="shared" si="9"/>
        <v>0</v>
      </c>
      <c r="BA36" s="115">
        <v>0.0</v>
      </c>
      <c r="BB36" s="89">
        <f t="shared" si="10"/>
        <v>0</v>
      </c>
      <c r="BC36" s="132" t="s">
        <v>178</v>
      </c>
      <c r="BD36" s="143" t="s">
        <v>227</v>
      </c>
      <c r="BE36" s="132" t="s">
        <v>64</v>
      </c>
      <c r="BF36" s="156" t="s">
        <v>534</v>
      </c>
      <c r="BG36" s="83">
        <v>1179281.0</v>
      </c>
      <c r="BH36" s="144"/>
      <c r="BI36" s="112">
        <v>0.0</v>
      </c>
      <c r="BJ36" s="98" t="s">
        <v>155</v>
      </c>
      <c r="BK36" s="99">
        <f t="shared" si="11"/>
        <v>0</v>
      </c>
      <c r="BL36" s="99">
        <f t="shared" si="12"/>
        <v>0</v>
      </c>
      <c r="BM36" s="99" t="str">
        <f>IFERROR(__xludf.DUMMYFUNCTION("IFERROR(VLOOKUP(BG36,IMPORTRANGE(""https://docs.google.com/spreadsheets/d/1juPI-Fb8LD0YtltB2mlGEnp_R3UVu1t3wSFPzgCyHXE/edit?gid=0#gid=0"",""GERAL!A2:C""),3,0),""-"")"),"-")</f>
        <v>-</v>
      </c>
    </row>
    <row r="37" ht="15.75" customHeight="1">
      <c r="A37" s="111" t="s">
        <v>130</v>
      </c>
      <c r="B37" s="83" t="s">
        <v>271</v>
      </c>
      <c r="C37" s="83" t="s">
        <v>68</v>
      </c>
      <c r="D37" s="112">
        <v>1179658.0</v>
      </c>
      <c r="E37" s="83"/>
      <c r="F37" s="83">
        <v>2.947431E7</v>
      </c>
      <c r="G37" s="114" t="s">
        <v>289</v>
      </c>
      <c r="H37" s="91" t="s">
        <v>290</v>
      </c>
      <c r="I37" s="83" t="s">
        <v>149</v>
      </c>
      <c r="J37" s="83" t="s">
        <v>150</v>
      </c>
      <c r="K37" s="83" t="s">
        <v>151</v>
      </c>
      <c r="L37" s="83" t="s">
        <v>230</v>
      </c>
      <c r="M37" s="82" t="str">
        <f>IFERROR(__xludf.DUMMYFUNCTION("IFERROR(VLOOKUP(D37,
IMPORTRANGE(""https://docs.google.com/spreadsheets/d/1MjHtlUikwobi2MaWJgy7tfLeBmhj1u-dRFRs_8GwSoA/edit#gid=0"",""Gestores Escolares!D7:J""),3,0),""VERIFICAR CÓD SEC"")"),"MANOEL AUGUSTO MIRANDA DOURADO")</f>
        <v>MANOEL AUGUSTO MIRANDA DOURADO</v>
      </c>
      <c r="N37" s="82" t="str">
        <f>IFERROR(__xludf.DUMMYFUNCTION("IFERROR(VLOOKUP(D37,
IMPORTRANGE(""https://docs.google.com/spreadsheets/d/1MjHtlUikwobi2MaWJgy7tfLeBmhj1u-dRFRs_8GwSoA/edit#gid=0"",""Gestores Escolares!D7:J""),4,0),""VERIFICAR CÓD SEC"")"),"(74) 9 9968-4497")</f>
        <v>(74) 9 9968-4497</v>
      </c>
      <c r="O37" s="82" t="str">
        <f>IFERROR(__xludf.DUMMYFUNCTION("IFERROR(VLOOKUP(D37,
IMPORTRANGE(""https://docs.google.com/spreadsheets/d/1MjHtlUikwobi2MaWJgy7tfLeBmhj1u-dRFRs_8GwSoA/edit#gid=0"",""Gestores Escolares!D7:J""),6,0),""VERIFICAR CÓD SEC"")"),"THIAGO FILGUEIRA PEREIRA")</f>
        <v>THIAGO FILGUEIRA PEREIRA</v>
      </c>
      <c r="P37" s="82" t="str">
        <f>IFERROR(__xludf.DUMMYFUNCTION("IFERROR(VLOOKUP(D37,
IMPORTRANGE(""https://docs.google.com/spreadsheets/d/1MjHtlUikwobi2MaWJgy7tfLeBmhj1u-dRFRs_8GwSoA/edit#gid=0"",""Gestores Escolares!D7:J""),7,0),""VERIFICAR CÓD SEC"")"),"(74) 9 8829-0038")</f>
        <v>(74) 9 8829-0038</v>
      </c>
      <c r="Q37" s="82" t="str">
        <f>IFERROR(__xludf.DUMMYFUNCTION("IFERROR(VLOOKUP(D37,
IMPORTRANGE(""https://docs.google.com/spreadsheets/d/1MjHtlUikwobi2MaWJgy7tfLeBmhj1u-dRFRs_8GwSoA/edit#gid=0"",""Gestores Escolares!D7:m""),9,0),""VERIFICAR CÓD SEC"")"),"")</f>
        <v/>
      </c>
      <c r="R37" s="82" t="str">
        <f>IFERROR(__xludf.DUMMYFUNCTION("IFERROR(VLOOKUP(D37,
IMPORTRANGE(""https://docs.google.com/spreadsheets/d/1MjHtlUikwobi2MaWJgy7tfLeBmhj1u-dRFRs_8GwSoA/edit#gid=0"",""Gestores Escolares!D7:m""),10,0),""VERIFICAR CÓD SEC"")"),"")</f>
        <v/>
      </c>
      <c r="S37" s="82"/>
      <c r="T37" s="138" t="s">
        <v>171</v>
      </c>
      <c r="U37" s="145">
        <v>1.0</v>
      </c>
      <c r="V37" s="106">
        <v>0.0</v>
      </c>
      <c r="W37" s="107">
        <v>0.0</v>
      </c>
      <c r="X37" s="107">
        <v>0.0</v>
      </c>
      <c r="Y37" s="107">
        <v>0.0</v>
      </c>
      <c r="Z37" s="80">
        <f t="shared" si="1"/>
        <v>0</v>
      </c>
      <c r="AA37" s="106">
        <v>0.0</v>
      </c>
      <c r="AB37" s="107">
        <v>0.0</v>
      </c>
      <c r="AC37" s="107">
        <v>0.0</v>
      </c>
      <c r="AD37" s="107">
        <v>0.0</v>
      </c>
      <c r="AE37" s="80">
        <f t="shared" si="2"/>
        <v>0</v>
      </c>
      <c r="AF37" s="140">
        <v>0.0</v>
      </c>
      <c r="AG37" s="109">
        <v>0.0</v>
      </c>
      <c r="AH37" s="109">
        <v>0.0</v>
      </c>
      <c r="AI37" s="141">
        <v>0.0</v>
      </c>
      <c r="AJ37" s="80">
        <f t="shared" si="3"/>
        <v>0</v>
      </c>
      <c r="AK37" s="140">
        <v>0.0</v>
      </c>
      <c r="AL37" s="109">
        <v>0.0</v>
      </c>
      <c r="AM37" s="141">
        <v>0.0</v>
      </c>
      <c r="AN37" s="80">
        <f t="shared" si="4"/>
        <v>0</v>
      </c>
      <c r="AO37" s="140">
        <v>0.0</v>
      </c>
      <c r="AP37" s="109">
        <v>0.0</v>
      </c>
      <c r="AQ37" s="109">
        <v>0.0</v>
      </c>
      <c r="AR37" s="80">
        <f t="shared" si="5"/>
        <v>0</v>
      </c>
      <c r="AS37" s="110">
        <v>0.0</v>
      </c>
      <c r="AT37" s="110">
        <v>0.0</v>
      </c>
      <c r="AU37" s="110">
        <v>0.0</v>
      </c>
      <c r="AV37" s="142">
        <v>0.0</v>
      </c>
      <c r="AW37" s="80">
        <f t="shared" si="6"/>
        <v>0</v>
      </c>
      <c r="AX37" s="113">
        <f t="shared" si="7"/>
        <v>0</v>
      </c>
      <c r="AY37" s="117">
        <f t="shared" si="8"/>
        <v>0</v>
      </c>
      <c r="AZ37" s="120">
        <f t="shared" si="9"/>
        <v>0</v>
      </c>
      <c r="BA37" s="168">
        <v>0.0</v>
      </c>
      <c r="BB37" s="89">
        <f t="shared" si="10"/>
        <v>0</v>
      </c>
      <c r="BC37" s="143" t="s">
        <v>547</v>
      </c>
      <c r="BD37" s="143" t="s">
        <v>547</v>
      </c>
      <c r="BE37" s="132" t="s">
        <v>178</v>
      </c>
      <c r="BF37" s="156"/>
      <c r="BG37" s="83">
        <v>1179658.0</v>
      </c>
      <c r="BH37" s="98" t="s">
        <v>291</v>
      </c>
      <c r="BI37" s="112">
        <v>8.0</v>
      </c>
      <c r="BJ37" s="98" t="s">
        <v>155</v>
      </c>
      <c r="BK37" s="99">
        <f t="shared" si="11"/>
        <v>0</v>
      </c>
      <c r="BL37" s="99">
        <f t="shared" si="12"/>
        <v>0</v>
      </c>
      <c r="BM37" s="99" t="str">
        <f>IFERROR(__xludf.DUMMYFUNCTION("IFERROR(VLOOKUP(BG37,IMPORTRANGE(""https://docs.google.com/spreadsheets/d/1juPI-Fb8LD0YtltB2mlGEnp_R3UVu1t3wSFPzgCyHXE/edit?gid=0#gid=0"",""GERAL!A2:C""),3,0),""-"")"),"-")</f>
        <v>-</v>
      </c>
    </row>
    <row r="38" ht="15.75" customHeight="1">
      <c r="A38" s="127" t="s">
        <v>130</v>
      </c>
      <c r="B38" s="98" t="s">
        <v>271</v>
      </c>
      <c r="C38" s="83" t="s">
        <v>68</v>
      </c>
      <c r="D38" s="98">
        <v>1179782.0</v>
      </c>
      <c r="E38" s="136"/>
      <c r="F38" s="115">
        <v>44169.0</v>
      </c>
      <c r="G38" s="147" t="s">
        <v>294</v>
      </c>
      <c r="H38" s="108" t="s">
        <v>295</v>
      </c>
      <c r="I38" s="98" t="s">
        <v>149</v>
      </c>
      <c r="J38" s="98" t="s">
        <v>150</v>
      </c>
      <c r="K38" s="83" t="s">
        <v>151</v>
      </c>
      <c r="L38" s="98" t="s">
        <v>230</v>
      </c>
      <c r="M38" s="82" t="str">
        <f>IFERROR(__xludf.DUMMYFUNCTION("IFERROR(VLOOKUP(D38,
IMPORTRANGE(""https://docs.google.com/spreadsheets/d/1MjHtlUikwobi2MaWJgy7tfLeBmhj1u-dRFRs_8GwSoA/edit#gid=0"",""Gestores Escolares!D7:J""),3,0),""VERIFICAR CÓD SEC"")"),"SEM DIREÇÃO - (AGUARDANDO INDICAÇÃO DO NTE PARA DIREÇÃO DE ESCOLA)")</f>
        <v>SEM DIREÇÃO - (AGUARDANDO INDICAÇÃO DO NTE PARA DIREÇÃO DE ESCOLA)</v>
      </c>
      <c r="N38" s="82" t="str">
        <f>IFERROR(__xludf.DUMMYFUNCTION("IFERROR(VLOOKUP(D38,
IMPORTRANGE(""https://docs.google.com/spreadsheets/d/1MjHtlUikwobi2MaWJgy7tfLeBmhj1u-dRFRs_8GwSoA/edit#gid=0"",""Gestores Escolares!D7:J""),4,0),""VERIFICAR CÓD SEC"")"),"")</f>
        <v/>
      </c>
      <c r="O38" s="82" t="str">
        <f>IFERROR(__xludf.DUMMYFUNCTION("IFERROR(VLOOKUP(D38,
IMPORTRANGE(""https://docs.google.com/spreadsheets/d/1MjHtlUikwobi2MaWJgy7tfLeBmhj1u-dRFRs_8GwSoA/edit#gid=0"",""Gestores Escolares!D7:J""),6,0),""VERIFICAR CÓD SEC"")"),"")</f>
        <v/>
      </c>
      <c r="P38" s="82" t="str">
        <f>IFERROR(__xludf.DUMMYFUNCTION("IFERROR(VLOOKUP(D38,
IMPORTRANGE(""https://docs.google.com/spreadsheets/d/1MjHtlUikwobi2MaWJgy7tfLeBmhj1u-dRFRs_8GwSoA/edit#gid=0"",""Gestores Escolares!D7:J""),7,0),""VERIFICAR CÓD SEC"")"),"")</f>
        <v/>
      </c>
      <c r="Q38" s="82" t="str">
        <f>IFERROR(__xludf.DUMMYFUNCTION("IFERROR(VLOOKUP(D38,
IMPORTRANGE(""https://docs.google.com/spreadsheets/d/1MjHtlUikwobi2MaWJgy7tfLeBmhj1u-dRFRs_8GwSoA/edit#gid=0"",""Gestores Escolares!D7:m""),9,0),""VERIFICAR CÓD SEC"")"),"")</f>
        <v/>
      </c>
      <c r="R38" s="82" t="str">
        <f>IFERROR(__xludf.DUMMYFUNCTION("IFERROR(VLOOKUP(D38,
IMPORTRANGE(""https://docs.google.com/spreadsheets/d/1MjHtlUikwobi2MaWJgy7tfLeBmhj1u-dRFRs_8GwSoA/edit#gid=0"",""Gestores Escolares!D7:m""),10,0),""VERIFICAR CÓD SEC"")"),"")</f>
        <v/>
      </c>
      <c r="S38" s="82"/>
      <c r="T38" s="138"/>
      <c r="U38" s="139"/>
      <c r="V38" s="106">
        <v>0.0</v>
      </c>
      <c r="W38" s="107">
        <v>0.0</v>
      </c>
      <c r="X38" s="107">
        <v>0.0</v>
      </c>
      <c r="Y38" s="107">
        <v>0.0</v>
      </c>
      <c r="Z38" s="80">
        <f t="shared" si="1"/>
        <v>0</v>
      </c>
      <c r="AA38" s="106">
        <v>0.0</v>
      </c>
      <c r="AB38" s="107">
        <v>0.0</v>
      </c>
      <c r="AC38" s="107">
        <v>0.0</v>
      </c>
      <c r="AD38" s="107">
        <v>0.0</v>
      </c>
      <c r="AE38" s="80">
        <f t="shared" si="2"/>
        <v>0</v>
      </c>
      <c r="AF38" s="140">
        <v>0.0</v>
      </c>
      <c r="AG38" s="109">
        <v>0.0</v>
      </c>
      <c r="AH38" s="109">
        <v>0.0</v>
      </c>
      <c r="AI38" s="141">
        <v>0.0</v>
      </c>
      <c r="AJ38" s="80">
        <f t="shared" si="3"/>
        <v>0</v>
      </c>
      <c r="AK38" s="140">
        <v>0.0</v>
      </c>
      <c r="AL38" s="109">
        <v>0.0</v>
      </c>
      <c r="AM38" s="141">
        <v>0.0</v>
      </c>
      <c r="AN38" s="80">
        <f t="shared" si="4"/>
        <v>0</v>
      </c>
      <c r="AO38" s="140">
        <v>0.0</v>
      </c>
      <c r="AP38" s="109">
        <v>0.0</v>
      </c>
      <c r="AQ38" s="109">
        <v>0.0</v>
      </c>
      <c r="AR38" s="80">
        <f t="shared" si="5"/>
        <v>0</v>
      </c>
      <c r="AS38" s="110">
        <v>0.0</v>
      </c>
      <c r="AT38" s="110">
        <v>0.0</v>
      </c>
      <c r="AU38" s="110">
        <v>0.0</v>
      </c>
      <c r="AV38" s="142">
        <v>0.0</v>
      </c>
      <c r="AW38" s="80">
        <f t="shared" si="6"/>
        <v>0</v>
      </c>
      <c r="AX38" s="113">
        <f t="shared" si="7"/>
        <v>0</v>
      </c>
      <c r="AY38" s="117">
        <f t="shared" si="8"/>
        <v>0</v>
      </c>
      <c r="AZ38" s="120">
        <f t="shared" si="9"/>
        <v>0</v>
      </c>
      <c r="BA38" s="115">
        <v>0.0</v>
      </c>
      <c r="BB38" s="89">
        <f t="shared" si="10"/>
        <v>0</v>
      </c>
      <c r="BC38" s="132" t="s">
        <v>553</v>
      </c>
      <c r="BD38" s="132" t="s">
        <v>554</v>
      </c>
      <c r="BE38" s="132" t="s">
        <v>178</v>
      </c>
      <c r="BF38" s="123"/>
      <c r="BG38" s="98">
        <v>1179782.0</v>
      </c>
      <c r="BH38" s="144"/>
      <c r="BI38" s="112"/>
      <c r="BJ38" s="98"/>
      <c r="BK38" s="99">
        <f t="shared" si="11"/>
        <v>0</v>
      </c>
      <c r="BL38" s="99">
        <f t="shared" si="12"/>
        <v>0</v>
      </c>
      <c r="BM38" s="99" t="str">
        <f>IFERROR(__xludf.DUMMYFUNCTION("IFERROR(VLOOKUP(BG38,IMPORTRANGE(""https://docs.google.com/spreadsheets/d/1juPI-Fb8LD0YtltB2mlGEnp_R3UVu1t3wSFPzgCyHXE/edit?gid=0#gid=0"",""GERAL!A2:C""),3,0),""-"")"),"-")</f>
        <v>-</v>
      </c>
    </row>
    <row r="39" ht="15.75" customHeight="1">
      <c r="A39" s="111" t="s">
        <v>130</v>
      </c>
      <c r="B39" s="83" t="s">
        <v>271</v>
      </c>
      <c r="C39" s="83" t="s">
        <v>164</v>
      </c>
      <c r="D39" s="112">
        <v>1126611.0</v>
      </c>
      <c r="E39" s="98">
        <v>1179803.0</v>
      </c>
      <c r="F39" s="98">
        <v>2.9493374E7</v>
      </c>
      <c r="G39" s="147" t="s">
        <v>292</v>
      </c>
      <c r="H39" s="108" t="s">
        <v>293</v>
      </c>
      <c r="I39" s="83"/>
      <c r="J39" s="98" t="s">
        <v>171</v>
      </c>
      <c r="K39" s="83" t="s">
        <v>151</v>
      </c>
      <c r="L39" s="83"/>
      <c r="M39" s="82" t="str">
        <f>IFERROR(__xludf.DUMMYFUNCTION("IFERROR(VLOOKUP(D39,
IMPORTRANGE(""https://docs.google.com/spreadsheets/d/1MjHtlUikwobi2MaWJgy7tfLeBmhj1u-dRFRs_8GwSoA/edit#gid=0"",""Gestores Escolares!D7:J""),3,0),""VERIFICAR CÓD SEC"")"),"VIVIANE DA GAMA SILVA")</f>
        <v>VIVIANE DA GAMA SILVA</v>
      </c>
      <c r="N39" s="82" t="str">
        <f>IFERROR(__xludf.DUMMYFUNCTION("IFERROR(VLOOKUP(D39,
IMPORTRANGE(""https://docs.google.com/spreadsheets/d/1MjHtlUikwobi2MaWJgy7tfLeBmhj1u-dRFRs_8GwSoA/edit#gid=0"",""Gestores Escolares!D7:J""),4,0),""VERIFICAR CÓD SEC"")"),"(74) 9 9955-1444/
9 8127-5221")</f>
        <v>(74) 9 9955-1444/
9 8127-5221</v>
      </c>
      <c r="O39" s="82" t="str">
        <f>IFERROR(__xludf.DUMMYFUNCTION("IFERROR(VLOOKUP(D39,
IMPORTRANGE(""https://docs.google.com/spreadsheets/d/1MjHtlUikwobi2MaWJgy7tfLeBmhj1u-dRFRs_8GwSoA/edit#gid=0"",""Gestores Escolares!D7:J""),6,0),""VERIFICAR CÓD SEC"")"),"ERIVAL BATISTA DE OLIVEIRA")</f>
        <v>ERIVAL BATISTA DE OLIVEIRA</v>
      </c>
      <c r="P39" s="82" t="str">
        <f>IFERROR(__xludf.DUMMYFUNCTION("IFERROR(VLOOKUP(D39,
IMPORTRANGE(""https://docs.google.com/spreadsheets/d/1MjHtlUikwobi2MaWJgy7tfLeBmhj1u-dRFRs_8GwSoA/edit#gid=0"",""Gestores Escolares!D7:J""),7,0),""VERIFICAR CÓD SEC"")"),"(74) 9 9985-7659")</f>
        <v>(74) 9 9985-7659</v>
      </c>
      <c r="Q39" s="82" t="str">
        <f>IFERROR(__xludf.DUMMYFUNCTION("IFERROR(VLOOKUP(D39,
IMPORTRANGE(""https://docs.google.com/spreadsheets/d/1MjHtlUikwobi2MaWJgy7tfLeBmhj1u-dRFRs_8GwSoA/edit#gid=0"",""Gestores Escolares!D7:m""),9,0),""VERIFICAR CÓD SEC"")"),"GRESIELE DA SILVA CARVALHO")</f>
        <v>GRESIELE DA SILVA CARVALHO</v>
      </c>
      <c r="R39" s="82" t="str">
        <f>IFERROR(__xludf.DUMMYFUNCTION("IFERROR(VLOOKUP(D39,
IMPORTRANGE(""https://docs.google.com/spreadsheets/d/1MjHtlUikwobi2MaWJgy7tfLeBmhj1u-dRFRs_8GwSoA/edit#gid=0"",""Gestores Escolares!D7:m""),10,0),""VERIFICAR CÓD SEC"")"),"(77) 9 9959-0571")</f>
        <v>(77) 9 9959-0571</v>
      </c>
      <c r="S39" s="82"/>
      <c r="T39" s="138"/>
      <c r="U39" s="145" t="s">
        <v>171</v>
      </c>
      <c r="V39" s="106">
        <v>0.0</v>
      </c>
      <c r="W39" s="107">
        <v>0.0</v>
      </c>
      <c r="X39" s="107">
        <v>0.0</v>
      </c>
      <c r="Y39" s="107">
        <v>0.0</v>
      </c>
      <c r="Z39" s="80">
        <f t="shared" si="1"/>
        <v>0</v>
      </c>
      <c r="AA39" s="106">
        <v>0.0</v>
      </c>
      <c r="AB39" s="107">
        <v>0.0</v>
      </c>
      <c r="AC39" s="107">
        <v>0.0</v>
      </c>
      <c r="AD39" s="107">
        <v>0.0</v>
      </c>
      <c r="AE39" s="80">
        <f t="shared" si="2"/>
        <v>0</v>
      </c>
      <c r="AF39" s="140">
        <v>0.0</v>
      </c>
      <c r="AG39" s="109">
        <v>0.0</v>
      </c>
      <c r="AH39" s="109">
        <v>0.0</v>
      </c>
      <c r="AI39" s="141">
        <v>0.0</v>
      </c>
      <c r="AJ39" s="80">
        <f t="shared" si="3"/>
        <v>0</v>
      </c>
      <c r="AK39" s="140">
        <v>0.0</v>
      </c>
      <c r="AL39" s="109">
        <v>0.0</v>
      </c>
      <c r="AM39" s="141">
        <v>0.0</v>
      </c>
      <c r="AN39" s="80">
        <f t="shared" si="4"/>
        <v>0</v>
      </c>
      <c r="AO39" s="140">
        <v>78.0</v>
      </c>
      <c r="AP39" s="109">
        <v>0.0</v>
      </c>
      <c r="AQ39" s="109">
        <v>17.0</v>
      </c>
      <c r="AR39" s="80">
        <f t="shared" si="5"/>
        <v>95</v>
      </c>
      <c r="AS39" s="110">
        <v>0.0</v>
      </c>
      <c r="AT39" s="110">
        <v>0.0</v>
      </c>
      <c r="AU39" s="110">
        <v>0.0</v>
      </c>
      <c r="AV39" s="142">
        <v>0.0</v>
      </c>
      <c r="AW39" s="80">
        <f t="shared" si="6"/>
        <v>0</v>
      </c>
      <c r="AX39" s="113">
        <f t="shared" si="7"/>
        <v>95</v>
      </c>
      <c r="AY39" s="117">
        <f t="shared" si="8"/>
        <v>78</v>
      </c>
      <c r="AZ39" s="120">
        <f t="shared" si="9"/>
        <v>17</v>
      </c>
      <c r="BA39" s="115">
        <v>0.0</v>
      </c>
      <c r="BB39" s="89">
        <f t="shared" si="10"/>
        <v>95</v>
      </c>
      <c r="BC39" s="132" t="s">
        <v>563</v>
      </c>
      <c r="BD39" s="132"/>
      <c r="BE39" s="132"/>
      <c r="BF39" s="156"/>
      <c r="BG39" s="98">
        <v>1179803.0</v>
      </c>
      <c r="BH39" s="144"/>
      <c r="BI39" s="112"/>
      <c r="BJ39" s="98"/>
      <c r="BK39" s="99">
        <f t="shared" si="11"/>
        <v>0</v>
      </c>
      <c r="BL39" s="99">
        <f t="shared" si="12"/>
        <v>78</v>
      </c>
      <c r="BM39" s="99" t="str">
        <f>IFERROR(__xludf.DUMMYFUNCTION("IFERROR(VLOOKUP(BG39,IMPORTRANGE(""https://docs.google.com/spreadsheets/d/1juPI-Fb8LD0YtltB2mlGEnp_R3UVu1t3wSFPzgCyHXE/edit?gid=0#gid=0"",""GERAL!A2:C""),3,0),""-"")"),"-")</f>
        <v>-</v>
      </c>
    </row>
    <row r="40" ht="15.75" customHeight="1">
      <c r="A40" s="111" t="s">
        <v>130</v>
      </c>
      <c r="B40" s="83" t="s">
        <v>296</v>
      </c>
      <c r="C40" s="83" t="s">
        <v>68</v>
      </c>
      <c r="D40" s="112">
        <v>1178258.0</v>
      </c>
      <c r="E40" s="83"/>
      <c r="F40" s="83">
        <v>2.9447755E7</v>
      </c>
      <c r="G40" s="114" t="s">
        <v>297</v>
      </c>
      <c r="H40" s="91" t="s">
        <v>298</v>
      </c>
      <c r="I40" s="83" t="s">
        <v>149</v>
      </c>
      <c r="J40" s="83" t="s">
        <v>150</v>
      </c>
      <c r="K40" s="83" t="s">
        <v>151</v>
      </c>
      <c r="L40" s="98" t="s">
        <v>299</v>
      </c>
      <c r="M40" s="82" t="str">
        <f>IFERROR(__xludf.DUMMYFUNCTION("IFERROR(VLOOKUP(D40,
IMPORTRANGE(""https://docs.google.com/spreadsheets/d/1MjHtlUikwobi2MaWJgy7tfLeBmhj1u-dRFRs_8GwSoA/edit#gid=0"",""Gestores Escolares!D7:J""),3,0),""VERIFICAR CÓD SEC"")"),"JOSE WILTON FRANCISCO DA SILVA")</f>
        <v>JOSE WILTON FRANCISCO DA SILVA</v>
      </c>
      <c r="N40" s="82" t="str">
        <f>IFERROR(__xludf.DUMMYFUNCTION("IFERROR(VLOOKUP(D40,
IMPORTRANGE(""https://docs.google.com/spreadsheets/d/1MjHtlUikwobi2MaWJgy7tfLeBmhj1u-dRFRs_8GwSoA/edit#gid=0"",""Gestores Escolares!D7:J""),4,0),""VERIFICAR CÓD SEC"")"),"(74) 9 9967-4837")</f>
        <v>(74) 9 9967-4837</v>
      </c>
      <c r="O40" s="82" t="str">
        <f>IFERROR(__xludf.DUMMYFUNCTION("IFERROR(VLOOKUP(D40,
IMPORTRANGE(""https://docs.google.com/spreadsheets/d/1MjHtlUikwobi2MaWJgy7tfLeBmhj1u-dRFRs_8GwSoA/edit#gid=0"",""Gestores Escolares!D7:J""),6,0),""VERIFICAR CÓD SEC"")"),"DANIELA PIRES BARRETO")</f>
        <v>DANIELA PIRES BARRETO</v>
      </c>
      <c r="P40" s="82" t="str">
        <f>IFERROR(__xludf.DUMMYFUNCTION("IFERROR(VLOOKUP(D40,
IMPORTRANGE(""https://docs.google.com/spreadsheets/d/1MjHtlUikwobi2MaWJgy7tfLeBmhj1u-dRFRs_8GwSoA/edit#gid=0"",""Gestores Escolares!D7:J""),7,0),""VERIFICAR CÓD SEC"")"),"(74) 9 9935-0933")</f>
        <v>(74) 9 9935-0933</v>
      </c>
      <c r="Q40" s="82" t="str">
        <f>IFERROR(__xludf.DUMMYFUNCTION("IFERROR(VLOOKUP(D40,
IMPORTRANGE(""https://docs.google.com/spreadsheets/d/1MjHtlUikwobi2MaWJgy7tfLeBmhj1u-dRFRs_8GwSoA/edit#gid=0"",""Gestores Escolares!D7:m""),9,0),""VERIFICAR CÓD SEC"")"),"")</f>
        <v/>
      </c>
      <c r="R40" s="82" t="str">
        <f>IFERROR(__xludf.DUMMYFUNCTION("IFERROR(VLOOKUP(D40,
IMPORTRANGE(""https://docs.google.com/spreadsheets/d/1MjHtlUikwobi2MaWJgy7tfLeBmhj1u-dRFRs_8GwSoA/edit#gid=0"",""Gestores Escolares!D7:m""),10,0),""VERIFICAR CÓD SEC"")"),"")</f>
        <v/>
      </c>
      <c r="S40" s="82"/>
      <c r="T40" s="138">
        <v>7.0</v>
      </c>
      <c r="U40" s="145" t="s">
        <v>569</v>
      </c>
      <c r="V40" s="106">
        <v>0.0</v>
      </c>
      <c r="W40" s="107">
        <v>0.0</v>
      </c>
      <c r="X40" s="107">
        <v>0.0</v>
      </c>
      <c r="Y40" s="107">
        <v>0.0</v>
      </c>
      <c r="Z40" s="80">
        <f t="shared" si="1"/>
        <v>0</v>
      </c>
      <c r="AA40" s="106">
        <v>0.0</v>
      </c>
      <c r="AB40" s="107">
        <v>0.0</v>
      </c>
      <c r="AC40" s="107">
        <v>0.0</v>
      </c>
      <c r="AD40" s="107">
        <v>0.0</v>
      </c>
      <c r="AE40" s="80">
        <f t="shared" si="2"/>
        <v>0</v>
      </c>
      <c r="AF40" s="140">
        <v>0.0</v>
      </c>
      <c r="AG40" s="109">
        <v>0.0</v>
      </c>
      <c r="AH40" s="109">
        <v>0.0</v>
      </c>
      <c r="AI40" s="141">
        <v>221.0</v>
      </c>
      <c r="AJ40" s="80">
        <f t="shared" si="3"/>
        <v>221</v>
      </c>
      <c r="AK40" s="140">
        <v>0.0</v>
      </c>
      <c r="AL40" s="109">
        <v>0.0</v>
      </c>
      <c r="AM40" s="141">
        <v>0.0</v>
      </c>
      <c r="AN40" s="80">
        <f t="shared" si="4"/>
        <v>0</v>
      </c>
      <c r="AO40" s="140">
        <v>0.0</v>
      </c>
      <c r="AP40" s="109">
        <v>0.0</v>
      </c>
      <c r="AQ40" s="109">
        <v>0.0</v>
      </c>
      <c r="AR40" s="80">
        <f t="shared" si="5"/>
        <v>0</v>
      </c>
      <c r="AS40" s="110">
        <v>0.0</v>
      </c>
      <c r="AT40" s="110">
        <v>0.0</v>
      </c>
      <c r="AU40" s="110">
        <v>15.0</v>
      </c>
      <c r="AV40" s="142">
        <v>61.0</v>
      </c>
      <c r="AW40" s="80">
        <f t="shared" si="6"/>
        <v>76</v>
      </c>
      <c r="AX40" s="113">
        <f t="shared" si="7"/>
        <v>297</v>
      </c>
      <c r="AY40" s="117">
        <f t="shared" si="8"/>
        <v>282</v>
      </c>
      <c r="AZ40" s="120">
        <f t="shared" si="9"/>
        <v>15</v>
      </c>
      <c r="BA40" s="115">
        <v>0.0</v>
      </c>
      <c r="BB40" s="89">
        <f t="shared" si="10"/>
        <v>297</v>
      </c>
      <c r="BC40" s="132" t="s">
        <v>373</v>
      </c>
      <c r="BD40" s="132" t="s">
        <v>178</v>
      </c>
      <c r="BE40" s="132" t="s">
        <v>178</v>
      </c>
      <c r="BF40" s="181"/>
      <c r="BG40" s="83">
        <v>1178258.0</v>
      </c>
      <c r="BH40" s="98" t="s">
        <v>300</v>
      </c>
      <c r="BI40" s="112">
        <v>6.0</v>
      </c>
      <c r="BJ40" s="98" t="s">
        <v>155</v>
      </c>
      <c r="BK40" s="99">
        <f t="shared" si="11"/>
        <v>282</v>
      </c>
      <c r="BL40" s="99">
        <f t="shared" si="12"/>
        <v>0</v>
      </c>
      <c r="BM40" s="99" t="str">
        <f>IFERROR(__xludf.DUMMYFUNCTION("IFERROR(VLOOKUP(BG40,IMPORTRANGE(""https://docs.google.com/spreadsheets/d/1juPI-Fb8LD0YtltB2mlGEnp_R3UVu1t3wSFPzgCyHXE/edit?gid=0#gid=0"",""GERAL!A2:C""),3,0),""-"")"),"CAMPO")</f>
        <v>CAMPO</v>
      </c>
    </row>
    <row r="41" ht="15.75" customHeight="1">
      <c r="A41" s="111" t="s">
        <v>130</v>
      </c>
      <c r="B41" s="83" t="s">
        <v>296</v>
      </c>
      <c r="C41" s="83" t="s">
        <v>164</v>
      </c>
      <c r="D41" s="112">
        <v>1179281.0</v>
      </c>
      <c r="E41" s="83">
        <v>1179443.0</v>
      </c>
      <c r="F41" s="98">
        <v>2.9459141E7</v>
      </c>
      <c r="G41" s="114" t="s">
        <v>303</v>
      </c>
      <c r="H41" s="91" t="s">
        <v>304</v>
      </c>
      <c r="I41" s="136" t="s">
        <v>149</v>
      </c>
      <c r="J41" s="83" t="s">
        <v>305</v>
      </c>
      <c r="K41" s="83" t="s">
        <v>168</v>
      </c>
      <c r="L41" s="83" t="s">
        <v>169</v>
      </c>
      <c r="M41" s="82" t="str">
        <f>IFERROR(__xludf.DUMMYFUNCTION("IFERROR(VLOOKUP(D41,
IMPORTRANGE(""https://docs.google.com/spreadsheets/d/1MjHtlUikwobi2MaWJgy7tfLeBmhj1u-dRFRs_8GwSoA/edit#gid=0"",""Gestores Escolares!D7:J""),3,0),""VERIFICAR CÓD SEC"")"),"MARCOS PAULO DA SILVA ALMEIDA")</f>
        <v>MARCOS PAULO DA SILVA ALMEIDA</v>
      </c>
      <c r="N41" s="82" t="str">
        <f>IFERROR(__xludf.DUMMYFUNCTION("IFERROR(VLOOKUP(D41,
IMPORTRANGE(""https://docs.google.com/spreadsheets/d/1MjHtlUikwobi2MaWJgy7tfLeBmhj1u-dRFRs_8GwSoA/edit#gid=0"",""Gestores Escolares!D7:J""),4,0),""VERIFICAR CÓD SEC"")"),"(74) 9 9998-8112")</f>
        <v>(74) 9 9998-8112</v>
      </c>
      <c r="O41" s="82" t="str">
        <f>IFERROR(__xludf.DUMMYFUNCTION("IFERROR(VLOOKUP(D41,
IMPORTRANGE(""https://docs.google.com/spreadsheets/d/1MjHtlUikwobi2MaWJgy7tfLeBmhj1u-dRFRs_8GwSoA/edit#gid=0"",""Gestores Escolares!D7:J""),6,0),""VERIFICAR CÓD SEC"")"),"FERNANDA MIRANDA CAMPOS")</f>
        <v>FERNANDA MIRANDA CAMPOS</v>
      </c>
      <c r="P41" s="82" t="str">
        <f>IFERROR(__xludf.DUMMYFUNCTION("IFERROR(VLOOKUP(D41,
IMPORTRANGE(""https://docs.google.com/spreadsheets/d/1MjHtlUikwobi2MaWJgy7tfLeBmhj1u-dRFRs_8GwSoA/edit#gid=0"",""Gestores Escolares!D7:J""),7,0),""VERIFICAR CÓD SEC"")"),"(74) 9 9963-4717")</f>
        <v>(74) 9 9963-4717</v>
      </c>
      <c r="Q41" s="82" t="str">
        <f>IFERROR(__xludf.DUMMYFUNCTION("IFERROR(VLOOKUP(D41,
IMPORTRANGE(""https://docs.google.com/spreadsheets/d/1MjHtlUikwobi2MaWJgy7tfLeBmhj1u-dRFRs_8GwSoA/edit#gid=0"",""Gestores Escolares!D7:m""),9,0),""VERIFICAR CÓD SEC"")"),"")</f>
        <v/>
      </c>
      <c r="R41" s="82" t="str">
        <f>IFERROR(__xludf.DUMMYFUNCTION("IFERROR(VLOOKUP(D41,
IMPORTRANGE(""https://docs.google.com/spreadsheets/d/1MjHtlUikwobi2MaWJgy7tfLeBmhj1u-dRFRs_8GwSoA/edit#gid=0"",""Gestores Escolares!D7:m""),10,0),""VERIFICAR CÓD SEC"")"),"")</f>
        <v/>
      </c>
      <c r="S41" s="82"/>
      <c r="T41" s="138">
        <v>2.0</v>
      </c>
      <c r="U41" s="145">
        <v>1.0</v>
      </c>
      <c r="V41" s="106">
        <v>0.0</v>
      </c>
      <c r="W41" s="107">
        <v>0.0</v>
      </c>
      <c r="X41" s="107">
        <v>0.0</v>
      </c>
      <c r="Y41" s="107">
        <v>0.0</v>
      </c>
      <c r="Z41" s="80">
        <f t="shared" si="1"/>
        <v>0</v>
      </c>
      <c r="AA41" s="106">
        <v>0.0</v>
      </c>
      <c r="AB41" s="107">
        <v>0.0</v>
      </c>
      <c r="AC41" s="107">
        <v>0.0</v>
      </c>
      <c r="AD41" s="107">
        <v>0.0</v>
      </c>
      <c r="AE41" s="80">
        <f t="shared" si="2"/>
        <v>0</v>
      </c>
      <c r="AF41" s="140">
        <v>0.0</v>
      </c>
      <c r="AG41" s="109">
        <v>0.0</v>
      </c>
      <c r="AH41" s="109">
        <v>34.0</v>
      </c>
      <c r="AI41" s="141">
        <v>0.0</v>
      </c>
      <c r="AJ41" s="80">
        <f t="shared" si="3"/>
        <v>34</v>
      </c>
      <c r="AK41" s="140">
        <v>0.0</v>
      </c>
      <c r="AL41" s="109">
        <v>0.0</v>
      </c>
      <c r="AM41" s="141">
        <v>0.0</v>
      </c>
      <c r="AN41" s="80">
        <f t="shared" si="4"/>
        <v>0</v>
      </c>
      <c r="AO41" s="140">
        <v>0.0</v>
      </c>
      <c r="AP41" s="109">
        <v>0.0</v>
      </c>
      <c r="AQ41" s="109">
        <v>0.0</v>
      </c>
      <c r="AR41" s="80">
        <f t="shared" si="5"/>
        <v>0</v>
      </c>
      <c r="AS41" s="110">
        <v>0.0</v>
      </c>
      <c r="AT41" s="110">
        <v>0.0</v>
      </c>
      <c r="AU41" s="110">
        <v>0.0</v>
      </c>
      <c r="AV41" s="142">
        <v>0.0</v>
      </c>
      <c r="AW41" s="80">
        <f t="shared" si="6"/>
        <v>0</v>
      </c>
      <c r="AX41" s="113">
        <f t="shared" si="7"/>
        <v>34</v>
      </c>
      <c r="AY41" s="117">
        <f t="shared" si="8"/>
        <v>0</v>
      </c>
      <c r="AZ41" s="120">
        <f t="shared" si="9"/>
        <v>34</v>
      </c>
      <c r="BA41" s="115">
        <v>0.0</v>
      </c>
      <c r="BB41" s="89">
        <f t="shared" si="10"/>
        <v>34</v>
      </c>
      <c r="BC41" s="132" t="s">
        <v>178</v>
      </c>
      <c r="BD41" s="143" t="s">
        <v>227</v>
      </c>
      <c r="BE41" s="132" t="s">
        <v>64</v>
      </c>
      <c r="BF41" s="156"/>
      <c r="BG41" s="83">
        <v>1179443.0</v>
      </c>
      <c r="BH41" s="144"/>
      <c r="BI41" s="112">
        <v>1.0</v>
      </c>
      <c r="BJ41" s="98" t="s">
        <v>155</v>
      </c>
      <c r="BK41" s="99">
        <f t="shared" si="11"/>
        <v>0</v>
      </c>
      <c r="BL41" s="99">
        <f t="shared" si="12"/>
        <v>0</v>
      </c>
      <c r="BM41" s="99" t="str">
        <f>IFERROR(__xludf.DUMMYFUNCTION("IFERROR(VLOOKUP(BG41,IMPORTRANGE(""https://docs.google.com/spreadsheets/d/1juPI-Fb8LD0YtltB2mlGEnp_R3UVu1t3wSFPzgCyHXE/edit?gid=0#gid=0"",""GERAL!A2:C""),3,0),""-"")"),"-")</f>
        <v>-</v>
      </c>
    </row>
    <row r="42" ht="15.75" customHeight="1">
      <c r="A42" s="111" t="s">
        <v>130</v>
      </c>
      <c r="B42" s="83" t="s">
        <v>296</v>
      </c>
      <c r="C42" s="83" t="s">
        <v>164</v>
      </c>
      <c r="D42" s="112">
        <v>1179281.0</v>
      </c>
      <c r="E42" s="83">
        <v>1179046.0</v>
      </c>
      <c r="F42" s="98">
        <v>2.9459141E7</v>
      </c>
      <c r="G42" s="114" t="s">
        <v>306</v>
      </c>
      <c r="H42" s="91" t="s">
        <v>307</v>
      </c>
      <c r="I42" s="136" t="s">
        <v>149</v>
      </c>
      <c r="J42" s="83" t="s">
        <v>187</v>
      </c>
      <c r="K42" s="83" t="s">
        <v>168</v>
      </c>
      <c r="L42" s="83" t="s">
        <v>169</v>
      </c>
      <c r="M42" s="82" t="str">
        <f>IFERROR(__xludf.DUMMYFUNCTION("IFERROR(VLOOKUP(D42,
IMPORTRANGE(""https://docs.google.com/spreadsheets/d/1MjHtlUikwobi2MaWJgy7tfLeBmhj1u-dRFRs_8GwSoA/edit#gid=0"",""Gestores Escolares!D7:J""),3,0),""VERIFICAR CÓD SEC"")"),"MARCOS PAULO DA SILVA ALMEIDA")</f>
        <v>MARCOS PAULO DA SILVA ALMEIDA</v>
      </c>
      <c r="N42" s="82" t="str">
        <f>IFERROR(__xludf.DUMMYFUNCTION("IFERROR(VLOOKUP(D42,
IMPORTRANGE(""https://docs.google.com/spreadsheets/d/1MjHtlUikwobi2MaWJgy7tfLeBmhj1u-dRFRs_8GwSoA/edit#gid=0"",""Gestores Escolares!D7:J""),4,0),""VERIFICAR CÓD SEC"")"),"(74) 9 9998-8112")</f>
        <v>(74) 9 9998-8112</v>
      </c>
      <c r="O42" s="82" t="str">
        <f>IFERROR(__xludf.DUMMYFUNCTION("IFERROR(VLOOKUP(D42,
IMPORTRANGE(""https://docs.google.com/spreadsheets/d/1MjHtlUikwobi2MaWJgy7tfLeBmhj1u-dRFRs_8GwSoA/edit#gid=0"",""Gestores Escolares!D7:J""),6,0),""VERIFICAR CÓD SEC"")"),"FERNANDA MIRANDA CAMPOS")</f>
        <v>FERNANDA MIRANDA CAMPOS</v>
      </c>
      <c r="P42" s="82" t="str">
        <f>IFERROR(__xludf.DUMMYFUNCTION("IFERROR(VLOOKUP(D42,
IMPORTRANGE(""https://docs.google.com/spreadsheets/d/1MjHtlUikwobi2MaWJgy7tfLeBmhj1u-dRFRs_8GwSoA/edit#gid=0"",""Gestores Escolares!D7:J""),7,0),""VERIFICAR CÓD SEC"")"),"(74) 9 9963-4717")</f>
        <v>(74) 9 9963-4717</v>
      </c>
      <c r="Q42" s="82" t="str">
        <f>IFERROR(__xludf.DUMMYFUNCTION("IFERROR(VLOOKUP(D42,
IMPORTRANGE(""https://docs.google.com/spreadsheets/d/1MjHtlUikwobi2MaWJgy7tfLeBmhj1u-dRFRs_8GwSoA/edit#gid=0"",""Gestores Escolares!D7:m""),9,0),""VERIFICAR CÓD SEC"")"),"")</f>
        <v/>
      </c>
      <c r="R42" s="82" t="str">
        <f>IFERROR(__xludf.DUMMYFUNCTION("IFERROR(VLOOKUP(D42,
IMPORTRANGE(""https://docs.google.com/spreadsheets/d/1MjHtlUikwobi2MaWJgy7tfLeBmhj1u-dRFRs_8GwSoA/edit#gid=0"",""Gestores Escolares!D7:m""),10,0),""VERIFICAR CÓD SEC"")"),"")</f>
        <v/>
      </c>
      <c r="S42" s="82"/>
      <c r="T42" s="138">
        <v>1.0</v>
      </c>
      <c r="U42" s="145">
        <v>2.0</v>
      </c>
      <c r="V42" s="106">
        <v>0.0</v>
      </c>
      <c r="W42" s="107">
        <v>0.0</v>
      </c>
      <c r="X42" s="107">
        <v>0.0</v>
      </c>
      <c r="Y42" s="107">
        <v>0.0</v>
      </c>
      <c r="Z42" s="80">
        <f t="shared" si="1"/>
        <v>0</v>
      </c>
      <c r="AA42" s="106">
        <v>0.0</v>
      </c>
      <c r="AB42" s="107">
        <v>0.0</v>
      </c>
      <c r="AC42" s="107">
        <v>0.0</v>
      </c>
      <c r="AD42" s="107">
        <v>0.0</v>
      </c>
      <c r="AE42" s="80">
        <f t="shared" si="2"/>
        <v>0</v>
      </c>
      <c r="AF42" s="140">
        <v>0.0</v>
      </c>
      <c r="AG42" s="109">
        <v>0.0</v>
      </c>
      <c r="AH42" s="109">
        <v>57.0</v>
      </c>
      <c r="AI42" s="141">
        <v>0.0</v>
      </c>
      <c r="AJ42" s="80">
        <f t="shared" si="3"/>
        <v>57</v>
      </c>
      <c r="AK42" s="140">
        <v>0.0</v>
      </c>
      <c r="AL42" s="109">
        <v>0.0</v>
      </c>
      <c r="AM42" s="141">
        <v>0.0</v>
      </c>
      <c r="AN42" s="80">
        <f t="shared" si="4"/>
        <v>0</v>
      </c>
      <c r="AO42" s="140">
        <v>0.0</v>
      </c>
      <c r="AP42" s="109">
        <v>0.0</v>
      </c>
      <c r="AQ42" s="109">
        <v>0.0</v>
      </c>
      <c r="AR42" s="80">
        <f t="shared" si="5"/>
        <v>0</v>
      </c>
      <c r="AS42" s="110">
        <v>0.0</v>
      </c>
      <c r="AT42" s="110">
        <v>0.0</v>
      </c>
      <c r="AU42" s="110">
        <v>0.0</v>
      </c>
      <c r="AV42" s="142">
        <v>0.0</v>
      </c>
      <c r="AW42" s="80">
        <f t="shared" si="6"/>
        <v>0</v>
      </c>
      <c r="AX42" s="113">
        <f t="shared" si="7"/>
        <v>57</v>
      </c>
      <c r="AY42" s="117">
        <f t="shared" si="8"/>
        <v>0</v>
      </c>
      <c r="AZ42" s="120">
        <f t="shared" si="9"/>
        <v>57</v>
      </c>
      <c r="BA42" s="115">
        <v>0.0</v>
      </c>
      <c r="BB42" s="89">
        <f t="shared" si="10"/>
        <v>57</v>
      </c>
      <c r="BC42" s="132" t="s">
        <v>178</v>
      </c>
      <c r="BD42" s="143" t="s">
        <v>227</v>
      </c>
      <c r="BE42" s="132" t="s">
        <v>64</v>
      </c>
      <c r="BF42" s="123"/>
      <c r="BG42" s="83">
        <v>1179046.0</v>
      </c>
      <c r="BH42" s="144"/>
      <c r="BI42" s="112">
        <v>2.0</v>
      </c>
      <c r="BJ42" s="98" t="s">
        <v>155</v>
      </c>
      <c r="BK42" s="99">
        <f t="shared" si="11"/>
        <v>0</v>
      </c>
      <c r="BL42" s="99">
        <f t="shared" si="12"/>
        <v>0</v>
      </c>
      <c r="BM42" s="99" t="str">
        <f>IFERROR(__xludf.DUMMYFUNCTION("IFERROR(VLOOKUP(BG42,IMPORTRANGE(""https://docs.google.com/spreadsheets/d/1juPI-Fb8LD0YtltB2mlGEnp_R3UVu1t3wSFPzgCyHXE/edit?gid=0#gid=0"",""GERAL!A2:C""),3,0),""-"")"),"-")</f>
        <v>-</v>
      </c>
    </row>
    <row r="43" ht="15.75" customHeight="1">
      <c r="A43" s="111" t="s">
        <v>130</v>
      </c>
      <c r="B43" s="83" t="s">
        <v>296</v>
      </c>
      <c r="C43" s="83" t="s">
        <v>164</v>
      </c>
      <c r="D43" s="112">
        <v>1179281.0</v>
      </c>
      <c r="E43" s="83">
        <v>1178799.0</v>
      </c>
      <c r="F43" s="98">
        <v>2.9459141E7</v>
      </c>
      <c r="G43" s="114" t="s">
        <v>308</v>
      </c>
      <c r="H43" s="91" t="s">
        <v>309</v>
      </c>
      <c r="I43" s="136" t="s">
        <v>149</v>
      </c>
      <c r="J43" s="83" t="s">
        <v>310</v>
      </c>
      <c r="K43" s="83" t="s">
        <v>168</v>
      </c>
      <c r="L43" s="83" t="s">
        <v>169</v>
      </c>
      <c r="M43" s="82" t="str">
        <f>IFERROR(__xludf.DUMMYFUNCTION("IFERROR(VLOOKUP(D43,
IMPORTRANGE(""https://docs.google.com/spreadsheets/d/1MjHtlUikwobi2MaWJgy7tfLeBmhj1u-dRFRs_8GwSoA/edit#gid=0"",""Gestores Escolares!D7:J""),3,0),""VERIFICAR CÓD SEC"")"),"MARCOS PAULO DA SILVA ALMEIDA")</f>
        <v>MARCOS PAULO DA SILVA ALMEIDA</v>
      </c>
      <c r="N43" s="82" t="str">
        <f>IFERROR(__xludf.DUMMYFUNCTION("IFERROR(VLOOKUP(D43,
IMPORTRANGE(""https://docs.google.com/spreadsheets/d/1MjHtlUikwobi2MaWJgy7tfLeBmhj1u-dRFRs_8GwSoA/edit#gid=0"",""Gestores Escolares!D7:J""),4,0),""VERIFICAR CÓD SEC"")"),"(74) 9 9998-8112")</f>
        <v>(74) 9 9998-8112</v>
      </c>
      <c r="O43" s="82" t="str">
        <f>IFERROR(__xludf.DUMMYFUNCTION("IFERROR(VLOOKUP(D43,
IMPORTRANGE(""https://docs.google.com/spreadsheets/d/1MjHtlUikwobi2MaWJgy7tfLeBmhj1u-dRFRs_8GwSoA/edit#gid=0"",""Gestores Escolares!D7:J""),6,0),""VERIFICAR CÓD SEC"")"),"FERNANDA MIRANDA CAMPOS")</f>
        <v>FERNANDA MIRANDA CAMPOS</v>
      </c>
      <c r="P43" s="82" t="str">
        <f>IFERROR(__xludf.DUMMYFUNCTION("IFERROR(VLOOKUP(D43,
IMPORTRANGE(""https://docs.google.com/spreadsheets/d/1MjHtlUikwobi2MaWJgy7tfLeBmhj1u-dRFRs_8GwSoA/edit#gid=0"",""Gestores Escolares!D7:J""),7,0),""VERIFICAR CÓD SEC"")"),"(74) 9 9963-4717")</f>
        <v>(74) 9 9963-4717</v>
      </c>
      <c r="Q43" s="82" t="str">
        <f>IFERROR(__xludf.DUMMYFUNCTION("IFERROR(VLOOKUP(D43,
IMPORTRANGE(""https://docs.google.com/spreadsheets/d/1MjHtlUikwobi2MaWJgy7tfLeBmhj1u-dRFRs_8GwSoA/edit#gid=0"",""Gestores Escolares!D7:m""),9,0),""VERIFICAR CÓD SEC"")"),"")</f>
        <v/>
      </c>
      <c r="R43" s="82" t="str">
        <f>IFERROR(__xludf.DUMMYFUNCTION("IFERROR(VLOOKUP(D43,
IMPORTRANGE(""https://docs.google.com/spreadsheets/d/1MjHtlUikwobi2MaWJgy7tfLeBmhj1u-dRFRs_8GwSoA/edit#gid=0"",""Gestores Escolares!D7:m""),10,0),""VERIFICAR CÓD SEC"")"),"")</f>
        <v/>
      </c>
      <c r="S43" s="82"/>
      <c r="T43" s="138">
        <v>1.0</v>
      </c>
      <c r="U43" s="145">
        <v>3.0</v>
      </c>
      <c r="V43" s="106">
        <v>0.0</v>
      </c>
      <c r="W43" s="107">
        <v>0.0</v>
      </c>
      <c r="X43" s="107">
        <v>0.0</v>
      </c>
      <c r="Y43" s="107">
        <v>0.0</v>
      </c>
      <c r="Z43" s="80">
        <f t="shared" si="1"/>
        <v>0</v>
      </c>
      <c r="AA43" s="106">
        <v>0.0</v>
      </c>
      <c r="AB43" s="107">
        <v>0.0</v>
      </c>
      <c r="AC43" s="107">
        <v>0.0</v>
      </c>
      <c r="AD43" s="107">
        <v>0.0</v>
      </c>
      <c r="AE43" s="80">
        <f t="shared" si="2"/>
        <v>0</v>
      </c>
      <c r="AF43" s="140">
        <v>11.0</v>
      </c>
      <c r="AG43" s="109">
        <v>34.0</v>
      </c>
      <c r="AH43" s="109">
        <v>40.0</v>
      </c>
      <c r="AI43" s="141">
        <v>0.0</v>
      </c>
      <c r="AJ43" s="80">
        <f t="shared" si="3"/>
        <v>85</v>
      </c>
      <c r="AK43" s="140">
        <v>0.0</v>
      </c>
      <c r="AL43" s="109">
        <v>0.0</v>
      </c>
      <c r="AM43" s="141">
        <v>0.0</v>
      </c>
      <c r="AN43" s="80">
        <f t="shared" si="4"/>
        <v>0</v>
      </c>
      <c r="AO43" s="140">
        <v>0.0</v>
      </c>
      <c r="AP43" s="109">
        <v>0.0</v>
      </c>
      <c r="AQ43" s="109">
        <v>0.0</v>
      </c>
      <c r="AR43" s="80">
        <f t="shared" si="5"/>
        <v>0</v>
      </c>
      <c r="AS43" s="110">
        <v>0.0</v>
      </c>
      <c r="AT43" s="110">
        <v>0.0</v>
      </c>
      <c r="AU43" s="110">
        <v>0.0</v>
      </c>
      <c r="AV43" s="142">
        <v>0.0</v>
      </c>
      <c r="AW43" s="80">
        <f t="shared" si="6"/>
        <v>0</v>
      </c>
      <c r="AX43" s="113">
        <f t="shared" si="7"/>
        <v>85</v>
      </c>
      <c r="AY43" s="117">
        <f t="shared" si="8"/>
        <v>45</v>
      </c>
      <c r="AZ43" s="120">
        <f t="shared" si="9"/>
        <v>40</v>
      </c>
      <c r="BA43" s="115">
        <v>0.0</v>
      </c>
      <c r="BB43" s="89">
        <f t="shared" si="10"/>
        <v>85</v>
      </c>
      <c r="BC43" s="132" t="s">
        <v>178</v>
      </c>
      <c r="BD43" s="143" t="s">
        <v>227</v>
      </c>
      <c r="BE43" s="132" t="s">
        <v>64</v>
      </c>
      <c r="BF43" s="123"/>
      <c r="BG43" s="83">
        <v>1178799.0</v>
      </c>
      <c r="BH43" s="144"/>
      <c r="BI43" s="112">
        <v>3.0</v>
      </c>
      <c r="BJ43" s="98" t="s">
        <v>155</v>
      </c>
      <c r="BK43" s="99">
        <f t="shared" si="11"/>
        <v>0</v>
      </c>
      <c r="BL43" s="99">
        <f t="shared" si="12"/>
        <v>45</v>
      </c>
      <c r="BM43" s="99" t="str">
        <f>IFERROR(__xludf.DUMMYFUNCTION("IFERROR(VLOOKUP(BG43,IMPORTRANGE(""https://docs.google.com/spreadsheets/d/1juPI-Fb8LD0YtltB2mlGEnp_R3UVu1t3wSFPzgCyHXE/edit?gid=0#gid=0"",""GERAL!A2:C""),3,0),""-"")"),"-")</f>
        <v>-</v>
      </c>
    </row>
    <row r="44" ht="15.75" customHeight="1">
      <c r="A44" s="111" t="s">
        <v>130</v>
      </c>
      <c r="B44" s="83" t="s">
        <v>296</v>
      </c>
      <c r="C44" s="83" t="s">
        <v>164</v>
      </c>
      <c r="D44" s="112">
        <v>1179281.0</v>
      </c>
      <c r="E44" s="83">
        <v>1178956.0</v>
      </c>
      <c r="F44" s="98">
        <v>2.9459141E7</v>
      </c>
      <c r="G44" s="114" t="s">
        <v>311</v>
      </c>
      <c r="H44" s="91" t="s">
        <v>312</v>
      </c>
      <c r="I44" s="136" t="s">
        <v>149</v>
      </c>
      <c r="J44" s="83" t="s">
        <v>240</v>
      </c>
      <c r="K44" s="83" t="s">
        <v>168</v>
      </c>
      <c r="L44" s="83" t="s">
        <v>169</v>
      </c>
      <c r="M44" s="82" t="str">
        <f>IFERROR(__xludf.DUMMYFUNCTION("IFERROR(VLOOKUP(D44,
IMPORTRANGE(""https://docs.google.com/spreadsheets/d/1MjHtlUikwobi2MaWJgy7tfLeBmhj1u-dRFRs_8GwSoA/edit#gid=0"",""Gestores Escolares!D7:J""),3,0),""VERIFICAR CÓD SEC"")"),"MARCOS PAULO DA SILVA ALMEIDA")</f>
        <v>MARCOS PAULO DA SILVA ALMEIDA</v>
      </c>
      <c r="N44" s="82" t="str">
        <f>IFERROR(__xludf.DUMMYFUNCTION("IFERROR(VLOOKUP(D44,
IMPORTRANGE(""https://docs.google.com/spreadsheets/d/1MjHtlUikwobi2MaWJgy7tfLeBmhj1u-dRFRs_8GwSoA/edit#gid=0"",""Gestores Escolares!D7:J""),4,0),""VERIFICAR CÓD SEC"")"),"(74) 9 9998-8112")</f>
        <v>(74) 9 9998-8112</v>
      </c>
      <c r="O44" s="82" t="str">
        <f>IFERROR(__xludf.DUMMYFUNCTION("IFERROR(VLOOKUP(D44,
IMPORTRANGE(""https://docs.google.com/spreadsheets/d/1MjHtlUikwobi2MaWJgy7tfLeBmhj1u-dRFRs_8GwSoA/edit#gid=0"",""Gestores Escolares!D7:J""),6,0),""VERIFICAR CÓD SEC"")"),"FERNANDA MIRANDA CAMPOS")</f>
        <v>FERNANDA MIRANDA CAMPOS</v>
      </c>
      <c r="P44" s="82" t="str">
        <f>IFERROR(__xludf.DUMMYFUNCTION("IFERROR(VLOOKUP(D44,
IMPORTRANGE(""https://docs.google.com/spreadsheets/d/1MjHtlUikwobi2MaWJgy7tfLeBmhj1u-dRFRs_8GwSoA/edit#gid=0"",""Gestores Escolares!D7:J""),7,0),""VERIFICAR CÓD SEC"")"),"(74) 9 9963-4717")</f>
        <v>(74) 9 9963-4717</v>
      </c>
      <c r="Q44" s="82" t="str">
        <f>IFERROR(__xludf.DUMMYFUNCTION("IFERROR(VLOOKUP(D44,
IMPORTRANGE(""https://docs.google.com/spreadsheets/d/1MjHtlUikwobi2MaWJgy7tfLeBmhj1u-dRFRs_8GwSoA/edit#gid=0"",""Gestores Escolares!D7:m""),9,0),""VERIFICAR CÓD SEC"")"),"")</f>
        <v/>
      </c>
      <c r="R44" s="82" t="str">
        <f>IFERROR(__xludf.DUMMYFUNCTION("IFERROR(VLOOKUP(D44,
IMPORTRANGE(""https://docs.google.com/spreadsheets/d/1MjHtlUikwobi2MaWJgy7tfLeBmhj1u-dRFRs_8GwSoA/edit#gid=0"",""Gestores Escolares!D7:m""),10,0),""VERIFICAR CÓD SEC"")"),"")</f>
        <v/>
      </c>
      <c r="S44" s="82"/>
      <c r="T44" s="138">
        <v>1.0</v>
      </c>
      <c r="U44" s="145">
        <v>3.0</v>
      </c>
      <c r="V44" s="106">
        <v>0.0</v>
      </c>
      <c r="W44" s="107">
        <v>0.0</v>
      </c>
      <c r="X44" s="107">
        <v>0.0</v>
      </c>
      <c r="Y44" s="107">
        <v>0.0</v>
      </c>
      <c r="Z44" s="80">
        <f t="shared" si="1"/>
        <v>0</v>
      </c>
      <c r="AA44" s="106">
        <v>0.0</v>
      </c>
      <c r="AB44" s="107">
        <v>0.0</v>
      </c>
      <c r="AC44" s="107">
        <v>0.0</v>
      </c>
      <c r="AD44" s="107">
        <v>0.0</v>
      </c>
      <c r="AE44" s="80">
        <f t="shared" si="2"/>
        <v>0</v>
      </c>
      <c r="AF44" s="140">
        <v>10.0</v>
      </c>
      <c r="AG44" s="109">
        <v>13.0</v>
      </c>
      <c r="AH44" s="109">
        <v>23.0</v>
      </c>
      <c r="AI44" s="141">
        <v>0.0</v>
      </c>
      <c r="AJ44" s="80">
        <f t="shared" si="3"/>
        <v>46</v>
      </c>
      <c r="AK44" s="140">
        <v>0.0</v>
      </c>
      <c r="AL44" s="109">
        <v>0.0</v>
      </c>
      <c r="AM44" s="141">
        <v>0.0</v>
      </c>
      <c r="AN44" s="80">
        <f t="shared" si="4"/>
        <v>0</v>
      </c>
      <c r="AO44" s="140">
        <v>0.0</v>
      </c>
      <c r="AP44" s="109">
        <v>0.0</v>
      </c>
      <c r="AQ44" s="109">
        <v>0.0</v>
      </c>
      <c r="AR44" s="80">
        <f t="shared" si="5"/>
        <v>0</v>
      </c>
      <c r="AS44" s="110">
        <v>0.0</v>
      </c>
      <c r="AT44" s="110">
        <v>0.0</v>
      </c>
      <c r="AU44" s="110">
        <v>0.0</v>
      </c>
      <c r="AV44" s="142">
        <v>0.0</v>
      </c>
      <c r="AW44" s="80">
        <f t="shared" si="6"/>
        <v>0</v>
      </c>
      <c r="AX44" s="113">
        <f t="shared" si="7"/>
        <v>46</v>
      </c>
      <c r="AY44" s="117">
        <f t="shared" si="8"/>
        <v>23</v>
      </c>
      <c r="AZ44" s="120">
        <f t="shared" si="9"/>
        <v>23</v>
      </c>
      <c r="BA44" s="115">
        <v>0.0</v>
      </c>
      <c r="BB44" s="89">
        <f t="shared" si="10"/>
        <v>46</v>
      </c>
      <c r="BC44" s="132" t="s">
        <v>265</v>
      </c>
      <c r="BD44" s="183" t="s">
        <v>227</v>
      </c>
      <c r="BE44" s="132" t="s">
        <v>178</v>
      </c>
      <c r="BF44" s="156"/>
      <c r="BG44" s="83">
        <v>1178956.0</v>
      </c>
      <c r="BH44" s="144"/>
      <c r="BI44" s="112">
        <v>3.0</v>
      </c>
      <c r="BJ44" s="98" t="s">
        <v>155</v>
      </c>
      <c r="BK44" s="99">
        <f t="shared" si="11"/>
        <v>0</v>
      </c>
      <c r="BL44" s="99">
        <f t="shared" si="12"/>
        <v>23</v>
      </c>
      <c r="BM44" s="99" t="str">
        <f>IFERROR(__xludf.DUMMYFUNCTION("IFERROR(VLOOKUP(BG44,IMPORTRANGE(""https://docs.google.com/spreadsheets/d/1juPI-Fb8LD0YtltB2mlGEnp_R3UVu1t3wSFPzgCyHXE/edit?gid=0#gid=0"",""GERAL!A2:C""),3,0),""-"")"),"QUILOMBOLAS")</f>
        <v>QUILOMBOLAS</v>
      </c>
    </row>
    <row r="45" ht="15.75" customHeight="1">
      <c r="A45" s="111" t="s">
        <v>130</v>
      </c>
      <c r="B45" s="83" t="s">
        <v>296</v>
      </c>
      <c r="C45" s="83" t="s">
        <v>164</v>
      </c>
      <c r="D45" s="112">
        <v>1179281.0</v>
      </c>
      <c r="E45" s="83">
        <v>1179161.0</v>
      </c>
      <c r="F45" s="98">
        <v>2.9459141E7</v>
      </c>
      <c r="G45" s="114" t="s">
        <v>313</v>
      </c>
      <c r="H45" s="91" t="s">
        <v>314</v>
      </c>
      <c r="I45" s="136" t="s">
        <v>149</v>
      </c>
      <c r="J45" s="83" t="s">
        <v>315</v>
      </c>
      <c r="K45" s="83" t="s">
        <v>168</v>
      </c>
      <c r="L45" s="83" t="s">
        <v>169</v>
      </c>
      <c r="M45" s="82" t="str">
        <f>IFERROR(__xludf.DUMMYFUNCTION("IFERROR(VLOOKUP(D45,
IMPORTRANGE(""https://docs.google.com/spreadsheets/d/1MjHtlUikwobi2MaWJgy7tfLeBmhj1u-dRFRs_8GwSoA/edit#gid=0"",""Gestores Escolares!D7:J""),3,0),""VERIFICAR CÓD SEC"")"),"MARCOS PAULO DA SILVA ALMEIDA")</f>
        <v>MARCOS PAULO DA SILVA ALMEIDA</v>
      </c>
      <c r="N45" s="82" t="str">
        <f>IFERROR(__xludf.DUMMYFUNCTION("IFERROR(VLOOKUP(D45,
IMPORTRANGE(""https://docs.google.com/spreadsheets/d/1MjHtlUikwobi2MaWJgy7tfLeBmhj1u-dRFRs_8GwSoA/edit#gid=0"",""Gestores Escolares!D7:J""),4,0),""VERIFICAR CÓD SEC"")"),"(74) 9 9998-8112")</f>
        <v>(74) 9 9998-8112</v>
      </c>
      <c r="O45" s="82" t="str">
        <f>IFERROR(__xludf.DUMMYFUNCTION("IFERROR(VLOOKUP(D45,
IMPORTRANGE(""https://docs.google.com/spreadsheets/d/1MjHtlUikwobi2MaWJgy7tfLeBmhj1u-dRFRs_8GwSoA/edit#gid=0"",""Gestores Escolares!D7:J""),6,0),""VERIFICAR CÓD SEC"")"),"FERNANDA MIRANDA CAMPOS")</f>
        <v>FERNANDA MIRANDA CAMPOS</v>
      </c>
      <c r="P45" s="82" t="str">
        <f>IFERROR(__xludf.DUMMYFUNCTION("IFERROR(VLOOKUP(D45,
IMPORTRANGE(""https://docs.google.com/spreadsheets/d/1MjHtlUikwobi2MaWJgy7tfLeBmhj1u-dRFRs_8GwSoA/edit#gid=0"",""Gestores Escolares!D7:J""),7,0),""VERIFICAR CÓD SEC"")"),"(74) 9 9963-4717")</f>
        <v>(74) 9 9963-4717</v>
      </c>
      <c r="Q45" s="82" t="str">
        <f>IFERROR(__xludf.DUMMYFUNCTION("IFERROR(VLOOKUP(D45,
IMPORTRANGE(""https://docs.google.com/spreadsheets/d/1MjHtlUikwobi2MaWJgy7tfLeBmhj1u-dRFRs_8GwSoA/edit#gid=0"",""Gestores Escolares!D7:m""),9,0),""VERIFICAR CÓD SEC"")"),"")</f>
        <v/>
      </c>
      <c r="R45" s="82" t="str">
        <f>IFERROR(__xludf.DUMMYFUNCTION("IFERROR(VLOOKUP(D45,
IMPORTRANGE(""https://docs.google.com/spreadsheets/d/1MjHtlUikwobi2MaWJgy7tfLeBmhj1u-dRFRs_8GwSoA/edit#gid=0"",""Gestores Escolares!D7:m""),10,0),""VERIFICAR CÓD SEC"")"),"")</f>
        <v/>
      </c>
      <c r="S45" s="82"/>
      <c r="T45" s="138">
        <v>1.0</v>
      </c>
      <c r="U45" s="145">
        <v>3.0</v>
      </c>
      <c r="V45" s="106">
        <v>0.0</v>
      </c>
      <c r="W45" s="107">
        <v>0.0</v>
      </c>
      <c r="X45" s="107">
        <v>0.0</v>
      </c>
      <c r="Y45" s="107">
        <v>0.0</v>
      </c>
      <c r="Z45" s="80">
        <f t="shared" si="1"/>
        <v>0</v>
      </c>
      <c r="AA45" s="106">
        <v>0.0</v>
      </c>
      <c r="AB45" s="107">
        <v>0.0</v>
      </c>
      <c r="AC45" s="107">
        <v>0.0</v>
      </c>
      <c r="AD45" s="107">
        <v>0.0</v>
      </c>
      <c r="AE45" s="80">
        <f t="shared" si="2"/>
        <v>0</v>
      </c>
      <c r="AF45" s="140">
        <v>27.0</v>
      </c>
      <c r="AG45" s="109">
        <v>0.0</v>
      </c>
      <c r="AH45" s="109">
        <v>0.0</v>
      </c>
      <c r="AI45" s="141">
        <v>0.0</v>
      </c>
      <c r="AJ45" s="80">
        <f t="shared" si="3"/>
        <v>27</v>
      </c>
      <c r="AK45" s="140">
        <v>0.0</v>
      </c>
      <c r="AL45" s="109">
        <v>0.0</v>
      </c>
      <c r="AM45" s="141">
        <v>0.0</v>
      </c>
      <c r="AN45" s="80">
        <f t="shared" si="4"/>
        <v>0</v>
      </c>
      <c r="AO45" s="140">
        <v>0.0</v>
      </c>
      <c r="AP45" s="109">
        <v>0.0</v>
      </c>
      <c r="AQ45" s="109">
        <v>0.0</v>
      </c>
      <c r="AR45" s="80">
        <f t="shared" si="5"/>
        <v>0</v>
      </c>
      <c r="AS45" s="110">
        <v>0.0</v>
      </c>
      <c r="AT45" s="110">
        <v>0.0</v>
      </c>
      <c r="AU45" s="110">
        <v>0.0</v>
      </c>
      <c r="AV45" s="142">
        <v>0.0</v>
      </c>
      <c r="AW45" s="80">
        <f t="shared" si="6"/>
        <v>0</v>
      </c>
      <c r="AX45" s="113">
        <f t="shared" si="7"/>
        <v>27</v>
      </c>
      <c r="AY45" s="117">
        <f t="shared" si="8"/>
        <v>27</v>
      </c>
      <c r="AZ45" s="120">
        <f t="shared" si="9"/>
        <v>0</v>
      </c>
      <c r="BA45" s="115">
        <v>0.0</v>
      </c>
      <c r="BB45" s="89">
        <f t="shared" si="10"/>
        <v>27</v>
      </c>
      <c r="BC45" s="132" t="s">
        <v>178</v>
      </c>
      <c r="BD45" s="143" t="s">
        <v>227</v>
      </c>
      <c r="BE45" s="132" t="s">
        <v>64</v>
      </c>
      <c r="BF45" s="123"/>
      <c r="BG45" s="83">
        <v>1179161.0</v>
      </c>
      <c r="BH45" s="144"/>
      <c r="BI45" s="112">
        <v>3.0</v>
      </c>
      <c r="BJ45" s="98" t="s">
        <v>155</v>
      </c>
      <c r="BK45" s="99">
        <f t="shared" si="11"/>
        <v>0</v>
      </c>
      <c r="BL45" s="99">
        <f t="shared" si="12"/>
        <v>27</v>
      </c>
      <c r="BM45" s="99" t="str">
        <f>IFERROR(__xludf.DUMMYFUNCTION("IFERROR(VLOOKUP(BG45,IMPORTRANGE(""https://docs.google.com/spreadsheets/d/1juPI-Fb8LD0YtltB2mlGEnp_R3UVu1t3wSFPzgCyHXE/edit?gid=0#gid=0"",""GERAL!A2:C""),3,0),""-"")"),"-")</f>
        <v>-</v>
      </c>
    </row>
    <row r="46" ht="15.75" customHeight="1">
      <c r="A46" s="111" t="s">
        <v>130</v>
      </c>
      <c r="B46" s="83" t="s">
        <v>296</v>
      </c>
      <c r="C46" s="83" t="s">
        <v>164</v>
      </c>
      <c r="D46" s="112">
        <v>1179281.0</v>
      </c>
      <c r="E46" s="83">
        <v>1179146.0</v>
      </c>
      <c r="F46" s="98">
        <v>2.9459141E7</v>
      </c>
      <c r="G46" s="114" t="s">
        <v>316</v>
      </c>
      <c r="H46" s="91" t="s">
        <v>317</v>
      </c>
      <c r="I46" s="136" t="s">
        <v>149</v>
      </c>
      <c r="J46" s="83" t="s">
        <v>318</v>
      </c>
      <c r="K46" s="83" t="s">
        <v>168</v>
      </c>
      <c r="L46" s="83" t="s">
        <v>169</v>
      </c>
      <c r="M46" s="82" t="str">
        <f>IFERROR(__xludf.DUMMYFUNCTION("IFERROR(VLOOKUP(D46,
IMPORTRANGE(""https://docs.google.com/spreadsheets/d/1MjHtlUikwobi2MaWJgy7tfLeBmhj1u-dRFRs_8GwSoA/edit#gid=0"",""Gestores Escolares!D7:J""),3,0),""VERIFICAR CÓD SEC"")"),"MARCOS PAULO DA SILVA ALMEIDA")</f>
        <v>MARCOS PAULO DA SILVA ALMEIDA</v>
      </c>
      <c r="N46" s="82" t="str">
        <f>IFERROR(__xludf.DUMMYFUNCTION("IFERROR(VLOOKUP(D46,
IMPORTRANGE(""https://docs.google.com/spreadsheets/d/1MjHtlUikwobi2MaWJgy7tfLeBmhj1u-dRFRs_8GwSoA/edit#gid=0"",""Gestores Escolares!D7:J""),4,0),""VERIFICAR CÓD SEC"")"),"(74) 9 9998-8112")</f>
        <v>(74) 9 9998-8112</v>
      </c>
      <c r="O46" s="82" t="str">
        <f>IFERROR(__xludf.DUMMYFUNCTION("IFERROR(VLOOKUP(D46,
IMPORTRANGE(""https://docs.google.com/spreadsheets/d/1MjHtlUikwobi2MaWJgy7tfLeBmhj1u-dRFRs_8GwSoA/edit#gid=0"",""Gestores Escolares!D7:J""),6,0),""VERIFICAR CÓD SEC"")"),"FERNANDA MIRANDA CAMPOS")</f>
        <v>FERNANDA MIRANDA CAMPOS</v>
      </c>
      <c r="P46" s="82" t="str">
        <f>IFERROR(__xludf.DUMMYFUNCTION("IFERROR(VLOOKUP(D46,
IMPORTRANGE(""https://docs.google.com/spreadsheets/d/1MjHtlUikwobi2MaWJgy7tfLeBmhj1u-dRFRs_8GwSoA/edit#gid=0"",""Gestores Escolares!D7:J""),7,0),""VERIFICAR CÓD SEC"")"),"(74) 9 9963-4717")</f>
        <v>(74) 9 9963-4717</v>
      </c>
      <c r="Q46" s="82" t="str">
        <f>IFERROR(__xludf.DUMMYFUNCTION("IFERROR(VLOOKUP(D46,
IMPORTRANGE(""https://docs.google.com/spreadsheets/d/1MjHtlUikwobi2MaWJgy7tfLeBmhj1u-dRFRs_8GwSoA/edit#gid=0"",""Gestores Escolares!D7:m""),9,0),""VERIFICAR CÓD SEC"")"),"")</f>
        <v/>
      </c>
      <c r="R46" s="82" t="str">
        <f>IFERROR(__xludf.DUMMYFUNCTION("IFERROR(VLOOKUP(D46,
IMPORTRANGE(""https://docs.google.com/spreadsheets/d/1MjHtlUikwobi2MaWJgy7tfLeBmhj1u-dRFRs_8GwSoA/edit#gid=0"",""Gestores Escolares!D7:m""),10,0),""VERIFICAR CÓD SEC"")"),"")</f>
        <v/>
      </c>
      <c r="S46" s="82"/>
      <c r="T46" s="138">
        <v>1.0</v>
      </c>
      <c r="U46" s="145">
        <v>2.0</v>
      </c>
      <c r="V46" s="106">
        <v>0.0</v>
      </c>
      <c r="W46" s="107">
        <v>0.0</v>
      </c>
      <c r="X46" s="107">
        <v>0.0</v>
      </c>
      <c r="Y46" s="107">
        <v>0.0</v>
      </c>
      <c r="Z46" s="80">
        <f t="shared" si="1"/>
        <v>0</v>
      </c>
      <c r="AA46" s="106">
        <v>0.0</v>
      </c>
      <c r="AB46" s="107">
        <v>0.0</v>
      </c>
      <c r="AC46" s="107">
        <v>0.0</v>
      </c>
      <c r="AD46" s="107">
        <v>0.0</v>
      </c>
      <c r="AE46" s="80">
        <f t="shared" si="2"/>
        <v>0</v>
      </c>
      <c r="AF46" s="140">
        <v>6.0</v>
      </c>
      <c r="AG46" s="109">
        <v>5.0</v>
      </c>
      <c r="AH46" s="109">
        <v>3.0</v>
      </c>
      <c r="AI46" s="141">
        <v>0.0</v>
      </c>
      <c r="AJ46" s="80">
        <f t="shared" si="3"/>
        <v>14</v>
      </c>
      <c r="AK46" s="140">
        <v>0.0</v>
      </c>
      <c r="AL46" s="109">
        <v>0.0</v>
      </c>
      <c r="AM46" s="141">
        <v>0.0</v>
      </c>
      <c r="AN46" s="80">
        <f t="shared" si="4"/>
        <v>0</v>
      </c>
      <c r="AO46" s="140">
        <v>0.0</v>
      </c>
      <c r="AP46" s="109">
        <v>0.0</v>
      </c>
      <c r="AQ46" s="109">
        <v>0.0</v>
      </c>
      <c r="AR46" s="80">
        <f t="shared" si="5"/>
        <v>0</v>
      </c>
      <c r="AS46" s="110">
        <v>0.0</v>
      </c>
      <c r="AT46" s="110">
        <v>0.0</v>
      </c>
      <c r="AU46" s="110">
        <v>0.0</v>
      </c>
      <c r="AV46" s="142">
        <v>0.0</v>
      </c>
      <c r="AW46" s="80">
        <f t="shared" si="6"/>
        <v>0</v>
      </c>
      <c r="AX46" s="113">
        <f t="shared" si="7"/>
        <v>14</v>
      </c>
      <c r="AY46" s="117">
        <f t="shared" si="8"/>
        <v>11</v>
      </c>
      <c r="AZ46" s="120">
        <f t="shared" si="9"/>
        <v>3</v>
      </c>
      <c r="BA46" s="115">
        <v>0.0</v>
      </c>
      <c r="BB46" s="89">
        <f t="shared" si="10"/>
        <v>14</v>
      </c>
      <c r="BC46" s="132" t="s">
        <v>631</v>
      </c>
      <c r="BD46" s="143" t="s">
        <v>227</v>
      </c>
      <c r="BE46" s="132" t="s">
        <v>178</v>
      </c>
      <c r="BF46" s="156" t="s">
        <v>632</v>
      </c>
      <c r="BG46" s="83">
        <v>1179146.0</v>
      </c>
      <c r="BH46" s="144"/>
      <c r="BI46" s="112">
        <v>2.0</v>
      </c>
      <c r="BJ46" s="98" t="s">
        <v>155</v>
      </c>
      <c r="BK46" s="99">
        <f t="shared" si="11"/>
        <v>0</v>
      </c>
      <c r="BL46" s="99">
        <f t="shared" si="12"/>
        <v>11</v>
      </c>
      <c r="BM46" s="99" t="str">
        <f>IFERROR(__xludf.DUMMYFUNCTION("IFERROR(VLOOKUP(BG46,IMPORTRANGE(""https://docs.google.com/spreadsheets/d/1juPI-Fb8LD0YtltB2mlGEnp_R3UVu1t3wSFPzgCyHXE/edit?gid=0#gid=0"",""GERAL!A2:C""),3,0),""-"")"),"ASSENTAMENTOS")</f>
        <v>ASSENTAMENTOS</v>
      </c>
    </row>
    <row r="47" ht="15.75" customHeight="1">
      <c r="A47" s="111" t="s">
        <v>130</v>
      </c>
      <c r="B47" s="83" t="s">
        <v>319</v>
      </c>
      <c r="C47" s="83" t="s">
        <v>68</v>
      </c>
      <c r="D47" s="112">
        <v>1162502.0</v>
      </c>
      <c r="E47" s="83"/>
      <c r="F47" s="83">
        <v>2.9064392E7</v>
      </c>
      <c r="G47" s="119" t="s">
        <v>320</v>
      </c>
      <c r="H47" s="91" t="s">
        <v>321</v>
      </c>
      <c r="I47" s="83" t="s">
        <v>149</v>
      </c>
      <c r="J47" s="83" t="s">
        <v>150</v>
      </c>
      <c r="K47" s="83" t="s">
        <v>151</v>
      </c>
      <c r="L47" s="83" t="s">
        <v>152</v>
      </c>
      <c r="M47" s="82" t="str">
        <f>IFERROR(__xludf.DUMMYFUNCTION("IFERROR(VLOOKUP(D47,
IMPORTRANGE(""https://docs.google.com/spreadsheets/d/1MjHtlUikwobi2MaWJgy7tfLeBmhj1u-dRFRs_8GwSoA/edit#gid=0"",""Gestores Escolares!D7:J""),3,0),""VERIFICAR CÓD SEC"")"),"RAQUEL VASCONCELOS DOS SANTOS NETA")</f>
        <v>RAQUEL VASCONCELOS DOS SANTOS NETA</v>
      </c>
      <c r="N47" s="82" t="str">
        <f>IFERROR(__xludf.DUMMYFUNCTION("IFERROR(VLOOKUP(D47,
IMPORTRANGE(""https://docs.google.com/spreadsheets/d/1MjHtlUikwobi2MaWJgy7tfLeBmhj1u-dRFRs_8GwSoA/edit#gid=0"",""Gestores Escolares!D7:J""),4,0),""VERIFICAR CÓD SEC"")"),"(74) 9 9978-8773")</f>
        <v>(74) 9 9978-8773</v>
      </c>
      <c r="O47" s="82" t="str">
        <f>IFERROR(__xludf.DUMMYFUNCTION("IFERROR(VLOOKUP(D47,
IMPORTRANGE(""https://docs.google.com/spreadsheets/d/1MjHtlUikwobi2MaWJgy7tfLeBmhj1u-dRFRs_8GwSoA/edit#gid=0"",""Gestores Escolares!D7:J""),6,0),""VERIFICAR CÓD SEC"")"),"LUCIANE MORAIS ROSENDO DA SILVA")</f>
        <v>LUCIANE MORAIS ROSENDO DA SILVA</v>
      </c>
      <c r="P47" s="82" t="str">
        <f>IFERROR(__xludf.DUMMYFUNCTION("IFERROR(VLOOKUP(D47,
IMPORTRANGE(""https://docs.google.com/spreadsheets/d/1MjHtlUikwobi2MaWJgy7tfLeBmhj1u-dRFRs_8GwSoA/edit#gid=0"",""Gestores Escolares!D7:J""),7,0),""VERIFICAR CÓD SEC"")"),"(74) 9 9971-8183/
  9 9971-8113")</f>
        <v>(74) 9 9971-8183/
  9 9971-8113</v>
      </c>
      <c r="Q47" s="82" t="str">
        <f>IFERROR(__xludf.DUMMYFUNCTION("IFERROR(VLOOKUP(D47,
IMPORTRANGE(""https://docs.google.com/spreadsheets/d/1MjHtlUikwobi2MaWJgy7tfLeBmhj1u-dRFRs_8GwSoA/edit#gid=0"",""Gestores Escolares!D7:m""),9,0),""VERIFICAR CÓD SEC"")"),"DAMARES FERREIRA DE SOUZA LOULA")</f>
        <v>DAMARES FERREIRA DE SOUZA LOULA</v>
      </c>
      <c r="R47" s="82" t="str">
        <f>IFERROR(__xludf.DUMMYFUNCTION("IFERROR(VLOOKUP(D47,
IMPORTRANGE(""https://docs.google.com/spreadsheets/d/1MjHtlUikwobi2MaWJgy7tfLeBmhj1u-dRFRs_8GwSoA/edit#gid=0"",""Gestores Escolares!D7:m""),10,0),""VERIFICAR CÓD SEC"")"),"(74) 9 9945-4599")</f>
        <v>(74) 9 9945-4599</v>
      </c>
      <c r="S47" s="82"/>
      <c r="T47" s="138">
        <v>9.0</v>
      </c>
      <c r="U47" s="145" t="s">
        <v>637</v>
      </c>
      <c r="V47" s="106">
        <v>0.0</v>
      </c>
      <c r="W47" s="107">
        <v>0.0</v>
      </c>
      <c r="X47" s="107">
        <v>0.0</v>
      </c>
      <c r="Y47" s="107">
        <v>0.0</v>
      </c>
      <c r="Z47" s="80">
        <f t="shared" si="1"/>
        <v>0</v>
      </c>
      <c r="AA47" s="106">
        <v>0.0</v>
      </c>
      <c r="AB47" s="107">
        <v>0.0</v>
      </c>
      <c r="AC47" s="107">
        <v>0.0</v>
      </c>
      <c r="AD47" s="107">
        <v>0.0</v>
      </c>
      <c r="AE47" s="80">
        <f t="shared" si="2"/>
        <v>0</v>
      </c>
      <c r="AF47" s="140">
        <v>403.0</v>
      </c>
      <c r="AG47" s="109">
        <v>293.0</v>
      </c>
      <c r="AH47" s="109">
        <v>0.0</v>
      </c>
      <c r="AI47" s="141">
        <v>0.0</v>
      </c>
      <c r="AJ47" s="80">
        <f t="shared" si="3"/>
        <v>696</v>
      </c>
      <c r="AK47" s="140">
        <v>0.0</v>
      </c>
      <c r="AL47" s="109">
        <v>0.0</v>
      </c>
      <c r="AM47" s="141">
        <v>0.0</v>
      </c>
      <c r="AN47" s="80">
        <f t="shared" si="4"/>
        <v>0</v>
      </c>
      <c r="AO47" s="140">
        <v>0.0</v>
      </c>
      <c r="AP47" s="109">
        <v>0.0</v>
      </c>
      <c r="AQ47" s="109">
        <v>118.0</v>
      </c>
      <c r="AR47" s="80">
        <f t="shared" si="5"/>
        <v>118</v>
      </c>
      <c r="AS47" s="110">
        <v>0.0</v>
      </c>
      <c r="AT47" s="110">
        <v>59.0</v>
      </c>
      <c r="AU47" s="110">
        <v>10.0</v>
      </c>
      <c r="AV47" s="142">
        <v>0.0</v>
      </c>
      <c r="AW47" s="80">
        <f t="shared" si="6"/>
        <v>69</v>
      </c>
      <c r="AX47" s="113">
        <f t="shared" si="7"/>
        <v>883</v>
      </c>
      <c r="AY47" s="117">
        <f t="shared" si="8"/>
        <v>755</v>
      </c>
      <c r="AZ47" s="120">
        <f t="shared" si="9"/>
        <v>128</v>
      </c>
      <c r="BA47" s="115">
        <v>0.0</v>
      </c>
      <c r="BB47" s="89">
        <f t="shared" si="10"/>
        <v>883</v>
      </c>
      <c r="BC47" s="132" t="s">
        <v>178</v>
      </c>
      <c r="BD47" s="132" t="s">
        <v>178</v>
      </c>
      <c r="BE47" s="132" t="s">
        <v>178</v>
      </c>
      <c r="BF47" s="156"/>
      <c r="BG47" s="83">
        <v>1162502.0</v>
      </c>
      <c r="BH47" s="137" t="s">
        <v>322</v>
      </c>
      <c r="BI47" s="112">
        <v>8.0</v>
      </c>
      <c r="BJ47" s="98" t="s">
        <v>284</v>
      </c>
      <c r="BK47" s="99">
        <f t="shared" si="11"/>
        <v>0</v>
      </c>
      <c r="BL47" s="99">
        <f t="shared" si="12"/>
        <v>755</v>
      </c>
      <c r="BM47" s="99" t="str">
        <f>IFERROR(__xludf.DUMMYFUNCTION("IFERROR(VLOOKUP(BG47,IMPORTRANGE(""https://docs.google.com/spreadsheets/d/1juPI-Fb8LD0YtltB2mlGEnp_R3UVu1t3wSFPzgCyHXE/edit?gid=0#gid=0"",""GERAL!A2:C""),3,0),""-"")"),"-")</f>
        <v>-</v>
      </c>
    </row>
    <row r="48" ht="15.75" customHeight="1">
      <c r="A48" s="111" t="s">
        <v>130</v>
      </c>
      <c r="B48" s="83" t="s">
        <v>319</v>
      </c>
      <c r="C48" s="83" t="s">
        <v>164</v>
      </c>
      <c r="D48" s="112">
        <v>1179281.0</v>
      </c>
      <c r="E48" s="83">
        <v>1179345.0</v>
      </c>
      <c r="F48" s="98">
        <v>2.9459141E7</v>
      </c>
      <c r="G48" s="114" t="s">
        <v>324</v>
      </c>
      <c r="H48" s="91" t="s">
        <v>325</v>
      </c>
      <c r="I48" s="136" t="s">
        <v>326</v>
      </c>
      <c r="J48" s="83" t="s">
        <v>327</v>
      </c>
      <c r="K48" s="83" t="s">
        <v>168</v>
      </c>
      <c r="L48" s="83" t="s">
        <v>169</v>
      </c>
      <c r="M48" s="82" t="str">
        <f>IFERROR(__xludf.DUMMYFUNCTION("IFERROR(VLOOKUP(D48,
IMPORTRANGE(""https://docs.google.com/spreadsheets/d/1MjHtlUikwobi2MaWJgy7tfLeBmhj1u-dRFRs_8GwSoA/edit#gid=0"",""Gestores Escolares!D7:J""),3,0),""VERIFICAR CÓD SEC"")"),"MARCOS PAULO DA SILVA ALMEIDA")</f>
        <v>MARCOS PAULO DA SILVA ALMEIDA</v>
      </c>
      <c r="N48" s="82" t="str">
        <f>IFERROR(__xludf.DUMMYFUNCTION("IFERROR(VLOOKUP(D48,
IMPORTRANGE(""https://docs.google.com/spreadsheets/d/1MjHtlUikwobi2MaWJgy7tfLeBmhj1u-dRFRs_8GwSoA/edit#gid=0"",""Gestores Escolares!D7:J""),4,0),""VERIFICAR CÓD SEC"")"),"(74) 9 9998-8112")</f>
        <v>(74) 9 9998-8112</v>
      </c>
      <c r="O48" s="82" t="str">
        <f>IFERROR(__xludf.DUMMYFUNCTION("IFERROR(VLOOKUP(D48,
IMPORTRANGE(""https://docs.google.com/spreadsheets/d/1MjHtlUikwobi2MaWJgy7tfLeBmhj1u-dRFRs_8GwSoA/edit#gid=0"",""Gestores Escolares!D7:J""),6,0),""VERIFICAR CÓD SEC"")"),"FERNANDA MIRANDA CAMPOS")</f>
        <v>FERNANDA MIRANDA CAMPOS</v>
      </c>
      <c r="P48" s="82" t="str">
        <f>IFERROR(__xludf.DUMMYFUNCTION("IFERROR(VLOOKUP(D48,
IMPORTRANGE(""https://docs.google.com/spreadsheets/d/1MjHtlUikwobi2MaWJgy7tfLeBmhj1u-dRFRs_8GwSoA/edit#gid=0"",""Gestores Escolares!D7:J""),7,0),""VERIFICAR CÓD SEC"")"),"(74) 9 9963-4717")</f>
        <v>(74) 9 9963-4717</v>
      </c>
      <c r="Q48" s="82" t="str">
        <f>IFERROR(__xludf.DUMMYFUNCTION("IFERROR(VLOOKUP(D48,
IMPORTRANGE(""https://docs.google.com/spreadsheets/d/1MjHtlUikwobi2MaWJgy7tfLeBmhj1u-dRFRs_8GwSoA/edit#gid=0"",""Gestores Escolares!D7:m""),9,0),""VERIFICAR CÓD SEC"")"),"")</f>
        <v/>
      </c>
      <c r="R48" s="82" t="str">
        <f>IFERROR(__xludf.DUMMYFUNCTION("IFERROR(VLOOKUP(D48,
IMPORTRANGE(""https://docs.google.com/spreadsheets/d/1MjHtlUikwobi2MaWJgy7tfLeBmhj1u-dRFRs_8GwSoA/edit#gid=0"",""Gestores Escolares!D7:m""),10,0),""VERIFICAR CÓD SEC"")"),"")</f>
        <v/>
      </c>
      <c r="S48" s="82"/>
      <c r="T48" s="138">
        <v>2.0</v>
      </c>
      <c r="U48" s="139">
        <v>2.0</v>
      </c>
      <c r="V48" s="106">
        <v>0.0</v>
      </c>
      <c r="W48" s="107">
        <v>0.0</v>
      </c>
      <c r="X48" s="107">
        <v>0.0</v>
      </c>
      <c r="Y48" s="107">
        <v>0.0</v>
      </c>
      <c r="Z48" s="80">
        <f t="shared" si="1"/>
        <v>0</v>
      </c>
      <c r="AA48" s="106">
        <v>0.0</v>
      </c>
      <c r="AB48" s="107">
        <v>0.0</v>
      </c>
      <c r="AC48" s="107">
        <v>0.0</v>
      </c>
      <c r="AD48" s="107">
        <v>0.0</v>
      </c>
      <c r="AE48" s="80">
        <f t="shared" si="2"/>
        <v>0</v>
      </c>
      <c r="AF48" s="140">
        <v>0.0</v>
      </c>
      <c r="AG48" s="109">
        <v>0.0</v>
      </c>
      <c r="AH48" s="109">
        <v>47.0</v>
      </c>
      <c r="AI48" s="141">
        <v>0.0</v>
      </c>
      <c r="AJ48" s="80">
        <f t="shared" si="3"/>
        <v>47</v>
      </c>
      <c r="AK48" s="140">
        <v>0.0</v>
      </c>
      <c r="AL48" s="109">
        <v>0.0</v>
      </c>
      <c r="AM48" s="141">
        <v>0.0</v>
      </c>
      <c r="AN48" s="80">
        <f t="shared" si="4"/>
        <v>0</v>
      </c>
      <c r="AO48" s="140">
        <v>0.0</v>
      </c>
      <c r="AP48" s="109">
        <v>0.0</v>
      </c>
      <c r="AQ48" s="109">
        <v>0.0</v>
      </c>
      <c r="AR48" s="80">
        <f t="shared" si="5"/>
        <v>0</v>
      </c>
      <c r="AS48" s="110">
        <v>0.0</v>
      </c>
      <c r="AT48" s="110">
        <v>0.0</v>
      </c>
      <c r="AU48" s="110">
        <v>0.0</v>
      </c>
      <c r="AV48" s="142">
        <v>0.0</v>
      </c>
      <c r="AW48" s="80">
        <f t="shared" si="6"/>
        <v>0</v>
      </c>
      <c r="AX48" s="113">
        <f t="shared" si="7"/>
        <v>47</v>
      </c>
      <c r="AY48" s="117">
        <f t="shared" si="8"/>
        <v>0</v>
      </c>
      <c r="AZ48" s="120">
        <f t="shared" si="9"/>
        <v>47</v>
      </c>
      <c r="BA48" s="115">
        <v>0.0</v>
      </c>
      <c r="BB48" s="89">
        <f t="shared" si="10"/>
        <v>47</v>
      </c>
      <c r="BC48" s="132" t="s">
        <v>178</v>
      </c>
      <c r="BD48" s="143" t="s">
        <v>227</v>
      </c>
      <c r="BE48" s="132" t="s">
        <v>64</v>
      </c>
      <c r="BF48" s="156"/>
      <c r="BG48" s="83">
        <v>1179345.0</v>
      </c>
      <c r="BH48" s="144"/>
      <c r="BI48" s="112">
        <v>2.0</v>
      </c>
      <c r="BJ48" s="98" t="s">
        <v>155</v>
      </c>
      <c r="BK48" s="99">
        <f t="shared" si="11"/>
        <v>0</v>
      </c>
      <c r="BL48" s="99">
        <f t="shared" si="12"/>
        <v>0</v>
      </c>
      <c r="BM48" s="99" t="str">
        <f>IFERROR(__xludf.DUMMYFUNCTION("IFERROR(VLOOKUP(BG48,IMPORTRANGE(""https://docs.google.com/spreadsheets/d/1juPI-Fb8LD0YtltB2mlGEnp_R3UVu1t3wSFPzgCyHXE/edit?gid=0#gid=0"",""GERAL!A2:C""),3,0),""-"")"),"-")</f>
        <v>-</v>
      </c>
    </row>
    <row r="49" ht="15.75" customHeight="1">
      <c r="A49" s="111" t="s">
        <v>130</v>
      </c>
      <c r="B49" s="83" t="s">
        <v>319</v>
      </c>
      <c r="C49" s="83" t="s">
        <v>164</v>
      </c>
      <c r="D49" s="112">
        <v>1179281.0</v>
      </c>
      <c r="E49" s="83">
        <v>1178802.0</v>
      </c>
      <c r="F49" s="98">
        <v>2.9459141E7</v>
      </c>
      <c r="G49" s="114" t="s">
        <v>328</v>
      </c>
      <c r="H49" s="91" t="s">
        <v>329</v>
      </c>
      <c r="I49" s="136" t="s">
        <v>149</v>
      </c>
      <c r="J49" s="83" t="s">
        <v>331</v>
      </c>
      <c r="K49" s="83" t="s">
        <v>168</v>
      </c>
      <c r="L49" s="83" t="s">
        <v>169</v>
      </c>
      <c r="M49" s="82" t="str">
        <f>IFERROR(__xludf.DUMMYFUNCTION("IFERROR(VLOOKUP(D49,
IMPORTRANGE(""https://docs.google.com/spreadsheets/d/1MjHtlUikwobi2MaWJgy7tfLeBmhj1u-dRFRs_8GwSoA/edit#gid=0"",""Gestores Escolares!D7:J""),3,0),""VERIFICAR CÓD SEC"")"),"MARCOS PAULO DA SILVA ALMEIDA")</f>
        <v>MARCOS PAULO DA SILVA ALMEIDA</v>
      </c>
      <c r="N49" s="82" t="str">
        <f>IFERROR(__xludf.DUMMYFUNCTION("IFERROR(VLOOKUP(D49,
IMPORTRANGE(""https://docs.google.com/spreadsheets/d/1MjHtlUikwobi2MaWJgy7tfLeBmhj1u-dRFRs_8GwSoA/edit#gid=0"",""Gestores Escolares!D7:J""),4,0),""VERIFICAR CÓD SEC"")"),"(74) 9 9998-8112")</f>
        <v>(74) 9 9998-8112</v>
      </c>
      <c r="O49" s="82" t="str">
        <f>IFERROR(__xludf.DUMMYFUNCTION("IFERROR(VLOOKUP(D49,
IMPORTRANGE(""https://docs.google.com/spreadsheets/d/1MjHtlUikwobi2MaWJgy7tfLeBmhj1u-dRFRs_8GwSoA/edit#gid=0"",""Gestores Escolares!D7:J""),6,0),""VERIFICAR CÓD SEC"")"),"FERNANDA MIRANDA CAMPOS")</f>
        <v>FERNANDA MIRANDA CAMPOS</v>
      </c>
      <c r="P49" s="82" t="str">
        <f>IFERROR(__xludf.DUMMYFUNCTION("IFERROR(VLOOKUP(D49,
IMPORTRANGE(""https://docs.google.com/spreadsheets/d/1MjHtlUikwobi2MaWJgy7tfLeBmhj1u-dRFRs_8GwSoA/edit#gid=0"",""Gestores Escolares!D7:J""),7,0),""VERIFICAR CÓD SEC"")"),"(74) 9 9963-4717")</f>
        <v>(74) 9 9963-4717</v>
      </c>
      <c r="Q49" s="82" t="str">
        <f>IFERROR(__xludf.DUMMYFUNCTION("IFERROR(VLOOKUP(D49,
IMPORTRANGE(""https://docs.google.com/spreadsheets/d/1MjHtlUikwobi2MaWJgy7tfLeBmhj1u-dRFRs_8GwSoA/edit#gid=0"",""Gestores Escolares!D7:m""),9,0),""VERIFICAR CÓD SEC"")"),"")</f>
        <v/>
      </c>
      <c r="R49" s="82" t="str">
        <f>IFERROR(__xludf.DUMMYFUNCTION("IFERROR(VLOOKUP(D49,
IMPORTRANGE(""https://docs.google.com/spreadsheets/d/1MjHtlUikwobi2MaWJgy7tfLeBmhj1u-dRFRs_8GwSoA/edit#gid=0"",""Gestores Escolares!D7:m""),10,0),""VERIFICAR CÓD SEC"")"),"")</f>
        <v/>
      </c>
      <c r="S49" s="82"/>
      <c r="T49" s="138">
        <v>3.0</v>
      </c>
      <c r="U49" s="139">
        <v>3.0</v>
      </c>
      <c r="V49" s="106">
        <v>0.0</v>
      </c>
      <c r="W49" s="107">
        <v>0.0</v>
      </c>
      <c r="X49" s="107">
        <v>0.0</v>
      </c>
      <c r="Y49" s="107">
        <v>0.0</v>
      </c>
      <c r="Z49" s="80">
        <f t="shared" si="1"/>
        <v>0</v>
      </c>
      <c r="AA49" s="106">
        <v>0.0</v>
      </c>
      <c r="AB49" s="107">
        <v>0.0</v>
      </c>
      <c r="AC49" s="107">
        <v>0.0</v>
      </c>
      <c r="AD49" s="107">
        <v>0.0</v>
      </c>
      <c r="AE49" s="80">
        <f t="shared" si="2"/>
        <v>0</v>
      </c>
      <c r="AF49" s="140">
        <v>0.0</v>
      </c>
      <c r="AG49" s="109">
        <v>0.0</v>
      </c>
      <c r="AH49" s="109">
        <v>48.0</v>
      </c>
      <c r="AI49" s="141">
        <v>0.0</v>
      </c>
      <c r="AJ49" s="80">
        <f t="shared" si="3"/>
        <v>48</v>
      </c>
      <c r="AK49" s="140">
        <v>0.0</v>
      </c>
      <c r="AL49" s="109">
        <v>0.0</v>
      </c>
      <c r="AM49" s="141">
        <v>0.0</v>
      </c>
      <c r="AN49" s="80">
        <f t="shared" si="4"/>
        <v>0</v>
      </c>
      <c r="AO49" s="140">
        <v>0.0</v>
      </c>
      <c r="AP49" s="109">
        <v>0.0</v>
      </c>
      <c r="AQ49" s="109">
        <v>0.0</v>
      </c>
      <c r="AR49" s="80">
        <f t="shared" si="5"/>
        <v>0</v>
      </c>
      <c r="AS49" s="110">
        <v>0.0</v>
      </c>
      <c r="AT49" s="110">
        <v>0.0</v>
      </c>
      <c r="AU49" s="110">
        <v>0.0</v>
      </c>
      <c r="AV49" s="142">
        <v>0.0</v>
      </c>
      <c r="AW49" s="80">
        <f t="shared" si="6"/>
        <v>0</v>
      </c>
      <c r="AX49" s="113">
        <f t="shared" si="7"/>
        <v>48</v>
      </c>
      <c r="AY49" s="117">
        <f t="shared" si="8"/>
        <v>0</v>
      </c>
      <c r="AZ49" s="120">
        <f t="shared" si="9"/>
        <v>48</v>
      </c>
      <c r="BA49" s="115">
        <v>0.0</v>
      </c>
      <c r="BB49" s="89">
        <f t="shared" si="10"/>
        <v>48</v>
      </c>
      <c r="BC49" s="132" t="s">
        <v>178</v>
      </c>
      <c r="BD49" s="143" t="s">
        <v>227</v>
      </c>
      <c r="BE49" s="132" t="s">
        <v>64</v>
      </c>
      <c r="BF49" s="123"/>
      <c r="BG49" s="83">
        <v>1178802.0</v>
      </c>
      <c r="BH49" s="144"/>
      <c r="BI49" s="112">
        <v>3.0</v>
      </c>
      <c r="BJ49" s="98" t="s">
        <v>155</v>
      </c>
      <c r="BK49" s="99">
        <f t="shared" si="11"/>
        <v>0</v>
      </c>
      <c r="BL49" s="99">
        <f t="shared" si="12"/>
        <v>0</v>
      </c>
      <c r="BM49" s="99" t="str">
        <f>IFERROR(__xludf.DUMMYFUNCTION("IFERROR(VLOOKUP(BG49,IMPORTRANGE(""https://docs.google.com/spreadsheets/d/1juPI-Fb8LD0YtltB2mlGEnp_R3UVu1t3wSFPzgCyHXE/edit?gid=0#gid=0"",""GERAL!A2:C""),3,0),""-"")"),"-")</f>
        <v>-</v>
      </c>
    </row>
    <row r="50" ht="25.5" customHeight="1">
      <c r="A50" s="111" t="s">
        <v>130</v>
      </c>
      <c r="B50" s="83" t="s">
        <v>319</v>
      </c>
      <c r="C50" s="83" t="s">
        <v>164</v>
      </c>
      <c r="D50" s="112">
        <v>1179281.0</v>
      </c>
      <c r="E50" s="83">
        <v>1178801.0</v>
      </c>
      <c r="F50" s="98">
        <v>2.9459141E7</v>
      </c>
      <c r="G50" s="114" t="s">
        <v>332</v>
      </c>
      <c r="H50" s="91" t="s">
        <v>333</v>
      </c>
      <c r="I50" s="136" t="s">
        <v>149</v>
      </c>
      <c r="J50" s="83" t="s">
        <v>334</v>
      </c>
      <c r="K50" s="83" t="s">
        <v>168</v>
      </c>
      <c r="L50" s="83" t="s">
        <v>169</v>
      </c>
      <c r="M50" s="82" t="str">
        <f>IFERROR(__xludf.DUMMYFUNCTION("IFERROR(VLOOKUP(D50,
IMPORTRANGE(""https://docs.google.com/spreadsheets/d/1MjHtlUikwobi2MaWJgy7tfLeBmhj1u-dRFRs_8GwSoA/edit#gid=0"",""Gestores Escolares!D7:J""),3,0),""VERIFICAR CÓD SEC"")"),"MARCOS PAULO DA SILVA ALMEIDA")</f>
        <v>MARCOS PAULO DA SILVA ALMEIDA</v>
      </c>
      <c r="N50" s="82" t="str">
        <f>IFERROR(__xludf.DUMMYFUNCTION("IFERROR(VLOOKUP(D50,
IMPORTRANGE(""https://docs.google.com/spreadsheets/d/1MjHtlUikwobi2MaWJgy7tfLeBmhj1u-dRFRs_8GwSoA/edit#gid=0"",""Gestores Escolares!D7:J""),4,0),""VERIFICAR CÓD SEC"")"),"(74) 9 9998-8112")</f>
        <v>(74) 9 9998-8112</v>
      </c>
      <c r="O50" s="82" t="str">
        <f>IFERROR(__xludf.DUMMYFUNCTION("IFERROR(VLOOKUP(D50,
IMPORTRANGE(""https://docs.google.com/spreadsheets/d/1MjHtlUikwobi2MaWJgy7tfLeBmhj1u-dRFRs_8GwSoA/edit#gid=0"",""Gestores Escolares!D7:J""),6,0),""VERIFICAR CÓD SEC"")"),"FERNANDA MIRANDA CAMPOS")</f>
        <v>FERNANDA MIRANDA CAMPOS</v>
      </c>
      <c r="P50" s="82" t="str">
        <f>IFERROR(__xludf.DUMMYFUNCTION("IFERROR(VLOOKUP(D50,
IMPORTRANGE(""https://docs.google.com/spreadsheets/d/1MjHtlUikwobi2MaWJgy7tfLeBmhj1u-dRFRs_8GwSoA/edit#gid=0"",""Gestores Escolares!D7:J""),7,0),""VERIFICAR CÓD SEC"")"),"(74) 9 9963-4717")</f>
        <v>(74) 9 9963-4717</v>
      </c>
      <c r="Q50" s="82" t="str">
        <f>IFERROR(__xludf.DUMMYFUNCTION("IFERROR(VLOOKUP(D50,
IMPORTRANGE(""https://docs.google.com/spreadsheets/d/1MjHtlUikwobi2MaWJgy7tfLeBmhj1u-dRFRs_8GwSoA/edit#gid=0"",""Gestores Escolares!D7:m""),9,0),""VERIFICAR CÓD SEC"")"),"")</f>
        <v/>
      </c>
      <c r="R50" s="82" t="str">
        <f>IFERROR(__xludf.DUMMYFUNCTION("IFERROR(VLOOKUP(D50,
IMPORTRANGE(""https://docs.google.com/spreadsheets/d/1MjHtlUikwobi2MaWJgy7tfLeBmhj1u-dRFRs_8GwSoA/edit#gid=0"",""Gestores Escolares!D7:m""),10,0),""VERIFICAR CÓD SEC"")"),"")</f>
        <v/>
      </c>
      <c r="S50" s="82"/>
      <c r="T50" s="138">
        <v>3.0</v>
      </c>
      <c r="U50" s="139">
        <v>3.0</v>
      </c>
      <c r="V50" s="106">
        <v>0.0</v>
      </c>
      <c r="W50" s="107">
        <v>0.0</v>
      </c>
      <c r="X50" s="107">
        <v>0.0</v>
      </c>
      <c r="Y50" s="107">
        <v>0.0</v>
      </c>
      <c r="Z50" s="80">
        <f t="shared" si="1"/>
        <v>0</v>
      </c>
      <c r="AA50" s="106">
        <v>0.0</v>
      </c>
      <c r="AB50" s="107">
        <v>0.0</v>
      </c>
      <c r="AC50" s="107">
        <v>0.0</v>
      </c>
      <c r="AD50" s="107">
        <v>0.0</v>
      </c>
      <c r="AE50" s="80">
        <f t="shared" si="2"/>
        <v>0</v>
      </c>
      <c r="AF50" s="140">
        <v>0.0</v>
      </c>
      <c r="AG50" s="109">
        <v>0.0</v>
      </c>
      <c r="AH50" s="109">
        <v>21.0</v>
      </c>
      <c r="AI50" s="141">
        <v>0.0</v>
      </c>
      <c r="AJ50" s="80">
        <f t="shared" si="3"/>
        <v>21</v>
      </c>
      <c r="AK50" s="140">
        <v>0.0</v>
      </c>
      <c r="AL50" s="109">
        <v>0.0</v>
      </c>
      <c r="AM50" s="141">
        <v>0.0</v>
      </c>
      <c r="AN50" s="80">
        <f t="shared" si="4"/>
        <v>0</v>
      </c>
      <c r="AO50" s="140">
        <v>0.0</v>
      </c>
      <c r="AP50" s="109">
        <v>0.0</v>
      </c>
      <c r="AQ50" s="109">
        <v>0.0</v>
      </c>
      <c r="AR50" s="80">
        <f t="shared" si="5"/>
        <v>0</v>
      </c>
      <c r="AS50" s="110">
        <v>0.0</v>
      </c>
      <c r="AT50" s="110">
        <v>0.0</v>
      </c>
      <c r="AU50" s="110">
        <v>0.0</v>
      </c>
      <c r="AV50" s="142">
        <v>0.0</v>
      </c>
      <c r="AW50" s="80">
        <f t="shared" si="6"/>
        <v>0</v>
      </c>
      <c r="AX50" s="113">
        <f t="shared" si="7"/>
        <v>21</v>
      </c>
      <c r="AY50" s="117">
        <f t="shared" si="8"/>
        <v>0</v>
      </c>
      <c r="AZ50" s="120">
        <f t="shared" si="9"/>
        <v>21</v>
      </c>
      <c r="BA50" s="115">
        <v>0.0</v>
      </c>
      <c r="BB50" s="89">
        <f t="shared" si="10"/>
        <v>21</v>
      </c>
      <c r="BC50" s="132" t="s">
        <v>265</v>
      </c>
      <c r="BD50" s="183" t="s">
        <v>227</v>
      </c>
      <c r="BE50" s="132" t="s">
        <v>178</v>
      </c>
      <c r="BF50" s="123"/>
      <c r="BG50" s="83">
        <v>1178801.0</v>
      </c>
      <c r="BH50" s="144"/>
      <c r="BI50" s="112">
        <v>3.0</v>
      </c>
      <c r="BJ50" s="98" t="s">
        <v>155</v>
      </c>
      <c r="BK50" s="99">
        <f t="shared" si="11"/>
        <v>0</v>
      </c>
      <c r="BL50" s="99">
        <f t="shared" si="12"/>
        <v>0</v>
      </c>
      <c r="BM50" s="99" t="str">
        <f>IFERROR(__xludf.DUMMYFUNCTION("IFERROR(VLOOKUP(BG50,IMPORTRANGE(""https://docs.google.com/spreadsheets/d/1juPI-Fb8LD0YtltB2mlGEnp_R3UVu1t3wSFPzgCyHXE/edit?gid=0#gid=0"",""GERAL!A2:C""),3,0),""-"")"),"QUILOMBOLAS")</f>
        <v>QUILOMBOLAS</v>
      </c>
    </row>
    <row r="51" ht="15.75" customHeight="1">
      <c r="A51" s="111" t="s">
        <v>130</v>
      </c>
      <c r="B51" s="83" t="s">
        <v>319</v>
      </c>
      <c r="C51" s="83" t="s">
        <v>164</v>
      </c>
      <c r="D51" s="112">
        <v>1179281.0</v>
      </c>
      <c r="E51" s="83">
        <v>1178800.0</v>
      </c>
      <c r="F51" s="98">
        <v>2.9459141E7</v>
      </c>
      <c r="G51" s="114" t="s">
        <v>335</v>
      </c>
      <c r="H51" s="91" t="s">
        <v>336</v>
      </c>
      <c r="I51" s="136" t="s">
        <v>149</v>
      </c>
      <c r="J51" s="83" t="s">
        <v>337</v>
      </c>
      <c r="K51" s="83" t="s">
        <v>151</v>
      </c>
      <c r="L51" s="83" t="s">
        <v>169</v>
      </c>
      <c r="M51" s="82" t="str">
        <f>IFERROR(__xludf.DUMMYFUNCTION("IFERROR(VLOOKUP(D51,
IMPORTRANGE(""https://docs.google.com/spreadsheets/d/1MjHtlUikwobi2MaWJgy7tfLeBmhj1u-dRFRs_8GwSoA/edit#gid=0"",""Gestores Escolares!D7:J""),3,0),""VERIFICAR CÓD SEC"")"),"MARCOS PAULO DA SILVA ALMEIDA")</f>
        <v>MARCOS PAULO DA SILVA ALMEIDA</v>
      </c>
      <c r="N51" s="82" t="str">
        <f>IFERROR(__xludf.DUMMYFUNCTION("IFERROR(VLOOKUP(D51,
IMPORTRANGE(""https://docs.google.com/spreadsheets/d/1MjHtlUikwobi2MaWJgy7tfLeBmhj1u-dRFRs_8GwSoA/edit#gid=0"",""Gestores Escolares!D7:J""),4,0),""VERIFICAR CÓD SEC"")"),"(74) 9 9998-8112")</f>
        <v>(74) 9 9998-8112</v>
      </c>
      <c r="O51" s="82" t="str">
        <f>IFERROR(__xludf.DUMMYFUNCTION("IFERROR(VLOOKUP(D51,
IMPORTRANGE(""https://docs.google.com/spreadsheets/d/1MjHtlUikwobi2MaWJgy7tfLeBmhj1u-dRFRs_8GwSoA/edit#gid=0"",""Gestores Escolares!D7:J""),6,0),""VERIFICAR CÓD SEC"")"),"FERNANDA MIRANDA CAMPOS")</f>
        <v>FERNANDA MIRANDA CAMPOS</v>
      </c>
      <c r="P51" s="82" t="str">
        <f>IFERROR(__xludf.DUMMYFUNCTION("IFERROR(VLOOKUP(D51,
IMPORTRANGE(""https://docs.google.com/spreadsheets/d/1MjHtlUikwobi2MaWJgy7tfLeBmhj1u-dRFRs_8GwSoA/edit#gid=0"",""Gestores Escolares!D7:J""),7,0),""VERIFICAR CÓD SEC"")"),"(74) 9 9963-4717")</f>
        <v>(74) 9 9963-4717</v>
      </c>
      <c r="Q51" s="82" t="str">
        <f>IFERROR(__xludf.DUMMYFUNCTION("IFERROR(VLOOKUP(D51,
IMPORTRANGE(""https://docs.google.com/spreadsheets/d/1MjHtlUikwobi2MaWJgy7tfLeBmhj1u-dRFRs_8GwSoA/edit#gid=0"",""Gestores Escolares!D7:m""),9,0),""VERIFICAR CÓD SEC"")"),"")</f>
        <v/>
      </c>
      <c r="R51" s="82" t="str">
        <f>IFERROR(__xludf.DUMMYFUNCTION("IFERROR(VLOOKUP(D51,
IMPORTRANGE(""https://docs.google.com/spreadsheets/d/1MjHtlUikwobi2MaWJgy7tfLeBmhj1u-dRFRs_8GwSoA/edit#gid=0"",""Gestores Escolares!D7:m""),10,0),""VERIFICAR CÓD SEC"")"),"")</f>
        <v/>
      </c>
      <c r="S51" s="82"/>
      <c r="T51" s="138">
        <v>3.0</v>
      </c>
      <c r="U51" s="139">
        <v>3.0</v>
      </c>
      <c r="V51" s="106">
        <v>0.0</v>
      </c>
      <c r="W51" s="107">
        <v>0.0</v>
      </c>
      <c r="X51" s="107">
        <v>0.0</v>
      </c>
      <c r="Y51" s="107">
        <v>0.0</v>
      </c>
      <c r="Z51" s="80">
        <f t="shared" si="1"/>
        <v>0</v>
      </c>
      <c r="AA51" s="106">
        <v>0.0</v>
      </c>
      <c r="AB51" s="107">
        <v>0.0</v>
      </c>
      <c r="AC51" s="107">
        <v>0.0</v>
      </c>
      <c r="AD51" s="107">
        <v>0.0</v>
      </c>
      <c r="AE51" s="80">
        <f t="shared" si="2"/>
        <v>0</v>
      </c>
      <c r="AF51" s="140">
        <v>0.0</v>
      </c>
      <c r="AG51" s="109">
        <v>0.0</v>
      </c>
      <c r="AH51" s="109">
        <v>11.0</v>
      </c>
      <c r="AI51" s="141">
        <v>0.0</v>
      </c>
      <c r="AJ51" s="80">
        <f t="shared" si="3"/>
        <v>11</v>
      </c>
      <c r="AK51" s="140">
        <v>0.0</v>
      </c>
      <c r="AL51" s="109">
        <v>0.0</v>
      </c>
      <c r="AM51" s="141">
        <v>0.0</v>
      </c>
      <c r="AN51" s="80">
        <f t="shared" si="4"/>
        <v>0</v>
      </c>
      <c r="AO51" s="140">
        <v>0.0</v>
      </c>
      <c r="AP51" s="109">
        <v>0.0</v>
      </c>
      <c r="AQ51" s="109">
        <v>0.0</v>
      </c>
      <c r="AR51" s="80">
        <f t="shared" si="5"/>
        <v>0</v>
      </c>
      <c r="AS51" s="110">
        <v>0.0</v>
      </c>
      <c r="AT51" s="110">
        <v>0.0</v>
      </c>
      <c r="AU51" s="110">
        <v>0.0</v>
      </c>
      <c r="AV51" s="142">
        <v>0.0</v>
      </c>
      <c r="AW51" s="80">
        <f t="shared" si="6"/>
        <v>0</v>
      </c>
      <c r="AX51" s="113">
        <f t="shared" si="7"/>
        <v>11</v>
      </c>
      <c r="AY51" s="117">
        <f t="shared" si="8"/>
        <v>0</v>
      </c>
      <c r="AZ51" s="120">
        <f t="shared" si="9"/>
        <v>11</v>
      </c>
      <c r="BA51" s="115">
        <v>0.0</v>
      </c>
      <c r="BB51" s="89">
        <f t="shared" si="10"/>
        <v>11</v>
      </c>
      <c r="BC51" s="132" t="s">
        <v>178</v>
      </c>
      <c r="BD51" s="143" t="s">
        <v>227</v>
      </c>
      <c r="BE51" s="132" t="s">
        <v>64</v>
      </c>
      <c r="BF51" s="123"/>
      <c r="BG51" s="83">
        <v>1178800.0</v>
      </c>
      <c r="BH51" s="144"/>
      <c r="BI51" s="112">
        <v>3.0</v>
      </c>
      <c r="BJ51" s="98" t="s">
        <v>155</v>
      </c>
      <c r="BK51" s="99">
        <f t="shared" si="11"/>
        <v>0</v>
      </c>
      <c r="BL51" s="99">
        <f t="shared" si="12"/>
        <v>0</v>
      </c>
      <c r="BM51" s="99" t="str">
        <f>IFERROR(__xludf.DUMMYFUNCTION("IFERROR(VLOOKUP(BG51,IMPORTRANGE(""https://docs.google.com/spreadsheets/d/1juPI-Fb8LD0YtltB2mlGEnp_R3UVu1t3wSFPzgCyHXE/edit?gid=0#gid=0"",""GERAL!A2:C""),3,0),""-"")"),"-")</f>
        <v>-</v>
      </c>
    </row>
    <row r="52" ht="15.75" customHeight="1">
      <c r="A52" s="111" t="s">
        <v>130</v>
      </c>
      <c r="B52" s="83" t="s">
        <v>339</v>
      </c>
      <c r="C52" s="83" t="s">
        <v>68</v>
      </c>
      <c r="D52" s="112">
        <v>1178040.0</v>
      </c>
      <c r="E52" s="83"/>
      <c r="F52" s="83">
        <v>2.9428726E7</v>
      </c>
      <c r="G52" s="119" t="s">
        <v>340</v>
      </c>
      <c r="H52" s="91" t="s">
        <v>341</v>
      </c>
      <c r="I52" s="83" t="s">
        <v>149</v>
      </c>
      <c r="J52" s="83" t="s">
        <v>150</v>
      </c>
      <c r="K52" s="83" t="s">
        <v>151</v>
      </c>
      <c r="L52" s="98" t="s">
        <v>152</v>
      </c>
      <c r="M52" s="82" t="str">
        <f>IFERROR(__xludf.DUMMYFUNCTION("IFERROR(VLOOKUP(D52,
IMPORTRANGE(""https://docs.google.com/spreadsheets/d/1MjHtlUikwobi2MaWJgy7tfLeBmhj1u-dRFRs_8GwSoA/edit#gid=0"",""Gestores Escolares!D7:J""),3,0),""VERIFICAR CÓD SEC"")"),"LUCIEL RODRIGUES DA SILVA")</f>
        <v>LUCIEL RODRIGUES DA SILVA</v>
      </c>
      <c r="N52" s="82" t="str">
        <f>IFERROR(__xludf.DUMMYFUNCTION("IFERROR(VLOOKUP(D52,
IMPORTRANGE(""https://docs.google.com/spreadsheets/d/1MjHtlUikwobi2MaWJgy7tfLeBmhj1u-dRFRs_8GwSoA/edit#gid=0"",""Gestores Escolares!D7:J""),4,0),""VERIFICAR CÓD SEC"")"),"(74) 9 8147-1052")</f>
        <v>(74) 9 8147-1052</v>
      </c>
      <c r="O52" s="82" t="str">
        <f>IFERROR(__xludf.DUMMYFUNCTION("IFERROR(VLOOKUP(D52,
IMPORTRANGE(""https://docs.google.com/spreadsheets/d/1MjHtlUikwobi2MaWJgy7tfLeBmhj1u-dRFRs_8GwSoA/edit#gid=0"",""Gestores Escolares!D7:J""),6,0),""VERIFICAR CÓD SEC"")"),"ARTÊNIA RIBEIRO DA MOTA")</f>
        <v>ARTÊNIA RIBEIRO DA MOTA</v>
      </c>
      <c r="P52" s="82" t="str">
        <f>IFERROR(__xludf.DUMMYFUNCTION("IFERROR(VLOOKUP(D52,
IMPORTRANGE(""https://docs.google.com/spreadsheets/d/1MjHtlUikwobi2MaWJgy7tfLeBmhj1u-dRFRs_8GwSoA/edit#gid=0"",""Gestores Escolares!D7:J""),7,0),""VERIFICAR CÓD SEC"")"),"(74) 9 9997-6753")</f>
        <v>(74) 9 9997-6753</v>
      </c>
      <c r="Q52" s="82" t="str">
        <f>IFERROR(__xludf.DUMMYFUNCTION("IFERROR(VLOOKUP(D52,
IMPORTRANGE(""https://docs.google.com/spreadsheets/d/1MjHtlUikwobi2MaWJgy7tfLeBmhj1u-dRFRs_8GwSoA/edit#gid=0"",""Gestores Escolares!D7:m""),9,0),""VERIFICAR CÓD SEC"")"),"FRANCISCO DE SOUZA NUNES NETO")</f>
        <v>FRANCISCO DE SOUZA NUNES NETO</v>
      </c>
      <c r="R52" s="82" t="str">
        <f>IFERROR(__xludf.DUMMYFUNCTION("IFERROR(VLOOKUP(D52,
IMPORTRANGE(""https://docs.google.com/spreadsheets/d/1MjHtlUikwobi2MaWJgy7tfLeBmhj1u-dRFRs_8GwSoA/edit#gid=0"",""Gestores Escolares!D7:m""),10,0),""VERIFICAR CÓD SEC"")"),"(74) 9 8124-4545")</f>
        <v>(74) 9 8124-4545</v>
      </c>
      <c r="S52" s="82"/>
      <c r="T52" s="138">
        <v>8.0</v>
      </c>
      <c r="U52" s="145">
        <v>17.0</v>
      </c>
      <c r="V52" s="106">
        <v>0.0</v>
      </c>
      <c r="W52" s="107">
        <v>0.0</v>
      </c>
      <c r="X52" s="107">
        <v>0.0</v>
      </c>
      <c r="Y52" s="107">
        <v>0.0</v>
      </c>
      <c r="Z52" s="80">
        <f t="shared" si="1"/>
        <v>0</v>
      </c>
      <c r="AA52" s="106">
        <v>0.0</v>
      </c>
      <c r="AB52" s="107">
        <v>0.0</v>
      </c>
      <c r="AC52" s="107">
        <v>0.0</v>
      </c>
      <c r="AD52" s="107">
        <v>0.0</v>
      </c>
      <c r="AE52" s="80">
        <f t="shared" si="2"/>
        <v>0</v>
      </c>
      <c r="AF52" s="140">
        <v>0.0</v>
      </c>
      <c r="AG52" s="109">
        <v>0.0</v>
      </c>
      <c r="AH52" s="109">
        <v>0.0</v>
      </c>
      <c r="AI52" s="141">
        <v>476.0</v>
      </c>
      <c r="AJ52" s="80">
        <f t="shared" si="3"/>
        <v>476</v>
      </c>
      <c r="AK52" s="140">
        <v>0.0</v>
      </c>
      <c r="AL52" s="109">
        <v>0.0</v>
      </c>
      <c r="AM52" s="141">
        <v>0.0</v>
      </c>
      <c r="AN52" s="80">
        <f t="shared" si="4"/>
        <v>0</v>
      </c>
      <c r="AO52" s="140">
        <v>0.0</v>
      </c>
      <c r="AP52" s="109">
        <v>0.0</v>
      </c>
      <c r="AQ52" s="109">
        <v>56.0</v>
      </c>
      <c r="AR52" s="80">
        <f t="shared" si="5"/>
        <v>56</v>
      </c>
      <c r="AS52" s="110">
        <v>0.0</v>
      </c>
      <c r="AT52" s="110">
        <v>0.0</v>
      </c>
      <c r="AU52" s="110">
        <v>0.0</v>
      </c>
      <c r="AV52" s="142">
        <v>98.0</v>
      </c>
      <c r="AW52" s="80">
        <f t="shared" si="6"/>
        <v>98</v>
      </c>
      <c r="AX52" s="113">
        <f t="shared" si="7"/>
        <v>630</v>
      </c>
      <c r="AY52" s="117">
        <f t="shared" si="8"/>
        <v>574</v>
      </c>
      <c r="AZ52" s="120">
        <f t="shared" si="9"/>
        <v>56</v>
      </c>
      <c r="BA52" s="115">
        <v>0.0</v>
      </c>
      <c r="BB52" s="89">
        <f t="shared" si="10"/>
        <v>630</v>
      </c>
      <c r="BC52" s="132" t="s">
        <v>178</v>
      </c>
      <c r="BD52" s="132" t="s">
        <v>178</v>
      </c>
      <c r="BE52" s="132" t="s">
        <v>178</v>
      </c>
      <c r="BF52" s="123"/>
      <c r="BG52" s="83">
        <v>1178040.0</v>
      </c>
      <c r="BH52" s="98" t="s">
        <v>342</v>
      </c>
      <c r="BI52" s="112">
        <v>8.0</v>
      </c>
      <c r="BJ52" s="98" t="s">
        <v>162</v>
      </c>
      <c r="BK52" s="99">
        <f t="shared" si="11"/>
        <v>574</v>
      </c>
      <c r="BL52" s="99">
        <f t="shared" si="12"/>
        <v>0</v>
      </c>
      <c r="BM52" s="99" t="str">
        <f>IFERROR(__xludf.DUMMYFUNCTION("IFERROR(VLOOKUP(BG52,IMPORTRANGE(""https://docs.google.com/spreadsheets/d/1juPI-Fb8LD0YtltB2mlGEnp_R3UVu1t3wSFPzgCyHXE/edit?gid=0#gid=0"",""GERAL!A2:C""),3,0),""-"")"),"-")</f>
        <v>-</v>
      </c>
    </row>
    <row r="53" ht="15.75" customHeight="1">
      <c r="A53" s="111" t="s">
        <v>130</v>
      </c>
      <c r="B53" s="83" t="s">
        <v>344</v>
      </c>
      <c r="C53" s="83" t="s">
        <v>68</v>
      </c>
      <c r="D53" s="112">
        <v>1178257.0</v>
      </c>
      <c r="E53" s="83"/>
      <c r="F53" s="83">
        <v>2.95362E7</v>
      </c>
      <c r="G53" s="187" t="s">
        <v>345</v>
      </c>
      <c r="H53" s="91" t="s">
        <v>346</v>
      </c>
      <c r="I53" s="83" t="s">
        <v>149</v>
      </c>
      <c r="J53" s="83" t="s">
        <v>327</v>
      </c>
      <c r="K53" s="83" t="s">
        <v>151</v>
      </c>
      <c r="L53" s="83" t="s">
        <v>169</v>
      </c>
      <c r="M53" s="82" t="str">
        <f>IFERROR(__xludf.DUMMYFUNCTION("IFERROR(VLOOKUP(D53,
IMPORTRANGE(""https://docs.google.com/spreadsheets/d/1MjHtlUikwobi2MaWJgy7tfLeBmhj1u-dRFRs_8GwSoA/edit#gid=0"",""Gestores Escolares!D7:J""),3,0),""VERIFICAR CÓD SEC"")"),"HELDER TORRES DE OLIVEIRA")</f>
        <v>HELDER TORRES DE OLIVEIRA</v>
      </c>
      <c r="N53" s="82" t="str">
        <f>IFERROR(__xludf.DUMMYFUNCTION("IFERROR(VLOOKUP(D53,
IMPORTRANGE(""https://docs.google.com/spreadsheets/d/1MjHtlUikwobi2MaWJgy7tfLeBmhj1u-dRFRs_8GwSoA/edit#gid=0"",""Gestores Escolares!D7:J""),4,0),""VERIFICAR CÓD SEC"")"),"(74) 9 9985-9402")</f>
        <v>(74) 9 9985-9402</v>
      </c>
      <c r="O53" s="82" t="str">
        <f>IFERROR(__xludf.DUMMYFUNCTION("IFERROR(VLOOKUP(D53,
IMPORTRANGE(""https://docs.google.com/spreadsheets/d/1MjHtlUikwobi2MaWJgy7tfLeBmhj1u-dRFRs_8GwSoA/edit#gid=0"",""Gestores Escolares!D7:J""),6,0),""VERIFICAR CÓD SEC"")"),"")</f>
        <v/>
      </c>
      <c r="P53" s="82" t="str">
        <f>IFERROR(__xludf.DUMMYFUNCTION("IFERROR(VLOOKUP(D53,
IMPORTRANGE(""https://docs.google.com/spreadsheets/d/1MjHtlUikwobi2MaWJgy7tfLeBmhj1u-dRFRs_8GwSoA/edit#gid=0"",""Gestores Escolares!D7:J""),7,0),""VERIFICAR CÓD SEC"")"),"")</f>
        <v/>
      </c>
      <c r="Q53" s="82" t="str">
        <f>IFERROR(__xludf.DUMMYFUNCTION("IFERROR(VLOOKUP(D53,
IMPORTRANGE(""https://docs.google.com/spreadsheets/d/1MjHtlUikwobi2MaWJgy7tfLeBmhj1u-dRFRs_8GwSoA/edit#gid=0"",""Gestores Escolares!D7:m""),9,0),""VERIFICAR CÓD SEC"")"),"")</f>
        <v/>
      </c>
      <c r="R53" s="82" t="str">
        <f>IFERROR(__xludf.DUMMYFUNCTION("IFERROR(VLOOKUP(D53,
IMPORTRANGE(""https://docs.google.com/spreadsheets/d/1MjHtlUikwobi2MaWJgy7tfLeBmhj1u-dRFRs_8GwSoA/edit#gid=0"",""Gestores Escolares!D7:m""),10,0),""VERIFICAR CÓD SEC"")"),"")</f>
        <v/>
      </c>
      <c r="S53" s="82"/>
      <c r="T53" s="138">
        <v>8.0</v>
      </c>
      <c r="U53" s="145" t="s">
        <v>686</v>
      </c>
      <c r="V53" s="106">
        <v>0.0</v>
      </c>
      <c r="W53" s="107">
        <v>0.0</v>
      </c>
      <c r="X53" s="107">
        <v>0.0</v>
      </c>
      <c r="Y53" s="107">
        <v>0.0</v>
      </c>
      <c r="Z53" s="80">
        <f t="shared" si="1"/>
        <v>0</v>
      </c>
      <c r="AA53" s="106">
        <v>0.0</v>
      </c>
      <c r="AB53" s="107">
        <v>0.0</v>
      </c>
      <c r="AC53" s="107">
        <v>0.0</v>
      </c>
      <c r="AD53" s="107">
        <v>0.0</v>
      </c>
      <c r="AE53" s="80">
        <f t="shared" si="2"/>
        <v>0</v>
      </c>
      <c r="AF53" s="140">
        <v>275.0</v>
      </c>
      <c r="AG53" s="109">
        <v>0.0</v>
      </c>
      <c r="AH53" s="109">
        <v>0.0</v>
      </c>
      <c r="AI53" s="141">
        <v>0.0</v>
      </c>
      <c r="AJ53" s="80">
        <f t="shared" si="3"/>
        <v>275</v>
      </c>
      <c r="AK53" s="140">
        <v>0.0</v>
      </c>
      <c r="AL53" s="109">
        <v>0.0</v>
      </c>
      <c r="AM53" s="141">
        <v>0.0</v>
      </c>
      <c r="AN53" s="80">
        <f t="shared" si="4"/>
        <v>0</v>
      </c>
      <c r="AO53" s="140">
        <v>0.0</v>
      </c>
      <c r="AP53" s="109">
        <v>0.0</v>
      </c>
      <c r="AQ53" s="109">
        <v>37.0</v>
      </c>
      <c r="AR53" s="80">
        <f t="shared" si="5"/>
        <v>37</v>
      </c>
      <c r="AS53" s="110">
        <v>0.0</v>
      </c>
      <c r="AT53" s="110">
        <v>0.0</v>
      </c>
      <c r="AU53" s="110">
        <v>0.0</v>
      </c>
      <c r="AV53" s="142">
        <v>0.0</v>
      </c>
      <c r="AW53" s="80">
        <f t="shared" si="6"/>
        <v>0</v>
      </c>
      <c r="AX53" s="113">
        <f t="shared" si="7"/>
        <v>312</v>
      </c>
      <c r="AY53" s="117">
        <f t="shared" si="8"/>
        <v>275</v>
      </c>
      <c r="AZ53" s="120">
        <f t="shared" si="9"/>
        <v>37</v>
      </c>
      <c r="BA53" s="115">
        <v>0.0</v>
      </c>
      <c r="BB53" s="89">
        <f t="shared" si="10"/>
        <v>312</v>
      </c>
      <c r="BC53" s="132" t="s">
        <v>373</v>
      </c>
      <c r="BD53" s="132" t="s">
        <v>178</v>
      </c>
      <c r="BE53" s="132" t="s">
        <v>178</v>
      </c>
      <c r="BF53" s="123"/>
      <c r="BG53" s="83">
        <v>1178257.0</v>
      </c>
      <c r="BH53" s="98" t="s">
        <v>347</v>
      </c>
      <c r="BI53" s="112">
        <v>8.0</v>
      </c>
      <c r="BJ53" s="98" t="s">
        <v>155</v>
      </c>
      <c r="BK53" s="99">
        <f t="shared" si="11"/>
        <v>0</v>
      </c>
      <c r="BL53" s="99">
        <f t="shared" si="12"/>
        <v>275</v>
      </c>
      <c r="BM53" s="99" t="str">
        <f>IFERROR(__xludf.DUMMYFUNCTION("IFERROR(VLOOKUP(BG53,IMPORTRANGE(""https://docs.google.com/spreadsheets/d/1juPI-Fb8LD0YtltB2mlGEnp_R3UVu1t3wSFPzgCyHXE/edit?gid=0#gid=0"",""GERAL!A2:C""),3,0),""-"")"),"CAMPO")</f>
        <v>CAMPO</v>
      </c>
    </row>
    <row r="54" ht="15.75" customHeight="1">
      <c r="A54" s="111" t="s">
        <v>130</v>
      </c>
      <c r="B54" s="83" t="s">
        <v>344</v>
      </c>
      <c r="C54" s="83" t="s">
        <v>68</v>
      </c>
      <c r="D54" s="112">
        <v>1162480.0</v>
      </c>
      <c r="E54" s="83"/>
      <c r="F54" s="83">
        <v>2.9065356E7</v>
      </c>
      <c r="G54" s="153" t="s">
        <v>352</v>
      </c>
      <c r="H54" s="91" t="s">
        <v>353</v>
      </c>
      <c r="I54" s="83" t="s">
        <v>149</v>
      </c>
      <c r="J54" s="83" t="s">
        <v>150</v>
      </c>
      <c r="K54" s="83" t="s">
        <v>151</v>
      </c>
      <c r="L54" s="83" t="s">
        <v>230</v>
      </c>
      <c r="M54" s="82" t="str">
        <f>IFERROR(__xludf.DUMMYFUNCTION("IFERROR(VLOOKUP(D54,
IMPORTRANGE(""https://docs.google.com/spreadsheets/d/1MjHtlUikwobi2MaWJgy7tfLeBmhj1u-dRFRs_8GwSoA/edit#gid=0"",""Gestores Escolares!D7:J""),3,0),""VERIFICAR CÓD SEC"")"),"  KALINE CASTRO CAMPOS NEVES MORAIS")</f>
        <v>  KALINE CASTRO CAMPOS NEVES MORAIS</v>
      </c>
      <c r="N54" s="82" t="str">
        <f>IFERROR(__xludf.DUMMYFUNCTION("IFERROR(VLOOKUP(D54,
IMPORTRANGE(""https://docs.google.com/spreadsheets/d/1MjHtlUikwobi2MaWJgy7tfLeBmhj1u-dRFRs_8GwSoA/edit#gid=0"",""Gestores Escolares!D7:J""),4,0),""VERIFICAR CÓD SEC"")"),"(74) 9 9978-4377")</f>
        <v>(74) 9 9978-4377</v>
      </c>
      <c r="O54" s="82" t="str">
        <f>IFERROR(__xludf.DUMMYFUNCTION("IFERROR(VLOOKUP(D54,
IMPORTRANGE(""https://docs.google.com/spreadsheets/d/1MjHtlUikwobi2MaWJgy7tfLeBmhj1u-dRFRs_8GwSoA/edit#gid=0"",""Gestores Escolares!D7:J""),6,0),""VERIFICAR CÓD SEC"")"),"ARIEVANDRO CARDOSO NUNES")</f>
        <v>ARIEVANDRO CARDOSO NUNES</v>
      </c>
      <c r="P54" s="82" t="str">
        <f>IFERROR(__xludf.DUMMYFUNCTION("IFERROR(VLOOKUP(D54,
IMPORTRANGE(""https://docs.google.com/spreadsheets/d/1MjHtlUikwobi2MaWJgy7tfLeBmhj1u-dRFRs_8GwSoA/edit#gid=0"",""Gestores Escolares!D7:J""),7,0),""VERIFICAR CÓD SEC"")"),"(74) 9 9973-8723")</f>
        <v>(74) 9 9973-8723</v>
      </c>
      <c r="Q54" s="82" t="str">
        <f>IFERROR(__xludf.DUMMYFUNCTION("IFERROR(VLOOKUP(D54,
IMPORTRANGE(""https://docs.google.com/spreadsheets/d/1MjHtlUikwobi2MaWJgy7tfLeBmhj1u-dRFRs_8GwSoA/edit#gid=0"",""Gestores Escolares!D7:m""),9,0),""VERIFICAR CÓD SEC"")"),"BRUNO GOMES DE ARAUJO")</f>
        <v>BRUNO GOMES DE ARAUJO</v>
      </c>
      <c r="R54" s="82" t="str">
        <f>IFERROR(__xludf.DUMMYFUNCTION("IFERROR(VLOOKUP(D54,
IMPORTRANGE(""https://docs.google.com/spreadsheets/d/1MjHtlUikwobi2MaWJgy7tfLeBmhj1u-dRFRs_8GwSoA/edit#gid=0"",""Gestores Escolares!D7:m""),10,0),""VERIFICAR CÓD SEC"")"),"(75) 9 9188-3053")</f>
        <v>(75) 9 9188-3053</v>
      </c>
      <c r="S54" s="82"/>
      <c r="T54" s="138">
        <v>15.0</v>
      </c>
      <c r="U54" s="145" t="s">
        <v>691</v>
      </c>
      <c r="V54" s="106">
        <v>0.0</v>
      </c>
      <c r="W54" s="107">
        <v>0.0</v>
      </c>
      <c r="X54" s="107">
        <v>0.0</v>
      </c>
      <c r="Y54" s="107">
        <v>0.0</v>
      </c>
      <c r="Z54" s="80">
        <f t="shared" si="1"/>
        <v>0</v>
      </c>
      <c r="AA54" s="106">
        <v>0.0</v>
      </c>
      <c r="AB54" s="107">
        <v>0.0</v>
      </c>
      <c r="AC54" s="107">
        <v>0.0</v>
      </c>
      <c r="AD54" s="107">
        <v>0.0</v>
      </c>
      <c r="AE54" s="80">
        <f t="shared" si="2"/>
        <v>0</v>
      </c>
      <c r="AF54" s="140">
        <v>54.0</v>
      </c>
      <c r="AG54" s="109">
        <v>0.0</v>
      </c>
      <c r="AH54" s="109">
        <v>0.0</v>
      </c>
      <c r="AI54" s="141">
        <v>438.0</v>
      </c>
      <c r="AJ54" s="80">
        <f t="shared" si="3"/>
        <v>492</v>
      </c>
      <c r="AK54" s="140">
        <v>0.0</v>
      </c>
      <c r="AL54" s="109">
        <v>0.0</v>
      </c>
      <c r="AM54" s="141">
        <v>0.0</v>
      </c>
      <c r="AN54" s="80">
        <f t="shared" si="4"/>
        <v>0</v>
      </c>
      <c r="AO54" s="140">
        <v>0.0</v>
      </c>
      <c r="AP54" s="109">
        <v>0.0</v>
      </c>
      <c r="AQ54" s="109">
        <v>68.0</v>
      </c>
      <c r="AR54" s="80">
        <f t="shared" si="5"/>
        <v>68</v>
      </c>
      <c r="AS54" s="110">
        <v>0.0</v>
      </c>
      <c r="AT54" s="110">
        <v>0.0</v>
      </c>
      <c r="AU54" s="110">
        <v>18.0</v>
      </c>
      <c r="AV54" s="142">
        <v>110.0</v>
      </c>
      <c r="AW54" s="80">
        <f t="shared" si="6"/>
        <v>128</v>
      </c>
      <c r="AX54" s="113">
        <f t="shared" si="7"/>
        <v>688</v>
      </c>
      <c r="AY54" s="117">
        <f t="shared" si="8"/>
        <v>602</v>
      </c>
      <c r="AZ54" s="120">
        <f t="shared" si="9"/>
        <v>86</v>
      </c>
      <c r="BA54" s="115">
        <v>0.0</v>
      </c>
      <c r="BB54" s="89">
        <f t="shared" si="10"/>
        <v>688</v>
      </c>
      <c r="BC54" s="132" t="s">
        <v>178</v>
      </c>
      <c r="BD54" s="132" t="s">
        <v>178</v>
      </c>
      <c r="BE54" s="132" t="s">
        <v>178</v>
      </c>
      <c r="BF54" s="156"/>
      <c r="BG54" s="83">
        <v>1162480.0</v>
      </c>
      <c r="BH54" s="98" t="s">
        <v>354</v>
      </c>
      <c r="BI54" s="112">
        <v>24.0</v>
      </c>
      <c r="BJ54" s="98" t="s">
        <v>162</v>
      </c>
      <c r="BK54" s="99">
        <f t="shared" si="11"/>
        <v>548</v>
      </c>
      <c r="BL54" s="99">
        <f t="shared" si="12"/>
        <v>54</v>
      </c>
      <c r="BM54" s="99" t="str">
        <f>IFERROR(__xludf.DUMMYFUNCTION("IFERROR(VLOOKUP(BG54,IMPORTRANGE(""https://docs.google.com/spreadsheets/d/1juPI-Fb8LD0YtltB2mlGEnp_R3UVu1t3wSFPzgCyHXE/edit?gid=0#gid=0"",""GERAL!A2:C""),3,0),""-"")"),"-")</f>
        <v>-</v>
      </c>
    </row>
    <row r="55" ht="15.75" customHeight="1">
      <c r="A55" s="111" t="s">
        <v>130</v>
      </c>
      <c r="B55" s="83" t="s">
        <v>356</v>
      </c>
      <c r="C55" s="83" t="s">
        <v>68</v>
      </c>
      <c r="D55" s="112">
        <v>1178146.0</v>
      </c>
      <c r="E55" s="83"/>
      <c r="F55" s="83">
        <v>2.94454E7</v>
      </c>
      <c r="G55" s="147" t="s">
        <v>357</v>
      </c>
      <c r="H55" s="91" t="s">
        <v>358</v>
      </c>
      <c r="I55" s="83" t="s">
        <v>149</v>
      </c>
      <c r="J55" s="83" t="s">
        <v>150</v>
      </c>
      <c r="K55" s="83" t="s">
        <v>151</v>
      </c>
      <c r="L55" s="83" t="s">
        <v>76</v>
      </c>
      <c r="M55" s="194" t="str">
        <f>IFERROR(__xludf.DUMMYFUNCTION("IFERROR(VLOOKUP(D55,
IMPORTRANGE(""https://docs.google.com/spreadsheets/d/1MjHtlUikwobi2MaWJgy7tfLeBmhj1u-dRFRs_8GwSoA/edit#gid=0"",""Gestores Escolares!D7:J""),3,0),""VERIFICAR CÓD SEC"")"),"FABIANA PACHECO ARAUJO")</f>
        <v>FABIANA PACHECO ARAUJO</v>
      </c>
      <c r="N55" s="82" t="str">
        <f>IFERROR(__xludf.DUMMYFUNCTION("IFERROR(VLOOKUP(D55,
IMPORTRANGE(""https://docs.google.com/spreadsheets/d/1MjHtlUikwobi2MaWJgy7tfLeBmhj1u-dRFRs_8GwSoA/edit#gid=0"",""Gestores Escolares!D7:J""),4,0),""VERIFICAR CÓD SEC"")"),"(63) 9 9137-0469")</f>
        <v>(63) 9 9137-0469</v>
      </c>
      <c r="O55" s="82" t="str">
        <f>IFERROR(__xludf.DUMMYFUNCTION("IFERROR(VLOOKUP(D55,
IMPORTRANGE(""https://docs.google.com/spreadsheets/d/1MjHtlUikwobi2MaWJgy7tfLeBmhj1u-dRFRs_8GwSoA/edit#gid=0"",""Gestores Escolares!D7:J""),6,0),""VERIFICAR CÓD SEC"")"),"ADAIR SILVA MACHADO ")</f>
        <v>ADAIR SILVA MACHADO </v>
      </c>
      <c r="P55" s="82" t="str">
        <f>IFERROR(__xludf.DUMMYFUNCTION("IFERROR(VLOOKUP(D55,
IMPORTRANGE(""https://docs.google.com/spreadsheets/d/1MjHtlUikwobi2MaWJgy7tfLeBmhj1u-dRFRs_8GwSoA/edit#gid=0"",""Gestores Escolares!D7:J""),7,0),""VERIFICAR CÓD SEC"")"),"(75) 9 9228-6198")</f>
        <v>(75) 9 9228-6198</v>
      </c>
      <c r="Q55" s="82" t="str">
        <f>IFERROR(__xludf.DUMMYFUNCTION("IFERROR(VLOOKUP(D55,
IMPORTRANGE(""https://docs.google.com/spreadsheets/d/1MjHtlUikwobi2MaWJgy7tfLeBmhj1u-dRFRs_8GwSoA/edit#gid=0"",""Gestores Escolares!D7:m""),9,0),""VERIFICAR CÓD SEC"")"),"")</f>
        <v/>
      </c>
      <c r="R55" s="82" t="str">
        <f>IFERROR(__xludf.DUMMYFUNCTION("IFERROR(VLOOKUP(D55,
IMPORTRANGE(""https://docs.google.com/spreadsheets/d/1MjHtlUikwobi2MaWJgy7tfLeBmhj1u-dRFRs_8GwSoA/edit#gid=0"",""Gestores Escolares!D7:m""),10,0),""VERIFICAR CÓD SEC"")"),"")</f>
        <v/>
      </c>
      <c r="S55" s="82"/>
      <c r="T55" s="138">
        <v>8.0</v>
      </c>
      <c r="U55" s="145" t="s">
        <v>699</v>
      </c>
      <c r="V55" s="106">
        <v>0.0</v>
      </c>
      <c r="W55" s="107">
        <v>0.0</v>
      </c>
      <c r="X55" s="107">
        <v>0.0</v>
      </c>
      <c r="Y55" s="107">
        <v>0.0</v>
      </c>
      <c r="Z55" s="80">
        <f t="shared" si="1"/>
        <v>0</v>
      </c>
      <c r="AA55" s="106">
        <v>0.0</v>
      </c>
      <c r="AB55" s="107">
        <v>0.0</v>
      </c>
      <c r="AC55" s="107">
        <v>0.0</v>
      </c>
      <c r="AD55" s="107">
        <v>0.0</v>
      </c>
      <c r="AE55" s="80">
        <f t="shared" si="2"/>
        <v>0</v>
      </c>
      <c r="AF55" s="140">
        <v>173.0</v>
      </c>
      <c r="AG55" s="109">
        <v>177.0</v>
      </c>
      <c r="AH55" s="109">
        <v>0.0</v>
      </c>
      <c r="AI55" s="141">
        <v>0.0</v>
      </c>
      <c r="AJ55" s="80">
        <f t="shared" si="3"/>
        <v>350</v>
      </c>
      <c r="AK55" s="140">
        <v>0.0</v>
      </c>
      <c r="AL55" s="109">
        <v>0.0</v>
      </c>
      <c r="AM55" s="141">
        <v>0.0</v>
      </c>
      <c r="AN55" s="80">
        <f t="shared" si="4"/>
        <v>0</v>
      </c>
      <c r="AO55" s="140">
        <v>0.0</v>
      </c>
      <c r="AP55" s="109">
        <v>0.0</v>
      </c>
      <c r="AQ55" s="109">
        <v>93.0</v>
      </c>
      <c r="AR55" s="80">
        <f t="shared" si="5"/>
        <v>93</v>
      </c>
      <c r="AS55" s="110">
        <v>83.0</v>
      </c>
      <c r="AT55" s="110">
        <v>29.0</v>
      </c>
      <c r="AU55" s="110">
        <v>0.0</v>
      </c>
      <c r="AV55" s="142">
        <v>0.0</v>
      </c>
      <c r="AW55" s="80">
        <f t="shared" si="6"/>
        <v>112</v>
      </c>
      <c r="AX55" s="113">
        <f t="shared" si="7"/>
        <v>555</v>
      </c>
      <c r="AY55" s="117">
        <f t="shared" si="8"/>
        <v>462</v>
      </c>
      <c r="AZ55" s="120">
        <f t="shared" si="9"/>
        <v>93</v>
      </c>
      <c r="BA55" s="115">
        <v>0.0</v>
      </c>
      <c r="BB55" s="89">
        <f t="shared" si="10"/>
        <v>555</v>
      </c>
      <c r="BC55" s="132" t="s">
        <v>178</v>
      </c>
      <c r="BD55" s="132" t="s">
        <v>178</v>
      </c>
      <c r="BE55" s="132" t="s">
        <v>178</v>
      </c>
      <c r="BF55" s="123"/>
      <c r="BG55" s="83">
        <v>1178146.0</v>
      </c>
      <c r="BH55" s="98" t="s">
        <v>359</v>
      </c>
      <c r="BI55" s="112">
        <v>8.0</v>
      </c>
      <c r="BJ55" s="98" t="s">
        <v>155</v>
      </c>
      <c r="BK55" s="99">
        <f t="shared" si="11"/>
        <v>0</v>
      </c>
      <c r="BL55" s="99">
        <f t="shared" si="12"/>
        <v>462</v>
      </c>
      <c r="BM55" s="99" t="str">
        <f>IFERROR(__xludf.DUMMYFUNCTION("IFERROR(VLOOKUP(BG55,IMPORTRANGE(""https://docs.google.com/spreadsheets/d/1juPI-Fb8LD0YtltB2mlGEnp_R3UVu1t3wSFPzgCyHXE/edit?gid=0#gid=0"",""GERAL!A2:C""),3,0),""-"")"),"-")</f>
        <v>-</v>
      </c>
    </row>
    <row r="56" ht="15.75" customHeight="1">
      <c r="A56" s="111" t="s">
        <v>130</v>
      </c>
      <c r="B56" s="83" t="s">
        <v>356</v>
      </c>
      <c r="C56" s="83" t="s">
        <v>164</v>
      </c>
      <c r="D56" s="112">
        <v>1179281.0</v>
      </c>
      <c r="E56" s="83">
        <v>1178803.0</v>
      </c>
      <c r="F56" s="98">
        <v>2.9459141E7</v>
      </c>
      <c r="G56" s="114" t="s">
        <v>361</v>
      </c>
      <c r="H56" s="114" t="s">
        <v>362</v>
      </c>
      <c r="I56" s="136" t="s">
        <v>363</v>
      </c>
      <c r="J56" s="136" t="s">
        <v>187</v>
      </c>
      <c r="K56" s="136" t="s">
        <v>168</v>
      </c>
      <c r="L56" s="83" t="s">
        <v>169</v>
      </c>
      <c r="M56" s="82" t="str">
        <f>IFERROR(__xludf.DUMMYFUNCTION("IFERROR(VLOOKUP(D56,
IMPORTRANGE(""https://docs.google.com/spreadsheets/d/1MjHtlUikwobi2MaWJgy7tfLeBmhj1u-dRFRs_8GwSoA/edit#gid=0"",""Gestores Escolares!D7:J""),3,0),""VERIFICAR CÓD SEC"")"),"MARCOS PAULO DA SILVA ALMEIDA")</f>
        <v>MARCOS PAULO DA SILVA ALMEIDA</v>
      </c>
      <c r="N56" s="82" t="str">
        <f>IFERROR(__xludf.DUMMYFUNCTION("IFERROR(VLOOKUP(D56,
IMPORTRANGE(""https://docs.google.com/spreadsheets/d/1MjHtlUikwobi2MaWJgy7tfLeBmhj1u-dRFRs_8GwSoA/edit#gid=0"",""Gestores Escolares!D7:J""),4,0),""VERIFICAR CÓD SEC"")"),"(74) 9 9998-8112")</f>
        <v>(74) 9 9998-8112</v>
      </c>
      <c r="O56" s="82" t="str">
        <f>IFERROR(__xludf.DUMMYFUNCTION("IFERROR(VLOOKUP(D56,
IMPORTRANGE(""https://docs.google.com/spreadsheets/d/1MjHtlUikwobi2MaWJgy7tfLeBmhj1u-dRFRs_8GwSoA/edit#gid=0"",""Gestores Escolares!D7:J""),6,0),""VERIFICAR CÓD SEC"")"),"FERNANDA MIRANDA CAMPOS")</f>
        <v>FERNANDA MIRANDA CAMPOS</v>
      </c>
      <c r="P56" s="82" t="str">
        <f>IFERROR(__xludf.DUMMYFUNCTION("IFERROR(VLOOKUP(D56,
IMPORTRANGE(""https://docs.google.com/spreadsheets/d/1MjHtlUikwobi2MaWJgy7tfLeBmhj1u-dRFRs_8GwSoA/edit#gid=0"",""Gestores Escolares!D7:J""),7,0),""VERIFICAR CÓD SEC"")"),"(74) 9 9963-4717")</f>
        <v>(74) 9 9963-4717</v>
      </c>
      <c r="Q56" s="82" t="str">
        <f>IFERROR(__xludf.DUMMYFUNCTION("IFERROR(VLOOKUP(D56,
IMPORTRANGE(""https://docs.google.com/spreadsheets/d/1MjHtlUikwobi2MaWJgy7tfLeBmhj1u-dRFRs_8GwSoA/edit#gid=0"",""Gestores Escolares!D7:m""),9,0),""VERIFICAR CÓD SEC"")"),"")</f>
        <v/>
      </c>
      <c r="R56" s="82" t="str">
        <f>IFERROR(__xludf.DUMMYFUNCTION("IFERROR(VLOOKUP(D56,
IMPORTRANGE(""https://docs.google.com/spreadsheets/d/1MjHtlUikwobi2MaWJgy7tfLeBmhj1u-dRFRs_8GwSoA/edit#gid=0"",""Gestores Escolares!D7:m""),10,0),""VERIFICAR CÓD SEC"")"),"")</f>
        <v/>
      </c>
      <c r="S56" s="82"/>
      <c r="T56" s="138">
        <v>3.0</v>
      </c>
      <c r="U56" s="139">
        <v>3.0</v>
      </c>
      <c r="V56" s="106">
        <v>0.0</v>
      </c>
      <c r="W56" s="107">
        <v>0.0</v>
      </c>
      <c r="X56" s="107">
        <v>0.0</v>
      </c>
      <c r="Y56" s="107">
        <v>0.0</v>
      </c>
      <c r="Z56" s="80">
        <f t="shared" si="1"/>
        <v>0</v>
      </c>
      <c r="AA56" s="106">
        <v>0.0</v>
      </c>
      <c r="AB56" s="107">
        <v>0.0</v>
      </c>
      <c r="AC56" s="107">
        <v>0.0</v>
      </c>
      <c r="AD56" s="107">
        <v>0.0</v>
      </c>
      <c r="AE56" s="80">
        <f t="shared" si="2"/>
        <v>0</v>
      </c>
      <c r="AF56" s="140">
        <v>0.0</v>
      </c>
      <c r="AG56" s="109">
        <v>0.0</v>
      </c>
      <c r="AH56" s="109">
        <v>63.0</v>
      </c>
      <c r="AI56" s="141">
        <v>0.0</v>
      </c>
      <c r="AJ56" s="80">
        <f t="shared" si="3"/>
        <v>63</v>
      </c>
      <c r="AK56" s="140">
        <v>0.0</v>
      </c>
      <c r="AL56" s="109">
        <v>0.0</v>
      </c>
      <c r="AM56" s="141">
        <v>0.0</v>
      </c>
      <c r="AN56" s="80">
        <f t="shared" si="4"/>
        <v>0</v>
      </c>
      <c r="AO56" s="140">
        <v>0.0</v>
      </c>
      <c r="AP56" s="109">
        <v>0.0</v>
      </c>
      <c r="AQ56" s="109">
        <v>0.0</v>
      </c>
      <c r="AR56" s="80">
        <f t="shared" si="5"/>
        <v>0</v>
      </c>
      <c r="AS56" s="110">
        <v>0.0</v>
      </c>
      <c r="AT56" s="110">
        <v>0.0</v>
      </c>
      <c r="AU56" s="110">
        <v>0.0</v>
      </c>
      <c r="AV56" s="142">
        <v>0.0</v>
      </c>
      <c r="AW56" s="80">
        <f t="shared" si="6"/>
        <v>0</v>
      </c>
      <c r="AX56" s="113">
        <f t="shared" si="7"/>
        <v>63</v>
      </c>
      <c r="AY56" s="117">
        <f t="shared" si="8"/>
        <v>0</v>
      </c>
      <c r="AZ56" s="120">
        <f t="shared" si="9"/>
        <v>63</v>
      </c>
      <c r="BA56" s="115">
        <v>0.0</v>
      </c>
      <c r="BB56" s="89">
        <f t="shared" si="10"/>
        <v>63</v>
      </c>
      <c r="BC56" s="132" t="s">
        <v>178</v>
      </c>
      <c r="BD56" s="143" t="s">
        <v>227</v>
      </c>
      <c r="BE56" s="132" t="s">
        <v>64</v>
      </c>
      <c r="BF56" s="123"/>
      <c r="BG56" s="83">
        <v>1178803.0</v>
      </c>
      <c r="BH56" s="144"/>
      <c r="BI56" s="112">
        <v>3.0</v>
      </c>
      <c r="BJ56" s="98" t="s">
        <v>155</v>
      </c>
      <c r="BK56" s="99">
        <f t="shared" si="11"/>
        <v>0</v>
      </c>
      <c r="BL56" s="99">
        <f t="shared" si="12"/>
        <v>0</v>
      </c>
      <c r="BM56" s="99" t="str">
        <f>IFERROR(__xludf.DUMMYFUNCTION("IFERROR(VLOOKUP(BG56,IMPORTRANGE(""https://docs.google.com/spreadsheets/d/1juPI-Fb8LD0YtltB2mlGEnp_R3UVu1t3wSFPzgCyHXE/edit?gid=0#gid=0"",""GERAL!A2:C""),3,0),""-"")"),"-")</f>
        <v>-</v>
      </c>
    </row>
    <row r="57" ht="48.0" customHeight="1">
      <c r="A57" s="111" t="s">
        <v>130</v>
      </c>
      <c r="B57" s="83" t="s">
        <v>364</v>
      </c>
      <c r="C57" s="83" t="s">
        <v>68</v>
      </c>
      <c r="D57" s="112">
        <v>1127154.0</v>
      </c>
      <c r="E57" s="83"/>
      <c r="F57" s="83">
        <v>2.9066395E7</v>
      </c>
      <c r="G57" s="153" t="s">
        <v>366</v>
      </c>
      <c r="H57" s="160" t="s">
        <v>368</v>
      </c>
      <c r="I57" s="83" t="s">
        <v>149</v>
      </c>
      <c r="J57" s="83" t="s">
        <v>150</v>
      </c>
      <c r="K57" s="83" t="s">
        <v>151</v>
      </c>
      <c r="L57" s="83" t="s">
        <v>230</v>
      </c>
      <c r="M57" s="82" t="str">
        <f>IFERROR(__xludf.DUMMYFUNCTION("IFERROR(VLOOKUP(D57,
IMPORTRANGE(""https://docs.google.com/spreadsheets/d/1MjHtlUikwobi2MaWJgy7tfLeBmhj1u-dRFRs_8GwSoA/edit#gid=0"",""Gestores Escolares!D7:J""),3,0),""VERIFICAR CÓD SEC"")"),"INDIRA NEIVA SOUZA")</f>
        <v>INDIRA NEIVA SOUZA</v>
      </c>
      <c r="N57" s="82" t="str">
        <f>IFERROR(__xludf.DUMMYFUNCTION("IFERROR(VLOOKUP(D57,
IMPORTRANGE(""https://docs.google.com/spreadsheets/d/1MjHtlUikwobi2MaWJgy7tfLeBmhj1u-dRFRs_8GwSoA/edit#gid=0"",""Gestores Escolares!D7:J""),4,0),""VERIFICAR CÓD SEC"")"),"(74) 9 9998-1299")</f>
        <v>(74) 9 9998-1299</v>
      </c>
      <c r="O57" s="82" t="str">
        <f>IFERROR(__xludf.DUMMYFUNCTION("IFERROR(VLOOKUP(D57,
IMPORTRANGE(""https://docs.google.com/spreadsheets/d/1MjHtlUikwobi2MaWJgy7tfLeBmhj1u-dRFRs_8GwSoA/edit#gid=0"",""Gestores Escolares!D7:J""),6,0),""VERIFICAR CÓD SEC"")"),"NEUZETE GONÇALVES MACHADO")</f>
        <v>NEUZETE GONÇALVES MACHADO</v>
      </c>
      <c r="P57" s="82" t="str">
        <f>IFERROR(__xludf.DUMMYFUNCTION("IFERROR(VLOOKUP(D57,
IMPORTRANGE(""https://docs.google.com/spreadsheets/d/1MjHtlUikwobi2MaWJgy7tfLeBmhj1u-dRFRs_8GwSoA/edit#gid=0"",""Gestores Escolares!D7:J""),7,0),""VERIFICAR CÓD SEC"")"),"(74) 9 8822-4448")</f>
        <v>(74) 9 8822-4448</v>
      </c>
      <c r="Q57" s="82" t="str">
        <f>IFERROR(__xludf.DUMMYFUNCTION("IFERROR(VLOOKUP(D57,
IMPORTRANGE(""https://docs.google.com/spreadsheets/d/1MjHtlUikwobi2MaWJgy7tfLeBmhj1u-dRFRs_8GwSoA/edit#gid=0"",""Gestores Escolares!D7:m""),9,0),""VERIFICAR CÓD SEC"")"),"MAGALI CARVALHO DE SOUZA")</f>
        <v>MAGALI CARVALHO DE SOUZA</v>
      </c>
      <c r="R57" s="82" t="str">
        <f>IFERROR(__xludf.DUMMYFUNCTION("IFERROR(VLOOKUP(D57,
IMPORTRANGE(""https://docs.google.com/spreadsheets/d/1MjHtlUikwobi2MaWJgy7tfLeBmhj1u-dRFRs_8GwSoA/edit#gid=0"",""Gestores Escolares!D7:m""),10,0),""VERIFICAR CÓD SEC"")"),"(74) 9 8128-5683")</f>
        <v>(74) 9 8128-5683</v>
      </c>
      <c r="S57" s="82"/>
      <c r="T57" s="138">
        <v>8.0</v>
      </c>
      <c r="U57" s="139">
        <v>10.0</v>
      </c>
      <c r="V57" s="106">
        <v>0.0</v>
      </c>
      <c r="W57" s="107">
        <v>0.0</v>
      </c>
      <c r="X57" s="107">
        <v>0.0</v>
      </c>
      <c r="Y57" s="107">
        <v>0.0</v>
      </c>
      <c r="Z57" s="80">
        <f t="shared" si="1"/>
        <v>0</v>
      </c>
      <c r="AA57" s="106">
        <v>0.0</v>
      </c>
      <c r="AB57" s="107">
        <v>0.0</v>
      </c>
      <c r="AC57" s="107">
        <v>0.0</v>
      </c>
      <c r="AD57" s="107">
        <v>0.0</v>
      </c>
      <c r="AE57" s="80">
        <f t="shared" si="2"/>
        <v>0</v>
      </c>
      <c r="AF57" s="140">
        <v>0.0</v>
      </c>
      <c r="AG57" s="109">
        <v>0.0</v>
      </c>
      <c r="AH57" s="109">
        <v>0.0</v>
      </c>
      <c r="AI57" s="141">
        <v>316.0</v>
      </c>
      <c r="AJ57" s="80">
        <f t="shared" si="3"/>
        <v>316</v>
      </c>
      <c r="AK57" s="140">
        <v>0.0</v>
      </c>
      <c r="AL57" s="109">
        <v>0.0</v>
      </c>
      <c r="AM57" s="141">
        <v>0.0</v>
      </c>
      <c r="AN57" s="80">
        <f t="shared" si="4"/>
        <v>0</v>
      </c>
      <c r="AO57" s="140">
        <v>0.0</v>
      </c>
      <c r="AP57" s="109">
        <v>0.0</v>
      </c>
      <c r="AQ57" s="109">
        <v>78.0</v>
      </c>
      <c r="AR57" s="80">
        <f t="shared" si="5"/>
        <v>78</v>
      </c>
      <c r="AS57" s="110">
        <v>0.0</v>
      </c>
      <c r="AT57" s="110">
        <v>0.0</v>
      </c>
      <c r="AU57" s="110">
        <v>33.0</v>
      </c>
      <c r="AV57" s="142">
        <v>62.0</v>
      </c>
      <c r="AW57" s="80">
        <f t="shared" si="6"/>
        <v>95</v>
      </c>
      <c r="AX57" s="113">
        <f t="shared" si="7"/>
        <v>489</v>
      </c>
      <c r="AY57" s="117">
        <f t="shared" si="8"/>
        <v>378</v>
      </c>
      <c r="AZ57" s="120">
        <f t="shared" si="9"/>
        <v>111</v>
      </c>
      <c r="BA57" s="115">
        <v>0.0</v>
      </c>
      <c r="BB57" s="89">
        <f t="shared" si="10"/>
        <v>489</v>
      </c>
      <c r="BC57" s="132" t="s">
        <v>178</v>
      </c>
      <c r="BD57" s="132" t="s">
        <v>178</v>
      </c>
      <c r="BE57" s="132" t="s">
        <v>178</v>
      </c>
      <c r="BF57" s="123"/>
      <c r="BG57" s="83">
        <v>1127154.0</v>
      </c>
      <c r="BH57" s="98" t="s">
        <v>369</v>
      </c>
      <c r="BI57" s="112">
        <v>10.0</v>
      </c>
      <c r="BJ57" s="98" t="s">
        <v>162</v>
      </c>
      <c r="BK57" s="99">
        <f t="shared" si="11"/>
        <v>378</v>
      </c>
      <c r="BL57" s="99">
        <f t="shared" si="12"/>
        <v>0</v>
      </c>
      <c r="BM57" s="99" t="str">
        <f>IFERROR(__xludf.DUMMYFUNCTION("IFERROR(VLOOKUP(BG57,IMPORTRANGE(""https://docs.google.com/spreadsheets/d/1juPI-Fb8LD0YtltB2mlGEnp_R3UVu1t3wSFPzgCyHXE/edit?gid=0#gid=0"",""GERAL!A2:C""),3,0),""-"")"),"-")</f>
        <v>-</v>
      </c>
    </row>
    <row r="58" ht="31.5" customHeight="1">
      <c r="A58" s="111" t="s">
        <v>130</v>
      </c>
      <c r="B58" s="83" t="s">
        <v>375</v>
      </c>
      <c r="C58" s="83" t="s">
        <v>68</v>
      </c>
      <c r="D58" s="112">
        <v>1162618.0</v>
      </c>
      <c r="E58" s="83"/>
      <c r="F58" s="83">
        <v>2.9067332E7</v>
      </c>
      <c r="G58" s="147" t="s">
        <v>378</v>
      </c>
      <c r="H58" s="91" t="s">
        <v>379</v>
      </c>
      <c r="I58" s="83" t="s">
        <v>149</v>
      </c>
      <c r="J58" s="83" t="s">
        <v>150</v>
      </c>
      <c r="K58" s="83" t="s">
        <v>151</v>
      </c>
      <c r="L58" s="98" t="s">
        <v>152</v>
      </c>
      <c r="M58" s="82" t="str">
        <f>IFERROR(__xludf.DUMMYFUNCTION("IFERROR(VLOOKUP(D58,
IMPORTRANGE(""https://docs.google.com/spreadsheets/d/1MjHtlUikwobi2MaWJgy7tfLeBmhj1u-dRFRs_8GwSoA/edit#gid=0"",""Gestores Escolares!D7:J""),3,0),""VERIFICAR CÓD SEC"")"),"CECILIA MACHADO DE OLIVEIRA")</f>
        <v>CECILIA MACHADO DE OLIVEIRA</v>
      </c>
      <c r="N58" s="82" t="str">
        <f>IFERROR(__xludf.DUMMYFUNCTION("IFERROR(VLOOKUP(D58,
IMPORTRANGE(""https://docs.google.com/spreadsheets/d/1MjHtlUikwobi2MaWJgy7tfLeBmhj1u-dRFRs_8GwSoA/edit#gid=0"",""Gestores Escolares!D7:J""),4,0),""VERIFICAR CÓD SEC"")"),"(74) 9 9937-8438")</f>
        <v>(74) 9 9937-8438</v>
      </c>
      <c r="O58" s="82" t="str">
        <f>IFERROR(__xludf.DUMMYFUNCTION("IFERROR(VLOOKUP(D58,
IMPORTRANGE(""https://docs.google.com/spreadsheets/d/1MjHtlUikwobi2MaWJgy7tfLeBmhj1u-dRFRs_8GwSoA/edit#gid=0"",""Gestores Escolares!D7:J""),6,0),""VERIFICAR CÓD SEC"")"),"CARLOS AUGUSTO DOURADO MOITINHO")</f>
        <v>CARLOS AUGUSTO DOURADO MOITINHO</v>
      </c>
      <c r="P58" s="82" t="str">
        <f>IFERROR(__xludf.DUMMYFUNCTION("IFERROR(VLOOKUP(D58,
IMPORTRANGE(""https://docs.google.com/spreadsheets/d/1MjHtlUikwobi2MaWJgy7tfLeBmhj1u-dRFRs_8GwSoA/edit#gid=0"",""Gestores Escolares!D7:J""),7,0),""VERIFICAR CÓD SEC"")"),"(74) 9 9927-1323")</f>
        <v>(74) 9 9927-1323</v>
      </c>
      <c r="Q58" s="82" t="str">
        <f>IFERROR(__xludf.DUMMYFUNCTION("IFERROR(VLOOKUP(D58,
IMPORTRANGE(""https://docs.google.com/spreadsheets/d/1MjHtlUikwobi2MaWJgy7tfLeBmhj1u-dRFRs_8GwSoA/edit#gid=0"",""Gestores Escolares!D7:m""),9,0),""VERIFICAR CÓD SEC"")"),"MARILVA BATISTA CAVALCANTE")</f>
        <v>MARILVA BATISTA CAVALCANTE</v>
      </c>
      <c r="R58" s="82" t="str">
        <f>IFERROR(__xludf.DUMMYFUNCTION("IFERROR(VLOOKUP(D58,
IMPORTRANGE(""https://docs.google.com/spreadsheets/d/1MjHtlUikwobi2MaWJgy7tfLeBmhj1u-dRFRs_8GwSoA/edit#gid=0"",""Gestores Escolares!D7:m""),10,0),""VERIFICAR CÓD SEC"")"),"(74) 9 9934-9647")</f>
        <v>(74) 9 9934-9647</v>
      </c>
      <c r="S58" s="82"/>
      <c r="T58" s="138">
        <v>9.0</v>
      </c>
      <c r="U58" s="148" t="s">
        <v>724</v>
      </c>
      <c r="V58" s="106">
        <v>0.0</v>
      </c>
      <c r="W58" s="107">
        <v>0.0</v>
      </c>
      <c r="X58" s="107">
        <v>0.0</v>
      </c>
      <c r="Y58" s="107">
        <v>0.0</v>
      </c>
      <c r="Z58" s="80">
        <f t="shared" si="1"/>
        <v>0</v>
      </c>
      <c r="AA58" s="106">
        <v>0.0</v>
      </c>
      <c r="AB58" s="107">
        <v>0.0</v>
      </c>
      <c r="AC58" s="107">
        <v>0.0</v>
      </c>
      <c r="AD58" s="107">
        <v>0.0</v>
      </c>
      <c r="AE58" s="80">
        <f t="shared" si="2"/>
        <v>0</v>
      </c>
      <c r="AF58" s="140">
        <v>0.0</v>
      </c>
      <c r="AG58" s="109">
        <v>0.0</v>
      </c>
      <c r="AH58" s="109">
        <v>0.0</v>
      </c>
      <c r="AI58" s="141">
        <v>157.0</v>
      </c>
      <c r="AJ58" s="80">
        <f t="shared" si="3"/>
        <v>157</v>
      </c>
      <c r="AK58" s="140">
        <v>0.0</v>
      </c>
      <c r="AL58" s="109">
        <v>0.0</v>
      </c>
      <c r="AM58" s="141">
        <v>0.0</v>
      </c>
      <c r="AN58" s="80">
        <f t="shared" si="4"/>
        <v>0</v>
      </c>
      <c r="AO58" s="140">
        <v>0.0</v>
      </c>
      <c r="AP58" s="109">
        <v>0.0</v>
      </c>
      <c r="AQ58" s="109">
        <v>85.0</v>
      </c>
      <c r="AR58" s="80">
        <f t="shared" si="5"/>
        <v>85</v>
      </c>
      <c r="AS58" s="110">
        <v>0.0</v>
      </c>
      <c r="AT58" s="110">
        <v>0.0</v>
      </c>
      <c r="AU58" s="110">
        <v>74.0</v>
      </c>
      <c r="AV58" s="142">
        <v>122.0</v>
      </c>
      <c r="AW58" s="80">
        <f t="shared" si="6"/>
        <v>196</v>
      </c>
      <c r="AX58" s="113">
        <f t="shared" si="7"/>
        <v>438</v>
      </c>
      <c r="AY58" s="117">
        <f t="shared" si="8"/>
        <v>279</v>
      </c>
      <c r="AZ58" s="120">
        <f t="shared" si="9"/>
        <v>159</v>
      </c>
      <c r="BA58" s="115">
        <v>0.0</v>
      </c>
      <c r="BB58" s="89">
        <f t="shared" si="10"/>
        <v>438</v>
      </c>
      <c r="BC58" s="132" t="s">
        <v>178</v>
      </c>
      <c r="BD58" s="132" t="s">
        <v>178</v>
      </c>
      <c r="BE58" s="132" t="s">
        <v>178</v>
      </c>
      <c r="BF58" s="156"/>
      <c r="BG58" s="83">
        <v>1162618.0</v>
      </c>
      <c r="BH58" s="98" t="s">
        <v>381</v>
      </c>
      <c r="BI58" s="112">
        <v>6.0</v>
      </c>
      <c r="BJ58" s="98" t="s">
        <v>176</v>
      </c>
      <c r="BK58" s="99">
        <f t="shared" si="11"/>
        <v>279</v>
      </c>
      <c r="BL58" s="99">
        <f t="shared" si="12"/>
        <v>0</v>
      </c>
      <c r="BM58" s="99" t="str">
        <f>IFERROR(__xludf.DUMMYFUNCTION("IFERROR(VLOOKUP(BG58,IMPORTRANGE(""https://docs.google.com/spreadsheets/d/1juPI-Fb8LD0YtltB2mlGEnp_R3UVu1t3wSFPzgCyHXE/edit?gid=0#gid=0"",""GERAL!A2:C""),3,0),""-"")"),"-")</f>
        <v>-</v>
      </c>
    </row>
    <row r="59" ht="15.75" customHeight="1">
      <c r="A59" s="111" t="s">
        <v>130</v>
      </c>
      <c r="B59" s="83" t="s">
        <v>375</v>
      </c>
      <c r="C59" s="83" t="s">
        <v>68</v>
      </c>
      <c r="D59" s="112">
        <v>1179655.0</v>
      </c>
      <c r="E59" s="83"/>
      <c r="F59" s="83">
        <v>2.9473365E7</v>
      </c>
      <c r="G59" s="114" t="s">
        <v>391</v>
      </c>
      <c r="H59" s="91" t="s">
        <v>392</v>
      </c>
      <c r="I59" s="83" t="s">
        <v>149</v>
      </c>
      <c r="J59" s="83" t="s">
        <v>222</v>
      </c>
      <c r="K59" s="83" t="s">
        <v>151</v>
      </c>
      <c r="L59" s="83" t="s">
        <v>169</v>
      </c>
      <c r="M59" s="82" t="str">
        <f>IFERROR(__xludf.DUMMYFUNCTION("IFERROR(VLOOKUP(D59,
IMPORTRANGE(""https://docs.google.com/spreadsheets/d/1MjHtlUikwobi2MaWJgy7tfLeBmhj1u-dRFRs_8GwSoA/edit#gid=0"",""Gestores Escolares!D7:J""),3,0),""VERIFICAR CÓD SEC"")"),"HUGO MACHADO HONORATO SOUSA")</f>
        <v>HUGO MACHADO HONORATO SOUSA</v>
      </c>
      <c r="N59" s="82" t="str">
        <f>IFERROR(__xludf.DUMMYFUNCTION("IFERROR(VLOOKUP(D59,
IMPORTRANGE(""https://docs.google.com/spreadsheets/d/1MjHtlUikwobi2MaWJgy7tfLeBmhj1u-dRFRs_8GwSoA/edit#gid=0"",""Gestores Escolares!D7:J""),4,0),""VERIFICAR CÓD SEC"")"),"(74) 9 8130-7150")</f>
        <v>(74) 9 8130-7150</v>
      </c>
      <c r="O59" s="82" t="str">
        <f>IFERROR(__xludf.DUMMYFUNCTION("IFERROR(VLOOKUP(D59,
IMPORTRANGE(""https://docs.google.com/spreadsheets/d/1MjHtlUikwobi2MaWJgy7tfLeBmhj1u-dRFRs_8GwSoA/edit#gid=0"",""Gestores Escolares!D7:J""),6,0),""VERIFICAR CÓD SEC"")"),"")</f>
        <v/>
      </c>
      <c r="P59" s="82" t="str">
        <f>IFERROR(__xludf.DUMMYFUNCTION("IFERROR(VLOOKUP(D59,
IMPORTRANGE(""https://docs.google.com/spreadsheets/d/1MjHtlUikwobi2MaWJgy7tfLeBmhj1u-dRFRs_8GwSoA/edit#gid=0"",""Gestores Escolares!D7:J""),7,0),""VERIFICAR CÓD SEC"")"),"")</f>
        <v/>
      </c>
      <c r="Q59" s="82" t="str">
        <f>IFERROR(__xludf.DUMMYFUNCTION("IFERROR(VLOOKUP(D59,
IMPORTRANGE(""https://docs.google.com/spreadsheets/d/1MjHtlUikwobi2MaWJgy7tfLeBmhj1u-dRFRs_8GwSoA/edit#gid=0"",""Gestores Escolares!D7:m""),9,0),""VERIFICAR CÓD SEC"")"),"")</f>
        <v/>
      </c>
      <c r="R59" s="82" t="str">
        <f>IFERROR(__xludf.DUMMYFUNCTION("IFERROR(VLOOKUP(D59,
IMPORTRANGE(""https://docs.google.com/spreadsheets/d/1MjHtlUikwobi2MaWJgy7tfLeBmhj1u-dRFRs_8GwSoA/edit#gid=0"",""Gestores Escolares!D7:m""),10,0),""VERIFICAR CÓD SEC"")"),"")</f>
        <v/>
      </c>
      <c r="S59" s="82"/>
      <c r="T59" s="138">
        <v>4.0</v>
      </c>
      <c r="U59" s="139">
        <v>4.0</v>
      </c>
      <c r="V59" s="106">
        <v>0.0</v>
      </c>
      <c r="W59" s="107">
        <v>0.0</v>
      </c>
      <c r="X59" s="107">
        <v>0.0</v>
      </c>
      <c r="Y59" s="107">
        <v>0.0</v>
      </c>
      <c r="Z59" s="80">
        <f t="shared" si="1"/>
        <v>0</v>
      </c>
      <c r="AA59" s="106">
        <v>0.0</v>
      </c>
      <c r="AB59" s="107">
        <v>0.0</v>
      </c>
      <c r="AC59" s="107">
        <v>0.0</v>
      </c>
      <c r="AD59" s="107">
        <v>0.0</v>
      </c>
      <c r="AE59" s="80">
        <f t="shared" si="2"/>
        <v>0</v>
      </c>
      <c r="AF59" s="140">
        <v>125.0</v>
      </c>
      <c r="AG59" s="109">
        <v>110.0</v>
      </c>
      <c r="AH59" s="109">
        <v>0.0</v>
      </c>
      <c r="AI59" s="141">
        <v>0.0</v>
      </c>
      <c r="AJ59" s="80">
        <f t="shared" si="3"/>
        <v>235</v>
      </c>
      <c r="AK59" s="140">
        <v>0.0</v>
      </c>
      <c r="AL59" s="109">
        <v>0.0</v>
      </c>
      <c r="AM59" s="141">
        <v>0.0</v>
      </c>
      <c r="AN59" s="80">
        <f t="shared" si="4"/>
        <v>0</v>
      </c>
      <c r="AO59" s="140">
        <v>0.0</v>
      </c>
      <c r="AP59" s="109">
        <v>0.0</v>
      </c>
      <c r="AQ59" s="109">
        <v>40.0</v>
      </c>
      <c r="AR59" s="80">
        <f t="shared" si="5"/>
        <v>40</v>
      </c>
      <c r="AS59" s="110">
        <v>0.0</v>
      </c>
      <c r="AT59" s="110">
        <v>0.0</v>
      </c>
      <c r="AU59" s="110">
        <v>0.0</v>
      </c>
      <c r="AV59" s="142">
        <v>0.0</v>
      </c>
      <c r="AW59" s="80">
        <f t="shared" si="6"/>
        <v>0</v>
      </c>
      <c r="AX59" s="113">
        <f t="shared" si="7"/>
        <v>275</v>
      </c>
      <c r="AY59" s="117">
        <f t="shared" si="8"/>
        <v>235</v>
      </c>
      <c r="AZ59" s="120">
        <f t="shared" si="9"/>
        <v>40</v>
      </c>
      <c r="BA59" s="115">
        <v>0.0</v>
      </c>
      <c r="BB59" s="89">
        <f t="shared" si="10"/>
        <v>275</v>
      </c>
      <c r="BC59" s="132" t="s">
        <v>373</v>
      </c>
      <c r="BD59" s="132" t="s">
        <v>178</v>
      </c>
      <c r="BE59" s="132" t="s">
        <v>178</v>
      </c>
      <c r="BF59" s="156"/>
      <c r="BG59" s="83">
        <v>1179655.0</v>
      </c>
      <c r="BH59" s="98" t="s">
        <v>394</v>
      </c>
      <c r="BI59" s="112">
        <v>4.0</v>
      </c>
      <c r="BJ59" s="98" t="s">
        <v>155</v>
      </c>
      <c r="BK59" s="99">
        <f t="shared" si="11"/>
        <v>0</v>
      </c>
      <c r="BL59" s="99">
        <f t="shared" si="12"/>
        <v>235</v>
      </c>
      <c r="BM59" s="99" t="str">
        <f>IFERROR(__xludf.DUMMYFUNCTION("IFERROR(VLOOKUP(BG59,IMPORTRANGE(""https://docs.google.com/spreadsheets/d/1juPI-Fb8LD0YtltB2mlGEnp_R3UVu1t3wSFPzgCyHXE/edit?gid=0#gid=0"",""GERAL!A2:C""),3,0),""-"")"),"CAMPO")</f>
        <v>CAMPO</v>
      </c>
    </row>
    <row r="60" ht="15.75" customHeight="1">
      <c r="A60" s="167" t="s">
        <v>130</v>
      </c>
      <c r="B60" s="136" t="s">
        <v>412</v>
      </c>
      <c r="C60" s="136" t="s">
        <v>68</v>
      </c>
      <c r="D60" s="195">
        <v>1178038.0</v>
      </c>
      <c r="E60" s="136"/>
      <c r="F60" s="136">
        <v>2.9425328E7</v>
      </c>
      <c r="G60" s="187" t="s">
        <v>413</v>
      </c>
      <c r="H60" s="160" t="s">
        <v>414</v>
      </c>
      <c r="I60" s="136" t="s">
        <v>149</v>
      </c>
      <c r="J60" s="136" t="s">
        <v>150</v>
      </c>
      <c r="K60" s="136" t="s">
        <v>151</v>
      </c>
      <c r="L60" s="98" t="s">
        <v>152</v>
      </c>
      <c r="M60" s="196" t="str">
        <f>IFERROR(__xludf.DUMMYFUNCTION("IFERROR(VLOOKUP(D60,
IMPORTRANGE(""https://docs.google.com/spreadsheets/d/1MjHtlUikwobi2MaWJgy7tfLeBmhj1u-dRFRs_8GwSoA/edit#gid=0"",""Gestores Escolares!D7:J""),3,0),""VERIFICAR CÓD SEC"")"),"NATÉRCIA SILVA MATOS")</f>
        <v>NATÉRCIA SILVA MATOS</v>
      </c>
      <c r="N60" s="196" t="str">
        <f>IFERROR(__xludf.DUMMYFUNCTION("IFERROR(VLOOKUP(D60,
IMPORTRANGE(""https://docs.google.com/spreadsheets/d/1MjHtlUikwobi2MaWJgy7tfLeBmhj1u-dRFRs_8GwSoA/edit#gid=0"",""Gestores Escolares!D7:J""),4,0),""VERIFICAR CÓD SEC"")"),"(74) 9 9909-8948")</f>
        <v>(74) 9 9909-8948</v>
      </c>
      <c r="O60" s="82" t="str">
        <f>IFERROR(__xludf.DUMMYFUNCTION("IFERROR(VLOOKUP(D60,
IMPORTRANGE(""https://docs.google.com/spreadsheets/d/1MjHtlUikwobi2MaWJgy7tfLeBmhj1u-dRFRs_8GwSoA/edit#gid=0"",""Gestores Escolares!D7:J""),6,0),""VERIFICAR CÓD SEC"")"),"JARIETE MACHADO")</f>
        <v>JARIETE MACHADO</v>
      </c>
      <c r="P60" s="82" t="str">
        <f>IFERROR(__xludf.DUMMYFUNCTION("IFERROR(VLOOKUP(D60,
IMPORTRANGE(""https://docs.google.com/spreadsheets/d/1MjHtlUikwobi2MaWJgy7tfLeBmhj1u-dRFRs_8GwSoA/edit#gid=0"",""Gestores Escolares!D7:J""),7,0),""VERIFICAR CÓD SEC"")"),"(74) 9 8808-0273")</f>
        <v>(74) 9 8808-0273</v>
      </c>
      <c r="Q60" s="82" t="str">
        <f>IFERROR(__xludf.DUMMYFUNCTION("IFERROR(VLOOKUP(D60,
IMPORTRANGE(""https://docs.google.com/spreadsheets/d/1MjHtlUikwobi2MaWJgy7tfLeBmhj1u-dRFRs_8GwSoA/edit#gid=0"",""Gestores Escolares!D7:m""),9,0),""VERIFICAR CÓD SEC"")"),"VALDINEA MENDES LEVI")</f>
        <v>VALDINEA MENDES LEVI</v>
      </c>
      <c r="R60" s="82" t="str">
        <f>IFERROR(__xludf.DUMMYFUNCTION("IFERROR(VLOOKUP(D60,
IMPORTRANGE(""https://docs.google.com/spreadsheets/d/1MjHtlUikwobi2MaWJgy7tfLeBmhj1u-dRFRs_8GwSoA/edit#gid=0"",""Gestores Escolares!D7:m""),10,0),""VERIFICAR CÓD SEC"")"),"(74) 9 8828-6024")</f>
        <v>(74) 9 8828-6024</v>
      </c>
      <c r="S60" s="196"/>
      <c r="T60" s="197">
        <v>12.0</v>
      </c>
      <c r="U60" s="145" t="s">
        <v>752</v>
      </c>
      <c r="V60" s="198">
        <v>0.0</v>
      </c>
      <c r="W60" s="199">
        <v>0.0</v>
      </c>
      <c r="X60" s="199">
        <v>0.0</v>
      </c>
      <c r="Y60" s="199">
        <v>0.0</v>
      </c>
      <c r="Z60" s="80">
        <f t="shared" si="1"/>
        <v>0</v>
      </c>
      <c r="AA60" s="198">
        <v>0.0</v>
      </c>
      <c r="AB60" s="199">
        <v>0.0</v>
      </c>
      <c r="AC60" s="199">
        <v>0.0</v>
      </c>
      <c r="AD60" s="199">
        <v>0.0</v>
      </c>
      <c r="AE60" s="80">
        <f t="shared" si="2"/>
        <v>0</v>
      </c>
      <c r="AF60" s="200">
        <v>0.0</v>
      </c>
      <c r="AG60" s="201">
        <v>39.0</v>
      </c>
      <c r="AH60" s="201">
        <v>0.0</v>
      </c>
      <c r="AI60" s="202">
        <v>284.0</v>
      </c>
      <c r="AJ60" s="80">
        <f t="shared" si="3"/>
        <v>323</v>
      </c>
      <c r="AK60" s="200">
        <v>0.0</v>
      </c>
      <c r="AL60" s="201">
        <v>0.0</v>
      </c>
      <c r="AM60" s="202">
        <v>0.0</v>
      </c>
      <c r="AN60" s="80">
        <f t="shared" si="4"/>
        <v>0</v>
      </c>
      <c r="AO60" s="200">
        <v>0.0</v>
      </c>
      <c r="AP60" s="201">
        <v>0.0</v>
      </c>
      <c r="AQ60" s="201">
        <v>38.0</v>
      </c>
      <c r="AR60" s="80">
        <f t="shared" si="5"/>
        <v>38</v>
      </c>
      <c r="AS60" s="201">
        <v>0.0</v>
      </c>
      <c r="AT60" s="201">
        <v>0.0</v>
      </c>
      <c r="AU60" s="201">
        <v>18.0</v>
      </c>
      <c r="AV60" s="203">
        <v>59.0</v>
      </c>
      <c r="AW60" s="80">
        <f t="shared" si="6"/>
        <v>77</v>
      </c>
      <c r="AX60" s="113">
        <f t="shared" si="7"/>
        <v>438</v>
      </c>
      <c r="AY60" s="117">
        <f t="shared" si="8"/>
        <v>382</v>
      </c>
      <c r="AZ60" s="120">
        <f t="shared" si="9"/>
        <v>56</v>
      </c>
      <c r="BA60" s="115">
        <v>0.0</v>
      </c>
      <c r="BB60" s="204">
        <f t="shared" si="10"/>
        <v>438</v>
      </c>
      <c r="BC60" s="205" t="s">
        <v>178</v>
      </c>
      <c r="BD60" s="205" t="s">
        <v>178</v>
      </c>
      <c r="BE60" s="205" t="s">
        <v>178</v>
      </c>
      <c r="BF60" s="206"/>
      <c r="BG60" s="136">
        <v>1178038.0</v>
      </c>
      <c r="BH60" s="115" t="s">
        <v>415</v>
      </c>
      <c r="BI60" s="115">
        <v>14.0</v>
      </c>
      <c r="BJ60" s="115" t="s">
        <v>176</v>
      </c>
      <c r="BK60" s="168">
        <f t="shared" si="11"/>
        <v>343</v>
      </c>
      <c r="BL60" s="99">
        <f t="shared" si="12"/>
        <v>39</v>
      </c>
      <c r="BM60" s="168" t="str">
        <f>IFERROR(__xludf.DUMMYFUNCTION("IFERROR(VLOOKUP(BG60,IMPORTRANGE(""https://docs.google.com/spreadsheets/d/1juPI-Fb8LD0YtltB2mlGEnp_R3UVu1t3wSFPzgCyHXE/edit?gid=0#gid=0"",""GERAL!A2:C""),3,0),""-"")"),"-")</f>
        <v>-</v>
      </c>
    </row>
    <row r="61" ht="15.75" customHeight="1">
      <c r="A61" s="111" t="s">
        <v>130</v>
      </c>
      <c r="B61" s="83" t="s">
        <v>417</v>
      </c>
      <c r="C61" s="83" t="s">
        <v>68</v>
      </c>
      <c r="D61" s="112">
        <v>1176432.0</v>
      </c>
      <c r="E61" s="83"/>
      <c r="F61" s="83">
        <v>2.9395321E7</v>
      </c>
      <c r="G61" s="114" t="s">
        <v>418</v>
      </c>
      <c r="H61" s="91" t="s">
        <v>419</v>
      </c>
      <c r="I61" s="83" t="s">
        <v>149</v>
      </c>
      <c r="J61" s="83" t="s">
        <v>150</v>
      </c>
      <c r="K61" s="83" t="s">
        <v>151</v>
      </c>
      <c r="L61" s="83" t="s">
        <v>230</v>
      </c>
      <c r="M61" s="82" t="str">
        <f>IFERROR(__xludf.DUMMYFUNCTION("IFERROR(VLOOKUP(D61,
IMPORTRANGE(""https://docs.google.com/spreadsheets/d/1MjHtlUikwobi2MaWJgy7tfLeBmhj1u-dRFRs_8GwSoA/edit#gid=0"",""Gestores Escolares!D7:J""),3,0),""VERIFICAR CÓD SEC"")"),"EDINALVA DA CONCEICAO OLIVEIRA")</f>
        <v>EDINALVA DA CONCEICAO OLIVEIRA</v>
      </c>
      <c r="N61" s="82" t="str">
        <f>IFERROR(__xludf.DUMMYFUNCTION("IFERROR(VLOOKUP(D61,
IMPORTRANGE(""https://docs.google.com/spreadsheets/d/1MjHtlUikwobi2MaWJgy7tfLeBmhj1u-dRFRs_8GwSoA/edit#gid=0"",""Gestores Escolares!D7:J""),4,0),""VERIFICAR CÓD SEC"")"),"(74) 9 9818-2525")</f>
        <v>(74) 9 9818-2525</v>
      </c>
      <c r="O61" s="82" t="str">
        <f>IFERROR(__xludf.DUMMYFUNCTION("IFERROR(VLOOKUP(D61,
IMPORTRANGE(""https://docs.google.com/spreadsheets/d/1MjHtlUikwobi2MaWJgy7tfLeBmhj1u-dRFRs_8GwSoA/edit#gid=0"",""Gestores Escolares!D7:J""),6,0),""VERIFICAR CÓD SEC"")"),"JOSEILTON RIBEIRO DO BONFIM")</f>
        <v>JOSEILTON RIBEIRO DO BONFIM</v>
      </c>
      <c r="P61" s="82" t="str">
        <f>IFERROR(__xludf.DUMMYFUNCTION("IFERROR(VLOOKUP(D61,
IMPORTRANGE(""https://docs.google.com/spreadsheets/d/1MjHtlUikwobi2MaWJgy7tfLeBmhj1u-dRFRs_8GwSoA/edit#gid=0"",""Gestores Escolares!D7:J""),7,0),""VERIFICAR CÓD SEC"")"),"(74) 9 9959-3152/
(71) 9 9185-8027")</f>
        <v>(74) 9 9959-3152/
(71) 9 9185-8027</v>
      </c>
      <c r="Q61" s="82" t="str">
        <f>IFERROR(__xludf.DUMMYFUNCTION("IFERROR(VLOOKUP(D61,
IMPORTRANGE(""https://docs.google.com/spreadsheets/d/1MjHtlUikwobi2MaWJgy7tfLeBmhj1u-dRFRs_8GwSoA/edit#gid=0"",""Gestores Escolares!D7:m""),9,0),""VERIFICAR CÓD SEC"")"),"")</f>
        <v/>
      </c>
      <c r="R61" s="82" t="str">
        <f>IFERROR(__xludf.DUMMYFUNCTION("IFERROR(VLOOKUP(D61,
IMPORTRANGE(""https://docs.google.com/spreadsheets/d/1MjHtlUikwobi2MaWJgy7tfLeBmhj1u-dRFRs_8GwSoA/edit#gid=0"",""Gestores Escolares!D7:m""),10,0),""VERIFICAR CÓD SEC"")"),"")</f>
        <v/>
      </c>
      <c r="S61" s="82"/>
      <c r="T61" s="138">
        <v>12.0</v>
      </c>
      <c r="U61" s="139">
        <v>12.0</v>
      </c>
      <c r="V61" s="106">
        <v>0.0</v>
      </c>
      <c r="W61" s="107">
        <v>0.0</v>
      </c>
      <c r="X61" s="107">
        <v>0.0</v>
      </c>
      <c r="Y61" s="107">
        <v>0.0</v>
      </c>
      <c r="Z61" s="80">
        <f t="shared" si="1"/>
        <v>0</v>
      </c>
      <c r="AA61" s="106">
        <v>0.0</v>
      </c>
      <c r="AB61" s="107">
        <v>0.0</v>
      </c>
      <c r="AC61" s="107">
        <v>0.0</v>
      </c>
      <c r="AD61" s="107">
        <v>0.0</v>
      </c>
      <c r="AE61" s="80">
        <f t="shared" si="2"/>
        <v>0</v>
      </c>
      <c r="AF61" s="140">
        <v>288.0</v>
      </c>
      <c r="AG61" s="109">
        <v>213.0</v>
      </c>
      <c r="AH61" s="109">
        <v>0.0</v>
      </c>
      <c r="AI61" s="141">
        <v>11.0</v>
      </c>
      <c r="AJ61" s="80">
        <f t="shared" si="3"/>
        <v>512</v>
      </c>
      <c r="AK61" s="140">
        <v>0.0</v>
      </c>
      <c r="AL61" s="109">
        <v>0.0</v>
      </c>
      <c r="AM61" s="141">
        <v>0.0</v>
      </c>
      <c r="AN61" s="80">
        <f t="shared" si="4"/>
        <v>0</v>
      </c>
      <c r="AO61" s="140">
        <v>0.0</v>
      </c>
      <c r="AP61" s="109">
        <v>0.0</v>
      </c>
      <c r="AQ61" s="109">
        <v>174.0</v>
      </c>
      <c r="AR61" s="80">
        <f t="shared" si="5"/>
        <v>174</v>
      </c>
      <c r="AS61" s="110">
        <v>0.0</v>
      </c>
      <c r="AT61" s="110">
        <v>0.0</v>
      </c>
      <c r="AU61" s="110">
        <v>0.0</v>
      </c>
      <c r="AV61" s="142">
        <v>0.0</v>
      </c>
      <c r="AW61" s="80">
        <f t="shared" si="6"/>
        <v>0</v>
      </c>
      <c r="AX61" s="113">
        <f t="shared" si="7"/>
        <v>686</v>
      </c>
      <c r="AY61" s="117">
        <f t="shared" si="8"/>
        <v>512</v>
      </c>
      <c r="AZ61" s="120">
        <f t="shared" si="9"/>
        <v>174</v>
      </c>
      <c r="BA61" s="115">
        <v>0.0</v>
      </c>
      <c r="BB61" s="89">
        <f t="shared" si="10"/>
        <v>686</v>
      </c>
      <c r="BC61" s="132" t="s">
        <v>178</v>
      </c>
      <c r="BD61" s="132" t="s">
        <v>178</v>
      </c>
      <c r="BE61" s="132" t="s">
        <v>178</v>
      </c>
      <c r="BF61" s="156"/>
      <c r="BG61" s="83">
        <v>1176432.0</v>
      </c>
      <c r="BH61" s="98" t="s">
        <v>420</v>
      </c>
      <c r="BI61" s="112">
        <v>12.0</v>
      </c>
      <c r="BJ61" s="98" t="s">
        <v>155</v>
      </c>
      <c r="BK61" s="99">
        <f t="shared" si="11"/>
        <v>11</v>
      </c>
      <c r="BL61" s="99">
        <f t="shared" si="12"/>
        <v>501</v>
      </c>
      <c r="BM61" s="99" t="str">
        <f>IFERROR(__xludf.DUMMYFUNCTION("IFERROR(VLOOKUP(BG61,IMPORTRANGE(""https://docs.google.com/spreadsheets/d/1juPI-Fb8LD0YtltB2mlGEnp_R3UVu1t3wSFPzgCyHXE/edit?gid=0#gid=0"",""GERAL!A2:C""),3,0),""-"")"),"-")</f>
        <v>-</v>
      </c>
    </row>
    <row r="62" ht="15.75" customHeight="1">
      <c r="A62" s="111" t="s">
        <v>130</v>
      </c>
      <c r="B62" s="83" t="s">
        <v>417</v>
      </c>
      <c r="C62" s="83" t="s">
        <v>68</v>
      </c>
      <c r="D62" s="112">
        <v>1126808.0</v>
      </c>
      <c r="E62" s="83"/>
      <c r="F62" s="83">
        <v>2.9041333E7</v>
      </c>
      <c r="G62" s="114" t="s">
        <v>422</v>
      </c>
      <c r="H62" s="91" t="s">
        <v>423</v>
      </c>
      <c r="I62" s="83" t="s">
        <v>149</v>
      </c>
      <c r="J62" s="83" t="s">
        <v>150</v>
      </c>
      <c r="K62" s="83" t="s">
        <v>151</v>
      </c>
      <c r="L62" s="83" t="s">
        <v>230</v>
      </c>
      <c r="M62" s="82" t="str">
        <f>IFERROR(__xludf.DUMMYFUNCTION("IFERROR(VLOOKUP(D62,
IMPORTRANGE(""https://docs.google.com/spreadsheets/d/1MjHtlUikwobi2MaWJgy7tfLeBmhj1u-dRFRs_8GwSoA/edit#gid=0"",""Gestores Escolares!D7:J""),3,0),""VERIFICAR CÓD SEC"")"),"MARIA GORETE DE MIRANDA ALVES")</f>
        <v>MARIA GORETE DE MIRANDA ALVES</v>
      </c>
      <c r="N62" s="82" t="str">
        <f>IFERROR(__xludf.DUMMYFUNCTION("IFERROR(VLOOKUP(D62,
IMPORTRANGE(""https://docs.google.com/spreadsheets/d/1MjHtlUikwobi2MaWJgy7tfLeBmhj1u-dRFRs_8GwSoA/edit#gid=0"",""Gestores Escolares!D7:J""),4,0),""VERIFICAR CÓD SEC"")"),"(74) 9 9144-6072")</f>
        <v>(74) 9 9144-6072</v>
      </c>
      <c r="O62" s="82" t="str">
        <f>IFERROR(__xludf.DUMMYFUNCTION("IFERROR(VLOOKUP(D62,
IMPORTRANGE(""https://docs.google.com/spreadsheets/d/1MjHtlUikwobi2MaWJgy7tfLeBmhj1u-dRFRs_8GwSoA/edit#gid=0"",""Gestores Escolares!D7:J""),6,0),""VERIFICAR CÓD SEC"")"),"EDNA PINHEIRO BASTOS")</f>
        <v>EDNA PINHEIRO BASTOS</v>
      </c>
      <c r="P62" s="82" t="str">
        <f>IFERROR(__xludf.DUMMYFUNCTION("IFERROR(VLOOKUP(D62,
IMPORTRANGE(""https://docs.google.com/spreadsheets/d/1MjHtlUikwobi2MaWJgy7tfLeBmhj1u-dRFRs_8GwSoA/edit#gid=0"",""Gestores Escolares!D7:J""),7,0),""VERIFICAR CÓD SEC"")"),"(71) 9 8771-5105")</f>
        <v>(71) 9 8771-5105</v>
      </c>
      <c r="Q62" s="82" t="str">
        <f>IFERROR(__xludf.DUMMYFUNCTION("IFERROR(VLOOKUP(D62,
IMPORTRANGE(""https://docs.google.com/spreadsheets/d/1MjHtlUikwobi2MaWJgy7tfLeBmhj1u-dRFRs_8GwSoA/edit#gid=0"",""Gestores Escolares!D7:m""),9,0),""VERIFICAR CÓD SEC"")"),"")</f>
        <v/>
      </c>
      <c r="R62" s="82" t="str">
        <f>IFERROR(__xludf.DUMMYFUNCTION("IFERROR(VLOOKUP(D62,
IMPORTRANGE(""https://docs.google.com/spreadsheets/d/1MjHtlUikwobi2MaWJgy7tfLeBmhj1u-dRFRs_8GwSoA/edit#gid=0"",""Gestores Escolares!D7:m""),10,0),""VERIFICAR CÓD SEC"")"),"")</f>
        <v/>
      </c>
      <c r="S62" s="82"/>
      <c r="T62" s="138">
        <v>15.0</v>
      </c>
      <c r="U62" s="145">
        <v>24.0</v>
      </c>
      <c r="V62" s="106">
        <v>0.0</v>
      </c>
      <c r="W62" s="107">
        <v>0.0</v>
      </c>
      <c r="X62" s="107">
        <v>0.0</v>
      </c>
      <c r="Y62" s="107">
        <v>0.0</v>
      </c>
      <c r="Z62" s="80">
        <f t="shared" si="1"/>
        <v>0</v>
      </c>
      <c r="AA62" s="106">
        <v>0.0</v>
      </c>
      <c r="AB62" s="107">
        <v>0.0</v>
      </c>
      <c r="AC62" s="107">
        <v>0.0</v>
      </c>
      <c r="AD62" s="107">
        <v>0.0</v>
      </c>
      <c r="AE62" s="80">
        <f t="shared" si="2"/>
        <v>0</v>
      </c>
      <c r="AF62" s="140">
        <v>0.0</v>
      </c>
      <c r="AG62" s="109">
        <v>0.0</v>
      </c>
      <c r="AH62" s="109">
        <v>0.0</v>
      </c>
      <c r="AI62" s="141">
        <v>0.0</v>
      </c>
      <c r="AJ62" s="80">
        <f t="shared" si="3"/>
        <v>0</v>
      </c>
      <c r="AK62" s="140">
        <v>0.0</v>
      </c>
      <c r="AL62" s="109">
        <v>0.0</v>
      </c>
      <c r="AM62" s="141">
        <v>0.0</v>
      </c>
      <c r="AN62" s="80">
        <f t="shared" si="4"/>
        <v>0</v>
      </c>
      <c r="AO62" s="140">
        <v>0.0</v>
      </c>
      <c r="AP62" s="109">
        <v>0.0</v>
      </c>
      <c r="AQ62" s="109">
        <v>0.0</v>
      </c>
      <c r="AR62" s="80">
        <f t="shared" si="5"/>
        <v>0</v>
      </c>
      <c r="AS62" s="110">
        <v>462.0</v>
      </c>
      <c r="AT62" s="110">
        <v>353.0</v>
      </c>
      <c r="AU62" s="110">
        <v>226.0</v>
      </c>
      <c r="AV62" s="142">
        <v>0.0</v>
      </c>
      <c r="AW62" s="80">
        <f t="shared" si="6"/>
        <v>1041</v>
      </c>
      <c r="AX62" s="113">
        <f t="shared" si="7"/>
        <v>1041</v>
      </c>
      <c r="AY62" s="117">
        <f t="shared" si="8"/>
        <v>815</v>
      </c>
      <c r="AZ62" s="120">
        <f t="shared" si="9"/>
        <v>226</v>
      </c>
      <c r="BA62" s="115">
        <v>0.0</v>
      </c>
      <c r="BB62" s="89">
        <f t="shared" si="10"/>
        <v>1041</v>
      </c>
      <c r="BC62" s="132" t="s">
        <v>178</v>
      </c>
      <c r="BD62" s="132" t="s">
        <v>779</v>
      </c>
      <c r="BE62" s="132" t="s">
        <v>64</v>
      </c>
      <c r="BF62" s="123"/>
      <c r="BG62" s="83">
        <v>1126808.0</v>
      </c>
      <c r="BH62" s="171" t="s">
        <v>424</v>
      </c>
      <c r="BI62" s="112">
        <v>11.0</v>
      </c>
      <c r="BJ62" s="98" t="s">
        <v>176</v>
      </c>
      <c r="BK62" s="99">
        <f t="shared" si="11"/>
        <v>0</v>
      </c>
      <c r="BL62" s="99">
        <f t="shared" si="12"/>
        <v>815</v>
      </c>
      <c r="BM62" s="99" t="str">
        <f>IFERROR(__xludf.DUMMYFUNCTION("IFERROR(VLOOKUP(BG62,IMPORTRANGE(""https://docs.google.com/spreadsheets/d/1juPI-Fb8LD0YtltB2mlGEnp_R3UVu1t3wSFPzgCyHXE/edit?gid=0#gid=0"",""GERAL!A2:C""),3,0),""-"")"),"-")</f>
        <v>-</v>
      </c>
    </row>
    <row r="63" ht="15.75" customHeight="1">
      <c r="A63" s="111" t="s">
        <v>205</v>
      </c>
      <c r="B63" s="83" t="s">
        <v>426</v>
      </c>
      <c r="C63" s="83" t="s">
        <v>68</v>
      </c>
      <c r="D63" s="112">
        <v>1127502.0</v>
      </c>
      <c r="E63" s="83"/>
      <c r="F63" s="83">
        <v>2.9036143E7</v>
      </c>
      <c r="G63" s="119" t="s">
        <v>427</v>
      </c>
      <c r="H63" s="91" t="s">
        <v>428</v>
      </c>
      <c r="I63" s="83" t="s">
        <v>149</v>
      </c>
      <c r="J63" s="83" t="s">
        <v>150</v>
      </c>
      <c r="K63" s="83" t="s">
        <v>151</v>
      </c>
      <c r="L63" s="83" t="s">
        <v>230</v>
      </c>
      <c r="M63" s="82" t="str">
        <f>IFERROR(__xludf.DUMMYFUNCTION("IFERROR(VLOOKUP(D63,
IMPORTRANGE(""https://docs.google.com/spreadsheets/d/1MjHtlUikwobi2MaWJgy7tfLeBmhj1u-dRFRs_8GwSoA/edit#gid=0"",""Gestores Escolares!D7:J""),3,0),""VERIFICAR CÓD SEC"")"),"ANDRE RICARDO NUNES NASCIMENTO")</f>
        <v>ANDRE RICARDO NUNES NASCIMENTO</v>
      </c>
      <c r="N63" s="82" t="str">
        <f>IFERROR(__xludf.DUMMYFUNCTION("IFERROR(VLOOKUP(D63,
IMPORTRANGE(""https://docs.google.com/spreadsheets/d/1MjHtlUikwobi2MaWJgy7tfLeBmhj1u-dRFRs_8GwSoA/edit#gid=0"",""Gestores Escolares!D7:J""),4,0),""VERIFICAR CÓD SEC"")"),"(74) 9 8824-9168")</f>
        <v>(74) 9 8824-9168</v>
      </c>
      <c r="O63" s="82" t="str">
        <f>IFERROR(__xludf.DUMMYFUNCTION("IFERROR(VLOOKUP(D63,
IMPORTRANGE(""https://docs.google.com/spreadsheets/d/1MjHtlUikwobi2MaWJgy7tfLeBmhj1u-dRFRs_8GwSoA/edit#gid=0"",""Gestores Escolares!D7:J""),6,0),""VERIFICAR CÓD SEC"")"),"LISA MARINA DA SILVA MIGUEL")</f>
        <v>LISA MARINA DA SILVA MIGUEL</v>
      </c>
      <c r="P63" s="82" t="str">
        <f>IFERROR(__xludf.DUMMYFUNCTION("IFERROR(VLOOKUP(D63,
IMPORTRANGE(""https://docs.google.com/spreadsheets/d/1MjHtlUikwobi2MaWJgy7tfLeBmhj1u-dRFRs_8GwSoA/edit#gid=0"",""Gestores Escolares!D7:J""),7,0),""VERIFICAR CÓD SEC"")"),"(74) 9 9914-2789")</f>
        <v>(74) 9 9914-2789</v>
      </c>
      <c r="Q63" s="82" t="str">
        <f>IFERROR(__xludf.DUMMYFUNCTION("IFERROR(VLOOKUP(D63,
IMPORTRANGE(""https://docs.google.com/spreadsheets/d/1MjHtlUikwobi2MaWJgy7tfLeBmhj1u-dRFRs_8GwSoA/edit#gid=0"",""Gestores Escolares!D7:m""),9,0),""VERIFICAR CÓD SEC"")"),"VANESSA DA CONCEICAO BARBOSA DOS ANJOS")</f>
        <v>VANESSA DA CONCEICAO BARBOSA DOS ANJOS</v>
      </c>
      <c r="R63" s="82" t="str">
        <f>IFERROR(__xludf.DUMMYFUNCTION("IFERROR(VLOOKUP(D63,
IMPORTRANGE(""https://docs.google.com/spreadsheets/d/1MjHtlUikwobi2MaWJgy7tfLeBmhj1u-dRFRs_8GwSoA/edit#gid=0"",""Gestores Escolares!D7:m""),10,0),""VERIFICAR CÓD SEC"")"),"(75) 9 9232-0785")</f>
        <v>(75) 9 9232-0785</v>
      </c>
      <c r="S63" s="82"/>
      <c r="T63" s="138">
        <v>9.0</v>
      </c>
      <c r="U63" s="145">
        <v>36.0</v>
      </c>
      <c r="V63" s="106">
        <v>0.0</v>
      </c>
      <c r="W63" s="107">
        <v>0.0</v>
      </c>
      <c r="X63" s="107">
        <v>0.0</v>
      </c>
      <c r="Y63" s="107">
        <v>0.0</v>
      </c>
      <c r="Z63" s="80">
        <f t="shared" si="1"/>
        <v>0</v>
      </c>
      <c r="AA63" s="106">
        <v>0.0</v>
      </c>
      <c r="AB63" s="107">
        <v>0.0</v>
      </c>
      <c r="AC63" s="107">
        <v>0.0</v>
      </c>
      <c r="AD63" s="107">
        <v>0.0</v>
      </c>
      <c r="AE63" s="80">
        <f t="shared" si="2"/>
        <v>0</v>
      </c>
      <c r="AF63" s="140">
        <v>459.0</v>
      </c>
      <c r="AG63" s="109">
        <v>423.0</v>
      </c>
      <c r="AH63" s="109">
        <v>0.0</v>
      </c>
      <c r="AI63" s="141">
        <v>200.0</v>
      </c>
      <c r="AJ63" s="80">
        <f t="shared" si="3"/>
        <v>1082</v>
      </c>
      <c r="AK63" s="140">
        <v>0.0</v>
      </c>
      <c r="AL63" s="109">
        <v>0.0</v>
      </c>
      <c r="AM63" s="141">
        <v>0.0</v>
      </c>
      <c r="AN63" s="80">
        <f t="shared" si="4"/>
        <v>0</v>
      </c>
      <c r="AO63" s="140">
        <v>0.0</v>
      </c>
      <c r="AP63" s="109">
        <v>0.0</v>
      </c>
      <c r="AQ63" s="109">
        <v>126.0</v>
      </c>
      <c r="AR63" s="80">
        <f t="shared" si="5"/>
        <v>126</v>
      </c>
      <c r="AS63" s="110">
        <v>0.0</v>
      </c>
      <c r="AT63" s="110">
        <v>0.0</v>
      </c>
      <c r="AU63" s="110">
        <v>0.0</v>
      </c>
      <c r="AV63" s="142">
        <v>0.0</v>
      </c>
      <c r="AW63" s="80">
        <f t="shared" si="6"/>
        <v>0</v>
      </c>
      <c r="AX63" s="113">
        <f t="shared" si="7"/>
        <v>1208</v>
      </c>
      <c r="AY63" s="117">
        <f t="shared" si="8"/>
        <v>1082</v>
      </c>
      <c r="AZ63" s="120">
        <f t="shared" si="9"/>
        <v>126</v>
      </c>
      <c r="BA63" s="115">
        <v>0.0</v>
      </c>
      <c r="BB63" s="89">
        <f t="shared" si="10"/>
        <v>1208</v>
      </c>
      <c r="BC63" s="132" t="s">
        <v>178</v>
      </c>
      <c r="BD63" s="132" t="s">
        <v>178</v>
      </c>
      <c r="BE63" s="132" t="s">
        <v>178</v>
      </c>
      <c r="BF63" s="123"/>
      <c r="BG63" s="83">
        <v>1127502.0</v>
      </c>
      <c r="BH63" s="137" t="s">
        <v>429</v>
      </c>
      <c r="BI63" s="112">
        <v>8.0</v>
      </c>
      <c r="BJ63" s="98" t="s">
        <v>162</v>
      </c>
      <c r="BK63" s="99">
        <f t="shared" si="11"/>
        <v>200</v>
      </c>
      <c r="BL63" s="99">
        <f t="shared" si="12"/>
        <v>882</v>
      </c>
      <c r="BM63" s="99" t="str">
        <f>IFERROR(__xludf.DUMMYFUNCTION("IFERROR(VLOOKUP(BG63,IMPORTRANGE(""https://docs.google.com/spreadsheets/d/1juPI-Fb8LD0YtltB2mlGEnp_R3UVu1t3wSFPzgCyHXE/edit?gid=0#gid=0"",""GERAL!A2:C""),3,0),""-"")"),"-")</f>
        <v>-</v>
      </c>
    </row>
    <row r="64" ht="15.75" customHeight="1">
      <c r="A64" s="111" t="s">
        <v>205</v>
      </c>
      <c r="B64" s="83" t="s">
        <v>426</v>
      </c>
      <c r="C64" s="83" t="s">
        <v>68</v>
      </c>
      <c r="D64" s="112">
        <v>1179431.0</v>
      </c>
      <c r="E64" s="83"/>
      <c r="F64" s="83">
        <v>2.9464374E7</v>
      </c>
      <c r="G64" s="114" t="s">
        <v>431</v>
      </c>
      <c r="H64" s="91" t="s">
        <v>432</v>
      </c>
      <c r="I64" s="172" t="s">
        <v>433</v>
      </c>
      <c r="J64" s="83" t="s">
        <v>150</v>
      </c>
      <c r="K64" s="83" t="s">
        <v>151</v>
      </c>
      <c r="L64" s="83" t="s">
        <v>230</v>
      </c>
      <c r="M64" s="82" t="str">
        <f>IFERROR(__xludf.DUMMYFUNCTION("IFERROR(VLOOKUP(D64,
IMPORTRANGE(""https://docs.google.com/spreadsheets/d/1MjHtlUikwobi2MaWJgy7tfLeBmhj1u-dRFRs_8GwSoA/edit#gid=0"",""Gestores Escolares!D7:J""),3,0),""VERIFICAR CÓD SEC"")"),"NEIDE RAFAEL DE SOUZA ROCHA")</f>
        <v>NEIDE RAFAEL DE SOUZA ROCHA</v>
      </c>
      <c r="N64" s="82" t="str">
        <f>IFERROR(__xludf.DUMMYFUNCTION("IFERROR(VLOOKUP(D64,
IMPORTRANGE(""https://docs.google.com/spreadsheets/d/1MjHtlUikwobi2MaWJgy7tfLeBmhj1u-dRFRs_8GwSoA/edit#gid=0"",""Gestores Escolares!D7:J""),4,0),""VERIFICAR CÓD SEC"")"),"(74) 9 9807-3175")</f>
        <v>(74) 9 9807-3175</v>
      </c>
      <c r="O64" s="82" t="str">
        <f>IFERROR(__xludf.DUMMYFUNCTION("IFERROR(VLOOKUP(D64,
IMPORTRANGE(""https://docs.google.com/spreadsheets/d/1MjHtlUikwobi2MaWJgy7tfLeBmhj1u-dRFRs_8GwSoA/edit#gid=0"",""Gestores Escolares!D7:J""),6,0),""VERIFICAR CÓD SEC"")"),"FRANCISCO DE ARAUJO LEAL")</f>
        <v>FRANCISCO DE ARAUJO LEAL</v>
      </c>
      <c r="P64" s="82" t="str">
        <f>IFERROR(__xludf.DUMMYFUNCTION("IFERROR(VLOOKUP(D64,
IMPORTRANGE(""https://docs.google.com/spreadsheets/d/1MjHtlUikwobi2MaWJgy7tfLeBmhj1u-dRFRs_8GwSoA/edit#gid=0"",""Gestores Escolares!D7:J""),7,0),""VERIFICAR CÓD SEC"")"),"(74) 9 8836-8463")</f>
        <v>(74) 9 8836-8463</v>
      </c>
      <c r="Q64" s="82" t="str">
        <f>IFERROR(__xludf.DUMMYFUNCTION("IFERROR(VLOOKUP(D64,
IMPORTRANGE(""https://docs.google.com/spreadsheets/d/1MjHtlUikwobi2MaWJgy7tfLeBmhj1u-dRFRs_8GwSoA/edit#gid=0"",""Gestores Escolares!D7:m""),9,0),""VERIFICAR CÓD SEC"")"),"CLAUDEMIR CELSO LIMA")</f>
        <v>CLAUDEMIR CELSO LIMA</v>
      </c>
      <c r="R64" s="82" t="str">
        <f>IFERROR(__xludf.DUMMYFUNCTION("IFERROR(VLOOKUP(D64,
IMPORTRANGE(""https://docs.google.com/spreadsheets/d/1MjHtlUikwobi2MaWJgy7tfLeBmhj1u-dRFRs_8GwSoA/edit#gid=0"",""Gestores Escolares!D7:m""),10,0),""VERIFICAR CÓD SEC"")"),"(74) 9 9952-3072")</f>
        <v>(74) 9 9952-3072</v>
      </c>
      <c r="S64" s="82"/>
      <c r="T64" s="138" t="s">
        <v>171</v>
      </c>
      <c r="U64" s="145">
        <v>1.0</v>
      </c>
      <c r="V64" s="106">
        <v>0.0</v>
      </c>
      <c r="W64" s="107">
        <v>0.0</v>
      </c>
      <c r="X64" s="107">
        <v>0.0</v>
      </c>
      <c r="Y64" s="107">
        <v>0.0</v>
      </c>
      <c r="Z64" s="80">
        <f t="shared" si="1"/>
        <v>0</v>
      </c>
      <c r="AA64" s="106">
        <v>0.0</v>
      </c>
      <c r="AB64" s="107">
        <v>0.0</v>
      </c>
      <c r="AC64" s="107">
        <v>0.0</v>
      </c>
      <c r="AD64" s="107">
        <v>0.0</v>
      </c>
      <c r="AE64" s="80">
        <f t="shared" si="2"/>
        <v>0</v>
      </c>
      <c r="AF64" s="140">
        <v>0.0</v>
      </c>
      <c r="AG64" s="109">
        <v>0.0</v>
      </c>
      <c r="AH64" s="109">
        <v>0.0</v>
      </c>
      <c r="AI64" s="141">
        <v>0.0</v>
      </c>
      <c r="AJ64" s="80">
        <f t="shared" si="3"/>
        <v>0</v>
      </c>
      <c r="AK64" s="140">
        <v>0.0</v>
      </c>
      <c r="AL64" s="109">
        <v>0.0</v>
      </c>
      <c r="AM64" s="141">
        <v>0.0</v>
      </c>
      <c r="AN64" s="80">
        <f t="shared" si="4"/>
        <v>0</v>
      </c>
      <c r="AO64" s="140">
        <v>0.0</v>
      </c>
      <c r="AP64" s="109">
        <v>0.0</v>
      </c>
      <c r="AQ64" s="109">
        <v>0.0</v>
      </c>
      <c r="AR64" s="80">
        <f t="shared" si="5"/>
        <v>0</v>
      </c>
      <c r="AS64" s="110">
        <v>0.0</v>
      </c>
      <c r="AT64" s="110">
        <v>0.0</v>
      </c>
      <c r="AU64" s="110">
        <v>0.0</v>
      </c>
      <c r="AV64" s="142">
        <v>0.0</v>
      </c>
      <c r="AW64" s="80">
        <f t="shared" si="6"/>
        <v>0</v>
      </c>
      <c r="AX64" s="113">
        <f t="shared" si="7"/>
        <v>0</v>
      </c>
      <c r="AY64" s="117">
        <f t="shared" si="8"/>
        <v>0</v>
      </c>
      <c r="AZ64" s="120">
        <f t="shared" si="9"/>
        <v>0</v>
      </c>
      <c r="BA64" s="115">
        <v>0.0</v>
      </c>
      <c r="BB64" s="89">
        <f t="shared" si="10"/>
        <v>0</v>
      </c>
      <c r="BC64" s="132" t="s">
        <v>178</v>
      </c>
      <c r="BD64" s="143" t="s">
        <v>227</v>
      </c>
      <c r="BE64" s="132" t="s">
        <v>64</v>
      </c>
      <c r="BF64" s="156" t="s">
        <v>534</v>
      </c>
      <c r="BG64" s="83">
        <v>1179431.0</v>
      </c>
      <c r="BH64" s="144"/>
      <c r="BI64" s="112">
        <v>1.0</v>
      </c>
      <c r="BJ64" s="98" t="s">
        <v>155</v>
      </c>
      <c r="BK64" s="99">
        <f t="shared" si="11"/>
        <v>0</v>
      </c>
      <c r="BL64" s="99">
        <f t="shared" si="12"/>
        <v>0</v>
      </c>
      <c r="BM64" s="99" t="str">
        <f>IFERROR(__xludf.DUMMYFUNCTION("IFERROR(VLOOKUP(BG64,IMPORTRANGE(""https://docs.google.com/spreadsheets/d/1juPI-Fb8LD0YtltB2mlGEnp_R3UVu1t3wSFPzgCyHXE/edit?gid=0#gid=0"",""GERAL!A2:C""),3,0),""-"")"),"-")</f>
        <v>-</v>
      </c>
    </row>
    <row r="65" ht="15.75" customHeight="1">
      <c r="A65" s="111" t="s">
        <v>205</v>
      </c>
      <c r="B65" s="83" t="s">
        <v>426</v>
      </c>
      <c r="C65" s="83" t="s">
        <v>68</v>
      </c>
      <c r="D65" s="112">
        <v>1178324.0</v>
      </c>
      <c r="E65" s="83"/>
      <c r="F65" s="83">
        <v>2.9863724E7</v>
      </c>
      <c r="G65" s="114" t="s">
        <v>434</v>
      </c>
      <c r="H65" s="91" t="s">
        <v>435</v>
      </c>
      <c r="I65" s="83" t="s">
        <v>149</v>
      </c>
      <c r="J65" s="83" t="s">
        <v>150</v>
      </c>
      <c r="K65" s="83" t="s">
        <v>151</v>
      </c>
      <c r="L65" s="83" t="s">
        <v>230</v>
      </c>
      <c r="M65" s="82" t="str">
        <f>IFERROR(__xludf.DUMMYFUNCTION("IFERROR(VLOOKUP(D65,
IMPORTRANGE(""https://docs.google.com/spreadsheets/d/1MjHtlUikwobi2MaWJgy7tfLeBmhj1u-dRFRs_8GwSoA/edit#gid=0"",""Gestores Escolares!D7:J""),3,0),""VERIFICAR CÓD SEC"")"),"ANA PAULA SANTOS GONCALVES")</f>
        <v>ANA PAULA SANTOS GONCALVES</v>
      </c>
      <c r="N65" s="82" t="str">
        <f>IFERROR(__xludf.DUMMYFUNCTION("IFERROR(VLOOKUP(D65,
IMPORTRANGE(""https://docs.google.com/spreadsheets/d/1MjHtlUikwobi2MaWJgy7tfLeBmhj1u-dRFRs_8GwSoA/edit#gid=0"",""Gestores Escolares!D7:J""),4,0),""VERIFICAR CÓD SEC"")"),"(74) 9 9973-8960")</f>
        <v>(74) 9 9973-8960</v>
      </c>
      <c r="O65" s="82" t="str">
        <f>IFERROR(__xludf.DUMMYFUNCTION("IFERROR(VLOOKUP(D65,
IMPORTRANGE(""https://docs.google.com/spreadsheets/d/1MjHtlUikwobi2MaWJgy7tfLeBmhj1u-dRFRs_8GwSoA/edit#gid=0"",""Gestores Escolares!D7:J""),6,0),""VERIFICAR CÓD SEC"")")," MARILEIDE RAMOS DE CARVALHO")</f>
        <v> MARILEIDE RAMOS DE CARVALHO</v>
      </c>
      <c r="P65" s="82" t="str">
        <f>IFERROR(__xludf.DUMMYFUNCTION("IFERROR(VLOOKUP(D65,
IMPORTRANGE(""https://docs.google.com/spreadsheets/d/1MjHtlUikwobi2MaWJgy7tfLeBmhj1u-dRFRs_8GwSoA/edit#gid=0"",""Gestores Escolares!D7:J""),7,0),""VERIFICAR CÓD SEC"")"),"(74) 9 9994-1397")</f>
        <v>(74) 9 9994-1397</v>
      </c>
      <c r="Q65" s="82" t="str">
        <f>IFERROR(__xludf.DUMMYFUNCTION("IFERROR(VLOOKUP(D65,
IMPORTRANGE(""https://docs.google.com/spreadsheets/d/1MjHtlUikwobi2MaWJgy7tfLeBmhj1u-dRFRs_8GwSoA/edit#gid=0"",""Gestores Escolares!D7:m""),9,0),""VERIFICAR CÓD SEC"")"),"NATA BENICIO DE SOUZA")</f>
        <v>NATA BENICIO DE SOUZA</v>
      </c>
      <c r="R65" s="82" t="str">
        <f>IFERROR(__xludf.DUMMYFUNCTION("IFERROR(VLOOKUP(D65,
IMPORTRANGE(""https://docs.google.com/spreadsheets/d/1MjHtlUikwobi2MaWJgy7tfLeBmhj1u-dRFRs_8GwSoA/edit#gid=0"",""Gestores Escolares!D7:m""),10,0),""VERIFICAR CÓD SEC"")"),"(74) 9 8123-3246")</f>
        <v>(74) 9 8123-3246</v>
      </c>
      <c r="S65" s="82"/>
      <c r="T65" s="138">
        <v>8.0</v>
      </c>
      <c r="U65" s="145" t="s">
        <v>818</v>
      </c>
      <c r="V65" s="106">
        <v>0.0</v>
      </c>
      <c r="W65" s="107">
        <v>0.0</v>
      </c>
      <c r="X65" s="107">
        <v>0.0</v>
      </c>
      <c r="Y65" s="107">
        <v>0.0</v>
      </c>
      <c r="Z65" s="80">
        <f t="shared" si="1"/>
        <v>0</v>
      </c>
      <c r="AA65" s="106">
        <v>0.0</v>
      </c>
      <c r="AB65" s="107">
        <v>0.0</v>
      </c>
      <c r="AC65" s="107">
        <v>0.0</v>
      </c>
      <c r="AD65" s="107">
        <v>0.0</v>
      </c>
      <c r="AE65" s="80">
        <f t="shared" si="2"/>
        <v>0</v>
      </c>
      <c r="AF65" s="140">
        <v>0.0</v>
      </c>
      <c r="AG65" s="109">
        <v>0.0</v>
      </c>
      <c r="AH65" s="109">
        <v>0.0</v>
      </c>
      <c r="AI65" s="141">
        <v>0.0</v>
      </c>
      <c r="AJ65" s="80">
        <f t="shared" si="3"/>
        <v>0</v>
      </c>
      <c r="AK65" s="140">
        <v>0.0</v>
      </c>
      <c r="AL65" s="109">
        <v>0.0</v>
      </c>
      <c r="AM65" s="141">
        <v>0.0</v>
      </c>
      <c r="AN65" s="80">
        <f t="shared" si="4"/>
        <v>0</v>
      </c>
      <c r="AO65" s="140">
        <v>0.0</v>
      </c>
      <c r="AP65" s="109">
        <v>0.0</v>
      </c>
      <c r="AQ65" s="109">
        <v>0.0</v>
      </c>
      <c r="AR65" s="80">
        <f t="shared" si="5"/>
        <v>0</v>
      </c>
      <c r="AS65" s="110">
        <v>0.0</v>
      </c>
      <c r="AT65" s="110">
        <v>0.0</v>
      </c>
      <c r="AU65" s="110">
        <v>95.0</v>
      </c>
      <c r="AV65" s="142">
        <v>223.0</v>
      </c>
      <c r="AW65" s="80">
        <f t="shared" si="6"/>
        <v>318</v>
      </c>
      <c r="AX65" s="113">
        <f t="shared" si="7"/>
        <v>318</v>
      </c>
      <c r="AY65" s="117">
        <f t="shared" si="8"/>
        <v>223</v>
      </c>
      <c r="AZ65" s="120">
        <f t="shared" si="9"/>
        <v>95</v>
      </c>
      <c r="BA65" s="115">
        <v>0.0</v>
      </c>
      <c r="BB65" s="89">
        <f t="shared" si="10"/>
        <v>318</v>
      </c>
      <c r="BC65" s="132" t="s">
        <v>178</v>
      </c>
      <c r="BD65" s="132" t="s">
        <v>779</v>
      </c>
      <c r="BE65" s="132" t="s">
        <v>64</v>
      </c>
      <c r="BF65" s="123"/>
      <c r="BG65" s="83">
        <v>1178324.0</v>
      </c>
      <c r="BH65" s="171" t="s">
        <v>436</v>
      </c>
      <c r="BI65" s="112">
        <v>8.0</v>
      </c>
      <c r="BJ65" s="98" t="s">
        <v>155</v>
      </c>
      <c r="BK65" s="99">
        <f t="shared" si="11"/>
        <v>223</v>
      </c>
      <c r="BL65" s="99">
        <f t="shared" si="12"/>
        <v>0</v>
      </c>
      <c r="BM65" s="99" t="str">
        <f>IFERROR(__xludf.DUMMYFUNCTION("IFERROR(VLOOKUP(BG65,IMPORTRANGE(""https://docs.google.com/spreadsheets/d/1juPI-Fb8LD0YtltB2mlGEnp_R3UVu1t3wSFPzgCyHXE/edit?gid=0#gid=0"",""GERAL!A2:C""),3,0),""-"")"),"-")</f>
        <v>-</v>
      </c>
    </row>
    <row r="66" ht="15.75" customHeight="1">
      <c r="A66" s="111" t="s">
        <v>205</v>
      </c>
      <c r="B66" s="83" t="s">
        <v>426</v>
      </c>
      <c r="C66" s="83" t="s">
        <v>164</v>
      </c>
      <c r="D66" s="112">
        <v>1179431.0</v>
      </c>
      <c r="E66" s="83">
        <v>1178812.0</v>
      </c>
      <c r="F66" s="98">
        <v>2.9464374E7</v>
      </c>
      <c r="G66" s="114" t="s">
        <v>438</v>
      </c>
      <c r="H66" s="91" t="s">
        <v>439</v>
      </c>
      <c r="I66" s="83" t="s">
        <v>149</v>
      </c>
      <c r="J66" s="83" t="s">
        <v>440</v>
      </c>
      <c r="K66" s="83" t="s">
        <v>168</v>
      </c>
      <c r="L66" s="83" t="s">
        <v>169</v>
      </c>
      <c r="M66" s="82" t="str">
        <f>IFERROR(__xludf.DUMMYFUNCTION("IFERROR(VLOOKUP(D66,
IMPORTRANGE(""https://docs.google.com/spreadsheets/d/1MjHtlUikwobi2MaWJgy7tfLeBmhj1u-dRFRs_8GwSoA/edit#gid=0"",""Gestores Escolares!D7:J""),3,0),""VERIFICAR CÓD SEC"")"),"NEIDE RAFAEL DE SOUZA ROCHA")</f>
        <v>NEIDE RAFAEL DE SOUZA ROCHA</v>
      </c>
      <c r="N66" s="82" t="str">
        <f>IFERROR(__xludf.DUMMYFUNCTION("IFERROR(VLOOKUP(D66,
IMPORTRANGE(""https://docs.google.com/spreadsheets/d/1MjHtlUikwobi2MaWJgy7tfLeBmhj1u-dRFRs_8GwSoA/edit#gid=0"",""Gestores Escolares!D7:J""),4,0),""VERIFICAR CÓD SEC"")"),"(74) 9 9807-3175")</f>
        <v>(74) 9 9807-3175</v>
      </c>
      <c r="O66" s="82" t="str">
        <f>IFERROR(__xludf.DUMMYFUNCTION("IFERROR(VLOOKUP(D66,
IMPORTRANGE(""https://docs.google.com/spreadsheets/d/1MjHtlUikwobi2MaWJgy7tfLeBmhj1u-dRFRs_8GwSoA/edit#gid=0"",""Gestores Escolares!D7:J""),6,0),""VERIFICAR CÓD SEC"")"),"FRANCISCO DE ARAUJO LEAL")</f>
        <v>FRANCISCO DE ARAUJO LEAL</v>
      </c>
      <c r="P66" s="82" t="str">
        <f>IFERROR(__xludf.DUMMYFUNCTION("IFERROR(VLOOKUP(D66,
IMPORTRANGE(""https://docs.google.com/spreadsheets/d/1MjHtlUikwobi2MaWJgy7tfLeBmhj1u-dRFRs_8GwSoA/edit#gid=0"",""Gestores Escolares!D7:J""),7,0),""VERIFICAR CÓD SEC"")"),"(74) 9 8836-8463")</f>
        <v>(74) 9 8836-8463</v>
      </c>
      <c r="Q66" s="82" t="str">
        <f>IFERROR(__xludf.DUMMYFUNCTION("IFERROR(VLOOKUP(D66,
IMPORTRANGE(""https://docs.google.com/spreadsheets/d/1MjHtlUikwobi2MaWJgy7tfLeBmhj1u-dRFRs_8GwSoA/edit#gid=0"",""Gestores Escolares!D7:m""),9,0),""VERIFICAR CÓD SEC"")"),"CLAUDEMIR CELSO LIMA")</f>
        <v>CLAUDEMIR CELSO LIMA</v>
      </c>
      <c r="R66" s="82" t="str">
        <f>IFERROR(__xludf.DUMMYFUNCTION("IFERROR(VLOOKUP(D66,
IMPORTRANGE(""https://docs.google.com/spreadsheets/d/1MjHtlUikwobi2MaWJgy7tfLeBmhj1u-dRFRs_8GwSoA/edit#gid=0"",""Gestores Escolares!D7:m""),10,0),""VERIFICAR CÓD SEC"")"),"(74) 9 9952-3072")</f>
        <v>(74) 9 9952-3072</v>
      </c>
      <c r="S66" s="82"/>
      <c r="T66" s="138">
        <v>2.0</v>
      </c>
      <c r="U66" s="139">
        <v>2.0</v>
      </c>
      <c r="V66" s="106">
        <v>0.0</v>
      </c>
      <c r="W66" s="107">
        <v>0.0</v>
      </c>
      <c r="X66" s="107">
        <v>0.0</v>
      </c>
      <c r="Y66" s="107">
        <v>0.0</v>
      </c>
      <c r="Z66" s="80">
        <f t="shared" si="1"/>
        <v>0</v>
      </c>
      <c r="AA66" s="106">
        <v>0.0</v>
      </c>
      <c r="AB66" s="107">
        <v>0.0</v>
      </c>
      <c r="AC66" s="107">
        <v>0.0</v>
      </c>
      <c r="AD66" s="107">
        <v>0.0</v>
      </c>
      <c r="AE66" s="80">
        <f t="shared" si="2"/>
        <v>0</v>
      </c>
      <c r="AF66" s="140">
        <v>21.0</v>
      </c>
      <c r="AG66" s="109">
        <v>10.0</v>
      </c>
      <c r="AH66" s="109">
        <v>0.0</v>
      </c>
      <c r="AI66" s="141">
        <v>0.0</v>
      </c>
      <c r="AJ66" s="80">
        <f t="shared" si="3"/>
        <v>31</v>
      </c>
      <c r="AK66" s="140">
        <v>0.0</v>
      </c>
      <c r="AL66" s="109">
        <v>0.0</v>
      </c>
      <c r="AM66" s="141">
        <v>0.0</v>
      </c>
      <c r="AN66" s="80">
        <f t="shared" si="4"/>
        <v>0</v>
      </c>
      <c r="AO66" s="140">
        <v>0.0</v>
      </c>
      <c r="AP66" s="109">
        <v>0.0</v>
      </c>
      <c r="AQ66" s="109">
        <v>0.0</v>
      </c>
      <c r="AR66" s="80">
        <f t="shared" si="5"/>
        <v>0</v>
      </c>
      <c r="AS66" s="110">
        <v>0.0</v>
      </c>
      <c r="AT66" s="110">
        <v>0.0</v>
      </c>
      <c r="AU66" s="110">
        <v>0.0</v>
      </c>
      <c r="AV66" s="142">
        <v>0.0</v>
      </c>
      <c r="AW66" s="80">
        <f t="shared" si="6"/>
        <v>0</v>
      </c>
      <c r="AX66" s="113">
        <f t="shared" si="7"/>
        <v>31</v>
      </c>
      <c r="AY66" s="117">
        <f t="shared" si="8"/>
        <v>31</v>
      </c>
      <c r="AZ66" s="120">
        <f t="shared" si="9"/>
        <v>0</v>
      </c>
      <c r="BA66" s="115">
        <v>0.0</v>
      </c>
      <c r="BB66" s="89">
        <f t="shared" si="10"/>
        <v>31</v>
      </c>
      <c r="BC66" s="132" t="s">
        <v>265</v>
      </c>
      <c r="BD66" s="183" t="s">
        <v>227</v>
      </c>
      <c r="BE66" s="132" t="s">
        <v>178</v>
      </c>
      <c r="BF66" s="123"/>
      <c r="BG66" s="83">
        <v>1178812.0</v>
      </c>
      <c r="BH66" s="144"/>
      <c r="BI66" s="112">
        <v>2.0</v>
      </c>
      <c r="BJ66" s="98" t="s">
        <v>155</v>
      </c>
      <c r="BK66" s="99">
        <f t="shared" si="11"/>
        <v>0</v>
      </c>
      <c r="BL66" s="99">
        <f t="shared" si="12"/>
        <v>31</v>
      </c>
      <c r="BM66" s="99" t="str">
        <f>IFERROR(__xludf.DUMMYFUNCTION("IFERROR(VLOOKUP(BG66,IMPORTRANGE(""https://docs.google.com/spreadsheets/d/1juPI-Fb8LD0YtltB2mlGEnp_R3UVu1t3wSFPzgCyHXE/edit?gid=0#gid=0"",""GERAL!A2:C""),3,0),""-"")"),"QUILOMBOLAS")</f>
        <v>QUILOMBOLAS</v>
      </c>
    </row>
    <row r="67" ht="15.75" customHeight="1">
      <c r="A67" s="111" t="s">
        <v>205</v>
      </c>
      <c r="B67" s="83" t="s">
        <v>426</v>
      </c>
      <c r="C67" s="83" t="s">
        <v>164</v>
      </c>
      <c r="D67" s="112">
        <v>1179431.0</v>
      </c>
      <c r="E67" s="83">
        <v>1178814.0</v>
      </c>
      <c r="F67" s="98">
        <v>2.9464374E7</v>
      </c>
      <c r="G67" s="114" t="s">
        <v>441</v>
      </c>
      <c r="H67" s="91" t="s">
        <v>442</v>
      </c>
      <c r="I67" s="83" t="s">
        <v>149</v>
      </c>
      <c r="J67" s="83" t="s">
        <v>443</v>
      </c>
      <c r="K67" s="83" t="s">
        <v>168</v>
      </c>
      <c r="L67" s="83" t="s">
        <v>169</v>
      </c>
      <c r="M67" s="82" t="str">
        <f>IFERROR(__xludf.DUMMYFUNCTION("IFERROR(VLOOKUP(D67,
IMPORTRANGE(""https://docs.google.com/spreadsheets/d/1MjHtlUikwobi2MaWJgy7tfLeBmhj1u-dRFRs_8GwSoA/edit#gid=0"",""Gestores Escolares!D7:J""),3,0),""VERIFICAR CÓD SEC"")"),"NEIDE RAFAEL DE SOUZA ROCHA")</f>
        <v>NEIDE RAFAEL DE SOUZA ROCHA</v>
      </c>
      <c r="N67" s="82" t="str">
        <f>IFERROR(__xludf.DUMMYFUNCTION("IFERROR(VLOOKUP(D67,
IMPORTRANGE(""https://docs.google.com/spreadsheets/d/1MjHtlUikwobi2MaWJgy7tfLeBmhj1u-dRFRs_8GwSoA/edit#gid=0"",""Gestores Escolares!D7:J""),4,0),""VERIFICAR CÓD SEC"")"),"(74) 9 9807-3175")</f>
        <v>(74) 9 9807-3175</v>
      </c>
      <c r="O67" s="82" t="str">
        <f>IFERROR(__xludf.DUMMYFUNCTION("IFERROR(VLOOKUP(D67,
IMPORTRANGE(""https://docs.google.com/spreadsheets/d/1MjHtlUikwobi2MaWJgy7tfLeBmhj1u-dRFRs_8GwSoA/edit#gid=0"",""Gestores Escolares!D7:J""),6,0),""VERIFICAR CÓD SEC"")"),"FRANCISCO DE ARAUJO LEAL")</f>
        <v>FRANCISCO DE ARAUJO LEAL</v>
      </c>
      <c r="P67" s="82" t="str">
        <f>IFERROR(__xludf.DUMMYFUNCTION("IFERROR(VLOOKUP(D67,
IMPORTRANGE(""https://docs.google.com/spreadsheets/d/1MjHtlUikwobi2MaWJgy7tfLeBmhj1u-dRFRs_8GwSoA/edit#gid=0"",""Gestores Escolares!D7:J""),7,0),""VERIFICAR CÓD SEC"")"),"(74) 9 8836-8463")</f>
        <v>(74) 9 8836-8463</v>
      </c>
      <c r="Q67" s="82" t="str">
        <f>IFERROR(__xludf.DUMMYFUNCTION("IFERROR(VLOOKUP(D67,
IMPORTRANGE(""https://docs.google.com/spreadsheets/d/1MjHtlUikwobi2MaWJgy7tfLeBmhj1u-dRFRs_8GwSoA/edit#gid=0"",""Gestores Escolares!D7:m""),9,0),""VERIFICAR CÓD SEC"")"),"CLAUDEMIR CELSO LIMA")</f>
        <v>CLAUDEMIR CELSO LIMA</v>
      </c>
      <c r="R67" s="82" t="str">
        <f>IFERROR(__xludf.DUMMYFUNCTION("IFERROR(VLOOKUP(D67,
IMPORTRANGE(""https://docs.google.com/spreadsheets/d/1MjHtlUikwobi2MaWJgy7tfLeBmhj1u-dRFRs_8GwSoA/edit#gid=0"",""Gestores Escolares!D7:m""),10,0),""VERIFICAR CÓD SEC"")"),"(74) 9 9952-3072")</f>
        <v>(74) 9 9952-3072</v>
      </c>
      <c r="S67" s="82"/>
      <c r="T67" s="138">
        <v>3.0</v>
      </c>
      <c r="U67" s="145">
        <v>2.0</v>
      </c>
      <c r="V67" s="106">
        <v>0.0</v>
      </c>
      <c r="W67" s="107">
        <v>0.0</v>
      </c>
      <c r="X67" s="107">
        <v>0.0</v>
      </c>
      <c r="Y67" s="107">
        <v>0.0</v>
      </c>
      <c r="Z67" s="80">
        <f t="shared" si="1"/>
        <v>0</v>
      </c>
      <c r="AA67" s="106">
        <v>0.0</v>
      </c>
      <c r="AB67" s="107">
        <v>0.0</v>
      </c>
      <c r="AC67" s="107">
        <v>0.0</v>
      </c>
      <c r="AD67" s="107">
        <v>0.0</v>
      </c>
      <c r="AE67" s="80">
        <f t="shared" si="2"/>
        <v>0</v>
      </c>
      <c r="AF67" s="140">
        <v>57.0</v>
      </c>
      <c r="AG67" s="109">
        <v>0.0</v>
      </c>
      <c r="AH67" s="109">
        <v>52.0</v>
      </c>
      <c r="AI67" s="141">
        <v>0.0</v>
      </c>
      <c r="AJ67" s="80">
        <f t="shared" si="3"/>
        <v>109</v>
      </c>
      <c r="AK67" s="140">
        <v>0.0</v>
      </c>
      <c r="AL67" s="109">
        <v>0.0</v>
      </c>
      <c r="AM67" s="141">
        <v>0.0</v>
      </c>
      <c r="AN67" s="80">
        <f t="shared" si="4"/>
        <v>0</v>
      </c>
      <c r="AO67" s="140">
        <v>0.0</v>
      </c>
      <c r="AP67" s="109">
        <v>0.0</v>
      </c>
      <c r="AQ67" s="109">
        <v>0.0</v>
      </c>
      <c r="AR67" s="80">
        <f t="shared" si="5"/>
        <v>0</v>
      </c>
      <c r="AS67" s="110">
        <v>0.0</v>
      </c>
      <c r="AT67" s="110">
        <v>0.0</v>
      </c>
      <c r="AU67" s="110">
        <v>0.0</v>
      </c>
      <c r="AV67" s="142">
        <v>0.0</v>
      </c>
      <c r="AW67" s="80">
        <f t="shared" si="6"/>
        <v>0</v>
      </c>
      <c r="AX67" s="113">
        <f t="shared" si="7"/>
        <v>109</v>
      </c>
      <c r="AY67" s="117">
        <f t="shared" si="8"/>
        <v>57</v>
      </c>
      <c r="AZ67" s="120">
        <f t="shared" si="9"/>
        <v>52</v>
      </c>
      <c r="BA67" s="115">
        <v>0.0</v>
      </c>
      <c r="BB67" s="89">
        <f t="shared" si="10"/>
        <v>109</v>
      </c>
      <c r="BC67" s="132" t="s">
        <v>178</v>
      </c>
      <c r="BD67" s="143" t="s">
        <v>227</v>
      </c>
      <c r="BE67" s="132" t="s">
        <v>64</v>
      </c>
      <c r="BF67" s="123"/>
      <c r="BG67" s="83">
        <v>1178814.0</v>
      </c>
      <c r="BH67" s="144"/>
      <c r="BI67" s="112">
        <v>3.0</v>
      </c>
      <c r="BJ67" s="98" t="s">
        <v>155</v>
      </c>
      <c r="BK67" s="99">
        <f t="shared" si="11"/>
        <v>0</v>
      </c>
      <c r="BL67" s="99">
        <f t="shared" si="12"/>
        <v>57</v>
      </c>
      <c r="BM67" s="99" t="str">
        <f>IFERROR(__xludf.DUMMYFUNCTION("IFERROR(VLOOKUP(BG67,IMPORTRANGE(""https://docs.google.com/spreadsheets/d/1juPI-Fb8LD0YtltB2mlGEnp_R3UVu1t3wSFPzgCyHXE/edit?gid=0#gid=0"",""GERAL!A2:C""),3,0),""-"")"),"-")</f>
        <v>-</v>
      </c>
    </row>
    <row r="68" ht="15.75" customHeight="1">
      <c r="A68" s="111" t="s">
        <v>205</v>
      </c>
      <c r="B68" s="83" t="s">
        <v>426</v>
      </c>
      <c r="C68" s="83" t="s">
        <v>164</v>
      </c>
      <c r="D68" s="112">
        <v>1179431.0</v>
      </c>
      <c r="E68" s="83">
        <v>1178816.0</v>
      </c>
      <c r="F68" s="98">
        <v>2.9464374E7</v>
      </c>
      <c r="G68" s="114" t="s">
        <v>444</v>
      </c>
      <c r="H68" s="91" t="s">
        <v>445</v>
      </c>
      <c r="I68" s="83" t="s">
        <v>149</v>
      </c>
      <c r="J68" s="83" t="s">
        <v>252</v>
      </c>
      <c r="K68" s="83" t="s">
        <v>168</v>
      </c>
      <c r="L68" s="83" t="s">
        <v>169</v>
      </c>
      <c r="M68" s="82" t="str">
        <f>IFERROR(__xludf.DUMMYFUNCTION("IFERROR(VLOOKUP(D68,
IMPORTRANGE(""https://docs.google.com/spreadsheets/d/1MjHtlUikwobi2MaWJgy7tfLeBmhj1u-dRFRs_8GwSoA/edit#gid=0"",""Gestores Escolares!D7:J""),3,0),""VERIFICAR CÓD SEC"")"),"NEIDE RAFAEL DE SOUZA ROCHA")</f>
        <v>NEIDE RAFAEL DE SOUZA ROCHA</v>
      </c>
      <c r="N68" s="82" t="str">
        <f>IFERROR(__xludf.DUMMYFUNCTION("IFERROR(VLOOKUP(D68,
IMPORTRANGE(""https://docs.google.com/spreadsheets/d/1MjHtlUikwobi2MaWJgy7tfLeBmhj1u-dRFRs_8GwSoA/edit#gid=0"",""Gestores Escolares!D7:J""),4,0),""VERIFICAR CÓD SEC"")"),"(74) 9 9807-3175")</f>
        <v>(74) 9 9807-3175</v>
      </c>
      <c r="O68" s="82" t="str">
        <f>IFERROR(__xludf.DUMMYFUNCTION("IFERROR(VLOOKUP(D68,
IMPORTRANGE(""https://docs.google.com/spreadsheets/d/1MjHtlUikwobi2MaWJgy7tfLeBmhj1u-dRFRs_8GwSoA/edit#gid=0"",""Gestores Escolares!D7:J""),6,0),""VERIFICAR CÓD SEC"")"),"FRANCISCO DE ARAUJO LEAL")</f>
        <v>FRANCISCO DE ARAUJO LEAL</v>
      </c>
      <c r="P68" s="82" t="str">
        <f>IFERROR(__xludf.DUMMYFUNCTION("IFERROR(VLOOKUP(D68,
IMPORTRANGE(""https://docs.google.com/spreadsheets/d/1MjHtlUikwobi2MaWJgy7tfLeBmhj1u-dRFRs_8GwSoA/edit#gid=0"",""Gestores Escolares!D7:J""),7,0),""VERIFICAR CÓD SEC"")"),"(74) 9 8836-8463")</f>
        <v>(74) 9 8836-8463</v>
      </c>
      <c r="Q68" s="82" t="str">
        <f>IFERROR(__xludf.DUMMYFUNCTION("IFERROR(VLOOKUP(D68,
IMPORTRANGE(""https://docs.google.com/spreadsheets/d/1MjHtlUikwobi2MaWJgy7tfLeBmhj1u-dRFRs_8GwSoA/edit#gid=0"",""Gestores Escolares!D7:m""),9,0),""VERIFICAR CÓD SEC"")"),"CLAUDEMIR CELSO LIMA")</f>
        <v>CLAUDEMIR CELSO LIMA</v>
      </c>
      <c r="R68" s="82" t="str">
        <f>IFERROR(__xludf.DUMMYFUNCTION("IFERROR(VLOOKUP(D68,
IMPORTRANGE(""https://docs.google.com/spreadsheets/d/1MjHtlUikwobi2MaWJgy7tfLeBmhj1u-dRFRs_8GwSoA/edit#gid=0"",""Gestores Escolares!D7:m""),10,0),""VERIFICAR CÓD SEC"")"),"(74) 9 9952-3072")</f>
        <v>(74) 9 9952-3072</v>
      </c>
      <c r="S68" s="82"/>
      <c r="T68" s="138">
        <v>2.0</v>
      </c>
      <c r="U68" s="139">
        <v>2.0</v>
      </c>
      <c r="V68" s="106">
        <v>0.0</v>
      </c>
      <c r="W68" s="107">
        <v>0.0</v>
      </c>
      <c r="X68" s="107">
        <v>0.0</v>
      </c>
      <c r="Y68" s="107">
        <v>0.0</v>
      </c>
      <c r="Z68" s="80">
        <f t="shared" si="1"/>
        <v>0</v>
      </c>
      <c r="AA68" s="106">
        <v>0.0</v>
      </c>
      <c r="AB68" s="107">
        <v>0.0</v>
      </c>
      <c r="AC68" s="107">
        <v>0.0</v>
      </c>
      <c r="AD68" s="107">
        <v>0.0</v>
      </c>
      <c r="AE68" s="80">
        <f t="shared" si="2"/>
        <v>0</v>
      </c>
      <c r="AF68" s="140">
        <v>15.0</v>
      </c>
      <c r="AG68" s="109">
        <v>22.0</v>
      </c>
      <c r="AH68" s="109">
        <v>0.0</v>
      </c>
      <c r="AI68" s="141">
        <v>0.0</v>
      </c>
      <c r="AJ68" s="80">
        <f t="shared" si="3"/>
        <v>37</v>
      </c>
      <c r="AK68" s="140">
        <v>0.0</v>
      </c>
      <c r="AL68" s="109">
        <v>0.0</v>
      </c>
      <c r="AM68" s="141">
        <v>0.0</v>
      </c>
      <c r="AN68" s="80">
        <f t="shared" si="4"/>
        <v>0</v>
      </c>
      <c r="AO68" s="140">
        <v>0.0</v>
      </c>
      <c r="AP68" s="109">
        <v>0.0</v>
      </c>
      <c r="AQ68" s="109">
        <v>0.0</v>
      </c>
      <c r="AR68" s="80">
        <f t="shared" si="5"/>
        <v>0</v>
      </c>
      <c r="AS68" s="110">
        <v>0.0</v>
      </c>
      <c r="AT68" s="110">
        <v>0.0</v>
      </c>
      <c r="AU68" s="110">
        <v>0.0</v>
      </c>
      <c r="AV68" s="142">
        <v>0.0</v>
      </c>
      <c r="AW68" s="80">
        <f t="shared" si="6"/>
        <v>0</v>
      </c>
      <c r="AX68" s="113">
        <f t="shared" si="7"/>
        <v>37</v>
      </c>
      <c r="AY68" s="117">
        <f t="shared" si="8"/>
        <v>37</v>
      </c>
      <c r="AZ68" s="120">
        <f t="shared" si="9"/>
        <v>0</v>
      </c>
      <c r="BA68" s="115">
        <v>0.0</v>
      </c>
      <c r="BB68" s="89">
        <f t="shared" si="10"/>
        <v>37</v>
      </c>
      <c r="BC68" s="132" t="s">
        <v>178</v>
      </c>
      <c r="BD68" s="143" t="s">
        <v>227</v>
      </c>
      <c r="BE68" s="132" t="s">
        <v>64</v>
      </c>
      <c r="BF68" s="123"/>
      <c r="BG68" s="83">
        <v>1178816.0</v>
      </c>
      <c r="BH68" s="144"/>
      <c r="BI68" s="112">
        <v>2.0</v>
      </c>
      <c r="BJ68" s="98" t="s">
        <v>155</v>
      </c>
      <c r="BK68" s="99">
        <f t="shared" si="11"/>
        <v>0</v>
      </c>
      <c r="BL68" s="99">
        <f t="shared" si="12"/>
        <v>37</v>
      </c>
      <c r="BM68" s="99" t="str">
        <f>IFERROR(__xludf.DUMMYFUNCTION("IFERROR(VLOOKUP(BG68,IMPORTRANGE(""https://docs.google.com/spreadsheets/d/1juPI-Fb8LD0YtltB2mlGEnp_R3UVu1t3wSFPzgCyHXE/edit?gid=0#gid=0"",""GERAL!A2:C""),3,0),""-"")"),"-")</f>
        <v>-</v>
      </c>
    </row>
    <row r="69" ht="15.75" customHeight="1">
      <c r="A69" s="111" t="s">
        <v>205</v>
      </c>
      <c r="B69" s="83" t="s">
        <v>426</v>
      </c>
      <c r="C69" s="83" t="s">
        <v>164</v>
      </c>
      <c r="D69" s="112">
        <v>1179431.0</v>
      </c>
      <c r="E69" s="83">
        <v>1179212.0</v>
      </c>
      <c r="F69" s="98">
        <v>2.9464374E7</v>
      </c>
      <c r="G69" s="114" t="s">
        <v>446</v>
      </c>
      <c r="H69" s="91" t="s">
        <v>447</v>
      </c>
      <c r="I69" s="83" t="s">
        <v>149</v>
      </c>
      <c r="J69" s="83" t="s">
        <v>252</v>
      </c>
      <c r="K69" s="83" t="s">
        <v>168</v>
      </c>
      <c r="L69" s="83" t="s">
        <v>169</v>
      </c>
      <c r="M69" s="82" t="str">
        <f>IFERROR(__xludf.DUMMYFUNCTION("IFERROR(VLOOKUP(D69,
IMPORTRANGE(""https://docs.google.com/spreadsheets/d/1MjHtlUikwobi2MaWJgy7tfLeBmhj1u-dRFRs_8GwSoA/edit#gid=0"",""Gestores Escolares!D7:J""),3,0),""VERIFICAR CÓD SEC"")"),"NEIDE RAFAEL DE SOUZA ROCHA")</f>
        <v>NEIDE RAFAEL DE SOUZA ROCHA</v>
      </c>
      <c r="N69" s="82" t="str">
        <f>IFERROR(__xludf.DUMMYFUNCTION("IFERROR(VLOOKUP(D69,
IMPORTRANGE(""https://docs.google.com/spreadsheets/d/1MjHtlUikwobi2MaWJgy7tfLeBmhj1u-dRFRs_8GwSoA/edit#gid=0"",""Gestores Escolares!D7:J""),4,0),""VERIFICAR CÓD SEC"")"),"(74) 9 9807-3175")</f>
        <v>(74) 9 9807-3175</v>
      </c>
      <c r="O69" s="82" t="str">
        <f>IFERROR(__xludf.DUMMYFUNCTION("IFERROR(VLOOKUP(D69,
IMPORTRANGE(""https://docs.google.com/spreadsheets/d/1MjHtlUikwobi2MaWJgy7tfLeBmhj1u-dRFRs_8GwSoA/edit#gid=0"",""Gestores Escolares!D7:J""),6,0),""VERIFICAR CÓD SEC"")"),"FRANCISCO DE ARAUJO LEAL")</f>
        <v>FRANCISCO DE ARAUJO LEAL</v>
      </c>
      <c r="P69" s="82" t="str">
        <f>IFERROR(__xludf.DUMMYFUNCTION("IFERROR(VLOOKUP(D69,
IMPORTRANGE(""https://docs.google.com/spreadsheets/d/1MjHtlUikwobi2MaWJgy7tfLeBmhj1u-dRFRs_8GwSoA/edit#gid=0"",""Gestores Escolares!D7:J""),7,0),""VERIFICAR CÓD SEC"")"),"(74) 9 8836-8463")</f>
        <v>(74) 9 8836-8463</v>
      </c>
      <c r="Q69" s="82" t="str">
        <f>IFERROR(__xludf.DUMMYFUNCTION("IFERROR(VLOOKUP(D69,
IMPORTRANGE(""https://docs.google.com/spreadsheets/d/1MjHtlUikwobi2MaWJgy7tfLeBmhj1u-dRFRs_8GwSoA/edit#gid=0"",""Gestores Escolares!D7:m""),9,0),""VERIFICAR CÓD SEC"")"),"CLAUDEMIR CELSO LIMA")</f>
        <v>CLAUDEMIR CELSO LIMA</v>
      </c>
      <c r="R69" s="82" t="str">
        <f>IFERROR(__xludf.DUMMYFUNCTION("IFERROR(VLOOKUP(D69,
IMPORTRANGE(""https://docs.google.com/spreadsheets/d/1MjHtlUikwobi2MaWJgy7tfLeBmhj1u-dRFRs_8GwSoA/edit#gid=0"",""Gestores Escolares!D7:m""),10,0),""VERIFICAR CÓD SEC"")"),"(74) 9 9952-3072")</f>
        <v>(74) 9 9952-3072</v>
      </c>
      <c r="S69" s="82"/>
      <c r="T69" s="138">
        <v>1.0</v>
      </c>
      <c r="U69" s="145">
        <v>2.0</v>
      </c>
      <c r="V69" s="106">
        <v>0.0</v>
      </c>
      <c r="W69" s="107">
        <v>0.0</v>
      </c>
      <c r="X69" s="107">
        <v>0.0</v>
      </c>
      <c r="Y69" s="107">
        <v>0.0</v>
      </c>
      <c r="Z69" s="80">
        <f t="shared" si="1"/>
        <v>0</v>
      </c>
      <c r="AA69" s="106">
        <v>0.0</v>
      </c>
      <c r="AB69" s="107">
        <v>0.0</v>
      </c>
      <c r="AC69" s="107">
        <v>0.0</v>
      </c>
      <c r="AD69" s="107">
        <v>0.0</v>
      </c>
      <c r="AE69" s="80">
        <f t="shared" si="2"/>
        <v>0</v>
      </c>
      <c r="AF69" s="140">
        <v>14.0</v>
      </c>
      <c r="AG69" s="109">
        <v>26.0</v>
      </c>
      <c r="AH69" s="109">
        <v>21.0</v>
      </c>
      <c r="AI69" s="141">
        <v>0.0</v>
      </c>
      <c r="AJ69" s="80">
        <f t="shared" si="3"/>
        <v>61</v>
      </c>
      <c r="AK69" s="140">
        <v>0.0</v>
      </c>
      <c r="AL69" s="109">
        <v>0.0</v>
      </c>
      <c r="AM69" s="141">
        <v>0.0</v>
      </c>
      <c r="AN69" s="80">
        <f t="shared" si="4"/>
        <v>0</v>
      </c>
      <c r="AO69" s="140">
        <v>0.0</v>
      </c>
      <c r="AP69" s="109">
        <v>0.0</v>
      </c>
      <c r="AQ69" s="109">
        <v>0.0</v>
      </c>
      <c r="AR69" s="80">
        <f t="shared" si="5"/>
        <v>0</v>
      </c>
      <c r="AS69" s="110">
        <v>0.0</v>
      </c>
      <c r="AT69" s="110">
        <v>0.0</v>
      </c>
      <c r="AU69" s="110">
        <v>0.0</v>
      </c>
      <c r="AV69" s="142">
        <v>0.0</v>
      </c>
      <c r="AW69" s="80">
        <f t="shared" si="6"/>
        <v>0</v>
      </c>
      <c r="AX69" s="113">
        <f t="shared" si="7"/>
        <v>61</v>
      </c>
      <c r="AY69" s="117">
        <f t="shared" si="8"/>
        <v>40</v>
      </c>
      <c r="AZ69" s="120">
        <f t="shared" si="9"/>
        <v>21</v>
      </c>
      <c r="BA69" s="115">
        <v>0.0</v>
      </c>
      <c r="BB69" s="89">
        <f t="shared" si="10"/>
        <v>61</v>
      </c>
      <c r="BC69" s="132" t="s">
        <v>178</v>
      </c>
      <c r="BD69" s="143" t="s">
        <v>227</v>
      </c>
      <c r="BE69" s="132" t="s">
        <v>64</v>
      </c>
      <c r="BF69" s="123"/>
      <c r="BG69" s="83">
        <v>1179212.0</v>
      </c>
      <c r="BH69" s="144"/>
      <c r="BI69" s="112">
        <v>1.0</v>
      </c>
      <c r="BJ69" s="98" t="s">
        <v>155</v>
      </c>
      <c r="BK69" s="99">
        <f t="shared" si="11"/>
        <v>0</v>
      </c>
      <c r="BL69" s="99">
        <f t="shared" si="12"/>
        <v>40</v>
      </c>
      <c r="BM69" s="99" t="str">
        <f>IFERROR(__xludf.DUMMYFUNCTION("IFERROR(VLOOKUP(BG69,IMPORTRANGE(""https://docs.google.com/spreadsheets/d/1juPI-Fb8LD0YtltB2mlGEnp_R3UVu1t3wSFPzgCyHXE/edit?gid=0#gid=0"",""GERAL!A2:C""),3,0),""-"")"),"-")</f>
        <v>-</v>
      </c>
    </row>
    <row r="70" ht="15.75" customHeight="1">
      <c r="A70" s="111" t="s">
        <v>205</v>
      </c>
      <c r="B70" s="83" t="s">
        <v>426</v>
      </c>
      <c r="C70" s="83" t="s">
        <v>164</v>
      </c>
      <c r="D70" s="112">
        <v>1179431.0</v>
      </c>
      <c r="E70" s="83">
        <v>1178813.0</v>
      </c>
      <c r="F70" s="98">
        <v>2.9464374E7</v>
      </c>
      <c r="G70" s="114" t="s">
        <v>448</v>
      </c>
      <c r="H70" s="91" t="s">
        <v>449</v>
      </c>
      <c r="I70" s="83" t="s">
        <v>149</v>
      </c>
      <c r="J70" s="83" t="s">
        <v>450</v>
      </c>
      <c r="K70" s="83" t="s">
        <v>168</v>
      </c>
      <c r="L70" s="83" t="s">
        <v>169</v>
      </c>
      <c r="M70" s="82" t="str">
        <f>IFERROR(__xludf.DUMMYFUNCTION("IFERROR(VLOOKUP(D70,
IMPORTRANGE(""https://docs.google.com/spreadsheets/d/1MjHtlUikwobi2MaWJgy7tfLeBmhj1u-dRFRs_8GwSoA/edit#gid=0"",""Gestores Escolares!D7:J""),3,0),""VERIFICAR CÓD SEC"")"),"NEIDE RAFAEL DE SOUZA ROCHA")</f>
        <v>NEIDE RAFAEL DE SOUZA ROCHA</v>
      </c>
      <c r="N70" s="82" t="str">
        <f>IFERROR(__xludf.DUMMYFUNCTION("IFERROR(VLOOKUP(D70,
IMPORTRANGE(""https://docs.google.com/spreadsheets/d/1MjHtlUikwobi2MaWJgy7tfLeBmhj1u-dRFRs_8GwSoA/edit#gid=0"",""Gestores Escolares!D7:J""),4,0),""VERIFICAR CÓD SEC"")"),"(74) 9 9807-3175")</f>
        <v>(74) 9 9807-3175</v>
      </c>
      <c r="O70" s="82" t="str">
        <f>IFERROR(__xludf.DUMMYFUNCTION("IFERROR(VLOOKUP(D70,
IMPORTRANGE(""https://docs.google.com/spreadsheets/d/1MjHtlUikwobi2MaWJgy7tfLeBmhj1u-dRFRs_8GwSoA/edit#gid=0"",""Gestores Escolares!D7:J""),6,0),""VERIFICAR CÓD SEC"")"),"FRANCISCO DE ARAUJO LEAL")</f>
        <v>FRANCISCO DE ARAUJO LEAL</v>
      </c>
      <c r="P70" s="82" t="str">
        <f>IFERROR(__xludf.DUMMYFUNCTION("IFERROR(VLOOKUP(D70,
IMPORTRANGE(""https://docs.google.com/spreadsheets/d/1MjHtlUikwobi2MaWJgy7tfLeBmhj1u-dRFRs_8GwSoA/edit#gid=0"",""Gestores Escolares!D7:J""),7,0),""VERIFICAR CÓD SEC"")"),"(74) 9 8836-8463")</f>
        <v>(74) 9 8836-8463</v>
      </c>
      <c r="Q70" s="82" t="str">
        <f>IFERROR(__xludf.DUMMYFUNCTION("IFERROR(VLOOKUP(D70,
IMPORTRANGE(""https://docs.google.com/spreadsheets/d/1MjHtlUikwobi2MaWJgy7tfLeBmhj1u-dRFRs_8GwSoA/edit#gid=0"",""Gestores Escolares!D7:m""),9,0),""VERIFICAR CÓD SEC"")"),"CLAUDEMIR CELSO LIMA")</f>
        <v>CLAUDEMIR CELSO LIMA</v>
      </c>
      <c r="R70" s="82" t="str">
        <f>IFERROR(__xludf.DUMMYFUNCTION("IFERROR(VLOOKUP(D70,
IMPORTRANGE(""https://docs.google.com/spreadsheets/d/1MjHtlUikwobi2MaWJgy7tfLeBmhj1u-dRFRs_8GwSoA/edit#gid=0"",""Gestores Escolares!D7:m""),10,0),""VERIFICAR CÓD SEC"")"),"(74) 9 9952-3072")</f>
        <v>(74) 9 9952-3072</v>
      </c>
      <c r="S70" s="82"/>
      <c r="T70" s="138">
        <v>3.0</v>
      </c>
      <c r="U70" s="145">
        <v>2.0</v>
      </c>
      <c r="V70" s="106">
        <v>0.0</v>
      </c>
      <c r="W70" s="107">
        <v>0.0</v>
      </c>
      <c r="X70" s="107">
        <v>0.0</v>
      </c>
      <c r="Y70" s="107">
        <v>0.0</v>
      </c>
      <c r="Z70" s="80">
        <f t="shared" si="1"/>
        <v>0</v>
      </c>
      <c r="AA70" s="106">
        <v>0.0</v>
      </c>
      <c r="AB70" s="107">
        <v>0.0</v>
      </c>
      <c r="AC70" s="107">
        <v>0.0</v>
      </c>
      <c r="AD70" s="107">
        <v>0.0</v>
      </c>
      <c r="AE70" s="80">
        <f t="shared" si="2"/>
        <v>0</v>
      </c>
      <c r="AF70" s="140">
        <v>0.0</v>
      </c>
      <c r="AG70" s="109">
        <v>53.0</v>
      </c>
      <c r="AH70" s="109">
        <v>71.0</v>
      </c>
      <c r="AI70" s="141">
        <v>0.0</v>
      </c>
      <c r="AJ70" s="80">
        <f t="shared" si="3"/>
        <v>124</v>
      </c>
      <c r="AK70" s="140">
        <v>0.0</v>
      </c>
      <c r="AL70" s="109">
        <v>0.0</v>
      </c>
      <c r="AM70" s="141">
        <v>0.0</v>
      </c>
      <c r="AN70" s="80">
        <f t="shared" si="4"/>
        <v>0</v>
      </c>
      <c r="AO70" s="140">
        <v>0.0</v>
      </c>
      <c r="AP70" s="109">
        <v>0.0</v>
      </c>
      <c r="AQ70" s="109">
        <v>0.0</v>
      </c>
      <c r="AR70" s="80">
        <f t="shared" si="5"/>
        <v>0</v>
      </c>
      <c r="AS70" s="110">
        <v>0.0</v>
      </c>
      <c r="AT70" s="110">
        <v>0.0</v>
      </c>
      <c r="AU70" s="110">
        <v>0.0</v>
      </c>
      <c r="AV70" s="142">
        <v>0.0</v>
      </c>
      <c r="AW70" s="80">
        <f t="shared" si="6"/>
        <v>0</v>
      </c>
      <c r="AX70" s="113">
        <f t="shared" si="7"/>
        <v>124</v>
      </c>
      <c r="AY70" s="117">
        <f t="shared" si="8"/>
        <v>53</v>
      </c>
      <c r="AZ70" s="120">
        <f t="shared" si="9"/>
        <v>71</v>
      </c>
      <c r="BA70" s="115">
        <v>0.0</v>
      </c>
      <c r="BB70" s="89">
        <f t="shared" si="10"/>
        <v>124</v>
      </c>
      <c r="BC70" s="132" t="s">
        <v>178</v>
      </c>
      <c r="BD70" s="143" t="s">
        <v>227</v>
      </c>
      <c r="BE70" s="132" t="s">
        <v>64</v>
      </c>
      <c r="BF70" s="123"/>
      <c r="BG70" s="83">
        <v>1178813.0</v>
      </c>
      <c r="BH70" s="144"/>
      <c r="BI70" s="112">
        <v>3.0</v>
      </c>
      <c r="BJ70" s="98" t="s">
        <v>155</v>
      </c>
      <c r="BK70" s="99">
        <f t="shared" si="11"/>
        <v>0</v>
      </c>
      <c r="BL70" s="99">
        <f t="shared" si="12"/>
        <v>53</v>
      </c>
      <c r="BM70" s="99" t="str">
        <f>IFERROR(__xludf.DUMMYFUNCTION("IFERROR(VLOOKUP(BG70,IMPORTRANGE(""https://docs.google.com/spreadsheets/d/1juPI-Fb8LD0YtltB2mlGEnp_R3UVu1t3wSFPzgCyHXE/edit?gid=0#gid=0"",""GERAL!A2:C""),3,0),""-"")"),"-")</f>
        <v>-</v>
      </c>
    </row>
    <row r="71" ht="15.75" customHeight="1">
      <c r="A71" s="111" t="s">
        <v>205</v>
      </c>
      <c r="B71" s="83" t="s">
        <v>426</v>
      </c>
      <c r="C71" s="83" t="s">
        <v>164</v>
      </c>
      <c r="D71" s="112">
        <v>1179431.0</v>
      </c>
      <c r="E71" s="83">
        <v>1178815.0</v>
      </c>
      <c r="F71" s="98">
        <v>2.9464374E7</v>
      </c>
      <c r="G71" s="114" t="s">
        <v>452</v>
      </c>
      <c r="H71" s="91" t="s">
        <v>453</v>
      </c>
      <c r="I71" s="83" t="s">
        <v>149</v>
      </c>
      <c r="J71" s="83" t="s">
        <v>318</v>
      </c>
      <c r="K71" s="83" t="s">
        <v>151</v>
      </c>
      <c r="L71" s="83" t="s">
        <v>169</v>
      </c>
      <c r="M71" s="82" t="str">
        <f>IFERROR(__xludf.DUMMYFUNCTION("IFERROR(VLOOKUP(D71,
IMPORTRANGE(""https://docs.google.com/spreadsheets/d/1MjHtlUikwobi2MaWJgy7tfLeBmhj1u-dRFRs_8GwSoA/edit#gid=0"",""Gestores Escolares!D7:J""),3,0),""VERIFICAR CÓD SEC"")"),"NEIDE RAFAEL DE SOUZA ROCHA")</f>
        <v>NEIDE RAFAEL DE SOUZA ROCHA</v>
      </c>
      <c r="N71" s="82" t="str">
        <f>IFERROR(__xludf.DUMMYFUNCTION("IFERROR(VLOOKUP(D71,
IMPORTRANGE(""https://docs.google.com/spreadsheets/d/1MjHtlUikwobi2MaWJgy7tfLeBmhj1u-dRFRs_8GwSoA/edit#gid=0"",""Gestores Escolares!D7:J""),4,0),""VERIFICAR CÓD SEC"")"),"(74) 9 9807-3175")</f>
        <v>(74) 9 9807-3175</v>
      </c>
      <c r="O71" s="82" t="str">
        <f>IFERROR(__xludf.DUMMYFUNCTION("IFERROR(VLOOKUP(D71,
IMPORTRANGE(""https://docs.google.com/spreadsheets/d/1MjHtlUikwobi2MaWJgy7tfLeBmhj1u-dRFRs_8GwSoA/edit#gid=0"",""Gestores Escolares!D7:J""),6,0),""VERIFICAR CÓD SEC"")"),"FRANCISCO DE ARAUJO LEAL")</f>
        <v>FRANCISCO DE ARAUJO LEAL</v>
      </c>
      <c r="P71" s="82" t="str">
        <f>IFERROR(__xludf.DUMMYFUNCTION("IFERROR(VLOOKUP(D71,
IMPORTRANGE(""https://docs.google.com/spreadsheets/d/1MjHtlUikwobi2MaWJgy7tfLeBmhj1u-dRFRs_8GwSoA/edit#gid=0"",""Gestores Escolares!D7:J""),7,0),""VERIFICAR CÓD SEC"")"),"(74) 9 8836-8463")</f>
        <v>(74) 9 8836-8463</v>
      </c>
      <c r="Q71" s="82" t="str">
        <f>IFERROR(__xludf.DUMMYFUNCTION("IFERROR(VLOOKUP(D71,
IMPORTRANGE(""https://docs.google.com/spreadsheets/d/1MjHtlUikwobi2MaWJgy7tfLeBmhj1u-dRFRs_8GwSoA/edit#gid=0"",""Gestores Escolares!D7:m""),9,0),""VERIFICAR CÓD SEC"")"),"CLAUDEMIR CELSO LIMA")</f>
        <v>CLAUDEMIR CELSO LIMA</v>
      </c>
      <c r="R71" s="82" t="str">
        <f>IFERROR(__xludf.DUMMYFUNCTION("IFERROR(VLOOKUP(D71,
IMPORTRANGE(""https://docs.google.com/spreadsheets/d/1MjHtlUikwobi2MaWJgy7tfLeBmhj1u-dRFRs_8GwSoA/edit#gid=0"",""Gestores Escolares!D7:m""),10,0),""VERIFICAR CÓD SEC"")"),"(74) 9 9952-3072")</f>
        <v>(74) 9 9952-3072</v>
      </c>
      <c r="S71" s="82"/>
      <c r="T71" s="138">
        <v>1.0</v>
      </c>
      <c r="U71" s="145">
        <v>2.0</v>
      </c>
      <c r="V71" s="106">
        <v>0.0</v>
      </c>
      <c r="W71" s="107">
        <v>0.0</v>
      </c>
      <c r="X71" s="107">
        <v>0.0</v>
      </c>
      <c r="Y71" s="107">
        <v>0.0</v>
      </c>
      <c r="Z71" s="80">
        <f t="shared" si="1"/>
        <v>0</v>
      </c>
      <c r="AA71" s="106">
        <v>0.0</v>
      </c>
      <c r="AB71" s="107">
        <v>0.0</v>
      </c>
      <c r="AC71" s="107">
        <v>0.0</v>
      </c>
      <c r="AD71" s="107">
        <v>0.0</v>
      </c>
      <c r="AE71" s="80">
        <f t="shared" si="2"/>
        <v>0</v>
      </c>
      <c r="AF71" s="140">
        <v>22.0</v>
      </c>
      <c r="AG71" s="109">
        <v>16.0</v>
      </c>
      <c r="AH71" s="109">
        <v>17.0</v>
      </c>
      <c r="AI71" s="141">
        <v>0.0</v>
      </c>
      <c r="AJ71" s="80">
        <f t="shared" si="3"/>
        <v>55</v>
      </c>
      <c r="AK71" s="140">
        <v>0.0</v>
      </c>
      <c r="AL71" s="109">
        <v>0.0</v>
      </c>
      <c r="AM71" s="141">
        <v>0.0</v>
      </c>
      <c r="AN71" s="80">
        <f t="shared" si="4"/>
        <v>0</v>
      </c>
      <c r="AO71" s="140">
        <v>0.0</v>
      </c>
      <c r="AP71" s="109">
        <v>0.0</v>
      </c>
      <c r="AQ71" s="109">
        <v>0.0</v>
      </c>
      <c r="AR71" s="80">
        <f t="shared" si="5"/>
        <v>0</v>
      </c>
      <c r="AS71" s="110">
        <v>0.0</v>
      </c>
      <c r="AT71" s="110">
        <v>0.0</v>
      </c>
      <c r="AU71" s="110">
        <v>0.0</v>
      </c>
      <c r="AV71" s="142">
        <v>0.0</v>
      </c>
      <c r="AW71" s="80">
        <f t="shared" si="6"/>
        <v>0</v>
      </c>
      <c r="AX71" s="113">
        <f t="shared" si="7"/>
        <v>55</v>
      </c>
      <c r="AY71" s="117">
        <f t="shared" si="8"/>
        <v>38</v>
      </c>
      <c r="AZ71" s="120">
        <f t="shared" si="9"/>
        <v>17</v>
      </c>
      <c r="BA71" s="115">
        <v>0.0</v>
      </c>
      <c r="BB71" s="89">
        <f t="shared" si="10"/>
        <v>55</v>
      </c>
      <c r="BC71" s="132" t="s">
        <v>265</v>
      </c>
      <c r="BD71" s="183" t="s">
        <v>227</v>
      </c>
      <c r="BE71" s="132" t="s">
        <v>178</v>
      </c>
      <c r="BF71" s="123"/>
      <c r="BG71" s="83">
        <v>1178815.0</v>
      </c>
      <c r="BH71" s="144"/>
      <c r="BI71" s="112">
        <v>1.0</v>
      </c>
      <c r="BJ71" s="98" t="s">
        <v>155</v>
      </c>
      <c r="BK71" s="99">
        <f t="shared" si="11"/>
        <v>0</v>
      </c>
      <c r="BL71" s="99">
        <f t="shared" si="12"/>
        <v>38</v>
      </c>
      <c r="BM71" s="99" t="str">
        <f>IFERROR(__xludf.DUMMYFUNCTION("IFERROR(VLOOKUP(BG71,IMPORTRANGE(""https://docs.google.com/spreadsheets/d/1juPI-Fb8LD0YtltB2mlGEnp_R3UVu1t3wSFPzgCyHXE/edit?gid=0#gid=0"",""GERAL!A2:C""),3,0),""-"")"),"QUILOMBOLAS")</f>
        <v>QUILOMBOLAS</v>
      </c>
    </row>
    <row r="72" ht="15.75" customHeight="1">
      <c r="A72" s="111" t="s">
        <v>205</v>
      </c>
      <c r="B72" s="83" t="s">
        <v>426</v>
      </c>
      <c r="C72" s="83" t="s">
        <v>164</v>
      </c>
      <c r="D72" s="112">
        <v>1179431.0</v>
      </c>
      <c r="E72" s="83">
        <v>1178818.0</v>
      </c>
      <c r="F72" s="98">
        <v>2.9464374E7</v>
      </c>
      <c r="G72" s="114" t="s">
        <v>454</v>
      </c>
      <c r="H72" s="91" t="s">
        <v>455</v>
      </c>
      <c r="I72" s="83" t="s">
        <v>149</v>
      </c>
      <c r="J72" s="83" t="s">
        <v>456</v>
      </c>
      <c r="K72" s="83" t="s">
        <v>168</v>
      </c>
      <c r="L72" s="83" t="s">
        <v>169</v>
      </c>
      <c r="M72" s="82" t="str">
        <f>IFERROR(__xludf.DUMMYFUNCTION("IFERROR(VLOOKUP(D72,
IMPORTRANGE(""https://docs.google.com/spreadsheets/d/1MjHtlUikwobi2MaWJgy7tfLeBmhj1u-dRFRs_8GwSoA/edit#gid=0"",""Gestores Escolares!D7:J""),3,0),""VERIFICAR CÓD SEC"")"),"NEIDE RAFAEL DE SOUZA ROCHA")</f>
        <v>NEIDE RAFAEL DE SOUZA ROCHA</v>
      </c>
      <c r="N72" s="82" t="str">
        <f>IFERROR(__xludf.DUMMYFUNCTION("IFERROR(VLOOKUP(D72,
IMPORTRANGE(""https://docs.google.com/spreadsheets/d/1MjHtlUikwobi2MaWJgy7tfLeBmhj1u-dRFRs_8GwSoA/edit#gid=0"",""Gestores Escolares!D7:J""),4,0),""VERIFICAR CÓD SEC"")"),"(74) 9 9807-3175")</f>
        <v>(74) 9 9807-3175</v>
      </c>
      <c r="O72" s="82" t="str">
        <f>IFERROR(__xludf.DUMMYFUNCTION("IFERROR(VLOOKUP(D72,
IMPORTRANGE(""https://docs.google.com/spreadsheets/d/1MjHtlUikwobi2MaWJgy7tfLeBmhj1u-dRFRs_8GwSoA/edit#gid=0"",""Gestores Escolares!D7:J""),6,0),""VERIFICAR CÓD SEC"")"),"FRANCISCO DE ARAUJO LEAL")</f>
        <v>FRANCISCO DE ARAUJO LEAL</v>
      </c>
      <c r="P72" s="82" t="str">
        <f>IFERROR(__xludf.DUMMYFUNCTION("IFERROR(VLOOKUP(D72,
IMPORTRANGE(""https://docs.google.com/spreadsheets/d/1MjHtlUikwobi2MaWJgy7tfLeBmhj1u-dRFRs_8GwSoA/edit#gid=0"",""Gestores Escolares!D7:J""),7,0),""VERIFICAR CÓD SEC"")"),"(74) 9 8836-8463")</f>
        <v>(74) 9 8836-8463</v>
      </c>
      <c r="Q72" s="82" t="str">
        <f>IFERROR(__xludf.DUMMYFUNCTION("IFERROR(VLOOKUP(D72,
IMPORTRANGE(""https://docs.google.com/spreadsheets/d/1MjHtlUikwobi2MaWJgy7tfLeBmhj1u-dRFRs_8GwSoA/edit#gid=0"",""Gestores Escolares!D7:m""),9,0),""VERIFICAR CÓD SEC"")"),"CLAUDEMIR CELSO LIMA")</f>
        <v>CLAUDEMIR CELSO LIMA</v>
      </c>
      <c r="R72" s="82" t="str">
        <f>IFERROR(__xludf.DUMMYFUNCTION("IFERROR(VLOOKUP(D72,
IMPORTRANGE(""https://docs.google.com/spreadsheets/d/1MjHtlUikwobi2MaWJgy7tfLeBmhj1u-dRFRs_8GwSoA/edit#gid=0"",""Gestores Escolares!D7:m""),10,0),""VERIFICAR CÓD SEC"")"),"(74) 9 9952-3072")</f>
        <v>(74) 9 9952-3072</v>
      </c>
      <c r="S72" s="82"/>
      <c r="T72" s="138">
        <v>2.0</v>
      </c>
      <c r="U72" s="139">
        <v>2.0</v>
      </c>
      <c r="V72" s="106">
        <v>0.0</v>
      </c>
      <c r="W72" s="107">
        <v>0.0</v>
      </c>
      <c r="X72" s="107">
        <v>0.0</v>
      </c>
      <c r="Y72" s="107">
        <v>0.0</v>
      </c>
      <c r="Z72" s="80">
        <f t="shared" si="1"/>
        <v>0</v>
      </c>
      <c r="AA72" s="106">
        <v>0.0</v>
      </c>
      <c r="AB72" s="107">
        <v>0.0</v>
      </c>
      <c r="AC72" s="107">
        <v>0.0</v>
      </c>
      <c r="AD72" s="107">
        <v>0.0</v>
      </c>
      <c r="AE72" s="80">
        <f t="shared" si="2"/>
        <v>0</v>
      </c>
      <c r="AF72" s="140">
        <v>61.0</v>
      </c>
      <c r="AG72" s="109">
        <v>20.0</v>
      </c>
      <c r="AH72" s="109">
        <v>0.0</v>
      </c>
      <c r="AI72" s="141">
        <v>0.0</v>
      </c>
      <c r="AJ72" s="80">
        <f t="shared" si="3"/>
        <v>81</v>
      </c>
      <c r="AK72" s="140">
        <v>0.0</v>
      </c>
      <c r="AL72" s="109">
        <v>0.0</v>
      </c>
      <c r="AM72" s="141">
        <v>0.0</v>
      </c>
      <c r="AN72" s="80">
        <f t="shared" si="4"/>
        <v>0</v>
      </c>
      <c r="AO72" s="140">
        <v>0.0</v>
      </c>
      <c r="AP72" s="109">
        <v>0.0</v>
      </c>
      <c r="AQ72" s="109">
        <v>0.0</v>
      </c>
      <c r="AR72" s="80">
        <f t="shared" si="5"/>
        <v>0</v>
      </c>
      <c r="AS72" s="110">
        <v>0.0</v>
      </c>
      <c r="AT72" s="110">
        <v>0.0</v>
      </c>
      <c r="AU72" s="110">
        <v>0.0</v>
      </c>
      <c r="AV72" s="142">
        <v>0.0</v>
      </c>
      <c r="AW72" s="80">
        <f t="shared" si="6"/>
        <v>0</v>
      </c>
      <c r="AX72" s="113">
        <f t="shared" si="7"/>
        <v>81</v>
      </c>
      <c r="AY72" s="117">
        <f t="shared" si="8"/>
        <v>81</v>
      </c>
      <c r="AZ72" s="120">
        <f t="shared" si="9"/>
        <v>0</v>
      </c>
      <c r="BA72" s="115">
        <v>0.0</v>
      </c>
      <c r="BB72" s="89">
        <f t="shared" si="10"/>
        <v>81</v>
      </c>
      <c r="BC72" s="132" t="s">
        <v>178</v>
      </c>
      <c r="BD72" s="143" t="s">
        <v>227</v>
      </c>
      <c r="BE72" s="132" t="s">
        <v>64</v>
      </c>
      <c r="BF72" s="123"/>
      <c r="BG72" s="83">
        <v>1178818.0</v>
      </c>
      <c r="BH72" s="144"/>
      <c r="BI72" s="112">
        <v>2.0</v>
      </c>
      <c r="BJ72" s="98" t="s">
        <v>155</v>
      </c>
      <c r="BK72" s="99">
        <f t="shared" si="11"/>
        <v>0</v>
      </c>
      <c r="BL72" s="99">
        <f t="shared" si="12"/>
        <v>81</v>
      </c>
      <c r="BM72" s="99" t="str">
        <f>IFERROR(__xludf.DUMMYFUNCTION("IFERROR(VLOOKUP(BG72,IMPORTRANGE(""https://docs.google.com/spreadsheets/d/1juPI-Fb8LD0YtltB2mlGEnp_R3UVu1t3wSFPzgCyHXE/edit?gid=0#gid=0"",""GERAL!A2:C""),3,0),""-"")"),"-")</f>
        <v>-</v>
      </c>
    </row>
    <row r="73" ht="15.75" customHeight="1">
      <c r="A73" s="111" t="s">
        <v>205</v>
      </c>
      <c r="B73" s="83" t="s">
        <v>426</v>
      </c>
      <c r="C73" s="83" t="s">
        <v>164</v>
      </c>
      <c r="D73" s="112">
        <v>1179431.0</v>
      </c>
      <c r="E73" s="83">
        <v>1178809.0</v>
      </c>
      <c r="F73" s="98">
        <v>2.9464374E7</v>
      </c>
      <c r="G73" s="114" t="s">
        <v>457</v>
      </c>
      <c r="H73" s="91" t="s">
        <v>458</v>
      </c>
      <c r="I73" s="83" t="s">
        <v>149</v>
      </c>
      <c r="J73" s="83" t="s">
        <v>310</v>
      </c>
      <c r="K73" s="83" t="s">
        <v>151</v>
      </c>
      <c r="L73" s="83" t="s">
        <v>169</v>
      </c>
      <c r="M73" s="82" t="str">
        <f>IFERROR(__xludf.DUMMYFUNCTION("IFERROR(VLOOKUP(D73,
IMPORTRANGE(""https://docs.google.com/spreadsheets/d/1MjHtlUikwobi2MaWJgy7tfLeBmhj1u-dRFRs_8GwSoA/edit#gid=0"",""Gestores Escolares!D7:J""),3,0),""VERIFICAR CÓD SEC"")"),"NEIDE RAFAEL DE SOUZA ROCHA")</f>
        <v>NEIDE RAFAEL DE SOUZA ROCHA</v>
      </c>
      <c r="N73" s="82" t="str">
        <f>IFERROR(__xludf.DUMMYFUNCTION("IFERROR(VLOOKUP(D73,
IMPORTRANGE(""https://docs.google.com/spreadsheets/d/1MjHtlUikwobi2MaWJgy7tfLeBmhj1u-dRFRs_8GwSoA/edit#gid=0"",""Gestores Escolares!D7:J""),4,0),""VERIFICAR CÓD SEC"")"),"(74) 9 9807-3175")</f>
        <v>(74) 9 9807-3175</v>
      </c>
      <c r="O73" s="82" t="str">
        <f>IFERROR(__xludf.DUMMYFUNCTION("IFERROR(VLOOKUP(D73,
IMPORTRANGE(""https://docs.google.com/spreadsheets/d/1MjHtlUikwobi2MaWJgy7tfLeBmhj1u-dRFRs_8GwSoA/edit#gid=0"",""Gestores Escolares!D7:J""),6,0),""VERIFICAR CÓD SEC"")"),"FRANCISCO DE ARAUJO LEAL")</f>
        <v>FRANCISCO DE ARAUJO LEAL</v>
      </c>
      <c r="P73" s="82" t="str">
        <f>IFERROR(__xludf.DUMMYFUNCTION("IFERROR(VLOOKUP(D73,
IMPORTRANGE(""https://docs.google.com/spreadsheets/d/1MjHtlUikwobi2MaWJgy7tfLeBmhj1u-dRFRs_8GwSoA/edit#gid=0"",""Gestores Escolares!D7:J""),7,0),""VERIFICAR CÓD SEC"")"),"(74) 9 8836-8463")</f>
        <v>(74) 9 8836-8463</v>
      </c>
      <c r="Q73" s="82" t="str">
        <f>IFERROR(__xludf.DUMMYFUNCTION("IFERROR(VLOOKUP(D73,
IMPORTRANGE(""https://docs.google.com/spreadsheets/d/1MjHtlUikwobi2MaWJgy7tfLeBmhj1u-dRFRs_8GwSoA/edit#gid=0"",""Gestores Escolares!D7:m""),9,0),""VERIFICAR CÓD SEC"")"),"CLAUDEMIR CELSO LIMA")</f>
        <v>CLAUDEMIR CELSO LIMA</v>
      </c>
      <c r="R73" s="82" t="str">
        <f>IFERROR(__xludf.DUMMYFUNCTION("IFERROR(VLOOKUP(D73,
IMPORTRANGE(""https://docs.google.com/spreadsheets/d/1MjHtlUikwobi2MaWJgy7tfLeBmhj1u-dRFRs_8GwSoA/edit#gid=0"",""Gestores Escolares!D7:m""),10,0),""VERIFICAR CÓD SEC"")"),"(74) 9 9952-3072")</f>
        <v>(74) 9 9952-3072</v>
      </c>
      <c r="S73" s="82"/>
      <c r="T73" s="138">
        <v>3.0</v>
      </c>
      <c r="U73" s="145">
        <v>2.0</v>
      </c>
      <c r="V73" s="106">
        <v>0.0</v>
      </c>
      <c r="W73" s="107">
        <v>0.0</v>
      </c>
      <c r="X73" s="107">
        <v>0.0</v>
      </c>
      <c r="Y73" s="107">
        <v>0.0</v>
      </c>
      <c r="Z73" s="80">
        <f t="shared" si="1"/>
        <v>0</v>
      </c>
      <c r="AA73" s="106">
        <v>0.0</v>
      </c>
      <c r="AB73" s="107">
        <v>0.0</v>
      </c>
      <c r="AC73" s="107">
        <v>0.0</v>
      </c>
      <c r="AD73" s="107">
        <v>0.0</v>
      </c>
      <c r="AE73" s="80">
        <f t="shared" si="2"/>
        <v>0</v>
      </c>
      <c r="AF73" s="140">
        <v>55.0</v>
      </c>
      <c r="AG73" s="109">
        <v>53.0</v>
      </c>
      <c r="AH73" s="109">
        <v>0.0</v>
      </c>
      <c r="AI73" s="141">
        <v>0.0</v>
      </c>
      <c r="AJ73" s="80">
        <f t="shared" si="3"/>
        <v>108</v>
      </c>
      <c r="AK73" s="140">
        <v>0.0</v>
      </c>
      <c r="AL73" s="109">
        <v>0.0</v>
      </c>
      <c r="AM73" s="141">
        <v>0.0</v>
      </c>
      <c r="AN73" s="80">
        <f t="shared" si="4"/>
        <v>0</v>
      </c>
      <c r="AO73" s="140">
        <v>0.0</v>
      </c>
      <c r="AP73" s="109">
        <v>0.0</v>
      </c>
      <c r="AQ73" s="109">
        <v>0.0</v>
      </c>
      <c r="AR73" s="80">
        <f t="shared" si="5"/>
        <v>0</v>
      </c>
      <c r="AS73" s="110">
        <v>0.0</v>
      </c>
      <c r="AT73" s="110">
        <v>0.0</v>
      </c>
      <c r="AU73" s="110">
        <v>0.0</v>
      </c>
      <c r="AV73" s="142">
        <v>0.0</v>
      </c>
      <c r="AW73" s="80">
        <f t="shared" si="6"/>
        <v>0</v>
      </c>
      <c r="AX73" s="113">
        <f t="shared" si="7"/>
        <v>108</v>
      </c>
      <c r="AY73" s="117">
        <f t="shared" si="8"/>
        <v>108</v>
      </c>
      <c r="AZ73" s="120">
        <f t="shared" si="9"/>
        <v>0</v>
      </c>
      <c r="BA73" s="115">
        <v>0.0</v>
      </c>
      <c r="BB73" s="89">
        <f t="shared" si="10"/>
        <v>108</v>
      </c>
      <c r="BC73" s="132" t="s">
        <v>178</v>
      </c>
      <c r="BD73" s="143" t="s">
        <v>227</v>
      </c>
      <c r="BE73" s="132" t="s">
        <v>178</v>
      </c>
      <c r="BF73" s="123"/>
      <c r="BG73" s="83">
        <v>1178809.0</v>
      </c>
      <c r="BH73" s="144"/>
      <c r="BI73" s="112">
        <v>3.0</v>
      </c>
      <c r="BJ73" s="98" t="s">
        <v>155</v>
      </c>
      <c r="BK73" s="99">
        <f t="shared" si="11"/>
        <v>0</v>
      </c>
      <c r="BL73" s="99">
        <f t="shared" si="12"/>
        <v>108</v>
      </c>
      <c r="BM73" s="99" t="str">
        <f>IFERROR(__xludf.DUMMYFUNCTION("IFERROR(VLOOKUP(BG73,IMPORTRANGE(""https://docs.google.com/spreadsheets/d/1juPI-Fb8LD0YtltB2mlGEnp_R3UVu1t3wSFPzgCyHXE/edit?gid=0#gid=0"",""GERAL!A2:C""),3,0),""-"")"),"-")</f>
        <v>-</v>
      </c>
    </row>
    <row r="74" ht="15.75" customHeight="1">
      <c r="A74" s="111" t="s">
        <v>205</v>
      </c>
      <c r="B74" s="83" t="s">
        <v>426</v>
      </c>
      <c r="C74" s="83" t="s">
        <v>164</v>
      </c>
      <c r="D74" s="112">
        <v>1179431.0</v>
      </c>
      <c r="E74" s="83">
        <v>1178817.0</v>
      </c>
      <c r="F74" s="98">
        <v>2.9464374E7</v>
      </c>
      <c r="G74" s="114" t="s">
        <v>459</v>
      </c>
      <c r="H74" s="91" t="s">
        <v>460</v>
      </c>
      <c r="I74" s="83" t="s">
        <v>149</v>
      </c>
      <c r="J74" s="83" t="s">
        <v>461</v>
      </c>
      <c r="K74" s="83" t="s">
        <v>168</v>
      </c>
      <c r="L74" s="83" t="s">
        <v>169</v>
      </c>
      <c r="M74" s="82" t="str">
        <f>IFERROR(__xludf.DUMMYFUNCTION("IFERROR(VLOOKUP(D74,
IMPORTRANGE(""https://docs.google.com/spreadsheets/d/1MjHtlUikwobi2MaWJgy7tfLeBmhj1u-dRFRs_8GwSoA/edit#gid=0"",""Gestores Escolares!D7:J""),3,0),""VERIFICAR CÓD SEC"")"),"NEIDE RAFAEL DE SOUZA ROCHA")</f>
        <v>NEIDE RAFAEL DE SOUZA ROCHA</v>
      </c>
      <c r="N74" s="82" t="str">
        <f>IFERROR(__xludf.DUMMYFUNCTION("IFERROR(VLOOKUP(D74,
IMPORTRANGE(""https://docs.google.com/spreadsheets/d/1MjHtlUikwobi2MaWJgy7tfLeBmhj1u-dRFRs_8GwSoA/edit#gid=0"",""Gestores Escolares!D7:J""),4,0),""VERIFICAR CÓD SEC"")"),"(74) 9 9807-3175")</f>
        <v>(74) 9 9807-3175</v>
      </c>
      <c r="O74" s="82" t="str">
        <f>IFERROR(__xludf.DUMMYFUNCTION("IFERROR(VLOOKUP(D74,
IMPORTRANGE(""https://docs.google.com/spreadsheets/d/1MjHtlUikwobi2MaWJgy7tfLeBmhj1u-dRFRs_8GwSoA/edit#gid=0"",""Gestores Escolares!D7:J""),6,0),""VERIFICAR CÓD SEC"")"),"FRANCISCO DE ARAUJO LEAL")</f>
        <v>FRANCISCO DE ARAUJO LEAL</v>
      </c>
      <c r="P74" s="82" t="str">
        <f>IFERROR(__xludf.DUMMYFUNCTION("IFERROR(VLOOKUP(D74,
IMPORTRANGE(""https://docs.google.com/spreadsheets/d/1MjHtlUikwobi2MaWJgy7tfLeBmhj1u-dRFRs_8GwSoA/edit#gid=0"",""Gestores Escolares!D7:J""),7,0),""VERIFICAR CÓD SEC"")"),"(74) 9 8836-8463")</f>
        <v>(74) 9 8836-8463</v>
      </c>
      <c r="Q74" s="82" t="str">
        <f>IFERROR(__xludf.DUMMYFUNCTION("IFERROR(VLOOKUP(D74,
IMPORTRANGE(""https://docs.google.com/spreadsheets/d/1MjHtlUikwobi2MaWJgy7tfLeBmhj1u-dRFRs_8GwSoA/edit#gid=0"",""Gestores Escolares!D7:m""),9,0),""VERIFICAR CÓD SEC"")"),"CLAUDEMIR CELSO LIMA")</f>
        <v>CLAUDEMIR CELSO LIMA</v>
      </c>
      <c r="R74" s="82" t="str">
        <f>IFERROR(__xludf.DUMMYFUNCTION("IFERROR(VLOOKUP(D74,
IMPORTRANGE(""https://docs.google.com/spreadsheets/d/1MjHtlUikwobi2MaWJgy7tfLeBmhj1u-dRFRs_8GwSoA/edit#gid=0"",""Gestores Escolares!D7:m""),10,0),""VERIFICAR CÓD SEC"")"),"(74) 9 9952-3072")</f>
        <v>(74) 9 9952-3072</v>
      </c>
      <c r="S74" s="82"/>
      <c r="T74" s="138">
        <v>1.0</v>
      </c>
      <c r="U74" s="145">
        <v>2.0</v>
      </c>
      <c r="V74" s="106">
        <v>0.0</v>
      </c>
      <c r="W74" s="107">
        <v>0.0</v>
      </c>
      <c r="X74" s="107">
        <v>0.0</v>
      </c>
      <c r="Y74" s="107">
        <v>0.0</v>
      </c>
      <c r="Z74" s="80">
        <f t="shared" si="1"/>
        <v>0</v>
      </c>
      <c r="AA74" s="106">
        <v>0.0</v>
      </c>
      <c r="AB74" s="107">
        <v>0.0</v>
      </c>
      <c r="AC74" s="107">
        <v>0.0</v>
      </c>
      <c r="AD74" s="107">
        <v>0.0</v>
      </c>
      <c r="AE74" s="80">
        <f t="shared" si="2"/>
        <v>0</v>
      </c>
      <c r="AF74" s="140">
        <v>11.0</v>
      </c>
      <c r="AG74" s="109">
        <v>10.0</v>
      </c>
      <c r="AH74" s="109">
        <v>16.0</v>
      </c>
      <c r="AI74" s="141">
        <v>0.0</v>
      </c>
      <c r="AJ74" s="80">
        <f t="shared" si="3"/>
        <v>37</v>
      </c>
      <c r="AK74" s="140">
        <v>0.0</v>
      </c>
      <c r="AL74" s="109">
        <v>0.0</v>
      </c>
      <c r="AM74" s="141">
        <v>0.0</v>
      </c>
      <c r="AN74" s="80">
        <f t="shared" si="4"/>
        <v>0</v>
      </c>
      <c r="AO74" s="140">
        <v>0.0</v>
      </c>
      <c r="AP74" s="109">
        <v>0.0</v>
      </c>
      <c r="AQ74" s="109">
        <v>0.0</v>
      </c>
      <c r="AR74" s="80">
        <f t="shared" si="5"/>
        <v>0</v>
      </c>
      <c r="AS74" s="110">
        <v>0.0</v>
      </c>
      <c r="AT74" s="110">
        <v>0.0</v>
      </c>
      <c r="AU74" s="110">
        <v>0.0</v>
      </c>
      <c r="AV74" s="142">
        <v>0.0</v>
      </c>
      <c r="AW74" s="80">
        <f t="shared" si="6"/>
        <v>0</v>
      </c>
      <c r="AX74" s="113">
        <f t="shared" si="7"/>
        <v>37</v>
      </c>
      <c r="AY74" s="117">
        <f t="shared" si="8"/>
        <v>21</v>
      </c>
      <c r="AZ74" s="120">
        <f t="shared" si="9"/>
        <v>16</v>
      </c>
      <c r="BA74" s="115">
        <v>0.0</v>
      </c>
      <c r="BB74" s="89">
        <f t="shared" si="10"/>
        <v>37</v>
      </c>
      <c r="BC74" s="132" t="s">
        <v>178</v>
      </c>
      <c r="BD74" s="143" t="s">
        <v>227</v>
      </c>
      <c r="BE74" s="132" t="s">
        <v>178</v>
      </c>
      <c r="BF74" s="123"/>
      <c r="BG74" s="83">
        <v>1178817.0</v>
      </c>
      <c r="BH74" s="144"/>
      <c r="BI74" s="112">
        <v>1.0</v>
      </c>
      <c r="BJ74" s="98" t="s">
        <v>155</v>
      </c>
      <c r="BK74" s="99">
        <f t="shared" si="11"/>
        <v>0</v>
      </c>
      <c r="BL74" s="99">
        <f t="shared" si="12"/>
        <v>21</v>
      </c>
      <c r="BM74" s="99" t="str">
        <f>IFERROR(__xludf.DUMMYFUNCTION("IFERROR(VLOOKUP(BG74,IMPORTRANGE(""https://docs.google.com/spreadsheets/d/1juPI-Fb8LD0YtltB2mlGEnp_R3UVu1t3wSFPzgCyHXE/edit?gid=0#gid=0"",""GERAL!A2:C""),3,0),""-"")"),"-")</f>
        <v>-</v>
      </c>
    </row>
    <row r="75" ht="15.75" customHeight="1">
      <c r="A75" s="111" t="s">
        <v>205</v>
      </c>
      <c r="B75" s="83" t="s">
        <v>426</v>
      </c>
      <c r="C75" s="83" t="s">
        <v>164</v>
      </c>
      <c r="D75" s="112">
        <v>1179431.0</v>
      </c>
      <c r="E75" s="83">
        <v>1178811.0</v>
      </c>
      <c r="F75" s="98">
        <v>2.9464374E7</v>
      </c>
      <c r="G75" s="114" t="s">
        <v>462</v>
      </c>
      <c r="H75" s="91" t="s">
        <v>463</v>
      </c>
      <c r="I75" s="83" t="s">
        <v>149</v>
      </c>
      <c r="J75" s="83" t="s">
        <v>464</v>
      </c>
      <c r="K75" s="83" t="s">
        <v>168</v>
      </c>
      <c r="L75" s="83" t="s">
        <v>169</v>
      </c>
      <c r="M75" s="82" t="str">
        <f>IFERROR(__xludf.DUMMYFUNCTION("IFERROR(VLOOKUP(D75,
IMPORTRANGE(""https://docs.google.com/spreadsheets/d/1MjHtlUikwobi2MaWJgy7tfLeBmhj1u-dRFRs_8GwSoA/edit#gid=0"",""Gestores Escolares!D7:J""),3,0),""VERIFICAR CÓD SEC"")"),"NEIDE RAFAEL DE SOUZA ROCHA")</f>
        <v>NEIDE RAFAEL DE SOUZA ROCHA</v>
      </c>
      <c r="N75" s="82" t="str">
        <f>IFERROR(__xludf.DUMMYFUNCTION("IFERROR(VLOOKUP(D75,
IMPORTRANGE(""https://docs.google.com/spreadsheets/d/1MjHtlUikwobi2MaWJgy7tfLeBmhj1u-dRFRs_8GwSoA/edit#gid=0"",""Gestores Escolares!D7:J""),4,0),""VERIFICAR CÓD SEC"")"),"(74) 9 9807-3175")</f>
        <v>(74) 9 9807-3175</v>
      </c>
      <c r="O75" s="82" t="str">
        <f>IFERROR(__xludf.DUMMYFUNCTION("IFERROR(VLOOKUP(D75,
IMPORTRANGE(""https://docs.google.com/spreadsheets/d/1MjHtlUikwobi2MaWJgy7tfLeBmhj1u-dRFRs_8GwSoA/edit#gid=0"",""Gestores Escolares!D7:J""),6,0),""VERIFICAR CÓD SEC"")"),"FRANCISCO DE ARAUJO LEAL")</f>
        <v>FRANCISCO DE ARAUJO LEAL</v>
      </c>
      <c r="P75" s="82" t="str">
        <f>IFERROR(__xludf.DUMMYFUNCTION("IFERROR(VLOOKUP(D75,
IMPORTRANGE(""https://docs.google.com/spreadsheets/d/1MjHtlUikwobi2MaWJgy7tfLeBmhj1u-dRFRs_8GwSoA/edit#gid=0"",""Gestores Escolares!D7:J""),7,0),""VERIFICAR CÓD SEC"")"),"(74) 9 8836-8463")</f>
        <v>(74) 9 8836-8463</v>
      </c>
      <c r="Q75" s="82" t="str">
        <f>IFERROR(__xludf.DUMMYFUNCTION("IFERROR(VLOOKUP(D75,
IMPORTRANGE(""https://docs.google.com/spreadsheets/d/1MjHtlUikwobi2MaWJgy7tfLeBmhj1u-dRFRs_8GwSoA/edit#gid=0"",""Gestores Escolares!D7:m""),9,0),""VERIFICAR CÓD SEC"")"),"CLAUDEMIR CELSO LIMA")</f>
        <v>CLAUDEMIR CELSO LIMA</v>
      </c>
      <c r="R75" s="82" t="str">
        <f>IFERROR(__xludf.DUMMYFUNCTION("IFERROR(VLOOKUP(D75,
IMPORTRANGE(""https://docs.google.com/spreadsheets/d/1MjHtlUikwobi2MaWJgy7tfLeBmhj1u-dRFRs_8GwSoA/edit#gid=0"",""Gestores Escolares!D7:m""),10,0),""VERIFICAR CÓD SEC"")"),"(74) 9 9952-3072")</f>
        <v>(74) 9 9952-3072</v>
      </c>
      <c r="S75" s="82"/>
      <c r="T75" s="138">
        <v>1.0</v>
      </c>
      <c r="U75" s="145">
        <v>1.0</v>
      </c>
      <c r="V75" s="106">
        <v>0.0</v>
      </c>
      <c r="W75" s="107">
        <v>0.0</v>
      </c>
      <c r="X75" s="107">
        <v>0.0</v>
      </c>
      <c r="Y75" s="107">
        <v>0.0</v>
      </c>
      <c r="Z75" s="80">
        <f t="shared" si="1"/>
        <v>0</v>
      </c>
      <c r="AA75" s="106">
        <v>0.0</v>
      </c>
      <c r="AB75" s="107">
        <v>0.0</v>
      </c>
      <c r="AC75" s="107">
        <v>0.0</v>
      </c>
      <c r="AD75" s="107">
        <v>0.0</v>
      </c>
      <c r="AE75" s="80">
        <f t="shared" si="2"/>
        <v>0</v>
      </c>
      <c r="AF75" s="140">
        <v>35.0</v>
      </c>
      <c r="AG75" s="109">
        <v>25.0</v>
      </c>
      <c r="AH75" s="109">
        <v>28.0</v>
      </c>
      <c r="AI75" s="141">
        <v>0.0</v>
      </c>
      <c r="AJ75" s="80">
        <f t="shared" si="3"/>
        <v>88</v>
      </c>
      <c r="AK75" s="140">
        <v>0.0</v>
      </c>
      <c r="AL75" s="109">
        <v>0.0</v>
      </c>
      <c r="AM75" s="141">
        <v>0.0</v>
      </c>
      <c r="AN75" s="80">
        <f t="shared" si="4"/>
        <v>0</v>
      </c>
      <c r="AO75" s="140">
        <v>0.0</v>
      </c>
      <c r="AP75" s="109">
        <v>0.0</v>
      </c>
      <c r="AQ75" s="109">
        <v>0.0</v>
      </c>
      <c r="AR75" s="80">
        <f t="shared" si="5"/>
        <v>0</v>
      </c>
      <c r="AS75" s="110">
        <v>0.0</v>
      </c>
      <c r="AT75" s="110">
        <v>0.0</v>
      </c>
      <c r="AU75" s="110">
        <v>0.0</v>
      </c>
      <c r="AV75" s="142">
        <v>0.0</v>
      </c>
      <c r="AW75" s="80">
        <f t="shared" si="6"/>
        <v>0</v>
      </c>
      <c r="AX75" s="113">
        <f t="shared" si="7"/>
        <v>88</v>
      </c>
      <c r="AY75" s="117">
        <f t="shared" si="8"/>
        <v>60</v>
      </c>
      <c r="AZ75" s="120">
        <f t="shared" si="9"/>
        <v>28</v>
      </c>
      <c r="BA75" s="115">
        <v>0.0</v>
      </c>
      <c r="BB75" s="89">
        <f t="shared" si="10"/>
        <v>88</v>
      </c>
      <c r="BC75" s="132" t="s">
        <v>178</v>
      </c>
      <c r="BD75" s="143" t="s">
        <v>227</v>
      </c>
      <c r="BE75" s="132" t="s">
        <v>178</v>
      </c>
      <c r="BF75" s="179"/>
      <c r="BG75" s="83">
        <v>1178811.0</v>
      </c>
      <c r="BH75" s="144"/>
      <c r="BI75" s="112">
        <v>1.0</v>
      </c>
      <c r="BJ75" s="98" t="s">
        <v>155</v>
      </c>
      <c r="BK75" s="99">
        <f t="shared" si="11"/>
        <v>0</v>
      </c>
      <c r="BL75" s="99">
        <f t="shared" si="12"/>
        <v>60</v>
      </c>
      <c r="BM75" s="99" t="str">
        <f>IFERROR(__xludf.DUMMYFUNCTION("IFERROR(VLOOKUP(BG75,IMPORTRANGE(""https://docs.google.com/spreadsheets/d/1juPI-Fb8LD0YtltB2mlGEnp_R3UVu1t3wSFPzgCyHXE/edit?gid=0#gid=0"",""GERAL!A2:C""),3,0),""-"")"),"-")</f>
        <v>-</v>
      </c>
    </row>
    <row r="76" ht="15.75" customHeight="1">
      <c r="A76" s="111" t="s">
        <v>205</v>
      </c>
      <c r="B76" s="83" t="s">
        <v>426</v>
      </c>
      <c r="C76" s="83" t="s">
        <v>164</v>
      </c>
      <c r="D76" s="112">
        <v>1179431.0</v>
      </c>
      <c r="E76" s="83">
        <v>1178810.0</v>
      </c>
      <c r="F76" s="98">
        <v>2.9464374E7</v>
      </c>
      <c r="G76" s="114" t="s">
        <v>465</v>
      </c>
      <c r="H76" s="91" t="s">
        <v>466</v>
      </c>
      <c r="I76" s="83" t="s">
        <v>149</v>
      </c>
      <c r="J76" s="83" t="s">
        <v>467</v>
      </c>
      <c r="K76" s="83" t="s">
        <v>168</v>
      </c>
      <c r="L76" s="83" t="s">
        <v>169</v>
      </c>
      <c r="M76" s="82" t="str">
        <f>IFERROR(__xludf.DUMMYFUNCTION("IFERROR(VLOOKUP(D76,
IMPORTRANGE(""https://docs.google.com/spreadsheets/d/1MjHtlUikwobi2MaWJgy7tfLeBmhj1u-dRFRs_8GwSoA/edit#gid=0"",""Gestores Escolares!D7:J""),3,0),""VERIFICAR CÓD SEC"")"),"NEIDE RAFAEL DE SOUZA ROCHA")</f>
        <v>NEIDE RAFAEL DE SOUZA ROCHA</v>
      </c>
      <c r="N76" s="82" t="str">
        <f>IFERROR(__xludf.DUMMYFUNCTION("IFERROR(VLOOKUP(D76,
IMPORTRANGE(""https://docs.google.com/spreadsheets/d/1MjHtlUikwobi2MaWJgy7tfLeBmhj1u-dRFRs_8GwSoA/edit#gid=0"",""Gestores Escolares!D7:J""),4,0),""VERIFICAR CÓD SEC"")"),"(74) 9 9807-3175")</f>
        <v>(74) 9 9807-3175</v>
      </c>
      <c r="O76" s="82" t="str">
        <f>IFERROR(__xludf.DUMMYFUNCTION("IFERROR(VLOOKUP(D76,
IMPORTRANGE(""https://docs.google.com/spreadsheets/d/1MjHtlUikwobi2MaWJgy7tfLeBmhj1u-dRFRs_8GwSoA/edit#gid=0"",""Gestores Escolares!D7:J""),6,0),""VERIFICAR CÓD SEC"")"),"FRANCISCO DE ARAUJO LEAL")</f>
        <v>FRANCISCO DE ARAUJO LEAL</v>
      </c>
      <c r="P76" s="82" t="str">
        <f>IFERROR(__xludf.DUMMYFUNCTION("IFERROR(VLOOKUP(D76,
IMPORTRANGE(""https://docs.google.com/spreadsheets/d/1MjHtlUikwobi2MaWJgy7tfLeBmhj1u-dRFRs_8GwSoA/edit#gid=0"",""Gestores Escolares!D7:J""),7,0),""VERIFICAR CÓD SEC"")"),"(74) 9 8836-8463")</f>
        <v>(74) 9 8836-8463</v>
      </c>
      <c r="Q76" s="82" t="str">
        <f>IFERROR(__xludf.DUMMYFUNCTION("IFERROR(VLOOKUP(D76,
IMPORTRANGE(""https://docs.google.com/spreadsheets/d/1MjHtlUikwobi2MaWJgy7tfLeBmhj1u-dRFRs_8GwSoA/edit#gid=0"",""Gestores Escolares!D7:m""),9,0),""VERIFICAR CÓD SEC"")"),"CLAUDEMIR CELSO LIMA")</f>
        <v>CLAUDEMIR CELSO LIMA</v>
      </c>
      <c r="R76" s="82" t="str">
        <f>IFERROR(__xludf.DUMMYFUNCTION("IFERROR(VLOOKUP(D76,
IMPORTRANGE(""https://docs.google.com/spreadsheets/d/1MjHtlUikwobi2MaWJgy7tfLeBmhj1u-dRFRs_8GwSoA/edit#gid=0"",""Gestores Escolares!D7:m""),10,0),""VERIFICAR CÓD SEC"")"),"(74) 9 9952-3072")</f>
        <v>(74) 9 9952-3072</v>
      </c>
      <c r="S76" s="82"/>
      <c r="T76" s="138">
        <v>1.0</v>
      </c>
      <c r="U76" s="145">
        <v>2.0</v>
      </c>
      <c r="V76" s="106">
        <v>0.0</v>
      </c>
      <c r="W76" s="107">
        <v>0.0</v>
      </c>
      <c r="X76" s="107">
        <v>0.0</v>
      </c>
      <c r="Y76" s="107">
        <v>0.0</v>
      </c>
      <c r="Z76" s="80">
        <f t="shared" si="1"/>
        <v>0</v>
      </c>
      <c r="AA76" s="106">
        <v>0.0</v>
      </c>
      <c r="AB76" s="107">
        <v>0.0</v>
      </c>
      <c r="AC76" s="107">
        <v>0.0</v>
      </c>
      <c r="AD76" s="107">
        <v>0.0</v>
      </c>
      <c r="AE76" s="80">
        <f t="shared" si="2"/>
        <v>0</v>
      </c>
      <c r="AF76" s="140">
        <v>10.0</v>
      </c>
      <c r="AG76" s="109">
        <v>22.0</v>
      </c>
      <c r="AH76" s="109">
        <v>16.0</v>
      </c>
      <c r="AI76" s="141">
        <v>0.0</v>
      </c>
      <c r="AJ76" s="80">
        <f t="shared" si="3"/>
        <v>48</v>
      </c>
      <c r="AK76" s="140">
        <v>0.0</v>
      </c>
      <c r="AL76" s="109">
        <v>0.0</v>
      </c>
      <c r="AM76" s="141">
        <v>0.0</v>
      </c>
      <c r="AN76" s="80">
        <f t="shared" si="4"/>
        <v>0</v>
      </c>
      <c r="AO76" s="140">
        <v>0.0</v>
      </c>
      <c r="AP76" s="109">
        <v>0.0</v>
      </c>
      <c r="AQ76" s="109">
        <v>0.0</v>
      </c>
      <c r="AR76" s="80">
        <f t="shared" si="5"/>
        <v>0</v>
      </c>
      <c r="AS76" s="110">
        <v>0.0</v>
      </c>
      <c r="AT76" s="110">
        <v>0.0</v>
      </c>
      <c r="AU76" s="110">
        <v>0.0</v>
      </c>
      <c r="AV76" s="142">
        <v>0.0</v>
      </c>
      <c r="AW76" s="80">
        <f t="shared" si="6"/>
        <v>0</v>
      </c>
      <c r="AX76" s="113">
        <f t="shared" si="7"/>
        <v>48</v>
      </c>
      <c r="AY76" s="117">
        <f t="shared" si="8"/>
        <v>32</v>
      </c>
      <c r="AZ76" s="120">
        <f t="shared" si="9"/>
        <v>16</v>
      </c>
      <c r="BA76" s="115">
        <v>0.0</v>
      </c>
      <c r="BB76" s="89">
        <f t="shared" si="10"/>
        <v>48</v>
      </c>
      <c r="BC76" s="132" t="s">
        <v>178</v>
      </c>
      <c r="BD76" s="143" t="s">
        <v>227</v>
      </c>
      <c r="BE76" s="132" t="s">
        <v>178</v>
      </c>
      <c r="BF76" s="123"/>
      <c r="BG76" s="83">
        <v>1178810.0</v>
      </c>
      <c r="BH76" s="144"/>
      <c r="BI76" s="112">
        <v>1.0</v>
      </c>
      <c r="BJ76" s="98" t="s">
        <v>155</v>
      </c>
      <c r="BK76" s="99">
        <f t="shared" si="11"/>
        <v>0</v>
      </c>
      <c r="BL76" s="99">
        <f t="shared" si="12"/>
        <v>32</v>
      </c>
      <c r="BM76" s="99" t="str">
        <f>IFERROR(__xludf.DUMMYFUNCTION("IFERROR(VLOOKUP(BG76,IMPORTRANGE(""https://docs.google.com/spreadsheets/d/1juPI-Fb8LD0YtltB2mlGEnp_R3UVu1t3wSFPzgCyHXE/edit?gid=0#gid=0"",""GERAL!A2:C""),3,0),""-"")"),"-")</f>
        <v>-</v>
      </c>
    </row>
    <row r="77" ht="15.75" customHeight="1">
      <c r="A77" s="111" t="s">
        <v>205</v>
      </c>
      <c r="B77" s="83" t="s">
        <v>426</v>
      </c>
      <c r="C77" s="83" t="s">
        <v>164</v>
      </c>
      <c r="D77" s="112">
        <v>1179431.0</v>
      </c>
      <c r="E77" s="83">
        <v>1179451.0</v>
      </c>
      <c r="F77" s="98">
        <v>2.9464374E7</v>
      </c>
      <c r="G77" s="114" t="s">
        <v>468</v>
      </c>
      <c r="H77" s="91" t="s">
        <v>469</v>
      </c>
      <c r="I77" s="83" t="s">
        <v>470</v>
      </c>
      <c r="J77" s="83" t="s">
        <v>471</v>
      </c>
      <c r="K77" s="83" t="s">
        <v>168</v>
      </c>
      <c r="L77" s="83" t="s">
        <v>169</v>
      </c>
      <c r="M77" s="82" t="str">
        <f>IFERROR(__xludf.DUMMYFUNCTION("IFERROR(VLOOKUP(D77,
IMPORTRANGE(""https://docs.google.com/spreadsheets/d/1MjHtlUikwobi2MaWJgy7tfLeBmhj1u-dRFRs_8GwSoA/edit#gid=0"",""Gestores Escolares!D7:J""),3,0),""VERIFICAR CÓD SEC"")"),"NEIDE RAFAEL DE SOUZA ROCHA")</f>
        <v>NEIDE RAFAEL DE SOUZA ROCHA</v>
      </c>
      <c r="N77" s="82" t="str">
        <f>IFERROR(__xludf.DUMMYFUNCTION("IFERROR(VLOOKUP(D77,
IMPORTRANGE(""https://docs.google.com/spreadsheets/d/1MjHtlUikwobi2MaWJgy7tfLeBmhj1u-dRFRs_8GwSoA/edit#gid=0"",""Gestores Escolares!D7:J""),4,0),""VERIFICAR CÓD SEC"")"),"(74) 9 9807-3175")</f>
        <v>(74) 9 9807-3175</v>
      </c>
      <c r="O77" s="82" t="str">
        <f>IFERROR(__xludf.DUMMYFUNCTION("IFERROR(VLOOKUP(D77,
IMPORTRANGE(""https://docs.google.com/spreadsheets/d/1MjHtlUikwobi2MaWJgy7tfLeBmhj1u-dRFRs_8GwSoA/edit#gid=0"",""Gestores Escolares!D7:J""),6,0),""VERIFICAR CÓD SEC"")"),"FRANCISCO DE ARAUJO LEAL")</f>
        <v>FRANCISCO DE ARAUJO LEAL</v>
      </c>
      <c r="P77" s="82" t="str">
        <f>IFERROR(__xludf.DUMMYFUNCTION("IFERROR(VLOOKUP(D77,
IMPORTRANGE(""https://docs.google.com/spreadsheets/d/1MjHtlUikwobi2MaWJgy7tfLeBmhj1u-dRFRs_8GwSoA/edit#gid=0"",""Gestores Escolares!D7:J""),7,0),""VERIFICAR CÓD SEC"")"),"(74) 9 8836-8463")</f>
        <v>(74) 9 8836-8463</v>
      </c>
      <c r="Q77" s="82" t="str">
        <f>IFERROR(__xludf.DUMMYFUNCTION("IFERROR(VLOOKUP(D77,
IMPORTRANGE(""https://docs.google.com/spreadsheets/d/1MjHtlUikwobi2MaWJgy7tfLeBmhj1u-dRFRs_8GwSoA/edit#gid=0"",""Gestores Escolares!D7:m""),9,0),""VERIFICAR CÓD SEC"")"),"CLAUDEMIR CELSO LIMA")</f>
        <v>CLAUDEMIR CELSO LIMA</v>
      </c>
      <c r="R77" s="82" t="str">
        <f>IFERROR(__xludf.DUMMYFUNCTION("IFERROR(VLOOKUP(D77,
IMPORTRANGE(""https://docs.google.com/spreadsheets/d/1MjHtlUikwobi2MaWJgy7tfLeBmhj1u-dRFRs_8GwSoA/edit#gid=0"",""Gestores Escolares!D7:m""),10,0),""VERIFICAR CÓD SEC"")"),"(74) 9 9952-3072")</f>
        <v>(74) 9 9952-3072</v>
      </c>
      <c r="S77" s="82"/>
      <c r="T77" s="138">
        <v>1.0</v>
      </c>
      <c r="U77" s="145">
        <v>2.0</v>
      </c>
      <c r="V77" s="216">
        <v>0.0</v>
      </c>
      <c r="W77" s="107">
        <v>0.0</v>
      </c>
      <c r="X77" s="107">
        <v>0.0</v>
      </c>
      <c r="Y77" s="107">
        <v>0.0</v>
      </c>
      <c r="Z77" s="80">
        <f t="shared" si="1"/>
        <v>0</v>
      </c>
      <c r="AA77" s="106">
        <v>0.0</v>
      </c>
      <c r="AB77" s="107">
        <v>0.0</v>
      </c>
      <c r="AC77" s="107">
        <v>0.0</v>
      </c>
      <c r="AD77" s="107">
        <v>0.0</v>
      </c>
      <c r="AE77" s="80">
        <f t="shared" si="2"/>
        <v>0</v>
      </c>
      <c r="AF77" s="140">
        <v>15.0</v>
      </c>
      <c r="AG77" s="109">
        <v>12.0</v>
      </c>
      <c r="AH77" s="109">
        <v>17.0</v>
      </c>
      <c r="AI77" s="141">
        <v>0.0</v>
      </c>
      <c r="AJ77" s="80">
        <f t="shared" si="3"/>
        <v>44</v>
      </c>
      <c r="AK77" s="140">
        <v>0.0</v>
      </c>
      <c r="AL77" s="109">
        <v>0.0</v>
      </c>
      <c r="AM77" s="141">
        <v>0.0</v>
      </c>
      <c r="AN77" s="80">
        <f t="shared" si="4"/>
        <v>0</v>
      </c>
      <c r="AO77" s="140">
        <v>0.0</v>
      </c>
      <c r="AP77" s="109">
        <v>0.0</v>
      </c>
      <c r="AQ77" s="109">
        <v>0.0</v>
      </c>
      <c r="AR77" s="80">
        <f t="shared" si="5"/>
        <v>0</v>
      </c>
      <c r="AS77" s="110">
        <v>0.0</v>
      </c>
      <c r="AT77" s="110">
        <v>0.0</v>
      </c>
      <c r="AU77" s="110">
        <v>0.0</v>
      </c>
      <c r="AV77" s="142">
        <v>0.0</v>
      </c>
      <c r="AW77" s="80">
        <f t="shared" si="6"/>
        <v>0</v>
      </c>
      <c r="AX77" s="113">
        <f t="shared" si="7"/>
        <v>44</v>
      </c>
      <c r="AY77" s="117">
        <f t="shared" si="8"/>
        <v>27</v>
      </c>
      <c r="AZ77" s="120">
        <f t="shared" si="9"/>
        <v>17</v>
      </c>
      <c r="BA77" s="115">
        <v>0.0</v>
      </c>
      <c r="BB77" s="89">
        <f t="shared" si="10"/>
        <v>44</v>
      </c>
      <c r="BC77" s="132" t="s">
        <v>178</v>
      </c>
      <c r="BD77" s="143" t="s">
        <v>227</v>
      </c>
      <c r="BE77" s="132" t="s">
        <v>178</v>
      </c>
      <c r="BF77" s="156"/>
      <c r="BG77" s="83">
        <v>1179451.0</v>
      </c>
      <c r="BH77" s="144"/>
      <c r="BI77" s="112">
        <v>1.0</v>
      </c>
      <c r="BJ77" s="98" t="s">
        <v>155</v>
      </c>
      <c r="BK77" s="99">
        <f t="shared" si="11"/>
        <v>0</v>
      </c>
      <c r="BL77" s="99">
        <f t="shared" si="12"/>
        <v>27</v>
      </c>
      <c r="BM77" s="99" t="str">
        <f>IFERROR(__xludf.DUMMYFUNCTION("IFERROR(VLOOKUP(BG77,IMPORTRANGE(""https://docs.google.com/spreadsheets/d/1juPI-Fb8LD0YtltB2mlGEnp_R3UVu1t3wSFPzgCyHXE/edit?gid=0#gid=0"",""GERAL!A2:C""),3,0),""-"")"),"-")</f>
        <v>-</v>
      </c>
    </row>
    <row r="78" ht="15.75" customHeight="1">
      <c r="A78" s="111" t="s">
        <v>205</v>
      </c>
      <c r="B78" s="83" t="s">
        <v>472</v>
      </c>
      <c r="C78" s="83" t="s">
        <v>68</v>
      </c>
      <c r="D78" s="112">
        <v>1176437.0</v>
      </c>
      <c r="E78" s="83"/>
      <c r="F78" s="83">
        <v>2.9385334E7</v>
      </c>
      <c r="G78" s="114" t="s">
        <v>473</v>
      </c>
      <c r="H78" s="91" t="s">
        <v>474</v>
      </c>
      <c r="I78" s="146" t="s">
        <v>475</v>
      </c>
      <c r="J78" s="83" t="s">
        <v>150</v>
      </c>
      <c r="K78" s="83" t="s">
        <v>151</v>
      </c>
      <c r="L78" s="83" t="s">
        <v>230</v>
      </c>
      <c r="M78" s="82" t="str">
        <f>IFERROR(__xludf.DUMMYFUNCTION("IFERROR(VLOOKUP(D78,
IMPORTRANGE(""https://docs.google.com/spreadsheets/d/1MjHtlUikwobi2MaWJgy7tfLeBmhj1u-dRFRs_8GwSoA/edit#gid=0"",""Gestores Escolares!D7:J""),3,0),""VERIFICAR CÓD SEC"")"),"MANOELA CARDOSO DE MOURA")</f>
        <v>MANOELA CARDOSO DE MOURA</v>
      </c>
      <c r="N78" s="82" t="str">
        <f>IFERROR(__xludf.DUMMYFUNCTION("IFERROR(VLOOKUP(D78,
IMPORTRANGE(""https://docs.google.com/spreadsheets/d/1MjHtlUikwobi2MaWJgy7tfLeBmhj1u-dRFRs_8GwSoA/edit#gid=0"",""Gestores Escolares!D7:J""),4,0),""VERIFICAR CÓD SEC"")"),"(77) 9 9991-0238")</f>
        <v>(77) 9 9991-0238</v>
      </c>
      <c r="O78" s="82" t="str">
        <f>IFERROR(__xludf.DUMMYFUNCTION("IFERROR(VLOOKUP(D78,
IMPORTRANGE(""https://docs.google.com/spreadsheets/d/1MjHtlUikwobi2MaWJgy7tfLeBmhj1u-dRFRs_8GwSoA/edit#gid=0"",""Gestores Escolares!D7:J""),6,0),""VERIFICAR CÓD SEC"")"),"MONACITA PINTO REIS")</f>
        <v>MONACITA PINTO REIS</v>
      </c>
      <c r="P78" s="82" t="str">
        <f>IFERROR(__xludf.DUMMYFUNCTION("IFERROR(VLOOKUP(D78,
IMPORTRANGE(""https://docs.google.com/spreadsheets/d/1MjHtlUikwobi2MaWJgy7tfLeBmhj1u-dRFRs_8GwSoA/edit#gid=0"",""Gestores Escolares!D7:J""),7,0),""VERIFICAR CÓD SEC"")"),"(77) 9 9977-7646")</f>
        <v>(77) 9 9977-7646</v>
      </c>
      <c r="Q78" s="82" t="str">
        <f>IFERROR(__xludf.DUMMYFUNCTION("IFERROR(VLOOKUP(D78,
IMPORTRANGE(""https://docs.google.com/spreadsheets/d/1MjHtlUikwobi2MaWJgy7tfLeBmhj1u-dRFRs_8GwSoA/edit#gid=0"",""Gestores Escolares!D7:m""),9,0),""VERIFICAR CÓD SEC"")"),"AYRLEIDE MARIA MIRANDA PEREIRA")</f>
        <v>AYRLEIDE MARIA MIRANDA PEREIRA</v>
      </c>
      <c r="R78" s="82" t="str">
        <f>IFERROR(__xludf.DUMMYFUNCTION("IFERROR(VLOOKUP(D78,
IMPORTRANGE(""https://docs.google.com/spreadsheets/d/1MjHtlUikwobi2MaWJgy7tfLeBmhj1u-dRFRs_8GwSoA/edit#gid=0"",""Gestores Escolares!D7:m""),10,0),""VERIFICAR CÓD SEC"")"),"(77) 9 9131-2149")</f>
        <v>(77) 9 9131-2149</v>
      </c>
      <c r="S78" s="82"/>
      <c r="T78" s="138">
        <v>19.0</v>
      </c>
      <c r="U78" s="217">
        <v>16.0</v>
      </c>
      <c r="V78" s="106">
        <v>0.0</v>
      </c>
      <c r="W78" s="107">
        <v>0.0</v>
      </c>
      <c r="X78" s="107">
        <v>0.0</v>
      </c>
      <c r="Y78" s="107">
        <v>0.0</v>
      </c>
      <c r="Z78" s="80">
        <f t="shared" si="1"/>
        <v>0</v>
      </c>
      <c r="AA78" s="106">
        <v>0.0</v>
      </c>
      <c r="AB78" s="107">
        <v>0.0</v>
      </c>
      <c r="AC78" s="107">
        <v>0.0</v>
      </c>
      <c r="AD78" s="107">
        <v>0.0</v>
      </c>
      <c r="AE78" s="80">
        <f t="shared" si="2"/>
        <v>0</v>
      </c>
      <c r="AF78" s="140">
        <v>459.0</v>
      </c>
      <c r="AG78" s="109">
        <v>152.0</v>
      </c>
      <c r="AH78" s="109">
        <v>0.0</v>
      </c>
      <c r="AI78" s="141">
        <v>16.0</v>
      </c>
      <c r="AJ78" s="80">
        <f t="shared" si="3"/>
        <v>627</v>
      </c>
      <c r="AK78" s="140">
        <v>0.0</v>
      </c>
      <c r="AL78" s="109">
        <v>0.0</v>
      </c>
      <c r="AM78" s="141">
        <v>0.0</v>
      </c>
      <c r="AN78" s="80">
        <f t="shared" si="4"/>
        <v>0</v>
      </c>
      <c r="AO78" s="140">
        <v>0.0</v>
      </c>
      <c r="AP78" s="109">
        <v>0.0</v>
      </c>
      <c r="AQ78" s="109">
        <v>93.0</v>
      </c>
      <c r="AR78" s="80">
        <f t="shared" si="5"/>
        <v>93</v>
      </c>
      <c r="AS78" s="110">
        <v>0.0</v>
      </c>
      <c r="AT78" s="110">
        <v>0.0</v>
      </c>
      <c r="AU78" s="110">
        <v>14.0</v>
      </c>
      <c r="AV78" s="142">
        <v>64.0</v>
      </c>
      <c r="AW78" s="80">
        <f t="shared" si="6"/>
        <v>78</v>
      </c>
      <c r="AX78" s="113">
        <f t="shared" si="7"/>
        <v>798</v>
      </c>
      <c r="AY78" s="117">
        <f t="shared" si="8"/>
        <v>691</v>
      </c>
      <c r="AZ78" s="120">
        <f t="shared" si="9"/>
        <v>107</v>
      </c>
      <c r="BA78" s="115">
        <v>0.0</v>
      </c>
      <c r="BB78" s="89">
        <f t="shared" si="10"/>
        <v>798</v>
      </c>
      <c r="BC78" s="132" t="s">
        <v>178</v>
      </c>
      <c r="BD78" s="132" t="s">
        <v>178</v>
      </c>
      <c r="BE78" s="132" t="s">
        <v>178</v>
      </c>
      <c r="BF78" s="156"/>
      <c r="BG78" s="83">
        <v>1176437.0</v>
      </c>
      <c r="BH78" s="171" t="s">
        <v>476</v>
      </c>
      <c r="BI78" s="112">
        <v>16.0</v>
      </c>
      <c r="BJ78" s="98" t="s">
        <v>155</v>
      </c>
      <c r="BK78" s="99">
        <f t="shared" si="11"/>
        <v>80</v>
      </c>
      <c r="BL78" s="99">
        <f t="shared" si="12"/>
        <v>611</v>
      </c>
      <c r="BM78" s="99" t="str">
        <f>IFERROR(__xludf.DUMMYFUNCTION("IFERROR(VLOOKUP(BG78,IMPORTRANGE(""https://docs.google.com/spreadsheets/d/1juPI-Fb8LD0YtltB2mlGEnp_R3UVu1t3wSFPzgCyHXE/edit?gid=0#gid=0"",""GERAL!A2:C""),3,0),""-"")"),"-")</f>
        <v>-</v>
      </c>
    </row>
    <row r="79" ht="15.75" customHeight="1">
      <c r="A79" s="111" t="s">
        <v>205</v>
      </c>
      <c r="B79" s="83" t="s">
        <v>472</v>
      </c>
      <c r="C79" s="83" t="s">
        <v>68</v>
      </c>
      <c r="D79" s="112">
        <v>1131720.0</v>
      </c>
      <c r="E79" s="83"/>
      <c r="F79" s="83">
        <v>2.9043085E7</v>
      </c>
      <c r="G79" s="114" t="s">
        <v>479</v>
      </c>
      <c r="H79" s="91" t="s">
        <v>480</v>
      </c>
      <c r="I79" s="83" t="s">
        <v>149</v>
      </c>
      <c r="J79" s="83" t="s">
        <v>150</v>
      </c>
      <c r="K79" s="83" t="s">
        <v>151</v>
      </c>
      <c r="L79" s="83" t="s">
        <v>230</v>
      </c>
      <c r="M79" s="82" t="str">
        <f>IFERROR(__xludf.DUMMYFUNCTION("IFERROR(VLOOKUP(D79,
IMPORTRANGE(""https://docs.google.com/spreadsheets/d/1MjHtlUikwobi2MaWJgy7tfLeBmhj1u-dRFRs_8GwSoA/edit#gid=0"",""Gestores Escolares!D7:J""),3,0),""VERIFICAR CÓD SEC"")"),"ISABEL GEANNE FELISBELA NEVES RIBEIRO")</f>
        <v>ISABEL GEANNE FELISBELA NEVES RIBEIRO</v>
      </c>
      <c r="N79" s="82" t="str">
        <f>IFERROR(__xludf.DUMMYFUNCTION("IFERROR(VLOOKUP(D79,
IMPORTRANGE(""https://docs.google.com/spreadsheets/d/1MjHtlUikwobi2MaWJgy7tfLeBmhj1u-dRFRs_8GwSoA/edit#gid=0"",""Gestores Escolares!D7:J""),4,0),""VERIFICAR CÓD SEC"")"),"(77) 9 8134-4582")</f>
        <v>(77) 9 8134-4582</v>
      </c>
      <c r="O79" s="82" t="str">
        <f>IFERROR(__xludf.DUMMYFUNCTION("IFERROR(VLOOKUP(D79,
IMPORTRANGE(""https://docs.google.com/spreadsheets/d/1MjHtlUikwobi2MaWJgy7tfLeBmhj1u-dRFRs_8GwSoA/edit#gid=0"",""Gestores Escolares!D7:J""),6,0),""VERIFICAR CÓD SEC"")"),"MARCIO FERREIRA DO NASCIMENTO ")</f>
        <v>MARCIO FERREIRA DO NASCIMENTO </v>
      </c>
      <c r="P79" s="82" t="str">
        <f>IFERROR(__xludf.DUMMYFUNCTION("IFERROR(VLOOKUP(D79,
IMPORTRANGE(""https://docs.google.com/spreadsheets/d/1MjHtlUikwobi2MaWJgy7tfLeBmhj1u-dRFRs_8GwSoA/edit#gid=0"",""Gestores Escolares!D7:J""),7,0),""VERIFICAR CÓD SEC"")"),"(77) 9 9943-0277")</f>
        <v>(77) 9 9943-0277</v>
      </c>
      <c r="Q79" s="82" t="str">
        <f>IFERROR(__xludf.DUMMYFUNCTION("IFERROR(VLOOKUP(D79,
IMPORTRANGE(""https://docs.google.com/spreadsheets/d/1MjHtlUikwobi2MaWJgy7tfLeBmhj1u-dRFRs_8GwSoA/edit#gid=0"",""Gestores Escolares!D7:m""),9,0),""VERIFICAR CÓD SEC"")"),"CLAUDIA MARIA DA SILVA COSTA")</f>
        <v>CLAUDIA MARIA DA SILVA COSTA</v>
      </c>
      <c r="R79" s="82" t="str">
        <f>IFERROR(__xludf.DUMMYFUNCTION("IFERROR(VLOOKUP(D79,
IMPORTRANGE(""https://docs.google.com/spreadsheets/d/1MjHtlUikwobi2MaWJgy7tfLeBmhj1u-dRFRs_8GwSoA/edit#gid=0"",""Gestores Escolares!D7:m""),10,0),""VERIFICAR CÓD SEC"")"),"(77) 9 8837-6598")</f>
        <v>(77) 9 8837-6598</v>
      </c>
      <c r="S79" s="82"/>
      <c r="T79" s="138">
        <v>22.0</v>
      </c>
      <c r="U79" s="217">
        <v>41.0</v>
      </c>
      <c r="V79" s="106">
        <v>0.0</v>
      </c>
      <c r="W79" s="107">
        <v>0.0</v>
      </c>
      <c r="X79" s="107">
        <v>0.0</v>
      </c>
      <c r="Y79" s="107">
        <v>0.0</v>
      </c>
      <c r="Z79" s="80">
        <f t="shared" si="1"/>
        <v>0</v>
      </c>
      <c r="AA79" s="106">
        <v>0.0</v>
      </c>
      <c r="AB79" s="107">
        <v>0.0</v>
      </c>
      <c r="AC79" s="107">
        <v>0.0</v>
      </c>
      <c r="AD79" s="107">
        <v>0.0</v>
      </c>
      <c r="AE79" s="80">
        <f t="shared" si="2"/>
        <v>0</v>
      </c>
      <c r="AF79" s="140">
        <v>184.0</v>
      </c>
      <c r="AG79" s="109">
        <v>212.0</v>
      </c>
      <c r="AH79" s="109">
        <v>0.0</v>
      </c>
      <c r="AI79" s="141">
        <v>54.0</v>
      </c>
      <c r="AJ79" s="80">
        <f t="shared" si="3"/>
        <v>450</v>
      </c>
      <c r="AK79" s="140">
        <v>0.0</v>
      </c>
      <c r="AL79" s="109">
        <v>0.0</v>
      </c>
      <c r="AM79" s="141">
        <v>0.0</v>
      </c>
      <c r="AN79" s="80">
        <f t="shared" si="4"/>
        <v>0</v>
      </c>
      <c r="AO79" s="140">
        <v>0.0</v>
      </c>
      <c r="AP79" s="109">
        <v>0.0</v>
      </c>
      <c r="AQ79" s="109">
        <v>189.0</v>
      </c>
      <c r="AR79" s="80">
        <f t="shared" si="5"/>
        <v>189</v>
      </c>
      <c r="AS79" s="110">
        <v>111.0</v>
      </c>
      <c r="AT79" s="110">
        <v>24.0</v>
      </c>
      <c r="AU79" s="110">
        <v>0.0</v>
      </c>
      <c r="AV79" s="142">
        <v>155.0</v>
      </c>
      <c r="AW79" s="80">
        <f t="shared" si="6"/>
        <v>290</v>
      </c>
      <c r="AX79" s="113">
        <f t="shared" si="7"/>
        <v>929</v>
      </c>
      <c r="AY79" s="117">
        <f t="shared" si="8"/>
        <v>740</v>
      </c>
      <c r="AZ79" s="120">
        <f t="shared" si="9"/>
        <v>189</v>
      </c>
      <c r="BA79" s="115">
        <v>0.0</v>
      </c>
      <c r="BB79" s="89">
        <f t="shared" si="10"/>
        <v>929</v>
      </c>
      <c r="BC79" s="132" t="s">
        <v>178</v>
      </c>
      <c r="BD79" s="132" t="s">
        <v>178</v>
      </c>
      <c r="BE79" s="132" t="s">
        <v>178</v>
      </c>
      <c r="BF79" s="123"/>
      <c r="BG79" s="83">
        <v>1131720.0</v>
      </c>
      <c r="BH79" s="137" t="s">
        <v>481</v>
      </c>
      <c r="BI79" s="98">
        <v>23.0</v>
      </c>
      <c r="BJ79" s="98" t="s">
        <v>284</v>
      </c>
      <c r="BK79" s="99">
        <f t="shared" si="11"/>
        <v>209</v>
      </c>
      <c r="BL79" s="99">
        <f t="shared" si="12"/>
        <v>531</v>
      </c>
      <c r="BM79" s="99" t="str">
        <f>IFERROR(__xludf.DUMMYFUNCTION("IFERROR(VLOOKUP(BG79,IMPORTRANGE(""https://docs.google.com/spreadsheets/d/1juPI-Fb8LD0YtltB2mlGEnp_R3UVu1t3wSFPzgCyHXE/edit?gid=0#gid=0"",""GERAL!A2:C""),3,0),""-"")"),"-")</f>
        <v>-</v>
      </c>
    </row>
    <row r="80" ht="15.75" customHeight="1">
      <c r="A80" s="111" t="s">
        <v>205</v>
      </c>
      <c r="B80" s="83" t="s">
        <v>472</v>
      </c>
      <c r="C80" s="83" t="s">
        <v>68</v>
      </c>
      <c r="D80" s="112">
        <v>1179668.0</v>
      </c>
      <c r="E80" s="83"/>
      <c r="F80" s="83">
        <v>2.9474892E7</v>
      </c>
      <c r="G80" s="219" t="s">
        <v>483</v>
      </c>
      <c r="H80" s="91" t="s">
        <v>484</v>
      </c>
      <c r="I80" s="83" t="s">
        <v>149</v>
      </c>
      <c r="J80" s="83" t="s">
        <v>485</v>
      </c>
      <c r="K80" s="83" t="s">
        <v>168</v>
      </c>
      <c r="L80" s="83" t="s">
        <v>169</v>
      </c>
      <c r="M80" s="82" t="str">
        <f>IFERROR(__xludf.DUMMYFUNCTION("IFERROR(VLOOKUP(D80,
IMPORTRANGE(""https://docs.google.com/spreadsheets/d/1MjHtlUikwobi2MaWJgy7tfLeBmhj1u-dRFRs_8GwSoA/edit#gid=0"",""Gestores Escolares!D7:J""),3,0),""VERIFICAR CÓD SEC"")"),"AILTON SILVA NASCIMENTO")</f>
        <v>AILTON SILVA NASCIMENTO</v>
      </c>
      <c r="N80" s="82" t="str">
        <f>IFERROR(__xludf.DUMMYFUNCTION("IFERROR(VLOOKUP(D80,
IMPORTRANGE(""https://docs.google.com/spreadsheets/d/1MjHtlUikwobi2MaWJgy7tfLeBmhj1u-dRFRs_8GwSoA/edit#gid=0"",""Gestores Escolares!D7:J""),4,0),""VERIFICAR CÓD SEC"")"),"(77) 9 9939-3884")</f>
        <v>(77) 9 9939-3884</v>
      </c>
      <c r="O80" s="82" t="str">
        <f>IFERROR(__xludf.DUMMYFUNCTION("IFERROR(VLOOKUP(D80,
IMPORTRANGE(""https://docs.google.com/spreadsheets/d/1MjHtlUikwobi2MaWJgy7tfLeBmhj1u-dRFRs_8GwSoA/edit#gid=0"",""Gestores Escolares!D7:J""),6,0),""VERIFICAR CÓD SEC"")"),"ELIANE SEIXAS ARAUJO ALMEIDA")</f>
        <v>ELIANE SEIXAS ARAUJO ALMEIDA</v>
      </c>
      <c r="P80" s="82" t="str">
        <f>IFERROR(__xludf.DUMMYFUNCTION("IFERROR(VLOOKUP(D80,
IMPORTRANGE(""https://docs.google.com/spreadsheets/d/1MjHtlUikwobi2MaWJgy7tfLeBmhj1u-dRFRs_8GwSoA/edit#gid=0"",""Gestores Escolares!D7:J""),7,0),""VERIFICAR CÓD SEC"")"),"(77) 9 9196-9932")</f>
        <v>(77) 9 9196-9932</v>
      </c>
      <c r="Q80" s="82" t="str">
        <f>IFERROR(__xludf.DUMMYFUNCTION("IFERROR(VLOOKUP(D80,
IMPORTRANGE(""https://docs.google.com/spreadsheets/d/1MjHtlUikwobi2MaWJgy7tfLeBmhj1u-dRFRs_8GwSoA/edit#gid=0"",""Gestores Escolares!D7:m""),9,0),""VERIFICAR CÓD SEC"")"),"")</f>
        <v/>
      </c>
      <c r="R80" s="82" t="str">
        <f>IFERROR(__xludf.DUMMYFUNCTION("IFERROR(VLOOKUP(D80,
IMPORTRANGE(""https://docs.google.com/spreadsheets/d/1MjHtlUikwobi2MaWJgy7tfLeBmhj1u-dRFRs_8GwSoA/edit#gid=0"",""Gestores Escolares!D7:m""),10,0),""VERIFICAR CÓD SEC"")"),"")</f>
        <v/>
      </c>
      <c r="S80" s="82"/>
      <c r="T80" s="138">
        <v>6.0</v>
      </c>
      <c r="U80" s="145" t="s">
        <v>986</v>
      </c>
      <c r="V80" s="106">
        <v>0.0</v>
      </c>
      <c r="W80" s="107">
        <v>0.0</v>
      </c>
      <c r="X80" s="107">
        <v>0.0</v>
      </c>
      <c r="Y80" s="107">
        <v>0.0</v>
      </c>
      <c r="Z80" s="80">
        <f t="shared" si="1"/>
        <v>0</v>
      </c>
      <c r="AA80" s="106">
        <v>0.0</v>
      </c>
      <c r="AB80" s="107">
        <v>0.0</v>
      </c>
      <c r="AC80" s="107">
        <v>0.0</v>
      </c>
      <c r="AD80" s="107">
        <v>0.0</v>
      </c>
      <c r="AE80" s="80">
        <f t="shared" si="2"/>
        <v>0</v>
      </c>
      <c r="AF80" s="140">
        <v>0.0</v>
      </c>
      <c r="AG80" s="109">
        <v>85.0</v>
      </c>
      <c r="AH80" s="109">
        <v>0.0</v>
      </c>
      <c r="AI80" s="141">
        <v>0.0</v>
      </c>
      <c r="AJ80" s="80">
        <f t="shared" si="3"/>
        <v>85</v>
      </c>
      <c r="AK80" s="140">
        <v>0.0</v>
      </c>
      <c r="AL80" s="109">
        <v>0.0</v>
      </c>
      <c r="AM80" s="141">
        <v>0.0</v>
      </c>
      <c r="AN80" s="80">
        <f t="shared" si="4"/>
        <v>0</v>
      </c>
      <c r="AO80" s="140">
        <v>0.0</v>
      </c>
      <c r="AP80" s="109">
        <v>0.0</v>
      </c>
      <c r="AQ80" s="109">
        <v>15.0</v>
      </c>
      <c r="AR80" s="80">
        <f t="shared" si="5"/>
        <v>15</v>
      </c>
      <c r="AS80" s="110">
        <v>0.0</v>
      </c>
      <c r="AT80" s="110">
        <v>0.0</v>
      </c>
      <c r="AU80" s="110">
        <v>0.0</v>
      </c>
      <c r="AV80" s="142">
        <v>0.0</v>
      </c>
      <c r="AW80" s="80">
        <f t="shared" si="6"/>
        <v>0</v>
      </c>
      <c r="AX80" s="113">
        <f t="shared" si="7"/>
        <v>100</v>
      </c>
      <c r="AY80" s="117">
        <f t="shared" si="8"/>
        <v>85</v>
      </c>
      <c r="AZ80" s="120">
        <f t="shared" si="9"/>
        <v>15</v>
      </c>
      <c r="BA80" s="115">
        <v>0.0</v>
      </c>
      <c r="BB80" s="89">
        <f t="shared" si="10"/>
        <v>100</v>
      </c>
      <c r="BC80" s="132" t="s">
        <v>178</v>
      </c>
      <c r="BD80" s="132" t="s">
        <v>178</v>
      </c>
      <c r="BE80" s="132" t="s">
        <v>178</v>
      </c>
      <c r="BF80" s="156"/>
      <c r="BG80" s="83">
        <v>1179668.0</v>
      </c>
      <c r="BH80" s="98" t="s">
        <v>486</v>
      </c>
      <c r="BI80" s="98">
        <v>5.0</v>
      </c>
      <c r="BJ80" s="98" t="s">
        <v>162</v>
      </c>
      <c r="BK80" s="99">
        <f t="shared" si="11"/>
        <v>0</v>
      </c>
      <c r="BL80" s="99">
        <f t="shared" si="12"/>
        <v>85</v>
      </c>
      <c r="BM80" s="99" t="str">
        <f>IFERROR(__xludf.DUMMYFUNCTION("IFERROR(VLOOKUP(BG80,IMPORTRANGE(""https://docs.google.com/spreadsheets/d/1juPI-Fb8LD0YtltB2mlGEnp_R3UVu1t3wSFPzgCyHXE/edit?gid=0#gid=0"",""GERAL!A2:C""),3,0),""-"")"),"-")</f>
        <v>-</v>
      </c>
    </row>
    <row r="81" ht="15.75" customHeight="1">
      <c r="A81" s="111" t="s">
        <v>205</v>
      </c>
      <c r="B81" s="83" t="s">
        <v>472</v>
      </c>
      <c r="C81" s="83" t="s">
        <v>68</v>
      </c>
      <c r="D81" s="112">
        <v>1178018.0</v>
      </c>
      <c r="E81" s="83"/>
      <c r="F81" s="83">
        <v>2.942794E7</v>
      </c>
      <c r="G81" s="114" t="s">
        <v>489</v>
      </c>
      <c r="H81" s="108" t="s">
        <v>490</v>
      </c>
      <c r="I81" s="172" t="s">
        <v>491</v>
      </c>
      <c r="J81" s="83" t="s">
        <v>464</v>
      </c>
      <c r="K81" s="83" t="s">
        <v>168</v>
      </c>
      <c r="L81" s="83" t="s">
        <v>169</v>
      </c>
      <c r="M81" s="82" t="str">
        <f>IFERROR(__xludf.DUMMYFUNCTION("IFERROR(VLOOKUP(D81,
IMPORTRANGE(""https://docs.google.com/spreadsheets/d/1MjHtlUikwobi2MaWJgy7tfLeBmhj1u-dRFRs_8GwSoA/edit#gid=0"",""Gestores Escolares!D7:J""),3,0),""VERIFICAR CÓD SEC"")"),"MARIA DAS GRACAS SANTOS RIBEIRO")</f>
        <v>MARIA DAS GRACAS SANTOS RIBEIRO</v>
      </c>
      <c r="N81" s="82" t="str">
        <f>IFERROR(__xludf.DUMMYFUNCTION("IFERROR(VLOOKUP(D81,
IMPORTRANGE(""https://docs.google.com/spreadsheets/d/1MjHtlUikwobi2MaWJgy7tfLeBmhj1u-dRFRs_8GwSoA/edit#gid=0"",""Gestores Escolares!D7:J""),4,0),""VERIFICAR CÓD SEC"")"),"(77) 9 9121-5927")</f>
        <v>(77) 9 9121-5927</v>
      </c>
      <c r="O81" s="82" t="str">
        <f>IFERROR(__xludf.DUMMYFUNCTION("IFERROR(VLOOKUP(D81,
IMPORTRANGE(""https://docs.google.com/spreadsheets/d/1MjHtlUikwobi2MaWJgy7tfLeBmhj1u-dRFRs_8GwSoA/edit#gid=0"",""Gestores Escolares!D7:J""),6,0),""VERIFICAR CÓD SEC"")"),"")</f>
        <v/>
      </c>
      <c r="P81" s="82" t="str">
        <f>IFERROR(__xludf.DUMMYFUNCTION("IFERROR(VLOOKUP(D81,
IMPORTRANGE(""https://docs.google.com/spreadsheets/d/1MjHtlUikwobi2MaWJgy7tfLeBmhj1u-dRFRs_8GwSoA/edit#gid=0"",""Gestores Escolares!D7:J""),7,0),""VERIFICAR CÓD SEC"")"),"")</f>
        <v/>
      </c>
      <c r="Q81" s="82" t="str">
        <f>IFERROR(__xludf.DUMMYFUNCTION("IFERROR(VLOOKUP(D81,
IMPORTRANGE(""https://docs.google.com/spreadsheets/d/1MjHtlUikwobi2MaWJgy7tfLeBmhj1u-dRFRs_8GwSoA/edit#gid=0"",""Gestores Escolares!D7:m""),9,0),""VERIFICAR CÓD SEC"")"),"")</f>
        <v/>
      </c>
      <c r="R81" s="82" t="str">
        <f>IFERROR(__xludf.DUMMYFUNCTION("IFERROR(VLOOKUP(D81,
IMPORTRANGE(""https://docs.google.com/spreadsheets/d/1MjHtlUikwobi2MaWJgy7tfLeBmhj1u-dRFRs_8GwSoA/edit#gid=0"",""Gestores Escolares!D7:m""),10,0),""VERIFICAR CÓD SEC"")"),"")</f>
        <v/>
      </c>
      <c r="S81" s="82"/>
      <c r="T81" s="138">
        <v>3.0</v>
      </c>
      <c r="U81" s="152">
        <v>3.0</v>
      </c>
      <c r="V81" s="106">
        <v>0.0</v>
      </c>
      <c r="W81" s="107">
        <v>0.0</v>
      </c>
      <c r="X81" s="107">
        <v>0.0</v>
      </c>
      <c r="Y81" s="107">
        <v>0.0</v>
      </c>
      <c r="Z81" s="80">
        <f t="shared" si="1"/>
        <v>0</v>
      </c>
      <c r="AA81" s="106">
        <v>0.0</v>
      </c>
      <c r="AB81" s="107">
        <v>0.0</v>
      </c>
      <c r="AC81" s="107">
        <v>0.0</v>
      </c>
      <c r="AD81" s="107">
        <v>0.0</v>
      </c>
      <c r="AE81" s="80">
        <f t="shared" si="2"/>
        <v>0</v>
      </c>
      <c r="AF81" s="140">
        <v>0.0</v>
      </c>
      <c r="AG81" s="109">
        <v>105.0</v>
      </c>
      <c r="AH81" s="109">
        <v>0.0</v>
      </c>
      <c r="AI81" s="141">
        <v>0.0</v>
      </c>
      <c r="AJ81" s="80">
        <f t="shared" si="3"/>
        <v>105</v>
      </c>
      <c r="AK81" s="140">
        <v>0.0</v>
      </c>
      <c r="AL81" s="109">
        <v>0.0</v>
      </c>
      <c r="AM81" s="141">
        <v>0.0</v>
      </c>
      <c r="AN81" s="80">
        <f t="shared" si="4"/>
        <v>0</v>
      </c>
      <c r="AO81" s="140">
        <v>0.0</v>
      </c>
      <c r="AP81" s="109">
        <v>0.0</v>
      </c>
      <c r="AQ81" s="109">
        <v>25.0</v>
      </c>
      <c r="AR81" s="80">
        <f t="shared" si="5"/>
        <v>25</v>
      </c>
      <c r="AS81" s="110">
        <v>0.0</v>
      </c>
      <c r="AT81" s="110">
        <v>0.0</v>
      </c>
      <c r="AU81" s="110">
        <v>0.0</v>
      </c>
      <c r="AV81" s="142">
        <v>0.0</v>
      </c>
      <c r="AW81" s="80">
        <f t="shared" si="6"/>
        <v>0</v>
      </c>
      <c r="AX81" s="113">
        <f t="shared" si="7"/>
        <v>130</v>
      </c>
      <c r="AY81" s="117">
        <f t="shared" si="8"/>
        <v>105</v>
      </c>
      <c r="AZ81" s="120">
        <f t="shared" si="9"/>
        <v>25</v>
      </c>
      <c r="BA81" s="115">
        <v>0.0</v>
      </c>
      <c r="BB81" s="89">
        <f t="shared" si="10"/>
        <v>130</v>
      </c>
      <c r="BC81" s="132" t="s">
        <v>373</v>
      </c>
      <c r="BD81" s="132" t="s">
        <v>178</v>
      </c>
      <c r="BE81" s="132" t="s">
        <v>178</v>
      </c>
      <c r="BF81" s="181"/>
      <c r="BG81" s="83">
        <v>1178018.0</v>
      </c>
      <c r="BH81" s="137" t="s">
        <v>493</v>
      </c>
      <c r="BI81" s="112">
        <v>3.0</v>
      </c>
      <c r="BJ81" s="98" t="s">
        <v>155</v>
      </c>
      <c r="BK81" s="99">
        <f t="shared" si="11"/>
        <v>0</v>
      </c>
      <c r="BL81" s="99">
        <f t="shared" si="12"/>
        <v>105</v>
      </c>
      <c r="BM81" s="99" t="str">
        <f>IFERROR(__xludf.DUMMYFUNCTION("IFERROR(VLOOKUP(BG81,IMPORTRANGE(""https://docs.google.com/spreadsheets/d/1juPI-Fb8LD0YtltB2mlGEnp_R3UVu1t3wSFPzgCyHXE/edit?gid=0#gid=0"",""GERAL!A2:C""),3,0),""-"")"),"CAMPO")</f>
        <v>CAMPO</v>
      </c>
    </row>
    <row r="82" ht="15.75" customHeight="1">
      <c r="A82" s="111" t="s">
        <v>205</v>
      </c>
      <c r="B82" s="83" t="s">
        <v>472</v>
      </c>
      <c r="C82" s="83" t="s">
        <v>68</v>
      </c>
      <c r="D82" s="112">
        <v>1179704.0</v>
      </c>
      <c r="E82" s="83"/>
      <c r="F82" s="83">
        <v>2.9481325E7</v>
      </c>
      <c r="G82" s="220" t="s">
        <v>494</v>
      </c>
      <c r="H82" s="91" t="s">
        <v>495</v>
      </c>
      <c r="I82" s="172" t="s">
        <v>496</v>
      </c>
      <c r="J82" s="98" t="s">
        <v>150</v>
      </c>
      <c r="K82" s="98" t="s">
        <v>151</v>
      </c>
      <c r="L82" s="98" t="s">
        <v>152</v>
      </c>
      <c r="M82" s="82" t="str">
        <f>IFERROR(__xludf.DUMMYFUNCTION("IFERROR(VLOOKUP(D82,
IMPORTRANGE(""https://docs.google.com/spreadsheets/d/1MjHtlUikwobi2MaWJgy7tfLeBmhj1u-dRFRs_8GwSoA/edit#gid=0"",""Gestores Escolares!D7:J""),3,0),""VERIFICAR CÓD SEC"")"),"DIREÇÃO DA ESCOLA: ENILSON MARQUES DE OLIVEIRA - (77) 9 9995-4162
DIREÇÃO DA UNIDADE PM: Tenente Coronel QOPM CESAR ELPIDIO DO SACRAMENTO ALMEIDA - (77) 9 9971-5907
DIREÇÃO DO ADJUNTO: SEM DIREÇÃO, EXONERAÇÃO EM 22/08/26")</f>
        <v>DIREÇÃO DA ESCOLA: ENILSON MARQUES DE OLIVEIRA - (77) 9 9995-4162
DIREÇÃO DA UNIDADE PM: Tenente Coronel QOPM CESAR ELPIDIO DO SACRAMENTO ALMEIDA - (77) 9 9971-5907
DIREÇÃO DO ADJUNTO: SEM DIREÇÃO, EXONERAÇÃO EM 22/08/26</v>
      </c>
      <c r="N82" s="82" t="str">
        <f>IFERROR(__xludf.DUMMYFUNCTION("IFERROR(VLOOKUP(D82,
IMPORTRANGE(""https://docs.google.com/spreadsheets/d/1MjHtlUikwobi2MaWJgy7tfLeBmhj1u-dRFRs_8GwSoA/edit#gid=0"",""Gestores Escolares!D7:J""),4,0),""VERIFICAR CÓD SEC"")"),"-")</f>
        <v>-</v>
      </c>
      <c r="O82" s="82" t="str">
        <f>IFERROR(__xludf.DUMMYFUNCTION("IFERROR(VLOOKUP(D82,
IMPORTRANGE(""https://docs.google.com/spreadsheets/d/1MjHtlUikwobi2MaWJgy7tfLeBmhj1u-dRFRs_8GwSoA/edit#gid=0"",""Gestores Escolares!D7:J""),6,0),""VERIFICAR CÓD SEC"")"),"SUELI ALMEIDA DOS SANTOS")</f>
        <v>SUELI ALMEIDA DOS SANTOS</v>
      </c>
      <c r="P82" s="82" t="str">
        <f>IFERROR(__xludf.DUMMYFUNCTION("IFERROR(VLOOKUP(D82,
IMPORTRANGE(""https://docs.google.com/spreadsheets/d/1MjHtlUikwobi2MaWJgy7tfLeBmhj1u-dRFRs_8GwSoA/edit#gid=0"",""Gestores Escolares!D7:J""),7,0),""VERIFICAR CÓD SEC"")"),"(77) 9 9967-4408")</f>
        <v>(77) 9 9967-4408</v>
      </c>
      <c r="Q82" s="82" t="str">
        <f>IFERROR(__xludf.DUMMYFUNCTION("IFERROR(VLOOKUP(D82,
IMPORTRANGE(""https://docs.google.com/spreadsheets/d/1MjHtlUikwobi2MaWJgy7tfLeBmhj1u-dRFRs_8GwSoA/edit#gid=0"",""Gestores Escolares!D7:m""),9,0),""VERIFICAR CÓD SEC"")"),"")</f>
        <v/>
      </c>
      <c r="R82" s="82" t="str">
        <f>IFERROR(__xludf.DUMMYFUNCTION("IFERROR(VLOOKUP(D82,
IMPORTRANGE(""https://docs.google.com/spreadsheets/d/1MjHtlUikwobi2MaWJgy7tfLeBmhj1u-dRFRs_8GwSoA/edit#gid=0"",""Gestores Escolares!D7:m""),10,0),""VERIFICAR CÓD SEC"")"),"")</f>
        <v/>
      </c>
      <c r="S82" s="82"/>
      <c r="T82" s="138">
        <v>12.0</v>
      </c>
      <c r="U82" s="139">
        <v>12.0</v>
      </c>
      <c r="V82" s="106">
        <v>0.0</v>
      </c>
      <c r="W82" s="107">
        <v>0.0</v>
      </c>
      <c r="X82" s="107">
        <v>0.0</v>
      </c>
      <c r="Y82" s="107">
        <v>0.0</v>
      </c>
      <c r="Z82" s="80">
        <f t="shared" si="1"/>
        <v>0</v>
      </c>
      <c r="AA82" s="106">
        <v>0.0</v>
      </c>
      <c r="AB82" s="107">
        <v>371.0</v>
      </c>
      <c r="AC82" s="107">
        <v>0.0</v>
      </c>
      <c r="AD82" s="107">
        <v>0.0</v>
      </c>
      <c r="AE82" s="80">
        <f t="shared" si="2"/>
        <v>371</v>
      </c>
      <c r="AF82" s="140">
        <v>369.0</v>
      </c>
      <c r="AG82" s="109">
        <v>0.0</v>
      </c>
      <c r="AH82" s="109">
        <v>0.0</v>
      </c>
      <c r="AI82" s="141">
        <v>0.0</v>
      </c>
      <c r="AJ82" s="80">
        <f t="shared" si="3"/>
        <v>369</v>
      </c>
      <c r="AK82" s="140">
        <v>0.0</v>
      </c>
      <c r="AL82" s="109">
        <v>0.0</v>
      </c>
      <c r="AM82" s="141">
        <v>0.0</v>
      </c>
      <c r="AN82" s="80">
        <f t="shared" si="4"/>
        <v>0</v>
      </c>
      <c r="AO82" s="140">
        <v>0.0</v>
      </c>
      <c r="AP82" s="109">
        <v>0.0</v>
      </c>
      <c r="AQ82" s="109">
        <v>0.0</v>
      </c>
      <c r="AR82" s="80">
        <f t="shared" si="5"/>
        <v>0</v>
      </c>
      <c r="AS82" s="110">
        <v>0.0</v>
      </c>
      <c r="AT82" s="110">
        <v>0.0</v>
      </c>
      <c r="AU82" s="110">
        <v>0.0</v>
      </c>
      <c r="AV82" s="142">
        <v>0.0</v>
      </c>
      <c r="AW82" s="80">
        <f t="shared" si="6"/>
        <v>0</v>
      </c>
      <c r="AX82" s="113">
        <f t="shared" si="7"/>
        <v>740</v>
      </c>
      <c r="AY82" s="117">
        <f t="shared" si="8"/>
        <v>740</v>
      </c>
      <c r="AZ82" s="120">
        <f t="shared" si="9"/>
        <v>0</v>
      </c>
      <c r="BA82" s="115">
        <v>0.0</v>
      </c>
      <c r="BB82" s="89">
        <f t="shared" si="10"/>
        <v>740</v>
      </c>
      <c r="BC82" s="143" t="s">
        <v>1014</v>
      </c>
      <c r="BD82" s="132" t="s">
        <v>178</v>
      </c>
      <c r="BE82" s="132" t="s">
        <v>178</v>
      </c>
      <c r="BF82" s="156"/>
      <c r="BG82" s="83">
        <v>1179704.0</v>
      </c>
      <c r="BH82" s="137" t="s">
        <v>497</v>
      </c>
      <c r="BI82" s="112">
        <v>12.0</v>
      </c>
      <c r="BJ82" s="98" t="s">
        <v>162</v>
      </c>
      <c r="BK82" s="99">
        <f t="shared" si="11"/>
        <v>0</v>
      </c>
      <c r="BL82" s="99">
        <f t="shared" si="12"/>
        <v>740</v>
      </c>
      <c r="BM82" s="99" t="str">
        <f>IFERROR(__xludf.DUMMYFUNCTION("IFERROR(VLOOKUP(BG82,IMPORTRANGE(""https://docs.google.com/spreadsheets/d/1juPI-Fb8LD0YtltB2mlGEnp_R3UVu1t3wSFPzgCyHXE/edit?gid=0#gid=0"",""GERAL!A2:C""),3,0),""-"")"),"-")</f>
        <v>-</v>
      </c>
    </row>
    <row r="83" ht="15.75" customHeight="1">
      <c r="A83" s="111" t="s">
        <v>205</v>
      </c>
      <c r="B83" s="83" t="s">
        <v>472</v>
      </c>
      <c r="C83" s="83" t="s">
        <v>68</v>
      </c>
      <c r="D83" s="112">
        <v>1179282.0</v>
      </c>
      <c r="E83" s="83"/>
      <c r="F83" s="83">
        <v>2.9461499E7</v>
      </c>
      <c r="G83" s="114" t="s">
        <v>500</v>
      </c>
      <c r="H83" s="91" t="s">
        <v>501</v>
      </c>
      <c r="I83" s="172" t="s">
        <v>502</v>
      </c>
      <c r="J83" s="83" t="s">
        <v>150</v>
      </c>
      <c r="K83" s="83" t="s">
        <v>151</v>
      </c>
      <c r="L83" s="175" t="s">
        <v>230</v>
      </c>
      <c r="M83" s="82" t="str">
        <f>IFERROR(__xludf.DUMMYFUNCTION("IFERROR(VLOOKUP(D83,
IMPORTRANGE(""https://docs.google.com/spreadsheets/d/1MjHtlUikwobi2MaWJgy7tfLeBmhj1u-dRFRs_8GwSoA/edit#gid=0"",""Gestores Escolares!D7:J""),3,0),""VERIFICAR CÓD SEC"")"),"ALECSANDRO MARCIEL CARVALHO DE CASTRO")</f>
        <v>ALECSANDRO MARCIEL CARVALHO DE CASTRO</v>
      </c>
      <c r="N83" s="82" t="str">
        <f>IFERROR(__xludf.DUMMYFUNCTION("IFERROR(VLOOKUP(D83,
IMPORTRANGE(""https://docs.google.com/spreadsheets/d/1MjHtlUikwobi2MaWJgy7tfLeBmhj1u-dRFRs_8GwSoA/edit#gid=0"",""Gestores Escolares!D7:J""),4,0),""VERIFICAR CÓD SEC"")"),"(77) 9 9193-1417")</f>
        <v>(77) 9 9193-1417</v>
      </c>
      <c r="O83" s="82" t="str">
        <f>IFERROR(__xludf.DUMMYFUNCTION("IFERROR(VLOOKUP(D83,
IMPORTRANGE(""https://docs.google.com/spreadsheets/d/1MjHtlUikwobi2MaWJgy7tfLeBmhj1u-dRFRs_8GwSoA/edit#gid=0"",""Gestores Escolares!D7:J""),6,0),""VERIFICAR CÓD SEC"")"),"CARLOS MAGNO PAZ NOGUEIRA")</f>
        <v>CARLOS MAGNO PAZ NOGUEIRA</v>
      </c>
      <c r="P83" s="82" t="str">
        <f>IFERROR(__xludf.DUMMYFUNCTION("IFERROR(VLOOKUP(D83,
IMPORTRANGE(""https://docs.google.com/spreadsheets/d/1MjHtlUikwobi2MaWJgy7tfLeBmhj1u-dRFRs_8GwSoA/edit#gid=0"",""Gestores Escolares!D7:J""),7,0),""VERIFICAR CÓD SEC"")"),"(77) 9 9985-6387")</f>
        <v>(77) 9 9985-6387</v>
      </c>
      <c r="Q83" s="82" t="str">
        <f>IFERROR(__xludf.DUMMYFUNCTION("IFERROR(VLOOKUP(D83,
IMPORTRANGE(""https://docs.google.com/spreadsheets/d/1MjHtlUikwobi2MaWJgy7tfLeBmhj1u-dRFRs_8GwSoA/edit#gid=0"",""Gestores Escolares!D7:m""),9,0),""VERIFICAR CÓD SEC"")"),"HELIDA DA PAIXAO RODRIGUES DE BARROS")</f>
        <v>HELIDA DA PAIXAO RODRIGUES DE BARROS</v>
      </c>
      <c r="R83" s="82" t="str">
        <f>IFERROR(__xludf.DUMMYFUNCTION("IFERROR(VLOOKUP(D83,
IMPORTRANGE(""https://docs.google.com/spreadsheets/d/1MjHtlUikwobi2MaWJgy7tfLeBmhj1u-dRFRs_8GwSoA/edit#gid=0"",""Gestores Escolares!D7:m""),10,0),""VERIFICAR CÓD SEC"")"),"(77) 9 9125-9346")</f>
        <v>(77) 9 9125-9346</v>
      </c>
      <c r="S83" s="82"/>
      <c r="T83" s="138" t="s">
        <v>171</v>
      </c>
      <c r="U83" s="217" t="s">
        <v>533</v>
      </c>
      <c r="V83" s="106">
        <v>0.0</v>
      </c>
      <c r="W83" s="107">
        <v>0.0</v>
      </c>
      <c r="X83" s="107">
        <v>0.0</v>
      </c>
      <c r="Y83" s="107">
        <v>0.0</v>
      </c>
      <c r="Z83" s="80">
        <f t="shared" si="1"/>
        <v>0</v>
      </c>
      <c r="AA83" s="106">
        <v>0.0</v>
      </c>
      <c r="AB83" s="107">
        <v>0.0</v>
      </c>
      <c r="AC83" s="107">
        <v>0.0</v>
      </c>
      <c r="AD83" s="107">
        <v>0.0</v>
      </c>
      <c r="AE83" s="80">
        <f t="shared" si="2"/>
        <v>0</v>
      </c>
      <c r="AF83" s="140">
        <v>0.0</v>
      </c>
      <c r="AG83" s="109">
        <v>0.0</v>
      </c>
      <c r="AH83" s="109">
        <v>0.0</v>
      </c>
      <c r="AI83" s="141">
        <v>0.0</v>
      </c>
      <c r="AJ83" s="80">
        <f t="shared" si="3"/>
        <v>0</v>
      </c>
      <c r="AK83" s="140">
        <v>0.0</v>
      </c>
      <c r="AL83" s="109">
        <v>0.0</v>
      </c>
      <c r="AM83" s="141">
        <v>0.0</v>
      </c>
      <c r="AN83" s="80">
        <f t="shared" si="4"/>
        <v>0</v>
      </c>
      <c r="AO83" s="140">
        <v>0.0</v>
      </c>
      <c r="AP83" s="109">
        <v>0.0</v>
      </c>
      <c r="AQ83" s="109">
        <v>0.0</v>
      </c>
      <c r="AR83" s="80">
        <f t="shared" si="5"/>
        <v>0</v>
      </c>
      <c r="AS83" s="110">
        <v>0.0</v>
      </c>
      <c r="AT83" s="110">
        <v>0.0</v>
      </c>
      <c r="AU83" s="110">
        <v>0.0</v>
      </c>
      <c r="AV83" s="142">
        <v>0.0</v>
      </c>
      <c r="AW83" s="80">
        <f t="shared" si="6"/>
        <v>0</v>
      </c>
      <c r="AX83" s="113">
        <f t="shared" si="7"/>
        <v>0</v>
      </c>
      <c r="AY83" s="117">
        <f t="shared" si="8"/>
        <v>0</v>
      </c>
      <c r="AZ83" s="120">
        <f t="shared" si="9"/>
        <v>0</v>
      </c>
      <c r="BA83" s="115">
        <v>0.0</v>
      </c>
      <c r="BB83" s="89">
        <f t="shared" si="10"/>
        <v>0</v>
      </c>
      <c r="BC83" s="132" t="s">
        <v>178</v>
      </c>
      <c r="BD83" s="143" t="s">
        <v>227</v>
      </c>
      <c r="BE83" s="132" t="s">
        <v>178</v>
      </c>
      <c r="BF83" s="156" t="s">
        <v>534</v>
      </c>
      <c r="BG83" s="83">
        <v>1179282.0</v>
      </c>
      <c r="BH83" s="128"/>
      <c r="BI83" s="98">
        <v>0.0</v>
      </c>
      <c r="BJ83" s="98" t="s">
        <v>155</v>
      </c>
      <c r="BK83" s="99">
        <f t="shared" si="11"/>
        <v>0</v>
      </c>
      <c r="BL83" s="99">
        <f t="shared" si="12"/>
        <v>0</v>
      </c>
      <c r="BM83" s="99" t="str">
        <f>IFERROR(__xludf.DUMMYFUNCTION("IFERROR(VLOOKUP(BG83,IMPORTRANGE(""https://docs.google.com/spreadsheets/d/1juPI-Fb8LD0YtltB2mlGEnp_R3UVu1t3wSFPzgCyHXE/edit?gid=0#gid=0"",""GERAL!A2:C""),3,0),""-"")"),"-")</f>
        <v>-</v>
      </c>
    </row>
    <row r="84" ht="15.75" customHeight="1">
      <c r="A84" s="111" t="s">
        <v>205</v>
      </c>
      <c r="B84" s="83" t="s">
        <v>472</v>
      </c>
      <c r="C84" s="83" t="s">
        <v>164</v>
      </c>
      <c r="D84" s="112">
        <v>1131720.0</v>
      </c>
      <c r="E84" s="98">
        <v>1178915.0</v>
      </c>
      <c r="F84" s="98">
        <v>2.9492785E7</v>
      </c>
      <c r="G84" s="119" t="s">
        <v>503</v>
      </c>
      <c r="H84" s="108" t="s">
        <v>504</v>
      </c>
      <c r="I84" s="83"/>
      <c r="J84" s="98" t="s">
        <v>505</v>
      </c>
      <c r="K84" s="98" t="s">
        <v>168</v>
      </c>
      <c r="L84" s="83" t="s">
        <v>169</v>
      </c>
      <c r="M84" s="82" t="str">
        <f>IFERROR(__xludf.DUMMYFUNCTION("IFERROR(VLOOKUP(D84,
IMPORTRANGE(""https://docs.google.com/spreadsheets/d/1MjHtlUikwobi2MaWJgy7tfLeBmhj1u-dRFRs_8GwSoA/edit#gid=0"",""Gestores Escolares!D7:J""),3,0),""VERIFICAR CÓD SEC"")"),"ISABEL GEANNE FELISBELA NEVES RIBEIRO")</f>
        <v>ISABEL GEANNE FELISBELA NEVES RIBEIRO</v>
      </c>
      <c r="N84" s="82" t="str">
        <f>IFERROR(__xludf.DUMMYFUNCTION("IFERROR(VLOOKUP(D84,
IMPORTRANGE(""https://docs.google.com/spreadsheets/d/1MjHtlUikwobi2MaWJgy7tfLeBmhj1u-dRFRs_8GwSoA/edit#gid=0"",""Gestores Escolares!D7:J""),4,0),""VERIFICAR CÓD SEC"")"),"(77) 9 8134-4582")</f>
        <v>(77) 9 8134-4582</v>
      </c>
      <c r="O84" s="82" t="str">
        <f>IFERROR(__xludf.DUMMYFUNCTION("IFERROR(VLOOKUP(D84,
IMPORTRANGE(""https://docs.google.com/spreadsheets/d/1MjHtlUikwobi2MaWJgy7tfLeBmhj1u-dRFRs_8GwSoA/edit#gid=0"",""Gestores Escolares!D7:J""),6,0),""VERIFICAR CÓD SEC"")"),"MARCIO FERREIRA DO NASCIMENTO ")</f>
        <v>MARCIO FERREIRA DO NASCIMENTO </v>
      </c>
      <c r="P84" s="82" t="str">
        <f>IFERROR(__xludf.DUMMYFUNCTION("IFERROR(VLOOKUP(D84,
IMPORTRANGE(""https://docs.google.com/spreadsheets/d/1MjHtlUikwobi2MaWJgy7tfLeBmhj1u-dRFRs_8GwSoA/edit#gid=0"",""Gestores Escolares!D7:J""),7,0),""VERIFICAR CÓD SEC"")"),"(77) 9 9943-0277")</f>
        <v>(77) 9 9943-0277</v>
      </c>
      <c r="Q84" s="82" t="str">
        <f>IFERROR(__xludf.DUMMYFUNCTION("IFERROR(VLOOKUP(D84,
IMPORTRANGE(""https://docs.google.com/spreadsheets/d/1MjHtlUikwobi2MaWJgy7tfLeBmhj1u-dRFRs_8GwSoA/edit#gid=0"",""Gestores Escolares!D7:m""),9,0),""VERIFICAR CÓD SEC"")"),"CLAUDIA MARIA DA SILVA COSTA")</f>
        <v>CLAUDIA MARIA DA SILVA COSTA</v>
      </c>
      <c r="R84" s="82" t="str">
        <f>IFERROR(__xludf.DUMMYFUNCTION("IFERROR(VLOOKUP(D84,
IMPORTRANGE(""https://docs.google.com/spreadsheets/d/1MjHtlUikwobi2MaWJgy7tfLeBmhj1u-dRFRs_8GwSoA/edit#gid=0"",""Gestores Escolares!D7:m""),10,0),""VERIFICAR CÓD SEC"")"),"(77) 9 8837-6598")</f>
        <v>(77) 9 8837-6598</v>
      </c>
      <c r="S84" s="82"/>
      <c r="T84" s="138"/>
      <c r="U84" s="217">
        <v>4.0</v>
      </c>
      <c r="V84" s="106">
        <v>0.0</v>
      </c>
      <c r="W84" s="107">
        <v>0.0</v>
      </c>
      <c r="X84" s="107">
        <v>0.0</v>
      </c>
      <c r="Y84" s="107">
        <v>0.0</v>
      </c>
      <c r="Z84" s="80">
        <f t="shared" si="1"/>
        <v>0</v>
      </c>
      <c r="AA84" s="106">
        <v>0.0</v>
      </c>
      <c r="AB84" s="107">
        <v>0.0</v>
      </c>
      <c r="AC84" s="107">
        <v>0.0</v>
      </c>
      <c r="AD84" s="107">
        <v>0.0</v>
      </c>
      <c r="AE84" s="80">
        <f t="shared" si="2"/>
        <v>0</v>
      </c>
      <c r="AF84" s="140">
        <v>0.0</v>
      </c>
      <c r="AG84" s="109">
        <v>0.0</v>
      </c>
      <c r="AH84" s="109">
        <v>0.0</v>
      </c>
      <c r="AI84" s="141">
        <v>0.0</v>
      </c>
      <c r="AJ84" s="80">
        <f t="shared" si="3"/>
        <v>0</v>
      </c>
      <c r="AK84" s="140">
        <v>0.0</v>
      </c>
      <c r="AL84" s="109">
        <v>0.0</v>
      </c>
      <c r="AM84" s="141">
        <v>0.0</v>
      </c>
      <c r="AN84" s="80">
        <f t="shared" si="4"/>
        <v>0</v>
      </c>
      <c r="AO84" s="140">
        <v>0.0</v>
      </c>
      <c r="AP84" s="109">
        <v>0.0</v>
      </c>
      <c r="AQ84" s="109">
        <v>81.0</v>
      </c>
      <c r="AR84" s="80">
        <f t="shared" si="5"/>
        <v>81</v>
      </c>
      <c r="AS84" s="110">
        <v>0.0</v>
      </c>
      <c r="AT84" s="110">
        <v>0.0</v>
      </c>
      <c r="AU84" s="110">
        <v>0.0</v>
      </c>
      <c r="AV84" s="142">
        <v>0.0</v>
      </c>
      <c r="AW84" s="80">
        <f t="shared" si="6"/>
        <v>0</v>
      </c>
      <c r="AX84" s="113">
        <f t="shared" si="7"/>
        <v>81</v>
      </c>
      <c r="AY84" s="117">
        <f t="shared" si="8"/>
        <v>0</v>
      </c>
      <c r="AZ84" s="120">
        <f t="shared" si="9"/>
        <v>81</v>
      </c>
      <c r="BA84" s="115">
        <v>0.0</v>
      </c>
      <c r="BB84" s="89">
        <f t="shared" si="10"/>
        <v>81</v>
      </c>
      <c r="BC84" s="132"/>
      <c r="BD84" s="132"/>
      <c r="BE84" s="132"/>
      <c r="BF84" s="221"/>
      <c r="BG84" s="98">
        <v>1178915.0</v>
      </c>
      <c r="BH84" s="128"/>
      <c r="BI84" s="98">
        <v>0.0</v>
      </c>
      <c r="BJ84" s="98" t="s">
        <v>155</v>
      </c>
      <c r="BK84" s="99">
        <f t="shared" si="11"/>
        <v>0</v>
      </c>
      <c r="BL84" s="99">
        <f t="shared" si="12"/>
        <v>0</v>
      </c>
      <c r="BM84" s="99" t="str">
        <f>IFERROR(__xludf.DUMMYFUNCTION("IFERROR(VLOOKUP(BG84,IMPORTRANGE(""https://docs.google.com/spreadsheets/d/1juPI-Fb8LD0YtltB2mlGEnp_R3UVu1t3wSFPzgCyHXE/edit?gid=0#gid=0"",""GERAL!A2:C""),3,0),""-"")"),"-")</f>
        <v>-</v>
      </c>
    </row>
    <row r="85" ht="15.75" customHeight="1">
      <c r="A85" s="111" t="s">
        <v>205</v>
      </c>
      <c r="B85" s="83" t="s">
        <v>472</v>
      </c>
      <c r="C85" s="83" t="s">
        <v>164</v>
      </c>
      <c r="D85" s="112">
        <v>1179668.0</v>
      </c>
      <c r="E85" s="83">
        <v>1178909.0</v>
      </c>
      <c r="F85" s="98">
        <v>2.9491967E7</v>
      </c>
      <c r="G85" s="114" t="s">
        <v>506</v>
      </c>
      <c r="H85" s="91" t="s">
        <v>507</v>
      </c>
      <c r="I85" s="83" t="s">
        <v>149</v>
      </c>
      <c r="J85" s="83" t="s">
        <v>508</v>
      </c>
      <c r="K85" s="83" t="s">
        <v>168</v>
      </c>
      <c r="L85" s="83" t="s">
        <v>169</v>
      </c>
      <c r="M85" s="82" t="str">
        <f>IFERROR(__xludf.DUMMYFUNCTION("IFERROR(VLOOKUP(D85,
IMPORTRANGE(""https://docs.google.com/spreadsheets/d/1MjHtlUikwobi2MaWJgy7tfLeBmhj1u-dRFRs_8GwSoA/edit#gid=0"",""Gestores Escolares!D7:J""),3,0),""VERIFICAR CÓD SEC"")"),"AILTON SILVA NASCIMENTO")</f>
        <v>AILTON SILVA NASCIMENTO</v>
      </c>
      <c r="N85" s="82" t="str">
        <f>IFERROR(__xludf.DUMMYFUNCTION("IFERROR(VLOOKUP(D85,
IMPORTRANGE(""https://docs.google.com/spreadsheets/d/1MjHtlUikwobi2MaWJgy7tfLeBmhj1u-dRFRs_8GwSoA/edit#gid=0"",""Gestores Escolares!D7:J""),4,0),""VERIFICAR CÓD SEC"")"),"(77) 9 9939-3884")</f>
        <v>(77) 9 9939-3884</v>
      </c>
      <c r="O85" s="82" t="str">
        <f>IFERROR(__xludf.DUMMYFUNCTION("IFERROR(VLOOKUP(D85,
IMPORTRANGE(""https://docs.google.com/spreadsheets/d/1MjHtlUikwobi2MaWJgy7tfLeBmhj1u-dRFRs_8GwSoA/edit#gid=0"",""Gestores Escolares!D7:J""),6,0),""VERIFICAR CÓD SEC"")"),"ELIANE SEIXAS ARAUJO ALMEIDA")</f>
        <v>ELIANE SEIXAS ARAUJO ALMEIDA</v>
      </c>
      <c r="P85" s="82" t="str">
        <f>IFERROR(__xludf.DUMMYFUNCTION("IFERROR(VLOOKUP(D85,
IMPORTRANGE(""https://docs.google.com/spreadsheets/d/1MjHtlUikwobi2MaWJgy7tfLeBmhj1u-dRFRs_8GwSoA/edit#gid=0"",""Gestores Escolares!D7:J""),7,0),""VERIFICAR CÓD SEC"")"),"(77) 9 9196-9932")</f>
        <v>(77) 9 9196-9932</v>
      </c>
      <c r="Q85" s="82" t="str">
        <f>IFERROR(__xludf.DUMMYFUNCTION("IFERROR(VLOOKUP(D85,
IMPORTRANGE(""https://docs.google.com/spreadsheets/d/1MjHtlUikwobi2MaWJgy7tfLeBmhj1u-dRFRs_8GwSoA/edit#gid=0"",""Gestores Escolares!D7:m""),9,0),""VERIFICAR CÓD SEC"")"),"")</f>
        <v/>
      </c>
      <c r="R85" s="82" t="str">
        <f>IFERROR(__xludf.DUMMYFUNCTION("IFERROR(VLOOKUP(D85,
IMPORTRANGE(""https://docs.google.com/spreadsheets/d/1MjHtlUikwobi2MaWJgy7tfLeBmhj1u-dRFRs_8GwSoA/edit#gid=0"",""Gestores Escolares!D7:m""),10,0),""VERIFICAR CÓD SEC"")"),"")</f>
        <v/>
      </c>
      <c r="S85" s="82"/>
      <c r="T85" s="138">
        <v>3.0</v>
      </c>
      <c r="U85" s="152">
        <v>3.0</v>
      </c>
      <c r="V85" s="106">
        <v>0.0</v>
      </c>
      <c r="W85" s="107">
        <v>0.0</v>
      </c>
      <c r="X85" s="107">
        <v>0.0</v>
      </c>
      <c r="Y85" s="107">
        <v>0.0</v>
      </c>
      <c r="Z85" s="80">
        <f t="shared" si="1"/>
        <v>0</v>
      </c>
      <c r="AA85" s="106">
        <v>0.0</v>
      </c>
      <c r="AB85" s="107">
        <v>0.0</v>
      </c>
      <c r="AC85" s="107">
        <v>0.0</v>
      </c>
      <c r="AD85" s="107">
        <v>0.0</v>
      </c>
      <c r="AE85" s="80">
        <f t="shared" si="2"/>
        <v>0</v>
      </c>
      <c r="AF85" s="140">
        <v>0.0</v>
      </c>
      <c r="AG85" s="109">
        <v>33.0</v>
      </c>
      <c r="AH85" s="109">
        <v>0.0</v>
      </c>
      <c r="AI85" s="141">
        <v>0.0</v>
      </c>
      <c r="AJ85" s="80">
        <f t="shared" si="3"/>
        <v>33</v>
      </c>
      <c r="AK85" s="140">
        <v>0.0</v>
      </c>
      <c r="AL85" s="109">
        <v>0.0</v>
      </c>
      <c r="AM85" s="141">
        <v>0.0</v>
      </c>
      <c r="AN85" s="80">
        <f t="shared" si="4"/>
        <v>0</v>
      </c>
      <c r="AO85" s="140">
        <v>0.0</v>
      </c>
      <c r="AP85" s="109">
        <v>0.0</v>
      </c>
      <c r="AQ85" s="109">
        <v>51.0</v>
      </c>
      <c r="AR85" s="80">
        <f t="shared" si="5"/>
        <v>51</v>
      </c>
      <c r="AS85" s="110">
        <v>0.0</v>
      </c>
      <c r="AT85" s="110">
        <v>0.0</v>
      </c>
      <c r="AU85" s="110">
        <v>0.0</v>
      </c>
      <c r="AV85" s="142">
        <v>0.0</v>
      </c>
      <c r="AW85" s="80">
        <f t="shared" si="6"/>
        <v>0</v>
      </c>
      <c r="AX85" s="113">
        <f t="shared" si="7"/>
        <v>84</v>
      </c>
      <c r="AY85" s="117">
        <f t="shared" si="8"/>
        <v>33</v>
      </c>
      <c r="AZ85" s="120">
        <f t="shared" si="9"/>
        <v>51</v>
      </c>
      <c r="BA85" s="115">
        <v>0.0</v>
      </c>
      <c r="BB85" s="89">
        <f t="shared" si="10"/>
        <v>84</v>
      </c>
      <c r="BC85" s="132" t="s">
        <v>178</v>
      </c>
      <c r="BD85" s="132" t="s">
        <v>178</v>
      </c>
      <c r="BE85" s="132" t="s">
        <v>178</v>
      </c>
      <c r="BF85" s="123"/>
      <c r="BG85" s="83">
        <v>1178909.0</v>
      </c>
      <c r="BH85" s="144"/>
      <c r="BI85" s="112">
        <v>3.0</v>
      </c>
      <c r="BJ85" s="98" t="s">
        <v>155</v>
      </c>
      <c r="BK85" s="99">
        <f t="shared" si="11"/>
        <v>0</v>
      </c>
      <c r="BL85" s="99">
        <f t="shared" si="12"/>
        <v>33</v>
      </c>
      <c r="BM85" s="99" t="str">
        <f>IFERROR(__xludf.DUMMYFUNCTION("IFERROR(VLOOKUP(BG85,IMPORTRANGE(""https://docs.google.com/spreadsheets/d/1juPI-Fb8LD0YtltB2mlGEnp_R3UVu1t3wSFPzgCyHXE/edit?gid=0#gid=0"",""GERAL!A2:C""),3,0),""-"")"),"-")</f>
        <v>-</v>
      </c>
    </row>
    <row r="86" ht="15.75" customHeight="1">
      <c r="A86" s="127" t="s">
        <v>205</v>
      </c>
      <c r="B86" s="98" t="s">
        <v>472</v>
      </c>
      <c r="C86" s="98" t="s">
        <v>164</v>
      </c>
      <c r="D86" s="98">
        <v>1131720.0</v>
      </c>
      <c r="E86" s="98">
        <v>1179836.0</v>
      </c>
      <c r="F86" s="98">
        <v>2.9497124E7</v>
      </c>
      <c r="G86" s="147" t="s">
        <v>510</v>
      </c>
      <c r="H86" s="108" t="s">
        <v>511</v>
      </c>
      <c r="I86" s="83"/>
      <c r="J86" s="83"/>
      <c r="K86" s="98" t="s">
        <v>168</v>
      </c>
      <c r="L86" s="83" t="s">
        <v>512</v>
      </c>
      <c r="M86" s="82" t="str">
        <f>IFERROR(__xludf.DUMMYFUNCTION("IFERROR(VLOOKUP(D86,
IMPORTRANGE(""https://docs.google.com/spreadsheets/d/1MjHtlUikwobi2MaWJgy7tfLeBmhj1u-dRFRs_8GwSoA/edit#gid=0"",""Gestores Escolares!D7:J""),3,0),""VERIFICAR CÓD SEC"")"),"ISABEL GEANNE FELISBELA NEVES RIBEIRO")</f>
        <v>ISABEL GEANNE FELISBELA NEVES RIBEIRO</v>
      </c>
      <c r="N86" s="82" t="str">
        <f>IFERROR(__xludf.DUMMYFUNCTION("IFERROR(VLOOKUP(D86,
IMPORTRANGE(""https://docs.google.com/spreadsheets/d/1MjHtlUikwobi2MaWJgy7tfLeBmhj1u-dRFRs_8GwSoA/edit#gid=0"",""Gestores Escolares!D7:J""),4,0),""VERIFICAR CÓD SEC"")"),"(77) 9 8134-4582")</f>
        <v>(77) 9 8134-4582</v>
      </c>
      <c r="O86" s="82" t="str">
        <f>IFERROR(__xludf.DUMMYFUNCTION("IFERROR(VLOOKUP(D86,
IMPORTRANGE(""https://docs.google.com/spreadsheets/d/1MjHtlUikwobi2MaWJgy7tfLeBmhj1u-dRFRs_8GwSoA/edit#gid=0"",""Gestores Escolares!D7:J""),6,0),""VERIFICAR CÓD SEC"")"),"MARCIO FERREIRA DO NASCIMENTO ")</f>
        <v>MARCIO FERREIRA DO NASCIMENTO </v>
      </c>
      <c r="P86" s="82" t="str">
        <f>IFERROR(__xludf.DUMMYFUNCTION("IFERROR(VLOOKUP(D86,
IMPORTRANGE(""https://docs.google.com/spreadsheets/d/1MjHtlUikwobi2MaWJgy7tfLeBmhj1u-dRFRs_8GwSoA/edit#gid=0"",""Gestores Escolares!D7:J""),7,0),""VERIFICAR CÓD SEC"")"),"(77) 9 9943-0277")</f>
        <v>(77) 9 9943-0277</v>
      </c>
      <c r="Q86" s="82" t="str">
        <f>IFERROR(__xludf.DUMMYFUNCTION("IFERROR(VLOOKUP(D86,
IMPORTRANGE(""https://docs.google.com/spreadsheets/d/1MjHtlUikwobi2MaWJgy7tfLeBmhj1u-dRFRs_8GwSoA/edit#gid=0"",""Gestores Escolares!D7:m""),9,0),""VERIFICAR CÓD SEC"")"),"CLAUDIA MARIA DA SILVA COSTA")</f>
        <v>CLAUDIA MARIA DA SILVA COSTA</v>
      </c>
      <c r="R86" s="82" t="str">
        <f>IFERROR(__xludf.DUMMYFUNCTION("IFERROR(VLOOKUP(D86,
IMPORTRANGE(""https://docs.google.com/spreadsheets/d/1MjHtlUikwobi2MaWJgy7tfLeBmhj1u-dRFRs_8GwSoA/edit#gid=0"",""Gestores Escolares!D7:m""),10,0),""VERIFICAR CÓD SEC"")"),"(77) 9 8837-6598")</f>
        <v>(77) 9 8837-6598</v>
      </c>
      <c r="S86" s="82"/>
      <c r="T86" s="138"/>
      <c r="U86" s="152"/>
      <c r="V86" s="106">
        <v>0.0</v>
      </c>
      <c r="W86" s="107">
        <v>0.0</v>
      </c>
      <c r="X86" s="107">
        <v>0.0</v>
      </c>
      <c r="Y86" s="107">
        <v>0.0</v>
      </c>
      <c r="Z86" s="80">
        <f t="shared" si="1"/>
        <v>0</v>
      </c>
      <c r="AA86" s="106">
        <v>0.0</v>
      </c>
      <c r="AB86" s="107">
        <v>0.0</v>
      </c>
      <c r="AC86" s="107">
        <v>0.0</v>
      </c>
      <c r="AD86" s="107">
        <v>0.0</v>
      </c>
      <c r="AE86" s="80">
        <f t="shared" si="2"/>
        <v>0</v>
      </c>
      <c r="AF86" s="140">
        <v>0.0</v>
      </c>
      <c r="AG86" s="109">
        <v>0.0</v>
      </c>
      <c r="AH86" s="109">
        <v>0.0</v>
      </c>
      <c r="AI86" s="141">
        <v>0.0</v>
      </c>
      <c r="AJ86" s="80">
        <f t="shared" si="3"/>
        <v>0</v>
      </c>
      <c r="AK86" s="140">
        <v>0.0</v>
      </c>
      <c r="AL86" s="109">
        <v>0.0</v>
      </c>
      <c r="AM86" s="141">
        <v>0.0</v>
      </c>
      <c r="AN86" s="80">
        <f t="shared" si="4"/>
        <v>0</v>
      </c>
      <c r="AO86" s="140">
        <v>0.0</v>
      </c>
      <c r="AP86" s="109">
        <v>0.0</v>
      </c>
      <c r="AQ86" s="109">
        <v>25.0</v>
      </c>
      <c r="AR86" s="80">
        <f t="shared" si="5"/>
        <v>25</v>
      </c>
      <c r="AS86" s="110">
        <v>0.0</v>
      </c>
      <c r="AT86" s="110">
        <v>0.0</v>
      </c>
      <c r="AU86" s="110">
        <v>0.0</v>
      </c>
      <c r="AV86" s="142">
        <v>0.0</v>
      </c>
      <c r="AW86" s="80">
        <f t="shared" si="6"/>
        <v>0</v>
      </c>
      <c r="AX86" s="113">
        <f t="shared" si="7"/>
        <v>25</v>
      </c>
      <c r="AY86" s="117">
        <f t="shared" si="8"/>
        <v>0</v>
      </c>
      <c r="AZ86" s="120">
        <f t="shared" si="9"/>
        <v>25</v>
      </c>
      <c r="BA86" s="115">
        <v>0.0</v>
      </c>
      <c r="BB86" s="89">
        <f t="shared" si="10"/>
        <v>25</v>
      </c>
      <c r="BC86" s="132" t="s">
        <v>178</v>
      </c>
      <c r="BD86" s="132" t="s">
        <v>178</v>
      </c>
      <c r="BE86" s="132" t="s">
        <v>178</v>
      </c>
      <c r="BF86" s="123"/>
      <c r="BG86" s="98">
        <v>1179836.0</v>
      </c>
      <c r="BH86" s="144"/>
      <c r="BI86" s="112"/>
      <c r="BJ86" s="98"/>
      <c r="BK86" s="99">
        <f t="shared" si="11"/>
        <v>0</v>
      </c>
      <c r="BL86" s="99">
        <f t="shared" si="12"/>
        <v>0</v>
      </c>
      <c r="BM86" s="99" t="str">
        <f>IFERROR(__xludf.DUMMYFUNCTION("IFERROR(VLOOKUP(BG86,IMPORTRANGE(""https://docs.google.com/spreadsheets/d/1juPI-Fb8LD0YtltB2mlGEnp_R3UVu1t3wSFPzgCyHXE/edit?gid=0#gid=0"",""GERAL!A2:C""),3,0),""-"")"),"-")</f>
        <v>-</v>
      </c>
    </row>
    <row r="87" ht="15.75" customHeight="1">
      <c r="A87" s="111" t="s">
        <v>205</v>
      </c>
      <c r="B87" s="83" t="s">
        <v>472</v>
      </c>
      <c r="C87" s="83" t="s">
        <v>164</v>
      </c>
      <c r="D87" s="112">
        <v>1131720.0</v>
      </c>
      <c r="E87" s="83">
        <v>1178913.0</v>
      </c>
      <c r="F87" s="98">
        <v>2.9493684E7</v>
      </c>
      <c r="G87" s="114" t="s">
        <v>513</v>
      </c>
      <c r="H87" s="91" t="s">
        <v>514</v>
      </c>
      <c r="I87" s="136" t="s">
        <v>515</v>
      </c>
      <c r="J87" s="83" t="s">
        <v>440</v>
      </c>
      <c r="K87" s="83" t="s">
        <v>168</v>
      </c>
      <c r="L87" s="83" t="s">
        <v>169</v>
      </c>
      <c r="M87" s="82" t="str">
        <f>IFERROR(__xludf.DUMMYFUNCTION("IFERROR(VLOOKUP(D87,
IMPORTRANGE(""https://docs.google.com/spreadsheets/d/1MjHtlUikwobi2MaWJgy7tfLeBmhj1u-dRFRs_8GwSoA/edit#gid=0"",""Gestores Escolares!D7:J""),3,0),""VERIFICAR CÓD SEC"")"),"ISABEL GEANNE FELISBELA NEVES RIBEIRO")</f>
        <v>ISABEL GEANNE FELISBELA NEVES RIBEIRO</v>
      </c>
      <c r="N87" s="82" t="str">
        <f>IFERROR(__xludf.DUMMYFUNCTION("IFERROR(VLOOKUP(D87,
IMPORTRANGE(""https://docs.google.com/spreadsheets/d/1MjHtlUikwobi2MaWJgy7tfLeBmhj1u-dRFRs_8GwSoA/edit#gid=0"",""Gestores Escolares!D7:J""),4,0),""VERIFICAR CÓD SEC"")"),"(77) 9 8134-4582")</f>
        <v>(77) 9 8134-4582</v>
      </c>
      <c r="O87" s="82" t="str">
        <f>IFERROR(__xludf.DUMMYFUNCTION("IFERROR(VLOOKUP(D87,
IMPORTRANGE(""https://docs.google.com/spreadsheets/d/1MjHtlUikwobi2MaWJgy7tfLeBmhj1u-dRFRs_8GwSoA/edit#gid=0"",""Gestores Escolares!D7:J""),6,0),""VERIFICAR CÓD SEC"")"),"MARCIO FERREIRA DO NASCIMENTO ")</f>
        <v>MARCIO FERREIRA DO NASCIMENTO </v>
      </c>
      <c r="P87" s="82" t="str">
        <f>IFERROR(__xludf.DUMMYFUNCTION("IFERROR(VLOOKUP(D87,
IMPORTRANGE(""https://docs.google.com/spreadsheets/d/1MjHtlUikwobi2MaWJgy7tfLeBmhj1u-dRFRs_8GwSoA/edit#gid=0"",""Gestores Escolares!D7:J""),7,0),""VERIFICAR CÓD SEC"")"),"(77) 9 9943-0277")</f>
        <v>(77) 9 9943-0277</v>
      </c>
      <c r="Q87" s="82" t="str">
        <f>IFERROR(__xludf.DUMMYFUNCTION("IFERROR(VLOOKUP(D87,
IMPORTRANGE(""https://docs.google.com/spreadsheets/d/1MjHtlUikwobi2MaWJgy7tfLeBmhj1u-dRFRs_8GwSoA/edit#gid=0"",""Gestores Escolares!D7:m""),9,0),""VERIFICAR CÓD SEC"")"),"CLAUDIA MARIA DA SILVA COSTA")</f>
        <v>CLAUDIA MARIA DA SILVA COSTA</v>
      </c>
      <c r="R87" s="82" t="str">
        <f>IFERROR(__xludf.DUMMYFUNCTION("IFERROR(VLOOKUP(D87,
IMPORTRANGE(""https://docs.google.com/spreadsheets/d/1MjHtlUikwobi2MaWJgy7tfLeBmhj1u-dRFRs_8GwSoA/edit#gid=0"",""Gestores Escolares!D7:m""),10,0),""VERIFICAR CÓD SEC"")"),"(77) 9 8837-6598")</f>
        <v>(77) 9 8837-6598</v>
      </c>
      <c r="S87" s="82"/>
      <c r="T87" s="138">
        <v>5.0</v>
      </c>
      <c r="U87" s="152">
        <v>5.0</v>
      </c>
      <c r="V87" s="106">
        <v>0.0</v>
      </c>
      <c r="W87" s="107">
        <v>0.0</v>
      </c>
      <c r="X87" s="107">
        <v>0.0</v>
      </c>
      <c r="Y87" s="107">
        <v>0.0</v>
      </c>
      <c r="Z87" s="80">
        <f t="shared" si="1"/>
        <v>0</v>
      </c>
      <c r="AA87" s="106">
        <v>0.0</v>
      </c>
      <c r="AB87" s="107">
        <v>0.0</v>
      </c>
      <c r="AC87" s="107">
        <v>0.0</v>
      </c>
      <c r="AD87" s="107">
        <v>0.0</v>
      </c>
      <c r="AE87" s="80">
        <f t="shared" si="2"/>
        <v>0</v>
      </c>
      <c r="AF87" s="140">
        <v>0.0</v>
      </c>
      <c r="AG87" s="109">
        <v>0.0</v>
      </c>
      <c r="AH87" s="109">
        <v>0.0</v>
      </c>
      <c r="AI87" s="141">
        <v>0.0</v>
      </c>
      <c r="AJ87" s="80">
        <f t="shared" si="3"/>
        <v>0</v>
      </c>
      <c r="AK87" s="140">
        <v>0.0</v>
      </c>
      <c r="AL87" s="109">
        <v>0.0</v>
      </c>
      <c r="AM87" s="141">
        <v>0.0</v>
      </c>
      <c r="AN87" s="80">
        <f t="shared" si="4"/>
        <v>0</v>
      </c>
      <c r="AO87" s="140">
        <v>0.0</v>
      </c>
      <c r="AP87" s="109">
        <v>0.0</v>
      </c>
      <c r="AQ87" s="109">
        <v>81.0</v>
      </c>
      <c r="AR87" s="80">
        <f t="shared" si="5"/>
        <v>81</v>
      </c>
      <c r="AS87" s="110">
        <v>0.0</v>
      </c>
      <c r="AT87" s="110">
        <v>0.0</v>
      </c>
      <c r="AU87" s="110">
        <v>0.0</v>
      </c>
      <c r="AV87" s="142">
        <v>0.0</v>
      </c>
      <c r="AW87" s="80">
        <f t="shared" si="6"/>
        <v>0</v>
      </c>
      <c r="AX87" s="113">
        <f t="shared" si="7"/>
        <v>81</v>
      </c>
      <c r="AY87" s="117">
        <f t="shared" si="8"/>
        <v>0</v>
      </c>
      <c r="AZ87" s="120">
        <f t="shared" si="9"/>
        <v>81</v>
      </c>
      <c r="BA87" s="115">
        <v>0.0</v>
      </c>
      <c r="BB87" s="89">
        <f t="shared" si="10"/>
        <v>81</v>
      </c>
      <c r="BC87" s="132" t="s">
        <v>265</v>
      </c>
      <c r="BD87" s="132" t="s">
        <v>178</v>
      </c>
      <c r="BE87" s="132" t="s">
        <v>178</v>
      </c>
      <c r="BF87" s="83" t="s">
        <v>632</v>
      </c>
      <c r="BG87" s="83">
        <v>1178913.0</v>
      </c>
      <c r="BH87" s="144"/>
      <c r="BI87" s="112">
        <v>5.0</v>
      </c>
      <c r="BJ87" s="98" t="s">
        <v>155</v>
      </c>
      <c r="BK87" s="99">
        <f t="shared" si="11"/>
        <v>0</v>
      </c>
      <c r="BL87" s="99">
        <f t="shared" si="12"/>
        <v>0</v>
      </c>
      <c r="BM87" s="99" t="str">
        <f>IFERROR(__xludf.DUMMYFUNCTION("IFERROR(VLOOKUP(BG87,IMPORTRANGE(""https://docs.google.com/spreadsheets/d/1juPI-Fb8LD0YtltB2mlGEnp_R3UVu1t3wSFPzgCyHXE/edit?gid=0#gid=0"",""GERAL!A2:C""),3,0),""-"")"),"QUILOMBOLAS")</f>
        <v>QUILOMBOLAS</v>
      </c>
    </row>
    <row r="88" ht="15.75" customHeight="1">
      <c r="A88" s="111" t="s">
        <v>205</v>
      </c>
      <c r="B88" s="83" t="s">
        <v>472</v>
      </c>
      <c r="C88" s="83" t="s">
        <v>164</v>
      </c>
      <c r="D88" s="112">
        <v>1179431.0</v>
      </c>
      <c r="E88" s="98">
        <v>1179359.0</v>
      </c>
      <c r="F88" s="98">
        <v>2.9493315E7</v>
      </c>
      <c r="G88" s="119" t="s">
        <v>516</v>
      </c>
      <c r="H88" s="91" t="s">
        <v>517</v>
      </c>
      <c r="I88" s="136" t="s">
        <v>518</v>
      </c>
      <c r="J88" s="83" t="s">
        <v>519</v>
      </c>
      <c r="K88" s="83" t="s">
        <v>168</v>
      </c>
      <c r="L88" s="83" t="s">
        <v>169</v>
      </c>
      <c r="M88" s="82" t="str">
        <f>IFERROR(__xludf.DUMMYFUNCTION("IFERROR(VLOOKUP(D88,
IMPORTRANGE(""https://docs.google.com/spreadsheets/d/1MjHtlUikwobi2MaWJgy7tfLeBmhj1u-dRFRs_8GwSoA/edit#gid=0"",""Gestores Escolares!D7:J""),3,0),""VERIFICAR CÓD SEC"")"),"NEIDE RAFAEL DE SOUZA ROCHA")</f>
        <v>NEIDE RAFAEL DE SOUZA ROCHA</v>
      </c>
      <c r="N88" s="82" t="str">
        <f>IFERROR(__xludf.DUMMYFUNCTION("IFERROR(VLOOKUP(D88,
IMPORTRANGE(""https://docs.google.com/spreadsheets/d/1MjHtlUikwobi2MaWJgy7tfLeBmhj1u-dRFRs_8GwSoA/edit#gid=0"",""Gestores Escolares!D7:J""),4,0),""VERIFICAR CÓD SEC"")"),"(74) 9 9807-3175")</f>
        <v>(74) 9 9807-3175</v>
      </c>
      <c r="O88" s="82" t="str">
        <f>IFERROR(__xludf.DUMMYFUNCTION("IFERROR(VLOOKUP(D88,
IMPORTRANGE(""https://docs.google.com/spreadsheets/d/1MjHtlUikwobi2MaWJgy7tfLeBmhj1u-dRFRs_8GwSoA/edit#gid=0"",""Gestores Escolares!D7:J""),6,0),""VERIFICAR CÓD SEC"")"),"FRANCISCO DE ARAUJO LEAL")</f>
        <v>FRANCISCO DE ARAUJO LEAL</v>
      </c>
      <c r="P88" s="82" t="str">
        <f>IFERROR(__xludf.DUMMYFUNCTION("IFERROR(VLOOKUP(D88,
IMPORTRANGE(""https://docs.google.com/spreadsheets/d/1MjHtlUikwobi2MaWJgy7tfLeBmhj1u-dRFRs_8GwSoA/edit#gid=0"",""Gestores Escolares!D7:J""),7,0),""VERIFICAR CÓD SEC"")"),"(74) 9 8836-8463")</f>
        <v>(74) 9 8836-8463</v>
      </c>
      <c r="Q88" s="82" t="str">
        <f>IFERROR(__xludf.DUMMYFUNCTION("IFERROR(VLOOKUP(D88,
IMPORTRANGE(""https://docs.google.com/spreadsheets/d/1MjHtlUikwobi2MaWJgy7tfLeBmhj1u-dRFRs_8GwSoA/edit#gid=0"",""Gestores Escolares!D7:m""),9,0),""VERIFICAR CÓD SEC"")"),"CLAUDEMIR CELSO LIMA")</f>
        <v>CLAUDEMIR CELSO LIMA</v>
      </c>
      <c r="R88" s="82" t="str">
        <f>IFERROR(__xludf.DUMMYFUNCTION("IFERROR(VLOOKUP(D88,
IMPORTRANGE(""https://docs.google.com/spreadsheets/d/1MjHtlUikwobi2MaWJgy7tfLeBmhj1u-dRFRs_8GwSoA/edit#gid=0"",""Gestores Escolares!D7:m""),10,0),""VERIFICAR CÓD SEC"")"),"(74) 9 9952-3072")</f>
        <v>(74) 9 9952-3072</v>
      </c>
      <c r="S88" s="82"/>
      <c r="T88" s="138">
        <v>2.0</v>
      </c>
      <c r="U88" s="152">
        <v>2.0</v>
      </c>
      <c r="V88" s="106">
        <v>0.0</v>
      </c>
      <c r="W88" s="107">
        <v>0.0</v>
      </c>
      <c r="X88" s="107">
        <v>0.0</v>
      </c>
      <c r="Y88" s="107">
        <v>0.0</v>
      </c>
      <c r="Z88" s="80">
        <f t="shared" si="1"/>
        <v>0</v>
      </c>
      <c r="AA88" s="106">
        <v>0.0</v>
      </c>
      <c r="AB88" s="107">
        <v>0.0</v>
      </c>
      <c r="AC88" s="107">
        <v>0.0</v>
      </c>
      <c r="AD88" s="107">
        <v>0.0</v>
      </c>
      <c r="AE88" s="80">
        <f t="shared" si="2"/>
        <v>0</v>
      </c>
      <c r="AF88" s="140">
        <v>0.0</v>
      </c>
      <c r="AG88" s="109">
        <v>0.0</v>
      </c>
      <c r="AH88" s="109">
        <v>0.0</v>
      </c>
      <c r="AI88" s="141">
        <v>0.0</v>
      </c>
      <c r="AJ88" s="80">
        <f t="shared" si="3"/>
        <v>0</v>
      </c>
      <c r="AK88" s="140">
        <v>0.0</v>
      </c>
      <c r="AL88" s="109">
        <v>0.0</v>
      </c>
      <c r="AM88" s="141">
        <v>0.0</v>
      </c>
      <c r="AN88" s="80">
        <f t="shared" si="4"/>
        <v>0</v>
      </c>
      <c r="AO88" s="140">
        <v>0.0</v>
      </c>
      <c r="AP88" s="109">
        <v>0.0</v>
      </c>
      <c r="AQ88" s="109">
        <v>49.0</v>
      </c>
      <c r="AR88" s="80">
        <f t="shared" si="5"/>
        <v>49</v>
      </c>
      <c r="AS88" s="110">
        <v>0.0</v>
      </c>
      <c r="AT88" s="110">
        <v>0.0</v>
      </c>
      <c r="AU88" s="110">
        <v>0.0</v>
      </c>
      <c r="AV88" s="142">
        <v>0.0</v>
      </c>
      <c r="AW88" s="80">
        <f t="shared" si="6"/>
        <v>0</v>
      </c>
      <c r="AX88" s="113">
        <f t="shared" si="7"/>
        <v>49</v>
      </c>
      <c r="AY88" s="117">
        <f t="shared" si="8"/>
        <v>0</v>
      </c>
      <c r="AZ88" s="120">
        <f t="shared" si="9"/>
        <v>49</v>
      </c>
      <c r="BA88" s="115">
        <v>0.0</v>
      </c>
      <c r="BB88" s="89">
        <f t="shared" si="10"/>
        <v>49</v>
      </c>
      <c r="BC88" s="132" t="s">
        <v>178</v>
      </c>
      <c r="BD88" s="143" t="s">
        <v>227</v>
      </c>
      <c r="BE88" s="132" t="s">
        <v>178</v>
      </c>
      <c r="BF88" s="156"/>
      <c r="BG88" s="83">
        <v>1179471.0</v>
      </c>
      <c r="BH88" s="144"/>
      <c r="BI88" s="112">
        <v>2.0</v>
      </c>
      <c r="BJ88" s="98" t="s">
        <v>155</v>
      </c>
      <c r="BK88" s="99">
        <f t="shared" si="11"/>
        <v>0</v>
      </c>
      <c r="BL88" s="99">
        <f t="shared" si="12"/>
        <v>0</v>
      </c>
      <c r="BM88" s="99" t="str">
        <f>IFERROR(__xludf.DUMMYFUNCTION("IFERROR(VLOOKUP(BG88,IMPORTRANGE(""https://docs.google.com/spreadsheets/d/1juPI-Fb8LD0YtltB2mlGEnp_R3UVu1t3wSFPzgCyHXE/edit?gid=0#gid=0"",""GERAL!A2:C""),3,0),""-"")"),"-")</f>
        <v>-</v>
      </c>
    </row>
    <row r="89" ht="15.75" customHeight="1">
      <c r="A89" s="111" t="s">
        <v>205</v>
      </c>
      <c r="B89" s="83" t="s">
        <v>472</v>
      </c>
      <c r="C89" s="83" t="s">
        <v>164</v>
      </c>
      <c r="D89" s="112">
        <v>1176437.0</v>
      </c>
      <c r="E89" s="98">
        <v>1179359.0</v>
      </c>
      <c r="F89" s="98">
        <v>2.9493315E7</v>
      </c>
      <c r="G89" s="119" t="s">
        <v>520</v>
      </c>
      <c r="H89" s="108" t="s">
        <v>521</v>
      </c>
      <c r="I89" s="136"/>
      <c r="J89" s="83"/>
      <c r="K89" s="98" t="s">
        <v>168</v>
      </c>
      <c r="L89" s="98" t="s">
        <v>169</v>
      </c>
      <c r="M89" s="82" t="str">
        <f>IFERROR(__xludf.DUMMYFUNCTION("IFERROR(VLOOKUP(D89,
IMPORTRANGE(""https://docs.google.com/spreadsheets/d/1MjHtlUikwobi2MaWJgy7tfLeBmhj1u-dRFRs_8GwSoA/edit#gid=0"",""Gestores Escolares!D7:J""),3,0),""VERIFICAR CÓD SEC"")"),"MANOELA CARDOSO DE MOURA")</f>
        <v>MANOELA CARDOSO DE MOURA</v>
      </c>
      <c r="N89" s="82" t="str">
        <f>IFERROR(__xludf.DUMMYFUNCTION("IFERROR(VLOOKUP(D89,
IMPORTRANGE(""https://docs.google.com/spreadsheets/d/1MjHtlUikwobi2MaWJgy7tfLeBmhj1u-dRFRs_8GwSoA/edit#gid=0"",""Gestores Escolares!D7:J""),4,0),""VERIFICAR CÓD SEC"")"),"(77) 9 9991-0238")</f>
        <v>(77) 9 9991-0238</v>
      </c>
      <c r="O89" s="82" t="str">
        <f>IFERROR(__xludf.DUMMYFUNCTION("IFERROR(VLOOKUP(D89,
IMPORTRANGE(""https://docs.google.com/spreadsheets/d/1MjHtlUikwobi2MaWJgy7tfLeBmhj1u-dRFRs_8GwSoA/edit#gid=0"",""Gestores Escolares!D7:J""),6,0),""VERIFICAR CÓD SEC"")"),"MONACITA PINTO REIS")</f>
        <v>MONACITA PINTO REIS</v>
      </c>
      <c r="P89" s="82" t="str">
        <f>IFERROR(__xludf.DUMMYFUNCTION("IFERROR(VLOOKUP(D89,
IMPORTRANGE(""https://docs.google.com/spreadsheets/d/1MjHtlUikwobi2MaWJgy7tfLeBmhj1u-dRFRs_8GwSoA/edit#gid=0"",""Gestores Escolares!D7:J""),7,0),""VERIFICAR CÓD SEC"")"),"(77) 9 9977-7646")</f>
        <v>(77) 9 9977-7646</v>
      </c>
      <c r="Q89" s="82" t="str">
        <f>IFERROR(__xludf.DUMMYFUNCTION("IFERROR(VLOOKUP(D89,
IMPORTRANGE(""https://docs.google.com/spreadsheets/d/1MjHtlUikwobi2MaWJgy7tfLeBmhj1u-dRFRs_8GwSoA/edit#gid=0"",""Gestores Escolares!D7:m""),9,0),""VERIFICAR CÓD SEC"")"),"AYRLEIDE MARIA MIRANDA PEREIRA")</f>
        <v>AYRLEIDE MARIA MIRANDA PEREIRA</v>
      </c>
      <c r="R89" s="82" t="str">
        <f>IFERROR(__xludf.DUMMYFUNCTION("IFERROR(VLOOKUP(D89,
IMPORTRANGE(""https://docs.google.com/spreadsheets/d/1MjHtlUikwobi2MaWJgy7tfLeBmhj1u-dRFRs_8GwSoA/edit#gid=0"",""Gestores Escolares!D7:m""),10,0),""VERIFICAR CÓD SEC"")"),"(77) 9 9131-2149")</f>
        <v>(77) 9 9131-2149</v>
      </c>
      <c r="S89" s="82"/>
      <c r="T89" s="138"/>
      <c r="U89" s="152"/>
      <c r="V89" s="106">
        <v>0.0</v>
      </c>
      <c r="W89" s="107">
        <v>0.0</v>
      </c>
      <c r="X89" s="107">
        <v>0.0</v>
      </c>
      <c r="Y89" s="107">
        <v>0.0</v>
      </c>
      <c r="Z89" s="80">
        <f t="shared" si="1"/>
        <v>0</v>
      </c>
      <c r="AA89" s="106">
        <v>0.0</v>
      </c>
      <c r="AB89" s="107">
        <v>0.0</v>
      </c>
      <c r="AC89" s="107">
        <v>0.0</v>
      </c>
      <c r="AD89" s="107">
        <v>0.0</v>
      </c>
      <c r="AE89" s="80">
        <f t="shared" si="2"/>
        <v>0</v>
      </c>
      <c r="AF89" s="140">
        <v>0.0</v>
      </c>
      <c r="AG89" s="109">
        <v>0.0</v>
      </c>
      <c r="AH89" s="109">
        <v>0.0</v>
      </c>
      <c r="AI89" s="141">
        <v>0.0</v>
      </c>
      <c r="AJ89" s="80">
        <f t="shared" si="3"/>
        <v>0</v>
      </c>
      <c r="AK89" s="140">
        <v>0.0</v>
      </c>
      <c r="AL89" s="109">
        <v>0.0</v>
      </c>
      <c r="AM89" s="141">
        <v>0.0</v>
      </c>
      <c r="AN89" s="80">
        <f t="shared" si="4"/>
        <v>0</v>
      </c>
      <c r="AO89" s="140">
        <v>0.0</v>
      </c>
      <c r="AP89" s="109">
        <v>0.0</v>
      </c>
      <c r="AQ89" s="109">
        <v>25.0</v>
      </c>
      <c r="AR89" s="80">
        <f t="shared" si="5"/>
        <v>25</v>
      </c>
      <c r="AS89" s="110">
        <v>0.0</v>
      </c>
      <c r="AT89" s="110">
        <v>0.0</v>
      </c>
      <c r="AU89" s="110">
        <v>0.0</v>
      </c>
      <c r="AV89" s="142">
        <v>0.0</v>
      </c>
      <c r="AW89" s="80">
        <f t="shared" si="6"/>
        <v>0</v>
      </c>
      <c r="AX89" s="113">
        <f t="shared" si="7"/>
        <v>25</v>
      </c>
      <c r="AY89" s="117">
        <f t="shared" si="8"/>
        <v>0</v>
      </c>
      <c r="AZ89" s="120">
        <f t="shared" si="9"/>
        <v>25</v>
      </c>
      <c r="BA89" s="115">
        <v>0.0</v>
      </c>
      <c r="BB89" s="89">
        <f t="shared" si="10"/>
        <v>25</v>
      </c>
      <c r="BC89" s="132"/>
      <c r="BD89" s="132" t="s">
        <v>227</v>
      </c>
      <c r="BE89" s="132"/>
      <c r="BF89" s="156"/>
      <c r="BG89" s="98">
        <v>1179359.0</v>
      </c>
      <c r="BH89" s="144"/>
      <c r="BI89" s="112"/>
      <c r="BJ89" s="98" t="s">
        <v>155</v>
      </c>
      <c r="BK89" s="99">
        <f t="shared" si="11"/>
        <v>0</v>
      </c>
      <c r="BL89" s="99">
        <f t="shared" si="12"/>
        <v>0</v>
      </c>
      <c r="BM89" s="99" t="str">
        <f>IFERROR(__xludf.DUMMYFUNCTION("IFERROR(VLOOKUP(BG89,IMPORTRANGE(""https://docs.google.com/spreadsheets/d/1juPI-Fb8LD0YtltB2mlGEnp_R3UVu1t3wSFPzgCyHXE/edit?gid=0#gid=0"",""GERAL!A2:C""),3,0),""-"")"),"-")</f>
        <v>-</v>
      </c>
    </row>
    <row r="90" ht="15.75" customHeight="1">
      <c r="A90" s="111" t="s">
        <v>205</v>
      </c>
      <c r="B90" s="83" t="s">
        <v>472</v>
      </c>
      <c r="C90" s="83" t="s">
        <v>164</v>
      </c>
      <c r="D90" s="112">
        <v>1176437.0</v>
      </c>
      <c r="E90" s="83">
        <v>1178908.0</v>
      </c>
      <c r="F90" s="98">
        <v>2.9493307E7</v>
      </c>
      <c r="G90" s="114" t="s">
        <v>523</v>
      </c>
      <c r="H90" s="91" t="s">
        <v>524</v>
      </c>
      <c r="I90" s="83" t="s">
        <v>525</v>
      </c>
      <c r="J90" s="83" t="s">
        <v>526</v>
      </c>
      <c r="K90" s="83" t="s">
        <v>168</v>
      </c>
      <c r="L90" s="83" t="s">
        <v>169</v>
      </c>
      <c r="M90" s="82" t="str">
        <f>IFERROR(__xludf.DUMMYFUNCTION("IFERROR(VLOOKUP(D90,
IMPORTRANGE(""https://docs.google.com/spreadsheets/d/1MjHtlUikwobi2MaWJgy7tfLeBmhj1u-dRFRs_8GwSoA/edit#gid=0"",""Gestores Escolares!D7:J""),3,0),""VERIFICAR CÓD SEC"")"),"MANOELA CARDOSO DE MOURA")</f>
        <v>MANOELA CARDOSO DE MOURA</v>
      </c>
      <c r="N90" s="82" t="str">
        <f>IFERROR(__xludf.DUMMYFUNCTION("IFERROR(VLOOKUP(D90,
IMPORTRANGE(""https://docs.google.com/spreadsheets/d/1MjHtlUikwobi2MaWJgy7tfLeBmhj1u-dRFRs_8GwSoA/edit#gid=0"",""Gestores Escolares!D7:J""),4,0),""VERIFICAR CÓD SEC"")"),"(77) 9 9991-0238")</f>
        <v>(77) 9 9991-0238</v>
      </c>
      <c r="O90" s="82" t="str">
        <f>IFERROR(__xludf.DUMMYFUNCTION("IFERROR(VLOOKUP(D90,
IMPORTRANGE(""https://docs.google.com/spreadsheets/d/1MjHtlUikwobi2MaWJgy7tfLeBmhj1u-dRFRs_8GwSoA/edit#gid=0"",""Gestores Escolares!D7:J""),6,0),""VERIFICAR CÓD SEC"")"),"MONACITA PINTO REIS")</f>
        <v>MONACITA PINTO REIS</v>
      </c>
      <c r="P90" s="82" t="str">
        <f>IFERROR(__xludf.DUMMYFUNCTION("IFERROR(VLOOKUP(D90,
IMPORTRANGE(""https://docs.google.com/spreadsheets/d/1MjHtlUikwobi2MaWJgy7tfLeBmhj1u-dRFRs_8GwSoA/edit#gid=0"",""Gestores Escolares!D7:J""),7,0),""VERIFICAR CÓD SEC"")"),"(77) 9 9977-7646")</f>
        <v>(77) 9 9977-7646</v>
      </c>
      <c r="Q90" s="82" t="str">
        <f>IFERROR(__xludf.DUMMYFUNCTION("IFERROR(VLOOKUP(D90,
IMPORTRANGE(""https://docs.google.com/spreadsheets/d/1MjHtlUikwobi2MaWJgy7tfLeBmhj1u-dRFRs_8GwSoA/edit#gid=0"",""Gestores Escolares!D7:m""),9,0),""VERIFICAR CÓD SEC"")"),"AYRLEIDE MARIA MIRANDA PEREIRA")</f>
        <v>AYRLEIDE MARIA MIRANDA PEREIRA</v>
      </c>
      <c r="R90" s="82" t="str">
        <f>IFERROR(__xludf.DUMMYFUNCTION("IFERROR(VLOOKUP(D90,
IMPORTRANGE(""https://docs.google.com/spreadsheets/d/1MjHtlUikwobi2MaWJgy7tfLeBmhj1u-dRFRs_8GwSoA/edit#gid=0"",""Gestores Escolares!D7:m""),10,0),""VERIFICAR CÓD SEC"")"),"(77) 9 9131-2149")</f>
        <v>(77) 9 9131-2149</v>
      </c>
      <c r="S90" s="82"/>
      <c r="T90" s="138">
        <v>4.0</v>
      </c>
      <c r="U90" s="152">
        <v>3.0</v>
      </c>
      <c r="V90" s="106">
        <v>0.0</v>
      </c>
      <c r="W90" s="107">
        <v>0.0</v>
      </c>
      <c r="X90" s="107">
        <v>0.0</v>
      </c>
      <c r="Y90" s="107">
        <v>0.0</v>
      </c>
      <c r="Z90" s="80">
        <f t="shared" si="1"/>
        <v>0</v>
      </c>
      <c r="AA90" s="106">
        <v>0.0</v>
      </c>
      <c r="AB90" s="107">
        <v>0.0</v>
      </c>
      <c r="AC90" s="107">
        <v>0.0</v>
      </c>
      <c r="AD90" s="107">
        <v>0.0</v>
      </c>
      <c r="AE90" s="80">
        <f t="shared" si="2"/>
        <v>0</v>
      </c>
      <c r="AF90" s="140">
        <v>0.0</v>
      </c>
      <c r="AG90" s="109">
        <v>0.0</v>
      </c>
      <c r="AH90" s="109">
        <v>0.0</v>
      </c>
      <c r="AI90" s="141">
        <v>0.0</v>
      </c>
      <c r="AJ90" s="80">
        <f t="shared" si="3"/>
        <v>0</v>
      </c>
      <c r="AK90" s="140">
        <v>0.0</v>
      </c>
      <c r="AL90" s="109">
        <v>0.0</v>
      </c>
      <c r="AM90" s="141">
        <v>0.0</v>
      </c>
      <c r="AN90" s="80">
        <f t="shared" si="4"/>
        <v>0</v>
      </c>
      <c r="AO90" s="140">
        <v>0.0</v>
      </c>
      <c r="AP90" s="109">
        <v>0.0</v>
      </c>
      <c r="AQ90" s="109">
        <v>27.0</v>
      </c>
      <c r="AR90" s="80">
        <f t="shared" si="5"/>
        <v>27</v>
      </c>
      <c r="AS90" s="110">
        <v>0.0</v>
      </c>
      <c r="AT90" s="110">
        <v>0.0</v>
      </c>
      <c r="AU90" s="110">
        <v>0.0</v>
      </c>
      <c r="AV90" s="142">
        <v>0.0</v>
      </c>
      <c r="AW90" s="80">
        <f t="shared" si="6"/>
        <v>0</v>
      </c>
      <c r="AX90" s="113">
        <f t="shared" si="7"/>
        <v>27</v>
      </c>
      <c r="AY90" s="117">
        <f t="shared" si="8"/>
        <v>0</v>
      </c>
      <c r="AZ90" s="120">
        <f t="shared" si="9"/>
        <v>27</v>
      </c>
      <c r="BA90" s="115">
        <v>0.0</v>
      </c>
      <c r="BB90" s="89">
        <f t="shared" si="10"/>
        <v>27</v>
      </c>
      <c r="BC90" s="132" t="s">
        <v>265</v>
      </c>
      <c r="BD90" s="132" t="s">
        <v>178</v>
      </c>
      <c r="BE90" s="132" t="s">
        <v>178</v>
      </c>
      <c r="BF90" s="221"/>
      <c r="BG90" s="83">
        <v>1178908.0</v>
      </c>
      <c r="BH90" s="144"/>
      <c r="BI90" s="112">
        <v>3.0</v>
      </c>
      <c r="BJ90" s="98" t="s">
        <v>155</v>
      </c>
      <c r="BK90" s="99">
        <f t="shared" si="11"/>
        <v>0</v>
      </c>
      <c r="BL90" s="99">
        <f t="shared" si="12"/>
        <v>0</v>
      </c>
      <c r="BM90" s="99" t="str">
        <f>IFERROR(__xludf.DUMMYFUNCTION("IFERROR(VLOOKUP(BG90,IMPORTRANGE(""https://docs.google.com/spreadsheets/d/1juPI-Fb8LD0YtltB2mlGEnp_R3UVu1t3wSFPzgCyHXE/edit?gid=0#gid=0"",""GERAL!A2:C""),3,0),""-"")"),"QUILOMBOLAS")</f>
        <v>QUILOMBOLAS</v>
      </c>
    </row>
    <row r="91" ht="15.75" customHeight="1">
      <c r="A91" s="111" t="s">
        <v>205</v>
      </c>
      <c r="B91" s="83" t="s">
        <v>472</v>
      </c>
      <c r="C91" s="83" t="s">
        <v>164</v>
      </c>
      <c r="D91" s="112">
        <v>1178018.0</v>
      </c>
      <c r="E91" s="83">
        <v>1178914.0</v>
      </c>
      <c r="F91" s="98">
        <v>2.9493102E7</v>
      </c>
      <c r="G91" s="114" t="s">
        <v>527</v>
      </c>
      <c r="H91" s="91" t="s">
        <v>528</v>
      </c>
      <c r="I91" s="136" t="s">
        <v>529</v>
      </c>
      <c r="J91" s="83" t="s">
        <v>187</v>
      </c>
      <c r="K91" s="83" t="s">
        <v>168</v>
      </c>
      <c r="L91" s="83" t="s">
        <v>169</v>
      </c>
      <c r="M91" s="82" t="str">
        <f>IFERROR(__xludf.DUMMYFUNCTION("IFERROR(VLOOKUP(D91,
IMPORTRANGE(""https://docs.google.com/spreadsheets/d/1MjHtlUikwobi2MaWJgy7tfLeBmhj1u-dRFRs_8GwSoA/edit#gid=0"",""Gestores Escolares!D7:J""),3,0),""VERIFICAR CÓD SEC"")"),"MARIA DAS GRACAS SANTOS RIBEIRO")</f>
        <v>MARIA DAS GRACAS SANTOS RIBEIRO</v>
      </c>
      <c r="N91" s="82" t="str">
        <f>IFERROR(__xludf.DUMMYFUNCTION("IFERROR(VLOOKUP(D91,
IMPORTRANGE(""https://docs.google.com/spreadsheets/d/1MjHtlUikwobi2MaWJgy7tfLeBmhj1u-dRFRs_8GwSoA/edit#gid=0"",""Gestores Escolares!D7:J""),4,0),""VERIFICAR CÓD SEC"")"),"(77) 9 9121-5927")</f>
        <v>(77) 9 9121-5927</v>
      </c>
      <c r="O91" s="82" t="str">
        <f>IFERROR(__xludf.DUMMYFUNCTION("IFERROR(VLOOKUP(D91,
IMPORTRANGE(""https://docs.google.com/spreadsheets/d/1MjHtlUikwobi2MaWJgy7tfLeBmhj1u-dRFRs_8GwSoA/edit#gid=0"",""Gestores Escolares!D7:J""),6,0),""VERIFICAR CÓD SEC"")"),"")</f>
        <v/>
      </c>
      <c r="P91" s="82" t="str">
        <f>IFERROR(__xludf.DUMMYFUNCTION("IFERROR(VLOOKUP(D91,
IMPORTRANGE(""https://docs.google.com/spreadsheets/d/1MjHtlUikwobi2MaWJgy7tfLeBmhj1u-dRFRs_8GwSoA/edit#gid=0"",""Gestores Escolares!D7:J""),7,0),""VERIFICAR CÓD SEC"")"),"")</f>
        <v/>
      </c>
      <c r="Q91" s="82" t="str">
        <f>IFERROR(__xludf.DUMMYFUNCTION("IFERROR(VLOOKUP(D91,
IMPORTRANGE(""https://docs.google.com/spreadsheets/d/1MjHtlUikwobi2MaWJgy7tfLeBmhj1u-dRFRs_8GwSoA/edit#gid=0"",""Gestores Escolares!D7:m""),9,0),""VERIFICAR CÓD SEC"")"),"")</f>
        <v/>
      </c>
      <c r="R91" s="82" t="str">
        <f>IFERROR(__xludf.DUMMYFUNCTION("IFERROR(VLOOKUP(D91,
IMPORTRANGE(""https://docs.google.com/spreadsheets/d/1MjHtlUikwobi2MaWJgy7tfLeBmhj1u-dRFRs_8GwSoA/edit#gid=0"",""Gestores Escolares!D7:m""),10,0),""VERIFICAR CÓD SEC"")"),"")</f>
        <v/>
      </c>
      <c r="S91" s="82"/>
      <c r="T91" s="138">
        <v>3.0</v>
      </c>
      <c r="U91" s="152">
        <v>3.0</v>
      </c>
      <c r="V91" s="106">
        <v>0.0</v>
      </c>
      <c r="W91" s="107">
        <v>0.0</v>
      </c>
      <c r="X91" s="107">
        <v>0.0</v>
      </c>
      <c r="Y91" s="107">
        <v>0.0</v>
      </c>
      <c r="Z91" s="80">
        <f t="shared" si="1"/>
        <v>0</v>
      </c>
      <c r="AA91" s="106">
        <v>0.0</v>
      </c>
      <c r="AB91" s="107">
        <v>0.0</v>
      </c>
      <c r="AC91" s="107">
        <v>0.0</v>
      </c>
      <c r="AD91" s="107">
        <v>0.0</v>
      </c>
      <c r="AE91" s="80">
        <f t="shared" si="2"/>
        <v>0</v>
      </c>
      <c r="AF91" s="140">
        <v>0.0</v>
      </c>
      <c r="AG91" s="109">
        <v>0.0</v>
      </c>
      <c r="AH91" s="109">
        <v>0.0</v>
      </c>
      <c r="AI91" s="141">
        <v>0.0</v>
      </c>
      <c r="AJ91" s="80">
        <f t="shared" si="3"/>
        <v>0</v>
      </c>
      <c r="AK91" s="140">
        <v>0.0</v>
      </c>
      <c r="AL91" s="109">
        <v>0.0</v>
      </c>
      <c r="AM91" s="141">
        <v>0.0</v>
      </c>
      <c r="AN91" s="80">
        <f t="shared" si="4"/>
        <v>0</v>
      </c>
      <c r="AO91" s="140">
        <v>0.0</v>
      </c>
      <c r="AP91" s="109">
        <v>0.0</v>
      </c>
      <c r="AQ91" s="109">
        <v>23.0</v>
      </c>
      <c r="AR91" s="80">
        <f t="shared" si="5"/>
        <v>23</v>
      </c>
      <c r="AS91" s="110">
        <v>0.0</v>
      </c>
      <c r="AT91" s="110">
        <v>0.0</v>
      </c>
      <c r="AU91" s="110">
        <v>0.0</v>
      </c>
      <c r="AV91" s="142">
        <v>0.0</v>
      </c>
      <c r="AW91" s="80">
        <f t="shared" si="6"/>
        <v>0</v>
      </c>
      <c r="AX91" s="113">
        <f t="shared" si="7"/>
        <v>23</v>
      </c>
      <c r="AY91" s="117">
        <f t="shared" si="8"/>
        <v>0</v>
      </c>
      <c r="AZ91" s="120">
        <f t="shared" si="9"/>
        <v>23</v>
      </c>
      <c r="BA91" s="115">
        <v>0.0</v>
      </c>
      <c r="BB91" s="89">
        <f t="shared" si="10"/>
        <v>23</v>
      </c>
      <c r="BC91" s="132" t="s">
        <v>178</v>
      </c>
      <c r="BD91" s="132" t="s">
        <v>178</v>
      </c>
      <c r="BE91" s="132" t="s">
        <v>178</v>
      </c>
      <c r="BF91" s="156"/>
      <c r="BG91" s="83">
        <v>1178914.0</v>
      </c>
      <c r="BH91" s="144"/>
      <c r="BI91" s="112">
        <v>3.0</v>
      </c>
      <c r="BJ91" s="98" t="s">
        <v>155</v>
      </c>
      <c r="BK91" s="99">
        <f t="shared" si="11"/>
        <v>0</v>
      </c>
      <c r="BL91" s="99">
        <f t="shared" si="12"/>
        <v>0</v>
      </c>
      <c r="BM91" s="99" t="str">
        <f>IFERROR(__xludf.DUMMYFUNCTION("IFERROR(VLOOKUP(BG91,IMPORTRANGE(""https://docs.google.com/spreadsheets/d/1juPI-Fb8LD0YtltB2mlGEnp_R3UVu1t3wSFPzgCyHXE/edit?gid=0#gid=0"",""GERAL!A2:C""),3,0),""-"")"),"-")</f>
        <v>-</v>
      </c>
    </row>
    <row r="92" ht="15.75" customHeight="1">
      <c r="A92" s="111" t="s">
        <v>205</v>
      </c>
      <c r="B92" s="83" t="s">
        <v>472</v>
      </c>
      <c r="C92" s="83" t="s">
        <v>164</v>
      </c>
      <c r="D92" s="112">
        <v>1179668.0</v>
      </c>
      <c r="E92" s="83">
        <v>1178907.0</v>
      </c>
      <c r="F92" s="98">
        <v>2.9491959E7</v>
      </c>
      <c r="G92" s="114" t="s">
        <v>530</v>
      </c>
      <c r="H92" s="91" t="s">
        <v>531</v>
      </c>
      <c r="I92" s="136" t="s">
        <v>532</v>
      </c>
      <c r="J92" s="83" t="s">
        <v>467</v>
      </c>
      <c r="K92" s="83" t="s">
        <v>168</v>
      </c>
      <c r="L92" s="83" t="s">
        <v>169</v>
      </c>
      <c r="M92" s="82" t="str">
        <f>IFERROR(__xludf.DUMMYFUNCTION("IFERROR(VLOOKUP(D92,
IMPORTRANGE(""https://docs.google.com/spreadsheets/d/1MjHtlUikwobi2MaWJgy7tfLeBmhj1u-dRFRs_8GwSoA/edit#gid=0"",""Gestores Escolares!D7:J""),3,0),""VERIFICAR CÓD SEC"")"),"AILTON SILVA NASCIMENTO")</f>
        <v>AILTON SILVA NASCIMENTO</v>
      </c>
      <c r="N92" s="82" t="str">
        <f>IFERROR(__xludf.DUMMYFUNCTION("IFERROR(VLOOKUP(D92,
IMPORTRANGE(""https://docs.google.com/spreadsheets/d/1MjHtlUikwobi2MaWJgy7tfLeBmhj1u-dRFRs_8GwSoA/edit#gid=0"",""Gestores Escolares!D7:J""),4,0),""VERIFICAR CÓD SEC"")"),"(77) 9 9939-3884")</f>
        <v>(77) 9 9939-3884</v>
      </c>
      <c r="O92" s="82" t="str">
        <f>IFERROR(__xludf.DUMMYFUNCTION("IFERROR(VLOOKUP(D92,
IMPORTRANGE(""https://docs.google.com/spreadsheets/d/1MjHtlUikwobi2MaWJgy7tfLeBmhj1u-dRFRs_8GwSoA/edit#gid=0"",""Gestores Escolares!D7:J""),6,0),""VERIFICAR CÓD SEC"")"),"ELIANE SEIXAS ARAUJO ALMEIDA")</f>
        <v>ELIANE SEIXAS ARAUJO ALMEIDA</v>
      </c>
      <c r="P92" s="82" t="str">
        <f>IFERROR(__xludf.DUMMYFUNCTION("IFERROR(VLOOKUP(D92,
IMPORTRANGE(""https://docs.google.com/spreadsheets/d/1MjHtlUikwobi2MaWJgy7tfLeBmhj1u-dRFRs_8GwSoA/edit#gid=0"",""Gestores Escolares!D7:J""),7,0),""VERIFICAR CÓD SEC"")"),"(77) 9 9196-9932")</f>
        <v>(77) 9 9196-9932</v>
      </c>
      <c r="Q92" s="82" t="str">
        <f>IFERROR(__xludf.DUMMYFUNCTION("IFERROR(VLOOKUP(D92,
IMPORTRANGE(""https://docs.google.com/spreadsheets/d/1MjHtlUikwobi2MaWJgy7tfLeBmhj1u-dRFRs_8GwSoA/edit#gid=0"",""Gestores Escolares!D7:m""),9,0),""VERIFICAR CÓD SEC"")"),"")</f>
        <v/>
      </c>
      <c r="R92" s="82" t="str">
        <f>IFERROR(__xludf.DUMMYFUNCTION("IFERROR(VLOOKUP(D92,
IMPORTRANGE(""https://docs.google.com/spreadsheets/d/1MjHtlUikwobi2MaWJgy7tfLeBmhj1u-dRFRs_8GwSoA/edit#gid=0"",""Gestores Escolares!D7:m""),10,0),""VERIFICAR CÓD SEC"")"),"")</f>
        <v/>
      </c>
      <c r="S92" s="82"/>
      <c r="T92" s="138">
        <v>3.0</v>
      </c>
      <c r="U92" s="152">
        <v>5.0</v>
      </c>
      <c r="V92" s="106">
        <v>0.0</v>
      </c>
      <c r="W92" s="107">
        <v>0.0</v>
      </c>
      <c r="X92" s="107">
        <v>0.0</v>
      </c>
      <c r="Y92" s="107">
        <v>0.0</v>
      </c>
      <c r="Z92" s="80">
        <f t="shared" si="1"/>
        <v>0</v>
      </c>
      <c r="AA92" s="106">
        <v>0.0</v>
      </c>
      <c r="AB92" s="107">
        <v>0.0</v>
      </c>
      <c r="AC92" s="107">
        <v>0.0</v>
      </c>
      <c r="AD92" s="107">
        <v>0.0</v>
      </c>
      <c r="AE92" s="80">
        <f t="shared" si="2"/>
        <v>0</v>
      </c>
      <c r="AF92" s="140">
        <v>0.0</v>
      </c>
      <c r="AG92" s="109">
        <v>0.0</v>
      </c>
      <c r="AH92" s="109">
        <v>0.0</v>
      </c>
      <c r="AI92" s="141">
        <v>0.0</v>
      </c>
      <c r="AJ92" s="80">
        <f t="shared" si="3"/>
        <v>0</v>
      </c>
      <c r="AK92" s="140">
        <v>0.0</v>
      </c>
      <c r="AL92" s="109">
        <v>0.0</v>
      </c>
      <c r="AM92" s="141">
        <v>0.0</v>
      </c>
      <c r="AN92" s="80">
        <f t="shared" si="4"/>
        <v>0</v>
      </c>
      <c r="AO92" s="140">
        <v>0.0</v>
      </c>
      <c r="AP92" s="109">
        <v>0.0</v>
      </c>
      <c r="AQ92" s="109">
        <v>19.0</v>
      </c>
      <c r="AR92" s="80">
        <f t="shared" si="5"/>
        <v>19</v>
      </c>
      <c r="AS92" s="110">
        <v>0.0</v>
      </c>
      <c r="AT92" s="110">
        <v>0.0</v>
      </c>
      <c r="AU92" s="110">
        <v>0.0</v>
      </c>
      <c r="AV92" s="142">
        <v>0.0</v>
      </c>
      <c r="AW92" s="80">
        <f t="shared" si="6"/>
        <v>0</v>
      </c>
      <c r="AX92" s="113">
        <f t="shared" si="7"/>
        <v>19</v>
      </c>
      <c r="AY92" s="117">
        <f t="shared" si="8"/>
        <v>0</v>
      </c>
      <c r="AZ92" s="120">
        <f t="shared" si="9"/>
        <v>19</v>
      </c>
      <c r="BA92" s="115">
        <v>0.0</v>
      </c>
      <c r="BB92" s="89">
        <f t="shared" si="10"/>
        <v>19</v>
      </c>
      <c r="BC92" s="132" t="s">
        <v>178</v>
      </c>
      <c r="BD92" s="132" t="s">
        <v>178</v>
      </c>
      <c r="BE92" s="132" t="s">
        <v>178</v>
      </c>
      <c r="BF92" s="123"/>
      <c r="BG92" s="83">
        <v>1178907.0</v>
      </c>
      <c r="BH92" s="144"/>
      <c r="BI92" s="112">
        <v>5.0</v>
      </c>
      <c r="BJ92" s="98" t="s">
        <v>155</v>
      </c>
      <c r="BK92" s="99">
        <f t="shared" si="11"/>
        <v>0</v>
      </c>
      <c r="BL92" s="99">
        <f t="shared" si="12"/>
        <v>0</v>
      </c>
      <c r="BM92" s="99" t="str">
        <f>IFERROR(__xludf.DUMMYFUNCTION("IFERROR(VLOOKUP(BG92,IMPORTRANGE(""https://docs.google.com/spreadsheets/d/1juPI-Fb8LD0YtltB2mlGEnp_R3UVu1t3wSFPzgCyHXE/edit?gid=0#gid=0"",""GERAL!A2:C""),3,0),""-"")"),"-")</f>
        <v>-</v>
      </c>
    </row>
    <row r="93" ht="15.75" customHeight="1">
      <c r="A93" s="111" t="s">
        <v>205</v>
      </c>
      <c r="B93" s="83" t="s">
        <v>472</v>
      </c>
      <c r="C93" s="83" t="s">
        <v>164</v>
      </c>
      <c r="D93" s="112">
        <v>1179431.0</v>
      </c>
      <c r="E93" s="180">
        <v>1179766.0</v>
      </c>
      <c r="F93" s="98">
        <v>2.9461499E7</v>
      </c>
      <c r="G93" s="114" t="s">
        <v>535</v>
      </c>
      <c r="H93" s="91"/>
      <c r="I93" s="83" t="s">
        <v>149</v>
      </c>
      <c r="J93" s="83"/>
      <c r="K93" s="83" t="s">
        <v>168</v>
      </c>
      <c r="L93" s="83" t="s">
        <v>169</v>
      </c>
      <c r="M93" s="82" t="str">
        <f>IFERROR(__xludf.DUMMYFUNCTION("IFERROR(VLOOKUP(D93,
IMPORTRANGE(""https://docs.google.com/spreadsheets/d/1MjHtlUikwobi2MaWJgy7tfLeBmhj1u-dRFRs_8GwSoA/edit#gid=0"",""Gestores Escolares!D7:J""),3,0),""VERIFICAR CÓD SEC"")"),"NEIDE RAFAEL DE SOUZA ROCHA")</f>
        <v>NEIDE RAFAEL DE SOUZA ROCHA</v>
      </c>
      <c r="N93" s="82" t="str">
        <f>IFERROR(__xludf.DUMMYFUNCTION("IFERROR(VLOOKUP(D93,
IMPORTRANGE(""https://docs.google.com/spreadsheets/d/1MjHtlUikwobi2MaWJgy7tfLeBmhj1u-dRFRs_8GwSoA/edit#gid=0"",""Gestores Escolares!D7:J""),4,0),""VERIFICAR CÓD SEC"")"),"(74) 9 9807-3175")</f>
        <v>(74) 9 9807-3175</v>
      </c>
      <c r="O93" s="82" t="str">
        <f>IFERROR(__xludf.DUMMYFUNCTION("IFERROR(VLOOKUP(D93,
IMPORTRANGE(""https://docs.google.com/spreadsheets/d/1MjHtlUikwobi2MaWJgy7tfLeBmhj1u-dRFRs_8GwSoA/edit#gid=0"",""Gestores Escolares!D7:J""),6,0),""VERIFICAR CÓD SEC"")"),"FRANCISCO DE ARAUJO LEAL")</f>
        <v>FRANCISCO DE ARAUJO LEAL</v>
      </c>
      <c r="P93" s="82" t="str">
        <f>IFERROR(__xludf.DUMMYFUNCTION("IFERROR(VLOOKUP(D93,
IMPORTRANGE(""https://docs.google.com/spreadsheets/d/1MjHtlUikwobi2MaWJgy7tfLeBmhj1u-dRFRs_8GwSoA/edit#gid=0"",""Gestores Escolares!D7:J""),7,0),""VERIFICAR CÓD SEC"")"),"(74) 9 8836-8463")</f>
        <v>(74) 9 8836-8463</v>
      </c>
      <c r="Q93" s="82" t="str">
        <f>IFERROR(__xludf.DUMMYFUNCTION("IFERROR(VLOOKUP(D93,
IMPORTRANGE(""https://docs.google.com/spreadsheets/d/1MjHtlUikwobi2MaWJgy7tfLeBmhj1u-dRFRs_8GwSoA/edit#gid=0"",""Gestores Escolares!D7:m""),9,0),""VERIFICAR CÓD SEC"")"),"CLAUDEMIR CELSO LIMA")</f>
        <v>CLAUDEMIR CELSO LIMA</v>
      </c>
      <c r="R93" s="82" t="str">
        <f>IFERROR(__xludf.DUMMYFUNCTION("IFERROR(VLOOKUP(D93,
IMPORTRANGE(""https://docs.google.com/spreadsheets/d/1MjHtlUikwobi2MaWJgy7tfLeBmhj1u-dRFRs_8GwSoA/edit#gid=0"",""Gestores Escolares!D7:m""),10,0),""VERIFICAR CÓD SEC"")"),"(74) 9 9952-3072")</f>
        <v>(74) 9 9952-3072</v>
      </c>
      <c r="S93" s="82"/>
      <c r="T93" s="138"/>
      <c r="U93" s="152"/>
      <c r="V93" s="106">
        <v>0.0</v>
      </c>
      <c r="W93" s="107">
        <v>0.0</v>
      </c>
      <c r="X93" s="107">
        <v>0.0</v>
      </c>
      <c r="Y93" s="107">
        <v>0.0</v>
      </c>
      <c r="Z93" s="80">
        <f t="shared" si="1"/>
        <v>0</v>
      </c>
      <c r="AA93" s="106">
        <v>0.0</v>
      </c>
      <c r="AB93" s="107">
        <v>0.0</v>
      </c>
      <c r="AC93" s="107">
        <v>0.0</v>
      </c>
      <c r="AD93" s="107">
        <v>0.0</v>
      </c>
      <c r="AE93" s="80">
        <f t="shared" si="2"/>
        <v>0</v>
      </c>
      <c r="AF93" s="222">
        <v>0.0</v>
      </c>
      <c r="AG93" s="222">
        <v>0.0</v>
      </c>
      <c r="AH93" s="222">
        <v>29.0</v>
      </c>
      <c r="AI93" s="224">
        <v>0.0</v>
      </c>
      <c r="AJ93" s="80">
        <f t="shared" si="3"/>
        <v>29</v>
      </c>
      <c r="AK93" s="140">
        <v>0.0</v>
      </c>
      <c r="AL93" s="109">
        <v>0.0</v>
      </c>
      <c r="AM93" s="141">
        <v>0.0</v>
      </c>
      <c r="AN93" s="80">
        <f t="shared" si="4"/>
        <v>0</v>
      </c>
      <c r="AO93" s="222">
        <v>0.0</v>
      </c>
      <c r="AP93" s="222">
        <v>0.0</v>
      </c>
      <c r="AQ93" s="224">
        <v>0.0</v>
      </c>
      <c r="AR93" s="80">
        <f t="shared" si="5"/>
        <v>0</v>
      </c>
      <c r="AS93" s="110">
        <v>0.0</v>
      </c>
      <c r="AT93" s="110">
        <v>0.0</v>
      </c>
      <c r="AU93" s="110">
        <v>0.0</v>
      </c>
      <c r="AV93" s="142">
        <v>0.0</v>
      </c>
      <c r="AW93" s="80">
        <f t="shared" si="6"/>
        <v>0</v>
      </c>
      <c r="AX93" s="113">
        <f t="shared" si="7"/>
        <v>29</v>
      </c>
      <c r="AY93" s="117">
        <f t="shared" si="8"/>
        <v>0</v>
      </c>
      <c r="AZ93" s="120">
        <f t="shared" si="9"/>
        <v>29</v>
      </c>
      <c r="BA93" s="115">
        <v>0.0</v>
      </c>
      <c r="BB93" s="89">
        <f t="shared" si="10"/>
        <v>29</v>
      </c>
      <c r="BC93" s="132" t="s">
        <v>178</v>
      </c>
      <c r="BD93" s="132" t="s">
        <v>227</v>
      </c>
      <c r="BE93" s="132" t="s">
        <v>178</v>
      </c>
      <c r="BF93" s="156"/>
      <c r="BG93" s="98">
        <v>1179766.0</v>
      </c>
      <c r="BH93" s="128"/>
      <c r="BI93" s="98">
        <v>0.0</v>
      </c>
      <c r="BJ93" s="98" t="s">
        <v>155</v>
      </c>
      <c r="BK93" s="99">
        <f t="shared" si="11"/>
        <v>0</v>
      </c>
      <c r="BL93" s="99">
        <f t="shared" si="12"/>
        <v>0</v>
      </c>
      <c r="BM93" s="99" t="str">
        <f>IFERROR(__xludf.DUMMYFUNCTION("IFERROR(VLOOKUP(BG93,IMPORTRANGE(""https://docs.google.com/spreadsheets/d/1juPI-Fb8LD0YtltB2mlGEnp_R3UVu1t3wSFPzgCyHXE/edit?gid=0#gid=0"",""GERAL!A2:C""),3,0),""-"")"),"-")</f>
        <v>-</v>
      </c>
    </row>
    <row r="94" ht="15.75" customHeight="1">
      <c r="A94" s="111" t="s">
        <v>205</v>
      </c>
      <c r="B94" s="83" t="s">
        <v>472</v>
      </c>
      <c r="C94" s="83" t="s">
        <v>164</v>
      </c>
      <c r="D94" s="112">
        <v>1179431.0</v>
      </c>
      <c r="E94" s="83">
        <v>1179363.0</v>
      </c>
      <c r="F94" s="98">
        <v>2.9461499E7</v>
      </c>
      <c r="G94" s="119" t="s">
        <v>536</v>
      </c>
      <c r="H94" s="91" t="s">
        <v>537</v>
      </c>
      <c r="I94" s="83" t="s">
        <v>149</v>
      </c>
      <c r="J94" s="83" t="s">
        <v>538</v>
      </c>
      <c r="K94" s="83" t="s">
        <v>168</v>
      </c>
      <c r="L94" s="83" t="s">
        <v>169</v>
      </c>
      <c r="M94" s="82" t="str">
        <f>IFERROR(__xludf.DUMMYFUNCTION("IFERROR(VLOOKUP(D94,
IMPORTRANGE(""https://docs.google.com/spreadsheets/d/1MjHtlUikwobi2MaWJgy7tfLeBmhj1u-dRFRs_8GwSoA/edit#gid=0"",""Gestores Escolares!D7:J""),3,0),""VERIFICAR CÓD SEC"")"),"NEIDE RAFAEL DE SOUZA ROCHA")</f>
        <v>NEIDE RAFAEL DE SOUZA ROCHA</v>
      </c>
      <c r="N94" s="82" t="str">
        <f>IFERROR(__xludf.DUMMYFUNCTION("IFERROR(VLOOKUP(D94,
IMPORTRANGE(""https://docs.google.com/spreadsheets/d/1MjHtlUikwobi2MaWJgy7tfLeBmhj1u-dRFRs_8GwSoA/edit#gid=0"",""Gestores Escolares!D7:J""),4,0),""VERIFICAR CÓD SEC"")"),"(74) 9 9807-3175")</f>
        <v>(74) 9 9807-3175</v>
      </c>
      <c r="O94" s="82" t="str">
        <f>IFERROR(__xludf.DUMMYFUNCTION("IFERROR(VLOOKUP(D94,
IMPORTRANGE(""https://docs.google.com/spreadsheets/d/1MjHtlUikwobi2MaWJgy7tfLeBmhj1u-dRFRs_8GwSoA/edit#gid=0"",""Gestores Escolares!D7:J""),6,0),""VERIFICAR CÓD SEC"")"),"FRANCISCO DE ARAUJO LEAL")</f>
        <v>FRANCISCO DE ARAUJO LEAL</v>
      </c>
      <c r="P94" s="82" t="str">
        <f>IFERROR(__xludf.DUMMYFUNCTION("IFERROR(VLOOKUP(D94,
IMPORTRANGE(""https://docs.google.com/spreadsheets/d/1MjHtlUikwobi2MaWJgy7tfLeBmhj1u-dRFRs_8GwSoA/edit#gid=0"",""Gestores Escolares!D7:J""),7,0),""VERIFICAR CÓD SEC"")"),"(74) 9 8836-8463")</f>
        <v>(74) 9 8836-8463</v>
      </c>
      <c r="Q94" s="82" t="str">
        <f>IFERROR(__xludf.DUMMYFUNCTION("IFERROR(VLOOKUP(D94,
IMPORTRANGE(""https://docs.google.com/spreadsheets/d/1MjHtlUikwobi2MaWJgy7tfLeBmhj1u-dRFRs_8GwSoA/edit#gid=0"",""Gestores Escolares!D7:m""),9,0),""VERIFICAR CÓD SEC"")"),"CLAUDEMIR CELSO LIMA")</f>
        <v>CLAUDEMIR CELSO LIMA</v>
      </c>
      <c r="R94" s="82" t="str">
        <f>IFERROR(__xludf.DUMMYFUNCTION("IFERROR(VLOOKUP(D94,
IMPORTRANGE(""https://docs.google.com/spreadsheets/d/1MjHtlUikwobi2MaWJgy7tfLeBmhj1u-dRFRs_8GwSoA/edit#gid=0"",""Gestores Escolares!D7:m""),10,0),""VERIFICAR CÓD SEC"")"),"(74) 9 9952-3072")</f>
        <v>(74) 9 9952-3072</v>
      </c>
      <c r="S94" s="82"/>
      <c r="T94" s="138">
        <v>1.0</v>
      </c>
      <c r="U94" s="152">
        <v>1.0</v>
      </c>
      <c r="V94" s="106">
        <v>0.0</v>
      </c>
      <c r="W94" s="107">
        <v>0.0</v>
      </c>
      <c r="X94" s="107">
        <v>0.0</v>
      </c>
      <c r="Y94" s="107">
        <v>0.0</v>
      </c>
      <c r="Z94" s="80">
        <f t="shared" si="1"/>
        <v>0</v>
      </c>
      <c r="AA94" s="106">
        <v>0.0</v>
      </c>
      <c r="AB94" s="107">
        <v>0.0</v>
      </c>
      <c r="AC94" s="107">
        <v>0.0</v>
      </c>
      <c r="AD94" s="107">
        <v>0.0</v>
      </c>
      <c r="AE94" s="80">
        <f t="shared" si="2"/>
        <v>0</v>
      </c>
      <c r="AF94" s="140">
        <v>7.0</v>
      </c>
      <c r="AG94" s="109">
        <v>3.0</v>
      </c>
      <c r="AH94" s="109">
        <v>7.0</v>
      </c>
      <c r="AI94" s="141">
        <v>0.0</v>
      </c>
      <c r="AJ94" s="80">
        <f t="shared" si="3"/>
        <v>17</v>
      </c>
      <c r="AK94" s="140">
        <v>0.0</v>
      </c>
      <c r="AL94" s="109">
        <v>0.0</v>
      </c>
      <c r="AM94" s="141">
        <v>0.0</v>
      </c>
      <c r="AN94" s="80">
        <f t="shared" si="4"/>
        <v>0</v>
      </c>
      <c r="AO94" s="140">
        <v>0.0</v>
      </c>
      <c r="AP94" s="109">
        <v>0.0</v>
      </c>
      <c r="AQ94" s="109">
        <v>0.0</v>
      </c>
      <c r="AR94" s="80">
        <f t="shared" si="5"/>
        <v>0</v>
      </c>
      <c r="AS94" s="110">
        <v>0.0</v>
      </c>
      <c r="AT94" s="110">
        <v>0.0</v>
      </c>
      <c r="AU94" s="110">
        <v>0.0</v>
      </c>
      <c r="AV94" s="142">
        <v>0.0</v>
      </c>
      <c r="AW94" s="80">
        <f t="shared" si="6"/>
        <v>0</v>
      </c>
      <c r="AX94" s="113">
        <f t="shared" si="7"/>
        <v>17</v>
      </c>
      <c r="AY94" s="117">
        <f t="shared" si="8"/>
        <v>10</v>
      </c>
      <c r="AZ94" s="120">
        <f t="shared" si="9"/>
        <v>7</v>
      </c>
      <c r="BA94" s="115">
        <v>0.0</v>
      </c>
      <c r="BB94" s="89">
        <f t="shared" si="10"/>
        <v>17</v>
      </c>
      <c r="BC94" s="132" t="s">
        <v>265</v>
      </c>
      <c r="BD94" s="183" t="s">
        <v>227</v>
      </c>
      <c r="BE94" s="132" t="s">
        <v>178</v>
      </c>
      <c r="BF94" s="156"/>
      <c r="BG94" s="83">
        <v>1179363.0</v>
      </c>
      <c r="BH94" s="144"/>
      <c r="BI94" s="112">
        <v>1.0</v>
      </c>
      <c r="BJ94" s="98" t="s">
        <v>155</v>
      </c>
      <c r="BK94" s="99">
        <f t="shared" si="11"/>
        <v>0</v>
      </c>
      <c r="BL94" s="99">
        <f t="shared" si="12"/>
        <v>10</v>
      </c>
      <c r="BM94" s="99" t="str">
        <f>IFERROR(__xludf.DUMMYFUNCTION("IFERROR(VLOOKUP(BG94,IMPORTRANGE(""https://docs.google.com/spreadsheets/d/1juPI-Fb8LD0YtltB2mlGEnp_R3UVu1t3wSFPzgCyHXE/edit?gid=0#gid=0"",""GERAL!A2:C""),3,0),""-"")"),"QUILOMBOLAS")</f>
        <v>QUILOMBOLAS</v>
      </c>
    </row>
    <row r="95" ht="15.75" customHeight="1">
      <c r="A95" s="111" t="s">
        <v>205</v>
      </c>
      <c r="B95" s="83" t="s">
        <v>539</v>
      </c>
      <c r="C95" s="83" t="s">
        <v>45</v>
      </c>
      <c r="D95" s="98">
        <v>1179756.0</v>
      </c>
      <c r="E95" s="83"/>
      <c r="F95" s="83">
        <v>2.9464498E7</v>
      </c>
      <c r="G95" s="114" t="s">
        <v>541</v>
      </c>
      <c r="H95" s="91" t="s">
        <v>542</v>
      </c>
      <c r="I95" s="83" t="s">
        <v>149</v>
      </c>
      <c r="J95" s="83" t="s">
        <v>150</v>
      </c>
      <c r="K95" s="83" t="s">
        <v>151</v>
      </c>
      <c r="L95" s="83" t="s">
        <v>169</v>
      </c>
      <c r="M95" s="82" t="str">
        <f>IFERROR(__xludf.DUMMYFUNCTION("IFERROR(VLOOKUP(D95,
IMPORTRANGE(""https://docs.google.com/spreadsheets/d/1MjHtlUikwobi2MaWJgy7tfLeBmhj1u-dRFRs_8GwSoA/edit#gid=0"",""Gestores Escolares!D7:J""),3,0),""VERIFICAR CÓD SEC"")"),"VERIFICAR CÓD SEC")</f>
        <v>VERIFICAR CÓD SEC</v>
      </c>
      <c r="N95" s="82" t="str">
        <f>IFERROR(__xludf.DUMMYFUNCTION("IFERROR(VLOOKUP(D95,
IMPORTRANGE(""https://docs.google.com/spreadsheets/d/1MjHtlUikwobi2MaWJgy7tfLeBmhj1u-dRFRs_8GwSoA/edit#gid=0"",""Gestores Escolares!D7:J""),4,0),""VERIFICAR CÓD SEC"")"),"VERIFICAR CÓD SEC")</f>
        <v>VERIFICAR CÓD SEC</v>
      </c>
      <c r="O95" s="82" t="str">
        <f>IFERROR(__xludf.DUMMYFUNCTION("IFERROR(VLOOKUP(D95,
IMPORTRANGE(""https://docs.google.com/spreadsheets/d/1MjHtlUikwobi2MaWJgy7tfLeBmhj1u-dRFRs_8GwSoA/edit#gid=0"",""Gestores Escolares!D7:J""),6,0),""VERIFICAR CÓD SEC"")"),"VERIFICAR CÓD SEC")</f>
        <v>VERIFICAR CÓD SEC</v>
      </c>
      <c r="P95" s="82" t="str">
        <f>IFERROR(__xludf.DUMMYFUNCTION("IFERROR(VLOOKUP(D95,
IMPORTRANGE(""https://docs.google.com/spreadsheets/d/1MjHtlUikwobi2MaWJgy7tfLeBmhj1u-dRFRs_8GwSoA/edit#gid=0"",""Gestores Escolares!D7:J""),7,0),""VERIFICAR CÓD SEC"")"),"VERIFICAR CÓD SEC")</f>
        <v>VERIFICAR CÓD SEC</v>
      </c>
      <c r="Q95" s="82" t="str">
        <f>IFERROR(__xludf.DUMMYFUNCTION("IFERROR(VLOOKUP(D95,
IMPORTRANGE(""https://docs.google.com/spreadsheets/d/1MjHtlUikwobi2MaWJgy7tfLeBmhj1u-dRFRs_8GwSoA/edit#gid=0"",""Gestores Escolares!D7:m""),9,0),""VERIFICAR CÓD SEC"")"),"VERIFICAR CÓD SEC")</f>
        <v>VERIFICAR CÓD SEC</v>
      </c>
      <c r="R95" s="82" t="str">
        <f>IFERROR(__xludf.DUMMYFUNCTION("IFERROR(VLOOKUP(D95,
IMPORTRANGE(""https://docs.google.com/spreadsheets/d/1MjHtlUikwobi2MaWJgy7tfLeBmhj1u-dRFRs_8GwSoA/edit#gid=0"",""Gestores Escolares!D7:m""),10,0),""VERIFICAR CÓD SEC"")"),"VERIFICAR CÓD SEC")</f>
        <v>VERIFICAR CÓD SEC</v>
      </c>
      <c r="S95" s="82"/>
      <c r="T95" s="138">
        <v>4.0</v>
      </c>
      <c r="U95" s="145">
        <v>2.0</v>
      </c>
      <c r="V95" s="106">
        <v>0.0</v>
      </c>
      <c r="W95" s="107">
        <v>0.0</v>
      </c>
      <c r="X95" s="107">
        <v>0.0</v>
      </c>
      <c r="Y95" s="107">
        <v>0.0</v>
      </c>
      <c r="Z95" s="80">
        <f t="shared" si="1"/>
        <v>0</v>
      </c>
      <c r="AA95" s="106">
        <v>0.0</v>
      </c>
      <c r="AB95" s="107">
        <v>0.0</v>
      </c>
      <c r="AC95" s="107">
        <v>0.0</v>
      </c>
      <c r="AD95" s="107">
        <v>0.0</v>
      </c>
      <c r="AE95" s="80">
        <f t="shared" si="2"/>
        <v>0</v>
      </c>
      <c r="AF95" s="225">
        <v>0.0</v>
      </c>
      <c r="AG95" s="226">
        <v>0.0</v>
      </c>
      <c r="AH95" s="226">
        <v>0.0</v>
      </c>
      <c r="AI95" s="227">
        <v>95.0</v>
      </c>
      <c r="AJ95" s="80">
        <f t="shared" si="3"/>
        <v>95</v>
      </c>
      <c r="AK95" s="140">
        <v>0.0</v>
      </c>
      <c r="AL95" s="109">
        <v>0.0</v>
      </c>
      <c r="AM95" s="141">
        <v>0.0</v>
      </c>
      <c r="AN95" s="80">
        <f t="shared" si="4"/>
        <v>0</v>
      </c>
      <c r="AO95" s="225">
        <v>0.0</v>
      </c>
      <c r="AP95" s="226">
        <v>0.0</v>
      </c>
      <c r="AQ95" s="226">
        <v>0.0</v>
      </c>
      <c r="AR95" s="80">
        <f t="shared" si="5"/>
        <v>0</v>
      </c>
      <c r="AS95" s="110">
        <v>0.0</v>
      </c>
      <c r="AT95" s="110">
        <v>0.0</v>
      </c>
      <c r="AU95" s="110">
        <v>0.0</v>
      </c>
      <c r="AV95" s="142">
        <v>0.0</v>
      </c>
      <c r="AW95" s="80">
        <f t="shared" si="6"/>
        <v>0</v>
      </c>
      <c r="AX95" s="113">
        <f t="shared" si="7"/>
        <v>95</v>
      </c>
      <c r="AY95" s="117">
        <f t="shared" si="8"/>
        <v>95</v>
      </c>
      <c r="AZ95" s="120">
        <f t="shared" si="9"/>
        <v>0</v>
      </c>
      <c r="BA95" s="115">
        <v>0.0</v>
      </c>
      <c r="BB95" s="89">
        <f t="shared" si="10"/>
        <v>95</v>
      </c>
      <c r="BC95" s="132" t="s">
        <v>178</v>
      </c>
      <c r="BD95" s="132" t="s">
        <v>178</v>
      </c>
      <c r="BE95" s="132" t="s">
        <v>178</v>
      </c>
      <c r="BF95" s="156"/>
      <c r="BG95" s="98">
        <v>1179756.0</v>
      </c>
      <c r="BH95" s="128"/>
      <c r="BI95" s="98">
        <v>2.0</v>
      </c>
      <c r="BJ95" s="98" t="s">
        <v>155</v>
      </c>
      <c r="BK95" s="99">
        <f t="shared" si="11"/>
        <v>95</v>
      </c>
      <c r="BL95" s="99">
        <f t="shared" si="12"/>
        <v>0</v>
      </c>
      <c r="BM95" s="99" t="str">
        <f>IFERROR(__xludf.DUMMYFUNCTION("IFERROR(VLOOKUP(BG95,IMPORTRANGE(""https://docs.google.com/spreadsheets/d/1juPI-Fb8LD0YtltB2mlGEnp_R3UVu1t3wSFPzgCyHXE/edit?gid=0#gid=0"",""GERAL!A2:C""),3,0),""-"")"),"EFA")</f>
        <v>EFA</v>
      </c>
    </row>
    <row r="96" ht="15.75" customHeight="1">
      <c r="A96" s="111" t="s">
        <v>205</v>
      </c>
      <c r="B96" s="83" t="s">
        <v>539</v>
      </c>
      <c r="C96" s="83" t="s">
        <v>68</v>
      </c>
      <c r="D96" s="98">
        <v>1179813.0</v>
      </c>
      <c r="E96" s="83"/>
      <c r="F96" s="98">
        <v>2.9489466E7</v>
      </c>
      <c r="G96" s="119" t="s">
        <v>550</v>
      </c>
      <c r="H96" s="108" t="s">
        <v>551</v>
      </c>
      <c r="I96" s="98" t="s">
        <v>552</v>
      </c>
      <c r="J96" s="83"/>
      <c r="K96" s="83" t="s">
        <v>151</v>
      </c>
      <c r="L96" s="83" t="s">
        <v>169</v>
      </c>
      <c r="M96" s="82" t="str">
        <f>IFERROR(__xludf.DUMMYFUNCTION("IFERROR(VLOOKUP(D96,
IMPORTRANGE(""https://docs.google.com/spreadsheets/d/1MjHtlUikwobi2MaWJgy7tfLeBmhj1u-dRFRs_8GwSoA/edit#gid=0"",""Gestores Escolares!D7:J""),3,0),""VERIFICAR CÓD SEC"")"),"EDER SOUZA DE ARAUJO")</f>
        <v>EDER SOUZA DE ARAUJO</v>
      </c>
      <c r="N96" s="82" t="str">
        <f>IFERROR(__xludf.DUMMYFUNCTION("IFERROR(VLOOKUP(D96,
IMPORTRANGE(""https://docs.google.com/spreadsheets/d/1MjHtlUikwobi2MaWJgy7tfLeBmhj1u-dRFRs_8GwSoA/edit#gid=0"",""Gestores Escolares!D7:J""),4,0),""VERIFICAR CÓD SEC"")"),"(77) 9 9973-0848")</f>
        <v>(77) 9 9973-0848</v>
      </c>
      <c r="O96" s="82" t="str">
        <f>IFERROR(__xludf.DUMMYFUNCTION("IFERROR(VLOOKUP(D96,
IMPORTRANGE(""https://docs.google.com/spreadsheets/d/1MjHtlUikwobi2MaWJgy7tfLeBmhj1u-dRFRs_8GwSoA/edit#gid=0"",""Gestores Escolares!D7:J""),6,0),""VERIFICAR CÓD SEC"")"),"")</f>
        <v/>
      </c>
      <c r="P96" s="82" t="str">
        <f>IFERROR(__xludf.DUMMYFUNCTION("IFERROR(VLOOKUP(D96,
IMPORTRANGE(""https://docs.google.com/spreadsheets/d/1MjHtlUikwobi2MaWJgy7tfLeBmhj1u-dRFRs_8GwSoA/edit#gid=0"",""Gestores Escolares!D7:J""),7,0),""VERIFICAR CÓD SEC"")"),"")</f>
        <v/>
      </c>
      <c r="Q96" s="82" t="str">
        <f>IFERROR(__xludf.DUMMYFUNCTION("IFERROR(VLOOKUP(D96,
IMPORTRANGE(""https://docs.google.com/spreadsheets/d/1MjHtlUikwobi2MaWJgy7tfLeBmhj1u-dRFRs_8GwSoA/edit#gid=0"",""Gestores Escolares!D7:m""),9,0),""VERIFICAR CÓD SEC"")"),"")</f>
        <v/>
      </c>
      <c r="R96" s="82" t="str">
        <f>IFERROR(__xludf.DUMMYFUNCTION("IFERROR(VLOOKUP(D96,
IMPORTRANGE(""https://docs.google.com/spreadsheets/d/1MjHtlUikwobi2MaWJgy7tfLeBmhj1u-dRFRs_8GwSoA/edit#gid=0"",""Gestores Escolares!D7:m""),10,0),""VERIFICAR CÓD SEC"")"),"")</f>
        <v/>
      </c>
      <c r="S96" s="82"/>
      <c r="T96" s="138"/>
      <c r="U96" s="145">
        <v>4.0</v>
      </c>
      <c r="V96" s="106">
        <v>0.0</v>
      </c>
      <c r="W96" s="107">
        <v>0.0</v>
      </c>
      <c r="X96" s="107">
        <v>0.0</v>
      </c>
      <c r="Y96" s="107">
        <v>0.0</v>
      </c>
      <c r="Z96" s="80">
        <f t="shared" si="1"/>
        <v>0</v>
      </c>
      <c r="AA96" s="106">
        <v>0.0</v>
      </c>
      <c r="AB96" s="107">
        <v>0.0</v>
      </c>
      <c r="AC96" s="107">
        <v>0.0</v>
      </c>
      <c r="AD96" s="107">
        <v>0.0</v>
      </c>
      <c r="AE96" s="80">
        <f t="shared" si="2"/>
        <v>0</v>
      </c>
      <c r="AF96" s="140">
        <v>78.0</v>
      </c>
      <c r="AG96" s="109">
        <v>59.0</v>
      </c>
      <c r="AH96" s="109">
        <v>0.0</v>
      </c>
      <c r="AI96" s="141">
        <v>0.0</v>
      </c>
      <c r="AJ96" s="80">
        <f t="shared" si="3"/>
        <v>137</v>
      </c>
      <c r="AK96" s="140">
        <v>0.0</v>
      </c>
      <c r="AL96" s="109">
        <v>0.0</v>
      </c>
      <c r="AM96" s="141">
        <v>0.0</v>
      </c>
      <c r="AN96" s="80">
        <f t="shared" si="4"/>
        <v>0</v>
      </c>
      <c r="AO96" s="140">
        <v>0.0</v>
      </c>
      <c r="AP96" s="109">
        <v>0.0</v>
      </c>
      <c r="AQ96" s="109">
        <v>15.0</v>
      </c>
      <c r="AR96" s="80">
        <f t="shared" si="5"/>
        <v>15</v>
      </c>
      <c r="AS96" s="110">
        <v>0.0</v>
      </c>
      <c r="AT96" s="110">
        <v>0.0</v>
      </c>
      <c r="AU96" s="110">
        <v>0.0</v>
      </c>
      <c r="AV96" s="142">
        <v>0.0</v>
      </c>
      <c r="AW96" s="80">
        <f t="shared" si="6"/>
        <v>0</v>
      </c>
      <c r="AX96" s="113">
        <f t="shared" si="7"/>
        <v>152</v>
      </c>
      <c r="AY96" s="117">
        <f t="shared" si="8"/>
        <v>137</v>
      </c>
      <c r="AZ96" s="120">
        <f t="shared" si="9"/>
        <v>15</v>
      </c>
      <c r="BA96" s="115">
        <v>0.0</v>
      </c>
      <c r="BB96" s="89">
        <f t="shared" si="10"/>
        <v>152</v>
      </c>
      <c r="BC96" s="132"/>
      <c r="BD96" s="143"/>
      <c r="BE96" s="132"/>
      <c r="BF96" s="123"/>
      <c r="BG96" s="98">
        <v>1179813.0</v>
      </c>
      <c r="BH96" s="144"/>
      <c r="BI96" s="112"/>
      <c r="BJ96" s="98"/>
      <c r="BK96" s="99">
        <f t="shared" si="11"/>
        <v>0</v>
      </c>
      <c r="BL96" s="99">
        <f t="shared" si="12"/>
        <v>137</v>
      </c>
      <c r="BM96" s="99" t="str">
        <f>IFERROR(__xludf.DUMMYFUNCTION("IFERROR(VLOOKUP(BG96,IMPORTRANGE(""https://docs.google.com/spreadsheets/d/1juPI-Fb8LD0YtltB2mlGEnp_R3UVu1t3wSFPzgCyHXE/edit?gid=0#gid=0"",""GERAL!A2:C""),3,0),""-"")"),"CAMPO")</f>
        <v>CAMPO</v>
      </c>
    </row>
    <row r="97" ht="15.75" customHeight="1">
      <c r="A97" s="111" t="s">
        <v>205</v>
      </c>
      <c r="B97" s="83" t="s">
        <v>539</v>
      </c>
      <c r="C97" s="83" t="s">
        <v>68</v>
      </c>
      <c r="D97" s="112">
        <v>1127456.0</v>
      </c>
      <c r="E97" s="83"/>
      <c r="F97" s="83">
        <v>2.9205E7</v>
      </c>
      <c r="G97" s="119" t="s">
        <v>1151</v>
      </c>
      <c r="H97" s="91" t="s">
        <v>546</v>
      </c>
      <c r="I97" s="83" t="s">
        <v>149</v>
      </c>
      <c r="J97" s="83" t="s">
        <v>150</v>
      </c>
      <c r="K97" s="83" t="s">
        <v>151</v>
      </c>
      <c r="L97" s="83" t="s">
        <v>76</v>
      </c>
      <c r="M97" s="82" t="str">
        <f>IFERROR(__xludf.DUMMYFUNCTION("IFERROR(VLOOKUP(D97,
IMPORTRANGE(""https://docs.google.com/spreadsheets/d/1MjHtlUikwobi2MaWJgy7tfLeBmhj1u-dRFRs_8GwSoA/edit#gid=0"",""Gestores Escolares!D7:J""),3,0),""VERIFICAR CÓD SEC"")"),"NEIDILSON RODRIGUES DOS SANTOS")</f>
        <v>NEIDILSON RODRIGUES DOS SANTOS</v>
      </c>
      <c r="N97" s="82" t="str">
        <f>IFERROR(__xludf.DUMMYFUNCTION("IFERROR(VLOOKUP(D97,
IMPORTRANGE(""https://docs.google.com/spreadsheets/d/1MjHtlUikwobi2MaWJgy7tfLeBmhj1u-dRFRs_8GwSoA/edit#gid=0"",""Gestores Escolares!D7:J""),4,0),""VERIFICAR CÓD SEC"")"),"(77) 9 9127-8881")</f>
        <v>(77) 9 9127-8881</v>
      </c>
      <c r="O97" s="82" t="str">
        <f>IFERROR(__xludf.DUMMYFUNCTION("IFERROR(VLOOKUP(D97,
IMPORTRANGE(""https://docs.google.com/spreadsheets/d/1MjHtlUikwobi2MaWJgy7tfLeBmhj1u-dRFRs_8GwSoA/edit#gid=0"",""Gestores Escolares!D7:J""),6,0),""VERIFICAR CÓD SEC"")"),"MARIANNA ISABELLA ROSA RODRIGUES DE OLIVEIRA")</f>
        <v>MARIANNA ISABELLA ROSA RODRIGUES DE OLIVEIRA</v>
      </c>
      <c r="P97" s="82" t="str">
        <f>IFERROR(__xludf.DUMMYFUNCTION("IFERROR(VLOOKUP(D97,
IMPORTRANGE(""https://docs.google.com/spreadsheets/d/1MjHtlUikwobi2MaWJgy7tfLeBmhj1u-dRFRs_8GwSoA/edit#gid=0"",""Gestores Escolares!D7:J""),7,0),""VERIFICAR CÓD SEC"")"),"(11) 95907-7403 (ZAP)")</f>
        <v>(11) 95907-7403 (ZAP)</v>
      </c>
      <c r="Q97" s="82" t="str">
        <f>IFERROR(__xludf.DUMMYFUNCTION("IFERROR(VLOOKUP(D97,
IMPORTRANGE(""https://docs.google.com/spreadsheets/d/1MjHtlUikwobi2MaWJgy7tfLeBmhj1u-dRFRs_8GwSoA/edit#gid=0"",""Gestores Escolares!D7:m""),9,0),""VERIFICAR CÓD SEC"")"),"")</f>
        <v/>
      </c>
      <c r="R97" s="82" t="str">
        <f>IFERROR(__xludf.DUMMYFUNCTION("IFERROR(VLOOKUP(D97,
IMPORTRANGE(""https://docs.google.com/spreadsheets/d/1MjHtlUikwobi2MaWJgy7tfLeBmhj1u-dRFRs_8GwSoA/edit#gid=0"",""Gestores Escolares!D7:m""),10,0),""VERIFICAR CÓD SEC"")"),"")</f>
        <v/>
      </c>
      <c r="S97" s="82"/>
      <c r="T97" s="138">
        <v>8.0</v>
      </c>
      <c r="U97" s="145" t="s">
        <v>1154</v>
      </c>
      <c r="V97" s="106">
        <v>0.0</v>
      </c>
      <c r="W97" s="107">
        <v>0.0</v>
      </c>
      <c r="X97" s="107">
        <v>0.0</v>
      </c>
      <c r="Y97" s="107">
        <v>0.0</v>
      </c>
      <c r="Z97" s="80">
        <f t="shared" si="1"/>
        <v>0</v>
      </c>
      <c r="AA97" s="106">
        <v>0.0</v>
      </c>
      <c r="AB97" s="107">
        <v>0.0</v>
      </c>
      <c r="AC97" s="107">
        <v>0.0</v>
      </c>
      <c r="AD97" s="107">
        <v>0.0</v>
      </c>
      <c r="AE97" s="80">
        <f t="shared" si="2"/>
        <v>0</v>
      </c>
      <c r="AF97" s="140">
        <v>0.0</v>
      </c>
      <c r="AG97" s="109">
        <v>125.0</v>
      </c>
      <c r="AH97" s="109">
        <v>0.0</v>
      </c>
      <c r="AI97" s="141">
        <v>70.0</v>
      </c>
      <c r="AJ97" s="80">
        <f t="shared" si="3"/>
        <v>195</v>
      </c>
      <c r="AK97" s="140">
        <v>0.0</v>
      </c>
      <c r="AL97" s="109">
        <v>0.0</v>
      </c>
      <c r="AM97" s="141">
        <v>0.0</v>
      </c>
      <c r="AN97" s="80">
        <f t="shared" si="4"/>
        <v>0</v>
      </c>
      <c r="AO97" s="140">
        <v>0.0</v>
      </c>
      <c r="AP97" s="109">
        <v>0.0</v>
      </c>
      <c r="AQ97" s="109">
        <v>40.0</v>
      </c>
      <c r="AR97" s="80">
        <f t="shared" si="5"/>
        <v>40</v>
      </c>
      <c r="AS97" s="110">
        <v>0.0</v>
      </c>
      <c r="AT97" s="110">
        <v>0.0</v>
      </c>
      <c r="AU97" s="110">
        <v>21.0</v>
      </c>
      <c r="AV97" s="142">
        <v>0.0</v>
      </c>
      <c r="AW97" s="80">
        <f t="shared" si="6"/>
        <v>21</v>
      </c>
      <c r="AX97" s="113">
        <f t="shared" si="7"/>
        <v>256</v>
      </c>
      <c r="AY97" s="117">
        <f t="shared" si="8"/>
        <v>195</v>
      </c>
      <c r="AZ97" s="120">
        <f t="shared" si="9"/>
        <v>61</v>
      </c>
      <c r="BA97" s="115">
        <v>0.0</v>
      </c>
      <c r="BB97" s="89">
        <f t="shared" si="10"/>
        <v>256</v>
      </c>
      <c r="BC97" s="132" t="s">
        <v>178</v>
      </c>
      <c r="BD97" s="132" t="s">
        <v>178</v>
      </c>
      <c r="BE97" s="132" t="s">
        <v>178</v>
      </c>
      <c r="BF97" s="123"/>
      <c r="BG97" s="83">
        <v>1127456.0</v>
      </c>
      <c r="BH97" s="137" t="s">
        <v>548</v>
      </c>
      <c r="BI97" s="98">
        <v>6.0</v>
      </c>
      <c r="BJ97" s="98" t="s">
        <v>155</v>
      </c>
      <c r="BK97" s="99">
        <f t="shared" si="11"/>
        <v>70</v>
      </c>
      <c r="BL97" s="99">
        <f t="shared" si="12"/>
        <v>125</v>
      </c>
      <c r="BM97" s="99" t="str">
        <f>IFERROR(__xludf.DUMMYFUNCTION("IFERROR(VLOOKUP(BG97,IMPORTRANGE(""https://docs.google.com/spreadsheets/d/1juPI-Fb8LD0YtltB2mlGEnp_R3UVu1t3wSFPzgCyHXE/edit?gid=0#gid=0"",""GERAL!A2:C""),3,0),""-"")"),"-")</f>
        <v>-</v>
      </c>
    </row>
    <row r="98" ht="15.75" customHeight="1">
      <c r="A98" s="111" t="s">
        <v>205</v>
      </c>
      <c r="B98" s="83" t="s">
        <v>539</v>
      </c>
      <c r="C98" s="83" t="s">
        <v>164</v>
      </c>
      <c r="D98" s="112">
        <v>1179431.0</v>
      </c>
      <c r="E98" s="83">
        <v>1178821.0</v>
      </c>
      <c r="F98" s="98">
        <v>2.9461499E7</v>
      </c>
      <c r="G98" s="114" t="s">
        <v>556</v>
      </c>
      <c r="H98" s="91" t="s">
        <v>557</v>
      </c>
      <c r="I98" s="83" t="s">
        <v>149</v>
      </c>
      <c r="J98" s="83" t="s">
        <v>240</v>
      </c>
      <c r="K98" s="83" t="s">
        <v>151</v>
      </c>
      <c r="L98" s="83" t="s">
        <v>169</v>
      </c>
      <c r="M98" s="82" t="str">
        <f>IFERROR(__xludf.DUMMYFUNCTION("IFERROR(VLOOKUP(D98,
IMPORTRANGE(""https://docs.google.com/spreadsheets/d/1MjHtlUikwobi2MaWJgy7tfLeBmhj1u-dRFRs_8GwSoA/edit#gid=0"",""Gestores Escolares!D7:J""),3,0),""VERIFICAR CÓD SEC"")"),"NEIDE RAFAEL DE SOUZA ROCHA")</f>
        <v>NEIDE RAFAEL DE SOUZA ROCHA</v>
      </c>
      <c r="N98" s="82" t="str">
        <f>IFERROR(__xludf.DUMMYFUNCTION("IFERROR(VLOOKUP(D98,
IMPORTRANGE(""https://docs.google.com/spreadsheets/d/1MjHtlUikwobi2MaWJgy7tfLeBmhj1u-dRFRs_8GwSoA/edit#gid=0"",""Gestores Escolares!D7:J""),4,0),""VERIFICAR CÓD SEC"")"),"(74) 9 9807-3175")</f>
        <v>(74) 9 9807-3175</v>
      </c>
      <c r="O98" s="82" t="str">
        <f>IFERROR(__xludf.DUMMYFUNCTION("IFERROR(VLOOKUP(D98,
IMPORTRANGE(""https://docs.google.com/spreadsheets/d/1MjHtlUikwobi2MaWJgy7tfLeBmhj1u-dRFRs_8GwSoA/edit#gid=0"",""Gestores Escolares!D7:J""),6,0),""VERIFICAR CÓD SEC"")"),"FRANCISCO DE ARAUJO LEAL")</f>
        <v>FRANCISCO DE ARAUJO LEAL</v>
      </c>
      <c r="P98" s="82" t="str">
        <f>IFERROR(__xludf.DUMMYFUNCTION("IFERROR(VLOOKUP(D98,
IMPORTRANGE(""https://docs.google.com/spreadsheets/d/1MjHtlUikwobi2MaWJgy7tfLeBmhj1u-dRFRs_8GwSoA/edit#gid=0"",""Gestores Escolares!D7:J""),7,0),""VERIFICAR CÓD SEC"")"),"(74) 9 8836-8463")</f>
        <v>(74) 9 8836-8463</v>
      </c>
      <c r="Q98" s="82" t="str">
        <f>IFERROR(__xludf.DUMMYFUNCTION("IFERROR(VLOOKUP(D98,
IMPORTRANGE(""https://docs.google.com/spreadsheets/d/1MjHtlUikwobi2MaWJgy7tfLeBmhj1u-dRFRs_8GwSoA/edit#gid=0"",""Gestores Escolares!D7:m""),9,0),""VERIFICAR CÓD SEC"")"),"CLAUDEMIR CELSO LIMA")</f>
        <v>CLAUDEMIR CELSO LIMA</v>
      </c>
      <c r="R98" s="82" t="str">
        <f>IFERROR(__xludf.DUMMYFUNCTION("IFERROR(VLOOKUP(D98,
IMPORTRANGE(""https://docs.google.com/spreadsheets/d/1MjHtlUikwobi2MaWJgy7tfLeBmhj1u-dRFRs_8GwSoA/edit#gid=0"",""Gestores Escolares!D7:m""),10,0),""VERIFICAR CÓD SEC"")"),"(74) 9 9952-3072")</f>
        <v>(74) 9 9952-3072</v>
      </c>
      <c r="S98" s="82"/>
      <c r="T98" s="138">
        <v>3.0</v>
      </c>
      <c r="U98" s="139">
        <v>3.0</v>
      </c>
      <c r="V98" s="106">
        <v>0.0</v>
      </c>
      <c r="W98" s="107">
        <v>0.0</v>
      </c>
      <c r="X98" s="107">
        <v>0.0</v>
      </c>
      <c r="Y98" s="107">
        <v>0.0</v>
      </c>
      <c r="Z98" s="80">
        <f t="shared" si="1"/>
        <v>0</v>
      </c>
      <c r="AA98" s="106">
        <v>0.0</v>
      </c>
      <c r="AB98" s="107">
        <v>0.0</v>
      </c>
      <c r="AC98" s="107">
        <v>0.0</v>
      </c>
      <c r="AD98" s="107">
        <v>0.0</v>
      </c>
      <c r="AE98" s="80">
        <f t="shared" si="2"/>
        <v>0</v>
      </c>
      <c r="AF98" s="140">
        <v>0.0</v>
      </c>
      <c r="AG98" s="109">
        <v>26.0</v>
      </c>
      <c r="AH98" s="109">
        <v>0.0</v>
      </c>
      <c r="AI98" s="141">
        <v>0.0</v>
      </c>
      <c r="AJ98" s="80">
        <f t="shared" si="3"/>
        <v>26</v>
      </c>
      <c r="AK98" s="140">
        <v>0.0</v>
      </c>
      <c r="AL98" s="109">
        <v>0.0</v>
      </c>
      <c r="AM98" s="141">
        <v>0.0</v>
      </c>
      <c r="AN98" s="80">
        <f t="shared" si="4"/>
        <v>0</v>
      </c>
      <c r="AO98" s="140">
        <v>0.0</v>
      </c>
      <c r="AP98" s="109">
        <v>0.0</v>
      </c>
      <c r="AQ98" s="109">
        <v>0.0</v>
      </c>
      <c r="AR98" s="80">
        <f t="shared" si="5"/>
        <v>0</v>
      </c>
      <c r="AS98" s="110">
        <v>0.0</v>
      </c>
      <c r="AT98" s="110">
        <v>0.0</v>
      </c>
      <c r="AU98" s="110">
        <v>0.0</v>
      </c>
      <c r="AV98" s="142">
        <v>0.0</v>
      </c>
      <c r="AW98" s="80">
        <f t="shared" si="6"/>
        <v>0</v>
      </c>
      <c r="AX98" s="113">
        <f t="shared" si="7"/>
        <v>26</v>
      </c>
      <c r="AY98" s="117">
        <f t="shared" si="8"/>
        <v>26</v>
      </c>
      <c r="AZ98" s="120">
        <f t="shared" si="9"/>
        <v>0</v>
      </c>
      <c r="BA98" s="115">
        <v>0.0</v>
      </c>
      <c r="BB98" s="89">
        <f t="shared" si="10"/>
        <v>26</v>
      </c>
      <c r="BC98" s="132" t="s">
        <v>178</v>
      </c>
      <c r="BD98" s="143" t="s">
        <v>227</v>
      </c>
      <c r="BE98" s="132" t="s">
        <v>178</v>
      </c>
      <c r="BF98" s="123"/>
      <c r="BG98" s="83">
        <v>1178821.0</v>
      </c>
      <c r="BH98" s="144"/>
      <c r="BI98" s="112">
        <v>3.0</v>
      </c>
      <c r="BJ98" s="98" t="s">
        <v>155</v>
      </c>
      <c r="BK98" s="99">
        <f t="shared" si="11"/>
        <v>0</v>
      </c>
      <c r="BL98" s="99">
        <f t="shared" si="12"/>
        <v>26</v>
      </c>
      <c r="BM98" s="99" t="str">
        <f>IFERROR(__xludf.DUMMYFUNCTION("IFERROR(VLOOKUP(BG98,IMPORTRANGE(""https://docs.google.com/spreadsheets/d/1juPI-Fb8LD0YtltB2mlGEnp_R3UVu1t3wSFPzgCyHXE/edit?gid=0#gid=0"",""GERAL!A2:C""),3,0),""-"")"),"-")</f>
        <v>-</v>
      </c>
    </row>
    <row r="99" ht="15.75" customHeight="1">
      <c r="A99" s="111" t="s">
        <v>205</v>
      </c>
      <c r="B99" s="83" t="s">
        <v>558</v>
      </c>
      <c r="C99" s="83" t="s">
        <v>68</v>
      </c>
      <c r="D99" s="112">
        <v>1128762.0</v>
      </c>
      <c r="E99" s="83"/>
      <c r="F99" s="83">
        <v>2.904457E7</v>
      </c>
      <c r="G99" s="119" t="s">
        <v>559</v>
      </c>
      <c r="H99" s="91" t="s">
        <v>560</v>
      </c>
      <c r="I99" s="83" t="s">
        <v>149</v>
      </c>
      <c r="J99" s="83" t="s">
        <v>150</v>
      </c>
      <c r="K99" s="83" t="s">
        <v>151</v>
      </c>
      <c r="L99" s="98" t="s">
        <v>230</v>
      </c>
      <c r="M99" s="82" t="str">
        <f>IFERROR(__xludf.DUMMYFUNCTION("IFERROR(VLOOKUP(D99,
IMPORTRANGE(""https://docs.google.com/spreadsheets/d/1MjHtlUikwobi2MaWJgy7tfLeBmhj1u-dRFRs_8GwSoA/edit#gid=0"",""Gestores Escolares!D7:J""),3,0),""VERIFICAR CÓD SEC"")"),"JOAN HELDER DE JESUS SANTOS")</f>
        <v>JOAN HELDER DE JESUS SANTOS</v>
      </c>
      <c r="N99" s="82" t="str">
        <f>IFERROR(__xludf.DUMMYFUNCTION("IFERROR(VLOOKUP(D99,
IMPORTRANGE(""https://docs.google.com/spreadsheets/d/1MjHtlUikwobi2MaWJgy7tfLeBmhj1u-dRFRs_8GwSoA/edit#gid=0"",""Gestores Escolares!D7:J""),4,0),""VERIFICAR CÓD SEC"")"),"(77) 9 9954-0289")</f>
        <v>(77) 9 9954-0289</v>
      </c>
      <c r="O99" s="82" t="str">
        <f>IFERROR(__xludf.DUMMYFUNCTION("IFERROR(VLOOKUP(D99,
IMPORTRANGE(""https://docs.google.com/spreadsheets/d/1MjHtlUikwobi2MaWJgy7tfLeBmhj1u-dRFRs_8GwSoA/edit#gid=0"",""Gestores Escolares!D7:J""),6,0),""VERIFICAR CÓD SEC"")"),"LUCINETE PEREIRA DE JESUS")</f>
        <v>LUCINETE PEREIRA DE JESUS</v>
      </c>
      <c r="P99" s="82" t="str">
        <f>IFERROR(__xludf.DUMMYFUNCTION("IFERROR(VLOOKUP(D99,
IMPORTRANGE(""https://docs.google.com/spreadsheets/d/1MjHtlUikwobi2MaWJgy7tfLeBmhj1u-dRFRs_8GwSoA/edit#gid=0"",""Gestores Escolares!D7:J""),7,0),""VERIFICAR CÓD SEC"")"),"(77) 9 9981-5935")</f>
        <v>(77) 9 9981-5935</v>
      </c>
      <c r="Q99" s="82" t="str">
        <f>IFERROR(__xludf.DUMMYFUNCTION("IFERROR(VLOOKUP(D99,
IMPORTRANGE(""https://docs.google.com/spreadsheets/d/1MjHtlUikwobi2MaWJgy7tfLeBmhj1u-dRFRs_8GwSoA/edit#gid=0"",""Gestores Escolares!D7:m""),9,0),""VERIFICAR CÓD SEC"")"),"")</f>
        <v/>
      </c>
      <c r="R99" s="82" t="str">
        <f>IFERROR(__xludf.DUMMYFUNCTION("IFERROR(VLOOKUP(D99,
IMPORTRANGE(""https://docs.google.com/spreadsheets/d/1MjHtlUikwobi2MaWJgy7tfLeBmhj1u-dRFRs_8GwSoA/edit#gid=0"",""Gestores Escolares!D7:m""),10,0),""VERIFICAR CÓD SEC"")"),"")</f>
        <v/>
      </c>
      <c r="S99" s="82"/>
      <c r="T99" s="138">
        <v>10.0</v>
      </c>
      <c r="U99" s="145" t="s">
        <v>1183</v>
      </c>
      <c r="V99" s="106">
        <v>0.0</v>
      </c>
      <c r="W99" s="107">
        <v>0.0</v>
      </c>
      <c r="X99" s="107">
        <v>0.0</v>
      </c>
      <c r="Y99" s="107">
        <v>0.0</v>
      </c>
      <c r="Z99" s="80">
        <f t="shared" si="1"/>
        <v>0</v>
      </c>
      <c r="AA99" s="106">
        <v>0.0</v>
      </c>
      <c r="AB99" s="107">
        <v>0.0</v>
      </c>
      <c r="AC99" s="107">
        <v>0.0</v>
      </c>
      <c r="AD99" s="107">
        <v>0.0</v>
      </c>
      <c r="AE99" s="80">
        <f t="shared" si="2"/>
        <v>0</v>
      </c>
      <c r="AF99" s="140">
        <v>275.0</v>
      </c>
      <c r="AG99" s="109">
        <v>235.0</v>
      </c>
      <c r="AH99" s="109">
        <v>0.0</v>
      </c>
      <c r="AI99" s="141">
        <v>68.0</v>
      </c>
      <c r="AJ99" s="80">
        <f t="shared" si="3"/>
        <v>578</v>
      </c>
      <c r="AK99" s="140">
        <v>0.0</v>
      </c>
      <c r="AL99" s="109">
        <v>0.0</v>
      </c>
      <c r="AM99" s="141">
        <v>0.0</v>
      </c>
      <c r="AN99" s="80">
        <f t="shared" si="4"/>
        <v>0</v>
      </c>
      <c r="AO99" s="140">
        <v>0.0</v>
      </c>
      <c r="AP99" s="109">
        <v>0.0</v>
      </c>
      <c r="AQ99" s="109">
        <v>93.0</v>
      </c>
      <c r="AR99" s="80">
        <f t="shared" si="5"/>
        <v>93</v>
      </c>
      <c r="AS99" s="110">
        <v>0.0</v>
      </c>
      <c r="AT99" s="110">
        <v>0.0</v>
      </c>
      <c r="AU99" s="110">
        <v>15.0</v>
      </c>
      <c r="AV99" s="142">
        <v>0.0</v>
      </c>
      <c r="AW99" s="80">
        <f t="shared" si="6"/>
        <v>15</v>
      </c>
      <c r="AX99" s="113">
        <f t="shared" si="7"/>
        <v>686</v>
      </c>
      <c r="AY99" s="117">
        <f t="shared" si="8"/>
        <v>578</v>
      </c>
      <c r="AZ99" s="120">
        <f t="shared" si="9"/>
        <v>108</v>
      </c>
      <c r="BA99" s="115">
        <v>0.0</v>
      </c>
      <c r="BB99" s="89">
        <f t="shared" si="10"/>
        <v>686</v>
      </c>
      <c r="BC99" s="132" t="s">
        <v>178</v>
      </c>
      <c r="BD99" s="132" t="s">
        <v>178</v>
      </c>
      <c r="BE99" s="132" t="s">
        <v>178</v>
      </c>
      <c r="BF99" s="123"/>
      <c r="BG99" s="83">
        <v>1128762.0</v>
      </c>
      <c r="BH99" s="171" t="s">
        <v>561</v>
      </c>
      <c r="BI99" s="112">
        <v>8.0</v>
      </c>
      <c r="BJ99" s="98" t="s">
        <v>284</v>
      </c>
      <c r="BK99" s="99">
        <f t="shared" si="11"/>
        <v>68</v>
      </c>
      <c r="BL99" s="99">
        <f t="shared" si="12"/>
        <v>510</v>
      </c>
      <c r="BM99" s="99" t="str">
        <f>IFERROR(__xludf.DUMMYFUNCTION("IFERROR(VLOOKUP(BG99,IMPORTRANGE(""https://docs.google.com/spreadsheets/d/1juPI-Fb8LD0YtltB2mlGEnp_R3UVu1t3wSFPzgCyHXE/edit?gid=0#gid=0"",""GERAL!A2:C""),3,0),""-"")"),"-")</f>
        <v>-</v>
      </c>
    </row>
    <row r="100" ht="15.75" customHeight="1">
      <c r="A100" s="111" t="s">
        <v>205</v>
      </c>
      <c r="B100" s="83" t="s">
        <v>558</v>
      </c>
      <c r="C100" s="83" t="s">
        <v>164</v>
      </c>
      <c r="D100" s="112">
        <v>1128762.0</v>
      </c>
      <c r="E100" s="83">
        <v>1179013.0</v>
      </c>
      <c r="F100" s="98">
        <v>2.949339E7</v>
      </c>
      <c r="G100" s="119" t="s">
        <v>564</v>
      </c>
      <c r="H100" s="91" t="s">
        <v>565</v>
      </c>
      <c r="I100" s="83" t="s">
        <v>149</v>
      </c>
      <c r="J100" s="83" t="s">
        <v>464</v>
      </c>
      <c r="K100" s="83" t="s">
        <v>151</v>
      </c>
      <c r="L100" s="83" t="s">
        <v>169</v>
      </c>
      <c r="M100" s="82" t="str">
        <f>IFERROR(__xludf.DUMMYFUNCTION("IFERROR(VLOOKUP(D100,
IMPORTRANGE(""https://docs.google.com/spreadsheets/d/1MjHtlUikwobi2MaWJgy7tfLeBmhj1u-dRFRs_8GwSoA/edit#gid=0"",""Gestores Escolares!D7:J""),3,0),""VERIFICAR CÓD SEC"")"),"JOAN HELDER DE JESUS SANTOS")</f>
        <v>JOAN HELDER DE JESUS SANTOS</v>
      </c>
      <c r="N100" s="82" t="str">
        <f>IFERROR(__xludf.DUMMYFUNCTION("IFERROR(VLOOKUP(D100,
IMPORTRANGE(""https://docs.google.com/spreadsheets/d/1MjHtlUikwobi2MaWJgy7tfLeBmhj1u-dRFRs_8GwSoA/edit#gid=0"",""Gestores Escolares!D7:J""),4,0),""VERIFICAR CÓD SEC"")"),"(77) 9 9954-0289")</f>
        <v>(77) 9 9954-0289</v>
      </c>
      <c r="O100" s="82" t="str">
        <f>IFERROR(__xludf.DUMMYFUNCTION("IFERROR(VLOOKUP(D100,
IMPORTRANGE(""https://docs.google.com/spreadsheets/d/1MjHtlUikwobi2MaWJgy7tfLeBmhj1u-dRFRs_8GwSoA/edit#gid=0"",""Gestores Escolares!D7:J""),6,0),""VERIFICAR CÓD SEC"")"),"LUCINETE PEREIRA DE JESUS")</f>
        <v>LUCINETE PEREIRA DE JESUS</v>
      </c>
      <c r="P100" s="82" t="str">
        <f>IFERROR(__xludf.DUMMYFUNCTION("IFERROR(VLOOKUP(D100,
IMPORTRANGE(""https://docs.google.com/spreadsheets/d/1MjHtlUikwobi2MaWJgy7tfLeBmhj1u-dRFRs_8GwSoA/edit#gid=0"",""Gestores Escolares!D7:J""),7,0),""VERIFICAR CÓD SEC"")"),"(77) 9 9981-5935")</f>
        <v>(77) 9 9981-5935</v>
      </c>
      <c r="Q100" s="82" t="str">
        <f>IFERROR(__xludf.DUMMYFUNCTION("IFERROR(VLOOKUP(D100,
IMPORTRANGE(""https://docs.google.com/spreadsheets/d/1MjHtlUikwobi2MaWJgy7tfLeBmhj1u-dRFRs_8GwSoA/edit#gid=0"",""Gestores Escolares!D7:m""),9,0),""VERIFICAR CÓD SEC"")"),"")</f>
        <v/>
      </c>
      <c r="R100" s="82" t="str">
        <f>IFERROR(__xludf.DUMMYFUNCTION("IFERROR(VLOOKUP(D100,
IMPORTRANGE(""https://docs.google.com/spreadsheets/d/1MjHtlUikwobi2MaWJgy7tfLeBmhj1u-dRFRs_8GwSoA/edit#gid=0"",""Gestores Escolares!D7:m""),10,0),""VERIFICAR CÓD SEC"")"),"")</f>
        <v/>
      </c>
      <c r="S100" s="82"/>
      <c r="T100" s="138">
        <v>4.0</v>
      </c>
      <c r="U100" s="228">
        <v>5.0</v>
      </c>
      <c r="V100" s="106">
        <v>0.0</v>
      </c>
      <c r="W100" s="107">
        <v>0.0</v>
      </c>
      <c r="X100" s="107">
        <v>0.0</v>
      </c>
      <c r="Y100" s="107">
        <v>0.0</v>
      </c>
      <c r="Z100" s="80">
        <f t="shared" si="1"/>
        <v>0</v>
      </c>
      <c r="AA100" s="106">
        <v>0.0</v>
      </c>
      <c r="AB100" s="107">
        <v>0.0</v>
      </c>
      <c r="AC100" s="107">
        <v>0.0</v>
      </c>
      <c r="AD100" s="107">
        <v>0.0</v>
      </c>
      <c r="AE100" s="80">
        <f t="shared" si="2"/>
        <v>0</v>
      </c>
      <c r="AF100" s="140">
        <v>0.0</v>
      </c>
      <c r="AG100" s="109">
        <v>25.0</v>
      </c>
      <c r="AH100" s="109">
        <v>0.0</v>
      </c>
      <c r="AI100" s="141">
        <v>0.0</v>
      </c>
      <c r="AJ100" s="80">
        <f t="shared" si="3"/>
        <v>25</v>
      </c>
      <c r="AK100" s="140">
        <v>0.0</v>
      </c>
      <c r="AL100" s="109">
        <v>0.0</v>
      </c>
      <c r="AM100" s="141">
        <v>0.0</v>
      </c>
      <c r="AN100" s="80">
        <f t="shared" si="4"/>
        <v>0</v>
      </c>
      <c r="AO100" s="140">
        <v>0.0</v>
      </c>
      <c r="AP100" s="109">
        <v>0.0</v>
      </c>
      <c r="AQ100" s="109">
        <v>0.0</v>
      </c>
      <c r="AR100" s="80">
        <f t="shared" si="5"/>
        <v>0</v>
      </c>
      <c r="AS100" s="110">
        <v>0.0</v>
      </c>
      <c r="AT100" s="110">
        <v>0.0</v>
      </c>
      <c r="AU100" s="110">
        <v>0.0</v>
      </c>
      <c r="AV100" s="142">
        <v>0.0</v>
      </c>
      <c r="AW100" s="80">
        <f t="shared" si="6"/>
        <v>0</v>
      </c>
      <c r="AX100" s="113">
        <f t="shared" si="7"/>
        <v>25</v>
      </c>
      <c r="AY100" s="117">
        <f t="shared" si="8"/>
        <v>25</v>
      </c>
      <c r="AZ100" s="120">
        <f t="shared" si="9"/>
        <v>0</v>
      </c>
      <c r="BA100" s="115">
        <v>0.0</v>
      </c>
      <c r="BB100" s="89">
        <f t="shared" si="10"/>
        <v>25</v>
      </c>
      <c r="BC100" s="132" t="s">
        <v>265</v>
      </c>
      <c r="BD100" s="132" t="s">
        <v>178</v>
      </c>
      <c r="BE100" s="132" t="s">
        <v>178</v>
      </c>
      <c r="BF100" s="123"/>
      <c r="BG100" s="83">
        <v>1179013.0</v>
      </c>
      <c r="BH100" s="144"/>
      <c r="BI100" s="112">
        <v>4.0</v>
      </c>
      <c r="BJ100" s="98" t="s">
        <v>155</v>
      </c>
      <c r="BK100" s="99">
        <f t="shared" si="11"/>
        <v>0</v>
      </c>
      <c r="BL100" s="99">
        <f t="shared" si="12"/>
        <v>25</v>
      </c>
      <c r="BM100" s="99" t="str">
        <f>IFERROR(__xludf.DUMMYFUNCTION("IFERROR(VLOOKUP(BG100,IMPORTRANGE(""https://docs.google.com/spreadsheets/d/1juPI-Fb8LD0YtltB2mlGEnp_R3UVu1t3wSFPzgCyHXE/edit?gid=0#gid=0"",""GERAL!A2:C""),3,0),""-"")"),"QUILOMBOLAS")</f>
        <v>QUILOMBOLAS</v>
      </c>
    </row>
    <row r="101" ht="15.75" customHeight="1">
      <c r="A101" s="111" t="s">
        <v>205</v>
      </c>
      <c r="B101" s="83" t="s">
        <v>558</v>
      </c>
      <c r="C101" s="83" t="s">
        <v>164</v>
      </c>
      <c r="D101" s="112">
        <v>1128762.0</v>
      </c>
      <c r="E101" s="83">
        <v>1179011.0</v>
      </c>
      <c r="F101" s="98">
        <v>2.9493382E7</v>
      </c>
      <c r="G101" s="119" t="s">
        <v>566</v>
      </c>
      <c r="H101" s="91" t="s">
        <v>567</v>
      </c>
      <c r="I101" s="83" t="s">
        <v>149</v>
      </c>
      <c r="J101" s="83" t="s">
        <v>568</v>
      </c>
      <c r="K101" s="83" t="s">
        <v>168</v>
      </c>
      <c r="L101" s="83" t="s">
        <v>169</v>
      </c>
      <c r="M101" s="82" t="str">
        <f>IFERROR(__xludf.DUMMYFUNCTION("IFERROR(VLOOKUP(D101,
IMPORTRANGE(""https://docs.google.com/spreadsheets/d/1MjHtlUikwobi2MaWJgy7tfLeBmhj1u-dRFRs_8GwSoA/edit#gid=0"",""Gestores Escolares!D7:J""),3,0),""VERIFICAR CÓD SEC"")"),"JOAN HELDER DE JESUS SANTOS")</f>
        <v>JOAN HELDER DE JESUS SANTOS</v>
      </c>
      <c r="N101" s="82" t="str">
        <f>IFERROR(__xludf.DUMMYFUNCTION("IFERROR(VLOOKUP(D101,
IMPORTRANGE(""https://docs.google.com/spreadsheets/d/1MjHtlUikwobi2MaWJgy7tfLeBmhj1u-dRFRs_8GwSoA/edit#gid=0"",""Gestores Escolares!D7:J""),4,0),""VERIFICAR CÓD SEC"")"),"(77) 9 9954-0289")</f>
        <v>(77) 9 9954-0289</v>
      </c>
      <c r="O101" s="82" t="str">
        <f>IFERROR(__xludf.DUMMYFUNCTION("IFERROR(VLOOKUP(D101,
IMPORTRANGE(""https://docs.google.com/spreadsheets/d/1MjHtlUikwobi2MaWJgy7tfLeBmhj1u-dRFRs_8GwSoA/edit#gid=0"",""Gestores Escolares!D7:J""),6,0),""VERIFICAR CÓD SEC"")"),"LUCINETE PEREIRA DE JESUS")</f>
        <v>LUCINETE PEREIRA DE JESUS</v>
      </c>
      <c r="P101" s="82" t="str">
        <f>IFERROR(__xludf.DUMMYFUNCTION("IFERROR(VLOOKUP(D101,
IMPORTRANGE(""https://docs.google.com/spreadsheets/d/1MjHtlUikwobi2MaWJgy7tfLeBmhj1u-dRFRs_8GwSoA/edit#gid=0"",""Gestores Escolares!D7:J""),7,0),""VERIFICAR CÓD SEC"")"),"(77) 9 9981-5935")</f>
        <v>(77) 9 9981-5935</v>
      </c>
      <c r="Q101" s="82" t="str">
        <f>IFERROR(__xludf.DUMMYFUNCTION("IFERROR(VLOOKUP(D101,
IMPORTRANGE(""https://docs.google.com/spreadsheets/d/1MjHtlUikwobi2MaWJgy7tfLeBmhj1u-dRFRs_8GwSoA/edit#gid=0"",""Gestores Escolares!D7:m""),9,0),""VERIFICAR CÓD SEC"")"),"")</f>
        <v/>
      </c>
      <c r="R101" s="82" t="str">
        <f>IFERROR(__xludf.DUMMYFUNCTION("IFERROR(VLOOKUP(D101,
IMPORTRANGE(""https://docs.google.com/spreadsheets/d/1MjHtlUikwobi2MaWJgy7tfLeBmhj1u-dRFRs_8GwSoA/edit#gid=0"",""Gestores Escolares!D7:m""),10,0),""VERIFICAR CÓD SEC"")"),"")</f>
        <v/>
      </c>
      <c r="S101" s="82"/>
      <c r="T101" s="138">
        <v>3.0</v>
      </c>
      <c r="U101" s="228">
        <v>5.0</v>
      </c>
      <c r="V101" s="106">
        <v>0.0</v>
      </c>
      <c r="W101" s="107">
        <v>0.0</v>
      </c>
      <c r="X101" s="107">
        <v>0.0</v>
      </c>
      <c r="Y101" s="107">
        <v>0.0</v>
      </c>
      <c r="Z101" s="80">
        <f t="shared" si="1"/>
        <v>0</v>
      </c>
      <c r="AA101" s="106">
        <v>0.0</v>
      </c>
      <c r="AB101" s="107">
        <v>0.0</v>
      </c>
      <c r="AC101" s="107">
        <v>0.0</v>
      </c>
      <c r="AD101" s="107">
        <v>0.0</v>
      </c>
      <c r="AE101" s="80">
        <f t="shared" si="2"/>
        <v>0</v>
      </c>
      <c r="AF101" s="140">
        <v>0.0</v>
      </c>
      <c r="AG101" s="109">
        <v>35.0</v>
      </c>
      <c r="AH101" s="109">
        <v>0.0</v>
      </c>
      <c r="AI101" s="141">
        <v>0.0</v>
      </c>
      <c r="AJ101" s="80">
        <f t="shared" si="3"/>
        <v>35</v>
      </c>
      <c r="AK101" s="140">
        <v>0.0</v>
      </c>
      <c r="AL101" s="109">
        <v>0.0</v>
      </c>
      <c r="AM101" s="141">
        <v>0.0</v>
      </c>
      <c r="AN101" s="80">
        <f t="shared" si="4"/>
        <v>0</v>
      </c>
      <c r="AO101" s="140">
        <v>0.0</v>
      </c>
      <c r="AP101" s="109">
        <v>0.0</v>
      </c>
      <c r="AQ101" s="109">
        <v>0.0</v>
      </c>
      <c r="AR101" s="80">
        <f t="shared" si="5"/>
        <v>0</v>
      </c>
      <c r="AS101" s="110">
        <v>0.0</v>
      </c>
      <c r="AT101" s="110">
        <v>0.0</v>
      </c>
      <c r="AU101" s="110">
        <v>0.0</v>
      </c>
      <c r="AV101" s="142">
        <v>0.0</v>
      </c>
      <c r="AW101" s="80">
        <f t="shared" si="6"/>
        <v>0</v>
      </c>
      <c r="AX101" s="113">
        <f t="shared" si="7"/>
        <v>35</v>
      </c>
      <c r="AY101" s="117">
        <f t="shared" si="8"/>
        <v>35</v>
      </c>
      <c r="AZ101" s="120">
        <f t="shared" si="9"/>
        <v>0</v>
      </c>
      <c r="BA101" s="115">
        <v>0.0</v>
      </c>
      <c r="BB101" s="89">
        <f t="shared" si="10"/>
        <v>35</v>
      </c>
      <c r="BC101" s="132" t="s">
        <v>373</v>
      </c>
      <c r="BD101" s="132" t="s">
        <v>178</v>
      </c>
      <c r="BE101" s="132" t="s">
        <v>178</v>
      </c>
      <c r="BF101" s="123"/>
      <c r="BG101" s="83">
        <v>1179011.0</v>
      </c>
      <c r="BH101" s="144"/>
      <c r="BI101" s="112">
        <v>3.0</v>
      </c>
      <c r="BJ101" s="98" t="s">
        <v>155</v>
      </c>
      <c r="BK101" s="99">
        <f t="shared" si="11"/>
        <v>0</v>
      </c>
      <c r="BL101" s="99">
        <f t="shared" si="12"/>
        <v>35</v>
      </c>
      <c r="BM101" s="99" t="str">
        <f>IFERROR(__xludf.DUMMYFUNCTION("IFERROR(VLOOKUP(BG101,IMPORTRANGE(""https://docs.google.com/spreadsheets/d/1juPI-Fb8LD0YtltB2mlGEnp_R3UVu1t3wSFPzgCyHXE/edit?gid=0#gid=0"",""GERAL!A2:C""),3,0),""-"")"),"CAMPO")</f>
        <v>CAMPO</v>
      </c>
    </row>
    <row r="102" ht="15.75" customHeight="1">
      <c r="A102" s="111" t="s">
        <v>205</v>
      </c>
      <c r="B102" s="83" t="s">
        <v>558</v>
      </c>
      <c r="C102" s="83" t="s">
        <v>164</v>
      </c>
      <c r="D102" s="112">
        <v>1179431.0</v>
      </c>
      <c r="E102" s="83">
        <v>1179188.0</v>
      </c>
      <c r="F102" s="98">
        <v>2.9497035E7</v>
      </c>
      <c r="G102" s="114" t="s">
        <v>570</v>
      </c>
      <c r="H102" s="91" t="s">
        <v>571</v>
      </c>
      <c r="I102" s="83" t="s">
        <v>149</v>
      </c>
      <c r="J102" s="83" t="s">
        <v>183</v>
      </c>
      <c r="K102" s="83" t="s">
        <v>168</v>
      </c>
      <c r="L102" s="83" t="s">
        <v>230</v>
      </c>
      <c r="M102" s="82" t="str">
        <f>IFERROR(__xludf.DUMMYFUNCTION("IFERROR(VLOOKUP(D102,
IMPORTRANGE(""https://docs.google.com/spreadsheets/d/1MjHtlUikwobi2MaWJgy7tfLeBmhj1u-dRFRs_8GwSoA/edit#gid=0"",""Gestores Escolares!D7:J""),3,0),""VERIFICAR CÓD SEC"")"),"NEIDE RAFAEL DE SOUZA ROCHA")</f>
        <v>NEIDE RAFAEL DE SOUZA ROCHA</v>
      </c>
      <c r="N102" s="82" t="str">
        <f>IFERROR(__xludf.DUMMYFUNCTION("IFERROR(VLOOKUP(D102,
IMPORTRANGE(""https://docs.google.com/spreadsheets/d/1MjHtlUikwobi2MaWJgy7tfLeBmhj1u-dRFRs_8GwSoA/edit#gid=0"",""Gestores Escolares!D7:J""),4,0),""VERIFICAR CÓD SEC"")"),"(74) 9 9807-3175")</f>
        <v>(74) 9 9807-3175</v>
      </c>
      <c r="O102" s="82" t="str">
        <f>IFERROR(__xludf.DUMMYFUNCTION("IFERROR(VLOOKUP(D102,
IMPORTRANGE(""https://docs.google.com/spreadsheets/d/1MjHtlUikwobi2MaWJgy7tfLeBmhj1u-dRFRs_8GwSoA/edit#gid=0"",""Gestores Escolares!D7:J""),6,0),""VERIFICAR CÓD SEC"")"),"FRANCISCO DE ARAUJO LEAL")</f>
        <v>FRANCISCO DE ARAUJO LEAL</v>
      </c>
      <c r="P102" s="82" t="str">
        <f>IFERROR(__xludf.DUMMYFUNCTION("IFERROR(VLOOKUP(D102,
IMPORTRANGE(""https://docs.google.com/spreadsheets/d/1MjHtlUikwobi2MaWJgy7tfLeBmhj1u-dRFRs_8GwSoA/edit#gid=0"",""Gestores Escolares!D7:J""),7,0),""VERIFICAR CÓD SEC"")"),"(74) 9 8836-8463")</f>
        <v>(74) 9 8836-8463</v>
      </c>
      <c r="Q102" s="82" t="str">
        <f>IFERROR(__xludf.DUMMYFUNCTION("IFERROR(VLOOKUP(D102,
IMPORTRANGE(""https://docs.google.com/spreadsheets/d/1MjHtlUikwobi2MaWJgy7tfLeBmhj1u-dRFRs_8GwSoA/edit#gid=0"",""Gestores Escolares!D7:m""),9,0),""VERIFICAR CÓD SEC"")"),"CLAUDEMIR CELSO LIMA")</f>
        <v>CLAUDEMIR CELSO LIMA</v>
      </c>
      <c r="R102" s="82" t="str">
        <f>IFERROR(__xludf.DUMMYFUNCTION("IFERROR(VLOOKUP(D102,
IMPORTRANGE(""https://docs.google.com/spreadsheets/d/1MjHtlUikwobi2MaWJgy7tfLeBmhj1u-dRFRs_8GwSoA/edit#gid=0"",""Gestores Escolares!D7:m""),10,0),""VERIFICAR CÓD SEC"")"),"(74) 9 9952-3072")</f>
        <v>(74) 9 9952-3072</v>
      </c>
      <c r="S102" s="82"/>
      <c r="T102" s="138">
        <v>3.0</v>
      </c>
      <c r="U102" s="230">
        <v>3.0</v>
      </c>
      <c r="V102" s="106">
        <v>0.0</v>
      </c>
      <c r="W102" s="107">
        <v>0.0</v>
      </c>
      <c r="X102" s="107">
        <v>0.0</v>
      </c>
      <c r="Y102" s="107">
        <v>0.0</v>
      </c>
      <c r="Z102" s="80">
        <f t="shared" si="1"/>
        <v>0</v>
      </c>
      <c r="AA102" s="106">
        <v>0.0</v>
      </c>
      <c r="AB102" s="107">
        <v>0.0</v>
      </c>
      <c r="AC102" s="107">
        <v>0.0</v>
      </c>
      <c r="AD102" s="107">
        <v>0.0</v>
      </c>
      <c r="AE102" s="80">
        <f t="shared" si="2"/>
        <v>0</v>
      </c>
      <c r="AF102" s="140">
        <v>0.0</v>
      </c>
      <c r="AG102" s="109">
        <v>79.0</v>
      </c>
      <c r="AH102" s="109">
        <v>0.0</v>
      </c>
      <c r="AI102" s="141">
        <v>0.0</v>
      </c>
      <c r="AJ102" s="80">
        <f t="shared" si="3"/>
        <v>79</v>
      </c>
      <c r="AK102" s="140">
        <v>0.0</v>
      </c>
      <c r="AL102" s="109">
        <v>0.0</v>
      </c>
      <c r="AM102" s="141">
        <v>0.0</v>
      </c>
      <c r="AN102" s="80">
        <f t="shared" si="4"/>
        <v>0</v>
      </c>
      <c r="AO102" s="140">
        <v>0.0</v>
      </c>
      <c r="AP102" s="109">
        <v>0.0</v>
      </c>
      <c r="AQ102" s="109">
        <v>7.0</v>
      </c>
      <c r="AR102" s="80">
        <f t="shared" si="5"/>
        <v>7</v>
      </c>
      <c r="AS102" s="110">
        <v>0.0</v>
      </c>
      <c r="AT102" s="110">
        <v>0.0</v>
      </c>
      <c r="AU102" s="110">
        <v>0.0</v>
      </c>
      <c r="AV102" s="142">
        <v>0.0</v>
      </c>
      <c r="AW102" s="80">
        <f t="shared" si="6"/>
        <v>0</v>
      </c>
      <c r="AX102" s="113">
        <f t="shared" si="7"/>
        <v>86</v>
      </c>
      <c r="AY102" s="117">
        <f t="shared" si="8"/>
        <v>79</v>
      </c>
      <c r="AZ102" s="120">
        <f t="shared" si="9"/>
        <v>7</v>
      </c>
      <c r="BA102" s="115">
        <v>0.0</v>
      </c>
      <c r="BB102" s="89">
        <f t="shared" si="10"/>
        <v>86</v>
      </c>
      <c r="BC102" s="132" t="s">
        <v>178</v>
      </c>
      <c r="BD102" s="143" t="s">
        <v>227</v>
      </c>
      <c r="BE102" s="132" t="s">
        <v>178</v>
      </c>
      <c r="BF102" s="123"/>
      <c r="BG102" s="83">
        <v>1179188.0</v>
      </c>
      <c r="BH102" s="144"/>
      <c r="BI102" s="112">
        <v>3.0</v>
      </c>
      <c r="BJ102" s="98" t="s">
        <v>155</v>
      </c>
      <c r="BK102" s="99">
        <f t="shared" si="11"/>
        <v>0</v>
      </c>
      <c r="BL102" s="99">
        <f t="shared" si="12"/>
        <v>79</v>
      </c>
      <c r="BM102" s="99" t="str">
        <f>IFERROR(__xludf.DUMMYFUNCTION("IFERROR(VLOOKUP(BG102,IMPORTRANGE(""https://docs.google.com/spreadsheets/d/1juPI-Fb8LD0YtltB2mlGEnp_R3UVu1t3wSFPzgCyHXE/edit?gid=0#gid=0"",""GERAL!A2:C""),3,0),""-"")"),"-")</f>
        <v>-</v>
      </c>
    </row>
    <row r="103" ht="15.75" customHeight="1">
      <c r="A103" s="111" t="s">
        <v>205</v>
      </c>
      <c r="B103" s="83" t="s">
        <v>558</v>
      </c>
      <c r="C103" s="83" t="s">
        <v>164</v>
      </c>
      <c r="D103" s="112">
        <v>1179431.0</v>
      </c>
      <c r="E103" s="83">
        <v>1179014.0</v>
      </c>
      <c r="F103" s="98">
        <v>2.9461499E7</v>
      </c>
      <c r="G103" s="114" t="s">
        <v>572</v>
      </c>
      <c r="H103" s="91" t="s">
        <v>573</v>
      </c>
      <c r="I103" s="83" t="s">
        <v>149</v>
      </c>
      <c r="J103" s="83" t="s">
        <v>183</v>
      </c>
      <c r="K103" s="83" t="s">
        <v>151</v>
      </c>
      <c r="L103" s="83" t="s">
        <v>169</v>
      </c>
      <c r="M103" s="82" t="str">
        <f>IFERROR(__xludf.DUMMYFUNCTION("IFERROR(VLOOKUP(D103,
IMPORTRANGE(""https://docs.google.com/spreadsheets/d/1MjHtlUikwobi2MaWJgy7tfLeBmhj1u-dRFRs_8GwSoA/edit#gid=0"",""Gestores Escolares!D7:J""),3,0),""VERIFICAR CÓD SEC"")"),"NEIDE RAFAEL DE SOUZA ROCHA")</f>
        <v>NEIDE RAFAEL DE SOUZA ROCHA</v>
      </c>
      <c r="N103" s="82" t="str">
        <f>IFERROR(__xludf.DUMMYFUNCTION("IFERROR(VLOOKUP(D103,
IMPORTRANGE(""https://docs.google.com/spreadsheets/d/1MjHtlUikwobi2MaWJgy7tfLeBmhj1u-dRFRs_8GwSoA/edit#gid=0"",""Gestores Escolares!D7:J""),4,0),""VERIFICAR CÓD SEC"")"),"(74) 9 9807-3175")</f>
        <v>(74) 9 9807-3175</v>
      </c>
      <c r="O103" s="82" t="str">
        <f>IFERROR(__xludf.DUMMYFUNCTION("IFERROR(VLOOKUP(D103,
IMPORTRANGE(""https://docs.google.com/spreadsheets/d/1MjHtlUikwobi2MaWJgy7tfLeBmhj1u-dRFRs_8GwSoA/edit#gid=0"",""Gestores Escolares!D7:J""),6,0),""VERIFICAR CÓD SEC"")"),"FRANCISCO DE ARAUJO LEAL")</f>
        <v>FRANCISCO DE ARAUJO LEAL</v>
      </c>
      <c r="P103" s="82" t="str">
        <f>IFERROR(__xludf.DUMMYFUNCTION("IFERROR(VLOOKUP(D103,
IMPORTRANGE(""https://docs.google.com/spreadsheets/d/1MjHtlUikwobi2MaWJgy7tfLeBmhj1u-dRFRs_8GwSoA/edit#gid=0"",""Gestores Escolares!D7:J""),7,0),""VERIFICAR CÓD SEC"")"),"(74) 9 8836-8463")</f>
        <v>(74) 9 8836-8463</v>
      </c>
      <c r="Q103" s="82" t="str">
        <f>IFERROR(__xludf.DUMMYFUNCTION("IFERROR(VLOOKUP(D103,
IMPORTRANGE(""https://docs.google.com/spreadsheets/d/1MjHtlUikwobi2MaWJgy7tfLeBmhj1u-dRFRs_8GwSoA/edit#gid=0"",""Gestores Escolares!D7:m""),9,0),""VERIFICAR CÓD SEC"")"),"CLAUDEMIR CELSO LIMA")</f>
        <v>CLAUDEMIR CELSO LIMA</v>
      </c>
      <c r="R103" s="82" t="str">
        <f>IFERROR(__xludf.DUMMYFUNCTION("IFERROR(VLOOKUP(D103,
IMPORTRANGE(""https://docs.google.com/spreadsheets/d/1MjHtlUikwobi2MaWJgy7tfLeBmhj1u-dRFRs_8GwSoA/edit#gid=0"",""Gestores Escolares!D7:m""),10,0),""VERIFICAR CÓD SEC"")"),"(74) 9 9952-3072")</f>
        <v>(74) 9 9952-3072</v>
      </c>
      <c r="S103" s="82"/>
      <c r="T103" s="138">
        <v>3.0</v>
      </c>
      <c r="U103" s="230">
        <v>3.0</v>
      </c>
      <c r="V103" s="106">
        <v>0.0</v>
      </c>
      <c r="W103" s="107">
        <v>0.0</v>
      </c>
      <c r="X103" s="107">
        <v>0.0</v>
      </c>
      <c r="Y103" s="107">
        <v>0.0</v>
      </c>
      <c r="Z103" s="80">
        <f t="shared" si="1"/>
        <v>0</v>
      </c>
      <c r="AA103" s="106">
        <v>0.0</v>
      </c>
      <c r="AB103" s="107">
        <v>0.0</v>
      </c>
      <c r="AC103" s="107">
        <v>0.0</v>
      </c>
      <c r="AD103" s="107">
        <v>0.0</v>
      </c>
      <c r="AE103" s="80">
        <f t="shared" si="2"/>
        <v>0</v>
      </c>
      <c r="AF103" s="140">
        <v>0.0</v>
      </c>
      <c r="AG103" s="109">
        <v>0.0</v>
      </c>
      <c r="AH103" s="109">
        <v>39.0</v>
      </c>
      <c r="AI103" s="141">
        <v>0.0</v>
      </c>
      <c r="AJ103" s="80">
        <f t="shared" si="3"/>
        <v>39</v>
      </c>
      <c r="AK103" s="140">
        <v>0.0</v>
      </c>
      <c r="AL103" s="109">
        <v>0.0</v>
      </c>
      <c r="AM103" s="141">
        <v>0.0</v>
      </c>
      <c r="AN103" s="80">
        <f t="shared" si="4"/>
        <v>0</v>
      </c>
      <c r="AO103" s="140">
        <v>0.0</v>
      </c>
      <c r="AP103" s="109">
        <v>0.0</v>
      </c>
      <c r="AQ103" s="109">
        <v>0.0</v>
      </c>
      <c r="AR103" s="80">
        <f t="shared" si="5"/>
        <v>0</v>
      </c>
      <c r="AS103" s="110">
        <v>0.0</v>
      </c>
      <c r="AT103" s="110">
        <v>0.0</v>
      </c>
      <c r="AU103" s="110">
        <v>0.0</v>
      </c>
      <c r="AV103" s="142">
        <v>0.0</v>
      </c>
      <c r="AW103" s="80">
        <f t="shared" si="6"/>
        <v>0</v>
      </c>
      <c r="AX103" s="113">
        <f t="shared" si="7"/>
        <v>39</v>
      </c>
      <c r="AY103" s="117">
        <f t="shared" si="8"/>
        <v>0</v>
      </c>
      <c r="AZ103" s="120">
        <f t="shared" si="9"/>
        <v>39</v>
      </c>
      <c r="BA103" s="115">
        <v>0.0</v>
      </c>
      <c r="BB103" s="89">
        <f t="shared" si="10"/>
        <v>39</v>
      </c>
      <c r="BC103" s="132" t="s">
        <v>178</v>
      </c>
      <c r="BD103" s="143" t="s">
        <v>227</v>
      </c>
      <c r="BE103" s="132" t="s">
        <v>178</v>
      </c>
      <c r="BF103" s="123"/>
      <c r="BG103" s="83">
        <v>1179014.0</v>
      </c>
      <c r="BH103" s="144"/>
      <c r="BI103" s="112">
        <v>3.0</v>
      </c>
      <c r="BJ103" s="98" t="s">
        <v>155</v>
      </c>
      <c r="BK103" s="99">
        <f t="shared" si="11"/>
        <v>0</v>
      </c>
      <c r="BL103" s="99">
        <f t="shared" si="12"/>
        <v>0</v>
      </c>
      <c r="BM103" s="99" t="str">
        <f>IFERROR(__xludf.DUMMYFUNCTION("IFERROR(VLOOKUP(BG103,IMPORTRANGE(""https://docs.google.com/spreadsheets/d/1juPI-Fb8LD0YtltB2mlGEnp_R3UVu1t3wSFPzgCyHXE/edit?gid=0#gid=0"",""GERAL!A2:C""),3,0),""-"")"),"-")</f>
        <v>-</v>
      </c>
    </row>
    <row r="104" ht="15.75" customHeight="1">
      <c r="A104" s="111" t="s">
        <v>205</v>
      </c>
      <c r="B104" s="83" t="s">
        <v>558</v>
      </c>
      <c r="C104" s="83" t="s">
        <v>164</v>
      </c>
      <c r="D104" s="112">
        <v>1179431.0</v>
      </c>
      <c r="E104" s="83">
        <v>1179503.0</v>
      </c>
      <c r="F104" s="98">
        <v>2.9461499E7</v>
      </c>
      <c r="G104" s="114" t="s">
        <v>574</v>
      </c>
      <c r="H104" s="91" t="s">
        <v>575</v>
      </c>
      <c r="I104" s="83" t="s">
        <v>576</v>
      </c>
      <c r="J104" s="83" t="s">
        <v>577</v>
      </c>
      <c r="K104" s="83" t="s">
        <v>168</v>
      </c>
      <c r="L104" s="83" t="s">
        <v>152</v>
      </c>
      <c r="M104" s="82" t="str">
        <f>IFERROR(__xludf.DUMMYFUNCTION("IFERROR(VLOOKUP(D104,
IMPORTRANGE(""https://docs.google.com/spreadsheets/d/1MjHtlUikwobi2MaWJgy7tfLeBmhj1u-dRFRs_8GwSoA/edit#gid=0"",""Gestores Escolares!D7:J""),3,0),""VERIFICAR CÓD SEC"")"),"NEIDE RAFAEL DE SOUZA ROCHA")</f>
        <v>NEIDE RAFAEL DE SOUZA ROCHA</v>
      </c>
      <c r="N104" s="82" t="str">
        <f>IFERROR(__xludf.DUMMYFUNCTION("IFERROR(VLOOKUP(D104,
IMPORTRANGE(""https://docs.google.com/spreadsheets/d/1MjHtlUikwobi2MaWJgy7tfLeBmhj1u-dRFRs_8GwSoA/edit#gid=0"",""Gestores Escolares!D7:J""),4,0),""VERIFICAR CÓD SEC"")"),"(74) 9 9807-3175")</f>
        <v>(74) 9 9807-3175</v>
      </c>
      <c r="O104" s="82" t="str">
        <f>IFERROR(__xludf.DUMMYFUNCTION("IFERROR(VLOOKUP(D104,
IMPORTRANGE(""https://docs.google.com/spreadsheets/d/1MjHtlUikwobi2MaWJgy7tfLeBmhj1u-dRFRs_8GwSoA/edit#gid=0"",""Gestores Escolares!D7:J""),6,0),""VERIFICAR CÓD SEC"")"),"FRANCISCO DE ARAUJO LEAL")</f>
        <v>FRANCISCO DE ARAUJO LEAL</v>
      </c>
      <c r="P104" s="82" t="str">
        <f>IFERROR(__xludf.DUMMYFUNCTION("IFERROR(VLOOKUP(D104,
IMPORTRANGE(""https://docs.google.com/spreadsheets/d/1MjHtlUikwobi2MaWJgy7tfLeBmhj1u-dRFRs_8GwSoA/edit#gid=0"",""Gestores Escolares!D7:J""),7,0),""VERIFICAR CÓD SEC"")"),"(74) 9 8836-8463")</f>
        <v>(74) 9 8836-8463</v>
      </c>
      <c r="Q104" s="82" t="str">
        <f>IFERROR(__xludf.DUMMYFUNCTION("IFERROR(VLOOKUP(D104,
IMPORTRANGE(""https://docs.google.com/spreadsheets/d/1MjHtlUikwobi2MaWJgy7tfLeBmhj1u-dRFRs_8GwSoA/edit#gid=0"",""Gestores Escolares!D7:m""),9,0),""VERIFICAR CÓD SEC"")"),"CLAUDEMIR CELSO LIMA")</f>
        <v>CLAUDEMIR CELSO LIMA</v>
      </c>
      <c r="R104" s="82" t="str">
        <f>IFERROR(__xludf.DUMMYFUNCTION("IFERROR(VLOOKUP(D104,
IMPORTRANGE(""https://docs.google.com/spreadsheets/d/1MjHtlUikwobi2MaWJgy7tfLeBmhj1u-dRFRs_8GwSoA/edit#gid=0"",""Gestores Escolares!D7:m""),10,0),""VERIFICAR CÓD SEC"")"),"(74) 9 9952-3072")</f>
        <v>(74) 9 9952-3072</v>
      </c>
      <c r="S104" s="82"/>
      <c r="T104" s="138">
        <v>3.0</v>
      </c>
      <c r="U104" s="230">
        <v>3.0</v>
      </c>
      <c r="V104" s="106">
        <v>0.0</v>
      </c>
      <c r="W104" s="107">
        <v>0.0</v>
      </c>
      <c r="X104" s="107">
        <v>0.0</v>
      </c>
      <c r="Y104" s="107">
        <v>0.0</v>
      </c>
      <c r="Z104" s="80">
        <f t="shared" si="1"/>
        <v>0</v>
      </c>
      <c r="AA104" s="106">
        <v>0.0</v>
      </c>
      <c r="AB104" s="107">
        <v>0.0</v>
      </c>
      <c r="AC104" s="107">
        <v>0.0</v>
      </c>
      <c r="AD104" s="107">
        <v>0.0</v>
      </c>
      <c r="AE104" s="80">
        <f t="shared" si="2"/>
        <v>0</v>
      </c>
      <c r="AF104" s="140">
        <v>0.0</v>
      </c>
      <c r="AG104" s="109">
        <v>29.0</v>
      </c>
      <c r="AH104" s="109">
        <v>0.0</v>
      </c>
      <c r="AI104" s="141">
        <v>0.0</v>
      </c>
      <c r="AJ104" s="80">
        <f t="shared" si="3"/>
        <v>29</v>
      </c>
      <c r="AK104" s="140">
        <v>0.0</v>
      </c>
      <c r="AL104" s="109">
        <v>0.0</v>
      </c>
      <c r="AM104" s="141">
        <v>0.0</v>
      </c>
      <c r="AN104" s="80">
        <f t="shared" si="4"/>
        <v>0</v>
      </c>
      <c r="AO104" s="140">
        <v>0.0</v>
      </c>
      <c r="AP104" s="109">
        <v>0.0</v>
      </c>
      <c r="AQ104" s="109">
        <v>0.0</v>
      </c>
      <c r="AR104" s="80">
        <f t="shared" si="5"/>
        <v>0</v>
      </c>
      <c r="AS104" s="110">
        <v>0.0</v>
      </c>
      <c r="AT104" s="110">
        <v>0.0</v>
      </c>
      <c r="AU104" s="110">
        <v>0.0</v>
      </c>
      <c r="AV104" s="142">
        <v>0.0</v>
      </c>
      <c r="AW104" s="80">
        <f t="shared" si="6"/>
        <v>0</v>
      </c>
      <c r="AX104" s="113">
        <f t="shared" si="7"/>
        <v>29</v>
      </c>
      <c r="AY104" s="117">
        <f t="shared" si="8"/>
        <v>29</v>
      </c>
      <c r="AZ104" s="120">
        <f t="shared" si="9"/>
        <v>0</v>
      </c>
      <c r="BA104" s="115">
        <v>0.0</v>
      </c>
      <c r="BB104" s="89">
        <f t="shared" si="10"/>
        <v>29</v>
      </c>
      <c r="BC104" s="132" t="s">
        <v>178</v>
      </c>
      <c r="BD104" s="143" t="s">
        <v>227</v>
      </c>
      <c r="BE104" s="132" t="s">
        <v>178</v>
      </c>
      <c r="BF104" s="156"/>
      <c r="BG104" s="83">
        <v>1179503.0</v>
      </c>
      <c r="BH104" s="144"/>
      <c r="BI104" s="112">
        <v>3.0</v>
      </c>
      <c r="BJ104" s="98" t="s">
        <v>155</v>
      </c>
      <c r="BK104" s="99">
        <f t="shared" si="11"/>
        <v>0</v>
      </c>
      <c r="BL104" s="99">
        <f t="shared" si="12"/>
        <v>29</v>
      </c>
      <c r="BM104" s="99" t="str">
        <f>IFERROR(__xludf.DUMMYFUNCTION("IFERROR(VLOOKUP(BG104,IMPORTRANGE(""https://docs.google.com/spreadsheets/d/1juPI-Fb8LD0YtltB2mlGEnp_R3UVu1t3wSFPzgCyHXE/edit?gid=0#gid=0"",""GERAL!A2:C""),3,0),""-"")"),"-")</f>
        <v>-</v>
      </c>
    </row>
    <row r="105" ht="15.75" customHeight="1">
      <c r="A105" s="111" t="s">
        <v>205</v>
      </c>
      <c r="B105" s="83" t="s">
        <v>558</v>
      </c>
      <c r="C105" s="83" t="s">
        <v>164</v>
      </c>
      <c r="D105" s="112">
        <v>1179431.0</v>
      </c>
      <c r="E105" s="83">
        <v>1179008.0</v>
      </c>
      <c r="F105" s="98">
        <v>2.9461499E7</v>
      </c>
      <c r="G105" s="114" t="s">
        <v>578</v>
      </c>
      <c r="H105" s="91" t="s">
        <v>579</v>
      </c>
      <c r="I105" s="83" t="s">
        <v>149</v>
      </c>
      <c r="J105" s="83" t="s">
        <v>191</v>
      </c>
      <c r="K105" s="83" t="s">
        <v>168</v>
      </c>
      <c r="L105" s="83" t="s">
        <v>169</v>
      </c>
      <c r="M105" s="82" t="str">
        <f>IFERROR(__xludf.DUMMYFUNCTION("IFERROR(VLOOKUP(D105,
IMPORTRANGE(""https://docs.google.com/spreadsheets/d/1MjHtlUikwobi2MaWJgy7tfLeBmhj1u-dRFRs_8GwSoA/edit#gid=0"",""Gestores Escolares!D7:J""),3,0),""VERIFICAR CÓD SEC"")"),"NEIDE RAFAEL DE SOUZA ROCHA")</f>
        <v>NEIDE RAFAEL DE SOUZA ROCHA</v>
      </c>
      <c r="N105" s="82" t="str">
        <f>IFERROR(__xludf.DUMMYFUNCTION("IFERROR(VLOOKUP(D105,
IMPORTRANGE(""https://docs.google.com/spreadsheets/d/1MjHtlUikwobi2MaWJgy7tfLeBmhj1u-dRFRs_8GwSoA/edit#gid=0"",""Gestores Escolares!D7:J""),4,0),""VERIFICAR CÓD SEC"")"),"(74) 9 9807-3175")</f>
        <v>(74) 9 9807-3175</v>
      </c>
      <c r="O105" s="82" t="str">
        <f>IFERROR(__xludf.DUMMYFUNCTION("IFERROR(VLOOKUP(D105,
IMPORTRANGE(""https://docs.google.com/spreadsheets/d/1MjHtlUikwobi2MaWJgy7tfLeBmhj1u-dRFRs_8GwSoA/edit#gid=0"",""Gestores Escolares!D7:J""),6,0),""VERIFICAR CÓD SEC"")"),"FRANCISCO DE ARAUJO LEAL")</f>
        <v>FRANCISCO DE ARAUJO LEAL</v>
      </c>
      <c r="P105" s="82" t="str">
        <f>IFERROR(__xludf.DUMMYFUNCTION("IFERROR(VLOOKUP(D105,
IMPORTRANGE(""https://docs.google.com/spreadsheets/d/1MjHtlUikwobi2MaWJgy7tfLeBmhj1u-dRFRs_8GwSoA/edit#gid=0"",""Gestores Escolares!D7:J""),7,0),""VERIFICAR CÓD SEC"")"),"(74) 9 8836-8463")</f>
        <v>(74) 9 8836-8463</v>
      </c>
      <c r="Q105" s="82" t="str">
        <f>IFERROR(__xludf.DUMMYFUNCTION("IFERROR(VLOOKUP(D105,
IMPORTRANGE(""https://docs.google.com/spreadsheets/d/1MjHtlUikwobi2MaWJgy7tfLeBmhj1u-dRFRs_8GwSoA/edit#gid=0"",""Gestores Escolares!D7:m""),9,0),""VERIFICAR CÓD SEC"")"),"CLAUDEMIR CELSO LIMA")</f>
        <v>CLAUDEMIR CELSO LIMA</v>
      </c>
      <c r="R105" s="82" t="str">
        <f>IFERROR(__xludf.DUMMYFUNCTION("IFERROR(VLOOKUP(D105,
IMPORTRANGE(""https://docs.google.com/spreadsheets/d/1MjHtlUikwobi2MaWJgy7tfLeBmhj1u-dRFRs_8GwSoA/edit#gid=0"",""Gestores Escolares!D7:m""),10,0),""VERIFICAR CÓD SEC"")"),"(74) 9 9952-3072")</f>
        <v>(74) 9 9952-3072</v>
      </c>
      <c r="S105" s="82"/>
      <c r="T105" s="138">
        <v>3.0</v>
      </c>
      <c r="U105" s="230">
        <v>3.0</v>
      </c>
      <c r="V105" s="106">
        <v>0.0</v>
      </c>
      <c r="W105" s="107">
        <v>0.0</v>
      </c>
      <c r="X105" s="107">
        <v>0.0</v>
      </c>
      <c r="Y105" s="107">
        <v>0.0</v>
      </c>
      <c r="Z105" s="80">
        <f t="shared" si="1"/>
        <v>0</v>
      </c>
      <c r="AA105" s="106">
        <v>0.0</v>
      </c>
      <c r="AB105" s="107">
        <v>0.0</v>
      </c>
      <c r="AC105" s="107">
        <v>0.0</v>
      </c>
      <c r="AD105" s="107">
        <v>0.0</v>
      </c>
      <c r="AE105" s="80">
        <f t="shared" si="2"/>
        <v>0</v>
      </c>
      <c r="AF105" s="140">
        <v>0.0</v>
      </c>
      <c r="AG105" s="109">
        <v>60.0</v>
      </c>
      <c r="AH105" s="109">
        <v>0.0</v>
      </c>
      <c r="AI105" s="141">
        <v>0.0</v>
      </c>
      <c r="AJ105" s="80">
        <f t="shared" si="3"/>
        <v>60</v>
      </c>
      <c r="AK105" s="140">
        <v>0.0</v>
      </c>
      <c r="AL105" s="109">
        <v>0.0</v>
      </c>
      <c r="AM105" s="141">
        <v>0.0</v>
      </c>
      <c r="AN105" s="80">
        <f t="shared" si="4"/>
        <v>0</v>
      </c>
      <c r="AO105" s="140">
        <v>0.0</v>
      </c>
      <c r="AP105" s="109">
        <v>0.0</v>
      </c>
      <c r="AQ105" s="109">
        <v>0.0</v>
      </c>
      <c r="AR105" s="80">
        <f t="shared" si="5"/>
        <v>0</v>
      </c>
      <c r="AS105" s="110">
        <v>0.0</v>
      </c>
      <c r="AT105" s="110">
        <v>0.0</v>
      </c>
      <c r="AU105" s="110">
        <v>0.0</v>
      </c>
      <c r="AV105" s="142">
        <v>0.0</v>
      </c>
      <c r="AW105" s="80">
        <f t="shared" si="6"/>
        <v>0</v>
      </c>
      <c r="AX105" s="113">
        <f t="shared" si="7"/>
        <v>60</v>
      </c>
      <c r="AY105" s="117">
        <f t="shared" si="8"/>
        <v>60</v>
      </c>
      <c r="AZ105" s="120">
        <f t="shared" si="9"/>
        <v>0</v>
      </c>
      <c r="BA105" s="115">
        <v>0.0</v>
      </c>
      <c r="BB105" s="89">
        <f t="shared" si="10"/>
        <v>60</v>
      </c>
      <c r="BC105" s="132" t="s">
        <v>178</v>
      </c>
      <c r="BD105" s="143" t="s">
        <v>227</v>
      </c>
      <c r="BE105" s="132" t="s">
        <v>178</v>
      </c>
      <c r="BF105" s="123"/>
      <c r="BG105" s="83">
        <v>1179008.0</v>
      </c>
      <c r="BH105" s="144"/>
      <c r="BI105" s="112">
        <v>3.0</v>
      </c>
      <c r="BJ105" s="98" t="s">
        <v>155</v>
      </c>
      <c r="BK105" s="99">
        <f t="shared" si="11"/>
        <v>0</v>
      </c>
      <c r="BL105" s="99">
        <f t="shared" si="12"/>
        <v>60</v>
      </c>
      <c r="BM105" s="99" t="str">
        <f>IFERROR(__xludf.DUMMYFUNCTION("IFERROR(VLOOKUP(BG105,IMPORTRANGE(""https://docs.google.com/spreadsheets/d/1juPI-Fb8LD0YtltB2mlGEnp_R3UVu1t3wSFPzgCyHXE/edit?gid=0#gid=0"",""GERAL!A2:C""),3,0),""-"")"),"-")</f>
        <v>-</v>
      </c>
    </row>
    <row r="106" ht="15.75" customHeight="1">
      <c r="A106" s="111" t="s">
        <v>205</v>
      </c>
      <c r="B106" s="83" t="s">
        <v>558</v>
      </c>
      <c r="C106" s="83" t="s">
        <v>164</v>
      </c>
      <c r="D106" s="112">
        <v>1179431.0</v>
      </c>
      <c r="E106" s="83">
        <v>1179394.0</v>
      </c>
      <c r="F106" s="98">
        <v>2.9497043E7</v>
      </c>
      <c r="G106" s="114" t="s">
        <v>580</v>
      </c>
      <c r="H106" s="91" t="s">
        <v>581</v>
      </c>
      <c r="I106" s="83" t="s">
        <v>149</v>
      </c>
      <c r="J106" s="83" t="s">
        <v>334</v>
      </c>
      <c r="K106" s="83" t="s">
        <v>168</v>
      </c>
      <c r="L106" s="83" t="s">
        <v>169</v>
      </c>
      <c r="M106" s="82" t="str">
        <f>IFERROR(__xludf.DUMMYFUNCTION("IFERROR(VLOOKUP(D106,
IMPORTRANGE(""https://docs.google.com/spreadsheets/d/1MjHtlUikwobi2MaWJgy7tfLeBmhj1u-dRFRs_8GwSoA/edit#gid=0"",""Gestores Escolares!D7:J""),3,0),""VERIFICAR CÓD SEC"")"),"NEIDE RAFAEL DE SOUZA ROCHA")</f>
        <v>NEIDE RAFAEL DE SOUZA ROCHA</v>
      </c>
      <c r="N106" s="82" t="str">
        <f>IFERROR(__xludf.DUMMYFUNCTION("IFERROR(VLOOKUP(D106,
IMPORTRANGE(""https://docs.google.com/spreadsheets/d/1MjHtlUikwobi2MaWJgy7tfLeBmhj1u-dRFRs_8GwSoA/edit#gid=0"",""Gestores Escolares!D7:J""),4,0),""VERIFICAR CÓD SEC"")"),"(74) 9 9807-3175")</f>
        <v>(74) 9 9807-3175</v>
      </c>
      <c r="O106" s="82" t="str">
        <f>IFERROR(__xludf.DUMMYFUNCTION("IFERROR(VLOOKUP(D106,
IMPORTRANGE(""https://docs.google.com/spreadsheets/d/1MjHtlUikwobi2MaWJgy7tfLeBmhj1u-dRFRs_8GwSoA/edit#gid=0"",""Gestores Escolares!D7:J""),6,0),""VERIFICAR CÓD SEC"")"),"FRANCISCO DE ARAUJO LEAL")</f>
        <v>FRANCISCO DE ARAUJO LEAL</v>
      </c>
      <c r="P106" s="82" t="str">
        <f>IFERROR(__xludf.DUMMYFUNCTION("IFERROR(VLOOKUP(D106,
IMPORTRANGE(""https://docs.google.com/spreadsheets/d/1MjHtlUikwobi2MaWJgy7tfLeBmhj1u-dRFRs_8GwSoA/edit#gid=0"",""Gestores Escolares!D7:J""),7,0),""VERIFICAR CÓD SEC"")"),"(74) 9 8836-8463")</f>
        <v>(74) 9 8836-8463</v>
      </c>
      <c r="Q106" s="82" t="str">
        <f>IFERROR(__xludf.DUMMYFUNCTION("IFERROR(VLOOKUP(D106,
IMPORTRANGE(""https://docs.google.com/spreadsheets/d/1MjHtlUikwobi2MaWJgy7tfLeBmhj1u-dRFRs_8GwSoA/edit#gid=0"",""Gestores Escolares!D7:m""),9,0),""VERIFICAR CÓD SEC"")"),"CLAUDEMIR CELSO LIMA")</f>
        <v>CLAUDEMIR CELSO LIMA</v>
      </c>
      <c r="R106" s="82" t="str">
        <f>IFERROR(__xludf.DUMMYFUNCTION("IFERROR(VLOOKUP(D106,
IMPORTRANGE(""https://docs.google.com/spreadsheets/d/1MjHtlUikwobi2MaWJgy7tfLeBmhj1u-dRFRs_8GwSoA/edit#gid=0"",""Gestores Escolares!D7:m""),10,0),""VERIFICAR CÓD SEC"")"),"(74) 9 9952-3072")</f>
        <v>(74) 9 9952-3072</v>
      </c>
      <c r="S106" s="82"/>
      <c r="T106" s="138">
        <v>2.0</v>
      </c>
      <c r="U106" s="230">
        <v>2.0</v>
      </c>
      <c r="V106" s="106">
        <v>0.0</v>
      </c>
      <c r="W106" s="107">
        <v>0.0</v>
      </c>
      <c r="X106" s="107">
        <v>0.0</v>
      </c>
      <c r="Y106" s="107">
        <v>0.0</v>
      </c>
      <c r="Z106" s="80">
        <f t="shared" si="1"/>
        <v>0</v>
      </c>
      <c r="AA106" s="106">
        <v>0.0</v>
      </c>
      <c r="AB106" s="107">
        <v>0.0</v>
      </c>
      <c r="AC106" s="107">
        <v>0.0</v>
      </c>
      <c r="AD106" s="107">
        <v>0.0</v>
      </c>
      <c r="AE106" s="80">
        <f t="shared" si="2"/>
        <v>0</v>
      </c>
      <c r="AF106" s="140">
        <v>21.0</v>
      </c>
      <c r="AG106" s="109">
        <v>110.0</v>
      </c>
      <c r="AH106" s="109">
        <v>0.0</v>
      </c>
      <c r="AI106" s="141">
        <v>0.0</v>
      </c>
      <c r="AJ106" s="80">
        <f t="shared" si="3"/>
        <v>131</v>
      </c>
      <c r="AK106" s="140">
        <v>0.0</v>
      </c>
      <c r="AL106" s="109">
        <v>0.0</v>
      </c>
      <c r="AM106" s="141">
        <v>0.0</v>
      </c>
      <c r="AN106" s="80">
        <f t="shared" si="4"/>
        <v>0</v>
      </c>
      <c r="AO106" s="140">
        <v>0.0</v>
      </c>
      <c r="AP106" s="109">
        <v>0.0</v>
      </c>
      <c r="AQ106" s="109">
        <v>0.0</v>
      </c>
      <c r="AR106" s="80">
        <f t="shared" si="5"/>
        <v>0</v>
      </c>
      <c r="AS106" s="110">
        <v>0.0</v>
      </c>
      <c r="AT106" s="110">
        <v>0.0</v>
      </c>
      <c r="AU106" s="110">
        <v>0.0</v>
      </c>
      <c r="AV106" s="142">
        <v>0.0</v>
      </c>
      <c r="AW106" s="80">
        <f t="shared" si="6"/>
        <v>0</v>
      </c>
      <c r="AX106" s="113">
        <f t="shared" si="7"/>
        <v>131</v>
      </c>
      <c r="AY106" s="117">
        <f t="shared" si="8"/>
        <v>131</v>
      </c>
      <c r="AZ106" s="120">
        <f t="shared" si="9"/>
        <v>0</v>
      </c>
      <c r="BA106" s="115">
        <v>0.0</v>
      </c>
      <c r="BB106" s="89">
        <f t="shared" si="10"/>
        <v>131</v>
      </c>
      <c r="BC106" s="132" t="s">
        <v>178</v>
      </c>
      <c r="BD106" s="143" t="s">
        <v>227</v>
      </c>
      <c r="BE106" s="132" t="s">
        <v>178</v>
      </c>
      <c r="BF106" s="156"/>
      <c r="BG106" s="83">
        <v>1179394.0</v>
      </c>
      <c r="BH106" s="144"/>
      <c r="BI106" s="112">
        <v>2.0</v>
      </c>
      <c r="BJ106" s="98" t="s">
        <v>155</v>
      </c>
      <c r="BK106" s="99">
        <f t="shared" si="11"/>
        <v>0</v>
      </c>
      <c r="BL106" s="99">
        <f t="shared" si="12"/>
        <v>131</v>
      </c>
      <c r="BM106" s="99" t="str">
        <f>IFERROR(__xludf.DUMMYFUNCTION("IFERROR(VLOOKUP(BG106,IMPORTRANGE(""https://docs.google.com/spreadsheets/d/1juPI-Fb8LD0YtltB2mlGEnp_R3UVu1t3wSFPzgCyHXE/edit?gid=0#gid=0"",""GERAL!A2:C""),3,0),""-"")"),"-")</f>
        <v>-</v>
      </c>
    </row>
    <row r="107" ht="15.75" customHeight="1">
      <c r="A107" s="111" t="s">
        <v>205</v>
      </c>
      <c r="B107" s="83" t="s">
        <v>558</v>
      </c>
      <c r="C107" s="83" t="s">
        <v>164</v>
      </c>
      <c r="D107" s="112">
        <v>1179431.0</v>
      </c>
      <c r="E107" s="83">
        <v>1179010.0</v>
      </c>
      <c r="F107" s="98">
        <v>2.9461499E7</v>
      </c>
      <c r="G107" s="114" t="s">
        <v>582</v>
      </c>
      <c r="H107" s="91" t="s">
        <v>583</v>
      </c>
      <c r="I107" s="83" t="s">
        <v>149</v>
      </c>
      <c r="J107" s="83" t="s">
        <v>440</v>
      </c>
      <c r="K107" s="83" t="s">
        <v>168</v>
      </c>
      <c r="L107" s="83" t="s">
        <v>169</v>
      </c>
      <c r="M107" s="82" t="str">
        <f>IFERROR(__xludf.DUMMYFUNCTION("IFERROR(VLOOKUP(D107,
IMPORTRANGE(""https://docs.google.com/spreadsheets/d/1MjHtlUikwobi2MaWJgy7tfLeBmhj1u-dRFRs_8GwSoA/edit#gid=0"",""Gestores Escolares!D7:J""),3,0),""VERIFICAR CÓD SEC"")"),"NEIDE RAFAEL DE SOUZA ROCHA")</f>
        <v>NEIDE RAFAEL DE SOUZA ROCHA</v>
      </c>
      <c r="N107" s="82" t="str">
        <f>IFERROR(__xludf.DUMMYFUNCTION("IFERROR(VLOOKUP(D107,
IMPORTRANGE(""https://docs.google.com/spreadsheets/d/1MjHtlUikwobi2MaWJgy7tfLeBmhj1u-dRFRs_8GwSoA/edit#gid=0"",""Gestores Escolares!D7:J""),4,0),""VERIFICAR CÓD SEC"")"),"(74) 9 9807-3175")</f>
        <v>(74) 9 9807-3175</v>
      </c>
      <c r="O107" s="82" t="str">
        <f>IFERROR(__xludf.DUMMYFUNCTION("IFERROR(VLOOKUP(D107,
IMPORTRANGE(""https://docs.google.com/spreadsheets/d/1MjHtlUikwobi2MaWJgy7tfLeBmhj1u-dRFRs_8GwSoA/edit#gid=0"",""Gestores Escolares!D7:J""),6,0),""VERIFICAR CÓD SEC"")"),"FRANCISCO DE ARAUJO LEAL")</f>
        <v>FRANCISCO DE ARAUJO LEAL</v>
      </c>
      <c r="P107" s="82" t="str">
        <f>IFERROR(__xludf.DUMMYFUNCTION("IFERROR(VLOOKUP(D107,
IMPORTRANGE(""https://docs.google.com/spreadsheets/d/1MjHtlUikwobi2MaWJgy7tfLeBmhj1u-dRFRs_8GwSoA/edit#gid=0"",""Gestores Escolares!D7:J""),7,0),""VERIFICAR CÓD SEC"")"),"(74) 9 8836-8463")</f>
        <v>(74) 9 8836-8463</v>
      </c>
      <c r="Q107" s="82" t="str">
        <f>IFERROR(__xludf.DUMMYFUNCTION("IFERROR(VLOOKUP(D107,
IMPORTRANGE(""https://docs.google.com/spreadsheets/d/1MjHtlUikwobi2MaWJgy7tfLeBmhj1u-dRFRs_8GwSoA/edit#gid=0"",""Gestores Escolares!D7:m""),9,0),""VERIFICAR CÓD SEC"")"),"CLAUDEMIR CELSO LIMA")</f>
        <v>CLAUDEMIR CELSO LIMA</v>
      </c>
      <c r="R107" s="82" t="str">
        <f>IFERROR(__xludf.DUMMYFUNCTION("IFERROR(VLOOKUP(D107,
IMPORTRANGE(""https://docs.google.com/spreadsheets/d/1MjHtlUikwobi2MaWJgy7tfLeBmhj1u-dRFRs_8GwSoA/edit#gid=0"",""Gestores Escolares!D7:m""),10,0),""VERIFICAR CÓD SEC"")"),"(74) 9 9952-3072")</f>
        <v>(74) 9 9952-3072</v>
      </c>
      <c r="S107" s="82"/>
      <c r="T107" s="138">
        <v>1.0</v>
      </c>
      <c r="U107" s="230">
        <v>1.0</v>
      </c>
      <c r="V107" s="106">
        <v>0.0</v>
      </c>
      <c r="W107" s="107">
        <v>0.0</v>
      </c>
      <c r="X107" s="107">
        <v>0.0</v>
      </c>
      <c r="Y107" s="107">
        <v>0.0</v>
      </c>
      <c r="Z107" s="80">
        <f t="shared" si="1"/>
        <v>0</v>
      </c>
      <c r="AA107" s="106">
        <v>0.0</v>
      </c>
      <c r="AB107" s="107">
        <v>0.0</v>
      </c>
      <c r="AC107" s="107">
        <v>0.0</v>
      </c>
      <c r="AD107" s="107">
        <v>0.0</v>
      </c>
      <c r="AE107" s="80">
        <f t="shared" si="2"/>
        <v>0</v>
      </c>
      <c r="AF107" s="140">
        <v>27.0</v>
      </c>
      <c r="AG107" s="109">
        <v>22.0</v>
      </c>
      <c r="AH107" s="109">
        <v>32.0</v>
      </c>
      <c r="AI107" s="141">
        <v>0.0</v>
      </c>
      <c r="AJ107" s="80">
        <f t="shared" si="3"/>
        <v>81</v>
      </c>
      <c r="AK107" s="140">
        <v>0.0</v>
      </c>
      <c r="AL107" s="109">
        <v>0.0</v>
      </c>
      <c r="AM107" s="141">
        <v>0.0</v>
      </c>
      <c r="AN107" s="80">
        <f t="shared" si="4"/>
        <v>0</v>
      </c>
      <c r="AO107" s="140">
        <v>0.0</v>
      </c>
      <c r="AP107" s="109">
        <v>0.0</v>
      </c>
      <c r="AQ107" s="109">
        <v>0.0</v>
      </c>
      <c r="AR107" s="80">
        <f t="shared" si="5"/>
        <v>0</v>
      </c>
      <c r="AS107" s="110">
        <v>0.0</v>
      </c>
      <c r="AT107" s="110">
        <v>0.0</v>
      </c>
      <c r="AU107" s="110">
        <v>0.0</v>
      </c>
      <c r="AV107" s="142">
        <v>0.0</v>
      </c>
      <c r="AW107" s="80">
        <f t="shared" si="6"/>
        <v>0</v>
      </c>
      <c r="AX107" s="113">
        <f t="shared" si="7"/>
        <v>81</v>
      </c>
      <c r="AY107" s="117">
        <f t="shared" si="8"/>
        <v>49</v>
      </c>
      <c r="AZ107" s="120">
        <f t="shared" si="9"/>
        <v>32</v>
      </c>
      <c r="BA107" s="115">
        <v>0.0</v>
      </c>
      <c r="BB107" s="89">
        <f t="shared" si="10"/>
        <v>81</v>
      </c>
      <c r="BC107" s="132" t="s">
        <v>178</v>
      </c>
      <c r="BD107" s="143" t="s">
        <v>227</v>
      </c>
      <c r="BE107" s="132" t="s">
        <v>178</v>
      </c>
      <c r="BF107" s="123"/>
      <c r="BG107" s="83">
        <v>1179010.0</v>
      </c>
      <c r="BH107" s="144"/>
      <c r="BI107" s="112">
        <v>1.0</v>
      </c>
      <c r="BJ107" s="98" t="s">
        <v>155</v>
      </c>
      <c r="BK107" s="99">
        <f t="shared" si="11"/>
        <v>0</v>
      </c>
      <c r="BL107" s="99">
        <f t="shared" si="12"/>
        <v>49</v>
      </c>
      <c r="BM107" s="99" t="str">
        <f>IFERROR(__xludf.DUMMYFUNCTION("IFERROR(VLOOKUP(BG107,IMPORTRANGE(""https://docs.google.com/spreadsheets/d/1juPI-Fb8LD0YtltB2mlGEnp_R3UVu1t3wSFPzgCyHXE/edit?gid=0#gid=0"",""GERAL!A2:C""),3,0),""-"")"),"-")</f>
        <v>-</v>
      </c>
    </row>
    <row r="108" ht="15.75" customHeight="1">
      <c r="A108" s="111" t="s">
        <v>205</v>
      </c>
      <c r="B108" s="83" t="s">
        <v>558</v>
      </c>
      <c r="C108" s="83" t="s">
        <v>164</v>
      </c>
      <c r="D108" s="112">
        <v>1179431.0</v>
      </c>
      <c r="E108" s="83">
        <v>1179009.0</v>
      </c>
      <c r="F108" s="98">
        <v>2.9461499E7</v>
      </c>
      <c r="G108" s="114" t="s">
        <v>584</v>
      </c>
      <c r="H108" s="91" t="s">
        <v>585</v>
      </c>
      <c r="I108" s="83" t="s">
        <v>149</v>
      </c>
      <c r="J108" s="83" t="s">
        <v>167</v>
      </c>
      <c r="K108" s="83" t="s">
        <v>168</v>
      </c>
      <c r="L108" s="83" t="s">
        <v>169</v>
      </c>
      <c r="M108" s="82" t="str">
        <f>IFERROR(__xludf.DUMMYFUNCTION("IFERROR(VLOOKUP(D108,
IMPORTRANGE(""https://docs.google.com/spreadsheets/d/1MjHtlUikwobi2MaWJgy7tfLeBmhj1u-dRFRs_8GwSoA/edit#gid=0"",""Gestores Escolares!D7:J""),3,0),""VERIFICAR CÓD SEC"")"),"NEIDE RAFAEL DE SOUZA ROCHA")</f>
        <v>NEIDE RAFAEL DE SOUZA ROCHA</v>
      </c>
      <c r="N108" s="82" t="str">
        <f>IFERROR(__xludf.DUMMYFUNCTION("IFERROR(VLOOKUP(D108,
IMPORTRANGE(""https://docs.google.com/spreadsheets/d/1MjHtlUikwobi2MaWJgy7tfLeBmhj1u-dRFRs_8GwSoA/edit#gid=0"",""Gestores Escolares!D7:J""),4,0),""VERIFICAR CÓD SEC"")"),"(74) 9 9807-3175")</f>
        <v>(74) 9 9807-3175</v>
      </c>
      <c r="O108" s="82" t="str">
        <f>IFERROR(__xludf.DUMMYFUNCTION("IFERROR(VLOOKUP(D108,
IMPORTRANGE(""https://docs.google.com/spreadsheets/d/1MjHtlUikwobi2MaWJgy7tfLeBmhj1u-dRFRs_8GwSoA/edit#gid=0"",""Gestores Escolares!D7:J""),6,0),""VERIFICAR CÓD SEC"")"),"FRANCISCO DE ARAUJO LEAL")</f>
        <v>FRANCISCO DE ARAUJO LEAL</v>
      </c>
      <c r="P108" s="82" t="str">
        <f>IFERROR(__xludf.DUMMYFUNCTION("IFERROR(VLOOKUP(D108,
IMPORTRANGE(""https://docs.google.com/spreadsheets/d/1MjHtlUikwobi2MaWJgy7tfLeBmhj1u-dRFRs_8GwSoA/edit#gid=0"",""Gestores Escolares!D7:J""),7,0),""VERIFICAR CÓD SEC"")"),"(74) 9 8836-8463")</f>
        <v>(74) 9 8836-8463</v>
      </c>
      <c r="Q108" s="82" t="str">
        <f>IFERROR(__xludf.DUMMYFUNCTION("IFERROR(VLOOKUP(D108,
IMPORTRANGE(""https://docs.google.com/spreadsheets/d/1MjHtlUikwobi2MaWJgy7tfLeBmhj1u-dRFRs_8GwSoA/edit#gid=0"",""Gestores Escolares!D7:m""),9,0),""VERIFICAR CÓD SEC"")"),"CLAUDEMIR CELSO LIMA")</f>
        <v>CLAUDEMIR CELSO LIMA</v>
      </c>
      <c r="R108" s="82" t="str">
        <f>IFERROR(__xludf.DUMMYFUNCTION("IFERROR(VLOOKUP(D108,
IMPORTRANGE(""https://docs.google.com/spreadsheets/d/1MjHtlUikwobi2MaWJgy7tfLeBmhj1u-dRFRs_8GwSoA/edit#gid=0"",""Gestores Escolares!D7:m""),10,0),""VERIFICAR CÓD SEC"")"),"(74) 9 9952-3072")</f>
        <v>(74) 9 9952-3072</v>
      </c>
      <c r="S108" s="82"/>
      <c r="T108" s="138">
        <v>1.0</v>
      </c>
      <c r="U108" s="230">
        <v>1.0</v>
      </c>
      <c r="V108" s="106">
        <v>0.0</v>
      </c>
      <c r="W108" s="107">
        <v>0.0</v>
      </c>
      <c r="X108" s="107">
        <v>0.0</v>
      </c>
      <c r="Y108" s="107">
        <v>0.0</v>
      </c>
      <c r="Z108" s="80">
        <f t="shared" si="1"/>
        <v>0</v>
      </c>
      <c r="AA108" s="106">
        <v>0.0</v>
      </c>
      <c r="AB108" s="107">
        <v>0.0</v>
      </c>
      <c r="AC108" s="107">
        <v>0.0</v>
      </c>
      <c r="AD108" s="107">
        <v>0.0</v>
      </c>
      <c r="AE108" s="80">
        <f t="shared" si="2"/>
        <v>0</v>
      </c>
      <c r="AF108" s="140">
        <v>26.0</v>
      </c>
      <c r="AG108" s="109">
        <v>11.0</v>
      </c>
      <c r="AH108" s="109">
        <v>31.0</v>
      </c>
      <c r="AI108" s="141">
        <v>0.0</v>
      </c>
      <c r="AJ108" s="80">
        <f t="shared" si="3"/>
        <v>68</v>
      </c>
      <c r="AK108" s="140">
        <v>0.0</v>
      </c>
      <c r="AL108" s="109">
        <v>0.0</v>
      </c>
      <c r="AM108" s="141">
        <v>0.0</v>
      </c>
      <c r="AN108" s="80">
        <f t="shared" si="4"/>
        <v>0</v>
      </c>
      <c r="AO108" s="140">
        <v>0.0</v>
      </c>
      <c r="AP108" s="109">
        <v>0.0</v>
      </c>
      <c r="AQ108" s="109">
        <v>0.0</v>
      </c>
      <c r="AR108" s="80">
        <f t="shared" si="5"/>
        <v>0</v>
      </c>
      <c r="AS108" s="110">
        <v>0.0</v>
      </c>
      <c r="AT108" s="110">
        <v>0.0</v>
      </c>
      <c r="AU108" s="110">
        <v>0.0</v>
      </c>
      <c r="AV108" s="142">
        <v>0.0</v>
      </c>
      <c r="AW108" s="80">
        <f t="shared" si="6"/>
        <v>0</v>
      </c>
      <c r="AX108" s="113">
        <f t="shared" si="7"/>
        <v>68</v>
      </c>
      <c r="AY108" s="117">
        <f t="shared" si="8"/>
        <v>37</v>
      </c>
      <c r="AZ108" s="120">
        <f t="shared" si="9"/>
        <v>31</v>
      </c>
      <c r="BA108" s="115">
        <v>0.0</v>
      </c>
      <c r="BB108" s="89">
        <f t="shared" si="10"/>
        <v>68</v>
      </c>
      <c r="BC108" s="132" t="s">
        <v>178</v>
      </c>
      <c r="BD108" s="143" t="s">
        <v>227</v>
      </c>
      <c r="BE108" s="132" t="s">
        <v>178</v>
      </c>
      <c r="BF108" s="123"/>
      <c r="BG108" s="83">
        <v>1179009.0</v>
      </c>
      <c r="BH108" s="144"/>
      <c r="BI108" s="112">
        <v>1.0</v>
      </c>
      <c r="BJ108" s="98" t="s">
        <v>155</v>
      </c>
      <c r="BK108" s="99">
        <f t="shared" si="11"/>
        <v>0</v>
      </c>
      <c r="BL108" s="99">
        <f t="shared" si="12"/>
        <v>37</v>
      </c>
      <c r="BM108" s="99" t="str">
        <f>IFERROR(__xludf.DUMMYFUNCTION("IFERROR(VLOOKUP(BG108,IMPORTRANGE(""https://docs.google.com/spreadsheets/d/1juPI-Fb8LD0YtltB2mlGEnp_R3UVu1t3wSFPzgCyHXE/edit?gid=0#gid=0"",""GERAL!A2:C""),3,0),""-"")"),"-")</f>
        <v>-</v>
      </c>
    </row>
    <row r="109" ht="15.75" customHeight="1">
      <c r="A109" s="111" t="s">
        <v>205</v>
      </c>
      <c r="B109" s="83" t="s">
        <v>558</v>
      </c>
      <c r="C109" s="83" t="s">
        <v>164</v>
      </c>
      <c r="D109" s="112">
        <v>1179431.0</v>
      </c>
      <c r="E109" s="83">
        <v>1179015.0</v>
      </c>
      <c r="F109" s="98">
        <v>2.9461499E7</v>
      </c>
      <c r="G109" s="114" t="s">
        <v>586</v>
      </c>
      <c r="H109" s="91" t="s">
        <v>587</v>
      </c>
      <c r="I109" s="83" t="s">
        <v>149</v>
      </c>
      <c r="J109" s="83" t="s">
        <v>588</v>
      </c>
      <c r="K109" s="83" t="s">
        <v>168</v>
      </c>
      <c r="L109" s="83" t="s">
        <v>169</v>
      </c>
      <c r="M109" s="82" t="str">
        <f>IFERROR(__xludf.DUMMYFUNCTION("IFERROR(VLOOKUP(D109,
IMPORTRANGE(""https://docs.google.com/spreadsheets/d/1MjHtlUikwobi2MaWJgy7tfLeBmhj1u-dRFRs_8GwSoA/edit#gid=0"",""Gestores Escolares!D7:J""),3,0),""VERIFICAR CÓD SEC"")"),"NEIDE RAFAEL DE SOUZA ROCHA")</f>
        <v>NEIDE RAFAEL DE SOUZA ROCHA</v>
      </c>
      <c r="N109" s="82" t="str">
        <f>IFERROR(__xludf.DUMMYFUNCTION("IFERROR(VLOOKUP(D109,
IMPORTRANGE(""https://docs.google.com/spreadsheets/d/1MjHtlUikwobi2MaWJgy7tfLeBmhj1u-dRFRs_8GwSoA/edit#gid=0"",""Gestores Escolares!D7:J""),4,0),""VERIFICAR CÓD SEC"")"),"(74) 9 9807-3175")</f>
        <v>(74) 9 9807-3175</v>
      </c>
      <c r="O109" s="82" t="str">
        <f>IFERROR(__xludf.DUMMYFUNCTION("IFERROR(VLOOKUP(D109,
IMPORTRANGE(""https://docs.google.com/spreadsheets/d/1MjHtlUikwobi2MaWJgy7tfLeBmhj1u-dRFRs_8GwSoA/edit#gid=0"",""Gestores Escolares!D7:J""),6,0),""VERIFICAR CÓD SEC"")"),"FRANCISCO DE ARAUJO LEAL")</f>
        <v>FRANCISCO DE ARAUJO LEAL</v>
      </c>
      <c r="P109" s="82" t="str">
        <f>IFERROR(__xludf.DUMMYFUNCTION("IFERROR(VLOOKUP(D109,
IMPORTRANGE(""https://docs.google.com/spreadsheets/d/1MjHtlUikwobi2MaWJgy7tfLeBmhj1u-dRFRs_8GwSoA/edit#gid=0"",""Gestores Escolares!D7:J""),7,0),""VERIFICAR CÓD SEC"")"),"(74) 9 8836-8463")</f>
        <v>(74) 9 8836-8463</v>
      </c>
      <c r="Q109" s="82" t="str">
        <f>IFERROR(__xludf.DUMMYFUNCTION("IFERROR(VLOOKUP(D109,
IMPORTRANGE(""https://docs.google.com/spreadsheets/d/1MjHtlUikwobi2MaWJgy7tfLeBmhj1u-dRFRs_8GwSoA/edit#gid=0"",""Gestores Escolares!D7:m""),9,0),""VERIFICAR CÓD SEC"")"),"CLAUDEMIR CELSO LIMA")</f>
        <v>CLAUDEMIR CELSO LIMA</v>
      </c>
      <c r="R109" s="82" t="str">
        <f>IFERROR(__xludf.DUMMYFUNCTION("IFERROR(VLOOKUP(D109,
IMPORTRANGE(""https://docs.google.com/spreadsheets/d/1MjHtlUikwobi2MaWJgy7tfLeBmhj1u-dRFRs_8GwSoA/edit#gid=0"",""Gestores Escolares!D7:m""),10,0),""VERIFICAR CÓD SEC"")"),"(74) 9 9952-3072")</f>
        <v>(74) 9 9952-3072</v>
      </c>
      <c r="S109" s="82"/>
      <c r="T109" s="138">
        <v>4.0</v>
      </c>
      <c r="U109" s="230">
        <v>4.0</v>
      </c>
      <c r="V109" s="106">
        <v>0.0</v>
      </c>
      <c r="W109" s="107">
        <v>0.0</v>
      </c>
      <c r="X109" s="107">
        <v>0.0</v>
      </c>
      <c r="Y109" s="107">
        <v>0.0</v>
      </c>
      <c r="Z109" s="80">
        <f t="shared" si="1"/>
        <v>0</v>
      </c>
      <c r="AA109" s="106">
        <v>0.0</v>
      </c>
      <c r="AB109" s="107">
        <v>0.0</v>
      </c>
      <c r="AC109" s="107">
        <v>0.0</v>
      </c>
      <c r="AD109" s="107">
        <v>0.0</v>
      </c>
      <c r="AE109" s="80">
        <f t="shared" si="2"/>
        <v>0</v>
      </c>
      <c r="AF109" s="140">
        <v>0.0</v>
      </c>
      <c r="AG109" s="109">
        <v>0.0</v>
      </c>
      <c r="AH109" s="109">
        <v>97.0</v>
      </c>
      <c r="AI109" s="141">
        <v>0.0</v>
      </c>
      <c r="AJ109" s="80">
        <f t="shared" si="3"/>
        <v>97</v>
      </c>
      <c r="AK109" s="140">
        <v>0.0</v>
      </c>
      <c r="AL109" s="109">
        <v>0.0</v>
      </c>
      <c r="AM109" s="141">
        <v>0.0</v>
      </c>
      <c r="AN109" s="80">
        <f t="shared" si="4"/>
        <v>0</v>
      </c>
      <c r="AO109" s="140">
        <v>0.0</v>
      </c>
      <c r="AP109" s="109">
        <v>0.0</v>
      </c>
      <c r="AQ109" s="109">
        <v>0.0</v>
      </c>
      <c r="AR109" s="80">
        <f t="shared" si="5"/>
        <v>0</v>
      </c>
      <c r="AS109" s="110">
        <v>0.0</v>
      </c>
      <c r="AT109" s="110">
        <v>0.0</v>
      </c>
      <c r="AU109" s="110">
        <v>0.0</v>
      </c>
      <c r="AV109" s="142">
        <v>0.0</v>
      </c>
      <c r="AW109" s="80">
        <f t="shared" si="6"/>
        <v>0</v>
      </c>
      <c r="AX109" s="113">
        <f t="shared" si="7"/>
        <v>97</v>
      </c>
      <c r="AY109" s="117">
        <f t="shared" si="8"/>
        <v>0</v>
      </c>
      <c r="AZ109" s="120">
        <f t="shared" si="9"/>
        <v>97</v>
      </c>
      <c r="BA109" s="115">
        <v>0.0</v>
      </c>
      <c r="BB109" s="89">
        <f t="shared" si="10"/>
        <v>97</v>
      </c>
      <c r="BC109" s="132" t="s">
        <v>178</v>
      </c>
      <c r="BD109" s="143" t="s">
        <v>227</v>
      </c>
      <c r="BE109" s="132" t="s">
        <v>178</v>
      </c>
      <c r="BF109" s="123"/>
      <c r="BG109" s="83">
        <v>1179015.0</v>
      </c>
      <c r="BH109" s="144"/>
      <c r="BI109" s="112">
        <v>4.0</v>
      </c>
      <c r="BJ109" s="98" t="s">
        <v>155</v>
      </c>
      <c r="BK109" s="99">
        <f t="shared" si="11"/>
        <v>0</v>
      </c>
      <c r="BL109" s="99">
        <f t="shared" si="12"/>
        <v>0</v>
      </c>
      <c r="BM109" s="99" t="str">
        <f>IFERROR(__xludf.DUMMYFUNCTION("IFERROR(VLOOKUP(BG109,IMPORTRANGE(""https://docs.google.com/spreadsheets/d/1juPI-Fb8LD0YtltB2mlGEnp_R3UVu1t3wSFPzgCyHXE/edit?gid=0#gid=0"",""GERAL!A2:C""),3,0),""-"")"),"-")</f>
        <v>-</v>
      </c>
    </row>
    <row r="110" ht="15.75" customHeight="1">
      <c r="A110" s="111" t="s">
        <v>205</v>
      </c>
      <c r="B110" s="83" t="s">
        <v>589</v>
      </c>
      <c r="C110" s="83" t="s">
        <v>68</v>
      </c>
      <c r="D110" s="112">
        <v>1178280.0</v>
      </c>
      <c r="E110" s="83"/>
      <c r="F110" s="83">
        <v>2.9455405E7</v>
      </c>
      <c r="G110" s="119" t="s">
        <v>590</v>
      </c>
      <c r="H110" s="91" t="s">
        <v>591</v>
      </c>
      <c r="I110" s="83" t="s">
        <v>149</v>
      </c>
      <c r="J110" s="83" t="s">
        <v>150</v>
      </c>
      <c r="K110" s="83" t="s">
        <v>151</v>
      </c>
      <c r="L110" s="83" t="s">
        <v>76</v>
      </c>
      <c r="M110" s="82" t="str">
        <f>IFERROR(__xludf.DUMMYFUNCTION("IFERROR(VLOOKUP(D110,
IMPORTRANGE(""https://docs.google.com/spreadsheets/d/1MjHtlUikwobi2MaWJgy7tfLeBmhj1u-dRFRs_8GwSoA/edit#gid=0"",""Gestores Escolares!D7:J""),3,0),""VERIFICAR CÓD SEC"")"),"MARIA DA GLORIA GUEDES SENA ")</f>
        <v>MARIA DA GLORIA GUEDES SENA </v>
      </c>
      <c r="N110" s="82" t="str">
        <f>IFERROR(__xludf.DUMMYFUNCTION("IFERROR(VLOOKUP(D110,
IMPORTRANGE(""https://docs.google.com/spreadsheets/d/1MjHtlUikwobi2MaWJgy7tfLeBmhj1u-dRFRs_8GwSoA/edit#gid=0"",""Gestores Escolares!D7:J""),4,0),""VERIFICAR CÓD SEC"")"),"(77) 9 8120-1076")</f>
        <v>(77) 9 8120-1076</v>
      </c>
      <c r="O110" s="82" t="str">
        <f>IFERROR(__xludf.DUMMYFUNCTION("IFERROR(VLOOKUP(D110,
IMPORTRANGE(""https://docs.google.com/spreadsheets/d/1MjHtlUikwobi2MaWJgy7tfLeBmhj1u-dRFRs_8GwSoA/edit#gid=0"",""Gestores Escolares!D7:J""),6,0),""VERIFICAR CÓD SEC"")"),"")</f>
        <v/>
      </c>
      <c r="P110" s="82" t="str">
        <f>IFERROR(__xludf.DUMMYFUNCTION("IFERROR(VLOOKUP(D110,
IMPORTRANGE(""https://docs.google.com/spreadsheets/d/1MjHtlUikwobi2MaWJgy7tfLeBmhj1u-dRFRs_8GwSoA/edit#gid=0"",""Gestores Escolares!D7:J""),7,0),""VERIFICAR CÓD SEC"")"),"")</f>
        <v/>
      </c>
      <c r="Q110" s="82" t="str">
        <f>IFERROR(__xludf.DUMMYFUNCTION("IFERROR(VLOOKUP(D110,
IMPORTRANGE(""https://docs.google.com/spreadsheets/d/1MjHtlUikwobi2MaWJgy7tfLeBmhj1u-dRFRs_8GwSoA/edit#gid=0"",""Gestores Escolares!D7:m""),9,0),""VERIFICAR CÓD SEC"")"),"")</f>
        <v/>
      </c>
      <c r="R110" s="82" t="str">
        <f>IFERROR(__xludf.DUMMYFUNCTION("IFERROR(VLOOKUP(D110,
IMPORTRANGE(""https://docs.google.com/spreadsheets/d/1MjHtlUikwobi2MaWJgy7tfLeBmhj1u-dRFRs_8GwSoA/edit#gid=0"",""Gestores Escolares!D7:m""),10,0),""VERIFICAR CÓD SEC"")"),"")</f>
        <v/>
      </c>
      <c r="S110" s="82"/>
      <c r="T110" s="138">
        <v>8.0</v>
      </c>
      <c r="U110" s="145">
        <v>7.0</v>
      </c>
      <c r="V110" s="106">
        <v>0.0</v>
      </c>
      <c r="W110" s="107">
        <v>0.0</v>
      </c>
      <c r="X110" s="107">
        <v>0.0</v>
      </c>
      <c r="Y110" s="107">
        <v>0.0</v>
      </c>
      <c r="Z110" s="80">
        <f t="shared" si="1"/>
        <v>0</v>
      </c>
      <c r="AA110" s="106">
        <v>0.0</v>
      </c>
      <c r="AB110" s="107">
        <v>0.0</v>
      </c>
      <c r="AC110" s="107">
        <v>0.0</v>
      </c>
      <c r="AD110" s="107">
        <v>0.0</v>
      </c>
      <c r="AE110" s="80">
        <f t="shared" si="2"/>
        <v>0</v>
      </c>
      <c r="AF110" s="140">
        <v>0.0</v>
      </c>
      <c r="AG110" s="109">
        <v>0.0</v>
      </c>
      <c r="AH110" s="109">
        <v>0.0</v>
      </c>
      <c r="AI110" s="141">
        <v>84.0</v>
      </c>
      <c r="AJ110" s="80">
        <f t="shared" si="3"/>
        <v>84</v>
      </c>
      <c r="AK110" s="140">
        <v>0.0</v>
      </c>
      <c r="AL110" s="109">
        <v>0.0</v>
      </c>
      <c r="AM110" s="141">
        <v>0.0</v>
      </c>
      <c r="AN110" s="80">
        <f t="shared" si="4"/>
        <v>0</v>
      </c>
      <c r="AO110" s="140">
        <v>0.0</v>
      </c>
      <c r="AP110" s="109">
        <v>0.0</v>
      </c>
      <c r="AQ110" s="109">
        <v>18.0</v>
      </c>
      <c r="AR110" s="80">
        <f t="shared" si="5"/>
        <v>18</v>
      </c>
      <c r="AS110" s="110">
        <v>0.0</v>
      </c>
      <c r="AT110" s="110">
        <v>0.0</v>
      </c>
      <c r="AU110" s="110">
        <v>0.0</v>
      </c>
      <c r="AV110" s="142">
        <v>65.0</v>
      </c>
      <c r="AW110" s="80">
        <f t="shared" si="6"/>
        <v>65</v>
      </c>
      <c r="AX110" s="113">
        <f t="shared" si="7"/>
        <v>167</v>
      </c>
      <c r="AY110" s="117">
        <f t="shared" si="8"/>
        <v>149</v>
      </c>
      <c r="AZ110" s="120">
        <f t="shared" si="9"/>
        <v>18</v>
      </c>
      <c r="BA110" s="115">
        <v>0.0</v>
      </c>
      <c r="BB110" s="89">
        <f t="shared" si="10"/>
        <v>167</v>
      </c>
      <c r="BC110" s="132" t="s">
        <v>178</v>
      </c>
      <c r="BD110" s="132" t="s">
        <v>178</v>
      </c>
      <c r="BE110" s="132" t="s">
        <v>178</v>
      </c>
      <c r="BF110" s="123"/>
      <c r="BG110" s="83">
        <v>1178280.0</v>
      </c>
      <c r="BH110" s="98" t="s">
        <v>592</v>
      </c>
      <c r="BI110" s="112">
        <v>9.0</v>
      </c>
      <c r="BJ110" s="98" t="s">
        <v>155</v>
      </c>
      <c r="BK110" s="99">
        <f t="shared" si="11"/>
        <v>149</v>
      </c>
      <c r="BL110" s="99">
        <f t="shared" si="12"/>
        <v>0</v>
      </c>
      <c r="BM110" s="99" t="str">
        <f>IFERROR(__xludf.DUMMYFUNCTION("IFERROR(VLOOKUP(BG110,IMPORTRANGE(""https://docs.google.com/spreadsheets/d/1juPI-Fb8LD0YtltB2mlGEnp_R3UVu1t3wSFPzgCyHXE/edit?gid=0#gid=0"",""GERAL!A2:C""),3,0),""-"")"),"-")</f>
        <v>-</v>
      </c>
    </row>
    <row r="111" ht="15.75" customHeight="1">
      <c r="A111" s="111" t="s">
        <v>205</v>
      </c>
      <c r="B111" s="83" t="s">
        <v>589</v>
      </c>
      <c r="C111" s="83" t="s">
        <v>164</v>
      </c>
      <c r="D111" s="112">
        <v>1178280.0</v>
      </c>
      <c r="E111" s="83">
        <v>1179016.0</v>
      </c>
      <c r="F111" s="98">
        <v>2.9491975E7</v>
      </c>
      <c r="G111" s="114" t="s">
        <v>593</v>
      </c>
      <c r="H111" s="91" t="s">
        <v>594</v>
      </c>
      <c r="I111" s="136" t="s">
        <v>595</v>
      </c>
      <c r="J111" s="83" t="s">
        <v>467</v>
      </c>
      <c r="K111" s="83" t="s">
        <v>168</v>
      </c>
      <c r="L111" s="83" t="s">
        <v>169</v>
      </c>
      <c r="M111" s="82" t="str">
        <f>IFERROR(__xludf.DUMMYFUNCTION("IFERROR(VLOOKUP(D111,
IMPORTRANGE(""https://docs.google.com/spreadsheets/d/1MjHtlUikwobi2MaWJgy7tfLeBmhj1u-dRFRs_8GwSoA/edit#gid=0"",""Gestores Escolares!D7:J""),3,0),""VERIFICAR CÓD SEC"")"),"MARIA DA GLORIA GUEDES SENA ")</f>
        <v>MARIA DA GLORIA GUEDES SENA </v>
      </c>
      <c r="N111" s="82" t="str">
        <f>IFERROR(__xludf.DUMMYFUNCTION("IFERROR(VLOOKUP(D111,
IMPORTRANGE(""https://docs.google.com/spreadsheets/d/1MjHtlUikwobi2MaWJgy7tfLeBmhj1u-dRFRs_8GwSoA/edit#gid=0"",""Gestores Escolares!D7:J""),4,0),""VERIFICAR CÓD SEC"")"),"(77) 9 8120-1076")</f>
        <v>(77) 9 8120-1076</v>
      </c>
      <c r="O111" s="82" t="str">
        <f>IFERROR(__xludf.DUMMYFUNCTION("IFERROR(VLOOKUP(D111,
IMPORTRANGE(""https://docs.google.com/spreadsheets/d/1MjHtlUikwobi2MaWJgy7tfLeBmhj1u-dRFRs_8GwSoA/edit#gid=0"",""Gestores Escolares!D7:J""),6,0),""VERIFICAR CÓD SEC"")"),"")</f>
        <v/>
      </c>
      <c r="P111" s="82" t="str">
        <f>IFERROR(__xludf.DUMMYFUNCTION("IFERROR(VLOOKUP(D111,
IMPORTRANGE(""https://docs.google.com/spreadsheets/d/1MjHtlUikwobi2MaWJgy7tfLeBmhj1u-dRFRs_8GwSoA/edit#gid=0"",""Gestores Escolares!D7:J""),7,0),""VERIFICAR CÓD SEC"")"),"")</f>
        <v/>
      </c>
      <c r="Q111" s="82" t="str">
        <f>IFERROR(__xludf.DUMMYFUNCTION("IFERROR(VLOOKUP(D111,
IMPORTRANGE(""https://docs.google.com/spreadsheets/d/1MjHtlUikwobi2MaWJgy7tfLeBmhj1u-dRFRs_8GwSoA/edit#gid=0"",""Gestores Escolares!D7:m""),9,0),""VERIFICAR CÓD SEC"")"),"")</f>
        <v/>
      </c>
      <c r="R111" s="82" t="str">
        <f>IFERROR(__xludf.DUMMYFUNCTION("IFERROR(VLOOKUP(D111,
IMPORTRANGE(""https://docs.google.com/spreadsheets/d/1MjHtlUikwobi2MaWJgy7tfLeBmhj1u-dRFRs_8GwSoA/edit#gid=0"",""Gestores Escolares!D7:m""),10,0),""VERIFICAR CÓD SEC"")"),"")</f>
        <v/>
      </c>
      <c r="S111" s="82"/>
      <c r="T111" s="234">
        <v>6.0</v>
      </c>
      <c r="U111" s="148">
        <v>3.0</v>
      </c>
      <c r="V111" s="106">
        <v>0.0</v>
      </c>
      <c r="W111" s="107">
        <v>0.0</v>
      </c>
      <c r="X111" s="107">
        <v>0.0</v>
      </c>
      <c r="Y111" s="107">
        <v>0.0</v>
      </c>
      <c r="Z111" s="80">
        <f t="shared" si="1"/>
        <v>0</v>
      </c>
      <c r="AA111" s="106">
        <v>0.0</v>
      </c>
      <c r="AB111" s="107">
        <v>0.0</v>
      </c>
      <c r="AC111" s="107">
        <v>0.0</v>
      </c>
      <c r="AD111" s="107">
        <v>0.0</v>
      </c>
      <c r="AE111" s="80">
        <f t="shared" si="2"/>
        <v>0</v>
      </c>
      <c r="AF111" s="140">
        <v>0.0</v>
      </c>
      <c r="AG111" s="109">
        <v>39.0</v>
      </c>
      <c r="AH111" s="109">
        <v>0.0</v>
      </c>
      <c r="AI111" s="141">
        <v>0.0</v>
      </c>
      <c r="AJ111" s="80">
        <f t="shared" si="3"/>
        <v>39</v>
      </c>
      <c r="AK111" s="140">
        <v>0.0</v>
      </c>
      <c r="AL111" s="109">
        <v>0.0</v>
      </c>
      <c r="AM111" s="141">
        <v>0.0</v>
      </c>
      <c r="AN111" s="80">
        <f t="shared" si="4"/>
        <v>0</v>
      </c>
      <c r="AO111" s="140">
        <v>0.0</v>
      </c>
      <c r="AP111" s="109">
        <v>0.0</v>
      </c>
      <c r="AQ111" s="109">
        <v>0.0</v>
      </c>
      <c r="AR111" s="80">
        <f t="shared" si="5"/>
        <v>0</v>
      </c>
      <c r="AS111" s="110">
        <v>0.0</v>
      </c>
      <c r="AT111" s="110">
        <v>0.0</v>
      </c>
      <c r="AU111" s="110">
        <v>0.0</v>
      </c>
      <c r="AV111" s="142">
        <v>0.0</v>
      </c>
      <c r="AW111" s="80">
        <f t="shared" si="6"/>
        <v>0</v>
      </c>
      <c r="AX111" s="113">
        <f t="shared" si="7"/>
        <v>39</v>
      </c>
      <c r="AY111" s="117">
        <f t="shared" si="8"/>
        <v>39</v>
      </c>
      <c r="AZ111" s="120">
        <f t="shared" si="9"/>
        <v>0</v>
      </c>
      <c r="BA111" s="115">
        <v>0.0</v>
      </c>
      <c r="BB111" s="89">
        <f t="shared" si="10"/>
        <v>39</v>
      </c>
      <c r="BC111" s="132" t="s">
        <v>373</v>
      </c>
      <c r="BD111" s="132" t="s">
        <v>178</v>
      </c>
      <c r="BE111" s="132" t="s">
        <v>178</v>
      </c>
      <c r="BF111" s="123"/>
      <c r="BG111" s="83">
        <v>1179016.0</v>
      </c>
      <c r="BH111" s="98" t="s">
        <v>596</v>
      </c>
      <c r="BI111" s="112">
        <v>17.0</v>
      </c>
      <c r="BJ111" s="98" t="s">
        <v>155</v>
      </c>
      <c r="BK111" s="99">
        <f t="shared" si="11"/>
        <v>0</v>
      </c>
      <c r="BL111" s="99">
        <f t="shared" si="12"/>
        <v>39</v>
      </c>
      <c r="BM111" s="99" t="str">
        <f>IFERROR(__xludf.DUMMYFUNCTION("IFERROR(VLOOKUP(BG111,IMPORTRANGE(""https://docs.google.com/spreadsheets/d/1juPI-Fb8LD0YtltB2mlGEnp_R3UVu1t3wSFPzgCyHXE/edit?gid=0#gid=0"",""GERAL!A2:C""),3,0),""-"")"),"CAMPO")</f>
        <v>CAMPO</v>
      </c>
    </row>
    <row r="112" ht="15.75" customHeight="1">
      <c r="A112" s="111" t="s">
        <v>205</v>
      </c>
      <c r="B112" s="83" t="s">
        <v>597</v>
      </c>
      <c r="C112" s="83" t="s">
        <v>68</v>
      </c>
      <c r="D112" s="112">
        <v>1178432.0</v>
      </c>
      <c r="E112" s="83"/>
      <c r="F112" s="83">
        <v>2.9345936E7</v>
      </c>
      <c r="G112" s="119" t="s">
        <v>598</v>
      </c>
      <c r="H112" s="91" t="s">
        <v>599</v>
      </c>
      <c r="I112" s="83" t="s">
        <v>600</v>
      </c>
      <c r="J112" s="83" t="s">
        <v>244</v>
      </c>
      <c r="K112" s="83" t="s">
        <v>151</v>
      </c>
      <c r="L112" s="83" t="s">
        <v>169</v>
      </c>
      <c r="M112" s="82" t="str">
        <f>IFERROR(__xludf.DUMMYFUNCTION("IFERROR(VLOOKUP(D112,
IMPORTRANGE(""https://docs.google.com/spreadsheets/d/1MjHtlUikwobi2MaWJgy7tfLeBmhj1u-dRFRs_8GwSoA/edit#gid=0"",""Gestores Escolares!D7:J""),3,0),""VERIFICAR CÓD SEC"")"),"GISLAINE FONSECA REZENDE")</f>
        <v>GISLAINE FONSECA REZENDE</v>
      </c>
      <c r="N112" s="82" t="str">
        <f>IFERROR(__xludf.DUMMYFUNCTION("IFERROR(VLOOKUP(D112,
IMPORTRANGE(""https://docs.google.com/spreadsheets/d/1MjHtlUikwobi2MaWJgy7tfLeBmhj1u-dRFRs_8GwSoA/edit#gid=0"",""Gestores Escolares!D7:J""),4,0),""VERIFICAR CÓD SEC"")"),"(77) 9 9871-7473")</f>
        <v>(77) 9 9871-7473</v>
      </c>
      <c r="O112" s="82" t="str">
        <f>IFERROR(__xludf.DUMMYFUNCTION("IFERROR(VLOOKUP(D112,
IMPORTRANGE(""https://docs.google.com/spreadsheets/d/1MjHtlUikwobi2MaWJgy7tfLeBmhj1u-dRFRs_8GwSoA/edit#gid=0"",""Gestores Escolares!D7:J""),6,0),""VERIFICAR CÓD SEC"")"),"POLLIANA SOCORRO CAMPOS")</f>
        <v>POLLIANA SOCORRO CAMPOS</v>
      </c>
      <c r="P112" s="82" t="str">
        <f>IFERROR(__xludf.DUMMYFUNCTION("IFERROR(VLOOKUP(D112,
IMPORTRANGE(""https://docs.google.com/spreadsheets/d/1MjHtlUikwobi2MaWJgy7tfLeBmhj1u-dRFRs_8GwSoA/edit#gid=0"",""Gestores Escolares!D7:J""),7,0),""VERIFICAR CÓD SEC"")"),"(77) 9 8832-8449")</f>
        <v>(77) 9 8832-8449</v>
      </c>
      <c r="Q112" s="82" t="str">
        <f>IFERROR(__xludf.DUMMYFUNCTION("IFERROR(VLOOKUP(D112,
IMPORTRANGE(""https://docs.google.com/spreadsheets/d/1MjHtlUikwobi2MaWJgy7tfLeBmhj1u-dRFRs_8GwSoA/edit#gid=0"",""Gestores Escolares!D7:m""),9,0),""VERIFICAR CÓD SEC"")"),"JOSÉ LUIZ SANTANA - COORDENADOR INDIGENA DO TERRITÓRIO (77) 9 8863-5012")</f>
        <v>JOSÉ LUIZ SANTANA - COORDENADOR INDIGENA DO TERRITÓRIO (77) 9 8863-5012</v>
      </c>
      <c r="R112" s="82" t="str">
        <f>IFERROR(__xludf.DUMMYFUNCTION("IFERROR(VLOOKUP(D112,
IMPORTRANGE(""https://docs.google.com/spreadsheets/d/1MjHtlUikwobi2MaWJgy7tfLeBmhj1u-dRFRs_8GwSoA/edit#gid=0"",""Gestores Escolares!D7:m""),10,0),""VERIFICAR CÓD SEC"")"),"")</f>
        <v/>
      </c>
      <c r="S112" s="82"/>
      <c r="T112" s="138">
        <v>6.0</v>
      </c>
      <c r="U112" s="145">
        <v>8.0</v>
      </c>
      <c r="V112" s="106">
        <v>26.0</v>
      </c>
      <c r="W112" s="107">
        <v>0.0</v>
      </c>
      <c r="X112" s="107">
        <v>0.0</v>
      </c>
      <c r="Y112" s="107">
        <v>0.0</v>
      </c>
      <c r="Z112" s="80">
        <f t="shared" si="1"/>
        <v>26</v>
      </c>
      <c r="AA112" s="106">
        <v>26.0</v>
      </c>
      <c r="AB112" s="107">
        <v>42.0</v>
      </c>
      <c r="AC112" s="107">
        <v>0.0</v>
      </c>
      <c r="AD112" s="107">
        <v>0.0</v>
      </c>
      <c r="AE112" s="80">
        <f t="shared" si="2"/>
        <v>68</v>
      </c>
      <c r="AF112" s="140">
        <v>0.0</v>
      </c>
      <c r="AG112" s="109">
        <v>0.0</v>
      </c>
      <c r="AH112" s="109">
        <v>12.0</v>
      </c>
      <c r="AI112" s="141">
        <v>2.0</v>
      </c>
      <c r="AJ112" s="80">
        <f t="shared" si="3"/>
        <v>14</v>
      </c>
      <c r="AK112" s="140">
        <v>0.0</v>
      </c>
      <c r="AL112" s="109">
        <v>0.0</v>
      </c>
      <c r="AM112" s="141">
        <v>6.0</v>
      </c>
      <c r="AN112" s="80">
        <f t="shared" si="4"/>
        <v>6</v>
      </c>
      <c r="AO112" s="140">
        <v>0.0</v>
      </c>
      <c r="AP112" s="109">
        <v>0.0</v>
      </c>
      <c r="AQ112" s="109">
        <v>9.0</v>
      </c>
      <c r="AR112" s="80">
        <f t="shared" si="5"/>
        <v>9</v>
      </c>
      <c r="AS112" s="110">
        <v>0.0</v>
      </c>
      <c r="AT112" s="110">
        <v>0.0</v>
      </c>
      <c r="AU112" s="110">
        <v>0.0</v>
      </c>
      <c r="AV112" s="142">
        <v>0.0</v>
      </c>
      <c r="AW112" s="80">
        <f t="shared" si="6"/>
        <v>0</v>
      </c>
      <c r="AX112" s="113">
        <f t="shared" si="7"/>
        <v>123</v>
      </c>
      <c r="AY112" s="117">
        <f t="shared" si="8"/>
        <v>96</v>
      </c>
      <c r="AZ112" s="120">
        <f t="shared" si="9"/>
        <v>27</v>
      </c>
      <c r="BA112" s="115">
        <v>0.0</v>
      </c>
      <c r="BB112" s="89">
        <f t="shared" si="10"/>
        <v>123</v>
      </c>
      <c r="BC112" s="143" t="s">
        <v>1294</v>
      </c>
      <c r="BD112" s="132" t="s">
        <v>178</v>
      </c>
      <c r="BE112" s="132" t="s">
        <v>178</v>
      </c>
      <c r="BF112" s="123"/>
      <c r="BG112" s="83">
        <v>1178432.0</v>
      </c>
      <c r="BH112" s="98" t="s">
        <v>601</v>
      </c>
      <c r="BI112" s="112">
        <v>6.0</v>
      </c>
      <c r="BJ112" s="98" t="s">
        <v>176</v>
      </c>
      <c r="BK112" s="99">
        <f t="shared" si="11"/>
        <v>2</v>
      </c>
      <c r="BL112" s="99">
        <f t="shared" si="12"/>
        <v>94</v>
      </c>
      <c r="BM112" s="99" t="str">
        <f>IFERROR(__xludf.DUMMYFUNCTION("IFERROR(VLOOKUP(BG112,IMPORTRANGE(""https://docs.google.com/spreadsheets/d/1juPI-Fb8LD0YtltB2mlGEnp_R3UVu1t3wSFPzgCyHXE/edit?gid=0#gid=0"",""GERAL!A2:C""),3,0),""-"")"),"INDÍGENAS")</f>
        <v>INDÍGENAS</v>
      </c>
    </row>
    <row r="113" ht="15.75" customHeight="1">
      <c r="A113" s="111" t="s">
        <v>205</v>
      </c>
      <c r="B113" s="83" t="s">
        <v>597</v>
      </c>
      <c r="C113" s="83" t="s">
        <v>68</v>
      </c>
      <c r="D113" s="112">
        <v>1127324.0</v>
      </c>
      <c r="E113" s="83"/>
      <c r="F113" s="83">
        <v>2.903882E7</v>
      </c>
      <c r="G113" s="153" t="s">
        <v>602</v>
      </c>
      <c r="H113" s="91" t="s">
        <v>603</v>
      </c>
      <c r="I113" s="83" t="s">
        <v>149</v>
      </c>
      <c r="J113" s="83" t="s">
        <v>150</v>
      </c>
      <c r="K113" s="83" t="s">
        <v>151</v>
      </c>
      <c r="L113" s="98" t="s">
        <v>230</v>
      </c>
      <c r="M113" s="82" t="str">
        <f>IFERROR(__xludf.DUMMYFUNCTION("IFERROR(VLOOKUP(D113,
IMPORTRANGE(""https://docs.google.com/spreadsheets/d/1MjHtlUikwobi2MaWJgy7tfLeBmhj1u-dRFRs_8GwSoA/edit#gid=0"",""Gestores Escolares!D7:J""),3,0),""VERIFICAR CÓD SEC"")"),"PATRICIA REJANE AMARAL SAMPAIO")</f>
        <v>PATRICIA REJANE AMARAL SAMPAIO</v>
      </c>
      <c r="N113" s="82" t="str">
        <f>IFERROR(__xludf.DUMMYFUNCTION("IFERROR(VLOOKUP(D113,
IMPORTRANGE(""https://docs.google.com/spreadsheets/d/1MjHtlUikwobi2MaWJgy7tfLeBmhj1u-dRFRs_8GwSoA/edit#gid=0"",""Gestores Escolares!D7:J""),4,0),""VERIFICAR CÓD SEC"")"),"(77) 9 9992-9772")</f>
        <v>(77) 9 9992-9772</v>
      </c>
      <c r="O113" s="82" t="str">
        <f>IFERROR(__xludf.DUMMYFUNCTION("IFERROR(VLOOKUP(D113,
IMPORTRANGE(""https://docs.google.com/spreadsheets/d/1MjHtlUikwobi2MaWJgy7tfLeBmhj1u-dRFRs_8GwSoA/edit#gid=0"",""Gestores Escolares!D7:J""),6,0),""VERIFICAR CÓD SEC"")"),"ROMILSON DOS SANTOS SOUZA")</f>
        <v>ROMILSON DOS SANTOS SOUZA</v>
      </c>
      <c r="P113" s="82" t="str">
        <f>IFERROR(__xludf.DUMMYFUNCTION("IFERROR(VLOOKUP(D113,
IMPORTRANGE(""https://docs.google.com/spreadsheets/d/1MjHtlUikwobi2MaWJgy7tfLeBmhj1u-dRFRs_8GwSoA/edit#gid=0"",""Gestores Escolares!D7:J""),7,0),""VERIFICAR CÓD SEC"")"),"(77) 9 9921-0667")</f>
        <v>(77) 9 9921-0667</v>
      </c>
      <c r="Q113" s="82" t="str">
        <f>IFERROR(__xludf.DUMMYFUNCTION("IFERROR(VLOOKUP(D113,
IMPORTRANGE(""https://docs.google.com/spreadsheets/d/1MjHtlUikwobi2MaWJgy7tfLeBmhj1u-dRFRs_8GwSoA/edit#gid=0"",""Gestores Escolares!D7:m""),9,0),""VERIFICAR CÓD SEC"")"),"FABIANA ALMEIDA MOIZINHO")</f>
        <v>FABIANA ALMEIDA MOIZINHO</v>
      </c>
      <c r="R113" s="82" t="str">
        <f>IFERROR(__xludf.DUMMYFUNCTION("IFERROR(VLOOKUP(D113,
IMPORTRANGE(""https://docs.google.com/spreadsheets/d/1MjHtlUikwobi2MaWJgy7tfLeBmhj1u-dRFRs_8GwSoA/edit#gid=0"",""Gestores Escolares!D7:m""),10,0),""VERIFICAR CÓD SEC"")"),"(77) 9 8148-7393")</f>
        <v>(77) 9 8148-7393</v>
      </c>
      <c r="S113" s="82"/>
      <c r="T113" s="138">
        <v>18.0</v>
      </c>
      <c r="U113" s="145">
        <v>24.0</v>
      </c>
      <c r="V113" s="106">
        <v>0.0</v>
      </c>
      <c r="W113" s="107">
        <v>0.0</v>
      </c>
      <c r="X113" s="107">
        <v>0.0</v>
      </c>
      <c r="Y113" s="107">
        <v>0.0</v>
      </c>
      <c r="Z113" s="80">
        <f t="shared" si="1"/>
        <v>0</v>
      </c>
      <c r="AA113" s="106">
        <v>0.0</v>
      </c>
      <c r="AB113" s="107">
        <v>0.0</v>
      </c>
      <c r="AC113" s="107">
        <v>0.0</v>
      </c>
      <c r="AD113" s="107">
        <v>0.0</v>
      </c>
      <c r="AE113" s="80">
        <f t="shared" si="2"/>
        <v>0</v>
      </c>
      <c r="AF113" s="140">
        <v>142.0</v>
      </c>
      <c r="AG113" s="109">
        <v>98.0</v>
      </c>
      <c r="AH113" s="109">
        <v>0.0</v>
      </c>
      <c r="AI113" s="141">
        <v>536.0</v>
      </c>
      <c r="AJ113" s="80">
        <f t="shared" si="3"/>
        <v>776</v>
      </c>
      <c r="AK113" s="140">
        <v>0.0</v>
      </c>
      <c r="AL113" s="109">
        <v>0.0</v>
      </c>
      <c r="AM113" s="141">
        <v>0.0</v>
      </c>
      <c r="AN113" s="80">
        <f t="shared" si="4"/>
        <v>0</v>
      </c>
      <c r="AO113" s="140">
        <v>0.0</v>
      </c>
      <c r="AP113" s="109">
        <v>0.0</v>
      </c>
      <c r="AQ113" s="109">
        <v>79.0</v>
      </c>
      <c r="AR113" s="80">
        <f t="shared" si="5"/>
        <v>79</v>
      </c>
      <c r="AS113" s="110">
        <v>0.0</v>
      </c>
      <c r="AT113" s="110">
        <v>0.0</v>
      </c>
      <c r="AU113" s="110">
        <v>0.0</v>
      </c>
      <c r="AV113" s="142">
        <v>0.0</v>
      </c>
      <c r="AW113" s="80">
        <f t="shared" si="6"/>
        <v>0</v>
      </c>
      <c r="AX113" s="113">
        <f t="shared" si="7"/>
        <v>855</v>
      </c>
      <c r="AY113" s="117">
        <f t="shared" si="8"/>
        <v>776</v>
      </c>
      <c r="AZ113" s="120">
        <f t="shared" si="9"/>
        <v>79</v>
      </c>
      <c r="BA113" s="115">
        <v>0.0</v>
      </c>
      <c r="BB113" s="89">
        <f t="shared" si="10"/>
        <v>855</v>
      </c>
      <c r="BC113" s="132" t="s">
        <v>178</v>
      </c>
      <c r="BD113" s="132" t="s">
        <v>178</v>
      </c>
      <c r="BE113" s="132" t="s">
        <v>178</v>
      </c>
      <c r="BF113" s="123"/>
      <c r="BG113" s="83">
        <v>1127324.0</v>
      </c>
      <c r="BH113" s="137" t="s">
        <v>604</v>
      </c>
      <c r="BI113" s="112">
        <v>15.0</v>
      </c>
      <c r="BJ113" s="98" t="s">
        <v>162</v>
      </c>
      <c r="BK113" s="99">
        <f t="shared" si="11"/>
        <v>536</v>
      </c>
      <c r="BL113" s="99">
        <f t="shared" si="12"/>
        <v>240</v>
      </c>
      <c r="BM113" s="99" t="str">
        <f>IFERROR(__xludf.DUMMYFUNCTION("IFERROR(VLOOKUP(BG113,IMPORTRANGE(""https://docs.google.com/spreadsheets/d/1juPI-Fb8LD0YtltB2mlGEnp_R3UVu1t3wSFPzgCyHXE/edit?gid=0#gid=0"",""GERAL!A2:C""),3,0),""-"")"),"-")</f>
        <v>-</v>
      </c>
    </row>
    <row r="114" ht="15.75" customHeight="1">
      <c r="A114" s="111" t="s">
        <v>205</v>
      </c>
      <c r="B114" s="83" t="s">
        <v>597</v>
      </c>
      <c r="C114" s="83" t="s">
        <v>68</v>
      </c>
      <c r="D114" s="112">
        <v>1176434.0</v>
      </c>
      <c r="E114" s="83"/>
      <c r="F114" s="83">
        <v>2.9391512E7</v>
      </c>
      <c r="G114" s="114" t="s">
        <v>606</v>
      </c>
      <c r="H114" s="91" t="s">
        <v>607</v>
      </c>
      <c r="I114" s="83" t="s">
        <v>149</v>
      </c>
      <c r="J114" s="83" t="s">
        <v>150</v>
      </c>
      <c r="K114" s="83" t="s">
        <v>151</v>
      </c>
      <c r="L114" s="83" t="s">
        <v>230</v>
      </c>
      <c r="M114" s="82" t="str">
        <f>IFERROR(__xludf.DUMMYFUNCTION("IFERROR(VLOOKUP(D114,
IMPORTRANGE(""https://docs.google.com/spreadsheets/d/1MjHtlUikwobi2MaWJgy7tfLeBmhj1u-dRFRs_8GwSoA/edit#gid=0"",""Gestores Escolares!D7:J""),3,0),""VERIFICAR CÓD SEC"")"),"RENAILDO PEREIRA DOS SANTOS")</f>
        <v>RENAILDO PEREIRA DOS SANTOS</v>
      </c>
      <c r="N114" s="82" t="str">
        <f>IFERROR(__xludf.DUMMYFUNCTION("IFERROR(VLOOKUP(D114,
IMPORTRANGE(""https://docs.google.com/spreadsheets/d/1MjHtlUikwobi2MaWJgy7tfLeBmhj1u-dRFRs_8GwSoA/edit#gid=0"",""Gestores Escolares!D7:J""),4,0),""VERIFICAR CÓD SEC"")"),"(77) 9 9910-9171")</f>
        <v>(77) 9 9910-9171</v>
      </c>
      <c r="O114" s="82" t="str">
        <f>IFERROR(__xludf.DUMMYFUNCTION("IFERROR(VLOOKUP(D114,
IMPORTRANGE(""https://docs.google.com/spreadsheets/d/1MjHtlUikwobi2MaWJgy7tfLeBmhj1u-dRFRs_8GwSoA/edit#gid=0"",""Gestores Escolares!D7:J""),6,0),""VERIFICAR CÓD SEC"")"),"IGOR TRINDADE SANTANA")</f>
        <v>IGOR TRINDADE SANTANA</v>
      </c>
      <c r="P114" s="82" t="str">
        <f>IFERROR(__xludf.DUMMYFUNCTION("IFERROR(VLOOKUP(D114,
IMPORTRANGE(""https://docs.google.com/spreadsheets/d/1MjHtlUikwobi2MaWJgy7tfLeBmhj1u-dRFRs_8GwSoA/edit#gid=0"",""Gestores Escolares!D7:J""),7,0),""VERIFICAR CÓD SEC"")"),"(73) 9 8852-8189")</f>
        <v>(73) 9 8852-8189</v>
      </c>
      <c r="Q114" s="82" t="str">
        <f>IFERROR(__xludf.DUMMYFUNCTION("IFERROR(VLOOKUP(D114,
IMPORTRANGE(""https://docs.google.com/spreadsheets/d/1MjHtlUikwobi2MaWJgy7tfLeBmhj1u-dRFRs_8GwSoA/edit#gid=0"",""Gestores Escolares!D7:m""),9,0),""VERIFICAR CÓD SEC"")"),"")</f>
        <v/>
      </c>
      <c r="R114" s="82" t="str">
        <f>IFERROR(__xludf.DUMMYFUNCTION("IFERROR(VLOOKUP(D114,
IMPORTRANGE(""https://docs.google.com/spreadsheets/d/1MjHtlUikwobi2MaWJgy7tfLeBmhj1u-dRFRs_8GwSoA/edit#gid=0"",""Gestores Escolares!D7:m""),10,0),""VERIFICAR CÓD SEC"")"),"")</f>
        <v/>
      </c>
      <c r="S114" s="82"/>
      <c r="T114" s="138">
        <v>12.0</v>
      </c>
      <c r="U114" s="145" t="s">
        <v>1306</v>
      </c>
      <c r="V114" s="106">
        <v>0.0</v>
      </c>
      <c r="W114" s="107">
        <v>0.0</v>
      </c>
      <c r="X114" s="107">
        <v>0.0</v>
      </c>
      <c r="Y114" s="107">
        <v>0.0</v>
      </c>
      <c r="Z114" s="80">
        <f t="shared" si="1"/>
        <v>0</v>
      </c>
      <c r="AA114" s="106">
        <v>0.0</v>
      </c>
      <c r="AB114" s="107">
        <v>0.0</v>
      </c>
      <c r="AC114" s="107">
        <v>0.0</v>
      </c>
      <c r="AD114" s="107">
        <v>0.0</v>
      </c>
      <c r="AE114" s="80">
        <f t="shared" si="2"/>
        <v>0</v>
      </c>
      <c r="AF114" s="140">
        <v>0.0</v>
      </c>
      <c r="AG114" s="109">
        <v>0.0</v>
      </c>
      <c r="AH114" s="109">
        <v>0.0</v>
      </c>
      <c r="AI114" s="141">
        <v>0.0</v>
      </c>
      <c r="AJ114" s="80">
        <f t="shared" si="3"/>
        <v>0</v>
      </c>
      <c r="AK114" s="140">
        <v>0.0</v>
      </c>
      <c r="AL114" s="109">
        <v>0.0</v>
      </c>
      <c r="AM114" s="141">
        <v>0.0</v>
      </c>
      <c r="AN114" s="80">
        <f t="shared" si="4"/>
        <v>0</v>
      </c>
      <c r="AO114" s="140">
        <v>0.0</v>
      </c>
      <c r="AP114" s="109">
        <v>0.0</v>
      </c>
      <c r="AQ114" s="109">
        <v>0.0</v>
      </c>
      <c r="AR114" s="80">
        <f t="shared" si="5"/>
        <v>0</v>
      </c>
      <c r="AS114" s="110">
        <v>274.0</v>
      </c>
      <c r="AT114" s="110">
        <v>0.0</v>
      </c>
      <c r="AU114" s="110">
        <v>104.0</v>
      </c>
      <c r="AV114" s="142">
        <v>0.0</v>
      </c>
      <c r="AW114" s="80">
        <f t="shared" si="6"/>
        <v>378</v>
      </c>
      <c r="AX114" s="113">
        <f t="shared" si="7"/>
        <v>378</v>
      </c>
      <c r="AY114" s="117">
        <f t="shared" si="8"/>
        <v>274</v>
      </c>
      <c r="AZ114" s="120">
        <f t="shared" si="9"/>
        <v>104</v>
      </c>
      <c r="BA114" s="115">
        <v>0.0</v>
      </c>
      <c r="BB114" s="89">
        <f t="shared" si="10"/>
        <v>378</v>
      </c>
      <c r="BC114" s="132" t="s">
        <v>178</v>
      </c>
      <c r="BD114" s="132" t="s">
        <v>522</v>
      </c>
      <c r="BE114" s="132" t="s">
        <v>178</v>
      </c>
      <c r="BF114" s="156"/>
      <c r="BG114" s="83">
        <v>1176434.0</v>
      </c>
      <c r="BH114" s="137" t="s">
        <v>608</v>
      </c>
      <c r="BI114" s="112">
        <v>15.0</v>
      </c>
      <c r="BJ114" s="98" t="s">
        <v>155</v>
      </c>
      <c r="BK114" s="99">
        <f t="shared" si="11"/>
        <v>0</v>
      </c>
      <c r="BL114" s="99">
        <f t="shared" si="12"/>
        <v>274</v>
      </c>
      <c r="BM114" s="99" t="str">
        <f>IFERROR(__xludf.DUMMYFUNCTION("IFERROR(VLOOKUP(BG114,IMPORTRANGE(""https://docs.google.com/spreadsheets/d/1juPI-Fb8LD0YtltB2mlGEnp_R3UVu1t3wSFPzgCyHXE/edit?gid=0#gid=0"",""GERAL!A2:C""),3,0),""-"")"),"-")</f>
        <v>-</v>
      </c>
    </row>
    <row r="115" ht="15.75" customHeight="1">
      <c r="A115" s="111" t="s">
        <v>205</v>
      </c>
      <c r="B115" s="83" t="s">
        <v>597</v>
      </c>
      <c r="C115" s="83" t="s">
        <v>164</v>
      </c>
      <c r="D115" s="112">
        <v>1179431.0</v>
      </c>
      <c r="E115" s="83">
        <v>1178829.0</v>
      </c>
      <c r="F115" s="98">
        <v>2.9464374E7</v>
      </c>
      <c r="G115" s="114" t="s">
        <v>609</v>
      </c>
      <c r="H115" s="91" t="s">
        <v>610</v>
      </c>
      <c r="I115" s="136" t="s">
        <v>149</v>
      </c>
      <c r="J115" s="83" t="s">
        <v>440</v>
      </c>
      <c r="K115" s="83" t="s">
        <v>151</v>
      </c>
      <c r="L115" s="83" t="s">
        <v>169</v>
      </c>
      <c r="M115" s="82" t="str">
        <f>IFERROR(__xludf.DUMMYFUNCTION("IFERROR(VLOOKUP(D115,
IMPORTRANGE(""https://docs.google.com/spreadsheets/d/1MjHtlUikwobi2MaWJgy7tfLeBmhj1u-dRFRs_8GwSoA/edit#gid=0"",""Gestores Escolares!D7:J""),3,0),""VERIFICAR CÓD SEC"")"),"NEIDE RAFAEL DE SOUZA ROCHA")</f>
        <v>NEIDE RAFAEL DE SOUZA ROCHA</v>
      </c>
      <c r="N115" s="82" t="str">
        <f>IFERROR(__xludf.DUMMYFUNCTION("IFERROR(VLOOKUP(D115,
IMPORTRANGE(""https://docs.google.com/spreadsheets/d/1MjHtlUikwobi2MaWJgy7tfLeBmhj1u-dRFRs_8GwSoA/edit#gid=0"",""Gestores Escolares!D7:J""),4,0),""VERIFICAR CÓD SEC"")"),"(74) 9 9807-3175")</f>
        <v>(74) 9 9807-3175</v>
      </c>
      <c r="O115" s="82" t="str">
        <f>IFERROR(__xludf.DUMMYFUNCTION("IFERROR(VLOOKUP(D115,
IMPORTRANGE(""https://docs.google.com/spreadsheets/d/1MjHtlUikwobi2MaWJgy7tfLeBmhj1u-dRFRs_8GwSoA/edit#gid=0"",""Gestores Escolares!D7:J""),6,0),""VERIFICAR CÓD SEC"")"),"FRANCISCO DE ARAUJO LEAL")</f>
        <v>FRANCISCO DE ARAUJO LEAL</v>
      </c>
      <c r="P115" s="82" t="str">
        <f>IFERROR(__xludf.DUMMYFUNCTION("IFERROR(VLOOKUP(D115,
IMPORTRANGE(""https://docs.google.com/spreadsheets/d/1MjHtlUikwobi2MaWJgy7tfLeBmhj1u-dRFRs_8GwSoA/edit#gid=0"",""Gestores Escolares!D7:J""),7,0),""VERIFICAR CÓD SEC"")"),"(74) 9 8836-8463")</f>
        <v>(74) 9 8836-8463</v>
      </c>
      <c r="Q115" s="82" t="str">
        <f>IFERROR(__xludf.DUMMYFUNCTION("IFERROR(VLOOKUP(D115,
IMPORTRANGE(""https://docs.google.com/spreadsheets/d/1MjHtlUikwobi2MaWJgy7tfLeBmhj1u-dRFRs_8GwSoA/edit#gid=0"",""Gestores Escolares!D7:m""),9,0),""VERIFICAR CÓD SEC"")"),"CLAUDEMIR CELSO LIMA")</f>
        <v>CLAUDEMIR CELSO LIMA</v>
      </c>
      <c r="R115" s="82" t="str">
        <f>IFERROR(__xludf.DUMMYFUNCTION("IFERROR(VLOOKUP(D115,
IMPORTRANGE(""https://docs.google.com/spreadsheets/d/1MjHtlUikwobi2MaWJgy7tfLeBmhj1u-dRFRs_8GwSoA/edit#gid=0"",""Gestores Escolares!D7:m""),10,0),""VERIFICAR CÓD SEC"")"),"(74) 9 9952-3072")</f>
        <v>(74) 9 9952-3072</v>
      </c>
      <c r="S115" s="82"/>
      <c r="T115" s="138">
        <v>3.0</v>
      </c>
      <c r="U115" s="139">
        <v>3.0</v>
      </c>
      <c r="V115" s="106">
        <v>0.0</v>
      </c>
      <c r="W115" s="107">
        <v>0.0</v>
      </c>
      <c r="X115" s="107">
        <v>0.0</v>
      </c>
      <c r="Y115" s="107">
        <v>0.0</v>
      </c>
      <c r="Z115" s="80">
        <f t="shared" si="1"/>
        <v>0</v>
      </c>
      <c r="AA115" s="106">
        <v>0.0</v>
      </c>
      <c r="AB115" s="107">
        <v>0.0</v>
      </c>
      <c r="AC115" s="107">
        <v>0.0</v>
      </c>
      <c r="AD115" s="107">
        <v>0.0</v>
      </c>
      <c r="AE115" s="80">
        <f t="shared" si="2"/>
        <v>0</v>
      </c>
      <c r="AF115" s="140">
        <v>19.0</v>
      </c>
      <c r="AG115" s="109">
        <v>0.0</v>
      </c>
      <c r="AH115" s="109">
        <v>0.0</v>
      </c>
      <c r="AI115" s="141">
        <v>0.0</v>
      </c>
      <c r="AJ115" s="80">
        <f t="shared" si="3"/>
        <v>19</v>
      </c>
      <c r="AK115" s="140">
        <v>0.0</v>
      </c>
      <c r="AL115" s="109">
        <v>0.0</v>
      </c>
      <c r="AM115" s="141">
        <v>0.0</v>
      </c>
      <c r="AN115" s="80">
        <f t="shared" si="4"/>
        <v>0</v>
      </c>
      <c r="AO115" s="140">
        <v>0.0</v>
      </c>
      <c r="AP115" s="109">
        <v>0.0</v>
      </c>
      <c r="AQ115" s="109">
        <v>0.0</v>
      </c>
      <c r="AR115" s="80">
        <f t="shared" si="5"/>
        <v>0</v>
      </c>
      <c r="AS115" s="110">
        <v>0.0</v>
      </c>
      <c r="AT115" s="110">
        <v>0.0</v>
      </c>
      <c r="AU115" s="110">
        <v>0.0</v>
      </c>
      <c r="AV115" s="142">
        <v>0.0</v>
      </c>
      <c r="AW115" s="80">
        <f t="shared" si="6"/>
        <v>0</v>
      </c>
      <c r="AX115" s="113">
        <f t="shared" si="7"/>
        <v>19</v>
      </c>
      <c r="AY115" s="117">
        <f t="shared" si="8"/>
        <v>19</v>
      </c>
      <c r="AZ115" s="120">
        <f t="shared" si="9"/>
        <v>0</v>
      </c>
      <c r="BA115" s="115">
        <v>0.0</v>
      </c>
      <c r="BB115" s="89">
        <f t="shared" si="10"/>
        <v>19</v>
      </c>
      <c r="BC115" s="132" t="s">
        <v>178</v>
      </c>
      <c r="BD115" s="143" t="s">
        <v>227</v>
      </c>
      <c r="BE115" s="132" t="s">
        <v>178</v>
      </c>
      <c r="BF115" s="123"/>
      <c r="BG115" s="83">
        <v>1178829.0</v>
      </c>
      <c r="BH115" s="144"/>
      <c r="BI115" s="112">
        <v>3.0</v>
      </c>
      <c r="BJ115" s="98" t="s">
        <v>155</v>
      </c>
      <c r="BK115" s="99">
        <f t="shared" si="11"/>
        <v>0</v>
      </c>
      <c r="BL115" s="99">
        <f t="shared" si="12"/>
        <v>19</v>
      </c>
      <c r="BM115" s="99" t="str">
        <f>IFERROR(__xludf.DUMMYFUNCTION("IFERROR(VLOOKUP(BG115,IMPORTRANGE(""https://docs.google.com/spreadsheets/d/1juPI-Fb8LD0YtltB2mlGEnp_R3UVu1t3wSFPzgCyHXE/edit?gid=0#gid=0"",""GERAL!A2:C""),3,0),""-"")"),"-")</f>
        <v>-</v>
      </c>
    </row>
    <row r="116" ht="15.75" customHeight="1">
      <c r="A116" s="111" t="s">
        <v>205</v>
      </c>
      <c r="B116" s="83" t="s">
        <v>611</v>
      </c>
      <c r="C116" s="83" t="s">
        <v>68</v>
      </c>
      <c r="D116" s="112">
        <v>1131402.0</v>
      </c>
      <c r="E116" s="83"/>
      <c r="F116" s="83">
        <v>2.9245893E7</v>
      </c>
      <c r="G116" s="153" t="s">
        <v>612</v>
      </c>
      <c r="H116" s="108" t="s">
        <v>613</v>
      </c>
      <c r="I116" s="83" t="s">
        <v>614</v>
      </c>
      <c r="J116" s="83" t="s">
        <v>150</v>
      </c>
      <c r="K116" s="83" t="s">
        <v>151</v>
      </c>
      <c r="L116" s="83" t="s">
        <v>230</v>
      </c>
      <c r="M116" s="82" t="str">
        <f>IFERROR(__xludf.DUMMYFUNCTION("IFERROR(VLOOKUP(D116,
IMPORTRANGE(""https://docs.google.com/spreadsheets/d/1MjHtlUikwobi2MaWJgy7tfLeBmhj1u-dRFRs_8GwSoA/edit#gid=0"",""Gestores Escolares!D7:J""),3,0),""VERIFICAR CÓD SEC"")"),"TIAGO ALENCAR DE AQUINO ALVES")</f>
        <v>TIAGO ALENCAR DE AQUINO ALVES</v>
      </c>
      <c r="N116" s="82" t="str">
        <f>IFERROR(__xludf.DUMMYFUNCTION("IFERROR(VLOOKUP(D116,
IMPORTRANGE(""https://docs.google.com/spreadsheets/d/1MjHtlUikwobi2MaWJgy7tfLeBmhj1u-dRFRs_8GwSoA/edit#gid=0"",""Gestores Escolares!D7:J""),4,0),""VERIFICAR CÓD SEC"")"),"(77) 9 9127-5623")</f>
        <v>(77) 9 9127-5623</v>
      </c>
      <c r="O116" s="82" t="str">
        <f>IFERROR(__xludf.DUMMYFUNCTION("IFERROR(VLOOKUP(D116,
IMPORTRANGE(""https://docs.google.com/spreadsheets/d/1MjHtlUikwobi2MaWJgy7tfLeBmhj1u-dRFRs_8GwSoA/edit#gid=0"",""Gestores Escolares!D7:J""),6,0),""VERIFICAR CÓD SEC"")"),"MARCIO CLEBER BOMFIM DA SILVA")</f>
        <v>MARCIO CLEBER BOMFIM DA SILVA</v>
      </c>
      <c r="P116" s="82" t="str">
        <f>IFERROR(__xludf.DUMMYFUNCTION("IFERROR(VLOOKUP(D116,
IMPORTRANGE(""https://docs.google.com/spreadsheets/d/1MjHtlUikwobi2MaWJgy7tfLeBmhj1u-dRFRs_8GwSoA/edit#gid=0"",""Gestores Escolares!D7:J""),7,0),""VERIFICAR CÓD SEC"")"),"(77) 9 9129-4886")</f>
        <v>(77) 9 9129-4886</v>
      </c>
      <c r="Q116" s="82" t="str">
        <f>IFERROR(__xludf.DUMMYFUNCTION("IFERROR(VLOOKUP(D116,
IMPORTRANGE(""https://docs.google.com/spreadsheets/d/1MjHtlUikwobi2MaWJgy7tfLeBmhj1u-dRFRs_8GwSoA/edit#gid=0"",""Gestores Escolares!D7:m""),9,0),""VERIFICAR CÓD SEC"")"),"JOSÉ ALONSO GOMES FERREIRA")</f>
        <v>JOSÉ ALONSO GOMES FERREIRA</v>
      </c>
      <c r="R116" s="82" t="str">
        <f>IFERROR(__xludf.DUMMYFUNCTION("IFERROR(VLOOKUP(D116,
IMPORTRANGE(""https://docs.google.com/spreadsheets/d/1MjHtlUikwobi2MaWJgy7tfLeBmhj1u-dRFRs_8GwSoA/edit#gid=0"",""Gestores Escolares!D7:m""),10,0),""VERIFICAR CÓD SEC"")"),"(77) 9 9168-7789")</f>
        <v>(77) 9 9168-7789</v>
      </c>
      <c r="S116" s="82"/>
      <c r="T116" s="138">
        <v>20.0</v>
      </c>
      <c r="U116" s="145" t="s">
        <v>1323</v>
      </c>
      <c r="V116" s="106">
        <v>0.0</v>
      </c>
      <c r="W116" s="107">
        <v>0.0</v>
      </c>
      <c r="X116" s="107">
        <v>0.0</v>
      </c>
      <c r="Y116" s="107">
        <v>0.0</v>
      </c>
      <c r="Z116" s="80">
        <f t="shared" si="1"/>
        <v>0</v>
      </c>
      <c r="AA116" s="106">
        <v>0.0</v>
      </c>
      <c r="AB116" s="107">
        <v>0.0</v>
      </c>
      <c r="AC116" s="107">
        <v>0.0</v>
      </c>
      <c r="AD116" s="107">
        <v>0.0</v>
      </c>
      <c r="AE116" s="80">
        <f t="shared" si="2"/>
        <v>0</v>
      </c>
      <c r="AF116" s="140">
        <v>110.0</v>
      </c>
      <c r="AG116" s="109">
        <v>114.0</v>
      </c>
      <c r="AH116" s="109">
        <v>0.0</v>
      </c>
      <c r="AI116" s="141">
        <v>205.0</v>
      </c>
      <c r="AJ116" s="80">
        <f t="shared" si="3"/>
        <v>429</v>
      </c>
      <c r="AK116" s="140">
        <v>0.0</v>
      </c>
      <c r="AL116" s="109">
        <v>0.0</v>
      </c>
      <c r="AM116" s="141">
        <v>0.0</v>
      </c>
      <c r="AN116" s="80">
        <f t="shared" si="4"/>
        <v>0</v>
      </c>
      <c r="AO116" s="140">
        <v>0.0</v>
      </c>
      <c r="AP116" s="109">
        <v>0.0</v>
      </c>
      <c r="AQ116" s="109">
        <v>44.0</v>
      </c>
      <c r="AR116" s="80">
        <f t="shared" si="5"/>
        <v>44</v>
      </c>
      <c r="AS116" s="110">
        <v>19.0</v>
      </c>
      <c r="AT116" s="110">
        <v>53.0</v>
      </c>
      <c r="AU116" s="110">
        <v>54.0</v>
      </c>
      <c r="AV116" s="142">
        <v>18.0</v>
      </c>
      <c r="AW116" s="80">
        <f t="shared" si="6"/>
        <v>144</v>
      </c>
      <c r="AX116" s="113">
        <f t="shared" si="7"/>
        <v>617</v>
      </c>
      <c r="AY116" s="117">
        <f t="shared" si="8"/>
        <v>519</v>
      </c>
      <c r="AZ116" s="120">
        <f t="shared" si="9"/>
        <v>98</v>
      </c>
      <c r="BA116" s="115">
        <v>0.0</v>
      </c>
      <c r="BB116" s="89">
        <f t="shared" si="10"/>
        <v>617</v>
      </c>
      <c r="BC116" s="132" t="s">
        <v>178</v>
      </c>
      <c r="BD116" s="132" t="s">
        <v>178</v>
      </c>
      <c r="BE116" s="132" t="s">
        <v>178</v>
      </c>
      <c r="BF116" s="123"/>
      <c r="BG116" s="83">
        <v>1131402.0</v>
      </c>
      <c r="BH116" s="98" t="s">
        <v>615</v>
      </c>
      <c r="BI116" s="112">
        <v>16.0</v>
      </c>
      <c r="BJ116" s="98" t="s">
        <v>162</v>
      </c>
      <c r="BK116" s="99">
        <f t="shared" si="11"/>
        <v>223</v>
      </c>
      <c r="BL116" s="99">
        <f t="shared" si="12"/>
        <v>296</v>
      </c>
      <c r="BM116" s="99" t="str">
        <f>IFERROR(__xludf.DUMMYFUNCTION("IFERROR(VLOOKUP(BG116,IMPORTRANGE(""https://docs.google.com/spreadsheets/d/1juPI-Fb8LD0YtltB2mlGEnp_R3UVu1t3wSFPzgCyHXE/edit?gid=0#gid=0"",""GERAL!A2:C""),3,0),""-"")"),"-")</f>
        <v>-</v>
      </c>
    </row>
    <row r="117" ht="15.75" customHeight="1">
      <c r="A117" s="111" t="s">
        <v>205</v>
      </c>
      <c r="B117" s="83" t="s">
        <v>616</v>
      </c>
      <c r="C117" s="83" t="s">
        <v>68</v>
      </c>
      <c r="D117" s="112">
        <v>1178150.0</v>
      </c>
      <c r="E117" s="83"/>
      <c r="F117" s="83">
        <v>2.9437911E7</v>
      </c>
      <c r="G117" s="119" t="s">
        <v>617</v>
      </c>
      <c r="H117" s="108" t="s">
        <v>618</v>
      </c>
      <c r="I117" s="83" t="s">
        <v>149</v>
      </c>
      <c r="J117" s="83" t="s">
        <v>150</v>
      </c>
      <c r="K117" s="83" t="s">
        <v>151</v>
      </c>
      <c r="L117" s="83" t="s">
        <v>76</v>
      </c>
      <c r="M117" s="82" t="str">
        <f>IFERROR(__xludf.DUMMYFUNCTION("IFERROR(VLOOKUP(D117,
IMPORTRANGE(""https://docs.google.com/spreadsheets/d/1MjHtlUikwobi2MaWJgy7tfLeBmhj1u-dRFRs_8GwSoA/edit#gid=0"",""Gestores Escolares!D7:J""),3,0),""VERIFICAR CÓD SEC"")"),"EDESIA APARECIDA LISBOA DE ARAUJO")</f>
        <v>EDESIA APARECIDA LISBOA DE ARAUJO</v>
      </c>
      <c r="N117" s="82" t="str">
        <f>IFERROR(__xludf.DUMMYFUNCTION("IFERROR(VLOOKUP(D117,
IMPORTRANGE(""https://docs.google.com/spreadsheets/d/1MjHtlUikwobi2MaWJgy7tfLeBmhj1u-dRFRs_8GwSoA/edit#gid=0"",""Gestores Escolares!D7:J""),4,0),""VERIFICAR CÓD SEC"")"),"(77) 9 9966-8042")</f>
        <v>(77) 9 9966-8042</v>
      </c>
      <c r="O117" s="82" t="str">
        <f>IFERROR(__xludf.DUMMYFUNCTION("IFERROR(VLOOKUP(D117,
IMPORTRANGE(""https://docs.google.com/spreadsheets/d/1MjHtlUikwobi2MaWJgy7tfLeBmhj1u-dRFRs_8GwSoA/edit#gid=0"",""Gestores Escolares!D7:J""),6,0),""VERIFICAR CÓD SEC"")"),"ANSELMO SILVA DE JESUS SOUZA")</f>
        <v>ANSELMO SILVA DE JESUS SOUZA</v>
      </c>
      <c r="P117" s="82" t="str">
        <f>IFERROR(__xludf.DUMMYFUNCTION("IFERROR(VLOOKUP(D117,
IMPORTRANGE(""https://docs.google.com/spreadsheets/d/1MjHtlUikwobi2MaWJgy7tfLeBmhj1u-dRFRs_8GwSoA/edit#gid=0"",""Gestores Escolares!D7:J""),7,0),""VERIFICAR CÓD SEC"")"),"(77) 9 9202-1889")</f>
        <v>(77) 9 9202-1889</v>
      </c>
      <c r="Q117" s="82" t="str">
        <f>IFERROR(__xludf.DUMMYFUNCTION("IFERROR(VLOOKUP(D117,
IMPORTRANGE(""https://docs.google.com/spreadsheets/d/1MjHtlUikwobi2MaWJgy7tfLeBmhj1u-dRFRs_8GwSoA/edit#gid=0"",""Gestores Escolares!D7:m""),9,0),""VERIFICAR CÓD SEC"")"),"")</f>
        <v/>
      </c>
      <c r="R117" s="82" t="str">
        <f>IFERROR(__xludf.DUMMYFUNCTION("IFERROR(VLOOKUP(D117,
IMPORTRANGE(""https://docs.google.com/spreadsheets/d/1MjHtlUikwobi2MaWJgy7tfLeBmhj1u-dRFRs_8GwSoA/edit#gid=0"",""Gestores Escolares!D7:m""),10,0),""VERIFICAR CÓD SEC"")"),"")</f>
        <v/>
      </c>
      <c r="S117" s="82"/>
      <c r="T117" s="138">
        <v>8.0</v>
      </c>
      <c r="U117" s="145">
        <v>12.0</v>
      </c>
      <c r="V117" s="106">
        <v>0.0</v>
      </c>
      <c r="W117" s="107">
        <v>0.0</v>
      </c>
      <c r="X117" s="107">
        <v>0.0</v>
      </c>
      <c r="Y117" s="107">
        <v>0.0</v>
      </c>
      <c r="Z117" s="80">
        <f t="shared" si="1"/>
        <v>0</v>
      </c>
      <c r="AA117" s="106">
        <v>0.0</v>
      </c>
      <c r="AB117" s="107">
        <v>0.0</v>
      </c>
      <c r="AC117" s="107">
        <v>0.0</v>
      </c>
      <c r="AD117" s="107">
        <v>0.0</v>
      </c>
      <c r="AE117" s="80">
        <f t="shared" si="2"/>
        <v>0</v>
      </c>
      <c r="AF117" s="140">
        <v>0.0</v>
      </c>
      <c r="AG117" s="109">
        <v>112.0</v>
      </c>
      <c r="AH117" s="109">
        <v>0.0</v>
      </c>
      <c r="AI117" s="141">
        <v>140.0</v>
      </c>
      <c r="AJ117" s="80">
        <f t="shared" si="3"/>
        <v>252</v>
      </c>
      <c r="AK117" s="140">
        <v>0.0</v>
      </c>
      <c r="AL117" s="109">
        <v>0.0</v>
      </c>
      <c r="AM117" s="141">
        <v>0.0</v>
      </c>
      <c r="AN117" s="80">
        <f t="shared" si="4"/>
        <v>0</v>
      </c>
      <c r="AO117" s="140">
        <v>0.0</v>
      </c>
      <c r="AP117" s="109">
        <v>0.0</v>
      </c>
      <c r="AQ117" s="109">
        <v>81.0</v>
      </c>
      <c r="AR117" s="80">
        <f t="shared" si="5"/>
        <v>81</v>
      </c>
      <c r="AS117" s="110">
        <v>0.0</v>
      </c>
      <c r="AT117" s="110">
        <v>45.0</v>
      </c>
      <c r="AU117" s="110">
        <v>25.0</v>
      </c>
      <c r="AV117" s="142">
        <v>35.0</v>
      </c>
      <c r="AW117" s="80">
        <f t="shared" si="6"/>
        <v>105</v>
      </c>
      <c r="AX117" s="113">
        <f t="shared" si="7"/>
        <v>438</v>
      </c>
      <c r="AY117" s="117">
        <f t="shared" si="8"/>
        <v>332</v>
      </c>
      <c r="AZ117" s="120">
        <f t="shared" si="9"/>
        <v>106</v>
      </c>
      <c r="BA117" s="115">
        <v>0.0</v>
      </c>
      <c r="BB117" s="89">
        <f t="shared" si="10"/>
        <v>438</v>
      </c>
      <c r="BC117" s="132" t="s">
        <v>178</v>
      </c>
      <c r="BD117" s="132" t="s">
        <v>178</v>
      </c>
      <c r="BE117" s="132" t="s">
        <v>178</v>
      </c>
      <c r="BF117" s="123"/>
      <c r="BG117" s="83">
        <v>1178150.0</v>
      </c>
      <c r="BH117" s="98" t="s">
        <v>619</v>
      </c>
      <c r="BI117" s="112">
        <v>7.0</v>
      </c>
      <c r="BJ117" s="98" t="s">
        <v>162</v>
      </c>
      <c r="BK117" s="99">
        <f t="shared" si="11"/>
        <v>175</v>
      </c>
      <c r="BL117" s="99">
        <f t="shared" si="12"/>
        <v>157</v>
      </c>
      <c r="BM117" s="99" t="str">
        <f>IFERROR(__xludf.DUMMYFUNCTION("IFERROR(VLOOKUP(BG117,IMPORTRANGE(""https://docs.google.com/spreadsheets/d/1juPI-Fb8LD0YtltB2mlGEnp_R3UVu1t3wSFPzgCyHXE/edit?gid=0#gid=0"",""GERAL!A2:C""),3,0),""-"")"),"-")</f>
        <v>-</v>
      </c>
    </row>
    <row r="118" ht="15.75" customHeight="1">
      <c r="A118" s="111" t="s">
        <v>205</v>
      </c>
      <c r="B118" s="83" t="s">
        <v>616</v>
      </c>
      <c r="C118" s="83" t="s">
        <v>164</v>
      </c>
      <c r="D118" s="112">
        <v>1178150.0</v>
      </c>
      <c r="E118" s="83">
        <v>1179017.0</v>
      </c>
      <c r="F118" s="98">
        <v>2.9493226E7</v>
      </c>
      <c r="G118" s="119" t="s">
        <v>621</v>
      </c>
      <c r="H118" s="91" t="s">
        <v>622</v>
      </c>
      <c r="I118" s="172" t="s">
        <v>623</v>
      </c>
      <c r="J118" s="83" t="s">
        <v>187</v>
      </c>
      <c r="K118" s="83" t="s">
        <v>168</v>
      </c>
      <c r="L118" s="83" t="s">
        <v>169</v>
      </c>
      <c r="M118" s="82" t="str">
        <f>IFERROR(__xludf.DUMMYFUNCTION("IFERROR(VLOOKUP(D118,
IMPORTRANGE(""https://docs.google.com/spreadsheets/d/1MjHtlUikwobi2MaWJgy7tfLeBmhj1u-dRFRs_8GwSoA/edit#gid=0"",""Gestores Escolares!D7:J""),3,0),""VERIFICAR CÓD SEC"")"),"EDESIA APARECIDA LISBOA DE ARAUJO")</f>
        <v>EDESIA APARECIDA LISBOA DE ARAUJO</v>
      </c>
      <c r="N118" s="82" t="str">
        <f>IFERROR(__xludf.DUMMYFUNCTION("IFERROR(VLOOKUP(D118,
IMPORTRANGE(""https://docs.google.com/spreadsheets/d/1MjHtlUikwobi2MaWJgy7tfLeBmhj1u-dRFRs_8GwSoA/edit#gid=0"",""Gestores Escolares!D7:J""),4,0),""VERIFICAR CÓD SEC"")"),"(77) 9 9966-8042")</f>
        <v>(77) 9 9966-8042</v>
      </c>
      <c r="O118" s="82" t="str">
        <f>IFERROR(__xludf.DUMMYFUNCTION("IFERROR(VLOOKUP(D118,
IMPORTRANGE(""https://docs.google.com/spreadsheets/d/1MjHtlUikwobi2MaWJgy7tfLeBmhj1u-dRFRs_8GwSoA/edit#gid=0"",""Gestores Escolares!D7:J""),6,0),""VERIFICAR CÓD SEC"")"),"ANSELMO SILVA DE JESUS SOUZA")</f>
        <v>ANSELMO SILVA DE JESUS SOUZA</v>
      </c>
      <c r="P118" s="82" t="str">
        <f>IFERROR(__xludf.DUMMYFUNCTION("IFERROR(VLOOKUP(D118,
IMPORTRANGE(""https://docs.google.com/spreadsheets/d/1MjHtlUikwobi2MaWJgy7tfLeBmhj1u-dRFRs_8GwSoA/edit#gid=0"",""Gestores Escolares!D7:J""),7,0),""VERIFICAR CÓD SEC"")"),"(77) 9 9202-1889")</f>
        <v>(77) 9 9202-1889</v>
      </c>
      <c r="Q118" s="82" t="str">
        <f>IFERROR(__xludf.DUMMYFUNCTION("IFERROR(VLOOKUP(D118,
IMPORTRANGE(""https://docs.google.com/spreadsheets/d/1MjHtlUikwobi2MaWJgy7tfLeBmhj1u-dRFRs_8GwSoA/edit#gid=0"",""Gestores Escolares!D7:m""),9,0),""VERIFICAR CÓD SEC"")"),"")</f>
        <v/>
      </c>
      <c r="R118" s="82" t="str">
        <f>IFERROR(__xludf.DUMMYFUNCTION("IFERROR(VLOOKUP(D118,
IMPORTRANGE(""https://docs.google.com/spreadsheets/d/1MjHtlUikwobi2MaWJgy7tfLeBmhj1u-dRFRs_8GwSoA/edit#gid=0"",""Gestores Escolares!D7:m""),10,0),""VERIFICAR CÓD SEC"")"),"")</f>
        <v/>
      </c>
      <c r="S118" s="82"/>
      <c r="T118" s="138">
        <v>4.0</v>
      </c>
      <c r="U118" s="152">
        <v>4.0</v>
      </c>
      <c r="V118" s="106">
        <v>0.0</v>
      </c>
      <c r="W118" s="107">
        <v>0.0</v>
      </c>
      <c r="X118" s="107">
        <v>0.0</v>
      </c>
      <c r="Y118" s="107">
        <v>0.0</v>
      </c>
      <c r="Z118" s="80">
        <f t="shared" si="1"/>
        <v>0</v>
      </c>
      <c r="AA118" s="106">
        <v>0.0</v>
      </c>
      <c r="AB118" s="107">
        <v>0.0</v>
      </c>
      <c r="AC118" s="107">
        <v>0.0</v>
      </c>
      <c r="AD118" s="107">
        <v>0.0</v>
      </c>
      <c r="AE118" s="80">
        <f t="shared" si="2"/>
        <v>0</v>
      </c>
      <c r="AF118" s="140">
        <v>0.0</v>
      </c>
      <c r="AG118" s="109">
        <v>149.0</v>
      </c>
      <c r="AH118" s="109">
        <v>0.0</v>
      </c>
      <c r="AI118" s="141">
        <v>0.0</v>
      </c>
      <c r="AJ118" s="80">
        <f t="shared" si="3"/>
        <v>149</v>
      </c>
      <c r="AK118" s="140">
        <v>0.0</v>
      </c>
      <c r="AL118" s="109">
        <v>0.0</v>
      </c>
      <c r="AM118" s="141">
        <v>0.0</v>
      </c>
      <c r="AN118" s="80">
        <f t="shared" si="4"/>
        <v>0</v>
      </c>
      <c r="AO118" s="140">
        <v>0.0</v>
      </c>
      <c r="AP118" s="109">
        <v>0.0</v>
      </c>
      <c r="AQ118" s="109">
        <v>47.0</v>
      </c>
      <c r="AR118" s="80">
        <f t="shared" si="5"/>
        <v>47</v>
      </c>
      <c r="AS118" s="110">
        <v>0.0</v>
      </c>
      <c r="AT118" s="110">
        <v>0.0</v>
      </c>
      <c r="AU118" s="110">
        <v>0.0</v>
      </c>
      <c r="AV118" s="142">
        <v>0.0</v>
      </c>
      <c r="AW118" s="80">
        <f t="shared" si="6"/>
        <v>0</v>
      </c>
      <c r="AX118" s="113">
        <f t="shared" si="7"/>
        <v>196</v>
      </c>
      <c r="AY118" s="117">
        <f t="shared" si="8"/>
        <v>149</v>
      </c>
      <c r="AZ118" s="120">
        <f t="shared" si="9"/>
        <v>47</v>
      </c>
      <c r="BA118" s="115">
        <v>0.0</v>
      </c>
      <c r="BB118" s="89">
        <f t="shared" si="10"/>
        <v>196</v>
      </c>
      <c r="BC118" s="132" t="s">
        <v>373</v>
      </c>
      <c r="BD118" s="132" t="s">
        <v>178</v>
      </c>
      <c r="BE118" s="132" t="s">
        <v>178</v>
      </c>
      <c r="BF118" s="123"/>
      <c r="BG118" s="83">
        <v>1179017.0</v>
      </c>
      <c r="BH118" s="144"/>
      <c r="BI118" s="112">
        <v>4.0</v>
      </c>
      <c r="BJ118" s="98" t="s">
        <v>155</v>
      </c>
      <c r="BK118" s="99">
        <f t="shared" si="11"/>
        <v>0</v>
      </c>
      <c r="BL118" s="99">
        <f t="shared" si="12"/>
        <v>149</v>
      </c>
      <c r="BM118" s="99" t="str">
        <f>IFERROR(__xludf.DUMMYFUNCTION("IFERROR(VLOOKUP(BG118,IMPORTRANGE(""https://docs.google.com/spreadsheets/d/1juPI-Fb8LD0YtltB2mlGEnp_R3UVu1t3wSFPzgCyHXE/edit?gid=0#gid=0"",""GERAL!A2:C""),3,0),""-"")"),"CAMPO")</f>
        <v>CAMPO</v>
      </c>
    </row>
    <row r="119" ht="15.75" customHeight="1">
      <c r="A119" s="111" t="s">
        <v>205</v>
      </c>
      <c r="B119" s="83" t="s">
        <v>616</v>
      </c>
      <c r="C119" s="83" t="s">
        <v>164</v>
      </c>
      <c r="D119" s="98">
        <v>1179431.0</v>
      </c>
      <c r="E119" s="83">
        <v>1179019.0</v>
      </c>
      <c r="F119" s="98">
        <v>2.9461499E7</v>
      </c>
      <c r="G119" s="119" t="s">
        <v>624</v>
      </c>
      <c r="H119" s="91" t="s">
        <v>625</v>
      </c>
      <c r="I119" s="172" t="s">
        <v>626</v>
      </c>
      <c r="J119" s="83" t="s">
        <v>508</v>
      </c>
      <c r="K119" s="83" t="s">
        <v>151</v>
      </c>
      <c r="L119" s="83" t="s">
        <v>169</v>
      </c>
      <c r="M119" s="82" t="str">
        <f>IFERROR(__xludf.DUMMYFUNCTION("IFERROR(VLOOKUP(D119,
IMPORTRANGE(""https://docs.google.com/spreadsheets/d/1MjHtlUikwobi2MaWJgy7tfLeBmhj1u-dRFRs_8GwSoA/edit#gid=0"",""Gestores Escolares!D7:J""),3,0),""VERIFICAR CÓD SEC"")"),"NEIDE RAFAEL DE SOUZA ROCHA")</f>
        <v>NEIDE RAFAEL DE SOUZA ROCHA</v>
      </c>
      <c r="N119" s="82" t="str">
        <f>IFERROR(__xludf.DUMMYFUNCTION("IFERROR(VLOOKUP(D119,
IMPORTRANGE(""https://docs.google.com/spreadsheets/d/1MjHtlUikwobi2MaWJgy7tfLeBmhj1u-dRFRs_8GwSoA/edit#gid=0"",""Gestores Escolares!D7:J""),4,0),""VERIFICAR CÓD SEC"")"),"(74) 9 9807-3175")</f>
        <v>(74) 9 9807-3175</v>
      </c>
      <c r="O119" s="82" t="str">
        <f>IFERROR(__xludf.DUMMYFUNCTION("IFERROR(VLOOKUP(D119,
IMPORTRANGE(""https://docs.google.com/spreadsheets/d/1MjHtlUikwobi2MaWJgy7tfLeBmhj1u-dRFRs_8GwSoA/edit#gid=0"",""Gestores Escolares!D7:J""),6,0),""VERIFICAR CÓD SEC"")"),"FRANCISCO DE ARAUJO LEAL")</f>
        <v>FRANCISCO DE ARAUJO LEAL</v>
      </c>
      <c r="P119" s="82" t="str">
        <f>IFERROR(__xludf.DUMMYFUNCTION("IFERROR(VLOOKUP(D119,
IMPORTRANGE(""https://docs.google.com/spreadsheets/d/1MjHtlUikwobi2MaWJgy7tfLeBmhj1u-dRFRs_8GwSoA/edit#gid=0"",""Gestores Escolares!D7:J""),7,0),""VERIFICAR CÓD SEC"")"),"(74) 9 8836-8463")</f>
        <v>(74) 9 8836-8463</v>
      </c>
      <c r="Q119" s="82" t="str">
        <f>IFERROR(__xludf.DUMMYFUNCTION("IFERROR(VLOOKUP(D119,
IMPORTRANGE(""https://docs.google.com/spreadsheets/d/1MjHtlUikwobi2MaWJgy7tfLeBmhj1u-dRFRs_8GwSoA/edit#gid=0"",""Gestores Escolares!D7:m""),9,0),""VERIFICAR CÓD SEC"")"),"CLAUDEMIR CELSO LIMA")</f>
        <v>CLAUDEMIR CELSO LIMA</v>
      </c>
      <c r="R119" s="82" t="str">
        <f>IFERROR(__xludf.DUMMYFUNCTION("IFERROR(VLOOKUP(D119,
IMPORTRANGE(""https://docs.google.com/spreadsheets/d/1MjHtlUikwobi2MaWJgy7tfLeBmhj1u-dRFRs_8GwSoA/edit#gid=0"",""Gestores Escolares!D7:m""),10,0),""VERIFICAR CÓD SEC"")"),"(74) 9 9952-3072")</f>
        <v>(74) 9 9952-3072</v>
      </c>
      <c r="S119" s="82"/>
      <c r="T119" s="138">
        <v>3.0</v>
      </c>
      <c r="U119" s="152">
        <v>4.0</v>
      </c>
      <c r="V119" s="106">
        <v>0.0</v>
      </c>
      <c r="W119" s="107">
        <v>0.0</v>
      </c>
      <c r="X119" s="107">
        <v>0.0</v>
      </c>
      <c r="Y119" s="107">
        <v>0.0</v>
      </c>
      <c r="Z119" s="80">
        <f t="shared" si="1"/>
        <v>0</v>
      </c>
      <c r="AA119" s="106">
        <v>0.0</v>
      </c>
      <c r="AB119" s="107">
        <v>0.0</v>
      </c>
      <c r="AC119" s="107">
        <v>0.0</v>
      </c>
      <c r="AD119" s="107">
        <v>0.0</v>
      </c>
      <c r="AE119" s="80">
        <f t="shared" si="2"/>
        <v>0</v>
      </c>
      <c r="AF119" s="140">
        <v>38.0</v>
      </c>
      <c r="AG119" s="109">
        <v>32.0</v>
      </c>
      <c r="AH119" s="109">
        <v>0.0</v>
      </c>
      <c r="AI119" s="141">
        <v>0.0</v>
      </c>
      <c r="AJ119" s="80">
        <f t="shared" si="3"/>
        <v>70</v>
      </c>
      <c r="AK119" s="140">
        <v>0.0</v>
      </c>
      <c r="AL119" s="109">
        <v>0.0</v>
      </c>
      <c r="AM119" s="141">
        <v>0.0</v>
      </c>
      <c r="AN119" s="80">
        <f t="shared" si="4"/>
        <v>0</v>
      </c>
      <c r="AO119" s="140">
        <v>0.0</v>
      </c>
      <c r="AP119" s="109">
        <v>0.0</v>
      </c>
      <c r="AQ119" s="109">
        <v>0.0</v>
      </c>
      <c r="AR119" s="80">
        <f t="shared" si="5"/>
        <v>0</v>
      </c>
      <c r="AS119" s="110">
        <v>0.0</v>
      </c>
      <c r="AT119" s="110">
        <v>0.0</v>
      </c>
      <c r="AU119" s="110">
        <v>0.0</v>
      </c>
      <c r="AV119" s="142">
        <v>0.0</v>
      </c>
      <c r="AW119" s="80">
        <f t="shared" si="6"/>
        <v>0</v>
      </c>
      <c r="AX119" s="113">
        <f t="shared" si="7"/>
        <v>70</v>
      </c>
      <c r="AY119" s="117">
        <f t="shared" si="8"/>
        <v>70</v>
      </c>
      <c r="AZ119" s="120">
        <f t="shared" si="9"/>
        <v>0</v>
      </c>
      <c r="BA119" s="115">
        <v>0.0</v>
      </c>
      <c r="BB119" s="89">
        <f t="shared" si="10"/>
        <v>70</v>
      </c>
      <c r="BC119" s="132" t="s">
        <v>265</v>
      </c>
      <c r="BD119" s="132" t="s">
        <v>227</v>
      </c>
      <c r="BE119" s="132" t="s">
        <v>178</v>
      </c>
      <c r="BF119" s="123"/>
      <c r="BG119" s="83">
        <v>1179019.0</v>
      </c>
      <c r="BH119" s="144"/>
      <c r="BI119" s="112">
        <v>4.0</v>
      </c>
      <c r="BJ119" s="98" t="s">
        <v>155</v>
      </c>
      <c r="BK119" s="99">
        <f t="shared" si="11"/>
        <v>0</v>
      </c>
      <c r="BL119" s="99">
        <f t="shared" si="12"/>
        <v>70</v>
      </c>
      <c r="BM119" s="99" t="str">
        <f>IFERROR(__xludf.DUMMYFUNCTION("IFERROR(VLOOKUP(BG119,IMPORTRANGE(""https://docs.google.com/spreadsheets/d/1juPI-Fb8LD0YtltB2mlGEnp_R3UVu1t3wSFPzgCyHXE/edit?gid=0#gid=0"",""GERAL!A2:C""),3,0),""-"")"),"QUILOMBOLAS")</f>
        <v>QUILOMBOLAS</v>
      </c>
    </row>
    <row r="120" ht="15.75" customHeight="1">
      <c r="A120" s="111" t="s">
        <v>205</v>
      </c>
      <c r="B120" s="83" t="s">
        <v>627</v>
      </c>
      <c r="C120" s="83" t="s">
        <v>68</v>
      </c>
      <c r="D120" s="112">
        <v>1178100.0</v>
      </c>
      <c r="E120" s="83"/>
      <c r="F120" s="83">
        <v>2.943167E7</v>
      </c>
      <c r="G120" s="153" t="s">
        <v>628</v>
      </c>
      <c r="H120" s="108" t="s">
        <v>629</v>
      </c>
      <c r="I120" s="83" t="s">
        <v>149</v>
      </c>
      <c r="J120" s="83" t="s">
        <v>150</v>
      </c>
      <c r="K120" s="83" t="s">
        <v>151</v>
      </c>
      <c r="L120" s="98" t="s">
        <v>152</v>
      </c>
      <c r="M120" s="82" t="str">
        <f>IFERROR(__xludf.DUMMYFUNCTION("IFERROR(VLOOKUP(D120,
IMPORTRANGE(""https://docs.google.com/spreadsheets/d/1MjHtlUikwobi2MaWJgy7tfLeBmhj1u-dRFRs_8GwSoA/edit#gid=0"",""Gestores Escolares!D7:J""),3,0),""VERIFICAR CÓD SEC"")"),"GILVANE CALDAS LIMA")</f>
        <v>GILVANE CALDAS LIMA</v>
      </c>
      <c r="N120" s="82" t="str">
        <f>IFERROR(__xludf.DUMMYFUNCTION("IFERROR(VLOOKUP(D120,
IMPORTRANGE(""https://docs.google.com/spreadsheets/d/1MjHtlUikwobi2MaWJgy7tfLeBmhj1u-dRFRs_8GwSoA/edit#gid=0"",""Gestores Escolares!D7:J""),4,0),""VERIFICAR CÓD SEC"")"),"(77) 9 9172-6328")</f>
        <v>(77) 9 9172-6328</v>
      </c>
      <c r="O120" s="82" t="str">
        <f>IFERROR(__xludf.DUMMYFUNCTION("IFERROR(VLOOKUP(D120,
IMPORTRANGE(""https://docs.google.com/spreadsheets/d/1MjHtlUikwobi2MaWJgy7tfLeBmhj1u-dRFRs_8GwSoA/edit#gid=0"",""Gestores Escolares!D7:J""),6,0),""VERIFICAR CÓD SEC"")"),"CARLA NUNES PEREIRA DA SILVA")</f>
        <v>CARLA NUNES PEREIRA DA SILVA</v>
      </c>
      <c r="P120" s="82" t="str">
        <f>IFERROR(__xludf.DUMMYFUNCTION("IFERROR(VLOOKUP(D120,
IMPORTRANGE(""https://docs.google.com/spreadsheets/d/1MjHtlUikwobi2MaWJgy7tfLeBmhj1u-dRFRs_8GwSoA/edit#gid=0"",""Gestores Escolares!D7:J""),7,0),""VERIFICAR CÓD SEC"")"),"(77) 9 9961-8994")</f>
        <v>(77) 9 9961-8994</v>
      </c>
      <c r="Q120" s="82" t="str">
        <f>IFERROR(__xludf.DUMMYFUNCTION("IFERROR(VLOOKUP(D120,
IMPORTRANGE(""https://docs.google.com/spreadsheets/d/1MjHtlUikwobi2MaWJgy7tfLeBmhj1u-dRFRs_8GwSoA/edit#gid=0"",""Gestores Escolares!D7:m""),9,0),""VERIFICAR CÓD SEC"")"),"")</f>
        <v/>
      </c>
      <c r="R120" s="82" t="str">
        <f>IFERROR(__xludf.DUMMYFUNCTION("IFERROR(VLOOKUP(D120,
IMPORTRANGE(""https://docs.google.com/spreadsheets/d/1MjHtlUikwobi2MaWJgy7tfLeBmhj1u-dRFRs_8GwSoA/edit#gid=0"",""Gestores Escolares!D7:m""),10,0),""VERIFICAR CÓD SEC"")"),"")</f>
        <v/>
      </c>
      <c r="S120" s="82"/>
      <c r="T120" s="138">
        <v>10.0</v>
      </c>
      <c r="U120" s="145">
        <v>12.0</v>
      </c>
      <c r="V120" s="106">
        <v>0.0</v>
      </c>
      <c r="W120" s="107">
        <v>0.0</v>
      </c>
      <c r="X120" s="107">
        <v>0.0</v>
      </c>
      <c r="Y120" s="107">
        <v>0.0</v>
      </c>
      <c r="Z120" s="80">
        <f t="shared" si="1"/>
        <v>0</v>
      </c>
      <c r="AA120" s="106">
        <v>0.0</v>
      </c>
      <c r="AB120" s="107">
        <v>0.0</v>
      </c>
      <c r="AC120" s="107">
        <v>0.0</v>
      </c>
      <c r="AD120" s="107">
        <v>0.0</v>
      </c>
      <c r="AE120" s="80">
        <f t="shared" si="2"/>
        <v>0</v>
      </c>
      <c r="AF120" s="140">
        <v>140.0</v>
      </c>
      <c r="AG120" s="109">
        <v>114.0</v>
      </c>
      <c r="AH120" s="109">
        <v>0.0</v>
      </c>
      <c r="AI120" s="141">
        <v>83.0</v>
      </c>
      <c r="AJ120" s="80">
        <f t="shared" si="3"/>
        <v>337</v>
      </c>
      <c r="AK120" s="140">
        <v>0.0</v>
      </c>
      <c r="AL120" s="109">
        <v>0.0</v>
      </c>
      <c r="AM120" s="141">
        <v>0.0</v>
      </c>
      <c r="AN120" s="80">
        <f t="shared" si="4"/>
        <v>0</v>
      </c>
      <c r="AO120" s="140">
        <v>0.0</v>
      </c>
      <c r="AP120" s="109">
        <v>0.0</v>
      </c>
      <c r="AQ120" s="109">
        <v>61.0</v>
      </c>
      <c r="AR120" s="80">
        <f t="shared" si="5"/>
        <v>61</v>
      </c>
      <c r="AS120" s="110">
        <v>0.0</v>
      </c>
      <c r="AT120" s="110">
        <v>0.0</v>
      </c>
      <c r="AU120" s="110">
        <v>8.0</v>
      </c>
      <c r="AV120" s="142">
        <v>66.0</v>
      </c>
      <c r="AW120" s="80">
        <f t="shared" si="6"/>
        <v>74</v>
      </c>
      <c r="AX120" s="113">
        <f t="shared" si="7"/>
        <v>472</v>
      </c>
      <c r="AY120" s="117">
        <f t="shared" si="8"/>
        <v>403</v>
      </c>
      <c r="AZ120" s="120">
        <f t="shared" si="9"/>
        <v>69</v>
      </c>
      <c r="BA120" s="115">
        <v>0.0</v>
      </c>
      <c r="BB120" s="89">
        <f t="shared" si="10"/>
        <v>472</v>
      </c>
      <c r="BC120" s="132" t="s">
        <v>178</v>
      </c>
      <c r="BD120" s="132" t="s">
        <v>178</v>
      </c>
      <c r="BE120" s="132" t="s">
        <v>178</v>
      </c>
      <c r="BF120" s="123"/>
      <c r="BG120" s="83">
        <v>1178100.0</v>
      </c>
      <c r="BH120" s="98" t="s">
        <v>630</v>
      </c>
      <c r="BI120" s="112">
        <v>8.0</v>
      </c>
      <c r="BJ120" s="98" t="s">
        <v>162</v>
      </c>
      <c r="BK120" s="99">
        <f t="shared" si="11"/>
        <v>149</v>
      </c>
      <c r="BL120" s="99">
        <f t="shared" si="12"/>
        <v>254</v>
      </c>
      <c r="BM120" s="99" t="str">
        <f>IFERROR(__xludf.DUMMYFUNCTION("IFERROR(VLOOKUP(BG120,IMPORTRANGE(""https://docs.google.com/spreadsheets/d/1juPI-Fb8LD0YtltB2mlGEnp_R3UVu1t3wSFPzgCyHXE/edit?gid=0#gid=0"",""GERAL!A2:C""),3,0),""-"")"),"-")</f>
        <v>-</v>
      </c>
    </row>
    <row r="121" ht="38.25" customHeight="1">
      <c r="A121" s="111" t="s">
        <v>205</v>
      </c>
      <c r="B121" s="83" t="s">
        <v>633</v>
      </c>
      <c r="C121" s="83" t="s">
        <v>68</v>
      </c>
      <c r="D121" s="112">
        <v>1178021.0</v>
      </c>
      <c r="E121" s="83"/>
      <c r="F121" s="83">
        <v>2.9430259E7</v>
      </c>
      <c r="G121" s="119" t="s">
        <v>634</v>
      </c>
      <c r="H121" s="91" t="s">
        <v>635</v>
      </c>
      <c r="I121" s="83" t="s">
        <v>149</v>
      </c>
      <c r="J121" s="83" t="s">
        <v>150</v>
      </c>
      <c r="K121" s="83" t="s">
        <v>151</v>
      </c>
      <c r="L121" s="98" t="s">
        <v>76</v>
      </c>
      <c r="M121" s="82" t="str">
        <f>IFERROR(__xludf.DUMMYFUNCTION("IFERROR(VLOOKUP(D121,
IMPORTRANGE(""https://docs.google.com/spreadsheets/d/1MjHtlUikwobi2MaWJgy7tfLeBmhj1u-dRFRs_8GwSoA/edit#gid=0"",""Gestores Escolares!D7:J""),3,0),""VERIFICAR CÓD SEC"")"),"MATIAS SOUZA SODRÉ")</f>
        <v>MATIAS SOUZA SODRÉ</v>
      </c>
      <c r="N121" s="82" t="str">
        <f>IFERROR(__xludf.DUMMYFUNCTION("IFERROR(VLOOKUP(D121,
IMPORTRANGE(""https://docs.google.com/spreadsheets/d/1MjHtlUikwobi2MaWJgy7tfLeBmhj1u-dRFRs_8GwSoA/edit#gid=0"",""Gestores Escolares!D7:J""),4,0),""VERIFICAR CÓD SEC"")"),"(77) 9 9933-5526")</f>
        <v>(77) 9 9933-5526</v>
      </c>
      <c r="O121" s="82" t="str">
        <f>IFERROR(__xludf.DUMMYFUNCTION("IFERROR(VLOOKUP(D121,
IMPORTRANGE(""https://docs.google.com/spreadsheets/d/1MjHtlUikwobi2MaWJgy7tfLeBmhj1u-dRFRs_8GwSoA/edit#gid=0"",""Gestores Escolares!D7:J""),6,0),""VERIFICAR CÓD SEC"")"),"SABRINA DA CONCEIÇAO FRANCO RODRIGUES")</f>
        <v>SABRINA DA CONCEIÇAO FRANCO RODRIGUES</v>
      </c>
      <c r="P121" s="82" t="str">
        <f>IFERROR(__xludf.DUMMYFUNCTION("IFERROR(VLOOKUP(D121,
IMPORTRANGE(""https://docs.google.com/spreadsheets/d/1MjHtlUikwobi2MaWJgy7tfLeBmhj1u-dRFRs_8GwSoA/edit#gid=0"",""Gestores Escolares!D7:J""),7,0),""VERIFICAR CÓD SEC"")"),"(77) 9 9942-7135")</f>
        <v>(77) 9 9942-7135</v>
      </c>
      <c r="Q121" s="82" t="str">
        <f>IFERROR(__xludf.DUMMYFUNCTION("IFERROR(VLOOKUP(D121,
IMPORTRANGE(""https://docs.google.com/spreadsheets/d/1MjHtlUikwobi2MaWJgy7tfLeBmhj1u-dRFRs_8GwSoA/edit#gid=0"",""Gestores Escolares!D7:m""),9,0),""VERIFICAR CÓD SEC"")"),"")</f>
        <v/>
      </c>
      <c r="R121" s="82" t="str">
        <f>IFERROR(__xludf.DUMMYFUNCTION("IFERROR(VLOOKUP(D121,
IMPORTRANGE(""https://docs.google.com/spreadsheets/d/1MjHtlUikwobi2MaWJgy7tfLeBmhj1u-dRFRs_8GwSoA/edit#gid=0"",""Gestores Escolares!D7:m""),10,0),""VERIFICAR CÓD SEC"")"),"")</f>
        <v/>
      </c>
      <c r="S121" s="82"/>
      <c r="T121" s="138">
        <v>7.0</v>
      </c>
      <c r="U121" s="139">
        <v>6.0</v>
      </c>
      <c r="V121" s="106">
        <v>0.0</v>
      </c>
      <c r="W121" s="107">
        <v>0.0</v>
      </c>
      <c r="X121" s="107">
        <v>0.0</v>
      </c>
      <c r="Y121" s="107">
        <v>0.0</v>
      </c>
      <c r="Z121" s="80">
        <f t="shared" si="1"/>
        <v>0</v>
      </c>
      <c r="AA121" s="106">
        <v>0.0</v>
      </c>
      <c r="AB121" s="107">
        <v>0.0</v>
      </c>
      <c r="AC121" s="107">
        <v>0.0</v>
      </c>
      <c r="AD121" s="107">
        <v>0.0</v>
      </c>
      <c r="AE121" s="80">
        <f t="shared" si="2"/>
        <v>0</v>
      </c>
      <c r="AF121" s="140">
        <v>0.0</v>
      </c>
      <c r="AG121" s="109">
        <v>0.0</v>
      </c>
      <c r="AH121" s="109">
        <v>0.0</v>
      </c>
      <c r="AI121" s="141">
        <v>99.0</v>
      </c>
      <c r="AJ121" s="80">
        <f t="shared" si="3"/>
        <v>99</v>
      </c>
      <c r="AK121" s="140">
        <v>0.0</v>
      </c>
      <c r="AL121" s="109">
        <v>0.0</v>
      </c>
      <c r="AM121" s="141">
        <v>0.0</v>
      </c>
      <c r="AN121" s="80">
        <f t="shared" si="4"/>
        <v>0</v>
      </c>
      <c r="AO121" s="140">
        <v>0.0</v>
      </c>
      <c r="AP121" s="109">
        <v>0.0</v>
      </c>
      <c r="AQ121" s="109">
        <v>64.0</v>
      </c>
      <c r="AR121" s="80">
        <f t="shared" si="5"/>
        <v>64</v>
      </c>
      <c r="AS121" s="110">
        <v>57.0</v>
      </c>
      <c r="AT121" s="110">
        <v>27.0</v>
      </c>
      <c r="AU121" s="110">
        <v>0.0</v>
      </c>
      <c r="AV121" s="142">
        <v>32.0</v>
      </c>
      <c r="AW121" s="80">
        <f t="shared" si="6"/>
        <v>116</v>
      </c>
      <c r="AX121" s="113">
        <f t="shared" si="7"/>
        <v>279</v>
      </c>
      <c r="AY121" s="117">
        <f t="shared" si="8"/>
        <v>215</v>
      </c>
      <c r="AZ121" s="120">
        <f t="shared" si="9"/>
        <v>64</v>
      </c>
      <c r="BA121" s="115">
        <v>0.0</v>
      </c>
      <c r="BB121" s="89">
        <f t="shared" si="10"/>
        <v>279</v>
      </c>
      <c r="BC121" s="132" t="s">
        <v>178</v>
      </c>
      <c r="BD121" s="132" t="s">
        <v>178</v>
      </c>
      <c r="BE121" s="132" t="s">
        <v>178</v>
      </c>
      <c r="BF121" s="123"/>
      <c r="BG121" s="83">
        <v>1178021.0</v>
      </c>
      <c r="BH121" s="98" t="s">
        <v>636</v>
      </c>
      <c r="BI121" s="112">
        <v>6.0</v>
      </c>
      <c r="BJ121" s="98" t="s">
        <v>284</v>
      </c>
      <c r="BK121" s="99">
        <f t="shared" si="11"/>
        <v>131</v>
      </c>
      <c r="BL121" s="99">
        <f t="shared" si="12"/>
        <v>84</v>
      </c>
      <c r="BM121" s="99" t="str">
        <f>IFERROR(__xludf.DUMMYFUNCTION("IFERROR(VLOOKUP(BG121,IMPORTRANGE(""https://docs.google.com/spreadsheets/d/1juPI-Fb8LD0YtltB2mlGEnp_R3UVu1t3wSFPzgCyHXE/edit?gid=0#gid=0"",""GERAL!A2:C""),3,0),""-"")"),"-")</f>
        <v>-</v>
      </c>
    </row>
    <row r="122" ht="15.75" customHeight="1">
      <c r="A122" s="111" t="s">
        <v>205</v>
      </c>
      <c r="B122" s="83" t="s">
        <v>633</v>
      </c>
      <c r="C122" s="83" t="s">
        <v>164</v>
      </c>
      <c r="D122" s="112">
        <v>1179431.0</v>
      </c>
      <c r="E122" s="83">
        <v>1179319.0</v>
      </c>
      <c r="F122" s="98">
        <v>2.9461499E7</v>
      </c>
      <c r="G122" s="114" t="s">
        <v>639</v>
      </c>
      <c r="H122" s="91" t="s">
        <v>640</v>
      </c>
      <c r="I122" s="136" t="s">
        <v>149</v>
      </c>
      <c r="J122" s="83" t="s">
        <v>641</v>
      </c>
      <c r="K122" s="83" t="s">
        <v>168</v>
      </c>
      <c r="L122" s="83" t="s">
        <v>169</v>
      </c>
      <c r="M122" s="82" t="str">
        <f>IFERROR(__xludf.DUMMYFUNCTION("IFERROR(VLOOKUP(D122,
IMPORTRANGE(""https://docs.google.com/spreadsheets/d/1MjHtlUikwobi2MaWJgy7tfLeBmhj1u-dRFRs_8GwSoA/edit#gid=0"",""Gestores Escolares!D7:J""),3,0),""VERIFICAR CÓD SEC"")"),"NEIDE RAFAEL DE SOUZA ROCHA")</f>
        <v>NEIDE RAFAEL DE SOUZA ROCHA</v>
      </c>
      <c r="N122" s="82" t="str">
        <f>IFERROR(__xludf.DUMMYFUNCTION("IFERROR(VLOOKUP(D122,
IMPORTRANGE(""https://docs.google.com/spreadsheets/d/1MjHtlUikwobi2MaWJgy7tfLeBmhj1u-dRFRs_8GwSoA/edit#gid=0"",""Gestores Escolares!D7:J""),4,0),""VERIFICAR CÓD SEC"")"),"(74) 9 9807-3175")</f>
        <v>(74) 9 9807-3175</v>
      </c>
      <c r="O122" s="82" t="str">
        <f>IFERROR(__xludf.DUMMYFUNCTION("IFERROR(VLOOKUP(D122,
IMPORTRANGE(""https://docs.google.com/spreadsheets/d/1MjHtlUikwobi2MaWJgy7tfLeBmhj1u-dRFRs_8GwSoA/edit#gid=0"",""Gestores Escolares!D7:J""),6,0),""VERIFICAR CÓD SEC"")"),"FRANCISCO DE ARAUJO LEAL")</f>
        <v>FRANCISCO DE ARAUJO LEAL</v>
      </c>
      <c r="P122" s="82" t="str">
        <f>IFERROR(__xludf.DUMMYFUNCTION("IFERROR(VLOOKUP(D122,
IMPORTRANGE(""https://docs.google.com/spreadsheets/d/1MjHtlUikwobi2MaWJgy7tfLeBmhj1u-dRFRs_8GwSoA/edit#gid=0"",""Gestores Escolares!D7:J""),7,0),""VERIFICAR CÓD SEC"")"),"(74) 9 8836-8463")</f>
        <v>(74) 9 8836-8463</v>
      </c>
      <c r="Q122" s="82" t="str">
        <f>IFERROR(__xludf.DUMMYFUNCTION("IFERROR(VLOOKUP(D122,
IMPORTRANGE(""https://docs.google.com/spreadsheets/d/1MjHtlUikwobi2MaWJgy7tfLeBmhj1u-dRFRs_8GwSoA/edit#gid=0"",""Gestores Escolares!D7:m""),9,0),""VERIFICAR CÓD SEC"")"),"CLAUDEMIR CELSO LIMA")</f>
        <v>CLAUDEMIR CELSO LIMA</v>
      </c>
      <c r="R122" s="82" t="str">
        <f>IFERROR(__xludf.DUMMYFUNCTION("IFERROR(VLOOKUP(D122,
IMPORTRANGE(""https://docs.google.com/spreadsheets/d/1MjHtlUikwobi2MaWJgy7tfLeBmhj1u-dRFRs_8GwSoA/edit#gid=0"",""Gestores Escolares!D7:m""),10,0),""VERIFICAR CÓD SEC"")"),"(74) 9 9952-3072")</f>
        <v>(74) 9 9952-3072</v>
      </c>
      <c r="S122" s="82"/>
      <c r="T122" s="138">
        <v>3.0</v>
      </c>
      <c r="U122" s="139">
        <v>3.0</v>
      </c>
      <c r="V122" s="106">
        <v>0.0</v>
      </c>
      <c r="W122" s="107">
        <v>0.0</v>
      </c>
      <c r="X122" s="107">
        <v>0.0</v>
      </c>
      <c r="Y122" s="107">
        <v>0.0</v>
      </c>
      <c r="Z122" s="80">
        <f t="shared" si="1"/>
        <v>0</v>
      </c>
      <c r="AA122" s="106">
        <v>0.0</v>
      </c>
      <c r="AB122" s="107">
        <v>0.0</v>
      </c>
      <c r="AC122" s="107">
        <v>0.0</v>
      </c>
      <c r="AD122" s="107">
        <v>0.0</v>
      </c>
      <c r="AE122" s="80">
        <f t="shared" si="2"/>
        <v>0</v>
      </c>
      <c r="AF122" s="140">
        <v>0.0</v>
      </c>
      <c r="AG122" s="109">
        <v>0.0</v>
      </c>
      <c r="AH122" s="109">
        <v>43.0</v>
      </c>
      <c r="AI122" s="141">
        <v>0.0</v>
      </c>
      <c r="AJ122" s="80">
        <f t="shared" si="3"/>
        <v>43</v>
      </c>
      <c r="AK122" s="140">
        <v>0.0</v>
      </c>
      <c r="AL122" s="109">
        <v>0.0</v>
      </c>
      <c r="AM122" s="141">
        <v>0.0</v>
      </c>
      <c r="AN122" s="80">
        <f t="shared" si="4"/>
        <v>0</v>
      </c>
      <c r="AO122" s="140">
        <v>0.0</v>
      </c>
      <c r="AP122" s="109">
        <v>0.0</v>
      </c>
      <c r="AQ122" s="109">
        <v>0.0</v>
      </c>
      <c r="AR122" s="80">
        <f t="shared" si="5"/>
        <v>0</v>
      </c>
      <c r="AS122" s="110">
        <v>0.0</v>
      </c>
      <c r="AT122" s="110">
        <v>0.0</v>
      </c>
      <c r="AU122" s="110">
        <v>0.0</v>
      </c>
      <c r="AV122" s="142">
        <v>0.0</v>
      </c>
      <c r="AW122" s="80">
        <f t="shared" si="6"/>
        <v>0</v>
      </c>
      <c r="AX122" s="113">
        <f t="shared" si="7"/>
        <v>43</v>
      </c>
      <c r="AY122" s="117">
        <f t="shared" si="8"/>
        <v>0</v>
      </c>
      <c r="AZ122" s="120">
        <f t="shared" si="9"/>
        <v>43</v>
      </c>
      <c r="BA122" s="115">
        <v>0.0</v>
      </c>
      <c r="BB122" s="89">
        <f t="shared" si="10"/>
        <v>43</v>
      </c>
      <c r="BC122" s="132" t="s">
        <v>178</v>
      </c>
      <c r="BD122" s="143" t="s">
        <v>227</v>
      </c>
      <c r="BE122" s="132" t="s">
        <v>178</v>
      </c>
      <c r="BF122" s="156"/>
      <c r="BG122" s="83">
        <v>1179319.0</v>
      </c>
      <c r="BH122" s="144"/>
      <c r="BI122" s="112">
        <v>3.0</v>
      </c>
      <c r="BJ122" s="98" t="s">
        <v>155</v>
      </c>
      <c r="BK122" s="99">
        <f t="shared" si="11"/>
        <v>0</v>
      </c>
      <c r="BL122" s="99">
        <f t="shared" si="12"/>
        <v>0</v>
      </c>
      <c r="BM122" s="99" t="str">
        <f>IFERROR(__xludf.DUMMYFUNCTION("IFERROR(VLOOKUP(BG122,IMPORTRANGE(""https://docs.google.com/spreadsheets/d/1juPI-Fb8LD0YtltB2mlGEnp_R3UVu1t3wSFPzgCyHXE/edit?gid=0#gid=0"",""GERAL!A2:C""),3,0),""-"")"),"-")</f>
        <v>-</v>
      </c>
    </row>
    <row r="123" ht="15.75" customHeight="1">
      <c r="A123" s="111" t="s">
        <v>205</v>
      </c>
      <c r="B123" s="83" t="s">
        <v>633</v>
      </c>
      <c r="C123" s="83" t="s">
        <v>164</v>
      </c>
      <c r="D123" s="112">
        <v>1179431.0</v>
      </c>
      <c r="E123" s="83">
        <v>1178831.0</v>
      </c>
      <c r="F123" s="98">
        <v>2.9461499E7</v>
      </c>
      <c r="G123" s="114" t="s">
        <v>642</v>
      </c>
      <c r="H123" s="91" t="s">
        <v>643</v>
      </c>
      <c r="I123" s="136" t="s">
        <v>149</v>
      </c>
      <c r="J123" s="83" t="s">
        <v>331</v>
      </c>
      <c r="K123" s="83" t="s">
        <v>168</v>
      </c>
      <c r="L123" s="83" t="s">
        <v>169</v>
      </c>
      <c r="M123" s="82" t="str">
        <f>IFERROR(__xludf.DUMMYFUNCTION("IFERROR(VLOOKUP(D123,
IMPORTRANGE(""https://docs.google.com/spreadsheets/d/1MjHtlUikwobi2MaWJgy7tfLeBmhj1u-dRFRs_8GwSoA/edit#gid=0"",""Gestores Escolares!D7:J""),3,0),""VERIFICAR CÓD SEC"")"),"NEIDE RAFAEL DE SOUZA ROCHA")</f>
        <v>NEIDE RAFAEL DE SOUZA ROCHA</v>
      </c>
      <c r="N123" s="82" t="str">
        <f>IFERROR(__xludf.DUMMYFUNCTION("IFERROR(VLOOKUP(D123,
IMPORTRANGE(""https://docs.google.com/spreadsheets/d/1MjHtlUikwobi2MaWJgy7tfLeBmhj1u-dRFRs_8GwSoA/edit#gid=0"",""Gestores Escolares!D7:J""),4,0),""VERIFICAR CÓD SEC"")"),"(74) 9 9807-3175")</f>
        <v>(74) 9 9807-3175</v>
      </c>
      <c r="O123" s="82" t="str">
        <f>IFERROR(__xludf.DUMMYFUNCTION("IFERROR(VLOOKUP(D123,
IMPORTRANGE(""https://docs.google.com/spreadsheets/d/1MjHtlUikwobi2MaWJgy7tfLeBmhj1u-dRFRs_8GwSoA/edit#gid=0"",""Gestores Escolares!D7:J""),6,0),""VERIFICAR CÓD SEC"")"),"FRANCISCO DE ARAUJO LEAL")</f>
        <v>FRANCISCO DE ARAUJO LEAL</v>
      </c>
      <c r="P123" s="82" t="str">
        <f>IFERROR(__xludf.DUMMYFUNCTION("IFERROR(VLOOKUP(D123,
IMPORTRANGE(""https://docs.google.com/spreadsheets/d/1MjHtlUikwobi2MaWJgy7tfLeBmhj1u-dRFRs_8GwSoA/edit#gid=0"",""Gestores Escolares!D7:J""),7,0),""VERIFICAR CÓD SEC"")"),"(74) 9 8836-8463")</f>
        <v>(74) 9 8836-8463</v>
      </c>
      <c r="Q123" s="82" t="str">
        <f>IFERROR(__xludf.DUMMYFUNCTION("IFERROR(VLOOKUP(D123,
IMPORTRANGE(""https://docs.google.com/spreadsheets/d/1MjHtlUikwobi2MaWJgy7tfLeBmhj1u-dRFRs_8GwSoA/edit#gid=0"",""Gestores Escolares!D7:m""),9,0),""VERIFICAR CÓD SEC"")"),"CLAUDEMIR CELSO LIMA")</f>
        <v>CLAUDEMIR CELSO LIMA</v>
      </c>
      <c r="R123" s="82" t="str">
        <f>IFERROR(__xludf.DUMMYFUNCTION("IFERROR(VLOOKUP(D123,
IMPORTRANGE(""https://docs.google.com/spreadsheets/d/1MjHtlUikwobi2MaWJgy7tfLeBmhj1u-dRFRs_8GwSoA/edit#gid=0"",""Gestores Escolares!D7:m""),10,0),""VERIFICAR CÓD SEC"")"),"(74) 9 9952-3072")</f>
        <v>(74) 9 9952-3072</v>
      </c>
      <c r="S123" s="82"/>
      <c r="T123" s="138">
        <v>3.0</v>
      </c>
      <c r="U123" s="139">
        <v>3.0</v>
      </c>
      <c r="V123" s="106">
        <v>0.0</v>
      </c>
      <c r="W123" s="107">
        <v>0.0</v>
      </c>
      <c r="X123" s="107">
        <v>0.0</v>
      </c>
      <c r="Y123" s="107">
        <v>0.0</v>
      </c>
      <c r="Z123" s="80">
        <f t="shared" si="1"/>
        <v>0</v>
      </c>
      <c r="AA123" s="106">
        <v>0.0</v>
      </c>
      <c r="AB123" s="107">
        <v>0.0</v>
      </c>
      <c r="AC123" s="107">
        <v>0.0</v>
      </c>
      <c r="AD123" s="107">
        <v>0.0</v>
      </c>
      <c r="AE123" s="80">
        <f t="shared" si="2"/>
        <v>0</v>
      </c>
      <c r="AF123" s="140">
        <v>0.0</v>
      </c>
      <c r="AG123" s="109">
        <v>0.0</v>
      </c>
      <c r="AH123" s="109">
        <v>56.0</v>
      </c>
      <c r="AI123" s="141">
        <v>0.0</v>
      </c>
      <c r="AJ123" s="80">
        <f t="shared" si="3"/>
        <v>56</v>
      </c>
      <c r="AK123" s="140">
        <v>0.0</v>
      </c>
      <c r="AL123" s="109">
        <v>0.0</v>
      </c>
      <c r="AM123" s="141">
        <v>0.0</v>
      </c>
      <c r="AN123" s="80">
        <f t="shared" si="4"/>
        <v>0</v>
      </c>
      <c r="AO123" s="140">
        <v>0.0</v>
      </c>
      <c r="AP123" s="109">
        <v>0.0</v>
      </c>
      <c r="AQ123" s="109">
        <v>0.0</v>
      </c>
      <c r="AR123" s="80">
        <f t="shared" si="5"/>
        <v>0</v>
      </c>
      <c r="AS123" s="110">
        <v>0.0</v>
      </c>
      <c r="AT123" s="110">
        <v>0.0</v>
      </c>
      <c r="AU123" s="110">
        <v>0.0</v>
      </c>
      <c r="AV123" s="142">
        <v>0.0</v>
      </c>
      <c r="AW123" s="80">
        <f t="shared" si="6"/>
        <v>0</v>
      </c>
      <c r="AX123" s="113">
        <f t="shared" si="7"/>
        <v>56</v>
      </c>
      <c r="AY123" s="117">
        <f t="shared" si="8"/>
        <v>0</v>
      </c>
      <c r="AZ123" s="120">
        <f t="shared" si="9"/>
        <v>56</v>
      </c>
      <c r="BA123" s="115">
        <v>0.0</v>
      </c>
      <c r="BB123" s="89">
        <f t="shared" si="10"/>
        <v>56</v>
      </c>
      <c r="BC123" s="132" t="s">
        <v>178</v>
      </c>
      <c r="BD123" s="143" t="s">
        <v>227</v>
      </c>
      <c r="BE123" s="132" t="s">
        <v>178</v>
      </c>
      <c r="BF123" s="123"/>
      <c r="BG123" s="83">
        <v>1178831.0</v>
      </c>
      <c r="BH123" s="144"/>
      <c r="BI123" s="112">
        <v>3.0</v>
      </c>
      <c r="BJ123" s="98" t="s">
        <v>155</v>
      </c>
      <c r="BK123" s="99">
        <f t="shared" si="11"/>
        <v>0</v>
      </c>
      <c r="BL123" s="99">
        <f t="shared" si="12"/>
        <v>0</v>
      </c>
      <c r="BM123" s="99" t="str">
        <f>IFERROR(__xludf.DUMMYFUNCTION("IFERROR(VLOOKUP(BG123,IMPORTRANGE(""https://docs.google.com/spreadsheets/d/1juPI-Fb8LD0YtltB2mlGEnp_R3UVu1t3wSFPzgCyHXE/edit?gid=0#gid=0"",""GERAL!A2:C""),3,0),""-"")"),"-")</f>
        <v>-</v>
      </c>
    </row>
    <row r="124" ht="15.75" customHeight="1">
      <c r="A124" s="111" t="s">
        <v>205</v>
      </c>
      <c r="B124" s="98" t="s">
        <v>644</v>
      </c>
      <c r="C124" s="83" t="s">
        <v>68</v>
      </c>
      <c r="D124" s="112">
        <v>1179304.0</v>
      </c>
      <c r="E124" s="83"/>
      <c r="F124" s="83">
        <v>2.9460794E7</v>
      </c>
      <c r="G124" s="114" t="s">
        <v>645</v>
      </c>
      <c r="H124" s="91" t="s">
        <v>646</v>
      </c>
      <c r="I124" s="83" t="s">
        <v>647</v>
      </c>
      <c r="J124" s="83" t="s">
        <v>187</v>
      </c>
      <c r="K124" s="83" t="s">
        <v>151</v>
      </c>
      <c r="L124" s="83" t="s">
        <v>169</v>
      </c>
      <c r="M124" s="82" t="str">
        <f>IFERROR(__xludf.DUMMYFUNCTION("IFERROR(VLOOKUP(D124,
IMPORTRANGE(""https://docs.google.com/spreadsheets/d/1MjHtlUikwobi2MaWJgy7tfLeBmhj1u-dRFRs_8GwSoA/edit#gid=0"",""Gestores Escolares!D7:J""),3,0),""VERIFICAR CÓD SEC"")"),"ADRIELLY DE OLIVEIRA BARROS")</f>
        <v>ADRIELLY DE OLIVEIRA BARROS</v>
      </c>
      <c r="N124" s="82" t="str">
        <f>IFERROR(__xludf.DUMMYFUNCTION("IFERROR(VLOOKUP(D124,
IMPORTRANGE(""https://docs.google.com/spreadsheets/d/1MjHtlUikwobi2MaWJgy7tfLeBmhj1u-dRFRs_8GwSoA/edit#gid=0"",""Gestores Escolares!D7:J""),4,0),""VERIFICAR CÓD SEC"")"),"(77) 9 9819-8829/ 9 9847-5553")</f>
        <v>(77) 9 9819-8829/ 9 9847-5553</v>
      </c>
      <c r="O124" s="82" t="str">
        <f>IFERROR(__xludf.DUMMYFUNCTION("IFERROR(VLOOKUP(D124,
IMPORTRANGE(""https://docs.google.com/spreadsheets/d/1MjHtlUikwobi2MaWJgy7tfLeBmhj1u-dRFRs_8GwSoA/edit#gid=0"",""Gestores Escolares!D7:J""),6,0),""VERIFICAR CÓD SEC"")"),"JOSÉ LUIZ SANTANA - COORDENADOR INDIGENA DO TERRITÓRIO (77) 9 8863-5012")</f>
        <v>JOSÉ LUIZ SANTANA - COORDENADOR INDIGENA DO TERRITÓRIO (77) 9 8863-5012</v>
      </c>
      <c r="P124" s="82" t="str">
        <f>IFERROR(__xludf.DUMMYFUNCTION("IFERROR(VLOOKUP(D124,
IMPORTRANGE(""https://docs.google.com/spreadsheets/d/1MjHtlUikwobi2MaWJgy7tfLeBmhj1u-dRFRs_8GwSoA/edit#gid=0"",""Gestores Escolares!D7:J""),7,0),""VERIFICAR CÓD SEC"")"),"")</f>
        <v/>
      </c>
      <c r="Q124" s="82" t="str">
        <f>IFERROR(__xludf.DUMMYFUNCTION("IFERROR(VLOOKUP(D124,
IMPORTRANGE(""https://docs.google.com/spreadsheets/d/1MjHtlUikwobi2MaWJgy7tfLeBmhj1u-dRFRs_8GwSoA/edit#gid=0"",""Gestores Escolares!D7:m""),9,0),""VERIFICAR CÓD SEC"")"),"")</f>
        <v/>
      </c>
      <c r="R124" s="82" t="str">
        <f>IFERROR(__xludf.DUMMYFUNCTION("IFERROR(VLOOKUP(D124,
IMPORTRANGE(""https://docs.google.com/spreadsheets/d/1MjHtlUikwobi2MaWJgy7tfLeBmhj1u-dRFRs_8GwSoA/edit#gid=0"",""Gestores Escolares!D7:m""),10,0),""VERIFICAR CÓD SEC"")"),"")</f>
        <v/>
      </c>
      <c r="S124" s="82"/>
      <c r="T124" s="138">
        <v>2.0</v>
      </c>
      <c r="U124" s="145" t="s">
        <v>1396</v>
      </c>
      <c r="V124" s="106">
        <v>3.0</v>
      </c>
      <c r="W124" s="107">
        <v>0.0</v>
      </c>
      <c r="X124" s="107">
        <v>0.0</v>
      </c>
      <c r="Y124" s="107">
        <v>0.0</v>
      </c>
      <c r="Z124" s="80">
        <f t="shared" si="1"/>
        <v>3</v>
      </c>
      <c r="AA124" s="106">
        <v>7.0</v>
      </c>
      <c r="AB124" s="107">
        <v>4.0</v>
      </c>
      <c r="AC124" s="107">
        <v>0.0</v>
      </c>
      <c r="AD124" s="107">
        <v>0.0</v>
      </c>
      <c r="AE124" s="80">
        <f t="shared" si="2"/>
        <v>11</v>
      </c>
      <c r="AF124" s="140">
        <v>0.0</v>
      </c>
      <c r="AG124" s="109">
        <v>34.0</v>
      </c>
      <c r="AH124" s="109">
        <v>0.0</v>
      </c>
      <c r="AI124" s="141">
        <v>15.0</v>
      </c>
      <c r="AJ124" s="80">
        <f t="shared" si="3"/>
        <v>49</v>
      </c>
      <c r="AK124" s="140">
        <v>0.0</v>
      </c>
      <c r="AL124" s="109">
        <v>0.0</v>
      </c>
      <c r="AM124" s="141">
        <v>0.0</v>
      </c>
      <c r="AN124" s="80">
        <f t="shared" si="4"/>
        <v>0</v>
      </c>
      <c r="AO124" s="140">
        <v>0.0</v>
      </c>
      <c r="AP124" s="109">
        <v>0.0</v>
      </c>
      <c r="AQ124" s="109">
        <v>8.0</v>
      </c>
      <c r="AR124" s="80">
        <f t="shared" si="5"/>
        <v>8</v>
      </c>
      <c r="AS124" s="110">
        <v>0.0</v>
      </c>
      <c r="AT124" s="110">
        <v>0.0</v>
      </c>
      <c r="AU124" s="110">
        <v>0.0</v>
      </c>
      <c r="AV124" s="142">
        <v>0.0</v>
      </c>
      <c r="AW124" s="80">
        <f t="shared" si="6"/>
        <v>0</v>
      </c>
      <c r="AX124" s="113">
        <f t="shared" si="7"/>
        <v>71</v>
      </c>
      <c r="AY124" s="117">
        <f t="shared" si="8"/>
        <v>63</v>
      </c>
      <c r="AZ124" s="120">
        <f t="shared" si="9"/>
        <v>8</v>
      </c>
      <c r="BA124" s="115">
        <v>0.0</v>
      </c>
      <c r="BB124" s="89">
        <f t="shared" si="10"/>
        <v>71</v>
      </c>
      <c r="BC124" s="143" t="s">
        <v>1294</v>
      </c>
      <c r="BD124" s="132" t="s">
        <v>178</v>
      </c>
      <c r="BE124" s="132" t="s">
        <v>178</v>
      </c>
      <c r="BF124" s="83"/>
      <c r="BG124" s="83">
        <v>1179304.0</v>
      </c>
      <c r="BH124" s="98" t="s">
        <v>648</v>
      </c>
      <c r="BI124" s="112">
        <v>2.0</v>
      </c>
      <c r="BJ124" s="98" t="s">
        <v>176</v>
      </c>
      <c r="BK124" s="99">
        <f t="shared" si="11"/>
        <v>15</v>
      </c>
      <c r="BL124" s="99">
        <f t="shared" si="12"/>
        <v>48</v>
      </c>
      <c r="BM124" s="99" t="str">
        <f>IFERROR(__xludf.DUMMYFUNCTION("IFERROR(VLOOKUP(BG124,IMPORTRANGE(""https://docs.google.com/spreadsheets/d/1juPI-Fb8LD0YtltB2mlGEnp_R3UVu1t3wSFPzgCyHXE/edit?gid=0#gid=0"",""GERAL!A2:C""),3,0),""-"")"),"INDÍGENAS")</f>
        <v>INDÍGENAS</v>
      </c>
    </row>
    <row r="125" ht="15.75" customHeight="1">
      <c r="A125" s="111" t="s">
        <v>205</v>
      </c>
      <c r="B125" s="98" t="s">
        <v>644</v>
      </c>
      <c r="C125" s="83" t="s">
        <v>68</v>
      </c>
      <c r="D125" s="112">
        <v>1176177.0</v>
      </c>
      <c r="E125" s="83"/>
      <c r="F125" s="83">
        <v>2.93324E7</v>
      </c>
      <c r="G125" s="114" t="s">
        <v>649</v>
      </c>
      <c r="H125" s="91" t="s">
        <v>650</v>
      </c>
      <c r="I125" s="83" t="s">
        <v>149</v>
      </c>
      <c r="J125" s="83" t="s">
        <v>150</v>
      </c>
      <c r="K125" s="83" t="s">
        <v>151</v>
      </c>
      <c r="L125" s="98" t="s">
        <v>76</v>
      </c>
      <c r="M125" s="82" t="str">
        <f>IFERROR(__xludf.DUMMYFUNCTION("IFERROR(VLOOKUP(D125,
IMPORTRANGE(""https://docs.google.com/spreadsheets/d/1MjHtlUikwobi2MaWJgy7tfLeBmhj1u-dRFRs_8GwSoA/edit#gid=0"",""Gestores Escolares!D7:J""),3,0),""VERIFICAR CÓD SEC"")"),"PAULO SERGIO PEREIRA PAMPLONA")</f>
        <v>PAULO SERGIO PEREIRA PAMPLONA</v>
      </c>
      <c r="N125" s="82" t="str">
        <f>IFERROR(__xludf.DUMMYFUNCTION("IFERROR(VLOOKUP(D125,
IMPORTRANGE(""https://docs.google.com/spreadsheets/d/1MjHtlUikwobi2MaWJgy7tfLeBmhj1u-dRFRs_8GwSoA/edit#gid=0"",""Gestores Escolares!D7:J""),4,0),""VERIFICAR CÓD SEC"")"),"(74) 9 8831-0229")</f>
        <v>(74) 9 8831-0229</v>
      </c>
      <c r="O125" s="82" t="str">
        <f>IFERROR(__xludf.DUMMYFUNCTION("IFERROR(VLOOKUP(D125,
IMPORTRANGE(""https://docs.google.com/spreadsheets/d/1MjHtlUikwobi2MaWJgy7tfLeBmhj1u-dRFRs_8GwSoA/edit#gid=0"",""Gestores Escolares!D7:J""),6,0),""VERIFICAR CÓD SEC"")"),"")</f>
        <v/>
      </c>
      <c r="P125" s="82" t="str">
        <f>IFERROR(__xludf.DUMMYFUNCTION("IFERROR(VLOOKUP(D125,
IMPORTRANGE(""https://docs.google.com/spreadsheets/d/1MjHtlUikwobi2MaWJgy7tfLeBmhj1u-dRFRs_8GwSoA/edit#gid=0"",""Gestores Escolares!D7:J""),7,0),""VERIFICAR CÓD SEC"")"),"")</f>
        <v/>
      </c>
      <c r="Q125" s="82" t="str">
        <f>IFERROR(__xludf.DUMMYFUNCTION("IFERROR(VLOOKUP(D125,
IMPORTRANGE(""https://docs.google.com/spreadsheets/d/1MjHtlUikwobi2MaWJgy7tfLeBmhj1u-dRFRs_8GwSoA/edit#gid=0"",""Gestores Escolares!D7:m""),9,0),""VERIFICAR CÓD SEC"")"),"")</f>
        <v/>
      </c>
      <c r="R125" s="82" t="str">
        <f>IFERROR(__xludf.DUMMYFUNCTION("IFERROR(VLOOKUP(D125,
IMPORTRANGE(""https://docs.google.com/spreadsheets/d/1MjHtlUikwobi2MaWJgy7tfLeBmhj1u-dRFRs_8GwSoA/edit#gid=0"",""Gestores Escolares!D7:m""),10,0),""VERIFICAR CÓD SEC"")"),"")</f>
        <v/>
      </c>
      <c r="S125" s="82"/>
      <c r="T125" s="138">
        <v>4.0</v>
      </c>
      <c r="U125" s="145" t="s">
        <v>1402</v>
      </c>
      <c r="V125" s="106">
        <v>0.0</v>
      </c>
      <c r="W125" s="107">
        <v>0.0</v>
      </c>
      <c r="X125" s="107">
        <v>0.0</v>
      </c>
      <c r="Y125" s="107">
        <v>0.0</v>
      </c>
      <c r="Z125" s="80">
        <f t="shared" si="1"/>
        <v>0</v>
      </c>
      <c r="AA125" s="106">
        <v>0.0</v>
      </c>
      <c r="AB125" s="107">
        <v>0.0</v>
      </c>
      <c r="AC125" s="107">
        <v>0.0</v>
      </c>
      <c r="AD125" s="107">
        <v>0.0</v>
      </c>
      <c r="AE125" s="80">
        <f t="shared" si="2"/>
        <v>0</v>
      </c>
      <c r="AF125" s="140">
        <v>0.0</v>
      </c>
      <c r="AG125" s="109">
        <v>68.0</v>
      </c>
      <c r="AH125" s="109">
        <v>0.0</v>
      </c>
      <c r="AI125" s="141">
        <v>0.0</v>
      </c>
      <c r="AJ125" s="80">
        <f t="shared" si="3"/>
        <v>68</v>
      </c>
      <c r="AK125" s="140">
        <v>0.0</v>
      </c>
      <c r="AL125" s="109">
        <v>0.0</v>
      </c>
      <c r="AM125" s="141">
        <v>0.0</v>
      </c>
      <c r="AN125" s="80">
        <f t="shared" si="4"/>
        <v>0</v>
      </c>
      <c r="AO125" s="140">
        <v>0.0</v>
      </c>
      <c r="AP125" s="109">
        <v>0.0</v>
      </c>
      <c r="AQ125" s="109">
        <v>11.0</v>
      </c>
      <c r="AR125" s="80">
        <f t="shared" si="5"/>
        <v>11</v>
      </c>
      <c r="AS125" s="110">
        <v>13.0</v>
      </c>
      <c r="AT125" s="110">
        <v>0.0</v>
      </c>
      <c r="AU125" s="110">
        <v>0.0</v>
      </c>
      <c r="AV125" s="142">
        <v>32.0</v>
      </c>
      <c r="AW125" s="80">
        <f t="shared" si="6"/>
        <v>45</v>
      </c>
      <c r="AX125" s="113">
        <f t="shared" si="7"/>
        <v>124</v>
      </c>
      <c r="AY125" s="117">
        <f t="shared" si="8"/>
        <v>113</v>
      </c>
      <c r="AZ125" s="120">
        <f t="shared" si="9"/>
        <v>11</v>
      </c>
      <c r="BA125" s="115">
        <v>0.0</v>
      </c>
      <c r="BB125" s="89">
        <f t="shared" si="10"/>
        <v>124</v>
      </c>
      <c r="BC125" s="132" t="s">
        <v>178</v>
      </c>
      <c r="BD125" s="132" t="s">
        <v>178</v>
      </c>
      <c r="BE125" s="132" t="s">
        <v>178</v>
      </c>
      <c r="BF125" s="156"/>
      <c r="BG125" s="83">
        <v>1176177.0</v>
      </c>
      <c r="BH125" s="98" t="s">
        <v>651</v>
      </c>
      <c r="BI125" s="112">
        <v>3.0</v>
      </c>
      <c r="BJ125" s="98" t="s">
        <v>155</v>
      </c>
      <c r="BK125" s="99">
        <f t="shared" si="11"/>
        <v>32</v>
      </c>
      <c r="BL125" s="99">
        <f t="shared" si="12"/>
        <v>81</v>
      </c>
      <c r="BM125" s="99" t="str">
        <f>IFERROR(__xludf.DUMMYFUNCTION("IFERROR(VLOOKUP(BG125,IMPORTRANGE(""https://docs.google.com/spreadsheets/d/1juPI-Fb8LD0YtltB2mlGEnp_R3UVu1t3wSFPzgCyHXE/edit?gid=0#gid=0"",""GERAL!A2:C""),3,0),""-"")"),"-")</f>
        <v>-</v>
      </c>
    </row>
    <row r="126" ht="15.75" customHeight="1">
      <c r="A126" s="111" t="s">
        <v>205</v>
      </c>
      <c r="B126" s="98" t="s">
        <v>644</v>
      </c>
      <c r="C126" s="83" t="s">
        <v>68</v>
      </c>
      <c r="D126" s="112">
        <v>1178407.0</v>
      </c>
      <c r="E126" s="83"/>
      <c r="F126" s="83">
        <v>2.9397758E7</v>
      </c>
      <c r="G126" s="114" t="s">
        <v>652</v>
      </c>
      <c r="H126" s="91" t="s">
        <v>653</v>
      </c>
      <c r="I126" s="83" t="s">
        <v>149</v>
      </c>
      <c r="J126" s="83" t="s">
        <v>467</v>
      </c>
      <c r="K126" s="83" t="s">
        <v>151</v>
      </c>
      <c r="L126" s="83" t="s">
        <v>169</v>
      </c>
      <c r="M126" s="82" t="str">
        <f>IFERROR(__xludf.DUMMYFUNCTION("IFERROR(VLOOKUP(D126,
IMPORTRANGE(""https://docs.google.com/spreadsheets/d/1MjHtlUikwobi2MaWJgy7tfLeBmhj1u-dRFRs_8GwSoA/edit#gid=0"",""Gestores Escolares!D7:J""),3,0),""VERIFICAR CÓD SEC"")"),"SILAS SEBASTIAO AMORIM")</f>
        <v>SILAS SEBASTIAO AMORIM</v>
      </c>
      <c r="N126" s="82" t="str">
        <f>IFERROR(__xludf.DUMMYFUNCTION("IFERROR(VLOOKUP(D126,
IMPORTRANGE(""https://docs.google.com/spreadsheets/d/1MjHtlUikwobi2MaWJgy7tfLeBmhj1u-dRFRs_8GwSoA/edit#gid=0"",""Gestores Escolares!D7:J""),4,0),""VERIFICAR CÓD SEC"")"),"77 9 9812-5890")</f>
        <v>77 9 9812-5890</v>
      </c>
      <c r="O126" s="82" t="str">
        <f>IFERROR(__xludf.DUMMYFUNCTION("IFERROR(VLOOKUP(D126,
IMPORTRANGE(""https://docs.google.com/spreadsheets/d/1MjHtlUikwobi2MaWJgy7tfLeBmhj1u-dRFRs_8GwSoA/edit#gid=0"",""Gestores Escolares!D7:J""),6,0),""VERIFICAR CÓD SEC"")"),"")</f>
        <v/>
      </c>
      <c r="P126" s="82" t="str">
        <f>IFERROR(__xludf.DUMMYFUNCTION("IFERROR(VLOOKUP(D126,
IMPORTRANGE(""https://docs.google.com/spreadsheets/d/1MjHtlUikwobi2MaWJgy7tfLeBmhj1u-dRFRs_8GwSoA/edit#gid=0"",""Gestores Escolares!D7:J""),7,0),""VERIFICAR CÓD SEC"")"),"")</f>
        <v/>
      </c>
      <c r="Q126" s="82" t="str">
        <f>IFERROR(__xludf.DUMMYFUNCTION("IFERROR(VLOOKUP(D126,
IMPORTRANGE(""https://docs.google.com/spreadsheets/d/1MjHtlUikwobi2MaWJgy7tfLeBmhj1u-dRFRs_8GwSoA/edit#gid=0"",""Gestores Escolares!D7:m""),9,0),""VERIFICAR CÓD SEC"")"),"")</f>
        <v/>
      </c>
      <c r="R126" s="82" t="str">
        <f>IFERROR(__xludf.DUMMYFUNCTION("IFERROR(VLOOKUP(D126,
IMPORTRANGE(""https://docs.google.com/spreadsheets/d/1MjHtlUikwobi2MaWJgy7tfLeBmhj1u-dRFRs_8GwSoA/edit#gid=0"",""Gestores Escolares!D7:m""),10,0),""VERIFICAR CÓD SEC"")"),"")</f>
        <v/>
      </c>
      <c r="S126" s="82"/>
      <c r="T126" s="138">
        <v>6.0</v>
      </c>
      <c r="U126" s="145" t="s">
        <v>1414</v>
      </c>
      <c r="V126" s="106">
        <v>0.0</v>
      </c>
      <c r="W126" s="107">
        <v>0.0</v>
      </c>
      <c r="X126" s="107">
        <v>0.0</v>
      </c>
      <c r="Y126" s="107">
        <v>0.0</v>
      </c>
      <c r="Z126" s="80">
        <f t="shared" si="1"/>
        <v>0</v>
      </c>
      <c r="AA126" s="106">
        <v>0.0</v>
      </c>
      <c r="AB126" s="107">
        <v>0.0</v>
      </c>
      <c r="AC126" s="107">
        <v>0.0</v>
      </c>
      <c r="AD126" s="107">
        <v>0.0</v>
      </c>
      <c r="AE126" s="80">
        <f t="shared" si="2"/>
        <v>0</v>
      </c>
      <c r="AF126" s="140">
        <v>62.0</v>
      </c>
      <c r="AG126" s="109">
        <v>72.0</v>
      </c>
      <c r="AH126" s="109">
        <v>0.0</v>
      </c>
      <c r="AI126" s="141">
        <v>0.0</v>
      </c>
      <c r="AJ126" s="80">
        <f t="shared" si="3"/>
        <v>134</v>
      </c>
      <c r="AK126" s="140">
        <v>0.0</v>
      </c>
      <c r="AL126" s="109">
        <v>0.0</v>
      </c>
      <c r="AM126" s="141">
        <v>0.0</v>
      </c>
      <c r="AN126" s="80">
        <f t="shared" si="4"/>
        <v>0</v>
      </c>
      <c r="AO126" s="140">
        <v>0.0</v>
      </c>
      <c r="AP126" s="109">
        <v>0.0</v>
      </c>
      <c r="AQ126" s="109">
        <v>34.0</v>
      </c>
      <c r="AR126" s="80">
        <f t="shared" si="5"/>
        <v>34</v>
      </c>
      <c r="AS126" s="110">
        <v>0.0</v>
      </c>
      <c r="AT126" s="110">
        <v>0.0</v>
      </c>
      <c r="AU126" s="110">
        <v>0.0</v>
      </c>
      <c r="AV126" s="142">
        <v>0.0</v>
      </c>
      <c r="AW126" s="80">
        <f t="shared" si="6"/>
        <v>0</v>
      </c>
      <c r="AX126" s="113">
        <f t="shared" si="7"/>
        <v>168</v>
      </c>
      <c r="AY126" s="117">
        <f t="shared" si="8"/>
        <v>134</v>
      </c>
      <c r="AZ126" s="120">
        <f t="shared" si="9"/>
        <v>34</v>
      </c>
      <c r="BA126" s="115">
        <v>0.0</v>
      </c>
      <c r="BB126" s="89">
        <f t="shared" si="10"/>
        <v>168</v>
      </c>
      <c r="BC126" s="132" t="s">
        <v>373</v>
      </c>
      <c r="BD126" s="132" t="s">
        <v>178</v>
      </c>
      <c r="BE126" s="132" t="s">
        <v>178</v>
      </c>
      <c r="BF126" s="123"/>
      <c r="BG126" s="83">
        <v>1178407.0</v>
      </c>
      <c r="BH126" s="98" t="s">
        <v>654</v>
      </c>
      <c r="BI126" s="112">
        <v>5.0</v>
      </c>
      <c r="BJ126" s="98" t="s">
        <v>155</v>
      </c>
      <c r="BK126" s="99">
        <f t="shared" si="11"/>
        <v>0</v>
      </c>
      <c r="BL126" s="99">
        <f t="shared" si="12"/>
        <v>134</v>
      </c>
      <c r="BM126" s="99" t="str">
        <f>IFERROR(__xludf.DUMMYFUNCTION("IFERROR(VLOOKUP(BG126,IMPORTRANGE(""https://docs.google.com/spreadsheets/d/1juPI-Fb8LD0YtltB2mlGEnp_R3UVu1t3wSFPzgCyHXE/edit?gid=0#gid=0"",""GERAL!A2:C""),3,0),""-"")"),"CAMPO")</f>
        <v>CAMPO</v>
      </c>
    </row>
    <row r="127" ht="15.75" customHeight="1">
      <c r="A127" s="111" t="s">
        <v>205</v>
      </c>
      <c r="B127" s="98" t="s">
        <v>644</v>
      </c>
      <c r="C127" s="83" t="s">
        <v>164</v>
      </c>
      <c r="D127" s="112">
        <v>1179431.0</v>
      </c>
      <c r="E127" s="83">
        <v>1178835.0</v>
      </c>
      <c r="F127" s="98">
        <v>2.9464374E7</v>
      </c>
      <c r="G127" s="114" t="s">
        <v>655</v>
      </c>
      <c r="H127" s="91" t="s">
        <v>656</v>
      </c>
      <c r="I127" s="83" t="s">
        <v>149</v>
      </c>
      <c r="J127" s="83" t="s">
        <v>657</v>
      </c>
      <c r="K127" s="83" t="s">
        <v>168</v>
      </c>
      <c r="L127" s="83" t="s">
        <v>169</v>
      </c>
      <c r="M127" s="82" t="str">
        <f>IFERROR(__xludf.DUMMYFUNCTION("IFERROR(VLOOKUP(D127,
IMPORTRANGE(""https://docs.google.com/spreadsheets/d/1MjHtlUikwobi2MaWJgy7tfLeBmhj1u-dRFRs_8GwSoA/edit#gid=0"",""Gestores Escolares!D7:J""),3,0),""VERIFICAR CÓD SEC"")"),"NEIDE RAFAEL DE SOUZA ROCHA")</f>
        <v>NEIDE RAFAEL DE SOUZA ROCHA</v>
      </c>
      <c r="N127" s="82" t="str">
        <f>IFERROR(__xludf.DUMMYFUNCTION("IFERROR(VLOOKUP(D127,
IMPORTRANGE(""https://docs.google.com/spreadsheets/d/1MjHtlUikwobi2MaWJgy7tfLeBmhj1u-dRFRs_8GwSoA/edit#gid=0"",""Gestores Escolares!D7:J""),4,0),""VERIFICAR CÓD SEC"")"),"(74) 9 9807-3175")</f>
        <v>(74) 9 9807-3175</v>
      </c>
      <c r="O127" s="82" t="str">
        <f>IFERROR(__xludf.DUMMYFUNCTION("IFERROR(VLOOKUP(D127,
IMPORTRANGE(""https://docs.google.com/spreadsheets/d/1MjHtlUikwobi2MaWJgy7tfLeBmhj1u-dRFRs_8GwSoA/edit#gid=0"",""Gestores Escolares!D7:J""),6,0),""VERIFICAR CÓD SEC"")"),"FRANCISCO DE ARAUJO LEAL")</f>
        <v>FRANCISCO DE ARAUJO LEAL</v>
      </c>
      <c r="P127" s="82" t="str">
        <f>IFERROR(__xludf.DUMMYFUNCTION("IFERROR(VLOOKUP(D127,
IMPORTRANGE(""https://docs.google.com/spreadsheets/d/1MjHtlUikwobi2MaWJgy7tfLeBmhj1u-dRFRs_8GwSoA/edit#gid=0"",""Gestores Escolares!D7:J""),7,0),""VERIFICAR CÓD SEC"")"),"(74) 9 8836-8463")</f>
        <v>(74) 9 8836-8463</v>
      </c>
      <c r="Q127" s="82" t="str">
        <f>IFERROR(__xludf.DUMMYFUNCTION("IFERROR(VLOOKUP(D127,
IMPORTRANGE(""https://docs.google.com/spreadsheets/d/1MjHtlUikwobi2MaWJgy7tfLeBmhj1u-dRFRs_8GwSoA/edit#gid=0"",""Gestores Escolares!D7:m""),9,0),""VERIFICAR CÓD SEC"")"),"CLAUDEMIR CELSO LIMA")</f>
        <v>CLAUDEMIR CELSO LIMA</v>
      </c>
      <c r="R127" s="82" t="str">
        <f>IFERROR(__xludf.DUMMYFUNCTION("IFERROR(VLOOKUP(D127,
IMPORTRANGE(""https://docs.google.com/spreadsheets/d/1MjHtlUikwobi2MaWJgy7tfLeBmhj1u-dRFRs_8GwSoA/edit#gid=0"",""Gestores Escolares!D7:m""),10,0),""VERIFICAR CÓD SEC"")"),"(74) 9 9952-3072")</f>
        <v>(74) 9 9952-3072</v>
      </c>
      <c r="S127" s="82"/>
      <c r="T127" s="138">
        <v>2.0</v>
      </c>
      <c r="U127" s="139">
        <v>2.0</v>
      </c>
      <c r="V127" s="106">
        <v>0.0</v>
      </c>
      <c r="W127" s="107">
        <v>0.0</v>
      </c>
      <c r="X127" s="107">
        <v>0.0</v>
      </c>
      <c r="Y127" s="107">
        <v>0.0</v>
      </c>
      <c r="Z127" s="80">
        <f t="shared" si="1"/>
        <v>0</v>
      </c>
      <c r="AA127" s="106">
        <v>0.0</v>
      </c>
      <c r="AB127" s="107">
        <v>0.0</v>
      </c>
      <c r="AC127" s="107">
        <v>0.0</v>
      </c>
      <c r="AD127" s="107">
        <v>0.0</v>
      </c>
      <c r="AE127" s="80">
        <f t="shared" si="2"/>
        <v>0</v>
      </c>
      <c r="AF127" s="140">
        <v>18.0</v>
      </c>
      <c r="AG127" s="109">
        <v>15.0</v>
      </c>
      <c r="AH127" s="109">
        <v>0.0</v>
      </c>
      <c r="AI127" s="141">
        <v>0.0</v>
      </c>
      <c r="AJ127" s="80">
        <f t="shared" si="3"/>
        <v>33</v>
      </c>
      <c r="AK127" s="140">
        <v>0.0</v>
      </c>
      <c r="AL127" s="109">
        <v>0.0</v>
      </c>
      <c r="AM127" s="141">
        <v>0.0</v>
      </c>
      <c r="AN127" s="80">
        <f t="shared" si="4"/>
        <v>0</v>
      </c>
      <c r="AO127" s="140">
        <v>0.0</v>
      </c>
      <c r="AP127" s="109">
        <v>0.0</v>
      </c>
      <c r="AQ127" s="109">
        <v>0.0</v>
      </c>
      <c r="AR127" s="80">
        <f t="shared" si="5"/>
        <v>0</v>
      </c>
      <c r="AS127" s="110">
        <v>0.0</v>
      </c>
      <c r="AT127" s="110">
        <v>0.0</v>
      </c>
      <c r="AU127" s="110">
        <v>0.0</v>
      </c>
      <c r="AV127" s="142">
        <v>0.0</v>
      </c>
      <c r="AW127" s="80">
        <f t="shared" si="6"/>
        <v>0</v>
      </c>
      <c r="AX127" s="113">
        <f t="shared" si="7"/>
        <v>33</v>
      </c>
      <c r="AY127" s="117">
        <f t="shared" si="8"/>
        <v>33</v>
      </c>
      <c r="AZ127" s="120">
        <f t="shared" si="9"/>
        <v>0</v>
      </c>
      <c r="BA127" s="115">
        <v>0.0</v>
      </c>
      <c r="BB127" s="89">
        <f t="shared" si="10"/>
        <v>33</v>
      </c>
      <c r="BC127" s="132" t="s">
        <v>178</v>
      </c>
      <c r="BD127" s="143" t="s">
        <v>227</v>
      </c>
      <c r="BE127" s="132" t="s">
        <v>178</v>
      </c>
      <c r="BF127" s="123"/>
      <c r="BG127" s="83">
        <v>1178835.0</v>
      </c>
      <c r="BH127" s="144"/>
      <c r="BI127" s="112">
        <v>2.0</v>
      </c>
      <c r="BJ127" s="98" t="s">
        <v>155</v>
      </c>
      <c r="BK127" s="99">
        <f t="shared" si="11"/>
        <v>0</v>
      </c>
      <c r="BL127" s="99">
        <f t="shared" si="12"/>
        <v>33</v>
      </c>
      <c r="BM127" s="99" t="str">
        <f>IFERROR(__xludf.DUMMYFUNCTION("IFERROR(VLOOKUP(BG127,IMPORTRANGE(""https://docs.google.com/spreadsheets/d/1juPI-Fb8LD0YtltB2mlGEnp_R3UVu1t3wSFPzgCyHXE/edit?gid=0#gid=0"",""GERAL!A2:C""),3,0),""-"")"),"-")</f>
        <v>-</v>
      </c>
    </row>
    <row r="128" ht="15.75" customHeight="1">
      <c r="A128" s="111" t="s">
        <v>205</v>
      </c>
      <c r="B128" s="98" t="s">
        <v>644</v>
      </c>
      <c r="C128" s="83" t="s">
        <v>164</v>
      </c>
      <c r="D128" s="112">
        <v>1176177.0</v>
      </c>
      <c r="E128" s="83">
        <v>1178834.0</v>
      </c>
      <c r="F128" s="98">
        <v>2.949334E7</v>
      </c>
      <c r="G128" s="114" t="s">
        <v>658</v>
      </c>
      <c r="H128" s="91" t="s">
        <v>659</v>
      </c>
      <c r="I128" s="83" t="s">
        <v>149</v>
      </c>
      <c r="J128" s="83" t="s">
        <v>657</v>
      </c>
      <c r="K128" s="83" t="s">
        <v>168</v>
      </c>
      <c r="L128" s="83" t="s">
        <v>169</v>
      </c>
      <c r="M128" s="82" t="str">
        <f>IFERROR(__xludf.DUMMYFUNCTION("IFERROR(VLOOKUP(D128,
IMPORTRANGE(""https://docs.google.com/spreadsheets/d/1MjHtlUikwobi2MaWJgy7tfLeBmhj1u-dRFRs_8GwSoA/edit#gid=0"",""Gestores Escolares!D7:J""),3,0),""VERIFICAR CÓD SEC"")"),"PAULO SERGIO PEREIRA PAMPLONA")</f>
        <v>PAULO SERGIO PEREIRA PAMPLONA</v>
      </c>
      <c r="N128" s="82" t="str">
        <f>IFERROR(__xludf.DUMMYFUNCTION("IFERROR(VLOOKUP(D128,
IMPORTRANGE(""https://docs.google.com/spreadsheets/d/1MjHtlUikwobi2MaWJgy7tfLeBmhj1u-dRFRs_8GwSoA/edit#gid=0"",""Gestores Escolares!D7:J""),4,0),""VERIFICAR CÓD SEC"")"),"(74) 9 8831-0229")</f>
        <v>(74) 9 8831-0229</v>
      </c>
      <c r="O128" s="82" t="str">
        <f>IFERROR(__xludf.DUMMYFUNCTION("IFERROR(VLOOKUP(D128,
IMPORTRANGE(""https://docs.google.com/spreadsheets/d/1MjHtlUikwobi2MaWJgy7tfLeBmhj1u-dRFRs_8GwSoA/edit#gid=0"",""Gestores Escolares!D7:J""),6,0),""VERIFICAR CÓD SEC"")"),"")</f>
        <v/>
      </c>
      <c r="P128" s="82" t="str">
        <f>IFERROR(__xludf.DUMMYFUNCTION("IFERROR(VLOOKUP(D128,
IMPORTRANGE(""https://docs.google.com/spreadsheets/d/1MjHtlUikwobi2MaWJgy7tfLeBmhj1u-dRFRs_8GwSoA/edit#gid=0"",""Gestores Escolares!D7:J""),7,0),""VERIFICAR CÓD SEC"")"),"")</f>
        <v/>
      </c>
      <c r="Q128" s="82" t="str">
        <f>IFERROR(__xludf.DUMMYFUNCTION("IFERROR(VLOOKUP(D128,
IMPORTRANGE(""https://docs.google.com/spreadsheets/d/1MjHtlUikwobi2MaWJgy7tfLeBmhj1u-dRFRs_8GwSoA/edit#gid=0"",""Gestores Escolares!D7:m""),9,0),""VERIFICAR CÓD SEC"")"),"")</f>
        <v/>
      </c>
      <c r="R128" s="82" t="str">
        <f>IFERROR(__xludf.DUMMYFUNCTION("IFERROR(VLOOKUP(D128,
IMPORTRANGE(""https://docs.google.com/spreadsheets/d/1MjHtlUikwobi2MaWJgy7tfLeBmhj1u-dRFRs_8GwSoA/edit#gid=0"",""Gestores Escolares!D7:m""),10,0),""VERIFICAR CÓD SEC"")"),"")</f>
        <v/>
      </c>
      <c r="S128" s="82"/>
      <c r="T128" s="138">
        <v>3.0</v>
      </c>
      <c r="U128" s="139">
        <v>3.0</v>
      </c>
      <c r="V128" s="106">
        <v>0.0</v>
      </c>
      <c r="W128" s="107">
        <v>0.0</v>
      </c>
      <c r="X128" s="107">
        <v>0.0</v>
      </c>
      <c r="Y128" s="107">
        <v>0.0</v>
      </c>
      <c r="Z128" s="80">
        <f t="shared" si="1"/>
        <v>0</v>
      </c>
      <c r="AA128" s="106">
        <v>0.0</v>
      </c>
      <c r="AB128" s="107">
        <v>0.0</v>
      </c>
      <c r="AC128" s="107">
        <v>0.0</v>
      </c>
      <c r="AD128" s="107">
        <v>0.0</v>
      </c>
      <c r="AE128" s="80">
        <f t="shared" si="2"/>
        <v>0</v>
      </c>
      <c r="AF128" s="140">
        <v>0.0</v>
      </c>
      <c r="AG128" s="109">
        <v>0.0</v>
      </c>
      <c r="AH128" s="109">
        <v>0.0</v>
      </c>
      <c r="AI128" s="141">
        <v>0.0</v>
      </c>
      <c r="AJ128" s="80">
        <f t="shared" si="3"/>
        <v>0</v>
      </c>
      <c r="AK128" s="140">
        <v>0.0</v>
      </c>
      <c r="AL128" s="109">
        <v>0.0</v>
      </c>
      <c r="AM128" s="141">
        <v>0.0</v>
      </c>
      <c r="AN128" s="80">
        <f t="shared" si="4"/>
        <v>0</v>
      </c>
      <c r="AO128" s="140">
        <v>0.0</v>
      </c>
      <c r="AP128" s="109">
        <v>0.0</v>
      </c>
      <c r="AQ128" s="109">
        <v>18.0</v>
      </c>
      <c r="AR128" s="80">
        <f t="shared" si="5"/>
        <v>18</v>
      </c>
      <c r="AS128" s="110">
        <v>0.0</v>
      </c>
      <c r="AT128" s="110">
        <v>0.0</v>
      </c>
      <c r="AU128" s="110">
        <v>0.0</v>
      </c>
      <c r="AV128" s="142">
        <v>0.0</v>
      </c>
      <c r="AW128" s="80">
        <f t="shared" si="6"/>
        <v>0</v>
      </c>
      <c r="AX128" s="113">
        <f t="shared" si="7"/>
        <v>18</v>
      </c>
      <c r="AY128" s="117">
        <f t="shared" si="8"/>
        <v>0</v>
      </c>
      <c r="AZ128" s="120">
        <f t="shared" si="9"/>
        <v>18</v>
      </c>
      <c r="BA128" s="115">
        <v>0.0</v>
      </c>
      <c r="BB128" s="89">
        <f t="shared" si="10"/>
        <v>18</v>
      </c>
      <c r="BC128" s="132" t="s">
        <v>265</v>
      </c>
      <c r="BD128" s="132" t="s">
        <v>178</v>
      </c>
      <c r="BE128" s="132" t="s">
        <v>178</v>
      </c>
      <c r="BF128" s="123"/>
      <c r="BG128" s="83">
        <v>1178834.0</v>
      </c>
      <c r="BH128" s="144"/>
      <c r="BI128" s="112">
        <v>3.0</v>
      </c>
      <c r="BJ128" s="98" t="s">
        <v>155</v>
      </c>
      <c r="BK128" s="99">
        <f t="shared" si="11"/>
        <v>0</v>
      </c>
      <c r="BL128" s="99">
        <f t="shared" si="12"/>
        <v>0</v>
      </c>
      <c r="BM128" s="99" t="str">
        <f>IFERROR(__xludf.DUMMYFUNCTION("IFERROR(VLOOKUP(BG128,IMPORTRANGE(""https://docs.google.com/spreadsheets/d/1juPI-Fb8LD0YtltB2mlGEnp_R3UVu1t3wSFPzgCyHXE/edit?gid=0#gid=0"",""GERAL!A2:C""),3,0),""-"")"),"QUILOMBOLAS")</f>
        <v>QUILOMBOLAS</v>
      </c>
    </row>
    <row r="129" ht="15.75" customHeight="1">
      <c r="A129" s="111" t="s">
        <v>205</v>
      </c>
      <c r="B129" s="98" t="s">
        <v>644</v>
      </c>
      <c r="C129" s="83" t="s">
        <v>164</v>
      </c>
      <c r="D129" s="112">
        <v>1176177.0</v>
      </c>
      <c r="E129" s="98">
        <v>1178832.0</v>
      </c>
      <c r="F129" s="98">
        <v>2.9493331E7</v>
      </c>
      <c r="G129" s="119" t="s">
        <v>660</v>
      </c>
      <c r="H129" s="108" t="s">
        <v>661</v>
      </c>
      <c r="I129" s="83"/>
      <c r="J129" s="83"/>
      <c r="K129" s="83" t="s">
        <v>151</v>
      </c>
      <c r="L129" s="83" t="s">
        <v>169</v>
      </c>
      <c r="M129" s="82" t="str">
        <f>IFERROR(__xludf.DUMMYFUNCTION("IFERROR(VLOOKUP(D129,
IMPORTRANGE(""https://docs.google.com/spreadsheets/d/1MjHtlUikwobi2MaWJgy7tfLeBmhj1u-dRFRs_8GwSoA/edit#gid=0"",""Gestores Escolares!D7:J""),3,0),""VERIFICAR CÓD SEC"")"),"PAULO SERGIO PEREIRA PAMPLONA")</f>
        <v>PAULO SERGIO PEREIRA PAMPLONA</v>
      </c>
      <c r="N129" s="82" t="str">
        <f>IFERROR(__xludf.DUMMYFUNCTION("IFERROR(VLOOKUP(D129,
IMPORTRANGE(""https://docs.google.com/spreadsheets/d/1MjHtlUikwobi2MaWJgy7tfLeBmhj1u-dRFRs_8GwSoA/edit#gid=0"",""Gestores Escolares!D7:J""),4,0),""VERIFICAR CÓD SEC"")"),"(74) 9 8831-0229")</f>
        <v>(74) 9 8831-0229</v>
      </c>
      <c r="O129" s="82" t="str">
        <f>IFERROR(__xludf.DUMMYFUNCTION("IFERROR(VLOOKUP(D129,
IMPORTRANGE(""https://docs.google.com/spreadsheets/d/1MjHtlUikwobi2MaWJgy7tfLeBmhj1u-dRFRs_8GwSoA/edit#gid=0"",""Gestores Escolares!D7:J""),6,0),""VERIFICAR CÓD SEC"")"),"")</f>
        <v/>
      </c>
      <c r="P129" s="82" t="str">
        <f>IFERROR(__xludf.DUMMYFUNCTION("IFERROR(VLOOKUP(D129,
IMPORTRANGE(""https://docs.google.com/spreadsheets/d/1MjHtlUikwobi2MaWJgy7tfLeBmhj1u-dRFRs_8GwSoA/edit#gid=0"",""Gestores Escolares!D7:J""),7,0),""VERIFICAR CÓD SEC"")"),"")</f>
        <v/>
      </c>
      <c r="Q129" s="82" t="str">
        <f>IFERROR(__xludf.DUMMYFUNCTION("IFERROR(VLOOKUP(D129,
IMPORTRANGE(""https://docs.google.com/spreadsheets/d/1MjHtlUikwobi2MaWJgy7tfLeBmhj1u-dRFRs_8GwSoA/edit#gid=0"",""Gestores Escolares!D7:m""),9,0),""VERIFICAR CÓD SEC"")"),"")</f>
        <v/>
      </c>
      <c r="R129" s="82" t="str">
        <f>IFERROR(__xludf.DUMMYFUNCTION("IFERROR(VLOOKUP(D129,
IMPORTRANGE(""https://docs.google.com/spreadsheets/d/1MjHtlUikwobi2MaWJgy7tfLeBmhj1u-dRFRs_8GwSoA/edit#gid=0"",""Gestores Escolares!D7:m""),10,0),""VERIFICAR CÓD SEC"")"),"")</f>
        <v/>
      </c>
      <c r="S129" s="82"/>
      <c r="T129" s="138"/>
      <c r="U129" s="145">
        <v>3.0</v>
      </c>
      <c r="V129" s="106">
        <v>0.0</v>
      </c>
      <c r="W129" s="107">
        <v>0.0</v>
      </c>
      <c r="X129" s="107">
        <v>0.0</v>
      </c>
      <c r="Y129" s="107">
        <v>0.0</v>
      </c>
      <c r="Z129" s="80">
        <f t="shared" si="1"/>
        <v>0</v>
      </c>
      <c r="AA129" s="106">
        <v>0.0</v>
      </c>
      <c r="AB129" s="107">
        <v>0.0</v>
      </c>
      <c r="AC129" s="107">
        <v>0.0</v>
      </c>
      <c r="AD129" s="107">
        <v>0.0</v>
      </c>
      <c r="AE129" s="80">
        <f t="shared" si="2"/>
        <v>0</v>
      </c>
      <c r="AF129" s="140">
        <v>0.0</v>
      </c>
      <c r="AG129" s="109">
        <v>0.0</v>
      </c>
      <c r="AH129" s="109">
        <v>0.0</v>
      </c>
      <c r="AI129" s="141">
        <v>0.0</v>
      </c>
      <c r="AJ129" s="80">
        <f t="shared" si="3"/>
        <v>0</v>
      </c>
      <c r="AK129" s="140">
        <v>0.0</v>
      </c>
      <c r="AL129" s="109">
        <v>0.0</v>
      </c>
      <c r="AM129" s="141">
        <v>0.0</v>
      </c>
      <c r="AN129" s="80">
        <f t="shared" si="4"/>
        <v>0</v>
      </c>
      <c r="AO129" s="140">
        <v>0.0</v>
      </c>
      <c r="AP129" s="109">
        <v>0.0</v>
      </c>
      <c r="AQ129" s="109">
        <v>43.0</v>
      </c>
      <c r="AR129" s="80">
        <f t="shared" si="5"/>
        <v>43</v>
      </c>
      <c r="AS129" s="110">
        <v>0.0</v>
      </c>
      <c r="AT129" s="110">
        <v>0.0</v>
      </c>
      <c r="AU129" s="110">
        <v>0.0</v>
      </c>
      <c r="AV129" s="142">
        <v>0.0</v>
      </c>
      <c r="AW129" s="80">
        <f t="shared" si="6"/>
        <v>0</v>
      </c>
      <c r="AX129" s="113">
        <f t="shared" si="7"/>
        <v>43</v>
      </c>
      <c r="AY129" s="117">
        <f t="shared" si="8"/>
        <v>0</v>
      </c>
      <c r="AZ129" s="120">
        <f t="shared" si="9"/>
        <v>43</v>
      </c>
      <c r="BA129" s="115">
        <v>0.0</v>
      </c>
      <c r="BB129" s="89">
        <f t="shared" si="10"/>
        <v>43</v>
      </c>
      <c r="BC129" s="132"/>
      <c r="BD129" s="132"/>
      <c r="BE129" s="132"/>
      <c r="BF129" s="123"/>
      <c r="BG129" s="98">
        <v>1178832.0</v>
      </c>
      <c r="BH129" s="144"/>
      <c r="BI129" s="112"/>
      <c r="BJ129" s="98" t="s">
        <v>155</v>
      </c>
      <c r="BK129" s="99">
        <f t="shared" si="11"/>
        <v>0</v>
      </c>
      <c r="BL129" s="99">
        <f t="shared" si="12"/>
        <v>0</v>
      </c>
      <c r="BM129" s="99" t="str">
        <f>IFERROR(__xludf.DUMMYFUNCTION("IFERROR(VLOOKUP(BG129,IMPORTRANGE(""https://docs.google.com/spreadsheets/d/1juPI-Fb8LD0YtltB2mlGEnp_R3UVu1t3wSFPzgCyHXE/edit?gid=0#gid=0"",""GERAL!A2:C""),3,0),""-"")"),"QUILOMBOLAS")</f>
        <v>QUILOMBOLAS</v>
      </c>
    </row>
    <row r="130" ht="15.75" customHeight="1">
      <c r="A130" s="111" t="s">
        <v>205</v>
      </c>
      <c r="B130" s="98" t="s">
        <v>644</v>
      </c>
      <c r="C130" s="83" t="s">
        <v>164</v>
      </c>
      <c r="D130" s="112">
        <v>1179431.0</v>
      </c>
      <c r="E130" s="83">
        <v>1178837.0</v>
      </c>
      <c r="F130" s="98">
        <v>2.9464374E7</v>
      </c>
      <c r="G130" s="114" t="s">
        <v>662</v>
      </c>
      <c r="H130" s="91" t="s">
        <v>663</v>
      </c>
      <c r="I130" s="83" t="s">
        <v>149</v>
      </c>
      <c r="J130" s="83" t="s">
        <v>664</v>
      </c>
      <c r="K130" s="83" t="s">
        <v>168</v>
      </c>
      <c r="L130" s="83" t="s">
        <v>169</v>
      </c>
      <c r="M130" s="82" t="str">
        <f>IFERROR(__xludf.DUMMYFUNCTION("IFERROR(VLOOKUP(D130,
IMPORTRANGE(""https://docs.google.com/spreadsheets/d/1MjHtlUikwobi2MaWJgy7tfLeBmhj1u-dRFRs_8GwSoA/edit#gid=0"",""Gestores Escolares!D7:J""),3,0),""VERIFICAR CÓD SEC"")"),"NEIDE RAFAEL DE SOUZA ROCHA")</f>
        <v>NEIDE RAFAEL DE SOUZA ROCHA</v>
      </c>
      <c r="N130" s="82" t="str">
        <f>IFERROR(__xludf.DUMMYFUNCTION("IFERROR(VLOOKUP(D130,
IMPORTRANGE(""https://docs.google.com/spreadsheets/d/1MjHtlUikwobi2MaWJgy7tfLeBmhj1u-dRFRs_8GwSoA/edit#gid=0"",""Gestores Escolares!D7:J""),4,0),""VERIFICAR CÓD SEC"")"),"(74) 9 9807-3175")</f>
        <v>(74) 9 9807-3175</v>
      </c>
      <c r="O130" s="82" t="str">
        <f>IFERROR(__xludf.DUMMYFUNCTION("IFERROR(VLOOKUP(D130,
IMPORTRANGE(""https://docs.google.com/spreadsheets/d/1MjHtlUikwobi2MaWJgy7tfLeBmhj1u-dRFRs_8GwSoA/edit#gid=0"",""Gestores Escolares!D7:J""),6,0),""VERIFICAR CÓD SEC"")"),"FRANCISCO DE ARAUJO LEAL")</f>
        <v>FRANCISCO DE ARAUJO LEAL</v>
      </c>
      <c r="P130" s="82" t="str">
        <f>IFERROR(__xludf.DUMMYFUNCTION("IFERROR(VLOOKUP(D130,
IMPORTRANGE(""https://docs.google.com/spreadsheets/d/1MjHtlUikwobi2MaWJgy7tfLeBmhj1u-dRFRs_8GwSoA/edit#gid=0"",""Gestores Escolares!D7:J""),7,0),""VERIFICAR CÓD SEC"")"),"(74) 9 8836-8463")</f>
        <v>(74) 9 8836-8463</v>
      </c>
      <c r="Q130" s="82" t="str">
        <f>IFERROR(__xludf.DUMMYFUNCTION("IFERROR(VLOOKUP(D130,
IMPORTRANGE(""https://docs.google.com/spreadsheets/d/1MjHtlUikwobi2MaWJgy7tfLeBmhj1u-dRFRs_8GwSoA/edit#gid=0"",""Gestores Escolares!D7:m""),9,0),""VERIFICAR CÓD SEC"")"),"CLAUDEMIR CELSO LIMA")</f>
        <v>CLAUDEMIR CELSO LIMA</v>
      </c>
      <c r="R130" s="82" t="str">
        <f>IFERROR(__xludf.DUMMYFUNCTION("IFERROR(VLOOKUP(D130,
IMPORTRANGE(""https://docs.google.com/spreadsheets/d/1MjHtlUikwobi2MaWJgy7tfLeBmhj1u-dRFRs_8GwSoA/edit#gid=0"",""Gestores Escolares!D7:m""),10,0),""VERIFICAR CÓD SEC"")"),"(74) 9 9952-3072")</f>
        <v>(74) 9 9952-3072</v>
      </c>
      <c r="S130" s="82"/>
      <c r="T130" s="138">
        <v>3.0</v>
      </c>
      <c r="U130" s="139">
        <v>3.0</v>
      </c>
      <c r="V130" s="106">
        <v>0.0</v>
      </c>
      <c r="W130" s="107">
        <v>0.0</v>
      </c>
      <c r="X130" s="107">
        <v>0.0</v>
      </c>
      <c r="Y130" s="107">
        <v>0.0</v>
      </c>
      <c r="Z130" s="80">
        <f t="shared" si="1"/>
        <v>0</v>
      </c>
      <c r="AA130" s="106">
        <v>0.0</v>
      </c>
      <c r="AB130" s="107">
        <v>0.0</v>
      </c>
      <c r="AC130" s="107">
        <v>0.0</v>
      </c>
      <c r="AD130" s="107">
        <v>0.0</v>
      </c>
      <c r="AE130" s="80">
        <f t="shared" si="2"/>
        <v>0</v>
      </c>
      <c r="AF130" s="140">
        <v>14.0</v>
      </c>
      <c r="AG130" s="109">
        <v>18.0</v>
      </c>
      <c r="AH130" s="109">
        <v>0.0</v>
      </c>
      <c r="AI130" s="141">
        <v>0.0</v>
      </c>
      <c r="AJ130" s="80">
        <f t="shared" si="3"/>
        <v>32</v>
      </c>
      <c r="AK130" s="140">
        <v>0.0</v>
      </c>
      <c r="AL130" s="109">
        <v>0.0</v>
      </c>
      <c r="AM130" s="141">
        <v>0.0</v>
      </c>
      <c r="AN130" s="80">
        <f t="shared" si="4"/>
        <v>0</v>
      </c>
      <c r="AO130" s="140">
        <v>0.0</v>
      </c>
      <c r="AP130" s="109">
        <v>0.0</v>
      </c>
      <c r="AQ130" s="109">
        <v>0.0</v>
      </c>
      <c r="AR130" s="80">
        <f t="shared" si="5"/>
        <v>0</v>
      </c>
      <c r="AS130" s="110">
        <v>0.0</v>
      </c>
      <c r="AT130" s="110">
        <v>0.0</v>
      </c>
      <c r="AU130" s="110">
        <v>0.0</v>
      </c>
      <c r="AV130" s="142">
        <v>0.0</v>
      </c>
      <c r="AW130" s="80">
        <f t="shared" si="6"/>
        <v>0</v>
      </c>
      <c r="AX130" s="113">
        <f t="shared" si="7"/>
        <v>32</v>
      </c>
      <c r="AY130" s="117">
        <f t="shared" si="8"/>
        <v>32</v>
      </c>
      <c r="AZ130" s="120">
        <f t="shared" si="9"/>
        <v>0</v>
      </c>
      <c r="BA130" s="115">
        <v>0.0</v>
      </c>
      <c r="BB130" s="89">
        <f t="shared" si="10"/>
        <v>32</v>
      </c>
      <c r="BC130" s="132" t="s">
        <v>178</v>
      </c>
      <c r="BD130" s="143" t="s">
        <v>227</v>
      </c>
      <c r="BE130" s="132" t="s">
        <v>178</v>
      </c>
      <c r="BF130" s="123"/>
      <c r="BG130" s="83">
        <v>1178837.0</v>
      </c>
      <c r="BH130" s="144"/>
      <c r="BI130" s="112">
        <v>3.0</v>
      </c>
      <c r="BJ130" s="98" t="s">
        <v>155</v>
      </c>
      <c r="BK130" s="99">
        <f t="shared" si="11"/>
        <v>0</v>
      </c>
      <c r="BL130" s="99">
        <f t="shared" si="12"/>
        <v>32</v>
      </c>
      <c r="BM130" s="99" t="str">
        <f>IFERROR(__xludf.DUMMYFUNCTION("IFERROR(VLOOKUP(BG130,IMPORTRANGE(""https://docs.google.com/spreadsheets/d/1juPI-Fb8LD0YtltB2mlGEnp_R3UVu1t3wSFPzgCyHXE/edit?gid=0#gid=0"",""GERAL!A2:C""),3,0),""-"")"),"-")</f>
        <v>-</v>
      </c>
    </row>
    <row r="131" ht="15.75" customHeight="1">
      <c r="A131" s="111" t="s">
        <v>205</v>
      </c>
      <c r="B131" s="83" t="s">
        <v>665</v>
      </c>
      <c r="C131" s="83" t="s">
        <v>68</v>
      </c>
      <c r="D131" s="112">
        <v>1127855.0</v>
      </c>
      <c r="E131" s="83"/>
      <c r="F131" s="83">
        <v>2.9210399E7</v>
      </c>
      <c r="G131" s="119" t="s">
        <v>666</v>
      </c>
      <c r="H131" s="91" t="s">
        <v>667</v>
      </c>
      <c r="I131" s="136" t="s">
        <v>149</v>
      </c>
      <c r="J131" s="136" t="s">
        <v>150</v>
      </c>
      <c r="K131" s="136" t="s">
        <v>151</v>
      </c>
      <c r="L131" s="98" t="s">
        <v>152</v>
      </c>
      <c r="M131" s="82" t="str">
        <f>IFERROR(__xludf.DUMMYFUNCTION("IFERROR(VLOOKUP(D131,
IMPORTRANGE(""https://docs.google.com/spreadsheets/d/1MjHtlUikwobi2MaWJgy7tfLeBmhj1u-dRFRs_8GwSoA/edit#gid=0"",""Gestores Escolares!D7:J""),3,0),""VERIFICAR CÓD SEC"")"),"LUCIANO LUNARDI")</f>
        <v>LUCIANO LUNARDI</v>
      </c>
      <c r="N131" s="82" t="str">
        <f>IFERROR(__xludf.DUMMYFUNCTION("IFERROR(VLOOKUP(D131,
IMPORTRANGE(""https://docs.google.com/spreadsheets/d/1MjHtlUikwobi2MaWJgy7tfLeBmhj1u-dRFRs_8GwSoA/edit#gid=0"",""Gestores Escolares!D7:J""),4,0),""VERIFICAR CÓD SEC"")"),"(77) 9 9963-9105")</f>
        <v>(77) 9 9963-9105</v>
      </c>
      <c r="O131" s="82" t="str">
        <f>IFERROR(__xludf.DUMMYFUNCTION("IFERROR(VLOOKUP(D131,
IMPORTRANGE(""https://docs.google.com/spreadsheets/d/1MjHtlUikwobi2MaWJgy7tfLeBmhj1u-dRFRs_8GwSoA/edit#gid=0"",""Gestores Escolares!D7:J""),6,0),""VERIFICAR CÓD SEC"")"),"ROSEMEIRE NOGUEIRA DE OLIVEIRA")</f>
        <v>ROSEMEIRE NOGUEIRA DE OLIVEIRA</v>
      </c>
      <c r="P131" s="82" t="str">
        <f>IFERROR(__xludf.DUMMYFUNCTION("IFERROR(VLOOKUP(D131,
IMPORTRANGE(""https://docs.google.com/spreadsheets/d/1MjHtlUikwobi2MaWJgy7tfLeBmhj1u-dRFRs_8GwSoA/edit#gid=0"",""Gestores Escolares!D7:J""),7,0),""VERIFICAR CÓD SEC"")"),"(77) 9 9977-7097")</f>
        <v>(77) 9 9977-7097</v>
      </c>
      <c r="Q131" s="82" t="str">
        <f>IFERROR(__xludf.DUMMYFUNCTION("IFERROR(VLOOKUP(D131,
IMPORTRANGE(""https://docs.google.com/spreadsheets/d/1MjHtlUikwobi2MaWJgy7tfLeBmhj1u-dRFRs_8GwSoA/edit#gid=0"",""Gestores Escolares!D7:m""),9,0),""VERIFICAR CÓD SEC"")"),"")</f>
        <v/>
      </c>
      <c r="R131" s="82" t="str">
        <f>IFERROR(__xludf.DUMMYFUNCTION("IFERROR(VLOOKUP(D131,
IMPORTRANGE(""https://docs.google.com/spreadsheets/d/1MjHtlUikwobi2MaWJgy7tfLeBmhj1u-dRFRs_8GwSoA/edit#gid=0"",""Gestores Escolares!D7:m""),10,0),""VERIFICAR CÓD SEC"")"),"")</f>
        <v/>
      </c>
      <c r="S131" s="82"/>
      <c r="T131" s="138">
        <v>8.0</v>
      </c>
      <c r="U131" s="145">
        <v>12.0</v>
      </c>
      <c r="V131" s="106">
        <v>0.0</v>
      </c>
      <c r="W131" s="107">
        <v>0.0</v>
      </c>
      <c r="X131" s="107">
        <v>0.0</v>
      </c>
      <c r="Y131" s="107">
        <v>0.0</v>
      </c>
      <c r="Z131" s="80">
        <f t="shared" si="1"/>
        <v>0</v>
      </c>
      <c r="AA131" s="106">
        <v>0.0</v>
      </c>
      <c r="AB131" s="107">
        <v>0.0</v>
      </c>
      <c r="AC131" s="107">
        <v>0.0</v>
      </c>
      <c r="AD131" s="107">
        <v>0.0</v>
      </c>
      <c r="AE131" s="80">
        <f t="shared" si="2"/>
        <v>0</v>
      </c>
      <c r="AF131" s="140">
        <v>147.0</v>
      </c>
      <c r="AG131" s="109">
        <v>172.0</v>
      </c>
      <c r="AH131" s="109">
        <v>0.0</v>
      </c>
      <c r="AI131" s="141">
        <v>136.0</v>
      </c>
      <c r="AJ131" s="80">
        <f t="shared" si="3"/>
        <v>455</v>
      </c>
      <c r="AK131" s="140">
        <v>0.0</v>
      </c>
      <c r="AL131" s="109">
        <v>0.0</v>
      </c>
      <c r="AM131" s="141">
        <v>0.0</v>
      </c>
      <c r="AN131" s="80">
        <f t="shared" si="4"/>
        <v>0</v>
      </c>
      <c r="AO131" s="140">
        <v>0.0</v>
      </c>
      <c r="AP131" s="109">
        <v>0.0</v>
      </c>
      <c r="AQ131" s="109">
        <v>84.0</v>
      </c>
      <c r="AR131" s="80">
        <f t="shared" si="5"/>
        <v>84</v>
      </c>
      <c r="AS131" s="110">
        <v>35.0</v>
      </c>
      <c r="AT131" s="110">
        <v>0.0</v>
      </c>
      <c r="AU131" s="110">
        <v>22.0</v>
      </c>
      <c r="AV131" s="142">
        <v>36.0</v>
      </c>
      <c r="AW131" s="80">
        <f t="shared" si="6"/>
        <v>93</v>
      </c>
      <c r="AX131" s="113">
        <f t="shared" si="7"/>
        <v>632</v>
      </c>
      <c r="AY131" s="117">
        <f t="shared" si="8"/>
        <v>526</v>
      </c>
      <c r="AZ131" s="120">
        <f t="shared" si="9"/>
        <v>106</v>
      </c>
      <c r="BA131" s="115">
        <v>0.0</v>
      </c>
      <c r="BB131" s="89">
        <f t="shared" si="10"/>
        <v>632</v>
      </c>
      <c r="BC131" s="132" t="s">
        <v>178</v>
      </c>
      <c r="BD131" s="132" t="s">
        <v>178</v>
      </c>
      <c r="BE131" s="132" t="s">
        <v>178</v>
      </c>
      <c r="BF131" s="123"/>
      <c r="BG131" s="83">
        <v>1127855.0</v>
      </c>
      <c r="BH131" s="98" t="s">
        <v>668</v>
      </c>
      <c r="BI131" s="112">
        <v>7.0</v>
      </c>
      <c r="BJ131" s="98" t="s">
        <v>162</v>
      </c>
      <c r="BK131" s="99">
        <f t="shared" si="11"/>
        <v>172</v>
      </c>
      <c r="BL131" s="99">
        <f t="shared" si="12"/>
        <v>354</v>
      </c>
      <c r="BM131" s="99" t="str">
        <f>IFERROR(__xludf.DUMMYFUNCTION("IFERROR(VLOOKUP(BG131,IMPORTRANGE(""https://docs.google.com/spreadsheets/d/1juPI-Fb8LD0YtltB2mlGEnp_R3UVu1t3wSFPzgCyHXE/edit?gid=0#gid=0"",""GERAL!A2:C""),3,0),""-"")"),"-")</f>
        <v>-</v>
      </c>
    </row>
    <row r="132" ht="15.75" customHeight="1">
      <c r="A132" s="111" t="s">
        <v>205</v>
      </c>
      <c r="B132" s="83" t="s">
        <v>665</v>
      </c>
      <c r="C132" s="83" t="s">
        <v>164</v>
      </c>
      <c r="D132" s="112">
        <v>1127855.0</v>
      </c>
      <c r="E132" s="83">
        <v>1178839.0</v>
      </c>
      <c r="F132" s="98">
        <v>2.9491525E7</v>
      </c>
      <c r="G132" s="184" t="s">
        <v>670</v>
      </c>
      <c r="H132" s="91" t="s">
        <v>671</v>
      </c>
      <c r="I132" s="83" t="s">
        <v>149</v>
      </c>
      <c r="J132" s="83" t="s">
        <v>672</v>
      </c>
      <c r="K132" s="83" t="s">
        <v>168</v>
      </c>
      <c r="L132" s="83" t="s">
        <v>169</v>
      </c>
      <c r="M132" s="82" t="str">
        <f>IFERROR(__xludf.DUMMYFUNCTION("IFERROR(VLOOKUP(D132,
IMPORTRANGE(""https://docs.google.com/spreadsheets/d/1MjHtlUikwobi2MaWJgy7tfLeBmhj1u-dRFRs_8GwSoA/edit#gid=0"",""Gestores Escolares!D7:J""),3,0),""VERIFICAR CÓD SEC"")"),"LUCIANO LUNARDI")</f>
        <v>LUCIANO LUNARDI</v>
      </c>
      <c r="N132" s="82" t="str">
        <f>IFERROR(__xludf.DUMMYFUNCTION("IFERROR(VLOOKUP(D132,
IMPORTRANGE(""https://docs.google.com/spreadsheets/d/1MjHtlUikwobi2MaWJgy7tfLeBmhj1u-dRFRs_8GwSoA/edit#gid=0"",""Gestores Escolares!D7:J""),4,0),""VERIFICAR CÓD SEC"")"),"(77) 9 9963-9105")</f>
        <v>(77) 9 9963-9105</v>
      </c>
      <c r="O132" s="82" t="str">
        <f>IFERROR(__xludf.DUMMYFUNCTION("IFERROR(VLOOKUP(D132,
IMPORTRANGE(""https://docs.google.com/spreadsheets/d/1MjHtlUikwobi2MaWJgy7tfLeBmhj1u-dRFRs_8GwSoA/edit#gid=0"",""Gestores Escolares!D7:J""),6,0),""VERIFICAR CÓD SEC"")"),"ROSEMEIRE NOGUEIRA DE OLIVEIRA")</f>
        <v>ROSEMEIRE NOGUEIRA DE OLIVEIRA</v>
      </c>
      <c r="P132" s="82" t="str">
        <f>IFERROR(__xludf.DUMMYFUNCTION("IFERROR(VLOOKUP(D132,
IMPORTRANGE(""https://docs.google.com/spreadsheets/d/1MjHtlUikwobi2MaWJgy7tfLeBmhj1u-dRFRs_8GwSoA/edit#gid=0"",""Gestores Escolares!D7:J""),7,0),""VERIFICAR CÓD SEC"")"),"(77) 9 9977-7097")</f>
        <v>(77) 9 9977-7097</v>
      </c>
      <c r="Q132" s="82" t="str">
        <f>IFERROR(__xludf.DUMMYFUNCTION("IFERROR(VLOOKUP(D132,
IMPORTRANGE(""https://docs.google.com/spreadsheets/d/1MjHtlUikwobi2MaWJgy7tfLeBmhj1u-dRFRs_8GwSoA/edit#gid=0"",""Gestores Escolares!D7:m""),9,0),""VERIFICAR CÓD SEC"")"),"")</f>
        <v/>
      </c>
      <c r="R132" s="82" t="str">
        <f>IFERROR(__xludf.DUMMYFUNCTION("IFERROR(VLOOKUP(D132,
IMPORTRANGE(""https://docs.google.com/spreadsheets/d/1MjHtlUikwobi2MaWJgy7tfLeBmhj1u-dRFRs_8GwSoA/edit#gid=0"",""Gestores Escolares!D7:m""),10,0),""VERIFICAR CÓD SEC"")"),"")</f>
        <v/>
      </c>
      <c r="S132" s="82"/>
      <c r="T132" s="138">
        <v>3.0</v>
      </c>
      <c r="U132" s="139">
        <v>3.0</v>
      </c>
      <c r="V132" s="106">
        <v>0.0</v>
      </c>
      <c r="W132" s="107">
        <v>0.0</v>
      </c>
      <c r="X132" s="107">
        <v>0.0</v>
      </c>
      <c r="Y132" s="107">
        <v>0.0</v>
      </c>
      <c r="Z132" s="80">
        <f t="shared" si="1"/>
        <v>0</v>
      </c>
      <c r="AA132" s="106">
        <v>0.0</v>
      </c>
      <c r="AB132" s="107">
        <v>0.0</v>
      </c>
      <c r="AC132" s="107">
        <v>0.0</v>
      </c>
      <c r="AD132" s="107">
        <v>0.0</v>
      </c>
      <c r="AE132" s="80">
        <f t="shared" si="2"/>
        <v>0</v>
      </c>
      <c r="AF132" s="140">
        <v>0.0</v>
      </c>
      <c r="AG132" s="109">
        <v>0.0</v>
      </c>
      <c r="AH132" s="109">
        <v>0.0</v>
      </c>
      <c r="AI132" s="141">
        <v>0.0</v>
      </c>
      <c r="AJ132" s="80">
        <f t="shared" si="3"/>
        <v>0</v>
      </c>
      <c r="AK132" s="140">
        <v>0.0</v>
      </c>
      <c r="AL132" s="109">
        <v>0.0</v>
      </c>
      <c r="AM132" s="141">
        <v>0.0</v>
      </c>
      <c r="AN132" s="80">
        <f t="shared" si="4"/>
        <v>0</v>
      </c>
      <c r="AO132" s="140">
        <v>0.0</v>
      </c>
      <c r="AP132" s="109">
        <v>0.0</v>
      </c>
      <c r="AQ132" s="109">
        <v>58.0</v>
      </c>
      <c r="AR132" s="80">
        <f t="shared" si="5"/>
        <v>58</v>
      </c>
      <c r="AS132" s="110">
        <v>0.0</v>
      </c>
      <c r="AT132" s="110">
        <v>0.0</v>
      </c>
      <c r="AU132" s="110">
        <v>0.0</v>
      </c>
      <c r="AV132" s="142">
        <v>0.0</v>
      </c>
      <c r="AW132" s="80">
        <f t="shared" si="6"/>
        <v>0</v>
      </c>
      <c r="AX132" s="113">
        <f t="shared" si="7"/>
        <v>58</v>
      </c>
      <c r="AY132" s="117">
        <f t="shared" si="8"/>
        <v>0</v>
      </c>
      <c r="AZ132" s="120">
        <f t="shared" si="9"/>
        <v>58</v>
      </c>
      <c r="BA132" s="115">
        <v>0.0</v>
      </c>
      <c r="BB132" s="89">
        <f t="shared" si="10"/>
        <v>58</v>
      </c>
      <c r="BC132" s="132" t="s">
        <v>178</v>
      </c>
      <c r="BD132" s="143" t="s">
        <v>227</v>
      </c>
      <c r="BE132" s="132" t="s">
        <v>178</v>
      </c>
      <c r="BF132" s="123"/>
      <c r="BG132" s="83">
        <v>1178839.0</v>
      </c>
      <c r="BH132" s="144"/>
      <c r="BI132" s="112">
        <v>3.0</v>
      </c>
      <c r="BJ132" s="98" t="s">
        <v>155</v>
      </c>
      <c r="BK132" s="99">
        <f t="shared" si="11"/>
        <v>0</v>
      </c>
      <c r="BL132" s="99">
        <f t="shared" si="12"/>
        <v>0</v>
      </c>
      <c r="BM132" s="99" t="str">
        <f>IFERROR(__xludf.DUMMYFUNCTION("IFERROR(VLOOKUP(BG132,IMPORTRANGE(""https://docs.google.com/spreadsheets/d/1juPI-Fb8LD0YtltB2mlGEnp_R3UVu1t3wSFPzgCyHXE/edit?gid=0#gid=0"",""GERAL!A2:C""),3,0),""-"")"),"-")</f>
        <v>-</v>
      </c>
    </row>
    <row r="133" ht="31.5" customHeight="1">
      <c r="A133" s="111" t="s">
        <v>205</v>
      </c>
      <c r="B133" s="83" t="s">
        <v>665</v>
      </c>
      <c r="C133" s="83" t="s">
        <v>164</v>
      </c>
      <c r="D133" s="112">
        <v>1179431.0</v>
      </c>
      <c r="E133" s="83">
        <v>1178840.0</v>
      </c>
      <c r="F133" s="98">
        <v>2.9461499E7</v>
      </c>
      <c r="G133" s="185" t="s">
        <v>674</v>
      </c>
      <c r="H133" s="91" t="s">
        <v>675</v>
      </c>
      <c r="I133" s="83" t="s">
        <v>149</v>
      </c>
      <c r="J133" s="83" t="s">
        <v>252</v>
      </c>
      <c r="K133" s="83" t="s">
        <v>168</v>
      </c>
      <c r="L133" s="83" t="s">
        <v>169</v>
      </c>
      <c r="M133" s="82" t="str">
        <f>IFERROR(__xludf.DUMMYFUNCTION("IFERROR(VLOOKUP(D133,
IMPORTRANGE(""https://docs.google.com/spreadsheets/d/1MjHtlUikwobi2MaWJgy7tfLeBmhj1u-dRFRs_8GwSoA/edit#gid=0"",""Gestores Escolares!D7:J""),3,0),""VERIFICAR CÓD SEC"")"),"NEIDE RAFAEL DE SOUZA ROCHA")</f>
        <v>NEIDE RAFAEL DE SOUZA ROCHA</v>
      </c>
      <c r="N133" s="82" t="str">
        <f>IFERROR(__xludf.DUMMYFUNCTION("IFERROR(VLOOKUP(D133,
IMPORTRANGE(""https://docs.google.com/spreadsheets/d/1MjHtlUikwobi2MaWJgy7tfLeBmhj1u-dRFRs_8GwSoA/edit#gid=0"",""Gestores Escolares!D7:J""),4,0),""VERIFICAR CÓD SEC"")"),"(74) 9 9807-3175")</f>
        <v>(74) 9 9807-3175</v>
      </c>
      <c r="O133" s="82" t="str">
        <f>IFERROR(__xludf.DUMMYFUNCTION("IFERROR(VLOOKUP(D133,
IMPORTRANGE(""https://docs.google.com/spreadsheets/d/1MjHtlUikwobi2MaWJgy7tfLeBmhj1u-dRFRs_8GwSoA/edit#gid=0"",""Gestores Escolares!D7:J""),6,0),""VERIFICAR CÓD SEC"")"),"FRANCISCO DE ARAUJO LEAL")</f>
        <v>FRANCISCO DE ARAUJO LEAL</v>
      </c>
      <c r="P133" s="82" t="str">
        <f>IFERROR(__xludf.DUMMYFUNCTION("IFERROR(VLOOKUP(D133,
IMPORTRANGE(""https://docs.google.com/spreadsheets/d/1MjHtlUikwobi2MaWJgy7tfLeBmhj1u-dRFRs_8GwSoA/edit#gid=0"",""Gestores Escolares!D7:J""),7,0),""VERIFICAR CÓD SEC"")"),"(74) 9 8836-8463")</f>
        <v>(74) 9 8836-8463</v>
      </c>
      <c r="Q133" s="82" t="str">
        <f>IFERROR(__xludf.DUMMYFUNCTION("IFERROR(VLOOKUP(D133,
IMPORTRANGE(""https://docs.google.com/spreadsheets/d/1MjHtlUikwobi2MaWJgy7tfLeBmhj1u-dRFRs_8GwSoA/edit#gid=0"",""Gestores Escolares!D7:m""),9,0),""VERIFICAR CÓD SEC"")"),"CLAUDEMIR CELSO LIMA")</f>
        <v>CLAUDEMIR CELSO LIMA</v>
      </c>
      <c r="R133" s="82" t="str">
        <f>IFERROR(__xludf.DUMMYFUNCTION("IFERROR(VLOOKUP(D133,
IMPORTRANGE(""https://docs.google.com/spreadsheets/d/1MjHtlUikwobi2MaWJgy7tfLeBmhj1u-dRFRs_8GwSoA/edit#gid=0"",""Gestores Escolares!D7:m""),10,0),""VERIFICAR CÓD SEC"")"),"(74) 9 9952-3072")</f>
        <v>(74) 9 9952-3072</v>
      </c>
      <c r="S133" s="82"/>
      <c r="T133" s="138">
        <v>3.0</v>
      </c>
      <c r="U133" s="139">
        <v>3.0</v>
      </c>
      <c r="V133" s="106">
        <v>0.0</v>
      </c>
      <c r="W133" s="107">
        <v>0.0</v>
      </c>
      <c r="X133" s="107">
        <v>0.0</v>
      </c>
      <c r="Y133" s="107">
        <v>0.0</v>
      </c>
      <c r="Z133" s="80">
        <f t="shared" si="1"/>
        <v>0</v>
      </c>
      <c r="AA133" s="106">
        <v>0.0</v>
      </c>
      <c r="AB133" s="107">
        <v>0.0</v>
      </c>
      <c r="AC133" s="107">
        <v>0.0</v>
      </c>
      <c r="AD133" s="107">
        <v>0.0</v>
      </c>
      <c r="AE133" s="80">
        <f t="shared" si="2"/>
        <v>0</v>
      </c>
      <c r="AF133" s="140">
        <v>0.0</v>
      </c>
      <c r="AG133" s="109">
        <v>0.0</v>
      </c>
      <c r="AH133" s="109">
        <v>43.0</v>
      </c>
      <c r="AI133" s="141">
        <v>0.0</v>
      </c>
      <c r="AJ133" s="80">
        <f t="shared" si="3"/>
        <v>43</v>
      </c>
      <c r="AK133" s="140">
        <v>0.0</v>
      </c>
      <c r="AL133" s="109">
        <v>0.0</v>
      </c>
      <c r="AM133" s="141">
        <v>0.0</v>
      </c>
      <c r="AN133" s="80">
        <f t="shared" si="4"/>
        <v>0</v>
      </c>
      <c r="AO133" s="140">
        <v>0.0</v>
      </c>
      <c r="AP133" s="109">
        <v>0.0</v>
      </c>
      <c r="AQ133" s="109">
        <v>0.0</v>
      </c>
      <c r="AR133" s="80">
        <f t="shared" si="5"/>
        <v>0</v>
      </c>
      <c r="AS133" s="110">
        <v>0.0</v>
      </c>
      <c r="AT133" s="110">
        <v>0.0</v>
      </c>
      <c r="AU133" s="110">
        <v>0.0</v>
      </c>
      <c r="AV133" s="142">
        <v>0.0</v>
      </c>
      <c r="AW133" s="80">
        <f t="shared" si="6"/>
        <v>0</v>
      </c>
      <c r="AX133" s="113">
        <f t="shared" si="7"/>
        <v>43</v>
      </c>
      <c r="AY133" s="117">
        <f t="shared" si="8"/>
        <v>0</v>
      </c>
      <c r="AZ133" s="120">
        <f t="shared" si="9"/>
        <v>43</v>
      </c>
      <c r="BA133" s="115">
        <v>0.0</v>
      </c>
      <c r="BB133" s="89">
        <f t="shared" si="10"/>
        <v>43</v>
      </c>
      <c r="BC133" s="132" t="s">
        <v>178</v>
      </c>
      <c r="BD133" s="143" t="s">
        <v>227</v>
      </c>
      <c r="BE133" s="132" t="s">
        <v>178</v>
      </c>
      <c r="BF133" s="123"/>
      <c r="BG133" s="83">
        <v>1178840.0</v>
      </c>
      <c r="BH133" s="144"/>
      <c r="BI133" s="112">
        <v>3.0</v>
      </c>
      <c r="BJ133" s="98" t="s">
        <v>155</v>
      </c>
      <c r="BK133" s="99">
        <f t="shared" si="11"/>
        <v>0</v>
      </c>
      <c r="BL133" s="99">
        <f t="shared" si="12"/>
        <v>0</v>
      </c>
      <c r="BM133" s="99" t="str">
        <f>IFERROR(__xludf.DUMMYFUNCTION("IFERROR(VLOOKUP(BG133,IMPORTRANGE(""https://docs.google.com/spreadsheets/d/1juPI-Fb8LD0YtltB2mlGEnp_R3UVu1t3wSFPzgCyHXE/edit?gid=0#gid=0"",""GERAL!A2:C""),3,0),""-"")"),"-")</f>
        <v>-</v>
      </c>
    </row>
    <row r="134" ht="15.75" customHeight="1">
      <c r="A134" s="111" t="s">
        <v>205</v>
      </c>
      <c r="B134" s="83" t="s">
        <v>665</v>
      </c>
      <c r="C134" s="83" t="s">
        <v>164</v>
      </c>
      <c r="D134" s="112">
        <v>1179431.0</v>
      </c>
      <c r="E134" s="83">
        <v>1178841.0</v>
      </c>
      <c r="F134" s="83">
        <v>2.9461499E7</v>
      </c>
      <c r="G134" s="241" t="s">
        <v>676</v>
      </c>
      <c r="H134" s="91" t="s">
        <v>677</v>
      </c>
      <c r="I134" s="186" t="s">
        <v>171</v>
      </c>
      <c r="J134" s="115" t="s">
        <v>678</v>
      </c>
      <c r="K134" s="98" t="s">
        <v>168</v>
      </c>
      <c r="L134" s="98" t="s">
        <v>512</v>
      </c>
      <c r="M134" s="82" t="str">
        <f>IFERROR(__xludf.DUMMYFUNCTION("IFERROR(VLOOKUP(D134,
IMPORTRANGE(""https://docs.google.com/spreadsheets/d/1MjHtlUikwobi2MaWJgy7tfLeBmhj1u-dRFRs_8GwSoA/edit#gid=0"",""Gestores Escolares!D7:J""),3,0),""VERIFICAR CÓD SEC"")"),"NEIDE RAFAEL DE SOUZA ROCHA")</f>
        <v>NEIDE RAFAEL DE SOUZA ROCHA</v>
      </c>
      <c r="N134" s="82" t="str">
        <f>IFERROR(__xludf.DUMMYFUNCTION("IFERROR(VLOOKUP(D134,
IMPORTRANGE(""https://docs.google.com/spreadsheets/d/1MjHtlUikwobi2MaWJgy7tfLeBmhj1u-dRFRs_8GwSoA/edit#gid=0"",""Gestores Escolares!D7:J""),4,0),""VERIFICAR CÓD SEC"")"),"(74) 9 9807-3175")</f>
        <v>(74) 9 9807-3175</v>
      </c>
      <c r="O134" s="82" t="str">
        <f>IFERROR(__xludf.DUMMYFUNCTION("IFERROR(VLOOKUP(D134,
IMPORTRANGE(""https://docs.google.com/spreadsheets/d/1MjHtlUikwobi2MaWJgy7tfLeBmhj1u-dRFRs_8GwSoA/edit#gid=0"",""Gestores Escolares!D7:J""),6,0),""VERIFICAR CÓD SEC"")"),"FRANCISCO DE ARAUJO LEAL")</f>
        <v>FRANCISCO DE ARAUJO LEAL</v>
      </c>
      <c r="P134" s="82" t="str">
        <f>IFERROR(__xludf.DUMMYFUNCTION("IFERROR(VLOOKUP(D134,
IMPORTRANGE(""https://docs.google.com/spreadsheets/d/1MjHtlUikwobi2MaWJgy7tfLeBmhj1u-dRFRs_8GwSoA/edit#gid=0"",""Gestores Escolares!D7:J""),7,0),""VERIFICAR CÓD SEC"")"),"(74) 9 8836-8463")</f>
        <v>(74) 9 8836-8463</v>
      </c>
      <c r="Q134" s="82" t="str">
        <f>IFERROR(__xludf.DUMMYFUNCTION("IFERROR(VLOOKUP(D134,
IMPORTRANGE(""https://docs.google.com/spreadsheets/d/1MjHtlUikwobi2MaWJgy7tfLeBmhj1u-dRFRs_8GwSoA/edit#gid=0"",""Gestores Escolares!D7:m""),9,0),""VERIFICAR CÓD SEC"")"),"CLAUDEMIR CELSO LIMA")</f>
        <v>CLAUDEMIR CELSO LIMA</v>
      </c>
      <c r="R134" s="82" t="str">
        <f>IFERROR(__xludf.DUMMYFUNCTION("IFERROR(VLOOKUP(D134,
IMPORTRANGE(""https://docs.google.com/spreadsheets/d/1MjHtlUikwobi2MaWJgy7tfLeBmhj1u-dRFRs_8GwSoA/edit#gid=0"",""Gestores Escolares!D7:m""),10,0),""VERIFICAR CÓD SEC"")"),"(74) 9 9952-3072")</f>
        <v>(74) 9 9952-3072</v>
      </c>
      <c r="S134" s="82"/>
      <c r="T134" s="138"/>
      <c r="U134" s="145">
        <v>2.0</v>
      </c>
      <c r="V134" s="106">
        <v>0.0</v>
      </c>
      <c r="W134" s="107">
        <v>0.0</v>
      </c>
      <c r="X134" s="107">
        <v>0.0</v>
      </c>
      <c r="Y134" s="107">
        <v>0.0</v>
      </c>
      <c r="Z134" s="80">
        <f t="shared" si="1"/>
        <v>0</v>
      </c>
      <c r="AA134" s="106">
        <v>0.0</v>
      </c>
      <c r="AB134" s="107">
        <v>0.0</v>
      </c>
      <c r="AC134" s="107">
        <v>0.0</v>
      </c>
      <c r="AD134" s="107">
        <v>0.0</v>
      </c>
      <c r="AE134" s="80">
        <f t="shared" si="2"/>
        <v>0</v>
      </c>
      <c r="AF134" s="140">
        <v>0.0</v>
      </c>
      <c r="AG134" s="109">
        <v>0.0</v>
      </c>
      <c r="AH134" s="109">
        <v>32.0</v>
      </c>
      <c r="AI134" s="141">
        <v>0.0</v>
      </c>
      <c r="AJ134" s="80">
        <f t="shared" si="3"/>
        <v>32</v>
      </c>
      <c r="AK134" s="140">
        <v>0.0</v>
      </c>
      <c r="AL134" s="109">
        <v>0.0</v>
      </c>
      <c r="AM134" s="141">
        <v>0.0</v>
      </c>
      <c r="AN134" s="80">
        <f t="shared" si="4"/>
        <v>0</v>
      </c>
      <c r="AO134" s="140">
        <v>0.0</v>
      </c>
      <c r="AP134" s="109">
        <v>0.0</v>
      </c>
      <c r="AQ134" s="109">
        <v>0.0</v>
      </c>
      <c r="AR134" s="80">
        <f t="shared" si="5"/>
        <v>0</v>
      </c>
      <c r="AS134" s="110">
        <v>0.0</v>
      </c>
      <c r="AT134" s="110">
        <v>0.0</v>
      </c>
      <c r="AU134" s="110">
        <v>0.0</v>
      </c>
      <c r="AV134" s="142">
        <v>0.0</v>
      </c>
      <c r="AW134" s="80">
        <f t="shared" si="6"/>
        <v>0</v>
      </c>
      <c r="AX134" s="113">
        <f t="shared" si="7"/>
        <v>32</v>
      </c>
      <c r="AY134" s="117">
        <f t="shared" si="8"/>
        <v>0</v>
      </c>
      <c r="AZ134" s="120">
        <f t="shared" si="9"/>
        <v>32</v>
      </c>
      <c r="BA134" s="115">
        <v>0.0</v>
      </c>
      <c r="BB134" s="89">
        <f t="shared" si="10"/>
        <v>32</v>
      </c>
      <c r="BC134" s="132" t="s">
        <v>178</v>
      </c>
      <c r="BD134" s="143" t="s">
        <v>227</v>
      </c>
      <c r="BE134" s="132" t="s">
        <v>178</v>
      </c>
      <c r="BF134" s="156"/>
      <c r="BG134" s="83">
        <v>1178841.0</v>
      </c>
      <c r="BH134" s="144"/>
      <c r="BI134" s="112">
        <v>2.0</v>
      </c>
      <c r="BJ134" s="98" t="s">
        <v>155</v>
      </c>
      <c r="BK134" s="99">
        <f t="shared" si="11"/>
        <v>0</v>
      </c>
      <c r="BL134" s="99">
        <f t="shared" si="12"/>
        <v>0</v>
      </c>
      <c r="BM134" s="99" t="str">
        <f>IFERROR(__xludf.DUMMYFUNCTION("IFERROR(VLOOKUP(BG134,IMPORTRANGE(""https://docs.google.com/spreadsheets/d/1juPI-Fb8LD0YtltB2mlGEnp_R3UVu1t3wSFPzgCyHXE/edit?gid=0#gid=0"",""GERAL!A2:C""),3,0),""-"")"),"-")</f>
        <v>-</v>
      </c>
    </row>
    <row r="135" ht="15.75" customHeight="1">
      <c r="A135" s="111" t="s">
        <v>205</v>
      </c>
      <c r="B135" s="83" t="s">
        <v>665</v>
      </c>
      <c r="C135" s="83" t="s">
        <v>164</v>
      </c>
      <c r="D135" s="112">
        <v>1179431.0</v>
      </c>
      <c r="E135" s="83">
        <v>1179318.0</v>
      </c>
      <c r="F135" s="98">
        <v>2.9461499E7</v>
      </c>
      <c r="G135" s="185" t="s">
        <v>679</v>
      </c>
      <c r="H135" s="91" t="s">
        <v>680</v>
      </c>
      <c r="I135" s="83" t="s">
        <v>149</v>
      </c>
      <c r="J135" s="83" t="s">
        <v>641</v>
      </c>
      <c r="K135" s="83" t="s">
        <v>168</v>
      </c>
      <c r="L135" s="83" t="s">
        <v>169</v>
      </c>
      <c r="M135" s="82" t="str">
        <f>IFERROR(__xludf.DUMMYFUNCTION("IFERROR(VLOOKUP(D135,
IMPORTRANGE(""https://docs.google.com/spreadsheets/d/1MjHtlUikwobi2MaWJgy7tfLeBmhj1u-dRFRs_8GwSoA/edit#gid=0"",""Gestores Escolares!D7:J""),3,0),""VERIFICAR CÓD SEC"")"),"NEIDE RAFAEL DE SOUZA ROCHA")</f>
        <v>NEIDE RAFAEL DE SOUZA ROCHA</v>
      </c>
      <c r="N135" s="82" t="str">
        <f>IFERROR(__xludf.DUMMYFUNCTION("IFERROR(VLOOKUP(D135,
IMPORTRANGE(""https://docs.google.com/spreadsheets/d/1MjHtlUikwobi2MaWJgy7tfLeBmhj1u-dRFRs_8GwSoA/edit#gid=0"",""Gestores Escolares!D7:J""),4,0),""VERIFICAR CÓD SEC"")"),"(74) 9 9807-3175")</f>
        <v>(74) 9 9807-3175</v>
      </c>
      <c r="O135" s="82" t="str">
        <f>IFERROR(__xludf.DUMMYFUNCTION("IFERROR(VLOOKUP(D135,
IMPORTRANGE(""https://docs.google.com/spreadsheets/d/1MjHtlUikwobi2MaWJgy7tfLeBmhj1u-dRFRs_8GwSoA/edit#gid=0"",""Gestores Escolares!D7:J""),6,0),""VERIFICAR CÓD SEC"")"),"FRANCISCO DE ARAUJO LEAL")</f>
        <v>FRANCISCO DE ARAUJO LEAL</v>
      </c>
      <c r="P135" s="82" t="str">
        <f>IFERROR(__xludf.DUMMYFUNCTION("IFERROR(VLOOKUP(D135,
IMPORTRANGE(""https://docs.google.com/spreadsheets/d/1MjHtlUikwobi2MaWJgy7tfLeBmhj1u-dRFRs_8GwSoA/edit#gid=0"",""Gestores Escolares!D7:J""),7,0),""VERIFICAR CÓD SEC"")"),"(74) 9 8836-8463")</f>
        <v>(74) 9 8836-8463</v>
      </c>
      <c r="Q135" s="82" t="str">
        <f>IFERROR(__xludf.DUMMYFUNCTION("IFERROR(VLOOKUP(D135,
IMPORTRANGE(""https://docs.google.com/spreadsheets/d/1MjHtlUikwobi2MaWJgy7tfLeBmhj1u-dRFRs_8GwSoA/edit#gid=0"",""Gestores Escolares!D7:m""),9,0),""VERIFICAR CÓD SEC"")"),"CLAUDEMIR CELSO LIMA")</f>
        <v>CLAUDEMIR CELSO LIMA</v>
      </c>
      <c r="R135" s="82" t="str">
        <f>IFERROR(__xludf.DUMMYFUNCTION("IFERROR(VLOOKUP(D135,
IMPORTRANGE(""https://docs.google.com/spreadsheets/d/1MjHtlUikwobi2MaWJgy7tfLeBmhj1u-dRFRs_8GwSoA/edit#gid=0"",""Gestores Escolares!D7:m""),10,0),""VERIFICAR CÓD SEC"")"),"(74) 9 9952-3072")</f>
        <v>(74) 9 9952-3072</v>
      </c>
      <c r="S135" s="82"/>
      <c r="T135" s="138">
        <v>2.0</v>
      </c>
      <c r="U135" s="145">
        <v>2.0</v>
      </c>
      <c r="V135" s="106">
        <v>0.0</v>
      </c>
      <c r="W135" s="107">
        <v>0.0</v>
      </c>
      <c r="X135" s="107">
        <v>0.0</v>
      </c>
      <c r="Y135" s="107">
        <v>0.0</v>
      </c>
      <c r="Z135" s="80">
        <f t="shared" si="1"/>
        <v>0</v>
      </c>
      <c r="AA135" s="106">
        <v>0.0</v>
      </c>
      <c r="AB135" s="107">
        <v>0.0</v>
      </c>
      <c r="AC135" s="107">
        <v>0.0</v>
      </c>
      <c r="AD135" s="107">
        <v>0.0</v>
      </c>
      <c r="AE135" s="80">
        <f t="shared" si="2"/>
        <v>0</v>
      </c>
      <c r="AF135" s="140">
        <v>0.0</v>
      </c>
      <c r="AG135" s="109">
        <v>0.0</v>
      </c>
      <c r="AH135" s="109">
        <v>35.0</v>
      </c>
      <c r="AI135" s="141">
        <v>0.0</v>
      </c>
      <c r="AJ135" s="80">
        <f t="shared" si="3"/>
        <v>35</v>
      </c>
      <c r="AK135" s="140">
        <v>0.0</v>
      </c>
      <c r="AL135" s="109">
        <v>0.0</v>
      </c>
      <c r="AM135" s="141">
        <v>0.0</v>
      </c>
      <c r="AN135" s="80">
        <f t="shared" si="4"/>
        <v>0</v>
      </c>
      <c r="AO135" s="140">
        <v>0.0</v>
      </c>
      <c r="AP135" s="109">
        <v>0.0</v>
      </c>
      <c r="AQ135" s="109">
        <v>0.0</v>
      </c>
      <c r="AR135" s="80">
        <f t="shared" si="5"/>
        <v>0</v>
      </c>
      <c r="AS135" s="110">
        <v>0.0</v>
      </c>
      <c r="AT135" s="110">
        <v>0.0</v>
      </c>
      <c r="AU135" s="110">
        <v>0.0</v>
      </c>
      <c r="AV135" s="142">
        <v>0.0</v>
      </c>
      <c r="AW135" s="80">
        <f t="shared" si="6"/>
        <v>0</v>
      </c>
      <c r="AX135" s="113">
        <f t="shared" si="7"/>
        <v>35</v>
      </c>
      <c r="AY135" s="117">
        <f t="shared" si="8"/>
        <v>0</v>
      </c>
      <c r="AZ135" s="120">
        <f t="shared" si="9"/>
        <v>35</v>
      </c>
      <c r="BA135" s="115">
        <v>0.0</v>
      </c>
      <c r="BB135" s="89">
        <f t="shared" si="10"/>
        <v>35</v>
      </c>
      <c r="BC135" s="132" t="s">
        <v>178</v>
      </c>
      <c r="BD135" s="143" t="s">
        <v>227</v>
      </c>
      <c r="BE135" s="132" t="s">
        <v>178</v>
      </c>
      <c r="BF135" s="156"/>
      <c r="BG135" s="83">
        <v>1179318.0</v>
      </c>
      <c r="BH135" s="144"/>
      <c r="BI135" s="112">
        <v>2.0</v>
      </c>
      <c r="BJ135" s="98" t="s">
        <v>155</v>
      </c>
      <c r="BK135" s="99">
        <f t="shared" si="11"/>
        <v>0</v>
      </c>
      <c r="BL135" s="99">
        <f t="shared" si="12"/>
        <v>0</v>
      </c>
      <c r="BM135" s="99" t="str">
        <f>IFERROR(__xludf.DUMMYFUNCTION("IFERROR(VLOOKUP(BG135,IMPORTRANGE(""https://docs.google.com/spreadsheets/d/1juPI-Fb8LD0YtltB2mlGEnp_R3UVu1t3wSFPzgCyHXE/edit?gid=0#gid=0"",""GERAL!A2:C""),3,0),""-"")"),"-")</f>
        <v>-</v>
      </c>
    </row>
    <row r="136" ht="15.75" customHeight="1">
      <c r="A136" s="111" t="s">
        <v>205</v>
      </c>
      <c r="B136" s="83" t="s">
        <v>681</v>
      </c>
      <c r="C136" s="83" t="s">
        <v>68</v>
      </c>
      <c r="D136" s="112">
        <v>1178009.0</v>
      </c>
      <c r="E136" s="83"/>
      <c r="F136" s="83">
        <v>2.9425395E7</v>
      </c>
      <c r="G136" s="147" t="s">
        <v>682</v>
      </c>
      <c r="H136" s="108" t="s">
        <v>683</v>
      </c>
      <c r="I136" s="115" t="s">
        <v>684</v>
      </c>
      <c r="J136" s="136" t="s">
        <v>150</v>
      </c>
      <c r="K136" s="83" t="s">
        <v>151</v>
      </c>
      <c r="L136" s="83" t="s">
        <v>152</v>
      </c>
      <c r="M136" s="82" t="str">
        <f>IFERROR(__xludf.DUMMYFUNCTION("IFERROR(VLOOKUP(D136,
IMPORTRANGE(""https://docs.google.com/spreadsheets/d/1MjHtlUikwobi2MaWJgy7tfLeBmhj1u-dRFRs_8GwSoA/edit#gid=0"",""Gestores Escolares!D7:J""),3,0),""VERIFICAR CÓD SEC"")"),"ILKA MARIA MOURA BRANDAO")</f>
        <v>ILKA MARIA MOURA BRANDAO</v>
      </c>
      <c r="N136" s="82" t="str">
        <f>IFERROR(__xludf.DUMMYFUNCTION("IFERROR(VLOOKUP(D136,
IMPORTRANGE(""https://docs.google.com/spreadsheets/d/1MjHtlUikwobi2MaWJgy7tfLeBmhj1u-dRFRs_8GwSoA/edit#gid=0"",""Gestores Escolares!D7:J""),4,0),""VERIFICAR CÓD SEC"")"),"(77) 9 9941-0420")</f>
        <v>(77) 9 9941-0420</v>
      </c>
      <c r="O136" s="82" t="str">
        <f>IFERROR(__xludf.DUMMYFUNCTION("IFERROR(VLOOKUP(D136,
IMPORTRANGE(""https://docs.google.com/spreadsheets/d/1MjHtlUikwobi2MaWJgy7tfLeBmhj1u-dRFRs_8GwSoA/edit#gid=0"",""Gestores Escolares!D7:J""),6,0),""VERIFICAR CÓD SEC"")")," ALAIDE MARIA VAZ")</f>
        <v> ALAIDE MARIA VAZ</v>
      </c>
      <c r="P136" s="82" t="str">
        <f>IFERROR(__xludf.DUMMYFUNCTION("IFERROR(VLOOKUP(D136,
IMPORTRANGE(""https://docs.google.com/spreadsheets/d/1MjHtlUikwobi2MaWJgy7tfLeBmhj1u-dRFRs_8GwSoA/edit#gid=0"",""Gestores Escolares!D7:J""),7,0),""VERIFICAR CÓD SEC"")")," (77) 9 9978-1813")</f>
        <v> (77) 9 9978-1813</v>
      </c>
      <c r="Q136" s="82" t="str">
        <f>IFERROR(__xludf.DUMMYFUNCTION("IFERROR(VLOOKUP(D136,
IMPORTRANGE(""https://docs.google.com/spreadsheets/d/1MjHtlUikwobi2MaWJgy7tfLeBmhj1u-dRFRs_8GwSoA/edit#gid=0"",""Gestores Escolares!D7:m""),9,0),""VERIFICAR CÓD SEC"")"),"")</f>
        <v/>
      </c>
      <c r="R136" s="82" t="str">
        <f>IFERROR(__xludf.DUMMYFUNCTION("IFERROR(VLOOKUP(D136,
IMPORTRANGE(""https://docs.google.com/spreadsheets/d/1MjHtlUikwobi2MaWJgy7tfLeBmhj1u-dRFRs_8GwSoA/edit#gid=0"",""Gestores Escolares!D7:m""),10,0),""VERIFICAR CÓD SEC"")"),"")</f>
        <v/>
      </c>
      <c r="S136" s="82"/>
      <c r="T136" s="138">
        <v>10.0</v>
      </c>
      <c r="U136" s="145" t="s">
        <v>1533</v>
      </c>
      <c r="V136" s="106">
        <v>0.0</v>
      </c>
      <c r="W136" s="107">
        <v>0.0</v>
      </c>
      <c r="X136" s="107">
        <v>0.0</v>
      </c>
      <c r="Y136" s="107">
        <v>0.0</v>
      </c>
      <c r="Z136" s="80">
        <f t="shared" si="1"/>
        <v>0</v>
      </c>
      <c r="AA136" s="106">
        <v>0.0</v>
      </c>
      <c r="AB136" s="107">
        <v>0.0</v>
      </c>
      <c r="AC136" s="107">
        <v>0.0</v>
      </c>
      <c r="AD136" s="107">
        <v>0.0</v>
      </c>
      <c r="AE136" s="80">
        <f t="shared" si="2"/>
        <v>0</v>
      </c>
      <c r="AF136" s="140">
        <v>94.0</v>
      </c>
      <c r="AG136" s="109">
        <v>106.0</v>
      </c>
      <c r="AH136" s="109">
        <v>0.0</v>
      </c>
      <c r="AI136" s="141">
        <v>359.0</v>
      </c>
      <c r="AJ136" s="80">
        <f t="shared" si="3"/>
        <v>559</v>
      </c>
      <c r="AK136" s="140">
        <v>0.0</v>
      </c>
      <c r="AL136" s="109">
        <v>0.0</v>
      </c>
      <c r="AM136" s="141">
        <v>0.0</v>
      </c>
      <c r="AN136" s="80">
        <f t="shared" si="4"/>
        <v>0</v>
      </c>
      <c r="AO136" s="140">
        <v>0.0</v>
      </c>
      <c r="AP136" s="109">
        <v>0.0</v>
      </c>
      <c r="AQ136" s="109">
        <v>76.0</v>
      </c>
      <c r="AR136" s="80">
        <f t="shared" si="5"/>
        <v>76</v>
      </c>
      <c r="AS136" s="110">
        <v>0.0</v>
      </c>
      <c r="AT136" s="110">
        <v>0.0</v>
      </c>
      <c r="AU136" s="110">
        <v>17.0</v>
      </c>
      <c r="AV136" s="142">
        <v>80.0</v>
      </c>
      <c r="AW136" s="80">
        <f t="shared" si="6"/>
        <v>97</v>
      </c>
      <c r="AX136" s="113">
        <f t="shared" si="7"/>
        <v>732</v>
      </c>
      <c r="AY136" s="117">
        <f t="shared" si="8"/>
        <v>639</v>
      </c>
      <c r="AZ136" s="120">
        <f t="shared" si="9"/>
        <v>93</v>
      </c>
      <c r="BA136" s="115">
        <v>0.0</v>
      </c>
      <c r="BB136" s="89">
        <f t="shared" si="10"/>
        <v>732</v>
      </c>
      <c r="BC136" s="132" t="s">
        <v>178</v>
      </c>
      <c r="BD136" s="132" t="s">
        <v>178</v>
      </c>
      <c r="BE136" s="132" t="s">
        <v>178</v>
      </c>
      <c r="BF136" s="156"/>
      <c r="BG136" s="83">
        <v>1178009.0</v>
      </c>
      <c r="BH136" s="98" t="s">
        <v>1539</v>
      </c>
      <c r="BI136" s="112">
        <v>10.0</v>
      </c>
      <c r="BJ136" s="98" t="s">
        <v>176</v>
      </c>
      <c r="BK136" s="99">
        <f t="shared" si="11"/>
        <v>439</v>
      </c>
      <c r="BL136" s="99">
        <f t="shared" si="12"/>
        <v>200</v>
      </c>
      <c r="BM136" s="99" t="str">
        <f>IFERROR(__xludf.DUMMYFUNCTION("IFERROR(VLOOKUP(BG136,IMPORTRANGE(""https://docs.google.com/spreadsheets/d/1juPI-Fb8LD0YtltB2mlGEnp_R3UVu1t3wSFPzgCyHXE/edit?gid=0#gid=0"",""GERAL!A2:C""),3,0),""-"")"),"-")</f>
        <v>-</v>
      </c>
    </row>
    <row r="137" ht="15.75" customHeight="1">
      <c r="A137" s="111" t="s">
        <v>205</v>
      </c>
      <c r="B137" s="83" t="s">
        <v>681</v>
      </c>
      <c r="C137" s="83" t="s">
        <v>45</v>
      </c>
      <c r="D137" s="98">
        <v>1179757.0</v>
      </c>
      <c r="E137" s="98"/>
      <c r="F137" s="189">
        <v>2.948126E7</v>
      </c>
      <c r="G137" s="147" t="s">
        <v>688</v>
      </c>
      <c r="H137" s="91" t="s">
        <v>689</v>
      </c>
      <c r="I137" s="115" t="s">
        <v>576</v>
      </c>
      <c r="J137" s="115" t="s">
        <v>150</v>
      </c>
      <c r="K137" s="136" t="s">
        <v>690</v>
      </c>
      <c r="L137" s="83" t="s">
        <v>169</v>
      </c>
      <c r="M137" s="82" t="str">
        <f>IFERROR(__xludf.DUMMYFUNCTION("IFERROR(VLOOKUP(D137,
IMPORTRANGE(""https://docs.google.com/spreadsheets/d/1MjHtlUikwobi2MaWJgy7tfLeBmhj1u-dRFRs_8GwSoA/edit#gid=0"",""Gestores Escolares!D7:J""),3,0),""VERIFICAR CÓD SEC"")"),"VERIFICAR CÓD SEC")</f>
        <v>VERIFICAR CÓD SEC</v>
      </c>
      <c r="N137" s="82" t="str">
        <f>IFERROR(__xludf.DUMMYFUNCTION("IFERROR(VLOOKUP(D137,
IMPORTRANGE(""https://docs.google.com/spreadsheets/d/1MjHtlUikwobi2MaWJgy7tfLeBmhj1u-dRFRs_8GwSoA/edit#gid=0"",""Gestores Escolares!D7:J""),4,0),""VERIFICAR CÓD SEC"")"),"VERIFICAR CÓD SEC")</f>
        <v>VERIFICAR CÓD SEC</v>
      </c>
      <c r="O137" s="82" t="str">
        <f>IFERROR(__xludf.DUMMYFUNCTION("IFERROR(VLOOKUP(D137,
IMPORTRANGE(""https://docs.google.com/spreadsheets/d/1MjHtlUikwobi2MaWJgy7tfLeBmhj1u-dRFRs_8GwSoA/edit#gid=0"",""Gestores Escolares!D7:J""),6,0),""VERIFICAR CÓD SEC"")"),"VERIFICAR CÓD SEC")</f>
        <v>VERIFICAR CÓD SEC</v>
      </c>
      <c r="P137" s="82" t="str">
        <f>IFERROR(__xludf.DUMMYFUNCTION("IFERROR(VLOOKUP(D137,
IMPORTRANGE(""https://docs.google.com/spreadsheets/d/1MjHtlUikwobi2MaWJgy7tfLeBmhj1u-dRFRs_8GwSoA/edit#gid=0"",""Gestores Escolares!D7:J""),7,0),""VERIFICAR CÓD SEC"")"),"VERIFICAR CÓD SEC")</f>
        <v>VERIFICAR CÓD SEC</v>
      </c>
      <c r="Q137" s="82" t="str">
        <f>IFERROR(__xludf.DUMMYFUNCTION("IFERROR(VLOOKUP(D137,
IMPORTRANGE(""https://docs.google.com/spreadsheets/d/1MjHtlUikwobi2MaWJgy7tfLeBmhj1u-dRFRs_8GwSoA/edit#gid=0"",""Gestores Escolares!D7:m""),9,0),""VERIFICAR CÓD SEC"")"),"VERIFICAR CÓD SEC")</f>
        <v>VERIFICAR CÓD SEC</v>
      </c>
      <c r="R137" s="82" t="str">
        <f>IFERROR(__xludf.DUMMYFUNCTION("IFERROR(VLOOKUP(D137,
IMPORTRANGE(""https://docs.google.com/spreadsheets/d/1MjHtlUikwobi2MaWJgy7tfLeBmhj1u-dRFRs_8GwSoA/edit#gid=0"",""Gestores Escolares!D7:m""),10,0),""VERIFICAR CÓD SEC"")"),"VERIFICAR CÓD SEC")</f>
        <v>VERIFICAR CÓD SEC</v>
      </c>
      <c r="S137" s="82"/>
      <c r="T137" s="138">
        <v>4.0</v>
      </c>
      <c r="U137" s="139" t="s">
        <v>171</v>
      </c>
      <c r="V137" s="106">
        <v>0.0</v>
      </c>
      <c r="W137" s="107">
        <v>0.0</v>
      </c>
      <c r="X137" s="107">
        <v>0.0</v>
      </c>
      <c r="Y137" s="107">
        <v>0.0</v>
      </c>
      <c r="Z137" s="80">
        <f t="shared" si="1"/>
        <v>0</v>
      </c>
      <c r="AA137" s="106">
        <v>0.0</v>
      </c>
      <c r="AB137" s="107">
        <v>0.0</v>
      </c>
      <c r="AC137" s="107">
        <v>0.0</v>
      </c>
      <c r="AD137" s="107">
        <v>0.0</v>
      </c>
      <c r="AE137" s="80">
        <f t="shared" si="2"/>
        <v>0</v>
      </c>
      <c r="AF137" s="225">
        <v>0.0</v>
      </c>
      <c r="AG137" s="226">
        <v>0.0</v>
      </c>
      <c r="AH137" s="226">
        <v>0.0</v>
      </c>
      <c r="AI137" s="227">
        <v>169.0</v>
      </c>
      <c r="AJ137" s="80">
        <f t="shared" si="3"/>
        <v>169</v>
      </c>
      <c r="AK137" s="140">
        <v>0.0</v>
      </c>
      <c r="AL137" s="109">
        <v>0.0</v>
      </c>
      <c r="AM137" s="141">
        <v>0.0</v>
      </c>
      <c r="AN137" s="80">
        <f t="shared" si="4"/>
        <v>0</v>
      </c>
      <c r="AO137" s="225">
        <v>0.0</v>
      </c>
      <c r="AP137" s="226">
        <v>0.0</v>
      </c>
      <c r="AQ137" s="226">
        <v>0.0</v>
      </c>
      <c r="AR137" s="80">
        <f t="shared" si="5"/>
        <v>0</v>
      </c>
      <c r="AS137" s="110">
        <v>0.0</v>
      </c>
      <c r="AT137" s="110">
        <v>0.0</v>
      </c>
      <c r="AU137" s="110">
        <v>0.0</v>
      </c>
      <c r="AV137" s="142">
        <v>0.0</v>
      </c>
      <c r="AW137" s="80">
        <f t="shared" si="6"/>
        <v>0</v>
      </c>
      <c r="AX137" s="113">
        <f t="shared" si="7"/>
        <v>169</v>
      </c>
      <c r="AY137" s="117">
        <f t="shared" si="8"/>
        <v>169</v>
      </c>
      <c r="AZ137" s="120">
        <f t="shared" si="9"/>
        <v>0</v>
      </c>
      <c r="BA137" s="115">
        <v>0.0</v>
      </c>
      <c r="BB137" s="89">
        <f t="shared" si="10"/>
        <v>169</v>
      </c>
      <c r="BC137" s="143" t="s">
        <v>54</v>
      </c>
      <c r="BD137" s="132" t="s">
        <v>178</v>
      </c>
      <c r="BE137" s="132" t="s">
        <v>178</v>
      </c>
      <c r="BF137" s="156"/>
      <c r="BG137" s="98">
        <v>1179757.0</v>
      </c>
      <c r="BH137" s="144"/>
      <c r="BI137" s="112">
        <v>4.0</v>
      </c>
      <c r="BJ137" s="98" t="s">
        <v>155</v>
      </c>
      <c r="BK137" s="99">
        <f t="shared" si="11"/>
        <v>169</v>
      </c>
      <c r="BL137" s="99">
        <f t="shared" si="12"/>
        <v>0</v>
      </c>
      <c r="BM137" s="99" t="str">
        <f>IFERROR(__xludf.DUMMYFUNCTION("IFERROR(VLOOKUP(BG137,IMPORTRANGE(""https://docs.google.com/spreadsheets/d/1juPI-Fb8LD0YtltB2mlGEnp_R3UVu1t3wSFPzgCyHXE/edit?gid=0#gid=0"",""GERAL!A2:C""),3,0),""-"")"),"EFA")</f>
        <v>EFA</v>
      </c>
    </row>
    <row r="138" ht="15.75" customHeight="1">
      <c r="A138" s="111" t="s">
        <v>205</v>
      </c>
      <c r="B138" s="83" t="s">
        <v>681</v>
      </c>
      <c r="C138" s="83" t="s">
        <v>164</v>
      </c>
      <c r="D138" s="190">
        <v>1178009.0</v>
      </c>
      <c r="E138" s="191">
        <v>1179749.0</v>
      </c>
      <c r="F138" s="98">
        <v>2.9490952E7</v>
      </c>
      <c r="G138" s="243" t="s">
        <v>692</v>
      </c>
      <c r="H138" s="108" t="s">
        <v>693</v>
      </c>
      <c r="I138" s="193"/>
      <c r="J138" s="136" t="s">
        <v>694</v>
      </c>
      <c r="K138" s="98" t="s">
        <v>168</v>
      </c>
      <c r="L138" s="83" t="s">
        <v>512</v>
      </c>
      <c r="M138" s="82" t="str">
        <f>IFERROR(__xludf.DUMMYFUNCTION("IFERROR(VLOOKUP(D138,
IMPORTRANGE(""https://docs.google.com/spreadsheets/d/1MjHtlUikwobi2MaWJgy7tfLeBmhj1u-dRFRs_8GwSoA/edit#gid=0"",""Gestores Escolares!D7:J""),3,0),""VERIFICAR CÓD SEC"")"),"ILKA MARIA MOURA BRANDAO")</f>
        <v>ILKA MARIA MOURA BRANDAO</v>
      </c>
      <c r="N138" s="82" t="str">
        <f>IFERROR(__xludf.DUMMYFUNCTION("IFERROR(VLOOKUP(D138,
IMPORTRANGE(""https://docs.google.com/spreadsheets/d/1MjHtlUikwobi2MaWJgy7tfLeBmhj1u-dRFRs_8GwSoA/edit#gid=0"",""Gestores Escolares!D7:J""),4,0),""VERIFICAR CÓD SEC"")"),"(77) 9 9941-0420")</f>
        <v>(77) 9 9941-0420</v>
      </c>
      <c r="O138" s="82" t="str">
        <f>IFERROR(__xludf.DUMMYFUNCTION("IFERROR(VLOOKUP(D138,
IMPORTRANGE(""https://docs.google.com/spreadsheets/d/1MjHtlUikwobi2MaWJgy7tfLeBmhj1u-dRFRs_8GwSoA/edit#gid=0"",""Gestores Escolares!D7:J""),6,0),""VERIFICAR CÓD SEC"")")," ALAIDE MARIA VAZ")</f>
        <v> ALAIDE MARIA VAZ</v>
      </c>
      <c r="P138" s="82" t="str">
        <f>IFERROR(__xludf.DUMMYFUNCTION("IFERROR(VLOOKUP(D138,
IMPORTRANGE(""https://docs.google.com/spreadsheets/d/1MjHtlUikwobi2MaWJgy7tfLeBmhj1u-dRFRs_8GwSoA/edit#gid=0"",""Gestores Escolares!D7:J""),7,0),""VERIFICAR CÓD SEC"")")," (77) 9 9978-1813")</f>
        <v> (77) 9 9978-1813</v>
      </c>
      <c r="Q138" s="82" t="str">
        <f>IFERROR(__xludf.DUMMYFUNCTION("IFERROR(VLOOKUP(D138,
IMPORTRANGE(""https://docs.google.com/spreadsheets/d/1MjHtlUikwobi2MaWJgy7tfLeBmhj1u-dRFRs_8GwSoA/edit#gid=0"",""Gestores Escolares!D7:m""),9,0),""VERIFICAR CÓD SEC"")"),"")</f>
        <v/>
      </c>
      <c r="R138" s="82" t="str">
        <f>IFERROR(__xludf.DUMMYFUNCTION("IFERROR(VLOOKUP(D138,
IMPORTRANGE(""https://docs.google.com/spreadsheets/d/1MjHtlUikwobi2MaWJgy7tfLeBmhj1u-dRFRs_8GwSoA/edit#gid=0"",""Gestores Escolares!D7:m""),10,0),""VERIFICAR CÓD SEC"")"),"")</f>
        <v/>
      </c>
      <c r="S138" s="82"/>
      <c r="T138" s="138"/>
      <c r="U138" s="145">
        <v>4.0</v>
      </c>
      <c r="V138" s="106">
        <v>0.0</v>
      </c>
      <c r="W138" s="107">
        <v>0.0</v>
      </c>
      <c r="X138" s="107">
        <v>0.0</v>
      </c>
      <c r="Y138" s="107">
        <v>0.0</v>
      </c>
      <c r="Z138" s="80">
        <f t="shared" si="1"/>
        <v>0</v>
      </c>
      <c r="AA138" s="106">
        <v>0.0</v>
      </c>
      <c r="AB138" s="107">
        <v>0.0</v>
      </c>
      <c r="AC138" s="107">
        <v>0.0</v>
      </c>
      <c r="AD138" s="107">
        <v>0.0</v>
      </c>
      <c r="AE138" s="80">
        <f t="shared" si="2"/>
        <v>0</v>
      </c>
      <c r="AF138" s="222">
        <v>0.0</v>
      </c>
      <c r="AG138" s="222">
        <v>102.0</v>
      </c>
      <c r="AH138" s="222">
        <v>0.0</v>
      </c>
      <c r="AI138" s="224">
        <v>0.0</v>
      </c>
      <c r="AJ138" s="80">
        <f t="shared" si="3"/>
        <v>102</v>
      </c>
      <c r="AK138" s="140">
        <v>0.0</v>
      </c>
      <c r="AL138" s="109">
        <v>0.0</v>
      </c>
      <c r="AM138" s="141">
        <v>0.0</v>
      </c>
      <c r="AN138" s="80">
        <f t="shared" si="4"/>
        <v>0</v>
      </c>
      <c r="AO138" s="222">
        <v>0.0</v>
      </c>
      <c r="AP138" s="222">
        <v>0.0</v>
      </c>
      <c r="AQ138" s="224">
        <v>20.0</v>
      </c>
      <c r="AR138" s="80">
        <f t="shared" si="5"/>
        <v>20</v>
      </c>
      <c r="AS138" s="110">
        <v>0.0</v>
      </c>
      <c r="AT138" s="110">
        <v>0.0</v>
      </c>
      <c r="AU138" s="110">
        <v>0.0</v>
      </c>
      <c r="AV138" s="142">
        <v>0.0</v>
      </c>
      <c r="AW138" s="80">
        <f t="shared" si="6"/>
        <v>0</v>
      </c>
      <c r="AX138" s="113">
        <f t="shared" si="7"/>
        <v>122</v>
      </c>
      <c r="AY138" s="117">
        <f t="shared" si="8"/>
        <v>102</v>
      </c>
      <c r="AZ138" s="120">
        <f t="shared" si="9"/>
        <v>20</v>
      </c>
      <c r="BA138" s="115">
        <v>0.0</v>
      </c>
      <c r="BB138" s="89">
        <f t="shared" si="10"/>
        <v>122</v>
      </c>
      <c r="BC138" s="132" t="s">
        <v>178</v>
      </c>
      <c r="BD138" s="132" t="s">
        <v>178</v>
      </c>
      <c r="BE138" s="132" t="s">
        <v>178</v>
      </c>
      <c r="BF138" s="156"/>
      <c r="BG138" s="83">
        <v>1179749.0</v>
      </c>
      <c r="BH138" s="128"/>
      <c r="BI138" s="98">
        <v>4.0</v>
      </c>
      <c r="BJ138" s="98" t="s">
        <v>155</v>
      </c>
      <c r="BK138" s="99">
        <f t="shared" si="11"/>
        <v>0</v>
      </c>
      <c r="BL138" s="99">
        <f t="shared" si="12"/>
        <v>102</v>
      </c>
      <c r="BM138" s="99" t="str">
        <f>IFERROR(__xludf.DUMMYFUNCTION("IFERROR(VLOOKUP(BG138,IMPORTRANGE(""https://docs.google.com/spreadsheets/d/1juPI-Fb8LD0YtltB2mlGEnp_R3UVu1t3wSFPzgCyHXE/edit?gid=0#gid=0"",""GERAL!A2:C""),3,0),""-"")"),"-")</f>
        <v>-</v>
      </c>
    </row>
    <row r="139" ht="15.75" customHeight="1">
      <c r="A139" s="111" t="s">
        <v>205</v>
      </c>
      <c r="B139" s="83" t="s">
        <v>681</v>
      </c>
      <c r="C139" s="83" t="s">
        <v>164</v>
      </c>
      <c r="D139" s="112">
        <v>1178009.0</v>
      </c>
      <c r="E139" s="83">
        <v>1179752.0</v>
      </c>
      <c r="F139" s="245">
        <v>2.9490944E7</v>
      </c>
      <c r="G139" s="147" t="s">
        <v>695</v>
      </c>
      <c r="H139" s="108" t="s">
        <v>696</v>
      </c>
      <c r="I139" s="193"/>
      <c r="J139" s="136" t="s">
        <v>331</v>
      </c>
      <c r="K139" s="98" t="s">
        <v>168</v>
      </c>
      <c r="L139" s="83" t="s">
        <v>512</v>
      </c>
      <c r="M139" s="82" t="str">
        <f>IFERROR(__xludf.DUMMYFUNCTION("IFERROR(VLOOKUP(D139,
IMPORTRANGE(""https://docs.google.com/spreadsheets/d/1MjHtlUikwobi2MaWJgy7tfLeBmhj1u-dRFRs_8GwSoA/edit#gid=0"",""Gestores Escolares!D7:J""),3,0),""VERIFICAR CÓD SEC"")"),"ILKA MARIA MOURA BRANDAO")</f>
        <v>ILKA MARIA MOURA BRANDAO</v>
      </c>
      <c r="N139" s="82" t="str">
        <f>IFERROR(__xludf.DUMMYFUNCTION("IFERROR(VLOOKUP(D139,
IMPORTRANGE(""https://docs.google.com/spreadsheets/d/1MjHtlUikwobi2MaWJgy7tfLeBmhj1u-dRFRs_8GwSoA/edit#gid=0"",""Gestores Escolares!D7:J""),4,0),""VERIFICAR CÓD SEC"")"),"(77) 9 9941-0420")</f>
        <v>(77) 9 9941-0420</v>
      </c>
      <c r="O139" s="82" t="str">
        <f>IFERROR(__xludf.DUMMYFUNCTION("IFERROR(VLOOKUP(D139,
IMPORTRANGE(""https://docs.google.com/spreadsheets/d/1MjHtlUikwobi2MaWJgy7tfLeBmhj1u-dRFRs_8GwSoA/edit#gid=0"",""Gestores Escolares!D7:J""),6,0),""VERIFICAR CÓD SEC"")")," ALAIDE MARIA VAZ")</f>
        <v> ALAIDE MARIA VAZ</v>
      </c>
      <c r="P139" s="82" t="str">
        <f>IFERROR(__xludf.DUMMYFUNCTION("IFERROR(VLOOKUP(D139,
IMPORTRANGE(""https://docs.google.com/spreadsheets/d/1MjHtlUikwobi2MaWJgy7tfLeBmhj1u-dRFRs_8GwSoA/edit#gid=0"",""Gestores Escolares!D7:J""),7,0),""VERIFICAR CÓD SEC"")")," (77) 9 9978-1813")</f>
        <v> (77) 9 9978-1813</v>
      </c>
      <c r="Q139" s="82" t="str">
        <f>IFERROR(__xludf.DUMMYFUNCTION("IFERROR(VLOOKUP(D139,
IMPORTRANGE(""https://docs.google.com/spreadsheets/d/1MjHtlUikwobi2MaWJgy7tfLeBmhj1u-dRFRs_8GwSoA/edit#gid=0"",""Gestores Escolares!D7:m""),9,0),""VERIFICAR CÓD SEC"")"),"")</f>
        <v/>
      </c>
      <c r="R139" s="82" t="str">
        <f>IFERROR(__xludf.DUMMYFUNCTION("IFERROR(VLOOKUP(D139,
IMPORTRANGE(""https://docs.google.com/spreadsheets/d/1MjHtlUikwobi2MaWJgy7tfLeBmhj1u-dRFRs_8GwSoA/edit#gid=0"",""Gestores Escolares!D7:m""),10,0),""VERIFICAR CÓD SEC"")"),"")</f>
        <v/>
      </c>
      <c r="S139" s="82"/>
      <c r="T139" s="138"/>
      <c r="U139" s="145">
        <v>4.0</v>
      </c>
      <c r="V139" s="106">
        <v>0.0</v>
      </c>
      <c r="W139" s="107">
        <v>0.0</v>
      </c>
      <c r="X139" s="107">
        <v>0.0</v>
      </c>
      <c r="Y139" s="107">
        <v>0.0</v>
      </c>
      <c r="Z139" s="80">
        <f t="shared" si="1"/>
        <v>0</v>
      </c>
      <c r="AA139" s="106">
        <v>0.0</v>
      </c>
      <c r="AB139" s="107">
        <v>0.0</v>
      </c>
      <c r="AC139" s="107">
        <v>0.0</v>
      </c>
      <c r="AD139" s="107">
        <v>0.0</v>
      </c>
      <c r="AE139" s="80">
        <f t="shared" si="2"/>
        <v>0</v>
      </c>
      <c r="AF139" s="140">
        <v>0.0</v>
      </c>
      <c r="AG139" s="109">
        <v>142.0</v>
      </c>
      <c r="AH139" s="109">
        <v>0.0</v>
      </c>
      <c r="AI139" s="141">
        <v>0.0</v>
      </c>
      <c r="AJ139" s="80">
        <f t="shared" si="3"/>
        <v>142</v>
      </c>
      <c r="AK139" s="140">
        <v>0.0</v>
      </c>
      <c r="AL139" s="109">
        <v>0.0</v>
      </c>
      <c r="AM139" s="141">
        <v>0.0</v>
      </c>
      <c r="AN139" s="80">
        <f t="shared" si="4"/>
        <v>0</v>
      </c>
      <c r="AO139" s="140">
        <v>0.0</v>
      </c>
      <c r="AP139" s="109">
        <v>0.0</v>
      </c>
      <c r="AQ139" s="109">
        <v>0.0</v>
      </c>
      <c r="AR139" s="80">
        <f t="shared" si="5"/>
        <v>0</v>
      </c>
      <c r="AS139" s="110">
        <v>0.0</v>
      </c>
      <c r="AT139" s="110">
        <v>0.0</v>
      </c>
      <c r="AU139" s="110">
        <v>0.0</v>
      </c>
      <c r="AV139" s="142">
        <v>0.0</v>
      </c>
      <c r="AW139" s="80">
        <f t="shared" si="6"/>
        <v>0</v>
      </c>
      <c r="AX139" s="113">
        <f t="shared" si="7"/>
        <v>142</v>
      </c>
      <c r="AY139" s="117">
        <f t="shared" si="8"/>
        <v>142</v>
      </c>
      <c r="AZ139" s="120">
        <f t="shared" si="9"/>
        <v>0</v>
      </c>
      <c r="BA139" s="115">
        <v>0.0</v>
      </c>
      <c r="BB139" s="89">
        <f t="shared" si="10"/>
        <v>142</v>
      </c>
      <c r="BC139" s="132" t="s">
        <v>178</v>
      </c>
      <c r="BD139" s="132" t="s">
        <v>178</v>
      </c>
      <c r="BE139" s="132" t="s">
        <v>178</v>
      </c>
      <c r="BF139" s="156"/>
      <c r="BG139" s="83">
        <v>1179752.0</v>
      </c>
      <c r="BH139" s="128"/>
      <c r="BI139" s="98">
        <v>4.0</v>
      </c>
      <c r="BJ139" s="98" t="s">
        <v>155</v>
      </c>
      <c r="BK139" s="99">
        <f t="shared" si="11"/>
        <v>0</v>
      </c>
      <c r="BL139" s="99">
        <f t="shared" si="12"/>
        <v>142</v>
      </c>
      <c r="BM139" s="99" t="str">
        <f>IFERROR(__xludf.DUMMYFUNCTION("IFERROR(VLOOKUP(BG139,IMPORTRANGE(""https://docs.google.com/spreadsheets/d/1juPI-Fb8LD0YtltB2mlGEnp_R3UVu1t3wSFPzgCyHXE/edit?gid=0#gid=0"",""GERAL!A2:C""),3,0),""-"")"),"-")</f>
        <v>-</v>
      </c>
    </row>
    <row r="140" ht="15.75" customHeight="1">
      <c r="A140" s="111" t="s">
        <v>205</v>
      </c>
      <c r="B140" s="83" t="s">
        <v>681</v>
      </c>
      <c r="C140" s="83" t="s">
        <v>164</v>
      </c>
      <c r="D140" s="112">
        <v>1178009.0</v>
      </c>
      <c r="E140" s="83">
        <v>1179751.0</v>
      </c>
      <c r="F140" s="98">
        <v>2.9490936E7</v>
      </c>
      <c r="G140" s="147" t="s">
        <v>697</v>
      </c>
      <c r="H140" s="108" t="s">
        <v>698</v>
      </c>
      <c r="I140" s="193"/>
      <c r="J140" s="136" t="s">
        <v>222</v>
      </c>
      <c r="K140" s="98" t="s">
        <v>168</v>
      </c>
      <c r="L140" s="83" t="s">
        <v>512</v>
      </c>
      <c r="M140" s="82" t="str">
        <f>IFERROR(__xludf.DUMMYFUNCTION("IFERROR(VLOOKUP(D140,
IMPORTRANGE(""https://docs.google.com/spreadsheets/d/1MjHtlUikwobi2MaWJgy7tfLeBmhj1u-dRFRs_8GwSoA/edit#gid=0"",""Gestores Escolares!D7:J""),3,0),""VERIFICAR CÓD SEC"")"),"ILKA MARIA MOURA BRANDAO")</f>
        <v>ILKA MARIA MOURA BRANDAO</v>
      </c>
      <c r="N140" s="82" t="str">
        <f>IFERROR(__xludf.DUMMYFUNCTION("IFERROR(VLOOKUP(D140,
IMPORTRANGE(""https://docs.google.com/spreadsheets/d/1MjHtlUikwobi2MaWJgy7tfLeBmhj1u-dRFRs_8GwSoA/edit#gid=0"",""Gestores Escolares!D7:J""),4,0),""VERIFICAR CÓD SEC"")"),"(77) 9 9941-0420")</f>
        <v>(77) 9 9941-0420</v>
      </c>
      <c r="O140" s="82" t="str">
        <f>IFERROR(__xludf.DUMMYFUNCTION("IFERROR(VLOOKUP(D140,
IMPORTRANGE(""https://docs.google.com/spreadsheets/d/1MjHtlUikwobi2MaWJgy7tfLeBmhj1u-dRFRs_8GwSoA/edit#gid=0"",""Gestores Escolares!D7:J""),6,0),""VERIFICAR CÓD SEC"")")," ALAIDE MARIA VAZ")</f>
        <v> ALAIDE MARIA VAZ</v>
      </c>
      <c r="P140" s="82" t="str">
        <f>IFERROR(__xludf.DUMMYFUNCTION("IFERROR(VLOOKUP(D140,
IMPORTRANGE(""https://docs.google.com/spreadsheets/d/1MjHtlUikwobi2MaWJgy7tfLeBmhj1u-dRFRs_8GwSoA/edit#gid=0"",""Gestores Escolares!D7:J""),7,0),""VERIFICAR CÓD SEC"")")," (77) 9 9978-1813")</f>
        <v> (77) 9 9978-1813</v>
      </c>
      <c r="Q140" s="82" t="str">
        <f>IFERROR(__xludf.DUMMYFUNCTION("IFERROR(VLOOKUP(D140,
IMPORTRANGE(""https://docs.google.com/spreadsheets/d/1MjHtlUikwobi2MaWJgy7tfLeBmhj1u-dRFRs_8GwSoA/edit#gid=0"",""Gestores Escolares!D7:m""),9,0),""VERIFICAR CÓD SEC"")"),"")</f>
        <v/>
      </c>
      <c r="R140" s="82" t="str">
        <f>IFERROR(__xludf.DUMMYFUNCTION("IFERROR(VLOOKUP(D140,
IMPORTRANGE(""https://docs.google.com/spreadsheets/d/1MjHtlUikwobi2MaWJgy7tfLeBmhj1u-dRFRs_8GwSoA/edit#gid=0"",""Gestores Escolares!D7:m""),10,0),""VERIFICAR CÓD SEC"")"),"")</f>
        <v/>
      </c>
      <c r="S140" s="82"/>
      <c r="T140" s="138"/>
      <c r="U140" s="145">
        <v>4.0</v>
      </c>
      <c r="V140" s="106">
        <v>0.0</v>
      </c>
      <c r="W140" s="107">
        <v>0.0</v>
      </c>
      <c r="X140" s="107">
        <v>0.0</v>
      </c>
      <c r="Y140" s="107">
        <v>0.0</v>
      </c>
      <c r="Z140" s="80">
        <f t="shared" si="1"/>
        <v>0</v>
      </c>
      <c r="AA140" s="106">
        <v>0.0</v>
      </c>
      <c r="AB140" s="107">
        <v>0.0</v>
      </c>
      <c r="AC140" s="107">
        <v>0.0</v>
      </c>
      <c r="AD140" s="107">
        <v>0.0</v>
      </c>
      <c r="AE140" s="80">
        <f t="shared" si="2"/>
        <v>0</v>
      </c>
      <c r="AF140" s="140">
        <v>0.0</v>
      </c>
      <c r="AG140" s="109">
        <v>40.0</v>
      </c>
      <c r="AH140" s="109">
        <v>0.0</v>
      </c>
      <c r="AI140" s="141">
        <v>0.0</v>
      </c>
      <c r="AJ140" s="80">
        <f t="shared" si="3"/>
        <v>40</v>
      </c>
      <c r="AK140" s="140">
        <v>0.0</v>
      </c>
      <c r="AL140" s="109">
        <v>0.0</v>
      </c>
      <c r="AM140" s="141">
        <v>0.0</v>
      </c>
      <c r="AN140" s="80">
        <f t="shared" si="4"/>
        <v>0</v>
      </c>
      <c r="AO140" s="140">
        <v>0.0</v>
      </c>
      <c r="AP140" s="109">
        <v>0.0</v>
      </c>
      <c r="AQ140" s="109">
        <v>29.0</v>
      </c>
      <c r="AR140" s="80">
        <f t="shared" si="5"/>
        <v>29</v>
      </c>
      <c r="AS140" s="110">
        <v>0.0</v>
      </c>
      <c r="AT140" s="110">
        <v>0.0</v>
      </c>
      <c r="AU140" s="110">
        <v>0.0</v>
      </c>
      <c r="AV140" s="142">
        <v>0.0</v>
      </c>
      <c r="AW140" s="80">
        <f t="shared" si="6"/>
        <v>0</v>
      </c>
      <c r="AX140" s="113">
        <f t="shared" si="7"/>
        <v>69</v>
      </c>
      <c r="AY140" s="117">
        <f t="shared" si="8"/>
        <v>40</v>
      </c>
      <c r="AZ140" s="120">
        <f t="shared" si="9"/>
        <v>29</v>
      </c>
      <c r="BA140" s="115">
        <v>0.0</v>
      </c>
      <c r="BB140" s="89">
        <f t="shared" si="10"/>
        <v>69</v>
      </c>
      <c r="BC140" s="132" t="s">
        <v>178</v>
      </c>
      <c r="BD140" s="132" t="s">
        <v>178</v>
      </c>
      <c r="BE140" s="132" t="s">
        <v>178</v>
      </c>
      <c r="BF140" s="156"/>
      <c r="BG140" s="83">
        <v>1179751.0</v>
      </c>
      <c r="BH140" s="128"/>
      <c r="BI140" s="98">
        <v>4.0</v>
      </c>
      <c r="BJ140" s="98" t="s">
        <v>155</v>
      </c>
      <c r="BK140" s="99">
        <f t="shared" si="11"/>
        <v>0</v>
      </c>
      <c r="BL140" s="99">
        <f t="shared" si="12"/>
        <v>40</v>
      </c>
      <c r="BM140" s="99" t="str">
        <f>IFERROR(__xludf.DUMMYFUNCTION("IFERROR(VLOOKUP(BG140,IMPORTRANGE(""https://docs.google.com/spreadsheets/d/1juPI-Fb8LD0YtltB2mlGEnp_R3UVu1t3wSFPzgCyHXE/edit?gid=0#gid=0"",""GERAL!A2:C""),3,0),""-"")"),"-")</f>
        <v>-</v>
      </c>
    </row>
    <row r="141" ht="15.75" customHeight="1">
      <c r="A141" s="111" t="s">
        <v>205</v>
      </c>
      <c r="B141" s="83" t="s">
        <v>681</v>
      </c>
      <c r="C141" s="83" t="s">
        <v>164</v>
      </c>
      <c r="D141" s="112">
        <v>1178009.0</v>
      </c>
      <c r="E141" s="83">
        <v>1179750.0</v>
      </c>
      <c r="F141" s="98">
        <v>2.949091E7</v>
      </c>
      <c r="G141" s="147" t="s">
        <v>700</v>
      </c>
      <c r="H141" s="108" t="s">
        <v>701</v>
      </c>
      <c r="I141" s="193"/>
      <c r="J141" s="136" t="s">
        <v>702</v>
      </c>
      <c r="K141" s="98" t="s">
        <v>168</v>
      </c>
      <c r="L141" s="83" t="s">
        <v>512</v>
      </c>
      <c r="M141" s="82" t="str">
        <f>IFERROR(__xludf.DUMMYFUNCTION("IFERROR(VLOOKUP(D141,
IMPORTRANGE(""https://docs.google.com/spreadsheets/d/1MjHtlUikwobi2MaWJgy7tfLeBmhj1u-dRFRs_8GwSoA/edit#gid=0"",""Gestores Escolares!D7:J""),3,0),""VERIFICAR CÓD SEC"")"),"ILKA MARIA MOURA BRANDAO")</f>
        <v>ILKA MARIA MOURA BRANDAO</v>
      </c>
      <c r="N141" s="82" t="str">
        <f>IFERROR(__xludf.DUMMYFUNCTION("IFERROR(VLOOKUP(D141,
IMPORTRANGE(""https://docs.google.com/spreadsheets/d/1MjHtlUikwobi2MaWJgy7tfLeBmhj1u-dRFRs_8GwSoA/edit#gid=0"",""Gestores Escolares!D7:J""),4,0),""VERIFICAR CÓD SEC"")"),"(77) 9 9941-0420")</f>
        <v>(77) 9 9941-0420</v>
      </c>
      <c r="O141" s="82" t="str">
        <f>IFERROR(__xludf.DUMMYFUNCTION("IFERROR(VLOOKUP(D141,
IMPORTRANGE(""https://docs.google.com/spreadsheets/d/1MjHtlUikwobi2MaWJgy7tfLeBmhj1u-dRFRs_8GwSoA/edit#gid=0"",""Gestores Escolares!D7:J""),6,0),""VERIFICAR CÓD SEC"")")," ALAIDE MARIA VAZ")</f>
        <v> ALAIDE MARIA VAZ</v>
      </c>
      <c r="P141" s="82" t="str">
        <f>IFERROR(__xludf.DUMMYFUNCTION("IFERROR(VLOOKUP(D141,
IMPORTRANGE(""https://docs.google.com/spreadsheets/d/1MjHtlUikwobi2MaWJgy7tfLeBmhj1u-dRFRs_8GwSoA/edit#gid=0"",""Gestores Escolares!D7:J""),7,0),""VERIFICAR CÓD SEC"")")," (77) 9 9978-1813")</f>
        <v> (77) 9 9978-1813</v>
      </c>
      <c r="Q141" s="82" t="str">
        <f>IFERROR(__xludf.DUMMYFUNCTION("IFERROR(VLOOKUP(D141,
IMPORTRANGE(""https://docs.google.com/spreadsheets/d/1MjHtlUikwobi2MaWJgy7tfLeBmhj1u-dRFRs_8GwSoA/edit#gid=0"",""Gestores Escolares!D7:m""),9,0),""VERIFICAR CÓD SEC"")"),"")</f>
        <v/>
      </c>
      <c r="R141" s="82" t="str">
        <f>IFERROR(__xludf.DUMMYFUNCTION("IFERROR(VLOOKUP(D141,
IMPORTRANGE(""https://docs.google.com/spreadsheets/d/1MjHtlUikwobi2MaWJgy7tfLeBmhj1u-dRFRs_8GwSoA/edit#gid=0"",""Gestores Escolares!D7:m""),10,0),""VERIFICAR CÓD SEC"")"),"")</f>
        <v/>
      </c>
      <c r="S141" s="82"/>
      <c r="T141" s="138"/>
      <c r="U141" s="145">
        <v>4.0</v>
      </c>
      <c r="V141" s="106">
        <v>0.0</v>
      </c>
      <c r="W141" s="107">
        <v>0.0</v>
      </c>
      <c r="X141" s="107">
        <v>0.0</v>
      </c>
      <c r="Y141" s="107">
        <v>0.0</v>
      </c>
      <c r="Z141" s="80">
        <f t="shared" si="1"/>
        <v>0</v>
      </c>
      <c r="AA141" s="106">
        <v>0.0</v>
      </c>
      <c r="AB141" s="107">
        <v>0.0</v>
      </c>
      <c r="AC141" s="107">
        <v>0.0</v>
      </c>
      <c r="AD141" s="107">
        <v>0.0</v>
      </c>
      <c r="AE141" s="80">
        <f t="shared" si="2"/>
        <v>0</v>
      </c>
      <c r="AF141" s="140">
        <v>0.0</v>
      </c>
      <c r="AG141" s="109">
        <v>16.0</v>
      </c>
      <c r="AH141" s="109">
        <v>0.0</v>
      </c>
      <c r="AI141" s="141">
        <v>0.0</v>
      </c>
      <c r="AJ141" s="80">
        <f t="shared" si="3"/>
        <v>16</v>
      </c>
      <c r="AK141" s="140">
        <v>0.0</v>
      </c>
      <c r="AL141" s="109">
        <v>0.0</v>
      </c>
      <c r="AM141" s="141">
        <v>0.0</v>
      </c>
      <c r="AN141" s="80">
        <f t="shared" si="4"/>
        <v>0</v>
      </c>
      <c r="AO141" s="140">
        <v>0.0</v>
      </c>
      <c r="AP141" s="109">
        <v>0.0</v>
      </c>
      <c r="AQ141" s="109">
        <v>28.0</v>
      </c>
      <c r="AR141" s="80">
        <f t="shared" si="5"/>
        <v>28</v>
      </c>
      <c r="AS141" s="110">
        <v>0.0</v>
      </c>
      <c r="AT141" s="110">
        <v>0.0</v>
      </c>
      <c r="AU141" s="110">
        <v>0.0</v>
      </c>
      <c r="AV141" s="142">
        <v>0.0</v>
      </c>
      <c r="AW141" s="80">
        <f t="shared" si="6"/>
        <v>0</v>
      </c>
      <c r="AX141" s="113">
        <f t="shared" si="7"/>
        <v>44</v>
      </c>
      <c r="AY141" s="117">
        <f t="shared" si="8"/>
        <v>16</v>
      </c>
      <c r="AZ141" s="120">
        <f t="shared" si="9"/>
        <v>28</v>
      </c>
      <c r="BA141" s="115">
        <v>0.0</v>
      </c>
      <c r="BB141" s="89">
        <f t="shared" si="10"/>
        <v>44</v>
      </c>
      <c r="BC141" s="132" t="s">
        <v>178</v>
      </c>
      <c r="BD141" s="132" t="s">
        <v>178</v>
      </c>
      <c r="BE141" s="132" t="s">
        <v>178</v>
      </c>
      <c r="BF141" s="156"/>
      <c r="BG141" s="83">
        <v>1179750.0</v>
      </c>
      <c r="BH141" s="128"/>
      <c r="BI141" s="98">
        <v>4.0</v>
      </c>
      <c r="BJ141" s="98" t="s">
        <v>155</v>
      </c>
      <c r="BK141" s="99">
        <f t="shared" si="11"/>
        <v>0</v>
      </c>
      <c r="BL141" s="99">
        <f t="shared" si="12"/>
        <v>16</v>
      </c>
      <c r="BM141" s="99" t="str">
        <f>IFERROR(__xludf.DUMMYFUNCTION("IFERROR(VLOOKUP(BG141,IMPORTRANGE(""https://docs.google.com/spreadsheets/d/1juPI-Fb8LD0YtltB2mlGEnp_R3UVu1t3wSFPzgCyHXE/edit?gid=0#gid=0"",""GERAL!A2:C""),3,0),""-"")"),"-")</f>
        <v>-</v>
      </c>
    </row>
    <row r="142" ht="15.75" customHeight="1">
      <c r="A142" s="111" t="s">
        <v>205</v>
      </c>
      <c r="B142" s="83" t="s">
        <v>681</v>
      </c>
      <c r="C142" s="83" t="s">
        <v>164</v>
      </c>
      <c r="D142" s="112">
        <v>1178009.0</v>
      </c>
      <c r="E142" s="83">
        <v>1179753.0</v>
      </c>
      <c r="F142" s="98">
        <v>2.9490928E7</v>
      </c>
      <c r="G142" s="147" t="s">
        <v>703</v>
      </c>
      <c r="H142" s="108" t="s">
        <v>704</v>
      </c>
      <c r="I142" s="193"/>
      <c r="J142" s="136" t="s">
        <v>705</v>
      </c>
      <c r="K142" s="98" t="s">
        <v>168</v>
      </c>
      <c r="L142" s="83" t="s">
        <v>512</v>
      </c>
      <c r="M142" s="82" t="str">
        <f>IFERROR(__xludf.DUMMYFUNCTION("IFERROR(VLOOKUP(D142,
IMPORTRANGE(""https://docs.google.com/spreadsheets/d/1MjHtlUikwobi2MaWJgy7tfLeBmhj1u-dRFRs_8GwSoA/edit#gid=0"",""Gestores Escolares!D7:J""),3,0),""VERIFICAR CÓD SEC"")"),"ILKA MARIA MOURA BRANDAO")</f>
        <v>ILKA MARIA MOURA BRANDAO</v>
      </c>
      <c r="N142" s="82" t="str">
        <f>IFERROR(__xludf.DUMMYFUNCTION("IFERROR(VLOOKUP(D142,
IMPORTRANGE(""https://docs.google.com/spreadsheets/d/1MjHtlUikwobi2MaWJgy7tfLeBmhj1u-dRFRs_8GwSoA/edit#gid=0"",""Gestores Escolares!D7:J""),4,0),""VERIFICAR CÓD SEC"")"),"(77) 9 9941-0420")</f>
        <v>(77) 9 9941-0420</v>
      </c>
      <c r="O142" s="82" t="str">
        <f>IFERROR(__xludf.DUMMYFUNCTION("IFERROR(VLOOKUP(D142,
IMPORTRANGE(""https://docs.google.com/spreadsheets/d/1MjHtlUikwobi2MaWJgy7tfLeBmhj1u-dRFRs_8GwSoA/edit#gid=0"",""Gestores Escolares!D7:J""),6,0),""VERIFICAR CÓD SEC"")")," ALAIDE MARIA VAZ")</f>
        <v> ALAIDE MARIA VAZ</v>
      </c>
      <c r="P142" s="82" t="str">
        <f>IFERROR(__xludf.DUMMYFUNCTION("IFERROR(VLOOKUP(D142,
IMPORTRANGE(""https://docs.google.com/spreadsheets/d/1MjHtlUikwobi2MaWJgy7tfLeBmhj1u-dRFRs_8GwSoA/edit#gid=0"",""Gestores Escolares!D7:J""),7,0),""VERIFICAR CÓD SEC"")")," (77) 9 9978-1813")</f>
        <v> (77) 9 9978-1813</v>
      </c>
      <c r="Q142" s="82" t="str">
        <f>IFERROR(__xludf.DUMMYFUNCTION("IFERROR(VLOOKUP(D142,
IMPORTRANGE(""https://docs.google.com/spreadsheets/d/1MjHtlUikwobi2MaWJgy7tfLeBmhj1u-dRFRs_8GwSoA/edit#gid=0"",""Gestores Escolares!D7:m""),9,0),""VERIFICAR CÓD SEC"")"),"")</f>
        <v/>
      </c>
      <c r="R142" s="82" t="str">
        <f>IFERROR(__xludf.DUMMYFUNCTION("IFERROR(VLOOKUP(D142,
IMPORTRANGE(""https://docs.google.com/spreadsheets/d/1MjHtlUikwobi2MaWJgy7tfLeBmhj1u-dRFRs_8GwSoA/edit#gid=0"",""Gestores Escolares!D7:m""),10,0),""VERIFICAR CÓD SEC"")"),"")</f>
        <v/>
      </c>
      <c r="S142" s="82"/>
      <c r="T142" s="138"/>
      <c r="U142" s="145">
        <v>4.0</v>
      </c>
      <c r="V142" s="106">
        <v>0.0</v>
      </c>
      <c r="W142" s="107">
        <v>0.0</v>
      </c>
      <c r="X142" s="107">
        <v>0.0</v>
      </c>
      <c r="Y142" s="107">
        <v>0.0</v>
      </c>
      <c r="Z142" s="80">
        <f t="shared" si="1"/>
        <v>0</v>
      </c>
      <c r="AA142" s="106">
        <v>0.0</v>
      </c>
      <c r="AB142" s="107">
        <v>0.0</v>
      </c>
      <c r="AC142" s="107">
        <v>0.0</v>
      </c>
      <c r="AD142" s="107">
        <v>0.0</v>
      </c>
      <c r="AE142" s="80">
        <f t="shared" si="2"/>
        <v>0</v>
      </c>
      <c r="AF142" s="140">
        <v>0.0</v>
      </c>
      <c r="AG142" s="109">
        <v>56.0</v>
      </c>
      <c r="AH142" s="109">
        <v>0.0</v>
      </c>
      <c r="AI142" s="141">
        <v>0.0</v>
      </c>
      <c r="AJ142" s="80">
        <f t="shared" si="3"/>
        <v>56</v>
      </c>
      <c r="AK142" s="140">
        <v>0.0</v>
      </c>
      <c r="AL142" s="109">
        <v>0.0</v>
      </c>
      <c r="AM142" s="141">
        <v>0.0</v>
      </c>
      <c r="AN142" s="80">
        <f t="shared" si="4"/>
        <v>0</v>
      </c>
      <c r="AO142" s="140">
        <v>0.0</v>
      </c>
      <c r="AP142" s="109">
        <v>0.0</v>
      </c>
      <c r="AQ142" s="109">
        <v>10.0</v>
      </c>
      <c r="AR142" s="80">
        <f t="shared" si="5"/>
        <v>10</v>
      </c>
      <c r="AS142" s="110">
        <v>0.0</v>
      </c>
      <c r="AT142" s="110">
        <v>0.0</v>
      </c>
      <c r="AU142" s="110">
        <v>0.0</v>
      </c>
      <c r="AV142" s="142">
        <v>0.0</v>
      </c>
      <c r="AW142" s="80">
        <f t="shared" si="6"/>
        <v>0</v>
      </c>
      <c r="AX142" s="113">
        <f t="shared" si="7"/>
        <v>66</v>
      </c>
      <c r="AY142" s="117">
        <f t="shared" si="8"/>
        <v>56</v>
      </c>
      <c r="AZ142" s="120">
        <f t="shared" si="9"/>
        <v>10</v>
      </c>
      <c r="BA142" s="115">
        <v>0.0</v>
      </c>
      <c r="BB142" s="89">
        <f t="shared" si="10"/>
        <v>66</v>
      </c>
      <c r="BC142" s="132" t="s">
        <v>178</v>
      </c>
      <c r="BD142" s="132" t="s">
        <v>178</v>
      </c>
      <c r="BE142" s="132" t="s">
        <v>178</v>
      </c>
      <c r="BF142" s="156"/>
      <c r="BG142" s="83">
        <v>1179753.0</v>
      </c>
      <c r="BH142" s="128"/>
      <c r="BI142" s="98">
        <v>4.0</v>
      </c>
      <c r="BJ142" s="98" t="s">
        <v>155</v>
      </c>
      <c r="BK142" s="99">
        <f t="shared" si="11"/>
        <v>0</v>
      </c>
      <c r="BL142" s="99">
        <f t="shared" si="12"/>
        <v>56</v>
      </c>
      <c r="BM142" s="99" t="str">
        <f>IFERROR(__xludf.DUMMYFUNCTION("IFERROR(VLOOKUP(BG142,IMPORTRANGE(""https://docs.google.com/spreadsheets/d/1juPI-Fb8LD0YtltB2mlGEnp_R3UVu1t3wSFPzgCyHXE/edit?gid=0#gid=0"",""GERAL!A2:C""),3,0),""-"")"),"-")</f>
        <v>-</v>
      </c>
    </row>
    <row r="143" ht="15.75" customHeight="1">
      <c r="A143" s="111" t="s">
        <v>205</v>
      </c>
      <c r="B143" s="83" t="s">
        <v>706</v>
      </c>
      <c r="C143" s="83" t="s">
        <v>45</v>
      </c>
      <c r="D143" s="112">
        <v>1175922.0</v>
      </c>
      <c r="E143" s="83"/>
      <c r="F143" s="83">
        <v>2.9253888E7</v>
      </c>
      <c r="G143" s="187" t="s">
        <v>707</v>
      </c>
      <c r="H143" s="91" t="s">
        <v>708</v>
      </c>
      <c r="I143" s="115" t="s">
        <v>149</v>
      </c>
      <c r="J143" s="115" t="s">
        <v>150</v>
      </c>
      <c r="K143" s="83" t="s">
        <v>171</v>
      </c>
      <c r="L143" s="83" t="s">
        <v>169</v>
      </c>
      <c r="M143" s="82" t="str">
        <f>IFERROR(__xludf.DUMMYFUNCTION("IFERROR(VLOOKUP(D143,
IMPORTRANGE(""https://docs.google.com/spreadsheets/d/1MjHtlUikwobi2MaWJgy7tfLeBmhj1u-dRFRs_8GwSoA/edit#gid=0"",""Gestores Escolares!D7:J""),3,0),""VERIFICAR CÓD SEC"")"),"KATIA CASSIA DE CARVALHO")</f>
        <v>KATIA CASSIA DE CARVALHO</v>
      </c>
      <c r="N143" s="82" t="str">
        <f>IFERROR(__xludf.DUMMYFUNCTION("IFERROR(VLOOKUP(D143,
IMPORTRANGE(""https://docs.google.com/spreadsheets/d/1MjHtlUikwobi2MaWJgy7tfLeBmhj1u-dRFRs_8GwSoA/edit#gid=0"",""Gestores Escolares!D7:J""),4,0),""VERIFICAR CÓD SEC"")"),"(77) 9 9927-8769")</f>
        <v>(77) 9 9927-8769</v>
      </c>
      <c r="O143" s="82" t="str">
        <f>IFERROR(__xludf.DUMMYFUNCTION("IFERROR(VLOOKUP(D143,
IMPORTRANGE(""https://docs.google.com/spreadsheets/d/1MjHtlUikwobi2MaWJgy7tfLeBmhj1u-dRFRs_8GwSoA/edit#gid=0"",""Gestores Escolares!D7:J""),6,0),""VERIFICAR CÓD SEC"")"),"")</f>
        <v/>
      </c>
      <c r="P143" s="82" t="str">
        <f>IFERROR(__xludf.DUMMYFUNCTION("IFERROR(VLOOKUP(D143,
IMPORTRANGE(""https://docs.google.com/spreadsheets/d/1MjHtlUikwobi2MaWJgy7tfLeBmhj1u-dRFRs_8GwSoA/edit#gid=0"",""Gestores Escolares!D7:J""),7,0),""VERIFICAR CÓD SEC"")"),"")</f>
        <v/>
      </c>
      <c r="Q143" s="82" t="str">
        <f>IFERROR(__xludf.DUMMYFUNCTION("IFERROR(VLOOKUP(D143,
IMPORTRANGE(""https://docs.google.com/spreadsheets/d/1MjHtlUikwobi2MaWJgy7tfLeBmhj1u-dRFRs_8GwSoA/edit#gid=0"",""Gestores Escolares!D7:m""),9,0),""VERIFICAR CÓD SEC"")"),"")</f>
        <v/>
      </c>
      <c r="R143" s="82" t="str">
        <f>IFERROR(__xludf.DUMMYFUNCTION("IFERROR(VLOOKUP(D143,
IMPORTRANGE(""https://docs.google.com/spreadsheets/d/1MjHtlUikwobi2MaWJgy7tfLeBmhj1u-dRFRs_8GwSoA/edit#gid=0"",""Gestores Escolares!D7:m""),10,0),""VERIFICAR CÓD SEC"")"),"")</f>
        <v/>
      </c>
      <c r="S143" s="82"/>
      <c r="T143" s="138">
        <v>6.0</v>
      </c>
      <c r="U143" s="139" t="s">
        <v>171</v>
      </c>
      <c r="V143" s="106">
        <v>0.0</v>
      </c>
      <c r="W143" s="107">
        <v>0.0</v>
      </c>
      <c r="X143" s="107">
        <v>0.0</v>
      </c>
      <c r="Y143" s="107">
        <v>0.0</v>
      </c>
      <c r="Z143" s="80">
        <f t="shared" si="1"/>
        <v>0</v>
      </c>
      <c r="AA143" s="106">
        <v>0.0</v>
      </c>
      <c r="AB143" s="107">
        <v>0.0</v>
      </c>
      <c r="AC143" s="107">
        <v>0.0</v>
      </c>
      <c r="AD143" s="107">
        <v>0.0</v>
      </c>
      <c r="AE143" s="80">
        <f t="shared" si="2"/>
        <v>0</v>
      </c>
      <c r="AF143" s="225">
        <v>0.0</v>
      </c>
      <c r="AG143" s="226">
        <v>0.0</v>
      </c>
      <c r="AH143" s="226">
        <v>0.0</v>
      </c>
      <c r="AI143" s="227">
        <v>204.0</v>
      </c>
      <c r="AJ143" s="80">
        <f t="shared" si="3"/>
        <v>204</v>
      </c>
      <c r="AK143" s="140">
        <v>0.0</v>
      </c>
      <c r="AL143" s="109">
        <v>0.0</v>
      </c>
      <c r="AM143" s="141">
        <v>0.0</v>
      </c>
      <c r="AN143" s="80">
        <f t="shared" si="4"/>
        <v>0</v>
      </c>
      <c r="AO143" s="225">
        <v>0.0</v>
      </c>
      <c r="AP143" s="226">
        <v>0.0</v>
      </c>
      <c r="AQ143" s="226">
        <v>0.0</v>
      </c>
      <c r="AR143" s="80">
        <f t="shared" si="5"/>
        <v>0</v>
      </c>
      <c r="AS143" s="110">
        <v>0.0</v>
      </c>
      <c r="AT143" s="110">
        <v>0.0</v>
      </c>
      <c r="AU143" s="110">
        <v>0.0</v>
      </c>
      <c r="AV143" s="142">
        <v>0.0</v>
      </c>
      <c r="AW143" s="80">
        <f t="shared" si="6"/>
        <v>0</v>
      </c>
      <c r="AX143" s="113">
        <f t="shared" si="7"/>
        <v>204</v>
      </c>
      <c r="AY143" s="117">
        <f t="shared" si="8"/>
        <v>204</v>
      </c>
      <c r="AZ143" s="120">
        <f t="shared" si="9"/>
        <v>0</v>
      </c>
      <c r="BA143" s="115">
        <v>0.0</v>
      </c>
      <c r="BB143" s="89">
        <f t="shared" si="10"/>
        <v>204</v>
      </c>
      <c r="BC143" s="132" t="s">
        <v>178</v>
      </c>
      <c r="BD143" s="132" t="s">
        <v>178</v>
      </c>
      <c r="BE143" s="132" t="s">
        <v>178</v>
      </c>
      <c r="BF143" s="156"/>
      <c r="BG143" s="83">
        <v>1175922.0</v>
      </c>
      <c r="BH143" s="128"/>
      <c r="BI143" s="98" t="s">
        <v>171</v>
      </c>
      <c r="BJ143" s="98" t="s">
        <v>155</v>
      </c>
      <c r="BK143" s="99">
        <f t="shared" si="11"/>
        <v>204</v>
      </c>
      <c r="BL143" s="99">
        <f t="shared" si="12"/>
        <v>0</v>
      </c>
      <c r="BM143" s="99" t="str">
        <f>IFERROR(__xludf.DUMMYFUNCTION("IFERROR(VLOOKUP(BG143,IMPORTRANGE(""https://docs.google.com/spreadsheets/d/1juPI-Fb8LD0YtltB2mlGEnp_R3UVu1t3wSFPzgCyHXE/edit?gid=0#gid=0"",""GERAL!A2:C""),3,0),""-"")"),"EFA")</f>
        <v>EFA</v>
      </c>
    </row>
    <row r="144" ht="15.75" customHeight="1">
      <c r="A144" s="111" t="s">
        <v>205</v>
      </c>
      <c r="B144" s="83" t="s">
        <v>706</v>
      </c>
      <c r="C144" s="83" t="s">
        <v>45</v>
      </c>
      <c r="D144" s="112">
        <v>1131232.0</v>
      </c>
      <c r="E144" s="83"/>
      <c r="F144" s="83">
        <v>2.925283E7</v>
      </c>
      <c r="G144" s="187" t="s">
        <v>710</v>
      </c>
      <c r="H144" s="91" t="s">
        <v>711</v>
      </c>
      <c r="I144" s="136" t="s">
        <v>712</v>
      </c>
      <c r="J144" s="115" t="s">
        <v>150</v>
      </c>
      <c r="K144" s="83" t="s">
        <v>171</v>
      </c>
      <c r="L144" s="83" t="s">
        <v>169</v>
      </c>
      <c r="M144" s="82" t="str">
        <f>IFERROR(__xludf.DUMMYFUNCTION("IFERROR(VLOOKUP(D144,
IMPORTRANGE(""https://docs.google.com/spreadsheets/d/1MjHtlUikwobi2MaWJgy7tfLeBmhj1u-dRFRs_8GwSoA/edit#gid=0"",""Gestores Escolares!D7:J""),3,0),""VERIFICAR CÓD SEC"")"),"ELIZETE ANA DE OLIVEIRA DIAS")</f>
        <v>ELIZETE ANA DE OLIVEIRA DIAS</v>
      </c>
      <c r="N144" s="82" t="str">
        <f>IFERROR(__xludf.DUMMYFUNCTION("IFERROR(VLOOKUP(D144,
IMPORTRANGE(""https://docs.google.com/spreadsheets/d/1MjHtlUikwobi2MaWJgy7tfLeBmhj1u-dRFRs_8GwSoA/edit#gid=0"",""Gestores Escolares!D7:J""),4,0),""VERIFICAR CÓD SEC"")"),"(77) 9 9920-2321")</f>
        <v>(77) 9 9920-2321</v>
      </c>
      <c r="O144" s="82" t="str">
        <f>IFERROR(__xludf.DUMMYFUNCTION("IFERROR(VLOOKUP(D144,
IMPORTRANGE(""https://docs.google.com/spreadsheets/d/1MjHtlUikwobi2MaWJgy7tfLeBmhj1u-dRFRs_8GwSoA/edit#gid=0"",""Gestores Escolares!D7:J""),6,0),""VERIFICAR CÓD SEC"")"),"")</f>
        <v/>
      </c>
      <c r="P144" s="82" t="str">
        <f>IFERROR(__xludf.DUMMYFUNCTION("IFERROR(VLOOKUP(D144,
IMPORTRANGE(""https://docs.google.com/spreadsheets/d/1MjHtlUikwobi2MaWJgy7tfLeBmhj1u-dRFRs_8GwSoA/edit#gid=0"",""Gestores Escolares!D7:J""),7,0),""VERIFICAR CÓD SEC"")"),"")</f>
        <v/>
      </c>
      <c r="Q144" s="82" t="str">
        <f>IFERROR(__xludf.DUMMYFUNCTION("IFERROR(VLOOKUP(D144,
IMPORTRANGE(""https://docs.google.com/spreadsheets/d/1MjHtlUikwobi2MaWJgy7tfLeBmhj1u-dRFRs_8GwSoA/edit#gid=0"",""Gestores Escolares!D7:m""),9,0),""VERIFICAR CÓD SEC"")"),"")</f>
        <v/>
      </c>
      <c r="R144" s="82" t="str">
        <f>IFERROR(__xludf.DUMMYFUNCTION("IFERROR(VLOOKUP(D144,
IMPORTRANGE(""https://docs.google.com/spreadsheets/d/1MjHtlUikwobi2MaWJgy7tfLeBmhj1u-dRFRs_8GwSoA/edit#gid=0"",""Gestores Escolares!D7:m""),10,0),""VERIFICAR CÓD SEC"")"),"")</f>
        <v/>
      </c>
      <c r="S144" s="82"/>
      <c r="T144" s="138">
        <v>5.0</v>
      </c>
      <c r="U144" s="139" t="s">
        <v>171</v>
      </c>
      <c r="V144" s="106">
        <v>0.0</v>
      </c>
      <c r="W144" s="107">
        <v>0.0</v>
      </c>
      <c r="X144" s="107">
        <v>0.0</v>
      </c>
      <c r="Y144" s="107">
        <v>0.0</v>
      </c>
      <c r="Z144" s="80">
        <f t="shared" si="1"/>
        <v>0</v>
      </c>
      <c r="AA144" s="106">
        <v>0.0</v>
      </c>
      <c r="AB144" s="107">
        <v>0.0</v>
      </c>
      <c r="AC144" s="107">
        <v>0.0</v>
      </c>
      <c r="AD144" s="107">
        <v>0.0</v>
      </c>
      <c r="AE144" s="80">
        <f t="shared" si="2"/>
        <v>0</v>
      </c>
      <c r="AF144" s="246">
        <v>0.0</v>
      </c>
      <c r="AG144" s="246">
        <v>0.0</v>
      </c>
      <c r="AH144" s="246">
        <v>0.0</v>
      </c>
      <c r="AI144" s="247">
        <v>212.0</v>
      </c>
      <c r="AJ144" s="80">
        <f t="shared" si="3"/>
        <v>212</v>
      </c>
      <c r="AK144" s="140">
        <v>0.0</v>
      </c>
      <c r="AL144" s="109">
        <v>0.0</v>
      </c>
      <c r="AM144" s="141">
        <v>0.0</v>
      </c>
      <c r="AN144" s="80">
        <f t="shared" si="4"/>
        <v>0</v>
      </c>
      <c r="AO144" s="246">
        <v>0.0</v>
      </c>
      <c r="AP144" s="246">
        <v>0.0</v>
      </c>
      <c r="AQ144" s="247">
        <v>0.0</v>
      </c>
      <c r="AR144" s="80">
        <f t="shared" si="5"/>
        <v>0</v>
      </c>
      <c r="AS144" s="110">
        <v>0.0</v>
      </c>
      <c r="AT144" s="110">
        <v>0.0</v>
      </c>
      <c r="AU144" s="110">
        <v>0.0</v>
      </c>
      <c r="AV144" s="142">
        <v>0.0</v>
      </c>
      <c r="AW144" s="80">
        <f t="shared" si="6"/>
        <v>0</v>
      </c>
      <c r="AX144" s="113">
        <f t="shared" si="7"/>
        <v>212</v>
      </c>
      <c r="AY144" s="117">
        <f t="shared" si="8"/>
        <v>212</v>
      </c>
      <c r="AZ144" s="120">
        <f t="shared" si="9"/>
        <v>0</v>
      </c>
      <c r="BA144" s="115">
        <v>0.0</v>
      </c>
      <c r="BB144" s="89">
        <f t="shared" si="10"/>
        <v>212</v>
      </c>
      <c r="BC144" s="132" t="s">
        <v>178</v>
      </c>
      <c r="BD144" s="132" t="s">
        <v>178</v>
      </c>
      <c r="BE144" s="132" t="s">
        <v>178</v>
      </c>
      <c r="BF144" s="123"/>
      <c r="BG144" s="83">
        <v>1131232.0</v>
      </c>
      <c r="BH144" s="128"/>
      <c r="BI144" s="98" t="s">
        <v>171</v>
      </c>
      <c r="BJ144" s="98" t="s">
        <v>155</v>
      </c>
      <c r="BK144" s="99">
        <f t="shared" si="11"/>
        <v>212</v>
      </c>
      <c r="BL144" s="99">
        <f t="shared" si="12"/>
        <v>0</v>
      </c>
      <c r="BM144" s="99" t="str">
        <f>IFERROR(__xludf.DUMMYFUNCTION("IFERROR(VLOOKUP(BG144,IMPORTRANGE(""https://docs.google.com/spreadsheets/d/1juPI-Fb8LD0YtltB2mlGEnp_R3UVu1t3wSFPzgCyHXE/edit?gid=0#gid=0"",""GERAL!A2:C""),3,0),""-"")"),"EFA")</f>
        <v>EFA</v>
      </c>
    </row>
    <row r="145" ht="15.75" customHeight="1">
      <c r="A145" s="111" t="s">
        <v>205</v>
      </c>
      <c r="B145" s="136" t="s">
        <v>706</v>
      </c>
      <c r="C145" s="83" t="s">
        <v>68</v>
      </c>
      <c r="D145" s="112">
        <v>1164742.0</v>
      </c>
      <c r="E145" s="83"/>
      <c r="F145" s="83">
        <v>2.9252555E7</v>
      </c>
      <c r="G145" s="147" t="s">
        <v>715</v>
      </c>
      <c r="H145" s="91" t="s">
        <v>716</v>
      </c>
      <c r="I145" s="136" t="s">
        <v>149</v>
      </c>
      <c r="J145" s="136" t="s">
        <v>150</v>
      </c>
      <c r="K145" s="83" t="s">
        <v>151</v>
      </c>
      <c r="L145" s="83" t="s">
        <v>230</v>
      </c>
      <c r="M145" s="82" t="str">
        <f>IFERROR(__xludf.DUMMYFUNCTION("IFERROR(VLOOKUP(D145,
IMPORTRANGE(""https://docs.google.com/spreadsheets/d/1MjHtlUikwobi2MaWJgy7tfLeBmhj1u-dRFRs_8GwSoA/edit#gid=0"",""Gestores Escolares!D7:J""),3,0),""VERIFICAR CÓD SEC"")"),"ROSIMERE MARQUES CARDOSO FARIAS")</f>
        <v>ROSIMERE MARQUES CARDOSO FARIAS</v>
      </c>
      <c r="N145" s="82" t="str">
        <f>IFERROR(__xludf.DUMMYFUNCTION("IFERROR(VLOOKUP(D145,
IMPORTRANGE(""https://docs.google.com/spreadsheets/d/1MjHtlUikwobi2MaWJgy7tfLeBmhj1u-dRFRs_8GwSoA/edit#gid=0"",""Gestores Escolares!D7:J""),4,0),""VERIFICAR CÓD SEC"")"),"(77) 9 9979-3592")</f>
        <v>(77) 9 9979-3592</v>
      </c>
      <c r="O145" s="82" t="str">
        <f>IFERROR(__xludf.DUMMYFUNCTION("IFERROR(VLOOKUP(D145,
IMPORTRANGE(""https://docs.google.com/spreadsheets/d/1MjHtlUikwobi2MaWJgy7tfLeBmhj1u-dRFRs_8GwSoA/edit#gid=0"",""Gestores Escolares!D7:J""),6,0),""VERIFICAR CÓD SEC"")"),"VAGNER MAGALHAES ARAUJO")</f>
        <v>VAGNER MAGALHAES ARAUJO</v>
      </c>
      <c r="P145" s="82" t="str">
        <f>IFERROR(__xludf.DUMMYFUNCTION("IFERROR(VLOOKUP(D145,
IMPORTRANGE(""https://docs.google.com/spreadsheets/d/1MjHtlUikwobi2MaWJgy7tfLeBmhj1u-dRFRs_8GwSoA/edit#gid=0"",""Gestores Escolares!D7:J""),7,0),""VERIFICAR CÓD SEC"")"),"(77) 9 9835-1353")</f>
        <v>(77) 9 9835-1353</v>
      </c>
      <c r="Q145" s="82" t="str">
        <f>IFERROR(__xludf.DUMMYFUNCTION("IFERROR(VLOOKUP(D145,
IMPORTRANGE(""https://docs.google.com/spreadsheets/d/1MjHtlUikwobi2MaWJgy7tfLeBmhj1u-dRFRs_8GwSoA/edit#gid=0"",""Gestores Escolares!D7:m""),9,0),""VERIFICAR CÓD SEC"")"),"CHARLENE INDIA RIBEIRO COTRIM")</f>
        <v>CHARLENE INDIA RIBEIRO COTRIM</v>
      </c>
      <c r="R145" s="82" t="str">
        <f>IFERROR(__xludf.DUMMYFUNCTION("IFERROR(VLOOKUP(D145,
IMPORTRANGE(""https://docs.google.com/spreadsheets/d/1MjHtlUikwobi2MaWJgy7tfLeBmhj1u-dRFRs_8GwSoA/edit#gid=0"",""Gestores Escolares!D7:m""),10,0),""VERIFICAR CÓD SEC"")"),"(77) 9 9207-2724")</f>
        <v>(77) 9 9207-2724</v>
      </c>
      <c r="S145" s="82"/>
      <c r="T145" s="138">
        <v>18.0</v>
      </c>
      <c r="U145" s="145">
        <v>14.0</v>
      </c>
      <c r="V145" s="106">
        <v>0.0</v>
      </c>
      <c r="W145" s="107">
        <v>0.0</v>
      </c>
      <c r="X145" s="107">
        <v>0.0</v>
      </c>
      <c r="Y145" s="107">
        <v>0.0</v>
      </c>
      <c r="Z145" s="80">
        <f t="shared" si="1"/>
        <v>0</v>
      </c>
      <c r="AA145" s="106">
        <v>0.0</v>
      </c>
      <c r="AB145" s="107">
        <v>0.0</v>
      </c>
      <c r="AC145" s="107">
        <v>0.0</v>
      </c>
      <c r="AD145" s="107">
        <v>0.0</v>
      </c>
      <c r="AE145" s="80">
        <f t="shared" si="2"/>
        <v>0</v>
      </c>
      <c r="AF145" s="222">
        <v>225.0</v>
      </c>
      <c r="AG145" s="222">
        <v>180.0</v>
      </c>
      <c r="AH145" s="222">
        <v>0.0</v>
      </c>
      <c r="AI145" s="224">
        <v>269.0</v>
      </c>
      <c r="AJ145" s="80">
        <f t="shared" si="3"/>
        <v>674</v>
      </c>
      <c r="AK145" s="140">
        <v>0.0</v>
      </c>
      <c r="AL145" s="109">
        <v>0.0</v>
      </c>
      <c r="AM145" s="141">
        <v>0.0</v>
      </c>
      <c r="AN145" s="80">
        <f t="shared" si="4"/>
        <v>0</v>
      </c>
      <c r="AO145" s="222">
        <v>0.0</v>
      </c>
      <c r="AP145" s="222">
        <v>0.0</v>
      </c>
      <c r="AQ145" s="224">
        <v>85.0</v>
      </c>
      <c r="AR145" s="80">
        <f t="shared" si="5"/>
        <v>85</v>
      </c>
      <c r="AS145" s="110">
        <v>0.0</v>
      </c>
      <c r="AT145" s="110">
        <v>0.0</v>
      </c>
      <c r="AU145" s="110">
        <v>11.0</v>
      </c>
      <c r="AV145" s="142">
        <v>63.0</v>
      </c>
      <c r="AW145" s="80">
        <f t="shared" si="6"/>
        <v>74</v>
      </c>
      <c r="AX145" s="113">
        <f t="shared" si="7"/>
        <v>833</v>
      </c>
      <c r="AY145" s="117">
        <f t="shared" si="8"/>
        <v>737</v>
      </c>
      <c r="AZ145" s="120">
        <f t="shared" si="9"/>
        <v>96</v>
      </c>
      <c r="BA145" s="115">
        <v>0.0</v>
      </c>
      <c r="BB145" s="89">
        <f t="shared" si="10"/>
        <v>833</v>
      </c>
      <c r="BC145" s="132" t="s">
        <v>178</v>
      </c>
      <c r="BD145" s="132" t="s">
        <v>178</v>
      </c>
      <c r="BE145" s="132" t="s">
        <v>178</v>
      </c>
      <c r="BF145" s="156"/>
      <c r="BG145" s="83">
        <v>1164742.0</v>
      </c>
      <c r="BH145" s="98" t="s">
        <v>717</v>
      </c>
      <c r="BI145" s="98">
        <v>14.0</v>
      </c>
      <c r="BJ145" s="98" t="s">
        <v>176</v>
      </c>
      <c r="BK145" s="99">
        <f t="shared" si="11"/>
        <v>332</v>
      </c>
      <c r="BL145" s="99">
        <f t="shared" si="12"/>
        <v>405</v>
      </c>
      <c r="BM145" s="99" t="str">
        <f>IFERROR(__xludf.DUMMYFUNCTION("IFERROR(VLOOKUP(BG145,IMPORTRANGE(""https://docs.google.com/spreadsheets/d/1juPI-Fb8LD0YtltB2mlGEnp_R3UVu1t3wSFPzgCyHXE/edit?gid=0#gid=0"",""GERAL!A2:C""),3,0),""-"")"),"-")</f>
        <v>-</v>
      </c>
    </row>
    <row r="146" ht="15.75" customHeight="1">
      <c r="A146" s="111" t="s">
        <v>205</v>
      </c>
      <c r="B146" s="83" t="s">
        <v>706</v>
      </c>
      <c r="C146" s="83" t="s">
        <v>164</v>
      </c>
      <c r="D146" s="112">
        <v>1179431.0</v>
      </c>
      <c r="E146" s="83">
        <v>1178922.0</v>
      </c>
      <c r="F146" s="98">
        <v>2.9461499E7</v>
      </c>
      <c r="G146" s="114" t="s">
        <v>719</v>
      </c>
      <c r="H146" s="91" t="s">
        <v>720</v>
      </c>
      <c r="I146" s="136" t="s">
        <v>149</v>
      </c>
      <c r="J146" s="136" t="s">
        <v>183</v>
      </c>
      <c r="K146" s="83" t="s">
        <v>168</v>
      </c>
      <c r="L146" s="83" t="s">
        <v>169</v>
      </c>
      <c r="M146" s="82" t="str">
        <f>IFERROR(__xludf.DUMMYFUNCTION("IFERROR(VLOOKUP(D146,
IMPORTRANGE(""https://docs.google.com/spreadsheets/d/1MjHtlUikwobi2MaWJgy7tfLeBmhj1u-dRFRs_8GwSoA/edit#gid=0"",""Gestores Escolares!D7:J""),3,0),""VERIFICAR CÓD SEC"")"),"NEIDE RAFAEL DE SOUZA ROCHA")</f>
        <v>NEIDE RAFAEL DE SOUZA ROCHA</v>
      </c>
      <c r="N146" s="82" t="str">
        <f>IFERROR(__xludf.DUMMYFUNCTION("IFERROR(VLOOKUP(D146,
IMPORTRANGE(""https://docs.google.com/spreadsheets/d/1MjHtlUikwobi2MaWJgy7tfLeBmhj1u-dRFRs_8GwSoA/edit#gid=0"",""Gestores Escolares!D7:J""),4,0),""VERIFICAR CÓD SEC"")"),"(74) 9 9807-3175")</f>
        <v>(74) 9 9807-3175</v>
      </c>
      <c r="O146" s="82" t="str">
        <f>IFERROR(__xludf.DUMMYFUNCTION("IFERROR(VLOOKUP(D146,
IMPORTRANGE(""https://docs.google.com/spreadsheets/d/1MjHtlUikwobi2MaWJgy7tfLeBmhj1u-dRFRs_8GwSoA/edit#gid=0"",""Gestores Escolares!D7:J""),6,0),""VERIFICAR CÓD SEC"")"),"FRANCISCO DE ARAUJO LEAL")</f>
        <v>FRANCISCO DE ARAUJO LEAL</v>
      </c>
      <c r="P146" s="82" t="str">
        <f>IFERROR(__xludf.DUMMYFUNCTION("IFERROR(VLOOKUP(D146,
IMPORTRANGE(""https://docs.google.com/spreadsheets/d/1MjHtlUikwobi2MaWJgy7tfLeBmhj1u-dRFRs_8GwSoA/edit#gid=0"",""Gestores Escolares!D7:J""),7,0),""VERIFICAR CÓD SEC"")"),"(74) 9 8836-8463")</f>
        <v>(74) 9 8836-8463</v>
      </c>
      <c r="Q146" s="82" t="str">
        <f>IFERROR(__xludf.DUMMYFUNCTION("IFERROR(VLOOKUP(D146,
IMPORTRANGE(""https://docs.google.com/spreadsheets/d/1MjHtlUikwobi2MaWJgy7tfLeBmhj1u-dRFRs_8GwSoA/edit#gid=0"",""Gestores Escolares!D7:m""),9,0),""VERIFICAR CÓD SEC"")"),"CLAUDEMIR CELSO LIMA")</f>
        <v>CLAUDEMIR CELSO LIMA</v>
      </c>
      <c r="R146" s="82" t="str">
        <f>IFERROR(__xludf.DUMMYFUNCTION("IFERROR(VLOOKUP(D146,
IMPORTRANGE(""https://docs.google.com/spreadsheets/d/1MjHtlUikwobi2MaWJgy7tfLeBmhj1u-dRFRs_8GwSoA/edit#gid=0"",""Gestores Escolares!D7:m""),10,0),""VERIFICAR CÓD SEC"")"),"(74) 9 9952-3072")</f>
        <v>(74) 9 9952-3072</v>
      </c>
      <c r="S146" s="82"/>
      <c r="T146" s="138">
        <v>2.0</v>
      </c>
      <c r="U146" s="139">
        <v>2.0</v>
      </c>
      <c r="V146" s="106">
        <v>0.0</v>
      </c>
      <c r="W146" s="107">
        <v>0.0</v>
      </c>
      <c r="X146" s="107">
        <v>0.0</v>
      </c>
      <c r="Y146" s="107">
        <v>0.0</v>
      </c>
      <c r="Z146" s="80">
        <f t="shared" si="1"/>
        <v>0</v>
      </c>
      <c r="AA146" s="106">
        <v>0.0</v>
      </c>
      <c r="AB146" s="107">
        <v>0.0</v>
      </c>
      <c r="AC146" s="107">
        <v>0.0</v>
      </c>
      <c r="AD146" s="107">
        <v>0.0</v>
      </c>
      <c r="AE146" s="80">
        <f t="shared" si="2"/>
        <v>0</v>
      </c>
      <c r="AF146" s="140">
        <v>14.0</v>
      </c>
      <c r="AG146" s="109">
        <v>23.0</v>
      </c>
      <c r="AH146" s="109">
        <v>0.0</v>
      </c>
      <c r="AI146" s="141">
        <v>0.0</v>
      </c>
      <c r="AJ146" s="80">
        <f t="shared" si="3"/>
        <v>37</v>
      </c>
      <c r="AK146" s="140">
        <v>0.0</v>
      </c>
      <c r="AL146" s="109">
        <v>0.0</v>
      </c>
      <c r="AM146" s="141">
        <v>0.0</v>
      </c>
      <c r="AN146" s="80">
        <f t="shared" si="4"/>
        <v>0</v>
      </c>
      <c r="AO146" s="140">
        <v>0.0</v>
      </c>
      <c r="AP146" s="109">
        <v>0.0</v>
      </c>
      <c r="AQ146" s="109">
        <v>0.0</v>
      </c>
      <c r="AR146" s="80">
        <f t="shared" si="5"/>
        <v>0</v>
      </c>
      <c r="AS146" s="110">
        <v>0.0</v>
      </c>
      <c r="AT146" s="110">
        <v>0.0</v>
      </c>
      <c r="AU146" s="110">
        <v>0.0</v>
      </c>
      <c r="AV146" s="142">
        <v>0.0</v>
      </c>
      <c r="AW146" s="80">
        <f t="shared" si="6"/>
        <v>0</v>
      </c>
      <c r="AX146" s="113">
        <f t="shared" si="7"/>
        <v>37</v>
      </c>
      <c r="AY146" s="117">
        <f t="shared" si="8"/>
        <v>37</v>
      </c>
      <c r="AZ146" s="120">
        <f t="shared" si="9"/>
        <v>0</v>
      </c>
      <c r="BA146" s="115">
        <v>0.0</v>
      </c>
      <c r="BB146" s="89">
        <f t="shared" si="10"/>
        <v>37</v>
      </c>
      <c r="BC146" s="132" t="s">
        <v>178</v>
      </c>
      <c r="BD146" s="143" t="s">
        <v>227</v>
      </c>
      <c r="BE146" s="132" t="s">
        <v>178</v>
      </c>
      <c r="BF146" s="156"/>
      <c r="BG146" s="83">
        <v>1178922.0</v>
      </c>
      <c r="BH146" s="144"/>
      <c r="BI146" s="112">
        <v>2.0</v>
      </c>
      <c r="BJ146" s="98" t="s">
        <v>155</v>
      </c>
      <c r="BK146" s="99">
        <f t="shared" si="11"/>
        <v>0</v>
      </c>
      <c r="BL146" s="99">
        <f t="shared" si="12"/>
        <v>37</v>
      </c>
      <c r="BM146" s="99" t="str">
        <f>IFERROR(__xludf.DUMMYFUNCTION("IFERROR(VLOOKUP(BG146,IMPORTRANGE(""https://docs.google.com/spreadsheets/d/1juPI-Fb8LD0YtltB2mlGEnp_R3UVu1t3wSFPzgCyHXE/edit?gid=0#gid=0"",""GERAL!A2:C""),3,0),""-"")"),"-")</f>
        <v>-</v>
      </c>
    </row>
    <row r="147" ht="15.75" customHeight="1">
      <c r="A147" s="111" t="s">
        <v>205</v>
      </c>
      <c r="B147" s="83" t="s">
        <v>706</v>
      </c>
      <c r="C147" s="83" t="s">
        <v>164</v>
      </c>
      <c r="D147" s="112">
        <v>1164742.0</v>
      </c>
      <c r="E147" s="98">
        <v>1178923.0</v>
      </c>
      <c r="F147" s="98">
        <v>2.9252555E7</v>
      </c>
      <c r="G147" s="119" t="s">
        <v>721</v>
      </c>
      <c r="H147" s="108" t="s">
        <v>722</v>
      </c>
      <c r="I147" s="136"/>
      <c r="J147" s="136"/>
      <c r="K147" s="83" t="s">
        <v>168</v>
      </c>
      <c r="L147" s="83" t="s">
        <v>169</v>
      </c>
      <c r="M147" s="82" t="str">
        <f>IFERROR(__xludf.DUMMYFUNCTION("IFERROR(VLOOKUP(D147,
IMPORTRANGE(""https://docs.google.com/spreadsheets/d/1MjHtlUikwobi2MaWJgy7tfLeBmhj1u-dRFRs_8GwSoA/edit#gid=0"",""Gestores Escolares!D7:J""),3,0),""VERIFICAR CÓD SEC"")"),"ROSIMERE MARQUES CARDOSO FARIAS")</f>
        <v>ROSIMERE MARQUES CARDOSO FARIAS</v>
      </c>
      <c r="N147" s="82" t="str">
        <f>IFERROR(__xludf.DUMMYFUNCTION("IFERROR(VLOOKUP(D147,
IMPORTRANGE(""https://docs.google.com/spreadsheets/d/1MjHtlUikwobi2MaWJgy7tfLeBmhj1u-dRFRs_8GwSoA/edit#gid=0"",""Gestores Escolares!D7:J""),4,0),""VERIFICAR CÓD SEC"")"),"(77) 9 9979-3592")</f>
        <v>(77) 9 9979-3592</v>
      </c>
      <c r="O147" s="82" t="str">
        <f>IFERROR(__xludf.DUMMYFUNCTION("IFERROR(VLOOKUP(D147,
IMPORTRANGE(""https://docs.google.com/spreadsheets/d/1MjHtlUikwobi2MaWJgy7tfLeBmhj1u-dRFRs_8GwSoA/edit#gid=0"",""Gestores Escolares!D7:J""),6,0),""VERIFICAR CÓD SEC"")"),"VAGNER MAGALHAES ARAUJO")</f>
        <v>VAGNER MAGALHAES ARAUJO</v>
      </c>
      <c r="P147" s="82" t="str">
        <f>IFERROR(__xludf.DUMMYFUNCTION("IFERROR(VLOOKUP(D147,
IMPORTRANGE(""https://docs.google.com/spreadsheets/d/1MjHtlUikwobi2MaWJgy7tfLeBmhj1u-dRFRs_8GwSoA/edit#gid=0"",""Gestores Escolares!D7:J""),7,0),""VERIFICAR CÓD SEC"")"),"(77) 9 9835-1353")</f>
        <v>(77) 9 9835-1353</v>
      </c>
      <c r="Q147" s="82" t="str">
        <f>IFERROR(__xludf.DUMMYFUNCTION("IFERROR(VLOOKUP(D147,
IMPORTRANGE(""https://docs.google.com/spreadsheets/d/1MjHtlUikwobi2MaWJgy7tfLeBmhj1u-dRFRs_8GwSoA/edit#gid=0"",""Gestores Escolares!D7:m""),9,0),""VERIFICAR CÓD SEC"")"),"CHARLENE INDIA RIBEIRO COTRIM")</f>
        <v>CHARLENE INDIA RIBEIRO COTRIM</v>
      </c>
      <c r="R147" s="82" t="str">
        <f>IFERROR(__xludf.DUMMYFUNCTION("IFERROR(VLOOKUP(D147,
IMPORTRANGE(""https://docs.google.com/spreadsheets/d/1MjHtlUikwobi2MaWJgy7tfLeBmhj1u-dRFRs_8GwSoA/edit#gid=0"",""Gestores Escolares!D7:m""),10,0),""VERIFICAR CÓD SEC"")"),"(77) 9 9207-2724")</f>
        <v>(77) 9 9207-2724</v>
      </c>
      <c r="S147" s="82"/>
      <c r="T147" s="138"/>
      <c r="U147" s="145"/>
      <c r="V147" s="106">
        <v>0.0</v>
      </c>
      <c r="W147" s="107">
        <v>0.0</v>
      </c>
      <c r="X147" s="107">
        <v>0.0</v>
      </c>
      <c r="Y147" s="107">
        <v>0.0</v>
      </c>
      <c r="Z147" s="80">
        <f t="shared" si="1"/>
        <v>0</v>
      </c>
      <c r="AA147" s="106">
        <v>0.0</v>
      </c>
      <c r="AB147" s="107">
        <v>0.0</v>
      </c>
      <c r="AC147" s="107">
        <v>0.0</v>
      </c>
      <c r="AD147" s="107">
        <v>0.0</v>
      </c>
      <c r="AE147" s="80">
        <f t="shared" si="2"/>
        <v>0</v>
      </c>
      <c r="AF147" s="140">
        <v>0.0</v>
      </c>
      <c r="AG147" s="109">
        <v>0.0</v>
      </c>
      <c r="AH147" s="109">
        <v>0.0</v>
      </c>
      <c r="AI147" s="141">
        <v>0.0</v>
      </c>
      <c r="AJ147" s="80">
        <f t="shared" si="3"/>
        <v>0</v>
      </c>
      <c r="AK147" s="140">
        <v>0.0</v>
      </c>
      <c r="AL147" s="109">
        <v>0.0</v>
      </c>
      <c r="AM147" s="141">
        <v>0.0</v>
      </c>
      <c r="AN147" s="80">
        <f t="shared" si="4"/>
        <v>0</v>
      </c>
      <c r="AO147" s="140">
        <v>0.0</v>
      </c>
      <c r="AP147" s="109">
        <v>0.0</v>
      </c>
      <c r="AQ147" s="109">
        <v>51.0</v>
      </c>
      <c r="AR147" s="80">
        <f t="shared" si="5"/>
        <v>51</v>
      </c>
      <c r="AS147" s="110">
        <v>0.0</v>
      </c>
      <c r="AT147" s="110">
        <v>0.0</v>
      </c>
      <c r="AU147" s="110">
        <v>0.0</v>
      </c>
      <c r="AV147" s="142">
        <v>0.0</v>
      </c>
      <c r="AW147" s="80">
        <f t="shared" si="6"/>
        <v>0</v>
      </c>
      <c r="AX147" s="113">
        <f t="shared" si="7"/>
        <v>51</v>
      </c>
      <c r="AY147" s="117">
        <f t="shared" si="8"/>
        <v>0</v>
      </c>
      <c r="AZ147" s="120">
        <f t="shared" si="9"/>
        <v>51</v>
      </c>
      <c r="BA147" s="115">
        <v>0.0</v>
      </c>
      <c r="BB147" s="89">
        <f t="shared" si="10"/>
        <v>51</v>
      </c>
      <c r="BC147" s="132"/>
      <c r="BD147" s="143"/>
      <c r="BE147" s="132"/>
      <c r="BF147" s="156"/>
      <c r="BG147" s="98">
        <v>1178923.0</v>
      </c>
      <c r="BH147" s="144"/>
      <c r="BI147" s="112"/>
      <c r="BJ147" s="98" t="s">
        <v>155</v>
      </c>
      <c r="BK147" s="99">
        <f t="shared" si="11"/>
        <v>0</v>
      </c>
      <c r="BL147" s="99">
        <f t="shared" si="12"/>
        <v>0</v>
      </c>
      <c r="BM147" s="99" t="str">
        <f>IFERROR(__xludf.DUMMYFUNCTION("IFERROR(VLOOKUP(BG147,IMPORTRANGE(""https://docs.google.com/spreadsheets/d/1juPI-Fb8LD0YtltB2mlGEnp_R3UVu1t3wSFPzgCyHXE/edit?gid=0#gid=0"",""GERAL!A2:C""),3,0),""-"")"),"-")</f>
        <v>-</v>
      </c>
    </row>
    <row r="148" ht="15.75" customHeight="1">
      <c r="A148" s="111" t="s">
        <v>205</v>
      </c>
      <c r="B148" s="83" t="s">
        <v>706</v>
      </c>
      <c r="C148" s="83" t="s">
        <v>164</v>
      </c>
      <c r="D148" s="112">
        <v>1179431.0</v>
      </c>
      <c r="E148" s="83">
        <v>1178924.0</v>
      </c>
      <c r="F148" s="98">
        <v>2.9461499E7</v>
      </c>
      <c r="G148" s="114" t="s">
        <v>725</v>
      </c>
      <c r="H148" s="91" t="s">
        <v>726</v>
      </c>
      <c r="I148" s="136" t="s">
        <v>149</v>
      </c>
      <c r="J148" s="136" t="s">
        <v>727</v>
      </c>
      <c r="K148" s="83" t="s">
        <v>168</v>
      </c>
      <c r="L148" s="83" t="s">
        <v>169</v>
      </c>
      <c r="M148" s="82" t="str">
        <f>IFERROR(__xludf.DUMMYFUNCTION("IFERROR(VLOOKUP(D148,
IMPORTRANGE(""https://docs.google.com/spreadsheets/d/1MjHtlUikwobi2MaWJgy7tfLeBmhj1u-dRFRs_8GwSoA/edit#gid=0"",""Gestores Escolares!D7:J""),3,0),""VERIFICAR CÓD SEC"")"),"NEIDE RAFAEL DE SOUZA ROCHA")</f>
        <v>NEIDE RAFAEL DE SOUZA ROCHA</v>
      </c>
      <c r="N148" s="82" t="str">
        <f>IFERROR(__xludf.DUMMYFUNCTION("IFERROR(VLOOKUP(D148,
IMPORTRANGE(""https://docs.google.com/spreadsheets/d/1MjHtlUikwobi2MaWJgy7tfLeBmhj1u-dRFRs_8GwSoA/edit#gid=0"",""Gestores Escolares!D7:J""),4,0),""VERIFICAR CÓD SEC"")"),"(74) 9 9807-3175")</f>
        <v>(74) 9 9807-3175</v>
      </c>
      <c r="O148" s="82" t="str">
        <f>IFERROR(__xludf.DUMMYFUNCTION("IFERROR(VLOOKUP(D148,
IMPORTRANGE(""https://docs.google.com/spreadsheets/d/1MjHtlUikwobi2MaWJgy7tfLeBmhj1u-dRFRs_8GwSoA/edit#gid=0"",""Gestores Escolares!D7:J""),6,0),""VERIFICAR CÓD SEC"")"),"FRANCISCO DE ARAUJO LEAL")</f>
        <v>FRANCISCO DE ARAUJO LEAL</v>
      </c>
      <c r="P148" s="82" t="str">
        <f>IFERROR(__xludf.DUMMYFUNCTION("IFERROR(VLOOKUP(D148,
IMPORTRANGE(""https://docs.google.com/spreadsheets/d/1MjHtlUikwobi2MaWJgy7tfLeBmhj1u-dRFRs_8GwSoA/edit#gid=0"",""Gestores Escolares!D7:J""),7,0),""VERIFICAR CÓD SEC"")"),"(74) 9 8836-8463")</f>
        <v>(74) 9 8836-8463</v>
      </c>
      <c r="Q148" s="82" t="str">
        <f>IFERROR(__xludf.DUMMYFUNCTION("IFERROR(VLOOKUP(D148,
IMPORTRANGE(""https://docs.google.com/spreadsheets/d/1MjHtlUikwobi2MaWJgy7tfLeBmhj1u-dRFRs_8GwSoA/edit#gid=0"",""Gestores Escolares!D7:m""),9,0),""VERIFICAR CÓD SEC"")"),"CLAUDEMIR CELSO LIMA")</f>
        <v>CLAUDEMIR CELSO LIMA</v>
      </c>
      <c r="R148" s="82" t="str">
        <f>IFERROR(__xludf.DUMMYFUNCTION("IFERROR(VLOOKUP(D148,
IMPORTRANGE(""https://docs.google.com/spreadsheets/d/1MjHtlUikwobi2MaWJgy7tfLeBmhj1u-dRFRs_8GwSoA/edit#gid=0"",""Gestores Escolares!D7:m""),10,0),""VERIFICAR CÓD SEC"")"),"(74) 9 9952-3072")</f>
        <v>(74) 9 9952-3072</v>
      </c>
      <c r="S148" s="82"/>
      <c r="T148" s="138">
        <v>1.0</v>
      </c>
      <c r="U148" s="139">
        <v>1.0</v>
      </c>
      <c r="V148" s="106">
        <v>0.0</v>
      </c>
      <c r="W148" s="107">
        <v>0.0</v>
      </c>
      <c r="X148" s="107">
        <v>0.0</v>
      </c>
      <c r="Y148" s="107">
        <v>0.0</v>
      </c>
      <c r="Z148" s="80">
        <f t="shared" si="1"/>
        <v>0</v>
      </c>
      <c r="AA148" s="106">
        <v>0.0</v>
      </c>
      <c r="AB148" s="107">
        <v>0.0</v>
      </c>
      <c r="AC148" s="107">
        <v>0.0</v>
      </c>
      <c r="AD148" s="107">
        <v>0.0</v>
      </c>
      <c r="AE148" s="80">
        <f t="shared" si="2"/>
        <v>0</v>
      </c>
      <c r="AF148" s="140">
        <v>25.0</v>
      </c>
      <c r="AG148" s="109">
        <v>7.0</v>
      </c>
      <c r="AH148" s="109">
        <v>14.0</v>
      </c>
      <c r="AI148" s="141">
        <v>0.0</v>
      </c>
      <c r="AJ148" s="80">
        <f t="shared" si="3"/>
        <v>46</v>
      </c>
      <c r="AK148" s="140">
        <v>0.0</v>
      </c>
      <c r="AL148" s="109">
        <v>0.0</v>
      </c>
      <c r="AM148" s="141">
        <v>0.0</v>
      </c>
      <c r="AN148" s="80">
        <f t="shared" si="4"/>
        <v>0</v>
      </c>
      <c r="AO148" s="140">
        <v>0.0</v>
      </c>
      <c r="AP148" s="109">
        <v>0.0</v>
      </c>
      <c r="AQ148" s="109">
        <v>0.0</v>
      </c>
      <c r="AR148" s="80">
        <f t="shared" si="5"/>
        <v>0</v>
      </c>
      <c r="AS148" s="110">
        <v>0.0</v>
      </c>
      <c r="AT148" s="110">
        <v>0.0</v>
      </c>
      <c r="AU148" s="110">
        <v>0.0</v>
      </c>
      <c r="AV148" s="142">
        <v>0.0</v>
      </c>
      <c r="AW148" s="80">
        <f t="shared" si="6"/>
        <v>0</v>
      </c>
      <c r="AX148" s="113">
        <f t="shared" si="7"/>
        <v>46</v>
      </c>
      <c r="AY148" s="117">
        <f t="shared" si="8"/>
        <v>32</v>
      </c>
      <c r="AZ148" s="120">
        <f t="shared" si="9"/>
        <v>14</v>
      </c>
      <c r="BA148" s="115">
        <v>0.0</v>
      </c>
      <c r="BB148" s="89">
        <f t="shared" si="10"/>
        <v>46</v>
      </c>
      <c r="BC148" s="132" t="s">
        <v>178</v>
      </c>
      <c r="BD148" s="143" t="s">
        <v>227</v>
      </c>
      <c r="BE148" s="132" t="s">
        <v>178</v>
      </c>
      <c r="BF148" s="156"/>
      <c r="BG148" s="83">
        <v>1178924.0</v>
      </c>
      <c r="BH148" s="144"/>
      <c r="BI148" s="112">
        <v>1.0</v>
      </c>
      <c r="BJ148" s="98" t="s">
        <v>155</v>
      </c>
      <c r="BK148" s="99">
        <f t="shared" si="11"/>
        <v>0</v>
      </c>
      <c r="BL148" s="99">
        <f t="shared" si="12"/>
        <v>32</v>
      </c>
      <c r="BM148" s="99" t="str">
        <f>IFERROR(__xludf.DUMMYFUNCTION("IFERROR(VLOOKUP(BG148,IMPORTRANGE(""https://docs.google.com/spreadsheets/d/1juPI-Fb8LD0YtltB2mlGEnp_R3UVu1t3wSFPzgCyHXE/edit?gid=0#gid=0"",""GERAL!A2:C""),3,0),""-"")"),"-")</f>
        <v>-</v>
      </c>
    </row>
    <row r="149" ht="15.75" customHeight="1">
      <c r="A149" s="111" t="s">
        <v>205</v>
      </c>
      <c r="B149" s="83" t="s">
        <v>706</v>
      </c>
      <c r="C149" s="83" t="s">
        <v>164</v>
      </c>
      <c r="D149" s="112">
        <v>1179431.0</v>
      </c>
      <c r="E149" s="83">
        <v>1178921.0</v>
      </c>
      <c r="F149" s="98">
        <v>2.9461499E7</v>
      </c>
      <c r="G149" s="114" t="s">
        <v>728</v>
      </c>
      <c r="H149" s="91" t="s">
        <v>729</v>
      </c>
      <c r="I149" s="136" t="s">
        <v>149</v>
      </c>
      <c r="J149" s="136" t="s">
        <v>244</v>
      </c>
      <c r="K149" s="83" t="s">
        <v>168</v>
      </c>
      <c r="L149" s="83" t="s">
        <v>169</v>
      </c>
      <c r="M149" s="82" t="str">
        <f>IFERROR(__xludf.DUMMYFUNCTION("IFERROR(VLOOKUP(D149,
IMPORTRANGE(""https://docs.google.com/spreadsheets/d/1MjHtlUikwobi2MaWJgy7tfLeBmhj1u-dRFRs_8GwSoA/edit#gid=0"",""Gestores Escolares!D7:J""),3,0),""VERIFICAR CÓD SEC"")"),"NEIDE RAFAEL DE SOUZA ROCHA")</f>
        <v>NEIDE RAFAEL DE SOUZA ROCHA</v>
      </c>
      <c r="N149" s="82" t="str">
        <f>IFERROR(__xludf.DUMMYFUNCTION("IFERROR(VLOOKUP(D149,
IMPORTRANGE(""https://docs.google.com/spreadsheets/d/1MjHtlUikwobi2MaWJgy7tfLeBmhj1u-dRFRs_8GwSoA/edit#gid=0"",""Gestores Escolares!D7:J""),4,0),""VERIFICAR CÓD SEC"")"),"(74) 9 9807-3175")</f>
        <v>(74) 9 9807-3175</v>
      </c>
      <c r="O149" s="82" t="str">
        <f>IFERROR(__xludf.DUMMYFUNCTION("IFERROR(VLOOKUP(D149,
IMPORTRANGE(""https://docs.google.com/spreadsheets/d/1MjHtlUikwobi2MaWJgy7tfLeBmhj1u-dRFRs_8GwSoA/edit#gid=0"",""Gestores Escolares!D7:J""),6,0),""VERIFICAR CÓD SEC"")"),"FRANCISCO DE ARAUJO LEAL")</f>
        <v>FRANCISCO DE ARAUJO LEAL</v>
      </c>
      <c r="P149" s="82" t="str">
        <f>IFERROR(__xludf.DUMMYFUNCTION("IFERROR(VLOOKUP(D149,
IMPORTRANGE(""https://docs.google.com/spreadsheets/d/1MjHtlUikwobi2MaWJgy7tfLeBmhj1u-dRFRs_8GwSoA/edit#gid=0"",""Gestores Escolares!D7:J""),7,0),""VERIFICAR CÓD SEC"")"),"(74) 9 8836-8463")</f>
        <v>(74) 9 8836-8463</v>
      </c>
      <c r="Q149" s="82" t="str">
        <f>IFERROR(__xludf.DUMMYFUNCTION("IFERROR(VLOOKUP(D149,
IMPORTRANGE(""https://docs.google.com/spreadsheets/d/1MjHtlUikwobi2MaWJgy7tfLeBmhj1u-dRFRs_8GwSoA/edit#gid=0"",""Gestores Escolares!D7:m""),9,0),""VERIFICAR CÓD SEC"")"),"CLAUDEMIR CELSO LIMA")</f>
        <v>CLAUDEMIR CELSO LIMA</v>
      </c>
      <c r="R149" s="82" t="str">
        <f>IFERROR(__xludf.DUMMYFUNCTION("IFERROR(VLOOKUP(D149,
IMPORTRANGE(""https://docs.google.com/spreadsheets/d/1MjHtlUikwobi2MaWJgy7tfLeBmhj1u-dRFRs_8GwSoA/edit#gid=0"",""Gestores Escolares!D7:m""),10,0),""VERIFICAR CÓD SEC"")"),"(74) 9 9952-3072")</f>
        <v>(74) 9 9952-3072</v>
      </c>
      <c r="S149" s="82"/>
      <c r="T149" s="138">
        <v>3.0</v>
      </c>
      <c r="U149" s="139">
        <v>3.0</v>
      </c>
      <c r="V149" s="106">
        <v>0.0</v>
      </c>
      <c r="W149" s="107">
        <v>0.0</v>
      </c>
      <c r="X149" s="107">
        <v>0.0</v>
      </c>
      <c r="Y149" s="107">
        <v>0.0</v>
      </c>
      <c r="Z149" s="80">
        <f t="shared" si="1"/>
        <v>0</v>
      </c>
      <c r="AA149" s="106">
        <v>0.0</v>
      </c>
      <c r="AB149" s="107">
        <v>0.0</v>
      </c>
      <c r="AC149" s="107">
        <v>0.0</v>
      </c>
      <c r="AD149" s="107">
        <v>0.0</v>
      </c>
      <c r="AE149" s="80">
        <f t="shared" si="2"/>
        <v>0</v>
      </c>
      <c r="AF149" s="140">
        <v>69.0</v>
      </c>
      <c r="AG149" s="109">
        <v>0.0</v>
      </c>
      <c r="AH149" s="109">
        <v>0.0</v>
      </c>
      <c r="AI149" s="141">
        <v>0.0</v>
      </c>
      <c r="AJ149" s="80">
        <f t="shared" si="3"/>
        <v>69</v>
      </c>
      <c r="AK149" s="140">
        <v>0.0</v>
      </c>
      <c r="AL149" s="109">
        <v>0.0</v>
      </c>
      <c r="AM149" s="141">
        <v>0.0</v>
      </c>
      <c r="AN149" s="80">
        <f t="shared" si="4"/>
        <v>0</v>
      </c>
      <c r="AO149" s="140">
        <v>0.0</v>
      </c>
      <c r="AP149" s="109">
        <v>0.0</v>
      </c>
      <c r="AQ149" s="109">
        <v>0.0</v>
      </c>
      <c r="AR149" s="80">
        <f t="shared" si="5"/>
        <v>0</v>
      </c>
      <c r="AS149" s="110">
        <v>0.0</v>
      </c>
      <c r="AT149" s="110">
        <v>0.0</v>
      </c>
      <c r="AU149" s="110">
        <v>0.0</v>
      </c>
      <c r="AV149" s="142">
        <v>0.0</v>
      </c>
      <c r="AW149" s="80">
        <f t="shared" si="6"/>
        <v>0</v>
      </c>
      <c r="AX149" s="113">
        <f t="shared" si="7"/>
        <v>69</v>
      </c>
      <c r="AY149" s="117">
        <f t="shared" si="8"/>
        <v>69</v>
      </c>
      <c r="AZ149" s="120">
        <f t="shared" si="9"/>
        <v>0</v>
      </c>
      <c r="BA149" s="115">
        <v>0.0</v>
      </c>
      <c r="BB149" s="89">
        <f t="shared" si="10"/>
        <v>69</v>
      </c>
      <c r="BC149" s="132" t="s">
        <v>178</v>
      </c>
      <c r="BD149" s="143" t="s">
        <v>227</v>
      </c>
      <c r="BE149" s="132" t="s">
        <v>178</v>
      </c>
      <c r="BF149" s="156"/>
      <c r="BG149" s="83">
        <v>1178921.0</v>
      </c>
      <c r="BH149" s="144"/>
      <c r="BI149" s="112">
        <v>3.0</v>
      </c>
      <c r="BJ149" s="98" t="s">
        <v>155</v>
      </c>
      <c r="BK149" s="99">
        <f t="shared" si="11"/>
        <v>0</v>
      </c>
      <c r="BL149" s="99">
        <f t="shared" si="12"/>
        <v>69</v>
      </c>
      <c r="BM149" s="99" t="str">
        <f>IFERROR(__xludf.DUMMYFUNCTION("IFERROR(VLOOKUP(BG149,IMPORTRANGE(""https://docs.google.com/spreadsheets/d/1juPI-Fb8LD0YtltB2mlGEnp_R3UVu1t3wSFPzgCyHXE/edit?gid=0#gid=0"",""GERAL!A2:C""),3,0),""-"")"),"-")</f>
        <v>-</v>
      </c>
    </row>
    <row r="150" ht="15.75" customHeight="1">
      <c r="A150" s="111" t="s">
        <v>205</v>
      </c>
      <c r="B150" s="83" t="s">
        <v>706</v>
      </c>
      <c r="C150" s="83" t="s">
        <v>164</v>
      </c>
      <c r="D150" s="112">
        <v>1179431.0</v>
      </c>
      <c r="E150" s="83">
        <v>1178920.0</v>
      </c>
      <c r="F150" s="98">
        <v>2.9461499E7</v>
      </c>
      <c r="G150" s="114" t="s">
        <v>730</v>
      </c>
      <c r="H150" s="91" t="s">
        <v>731</v>
      </c>
      <c r="I150" s="136" t="s">
        <v>149</v>
      </c>
      <c r="J150" s="136" t="s">
        <v>183</v>
      </c>
      <c r="K150" s="83" t="s">
        <v>168</v>
      </c>
      <c r="L150" s="83" t="s">
        <v>169</v>
      </c>
      <c r="M150" s="82" t="str">
        <f>IFERROR(__xludf.DUMMYFUNCTION("IFERROR(VLOOKUP(D150,
IMPORTRANGE(""https://docs.google.com/spreadsheets/d/1MjHtlUikwobi2MaWJgy7tfLeBmhj1u-dRFRs_8GwSoA/edit#gid=0"",""Gestores Escolares!D7:J""),3,0),""VERIFICAR CÓD SEC"")"),"NEIDE RAFAEL DE SOUZA ROCHA")</f>
        <v>NEIDE RAFAEL DE SOUZA ROCHA</v>
      </c>
      <c r="N150" s="82" t="str">
        <f>IFERROR(__xludf.DUMMYFUNCTION("IFERROR(VLOOKUP(D150,
IMPORTRANGE(""https://docs.google.com/spreadsheets/d/1MjHtlUikwobi2MaWJgy7tfLeBmhj1u-dRFRs_8GwSoA/edit#gid=0"",""Gestores Escolares!D7:J""),4,0),""VERIFICAR CÓD SEC"")"),"(74) 9 9807-3175")</f>
        <v>(74) 9 9807-3175</v>
      </c>
      <c r="O150" s="82" t="str">
        <f>IFERROR(__xludf.DUMMYFUNCTION("IFERROR(VLOOKUP(D150,
IMPORTRANGE(""https://docs.google.com/spreadsheets/d/1MjHtlUikwobi2MaWJgy7tfLeBmhj1u-dRFRs_8GwSoA/edit#gid=0"",""Gestores Escolares!D7:J""),6,0),""VERIFICAR CÓD SEC"")"),"FRANCISCO DE ARAUJO LEAL")</f>
        <v>FRANCISCO DE ARAUJO LEAL</v>
      </c>
      <c r="P150" s="82" t="str">
        <f>IFERROR(__xludf.DUMMYFUNCTION("IFERROR(VLOOKUP(D150,
IMPORTRANGE(""https://docs.google.com/spreadsheets/d/1MjHtlUikwobi2MaWJgy7tfLeBmhj1u-dRFRs_8GwSoA/edit#gid=0"",""Gestores Escolares!D7:J""),7,0),""VERIFICAR CÓD SEC"")"),"(74) 9 8836-8463")</f>
        <v>(74) 9 8836-8463</v>
      </c>
      <c r="Q150" s="82" t="str">
        <f>IFERROR(__xludf.DUMMYFUNCTION("IFERROR(VLOOKUP(D150,
IMPORTRANGE(""https://docs.google.com/spreadsheets/d/1MjHtlUikwobi2MaWJgy7tfLeBmhj1u-dRFRs_8GwSoA/edit#gid=0"",""Gestores Escolares!D7:m""),9,0),""VERIFICAR CÓD SEC"")"),"CLAUDEMIR CELSO LIMA")</f>
        <v>CLAUDEMIR CELSO LIMA</v>
      </c>
      <c r="R150" s="82" t="str">
        <f>IFERROR(__xludf.DUMMYFUNCTION("IFERROR(VLOOKUP(D150,
IMPORTRANGE(""https://docs.google.com/spreadsheets/d/1MjHtlUikwobi2MaWJgy7tfLeBmhj1u-dRFRs_8GwSoA/edit#gid=0"",""Gestores Escolares!D7:m""),10,0),""VERIFICAR CÓD SEC"")"),"(74) 9 9952-3072")</f>
        <v>(74) 9 9952-3072</v>
      </c>
      <c r="S150" s="82"/>
      <c r="T150" s="138">
        <v>1.0</v>
      </c>
      <c r="U150" s="139">
        <v>1.0</v>
      </c>
      <c r="V150" s="106">
        <v>0.0</v>
      </c>
      <c r="W150" s="107">
        <v>0.0</v>
      </c>
      <c r="X150" s="107">
        <v>0.0</v>
      </c>
      <c r="Y150" s="107">
        <v>0.0</v>
      </c>
      <c r="Z150" s="80">
        <f t="shared" si="1"/>
        <v>0</v>
      </c>
      <c r="AA150" s="106">
        <v>0.0</v>
      </c>
      <c r="AB150" s="107">
        <v>0.0</v>
      </c>
      <c r="AC150" s="107">
        <v>0.0</v>
      </c>
      <c r="AD150" s="107">
        <v>0.0</v>
      </c>
      <c r="AE150" s="80">
        <f t="shared" si="2"/>
        <v>0</v>
      </c>
      <c r="AF150" s="140">
        <v>0.0</v>
      </c>
      <c r="AG150" s="109">
        <v>26.0</v>
      </c>
      <c r="AH150" s="109">
        <v>8.0</v>
      </c>
      <c r="AI150" s="141">
        <v>0.0</v>
      </c>
      <c r="AJ150" s="80">
        <f t="shared" si="3"/>
        <v>34</v>
      </c>
      <c r="AK150" s="140">
        <v>0.0</v>
      </c>
      <c r="AL150" s="109">
        <v>0.0</v>
      </c>
      <c r="AM150" s="141">
        <v>0.0</v>
      </c>
      <c r="AN150" s="80">
        <f t="shared" si="4"/>
        <v>0</v>
      </c>
      <c r="AO150" s="140">
        <v>0.0</v>
      </c>
      <c r="AP150" s="109">
        <v>0.0</v>
      </c>
      <c r="AQ150" s="109">
        <v>0.0</v>
      </c>
      <c r="AR150" s="80">
        <f t="shared" si="5"/>
        <v>0</v>
      </c>
      <c r="AS150" s="110">
        <v>0.0</v>
      </c>
      <c r="AT150" s="110">
        <v>0.0</v>
      </c>
      <c r="AU150" s="110">
        <v>0.0</v>
      </c>
      <c r="AV150" s="142">
        <v>0.0</v>
      </c>
      <c r="AW150" s="80">
        <f t="shared" si="6"/>
        <v>0</v>
      </c>
      <c r="AX150" s="113">
        <f t="shared" si="7"/>
        <v>34</v>
      </c>
      <c r="AY150" s="117">
        <f t="shared" si="8"/>
        <v>26</v>
      </c>
      <c r="AZ150" s="120">
        <f t="shared" si="9"/>
        <v>8</v>
      </c>
      <c r="BA150" s="115">
        <v>0.0</v>
      </c>
      <c r="BB150" s="89">
        <f t="shared" si="10"/>
        <v>34</v>
      </c>
      <c r="BC150" s="132" t="s">
        <v>178</v>
      </c>
      <c r="BD150" s="143" t="s">
        <v>227</v>
      </c>
      <c r="BE150" s="132" t="s">
        <v>178</v>
      </c>
      <c r="BF150" s="156"/>
      <c r="BG150" s="83">
        <v>1178920.0</v>
      </c>
      <c r="BH150" s="144"/>
      <c r="BI150" s="112">
        <v>1.0</v>
      </c>
      <c r="BJ150" s="98" t="s">
        <v>155</v>
      </c>
      <c r="BK150" s="99">
        <f t="shared" si="11"/>
        <v>0</v>
      </c>
      <c r="BL150" s="99">
        <f t="shared" si="12"/>
        <v>26</v>
      </c>
      <c r="BM150" s="99" t="str">
        <f>IFERROR(__xludf.DUMMYFUNCTION("IFERROR(VLOOKUP(BG150,IMPORTRANGE(""https://docs.google.com/spreadsheets/d/1juPI-Fb8LD0YtltB2mlGEnp_R3UVu1t3wSFPzgCyHXE/edit?gid=0#gid=0"",""GERAL!A2:C""),3,0),""-"")"),"-")</f>
        <v>-</v>
      </c>
    </row>
    <row r="151" ht="15.75" customHeight="1">
      <c r="A151" s="111" t="s">
        <v>205</v>
      </c>
      <c r="B151" s="83" t="s">
        <v>732</v>
      </c>
      <c r="C151" s="83" t="s">
        <v>68</v>
      </c>
      <c r="D151" s="98">
        <v>1179772.0</v>
      </c>
      <c r="E151" s="83"/>
      <c r="F151" s="98">
        <v>2.948711E7</v>
      </c>
      <c r="G151" s="119" t="s">
        <v>733</v>
      </c>
      <c r="H151" s="108" t="s">
        <v>734</v>
      </c>
      <c r="I151" s="136" t="s">
        <v>735</v>
      </c>
      <c r="J151" s="115"/>
      <c r="K151" s="115" t="s">
        <v>151</v>
      </c>
      <c r="L151" s="98" t="s">
        <v>152</v>
      </c>
      <c r="M151" s="82" t="str">
        <f>IFERROR(__xludf.DUMMYFUNCTION("IFERROR(VLOOKUP(D151,
IMPORTRANGE(""https://docs.google.com/spreadsheets/d/1MjHtlUikwobi2MaWJgy7tfLeBmhj1u-dRFRs_8GwSoA/edit#gid=0"",""Gestores Escolares!D7:J""),3,0),""VERIFICAR CÓD SEC"")"),"MARIA HELENA DE ASSIS LARANJEIRA GOMES")</f>
        <v>MARIA HELENA DE ASSIS LARANJEIRA GOMES</v>
      </c>
      <c r="N151" s="82" t="str">
        <f>IFERROR(__xludf.DUMMYFUNCTION("IFERROR(VLOOKUP(D151,
IMPORTRANGE(""https://docs.google.com/spreadsheets/d/1MjHtlUikwobi2MaWJgy7tfLeBmhj1u-dRFRs_8GwSoA/edit#gid=0"",""Gestores Escolares!D7:J""),4,0),""VERIFICAR CÓD SEC"")"),"(77) 9 9191-0370")</f>
        <v>(77) 9 9191-0370</v>
      </c>
      <c r="O151" s="82" t="str">
        <f>IFERROR(__xludf.DUMMYFUNCTION("IFERROR(VLOOKUP(D151,
IMPORTRANGE(""https://docs.google.com/spreadsheets/d/1MjHtlUikwobi2MaWJgy7tfLeBmhj1u-dRFRs_8GwSoA/edit#gid=0"",""Gestores Escolares!D7:J""),6,0),""VERIFICAR CÓD SEC"")")," INAIARA ALVES ROLIM")</f>
        <v> INAIARA ALVES ROLIM</v>
      </c>
      <c r="P151" s="82" t="str">
        <f>IFERROR(__xludf.DUMMYFUNCTION("IFERROR(VLOOKUP(D151,
IMPORTRANGE(""https://docs.google.com/spreadsheets/d/1MjHtlUikwobi2MaWJgy7tfLeBmhj1u-dRFRs_8GwSoA/edit#gid=0"",""Gestores Escolares!D7:J""),7,0),""VERIFICAR CÓD SEC"")"),"(77) 9 8837-3785")</f>
        <v>(77) 9 8837-3785</v>
      </c>
      <c r="Q151" s="82" t="str">
        <f>IFERROR(__xludf.DUMMYFUNCTION("IFERROR(VLOOKUP(D151,
IMPORTRANGE(""https://docs.google.com/spreadsheets/d/1MjHtlUikwobi2MaWJgy7tfLeBmhj1u-dRFRs_8GwSoA/edit#gid=0"",""Gestores Escolares!D7:m""),9,0),""VERIFICAR CÓD SEC"")"),"")</f>
        <v/>
      </c>
      <c r="R151" s="82" t="str">
        <f>IFERROR(__xludf.DUMMYFUNCTION("IFERROR(VLOOKUP(D151,
IMPORTRANGE(""https://docs.google.com/spreadsheets/d/1MjHtlUikwobi2MaWJgy7tfLeBmhj1u-dRFRs_8GwSoA/edit#gid=0"",""Gestores Escolares!D7:m""),10,0),""VERIFICAR CÓD SEC"")"),"")</f>
        <v/>
      </c>
      <c r="S151" s="82"/>
      <c r="T151" s="138">
        <v>6.0</v>
      </c>
      <c r="U151" s="145" t="s">
        <v>1816</v>
      </c>
      <c r="V151" s="106">
        <v>0.0</v>
      </c>
      <c r="W151" s="107">
        <v>0.0</v>
      </c>
      <c r="X151" s="107">
        <v>0.0</v>
      </c>
      <c r="Y151" s="107">
        <v>0.0</v>
      </c>
      <c r="Z151" s="80">
        <f t="shared" si="1"/>
        <v>0</v>
      </c>
      <c r="AA151" s="106">
        <v>0.0</v>
      </c>
      <c r="AB151" s="107">
        <v>0.0</v>
      </c>
      <c r="AC151" s="107">
        <v>0.0</v>
      </c>
      <c r="AD151" s="107">
        <v>0.0</v>
      </c>
      <c r="AE151" s="80">
        <f t="shared" si="2"/>
        <v>0</v>
      </c>
      <c r="AF151" s="140">
        <v>0.0</v>
      </c>
      <c r="AG151" s="109">
        <v>44.0</v>
      </c>
      <c r="AH151" s="109">
        <v>0.0</v>
      </c>
      <c r="AI151" s="141">
        <v>0.0</v>
      </c>
      <c r="AJ151" s="80">
        <f t="shared" si="3"/>
        <v>44</v>
      </c>
      <c r="AK151" s="140">
        <v>0.0</v>
      </c>
      <c r="AL151" s="109">
        <v>0.0</v>
      </c>
      <c r="AM151" s="141">
        <v>0.0</v>
      </c>
      <c r="AN151" s="80">
        <f t="shared" si="4"/>
        <v>0</v>
      </c>
      <c r="AO151" s="140">
        <v>0.0</v>
      </c>
      <c r="AP151" s="109">
        <v>0.0</v>
      </c>
      <c r="AQ151" s="109">
        <v>61.0</v>
      </c>
      <c r="AR151" s="80">
        <f t="shared" si="5"/>
        <v>61</v>
      </c>
      <c r="AS151" s="110">
        <v>0.0</v>
      </c>
      <c r="AT151" s="110">
        <v>0.0</v>
      </c>
      <c r="AU151" s="110">
        <v>0.0</v>
      </c>
      <c r="AV151" s="142">
        <v>110.0</v>
      </c>
      <c r="AW151" s="80">
        <f t="shared" si="6"/>
        <v>110</v>
      </c>
      <c r="AX151" s="113">
        <f t="shared" si="7"/>
        <v>215</v>
      </c>
      <c r="AY151" s="117">
        <f t="shared" si="8"/>
        <v>154</v>
      </c>
      <c r="AZ151" s="120">
        <f t="shared" si="9"/>
        <v>61</v>
      </c>
      <c r="BA151" s="115">
        <v>0.0</v>
      </c>
      <c r="BB151" s="89">
        <f t="shared" si="10"/>
        <v>215</v>
      </c>
      <c r="BC151" s="132" t="s">
        <v>373</v>
      </c>
      <c r="BD151" s="132" t="s">
        <v>178</v>
      </c>
      <c r="BE151" s="132" t="s">
        <v>178</v>
      </c>
      <c r="BF151" s="156"/>
      <c r="BG151" s="98">
        <v>1179772.0</v>
      </c>
      <c r="BH151" s="98" t="s">
        <v>736</v>
      </c>
      <c r="BI151" s="112">
        <v>5.0</v>
      </c>
      <c r="BJ151" s="98" t="s">
        <v>162</v>
      </c>
      <c r="BK151" s="99">
        <f t="shared" si="11"/>
        <v>110</v>
      </c>
      <c r="BL151" s="99">
        <f t="shared" si="12"/>
        <v>44</v>
      </c>
      <c r="BM151" s="99" t="str">
        <f>IFERROR(__xludf.DUMMYFUNCTION("IFERROR(VLOOKUP(BG151,IMPORTRANGE(""https://docs.google.com/spreadsheets/d/1juPI-Fb8LD0YtltB2mlGEnp_R3UVu1t3wSFPzgCyHXE/edit?gid=0#gid=0"",""GERAL!A2:C""),3,0),""-"")"),"CAMPO")</f>
        <v>CAMPO</v>
      </c>
    </row>
    <row r="152" ht="15.75" customHeight="1">
      <c r="A152" s="111" t="s">
        <v>205</v>
      </c>
      <c r="B152" s="83" t="s">
        <v>732</v>
      </c>
      <c r="C152" s="83" t="s">
        <v>68</v>
      </c>
      <c r="D152" s="112">
        <v>1178023.0</v>
      </c>
      <c r="E152" s="83"/>
      <c r="F152" s="83">
        <v>2.9430534E7</v>
      </c>
      <c r="G152" s="114" t="s">
        <v>737</v>
      </c>
      <c r="H152" s="91" t="s">
        <v>738</v>
      </c>
      <c r="I152" s="83" t="s">
        <v>149</v>
      </c>
      <c r="J152" s="83" t="s">
        <v>150</v>
      </c>
      <c r="K152" s="83" t="s">
        <v>151</v>
      </c>
      <c r="L152" s="83" t="s">
        <v>230</v>
      </c>
      <c r="M152" s="82" t="str">
        <f>IFERROR(__xludf.DUMMYFUNCTION("IFERROR(VLOOKUP(D152,
IMPORTRANGE(""https://docs.google.com/spreadsheets/d/1MjHtlUikwobi2MaWJgy7tfLeBmhj1u-dRFRs_8GwSoA/edit#gid=0"",""Gestores Escolares!D7:J""),3,0),""VERIFICAR CÓD SEC"")"),"CRISTINI MARIA GUEDES SANTOS")</f>
        <v>CRISTINI MARIA GUEDES SANTOS</v>
      </c>
      <c r="N152" s="82" t="str">
        <f>IFERROR(__xludf.DUMMYFUNCTION("IFERROR(VLOOKUP(D152,
IMPORTRANGE(""https://docs.google.com/spreadsheets/d/1MjHtlUikwobi2MaWJgy7tfLeBmhj1u-dRFRs_8GwSoA/edit#gid=0"",""Gestores Escolares!D7:J""),4,0),""VERIFICAR CÓD SEC"")"),"(77) 9 9110-0392")</f>
        <v>(77) 9 9110-0392</v>
      </c>
      <c r="O152" s="82" t="str">
        <f>IFERROR(__xludf.DUMMYFUNCTION("IFERROR(VLOOKUP(D152,
IMPORTRANGE(""https://docs.google.com/spreadsheets/d/1MjHtlUikwobi2MaWJgy7tfLeBmhj1u-dRFRs_8GwSoA/edit#gid=0"",""Gestores Escolares!D7:J""),6,0),""VERIFICAR CÓD SEC"")"),"VANIA MENDES DA SILVA NOVAIS")</f>
        <v>VANIA MENDES DA SILVA NOVAIS</v>
      </c>
      <c r="P152" s="82" t="str">
        <f>IFERROR(__xludf.DUMMYFUNCTION("IFERROR(VLOOKUP(D152,
IMPORTRANGE(""https://docs.google.com/spreadsheets/d/1MjHtlUikwobi2MaWJgy7tfLeBmhj1u-dRFRs_8GwSoA/edit#gid=0"",""Gestores Escolares!D7:J""),7,0),""VERIFICAR CÓD SEC"")")," (77) 9 9805-2515")</f>
        <v> (77) 9 9805-2515</v>
      </c>
      <c r="Q152" s="82" t="str">
        <f>IFERROR(__xludf.DUMMYFUNCTION("IFERROR(VLOOKUP(D152,
IMPORTRANGE(""https://docs.google.com/spreadsheets/d/1MjHtlUikwobi2MaWJgy7tfLeBmhj1u-dRFRs_8GwSoA/edit#gid=0"",""Gestores Escolares!D7:m""),9,0),""VERIFICAR CÓD SEC"")"),"JEANDERSON ANTUNES DOS SANTOS SOARES")</f>
        <v>JEANDERSON ANTUNES DOS SANTOS SOARES</v>
      </c>
      <c r="R152" s="82" t="str">
        <f>IFERROR(__xludf.DUMMYFUNCTION("IFERROR(VLOOKUP(D152,
IMPORTRANGE(""https://docs.google.com/spreadsheets/d/1MjHtlUikwobi2MaWJgy7tfLeBmhj1u-dRFRs_8GwSoA/edit#gid=0"",""Gestores Escolares!D7:m""),10,0),""VERIFICAR CÓD SEC"")"),"(77) 9 9821-2040")</f>
        <v>(77) 9 9821-2040</v>
      </c>
      <c r="S152" s="82"/>
      <c r="T152" s="138">
        <v>12.0</v>
      </c>
      <c r="U152" s="145" t="s">
        <v>1823</v>
      </c>
      <c r="V152" s="106">
        <v>0.0</v>
      </c>
      <c r="W152" s="107">
        <v>0.0</v>
      </c>
      <c r="X152" s="107">
        <v>0.0</v>
      </c>
      <c r="Y152" s="107">
        <v>0.0</v>
      </c>
      <c r="Z152" s="80">
        <f t="shared" si="1"/>
        <v>0</v>
      </c>
      <c r="AA152" s="106">
        <v>0.0</v>
      </c>
      <c r="AB152" s="107">
        <v>0.0</v>
      </c>
      <c r="AC152" s="107">
        <v>0.0</v>
      </c>
      <c r="AD152" s="107">
        <v>0.0</v>
      </c>
      <c r="AE152" s="80">
        <f t="shared" si="2"/>
        <v>0</v>
      </c>
      <c r="AF152" s="140">
        <v>237.0</v>
      </c>
      <c r="AG152" s="109">
        <v>321.0</v>
      </c>
      <c r="AH152" s="109">
        <v>0.0</v>
      </c>
      <c r="AI152" s="141">
        <v>35.0</v>
      </c>
      <c r="AJ152" s="80">
        <f t="shared" si="3"/>
        <v>593</v>
      </c>
      <c r="AK152" s="140">
        <v>0.0</v>
      </c>
      <c r="AL152" s="109">
        <v>0.0</v>
      </c>
      <c r="AM152" s="141">
        <v>0.0</v>
      </c>
      <c r="AN152" s="80">
        <f t="shared" si="4"/>
        <v>0</v>
      </c>
      <c r="AO152" s="140">
        <v>0.0</v>
      </c>
      <c r="AP152" s="109">
        <v>0.0</v>
      </c>
      <c r="AQ152" s="109">
        <v>116.0</v>
      </c>
      <c r="AR152" s="80">
        <f t="shared" si="5"/>
        <v>116</v>
      </c>
      <c r="AS152" s="110">
        <v>33.0</v>
      </c>
      <c r="AT152" s="110">
        <v>0.0</v>
      </c>
      <c r="AU152" s="110">
        <v>0.0</v>
      </c>
      <c r="AV152" s="142">
        <v>103.0</v>
      </c>
      <c r="AW152" s="80">
        <f t="shared" si="6"/>
        <v>136</v>
      </c>
      <c r="AX152" s="113">
        <f t="shared" si="7"/>
        <v>845</v>
      </c>
      <c r="AY152" s="117">
        <f t="shared" si="8"/>
        <v>729</v>
      </c>
      <c r="AZ152" s="120">
        <f t="shared" si="9"/>
        <v>116</v>
      </c>
      <c r="BA152" s="115">
        <v>0.0</v>
      </c>
      <c r="BB152" s="89">
        <f t="shared" si="10"/>
        <v>845</v>
      </c>
      <c r="BC152" s="132" t="s">
        <v>178</v>
      </c>
      <c r="BD152" s="132" t="s">
        <v>178</v>
      </c>
      <c r="BE152" s="132" t="s">
        <v>178</v>
      </c>
      <c r="BF152" s="123"/>
      <c r="BG152" s="83">
        <v>1178023.0</v>
      </c>
      <c r="BH152" s="144"/>
      <c r="BI152" s="112">
        <v>10.0</v>
      </c>
      <c r="BJ152" s="98" t="s">
        <v>155</v>
      </c>
      <c r="BK152" s="99">
        <f t="shared" si="11"/>
        <v>138</v>
      </c>
      <c r="BL152" s="99">
        <f t="shared" si="12"/>
        <v>591</v>
      </c>
      <c r="BM152" s="99" t="str">
        <f>IFERROR(__xludf.DUMMYFUNCTION("IFERROR(VLOOKUP(BG152,IMPORTRANGE(""https://docs.google.com/spreadsheets/d/1juPI-Fb8LD0YtltB2mlGEnp_R3UVu1t3wSFPzgCyHXE/edit?gid=0#gid=0"",""GERAL!A2:C""),3,0),""-"")"),"-")</f>
        <v>-</v>
      </c>
    </row>
    <row r="153" ht="15.75" customHeight="1">
      <c r="A153" s="111" t="s">
        <v>205</v>
      </c>
      <c r="B153" s="83" t="s">
        <v>732</v>
      </c>
      <c r="C153" s="83" t="s">
        <v>164</v>
      </c>
      <c r="D153" s="98">
        <v>1179772.0</v>
      </c>
      <c r="E153" s="83">
        <v>1178940.0</v>
      </c>
      <c r="F153" s="98">
        <v>2.9490685E7</v>
      </c>
      <c r="G153" s="119" t="s">
        <v>740</v>
      </c>
      <c r="H153" s="91" t="s">
        <v>741</v>
      </c>
      <c r="I153" s="83" t="s">
        <v>149</v>
      </c>
      <c r="J153" s="83" t="s">
        <v>440</v>
      </c>
      <c r="K153" s="83" t="s">
        <v>168</v>
      </c>
      <c r="L153" s="83" t="s">
        <v>169</v>
      </c>
      <c r="M153" s="82" t="str">
        <f>IFERROR(__xludf.DUMMYFUNCTION("IFERROR(VLOOKUP(D153,
IMPORTRANGE(""https://docs.google.com/spreadsheets/d/1MjHtlUikwobi2MaWJgy7tfLeBmhj1u-dRFRs_8GwSoA/edit#gid=0"",""Gestores Escolares!D7:J""),3,0),""VERIFICAR CÓD SEC"")"),"MARIA HELENA DE ASSIS LARANJEIRA GOMES")</f>
        <v>MARIA HELENA DE ASSIS LARANJEIRA GOMES</v>
      </c>
      <c r="N153" s="82" t="str">
        <f>IFERROR(__xludf.DUMMYFUNCTION("IFERROR(VLOOKUP(D153,
IMPORTRANGE(""https://docs.google.com/spreadsheets/d/1MjHtlUikwobi2MaWJgy7tfLeBmhj1u-dRFRs_8GwSoA/edit#gid=0"",""Gestores Escolares!D7:J""),4,0),""VERIFICAR CÓD SEC"")"),"(77) 9 9191-0370")</f>
        <v>(77) 9 9191-0370</v>
      </c>
      <c r="O153" s="82" t="str">
        <f>IFERROR(__xludf.DUMMYFUNCTION("IFERROR(VLOOKUP(D153,
IMPORTRANGE(""https://docs.google.com/spreadsheets/d/1MjHtlUikwobi2MaWJgy7tfLeBmhj1u-dRFRs_8GwSoA/edit#gid=0"",""Gestores Escolares!D7:J""),6,0),""VERIFICAR CÓD SEC"")")," INAIARA ALVES ROLIM")</f>
        <v> INAIARA ALVES ROLIM</v>
      </c>
      <c r="P153" s="82" t="str">
        <f>IFERROR(__xludf.DUMMYFUNCTION("IFERROR(VLOOKUP(D153,
IMPORTRANGE(""https://docs.google.com/spreadsheets/d/1MjHtlUikwobi2MaWJgy7tfLeBmhj1u-dRFRs_8GwSoA/edit#gid=0"",""Gestores Escolares!D7:J""),7,0),""VERIFICAR CÓD SEC"")"),"(77) 9 8837-3785")</f>
        <v>(77) 9 8837-3785</v>
      </c>
      <c r="Q153" s="82" t="str">
        <f>IFERROR(__xludf.DUMMYFUNCTION("IFERROR(VLOOKUP(D153,
IMPORTRANGE(""https://docs.google.com/spreadsheets/d/1MjHtlUikwobi2MaWJgy7tfLeBmhj1u-dRFRs_8GwSoA/edit#gid=0"",""Gestores Escolares!D7:m""),9,0),""VERIFICAR CÓD SEC"")"),"")</f>
        <v/>
      </c>
      <c r="R153" s="82" t="str">
        <f>IFERROR(__xludf.DUMMYFUNCTION("IFERROR(VLOOKUP(D153,
IMPORTRANGE(""https://docs.google.com/spreadsheets/d/1MjHtlUikwobi2MaWJgy7tfLeBmhj1u-dRFRs_8GwSoA/edit#gid=0"",""Gestores Escolares!D7:m""),10,0),""VERIFICAR CÓD SEC"")"),"")</f>
        <v/>
      </c>
      <c r="S153" s="82"/>
      <c r="T153" s="138">
        <v>3.0</v>
      </c>
      <c r="U153" s="145">
        <v>3.0</v>
      </c>
      <c r="V153" s="106">
        <v>0.0</v>
      </c>
      <c r="W153" s="107">
        <v>0.0</v>
      </c>
      <c r="X153" s="107">
        <v>0.0</v>
      </c>
      <c r="Y153" s="107">
        <v>0.0</v>
      </c>
      <c r="Z153" s="80">
        <f t="shared" si="1"/>
        <v>0</v>
      </c>
      <c r="AA153" s="106">
        <v>0.0</v>
      </c>
      <c r="AB153" s="107">
        <v>0.0</v>
      </c>
      <c r="AC153" s="107">
        <v>0.0</v>
      </c>
      <c r="AD153" s="107">
        <v>0.0</v>
      </c>
      <c r="AE153" s="80">
        <f t="shared" si="2"/>
        <v>0</v>
      </c>
      <c r="AF153" s="140">
        <v>0.0</v>
      </c>
      <c r="AG153" s="109">
        <v>0.0</v>
      </c>
      <c r="AH153" s="109">
        <v>0.0</v>
      </c>
      <c r="AI153" s="141">
        <v>0.0</v>
      </c>
      <c r="AJ153" s="80">
        <f t="shared" si="3"/>
        <v>0</v>
      </c>
      <c r="AK153" s="140">
        <v>0.0</v>
      </c>
      <c r="AL153" s="109">
        <v>0.0</v>
      </c>
      <c r="AM153" s="141">
        <v>0.0</v>
      </c>
      <c r="AN153" s="80">
        <f t="shared" si="4"/>
        <v>0</v>
      </c>
      <c r="AO153" s="140">
        <v>0.0</v>
      </c>
      <c r="AP153" s="109">
        <v>0.0</v>
      </c>
      <c r="AQ153" s="109">
        <v>13.0</v>
      </c>
      <c r="AR153" s="80">
        <f t="shared" si="5"/>
        <v>13</v>
      </c>
      <c r="AS153" s="110">
        <v>0.0</v>
      </c>
      <c r="AT153" s="110">
        <v>0.0</v>
      </c>
      <c r="AU153" s="110">
        <v>0.0</v>
      </c>
      <c r="AV153" s="142">
        <v>0.0</v>
      </c>
      <c r="AW153" s="80">
        <f t="shared" si="6"/>
        <v>0</v>
      </c>
      <c r="AX153" s="113">
        <f t="shared" si="7"/>
        <v>13</v>
      </c>
      <c r="AY153" s="117">
        <f t="shared" si="8"/>
        <v>0</v>
      </c>
      <c r="AZ153" s="120">
        <f t="shared" si="9"/>
        <v>13</v>
      </c>
      <c r="BA153" s="115">
        <v>0.0</v>
      </c>
      <c r="BB153" s="89">
        <f t="shared" si="10"/>
        <v>13</v>
      </c>
      <c r="BC153" s="132" t="s">
        <v>373</v>
      </c>
      <c r="BD153" s="132" t="s">
        <v>178</v>
      </c>
      <c r="BE153" s="132" t="s">
        <v>178</v>
      </c>
      <c r="BF153" s="156"/>
      <c r="BG153" s="83">
        <v>1178940.0</v>
      </c>
      <c r="BH153" s="144"/>
      <c r="BI153" s="112">
        <v>3.0</v>
      </c>
      <c r="BJ153" s="98" t="s">
        <v>155</v>
      </c>
      <c r="BK153" s="99">
        <f t="shared" si="11"/>
        <v>0</v>
      </c>
      <c r="BL153" s="99">
        <f t="shared" si="12"/>
        <v>0</v>
      </c>
      <c r="BM153" s="99" t="str">
        <f>IFERROR(__xludf.DUMMYFUNCTION("IFERROR(VLOOKUP(BG153,IMPORTRANGE(""https://docs.google.com/spreadsheets/d/1juPI-Fb8LD0YtltB2mlGEnp_R3UVu1t3wSFPzgCyHXE/edit?gid=0#gid=0"",""GERAL!A2:C""),3,0),""-"")"),"CAMPO")</f>
        <v>CAMPO</v>
      </c>
    </row>
    <row r="154" ht="15.75" customHeight="1">
      <c r="A154" s="111" t="s">
        <v>205</v>
      </c>
      <c r="B154" s="83" t="s">
        <v>732</v>
      </c>
      <c r="C154" s="83" t="s">
        <v>164</v>
      </c>
      <c r="D154" s="98">
        <v>1179772.0</v>
      </c>
      <c r="E154" s="83">
        <v>1178948.0</v>
      </c>
      <c r="F154" s="98">
        <v>2.9490677E7</v>
      </c>
      <c r="G154" s="119" t="s">
        <v>742</v>
      </c>
      <c r="H154" s="91" t="s">
        <v>743</v>
      </c>
      <c r="I154" s="83" t="s">
        <v>149</v>
      </c>
      <c r="J154" s="83" t="s">
        <v>702</v>
      </c>
      <c r="K154" s="83" t="s">
        <v>168</v>
      </c>
      <c r="L154" s="83" t="s">
        <v>169</v>
      </c>
      <c r="M154" s="82" t="str">
        <f>IFERROR(__xludf.DUMMYFUNCTION("IFERROR(VLOOKUP(D154,
IMPORTRANGE(""https://docs.google.com/spreadsheets/d/1MjHtlUikwobi2MaWJgy7tfLeBmhj1u-dRFRs_8GwSoA/edit#gid=0"",""Gestores Escolares!D7:J""),3,0),""VERIFICAR CÓD SEC"")"),"MARIA HELENA DE ASSIS LARANJEIRA GOMES")</f>
        <v>MARIA HELENA DE ASSIS LARANJEIRA GOMES</v>
      </c>
      <c r="N154" s="82" t="str">
        <f>IFERROR(__xludf.DUMMYFUNCTION("IFERROR(VLOOKUP(D154,
IMPORTRANGE(""https://docs.google.com/spreadsheets/d/1MjHtlUikwobi2MaWJgy7tfLeBmhj1u-dRFRs_8GwSoA/edit#gid=0"",""Gestores Escolares!D7:J""),4,0),""VERIFICAR CÓD SEC"")"),"(77) 9 9191-0370")</f>
        <v>(77) 9 9191-0370</v>
      </c>
      <c r="O154" s="82" t="str">
        <f>IFERROR(__xludf.DUMMYFUNCTION("IFERROR(VLOOKUP(D154,
IMPORTRANGE(""https://docs.google.com/spreadsheets/d/1MjHtlUikwobi2MaWJgy7tfLeBmhj1u-dRFRs_8GwSoA/edit#gid=0"",""Gestores Escolares!D7:J""),6,0),""VERIFICAR CÓD SEC"")")," INAIARA ALVES ROLIM")</f>
        <v> INAIARA ALVES ROLIM</v>
      </c>
      <c r="P154" s="82" t="str">
        <f>IFERROR(__xludf.DUMMYFUNCTION("IFERROR(VLOOKUP(D154,
IMPORTRANGE(""https://docs.google.com/spreadsheets/d/1MjHtlUikwobi2MaWJgy7tfLeBmhj1u-dRFRs_8GwSoA/edit#gid=0"",""Gestores Escolares!D7:J""),7,0),""VERIFICAR CÓD SEC"")"),"(77) 9 8837-3785")</f>
        <v>(77) 9 8837-3785</v>
      </c>
      <c r="Q154" s="82" t="str">
        <f>IFERROR(__xludf.DUMMYFUNCTION("IFERROR(VLOOKUP(D154,
IMPORTRANGE(""https://docs.google.com/spreadsheets/d/1MjHtlUikwobi2MaWJgy7tfLeBmhj1u-dRFRs_8GwSoA/edit#gid=0"",""Gestores Escolares!D7:m""),9,0),""VERIFICAR CÓD SEC"")"),"")</f>
        <v/>
      </c>
      <c r="R154" s="82" t="str">
        <f>IFERROR(__xludf.DUMMYFUNCTION("IFERROR(VLOOKUP(D154,
IMPORTRANGE(""https://docs.google.com/spreadsheets/d/1MjHtlUikwobi2MaWJgy7tfLeBmhj1u-dRFRs_8GwSoA/edit#gid=0"",""Gestores Escolares!D7:m""),10,0),""VERIFICAR CÓD SEC"")"),"")</f>
        <v/>
      </c>
      <c r="S154" s="82"/>
      <c r="T154" s="138">
        <v>3.0</v>
      </c>
      <c r="U154" s="145">
        <v>3.0</v>
      </c>
      <c r="V154" s="106">
        <v>0.0</v>
      </c>
      <c r="W154" s="107">
        <v>0.0</v>
      </c>
      <c r="X154" s="107">
        <v>0.0</v>
      </c>
      <c r="Y154" s="107">
        <v>0.0</v>
      </c>
      <c r="Z154" s="80">
        <f t="shared" si="1"/>
        <v>0</v>
      </c>
      <c r="AA154" s="106">
        <v>0.0</v>
      </c>
      <c r="AB154" s="107">
        <v>0.0</v>
      </c>
      <c r="AC154" s="107">
        <v>0.0</v>
      </c>
      <c r="AD154" s="107">
        <v>0.0</v>
      </c>
      <c r="AE154" s="80">
        <f t="shared" si="2"/>
        <v>0</v>
      </c>
      <c r="AF154" s="140">
        <v>0.0</v>
      </c>
      <c r="AG154" s="109">
        <v>0.0</v>
      </c>
      <c r="AH154" s="109">
        <v>0.0</v>
      </c>
      <c r="AI154" s="141">
        <v>0.0</v>
      </c>
      <c r="AJ154" s="80">
        <f t="shared" si="3"/>
        <v>0</v>
      </c>
      <c r="AK154" s="140">
        <v>0.0</v>
      </c>
      <c r="AL154" s="109">
        <v>0.0</v>
      </c>
      <c r="AM154" s="141">
        <v>0.0</v>
      </c>
      <c r="AN154" s="80">
        <f t="shared" si="4"/>
        <v>0</v>
      </c>
      <c r="AO154" s="140">
        <v>0.0</v>
      </c>
      <c r="AP154" s="109">
        <v>0.0</v>
      </c>
      <c r="AQ154" s="109">
        <v>21.0</v>
      </c>
      <c r="AR154" s="80">
        <f t="shared" si="5"/>
        <v>21</v>
      </c>
      <c r="AS154" s="110">
        <v>0.0</v>
      </c>
      <c r="AT154" s="110">
        <v>0.0</v>
      </c>
      <c r="AU154" s="110">
        <v>0.0</v>
      </c>
      <c r="AV154" s="142">
        <v>0.0</v>
      </c>
      <c r="AW154" s="80">
        <f t="shared" si="6"/>
        <v>0</v>
      </c>
      <c r="AX154" s="113">
        <f t="shared" si="7"/>
        <v>21</v>
      </c>
      <c r="AY154" s="117">
        <f t="shared" si="8"/>
        <v>0</v>
      </c>
      <c r="AZ154" s="120">
        <f t="shared" si="9"/>
        <v>21</v>
      </c>
      <c r="BA154" s="115">
        <v>0.0</v>
      </c>
      <c r="BB154" s="89">
        <f t="shared" si="10"/>
        <v>21</v>
      </c>
      <c r="BC154" s="132" t="s">
        <v>373</v>
      </c>
      <c r="BD154" s="132" t="s">
        <v>178</v>
      </c>
      <c r="BE154" s="132" t="s">
        <v>178</v>
      </c>
      <c r="BF154" s="156"/>
      <c r="BG154" s="83">
        <v>1178948.0</v>
      </c>
      <c r="BH154" s="144"/>
      <c r="BI154" s="112">
        <v>3.0</v>
      </c>
      <c r="BJ154" s="98" t="s">
        <v>155</v>
      </c>
      <c r="BK154" s="99">
        <f t="shared" si="11"/>
        <v>0</v>
      </c>
      <c r="BL154" s="99">
        <f t="shared" si="12"/>
        <v>0</v>
      </c>
      <c r="BM154" s="99" t="str">
        <f>IFERROR(__xludf.DUMMYFUNCTION("IFERROR(VLOOKUP(BG154,IMPORTRANGE(""https://docs.google.com/spreadsheets/d/1juPI-Fb8LD0YtltB2mlGEnp_R3UVu1t3wSFPzgCyHXE/edit?gid=0#gid=0"",""GERAL!A2:C""),3,0),""-"")"),"CAMPO")</f>
        <v>CAMPO</v>
      </c>
    </row>
    <row r="155" ht="15.75" customHeight="1">
      <c r="A155" s="111" t="s">
        <v>205</v>
      </c>
      <c r="B155" s="83" t="s">
        <v>732</v>
      </c>
      <c r="C155" s="83" t="s">
        <v>164</v>
      </c>
      <c r="D155" s="98">
        <v>1179772.0</v>
      </c>
      <c r="E155" s="83">
        <v>1178945.0</v>
      </c>
      <c r="F155" s="98">
        <v>2.9490669E7</v>
      </c>
      <c r="G155" s="119" t="s">
        <v>744</v>
      </c>
      <c r="H155" s="91" t="s">
        <v>745</v>
      </c>
      <c r="I155" s="136" t="s">
        <v>746</v>
      </c>
      <c r="J155" s="136" t="s">
        <v>702</v>
      </c>
      <c r="K155" s="136" t="s">
        <v>168</v>
      </c>
      <c r="L155" s="83" t="s">
        <v>169</v>
      </c>
      <c r="M155" s="82" t="str">
        <f>IFERROR(__xludf.DUMMYFUNCTION("IFERROR(VLOOKUP(D155,
IMPORTRANGE(""https://docs.google.com/spreadsheets/d/1MjHtlUikwobi2MaWJgy7tfLeBmhj1u-dRFRs_8GwSoA/edit#gid=0"",""Gestores Escolares!D7:J""),3,0),""VERIFICAR CÓD SEC"")"),"MARIA HELENA DE ASSIS LARANJEIRA GOMES")</f>
        <v>MARIA HELENA DE ASSIS LARANJEIRA GOMES</v>
      </c>
      <c r="N155" s="82" t="str">
        <f>IFERROR(__xludf.DUMMYFUNCTION("IFERROR(VLOOKUP(D155,
IMPORTRANGE(""https://docs.google.com/spreadsheets/d/1MjHtlUikwobi2MaWJgy7tfLeBmhj1u-dRFRs_8GwSoA/edit#gid=0"",""Gestores Escolares!D7:J""),4,0),""VERIFICAR CÓD SEC"")"),"(77) 9 9191-0370")</f>
        <v>(77) 9 9191-0370</v>
      </c>
      <c r="O155" s="82" t="str">
        <f>IFERROR(__xludf.DUMMYFUNCTION("IFERROR(VLOOKUP(D155,
IMPORTRANGE(""https://docs.google.com/spreadsheets/d/1MjHtlUikwobi2MaWJgy7tfLeBmhj1u-dRFRs_8GwSoA/edit#gid=0"",""Gestores Escolares!D7:J""),6,0),""VERIFICAR CÓD SEC"")")," INAIARA ALVES ROLIM")</f>
        <v> INAIARA ALVES ROLIM</v>
      </c>
      <c r="P155" s="82" t="str">
        <f>IFERROR(__xludf.DUMMYFUNCTION("IFERROR(VLOOKUP(D155,
IMPORTRANGE(""https://docs.google.com/spreadsheets/d/1MjHtlUikwobi2MaWJgy7tfLeBmhj1u-dRFRs_8GwSoA/edit#gid=0"",""Gestores Escolares!D7:J""),7,0),""VERIFICAR CÓD SEC"")"),"(77) 9 8837-3785")</f>
        <v>(77) 9 8837-3785</v>
      </c>
      <c r="Q155" s="82" t="str">
        <f>IFERROR(__xludf.DUMMYFUNCTION("IFERROR(VLOOKUP(D155,
IMPORTRANGE(""https://docs.google.com/spreadsheets/d/1MjHtlUikwobi2MaWJgy7tfLeBmhj1u-dRFRs_8GwSoA/edit#gid=0"",""Gestores Escolares!D7:m""),9,0),""VERIFICAR CÓD SEC"")"),"")</f>
        <v/>
      </c>
      <c r="R155" s="82" t="str">
        <f>IFERROR(__xludf.DUMMYFUNCTION("IFERROR(VLOOKUP(D155,
IMPORTRANGE(""https://docs.google.com/spreadsheets/d/1MjHtlUikwobi2MaWJgy7tfLeBmhj1u-dRFRs_8GwSoA/edit#gid=0"",""Gestores Escolares!D7:m""),10,0),""VERIFICAR CÓD SEC"")"),"")</f>
        <v/>
      </c>
      <c r="S155" s="82"/>
      <c r="T155" s="138">
        <v>3.0</v>
      </c>
      <c r="U155" s="145">
        <v>3.0</v>
      </c>
      <c r="V155" s="106">
        <v>0.0</v>
      </c>
      <c r="W155" s="107">
        <v>0.0</v>
      </c>
      <c r="X155" s="107">
        <v>0.0</v>
      </c>
      <c r="Y155" s="107">
        <v>0.0</v>
      </c>
      <c r="Z155" s="80">
        <f t="shared" si="1"/>
        <v>0</v>
      </c>
      <c r="AA155" s="106">
        <v>0.0</v>
      </c>
      <c r="AB155" s="107">
        <v>0.0</v>
      </c>
      <c r="AC155" s="107">
        <v>0.0</v>
      </c>
      <c r="AD155" s="107">
        <v>0.0</v>
      </c>
      <c r="AE155" s="80">
        <f t="shared" si="2"/>
        <v>0</v>
      </c>
      <c r="AF155" s="140">
        <v>0.0</v>
      </c>
      <c r="AG155" s="109">
        <v>0.0</v>
      </c>
      <c r="AH155" s="109">
        <v>0.0</v>
      </c>
      <c r="AI155" s="141">
        <v>0.0</v>
      </c>
      <c r="AJ155" s="80">
        <f t="shared" si="3"/>
        <v>0</v>
      </c>
      <c r="AK155" s="140">
        <v>0.0</v>
      </c>
      <c r="AL155" s="109">
        <v>0.0</v>
      </c>
      <c r="AM155" s="141">
        <v>0.0</v>
      </c>
      <c r="AN155" s="80">
        <f t="shared" si="4"/>
        <v>0</v>
      </c>
      <c r="AO155" s="140">
        <v>0.0</v>
      </c>
      <c r="AP155" s="109">
        <v>0.0</v>
      </c>
      <c r="AQ155" s="109">
        <v>23.0</v>
      </c>
      <c r="AR155" s="80">
        <f t="shared" si="5"/>
        <v>23</v>
      </c>
      <c r="AS155" s="110">
        <v>0.0</v>
      </c>
      <c r="AT155" s="110">
        <v>0.0</v>
      </c>
      <c r="AU155" s="110">
        <v>0.0</v>
      </c>
      <c r="AV155" s="142">
        <v>0.0</v>
      </c>
      <c r="AW155" s="80">
        <f t="shared" si="6"/>
        <v>0</v>
      </c>
      <c r="AX155" s="113">
        <f t="shared" si="7"/>
        <v>23</v>
      </c>
      <c r="AY155" s="117">
        <f t="shared" si="8"/>
        <v>0</v>
      </c>
      <c r="AZ155" s="120">
        <f t="shared" si="9"/>
        <v>23</v>
      </c>
      <c r="BA155" s="115">
        <v>0.0</v>
      </c>
      <c r="BB155" s="89">
        <f t="shared" si="10"/>
        <v>23</v>
      </c>
      <c r="BC155" s="132" t="s">
        <v>373</v>
      </c>
      <c r="BD155" s="132" t="s">
        <v>178</v>
      </c>
      <c r="BE155" s="132" t="s">
        <v>178</v>
      </c>
      <c r="BF155" s="156"/>
      <c r="BG155" s="83">
        <v>1178945.0</v>
      </c>
      <c r="BH155" s="144"/>
      <c r="BI155" s="112">
        <v>3.0</v>
      </c>
      <c r="BJ155" s="98" t="s">
        <v>155</v>
      </c>
      <c r="BK155" s="99">
        <f t="shared" si="11"/>
        <v>0</v>
      </c>
      <c r="BL155" s="99">
        <f t="shared" si="12"/>
        <v>0</v>
      </c>
      <c r="BM155" s="99" t="str">
        <f>IFERROR(__xludf.DUMMYFUNCTION("IFERROR(VLOOKUP(BG155,IMPORTRANGE(""https://docs.google.com/spreadsheets/d/1juPI-Fb8LD0YtltB2mlGEnp_R3UVu1t3wSFPzgCyHXE/edit?gid=0#gid=0"",""GERAL!A2:C""),3,0),""-"")"),"CAMPO")</f>
        <v>CAMPO</v>
      </c>
    </row>
    <row r="156" ht="15.75" customHeight="1">
      <c r="A156" s="111" t="s">
        <v>205</v>
      </c>
      <c r="B156" s="83" t="s">
        <v>732</v>
      </c>
      <c r="C156" s="83" t="s">
        <v>164</v>
      </c>
      <c r="D156" s="112">
        <v>1178023.0</v>
      </c>
      <c r="E156" s="83">
        <v>1178949.0</v>
      </c>
      <c r="F156" s="98">
        <v>2.9490111E7</v>
      </c>
      <c r="G156" s="114" t="s">
        <v>747</v>
      </c>
      <c r="H156" s="91" t="s">
        <v>748</v>
      </c>
      <c r="I156" s="83" t="s">
        <v>149</v>
      </c>
      <c r="J156" s="83" t="s">
        <v>240</v>
      </c>
      <c r="K156" s="83" t="s">
        <v>168</v>
      </c>
      <c r="L156" s="83" t="s">
        <v>169</v>
      </c>
      <c r="M156" s="82" t="str">
        <f>IFERROR(__xludf.DUMMYFUNCTION("IFERROR(VLOOKUP(D156,
IMPORTRANGE(""https://docs.google.com/spreadsheets/d/1MjHtlUikwobi2MaWJgy7tfLeBmhj1u-dRFRs_8GwSoA/edit#gid=0"",""Gestores Escolares!D7:J""),3,0),""VERIFICAR CÓD SEC"")"),"CRISTINI MARIA GUEDES SANTOS")</f>
        <v>CRISTINI MARIA GUEDES SANTOS</v>
      </c>
      <c r="N156" s="82" t="str">
        <f>IFERROR(__xludf.DUMMYFUNCTION("IFERROR(VLOOKUP(D156,
IMPORTRANGE(""https://docs.google.com/spreadsheets/d/1MjHtlUikwobi2MaWJgy7tfLeBmhj1u-dRFRs_8GwSoA/edit#gid=0"",""Gestores Escolares!D7:J""),4,0),""VERIFICAR CÓD SEC"")"),"(77) 9 9110-0392")</f>
        <v>(77) 9 9110-0392</v>
      </c>
      <c r="O156" s="82" t="str">
        <f>IFERROR(__xludf.DUMMYFUNCTION("IFERROR(VLOOKUP(D156,
IMPORTRANGE(""https://docs.google.com/spreadsheets/d/1MjHtlUikwobi2MaWJgy7tfLeBmhj1u-dRFRs_8GwSoA/edit#gid=0"",""Gestores Escolares!D7:J""),6,0),""VERIFICAR CÓD SEC"")"),"VANIA MENDES DA SILVA NOVAIS")</f>
        <v>VANIA MENDES DA SILVA NOVAIS</v>
      </c>
      <c r="P156" s="82" t="str">
        <f>IFERROR(__xludf.DUMMYFUNCTION("IFERROR(VLOOKUP(D156,
IMPORTRANGE(""https://docs.google.com/spreadsheets/d/1MjHtlUikwobi2MaWJgy7tfLeBmhj1u-dRFRs_8GwSoA/edit#gid=0"",""Gestores Escolares!D7:J""),7,0),""VERIFICAR CÓD SEC"")")," (77) 9 9805-2515")</f>
        <v> (77) 9 9805-2515</v>
      </c>
      <c r="Q156" s="82" t="str">
        <f>IFERROR(__xludf.DUMMYFUNCTION("IFERROR(VLOOKUP(D156,
IMPORTRANGE(""https://docs.google.com/spreadsheets/d/1MjHtlUikwobi2MaWJgy7tfLeBmhj1u-dRFRs_8GwSoA/edit#gid=0"",""Gestores Escolares!D7:m""),9,0),""VERIFICAR CÓD SEC"")"),"JEANDERSON ANTUNES DOS SANTOS SOARES")</f>
        <v>JEANDERSON ANTUNES DOS SANTOS SOARES</v>
      </c>
      <c r="R156" s="82" t="str">
        <f>IFERROR(__xludf.DUMMYFUNCTION("IFERROR(VLOOKUP(D156,
IMPORTRANGE(""https://docs.google.com/spreadsheets/d/1MjHtlUikwobi2MaWJgy7tfLeBmhj1u-dRFRs_8GwSoA/edit#gid=0"",""Gestores Escolares!D7:m""),10,0),""VERIFICAR CÓD SEC"")"),"(77) 9 9821-2040")</f>
        <v>(77) 9 9821-2040</v>
      </c>
      <c r="S156" s="82"/>
      <c r="T156" s="138">
        <v>3.0</v>
      </c>
      <c r="U156" s="145">
        <v>3.0</v>
      </c>
      <c r="V156" s="106">
        <v>0.0</v>
      </c>
      <c r="W156" s="107">
        <v>0.0</v>
      </c>
      <c r="X156" s="107">
        <v>0.0</v>
      </c>
      <c r="Y156" s="107">
        <v>0.0</v>
      </c>
      <c r="Z156" s="80">
        <f t="shared" si="1"/>
        <v>0</v>
      </c>
      <c r="AA156" s="106">
        <v>0.0</v>
      </c>
      <c r="AB156" s="107">
        <v>0.0</v>
      </c>
      <c r="AC156" s="107">
        <v>0.0</v>
      </c>
      <c r="AD156" s="107">
        <v>0.0</v>
      </c>
      <c r="AE156" s="80">
        <f t="shared" si="2"/>
        <v>0</v>
      </c>
      <c r="AF156" s="140">
        <v>0.0</v>
      </c>
      <c r="AG156" s="109">
        <v>0.0</v>
      </c>
      <c r="AH156" s="109">
        <v>0.0</v>
      </c>
      <c r="AI156" s="141">
        <v>0.0</v>
      </c>
      <c r="AJ156" s="80">
        <f t="shared" si="3"/>
        <v>0</v>
      </c>
      <c r="AK156" s="140">
        <v>0.0</v>
      </c>
      <c r="AL156" s="109">
        <v>0.0</v>
      </c>
      <c r="AM156" s="141">
        <v>0.0</v>
      </c>
      <c r="AN156" s="80">
        <f t="shared" si="4"/>
        <v>0</v>
      </c>
      <c r="AO156" s="140">
        <v>0.0</v>
      </c>
      <c r="AP156" s="109">
        <v>0.0</v>
      </c>
      <c r="AQ156" s="109">
        <v>36.0</v>
      </c>
      <c r="AR156" s="80">
        <f t="shared" si="5"/>
        <v>36</v>
      </c>
      <c r="AS156" s="110">
        <v>0.0</v>
      </c>
      <c r="AT156" s="110">
        <v>0.0</v>
      </c>
      <c r="AU156" s="110">
        <v>0.0</v>
      </c>
      <c r="AV156" s="142">
        <v>0.0</v>
      </c>
      <c r="AW156" s="80">
        <f t="shared" si="6"/>
        <v>0</v>
      </c>
      <c r="AX156" s="113">
        <f t="shared" si="7"/>
        <v>36</v>
      </c>
      <c r="AY156" s="117">
        <f t="shared" si="8"/>
        <v>0</v>
      </c>
      <c r="AZ156" s="120">
        <f t="shared" si="9"/>
        <v>36</v>
      </c>
      <c r="BA156" s="115">
        <v>0.0</v>
      </c>
      <c r="BB156" s="89">
        <f t="shared" si="10"/>
        <v>36</v>
      </c>
      <c r="BC156" s="132" t="s">
        <v>373</v>
      </c>
      <c r="BD156" s="132" t="s">
        <v>178</v>
      </c>
      <c r="BE156" s="132" t="s">
        <v>178</v>
      </c>
      <c r="BF156" s="156"/>
      <c r="BG156" s="83">
        <v>1178949.0</v>
      </c>
      <c r="BH156" s="144"/>
      <c r="BI156" s="112">
        <v>3.0</v>
      </c>
      <c r="BJ156" s="98" t="s">
        <v>155</v>
      </c>
      <c r="BK156" s="99">
        <f t="shared" si="11"/>
        <v>0</v>
      </c>
      <c r="BL156" s="99">
        <f t="shared" si="12"/>
        <v>0</v>
      </c>
      <c r="BM156" s="99" t="str">
        <f>IFERROR(__xludf.DUMMYFUNCTION("IFERROR(VLOOKUP(BG156,IMPORTRANGE(""https://docs.google.com/spreadsheets/d/1juPI-Fb8LD0YtltB2mlGEnp_R3UVu1t3wSFPzgCyHXE/edit?gid=0#gid=0"",""GERAL!A2:C""),3,0),""-"")"),"CAMPO")</f>
        <v>CAMPO</v>
      </c>
    </row>
    <row r="157" ht="15.75" customHeight="1">
      <c r="A157" s="111" t="s">
        <v>205</v>
      </c>
      <c r="B157" s="83" t="s">
        <v>732</v>
      </c>
      <c r="C157" s="83" t="s">
        <v>164</v>
      </c>
      <c r="D157" s="112">
        <v>1178023.0</v>
      </c>
      <c r="E157" s="83">
        <v>1178947.0</v>
      </c>
      <c r="F157" s="98">
        <v>2.9490103E7</v>
      </c>
      <c r="G157" s="114" t="s">
        <v>749</v>
      </c>
      <c r="H157" s="91" t="s">
        <v>750</v>
      </c>
      <c r="I157" s="83" t="s">
        <v>149</v>
      </c>
      <c r="J157" s="83" t="s">
        <v>751</v>
      </c>
      <c r="K157" s="83" t="s">
        <v>168</v>
      </c>
      <c r="L157" s="83" t="s">
        <v>169</v>
      </c>
      <c r="M157" s="82" t="str">
        <f>IFERROR(__xludf.DUMMYFUNCTION("IFERROR(VLOOKUP(D157,
IMPORTRANGE(""https://docs.google.com/spreadsheets/d/1MjHtlUikwobi2MaWJgy7tfLeBmhj1u-dRFRs_8GwSoA/edit#gid=0"",""Gestores Escolares!D7:J""),3,0),""VERIFICAR CÓD SEC"")"),"CRISTINI MARIA GUEDES SANTOS")</f>
        <v>CRISTINI MARIA GUEDES SANTOS</v>
      </c>
      <c r="N157" s="82" t="str">
        <f>IFERROR(__xludf.DUMMYFUNCTION("IFERROR(VLOOKUP(D157,
IMPORTRANGE(""https://docs.google.com/spreadsheets/d/1MjHtlUikwobi2MaWJgy7tfLeBmhj1u-dRFRs_8GwSoA/edit#gid=0"",""Gestores Escolares!D7:J""),4,0),""VERIFICAR CÓD SEC"")"),"(77) 9 9110-0392")</f>
        <v>(77) 9 9110-0392</v>
      </c>
      <c r="O157" s="82" t="str">
        <f>IFERROR(__xludf.DUMMYFUNCTION("IFERROR(VLOOKUP(D157,
IMPORTRANGE(""https://docs.google.com/spreadsheets/d/1MjHtlUikwobi2MaWJgy7tfLeBmhj1u-dRFRs_8GwSoA/edit#gid=0"",""Gestores Escolares!D7:J""),6,0),""VERIFICAR CÓD SEC"")"),"VANIA MENDES DA SILVA NOVAIS")</f>
        <v>VANIA MENDES DA SILVA NOVAIS</v>
      </c>
      <c r="P157" s="82" t="str">
        <f>IFERROR(__xludf.DUMMYFUNCTION("IFERROR(VLOOKUP(D157,
IMPORTRANGE(""https://docs.google.com/spreadsheets/d/1MjHtlUikwobi2MaWJgy7tfLeBmhj1u-dRFRs_8GwSoA/edit#gid=0"",""Gestores Escolares!D7:J""),7,0),""VERIFICAR CÓD SEC"")")," (77) 9 9805-2515")</f>
        <v> (77) 9 9805-2515</v>
      </c>
      <c r="Q157" s="82" t="str">
        <f>IFERROR(__xludf.DUMMYFUNCTION("IFERROR(VLOOKUP(D157,
IMPORTRANGE(""https://docs.google.com/spreadsheets/d/1MjHtlUikwobi2MaWJgy7tfLeBmhj1u-dRFRs_8GwSoA/edit#gid=0"",""Gestores Escolares!D7:m""),9,0),""VERIFICAR CÓD SEC"")"),"JEANDERSON ANTUNES DOS SANTOS SOARES")</f>
        <v>JEANDERSON ANTUNES DOS SANTOS SOARES</v>
      </c>
      <c r="R157" s="82" t="str">
        <f>IFERROR(__xludf.DUMMYFUNCTION("IFERROR(VLOOKUP(D157,
IMPORTRANGE(""https://docs.google.com/spreadsheets/d/1MjHtlUikwobi2MaWJgy7tfLeBmhj1u-dRFRs_8GwSoA/edit#gid=0"",""Gestores Escolares!D7:m""),10,0),""VERIFICAR CÓD SEC"")"),"(77) 9 9821-2040")</f>
        <v>(77) 9 9821-2040</v>
      </c>
      <c r="S157" s="82"/>
      <c r="T157" s="138">
        <v>3.0</v>
      </c>
      <c r="U157" s="145">
        <v>3.0</v>
      </c>
      <c r="V157" s="106">
        <v>0.0</v>
      </c>
      <c r="W157" s="107">
        <v>0.0</v>
      </c>
      <c r="X157" s="107">
        <v>0.0</v>
      </c>
      <c r="Y157" s="107">
        <v>0.0</v>
      </c>
      <c r="Z157" s="80">
        <f t="shared" si="1"/>
        <v>0</v>
      </c>
      <c r="AA157" s="106">
        <v>0.0</v>
      </c>
      <c r="AB157" s="107">
        <v>0.0</v>
      </c>
      <c r="AC157" s="107">
        <v>0.0</v>
      </c>
      <c r="AD157" s="107">
        <v>0.0</v>
      </c>
      <c r="AE157" s="80">
        <f t="shared" si="2"/>
        <v>0</v>
      </c>
      <c r="AF157" s="140">
        <v>0.0</v>
      </c>
      <c r="AG157" s="109">
        <v>0.0</v>
      </c>
      <c r="AH157" s="109">
        <v>0.0</v>
      </c>
      <c r="AI157" s="141">
        <v>0.0</v>
      </c>
      <c r="AJ157" s="80">
        <f t="shared" si="3"/>
        <v>0</v>
      </c>
      <c r="AK157" s="140">
        <v>0.0</v>
      </c>
      <c r="AL157" s="109">
        <v>0.0</v>
      </c>
      <c r="AM157" s="141">
        <v>0.0</v>
      </c>
      <c r="AN157" s="80">
        <f t="shared" si="4"/>
        <v>0</v>
      </c>
      <c r="AO157" s="140">
        <v>0.0</v>
      </c>
      <c r="AP157" s="109">
        <v>0.0</v>
      </c>
      <c r="AQ157" s="109">
        <v>16.0</v>
      </c>
      <c r="AR157" s="80">
        <f t="shared" si="5"/>
        <v>16</v>
      </c>
      <c r="AS157" s="110">
        <v>0.0</v>
      </c>
      <c r="AT157" s="110">
        <v>0.0</v>
      </c>
      <c r="AU157" s="110">
        <v>0.0</v>
      </c>
      <c r="AV157" s="142">
        <v>0.0</v>
      </c>
      <c r="AW157" s="80">
        <f t="shared" si="6"/>
        <v>0</v>
      </c>
      <c r="AX157" s="113">
        <f t="shared" si="7"/>
        <v>16</v>
      </c>
      <c r="AY157" s="117">
        <f t="shared" si="8"/>
        <v>0</v>
      </c>
      <c r="AZ157" s="120">
        <f t="shared" si="9"/>
        <v>16</v>
      </c>
      <c r="BA157" s="115">
        <v>0.0</v>
      </c>
      <c r="BB157" s="89">
        <f t="shared" si="10"/>
        <v>16</v>
      </c>
      <c r="BC157" s="132" t="s">
        <v>373</v>
      </c>
      <c r="BD157" s="132" t="s">
        <v>178</v>
      </c>
      <c r="BE157" s="132" t="s">
        <v>178</v>
      </c>
      <c r="BF157" s="156"/>
      <c r="BG157" s="83">
        <v>1178947.0</v>
      </c>
      <c r="BH157" s="144"/>
      <c r="BI157" s="112">
        <v>3.0</v>
      </c>
      <c r="BJ157" s="98" t="s">
        <v>155</v>
      </c>
      <c r="BK157" s="99">
        <f t="shared" si="11"/>
        <v>0</v>
      </c>
      <c r="BL157" s="99">
        <f t="shared" si="12"/>
        <v>0</v>
      </c>
      <c r="BM157" s="99" t="str">
        <f>IFERROR(__xludf.DUMMYFUNCTION("IFERROR(VLOOKUP(BG157,IMPORTRANGE(""https://docs.google.com/spreadsheets/d/1juPI-Fb8LD0YtltB2mlGEnp_R3UVu1t3wSFPzgCyHXE/edit?gid=0#gid=0"",""GERAL!A2:C""),3,0),""-"")"),"CAMPO")</f>
        <v>CAMPO</v>
      </c>
    </row>
    <row r="158" ht="15.75" customHeight="1">
      <c r="A158" s="111" t="s">
        <v>205</v>
      </c>
      <c r="B158" s="83" t="s">
        <v>732</v>
      </c>
      <c r="C158" s="83" t="s">
        <v>164</v>
      </c>
      <c r="D158" s="112">
        <v>1178023.0</v>
      </c>
      <c r="E158" s="83">
        <v>1178946.0</v>
      </c>
      <c r="F158" s="98">
        <v>2.9490081E7</v>
      </c>
      <c r="G158" s="114" t="s">
        <v>753</v>
      </c>
      <c r="H158" s="91" t="s">
        <v>754</v>
      </c>
      <c r="I158" s="83" t="s">
        <v>755</v>
      </c>
      <c r="J158" s="83" t="s">
        <v>702</v>
      </c>
      <c r="K158" s="83" t="s">
        <v>168</v>
      </c>
      <c r="L158" s="83" t="s">
        <v>169</v>
      </c>
      <c r="M158" s="82" t="str">
        <f>IFERROR(__xludf.DUMMYFUNCTION("IFERROR(VLOOKUP(D158,
IMPORTRANGE(""https://docs.google.com/spreadsheets/d/1MjHtlUikwobi2MaWJgy7tfLeBmhj1u-dRFRs_8GwSoA/edit#gid=0"",""Gestores Escolares!D7:J""),3,0),""VERIFICAR CÓD SEC"")"),"CRISTINI MARIA GUEDES SANTOS")</f>
        <v>CRISTINI MARIA GUEDES SANTOS</v>
      </c>
      <c r="N158" s="82" t="str">
        <f>IFERROR(__xludf.DUMMYFUNCTION("IFERROR(VLOOKUP(D158,
IMPORTRANGE(""https://docs.google.com/spreadsheets/d/1MjHtlUikwobi2MaWJgy7tfLeBmhj1u-dRFRs_8GwSoA/edit#gid=0"",""Gestores Escolares!D7:J""),4,0),""VERIFICAR CÓD SEC"")"),"(77) 9 9110-0392")</f>
        <v>(77) 9 9110-0392</v>
      </c>
      <c r="O158" s="82" t="str">
        <f>IFERROR(__xludf.DUMMYFUNCTION("IFERROR(VLOOKUP(D158,
IMPORTRANGE(""https://docs.google.com/spreadsheets/d/1MjHtlUikwobi2MaWJgy7tfLeBmhj1u-dRFRs_8GwSoA/edit#gid=0"",""Gestores Escolares!D7:J""),6,0),""VERIFICAR CÓD SEC"")"),"VANIA MENDES DA SILVA NOVAIS")</f>
        <v>VANIA MENDES DA SILVA NOVAIS</v>
      </c>
      <c r="P158" s="82" t="str">
        <f>IFERROR(__xludf.DUMMYFUNCTION("IFERROR(VLOOKUP(D158,
IMPORTRANGE(""https://docs.google.com/spreadsheets/d/1MjHtlUikwobi2MaWJgy7tfLeBmhj1u-dRFRs_8GwSoA/edit#gid=0"",""Gestores Escolares!D7:J""),7,0),""VERIFICAR CÓD SEC"")")," (77) 9 9805-2515")</f>
        <v> (77) 9 9805-2515</v>
      </c>
      <c r="Q158" s="82" t="str">
        <f>IFERROR(__xludf.DUMMYFUNCTION("IFERROR(VLOOKUP(D158,
IMPORTRANGE(""https://docs.google.com/spreadsheets/d/1MjHtlUikwobi2MaWJgy7tfLeBmhj1u-dRFRs_8GwSoA/edit#gid=0"",""Gestores Escolares!D7:m""),9,0),""VERIFICAR CÓD SEC"")"),"JEANDERSON ANTUNES DOS SANTOS SOARES")</f>
        <v>JEANDERSON ANTUNES DOS SANTOS SOARES</v>
      </c>
      <c r="R158" s="82" t="str">
        <f>IFERROR(__xludf.DUMMYFUNCTION("IFERROR(VLOOKUP(D158,
IMPORTRANGE(""https://docs.google.com/spreadsheets/d/1MjHtlUikwobi2MaWJgy7tfLeBmhj1u-dRFRs_8GwSoA/edit#gid=0"",""Gestores Escolares!D7:m""),10,0),""VERIFICAR CÓD SEC"")"),"(77) 9 9821-2040")</f>
        <v>(77) 9 9821-2040</v>
      </c>
      <c r="S158" s="82"/>
      <c r="T158" s="138">
        <v>3.0</v>
      </c>
      <c r="U158" s="145">
        <v>3.0</v>
      </c>
      <c r="V158" s="106">
        <v>0.0</v>
      </c>
      <c r="W158" s="107">
        <v>0.0</v>
      </c>
      <c r="X158" s="107">
        <v>0.0</v>
      </c>
      <c r="Y158" s="107">
        <v>0.0</v>
      </c>
      <c r="Z158" s="80">
        <f t="shared" si="1"/>
        <v>0</v>
      </c>
      <c r="AA158" s="106">
        <v>0.0</v>
      </c>
      <c r="AB158" s="107">
        <v>0.0</v>
      </c>
      <c r="AC158" s="107">
        <v>0.0</v>
      </c>
      <c r="AD158" s="107">
        <v>0.0</v>
      </c>
      <c r="AE158" s="80">
        <f t="shared" si="2"/>
        <v>0</v>
      </c>
      <c r="AF158" s="140">
        <v>0.0</v>
      </c>
      <c r="AG158" s="109">
        <v>87.0</v>
      </c>
      <c r="AH158" s="109">
        <v>0.0</v>
      </c>
      <c r="AI158" s="141">
        <v>0.0</v>
      </c>
      <c r="AJ158" s="80">
        <f t="shared" si="3"/>
        <v>87</v>
      </c>
      <c r="AK158" s="140">
        <v>0.0</v>
      </c>
      <c r="AL158" s="109">
        <v>0.0</v>
      </c>
      <c r="AM158" s="141">
        <v>0.0</v>
      </c>
      <c r="AN158" s="80">
        <f t="shared" si="4"/>
        <v>0</v>
      </c>
      <c r="AO158" s="140">
        <v>0.0</v>
      </c>
      <c r="AP158" s="109">
        <v>0.0</v>
      </c>
      <c r="AQ158" s="109">
        <v>0.0</v>
      </c>
      <c r="AR158" s="80">
        <f t="shared" si="5"/>
        <v>0</v>
      </c>
      <c r="AS158" s="110">
        <v>0.0</v>
      </c>
      <c r="AT158" s="110">
        <v>0.0</v>
      </c>
      <c r="AU158" s="110">
        <v>0.0</v>
      </c>
      <c r="AV158" s="142">
        <v>0.0</v>
      </c>
      <c r="AW158" s="80">
        <f t="shared" si="6"/>
        <v>0</v>
      </c>
      <c r="AX158" s="113">
        <f t="shared" si="7"/>
        <v>87</v>
      </c>
      <c r="AY158" s="117">
        <f t="shared" si="8"/>
        <v>87</v>
      </c>
      <c r="AZ158" s="120">
        <f t="shared" si="9"/>
        <v>0</v>
      </c>
      <c r="BA158" s="115">
        <v>0.0</v>
      </c>
      <c r="BB158" s="89">
        <f t="shared" si="10"/>
        <v>87</v>
      </c>
      <c r="BC158" s="132" t="s">
        <v>373</v>
      </c>
      <c r="BD158" s="132" t="s">
        <v>178</v>
      </c>
      <c r="BE158" s="132" t="s">
        <v>178</v>
      </c>
      <c r="BF158" s="156"/>
      <c r="BG158" s="83">
        <v>1178946.0</v>
      </c>
      <c r="BH158" s="144"/>
      <c r="BI158" s="112">
        <v>3.0</v>
      </c>
      <c r="BJ158" s="98" t="s">
        <v>155</v>
      </c>
      <c r="BK158" s="99">
        <f t="shared" si="11"/>
        <v>0</v>
      </c>
      <c r="BL158" s="99">
        <f t="shared" si="12"/>
        <v>87</v>
      </c>
      <c r="BM158" s="99" t="str">
        <f>IFERROR(__xludf.DUMMYFUNCTION("IFERROR(VLOOKUP(BG158,IMPORTRANGE(""https://docs.google.com/spreadsheets/d/1juPI-Fb8LD0YtltB2mlGEnp_R3UVu1t3wSFPzgCyHXE/edit?gid=0#gid=0"",""GERAL!A2:C""),3,0),""-"")"),"CAMPO")</f>
        <v>CAMPO</v>
      </c>
    </row>
    <row r="159" ht="15.75" customHeight="1">
      <c r="A159" s="111" t="s">
        <v>205</v>
      </c>
      <c r="B159" s="98" t="s">
        <v>732</v>
      </c>
      <c r="C159" s="83" t="s">
        <v>164</v>
      </c>
      <c r="D159" s="112">
        <v>1179431.0</v>
      </c>
      <c r="E159" s="180">
        <v>1179767.0</v>
      </c>
      <c r="F159" s="98">
        <v>2.9461499E7</v>
      </c>
      <c r="G159" s="119" t="s">
        <v>756</v>
      </c>
      <c r="H159" s="108" t="s">
        <v>757</v>
      </c>
      <c r="I159" s="83"/>
      <c r="J159" s="83"/>
      <c r="K159" s="98" t="s">
        <v>168</v>
      </c>
      <c r="L159" s="83" t="s">
        <v>169</v>
      </c>
      <c r="M159" s="82" t="str">
        <f>IFERROR(__xludf.DUMMYFUNCTION("IFERROR(VLOOKUP(D159,
IMPORTRANGE(""https://docs.google.com/spreadsheets/d/1MjHtlUikwobi2MaWJgy7tfLeBmhj1u-dRFRs_8GwSoA/edit#gid=0"",""Gestores Escolares!D7:J""),3,0),""VERIFICAR CÓD SEC"")"),"NEIDE RAFAEL DE SOUZA ROCHA")</f>
        <v>NEIDE RAFAEL DE SOUZA ROCHA</v>
      </c>
      <c r="N159" s="82" t="str">
        <f>IFERROR(__xludf.DUMMYFUNCTION("IFERROR(VLOOKUP(D159,
IMPORTRANGE(""https://docs.google.com/spreadsheets/d/1MjHtlUikwobi2MaWJgy7tfLeBmhj1u-dRFRs_8GwSoA/edit#gid=0"",""Gestores Escolares!D7:J""),4,0),""VERIFICAR CÓD SEC"")"),"(74) 9 9807-3175")</f>
        <v>(74) 9 9807-3175</v>
      </c>
      <c r="O159" s="82" t="str">
        <f>IFERROR(__xludf.DUMMYFUNCTION("IFERROR(VLOOKUP(D159,
IMPORTRANGE(""https://docs.google.com/spreadsheets/d/1MjHtlUikwobi2MaWJgy7tfLeBmhj1u-dRFRs_8GwSoA/edit#gid=0"",""Gestores Escolares!D7:J""),6,0),""VERIFICAR CÓD SEC"")"),"FRANCISCO DE ARAUJO LEAL")</f>
        <v>FRANCISCO DE ARAUJO LEAL</v>
      </c>
      <c r="P159" s="82" t="str">
        <f>IFERROR(__xludf.DUMMYFUNCTION("IFERROR(VLOOKUP(D159,
IMPORTRANGE(""https://docs.google.com/spreadsheets/d/1MjHtlUikwobi2MaWJgy7tfLeBmhj1u-dRFRs_8GwSoA/edit#gid=0"",""Gestores Escolares!D7:J""),7,0),""VERIFICAR CÓD SEC"")"),"(74) 9 8836-8463")</f>
        <v>(74) 9 8836-8463</v>
      </c>
      <c r="Q159" s="82" t="str">
        <f>IFERROR(__xludf.DUMMYFUNCTION("IFERROR(VLOOKUP(D159,
IMPORTRANGE(""https://docs.google.com/spreadsheets/d/1MjHtlUikwobi2MaWJgy7tfLeBmhj1u-dRFRs_8GwSoA/edit#gid=0"",""Gestores Escolares!D7:m""),9,0),""VERIFICAR CÓD SEC"")"),"CLAUDEMIR CELSO LIMA")</f>
        <v>CLAUDEMIR CELSO LIMA</v>
      </c>
      <c r="R159" s="82" t="str">
        <f>IFERROR(__xludf.DUMMYFUNCTION("IFERROR(VLOOKUP(D159,
IMPORTRANGE(""https://docs.google.com/spreadsheets/d/1MjHtlUikwobi2MaWJgy7tfLeBmhj1u-dRFRs_8GwSoA/edit#gid=0"",""Gestores Escolares!D7:m""),10,0),""VERIFICAR CÓD SEC"")"),"(74) 9 9952-3072")</f>
        <v>(74) 9 9952-3072</v>
      </c>
      <c r="S159" s="82"/>
      <c r="T159" s="138"/>
      <c r="U159" s="145" t="s">
        <v>171</v>
      </c>
      <c r="V159" s="106">
        <v>0.0</v>
      </c>
      <c r="W159" s="107">
        <v>0.0</v>
      </c>
      <c r="X159" s="107">
        <v>0.0</v>
      </c>
      <c r="Y159" s="107">
        <v>0.0</v>
      </c>
      <c r="Z159" s="80">
        <f t="shared" si="1"/>
        <v>0</v>
      </c>
      <c r="AA159" s="106">
        <v>0.0</v>
      </c>
      <c r="AB159" s="107">
        <v>0.0</v>
      </c>
      <c r="AC159" s="107">
        <v>0.0</v>
      </c>
      <c r="AD159" s="107">
        <v>0.0</v>
      </c>
      <c r="AE159" s="80">
        <f t="shared" si="2"/>
        <v>0</v>
      </c>
      <c r="AF159" s="140">
        <v>0.0</v>
      </c>
      <c r="AG159" s="109">
        <v>0.0</v>
      </c>
      <c r="AH159" s="109">
        <v>19.0</v>
      </c>
      <c r="AI159" s="141">
        <v>0.0</v>
      </c>
      <c r="AJ159" s="80">
        <f t="shared" si="3"/>
        <v>19</v>
      </c>
      <c r="AK159" s="140">
        <v>0.0</v>
      </c>
      <c r="AL159" s="109">
        <v>0.0</v>
      </c>
      <c r="AM159" s="141">
        <v>0.0</v>
      </c>
      <c r="AN159" s="80">
        <f t="shared" si="4"/>
        <v>0</v>
      </c>
      <c r="AO159" s="140">
        <v>0.0</v>
      </c>
      <c r="AP159" s="109">
        <v>0.0</v>
      </c>
      <c r="AQ159" s="109">
        <v>0.0</v>
      </c>
      <c r="AR159" s="80">
        <f t="shared" si="5"/>
        <v>0</v>
      </c>
      <c r="AS159" s="110">
        <v>0.0</v>
      </c>
      <c r="AT159" s="110">
        <v>0.0</v>
      </c>
      <c r="AU159" s="110">
        <v>0.0</v>
      </c>
      <c r="AV159" s="142">
        <v>0.0</v>
      </c>
      <c r="AW159" s="80">
        <f t="shared" si="6"/>
        <v>0</v>
      </c>
      <c r="AX159" s="113">
        <f t="shared" si="7"/>
        <v>19</v>
      </c>
      <c r="AY159" s="117">
        <f t="shared" si="8"/>
        <v>0</v>
      </c>
      <c r="AZ159" s="120">
        <f t="shared" si="9"/>
        <v>19</v>
      </c>
      <c r="BA159" s="115">
        <v>0.0</v>
      </c>
      <c r="BB159" s="89">
        <f t="shared" si="10"/>
        <v>19</v>
      </c>
      <c r="BC159" s="132" t="s">
        <v>178</v>
      </c>
      <c r="BD159" s="132" t="s">
        <v>227</v>
      </c>
      <c r="BE159" s="132" t="s">
        <v>178</v>
      </c>
      <c r="BF159" s="123"/>
      <c r="BG159" s="98">
        <v>1179767.0</v>
      </c>
      <c r="BH159" s="128"/>
      <c r="BI159" s="98">
        <v>0.0</v>
      </c>
      <c r="BJ159" s="98" t="s">
        <v>155</v>
      </c>
      <c r="BK159" s="99">
        <f t="shared" si="11"/>
        <v>0</v>
      </c>
      <c r="BL159" s="99">
        <f t="shared" si="12"/>
        <v>0</v>
      </c>
      <c r="BM159" s="99" t="str">
        <f>IFERROR(__xludf.DUMMYFUNCTION("IFERROR(VLOOKUP(BG159,IMPORTRANGE(""https://docs.google.com/spreadsheets/d/1juPI-Fb8LD0YtltB2mlGEnp_R3UVu1t3wSFPzgCyHXE/edit?gid=0#gid=0"",""GERAL!A2:C""),3,0),""-"")"),"-")</f>
        <v>-</v>
      </c>
    </row>
    <row r="160" ht="15.75" customHeight="1">
      <c r="A160" s="111" t="s">
        <v>205</v>
      </c>
      <c r="B160" s="83" t="s">
        <v>732</v>
      </c>
      <c r="C160" s="83" t="s">
        <v>164</v>
      </c>
      <c r="D160" s="112">
        <v>1179431.0</v>
      </c>
      <c r="E160" s="83">
        <v>1178941.0</v>
      </c>
      <c r="F160" s="83">
        <v>2.9461499E7</v>
      </c>
      <c r="G160" s="114" t="s">
        <v>758</v>
      </c>
      <c r="H160" s="91" t="s">
        <v>759</v>
      </c>
      <c r="I160" s="136" t="s">
        <v>760</v>
      </c>
      <c r="J160" s="136" t="s">
        <v>751</v>
      </c>
      <c r="K160" s="136" t="s">
        <v>168</v>
      </c>
      <c r="L160" s="83" t="s">
        <v>169</v>
      </c>
      <c r="M160" s="82" t="str">
        <f>IFERROR(__xludf.DUMMYFUNCTION("IFERROR(VLOOKUP(D160,
IMPORTRANGE(""https://docs.google.com/spreadsheets/d/1MjHtlUikwobi2MaWJgy7tfLeBmhj1u-dRFRs_8GwSoA/edit#gid=0"",""Gestores Escolares!D7:J""),3,0),""VERIFICAR CÓD SEC"")"),"NEIDE RAFAEL DE SOUZA ROCHA")</f>
        <v>NEIDE RAFAEL DE SOUZA ROCHA</v>
      </c>
      <c r="N160" s="82" t="str">
        <f>IFERROR(__xludf.DUMMYFUNCTION("IFERROR(VLOOKUP(D160,
IMPORTRANGE(""https://docs.google.com/spreadsheets/d/1MjHtlUikwobi2MaWJgy7tfLeBmhj1u-dRFRs_8GwSoA/edit#gid=0"",""Gestores Escolares!D7:J""),4,0),""VERIFICAR CÓD SEC"")"),"(74) 9 9807-3175")</f>
        <v>(74) 9 9807-3175</v>
      </c>
      <c r="O160" s="82" t="str">
        <f>IFERROR(__xludf.DUMMYFUNCTION("IFERROR(VLOOKUP(D160,
IMPORTRANGE(""https://docs.google.com/spreadsheets/d/1MjHtlUikwobi2MaWJgy7tfLeBmhj1u-dRFRs_8GwSoA/edit#gid=0"",""Gestores Escolares!D7:J""),6,0),""VERIFICAR CÓD SEC"")"),"FRANCISCO DE ARAUJO LEAL")</f>
        <v>FRANCISCO DE ARAUJO LEAL</v>
      </c>
      <c r="P160" s="82" t="str">
        <f>IFERROR(__xludf.DUMMYFUNCTION("IFERROR(VLOOKUP(D160,
IMPORTRANGE(""https://docs.google.com/spreadsheets/d/1MjHtlUikwobi2MaWJgy7tfLeBmhj1u-dRFRs_8GwSoA/edit#gid=0"",""Gestores Escolares!D7:J""),7,0),""VERIFICAR CÓD SEC"")"),"(74) 9 8836-8463")</f>
        <v>(74) 9 8836-8463</v>
      </c>
      <c r="Q160" s="82" t="str">
        <f>IFERROR(__xludf.DUMMYFUNCTION("IFERROR(VLOOKUP(D160,
IMPORTRANGE(""https://docs.google.com/spreadsheets/d/1MjHtlUikwobi2MaWJgy7tfLeBmhj1u-dRFRs_8GwSoA/edit#gid=0"",""Gestores Escolares!D7:m""),9,0),""VERIFICAR CÓD SEC"")"),"CLAUDEMIR CELSO LIMA")</f>
        <v>CLAUDEMIR CELSO LIMA</v>
      </c>
      <c r="R160" s="82" t="str">
        <f>IFERROR(__xludf.DUMMYFUNCTION("IFERROR(VLOOKUP(D160,
IMPORTRANGE(""https://docs.google.com/spreadsheets/d/1MjHtlUikwobi2MaWJgy7tfLeBmhj1u-dRFRs_8GwSoA/edit#gid=0"",""Gestores Escolares!D7:m""),10,0),""VERIFICAR CÓD SEC"")"),"(74) 9 9952-3072")</f>
        <v>(74) 9 9952-3072</v>
      </c>
      <c r="S160" s="82"/>
      <c r="T160" s="138">
        <v>3.0</v>
      </c>
      <c r="U160" s="139">
        <v>3.0</v>
      </c>
      <c r="V160" s="106">
        <v>0.0</v>
      </c>
      <c r="W160" s="107">
        <v>0.0</v>
      </c>
      <c r="X160" s="107">
        <v>0.0</v>
      </c>
      <c r="Y160" s="107">
        <v>0.0</v>
      </c>
      <c r="Z160" s="80">
        <f t="shared" si="1"/>
        <v>0</v>
      </c>
      <c r="AA160" s="106">
        <v>0.0</v>
      </c>
      <c r="AB160" s="107">
        <v>0.0</v>
      </c>
      <c r="AC160" s="107">
        <v>0.0</v>
      </c>
      <c r="AD160" s="107">
        <v>0.0</v>
      </c>
      <c r="AE160" s="80">
        <f t="shared" si="2"/>
        <v>0</v>
      </c>
      <c r="AF160" s="140">
        <v>0.0</v>
      </c>
      <c r="AG160" s="109">
        <v>0.0</v>
      </c>
      <c r="AH160" s="109">
        <v>56.0</v>
      </c>
      <c r="AI160" s="141">
        <v>0.0</v>
      </c>
      <c r="AJ160" s="80">
        <f t="shared" si="3"/>
        <v>56</v>
      </c>
      <c r="AK160" s="140">
        <v>0.0</v>
      </c>
      <c r="AL160" s="109">
        <v>0.0</v>
      </c>
      <c r="AM160" s="141">
        <v>0.0</v>
      </c>
      <c r="AN160" s="80">
        <f t="shared" si="4"/>
        <v>0</v>
      </c>
      <c r="AO160" s="140">
        <v>0.0</v>
      </c>
      <c r="AP160" s="109">
        <v>0.0</v>
      </c>
      <c r="AQ160" s="109">
        <v>0.0</v>
      </c>
      <c r="AR160" s="80">
        <f t="shared" si="5"/>
        <v>0</v>
      </c>
      <c r="AS160" s="110">
        <v>0.0</v>
      </c>
      <c r="AT160" s="110">
        <v>0.0</v>
      </c>
      <c r="AU160" s="110">
        <v>0.0</v>
      </c>
      <c r="AV160" s="142">
        <v>0.0</v>
      </c>
      <c r="AW160" s="80">
        <f t="shared" si="6"/>
        <v>0</v>
      </c>
      <c r="AX160" s="113">
        <f t="shared" si="7"/>
        <v>56</v>
      </c>
      <c r="AY160" s="117">
        <f t="shared" si="8"/>
        <v>0</v>
      </c>
      <c r="AZ160" s="120">
        <f t="shared" si="9"/>
        <v>56</v>
      </c>
      <c r="BA160" s="115">
        <v>0.0</v>
      </c>
      <c r="BB160" s="89">
        <f t="shared" si="10"/>
        <v>56</v>
      </c>
      <c r="BC160" s="132" t="s">
        <v>178</v>
      </c>
      <c r="BD160" s="143" t="s">
        <v>227</v>
      </c>
      <c r="BE160" s="132" t="s">
        <v>178</v>
      </c>
      <c r="BF160" s="156"/>
      <c r="BG160" s="83">
        <v>1178941.0</v>
      </c>
      <c r="BH160" s="144"/>
      <c r="BI160" s="112">
        <v>3.0</v>
      </c>
      <c r="BJ160" s="98" t="s">
        <v>155</v>
      </c>
      <c r="BK160" s="99">
        <f t="shared" si="11"/>
        <v>0</v>
      </c>
      <c r="BL160" s="99">
        <f t="shared" si="12"/>
        <v>0</v>
      </c>
      <c r="BM160" s="99" t="str">
        <f>IFERROR(__xludf.DUMMYFUNCTION("IFERROR(VLOOKUP(BG160,IMPORTRANGE(""https://docs.google.com/spreadsheets/d/1juPI-Fb8LD0YtltB2mlGEnp_R3UVu1t3wSFPzgCyHXE/edit?gid=0#gid=0"",""GERAL!A2:C""),3,0),""-"")"),"-")</f>
        <v>-</v>
      </c>
    </row>
    <row r="161" ht="15.75" customHeight="1">
      <c r="A161" s="111" t="s">
        <v>205</v>
      </c>
      <c r="B161" s="83" t="s">
        <v>732</v>
      </c>
      <c r="C161" s="83" t="s">
        <v>164</v>
      </c>
      <c r="D161" s="112">
        <v>1179431.0</v>
      </c>
      <c r="E161" s="83">
        <v>1178936.0</v>
      </c>
      <c r="F161" s="98">
        <v>2.9461499E7</v>
      </c>
      <c r="G161" s="114" t="s">
        <v>761</v>
      </c>
      <c r="H161" s="91" t="s">
        <v>759</v>
      </c>
      <c r="I161" s="136" t="s">
        <v>760</v>
      </c>
      <c r="J161" s="136" t="s">
        <v>762</v>
      </c>
      <c r="K161" s="136" t="s">
        <v>168</v>
      </c>
      <c r="L161" s="83" t="s">
        <v>169</v>
      </c>
      <c r="M161" s="82" t="str">
        <f>IFERROR(__xludf.DUMMYFUNCTION("IFERROR(VLOOKUP(D161,
IMPORTRANGE(""https://docs.google.com/spreadsheets/d/1MjHtlUikwobi2MaWJgy7tfLeBmhj1u-dRFRs_8GwSoA/edit#gid=0"",""Gestores Escolares!D7:J""),3,0),""VERIFICAR CÓD SEC"")"),"NEIDE RAFAEL DE SOUZA ROCHA")</f>
        <v>NEIDE RAFAEL DE SOUZA ROCHA</v>
      </c>
      <c r="N161" s="82" t="str">
        <f>IFERROR(__xludf.DUMMYFUNCTION("IFERROR(VLOOKUP(D161,
IMPORTRANGE(""https://docs.google.com/spreadsheets/d/1MjHtlUikwobi2MaWJgy7tfLeBmhj1u-dRFRs_8GwSoA/edit#gid=0"",""Gestores Escolares!D7:J""),4,0),""VERIFICAR CÓD SEC"")"),"(74) 9 9807-3175")</f>
        <v>(74) 9 9807-3175</v>
      </c>
      <c r="O161" s="82" t="str">
        <f>IFERROR(__xludf.DUMMYFUNCTION("IFERROR(VLOOKUP(D161,
IMPORTRANGE(""https://docs.google.com/spreadsheets/d/1MjHtlUikwobi2MaWJgy7tfLeBmhj1u-dRFRs_8GwSoA/edit#gid=0"",""Gestores Escolares!D7:J""),6,0),""VERIFICAR CÓD SEC"")"),"FRANCISCO DE ARAUJO LEAL")</f>
        <v>FRANCISCO DE ARAUJO LEAL</v>
      </c>
      <c r="P161" s="82" t="str">
        <f>IFERROR(__xludf.DUMMYFUNCTION("IFERROR(VLOOKUP(D161,
IMPORTRANGE(""https://docs.google.com/spreadsheets/d/1MjHtlUikwobi2MaWJgy7tfLeBmhj1u-dRFRs_8GwSoA/edit#gid=0"",""Gestores Escolares!D7:J""),7,0),""VERIFICAR CÓD SEC"")"),"(74) 9 8836-8463")</f>
        <v>(74) 9 8836-8463</v>
      </c>
      <c r="Q161" s="82" t="str">
        <f>IFERROR(__xludf.DUMMYFUNCTION("IFERROR(VLOOKUP(D161,
IMPORTRANGE(""https://docs.google.com/spreadsheets/d/1MjHtlUikwobi2MaWJgy7tfLeBmhj1u-dRFRs_8GwSoA/edit#gid=0"",""Gestores Escolares!D7:m""),9,0),""VERIFICAR CÓD SEC"")"),"CLAUDEMIR CELSO LIMA")</f>
        <v>CLAUDEMIR CELSO LIMA</v>
      </c>
      <c r="R161" s="82" t="str">
        <f>IFERROR(__xludf.DUMMYFUNCTION("IFERROR(VLOOKUP(D161,
IMPORTRANGE(""https://docs.google.com/spreadsheets/d/1MjHtlUikwobi2MaWJgy7tfLeBmhj1u-dRFRs_8GwSoA/edit#gid=0"",""Gestores Escolares!D7:m""),10,0),""VERIFICAR CÓD SEC"")"),"(74) 9 9952-3072")</f>
        <v>(74) 9 9952-3072</v>
      </c>
      <c r="S161" s="82"/>
      <c r="T161" s="138">
        <v>3.0</v>
      </c>
      <c r="U161" s="139">
        <v>3.0</v>
      </c>
      <c r="V161" s="106">
        <v>0.0</v>
      </c>
      <c r="W161" s="107">
        <v>0.0</v>
      </c>
      <c r="X161" s="107">
        <v>0.0</v>
      </c>
      <c r="Y161" s="107">
        <v>0.0</v>
      </c>
      <c r="Z161" s="80">
        <f t="shared" si="1"/>
        <v>0</v>
      </c>
      <c r="AA161" s="106">
        <v>0.0</v>
      </c>
      <c r="AB161" s="107">
        <v>0.0</v>
      </c>
      <c r="AC161" s="107">
        <v>0.0</v>
      </c>
      <c r="AD161" s="107">
        <v>0.0</v>
      </c>
      <c r="AE161" s="80">
        <f t="shared" si="2"/>
        <v>0</v>
      </c>
      <c r="AF161" s="140">
        <v>0.0</v>
      </c>
      <c r="AG161" s="109">
        <v>0.0</v>
      </c>
      <c r="AH161" s="109">
        <v>20.0</v>
      </c>
      <c r="AI161" s="141">
        <v>0.0</v>
      </c>
      <c r="AJ161" s="80">
        <f t="shared" si="3"/>
        <v>20</v>
      </c>
      <c r="AK161" s="140">
        <v>0.0</v>
      </c>
      <c r="AL161" s="109">
        <v>0.0</v>
      </c>
      <c r="AM161" s="141">
        <v>0.0</v>
      </c>
      <c r="AN161" s="80">
        <f t="shared" si="4"/>
        <v>0</v>
      </c>
      <c r="AO161" s="140">
        <v>0.0</v>
      </c>
      <c r="AP161" s="109">
        <v>0.0</v>
      </c>
      <c r="AQ161" s="109">
        <v>0.0</v>
      </c>
      <c r="AR161" s="80">
        <f t="shared" si="5"/>
        <v>0</v>
      </c>
      <c r="AS161" s="110">
        <v>0.0</v>
      </c>
      <c r="AT161" s="110">
        <v>0.0</v>
      </c>
      <c r="AU161" s="110">
        <v>0.0</v>
      </c>
      <c r="AV161" s="142">
        <v>0.0</v>
      </c>
      <c r="AW161" s="80">
        <f t="shared" si="6"/>
        <v>0</v>
      </c>
      <c r="AX161" s="113">
        <f t="shared" si="7"/>
        <v>20</v>
      </c>
      <c r="AY161" s="117">
        <f t="shared" si="8"/>
        <v>0</v>
      </c>
      <c r="AZ161" s="120">
        <f t="shared" si="9"/>
        <v>20</v>
      </c>
      <c r="BA161" s="115">
        <v>0.0</v>
      </c>
      <c r="BB161" s="89">
        <f t="shared" si="10"/>
        <v>20</v>
      </c>
      <c r="BC161" s="132" t="s">
        <v>178</v>
      </c>
      <c r="BD161" s="143" t="s">
        <v>227</v>
      </c>
      <c r="BE161" s="132" t="s">
        <v>178</v>
      </c>
      <c r="BF161" s="156"/>
      <c r="BG161" s="83">
        <v>1178936.0</v>
      </c>
      <c r="BH161" s="144"/>
      <c r="BI161" s="112">
        <v>3.0</v>
      </c>
      <c r="BJ161" s="98" t="s">
        <v>155</v>
      </c>
      <c r="BK161" s="99">
        <f t="shared" si="11"/>
        <v>0</v>
      </c>
      <c r="BL161" s="99">
        <f t="shared" si="12"/>
        <v>0</v>
      </c>
      <c r="BM161" s="99" t="str">
        <f>IFERROR(__xludf.DUMMYFUNCTION("IFERROR(VLOOKUP(BG161,IMPORTRANGE(""https://docs.google.com/spreadsheets/d/1juPI-Fb8LD0YtltB2mlGEnp_R3UVu1t3wSFPzgCyHXE/edit?gid=0#gid=0"",""GERAL!A2:C""),3,0),""-"")"),"-")</f>
        <v>-</v>
      </c>
    </row>
    <row r="162" ht="15.75" customHeight="1">
      <c r="A162" s="111" t="s">
        <v>205</v>
      </c>
      <c r="B162" s="83" t="s">
        <v>732</v>
      </c>
      <c r="C162" s="83" t="s">
        <v>164</v>
      </c>
      <c r="D162" s="112">
        <v>1179431.0</v>
      </c>
      <c r="E162" s="83">
        <v>1178934.0</v>
      </c>
      <c r="F162" s="98">
        <v>2.9461499E7</v>
      </c>
      <c r="G162" s="114" t="s">
        <v>763</v>
      </c>
      <c r="H162" s="91" t="s">
        <v>759</v>
      </c>
      <c r="I162" s="136" t="s">
        <v>760</v>
      </c>
      <c r="J162" s="136" t="s">
        <v>751</v>
      </c>
      <c r="K162" s="136" t="s">
        <v>168</v>
      </c>
      <c r="L162" s="83" t="s">
        <v>169</v>
      </c>
      <c r="M162" s="82" t="str">
        <f>IFERROR(__xludf.DUMMYFUNCTION("IFERROR(VLOOKUP(D162,
IMPORTRANGE(""https://docs.google.com/spreadsheets/d/1MjHtlUikwobi2MaWJgy7tfLeBmhj1u-dRFRs_8GwSoA/edit#gid=0"",""Gestores Escolares!D7:J""),3,0),""VERIFICAR CÓD SEC"")"),"NEIDE RAFAEL DE SOUZA ROCHA")</f>
        <v>NEIDE RAFAEL DE SOUZA ROCHA</v>
      </c>
      <c r="N162" s="82" t="str">
        <f>IFERROR(__xludf.DUMMYFUNCTION("IFERROR(VLOOKUP(D162,
IMPORTRANGE(""https://docs.google.com/spreadsheets/d/1MjHtlUikwobi2MaWJgy7tfLeBmhj1u-dRFRs_8GwSoA/edit#gid=0"",""Gestores Escolares!D7:J""),4,0),""VERIFICAR CÓD SEC"")"),"(74) 9 9807-3175")</f>
        <v>(74) 9 9807-3175</v>
      </c>
      <c r="O162" s="82" t="str">
        <f>IFERROR(__xludf.DUMMYFUNCTION("IFERROR(VLOOKUP(D162,
IMPORTRANGE(""https://docs.google.com/spreadsheets/d/1MjHtlUikwobi2MaWJgy7tfLeBmhj1u-dRFRs_8GwSoA/edit#gid=0"",""Gestores Escolares!D7:J""),6,0),""VERIFICAR CÓD SEC"")"),"FRANCISCO DE ARAUJO LEAL")</f>
        <v>FRANCISCO DE ARAUJO LEAL</v>
      </c>
      <c r="P162" s="82" t="str">
        <f>IFERROR(__xludf.DUMMYFUNCTION("IFERROR(VLOOKUP(D162,
IMPORTRANGE(""https://docs.google.com/spreadsheets/d/1MjHtlUikwobi2MaWJgy7tfLeBmhj1u-dRFRs_8GwSoA/edit#gid=0"",""Gestores Escolares!D7:J""),7,0),""VERIFICAR CÓD SEC"")"),"(74) 9 8836-8463")</f>
        <v>(74) 9 8836-8463</v>
      </c>
      <c r="Q162" s="82" t="str">
        <f>IFERROR(__xludf.DUMMYFUNCTION("IFERROR(VLOOKUP(D162,
IMPORTRANGE(""https://docs.google.com/spreadsheets/d/1MjHtlUikwobi2MaWJgy7tfLeBmhj1u-dRFRs_8GwSoA/edit#gid=0"",""Gestores Escolares!D7:m""),9,0),""VERIFICAR CÓD SEC"")"),"CLAUDEMIR CELSO LIMA")</f>
        <v>CLAUDEMIR CELSO LIMA</v>
      </c>
      <c r="R162" s="82" t="str">
        <f>IFERROR(__xludf.DUMMYFUNCTION("IFERROR(VLOOKUP(D162,
IMPORTRANGE(""https://docs.google.com/spreadsheets/d/1MjHtlUikwobi2MaWJgy7tfLeBmhj1u-dRFRs_8GwSoA/edit#gid=0"",""Gestores Escolares!D7:m""),10,0),""VERIFICAR CÓD SEC"")"),"(74) 9 9952-3072")</f>
        <v>(74) 9 9952-3072</v>
      </c>
      <c r="S162" s="82"/>
      <c r="T162" s="138">
        <v>3.0</v>
      </c>
      <c r="U162" s="139">
        <v>3.0</v>
      </c>
      <c r="V162" s="106">
        <v>0.0</v>
      </c>
      <c r="W162" s="107">
        <v>0.0</v>
      </c>
      <c r="X162" s="107">
        <v>0.0</v>
      </c>
      <c r="Y162" s="107">
        <v>0.0</v>
      </c>
      <c r="Z162" s="80">
        <f t="shared" si="1"/>
        <v>0</v>
      </c>
      <c r="AA162" s="106">
        <v>0.0</v>
      </c>
      <c r="AB162" s="107">
        <v>0.0</v>
      </c>
      <c r="AC162" s="107">
        <v>0.0</v>
      </c>
      <c r="AD162" s="107">
        <v>0.0</v>
      </c>
      <c r="AE162" s="80">
        <f t="shared" si="2"/>
        <v>0</v>
      </c>
      <c r="AF162" s="140">
        <v>0.0</v>
      </c>
      <c r="AG162" s="109">
        <v>0.0</v>
      </c>
      <c r="AH162" s="109">
        <v>65.0</v>
      </c>
      <c r="AI162" s="141">
        <v>0.0</v>
      </c>
      <c r="AJ162" s="80">
        <f t="shared" si="3"/>
        <v>65</v>
      </c>
      <c r="AK162" s="140">
        <v>0.0</v>
      </c>
      <c r="AL162" s="109">
        <v>0.0</v>
      </c>
      <c r="AM162" s="141">
        <v>0.0</v>
      </c>
      <c r="AN162" s="80">
        <f t="shared" si="4"/>
        <v>0</v>
      </c>
      <c r="AO162" s="140">
        <v>0.0</v>
      </c>
      <c r="AP162" s="109">
        <v>0.0</v>
      </c>
      <c r="AQ162" s="109">
        <v>0.0</v>
      </c>
      <c r="AR162" s="80">
        <f t="shared" si="5"/>
        <v>0</v>
      </c>
      <c r="AS162" s="110">
        <v>0.0</v>
      </c>
      <c r="AT162" s="110">
        <v>0.0</v>
      </c>
      <c r="AU162" s="110">
        <v>0.0</v>
      </c>
      <c r="AV162" s="142">
        <v>0.0</v>
      </c>
      <c r="AW162" s="80">
        <f t="shared" si="6"/>
        <v>0</v>
      </c>
      <c r="AX162" s="113">
        <f t="shared" si="7"/>
        <v>65</v>
      </c>
      <c r="AY162" s="117">
        <f t="shared" si="8"/>
        <v>0</v>
      </c>
      <c r="AZ162" s="120">
        <f t="shared" si="9"/>
        <v>65</v>
      </c>
      <c r="BA162" s="115">
        <v>0.0</v>
      </c>
      <c r="BB162" s="89">
        <f t="shared" si="10"/>
        <v>65</v>
      </c>
      <c r="BC162" s="132" t="s">
        <v>178</v>
      </c>
      <c r="BD162" s="143" t="s">
        <v>227</v>
      </c>
      <c r="BE162" s="132" t="s">
        <v>178</v>
      </c>
      <c r="BF162" s="156"/>
      <c r="BG162" s="83">
        <v>1178934.0</v>
      </c>
      <c r="BH162" s="144"/>
      <c r="BI162" s="112">
        <v>3.0</v>
      </c>
      <c r="BJ162" s="98" t="s">
        <v>155</v>
      </c>
      <c r="BK162" s="99">
        <f t="shared" si="11"/>
        <v>0</v>
      </c>
      <c r="BL162" s="99">
        <f t="shared" si="12"/>
        <v>0</v>
      </c>
      <c r="BM162" s="99" t="str">
        <f>IFERROR(__xludf.DUMMYFUNCTION("IFERROR(VLOOKUP(BG162,IMPORTRANGE(""https://docs.google.com/spreadsheets/d/1juPI-Fb8LD0YtltB2mlGEnp_R3UVu1t3wSFPzgCyHXE/edit?gid=0#gid=0"",""GERAL!A2:C""),3,0),""-"")"),"-")</f>
        <v>-</v>
      </c>
    </row>
    <row r="163" ht="15.75" customHeight="1">
      <c r="A163" s="111" t="s">
        <v>205</v>
      </c>
      <c r="B163" s="83" t="s">
        <v>764</v>
      </c>
      <c r="C163" s="83" t="s">
        <v>68</v>
      </c>
      <c r="D163" s="112">
        <v>1176059.0</v>
      </c>
      <c r="E163" s="83"/>
      <c r="F163" s="83">
        <v>2.9047455E7</v>
      </c>
      <c r="G163" s="119" t="s">
        <v>765</v>
      </c>
      <c r="H163" s="91" t="s">
        <v>766</v>
      </c>
      <c r="I163" s="83" t="s">
        <v>149</v>
      </c>
      <c r="J163" s="83" t="s">
        <v>767</v>
      </c>
      <c r="K163" s="83" t="s">
        <v>151</v>
      </c>
      <c r="L163" s="83" t="s">
        <v>169</v>
      </c>
      <c r="M163" s="82" t="str">
        <f>IFERROR(__xludf.DUMMYFUNCTION("IFERROR(VLOOKUP(D163,
IMPORTRANGE(""https://docs.google.com/spreadsheets/d/1MjHtlUikwobi2MaWJgy7tfLeBmhj1u-dRFRs_8GwSoA/edit#gid=0"",""Gestores Escolares!D7:J""),3,0),""VERIFICAR CÓD SEC"")"),"DIEGO DA SILVA OLIVEIRA")</f>
        <v>DIEGO DA SILVA OLIVEIRA</v>
      </c>
      <c r="N163" s="82" t="str">
        <f>IFERROR(__xludf.DUMMYFUNCTION("IFERROR(VLOOKUP(D163,
IMPORTRANGE(""https://docs.google.com/spreadsheets/d/1MjHtlUikwobi2MaWJgy7tfLeBmhj1u-dRFRs_8GwSoA/edit#gid=0"",""Gestores Escolares!D7:J""),4,0),""VERIFICAR CÓD SEC"")"),"(77) 9 8868-0268")</f>
        <v>(77) 9 8868-0268</v>
      </c>
      <c r="O163" s="82" t="str">
        <f>IFERROR(__xludf.DUMMYFUNCTION("IFERROR(VLOOKUP(D163,
IMPORTRANGE(""https://docs.google.com/spreadsheets/d/1MjHtlUikwobi2MaWJgy7tfLeBmhj1u-dRFRs_8GwSoA/edit#gid=0"",""Gestores Escolares!D7:J""),6,0),""VERIFICAR CÓD SEC"")"),"")</f>
        <v/>
      </c>
      <c r="P163" s="82" t="str">
        <f>IFERROR(__xludf.DUMMYFUNCTION("IFERROR(VLOOKUP(D163,
IMPORTRANGE(""https://docs.google.com/spreadsheets/d/1MjHtlUikwobi2MaWJgy7tfLeBmhj1u-dRFRs_8GwSoA/edit#gid=0"",""Gestores Escolares!D7:J""),7,0),""VERIFICAR CÓD SEC"")"),"")</f>
        <v/>
      </c>
      <c r="Q163" s="82" t="str">
        <f>IFERROR(__xludf.DUMMYFUNCTION("IFERROR(VLOOKUP(D163,
IMPORTRANGE(""https://docs.google.com/spreadsheets/d/1MjHtlUikwobi2MaWJgy7tfLeBmhj1u-dRFRs_8GwSoA/edit#gid=0"",""Gestores Escolares!D7:m""),9,0),""VERIFICAR CÓD SEC"")"),"")</f>
        <v/>
      </c>
      <c r="R163" s="82" t="str">
        <f>IFERROR(__xludf.DUMMYFUNCTION("IFERROR(VLOOKUP(D163,
IMPORTRANGE(""https://docs.google.com/spreadsheets/d/1MjHtlUikwobi2MaWJgy7tfLeBmhj1u-dRFRs_8GwSoA/edit#gid=0"",""Gestores Escolares!D7:m""),10,0),""VERIFICAR CÓD SEC"")"),"")</f>
        <v/>
      </c>
      <c r="S163" s="82"/>
      <c r="T163" s="138">
        <v>5.0</v>
      </c>
      <c r="U163" s="145" t="s">
        <v>1943</v>
      </c>
      <c r="V163" s="106">
        <v>0.0</v>
      </c>
      <c r="W163" s="107">
        <v>0.0</v>
      </c>
      <c r="X163" s="107">
        <v>0.0</v>
      </c>
      <c r="Y163" s="107">
        <v>0.0</v>
      </c>
      <c r="Z163" s="80">
        <f t="shared" si="1"/>
        <v>0</v>
      </c>
      <c r="AA163" s="106">
        <v>0.0</v>
      </c>
      <c r="AB163" s="107">
        <v>0.0</v>
      </c>
      <c r="AC163" s="107">
        <v>0.0</v>
      </c>
      <c r="AD163" s="107">
        <v>0.0</v>
      </c>
      <c r="AE163" s="80">
        <f t="shared" si="2"/>
        <v>0</v>
      </c>
      <c r="AF163" s="140">
        <v>32.0</v>
      </c>
      <c r="AG163" s="109">
        <v>54.0</v>
      </c>
      <c r="AH163" s="109">
        <v>0.0</v>
      </c>
      <c r="AI163" s="141">
        <v>0.0</v>
      </c>
      <c r="AJ163" s="80">
        <f t="shared" si="3"/>
        <v>86</v>
      </c>
      <c r="AK163" s="140">
        <v>0.0</v>
      </c>
      <c r="AL163" s="109">
        <v>0.0</v>
      </c>
      <c r="AM163" s="141">
        <v>0.0</v>
      </c>
      <c r="AN163" s="80">
        <f t="shared" si="4"/>
        <v>0</v>
      </c>
      <c r="AO163" s="140">
        <v>0.0</v>
      </c>
      <c r="AP163" s="109">
        <v>0.0</v>
      </c>
      <c r="AQ163" s="109">
        <v>25.0</v>
      </c>
      <c r="AR163" s="80">
        <f t="shared" si="5"/>
        <v>25</v>
      </c>
      <c r="AS163" s="110">
        <v>0.0</v>
      </c>
      <c r="AT163" s="110">
        <v>54.0</v>
      </c>
      <c r="AU163" s="110">
        <v>32.0</v>
      </c>
      <c r="AV163" s="142">
        <v>15.0</v>
      </c>
      <c r="AW163" s="80">
        <f t="shared" si="6"/>
        <v>101</v>
      </c>
      <c r="AX163" s="113">
        <f t="shared" si="7"/>
        <v>212</v>
      </c>
      <c r="AY163" s="117">
        <f t="shared" si="8"/>
        <v>155</v>
      </c>
      <c r="AZ163" s="120">
        <f t="shared" si="9"/>
        <v>57</v>
      </c>
      <c r="BA163" s="115">
        <v>0.0</v>
      </c>
      <c r="BB163" s="89">
        <f t="shared" si="10"/>
        <v>212</v>
      </c>
      <c r="BC163" s="132" t="s">
        <v>373</v>
      </c>
      <c r="BD163" s="132" t="s">
        <v>178</v>
      </c>
      <c r="BE163" s="132" t="s">
        <v>178</v>
      </c>
      <c r="BF163" s="156"/>
      <c r="BG163" s="83">
        <v>1176059.0</v>
      </c>
      <c r="BH163" s="98" t="s">
        <v>768</v>
      </c>
      <c r="BI163" s="112">
        <v>5.0</v>
      </c>
      <c r="BJ163" s="98" t="s">
        <v>176</v>
      </c>
      <c r="BK163" s="99">
        <f t="shared" si="11"/>
        <v>15</v>
      </c>
      <c r="BL163" s="99">
        <f t="shared" si="12"/>
        <v>140</v>
      </c>
      <c r="BM163" s="99" t="str">
        <f>IFERROR(__xludf.DUMMYFUNCTION("IFERROR(VLOOKUP(BG163,IMPORTRANGE(""https://docs.google.com/spreadsheets/d/1juPI-Fb8LD0YtltB2mlGEnp_R3UVu1t3wSFPzgCyHXE/edit?gid=0#gid=0"",""GERAL!A2:C""),3,0),""-"")"),"CAMPO")</f>
        <v>CAMPO</v>
      </c>
    </row>
    <row r="164" ht="15.75" customHeight="1">
      <c r="A164" s="111" t="s">
        <v>205</v>
      </c>
      <c r="B164" s="83" t="s">
        <v>764</v>
      </c>
      <c r="C164" s="83" t="s">
        <v>68</v>
      </c>
      <c r="D164" s="112">
        <v>1164890.0</v>
      </c>
      <c r="E164" s="83"/>
      <c r="F164" s="83">
        <v>2.904725E7</v>
      </c>
      <c r="G164" s="119" t="s">
        <v>769</v>
      </c>
      <c r="H164" s="91" t="s">
        <v>770</v>
      </c>
      <c r="I164" s="83" t="s">
        <v>149</v>
      </c>
      <c r="J164" s="83" t="s">
        <v>150</v>
      </c>
      <c r="K164" s="83" t="s">
        <v>151</v>
      </c>
      <c r="L164" s="83" t="s">
        <v>76</v>
      </c>
      <c r="M164" s="82" t="str">
        <f>IFERROR(__xludf.DUMMYFUNCTION("IFERROR(VLOOKUP(D164,
IMPORTRANGE(""https://docs.google.com/spreadsheets/d/1MjHtlUikwobi2MaWJgy7tfLeBmhj1u-dRFRs_8GwSoA/edit#gid=0"",""Gestores Escolares!D7:J""),3,0),""VERIFICAR CÓD SEC"")"),"SEBASTIAO TEIXEIRA SOARES")</f>
        <v>SEBASTIAO TEIXEIRA SOARES</v>
      </c>
      <c r="N164" s="82" t="str">
        <f>IFERROR(__xludf.DUMMYFUNCTION("IFERROR(VLOOKUP(D164,
IMPORTRANGE(""https://docs.google.com/spreadsheets/d/1MjHtlUikwobi2MaWJgy7tfLeBmhj1u-dRFRs_8GwSoA/edit#gid=0"",""Gestores Escolares!D7:J""),4,0),""VERIFICAR CÓD SEC"")"),"(77) 9 8816-0494")</f>
        <v>(77) 9 8816-0494</v>
      </c>
      <c r="O164" s="82" t="str">
        <f>IFERROR(__xludf.DUMMYFUNCTION("IFERROR(VLOOKUP(D164,
IMPORTRANGE(""https://docs.google.com/spreadsheets/d/1MjHtlUikwobi2MaWJgy7tfLeBmhj1u-dRFRs_8GwSoA/edit#gid=0"",""Gestores Escolares!D7:J""),6,0),""VERIFICAR CÓD SEC"")"),"IVONETE BARBOSA SENA")</f>
        <v>IVONETE BARBOSA SENA</v>
      </c>
      <c r="P164" s="82" t="str">
        <f>IFERROR(__xludf.DUMMYFUNCTION("IFERROR(VLOOKUP(D164,
IMPORTRANGE(""https://docs.google.com/spreadsheets/d/1MjHtlUikwobi2MaWJgy7tfLeBmhj1u-dRFRs_8GwSoA/edit#gid=0"",""Gestores Escolares!D7:J""),7,0),""VERIFICAR CÓD SEC"")"),"(77) 9 8886-3579")</f>
        <v>(77) 9 8886-3579</v>
      </c>
      <c r="Q164" s="82" t="str">
        <f>IFERROR(__xludf.DUMMYFUNCTION("IFERROR(VLOOKUP(D164,
IMPORTRANGE(""https://docs.google.com/spreadsheets/d/1MjHtlUikwobi2MaWJgy7tfLeBmhj1u-dRFRs_8GwSoA/edit#gid=0"",""Gestores Escolares!D7:m""),9,0),""VERIFICAR CÓD SEC"")"),"")</f>
        <v/>
      </c>
      <c r="R164" s="82" t="str">
        <f>IFERROR(__xludf.DUMMYFUNCTION("IFERROR(VLOOKUP(D164,
IMPORTRANGE(""https://docs.google.com/spreadsheets/d/1MjHtlUikwobi2MaWJgy7tfLeBmhj1u-dRFRs_8GwSoA/edit#gid=0"",""Gestores Escolares!D7:m""),10,0),""VERIFICAR CÓD SEC"")"),"")</f>
        <v/>
      </c>
      <c r="S164" s="82"/>
      <c r="T164" s="138">
        <v>6.0</v>
      </c>
      <c r="U164" s="145">
        <v>10.0</v>
      </c>
      <c r="V164" s="106">
        <v>0.0</v>
      </c>
      <c r="W164" s="107">
        <v>0.0</v>
      </c>
      <c r="X164" s="107">
        <v>0.0</v>
      </c>
      <c r="Y164" s="107">
        <v>0.0</v>
      </c>
      <c r="Z164" s="80">
        <f t="shared" si="1"/>
        <v>0</v>
      </c>
      <c r="AA164" s="106">
        <v>0.0</v>
      </c>
      <c r="AB164" s="107">
        <v>0.0</v>
      </c>
      <c r="AC164" s="107">
        <v>0.0</v>
      </c>
      <c r="AD164" s="107">
        <v>0.0</v>
      </c>
      <c r="AE164" s="80">
        <f t="shared" si="2"/>
        <v>0</v>
      </c>
      <c r="AF164" s="140">
        <v>116.0</v>
      </c>
      <c r="AG164" s="109">
        <v>76.0</v>
      </c>
      <c r="AH164" s="109">
        <v>0.0</v>
      </c>
      <c r="AI164" s="141">
        <v>113.0</v>
      </c>
      <c r="AJ164" s="80">
        <f t="shared" si="3"/>
        <v>305</v>
      </c>
      <c r="AK164" s="140">
        <v>0.0</v>
      </c>
      <c r="AL164" s="109">
        <v>0.0</v>
      </c>
      <c r="AM164" s="141">
        <v>0.0</v>
      </c>
      <c r="AN164" s="80">
        <f t="shared" si="4"/>
        <v>0</v>
      </c>
      <c r="AO164" s="140">
        <v>0.0</v>
      </c>
      <c r="AP164" s="109">
        <v>0.0</v>
      </c>
      <c r="AQ164" s="109">
        <v>24.0</v>
      </c>
      <c r="AR164" s="80">
        <f t="shared" si="5"/>
        <v>24</v>
      </c>
      <c r="AS164" s="110">
        <v>0.0</v>
      </c>
      <c r="AT164" s="110">
        <v>62.0</v>
      </c>
      <c r="AU164" s="110">
        <v>0.0</v>
      </c>
      <c r="AV164" s="142">
        <v>0.0</v>
      </c>
      <c r="AW164" s="80">
        <f t="shared" si="6"/>
        <v>62</v>
      </c>
      <c r="AX164" s="113">
        <f t="shared" si="7"/>
        <v>391</v>
      </c>
      <c r="AY164" s="117">
        <f t="shared" si="8"/>
        <v>367</v>
      </c>
      <c r="AZ164" s="120">
        <f t="shared" si="9"/>
        <v>24</v>
      </c>
      <c r="BA164" s="115">
        <v>0.0</v>
      </c>
      <c r="BB164" s="89">
        <f t="shared" si="10"/>
        <v>391</v>
      </c>
      <c r="BC164" s="132" t="s">
        <v>178</v>
      </c>
      <c r="BD164" s="132" t="s">
        <v>178</v>
      </c>
      <c r="BE164" s="132" t="s">
        <v>178</v>
      </c>
      <c r="BF164" s="156"/>
      <c r="BG164" s="83">
        <v>1164890.0</v>
      </c>
      <c r="BH164" s="98" t="s">
        <v>771</v>
      </c>
      <c r="BI164" s="112">
        <v>5.0</v>
      </c>
      <c r="BJ164" s="98" t="s">
        <v>176</v>
      </c>
      <c r="BK164" s="99">
        <f t="shared" si="11"/>
        <v>113</v>
      </c>
      <c r="BL164" s="99">
        <f t="shared" si="12"/>
        <v>254</v>
      </c>
      <c r="BM164" s="99" t="str">
        <f>IFERROR(__xludf.DUMMYFUNCTION("IFERROR(VLOOKUP(BG164,IMPORTRANGE(""https://docs.google.com/spreadsheets/d/1juPI-Fb8LD0YtltB2mlGEnp_R3UVu1t3wSFPzgCyHXE/edit?gid=0#gid=0"",""GERAL!A2:C""),3,0),""-"")"),"-")</f>
        <v>-</v>
      </c>
    </row>
    <row r="165" ht="15.75" customHeight="1">
      <c r="A165" s="111" t="s">
        <v>205</v>
      </c>
      <c r="B165" s="83" t="s">
        <v>764</v>
      </c>
      <c r="C165" s="83" t="s">
        <v>164</v>
      </c>
      <c r="D165" s="112">
        <v>1164890.0</v>
      </c>
      <c r="E165" s="83">
        <v>1178953.0</v>
      </c>
      <c r="F165" s="98">
        <v>2.949115E7</v>
      </c>
      <c r="G165" s="114" t="s">
        <v>772</v>
      </c>
      <c r="H165" s="91" t="s">
        <v>773</v>
      </c>
      <c r="I165" s="83" t="s">
        <v>149</v>
      </c>
      <c r="J165" s="83" t="s">
        <v>774</v>
      </c>
      <c r="K165" s="83" t="s">
        <v>168</v>
      </c>
      <c r="L165" s="83" t="s">
        <v>169</v>
      </c>
      <c r="M165" s="82" t="str">
        <f>IFERROR(__xludf.DUMMYFUNCTION("IFERROR(VLOOKUP(D165,
IMPORTRANGE(""https://docs.google.com/spreadsheets/d/1MjHtlUikwobi2MaWJgy7tfLeBmhj1u-dRFRs_8GwSoA/edit#gid=0"",""Gestores Escolares!D7:J""),3,0),""VERIFICAR CÓD SEC"")"),"SEBASTIAO TEIXEIRA SOARES")</f>
        <v>SEBASTIAO TEIXEIRA SOARES</v>
      </c>
      <c r="N165" s="82" t="str">
        <f>IFERROR(__xludf.DUMMYFUNCTION("IFERROR(VLOOKUP(D165,
IMPORTRANGE(""https://docs.google.com/spreadsheets/d/1MjHtlUikwobi2MaWJgy7tfLeBmhj1u-dRFRs_8GwSoA/edit#gid=0"",""Gestores Escolares!D7:J""),4,0),""VERIFICAR CÓD SEC"")"),"(77) 9 8816-0494")</f>
        <v>(77) 9 8816-0494</v>
      </c>
      <c r="O165" s="82" t="str">
        <f>IFERROR(__xludf.DUMMYFUNCTION("IFERROR(VLOOKUP(D165,
IMPORTRANGE(""https://docs.google.com/spreadsheets/d/1MjHtlUikwobi2MaWJgy7tfLeBmhj1u-dRFRs_8GwSoA/edit#gid=0"",""Gestores Escolares!D7:J""),6,0),""VERIFICAR CÓD SEC"")"),"IVONETE BARBOSA SENA")</f>
        <v>IVONETE BARBOSA SENA</v>
      </c>
      <c r="P165" s="82" t="str">
        <f>IFERROR(__xludf.DUMMYFUNCTION("IFERROR(VLOOKUP(D165,
IMPORTRANGE(""https://docs.google.com/spreadsheets/d/1MjHtlUikwobi2MaWJgy7tfLeBmhj1u-dRFRs_8GwSoA/edit#gid=0"",""Gestores Escolares!D7:J""),7,0),""VERIFICAR CÓD SEC"")"),"(77) 9 8886-3579")</f>
        <v>(77) 9 8886-3579</v>
      </c>
      <c r="Q165" s="82" t="str">
        <f>IFERROR(__xludf.DUMMYFUNCTION("IFERROR(VLOOKUP(D165,
IMPORTRANGE(""https://docs.google.com/spreadsheets/d/1MjHtlUikwobi2MaWJgy7tfLeBmhj1u-dRFRs_8GwSoA/edit#gid=0"",""Gestores Escolares!D7:m""),9,0),""VERIFICAR CÓD SEC"")"),"")</f>
        <v/>
      </c>
      <c r="R165" s="82" t="str">
        <f>IFERROR(__xludf.DUMMYFUNCTION("IFERROR(VLOOKUP(D165,
IMPORTRANGE(""https://docs.google.com/spreadsheets/d/1MjHtlUikwobi2MaWJgy7tfLeBmhj1u-dRFRs_8GwSoA/edit#gid=0"",""Gestores Escolares!D7:m""),10,0),""VERIFICAR CÓD SEC"")"),"")</f>
        <v/>
      </c>
      <c r="S165" s="82"/>
      <c r="T165" s="138">
        <v>3.0</v>
      </c>
      <c r="U165" s="139">
        <v>3.0</v>
      </c>
      <c r="V165" s="106">
        <v>0.0</v>
      </c>
      <c r="W165" s="107">
        <v>0.0</v>
      </c>
      <c r="X165" s="107">
        <v>0.0</v>
      </c>
      <c r="Y165" s="107">
        <v>0.0</v>
      </c>
      <c r="Z165" s="80">
        <f t="shared" si="1"/>
        <v>0</v>
      </c>
      <c r="AA165" s="106">
        <v>0.0</v>
      </c>
      <c r="AB165" s="107">
        <v>0.0</v>
      </c>
      <c r="AC165" s="107">
        <v>0.0</v>
      </c>
      <c r="AD165" s="107">
        <v>0.0</v>
      </c>
      <c r="AE165" s="80">
        <f t="shared" si="2"/>
        <v>0</v>
      </c>
      <c r="AF165" s="140">
        <v>0.0</v>
      </c>
      <c r="AG165" s="109">
        <v>44.0</v>
      </c>
      <c r="AH165" s="109">
        <v>0.0</v>
      </c>
      <c r="AI165" s="141">
        <v>0.0</v>
      </c>
      <c r="AJ165" s="80">
        <f t="shared" si="3"/>
        <v>44</v>
      </c>
      <c r="AK165" s="140">
        <v>0.0</v>
      </c>
      <c r="AL165" s="109">
        <v>0.0</v>
      </c>
      <c r="AM165" s="141">
        <v>0.0</v>
      </c>
      <c r="AN165" s="80">
        <f t="shared" si="4"/>
        <v>0</v>
      </c>
      <c r="AO165" s="140">
        <v>0.0</v>
      </c>
      <c r="AP165" s="109">
        <v>0.0</v>
      </c>
      <c r="AQ165" s="109">
        <v>0.0</v>
      </c>
      <c r="AR165" s="80">
        <f t="shared" si="5"/>
        <v>0</v>
      </c>
      <c r="AS165" s="110">
        <v>0.0</v>
      </c>
      <c r="AT165" s="110">
        <v>0.0</v>
      </c>
      <c r="AU165" s="110">
        <v>0.0</v>
      </c>
      <c r="AV165" s="142">
        <v>0.0</v>
      </c>
      <c r="AW165" s="80">
        <f t="shared" si="6"/>
        <v>0</v>
      </c>
      <c r="AX165" s="113">
        <f t="shared" si="7"/>
        <v>44</v>
      </c>
      <c r="AY165" s="117">
        <f t="shared" si="8"/>
        <v>44</v>
      </c>
      <c r="AZ165" s="120">
        <f t="shared" si="9"/>
        <v>0</v>
      </c>
      <c r="BA165" s="115">
        <v>0.0</v>
      </c>
      <c r="BB165" s="89">
        <f t="shared" si="10"/>
        <v>44</v>
      </c>
      <c r="BC165" s="132" t="s">
        <v>631</v>
      </c>
      <c r="BD165" s="132" t="s">
        <v>178</v>
      </c>
      <c r="BE165" s="132" t="s">
        <v>178</v>
      </c>
      <c r="BF165" s="156"/>
      <c r="BG165" s="83">
        <v>1178953.0</v>
      </c>
      <c r="BH165" s="144"/>
      <c r="BI165" s="112">
        <v>3.0</v>
      </c>
      <c r="BJ165" s="98" t="s">
        <v>155</v>
      </c>
      <c r="BK165" s="99">
        <f t="shared" si="11"/>
        <v>0</v>
      </c>
      <c r="BL165" s="99">
        <f t="shared" si="12"/>
        <v>44</v>
      </c>
      <c r="BM165" s="99" t="str">
        <f>IFERROR(__xludf.DUMMYFUNCTION("IFERROR(VLOOKUP(BG165,IMPORTRANGE(""https://docs.google.com/spreadsheets/d/1juPI-Fb8LD0YtltB2mlGEnp_R3UVu1t3wSFPzgCyHXE/edit?gid=0#gid=0"",""GERAL!A2:C""),3,0),""-"")"),"ASSENTAMENTOS")</f>
        <v>ASSENTAMENTOS</v>
      </c>
    </row>
    <row r="166" ht="15.75" customHeight="1">
      <c r="A166" s="111" t="s">
        <v>285</v>
      </c>
      <c r="B166" s="83" t="s">
        <v>775</v>
      </c>
      <c r="C166" s="83" t="s">
        <v>68</v>
      </c>
      <c r="D166" s="112">
        <v>1168110.0</v>
      </c>
      <c r="E166" s="83"/>
      <c r="F166" s="83">
        <v>2.921159E7</v>
      </c>
      <c r="G166" s="114" t="s">
        <v>776</v>
      </c>
      <c r="H166" s="91" t="s">
        <v>777</v>
      </c>
      <c r="I166" s="83" t="s">
        <v>149</v>
      </c>
      <c r="J166" s="83" t="s">
        <v>150</v>
      </c>
      <c r="K166" s="83" t="s">
        <v>151</v>
      </c>
      <c r="L166" s="83" t="s">
        <v>76</v>
      </c>
      <c r="M166" s="82" t="str">
        <f>IFERROR(__xludf.DUMMYFUNCTION("IFERROR(VLOOKUP(D166,
IMPORTRANGE(""https://docs.google.com/spreadsheets/d/1MjHtlUikwobi2MaWJgy7tfLeBmhj1u-dRFRs_8GwSoA/edit#gid=0"",""Gestores Escolares!D7:J""),3,0),""VERIFICAR CÓD SEC"")"),"MARK SLAD NOVAIS AZEVEDO")</f>
        <v>MARK SLAD NOVAIS AZEVEDO</v>
      </c>
      <c r="N166" s="82" t="str">
        <f>IFERROR(__xludf.DUMMYFUNCTION("IFERROR(VLOOKUP(D166,
IMPORTRANGE(""https://docs.google.com/spreadsheets/d/1MjHtlUikwobi2MaWJgy7tfLeBmhj1u-dRFRs_8GwSoA/edit#gid=0"",""Gestores Escolares!D7:J""),4,0),""VERIFICAR CÓD SEC"")"),"(77) 9 9128-9472")</f>
        <v>(77) 9 9128-9472</v>
      </c>
      <c r="O166" s="82" t="str">
        <f>IFERROR(__xludf.DUMMYFUNCTION("IFERROR(VLOOKUP(D166,
IMPORTRANGE(""https://docs.google.com/spreadsheets/d/1MjHtlUikwobi2MaWJgy7tfLeBmhj1u-dRFRs_8GwSoA/edit#gid=0"",""Gestores Escolares!D7:J""),6,0),""VERIFICAR CÓD SEC"")"),"DENIS RIBEIRO DE NOVAIS JUNIOR")</f>
        <v>DENIS RIBEIRO DE NOVAIS JUNIOR</v>
      </c>
      <c r="P166" s="82" t="str">
        <f>IFERROR(__xludf.DUMMYFUNCTION("IFERROR(VLOOKUP(D166,
IMPORTRANGE(""https://docs.google.com/spreadsheets/d/1MjHtlUikwobi2MaWJgy7tfLeBmhj1u-dRFRs_8GwSoA/edit#gid=0"",""Gestores Escolares!D7:J""),7,0),""VERIFICAR CÓD SEC"")"),"(77) 9 9131-7063")</f>
        <v>(77) 9 9131-7063</v>
      </c>
      <c r="Q166" s="82" t="str">
        <f>IFERROR(__xludf.DUMMYFUNCTION("IFERROR(VLOOKUP(D166,
IMPORTRANGE(""https://docs.google.com/spreadsheets/d/1MjHtlUikwobi2MaWJgy7tfLeBmhj1u-dRFRs_8GwSoA/edit#gid=0"",""Gestores Escolares!D7:m""),9,0),""VERIFICAR CÓD SEC"")"),"")</f>
        <v/>
      </c>
      <c r="R166" s="82" t="str">
        <f>IFERROR(__xludf.DUMMYFUNCTION("IFERROR(VLOOKUP(D166,
IMPORTRANGE(""https://docs.google.com/spreadsheets/d/1MjHtlUikwobi2MaWJgy7tfLeBmhj1u-dRFRs_8GwSoA/edit#gid=0"",""Gestores Escolares!D7:m""),10,0),""VERIFICAR CÓD SEC"")"),"")</f>
        <v/>
      </c>
      <c r="S166" s="82"/>
      <c r="T166" s="138">
        <v>8.0</v>
      </c>
      <c r="U166" s="145" t="s">
        <v>1976</v>
      </c>
      <c r="V166" s="106">
        <v>0.0</v>
      </c>
      <c r="W166" s="107">
        <v>0.0</v>
      </c>
      <c r="X166" s="107">
        <v>0.0</v>
      </c>
      <c r="Y166" s="107">
        <v>0.0</v>
      </c>
      <c r="Z166" s="80">
        <f t="shared" si="1"/>
        <v>0</v>
      </c>
      <c r="AA166" s="106">
        <v>0.0</v>
      </c>
      <c r="AB166" s="107">
        <v>0.0</v>
      </c>
      <c r="AC166" s="107">
        <v>0.0</v>
      </c>
      <c r="AD166" s="107">
        <v>0.0</v>
      </c>
      <c r="AE166" s="80">
        <f t="shared" si="2"/>
        <v>0</v>
      </c>
      <c r="AF166" s="140">
        <v>0.0</v>
      </c>
      <c r="AG166" s="109">
        <v>0.0</v>
      </c>
      <c r="AH166" s="109">
        <v>0.0</v>
      </c>
      <c r="AI166" s="141">
        <v>139.0</v>
      </c>
      <c r="AJ166" s="80">
        <f t="shared" si="3"/>
        <v>139</v>
      </c>
      <c r="AK166" s="140">
        <v>0.0</v>
      </c>
      <c r="AL166" s="109">
        <v>0.0</v>
      </c>
      <c r="AM166" s="141">
        <v>0.0</v>
      </c>
      <c r="AN166" s="80">
        <f t="shared" si="4"/>
        <v>0</v>
      </c>
      <c r="AO166" s="140">
        <v>0.0</v>
      </c>
      <c r="AP166" s="109">
        <v>0.0</v>
      </c>
      <c r="AQ166" s="109">
        <v>20.0</v>
      </c>
      <c r="AR166" s="80">
        <f t="shared" si="5"/>
        <v>20</v>
      </c>
      <c r="AS166" s="110">
        <v>0.0</v>
      </c>
      <c r="AT166" s="110">
        <v>0.0</v>
      </c>
      <c r="AU166" s="110">
        <v>14.0</v>
      </c>
      <c r="AV166" s="142">
        <v>0.0</v>
      </c>
      <c r="AW166" s="80">
        <f t="shared" si="6"/>
        <v>14</v>
      </c>
      <c r="AX166" s="113">
        <f t="shared" si="7"/>
        <v>173</v>
      </c>
      <c r="AY166" s="117">
        <f t="shared" si="8"/>
        <v>139</v>
      </c>
      <c r="AZ166" s="120">
        <f t="shared" si="9"/>
        <v>34</v>
      </c>
      <c r="BA166" s="115">
        <v>0.0</v>
      </c>
      <c r="BB166" s="89">
        <f t="shared" si="10"/>
        <v>173</v>
      </c>
      <c r="BC166" s="132" t="s">
        <v>178</v>
      </c>
      <c r="BD166" s="132" t="s">
        <v>178</v>
      </c>
      <c r="BE166" s="132" t="s">
        <v>178</v>
      </c>
      <c r="BF166" s="156"/>
      <c r="BG166" s="83">
        <v>1168110.0</v>
      </c>
      <c r="BH166" s="98" t="s">
        <v>778</v>
      </c>
      <c r="BI166" s="112">
        <v>6.0</v>
      </c>
      <c r="BJ166" s="98" t="s">
        <v>155</v>
      </c>
      <c r="BK166" s="99">
        <f t="shared" si="11"/>
        <v>139</v>
      </c>
      <c r="BL166" s="99">
        <f t="shared" si="12"/>
        <v>0</v>
      </c>
      <c r="BM166" s="99" t="str">
        <f>IFERROR(__xludf.DUMMYFUNCTION("IFERROR(VLOOKUP(BG166,IMPORTRANGE(""https://docs.google.com/spreadsheets/d/1juPI-Fb8LD0YtltB2mlGEnp_R3UVu1t3wSFPzgCyHXE/edit?gid=0#gid=0"",""GERAL!A2:C""),3,0),""-"")"),"-")</f>
        <v>-</v>
      </c>
    </row>
    <row r="167" ht="15.75" customHeight="1">
      <c r="A167" s="111" t="s">
        <v>285</v>
      </c>
      <c r="B167" s="83" t="s">
        <v>775</v>
      </c>
      <c r="C167" s="83" t="s">
        <v>164</v>
      </c>
      <c r="D167" s="112">
        <v>1168110.0</v>
      </c>
      <c r="E167" s="83">
        <v>1178955.0</v>
      </c>
      <c r="F167" s="98">
        <v>2.949003E7</v>
      </c>
      <c r="G167" s="114" t="s">
        <v>781</v>
      </c>
      <c r="H167" s="91" t="s">
        <v>782</v>
      </c>
      <c r="I167" s="136" t="s">
        <v>783</v>
      </c>
      <c r="J167" s="83" t="s">
        <v>784</v>
      </c>
      <c r="K167" s="83" t="s">
        <v>168</v>
      </c>
      <c r="L167" s="83" t="s">
        <v>169</v>
      </c>
      <c r="M167" s="82" t="str">
        <f>IFERROR(__xludf.DUMMYFUNCTION("IFERROR(VLOOKUP(D167,
IMPORTRANGE(""https://docs.google.com/spreadsheets/d/1MjHtlUikwobi2MaWJgy7tfLeBmhj1u-dRFRs_8GwSoA/edit#gid=0"",""Gestores Escolares!D7:J""),3,0),""VERIFICAR CÓD SEC"")"),"MARK SLAD NOVAIS AZEVEDO")</f>
        <v>MARK SLAD NOVAIS AZEVEDO</v>
      </c>
      <c r="N167" s="82" t="str">
        <f>IFERROR(__xludf.DUMMYFUNCTION("IFERROR(VLOOKUP(D167,
IMPORTRANGE(""https://docs.google.com/spreadsheets/d/1MjHtlUikwobi2MaWJgy7tfLeBmhj1u-dRFRs_8GwSoA/edit#gid=0"",""Gestores Escolares!D7:J""),4,0),""VERIFICAR CÓD SEC"")"),"(77) 9 9128-9472")</f>
        <v>(77) 9 9128-9472</v>
      </c>
      <c r="O167" s="82" t="str">
        <f>IFERROR(__xludf.DUMMYFUNCTION("IFERROR(VLOOKUP(D167,
IMPORTRANGE(""https://docs.google.com/spreadsheets/d/1MjHtlUikwobi2MaWJgy7tfLeBmhj1u-dRFRs_8GwSoA/edit#gid=0"",""Gestores Escolares!D7:J""),6,0),""VERIFICAR CÓD SEC"")"),"DENIS RIBEIRO DE NOVAIS JUNIOR")</f>
        <v>DENIS RIBEIRO DE NOVAIS JUNIOR</v>
      </c>
      <c r="P167" s="82" t="str">
        <f>IFERROR(__xludf.DUMMYFUNCTION("IFERROR(VLOOKUP(D167,
IMPORTRANGE(""https://docs.google.com/spreadsheets/d/1MjHtlUikwobi2MaWJgy7tfLeBmhj1u-dRFRs_8GwSoA/edit#gid=0"",""Gestores Escolares!D7:J""),7,0),""VERIFICAR CÓD SEC"")"),"(77) 9 9131-7063")</f>
        <v>(77) 9 9131-7063</v>
      </c>
      <c r="Q167" s="82" t="str">
        <f>IFERROR(__xludf.DUMMYFUNCTION("IFERROR(VLOOKUP(D167,
IMPORTRANGE(""https://docs.google.com/spreadsheets/d/1MjHtlUikwobi2MaWJgy7tfLeBmhj1u-dRFRs_8GwSoA/edit#gid=0"",""Gestores Escolares!D7:m""),9,0),""VERIFICAR CÓD SEC"")"),"")</f>
        <v/>
      </c>
      <c r="R167" s="82" t="str">
        <f>IFERROR(__xludf.DUMMYFUNCTION("IFERROR(VLOOKUP(D167,
IMPORTRANGE(""https://docs.google.com/spreadsheets/d/1MjHtlUikwobi2MaWJgy7tfLeBmhj1u-dRFRs_8GwSoA/edit#gid=0"",""Gestores Escolares!D7:m""),10,0),""VERIFICAR CÓD SEC"")"),"")</f>
        <v/>
      </c>
      <c r="S167" s="82"/>
      <c r="T167" s="138">
        <v>3.0</v>
      </c>
      <c r="U167" s="145">
        <v>3.0</v>
      </c>
      <c r="V167" s="106">
        <v>0.0</v>
      </c>
      <c r="W167" s="107">
        <v>0.0</v>
      </c>
      <c r="X167" s="107">
        <v>0.0</v>
      </c>
      <c r="Y167" s="107">
        <v>0.0</v>
      </c>
      <c r="Z167" s="80">
        <f t="shared" si="1"/>
        <v>0</v>
      </c>
      <c r="AA167" s="106">
        <v>0.0</v>
      </c>
      <c r="AB167" s="107">
        <v>0.0</v>
      </c>
      <c r="AC167" s="107">
        <v>0.0</v>
      </c>
      <c r="AD167" s="107">
        <v>0.0</v>
      </c>
      <c r="AE167" s="80">
        <f t="shared" si="2"/>
        <v>0</v>
      </c>
      <c r="AF167" s="140">
        <v>0.0</v>
      </c>
      <c r="AG167" s="109">
        <v>27.0</v>
      </c>
      <c r="AH167" s="109">
        <v>0.0</v>
      </c>
      <c r="AI167" s="141">
        <v>0.0</v>
      </c>
      <c r="AJ167" s="80">
        <f t="shared" si="3"/>
        <v>27</v>
      </c>
      <c r="AK167" s="140">
        <v>0.0</v>
      </c>
      <c r="AL167" s="109">
        <v>0.0</v>
      </c>
      <c r="AM167" s="141">
        <v>0.0</v>
      </c>
      <c r="AN167" s="80">
        <f t="shared" si="4"/>
        <v>0</v>
      </c>
      <c r="AO167" s="140">
        <v>0.0</v>
      </c>
      <c r="AP167" s="109">
        <v>0.0</v>
      </c>
      <c r="AQ167" s="109">
        <v>0.0</v>
      </c>
      <c r="AR167" s="80">
        <f t="shared" si="5"/>
        <v>0</v>
      </c>
      <c r="AS167" s="110">
        <v>0.0</v>
      </c>
      <c r="AT167" s="110">
        <v>0.0</v>
      </c>
      <c r="AU167" s="110">
        <v>0.0</v>
      </c>
      <c r="AV167" s="142">
        <v>0.0</v>
      </c>
      <c r="AW167" s="80">
        <f t="shared" si="6"/>
        <v>0</v>
      </c>
      <c r="AX167" s="113">
        <f t="shared" si="7"/>
        <v>27</v>
      </c>
      <c r="AY167" s="117">
        <f t="shared" si="8"/>
        <v>27</v>
      </c>
      <c r="AZ167" s="120">
        <f t="shared" si="9"/>
        <v>0</v>
      </c>
      <c r="BA167" s="115">
        <v>0.0</v>
      </c>
      <c r="BB167" s="89">
        <f t="shared" si="10"/>
        <v>27</v>
      </c>
      <c r="BC167" s="132" t="s">
        <v>373</v>
      </c>
      <c r="BD167" s="132" t="s">
        <v>178</v>
      </c>
      <c r="BE167" s="132" t="s">
        <v>178</v>
      </c>
      <c r="BF167" s="156"/>
      <c r="BG167" s="146">
        <v>1178955.0</v>
      </c>
      <c r="BH167" s="144"/>
      <c r="BI167" s="112">
        <v>3.0</v>
      </c>
      <c r="BJ167" s="98" t="s">
        <v>155</v>
      </c>
      <c r="BK167" s="99">
        <f t="shared" si="11"/>
        <v>0</v>
      </c>
      <c r="BL167" s="99">
        <f t="shared" si="12"/>
        <v>27</v>
      </c>
      <c r="BM167" s="99" t="str">
        <f>IFERROR(__xludf.DUMMYFUNCTION("IFERROR(VLOOKUP(BG168,IMPORTRANGE(""https://docs.google.com/spreadsheets/d/1juPI-Fb8LD0YtltB2mlGEnp_R3UVu1t3wSFPzgCyHXE/edit?gid=0#gid=0"",""GERAL!A2:C""),3,0),""-"")"),"QUILOMBOLAS")</f>
        <v>QUILOMBOLAS</v>
      </c>
    </row>
    <row r="168" ht="15.75" customHeight="1">
      <c r="A168" s="111" t="s">
        <v>285</v>
      </c>
      <c r="B168" s="83" t="s">
        <v>775</v>
      </c>
      <c r="C168" s="83" t="s">
        <v>164</v>
      </c>
      <c r="D168" s="112">
        <v>1168110.0</v>
      </c>
      <c r="E168" s="83">
        <v>1178224.0</v>
      </c>
      <c r="F168" s="98">
        <v>2.9491827E7</v>
      </c>
      <c r="G168" s="114" t="s">
        <v>785</v>
      </c>
      <c r="H168" s="91" t="s">
        <v>777</v>
      </c>
      <c r="I168" s="136" t="s">
        <v>786</v>
      </c>
      <c r="J168" s="83" t="s">
        <v>787</v>
      </c>
      <c r="K168" s="83" t="s">
        <v>151</v>
      </c>
      <c r="L168" s="83" t="s">
        <v>169</v>
      </c>
      <c r="M168" s="82" t="str">
        <f>IFERROR(__xludf.DUMMYFUNCTION("IFERROR(VLOOKUP(D168,
IMPORTRANGE(""https://docs.google.com/spreadsheets/d/1MjHtlUikwobi2MaWJgy7tfLeBmhj1u-dRFRs_8GwSoA/edit#gid=0"",""Gestores Escolares!D7:J""),3,0),""VERIFICAR CÓD SEC"")"),"MARK SLAD NOVAIS AZEVEDO")</f>
        <v>MARK SLAD NOVAIS AZEVEDO</v>
      </c>
      <c r="N168" s="82" t="str">
        <f>IFERROR(__xludf.DUMMYFUNCTION("IFERROR(VLOOKUP(D168,
IMPORTRANGE(""https://docs.google.com/spreadsheets/d/1MjHtlUikwobi2MaWJgy7tfLeBmhj1u-dRFRs_8GwSoA/edit#gid=0"",""Gestores Escolares!D7:J""),4,0),""VERIFICAR CÓD SEC"")"),"(77) 9 9128-9472")</f>
        <v>(77) 9 9128-9472</v>
      </c>
      <c r="O168" s="82" t="str">
        <f>IFERROR(__xludf.DUMMYFUNCTION("IFERROR(VLOOKUP(D168,
IMPORTRANGE(""https://docs.google.com/spreadsheets/d/1MjHtlUikwobi2MaWJgy7tfLeBmhj1u-dRFRs_8GwSoA/edit#gid=0"",""Gestores Escolares!D7:J""),6,0),""VERIFICAR CÓD SEC"")"),"DENIS RIBEIRO DE NOVAIS JUNIOR")</f>
        <v>DENIS RIBEIRO DE NOVAIS JUNIOR</v>
      </c>
      <c r="P168" s="82" t="str">
        <f>IFERROR(__xludf.DUMMYFUNCTION("IFERROR(VLOOKUP(D168,
IMPORTRANGE(""https://docs.google.com/spreadsheets/d/1MjHtlUikwobi2MaWJgy7tfLeBmhj1u-dRFRs_8GwSoA/edit#gid=0"",""Gestores Escolares!D7:J""),7,0),""VERIFICAR CÓD SEC"")"),"(77) 9 9131-7063")</f>
        <v>(77) 9 9131-7063</v>
      </c>
      <c r="Q168" s="82" t="str">
        <f>IFERROR(__xludf.DUMMYFUNCTION("IFERROR(VLOOKUP(D168,
IMPORTRANGE(""https://docs.google.com/spreadsheets/d/1MjHtlUikwobi2MaWJgy7tfLeBmhj1u-dRFRs_8GwSoA/edit#gid=0"",""Gestores Escolares!D7:m""),9,0),""VERIFICAR CÓD SEC"")"),"")</f>
        <v/>
      </c>
      <c r="R168" s="82" t="str">
        <f>IFERROR(__xludf.DUMMYFUNCTION("IFERROR(VLOOKUP(D168,
IMPORTRANGE(""https://docs.google.com/spreadsheets/d/1MjHtlUikwobi2MaWJgy7tfLeBmhj1u-dRFRs_8GwSoA/edit#gid=0"",""Gestores Escolares!D7:m""),10,0),""VERIFICAR CÓD SEC"")"),"")</f>
        <v/>
      </c>
      <c r="S168" s="82"/>
      <c r="T168" s="138">
        <v>3.0</v>
      </c>
      <c r="U168" s="139">
        <v>3.0</v>
      </c>
      <c r="V168" s="106">
        <v>0.0</v>
      </c>
      <c r="W168" s="107">
        <v>0.0</v>
      </c>
      <c r="X168" s="107">
        <v>0.0</v>
      </c>
      <c r="Y168" s="107">
        <v>0.0</v>
      </c>
      <c r="Z168" s="80">
        <f t="shared" si="1"/>
        <v>0</v>
      </c>
      <c r="AA168" s="106">
        <v>0.0</v>
      </c>
      <c r="AB168" s="107">
        <v>0.0</v>
      </c>
      <c r="AC168" s="107">
        <v>0.0</v>
      </c>
      <c r="AD168" s="107">
        <v>0.0</v>
      </c>
      <c r="AE168" s="80">
        <f t="shared" si="2"/>
        <v>0</v>
      </c>
      <c r="AF168" s="140">
        <v>46.0</v>
      </c>
      <c r="AG168" s="109">
        <v>13.0</v>
      </c>
      <c r="AH168" s="109">
        <v>0.0</v>
      </c>
      <c r="AI168" s="141">
        <v>0.0</v>
      </c>
      <c r="AJ168" s="80">
        <f t="shared" si="3"/>
        <v>59</v>
      </c>
      <c r="AK168" s="140">
        <v>0.0</v>
      </c>
      <c r="AL168" s="109">
        <v>0.0</v>
      </c>
      <c r="AM168" s="141">
        <v>0.0</v>
      </c>
      <c r="AN168" s="80">
        <f t="shared" si="4"/>
        <v>0</v>
      </c>
      <c r="AO168" s="140">
        <v>0.0</v>
      </c>
      <c r="AP168" s="109">
        <v>0.0</v>
      </c>
      <c r="AQ168" s="109">
        <v>0.0</v>
      </c>
      <c r="AR168" s="80">
        <f t="shared" si="5"/>
        <v>0</v>
      </c>
      <c r="AS168" s="110">
        <v>0.0</v>
      </c>
      <c r="AT168" s="110">
        <v>0.0</v>
      </c>
      <c r="AU168" s="110">
        <v>0.0</v>
      </c>
      <c r="AV168" s="142">
        <v>0.0</v>
      </c>
      <c r="AW168" s="80">
        <f t="shared" si="6"/>
        <v>0</v>
      </c>
      <c r="AX168" s="113">
        <f t="shared" si="7"/>
        <v>59</v>
      </c>
      <c r="AY168" s="117">
        <f t="shared" si="8"/>
        <v>59</v>
      </c>
      <c r="AZ168" s="120">
        <f t="shared" si="9"/>
        <v>0</v>
      </c>
      <c r="BA168" s="115">
        <v>0.0</v>
      </c>
      <c r="BB168" s="89">
        <f t="shared" si="10"/>
        <v>59</v>
      </c>
      <c r="BC168" s="132" t="s">
        <v>265</v>
      </c>
      <c r="BD168" s="132" t="s">
        <v>178</v>
      </c>
      <c r="BE168" s="132" t="s">
        <v>178</v>
      </c>
      <c r="BF168" s="123"/>
      <c r="BG168" s="83">
        <v>1178224.0</v>
      </c>
      <c r="BH168" s="144"/>
      <c r="BI168" s="112">
        <v>3.0</v>
      </c>
      <c r="BJ168" s="98" t="s">
        <v>155</v>
      </c>
      <c r="BK168" s="99">
        <f t="shared" si="11"/>
        <v>0</v>
      </c>
      <c r="BL168" s="99">
        <f t="shared" si="12"/>
        <v>59</v>
      </c>
      <c r="BM168" s="99" t="str">
        <f>IFERROR(__xludf.DUMMYFUNCTION("IFERROR(VLOOKUP(#REF!,IMPORTRANGE(""https://docs.google.com/spreadsheets/d/1juPI-Fb8LD0YtltB2mlGEnp_R3UVu1t3wSFPzgCyHXE/edit?gid=0#gid=0"",""GERAL!A2:C""),3,0),""-"")"),"-")</f>
        <v>-</v>
      </c>
    </row>
    <row r="169" ht="15.75" customHeight="1">
      <c r="A169" s="111" t="s">
        <v>285</v>
      </c>
      <c r="B169" s="136" t="s">
        <v>788</v>
      </c>
      <c r="C169" s="83" t="s">
        <v>68</v>
      </c>
      <c r="D169" s="112">
        <v>1179291.0</v>
      </c>
      <c r="E169" s="83"/>
      <c r="F169" s="83">
        <v>2.9459621E7</v>
      </c>
      <c r="G169" s="114" t="s">
        <v>789</v>
      </c>
      <c r="H169" s="91" t="s">
        <v>790</v>
      </c>
      <c r="I169" s="83" t="s">
        <v>791</v>
      </c>
      <c r="J169" s="83" t="s">
        <v>183</v>
      </c>
      <c r="K169" s="83" t="s">
        <v>151</v>
      </c>
      <c r="L169" s="83" t="s">
        <v>169</v>
      </c>
      <c r="M169" s="82" t="str">
        <f>IFERROR(__xludf.DUMMYFUNCTION("IFERROR(VLOOKUP(D169,
IMPORTRANGE(""https://docs.google.com/spreadsheets/d/1MjHtlUikwobi2MaWJgy7tfLeBmhj1u-dRFRs_8GwSoA/edit#gid=0"",""Gestores Escolares!D7:J""),3,0),""VERIFICAR CÓD SEC"")"),"JULIANA RODRIGUES SALLES")</f>
        <v>JULIANA RODRIGUES SALLES</v>
      </c>
      <c r="N169" s="82" t="str">
        <f>IFERROR(__xludf.DUMMYFUNCTION("IFERROR(VLOOKUP(D169,
IMPORTRANGE(""https://docs.google.com/spreadsheets/d/1MjHtlUikwobi2MaWJgy7tfLeBmhj1u-dRFRs_8GwSoA/edit#gid=0"",""Gestores Escolares!D7:J""),4,0),""VERIFICAR CÓD SEC"")"),"(71) 9 9238-1257")</f>
        <v>(71) 9 9238-1257</v>
      </c>
      <c r="O169" s="82" t="str">
        <f>IFERROR(__xludf.DUMMYFUNCTION("IFERROR(VLOOKUP(D169,
IMPORTRANGE(""https://docs.google.com/spreadsheets/d/1MjHtlUikwobi2MaWJgy7tfLeBmhj1u-dRFRs_8GwSoA/edit#gid=0"",""Gestores Escolares!D7:J""),6,0),""VERIFICAR CÓD SEC"")"),"")</f>
        <v/>
      </c>
      <c r="P169" s="82" t="str">
        <f>IFERROR(__xludf.DUMMYFUNCTION("IFERROR(VLOOKUP(D169,
IMPORTRANGE(""https://docs.google.com/spreadsheets/d/1MjHtlUikwobi2MaWJgy7tfLeBmhj1u-dRFRs_8GwSoA/edit#gid=0"",""Gestores Escolares!D7:J""),7,0),""VERIFICAR CÓD SEC"")"),"")</f>
        <v/>
      </c>
      <c r="Q169" s="82" t="str">
        <f>IFERROR(__xludf.DUMMYFUNCTION("IFERROR(VLOOKUP(D169,
IMPORTRANGE(""https://docs.google.com/spreadsheets/d/1MjHtlUikwobi2MaWJgy7tfLeBmhj1u-dRFRs_8GwSoA/edit#gid=0"",""Gestores Escolares!D7:m""),9,0),""VERIFICAR CÓD SEC"")"),"")</f>
        <v/>
      </c>
      <c r="R169" s="82" t="str">
        <f>IFERROR(__xludf.DUMMYFUNCTION("IFERROR(VLOOKUP(D169,
IMPORTRANGE(""https://docs.google.com/spreadsheets/d/1MjHtlUikwobi2MaWJgy7tfLeBmhj1u-dRFRs_8GwSoA/edit#gid=0"",""Gestores Escolares!D7:m""),10,0),""VERIFICAR CÓD SEC"")"),"")</f>
        <v/>
      </c>
      <c r="S169" s="82"/>
      <c r="T169" s="138">
        <v>4.0</v>
      </c>
      <c r="U169" s="139">
        <v>4.0</v>
      </c>
      <c r="V169" s="106">
        <v>0.0</v>
      </c>
      <c r="W169" s="107">
        <v>0.0</v>
      </c>
      <c r="X169" s="107">
        <v>0.0</v>
      </c>
      <c r="Y169" s="107">
        <v>0.0</v>
      </c>
      <c r="Z169" s="80">
        <f t="shared" si="1"/>
        <v>0</v>
      </c>
      <c r="AA169" s="106">
        <v>0.0</v>
      </c>
      <c r="AB169" s="107">
        <v>0.0</v>
      </c>
      <c r="AC169" s="107">
        <v>0.0</v>
      </c>
      <c r="AD169" s="107">
        <v>0.0</v>
      </c>
      <c r="AE169" s="80">
        <f t="shared" si="2"/>
        <v>0</v>
      </c>
      <c r="AF169" s="140">
        <v>76.0</v>
      </c>
      <c r="AG169" s="109">
        <v>0.0</v>
      </c>
      <c r="AH169" s="109">
        <v>0.0</v>
      </c>
      <c r="AI169" s="141">
        <v>0.0</v>
      </c>
      <c r="AJ169" s="80">
        <f t="shared" si="3"/>
        <v>76</v>
      </c>
      <c r="AK169" s="140">
        <v>0.0</v>
      </c>
      <c r="AL169" s="109">
        <v>0.0</v>
      </c>
      <c r="AM169" s="141">
        <v>0.0</v>
      </c>
      <c r="AN169" s="80">
        <f t="shared" si="4"/>
        <v>0</v>
      </c>
      <c r="AO169" s="140">
        <v>0.0</v>
      </c>
      <c r="AP169" s="109">
        <v>0.0</v>
      </c>
      <c r="AQ169" s="109">
        <v>17.0</v>
      </c>
      <c r="AR169" s="80">
        <f t="shared" si="5"/>
        <v>17</v>
      </c>
      <c r="AS169" s="110">
        <v>0.0</v>
      </c>
      <c r="AT169" s="110">
        <v>0.0</v>
      </c>
      <c r="AU169" s="110">
        <v>0.0</v>
      </c>
      <c r="AV169" s="142">
        <v>0.0</v>
      </c>
      <c r="AW169" s="80">
        <f t="shared" si="6"/>
        <v>0</v>
      </c>
      <c r="AX169" s="113">
        <f t="shared" si="7"/>
        <v>93</v>
      </c>
      <c r="AY169" s="117">
        <f t="shared" si="8"/>
        <v>76</v>
      </c>
      <c r="AZ169" s="120">
        <f t="shared" si="9"/>
        <v>17</v>
      </c>
      <c r="BA169" s="115">
        <v>0.0</v>
      </c>
      <c r="BB169" s="89">
        <f t="shared" si="10"/>
        <v>93</v>
      </c>
      <c r="BC169" s="132" t="s">
        <v>373</v>
      </c>
      <c r="BD169" s="132" t="s">
        <v>178</v>
      </c>
      <c r="BE169" s="132" t="s">
        <v>178</v>
      </c>
      <c r="BF169" s="83"/>
      <c r="BG169" s="83">
        <v>1179291.0</v>
      </c>
      <c r="BH169" s="144"/>
      <c r="BI169" s="112">
        <v>4.0</v>
      </c>
      <c r="BJ169" s="98" t="s">
        <v>155</v>
      </c>
      <c r="BK169" s="99">
        <f t="shared" si="11"/>
        <v>0</v>
      </c>
      <c r="BL169" s="99">
        <f t="shared" si="12"/>
        <v>76</v>
      </c>
      <c r="BM169" s="99" t="str">
        <f>IFERROR(__xludf.DUMMYFUNCTION("IFERROR(VLOOKUP(BG169,IMPORTRANGE(""https://docs.google.com/spreadsheets/d/1juPI-Fb8LD0YtltB2mlGEnp_R3UVu1t3wSFPzgCyHXE/edit?gid=0#gid=0"",""GERAL!A2:C""),3,0),""-"")"),"CAMPO")</f>
        <v>CAMPO</v>
      </c>
    </row>
    <row r="170" ht="15.75" customHeight="1">
      <c r="A170" s="111" t="s">
        <v>285</v>
      </c>
      <c r="B170" s="136" t="s">
        <v>788</v>
      </c>
      <c r="C170" s="83" t="s">
        <v>68</v>
      </c>
      <c r="D170" s="112">
        <v>1178017.0</v>
      </c>
      <c r="E170" s="83"/>
      <c r="F170" s="83">
        <v>2.9425166E7</v>
      </c>
      <c r="G170" s="153" t="s">
        <v>792</v>
      </c>
      <c r="H170" s="108" t="s">
        <v>793</v>
      </c>
      <c r="I170" s="83" t="s">
        <v>149</v>
      </c>
      <c r="J170" s="83" t="s">
        <v>150</v>
      </c>
      <c r="K170" s="83" t="s">
        <v>151</v>
      </c>
      <c r="L170" s="83" t="s">
        <v>230</v>
      </c>
      <c r="M170" s="82" t="str">
        <f>IFERROR(__xludf.DUMMYFUNCTION("IFERROR(VLOOKUP(D170,
IMPORTRANGE(""https://docs.google.com/spreadsheets/d/1MjHtlUikwobi2MaWJgy7tfLeBmhj1u-dRFRs_8GwSoA/edit#gid=0"",""Gestores Escolares!D7:J""),3,0),""VERIFICAR CÓD SEC"")"),"CLESIA VALQUIRIA BATISTA DA SILVA")</f>
        <v>CLESIA VALQUIRIA BATISTA DA SILVA</v>
      </c>
      <c r="N170" s="82" t="str">
        <f>IFERROR(__xludf.DUMMYFUNCTION("IFERROR(VLOOKUP(D170,
IMPORTRANGE(""https://docs.google.com/spreadsheets/d/1MjHtlUikwobi2MaWJgy7tfLeBmhj1u-dRFRs_8GwSoA/edit#gid=0"",""Gestores Escolares!D7:J""),4,0),""VERIFICAR CÓD SEC"")"),"(75) 9 8269-8138")</f>
        <v>(75) 9 8269-8138</v>
      </c>
      <c r="O170" s="82" t="str">
        <f>IFERROR(__xludf.DUMMYFUNCTION("IFERROR(VLOOKUP(D170,
IMPORTRANGE(""https://docs.google.com/spreadsheets/d/1MjHtlUikwobi2MaWJgy7tfLeBmhj1u-dRFRs_8GwSoA/edit#gid=0"",""Gestores Escolares!D7:J""),6,0),""VERIFICAR CÓD SEC"")"),"JAILSON SOUZA DE JESUS")</f>
        <v>JAILSON SOUZA DE JESUS</v>
      </c>
      <c r="P170" s="82" t="str">
        <f>IFERROR(__xludf.DUMMYFUNCTION("IFERROR(VLOOKUP(D170,
IMPORTRANGE(""https://docs.google.com/spreadsheets/d/1MjHtlUikwobi2MaWJgy7tfLeBmhj1u-dRFRs_8GwSoA/edit#gid=0"",""Gestores Escolares!D7:J""),7,0),""VERIFICAR CÓD SEC"")"),"(75) 9 8123-2627")</f>
        <v>(75) 9 8123-2627</v>
      </c>
      <c r="Q170" s="82" t="str">
        <f>IFERROR(__xludf.DUMMYFUNCTION("IFERROR(VLOOKUP(D170,
IMPORTRANGE(""https://docs.google.com/spreadsheets/d/1MjHtlUikwobi2MaWJgy7tfLeBmhj1u-dRFRs_8GwSoA/edit#gid=0"",""Gestores Escolares!D7:m""),9,0),""VERIFICAR CÓD SEC"")"),"")</f>
        <v/>
      </c>
      <c r="R170" s="82" t="str">
        <f>IFERROR(__xludf.DUMMYFUNCTION("IFERROR(VLOOKUP(D170,
IMPORTRANGE(""https://docs.google.com/spreadsheets/d/1MjHtlUikwobi2MaWJgy7tfLeBmhj1u-dRFRs_8GwSoA/edit#gid=0"",""Gestores Escolares!D7:m""),10,0),""VERIFICAR CÓD SEC"")"),"")</f>
        <v/>
      </c>
      <c r="S170" s="82"/>
      <c r="T170" s="138">
        <v>9.0</v>
      </c>
      <c r="U170" s="139">
        <v>12.0</v>
      </c>
      <c r="V170" s="106">
        <v>0.0</v>
      </c>
      <c r="W170" s="107">
        <v>0.0</v>
      </c>
      <c r="X170" s="107">
        <v>0.0</v>
      </c>
      <c r="Y170" s="107">
        <v>0.0</v>
      </c>
      <c r="Z170" s="80">
        <f t="shared" si="1"/>
        <v>0</v>
      </c>
      <c r="AA170" s="106">
        <v>0.0</v>
      </c>
      <c r="AB170" s="107">
        <v>0.0</v>
      </c>
      <c r="AC170" s="107">
        <v>0.0</v>
      </c>
      <c r="AD170" s="107">
        <v>0.0</v>
      </c>
      <c r="AE170" s="80">
        <f t="shared" si="2"/>
        <v>0</v>
      </c>
      <c r="AF170" s="140">
        <v>0.0</v>
      </c>
      <c r="AG170" s="109">
        <v>0.0</v>
      </c>
      <c r="AH170" s="109">
        <v>0.0</v>
      </c>
      <c r="AI170" s="141">
        <v>332.0</v>
      </c>
      <c r="AJ170" s="80">
        <f t="shared" si="3"/>
        <v>332</v>
      </c>
      <c r="AK170" s="140">
        <v>0.0</v>
      </c>
      <c r="AL170" s="109">
        <v>0.0</v>
      </c>
      <c r="AM170" s="141">
        <v>0.0</v>
      </c>
      <c r="AN170" s="80">
        <f t="shared" si="4"/>
        <v>0</v>
      </c>
      <c r="AO170" s="140">
        <v>0.0</v>
      </c>
      <c r="AP170" s="109">
        <v>0.0</v>
      </c>
      <c r="AQ170" s="109">
        <v>52.0</v>
      </c>
      <c r="AR170" s="80">
        <f t="shared" si="5"/>
        <v>52</v>
      </c>
      <c r="AS170" s="110">
        <v>0.0</v>
      </c>
      <c r="AT170" s="110">
        <v>0.0</v>
      </c>
      <c r="AU170" s="110">
        <v>19.0</v>
      </c>
      <c r="AV170" s="142">
        <v>76.0</v>
      </c>
      <c r="AW170" s="80">
        <f t="shared" si="6"/>
        <v>95</v>
      </c>
      <c r="AX170" s="113">
        <f t="shared" si="7"/>
        <v>479</v>
      </c>
      <c r="AY170" s="117">
        <f t="shared" si="8"/>
        <v>408</v>
      </c>
      <c r="AZ170" s="120">
        <f t="shared" si="9"/>
        <v>71</v>
      </c>
      <c r="BA170" s="115">
        <v>0.0</v>
      </c>
      <c r="BB170" s="89">
        <f t="shared" si="10"/>
        <v>479</v>
      </c>
      <c r="BC170" s="132" t="s">
        <v>178</v>
      </c>
      <c r="BD170" s="132" t="s">
        <v>178</v>
      </c>
      <c r="BE170" s="132" t="s">
        <v>178</v>
      </c>
      <c r="BF170" s="123"/>
      <c r="BG170" s="83">
        <v>1178017.0</v>
      </c>
      <c r="BH170" s="137" t="s">
        <v>794</v>
      </c>
      <c r="BI170" s="112">
        <v>12.0</v>
      </c>
      <c r="BJ170" s="98" t="s">
        <v>162</v>
      </c>
      <c r="BK170" s="99">
        <f t="shared" si="11"/>
        <v>408</v>
      </c>
      <c r="BL170" s="99">
        <f t="shared" si="12"/>
        <v>0</v>
      </c>
      <c r="BM170" s="99" t="str">
        <f>IFERROR(__xludf.DUMMYFUNCTION("IFERROR(VLOOKUP(BG170,IMPORTRANGE(""https://docs.google.com/spreadsheets/d/1juPI-Fb8LD0YtltB2mlGEnp_R3UVu1t3wSFPzgCyHXE/edit?gid=0#gid=0"",""GERAL!A2:C""),3,0),""-"")"),"-")</f>
        <v>-</v>
      </c>
    </row>
    <row r="171" ht="15.75" customHeight="1">
      <c r="A171" s="111" t="s">
        <v>285</v>
      </c>
      <c r="B171" s="83" t="s">
        <v>795</v>
      </c>
      <c r="C171" s="83" t="s">
        <v>68</v>
      </c>
      <c r="D171" s="112">
        <v>1176466.0</v>
      </c>
      <c r="E171" s="83"/>
      <c r="F171" s="83">
        <v>2.9385253E7</v>
      </c>
      <c r="G171" s="153" t="s">
        <v>797</v>
      </c>
      <c r="H171" s="91" t="s">
        <v>798</v>
      </c>
      <c r="I171" s="83" t="s">
        <v>149</v>
      </c>
      <c r="J171" s="83" t="s">
        <v>150</v>
      </c>
      <c r="K171" s="83" t="s">
        <v>151</v>
      </c>
      <c r="L171" s="98" t="s">
        <v>230</v>
      </c>
      <c r="M171" s="82" t="str">
        <f>IFERROR(__xludf.DUMMYFUNCTION("IFERROR(VLOOKUP(D171,
IMPORTRANGE(""https://docs.google.com/spreadsheets/d/1MjHtlUikwobi2MaWJgy7tfLeBmhj1u-dRFRs_8GwSoA/edit#gid=0"",""Gestores Escolares!D7:J""),3,0),""VERIFICAR CÓD SEC"")"),"INES SILVA GONCALVES DOS SANTOS")</f>
        <v>INES SILVA GONCALVES DOS SANTOS</v>
      </c>
      <c r="N171" s="82" t="str">
        <f>IFERROR(__xludf.DUMMYFUNCTION("IFERROR(VLOOKUP(D171,
IMPORTRANGE(""https://docs.google.com/spreadsheets/d/1MjHtlUikwobi2MaWJgy7tfLeBmhj1u-dRFRs_8GwSoA/edit#gid=0"",""Gestores Escolares!D7:J""),4,0),""VERIFICAR CÓD SEC"")"),"(77) 9 9992-8900")</f>
        <v>(77) 9 9992-8900</v>
      </c>
      <c r="O171" s="82" t="str">
        <f>IFERROR(__xludf.DUMMYFUNCTION("IFERROR(VLOOKUP(D171,
IMPORTRANGE(""https://docs.google.com/spreadsheets/d/1MjHtlUikwobi2MaWJgy7tfLeBmhj1u-dRFRs_8GwSoA/edit#gid=0"",""Gestores Escolares!D7:J""),6,0),""VERIFICAR CÓD SEC"")"),"SORAIA CELESTE FREITAS DA SILVA")</f>
        <v>SORAIA CELESTE FREITAS DA SILVA</v>
      </c>
      <c r="P171" s="82" t="str">
        <f>IFERROR(__xludf.DUMMYFUNCTION("IFERROR(VLOOKUP(D171,
IMPORTRANGE(""https://docs.google.com/spreadsheets/d/1MjHtlUikwobi2MaWJgy7tfLeBmhj1u-dRFRs_8GwSoA/edit#gid=0"",""Gestores Escolares!D7:J""),7,0),""VERIFICAR CÓD SEC"")"),"(77) 9 9928 - 8070")</f>
        <v>(77) 9 9928 - 8070</v>
      </c>
      <c r="Q171" s="82" t="str">
        <f>IFERROR(__xludf.DUMMYFUNCTION("IFERROR(VLOOKUP(D171,
IMPORTRANGE(""https://docs.google.com/spreadsheets/d/1MjHtlUikwobi2MaWJgy7tfLeBmhj1u-dRFRs_8GwSoA/edit#gid=0"",""Gestores Escolares!D7:m""),9,0),""VERIFICAR CÓD SEC"")"),"FERNANDA PESSOA DE JESUS")</f>
        <v>FERNANDA PESSOA DE JESUS</v>
      </c>
      <c r="R171" s="82" t="str">
        <f>IFERROR(__xludf.DUMMYFUNCTION("IFERROR(VLOOKUP(D171,
IMPORTRANGE(""https://docs.google.com/spreadsheets/d/1MjHtlUikwobi2MaWJgy7tfLeBmhj1u-dRFRs_8GwSoA/edit#gid=0"",""Gestores Escolares!D7:m""),10,0),""VERIFICAR CÓD SEC"")"),"(77) 9 9970-3315")</f>
        <v>(77) 9 9970-3315</v>
      </c>
      <c r="S171" s="82"/>
      <c r="T171" s="138">
        <v>10.0</v>
      </c>
      <c r="U171" s="145">
        <v>17.0</v>
      </c>
      <c r="V171" s="106">
        <v>0.0</v>
      </c>
      <c r="W171" s="107">
        <v>0.0</v>
      </c>
      <c r="X171" s="107">
        <v>0.0</v>
      </c>
      <c r="Y171" s="107">
        <v>0.0</v>
      </c>
      <c r="Z171" s="80">
        <f t="shared" si="1"/>
        <v>0</v>
      </c>
      <c r="AA171" s="106">
        <v>0.0</v>
      </c>
      <c r="AB171" s="107">
        <v>0.0</v>
      </c>
      <c r="AC171" s="107">
        <v>0.0</v>
      </c>
      <c r="AD171" s="107">
        <v>0.0</v>
      </c>
      <c r="AE171" s="80">
        <f t="shared" si="2"/>
        <v>0</v>
      </c>
      <c r="AF171" s="140">
        <v>113.0</v>
      </c>
      <c r="AG171" s="109">
        <v>151.0</v>
      </c>
      <c r="AH171" s="109">
        <v>0.0</v>
      </c>
      <c r="AI171" s="141">
        <v>350.0</v>
      </c>
      <c r="AJ171" s="80">
        <f t="shared" si="3"/>
        <v>614</v>
      </c>
      <c r="AK171" s="140">
        <v>0.0</v>
      </c>
      <c r="AL171" s="109">
        <v>0.0</v>
      </c>
      <c r="AM171" s="141">
        <v>0.0</v>
      </c>
      <c r="AN171" s="80">
        <f t="shared" si="4"/>
        <v>0</v>
      </c>
      <c r="AO171" s="140">
        <v>0.0</v>
      </c>
      <c r="AP171" s="109">
        <v>0.0</v>
      </c>
      <c r="AQ171" s="109">
        <v>237.0</v>
      </c>
      <c r="AR171" s="80">
        <f t="shared" si="5"/>
        <v>237</v>
      </c>
      <c r="AS171" s="110">
        <v>0.0</v>
      </c>
      <c r="AT171" s="110">
        <v>63.0</v>
      </c>
      <c r="AU171" s="110">
        <v>133.0</v>
      </c>
      <c r="AV171" s="142">
        <v>101.0</v>
      </c>
      <c r="AW171" s="80">
        <f t="shared" si="6"/>
        <v>297</v>
      </c>
      <c r="AX171" s="113">
        <f t="shared" si="7"/>
        <v>1148</v>
      </c>
      <c r="AY171" s="117">
        <f t="shared" si="8"/>
        <v>778</v>
      </c>
      <c r="AZ171" s="120">
        <f t="shared" si="9"/>
        <v>370</v>
      </c>
      <c r="BA171" s="115">
        <v>0.0</v>
      </c>
      <c r="BB171" s="89">
        <f t="shared" si="10"/>
        <v>1148</v>
      </c>
      <c r="BC171" s="132" t="s">
        <v>178</v>
      </c>
      <c r="BD171" s="132" t="s">
        <v>178</v>
      </c>
      <c r="BE171" s="132" t="s">
        <v>178</v>
      </c>
      <c r="BF171" s="156"/>
      <c r="BG171" s="83">
        <v>1176466.0</v>
      </c>
      <c r="BH171" s="137" t="s">
        <v>799</v>
      </c>
      <c r="BI171" s="112">
        <v>10.0</v>
      </c>
      <c r="BJ171" s="98" t="s">
        <v>162</v>
      </c>
      <c r="BK171" s="99">
        <f t="shared" si="11"/>
        <v>451</v>
      </c>
      <c r="BL171" s="99">
        <f t="shared" si="12"/>
        <v>327</v>
      </c>
      <c r="BM171" s="99" t="str">
        <f>IFERROR(__xludf.DUMMYFUNCTION("IFERROR(VLOOKUP(BG171,IMPORTRANGE(""https://docs.google.com/spreadsheets/d/1juPI-Fb8LD0YtltB2mlGEnp_R3UVu1t3wSFPzgCyHXE/edit?gid=0#gid=0"",""GERAL!A2:C""),3,0),""-"")"),"-")</f>
        <v>-</v>
      </c>
    </row>
    <row r="172" ht="15.75" customHeight="1">
      <c r="A172" s="111" t="s">
        <v>285</v>
      </c>
      <c r="B172" s="83" t="s">
        <v>795</v>
      </c>
      <c r="C172" s="83" t="s">
        <v>164</v>
      </c>
      <c r="D172" s="112">
        <v>1179283.0</v>
      </c>
      <c r="E172" s="83">
        <v>1178747.0</v>
      </c>
      <c r="F172" s="98">
        <v>2.9461502E7</v>
      </c>
      <c r="G172" s="114" t="s">
        <v>800</v>
      </c>
      <c r="H172" s="91" t="s">
        <v>801</v>
      </c>
      <c r="I172" s="136" t="s">
        <v>802</v>
      </c>
      <c r="J172" s="83" t="s">
        <v>467</v>
      </c>
      <c r="K172" s="83" t="s">
        <v>151</v>
      </c>
      <c r="L172" s="83" t="s">
        <v>169</v>
      </c>
      <c r="M172" s="82" t="str">
        <f>IFERROR(__xludf.DUMMYFUNCTION("IFERROR(VLOOKUP(D172,
IMPORTRANGE(""https://docs.google.com/spreadsheets/d/1MjHtlUikwobi2MaWJgy7tfLeBmhj1u-dRFRs_8GwSoA/edit#gid=0"",""Gestores Escolares!D7:J""),3,0),""VERIFICAR CÓD SEC"")"),"LAIZA BRANDAO MIRANDA")</f>
        <v>LAIZA BRANDAO MIRANDA</v>
      </c>
      <c r="N172" s="82" t="str">
        <f>IFERROR(__xludf.DUMMYFUNCTION("IFERROR(VLOOKUP(D172,
IMPORTRANGE(""https://docs.google.com/spreadsheets/d/1MjHtlUikwobi2MaWJgy7tfLeBmhj1u-dRFRs_8GwSoA/edit#gid=0"",""Gestores Escolares!D7:J""),4,0),""VERIFICAR CÓD SEC"")"),"(75) 9 9966-5253")</f>
        <v>(75) 9 9966-5253</v>
      </c>
      <c r="O172" s="82" t="str">
        <f>IFERROR(__xludf.DUMMYFUNCTION("IFERROR(VLOOKUP(D172,
IMPORTRANGE(""https://docs.google.com/spreadsheets/d/1MjHtlUikwobi2MaWJgy7tfLeBmhj1u-dRFRs_8GwSoA/edit#gid=0"",""Gestores Escolares!D7:J""),6,0),""VERIFICAR CÓD SEC"")"),"ROSANA ISABEL DO R. TELES")</f>
        <v>ROSANA ISABEL DO R. TELES</v>
      </c>
      <c r="P172" s="82" t="str">
        <f>IFERROR(__xludf.DUMMYFUNCTION("IFERROR(VLOOKUP(D172,
IMPORTRANGE(""https://docs.google.com/spreadsheets/d/1MjHtlUikwobi2MaWJgy7tfLeBmhj1u-dRFRs_8GwSoA/edit#gid=0"",""Gestores Escolares!D7:J""),7,0),""VERIFICAR CÓD SEC"")"),"(75) 9 9966-4696")</f>
        <v>(75) 9 9966-4696</v>
      </c>
      <c r="Q172" s="82" t="str">
        <f>IFERROR(__xludf.DUMMYFUNCTION("IFERROR(VLOOKUP(D172,
IMPORTRANGE(""https://docs.google.com/spreadsheets/d/1MjHtlUikwobi2MaWJgy7tfLeBmhj1u-dRFRs_8GwSoA/edit#gid=0"",""Gestores Escolares!D7:m""),9,0),""VERIFICAR CÓD SEC"")"),"MOZART MACEDO XAVIER")</f>
        <v>MOZART MACEDO XAVIER</v>
      </c>
      <c r="R172" s="82" t="str">
        <f>IFERROR(__xludf.DUMMYFUNCTION("IFERROR(VLOOKUP(D172,
IMPORTRANGE(""https://docs.google.com/spreadsheets/d/1MjHtlUikwobi2MaWJgy7tfLeBmhj1u-dRFRs_8GwSoA/edit#gid=0"",""Gestores Escolares!D7:m""),10,0),""VERIFICAR CÓD SEC"")"),"(75) 9 9918-1536")</f>
        <v>(75) 9 9918-1536</v>
      </c>
      <c r="S172" s="82"/>
      <c r="T172" s="138">
        <v>3.0</v>
      </c>
      <c r="U172" s="139">
        <v>3.0</v>
      </c>
      <c r="V172" s="106">
        <v>0.0</v>
      </c>
      <c r="W172" s="107">
        <v>0.0</v>
      </c>
      <c r="X172" s="107">
        <v>0.0</v>
      </c>
      <c r="Y172" s="107">
        <v>0.0</v>
      </c>
      <c r="Z172" s="80">
        <f t="shared" si="1"/>
        <v>0</v>
      </c>
      <c r="AA172" s="106">
        <v>0.0</v>
      </c>
      <c r="AB172" s="107">
        <v>0.0</v>
      </c>
      <c r="AC172" s="107">
        <v>0.0</v>
      </c>
      <c r="AD172" s="107">
        <v>0.0</v>
      </c>
      <c r="AE172" s="80">
        <f t="shared" si="2"/>
        <v>0</v>
      </c>
      <c r="AF172" s="140">
        <v>0.0</v>
      </c>
      <c r="AG172" s="109">
        <v>0.0</v>
      </c>
      <c r="AH172" s="109">
        <v>8.0</v>
      </c>
      <c r="AI172" s="141">
        <v>0.0</v>
      </c>
      <c r="AJ172" s="80">
        <f t="shared" si="3"/>
        <v>8</v>
      </c>
      <c r="AK172" s="140">
        <v>0.0</v>
      </c>
      <c r="AL172" s="109">
        <v>0.0</v>
      </c>
      <c r="AM172" s="141">
        <v>0.0</v>
      </c>
      <c r="AN172" s="80">
        <f t="shared" si="4"/>
        <v>0</v>
      </c>
      <c r="AO172" s="140">
        <v>0.0</v>
      </c>
      <c r="AP172" s="109">
        <v>0.0</v>
      </c>
      <c r="AQ172" s="109">
        <v>0.0</v>
      </c>
      <c r="AR172" s="80">
        <f t="shared" si="5"/>
        <v>0</v>
      </c>
      <c r="AS172" s="110">
        <v>0.0</v>
      </c>
      <c r="AT172" s="110">
        <v>0.0</v>
      </c>
      <c r="AU172" s="110">
        <v>0.0</v>
      </c>
      <c r="AV172" s="142">
        <v>0.0</v>
      </c>
      <c r="AW172" s="80">
        <f t="shared" si="6"/>
        <v>0</v>
      </c>
      <c r="AX172" s="113">
        <f t="shared" si="7"/>
        <v>8</v>
      </c>
      <c r="AY172" s="117">
        <f t="shared" si="8"/>
        <v>0</v>
      </c>
      <c r="AZ172" s="120">
        <f t="shared" si="9"/>
        <v>8</v>
      </c>
      <c r="BA172" s="115">
        <v>0.0</v>
      </c>
      <c r="BB172" s="89">
        <f t="shared" si="10"/>
        <v>8</v>
      </c>
      <c r="BC172" s="132" t="s">
        <v>178</v>
      </c>
      <c r="BD172" s="143" t="s">
        <v>227</v>
      </c>
      <c r="BE172" s="132" t="s">
        <v>178</v>
      </c>
      <c r="BF172" s="123"/>
      <c r="BG172" s="83">
        <v>1178747.0</v>
      </c>
      <c r="BH172" s="144"/>
      <c r="BI172" s="112">
        <v>3.0</v>
      </c>
      <c r="BJ172" s="98" t="s">
        <v>155</v>
      </c>
      <c r="BK172" s="99">
        <f t="shared" si="11"/>
        <v>0</v>
      </c>
      <c r="BL172" s="99">
        <f t="shared" si="12"/>
        <v>0</v>
      </c>
      <c r="BM172" s="99" t="str">
        <f>IFERROR(__xludf.DUMMYFUNCTION("IFERROR(VLOOKUP(BG172,IMPORTRANGE(""https://docs.google.com/spreadsheets/d/1juPI-Fb8LD0YtltB2mlGEnp_R3UVu1t3wSFPzgCyHXE/edit?gid=0#gid=0"",""GERAL!A2:C""),3,0),""-"")"),"-")</f>
        <v>-</v>
      </c>
    </row>
    <row r="173" ht="15.75" customHeight="1">
      <c r="A173" s="111" t="s">
        <v>285</v>
      </c>
      <c r="B173" s="83" t="s">
        <v>795</v>
      </c>
      <c r="C173" s="83" t="s">
        <v>164</v>
      </c>
      <c r="D173" s="112">
        <v>1179283.0</v>
      </c>
      <c r="E173" s="83">
        <v>1178746.0</v>
      </c>
      <c r="F173" s="98">
        <v>2.9461502E7</v>
      </c>
      <c r="G173" s="114" t="s">
        <v>803</v>
      </c>
      <c r="H173" s="91" t="s">
        <v>804</v>
      </c>
      <c r="I173" s="136" t="s">
        <v>805</v>
      </c>
      <c r="J173" s="83" t="s">
        <v>705</v>
      </c>
      <c r="K173" s="83" t="s">
        <v>151</v>
      </c>
      <c r="L173" s="83" t="s">
        <v>169</v>
      </c>
      <c r="M173" s="82" t="str">
        <f>IFERROR(__xludf.DUMMYFUNCTION("IFERROR(VLOOKUP(D173,
IMPORTRANGE(""https://docs.google.com/spreadsheets/d/1MjHtlUikwobi2MaWJgy7tfLeBmhj1u-dRFRs_8GwSoA/edit#gid=0"",""Gestores Escolares!D7:J""),3,0),""VERIFICAR CÓD SEC"")"),"LAIZA BRANDAO MIRANDA")</f>
        <v>LAIZA BRANDAO MIRANDA</v>
      </c>
      <c r="N173" s="82" t="str">
        <f>IFERROR(__xludf.DUMMYFUNCTION("IFERROR(VLOOKUP(D173,
IMPORTRANGE(""https://docs.google.com/spreadsheets/d/1MjHtlUikwobi2MaWJgy7tfLeBmhj1u-dRFRs_8GwSoA/edit#gid=0"",""Gestores Escolares!D7:J""),4,0),""VERIFICAR CÓD SEC"")"),"(75) 9 9966-5253")</f>
        <v>(75) 9 9966-5253</v>
      </c>
      <c r="O173" s="82" t="str">
        <f>IFERROR(__xludf.DUMMYFUNCTION("IFERROR(VLOOKUP(D173,
IMPORTRANGE(""https://docs.google.com/spreadsheets/d/1MjHtlUikwobi2MaWJgy7tfLeBmhj1u-dRFRs_8GwSoA/edit#gid=0"",""Gestores Escolares!D7:J""),6,0),""VERIFICAR CÓD SEC"")"),"ROSANA ISABEL DO R. TELES")</f>
        <v>ROSANA ISABEL DO R. TELES</v>
      </c>
      <c r="P173" s="82" t="str">
        <f>IFERROR(__xludf.DUMMYFUNCTION("IFERROR(VLOOKUP(D173,
IMPORTRANGE(""https://docs.google.com/spreadsheets/d/1MjHtlUikwobi2MaWJgy7tfLeBmhj1u-dRFRs_8GwSoA/edit#gid=0"",""Gestores Escolares!D7:J""),7,0),""VERIFICAR CÓD SEC"")"),"(75) 9 9966-4696")</f>
        <v>(75) 9 9966-4696</v>
      </c>
      <c r="Q173" s="82" t="str">
        <f>IFERROR(__xludf.DUMMYFUNCTION("IFERROR(VLOOKUP(D173,
IMPORTRANGE(""https://docs.google.com/spreadsheets/d/1MjHtlUikwobi2MaWJgy7tfLeBmhj1u-dRFRs_8GwSoA/edit#gid=0"",""Gestores Escolares!D7:m""),9,0),""VERIFICAR CÓD SEC"")"),"MOZART MACEDO XAVIER")</f>
        <v>MOZART MACEDO XAVIER</v>
      </c>
      <c r="R173" s="82" t="str">
        <f>IFERROR(__xludf.DUMMYFUNCTION("IFERROR(VLOOKUP(D173,
IMPORTRANGE(""https://docs.google.com/spreadsheets/d/1MjHtlUikwobi2MaWJgy7tfLeBmhj1u-dRFRs_8GwSoA/edit#gid=0"",""Gestores Escolares!D7:m""),10,0),""VERIFICAR CÓD SEC"")"),"(75) 9 9918-1536")</f>
        <v>(75) 9 9918-1536</v>
      </c>
      <c r="S173" s="82"/>
      <c r="T173" s="138">
        <v>3.0</v>
      </c>
      <c r="U173" s="139">
        <v>3.0</v>
      </c>
      <c r="V173" s="106">
        <v>0.0</v>
      </c>
      <c r="W173" s="107">
        <v>0.0</v>
      </c>
      <c r="X173" s="107">
        <v>0.0</v>
      </c>
      <c r="Y173" s="107">
        <v>0.0</v>
      </c>
      <c r="Z173" s="80">
        <f t="shared" si="1"/>
        <v>0</v>
      </c>
      <c r="AA173" s="106">
        <v>0.0</v>
      </c>
      <c r="AB173" s="107">
        <v>0.0</v>
      </c>
      <c r="AC173" s="107">
        <v>0.0</v>
      </c>
      <c r="AD173" s="107">
        <v>0.0</v>
      </c>
      <c r="AE173" s="80">
        <f t="shared" si="2"/>
        <v>0</v>
      </c>
      <c r="AF173" s="140">
        <v>0.0</v>
      </c>
      <c r="AG173" s="109">
        <v>12.0</v>
      </c>
      <c r="AH173" s="109">
        <v>0.0</v>
      </c>
      <c r="AI173" s="141">
        <v>0.0</v>
      </c>
      <c r="AJ173" s="80">
        <f t="shared" si="3"/>
        <v>12</v>
      </c>
      <c r="AK173" s="140">
        <v>0.0</v>
      </c>
      <c r="AL173" s="109">
        <v>0.0</v>
      </c>
      <c r="AM173" s="141">
        <v>0.0</v>
      </c>
      <c r="AN173" s="80">
        <f t="shared" si="4"/>
        <v>0</v>
      </c>
      <c r="AO173" s="140">
        <v>0.0</v>
      </c>
      <c r="AP173" s="109">
        <v>0.0</v>
      </c>
      <c r="AQ173" s="109">
        <v>0.0</v>
      </c>
      <c r="AR173" s="80">
        <f t="shared" si="5"/>
        <v>0</v>
      </c>
      <c r="AS173" s="110">
        <v>0.0</v>
      </c>
      <c r="AT173" s="110">
        <v>0.0</v>
      </c>
      <c r="AU173" s="110">
        <v>0.0</v>
      </c>
      <c r="AV173" s="142">
        <v>0.0</v>
      </c>
      <c r="AW173" s="80">
        <f t="shared" si="6"/>
        <v>0</v>
      </c>
      <c r="AX173" s="113">
        <f t="shared" si="7"/>
        <v>12</v>
      </c>
      <c r="AY173" s="117">
        <f t="shared" si="8"/>
        <v>12</v>
      </c>
      <c r="AZ173" s="120">
        <f t="shared" si="9"/>
        <v>0</v>
      </c>
      <c r="BA173" s="115">
        <v>0.0</v>
      </c>
      <c r="BB173" s="89">
        <f t="shared" si="10"/>
        <v>12</v>
      </c>
      <c r="BC173" s="132" t="s">
        <v>178</v>
      </c>
      <c r="BD173" s="143" t="s">
        <v>227</v>
      </c>
      <c r="BE173" s="132" t="s">
        <v>178</v>
      </c>
      <c r="BF173" s="123"/>
      <c r="BG173" s="83">
        <v>1178746.0</v>
      </c>
      <c r="BH173" s="144"/>
      <c r="BI173" s="112">
        <v>3.0</v>
      </c>
      <c r="BJ173" s="98" t="s">
        <v>155</v>
      </c>
      <c r="BK173" s="99">
        <f t="shared" si="11"/>
        <v>0</v>
      </c>
      <c r="BL173" s="99">
        <f t="shared" si="12"/>
        <v>12</v>
      </c>
      <c r="BM173" s="99" t="str">
        <f>IFERROR(__xludf.DUMMYFUNCTION("IFERROR(VLOOKUP(BG173,IMPORTRANGE(""https://docs.google.com/spreadsheets/d/1juPI-Fb8LD0YtltB2mlGEnp_R3UVu1t3wSFPzgCyHXE/edit?gid=0#gid=0"",""GERAL!A2:C""),3,0),""-"")"),"-")</f>
        <v>-</v>
      </c>
    </row>
    <row r="174" ht="15.75" customHeight="1">
      <c r="A174" s="111" t="s">
        <v>285</v>
      </c>
      <c r="B174" s="83" t="s">
        <v>806</v>
      </c>
      <c r="C174" s="83" t="s">
        <v>68</v>
      </c>
      <c r="D174" s="112">
        <v>1133014.0</v>
      </c>
      <c r="E174" s="83"/>
      <c r="F174" s="83">
        <v>2.9214211E7</v>
      </c>
      <c r="G174" s="153" t="s">
        <v>807</v>
      </c>
      <c r="H174" s="91" t="s">
        <v>808</v>
      </c>
      <c r="I174" s="83" t="s">
        <v>149</v>
      </c>
      <c r="J174" s="83" t="s">
        <v>150</v>
      </c>
      <c r="K174" s="83" t="s">
        <v>151</v>
      </c>
      <c r="L174" s="83" t="s">
        <v>230</v>
      </c>
      <c r="M174" s="82" t="str">
        <f>IFERROR(__xludf.DUMMYFUNCTION("IFERROR(VLOOKUP(D174,
IMPORTRANGE(""https://docs.google.com/spreadsheets/d/1MjHtlUikwobi2MaWJgy7tfLeBmhj1u-dRFRs_8GwSoA/edit#gid=0"",""Gestores Escolares!D7:J""),3,0),""VERIFICAR CÓD SEC"")"),"CHARLES ROBERTO MEDEIROS SANTANA PAIVA")</f>
        <v>CHARLES ROBERTO MEDEIROS SANTANA PAIVA</v>
      </c>
      <c r="N174" s="82" t="str">
        <f>IFERROR(__xludf.DUMMYFUNCTION("IFERROR(VLOOKUP(D174,
IMPORTRANGE(""https://docs.google.com/spreadsheets/d/1MjHtlUikwobi2MaWJgy7tfLeBmhj1u-dRFRs_8GwSoA/edit#gid=0"",""Gestores Escolares!D7:J""),4,0),""VERIFICAR CÓD SEC"")"),"(75) 9 9298-0059")</f>
        <v>(75) 9 9298-0059</v>
      </c>
      <c r="O174" s="82" t="str">
        <f>IFERROR(__xludf.DUMMYFUNCTION("IFERROR(VLOOKUP(D174,
IMPORTRANGE(""https://docs.google.com/spreadsheets/d/1MjHtlUikwobi2MaWJgy7tfLeBmhj1u-dRFRs_8GwSoA/edit#gid=0"",""Gestores Escolares!D7:J""),6,0),""VERIFICAR CÓD SEC"")"),"LUAN ANJOS SOUZA")</f>
        <v>LUAN ANJOS SOUZA</v>
      </c>
      <c r="P174" s="82" t="str">
        <f>IFERROR(__xludf.DUMMYFUNCTION("IFERROR(VLOOKUP(D174,
IMPORTRANGE(""https://docs.google.com/spreadsheets/d/1MjHtlUikwobi2MaWJgy7tfLeBmhj1u-dRFRs_8GwSoA/edit#gid=0"",""Gestores Escolares!D7:J""),7,0),""VERIFICAR CÓD SEC"")"),"(75) 9 9924-5798")</f>
        <v>(75) 9 9924-5798</v>
      </c>
      <c r="Q174" s="82" t="str">
        <f>IFERROR(__xludf.DUMMYFUNCTION("IFERROR(VLOOKUP(D174,
IMPORTRANGE(""https://docs.google.com/spreadsheets/d/1MjHtlUikwobi2MaWJgy7tfLeBmhj1u-dRFRs_8GwSoA/edit#gid=0"",""Gestores Escolares!D7:m""),9,0),""VERIFICAR CÓD SEC"")"),"")</f>
        <v/>
      </c>
      <c r="R174" s="82" t="str">
        <f>IFERROR(__xludf.DUMMYFUNCTION("IFERROR(VLOOKUP(D174,
IMPORTRANGE(""https://docs.google.com/spreadsheets/d/1MjHtlUikwobi2MaWJgy7tfLeBmhj1u-dRFRs_8GwSoA/edit#gid=0"",""Gestores Escolares!D7:m""),10,0),""VERIFICAR CÓD SEC"")"),"")</f>
        <v/>
      </c>
      <c r="S174" s="82"/>
      <c r="T174" s="138">
        <v>9.0</v>
      </c>
      <c r="U174" s="145" t="s">
        <v>2127</v>
      </c>
      <c r="V174" s="106">
        <v>0.0</v>
      </c>
      <c r="W174" s="107">
        <v>0.0</v>
      </c>
      <c r="X174" s="107">
        <v>0.0</v>
      </c>
      <c r="Y174" s="107">
        <v>0.0</v>
      </c>
      <c r="Z174" s="80">
        <f t="shared" si="1"/>
        <v>0</v>
      </c>
      <c r="AA174" s="106">
        <v>0.0</v>
      </c>
      <c r="AB174" s="107">
        <v>0.0</v>
      </c>
      <c r="AC174" s="107">
        <v>0.0</v>
      </c>
      <c r="AD174" s="107">
        <v>0.0</v>
      </c>
      <c r="AE174" s="80">
        <f t="shared" si="2"/>
        <v>0</v>
      </c>
      <c r="AF174" s="140">
        <v>0.0</v>
      </c>
      <c r="AG174" s="109">
        <v>0.0</v>
      </c>
      <c r="AH174" s="109">
        <v>0.0</v>
      </c>
      <c r="AI174" s="141">
        <v>350.0</v>
      </c>
      <c r="AJ174" s="80">
        <f t="shared" si="3"/>
        <v>350</v>
      </c>
      <c r="AK174" s="140">
        <v>0.0</v>
      </c>
      <c r="AL174" s="109">
        <v>0.0</v>
      </c>
      <c r="AM174" s="141">
        <v>0.0</v>
      </c>
      <c r="AN174" s="80">
        <f t="shared" si="4"/>
        <v>0</v>
      </c>
      <c r="AO174" s="140">
        <v>0.0</v>
      </c>
      <c r="AP174" s="109">
        <v>0.0</v>
      </c>
      <c r="AQ174" s="109">
        <v>85.0</v>
      </c>
      <c r="AR174" s="80">
        <f t="shared" si="5"/>
        <v>85</v>
      </c>
      <c r="AS174" s="110">
        <v>0.0</v>
      </c>
      <c r="AT174" s="110">
        <v>14.0</v>
      </c>
      <c r="AU174" s="110">
        <v>0.0</v>
      </c>
      <c r="AV174" s="142">
        <v>27.0</v>
      </c>
      <c r="AW174" s="80">
        <f t="shared" si="6"/>
        <v>41</v>
      </c>
      <c r="AX174" s="113">
        <f t="shared" si="7"/>
        <v>476</v>
      </c>
      <c r="AY174" s="117">
        <f t="shared" si="8"/>
        <v>391</v>
      </c>
      <c r="AZ174" s="120">
        <f t="shared" si="9"/>
        <v>85</v>
      </c>
      <c r="BA174" s="115">
        <v>0.0</v>
      </c>
      <c r="BB174" s="89">
        <f t="shared" si="10"/>
        <v>476</v>
      </c>
      <c r="BC174" s="132" t="s">
        <v>178</v>
      </c>
      <c r="BD174" s="132" t="s">
        <v>178</v>
      </c>
      <c r="BE174" s="132" t="s">
        <v>178</v>
      </c>
      <c r="BF174" s="156"/>
      <c r="BG174" s="83">
        <v>1133014.0</v>
      </c>
      <c r="BH174" s="137" t="s">
        <v>809</v>
      </c>
      <c r="BI174" s="112">
        <v>12.0</v>
      </c>
      <c r="BJ174" s="98" t="s">
        <v>162</v>
      </c>
      <c r="BK174" s="99">
        <f t="shared" si="11"/>
        <v>377</v>
      </c>
      <c r="BL174" s="99">
        <f t="shared" si="12"/>
        <v>14</v>
      </c>
      <c r="BM174" s="99" t="str">
        <f>IFERROR(__xludf.DUMMYFUNCTION("IFERROR(VLOOKUP(BG174,IMPORTRANGE(""https://docs.google.com/spreadsheets/d/1juPI-Fb8LD0YtltB2mlGEnp_R3UVu1t3wSFPzgCyHXE/edit?gid=0#gid=0"",""GERAL!A2:C""),3,0),""-"")"),"-")</f>
        <v>-</v>
      </c>
    </row>
    <row r="175" ht="15.75" customHeight="1">
      <c r="A175" s="111" t="s">
        <v>285</v>
      </c>
      <c r="B175" s="83" t="s">
        <v>806</v>
      </c>
      <c r="C175" s="83" t="s">
        <v>164</v>
      </c>
      <c r="D175" s="112">
        <v>1133014.0</v>
      </c>
      <c r="E175" s="146">
        <v>1179722.0</v>
      </c>
      <c r="F175" s="83">
        <v>2.9214211E7</v>
      </c>
      <c r="G175" s="119" t="s">
        <v>810</v>
      </c>
      <c r="H175" s="108" t="s">
        <v>811</v>
      </c>
      <c r="I175" s="186"/>
      <c r="J175" s="83" t="s">
        <v>767</v>
      </c>
      <c r="K175" s="83" t="s">
        <v>168</v>
      </c>
      <c r="L175" s="115" t="s">
        <v>512</v>
      </c>
      <c r="M175" s="82" t="str">
        <f>IFERROR(__xludf.DUMMYFUNCTION("IFERROR(VLOOKUP(D175,
IMPORTRANGE(""https://docs.google.com/spreadsheets/d/1MjHtlUikwobi2MaWJgy7tfLeBmhj1u-dRFRs_8GwSoA/edit#gid=0"",""Gestores Escolares!D7:J""),3,0),""VERIFICAR CÓD SEC"")"),"CHARLES ROBERTO MEDEIROS SANTANA PAIVA")</f>
        <v>CHARLES ROBERTO MEDEIROS SANTANA PAIVA</v>
      </c>
      <c r="N175" s="82" t="str">
        <f>IFERROR(__xludf.DUMMYFUNCTION("IFERROR(VLOOKUP(D175,
IMPORTRANGE(""https://docs.google.com/spreadsheets/d/1MjHtlUikwobi2MaWJgy7tfLeBmhj1u-dRFRs_8GwSoA/edit#gid=0"",""Gestores Escolares!D7:J""),4,0),""VERIFICAR CÓD SEC"")"),"(75) 9 9298-0059")</f>
        <v>(75) 9 9298-0059</v>
      </c>
      <c r="O175" s="82" t="str">
        <f>IFERROR(__xludf.DUMMYFUNCTION("IFERROR(VLOOKUP(D175,
IMPORTRANGE(""https://docs.google.com/spreadsheets/d/1MjHtlUikwobi2MaWJgy7tfLeBmhj1u-dRFRs_8GwSoA/edit#gid=0"",""Gestores Escolares!D7:J""),6,0),""VERIFICAR CÓD SEC"")"),"LUAN ANJOS SOUZA")</f>
        <v>LUAN ANJOS SOUZA</v>
      </c>
      <c r="P175" s="82" t="str">
        <f>IFERROR(__xludf.DUMMYFUNCTION("IFERROR(VLOOKUP(D175,
IMPORTRANGE(""https://docs.google.com/spreadsheets/d/1MjHtlUikwobi2MaWJgy7tfLeBmhj1u-dRFRs_8GwSoA/edit#gid=0"",""Gestores Escolares!D7:J""),7,0),""VERIFICAR CÓD SEC"")"),"(75) 9 9924-5798")</f>
        <v>(75) 9 9924-5798</v>
      </c>
      <c r="Q175" s="82" t="str">
        <f>IFERROR(__xludf.DUMMYFUNCTION("IFERROR(VLOOKUP(D175,
IMPORTRANGE(""https://docs.google.com/spreadsheets/d/1MjHtlUikwobi2MaWJgy7tfLeBmhj1u-dRFRs_8GwSoA/edit#gid=0"",""Gestores Escolares!D7:m""),9,0),""VERIFICAR CÓD SEC"")"),"")</f>
        <v/>
      </c>
      <c r="R175" s="82" t="str">
        <f>IFERROR(__xludf.DUMMYFUNCTION("IFERROR(VLOOKUP(D175,
IMPORTRANGE(""https://docs.google.com/spreadsheets/d/1MjHtlUikwobi2MaWJgy7tfLeBmhj1u-dRFRs_8GwSoA/edit#gid=0"",""Gestores Escolares!D7:m""),10,0),""VERIFICAR CÓD SEC"")"),"")</f>
        <v/>
      </c>
      <c r="S175" s="82"/>
      <c r="T175" s="138"/>
      <c r="U175" s="145">
        <v>3.0</v>
      </c>
      <c r="V175" s="106">
        <v>0.0</v>
      </c>
      <c r="W175" s="107">
        <v>0.0</v>
      </c>
      <c r="X175" s="107">
        <v>0.0</v>
      </c>
      <c r="Y175" s="107">
        <v>0.0</v>
      </c>
      <c r="Z175" s="80">
        <f t="shared" si="1"/>
        <v>0</v>
      </c>
      <c r="AA175" s="106">
        <v>0.0</v>
      </c>
      <c r="AB175" s="107">
        <v>0.0</v>
      </c>
      <c r="AC175" s="107">
        <v>0.0</v>
      </c>
      <c r="AD175" s="107">
        <v>0.0</v>
      </c>
      <c r="AE175" s="80">
        <f t="shared" si="2"/>
        <v>0</v>
      </c>
      <c r="AF175" s="140">
        <v>0.0</v>
      </c>
      <c r="AG175" s="109">
        <v>59.0</v>
      </c>
      <c r="AH175" s="109">
        <v>0.0</v>
      </c>
      <c r="AI175" s="141">
        <v>0.0</v>
      </c>
      <c r="AJ175" s="80">
        <f t="shared" si="3"/>
        <v>59</v>
      </c>
      <c r="AK175" s="140">
        <v>0.0</v>
      </c>
      <c r="AL175" s="109">
        <v>0.0</v>
      </c>
      <c r="AM175" s="141">
        <v>0.0</v>
      </c>
      <c r="AN175" s="80">
        <f t="shared" si="4"/>
        <v>0</v>
      </c>
      <c r="AO175" s="140">
        <v>0.0</v>
      </c>
      <c r="AP175" s="109">
        <v>0.0</v>
      </c>
      <c r="AQ175" s="109">
        <v>0.0</v>
      </c>
      <c r="AR175" s="80">
        <f t="shared" si="5"/>
        <v>0</v>
      </c>
      <c r="AS175" s="110">
        <v>0.0</v>
      </c>
      <c r="AT175" s="110">
        <v>0.0</v>
      </c>
      <c r="AU175" s="110">
        <v>0.0</v>
      </c>
      <c r="AV175" s="142">
        <v>0.0</v>
      </c>
      <c r="AW175" s="80">
        <f t="shared" si="6"/>
        <v>0</v>
      </c>
      <c r="AX175" s="113">
        <f t="shared" si="7"/>
        <v>59</v>
      </c>
      <c r="AY175" s="117">
        <f t="shared" si="8"/>
        <v>59</v>
      </c>
      <c r="AZ175" s="120">
        <f t="shared" si="9"/>
        <v>0</v>
      </c>
      <c r="BA175" s="115">
        <v>0.0</v>
      </c>
      <c r="BB175" s="89">
        <f t="shared" si="10"/>
        <v>59</v>
      </c>
      <c r="BC175" s="132" t="s">
        <v>178</v>
      </c>
      <c r="BD175" s="132" t="s">
        <v>178</v>
      </c>
      <c r="BE175" s="132" t="s">
        <v>178</v>
      </c>
      <c r="BF175" s="156"/>
      <c r="BG175" s="83">
        <v>1179722.0</v>
      </c>
      <c r="BH175" s="144"/>
      <c r="BI175" s="112">
        <v>3.0</v>
      </c>
      <c r="BJ175" s="98" t="s">
        <v>155</v>
      </c>
      <c r="BK175" s="99">
        <f t="shared" si="11"/>
        <v>0</v>
      </c>
      <c r="BL175" s="99">
        <f t="shared" si="12"/>
        <v>59</v>
      </c>
      <c r="BM175" s="99" t="str">
        <f>IFERROR(__xludf.DUMMYFUNCTION("IFERROR(VLOOKUP(BG175,IMPORTRANGE(""https://docs.google.com/spreadsheets/d/1juPI-Fb8LD0YtltB2mlGEnp_R3UVu1t3wSFPzgCyHXE/edit?gid=0#gid=0"",""GERAL!A2:C""),3,0),""-"")"),"-")</f>
        <v>-</v>
      </c>
    </row>
    <row r="176" ht="15.75" customHeight="1">
      <c r="A176" s="111" t="s">
        <v>285</v>
      </c>
      <c r="B176" s="83" t="s">
        <v>812</v>
      </c>
      <c r="C176" s="83" t="s">
        <v>68</v>
      </c>
      <c r="D176" s="112">
        <v>1178103.0</v>
      </c>
      <c r="E176" s="83"/>
      <c r="F176" s="83">
        <v>2.9221935E7</v>
      </c>
      <c r="G176" s="153" t="s">
        <v>813</v>
      </c>
      <c r="H176" s="91" t="s">
        <v>814</v>
      </c>
      <c r="I176" s="83" t="s">
        <v>149</v>
      </c>
      <c r="J176" s="83" t="s">
        <v>150</v>
      </c>
      <c r="K176" s="83" t="s">
        <v>151</v>
      </c>
      <c r="L176" s="83" t="s">
        <v>152</v>
      </c>
      <c r="M176" s="82" t="str">
        <f>IFERROR(__xludf.DUMMYFUNCTION("IFERROR(VLOOKUP(D176,
IMPORTRANGE(""https://docs.google.com/spreadsheets/d/1MjHtlUikwobi2MaWJgy7tfLeBmhj1u-dRFRs_8GwSoA/edit#gid=0"",""Gestores Escolares!D7:J""),3,0),""VERIFICAR CÓD SEC"")"),"RUBEM SANTOS FIGUEREDO")</f>
        <v>RUBEM SANTOS FIGUEREDO</v>
      </c>
      <c r="N176" s="82" t="str">
        <f>IFERROR(__xludf.DUMMYFUNCTION("IFERROR(VLOOKUP(D176,
IMPORTRANGE(""https://docs.google.com/spreadsheets/d/1MjHtlUikwobi2MaWJgy7tfLeBmhj1u-dRFRs_8GwSoA/edit#gid=0"",""Gestores Escolares!D7:J""),4,0),""VERIFICAR CÓD SEC"")"),"(75) 9 9811-6237")</f>
        <v>(75) 9 9811-6237</v>
      </c>
      <c r="O176" s="82" t="str">
        <f>IFERROR(__xludf.DUMMYFUNCTION("IFERROR(VLOOKUP(D176,
IMPORTRANGE(""https://docs.google.com/spreadsheets/d/1MjHtlUikwobi2MaWJgy7tfLeBmhj1u-dRFRs_8GwSoA/edit#gid=0"",""Gestores Escolares!D7:J""),6,0),""VERIFICAR CÓD SEC"")"),"GLEIGSON DE SOUSA ALVES")</f>
        <v>GLEIGSON DE SOUSA ALVES</v>
      </c>
      <c r="P176" s="82" t="str">
        <f>IFERROR(__xludf.DUMMYFUNCTION("IFERROR(VLOOKUP(D176,
IMPORTRANGE(""https://docs.google.com/spreadsheets/d/1MjHtlUikwobi2MaWJgy7tfLeBmhj1u-dRFRs_8GwSoA/edit#gid=0"",""Gestores Escolares!D7:J""),7,0),""VERIFICAR CÓD SEC"")"),"(75) 9 9957-3697")</f>
        <v>(75) 9 9957-3697</v>
      </c>
      <c r="Q176" s="82" t="str">
        <f>IFERROR(__xludf.DUMMYFUNCTION("IFERROR(VLOOKUP(D176,
IMPORTRANGE(""https://docs.google.com/spreadsheets/d/1MjHtlUikwobi2MaWJgy7tfLeBmhj1u-dRFRs_8GwSoA/edit#gid=0"",""Gestores Escolares!D7:m""),9,0),""VERIFICAR CÓD SEC"")"),"")</f>
        <v/>
      </c>
      <c r="R176" s="82" t="str">
        <f>IFERROR(__xludf.DUMMYFUNCTION("IFERROR(VLOOKUP(D176,
IMPORTRANGE(""https://docs.google.com/spreadsheets/d/1MjHtlUikwobi2MaWJgy7tfLeBmhj1u-dRFRs_8GwSoA/edit#gid=0"",""Gestores Escolares!D7:m""),10,0),""VERIFICAR CÓD SEC"")"),"")</f>
        <v/>
      </c>
      <c r="S176" s="82"/>
      <c r="T176" s="138">
        <v>10.0</v>
      </c>
      <c r="U176" s="145">
        <v>10.0</v>
      </c>
      <c r="V176" s="106">
        <v>0.0</v>
      </c>
      <c r="W176" s="107">
        <v>0.0</v>
      </c>
      <c r="X176" s="107">
        <v>0.0</v>
      </c>
      <c r="Y176" s="107">
        <v>0.0</v>
      </c>
      <c r="Z176" s="80">
        <f t="shared" si="1"/>
        <v>0</v>
      </c>
      <c r="AA176" s="106">
        <v>0.0</v>
      </c>
      <c r="AB176" s="107">
        <v>0.0</v>
      </c>
      <c r="AC176" s="107">
        <v>0.0</v>
      </c>
      <c r="AD176" s="107">
        <v>0.0</v>
      </c>
      <c r="AE176" s="80">
        <f t="shared" si="2"/>
        <v>0</v>
      </c>
      <c r="AF176" s="140">
        <v>50.0</v>
      </c>
      <c r="AG176" s="109">
        <v>24.0</v>
      </c>
      <c r="AH176" s="109">
        <v>0.0</v>
      </c>
      <c r="AI176" s="141">
        <v>144.0</v>
      </c>
      <c r="AJ176" s="80">
        <f t="shared" si="3"/>
        <v>218</v>
      </c>
      <c r="AK176" s="140">
        <v>0.0</v>
      </c>
      <c r="AL176" s="109">
        <v>0.0</v>
      </c>
      <c r="AM176" s="141">
        <v>0.0</v>
      </c>
      <c r="AN176" s="80">
        <f t="shared" si="4"/>
        <v>0</v>
      </c>
      <c r="AO176" s="140">
        <v>0.0</v>
      </c>
      <c r="AP176" s="109">
        <v>0.0</v>
      </c>
      <c r="AQ176" s="109">
        <v>157.0</v>
      </c>
      <c r="AR176" s="80">
        <f t="shared" si="5"/>
        <v>157</v>
      </c>
      <c r="AS176" s="110">
        <v>0.0</v>
      </c>
      <c r="AT176" s="110">
        <v>0.0</v>
      </c>
      <c r="AU176" s="110">
        <v>0.0</v>
      </c>
      <c r="AV176" s="142">
        <v>123.0</v>
      </c>
      <c r="AW176" s="80">
        <f t="shared" si="6"/>
        <v>123</v>
      </c>
      <c r="AX176" s="113">
        <f t="shared" si="7"/>
        <v>498</v>
      </c>
      <c r="AY176" s="117">
        <f t="shared" si="8"/>
        <v>341</v>
      </c>
      <c r="AZ176" s="120">
        <f t="shared" si="9"/>
        <v>157</v>
      </c>
      <c r="BA176" s="115">
        <v>0.0</v>
      </c>
      <c r="BB176" s="89">
        <f t="shared" si="10"/>
        <v>498</v>
      </c>
      <c r="BC176" s="132" t="s">
        <v>178</v>
      </c>
      <c r="BD176" s="132" t="s">
        <v>178</v>
      </c>
      <c r="BE176" s="132" t="s">
        <v>178</v>
      </c>
      <c r="BF176" s="123"/>
      <c r="BG176" s="83">
        <v>1178103.0</v>
      </c>
      <c r="BH176" s="98" t="s">
        <v>815</v>
      </c>
      <c r="BI176" s="112">
        <v>8.0</v>
      </c>
      <c r="BJ176" s="98" t="s">
        <v>162</v>
      </c>
      <c r="BK176" s="99">
        <f t="shared" si="11"/>
        <v>267</v>
      </c>
      <c r="BL176" s="99">
        <f t="shared" si="12"/>
        <v>74</v>
      </c>
      <c r="BM176" s="99" t="str">
        <f>IFERROR(__xludf.DUMMYFUNCTION("IFERROR(VLOOKUP(BG176,IMPORTRANGE(""https://docs.google.com/spreadsheets/d/1juPI-Fb8LD0YtltB2mlGEnp_R3UVu1t3wSFPzgCyHXE/edit?gid=0#gid=0"",""GERAL!A2:C""),3,0),""-"")"),"-")</f>
        <v>-</v>
      </c>
    </row>
    <row r="177" ht="15.75" customHeight="1">
      <c r="A177" s="111" t="s">
        <v>285</v>
      </c>
      <c r="B177" s="83" t="s">
        <v>812</v>
      </c>
      <c r="C177" s="83" t="s">
        <v>164</v>
      </c>
      <c r="D177" s="112">
        <v>1179283.0</v>
      </c>
      <c r="E177" s="83">
        <v>1179158.0</v>
      </c>
      <c r="F177" s="98">
        <v>2.9461502E7</v>
      </c>
      <c r="G177" s="114" t="s">
        <v>816</v>
      </c>
      <c r="H177" s="91" t="s">
        <v>817</v>
      </c>
      <c r="I177" s="83" t="s">
        <v>149</v>
      </c>
      <c r="J177" s="83" t="s">
        <v>694</v>
      </c>
      <c r="K177" s="83" t="s">
        <v>168</v>
      </c>
      <c r="L177" s="83" t="s">
        <v>169</v>
      </c>
      <c r="M177" s="82" t="str">
        <f>IFERROR(__xludf.DUMMYFUNCTION("IFERROR(VLOOKUP(D177,
IMPORTRANGE(""https://docs.google.com/spreadsheets/d/1MjHtlUikwobi2MaWJgy7tfLeBmhj1u-dRFRs_8GwSoA/edit#gid=0"",""Gestores Escolares!D7:J""),3,0),""VERIFICAR CÓD SEC"")"),"LAIZA BRANDAO MIRANDA")</f>
        <v>LAIZA BRANDAO MIRANDA</v>
      </c>
      <c r="N177" s="82" t="str">
        <f>IFERROR(__xludf.DUMMYFUNCTION("IFERROR(VLOOKUP(D177,
IMPORTRANGE(""https://docs.google.com/spreadsheets/d/1MjHtlUikwobi2MaWJgy7tfLeBmhj1u-dRFRs_8GwSoA/edit#gid=0"",""Gestores Escolares!D7:J""),4,0),""VERIFICAR CÓD SEC"")"),"(75) 9 9966-5253")</f>
        <v>(75) 9 9966-5253</v>
      </c>
      <c r="O177" s="82" t="str">
        <f>IFERROR(__xludf.DUMMYFUNCTION("IFERROR(VLOOKUP(D177,
IMPORTRANGE(""https://docs.google.com/spreadsheets/d/1MjHtlUikwobi2MaWJgy7tfLeBmhj1u-dRFRs_8GwSoA/edit#gid=0"",""Gestores Escolares!D7:J""),6,0),""VERIFICAR CÓD SEC"")"),"ROSANA ISABEL DO R. TELES")</f>
        <v>ROSANA ISABEL DO R. TELES</v>
      </c>
      <c r="P177" s="82" t="str">
        <f>IFERROR(__xludf.DUMMYFUNCTION("IFERROR(VLOOKUP(D177,
IMPORTRANGE(""https://docs.google.com/spreadsheets/d/1MjHtlUikwobi2MaWJgy7tfLeBmhj1u-dRFRs_8GwSoA/edit#gid=0"",""Gestores Escolares!D7:J""),7,0),""VERIFICAR CÓD SEC"")"),"(75) 9 9966-4696")</f>
        <v>(75) 9 9966-4696</v>
      </c>
      <c r="Q177" s="82" t="str">
        <f>IFERROR(__xludf.DUMMYFUNCTION("IFERROR(VLOOKUP(D177,
IMPORTRANGE(""https://docs.google.com/spreadsheets/d/1MjHtlUikwobi2MaWJgy7tfLeBmhj1u-dRFRs_8GwSoA/edit#gid=0"",""Gestores Escolares!D7:m""),9,0),""VERIFICAR CÓD SEC"")"),"MOZART MACEDO XAVIER")</f>
        <v>MOZART MACEDO XAVIER</v>
      </c>
      <c r="R177" s="82" t="str">
        <f>IFERROR(__xludf.DUMMYFUNCTION("IFERROR(VLOOKUP(D177,
IMPORTRANGE(""https://docs.google.com/spreadsheets/d/1MjHtlUikwobi2MaWJgy7tfLeBmhj1u-dRFRs_8GwSoA/edit#gid=0"",""Gestores Escolares!D7:m""),10,0),""VERIFICAR CÓD SEC"")"),"(75) 9 9918-1536")</f>
        <v>(75) 9 9918-1536</v>
      </c>
      <c r="S177" s="82"/>
      <c r="T177" s="138">
        <v>3.0</v>
      </c>
      <c r="U177" s="139">
        <v>3.0</v>
      </c>
      <c r="V177" s="106">
        <v>0.0</v>
      </c>
      <c r="W177" s="107">
        <v>0.0</v>
      </c>
      <c r="X177" s="107">
        <v>0.0</v>
      </c>
      <c r="Y177" s="107">
        <v>0.0</v>
      </c>
      <c r="Z177" s="80">
        <f t="shared" si="1"/>
        <v>0</v>
      </c>
      <c r="AA177" s="106">
        <v>0.0</v>
      </c>
      <c r="AB177" s="107">
        <v>0.0</v>
      </c>
      <c r="AC177" s="107">
        <v>0.0</v>
      </c>
      <c r="AD177" s="107">
        <v>0.0</v>
      </c>
      <c r="AE177" s="80">
        <f t="shared" si="2"/>
        <v>0</v>
      </c>
      <c r="AF177" s="140">
        <v>0.0</v>
      </c>
      <c r="AG177" s="109">
        <v>0.0</v>
      </c>
      <c r="AH177" s="109">
        <v>90.0</v>
      </c>
      <c r="AI177" s="141">
        <v>0.0</v>
      </c>
      <c r="AJ177" s="80">
        <f t="shared" si="3"/>
        <v>90</v>
      </c>
      <c r="AK177" s="140">
        <v>0.0</v>
      </c>
      <c r="AL177" s="109">
        <v>0.0</v>
      </c>
      <c r="AM177" s="141">
        <v>0.0</v>
      </c>
      <c r="AN177" s="80">
        <f t="shared" si="4"/>
        <v>0</v>
      </c>
      <c r="AO177" s="140">
        <v>0.0</v>
      </c>
      <c r="AP177" s="109">
        <v>0.0</v>
      </c>
      <c r="AQ177" s="109">
        <v>0.0</v>
      </c>
      <c r="AR177" s="80">
        <f t="shared" si="5"/>
        <v>0</v>
      </c>
      <c r="AS177" s="110">
        <v>0.0</v>
      </c>
      <c r="AT177" s="110">
        <v>0.0</v>
      </c>
      <c r="AU177" s="110">
        <v>0.0</v>
      </c>
      <c r="AV177" s="142">
        <v>0.0</v>
      </c>
      <c r="AW177" s="80">
        <f t="shared" si="6"/>
        <v>0</v>
      </c>
      <c r="AX177" s="113">
        <f t="shared" si="7"/>
        <v>90</v>
      </c>
      <c r="AY177" s="117">
        <f t="shared" si="8"/>
        <v>0</v>
      </c>
      <c r="AZ177" s="120">
        <f t="shared" si="9"/>
        <v>90</v>
      </c>
      <c r="BA177" s="115">
        <v>0.0</v>
      </c>
      <c r="BB177" s="89">
        <f t="shared" si="10"/>
        <v>90</v>
      </c>
      <c r="BC177" s="132" t="s">
        <v>265</v>
      </c>
      <c r="BD177" s="183" t="s">
        <v>227</v>
      </c>
      <c r="BE177" s="132" t="s">
        <v>178</v>
      </c>
      <c r="BF177" s="156"/>
      <c r="BG177" s="136">
        <v>1179158.0</v>
      </c>
      <c r="BH177" s="144"/>
      <c r="BI177" s="112">
        <v>3.0</v>
      </c>
      <c r="BJ177" s="98" t="s">
        <v>155</v>
      </c>
      <c r="BK177" s="99">
        <f t="shared" si="11"/>
        <v>0</v>
      </c>
      <c r="BL177" s="99">
        <f t="shared" si="12"/>
        <v>0</v>
      </c>
      <c r="BM177" s="99" t="str">
        <f>IFERROR(__xludf.DUMMYFUNCTION("IFERROR(VLOOKUP(BG177,IMPORTRANGE(""https://docs.google.com/spreadsheets/d/1juPI-Fb8LD0YtltB2mlGEnp_R3UVu1t3wSFPzgCyHXE/edit?gid=0#gid=0"",""GERAL!A2:C""),3,0),""-"")"),"QUILOMBOLAS")</f>
        <v>QUILOMBOLAS</v>
      </c>
    </row>
    <row r="178" ht="15.75" customHeight="1">
      <c r="A178" s="111" t="s">
        <v>285</v>
      </c>
      <c r="B178" s="83" t="s">
        <v>812</v>
      </c>
      <c r="C178" s="83" t="s">
        <v>164</v>
      </c>
      <c r="D178" s="112">
        <v>1179283.0</v>
      </c>
      <c r="E178" s="83">
        <v>1179159.0</v>
      </c>
      <c r="F178" s="98">
        <v>2.9461502E7</v>
      </c>
      <c r="G178" s="114" t="s">
        <v>819</v>
      </c>
      <c r="H178" s="91" t="s">
        <v>820</v>
      </c>
      <c r="I178" s="136" t="s">
        <v>821</v>
      </c>
      <c r="J178" s="83" t="s">
        <v>822</v>
      </c>
      <c r="K178" s="83" t="s">
        <v>168</v>
      </c>
      <c r="L178" s="83" t="s">
        <v>169</v>
      </c>
      <c r="M178" s="82" t="str">
        <f>IFERROR(__xludf.DUMMYFUNCTION("IFERROR(VLOOKUP(D178,
IMPORTRANGE(""https://docs.google.com/spreadsheets/d/1MjHtlUikwobi2MaWJgy7tfLeBmhj1u-dRFRs_8GwSoA/edit#gid=0"",""Gestores Escolares!D7:J""),3,0),""VERIFICAR CÓD SEC"")"),"LAIZA BRANDAO MIRANDA")</f>
        <v>LAIZA BRANDAO MIRANDA</v>
      </c>
      <c r="N178" s="82" t="str">
        <f>IFERROR(__xludf.DUMMYFUNCTION("IFERROR(VLOOKUP(D178,
IMPORTRANGE(""https://docs.google.com/spreadsheets/d/1MjHtlUikwobi2MaWJgy7tfLeBmhj1u-dRFRs_8GwSoA/edit#gid=0"",""Gestores Escolares!D7:J""),4,0),""VERIFICAR CÓD SEC"")"),"(75) 9 9966-5253")</f>
        <v>(75) 9 9966-5253</v>
      </c>
      <c r="O178" s="82" t="str">
        <f>IFERROR(__xludf.DUMMYFUNCTION("IFERROR(VLOOKUP(D178,
IMPORTRANGE(""https://docs.google.com/spreadsheets/d/1MjHtlUikwobi2MaWJgy7tfLeBmhj1u-dRFRs_8GwSoA/edit#gid=0"",""Gestores Escolares!D7:J""),6,0),""VERIFICAR CÓD SEC"")"),"ROSANA ISABEL DO R. TELES")</f>
        <v>ROSANA ISABEL DO R. TELES</v>
      </c>
      <c r="P178" s="82" t="str">
        <f>IFERROR(__xludf.DUMMYFUNCTION("IFERROR(VLOOKUP(D178,
IMPORTRANGE(""https://docs.google.com/spreadsheets/d/1MjHtlUikwobi2MaWJgy7tfLeBmhj1u-dRFRs_8GwSoA/edit#gid=0"",""Gestores Escolares!D7:J""),7,0),""VERIFICAR CÓD SEC"")"),"(75) 9 9966-4696")</f>
        <v>(75) 9 9966-4696</v>
      </c>
      <c r="Q178" s="82" t="str">
        <f>IFERROR(__xludf.DUMMYFUNCTION("IFERROR(VLOOKUP(D178,
IMPORTRANGE(""https://docs.google.com/spreadsheets/d/1MjHtlUikwobi2MaWJgy7tfLeBmhj1u-dRFRs_8GwSoA/edit#gid=0"",""Gestores Escolares!D7:m""),9,0),""VERIFICAR CÓD SEC"")"),"MOZART MACEDO XAVIER")</f>
        <v>MOZART MACEDO XAVIER</v>
      </c>
      <c r="R178" s="82" t="str">
        <f>IFERROR(__xludf.DUMMYFUNCTION("IFERROR(VLOOKUP(D178,
IMPORTRANGE(""https://docs.google.com/spreadsheets/d/1MjHtlUikwobi2MaWJgy7tfLeBmhj1u-dRFRs_8GwSoA/edit#gid=0"",""Gestores Escolares!D7:m""),10,0),""VERIFICAR CÓD SEC"")"),"(75) 9 9918-1536")</f>
        <v>(75) 9 9918-1536</v>
      </c>
      <c r="S178" s="82"/>
      <c r="T178" s="138">
        <v>3.0</v>
      </c>
      <c r="U178" s="139">
        <v>3.0</v>
      </c>
      <c r="V178" s="106">
        <v>0.0</v>
      </c>
      <c r="W178" s="107">
        <v>0.0</v>
      </c>
      <c r="X178" s="107">
        <v>0.0</v>
      </c>
      <c r="Y178" s="107">
        <v>0.0</v>
      </c>
      <c r="Z178" s="80">
        <f t="shared" si="1"/>
        <v>0</v>
      </c>
      <c r="AA178" s="106">
        <v>0.0</v>
      </c>
      <c r="AB178" s="107">
        <v>0.0</v>
      </c>
      <c r="AC178" s="107">
        <v>0.0</v>
      </c>
      <c r="AD178" s="107">
        <v>0.0</v>
      </c>
      <c r="AE178" s="80">
        <f t="shared" si="2"/>
        <v>0</v>
      </c>
      <c r="AF178" s="140">
        <v>0.0</v>
      </c>
      <c r="AG178" s="109">
        <v>0.0</v>
      </c>
      <c r="AH178" s="109">
        <v>94.0</v>
      </c>
      <c r="AI178" s="141">
        <v>0.0</v>
      </c>
      <c r="AJ178" s="80">
        <f t="shared" si="3"/>
        <v>94</v>
      </c>
      <c r="AK178" s="140">
        <v>0.0</v>
      </c>
      <c r="AL178" s="109">
        <v>0.0</v>
      </c>
      <c r="AM178" s="141">
        <v>0.0</v>
      </c>
      <c r="AN178" s="80">
        <f t="shared" si="4"/>
        <v>0</v>
      </c>
      <c r="AO178" s="140">
        <v>0.0</v>
      </c>
      <c r="AP178" s="109">
        <v>0.0</v>
      </c>
      <c r="AQ178" s="109">
        <v>0.0</v>
      </c>
      <c r="AR178" s="80">
        <f t="shared" si="5"/>
        <v>0</v>
      </c>
      <c r="AS178" s="110">
        <v>0.0</v>
      </c>
      <c r="AT178" s="110">
        <v>0.0</v>
      </c>
      <c r="AU178" s="110">
        <v>0.0</v>
      </c>
      <c r="AV178" s="142">
        <v>0.0</v>
      </c>
      <c r="AW178" s="80">
        <f t="shared" si="6"/>
        <v>0</v>
      </c>
      <c r="AX178" s="113">
        <f t="shared" si="7"/>
        <v>94</v>
      </c>
      <c r="AY178" s="117">
        <f t="shared" si="8"/>
        <v>0</v>
      </c>
      <c r="AZ178" s="120">
        <f t="shared" si="9"/>
        <v>94</v>
      </c>
      <c r="BA178" s="115">
        <v>0.0</v>
      </c>
      <c r="BB178" s="89">
        <f t="shared" si="10"/>
        <v>94</v>
      </c>
      <c r="BC178" s="132" t="s">
        <v>265</v>
      </c>
      <c r="BD178" s="183" t="s">
        <v>227</v>
      </c>
      <c r="BE178" s="132" t="s">
        <v>178</v>
      </c>
      <c r="BF178" s="156"/>
      <c r="BG178" s="83">
        <v>1179159.0</v>
      </c>
      <c r="BH178" s="144"/>
      <c r="BI178" s="112">
        <v>3.0</v>
      </c>
      <c r="BJ178" s="98" t="s">
        <v>155</v>
      </c>
      <c r="BK178" s="99">
        <f t="shared" si="11"/>
        <v>0</v>
      </c>
      <c r="BL178" s="99">
        <f t="shared" si="12"/>
        <v>0</v>
      </c>
      <c r="BM178" s="99" t="str">
        <f>IFERROR(__xludf.DUMMYFUNCTION("IFERROR(VLOOKUP(BG178,IMPORTRANGE(""https://docs.google.com/spreadsheets/d/1juPI-Fb8LD0YtltB2mlGEnp_R3UVu1t3wSFPzgCyHXE/edit?gid=0#gid=0"",""GERAL!A2:C""),3,0),""-"")"),"QUILOMBOLAS")</f>
        <v>QUILOMBOLAS</v>
      </c>
    </row>
    <row r="179" ht="15.75" customHeight="1">
      <c r="A179" s="111" t="s">
        <v>285</v>
      </c>
      <c r="B179" s="83" t="s">
        <v>812</v>
      </c>
      <c r="C179" s="83" t="s">
        <v>164</v>
      </c>
      <c r="D179" s="112">
        <v>1179283.0</v>
      </c>
      <c r="E179" s="83">
        <v>1179157.0</v>
      </c>
      <c r="F179" s="98">
        <v>2.9461502E7</v>
      </c>
      <c r="G179" s="114" t="s">
        <v>823</v>
      </c>
      <c r="H179" s="91" t="s">
        <v>824</v>
      </c>
      <c r="I179" s="136" t="s">
        <v>825</v>
      </c>
      <c r="J179" s="83" t="s">
        <v>310</v>
      </c>
      <c r="K179" s="83" t="s">
        <v>168</v>
      </c>
      <c r="L179" s="83" t="s">
        <v>169</v>
      </c>
      <c r="M179" s="82" t="str">
        <f>IFERROR(__xludf.DUMMYFUNCTION("IFERROR(VLOOKUP(D179,
IMPORTRANGE(""https://docs.google.com/spreadsheets/d/1MjHtlUikwobi2MaWJgy7tfLeBmhj1u-dRFRs_8GwSoA/edit#gid=0"",""Gestores Escolares!D7:J""),3,0),""VERIFICAR CÓD SEC"")"),"LAIZA BRANDAO MIRANDA")</f>
        <v>LAIZA BRANDAO MIRANDA</v>
      </c>
      <c r="N179" s="82" t="str">
        <f>IFERROR(__xludf.DUMMYFUNCTION("IFERROR(VLOOKUP(D179,
IMPORTRANGE(""https://docs.google.com/spreadsheets/d/1MjHtlUikwobi2MaWJgy7tfLeBmhj1u-dRFRs_8GwSoA/edit#gid=0"",""Gestores Escolares!D7:J""),4,0),""VERIFICAR CÓD SEC"")"),"(75) 9 9966-5253")</f>
        <v>(75) 9 9966-5253</v>
      </c>
      <c r="O179" s="82" t="str">
        <f>IFERROR(__xludf.DUMMYFUNCTION("IFERROR(VLOOKUP(D179,
IMPORTRANGE(""https://docs.google.com/spreadsheets/d/1MjHtlUikwobi2MaWJgy7tfLeBmhj1u-dRFRs_8GwSoA/edit#gid=0"",""Gestores Escolares!D7:J""),6,0),""VERIFICAR CÓD SEC"")"),"ROSANA ISABEL DO R. TELES")</f>
        <v>ROSANA ISABEL DO R. TELES</v>
      </c>
      <c r="P179" s="82" t="str">
        <f>IFERROR(__xludf.DUMMYFUNCTION("IFERROR(VLOOKUP(D179,
IMPORTRANGE(""https://docs.google.com/spreadsheets/d/1MjHtlUikwobi2MaWJgy7tfLeBmhj1u-dRFRs_8GwSoA/edit#gid=0"",""Gestores Escolares!D7:J""),7,0),""VERIFICAR CÓD SEC"")"),"(75) 9 9966-4696")</f>
        <v>(75) 9 9966-4696</v>
      </c>
      <c r="Q179" s="82" t="str">
        <f>IFERROR(__xludf.DUMMYFUNCTION("IFERROR(VLOOKUP(D179,
IMPORTRANGE(""https://docs.google.com/spreadsheets/d/1MjHtlUikwobi2MaWJgy7tfLeBmhj1u-dRFRs_8GwSoA/edit#gid=0"",""Gestores Escolares!D7:m""),9,0),""VERIFICAR CÓD SEC"")"),"MOZART MACEDO XAVIER")</f>
        <v>MOZART MACEDO XAVIER</v>
      </c>
      <c r="R179" s="82" t="str">
        <f>IFERROR(__xludf.DUMMYFUNCTION("IFERROR(VLOOKUP(D179,
IMPORTRANGE(""https://docs.google.com/spreadsheets/d/1MjHtlUikwobi2MaWJgy7tfLeBmhj1u-dRFRs_8GwSoA/edit#gid=0"",""Gestores Escolares!D7:m""),10,0),""VERIFICAR CÓD SEC"")"),"(75) 9 9918-1536")</f>
        <v>(75) 9 9918-1536</v>
      </c>
      <c r="S179" s="82"/>
      <c r="T179" s="138">
        <v>3.0</v>
      </c>
      <c r="U179" s="139">
        <v>3.0</v>
      </c>
      <c r="V179" s="106">
        <v>0.0</v>
      </c>
      <c r="W179" s="107">
        <v>0.0</v>
      </c>
      <c r="X179" s="107">
        <v>0.0</v>
      </c>
      <c r="Y179" s="107">
        <v>0.0</v>
      </c>
      <c r="Z179" s="80">
        <f t="shared" si="1"/>
        <v>0</v>
      </c>
      <c r="AA179" s="106">
        <v>0.0</v>
      </c>
      <c r="AB179" s="107">
        <v>0.0</v>
      </c>
      <c r="AC179" s="107">
        <v>0.0</v>
      </c>
      <c r="AD179" s="107">
        <v>0.0</v>
      </c>
      <c r="AE179" s="80">
        <f t="shared" si="2"/>
        <v>0</v>
      </c>
      <c r="AF179" s="140">
        <v>7.0</v>
      </c>
      <c r="AG179" s="109">
        <v>0.0</v>
      </c>
      <c r="AH179" s="109">
        <v>48.0</v>
      </c>
      <c r="AI179" s="141">
        <v>0.0</v>
      </c>
      <c r="AJ179" s="80">
        <f t="shared" si="3"/>
        <v>55</v>
      </c>
      <c r="AK179" s="140">
        <v>0.0</v>
      </c>
      <c r="AL179" s="109">
        <v>0.0</v>
      </c>
      <c r="AM179" s="141">
        <v>0.0</v>
      </c>
      <c r="AN179" s="80">
        <f t="shared" si="4"/>
        <v>0</v>
      </c>
      <c r="AO179" s="140">
        <v>0.0</v>
      </c>
      <c r="AP179" s="109">
        <v>0.0</v>
      </c>
      <c r="AQ179" s="109">
        <v>0.0</v>
      </c>
      <c r="AR179" s="80">
        <f t="shared" si="5"/>
        <v>0</v>
      </c>
      <c r="AS179" s="110">
        <v>0.0</v>
      </c>
      <c r="AT179" s="110">
        <v>0.0</v>
      </c>
      <c r="AU179" s="110">
        <v>0.0</v>
      </c>
      <c r="AV179" s="142">
        <v>0.0</v>
      </c>
      <c r="AW179" s="80">
        <f t="shared" si="6"/>
        <v>0</v>
      </c>
      <c r="AX179" s="113">
        <f t="shared" si="7"/>
        <v>55</v>
      </c>
      <c r="AY179" s="117">
        <f t="shared" si="8"/>
        <v>7</v>
      </c>
      <c r="AZ179" s="120">
        <f t="shared" si="9"/>
        <v>48</v>
      </c>
      <c r="BA179" s="115">
        <v>0.0</v>
      </c>
      <c r="BB179" s="89">
        <f t="shared" si="10"/>
        <v>55</v>
      </c>
      <c r="BC179" s="132" t="s">
        <v>265</v>
      </c>
      <c r="BD179" s="183" t="s">
        <v>227</v>
      </c>
      <c r="BE179" s="132" t="s">
        <v>178</v>
      </c>
      <c r="BF179" s="156"/>
      <c r="BG179" s="83">
        <v>1179157.0</v>
      </c>
      <c r="BH179" s="144"/>
      <c r="BI179" s="112">
        <v>3.0</v>
      </c>
      <c r="BJ179" s="98" t="s">
        <v>155</v>
      </c>
      <c r="BK179" s="99">
        <f t="shared" si="11"/>
        <v>0</v>
      </c>
      <c r="BL179" s="99">
        <f t="shared" si="12"/>
        <v>7</v>
      </c>
      <c r="BM179" s="99" t="str">
        <f>IFERROR(__xludf.DUMMYFUNCTION("IFERROR(VLOOKUP(BG179,IMPORTRANGE(""https://docs.google.com/spreadsheets/d/1juPI-Fb8LD0YtltB2mlGEnp_R3UVu1t3wSFPzgCyHXE/edit?gid=0#gid=0"",""GERAL!A2:C""),3,0),""-"")"),"QUILOMBOLAS")</f>
        <v>QUILOMBOLAS</v>
      </c>
    </row>
    <row r="180" ht="15.75" customHeight="1">
      <c r="A180" s="111" t="s">
        <v>285</v>
      </c>
      <c r="B180" s="83" t="s">
        <v>826</v>
      </c>
      <c r="C180" s="83" t="s">
        <v>68</v>
      </c>
      <c r="D180" s="112">
        <v>1178403.0</v>
      </c>
      <c r="E180" s="83"/>
      <c r="F180" s="83">
        <v>2.939774E7</v>
      </c>
      <c r="G180" s="119" t="s">
        <v>827</v>
      </c>
      <c r="H180" s="108" t="s">
        <v>828</v>
      </c>
      <c r="I180" s="83" t="s">
        <v>829</v>
      </c>
      <c r="J180" s="83" t="s">
        <v>464</v>
      </c>
      <c r="K180" s="83" t="s">
        <v>151</v>
      </c>
      <c r="L180" s="98" t="s">
        <v>152</v>
      </c>
      <c r="M180" s="82" t="str">
        <f>IFERROR(__xludf.DUMMYFUNCTION("IFERROR(VLOOKUP(D180,
IMPORTRANGE(""https://docs.google.com/spreadsheets/d/1MjHtlUikwobi2MaWJgy7tfLeBmhj1u-dRFRs_8GwSoA/edit#gid=0"",""Gestores Escolares!D7:J""),3,0),""VERIFICAR CÓD SEC"")"),"LORENE SOUZA COSTA")</f>
        <v>LORENE SOUZA COSTA</v>
      </c>
      <c r="N180" s="82" t="str">
        <f>IFERROR(__xludf.DUMMYFUNCTION("IFERROR(VLOOKUP(D180,
IMPORTRANGE(""https://docs.google.com/spreadsheets/d/1MjHtlUikwobi2MaWJgy7tfLeBmhj1u-dRFRs_8GwSoA/edit#gid=0"",""Gestores Escolares!D7:J""),4,0),""VERIFICAR CÓD SEC"")"),"(77) 9 8147-8935")</f>
        <v>(77) 9 8147-8935</v>
      </c>
      <c r="O180" s="82" t="str">
        <f>IFERROR(__xludf.DUMMYFUNCTION("IFERROR(VLOOKUP(D180,
IMPORTRANGE(""https://docs.google.com/spreadsheets/d/1MjHtlUikwobi2MaWJgy7tfLeBmhj1u-dRFRs_8GwSoA/edit#gid=0"",""Gestores Escolares!D7:J""),6,0),""VERIFICAR CÓD SEC"")"),"MARIA PAIXAO AGUIAR ROCHA CARVALHO")</f>
        <v>MARIA PAIXAO AGUIAR ROCHA CARVALHO</v>
      </c>
      <c r="P180" s="82" t="str">
        <f>IFERROR(__xludf.DUMMYFUNCTION("IFERROR(VLOOKUP(D180,
IMPORTRANGE(""https://docs.google.com/spreadsheets/d/1MjHtlUikwobi2MaWJgy7tfLeBmhj1u-dRFRs_8GwSoA/edit#gid=0"",""Gestores Escolares!D7:J""),7,0),""VERIFICAR CÓD SEC"")"),"(77) 9 8143-1966")</f>
        <v>(77) 9 8143-1966</v>
      </c>
      <c r="Q180" s="82" t="str">
        <f>IFERROR(__xludf.DUMMYFUNCTION("IFERROR(VLOOKUP(D180,
IMPORTRANGE(""https://docs.google.com/spreadsheets/d/1MjHtlUikwobi2MaWJgy7tfLeBmhj1u-dRFRs_8GwSoA/edit#gid=0"",""Gestores Escolares!D7:m""),9,0),""VERIFICAR CÓD SEC"")"),"")</f>
        <v/>
      </c>
      <c r="R180" s="82" t="str">
        <f>IFERROR(__xludf.DUMMYFUNCTION("IFERROR(VLOOKUP(D180,
IMPORTRANGE(""https://docs.google.com/spreadsheets/d/1MjHtlUikwobi2MaWJgy7tfLeBmhj1u-dRFRs_8GwSoA/edit#gid=0"",""Gestores Escolares!D7:m""),10,0),""VERIFICAR CÓD SEC"")"),"")</f>
        <v/>
      </c>
      <c r="S180" s="82"/>
      <c r="T180" s="138">
        <v>7.0</v>
      </c>
      <c r="U180" s="145">
        <v>6.0</v>
      </c>
      <c r="V180" s="106">
        <v>0.0</v>
      </c>
      <c r="W180" s="107">
        <v>0.0</v>
      </c>
      <c r="X180" s="107">
        <v>0.0</v>
      </c>
      <c r="Y180" s="107">
        <v>0.0</v>
      </c>
      <c r="Z180" s="80">
        <f t="shared" si="1"/>
        <v>0</v>
      </c>
      <c r="AA180" s="106">
        <v>0.0</v>
      </c>
      <c r="AB180" s="107">
        <v>0.0</v>
      </c>
      <c r="AC180" s="107">
        <v>0.0</v>
      </c>
      <c r="AD180" s="107">
        <v>0.0</v>
      </c>
      <c r="AE180" s="80">
        <f t="shared" si="2"/>
        <v>0</v>
      </c>
      <c r="AF180" s="140">
        <v>25.0</v>
      </c>
      <c r="AG180" s="109">
        <v>22.0</v>
      </c>
      <c r="AH180" s="109">
        <v>0.0</v>
      </c>
      <c r="AI180" s="141">
        <v>231.0</v>
      </c>
      <c r="AJ180" s="80">
        <f t="shared" si="3"/>
        <v>278</v>
      </c>
      <c r="AK180" s="140">
        <v>0.0</v>
      </c>
      <c r="AL180" s="109">
        <v>0.0</v>
      </c>
      <c r="AM180" s="141">
        <v>0.0</v>
      </c>
      <c r="AN180" s="80">
        <f t="shared" si="4"/>
        <v>0</v>
      </c>
      <c r="AO180" s="140">
        <v>0.0</v>
      </c>
      <c r="AP180" s="109">
        <v>0.0</v>
      </c>
      <c r="AQ180" s="109">
        <v>209.0</v>
      </c>
      <c r="AR180" s="80">
        <f t="shared" si="5"/>
        <v>209</v>
      </c>
      <c r="AS180" s="110">
        <v>0.0</v>
      </c>
      <c r="AT180" s="110">
        <v>0.0</v>
      </c>
      <c r="AU180" s="110">
        <v>0.0</v>
      </c>
      <c r="AV180" s="142">
        <v>0.0</v>
      </c>
      <c r="AW180" s="80">
        <f t="shared" si="6"/>
        <v>0</v>
      </c>
      <c r="AX180" s="113">
        <f t="shared" si="7"/>
        <v>487</v>
      </c>
      <c r="AY180" s="117">
        <f t="shared" si="8"/>
        <v>278</v>
      </c>
      <c r="AZ180" s="120">
        <f t="shared" si="9"/>
        <v>209</v>
      </c>
      <c r="BA180" s="115">
        <v>0.0</v>
      </c>
      <c r="BB180" s="89">
        <f t="shared" si="10"/>
        <v>487</v>
      </c>
      <c r="BC180" s="132" t="s">
        <v>178</v>
      </c>
      <c r="BD180" s="132" t="s">
        <v>178</v>
      </c>
      <c r="BE180" s="132" t="s">
        <v>178</v>
      </c>
      <c r="BF180" s="123"/>
      <c r="BG180" s="83">
        <v>1178403.0</v>
      </c>
      <c r="BH180" s="137" t="s">
        <v>830</v>
      </c>
      <c r="BI180" s="112">
        <v>6.0</v>
      </c>
      <c r="BJ180" s="98" t="s">
        <v>162</v>
      </c>
      <c r="BK180" s="99">
        <f t="shared" si="11"/>
        <v>231</v>
      </c>
      <c r="BL180" s="99">
        <f t="shared" si="12"/>
        <v>47</v>
      </c>
      <c r="BM180" s="99" t="str">
        <f>IFERROR(__xludf.DUMMYFUNCTION("IFERROR(VLOOKUP(BG180,IMPORTRANGE(""https://docs.google.com/spreadsheets/d/1juPI-Fb8LD0YtltB2mlGEnp_R3UVu1t3wSFPzgCyHXE/edit?gid=0#gid=0"",""GERAL!A2:C""),3,0),""-"")"),"-")</f>
        <v>-</v>
      </c>
    </row>
    <row r="181" ht="15.75" customHeight="1">
      <c r="A181" s="111" t="s">
        <v>285</v>
      </c>
      <c r="B181" s="83" t="s">
        <v>826</v>
      </c>
      <c r="C181" s="83" t="s">
        <v>68</v>
      </c>
      <c r="D181" s="112">
        <v>1168411.0</v>
      </c>
      <c r="E181" s="83"/>
      <c r="F181" s="83">
        <v>2.9214939E7</v>
      </c>
      <c r="G181" s="119" t="s">
        <v>831</v>
      </c>
      <c r="H181" s="108" t="s">
        <v>832</v>
      </c>
      <c r="I181" s="98" t="s">
        <v>833</v>
      </c>
      <c r="J181" s="83" t="s">
        <v>150</v>
      </c>
      <c r="K181" s="83" t="s">
        <v>151</v>
      </c>
      <c r="L181" s="98" t="s">
        <v>230</v>
      </c>
      <c r="M181" s="82" t="str">
        <f>IFERROR(__xludf.DUMMYFUNCTION("IFERROR(VLOOKUP(D181,
IMPORTRANGE(""https://docs.google.com/spreadsheets/d/1MjHtlUikwobi2MaWJgy7tfLeBmhj1u-dRFRs_8GwSoA/edit#gid=0"",""Gestores Escolares!D7:J""),3,0),""VERIFICAR CÓD SEC"")"),"LUCAS LUZ PIRES")</f>
        <v>LUCAS LUZ PIRES</v>
      </c>
      <c r="N181" s="82" t="str">
        <f>IFERROR(__xludf.DUMMYFUNCTION("IFERROR(VLOOKUP(D181,
IMPORTRANGE(""https://docs.google.com/spreadsheets/d/1MjHtlUikwobi2MaWJgy7tfLeBmhj1u-dRFRs_8GwSoA/edit#gid=0"",""Gestores Escolares!D7:J""),4,0),""VERIFICAR CÓD SEC"")"),"(77) 9 9985-5559")</f>
        <v>(77) 9 9985-5559</v>
      </c>
      <c r="O181" s="82" t="str">
        <f>IFERROR(__xludf.DUMMYFUNCTION("IFERROR(VLOOKUP(D181,
IMPORTRANGE(""https://docs.google.com/spreadsheets/d/1MjHtlUikwobi2MaWJgy7tfLeBmhj1u-dRFRs_8GwSoA/edit#gid=0"",""Gestores Escolares!D7:J""),6,0),""VERIFICAR CÓD SEC"")"),"SANDRO AGUIAR")</f>
        <v>SANDRO AGUIAR</v>
      </c>
      <c r="P181" s="82" t="str">
        <f>IFERROR(__xludf.DUMMYFUNCTION("IFERROR(VLOOKUP(D181,
IMPORTRANGE(""https://docs.google.com/spreadsheets/d/1MjHtlUikwobi2MaWJgy7tfLeBmhj1u-dRFRs_8GwSoA/edit#gid=0"",""Gestores Escolares!D7:J""),7,0),""VERIFICAR CÓD SEC"")"),"(77) 9 9196-8785")</f>
        <v>(77) 9 9196-8785</v>
      </c>
      <c r="Q181" s="82" t="str">
        <f>IFERROR(__xludf.DUMMYFUNCTION("IFERROR(VLOOKUP(D181,
IMPORTRANGE(""https://docs.google.com/spreadsheets/d/1MjHtlUikwobi2MaWJgy7tfLeBmhj1u-dRFRs_8GwSoA/edit#gid=0"",""Gestores Escolares!D7:m""),9,0),""VERIFICAR CÓD SEC"")"),"")</f>
        <v/>
      </c>
      <c r="R181" s="82" t="str">
        <f>IFERROR(__xludf.DUMMYFUNCTION("IFERROR(VLOOKUP(D181,
IMPORTRANGE(""https://docs.google.com/spreadsheets/d/1MjHtlUikwobi2MaWJgy7tfLeBmhj1u-dRFRs_8GwSoA/edit#gid=0"",""Gestores Escolares!D7:m""),10,0),""VERIFICAR CÓD SEC"")"),"")</f>
        <v/>
      </c>
      <c r="S181" s="82"/>
      <c r="T181" s="138">
        <v>7.0</v>
      </c>
      <c r="U181" s="145">
        <v>12.0</v>
      </c>
      <c r="V181" s="106">
        <v>0.0</v>
      </c>
      <c r="W181" s="107">
        <v>0.0</v>
      </c>
      <c r="X181" s="107">
        <v>0.0</v>
      </c>
      <c r="Y181" s="107">
        <v>0.0</v>
      </c>
      <c r="Z181" s="80">
        <f t="shared" si="1"/>
        <v>0</v>
      </c>
      <c r="AA181" s="106">
        <v>0.0</v>
      </c>
      <c r="AB181" s="107">
        <v>0.0</v>
      </c>
      <c r="AC181" s="107">
        <v>0.0</v>
      </c>
      <c r="AD181" s="107">
        <v>0.0</v>
      </c>
      <c r="AE181" s="80">
        <f t="shared" si="2"/>
        <v>0</v>
      </c>
      <c r="AF181" s="140">
        <v>0.0</v>
      </c>
      <c r="AG181" s="109">
        <v>0.0</v>
      </c>
      <c r="AH181" s="109">
        <v>0.0</v>
      </c>
      <c r="AI181" s="141">
        <v>342.0</v>
      </c>
      <c r="AJ181" s="80">
        <f t="shared" si="3"/>
        <v>342</v>
      </c>
      <c r="AK181" s="140">
        <v>0.0</v>
      </c>
      <c r="AL181" s="109">
        <v>0.0</v>
      </c>
      <c r="AM181" s="141">
        <v>0.0</v>
      </c>
      <c r="AN181" s="80">
        <f t="shared" si="4"/>
        <v>0</v>
      </c>
      <c r="AO181" s="140">
        <v>0.0</v>
      </c>
      <c r="AP181" s="109">
        <v>0.0</v>
      </c>
      <c r="AQ181" s="109">
        <v>68.0</v>
      </c>
      <c r="AR181" s="80">
        <f t="shared" si="5"/>
        <v>68</v>
      </c>
      <c r="AS181" s="110">
        <v>0.0</v>
      </c>
      <c r="AT181" s="110">
        <v>0.0</v>
      </c>
      <c r="AU181" s="110">
        <v>34.0</v>
      </c>
      <c r="AV181" s="142">
        <v>0.0</v>
      </c>
      <c r="AW181" s="80">
        <f t="shared" si="6"/>
        <v>34</v>
      </c>
      <c r="AX181" s="113">
        <f t="shared" si="7"/>
        <v>444</v>
      </c>
      <c r="AY181" s="117">
        <f t="shared" si="8"/>
        <v>342</v>
      </c>
      <c r="AZ181" s="120">
        <f t="shared" si="9"/>
        <v>102</v>
      </c>
      <c r="BA181" s="115">
        <v>0.0</v>
      </c>
      <c r="BB181" s="89">
        <f t="shared" si="10"/>
        <v>444</v>
      </c>
      <c r="BC181" s="132" t="s">
        <v>178</v>
      </c>
      <c r="BD181" s="132" t="s">
        <v>178</v>
      </c>
      <c r="BE181" s="132" t="s">
        <v>178</v>
      </c>
      <c r="BF181" s="156"/>
      <c r="BG181" s="83">
        <v>1168411.0</v>
      </c>
      <c r="BH181" s="98" t="s">
        <v>834</v>
      </c>
      <c r="BI181" s="112">
        <v>6.0</v>
      </c>
      <c r="BJ181" s="98" t="s">
        <v>162</v>
      </c>
      <c r="BK181" s="99">
        <f t="shared" si="11"/>
        <v>342</v>
      </c>
      <c r="BL181" s="99">
        <f t="shared" si="12"/>
        <v>0</v>
      </c>
      <c r="BM181" s="99" t="str">
        <f>IFERROR(__xludf.DUMMYFUNCTION("IFERROR(VLOOKUP(BG181,IMPORTRANGE(""https://docs.google.com/spreadsheets/d/1juPI-Fb8LD0YtltB2mlGEnp_R3UVu1t3wSFPzgCyHXE/edit?gid=0#gid=0"",""GERAL!A2:C""),3,0),""-"")"),"-")</f>
        <v>-</v>
      </c>
    </row>
    <row r="182" ht="15.75" customHeight="1">
      <c r="A182" s="111" t="s">
        <v>285</v>
      </c>
      <c r="B182" s="83" t="s">
        <v>836</v>
      </c>
      <c r="C182" s="83" t="s">
        <v>68</v>
      </c>
      <c r="D182" s="112">
        <v>1132166.0</v>
      </c>
      <c r="E182" s="83"/>
      <c r="F182" s="83">
        <v>2.9206936E7</v>
      </c>
      <c r="G182" s="119" t="s">
        <v>837</v>
      </c>
      <c r="H182" s="91" t="s">
        <v>838</v>
      </c>
      <c r="I182" s="83" t="s">
        <v>149</v>
      </c>
      <c r="J182" s="83" t="s">
        <v>839</v>
      </c>
      <c r="K182" s="83" t="s">
        <v>151</v>
      </c>
      <c r="L182" s="83" t="s">
        <v>169</v>
      </c>
      <c r="M182" s="82" t="str">
        <f>IFERROR(__xludf.DUMMYFUNCTION("IFERROR(VLOOKUP(D182,
IMPORTRANGE(""https://docs.google.com/spreadsheets/d/1MjHtlUikwobi2MaWJgy7tfLeBmhj1u-dRFRs_8GwSoA/edit#gid=0"",""Gestores Escolares!D7:J""),3,0),""VERIFICAR CÓD SEC"")"),"TERESA CRISTINA SILVA ABADE")</f>
        <v>TERESA CRISTINA SILVA ABADE</v>
      </c>
      <c r="N182" s="82" t="str">
        <f>IFERROR(__xludf.DUMMYFUNCTION("IFERROR(VLOOKUP(D182,
IMPORTRANGE(""https://docs.google.com/spreadsheets/d/1MjHtlUikwobi2MaWJgy7tfLeBmhj1u-dRFRs_8GwSoA/edit#gid=0"",""Gestores Escolares!D7:J""),4,0),""VERIFICAR CÓD SEC"")"),"(75) 9 9284-7266")</f>
        <v>(75) 9 9284-7266</v>
      </c>
      <c r="O182" s="82" t="str">
        <f>IFERROR(__xludf.DUMMYFUNCTION("IFERROR(VLOOKUP(D182,
IMPORTRANGE(""https://docs.google.com/spreadsheets/d/1MjHtlUikwobi2MaWJgy7tfLeBmhj1u-dRFRs_8GwSoA/edit#gid=0"",""Gestores Escolares!D7:J""),6,0),""VERIFICAR CÓD SEC"")"),"	ANDRE LUIZ SANTOS DE OLIVEIRA")</f>
        <v>	ANDRE LUIZ SANTOS DE OLIVEIRA</v>
      </c>
      <c r="P182" s="82" t="str">
        <f>IFERROR(__xludf.DUMMYFUNCTION("IFERROR(VLOOKUP(D182,
IMPORTRANGE(""https://docs.google.com/spreadsheets/d/1MjHtlUikwobi2MaWJgy7tfLeBmhj1u-dRFRs_8GwSoA/edit#gid=0"",""Gestores Escolares!D7:J""),7,0),""VERIFICAR CÓD SEC"")"),"(71) 9 9296-7229")</f>
        <v>(71) 9 9296-7229</v>
      </c>
      <c r="Q182" s="82" t="str">
        <f>IFERROR(__xludf.DUMMYFUNCTION("IFERROR(VLOOKUP(D182,
IMPORTRANGE(""https://docs.google.com/spreadsheets/d/1MjHtlUikwobi2MaWJgy7tfLeBmhj1u-dRFRs_8GwSoA/edit#gid=0"",""Gestores Escolares!D7:m""),9,0),""VERIFICAR CÓD SEC"")"),"")</f>
        <v/>
      </c>
      <c r="R182" s="82" t="str">
        <f>IFERROR(__xludf.DUMMYFUNCTION("IFERROR(VLOOKUP(D182,
IMPORTRANGE(""https://docs.google.com/spreadsheets/d/1MjHtlUikwobi2MaWJgy7tfLeBmhj1u-dRFRs_8GwSoA/edit#gid=0"",""Gestores Escolares!D7:m""),10,0),""VERIFICAR CÓD SEC"")"),"")</f>
        <v/>
      </c>
      <c r="S182" s="82"/>
      <c r="T182" s="138">
        <v>6.0</v>
      </c>
      <c r="U182" s="139">
        <v>4.0</v>
      </c>
      <c r="V182" s="106">
        <v>0.0</v>
      </c>
      <c r="W182" s="107">
        <v>0.0</v>
      </c>
      <c r="X182" s="107">
        <v>0.0</v>
      </c>
      <c r="Y182" s="107">
        <v>0.0</v>
      </c>
      <c r="Z182" s="80">
        <f t="shared" si="1"/>
        <v>0</v>
      </c>
      <c r="AA182" s="106">
        <v>0.0</v>
      </c>
      <c r="AB182" s="107">
        <v>0.0</v>
      </c>
      <c r="AC182" s="107">
        <v>0.0</v>
      </c>
      <c r="AD182" s="107">
        <v>0.0</v>
      </c>
      <c r="AE182" s="80">
        <f t="shared" si="2"/>
        <v>0</v>
      </c>
      <c r="AF182" s="140">
        <v>35.0</v>
      </c>
      <c r="AG182" s="109">
        <v>0.0</v>
      </c>
      <c r="AH182" s="109">
        <v>0.0</v>
      </c>
      <c r="AI182" s="141">
        <v>0.0</v>
      </c>
      <c r="AJ182" s="80">
        <f t="shared" si="3"/>
        <v>35</v>
      </c>
      <c r="AK182" s="140">
        <v>0.0</v>
      </c>
      <c r="AL182" s="109">
        <v>0.0</v>
      </c>
      <c r="AM182" s="141">
        <v>0.0</v>
      </c>
      <c r="AN182" s="80">
        <f t="shared" si="4"/>
        <v>0</v>
      </c>
      <c r="AO182" s="140">
        <v>0.0</v>
      </c>
      <c r="AP182" s="109">
        <v>0.0</v>
      </c>
      <c r="AQ182" s="109">
        <v>0.0</v>
      </c>
      <c r="AR182" s="80">
        <f t="shared" si="5"/>
        <v>0</v>
      </c>
      <c r="AS182" s="110">
        <v>19.0</v>
      </c>
      <c r="AT182" s="110">
        <v>61.0</v>
      </c>
      <c r="AU182" s="110">
        <v>8.0</v>
      </c>
      <c r="AV182" s="142">
        <v>0.0</v>
      </c>
      <c r="AW182" s="80">
        <f t="shared" si="6"/>
        <v>88</v>
      </c>
      <c r="AX182" s="113">
        <f t="shared" si="7"/>
        <v>123</v>
      </c>
      <c r="AY182" s="117">
        <f t="shared" si="8"/>
        <v>115</v>
      </c>
      <c r="AZ182" s="120">
        <f t="shared" si="9"/>
        <v>8</v>
      </c>
      <c r="BA182" s="115">
        <v>0.0</v>
      </c>
      <c r="BB182" s="89">
        <f t="shared" si="10"/>
        <v>123</v>
      </c>
      <c r="BC182" s="132" t="s">
        <v>178</v>
      </c>
      <c r="BD182" s="132" t="s">
        <v>178</v>
      </c>
      <c r="BE182" s="132" t="s">
        <v>178</v>
      </c>
      <c r="BF182" s="156"/>
      <c r="BG182" s="83">
        <v>1132166.0</v>
      </c>
      <c r="BH182" s="98" t="s">
        <v>840</v>
      </c>
      <c r="BI182" s="112">
        <v>4.0</v>
      </c>
      <c r="BJ182" s="98" t="s">
        <v>155</v>
      </c>
      <c r="BK182" s="99">
        <f t="shared" si="11"/>
        <v>0</v>
      </c>
      <c r="BL182" s="99">
        <f t="shared" si="12"/>
        <v>115</v>
      </c>
      <c r="BM182" s="99" t="str">
        <f>IFERROR(__xludf.DUMMYFUNCTION("IFERROR(VLOOKUP(BG182,IMPORTRANGE(""https://docs.google.com/spreadsheets/d/1juPI-Fb8LD0YtltB2mlGEnp_R3UVu1t3wSFPzgCyHXE/edit?gid=0#gid=0"",""GERAL!A2:C""),3,0),""-"")"),"-")</f>
        <v>-</v>
      </c>
    </row>
    <row r="183" ht="15.75" customHeight="1">
      <c r="A183" s="111" t="s">
        <v>285</v>
      </c>
      <c r="B183" s="83" t="s">
        <v>836</v>
      </c>
      <c r="C183" s="83" t="s">
        <v>68</v>
      </c>
      <c r="D183" s="112">
        <v>1133090.0</v>
      </c>
      <c r="E183" s="83"/>
      <c r="F183" s="83">
        <v>2.920777E7</v>
      </c>
      <c r="G183" s="119" t="s">
        <v>841</v>
      </c>
      <c r="H183" s="108" t="s">
        <v>842</v>
      </c>
      <c r="I183" s="83" t="s">
        <v>149</v>
      </c>
      <c r="J183" s="83" t="s">
        <v>150</v>
      </c>
      <c r="K183" s="83" t="s">
        <v>151</v>
      </c>
      <c r="L183" s="83" t="s">
        <v>76</v>
      </c>
      <c r="M183" s="82" t="str">
        <f>IFERROR(__xludf.DUMMYFUNCTION("IFERROR(VLOOKUP(D183,
IMPORTRANGE(""https://docs.google.com/spreadsheets/d/1MjHtlUikwobi2MaWJgy7tfLeBmhj1u-dRFRs_8GwSoA/edit#gid=0"",""Gestores Escolares!D7:J""),3,0),""VERIFICAR CÓD SEC"")"),"JOELMA ELSA MENEZES PORTO")</f>
        <v>JOELMA ELSA MENEZES PORTO</v>
      </c>
      <c r="N183" s="82" t="str">
        <f>IFERROR(__xludf.DUMMYFUNCTION("IFERROR(VLOOKUP(D183,
IMPORTRANGE(""https://docs.google.com/spreadsheets/d/1MjHtlUikwobi2MaWJgy7tfLeBmhj1u-dRFRs_8GwSoA/edit#gid=0"",""Gestores Escolares!D7:J""),4,0),""VERIFICAR CÓD SEC"")"),"(75) 9 9856-0074")</f>
        <v>(75) 9 9856-0074</v>
      </c>
      <c r="O183" s="82" t="str">
        <f>IFERROR(__xludf.DUMMYFUNCTION("IFERROR(VLOOKUP(D183,
IMPORTRANGE(""https://docs.google.com/spreadsheets/d/1MjHtlUikwobi2MaWJgy7tfLeBmhj1u-dRFRs_8GwSoA/edit#gid=0"",""Gestores Escolares!D7:J""),6,0),""VERIFICAR CÓD SEC"")"),"MARINALVA LIMA DOS SANTOS")</f>
        <v>MARINALVA LIMA DOS SANTOS</v>
      </c>
      <c r="P183" s="82" t="str">
        <f>IFERROR(__xludf.DUMMYFUNCTION("IFERROR(VLOOKUP(D183,
IMPORTRANGE(""https://docs.google.com/spreadsheets/d/1MjHtlUikwobi2MaWJgy7tfLeBmhj1u-dRFRs_8GwSoA/edit#gid=0"",""Gestores Escolares!D7:J""),7,0),""VERIFICAR CÓD SEC"")"),"(75) 9 9139-6501")</f>
        <v>(75) 9 9139-6501</v>
      </c>
      <c r="Q183" s="82" t="str">
        <f>IFERROR(__xludf.DUMMYFUNCTION("IFERROR(VLOOKUP(D183,
IMPORTRANGE(""https://docs.google.com/spreadsheets/d/1MjHtlUikwobi2MaWJgy7tfLeBmhj1u-dRFRs_8GwSoA/edit#gid=0"",""Gestores Escolares!D7:m""),9,0),""VERIFICAR CÓD SEC"")"),"JOELMA SANTOS ARAUJO DE OLIVEIRA")</f>
        <v>JOELMA SANTOS ARAUJO DE OLIVEIRA</v>
      </c>
      <c r="R183" s="82" t="str">
        <f>IFERROR(__xludf.DUMMYFUNCTION("IFERROR(VLOOKUP(D183,
IMPORTRANGE(""https://docs.google.com/spreadsheets/d/1MjHtlUikwobi2MaWJgy7tfLeBmhj1u-dRFRs_8GwSoA/edit#gid=0"",""Gestores Escolares!D7:m""),10,0),""VERIFICAR CÓD SEC"")"),"(77) 9 9205-4463")</f>
        <v>(77) 9 9205-4463</v>
      </c>
      <c r="S183" s="82"/>
      <c r="T183" s="138">
        <v>3.0</v>
      </c>
      <c r="U183" s="145">
        <v>6.0</v>
      </c>
      <c r="V183" s="106">
        <v>0.0</v>
      </c>
      <c r="W183" s="107">
        <v>0.0</v>
      </c>
      <c r="X183" s="107">
        <v>0.0</v>
      </c>
      <c r="Y183" s="107">
        <v>0.0</v>
      </c>
      <c r="Z183" s="80">
        <f t="shared" si="1"/>
        <v>0</v>
      </c>
      <c r="AA183" s="106">
        <v>0.0</v>
      </c>
      <c r="AB183" s="107">
        <v>0.0</v>
      </c>
      <c r="AC183" s="107">
        <v>0.0</v>
      </c>
      <c r="AD183" s="107">
        <v>0.0</v>
      </c>
      <c r="AE183" s="80">
        <f t="shared" si="2"/>
        <v>0</v>
      </c>
      <c r="AF183" s="140">
        <v>0.0</v>
      </c>
      <c r="AG183" s="109">
        <v>0.0</v>
      </c>
      <c r="AH183" s="109">
        <v>0.0</v>
      </c>
      <c r="AI183" s="141">
        <v>212.0</v>
      </c>
      <c r="AJ183" s="80">
        <f t="shared" si="3"/>
        <v>212</v>
      </c>
      <c r="AK183" s="140">
        <v>0.0</v>
      </c>
      <c r="AL183" s="109">
        <v>0.0</v>
      </c>
      <c r="AM183" s="141">
        <v>0.0</v>
      </c>
      <c r="AN183" s="80">
        <f t="shared" si="4"/>
        <v>0</v>
      </c>
      <c r="AO183" s="140">
        <v>0.0</v>
      </c>
      <c r="AP183" s="109">
        <v>0.0</v>
      </c>
      <c r="AQ183" s="109">
        <v>37.0</v>
      </c>
      <c r="AR183" s="80">
        <f t="shared" si="5"/>
        <v>37</v>
      </c>
      <c r="AS183" s="110">
        <v>0.0</v>
      </c>
      <c r="AT183" s="110">
        <v>0.0</v>
      </c>
      <c r="AU183" s="110">
        <v>0.0</v>
      </c>
      <c r="AV183" s="142">
        <v>0.0</v>
      </c>
      <c r="AW183" s="80">
        <f t="shared" si="6"/>
        <v>0</v>
      </c>
      <c r="AX183" s="113">
        <f t="shared" si="7"/>
        <v>249</v>
      </c>
      <c r="AY183" s="117">
        <f t="shared" si="8"/>
        <v>212</v>
      </c>
      <c r="AZ183" s="120">
        <f t="shared" si="9"/>
        <v>37</v>
      </c>
      <c r="BA183" s="115">
        <v>0.0</v>
      </c>
      <c r="BB183" s="89">
        <f t="shared" si="10"/>
        <v>249</v>
      </c>
      <c r="BC183" s="132" t="s">
        <v>178</v>
      </c>
      <c r="BD183" s="132" t="s">
        <v>178</v>
      </c>
      <c r="BE183" s="132" t="s">
        <v>178</v>
      </c>
      <c r="BF183" s="156"/>
      <c r="BG183" s="83">
        <v>1133090.0</v>
      </c>
      <c r="BH183" s="137" t="s">
        <v>843</v>
      </c>
      <c r="BI183" s="112">
        <v>3.0</v>
      </c>
      <c r="BJ183" s="98" t="s">
        <v>162</v>
      </c>
      <c r="BK183" s="99">
        <f t="shared" si="11"/>
        <v>212</v>
      </c>
      <c r="BL183" s="99">
        <f t="shared" si="12"/>
        <v>0</v>
      </c>
      <c r="BM183" s="99" t="str">
        <f>IFERROR(__xludf.DUMMYFUNCTION("IFERROR(VLOOKUP(BG183,IMPORTRANGE(""https://docs.google.com/spreadsheets/d/1juPI-Fb8LD0YtltB2mlGEnp_R3UVu1t3wSFPzgCyHXE/edit?gid=0#gid=0"",""GERAL!A2:C""),3,0),""-"")"),"-")</f>
        <v>-</v>
      </c>
    </row>
    <row r="184" ht="15.75" customHeight="1">
      <c r="A184" s="111" t="s">
        <v>285</v>
      </c>
      <c r="B184" s="83" t="s">
        <v>836</v>
      </c>
      <c r="C184" s="83" t="s">
        <v>164</v>
      </c>
      <c r="D184" s="112">
        <v>1133090.0</v>
      </c>
      <c r="E184" s="83">
        <v>1178957.0</v>
      </c>
      <c r="F184" s="98">
        <v>2.9490979E7</v>
      </c>
      <c r="G184" s="114" t="s">
        <v>844</v>
      </c>
      <c r="H184" s="91" t="s">
        <v>845</v>
      </c>
      <c r="I184" s="136" t="s">
        <v>846</v>
      </c>
      <c r="J184" s="83" t="s">
        <v>839</v>
      </c>
      <c r="K184" s="83" t="s">
        <v>151</v>
      </c>
      <c r="L184" s="83" t="s">
        <v>169</v>
      </c>
      <c r="M184" s="82" t="str">
        <f>IFERROR(__xludf.DUMMYFUNCTION("IFERROR(VLOOKUP(D184,
IMPORTRANGE(""https://docs.google.com/spreadsheets/d/1MjHtlUikwobi2MaWJgy7tfLeBmhj1u-dRFRs_8GwSoA/edit#gid=0"",""Gestores Escolares!D7:J""),3,0),""VERIFICAR CÓD SEC"")"),"JOELMA ELSA MENEZES PORTO")</f>
        <v>JOELMA ELSA MENEZES PORTO</v>
      </c>
      <c r="N184" s="82" t="str">
        <f>IFERROR(__xludf.DUMMYFUNCTION("IFERROR(VLOOKUP(D184,
IMPORTRANGE(""https://docs.google.com/spreadsheets/d/1MjHtlUikwobi2MaWJgy7tfLeBmhj1u-dRFRs_8GwSoA/edit#gid=0"",""Gestores Escolares!D7:J""),4,0),""VERIFICAR CÓD SEC"")"),"(75) 9 9856-0074")</f>
        <v>(75) 9 9856-0074</v>
      </c>
      <c r="O184" s="82" t="str">
        <f>IFERROR(__xludf.DUMMYFUNCTION("IFERROR(VLOOKUP(D184,
IMPORTRANGE(""https://docs.google.com/spreadsheets/d/1MjHtlUikwobi2MaWJgy7tfLeBmhj1u-dRFRs_8GwSoA/edit#gid=0"",""Gestores Escolares!D7:J""),6,0),""VERIFICAR CÓD SEC"")"),"MARINALVA LIMA DOS SANTOS")</f>
        <v>MARINALVA LIMA DOS SANTOS</v>
      </c>
      <c r="P184" s="82" t="str">
        <f>IFERROR(__xludf.DUMMYFUNCTION("IFERROR(VLOOKUP(D184,
IMPORTRANGE(""https://docs.google.com/spreadsheets/d/1MjHtlUikwobi2MaWJgy7tfLeBmhj1u-dRFRs_8GwSoA/edit#gid=0"",""Gestores Escolares!D7:J""),7,0),""VERIFICAR CÓD SEC"")"),"(75) 9 9139-6501")</f>
        <v>(75) 9 9139-6501</v>
      </c>
      <c r="Q184" s="82" t="str">
        <f>IFERROR(__xludf.DUMMYFUNCTION("IFERROR(VLOOKUP(D184,
IMPORTRANGE(""https://docs.google.com/spreadsheets/d/1MjHtlUikwobi2MaWJgy7tfLeBmhj1u-dRFRs_8GwSoA/edit#gid=0"",""Gestores Escolares!D7:m""),9,0),""VERIFICAR CÓD SEC"")"),"JOELMA SANTOS ARAUJO DE OLIVEIRA")</f>
        <v>JOELMA SANTOS ARAUJO DE OLIVEIRA</v>
      </c>
      <c r="R184" s="82" t="str">
        <f>IFERROR(__xludf.DUMMYFUNCTION("IFERROR(VLOOKUP(D184,
IMPORTRANGE(""https://docs.google.com/spreadsheets/d/1MjHtlUikwobi2MaWJgy7tfLeBmhj1u-dRFRs_8GwSoA/edit#gid=0"",""Gestores Escolares!D7:m""),10,0),""VERIFICAR CÓD SEC"")"),"(77) 9 9205-4463")</f>
        <v>(77) 9 9205-4463</v>
      </c>
      <c r="S184" s="82"/>
      <c r="T184" s="138">
        <v>5.0</v>
      </c>
      <c r="U184" s="145">
        <v>6.0</v>
      </c>
      <c r="V184" s="106">
        <v>0.0</v>
      </c>
      <c r="W184" s="107">
        <v>0.0</v>
      </c>
      <c r="X184" s="107">
        <v>0.0</v>
      </c>
      <c r="Y184" s="107">
        <v>0.0</v>
      </c>
      <c r="Z184" s="80">
        <f t="shared" si="1"/>
        <v>0</v>
      </c>
      <c r="AA184" s="106">
        <v>0.0</v>
      </c>
      <c r="AB184" s="107">
        <v>0.0</v>
      </c>
      <c r="AC184" s="107">
        <v>0.0</v>
      </c>
      <c r="AD184" s="107">
        <v>0.0</v>
      </c>
      <c r="AE184" s="80">
        <f t="shared" si="2"/>
        <v>0</v>
      </c>
      <c r="AF184" s="140">
        <v>50.0</v>
      </c>
      <c r="AG184" s="109">
        <v>52.0</v>
      </c>
      <c r="AH184" s="109">
        <v>0.0</v>
      </c>
      <c r="AI184" s="141">
        <v>0.0</v>
      </c>
      <c r="AJ184" s="80">
        <f t="shared" si="3"/>
        <v>102</v>
      </c>
      <c r="AK184" s="140">
        <v>0.0</v>
      </c>
      <c r="AL184" s="109">
        <v>0.0</v>
      </c>
      <c r="AM184" s="141">
        <v>0.0</v>
      </c>
      <c r="AN184" s="80">
        <f t="shared" si="4"/>
        <v>0</v>
      </c>
      <c r="AO184" s="140">
        <v>0.0</v>
      </c>
      <c r="AP184" s="109">
        <v>0.0</v>
      </c>
      <c r="AQ184" s="109">
        <v>23.0</v>
      </c>
      <c r="AR184" s="80">
        <f t="shared" si="5"/>
        <v>23</v>
      </c>
      <c r="AS184" s="110">
        <v>0.0</v>
      </c>
      <c r="AT184" s="110">
        <v>0.0</v>
      </c>
      <c r="AU184" s="110">
        <v>0.0</v>
      </c>
      <c r="AV184" s="142">
        <v>0.0</v>
      </c>
      <c r="AW184" s="80">
        <f t="shared" si="6"/>
        <v>0</v>
      </c>
      <c r="AX184" s="113">
        <f t="shared" si="7"/>
        <v>125</v>
      </c>
      <c r="AY184" s="117">
        <f t="shared" si="8"/>
        <v>102</v>
      </c>
      <c r="AZ184" s="120">
        <f t="shared" si="9"/>
        <v>23</v>
      </c>
      <c r="BA184" s="115">
        <v>0.0</v>
      </c>
      <c r="BB184" s="89">
        <f t="shared" si="10"/>
        <v>125</v>
      </c>
      <c r="BC184" s="132" t="s">
        <v>373</v>
      </c>
      <c r="BD184" s="132" t="s">
        <v>178</v>
      </c>
      <c r="BE184" s="132" t="s">
        <v>178</v>
      </c>
      <c r="BF184" s="156"/>
      <c r="BG184" s="83">
        <v>1178957.0</v>
      </c>
      <c r="BH184" s="98" t="s">
        <v>840</v>
      </c>
      <c r="BI184" s="112">
        <v>3.0</v>
      </c>
      <c r="BJ184" s="98" t="s">
        <v>155</v>
      </c>
      <c r="BK184" s="99">
        <f t="shared" si="11"/>
        <v>0</v>
      </c>
      <c r="BL184" s="99">
        <f t="shared" si="12"/>
        <v>102</v>
      </c>
      <c r="BM184" s="99" t="str">
        <f>IFERROR(__xludf.DUMMYFUNCTION("IFERROR(VLOOKUP(BG184,IMPORTRANGE(""https://docs.google.com/spreadsheets/d/1juPI-Fb8LD0YtltB2mlGEnp_R3UVu1t3wSFPzgCyHXE/edit?gid=0#gid=0"",""GERAL!A2:C""),3,0),""-"")"),"CAMPO")</f>
        <v>CAMPO</v>
      </c>
    </row>
    <row r="185" ht="15.75" customHeight="1">
      <c r="A185" s="111" t="s">
        <v>285</v>
      </c>
      <c r="B185" s="83" t="s">
        <v>836</v>
      </c>
      <c r="C185" s="83" t="s">
        <v>164</v>
      </c>
      <c r="D185" s="112">
        <v>1133090.0</v>
      </c>
      <c r="E185" s="83">
        <v>1179714.0</v>
      </c>
      <c r="F185" s="98">
        <v>2.949096E7</v>
      </c>
      <c r="G185" s="147" t="s">
        <v>847</v>
      </c>
      <c r="H185" s="91" t="s">
        <v>848</v>
      </c>
      <c r="I185" s="193" t="s">
        <v>171</v>
      </c>
      <c r="J185" s="98" t="s">
        <v>641</v>
      </c>
      <c r="K185" s="83" t="s">
        <v>168</v>
      </c>
      <c r="L185" s="83" t="s">
        <v>512</v>
      </c>
      <c r="M185" s="82" t="str">
        <f>IFERROR(__xludf.DUMMYFUNCTION("IFERROR(VLOOKUP(D185,
IMPORTRANGE(""https://docs.google.com/spreadsheets/d/1MjHtlUikwobi2MaWJgy7tfLeBmhj1u-dRFRs_8GwSoA/edit#gid=0"",""Gestores Escolares!D7:J""),3,0),""VERIFICAR CÓD SEC"")"),"JOELMA ELSA MENEZES PORTO")</f>
        <v>JOELMA ELSA MENEZES PORTO</v>
      </c>
      <c r="N185" s="82" t="str">
        <f>IFERROR(__xludf.DUMMYFUNCTION("IFERROR(VLOOKUP(D185,
IMPORTRANGE(""https://docs.google.com/spreadsheets/d/1MjHtlUikwobi2MaWJgy7tfLeBmhj1u-dRFRs_8GwSoA/edit#gid=0"",""Gestores Escolares!D7:J""),4,0),""VERIFICAR CÓD SEC"")"),"(75) 9 9856-0074")</f>
        <v>(75) 9 9856-0074</v>
      </c>
      <c r="O185" s="82" t="str">
        <f>IFERROR(__xludf.DUMMYFUNCTION("IFERROR(VLOOKUP(D185,
IMPORTRANGE(""https://docs.google.com/spreadsheets/d/1MjHtlUikwobi2MaWJgy7tfLeBmhj1u-dRFRs_8GwSoA/edit#gid=0"",""Gestores Escolares!D7:J""),6,0),""VERIFICAR CÓD SEC"")"),"MARINALVA LIMA DOS SANTOS")</f>
        <v>MARINALVA LIMA DOS SANTOS</v>
      </c>
      <c r="P185" s="82" t="str">
        <f>IFERROR(__xludf.DUMMYFUNCTION("IFERROR(VLOOKUP(D185,
IMPORTRANGE(""https://docs.google.com/spreadsheets/d/1MjHtlUikwobi2MaWJgy7tfLeBmhj1u-dRFRs_8GwSoA/edit#gid=0"",""Gestores Escolares!D7:J""),7,0),""VERIFICAR CÓD SEC"")"),"(75) 9 9139-6501")</f>
        <v>(75) 9 9139-6501</v>
      </c>
      <c r="Q185" s="82" t="str">
        <f>IFERROR(__xludf.DUMMYFUNCTION("IFERROR(VLOOKUP(D185,
IMPORTRANGE(""https://docs.google.com/spreadsheets/d/1MjHtlUikwobi2MaWJgy7tfLeBmhj1u-dRFRs_8GwSoA/edit#gid=0"",""Gestores Escolares!D7:m""),9,0),""VERIFICAR CÓD SEC"")"),"JOELMA SANTOS ARAUJO DE OLIVEIRA")</f>
        <v>JOELMA SANTOS ARAUJO DE OLIVEIRA</v>
      </c>
      <c r="R185" s="82" t="str">
        <f>IFERROR(__xludf.DUMMYFUNCTION("IFERROR(VLOOKUP(D185,
IMPORTRANGE(""https://docs.google.com/spreadsheets/d/1MjHtlUikwobi2MaWJgy7tfLeBmhj1u-dRFRs_8GwSoA/edit#gid=0"",""Gestores Escolares!D7:m""),10,0),""VERIFICAR CÓD SEC"")"),"(77) 9 9205-4463")</f>
        <v>(77) 9 9205-4463</v>
      </c>
      <c r="S185" s="82"/>
      <c r="T185" s="138" t="s">
        <v>171</v>
      </c>
      <c r="U185" s="145">
        <v>3.0</v>
      </c>
      <c r="V185" s="106">
        <v>0.0</v>
      </c>
      <c r="W185" s="107">
        <v>0.0</v>
      </c>
      <c r="X185" s="107">
        <v>0.0</v>
      </c>
      <c r="Y185" s="107">
        <v>0.0</v>
      </c>
      <c r="Z185" s="80">
        <f t="shared" si="1"/>
        <v>0</v>
      </c>
      <c r="AA185" s="106">
        <v>0.0</v>
      </c>
      <c r="AB185" s="107">
        <v>0.0</v>
      </c>
      <c r="AC185" s="107">
        <v>0.0</v>
      </c>
      <c r="AD185" s="107">
        <v>0.0</v>
      </c>
      <c r="AE185" s="80">
        <f t="shared" si="2"/>
        <v>0</v>
      </c>
      <c r="AF185" s="140">
        <v>0.0</v>
      </c>
      <c r="AG185" s="109">
        <v>48.0</v>
      </c>
      <c r="AH185" s="109">
        <v>0.0</v>
      </c>
      <c r="AI185" s="141">
        <v>0.0</v>
      </c>
      <c r="AJ185" s="80">
        <f t="shared" si="3"/>
        <v>48</v>
      </c>
      <c r="AK185" s="140">
        <v>0.0</v>
      </c>
      <c r="AL185" s="109">
        <v>0.0</v>
      </c>
      <c r="AM185" s="141">
        <v>0.0</v>
      </c>
      <c r="AN185" s="80">
        <f t="shared" si="4"/>
        <v>0</v>
      </c>
      <c r="AO185" s="140">
        <v>0.0</v>
      </c>
      <c r="AP185" s="109">
        <v>0.0</v>
      </c>
      <c r="AQ185" s="109">
        <v>14.0</v>
      </c>
      <c r="AR185" s="80">
        <f t="shared" si="5"/>
        <v>14</v>
      </c>
      <c r="AS185" s="110">
        <v>0.0</v>
      </c>
      <c r="AT185" s="110">
        <v>0.0</v>
      </c>
      <c r="AU185" s="110">
        <v>0.0</v>
      </c>
      <c r="AV185" s="142">
        <v>0.0</v>
      </c>
      <c r="AW185" s="80">
        <f t="shared" si="6"/>
        <v>0</v>
      </c>
      <c r="AX185" s="113">
        <f t="shared" si="7"/>
        <v>62</v>
      </c>
      <c r="AY185" s="117">
        <f t="shared" si="8"/>
        <v>48</v>
      </c>
      <c r="AZ185" s="120">
        <f t="shared" si="9"/>
        <v>14</v>
      </c>
      <c r="BA185" s="115">
        <v>0.0</v>
      </c>
      <c r="BB185" s="89">
        <f t="shared" si="10"/>
        <v>62</v>
      </c>
      <c r="BC185" s="132" t="s">
        <v>178</v>
      </c>
      <c r="BD185" s="132" t="s">
        <v>178</v>
      </c>
      <c r="BE185" s="132" t="s">
        <v>178</v>
      </c>
      <c r="BF185" s="156"/>
      <c r="BG185" s="83">
        <v>1179714.0</v>
      </c>
      <c r="BH185" s="112"/>
      <c r="BI185" s="112">
        <v>0.0</v>
      </c>
      <c r="BJ185" s="98" t="s">
        <v>155</v>
      </c>
      <c r="BK185" s="99">
        <f t="shared" si="11"/>
        <v>0</v>
      </c>
      <c r="BL185" s="99">
        <f t="shared" si="12"/>
        <v>48</v>
      </c>
      <c r="BM185" s="99" t="str">
        <f>IFERROR(__xludf.DUMMYFUNCTION("IFERROR(VLOOKUP(BG185,IMPORTRANGE(""https://docs.google.com/spreadsheets/d/1juPI-Fb8LD0YtltB2mlGEnp_R3UVu1t3wSFPzgCyHXE/edit?gid=0#gid=0"",""GERAL!A2:C""),3,0),""-"")"),"-")</f>
        <v>-</v>
      </c>
    </row>
    <row r="186" ht="15.75" customHeight="1">
      <c r="A186" s="111" t="s">
        <v>285</v>
      </c>
      <c r="B186" s="83" t="s">
        <v>849</v>
      </c>
      <c r="C186" s="83" t="s">
        <v>68</v>
      </c>
      <c r="D186" s="208">
        <v>1124368.0</v>
      </c>
      <c r="E186" s="189"/>
      <c r="F186" s="189">
        <v>2.922506E7</v>
      </c>
      <c r="G186" s="209" t="s">
        <v>850</v>
      </c>
      <c r="H186" s="108" t="s">
        <v>851</v>
      </c>
      <c r="I186" s="83" t="s">
        <v>149</v>
      </c>
      <c r="J186" s="83" t="s">
        <v>150</v>
      </c>
      <c r="K186" s="83" t="s">
        <v>151</v>
      </c>
      <c r="L186" s="98" t="s">
        <v>76</v>
      </c>
      <c r="M186" s="82" t="str">
        <f>IFERROR(__xludf.DUMMYFUNCTION("IFERROR(VLOOKUP(D186,
IMPORTRANGE(""https://docs.google.com/spreadsheets/d/1MjHtlUikwobi2MaWJgy7tfLeBmhj1u-dRFRs_8GwSoA/edit#gid=0"",""Gestores Escolares!D7:J""),3,0),""VERIFICAR CÓD SEC"")"),"JOSE ROMARIO NASCIMENTO LAGO")</f>
        <v>JOSE ROMARIO NASCIMENTO LAGO</v>
      </c>
      <c r="N186" s="82" t="str">
        <f>IFERROR(__xludf.DUMMYFUNCTION("IFERROR(VLOOKUP(D186,
IMPORTRANGE(""https://docs.google.com/spreadsheets/d/1MjHtlUikwobi2MaWJgy7tfLeBmhj1u-dRFRs_8GwSoA/edit#gid=0"",""Gestores Escolares!D7:J""),4,0),""VERIFICAR CÓD SEC"")"),"(77) 9 9119-0324")</f>
        <v>(77) 9 9119-0324</v>
      </c>
      <c r="O186" s="82" t="str">
        <f>IFERROR(__xludf.DUMMYFUNCTION("IFERROR(VLOOKUP(D186,
IMPORTRANGE(""https://docs.google.com/spreadsheets/d/1MjHtlUikwobi2MaWJgy7tfLeBmhj1u-dRFRs_8GwSoA/edit#gid=0"",""Gestores Escolares!D7:J""),6,0),""VERIFICAR CÓD SEC"")")," IZAURA SANTIAGO NOVAES")</f>
        <v> IZAURA SANTIAGO NOVAES</v>
      </c>
      <c r="P186" s="82" t="str">
        <f>IFERROR(__xludf.DUMMYFUNCTION("IFERROR(VLOOKUP(D186,
IMPORTRANGE(""https://docs.google.com/spreadsheets/d/1MjHtlUikwobi2MaWJgy7tfLeBmhj1u-dRFRs_8GwSoA/edit#gid=0"",""Gestores Escolares!D7:J""),7,0),""VERIFICAR CÓD SEC"")")," (73) 9 8864-8714")</f>
        <v> (73) 9 8864-8714</v>
      </c>
      <c r="Q186" s="82" t="str">
        <f>IFERROR(__xludf.DUMMYFUNCTION("IFERROR(VLOOKUP(D186,
IMPORTRANGE(""https://docs.google.com/spreadsheets/d/1MjHtlUikwobi2MaWJgy7tfLeBmhj1u-dRFRs_8GwSoA/edit#gid=0"",""Gestores Escolares!D7:m""),9,0),""VERIFICAR CÓD SEC"")"),"")</f>
        <v/>
      </c>
      <c r="R186" s="82" t="str">
        <f>IFERROR(__xludf.DUMMYFUNCTION("IFERROR(VLOOKUP(D186,
IMPORTRANGE(""https://docs.google.com/spreadsheets/d/1MjHtlUikwobi2MaWJgy7tfLeBmhj1u-dRFRs_8GwSoA/edit#gid=0"",""Gestores Escolares!D7:m""),10,0),""VERIFICAR CÓD SEC"")"),"")</f>
        <v/>
      </c>
      <c r="S186" s="82"/>
      <c r="T186" s="138">
        <v>6.0</v>
      </c>
      <c r="U186" s="145">
        <v>6.0</v>
      </c>
      <c r="V186" s="106">
        <v>0.0</v>
      </c>
      <c r="W186" s="107">
        <v>0.0</v>
      </c>
      <c r="X186" s="107">
        <v>0.0</v>
      </c>
      <c r="Y186" s="107">
        <v>0.0</v>
      </c>
      <c r="Z186" s="80">
        <f t="shared" si="1"/>
        <v>0</v>
      </c>
      <c r="AA186" s="106">
        <v>0.0</v>
      </c>
      <c r="AB186" s="107">
        <v>0.0</v>
      </c>
      <c r="AC186" s="107">
        <v>0.0</v>
      </c>
      <c r="AD186" s="107">
        <v>0.0</v>
      </c>
      <c r="AE186" s="80">
        <f t="shared" si="2"/>
        <v>0</v>
      </c>
      <c r="AF186" s="140">
        <v>0.0</v>
      </c>
      <c r="AG186" s="109">
        <v>0.0</v>
      </c>
      <c r="AH186" s="109">
        <v>0.0</v>
      </c>
      <c r="AI186" s="141">
        <v>145.0</v>
      </c>
      <c r="AJ186" s="80">
        <f t="shared" si="3"/>
        <v>145</v>
      </c>
      <c r="AK186" s="140">
        <v>0.0</v>
      </c>
      <c r="AL186" s="109">
        <v>0.0</v>
      </c>
      <c r="AM186" s="141">
        <v>0.0</v>
      </c>
      <c r="AN186" s="80">
        <f t="shared" si="4"/>
        <v>0</v>
      </c>
      <c r="AO186" s="140">
        <v>0.0</v>
      </c>
      <c r="AP186" s="109">
        <v>0.0</v>
      </c>
      <c r="AQ186" s="109">
        <v>16.0</v>
      </c>
      <c r="AR186" s="80">
        <f t="shared" si="5"/>
        <v>16</v>
      </c>
      <c r="AS186" s="110">
        <v>0.0</v>
      </c>
      <c r="AT186" s="110">
        <v>0.0</v>
      </c>
      <c r="AU186" s="110">
        <v>16.0</v>
      </c>
      <c r="AV186" s="142">
        <v>46.0</v>
      </c>
      <c r="AW186" s="80">
        <f t="shared" si="6"/>
        <v>62</v>
      </c>
      <c r="AX186" s="113">
        <f t="shared" si="7"/>
        <v>223</v>
      </c>
      <c r="AY186" s="117">
        <f t="shared" si="8"/>
        <v>191</v>
      </c>
      <c r="AZ186" s="120">
        <f t="shared" si="9"/>
        <v>32</v>
      </c>
      <c r="BA186" s="115">
        <v>0.0</v>
      </c>
      <c r="BB186" s="89">
        <f t="shared" si="10"/>
        <v>223</v>
      </c>
      <c r="BC186" s="132" t="s">
        <v>178</v>
      </c>
      <c r="BD186" s="132" t="s">
        <v>178</v>
      </c>
      <c r="BE186" s="132" t="s">
        <v>178</v>
      </c>
      <c r="BF186" s="123"/>
      <c r="BG186" s="83">
        <v>1124368.0</v>
      </c>
      <c r="BH186" s="112"/>
      <c r="BI186" s="112">
        <v>5.0</v>
      </c>
      <c r="BJ186" s="98" t="s">
        <v>162</v>
      </c>
      <c r="BK186" s="99">
        <f t="shared" si="11"/>
        <v>191</v>
      </c>
      <c r="BL186" s="99">
        <f t="shared" si="12"/>
        <v>0</v>
      </c>
      <c r="BM186" s="99" t="str">
        <f>IFERROR(__xludf.DUMMYFUNCTION("IFERROR(VLOOKUP(BG186,IMPORTRANGE(""https://docs.google.com/spreadsheets/d/1juPI-Fb8LD0YtltB2mlGEnp_R3UVu1t3wSFPzgCyHXE/edit?gid=0#gid=0"",""GERAL!A2:C""),3,0),""-"")"),"-")</f>
        <v>-</v>
      </c>
    </row>
    <row r="187" ht="15.75" customHeight="1">
      <c r="A187" s="111" t="s">
        <v>285</v>
      </c>
      <c r="B187" s="83" t="s">
        <v>849</v>
      </c>
      <c r="C187" s="191" t="s">
        <v>164</v>
      </c>
      <c r="D187" s="112">
        <v>1179283.0</v>
      </c>
      <c r="E187" s="83">
        <v>1178622.0</v>
      </c>
      <c r="F187" s="98">
        <v>2.9461502E7</v>
      </c>
      <c r="G187" s="114" t="s">
        <v>853</v>
      </c>
      <c r="H187" s="91" t="s">
        <v>854</v>
      </c>
      <c r="I187" s="136" t="s">
        <v>149</v>
      </c>
      <c r="J187" s="83" t="s">
        <v>855</v>
      </c>
      <c r="K187" s="83" t="s">
        <v>168</v>
      </c>
      <c r="L187" s="83" t="s">
        <v>169</v>
      </c>
      <c r="M187" s="82" t="str">
        <f>IFERROR(__xludf.DUMMYFUNCTION("IFERROR(VLOOKUP(D187,
IMPORTRANGE(""https://docs.google.com/spreadsheets/d/1MjHtlUikwobi2MaWJgy7tfLeBmhj1u-dRFRs_8GwSoA/edit#gid=0"",""Gestores Escolares!D7:J""),3,0),""VERIFICAR CÓD SEC"")"),"LAIZA BRANDAO MIRANDA")</f>
        <v>LAIZA BRANDAO MIRANDA</v>
      </c>
      <c r="N187" s="82" t="str">
        <f>IFERROR(__xludf.DUMMYFUNCTION("IFERROR(VLOOKUP(D187,
IMPORTRANGE(""https://docs.google.com/spreadsheets/d/1MjHtlUikwobi2MaWJgy7tfLeBmhj1u-dRFRs_8GwSoA/edit#gid=0"",""Gestores Escolares!D7:J""),4,0),""VERIFICAR CÓD SEC"")"),"(75) 9 9966-5253")</f>
        <v>(75) 9 9966-5253</v>
      </c>
      <c r="O187" s="82" t="str">
        <f>IFERROR(__xludf.DUMMYFUNCTION("IFERROR(VLOOKUP(D187,
IMPORTRANGE(""https://docs.google.com/spreadsheets/d/1MjHtlUikwobi2MaWJgy7tfLeBmhj1u-dRFRs_8GwSoA/edit#gid=0"",""Gestores Escolares!D7:J""),6,0),""VERIFICAR CÓD SEC"")"),"ROSANA ISABEL DO R. TELES")</f>
        <v>ROSANA ISABEL DO R. TELES</v>
      </c>
      <c r="P187" s="82" t="str">
        <f>IFERROR(__xludf.DUMMYFUNCTION("IFERROR(VLOOKUP(D187,
IMPORTRANGE(""https://docs.google.com/spreadsheets/d/1MjHtlUikwobi2MaWJgy7tfLeBmhj1u-dRFRs_8GwSoA/edit#gid=0"",""Gestores Escolares!D7:J""),7,0),""VERIFICAR CÓD SEC"")"),"(75) 9 9966-4696")</f>
        <v>(75) 9 9966-4696</v>
      </c>
      <c r="Q187" s="82" t="str">
        <f>IFERROR(__xludf.DUMMYFUNCTION("IFERROR(VLOOKUP(D187,
IMPORTRANGE(""https://docs.google.com/spreadsheets/d/1MjHtlUikwobi2MaWJgy7tfLeBmhj1u-dRFRs_8GwSoA/edit#gid=0"",""Gestores Escolares!D7:m""),9,0),""VERIFICAR CÓD SEC"")"),"MOZART MACEDO XAVIER")</f>
        <v>MOZART MACEDO XAVIER</v>
      </c>
      <c r="R187" s="82" t="str">
        <f>IFERROR(__xludf.DUMMYFUNCTION("IFERROR(VLOOKUP(D187,
IMPORTRANGE(""https://docs.google.com/spreadsheets/d/1MjHtlUikwobi2MaWJgy7tfLeBmhj1u-dRFRs_8GwSoA/edit#gid=0"",""Gestores Escolares!D7:m""),10,0),""VERIFICAR CÓD SEC"")"),"(75) 9 9918-1536")</f>
        <v>(75) 9 9918-1536</v>
      </c>
      <c r="S187" s="82"/>
      <c r="T187" s="138">
        <v>3.0</v>
      </c>
      <c r="U187" s="139">
        <v>3.0</v>
      </c>
      <c r="V187" s="106">
        <v>0.0</v>
      </c>
      <c r="W187" s="107">
        <v>0.0</v>
      </c>
      <c r="X187" s="107">
        <v>0.0</v>
      </c>
      <c r="Y187" s="107">
        <v>0.0</v>
      </c>
      <c r="Z187" s="80">
        <f t="shared" si="1"/>
        <v>0</v>
      </c>
      <c r="AA187" s="106">
        <v>0.0</v>
      </c>
      <c r="AB187" s="107">
        <v>0.0</v>
      </c>
      <c r="AC187" s="107">
        <v>0.0</v>
      </c>
      <c r="AD187" s="107">
        <v>0.0</v>
      </c>
      <c r="AE187" s="80">
        <f t="shared" si="2"/>
        <v>0</v>
      </c>
      <c r="AF187" s="140">
        <v>0.0</v>
      </c>
      <c r="AG187" s="109">
        <v>0.0</v>
      </c>
      <c r="AH187" s="109">
        <v>30.0</v>
      </c>
      <c r="AI187" s="141">
        <v>0.0</v>
      </c>
      <c r="AJ187" s="80">
        <f t="shared" si="3"/>
        <v>30</v>
      </c>
      <c r="AK187" s="140">
        <v>0.0</v>
      </c>
      <c r="AL187" s="109">
        <v>0.0</v>
      </c>
      <c r="AM187" s="141">
        <v>0.0</v>
      </c>
      <c r="AN187" s="80">
        <f t="shared" si="4"/>
        <v>0</v>
      </c>
      <c r="AO187" s="140">
        <v>0.0</v>
      </c>
      <c r="AP187" s="109">
        <v>0.0</v>
      </c>
      <c r="AQ187" s="109">
        <v>0.0</v>
      </c>
      <c r="AR187" s="80">
        <f t="shared" si="5"/>
        <v>0</v>
      </c>
      <c r="AS187" s="110">
        <v>0.0</v>
      </c>
      <c r="AT187" s="110">
        <v>0.0</v>
      </c>
      <c r="AU187" s="110">
        <v>0.0</v>
      </c>
      <c r="AV187" s="142">
        <v>0.0</v>
      </c>
      <c r="AW187" s="80">
        <f t="shared" si="6"/>
        <v>0</v>
      </c>
      <c r="AX187" s="113">
        <f t="shared" si="7"/>
        <v>30</v>
      </c>
      <c r="AY187" s="117">
        <f t="shared" si="8"/>
        <v>0</v>
      </c>
      <c r="AZ187" s="120">
        <f t="shared" si="9"/>
        <v>30</v>
      </c>
      <c r="BA187" s="115">
        <v>0.0</v>
      </c>
      <c r="BB187" s="89">
        <f t="shared" si="10"/>
        <v>30</v>
      </c>
      <c r="BC187" s="132" t="s">
        <v>178</v>
      </c>
      <c r="BD187" s="143" t="s">
        <v>227</v>
      </c>
      <c r="BE187" s="132" t="s">
        <v>178</v>
      </c>
      <c r="BF187" s="123"/>
      <c r="BG187" s="83">
        <v>1178622.0</v>
      </c>
      <c r="BH187" s="112"/>
      <c r="BI187" s="112">
        <v>3.0</v>
      </c>
      <c r="BJ187" s="98" t="s">
        <v>155</v>
      </c>
      <c r="BK187" s="99">
        <f t="shared" si="11"/>
        <v>0</v>
      </c>
      <c r="BL187" s="99">
        <f t="shared" si="12"/>
        <v>0</v>
      </c>
      <c r="BM187" s="99" t="str">
        <f>IFERROR(__xludf.DUMMYFUNCTION("IFERROR(VLOOKUP(BG187,IMPORTRANGE(""https://docs.google.com/spreadsheets/d/1juPI-Fb8LD0YtltB2mlGEnp_R3UVu1t3wSFPzgCyHXE/edit?gid=0#gid=0"",""GERAL!A2:C""),3,0),""-"")"),"-")</f>
        <v>-</v>
      </c>
    </row>
    <row r="188" ht="15.75" customHeight="1">
      <c r="A188" s="111" t="s">
        <v>285</v>
      </c>
      <c r="B188" s="83" t="s">
        <v>849</v>
      </c>
      <c r="C188" s="83" t="s">
        <v>164</v>
      </c>
      <c r="D188" s="84">
        <v>1179283.0</v>
      </c>
      <c r="E188" s="83">
        <v>1178625.0</v>
      </c>
      <c r="F188" s="98">
        <v>2.9461502E7</v>
      </c>
      <c r="G188" s="114" t="s">
        <v>856</v>
      </c>
      <c r="H188" s="91" t="s">
        <v>857</v>
      </c>
      <c r="I188" s="136" t="s">
        <v>149</v>
      </c>
      <c r="J188" s="83" t="s">
        <v>187</v>
      </c>
      <c r="K188" s="83" t="s">
        <v>168</v>
      </c>
      <c r="L188" s="83" t="s">
        <v>169</v>
      </c>
      <c r="M188" s="82" t="str">
        <f>IFERROR(__xludf.DUMMYFUNCTION("IFERROR(VLOOKUP(D188,
IMPORTRANGE(""https://docs.google.com/spreadsheets/d/1MjHtlUikwobi2MaWJgy7tfLeBmhj1u-dRFRs_8GwSoA/edit#gid=0"",""Gestores Escolares!D7:J""),3,0),""VERIFICAR CÓD SEC"")"),"LAIZA BRANDAO MIRANDA")</f>
        <v>LAIZA BRANDAO MIRANDA</v>
      </c>
      <c r="N188" s="82" t="str">
        <f>IFERROR(__xludf.DUMMYFUNCTION("IFERROR(VLOOKUP(D188,
IMPORTRANGE(""https://docs.google.com/spreadsheets/d/1MjHtlUikwobi2MaWJgy7tfLeBmhj1u-dRFRs_8GwSoA/edit#gid=0"",""Gestores Escolares!D7:J""),4,0),""VERIFICAR CÓD SEC"")"),"(75) 9 9966-5253")</f>
        <v>(75) 9 9966-5253</v>
      </c>
      <c r="O188" s="82" t="str">
        <f>IFERROR(__xludf.DUMMYFUNCTION("IFERROR(VLOOKUP(D188,
IMPORTRANGE(""https://docs.google.com/spreadsheets/d/1MjHtlUikwobi2MaWJgy7tfLeBmhj1u-dRFRs_8GwSoA/edit#gid=0"",""Gestores Escolares!D7:J""),6,0),""VERIFICAR CÓD SEC"")"),"ROSANA ISABEL DO R. TELES")</f>
        <v>ROSANA ISABEL DO R. TELES</v>
      </c>
      <c r="P188" s="82" t="str">
        <f>IFERROR(__xludf.DUMMYFUNCTION("IFERROR(VLOOKUP(D188,
IMPORTRANGE(""https://docs.google.com/spreadsheets/d/1MjHtlUikwobi2MaWJgy7tfLeBmhj1u-dRFRs_8GwSoA/edit#gid=0"",""Gestores Escolares!D7:J""),7,0),""VERIFICAR CÓD SEC"")"),"(75) 9 9966-4696")</f>
        <v>(75) 9 9966-4696</v>
      </c>
      <c r="Q188" s="82" t="str">
        <f>IFERROR(__xludf.DUMMYFUNCTION("IFERROR(VLOOKUP(D188,
IMPORTRANGE(""https://docs.google.com/spreadsheets/d/1MjHtlUikwobi2MaWJgy7tfLeBmhj1u-dRFRs_8GwSoA/edit#gid=0"",""Gestores Escolares!D7:m""),9,0),""VERIFICAR CÓD SEC"")"),"MOZART MACEDO XAVIER")</f>
        <v>MOZART MACEDO XAVIER</v>
      </c>
      <c r="R188" s="82" t="str">
        <f>IFERROR(__xludf.DUMMYFUNCTION("IFERROR(VLOOKUP(D188,
IMPORTRANGE(""https://docs.google.com/spreadsheets/d/1MjHtlUikwobi2MaWJgy7tfLeBmhj1u-dRFRs_8GwSoA/edit#gid=0"",""Gestores Escolares!D7:m""),10,0),""VERIFICAR CÓD SEC"")"),"(75) 9 9918-1536")</f>
        <v>(75) 9 9918-1536</v>
      </c>
      <c r="S188" s="82"/>
      <c r="T188" s="138">
        <v>3.0</v>
      </c>
      <c r="U188" s="139">
        <v>3.0</v>
      </c>
      <c r="V188" s="106">
        <v>0.0</v>
      </c>
      <c r="W188" s="107">
        <v>0.0</v>
      </c>
      <c r="X188" s="107">
        <v>0.0</v>
      </c>
      <c r="Y188" s="107">
        <v>0.0</v>
      </c>
      <c r="Z188" s="80">
        <f t="shared" si="1"/>
        <v>0</v>
      </c>
      <c r="AA188" s="106">
        <v>0.0</v>
      </c>
      <c r="AB188" s="107">
        <v>0.0</v>
      </c>
      <c r="AC188" s="107">
        <v>0.0</v>
      </c>
      <c r="AD188" s="107">
        <v>0.0</v>
      </c>
      <c r="AE188" s="80">
        <f t="shared" si="2"/>
        <v>0</v>
      </c>
      <c r="AF188" s="140">
        <v>0.0</v>
      </c>
      <c r="AG188" s="109">
        <v>46.0</v>
      </c>
      <c r="AH188" s="109">
        <v>0.0</v>
      </c>
      <c r="AI188" s="141">
        <v>0.0</v>
      </c>
      <c r="AJ188" s="80">
        <f t="shared" si="3"/>
        <v>46</v>
      </c>
      <c r="AK188" s="140">
        <v>0.0</v>
      </c>
      <c r="AL188" s="109">
        <v>0.0</v>
      </c>
      <c r="AM188" s="141">
        <v>0.0</v>
      </c>
      <c r="AN188" s="80">
        <f t="shared" si="4"/>
        <v>0</v>
      </c>
      <c r="AO188" s="140">
        <v>0.0</v>
      </c>
      <c r="AP188" s="109">
        <v>0.0</v>
      </c>
      <c r="AQ188" s="109">
        <v>0.0</v>
      </c>
      <c r="AR188" s="80">
        <f t="shared" si="5"/>
        <v>0</v>
      </c>
      <c r="AS188" s="110">
        <v>0.0</v>
      </c>
      <c r="AT188" s="110">
        <v>0.0</v>
      </c>
      <c r="AU188" s="110">
        <v>0.0</v>
      </c>
      <c r="AV188" s="142">
        <v>0.0</v>
      </c>
      <c r="AW188" s="80">
        <f t="shared" si="6"/>
        <v>0</v>
      </c>
      <c r="AX188" s="113">
        <f t="shared" si="7"/>
        <v>46</v>
      </c>
      <c r="AY188" s="117">
        <f t="shared" si="8"/>
        <v>46</v>
      </c>
      <c r="AZ188" s="120">
        <f t="shared" si="9"/>
        <v>0</v>
      </c>
      <c r="BA188" s="115">
        <v>0.0</v>
      </c>
      <c r="BB188" s="89">
        <f t="shared" si="10"/>
        <v>46</v>
      </c>
      <c r="BC188" s="132" t="s">
        <v>178</v>
      </c>
      <c r="BD188" s="143" t="s">
        <v>227</v>
      </c>
      <c r="BE188" s="132" t="s">
        <v>178</v>
      </c>
      <c r="BF188" s="123"/>
      <c r="BG188" s="83">
        <v>1178625.0</v>
      </c>
      <c r="BH188" s="112"/>
      <c r="BI188" s="112">
        <v>3.0</v>
      </c>
      <c r="BJ188" s="98" t="s">
        <v>155</v>
      </c>
      <c r="BK188" s="99">
        <f t="shared" si="11"/>
        <v>0</v>
      </c>
      <c r="BL188" s="99">
        <f t="shared" si="12"/>
        <v>46</v>
      </c>
      <c r="BM188" s="99" t="str">
        <f>IFERROR(__xludf.DUMMYFUNCTION("IFERROR(VLOOKUP(BG188,IMPORTRANGE(""https://docs.google.com/spreadsheets/d/1juPI-Fb8LD0YtltB2mlGEnp_R3UVu1t3wSFPzgCyHXE/edit?gid=0#gid=0"",""GERAL!A2:C""),3,0),""-"")"),"-")</f>
        <v>-</v>
      </c>
    </row>
    <row r="189" ht="15.75" customHeight="1">
      <c r="A189" s="111" t="s">
        <v>285</v>
      </c>
      <c r="B189" s="83" t="s">
        <v>849</v>
      </c>
      <c r="C189" s="83" t="s">
        <v>164</v>
      </c>
      <c r="D189" s="84">
        <v>1179283.0</v>
      </c>
      <c r="E189" s="83">
        <v>1178621.0</v>
      </c>
      <c r="F189" s="98">
        <v>2.9461502E7</v>
      </c>
      <c r="G189" s="114" t="s">
        <v>858</v>
      </c>
      <c r="H189" s="125" t="s">
        <v>859</v>
      </c>
      <c r="I189" s="136" t="s">
        <v>149</v>
      </c>
      <c r="J189" s="83" t="s">
        <v>334</v>
      </c>
      <c r="K189" s="83" t="s">
        <v>168</v>
      </c>
      <c r="L189" s="83" t="s">
        <v>169</v>
      </c>
      <c r="M189" s="82" t="str">
        <f>IFERROR(__xludf.DUMMYFUNCTION("IFERROR(VLOOKUP(D189,
IMPORTRANGE(""https://docs.google.com/spreadsheets/d/1MjHtlUikwobi2MaWJgy7tfLeBmhj1u-dRFRs_8GwSoA/edit#gid=0"",""Gestores Escolares!D7:J""),3,0),""VERIFICAR CÓD SEC"")"),"LAIZA BRANDAO MIRANDA")</f>
        <v>LAIZA BRANDAO MIRANDA</v>
      </c>
      <c r="N189" s="82" t="str">
        <f>IFERROR(__xludf.DUMMYFUNCTION("IFERROR(VLOOKUP(D189,
IMPORTRANGE(""https://docs.google.com/spreadsheets/d/1MjHtlUikwobi2MaWJgy7tfLeBmhj1u-dRFRs_8GwSoA/edit#gid=0"",""Gestores Escolares!D7:J""),4,0),""VERIFICAR CÓD SEC"")"),"(75) 9 9966-5253")</f>
        <v>(75) 9 9966-5253</v>
      </c>
      <c r="O189" s="82" t="str">
        <f>IFERROR(__xludf.DUMMYFUNCTION("IFERROR(VLOOKUP(D189,
IMPORTRANGE(""https://docs.google.com/spreadsheets/d/1MjHtlUikwobi2MaWJgy7tfLeBmhj1u-dRFRs_8GwSoA/edit#gid=0"",""Gestores Escolares!D7:J""),6,0),""VERIFICAR CÓD SEC"")"),"ROSANA ISABEL DO R. TELES")</f>
        <v>ROSANA ISABEL DO R. TELES</v>
      </c>
      <c r="P189" s="82" t="str">
        <f>IFERROR(__xludf.DUMMYFUNCTION("IFERROR(VLOOKUP(D189,
IMPORTRANGE(""https://docs.google.com/spreadsheets/d/1MjHtlUikwobi2MaWJgy7tfLeBmhj1u-dRFRs_8GwSoA/edit#gid=0"",""Gestores Escolares!D7:J""),7,0),""VERIFICAR CÓD SEC"")"),"(75) 9 9966-4696")</f>
        <v>(75) 9 9966-4696</v>
      </c>
      <c r="Q189" s="82" t="str">
        <f>IFERROR(__xludf.DUMMYFUNCTION("IFERROR(VLOOKUP(D189,
IMPORTRANGE(""https://docs.google.com/spreadsheets/d/1MjHtlUikwobi2MaWJgy7tfLeBmhj1u-dRFRs_8GwSoA/edit#gid=0"",""Gestores Escolares!D7:m""),9,0),""VERIFICAR CÓD SEC"")"),"MOZART MACEDO XAVIER")</f>
        <v>MOZART MACEDO XAVIER</v>
      </c>
      <c r="R189" s="82" t="str">
        <f>IFERROR(__xludf.DUMMYFUNCTION("IFERROR(VLOOKUP(D189,
IMPORTRANGE(""https://docs.google.com/spreadsheets/d/1MjHtlUikwobi2MaWJgy7tfLeBmhj1u-dRFRs_8GwSoA/edit#gid=0"",""Gestores Escolares!D7:m""),10,0),""VERIFICAR CÓD SEC"")"),"(75) 9 9918-1536")</f>
        <v>(75) 9 9918-1536</v>
      </c>
      <c r="S189" s="82"/>
      <c r="T189" s="138">
        <v>3.0</v>
      </c>
      <c r="U189" s="139">
        <v>3.0</v>
      </c>
      <c r="V189" s="106">
        <v>0.0</v>
      </c>
      <c r="W189" s="107">
        <v>0.0</v>
      </c>
      <c r="X189" s="107">
        <v>0.0</v>
      </c>
      <c r="Y189" s="107">
        <v>0.0</v>
      </c>
      <c r="Z189" s="80">
        <f t="shared" si="1"/>
        <v>0</v>
      </c>
      <c r="AA189" s="106">
        <v>0.0</v>
      </c>
      <c r="AB189" s="107">
        <v>0.0</v>
      </c>
      <c r="AC189" s="107">
        <v>0.0</v>
      </c>
      <c r="AD189" s="107">
        <v>0.0</v>
      </c>
      <c r="AE189" s="80">
        <f t="shared" si="2"/>
        <v>0</v>
      </c>
      <c r="AF189" s="140">
        <v>0.0</v>
      </c>
      <c r="AG189" s="109">
        <v>0.0</v>
      </c>
      <c r="AH189" s="109">
        <v>21.0</v>
      </c>
      <c r="AI189" s="141">
        <v>0.0</v>
      </c>
      <c r="AJ189" s="80">
        <f t="shared" si="3"/>
        <v>21</v>
      </c>
      <c r="AK189" s="140">
        <v>0.0</v>
      </c>
      <c r="AL189" s="109">
        <v>0.0</v>
      </c>
      <c r="AM189" s="141">
        <v>0.0</v>
      </c>
      <c r="AN189" s="80">
        <f t="shared" si="4"/>
        <v>0</v>
      </c>
      <c r="AO189" s="140">
        <v>0.0</v>
      </c>
      <c r="AP189" s="109">
        <v>0.0</v>
      </c>
      <c r="AQ189" s="109">
        <v>0.0</v>
      </c>
      <c r="AR189" s="80">
        <f t="shared" si="5"/>
        <v>0</v>
      </c>
      <c r="AS189" s="110">
        <v>0.0</v>
      </c>
      <c r="AT189" s="110">
        <v>0.0</v>
      </c>
      <c r="AU189" s="110">
        <v>0.0</v>
      </c>
      <c r="AV189" s="142">
        <v>0.0</v>
      </c>
      <c r="AW189" s="80">
        <f t="shared" si="6"/>
        <v>0</v>
      </c>
      <c r="AX189" s="113">
        <f t="shared" si="7"/>
        <v>21</v>
      </c>
      <c r="AY189" s="117">
        <f t="shared" si="8"/>
        <v>0</v>
      </c>
      <c r="AZ189" s="120">
        <f t="shared" si="9"/>
        <v>21</v>
      </c>
      <c r="BA189" s="115">
        <v>0.0</v>
      </c>
      <c r="BB189" s="89">
        <f t="shared" si="10"/>
        <v>21</v>
      </c>
      <c r="BC189" s="132" t="s">
        <v>178</v>
      </c>
      <c r="BD189" s="143" t="s">
        <v>227</v>
      </c>
      <c r="BE189" s="132" t="s">
        <v>178</v>
      </c>
      <c r="BF189" s="123"/>
      <c r="BG189" s="83">
        <v>1178621.0</v>
      </c>
      <c r="BH189" s="112"/>
      <c r="BI189" s="112">
        <v>3.0</v>
      </c>
      <c r="BJ189" s="98" t="s">
        <v>155</v>
      </c>
      <c r="BK189" s="99">
        <f t="shared" si="11"/>
        <v>0</v>
      </c>
      <c r="BL189" s="99">
        <f t="shared" si="12"/>
        <v>0</v>
      </c>
      <c r="BM189" s="99" t="str">
        <f>IFERROR(__xludf.DUMMYFUNCTION("IFERROR(VLOOKUP(BG189,IMPORTRANGE(""https://docs.google.com/spreadsheets/d/1juPI-Fb8LD0YtltB2mlGEnp_R3UVu1t3wSFPzgCyHXE/edit?gid=0#gid=0"",""GERAL!A2:C""),3,0),""-"")"),"-")</f>
        <v>-</v>
      </c>
    </row>
    <row r="190" ht="15.75" customHeight="1">
      <c r="A190" s="111" t="s">
        <v>285</v>
      </c>
      <c r="B190" s="83" t="s">
        <v>849</v>
      </c>
      <c r="C190" s="83" t="s">
        <v>164</v>
      </c>
      <c r="D190" s="84">
        <v>1179283.0</v>
      </c>
      <c r="E190" s="83">
        <v>1178624.0</v>
      </c>
      <c r="F190" s="98">
        <v>2.9461502E7</v>
      </c>
      <c r="G190" s="114" t="s">
        <v>861</v>
      </c>
      <c r="H190" s="91" t="s">
        <v>862</v>
      </c>
      <c r="I190" s="136" t="s">
        <v>149</v>
      </c>
      <c r="J190" s="83" t="s">
        <v>310</v>
      </c>
      <c r="K190" s="83" t="s">
        <v>168</v>
      </c>
      <c r="L190" s="83" t="s">
        <v>169</v>
      </c>
      <c r="M190" s="82" t="str">
        <f>IFERROR(__xludf.DUMMYFUNCTION("IFERROR(VLOOKUP(D190,
IMPORTRANGE(""https://docs.google.com/spreadsheets/d/1MjHtlUikwobi2MaWJgy7tfLeBmhj1u-dRFRs_8GwSoA/edit#gid=0"",""Gestores Escolares!D7:J""),3,0),""VERIFICAR CÓD SEC"")"),"LAIZA BRANDAO MIRANDA")</f>
        <v>LAIZA BRANDAO MIRANDA</v>
      </c>
      <c r="N190" s="82" t="str">
        <f>IFERROR(__xludf.DUMMYFUNCTION("IFERROR(VLOOKUP(D190,
IMPORTRANGE(""https://docs.google.com/spreadsheets/d/1MjHtlUikwobi2MaWJgy7tfLeBmhj1u-dRFRs_8GwSoA/edit#gid=0"",""Gestores Escolares!D7:J""),4,0),""VERIFICAR CÓD SEC"")"),"(75) 9 9966-5253")</f>
        <v>(75) 9 9966-5253</v>
      </c>
      <c r="O190" s="82" t="str">
        <f>IFERROR(__xludf.DUMMYFUNCTION("IFERROR(VLOOKUP(D190,
IMPORTRANGE(""https://docs.google.com/spreadsheets/d/1MjHtlUikwobi2MaWJgy7tfLeBmhj1u-dRFRs_8GwSoA/edit#gid=0"",""Gestores Escolares!D7:J""),6,0),""VERIFICAR CÓD SEC"")"),"ROSANA ISABEL DO R. TELES")</f>
        <v>ROSANA ISABEL DO R. TELES</v>
      </c>
      <c r="P190" s="82" t="str">
        <f>IFERROR(__xludf.DUMMYFUNCTION("IFERROR(VLOOKUP(D190,
IMPORTRANGE(""https://docs.google.com/spreadsheets/d/1MjHtlUikwobi2MaWJgy7tfLeBmhj1u-dRFRs_8GwSoA/edit#gid=0"",""Gestores Escolares!D7:J""),7,0),""VERIFICAR CÓD SEC"")"),"(75) 9 9966-4696")</f>
        <v>(75) 9 9966-4696</v>
      </c>
      <c r="Q190" s="82" t="str">
        <f>IFERROR(__xludf.DUMMYFUNCTION("IFERROR(VLOOKUP(D190,
IMPORTRANGE(""https://docs.google.com/spreadsheets/d/1MjHtlUikwobi2MaWJgy7tfLeBmhj1u-dRFRs_8GwSoA/edit#gid=0"",""Gestores Escolares!D7:m""),9,0),""VERIFICAR CÓD SEC"")"),"MOZART MACEDO XAVIER")</f>
        <v>MOZART MACEDO XAVIER</v>
      </c>
      <c r="R190" s="82" t="str">
        <f>IFERROR(__xludf.DUMMYFUNCTION("IFERROR(VLOOKUP(D190,
IMPORTRANGE(""https://docs.google.com/spreadsheets/d/1MjHtlUikwobi2MaWJgy7tfLeBmhj1u-dRFRs_8GwSoA/edit#gid=0"",""Gestores Escolares!D7:m""),10,0),""VERIFICAR CÓD SEC"")"),"(75) 9 9918-1536")</f>
        <v>(75) 9 9918-1536</v>
      </c>
      <c r="S190" s="82"/>
      <c r="T190" s="138">
        <v>3.0</v>
      </c>
      <c r="U190" s="145">
        <v>2.0</v>
      </c>
      <c r="V190" s="106">
        <v>0.0</v>
      </c>
      <c r="W190" s="107">
        <v>0.0</v>
      </c>
      <c r="X190" s="107">
        <v>0.0</v>
      </c>
      <c r="Y190" s="107">
        <v>0.0</v>
      </c>
      <c r="Z190" s="80">
        <f t="shared" si="1"/>
        <v>0</v>
      </c>
      <c r="AA190" s="106">
        <v>0.0</v>
      </c>
      <c r="AB190" s="107">
        <v>0.0</v>
      </c>
      <c r="AC190" s="107">
        <v>0.0</v>
      </c>
      <c r="AD190" s="107">
        <v>0.0</v>
      </c>
      <c r="AE190" s="80">
        <f t="shared" si="2"/>
        <v>0</v>
      </c>
      <c r="AF190" s="140">
        <v>28.0</v>
      </c>
      <c r="AG190" s="109">
        <v>14.0</v>
      </c>
      <c r="AH190" s="109">
        <v>0.0</v>
      </c>
      <c r="AI190" s="141">
        <v>0.0</v>
      </c>
      <c r="AJ190" s="80">
        <f t="shared" si="3"/>
        <v>42</v>
      </c>
      <c r="AK190" s="140">
        <v>0.0</v>
      </c>
      <c r="AL190" s="109">
        <v>0.0</v>
      </c>
      <c r="AM190" s="141">
        <v>0.0</v>
      </c>
      <c r="AN190" s="80">
        <f t="shared" si="4"/>
        <v>0</v>
      </c>
      <c r="AO190" s="140">
        <v>0.0</v>
      </c>
      <c r="AP190" s="109">
        <v>0.0</v>
      </c>
      <c r="AQ190" s="109">
        <v>0.0</v>
      </c>
      <c r="AR190" s="80">
        <f t="shared" si="5"/>
        <v>0</v>
      </c>
      <c r="AS190" s="110">
        <v>0.0</v>
      </c>
      <c r="AT190" s="110">
        <v>0.0</v>
      </c>
      <c r="AU190" s="110">
        <v>0.0</v>
      </c>
      <c r="AV190" s="142">
        <v>0.0</v>
      </c>
      <c r="AW190" s="80">
        <f t="shared" si="6"/>
        <v>0</v>
      </c>
      <c r="AX190" s="113">
        <f t="shared" si="7"/>
        <v>42</v>
      </c>
      <c r="AY190" s="117">
        <f t="shared" si="8"/>
        <v>42</v>
      </c>
      <c r="AZ190" s="120">
        <f t="shared" si="9"/>
        <v>0</v>
      </c>
      <c r="BA190" s="115">
        <v>0.0</v>
      </c>
      <c r="BB190" s="89">
        <f t="shared" si="10"/>
        <v>42</v>
      </c>
      <c r="BC190" s="132" t="s">
        <v>178</v>
      </c>
      <c r="BD190" s="143" t="s">
        <v>227</v>
      </c>
      <c r="BE190" s="132" t="s">
        <v>178</v>
      </c>
      <c r="BF190" s="123"/>
      <c r="BG190" s="83">
        <v>1178624.0</v>
      </c>
      <c r="BH190" s="112"/>
      <c r="BI190" s="112">
        <v>3.0</v>
      </c>
      <c r="BJ190" s="98" t="s">
        <v>162</v>
      </c>
      <c r="BK190" s="99">
        <f t="shared" si="11"/>
        <v>0</v>
      </c>
      <c r="BL190" s="99">
        <f t="shared" si="12"/>
        <v>42</v>
      </c>
      <c r="BM190" s="99" t="str">
        <f>IFERROR(__xludf.DUMMYFUNCTION("IFERROR(VLOOKUP(BG190,IMPORTRANGE(""https://docs.google.com/spreadsheets/d/1juPI-Fb8LD0YtltB2mlGEnp_R3UVu1t3wSFPzgCyHXE/edit?gid=0#gid=0"",""GERAL!A2:C""),3,0),""-"")"),"-")</f>
        <v>-</v>
      </c>
    </row>
    <row r="191" ht="15.75" customHeight="1">
      <c r="A191" s="111" t="s">
        <v>285</v>
      </c>
      <c r="B191" s="83" t="s">
        <v>849</v>
      </c>
      <c r="C191" s="83" t="s">
        <v>164</v>
      </c>
      <c r="D191" s="112">
        <v>1179283.0</v>
      </c>
      <c r="E191" s="83">
        <v>1178623.0</v>
      </c>
      <c r="F191" s="98">
        <v>2.9461502E7</v>
      </c>
      <c r="G191" s="114" t="s">
        <v>863</v>
      </c>
      <c r="H191" s="91" t="s">
        <v>864</v>
      </c>
      <c r="I191" s="136" t="s">
        <v>149</v>
      </c>
      <c r="J191" s="83" t="s">
        <v>865</v>
      </c>
      <c r="K191" s="83" t="s">
        <v>168</v>
      </c>
      <c r="L191" s="83" t="s">
        <v>169</v>
      </c>
      <c r="M191" s="82" t="str">
        <f>IFERROR(__xludf.DUMMYFUNCTION("IFERROR(VLOOKUP(D191,
IMPORTRANGE(""https://docs.google.com/spreadsheets/d/1MjHtlUikwobi2MaWJgy7tfLeBmhj1u-dRFRs_8GwSoA/edit#gid=0"",""Gestores Escolares!D7:J""),3,0),""VERIFICAR CÓD SEC"")"),"LAIZA BRANDAO MIRANDA")</f>
        <v>LAIZA BRANDAO MIRANDA</v>
      </c>
      <c r="N191" s="82" t="str">
        <f>IFERROR(__xludf.DUMMYFUNCTION("IFERROR(VLOOKUP(D191,
IMPORTRANGE(""https://docs.google.com/spreadsheets/d/1MjHtlUikwobi2MaWJgy7tfLeBmhj1u-dRFRs_8GwSoA/edit#gid=0"",""Gestores Escolares!D7:J""),4,0),""VERIFICAR CÓD SEC"")"),"(75) 9 9966-5253")</f>
        <v>(75) 9 9966-5253</v>
      </c>
      <c r="O191" s="82" t="str">
        <f>IFERROR(__xludf.DUMMYFUNCTION("IFERROR(VLOOKUP(D191,
IMPORTRANGE(""https://docs.google.com/spreadsheets/d/1MjHtlUikwobi2MaWJgy7tfLeBmhj1u-dRFRs_8GwSoA/edit#gid=0"",""Gestores Escolares!D7:J""),6,0),""VERIFICAR CÓD SEC"")"),"ROSANA ISABEL DO R. TELES")</f>
        <v>ROSANA ISABEL DO R. TELES</v>
      </c>
      <c r="P191" s="82" t="str">
        <f>IFERROR(__xludf.DUMMYFUNCTION("IFERROR(VLOOKUP(D191,
IMPORTRANGE(""https://docs.google.com/spreadsheets/d/1MjHtlUikwobi2MaWJgy7tfLeBmhj1u-dRFRs_8GwSoA/edit#gid=0"",""Gestores Escolares!D7:J""),7,0),""VERIFICAR CÓD SEC"")"),"(75) 9 9966-4696")</f>
        <v>(75) 9 9966-4696</v>
      </c>
      <c r="Q191" s="82" t="str">
        <f>IFERROR(__xludf.DUMMYFUNCTION("IFERROR(VLOOKUP(D191,
IMPORTRANGE(""https://docs.google.com/spreadsheets/d/1MjHtlUikwobi2MaWJgy7tfLeBmhj1u-dRFRs_8GwSoA/edit#gid=0"",""Gestores Escolares!D7:m""),9,0),""VERIFICAR CÓD SEC"")"),"MOZART MACEDO XAVIER")</f>
        <v>MOZART MACEDO XAVIER</v>
      </c>
      <c r="R191" s="82" t="str">
        <f>IFERROR(__xludf.DUMMYFUNCTION("IFERROR(VLOOKUP(D191,
IMPORTRANGE(""https://docs.google.com/spreadsheets/d/1MjHtlUikwobi2MaWJgy7tfLeBmhj1u-dRFRs_8GwSoA/edit#gid=0"",""Gestores Escolares!D7:m""),10,0),""VERIFICAR CÓD SEC"")"),"(75) 9 9918-1536")</f>
        <v>(75) 9 9918-1536</v>
      </c>
      <c r="S191" s="82"/>
      <c r="T191" s="138">
        <v>3.0</v>
      </c>
      <c r="U191" s="139">
        <v>3.0</v>
      </c>
      <c r="V191" s="106">
        <v>0.0</v>
      </c>
      <c r="W191" s="107">
        <v>0.0</v>
      </c>
      <c r="X191" s="107">
        <v>0.0</v>
      </c>
      <c r="Y191" s="107">
        <v>0.0</v>
      </c>
      <c r="Z191" s="80">
        <f t="shared" si="1"/>
        <v>0</v>
      </c>
      <c r="AA191" s="106">
        <v>0.0</v>
      </c>
      <c r="AB191" s="107">
        <v>0.0</v>
      </c>
      <c r="AC191" s="107">
        <v>0.0</v>
      </c>
      <c r="AD191" s="107">
        <v>0.0</v>
      </c>
      <c r="AE191" s="80">
        <f t="shared" si="2"/>
        <v>0</v>
      </c>
      <c r="AF191" s="140">
        <v>0.0</v>
      </c>
      <c r="AG191" s="109">
        <v>0.0</v>
      </c>
      <c r="AH191" s="109">
        <v>14.0</v>
      </c>
      <c r="AI191" s="141">
        <v>0.0</v>
      </c>
      <c r="AJ191" s="80">
        <f t="shared" si="3"/>
        <v>14</v>
      </c>
      <c r="AK191" s="140">
        <v>0.0</v>
      </c>
      <c r="AL191" s="109">
        <v>0.0</v>
      </c>
      <c r="AM191" s="141">
        <v>0.0</v>
      </c>
      <c r="AN191" s="80">
        <f t="shared" si="4"/>
        <v>0</v>
      </c>
      <c r="AO191" s="140">
        <v>0.0</v>
      </c>
      <c r="AP191" s="109">
        <v>0.0</v>
      </c>
      <c r="AQ191" s="109">
        <v>0.0</v>
      </c>
      <c r="AR191" s="80">
        <f t="shared" si="5"/>
        <v>0</v>
      </c>
      <c r="AS191" s="110">
        <v>0.0</v>
      </c>
      <c r="AT191" s="110">
        <v>0.0</v>
      </c>
      <c r="AU191" s="110">
        <v>0.0</v>
      </c>
      <c r="AV191" s="142">
        <v>0.0</v>
      </c>
      <c r="AW191" s="80">
        <f t="shared" si="6"/>
        <v>0</v>
      </c>
      <c r="AX191" s="113">
        <f t="shared" si="7"/>
        <v>14</v>
      </c>
      <c r="AY191" s="117">
        <f t="shared" si="8"/>
        <v>0</v>
      </c>
      <c r="AZ191" s="120">
        <f t="shared" si="9"/>
        <v>14</v>
      </c>
      <c r="BA191" s="115">
        <v>0.0</v>
      </c>
      <c r="BB191" s="89">
        <f t="shared" si="10"/>
        <v>14</v>
      </c>
      <c r="BC191" s="132" t="s">
        <v>178</v>
      </c>
      <c r="BD191" s="143" t="s">
        <v>227</v>
      </c>
      <c r="BE191" s="132" t="s">
        <v>178</v>
      </c>
      <c r="BF191" s="123"/>
      <c r="BG191" s="83">
        <v>1178623.0</v>
      </c>
      <c r="BH191" s="112"/>
      <c r="BI191" s="112">
        <v>3.0</v>
      </c>
      <c r="BJ191" s="98" t="s">
        <v>155</v>
      </c>
      <c r="BK191" s="99">
        <f t="shared" si="11"/>
        <v>0</v>
      </c>
      <c r="BL191" s="99">
        <f t="shared" si="12"/>
        <v>0</v>
      </c>
      <c r="BM191" s="99" t="str">
        <f>IFERROR(__xludf.DUMMYFUNCTION("IFERROR(VLOOKUP(BG191,IMPORTRANGE(""https://docs.google.com/spreadsheets/d/1juPI-Fb8LD0YtltB2mlGEnp_R3UVu1t3wSFPzgCyHXE/edit?gid=0#gid=0"",""GERAL!A2:C""),3,0),""-"")"),"-")</f>
        <v>-</v>
      </c>
    </row>
    <row r="192" ht="15.75" customHeight="1">
      <c r="A192" s="111" t="s">
        <v>285</v>
      </c>
      <c r="B192" s="83" t="s">
        <v>849</v>
      </c>
      <c r="C192" s="83" t="s">
        <v>164</v>
      </c>
      <c r="D192" s="112">
        <v>1179283.0</v>
      </c>
      <c r="E192" s="83">
        <v>1178620.0</v>
      </c>
      <c r="F192" s="98">
        <v>2.9461502E7</v>
      </c>
      <c r="G192" s="114" t="s">
        <v>866</v>
      </c>
      <c r="H192" s="91" t="s">
        <v>867</v>
      </c>
      <c r="I192" s="136" t="s">
        <v>149</v>
      </c>
      <c r="J192" s="83" t="s">
        <v>868</v>
      </c>
      <c r="K192" s="83" t="s">
        <v>168</v>
      </c>
      <c r="L192" s="83" t="s">
        <v>169</v>
      </c>
      <c r="M192" s="82" t="str">
        <f>IFERROR(__xludf.DUMMYFUNCTION("IFERROR(VLOOKUP(D192,
IMPORTRANGE(""https://docs.google.com/spreadsheets/d/1MjHtlUikwobi2MaWJgy7tfLeBmhj1u-dRFRs_8GwSoA/edit#gid=0"",""Gestores Escolares!D7:J""),3,0),""VERIFICAR CÓD SEC"")"),"LAIZA BRANDAO MIRANDA")</f>
        <v>LAIZA BRANDAO MIRANDA</v>
      </c>
      <c r="N192" s="82" t="str">
        <f>IFERROR(__xludf.DUMMYFUNCTION("IFERROR(VLOOKUP(D192,
IMPORTRANGE(""https://docs.google.com/spreadsheets/d/1MjHtlUikwobi2MaWJgy7tfLeBmhj1u-dRFRs_8GwSoA/edit#gid=0"",""Gestores Escolares!D7:J""),4,0),""VERIFICAR CÓD SEC"")"),"(75) 9 9966-5253")</f>
        <v>(75) 9 9966-5253</v>
      </c>
      <c r="O192" s="82" t="str">
        <f>IFERROR(__xludf.DUMMYFUNCTION("IFERROR(VLOOKUP(D192,
IMPORTRANGE(""https://docs.google.com/spreadsheets/d/1MjHtlUikwobi2MaWJgy7tfLeBmhj1u-dRFRs_8GwSoA/edit#gid=0"",""Gestores Escolares!D7:J""),6,0),""VERIFICAR CÓD SEC"")"),"ROSANA ISABEL DO R. TELES")</f>
        <v>ROSANA ISABEL DO R. TELES</v>
      </c>
      <c r="P192" s="82" t="str">
        <f>IFERROR(__xludf.DUMMYFUNCTION("IFERROR(VLOOKUP(D192,
IMPORTRANGE(""https://docs.google.com/spreadsheets/d/1MjHtlUikwobi2MaWJgy7tfLeBmhj1u-dRFRs_8GwSoA/edit#gid=0"",""Gestores Escolares!D7:J""),7,0),""VERIFICAR CÓD SEC"")"),"(75) 9 9966-4696")</f>
        <v>(75) 9 9966-4696</v>
      </c>
      <c r="Q192" s="82" t="str">
        <f>IFERROR(__xludf.DUMMYFUNCTION("IFERROR(VLOOKUP(D192,
IMPORTRANGE(""https://docs.google.com/spreadsheets/d/1MjHtlUikwobi2MaWJgy7tfLeBmhj1u-dRFRs_8GwSoA/edit#gid=0"",""Gestores Escolares!D7:m""),9,0),""VERIFICAR CÓD SEC"")"),"MOZART MACEDO XAVIER")</f>
        <v>MOZART MACEDO XAVIER</v>
      </c>
      <c r="R192" s="82" t="str">
        <f>IFERROR(__xludf.DUMMYFUNCTION("IFERROR(VLOOKUP(D192,
IMPORTRANGE(""https://docs.google.com/spreadsheets/d/1MjHtlUikwobi2MaWJgy7tfLeBmhj1u-dRFRs_8GwSoA/edit#gid=0"",""Gestores Escolares!D7:m""),10,0),""VERIFICAR CÓD SEC"")"),"(75) 9 9918-1536")</f>
        <v>(75) 9 9918-1536</v>
      </c>
      <c r="S192" s="82"/>
      <c r="T192" s="138">
        <v>3.0</v>
      </c>
      <c r="U192" s="139">
        <v>3.0</v>
      </c>
      <c r="V192" s="106">
        <v>0.0</v>
      </c>
      <c r="W192" s="107">
        <v>0.0</v>
      </c>
      <c r="X192" s="107">
        <v>0.0</v>
      </c>
      <c r="Y192" s="107">
        <v>0.0</v>
      </c>
      <c r="Z192" s="80">
        <f t="shared" si="1"/>
        <v>0</v>
      </c>
      <c r="AA192" s="106">
        <v>0.0</v>
      </c>
      <c r="AB192" s="107">
        <v>0.0</v>
      </c>
      <c r="AC192" s="107">
        <v>0.0</v>
      </c>
      <c r="AD192" s="107">
        <v>0.0</v>
      </c>
      <c r="AE192" s="80">
        <f t="shared" si="2"/>
        <v>0</v>
      </c>
      <c r="AF192" s="140">
        <v>0.0</v>
      </c>
      <c r="AG192" s="109">
        <v>0.0</v>
      </c>
      <c r="AH192" s="109">
        <v>28.0</v>
      </c>
      <c r="AI192" s="141">
        <v>0.0</v>
      </c>
      <c r="AJ192" s="80">
        <f t="shared" si="3"/>
        <v>28</v>
      </c>
      <c r="AK192" s="140">
        <v>0.0</v>
      </c>
      <c r="AL192" s="109">
        <v>0.0</v>
      </c>
      <c r="AM192" s="141">
        <v>0.0</v>
      </c>
      <c r="AN192" s="80">
        <f t="shared" si="4"/>
        <v>0</v>
      </c>
      <c r="AO192" s="140">
        <v>0.0</v>
      </c>
      <c r="AP192" s="109">
        <v>0.0</v>
      </c>
      <c r="AQ192" s="109">
        <v>0.0</v>
      </c>
      <c r="AR192" s="80">
        <f t="shared" si="5"/>
        <v>0</v>
      </c>
      <c r="AS192" s="110">
        <v>0.0</v>
      </c>
      <c r="AT192" s="110">
        <v>0.0</v>
      </c>
      <c r="AU192" s="110">
        <v>0.0</v>
      </c>
      <c r="AV192" s="142">
        <v>0.0</v>
      </c>
      <c r="AW192" s="80">
        <f t="shared" si="6"/>
        <v>0</v>
      </c>
      <c r="AX192" s="113">
        <f t="shared" si="7"/>
        <v>28</v>
      </c>
      <c r="AY192" s="117">
        <f t="shared" si="8"/>
        <v>0</v>
      </c>
      <c r="AZ192" s="120">
        <f t="shared" si="9"/>
        <v>28</v>
      </c>
      <c r="BA192" s="115">
        <v>0.0</v>
      </c>
      <c r="BB192" s="89">
        <f t="shared" si="10"/>
        <v>28</v>
      </c>
      <c r="BC192" s="132" t="s">
        <v>178</v>
      </c>
      <c r="BD192" s="143" t="s">
        <v>227</v>
      </c>
      <c r="BE192" s="132" t="s">
        <v>178</v>
      </c>
      <c r="BF192" s="123"/>
      <c r="BG192" s="83">
        <v>1178620.0</v>
      </c>
      <c r="BH192" s="112"/>
      <c r="BI192" s="112">
        <v>3.0</v>
      </c>
      <c r="BJ192" s="98" t="s">
        <v>155</v>
      </c>
      <c r="BK192" s="99">
        <f t="shared" si="11"/>
        <v>0</v>
      </c>
      <c r="BL192" s="99">
        <f t="shared" si="12"/>
        <v>0</v>
      </c>
      <c r="BM192" s="99" t="str">
        <f>IFERROR(__xludf.DUMMYFUNCTION("IFERROR(VLOOKUP(BG192,IMPORTRANGE(""https://docs.google.com/spreadsheets/d/1juPI-Fb8LD0YtltB2mlGEnp_R3UVu1t3wSFPzgCyHXE/edit?gid=0#gid=0"",""GERAL!A2:C""),3,0),""-"")"),"-")</f>
        <v>-</v>
      </c>
    </row>
    <row r="193" ht="15.75" customHeight="1">
      <c r="A193" s="111" t="s">
        <v>285</v>
      </c>
      <c r="B193" s="83" t="s">
        <v>869</v>
      </c>
      <c r="C193" s="83" t="s">
        <v>68</v>
      </c>
      <c r="D193" s="112">
        <v>1179607.0</v>
      </c>
      <c r="E193" s="83"/>
      <c r="F193" s="83">
        <v>2.9470552E7</v>
      </c>
      <c r="G193" s="119" t="s">
        <v>870</v>
      </c>
      <c r="H193" s="91" t="s">
        <v>871</v>
      </c>
      <c r="I193" s="83" t="s">
        <v>149</v>
      </c>
      <c r="J193" s="83" t="s">
        <v>872</v>
      </c>
      <c r="K193" s="83" t="s">
        <v>168</v>
      </c>
      <c r="L193" s="83" t="s">
        <v>169</v>
      </c>
      <c r="M193" s="82" t="str">
        <f>IFERROR(__xludf.DUMMYFUNCTION("IFERROR(VLOOKUP(D193,
IMPORTRANGE(""https://docs.google.com/spreadsheets/d/1MjHtlUikwobi2MaWJgy7tfLeBmhj1u-dRFRs_8GwSoA/edit#gid=0"",""Gestores Escolares!D7:J""),3,0),""VERIFICAR CÓD SEC"")"),"RAQUEL SA MELLO DE OLIVEIRA")</f>
        <v>RAQUEL SA MELLO DE OLIVEIRA</v>
      </c>
      <c r="N193" s="82" t="str">
        <f>IFERROR(__xludf.DUMMYFUNCTION("IFERROR(VLOOKUP(D193,
IMPORTRANGE(""https://docs.google.com/spreadsheets/d/1MjHtlUikwobi2MaWJgy7tfLeBmhj1u-dRFRs_8GwSoA/edit#gid=0"",""Gestores Escolares!D7:J""),4,0),""VERIFICAR CÓD SEC"")"),"(75) 9 9959-7712")</f>
        <v>(75) 9 9959-7712</v>
      </c>
      <c r="O193" s="82" t="str">
        <f>IFERROR(__xludf.DUMMYFUNCTION("IFERROR(VLOOKUP(D193,
IMPORTRANGE(""https://docs.google.com/spreadsheets/d/1MjHtlUikwobi2MaWJgy7tfLeBmhj1u-dRFRs_8GwSoA/edit#gid=0"",""Gestores Escolares!D7:J""),6,0),""VERIFICAR CÓD SEC"")"),"")</f>
        <v/>
      </c>
      <c r="P193" s="82" t="str">
        <f>IFERROR(__xludf.DUMMYFUNCTION("IFERROR(VLOOKUP(D193,
IMPORTRANGE(""https://docs.google.com/spreadsheets/d/1MjHtlUikwobi2MaWJgy7tfLeBmhj1u-dRFRs_8GwSoA/edit#gid=0"",""Gestores Escolares!D7:J""),7,0),""VERIFICAR CÓD SEC"")"),"")</f>
        <v/>
      </c>
      <c r="Q193" s="82" t="str">
        <f>IFERROR(__xludf.DUMMYFUNCTION("IFERROR(VLOOKUP(D193,
IMPORTRANGE(""https://docs.google.com/spreadsheets/d/1MjHtlUikwobi2MaWJgy7tfLeBmhj1u-dRFRs_8GwSoA/edit#gid=0"",""Gestores Escolares!D7:m""),9,0),""VERIFICAR CÓD SEC"")"),"")</f>
        <v/>
      </c>
      <c r="R193" s="82" t="str">
        <f>IFERROR(__xludf.DUMMYFUNCTION("IFERROR(VLOOKUP(D193,
IMPORTRANGE(""https://docs.google.com/spreadsheets/d/1MjHtlUikwobi2MaWJgy7tfLeBmhj1u-dRFRs_8GwSoA/edit#gid=0"",""Gestores Escolares!D7:m""),10,0),""VERIFICAR CÓD SEC"")"),"")</f>
        <v/>
      </c>
      <c r="S193" s="82"/>
      <c r="T193" s="138">
        <v>9.0</v>
      </c>
      <c r="U193" s="145" t="s">
        <v>2495</v>
      </c>
      <c r="V193" s="106">
        <v>0.0</v>
      </c>
      <c r="W193" s="107">
        <v>0.0</v>
      </c>
      <c r="X193" s="107">
        <v>0.0</v>
      </c>
      <c r="Y193" s="107">
        <v>0.0</v>
      </c>
      <c r="Z193" s="80">
        <f t="shared" si="1"/>
        <v>0</v>
      </c>
      <c r="AA193" s="106">
        <v>0.0</v>
      </c>
      <c r="AB193" s="107">
        <v>0.0</v>
      </c>
      <c r="AC193" s="107">
        <v>0.0</v>
      </c>
      <c r="AD193" s="107">
        <v>0.0</v>
      </c>
      <c r="AE193" s="80">
        <f t="shared" si="2"/>
        <v>0</v>
      </c>
      <c r="AF193" s="140">
        <v>21.0</v>
      </c>
      <c r="AG193" s="109">
        <v>78.0</v>
      </c>
      <c r="AH193" s="109">
        <v>0.0</v>
      </c>
      <c r="AI193" s="141">
        <v>0.0</v>
      </c>
      <c r="AJ193" s="80">
        <f t="shared" si="3"/>
        <v>99</v>
      </c>
      <c r="AK193" s="140">
        <v>0.0</v>
      </c>
      <c r="AL193" s="109">
        <v>0.0</v>
      </c>
      <c r="AM193" s="141">
        <v>0.0</v>
      </c>
      <c r="AN193" s="80">
        <f t="shared" si="4"/>
        <v>0</v>
      </c>
      <c r="AO193" s="140">
        <v>0.0</v>
      </c>
      <c r="AP193" s="109">
        <v>0.0</v>
      </c>
      <c r="AQ193" s="109">
        <v>118.0</v>
      </c>
      <c r="AR193" s="80">
        <f t="shared" si="5"/>
        <v>118</v>
      </c>
      <c r="AS193" s="110">
        <v>0.0</v>
      </c>
      <c r="AT193" s="110">
        <v>0.0</v>
      </c>
      <c r="AU193" s="110">
        <v>0.0</v>
      </c>
      <c r="AV193" s="142">
        <v>0.0</v>
      </c>
      <c r="AW193" s="80">
        <f t="shared" si="6"/>
        <v>0</v>
      </c>
      <c r="AX193" s="113">
        <f t="shared" si="7"/>
        <v>217</v>
      </c>
      <c r="AY193" s="117">
        <f t="shared" si="8"/>
        <v>99</v>
      </c>
      <c r="AZ193" s="120">
        <f t="shared" si="9"/>
        <v>118</v>
      </c>
      <c r="BA193" s="115">
        <v>0.0</v>
      </c>
      <c r="BB193" s="89">
        <f t="shared" si="10"/>
        <v>217</v>
      </c>
      <c r="BC193" s="132" t="s">
        <v>373</v>
      </c>
      <c r="BD193" s="132" t="s">
        <v>178</v>
      </c>
      <c r="BE193" s="132" t="s">
        <v>178</v>
      </c>
      <c r="BF193" s="156"/>
      <c r="BG193" s="83">
        <v>1179607.0</v>
      </c>
      <c r="BH193" s="98"/>
      <c r="BI193" s="98">
        <v>7.0</v>
      </c>
      <c r="BJ193" s="98" t="s">
        <v>176</v>
      </c>
      <c r="BK193" s="99">
        <f t="shared" si="11"/>
        <v>0</v>
      </c>
      <c r="BL193" s="99">
        <f t="shared" si="12"/>
        <v>99</v>
      </c>
      <c r="BM193" s="99" t="str">
        <f>IFERROR(__xludf.DUMMYFUNCTION("IFERROR(VLOOKUP(BG193,IMPORTRANGE(""https://docs.google.com/spreadsheets/d/1juPI-Fb8LD0YtltB2mlGEnp_R3UVu1t3wSFPzgCyHXE/edit?gid=0#gid=0"",""GERAL!A2:C""),3,0),""-"")"),"CAMPO")</f>
        <v>CAMPO</v>
      </c>
    </row>
    <row r="194" ht="15.75" customHeight="1">
      <c r="A194" s="111" t="s">
        <v>285</v>
      </c>
      <c r="B194" s="83" t="s">
        <v>869</v>
      </c>
      <c r="C194" s="83" t="s">
        <v>68</v>
      </c>
      <c r="D194" s="112">
        <v>1133278.0</v>
      </c>
      <c r="E194" s="83"/>
      <c r="F194" s="83">
        <v>2.9063299E7</v>
      </c>
      <c r="G194" s="153" t="s">
        <v>875</v>
      </c>
      <c r="H194" s="160" t="s">
        <v>876</v>
      </c>
      <c r="I194" s="83" t="s">
        <v>149</v>
      </c>
      <c r="J194" s="83" t="s">
        <v>150</v>
      </c>
      <c r="K194" s="83" t="s">
        <v>151</v>
      </c>
      <c r="L194" s="83" t="s">
        <v>230</v>
      </c>
      <c r="M194" s="82" t="str">
        <f>IFERROR(__xludf.DUMMYFUNCTION("IFERROR(VLOOKUP(D194,
IMPORTRANGE(""https://docs.google.com/spreadsheets/d/1MjHtlUikwobi2MaWJgy7tfLeBmhj1u-dRFRs_8GwSoA/edit#gid=0"",""Gestores Escolares!D7:J""),3,0),""VERIFICAR CÓD SEC"")"),"JOSE AUGUSTO DE OLIVEIRA SANTOS")</f>
        <v>JOSE AUGUSTO DE OLIVEIRA SANTOS</v>
      </c>
      <c r="N194" s="82" t="str">
        <f>IFERROR(__xludf.DUMMYFUNCTION("IFERROR(VLOOKUP(D194,
IMPORTRANGE(""https://docs.google.com/spreadsheets/d/1MjHtlUikwobi2MaWJgy7tfLeBmhj1u-dRFRs_8GwSoA/edit#gid=0"",""Gestores Escolares!D7:J""),4,0),""VERIFICAR CÓD SEC"")"),"(75) 9 9905-5089")</f>
        <v>(75) 9 9905-5089</v>
      </c>
      <c r="O194" s="82" t="str">
        <f>IFERROR(__xludf.DUMMYFUNCTION("IFERROR(VLOOKUP(D194,
IMPORTRANGE(""https://docs.google.com/spreadsheets/d/1MjHtlUikwobi2MaWJgy7tfLeBmhj1u-dRFRs_8GwSoA/edit#gid=0"",""Gestores Escolares!D7:J""),6,0),""VERIFICAR CÓD SEC"")")," THAISA ALVES DE ARAUJO")</f>
        <v> THAISA ALVES DE ARAUJO</v>
      </c>
      <c r="P194" s="82" t="str">
        <f>IFERROR(__xludf.DUMMYFUNCTION("IFERROR(VLOOKUP(D194,
IMPORTRANGE(""https://docs.google.com/spreadsheets/d/1MjHtlUikwobi2MaWJgy7tfLeBmhj1u-dRFRs_8GwSoA/edit#gid=0"",""Gestores Escolares!D7:J""),7,0),""VERIFICAR CÓD SEC"")"),"(71) 9 9919 0354")</f>
        <v>(71) 9 9919 0354</v>
      </c>
      <c r="Q194" s="82" t="str">
        <f>IFERROR(__xludf.DUMMYFUNCTION("IFERROR(VLOOKUP(D194,
IMPORTRANGE(""https://docs.google.com/spreadsheets/d/1MjHtlUikwobi2MaWJgy7tfLeBmhj1u-dRFRs_8GwSoA/edit#gid=0"",""Gestores Escolares!D7:m""),9,0),""VERIFICAR CÓD SEC"")"),"FLAVIA LINHARES DA SILVA")</f>
        <v>FLAVIA LINHARES DA SILVA</v>
      </c>
      <c r="R194" s="82" t="str">
        <f>IFERROR(__xludf.DUMMYFUNCTION("IFERROR(VLOOKUP(D194,
IMPORTRANGE(""https://docs.google.com/spreadsheets/d/1MjHtlUikwobi2MaWJgy7tfLeBmhj1u-dRFRs_8GwSoA/edit#gid=0"",""Gestores Escolares!D7:m""),10,0),""VERIFICAR CÓD SEC"")"),"(77) 9 9981-7204")</f>
        <v>(77) 9 9981-7204</v>
      </c>
      <c r="S194" s="82"/>
      <c r="T194" s="138">
        <v>11.0</v>
      </c>
      <c r="U194" s="145" t="s">
        <v>2510</v>
      </c>
      <c r="V194" s="106">
        <v>0.0</v>
      </c>
      <c r="W194" s="107">
        <v>0.0</v>
      </c>
      <c r="X194" s="107">
        <v>0.0</v>
      </c>
      <c r="Y194" s="107">
        <v>0.0</v>
      </c>
      <c r="Z194" s="80">
        <f t="shared" si="1"/>
        <v>0</v>
      </c>
      <c r="AA194" s="106">
        <v>0.0</v>
      </c>
      <c r="AB194" s="107">
        <v>0.0</v>
      </c>
      <c r="AC194" s="107">
        <v>0.0</v>
      </c>
      <c r="AD194" s="107">
        <v>0.0</v>
      </c>
      <c r="AE194" s="80">
        <f t="shared" si="2"/>
        <v>0</v>
      </c>
      <c r="AF194" s="140">
        <v>0.0</v>
      </c>
      <c r="AG194" s="109">
        <v>0.0</v>
      </c>
      <c r="AH194" s="109">
        <v>0.0</v>
      </c>
      <c r="AI194" s="141">
        <v>759.0</v>
      </c>
      <c r="AJ194" s="80">
        <f t="shared" si="3"/>
        <v>759</v>
      </c>
      <c r="AK194" s="140">
        <v>0.0</v>
      </c>
      <c r="AL194" s="109">
        <v>0.0</v>
      </c>
      <c r="AM194" s="141">
        <v>0.0</v>
      </c>
      <c r="AN194" s="80">
        <f t="shared" si="4"/>
        <v>0</v>
      </c>
      <c r="AO194" s="140">
        <v>0.0</v>
      </c>
      <c r="AP194" s="109">
        <v>0.0</v>
      </c>
      <c r="AQ194" s="109">
        <v>152.0</v>
      </c>
      <c r="AR194" s="80">
        <f t="shared" si="5"/>
        <v>152</v>
      </c>
      <c r="AS194" s="110">
        <v>0.0</v>
      </c>
      <c r="AT194" s="110">
        <v>0.0</v>
      </c>
      <c r="AU194" s="110">
        <v>99.0</v>
      </c>
      <c r="AV194" s="142">
        <v>88.0</v>
      </c>
      <c r="AW194" s="80">
        <f t="shared" si="6"/>
        <v>187</v>
      </c>
      <c r="AX194" s="113">
        <f t="shared" si="7"/>
        <v>1098</v>
      </c>
      <c r="AY194" s="117">
        <f t="shared" si="8"/>
        <v>847</v>
      </c>
      <c r="AZ194" s="120">
        <f t="shared" si="9"/>
        <v>251</v>
      </c>
      <c r="BA194" s="115">
        <v>0.0</v>
      </c>
      <c r="BB194" s="89">
        <f t="shared" si="10"/>
        <v>1098</v>
      </c>
      <c r="BC194" s="132" t="s">
        <v>178</v>
      </c>
      <c r="BD194" s="132" t="s">
        <v>178</v>
      </c>
      <c r="BE194" s="132" t="s">
        <v>178</v>
      </c>
      <c r="BF194" s="156"/>
      <c r="BG194" s="83">
        <v>1133278.0</v>
      </c>
      <c r="BH194" s="98"/>
      <c r="BI194" s="98">
        <v>19.0</v>
      </c>
      <c r="BJ194" s="98" t="s">
        <v>162</v>
      </c>
      <c r="BK194" s="99">
        <f t="shared" si="11"/>
        <v>847</v>
      </c>
      <c r="BL194" s="99">
        <f t="shared" si="12"/>
        <v>0</v>
      </c>
      <c r="BM194" s="99" t="str">
        <f>IFERROR(__xludf.DUMMYFUNCTION("IFERROR(VLOOKUP(BG194,IMPORTRANGE(""https://docs.google.com/spreadsheets/d/1juPI-Fb8LD0YtltB2mlGEnp_R3UVu1t3wSFPzgCyHXE/edit?gid=0#gid=0"",""GERAL!A2:C""),3,0),""-"")"),"-")</f>
        <v>-</v>
      </c>
    </row>
    <row r="195" ht="15.75" customHeight="1">
      <c r="A195" s="111" t="s">
        <v>285</v>
      </c>
      <c r="B195" s="83" t="s">
        <v>869</v>
      </c>
      <c r="C195" s="83" t="s">
        <v>164</v>
      </c>
      <c r="D195" s="112">
        <v>1179283.0</v>
      </c>
      <c r="E195" s="83">
        <v>1178960.0</v>
      </c>
      <c r="F195" s="98">
        <v>2.9461502E7</v>
      </c>
      <c r="G195" s="114" t="s">
        <v>879</v>
      </c>
      <c r="H195" s="91" t="s">
        <v>880</v>
      </c>
      <c r="I195" s="136" t="s">
        <v>881</v>
      </c>
      <c r="J195" s="83" t="s">
        <v>872</v>
      </c>
      <c r="K195" s="83" t="s">
        <v>151</v>
      </c>
      <c r="L195" s="83" t="s">
        <v>169</v>
      </c>
      <c r="M195" s="82" t="str">
        <f>IFERROR(__xludf.DUMMYFUNCTION("IFERROR(VLOOKUP(D195,
IMPORTRANGE(""https://docs.google.com/spreadsheets/d/1MjHtlUikwobi2MaWJgy7tfLeBmhj1u-dRFRs_8GwSoA/edit#gid=0"",""Gestores Escolares!D7:J""),3,0),""VERIFICAR CÓD SEC"")"),"LAIZA BRANDAO MIRANDA")</f>
        <v>LAIZA BRANDAO MIRANDA</v>
      </c>
      <c r="N195" s="82" t="str">
        <f>IFERROR(__xludf.DUMMYFUNCTION("IFERROR(VLOOKUP(D195,
IMPORTRANGE(""https://docs.google.com/spreadsheets/d/1MjHtlUikwobi2MaWJgy7tfLeBmhj1u-dRFRs_8GwSoA/edit#gid=0"",""Gestores Escolares!D7:J""),4,0),""VERIFICAR CÓD SEC"")"),"(75) 9 9966-5253")</f>
        <v>(75) 9 9966-5253</v>
      </c>
      <c r="O195" s="82" t="str">
        <f>IFERROR(__xludf.DUMMYFUNCTION("IFERROR(VLOOKUP(D195,
IMPORTRANGE(""https://docs.google.com/spreadsheets/d/1MjHtlUikwobi2MaWJgy7tfLeBmhj1u-dRFRs_8GwSoA/edit#gid=0"",""Gestores Escolares!D7:J""),6,0),""VERIFICAR CÓD SEC"")"),"ROSANA ISABEL DO R. TELES")</f>
        <v>ROSANA ISABEL DO R. TELES</v>
      </c>
      <c r="P195" s="82" t="str">
        <f>IFERROR(__xludf.DUMMYFUNCTION("IFERROR(VLOOKUP(D195,
IMPORTRANGE(""https://docs.google.com/spreadsheets/d/1MjHtlUikwobi2MaWJgy7tfLeBmhj1u-dRFRs_8GwSoA/edit#gid=0"",""Gestores Escolares!D7:J""),7,0),""VERIFICAR CÓD SEC"")"),"(75) 9 9966-4696")</f>
        <v>(75) 9 9966-4696</v>
      </c>
      <c r="Q195" s="82" t="str">
        <f>IFERROR(__xludf.DUMMYFUNCTION("IFERROR(VLOOKUP(D195,
IMPORTRANGE(""https://docs.google.com/spreadsheets/d/1MjHtlUikwobi2MaWJgy7tfLeBmhj1u-dRFRs_8GwSoA/edit#gid=0"",""Gestores Escolares!D7:m""),9,0),""VERIFICAR CÓD SEC"")"),"MOZART MACEDO XAVIER")</f>
        <v>MOZART MACEDO XAVIER</v>
      </c>
      <c r="R195" s="82" t="str">
        <f>IFERROR(__xludf.DUMMYFUNCTION("IFERROR(VLOOKUP(D195,
IMPORTRANGE(""https://docs.google.com/spreadsheets/d/1MjHtlUikwobi2MaWJgy7tfLeBmhj1u-dRFRs_8GwSoA/edit#gid=0"",""Gestores Escolares!D7:m""),10,0),""VERIFICAR CÓD SEC"")"),"(75) 9 9918-1536")</f>
        <v>(75) 9 9918-1536</v>
      </c>
      <c r="S195" s="82"/>
      <c r="T195" s="138">
        <v>5.0</v>
      </c>
      <c r="U195" s="145">
        <v>3.0</v>
      </c>
      <c r="V195" s="106">
        <v>0.0</v>
      </c>
      <c r="W195" s="107">
        <v>0.0</v>
      </c>
      <c r="X195" s="107">
        <v>0.0</v>
      </c>
      <c r="Y195" s="107">
        <v>0.0</v>
      </c>
      <c r="Z195" s="80">
        <f t="shared" si="1"/>
        <v>0</v>
      </c>
      <c r="AA195" s="106">
        <v>0.0</v>
      </c>
      <c r="AB195" s="107">
        <v>0.0</v>
      </c>
      <c r="AC195" s="107">
        <v>0.0</v>
      </c>
      <c r="AD195" s="107">
        <v>0.0</v>
      </c>
      <c r="AE195" s="80">
        <f t="shared" si="2"/>
        <v>0</v>
      </c>
      <c r="AF195" s="140">
        <v>0.0</v>
      </c>
      <c r="AG195" s="109">
        <v>0.0</v>
      </c>
      <c r="AH195" s="109">
        <v>61.0</v>
      </c>
      <c r="AI195" s="141">
        <v>0.0</v>
      </c>
      <c r="AJ195" s="80">
        <f t="shared" si="3"/>
        <v>61</v>
      </c>
      <c r="AK195" s="140">
        <v>0.0</v>
      </c>
      <c r="AL195" s="109">
        <v>0.0</v>
      </c>
      <c r="AM195" s="141">
        <v>0.0</v>
      </c>
      <c r="AN195" s="80">
        <f t="shared" si="4"/>
        <v>0</v>
      </c>
      <c r="AO195" s="140">
        <v>0.0</v>
      </c>
      <c r="AP195" s="109">
        <v>0.0</v>
      </c>
      <c r="AQ195" s="109">
        <v>0.0</v>
      </c>
      <c r="AR195" s="80">
        <f t="shared" si="5"/>
        <v>0</v>
      </c>
      <c r="AS195" s="110">
        <v>0.0</v>
      </c>
      <c r="AT195" s="110">
        <v>0.0</v>
      </c>
      <c r="AU195" s="110">
        <v>0.0</v>
      </c>
      <c r="AV195" s="142">
        <v>0.0</v>
      </c>
      <c r="AW195" s="80">
        <f t="shared" si="6"/>
        <v>0</v>
      </c>
      <c r="AX195" s="113">
        <f t="shared" si="7"/>
        <v>61</v>
      </c>
      <c r="AY195" s="117">
        <f t="shared" si="8"/>
        <v>0</v>
      </c>
      <c r="AZ195" s="120">
        <f t="shared" si="9"/>
        <v>61</v>
      </c>
      <c r="BA195" s="115">
        <v>0.0</v>
      </c>
      <c r="BB195" s="89">
        <f t="shared" si="10"/>
        <v>61</v>
      </c>
      <c r="BC195" s="132" t="s">
        <v>178</v>
      </c>
      <c r="BD195" s="143" t="s">
        <v>227</v>
      </c>
      <c r="BE195" s="132" t="s">
        <v>178</v>
      </c>
      <c r="BF195" s="156"/>
      <c r="BG195" s="83">
        <v>1178960.0</v>
      </c>
      <c r="BH195" s="112"/>
      <c r="BI195" s="112">
        <v>3.0</v>
      </c>
      <c r="BJ195" s="98" t="s">
        <v>155</v>
      </c>
      <c r="BK195" s="99">
        <f t="shared" si="11"/>
        <v>0</v>
      </c>
      <c r="BL195" s="99">
        <f t="shared" si="12"/>
        <v>0</v>
      </c>
      <c r="BM195" s="99" t="str">
        <f>IFERROR(__xludf.DUMMYFUNCTION("IFERROR(VLOOKUP(BG195,IMPORTRANGE(""https://docs.google.com/spreadsheets/d/1juPI-Fb8LD0YtltB2mlGEnp_R3UVu1t3wSFPzgCyHXE/edit?gid=0#gid=0"",""GERAL!A2:C""),3,0),""-"")"),"-")</f>
        <v>-</v>
      </c>
    </row>
    <row r="196" ht="15.75" customHeight="1">
      <c r="A196" s="111" t="s">
        <v>285</v>
      </c>
      <c r="B196" s="83" t="s">
        <v>882</v>
      </c>
      <c r="C196" s="83" t="s">
        <v>68</v>
      </c>
      <c r="D196" s="112">
        <v>1170360.0</v>
      </c>
      <c r="E196" s="83"/>
      <c r="F196" s="83">
        <v>2.9215382E7</v>
      </c>
      <c r="G196" s="147" t="s">
        <v>883</v>
      </c>
      <c r="H196" s="91" t="s">
        <v>884</v>
      </c>
      <c r="I196" s="83" t="s">
        <v>149</v>
      </c>
      <c r="J196" s="83" t="s">
        <v>150</v>
      </c>
      <c r="K196" s="83" t="s">
        <v>151</v>
      </c>
      <c r="L196" s="98" t="s">
        <v>152</v>
      </c>
      <c r="M196" s="82" t="str">
        <f>IFERROR(__xludf.DUMMYFUNCTION("IFERROR(VLOOKUP(D196,
IMPORTRANGE(""https://docs.google.com/spreadsheets/d/1MjHtlUikwobi2MaWJgy7tfLeBmhj1u-dRFRs_8GwSoA/edit#gid=0"",""Gestores Escolares!D7:J""),3,0),""VERIFICAR CÓD SEC"")"),"ERICA DOS ANJOS PEREIRA")</f>
        <v>ERICA DOS ANJOS PEREIRA</v>
      </c>
      <c r="N196" s="82" t="str">
        <f>IFERROR(__xludf.DUMMYFUNCTION("IFERROR(VLOOKUP(D196,
IMPORTRANGE(""https://docs.google.com/spreadsheets/d/1MjHtlUikwobi2MaWJgy7tfLeBmhj1u-dRFRs_8GwSoA/edit#gid=0"",""Gestores Escolares!D7:J""),4,0),""VERIFICAR CÓD SEC"")"),"(71) 9 9248-6577")</f>
        <v>(71) 9 9248-6577</v>
      </c>
      <c r="O196" s="82" t="str">
        <f>IFERROR(__xludf.DUMMYFUNCTION("IFERROR(VLOOKUP(D196,
IMPORTRANGE(""https://docs.google.com/spreadsheets/d/1MjHtlUikwobi2MaWJgy7tfLeBmhj1u-dRFRs_8GwSoA/edit#gid=0"",""Gestores Escolares!D7:J""),6,0),""VERIFICAR CÓD SEC"")"),"JESSICA SILVA DE ARAUJO")</f>
        <v>JESSICA SILVA DE ARAUJO</v>
      </c>
      <c r="P196" s="82" t="str">
        <f>IFERROR(__xludf.DUMMYFUNCTION("IFERROR(VLOOKUP(D196,
IMPORTRANGE(""https://docs.google.com/spreadsheets/d/1MjHtlUikwobi2MaWJgy7tfLeBmhj1u-dRFRs_8GwSoA/edit#gid=0"",""Gestores Escolares!D7:J""),7,0),""VERIFICAR CÓD SEC"")"),"(75) 9 8290-2885")</f>
        <v>(75) 9 8290-2885</v>
      </c>
      <c r="Q196" s="82" t="str">
        <f>IFERROR(__xludf.DUMMYFUNCTION("IFERROR(VLOOKUP(D196,
IMPORTRANGE(""https://docs.google.com/spreadsheets/d/1MjHtlUikwobi2MaWJgy7tfLeBmhj1u-dRFRs_8GwSoA/edit#gid=0"",""Gestores Escolares!D7:m""),9,0),""VERIFICAR CÓD SEC"")"),"LUCAS DE OLIVEIRA SILVA")</f>
        <v>LUCAS DE OLIVEIRA SILVA</v>
      </c>
      <c r="R196" s="82" t="str">
        <f>IFERROR(__xludf.DUMMYFUNCTION("IFERROR(VLOOKUP(D196,
IMPORTRANGE(""https://docs.google.com/spreadsheets/d/1MjHtlUikwobi2MaWJgy7tfLeBmhj1u-dRFRs_8GwSoA/edit#gid=0"",""Gestores Escolares!D7:m""),10,0),""VERIFICAR CÓD SEC"")"),"")</f>
        <v/>
      </c>
      <c r="S196" s="82"/>
      <c r="T196" s="138">
        <v>7.0</v>
      </c>
      <c r="U196" s="145">
        <v>7.0</v>
      </c>
      <c r="V196" s="106">
        <v>0.0</v>
      </c>
      <c r="W196" s="107">
        <v>0.0</v>
      </c>
      <c r="X196" s="107">
        <v>0.0</v>
      </c>
      <c r="Y196" s="107">
        <v>0.0</v>
      </c>
      <c r="Z196" s="80">
        <f t="shared" si="1"/>
        <v>0</v>
      </c>
      <c r="AA196" s="106">
        <v>0.0</v>
      </c>
      <c r="AB196" s="107">
        <v>0.0</v>
      </c>
      <c r="AC196" s="107">
        <v>0.0</v>
      </c>
      <c r="AD196" s="107">
        <v>0.0</v>
      </c>
      <c r="AE196" s="80">
        <f t="shared" si="2"/>
        <v>0</v>
      </c>
      <c r="AF196" s="140">
        <v>218.0</v>
      </c>
      <c r="AG196" s="109">
        <v>139.0</v>
      </c>
      <c r="AH196" s="109">
        <v>0.0</v>
      </c>
      <c r="AI196" s="141">
        <v>75.0</v>
      </c>
      <c r="AJ196" s="80">
        <f t="shared" si="3"/>
        <v>432</v>
      </c>
      <c r="AK196" s="140">
        <v>0.0</v>
      </c>
      <c r="AL196" s="109">
        <v>0.0</v>
      </c>
      <c r="AM196" s="141">
        <v>0.0</v>
      </c>
      <c r="AN196" s="80">
        <f t="shared" si="4"/>
        <v>0</v>
      </c>
      <c r="AO196" s="140">
        <v>0.0</v>
      </c>
      <c r="AP196" s="109">
        <v>0.0</v>
      </c>
      <c r="AQ196" s="109">
        <v>56.0</v>
      </c>
      <c r="AR196" s="80">
        <f t="shared" si="5"/>
        <v>56</v>
      </c>
      <c r="AS196" s="110">
        <v>0.0</v>
      </c>
      <c r="AT196" s="110">
        <v>0.0</v>
      </c>
      <c r="AU196" s="110">
        <v>21.0</v>
      </c>
      <c r="AV196" s="142">
        <v>0.0</v>
      </c>
      <c r="AW196" s="80">
        <f t="shared" si="6"/>
        <v>21</v>
      </c>
      <c r="AX196" s="113">
        <f t="shared" si="7"/>
        <v>509</v>
      </c>
      <c r="AY196" s="117">
        <f t="shared" si="8"/>
        <v>432</v>
      </c>
      <c r="AZ196" s="120">
        <f t="shared" si="9"/>
        <v>77</v>
      </c>
      <c r="BA196" s="115">
        <v>1.0</v>
      </c>
      <c r="BB196" s="89">
        <f t="shared" si="10"/>
        <v>510</v>
      </c>
      <c r="BC196" s="132" t="s">
        <v>178</v>
      </c>
      <c r="BD196" s="132" t="s">
        <v>178</v>
      </c>
      <c r="BE196" s="132" t="s">
        <v>178</v>
      </c>
      <c r="BF196" s="156"/>
      <c r="BG196" s="83">
        <v>1170360.0</v>
      </c>
      <c r="BH196" s="112"/>
      <c r="BI196" s="112">
        <v>6.0</v>
      </c>
      <c r="BJ196" s="98" t="s">
        <v>176</v>
      </c>
      <c r="BK196" s="99">
        <f t="shared" si="11"/>
        <v>75</v>
      </c>
      <c r="BL196" s="99">
        <f t="shared" si="12"/>
        <v>357</v>
      </c>
      <c r="BM196" s="99" t="str">
        <f>IFERROR(__xludf.DUMMYFUNCTION("IFERROR(VLOOKUP(BG196,IMPORTRANGE(""https://docs.google.com/spreadsheets/d/1juPI-Fb8LD0YtltB2mlGEnp_R3UVu1t3wSFPzgCyHXE/edit?gid=0#gid=0"",""GERAL!A2:C""),3,0),""-"")"),"-")</f>
        <v>-</v>
      </c>
    </row>
    <row r="197" ht="15.75" customHeight="1">
      <c r="A197" s="111" t="s">
        <v>285</v>
      </c>
      <c r="B197" s="83" t="s">
        <v>882</v>
      </c>
      <c r="C197" s="83" t="s">
        <v>164</v>
      </c>
      <c r="D197" s="112">
        <v>1170360.0</v>
      </c>
      <c r="E197" s="83">
        <v>1178739.0</v>
      </c>
      <c r="F197" s="98">
        <v>2.949253E7</v>
      </c>
      <c r="G197" s="119" t="s">
        <v>887</v>
      </c>
      <c r="H197" s="91" t="s">
        <v>888</v>
      </c>
      <c r="I197" s="172" t="s">
        <v>889</v>
      </c>
      <c r="J197" s="83" t="s">
        <v>890</v>
      </c>
      <c r="K197" s="83" t="s">
        <v>151</v>
      </c>
      <c r="L197" s="83" t="s">
        <v>169</v>
      </c>
      <c r="M197" s="82" t="str">
        <f>IFERROR(__xludf.DUMMYFUNCTION("IFERROR(VLOOKUP(D197,
IMPORTRANGE(""https://docs.google.com/spreadsheets/d/1MjHtlUikwobi2MaWJgy7tfLeBmhj1u-dRFRs_8GwSoA/edit#gid=0"",""Gestores Escolares!D7:J""),3,0),""VERIFICAR CÓD SEC"")"),"ERICA DOS ANJOS PEREIRA")</f>
        <v>ERICA DOS ANJOS PEREIRA</v>
      </c>
      <c r="N197" s="82" t="str">
        <f>IFERROR(__xludf.DUMMYFUNCTION("IFERROR(VLOOKUP(D197,
IMPORTRANGE(""https://docs.google.com/spreadsheets/d/1MjHtlUikwobi2MaWJgy7tfLeBmhj1u-dRFRs_8GwSoA/edit#gid=0"",""Gestores Escolares!D7:J""),4,0),""VERIFICAR CÓD SEC"")"),"(71) 9 9248-6577")</f>
        <v>(71) 9 9248-6577</v>
      </c>
      <c r="O197" s="82" t="str">
        <f>IFERROR(__xludf.DUMMYFUNCTION("IFERROR(VLOOKUP(D197,
IMPORTRANGE(""https://docs.google.com/spreadsheets/d/1MjHtlUikwobi2MaWJgy7tfLeBmhj1u-dRFRs_8GwSoA/edit#gid=0"",""Gestores Escolares!D7:J""),6,0),""VERIFICAR CÓD SEC"")"),"JESSICA SILVA DE ARAUJO")</f>
        <v>JESSICA SILVA DE ARAUJO</v>
      </c>
      <c r="P197" s="82" t="str">
        <f>IFERROR(__xludf.DUMMYFUNCTION("IFERROR(VLOOKUP(D197,
IMPORTRANGE(""https://docs.google.com/spreadsheets/d/1MjHtlUikwobi2MaWJgy7tfLeBmhj1u-dRFRs_8GwSoA/edit#gid=0"",""Gestores Escolares!D7:J""),7,0),""VERIFICAR CÓD SEC"")"),"(75) 9 8290-2885")</f>
        <v>(75) 9 8290-2885</v>
      </c>
      <c r="Q197" s="82" t="str">
        <f>IFERROR(__xludf.DUMMYFUNCTION("IFERROR(VLOOKUP(D197,
IMPORTRANGE(""https://docs.google.com/spreadsheets/d/1MjHtlUikwobi2MaWJgy7tfLeBmhj1u-dRFRs_8GwSoA/edit#gid=0"",""Gestores Escolares!D7:m""),9,0),""VERIFICAR CÓD SEC"")"),"LUCAS DE OLIVEIRA SILVA")</f>
        <v>LUCAS DE OLIVEIRA SILVA</v>
      </c>
      <c r="R197" s="82" t="str">
        <f>IFERROR(__xludf.DUMMYFUNCTION("IFERROR(VLOOKUP(D197,
IMPORTRANGE(""https://docs.google.com/spreadsheets/d/1MjHtlUikwobi2MaWJgy7tfLeBmhj1u-dRFRs_8GwSoA/edit#gid=0"",""Gestores Escolares!D7:m""),10,0),""VERIFICAR CÓD SEC"")"),"")</f>
        <v/>
      </c>
      <c r="S197" s="82"/>
      <c r="T197" s="138">
        <v>3.0</v>
      </c>
      <c r="U197" s="139">
        <v>3.0</v>
      </c>
      <c r="V197" s="106">
        <v>0.0</v>
      </c>
      <c r="W197" s="107">
        <v>0.0</v>
      </c>
      <c r="X197" s="107">
        <v>0.0</v>
      </c>
      <c r="Y197" s="107">
        <v>0.0</v>
      </c>
      <c r="Z197" s="80">
        <f t="shared" si="1"/>
        <v>0</v>
      </c>
      <c r="AA197" s="106">
        <v>0.0</v>
      </c>
      <c r="AB197" s="107">
        <v>0.0</v>
      </c>
      <c r="AC197" s="107">
        <v>0.0</v>
      </c>
      <c r="AD197" s="107">
        <v>0.0</v>
      </c>
      <c r="AE197" s="80">
        <f t="shared" si="2"/>
        <v>0</v>
      </c>
      <c r="AF197" s="140">
        <v>85.0</v>
      </c>
      <c r="AG197" s="109">
        <v>0.0</v>
      </c>
      <c r="AH197" s="109">
        <v>0.0</v>
      </c>
      <c r="AI197" s="141">
        <v>0.0</v>
      </c>
      <c r="AJ197" s="80">
        <f t="shared" si="3"/>
        <v>85</v>
      </c>
      <c r="AK197" s="140">
        <v>0.0</v>
      </c>
      <c r="AL197" s="109">
        <v>0.0</v>
      </c>
      <c r="AM197" s="141">
        <v>0.0</v>
      </c>
      <c r="AN197" s="80">
        <f t="shared" si="4"/>
        <v>0</v>
      </c>
      <c r="AO197" s="140">
        <v>0.0</v>
      </c>
      <c r="AP197" s="109">
        <v>0.0</v>
      </c>
      <c r="AQ197" s="109">
        <v>18.0</v>
      </c>
      <c r="AR197" s="80">
        <f t="shared" si="5"/>
        <v>18</v>
      </c>
      <c r="AS197" s="110">
        <v>0.0</v>
      </c>
      <c r="AT197" s="110">
        <v>0.0</v>
      </c>
      <c r="AU197" s="110">
        <v>0.0</v>
      </c>
      <c r="AV197" s="142">
        <v>0.0</v>
      </c>
      <c r="AW197" s="80">
        <f t="shared" si="6"/>
        <v>0</v>
      </c>
      <c r="AX197" s="113">
        <f t="shared" si="7"/>
        <v>103</v>
      </c>
      <c r="AY197" s="117">
        <f t="shared" si="8"/>
        <v>85</v>
      </c>
      <c r="AZ197" s="120">
        <f t="shared" si="9"/>
        <v>18</v>
      </c>
      <c r="BA197" s="115">
        <v>0.0</v>
      </c>
      <c r="BB197" s="89">
        <f t="shared" si="10"/>
        <v>103</v>
      </c>
      <c r="BC197" s="132" t="s">
        <v>373</v>
      </c>
      <c r="BD197" s="132" t="s">
        <v>178</v>
      </c>
      <c r="BE197" s="132" t="s">
        <v>178</v>
      </c>
      <c r="BF197" s="123"/>
      <c r="BG197" s="83">
        <v>1178739.0</v>
      </c>
      <c r="BH197" s="112"/>
      <c r="BI197" s="112">
        <v>3.0</v>
      </c>
      <c r="BJ197" s="98" t="s">
        <v>155</v>
      </c>
      <c r="BK197" s="99">
        <f t="shared" si="11"/>
        <v>0</v>
      </c>
      <c r="BL197" s="99">
        <f t="shared" si="12"/>
        <v>85</v>
      </c>
      <c r="BM197" s="99" t="str">
        <f>IFERROR(__xludf.DUMMYFUNCTION("IFERROR(VLOOKUP(BG197,IMPORTRANGE(""https://docs.google.com/spreadsheets/d/1juPI-Fb8LD0YtltB2mlGEnp_R3UVu1t3wSFPzgCyHXE/edit?gid=0#gid=0"",""GERAL!A2:C""),3,0),""-"")"),"CAMPO")</f>
        <v>CAMPO</v>
      </c>
    </row>
    <row r="198" ht="55.5" customHeight="1">
      <c r="A198" s="111" t="s">
        <v>285</v>
      </c>
      <c r="B198" s="83" t="s">
        <v>882</v>
      </c>
      <c r="C198" s="83" t="s">
        <v>164</v>
      </c>
      <c r="D198" s="112">
        <v>1170360.0</v>
      </c>
      <c r="E198" s="83">
        <v>1178738.0</v>
      </c>
      <c r="F198" s="98">
        <v>2.9492521E7</v>
      </c>
      <c r="G198" s="114" t="s">
        <v>891</v>
      </c>
      <c r="H198" s="91" t="s">
        <v>892</v>
      </c>
      <c r="I198" s="172" t="s">
        <v>893</v>
      </c>
      <c r="J198" s="83" t="s">
        <v>240</v>
      </c>
      <c r="K198" s="83" t="s">
        <v>151</v>
      </c>
      <c r="L198" s="83" t="s">
        <v>169</v>
      </c>
      <c r="M198" s="82" t="str">
        <f>IFERROR(__xludf.DUMMYFUNCTION("IFERROR(VLOOKUP(D198,
IMPORTRANGE(""https://docs.google.com/spreadsheets/d/1MjHtlUikwobi2MaWJgy7tfLeBmhj1u-dRFRs_8GwSoA/edit#gid=0"",""Gestores Escolares!D7:J""),3,0),""VERIFICAR CÓD SEC"")"),"ERICA DOS ANJOS PEREIRA")</f>
        <v>ERICA DOS ANJOS PEREIRA</v>
      </c>
      <c r="N198" s="82" t="str">
        <f>IFERROR(__xludf.DUMMYFUNCTION("IFERROR(VLOOKUP(D198,
IMPORTRANGE(""https://docs.google.com/spreadsheets/d/1MjHtlUikwobi2MaWJgy7tfLeBmhj1u-dRFRs_8GwSoA/edit#gid=0"",""Gestores Escolares!D7:J""),4,0),""VERIFICAR CÓD SEC"")"),"(71) 9 9248-6577")</f>
        <v>(71) 9 9248-6577</v>
      </c>
      <c r="O198" s="82" t="str">
        <f>IFERROR(__xludf.DUMMYFUNCTION("IFERROR(VLOOKUP(D198,
IMPORTRANGE(""https://docs.google.com/spreadsheets/d/1MjHtlUikwobi2MaWJgy7tfLeBmhj1u-dRFRs_8GwSoA/edit#gid=0"",""Gestores Escolares!D7:J""),6,0),""VERIFICAR CÓD SEC"")"),"JESSICA SILVA DE ARAUJO")</f>
        <v>JESSICA SILVA DE ARAUJO</v>
      </c>
      <c r="P198" s="82" t="str">
        <f>IFERROR(__xludf.DUMMYFUNCTION("IFERROR(VLOOKUP(D198,
IMPORTRANGE(""https://docs.google.com/spreadsheets/d/1MjHtlUikwobi2MaWJgy7tfLeBmhj1u-dRFRs_8GwSoA/edit#gid=0"",""Gestores Escolares!D7:J""),7,0),""VERIFICAR CÓD SEC"")"),"(75) 9 8290-2885")</f>
        <v>(75) 9 8290-2885</v>
      </c>
      <c r="Q198" s="82" t="str">
        <f>IFERROR(__xludf.DUMMYFUNCTION("IFERROR(VLOOKUP(D198,
IMPORTRANGE(""https://docs.google.com/spreadsheets/d/1MjHtlUikwobi2MaWJgy7tfLeBmhj1u-dRFRs_8GwSoA/edit#gid=0"",""Gestores Escolares!D7:m""),9,0),""VERIFICAR CÓD SEC"")"),"LUCAS DE OLIVEIRA SILVA")</f>
        <v>LUCAS DE OLIVEIRA SILVA</v>
      </c>
      <c r="R198" s="82" t="str">
        <f>IFERROR(__xludf.DUMMYFUNCTION("IFERROR(VLOOKUP(D198,
IMPORTRANGE(""https://docs.google.com/spreadsheets/d/1MjHtlUikwobi2MaWJgy7tfLeBmhj1u-dRFRs_8GwSoA/edit#gid=0"",""Gestores Escolares!D7:m""),10,0),""VERIFICAR CÓD SEC"")"),"")</f>
        <v/>
      </c>
      <c r="S198" s="82"/>
      <c r="T198" s="138">
        <v>3.0</v>
      </c>
      <c r="U198" s="139">
        <v>3.0</v>
      </c>
      <c r="V198" s="106">
        <v>0.0</v>
      </c>
      <c r="W198" s="107">
        <v>0.0</v>
      </c>
      <c r="X198" s="107">
        <v>0.0</v>
      </c>
      <c r="Y198" s="107">
        <v>0.0</v>
      </c>
      <c r="Z198" s="80">
        <f t="shared" si="1"/>
        <v>0</v>
      </c>
      <c r="AA198" s="106">
        <v>0.0</v>
      </c>
      <c r="AB198" s="107">
        <v>0.0</v>
      </c>
      <c r="AC198" s="107">
        <v>0.0</v>
      </c>
      <c r="AD198" s="107">
        <v>0.0</v>
      </c>
      <c r="AE198" s="80">
        <f t="shared" si="2"/>
        <v>0</v>
      </c>
      <c r="AF198" s="140">
        <v>68.0</v>
      </c>
      <c r="AG198" s="109">
        <v>0.0</v>
      </c>
      <c r="AH198" s="109">
        <v>0.0</v>
      </c>
      <c r="AI198" s="141">
        <v>0.0</v>
      </c>
      <c r="AJ198" s="80">
        <f t="shared" si="3"/>
        <v>68</v>
      </c>
      <c r="AK198" s="140">
        <v>0.0</v>
      </c>
      <c r="AL198" s="109">
        <v>0.0</v>
      </c>
      <c r="AM198" s="141">
        <v>0.0</v>
      </c>
      <c r="AN198" s="80">
        <f t="shared" si="4"/>
        <v>0</v>
      </c>
      <c r="AO198" s="140">
        <v>0.0</v>
      </c>
      <c r="AP198" s="109">
        <v>0.0</v>
      </c>
      <c r="AQ198" s="109">
        <v>25.0</v>
      </c>
      <c r="AR198" s="80">
        <f t="shared" si="5"/>
        <v>25</v>
      </c>
      <c r="AS198" s="110">
        <v>0.0</v>
      </c>
      <c r="AT198" s="110">
        <v>0.0</v>
      </c>
      <c r="AU198" s="110">
        <v>0.0</v>
      </c>
      <c r="AV198" s="142">
        <v>0.0</v>
      </c>
      <c r="AW198" s="80">
        <f t="shared" si="6"/>
        <v>0</v>
      </c>
      <c r="AX198" s="113">
        <f t="shared" si="7"/>
        <v>93</v>
      </c>
      <c r="AY198" s="117">
        <f t="shared" si="8"/>
        <v>68</v>
      </c>
      <c r="AZ198" s="120">
        <f t="shared" si="9"/>
        <v>25</v>
      </c>
      <c r="BA198" s="115">
        <v>0.0</v>
      </c>
      <c r="BB198" s="89">
        <f t="shared" si="10"/>
        <v>93</v>
      </c>
      <c r="BC198" s="132" t="s">
        <v>373</v>
      </c>
      <c r="BD198" s="132" t="s">
        <v>178</v>
      </c>
      <c r="BE198" s="132" t="s">
        <v>178</v>
      </c>
      <c r="BF198" s="123"/>
      <c r="BG198" s="83">
        <v>1178738.0</v>
      </c>
      <c r="BH198" s="112"/>
      <c r="BI198" s="112">
        <v>3.0</v>
      </c>
      <c r="BJ198" s="98" t="s">
        <v>155</v>
      </c>
      <c r="BK198" s="99">
        <f t="shared" si="11"/>
        <v>0</v>
      </c>
      <c r="BL198" s="99">
        <f t="shared" si="12"/>
        <v>68</v>
      </c>
      <c r="BM198" s="99" t="str">
        <f>IFERROR(__xludf.DUMMYFUNCTION("IFERROR(VLOOKUP(BG198,IMPORTRANGE(""https://docs.google.com/spreadsheets/d/1juPI-Fb8LD0YtltB2mlGEnp_R3UVu1t3wSFPzgCyHXE/edit?gid=0#gid=0"",""GERAL!A2:C""),3,0),""-"")"),"CAMPO")</f>
        <v>CAMPO</v>
      </c>
    </row>
    <row r="199" ht="15.75" customHeight="1">
      <c r="A199" s="111" t="s">
        <v>285</v>
      </c>
      <c r="B199" s="136" t="s">
        <v>894</v>
      </c>
      <c r="C199" s="83" t="s">
        <v>68</v>
      </c>
      <c r="D199" s="112">
        <v>1124481.0</v>
      </c>
      <c r="E199" s="83"/>
      <c r="F199" s="83">
        <v>2.9216206E7</v>
      </c>
      <c r="G199" s="187" t="s">
        <v>895</v>
      </c>
      <c r="H199" s="91" t="s">
        <v>896</v>
      </c>
      <c r="I199" s="83" t="s">
        <v>149</v>
      </c>
      <c r="J199" s="83" t="s">
        <v>150</v>
      </c>
      <c r="K199" s="83" t="s">
        <v>151</v>
      </c>
      <c r="L199" s="83" t="s">
        <v>169</v>
      </c>
      <c r="M199" s="82" t="str">
        <f>IFERROR(__xludf.DUMMYFUNCTION("IFERROR(VLOOKUP(D199,
IMPORTRANGE(""https://docs.google.com/spreadsheets/d/1MjHtlUikwobi2MaWJgy7tfLeBmhj1u-dRFRs_8GwSoA/edit#gid=0"",""Gestores Escolares!D7:J""),3,0),""VERIFICAR CÓD SEC"")"),"NEUSA MARIA LIMA SANTOS CARVALHO")</f>
        <v>NEUSA MARIA LIMA SANTOS CARVALHO</v>
      </c>
      <c r="N199" s="82" t="str">
        <f>IFERROR(__xludf.DUMMYFUNCTION("IFERROR(VLOOKUP(D199,
IMPORTRANGE(""https://docs.google.com/spreadsheets/d/1MjHtlUikwobi2MaWJgy7tfLeBmhj1u-dRFRs_8GwSoA/edit#gid=0"",""Gestores Escolares!D7:J""),4,0),""VERIFICAR CÓD SEC"")"),"(77) 9 9127-3638")</f>
        <v>(77) 9 9127-3638</v>
      </c>
      <c r="O199" s="82" t="str">
        <f>IFERROR(__xludf.DUMMYFUNCTION("IFERROR(VLOOKUP(D199,
IMPORTRANGE(""https://docs.google.com/spreadsheets/d/1MjHtlUikwobi2MaWJgy7tfLeBmhj1u-dRFRs_8GwSoA/edit#gid=0"",""Gestores Escolares!D7:J""),6,0),""VERIFICAR CÓD SEC"")"),"BRUNA GABRIELA NICO PEREIRA HERCULANO")</f>
        <v>BRUNA GABRIELA NICO PEREIRA HERCULANO</v>
      </c>
      <c r="P199" s="82" t="str">
        <f>IFERROR(__xludf.DUMMYFUNCTION("IFERROR(VLOOKUP(D199,
IMPORTRANGE(""https://docs.google.com/spreadsheets/d/1MjHtlUikwobi2MaWJgy7tfLeBmhj1u-dRFRs_8GwSoA/edit#gid=0"",""Gestores Escolares!D7:J""),7,0),""VERIFICAR CÓD SEC"")"),"(73) 9 9954-4748")</f>
        <v>(73) 9 9954-4748</v>
      </c>
      <c r="Q199" s="82" t="str">
        <f>IFERROR(__xludf.DUMMYFUNCTION("IFERROR(VLOOKUP(D199,
IMPORTRANGE(""https://docs.google.com/spreadsheets/d/1MjHtlUikwobi2MaWJgy7tfLeBmhj1u-dRFRs_8GwSoA/edit#gid=0"",""Gestores Escolares!D7:m""),9,0),""VERIFICAR CÓD SEC"")"),"")</f>
        <v/>
      </c>
      <c r="R199" s="82" t="str">
        <f>IFERROR(__xludf.DUMMYFUNCTION("IFERROR(VLOOKUP(D199,
IMPORTRANGE(""https://docs.google.com/spreadsheets/d/1MjHtlUikwobi2MaWJgy7tfLeBmhj1u-dRFRs_8GwSoA/edit#gid=0"",""Gestores Escolares!D7:m""),10,0),""VERIFICAR CÓD SEC"")"),"")</f>
        <v/>
      </c>
      <c r="S199" s="82"/>
      <c r="T199" s="138">
        <v>7.0</v>
      </c>
      <c r="U199" s="145" t="s">
        <v>2575</v>
      </c>
      <c r="V199" s="106">
        <v>0.0</v>
      </c>
      <c r="W199" s="107">
        <v>0.0</v>
      </c>
      <c r="X199" s="107">
        <v>0.0</v>
      </c>
      <c r="Y199" s="107">
        <v>0.0</v>
      </c>
      <c r="Z199" s="80">
        <f t="shared" si="1"/>
        <v>0</v>
      </c>
      <c r="AA199" s="106">
        <v>0.0</v>
      </c>
      <c r="AB199" s="107">
        <v>0.0</v>
      </c>
      <c r="AC199" s="107">
        <v>0.0</v>
      </c>
      <c r="AD199" s="107">
        <v>0.0</v>
      </c>
      <c r="AE199" s="80">
        <f t="shared" si="2"/>
        <v>0</v>
      </c>
      <c r="AF199" s="140">
        <v>109.0</v>
      </c>
      <c r="AG199" s="109">
        <v>0.0</v>
      </c>
      <c r="AH199" s="109">
        <v>0.0</v>
      </c>
      <c r="AI199" s="141">
        <v>79.0</v>
      </c>
      <c r="AJ199" s="80">
        <f t="shared" si="3"/>
        <v>188</v>
      </c>
      <c r="AK199" s="140">
        <v>0.0</v>
      </c>
      <c r="AL199" s="109">
        <v>0.0</v>
      </c>
      <c r="AM199" s="141">
        <v>0.0</v>
      </c>
      <c r="AN199" s="80">
        <f t="shared" si="4"/>
        <v>0</v>
      </c>
      <c r="AO199" s="140">
        <v>0.0</v>
      </c>
      <c r="AP199" s="109">
        <v>0.0</v>
      </c>
      <c r="AQ199" s="109">
        <v>15.0</v>
      </c>
      <c r="AR199" s="80">
        <f t="shared" si="5"/>
        <v>15</v>
      </c>
      <c r="AS199" s="110">
        <v>0.0</v>
      </c>
      <c r="AT199" s="110">
        <v>0.0</v>
      </c>
      <c r="AU199" s="110">
        <v>22.0</v>
      </c>
      <c r="AV199" s="142">
        <v>0.0</v>
      </c>
      <c r="AW199" s="80">
        <f t="shared" si="6"/>
        <v>22</v>
      </c>
      <c r="AX199" s="113">
        <f t="shared" si="7"/>
        <v>225</v>
      </c>
      <c r="AY199" s="117">
        <f t="shared" si="8"/>
        <v>188</v>
      </c>
      <c r="AZ199" s="120">
        <f t="shared" si="9"/>
        <v>37</v>
      </c>
      <c r="BA199" s="115">
        <v>0.0</v>
      </c>
      <c r="BB199" s="89">
        <f t="shared" si="10"/>
        <v>225</v>
      </c>
      <c r="BC199" s="132" t="s">
        <v>178</v>
      </c>
      <c r="BD199" s="132" t="s">
        <v>178</v>
      </c>
      <c r="BE199" s="132" t="s">
        <v>178</v>
      </c>
      <c r="BF199" s="123"/>
      <c r="BG199" s="83">
        <v>1124481.0</v>
      </c>
      <c r="BH199" s="112"/>
      <c r="BI199" s="112">
        <v>8.0</v>
      </c>
      <c r="BJ199" s="98" t="s">
        <v>155</v>
      </c>
      <c r="BK199" s="99">
        <f t="shared" si="11"/>
        <v>79</v>
      </c>
      <c r="BL199" s="99">
        <f t="shared" si="12"/>
        <v>109</v>
      </c>
      <c r="BM199" s="99" t="str">
        <f>IFERROR(__xludf.DUMMYFUNCTION("IFERROR(VLOOKUP(BG199,IMPORTRANGE(""https://docs.google.com/spreadsheets/d/1juPI-Fb8LD0YtltB2mlGEnp_R3UVu1t3wSFPzgCyHXE/edit?gid=0#gid=0"",""GERAL!A2:C""),3,0),""-"")"),"-")</f>
        <v>-</v>
      </c>
    </row>
    <row r="200" ht="15.75" customHeight="1">
      <c r="A200" s="111" t="s">
        <v>285</v>
      </c>
      <c r="B200" s="136" t="s">
        <v>894</v>
      </c>
      <c r="C200" s="83" t="s">
        <v>68</v>
      </c>
      <c r="D200" s="98">
        <v>1124511.0</v>
      </c>
      <c r="E200" s="83"/>
      <c r="F200" s="98">
        <v>2.9216265E7</v>
      </c>
      <c r="G200" s="147" t="s">
        <v>898</v>
      </c>
      <c r="H200" s="108" t="s">
        <v>899</v>
      </c>
      <c r="I200" s="98" t="s">
        <v>900</v>
      </c>
      <c r="J200" s="83"/>
      <c r="K200" s="83" t="s">
        <v>151</v>
      </c>
      <c r="L200" s="83" t="s">
        <v>169</v>
      </c>
      <c r="M200" s="82" t="str">
        <f>IFERROR(__xludf.DUMMYFUNCTION("IFERROR(VLOOKUP(D200,
IMPORTRANGE(""https://docs.google.com/spreadsheets/d/1MjHtlUikwobi2MaWJgy7tfLeBmhj1u-dRFRs_8GwSoA/edit#gid=0"",""Gestores Escolares!D7:J""),3,0),""VERIFICAR CÓD SEC"")"),"JUSSARA PEREIRA MARQUES MENDES")</f>
        <v>JUSSARA PEREIRA MARQUES MENDES</v>
      </c>
      <c r="N200" s="82" t="str">
        <f>IFERROR(__xludf.DUMMYFUNCTION("IFERROR(VLOOKUP(D200,
IMPORTRANGE(""https://docs.google.com/spreadsheets/d/1MjHtlUikwobi2MaWJgy7tfLeBmhj1u-dRFRs_8GwSoA/edit#gid=0"",""Gestores Escolares!D7:J""),4,0),""VERIFICAR CÓD SEC"")"),"(77) 9 9144-9959")</f>
        <v>(77) 9 9144-9959</v>
      </c>
      <c r="O200" s="82" t="str">
        <f>IFERROR(__xludf.DUMMYFUNCTION("IFERROR(VLOOKUP(D200,
IMPORTRANGE(""https://docs.google.com/spreadsheets/d/1MjHtlUikwobi2MaWJgy7tfLeBmhj1u-dRFRs_8GwSoA/edit#gid=0"",""Gestores Escolares!D7:J""),6,0),""VERIFICAR CÓD SEC"")"),"")</f>
        <v/>
      </c>
      <c r="P200" s="82" t="str">
        <f>IFERROR(__xludf.DUMMYFUNCTION("IFERROR(VLOOKUP(D200,
IMPORTRANGE(""https://docs.google.com/spreadsheets/d/1MjHtlUikwobi2MaWJgy7tfLeBmhj1u-dRFRs_8GwSoA/edit#gid=0"",""Gestores Escolares!D7:J""),7,0),""VERIFICAR CÓD SEC"")"),"")</f>
        <v/>
      </c>
      <c r="Q200" s="82" t="str">
        <f>IFERROR(__xludf.DUMMYFUNCTION("IFERROR(VLOOKUP(D200,
IMPORTRANGE(""https://docs.google.com/spreadsheets/d/1MjHtlUikwobi2MaWJgy7tfLeBmhj1u-dRFRs_8GwSoA/edit#gid=0"",""Gestores Escolares!D7:m""),9,0),""VERIFICAR CÓD SEC"")"),"")</f>
        <v/>
      </c>
      <c r="R200" s="82" t="str">
        <f>IFERROR(__xludf.DUMMYFUNCTION("IFERROR(VLOOKUP(D200,
IMPORTRANGE(""https://docs.google.com/spreadsheets/d/1MjHtlUikwobi2MaWJgy7tfLeBmhj1u-dRFRs_8GwSoA/edit#gid=0"",""Gestores Escolares!D7:m""),10,0),""VERIFICAR CÓD SEC"")"),"")</f>
        <v/>
      </c>
      <c r="S200" s="82"/>
      <c r="T200" s="138"/>
      <c r="U200" s="145">
        <v>4.0</v>
      </c>
      <c r="V200" s="106">
        <v>0.0</v>
      </c>
      <c r="W200" s="107">
        <v>0.0</v>
      </c>
      <c r="X200" s="107">
        <v>0.0</v>
      </c>
      <c r="Y200" s="107">
        <v>0.0</v>
      </c>
      <c r="Z200" s="80">
        <f t="shared" si="1"/>
        <v>0</v>
      </c>
      <c r="AA200" s="106">
        <v>0.0</v>
      </c>
      <c r="AB200" s="107">
        <v>0.0</v>
      </c>
      <c r="AC200" s="107">
        <v>0.0</v>
      </c>
      <c r="AD200" s="107">
        <v>0.0</v>
      </c>
      <c r="AE200" s="80">
        <f t="shared" si="2"/>
        <v>0</v>
      </c>
      <c r="AF200" s="140">
        <v>14.0</v>
      </c>
      <c r="AG200" s="109">
        <v>0.0</v>
      </c>
      <c r="AH200" s="109">
        <v>0.0</v>
      </c>
      <c r="AI200" s="141">
        <v>35.0</v>
      </c>
      <c r="AJ200" s="80">
        <f t="shared" si="3"/>
        <v>49</v>
      </c>
      <c r="AK200" s="140">
        <v>0.0</v>
      </c>
      <c r="AL200" s="109">
        <v>0.0</v>
      </c>
      <c r="AM200" s="141">
        <v>0.0</v>
      </c>
      <c r="AN200" s="80">
        <f t="shared" si="4"/>
        <v>0</v>
      </c>
      <c r="AO200" s="140">
        <v>0.0</v>
      </c>
      <c r="AP200" s="109">
        <v>0.0</v>
      </c>
      <c r="AQ200" s="109">
        <v>63.0</v>
      </c>
      <c r="AR200" s="80">
        <f t="shared" si="5"/>
        <v>63</v>
      </c>
      <c r="AS200" s="110">
        <v>0.0</v>
      </c>
      <c r="AT200" s="110">
        <v>21.0</v>
      </c>
      <c r="AU200" s="110">
        <v>0.0</v>
      </c>
      <c r="AV200" s="142">
        <v>0.0</v>
      </c>
      <c r="AW200" s="80">
        <f t="shared" si="6"/>
        <v>21</v>
      </c>
      <c r="AX200" s="113">
        <f t="shared" si="7"/>
        <v>133</v>
      </c>
      <c r="AY200" s="117">
        <f t="shared" si="8"/>
        <v>70</v>
      </c>
      <c r="AZ200" s="120">
        <f t="shared" si="9"/>
        <v>63</v>
      </c>
      <c r="BA200" s="115">
        <v>0.0</v>
      </c>
      <c r="BB200" s="89">
        <f t="shared" si="10"/>
        <v>133</v>
      </c>
      <c r="BC200" s="132"/>
      <c r="BD200" s="132"/>
      <c r="BE200" s="132"/>
      <c r="BF200" s="156"/>
      <c r="BG200" s="98">
        <v>1124511.0</v>
      </c>
      <c r="BH200" s="112"/>
      <c r="BI200" s="112"/>
      <c r="BJ200" s="98" t="s">
        <v>155</v>
      </c>
      <c r="BK200" s="99">
        <f t="shared" si="11"/>
        <v>35</v>
      </c>
      <c r="BL200" s="99">
        <f t="shared" si="12"/>
        <v>35</v>
      </c>
      <c r="BM200" s="99" t="str">
        <f>IFERROR(__xludf.DUMMYFUNCTION("IFERROR(VLOOKUP(BG200,IMPORTRANGE(""https://docs.google.com/spreadsheets/d/1juPI-Fb8LD0YtltB2mlGEnp_R3UVu1t3wSFPzgCyHXE/edit?gid=0#gid=0"",""GERAL!A2:C""),3,0),""-"")"),"-")</f>
        <v>-</v>
      </c>
    </row>
    <row r="201" ht="15.75" customHeight="1">
      <c r="A201" s="111" t="s">
        <v>285</v>
      </c>
      <c r="B201" s="136" t="s">
        <v>902</v>
      </c>
      <c r="C201" s="83" t="s">
        <v>68</v>
      </c>
      <c r="D201" s="112">
        <v>1164149.0</v>
      </c>
      <c r="E201" s="189"/>
      <c r="F201" s="189">
        <v>2.9216486E7</v>
      </c>
      <c r="G201" s="313" t="s">
        <v>903</v>
      </c>
      <c r="H201" s="91" t="s">
        <v>904</v>
      </c>
      <c r="I201" s="83" t="s">
        <v>149</v>
      </c>
      <c r="J201" s="83" t="s">
        <v>150</v>
      </c>
      <c r="K201" s="83" t="s">
        <v>168</v>
      </c>
      <c r="L201" s="83" t="s">
        <v>76</v>
      </c>
      <c r="M201" s="82" t="str">
        <f>IFERROR(__xludf.DUMMYFUNCTION("IFERROR(VLOOKUP(D201,
IMPORTRANGE(""https://docs.google.com/spreadsheets/d/1MjHtlUikwobi2MaWJgy7tfLeBmhj1u-dRFRs_8GwSoA/edit#gid=0"",""Gestores Escolares!D7:J""),3,0),""VERIFICAR CÓD SEC"")"),"MAURICIO DA SILVA ALVES")</f>
        <v>MAURICIO DA SILVA ALVES</v>
      </c>
      <c r="N201" s="82" t="str">
        <f>IFERROR(__xludf.DUMMYFUNCTION("IFERROR(VLOOKUP(D201,
IMPORTRANGE(""https://docs.google.com/spreadsheets/d/1MjHtlUikwobi2MaWJgy7tfLeBmhj1u-dRFRs_8GwSoA/edit#gid=0"",""Gestores Escolares!D7:J""),4,0),""VERIFICAR CÓD SEC"")"),"(71) 9 9340-8202")</f>
        <v>(71) 9 9340-8202</v>
      </c>
      <c r="O201" s="82" t="str">
        <f>IFERROR(__xludf.DUMMYFUNCTION("IFERROR(VLOOKUP(D201,
IMPORTRANGE(""https://docs.google.com/spreadsheets/d/1MjHtlUikwobi2MaWJgy7tfLeBmhj1u-dRFRs_8GwSoA/edit#gid=0"",""Gestores Escolares!D7:J""),6,0),""VERIFICAR CÓD SEC"")"),"ALINE REIS NAVARRO DE LIMA")</f>
        <v>ALINE REIS NAVARRO DE LIMA</v>
      </c>
      <c r="P201" s="82" t="str">
        <f>IFERROR(__xludf.DUMMYFUNCTION("IFERROR(VLOOKUP(D201,
IMPORTRANGE(""https://docs.google.com/spreadsheets/d/1MjHtlUikwobi2MaWJgy7tfLeBmhj1u-dRFRs_8GwSoA/edit#gid=0"",""Gestores Escolares!D7:J""),7,0),""VERIFICAR CÓD SEC"")"),"(75) 9 9954-9132")</f>
        <v>(75) 9 9954-9132</v>
      </c>
      <c r="Q201" s="82" t="str">
        <f>IFERROR(__xludf.DUMMYFUNCTION("IFERROR(VLOOKUP(D201,
IMPORTRANGE(""https://docs.google.com/spreadsheets/d/1MjHtlUikwobi2MaWJgy7tfLeBmhj1u-dRFRs_8GwSoA/edit#gid=0"",""Gestores Escolares!D7:m""),9,0),""VERIFICAR CÓD SEC"")"),"")</f>
        <v/>
      </c>
      <c r="R201" s="82" t="str">
        <f>IFERROR(__xludf.DUMMYFUNCTION("IFERROR(VLOOKUP(D201,
IMPORTRANGE(""https://docs.google.com/spreadsheets/d/1MjHtlUikwobi2MaWJgy7tfLeBmhj1u-dRFRs_8GwSoA/edit#gid=0"",""Gestores Escolares!D7:m""),10,0),""VERIFICAR CÓD SEC"")"),"")</f>
        <v/>
      </c>
      <c r="S201" s="82"/>
      <c r="T201" s="138">
        <v>6.0</v>
      </c>
      <c r="U201" s="145" t="s">
        <v>2640</v>
      </c>
      <c r="V201" s="106">
        <v>0.0</v>
      </c>
      <c r="W201" s="107">
        <v>0.0</v>
      </c>
      <c r="X201" s="107">
        <v>0.0</v>
      </c>
      <c r="Y201" s="107">
        <v>0.0</v>
      </c>
      <c r="Z201" s="80">
        <f t="shared" si="1"/>
        <v>0</v>
      </c>
      <c r="AA201" s="106">
        <v>0.0</v>
      </c>
      <c r="AB201" s="107">
        <v>0.0</v>
      </c>
      <c r="AC201" s="107">
        <v>0.0</v>
      </c>
      <c r="AD201" s="107">
        <v>0.0</v>
      </c>
      <c r="AE201" s="80">
        <f t="shared" si="2"/>
        <v>0</v>
      </c>
      <c r="AF201" s="140">
        <v>51.0</v>
      </c>
      <c r="AG201" s="109">
        <v>8.0</v>
      </c>
      <c r="AH201" s="109">
        <v>0.0</v>
      </c>
      <c r="AI201" s="141">
        <v>75.0</v>
      </c>
      <c r="AJ201" s="80">
        <f t="shared" si="3"/>
        <v>134</v>
      </c>
      <c r="AK201" s="140">
        <v>0.0</v>
      </c>
      <c r="AL201" s="109">
        <v>0.0</v>
      </c>
      <c r="AM201" s="141">
        <v>0.0</v>
      </c>
      <c r="AN201" s="80">
        <f t="shared" si="4"/>
        <v>0</v>
      </c>
      <c r="AO201" s="140">
        <v>0.0</v>
      </c>
      <c r="AP201" s="109">
        <v>0.0</v>
      </c>
      <c r="AQ201" s="109">
        <v>86.0</v>
      </c>
      <c r="AR201" s="80">
        <f t="shared" si="5"/>
        <v>86</v>
      </c>
      <c r="AS201" s="110">
        <v>0.0</v>
      </c>
      <c r="AT201" s="110">
        <v>0.0</v>
      </c>
      <c r="AU201" s="110">
        <v>0.0</v>
      </c>
      <c r="AV201" s="142">
        <v>58.0</v>
      </c>
      <c r="AW201" s="80">
        <f t="shared" si="6"/>
        <v>58</v>
      </c>
      <c r="AX201" s="113">
        <f t="shared" si="7"/>
        <v>278</v>
      </c>
      <c r="AY201" s="117">
        <f t="shared" si="8"/>
        <v>192</v>
      </c>
      <c r="AZ201" s="120">
        <f t="shared" si="9"/>
        <v>86</v>
      </c>
      <c r="BA201" s="115">
        <v>0.0</v>
      </c>
      <c r="BB201" s="89">
        <f t="shared" si="10"/>
        <v>278</v>
      </c>
      <c r="BC201" s="132" t="s">
        <v>178</v>
      </c>
      <c r="BD201" s="132" t="s">
        <v>178</v>
      </c>
      <c r="BE201" s="132" t="s">
        <v>178</v>
      </c>
      <c r="BF201" s="156"/>
      <c r="BG201" s="83">
        <v>1164149.0</v>
      </c>
      <c r="BH201" s="112"/>
      <c r="BI201" s="112">
        <v>5.0</v>
      </c>
      <c r="BJ201" s="98" t="s">
        <v>155</v>
      </c>
      <c r="BK201" s="99">
        <f t="shared" si="11"/>
        <v>133</v>
      </c>
      <c r="BL201" s="99">
        <f t="shared" si="12"/>
        <v>59</v>
      </c>
      <c r="BM201" s="99" t="str">
        <f>IFERROR(__xludf.DUMMYFUNCTION("IFERROR(VLOOKUP(BG201,IMPORTRANGE(""https://docs.google.com/spreadsheets/d/1juPI-Fb8LD0YtltB2mlGEnp_R3UVu1t3wSFPzgCyHXE/edit?gid=0#gid=0"",""GERAL!A2:C""),3,0),""-"")"),"-")</f>
        <v>-</v>
      </c>
    </row>
    <row r="202" ht="15.75" customHeight="1">
      <c r="A202" s="111" t="s">
        <v>285</v>
      </c>
      <c r="B202" s="317" t="s">
        <v>902</v>
      </c>
      <c r="C202" s="83" t="s">
        <v>164</v>
      </c>
      <c r="D202" s="112">
        <v>1164149.0</v>
      </c>
      <c r="E202" s="189">
        <v>1179716.0</v>
      </c>
      <c r="F202" s="212">
        <v>2.9489857E7</v>
      </c>
      <c r="G202" s="313" t="s">
        <v>907</v>
      </c>
      <c r="H202" s="91" t="s">
        <v>908</v>
      </c>
      <c r="I202" s="211" t="s">
        <v>909</v>
      </c>
      <c r="J202" s="212" t="s">
        <v>767</v>
      </c>
      <c r="K202" s="189" t="s">
        <v>168</v>
      </c>
      <c r="L202" s="83" t="s">
        <v>512</v>
      </c>
      <c r="M202" s="82" t="str">
        <f>IFERROR(__xludf.DUMMYFUNCTION("IFERROR(VLOOKUP(D202,
IMPORTRANGE(""https://docs.google.com/spreadsheets/d/1MjHtlUikwobi2MaWJgy7tfLeBmhj1u-dRFRs_8GwSoA/edit#gid=0"",""Gestores Escolares!D7:J""),3,0),""VERIFICAR CÓD SEC"")"),"MAURICIO DA SILVA ALVES")</f>
        <v>MAURICIO DA SILVA ALVES</v>
      </c>
      <c r="N202" s="82" t="str">
        <f>IFERROR(__xludf.DUMMYFUNCTION("IFERROR(VLOOKUP(D202,
IMPORTRANGE(""https://docs.google.com/spreadsheets/d/1MjHtlUikwobi2MaWJgy7tfLeBmhj1u-dRFRs_8GwSoA/edit#gid=0"",""Gestores Escolares!D7:J""),4,0),""VERIFICAR CÓD SEC"")"),"(71) 9 9340-8202")</f>
        <v>(71) 9 9340-8202</v>
      </c>
      <c r="O202" s="82" t="str">
        <f>IFERROR(__xludf.DUMMYFUNCTION("IFERROR(VLOOKUP(D202,
IMPORTRANGE(""https://docs.google.com/spreadsheets/d/1MjHtlUikwobi2MaWJgy7tfLeBmhj1u-dRFRs_8GwSoA/edit#gid=0"",""Gestores Escolares!D7:J""),6,0),""VERIFICAR CÓD SEC"")"),"ALINE REIS NAVARRO DE LIMA")</f>
        <v>ALINE REIS NAVARRO DE LIMA</v>
      </c>
      <c r="P202" s="82" t="str">
        <f>IFERROR(__xludf.DUMMYFUNCTION("IFERROR(VLOOKUP(D202,
IMPORTRANGE(""https://docs.google.com/spreadsheets/d/1MjHtlUikwobi2MaWJgy7tfLeBmhj1u-dRFRs_8GwSoA/edit#gid=0"",""Gestores Escolares!D7:J""),7,0),""VERIFICAR CÓD SEC"")"),"(75) 9 9954-9132")</f>
        <v>(75) 9 9954-9132</v>
      </c>
      <c r="Q202" s="82" t="str">
        <f>IFERROR(__xludf.DUMMYFUNCTION("IFERROR(VLOOKUP(D202,
IMPORTRANGE(""https://docs.google.com/spreadsheets/d/1MjHtlUikwobi2MaWJgy7tfLeBmhj1u-dRFRs_8GwSoA/edit#gid=0"",""Gestores Escolares!D7:m""),9,0),""VERIFICAR CÓD SEC"")"),"")</f>
        <v/>
      </c>
      <c r="R202" s="82" t="str">
        <f>IFERROR(__xludf.DUMMYFUNCTION("IFERROR(VLOOKUP(D202,
IMPORTRANGE(""https://docs.google.com/spreadsheets/d/1MjHtlUikwobi2MaWJgy7tfLeBmhj1u-dRFRs_8GwSoA/edit#gid=0"",""Gestores Escolares!D7:m""),10,0),""VERIFICAR CÓD SEC"")"),"")</f>
        <v/>
      </c>
      <c r="S202" s="82"/>
      <c r="T202" s="321" t="s">
        <v>171</v>
      </c>
      <c r="U202" s="322">
        <v>3.0</v>
      </c>
      <c r="V202" s="106">
        <v>0.0</v>
      </c>
      <c r="W202" s="107">
        <v>0.0</v>
      </c>
      <c r="X202" s="107">
        <v>0.0</v>
      </c>
      <c r="Y202" s="107">
        <v>0.0</v>
      </c>
      <c r="Z202" s="80">
        <f t="shared" si="1"/>
        <v>0</v>
      </c>
      <c r="AA202" s="106">
        <v>0.0</v>
      </c>
      <c r="AB202" s="107">
        <v>0.0</v>
      </c>
      <c r="AC202" s="107">
        <v>0.0</v>
      </c>
      <c r="AD202" s="107">
        <v>0.0</v>
      </c>
      <c r="AE202" s="80">
        <f t="shared" si="2"/>
        <v>0</v>
      </c>
      <c r="AF202" s="324">
        <v>0.0</v>
      </c>
      <c r="AG202" s="325">
        <v>86.0</v>
      </c>
      <c r="AH202" s="325">
        <v>0.0</v>
      </c>
      <c r="AI202" s="326">
        <v>0.0</v>
      </c>
      <c r="AJ202" s="80">
        <f t="shared" si="3"/>
        <v>86</v>
      </c>
      <c r="AK202" s="324">
        <v>0.0</v>
      </c>
      <c r="AL202" s="325">
        <v>0.0</v>
      </c>
      <c r="AM202" s="326">
        <v>0.0</v>
      </c>
      <c r="AN202" s="80">
        <f t="shared" si="4"/>
        <v>0</v>
      </c>
      <c r="AO202" s="324">
        <v>0.0</v>
      </c>
      <c r="AP202" s="325">
        <v>0.0</v>
      </c>
      <c r="AQ202" s="325">
        <v>47.0</v>
      </c>
      <c r="AR202" s="80">
        <f t="shared" si="5"/>
        <v>47</v>
      </c>
      <c r="AS202" s="329">
        <v>0.0</v>
      </c>
      <c r="AT202" s="329">
        <v>0.0</v>
      </c>
      <c r="AU202" s="329">
        <v>0.0</v>
      </c>
      <c r="AV202" s="330">
        <v>0.0</v>
      </c>
      <c r="AW202" s="80">
        <f t="shared" si="6"/>
        <v>0</v>
      </c>
      <c r="AX202" s="113">
        <f t="shared" si="7"/>
        <v>133</v>
      </c>
      <c r="AY202" s="117">
        <f t="shared" si="8"/>
        <v>86</v>
      </c>
      <c r="AZ202" s="120">
        <f t="shared" si="9"/>
        <v>47</v>
      </c>
      <c r="BA202" s="115">
        <v>0.0</v>
      </c>
      <c r="BB202" s="89">
        <f t="shared" si="10"/>
        <v>133</v>
      </c>
      <c r="BC202" s="132" t="s">
        <v>178</v>
      </c>
      <c r="BD202" s="132" t="s">
        <v>178</v>
      </c>
      <c r="BE202" s="132" t="s">
        <v>178</v>
      </c>
      <c r="BF202" s="156"/>
      <c r="BG202" s="83">
        <v>1179716.0</v>
      </c>
      <c r="BH202" s="98"/>
      <c r="BI202" s="98">
        <v>3.0</v>
      </c>
      <c r="BJ202" s="98" t="s">
        <v>155</v>
      </c>
      <c r="BK202" s="99">
        <f t="shared" si="11"/>
        <v>0</v>
      </c>
      <c r="BL202" s="99">
        <f t="shared" si="12"/>
        <v>86</v>
      </c>
      <c r="BM202" s="99" t="str">
        <f>IFERROR(__xludf.DUMMYFUNCTION("IFERROR(VLOOKUP(BG202,IMPORTRANGE(""https://docs.google.com/spreadsheets/d/1juPI-Fb8LD0YtltB2mlGEnp_R3UVu1t3wSFPzgCyHXE/edit?gid=0#gid=0"",""GERAL!A2:C""),3,0),""-"")"),"-")</f>
        <v>-</v>
      </c>
    </row>
    <row r="203" ht="15.75" customHeight="1">
      <c r="A203" s="111" t="s">
        <v>285</v>
      </c>
      <c r="B203" s="317" t="s">
        <v>910</v>
      </c>
      <c r="C203" s="83" t="s">
        <v>68</v>
      </c>
      <c r="D203" s="112">
        <v>1123647.0</v>
      </c>
      <c r="E203" s="189"/>
      <c r="F203" s="189">
        <v>2.9232988E7</v>
      </c>
      <c r="G203" s="332" t="s">
        <v>911</v>
      </c>
      <c r="H203" s="108" t="s">
        <v>912</v>
      </c>
      <c r="I203" s="213" t="s">
        <v>149</v>
      </c>
      <c r="J203" s="189" t="s">
        <v>150</v>
      </c>
      <c r="K203" s="189" t="s">
        <v>151</v>
      </c>
      <c r="L203" s="98" t="s">
        <v>152</v>
      </c>
      <c r="M203" s="82" t="str">
        <f>IFERROR(__xludf.DUMMYFUNCTION("IFERROR(VLOOKUP(D203,
IMPORTRANGE(""https://docs.google.com/spreadsheets/d/1MjHtlUikwobi2MaWJgy7tfLeBmhj1u-dRFRs_8GwSoA/edit#gid=0"",""Gestores Escolares!D7:J""),3,0),""VERIFICAR CÓD SEC"")")," TAILANE NEVES DE JESUS")</f>
        <v> TAILANE NEVES DE JESUS</v>
      </c>
      <c r="N203" s="82" t="str">
        <f>IFERROR(__xludf.DUMMYFUNCTION("IFERROR(VLOOKUP(D203,
IMPORTRANGE(""https://docs.google.com/spreadsheets/d/1MjHtlUikwobi2MaWJgy7tfLeBmhj1u-dRFRs_8GwSoA/edit#gid=0"",""Gestores Escolares!D7:J""),4,0),""VERIFICAR CÓD SEC"")"),"(71) 9 9406-5328")</f>
        <v>(71) 9 9406-5328</v>
      </c>
      <c r="O203" s="82" t="str">
        <f>IFERROR(__xludf.DUMMYFUNCTION("IFERROR(VLOOKUP(D203,
IMPORTRANGE(""https://docs.google.com/spreadsheets/d/1MjHtlUikwobi2MaWJgy7tfLeBmhj1u-dRFRs_8GwSoA/edit#gid=0"",""Gestores Escolares!D7:J""),6,0),""VERIFICAR CÓD SEC"")"),"NORLANDIA DOS SANTOS DA SILVA")</f>
        <v>NORLANDIA DOS SANTOS DA SILVA</v>
      </c>
      <c r="P203" s="82" t="str">
        <f>IFERROR(__xludf.DUMMYFUNCTION("IFERROR(VLOOKUP(D203,
IMPORTRANGE(""https://docs.google.com/spreadsheets/d/1MjHtlUikwobi2MaWJgy7tfLeBmhj1u-dRFRs_8GwSoA/edit#gid=0"",""Gestores Escolares!D7:J""),7,0),""VERIFICAR CÓD SEC"")"),"(75) 9 9126-5275")</f>
        <v>(75) 9 9126-5275</v>
      </c>
      <c r="Q203" s="82" t="str">
        <f>IFERROR(__xludf.DUMMYFUNCTION("IFERROR(VLOOKUP(D203,
IMPORTRANGE(""https://docs.google.com/spreadsheets/d/1MjHtlUikwobi2MaWJgy7tfLeBmhj1u-dRFRs_8GwSoA/edit#gid=0"",""Gestores Escolares!D7:m""),9,0),""VERIFICAR CÓD SEC"")"),"JADE RIBEIRO CARNEIRO")</f>
        <v>JADE RIBEIRO CARNEIRO</v>
      </c>
      <c r="R203" s="82" t="str">
        <f>IFERROR(__xludf.DUMMYFUNCTION("IFERROR(VLOOKUP(D203,
IMPORTRANGE(""https://docs.google.com/spreadsheets/d/1MjHtlUikwobi2MaWJgy7tfLeBmhj1u-dRFRs_8GwSoA/edit#gid=0"",""Gestores Escolares!D7:m""),10,0),""VERIFICAR CÓD SEC"")"),"")</f>
        <v/>
      </c>
      <c r="S203" s="82"/>
      <c r="T203" s="335">
        <v>8.0</v>
      </c>
      <c r="U203" s="336">
        <v>12.0</v>
      </c>
      <c r="V203" s="106">
        <v>0.0</v>
      </c>
      <c r="W203" s="107">
        <v>0.0</v>
      </c>
      <c r="X203" s="107">
        <v>0.0</v>
      </c>
      <c r="Y203" s="107">
        <v>0.0</v>
      </c>
      <c r="Z203" s="80">
        <f t="shared" si="1"/>
        <v>0</v>
      </c>
      <c r="AA203" s="106">
        <v>0.0</v>
      </c>
      <c r="AB203" s="107">
        <v>0.0</v>
      </c>
      <c r="AC203" s="107">
        <v>0.0</v>
      </c>
      <c r="AD203" s="107">
        <v>0.0</v>
      </c>
      <c r="AE203" s="80">
        <f t="shared" si="2"/>
        <v>0</v>
      </c>
      <c r="AF203" s="324">
        <v>0.0</v>
      </c>
      <c r="AG203" s="325">
        <v>0.0</v>
      </c>
      <c r="AH203" s="325">
        <v>0.0</v>
      </c>
      <c r="AI203" s="326">
        <v>203.0</v>
      </c>
      <c r="AJ203" s="80">
        <f t="shared" si="3"/>
        <v>203</v>
      </c>
      <c r="AK203" s="324">
        <v>0.0</v>
      </c>
      <c r="AL203" s="325">
        <v>0.0</v>
      </c>
      <c r="AM203" s="326">
        <v>0.0</v>
      </c>
      <c r="AN203" s="80">
        <f t="shared" si="4"/>
        <v>0</v>
      </c>
      <c r="AO203" s="324">
        <v>0.0</v>
      </c>
      <c r="AP203" s="325">
        <v>0.0</v>
      </c>
      <c r="AQ203" s="325">
        <v>102.0</v>
      </c>
      <c r="AR203" s="80">
        <f t="shared" si="5"/>
        <v>102</v>
      </c>
      <c r="AS203" s="337">
        <v>0.0</v>
      </c>
      <c r="AT203" s="337">
        <v>0.0</v>
      </c>
      <c r="AU203" s="337">
        <v>0.0</v>
      </c>
      <c r="AV203" s="338">
        <v>67.0</v>
      </c>
      <c r="AW203" s="80">
        <f t="shared" si="6"/>
        <v>67</v>
      </c>
      <c r="AX203" s="113">
        <f t="shared" si="7"/>
        <v>372</v>
      </c>
      <c r="AY203" s="117">
        <f t="shared" si="8"/>
        <v>270</v>
      </c>
      <c r="AZ203" s="120">
        <f t="shared" si="9"/>
        <v>102</v>
      </c>
      <c r="BA203" s="115">
        <v>0.0</v>
      </c>
      <c r="BB203" s="89">
        <f t="shared" si="10"/>
        <v>372</v>
      </c>
      <c r="BC203" s="132" t="s">
        <v>178</v>
      </c>
      <c r="BD203" s="132" t="s">
        <v>178</v>
      </c>
      <c r="BE203" s="132" t="s">
        <v>178</v>
      </c>
      <c r="BF203" s="123"/>
      <c r="BG203" s="83">
        <v>1123647.0</v>
      </c>
      <c r="BH203" s="112"/>
      <c r="BI203" s="112">
        <v>6.0</v>
      </c>
      <c r="BJ203" s="98" t="s">
        <v>162</v>
      </c>
      <c r="BK203" s="99">
        <f t="shared" si="11"/>
        <v>270</v>
      </c>
      <c r="BL203" s="99">
        <f t="shared" si="12"/>
        <v>0</v>
      </c>
      <c r="BM203" s="99" t="str">
        <f>IFERROR(__xludf.DUMMYFUNCTION("IFERROR(VLOOKUP(BG203,IMPORTRANGE(""https://docs.google.com/spreadsheets/d/1juPI-Fb8LD0YtltB2mlGEnp_R3UVu1t3wSFPzgCyHXE/edit?gid=0#gid=0"",""GERAL!A2:C""),3,0),""-"")"),"-")</f>
        <v>-</v>
      </c>
    </row>
    <row r="204" ht="15.75" customHeight="1">
      <c r="A204" s="111" t="s">
        <v>285</v>
      </c>
      <c r="B204" s="83" t="s">
        <v>910</v>
      </c>
      <c r="C204" s="83" t="s">
        <v>164</v>
      </c>
      <c r="D204" s="112">
        <v>1123647.0</v>
      </c>
      <c r="E204" s="83">
        <v>1178740.0</v>
      </c>
      <c r="F204" s="98">
        <v>2.949194E7</v>
      </c>
      <c r="G204" s="114" t="s">
        <v>916</v>
      </c>
      <c r="H204" s="91" t="s">
        <v>917</v>
      </c>
      <c r="I204" s="214" t="s">
        <v>918</v>
      </c>
      <c r="J204" s="83" t="s">
        <v>331</v>
      </c>
      <c r="K204" s="83" t="s">
        <v>151</v>
      </c>
      <c r="L204" s="83" t="s">
        <v>169</v>
      </c>
      <c r="M204" s="82" t="str">
        <f>IFERROR(__xludf.DUMMYFUNCTION("IFERROR(VLOOKUP(D204,
IMPORTRANGE(""https://docs.google.com/spreadsheets/d/1MjHtlUikwobi2MaWJgy7tfLeBmhj1u-dRFRs_8GwSoA/edit#gid=0"",""Gestores Escolares!D7:J""),3,0),""VERIFICAR CÓD SEC"")")," TAILANE NEVES DE JESUS")</f>
        <v> TAILANE NEVES DE JESUS</v>
      </c>
      <c r="N204" s="82" t="str">
        <f>IFERROR(__xludf.DUMMYFUNCTION("IFERROR(VLOOKUP(D204,
IMPORTRANGE(""https://docs.google.com/spreadsheets/d/1MjHtlUikwobi2MaWJgy7tfLeBmhj1u-dRFRs_8GwSoA/edit#gid=0"",""Gestores Escolares!D7:J""),4,0),""VERIFICAR CÓD SEC"")"),"(71) 9 9406-5328")</f>
        <v>(71) 9 9406-5328</v>
      </c>
      <c r="O204" s="82" t="str">
        <f>IFERROR(__xludf.DUMMYFUNCTION("IFERROR(VLOOKUP(D204,
IMPORTRANGE(""https://docs.google.com/spreadsheets/d/1MjHtlUikwobi2MaWJgy7tfLeBmhj1u-dRFRs_8GwSoA/edit#gid=0"",""Gestores Escolares!D7:J""),6,0),""VERIFICAR CÓD SEC"")"),"NORLANDIA DOS SANTOS DA SILVA")</f>
        <v>NORLANDIA DOS SANTOS DA SILVA</v>
      </c>
      <c r="P204" s="82" t="str">
        <f>IFERROR(__xludf.DUMMYFUNCTION("IFERROR(VLOOKUP(D204,
IMPORTRANGE(""https://docs.google.com/spreadsheets/d/1MjHtlUikwobi2MaWJgy7tfLeBmhj1u-dRFRs_8GwSoA/edit#gid=0"",""Gestores Escolares!D7:J""),7,0),""VERIFICAR CÓD SEC"")"),"(75) 9 9126-5275")</f>
        <v>(75) 9 9126-5275</v>
      </c>
      <c r="Q204" s="82" t="str">
        <f>IFERROR(__xludf.DUMMYFUNCTION("IFERROR(VLOOKUP(D204,
IMPORTRANGE(""https://docs.google.com/spreadsheets/d/1MjHtlUikwobi2MaWJgy7tfLeBmhj1u-dRFRs_8GwSoA/edit#gid=0"",""Gestores Escolares!D7:m""),9,0),""VERIFICAR CÓD SEC"")"),"JADE RIBEIRO CARNEIRO")</f>
        <v>JADE RIBEIRO CARNEIRO</v>
      </c>
      <c r="R204" s="82" t="str">
        <f>IFERROR(__xludf.DUMMYFUNCTION("IFERROR(VLOOKUP(D204,
IMPORTRANGE(""https://docs.google.com/spreadsheets/d/1MjHtlUikwobi2MaWJgy7tfLeBmhj1u-dRFRs_8GwSoA/edit#gid=0"",""Gestores Escolares!D7:m""),10,0),""VERIFICAR CÓD SEC"")"),"")</f>
        <v/>
      </c>
      <c r="S204" s="82"/>
      <c r="T204" s="138">
        <v>4.0</v>
      </c>
      <c r="U204" s="145">
        <v>2.0</v>
      </c>
      <c r="V204" s="106">
        <v>0.0</v>
      </c>
      <c r="W204" s="107">
        <v>0.0</v>
      </c>
      <c r="X204" s="107">
        <v>0.0</v>
      </c>
      <c r="Y204" s="107">
        <v>0.0</v>
      </c>
      <c r="Z204" s="80">
        <f t="shared" si="1"/>
        <v>0</v>
      </c>
      <c r="AA204" s="106">
        <v>0.0</v>
      </c>
      <c r="AB204" s="107">
        <v>0.0</v>
      </c>
      <c r="AC204" s="107">
        <v>0.0</v>
      </c>
      <c r="AD204" s="107">
        <v>0.0</v>
      </c>
      <c r="AE204" s="80">
        <f t="shared" si="2"/>
        <v>0</v>
      </c>
      <c r="AF204" s="140">
        <v>0.0</v>
      </c>
      <c r="AG204" s="109">
        <v>0.0</v>
      </c>
      <c r="AH204" s="109">
        <v>0.0</v>
      </c>
      <c r="AI204" s="141">
        <v>0.0</v>
      </c>
      <c r="AJ204" s="80">
        <f t="shared" si="3"/>
        <v>0</v>
      </c>
      <c r="AK204" s="140">
        <v>0.0</v>
      </c>
      <c r="AL204" s="109">
        <v>0.0</v>
      </c>
      <c r="AM204" s="141">
        <v>0.0</v>
      </c>
      <c r="AN204" s="80">
        <f t="shared" si="4"/>
        <v>0</v>
      </c>
      <c r="AO204" s="140">
        <v>0.0</v>
      </c>
      <c r="AP204" s="109">
        <v>0.0</v>
      </c>
      <c r="AQ204" s="109">
        <v>57.0</v>
      </c>
      <c r="AR204" s="80">
        <f t="shared" si="5"/>
        <v>57</v>
      </c>
      <c r="AS204" s="110">
        <v>0.0</v>
      </c>
      <c r="AT204" s="110">
        <v>0.0</v>
      </c>
      <c r="AU204" s="110">
        <v>0.0</v>
      </c>
      <c r="AV204" s="142">
        <v>0.0</v>
      </c>
      <c r="AW204" s="80">
        <f t="shared" si="6"/>
        <v>0</v>
      </c>
      <c r="AX204" s="113">
        <f t="shared" si="7"/>
        <v>57</v>
      </c>
      <c r="AY204" s="117">
        <f t="shared" si="8"/>
        <v>0</v>
      </c>
      <c r="AZ204" s="120">
        <f t="shared" si="9"/>
        <v>57</v>
      </c>
      <c r="BA204" s="115">
        <v>0.0</v>
      </c>
      <c r="BB204" s="89">
        <f t="shared" si="10"/>
        <v>57</v>
      </c>
      <c r="BC204" s="132" t="s">
        <v>373</v>
      </c>
      <c r="BD204" s="132" t="s">
        <v>178</v>
      </c>
      <c r="BE204" s="132" t="s">
        <v>178</v>
      </c>
      <c r="BF204" s="123"/>
      <c r="BG204" s="83">
        <v>1178740.0</v>
      </c>
      <c r="BH204" s="112"/>
      <c r="BI204" s="112">
        <v>4.0</v>
      </c>
      <c r="BJ204" s="98" t="s">
        <v>155</v>
      </c>
      <c r="BK204" s="99">
        <f t="shared" si="11"/>
        <v>0</v>
      </c>
      <c r="BL204" s="99">
        <f t="shared" si="12"/>
        <v>0</v>
      </c>
      <c r="BM204" s="99" t="str">
        <f>IFERROR(__xludf.DUMMYFUNCTION("IFERROR(VLOOKUP(BG204,IMPORTRANGE(""https://docs.google.com/spreadsheets/d/1juPI-Fb8LD0YtltB2mlGEnp_R3UVu1t3wSFPzgCyHXE/edit?gid=0#gid=0"",""GERAL!A2:C""),3,0),""-"")"),"CAMPO")</f>
        <v>CAMPO</v>
      </c>
    </row>
    <row r="205" ht="15.75" customHeight="1">
      <c r="A205" s="111" t="s">
        <v>285</v>
      </c>
      <c r="B205" s="83" t="s">
        <v>919</v>
      </c>
      <c r="C205" s="83" t="s">
        <v>68</v>
      </c>
      <c r="D205" s="84">
        <v>1178439.0</v>
      </c>
      <c r="E205" s="82"/>
      <c r="F205" s="82">
        <v>2.939922E7</v>
      </c>
      <c r="G205" s="215" t="s">
        <v>920</v>
      </c>
      <c r="H205" s="91" t="s">
        <v>921</v>
      </c>
      <c r="I205" s="146" t="s">
        <v>922</v>
      </c>
      <c r="J205" s="83" t="s">
        <v>923</v>
      </c>
      <c r="K205" s="83" t="s">
        <v>151</v>
      </c>
      <c r="L205" s="83" t="s">
        <v>169</v>
      </c>
      <c r="M205" s="82" t="str">
        <f>IFERROR(__xludf.DUMMYFUNCTION("IFERROR(VLOOKUP(D205,
IMPORTRANGE(""https://docs.google.com/spreadsheets/d/1MjHtlUikwobi2MaWJgy7tfLeBmhj1u-dRFRs_8GwSoA/edit#gid=0"",""Gestores Escolares!D7:J""),3,0),""VERIFICAR CÓD SEC"")"),"JONATHAS MARTINS NUNES ")</f>
        <v>JONATHAS MARTINS NUNES </v>
      </c>
      <c r="N205" s="82" t="str">
        <f>IFERROR(__xludf.DUMMYFUNCTION("IFERROR(VLOOKUP(D205,
IMPORTRANGE(""https://docs.google.com/spreadsheets/d/1MjHtlUikwobi2MaWJgy7tfLeBmhj1u-dRFRs_8GwSoA/edit#gid=0"",""Gestores Escolares!D7:J""),4,0),""VERIFICAR CÓD SEC"")"),"(75) 9 9192-6131")</f>
        <v>(75) 9 9192-6131</v>
      </c>
      <c r="O205" s="82" t="str">
        <f>IFERROR(__xludf.DUMMYFUNCTION("IFERROR(VLOOKUP(D205,
IMPORTRANGE(""https://docs.google.com/spreadsheets/d/1MjHtlUikwobi2MaWJgy7tfLeBmhj1u-dRFRs_8GwSoA/edit#gid=0"",""Gestores Escolares!D7:J""),6,0),""VERIFICAR CÓD SEC"")"),"EDILEI MAECIO PEREIRA REIS")</f>
        <v>EDILEI MAECIO PEREIRA REIS</v>
      </c>
      <c r="P205" s="82" t="str">
        <f>IFERROR(__xludf.DUMMYFUNCTION("IFERROR(VLOOKUP(D205,
IMPORTRANGE(""https://docs.google.com/spreadsheets/d/1MjHtlUikwobi2MaWJgy7tfLeBmhj1u-dRFRs_8GwSoA/edit#gid=0"",""Gestores Escolares!D7:J""),7,0),""VERIFICAR CÓD SEC"")"),"(75) 9 9991-9356/(74) 9 8140-9468")</f>
        <v>(75) 9 9991-9356/(74) 9 8140-9468</v>
      </c>
      <c r="Q205" s="82" t="str">
        <f>IFERROR(__xludf.DUMMYFUNCTION("IFERROR(VLOOKUP(D205,
IMPORTRANGE(""https://docs.google.com/spreadsheets/d/1MjHtlUikwobi2MaWJgy7tfLeBmhj1u-dRFRs_8GwSoA/edit#gid=0"",""Gestores Escolares!D7:m""),9,0),""VERIFICAR CÓD SEC"")"),"")</f>
        <v/>
      </c>
      <c r="R205" s="82" t="str">
        <f>IFERROR(__xludf.DUMMYFUNCTION("IFERROR(VLOOKUP(D205,
IMPORTRANGE(""https://docs.google.com/spreadsheets/d/1MjHtlUikwobi2MaWJgy7tfLeBmhj1u-dRFRs_8GwSoA/edit#gid=0"",""Gestores Escolares!D7:m""),10,0),""VERIFICAR CÓD SEC"")"),"")</f>
        <v/>
      </c>
      <c r="S205" s="82"/>
      <c r="T205" s="138">
        <v>6.0</v>
      </c>
      <c r="U205" s="217" t="s">
        <v>2748</v>
      </c>
      <c r="V205" s="106">
        <v>0.0</v>
      </c>
      <c r="W205" s="107">
        <v>0.0</v>
      </c>
      <c r="X205" s="107">
        <v>0.0</v>
      </c>
      <c r="Y205" s="107">
        <v>0.0</v>
      </c>
      <c r="Z205" s="80">
        <f t="shared" si="1"/>
        <v>0</v>
      </c>
      <c r="AA205" s="106">
        <v>0.0</v>
      </c>
      <c r="AB205" s="107">
        <v>0.0</v>
      </c>
      <c r="AC205" s="107">
        <v>0.0</v>
      </c>
      <c r="AD205" s="107">
        <v>0.0</v>
      </c>
      <c r="AE205" s="80">
        <f t="shared" si="2"/>
        <v>0</v>
      </c>
      <c r="AF205" s="140">
        <v>0.0</v>
      </c>
      <c r="AG205" s="109">
        <v>0.0</v>
      </c>
      <c r="AH205" s="109">
        <v>0.0</v>
      </c>
      <c r="AI205" s="141">
        <v>110.0</v>
      </c>
      <c r="AJ205" s="80">
        <f t="shared" si="3"/>
        <v>110</v>
      </c>
      <c r="AK205" s="140">
        <v>0.0</v>
      </c>
      <c r="AL205" s="109">
        <v>0.0</v>
      </c>
      <c r="AM205" s="141">
        <v>0.0</v>
      </c>
      <c r="AN205" s="80">
        <f t="shared" si="4"/>
        <v>0</v>
      </c>
      <c r="AO205" s="140">
        <v>0.0</v>
      </c>
      <c r="AP205" s="109">
        <v>0.0</v>
      </c>
      <c r="AQ205" s="109">
        <v>0.0</v>
      </c>
      <c r="AR205" s="80">
        <f t="shared" si="5"/>
        <v>0</v>
      </c>
      <c r="AS205" s="110">
        <v>0.0</v>
      </c>
      <c r="AT205" s="110">
        <v>0.0</v>
      </c>
      <c r="AU205" s="110">
        <v>0.0</v>
      </c>
      <c r="AV205" s="142">
        <v>0.0</v>
      </c>
      <c r="AW205" s="80">
        <f t="shared" si="6"/>
        <v>0</v>
      </c>
      <c r="AX205" s="113">
        <f t="shared" si="7"/>
        <v>110</v>
      </c>
      <c r="AY205" s="117">
        <f t="shared" si="8"/>
        <v>110</v>
      </c>
      <c r="AZ205" s="120">
        <f t="shared" si="9"/>
        <v>0</v>
      </c>
      <c r="BA205" s="115">
        <v>0.0</v>
      </c>
      <c r="BB205" s="89">
        <f t="shared" si="10"/>
        <v>110</v>
      </c>
      <c r="BC205" s="132" t="s">
        <v>373</v>
      </c>
      <c r="BD205" s="132" t="s">
        <v>178</v>
      </c>
      <c r="BE205" s="132" t="s">
        <v>178</v>
      </c>
      <c r="BF205" s="123"/>
      <c r="BG205" s="83">
        <v>1178439.0</v>
      </c>
      <c r="BH205" s="112"/>
      <c r="BI205" s="112">
        <v>3.0</v>
      </c>
      <c r="BJ205" s="98" t="s">
        <v>155</v>
      </c>
      <c r="BK205" s="99">
        <f t="shared" si="11"/>
        <v>110</v>
      </c>
      <c r="BL205" s="99">
        <f t="shared" si="12"/>
        <v>0</v>
      </c>
      <c r="BM205" s="99" t="str">
        <f>IFERROR(__xludf.DUMMYFUNCTION("IFERROR(VLOOKUP(BG205,IMPORTRANGE(""https://docs.google.com/spreadsheets/d/1juPI-Fb8LD0YtltB2mlGEnp_R3UVu1t3wSFPzgCyHXE/edit?gid=0#gid=0"",""GERAL!A2:C""),3,0),""-"")"),"CAMPO")</f>
        <v>CAMPO</v>
      </c>
    </row>
    <row r="206" ht="15.75" customHeight="1">
      <c r="A206" s="111" t="s">
        <v>285</v>
      </c>
      <c r="B206" s="83" t="s">
        <v>919</v>
      </c>
      <c r="C206" s="83" t="s">
        <v>68</v>
      </c>
      <c r="D206" s="84">
        <v>1178028.0</v>
      </c>
      <c r="E206" s="83"/>
      <c r="F206" s="83">
        <v>2.9425557E7</v>
      </c>
      <c r="G206" s="114" t="s">
        <v>925</v>
      </c>
      <c r="H206" s="91" t="s">
        <v>926</v>
      </c>
      <c r="I206" s="83" t="s">
        <v>927</v>
      </c>
      <c r="J206" s="83" t="s">
        <v>252</v>
      </c>
      <c r="K206" s="83" t="s">
        <v>151</v>
      </c>
      <c r="L206" s="83" t="s">
        <v>169</v>
      </c>
      <c r="M206" s="82" t="str">
        <f>IFERROR(__xludf.DUMMYFUNCTION("IFERROR(VLOOKUP(D206,
IMPORTRANGE(""https://docs.google.com/spreadsheets/d/1MjHtlUikwobi2MaWJgy7tfLeBmhj1u-dRFRs_8GwSoA/edit#gid=0"",""Gestores Escolares!D7:J""),3,0),""VERIFICAR CÓD SEC"")"),"SIMONE CARLA OLIVEIRA E SILVA FREITAS")</f>
        <v>SIMONE CARLA OLIVEIRA E SILVA FREITAS</v>
      </c>
      <c r="N206" s="82" t="str">
        <f>IFERROR(__xludf.DUMMYFUNCTION("IFERROR(VLOOKUP(D206,
IMPORTRANGE(""https://docs.google.com/spreadsheets/d/1MjHtlUikwobi2MaWJgy7tfLeBmhj1u-dRFRs_8GwSoA/edit#gid=0"",""Gestores Escolares!D7:J""),4,0),""VERIFICAR CÓD SEC"")"),"(77) 9 8152-4456")</f>
        <v>(77) 9 8152-4456</v>
      </c>
      <c r="O206" s="82" t="str">
        <f>IFERROR(__xludf.DUMMYFUNCTION("IFERROR(VLOOKUP(D206,
IMPORTRANGE(""https://docs.google.com/spreadsheets/d/1MjHtlUikwobi2MaWJgy7tfLeBmhj1u-dRFRs_8GwSoA/edit#gid=0"",""Gestores Escolares!D7:J""),6,0),""VERIFICAR CÓD SEC"")"),"DANILO ROCHA DE SOUZA")</f>
        <v>DANILO ROCHA DE SOUZA</v>
      </c>
      <c r="P206" s="82" t="str">
        <f>IFERROR(__xludf.DUMMYFUNCTION("IFERROR(VLOOKUP(D206,
IMPORTRANGE(""https://docs.google.com/spreadsheets/d/1MjHtlUikwobi2MaWJgy7tfLeBmhj1u-dRFRs_8GwSoA/edit#gid=0"",""Gestores Escolares!D7:J""),7,0),""VERIFICAR CÓD SEC"")"),"(71) 9 9355-8007")</f>
        <v>(71) 9 9355-8007</v>
      </c>
      <c r="Q206" s="82" t="str">
        <f>IFERROR(__xludf.DUMMYFUNCTION("IFERROR(VLOOKUP(D206,
IMPORTRANGE(""https://docs.google.com/spreadsheets/d/1MjHtlUikwobi2MaWJgy7tfLeBmhj1u-dRFRs_8GwSoA/edit#gid=0"",""Gestores Escolares!D7:m""),9,0),""VERIFICAR CÓD SEC"")"),"")</f>
        <v/>
      </c>
      <c r="R206" s="82" t="str">
        <f>IFERROR(__xludf.DUMMYFUNCTION("IFERROR(VLOOKUP(D206,
IMPORTRANGE(""https://docs.google.com/spreadsheets/d/1MjHtlUikwobi2MaWJgy7tfLeBmhj1u-dRFRs_8GwSoA/edit#gid=0"",""Gestores Escolares!D7:m""),10,0),""VERIFICAR CÓD SEC"")"),"")</f>
        <v/>
      </c>
      <c r="S206" s="82"/>
      <c r="T206" s="138">
        <v>6.0</v>
      </c>
      <c r="U206" s="152">
        <v>8.0</v>
      </c>
      <c r="V206" s="106">
        <v>0.0</v>
      </c>
      <c r="W206" s="107">
        <v>0.0</v>
      </c>
      <c r="X206" s="107">
        <v>0.0</v>
      </c>
      <c r="Y206" s="107">
        <v>0.0</v>
      </c>
      <c r="Z206" s="80">
        <f t="shared" si="1"/>
        <v>0</v>
      </c>
      <c r="AA206" s="106">
        <v>0.0</v>
      </c>
      <c r="AB206" s="107">
        <v>0.0</v>
      </c>
      <c r="AC206" s="107">
        <v>0.0</v>
      </c>
      <c r="AD206" s="107">
        <v>0.0</v>
      </c>
      <c r="AE206" s="80">
        <f t="shared" si="2"/>
        <v>0</v>
      </c>
      <c r="AF206" s="140">
        <v>25.0</v>
      </c>
      <c r="AG206" s="109">
        <v>21.0</v>
      </c>
      <c r="AH206" s="109">
        <v>0.0</v>
      </c>
      <c r="AI206" s="141">
        <v>78.0</v>
      </c>
      <c r="AJ206" s="80">
        <f t="shared" si="3"/>
        <v>124</v>
      </c>
      <c r="AK206" s="140">
        <v>0.0</v>
      </c>
      <c r="AL206" s="109">
        <v>0.0</v>
      </c>
      <c r="AM206" s="141">
        <v>0.0</v>
      </c>
      <c r="AN206" s="80">
        <f t="shared" si="4"/>
        <v>0</v>
      </c>
      <c r="AO206" s="140">
        <v>0.0</v>
      </c>
      <c r="AP206" s="109">
        <v>0.0</v>
      </c>
      <c r="AQ206" s="109">
        <v>25.0</v>
      </c>
      <c r="AR206" s="80">
        <f t="shared" si="5"/>
        <v>25</v>
      </c>
      <c r="AS206" s="110">
        <v>0.0</v>
      </c>
      <c r="AT206" s="110">
        <v>0.0</v>
      </c>
      <c r="AU206" s="110">
        <v>28.0</v>
      </c>
      <c r="AV206" s="142">
        <v>35.0</v>
      </c>
      <c r="AW206" s="80">
        <f t="shared" si="6"/>
        <v>63</v>
      </c>
      <c r="AX206" s="113">
        <f t="shared" si="7"/>
        <v>212</v>
      </c>
      <c r="AY206" s="117">
        <f t="shared" si="8"/>
        <v>159</v>
      </c>
      <c r="AZ206" s="120">
        <f t="shared" si="9"/>
        <v>53</v>
      </c>
      <c r="BA206" s="115">
        <v>0.0</v>
      </c>
      <c r="BB206" s="89">
        <f t="shared" si="10"/>
        <v>212</v>
      </c>
      <c r="BC206" s="132" t="s">
        <v>373</v>
      </c>
      <c r="BD206" s="132" t="s">
        <v>178</v>
      </c>
      <c r="BE206" s="132" t="s">
        <v>178</v>
      </c>
      <c r="BF206" s="123"/>
      <c r="BG206" s="83">
        <v>1178028.0</v>
      </c>
      <c r="BH206" s="112"/>
      <c r="BI206" s="112">
        <v>8.0</v>
      </c>
      <c r="BJ206" s="98" t="s">
        <v>155</v>
      </c>
      <c r="BK206" s="99">
        <f t="shared" si="11"/>
        <v>113</v>
      </c>
      <c r="BL206" s="99">
        <f t="shared" si="12"/>
        <v>46</v>
      </c>
      <c r="BM206" s="99" t="str">
        <f>IFERROR(__xludf.DUMMYFUNCTION("IFERROR(VLOOKUP(BG206,IMPORTRANGE(""https://docs.google.com/spreadsheets/d/1juPI-Fb8LD0YtltB2mlGEnp_R3UVu1t3wSFPzgCyHXE/edit?gid=0#gid=0"",""GERAL!A2:C""),3,0),""-"")"),"CAMPO")</f>
        <v>CAMPO</v>
      </c>
    </row>
    <row r="207" ht="15.75" customHeight="1">
      <c r="A207" s="111" t="s">
        <v>285</v>
      </c>
      <c r="B207" s="83" t="s">
        <v>919</v>
      </c>
      <c r="C207" s="83" t="s">
        <v>68</v>
      </c>
      <c r="D207" s="112">
        <v>1176457.0</v>
      </c>
      <c r="E207" s="83"/>
      <c r="F207" s="83">
        <v>2.9390869E7</v>
      </c>
      <c r="G207" s="219" t="s">
        <v>929</v>
      </c>
      <c r="H207" s="108" t="s">
        <v>930</v>
      </c>
      <c r="I207" s="83" t="s">
        <v>931</v>
      </c>
      <c r="J207" s="83" t="s">
        <v>150</v>
      </c>
      <c r="K207" s="83" t="s">
        <v>151</v>
      </c>
      <c r="L207" s="83" t="s">
        <v>230</v>
      </c>
      <c r="M207" s="82" t="str">
        <f>IFERROR(__xludf.DUMMYFUNCTION("IFERROR(VLOOKUP(D207,
IMPORTRANGE(""https://docs.google.com/spreadsheets/d/1MjHtlUikwobi2MaWJgy7tfLeBmhj1u-dRFRs_8GwSoA/edit#gid=0"",""Gestores Escolares!D7:J""),3,0),""VERIFICAR CÓD SEC"")")," ELIANA LOPES DA SILVA MEDEIROS CRUZ")</f>
        <v> ELIANA LOPES DA SILVA MEDEIROS CRUZ</v>
      </c>
      <c r="N207" s="82" t="str">
        <f>IFERROR(__xludf.DUMMYFUNCTION("IFERROR(VLOOKUP(D207,
IMPORTRANGE(""https://docs.google.com/spreadsheets/d/1MjHtlUikwobi2MaWJgy7tfLeBmhj1u-dRFRs_8GwSoA/edit#gid=0"",""Gestores Escolares!D7:J""),4,0),""VERIFICAR CÓD SEC"")"),"(74) 9 8824-9884")</f>
        <v>(74) 9 8824-9884</v>
      </c>
      <c r="O207" s="82" t="str">
        <f>IFERROR(__xludf.DUMMYFUNCTION("IFERROR(VLOOKUP(D207,
IMPORTRANGE(""https://docs.google.com/spreadsheets/d/1MjHtlUikwobi2MaWJgy7tfLeBmhj1u-dRFRs_8GwSoA/edit#gid=0"",""Gestores Escolares!D7:J""),6,0),""VERIFICAR CÓD SEC"")"),"MARCELE CARDOSO SANTANA")</f>
        <v>MARCELE CARDOSO SANTANA</v>
      </c>
      <c r="P207" s="82" t="str">
        <f>IFERROR(__xludf.DUMMYFUNCTION("IFERROR(VLOOKUP(D207,
IMPORTRANGE(""https://docs.google.com/spreadsheets/d/1MjHtlUikwobi2MaWJgy7tfLeBmhj1u-dRFRs_8GwSoA/edit#gid=0"",""Gestores Escolares!D7:J""),7,0),""VERIFICAR CÓD SEC"")"),"(74) 9 9976-4062")</f>
        <v>(74) 9 9976-4062</v>
      </c>
      <c r="Q207" s="82" t="str">
        <f>IFERROR(__xludf.DUMMYFUNCTION("IFERROR(VLOOKUP(D207,
IMPORTRANGE(""https://docs.google.com/spreadsheets/d/1MjHtlUikwobi2MaWJgy7tfLeBmhj1u-dRFRs_8GwSoA/edit#gid=0"",""Gestores Escolares!D7:m""),9,0),""VERIFICAR CÓD SEC"")"),"ELOISIA DIAS DE SOUZA OLIVEIRA")</f>
        <v>ELOISIA DIAS DE SOUZA OLIVEIRA</v>
      </c>
      <c r="R207" s="82" t="str">
        <f>IFERROR(__xludf.DUMMYFUNCTION("IFERROR(VLOOKUP(D207,
IMPORTRANGE(""https://docs.google.com/spreadsheets/d/1MjHtlUikwobi2MaWJgy7tfLeBmhj1u-dRFRs_8GwSoA/edit#gid=0"",""Gestores Escolares!D7:m""),10,0),""VERIFICAR CÓD SEC"")"),"(74) 9 9957-1085")</f>
        <v>(74) 9 9957-1085</v>
      </c>
      <c r="S207" s="82"/>
      <c r="T207" s="138">
        <v>20.0</v>
      </c>
      <c r="U207" s="217">
        <v>20.0</v>
      </c>
      <c r="V207" s="106">
        <v>0.0</v>
      </c>
      <c r="W207" s="107">
        <v>0.0</v>
      </c>
      <c r="X207" s="107">
        <v>0.0</v>
      </c>
      <c r="Y207" s="107">
        <v>0.0</v>
      </c>
      <c r="Z207" s="80">
        <f t="shared" si="1"/>
        <v>0</v>
      </c>
      <c r="AA207" s="106">
        <v>0.0</v>
      </c>
      <c r="AB207" s="107">
        <v>0.0</v>
      </c>
      <c r="AC207" s="107">
        <v>0.0</v>
      </c>
      <c r="AD207" s="107">
        <v>0.0</v>
      </c>
      <c r="AE207" s="80">
        <f t="shared" si="2"/>
        <v>0</v>
      </c>
      <c r="AF207" s="140">
        <v>180.0</v>
      </c>
      <c r="AG207" s="109">
        <v>179.0</v>
      </c>
      <c r="AH207" s="109">
        <v>0.0</v>
      </c>
      <c r="AI207" s="141">
        <v>119.0</v>
      </c>
      <c r="AJ207" s="80">
        <f t="shared" si="3"/>
        <v>478</v>
      </c>
      <c r="AK207" s="140">
        <v>0.0</v>
      </c>
      <c r="AL207" s="109">
        <v>0.0</v>
      </c>
      <c r="AM207" s="141">
        <v>0.0</v>
      </c>
      <c r="AN207" s="80">
        <f t="shared" si="4"/>
        <v>0</v>
      </c>
      <c r="AO207" s="140">
        <v>0.0</v>
      </c>
      <c r="AP207" s="109">
        <v>0.0</v>
      </c>
      <c r="AQ207" s="109">
        <v>134.0</v>
      </c>
      <c r="AR207" s="80">
        <f t="shared" si="5"/>
        <v>134</v>
      </c>
      <c r="AS207" s="110">
        <v>314.0</v>
      </c>
      <c r="AT207" s="110">
        <v>189.0</v>
      </c>
      <c r="AU207" s="110">
        <v>152.0</v>
      </c>
      <c r="AV207" s="142">
        <v>0.0</v>
      </c>
      <c r="AW207" s="80">
        <f t="shared" si="6"/>
        <v>655</v>
      </c>
      <c r="AX207" s="113">
        <f t="shared" si="7"/>
        <v>1267</v>
      </c>
      <c r="AY207" s="117">
        <f t="shared" si="8"/>
        <v>981</v>
      </c>
      <c r="AZ207" s="120">
        <f t="shared" si="9"/>
        <v>286</v>
      </c>
      <c r="BA207" s="115">
        <v>1.0</v>
      </c>
      <c r="BB207" s="89">
        <f t="shared" si="10"/>
        <v>1268</v>
      </c>
      <c r="BC207" s="132" t="s">
        <v>178</v>
      </c>
      <c r="BD207" s="132" t="s">
        <v>522</v>
      </c>
      <c r="BE207" s="132" t="s">
        <v>178</v>
      </c>
      <c r="BF207" s="156"/>
      <c r="BG207" s="83">
        <v>1176457.0</v>
      </c>
      <c r="BH207" s="112"/>
      <c r="BI207" s="112">
        <v>10.0</v>
      </c>
      <c r="BJ207" s="98" t="s">
        <v>162</v>
      </c>
      <c r="BK207" s="99">
        <f t="shared" si="11"/>
        <v>119</v>
      </c>
      <c r="BL207" s="99">
        <f t="shared" si="12"/>
        <v>862</v>
      </c>
      <c r="BM207" s="99" t="str">
        <f>IFERROR(__xludf.DUMMYFUNCTION("IFERROR(VLOOKUP(BG207,IMPORTRANGE(""https://docs.google.com/spreadsheets/d/1juPI-Fb8LD0YtltB2mlGEnp_R3UVu1t3wSFPzgCyHXE/edit?gid=0#gid=0"",""GERAL!A2:C""),3,0),""-"")"),"-")</f>
        <v>-</v>
      </c>
    </row>
    <row r="208" ht="15.75" customHeight="1">
      <c r="A208" s="111" t="s">
        <v>285</v>
      </c>
      <c r="B208" s="83" t="s">
        <v>919</v>
      </c>
      <c r="C208" s="83" t="s">
        <v>164</v>
      </c>
      <c r="D208" s="112">
        <v>1179283.0</v>
      </c>
      <c r="E208" s="83">
        <v>1179091.0</v>
      </c>
      <c r="F208" s="98">
        <v>2.9461502E7</v>
      </c>
      <c r="G208" s="114" t="s">
        <v>933</v>
      </c>
      <c r="H208" s="91" t="s">
        <v>934</v>
      </c>
      <c r="I208" s="136" t="s">
        <v>935</v>
      </c>
      <c r="J208" s="83" t="s">
        <v>767</v>
      </c>
      <c r="K208" s="83" t="s">
        <v>151</v>
      </c>
      <c r="L208" s="83" t="s">
        <v>169</v>
      </c>
      <c r="M208" s="82" t="str">
        <f>IFERROR(__xludf.DUMMYFUNCTION("IFERROR(VLOOKUP(D208,
IMPORTRANGE(""https://docs.google.com/spreadsheets/d/1MjHtlUikwobi2MaWJgy7tfLeBmhj1u-dRFRs_8GwSoA/edit#gid=0"",""Gestores Escolares!D7:J""),3,0),""VERIFICAR CÓD SEC"")"),"LAIZA BRANDAO MIRANDA")</f>
        <v>LAIZA BRANDAO MIRANDA</v>
      </c>
      <c r="N208" s="82" t="str">
        <f>IFERROR(__xludf.DUMMYFUNCTION("IFERROR(VLOOKUP(D208,
IMPORTRANGE(""https://docs.google.com/spreadsheets/d/1MjHtlUikwobi2MaWJgy7tfLeBmhj1u-dRFRs_8GwSoA/edit#gid=0"",""Gestores Escolares!D7:J""),4,0),""VERIFICAR CÓD SEC"")"),"(75) 9 9966-5253")</f>
        <v>(75) 9 9966-5253</v>
      </c>
      <c r="O208" s="82" t="str">
        <f>IFERROR(__xludf.DUMMYFUNCTION("IFERROR(VLOOKUP(D208,
IMPORTRANGE(""https://docs.google.com/spreadsheets/d/1MjHtlUikwobi2MaWJgy7tfLeBmhj1u-dRFRs_8GwSoA/edit#gid=0"",""Gestores Escolares!D7:J""),6,0),""VERIFICAR CÓD SEC"")"),"ROSANA ISABEL DO R. TELES")</f>
        <v>ROSANA ISABEL DO R. TELES</v>
      </c>
      <c r="P208" s="82" t="str">
        <f>IFERROR(__xludf.DUMMYFUNCTION("IFERROR(VLOOKUP(D208,
IMPORTRANGE(""https://docs.google.com/spreadsheets/d/1MjHtlUikwobi2MaWJgy7tfLeBmhj1u-dRFRs_8GwSoA/edit#gid=0"",""Gestores Escolares!D7:J""),7,0),""VERIFICAR CÓD SEC"")"),"(75) 9 9966-4696")</f>
        <v>(75) 9 9966-4696</v>
      </c>
      <c r="Q208" s="82" t="str">
        <f>IFERROR(__xludf.DUMMYFUNCTION("IFERROR(VLOOKUP(D208,
IMPORTRANGE(""https://docs.google.com/spreadsheets/d/1MjHtlUikwobi2MaWJgy7tfLeBmhj1u-dRFRs_8GwSoA/edit#gid=0"",""Gestores Escolares!D7:m""),9,0),""VERIFICAR CÓD SEC"")"),"MOZART MACEDO XAVIER")</f>
        <v>MOZART MACEDO XAVIER</v>
      </c>
      <c r="R208" s="82" t="str">
        <f>IFERROR(__xludf.DUMMYFUNCTION("IFERROR(VLOOKUP(D208,
IMPORTRANGE(""https://docs.google.com/spreadsheets/d/1MjHtlUikwobi2MaWJgy7tfLeBmhj1u-dRFRs_8GwSoA/edit#gid=0"",""Gestores Escolares!D7:m""),10,0),""VERIFICAR CÓD SEC"")"),"(75) 9 9918-1536")</f>
        <v>(75) 9 9918-1536</v>
      </c>
      <c r="S208" s="82"/>
      <c r="T208" s="138">
        <v>3.0</v>
      </c>
      <c r="U208" s="152">
        <v>3.0</v>
      </c>
      <c r="V208" s="106">
        <v>0.0</v>
      </c>
      <c r="W208" s="107">
        <v>0.0</v>
      </c>
      <c r="X208" s="107">
        <v>0.0</v>
      </c>
      <c r="Y208" s="107">
        <v>0.0</v>
      </c>
      <c r="Z208" s="80">
        <f t="shared" si="1"/>
        <v>0</v>
      </c>
      <c r="AA208" s="106">
        <v>0.0</v>
      </c>
      <c r="AB208" s="107">
        <v>0.0</v>
      </c>
      <c r="AC208" s="107">
        <v>0.0</v>
      </c>
      <c r="AD208" s="107">
        <v>0.0</v>
      </c>
      <c r="AE208" s="80">
        <f t="shared" si="2"/>
        <v>0</v>
      </c>
      <c r="AF208" s="140">
        <v>0.0</v>
      </c>
      <c r="AG208" s="109">
        <v>0.0</v>
      </c>
      <c r="AH208" s="109">
        <v>59.0</v>
      </c>
      <c r="AI208" s="141">
        <v>0.0</v>
      </c>
      <c r="AJ208" s="80">
        <f t="shared" si="3"/>
        <v>59</v>
      </c>
      <c r="AK208" s="140">
        <v>0.0</v>
      </c>
      <c r="AL208" s="109">
        <v>0.0</v>
      </c>
      <c r="AM208" s="141">
        <v>0.0</v>
      </c>
      <c r="AN208" s="80">
        <f t="shared" si="4"/>
        <v>0</v>
      </c>
      <c r="AO208" s="140">
        <v>0.0</v>
      </c>
      <c r="AP208" s="109">
        <v>0.0</v>
      </c>
      <c r="AQ208" s="109">
        <v>0.0</v>
      </c>
      <c r="AR208" s="80">
        <f t="shared" si="5"/>
        <v>0</v>
      </c>
      <c r="AS208" s="110">
        <v>0.0</v>
      </c>
      <c r="AT208" s="110">
        <v>0.0</v>
      </c>
      <c r="AU208" s="110">
        <v>0.0</v>
      </c>
      <c r="AV208" s="142">
        <v>0.0</v>
      </c>
      <c r="AW208" s="80">
        <f t="shared" si="6"/>
        <v>0</v>
      </c>
      <c r="AX208" s="113">
        <f t="shared" si="7"/>
        <v>59</v>
      </c>
      <c r="AY208" s="117">
        <f t="shared" si="8"/>
        <v>0</v>
      </c>
      <c r="AZ208" s="120">
        <f t="shared" si="9"/>
        <v>59</v>
      </c>
      <c r="BA208" s="115">
        <v>0.0</v>
      </c>
      <c r="BB208" s="89">
        <f t="shared" si="10"/>
        <v>59</v>
      </c>
      <c r="BC208" s="132" t="s">
        <v>265</v>
      </c>
      <c r="BD208" s="183" t="s">
        <v>227</v>
      </c>
      <c r="BE208" s="132" t="s">
        <v>178</v>
      </c>
      <c r="BF208" s="156"/>
      <c r="BG208" s="83">
        <v>1179091.0</v>
      </c>
      <c r="BH208" s="112"/>
      <c r="BI208" s="112">
        <v>3.0</v>
      </c>
      <c r="BJ208" s="98" t="s">
        <v>155</v>
      </c>
      <c r="BK208" s="99">
        <f t="shared" si="11"/>
        <v>0</v>
      </c>
      <c r="BL208" s="99">
        <f t="shared" si="12"/>
        <v>0</v>
      </c>
      <c r="BM208" s="99" t="str">
        <f>IFERROR(__xludf.DUMMYFUNCTION("IFERROR(VLOOKUP(BG208,IMPORTRANGE(""https://docs.google.com/spreadsheets/d/1juPI-Fb8LD0YtltB2mlGEnp_R3UVu1t3wSFPzgCyHXE/edit?gid=0#gid=0"",""GERAL!A2:C""),3,0),""-"")"),"QUILOMBOLAS")</f>
        <v>QUILOMBOLAS</v>
      </c>
    </row>
    <row r="209" ht="15.75" customHeight="1">
      <c r="A209" s="111" t="s">
        <v>285</v>
      </c>
      <c r="B209" s="83" t="s">
        <v>919</v>
      </c>
      <c r="C209" s="83" t="s">
        <v>164</v>
      </c>
      <c r="D209" s="112">
        <v>1179283.0</v>
      </c>
      <c r="E209" s="83">
        <v>1178716.0</v>
      </c>
      <c r="F209" s="98">
        <v>2.9461502E7</v>
      </c>
      <c r="G209" s="114" t="s">
        <v>936</v>
      </c>
      <c r="H209" s="91" t="s">
        <v>937</v>
      </c>
      <c r="I209" s="136" t="s">
        <v>938</v>
      </c>
      <c r="J209" s="83" t="s">
        <v>939</v>
      </c>
      <c r="K209" s="83" t="s">
        <v>168</v>
      </c>
      <c r="L209" s="83" t="s">
        <v>169</v>
      </c>
      <c r="M209" s="82" t="str">
        <f>IFERROR(__xludf.DUMMYFUNCTION("IFERROR(VLOOKUP(D209,
IMPORTRANGE(""https://docs.google.com/spreadsheets/d/1MjHtlUikwobi2MaWJgy7tfLeBmhj1u-dRFRs_8GwSoA/edit#gid=0"",""Gestores Escolares!D7:J""),3,0),""VERIFICAR CÓD SEC"")"),"LAIZA BRANDAO MIRANDA")</f>
        <v>LAIZA BRANDAO MIRANDA</v>
      </c>
      <c r="N209" s="82" t="str">
        <f>IFERROR(__xludf.DUMMYFUNCTION("IFERROR(VLOOKUP(D209,
IMPORTRANGE(""https://docs.google.com/spreadsheets/d/1MjHtlUikwobi2MaWJgy7tfLeBmhj1u-dRFRs_8GwSoA/edit#gid=0"",""Gestores Escolares!D7:J""),4,0),""VERIFICAR CÓD SEC"")"),"(75) 9 9966-5253")</f>
        <v>(75) 9 9966-5253</v>
      </c>
      <c r="O209" s="82" t="str">
        <f>IFERROR(__xludf.DUMMYFUNCTION("IFERROR(VLOOKUP(D209,
IMPORTRANGE(""https://docs.google.com/spreadsheets/d/1MjHtlUikwobi2MaWJgy7tfLeBmhj1u-dRFRs_8GwSoA/edit#gid=0"",""Gestores Escolares!D7:J""),6,0),""VERIFICAR CÓD SEC"")"),"ROSANA ISABEL DO R. TELES")</f>
        <v>ROSANA ISABEL DO R. TELES</v>
      </c>
      <c r="P209" s="82" t="str">
        <f>IFERROR(__xludf.DUMMYFUNCTION("IFERROR(VLOOKUP(D209,
IMPORTRANGE(""https://docs.google.com/spreadsheets/d/1MjHtlUikwobi2MaWJgy7tfLeBmhj1u-dRFRs_8GwSoA/edit#gid=0"",""Gestores Escolares!D7:J""),7,0),""VERIFICAR CÓD SEC"")"),"(75) 9 9966-4696")</f>
        <v>(75) 9 9966-4696</v>
      </c>
      <c r="Q209" s="82" t="str">
        <f>IFERROR(__xludf.DUMMYFUNCTION("IFERROR(VLOOKUP(D209,
IMPORTRANGE(""https://docs.google.com/spreadsheets/d/1MjHtlUikwobi2MaWJgy7tfLeBmhj1u-dRFRs_8GwSoA/edit#gid=0"",""Gestores Escolares!D7:m""),9,0),""VERIFICAR CÓD SEC"")"),"MOZART MACEDO XAVIER")</f>
        <v>MOZART MACEDO XAVIER</v>
      </c>
      <c r="R209" s="82" t="str">
        <f>IFERROR(__xludf.DUMMYFUNCTION("IFERROR(VLOOKUP(D209,
IMPORTRANGE(""https://docs.google.com/spreadsheets/d/1MjHtlUikwobi2MaWJgy7tfLeBmhj1u-dRFRs_8GwSoA/edit#gid=0"",""Gestores Escolares!D7:m""),10,0),""VERIFICAR CÓD SEC"")"),"(75) 9 9918-1536")</f>
        <v>(75) 9 9918-1536</v>
      </c>
      <c r="S209" s="82"/>
      <c r="T209" s="138">
        <v>2.0</v>
      </c>
      <c r="U209" s="152">
        <v>2.0</v>
      </c>
      <c r="V209" s="106">
        <v>0.0</v>
      </c>
      <c r="W209" s="107">
        <v>0.0</v>
      </c>
      <c r="X209" s="107">
        <v>0.0</v>
      </c>
      <c r="Y209" s="107">
        <v>0.0</v>
      </c>
      <c r="Z209" s="80">
        <f t="shared" si="1"/>
        <v>0</v>
      </c>
      <c r="AA209" s="106">
        <v>0.0</v>
      </c>
      <c r="AB209" s="107">
        <v>0.0</v>
      </c>
      <c r="AC209" s="107">
        <v>0.0</v>
      </c>
      <c r="AD209" s="107">
        <v>0.0</v>
      </c>
      <c r="AE209" s="80">
        <f t="shared" si="2"/>
        <v>0</v>
      </c>
      <c r="AF209" s="140">
        <v>7.0</v>
      </c>
      <c r="AG209" s="109">
        <v>0.0</v>
      </c>
      <c r="AH209" s="109">
        <v>15.0</v>
      </c>
      <c r="AI209" s="141">
        <v>0.0</v>
      </c>
      <c r="AJ209" s="80">
        <f t="shared" si="3"/>
        <v>22</v>
      </c>
      <c r="AK209" s="140">
        <v>0.0</v>
      </c>
      <c r="AL209" s="109">
        <v>0.0</v>
      </c>
      <c r="AM209" s="141">
        <v>0.0</v>
      </c>
      <c r="AN209" s="80">
        <f t="shared" si="4"/>
        <v>0</v>
      </c>
      <c r="AO209" s="140">
        <v>0.0</v>
      </c>
      <c r="AP209" s="109">
        <v>0.0</v>
      </c>
      <c r="AQ209" s="109">
        <v>0.0</v>
      </c>
      <c r="AR209" s="80">
        <f t="shared" si="5"/>
        <v>0</v>
      </c>
      <c r="AS209" s="110">
        <v>0.0</v>
      </c>
      <c r="AT209" s="110">
        <v>0.0</v>
      </c>
      <c r="AU209" s="110">
        <v>0.0</v>
      </c>
      <c r="AV209" s="142">
        <v>0.0</v>
      </c>
      <c r="AW209" s="80">
        <f t="shared" si="6"/>
        <v>0</v>
      </c>
      <c r="AX209" s="113">
        <f t="shared" si="7"/>
        <v>22</v>
      </c>
      <c r="AY209" s="117">
        <f t="shared" si="8"/>
        <v>7</v>
      </c>
      <c r="AZ209" s="120">
        <f t="shared" si="9"/>
        <v>15</v>
      </c>
      <c r="BA209" s="115">
        <v>0.0</v>
      </c>
      <c r="BB209" s="89">
        <f t="shared" si="10"/>
        <v>22</v>
      </c>
      <c r="BC209" s="132" t="s">
        <v>178</v>
      </c>
      <c r="BD209" s="143" t="s">
        <v>227</v>
      </c>
      <c r="BE209" s="132" t="s">
        <v>178</v>
      </c>
      <c r="BF209" s="123"/>
      <c r="BG209" s="83">
        <v>1178716.0</v>
      </c>
      <c r="BH209" s="112"/>
      <c r="BI209" s="112">
        <v>2.0</v>
      </c>
      <c r="BJ209" s="98" t="s">
        <v>155</v>
      </c>
      <c r="BK209" s="99">
        <f t="shared" si="11"/>
        <v>0</v>
      </c>
      <c r="BL209" s="99">
        <f t="shared" si="12"/>
        <v>7</v>
      </c>
      <c r="BM209" s="99" t="str">
        <f>IFERROR(__xludf.DUMMYFUNCTION("IFERROR(VLOOKUP(BG209,IMPORTRANGE(""https://docs.google.com/spreadsheets/d/1juPI-Fb8LD0YtltB2mlGEnp_R3UVu1t3wSFPzgCyHXE/edit?gid=0#gid=0"",""GERAL!A2:C""),3,0),""-"")"),"-")</f>
        <v>-</v>
      </c>
    </row>
    <row r="210" ht="15.75" customHeight="1">
      <c r="A210" s="111" t="s">
        <v>285</v>
      </c>
      <c r="B210" s="83" t="s">
        <v>940</v>
      </c>
      <c r="C210" s="83" t="s">
        <v>68</v>
      </c>
      <c r="D210" s="112">
        <v>1132468.0</v>
      </c>
      <c r="E210" s="83"/>
      <c r="F210" s="83">
        <v>2.9216818E7</v>
      </c>
      <c r="G210" s="153" t="s">
        <v>941</v>
      </c>
      <c r="H210" s="91" t="s">
        <v>942</v>
      </c>
      <c r="I210" s="83" t="s">
        <v>149</v>
      </c>
      <c r="J210" s="83" t="s">
        <v>150</v>
      </c>
      <c r="K210" s="83" t="s">
        <v>151</v>
      </c>
      <c r="L210" s="83" t="s">
        <v>152</v>
      </c>
      <c r="M210" s="82" t="str">
        <f>IFERROR(__xludf.DUMMYFUNCTION("IFERROR(VLOOKUP(D210,
IMPORTRANGE(""https://docs.google.com/spreadsheets/d/1MjHtlUikwobi2MaWJgy7tfLeBmhj1u-dRFRs_8GwSoA/edit#gid=0"",""Gestores Escolares!D7:J""),3,0),""VERIFICAR CÓD SEC"")"),"MEL REIS LOUREIRO")</f>
        <v>MEL REIS LOUREIRO</v>
      </c>
      <c r="N210" s="82" t="str">
        <f>IFERROR(__xludf.DUMMYFUNCTION("IFERROR(VLOOKUP(D210,
IMPORTRANGE(""https://docs.google.com/spreadsheets/d/1MjHtlUikwobi2MaWJgy7tfLeBmhj1u-dRFRs_8GwSoA/edit#gid=0"",""Gestores Escolares!D7:J""),4,0),""VERIFICAR CÓD SEC"")"),"(75) 9 8315-0422")</f>
        <v>(75) 9 8315-0422</v>
      </c>
      <c r="O210" s="82" t="str">
        <f>IFERROR(__xludf.DUMMYFUNCTION("IFERROR(VLOOKUP(D210,
IMPORTRANGE(""https://docs.google.com/spreadsheets/d/1MjHtlUikwobi2MaWJgy7tfLeBmhj1u-dRFRs_8GwSoA/edit#gid=0"",""Gestores Escolares!D7:J""),6,0),""VERIFICAR CÓD SEC"")"),"ROBSON DA SILVA SOUZA")</f>
        <v>ROBSON DA SILVA SOUZA</v>
      </c>
      <c r="P210" s="82" t="str">
        <f>IFERROR(__xludf.DUMMYFUNCTION("IFERROR(VLOOKUP(D210,
IMPORTRANGE(""https://docs.google.com/spreadsheets/d/1MjHtlUikwobi2MaWJgy7tfLeBmhj1u-dRFRs_8GwSoA/edit#gid=0"",""Gestores Escolares!D7:J""),7,0),""VERIFICAR CÓD SEC"")"),"(77) 9 9842-1347")</f>
        <v>(77) 9 9842-1347</v>
      </c>
      <c r="Q210" s="82" t="str">
        <f>IFERROR(__xludf.DUMMYFUNCTION("IFERROR(VLOOKUP(D210,
IMPORTRANGE(""https://docs.google.com/spreadsheets/d/1MjHtlUikwobi2MaWJgy7tfLeBmhj1u-dRFRs_8GwSoA/edit#gid=0"",""Gestores Escolares!D7:m""),9,0),""VERIFICAR CÓD SEC"")"),"LEANDRO VIEIRA DOS SANTOS AGUIAR")</f>
        <v>LEANDRO VIEIRA DOS SANTOS AGUIAR</v>
      </c>
      <c r="R210" s="82" t="str">
        <f>IFERROR(__xludf.DUMMYFUNCTION("IFERROR(VLOOKUP(D210,
IMPORTRANGE(""https://docs.google.com/spreadsheets/d/1MjHtlUikwobi2MaWJgy7tfLeBmhj1u-dRFRs_8GwSoA/edit#gid=0"",""Gestores Escolares!D7:m""),10,0),""VERIFICAR CÓD SEC"")"),"(71) 9 9682-0857")</f>
        <v>(71) 9 9682-0857</v>
      </c>
      <c r="S210" s="82"/>
      <c r="T210" s="138">
        <v>12.0</v>
      </c>
      <c r="U210" s="145">
        <v>11.0</v>
      </c>
      <c r="V210" s="106">
        <v>0.0</v>
      </c>
      <c r="W210" s="107">
        <v>0.0</v>
      </c>
      <c r="X210" s="107">
        <v>0.0</v>
      </c>
      <c r="Y210" s="107">
        <v>0.0</v>
      </c>
      <c r="Z210" s="80">
        <f t="shared" si="1"/>
        <v>0</v>
      </c>
      <c r="AA210" s="106">
        <v>0.0</v>
      </c>
      <c r="AB210" s="107">
        <v>0.0</v>
      </c>
      <c r="AC210" s="107">
        <v>0.0</v>
      </c>
      <c r="AD210" s="107">
        <v>0.0</v>
      </c>
      <c r="AE210" s="80">
        <f t="shared" si="2"/>
        <v>0</v>
      </c>
      <c r="AF210" s="140">
        <v>69.0</v>
      </c>
      <c r="AG210" s="109">
        <v>0.0</v>
      </c>
      <c r="AH210" s="109">
        <v>0.0</v>
      </c>
      <c r="AI210" s="141">
        <v>134.0</v>
      </c>
      <c r="AJ210" s="80">
        <f t="shared" si="3"/>
        <v>203</v>
      </c>
      <c r="AK210" s="140">
        <v>0.0</v>
      </c>
      <c r="AL210" s="109">
        <v>0.0</v>
      </c>
      <c r="AM210" s="141">
        <v>0.0</v>
      </c>
      <c r="AN210" s="80">
        <f t="shared" si="4"/>
        <v>0</v>
      </c>
      <c r="AO210" s="140">
        <v>0.0</v>
      </c>
      <c r="AP210" s="109">
        <v>0.0</v>
      </c>
      <c r="AQ210" s="109">
        <v>52.0</v>
      </c>
      <c r="AR210" s="80">
        <f t="shared" si="5"/>
        <v>52</v>
      </c>
      <c r="AS210" s="110">
        <v>57.0</v>
      </c>
      <c r="AT210" s="110">
        <v>0.0</v>
      </c>
      <c r="AU210" s="110">
        <v>0.0</v>
      </c>
      <c r="AV210" s="142">
        <v>59.0</v>
      </c>
      <c r="AW210" s="80">
        <f t="shared" si="6"/>
        <v>116</v>
      </c>
      <c r="AX210" s="113">
        <f t="shared" si="7"/>
        <v>371</v>
      </c>
      <c r="AY210" s="117">
        <f t="shared" si="8"/>
        <v>319</v>
      </c>
      <c r="AZ210" s="120">
        <f t="shared" si="9"/>
        <v>52</v>
      </c>
      <c r="BA210" s="115">
        <v>0.0</v>
      </c>
      <c r="BB210" s="89">
        <f t="shared" si="10"/>
        <v>371</v>
      </c>
      <c r="BC210" s="132" t="s">
        <v>178</v>
      </c>
      <c r="BD210" s="132" t="s">
        <v>178</v>
      </c>
      <c r="BE210" s="132" t="s">
        <v>178</v>
      </c>
      <c r="BF210" s="156"/>
      <c r="BG210" s="83">
        <v>1132468.0</v>
      </c>
      <c r="BH210" s="112"/>
      <c r="BI210" s="112">
        <v>11.0</v>
      </c>
      <c r="BJ210" s="98" t="s">
        <v>162</v>
      </c>
      <c r="BK210" s="99">
        <f t="shared" si="11"/>
        <v>193</v>
      </c>
      <c r="BL210" s="99">
        <f t="shared" si="12"/>
        <v>126</v>
      </c>
      <c r="BM210" s="99" t="str">
        <f>IFERROR(__xludf.DUMMYFUNCTION("IFERROR(VLOOKUP(BG210,IMPORTRANGE(""https://docs.google.com/spreadsheets/d/1juPI-Fb8LD0YtltB2mlGEnp_R3UVu1t3wSFPzgCyHXE/edit?gid=0#gid=0"",""GERAL!A2:C""),3,0),""-"")"),"-")</f>
        <v>-</v>
      </c>
    </row>
    <row r="211" ht="15.75" customHeight="1">
      <c r="A211" s="111" t="s">
        <v>285</v>
      </c>
      <c r="B211" s="83" t="s">
        <v>940</v>
      </c>
      <c r="C211" s="83" t="s">
        <v>164</v>
      </c>
      <c r="D211" s="112">
        <v>1132468.0</v>
      </c>
      <c r="E211" s="83">
        <v>1178963.0</v>
      </c>
      <c r="F211" s="98">
        <v>2.949088E7</v>
      </c>
      <c r="G211" s="119" t="s">
        <v>945</v>
      </c>
      <c r="H211" s="91" t="s">
        <v>946</v>
      </c>
      <c r="I211" s="83" t="s">
        <v>149</v>
      </c>
      <c r="J211" s="83" t="s">
        <v>183</v>
      </c>
      <c r="K211" s="83" t="s">
        <v>151</v>
      </c>
      <c r="L211" s="83" t="s">
        <v>169</v>
      </c>
      <c r="M211" s="82" t="str">
        <f>IFERROR(__xludf.DUMMYFUNCTION("IFERROR(VLOOKUP(D211,
IMPORTRANGE(""https://docs.google.com/spreadsheets/d/1MjHtlUikwobi2MaWJgy7tfLeBmhj1u-dRFRs_8GwSoA/edit#gid=0"",""Gestores Escolares!D7:J""),3,0),""VERIFICAR CÓD SEC"")"),"MEL REIS LOUREIRO")</f>
        <v>MEL REIS LOUREIRO</v>
      </c>
      <c r="N211" s="82" t="str">
        <f>IFERROR(__xludf.DUMMYFUNCTION("IFERROR(VLOOKUP(D211,
IMPORTRANGE(""https://docs.google.com/spreadsheets/d/1MjHtlUikwobi2MaWJgy7tfLeBmhj1u-dRFRs_8GwSoA/edit#gid=0"",""Gestores Escolares!D7:J""),4,0),""VERIFICAR CÓD SEC"")"),"(75) 9 8315-0422")</f>
        <v>(75) 9 8315-0422</v>
      </c>
      <c r="O211" s="82" t="str">
        <f>IFERROR(__xludf.DUMMYFUNCTION("IFERROR(VLOOKUP(D211,
IMPORTRANGE(""https://docs.google.com/spreadsheets/d/1MjHtlUikwobi2MaWJgy7tfLeBmhj1u-dRFRs_8GwSoA/edit#gid=0"",""Gestores Escolares!D7:J""),6,0),""VERIFICAR CÓD SEC"")"),"ROBSON DA SILVA SOUZA")</f>
        <v>ROBSON DA SILVA SOUZA</v>
      </c>
      <c r="P211" s="82" t="str">
        <f>IFERROR(__xludf.DUMMYFUNCTION("IFERROR(VLOOKUP(D211,
IMPORTRANGE(""https://docs.google.com/spreadsheets/d/1MjHtlUikwobi2MaWJgy7tfLeBmhj1u-dRFRs_8GwSoA/edit#gid=0"",""Gestores Escolares!D7:J""),7,0),""VERIFICAR CÓD SEC"")"),"(77) 9 9842-1347")</f>
        <v>(77) 9 9842-1347</v>
      </c>
      <c r="Q211" s="82" t="str">
        <f>IFERROR(__xludf.DUMMYFUNCTION("IFERROR(VLOOKUP(D211,
IMPORTRANGE(""https://docs.google.com/spreadsheets/d/1MjHtlUikwobi2MaWJgy7tfLeBmhj1u-dRFRs_8GwSoA/edit#gid=0"",""Gestores Escolares!D7:m""),9,0),""VERIFICAR CÓD SEC"")"),"LEANDRO VIEIRA DOS SANTOS AGUIAR")</f>
        <v>LEANDRO VIEIRA DOS SANTOS AGUIAR</v>
      </c>
      <c r="R211" s="82" t="str">
        <f>IFERROR(__xludf.DUMMYFUNCTION("IFERROR(VLOOKUP(D211,
IMPORTRANGE(""https://docs.google.com/spreadsheets/d/1MjHtlUikwobi2MaWJgy7tfLeBmhj1u-dRFRs_8GwSoA/edit#gid=0"",""Gestores Escolares!D7:m""),10,0),""VERIFICAR CÓD SEC"")"),"(71) 9 9682-0857")</f>
        <v>(71) 9 9682-0857</v>
      </c>
      <c r="S211" s="82"/>
      <c r="T211" s="138">
        <v>3.0</v>
      </c>
      <c r="U211" s="139">
        <v>3.0</v>
      </c>
      <c r="V211" s="106">
        <v>0.0</v>
      </c>
      <c r="W211" s="107">
        <v>0.0</v>
      </c>
      <c r="X211" s="107">
        <v>0.0</v>
      </c>
      <c r="Y211" s="107">
        <v>0.0</v>
      </c>
      <c r="Z211" s="80">
        <f t="shared" si="1"/>
        <v>0</v>
      </c>
      <c r="AA211" s="106">
        <v>0.0</v>
      </c>
      <c r="AB211" s="107">
        <v>0.0</v>
      </c>
      <c r="AC211" s="107">
        <v>0.0</v>
      </c>
      <c r="AD211" s="107">
        <v>0.0</v>
      </c>
      <c r="AE211" s="80">
        <f t="shared" si="2"/>
        <v>0</v>
      </c>
      <c r="AF211" s="140">
        <v>57.0</v>
      </c>
      <c r="AG211" s="109">
        <v>0.0</v>
      </c>
      <c r="AH211" s="109">
        <v>0.0</v>
      </c>
      <c r="AI211" s="141">
        <v>0.0</v>
      </c>
      <c r="AJ211" s="80">
        <f t="shared" si="3"/>
        <v>57</v>
      </c>
      <c r="AK211" s="140">
        <v>0.0</v>
      </c>
      <c r="AL211" s="109">
        <v>0.0</v>
      </c>
      <c r="AM211" s="141">
        <v>0.0</v>
      </c>
      <c r="AN211" s="80">
        <f t="shared" si="4"/>
        <v>0</v>
      </c>
      <c r="AO211" s="140">
        <v>0.0</v>
      </c>
      <c r="AP211" s="109">
        <v>0.0</v>
      </c>
      <c r="AQ211" s="109">
        <v>0.0</v>
      </c>
      <c r="AR211" s="80">
        <f t="shared" si="5"/>
        <v>0</v>
      </c>
      <c r="AS211" s="110">
        <v>0.0</v>
      </c>
      <c r="AT211" s="110">
        <v>0.0</v>
      </c>
      <c r="AU211" s="110">
        <v>0.0</v>
      </c>
      <c r="AV211" s="142">
        <v>0.0</v>
      </c>
      <c r="AW211" s="80">
        <f t="shared" si="6"/>
        <v>0</v>
      </c>
      <c r="AX211" s="113">
        <f t="shared" si="7"/>
        <v>57</v>
      </c>
      <c r="AY211" s="117">
        <f t="shared" si="8"/>
        <v>57</v>
      </c>
      <c r="AZ211" s="120">
        <f t="shared" si="9"/>
        <v>0</v>
      </c>
      <c r="BA211" s="115">
        <v>0.0</v>
      </c>
      <c r="BB211" s="89">
        <f t="shared" si="10"/>
        <v>57</v>
      </c>
      <c r="BC211" s="132" t="s">
        <v>373</v>
      </c>
      <c r="BD211" s="132" t="s">
        <v>178</v>
      </c>
      <c r="BE211" s="132" t="s">
        <v>178</v>
      </c>
      <c r="BF211" s="123"/>
      <c r="BG211" s="83">
        <v>1178963.0</v>
      </c>
      <c r="BH211" s="112"/>
      <c r="BI211" s="112">
        <v>3.0</v>
      </c>
      <c r="BJ211" s="98" t="s">
        <v>155</v>
      </c>
      <c r="BK211" s="99">
        <f t="shared" si="11"/>
        <v>0</v>
      </c>
      <c r="BL211" s="99">
        <f t="shared" si="12"/>
        <v>57</v>
      </c>
      <c r="BM211" s="99" t="str">
        <f>IFERROR(__xludf.DUMMYFUNCTION("IFERROR(VLOOKUP(BG211,IMPORTRANGE(""https://docs.google.com/spreadsheets/d/1juPI-Fb8LD0YtltB2mlGEnp_R3UVu1t3wSFPzgCyHXE/edit?gid=0#gid=0"",""GERAL!A2:C""),3,0),""-"")"),"CAMPO")</f>
        <v>CAMPO</v>
      </c>
    </row>
    <row r="212" ht="15.75" customHeight="1">
      <c r="A212" s="111" t="s">
        <v>285</v>
      </c>
      <c r="B212" s="83" t="s">
        <v>940</v>
      </c>
      <c r="C212" s="83" t="s">
        <v>164</v>
      </c>
      <c r="D212" s="112">
        <v>1132468.0</v>
      </c>
      <c r="E212" s="83">
        <v>1178962.0</v>
      </c>
      <c r="F212" s="98">
        <v>2.9490871E7</v>
      </c>
      <c r="G212" s="119" t="s">
        <v>948</v>
      </c>
      <c r="H212" s="91" t="s">
        <v>949</v>
      </c>
      <c r="I212" s="83" t="s">
        <v>149</v>
      </c>
      <c r="J212" s="83" t="s">
        <v>331</v>
      </c>
      <c r="K212" s="83" t="s">
        <v>168</v>
      </c>
      <c r="L212" s="83" t="s">
        <v>169</v>
      </c>
      <c r="M212" s="82" t="str">
        <f>IFERROR(__xludf.DUMMYFUNCTION("IFERROR(VLOOKUP(D212,
IMPORTRANGE(""https://docs.google.com/spreadsheets/d/1MjHtlUikwobi2MaWJgy7tfLeBmhj1u-dRFRs_8GwSoA/edit#gid=0"",""Gestores Escolares!D7:J""),3,0),""VERIFICAR CÓD SEC"")"),"MEL REIS LOUREIRO")</f>
        <v>MEL REIS LOUREIRO</v>
      </c>
      <c r="N212" s="82" t="str">
        <f>IFERROR(__xludf.DUMMYFUNCTION("IFERROR(VLOOKUP(D212,
IMPORTRANGE(""https://docs.google.com/spreadsheets/d/1MjHtlUikwobi2MaWJgy7tfLeBmhj1u-dRFRs_8GwSoA/edit#gid=0"",""Gestores Escolares!D7:J""),4,0),""VERIFICAR CÓD SEC"")"),"(75) 9 8315-0422")</f>
        <v>(75) 9 8315-0422</v>
      </c>
      <c r="O212" s="82" t="str">
        <f>IFERROR(__xludf.DUMMYFUNCTION("IFERROR(VLOOKUP(D212,
IMPORTRANGE(""https://docs.google.com/spreadsheets/d/1MjHtlUikwobi2MaWJgy7tfLeBmhj1u-dRFRs_8GwSoA/edit#gid=0"",""Gestores Escolares!D7:J""),6,0),""VERIFICAR CÓD SEC"")"),"ROBSON DA SILVA SOUZA")</f>
        <v>ROBSON DA SILVA SOUZA</v>
      </c>
      <c r="P212" s="82" t="str">
        <f>IFERROR(__xludf.DUMMYFUNCTION("IFERROR(VLOOKUP(D212,
IMPORTRANGE(""https://docs.google.com/spreadsheets/d/1MjHtlUikwobi2MaWJgy7tfLeBmhj1u-dRFRs_8GwSoA/edit#gid=0"",""Gestores Escolares!D7:J""),7,0),""VERIFICAR CÓD SEC"")"),"(77) 9 9842-1347")</f>
        <v>(77) 9 9842-1347</v>
      </c>
      <c r="Q212" s="82" t="str">
        <f>IFERROR(__xludf.DUMMYFUNCTION("IFERROR(VLOOKUP(D212,
IMPORTRANGE(""https://docs.google.com/spreadsheets/d/1MjHtlUikwobi2MaWJgy7tfLeBmhj1u-dRFRs_8GwSoA/edit#gid=0"",""Gestores Escolares!D7:m""),9,0),""VERIFICAR CÓD SEC"")"),"LEANDRO VIEIRA DOS SANTOS AGUIAR")</f>
        <v>LEANDRO VIEIRA DOS SANTOS AGUIAR</v>
      </c>
      <c r="R212" s="82" t="str">
        <f>IFERROR(__xludf.DUMMYFUNCTION("IFERROR(VLOOKUP(D212,
IMPORTRANGE(""https://docs.google.com/spreadsheets/d/1MjHtlUikwobi2MaWJgy7tfLeBmhj1u-dRFRs_8GwSoA/edit#gid=0"",""Gestores Escolares!D7:m""),10,0),""VERIFICAR CÓD SEC"")"),"(71) 9 9682-0857")</f>
        <v>(71) 9 9682-0857</v>
      </c>
      <c r="S212" s="82"/>
      <c r="T212" s="138">
        <v>3.0</v>
      </c>
      <c r="U212" s="139">
        <v>3.0</v>
      </c>
      <c r="V212" s="106">
        <v>0.0</v>
      </c>
      <c r="W212" s="107">
        <v>0.0</v>
      </c>
      <c r="X212" s="107">
        <v>0.0</v>
      </c>
      <c r="Y212" s="107">
        <v>0.0</v>
      </c>
      <c r="Z212" s="80">
        <f t="shared" si="1"/>
        <v>0</v>
      </c>
      <c r="AA212" s="106">
        <v>0.0</v>
      </c>
      <c r="AB212" s="107">
        <v>0.0</v>
      </c>
      <c r="AC212" s="107">
        <v>0.0</v>
      </c>
      <c r="AD212" s="107">
        <v>0.0</v>
      </c>
      <c r="AE212" s="80">
        <f t="shared" si="2"/>
        <v>0</v>
      </c>
      <c r="AF212" s="140">
        <v>94.0</v>
      </c>
      <c r="AG212" s="109">
        <v>0.0</v>
      </c>
      <c r="AH212" s="109">
        <v>0.0</v>
      </c>
      <c r="AI212" s="141">
        <v>0.0</v>
      </c>
      <c r="AJ212" s="80">
        <f t="shared" si="3"/>
        <v>94</v>
      </c>
      <c r="AK212" s="140">
        <v>0.0</v>
      </c>
      <c r="AL212" s="109">
        <v>0.0</v>
      </c>
      <c r="AM212" s="141">
        <v>0.0</v>
      </c>
      <c r="AN212" s="80">
        <f t="shared" si="4"/>
        <v>0</v>
      </c>
      <c r="AO212" s="140">
        <v>0.0</v>
      </c>
      <c r="AP212" s="109">
        <v>0.0</v>
      </c>
      <c r="AQ212" s="109">
        <v>18.0</v>
      </c>
      <c r="AR212" s="80">
        <f t="shared" si="5"/>
        <v>18</v>
      </c>
      <c r="AS212" s="110">
        <v>0.0</v>
      </c>
      <c r="AT212" s="110">
        <v>0.0</v>
      </c>
      <c r="AU212" s="110">
        <v>0.0</v>
      </c>
      <c r="AV212" s="142">
        <v>0.0</v>
      </c>
      <c r="AW212" s="80">
        <f t="shared" si="6"/>
        <v>0</v>
      </c>
      <c r="AX212" s="113">
        <f t="shared" si="7"/>
        <v>112</v>
      </c>
      <c r="AY212" s="117">
        <f t="shared" si="8"/>
        <v>94</v>
      </c>
      <c r="AZ212" s="120">
        <f t="shared" si="9"/>
        <v>18</v>
      </c>
      <c r="BA212" s="115">
        <v>0.0</v>
      </c>
      <c r="BB212" s="89">
        <f t="shared" si="10"/>
        <v>112</v>
      </c>
      <c r="BC212" s="132" t="s">
        <v>373</v>
      </c>
      <c r="BD212" s="132" t="s">
        <v>178</v>
      </c>
      <c r="BE212" s="132" t="s">
        <v>178</v>
      </c>
      <c r="BF212" s="123"/>
      <c r="BG212" s="83">
        <v>1178962.0</v>
      </c>
      <c r="BH212" s="112"/>
      <c r="BI212" s="112">
        <v>3.0</v>
      </c>
      <c r="BJ212" s="98" t="s">
        <v>155</v>
      </c>
      <c r="BK212" s="99">
        <f t="shared" si="11"/>
        <v>0</v>
      </c>
      <c r="BL212" s="99">
        <f t="shared" si="12"/>
        <v>94</v>
      </c>
      <c r="BM212" s="99" t="str">
        <f>IFERROR(__xludf.DUMMYFUNCTION("IFERROR(VLOOKUP(BG212,IMPORTRANGE(""https://docs.google.com/spreadsheets/d/1juPI-Fb8LD0YtltB2mlGEnp_R3UVu1t3wSFPzgCyHXE/edit?gid=0#gid=0"",""GERAL!A2:C""),3,0),""-"")"),"CAMPO")</f>
        <v>CAMPO</v>
      </c>
    </row>
    <row r="213" ht="15.75" customHeight="1">
      <c r="A213" s="111" t="s">
        <v>285</v>
      </c>
      <c r="B213" s="83" t="s">
        <v>950</v>
      </c>
      <c r="C213" s="83" t="s">
        <v>68</v>
      </c>
      <c r="D213" s="112">
        <v>1178029.0</v>
      </c>
      <c r="E213" s="83"/>
      <c r="F213" s="83">
        <v>2.9425123E7</v>
      </c>
      <c r="G213" s="119" t="s">
        <v>951</v>
      </c>
      <c r="H213" s="91" t="s">
        <v>952</v>
      </c>
      <c r="I213" s="83" t="s">
        <v>149</v>
      </c>
      <c r="J213" s="83" t="s">
        <v>150</v>
      </c>
      <c r="K213" s="83" t="s">
        <v>151</v>
      </c>
      <c r="L213" s="98" t="s">
        <v>152</v>
      </c>
      <c r="M213" s="82" t="str">
        <f>IFERROR(__xludf.DUMMYFUNCTION("IFERROR(VLOOKUP(D213,
IMPORTRANGE(""https://docs.google.com/spreadsheets/d/1MjHtlUikwobi2MaWJgy7tfLeBmhj1u-dRFRs_8GwSoA/edit#gid=0"",""Gestores Escolares!D7:J""),3,0),""VERIFICAR CÓD SEC"")"),"JOSIELITON DIAS LIMA")</f>
        <v>JOSIELITON DIAS LIMA</v>
      </c>
      <c r="N213" s="82" t="str">
        <f>IFERROR(__xludf.DUMMYFUNCTION("IFERROR(VLOOKUP(D213,
IMPORTRANGE(""https://docs.google.com/spreadsheets/d/1MjHtlUikwobi2MaWJgy7tfLeBmhj1u-dRFRs_8GwSoA/edit#gid=0"",""Gestores Escolares!D7:J""),4,0),""VERIFICAR CÓD SEC"")"),"(75) 9 9272-1863")</f>
        <v>(75) 9 9272-1863</v>
      </c>
      <c r="O213" s="82" t="str">
        <f>IFERROR(__xludf.DUMMYFUNCTION("IFERROR(VLOOKUP(D213,
IMPORTRANGE(""https://docs.google.com/spreadsheets/d/1MjHtlUikwobi2MaWJgy7tfLeBmhj1u-dRFRs_8GwSoA/edit#gid=0"",""Gestores Escolares!D7:J""),6,0),""VERIFICAR CÓD SEC"")"),"ELETICIA MACHADO DA SILVA DE JESUS")</f>
        <v>ELETICIA MACHADO DA SILVA DE JESUS</v>
      </c>
      <c r="P213" s="82" t="str">
        <f>IFERROR(__xludf.DUMMYFUNCTION("IFERROR(VLOOKUP(D213,
IMPORTRANGE(""https://docs.google.com/spreadsheets/d/1MjHtlUikwobi2MaWJgy7tfLeBmhj1u-dRFRs_8GwSoA/edit#gid=0"",""Gestores Escolares!D7:J""),7,0),""VERIFICAR CÓD SEC"")"),"(75) 9 9110-0414")</f>
        <v>(75) 9 9110-0414</v>
      </c>
      <c r="Q213" s="82" t="str">
        <f>IFERROR(__xludf.DUMMYFUNCTION("IFERROR(VLOOKUP(D213,
IMPORTRANGE(""https://docs.google.com/spreadsheets/d/1MjHtlUikwobi2MaWJgy7tfLeBmhj1u-dRFRs_8GwSoA/edit#gid=0"",""Gestores Escolares!D7:m""),9,0),""VERIFICAR CÓD SEC"")")," KESIA MIRELLE JESUS SANTOS CARVALHO")</f>
        <v> KESIA MIRELLE JESUS SANTOS CARVALHO</v>
      </c>
      <c r="R213" s="82" t="str">
        <f>IFERROR(__xludf.DUMMYFUNCTION("IFERROR(VLOOKUP(D213,
IMPORTRANGE(""https://docs.google.com/spreadsheets/d/1MjHtlUikwobi2MaWJgy7tfLeBmhj1u-dRFRs_8GwSoA/edit#gid=0"",""Gestores Escolares!D7:m""),10,0),""VERIFICAR CÓD SEC"")"),"(71) 9 9292-3569")</f>
        <v>(71) 9 9292-3569</v>
      </c>
      <c r="S213" s="82"/>
      <c r="T213" s="138">
        <v>7.0</v>
      </c>
      <c r="U213" s="145" t="s">
        <v>2930</v>
      </c>
      <c r="V213" s="106">
        <v>0.0</v>
      </c>
      <c r="W213" s="107">
        <v>0.0</v>
      </c>
      <c r="X213" s="107">
        <v>0.0</v>
      </c>
      <c r="Y213" s="107">
        <v>0.0</v>
      </c>
      <c r="Z213" s="80">
        <f t="shared" si="1"/>
        <v>0</v>
      </c>
      <c r="AA213" s="106">
        <v>0.0</v>
      </c>
      <c r="AB213" s="107">
        <v>0.0</v>
      </c>
      <c r="AC213" s="107">
        <v>0.0</v>
      </c>
      <c r="AD213" s="107">
        <v>0.0</v>
      </c>
      <c r="AE213" s="80">
        <f t="shared" si="2"/>
        <v>0</v>
      </c>
      <c r="AF213" s="140">
        <v>75.0</v>
      </c>
      <c r="AG213" s="109">
        <v>0.0</v>
      </c>
      <c r="AH213" s="109">
        <v>0.0</v>
      </c>
      <c r="AI213" s="141">
        <v>170.0</v>
      </c>
      <c r="AJ213" s="80">
        <f t="shared" si="3"/>
        <v>245</v>
      </c>
      <c r="AK213" s="140">
        <v>0.0</v>
      </c>
      <c r="AL213" s="109">
        <v>0.0</v>
      </c>
      <c r="AM213" s="141">
        <v>0.0</v>
      </c>
      <c r="AN213" s="80">
        <f t="shared" si="4"/>
        <v>0</v>
      </c>
      <c r="AO213" s="140">
        <v>0.0</v>
      </c>
      <c r="AP213" s="109">
        <v>0.0</v>
      </c>
      <c r="AQ213" s="109">
        <v>47.0</v>
      </c>
      <c r="AR213" s="80">
        <f t="shared" si="5"/>
        <v>47</v>
      </c>
      <c r="AS213" s="110">
        <v>0.0</v>
      </c>
      <c r="AT213" s="110">
        <v>0.0</v>
      </c>
      <c r="AU213" s="110">
        <v>23.0</v>
      </c>
      <c r="AV213" s="142">
        <v>35.0</v>
      </c>
      <c r="AW213" s="80">
        <f t="shared" si="6"/>
        <v>58</v>
      </c>
      <c r="AX213" s="113">
        <f t="shared" si="7"/>
        <v>350</v>
      </c>
      <c r="AY213" s="117">
        <f t="shared" si="8"/>
        <v>280</v>
      </c>
      <c r="AZ213" s="120">
        <f t="shared" si="9"/>
        <v>70</v>
      </c>
      <c r="BA213" s="115">
        <v>0.0</v>
      </c>
      <c r="BB213" s="89">
        <f t="shared" si="10"/>
        <v>350</v>
      </c>
      <c r="BC213" s="132" t="s">
        <v>178</v>
      </c>
      <c r="BD213" s="132" t="s">
        <v>178</v>
      </c>
      <c r="BE213" s="132" t="s">
        <v>178</v>
      </c>
      <c r="BF213" s="123"/>
      <c r="BG213" s="83">
        <v>1178029.0</v>
      </c>
      <c r="BH213" s="98"/>
      <c r="BI213" s="98">
        <v>6.0</v>
      </c>
      <c r="BJ213" s="98" t="s">
        <v>176</v>
      </c>
      <c r="BK213" s="99">
        <f t="shared" si="11"/>
        <v>205</v>
      </c>
      <c r="BL213" s="99">
        <f t="shared" si="12"/>
        <v>75</v>
      </c>
      <c r="BM213" s="99" t="str">
        <f>IFERROR(__xludf.DUMMYFUNCTION("IFERROR(VLOOKUP(BG213,IMPORTRANGE(""https://docs.google.com/spreadsheets/d/1juPI-Fb8LD0YtltB2mlGEnp_R3UVu1t3wSFPzgCyHXE/edit?gid=0#gid=0"",""GERAL!A2:C""),3,0),""-"")"),"-")</f>
        <v>-</v>
      </c>
    </row>
    <row r="214" ht="15.75" customHeight="1">
      <c r="A214" s="111" t="s">
        <v>285</v>
      </c>
      <c r="B214" s="83" t="s">
        <v>955</v>
      </c>
      <c r="C214" s="83" t="s">
        <v>68</v>
      </c>
      <c r="D214" s="112">
        <v>1164491.0</v>
      </c>
      <c r="E214" s="83"/>
      <c r="F214" s="83">
        <v>2.9209994E7</v>
      </c>
      <c r="G214" s="114" t="s">
        <v>956</v>
      </c>
      <c r="H214" s="91" t="s">
        <v>957</v>
      </c>
      <c r="I214" s="83" t="s">
        <v>149</v>
      </c>
      <c r="J214" s="83" t="s">
        <v>150</v>
      </c>
      <c r="K214" s="83" t="s">
        <v>151</v>
      </c>
      <c r="L214" s="83" t="s">
        <v>76</v>
      </c>
      <c r="M214" s="82" t="str">
        <f>IFERROR(__xludf.DUMMYFUNCTION("IFERROR(VLOOKUP(D214,
IMPORTRANGE(""https://docs.google.com/spreadsheets/d/1MjHtlUikwobi2MaWJgy7tfLeBmhj1u-dRFRs_8GwSoA/edit#gid=0"",""Gestores Escolares!D7:J""),3,0),""VERIFICAR CÓD SEC"")"),"AECIO ARAUJO DO PRADO")</f>
        <v>AECIO ARAUJO DO PRADO</v>
      </c>
      <c r="N214" s="82" t="str">
        <f>IFERROR(__xludf.DUMMYFUNCTION("IFERROR(VLOOKUP(D214,
IMPORTRANGE(""https://docs.google.com/spreadsheets/d/1MjHtlUikwobi2MaWJgy7tfLeBmhj1u-dRFRs_8GwSoA/edit#gid=0"",""Gestores Escolares!D7:J""),4,0),""VERIFICAR CÓD SEC"")"),"(75) 9 9228-2747")</f>
        <v>(75) 9 9228-2747</v>
      </c>
      <c r="O214" s="82" t="str">
        <f>IFERROR(__xludf.DUMMYFUNCTION("IFERROR(VLOOKUP(D214,
IMPORTRANGE(""https://docs.google.com/spreadsheets/d/1MjHtlUikwobi2MaWJgy7tfLeBmhj1u-dRFRs_8GwSoA/edit#gid=0"",""Gestores Escolares!D7:J""),6,0),""VERIFICAR CÓD SEC"")"),"ALOIZO LOPES DE OLIVEIRA BELO")</f>
        <v>ALOIZO LOPES DE OLIVEIRA BELO</v>
      </c>
      <c r="P214" s="82" t="str">
        <f>IFERROR(__xludf.DUMMYFUNCTION("IFERROR(VLOOKUP(D214,
IMPORTRANGE(""https://docs.google.com/spreadsheets/d/1MjHtlUikwobi2MaWJgy7tfLeBmhj1u-dRFRs_8GwSoA/edit#gid=0"",""Gestores Escolares!D7:J""),7,0),""VERIFICAR CÓD SEC"")"),"(77) 9 9144-8622")</f>
        <v>(77) 9 9144-8622</v>
      </c>
      <c r="Q214" s="82" t="str">
        <f>IFERROR(__xludf.DUMMYFUNCTION("IFERROR(VLOOKUP(D214,
IMPORTRANGE(""https://docs.google.com/spreadsheets/d/1MjHtlUikwobi2MaWJgy7tfLeBmhj1u-dRFRs_8GwSoA/edit#gid=0"",""Gestores Escolares!D7:m""),9,0),""VERIFICAR CÓD SEC"")"),"")</f>
        <v/>
      </c>
      <c r="R214" s="82" t="str">
        <f>IFERROR(__xludf.DUMMYFUNCTION("IFERROR(VLOOKUP(D214,
IMPORTRANGE(""https://docs.google.com/spreadsheets/d/1MjHtlUikwobi2MaWJgy7tfLeBmhj1u-dRFRs_8GwSoA/edit#gid=0"",""Gestores Escolares!D7:m""),10,0),""VERIFICAR CÓD SEC"")"),"")</f>
        <v/>
      </c>
      <c r="S214" s="82"/>
      <c r="T214" s="138">
        <v>8.0</v>
      </c>
      <c r="U214" s="217" t="s">
        <v>2944</v>
      </c>
      <c r="V214" s="106">
        <v>0.0</v>
      </c>
      <c r="W214" s="107">
        <v>0.0</v>
      </c>
      <c r="X214" s="107">
        <v>0.0</v>
      </c>
      <c r="Y214" s="107">
        <v>0.0</v>
      </c>
      <c r="Z214" s="80">
        <f t="shared" si="1"/>
        <v>0</v>
      </c>
      <c r="AA214" s="106">
        <v>0.0</v>
      </c>
      <c r="AB214" s="107">
        <v>0.0</v>
      </c>
      <c r="AC214" s="107">
        <v>0.0</v>
      </c>
      <c r="AD214" s="107">
        <v>0.0</v>
      </c>
      <c r="AE214" s="80">
        <f t="shared" si="2"/>
        <v>0</v>
      </c>
      <c r="AF214" s="140">
        <v>87.0</v>
      </c>
      <c r="AG214" s="109">
        <v>18.0</v>
      </c>
      <c r="AH214" s="109">
        <v>0.0</v>
      </c>
      <c r="AI214" s="141">
        <v>79.0</v>
      </c>
      <c r="AJ214" s="80">
        <f t="shared" si="3"/>
        <v>184</v>
      </c>
      <c r="AK214" s="140">
        <v>0.0</v>
      </c>
      <c r="AL214" s="109">
        <v>0.0</v>
      </c>
      <c r="AM214" s="141">
        <v>0.0</v>
      </c>
      <c r="AN214" s="80">
        <f t="shared" si="4"/>
        <v>0</v>
      </c>
      <c r="AO214" s="140">
        <v>0.0</v>
      </c>
      <c r="AP214" s="109">
        <v>0.0</v>
      </c>
      <c r="AQ214" s="109">
        <v>50.0</v>
      </c>
      <c r="AR214" s="80">
        <f t="shared" si="5"/>
        <v>50</v>
      </c>
      <c r="AS214" s="110">
        <v>0.0</v>
      </c>
      <c r="AT214" s="110">
        <v>0.0</v>
      </c>
      <c r="AU214" s="110">
        <v>0.0</v>
      </c>
      <c r="AV214" s="142">
        <v>52.0</v>
      </c>
      <c r="AW214" s="80">
        <f t="shared" si="6"/>
        <v>52</v>
      </c>
      <c r="AX214" s="113">
        <f t="shared" si="7"/>
        <v>286</v>
      </c>
      <c r="AY214" s="117">
        <f t="shared" si="8"/>
        <v>236</v>
      </c>
      <c r="AZ214" s="120">
        <f t="shared" si="9"/>
        <v>50</v>
      </c>
      <c r="BA214" s="115">
        <v>0.0</v>
      </c>
      <c r="BB214" s="89">
        <f t="shared" si="10"/>
        <v>286</v>
      </c>
      <c r="BC214" s="132" t="s">
        <v>178</v>
      </c>
      <c r="BD214" s="132" t="s">
        <v>178</v>
      </c>
      <c r="BE214" s="132" t="s">
        <v>178</v>
      </c>
      <c r="BF214" s="156"/>
      <c r="BG214" s="83">
        <v>1164491.0</v>
      </c>
      <c r="BH214" s="112"/>
      <c r="BI214" s="112">
        <v>8.0</v>
      </c>
      <c r="BJ214" s="98" t="s">
        <v>155</v>
      </c>
      <c r="BK214" s="99">
        <f t="shared" si="11"/>
        <v>131</v>
      </c>
      <c r="BL214" s="99">
        <f t="shared" si="12"/>
        <v>105</v>
      </c>
      <c r="BM214" s="99" t="str">
        <f>IFERROR(__xludf.DUMMYFUNCTION("IFERROR(VLOOKUP(BG214,IMPORTRANGE(""https://docs.google.com/spreadsheets/d/1juPI-Fb8LD0YtltB2mlGEnp_R3UVu1t3wSFPzgCyHXE/edit?gid=0#gid=0"",""GERAL!A2:C""),3,0),""-"")"),"-")</f>
        <v>-</v>
      </c>
    </row>
    <row r="215" ht="15.75" customHeight="1">
      <c r="A215" s="111" t="s">
        <v>285</v>
      </c>
      <c r="B215" s="83" t="s">
        <v>955</v>
      </c>
      <c r="C215" s="83" t="s">
        <v>164</v>
      </c>
      <c r="D215" s="112">
        <v>1164491.0</v>
      </c>
      <c r="E215" s="83">
        <v>1178964.0</v>
      </c>
      <c r="F215" s="98">
        <v>2.9490375E7</v>
      </c>
      <c r="G215" s="119" t="s">
        <v>959</v>
      </c>
      <c r="H215" s="91" t="s">
        <v>960</v>
      </c>
      <c r="I215" s="83" t="s">
        <v>149</v>
      </c>
      <c r="J215" s="83" t="s">
        <v>187</v>
      </c>
      <c r="K215" s="83" t="s">
        <v>168</v>
      </c>
      <c r="L215" s="83" t="s">
        <v>169</v>
      </c>
      <c r="M215" s="82" t="str">
        <f>IFERROR(__xludf.DUMMYFUNCTION("IFERROR(VLOOKUP(D215,
IMPORTRANGE(""https://docs.google.com/spreadsheets/d/1MjHtlUikwobi2MaWJgy7tfLeBmhj1u-dRFRs_8GwSoA/edit#gid=0"",""Gestores Escolares!D7:J""),3,0),""VERIFICAR CÓD SEC"")"),"AECIO ARAUJO DO PRADO")</f>
        <v>AECIO ARAUJO DO PRADO</v>
      </c>
      <c r="N215" s="82" t="str">
        <f>IFERROR(__xludf.DUMMYFUNCTION("IFERROR(VLOOKUP(D215,
IMPORTRANGE(""https://docs.google.com/spreadsheets/d/1MjHtlUikwobi2MaWJgy7tfLeBmhj1u-dRFRs_8GwSoA/edit#gid=0"",""Gestores Escolares!D7:J""),4,0),""VERIFICAR CÓD SEC"")"),"(75) 9 9228-2747")</f>
        <v>(75) 9 9228-2747</v>
      </c>
      <c r="O215" s="82" t="str">
        <f>IFERROR(__xludf.DUMMYFUNCTION("IFERROR(VLOOKUP(D215,
IMPORTRANGE(""https://docs.google.com/spreadsheets/d/1MjHtlUikwobi2MaWJgy7tfLeBmhj1u-dRFRs_8GwSoA/edit#gid=0"",""Gestores Escolares!D7:J""),6,0),""VERIFICAR CÓD SEC"")"),"ALOIZO LOPES DE OLIVEIRA BELO")</f>
        <v>ALOIZO LOPES DE OLIVEIRA BELO</v>
      </c>
      <c r="P215" s="82" t="str">
        <f>IFERROR(__xludf.DUMMYFUNCTION("IFERROR(VLOOKUP(D215,
IMPORTRANGE(""https://docs.google.com/spreadsheets/d/1MjHtlUikwobi2MaWJgy7tfLeBmhj1u-dRFRs_8GwSoA/edit#gid=0"",""Gestores Escolares!D7:J""),7,0),""VERIFICAR CÓD SEC"")"),"(77) 9 9144-8622")</f>
        <v>(77) 9 9144-8622</v>
      </c>
      <c r="Q215" s="82" t="str">
        <f>IFERROR(__xludf.DUMMYFUNCTION("IFERROR(VLOOKUP(D215,
IMPORTRANGE(""https://docs.google.com/spreadsheets/d/1MjHtlUikwobi2MaWJgy7tfLeBmhj1u-dRFRs_8GwSoA/edit#gid=0"",""Gestores Escolares!D7:m""),9,0),""VERIFICAR CÓD SEC"")"),"")</f>
        <v/>
      </c>
      <c r="R215" s="82" t="str">
        <f>IFERROR(__xludf.DUMMYFUNCTION("IFERROR(VLOOKUP(D215,
IMPORTRANGE(""https://docs.google.com/spreadsheets/d/1MjHtlUikwobi2MaWJgy7tfLeBmhj1u-dRFRs_8GwSoA/edit#gid=0"",""Gestores Escolares!D7:m""),10,0),""VERIFICAR CÓD SEC"")"),"")</f>
        <v/>
      </c>
      <c r="S215" s="82"/>
      <c r="T215" s="138">
        <v>3.0</v>
      </c>
      <c r="U215" s="152">
        <v>3.0</v>
      </c>
      <c r="V215" s="106">
        <v>0.0</v>
      </c>
      <c r="W215" s="107">
        <v>0.0</v>
      </c>
      <c r="X215" s="107">
        <v>0.0</v>
      </c>
      <c r="Y215" s="107">
        <v>0.0</v>
      </c>
      <c r="Z215" s="80">
        <f t="shared" si="1"/>
        <v>0</v>
      </c>
      <c r="AA215" s="106">
        <v>0.0</v>
      </c>
      <c r="AB215" s="107">
        <v>0.0</v>
      </c>
      <c r="AC215" s="107">
        <v>0.0</v>
      </c>
      <c r="AD215" s="107">
        <v>0.0</v>
      </c>
      <c r="AE215" s="80">
        <f t="shared" si="2"/>
        <v>0</v>
      </c>
      <c r="AF215" s="140">
        <v>52.0</v>
      </c>
      <c r="AG215" s="109">
        <v>0.0</v>
      </c>
      <c r="AH215" s="109">
        <v>0.0</v>
      </c>
      <c r="AI215" s="141">
        <v>0.0</v>
      </c>
      <c r="AJ215" s="80">
        <f t="shared" si="3"/>
        <v>52</v>
      </c>
      <c r="AK215" s="140">
        <v>0.0</v>
      </c>
      <c r="AL215" s="109">
        <v>0.0</v>
      </c>
      <c r="AM215" s="141">
        <v>0.0</v>
      </c>
      <c r="AN215" s="80">
        <f t="shared" si="4"/>
        <v>0</v>
      </c>
      <c r="AO215" s="140">
        <v>0.0</v>
      </c>
      <c r="AP215" s="109">
        <v>0.0</v>
      </c>
      <c r="AQ215" s="109">
        <v>10.0</v>
      </c>
      <c r="AR215" s="80">
        <f t="shared" si="5"/>
        <v>10</v>
      </c>
      <c r="AS215" s="110">
        <v>0.0</v>
      </c>
      <c r="AT215" s="110">
        <v>0.0</v>
      </c>
      <c r="AU215" s="110">
        <v>0.0</v>
      </c>
      <c r="AV215" s="142">
        <v>0.0</v>
      </c>
      <c r="AW215" s="80">
        <f t="shared" si="6"/>
        <v>0</v>
      </c>
      <c r="AX215" s="113">
        <f t="shared" si="7"/>
        <v>62</v>
      </c>
      <c r="AY215" s="117">
        <f t="shared" si="8"/>
        <v>52</v>
      </c>
      <c r="AZ215" s="120">
        <f t="shared" si="9"/>
        <v>10</v>
      </c>
      <c r="BA215" s="115">
        <v>0.0</v>
      </c>
      <c r="BB215" s="89">
        <f t="shared" si="10"/>
        <v>62</v>
      </c>
      <c r="BC215" s="132" t="s">
        <v>373</v>
      </c>
      <c r="BD215" s="132" t="s">
        <v>178</v>
      </c>
      <c r="BE215" s="132" t="s">
        <v>178</v>
      </c>
      <c r="BF215" s="123"/>
      <c r="BG215" s="83">
        <v>1178964.0</v>
      </c>
      <c r="BH215" s="112"/>
      <c r="BI215" s="112">
        <v>3.0</v>
      </c>
      <c r="BJ215" s="98" t="s">
        <v>155</v>
      </c>
      <c r="BK215" s="99">
        <f t="shared" si="11"/>
        <v>0</v>
      </c>
      <c r="BL215" s="99">
        <f t="shared" si="12"/>
        <v>52</v>
      </c>
      <c r="BM215" s="99" t="str">
        <f>IFERROR(__xludf.DUMMYFUNCTION("IFERROR(VLOOKUP(BG215,IMPORTRANGE(""https://docs.google.com/spreadsheets/d/1juPI-Fb8LD0YtltB2mlGEnp_R3UVu1t3wSFPzgCyHXE/edit?gid=0#gid=0"",""GERAL!A2:C""),3,0),""-"")"),"CAMPO")</f>
        <v>CAMPO</v>
      </c>
    </row>
    <row r="216" ht="15.75" customHeight="1">
      <c r="A216" s="111" t="s">
        <v>285</v>
      </c>
      <c r="B216" s="83" t="s">
        <v>955</v>
      </c>
      <c r="C216" s="83" t="s">
        <v>164</v>
      </c>
      <c r="D216" s="112">
        <v>1164491.0</v>
      </c>
      <c r="E216" s="83">
        <v>1178965.0</v>
      </c>
      <c r="F216" s="98">
        <v>2.9490383E7</v>
      </c>
      <c r="G216" s="114" t="s">
        <v>961</v>
      </c>
      <c r="H216" s="91" t="s">
        <v>962</v>
      </c>
      <c r="I216" s="83" t="s">
        <v>149</v>
      </c>
      <c r="J216" s="83" t="s">
        <v>187</v>
      </c>
      <c r="K216" s="83" t="s">
        <v>151</v>
      </c>
      <c r="L216" s="83" t="s">
        <v>169</v>
      </c>
      <c r="M216" s="82" t="str">
        <f>IFERROR(__xludf.DUMMYFUNCTION("IFERROR(VLOOKUP(D216,
IMPORTRANGE(""https://docs.google.com/spreadsheets/d/1MjHtlUikwobi2MaWJgy7tfLeBmhj1u-dRFRs_8GwSoA/edit#gid=0"",""Gestores Escolares!D7:J""),3,0),""VERIFICAR CÓD SEC"")"),"AECIO ARAUJO DO PRADO")</f>
        <v>AECIO ARAUJO DO PRADO</v>
      </c>
      <c r="N216" s="82" t="str">
        <f>IFERROR(__xludf.DUMMYFUNCTION("IFERROR(VLOOKUP(D216,
IMPORTRANGE(""https://docs.google.com/spreadsheets/d/1MjHtlUikwobi2MaWJgy7tfLeBmhj1u-dRFRs_8GwSoA/edit#gid=0"",""Gestores Escolares!D7:J""),4,0),""VERIFICAR CÓD SEC"")"),"(75) 9 9228-2747")</f>
        <v>(75) 9 9228-2747</v>
      </c>
      <c r="O216" s="82" t="str">
        <f>IFERROR(__xludf.DUMMYFUNCTION("IFERROR(VLOOKUP(D216,
IMPORTRANGE(""https://docs.google.com/spreadsheets/d/1MjHtlUikwobi2MaWJgy7tfLeBmhj1u-dRFRs_8GwSoA/edit#gid=0"",""Gestores Escolares!D7:J""),6,0),""VERIFICAR CÓD SEC"")"),"ALOIZO LOPES DE OLIVEIRA BELO")</f>
        <v>ALOIZO LOPES DE OLIVEIRA BELO</v>
      </c>
      <c r="P216" s="82" t="str">
        <f>IFERROR(__xludf.DUMMYFUNCTION("IFERROR(VLOOKUP(D216,
IMPORTRANGE(""https://docs.google.com/spreadsheets/d/1MjHtlUikwobi2MaWJgy7tfLeBmhj1u-dRFRs_8GwSoA/edit#gid=0"",""Gestores Escolares!D7:J""),7,0),""VERIFICAR CÓD SEC"")"),"(77) 9 9144-8622")</f>
        <v>(77) 9 9144-8622</v>
      </c>
      <c r="Q216" s="82" t="str">
        <f>IFERROR(__xludf.DUMMYFUNCTION("IFERROR(VLOOKUP(D216,
IMPORTRANGE(""https://docs.google.com/spreadsheets/d/1MjHtlUikwobi2MaWJgy7tfLeBmhj1u-dRFRs_8GwSoA/edit#gid=0"",""Gestores Escolares!D7:m""),9,0),""VERIFICAR CÓD SEC"")"),"")</f>
        <v/>
      </c>
      <c r="R216" s="82" t="str">
        <f>IFERROR(__xludf.DUMMYFUNCTION("IFERROR(VLOOKUP(D216,
IMPORTRANGE(""https://docs.google.com/spreadsheets/d/1MjHtlUikwobi2MaWJgy7tfLeBmhj1u-dRFRs_8GwSoA/edit#gid=0"",""Gestores Escolares!D7:m""),10,0),""VERIFICAR CÓD SEC"")"),"")</f>
        <v/>
      </c>
      <c r="S216" s="82"/>
      <c r="T216" s="138">
        <v>3.0</v>
      </c>
      <c r="U216" s="152">
        <v>3.0</v>
      </c>
      <c r="V216" s="106">
        <v>0.0</v>
      </c>
      <c r="W216" s="107">
        <v>0.0</v>
      </c>
      <c r="X216" s="107">
        <v>0.0</v>
      </c>
      <c r="Y216" s="107">
        <v>0.0</v>
      </c>
      <c r="Z216" s="80">
        <f t="shared" si="1"/>
        <v>0</v>
      </c>
      <c r="AA216" s="106">
        <v>0.0</v>
      </c>
      <c r="AB216" s="107">
        <v>0.0</v>
      </c>
      <c r="AC216" s="107">
        <v>0.0</v>
      </c>
      <c r="AD216" s="107">
        <v>0.0</v>
      </c>
      <c r="AE216" s="80">
        <f t="shared" si="2"/>
        <v>0</v>
      </c>
      <c r="AF216" s="140">
        <v>56.0</v>
      </c>
      <c r="AG216" s="109">
        <v>0.0</v>
      </c>
      <c r="AH216" s="109">
        <v>0.0</v>
      </c>
      <c r="AI216" s="141">
        <v>0.0</v>
      </c>
      <c r="AJ216" s="80">
        <f t="shared" si="3"/>
        <v>56</v>
      </c>
      <c r="AK216" s="140">
        <v>0.0</v>
      </c>
      <c r="AL216" s="109">
        <v>0.0</v>
      </c>
      <c r="AM216" s="141">
        <v>0.0</v>
      </c>
      <c r="AN216" s="80">
        <f t="shared" si="4"/>
        <v>0</v>
      </c>
      <c r="AO216" s="140">
        <v>0.0</v>
      </c>
      <c r="AP216" s="109">
        <v>0.0</v>
      </c>
      <c r="AQ216" s="109">
        <v>0.0</v>
      </c>
      <c r="AR216" s="80">
        <f t="shared" si="5"/>
        <v>0</v>
      </c>
      <c r="AS216" s="110">
        <v>0.0</v>
      </c>
      <c r="AT216" s="110">
        <v>0.0</v>
      </c>
      <c r="AU216" s="110">
        <v>0.0</v>
      </c>
      <c r="AV216" s="142">
        <v>0.0</v>
      </c>
      <c r="AW216" s="80">
        <f t="shared" si="6"/>
        <v>0</v>
      </c>
      <c r="AX216" s="113">
        <f t="shared" si="7"/>
        <v>56</v>
      </c>
      <c r="AY216" s="117">
        <f t="shared" si="8"/>
        <v>56</v>
      </c>
      <c r="AZ216" s="120">
        <f t="shared" si="9"/>
        <v>0</v>
      </c>
      <c r="BA216" s="115">
        <v>0.0</v>
      </c>
      <c r="BB216" s="89">
        <f t="shared" si="10"/>
        <v>56</v>
      </c>
      <c r="BC216" s="132" t="s">
        <v>373</v>
      </c>
      <c r="BD216" s="132" t="s">
        <v>178</v>
      </c>
      <c r="BE216" s="132" t="s">
        <v>178</v>
      </c>
      <c r="BF216" s="123"/>
      <c r="BG216" s="83">
        <v>1178965.0</v>
      </c>
      <c r="BH216" s="112"/>
      <c r="BI216" s="112">
        <v>3.0</v>
      </c>
      <c r="BJ216" s="98" t="s">
        <v>155</v>
      </c>
      <c r="BK216" s="99">
        <f t="shared" si="11"/>
        <v>0</v>
      </c>
      <c r="BL216" s="99">
        <f t="shared" si="12"/>
        <v>56</v>
      </c>
      <c r="BM216" s="99" t="str">
        <f>IFERROR(__xludf.DUMMYFUNCTION("IFERROR(VLOOKUP(BG216,IMPORTRANGE(""https://docs.google.com/spreadsheets/d/1juPI-Fb8LD0YtltB2mlGEnp_R3UVu1t3wSFPzgCyHXE/edit?gid=0#gid=0"",""GERAL!A2:C""),3,0),""-"")"),"CAMPO")</f>
        <v>CAMPO</v>
      </c>
    </row>
    <row r="217" ht="15.75" customHeight="1">
      <c r="A217" s="111" t="s">
        <v>285</v>
      </c>
      <c r="B217" s="83" t="s">
        <v>955</v>
      </c>
      <c r="C217" s="83" t="s">
        <v>164</v>
      </c>
      <c r="D217" s="112">
        <v>1179283.0</v>
      </c>
      <c r="E217" s="83">
        <v>1179382.0</v>
      </c>
      <c r="F217" s="98">
        <v>2.9461502E7</v>
      </c>
      <c r="G217" s="114" t="s">
        <v>963</v>
      </c>
      <c r="H217" s="91" t="s">
        <v>964</v>
      </c>
      <c r="I217" s="83" t="s">
        <v>149</v>
      </c>
      <c r="J217" s="83" t="s">
        <v>471</v>
      </c>
      <c r="K217" s="83" t="s">
        <v>168</v>
      </c>
      <c r="L217" s="83" t="s">
        <v>169</v>
      </c>
      <c r="M217" s="82" t="str">
        <f>IFERROR(__xludf.DUMMYFUNCTION("IFERROR(VLOOKUP(D217,
IMPORTRANGE(""https://docs.google.com/spreadsheets/d/1MjHtlUikwobi2MaWJgy7tfLeBmhj1u-dRFRs_8GwSoA/edit#gid=0"",""Gestores Escolares!D7:J""),3,0),""VERIFICAR CÓD SEC"")"),"LAIZA BRANDAO MIRANDA")</f>
        <v>LAIZA BRANDAO MIRANDA</v>
      </c>
      <c r="N217" s="82" t="str">
        <f>IFERROR(__xludf.DUMMYFUNCTION("IFERROR(VLOOKUP(D217,
IMPORTRANGE(""https://docs.google.com/spreadsheets/d/1MjHtlUikwobi2MaWJgy7tfLeBmhj1u-dRFRs_8GwSoA/edit#gid=0"",""Gestores Escolares!D7:J""),4,0),""VERIFICAR CÓD SEC"")"),"(75) 9 9966-5253")</f>
        <v>(75) 9 9966-5253</v>
      </c>
      <c r="O217" s="82" t="str">
        <f>IFERROR(__xludf.DUMMYFUNCTION("IFERROR(VLOOKUP(D217,
IMPORTRANGE(""https://docs.google.com/spreadsheets/d/1MjHtlUikwobi2MaWJgy7tfLeBmhj1u-dRFRs_8GwSoA/edit#gid=0"",""Gestores Escolares!D7:J""),6,0),""VERIFICAR CÓD SEC"")"),"ROSANA ISABEL DO R. TELES")</f>
        <v>ROSANA ISABEL DO R. TELES</v>
      </c>
      <c r="P217" s="82" t="str">
        <f>IFERROR(__xludf.DUMMYFUNCTION("IFERROR(VLOOKUP(D217,
IMPORTRANGE(""https://docs.google.com/spreadsheets/d/1MjHtlUikwobi2MaWJgy7tfLeBmhj1u-dRFRs_8GwSoA/edit#gid=0"",""Gestores Escolares!D7:J""),7,0),""VERIFICAR CÓD SEC"")"),"(75) 9 9966-4696")</f>
        <v>(75) 9 9966-4696</v>
      </c>
      <c r="Q217" s="82" t="str">
        <f>IFERROR(__xludf.DUMMYFUNCTION("IFERROR(VLOOKUP(D217,
IMPORTRANGE(""https://docs.google.com/spreadsheets/d/1MjHtlUikwobi2MaWJgy7tfLeBmhj1u-dRFRs_8GwSoA/edit#gid=0"",""Gestores Escolares!D7:m""),9,0),""VERIFICAR CÓD SEC"")"),"MOZART MACEDO XAVIER")</f>
        <v>MOZART MACEDO XAVIER</v>
      </c>
      <c r="R217" s="82" t="str">
        <f>IFERROR(__xludf.DUMMYFUNCTION("IFERROR(VLOOKUP(D217,
IMPORTRANGE(""https://docs.google.com/spreadsheets/d/1MjHtlUikwobi2MaWJgy7tfLeBmhj1u-dRFRs_8GwSoA/edit#gid=0"",""Gestores Escolares!D7:m""),10,0),""VERIFICAR CÓD SEC"")"),"(75) 9 9918-1536")</f>
        <v>(75) 9 9918-1536</v>
      </c>
      <c r="S217" s="82"/>
      <c r="T217" s="138">
        <v>3.0</v>
      </c>
      <c r="U217" s="152">
        <v>3.0</v>
      </c>
      <c r="V217" s="106">
        <v>0.0</v>
      </c>
      <c r="W217" s="107">
        <v>0.0</v>
      </c>
      <c r="X217" s="107">
        <v>0.0</v>
      </c>
      <c r="Y217" s="107">
        <v>0.0</v>
      </c>
      <c r="Z217" s="80">
        <f t="shared" si="1"/>
        <v>0</v>
      </c>
      <c r="AA217" s="106">
        <v>0.0</v>
      </c>
      <c r="AB217" s="107">
        <v>0.0</v>
      </c>
      <c r="AC217" s="107">
        <v>0.0</v>
      </c>
      <c r="AD217" s="107">
        <v>0.0</v>
      </c>
      <c r="AE217" s="80">
        <f t="shared" si="2"/>
        <v>0</v>
      </c>
      <c r="AF217" s="140">
        <v>0.0</v>
      </c>
      <c r="AG217" s="109">
        <v>0.0</v>
      </c>
      <c r="AH217" s="109">
        <v>20.0</v>
      </c>
      <c r="AI217" s="141">
        <v>0.0</v>
      </c>
      <c r="AJ217" s="80">
        <f t="shared" si="3"/>
        <v>20</v>
      </c>
      <c r="AK217" s="140">
        <v>0.0</v>
      </c>
      <c r="AL217" s="109">
        <v>0.0</v>
      </c>
      <c r="AM217" s="141">
        <v>0.0</v>
      </c>
      <c r="AN217" s="80">
        <f t="shared" si="4"/>
        <v>0</v>
      </c>
      <c r="AO217" s="140">
        <v>0.0</v>
      </c>
      <c r="AP217" s="109">
        <v>0.0</v>
      </c>
      <c r="AQ217" s="109">
        <v>0.0</v>
      </c>
      <c r="AR217" s="80">
        <f t="shared" si="5"/>
        <v>0</v>
      </c>
      <c r="AS217" s="110">
        <v>0.0</v>
      </c>
      <c r="AT217" s="110">
        <v>0.0</v>
      </c>
      <c r="AU217" s="110">
        <v>0.0</v>
      </c>
      <c r="AV217" s="142">
        <v>0.0</v>
      </c>
      <c r="AW217" s="80">
        <f t="shared" si="6"/>
        <v>0</v>
      </c>
      <c r="AX217" s="113">
        <f t="shared" si="7"/>
        <v>20</v>
      </c>
      <c r="AY217" s="117">
        <f t="shared" si="8"/>
        <v>0</v>
      </c>
      <c r="AZ217" s="120">
        <f t="shared" si="9"/>
        <v>20</v>
      </c>
      <c r="BA217" s="115">
        <v>0.0</v>
      </c>
      <c r="BB217" s="89">
        <f t="shared" si="10"/>
        <v>20</v>
      </c>
      <c r="BC217" s="132" t="s">
        <v>178</v>
      </c>
      <c r="BD217" s="143" t="s">
        <v>227</v>
      </c>
      <c r="BE217" s="132" t="s">
        <v>178</v>
      </c>
      <c r="BF217" s="156"/>
      <c r="BG217" s="83">
        <v>1179382.0</v>
      </c>
      <c r="BH217" s="112"/>
      <c r="BI217" s="112">
        <v>3.0</v>
      </c>
      <c r="BJ217" s="98" t="s">
        <v>155</v>
      </c>
      <c r="BK217" s="99">
        <f t="shared" si="11"/>
        <v>0</v>
      </c>
      <c r="BL217" s="99">
        <f t="shared" si="12"/>
        <v>0</v>
      </c>
      <c r="BM217" s="99" t="str">
        <f>IFERROR(__xludf.DUMMYFUNCTION("IFERROR(VLOOKUP(BG217,IMPORTRANGE(""https://docs.google.com/spreadsheets/d/1juPI-Fb8LD0YtltB2mlGEnp_R3UVu1t3wSFPzgCyHXE/edit?gid=0#gid=0"",""GERAL!A2:C""),3,0),""-"")"),"-")</f>
        <v>-</v>
      </c>
    </row>
    <row r="218" ht="15.75" customHeight="1">
      <c r="A218" s="111" t="s">
        <v>285</v>
      </c>
      <c r="B218" s="83" t="s">
        <v>955</v>
      </c>
      <c r="C218" s="83" t="s">
        <v>164</v>
      </c>
      <c r="D218" s="112">
        <v>1179283.0</v>
      </c>
      <c r="E218" s="83">
        <v>1179383.0</v>
      </c>
      <c r="F218" s="98">
        <v>2.9461502E7</v>
      </c>
      <c r="G218" s="114" t="s">
        <v>965</v>
      </c>
      <c r="H218" s="91" t="s">
        <v>964</v>
      </c>
      <c r="I218" s="83" t="s">
        <v>149</v>
      </c>
      <c r="J218" s="83" t="s">
        <v>240</v>
      </c>
      <c r="K218" s="83" t="s">
        <v>168</v>
      </c>
      <c r="L218" s="83" t="s">
        <v>169</v>
      </c>
      <c r="M218" s="82" t="str">
        <f>IFERROR(__xludf.DUMMYFUNCTION("IFERROR(VLOOKUP(D218,
IMPORTRANGE(""https://docs.google.com/spreadsheets/d/1MjHtlUikwobi2MaWJgy7tfLeBmhj1u-dRFRs_8GwSoA/edit#gid=0"",""Gestores Escolares!D7:J""),3,0),""VERIFICAR CÓD SEC"")"),"LAIZA BRANDAO MIRANDA")</f>
        <v>LAIZA BRANDAO MIRANDA</v>
      </c>
      <c r="N218" s="82" t="str">
        <f>IFERROR(__xludf.DUMMYFUNCTION("IFERROR(VLOOKUP(D218,
IMPORTRANGE(""https://docs.google.com/spreadsheets/d/1MjHtlUikwobi2MaWJgy7tfLeBmhj1u-dRFRs_8GwSoA/edit#gid=0"",""Gestores Escolares!D7:J""),4,0),""VERIFICAR CÓD SEC"")"),"(75) 9 9966-5253")</f>
        <v>(75) 9 9966-5253</v>
      </c>
      <c r="O218" s="82" t="str">
        <f>IFERROR(__xludf.DUMMYFUNCTION("IFERROR(VLOOKUP(D218,
IMPORTRANGE(""https://docs.google.com/spreadsheets/d/1MjHtlUikwobi2MaWJgy7tfLeBmhj1u-dRFRs_8GwSoA/edit#gid=0"",""Gestores Escolares!D7:J""),6,0),""VERIFICAR CÓD SEC"")"),"ROSANA ISABEL DO R. TELES")</f>
        <v>ROSANA ISABEL DO R. TELES</v>
      </c>
      <c r="P218" s="82" t="str">
        <f>IFERROR(__xludf.DUMMYFUNCTION("IFERROR(VLOOKUP(D218,
IMPORTRANGE(""https://docs.google.com/spreadsheets/d/1MjHtlUikwobi2MaWJgy7tfLeBmhj1u-dRFRs_8GwSoA/edit#gid=0"",""Gestores Escolares!D7:J""),7,0),""VERIFICAR CÓD SEC"")"),"(75) 9 9966-4696")</f>
        <v>(75) 9 9966-4696</v>
      </c>
      <c r="Q218" s="82" t="str">
        <f>IFERROR(__xludf.DUMMYFUNCTION("IFERROR(VLOOKUP(D218,
IMPORTRANGE(""https://docs.google.com/spreadsheets/d/1MjHtlUikwobi2MaWJgy7tfLeBmhj1u-dRFRs_8GwSoA/edit#gid=0"",""Gestores Escolares!D7:m""),9,0),""VERIFICAR CÓD SEC"")"),"MOZART MACEDO XAVIER")</f>
        <v>MOZART MACEDO XAVIER</v>
      </c>
      <c r="R218" s="82" t="str">
        <f>IFERROR(__xludf.DUMMYFUNCTION("IFERROR(VLOOKUP(D218,
IMPORTRANGE(""https://docs.google.com/spreadsheets/d/1MjHtlUikwobi2MaWJgy7tfLeBmhj1u-dRFRs_8GwSoA/edit#gid=0"",""Gestores Escolares!D7:m""),10,0),""VERIFICAR CÓD SEC"")"),"(75) 9 9918-1536")</f>
        <v>(75) 9 9918-1536</v>
      </c>
      <c r="S218" s="82"/>
      <c r="T218" s="138">
        <v>3.0</v>
      </c>
      <c r="U218" s="152">
        <v>3.0</v>
      </c>
      <c r="V218" s="106">
        <v>0.0</v>
      </c>
      <c r="W218" s="107">
        <v>0.0</v>
      </c>
      <c r="X218" s="107">
        <v>0.0</v>
      </c>
      <c r="Y218" s="107">
        <v>0.0</v>
      </c>
      <c r="Z218" s="80">
        <f t="shared" si="1"/>
        <v>0</v>
      </c>
      <c r="AA218" s="106">
        <v>0.0</v>
      </c>
      <c r="AB218" s="107">
        <v>0.0</v>
      </c>
      <c r="AC218" s="107">
        <v>0.0</v>
      </c>
      <c r="AD218" s="107">
        <v>0.0</v>
      </c>
      <c r="AE218" s="80">
        <f t="shared" si="2"/>
        <v>0</v>
      </c>
      <c r="AF218" s="140">
        <v>0.0</v>
      </c>
      <c r="AG218" s="109">
        <v>0.0</v>
      </c>
      <c r="AH218" s="109">
        <v>27.0</v>
      </c>
      <c r="AI218" s="141">
        <v>0.0</v>
      </c>
      <c r="AJ218" s="80">
        <f t="shared" si="3"/>
        <v>27</v>
      </c>
      <c r="AK218" s="140">
        <v>0.0</v>
      </c>
      <c r="AL218" s="109">
        <v>0.0</v>
      </c>
      <c r="AM218" s="141">
        <v>0.0</v>
      </c>
      <c r="AN218" s="80">
        <f t="shared" si="4"/>
        <v>0</v>
      </c>
      <c r="AO218" s="140">
        <v>0.0</v>
      </c>
      <c r="AP218" s="109">
        <v>0.0</v>
      </c>
      <c r="AQ218" s="109">
        <v>0.0</v>
      </c>
      <c r="AR218" s="80">
        <f t="shared" si="5"/>
        <v>0</v>
      </c>
      <c r="AS218" s="110">
        <v>0.0</v>
      </c>
      <c r="AT218" s="110">
        <v>0.0</v>
      </c>
      <c r="AU218" s="110">
        <v>0.0</v>
      </c>
      <c r="AV218" s="142">
        <v>0.0</v>
      </c>
      <c r="AW218" s="80">
        <f t="shared" si="6"/>
        <v>0</v>
      </c>
      <c r="AX218" s="113">
        <f t="shared" si="7"/>
        <v>27</v>
      </c>
      <c r="AY218" s="117">
        <f t="shared" si="8"/>
        <v>0</v>
      </c>
      <c r="AZ218" s="120">
        <f t="shared" si="9"/>
        <v>27</v>
      </c>
      <c r="BA218" s="115">
        <v>0.0</v>
      </c>
      <c r="BB218" s="89">
        <f t="shared" si="10"/>
        <v>27</v>
      </c>
      <c r="BC218" s="132" t="s">
        <v>178</v>
      </c>
      <c r="BD218" s="143" t="s">
        <v>227</v>
      </c>
      <c r="BE218" s="132" t="s">
        <v>178</v>
      </c>
      <c r="BF218" s="156"/>
      <c r="BG218" s="83">
        <v>1179383.0</v>
      </c>
      <c r="BH218" s="112"/>
      <c r="BI218" s="112">
        <v>3.0</v>
      </c>
      <c r="BJ218" s="98" t="s">
        <v>155</v>
      </c>
      <c r="BK218" s="99">
        <f t="shared" si="11"/>
        <v>0</v>
      </c>
      <c r="BL218" s="99">
        <f t="shared" si="12"/>
        <v>0</v>
      </c>
      <c r="BM218" s="99" t="str">
        <f>IFERROR(__xludf.DUMMYFUNCTION("IFERROR(VLOOKUP(BG218,IMPORTRANGE(""https://docs.google.com/spreadsheets/d/1juPI-Fb8LD0YtltB2mlGEnp_R3UVu1t3wSFPzgCyHXE/edit?gid=0#gid=0"",""GERAL!A2:C""),3,0),""-"")"),"-")</f>
        <v>-</v>
      </c>
    </row>
    <row r="219" ht="15.75" customHeight="1">
      <c r="A219" s="111" t="s">
        <v>285</v>
      </c>
      <c r="B219" s="83" t="s">
        <v>966</v>
      </c>
      <c r="C219" s="83" t="s">
        <v>68</v>
      </c>
      <c r="D219" s="112">
        <v>1132565.0</v>
      </c>
      <c r="E219" s="83"/>
      <c r="F219" s="83">
        <v>2.9217768E7</v>
      </c>
      <c r="G219" s="353" t="s">
        <v>3038</v>
      </c>
      <c r="H219" s="91" t="s">
        <v>968</v>
      </c>
      <c r="I219" s="83" t="s">
        <v>149</v>
      </c>
      <c r="J219" s="83" t="s">
        <v>150</v>
      </c>
      <c r="K219" s="83" t="s">
        <v>168</v>
      </c>
      <c r="L219" s="83" t="s">
        <v>76</v>
      </c>
      <c r="M219" s="82" t="str">
        <f>IFERROR(__xludf.DUMMYFUNCTION("IFERROR(VLOOKUP(D219,
IMPORTRANGE(""https://docs.google.com/spreadsheets/d/1MjHtlUikwobi2MaWJgy7tfLeBmhj1u-dRFRs_8GwSoA/edit#gid=0"",""Gestores Escolares!D7:J""),3,0),""VERIFICAR CÓD SEC"")"),"YARA PEREIRA GONCALVES")</f>
        <v>YARA PEREIRA GONCALVES</v>
      </c>
      <c r="N219" s="82" t="str">
        <f>IFERROR(__xludf.DUMMYFUNCTION("IFERROR(VLOOKUP(D219,
IMPORTRANGE(""https://docs.google.com/spreadsheets/d/1MjHtlUikwobi2MaWJgy7tfLeBmhj1u-dRFRs_8GwSoA/edit#gid=0"",""Gestores Escolares!D7:J""),4,0),""VERIFICAR CÓD SEC"")"),"(75) 9 9130-2383")</f>
        <v>(75) 9 9130-2383</v>
      </c>
      <c r="O219" s="82" t="str">
        <f>IFERROR(__xludf.DUMMYFUNCTION("IFERROR(VLOOKUP(D219,
IMPORTRANGE(""https://docs.google.com/spreadsheets/d/1MjHtlUikwobi2MaWJgy7tfLeBmhj1u-dRFRs_8GwSoA/edit#gid=0"",""Gestores Escolares!D7:J""),6,0),""VERIFICAR CÓD SEC"")"),"SUELY COSTA DOS ANJOS")</f>
        <v>SUELY COSTA DOS ANJOS</v>
      </c>
      <c r="P219" s="82" t="str">
        <f>IFERROR(__xludf.DUMMYFUNCTION("IFERROR(VLOOKUP(D219,
IMPORTRANGE(""https://docs.google.com/spreadsheets/d/1MjHtlUikwobi2MaWJgy7tfLeBmhj1u-dRFRs_8GwSoA/edit#gid=0"",""Gestores Escolares!D7:J""),7,0),""VERIFICAR CÓD SEC"")"),"(75) 9 9124-5509")</f>
        <v>(75) 9 9124-5509</v>
      </c>
      <c r="Q219" s="82" t="str">
        <f>IFERROR(__xludf.DUMMYFUNCTION("IFERROR(VLOOKUP(D219,
IMPORTRANGE(""https://docs.google.com/spreadsheets/d/1MjHtlUikwobi2MaWJgy7tfLeBmhj1u-dRFRs_8GwSoA/edit#gid=0"",""Gestores Escolares!D7:m""),9,0),""VERIFICAR CÓD SEC"")"),"")</f>
        <v/>
      </c>
      <c r="R219" s="82" t="str">
        <f>IFERROR(__xludf.DUMMYFUNCTION("IFERROR(VLOOKUP(D219,
IMPORTRANGE(""https://docs.google.com/spreadsheets/d/1MjHtlUikwobi2MaWJgy7tfLeBmhj1u-dRFRs_8GwSoA/edit#gid=0"",""Gestores Escolares!D7:m""),10,0),""VERIFICAR CÓD SEC"")"),"")</f>
        <v/>
      </c>
      <c r="S219" s="82"/>
      <c r="T219" s="138">
        <v>6.0</v>
      </c>
      <c r="U219" s="145" t="s">
        <v>3051</v>
      </c>
      <c r="V219" s="106">
        <v>0.0</v>
      </c>
      <c r="W219" s="107">
        <v>0.0</v>
      </c>
      <c r="X219" s="107">
        <v>0.0</v>
      </c>
      <c r="Y219" s="107">
        <v>0.0</v>
      </c>
      <c r="Z219" s="80">
        <f t="shared" si="1"/>
        <v>0</v>
      </c>
      <c r="AA219" s="106">
        <v>0.0</v>
      </c>
      <c r="AB219" s="107">
        <v>0.0</v>
      </c>
      <c r="AC219" s="107">
        <v>0.0</v>
      </c>
      <c r="AD219" s="107">
        <v>0.0</v>
      </c>
      <c r="AE219" s="80">
        <f t="shared" si="2"/>
        <v>0</v>
      </c>
      <c r="AF219" s="140">
        <v>174.0</v>
      </c>
      <c r="AG219" s="109">
        <v>90.0</v>
      </c>
      <c r="AH219" s="109">
        <v>0.0</v>
      </c>
      <c r="AI219" s="141">
        <v>0.0</v>
      </c>
      <c r="AJ219" s="80">
        <f t="shared" si="3"/>
        <v>264</v>
      </c>
      <c r="AK219" s="140">
        <v>0.0</v>
      </c>
      <c r="AL219" s="109">
        <v>0.0</v>
      </c>
      <c r="AM219" s="141">
        <v>0.0</v>
      </c>
      <c r="AN219" s="80">
        <f t="shared" si="4"/>
        <v>0</v>
      </c>
      <c r="AO219" s="140">
        <v>0.0</v>
      </c>
      <c r="AP219" s="109">
        <v>0.0</v>
      </c>
      <c r="AQ219" s="109">
        <v>52.0</v>
      </c>
      <c r="AR219" s="80">
        <f t="shared" si="5"/>
        <v>52</v>
      </c>
      <c r="AS219" s="110">
        <v>0.0</v>
      </c>
      <c r="AT219" s="110">
        <v>0.0</v>
      </c>
      <c r="AU219" s="110">
        <v>28.0</v>
      </c>
      <c r="AV219" s="142">
        <v>0.0</v>
      </c>
      <c r="AW219" s="80">
        <f t="shared" si="6"/>
        <v>28</v>
      </c>
      <c r="AX219" s="113">
        <f t="shared" si="7"/>
        <v>344</v>
      </c>
      <c r="AY219" s="117">
        <f t="shared" si="8"/>
        <v>264</v>
      </c>
      <c r="AZ219" s="120">
        <f t="shared" si="9"/>
        <v>80</v>
      </c>
      <c r="BA219" s="115">
        <v>0.0</v>
      </c>
      <c r="BB219" s="89">
        <f t="shared" si="10"/>
        <v>344</v>
      </c>
      <c r="BC219" s="132" t="s">
        <v>178</v>
      </c>
      <c r="BD219" s="132" t="s">
        <v>178</v>
      </c>
      <c r="BE219" s="132" t="s">
        <v>178</v>
      </c>
      <c r="BF219" s="156"/>
      <c r="BG219" s="83">
        <v>1132565.0</v>
      </c>
      <c r="BH219" s="112"/>
      <c r="BI219" s="112">
        <v>6.0</v>
      </c>
      <c r="BJ219" s="98" t="s">
        <v>155</v>
      </c>
      <c r="BK219" s="99">
        <f t="shared" si="11"/>
        <v>0</v>
      </c>
      <c r="BL219" s="99">
        <f t="shared" si="12"/>
        <v>264</v>
      </c>
      <c r="BM219" s="99" t="str">
        <f>IFERROR(__xludf.DUMMYFUNCTION("IFERROR(VLOOKUP(BG219,IMPORTRANGE(""https://docs.google.com/spreadsheets/d/1juPI-Fb8LD0YtltB2mlGEnp_R3UVu1t3wSFPzgCyHXE/edit?gid=0#gid=0"",""GERAL!A2:C""),3,0),""-"")"),"-")</f>
        <v>-</v>
      </c>
    </row>
    <row r="220" ht="15.75" customHeight="1">
      <c r="A220" s="111" t="s">
        <v>285</v>
      </c>
      <c r="B220" s="83" t="s">
        <v>966</v>
      </c>
      <c r="C220" s="83" t="s">
        <v>164</v>
      </c>
      <c r="D220" s="112">
        <v>1132565.0</v>
      </c>
      <c r="E220" s="83">
        <v>1178966.0</v>
      </c>
      <c r="F220" s="98">
        <v>2.9493021E7</v>
      </c>
      <c r="G220" s="147" t="s">
        <v>970</v>
      </c>
      <c r="H220" s="91" t="s">
        <v>971</v>
      </c>
      <c r="I220" s="83" t="s">
        <v>149</v>
      </c>
      <c r="J220" s="83" t="s">
        <v>751</v>
      </c>
      <c r="K220" s="83" t="s">
        <v>168</v>
      </c>
      <c r="L220" s="83" t="s">
        <v>169</v>
      </c>
      <c r="M220" s="82" t="str">
        <f>IFERROR(__xludf.DUMMYFUNCTION("IFERROR(VLOOKUP(D220,
IMPORTRANGE(""https://docs.google.com/spreadsheets/d/1MjHtlUikwobi2MaWJgy7tfLeBmhj1u-dRFRs_8GwSoA/edit#gid=0"",""Gestores Escolares!D7:J""),3,0),""VERIFICAR CÓD SEC"")"),"YARA PEREIRA GONCALVES")</f>
        <v>YARA PEREIRA GONCALVES</v>
      </c>
      <c r="N220" s="82" t="str">
        <f>IFERROR(__xludf.DUMMYFUNCTION("IFERROR(VLOOKUP(D220,
IMPORTRANGE(""https://docs.google.com/spreadsheets/d/1MjHtlUikwobi2MaWJgy7tfLeBmhj1u-dRFRs_8GwSoA/edit#gid=0"",""Gestores Escolares!D7:J""),4,0),""VERIFICAR CÓD SEC"")"),"(75) 9 9130-2383")</f>
        <v>(75) 9 9130-2383</v>
      </c>
      <c r="O220" s="82" t="str">
        <f>IFERROR(__xludf.DUMMYFUNCTION("IFERROR(VLOOKUP(D220,
IMPORTRANGE(""https://docs.google.com/spreadsheets/d/1MjHtlUikwobi2MaWJgy7tfLeBmhj1u-dRFRs_8GwSoA/edit#gid=0"",""Gestores Escolares!D7:J""),6,0),""VERIFICAR CÓD SEC"")"),"SUELY COSTA DOS ANJOS")</f>
        <v>SUELY COSTA DOS ANJOS</v>
      </c>
      <c r="P220" s="82" t="str">
        <f>IFERROR(__xludf.DUMMYFUNCTION("IFERROR(VLOOKUP(D220,
IMPORTRANGE(""https://docs.google.com/spreadsheets/d/1MjHtlUikwobi2MaWJgy7tfLeBmhj1u-dRFRs_8GwSoA/edit#gid=0"",""Gestores Escolares!D7:J""),7,0),""VERIFICAR CÓD SEC"")"),"(75) 9 9124-5509")</f>
        <v>(75) 9 9124-5509</v>
      </c>
      <c r="Q220" s="82" t="str">
        <f>IFERROR(__xludf.DUMMYFUNCTION("IFERROR(VLOOKUP(D220,
IMPORTRANGE(""https://docs.google.com/spreadsheets/d/1MjHtlUikwobi2MaWJgy7tfLeBmhj1u-dRFRs_8GwSoA/edit#gid=0"",""Gestores Escolares!D7:m""),9,0),""VERIFICAR CÓD SEC"")"),"")</f>
        <v/>
      </c>
      <c r="R220" s="82" t="str">
        <f>IFERROR(__xludf.DUMMYFUNCTION("IFERROR(VLOOKUP(D220,
IMPORTRANGE(""https://docs.google.com/spreadsheets/d/1MjHtlUikwobi2MaWJgy7tfLeBmhj1u-dRFRs_8GwSoA/edit#gid=0"",""Gestores Escolares!D7:m""),10,0),""VERIFICAR CÓD SEC"")"),"")</f>
        <v/>
      </c>
      <c r="S220" s="82"/>
      <c r="T220" s="138">
        <v>3.0</v>
      </c>
      <c r="U220" s="139">
        <v>3.0</v>
      </c>
      <c r="V220" s="106">
        <v>0.0</v>
      </c>
      <c r="W220" s="107">
        <v>0.0</v>
      </c>
      <c r="X220" s="107">
        <v>0.0</v>
      </c>
      <c r="Y220" s="107">
        <v>0.0</v>
      </c>
      <c r="Z220" s="80">
        <f t="shared" si="1"/>
        <v>0</v>
      </c>
      <c r="AA220" s="106">
        <v>0.0</v>
      </c>
      <c r="AB220" s="107">
        <v>0.0</v>
      </c>
      <c r="AC220" s="107">
        <v>0.0</v>
      </c>
      <c r="AD220" s="107">
        <v>0.0</v>
      </c>
      <c r="AE220" s="80">
        <f t="shared" si="2"/>
        <v>0</v>
      </c>
      <c r="AF220" s="109">
        <v>71.0</v>
      </c>
      <c r="AG220" s="109">
        <v>0.0</v>
      </c>
      <c r="AH220" s="109">
        <v>0.0</v>
      </c>
      <c r="AI220" s="109">
        <v>0.0</v>
      </c>
      <c r="AJ220" s="80">
        <f t="shared" si="3"/>
        <v>71</v>
      </c>
      <c r="AK220" s="140">
        <v>0.0</v>
      </c>
      <c r="AL220" s="109">
        <v>0.0</v>
      </c>
      <c r="AM220" s="141">
        <v>0.0</v>
      </c>
      <c r="AN220" s="80">
        <f t="shared" si="4"/>
        <v>0</v>
      </c>
      <c r="AO220" s="140">
        <v>0.0</v>
      </c>
      <c r="AP220" s="109">
        <v>0.0</v>
      </c>
      <c r="AQ220" s="109">
        <v>0.0</v>
      </c>
      <c r="AR220" s="80">
        <f t="shared" si="5"/>
        <v>0</v>
      </c>
      <c r="AS220" s="110">
        <v>0.0</v>
      </c>
      <c r="AT220" s="110">
        <v>0.0</v>
      </c>
      <c r="AU220" s="110">
        <v>0.0</v>
      </c>
      <c r="AV220" s="110">
        <v>0.0</v>
      </c>
      <c r="AW220" s="80">
        <f t="shared" si="6"/>
        <v>0</v>
      </c>
      <c r="AX220" s="113">
        <f t="shared" si="7"/>
        <v>71</v>
      </c>
      <c r="AY220" s="117">
        <f t="shared" si="8"/>
        <v>71</v>
      </c>
      <c r="AZ220" s="120">
        <f t="shared" si="9"/>
        <v>0</v>
      </c>
      <c r="BA220" s="115">
        <v>0.0</v>
      </c>
      <c r="BB220" s="89">
        <f t="shared" si="10"/>
        <v>71</v>
      </c>
      <c r="BC220" s="132" t="s">
        <v>178</v>
      </c>
      <c r="BD220" s="132" t="s">
        <v>178</v>
      </c>
      <c r="BE220" s="132" t="s">
        <v>178</v>
      </c>
      <c r="BF220" s="123"/>
      <c r="BG220" s="83">
        <v>1178966.0</v>
      </c>
      <c r="BH220" s="112"/>
      <c r="BI220" s="112">
        <v>3.0</v>
      </c>
      <c r="BJ220" s="98" t="s">
        <v>155</v>
      </c>
      <c r="BK220" s="99">
        <f t="shared" si="11"/>
        <v>0</v>
      </c>
      <c r="BL220" s="99">
        <f t="shared" si="12"/>
        <v>71</v>
      </c>
      <c r="BM220" s="99" t="str">
        <f>IFERROR(__xludf.DUMMYFUNCTION("IFERROR(VLOOKUP(BG220,IMPORTRANGE(""https://docs.google.com/spreadsheets/d/1juPI-Fb8LD0YtltB2mlGEnp_R3UVu1t3wSFPzgCyHXE/edit?gid=0#gid=0"",""GERAL!A2:C""),3,0),""-"")"),"-")</f>
        <v>-</v>
      </c>
    </row>
    <row r="221" ht="15.75" customHeight="1">
      <c r="A221" s="111" t="s">
        <v>285</v>
      </c>
      <c r="B221" s="83" t="s">
        <v>972</v>
      </c>
      <c r="C221" s="83" t="s">
        <v>68</v>
      </c>
      <c r="D221" s="112">
        <v>1179483.0</v>
      </c>
      <c r="E221" s="83"/>
      <c r="F221" s="83">
        <v>2.946787E7</v>
      </c>
      <c r="G221" s="147" t="s">
        <v>974</v>
      </c>
      <c r="H221" s="91" t="s">
        <v>975</v>
      </c>
      <c r="I221" s="83" t="s">
        <v>976</v>
      </c>
      <c r="J221" s="83" t="s">
        <v>331</v>
      </c>
      <c r="K221" s="83" t="s">
        <v>151</v>
      </c>
      <c r="L221" s="83" t="s">
        <v>169</v>
      </c>
      <c r="M221" s="82" t="str">
        <f>IFERROR(__xludf.DUMMYFUNCTION("IFERROR(VLOOKUP(D221,
IMPORTRANGE(""https://docs.google.com/spreadsheets/d/1MjHtlUikwobi2MaWJgy7tfLeBmhj1u-dRFRs_8GwSoA/edit#gid=0"",""Gestores Escolares!D7:J""),3,0),""VERIFICAR CÓD SEC"")"),"TERESA REGINA DOS SANTOS MATTOS")</f>
        <v>TERESA REGINA DOS SANTOS MATTOS</v>
      </c>
      <c r="N221" s="82" t="str">
        <f>IFERROR(__xludf.DUMMYFUNCTION("IFERROR(VLOOKUP(D221,
IMPORTRANGE(""https://docs.google.com/spreadsheets/d/1MjHtlUikwobi2MaWJgy7tfLeBmhj1u-dRFRs_8GwSoA/edit#gid=0"",""Gestores Escolares!D7:J""),4,0),""VERIFICAR CÓD SEC"")")," (71) 9 8328-1551")</f>
        <v> (71) 9 8328-1551</v>
      </c>
      <c r="O221" s="82" t="str">
        <f>IFERROR(__xludf.DUMMYFUNCTION("IFERROR(VLOOKUP(D221,
IMPORTRANGE(""https://docs.google.com/spreadsheets/d/1MjHtlUikwobi2MaWJgy7tfLeBmhj1u-dRFRs_8GwSoA/edit#gid=0"",""Gestores Escolares!D7:J""),6,0),""VERIFICAR CÓD SEC"")"),"
")</f>
        <v>
</v>
      </c>
      <c r="P221" s="82" t="str">
        <f>IFERROR(__xludf.DUMMYFUNCTION("IFERROR(VLOOKUP(D221,
IMPORTRANGE(""https://docs.google.com/spreadsheets/d/1MjHtlUikwobi2MaWJgy7tfLeBmhj1u-dRFRs_8GwSoA/edit#gid=0"",""Gestores Escolares!D7:J""),7,0),""VERIFICAR CÓD SEC"")"),"")</f>
        <v/>
      </c>
      <c r="Q221" s="82" t="str">
        <f>IFERROR(__xludf.DUMMYFUNCTION("IFERROR(VLOOKUP(D221,
IMPORTRANGE(""https://docs.google.com/spreadsheets/d/1MjHtlUikwobi2MaWJgy7tfLeBmhj1u-dRFRs_8GwSoA/edit#gid=0"",""Gestores Escolares!D7:m""),9,0),""VERIFICAR CÓD SEC"")"),"")</f>
        <v/>
      </c>
      <c r="R221" s="82" t="str">
        <f>IFERROR(__xludf.DUMMYFUNCTION("IFERROR(VLOOKUP(D221,
IMPORTRANGE(""https://docs.google.com/spreadsheets/d/1MjHtlUikwobi2MaWJgy7tfLeBmhj1u-dRFRs_8GwSoA/edit#gid=0"",""Gestores Escolares!D7:m""),10,0),""VERIFICAR CÓD SEC"")"),"")</f>
        <v/>
      </c>
      <c r="S221" s="82"/>
      <c r="T221" s="138">
        <v>4.0</v>
      </c>
      <c r="U221" s="145" t="s">
        <v>3086</v>
      </c>
      <c r="V221" s="106">
        <v>0.0</v>
      </c>
      <c r="W221" s="107">
        <v>0.0</v>
      </c>
      <c r="X221" s="107">
        <v>0.0</v>
      </c>
      <c r="Y221" s="107">
        <v>0.0</v>
      </c>
      <c r="Z221" s="80">
        <f t="shared" si="1"/>
        <v>0</v>
      </c>
      <c r="AA221" s="106">
        <v>0.0</v>
      </c>
      <c r="AB221" s="107">
        <v>0.0</v>
      </c>
      <c r="AC221" s="107">
        <v>0.0</v>
      </c>
      <c r="AD221" s="107">
        <v>0.0</v>
      </c>
      <c r="AE221" s="80">
        <f t="shared" si="2"/>
        <v>0</v>
      </c>
      <c r="AF221" s="140">
        <v>88.0</v>
      </c>
      <c r="AG221" s="109">
        <v>65.0</v>
      </c>
      <c r="AH221" s="109">
        <v>0.0</v>
      </c>
      <c r="AI221" s="141">
        <v>0.0</v>
      </c>
      <c r="AJ221" s="80">
        <f t="shared" si="3"/>
        <v>153</v>
      </c>
      <c r="AK221" s="140">
        <v>0.0</v>
      </c>
      <c r="AL221" s="109">
        <v>0.0</v>
      </c>
      <c r="AM221" s="141">
        <v>0.0</v>
      </c>
      <c r="AN221" s="80">
        <f t="shared" si="4"/>
        <v>0</v>
      </c>
      <c r="AO221" s="140">
        <v>0.0</v>
      </c>
      <c r="AP221" s="109">
        <v>0.0</v>
      </c>
      <c r="AQ221" s="109">
        <v>18.0</v>
      </c>
      <c r="AR221" s="80">
        <f t="shared" si="5"/>
        <v>18</v>
      </c>
      <c r="AS221" s="110">
        <v>0.0</v>
      </c>
      <c r="AT221" s="110">
        <v>0.0</v>
      </c>
      <c r="AU221" s="110">
        <v>0.0</v>
      </c>
      <c r="AV221" s="142">
        <v>0.0</v>
      </c>
      <c r="AW221" s="80">
        <f t="shared" si="6"/>
        <v>0</v>
      </c>
      <c r="AX221" s="113">
        <f t="shared" si="7"/>
        <v>171</v>
      </c>
      <c r="AY221" s="117">
        <f t="shared" si="8"/>
        <v>153</v>
      </c>
      <c r="AZ221" s="120">
        <f t="shared" si="9"/>
        <v>18</v>
      </c>
      <c r="BA221" s="115">
        <v>0.0</v>
      </c>
      <c r="BB221" s="89">
        <f t="shared" si="10"/>
        <v>171</v>
      </c>
      <c r="BC221" s="132" t="s">
        <v>373</v>
      </c>
      <c r="BD221" s="132" t="s">
        <v>178</v>
      </c>
      <c r="BE221" s="132" t="s">
        <v>178</v>
      </c>
      <c r="BF221" s="156"/>
      <c r="BG221" s="83">
        <v>1179483.0</v>
      </c>
      <c r="BH221" s="112"/>
      <c r="BI221" s="112">
        <v>3.0</v>
      </c>
      <c r="BJ221" s="98" t="s">
        <v>155</v>
      </c>
      <c r="BK221" s="99">
        <f t="shared" si="11"/>
        <v>0</v>
      </c>
      <c r="BL221" s="99">
        <f t="shared" si="12"/>
        <v>153</v>
      </c>
      <c r="BM221" s="99" t="str">
        <f>IFERROR(__xludf.DUMMYFUNCTION("IFERROR(VLOOKUP(BG221,IMPORTRANGE(""https://docs.google.com/spreadsheets/d/1juPI-Fb8LD0YtltB2mlGEnp_R3UVu1t3wSFPzgCyHXE/edit?gid=0#gid=0"",""GERAL!A2:C""),3,0),""-"")"),"CAMPO")</f>
        <v>CAMPO</v>
      </c>
    </row>
    <row r="222" ht="15.75" customHeight="1">
      <c r="A222" s="111" t="s">
        <v>285</v>
      </c>
      <c r="B222" s="172" t="s">
        <v>972</v>
      </c>
      <c r="C222" s="83" t="s">
        <v>68</v>
      </c>
      <c r="D222" s="112">
        <v>1179708.0</v>
      </c>
      <c r="E222" s="83"/>
      <c r="F222" s="98">
        <v>2.9483891E7</v>
      </c>
      <c r="G222" s="187" t="s">
        <v>979</v>
      </c>
      <c r="H222" s="91" t="s">
        <v>980</v>
      </c>
      <c r="I222" s="136" t="s">
        <v>981</v>
      </c>
      <c r="J222" s="98" t="s">
        <v>464</v>
      </c>
      <c r="K222" s="98" t="s">
        <v>151</v>
      </c>
      <c r="L222" s="83" t="s">
        <v>169</v>
      </c>
      <c r="M222" s="82" t="str">
        <f>IFERROR(__xludf.DUMMYFUNCTION("IFERROR(VLOOKUP(D222,
IMPORTRANGE(""https://docs.google.com/spreadsheets/d/1MjHtlUikwobi2MaWJgy7tfLeBmhj1u-dRFRs_8GwSoA/edit#gid=0"",""Gestores Escolares!D7:J""),3,0),""VERIFICAR CÓD SEC"")"),"SABRINA KAREN OLIVEIRA SOUZA ARAUJO")</f>
        <v>SABRINA KAREN OLIVEIRA SOUZA ARAUJO</v>
      </c>
      <c r="N222" s="82" t="str">
        <f>IFERROR(__xludf.DUMMYFUNCTION("IFERROR(VLOOKUP(D222,
IMPORTRANGE(""https://docs.google.com/spreadsheets/d/1MjHtlUikwobi2MaWJgy7tfLeBmhj1u-dRFRs_8GwSoA/edit#gid=0"",""Gestores Escolares!D7:J""),4,0),""VERIFICAR CÓD SEC"")"),"(75) 9 9127-5991")</f>
        <v>(75) 9 9127-5991</v>
      </c>
      <c r="O222" s="82" t="str">
        <f>IFERROR(__xludf.DUMMYFUNCTION("IFERROR(VLOOKUP(D222,
IMPORTRANGE(""https://docs.google.com/spreadsheets/d/1MjHtlUikwobi2MaWJgy7tfLeBmhj1u-dRFRs_8GwSoA/edit#gid=0"",""Gestores Escolares!D7:J""),6,0),""VERIFICAR CÓD SEC"")"),"RENATO MOURA HERCULANO")</f>
        <v>RENATO MOURA HERCULANO</v>
      </c>
      <c r="P222" s="82" t="str">
        <f>IFERROR(__xludf.DUMMYFUNCTION("IFERROR(VLOOKUP(D222,
IMPORTRANGE(""https://docs.google.com/spreadsheets/d/1MjHtlUikwobi2MaWJgy7tfLeBmhj1u-dRFRs_8GwSoA/edit#gid=0"",""Gestores Escolares!D7:J""),7,0),""VERIFICAR CÓD SEC"")"),"(77) 93301-5706 (ZAP COMERCIAL)")</f>
        <v>(77) 93301-5706 (ZAP COMERCIAL)</v>
      </c>
      <c r="Q222" s="82" t="str">
        <f>IFERROR(__xludf.DUMMYFUNCTION("IFERROR(VLOOKUP(D222,
IMPORTRANGE(""https://docs.google.com/spreadsheets/d/1MjHtlUikwobi2MaWJgy7tfLeBmhj1u-dRFRs_8GwSoA/edit#gid=0"",""Gestores Escolares!D7:m""),9,0),""VERIFICAR CÓD SEC"")"),"")</f>
        <v/>
      </c>
      <c r="R222" s="82" t="str">
        <f>IFERROR(__xludf.DUMMYFUNCTION("IFERROR(VLOOKUP(D222,
IMPORTRANGE(""https://docs.google.com/spreadsheets/d/1MjHtlUikwobi2MaWJgy7tfLeBmhj1u-dRFRs_8GwSoA/edit#gid=0"",""Gestores Escolares!D7:m""),10,0),""VERIFICAR CÓD SEC"")"),"")</f>
        <v/>
      </c>
      <c r="S222" s="82"/>
      <c r="T222" s="138">
        <v>4.0</v>
      </c>
      <c r="U222" s="145" t="s">
        <v>3109</v>
      </c>
      <c r="V222" s="106">
        <v>0.0</v>
      </c>
      <c r="W222" s="107">
        <v>0.0</v>
      </c>
      <c r="X222" s="107">
        <v>0.0</v>
      </c>
      <c r="Y222" s="107">
        <v>0.0</v>
      </c>
      <c r="Z222" s="80">
        <f t="shared" si="1"/>
        <v>0</v>
      </c>
      <c r="AA222" s="106">
        <v>0.0</v>
      </c>
      <c r="AB222" s="107">
        <v>0.0</v>
      </c>
      <c r="AC222" s="107">
        <v>0.0</v>
      </c>
      <c r="AD222" s="107">
        <v>0.0</v>
      </c>
      <c r="AE222" s="80">
        <f t="shared" si="2"/>
        <v>0</v>
      </c>
      <c r="AF222" s="140">
        <v>112.0</v>
      </c>
      <c r="AG222" s="109">
        <v>85.0</v>
      </c>
      <c r="AH222" s="109">
        <v>0.0</v>
      </c>
      <c r="AI222" s="141">
        <v>0.0</v>
      </c>
      <c r="AJ222" s="80">
        <f t="shared" si="3"/>
        <v>197</v>
      </c>
      <c r="AK222" s="140">
        <v>0.0</v>
      </c>
      <c r="AL222" s="109">
        <v>0.0</v>
      </c>
      <c r="AM222" s="141">
        <v>0.0</v>
      </c>
      <c r="AN222" s="80">
        <f t="shared" si="4"/>
        <v>0</v>
      </c>
      <c r="AO222" s="140">
        <v>0.0</v>
      </c>
      <c r="AP222" s="109">
        <v>0.0</v>
      </c>
      <c r="AQ222" s="109">
        <v>11.0</v>
      </c>
      <c r="AR222" s="80">
        <f t="shared" si="5"/>
        <v>11</v>
      </c>
      <c r="AS222" s="110">
        <v>0.0</v>
      </c>
      <c r="AT222" s="110">
        <v>0.0</v>
      </c>
      <c r="AU222" s="110">
        <v>0.0</v>
      </c>
      <c r="AV222" s="142">
        <v>0.0</v>
      </c>
      <c r="AW222" s="80">
        <f t="shared" si="6"/>
        <v>0</v>
      </c>
      <c r="AX222" s="113">
        <f t="shared" si="7"/>
        <v>208</v>
      </c>
      <c r="AY222" s="117">
        <f t="shared" si="8"/>
        <v>197</v>
      </c>
      <c r="AZ222" s="120">
        <f t="shared" si="9"/>
        <v>11</v>
      </c>
      <c r="BA222" s="115">
        <v>0.0</v>
      </c>
      <c r="BB222" s="89">
        <f t="shared" si="10"/>
        <v>208</v>
      </c>
      <c r="BC222" s="132" t="s">
        <v>178</v>
      </c>
      <c r="BD222" s="132" t="s">
        <v>178</v>
      </c>
      <c r="BE222" s="132" t="s">
        <v>178</v>
      </c>
      <c r="BF222" s="156"/>
      <c r="BG222" s="83">
        <v>1179708.0</v>
      </c>
      <c r="BH222" s="112"/>
      <c r="BI222" s="112">
        <v>4.0</v>
      </c>
      <c r="BJ222" s="98" t="s">
        <v>155</v>
      </c>
      <c r="BK222" s="99">
        <f t="shared" si="11"/>
        <v>0</v>
      </c>
      <c r="BL222" s="99">
        <f t="shared" si="12"/>
        <v>197</v>
      </c>
      <c r="BM222" s="99" t="str">
        <f>IFERROR(__xludf.DUMMYFUNCTION("IFERROR(VLOOKUP(BG222,IMPORTRANGE(""https://docs.google.com/spreadsheets/d/1juPI-Fb8LD0YtltB2mlGEnp_R3UVu1t3wSFPzgCyHXE/edit?gid=0#gid=0"",""GERAL!A2:C""),3,0),""-"")"),"-")</f>
        <v>-</v>
      </c>
    </row>
    <row r="223" ht="15.75" customHeight="1">
      <c r="A223" s="111" t="s">
        <v>285</v>
      </c>
      <c r="B223" s="83" t="s">
        <v>972</v>
      </c>
      <c r="C223" s="83" t="s">
        <v>68</v>
      </c>
      <c r="D223" s="112">
        <v>1132794.0</v>
      </c>
      <c r="E223" s="83"/>
      <c r="F223" s="83">
        <v>2.9218489E7</v>
      </c>
      <c r="G223" s="147" t="s">
        <v>3120</v>
      </c>
      <c r="H223" s="91" t="s">
        <v>984</v>
      </c>
      <c r="I223" s="83" t="s">
        <v>149</v>
      </c>
      <c r="J223" s="83" t="s">
        <v>150</v>
      </c>
      <c r="K223" s="83" t="s">
        <v>151</v>
      </c>
      <c r="L223" s="83" t="s">
        <v>76</v>
      </c>
      <c r="M223" s="82" t="str">
        <f>IFERROR(__xludf.DUMMYFUNCTION("IFERROR(VLOOKUP(D223,
IMPORTRANGE(""https://docs.google.com/spreadsheets/d/1MjHtlUikwobi2MaWJgy7tfLeBmhj1u-dRFRs_8GwSoA/edit#gid=0"",""Gestores Escolares!D7:J""),3,0),""VERIFICAR CÓD SEC"")"),"ANDRE LULA MACIEL")</f>
        <v>ANDRE LULA MACIEL</v>
      </c>
      <c r="N223" s="82" t="str">
        <f>IFERROR(__xludf.DUMMYFUNCTION("IFERROR(VLOOKUP(D223,
IMPORTRANGE(""https://docs.google.com/spreadsheets/d/1MjHtlUikwobi2MaWJgy7tfLeBmhj1u-dRFRs_8GwSoA/edit#gid=0"",""Gestores Escolares!D7:J""),4,0),""VERIFICAR CÓD SEC"")"),"(77) 9 8169-7001")</f>
        <v>(77) 9 8169-7001</v>
      </c>
      <c r="O223" s="82" t="str">
        <f>IFERROR(__xludf.DUMMYFUNCTION("IFERROR(VLOOKUP(D223,
IMPORTRANGE(""https://docs.google.com/spreadsheets/d/1MjHtlUikwobi2MaWJgy7tfLeBmhj1u-dRFRs_8GwSoA/edit#gid=0"",""Gestores Escolares!D7:J""),6,0),""VERIFICAR CÓD SEC"")"),"PAULA LULA XAVIER MARTINS")</f>
        <v>PAULA LULA XAVIER MARTINS</v>
      </c>
      <c r="P223" s="82" t="str">
        <f>IFERROR(__xludf.DUMMYFUNCTION("IFERROR(VLOOKUP(D223,
IMPORTRANGE(""https://docs.google.com/spreadsheets/d/1MjHtlUikwobi2MaWJgy7tfLeBmhj1u-dRFRs_8GwSoA/edit#gid=0"",""Gestores Escolares!D7:J""),7,0),""VERIFICAR CÓD SEC"")"),"(77) 9 8115-4454/
9 9137-4393")</f>
        <v>(77) 9 8115-4454/
9 9137-4393</v>
      </c>
      <c r="Q223" s="82" t="str">
        <f>IFERROR(__xludf.DUMMYFUNCTION("IFERROR(VLOOKUP(D223,
IMPORTRANGE(""https://docs.google.com/spreadsheets/d/1MjHtlUikwobi2MaWJgy7tfLeBmhj1u-dRFRs_8GwSoA/edit#gid=0"",""Gestores Escolares!D7:m""),9,0),""VERIFICAR CÓD SEC"")"),"")</f>
        <v/>
      </c>
      <c r="R223" s="82" t="str">
        <f>IFERROR(__xludf.DUMMYFUNCTION("IFERROR(VLOOKUP(D223,
IMPORTRANGE(""https://docs.google.com/spreadsheets/d/1MjHtlUikwobi2MaWJgy7tfLeBmhj1u-dRFRs_8GwSoA/edit#gid=0"",""Gestores Escolares!D7:m""),10,0),""VERIFICAR CÓD SEC"")"),"")</f>
        <v/>
      </c>
      <c r="S223" s="82"/>
      <c r="T223" s="138">
        <v>8.0</v>
      </c>
      <c r="U223" s="145" t="s">
        <v>3128</v>
      </c>
      <c r="V223" s="106">
        <v>0.0</v>
      </c>
      <c r="W223" s="107">
        <v>0.0</v>
      </c>
      <c r="X223" s="107">
        <v>0.0</v>
      </c>
      <c r="Y223" s="107">
        <v>0.0</v>
      </c>
      <c r="Z223" s="80">
        <f t="shared" si="1"/>
        <v>0</v>
      </c>
      <c r="AA223" s="106">
        <v>0.0</v>
      </c>
      <c r="AB223" s="107">
        <v>0.0</v>
      </c>
      <c r="AC223" s="107">
        <v>0.0</v>
      </c>
      <c r="AD223" s="107">
        <v>0.0</v>
      </c>
      <c r="AE223" s="80">
        <f t="shared" si="2"/>
        <v>0</v>
      </c>
      <c r="AF223" s="140">
        <v>87.0</v>
      </c>
      <c r="AG223" s="109">
        <v>67.0</v>
      </c>
      <c r="AH223" s="109">
        <v>0.0</v>
      </c>
      <c r="AI223" s="141">
        <v>194.0</v>
      </c>
      <c r="AJ223" s="80">
        <f t="shared" si="3"/>
        <v>348</v>
      </c>
      <c r="AK223" s="140">
        <v>0.0</v>
      </c>
      <c r="AL223" s="109">
        <v>0.0</v>
      </c>
      <c r="AM223" s="141">
        <v>0.0</v>
      </c>
      <c r="AN223" s="80">
        <f t="shared" si="4"/>
        <v>0</v>
      </c>
      <c r="AO223" s="140">
        <v>0.0</v>
      </c>
      <c r="AP223" s="109">
        <v>0.0</v>
      </c>
      <c r="AQ223" s="109">
        <v>68.0</v>
      </c>
      <c r="AR223" s="80">
        <f t="shared" si="5"/>
        <v>68</v>
      </c>
      <c r="AS223" s="110">
        <v>0.0</v>
      </c>
      <c r="AT223" s="110">
        <v>53.0</v>
      </c>
      <c r="AU223" s="110">
        <v>0.0</v>
      </c>
      <c r="AV223" s="142">
        <v>0.0</v>
      </c>
      <c r="AW223" s="80">
        <f t="shared" si="6"/>
        <v>53</v>
      </c>
      <c r="AX223" s="113">
        <f t="shared" si="7"/>
        <v>469</v>
      </c>
      <c r="AY223" s="117">
        <f t="shared" si="8"/>
        <v>401</v>
      </c>
      <c r="AZ223" s="120">
        <f t="shared" si="9"/>
        <v>68</v>
      </c>
      <c r="BA223" s="115">
        <v>0.0</v>
      </c>
      <c r="BB223" s="89">
        <f t="shared" si="10"/>
        <v>469</v>
      </c>
      <c r="BC223" s="132" t="s">
        <v>178</v>
      </c>
      <c r="BD223" s="132" t="s">
        <v>178</v>
      </c>
      <c r="BE223" s="132" t="s">
        <v>178</v>
      </c>
      <c r="BF223" s="156"/>
      <c r="BG223" s="83">
        <v>1132794.0</v>
      </c>
      <c r="BH223" s="112"/>
      <c r="BI223" s="112">
        <v>10.0</v>
      </c>
      <c r="BJ223" s="98" t="s">
        <v>284</v>
      </c>
      <c r="BK223" s="99">
        <f t="shared" si="11"/>
        <v>194</v>
      </c>
      <c r="BL223" s="99">
        <f t="shared" si="12"/>
        <v>207</v>
      </c>
      <c r="BM223" s="99" t="str">
        <f>IFERROR(__xludf.DUMMYFUNCTION("IFERROR(VLOOKUP(BG223,IMPORTRANGE(""https://docs.google.com/spreadsheets/d/1juPI-Fb8LD0YtltB2mlGEnp_R3UVu1t3wSFPzgCyHXE/edit?gid=0#gid=0"",""GERAL!A2:C""),3,0),""-"")"),"-")</f>
        <v>-</v>
      </c>
    </row>
    <row r="224" ht="15.75" customHeight="1">
      <c r="A224" s="111" t="s">
        <v>285</v>
      </c>
      <c r="B224" s="83" t="s">
        <v>988</v>
      </c>
      <c r="C224" s="83" t="s">
        <v>68</v>
      </c>
      <c r="D224" s="112">
        <v>1167997.0</v>
      </c>
      <c r="E224" s="83"/>
      <c r="F224" s="83">
        <v>2.9219841E7</v>
      </c>
      <c r="G224" s="119" t="s">
        <v>989</v>
      </c>
      <c r="H224" s="91" t="s">
        <v>990</v>
      </c>
      <c r="I224" s="83" t="s">
        <v>991</v>
      </c>
      <c r="J224" s="83" t="s">
        <v>992</v>
      </c>
      <c r="K224" s="83" t="s">
        <v>151</v>
      </c>
      <c r="L224" s="83" t="s">
        <v>169</v>
      </c>
      <c r="M224" s="82" t="str">
        <f>IFERROR(__xludf.DUMMYFUNCTION("IFERROR(VLOOKUP(D224,
IMPORTRANGE(""https://docs.google.com/spreadsheets/d/1MjHtlUikwobi2MaWJgy7tfLeBmhj1u-dRFRs_8GwSoA/edit#gid=0"",""Gestores Escolares!D7:J""),3,0),""VERIFICAR CÓD SEC"")"),"GINETON SANTOS SOUZA")</f>
        <v>GINETON SANTOS SOUZA</v>
      </c>
      <c r="N224" s="82" t="str">
        <f>IFERROR(__xludf.DUMMYFUNCTION("IFERROR(VLOOKUP(D224,
IMPORTRANGE(""https://docs.google.com/spreadsheets/d/1MjHtlUikwobi2MaWJgy7tfLeBmhj1u-dRFRs_8GwSoA/edit#gid=0"",""Gestores Escolares!D7:J""),4,0),""VERIFICAR CÓD SEC"")"),"(77) 9 8128-8823")</f>
        <v>(77) 9 8128-8823</v>
      </c>
      <c r="O224" s="82" t="str">
        <f>IFERROR(__xludf.DUMMYFUNCTION("IFERROR(VLOOKUP(D224,
IMPORTRANGE(""https://docs.google.com/spreadsheets/d/1MjHtlUikwobi2MaWJgy7tfLeBmhj1u-dRFRs_8GwSoA/edit#gid=0"",""Gestores Escolares!D7:J""),6,0),""VERIFICAR CÓD SEC"")"),"JAMILLY APARECIDA COELHO DE CASTRO")</f>
        <v>JAMILLY APARECIDA COELHO DE CASTRO</v>
      </c>
      <c r="P224" s="82" t="str">
        <f>IFERROR(__xludf.DUMMYFUNCTION("IFERROR(VLOOKUP(D224,
IMPORTRANGE(""https://docs.google.com/spreadsheets/d/1MjHtlUikwobi2MaWJgy7tfLeBmhj1u-dRFRs_8GwSoA/edit#gid=0"",""Gestores Escolares!D7:J""),7,0),""VERIFICAR CÓD SEC"")"),"(77) 9 9129-2443")</f>
        <v>(77) 9 9129-2443</v>
      </c>
      <c r="Q224" s="82" t="str">
        <f>IFERROR(__xludf.DUMMYFUNCTION("IFERROR(VLOOKUP(D224,
IMPORTRANGE(""https://docs.google.com/spreadsheets/d/1MjHtlUikwobi2MaWJgy7tfLeBmhj1u-dRFRs_8GwSoA/edit#gid=0"",""Gestores Escolares!D7:m""),9,0),""VERIFICAR CÓD SEC"")"),"")</f>
        <v/>
      </c>
      <c r="R224" s="82" t="str">
        <f>IFERROR(__xludf.DUMMYFUNCTION("IFERROR(VLOOKUP(D224,
IMPORTRANGE(""https://docs.google.com/spreadsheets/d/1MjHtlUikwobi2MaWJgy7tfLeBmhj1u-dRFRs_8GwSoA/edit#gid=0"",""Gestores Escolares!D7:m""),10,0),""VERIFICAR CÓD SEC"")"),"")</f>
        <v/>
      </c>
      <c r="S224" s="82"/>
      <c r="T224" s="138">
        <v>8.0</v>
      </c>
      <c r="U224" s="145" t="s">
        <v>3166</v>
      </c>
      <c r="V224" s="106">
        <v>0.0</v>
      </c>
      <c r="W224" s="107">
        <v>0.0</v>
      </c>
      <c r="X224" s="107">
        <v>0.0</v>
      </c>
      <c r="Y224" s="107">
        <v>0.0</v>
      </c>
      <c r="Z224" s="80">
        <f t="shared" si="1"/>
        <v>0</v>
      </c>
      <c r="AA224" s="106">
        <v>0.0</v>
      </c>
      <c r="AB224" s="107">
        <v>0.0</v>
      </c>
      <c r="AC224" s="107">
        <v>0.0</v>
      </c>
      <c r="AD224" s="107">
        <v>0.0</v>
      </c>
      <c r="AE224" s="80">
        <f t="shared" si="2"/>
        <v>0</v>
      </c>
      <c r="AF224" s="140">
        <v>26.0</v>
      </c>
      <c r="AG224" s="109">
        <v>0.0</v>
      </c>
      <c r="AH224" s="109">
        <v>0.0</v>
      </c>
      <c r="AI224" s="141">
        <v>112.0</v>
      </c>
      <c r="AJ224" s="80">
        <f t="shared" si="3"/>
        <v>138</v>
      </c>
      <c r="AK224" s="140">
        <v>0.0</v>
      </c>
      <c r="AL224" s="109">
        <v>0.0</v>
      </c>
      <c r="AM224" s="141">
        <v>0.0</v>
      </c>
      <c r="AN224" s="80">
        <f t="shared" si="4"/>
        <v>0</v>
      </c>
      <c r="AO224" s="140">
        <v>0.0</v>
      </c>
      <c r="AP224" s="109">
        <v>0.0</v>
      </c>
      <c r="AQ224" s="109">
        <v>0.0</v>
      </c>
      <c r="AR224" s="80">
        <f t="shared" si="5"/>
        <v>0</v>
      </c>
      <c r="AS224" s="110">
        <v>0.0</v>
      </c>
      <c r="AT224" s="110">
        <v>0.0</v>
      </c>
      <c r="AU224" s="110">
        <v>0.0</v>
      </c>
      <c r="AV224" s="142">
        <v>0.0</v>
      </c>
      <c r="AW224" s="80">
        <f t="shared" si="6"/>
        <v>0</v>
      </c>
      <c r="AX224" s="113">
        <f t="shared" si="7"/>
        <v>138</v>
      </c>
      <c r="AY224" s="117">
        <f t="shared" si="8"/>
        <v>138</v>
      </c>
      <c r="AZ224" s="120">
        <f t="shared" si="9"/>
        <v>0</v>
      </c>
      <c r="BA224" s="115">
        <v>0.0</v>
      </c>
      <c r="BB224" s="89">
        <f t="shared" si="10"/>
        <v>138</v>
      </c>
      <c r="BC224" s="132" t="s">
        <v>373</v>
      </c>
      <c r="BD224" s="132" t="s">
        <v>178</v>
      </c>
      <c r="BE224" s="132" t="s">
        <v>178</v>
      </c>
      <c r="BF224" s="156"/>
      <c r="BG224" s="83">
        <v>1167997.0</v>
      </c>
      <c r="BH224" s="112"/>
      <c r="BI224" s="112">
        <v>3.0</v>
      </c>
      <c r="BJ224" s="98" t="s">
        <v>155</v>
      </c>
      <c r="BK224" s="99">
        <f t="shared" si="11"/>
        <v>112</v>
      </c>
      <c r="BL224" s="99">
        <f t="shared" si="12"/>
        <v>26</v>
      </c>
      <c r="BM224" s="99" t="str">
        <f>IFERROR(__xludf.DUMMYFUNCTION("IFERROR(VLOOKUP(BG224,IMPORTRANGE(""https://docs.google.com/spreadsheets/d/1juPI-Fb8LD0YtltB2mlGEnp_R3UVu1t3wSFPzgCyHXE/edit?gid=0#gid=0"",""GERAL!A2:C""),3,0),""-"")"),"CAMPO")</f>
        <v>CAMPO</v>
      </c>
    </row>
    <row r="225" ht="15.75" customHeight="1">
      <c r="A225" s="111" t="s">
        <v>285</v>
      </c>
      <c r="B225" s="83" t="s">
        <v>988</v>
      </c>
      <c r="C225" s="83" t="s">
        <v>68</v>
      </c>
      <c r="D225" s="112">
        <v>1178261.0</v>
      </c>
      <c r="E225" s="83"/>
      <c r="F225" s="83">
        <v>2.9467403E7</v>
      </c>
      <c r="G225" s="114" t="s">
        <v>995</v>
      </c>
      <c r="H225" s="91" t="s">
        <v>996</v>
      </c>
      <c r="I225" s="83" t="s">
        <v>149</v>
      </c>
      <c r="J225" s="83" t="s">
        <v>150</v>
      </c>
      <c r="K225" s="83" t="s">
        <v>151</v>
      </c>
      <c r="L225" s="83" t="s">
        <v>76</v>
      </c>
      <c r="M225" s="82" t="str">
        <f>IFERROR(__xludf.DUMMYFUNCTION("IFERROR(VLOOKUP(D225,
IMPORTRANGE(""https://docs.google.com/spreadsheets/d/1MjHtlUikwobi2MaWJgy7tfLeBmhj1u-dRFRs_8GwSoA/edit#gid=0"",""Gestores Escolares!D7:J""),3,0),""VERIFICAR CÓD SEC"")"),"ANA PAULA SOARES DA SILVA")</f>
        <v>ANA PAULA SOARES DA SILVA</v>
      </c>
      <c r="N225" s="82" t="str">
        <f>IFERROR(__xludf.DUMMYFUNCTION("IFERROR(VLOOKUP(D225,
IMPORTRANGE(""https://docs.google.com/spreadsheets/d/1MjHtlUikwobi2MaWJgy7tfLeBmhj1u-dRFRs_8GwSoA/edit#gid=0"",""Gestores Escolares!D7:J""),4,0),""VERIFICAR CÓD SEC"")"),"(77) 9 8148-6006")</f>
        <v>(77) 9 8148-6006</v>
      </c>
      <c r="O225" s="82" t="str">
        <f>IFERROR(__xludf.DUMMYFUNCTION("IFERROR(VLOOKUP(D225,
IMPORTRANGE(""https://docs.google.com/spreadsheets/d/1MjHtlUikwobi2MaWJgy7tfLeBmhj1u-dRFRs_8GwSoA/edit#gid=0"",""Gestores Escolares!D7:J""),6,0),""VERIFICAR CÓD SEC"")"),"")</f>
        <v/>
      </c>
      <c r="P225" s="82" t="str">
        <f>IFERROR(__xludf.DUMMYFUNCTION("IFERROR(VLOOKUP(D225,
IMPORTRANGE(""https://docs.google.com/spreadsheets/d/1MjHtlUikwobi2MaWJgy7tfLeBmhj1u-dRFRs_8GwSoA/edit#gid=0"",""Gestores Escolares!D7:J""),7,0),""VERIFICAR CÓD SEC"")"),"")</f>
        <v/>
      </c>
      <c r="Q225" s="82" t="str">
        <f>IFERROR(__xludf.DUMMYFUNCTION("IFERROR(VLOOKUP(D225,
IMPORTRANGE(""https://docs.google.com/spreadsheets/d/1MjHtlUikwobi2MaWJgy7tfLeBmhj1u-dRFRs_8GwSoA/edit#gid=0"",""Gestores Escolares!D7:m""),9,0),""VERIFICAR CÓD SEC"")"),"")</f>
        <v/>
      </c>
      <c r="R225" s="82" t="str">
        <f>IFERROR(__xludf.DUMMYFUNCTION("IFERROR(VLOOKUP(D225,
IMPORTRANGE(""https://docs.google.com/spreadsheets/d/1MjHtlUikwobi2MaWJgy7tfLeBmhj1u-dRFRs_8GwSoA/edit#gid=0"",""Gestores Escolares!D7:m""),10,0),""VERIFICAR CÓD SEC"")"),"")</f>
        <v/>
      </c>
      <c r="S225" s="82"/>
      <c r="T225" s="138">
        <v>6.0</v>
      </c>
      <c r="U225" s="145" t="s">
        <v>3184</v>
      </c>
      <c r="V225" s="106">
        <v>0.0</v>
      </c>
      <c r="W225" s="107">
        <v>0.0</v>
      </c>
      <c r="X225" s="107">
        <v>0.0</v>
      </c>
      <c r="Y225" s="107">
        <v>0.0</v>
      </c>
      <c r="Z225" s="80">
        <f t="shared" si="1"/>
        <v>0</v>
      </c>
      <c r="AA225" s="106">
        <v>0.0</v>
      </c>
      <c r="AB225" s="107">
        <v>0.0</v>
      </c>
      <c r="AC225" s="107">
        <v>0.0</v>
      </c>
      <c r="AD225" s="107">
        <v>0.0</v>
      </c>
      <c r="AE225" s="80">
        <f t="shared" si="2"/>
        <v>0</v>
      </c>
      <c r="AF225" s="140">
        <v>0.0</v>
      </c>
      <c r="AG225" s="109">
        <v>0.0</v>
      </c>
      <c r="AH225" s="109">
        <v>0.0</v>
      </c>
      <c r="AI225" s="141">
        <v>110.0</v>
      </c>
      <c r="AJ225" s="80">
        <f t="shared" si="3"/>
        <v>110</v>
      </c>
      <c r="AK225" s="140">
        <v>0.0</v>
      </c>
      <c r="AL225" s="109">
        <v>0.0</v>
      </c>
      <c r="AM225" s="141">
        <v>0.0</v>
      </c>
      <c r="AN225" s="80">
        <f t="shared" si="4"/>
        <v>0</v>
      </c>
      <c r="AO225" s="140">
        <v>0.0</v>
      </c>
      <c r="AP225" s="109">
        <v>0.0</v>
      </c>
      <c r="AQ225" s="109">
        <v>21.0</v>
      </c>
      <c r="AR225" s="80">
        <f t="shared" si="5"/>
        <v>21</v>
      </c>
      <c r="AS225" s="110">
        <v>0.0</v>
      </c>
      <c r="AT225" s="110">
        <v>0.0</v>
      </c>
      <c r="AU225" s="110">
        <v>0.0</v>
      </c>
      <c r="AV225" s="142">
        <v>30.0</v>
      </c>
      <c r="AW225" s="80">
        <f t="shared" si="6"/>
        <v>30</v>
      </c>
      <c r="AX225" s="113">
        <f t="shared" si="7"/>
        <v>161</v>
      </c>
      <c r="AY225" s="117">
        <f t="shared" si="8"/>
        <v>140</v>
      </c>
      <c r="AZ225" s="120">
        <f t="shared" si="9"/>
        <v>21</v>
      </c>
      <c r="BA225" s="115">
        <v>0.0</v>
      </c>
      <c r="BB225" s="89">
        <f t="shared" si="10"/>
        <v>161</v>
      </c>
      <c r="BC225" s="132" t="s">
        <v>178</v>
      </c>
      <c r="BD225" s="132" t="s">
        <v>178</v>
      </c>
      <c r="BE225" s="132" t="s">
        <v>178</v>
      </c>
      <c r="BF225" s="123"/>
      <c r="BG225" s="83">
        <v>1178261.0</v>
      </c>
      <c r="BH225" s="112"/>
      <c r="BI225" s="112">
        <v>6.0</v>
      </c>
      <c r="BJ225" s="98" t="s">
        <v>155</v>
      </c>
      <c r="BK225" s="99">
        <f t="shared" si="11"/>
        <v>140</v>
      </c>
      <c r="BL225" s="99">
        <f t="shared" si="12"/>
        <v>0</v>
      </c>
      <c r="BM225" s="99" t="str">
        <f>IFERROR(__xludf.DUMMYFUNCTION("IFERROR(VLOOKUP(BG225,IMPORTRANGE(""https://docs.google.com/spreadsheets/d/1juPI-Fb8LD0YtltB2mlGEnp_R3UVu1t3wSFPzgCyHXE/edit?gid=0#gid=0"",""GERAL!A2:C""),3,0),""-"")"),"-")</f>
        <v>-</v>
      </c>
    </row>
    <row r="226" ht="15.75" customHeight="1">
      <c r="A226" s="111" t="s">
        <v>285</v>
      </c>
      <c r="B226" s="83" t="s">
        <v>988</v>
      </c>
      <c r="C226" s="83" t="s">
        <v>164</v>
      </c>
      <c r="D226" s="112">
        <v>1178261.0</v>
      </c>
      <c r="E226" s="83">
        <v>1179649.0</v>
      </c>
      <c r="F226" s="98">
        <v>2.9490367E7</v>
      </c>
      <c r="G226" s="114" t="s">
        <v>999</v>
      </c>
      <c r="H226" s="91" t="s">
        <v>1000</v>
      </c>
      <c r="I226" s="83" t="s">
        <v>1001</v>
      </c>
      <c r="J226" s="136" t="s">
        <v>992</v>
      </c>
      <c r="K226" s="83" t="s">
        <v>151</v>
      </c>
      <c r="L226" s="83" t="s">
        <v>169</v>
      </c>
      <c r="M226" s="82" t="str">
        <f>IFERROR(__xludf.DUMMYFUNCTION("IFERROR(VLOOKUP(D226,
IMPORTRANGE(""https://docs.google.com/spreadsheets/d/1MjHtlUikwobi2MaWJgy7tfLeBmhj1u-dRFRs_8GwSoA/edit#gid=0"",""Gestores Escolares!D7:J""),3,0),""VERIFICAR CÓD SEC"")"),"ANA PAULA SOARES DA SILVA")</f>
        <v>ANA PAULA SOARES DA SILVA</v>
      </c>
      <c r="N226" s="82" t="str">
        <f>IFERROR(__xludf.DUMMYFUNCTION("IFERROR(VLOOKUP(D226,
IMPORTRANGE(""https://docs.google.com/spreadsheets/d/1MjHtlUikwobi2MaWJgy7tfLeBmhj1u-dRFRs_8GwSoA/edit#gid=0"",""Gestores Escolares!D7:J""),4,0),""VERIFICAR CÓD SEC"")"),"(77) 9 8148-6006")</f>
        <v>(77) 9 8148-6006</v>
      </c>
      <c r="O226" s="82" t="str">
        <f>IFERROR(__xludf.DUMMYFUNCTION("IFERROR(VLOOKUP(D226,
IMPORTRANGE(""https://docs.google.com/spreadsheets/d/1MjHtlUikwobi2MaWJgy7tfLeBmhj1u-dRFRs_8GwSoA/edit#gid=0"",""Gestores Escolares!D7:J""),6,0),""VERIFICAR CÓD SEC"")"),"")</f>
        <v/>
      </c>
      <c r="P226" s="82" t="str">
        <f>IFERROR(__xludf.DUMMYFUNCTION("IFERROR(VLOOKUP(D226,
IMPORTRANGE(""https://docs.google.com/spreadsheets/d/1MjHtlUikwobi2MaWJgy7tfLeBmhj1u-dRFRs_8GwSoA/edit#gid=0"",""Gestores Escolares!D7:J""),7,0),""VERIFICAR CÓD SEC"")"),"")</f>
        <v/>
      </c>
      <c r="Q226" s="82" t="str">
        <f>IFERROR(__xludf.DUMMYFUNCTION("IFERROR(VLOOKUP(D226,
IMPORTRANGE(""https://docs.google.com/spreadsheets/d/1MjHtlUikwobi2MaWJgy7tfLeBmhj1u-dRFRs_8GwSoA/edit#gid=0"",""Gestores Escolares!D7:m""),9,0),""VERIFICAR CÓD SEC"")"),"")</f>
        <v/>
      </c>
      <c r="R226" s="82" t="str">
        <f>IFERROR(__xludf.DUMMYFUNCTION("IFERROR(VLOOKUP(D226,
IMPORTRANGE(""https://docs.google.com/spreadsheets/d/1MjHtlUikwobi2MaWJgy7tfLeBmhj1u-dRFRs_8GwSoA/edit#gid=0"",""Gestores Escolares!D7:m""),10,0),""VERIFICAR CÓD SEC"")"),"")</f>
        <v/>
      </c>
      <c r="S226" s="82"/>
      <c r="T226" s="138">
        <v>3.0</v>
      </c>
      <c r="U226" s="145">
        <v>3.0</v>
      </c>
      <c r="V226" s="106">
        <v>0.0</v>
      </c>
      <c r="W226" s="107">
        <v>0.0</v>
      </c>
      <c r="X226" s="107">
        <v>0.0</v>
      </c>
      <c r="Y226" s="107">
        <v>0.0</v>
      </c>
      <c r="Z226" s="80">
        <f t="shared" si="1"/>
        <v>0</v>
      </c>
      <c r="AA226" s="106">
        <v>0.0</v>
      </c>
      <c r="AB226" s="107">
        <v>0.0</v>
      </c>
      <c r="AC226" s="107">
        <v>0.0</v>
      </c>
      <c r="AD226" s="107">
        <v>0.0</v>
      </c>
      <c r="AE226" s="80">
        <f t="shared" si="2"/>
        <v>0</v>
      </c>
      <c r="AF226" s="140">
        <v>37.0</v>
      </c>
      <c r="AG226" s="109">
        <v>0.0</v>
      </c>
      <c r="AH226" s="109">
        <v>0.0</v>
      </c>
      <c r="AI226" s="141">
        <v>0.0</v>
      </c>
      <c r="AJ226" s="80">
        <f t="shared" si="3"/>
        <v>37</v>
      </c>
      <c r="AK226" s="140">
        <v>0.0</v>
      </c>
      <c r="AL226" s="109">
        <v>0.0</v>
      </c>
      <c r="AM226" s="141">
        <v>0.0</v>
      </c>
      <c r="AN226" s="80">
        <f t="shared" si="4"/>
        <v>0</v>
      </c>
      <c r="AO226" s="140">
        <v>0.0</v>
      </c>
      <c r="AP226" s="109">
        <v>0.0</v>
      </c>
      <c r="AQ226" s="109">
        <v>0.0</v>
      </c>
      <c r="AR226" s="80">
        <f t="shared" si="5"/>
        <v>0</v>
      </c>
      <c r="AS226" s="110">
        <v>0.0</v>
      </c>
      <c r="AT226" s="110">
        <v>0.0</v>
      </c>
      <c r="AU226" s="110">
        <v>0.0</v>
      </c>
      <c r="AV226" s="142">
        <v>0.0</v>
      </c>
      <c r="AW226" s="80">
        <f t="shared" si="6"/>
        <v>0</v>
      </c>
      <c r="AX226" s="113">
        <f t="shared" si="7"/>
        <v>37</v>
      </c>
      <c r="AY226" s="117">
        <f t="shared" si="8"/>
        <v>37</v>
      </c>
      <c r="AZ226" s="120">
        <f t="shared" si="9"/>
        <v>0</v>
      </c>
      <c r="BA226" s="115">
        <v>0.0</v>
      </c>
      <c r="BB226" s="89">
        <f t="shared" si="10"/>
        <v>37</v>
      </c>
      <c r="BC226" s="132" t="s">
        <v>373</v>
      </c>
      <c r="BD226" s="132" t="s">
        <v>178</v>
      </c>
      <c r="BE226" s="132" t="s">
        <v>178</v>
      </c>
      <c r="BF226" s="156"/>
      <c r="BG226" s="83">
        <v>1179649.0</v>
      </c>
      <c r="BH226" s="112"/>
      <c r="BI226" s="112">
        <v>3.0</v>
      </c>
      <c r="BJ226" s="98" t="s">
        <v>155</v>
      </c>
      <c r="BK226" s="99">
        <f t="shared" si="11"/>
        <v>0</v>
      </c>
      <c r="BL226" s="99">
        <f t="shared" si="12"/>
        <v>37</v>
      </c>
      <c r="BM226" s="99" t="str">
        <f>IFERROR(__xludf.DUMMYFUNCTION("IFERROR(VLOOKUP(BG226,IMPORTRANGE(""https://docs.google.com/spreadsheets/d/1juPI-Fb8LD0YtltB2mlGEnp_R3UVu1t3wSFPzgCyHXE/edit?gid=0#gid=0"",""GERAL!A2:C""),3,0),""-"")"),"CAMPO")</f>
        <v>CAMPO</v>
      </c>
    </row>
    <row r="227" ht="15.75" customHeight="1">
      <c r="A227" s="111" t="s">
        <v>285</v>
      </c>
      <c r="B227" s="83" t="s">
        <v>988</v>
      </c>
      <c r="C227" s="83" t="s">
        <v>164</v>
      </c>
      <c r="D227" s="112">
        <v>1179283.0</v>
      </c>
      <c r="E227" s="83">
        <v>1178783.0</v>
      </c>
      <c r="F227" s="98">
        <v>2.9461502E7</v>
      </c>
      <c r="G227" s="114" t="s">
        <v>1002</v>
      </c>
      <c r="H227" s="91" t="s">
        <v>1003</v>
      </c>
      <c r="I227" s="136" t="s">
        <v>1004</v>
      </c>
      <c r="J227" s="136" t="s">
        <v>1005</v>
      </c>
      <c r="K227" s="83" t="s">
        <v>168</v>
      </c>
      <c r="L227" s="83" t="s">
        <v>169</v>
      </c>
      <c r="M227" s="82" t="str">
        <f>IFERROR(__xludf.DUMMYFUNCTION("IFERROR(VLOOKUP(D227,
IMPORTRANGE(""https://docs.google.com/spreadsheets/d/1MjHtlUikwobi2MaWJgy7tfLeBmhj1u-dRFRs_8GwSoA/edit#gid=0"",""Gestores Escolares!D7:J""),3,0),""VERIFICAR CÓD SEC"")"),"LAIZA BRANDAO MIRANDA")</f>
        <v>LAIZA BRANDAO MIRANDA</v>
      </c>
      <c r="N227" s="82" t="str">
        <f>IFERROR(__xludf.DUMMYFUNCTION("IFERROR(VLOOKUP(D227,
IMPORTRANGE(""https://docs.google.com/spreadsheets/d/1MjHtlUikwobi2MaWJgy7tfLeBmhj1u-dRFRs_8GwSoA/edit#gid=0"",""Gestores Escolares!D7:J""),4,0),""VERIFICAR CÓD SEC"")"),"(75) 9 9966-5253")</f>
        <v>(75) 9 9966-5253</v>
      </c>
      <c r="O227" s="82" t="str">
        <f>IFERROR(__xludf.DUMMYFUNCTION("IFERROR(VLOOKUP(D227,
IMPORTRANGE(""https://docs.google.com/spreadsheets/d/1MjHtlUikwobi2MaWJgy7tfLeBmhj1u-dRFRs_8GwSoA/edit#gid=0"",""Gestores Escolares!D7:J""),6,0),""VERIFICAR CÓD SEC"")"),"ROSANA ISABEL DO R. TELES")</f>
        <v>ROSANA ISABEL DO R. TELES</v>
      </c>
      <c r="P227" s="82" t="str">
        <f>IFERROR(__xludf.DUMMYFUNCTION("IFERROR(VLOOKUP(D227,
IMPORTRANGE(""https://docs.google.com/spreadsheets/d/1MjHtlUikwobi2MaWJgy7tfLeBmhj1u-dRFRs_8GwSoA/edit#gid=0"",""Gestores Escolares!D7:J""),7,0),""VERIFICAR CÓD SEC"")"),"(75) 9 9966-4696")</f>
        <v>(75) 9 9966-4696</v>
      </c>
      <c r="Q227" s="82" t="str">
        <f>IFERROR(__xludf.DUMMYFUNCTION("IFERROR(VLOOKUP(D227,
IMPORTRANGE(""https://docs.google.com/spreadsheets/d/1MjHtlUikwobi2MaWJgy7tfLeBmhj1u-dRFRs_8GwSoA/edit#gid=0"",""Gestores Escolares!D7:m""),9,0),""VERIFICAR CÓD SEC"")"),"MOZART MACEDO XAVIER")</f>
        <v>MOZART MACEDO XAVIER</v>
      </c>
      <c r="R227" s="82" t="str">
        <f>IFERROR(__xludf.DUMMYFUNCTION("IFERROR(VLOOKUP(D227,
IMPORTRANGE(""https://docs.google.com/spreadsheets/d/1MjHtlUikwobi2MaWJgy7tfLeBmhj1u-dRFRs_8GwSoA/edit#gid=0"",""Gestores Escolares!D7:m""),10,0),""VERIFICAR CÓD SEC"")"),"(75) 9 9918-1536")</f>
        <v>(75) 9 9918-1536</v>
      </c>
      <c r="S227" s="82"/>
      <c r="T227" s="138">
        <v>3.0</v>
      </c>
      <c r="U227" s="139">
        <v>3.0</v>
      </c>
      <c r="V227" s="106">
        <v>0.0</v>
      </c>
      <c r="W227" s="107">
        <v>0.0</v>
      </c>
      <c r="X227" s="107">
        <v>0.0</v>
      </c>
      <c r="Y227" s="107">
        <v>0.0</v>
      </c>
      <c r="Z227" s="80">
        <f t="shared" si="1"/>
        <v>0</v>
      </c>
      <c r="AA227" s="106">
        <v>0.0</v>
      </c>
      <c r="AB227" s="107">
        <v>0.0</v>
      </c>
      <c r="AC227" s="107">
        <v>0.0</v>
      </c>
      <c r="AD227" s="107">
        <v>0.0</v>
      </c>
      <c r="AE227" s="80">
        <f t="shared" si="2"/>
        <v>0</v>
      </c>
      <c r="AF227" s="140">
        <v>25.0</v>
      </c>
      <c r="AG227" s="109">
        <v>8.0</v>
      </c>
      <c r="AH227" s="109">
        <v>0.0</v>
      </c>
      <c r="AI227" s="141">
        <v>0.0</v>
      </c>
      <c r="AJ227" s="80">
        <f t="shared" si="3"/>
        <v>33</v>
      </c>
      <c r="AK227" s="140">
        <v>0.0</v>
      </c>
      <c r="AL227" s="109">
        <v>0.0</v>
      </c>
      <c r="AM227" s="141">
        <v>0.0</v>
      </c>
      <c r="AN227" s="80">
        <f t="shared" si="4"/>
        <v>0</v>
      </c>
      <c r="AO227" s="140">
        <v>0.0</v>
      </c>
      <c r="AP227" s="109">
        <v>0.0</v>
      </c>
      <c r="AQ227" s="109">
        <v>0.0</v>
      </c>
      <c r="AR227" s="80">
        <f t="shared" si="5"/>
        <v>0</v>
      </c>
      <c r="AS227" s="110">
        <v>0.0</v>
      </c>
      <c r="AT227" s="110">
        <v>0.0</v>
      </c>
      <c r="AU227" s="110">
        <v>0.0</v>
      </c>
      <c r="AV227" s="142">
        <v>0.0</v>
      </c>
      <c r="AW227" s="80">
        <f t="shared" si="6"/>
        <v>0</v>
      </c>
      <c r="AX227" s="113">
        <f t="shared" si="7"/>
        <v>33</v>
      </c>
      <c r="AY227" s="117">
        <f t="shared" si="8"/>
        <v>33</v>
      </c>
      <c r="AZ227" s="120">
        <f t="shared" si="9"/>
        <v>0</v>
      </c>
      <c r="BA227" s="115">
        <v>0.0</v>
      </c>
      <c r="BB227" s="89">
        <f t="shared" si="10"/>
        <v>33</v>
      </c>
      <c r="BC227" s="132" t="s">
        <v>178</v>
      </c>
      <c r="BD227" s="143" t="s">
        <v>227</v>
      </c>
      <c r="BE227" s="132" t="s">
        <v>178</v>
      </c>
      <c r="BF227" s="123"/>
      <c r="BG227" s="83">
        <v>1178783.0</v>
      </c>
      <c r="BH227" s="112"/>
      <c r="BI227" s="112">
        <v>3.0</v>
      </c>
      <c r="BJ227" s="98" t="s">
        <v>155</v>
      </c>
      <c r="BK227" s="99">
        <f t="shared" si="11"/>
        <v>0</v>
      </c>
      <c r="BL227" s="99">
        <f t="shared" si="12"/>
        <v>33</v>
      </c>
      <c r="BM227" s="99" t="str">
        <f>IFERROR(__xludf.DUMMYFUNCTION("IFERROR(VLOOKUP(BG227,IMPORTRANGE(""https://docs.google.com/spreadsheets/d/1juPI-Fb8LD0YtltB2mlGEnp_R3UVu1t3wSFPzgCyHXE/edit?gid=0#gid=0"",""GERAL!A2:C""),3,0),""-"")"),"-")</f>
        <v>-</v>
      </c>
    </row>
    <row r="228" ht="15.75" customHeight="1">
      <c r="A228" s="111" t="s">
        <v>285</v>
      </c>
      <c r="B228" s="83" t="s">
        <v>988</v>
      </c>
      <c r="C228" s="83" t="s">
        <v>164</v>
      </c>
      <c r="D228" s="112">
        <v>1179283.0</v>
      </c>
      <c r="E228" s="83">
        <v>1178759.0</v>
      </c>
      <c r="F228" s="98">
        <v>2.9461502E7</v>
      </c>
      <c r="G228" s="114" t="s">
        <v>1006</v>
      </c>
      <c r="H228" s="91" t="s">
        <v>1007</v>
      </c>
      <c r="I228" s="136" t="s">
        <v>1008</v>
      </c>
      <c r="J228" s="136" t="s">
        <v>315</v>
      </c>
      <c r="K228" s="83" t="s">
        <v>168</v>
      </c>
      <c r="L228" s="83" t="s">
        <v>169</v>
      </c>
      <c r="M228" s="82" t="str">
        <f>IFERROR(__xludf.DUMMYFUNCTION("IFERROR(VLOOKUP(D228,
IMPORTRANGE(""https://docs.google.com/spreadsheets/d/1MjHtlUikwobi2MaWJgy7tfLeBmhj1u-dRFRs_8GwSoA/edit#gid=0"",""Gestores Escolares!D7:J""),3,0),""VERIFICAR CÓD SEC"")"),"LAIZA BRANDAO MIRANDA")</f>
        <v>LAIZA BRANDAO MIRANDA</v>
      </c>
      <c r="N228" s="82" t="str">
        <f>IFERROR(__xludf.DUMMYFUNCTION("IFERROR(VLOOKUP(D228,
IMPORTRANGE(""https://docs.google.com/spreadsheets/d/1MjHtlUikwobi2MaWJgy7tfLeBmhj1u-dRFRs_8GwSoA/edit#gid=0"",""Gestores Escolares!D7:J""),4,0),""VERIFICAR CÓD SEC"")"),"(75) 9 9966-5253")</f>
        <v>(75) 9 9966-5253</v>
      </c>
      <c r="O228" s="82" t="str">
        <f>IFERROR(__xludf.DUMMYFUNCTION("IFERROR(VLOOKUP(D228,
IMPORTRANGE(""https://docs.google.com/spreadsheets/d/1MjHtlUikwobi2MaWJgy7tfLeBmhj1u-dRFRs_8GwSoA/edit#gid=0"",""Gestores Escolares!D7:J""),6,0),""VERIFICAR CÓD SEC"")"),"ROSANA ISABEL DO R. TELES")</f>
        <v>ROSANA ISABEL DO R. TELES</v>
      </c>
      <c r="P228" s="82" t="str">
        <f>IFERROR(__xludf.DUMMYFUNCTION("IFERROR(VLOOKUP(D228,
IMPORTRANGE(""https://docs.google.com/spreadsheets/d/1MjHtlUikwobi2MaWJgy7tfLeBmhj1u-dRFRs_8GwSoA/edit#gid=0"",""Gestores Escolares!D7:J""),7,0),""VERIFICAR CÓD SEC"")"),"(75) 9 9966-4696")</f>
        <v>(75) 9 9966-4696</v>
      </c>
      <c r="Q228" s="82" t="str">
        <f>IFERROR(__xludf.DUMMYFUNCTION("IFERROR(VLOOKUP(D228,
IMPORTRANGE(""https://docs.google.com/spreadsheets/d/1MjHtlUikwobi2MaWJgy7tfLeBmhj1u-dRFRs_8GwSoA/edit#gid=0"",""Gestores Escolares!D7:m""),9,0),""VERIFICAR CÓD SEC"")"),"MOZART MACEDO XAVIER")</f>
        <v>MOZART MACEDO XAVIER</v>
      </c>
      <c r="R228" s="82" t="str">
        <f>IFERROR(__xludf.DUMMYFUNCTION("IFERROR(VLOOKUP(D228,
IMPORTRANGE(""https://docs.google.com/spreadsheets/d/1MjHtlUikwobi2MaWJgy7tfLeBmhj1u-dRFRs_8GwSoA/edit#gid=0"",""Gestores Escolares!D7:m""),10,0),""VERIFICAR CÓD SEC"")"),"(75) 9 9918-1536")</f>
        <v>(75) 9 9918-1536</v>
      </c>
      <c r="S228" s="82"/>
      <c r="T228" s="138">
        <v>3.0</v>
      </c>
      <c r="U228" s="139">
        <v>3.0</v>
      </c>
      <c r="V228" s="106">
        <v>0.0</v>
      </c>
      <c r="W228" s="107">
        <v>0.0</v>
      </c>
      <c r="X228" s="107">
        <v>0.0</v>
      </c>
      <c r="Y228" s="107">
        <v>0.0</v>
      </c>
      <c r="Z228" s="80">
        <f t="shared" si="1"/>
        <v>0</v>
      </c>
      <c r="AA228" s="106">
        <v>0.0</v>
      </c>
      <c r="AB228" s="107">
        <v>0.0</v>
      </c>
      <c r="AC228" s="107">
        <v>0.0</v>
      </c>
      <c r="AD228" s="107">
        <v>0.0</v>
      </c>
      <c r="AE228" s="80">
        <f t="shared" si="2"/>
        <v>0</v>
      </c>
      <c r="AF228" s="140">
        <v>51.0</v>
      </c>
      <c r="AG228" s="109">
        <v>0.0</v>
      </c>
      <c r="AH228" s="109">
        <v>0.0</v>
      </c>
      <c r="AI228" s="141">
        <v>0.0</v>
      </c>
      <c r="AJ228" s="80">
        <f t="shared" si="3"/>
        <v>51</v>
      </c>
      <c r="AK228" s="140">
        <v>0.0</v>
      </c>
      <c r="AL228" s="109">
        <v>0.0</v>
      </c>
      <c r="AM228" s="141">
        <v>0.0</v>
      </c>
      <c r="AN228" s="80">
        <f t="shared" si="4"/>
        <v>0</v>
      </c>
      <c r="AO228" s="140">
        <v>0.0</v>
      </c>
      <c r="AP228" s="109">
        <v>0.0</v>
      </c>
      <c r="AQ228" s="109">
        <v>0.0</v>
      </c>
      <c r="AR228" s="80">
        <f t="shared" si="5"/>
        <v>0</v>
      </c>
      <c r="AS228" s="110">
        <v>0.0</v>
      </c>
      <c r="AT228" s="110">
        <v>0.0</v>
      </c>
      <c r="AU228" s="110">
        <v>0.0</v>
      </c>
      <c r="AV228" s="142">
        <v>0.0</v>
      </c>
      <c r="AW228" s="80">
        <f t="shared" si="6"/>
        <v>0</v>
      </c>
      <c r="AX228" s="113">
        <f t="shared" si="7"/>
        <v>51</v>
      </c>
      <c r="AY228" s="117">
        <f t="shared" si="8"/>
        <v>51</v>
      </c>
      <c r="AZ228" s="120">
        <f t="shared" si="9"/>
        <v>0</v>
      </c>
      <c r="BA228" s="115">
        <v>0.0</v>
      </c>
      <c r="BB228" s="89">
        <f t="shared" si="10"/>
        <v>51</v>
      </c>
      <c r="BC228" s="132" t="s">
        <v>178</v>
      </c>
      <c r="BD228" s="143" t="s">
        <v>227</v>
      </c>
      <c r="BE228" s="132" t="s">
        <v>178</v>
      </c>
      <c r="BF228" s="123"/>
      <c r="BG228" s="83">
        <v>1178759.0</v>
      </c>
      <c r="BH228" s="112"/>
      <c r="BI228" s="112">
        <v>3.0</v>
      </c>
      <c r="BJ228" s="98" t="s">
        <v>155</v>
      </c>
      <c r="BK228" s="99">
        <f t="shared" si="11"/>
        <v>0</v>
      </c>
      <c r="BL228" s="99">
        <f t="shared" si="12"/>
        <v>51</v>
      </c>
      <c r="BM228" s="99" t="str">
        <f>IFERROR(__xludf.DUMMYFUNCTION("IFERROR(VLOOKUP(BG228,IMPORTRANGE(""https://docs.google.com/spreadsheets/d/1juPI-Fb8LD0YtltB2mlGEnp_R3UVu1t3wSFPzgCyHXE/edit?gid=0#gid=0"",""GERAL!A2:C""),3,0),""-"")"),"-")</f>
        <v>-</v>
      </c>
    </row>
    <row r="229" ht="15.75" customHeight="1">
      <c r="A229" s="111" t="s">
        <v>285</v>
      </c>
      <c r="B229" s="83" t="s">
        <v>1009</v>
      </c>
      <c r="C229" s="83" t="s">
        <v>45</v>
      </c>
      <c r="D229" s="98">
        <v>1179758.0</v>
      </c>
      <c r="E229" s="83"/>
      <c r="F229" s="83">
        <v>2.9577608E7</v>
      </c>
      <c r="G229" s="114" t="s">
        <v>1010</v>
      </c>
      <c r="H229" s="91" t="s">
        <v>1011</v>
      </c>
      <c r="I229" s="83" t="s">
        <v>149</v>
      </c>
      <c r="J229" s="83" t="s">
        <v>1012</v>
      </c>
      <c r="K229" s="83" t="s">
        <v>151</v>
      </c>
      <c r="L229" s="83" t="s">
        <v>152</v>
      </c>
      <c r="M229" s="82" t="str">
        <f>IFERROR(__xludf.DUMMYFUNCTION("IFERROR(VLOOKUP(D229,
IMPORTRANGE(""https://docs.google.com/spreadsheets/d/1MjHtlUikwobi2MaWJgy7tfLeBmhj1u-dRFRs_8GwSoA/edit#gid=0"",""Gestores Escolares!D7:J""),3,0),""VERIFICAR CÓD SEC"")"),"VERIFICAR CÓD SEC")</f>
        <v>VERIFICAR CÓD SEC</v>
      </c>
      <c r="N229" s="82" t="str">
        <f>IFERROR(__xludf.DUMMYFUNCTION("IFERROR(VLOOKUP(D229,
IMPORTRANGE(""https://docs.google.com/spreadsheets/d/1MjHtlUikwobi2MaWJgy7tfLeBmhj1u-dRFRs_8GwSoA/edit#gid=0"",""Gestores Escolares!D7:J""),4,0),""VERIFICAR CÓD SEC"")"),"VERIFICAR CÓD SEC")</f>
        <v>VERIFICAR CÓD SEC</v>
      </c>
      <c r="O229" s="82" t="str">
        <f>IFERROR(__xludf.DUMMYFUNCTION("IFERROR(VLOOKUP(D229,
IMPORTRANGE(""https://docs.google.com/spreadsheets/d/1MjHtlUikwobi2MaWJgy7tfLeBmhj1u-dRFRs_8GwSoA/edit#gid=0"",""Gestores Escolares!D7:J""),6,0),""VERIFICAR CÓD SEC"")"),"VERIFICAR CÓD SEC")</f>
        <v>VERIFICAR CÓD SEC</v>
      </c>
      <c r="P229" s="82" t="str">
        <f>IFERROR(__xludf.DUMMYFUNCTION("IFERROR(VLOOKUP(D229,
IMPORTRANGE(""https://docs.google.com/spreadsheets/d/1MjHtlUikwobi2MaWJgy7tfLeBmhj1u-dRFRs_8GwSoA/edit#gid=0"",""Gestores Escolares!D7:J""),7,0),""VERIFICAR CÓD SEC"")"),"VERIFICAR CÓD SEC")</f>
        <v>VERIFICAR CÓD SEC</v>
      </c>
      <c r="Q229" s="82" t="str">
        <f>IFERROR(__xludf.DUMMYFUNCTION("IFERROR(VLOOKUP(D229,
IMPORTRANGE(""https://docs.google.com/spreadsheets/d/1MjHtlUikwobi2MaWJgy7tfLeBmhj1u-dRFRs_8GwSoA/edit#gid=0"",""Gestores Escolares!D7:m""),9,0),""VERIFICAR CÓD SEC"")"),"VERIFICAR CÓD SEC")</f>
        <v>VERIFICAR CÓD SEC</v>
      </c>
      <c r="R229" s="82" t="str">
        <f>IFERROR(__xludf.DUMMYFUNCTION("IFERROR(VLOOKUP(D229,
IMPORTRANGE(""https://docs.google.com/spreadsheets/d/1MjHtlUikwobi2MaWJgy7tfLeBmhj1u-dRFRs_8GwSoA/edit#gid=0"",""Gestores Escolares!D7:m""),10,0),""VERIFICAR CÓD SEC"")"),"VERIFICAR CÓD SEC")</f>
        <v>VERIFICAR CÓD SEC</v>
      </c>
      <c r="S229" s="82"/>
      <c r="T229" s="138">
        <v>7.0</v>
      </c>
      <c r="U229" s="145">
        <v>3.0</v>
      </c>
      <c r="V229" s="106">
        <v>0.0</v>
      </c>
      <c r="W229" s="107">
        <v>0.0</v>
      </c>
      <c r="X229" s="107">
        <v>0.0</v>
      </c>
      <c r="Y229" s="107">
        <v>0.0</v>
      </c>
      <c r="Z229" s="80">
        <f t="shared" si="1"/>
        <v>0</v>
      </c>
      <c r="AA229" s="106">
        <v>0.0</v>
      </c>
      <c r="AB229" s="107">
        <v>0.0</v>
      </c>
      <c r="AC229" s="107">
        <v>0.0</v>
      </c>
      <c r="AD229" s="107">
        <v>71.0</v>
      </c>
      <c r="AE229" s="80">
        <f t="shared" si="2"/>
        <v>71</v>
      </c>
      <c r="AF229" s="225">
        <v>0.0</v>
      </c>
      <c r="AG229" s="226">
        <v>0.0</v>
      </c>
      <c r="AH229" s="226">
        <v>0.0</v>
      </c>
      <c r="AI229" s="227">
        <v>71.0</v>
      </c>
      <c r="AJ229" s="80">
        <f t="shared" si="3"/>
        <v>71</v>
      </c>
      <c r="AK229" s="140">
        <v>0.0</v>
      </c>
      <c r="AL229" s="109">
        <v>0.0</v>
      </c>
      <c r="AM229" s="141">
        <v>0.0</v>
      </c>
      <c r="AN229" s="80">
        <f t="shared" si="4"/>
        <v>0</v>
      </c>
      <c r="AO229" s="225">
        <v>0.0</v>
      </c>
      <c r="AP229" s="226">
        <v>0.0</v>
      </c>
      <c r="AQ229" s="226">
        <v>0.0</v>
      </c>
      <c r="AR229" s="80">
        <f t="shared" si="5"/>
        <v>0</v>
      </c>
      <c r="AS229" s="110">
        <v>0.0</v>
      </c>
      <c r="AT229" s="110">
        <v>0.0</v>
      </c>
      <c r="AU229" s="110">
        <v>0.0</v>
      </c>
      <c r="AV229" s="142">
        <v>0.0</v>
      </c>
      <c r="AW229" s="80">
        <f t="shared" si="6"/>
        <v>0</v>
      </c>
      <c r="AX229" s="113">
        <f t="shared" si="7"/>
        <v>142</v>
      </c>
      <c r="AY229" s="117">
        <f t="shared" si="8"/>
        <v>142</v>
      </c>
      <c r="AZ229" s="120">
        <f t="shared" si="9"/>
        <v>0</v>
      </c>
      <c r="BA229" s="115">
        <v>0.0</v>
      </c>
      <c r="BB229" s="89">
        <f t="shared" si="10"/>
        <v>142</v>
      </c>
      <c r="BC229" s="132" t="s">
        <v>178</v>
      </c>
      <c r="BD229" s="132" t="s">
        <v>178</v>
      </c>
      <c r="BE229" s="132" t="s">
        <v>178</v>
      </c>
      <c r="BF229" s="156"/>
      <c r="BG229" s="98">
        <v>1179758.0</v>
      </c>
      <c r="BH229" s="112"/>
      <c r="BI229" s="112">
        <v>7.0</v>
      </c>
      <c r="BJ229" s="98" t="s">
        <v>155</v>
      </c>
      <c r="BK229" s="99">
        <f t="shared" si="11"/>
        <v>142</v>
      </c>
      <c r="BL229" s="99">
        <f t="shared" si="12"/>
        <v>0</v>
      </c>
      <c r="BM229" s="99" t="str">
        <f>IFERROR(__xludf.DUMMYFUNCTION("IFERROR(VLOOKUP(BG229,IMPORTRANGE(""https://docs.google.com/spreadsheets/d/1juPI-Fb8LD0YtltB2mlGEnp_R3UVu1t3wSFPzgCyHXE/edit?gid=0#gid=0"",""GERAL!A2:C""),3,0),""-"")"),"EFA")</f>
        <v>EFA</v>
      </c>
    </row>
    <row r="230" ht="15.75" customHeight="1">
      <c r="A230" s="111" t="s">
        <v>285</v>
      </c>
      <c r="B230" s="83" t="s">
        <v>1009</v>
      </c>
      <c r="C230" s="83" t="s">
        <v>68</v>
      </c>
      <c r="D230" s="112">
        <v>1133022.0</v>
      </c>
      <c r="E230" s="83"/>
      <c r="F230" s="83">
        <v>2.9221307E7</v>
      </c>
      <c r="G230" s="119" t="s">
        <v>1016</v>
      </c>
      <c r="H230" s="108" t="s">
        <v>1017</v>
      </c>
      <c r="I230" s="83" t="s">
        <v>149</v>
      </c>
      <c r="J230" s="83" t="s">
        <v>150</v>
      </c>
      <c r="K230" s="83" t="s">
        <v>151</v>
      </c>
      <c r="L230" s="83" t="s">
        <v>169</v>
      </c>
      <c r="M230" s="82" t="str">
        <f>IFERROR(__xludf.DUMMYFUNCTION("IFERROR(VLOOKUP(D230,
IMPORTRANGE(""https://docs.google.com/spreadsheets/d/1MjHtlUikwobi2MaWJgy7tfLeBmhj1u-dRFRs_8GwSoA/edit#gid=0"",""Gestores Escolares!D7:J""),3,0),""VERIFICAR CÓD SEC"")"),"ÁGUIDA RODRIGUES DE ARAÚJO")</f>
        <v>ÁGUIDA RODRIGUES DE ARAÚJO</v>
      </c>
      <c r="N230" s="82" t="str">
        <f>IFERROR(__xludf.DUMMYFUNCTION("IFERROR(VLOOKUP(D230,
IMPORTRANGE(""https://docs.google.com/spreadsheets/d/1MjHtlUikwobi2MaWJgy7tfLeBmhj1u-dRFRs_8GwSoA/edit#gid=0"",""Gestores Escolares!D7:J""),4,0),""VERIFICAR CÓD SEC"")"),"(75) 9 9944-5829")</f>
        <v>(75) 9 9944-5829</v>
      </c>
      <c r="O230" s="82" t="str">
        <f>IFERROR(__xludf.DUMMYFUNCTION("IFERROR(VLOOKUP(D230,
IMPORTRANGE(""https://docs.google.com/spreadsheets/d/1MjHtlUikwobi2MaWJgy7tfLeBmhj1u-dRFRs_8GwSoA/edit#gid=0"",""Gestores Escolares!D7:J""),6,0),""VERIFICAR CÓD SEC"")"),"")</f>
        <v/>
      </c>
      <c r="P230" s="82" t="str">
        <f>IFERROR(__xludf.DUMMYFUNCTION("IFERROR(VLOOKUP(D230,
IMPORTRANGE(""https://docs.google.com/spreadsheets/d/1MjHtlUikwobi2MaWJgy7tfLeBmhj1u-dRFRs_8GwSoA/edit#gid=0"",""Gestores Escolares!D7:J""),7,0),""VERIFICAR CÓD SEC"")"),"")</f>
        <v/>
      </c>
      <c r="Q230" s="82" t="str">
        <f>IFERROR(__xludf.DUMMYFUNCTION("IFERROR(VLOOKUP(D230,
IMPORTRANGE(""https://docs.google.com/spreadsheets/d/1MjHtlUikwobi2MaWJgy7tfLeBmhj1u-dRFRs_8GwSoA/edit#gid=0"",""Gestores Escolares!D7:m""),9,0),""VERIFICAR CÓD SEC"")"),"")</f>
        <v/>
      </c>
      <c r="R230" s="82" t="str">
        <f>IFERROR(__xludf.DUMMYFUNCTION("IFERROR(VLOOKUP(D230,
IMPORTRANGE(""https://docs.google.com/spreadsheets/d/1MjHtlUikwobi2MaWJgy7tfLeBmhj1u-dRFRs_8GwSoA/edit#gid=0"",""Gestores Escolares!D7:m""),10,0),""VERIFICAR CÓD SEC"")"),"")</f>
        <v/>
      </c>
      <c r="S230" s="82"/>
      <c r="T230" s="138">
        <v>7.0</v>
      </c>
      <c r="U230" s="145" t="s">
        <v>3252</v>
      </c>
      <c r="V230" s="106">
        <v>0.0</v>
      </c>
      <c r="W230" s="107">
        <v>0.0</v>
      </c>
      <c r="X230" s="107">
        <v>0.0</v>
      </c>
      <c r="Y230" s="107">
        <v>0.0</v>
      </c>
      <c r="Z230" s="80">
        <f t="shared" si="1"/>
        <v>0</v>
      </c>
      <c r="AA230" s="106">
        <v>0.0</v>
      </c>
      <c r="AB230" s="107">
        <v>0.0</v>
      </c>
      <c r="AC230" s="107">
        <v>0.0</v>
      </c>
      <c r="AD230" s="107">
        <v>0.0</v>
      </c>
      <c r="AE230" s="80">
        <f t="shared" si="2"/>
        <v>0</v>
      </c>
      <c r="AF230" s="140">
        <v>69.0</v>
      </c>
      <c r="AG230" s="109">
        <v>67.0</v>
      </c>
      <c r="AH230" s="109">
        <v>0.0</v>
      </c>
      <c r="AI230" s="141">
        <v>0.0</v>
      </c>
      <c r="AJ230" s="80">
        <f t="shared" si="3"/>
        <v>136</v>
      </c>
      <c r="AK230" s="140">
        <v>0.0</v>
      </c>
      <c r="AL230" s="109">
        <v>0.0</v>
      </c>
      <c r="AM230" s="141">
        <v>0.0</v>
      </c>
      <c r="AN230" s="80">
        <f t="shared" si="4"/>
        <v>0</v>
      </c>
      <c r="AO230" s="140">
        <v>0.0</v>
      </c>
      <c r="AP230" s="109">
        <v>0.0</v>
      </c>
      <c r="AQ230" s="109">
        <v>0.0</v>
      </c>
      <c r="AR230" s="80">
        <f t="shared" si="5"/>
        <v>0</v>
      </c>
      <c r="AS230" s="110">
        <v>0.0</v>
      </c>
      <c r="AT230" s="110">
        <v>0.0</v>
      </c>
      <c r="AU230" s="110">
        <v>0.0</v>
      </c>
      <c r="AV230" s="142">
        <v>0.0</v>
      </c>
      <c r="AW230" s="80">
        <f t="shared" si="6"/>
        <v>0</v>
      </c>
      <c r="AX230" s="113">
        <f t="shared" si="7"/>
        <v>136</v>
      </c>
      <c r="AY230" s="117">
        <f t="shared" si="8"/>
        <v>136</v>
      </c>
      <c r="AZ230" s="120">
        <f t="shared" si="9"/>
        <v>0</v>
      </c>
      <c r="BA230" s="115">
        <v>0.0</v>
      </c>
      <c r="BB230" s="89">
        <f t="shared" si="10"/>
        <v>136</v>
      </c>
      <c r="BC230" s="132" t="s">
        <v>178</v>
      </c>
      <c r="BD230" s="132" t="s">
        <v>178</v>
      </c>
      <c r="BE230" s="132" t="s">
        <v>178</v>
      </c>
      <c r="BF230" s="156"/>
      <c r="BG230" s="83">
        <v>1133022.0</v>
      </c>
      <c r="BH230" s="112"/>
      <c r="BI230" s="112">
        <v>7.0</v>
      </c>
      <c r="BJ230" s="98" t="s">
        <v>155</v>
      </c>
      <c r="BK230" s="99">
        <f t="shared" si="11"/>
        <v>0</v>
      </c>
      <c r="BL230" s="99">
        <f t="shared" si="12"/>
        <v>136</v>
      </c>
      <c r="BM230" s="99" t="str">
        <f>IFERROR(__xludf.DUMMYFUNCTION("IFERROR(VLOOKUP(BG230,IMPORTRANGE(""https://docs.google.com/spreadsheets/d/1juPI-Fb8LD0YtltB2mlGEnp_R3UVu1t3wSFPzgCyHXE/edit?gid=0#gid=0"",""GERAL!A2:C""),3,0),""-"")"),"-")</f>
        <v>-</v>
      </c>
    </row>
    <row r="231" ht="15.75" customHeight="1">
      <c r="A231" s="111" t="s">
        <v>285</v>
      </c>
      <c r="B231" s="83" t="s">
        <v>1009</v>
      </c>
      <c r="C231" s="83" t="s">
        <v>68</v>
      </c>
      <c r="D231" s="112">
        <v>1179283.0</v>
      </c>
      <c r="E231" s="83"/>
      <c r="F231" s="83">
        <v>2.9461502E7</v>
      </c>
      <c r="G231" s="114" t="s">
        <v>1020</v>
      </c>
      <c r="H231" s="91" t="s">
        <v>1021</v>
      </c>
      <c r="I231" s="172" t="s">
        <v>149</v>
      </c>
      <c r="J231" s="83" t="s">
        <v>150</v>
      </c>
      <c r="K231" s="83" t="s">
        <v>1022</v>
      </c>
      <c r="L231" s="172" t="s">
        <v>230</v>
      </c>
      <c r="M231" s="82" t="str">
        <f>IFERROR(__xludf.DUMMYFUNCTION("IFERROR(VLOOKUP(D231,
IMPORTRANGE(""https://docs.google.com/spreadsheets/d/1MjHtlUikwobi2MaWJgy7tfLeBmhj1u-dRFRs_8GwSoA/edit#gid=0"",""Gestores Escolares!D7:J""),3,0),""VERIFICAR CÓD SEC"")"),"LAIZA BRANDAO MIRANDA")</f>
        <v>LAIZA BRANDAO MIRANDA</v>
      </c>
      <c r="N231" s="82" t="str">
        <f>IFERROR(__xludf.DUMMYFUNCTION("IFERROR(VLOOKUP(D231,
IMPORTRANGE(""https://docs.google.com/spreadsheets/d/1MjHtlUikwobi2MaWJgy7tfLeBmhj1u-dRFRs_8GwSoA/edit#gid=0"",""Gestores Escolares!D7:J""),4,0),""VERIFICAR CÓD SEC"")"),"(75) 9 9966-5253")</f>
        <v>(75) 9 9966-5253</v>
      </c>
      <c r="O231" s="82" t="str">
        <f>IFERROR(__xludf.DUMMYFUNCTION("IFERROR(VLOOKUP(D231,
IMPORTRANGE(""https://docs.google.com/spreadsheets/d/1MjHtlUikwobi2MaWJgy7tfLeBmhj1u-dRFRs_8GwSoA/edit#gid=0"",""Gestores Escolares!D7:J""),6,0),""VERIFICAR CÓD SEC"")"),"ROSANA ISABEL DO R. TELES")</f>
        <v>ROSANA ISABEL DO R. TELES</v>
      </c>
      <c r="P231" s="82" t="str">
        <f>IFERROR(__xludf.DUMMYFUNCTION("IFERROR(VLOOKUP(D231,
IMPORTRANGE(""https://docs.google.com/spreadsheets/d/1MjHtlUikwobi2MaWJgy7tfLeBmhj1u-dRFRs_8GwSoA/edit#gid=0"",""Gestores Escolares!D7:J""),7,0),""VERIFICAR CÓD SEC"")"),"(75) 9 9966-4696")</f>
        <v>(75) 9 9966-4696</v>
      </c>
      <c r="Q231" s="82" t="str">
        <f>IFERROR(__xludf.DUMMYFUNCTION("IFERROR(VLOOKUP(D231,
IMPORTRANGE(""https://docs.google.com/spreadsheets/d/1MjHtlUikwobi2MaWJgy7tfLeBmhj1u-dRFRs_8GwSoA/edit#gid=0"",""Gestores Escolares!D7:m""),9,0),""VERIFICAR CÓD SEC"")"),"MOZART MACEDO XAVIER")</f>
        <v>MOZART MACEDO XAVIER</v>
      </c>
      <c r="R231" s="82" t="str">
        <f>IFERROR(__xludf.DUMMYFUNCTION("IFERROR(VLOOKUP(D231,
IMPORTRANGE(""https://docs.google.com/spreadsheets/d/1MjHtlUikwobi2MaWJgy7tfLeBmhj1u-dRFRs_8GwSoA/edit#gid=0"",""Gestores Escolares!D7:m""),10,0),""VERIFICAR CÓD SEC"")"),"(75) 9 9918-1536")</f>
        <v>(75) 9 9918-1536</v>
      </c>
      <c r="S231" s="82"/>
      <c r="T231" s="138" t="s">
        <v>171</v>
      </c>
      <c r="U231" s="145" t="s">
        <v>171</v>
      </c>
      <c r="V231" s="106">
        <v>0.0</v>
      </c>
      <c r="W231" s="107">
        <v>0.0</v>
      </c>
      <c r="X231" s="107">
        <v>0.0</v>
      </c>
      <c r="Y231" s="107">
        <v>0.0</v>
      </c>
      <c r="Z231" s="80">
        <f t="shared" si="1"/>
        <v>0</v>
      </c>
      <c r="AA231" s="106">
        <v>0.0</v>
      </c>
      <c r="AB231" s="107">
        <v>0.0</v>
      </c>
      <c r="AC231" s="107">
        <v>0.0</v>
      </c>
      <c r="AD231" s="107">
        <v>0.0</v>
      </c>
      <c r="AE231" s="80">
        <f t="shared" si="2"/>
        <v>0</v>
      </c>
      <c r="AF231" s="222">
        <v>0.0</v>
      </c>
      <c r="AG231" s="222">
        <v>0.0</v>
      </c>
      <c r="AH231" s="222">
        <v>0.0</v>
      </c>
      <c r="AI231" s="224">
        <v>0.0</v>
      </c>
      <c r="AJ231" s="80">
        <f t="shared" si="3"/>
        <v>0</v>
      </c>
      <c r="AK231" s="140">
        <v>0.0</v>
      </c>
      <c r="AL231" s="109">
        <v>0.0</v>
      </c>
      <c r="AM231" s="141">
        <v>0.0</v>
      </c>
      <c r="AN231" s="80">
        <f t="shared" si="4"/>
        <v>0</v>
      </c>
      <c r="AO231" s="222">
        <v>0.0</v>
      </c>
      <c r="AP231" s="222">
        <v>0.0</v>
      </c>
      <c r="AQ231" s="224">
        <v>0.0</v>
      </c>
      <c r="AR231" s="80">
        <f t="shared" si="5"/>
        <v>0</v>
      </c>
      <c r="AS231" s="110">
        <v>0.0</v>
      </c>
      <c r="AT231" s="110">
        <v>0.0</v>
      </c>
      <c r="AU231" s="110">
        <v>0.0</v>
      </c>
      <c r="AV231" s="142">
        <v>0.0</v>
      </c>
      <c r="AW231" s="80">
        <f t="shared" si="6"/>
        <v>0</v>
      </c>
      <c r="AX231" s="113">
        <f t="shared" si="7"/>
        <v>0</v>
      </c>
      <c r="AY231" s="117">
        <f t="shared" si="8"/>
        <v>0</v>
      </c>
      <c r="AZ231" s="120">
        <f t="shared" si="9"/>
        <v>0</v>
      </c>
      <c r="BA231" s="115">
        <v>0.0</v>
      </c>
      <c r="BB231" s="89">
        <f t="shared" si="10"/>
        <v>0</v>
      </c>
      <c r="BC231" s="132" t="s">
        <v>178</v>
      </c>
      <c r="BD231" s="143" t="s">
        <v>227</v>
      </c>
      <c r="BE231" s="132" t="s">
        <v>178</v>
      </c>
      <c r="BF231" s="156" t="s">
        <v>534</v>
      </c>
      <c r="BG231" s="83">
        <v>1179283.0</v>
      </c>
      <c r="BH231" s="112"/>
      <c r="BI231" s="112">
        <v>3.0</v>
      </c>
      <c r="BJ231" s="98" t="s">
        <v>155</v>
      </c>
      <c r="BK231" s="99">
        <f t="shared" si="11"/>
        <v>0</v>
      </c>
      <c r="BL231" s="99">
        <f t="shared" si="12"/>
        <v>0</v>
      </c>
      <c r="BM231" s="99" t="str">
        <f>IFERROR(__xludf.DUMMYFUNCTION("IFERROR(VLOOKUP(BG231,IMPORTRANGE(""https://docs.google.com/spreadsheets/d/1juPI-Fb8LD0YtltB2mlGEnp_R3UVu1t3wSFPzgCyHXE/edit?gid=0#gid=0"",""GERAL!A2:C""),3,0),""-"")"),"-")</f>
        <v>-</v>
      </c>
    </row>
    <row r="232" ht="15.75" customHeight="1">
      <c r="A232" s="111" t="s">
        <v>285</v>
      </c>
      <c r="B232" s="83" t="s">
        <v>1009</v>
      </c>
      <c r="C232" s="83" t="s">
        <v>68</v>
      </c>
      <c r="D232" s="112">
        <v>1133138.0</v>
      </c>
      <c r="E232" s="83"/>
      <c r="F232" s="83">
        <v>2.9220076E7</v>
      </c>
      <c r="G232" s="119" t="s">
        <v>1024</v>
      </c>
      <c r="H232" s="91" t="s">
        <v>1025</v>
      </c>
      <c r="I232" s="82" t="s">
        <v>149</v>
      </c>
      <c r="J232" s="83" t="s">
        <v>150</v>
      </c>
      <c r="K232" s="83" t="s">
        <v>151</v>
      </c>
      <c r="L232" s="82" t="s">
        <v>230</v>
      </c>
      <c r="M232" s="82" t="str">
        <f>IFERROR(__xludf.DUMMYFUNCTION("IFERROR(VLOOKUP(D232,
IMPORTRANGE(""https://docs.google.com/spreadsheets/d/1MjHtlUikwobi2MaWJgy7tfLeBmhj1u-dRFRs_8GwSoA/edit#gid=0"",""Gestores Escolares!D7:J""),3,0),""VERIFICAR CÓD SEC"")"),"MILENA LIVIA PEREIRA MARQUES")</f>
        <v>MILENA LIVIA PEREIRA MARQUES</v>
      </c>
      <c r="N232" s="82" t="str">
        <f>IFERROR(__xludf.DUMMYFUNCTION("IFERROR(VLOOKUP(D232,
IMPORTRANGE(""https://docs.google.com/spreadsheets/d/1MjHtlUikwobi2MaWJgy7tfLeBmhj1u-dRFRs_8GwSoA/edit#gid=0"",""Gestores Escolares!D7:J""),4,0),""VERIFICAR CÓD SEC"")"),"(75) 9 9123-1632
")</f>
        <v>(75) 9 9123-1632
</v>
      </c>
      <c r="O232" s="82" t="str">
        <f>IFERROR(__xludf.DUMMYFUNCTION("IFERROR(VLOOKUP(D232,
IMPORTRANGE(""https://docs.google.com/spreadsheets/d/1MjHtlUikwobi2MaWJgy7tfLeBmhj1u-dRFRs_8GwSoA/edit#gid=0"",""Gestores Escolares!D7:J""),6,0),""VERIFICAR CÓD SEC"")"),"MARCOS DAVI LEAL DA ANUNCIACAO")</f>
        <v>MARCOS DAVI LEAL DA ANUNCIACAO</v>
      </c>
      <c r="P232" s="82" t="str">
        <f>IFERROR(__xludf.DUMMYFUNCTION("IFERROR(VLOOKUP(D232,
IMPORTRANGE(""https://docs.google.com/spreadsheets/d/1MjHtlUikwobi2MaWJgy7tfLeBmhj1u-dRFRs_8GwSoA/edit#gid=0"",""Gestores Escolares!D7:J""),7,0),""VERIFICAR CÓD SEC"")"),"(71) 9 9349-5906")</f>
        <v>(71) 9 9349-5906</v>
      </c>
      <c r="Q232" s="82" t="str">
        <f>IFERROR(__xludf.DUMMYFUNCTION("IFERROR(VLOOKUP(D232,
IMPORTRANGE(""https://docs.google.com/spreadsheets/d/1MjHtlUikwobi2MaWJgy7tfLeBmhj1u-dRFRs_8GwSoA/edit#gid=0"",""Gestores Escolares!D7:m""),9,0),""VERIFICAR CÓD SEC"")")," CELSINO FERNANDES TEIXEIRA")</f>
        <v> CELSINO FERNANDES TEIXEIRA</v>
      </c>
      <c r="R232" s="82" t="str">
        <f>IFERROR(__xludf.DUMMYFUNCTION("IFERROR(VLOOKUP(D232,
IMPORTRANGE(""https://docs.google.com/spreadsheets/d/1MjHtlUikwobi2MaWJgy7tfLeBmhj1u-dRFRs_8GwSoA/edit#gid=0"",""Gestores Escolares!D7:m""),10,0),""VERIFICAR CÓD SEC"")"),"(75) 9 9848-0730")</f>
        <v>(75) 9 9848-0730</v>
      </c>
      <c r="S232" s="82"/>
      <c r="T232" s="138">
        <v>14.0</v>
      </c>
      <c r="U232" s="145" t="s">
        <v>3287</v>
      </c>
      <c r="V232" s="106">
        <v>0.0</v>
      </c>
      <c r="W232" s="107">
        <v>0.0</v>
      </c>
      <c r="X232" s="107">
        <v>0.0</v>
      </c>
      <c r="Y232" s="107">
        <v>0.0</v>
      </c>
      <c r="Z232" s="80">
        <f t="shared" si="1"/>
        <v>0</v>
      </c>
      <c r="AA232" s="106">
        <v>0.0</v>
      </c>
      <c r="AB232" s="107">
        <v>0.0</v>
      </c>
      <c r="AC232" s="107">
        <v>0.0</v>
      </c>
      <c r="AD232" s="107">
        <v>0.0</v>
      </c>
      <c r="AE232" s="80">
        <f t="shared" si="2"/>
        <v>0</v>
      </c>
      <c r="AF232" s="140">
        <v>365.0</v>
      </c>
      <c r="AG232" s="109">
        <v>409.0</v>
      </c>
      <c r="AH232" s="109">
        <v>0.0</v>
      </c>
      <c r="AI232" s="141">
        <v>15.0</v>
      </c>
      <c r="AJ232" s="80">
        <f t="shared" si="3"/>
        <v>789</v>
      </c>
      <c r="AK232" s="140">
        <v>0.0</v>
      </c>
      <c r="AL232" s="109">
        <v>0.0</v>
      </c>
      <c r="AM232" s="141">
        <v>0.0</v>
      </c>
      <c r="AN232" s="80">
        <f t="shared" si="4"/>
        <v>0</v>
      </c>
      <c r="AO232" s="140">
        <v>0.0</v>
      </c>
      <c r="AP232" s="109">
        <v>0.0</v>
      </c>
      <c r="AQ232" s="109">
        <v>102.0</v>
      </c>
      <c r="AR232" s="80">
        <f t="shared" si="5"/>
        <v>102</v>
      </c>
      <c r="AS232" s="110">
        <v>279.0</v>
      </c>
      <c r="AT232" s="110">
        <v>246.0</v>
      </c>
      <c r="AU232" s="110">
        <v>130.0</v>
      </c>
      <c r="AV232" s="142">
        <v>37.0</v>
      </c>
      <c r="AW232" s="80">
        <f t="shared" si="6"/>
        <v>692</v>
      </c>
      <c r="AX232" s="113">
        <f t="shared" si="7"/>
        <v>1583</v>
      </c>
      <c r="AY232" s="117">
        <f t="shared" si="8"/>
        <v>1351</v>
      </c>
      <c r="AZ232" s="120">
        <f t="shared" si="9"/>
        <v>232</v>
      </c>
      <c r="BA232" s="115">
        <v>0.0</v>
      </c>
      <c r="BB232" s="89">
        <f t="shared" si="10"/>
        <v>1583</v>
      </c>
      <c r="BC232" s="132" t="s">
        <v>178</v>
      </c>
      <c r="BD232" s="132" t="s">
        <v>779</v>
      </c>
      <c r="BE232" s="132" t="s">
        <v>178</v>
      </c>
      <c r="BF232" s="156"/>
      <c r="BG232" s="83">
        <v>1133138.0</v>
      </c>
      <c r="BH232" s="112"/>
      <c r="BI232" s="112">
        <v>12.0</v>
      </c>
      <c r="BJ232" s="98" t="s">
        <v>176</v>
      </c>
      <c r="BK232" s="99">
        <f t="shared" si="11"/>
        <v>52</v>
      </c>
      <c r="BL232" s="99">
        <f t="shared" si="12"/>
        <v>1299</v>
      </c>
      <c r="BM232" s="99" t="str">
        <f>IFERROR(__xludf.DUMMYFUNCTION("IFERROR(VLOOKUP(BG232,IMPORTRANGE(""https://docs.google.com/spreadsheets/d/1juPI-Fb8LD0YtltB2mlGEnp_R3UVu1t3wSFPzgCyHXE/edit?gid=0#gid=0"",""GERAL!A2:C""),3,0),""-"")"),"-")</f>
        <v>-</v>
      </c>
    </row>
    <row r="233" ht="15.75" customHeight="1">
      <c r="A233" s="111" t="s">
        <v>285</v>
      </c>
      <c r="B233" s="83" t="s">
        <v>1009</v>
      </c>
      <c r="C233" s="83" t="s">
        <v>68</v>
      </c>
      <c r="D233" s="98">
        <v>1179784.0</v>
      </c>
      <c r="E233" s="98"/>
      <c r="F233" s="98">
        <v>44171.0</v>
      </c>
      <c r="G233" s="119" t="s">
        <v>1029</v>
      </c>
      <c r="H233" s="108" t="s">
        <v>1030</v>
      </c>
      <c r="I233" s="83" t="s">
        <v>149</v>
      </c>
      <c r="J233" s="83" t="s">
        <v>150</v>
      </c>
      <c r="K233" s="83" t="s">
        <v>151</v>
      </c>
      <c r="L233" s="83" t="s">
        <v>230</v>
      </c>
      <c r="M233" s="82" t="str">
        <f>IFERROR(__xludf.DUMMYFUNCTION("IFERROR(VLOOKUP(D233,
IMPORTRANGE(""https://docs.google.com/spreadsheets/d/1MjHtlUikwobi2MaWJgy7tfLeBmhj1u-dRFRs_8GwSoA/edit#gid=0"",""Gestores Escolares!D7:J""),3,0),""VERIFICAR CÓD SEC"")"),"JUCELINA RIBEIRO GUANAIS SOUZA")</f>
        <v>JUCELINA RIBEIRO GUANAIS SOUZA</v>
      </c>
      <c r="N233" s="82" t="str">
        <f>IFERROR(__xludf.DUMMYFUNCTION("IFERROR(VLOOKUP(D233,
IMPORTRANGE(""https://docs.google.com/spreadsheets/d/1MjHtlUikwobi2MaWJgy7tfLeBmhj1u-dRFRs_8GwSoA/edit#gid=0"",""Gestores Escolares!D7:J""),4,0),""VERIFICAR CÓD SEC"")"),"(75) 9 9950-5147")</f>
        <v>(75) 9 9950-5147</v>
      </c>
      <c r="O233" s="82" t="str">
        <f>IFERROR(__xludf.DUMMYFUNCTION("IFERROR(VLOOKUP(D233,
IMPORTRANGE(""https://docs.google.com/spreadsheets/d/1MjHtlUikwobi2MaWJgy7tfLeBmhj1u-dRFRs_8GwSoA/edit#gid=0"",""Gestores Escolares!D7:J""),6,0),""VERIFICAR CÓD SEC"")"),"VINICIUS SANTOS NONATO - Gestor PCD do território (surdo). Precisa sempre entrar em contato com ele por escrito no whatsapp")</f>
        <v>VINICIUS SANTOS NONATO - Gestor PCD do território (surdo). Precisa sempre entrar em contato com ele por escrito no whatsapp</v>
      </c>
      <c r="P233" s="82" t="str">
        <f>IFERROR(__xludf.DUMMYFUNCTION("IFERROR(VLOOKUP(D233,
IMPORTRANGE(""https://docs.google.com/spreadsheets/d/1MjHtlUikwobi2MaWJgy7tfLeBmhj1u-dRFRs_8GwSoA/edit#gid=0"",""Gestores Escolares!D7:J""),7,0),""VERIFICAR CÓD SEC"")"),"(71) 9 9974-4804")</f>
        <v>(71) 9 9974-4804</v>
      </c>
      <c r="Q233" s="82" t="str">
        <f>IFERROR(__xludf.DUMMYFUNCTION("IFERROR(VLOOKUP(D233,
IMPORTRANGE(""https://docs.google.com/spreadsheets/d/1MjHtlUikwobi2MaWJgy7tfLeBmhj1u-dRFRs_8GwSoA/edit#gid=0"",""Gestores Escolares!D7:m""),9,0),""VERIFICAR CÓD SEC"")"),"")</f>
        <v/>
      </c>
      <c r="R233" s="82" t="str">
        <f>IFERROR(__xludf.DUMMYFUNCTION("IFERROR(VLOOKUP(D233,
IMPORTRANGE(""https://docs.google.com/spreadsheets/d/1MjHtlUikwobi2MaWJgy7tfLeBmhj1u-dRFRs_8GwSoA/edit#gid=0"",""Gestores Escolares!D7:m""),10,0),""VERIFICAR CÓD SEC"")"),"")</f>
        <v/>
      </c>
      <c r="S233" s="82"/>
      <c r="T233" s="138"/>
      <c r="U233" s="359"/>
      <c r="V233" s="106">
        <v>0.0</v>
      </c>
      <c r="W233" s="107">
        <v>0.0</v>
      </c>
      <c r="X233" s="107">
        <v>0.0</v>
      </c>
      <c r="Y233" s="107">
        <v>0.0</v>
      </c>
      <c r="Z233" s="80">
        <f t="shared" si="1"/>
        <v>0</v>
      </c>
      <c r="AA233" s="106">
        <v>0.0</v>
      </c>
      <c r="AB233" s="107">
        <v>0.0</v>
      </c>
      <c r="AC233" s="107">
        <v>0.0</v>
      </c>
      <c r="AD233" s="107">
        <v>0.0</v>
      </c>
      <c r="AE233" s="80">
        <f t="shared" si="2"/>
        <v>0</v>
      </c>
      <c r="AF233" s="140">
        <v>0.0</v>
      </c>
      <c r="AG233" s="109">
        <v>0.0</v>
      </c>
      <c r="AH233" s="109">
        <v>0.0</v>
      </c>
      <c r="AI233" s="141">
        <v>0.0</v>
      </c>
      <c r="AJ233" s="80">
        <f t="shared" si="3"/>
        <v>0</v>
      </c>
      <c r="AK233" s="140">
        <v>0.0</v>
      </c>
      <c r="AL233" s="109">
        <v>0.0</v>
      </c>
      <c r="AM233" s="141">
        <v>0.0</v>
      </c>
      <c r="AN233" s="80">
        <f t="shared" si="4"/>
        <v>0</v>
      </c>
      <c r="AO233" s="140">
        <v>0.0</v>
      </c>
      <c r="AP233" s="109">
        <v>0.0</v>
      </c>
      <c r="AQ233" s="109">
        <v>0.0</v>
      </c>
      <c r="AR233" s="80">
        <f t="shared" si="5"/>
        <v>0</v>
      </c>
      <c r="AS233" s="110">
        <v>0.0</v>
      </c>
      <c r="AT233" s="110">
        <v>0.0</v>
      </c>
      <c r="AU233" s="110">
        <v>0.0</v>
      </c>
      <c r="AV233" s="142">
        <v>0.0</v>
      </c>
      <c r="AW233" s="80">
        <f t="shared" si="6"/>
        <v>0</v>
      </c>
      <c r="AX233" s="113">
        <f t="shared" si="7"/>
        <v>0</v>
      </c>
      <c r="AY233" s="117">
        <f t="shared" si="8"/>
        <v>0</v>
      </c>
      <c r="AZ233" s="120">
        <f t="shared" si="9"/>
        <v>0</v>
      </c>
      <c r="BA233" s="115">
        <v>1.0</v>
      </c>
      <c r="BB233" s="89">
        <f t="shared" si="10"/>
        <v>1</v>
      </c>
      <c r="BC233" s="132" t="s">
        <v>178</v>
      </c>
      <c r="BD233" s="132" t="s">
        <v>554</v>
      </c>
      <c r="BE233" s="132"/>
      <c r="BF233" s="123"/>
      <c r="BG233" s="98">
        <v>1179784.0</v>
      </c>
      <c r="BH233" s="112"/>
      <c r="BI233" s="112"/>
      <c r="BJ233" s="98"/>
      <c r="BK233" s="99">
        <f t="shared" si="11"/>
        <v>0</v>
      </c>
      <c r="BL233" s="99">
        <f t="shared" si="12"/>
        <v>0</v>
      </c>
      <c r="BM233" s="99" t="str">
        <f>IFERROR(__xludf.DUMMYFUNCTION("IFERROR(VLOOKUP(BG233,IMPORTRANGE(""https://docs.google.com/spreadsheets/d/1juPI-Fb8LD0YtltB2mlGEnp_R3UVu1t3wSFPzgCyHXE/edit?gid=0#gid=0"",""GERAL!A2:C""),3,0),""-"")"),"-")</f>
        <v>-</v>
      </c>
    </row>
    <row r="234" ht="15.75" customHeight="1">
      <c r="A234" s="111" t="s">
        <v>285</v>
      </c>
      <c r="B234" s="83" t="s">
        <v>1009</v>
      </c>
      <c r="C234" s="83" t="s">
        <v>164</v>
      </c>
      <c r="D234" s="112">
        <v>1133022.0</v>
      </c>
      <c r="E234" s="83">
        <v>1178970.0</v>
      </c>
      <c r="F234" s="98">
        <v>2.9491673E7</v>
      </c>
      <c r="G234" s="119" t="s">
        <v>1033</v>
      </c>
      <c r="H234" s="91" t="s">
        <v>1034</v>
      </c>
      <c r="I234" s="172" t="s">
        <v>1035</v>
      </c>
      <c r="J234" s="83" t="s">
        <v>839</v>
      </c>
      <c r="K234" s="83" t="s">
        <v>151</v>
      </c>
      <c r="L234" s="83" t="s">
        <v>169</v>
      </c>
      <c r="M234" s="82" t="str">
        <f>IFERROR(__xludf.DUMMYFUNCTION("IFERROR(VLOOKUP(D234,
IMPORTRANGE(""https://docs.google.com/spreadsheets/d/1MjHtlUikwobi2MaWJgy7tfLeBmhj1u-dRFRs_8GwSoA/edit#gid=0"",""Gestores Escolares!D7:J""),3,0),""VERIFICAR CÓD SEC"")"),"ÁGUIDA RODRIGUES DE ARAÚJO")</f>
        <v>ÁGUIDA RODRIGUES DE ARAÚJO</v>
      </c>
      <c r="N234" s="82" t="str">
        <f>IFERROR(__xludf.DUMMYFUNCTION("IFERROR(VLOOKUP(D234,
IMPORTRANGE(""https://docs.google.com/spreadsheets/d/1MjHtlUikwobi2MaWJgy7tfLeBmhj1u-dRFRs_8GwSoA/edit#gid=0"",""Gestores Escolares!D7:J""),4,0),""VERIFICAR CÓD SEC"")"),"(75) 9 9944-5829")</f>
        <v>(75) 9 9944-5829</v>
      </c>
      <c r="O234" s="82" t="str">
        <f>IFERROR(__xludf.DUMMYFUNCTION("IFERROR(VLOOKUP(D234,
IMPORTRANGE(""https://docs.google.com/spreadsheets/d/1MjHtlUikwobi2MaWJgy7tfLeBmhj1u-dRFRs_8GwSoA/edit#gid=0"",""Gestores Escolares!D7:J""),6,0),""VERIFICAR CÓD SEC"")"),"")</f>
        <v/>
      </c>
      <c r="P234" s="82" t="str">
        <f>IFERROR(__xludf.DUMMYFUNCTION("IFERROR(VLOOKUP(D234,
IMPORTRANGE(""https://docs.google.com/spreadsheets/d/1MjHtlUikwobi2MaWJgy7tfLeBmhj1u-dRFRs_8GwSoA/edit#gid=0"",""Gestores Escolares!D7:J""),7,0),""VERIFICAR CÓD SEC"")"),"")</f>
        <v/>
      </c>
      <c r="Q234" s="82" t="str">
        <f>IFERROR(__xludf.DUMMYFUNCTION("IFERROR(VLOOKUP(D234,
IMPORTRANGE(""https://docs.google.com/spreadsheets/d/1MjHtlUikwobi2MaWJgy7tfLeBmhj1u-dRFRs_8GwSoA/edit#gid=0"",""Gestores Escolares!D7:m""),9,0),""VERIFICAR CÓD SEC"")"),"")</f>
        <v/>
      </c>
      <c r="R234" s="82" t="str">
        <f>IFERROR(__xludf.DUMMYFUNCTION("IFERROR(VLOOKUP(D234,
IMPORTRANGE(""https://docs.google.com/spreadsheets/d/1MjHtlUikwobi2MaWJgy7tfLeBmhj1u-dRFRs_8GwSoA/edit#gid=0"",""Gestores Escolares!D7:m""),10,0),""VERIFICAR CÓD SEC"")"),"")</f>
        <v/>
      </c>
      <c r="S234" s="82"/>
      <c r="T234" s="138">
        <v>3.0</v>
      </c>
      <c r="U234" s="139">
        <v>3.0</v>
      </c>
      <c r="V234" s="106">
        <v>0.0</v>
      </c>
      <c r="W234" s="107">
        <v>0.0</v>
      </c>
      <c r="X234" s="107">
        <v>0.0</v>
      </c>
      <c r="Y234" s="107">
        <v>0.0</v>
      </c>
      <c r="Z234" s="80">
        <f t="shared" si="1"/>
        <v>0</v>
      </c>
      <c r="AA234" s="106">
        <v>0.0</v>
      </c>
      <c r="AB234" s="107">
        <v>0.0</v>
      </c>
      <c r="AC234" s="107">
        <v>0.0</v>
      </c>
      <c r="AD234" s="107">
        <v>0.0</v>
      </c>
      <c r="AE234" s="80">
        <f t="shared" si="2"/>
        <v>0</v>
      </c>
      <c r="AF234" s="140">
        <v>0.0</v>
      </c>
      <c r="AG234" s="109">
        <v>44.0</v>
      </c>
      <c r="AH234" s="109">
        <v>0.0</v>
      </c>
      <c r="AI234" s="141">
        <v>0.0</v>
      </c>
      <c r="AJ234" s="80">
        <f t="shared" si="3"/>
        <v>44</v>
      </c>
      <c r="AK234" s="140">
        <v>0.0</v>
      </c>
      <c r="AL234" s="109">
        <v>0.0</v>
      </c>
      <c r="AM234" s="141">
        <v>0.0</v>
      </c>
      <c r="AN234" s="80">
        <f t="shared" si="4"/>
        <v>0</v>
      </c>
      <c r="AO234" s="140">
        <v>0.0</v>
      </c>
      <c r="AP234" s="109">
        <v>0.0</v>
      </c>
      <c r="AQ234" s="109">
        <v>0.0</v>
      </c>
      <c r="AR234" s="80">
        <f t="shared" si="5"/>
        <v>0</v>
      </c>
      <c r="AS234" s="110">
        <v>0.0</v>
      </c>
      <c r="AT234" s="110">
        <v>0.0</v>
      </c>
      <c r="AU234" s="110">
        <v>0.0</v>
      </c>
      <c r="AV234" s="142">
        <v>0.0</v>
      </c>
      <c r="AW234" s="80">
        <f t="shared" si="6"/>
        <v>0</v>
      </c>
      <c r="AX234" s="113">
        <f t="shared" si="7"/>
        <v>44</v>
      </c>
      <c r="AY234" s="117">
        <f t="shared" si="8"/>
        <v>44</v>
      </c>
      <c r="AZ234" s="120">
        <f t="shared" si="9"/>
        <v>0</v>
      </c>
      <c r="BA234" s="115">
        <v>0.0</v>
      </c>
      <c r="BB234" s="89">
        <f t="shared" si="10"/>
        <v>44</v>
      </c>
      <c r="BC234" s="132" t="s">
        <v>373</v>
      </c>
      <c r="BD234" s="132" t="s">
        <v>178</v>
      </c>
      <c r="BE234" s="132" t="s">
        <v>178</v>
      </c>
      <c r="BF234" s="123"/>
      <c r="BG234" s="83">
        <v>1178970.0</v>
      </c>
      <c r="BH234" s="112"/>
      <c r="BI234" s="112">
        <v>3.0</v>
      </c>
      <c r="BJ234" s="98" t="s">
        <v>155</v>
      </c>
      <c r="BK234" s="99">
        <f t="shared" si="11"/>
        <v>0</v>
      </c>
      <c r="BL234" s="99">
        <f t="shared" si="12"/>
        <v>44</v>
      </c>
      <c r="BM234" s="99" t="str">
        <f>IFERROR(__xludf.DUMMYFUNCTION("IFERROR(VLOOKUP(BG234,IMPORTRANGE(""https://docs.google.com/spreadsheets/d/1juPI-Fb8LD0YtltB2mlGEnp_R3UVu1t3wSFPzgCyHXE/edit?gid=0#gid=0"",""GERAL!A2:C""),3,0),""-"")"),"CAMPO")</f>
        <v>CAMPO</v>
      </c>
    </row>
    <row r="235" ht="15.75" customHeight="1">
      <c r="A235" s="111" t="s">
        <v>285</v>
      </c>
      <c r="B235" s="83" t="s">
        <v>1009</v>
      </c>
      <c r="C235" s="83" t="s">
        <v>164</v>
      </c>
      <c r="D235" s="112">
        <v>1133022.0</v>
      </c>
      <c r="E235" s="98">
        <v>1179781.0</v>
      </c>
      <c r="F235" s="98">
        <v>2.9491703E7</v>
      </c>
      <c r="G235" s="119" t="s">
        <v>1036</v>
      </c>
      <c r="H235" s="108" t="s">
        <v>1037</v>
      </c>
      <c r="I235" s="172"/>
      <c r="J235" s="83"/>
      <c r="K235" s="98" t="s">
        <v>168</v>
      </c>
      <c r="L235" s="98" t="s">
        <v>512</v>
      </c>
      <c r="M235" s="82" t="str">
        <f>IFERROR(__xludf.DUMMYFUNCTION("IFERROR(VLOOKUP(D235,
IMPORTRANGE(""https://docs.google.com/spreadsheets/d/1MjHtlUikwobi2MaWJgy7tfLeBmhj1u-dRFRs_8GwSoA/edit#gid=0"",""Gestores Escolares!D7:J""),3,0),""VERIFICAR CÓD SEC"")"),"ÁGUIDA RODRIGUES DE ARAÚJO")</f>
        <v>ÁGUIDA RODRIGUES DE ARAÚJO</v>
      </c>
      <c r="N235" s="82" t="str">
        <f>IFERROR(__xludf.DUMMYFUNCTION("IFERROR(VLOOKUP(D235,
IMPORTRANGE(""https://docs.google.com/spreadsheets/d/1MjHtlUikwobi2MaWJgy7tfLeBmhj1u-dRFRs_8GwSoA/edit#gid=0"",""Gestores Escolares!D7:J""),4,0),""VERIFICAR CÓD SEC"")"),"(75) 9 9944-5829")</f>
        <v>(75) 9 9944-5829</v>
      </c>
      <c r="O235" s="82" t="str">
        <f>IFERROR(__xludf.DUMMYFUNCTION("IFERROR(VLOOKUP(D235,
IMPORTRANGE(""https://docs.google.com/spreadsheets/d/1MjHtlUikwobi2MaWJgy7tfLeBmhj1u-dRFRs_8GwSoA/edit#gid=0"",""Gestores Escolares!D7:J""),6,0),""VERIFICAR CÓD SEC"")"),"")</f>
        <v/>
      </c>
      <c r="P235" s="82" t="str">
        <f>IFERROR(__xludf.DUMMYFUNCTION("IFERROR(VLOOKUP(D235,
IMPORTRANGE(""https://docs.google.com/spreadsheets/d/1MjHtlUikwobi2MaWJgy7tfLeBmhj1u-dRFRs_8GwSoA/edit#gid=0"",""Gestores Escolares!D7:J""),7,0),""VERIFICAR CÓD SEC"")"),"")</f>
        <v/>
      </c>
      <c r="Q235" s="82" t="str">
        <f>IFERROR(__xludf.DUMMYFUNCTION("IFERROR(VLOOKUP(D235,
IMPORTRANGE(""https://docs.google.com/spreadsheets/d/1MjHtlUikwobi2MaWJgy7tfLeBmhj1u-dRFRs_8GwSoA/edit#gid=0"",""Gestores Escolares!D7:m""),9,0),""VERIFICAR CÓD SEC"")"),"")</f>
        <v/>
      </c>
      <c r="R235" s="82" t="str">
        <f>IFERROR(__xludf.DUMMYFUNCTION("IFERROR(VLOOKUP(D235,
IMPORTRANGE(""https://docs.google.com/spreadsheets/d/1MjHtlUikwobi2MaWJgy7tfLeBmhj1u-dRFRs_8GwSoA/edit#gid=0"",""Gestores Escolares!D7:m""),10,0),""VERIFICAR CÓD SEC"")"),"")</f>
        <v/>
      </c>
      <c r="S235" s="82"/>
      <c r="T235" s="138"/>
      <c r="U235" s="145">
        <v>1.0</v>
      </c>
      <c r="V235" s="106">
        <v>0.0</v>
      </c>
      <c r="W235" s="107">
        <v>0.0</v>
      </c>
      <c r="X235" s="107">
        <v>0.0</v>
      </c>
      <c r="Y235" s="107">
        <v>0.0</v>
      </c>
      <c r="Z235" s="80">
        <f t="shared" si="1"/>
        <v>0</v>
      </c>
      <c r="AA235" s="106">
        <v>0.0</v>
      </c>
      <c r="AB235" s="107">
        <v>0.0</v>
      </c>
      <c r="AC235" s="107">
        <v>0.0</v>
      </c>
      <c r="AD235" s="107">
        <v>0.0</v>
      </c>
      <c r="AE235" s="80">
        <f t="shared" si="2"/>
        <v>0</v>
      </c>
      <c r="AF235" s="140">
        <v>0.0</v>
      </c>
      <c r="AG235" s="109">
        <v>0.0</v>
      </c>
      <c r="AH235" s="109">
        <v>0.0</v>
      </c>
      <c r="AI235" s="141">
        <v>0.0</v>
      </c>
      <c r="AJ235" s="80">
        <f t="shared" si="3"/>
        <v>0</v>
      </c>
      <c r="AK235" s="140">
        <v>0.0</v>
      </c>
      <c r="AL235" s="109">
        <v>0.0</v>
      </c>
      <c r="AM235" s="141">
        <v>0.0</v>
      </c>
      <c r="AN235" s="80">
        <f t="shared" si="4"/>
        <v>0</v>
      </c>
      <c r="AO235" s="140">
        <v>0.0</v>
      </c>
      <c r="AP235" s="109">
        <v>0.0</v>
      </c>
      <c r="AQ235" s="109">
        <v>11.0</v>
      </c>
      <c r="AR235" s="80">
        <f t="shared" si="5"/>
        <v>11</v>
      </c>
      <c r="AS235" s="110">
        <v>0.0</v>
      </c>
      <c r="AT235" s="110">
        <v>0.0</v>
      </c>
      <c r="AU235" s="110">
        <v>0.0</v>
      </c>
      <c r="AV235" s="142">
        <v>0.0</v>
      </c>
      <c r="AW235" s="80">
        <f t="shared" si="6"/>
        <v>0</v>
      </c>
      <c r="AX235" s="113">
        <f t="shared" si="7"/>
        <v>11</v>
      </c>
      <c r="AY235" s="117">
        <f t="shared" si="8"/>
        <v>0</v>
      </c>
      <c r="AZ235" s="120">
        <f t="shared" si="9"/>
        <v>11</v>
      </c>
      <c r="BA235" s="115">
        <v>0.0</v>
      </c>
      <c r="BB235" s="89">
        <f t="shared" si="10"/>
        <v>11</v>
      </c>
      <c r="BC235" s="132" t="s">
        <v>178</v>
      </c>
      <c r="BD235" s="132" t="s">
        <v>178</v>
      </c>
      <c r="BE235" s="132" t="s">
        <v>178</v>
      </c>
      <c r="BF235" s="123"/>
      <c r="BG235" s="98">
        <v>1179781.0</v>
      </c>
      <c r="BH235" s="112"/>
      <c r="BI235" s="112"/>
      <c r="BJ235" s="98" t="s">
        <v>155</v>
      </c>
      <c r="BK235" s="99">
        <f t="shared" si="11"/>
        <v>0</v>
      </c>
      <c r="BL235" s="99">
        <f t="shared" si="12"/>
        <v>0</v>
      </c>
      <c r="BM235" s="99" t="str">
        <f>IFERROR(__xludf.DUMMYFUNCTION("IFERROR(VLOOKUP(BG235,IMPORTRANGE(""https://docs.google.com/spreadsheets/d/1juPI-Fb8LD0YtltB2mlGEnp_R3UVu1t3wSFPzgCyHXE/edit?gid=0#gid=0"",""GERAL!A2:C""),3,0),""-"")"),"-")</f>
        <v>-</v>
      </c>
    </row>
    <row r="236" ht="15.75" customHeight="1">
      <c r="A236" s="111" t="s">
        <v>285</v>
      </c>
      <c r="B236" s="83" t="s">
        <v>1009</v>
      </c>
      <c r="C236" s="83" t="s">
        <v>164</v>
      </c>
      <c r="D236" s="112">
        <v>1133022.0</v>
      </c>
      <c r="E236" s="83">
        <v>1179703.0</v>
      </c>
      <c r="F236" s="98">
        <v>2.949169E7</v>
      </c>
      <c r="G236" s="147" t="s">
        <v>1038</v>
      </c>
      <c r="H236" s="91" t="s">
        <v>1039</v>
      </c>
      <c r="I236" s="172" t="s">
        <v>149</v>
      </c>
      <c r="J236" s="172" t="s">
        <v>1040</v>
      </c>
      <c r="K236" s="83" t="s">
        <v>168</v>
      </c>
      <c r="L236" s="83" t="s">
        <v>169</v>
      </c>
      <c r="M236" s="82" t="str">
        <f>IFERROR(__xludf.DUMMYFUNCTION("IFERROR(VLOOKUP(D236,
IMPORTRANGE(""https://docs.google.com/spreadsheets/d/1MjHtlUikwobi2MaWJgy7tfLeBmhj1u-dRFRs_8GwSoA/edit#gid=0"",""Gestores Escolares!D7:J""),3,0),""VERIFICAR CÓD SEC"")"),"ÁGUIDA RODRIGUES DE ARAÚJO")</f>
        <v>ÁGUIDA RODRIGUES DE ARAÚJO</v>
      </c>
      <c r="N236" s="82" t="str">
        <f>IFERROR(__xludf.DUMMYFUNCTION("IFERROR(VLOOKUP(D236,
IMPORTRANGE(""https://docs.google.com/spreadsheets/d/1MjHtlUikwobi2MaWJgy7tfLeBmhj1u-dRFRs_8GwSoA/edit#gid=0"",""Gestores Escolares!D7:J""),4,0),""VERIFICAR CÓD SEC"")"),"(75) 9 9944-5829")</f>
        <v>(75) 9 9944-5829</v>
      </c>
      <c r="O236" s="82" t="str">
        <f>IFERROR(__xludf.DUMMYFUNCTION("IFERROR(VLOOKUP(D236,
IMPORTRANGE(""https://docs.google.com/spreadsheets/d/1MjHtlUikwobi2MaWJgy7tfLeBmhj1u-dRFRs_8GwSoA/edit#gid=0"",""Gestores Escolares!D7:J""),6,0),""VERIFICAR CÓD SEC"")"),"")</f>
        <v/>
      </c>
      <c r="P236" s="82" t="str">
        <f>IFERROR(__xludf.DUMMYFUNCTION("IFERROR(VLOOKUP(D236,
IMPORTRANGE(""https://docs.google.com/spreadsheets/d/1MjHtlUikwobi2MaWJgy7tfLeBmhj1u-dRFRs_8GwSoA/edit#gid=0"",""Gestores Escolares!D7:J""),7,0),""VERIFICAR CÓD SEC"")"),"")</f>
        <v/>
      </c>
      <c r="Q236" s="82" t="str">
        <f>IFERROR(__xludf.DUMMYFUNCTION("IFERROR(VLOOKUP(D236,
IMPORTRANGE(""https://docs.google.com/spreadsheets/d/1MjHtlUikwobi2MaWJgy7tfLeBmhj1u-dRFRs_8GwSoA/edit#gid=0"",""Gestores Escolares!D7:m""),9,0),""VERIFICAR CÓD SEC"")"),"")</f>
        <v/>
      </c>
      <c r="R236" s="82" t="str">
        <f>IFERROR(__xludf.DUMMYFUNCTION("IFERROR(VLOOKUP(D236,
IMPORTRANGE(""https://docs.google.com/spreadsheets/d/1MjHtlUikwobi2MaWJgy7tfLeBmhj1u-dRFRs_8GwSoA/edit#gid=0"",""Gestores Escolares!D7:m""),10,0),""VERIFICAR CÓD SEC"")"),"")</f>
        <v/>
      </c>
      <c r="S236" s="82"/>
      <c r="T236" s="138">
        <v>4.0</v>
      </c>
      <c r="U236" s="145">
        <v>2.0</v>
      </c>
      <c r="V236" s="106">
        <v>0.0</v>
      </c>
      <c r="W236" s="107">
        <v>0.0</v>
      </c>
      <c r="X236" s="107">
        <v>0.0</v>
      </c>
      <c r="Y236" s="107">
        <v>0.0</v>
      </c>
      <c r="Z236" s="80">
        <f t="shared" si="1"/>
        <v>0</v>
      </c>
      <c r="AA236" s="106">
        <v>0.0</v>
      </c>
      <c r="AB236" s="107">
        <v>0.0</v>
      </c>
      <c r="AC236" s="107">
        <v>0.0</v>
      </c>
      <c r="AD236" s="107">
        <v>0.0</v>
      </c>
      <c r="AE236" s="80">
        <f t="shared" si="2"/>
        <v>0</v>
      </c>
      <c r="AF236" s="140">
        <v>0.0</v>
      </c>
      <c r="AG236" s="109">
        <v>0.0</v>
      </c>
      <c r="AH236" s="109">
        <v>0.0</v>
      </c>
      <c r="AI236" s="141">
        <v>0.0</v>
      </c>
      <c r="AJ236" s="80">
        <f t="shared" si="3"/>
        <v>0</v>
      </c>
      <c r="AK236" s="140">
        <v>0.0</v>
      </c>
      <c r="AL236" s="109">
        <v>0.0</v>
      </c>
      <c r="AM236" s="141">
        <v>0.0</v>
      </c>
      <c r="AN236" s="80">
        <f t="shared" si="4"/>
        <v>0</v>
      </c>
      <c r="AO236" s="140">
        <v>0.0</v>
      </c>
      <c r="AP236" s="109">
        <v>0.0</v>
      </c>
      <c r="AQ236" s="109">
        <v>19.0</v>
      </c>
      <c r="AR236" s="80">
        <f t="shared" si="5"/>
        <v>19</v>
      </c>
      <c r="AS236" s="110">
        <v>0.0</v>
      </c>
      <c r="AT236" s="110">
        <v>0.0</v>
      </c>
      <c r="AU236" s="110">
        <v>0.0</v>
      </c>
      <c r="AV236" s="142">
        <v>0.0</v>
      </c>
      <c r="AW236" s="80">
        <f t="shared" si="6"/>
        <v>0</v>
      </c>
      <c r="AX236" s="113">
        <f t="shared" si="7"/>
        <v>19</v>
      </c>
      <c r="AY236" s="117">
        <f t="shared" si="8"/>
        <v>0</v>
      </c>
      <c r="AZ236" s="120">
        <f t="shared" si="9"/>
        <v>19</v>
      </c>
      <c r="BA236" s="115">
        <v>0.0</v>
      </c>
      <c r="BB236" s="89">
        <f t="shared" si="10"/>
        <v>19</v>
      </c>
      <c r="BC236" s="132" t="s">
        <v>373</v>
      </c>
      <c r="BD236" s="132" t="s">
        <v>178</v>
      </c>
      <c r="BE236" s="132" t="s">
        <v>178</v>
      </c>
      <c r="BF236" s="361"/>
      <c r="BG236" s="83">
        <v>1179703.0</v>
      </c>
      <c r="BH236" s="112"/>
      <c r="BI236" s="112">
        <v>4.0</v>
      </c>
      <c r="BJ236" s="98" t="s">
        <v>155</v>
      </c>
      <c r="BK236" s="99">
        <f t="shared" si="11"/>
        <v>0</v>
      </c>
      <c r="BL236" s="99">
        <f t="shared" si="12"/>
        <v>0</v>
      </c>
      <c r="BM236" s="99" t="str">
        <f>IFERROR(__xludf.DUMMYFUNCTION("IFERROR(VLOOKUP(BG236,IMPORTRANGE(""https://docs.google.com/spreadsheets/d/1juPI-Fb8LD0YtltB2mlGEnp_R3UVu1t3wSFPzgCyHXE/edit?gid=0#gid=0"",""GERAL!A2:C""),3,0),""-"")"),"CAMPO")</f>
        <v>CAMPO</v>
      </c>
    </row>
    <row r="237" ht="15.75" customHeight="1">
      <c r="A237" s="111" t="s">
        <v>285</v>
      </c>
      <c r="B237" s="83" t="s">
        <v>1009</v>
      </c>
      <c r="C237" s="83" t="s">
        <v>164</v>
      </c>
      <c r="D237" s="112">
        <v>1133022.0</v>
      </c>
      <c r="E237" s="98">
        <v>1179780.0</v>
      </c>
      <c r="F237" s="98">
        <v>2.9491681E7</v>
      </c>
      <c r="G237" s="119" t="s">
        <v>1041</v>
      </c>
      <c r="H237" s="108" t="s">
        <v>1042</v>
      </c>
      <c r="I237" s="172"/>
      <c r="J237" s="83"/>
      <c r="K237" s="83" t="s">
        <v>168</v>
      </c>
      <c r="L237" s="98" t="s">
        <v>512</v>
      </c>
      <c r="M237" s="82" t="str">
        <f>IFERROR(__xludf.DUMMYFUNCTION("IFERROR(VLOOKUP(D237,
IMPORTRANGE(""https://docs.google.com/spreadsheets/d/1MjHtlUikwobi2MaWJgy7tfLeBmhj1u-dRFRs_8GwSoA/edit#gid=0"",""Gestores Escolares!D7:J""),3,0),""VERIFICAR CÓD SEC"")"),"ÁGUIDA RODRIGUES DE ARAÚJO")</f>
        <v>ÁGUIDA RODRIGUES DE ARAÚJO</v>
      </c>
      <c r="N237" s="82" t="str">
        <f>IFERROR(__xludf.DUMMYFUNCTION("IFERROR(VLOOKUP(D237,
IMPORTRANGE(""https://docs.google.com/spreadsheets/d/1MjHtlUikwobi2MaWJgy7tfLeBmhj1u-dRFRs_8GwSoA/edit#gid=0"",""Gestores Escolares!D7:J""),4,0),""VERIFICAR CÓD SEC"")"),"(75) 9 9944-5829")</f>
        <v>(75) 9 9944-5829</v>
      </c>
      <c r="O237" s="82" t="str">
        <f>IFERROR(__xludf.DUMMYFUNCTION("IFERROR(VLOOKUP(D237,
IMPORTRANGE(""https://docs.google.com/spreadsheets/d/1MjHtlUikwobi2MaWJgy7tfLeBmhj1u-dRFRs_8GwSoA/edit#gid=0"",""Gestores Escolares!D7:J""),6,0),""VERIFICAR CÓD SEC"")"),"")</f>
        <v/>
      </c>
      <c r="P237" s="82" t="str">
        <f>IFERROR(__xludf.DUMMYFUNCTION("IFERROR(VLOOKUP(D237,
IMPORTRANGE(""https://docs.google.com/spreadsheets/d/1MjHtlUikwobi2MaWJgy7tfLeBmhj1u-dRFRs_8GwSoA/edit#gid=0"",""Gestores Escolares!D7:J""),7,0),""VERIFICAR CÓD SEC"")"),"")</f>
        <v/>
      </c>
      <c r="Q237" s="82" t="str">
        <f>IFERROR(__xludf.DUMMYFUNCTION("IFERROR(VLOOKUP(D237,
IMPORTRANGE(""https://docs.google.com/spreadsheets/d/1MjHtlUikwobi2MaWJgy7tfLeBmhj1u-dRFRs_8GwSoA/edit#gid=0"",""Gestores Escolares!D7:m""),9,0),""VERIFICAR CÓD SEC"")"),"")</f>
        <v/>
      </c>
      <c r="R237" s="82" t="str">
        <f>IFERROR(__xludf.DUMMYFUNCTION("IFERROR(VLOOKUP(D237,
IMPORTRANGE(""https://docs.google.com/spreadsheets/d/1MjHtlUikwobi2MaWJgy7tfLeBmhj1u-dRFRs_8GwSoA/edit#gid=0"",""Gestores Escolares!D7:m""),10,0),""VERIFICAR CÓD SEC"")"),"")</f>
        <v/>
      </c>
      <c r="S237" s="82"/>
      <c r="T237" s="138"/>
      <c r="U237" s="145">
        <v>2.0</v>
      </c>
      <c r="V237" s="106">
        <v>0.0</v>
      </c>
      <c r="W237" s="107">
        <v>0.0</v>
      </c>
      <c r="X237" s="107">
        <v>0.0</v>
      </c>
      <c r="Y237" s="107">
        <v>0.0</v>
      </c>
      <c r="Z237" s="80">
        <f t="shared" si="1"/>
        <v>0</v>
      </c>
      <c r="AA237" s="106">
        <v>0.0</v>
      </c>
      <c r="AB237" s="107">
        <v>0.0</v>
      </c>
      <c r="AC237" s="107">
        <v>0.0</v>
      </c>
      <c r="AD237" s="107">
        <v>0.0</v>
      </c>
      <c r="AE237" s="80">
        <f t="shared" si="2"/>
        <v>0</v>
      </c>
      <c r="AF237" s="140">
        <v>0.0</v>
      </c>
      <c r="AG237" s="109">
        <v>0.0</v>
      </c>
      <c r="AH237" s="109">
        <v>0.0</v>
      </c>
      <c r="AI237" s="141">
        <v>0.0</v>
      </c>
      <c r="AJ237" s="80">
        <f t="shared" si="3"/>
        <v>0</v>
      </c>
      <c r="AK237" s="140">
        <v>0.0</v>
      </c>
      <c r="AL237" s="109">
        <v>0.0</v>
      </c>
      <c r="AM237" s="141">
        <v>0.0</v>
      </c>
      <c r="AN237" s="80">
        <f t="shared" si="4"/>
        <v>0</v>
      </c>
      <c r="AO237" s="140">
        <v>0.0</v>
      </c>
      <c r="AP237" s="109">
        <v>0.0</v>
      </c>
      <c r="AQ237" s="109">
        <v>18.0</v>
      </c>
      <c r="AR237" s="80">
        <f t="shared" si="5"/>
        <v>18</v>
      </c>
      <c r="AS237" s="110">
        <v>0.0</v>
      </c>
      <c r="AT237" s="110">
        <v>0.0</v>
      </c>
      <c r="AU237" s="110">
        <v>0.0</v>
      </c>
      <c r="AV237" s="142">
        <v>0.0</v>
      </c>
      <c r="AW237" s="80">
        <f t="shared" si="6"/>
        <v>0</v>
      </c>
      <c r="AX237" s="113">
        <f t="shared" si="7"/>
        <v>18</v>
      </c>
      <c r="AY237" s="117">
        <f t="shared" si="8"/>
        <v>0</v>
      </c>
      <c r="AZ237" s="120">
        <f t="shared" si="9"/>
        <v>18</v>
      </c>
      <c r="BA237" s="115">
        <v>0.0</v>
      </c>
      <c r="BB237" s="89">
        <f t="shared" si="10"/>
        <v>18</v>
      </c>
      <c r="BC237" s="132" t="s">
        <v>178</v>
      </c>
      <c r="BD237" s="132" t="s">
        <v>178</v>
      </c>
      <c r="BE237" s="132" t="s">
        <v>178</v>
      </c>
      <c r="BF237" s="123"/>
      <c r="BG237" s="98">
        <v>1179780.0</v>
      </c>
      <c r="BH237" s="112"/>
      <c r="BI237" s="112"/>
      <c r="BJ237" s="98" t="s">
        <v>155</v>
      </c>
      <c r="BK237" s="99">
        <f t="shared" si="11"/>
        <v>0</v>
      </c>
      <c r="BL237" s="99">
        <f t="shared" si="12"/>
        <v>0</v>
      </c>
      <c r="BM237" s="99" t="str">
        <f>IFERROR(__xludf.DUMMYFUNCTION("IFERROR(VLOOKUP(BG237,IMPORTRANGE(""https://docs.google.com/spreadsheets/d/1juPI-Fb8LD0YtltB2mlGEnp_R3UVu1t3wSFPzgCyHXE/edit?gid=0#gid=0"",""GERAL!A2:C""),3,0),""-"")"),"-")</f>
        <v>-</v>
      </c>
    </row>
    <row r="238" ht="15.75" customHeight="1">
      <c r="A238" s="111" t="s">
        <v>285</v>
      </c>
      <c r="B238" s="83" t="s">
        <v>1043</v>
      </c>
      <c r="C238" s="83" t="s">
        <v>68</v>
      </c>
      <c r="D238" s="98">
        <v>1179793.0</v>
      </c>
      <c r="E238" s="83"/>
      <c r="F238" s="98">
        <v>2.9493854E7</v>
      </c>
      <c r="G238" s="153" t="s">
        <v>1044</v>
      </c>
      <c r="H238" s="108" t="s">
        <v>1045</v>
      </c>
      <c r="I238" s="172" t="s">
        <v>1046</v>
      </c>
      <c r="J238" s="83" t="s">
        <v>890</v>
      </c>
      <c r="K238" s="83" t="s">
        <v>151</v>
      </c>
      <c r="L238" s="83" t="s">
        <v>169</v>
      </c>
      <c r="M238" s="82" t="str">
        <f>IFERROR(__xludf.DUMMYFUNCTION("IFERROR(VLOOKUP(D238,
IMPORTRANGE(""https://docs.google.com/spreadsheets/d/1MjHtlUikwobi2MaWJgy7tfLeBmhj1u-dRFRs_8GwSoA/edit#gid=0"",""Gestores Escolares!D7:J""),3,0),""VERIFICAR CÓD SEC"")")," ELVS ALVES COSTA ")</f>
        <v> ELVS ALVES COSTA </v>
      </c>
      <c r="N238" s="82" t="str">
        <f>IFERROR(__xludf.DUMMYFUNCTION("IFERROR(VLOOKUP(D238,
IMPORTRANGE(""https://docs.google.com/spreadsheets/d/1MjHtlUikwobi2MaWJgy7tfLeBmhj1u-dRFRs_8GwSoA/edit#gid=0"",""Gestores Escolares!D7:J""),4,0),""VERIFICAR CÓD SEC"")"),"(75) 9 9242-7128")</f>
        <v>(75) 9 9242-7128</v>
      </c>
      <c r="O238" s="82" t="str">
        <f>IFERROR(__xludf.DUMMYFUNCTION("IFERROR(VLOOKUP(D238,
IMPORTRANGE(""https://docs.google.com/spreadsheets/d/1MjHtlUikwobi2MaWJgy7tfLeBmhj1u-dRFRs_8GwSoA/edit#gid=0"",""Gestores Escolares!D7:J""),6,0),""VERIFICAR CÓD SEC"")"),"")</f>
        <v/>
      </c>
      <c r="P238" s="82" t="str">
        <f>IFERROR(__xludf.DUMMYFUNCTION("IFERROR(VLOOKUP(D238,
IMPORTRANGE(""https://docs.google.com/spreadsheets/d/1MjHtlUikwobi2MaWJgy7tfLeBmhj1u-dRFRs_8GwSoA/edit#gid=0"",""Gestores Escolares!D7:J""),7,0),""VERIFICAR CÓD SEC"")"),"")</f>
        <v/>
      </c>
      <c r="Q238" s="82" t="str">
        <f>IFERROR(__xludf.DUMMYFUNCTION("IFERROR(VLOOKUP(D238,
IMPORTRANGE(""https://docs.google.com/spreadsheets/d/1MjHtlUikwobi2MaWJgy7tfLeBmhj1u-dRFRs_8GwSoA/edit#gid=0"",""Gestores Escolares!D7:m""),9,0),""VERIFICAR CÓD SEC"")"),"                                                                                                                                                                                                                                                               "&amp;"                                                                                                                                                                                                                                                               "&amp;"                                                                                                                                                                                                                                                               "&amp;"                                                                  ")</f>
        <v>                                                                                                                                                                                                                                                                                                                                                                                                                                                                                                                                                                                                                                                                                                                                                                                                                                                               </v>
      </c>
      <c r="R238" s="82" t="str">
        <f>IFERROR(__xludf.DUMMYFUNCTION("IFERROR(VLOOKUP(D238,
IMPORTRANGE(""https://docs.google.com/spreadsheets/d/1MjHtlUikwobi2MaWJgy7tfLeBmhj1u-dRFRs_8GwSoA/edit#gid=0"",""Gestores Escolares!D7:m""),10,0),""VERIFICAR CÓD SEC"")"),"")</f>
        <v/>
      </c>
      <c r="S238" s="82"/>
      <c r="T238" s="138">
        <v>3.0</v>
      </c>
      <c r="U238" s="145">
        <v>5.0</v>
      </c>
      <c r="V238" s="106">
        <v>0.0</v>
      </c>
      <c r="W238" s="107">
        <v>0.0</v>
      </c>
      <c r="X238" s="107">
        <v>0.0</v>
      </c>
      <c r="Y238" s="107">
        <v>0.0</v>
      </c>
      <c r="Z238" s="80">
        <f t="shared" si="1"/>
        <v>0</v>
      </c>
      <c r="AA238" s="106">
        <v>0.0</v>
      </c>
      <c r="AB238" s="107">
        <v>0.0</v>
      </c>
      <c r="AC238" s="107">
        <v>0.0</v>
      </c>
      <c r="AD238" s="107">
        <v>0.0</v>
      </c>
      <c r="AE238" s="80">
        <f t="shared" si="2"/>
        <v>0</v>
      </c>
      <c r="AF238" s="140">
        <v>24.0</v>
      </c>
      <c r="AG238" s="109">
        <v>25.0</v>
      </c>
      <c r="AH238" s="109">
        <v>0.0</v>
      </c>
      <c r="AI238" s="141">
        <v>104.0</v>
      </c>
      <c r="AJ238" s="80">
        <f t="shared" si="3"/>
        <v>153</v>
      </c>
      <c r="AK238" s="140">
        <v>0.0</v>
      </c>
      <c r="AL238" s="109">
        <v>0.0</v>
      </c>
      <c r="AM238" s="141">
        <v>0.0</v>
      </c>
      <c r="AN238" s="80">
        <f t="shared" si="4"/>
        <v>0</v>
      </c>
      <c r="AO238" s="140">
        <v>0.0</v>
      </c>
      <c r="AP238" s="109">
        <v>0.0</v>
      </c>
      <c r="AQ238" s="109">
        <v>55.0</v>
      </c>
      <c r="AR238" s="80">
        <f t="shared" si="5"/>
        <v>55</v>
      </c>
      <c r="AS238" s="110">
        <v>0.0</v>
      </c>
      <c r="AT238" s="110">
        <v>0.0</v>
      </c>
      <c r="AU238" s="110">
        <v>0.0</v>
      </c>
      <c r="AV238" s="142">
        <v>0.0</v>
      </c>
      <c r="AW238" s="80">
        <f t="shared" si="6"/>
        <v>0</v>
      </c>
      <c r="AX238" s="113">
        <f t="shared" si="7"/>
        <v>208</v>
      </c>
      <c r="AY238" s="117">
        <f t="shared" si="8"/>
        <v>153</v>
      </c>
      <c r="AZ238" s="120">
        <f t="shared" si="9"/>
        <v>55</v>
      </c>
      <c r="BA238" s="115">
        <v>0.0</v>
      </c>
      <c r="BB238" s="89">
        <f t="shared" si="10"/>
        <v>208</v>
      </c>
      <c r="BC238" s="132" t="s">
        <v>373</v>
      </c>
      <c r="BD238" s="132" t="s">
        <v>178</v>
      </c>
      <c r="BE238" s="132" t="s">
        <v>178</v>
      </c>
      <c r="BF238" s="123"/>
      <c r="BG238" s="98">
        <v>1179793.0</v>
      </c>
      <c r="BH238" s="112"/>
      <c r="BI238" s="112">
        <v>3.0</v>
      </c>
      <c r="BJ238" s="98" t="s">
        <v>162</v>
      </c>
      <c r="BK238" s="99">
        <f t="shared" si="11"/>
        <v>104</v>
      </c>
      <c r="BL238" s="99">
        <f t="shared" si="12"/>
        <v>49</v>
      </c>
      <c r="BM238" s="99" t="str">
        <f>IFERROR(__xludf.DUMMYFUNCTION("IFERROR(VLOOKUP(BG238,IMPORTRANGE(""https://docs.google.com/spreadsheets/d/1juPI-Fb8LD0YtltB2mlGEnp_R3UVu1t3wSFPzgCyHXE/edit?gid=0#gid=0"",""GERAL!A2:C""),3,0),""-"")"),"CAMPO")</f>
        <v>CAMPO</v>
      </c>
    </row>
    <row r="239" ht="15.75" customHeight="1">
      <c r="A239" s="111" t="s">
        <v>285</v>
      </c>
      <c r="B239" s="83" t="s">
        <v>1043</v>
      </c>
      <c r="C239" s="83" t="s">
        <v>68</v>
      </c>
      <c r="D239" s="112">
        <v>1133235.0</v>
      </c>
      <c r="E239" s="83"/>
      <c r="F239" s="83">
        <v>2.9067391E7</v>
      </c>
      <c r="G239" s="153" t="s">
        <v>1049</v>
      </c>
      <c r="H239" s="91" t="s">
        <v>1050</v>
      </c>
      <c r="I239" s="83" t="s">
        <v>149</v>
      </c>
      <c r="J239" s="83" t="s">
        <v>150</v>
      </c>
      <c r="K239" s="83" t="s">
        <v>151</v>
      </c>
      <c r="L239" s="83" t="s">
        <v>230</v>
      </c>
      <c r="M239" s="82" t="str">
        <f>IFERROR(__xludf.DUMMYFUNCTION("IFERROR(VLOOKUP(D239,
IMPORTRANGE(""https://docs.google.com/spreadsheets/d/1MjHtlUikwobi2MaWJgy7tfLeBmhj1u-dRFRs_8GwSoA/edit#gid=0"",""Gestores Escolares!D7:J""),3,0),""VERIFICAR CÓD SEC"")"),"RAFAEL MACHADO DOS SANTOS")</f>
        <v>RAFAEL MACHADO DOS SANTOS</v>
      </c>
      <c r="N239" s="82" t="str">
        <f>IFERROR(__xludf.DUMMYFUNCTION("IFERROR(VLOOKUP(D239,
IMPORTRANGE(""https://docs.google.com/spreadsheets/d/1MjHtlUikwobi2MaWJgy7tfLeBmhj1u-dRFRs_8GwSoA/edit#gid=0"",""Gestores Escolares!D7:J""),4,0),""VERIFICAR CÓD SEC"")"),"(77) 9 8102-6682")</f>
        <v>(77) 9 8102-6682</v>
      </c>
      <c r="O239" s="82" t="str">
        <f>IFERROR(__xludf.DUMMYFUNCTION("IFERROR(VLOOKUP(D239,
IMPORTRANGE(""https://docs.google.com/spreadsheets/d/1MjHtlUikwobi2MaWJgy7tfLeBmhj1u-dRFRs_8GwSoA/edit#gid=0"",""Gestores Escolares!D7:J""),6,0),""VERIFICAR CÓD SEC"")"),"IVANETE DA PAIXAO VIEIRA DE ALMEIDA ")</f>
        <v>IVANETE DA PAIXAO VIEIRA DE ALMEIDA </v>
      </c>
      <c r="P239" s="82" t="str">
        <f>IFERROR(__xludf.DUMMYFUNCTION("IFERROR(VLOOKUP(D239,
IMPORTRANGE(""https://docs.google.com/spreadsheets/d/1MjHtlUikwobi2MaWJgy7tfLeBmhj1u-dRFRs_8GwSoA/edit#gid=0"",""Gestores Escolares!D7:J""),7,0),""VERIFICAR CÓD SEC"")"),"( 77) 9 8124-7543")</f>
        <v>( 77) 9 8124-7543</v>
      </c>
      <c r="Q239" s="82" t="str">
        <f>IFERROR(__xludf.DUMMYFUNCTION("IFERROR(VLOOKUP(D239,
IMPORTRANGE(""https://docs.google.com/spreadsheets/d/1MjHtlUikwobi2MaWJgy7tfLeBmhj1u-dRFRs_8GwSoA/edit#gid=0"",""Gestores Escolares!D7:m""),9,0),""VERIFICAR CÓD SEC"")"),"VICTOR PEREIRA MENEZES")</f>
        <v>VICTOR PEREIRA MENEZES</v>
      </c>
      <c r="R239" s="82" t="str">
        <f>IFERROR(__xludf.DUMMYFUNCTION("IFERROR(VLOOKUP(D239,
IMPORTRANGE(""https://docs.google.com/spreadsheets/d/1MjHtlUikwobi2MaWJgy7tfLeBmhj1u-dRFRs_8GwSoA/edit#gid=0"",""Gestores Escolares!D7:m""),10,0),""VERIFICAR CÓD SEC"")"),"(75) 9 8286-4637")</f>
        <v>(75) 9 8286-4637</v>
      </c>
      <c r="S239" s="82"/>
      <c r="T239" s="138">
        <v>10.0</v>
      </c>
      <c r="U239" s="145" t="s">
        <v>3387</v>
      </c>
      <c r="V239" s="106">
        <v>0.0</v>
      </c>
      <c r="W239" s="107">
        <v>0.0</v>
      </c>
      <c r="X239" s="107">
        <v>0.0</v>
      </c>
      <c r="Y239" s="107">
        <v>0.0</v>
      </c>
      <c r="Z239" s="80">
        <f t="shared" si="1"/>
        <v>0</v>
      </c>
      <c r="AA239" s="106">
        <v>0.0</v>
      </c>
      <c r="AB239" s="107">
        <v>0.0</v>
      </c>
      <c r="AC239" s="107">
        <v>0.0</v>
      </c>
      <c r="AD239" s="107">
        <v>0.0</v>
      </c>
      <c r="AE239" s="80">
        <f t="shared" si="2"/>
        <v>0</v>
      </c>
      <c r="AF239" s="140">
        <v>49.0</v>
      </c>
      <c r="AG239" s="109">
        <v>121.0</v>
      </c>
      <c r="AH239" s="109">
        <v>0.0</v>
      </c>
      <c r="AI239" s="141">
        <v>322.0</v>
      </c>
      <c r="AJ239" s="80">
        <f t="shared" si="3"/>
        <v>492</v>
      </c>
      <c r="AK239" s="140">
        <v>0.0</v>
      </c>
      <c r="AL239" s="109">
        <v>0.0</v>
      </c>
      <c r="AM239" s="141">
        <v>0.0</v>
      </c>
      <c r="AN239" s="80">
        <f t="shared" si="4"/>
        <v>0</v>
      </c>
      <c r="AO239" s="140">
        <v>0.0</v>
      </c>
      <c r="AP239" s="109">
        <v>0.0</v>
      </c>
      <c r="AQ239" s="109">
        <v>122.0</v>
      </c>
      <c r="AR239" s="80">
        <f t="shared" si="5"/>
        <v>122</v>
      </c>
      <c r="AS239" s="110">
        <v>0.0</v>
      </c>
      <c r="AT239" s="110">
        <v>0.0</v>
      </c>
      <c r="AU239" s="110">
        <v>20.0</v>
      </c>
      <c r="AV239" s="142">
        <v>69.0</v>
      </c>
      <c r="AW239" s="80">
        <f t="shared" si="6"/>
        <v>89</v>
      </c>
      <c r="AX239" s="113">
        <f t="shared" si="7"/>
        <v>703</v>
      </c>
      <c r="AY239" s="117">
        <f t="shared" si="8"/>
        <v>561</v>
      </c>
      <c r="AZ239" s="120">
        <f t="shared" si="9"/>
        <v>142</v>
      </c>
      <c r="BA239" s="115">
        <v>0.0</v>
      </c>
      <c r="BB239" s="89">
        <f t="shared" si="10"/>
        <v>703</v>
      </c>
      <c r="BC239" s="132" t="s">
        <v>178</v>
      </c>
      <c r="BD239" s="132" t="s">
        <v>178</v>
      </c>
      <c r="BE239" s="132" t="s">
        <v>178</v>
      </c>
      <c r="BF239" s="156"/>
      <c r="BG239" s="83">
        <v>1133235.0</v>
      </c>
      <c r="BH239" s="112"/>
      <c r="BI239" s="112">
        <v>7.0</v>
      </c>
      <c r="BJ239" s="98" t="s">
        <v>162</v>
      </c>
      <c r="BK239" s="99">
        <f t="shared" si="11"/>
        <v>391</v>
      </c>
      <c r="BL239" s="99">
        <f t="shared" si="12"/>
        <v>170</v>
      </c>
      <c r="BM239" s="99" t="str">
        <f>IFERROR(__xludf.DUMMYFUNCTION("IFERROR(VLOOKUP(BG239,IMPORTRANGE(""https://docs.google.com/spreadsheets/d/1juPI-Fb8LD0YtltB2mlGEnp_R3UVu1t3wSFPzgCyHXE/edit?gid=0#gid=0"",""GERAL!A2:C""),3,0),""-"")"),"-")</f>
        <v>-</v>
      </c>
    </row>
    <row r="240" ht="15.75" customHeight="1">
      <c r="A240" s="111" t="s">
        <v>285</v>
      </c>
      <c r="B240" s="83" t="s">
        <v>1053</v>
      </c>
      <c r="C240" s="83" t="s">
        <v>68</v>
      </c>
      <c r="D240" s="112">
        <v>1178095.0</v>
      </c>
      <c r="E240" s="83"/>
      <c r="F240" s="83">
        <v>2.9428742E7</v>
      </c>
      <c r="G240" s="187" t="s">
        <v>1054</v>
      </c>
      <c r="H240" s="91" t="s">
        <v>1055</v>
      </c>
      <c r="I240" s="83" t="s">
        <v>149</v>
      </c>
      <c r="J240" s="83" t="s">
        <v>150</v>
      </c>
      <c r="K240" s="83" t="s">
        <v>151</v>
      </c>
      <c r="L240" s="83" t="s">
        <v>152</v>
      </c>
      <c r="M240" s="82" t="str">
        <f>IFERROR(__xludf.DUMMYFUNCTION("IFERROR(VLOOKUP(D240,
IMPORTRANGE(""https://docs.google.com/spreadsheets/d/1MjHtlUikwobi2MaWJgy7tfLeBmhj1u-dRFRs_8GwSoA/edit#gid=0"",""Gestores Escolares!D7:J""),3,0),""VERIFICAR CÓD SEC"")"),"CRICIA TAINA CERQUEIRA BONFIM")</f>
        <v>CRICIA TAINA CERQUEIRA BONFIM</v>
      </c>
      <c r="N240" s="82" t="str">
        <f>IFERROR(__xludf.DUMMYFUNCTION("IFERROR(VLOOKUP(D240,
IMPORTRANGE(""https://docs.google.com/spreadsheets/d/1MjHtlUikwobi2MaWJgy7tfLeBmhj1u-dRFRs_8GwSoA/edit#gid=0"",""Gestores Escolares!D7:J""),4,0),""VERIFICAR CÓD SEC"")"),"(75) 9 8116-5568")</f>
        <v>(75) 9 8116-5568</v>
      </c>
      <c r="O240" s="82" t="str">
        <f>IFERROR(__xludf.DUMMYFUNCTION("IFERROR(VLOOKUP(D240,
IMPORTRANGE(""https://docs.google.com/spreadsheets/d/1MjHtlUikwobi2MaWJgy7tfLeBmhj1u-dRFRs_8GwSoA/edit#gid=0"",""Gestores Escolares!D7:J""),6,0),""VERIFICAR CÓD SEC"")"),"AUGUSTO FRANKLIN SILVA DE OLIVEIRA")</f>
        <v>AUGUSTO FRANKLIN SILVA DE OLIVEIRA</v>
      </c>
      <c r="P240" s="82" t="str">
        <f>IFERROR(__xludf.DUMMYFUNCTION("IFERROR(VLOOKUP(D240,
IMPORTRANGE(""https://docs.google.com/spreadsheets/d/1MjHtlUikwobi2MaWJgy7tfLeBmhj1u-dRFRs_8GwSoA/edit#gid=0"",""Gestores Escolares!D7:J""),7,0),""VERIFICAR CÓD SEC"")")," (75) 9 8864-9435")</f>
        <v> (75) 9 8864-9435</v>
      </c>
      <c r="Q240" s="82" t="str">
        <f>IFERROR(__xludf.DUMMYFUNCTION("IFERROR(VLOOKUP(D240,
IMPORTRANGE(""https://docs.google.com/spreadsheets/d/1MjHtlUikwobi2MaWJgy7tfLeBmhj1u-dRFRs_8GwSoA/edit#gid=0"",""Gestores Escolares!D7:m""),9,0),""VERIFICAR CÓD SEC"")"),"JOSEANE GOMES DE JESUS")</f>
        <v>JOSEANE GOMES DE JESUS</v>
      </c>
      <c r="R240" s="82" t="str">
        <f>IFERROR(__xludf.DUMMYFUNCTION("IFERROR(VLOOKUP(D240,
IMPORTRANGE(""https://docs.google.com/spreadsheets/d/1MjHtlUikwobi2MaWJgy7tfLeBmhj1u-dRFRs_8GwSoA/edit#gid=0"",""Gestores Escolares!D7:m""),10,0),""VERIFICAR CÓD SEC"")"),"(75) 9 8308-7155")</f>
        <v>(75) 9 8308-7155</v>
      </c>
      <c r="S240" s="82"/>
      <c r="T240" s="138">
        <v>8.0</v>
      </c>
      <c r="U240" s="152">
        <v>8.0</v>
      </c>
      <c r="V240" s="106">
        <v>0.0</v>
      </c>
      <c r="W240" s="107">
        <v>0.0</v>
      </c>
      <c r="X240" s="107">
        <v>0.0</v>
      </c>
      <c r="Y240" s="107">
        <v>0.0</v>
      </c>
      <c r="Z240" s="80">
        <f t="shared" si="1"/>
        <v>0</v>
      </c>
      <c r="AA240" s="106">
        <v>0.0</v>
      </c>
      <c r="AB240" s="107">
        <v>0.0</v>
      </c>
      <c r="AC240" s="107">
        <v>0.0</v>
      </c>
      <c r="AD240" s="107">
        <v>0.0</v>
      </c>
      <c r="AE240" s="80">
        <f t="shared" si="2"/>
        <v>0</v>
      </c>
      <c r="AF240" s="140">
        <v>109.0</v>
      </c>
      <c r="AG240" s="109">
        <v>49.0</v>
      </c>
      <c r="AH240" s="109">
        <v>0.0</v>
      </c>
      <c r="AI240" s="141">
        <v>196.0</v>
      </c>
      <c r="AJ240" s="80">
        <f t="shared" si="3"/>
        <v>354</v>
      </c>
      <c r="AK240" s="140">
        <v>0.0</v>
      </c>
      <c r="AL240" s="109">
        <v>0.0</v>
      </c>
      <c r="AM240" s="141">
        <v>0.0</v>
      </c>
      <c r="AN240" s="80">
        <f t="shared" si="4"/>
        <v>0</v>
      </c>
      <c r="AO240" s="140">
        <v>0.0</v>
      </c>
      <c r="AP240" s="109">
        <v>0.0</v>
      </c>
      <c r="AQ240" s="109">
        <v>156.0</v>
      </c>
      <c r="AR240" s="80">
        <f t="shared" si="5"/>
        <v>156</v>
      </c>
      <c r="AS240" s="110">
        <v>0.0</v>
      </c>
      <c r="AT240" s="110">
        <v>0.0</v>
      </c>
      <c r="AU240" s="110">
        <v>10.0</v>
      </c>
      <c r="AV240" s="142">
        <v>68.0</v>
      </c>
      <c r="AW240" s="80">
        <f t="shared" si="6"/>
        <v>78</v>
      </c>
      <c r="AX240" s="113">
        <f t="shared" si="7"/>
        <v>588</v>
      </c>
      <c r="AY240" s="117">
        <f t="shared" si="8"/>
        <v>422</v>
      </c>
      <c r="AZ240" s="120">
        <f t="shared" si="9"/>
        <v>166</v>
      </c>
      <c r="BA240" s="115">
        <v>0.0</v>
      </c>
      <c r="BB240" s="89">
        <f t="shared" si="10"/>
        <v>588</v>
      </c>
      <c r="BC240" s="132" t="s">
        <v>178</v>
      </c>
      <c r="BD240" s="132" t="s">
        <v>178</v>
      </c>
      <c r="BE240" s="132" t="s">
        <v>178</v>
      </c>
      <c r="BF240" s="123"/>
      <c r="BG240" s="83">
        <v>1178095.0</v>
      </c>
      <c r="BH240" s="112"/>
      <c r="BI240" s="112">
        <v>8.0</v>
      </c>
      <c r="BJ240" s="98" t="s">
        <v>155</v>
      </c>
      <c r="BK240" s="99">
        <f t="shared" si="11"/>
        <v>264</v>
      </c>
      <c r="BL240" s="99">
        <f t="shared" si="12"/>
        <v>158</v>
      </c>
      <c r="BM240" s="99" t="str">
        <f>IFERROR(__xludf.DUMMYFUNCTION("IFERROR(VLOOKUP(BG240,IMPORTRANGE(""https://docs.google.com/spreadsheets/d/1juPI-Fb8LD0YtltB2mlGEnp_R3UVu1t3wSFPzgCyHXE/edit?gid=0#gid=0"",""GERAL!A2:C""),3,0),""-"")"),"-")</f>
        <v>-</v>
      </c>
    </row>
    <row r="241" ht="15.75" customHeight="1">
      <c r="A241" s="111" t="s">
        <v>285</v>
      </c>
      <c r="B241" s="83" t="s">
        <v>1053</v>
      </c>
      <c r="C241" s="83" t="s">
        <v>164</v>
      </c>
      <c r="D241" s="112">
        <v>1179283.0</v>
      </c>
      <c r="E241" s="83">
        <v>1178743.0</v>
      </c>
      <c r="F241" s="98">
        <v>2.9461502E7</v>
      </c>
      <c r="G241" s="114" t="s">
        <v>1057</v>
      </c>
      <c r="H241" s="91" t="s">
        <v>1058</v>
      </c>
      <c r="I241" s="172" t="s">
        <v>1059</v>
      </c>
      <c r="J241" s="83" t="s">
        <v>315</v>
      </c>
      <c r="K241" s="83" t="s">
        <v>168</v>
      </c>
      <c r="L241" s="83" t="s">
        <v>169</v>
      </c>
      <c r="M241" s="82" t="str">
        <f>IFERROR(__xludf.DUMMYFUNCTION("IFERROR(VLOOKUP(D241,
IMPORTRANGE(""https://docs.google.com/spreadsheets/d/1MjHtlUikwobi2MaWJgy7tfLeBmhj1u-dRFRs_8GwSoA/edit#gid=0"",""Gestores Escolares!D7:J""),3,0),""VERIFICAR CÓD SEC"")"),"LAIZA BRANDAO MIRANDA")</f>
        <v>LAIZA BRANDAO MIRANDA</v>
      </c>
      <c r="N241" s="82" t="str">
        <f>IFERROR(__xludf.DUMMYFUNCTION("IFERROR(VLOOKUP(D241,
IMPORTRANGE(""https://docs.google.com/spreadsheets/d/1MjHtlUikwobi2MaWJgy7tfLeBmhj1u-dRFRs_8GwSoA/edit#gid=0"",""Gestores Escolares!D7:J""),4,0),""VERIFICAR CÓD SEC"")"),"(75) 9 9966-5253")</f>
        <v>(75) 9 9966-5253</v>
      </c>
      <c r="O241" s="82" t="str">
        <f>IFERROR(__xludf.DUMMYFUNCTION("IFERROR(VLOOKUP(D241,
IMPORTRANGE(""https://docs.google.com/spreadsheets/d/1MjHtlUikwobi2MaWJgy7tfLeBmhj1u-dRFRs_8GwSoA/edit#gid=0"",""Gestores Escolares!D7:J""),6,0),""VERIFICAR CÓD SEC"")"),"ROSANA ISABEL DO R. TELES")</f>
        <v>ROSANA ISABEL DO R. TELES</v>
      </c>
      <c r="P241" s="82" t="str">
        <f>IFERROR(__xludf.DUMMYFUNCTION("IFERROR(VLOOKUP(D241,
IMPORTRANGE(""https://docs.google.com/spreadsheets/d/1MjHtlUikwobi2MaWJgy7tfLeBmhj1u-dRFRs_8GwSoA/edit#gid=0"",""Gestores Escolares!D7:J""),7,0),""VERIFICAR CÓD SEC"")"),"(75) 9 9966-4696")</f>
        <v>(75) 9 9966-4696</v>
      </c>
      <c r="Q241" s="82" t="str">
        <f>IFERROR(__xludf.DUMMYFUNCTION("IFERROR(VLOOKUP(D241,
IMPORTRANGE(""https://docs.google.com/spreadsheets/d/1MjHtlUikwobi2MaWJgy7tfLeBmhj1u-dRFRs_8GwSoA/edit#gid=0"",""Gestores Escolares!D7:m""),9,0),""VERIFICAR CÓD SEC"")"),"MOZART MACEDO XAVIER")</f>
        <v>MOZART MACEDO XAVIER</v>
      </c>
      <c r="R241" s="82" t="str">
        <f>IFERROR(__xludf.DUMMYFUNCTION("IFERROR(VLOOKUP(D241,
IMPORTRANGE(""https://docs.google.com/spreadsheets/d/1MjHtlUikwobi2MaWJgy7tfLeBmhj1u-dRFRs_8GwSoA/edit#gid=0"",""Gestores Escolares!D7:m""),10,0),""VERIFICAR CÓD SEC"")"),"(75) 9 9918-1536")</f>
        <v>(75) 9 9918-1536</v>
      </c>
      <c r="S241" s="82"/>
      <c r="T241" s="138">
        <v>3.0</v>
      </c>
      <c r="U241" s="152">
        <v>3.0</v>
      </c>
      <c r="V241" s="106">
        <v>0.0</v>
      </c>
      <c r="W241" s="107">
        <v>0.0</v>
      </c>
      <c r="X241" s="107">
        <v>0.0</v>
      </c>
      <c r="Y241" s="107">
        <v>0.0</v>
      </c>
      <c r="Z241" s="80">
        <f t="shared" si="1"/>
        <v>0</v>
      </c>
      <c r="AA241" s="106">
        <v>0.0</v>
      </c>
      <c r="AB241" s="107">
        <v>0.0</v>
      </c>
      <c r="AC241" s="107">
        <v>0.0</v>
      </c>
      <c r="AD241" s="107">
        <v>0.0</v>
      </c>
      <c r="AE241" s="80">
        <f t="shared" si="2"/>
        <v>0</v>
      </c>
      <c r="AF241" s="140">
        <v>0.0</v>
      </c>
      <c r="AG241" s="109">
        <v>0.0</v>
      </c>
      <c r="AH241" s="109">
        <v>32.0</v>
      </c>
      <c r="AI241" s="141">
        <v>0.0</v>
      </c>
      <c r="AJ241" s="80">
        <f t="shared" si="3"/>
        <v>32</v>
      </c>
      <c r="AK241" s="140">
        <v>0.0</v>
      </c>
      <c r="AL241" s="109">
        <v>0.0</v>
      </c>
      <c r="AM241" s="141">
        <v>0.0</v>
      </c>
      <c r="AN241" s="80">
        <f t="shared" si="4"/>
        <v>0</v>
      </c>
      <c r="AO241" s="140">
        <v>0.0</v>
      </c>
      <c r="AP241" s="109">
        <v>0.0</v>
      </c>
      <c r="AQ241" s="109">
        <v>0.0</v>
      </c>
      <c r="AR241" s="80">
        <f t="shared" si="5"/>
        <v>0</v>
      </c>
      <c r="AS241" s="110">
        <v>0.0</v>
      </c>
      <c r="AT241" s="110">
        <v>0.0</v>
      </c>
      <c r="AU241" s="110">
        <v>0.0</v>
      </c>
      <c r="AV241" s="142">
        <v>0.0</v>
      </c>
      <c r="AW241" s="80">
        <f t="shared" si="6"/>
        <v>0</v>
      </c>
      <c r="AX241" s="113">
        <f t="shared" si="7"/>
        <v>32</v>
      </c>
      <c r="AY241" s="117">
        <f t="shared" si="8"/>
        <v>0</v>
      </c>
      <c r="AZ241" s="120">
        <f t="shared" si="9"/>
        <v>32</v>
      </c>
      <c r="BA241" s="115">
        <v>0.0</v>
      </c>
      <c r="BB241" s="89">
        <f t="shared" si="10"/>
        <v>32</v>
      </c>
      <c r="BC241" s="132" t="s">
        <v>178</v>
      </c>
      <c r="BD241" s="143" t="s">
        <v>227</v>
      </c>
      <c r="BE241" s="132" t="s">
        <v>178</v>
      </c>
      <c r="BF241" s="123"/>
      <c r="BG241" s="83">
        <v>1178743.0</v>
      </c>
      <c r="BH241" s="112"/>
      <c r="BI241" s="112">
        <v>3.0</v>
      </c>
      <c r="BJ241" s="98" t="s">
        <v>155</v>
      </c>
      <c r="BK241" s="99">
        <f t="shared" si="11"/>
        <v>0</v>
      </c>
      <c r="BL241" s="99">
        <f t="shared" si="12"/>
        <v>0</v>
      </c>
      <c r="BM241" s="99" t="str">
        <f>IFERROR(__xludf.DUMMYFUNCTION("IFERROR(VLOOKUP(BG241,IMPORTRANGE(""https://docs.google.com/spreadsheets/d/1juPI-Fb8LD0YtltB2mlGEnp_R3UVu1t3wSFPzgCyHXE/edit?gid=0#gid=0"",""GERAL!A2:C""),3,0),""-"")"),"-")</f>
        <v>-</v>
      </c>
    </row>
    <row r="242" ht="15.75" customHeight="1">
      <c r="A242" s="111" t="s">
        <v>285</v>
      </c>
      <c r="B242" s="83" t="s">
        <v>1053</v>
      </c>
      <c r="C242" s="83" t="s">
        <v>164</v>
      </c>
      <c r="D242" s="112">
        <v>1179283.0</v>
      </c>
      <c r="E242" s="83">
        <v>1178745.0</v>
      </c>
      <c r="F242" s="98">
        <v>2.9461502E7</v>
      </c>
      <c r="G242" s="114" t="s">
        <v>1060</v>
      </c>
      <c r="H242" s="91" t="s">
        <v>1061</v>
      </c>
      <c r="I242" s="172" t="s">
        <v>1062</v>
      </c>
      <c r="J242" s="83" t="s">
        <v>694</v>
      </c>
      <c r="K242" s="83" t="s">
        <v>151</v>
      </c>
      <c r="L242" s="83" t="s">
        <v>169</v>
      </c>
      <c r="M242" s="82" t="str">
        <f>IFERROR(__xludf.DUMMYFUNCTION("IFERROR(VLOOKUP(D242,
IMPORTRANGE(""https://docs.google.com/spreadsheets/d/1MjHtlUikwobi2MaWJgy7tfLeBmhj1u-dRFRs_8GwSoA/edit#gid=0"",""Gestores Escolares!D7:J""),3,0),""VERIFICAR CÓD SEC"")"),"LAIZA BRANDAO MIRANDA")</f>
        <v>LAIZA BRANDAO MIRANDA</v>
      </c>
      <c r="N242" s="82" t="str">
        <f>IFERROR(__xludf.DUMMYFUNCTION("IFERROR(VLOOKUP(D242,
IMPORTRANGE(""https://docs.google.com/spreadsheets/d/1MjHtlUikwobi2MaWJgy7tfLeBmhj1u-dRFRs_8GwSoA/edit#gid=0"",""Gestores Escolares!D7:J""),4,0),""VERIFICAR CÓD SEC"")"),"(75) 9 9966-5253")</f>
        <v>(75) 9 9966-5253</v>
      </c>
      <c r="O242" s="82" t="str">
        <f>IFERROR(__xludf.DUMMYFUNCTION("IFERROR(VLOOKUP(D242,
IMPORTRANGE(""https://docs.google.com/spreadsheets/d/1MjHtlUikwobi2MaWJgy7tfLeBmhj1u-dRFRs_8GwSoA/edit#gid=0"",""Gestores Escolares!D7:J""),6,0),""VERIFICAR CÓD SEC"")"),"ROSANA ISABEL DO R. TELES")</f>
        <v>ROSANA ISABEL DO R. TELES</v>
      </c>
      <c r="P242" s="82" t="str">
        <f>IFERROR(__xludf.DUMMYFUNCTION("IFERROR(VLOOKUP(D242,
IMPORTRANGE(""https://docs.google.com/spreadsheets/d/1MjHtlUikwobi2MaWJgy7tfLeBmhj1u-dRFRs_8GwSoA/edit#gid=0"",""Gestores Escolares!D7:J""),7,0),""VERIFICAR CÓD SEC"")"),"(75) 9 9966-4696")</f>
        <v>(75) 9 9966-4696</v>
      </c>
      <c r="Q242" s="82" t="str">
        <f>IFERROR(__xludf.DUMMYFUNCTION("IFERROR(VLOOKUP(D242,
IMPORTRANGE(""https://docs.google.com/spreadsheets/d/1MjHtlUikwobi2MaWJgy7tfLeBmhj1u-dRFRs_8GwSoA/edit#gid=0"",""Gestores Escolares!D7:m""),9,0),""VERIFICAR CÓD SEC"")"),"MOZART MACEDO XAVIER")</f>
        <v>MOZART MACEDO XAVIER</v>
      </c>
      <c r="R242" s="82" t="str">
        <f>IFERROR(__xludf.DUMMYFUNCTION("IFERROR(VLOOKUP(D242,
IMPORTRANGE(""https://docs.google.com/spreadsheets/d/1MjHtlUikwobi2MaWJgy7tfLeBmhj1u-dRFRs_8GwSoA/edit#gid=0"",""Gestores Escolares!D7:m""),10,0),""VERIFICAR CÓD SEC"")"),"(75) 9 9918-1536")</f>
        <v>(75) 9 9918-1536</v>
      </c>
      <c r="S242" s="82"/>
      <c r="T242" s="138">
        <v>3.0</v>
      </c>
      <c r="U242" s="152">
        <v>3.0</v>
      </c>
      <c r="V242" s="106">
        <v>0.0</v>
      </c>
      <c r="W242" s="107">
        <v>0.0</v>
      </c>
      <c r="X242" s="107">
        <v>0.0</v>
      </c>
      <c r="Y242" s="107">
        <v>0.0</v>
      </c>
      <c r="Z242" s="80">
        <f t="shared" si="1"/>
        <v>0</v>
      </c>
      <c r="AA242" s="106">
        <v>0.0</v>
      </c>
      <c r="AB242" s="107">
        <v>0.0</v>
      </c>
      <c r="AC242" s="107">
        <v>0.0</v>
      </c>
      <c r="AD242" s="107">
        <v>0.0</v>
      </c>
      <c r="AE242" s="80">
        <f t="shared" si="2"/>
        <v>0</v>
      </c>
      <c r="AF242" s="140">
        <v>0.0</v>
      </c>
      <c r="AG242" s="109">
        <v>0.0</v>
      </c>
      <c r="AH242" s="109">
        <v>24.0</v>
      </c>
      <c r="AI242" s="141">
        <v>0.0</v>
      </c>
      <c r="AJ242" s="80">
        <f t="shared" si="3"/>
        <v>24</v>
      </c>
      <c r="AK242" s="140">
        <v>0.0</v>
      </c>
      <c r="AL242" s="109">
        <v>0.0</v>
      </c>
      <c r="AM242" s="141">
        <v>0.0</v>
      </c>
      <c r="AN242" s="80">
        <f t="shared" si="4"/>
        <v>0</v>
      </c>
      <c r="AO242" s="140">
        <v>0.0</v>
      </c>
      <c r="AP242" s="109">
        <v>0.0</v>
      </c>
      <c r="AQ242" s="109">
        <v>0.0</v>
      </c>
      <c r="AR242" s="80">
        <f t="shared" si="5"/>
        <v>0</v>
      </c>
      <c r="AS242" s="110">
        <v>0.0</v>
      </c>
      <c r="AT242" s="110">
        <v>0.0</v>
      </c>
      <c r="AU242" s="110">
        <v>0.0</v>
      </c>
      <c r="AV242" s="142">
        <v>0.0</v>
      </c>
      <c r="AW242" s="80">
        <f t="shared" si="6"/>
        <v>0</v>
      </c>
      <c r="AX242" s="113">
        <f t="shared" si="7"/>
        <v>24</v>
      </c>
      <c r="AY242" s="117">
        <f t="shared" si="8"/>
        <v>0</v>
      </c>
      <c r="AZ242" s="120">
        <f t="shared" si="9"/>
        <v>24</v>
      </c>
      <c r="BA242" s="115">
        <v>0.0</v>
      </c>
      <c r="BB242" s="89">
        <f t="shared" si="10"/>
        <v>24</v>
      </c>
      <c r="BC242" s="132" t="s">
        <v>178</v>
      </c>
      <c r="BD242" s="143" t="s">
        <v>227</v>
      </c>
      <c r="BE242" s="132" t="s">
        <v>178</v>
      </c>
      <c r="BF242" s="123"/>
      <c r="BG242" s="83">
        <v>1178745.0</v>
      </c>
      <c r="BH242" s="112"/>
      <c r="BI242" s="112">
        <v>3.0</v>
      </c>
      <c r="BJ242" s="98" t="s">
        <v>155</v>
      </c>
      <c r="BK242" s="99">
        <f t="shared" si="11"/>
        <v>0</v>
      </c>
      <c r="BL242" s="99">
        <f t="shared" si="12"/>
        <v>0</v>
      </c>
      <c r="BM242" s="99" t="str">
        <f>IFERROR(__xludf.DUMMYFUNCTION("IFERROR(VLOOKUP(BG242,IMPORTRANGE(""https://docs.google.com/spreadsheets/d/1juPI-Fb8LD0YtltB2mlGEnp_R3UVu1t3wSFPzgCyHXE/edit?gid=0#gid=0"",""GERAL!A2:C""),3,0),""-"")"),"-")</f>
        <v>-</v>
      </c>
    </row>
    <row r="243" ht="15.75" customHeight="1">
      <c r="A243" s="111" t="s">
        <v>285</v>
      </c>
      <c r="B243" s="83" t="s">
        <v>1063</v>
      </c>
      <c r="C243" s="83" t="s">
        <v>68</v>
      </c>
      <c r="D243" s="112">
        <v>1123876.0</v>
      </c>
      <c r="E243" s="83"/>
      <c r="F243" s="83">
        <v>2.9221943E7</v>
      </c>
      <c r="G243" s="187" t="s">
        <v>1064</v>
      </c>
      <c r="H243" s="91" t="s">
        <v>777</v>
      </c>
      <c r="I243" s="83" t="s">
        <v>149</v>
      </c>
      <c r="J243" s="83" t="s">
        <v>150</v>
      </c>
      <c r="K243" s="83" t="s">
        <v>151</v>
      </c>
      <c r="L243" s="83" t="s">
        <v>230</v>
      </c>
      <c r="M243" s="82" t="str">
        <f>IFERROR(__xludf.DUMMYFUNCTION("IFERROR(VLOOKUP(D243,
IMPORTRANGE(""https://docs.google.com/spreadsheets/d/1MjHtlUikwobi2MaWJgy7tfLeBmhj1u-dRFRs_8GwSoA/edit#gid=0"",""Gestores Escolares!D7:J""),3,0),""VERIFICAR CÓD SEC"")"),"GILENO PEREIRA DE MENEZES")</f>
        <v>GILENO PEREIRA DE MENEZES</v>
      </c>
      <c r="N243" s="82" t="str">
        <f>IFERROR(__xludf.DUMMYFUNCTION("IFERROR(VLOOKUP(D243,
IMPORTRANGE(""https://docs.google.com/spreadsheets/d/1MjHtlUikwobi2MaWJgy7tfLeBmhj1u-dRFRs_8GwSoA/edit#gid=0"",""Gestores Escolares!D7:J""),4,0),""VERIFICAR CÓD SEC"")"),"(75) 9 8824-9559")</f>
        <v>(75) 9 8824-9559</v>
      </c>
      <c r="O243" s="82" t="str">
        <f>IFERROR(__xludf.DUMMYFUNCTION("IFERROR(VLOOKUP(D243,
IMPORTRANGE(""https://docs.google.com/spreadsheets/d/1MjHtlUikwobi2MaWJgy7tfLeBmhj1u-dRFRs_8GwSoA/edit#gid=0"",""Gestores Escolares!D7:J""),6,0),""VERIFICAR CÓD SEC"")"),"ANA CELIA SANTANA BISPO")</f>
        <v>ANA CELIA SANTANA BISPO</v>
      </c>
      <c r="P243" s="82" t="str">
        <f>IFERROR(__xludf.DUMMYFUNCTION("IFERROR(VLOOKUP(D243,
IMPORTRANGE(""https://docs.google.com/spreadsheets/d/1MjHtlUikwobi2MaWJgy7tfLeBmhj1u-dRFRs_8GwSoA/edit#gid=0"",""Gestores Escolares!D7:J""),7,0),""VERIFICAR CÓD SEC"")"),"(75) 9 8851-4915")</f>
        <v>(75) 9 8851-4915</v>
      </c>
      <c r="Q243" s="82" t="str">
        <f>IFERROR(__xludf.DUMMYFUNCTION("IFERROR(VLOOKUP(D243,
IMPORTRANGE(""https://docs.google.com/spreadsheets/d/1MjHtlUikwobi2MaWJgy7tfLeBmhj1u-dRFRs_8GwSoA/edit#gid=0"",""Gestores Escolares!D7:m""),9,0),""VERIFICAR CÓD SEC"")"),"JARBAS FERREIRA CARNEIRO")</f>
        <v>JARBAS FERREIRA CARNEIRO</v>
      </c>
      <c r="R243" s="82" t="str">
        <f>IFERROR(__xludf.DUMMYFUNCTION("IFERROR(VLOOKUP(D243,
IMPORTRANGE(""https://docs.google.com/spreadsheets/d/1MjHtlUikwobi2MaWJgy7tfLeBmhj1u-dRFRs_8GwSoA/edit#gid=0"",""Gestores Escolares!D7:m""),10,0),""VERIFICAR CÓD SEC"")"),"(75) 9 8862-3435")</f>
        <v>(75) 9 8862-3435</v>
      </c>
      <c r="S243" s="82"/>
      <c r="T243" s="138">
        <v>16.0</v>
      </c>
      <c r="U243" s="145" t="s">
        <v>3442</v>
      </c>
      <c r="V243" s="106">
        <v>0.0</v>
      </c>
      <c r="W243" s="107">
        <v>0.0</v>
      </c>
      <c r="X243" s="107">
        <v>0.0</v>
      </c>
      <c r="Y243" s="107">
        <v>0.0</v>
      </c>
      <c r="Z243" s="80">
        <f t="shared" si="1"/>
        <v>0</v>
      </c>
      <c r="AA243" s="106">
        <v>0.0</v>
      </c>
      <c r="AB243" s="107">
        <v>0.0</v>
      </c>
      <c r="AC243" s="107">
        <v>0.0</v>
      </c>
      <c r="AD243" s="107">
        <v>0.0</v>
      </c>
      <c r="AE243" s="80">
        <f t="shared" si="2"/>
        <v>0</v>
      </c>
      <c r="AF243" s="140">
        <v>81.0</v>
      </c>
      <c r="AG243" s="109">
        <v>0.0</v>
      </c>
      <c r="AH243" s="109">
        <v>0.0</v>
      </c>
      <c r="AI243" s="141">
        <v>12.0</v>
      </c>
      <c r="AJ243" s="80">
        <f t="shared" si="3"/>
        <v>93</v>
      </c>
      <c r="AK243" s="140">
        <v>0.0</v>
      </c>
      <c r="AL243" s="109">
        <v>0.0</v>
      </c>
      <c r="AM243" s="141">
        <v>0.0</v>
      </c>
      <c r="AN243" s="80">
        <f t="shared" si="4"/>
        <v>0</v>
      </c>
      <c r="AO243" s="140">
        <v>0.0</v>
      </c>
      <c r="AP243" s="109">
        <v>0.0</v>
      </c>
      <c r="AQ243" s="109">
        <v>56.0</v>
      </c>
      <c r="AR243" s="80">
        <f t="shared" si="5"/>
        <v>56</v>
      </c>
      <c r="AS243" s="110">
        <v>180.0</v>
      </c>
      <c r="AT243" s="110">
        <v>115.0</v>
      </c>
      <c r="AU243" s="110">
        <v>93.0</v>
      </c>
      <c r="AV243" s="142">
        <v>64.0</v>
      </c>
      <c r="AW243" s="80">
        <f t="shared" si="6"/>
        <v>452</v>
      </c>
      <c r="AX243" s="113">
        <f t="shared" si="7"/>
        <v>601</v>
      </c>
      <c r="AY243" s="117">
        <f t="shared" si="8"/>
        <v>452</v>
      </c>
      <c r="AZ243" s="120">
        <f t="shared" si="9"/>
        <v>149</v>
      </c>
      <c r="BA243" s="115">
        <v>0.0</v>
      </c>
      <c r="BB243" s="89">
        <f t="shared" si="10"/>
        <v>601</v>
      </c>
      <c r="BC243" s="132" t="s">
        <v>178</v>
      </c>
      <c r="BD243" s="132" t="s">
        <v>522</v>
      </c>
      <c r="BE243" s="132" t="s">
        <v>178</v>
      </c>
      <c r="BF243" s="123"/>
      <c r="BG243" s="83">
        <v>1123876.0</v>
      </c>
      <c r="BH243" s="98"/>
      <c r="BI243" s="98">
        <v>18.0</v>
      </c>
      <c r="BJ243" s="98" t="s">
        <v>284</v>
      </c>
      <c r="BK243" s="99">
        <f t="shared" si="11"/>
        <v>76</v>
      </c>
      <c r="BL243" s="99">
        <f t="shared" si="12"/>
        <v>376</v>
      </c>
      <c r="BM243" s="99" t="str">
        <f>IFERROR(__xludf.DUMMYFUNCTION("IFERROR(VLOOKUP(BG243,IMPORTRANGE(""https://docs.google.com/spreadsheets/d/1juPI-Fb8LD0YtltB2mlGEnp_R3UVu1t3wSFPzgCyHXE/edit?gid=0#gid=0"",""GERAL!A2:C""),3,0),""-"")"),"-")</f>
        <v>-</v>
      </c>
    </row>
    <row r="244" ht="15.75" customHeight="1">
      <c r="A244" s="111" t="s">
        <v>383</v>
      </c>
      <c r="B244" s="83" t="s">
        <v>1066</v>
      </c>
      <c r="C244" s="83" t="s">
        <v>68</v>
      </c>
      <c r="D244" s="112">
        <v>1115431.0</v>
      </c>
      <c r="E244" s="83"/>
      <c r="F244" s="83">
        <v>2.913571E7</v>
      </c>
      <c r="G244" s="153" t="s">
        <v>1067</v>
      </c>
      <c r="H244" s="108" t="s">
        <v>1068</v>
      </c>
      <c r="I244" s="136" t="s">
        <v>149</v>
      </c>
      <c r="J244" s="83" t="s">
        <v>150</v>
      </c>
      <c r="K244" s="83" t="s">
        <v>151</v>
      </c>
      <c r="L244" s="83" t="s">
        <v>230</v>
      </c>
      <c r="M244" s="82" t="str">
        <f>IFERROR(__xludf.DUMMYFUNCTION("IFERROR(VLOOKUP(D244,
IMPORTRANGE(""https://docs.google.com/spreadsheets/d/1MjHtlUikwobi2MaWJgy7tfLeBmhj1u-dRFRs_8GwSoA/edit#gid=0"",""Gestores Escolares!D7:J""),3,0),""VERIFICAR CÓD SEC"")"),"LUÍS HENRIQUE CARVALHO LOPES")</f>
        <v>LUÍS HENRIQUE CARVALHO LOPES</v>
      </c>
      <c r="N244" s="82" t="str">
        <f>IFERROR(__xludf.DUMMYFUNCTION("IFERROR(VLOOKUP(D244,
IMPORTRANGE(""https://docs.google.com/spreadsheets/d/1MjHtlUikwobi2MaWJgy7tfLeBmhj1u-dRFRs_8GwSoA/edit#gid=0"",""Gestores Escolares!D7:J""),4,0),""VERIFICAR CÓD SEC"")"),"(75) 9 9999-0234")</f>
        <v>(75) 9 9999-0234</v>
      </c>
      <c r="O244" s="82" t="str">
        <f>IFERROR(__xludf.DUMMYFUNCTION("IFERROR(VLOOKUP(D244,
IMPORTRANGE(""https://docs.google.com/spreadsheets/d/1MjHtlUikwobi2MaWJgy7tfLeBmhj1u-dRFRs_8GwSoA/edit#gid=0"",""Gestores Escolares!D7:J""),6,0),""VERIFICAR CÓD SEC"")"),"NATANAEL OLIVEIRA DOS SANTOS")</f>
        <v>NATANAEL OLIVEIRA DOS SANTOS</v>
      </c>
      <c r="P244" s="82" t="str">
        <f>IFERROR(__xludf.DUMMYFUNCTION("IFERROR(VLOOKUP(D244,
IMPORTRANGE(""https://docs.google.com/spreadsheets/d/1MjHtlUikwobi2MaWJgy7tfLeBmhj1u-dRFRs_8GwSoA/edit#gid=0"",""Gestores Escolares!D7:J""),7,0),""VERIFICAR CÓD SEC"")"),"(75) 999198-4321")</f>
        <v>(75) 999198-4321</v>
      </c>
      <c r="Q244" s="82" t="str">
        <f>IFERROR(__xludf.DUMMYFUNCTION("IFERROR(VLOOKUP(D244,
IMPORTRANGE(""https://docs.google.com/spreadsheets/d/1MjHtlUikwobi2MaWJgy7tfLeBmhj1u-dRFRs_8GwSoA/edit#gid=0"",""Gestores Escolares!D7:m""),9,0),""VERIFICAR CÓD SEC"")"),"ADRIANA MOTA DE CARVALHO")</f>
        <v>ADRIANA MOTA DE CARVALHO</v>
      </c>
      <c r="R244" s="82" t="str">
        <f>IFERROR(__xludf.DUMMYFUNCTION("IFERROR(VLOOKUP(D244,
IMPORTRANGE(""https://docs.google.com/spreadsheets/d/1MjHtlUikwobi2MaWJgy7tfLeBmhj1u-dRFRs_8GwSoA/edit#gid=0"",""Gestores Escolares!D7:m""),10,0),""VERIFICAR CÓD SEC"")"),"(75) 9 9231-8346")</f>
        <v>(75) 9 9231-8346</v>
      </c>
      <c r="S244" s="82"/>
      <c r="T244" s="138">
        <v>13.0</v>
      </c>
      <c r="U244" s="145">
        <v>30.0</v>
      </c>
      <c r="V244" s="106">
        <v>0.0</v>
      </c>
      <c r="W244" s="107">
        <v>0.0</v>
      </c>
      <c r="X244" s="107">
        <v>0.0</v>
      </c>
      <c r="Y244" s="107">
        <v>0.0</v>
      </c>
      <c r="Z244" s="80">
        <f t="shared" si="1"/>
        <v>0</v>
      </c>
      <c r="AA244" s="106">
        <v>0.0</v>
      </c>
      <c r="AB244" s="107">
        <v>0.0</v>
      </c>
      <c r="AC244" s="107">
        <v>0.0</v>
      </c>
      <c r="AD244" s="107">
        <v>0.0</v>
      </c>
      <c r="AE244" s="80">
        <f t="shared" si="2"/>
        <v>0</v>
      </c>
      <c r="AF244" s="140">
        <v>0.0</v>
      </c>
      <c r="AG244" s="109">
        <v>0.0</v>
      </c>
      <c r="AH244" s="109">
        <v>0.0</v>
      </c>
      <c r="AI244" s="141">
        <v>140.0</v>
      </c>
      <c r="AJ244" s="80">
        <f t="shared" si="3"/>
        <v>140</v>
      </c>
      <c r="AK244" s="140">
        <v>0.0</v>
      </c>
      <c r="AL244" s="109">
        <v>0.0</v>
      </c>
      <c r="AM244" s="141">
        <v>0.0</v>
      </c>
      <c r="AN244" s="80">
        <f t="shared" si="4"/>
        <v>0</v>
      </c>
      <c r="AO244" s="140">
        <v>0.0</v>
      </c>
      <c r="AP244" s="109">
        <v>0.0</v>
      </c>
      <c r="AQ244" s="109">
        <v>117.0</v>
      </c>
      <c r="AR244" s="80">
        <f t="shared" si="5"/>
        <v>117</v>
      </c>
      <c r="AS244" s="110">
        <v>782.0</v>
      </c>
      <c r="AT244" s="110">
        <v>354.0</v>
      </c>
      <c r="AU244" s="110">
        <v>274.0</v>
      </c>
      <c r="AV244" s="142">
        <v>25.0</v>
      </c>
      <c r="AW244" s="80">
        <f t="shared" si="6"/>
        <v>1435</v>
      </c>
      <c r="AX244" s="113">
        <f t="shared" si="7"/>
        <v>1692</v>
      </c>
      <c r="AY244" s="117">
        <f t="shared" si="8"/>
        <v>1301</v>
      </c>
      <c r="AZ244" s="120">
        <f t="shared" si="9"/>
        <v>391</v>
      </c>
      <c r="BA244" s="115">
        <v>0.0</v>
      </c>
      <c r="BB244" s="89">
        <f t="shared" si="10"/>
        <v>1692</v>
      </c>
      <c r="BC244" s="132" t="s">
        <v>178</v>
      </c>
      <c r="BD244" s="132" t="s">
        <v>522</v>
      </c>
      <c r="BE244" s="132" t="s">
        <v>178</v>
      </c>
      <c r="BF244" s="123"/>
      <c r="BG244" s="83">
        <v>1115431.0</v>
      </c>
      <c r="BH244" s="98" t="s">
        <v>1069</v>
      </c>
      <c r="BI244" s="112">
        <v>10.0</v>
      </c>
      <c r="BJ244" s="98" t="s">
        <v>162</v>
      </c>
      <c r="BK244" s="99">
        <f t="shared" si="11"/>
        <v>165</v>
      </c>
      <c r="BL244" s="99">
        <f t="shared" si="12"/>
        <v>1136</v>
      </c>
      <c r="BM244" s="99" t="str">
        <f>IFERROR(__xludf.DUMMYFUNCTION("IFERROR(VLOOKUP(BG244,IMPORTRANGE(""https://docs.google.com/spreadsheets/d/1juPI-Fb8LD0YtltB2mlGEnp_R3UVu1t3wSFPzgCyHXE/edit?gid=0#gid=0"",""GERAL!A2:C""),3,0),""-"")"),"-")</f>
        <v>-</v>
      </c>
    </row>
    <row r="245" ht="15.75" customHeight="1">
      <c r="A245" s="111" t="s">
        <v>383</v>
      </c>
      <c r="B245" s="83" t="s">
        <v>1066</v>
      </c>
      <c r="C245" s="83" t="s">
        <v>164</v>
      </c>
      <c r="D245" s="112">
        <v>1179292.0</v>
      </c>
      <c r="E245" s="83">
        <v>1178410.0</v>
      </c>
      <c r="F245" s="98">
        <v>2.9460816E7</v>
      </c>
      <c r="G245" s="114" t="s">
        <v>1071</v>
      </c>
      <c r="H245" s="91" t="s">
        <v>1072</v>
      </c>
      <c r="I245" s="136" t="s">
        <v>1073</v>
      </c>
      <c r="J245" s="83" t="s">
        <v>1074</v>
      </c>
      <c r="K245" s="83" t="s">
        <v>1075</v>
      </c>
      <c r="L245" s="83" t="s">
        <v>169</v>
      </c>
      <c r="M245" s="82" t="str">
        <f>IFERROR(__xludf.DUMMYFUNCTION("IFERROR(VLOOKUP(D245,
IMPORTRANGE(""https://docs.google.com/spreadsheets/d/1MjHtlUikwobi2MaWJgy7tfLeBmhj1u-dRFRs_8GwSoA/edit#gid=0"",""Gestores Escolares!D7:J""),3,0),""VERIFICAR CÓD SEC"")"),"TECIO LUIZ BOAVENTURA DE MENEZES")</f>
        <v>TECIO LUIZ BOAVENTURA DE MENEZES</v>
      </c>
      <c r="N245" s="82" t="str">
        <f>IFERROR(__xludf.DUMMYFUNCTION("IFERROR(VLOOKUP(D245,
IMPORTRANGE(""https://docs.google.com/spreadsheets/d/1MjHtlUikwobi2MaWJgy7tfLeBmhj1u-dRFRs_8GwSoA/edit#gid=0"",""Gestores Escolares!D7:J""),4,0),""VERIFICAR CÓD SEC"")"),"(75) 9 9948-8050")</f>
        <v>(75) 9 9948-8050</v>
      </c>
      <c r="O245" s="82" t="str">
        <f>IFERROR(__xludf.DUMMYFUNCTION("IFERROR(VLOOKUP(D245,
IMPORTRANGE(""https://docs.google.com/spreadsheets/d/1MjHtlUikwobi2MaWJgy7tfLeBmhj1u-dRFRs_8GwSoA/edit#gid=0"",""Gestores Escolares!D7:J""),6,0),""VERIFICAR CÓD SEC"")"),"ELISANGELA DE ALMEIDA CARDOSO")</f>
        <v>ELISANGELA DE ALMEIDA CARDOSO</v>
      </c>
      <c r="P245" s="82" t="str">
        <f>IFERROR(__xludf.DUMMYFUNCTION("IFERROR(VLOOKUP(D245,
IMPORTRANGE(""https://docs.google.com/spreadsheets/d/1MjHtlUikwobi2MaWJgy7tfLeBmhj1u-dRFRs_8GwSoA/edit#gid=0"",""Gestores Escolares!D7:J""),7,0),""VERIFICAR CÓD SEC"")")," (71) 9 9418-7474")</f>
        <v> (71) 9 9418-7474</v>
      </c>
      <c r="Q245" s="82" t="str">
        <f>IFERROR(__xludf.DUMMYFUNCTION("IFERROR(VLOOKUP(D245,
IMPORTRANGE(""https://docs.google.com/spreadsheets/d/1MjHtlUikwobi2MaWJgy7tfLeBmhj1u-dRFRs_8GwSoA/edit#gid=0"",""Gestores Escolares!D7:m""),9,0),""VERIFICAR CÓD SEC"")"),"")</f>
        <v/>
      </c>
      <c r="R245" s="82" t="str">
        <f>IFERROR(__xludf.DUMMYFUNCTION("IFERROR(VLOOKUP(D245,
IMPORTRANGE(""https://docs.google.com/spreadsheets/d/1MjHtlUikwobi2MaWJgy7tfLeBmhj1u-dRFRs_8GwSoA/edit#gid=0"",""Gestores Escolares!D7:m""),10,0),""VERIFICAR CÓD SEC"")"),"")</f>
        <v/>
      </c>
      <c r="S245" s="82"/>
      <c r="T245" s="138">
        <v>3.0</v>
      </c>
      <c r="U245" s="139">
        <v>3.0</v>
      </c>
      <c r="V245" s="106">
        <v>0.0</v>
      </c>
      <c r="W245" s="107">
        <v>0.0</v>
      </c>
      <c r="X245" s="107">
        <v>0.0</v>
      </c>
      <c r="Y245" s="107">
        <v>0.0</v>
      </c>
      <c r="Z245" s="80">
        <f t="shared" si="1"/>
        <v>0</v>
      </c>
      <c r="AA245" s="106">
        <v>0.0</v>
      </c>
      <c r="AB245" s="107">
        <v>0.0</v>
      </c>
      <c r="AC245" s="107">
        <v>0.0</v>
      </c>
      <c r="AD245" s="107">
        <v>0.0</v>
      </c>
      <c r="AE245" s="80">
        <f t="shared" si="2"/>
        <v>0</v>
      </c>
      <c r="AF245" s="140">
        <v>64.0</v>
      </c>
      <c r="AG245" s="109">
        <v>42.0</v>
      </c>
      <c r="AH245" s="109">
        <v>0.0</v>
      </c>
      <c r="AI245" s="141">
        <v>0.0</v>
      </c>
      <c r="AJ245" s="80">
        <f t="shared" si="3"/>
        <v>106</v>
      </c>
      <c r="AK245" s="140">
        <v>0.0</v>
      </c>
      <c r="AL245" s="109">
        <v>0.0</v>
      </c>
      <c r="AM245" s="141">
        <v>0.0</v>
      </c>
      <c r="AN245" s="80">
        <f t="shared" si="4"/>
        <v>0</v>
      </c>
      <c r="AO245" s="140">
        <v>0.0</v>
      </c>
      <c r="AP245" s="109">
        <v>0.0</v>
      </c>
      <c r="AQ245" s="109">
        <v>0.0</v>
      </c>
      <c r="AR245" s="80">
        <f t="shared" si="5"/>
        <v>0</v>
      </c>
      <c r="AS245" s="110">
        <v>0.0</v>
      </c>
      <c r="AT245" s="110">
        <v>0.0</v>
      </c>
      <c r="AU245" s="110">
        <v>0.0</v>
      </c>
      <c r="AV245" s="142">
        <v>0.0</v>
      </c>
      <c r="AW245" s="80">
        <f t="shared" si="6"/>
        <v>0</v>
      </c>
      <c r="AX245" s="113">
        <f t="shared" si="7"/>
        <v>106</v>
      </c>
      <c r="AY245" s="117">
        <f t="shared" si="8"/>
        <v>106</v>
      </c>
      <c r="AZ245" s="120">
        <f t="shared" si="9"/>
        <v>0</v>
      </c>
      <c r="BA245" s="115">
        <v>0.0</v>
      </c>
      <c r="BB245" s="89">
        <f t="shared" si="10"/>
        <v>106</v>
      </c>
      <c r="BC245" s="132" t="s">
        <v>178</v>
      </c>
      <c r="BD245" s="143" t="s">
        <v>227</v>
      </c>
      <c r="BE245" s="132" t="s">
        <v>178</v>
      </c>
      <c r="BF245" s="123"/>
      <c r="BG245" s="83">
        <v>1178410.0</v>
      </c>
      <c r="BH245" s="144"/>
      <c r="BI245" s="112">
        <v>3.0</v>
      </c>
      <c r="BJ245" s="98" t="s">
        <v>155</v>
      </c>
      <c r="BK245" s="99">
        <f t="shared" si="11"/>
        <v>0</v>
      </c>
      <c r="BL245" s="99">
        <f t="shared" si="12"/>
        <v>106</v>
      </c>
      <c r="BM245" s="99" t="str">
        <f>IFERROR(__xludf.DUMMYFUNCTION("IFERROR(VLOOKUP(BG245,IMPORTRANGE(""https://docs.google.com/spreadsheets/d/1juPI-Fb8LD0YtltB2mlGEnp_R3UVu1t3wSFPzgCyHXE/edit?gid=0#gid=0"",""GERAL!A2:C""),3,0),""-"")"),"-")</f>
        <v>-</v>
      </c>
    </row>
    <row r="246" ht="15.75" customHeight="1">
      <c r="A246" s="111" t="s">
        <v>383</v>
      </c>
      <c r="B246" s="83" t="s">
        <v>1066</v>
      </c>
      <c r="C246" s="83" t="s">
        <v>164</v>
      </c>
      <c r="D246" s="112">
        <v>1179292.0</v>
      </c>
      <c r="E246" s="98">
        <v>1179820.0</v>
      </c>
      <c r="F246" s="98">
        <v>2.9460816E7</v>
      </c>
      <c r="G246" s="147" t="s">
        <v>1076</v>
      </c>
      <c r="H246" s="108" t="s">
        <v>1077</v>
      </c>
      <c r="I246" s="115" t="s">
        <v>1077</v>
      </c>
      <c r="J246" s="83"/>
      <c r="K246" s="98" t="s">
        <v>1078</v>
      </c>
      <c r="L246" s="83" t="s">
        <v>169</v>
      </c>
      <c r="M246" s="82" t="str">
        <f>IFERROR(__xludf.DUMMYFUNCTION("IFERROR(VLOOKUP(D246,
IMPORTRANGE(""https://docs.google.com/spreadsheets/d/1MjHtlUikwobi2MaWJgy7tfLeBmhj1u-dRFRs_8GwSoA/edit#gid=0"",""Gestores Escolares!D7:J""),3,0),""VERIFICAR CÓD SEC"")"),"TECIO LUIZ BOAVENTURA DE MENEZES")</f>
        <v>TECIO LUIZ BOAVENTURA DE MENEZES</v>
      </c>
      <c r="N246" s="82" t="str">
        <f>IFERROR(__xludf.DUMMYFUNCTION("IFERROR(VLOOKUP(D246,
IMPORTRANGE(""https://docs.google.com/spreadsheets/d/1MjHtlUikwobi2MaWJgy7tfLeBmhj1u-dRFRs_8GwSoA/edit#gid=0"",""Gestores Escolares!D7:J""),4,0),""VERIFICAR CÓD SEC"")"),"(75) 9 9948-8050")</f>
        <v>(75) 9 9948-8050</v>
      </c>
      <c r="O246" s="82" t="str">
        <f>IFERROR(__xludf.DUMMYFUNCTION("IFERROR(VLOOKUP(D246,
IMPORTRANGE(""https://docs.google.com/spreadsheets/d/1MjHtlUikwobi2MaWJgy7tfLeBmhj1u-dRFRs_8GwSoA/edit#gid=0"",""Gestores Escolares!D7:J""),6,0),""VERIFICAR CÓD SEC"")"),"ELISANGELA DE ALMEIDA CARDOSO")</f>
        <v>ELISANGELA DE ALMEIDA CARDOSO</v>
      </c>
      <c r="P246" s="82" t="str">
        <f>IFERROR(__xludf.DUMMYFUNCTION("IFERROR(VLOOKUP(D246,
IMPORTRANGE(""https://docs.google.com/spreadsheets/d/1MjHtlUikwobi2MaWJgy7tfLeBmhj1u-dRFRs_8GwSoA/edit#gid=0"",""Gestores Escolares!D7:J""),7,0),""VERIFICAR CÓD SEC"")")," (71) 9 9418-7474")</f>
        <v> (71) 9 9418-7474</v>
      </c>
      <c r="Q246" s="82" t="str">
        <f>IFERROR(__xludf.DUMMYFUNCTION("IFERROR(VLOOKUP(D246,
IMPORTRANGE(""https://docs.google.com/spreadsheets/d/1MjHtlUikwobi2MaWJgy7tfLeBmhj1u-dRFRs_8GwSoA/edit#gid=0"",""Gestores Escolares!D7:m""),9,0),""VERIFICAR CÓD SEC"")"),"")</f>
        <v/>
      </c>
      <c r="R246" s="82" t="str">
        <f>IFERROR(__xludf.DUMMYFUNCTION("IFERROR(VLOOKUP(D246,
IMPORTRANGE(""https://docs.google.com/spreadsheets/d/1MjHtlUikwobi2MaWJgy7tfLeBmhj1u-dRFRs_8GwSoA/edit#gid=0"",""Gestores Escolares!D7:m""),10,0),""VERIFICAR CÓD SEC"")"),"")</f>
        <v/>
      </c>
      <c r="S246" s="82"/>
      <c r="T246" s="138"/>
      <c r="U246" s="145">
        <v>3.0</v>
      </c>
      <c r="V246" s="106">
        <v>0.0</v>
      </c>
      <c r="W246" s="107">
        <v>0.0</v>
      </c>
      <c r="X246" s="107">
        <v>0.0</v>
      </c>
      <c r="Y246" s="107">
        <v>0.0</v>
      </c>
      <c r="Z246" s="80">
        <f t="shared" si="1"/>
        <v>0</v>
      </c>
      <c r="AA246" s="106">
        <v>0.0</v>
      </c>
      <c r="AB246" s="107">
        <v>0.0</v>
      </c>
      <c r="AC246" s="107">
        <v>0.0</v>
      </c>
      <c r="AD246" s="107">
        <v>0.0</v>
      </c>
      <c r="AE246" s="80">
        <f t="shared" si="2"/>
        <v>0</v>
      </c>
      <c r="AF246" s="140">
        <v>70.0</v>
      </c>
      <c r="AG246" s="109">
        <v>50.0</v>
      </c>
      <c r="AH246" s="109">
        <v>11.0</v>
      </c>
      <c r="AI246" s="141">
        <v>0.0</v>
      </c>
      <c r="AJ246" s="80">
        <f t="shared" si="3"/>
        <v>131</v>
      </c>
      <c r="AK246" s="140">
        <v>0.0</v>
      </c>
      <c r="AL246" s="109">
        <v>0.0</v>
      </c>
      <c r="AM246" s="141">
        <v>0.0</v>
      </c>
      <c r="AN246" s="80">
        <f t="shared" si="4"/>
        <v>0</v>
      </c>
      <c r="AO246" s="140">
        <v>0.0</v>
      </c>
      <c r="AP246" s="109">
        <v>0.0</v>
      </c>
      <c r="AQ246" s="109">
        <v>0.0</v>
      </c>
      <c r="AR246" s="80">
        <f t="shared" si="5"/>
        <v>0</v>
      </c>
      <c r="AS246" s="110">
        <v>0.0</v>
      </c>
      <c r="AT246" s="110">
        <v>0.0</v>
      </c>
      <c r="AU246" s="110">
        <v>0.0</v>
      </c>
      <c r="AV246" s="142">
        <v>0.0</v>
      </c>
      <c r="AW246" s="80">
        <f t="shared" si="6"/>
        <v>0</v>
      </c>
      <c r="AX246" s="113">
        <f t="shared" si="7"/>
        <v>131</v>
      </c>
      <c r="AY246" s="117">
        <f t="shared" si="8"/>
        <v>120</v>
      </c>
      <c r="AZ246" s="120">
        <f t="shared" si="9"/>
        <v>11</v>
      </c>
      <c r="BA246" s="115">
        <v>0.0</v>
      </c>
      <c r="BB246" s="89">
        <f t="shared" si="10"/>
        <v>131</v>
      </c>
      <c r="BC246" s="132"/>
      <c r="BD246" s="132" t="s">
        <v>227</v>
      </c>
      <c r="BE246" s="132"/>
      <c r="BF246" s="123"/>
      <c r="BG246" s="98">
        <v>1179820.0</v>
      </c>
      <c r="BH246" s="144"/>
      <c r="BI246" s="112"/>
      <c r="BJ246" s="98"/>
      <c r="BK246" s="99">
        <f t="shared" si="11"/>
        <v>0</v>
      </c>
      <c r="BL246" s="99">
        <f t="shared" si="12"/>
        <v>120</v>
      </c>
      <c r="BM246" s="99" t="str">
        <f>IFERROR(__xludf.DUMMYFUNCTION("IFERROR(VLOOKUP(BG246,IMPORTRANGE(""https://docs.google.com/spreadsheets/d/1juPI-Fb8LD0YtltB2mlGEnp_R3UVu1t3wSFPzgCyHXE/edit?gid=0#gid=0"",""GERAL!A2:C""),3,0),""-"")"),"-")</f>
        <v>-</v>
      </c>
    </row>
    <row r="247" ht="15.75" customHeight="1">
      <c r="A247" s="111" t="s">
        <v>383</v>
      </c>
      <c r="B247" s="83" t="s">
        <v>1066</v>
      </c>
      <c r="C247" s="83" t="s">
        <v>164</v>
      </c>
      <c r="D247" s="112">
        <v>1179292.0</v>
      </c>
      <c r="E247" s="83">
        <v>1179353.0</v>
      </c>
      <c r="F247" s="98">
        <v>2.9460816E7</v>
      </c>
      <c r="G247" s="114" t="s">
        <v>1079</v>
      </c>
      <c r="H247" s="91" t="s">
        <v>1080</v>
      </c>
      <c r="I247" s="136" t="s">
        <v>1081</v>
      </c>
      <c r="J247" s="83" t="s">
        <v>992</v>
      </c>
      <c r="K247" s="83" t="s">
        <v>168</v>
      </c>
      <c r="L247" s="83" t="s">
        <v>169</v>
      </c>
      <c r="M247" s="82" t="str">
        <f>IFERROR(__xludf.DUMMYFUNCTION("IFERROR(VLOOKUP(D247,
IMPORTRANGE(""https://docs.google.com/spreadsheets/d/1MjHtlUikwobi2MaWJgy7tfLeBmhj1u-dRFRs_8GwSoA/edit#gid=0"",""Gestores Escolares!D7:J""),3,0),""VERIFICAR CÓD SEC"")"),"TECIO LUIZ BOAVENTURA DE MENEZES")</f>
        <v>TECIO LUIZ BOAVENTURA DE MENEZES</v>
      </c>
      <c r="N247" s="82" t="str">
        <f>IFERROR(__xludf.DUMMYFUNCTION("IFERROR(VLOOKUP(D247,
IMPORTRANGE(""https://docs.google.com/spreadsheets/d/1MjHtlUikwobi2MaWJgy7tfLeBmhj1u-dRFRs_8GwSoA/edit#gid=0"",""Gestores Escolares!D7:J""),4,0),""VERIFICAR CÓD SEC"")"),"(75) 9 9948-8050")</f>
        <v>(75) 9 9948-8050</v>
      </c>
      <c r="O247" s="82" t="str">
        <f>IFERROR(__xludf.DUMMYFUNCTION("IFERROR(VLOOKUP(D247,
IMPORTRANGE(""https://docs.google.com/spreadsheets/d/1MjHtlUikwobi2MaWJgy7tfLeBmhj1u-dRFRs_8GwSoA/edit#gid=0"",""Gestores Escolares!D7:J""),6,0),""VERIFICAR CÓD SEC"")"),"ELISANGELA DE ALMEIDA CARDOSO")</f>
        <v>ELISANGELA DE ALMEIDA CARDOSO</v>
      </c>
      <c r="P247" s="82" t="str">
        <f>IFERROR(__xludf.DUMMYFUNCTION("IFERROR(VLOOKUP(D247,
IMPORTRANGE(""https://docs.google.com/spreadsheets/d/1MjHtlUikwobi2MaWJgy7tfLeBmhj1u-dRFRs_8GwSoA/edit#gid=0"",""Gestores Escolares!D7:J""),7,0),""VERIFICAR CÓD SEC"")")," (71) 9 9418-7474")</f>
        <v> (71) 9 9418-7474</v>
      </c>
      <c r="Q247" s="82" t="str">
        <f>IFERROR(__xludf.DUMMYFUNCTION("IFERROR(VLOOKUP(D247,
IMPORTRANGE(""https://docs.google.com/spreadsheets/d/1MjHtlUikwobi2MaWJgy7tfLeBmhj1u-dRFRs_8GwSoA/edit#gid=0"",""Gestores Escolares!D7:m""),9,0),""VERIFICAR CÓD SEC"")"),"")</f>
        <v/>
      </c>
      <c r="R247" s="82" t="str">
        <f>IFERROR(__xludf.DUMMYFUNCTION("IFERROR(VLOOKUP(D247,
IMPORTRANGE(""https://docs.google.com/spreadsheets/d/1MjHtlUikwobi2MaWJgy7tfLeBmhj1u-dRFRs_8GwSoA/edit#gid=0"",""Gestores Escolares!D7:m""),10,0),""VERIFICAR CÓD SEC"")"),"")</f>
        <v/>
      </c>
      <c r="S247" s="82"/>
      <c r="T247" s="138">
        <v>3.0</v>
      </c>
      <c r="U247" s="139">
        <v>3.0</v>
      </c>
      <c r="V247" s="106">
        <v>0.0</v>
      </c>
      <c r="W247" s="107">
        <v>0.0</v>
      </c>
      <c r="X247" s="107">
        <v>0.0</v>
      </c>
      <c r="Y247" s="107">
        <v>0.0</v>
      </c>
      <c r="Z247" s="80">
        <f t="shared" si="1"/>
        <v>0</v>
      </c>
      <c r="AA247" s="106">
        <v>0.0</v>
      </c>
      <c r="AB247" s="107">
        <v>0.0</v>
      </c>
      <c r="AC247" s="107">
        <v>0.0</v>
      </c>
      <c r="AD247" s="107">
        <v>0.0</v>
      </c>
      <c r="AE247" s="80">
        <f t="shared" si="2"/>
        <v>0</v>
      </c>
      <c r="AF247" s="140">
        <v>0.0</v>
      </c>
      <c r="AG247" s="109">
        <v>0.0</v>
      </c>
      <c r="AH247" s="109">
        <v>39.0</v>
      </c>
      <c r="AI247" s="141">
        <v>0.0</v>
      </c>
      <c r="AJ247" s="80">
        <f t="shared" si="3"/>
        <v>39</v>
      </c>
      <c r="AK247" s="140">
        <v>0.0</v>
      </c>
      <c r="AL247" s="109">
        <v>0.0</v>
      </c>
      <c r="AM247" s="141">
        <v>0.0</v>
      </c>
      <c r="AN247" s="80">
        <f t="shared" si="4"/>
        <v>0</v>
      </c>
      <c r="AO247" s="140">
        <v>0.0</v>
      </c>
      <c r="AP247" s="109">
        <v>0.0</v>
      </c>
      <c r="AQ247" s="109">
        <v>0.0</v>
      </c>
      <c r="AR247" s="80">
        <f t="shared" si="5"/>
        <v>0</v>
      </c>
      <c r="AS247" s="110">
        <v>0.0</v>
      </c>
      <c r="AT247" s="110">
        <v>0.0</v>
      </c>
      <c r="AU247" s="110">
        <v>0.0</v>
      </c>
      <c r="AV247" s="142">
        <v>0.0</v>
      </c>
      <c r="AW247" s="80">
        <f t="shared" si="6"/>
        <v>0</v>
      </c>
      <c r="AX247" s="113">
        <f t="shared" si="7"/>
        <v>39</v>
      </c>
      <c r="AY247" s="117">
        <f t="shared" si="8"/>
        <v>0</v>
      </c>
      <c r="AZ247" s="120">
        <f t="shared" si="9"/>
        <v>39</v>
      </c>
      <c r="BA247" s="115">
        <v>0.0</v>
      </c>
      <c r="BB247" s="89">
        <f t="shared" si="10"/>
        <v>39</v>
      </c>
      <c r="BC247" s="132" t="s">
        <v>178</v>
      </c>
      <c r="BD247" s="143" t="s">
        <v>227</v>
      </c>
      <c r="BE247" s="132" t="s">
        <v>178</v>
      </c>
      <c r="BF247" s="156"/>
      <c r="BG247" s="83">
        <v>1179353.0</v>
      </c>
      <c r="BH247" s="144"/>
      <c r="BI247" s="112">
        <v>3.0</v>
      </c>
      <c r="BJ247" s="98" t="s">
        <v>155</v>
      </c>
      <c r="BK247" s="99">
        <f t="shared" si="11"/>
        <v>0</v>
      </c>
      <c r="BL247" s="99">
        <f t="shared" si="12"/>
        <v>0</v>
      </c>
      <c r="BM247" s="99" t="str">
        <f>IFERROR(__xludf.DUMMYFUNCTION("IFERROR(VLOOKUP(BG247,IMPORTRANGE(""https://docs.google.com/spreadsheets/d/1juPI-Fb8LD0YtltB2mlGEnp_R3UVu1t3wSFPzgCyHXE/edit?gid=0#gid=0"",""GERAL!A2:C""),3,0),""-"")"),"-")</f>
        <v>-</v>
      </c>
    </row>
    <row r="248" ht="15.75" customHeight="1">
      <c r="A248" s="111" t="s">
        <v>383</v>
      </c>
      <c r="B248" s="83" t="s">
        <v>1066</v>
      </c>
      <c r="C248" s="83" t="s">
        <v>164</v>
      </c>
      <c r="D248" s="112">
        <v>1179292.0</v>
      </c>
      <c r="E248" s="83">
        <v>1179433.0</v>
      </c>
      <c r="F248" s="98">
        <v>2.9460816E7</v>
      </c>
      <c r="G248" s="114" t="s">
        <v>1082</v>
      </c>
      <c r="H248" s="91" t="s">
        <v>1083</v>
      </c>
      <c r="I248" s="136" t="s">
        <v>1084</v>
      </c>
      <c r="J248" s="83" t="s">
        <v>187</v>
      </c>
      <c r="K248" s="83" t="s">
        <v>168</v>
      </c>
      <c r="L248" s="83" t="s">
        <v>169</v>
      </c>
      <c r="M248" s="82" t="str">
        <f>IFERROR(__xludf.DUMMYFUNCTION("IFERROR(VLOOKUP(D248,
IMPORTRANGE(""https://docs.google.com/spreadsheets/d/1MjHtlUikwobi2MaWJgy7tfLeBmhj1u-dRFRs_8GwSoA/edit#gid=0"",""Gestores Escolares!D7:J""),3,0),""VERIFICAR CÓD SEC"")"),"TECIO LUIZ BOAVENTURA DE MENEZES")</f>
        <v>TECIO LUIZ BOAVENTURA DE MENEZES</v>
      </c>
      <c r="N248" s="82" t="str">
        <f>IFERROR(__xludf.DUMMYFUNCTION("IFERROR(VLOOKUP(D248,
IMPORTRANGE(""https://docs.google.com/spreadsheets/d/1MjHtlUikwobi2MaWJgy7tfLeBmhj1u-dRFRs_8GwSoA/edit#gid=0"",""Gestores Escolares!D7:J""),4,0),""VERIFICAR CÓD SEC"")"),"(75) 9 9948-8050")</f>
        <v>(75) 9 9948-8050</v>
      </c>
      <c r="O248" s="82" t="str">
        <f>IFERROR(__xludf.DUMMYFUNCTION("IFERROR(VLOOKUP(D248,
IMPORTRANGE(""https://docs.google.com/spreadsheets/d/1MjHtlUikwobi2MaWJgy7tfLeBmhj1u-dRFRs_8GwSoA/edit#gid=0"",""Gestores Escolares!D7:J""),6,0),""VERIFICAR CÓD SEC"")"),"ELISANGELA DE ALMEIDA CARDOSO")</f>
        <v>ELISANGELA DE ALMEIDA CARDOSO</v>
      </c>
      <c r="P248" s="82" t="str">
        <f>IFERROR(__xludf.DUMMYFUNCTION("IFERROR(VLOOKUP(D248,
IMPORTRANGE(""https://docs.google.com/spreadsheets/d/1MjHtlUikwobi2MaWJgy7tfLeBmhj1u-dRFRs_8GwSoA/edit#gid=0"",""Gestores Escolares!D7:J""),7,0),""VERIFICAR CÓD SEC"")")," (71) 9 9418-7474")</f>
        <v> (71) 9 9418-7474</v>
      </c>
      <c r="Q248" s="82" t="str">
        <f>IFERROR(__xludf.DUMMYFUNCTION("IFERROR(VLOOKUP(D248,
IMPORTRANGE(""https://docs.google.com/spreadsheets/d/1MjHtlUikwobi2MaWJgy7tfLeBmhj1u-dRFRs_8GwSoA/edit#gid=0"",""Gestores Escolares!D7:m""),9,0),""VERIFICAR CÓD SEC"")"),"")</f>
        <v/>
      </c>
      <c r="R248" s="82" t="str">
        <f>IFERROR(__xludf.DUMMYFUNCTION("IFERROR(VLOOKUP(D248,
IMPORTRANGE(""https://docs.google.com/spreadsheets/d/1MjHtlUikwobi2MaWJgy7tfLeBmhj1u-dRFRs_8GwSoA/edit#gid=0"",""Gestores Escolares!D7:m""),10,0),""VERIFICAR CÓD SEC"")"),"")</f>
        <v/>
      </c>
      <c r="S248" s="82"/>
      <c r="T248" s="138">
        <v>2.0</v>
      </c>
      <c r="U248" s="139">
        <v>2.0</v>
      </c>
      <c r="V248" s="106">
        <v>0.0</v>
      </c>
      <c r="W248" s="107">
        <v>0.0</v>
      </c>
      <c r="X248" s="107">
        <v>0.0</v>
      </c>
      <c r="Y248" s="107">
        <v>0.0</v>
      </c>
      <c r="Z248" s="80">
        <f t="shared" si="1"/>
        <v>0</v>
      </c>
      <c r="AA248" s="106">
        <v>0.0</v>
      </c>
      <c r="AB248" s="107">
        <v>0.0</v>
      </c>
      <c r="AC248" s="107">
        <v>0.0</v>
      </c>
      <c r="AD248" s="107">
        <v>0.0</v>
      </c>
      <c r="AE248" s="80">
        <f t="shared" si="2"/>
        <v>0</v>
      </c>
      <c r="AF248" s="140">
        <v>0.0</v>
      </c>
      <c r="AG248" s="109">
        <v>0.0</v>
      </c>
      <c r="AH248" s="109">
        <v>88.0</v>
      </c>
      <c r="AI248" s="141">
        <v>0.0</v>
      </c>
      <c r="AJ248" s="80">
        <f t="shared" si="3"/>
        <v>88</v>
      </c>
      <c r="AK248" s="140">
        <v>0.0</v>
      </c>
      <c r="AL248" s="109">
        <v>0.0</v>
      </c>
      <c r="AM248" s="141">
        <v>0.0</v>
      </c>
      <c r="AN248" s="80">
        <f t="shared" si="4"/>
        <v>0</v>
      </c>
      <c r="AO248" s="140">
        <v>0.0</v>
      </c>
      <c r="AP248" s="109">
        <v>0.0</v>
      </c>
      <c r="AQ248" s="109">
        <v>0.0</v>
      </c>
      <c r="AR248" s="80">
        <f t="shared" si="5"/>
        <v>0</v>
      </c>
      <c r="AS248" s="110">
        <v>0.0</v>
      </c>
      <c r="AT248" s="110">
        <v>0.0</v>
      </c>
      <c r="AU248" s="110">
        <v>0.0</v>
      </c>
      <c r="AV248" s="142">
        <v>0.0</v>
      </c>
      <c r="AW248" s="80">
        <f t="shared" si="6"/>
        <v>0</v>
      </c>
      <c r="AX248" s="113">
        <f t="shared" si="7"/>
        <v>88</v>
      </c>
      <c r="AY248" s="117">
        <f t="shared" si="8"/>
        <v>0</v>
      </c>
      <c r="AZ248" s="120">
        <f t="shared" si="9"/>
        <v>88</v>
      </c>
      <c r="BA248" s="115">
        <v>0.0</v>
      </c>
      <c r="BB248" s="89">
        <f t="shared" si="10"/>
        <v>88</v>
      </c>
      <c r="BC248" s="132" t="s">
        <v>178</v>
      </c>
      <c r="BD248" s="143" t="s">
        <v>227</v>
      </c>
      <c r="BE248" s="132" t="s">
        <v>178</v>
      </c>
      <c r="BF248" s="156"/>
      <c r="BG248" s="83">
        <v>1179433.0</v>
      </c>
      <c r="BH248" s="144"/>
      <c r="BI248" s="112">
        <v>2.0</v>
      </c>
      <c r="BJ248" s="98" t="s">
        <v>155</v>
      </c>
      <c r="BK248" s="99">
        <f t="shared" si="11"/>
        <v>0</v>
      </c>
      <c r="BL248" s="99">
        <f t="shared" si="12"/>
        <v>0</v>
      </c>
      <c r="BM248" s="99" t="str">
        <f>IFERROR(__xludf.DUMMYFUNCTION("IFERROR(VLOOKUP(BG248,IMPORTRANGE(""https://docs.google.com/spreadsheets/d/1juPI-Fb8LD0YtltB2mlGEnp_R3UVu1t3wSFPzgCyHXE/edit?gid=0#gid=0"",""GERAL!A2:C""),3,0),""-"")"),"-")</f>
        <v>-</v>
      </c>
    </row>
    <row r="249" ht="15.75" customHeight="1">
      <c r="A249" s="111" t="s">
        <v>383</v>
      </c>
      <c r="B249" s="83" t="s">
        <v>1066</v>
      </c>
      <c r="C249" s="83" t="s">
        <v>164</v>
      </c>
      <c r="D249" s="112">
        <v>1179292.0</v>
      </c>
      <c r="E249" s="83">
        <v>1179210.0</v>
      </c>
      <c r="F249" s="98">
        <v>2.9460816E7</v>
      </c>
      <c r="G249" s="114" t="s">
        <v>1085</v>
      </c>
      <c r="H249" s="91" t="s">
        <v>1086</v>
      </c>
      <c r="I249" s="83" t="s">
        <v>149</v>
      </c>
      <c r="J249" s="83" t="s">
        <v>464</v>
      </c>
      <c r="K249" s="83" t="s">
        <v>168</v>
      </c>
      <c r="L249" s="83" t="s">
        <v>169</v>
      </c>
      <c r="M249" s="82" t="str">
        <f>IFERROR(__xludf.DUMMYFUNCTION("IFERROR(VLOOKUP(D249,
IMPORTRANGE(""https://docs.google.com/spreadsheets/d/1MjHtlUikwobi2MaWJgy7tfLeBmhj1u-dRFRs_8GwSoA/edit#gid=0"",""Gestores Escolares!D7:J""),3,0),""VERIFICAR CÓD SEC"")"),"TECIO LUIZ BOAVENTURA DE MENEZES")</f>
        <v>TECIO LUIZ BOAVENTURA DE MENEZES</v>
      </c>
      <c r="N249" s="82" t="str">
        <f>IFERROR(__xludf.DUMMYFUNCTION("IFERROR(VLOOKUP(D249,
IMPORTRANGE(""https://docs.google.com/spreadsheets/d/1MjHtlUikwobi2MaWJgy7tfLeBmhj1u-dRFRs_8GwSoA/edit#gid=0"",""Gestores Escolares!D7:J""),4,0),""VERIFICAR CÓD SEC"")"),"(75) 9 9948-8050")</f>
        <v>(75) 9 9948-8050</v>
      </c>
      <c r="O249" s="82" t="str">
        <f>IFERROR(__xludf.DUMMYFUNCTION("IFERROR(VLOOKUP(D249,
IMPORTRANGE(""https://docs.google.com/spreadsheets/d/1MjHtlUikwobi2MaWJgy7tfLeBmhj1u-dRFRs_8GwSoA/edit#gid=0"",""Gestores Escolares!D7:J""),6,0),""VERIFICAR CÓD SEC"")"),"ELISANGELA DE ALMEIDA CARDOSO")</f>
        <v>ELISANGELA DE ALMEIDA CARDOSO</v>
      </c>
      <c r="P249" s="82" t="str">
        <f>IFERROR(__xludf.DUMMYFUNCTION("IFERROR(VLOOKUP(D249,
IMPORTRANGE(""https://docs.google.com/spreadsheets/d/1MjHtlUikwobi2MaWJgy7tfLeBmhj1u-dRFRs_8GwSoA/edit#gid=0"",""Gestores Escolares!D7:J""),7,0),""VERIFICAR CÓD SEC"")")," (71) 9 9418-7474")</f>
        <v> (71) 9 9418-7474</v>
      </c>
      <c r="Q249" s="82" t="str">
        <f>IFERROR(__xludf.DUMMYFUNCTION("IFERROR(VLOOKUP(D249,
IMPORTRANGE(""https://docs.google.com/spreadsheets/d/1MjHtlUikwobi2MaWJgy7tfLeBmhj1u-dRFRs_8GwSoA/edit#gid=0"",""Gestores Escolares!D7:m""),9,0),""VERIFICAR CÓD SEC"")"),"")</f>
        <v/>
      </c>
      <c r="R249" s="82" t="str">
        <f>IFERROR(__xludf.DUMMYFUNCTION("IFERROR(VLOOKUP(D249,
IMPORTRANGE(""https://docs.google.com/spreadsheets/d/1MjHtlUikwobi2MaWJgy7tfLeBmhj1u-dRFRs_8GwSoA/edit#gid=0"",""Gestores Escolares!D7:m""),10,0),""VERIFICAR CÓD SEC"")"),"")</f>
        <v/>
      </c>
      <c r="S249" s="82"/>
      <c r="T249" s="138">
        <v>3.0</v>
      </c>
      <c r="U249" s="139">
        <v>3.0</v>
      </c>
      <c r="V249" s="106">
        <v>0.0</v>
      </c>
      <c r="W249" s="107">
        <v>0.0</v>
      </c>
      <c r="X249" s="107">
        <v>0.0</v>
      </c>
      <c r="Y249" s="107">
        <v>0.0</v>
      </c>
      <c r="Z249" s="80">
        <f t="shared" si="1"/>
        <v>0</v>
      </c>
      <c r="AA249" s="106">
        <v>0.0</v>
      </c>
      <c r="AB249" s="107">
        <v>0.0</v>
      </c>
      <c r="AC249" s="107">
        <v>0.0</v>
      </c>
      <c r="AD249" s="107">
        <v>0.0</v>
      </c>
      <c r="AE249" s="80">
        <f t="shared" si="2"/>
        <v>0</v>
      </c>
      <c r="AF249" s="140">
        <v>0.0</v>
      </c>
      <c r="AG249" s="109">
        <v>0.0</v>
      </c>
      <c r="AH249" s="109">
        <v>50.0</v>
      </c>
      <c r="AI249" s="141">
        <v>0.0</v>
      </c>
      <c r="AJ249" s="80">
        <f t="shared" si="3"/>
        <v>50</v>
      </c>
      <c r="AK249" s="140">
        <v>0.0</v>
      </c>
      <c r="AL249" s="109">
        <v>0.0</v>
      </c>
      <c r="AM249" s="141">
        <v>0.0</v>
      </c>
      <c r="AN249" s="80">
        <f t="shared" si="4"/>
        <v>0</v>
      </c>
      <c r="AO249" s="140">
        <v>0.0</v>
      </c>
      <c r="AP249" s="109">
        <v>0.0</v>
      </c>
      <c r="AQ249" s="109">
        <v>0.0</v>
      </c>
      <c r="AR249" s="80">
        <f t="shared" si="5"/>
        <v>0</v>
      </c>
      <c r="AS249" s="110">
        <v>0.0</v>
      </c>
      <c r="AT249" s="110">
        <v>0.0</v>
      </c>
      <c r="AU249" s="110">
        <v>0.0</v>
      </c>
      <c r="AV249" s="142">
        <v>0.0</v>
      </c>
      <c r="AW249" s="80">
        <f t="shared" si="6"/>
        <v>0</v>
      </c>
      <c r="AX249" s="113">
        <f t="shared" si="7"/>
        <v>50</v>
      </c>
      <c r="AY249" s="117">
        <f t="shared" si="8"/>
        <v>0</v>
      </c>
      <c r="AZ249" s="120">
        <f t="shared" si="9"/>
        <v>50</v>
      </c>
      <c r="BA249" s="115">
        <v>0.0</v>
      </c>
      <c r="BB249" s="89">
        <f t="shared" si="10"/>
        <v>50</v>
      </c>
      <c r="BC249" s="132" t="s">
        <v>178</v>
      </c>
      <c r="BD249" s="143" t="s">
        <v>227</v>
      </c>
      <c r="BE249" s="132" t="s">
        <v>178</v>
      </c>
      <c r="BF249" s="123"/>
      <c r="BG249" s="83">
        <v>1179210.0</v>
      </c>
      <c r="BH249" s="144"/>
      <c r="BI249" s="112">
        <v>3.0</v>
      </c>
      <c r="BJ249" s="98" t="s">
        <v>155</v>
      </c>
      <c r="BK249" s="99">
        <f t="shared" si="11"/>
        <v>0</v>
      </c>
      <c r="BL249" s="99">
        <f t="shared" si="12"/>
        <v>0</v>
      </c>
      <c r="BM249" s="99" t="str">
        <f>IFERROR(__xludf.DUMMYFUNCTION("IFERROR(VLOOKUP(BG249,IMPORTRANGE(""https://docs.google.com/spreadsheets/d/1juPI-Fb8LD0YtltB2mlGEnp_R3UVu1t3wSFPzgCyHXE/edit?gid=0#gid=0"",""GERAL!A2:C""),3,0),""-"")"),"-")</f>
        <v>-</v>
      </c>
    </row>
    <row r="250" ht="15.75" customHeight="1">
      <c r="A250" s="111" t="s">
        <v>383</v>
      </c>
      <c r="B250" s="83" t="s">
        <v>1066</v>
      </c>
      <c r="C250" s="83" t="s">
        <v>164</v>
      </c>
      <c r="D250" s="112">
        <v>1179292.0</v>
      </c>
      <c r="E250" s="83">
        <v>1178602.0</v>
      </c>
      <c r="F250" s="98">
        <v>2.9460816E7</v>
      </c>
      <c r="G250" s="114" t="s">
        <v>1087</v>
      </c>
      <c r="H250" s="91" t="s">
        <v>1088</v>
      </c>
      <c r="I250" s="136" t="s">
        <v>1089</v>
      </c>
      <c r="J250" s="83" t="s">
        <v>1074</v>
      </c>
      <c r="K250" s="83" t="s">
        <v>168</v>
      </c>
      <c r="L250" s="83" t="s">
        <v>169</v>
      </c>
      <c r="M250" s="82" t="str">
        <f>IFERROR(__xludf.DUMMYFUNCTION("IFERROR(VLOOKUP(D250,
IMPORTRANGE(""https://docs.google.com/spreadsheets/d/1MjHtlUikwobi2MaWJgy7tfLeBmhj1u-dRFRs_8GwSoA/edit#gid=0"",""Gestores Escolares!D7:J""),3,0),""VERIFICAR CÓD SEC"")"),"TECIO LUIZ BOAVENTURA DE MENEZES")</f>
        <v>TECIO LUIZ BOAVENTURA DE MENEZES</v>
      </c>
      <c r="N250" s="82" t="str">
        <f>IFERROR(__xludf.DUMMYFUNCTION("IFERROR(VLOOKUP(D250,
IMPORTRANGE(""https://docs.google.com/spreadsheets/d/1MjHtlUikwobi2MaWJgy7tfLeBmhj1u-dRFRs_8GwSoA/edit#gid=0"",""Gestores Escolares!D7:J""),4,0),""VERIFICAR CÓD SEC"")"),"(75) 9 9948-8050")</f>
        <v>(75) 9 9948-8050</v>
      </c>
      <c r="O250" s="82" t="str">
        <f>IFERROR(__xludf.DUMMYFUNCTION("IFERROR(VLOOKUP(D250,
IMPORTRANGE(""https://docs.google.com/spreadsheets/d/1MjHtlUikwobi2MaWJgy7tfLeBmhj1u-dRFRs_8GwSoA/edit#gid=0"",""Gestores Escolares!D7:J""),6,0),""VERIFICAR CÓD SEC"")"),"ELISANGELA DE ALMEIDA CARDOSO")</f>
        <v>ELISANGELA DE ALMEIDA CARDOSO</v>
      </c>
      <c r="P250" s="82" t="str">
        <f>IFERROR(__xludf.DUMMYFUNCTION("IFERROR(VLOOKUP(D250,
IMPORTRANGE(""https://docs.google.com/spreadsheets/d/1MjHtlUikwobi2MaWJgy7tfLeBmhj1u-dRFRs_8GwSoA/edit#gid=0"",""Gestores Escolares!D7:J""),7,0),""VERIFICAR CÓD SEC"")")," (71) 9 9418-7474")</f>
        <v> (71) 9 9418-7474</v>
      </c>
      <c r="Q250" s="82" t="str">
        <f>IFERROR(__xludf.DUMMYFUNCTION("IFERROR(VLOOKUP(D250,
IMPORTRANGE(""https://docs.google.com/spreadsheets/d/1MjHtlUikwobi2MaWJgy7tfLeBmhj1u-dRFRs_8GwSoA/edit#gid=0"",""Gestores Escolares!D7:m""),9,0),""VERIFICAR CÓD SEC"")"),"")</f>
        <v/>
      </c>
      <c r="R250" s="82" t="str">
        <f>IFERROR(__xludf.DUMMYFUNCTION("IFERROR(VLOOKUP(D250,
IMPORTRANGE(""https://docs.google.com/spreadsheets/d/1MjHtlUikwobi2MaWJgy7tfLeBmhj1u-dRFRs_8GwSoA/edit#gid=0"",""Gestores Escolares!D7:m""),10,0),""VERIFICAR CÓD SEC"")"),"")</f>
        <v/>
      </c>
      <c r="S250" s="82"/>
      <c r="T250" s="138">
        <v>3.0</v>
      </c>
      <c r="U250" s="139">
        <v>3.0</v>
      </c>
      <c r="V250" s="106">
        <v>0.0</v>
      </c>
      <c r="W250" s="107">
        <v>0.0</v>
      </c>
      <c r="X250" s="107">
        <v>0.0</v>
      </c>
      <c r="Y250" s="107">
        <v>0.0</v>
      </c>
      <c r="Z250" s="80">
        <f t="shared" si="1"/>
        <v>0</v>
      </c>
      <c r="AA250" s="106">
        <v>0.0</v>
      </c>
      <c r="AB250" s="107">
        <v>0.0</v>
      </c>
      <c r="AC250" s="107">
        <v>0.0</v>
      </c>
      <c r="AD250" s="107">
        <v>0.0</v>
      </c>
      <c r="AE250" s="80">
        <f t="shared" si="2"/>
        <v>0</v>
      </c>
      <c r="AF250" s="140">
        <v>0.0</v>
      </c>
      <c r="AG250" s="109">
        <v>33.0</v>
      </c>
      <c r="AH250" s="109">
        <v>81.0</v>
      </c>
      <c r="AI250" s="141">
        <v>0.0</v>
      </c>
      <c r="AJ250" s="80">
        <f t="shared" si="3"/>
        <v>114</v>
      </c>
      <c r="AK250" s="140">
        <v>0.0</v>
      </c>
      <c r="AL250" s="109">
        <v>0.0</v>
      </c>
      <c r="AM250" s="141">
        <v>0.0</v>
      </c>
      <c r="AN250" s="80">
        <f t="shared" si="4"/>
        <v>0</v>
      </c>
      <c r="AO250" s="140">
        <v>0.0</v>
      </c>
      <c r="AP250" s="109">
        <v>0.0</v>
      </c>
      <c r="AQ250" s="109">
        <v>0.0</v>
      </c>
      <c r="AR250" s="80">
        <f t="shared" si="5"/>
        <v>0</v>
      </c>
      <c r="AS250" s="110">
        <v>0.0</v>
      </c>
      <c r="AT250" s="110">
        <v>0.0</v>
      </c>
      <c r="AU250" s="110">
        <v>0.0</v>
      </c>
      <c r="AV250" s="142">
        <v>0.0</v>
      </c>
      <c r="AW250" s="80">
        <f t="shared" si="6"/>
        <v>0</v>
      </c>
      <c r="AX250" s="113">
        <f t="shared" si="7"/>
        <v>114</v>
      </c>
      <c r="AY250" s="117">
        <f t="shared" si="8"/>
        <v>33</v>
      </c>
      <c r="AZ250" s="120">
        <f t="shared" si="9"/>
        <v>81</v>
      </c>
      <c r="BA250" s="115">
        <v>0.0</v>
      </c>
      <c r="BB250" s="89">
        <f t="shared" si="10"/>
        <v>114</v>
      </c>
      <c r="BC250" s="132" t="s">
        <v>178</v>
      </c>
      <c r="BD250" s="143" t="s">
        <v>227</v>
      </c>
      <c r="BE250" s="132" t="s">
        <v>178</v>
      </c>
      <c r="BF250" s="123"/>
      <c r="BG250" s="83">
        <v>1178602.0</v>
      </c>
      <c r="BH250" s="144"/>
      <c r="BI250" s="112">
        <v>3.0</v>
      </c>
      <c r="BJ250" s="98" t="s">
        <v>155</v>
      </c>
      <c r="BK250" s="99">
        <f t="shared" si="11"/>
        <v>0</v>
      </c>
      <c r="BL250" s="99">
        <f t="shared" si="12"/>
        <v>33</v>
      </c>
      <c r="BM250" s="99" t="str">
        <f>IFERROR(__xludf.DUMMYFUNCTION("IFERROR(VLOOKUP(BG250,IMPORTRANGE(""https://docs.google.com/spreadsheets/d/1juPI-Fb8LD0YtltB2mlGEnp_R3UVu1t3wSFPzgCyHXE/edit?gid=0#gid=0"",""GERAL!A2:C""),3,0),""-"")"),"-")</f>
        <v>-</v>
      </c>
    </row>
    <row r="251" ht="15.75" customHeight="1">
      <c r="A251" s="111" t="s">
        <v>383</v>
      </c>
      <c r="B251" s="83" t="s">
        <v>1066</v>
      </c>
      <c r="C251" s="83" t="s">
        <v>164</v>
      </c>
      <c r="D251" s="112">
        <v>1179292.0</v>
      </c>
      <c r="E251" s="83">
        <v>1179280.0</v>
      </c>
      <c r="F251" s="98">
        <v>2.9460816E7</v>
      </c>
      <c r="G251" s="187" t="s">
        <v>1091</v>
      </c>
      <c r="H251" s="91" t="s">
        <v>1092</v>
      </c>
      <c r="I251" s="136" t="s">
        <v>1093</v>
      </c>
      <c r="J251" s="83" t="s">
        <v>467</v>
      </c>
      <c r="K251" s="83" t="s">
        <v>168</v>
      </c>
      <c r="L251" s="83" t="s">
        <v>169</v>
      </c>
      <c r="M251" s="82" t="str">
        <f>IFERROR(__xludf.DUMMYFUNCTION("IFERROR(VLOOKUP(D251,
IMPORTRANGE(""https://docs.google.com/spreadsheets/d/1MjHtlUikwobi2MaWJgy7tfLeBmhj1u-dRFRs_8GwSoA/edit#gid=0"",""Gestores Escolares!D7:J""),3,0),""VERIFICAR CÓD SEC"")"),"TECIO LUIZ BOAVENTURA DE MENEZES")</f>
        <v>TECIO LUIZ BOAVENTURA DE MENEZES</v>
      </c>
      <c r="N251" s="82" t="str">
        <f>IFERROR(__xludf.DUMMYFUNCTION("IFERROR(VLOOKUP(D251,
IMPORTRANGE(""https://docs.google.com/spreadsheets/d/1MjHtlUikwobi2MaWJgy7tfLeBmhj1u-dRFRs_8GwSoA/edit#gid=0"",""Gestores Escolares!D7:J""),4,0),""VERIFICAR CÓD SEC"")"),"(75) 9 9948-8050")</f>
        <v>(75) 9 9948-8050</v>
      </c>
      <c r="O251" s="82" t="str">
        <f>IFERROR(__xludf.DUMMYFUNCTION("IFERROR(VLOOKUP(D251,
IMPORTRANGE(""https://docs.google.com/spreadsheets/d/1MjHtlUikwobi2MaWJgy7tfLeBmhj1u-dRFRs_8GwSoA/edit#gid=0"",""Gestores Escolares!D7:J""),6,0),""VERIFICAR CÓD SEC"")"),"ELISANGELA DE ALMEIDA CARDOSO")</f>
        <v>ELISANGELA DE ALMEIDA CARDOSO</v>
      </c>
      <c r="P251" s="82" t="str">
        <f>IFERROR(__xludf.DUMMYFUNCTION("IFERROR(VLOOKUP(D251,
IMPORTRANGE(""https://docs.google.com/spreadsheets/d/1MjHtlUikwobi2MaWJgy7tfLeBmhj1u-dRFRs_8GwSoA/edit#gid=0"",""Gestores Escolares!D7:J""),7,0),""VERIFICAR CÓD SEC"")")," (71) 9 9418-7474")</f>
        <v> (71) 9 9418-7474</v>
      </c>
      <c r="Q251" s="82" t="str">
        <f>IFERROR(__xludf.DUMMYFUNCTION("IFERROR(VLOOKUP(D251,
IMPORTRANGE(""https://docs.google.com/spreadsheets/d/1MjHtlUikwobi2MaWJgy7tfLeBmhj1u-dRFRs_8GwSoA/edit#gid=0"",""Gestores Escolares!D7:m""),9,0),""VERIFICAR CÓD SEC"")"),"")</f>
        <v/>
      </c>
      <c r="R251" s="82" t="str">
        <f>IFERROR(__xludf.DUMMYFUNCTION("IFERROR(VLOOKUP(D251,
IMPORTRANGE(""https://docs.google.com/spreadsheets/d/1MjHtlUikwobi2MaWJgy7tfLeBmhj1u-dRFRs_8GwSoA/edit#gid=0"",""Gestores Escolares!D7:m""),10,0),""VERIFICAR CÓD SEC"")"),"")</f>
        <v/>
      </c>
      <c r="S251" s="82"/>
      <c r="T251" s="138">
        <v>3.0</v>
      </c>
      <c r="U251" s="139">
        <v>3.0</v>
      </c>
      <c r="V251" s="106">
        <v>0.0</v>
      </c>
      <c r="W251" s="107">
        <v>0.0</v>
      </c>
      <c r="X251" s="107">
        <v>0.0</v>
      </c>
      <c r="Y251" s="107">
        <v>0.0</v>
      </c>
      <c r="Z251" s="80">
        <f t="shared" si="1"/>
        <v>0</v>
      </c>
      <c r="AA251" s="106">
        <v>0.0</v>
      </c>
      <c r="AB251" s="107">
        <v>0.0</v>
      </c>
      <c r="AC251" s="107">
        <v>0.0</v>
      </c>
      <c r="AD251" s="107">
        <v>0.0</v>
      </c>
      <c r="AE251" s="80">
        <f t="shared" si="2"/>
        <v>0</v>
      </c>
      <c r="AF251" s="140">
        <v>0.0</v>
      </c>
      <c r="AG251" s="109">
        <v>67.0</v>
      </c>
      <c r="AH251" s="109">
        <v>44.0</v>
      </c>
      <c r="AI251" s="141">
        <v>0.0</v>
      </c>
      <c r="AJ251" s="80">
        <f t="shared" si="3"/>
        <v>111</v>
      </c>
      <c r="AK251" s="140">
        <v>0.0</v>
      </c>
      <c r="AL251" s="109">
        <v>0.0</v>
      </c>
      <c r="AM251" s="141">
        <v>0.0</v>
      </c>
      <c r="AN251" s="80">
        <f t="shared" si="4"/>
        <v>0</v>
      </c>
      <c r="AO251" s="140">
        <v>0.0</v>
      </c>
      <c r="AP251" s="109">
        <v>0.0</v>
      </c>
      <c r="AQ251" s="109">
        <v>0.0</v>
      </c>
      <c r="AR251" s="80">
        <f t="shared" si="5"/>
        <v>0</v>
      </c>
      <c r="AS251" s="110">
        <v>0.0</v>
      </c>
      <c r="AT251" s="110">
        <v>0.0</v>
      </c>
      <c r="AU251" s="110">
        <v>0.0</v>
      </c>
      <c r="AV251" s="142">
        <v>0.0</v>
      </c>
      <c r="AW251" s="80">
        <f t="shared" si="6"/>
        <v>0</v>
      </c>
      <c r="AX251" s="113">
        <f t="shared" si="7"/>
        <v>111</v>
      </c>
      <c r="AY251" s="117">
        <f t="shared" si="8"/>
        <v>67</v>
      </c>
      <c r="AZ251" s="120">
        <f t="shared" si="9"/>
        <v>44</v>
      </c>
      <c r="BA251" s="115">
        <v>0.0</v>
      </c>
      <c r="BB251" s="89">
        <f t="shared" si="10"/>
        <v>111</v>
      </c>
      <c r="BC251" s="132" t="s">
        <v>178</v>
      </c>
      <c r="BD251" s="143" t="s">
        <v>227</v>
      </c>
      <c r="BE251" s="132" t="s">
        <v>178</v>
      </c>
      <c r="BF251" s="156"/>
      <c r="BG251" s="83">
        <v>1179280.0</v>
      </c>
      <c r="BH251" s="98" t="s">
        <v>3530</v>
      </c>
      <c r="BI251" s="112">
        <v>3.0</v>
      </c>
      <c r="BJ251" s="98" t="s">
        <v>155</v>
      </c>
      <c r="BK251" s="99">
        <f t="shared" si="11"/>
        <v>0</v>
      </c>
      <c r="BL251" s="99">
        <f t="shared" si="12"/>
        <v>67</v>
      </c>
      <c r="BM251" s="99" t="str">
        <f>IFERROR(__xludf.DUMMYFUNCTION("IFERROR(VLOOKUP(BG251,IMPORTRANGE(""https://docs.google.com/spreadsheets/d/1juPI-Fb8LD0YtltB2mlGEnp_R3UVu1t3wSFPzgCyHXE/edit?gid=0#gid=0"",""GERAL!A2:C""),3,0),""-"")"),"-")</f>
        <v>-</v>
      </c>
    </row>
    <row r="252">
      <c r="A252" s="111" t="s">
        <v>383</v>
      </c>
      <c r="B252" s="83" t="s">
        <v>1066</v>
      </c>
      <c r="C252" s="83" t="s">
        <v>164</v>
      </c>
      <c r="D252" s="112">
        <v>1179292.0</v>
      </c>
      <c r="E252" s="83">
        <v>1178601.0</v>
      </c>
      <c r="F252" s="98">
        <v>2.9460816E7</v>
      </c>
      <c r="G252" s="187" t="s">
        <v>1094</v>
      </c>
      <c r="H252" s="91" t="s">
        <v>1095</v>
      </c>
      <c r="I252" s="136" t="s">
        <v>1096</v>
      </c>
      <c r="J252" s="83" t="s">
        <v>784</v>
      </c>
      <c r="K252" s="83" t="s">
        <v>168</v>
      </c>
      <c r="L252" s="83" t="s">
        <v>169</v>
      </c>
      <c r="M252" s="82" t="str">
        <f>IFERROR(__xludf.DUMMYFUNCTION("IFERROR(VLOOKUP(D252,
IMPORTRANGE(""https://docs.google.com/spreadsheets/d/1MjHtlUikwobi2MaWJgy7tfLeBmhj1u-dRFRs_8GwSoA/edit#gid=0"",""Gestores Escolares!D7:J""),3,0),""VERIFICAR CÓD SEC"")"),"TECIO LUIZ BOAVENTURA DE MENEZES")</f>
        <v>TECIO LUIZ BOAVENTURA DE MENEZES</v>
      </c>
      <c r="N252" s="82" t="str">
        <f>IFERROR(__xludf.DUMMYFUNCTION("IFERROR(VLOOKUP(D252,
IMPORTRANGE(""https://docs.google.com/spreadsheets/d/1MjHtlUikwobi2MaWJgy7tfLeBmhj1u-dRFRs_8GwSoA/edit#gid=0"",""Gestores Escolares!D7:J""),4,0),""VERIFICAR CÓD SEC"")"),"(75) 9 9948-8050")</f>
        <v>(75) 9 9948-8050</v>
      </c>
      <c r="O252" s="82" t="str">
        <f>IFERROR(__xludf.DUMMYFUNCTION("IFERROR(VLOOKUP(D252,
IMPORTRANGE(""https://docs.google.com/spreadsheets/d/1MjHtlUikwobi2MaWJgy7tfLeBmhj1u-dRFRs_8GwSoA/edit#gid=0"",""Gestores Escolares!D7:J""),6,0),""VERIFICAR CÓD SEC"")"),"ELISANGELA DE ALMEIDA CARDOSO")</f>
        <v>ELISANGELA DE ALMEIDA CARDOSO</v>
      </c>
      <c r="P252" s="82" t="str">
        <f>IFERROR(__xludf.DUMMYFUNCTION("IFERROR(VLOOKUP(D252,
IMPORTRANGE(""https://docs.google.com/spreadsheets/d/1MjHtlUikwobi2MaWJgy7tfLeBmhj1u-dRFRs_8GwSoA/edit#gid=0"",""Gestores Escolares!D7:J""),7,0),""VERIFICAR CÓD SEC"")")," (71) 9 9418-7474")</f>
        <v> (71) 9 9418-7474</v>
      </c>
      <c r="Q252" s="82" t="str">
        <f>IFERROR(__xludf.DUMMYFUNCTION("IFERROR(VLOOKUP(D252,
IMPORTRANGE(""https://docs.google.com/spreadsheets/d/1MjHtlUikwobi2MaWJgy7tfLeBmhj1u-dRFRs_8GwSoA/edit#gid=0"",""Gestores Escolares!D7:m""),9,0),""VERIFICAR CÓD SEC"")"),"")</f>
        <v/>
      </c>
      <c r="R252" s="82" t="str">
        <f>IFERROR(__xludf.DUMMYFUNCTION("IFERROR(VLOOKUP(D252,
IMPORTRANGE(""https://docs.google.com/spreadsheets/d/1MjHtlUikwobi2MaWJgy7tfLeBmhj1u-dRFRs_8GwSoA/edit#gid=0"",""Gestores Escolares!D7:m""),10,0),""VERIFICAR CÓD SEC"")"),"")</f>
        <v/>
      </c>
      <c r="S252" s="82"/>
      <c r="T252" s="138">
        <v>3.0</v>
      </c>
      <c r="U252" s="139">
        <v>3.0</v>
      </c>
      <c r="V252" s="106">
        <v>0.0</v>
      </c>
      <c r="W252" s="107">
        <v>0.0</v>
      </c>
      <c r="X252" s="107">
        <v>0.0</v>
      </c>
      <c r="Y252" s="107">
        <v>0.0</v>
      </c>
      <c r="Z252" s="80">
        <f t="shared" si="1"/>
        <v>0</v>
      </c>
      <c r="AA252" s="106">
        <v>0.0</v>
      </c>
      <c r="AB252" s="107">
        <v>0.0</v>
      </c>
      <c r="AC252" s="107">
        <v>0.0</v>
      </c>
      <c r="AD252" s="107">
        <v>0.0</v>
      </c>
      <c r="AE252" s="80">
        <f t="shared" si="2"/>
        <v>0</v>
      </c>
      <c r="AF252" s="140">
        <v>0.0</v>
      </c>
      <c r="AG252" s="109">
        <v>0.0</v>
      </c>
      <c r="AH252" s="109">
        <v>86.0</v>
      </c>
      <c r="AI252" s="141">
        <v>0.0</v>
      </c>
      <c r="AJ252" s="80">
        <f t="shared" si="3"/>
        <v>86</v>
      </c>
      <c r="AK252" s="140">
        <v>0.0</v>
      </c>
      <c r="AL252" s="109">
        <v>0.0</v>
      </c>
      <c r="AM252" s="141">
        <v>0.0</v>
      </c>
      <c r="AN252" s="80">
        <f t="shared" si="4"/>
        <v>0</v>
      </c>
      <c r="AO252" s="140">
        <v>0.0</v>
      </c>
      <c r="AP252" s="109">
        <v>0.0</v>
      </c>
      <c r="AQ252" s="109">
        <v>0.0</v>
      </c>
      <c r="AR252" s="80">
        <f t="shared" si="5"/>
        <v>0</v>
      </c>
      <c r="AS252" s="110">
        <v>0.0</v>
      </c>
      <c r="AT252" s="110">
        <v>0.0</v>
      </c>
      <c r="AU252" s="110">
        <v>0.0</v>
      </c>
      <c r="AV252" s="142">
        <v>0.0</v>
      </c>
      <c r="AW252" s="80">
        <f t="shared" si="6"/>
        <v>0</v>
      </c>
      <c r="AX252" s="113">
        <f t="shared" si="7"/>
        <v>86</v>
      </c>
      <c r="AY252" s="117">
        <f t="shared" si="8"/>
        <v>0</v>
      </c>
      <c r="AZ252" s="120">
        <f t="shared" si="9"/>
        <v>86</v>
      </c>
      <c r="BA252" s="115">
        <v>0.0</v>
      </c>
      <c r="BB252" s="89">
        <f t="shared" si="10"/>
        <v>86</v>
      </c>
      <c r="BC252" s="132" t="s">
        <v>178</v>
      </c>
      <c r="BD252" s="143" t="s">
        <v>227</v>
      </c>
      <c r="BE252" s="132" t="s">
        <v>178</v>
      </c>
      <c r="BF252" s="123"/>
      <c r="BG252" s="83">
        <v>1178601.0</v>
      </c>
      <c r="BH252" s="144"/>
      <c r="BI252" s="112">
        <v>3.0</v>
      </c>
      <c r="BJ252" s="98" t="s">
        <v>155</v>
      </c>
      <c r="BK252" s="99">
        <f t="shared" si="11"/>
        <v>0</v>
      </c>
      <c r="BL252" s="99">
        <f t="shared" si="12"/>
        <v>0</v>
      </c>
      <c r="BM252" s="99" t="str">
        <f>IFERROR(__xludf.DUMMYFUNCTION("IFERROR(VLOOKUP(BG252,IMPORTRANGE(""https://docs.google.com/spreadsheets/d/1juPI-Fb8LD0YtltB2mlGEnp_R3UVu1t3wSFPzgCyHXE/edit?gid=0#gid=0"",""GERAL!A2:C""),3,0),""-"")"),"-")</f>
        <v>-</v>
      </c>
    </row>
    <row r="253">
      <c r="A253" s="111" t="s">
        <v>383</v>
      </c>
      <c r="B253" s="83" t="s">
        <v>1097</v>
      </c>
      <c r="C253" s="83" t="s">
        <v>68</v>
      </c>
      <c r="D253" s="112">
        <v>1115520.0</v>
      </c>
      <c r="E253" s="83"/>
      <c r="F253" s="83">
        <v>2.9147409E7</v>
      </c>
      <c r="G253" s="187" t="s">
        <v>1098</v>
      </c>
      <c r="H253" s="91" t="s">
        <v>1099</v>
      </c>
      <c r="I253" s="83" t="s">
        <v>149</v>
      </c>
      <c r="J253" s="83" t="s">
        <v>150</v>
      </c>
      <c r="K253" s="83" t="s">
        <v>151</v>
      </c>
      <c r="L253" s="98" t="s">
        <v>152</v>
      </c>
      <c r="M253" s="82" t="str">
        <f>IFERROR(__xludf.DUMMYFUNCTION("IFERROR(VLOOKUP(D253,
IMPORTRANGE(""https://docs.google.com/spreadsheets/d/1MjHtlUikwobi2MaWJgy7tfLeBmhj1u-dRFRs_8GwSoA/edit#gid=0"",""Gestores Escolares!D7:J""),3,0),""VERIFICAR CÓD SEC"")"),"GEAN GEOVALTER SILVA MOTA")</f>
        <v>GEAN GEOVALTER SILVA MOTA</v>
      </c>
      <c r="N253" s="82" t="str">
        <f>IFERROR(__xludf.DUMMYFUNCTION("IFERROR(VLOOKUP(D253,
IMPORTRANGE(""https://docs.google.com/spreadsheets/d/1MjHtlUikwobi2MaWJgy7tfLeBmhj1u-dRFRs_8GwSoA/edit#gid=0"",""Gestores Escolares!D7:J""),4,0),""VERIFICAR CÓD SEC"")"),"(75) 9 8813-8323")</f>
        <v>(75) 9 8813-8323</v>
      </c>
      <c r="O253" s="82" t="str">
        <f>IFERROR(__xludf.DUMMYFUNCTION("IFERROR(VLOOKUP(D253,
IMPORTRANGE(""https://docs.google.com/spreadsheets/d/1MjHtlUikwobi2MaWJgy7tfLeBmhj1u-dRFRs_8GwSoA/edit#gid=0"",""Gestores Escolares!D7:J""),6,0),""VERIFICAR CÓD SEC"")"),"KARLA MARIA DE QUEIROZ DOS SANTOS")</f>
        <v>KARLA MARIA DE QUEIROZ DOS SANTOS</v>
      </c>
      <c r="P253" s="82" t="str">
        <f>IFERROR(__xludf.DUMMYFUNCTION("IFERROR(VLOOKUP(D253,
IMPORTRANGE(""https://docs.google.com/spreadsheets/d/1MjHtlUikwobi2MaWJgy7tfLeBmhj1u-dRFRs_8GwSoA/edit#gid=0"",""Gestores Escolares!D7:J""),7,0),""VERIFICAR CÓD SEC"")"),"(75) 9 9226 - 4027")</f>
        <v>(75) 9 9226 - 4027</v>
      </c>
      <c r="Q253" s="82" t="str">
        <f>IFERROR(__xludf.DUMMYFUNCTION("IFERROR(VLOOKUP(D253,
IMPORTRANGE(""https://docs.google.com/spreadsheets/d/1MjHtlUikwobi2MaWJgy7tfLeBmhj1u-dRFRs_8GwSoA/edit#gid=0"",""Gestores Escolares!D7:m""),9,0),""VERIFICAR CÓD SEC"")"),"")</f>
        <v/>
      </c>
      <c r="R253" s="82" t="str">
        <f>IFERROR(__xludf.DUMMYFUNCTION("IFERROR(VLOOKUP(D253,
IMPORTRANGE(""https://docs.google.com/spreadsheets/d/1MjHtlUikwobi2MaWJgy7tfLeBmhj1u-dRFRs_8GwSoA/edit#gid=0"",""Gestores Escolares!D7:m""),10,0),""VERIFICAR CÓD SEC"")"),"")</f>
        <v/>
      </c>
      <c r="S253" s="82"/>
      <c r="T253" s="138">
        <v>7.0</v>
      </c>
      <c r="U253" s="145" t="s">
        <v>3553</v>
      </c>
      <c r="V253" s="106">
        <v>0.0</v>
      </c>
      <c r="W253" s="107">
        <v>0.0</v>
      </c>
      <c r="X253" s="107">
        <v>0.0</v>
      </c>
      <c r="Y253" s="107">
        <v>0.0</v>
      </c>
      <c r="Z253" s="80">
        <f t="shared" si="1"/>
        <v>0</v>
      </c>
      <c r="AA253" s="106">
        <v>0.0</v>
      </c>
      <c r="AB253" s="107">
        <v>0.0</v>
      </c>
      <c r="AC253" s="107">
        <v>0.0</v>
      </c>
      <c r="AD253" s="107">
        <v>0.0</v>
      </c>
      <c r="AE253" s="80">
        <f t="shared" si="2"/>
        <v>0</v>
      </c>
      <c r="AF253" s="140">
        <v>215.0</v>
      </c>
      <c r="AG253" s="109">
        <v>282.0</v>
      </c>
      <c r="AH253" s="109">
        <v>0.0</v>
      </c>
      <c r="AI253" s="141">
        <v>0.0</v>
      </c>
      <c r="AJ253" s="80">
        <f t="shared" si="3"/>
        <v>497</v>
      </c>
      <c r="AK253" s="140">
        <v>0.0</v>
      </c>
      <c r="AL253" s="109">
        <v>0.0</v>
      </c>
      <c r="AM253" s="141">
        <v>0.0</v>
      </c>
      <c r="AN253" s="80">
        <f t="shared" si="4"/>
        <v>0</v>
      </c>
      <c r="AO253" s="140">
        <v>0.0</v>
      </c>
      <c r="AP253" s="109">
        <v>0.0</v>
      </c>
      <c r="AQ253" s="109">
        <v>88.0</v>
      </c>
      <c r="AR253" s="80">
        <f t="shared" si="5"/>
        <v>88</v>
      </c>
      <c r="AS253" s="110">
        <v>57.0</v>
      </c>
      <c r="AT253" s="110">
        <v>0.0</v>
      </c>
      <c r="AU253" s="110">
        <v>0.0</v>
      </c>
      <c r="AV253" s="142">
        <v>0.0</v>
      </c>
      <c r="AW253" s="80">
        <f t="shared" si="6"/>
        <v>57</v>
      </c>
      <c r="AX253" s="113">
        <f t="shared" si="7"/>
        <v>642</v>
      </c>
      <c r="AY253" s="117">
        <f t="shared" si="8"/>
        <v>554</v>
      </c>
      <c r="AZ253" s="120">
        <f t="shared" si="9"/>
        <v>88</v>
      </c>
      <c r="BA253" s="115">
        <v>0.0</v>
      </c>
      <c r="BB253" s="89">
        <f t="shared" si="10"/>
        <v>642</v>
      </c>
      <c r="BC253" s="132" t="s">
        <v>178</v>
      </c>
      <c r="BD253" s="132" t="s">
        <v>178</v>
      </c>
      <c r="BE253" s="132" t="s">
        <v>178</v>
      </c>
      <c r="BF253" s="123"/>
      <c r="BG253" s="83">
        <v>1115520.0</v>
      </c>
      <c r="BH253" s="112"/>
      <c r="BI253" s="112">
        <v>7.0</v>
      </c>
      <c r="BJ253" s="98" t="s">
        <v>155</v>
      </c>
      <c r="BK253" s="99">
        <f t="shared" si="11"/>
        <v>0</v>
      </c>
      <c r="BL253" s="99">
        <f t="shared" si="12"/>
        <v>554</v>
      </c>
      <c r="BM253" s="99" t="str">
        <f>IFERROR(__xludf.DUMMYFUNCTION("IFERROR(VLOOKUP(BG253,IMPORTRANGE(""https://docs.google.com/spreadsheets/d/1juPI-Fb8LD0YtltB2mlGEnp_R3UVu1t3wSFPzgCyHXE/edit?gid=0#gid=0"",""GERAL!A2:C""),3,0),""-"")"),"-")</f>
        <v>-</v>
      </c>
    </row>
    <row r="254" ht="15.75" customHeight="1">
      <c r="A254" s="111" t="s">
        <v>383</v>
      </c>
      <c r="B254" s="172" t="s">
        <v>1101</v>
      </c>
      <c r="C254" s="83" t="s">
        <v>68</v>
      </c>
      <c r="D254" s="112">
        <v>1115547.0</v>
      </c>
      <c r="E254" s="83"/>
      <c r="F254" s="83">
        <v>2.9136385E7</v>
      </c>
      <c r="G254" s="147" t="s">
        <v>1102</v>
      </c>
      <c r="H254" s="91" t="s">
        <v>1103</v>
      </c>
      <c r="I254" s="83" t="s">
        <v>149</v>
      </c>
      <c r="J254" s="83" t="s">
        <v>150</v>
      </c>
      <c r="K254" s="83" t="s">
        <v>151</v>
      </c>
      <c r="L254" s="83" t="s">
        <v>76</v>
      </c>
      <c r="M254" s="82" t="str">
        <f>IFERROR(__xludf.DUMMYFUNCTION("IFERROR(VLOOKUP(D254,
IMPORTRANGE(""https://docs.google.com/spreadsheets/d/1MjHtlUikwobi2MaWJgy7tfLeBmhj1u-dRFRs_8GwSoA/edit#gid=0"",""Gestores Escolares!D7:J""),3,0),""VERIFICAR CÓD SEC"")"),"MARIO TIERRES DE ARAUJO JUNIOR")</f>
        <v>MARIO TIERRES DE ARAUJO JUNIOR</v>
      </c>
      <c r="N254" s="82" t="str">
        <f>IFERROR(__xludf.DUMMYFUNCTION("IFERROR(VLOOKUP(D254,
IMPORTRANGE(""https://docs.google.com/spreadsheets/d/1MjHtlUikwobi2MaWJgy7tfLeBmhj1u-dRFRs_8GwSoA/edit#gid=0"",""Gestores Escolares!D7:J""),4,0),""VERIFICAR CÓD SEC"")"),"(74) 9 8135-8127")</f>
        <v>(74) 9 8135-8127</v>
      </c>
      <c r="O254" s="82" t="str">
        <f>IFERROR(__xludf.DUMMYFUNCTION("IFERROR(VLOOKUP(D254,
IMPORTRANGE(""https://docs.google.com/spreadsheets/d/1MjHtlUikwobi2MaWJgy7tfLeBmhj1u-dRFRs_8GwSoA/edit#gid=0"",""Gestores Escolares!D7:J""),6,0),""VERIFICAR CÓD SEC"")"),"JOSE ROBERTO DOS SANTOS BRITO")</f>
        <v>JOSE ROBERTO DOS SANTOS BRITO</v>
      </c>
      <c r="P254" s="82" t="str">
        <f>IFERROR(__xludf.DUMMYFUNCTION("IFERROR(VLOOKUP(D254,
IMPORTRANGE(""https://docs.google.com/spreadsheets/d/1MjHtlUikwobi2MaWJgy7tfLeBmhj1u-dRFRs_8GwSoA/edit#gid=0"",""Gestores Escolares!D7:J""),7,0),""VERIFICAR CÓD SEC"")"),"(75) 9 9264-6535")</f>
        <v>(75) 9 9264-6535</v>
      </c>
      <c r="Q254" s="82" t="str">
        <f>IFERROR(__xludf.DUMMYFUNCTION("IFERROR(VLOOKUP(D254,
IMPORTRANGE(""https://docs.google.com/spreadsheets/d/1MjHtlUikwobi2MaWJgy7tfLeBmhj1u-dRFRs_8GwSoA/edit#gid=0"",""Gestores Escolares!D7:m""),9,0),""VERIFICAR CÓD SEC"")"),"")</f>
        <v/>
      </c>
      <c r="R254" s="82" t="str">
        <f>IFERROR(__xludf.DUMMYFUNCTION("IFERROR(VLOOKUP(D254,
IMPORTRANGE(""https://docs.google.com/spreadsheets/d/1MjHtlUikwobi2MaWJgy7tfLeBmhj1u-dRFRs_8GwSoA/edit#gid=0"",""Gestores Escolares!D7:m""),10,0),""VERIFICAR CÓD SEC"")"),"")</f>
        <v/>
      </c>
      <c r="S254" s="82"/>
      <c r="T254" s="138">
        <v>7.0</v>
      </c>
      <c r="U254" s="145" t="s">
        <v>3560</v>
      </c>
      <c r="V254" s="106">
        <v>0.0</v>
      </c>
      <c r="W254" s="107">
        <v>0.0</v>
      </c>
      <c r="X254" s="107">
        <v>0.0</v>
      </c>
      <c r="Y254" s="107">
        <v>0.0</v>
      </c>
      <c r="Z254" s="80">
        <f t="shared" si="1"/>
        <v>0</v>
      </c>
      <c r="AA254" s="106">
        <v>0.0</v>
      </c>
      <c r="AB254" s="107">
        <v>0.0</v>
      </c>
      <c r="AC254" s="107">
        <v>0.0</v>
      </c>
      <c r="AD254" s="107">
        <v>0.0</v>
      </c>
      <c r="AE254" s="80">
        <f t="shared" si="2"/>
        <v>0</v>
      </c>
      <c r="AF254" s="140">
        <v>153.0</v>
      </c>
      <c r="AG254" s="109">
        <v>153.0</v>
      </c>
      <c r="AH254" s="109">
        <v>0.0</v>
      </c>
      <c r="AI254" s="141">
        <v>32.0</v>
      </c>
      <c r="AJ254" s="80">
        <f t="shared" si="3"/>
        <v>338</v>
      </c>
      <c r="AK254" s="140">
        <v>0.0</v>
      </c>
      <c r="AL254" s="109">
        <v>0.0</v>
      </c>
      <c r="AM254" s="141">
        <v>0.0</v>
      </c>
      <c r="AN254" s="80">
        <f t="shared" si="4"/>
        <v>0</v>
      </c>
      <c r="AO254" s="140">
        <v>0.0</v>
      </c>
      <c r="AP254" s="109">
        <v>0.0</v>
      </c>
      <c r="AQ254" s="109">
        <v>120.0</v>
      </c>
      <c r="AR254" s="80">
        <f t="shared" si="5"/>
        <v>120</v>
      </c>
      <c r="AS254" s="110">
        <v>64.0</v>
      </c>
      <c r="AT254" s="110">
        <v>0.0</v>
      </c>
      <c r="AU254" s="110">
        <v>0.0</v>
      </c>
      <c r="AV254" s="142">
        <v>0.0</v>
      </c>
      <c r="AW254" s="80">
        <f t="shared" si="6"/>
        <v>64</v>
      </c>
      <c r="AX254" s="113">
        <f t="shared" si="7"/>
        <v>522</v>
      </c>
      <c r="AY254" s="117">
        <f t="shared" si="8"/>
        <v>402</v>
      </c>
      <c r="AZ254" s="120">
        <f t="shared" si="9"/>
        <v>120</v>
      </c>
      <c r="BA254" s="115">
        <v>0.0</v>
      </c>
      <c r="BB254" s="89">
        <f t="shared" si="10"/>
        <v>522</v>
      </c>
      <c r="BC254" s="132" t="s">
        <v>178</v>
      </c>
      <c r="BD254" s="132" t="s">
        <v>178</v>
      </c>
      <c r="BE254" s="132" t="s">
        <v>178</v>
      </c>
      <c r="BF254" s="123"/>
      <c r="BG254" s="83">
        <v>1115547.0</v>
      </c>
      <c r="BH254" s="98"/>
      <c r="BI254" s="98">
        <v>8.0</v>
      </c>
      <c r="BJ254" s="98" t="s">
        <v>155</v>
      </c>
      <c r="BK254" s="99">
        <f t="shared" si="11"/>
        <v>32</v>
      </c>
      <c r="BL254" s="99">
        <f t="shared" si="12"/>
        <v>370</v>
      </c>
      <c r="BM254" s="99" t="str">
        <f>IFERROR(__xludf.DUMMYFUNCTION("IFERROR(VLOOKUP(BG254,IMPORTRANGE(""https://docs.google.com/spreadsheets/d/1juPI-Fb8LD0YtltB2mlGEnp_R3UVu1t3wSFPzgCyHXE/edit?gid=0#gid=0"",""GERAL!A2:C""),3,0),""-"")"),"-")</f>
        <v>-</v>
      </c>
    </row>
    <row r="255" ht="15.75" customHeight="1">
      <c r="A255" s="111" t="s">
        <v>383</v>
      </c>
      <c r="B255" s="83" t="s">
        <v>1105</v>
      </c>
      <c r="C255" s="83" t="s">
        <v>68</v>
      </c>
      <c r="D255" s="112">
        <v>1105606.0</v>
      </c>
      <c r="E255" s="83"/>
      <c r="F255" s="83">
        <v>2.9136571E7</v>
      </c>
      <c r="G255" s="187" t="s">
        <v>1106</v>
      </c>
      <c r="H255" s="91" t="s">
        <v>1107</v>
      </c>
      <c r="I255" s="83" t="s">
        <v>149</v>
      </c>
      <c r="J255" s="83" t="s">
        <v>150</v>
      </c>
      <c r="K255" s="83" t="s">
        <v>151</v>
      </c>
      <c r="L255" s="83" t="s">
        <v>76</v>
      </c>
      <c r="M255" s="82" t="str">
        <f>IFERROR(__xludf.DUMMYFUNCTION("IFERROR(VLOOKUP(D255,
IMPORTRANGE(""https://docs.google.com/spreadsheets/d/1MjHtlUikwobi2MaWJgy7tfLeBmhj1u-dRFRs_8GwSoA/edit#gid=0"",""Gestores Escolares!D7:J""),3,0),""VERIFICAR CÓD SEC"")"),"MARIA DA CONCEICAO PEREIRA DOS SANTOS")</f>
        <v>MARIA DA CONCEICAO PEREIRA DOS SANTOS</v>
      </c>
      <c r="N255" s="82" t="str">
        <f>IFERROR(__xludf.DUMMYFUNCTION("IFERROR(VLOOKUP(D255,
IMPORTRANGE(""https://docs.google.com/spreadsheets/d/1MjHtlUikwobi2MaWJgy7tfLeBmhj1u-dRFRs_8GwSoA/edit#gid=0"",""Gestores Escolares!D7:J""),4,0),""VERIFICAR CÓD SEC"")"),"(75) 9 8207-6445")</f>
        <v>(75) 9 8207-6445</v>
      </c>
      <c r="O255" s="82" t="str">
        <f>IFERROR(__xludf.DUMMYFUNCTION("IFERROR(VLOOKUP(D255,
IMPORTRANGE(""https://docs.google.com/spreadsheets/d/1MjHtlUikwobi2MaWJgy7tfLeBmhj1u-dRFRs_8GwSoA/edit#gid=0"",""Gestores Escolares!D7:J""),6,0),""VERIFICAR CÓD SEC"")"),"ARIANA CORDEIRO DE AMORIM MATOS")</f>
        <v>ARIANA CORDEIRO DE AMORIM MATOS</v>
      </c>
      <c r="P255" s="82" t="str">
        <f>IFERROR(__xludf.DUMMYFUNCTION("IFERROR(VLOOKUP(D255,
IMPORTRANGE(""https://docs.google.com/spreadsheets/d/1MjHtlUikwobi2MaWJgy7tfLeBmhj1u-dRFRs_8GwSoA/edit#gid=0"",""Gestores Escolares!D7:J""),7,0),""VERIFICAR CÓD SEC"")"),"(75) 9 8201-5877")</f>
        <v>(75) 9 8201-5877</v>
      </c>
      <c r="Q255" s="82" t="str">
        <f>IFERROR(__xludf.DUMMYFUNCTION("IFERROR(VLOOKUP(D255,
IMPORTRANGE(""https://docs.google.com/spreadsheets/d/1MjHtlUikwobi2MaWJgy7tfLeBmhj1u-dRFRs_8GwSoA/edit#gid=0"",""Gestores Escolares!D7:m""),9,0),""VERIFICAR CÓD SEC"")"),"")</f>
        <v/>
      </c>
      <c r="R255" s="82" t="str">
        <f>IFERROR(__xludf.DUMMYFUNCTION("IFERROR(VLOOKUP(D255,
IMPORTRANGE(""https://docs.google.com/spreadsheets/d/1MjHtlUikwobi2MaWJgy7tfLeBmhj1u-dRFRs_8GwSoA/edit#gid=0"",""Gestores Escolares!D7:m""),10,0),""VERIFICAR CÓD SEC"")"),"")</f>
        <v/>
      </c>
      <c r="S255" s="82"/>
      <c r="T255" s="138">
        <v>9.0</v>
      </c>
      <c r="U255" s="145">
        <v>8.0</v>
      </c>
      <c r="V255" s="106">
        <v>0.0</v>
      </c>
      <c r="W255" s="107">
        <v>0.0</v>
      </c>
      <c r="X255" s="107">
        <v>0.0</v>
      </c>
      <c r="Y255" s="107">
        <v>0.0</v>
      </c>
      <c r="Z255" s="80">
        <f t="shared" si="1"/>
        <v>0</v>
      </c>
      <c r="AA255" s="106">
        <v>0.0</v>
      </c>
      <c r="AB255" s="107">
        <v>0.0</v>
      </c>
      <c r="AC255" s="107">
        <v>0.0</v>
      </c>
      <c r="AD255" s="107">
        <v>0.0</v>
      </c>
      <c r="AE255" s="80">
        <f t="shared" si="2"/>
        <v>0</v>
      </c>
      <c r="AF255" s="140">
        <v>34.0</v>
      </c>
      <c r="AG255" s="109">
        <v>15.0</v>
      </c>
      <c r="AH255" s="109">
        <v>0.0</v>
      </c>
      <c r="AI255" s="141">
        <v>122.0</v>
      </c>
      <c r="AJ255" s="80">
        <f t="shared" si="3"/>
        <v>171</v>
      </c>
      <c r="AK255" s="140">
        <v>0.0</v>
      </c>
      <c r="AL255" s="109">
        <v>0.0</v>
      </c>
      <c r="AM255" s="141">
        <v>0.0</v>
      </c>
      <c r="AN255" s="80">
        <f t="shared" si="4"/>
        <v>0</v>
      </c>
      <c r="AO255" s="140">
        <v>0.0</v>
      </c>
      <c r="AP255" s="109">
        <v>0.0</v>
      </c>
      <c r="AQ255" s="109">
        <v>47.0</v>
      </c>
      <c r="AR255" s="80">
        <f t="shared" si="5"/>
        <v>47</v>
      </c>
      <c r="AS255" s="110">
        <v>50.0</v>
      </c>
      <c r="AT255" s="110">
        <v>0.0</v>
      </c>
      <c r="AU255" s="110">
        <v>10.0</v>
      </c>
      <c r="AV255" s="142">
        <v>0.0</v>
      </c>
      <c r="AW255" s="80">
        <f t="shared" si="6"/>
        <v>60</v>
      </c>
      <c r="AX255" s="113">
        <f t="shared" si="7"/>
        <v>278</v>
      </c>
      <c r="AY255" s="117">
        <f t="shared" si="8"/>
        <v>221</v>
      </c>
      <c r="AZ255" s="120">
        <f t="shared" si="9"/>
        <v>57</v>
      </c>
      <c r="BA255" s="115">
        <v>0.0</v>
      </c>
      <c r="BB255" s="89">
        <f t="shared" si="10"/>
        <v>278</v>
      </c>
      <c r="BC255" s="132" t="s">
        <v>178</v>
      </c>
      <c r="BD255" s="132" t="s">
        <v>178</v>
      </c>
      <c r="BE255" s="132" t="s">
        <v>178</v>
      </c>
      <c r="BF255" s="123"/>
      <c r="BG255" s="83">
        <v>1105606.0</v>
      </c>
      <c r="BH255" s="112"/>
      <c r="BI255" s="112">
        <v>8.0</v>
      </c>
      <c r="BJ255" s="98" t="s">
        <v>155</v>
      </c>
      <c r="BK255" s="99">
        <f t="shared" si="11"/>
        <v>122</v>
      </c>
      <c r="BL255" s="99">
        <f t="shared" si="12"/>
        <v>99</v>
      </c>
      <c r="BM255" s="99" t="str">
        <f>IFERROR(__xludf.DUMMYFUNCTION("IFERROR(VLOOKUP(BG255,IMPORTRANGE(""https://docs.google.com/spreadsheets/d/1juPI-Fb8LD0YtltB2mlGEnp_R3UVu1t3wSFPzgCyHXE/edit?gid=0#gid=0"",""GERAL!A2:C""),3,0),""-"")"),"-")</f>
        <v>-</v>
      </c>
    </row>
    <row r="256" ht="15.75" customHeight="1">
      <c r="A256" s="111" t="s">
        <v>383</v>
      </c>
      <c r="B256" s="83" t="s">
        <v>1110</v>
      </c>
      <c r="C256" s="83" t="s">
        <v>68</v>
      </c>
      <c r="D256" s="112">
        <v>1178125.0</v>
      </c>
      <c r="E256" s="83"/>
      <c r="F256" s="83">
        <v>2.9437164E7</v>
      </c>
      <c r="G256" s="147" t="s">
        <v>1115</v>
      </c>
      <c r="H256" s="91" t="s">
        <v>1116</v>
      </c>
      <c r="I256" s="83" t="s">
        <v>1117</v>
      </c>
      <c r="J256" s="83" t="s">
        <v>467</v>
      </c>
      <c r="K256" s="83" t="s">
        <v>168</v>
      </c>
      <c r="L256" s="83" t="s">
        <v>169</v>
      </c>
      <c r="M256" s="82" t="str">
        <f>IFERROR(__xludf.DUMMYFUNCTION("IFERROR(VLOOKUP(D256,
IMPORTRANGE(""https://docs.google.com/spreadsheets/d/1MjHtlUikwobi2MaWJgy7tfLeBmhj1u-dRFRs_8GwSoA/edit#gid=0"",""Gestores Escolares!D7:J""),3,0),""VERIFICAR CÓD SEC"")"),"GEOVANE OLIVEIRA REIS")</f>
        <v>GEOVANE OLIVEIRA REIS</v>
      </c>
      <c r="N256" s="82" t="str">
        <f>IFERROR(__xludf.DUMMYFUNCTION("IFERROR(VLOOKUP(D256,
IMPORTRANGE(""https://docs.google.com/spreadsheets/d/1MjHtlUikwobi2MaWJgy7tfLeBmhj1u-dRFRs_8GwSoA/edit#gid=0"",""Gestores Escolares!D7:J""),4,0),""VERIFICAR CÓD SEC"")"),"(75) 9 9208-0595")</f>
        <v>(75) 9 9208-0595</v>
      </c>
      <c r="O256" s="82" t="str">
        <f>IFERROR(__xludf.DUMMYFUNCTION("IFERROR(VLOOKUP(D256,
IMPORTRANGE(""https://docs.google.com/spreadsheets/d/1MjHtlUikwobi2MaWJgy7tfLeBmhj1u-dRFRs_8GwSoA/edit#gid=0"",""Gestores Escolares!D7:J""),6,0),""VERIFICAR CÓD SEC"")"),"")</f>
        <v/>
      </c>
      <c r="P256" s="82" t="str">
        <f>IFERROR(__xludf.DUMMYFUNCTION("IFERROR(VLOOKUP(D256,
IMPORTRANGE(""https://docs.google.com/spreadsheets/d/1MjHtlUikwobi2MaWJgy7tfLeBmhj1u-dRFRs_8GwSoA/edit#gid=0"",""Gestores Escolares!D7:J""),7,0),""VERIFICAR CÓD SEC"")"),"")</f>
        <v/>
      </c>
      <c r="Q256" s="82" t="str">
        <f>IFERROR(__xludf.DUMMYFUNCTION("IFERROR(VLOOKUP(D256,
IMPORTRANGE(""https://docs.google.com/spreadsheets/d/1MjHtlUikwobi2MaWJgy7tfLeBmhj1u-dRFRs_8GwSoA/edit#gid=0"",""Gestores Escolares!D7:m""),9,0),""VERIFICAR CÓD SEC"")"),"")</f>
        <v/>
      </c>
      <c r="R256" s="82" t="str">
        <f>IFERROR(__xludf.DUMMYFUNCTION("IFERROR(VLOOKUP(D256,
IMPORTRANGE(""https://docs.google.com/spreadsheets/d/1MjHtlUikwobi2MaWJgy7tfLeBmhj1u-dRFRs_8GwSoA/edit#gid=0"",""Gestores Escolares!D7:m""),10,0),""VERIFICAR CÓD SEC"")"),"")</f>
        <v/>
      </c>
      <c r="S256" s="82"/>
      <c r="T256" s="138">
        <v>5.0</v>
      </c>
      <c r="U256" s="139">
        <v>5.0</v>
      </c>
      <c r="V256" s="106">
        <v>0.0</v>
      </c>
      <c r="W256" s="107">
        <v>0.0</v>
      </c>
      <c r="X256" s="107">
        <v>0.0</v>
      </c>
      <c r="Y256" s="107">
        <v>0.0</v>
      </c>
      <c r="Z256" s="80">
        <f t="shared" si="1"/>
        <v>0</v>
      </c>
      <c r="AA256" s="106">
        <v>0.0</v>
      </c>
      <c r="AB256" s="107">
        <v>0.0</v>
      </c>
      <c r="AC256" s="107">
        <v>0.0</v>
      </c>
      <c r="AD256" s="107">
        <v>0.0</v>
      </c>
      <c r="AE256" s="80">
        <f t="shared" si="2"/>
        <v>0</v>
      </c>
      <c r="AF256" s="140">
        <v>0.0</v>
      </c>
      <c r="AG256" s="109">
        <v>125.0</v>
      </c>
      <c r="AH256" s="109">
        <v>0.0</v>
      </c>
      <c r="AI256" s="141">
        <v>0.0</v>
      </c>
      <c r="AJ256" s="80">
        <f t="shared" si="3"/>
        <v>125</v>
      </c>
      <c r="AK256" s="140">
        <v>0.0</v>
      </c>
      <c r="AL256" s="109">
        <v>0.0</v>
      </c>
      <c r="AM256" s="141">
        <v>0.0</v>
      </c>
      <c r="AN256" s="80">
        <f t="shared" si="4"/>
        <v>0</v>
      </c>
      <c r="AO256" s="140">
        <v>0.0</v>
      </c>
      <c r="AP256" s="109">
        <v>0.0</v>
      </c>
      <c r="AQ256" s="109">
        <v>19.0</v>
      </c>
      <c r="AR256" s="80">
        <f t="shared" si="5"/>
        <v>19</v>
      </c>
      <c r="AS256" s="110">
        <v>0.0</v>
      </c>
      <c r="AT256" s="110">
        <v>0.0</v>
      </c>
      <c r="AU256" s="110">
        <v>72.0</v>
      </c>
      <c r="AV256" s="142">
        <v>0.0</v>
      </c>
      <c r="AW256" s="80">
        <f t="shared" si="6"/>
        <v>72</v>
      </c>
      <c r="AX256" s="113">
        <f t="shared" si="7"/>
        <v>216</v>
      </c>
      <c r="AY256" s="117">
        <f t="shared" si="8"/>
        <v>125</v>
      </c>
      <c r="AZ256" s="120">
        <f t="shared" si="9"/>
        <v>91</v>
      </c>
      <c r="BA256" s="115">
        <v>0.0</v>
      </c>
      <c r="BB256" s="89">
        <f t="shared" si="10"/>
        <v>216</v>
      </c>
      <c r="BC256" s="132" t="s">
        <v>373</v>
      </c>
      <c r="BD256" s="132" t="s">
        <v>178</v>
      </c>
      <c r="BE256" s="132" t="s">
        <v>178</v>
      </c>
      <c r="BF256" s="123"/>
      <c r="BG256" s="83">
        <v>1178125.0</v>
      </c>
      <c r="BH256" s="112"/>
      <c r="BI256" s="112">
        <v>5.0</v>
      </c>
      <c r="BJ256" s="98" t="s">
        <v>155</v>
      </c>
      <c r="BK256" s="99">
        <f t="shared" si="11"/>
        <v>0</v>
      </c>
      <c r="BL256" s="99">
        <f t="shared" si="12"/>
        <v>125</v>
      </c>
      <c r="BM256" s="99" t="str">
        <f>IFERROR(__xludf.DUMMYFUNCTION("IFERROR(VLOOKUP(BG256,IMPORTRANGE(""https://docs.google.com/spreadsheets/d/1juPI-Fb8LD0YtltB2mlGEnp_R3UVu1t3wSFPzgCyHXE/edit?gid=0#gid=0"",""GERAL!A2:C""),3,0),""-"")"),"CAMPO")</f>
        <v>CAMPO</v>
      </c>
    </row>
    <row r="257" ht="15.75" customHeight="1">
      <c r="A257" s="111" t="s">
        <v>383</v>
      </c>
      <c r="B257" s="172" t="s">
        <v>1110</v>
      </c>
      <c r="C257" s="83" t="s">
        <v>68</v>
      </c>
      <c r="D257" s="112">
        <v>1176868.0</v>
      </c>
      <c r="E257" s="83"/>
      <c r="F257" s="83">
        <v>2.9116422E7</v>
      </c>
      <c r="G257" s="147" t="s">
        <v>1119</v>
      </c>
      <c r="H257" s="91" t="s">
        <v>1120</v>
      </c>
      <c r="I257" s="83" t="s">
        <v>149</v>
      </c>
      <c r="J257" s="83" t="s">
        <v>150</v>
      </c>
      <c r="K257" s="83" t="s">
        <v>151</v>
      </c>
      <c r="L257" s="83" t="s">
        <v>152</v>
      </c>
      <c r="M257" s="82" t="str">
        <f>IFERROR(__xludf.DUMMYFUNCTION("IFERROR(VLOOKUP(D257,
IMPORTRANGE(""https://docs.google.com/spreadsheets/d/1MjHtlUikwobi2MaWJgy7tfLeBmhj1u-dRFRs_8GwSoA/edit#gid=0"",""Gestores Escolares!D7:J""),3,0),""VERIFICAR CÓD SEC"")")," ULISSES MACEDO JUNIOR")</f>
        <v> ULISSES MACEDO JUNIOR</v>
      </c>
      <c r="N257" s="82" t="str">
        <f>IFERROR(__xludf.DUMMYFUNCTION("IFERROR(VLOOKUP(D257,
IMPORTRANGE(""https://docs.google.com/spreadsheets/d/1MjHtlUikwobi2MaWJgy7tfLeBmhj1u-dRFRs_8GwSoA/edit#gid=0"",""Gestores Escolares!D7:J""),4,0),""VERIFICAR CÓD SEC"")")," (71) 9 9625-4793/
(75) 9 9136-5420")</f>
        <v> (71) 9 9625-4793/
(75) 9 9136-5420</v>
      </c>
      <c r="O257" s="82" t="str">
        <f>IFERROR(__xludf.DUMMYFUNCTION("IFERROR(VLOOKUP(D257,
IMPORTRANGE(""https://docs.google.com/spreadsheets/d/1MjHtlUikwobi2MaWJgy7tfLeBmhj1u-dRFRs_8GwSoA/edit#gid=0"",""Gestores Escolares!D7:J""),6,0),""VERIFICAR CÓD SEC"")"),"MARCELO FELIX DA SILVA")</f>
        <v>MARCELO FELIX DA SILVA</v>
      </c>
      <c r="P257" s="82" t="str">
        <f>IFERROR(__xludf.DUMMYFUNCTION("IFERROR(VLOOKUP(D257,
IMPORTRANGE(""https://docs.google.com/spreadsheets/d/1MjHtlUikwobi2MaWJgy7tfLeBmhj1u-dRFRs_8GwSoA/edit#gid=0"",""Gestores Escolares!D7:J""),7,0),""VERIFICAR CÓD SEC"")"),"(75) 9 9201 0874/ 
9 9181-4439")</f>
        <v>(75) 9 9201 0874/ 
9 9181-4439</v>
      </c>
      <c r="Q257" s="82" t="str">
        <f>IFERROR(__xludf.DUMMYFUNCTION("IFERROR(VLOOKUP(D257,
IMPORTRANGE(""https://docs.google.com/spreadsheets/d/1MjHtlUikwobi2MaWJgy7tfLeBmhj1u-dRFRs_8GwSoA/edit#gid=0"",""Gestores Escolares!D7:m""),9,0),""VERIFICAR CÓD SEC"")"),"CELIA APARECIDA FERREIRA BELAU")</f>
        <v>CELIA APARECIDA FERREIRA BELAU</v>
      </c>
      <c r="R257" s="82" t="str">
        <f>IFERROR(__xludf.DUMMYFUNCTION("IFERROR(VLOOKUP(D257,
IMPORTRANGE(""https://docs.google.com/spreadsheets/d/1MjHtlUikwobi2MaWJgy7tfLeBmhj1u-dRFRs_8GwSoA/edit#gid=0"",""Gestores Escolares!D7:m""),10,0),""VERIFICAR CÓD SEC"")"),"(75) 9 9116-1307")</f>
        <v>(75) 9 9116-1307</v>
      </c>
      <c r="S257" s="82"/>
      <c r="T257" s="138">
        <v>10.0</v>
      </c>
      <c r="U257" s="145">
        <v>18.0</v>
      </c>
      <c r="V257" s="106">
        <v>0.0</v>
      </c>
      <c r="W257" s="107">
        <v>0.0</v>
      </c>
      <c r="X257" s="107">
        <v>0.0</v>
      </c>
      <c r="Y257" s="107">
        <v>0.0</v>
      </c>
      <c r="Z257" s="80">
        <f t="shared" si="1"/>
        <v>0</v>
      </c>
      <c r="AA257" s="106">
        <v>0.0</v>
      </c>
      <c r="AB257" s="107">
        <v>0.0</v>
      </c>
      <c r="AC257" s="107">
        <v>0.0</v>
      </c>
      <c r="AD257" s="107">
        <v>0.0</v>
      </c>
      <c r="AE257" s="80">
        <f t="shared" si="2"/>
        <v>0</v>
      </c>
      <c r="AF257" s="140">
        <v>92.0</v>
      </c>
      <c r="AG257" s="109">
        <v>111.0</v>
      </c>
      <c r="AH257" s="109">
        <v>0.0</v>
      </c>
      <c r="AI257" s="141">
        <v>405.0</v>
      </c>
      <c r="AJ257" s="80">
        <f t="shared" si="3"/>
        <v>608</v>
      </c>
      <c r="AK257" s="140">
        <v>0.0</v>
      </c>
      <c r="AL257" s="109">
        <v>0.0</v>
      </c>
      <c r="AM257" s="141">
        <v>0.0</v>
      </c>
      <c r="AN257" s="80">
        <f t="shared" si="4"/>
        <v>0</v>
      </c>
      <c r="AO257" s="140">
        <v>0.0</v>
      </c>
      <c r="AP257" s="109">
        <v>0.0</v>
      </c>
      <c r="AQ257" s="109">
        <v>155.0</v>
      </c>
      <c r="AR257" s="80">
        <f t="shared" si="5"/>
        <v>155</v>
      </c>
      <c r="AS257" s="110">
        <v>139.0</v>
      </c>
      <c r="AT257" s="110">
        <v>119.0</v>
      </c>
      <c r="AU257" s="110">
        <v>0.0</v>
      </c>
      <c r="AV257" s="142">
        <v>0.0</v>
      </c>
      <c r="AW257" s="80">
        <f t="shared" si="6"/>
        <v>258</v>
      </c>
      <c r="AX257" s="113">
        <f t="shared" si="7"/>
        <v>1021</v>
      </c>
      <c r="AY257" s="117">
        <f t="shared" si="8"/>
        <v>866</v>
      </c>
      <c r="AZ257" s="120">
        <f t="shared" si="9"/>
        <v>155</v>
      </c>
      <c r="BA257" s="115">
        <v>0.0</v>
      </c>
      <c r="BB257" s="89">
        <f t="shared" si="10"/>
        <v>1021</v>
      </c>
      <c r="BC257" s="132" t="s">
        <v>178</v>
      </c>
      <c r="BD257" s="132" t="s">
        <v>178</v>
      </c>
      <c r="BE257" s="132" t="s">
        <v>178</v>
      </c>
      <c r="BF257" s="156"/>
      <c r="BG257" s="83">
        <v>1176868.0</v>
      </c>
      <c r="BH257" s="112"/>
      <c r="BI257" s="112">
        <v>8.0</v>
      </c>
      <c r="BJ257" s="98" t="s">
        <v>176</v>
      </c>
      <c r="BK257" s="99">
        <f t="shared" si="11"/>
        <v>405</v>
      </c>
      <c r="BL257" s="99">
        <f t="shared" si="12"/>
        <v>461</v>
      </c>
      <c r="BM257" s="99" t="str">
        <f>IFERROR(__xludf.DUMMYFUNCTION("IFERROR(VLOOKUP(BG257,IMPORTRANGE(""https://docs.google.com/spreadsheets/d/1juPI-Fb8LD0YtltB2mlGEnp_R3UVu1t3wSFPzgCyHXE/edit?gid=0#gid=0"",""GERAL!A2:C""),3,0),""-"")"),"-")</f>
        <v>-</v>
      </c>
    </row>
    <row r="258" ht="15.75" customHeight="1">
      <c r="A258" s="111" t="s">
        <v>383</v>
      </c>
      <c r="B258" s="172" t="s">
        <v>1110</v>
      </c>
      <c r="C258" s="98" t="s">
        <v>164</v>
      </c>
      <c r="D258" s="112">
        <v>1176868.0</v>
      </c>
      <c r="E258" s="98">
        <v>1179839.0</v>
      </c>
      <c r="F258" s="98">
        <v>2.9497108E7</v>
      </c>
      <c r="G258" s="119" t="s">
        <v>1122</v>
      </c>
      <c r="H258" s="108" t="s">
        <v>1123</v>
      </c>
      <c r="I258" s="98" t="s">
        <v>149</v>
      </c>
      <c r="J258" s="83"/>
      <c r="K258" s="98" t="s">
        <v>168</v>
      </c>
      <c r="L258" s="98" t="s">
        <v>512</v>
      </c>
      <c r="M258" s="82" t="str">
        <f>IFERROR(__xludf.DUMMYFUNCTION("IFERROR(VLOOKUP(D258,
IMPORTRANGE(""https://docs.google.com/spreadsheets/d/1MjHtlUikwobi2MaWJgy7tfLeBmhj1u-dRFRs_8GwSoA/edit#gid=0"",""Gestores Escolares!D7:J""),3,0),""VERIFICAR CÓD SEC"")")," ULISSES MACEDO JUNIOR")</f>
        <v> ULISSES MACEDO JUNIOR</v>
      </c>
      <c r="N258" s="82" t="str">
        <f>IFERROR(__xludf.DUMMYFUNCTION("IFERROR(VLOOKUP(D258,
IMPORTRANGE(""https://docs.google.com/spreadsheets/d/1MjHtlUikwobi2MaWJgy7tfLeBmhj1u-dRFRs_8GwSoA/edit#gid=0"",""Gestores Escolares!D7:J""),4,0),""VERIFICAR CÓD SEC"")")," (71) 9 9625-4793/
(75) 9 9136-5420")</f>
        <v> (71) 9 9625-4793/
(75) 9 9136-5420</v>
      </c>
      <c r="O258" s="82" t="str">
        <f>IFERROR(__xludf.DUMMYFUNCTION("IFERROR(VLOOKUP(D258,
IMPORTRANGE(""https://docs.google.com/spreadsheets/d/1MjHtlUikwobi2MaWJgy7tfLeBmhj1u-dRFRs_8GwSoA/edit#gid=0"",""Gestores Escolares!D7:J""),6,0),""VERIFICAR CÓD SEC"")"),"MARCELO FELIX DA SILVA")</f>
        <v>MARCELO FELIX DA SILVA</v>
      </c>
      <c r="P258" s="82" t="str">
        <f>IFERROR(__xludf.DUMMYFUNCTION("IFERROR(VLOOKUP(D258,
IMPORTRANGE(""https://docs.google.com/spreadsheets/d/1MjHtlUikwobi2MaWJgy7tfLeBmhj1u-dRFRs_8GwSoA/edit#gid=0"",""Gestores Escolares!D7:J""),7,0),""VERIFICAR CÓD SEC"")"),"(75) 9 9201 0874/ 
9 9181-4439")</f>
        <v>(75) 9 9201 0874/ 
9 9181-4439</v>
      </c>
      <c r="Q258" s="82" t="str">
        <f>IFERROR(__xludf.DUMMYFUNCTION("IFERROR(VLOOKUP(D258,
IMPORTRANGE(""https://docs.google.com/spreadsheets/d/1MjHtlUikwobi2MaWJgy7tfLeBmhj1u-dRFRs_8GwSoA/edit#gid=0"",""Gestores Escolares!D7:m""),9,0),""VERIFICAR CÓD SEC"")"),"CELIA APARECIDA FERREIRA BELAU")</f>
        <v>CELIA APARECIDA FERREIRA BELAU</v>
      </c>
      <c r="R258" s="82" t="str">
        <f>IFERROR(__xludf.DUMMYFUNCTION("IFERROR(VLOOKUP(D258,
IMPORTRANGE(""https://docs.google.com/spreadsheets/d/1MjHtlUikwobi2MaWJgy7tfLeBmhj1u-dRFRs_8GwSoA/edit#gid=0"",""Gestores Escolares!D7:m""),10,0),""VERIFICAR CÓD SEC"")"),"(75) 9 9116-1307")</f>
        <v>(75) 9 9116-1307</v>
      </c>
      <c r="S258" s="82"/>
      <c r="T258" s="138"/>
      <c r="U258" s="369"/>
      <c r="V258" s="106">
        <v>0.0</v>
      </c>
      <c r="W258" s="107">
        <v>0.0</v>
      </c>
      <c r="X258" s="107">
        <v>0.0</v>
      </c>
      <c r="Y258" s="107">
        <v>0.0</v>
      </c>
      <c r="Z258" s="80">
        <f t="shared" si="1"/>
        <v>0</v>
      </c>
      <c r="AA258" s="106">
        <v>0.0</v>
      </c>
      <c r="AB258" s="107">
        <v>0.0</v>
      </c>
      <c r="AC258" s="107">
        <v>0.0</v>
      </c>
      <c r="AD258" s="107">
        <v>0.0</v>
      </c>
      <c r="AE258" s="80">
        <f t="shared" si="2"/>
        <v>0</v>
      </c>
      <c r="AF258" s="140">
        <v>124.0</v>
      </c>
      <c r="AG258" s="109">
        <v>0.0</v>
      </c>
      <c r="AH258" s="109">
        <v>0.0</v>
      </c>
      <c r="AI258" s="141">
        <v>0.0</v>
      </c>
      <c r="AJ258" s="80">
        <f t="shared" si="3"/>
        <v>124</v>
      </c>
      <c r="AK258" s="140">
        <v>0.0</v>
      </c>
      <c r="AL258" s="109">
        <v>0.0</v>
      </c>
      <c r="AM258" s="141">
        <v>0.0</v>
      </c>
      <c r="AN258" s="80">
        <f t="shared" si="4"/>
        <v>0</v>
      </c>
      <c r="AO258" s="140">
        <v>0.0</v>
      </c>
      <c r="AP258" s="109">
        <v>0.0</v>
      </c>
      <c r="AQ258" s="109">
        <v>0.0</v>
      </c>
      <c r="AR258" s="80">
        <f t="shared" si="5"/>
        <v>0</v>
      </c>
      <c r="AS258" s="110">
        <v>0.0</v>
      </c>
      <c r="AT258" s="110">
        <v>0.0</v>
      </c>
      <c r="AU258" s="110">
        <v>0.0</v>
      </c>
      <c r="AV258" s="142">
        <v>0.0</v>
      </c>
      <c r="AW258" s="80">
        <f t="shared" si="6"/>
        <v>0</v>
      </c>
      <c r="AX258" s="113">
        <f t="shared" si="7"/>
        <v>124</v>
      </c>
      <c r="AY258" s="117">
        <f t="shared" si="8"/>
        <v>124</v>
      </c>
      <c r="AZ258" s="120">
        <f t="shared" si="9"/>
        <v>0</v>
      </c>
      <c r="BA258" s="115">
        <v>0.0</v>
      </c>
      <c r="BB258" s="89">
        <f t="shared" si="10"/>
        <v>124</v>
      </c>
      <c r="BC258" s="132"/>
      <c r="BD258" s="143"/>
      <c r="BE258" s="132"/>
      <c r="BF258" s="156"/>
      <c r="BG258" s="98">
        <v>1179839.0</v>
      </c>
      <c r="BH258" s="112"/>
      <c r="BI258" s="112"/>
      <c r="BJ258" s="98" t="s">
        <v>155</v>
      </c>
      <c r="BK258" s="99">
        <f t="shared" si="11"/>
        <v>0</v>
      </c>
      <c r="BL258" s="99">
        <f t="shared" si="12"/>
        <v>124</v>
      </c>
      <c r="BM258" s="99" t="str">
        <f>IFERROR(__xludf.DUMMYFUNCTION("IFERROR(VLOOKUP(BG258,IMPORTRANGE(""https://docs.google.com/spreadsheets/d/1juPI-Fb8LD0YtltB2mlGEnp_R3UVu1t3wSFPzgCyHXE/edit?gid=0#gid=0"",""GERAL!A2:C""),3,0),""-"")"),"-")</f>
        <v>-</v>
      </c>
    </row>
    <row r="259" ht="15.75" customHeight="1">
      <c r="A259" s="111" t="s">
        <v>383</v>
      </c>
      <c r="B259" s="172" t="s">
        <v>1124</v>
      </c>
      <c r="C259" s="83" t="s">
        <v>68</v>
      </c>
      <c r="D259" s="112">
        <v>1115865.0</v>
      </c>
      <c r="E259" s="83"/>
      <c r="F259" s="83">
        <v>2.9137853E7</v>
      </c>
      <c r="G259" s="114" t="s">
        <v>1125</v>
      </c>
      <c r="H259" s="91" t="s">
        <v>1126</v>
      </c>
      <c r="I259" s="83" t="s">
        <v>576</v>
      </c>
      <c r="J259" s="83" t="s">
        <v>150</v>
      </c>
      <c r="K259" s="83" t="s">
        <v>151</v>
      </c>
      <c r="L259" s="83" t="s">
        <v>230</v>
      </c>
      <c r="M259" s="82" t="str">
        <f>IFERROR(__xludf.DUMMYFUNCTION("IFERROR(VLOOKUP(D259,
IMPORTRANGE(""https://docs.google.com/spreadsheets/d/1MjHtlUikwobi2MaWJgy7tfLeBmhj1u-dRFRs_8GwSoA/edit#gid=0"",""Gestores Escolares!D7:J""),3,0),""VERIFICAR CÓD SEC"")"),"RITA TARCISA COSTA DA SILVA")</f>
        <v>RITA TARCISA COSTA DA SILVA</v>
      </c>
      <c r="N259" s="82" t="str">
        <f>IFERROR(__xludf.DUMMYFUNCTION("IFERROR(VLOOKUP(D259,
IMPORTRANGE(""https://docs.google.com/spreadsheets/d/1MjHtlUikwobi2MaWJgy7tfLeBmhj1u-dRFRs_8GwSoA/edit#gid=0"",""Gestores Escolares!D7:J""),4,0),""VERIFICAR CÓD SEC"")"),"(71) 9 9272-0542")</f>
        <v>(71) 9 9272-0542</v>
      </c>
      <c r="O259" s="82" t="str">
        <f>IFERROR(__xludf.DUMMYFUNCTION("IFERROR(VLOOKUP(D259,
IMPORTRANGE(""https://docs.google.com/spreadsheets/d/1MjHtlUikwobi2MaWJgy7tfLeBmhj1u-dRFRs_8GwSoA/edit#gid=0"",""Gestores Escolares!D7:J""),6,0),""VERIFICAR CÓD SEC"")"),"TAMIRES DE OLIVEIRA ARAUJO")</f>
        <v>TAMIRES DE OLIVEIRA ARAUJO</v>
      </c>
      <c r="P259" s="82" t="str">
        <f>IFERROR(__xludf.DUMMYFUNCTION("IFERROR(VLOOKUP(D259,
IMPORTRANGE(""https://docs.google.com/spreadsheets/d/1MjHtlUikwobi2MaWJgy7tfLeBmhj1u-dRFRs_8GwSoA/edit#gid=0"",""Gestores Escolares!D7:J""),7,0),""VERIFICAR CÓD SEC"")"),"(75) 9 9263-8954")</f>
        <v>(75) 9 9263-8954</v>
      </c>
      <c r="Q259" s="82" t="str">
        <f>IFERROR(__xludf.DUMMYFUNCTION("IFERROR(VLOOKUP(D259,
IMPORTRANGE(""https://docs.google.com/spreadsheets/d/1MjHtlUikwobi2MaWJgy7tfLeBmhj1u-dRFRs_8GwSoA/edit#gid=0"",""Gestores Escolares!D7:m""),9,0),""VERIFICAR CÓD SEC"")"),"ANALINE SILVA SANTOS")</f>
        <v>ANALINE SILVA SANTOS</v>
      </c>
      <c r="R259" s="82" t="str">
        <f>IFERROR(__xludf.DUMMYFUNCTION("IFERROR(VLOOKUP(D259,
IMPORTRANGE(""https://docs.google.com/spreadsheets/d/1MjHtlUikwobi2MaWJgy7tfLeBmhj1u-dRFRs_8GwSoA/edit#gid=0"",""Gestores Escolares!D7:m""),10,0),""VERIFICAR CÓD SEC"")"),"(74) 9 9148-1354")</f>
        <v>(74) 9 9148-1354</v>
      </c>
      <c r="S259" s="82"/>
      <c r="T259" s="138">
        <v>16.0</v>
      </c>
      <c r="U259" s="145" t="s">
        <v>3625</v>
      </c>
      <c r="V259" s="106">
        <v>0.0</v>
      </c>
      <c r="W259" s="107">
        <v>0.0</v>
      </c>
      <c r="X259" s="107">
        <v>0.0</v>
      </c>
      <c r="Y259" s="107">
        <v>0.0</v>
      </c>
      <c r="Z259" s="80">
        <f t="shared" si="1"/>
        <v>0</v>
      </c>
      <c r="AA259" s="106">
        <v>0.0</v>
      </c>
      <c r="AB259" s="107">
        <v>0.0</v>
      </c>
      <c r="AC259" s="107">
        <v>0.0</v>
      </c>
      <c r="AD259" s="107">
        <v>0.0</v>
      </c>
      <c r="AE259" s="80">
        <f t="shared" si="2"/>
        <v>0</v>
      </c>
      <c r="AF259" s="140">
        <v>83.0</v>
      </c>
      <c r="AG259" s="109">
        <v>151.0</v>
      </c>
      <c r="AH259" s="109">
        <v>0.0</v>
      </c>
      <c r="AI259" s="141">
        <v>520.0</v>
      </c>
      <c r="AJ259" s="80">
        <f t="shared" si="3"/>
        <v>754</v>
      </c>
      <c r="AK259" s="140">
        <v>0.0</v>
      </c>
      <c r="AL259" s="109">
        <v>0.0</v>
      </c>
      <c r="AM259" s="141">
        <v>0.0</v>
      </c>
      <c r="AN259" s="80">
        <f t="shared" si="4"/>
        <v>0</v>
      </c>
      <c r="AO259" s="140">
        <v>0.0</v>
      </c>
      <c r="AP259" s="109">
        <v>0.0</v>
      </c>
      <c r="AQ259" s="109">
        <v>226.0</v>
      </c>
      <c r="AR259" s="80">
        <f t="shared" si="5"/>
        <v>226</v>
      </c>
      <c r="AS259" s="110">
        <v>0.0</v>
      </c>
      <c r="AT259" s="110">
        <v>0.0</v>
      </c>
      <c r="AU259" s="110">
        <v>0.0</v>
      </c>
      <c r="AV259" s="142">
        <v>0.0</v>
      </c>
      <c r="AW259" s="80">
        <f t="shared" si="6"/>
        <v>0</v>
      </c>
      <c r="AX259" s="113">
        <f t="shared" si="7"/>
        <v>980</v>
      </c>
      <c r="AY259" s="117">
        <f t="shared" si="8"/>
        <v>754</v>
      </c>
      <c r="AZ259" s="120">
        <f t="shared" si="9"/>
        <v>226</v>
      </c>
      <c r="BA259" s="115">
        <v>0.0</v>
      </c>
      <c r="BB259" s="89">
        <f t="shared" si="10"/>
        <v>980</v>
      </c>
      <c r="BC259" s="132" t="s">
        <v>178</v>
      </c>
      <c r="BD259" s="132" t="s">
        <v>178</v>
      </c>
      <c r="BE259" s="132" t="s">
        <v>178</v>
      </c>
      <c r="BF259" s="123"/>
      <c r="BG259" s="83">
        <v>1115865.0</v>
      </c>
      <c r="BH259" s="112"/>
      <c r="BI259" s="112">
        <v>15.0</v>
      </c>
      <c r="BJ259" s="98" t="s">
        <v>284</v>
      </c>
      <c r="BK259" s="99">
        <f t="shared" si="11"/>
        <v>520</v>
      </c>
      <c r="BL259" s="99">
        <f t="shared" si="12"/>
        <v>234</v>
      </c>
      <c r="BM259" s="99" t="str">
        <f>IFERROR(__xludf.DUMMYFUNCTION("IFERROR(VLOOKUP(BG259,IMPORTRANGE(""https://docs.google.com/spreadsheets/d/1juPI-Fb8LD0YtltB2mlGEnp_R3UVu1t3wSFPzgCyHXE/edit?gid=0#gid=0"",""GERAL!A2:C""),3,0),""-"")"),"-")</f>
        <v>-</v>
      </c>
    </row>
    <row r="260" ht="15.75" customHeight="1">
      <c r="A260" s="111" t="s">
        <v>383</v>
      </c>
      <c r="B260" s="172" t="s">
        <v>1124</v>
      </c>
      <c r="C260" s="83" t="s">
        <v>68</v>
      </c>
      <c r="D260" s="112">
        <v>1115806.0</v>
      </c>
      <c r="E260" s="83"/>
      <c r="F260" s="83">
        <v>2.9139325E7</v>
      </c>
      <c r="G260" s="114" t="s">
        <v>1129</v>
      </c>
      <c r="H260" s="91" t="s">
        <v>1130</v>
      </c>
      <c r="I260" s="83" t="s">
        <v>149</v>
      </c>
      <c r="J260" s="83" t="s">
        <v>240</v>
      </c>
      <c r="K260" s="83" t="s">
        <v>151</v>
      </c>
      <c r="L260" s="83" t="s">
        <v>152</v>
      </c>
      <c r="M260" s="82" t="str">
        <f>IFERROR(__xludf.DUMMYFUNCTION("IFERROR(VLOOKUP(D260,
IMPORTRANGE(""https://docs.google.com/spreadsheets/d/1MjHtlUikwobi2MaWJgy7tfLeBmhj1u-dRFRs_8GwSoA/edit#gid=0"",""Gestores Escolares!D7:J""),3,0),""VERIFICAR CÓD SEC"")"),"CATIANI ARAÚJO MOTA RAMOS")</f>
        <v>CATIANI ARAÚJO MOTA RAMOS</v>
      </c>
      <c r="N260" s="82" t="str">
        <f>IFERROR(__xludf.DUMMYFUNCTION("IFERROR(VLOOKUP(D260,
IMPORTRANGE(""https://docs.google.com/spreadsheets/d/1MjHtlUikwobi2MaWJgy7tfLeBmhj1u-dRFRs_8GwSoA/edit#gid=0"",""Gestores Escolares!D7:J""),4,0),""VERIFICAR CÓD SEC"")"),"(75) 9 8123-0080")</f>
        <v>(75) 9 8123-0080</v>
      </c>
      <c r="O260" s="82" t="str">
        <f>IFERROR(__xludf.DUMMYFUNCTION("IFERROR(VLOOKUP(D260,
IMPORTRANGE(""https://docs.google.com/spreadsheets/d/1MjHtlUikwobi2MaWJgy7tfLeBmhj1u-dRFRs_8GwSoA/edit#gid=0"",""Gestores Escolares!D7:J""),6,0),""VERIFICAR CÓD SEC"")")," VAMECIA DOS SANTOS SILVA")</f>
        <v> VAMECIA DOS SANTOS SILVA</v>
      </c>
      <c r="P260" s="82" t="str">
        <f>IFERROR(__xludf.DUMMYFUNCTION("IFERROR(VLOOKUP(D260,
IMPORTRANGE(""https://docs.google.com/spreadsheets/d/1MjHtlUikwobi2MaWJgy7tfLeBmhj1u-dRFRs_8GwSoA/edit#gid=0"",""Gestores Escolares!D7:J""),7,0),""VERIFICAR CÓD SEC"")"),"(75) 9 9125-0551")</f>
        <v>(75) 9 9125-0551</v>
      </c>
      <c r="Q260" s="82" t="str">
        <f>IFERROR(__xludf.DUMMYFUNCTION("IFERROR(VLOOKUP(D260,
IMPORTRANGE(""https://docs.google.com/spreadsheets/d/1MjHtlUikwobi2MaWJgy7tfLeBmhj1u-dRFRs_8GwSoA/edit#gid=0"",""Gestores Escolares!D7:m""),9,0),""VERIFICAR CÓD SEC"")"),"")</f>
        <v/>
      </c>
      <c r="R260" s="82" t="str">
        <f>IFERROR(__xludf.DUMMYFUNCTION("IFERROR(VLOOKUP(D260,
IMPORTRANGE(""https://docs.google.com/spreadsheets/d/1MjHtlUikwobi2MaWJgy7tfLeBmhj1u-dRFRs_8GwSoA/edit#gid=0"",""Gestores Escolares!D7:m""),10,0),""VERIFICAR CÓD SEC"")"),"")</f>
        <v/>
      </c>
      <c r="S260" s="82"/>
      <c r="T260" s="138">
        <v>8.0</v>
      </c>
      <c r="U260" s="139">
        <v>8.0</v>
      </c>
      <c r="V260" s="106">
        <v>0.0</v>
      </c>
      <c r="W260" s="107">
        <v>0.0</v>
      </c>
      <c r="X260" s="107">
        <v>0.0</v>
      </c>
      <c r="Y260" s="107">
        <v>0.0</v>
      </c>
      <c r="Z260" s="80">
        <f t="shared" si="1"/>
        <v>0</v>
      </c>
      <c r="AA260" s="106">
        <v>0.0</v>
      </c>
      <c r="AB260" s="107">
        <v>0.0</v>
      </c>
      <c r="AC260" s="107">
        <v>0.0</v>
      </c>
      <c r="AD260" s="107">
        <v>0.0</v>
      </c>
      <c r="AE260" s="80">
        <f t="shared" si="2"/>
        <v>0</v>
      </c>
      <c r="AF260" s="140">
        <v>57.0</v>
      </c>
      <c r="AG260" s="109">
        <v>51.0</v>
      </c>
      <c r="AH260" s="109">
        <v>0.0</v>
      </c>
      <c r="AI260" s="141">
        <v>82.0</v>
      </c>
      <c r="AJ260" s="80">
        <f t="shared" si="3"/>
        <v>190</v>
      </c>
      <c r="AK260" s="140">
        <v>0.0</v>
      </c>
      <c r="AL260" s="109">
        <v>0.0</v>
      </c>
      <c r="AM260" s="141">
        <v>0.0</v>
      </c>
      <c r="AN260" s="80">
        <f t="shared" si="4"/>
        <v>0</v>
      </c>
      <c r="AO260" s="140">
        <v>0.0</v>
      </c>
      <c r="AP260" s="109">
        <v>0.0</v>
      </c>
      <c r="AQ260" s="109">
        <v>79.0</v>
      </c>
      <c r="AR260" s="80">
        <f t="shared" si="5"/>
        <v>79</v>
      </c>
      <c r="AS260" s="110">
        <v>71.0</v>
      </c>
      <c r="AT260" s="110">
        <v>0.0</v>
      </c>
      <c r="AU260" s="110">
        <v>0.0</v>
      </c>
      <c r="AV260" s="142">
        <v>0.0</v>
      </c>
      <c r="AW260" s="80">
        <f t="shared" si="6"/>
        <v>71</v>
      </c>
      <c r="AX260" s="113">
        <f t="shared" si="7"/>
        <v>340</v>
      </c>
      <c r="AY260" s="117">
        <f t="shared" si="8"/>
        <v>261</v>
      </c>
      <c r="AZ260" s="120">
        <f t="shared" si="9"/>
        <v>79</v>
      </c>
      <c r="BA260" s="115">
        <v>0.0</v>
      </c>
      <c r="BB260" s="89">
        <f t="shared" si="10"/>
        <v>340</v>
      </c>
      <c r="BC260" s="132" t="s">
        <v>373</v>
      </c>
      <c r="BD260" s="132" t="s">
        <v>178</v>
      </c>
      <c r="BE260" s="132" t="s">
        <v>178</v>
      </c>
      <c r="BF260" s="123"/>
      <c r="BG260" s="83">
        <v>1115806.0</v>
      </c>
      <c r="BH260" s="112"/>
      <c r="BI260" s="112">
        <v>8.0</v>
      </c>
      <c r="BJ260" s="98" t="s">
        <v>155</v>
      </c>
      <c r="BK260" s="99">
        <f t="shared" si="11"/>
        <v>82</v>
      </c>
      <c r="BL260" s="99">
        <f t="shared" si="12"/>
        <v>179</v>
      </c>
      <c r="BM260" s="99" t="str">
        <f>IFERROR(__xludf.DUMMYFUNCTION("IFERROR(VLOOKUP(BG260,IMPORTRANGE(""https://docs.google.com/spreadsheets/d/1juPI-Fb8LD0YtltB2mlGEnp_R3UVu1t3wSFPzgCyHXE/edit?gid=0#gid=0"",""GERAL!A2:C""),3,0),""-"")"),"CAMPO")</f>
        <v>CAMPO</v>
      </c>
    </row>
    <row r="261" ht="15.75" customHeight="1">
      <c r="A261" s="111" t="s">
        <v>383</v>
      </c>
      <c r="B261" s="172" t="s">
        <v>1124</v>
      </c>
      <c r="C261" s="83" t="s">
        <v>68</v>
      </c>
      <c r="D261" s="112">
        <v>1115903.0</v>
      </c>
      <c r="E261" s="83"/>
      <c r="F261" s="83">
        <v>2.91379E7</v>
      </c>
      <c r="G261" s="119" t="s">
        <v>1132</v>
      </c>
      <c r="H261" s="91" t="s">
        <v>1133</v>
      </c>
      <c r="I261" s="83" t="s">
        <v>149</v>
      </c>
      <c r="J261" s="83" t="s">
        <v>822</v>
      </c>
      <c r="K261" s="83" t="s">
        <v>151</v>
      </c>
      <c r="L261" s="83" t="s">
        <v>169</v>
      </c>
      <c r="M261" s="82" t="str">
        <f>IFERROR(__xludf.DUMMYFUNCTION("IFERROR(VLOOKUP(D261,
IMPORTRANGE(""https://docs.google.com/spreadsheets/d/1MjHtlUikwobi2MaWJgy7tfLeBmhj1u-dRFRs_8GwSoA/edit#gid=0"",""Gestores Escolares!D7:J""),3,0),""VERIFICAR CÓD SEC"")"),"ALENAIDE LIMA DE ALMEIDA")</f>
        <v>ALENAIDE LIMA DE ALMEIDA</v>
      </c>
      <c r="N261" s="82" t="str">
        <f>IFERROR(__xludf.DUMMYFUNCTION("IFERROR(VLOOKUP(D261,
IMPORTRANGE(""https://docs.google.com/spreadsheets/d/1MjHtlUikwobi2MaWJgy7tfLeBmhj1u-dRFRs_8GwSoA/edit#gid=0"",""Gestores Escolares!D7:J""),4,0),""VERIFICAR CÓD SEC"")"),"(75) 9 9959 - 7994")</f>
        <v>(75) 9 9959 - 7994</v>
      </c>
      <c r="O261" s="82" t="str">
        <f>IFERROR(__xludf.DUMMYFUNCTION("IFERROR(VLOOKUP(D261,
IMPORTRANGE(""https://docs.google.com/spreadsheets/d/1MjHtlUikwobi2MaWJgy7tfLeBmhj1u-dRFRs_8GwSoA/edit#gid=0"",""Gestores Escolares!D7:J""),6,0),""VERIFICAR CÓD SEC"")"),"ELIANE ARAUJO CUNHA")</f>
        <v>ELIANE ARAUJO CUNHA</v>
      </c>
      <c r="P261" s="82" t="str">
        <f>IFERROR(__xludf.DUMMYFUNCTION("IFERROR(VLOOKUP(D261,
IMPORTRANGE(""https://docs.google.com/spreadsheets/d/1MjHtlUikwobi2MaWJgy7tfLeBmhj1u-dRFRs_8GwSoA/edit#gid=0"",""Gestores Escolares!D7:J""),7,0),""VERIFICAR CÓD SEC"")"),"(75) 9 8175-5688")</f>
        <v>(75) 9 8175-5688</v>
      </c>
      <c r="Q261" s="82" t="str">
        <f>IFERROR(__xludf.DUMMYFUNCTION("IFERROR(VLOOKUP(D261,
IMPORTRANGE(""https://docs.google.com/spreadsheets/d/1MjHtlUikwobi2MaWJgy7tfLeBmhj1u-dRFRs_8GwSoA/edit#gid=0"",""Gestores Escolares!D7:m""),9,0),""VERIFICAR CÓD SEC"")"),"")</f>
        <v/>
      </c>
      <c r="R261" s="82" t="str">
        <f>IFERROR(__xludf.DUMMYFUNCTION("IFERROR(VLOOKUP(D261,
IMPORTRANGE(""https://docs.google.com/spreadsheets/d/1MjHtlUikwobi2MaWJgy7tfLeBmhj1u-dRFRs_8GwSoA/edit#gid=0"",""Gestores Escolares!D7:m""),10,0),""VERIFICAR CÓD SEC"")"),"")</f>
        <v/>
      </c>
      <c r="S261" s="82"/>
      <c r="T261" s="138">
        <v>6.0</v>
      </c>
      <c r="U261" s="139">
        <v>4.0</v>
      </c>
      <c r="V261" s="106">
        <v>0.0</v>
      </c>
      <c r="W261" s="107">
        <v>0.0</v>
      </c>
      <c r="X261" s="107">
        <v>0.0</v>
      </c>
      <c r="Y261" s="107">
        <v>0.0</v>
      </c>
      <c r="Z261" s="80">
        <f t="shared" si="1"/>
        <v>0</v>
      </c>
      <c r="AA261" s="106">
        <v>0.0</v>
      </c>
      <c r="AB261" s="107">
        <v>0.0</v>
      </c>
      <c r="AC261" s="107">
        <v>0.0</v>
      </c>
      <c r="AD261" s="107">
        <v>0.0</v>
      </c>
      <c r="AE261" s="80">
        <f t="shared" si="2"/>
        <v>0</v>
      </c>
      <c r="AF261" s="140">
        <v>66.0</v>
      </c>
      <c r="AG261" s="109">
        <v>66.0</v>
      </c>
      <c r="AH261" s="109">
        <v>0.0</v>
      </c>
      <c r="AI261" s="141">
        <v>0.0</v>
      </c>
      <c r="AJ261" s="80">
        <f t="shared" si="3"/>
        <v>132</v>
      </c>
      <c r="AK261" s="140">
        <v>0.0</v>
      </c>
      <c r="AL261" s="109">
        <v>0.0</v>
      </c>
      <c r="AM261" s="141">
        <v>0.0</v>
      </c>
      <c r="AN261" s="80">
        <f t="shared" si="4"/>
        <v>0</v>
      </c>
      <c r="AO261" s="140">
        <v>0.0</v>
      </c>
      <c r="AP261" s="109">
        <v>0.0</v>
      </c>
      <c r="AQ261" s="109">
        <v>15.0</v>
      </c>
      <c r="AR261" s="80">
        <f t="shared" si="5"/>
        <v>15</v>
      </c>
      <c r="AS261" s="110">
        <v>0.0</v>
      </c>
      <c r="AT261" s="110">
        <v>0.0</v>
      </c>
      <c r="AU261" s="110">
        <v>0.0</v>
      </c>
      <c r="AV261" s="142">
        <v>0.0</v>
      </c>
      <c r="AW261" s="80">
        <f t="shared" si="6"/>
        <v>0</v>
      </c>
      <c r="AX261" s="113">
        <f t="shared" si="7"/>
        <v>147</v>
      </c>
      <c r="AY261" s="117">
        <f t="shared" si="8"/>
        <v>132</v>
      </c>
      <c r="AZ261" s="120">
        <f t="shared" si="9"/>
        <v>15</v>
      </c>
      <c r="BA261" s="115">
        <v>0.0</v>
      </c>
      <c r="BB261" s="89">
        <f t="shared" si="10"/>
        <v>147</v>
      </c>
      <c r="BC261" s="132" t="s">
        <v>373</v>
      </c>
      <c r="BD261" s="132" t="s">
        <v>178</v>
      </c>
      <c r="BE261" s="132" t="s">
        <v>178</v>
      </c>
      <c r="BF261" s="123"/>
      <c r="BG261" s="83">
        <v>1115903.0</v>
      </c>
      <c r="BH261" s="112"/>
      <c r="BI261" s="112">
        <v>4.0</v>
      </c>
      <c r="BJ261" s="98" t="s">
        <v>155</v>
      </c>
      <c r="BK261" s="99">
        <f t="shared" si="11"/>
        <v>0</v>
      </c>
      <c r="BL261" s="99">
        <f t="shared" si="12"/>
        <v>132</v>
      </c>
      <c r="BM261" s="99" t="str">
        <f>IFERROR(__xludf.DUMMYFUNCTION("IFERROR(VLOOKUP(BG261,IMPORTRANGE(""https://docs.google.com/spreadsheets/d/1juPI-Fb8LD0YtltB2mlGEnp_R3UVu1t3wSFPzgCyHXE/edit?gid=0#gid=0"",""GERAL!A2:C""),3,0),""-"")"),"CAMPO")</f>
        <v>CAMPO</v>
      </c>
    </row>
    <row r="262" ht="15.75" customHeight="1">
      <c r="A262" s="111" t="s">
        <v>383</v>
      </c>
      <c r="B262" s="136" t="s">
        <v>1124</v>
      </c>
      <c r="C262" s="83" t="s">
        <v>68</v>
      </c>
      <c r="D262" s="112">
        <v>1115717.0</v>
      </c>
      <c r="E262" s="83"/>
      <c r="F262" s="83">
        <v>2.913787E7</v>
      </c>
      <c r="G262" s="119" t="s">
        <v>1135</v>
      </c>
      <c r="H262" s="91" t="s">
        <v>1136</v>
      </c>
      <c r="I262" s="136" t="s">
        <v>149</v>
      </c>
      <c r="J262" s="83" t="s">
        <v>240</v>
      </c>
      <c r="K262" s="83" t="s">
        <v>151</v>
      </c>
      <c r="L262" s="83" t="s">
        <v>169</v>
      </c>
      <c r="M262" s="82" t="str">
        <f>IFERROR(__xludf.DUMMYFUNCTION("IFERROR(VLOOKUP(D262,
IMPORTRANGE(""https://docs.google.com/spreadsheets/d/1MjHtlUikwobi2MaWJgy7tfLeBmhj1u-dRFRs_8GwSoA/edit#gid=0"",""Gestores Escolares!D7:J""),3,0),""VERIFICAR CÓD SEC"")"),"ANTÔNIO SÉRGIO DA SILVA PASTOR")</f>
        <v>ANTÔNIO SÉRGIO DA SILVA PASTOR</v>
      </c>
      <c r="N262" s="82" t="str">
        <f>IFERROR(__xludf.DUMMYFUNCTION("IFERROR(VLOOKUP(D262,
IMPORTRANGE(""https://docs.google.com/spreadsheets/d/1MjHtlUikwobi2MaWJgy7tfLeBmhj1u-dRFRs_8GwSoA/edit#gid=0"",""Gestores Escolares!D7:J""),4,0),""VERIFICAR CÓD SEC"")"),"(75) 9 9218-9975")</f>
        <v>(75) 9 9218-9975</v>
      </c>
      <c r="O262" s="82" t="str">
        <f>IFERROR(__xludf.DUMMYFUNCTION("IFERROR(VLOOKUP(D262,
IMPORTRANGE(""https://docs.google.com/spreadsheets/d/1MjHtlUikwobi2MaWJgy7tfLeBmhj1u-dRFRs_8GwSoA/edit#gid=0"",""Gestores Escolares!D7:J""),6,0),""VERIFICAR CÓD SEC"")"),"MARIA EDNA SOUZA DOS SANTOS")</f>
        <v>MARIA EDNA SOUZA DOS SANTOS</v>
      </c>
      <c r="P262" s="82" t="str">
        <f>IFERROR(__xludf.DUMMYFUNCTION("IFERROR(VLOOKUP(D262,
IMPORTRANGE(""https://docs.google.com/spreadsheets/d/1MjHtlUikwobi2MaWJgy7tfLeBmhj1u-dRFRs_8GwSoA/edit#gid=0"",""Gestores Escolares!D7:J""),7,0),""VERIFICAR CÓD SEC"")"),"(75) 9 9123-0755")</f>
        <v>(75) 9 9123-0755</v>
      </c>
      <c r="Q262" s="82" t="str">
        <f>IFERROR(__xludf.DUMMYFUNCTION("IFERROR(VLOOKUP(D262,
IMPORTRANGE(""https://docs.google.com/spreadsheets/d/1MjHtlUikwobi2MaWJgy7tfLeBmhj1u-dRFRs_8GwSoA/edit#gid=0"",""Gestores Escolares!D7:m""),9,0),""VERIFICAR CÓD SEC"")"),"")</f>
        <v/>
      </c>
      <c r="R262" s="82" t="str">
        <f>IFERROR(__xludf.DUMMYFUNCTION("IFERROR(VLOOKUP(D262,
IMPORTRANGE(""https://docs.google.com/spreadsheets/d/1MjHtlUikwobi2MaWJgy7tfLeBmhj1u-dRFRs_8GwSoA/edit#gid=0"",""Gestores Escolares!D7:m""),10,0),""VERIFICAR CÓD SEC"")"),"")</f>
        <v/>
      </c>
      <c r="S262" s="82"/>
      <c r="T262" s="138">
        <v>7.0</v>
      </c>
      <c r="U262" s="145" t="s">
        <v>3659</v>
      </c>
      <c r="V262" s="106">
        <v>0.0</v>
      </c>
      <c r="W262" s="107">
        <v>0.0</v>
      </c>
      <c r="X262" s="107">
        <v>0.0</v>
      </c>
      <c r="Y262" s="107">
        <v>0.0</v>
      </c>
      <c r="Z262" s="80">
        <f t="shared" si="1"/>
        <v>0</v>
      </c>
      <c r="AA262" s="106">
        <v>0.0</v>
      </c>
      <c r="AB262" s="107">
        <v>0.0</v>
      </c>
      <c r="AC262" s="107">
        <v>0.0</v>
      </c>
      <c r="AD262" s="107">
        <v>0.0</v>
      </c>
      <c r="AE262" s="80">
        <f t="shared" si="2"/>
        <v>0</v>
      </c>
      <c r="AF262" s="140">
        <v>0.0</v>
      </c>
      <c r="AG262" s="109">
        <v>31.0</v>
      </c>
      <c r="AH262" s="109">
        <v>0.0</v>
      </c>
      <c r="AI262" s="141">
        <v>67.0</v>
      </c>
      <c r="AJ262" s="80">
        <f t="shared" si="3"/>
        <v>98</v>
      </c>
      <c r="AK262" s="140">
        <v>0.0</v>
      </c>
      <c r="AL262" s="109">
        <v>0.0</v>
      </c>
      <c r="AM262" s="141">
        <v>0.0</v>
      </c>
      <c r="AN262" s="80">
        <f t="shared" si="4"/>
        <v>0</v>
      </c>
      <c r="AO262" s="140">
        <v>0.0</v>
      </c>
      <c r="AP262" s="109">
        <v>0.0</v>
      </c>
      <c r="AQ262" s="109">
        <v>42.0</v>
      </c>
      <c r="AR262" s="80">
        <f t="shared" si="5"/>
        <v>42</v>
      </c>
      <c r="AS262" s="110">
        <v>0.0</v>
      </c>
      <c r="AT262" s="110">
        <v>0.0</v>
      </c>
      <c r="AU262" s="110">
        <v>0.0</v>
      </c>
      <c r="AV262" s="142">
        <v>0.0</v>
      </c>
      <c r="AW262" s="80">
        <f t="shared" si="6"/>
        <v>0</v>
      </c>
      <c r="AX262" s="113">
        <f t="shared" si="7"/>
        <v>140</v>
      </c>
      <c r="AY262" s="117">
        <f t="shared" si="8"/>
        <v>98</v>
      </c>
      <c r="AZ262" s="120">
        <f t="shared" si="9"/>
        <v>42</v>
      </c>
      <c r="BA262" s="115">
        <v>0.0</v>
      </c>
      <c r="BB262" s="89">
        <f t="shared" si="10"/>
        <v>140</v>
      </c>
      <c r="BC262" s="132" t="s">
        <v>373</v>
      </c>
      <c r="BD262" s="132" t="s">
        <v>178</v>
      </c>
      <c r="BE262" s="132" t="s">
        <v>178</v>
      </c>
      <c r="BF262" s="123"/>
      <c r="BG262" s="83">
        <v>1115717.0</v>
      </c>
      <c r="BH262" s="112"/>
      <c r="BI262" s="112">
        <v>7.0</v>
      </c>
      <c r="BJ262" s="98" t="s">
        <v>155</v>
      </c>
      <c r="BK262" s="99">
        <f t="shared" si="11"/>
        <v>67</v>
      </c>
      <c r="BL262" s="99">
        <f t="shared" si="12"/>
        <v>31</v>
      </c>
      <c r="BM262" s="99" t="str">
        <f>IFERROR(__xludf.DUMMYFUNCTION("IFERROR(VLOOKUP(BG262,IMPORTRANGE(""https://docs.google.com/spreadsheets/d/1juPI-Fb8LD0YtltB2mlGEnp_R3UVu1t3wSFPzgCyHXE/edit?gid=0#gid=0"",""GERAL!A2:C""),3,0),""-"")"),"CAMPO")</f>
        <v>CAMPO</v>
      </c>
    </row>
    <row r="263" ht="15.75" customHeight="1">
      <c r="A263" s="111" t="s">
        <v>383</v>
      </c>
      <c r="B263" s="172" t="s">
        <v>1124</v>
      </c>
      <c r="C263" s="83" t="s">
        <v>68</v>
      </c>
      <c r="D263" s="112">
        <v>1115679.0</v>
      </c>
      <c r="E263" s="83"/>
      <c r="F263" s="83">
        <v>2.9139155E7</v>
      </c>
      <c r="G263" s="114" t="s">
        <v>1138</v>
      </c>
      <c r="H263" s="91" t="s">
        <v>1139</v>
      </c>
      <c r="I263" s="83" t="s">
        <v>149</v>
      </c>
      <c r="J263" s="83" t="s">
        <v>240</v>
      </c>
      <c r="K263" s="83" t="s">
        <v>151</v>
      </c>
      <c r="L263" s="83" t="s">
        <v>169</v>
      </c>
      <c r="M263" s="82" t="str">
        <f>IFERROR(__xludf.DUMMYFUNCTION("IFERROR(VLOOKUP(D263,
IMPORTRANGE(""https://docs.google.com/spreadsheets/d/1MjHtlUikwobi2MaWJgy7tfLeBmhj1u-dRFRs_8GwSoA/edit#gid=0"",""Gestores Escolares!D7:J""),3,0),""VERIFICAR CÓD SEC"")"),"JACKELINE DE SOUZA QUEIROZ")</f>
        <v>JACKELINE DE SOUZA QUEIROZ</v>
      </c>
      <c r="N263" s="82" t="str">
        <f>IFERROR(__xludf.DUMMYFUNCTION("IFERROR(VLOOKUP(D263,
IMPORTRANGE(""https://docs.google.com/spreadsheets/d/1MjHtlUikwobi2MaWJgy7tfLeBmhj1u-dRFRs_8GwSoA/edit#gid=0"",""Gestores Escolares!D7:J""),4,0),""VERIFICAR CÓD SEC"")"),"(75) 9 9865-7155")</f>
        <v>(75) 9 9865-7155</v>
      </c>
      <c r="O263" s="82" t="str">
        <f>IFERROR(__xludf.DUMMYFUNCTION("IFERROR(VLOOKUP(D263,
IMPORTRANGE(""https://docs.google.com/spreadsheets/d/1MjHtlUikwobi2MaWJgy7tfLeBmhj1u-dRFRs_8GwSoA/edit#gid=0"",""Gestores Escolares!D7:J""),6,0),""VERIFICAR CÓD SEC"")"),"LUCICLAUDIO SILVA LOPES")</f>
        <v>LUCICLAUDIO SILVA LOPES</v>
      </c>
      <c r="P263" s="82" t="str">
        <f>IFERROR(__xludf.DUMMYFUNCTION("IFERROR(VLOOKUP(D263,
IMPORTRANGE(""https://docs.google.com/spreadsheets/d/1MjHtlUikwobi2MaWJgy7tfLeBmhj1u-dRFRs_8GwSoA/edit#gid=0"",""Gestores Escolares!D7:J""),7,0),""VERIFICAR CÓD SEC"")"),"(75) 9 9124-2333")</f>
        <v>(75) 9 9124-2333</v>
      </c>
      <c r="Q263" s="82" t="str">
        <f>IFERROR(__xludf.DUMMYFUNCTION("IFERROR(VLOOKUP(D263,
IMPORTRANGE(""https://docs.google.com/spreadsheets/d/1MjHtlUikwobi2MaWJgy7tfLeBmhj1u-dRFRs_8GwSoA/edit#gid=0"",""Gestores Escolares!D7:m""),9,0),""VERIFICAR CÓD SEC"")"),"")</f>
        <v/>
      </c>
      <c r="R263" s="82" t="str">
        <f>IFERROR(__xludf.DUMMYFUNCTION("IFERROR(VLOOKUP(D263,
IMPORTRANGE(""https://docs.google.com/spreadsheets/d/1MjHtlUikwobi2MaWJgy7tfLeBmhj1u-dRFRs_8GwSoA/edit#gid=0"",""Gestores Escolares!D7:m""),10,0),""VERIFICAR CÓD SEC"")"),"")</f>
        <v/>
      </c>
      <c r="S263" s="82"/>
      <c r="T263" s="138">
        <v>6.0</v>
      </c>
      <c r="U263" s="145">
        <v>6.0</v>
      </c>
      <c r="V263" s="106">
        <v>0.0</v>
      </c>
      <c r="W263" s="107">
        <v>0.0</v>
      </c>
      <c r="X263" s="107">
        <v>0.0</v>
      </c>
      <c r="Y263" s="107">
        <v>0.0</v>
      </c>
      <c r="Z263" s="80">
        <f t="shared" si="1"/>
        <v>0</v>
      </c>
      <c r="AA263" s="106">
        <v>0.0</v>
      </c>
      <c r="AB263" s="107">
        <v>0.0</v>
      </c>
      <c r="AC263" s="107">
        <v>0.0</v>
      </c>
      <c r="AD263" s="107">
        <v>0.0</v>
      </c>
      <c r="AE263" s="80">
        <f t="shared" si="2"/>
        <v>0</v>
      </c>
      <c r="AF263" s="140">
        <v>22.0</v>
      </c>
      <c r="AG263" s="109">
        <v>22.0</v>
      </c>
      <c r="AH263" s="109">
        <v>0.0</v>
      </c>
      <c r="AI263" s="141">
        <v>83.0</v>
      </c>
      <c r="AJ263" s="80">
        <f t="shared" si="3"/>
        <v>127</v>
      </c>
      <c r="AK263" s="140">
        <v>0.0</v>
      </c>
      <c r="AL263" s="109">
        <v>0.0</v>
      </c>
      <c r="AM263" s="141">
        <v>0.0</v>
      </c>
      <c r="AN263" s="80">
        <f t="shared" si="4"/>
        <v>0</v>
      </c>
      <c r="AO263" s="140">
        <v>0.0</v>
      </c>
      <c r="AP263" s="109">
        <v>0.0</v>
      </c>
      <c r="AQ263" s="109">
        <v>44.0</v>
      </c>
      <c r="AR263" s="80">
        <f t="shared" si="5"/>
        <v>44</v>
      </c>
      <c r="AS263" s="110">
        <v>0.0</v>
      </c>
      <c r="AT263" s="110">
        <v>0.0</v>
      </c>
      <c r="AU263" s="110">
        <v>0.0</v>
      </c>
      <c r="AV263" s="142">
        <v>0.0</v>
      </c>
      <c r="AW263" s="80">
        <f t="shared" si="6"/>
        <v>0</v>
      </c>
      <c r="AX263" s="113">
        <f t="shared" si="7"/>
        <v>171</v>
      </c>
      <c r="AY263" s="117">
        <f t="shared" si="8"/>
        <v>127</v>
      </c>
      <c r="AZ263" s="120">
        <f t="shared" si="9"/>
        <v>44</v>
      </c>
      <c r="BA263" s="115">
        <v>0.0</v>
      </c>
      <c r="BB263" s="89">
        <f t="shared" si="10"/>
        <v>171</v>
      </c>
      <c r="BC263" s="132" t="s">
        <v>373</v>
      </c>
      <c r="BD263" s="132" t="s">
        <v>178</v>
      </c>
      <c r="BE263" s="132" t="s">
        <v>178</v>
      </c>
      <c r="BF263" s="181"/>
      <c r="BG263" s="83">
        <v>1115679.0</v>
      </c>
      <c r="BH263" s="112"/>
      <c r="BI263" s="112">
        <v>6.0</v>
      </c>
      <c r="BJ263" s="98" t="s">
        <v>155</v>
      </c>
      <c r="BK263" s="99">
        <f t="shared" si="11"/>
        <v>83</v>
      </c>
      <c r="BL263" s="99">
        <f t="shared" si="12"/>
        <v>44</v>
      </c>
      <c r="BM263" s="99" t="str">
        <f>IFERROR(__xludf.DUMMYFUNCTION("IFERROR(VLOOKUP(BG263,IMPORTRANGE(""https://docs.google.com/spreadsheets/d/1juPI-Fb8LD0YtltB2mlGEnp_R3UVu1t3wSFPzgCyHXE/edit?gid=0#gid=0"",""GERAL!A2:C""),3,0),""-"")"),"CAMPO")</f>
        <v>CAMPO</v>
      </c>
    </row>
    <row r="264" ht="15.75" customHeight="1">
      <c r="A264" s="111" t="s">
        <v>383</v>
      </c>
      <c r="B264" s="172" t="s">
        <v>1124</v>
      </c>
      <c r="C264" s="83" t="s">
        <v>68</v>
      </c>
      <c r="D264" s="112">
        <v>1115660.0</v>
      </c>
      <c r="E264" s="83"/>
      <c r="F264" s="83">
        <v>2.9138442E7</v>
      </c>
      <c r="G264" s="119" t="s">
        <v>1142</v>
      </c>
      <c r="H264" s="91" t="s">
        <v>1143</v>
      </c>
      <c r="I264" s="83" t="s">
        <v>1144</v>
      </c>
      <c r="J264" s="83" t="s">
        <v>822</v>
      </c>
      <c r="K264" s="83" t="s">
        <v>151</v>
      </c>
      <c r="L264" s="83" t="s">
        <v>169</v>
      </c>
      <c r="M264" s="82" t="str">
        <f>IFERROR(__xludf.DUMMYFUNCTION("IFERROR(VLOOKUP(D264,
IMPORTRANGE(""https://docs.google.com/spreadsheets/d/1MjHtlUikwobi2MaWJgy7tfLeBmhj1u-dRFRs_8GwSoA/edit#gid=0"",""Gestores Escolares!D7:J""),3,0),""VERIFICAR CÓD SEC"")"),"VALDEMARA SOUZA DE OLIVEIRA COSTA")</f>
        <v>VALDEMARA SOUZA DE OLIVEIRA COSTA</v>
      </c>
      <c r="N264" s="82" t="str">
        <f>IFERROR(__xludf.DUMMYFUNCTION("IFERROR(VLOOKUP(D264,
IMPORTRANGE(""https://docs.google.com/spreadsheets/d/1MjHtlUikwobi2MaWJgy7tfLeBmhj1u-dRFRs_8GwSoA/edit#gid=0"",""Gestores Escolares!D7:J""),4,0),""VERIFICAR CÓD SEC"")"),"(75) 9 9872-4747/ 
9 9194 - 0676")</f>
        <v>(75) 9 9872-4747/ 
9 9194 - 0676</v>
      </c>
      <c r="O264" s="82" t="str">
        <f>IFERROR(__xludf.DUMMYFUNCTION("IFERROR(VLOOKUP(D264,
IMPORTRANGE(""https://docs.google.com/spreadsheets/d/1MjHtlUikwobi2MaWJgy7tfLeBmhj1u-dRFRs_8GwSoA/edit#gid=0"",""Gestores Escolares!D7:J""),6,0),""VERIFICAR CÓD SEC"")"),"CLENILDA DA SILVA CARNEIRO")</f>
        <v>CLENILDA DA SILVA CARNEIRO</v>
      </c>
      <c r="P264" s="82" t="str">
        <f>IFERROR(__xludf.DUMMYFUNCTION("IFERROR(VLOOKUP(D264,
IMPORTRANGE(""https://docs.google.com/spreadsheets/d/1MjHtlUikwobi2MaWJgy7tfLeBmhj1u-dRFRs_8GwSoA/edit#gid=0"",""Gestores Escolares!D7:J""),7,0),""VERIFICAR CÓD SEC"")"),"(75) 9 9122-4462")</f>
        <v>(75) 9 9122-4462</v>
      </c>
      <c r="Q264" s="82" t="str">
        <f>IFERROR(__xludf.DUMMYFUNCTION("IFERROR(VLOOKUP(D264,
IMPORTRANGE(""https://docs.google.com/spreadsheets/d/1MjHtlUikwobi2MaWJgy7tfLeBmhj1u-dRFRs_8GwSoA/edit#gid=0"",""Gestores Escolares!D7:m""),9,0),""VERIFICAR CÓD SEC"")"),"")</f>
        <v/>
      </c>
      <c r="R264" s="82" t="str">
        <f>IFERROR(__xludf.DUMMYFUNCTION("IFERROR(VLOOKUP(D264,
IMPORTRANGE(""https://docs.google.com/spreadsheets/d/1MjHtlUikwobi2MaWJgy7tfLeBmhj1u-dRFRs_8GwSoA/edit#gid=0"",""Gestores Escolares!D7:m""),10,0),""VERIFICAR CÓD SEC"")"),"")</f>
        <v/>
      </c>
      <c r="S264" s="82"/>
      <c r="T264" s="138">
        <v>7.0</v>
      </c>
      <c r="U264" s="139">
        <v>7.0</v>
      </c>
      <c r="V264" s="106">
        <v>0.0</v>
      </c>
      <c r="W264" s="107">
        <v>0.0</v>
      </c>
      <c r="X264" s="107">
        <v>0.0</v>
      </c>
      <c r="Y264" s="107">
        <v>0.0</v>
      </c>
      <c r="Z264" s="80">
        <f t="shared" si="1"/>
        <v>0</v>
      </c>
      <c r="AA264" s="106">
        <v>0.0</v>
      </c>
      <c r="AB264" s="107">
        <v>0.0</v>
      </c>
      <c r="AC264" s="107">
        <v>0.0</v>
      </c>
      <c r="AD264" s="107">
        <v>0.0</v>
      </c>
      <c r="AE264" s="80">
        <f t="shared" si="2"/>
        <v>0</v>
      </c>
      <c r="AF264" s="140">
        <v>12.0</v>
      </c>
      <c r="AG264" s="109">
        <v>0.0</v>
      </c>
      <c r="AH264" s="109">
        <v>0.0</v>
      </c>
      <c r="AI264" s="141">
        <v>99.0</v>
      </c>
      <c r="AJ264" s="80">
        <f t="shared" si="3"/>
        <v>111</v>
      </c>
      <c r="AK264" s="140">
        <v>0.0</v>
      </c>
      <c r="AL264" s="109">
        <v>0.0</v>
      </c>
      <c r="AM264" s="141">
        <v>0.0</v>
      </c>
      <c r="AN264" s="80">
        <f t="shared" si="4"/>
        <v>0</v>
      </c>
      <c r="AO264" s="140">
        <v>0.0</v>
      </c>
      <c r="AP264" s="109">
        <v>0.0</v>
      </c>
      <c r="AQ264" s="109">
        <v>0.0</v>
      </c>
      <c r="AR264" s="80">
        <f t="shared" si="5"/>
        <v>0</v>
      </c>
      <c r="AS264" s="110">
        <v>0.0</v>
      </c>
      <c r="AT264" s="110">
        <v>0.0</v>
      </c>
      <c r="AU264" s="110">
        <v>0.0</v>
      </c>
      <c r="AV264" s="142">
        <v>0.0</v>
      </c>
      <c r="AW264" s="80">
        <f t="shared" si="6"/>
        <v>0</v>
      </c>
      <c r="AX264" s="113">
        <f t="shared" si="7"/>
        <v>111</v>
      </c>
      <c r="AY264" s="117">
        <f t="shared" si="8"/>
        <v>111</v>
      </c>
      <c r="AZ264" s="120">
        <f t="shared" si="9"/>
        <v>0</v>
      </c>
      <c r="BA264" s="115">
        <v>0.0</v>
      </c>
      <c r="BB264" s="89">
        <f t="shared" si="10"/>
        <v>111</v>
      </c>
      <c r="BC264" s="132" t="s">
        <v>373</v>
      </c>
      <c r="BD264" s="132" t="s">
        <v>178</v>
      </c>
      <c r="BE264" s="132" t="s">
        <v>178</v>
      </c>
      <c r="BF264" s="123"/>
      <c r="BG264" s="83">
        <v>1115660.0</v>
      </c>
      <c r="BH264" s="112"/>
      <c r="BI264" s="112">
        <v>7.0</v>
      </c>
      <c r="BJ264" s="98" t="s">
        <v>155</v>
      </c>
      <c r="BK264" s="99">
        <f t="shared" si="11"/>
        <v>99</v>
      </c>
      <c r="BL264" s="99">
        <f t="shared" si="12"/>
        <v>12</v>
      </c>
      <c r="BM264" s="99" t="str">
        <f>IFERROR(__xludf.DUMMYFUNCTION("IFERROR(VLOOKUP(BG264,IMPORTRANGE(""https://docs.google.com/spreadsheets/d/1juPI-Fb8LD0YtltB2mlGEnp_R3UVu1t3wSFPzgCyHXE/edit?gid=0#gid=0"",""GERAL!A2:C""),3,0),""-"")"),"CAMPO")</f>
        <v>CAMPO</v>
      </c>
    </row>
    <row r="265" ht="15.75" customHeight="1">
      <c r="A265" s="111" t="s">
        <v>383</v>
      </c>
      <c r="B265" s="172" t="s">
        <v>1124</v>
      </c>
      <c r="C265" s="83" t="s">
        <v>68</v>
      </c>
      <c r="D265" s="112">
        <v>1115733.0</v>
      </c>
      <c r="E265" s="83"/>
      <c r="F265" s="83">
        <v>2.9137845E7</v>
      </c>
      <c r="G265" s="114" t="s">
        <v>1147</v>
      </c>
      <c r="H265" s="91" t="s">
        <v>1148</v>
      </c>
      <c r="I265" s="83" t="s">
        <v>1149</v>
      </c>
      <c r="J265" s="83" t="s">
        <v>150</v>
      </c>
      <c r="K265" s="83" t="s">
        <v>151</v>
      </c>
      <c r="L265" s="83" t="s">
        <v>230</v>
      </c>
      <c r="M265" s="82" t="str">
        <f>IFERROR(__xludf.DUMMYFUNCTION("IFERROR(VLOOKUP(D265,
IMPORTRANGE(""https://docs.google.com/spreadsheets/d/1MjHtlUikwobi2MaWJgy7tfLeBmhj1u-dRFRs_8GwSoA/edit#gid=0"",""Gestores Escolares!D7:J""),3,0),""VERIFICAR CÓD SEC"")"),"ARYANE MOTA PEREIRA GOMES")</f>
        <v>ARYANE MOTA PEREIRA GOMES</v>
      </c>
      <c r="N265" s="82" t="str">
        <f>IFERROR(__xludf.DUMMYFUNCTION("IFERROR(VLOOKUP(D265,
IMPORTRANGE(""https://docs.google.com/spreadsheets/d/1MjHtlUikwobi2MaWJgy7tfLeBmhj1u-dRFRs_8GwSoA/edit#gid=0"",""Gestores Escolares!D7:J""),4,0),""VERIFICAR CÓD SEC"")"),"(75) 9 9263-9939")</f>
        <v>(75) 9 9263-9939</v>
      </c>
      <c r="O265" s="82" t="str">
        <f>IFERROR(__xludf.DUMMYFUNCTION("IFERROR(VLOOKUP(D265,
IMPORTRANGE(""https://docs.google.com/spreadsheets/d/1MjHtlUikwobi2MaWJgy7tfLeBmhj1u-dRFRs_8GwSoA/edit#gid=0"",""Gestores Escolares!D7:J""),6,0),""VERIFICAR CÓD SEC"")"),"KEILA LOPES DA SILVA SANTOS")</f>
        <v>KEILA LOPES DA SILVA SANTOS</v>
      </c>
      <c r="P265" s="82" t="str">
        <f>IFERROR(__xludf.DUMMYFUNCTION("IFERROR(VLOOKUP(D265,
IMPORTRANGE(""https://docs.google.com/spreadsheets/d/1MjHtlUikwobi2MaWJgy7tfLeBmhj1u-dRFRs_8GwSoA/edit#gid=0"",""Gestores Escolares!D7:J""),7,0),""VERIFICAR CÓD SEC"")"),"(75) 9 8151-2440")</f>
        <v>(75) 9 8151-2440</v>
      </c>
      <c r="Q265" s="82" t="str">
        <f>IFERROR(__xludf.DUMMYFUNCTION("IFERROR(VLOOKUP(D265,
IMPORTRANGE(""https://docs.google.com/spreadsheets/d/1MjHtlUikwobi2MaWJgy7tfLeBmhj1u-dRFRs_8GwSoA/edit#gid=0"",""Gestores Escolares!D7:m""),9,0),""VERIFICAR CÓD SEC"")"),"REGIVALDO DA SILVA SANTOS")</f>
        <v>REGIVALDO DA SILVA SANTOS</v>
      </c>
      <c r="R265" s="82" t="str">
        <f>IFERROR(__xludf.DUMMYFUNCTION("IFERROR(VLOOKUP(D265,
IMPORTRANGE(""https://docs.google.com/spreadsheets/d/1MjHtlUikwobi2MaWJgy7tfLeBmhj1u-dRFRs_8GwSoA/edit#gid=0"",""Gestores Escolares!D7:m""),10,0),""VERIFICAR CÓD SEC"")"),"(75) 9 8170-7689")</f>
        <v>(75) 9 8170-7689</v>
      </c>
      <c r="S265" s="82"/>
      <c r="T265" s="138">
        <v>10.0</v>
      </c>
      <c r="U265" s="145">
        <v>10.0</v>
      </c>
      <c r="V265" s="106">
        <v>0.0</v>
      </c>
      <c r="W265" s="107">
        <v>0.0</v>
      </c>
      <c r="X265" s="107">
        <v>0.0</v>
      </c>
      <c r="Y265" s="107">
        <v>0.0</v>
      </c>
      <c r="Z265" s="80">
        <f t="shared" si="1"/>
        <v>0</v>
      </c>
      <c r="AA265" s="106">
        <v>0.0</v>
      </c>
      <c r="AB265" s="107">
        <v>0.0</v>
      </c>
      <c r="AC265" s="107">
        <v>0.0</v>
      </c>
      <c r="AD265" s="107">
        <v>0.0</v>
      </c>
      <c r="AE265" s="80">
        <f t="shared" si="2"/>
        <v>0</v>
      </c>
      <c r="AF265" s="140">
        <v>76.0</v>
      </c>
      <c r="AG265" s="109">
        <v>88.0</v>
      </c>
      <c r="AH265" s="109">
        <v>0.0</v>
      </c>
      <c r="AI265" s="141">
        <v>151.0</v>
      </c>
      <c r="AJ265" s="80">
        <f t="shared" si="3"/>
        <v>315</v>
      </c>
      <c r="AK265" s="140">
        <v>0.0</v>
      </c>
      <c r="AL265" s="109">
        <v>0.0</v>
      </c>
      <c r="AM265" s="141">
        <v>0.0</v>
      </c>
      <c r="AN265" s="80">
        <f t="shared" si="4"/>
        <v>0</v>
      </c>
      <c r="AO265" s="140">
        <v>0.0</v>
      </c>
      <c r="AP265" s="109">
        <v>0.0</v>
      </c>
      <c r="AQ265" s="109">
        <v>138.0</v>
      </c>
      <c r="AR265" s="80">
        <f t="shared" si="5"/>
        <v>138</v>
      </c>
      <c r="AS265" s="110">
        <v>0.0</v>
      </c>
      <c r="AT265" s="110">
        <v>0.0</v>
      </c>
      <c r="AU265" s="110">
        <v>0.0</v>
      </c>
      <c r="AV265" s="142">
        <v>0.0</v>
      </c>
      <c r="AW265" s="80">
        <f t="shared" si="6"/>
        <v>0</v>
      </c>
      <c r="AX265" s="113">
        <f t="shared" si="7"/>
        <v>453</v>
      </c>
      <c r="AY265" s="117">
        <f t="shared" si="8"/>
        <v>315</v>
      </c>
      <c r="AZ265" s="120">
        <f t="shared" si="9"/>
        <v>138</v>
      </c>
      <c r="BA265" s="115">
        <v>0.0</v>
      </c>
      <c r="BB265" s="89">
        <f t="shared" si="10"/>
        <v>453</v>
      </c>
      <c r="BC265" s="132" t="s">
        <v>373</v>
      </c>
      <c r="BD265" s="132" t="s">
        <v>178</v>
      </c>
      <c r="BE265" s="132" t="s">
        <v>178</v>
      </c>
      <c r="BF265" s="123"/>
      <c r="BG265" s="83">
        <v>1115733.0</v>
      </c>
      <c r="BH265" s="112"/>
      <c r="BI265" s="112">
        <v>10.0</v>
      </c>
      <c r="BJ265" s="98" t="s">
        <v>155</v>
      </c>
      <c r="BK265" s="99">
        <f t="shared" si="11"/>
        <v>151</v>
      </c>
      <c r="BL265" s="99">
        <f t="shared" si="12"/>
        <v>164</v>
      </c>
      <c r="BM265" s="99" t="str">
        <f>IFERROR(__xludf.DUMMYFUNCTION("IFERROR(VLOOKUP(BG265,IMPORTRANGE(""https://docs.google.com/spreadsheets/d/1juPI-Fb8LD0YtltB2mlGEnp_R3UVu1t3wSFPzgCyHXE/edit?gid=0#gid=0"",""GERAL!A2:C""),3,0),""-"")"),"CAMPO")</f>
        <v>CAMPO</v>
      </c>
    </row>
    <row r="266" ht="15.75" customHeight="1">
      <c r="A266" s="111" t="s">
        <v>383</v>
      </c>
      <c r="B266" s="172" t="s">
        <v>1124</v>
      </c>
      <c r="C266" s="83" t="s">
        <v>68</v>
      </c>
      <c r="D266" s="112">
        <v>1178073.0</v>
      </c>
      <c r="E266" s="83"/>
      <c r="F266" s="83">
        <v>2.94322E7</v>
      </c>
      <c r="G266" s="119" t="s">
        <v>1153</v>
      </c>
      <c r="H266" s="91" t="s">
        <v>1155</v>
      </c>
      <c r="I266" s="83" t="s">
        <v>149</v>
      </c>
      <c r="J266" s="83" t="s">
        <v>150</v>
      </c>
      <c r="K266" s="83" t="s">
        <v>151</v>
      </c>
      <c r="L266" s="83" t="s">
        <v>76</v>
      </c>
      <c r="M266" s="82" t="str">
        <f>IFERROR(__xludf.DUMMYFUNCTION("IFERROR(VLOOKUP(D266,
IMPORTRANGE(""https://docs.google.com/spreadsheets/d/1MjHtlUikwobi2MaWJgy7tfLeBmhj1u-dRFRs_8GwSoA/edit#gid=0"",""Gestores Escolares!D7:J""),3,0),""VERIFICAR CÓD SEC"")"),"ALOIZIA BARROS DE OLIVEIRA")</f>
        <v>ALOIZIA BARROS DE OLIVEIRA</v>
      </c>
      <c r="N266" s="82" t="str">
        <f>IFERROR(__xludf.DUMMYFUNCTION("IFERROR(VLOOKUP(D266,
IMPORTRANGE(""https://docs.google.com/spreadsheets/d/1MjHtlUikwobi2MaWJgy7tfLeBmhj1u-dRFRs_8GwSoA/edit#gid=0"",""Gestores Escolares!D7:J""),4,0),""VERIFICAR CÓD SEC"")"),"(75) 9 9920 - 2149")</f>
        <v>(75) 9 9920 - 2149</v>
      </c>
      <c r="O266" s="82" t="str">
        <f>IFERROR(__xludf.DUMMYFUNCTION("IFERROR(VLOOKUP(D266,
IMPORTRANGE(""https://docs.google.com/spreadsheets/d/1MjHtlUikwobi2MaWJgy7tfLeBmhj1u-dRFRs_8GwSoA/edit#gid=0"",""Gestores Escolares!D7:J""),6,0),""VERIFICAR CÓD SEC"")"),"EVANIA LUZIA MASCARENHAS CUNHA CARNEIRO")</f>
        <v>EVANIA LUZIA MASCARENHAS CUNHA CARNEIRO</v>
      </c>
      <c r="P266" s="82" t="str">
        <f>IFERROR(__xludf.DUMMYFUNCTION("IFERROR(VLOOKUP(D266,
IMPORTRANGE(""https://docs.google.com/spreadsheets/d/1MjHtlUikwobi2MaWJgy7tfLeBmhj1u-dRFRs_8GwSoA/edit#gid=0"",""Gestores Escolares!D7:J""),7,0),""VERIFICAR CÓD SEC"")"),"(75) 9 9216-8442")</f>
        <v>(75) 9 9216-8442</v>
      </c>
      <c r="Q266" s="82" t="str">
        <f>IFERROR(__xludf.DUMMYFUNCTION("IFERROR(VLOOKUP(D266,
IMPORTRANGE(""https://docs.google.com/spreadsheets/d/1MjHtlUikwobi2MaWJgy7tfLeBmhj1u-dRFRs_8GwSoA/edit#gid=0"",""Gestores Escolares!D7:m""),9,0),""VERIFICAR CÓD SEC"")"),"")</f>
        <v/>
      </c>
      <c r="R266" s="82" t="str">
        <f>IFERROR(__xludf.DUMMYFUNCTION("IFERROR(VLOOKUP(D266,
IMPORTRANGE(""https://docs.google.com/spreadsheets/d/1MjHtlUikwobi2MaWJgy7tfLeBmhj1u-dRFRs_8GwSoA/edit#gid=0"",""Gestores Escolares!D7:m""),10,0),""VERIFICAR CÓD SEC"")"),"")</f>
        <v/>
      </c>
      <c r="S266" s="82"/>
      <c r="T266" s="138">
        <v>14.0</v>
      </c>
      <c r="U266" s="145">
        <v>13.0</v>
      </c>
      <c r="V266" s="106">
        <v>0.0</v>
      </c>
      <c r="W266" s="107">
        <v>0.0</v>
      </c>
      <c r="X266" s="107">
        <v>0.0</v>
      </c>
      <c r="Y266" s="107">
        <v>0.0</v>
      </c>
      <c r="Z266" s="80">
        <f t="shared" si="1"/>
        <v>0</v>
      </c>
      <c r="AA266" s="106">
        <v>0.0</v>
      </c>
      <c r="AB266" s="107">
        <v>0.0</v>
      </c>
      <c r="AC266" s="107">
        <v>0.0</v>
      </c>
      <c r="AD266" s="107">
        <v>0.0</v>
      </c>
      <c r="AE266" s="80">
        <f t="shared" si="2"/>
        <v>0</v>
      </c>
      <c r="AF266" s="140">
        <v>40.0</v>
      </c>
      <c r="AG266" s="109">
        <v>0.0</v>
      </c>
      <c r="AH266" s="109">
        <v>0.0</v>
      </c>
      <c r="AI266" s="141">
        <v>0.0</v>
      </c>
      <c r="AJ266" s="80">
        <f t="shared" si="3"/>
        <v>40</v>
      </c>
      <c r="AK266" s="140">
        <v>0.0</v>
      </c>
      <c r="AL266" s="109">
        <v>0.0</v>
      </c>
      <c r="AM266" s="141">
        <v>0.0</v>
      </c>
      <c r="AN266" s="80">
        <f t="shared" si="4"/>
        <v>0</v>
      </c>
      <c r="AO266" s="140">
        <v>0.0</v>
      </c>
      <c r="AP266" s="109">
        <v>0.0</v>
      </c>
      <c r="AQ266" s="109">
        <v>26.0</v>
      </c>
      <c r="AR266" s="80">
        <f t="shared" si="5"/>
        <v>26</v>
      </c>
      <c r="AS266" s="110">
        <v>260.0</v>
      </c>
      <c r="AT266" s="110">
        <v>86.0</v>
      </c>
      <c r="AU266" s="110">
        <v>147.0</v>
      </c>
      <c r="AV266" s="142">
        <v>0.0</v>
      </c>
      <c r="AW266" s="80">
        <f t="shared" si="6"/>
        <v>493</v>
      </c>
      <c r="AX266" s="113">
        <f t="shared" si="7"/>
        <v>559</v>
      </c>
      <c r="AY266" s="117">
        <f t="shared" si="8"/>
        <v>386</v>
      </c>
      <c r="AZ266" s="120">
        <f t="shared" si="9"/>
        <v>173</v>
      </c>
      <c r="BA266" s="115">
        <v>0.0</v>
      </c>
      <c r="BB266" s="89">
        <f t="shared" si="10"/>
        <v>559</v>
      </c>
      <c r="BC266" s="132" t="s">
        <v>178</v>
      </c>
      <c r="BD266" s="132" t="s">
        <v>178</v>
      </c>
      <c r="BE266" s="132" t="s">
        <v>178</v>
      </c>
      <c r="BF266" s="123"/>
      <c r="BG266" s="83">
        <v>1178073.0</v>
      </c>
      <c r="BH266" s="112"/>
      <c r="BI266" s="112">
        <v>13.0</v>
      </c>
      <c r="BJ266" s="98" t="s">
        <v>284</v>
      </c>
      <c r="BK266" s="99">
        <f t="shared" si="11"/>
        <v>0</v>
      </c>
      <c r="BL266" s="99">
        <f t="shared" si="12"/>
        <v>386</v>
      </c>
      <c r="BM266" s="99" t="str">
        <f>IFERROR(__xludf.DUMMYFUNCTION("IFERROR(VLOOKUP(BG266,IMPORTRANGE(""https://docs.google.com/spreadsheets/d/1juPI-Fb8LD0YtltB2mlGEnp_R3UVu1t3wSFPzgCyHXE/edit?gid=0#gid=0"",""GERAL!A2:C""),3,0),""-"")"),"-")</f>
        <v>-</v>
      </c>
    </row>
    <row r="267" ht="15.75" customHeight="1">
      <c r="A267" s="111" t="s">
        <v>383</v>
      </c>
      <c r="B267" s="83" t="s">
        <v>1157</v>
      </c>
      <c r="C267" s="83" t="s">
        <v>68</v>
      </c>
      <c r="D267" s="112">
        <v>1177070.0</v>
      </c>
      <c r="E267" s="83"/>
      <c r="F267" s="83">
        <v>2.9410975E7</v>
      </c>
      <c r="G267" s="114" t="s">
        <v>1158</v>
      </c>
      <c r="H267" s="91" t="s">
        <v>1159</v>
      </c>
      <c r="I267" s="136" t="s">
        <v>149</v>
      </c>
      <c r="J267" s="136" t="s">
        <v>150</v>
      </c>
      <c r="K267" s="136" t="s">
        <v>151</v>
      </c>
      <c r="L267" s="115" t="s">
        <v>152</v>
      </c>
      <c r="M267" s="82" t="str">
        <f>IFERROR(__xludf.DUMMYFUNCTION("IFERROR(VLOOKUP(D267,
IMPORTRANGE(""https://docs.google.com/spreadsheets/d/1MjHtlUikwobi2MaWJgy7tfLeBmhj1u-dRFRs_8GwSoA/edit#gid=0"",""Gestores Escolares!D7:J""),3,0),""VERIFICAR CÓD SEC"")"),"EDILMA CARNEIRO DE ALMEIDA ARAUJO ")</f>
        <v>EDILMA CARNEIRO DE ALMEIDA ARAUJO </v>
      </c>
      <c r="N267" s="82" t="str">
        <f>IFERROR(__xludf.DUMMYFUNCTION("IFERROR(VLOOKUP(D267,
IMPORTRANGE(""https://docs.google.com/spreadsheets/d/1MjHtlUikwobi2MaWJgy7tfLeBmhj1u-dRFRs_8GwSoA/edit#gid=0"",""Gestores Escolares!D7:J""),4,0),""VERIFICAR CÓD SEC"")"),"(75) 9 8218-2904")</f>
        <v>(75) 9 8218-2904</v>
      </c>
      <c r="O267" s="82" t="str">
        <f>IFERROR(__xludf.DUMMYFUNCTION("IFERROR(VLOOKUP(D267,
IMPORTRANGE(""https://docs.google.com/spreadsheets/d/1MjHtlUikwobi2MaWJgy7tfLeBmhj1u-dRFRs_8GwSoA/edit#gid=0"",""Gestores Escolares!D7:J""),6,0),""VERIFICAR CÓD SEC"")"),"EDIVAN CARNEIRO DE ALMEIDA")</f>
        <v>EDIVAN CARNEIRO DE ALMEIDA</v>
      </c>
      <c r="P267" s="82" t="str">
        <f>IFERROR(__xludf.DUMMYFUNCTION("IFERROR(VLOOKUP(D267,
IMPORTRANGE(""https://docs.google.com/spreadsheets/d/1MjHtlUikwobi2MaWJgy7tfLeBmhj1u-dRFRs_8GwSoA/edit#gid=0"",""Gestores Escolares!D7:J""),7,0),""VERIFICAR CÓD SEC"")"),"(75) 9 8210-1713")</f>
        <v>(75) 9 8210-1713</v>
      </c>
      <c r="Q267" s="82" t="str">
        <f>IFERROR(__xludf.DUMMYFUNCTION("IFERROR(VLOOKUP(D267,
IMPORTRANGE(""https://docs.google.com/spreadsheets/d/1MjHtlUikwobi2MaWJgy7tfLeBmhj1u-dRFRs_8GwSoA/edit#gid=0"",""Gestores Escolares!D7:m""),9,0),""VERIFICAR CÓD SEC"")"),"EMERSON ALMEIDA DOS SANTOS SOUSA")</f>
        <v>EMERSON ALMEIDA DOS SANTOS SOUSA</v>
      </c>
      <c r="R267" s="82" t="str">
        <f>IFERROR(__xludf.DUMMYFUNCTION("IFERROR(VLOOKUP(D267,
IMPORTRANGE(""https://docs.google.com/spreadsheets/d/1MjHtlUikwobi2MaWJgy7tfLeBmhj1u-dRFRs_8GwSoA/edit#gid=0"",""Gestores Escolares!D7:m""),10,0),""VERIFICAR CÓD SEC"")"),"(75) 9 8298-4970")</f>
        <v>(75) 9 8298-4970</v>
      </c>
      <c r="S267" s="82"/>
      <c r="T267" s="138">
        <v>7.0</v>
      </c>
      <c r="U267" s="145" t="s">
        <v>3713</v>
      </c>
      <c r="V267" s="106">
        <v>0.0</v>
      </c>
      <c r="W267" s="107">
        <v>0.0</v>
      </c>
      <c r="X267" s="107">
        <v>0.0</v>
      </c>
      <c r="Y267" s="107">
        <v>0.0</v>
      </c>
      <c r="Z267" s="80">
        <f t="shared" si="1"/>
        <v>0</v>
      </c>
      <c r="AA267" s="106">
        <v>0.0</v>
      </c>
      <c r="AB267" s="107">
        <v>0.0</v>
      </c>
      <c r="AC267" s="107">
        <v>0.0</v>
      </c>
      <c r="AD267" s="107">
        <v>0.0</v>
      </c>
      <c r="AE267" s="80">
        <f t="shared" si="2"/>
        <v>0</v>
      </c>
      <c r="AF267" s="140">
        <v>0.0</v>
      </c>
      <c r="AG267" s="109">
        <v>25.0</v>
      </c>
      <c r="AH267" s="109">
        <v>0.0</v>
      </c>
      <c r="AI267" s="141">
        <v>207.0</v>
      </c>
      <c r="AJ267" s="80">
        <f t="shared" si="3"/>
        <v>232</v>
      </c>
      <c r="AK267" s="140">
        <v>0.0</v>
      </c>
      <c r="AL267" s="109">
        <v>0.0</v>
      </c>
      <c r="AM267" s="141">
        <v>0.0</v>
      </c>
      <c r="AN267" s="80">
        <f t="shared" si="4"/>
        <v>0</v>
      </c>
      <c r="AO267" s="140">
        <v>0.0</v>
      </c>
      <c r="AP267" s="109">
        <v>0.0</v>
      </c>
      <c r="AQ267" s="109">
        <v>47.0</v>
      </c>
      <c r="AR267" s="80">
        <f t="shared" si="5"/>
        <v>47</v>
      </c>
      <c r="AS267" s="110">
        <v>0.0</v>
      </c>
      <c r="AT267" s="110">
        <v>0.0</v>
      </c>
      <c r="AU267" s="110">
        <v>16.0</v>
      </c>
      <c r="AV267" s="142">
        <v>0.0</v>
      </c>
      <c r="AW267" s="80">
        <f t="shared" si="6"/>
        <v>16</v>
      </c>
      <c r="AX267" s="113">
        <f t="shared" si="7"/>
        <v>295</v>
      </c>
      <c r="AY267" s="117">
        <f t="shared" si="8"/>
        <v>232</v>
      </c>
      <c r="AZ267" s="120">
        <f t="shared" si="9"/>
        <v>63</v>
      </c>
      <c r="BA267" s="115">
        <v>0.0</v>
      </c>
      <c r="BB267" s="89">
        <f t="shared" si="10"/>
        <v>295</v>
      </c>
      <c r="BC267" s="132" t="s">
        <v>178</v>
      </c>
      <c r="BD267" s="132" t="s">
        <v>178</v>
      </c>
      <c r="BE267" s="132" t="s">
        <v>178</v>
      </c>
      <c r="BF267" s="156"/>
      <c r="BG267" s="83">
        <v>1177070.0</v>
      </c>
      <c r="BH267" s="112"/>
      <c r="BI267" s="112">
        <v>6.0</v>
      </c>
      <c r="BJ267" s="98" t="s">
        <v>176</v>
      </c>
      <c r="BK267" s="99">
        <f t="shared" si="11"/>
        <v>207</v>
      </c>
      <c r="BL267" s="99">
        <f t="shared" si="12"/>
        <v>25</v>
      </c>
      <c r="BM267" s="99" t="str">
        <f>IFERROR(__xludf.DUMMYFUNCTION("IFERROR(VLOOKUP(BG267,IMPORTRANGE(""https://docs.google.com/spreadsheets/d/1juPI-Fb8LD0YtltB2mlGEnp_R3UVu1t3wSFPzgCyHXE/edit?gid=0#gid=0"",""GERAL!A2:C""),3,0),""-"")"),"-")</f>
        <v>-</v>
      </c>
    </row>
    <row r="268" ht="15.75" customHeight="1">
      <c r="A268" s="111" t="s">
        <v>383</v>
      </c>
      <c r="B268" s="83" t="s">
        <v>1163</v>
      </c>
      <c r="C268" s="83" t="s">
        <v>45</v>
      </c>
      <c r="D268" s="112">
        <v>1178419.0</v>
      </c>
      <c r="E268" s="83"/>
      <c r="F268" s="83">
        <v>2.9398363E7</v>
      </c>
      <c r="G268" s="114" t="s">
        <v>1164</v>
      </c>
      <c r="H268" s="91" t="s">
        <v>1165</v>
      </c>
      <c r="I268" s="136" t="s">
        <v>1166</v>
      </c>
      <c r="J268" s="115" t="s">
        <v>240</v>
      </c>
      <c r="K268" s="136" t="s">
        <v>171</v>
      </c>
      <c r="L268" s="136" t="s">
        <v>76</v>
      </c>
      <c r="M268" s="82" t="str">
        <f>IFERROR(__xludf.DUMMYFUNCTION("IFERROR(VLOOKUP(D268,
IMPORTRANGE(""https://docs.google.com/spreadsheets/d/1MjHtlUikwobi2MaWJgy7tfLeBmhj1u-dRFRs_8GwSoA/edit#gid=0"",""Gestores Escolares!D7:J""),3,0),""VERIFICAR CÓD SEC"")"),"EDNO DE JESUS ANDRADE")</f>
        <v>EDNO DE JESUS ANDRADE</v>
      </c>
      <c r="N268" s="82" t="str">
        <f>IFERROR(__xludf.DUMMYFUNCTION("IFERROR(VLOOKUP(D268,
IMPORTRANGE(""https://docs.google.com/spreadsheets/d/1MjHtlUikwobi2MaWJgy7tfLeBmhj1u-dRFRs_8GwSoA/edit#gid=0"",""Gestores Escolares!D7:J""),4,0),""VERIFICAR CÓD SEC"")"),"(75) 9 9150-3521")</f>
        <v>(75) 9 9150-3521</v>
      </c>
      <c r="O268" s="82" t="str">
        <f>IFERROR(__xludf.DUMMYFUNCTION("IFERROR(VLOOKUP(D268,
IMPORTRANGE(""https://docs.google.com/spreadsheets/d/1MjHtlUikwobi2MaWJgy7tfLeBmhj1u-dRFRs_8GwSoA/edit#gid=0"",""Gestores Escolares!D7:J""),6,0),""VERIFICAR CÓD SEC"")"),"")</f>
        <v/>
      </c>
      <c r="P268" s="82" t="str">
        <f>IFERROR(__xludf.DUMMYFUNCTION("IFERROR(VLOOKUP(D268,
IMPORTRANGE(""https://docs.google.com/spreadsheets/d/1MjHtlUikwobi2MaWJgy7tfLeBmhj1u-dRFRs_8GwSoA/edit#gid=0"",""Gestores Escolares!D7:J""),7,0),""VERIFICAR CÓD SEC"")"),"")</f>
        <v/>
      </c>
      <c r="Q268" s="82" t="str">
        <f>IFERROR(__xludf.DUMMYFUNCTION("IFERROR(VLOOKUP(D268,
IMPORTRANGE(""https://docs.google.com/spreadsheets/d/1MjHtlUikwobi2MaWJgy7tfLeBmhj1u-dRFRs_8GwSoA/edit#gid=0"",""Gestores Escolares!D7:m""),9,0),""VERIFICAR CÓD SEC"")"),"")</f>
        <v/>
      </c>
      <c r="R268" s="82" t="str">
        <f>IFERROR(__xludf.DUMMYFUNCTION("IFERROR(VLOOKUP(D268,
IMPORTRANGE(""https://docs.google.com/spreadsheets/d/1MjHtlUikwobi2MaWJgy7tfLeBmhj1u-dRFRs_8GwSoA/edit#gid=0"",""Gestores Escolares!D7:m""),10,0),""VERIFICAR CÓD SEC"")"),"")</f>
        <v/>
      </c>
      <c r="S268" s="82"/>
      <c r="T268" s="138">
        <v>8.0</v>
      </c>
      <c r="U268" s="139" t="s">
        <v>171</v>
      </c>
      <c r="V268" s="106">
        <v>0.0</v>
      </c>
      <c r="W268" s="107">
        <v>0.0</v>
      </c>
      <c r="X268" s="107">
        <v>0.0</v>
      </c>
      <c r="Y268" s="107">
        <v>0.0</v>
      </c>
      <c r="Z268" s="80">
        <f t="shared" si="1"/>
        <v>0</v>
      </c>
      <c r="AA268" s="106">
        <v>0.0</v>
      </c>
      <c r="AB268" s="107">
        <v>0.0</v>
      </c>
      <c r="AC268" s="107">
        <v>0.0</v>
      </c>
      <c r="AD268" s="107">
        <v>114.0</v>
      </c>
      <c r="AE268" s="80">
        <f t="shared" si="2"/>
        <v>114</v>
      </c>
      <c r="AF268" s="225">
        <v>0.0</v>
      </c>
      <c r="AG268" s="226">
        <v>0.0</v>
      </c>
      <c r="AH268" s="226">
        <v>0.0</v>
      </c>
      <c r="AI268" s="227">
        <v>81.0</v>
      </c>
      <c r="AJ268" s="80">
        <f t="shared" si="3"/>
        <v>81</v>
      </c>
      <c r="AK268" s="140">
        <v>0.0</v>
      </c>
      <c r="AL268" s="109">
        <v>0.0</v>
      </c>
      <c r="AM268" s="141">
        <v>0.0</v>
      </c>
      <c r="AN268" s="80">
        <f t="shared" si="4"/>
        <v>0</v>
      </c>
      <c r="AO268" s="225">
        <v>0.0</v>
      </c>
      <c r="AP268" s="226">
        <v>0.0</v>
      </c>
      <c r="AQ268" s="226">
        <v>0.0</v>
      </c>
      <c r="AR268" s="80">
        <f t="shared" si="5"/>
        <v>0</v>
      </c>
      <c r="AS268" s="110">
        <v>0.0</v>
      </c>
      <c r="AT268" s="110">
        <v>0.0</v>
      </c>
      <c r="AU268" s="110">
        <v>0.0</v>
      </c>
      <c r="AV268" s="142">
        <v>0.0</v>
      </c>
      <c r="AW268" s="80">
        <f t="shared" si="6"/>
        <v>0</v>
      </c>
      <c r="AX268" s="113">
        <f t="shared" si="7"/>
        <v>195</v>
      </c>
      <c r="AY268" s="117">
        <f t="shared" si="8"/>
        <v>195</v>
      </c>
      <c r="AZ268" s="120">
        <f t="shared" si="9"/>
        <v>0</v>
      </c>
      <c r="BA268" s="115">
        <v>0.0</v>
      </c>
      <c r="BB268" s="89">
        <f t="shared" si="10"/>
        <v>195</v>
      </c>
      <c r="BC268" s="132" t="s">
        <v>178</v>
      </c>
      <c r="BD268" s="132" t="s">
        <v>178</v>
      </c>
      <c r="BE268" s="132" t="s">
        <v>178</v>
      </c>
      <c r="BF268" s="123"/>
      <c r="BG268" s="83">
        <v>1178419.0</v>
      </c>
      <c r="BH268" s="112"/>
      <c r="BI268" s="112">
        <v>8.0</v>
      </c>
      <c r="BJ268" s="98" t="s">
        <v>155</v>
      </c>
      <c r="BK268" s="99">
        <f t="shared" si="11"/>
        <v>195</v>
      </c>
      <c r="BL268" s="99">
        <f t="shared" si="12"/>
        <v>0</v>
      </c>
      <c r="BM268" s="99" t="str">
        <f>IFERROR(__xludf.DUMMYFUNCTION("IFERROR(VLOOKUP(BG268,IMPORTRANGE(""https://docs.google.com/spreadsheets/d/1juPI-Fb8LD0YtltB2mlGEnp_R3UVu1t3wSFPzgCyHXE/edit?gid=0#gid=0"",""GERAL!A2:C""),3,0),""-"")"),"EFA")</f>
        <v>EFA</v>
      </c>
    </row>
    <row r="269" ht="15.75" customHeight="1">
      <c r="A269" s="111" t="s">
        <v>383</v>
      </c>
      <c r="B269" s="83" t="s">
        <v>1163</v>
      </c>
      <c r="C269" s="83" t="s">
        <v>68</v>
      </c>
      <c r="D269" s="112">
        <v>1178099.0</v>
      </c>
      <c r="E269" s="83"/>
      <c r="F269" s="83">
        <v>2.9431573E7</v>
      </c>
      <c r="G269" s="119" t="s">
        <v>1168</v>
      </c>
      <c r="H269" s="91" t="s">
        <v>1169</v>
      </c>
      <c r="I269" s="83" t="s">
        <v>149</v>
      </c>
      <c r="J269" s="83" t="s">
        <v>150</v>
      </c>
      <c r="K269" s="83" t="s">
        <v>151</v>
      </c>
      <c r="L269" s="98" t="s">
        <v>230</v>
      </c>
      <c r="M269" s="82" t="str">
        <f>IFERROR(__xludf.DUMMYFUNCTION("IFERROR(VLOOKUP(D269,
IMPORTRANGE(""https://docs.google.com/spreadsheets/d/1MjHtlUikwobi2MaWJgy7tfLeBmhj1u-dRFRs_8GwSoA/edit#gid=0"",""Gestores Escolares!D7:J""),3,0),""VERIFICAR CÓD SEC"")"),"ISAAC BATISTA VILAS BOAS")</f>
        <v>ISAAC BATISTA VILAS BOAS</v>
      </c>
      <c r="N269" s="82" t="str">
        <f>IFERROR(__xludf.DUMMYFUNCTION("IFERROR(VLOOKUP(D269,
IMPORTRANGE(""https://docs.google.com/spreadsheets/d/1MjHtlUikwobi2MaWJgy7tfLeBmhj1u-dRFRs_8GwSoA/edit#gid=0"",""Gestores Escolares!D7:J""),4,0),""VERIFICAR CÓD SEC"")"),"(74) 9 9195-7667")</f>
        <v>(74) 9 9195-7667</v>
      </c>
      <c r="O269" s="82" t="str">
        <f>IFERROR(__xludf.DUMMYFUNCTION("IFERROR(VLOOKUP(D269,
IMPORTRANGE(""https://docs.google.com/spreadsheets/d/1MjHtlUikwobi2MaWJgy7tfLeBmhj1u-dRFRs_8GwSoA/edit#gid=0"",""Gestores Escolares!D7:J""),6,0),""VERIFICAR CÓD SEC"")"),"GILSE CAMPOS CARVALHO SPITZBARTH")</f>
        <v>GILSE CAMPOS CARVALHO SPITZBARTH</v>
      </c>
      <c r="P269" s="82" t="str">
        <f>IFERROR(__xludf.DUMMYFUNCTION("IFERROR(VLOOKUP(D269,
IMPORTRANGE(""https://docs.google.com/spreadsheets/d/1MjHtlUikwobi2MaWJgy7tfLeBmhj1u-dRFRs_8GwSoA/edit#gid=0"",""Gestores Escolares!D7:J""),7,0),""VERIFICAR CÓD SEC"")"),"(71) 9 9114-4339")</f>
        <v>(71) 9 9114-4339</v>
      </c>
      <c r="Q269" s="82" t="str">
        <f>IFERROR(__xludf.DUMMYFUNCTION("IFERROR(VLOOKUP(D269,
IMPORTRANGE(""https://docs.google.com/spreadsheets/d/1MjHtlUikwobi2MaWJgy7tfLeBmhj1u-dRFRs_8GwSoA/edit#gid=0"",""Gestores Escolares!D7:m""),9,0),""VERIFICAR CÓD SEC"")"),"MARIA AMALIA BARBOSA PINTO CARVALHO")</f>
        <v>MARIA AMALIA BARBOSA PINTO CARVALHO</v>
      </c>
      <c r="R269" s="82" t="str">
        <f>IFERROR(__xludf.DUMMYFUNCTION("IFERROR(VLOOKUP(D269,
IMPORTRANGE(""https://docs.google.com/spreadsheets/d/1MjHtlUikwobi2MaWJgy7tfLeBmhj1u-dRFRs_8GwSoA/edit#gid=0"",""Gestores Escolares!D7:m""),10,0),""VERIFICAR CÓD SEC"")"),"(71) 9 9962-2490")</f>
        <v>(71) 9 9962-2490</v>
      </c>
      <c r="S269" s="82"/>
      <c r="T269" s="138">
        <v>11.0</v>
      </c>
      <c r="U269" s="145" t="s">
        <v>3748</v>
      </c>
      <c r="V269" s="106">
        <v>0.0</v>
      </c>
      <c r="W269" s="107">
        <v>0.0</v>
      </c>
      <c r="X269" s="107">
        <v>0.0</v>
      </c>
      <c r="Y269" s="107">
        <v>0.0</v>
      </c>
      <c r="Z269" s="80">
        <f t="shared" si="1"/>
        <v>0</v>
      </c>
      <c r="AA269" s="106">
        <v>0.0</v>
      </c>
      <c r="AB269" s="107">
        <v>0.0</v>
      </c>
      <c r="AC269" s="107">
        <v>0.0</v>
      </c>
      <c r="AD269" s="107">
        <v>0.0</v>
      </c>
      <c r="AE269" s="80">
        <f t="shared" si="2"/>
        <v>0</v>
      </c>
      <c r="AF269" s="140">
        <v>48.0</v>
      </c>
      <c r="AG269" s="109">
        <v>0.0</v>
      </c>
      <c r="AH269" s="109">
        <v>0.0</v>
      </c>
      <c r="AI269" s="141">
        <v>530.0</v>
      </c>
      <c r="AJ269" s="80">
        <f t="shared" si="3"/>
        <v>578</v>
      </c>
      <c r="AK269" s="140">
        <v>0.0</v>
      </c>
      <c r="AL269" s="109">
        <v>0.0</v>
      </c>
      <c r="AM269" s="141">
        <v>0.0</v>
      </c>
      <c r="AN269" s="80">
        <f t="shared" si="4"/>
        <v>0</v>
      </c>
      <c r="AO269" s="140">
        <v>0.0</v>
      </c>
      <c r="AP269" s="109">
        <v>0.0</v>
      </c>
      <c r="AQ269" s="109">
        <v>111.0</v>
      </c>
      <c r="AR269" s="80">
        <f t="shared" si="5"/>
        <v>111</v>
      </c>
      <c r="AS269" s="110">
        <v>0.0</v>
      </c>
      <c r="AT269" s="110">
        <v>0.0</v>
      </c>
      <c r="AU269" s="110">
        <v>156.0</v>
      </c>
      <c r="AV269" s="142">
        <v>26.0</v>
      </c>
      <c r="AW269" s="80">
        <f t="shared" si="6"/>
        <v>182</v>
      </c>
      <c r="AX269" s="113">
        <f t="shared" si="7"/>
        <v>871</v>
      </c>
      <c r="AY269" s="117">
        <f t="shared" si="8"/>
        <v>604</v>
      </c>
      <c r="AZ269" s="120">
        <f t="shared" si="9"/>
        <v>267</v>
      </c>
      <c r="BA269" s="115">
        <v>0.0</v>
      </c>
      <c r="BB269" s="89">
        <f t="shared" si="10"/>
        <v>871</v>
      </c>
      <c r="BC269" s="132" t="s">
        <v>178</v>
      </c>
      <c r="BD269" s="132" t="s">
        <v>178</v>
      </c>
      <c r="BE269" s="132" t="s">
        <v>178</v>
      </c>
      <c r="BF269" s="123"/>
      <c r="BG269" s="83">
        <v>1178099.0</v>
      </c>
      <c r="BH269" s="112"/>
      <c r="BI269" s="112">
        <v>11.0</v>
      </c>
      <c r="BJ269" s="98" t="s">
        <v>176</v>
      </c>
      <c r="BK269" s="99">
        <f t="shared" si="11"/>
        <v>556</v>
      </c>
      <c r="BL269" s="99">
        <f t="shared" si="12"/>
        <v>48</v>
      </c>
      <c r="BM269" s="99" t="str">
        <f>IFERROR(__xludf.DUMMYFUNCTION("IFERROR(VLOOKUP(BG269,IMPORTRANGE(""https://docs.google.com/spreadsheets/d/1juPI-Fb8LD0YtltB2mlGEnp_R3UVu1t3wSFPzgCyHXE/edit?gid=0#gid=0"",""GERAL!A2:C""),3,0),""-"")"),"-")</f>
        <v>-</v>
      </c>
    </row>
    <row r="270" ht="15.75" customHeight="1">
      <c r="A270" s="111" t="s">
        <v>383</v>
      </c>
      <c r="B270" s="83" t="s">
        <v>1163</v>
      </c>
      <c r="C270" s="83" t="s">
        <v>68</v>
      </c>
      <c r="D270" s="112">
        <v>1178273.0</v>
      </c>
      <c r="E270" s="83"/>
      <c r="F270" s="83">
        <v>2.9447763E7</v>
      </c>
      <c r="G270" s="218" t="s">
        <v>1171</v>
      </c>
      <c r="H270" s="91" t="s">
        <v>1172</v>
      </c>
      <c r="I270" s="136" t="s">
        <v>149</v>
      </c>
      <c r="J270" s="136" t="s">
        <v>1173</v>
      </c>
      <c r="K270" s="136" t="s">
        <v>151</v>
      </c>
      <c r="L270" s="115" t="s">
        <v>76</v>
      </c>
      <c r="M270" s="82" t="str">
        <f>IFERROR(__xludf.DUMMYFUNCTION("IFERROR(VLOOKUP(D270,
IMPORTRANGE(""https://docs.google.com/spreadsheets/d/1MjHtlUikwobi2MaWJgy7tfLeBmhj1u-dRFRs_8GwSoA/edit#gid=0"",""Gestores Escolares!D7:J""),3,0),""VERIFICAR CÓD SEC"")"),"RENATA SILVA DE FREITAS SANTOS")</f>
        <v>RENATA SILVA DE FREITAS SANTOS</v>
      </c>
      <c r="N270" s="82" t="str">
        <f>IFERROR(__xludf.DUMMYFUNCTION("IFERROR(VLOOKUP(D270,
IMPORTRANGE(""https://docs.google.com/spreadsheets/d/1MjHtlUikwobi2MaWJgy7tfLeBmhj1u-dRFRs_8GwSoA/edit#gid=0"",""Gestores Escolares!D7:J""),4,0),""VERIFICAR CÓD SEC"")"),"(74) 9 9137-7962")</f>
        <v>(74) 9 9137-7962</v>
      </c>
      <c r="O270" s="82" t="str">
        <f>IFERROR(__xludf.DUMMYFUNCTION("IFERROR(VLOOKUP(D270,
IMPORTRANGE(""https://docs.google.com/spreadsheets/d/1MjHtlUikwobi2MaWJgy7tfLeBmhj1u-dRFRs_8GwSoA/edit#gid=0"",""Gestores Escolares!D7:J""),6,0),""VERIFICAR CÓD SEC"")"),"SEM VICE - HELLEY - COORDENADORA PEDAGÓGICA")</f>
        <v>SEM VICE - HELLEY - COORDENADORA PEDAGÓGICA</v>
      </c>
      <c r="P270" s="82" t="str">
        <f>IFERROR(__xludf.DUMMYFUNCTION("IFERROR(VLOOKUP(D270,
IMPORTRANGE(""https://docs.google.com/spreadsheets/d/1MjHtlUikwobi2MaWJgy7tfLeBmhj1u-dRFRs_8GwSoA/edit#gid=0"",""Gestores Escolares!D7:J""),7,0),""VERIFICAR CÓD SEC"")"),"(75) 9 8871-8260")</f>
        <v>(75) 9 8871-8260</v>
      </c>
      <c r="Q270" s="82" t="str">
        <f>IFERROR(__xludf.DUMMYFUNCTION("IFERROR(VLOOKUP(D270,
IMPORTRANGE(""https://docs.google.com/spreadsheets/d/1MjHtlUikwobi2MaWJgy7tfLeBmhj1u-dRFRs_8GwSoA/edit#gid=0"",""Gestores Escolares!D7:m""),9,0),""VERIFICAR CÓD SEC"")"),"")</f>
        <v/>
      </c>
      <c r="R270" s="82" t="str">
        <f>IFERROR(__xludf.DUMMYFUNCTION("IFERROR(VLOOKUP(D270,
IMPORTRANGE(""https://docs.google.com/spreadsheets/d/1MjHtlUikwobi2MaWJgy7tfLeBmhj1u-dRFRs_8GwSoA/edit#gid=0"",""Gestores Escolares!D7:m""),10,0),""VERIFICAR CÓD SEC"")"),"")</f>
        <v/>
      </c>
      <c r="S270" s="82"/>
      <c r="T270" s="138">
        <v>7.0</v>
      </c>
      <c r="U270" s="145" t="s">
        <v>3763</v>
      </c>
      <c r="V270" s="106">
        <v>0.0</v>
      </c>
      <c r="W270" s="107">
        <v>0.0</v>
      </c>
      <c r="X270" s="107">
        <v>0.0</v>
      </c>
      <c r="Y270" s="107">
        <v>0.0</v>
      </c>
      <c r="Z270" s="80">
        <f t="shared" si="1"/>
        <v>0</v>
      </c>
      <c r="AA270" s="106">
        <v>0.0</v>
      </c>
      <c r="AB270" s="107">
        <v>0.0</v>
      </c>
      <c r="AC270" s="107">
        <v>0.0</v>
      </c>
      <c r="AD270" s="107">
        <v>0.0</v>
      </c>
      <c r="AE270" s="80">
        <f t="shared" si="2"/>
        <v>0</v>
      </c>
      <c r="AF270" s="222">
        <v>0.0</v>
      </c>
      <c r="AG270" s="222">
        <v>31.0</v>
      </c>
      <c r="AH270" s="222">
        <v>0.0</v>
      </c>
      <c r="AI270" s="224">
        <v>121.0</v>
      </c>
      <c r="AJ270" s="80">
        <f t="shared" si="3"/>
        <v>152</v>
      </c>
      <c r="AK270" s="140">
        <v>0.0</v>
      </c>
      <c r="AL270" s="109">
        <v>0.0</v>
      </c>
      <c r="AM270" s="141">
        <v>0.0</v>
      </c>
      <c r="AN270" s="80">
        <f t="shared" si="4"/>
        <v>0</v>
      </c>
      <c r="AO270" s="222">
        <v>0.0</v>
      </c>
      <c r="AP270" s="222">
        <v>0.0</v>
      </c>
      <c r="AQ270" s="224">
        <v>31.0</v>
      </c>
      <c r="AR270" s="80">
        <f t="shared" si="5"/>
        <v>31</v>
      </c>
      <c r="AS270" s="110">
        <v>0.0</v>
      </c>
      <c r="AT270" s="110">
        <v>6.0</v>
      </c>
      <c r="AU270" s="110">
        <v>43.0</v>
      </c>
      <c r="AV270" s="142">
        <v>0.0</v>
      </c>
      <c r="AW270" s="80">
        <f t="shared" si="6"/>
        <v>49</v>
      </c>
      <c r="AX270" s="113">
        <f t="shared" si="7"/>
        <v>232</v>
      </c>
      <c r="AY270" s="117">
        <f t="shared" si="8"/>
        <v>158</v>
      </c>
      <c r="AZ270" s="120">
        <f t="shared" si="9"/>
        <v>74</v>
      </c>
      <c r="BA270" s="115">
        <v>0.0</v>
      </c>
      <c r="BB270" s="89">
        <f t="shared" si="10"/>
        <v>232</v>
      </c>
      <c r="BC270" s="132" t="s">
        <v>373</v>
      </c>
      <c r="BD270" s="132" t="s">
        <v>178</v>
      </c>
      <c r="BE270" s="132" t="s">
        <v>178</v>
      </c>
      <c r="BF270" s="123"/>
      <c r="BG270" s="83">
        <v>1178273.0</v>
      </c>
      <c r="BH270" s="112"/>
      <c r="BI270" s="112">
        <v>7.0</v>
      </c>
      <c r="BJ270" s="98" t="s">
        <v>155</v>
      </c>
      <c r="BK270" s="99">
        <f t="shared" si="11"/>
        <v>121</v>
      </c>
      <c r="BL270" s="99">
        <f t="shared" si="12"/>
        <v>37</v>
      </c>
      <c r="BM270" s="99" t="str">
        <f>IFERROR(__xludf.DUMMYFUNCTION("IFERROR(VLOOKUP(BG270,IMPORTRANGE(""https://docs.google.com/spreadsheets/d/1juPI-Fb8LD0YtltB2mlGEnp_R3UVu1t3wSFPzgCyHXE/edit?gid=0#gid=0"",""GERAL!A2:C""),3,0),""-"")"),"CAMPO")</f>
        <v>CAMPO</v>
      </c>
    </row>
    <row r="271" ht="15.75" customHeight="1">
      <c r="A271" s="111" t="s">
        <v>383</v>
      </c>
      <c r="B271" s="83" t="s">
        <v>1163</v>
      </c>
      <c r="C271" s="83" t="s">
        <v>164</v>
      </c>
      <c r="D271" s="112">
        <v>1178099.0</v>
      </c>
      <c r="E271" s="83">
        <v>1178996.0</v>
      </c>
      <c r="F271" s="98">
        <v>2.9490278E7</v>
      </c>
      <c r="G271" s="185" t="s">
        <v>1175</v>
      </c>
      <c r="H271" s="91" t="s">
        <v>1176</v>
      </c>
      <c r="I271" s="83" t="s">
        <v>149</v>
      </c>
      <c r="J271" s="136" t="s">
        <v>240</v>
      </c>
      <c r="K271" s="83" t="s">
        <v>151</v>
      </c>
      <c r="L271" s="83" t="s">
        <v>169</v>
      </c>
      <c r="M271" s="82" t="str">
        <f>IFERROR(__xludf.DUMMYFUNCTION("IFERROR(VLOOKUP(D271,
IMPORTRANGE(""https://docs.google.com/spreadsheets/d/1MjHtlUikwobi2MaWJgy7tfLeBmhj1u-dRFRs_8GwSoA/edit#gid=0"",""Gestores Escolares!D7:J""),3,0),""VERIFICAR CÓD SEC"")"),"ISAAC BATISTA VILAS BOAS")</f>
        <v>ISAAC BATISTA VILAS BOAS</v>
      </c>
      <c r="N271" s="82" t="str">
        <f>IFERROR(__xludf.DUMMYFUNCTION("IFERROR(VLOOKUP(D271,
IMPORTRANGE(""https://docs.google.com/spreadsheets/d/1MjHtlUikwobi2MaWJgy7tfLeBmhj1u-dRFRs_8GwSoA/edit#gid=0"",""Gestores Escolares!D7:J""),4,0),""VERIFICAR CÓD SEC"")"),"(74) 9 9195-7667")</f>
        <v>(74) 9 9195-7667</v>
      </c>
      <c r="O271" s="82" t="str">
        <f>IFERROR(__xludf.DUMMYFUNCTION("IFERROR(VLOOKUP(D271,
IMPORTRANGE(""https://docs.google.com/spreadsheets/d/1MjHtlUikwobi2MaWJgy7tfLeBmhj1u-dRFRs_8GwSoA/edit#gid=0"",""Gestores Escolares!D7:J""),6,0),""VERIFICAR CÓD SEC"")"),"GILSE CAMPOS CARVALHO SPITZBARTH")</f>
        <v>GILSE CAMPOS CARVALHO SPITZBARTH</v>
      </c>
      <c r="P271" s="82" t="str">
        <f>IFERROR(__xludf.DUMMYFUNCTION("IFERROR(VLOOKUP(D271,
IMPORTRANGE(""https://docs.google.com/spreadsheets/d/1MjHtlUikwobi2MaWJgy7tfLeBmhj1u-dRFRs_8GwSoA/edit#gid=0"",""Gestores Escolares!D7:J""),7,0),""VERIFICAR CÓD SEC"")"),"(71) 9 9114-4339")</f>
        <v>(71) 9 9114-4339</v>
      </c>
      <c r="Q271" s="82" t="str">
        <f>IFERROR(__xludf.DUMMYFUNCTION("IFERROR(VLOOKUP(D271,
IMPORTRANGE(""https://docs.google.com/spreadsheets/d/1MjHtlUikwobi2MaWJgy7tfLeBmhj1u-dRFRs_8GwSoA/edit#gid=0"",""Gestores Escolares!D7:m""),9,0),""VERIFICAR CÓD SEC"")"),"MARIA AMALIA BARBOSA PINTO CARVALHO")</f>
        <v>MARIA AMALIA BARBOSA PINTO CARVALHO</v>
      </c>
      <c r="R271" s="82" t="str">
        <f>IFERROR(__xludf.DUMMYFUNCTION("IFERROR(VLOOKUP(D271,
IMPORTRANGE(""https://docs.google.com/spreadsheets/d/1MjHtlUikwobi2MaWJgy7tfLeBmhj1u-dRFRs_8GwSoA/edit#gid=0"",""Gestores Escolares!D7:m""),10,0),""VERIFICAR CÓD SEC"")"),"(71) 9 9962-2490")</f>
        <v>(71) 9 9962-2490</v>
      </c>
      <c r="S271" s="82"/>
      <c r="T271" s="138">
        <v>3.0</v>
      </c>
      <c r="U271" s="139">
        <v>3.0</v>
      </c>
      <c r="V271" s="106">
        <v>0.0</v>
      </c>
      <c r="W271" s="107">
        <v>0.0</v>
      </c>
      <c r="X271" s="107">
        <v>0.0</v>
      </c>
      <c r="Y271" s="107">
        <v>0.0</v>
      </c>
      <c r="Z271" s="80">
        <f t="shared" si="1"/>
        <v>0</v>
      </c>
      <c r="AA271" s="106">
        <v>0.0</v>
      </c>
      <c r="AB271" s="107">
        <v>0.0</v>
      </c>
      <c r="AC271" s="107">
        <v>0.0</v>
      </c>
      <c r="AD271" s="107">
        <v>0.0</v>
      </c>
      <c r="AE271" s="80">
        <f t="shared" si="2"/>
        <v>0</v>
      </c>
      <c r="AF271" s="140">
        <v>0.0</v>
      </c>
      <c r="AG271" s="109">
        <v>30.0</v>
      </c>
      <c r="AH271" s="109">
        <v>0.0</v>
      </c>
      <c r="AI271" s="141">
        <v>0.0</v>
      </c>
      <c r="AJ271" s="80">
        <f t="shared" si="3"/>
        <v>30</v>
      </c>
      <c r="AK271" s="140">
        <v>0.0</v>
      </c>
      <c r="AL271" s="109">
        <v>0.0</v>
      </c>
      <c r="AM271" s="141">
        <v>0.0</v>
      </c>
      <c r="AN271" s="80">
        <f t="shared" si="4"/>
        <v>0</v>
      </c>
      <c r="AO271" s="140">
        <v>0.0</v>
      </c>
      <c r="AP271" s="109">
        <v>0.0</v>
      </c>
      <c r="AQ271" s="109">
        <v>0.0</v>
      </c>
      <c r="AR271" s="80">
        <f t="shared" si="5"/>
        <v>0</v>
      </c>
      <c r="AS271" s="110">
        <v>0.0</v>
      </c>
      <c r="AT271" s="110">
        <v>0.0</v>
      </c>
      <c r="AU271" s="110">
        <v>22.0</v>
      </c>
      <c r="AV271" s="142">
        <v>0.0</v>
      </c>
      <c r="AW271" s="80">
        <f t="shared" si="6"/>
        <v>22</v>
      </c>
      <c r="AX271" s="113">
        <f t="shared" si="7"/>
        <v>52</v>
      </c>
      <c r="AY271" s="117">
        <f t="shared" si="8"/>
        <v>30</v>
      </c>
      <c r="AZ271" s="120">
        <f t="shared" si="9"/>
        <v>22</v>
      </c>
      <c r="BA271" s="115">
        <v>0.0</v>
      </c>
      <c r="BB271" s="89">
        <f t="shared" si="10"/>
        <v>52</v>
      </c>
      <c r="BC271" s="132" t="s">
        <v>373</v>
      </c>
      <c r="BD271" s="132" t="s">
        <v>178</v>
      </c>
      <c r="BE271" s="132" t="s">
        <v>178</v>
      </c>
      <c r="BF271" s="123"/>
      <c r="BG271" s="83">
        <v>1178996.0</v>
      </c>
      <c r="BH271" s="112"/>
      <c r="BI271" s="112">
        <v>3.0</v>
      </c>
      <c r="BJ271" s="98" t="s">
        <v>155</v>
      </c>
      <c r="BK271" s="99">
        <f t="shared" si="11"/>
        <v>0</v>
      </c>
      <c r="BL271" s="99">
        <f t="shared" si="12"/>
        <v>30</v>
      </c>
      <c r="BM271" s="99" t="str">
        <f>IFERROR(__xludf.DUMMYFUNCTION("IFERROR(VLOOKUP(BG271,IMPORTRANGE(""https://docs.google.com/spreadsheets/d/1juPI-Fb8LD0YtltB2mlGEnp_R3UVu1t3wSFPzgCyHXE/edit?gid=0#gid=0"",""GERAL!A2:C""),3,0),""-"")"),"CAMPO")</f>
        <v>CAMPO</v>
      </c>
    </row>
    <row r="272" ht="15.75" customHeight="1">
      <c r="A272" s="111" t="s">
        <v>383</v>
      </c>
      <c r="B272" s="83" t="s">
        <v>1163</v>
      </c>
      <c r="C272" s="83" t="s">
        <v>164</v>
      </c>
      <c r="D272" s="112">
        <v>1178099.0</v>
      </c>
      <c r="E272" s="83">
        <v>1178994.0</v>
      </c>
      <c r="F272" s="98">
        <v>2.949026E7</v>
      </c>
      <c r="G272" s="185" t="s">
        <v>1177</v>
      </c>
      <c r="H272" s="91" t="s">
        <v>1178</v>
      </c>
      <c r="I272" s="83" t="s">
        <v>1179</v>
      </c>
      <c r="J272" s="83" t="s">
        <v>822</v>
      </c>
      <c r="K272" s="83" t="s">
        <v>151</v>
      </c>
      <c r="L272" s="83" t="s">
        <v>512</v>
      </c>
      <c r="M272" s="82" t="str">
        <f>IFERROR(__xludf.DUMMYFUNCTION("IFERROR(VLOOKUP(D272,
IMPORTRANGE(""https://docs.google.com/spreadsheets/d/1MjHtlUikwobi2MaWJgy7tfLeBmhj1u-dRFRs_8GwSoA/edit#gid=0"",""Gestores Escolares!D7:J""),3,0),""VERIFICAR CÓD SEC"")"),"ISAAC BATISTA VILAS BOAS")</f>
        <v>ISAAC BATISTA VILAS BOAS</v>
      </c>
      <c r="N272" s="82" t="str">
        <f>IFERROR(__xludf.DUMMYFUNCTION("IFERROR(VLOOKUP(D272,
IMPORTRANGE(""https://docs.google.com/spreadsheets/d/1MjHtlUikwobi2MaWJgy7tfLeBmhj1u-dRFRs_8GwSoA/edit#gid=0"",""Gestores Escolares!D7:J""),4,0),""VERIFICAR CÓD SEC"")"),"(74) 9 9195-7667")</f>
        <v>(74) 9 9195-7667</v>
      </c>
      <c r="O272" s="82" t="str">
        <f>IFERROR(__xludf.DUMMYFUNCTION("IFERROR(VLOOKUP(D272,
IMPORTRANGE(""https://docs.google.com/spreadsheets/d/1MjHtlUikwobi2MaWJgy7tfLeBmhj1u-dRFRs_8GwSoA/edit#gid=0"",""Gestores Escolares!D7:J""),6,0),""VERIFICAR CÓD SEC"")"),"GILSE CAMPOS CARVALHO SPITZBARTH")</f>
        <v>GILSE CAMPOS CARVALHO SPITZBARTH</v>
      </c>
      <c r="P272" s="82" t="str">
        <f>IFERROR(__xludf.DUMMYFUNCTION("IFERROR(VLOOKUP(D272,
IMPORTRANGE(""https://docs.google.com/spreadsheets/d/1MjHtlUikwobi2MaWJgy7tfLeBmhj1u-dRFRs_8GwSoA/edit#gid=0"",""Gestores Escolares!D7:J""),7,0),""VERIFICAR CÓD SEC"")"),"(71) 9 9114-4339")</f>
        <v>(71) 9 9114-4339</v>
      </c>
      <c r="Q272" s="82" t="str">
        <f>IFERROR(__xludf.DUMMYFUNCTION("IFERROR(VLOOKUP(D272,
IMPORTRANGE(""https://docs.google.com/spreadsheets/d/1MjHtlUikwobi2MaWJgy7tfLeBmhj1u-dRFRs_8GwSoA/edit#gid=0"",""Gestores Escolares!D7:m""),9,0),""VERIFICAR CÓD SEC"")"),"MARIA AMALIA BARBOSA PINTO CARVALHO")</f>
        <v>MARIA AMALIA BARBOSA PINTO CARVALHO</v>
      </c>
      <c r="R272" s="82" t="str">
        <f>IFERROR(__xludf.DUMMYFUNCTION("IFERROR(VLOOKUP(D272,
IMPORTRANGE(""https://docs.google.com/spreadsheets/d/1MjHtlUikwobi2MaWJgy7tfLeBmhj1u-dRFRs_8GwSoA/edit#gid=0"",""Gestores Escolares!D7:m""),10,0),""VERIFICAR CÓD SEC"")"),"(71) 9 9962-2490")</f>
        <v>(71) 9 9962-2490</v>
      </c>
      <c r="S272" s="82"/>
      <c r="T272" s="138">
        <v>3.0</v>
      </c>
      <c r="U272" s="139">
        <v>3.0</v>
      </c>
      <c r="V272" s="106">
        <v>0.0</v>
      </c>
      <c r="W272" s="107">
        <v>0.0</v>
      </c>
      <c r="X272" s="107">
        <v>0.0</v>
      </c>
      <c r="Y272" s="107">
        <v>0.0</v>
      </c>
      <c r="Z272" s="80">
        <f t="shared" si="1"/>
        <v>0</v>
      </c>
      <c r="AA272" s="106">
        <v>0.0</v>
      </c>
      <c r="AB272" s="107">
        <v>0.0</v>
      </c>
      <c r="AC272" s="107">
        <v>0.0</v>
      </c>
      <c r="AD272" s="107">
        <v>0.0</v>
      </c>
      <c r="AE272" s="80">
        <f t="shared" si="2"/>
        <v>0</v>
      </c>
      <c r="AF272" s="140">
        <v>59.0</v>
      </c>
      <c r="AG272" s="109">
        <v>0.0</v>
      </c>
      <c r="AH272" s="109">
        <v>0.0</v>
      </c>
      <c r="AI272" s="141">
        <v>0.0</v>
      </c>
      <c r="AJ272" s="80">
        <f t="shared" si="3"/>
        <v>59</v>
      </c>
      <c r="AK272" s="140">
        <v>0.0</v>
      </c>
      <c r="AL272" s="109">
        <v>0.0</v>
      </c>
      <c r="AM272" s="141">
        <v>0.0</v>
      </c>
      <c r="AN272" s="80">
        <f t="shared" si="4"/>
        <v>0</v>
      </c>
      <c r="AO272" s="140">
        <v>0.0</v>
      </c>
      <c r="AP272" s="109">
        <v>0.0</v>
      </c>
      <c r="AQ272" s="109">
        <v>0.0</v>
      </c>
      <c r="AR272" s="80">
        <f t="shared" si="5"/>
        <v>0</v>
      </c>
      <c r="AS272" s="110">
        <v>0.0</v>
      </c>
      <c r="AT272" s="110">
        <v>0.0</v>
      </c>
      <c r="AU272" s="110">
        <v>0.0</v>
      </c>
      <c r="AV272" s="142">
        <v>0.0</v>
      </c>
      <c r="AW272" s="80">
        <f t="shared" si="6"/>
        <v>0</v>
      </c>
      <c r="AX272" s="113">
        <f t="shared" si="7"/>
        <v>59</v>
      </c>
      <c r="AY272" s="117">
        <f t="shared" si="8"/>
        <v>59</v>
      </c>
      <c r="AZ272" s="120">
        <f t="shared" si="9"/>
        <v>0</v>
      </c>
      <c r="BA272" s="115">
        <v>0.0</v>
      </c>
      <c r="BB272" s="89">
        <f t="shared" si="10"/>
        <v>59</v>
      </c>
      <c r="BC272" s="132" t="s">
        <v>373</v>
      </c>
      <c r="BD272" s="132" t="s">
        <v>178</v>
      </c>
      <c r="BE272" s="132" t="s">
        <v>178</v>
      </c>
      <c r="BF272" s="123"/>
      <c r="BG272" s="83">
        <v>1178994.0</v>
      </c>
      <c r="BH272" s="112"/>
      <c r="BI272" s="112">
        <v>3.0</v>
      </c>
      <c r="BJ272" s="98" t="s">
        <v>155</v>
      </c>
      <c r="BK272" s="99">
        <f t="shared" si="11"/>
        <v>0</v>
      </c>
      <c r="BL272" s="99">
        <f t="shared" si="12"/>
        <v>59</v>
      </c>
      <c r="BM272" s="99" t="str">
        <f>IFERROR(__xludf.DUMMYFUNCTION("IFERROR(VLOOKUP(BG272,IMPORTRANGE(""https://docs.google.com/spreadsheets/d/1juPI-Fb8LD0YtltB2mlGEnp_R3UVu1t3wSFPzgCyHXE/edit?gid=0#gid=0"",""GERAL!A2:C""),3,0),""-"")"),"CAMPO")</f>
        <v>CAMPO</v>
      </c>
    </row>
    <row r="273" ht="15.75" customHeight="1">
      <c r="A273" s="111" t="s">
        <v>383</v>
      </c>
      <c r="B273" s="83" t="s">
        <v>1163</v>
      </c>
      <c r="C273" s="83" t="s">
        <v>164</v>
      </c>
      <c r="D273" s="112">
        <v>1178099.0</v>
      </c>
      <c r="E273" s="83">
        <v>1178993.0</v>
      </c>
      <c r="F273" s="98">
        <v>2.9490251E7</v>
      </c>
      <c r="G273" s="185" t="s">
        <v>1180</v>
      </c>
      <c r="H273" s="91" t="s">
        <v>1181</v>
      </c>
      <c r="I273" s="83" t="s">
        <v>1182</v>
      </c>
      <c r="J273" s="136" t="s">
        <v>784</v>
      </c>
      <c r="K273" s="83" t="s">
        <v>151</v>
      </c>
      <c r="L273" s="83" t="s">
        <v>169</v>
      </c>
      <c r="M273" s="82" t="str">
        <f>IFERROR(__xludf.DUMMYFUNCTION("IFERROR(VLOOKUP(D273,
IMPORTRANGE(""https://docs.google.com/spreadsheets/d/1MjHtlUikwobi2MaWJgy7tfLeBmhj1u-dRFRs_8GwSoA/edit#gid=0"",""Gestores Escolares!D7:J""),3,0),""VERIFICAR CÓD SEC"")"),"ISAAC BATISTA VILAS BOAS")</f>
        <v>ISAAC BATISTA VILAS BOAS</v>
      </c>
      <c r="N273" s="82" t="str">
        <f>IFERROR(__xludf.DUMMYFUNCTION("IFERROR(VLOOKUP(D273,
IMPORTRANGE(""https://docs.google.com/spreadsheets/d/1MjHtlUikwobi2MaWJgy7tfLeBmhj1u-dRFRs_8GwSoA/edit#gid=0"",""Gestores Escolares!D7:J""),4,0),""VERIFICAR CÓD SEC"")"),"(74) 9 9195-7667")</f>
        <v>(74) 9 9195-7667</v>
      </c>
      <c r="O273" s="82" t="str">
        <f>IFERROR(__xludf.DUMMYFUNCTION("IFERROR(VLOOKUP(D273,
IMPORTRANGE(""https://docs.google.com/spreadsheets/d/1MjHtlUikwobi2MaWJgy7tfLeBmhj1u-dRFRs_8GwSoA/edit#gid=0"",""Gestores Escolares!D7:J""),6,0),""VERIFICAR CÓD SEC"")"),"GILSE CAMPOS CARVALHO SPITZBARTH")</f>
        <v>GILSE CAMPOS CARVALHO SPITZBARTH</v>
      </c>
      <c r="P273" s="82" t="str">
        <f>IFERROR(__xludf.DUMMYFUNCTION("IFERROR(VLOOKUP(D273,
IMPORTRANGE(""https://docs.google.com/spreadsheets/d/1MjHtlUikwobi2MaWJgy7tfLeBmhj1u-dRFRs_8GwSoA/edit#gid=0"",""Gestores Escolares!D7:J""),7,0),""VERIFICAR CÓD SEC"")"),"(71) 9 9114-4339")</f>
        <v>(71) 9 9114-4339</v>
      </c>
      <c r="Q273" s="82" t="str">
        <f>IFERROR(__xludf.DUMMYFUNCTION("IFERROR(VLOOKUP(D273,
IMPORTRANGE(""https://docs.google.com/spreadsheets/d/1MjHtlUikwobi2MaWJgy7tfLeBmhj1u-dRFRs_8GwSoA/edit#gid=0"",""Gestores Escolares!D7:m""),9,0),""VERIFICAR CÓD SEC"")"),"MARIA AMALIA BARBOSA PINTO CARVALHO")</f>
        <v>MARIA AMALIA BARBOSA PINTO CARVALHO</v>
      </c>
      <c r="R273" s="82" t="str">
        <f>IFERROR(__xludf.DUMMYFUNCTION("IFERROR(VLOOKUP(D273,
IMPORTRANGE(""https://docs.google.com/spreadsheets/d/1MjHtlUikwobi2MaWJgy7tfLeBmhj1u-dRFRs_8GwSoA/edit#gid=0"",""Gestores Escolares!D7:m""),10,0),""VERIFICAR CÓD SEC"")"),"(71) 9 9962-2490")</f>
        <v>(71) 9 9962-2490</v>
      </c>
      <c r="S273" s="82"/>
      <c r="T273" s="138">
        <v>3.0</v>
      </c>
      <c r="U273" s="139">
        <v>3.0</v>
      </c>
      <c r="V273" s="106">
        <v>0.0</v>
      </c>
      <c r="W273" s="107">
        <v>0.0</v>
      </c>
      <c r="X273" s="107">
        <v>0.0</v>
      </c>
      <c r="Y273" s="107">
        <v>0.0</v>
      </c>
      <c r="Z273" s="80">
        <f t="shared" si="1"/>
        <v>0</v>
      </c>
      <c r="AA273" s="106">
        <v>0.0</v>
      </c>
      <c r="AB273" s="107">
        <v>0.0</v>
      </c>
      <c r="AC273" s="107">
        <v>0.0</v>
      </c>
      <c r="AD273" s="107">
        <v>0.0</v>
      </c>
      <c r="AE273" s="80">
        <f t="shared" si="2"/>
        <v>0</v>
      </c>
      <c r="AF273" s="140">
        <v>0.0</v>
      </c>
      <c r="AG273" s="109">
        <v>84.0</v>
      </c>
      <c r="AH273" s="109">
        <v>0.0</v>
      </c>
      <c r="AI273" s="141">
        <v>0.0</v>
      </c>
      <c r="AJ273" s="80">
        <f t="shared" si="3"/>
        <v>84</v>
      </c>
      <c r="AK273" s="140">
        <v>0.0</v>
      </c>
      <c r="AL273" s="109">
        <v>0.0</v>
      </c>
      <c r="AM273" s="141">
        <v>0.0</v>
      </c>
      <c r="AN273" s="80">
        <f t="shared" si="4"/>
        <v>0</v>
      </c>
      <c r="AO273" s="140">
        <v>0.0</v>
      </c>
      <c r="AP273" s="109">
        <v>0.0</v>
      </c>
      <c r="AQ273" s="109">
        <v>18.0</v>
      </c>
      <c r="AR273" s="80">
        <f t="shared" si="5"/>
        <v>18</v>
      </c>
      <c r="AS273" s="110">
        <v>0.0</v>
      </c>
      <c r="AT273" s="110">
        <v>0.0</v>
      </c>
      <c r="AU273" s="110">
        <v>0.0</v>
      </c>
      <c r="AV273" s="142">
        <v>0.0</v>
      </c>
      <c r="AW273" s="80">
        <f t="shared" si="6"/>
        <v>0</v>
      </c>
      <c r="AX273" s="113">
        <f t="shared" si="7"/>
        <v>102</v>
      </c>
      <c r="AY273" s="117">
        <f t="shared" si="8"/>
        <v>84</v>
      </c>
      <c r="AZ273" s="120">
        <f t="shared" si="9"/>
        <v>18</v>
      </c>
      <c r="BA273" s="115">
        <v>0.0</v>
      </c>
      <c r="BB273" s="89">
        <f t="shared" si="10"/>
        <v>102</v>
      </c>
      <c r="BC273" s="132" t="s">
        <v>373</v>
      </c>
      <c r="BD273" s="132" t="s">
        <v>178</v>
      </c>
      <c r="BE273" s="132" t="s">
        <v>178</v>
      </c>
      <c r="BF273" s="123"/>
      <c r="BG273" s="83">
        <v>1178993.0</v>
      </c>
      <c r="BH273" s="112"/>
      <c r="BI273" s="112">
        <v>3.0</v>
      </c>
      <c r="BJ273" s="98" t="s">
        <v>155</v>
      </c>
      <c r="BK273" s="99">
        <f t="shared" si="11"/>
        <v>0</v>
      </c>
      <c r="BL273" s="99">
        <f t="shared" si="12"/>
        <v>84</v>
      </c>
      <c r="BM273" s="99" t="str">
        <f>IFERROR(__xludf.DUMMYFUNCTION("IFERROR(VLOOKUP(BG273,IMPORTRANGE(""https://docs.google.com/spreadsheets/d/1juPI-Fb8LD0YtltB2mlGEnp_R3UVu1t3wSFPzgCyHXE/edit?gid=0#gid=0"",""GERAL!A2:C""),3,0),""-"")"),"CAMPO")</f>
        <v>CAMPO</v>
      </c>
    </row>
    <row r="274" ht="15.75" customHeight="1">
      <c r="A274" s="111" t="s">
        <v>383</v>
      </c>
      <c r="B274" s="83" t="s">
        <v>1163</v>
      </c>
      <c r="C274" s="83" t="s">
        <v>164</v>
      </c>
      <c r="D274" s="112">
        <v>1178099.0</v>
      </c>
      <c r="E274" s="83">
        <v>1178992.0</v>
      </c>
      <c r="F274" s="98">
        <v>2.9490243E7</v>
      </c>
      <c r="G274" s="185" t="s">
        <v>1184</v>
      </c>
      <c r="H274" s="91" t="s">
        <v>1185</v>
      </c>
      <c r="I274" s="83" t="s">
        <v>1186</v>
      </c>
      <c r="J274" s="136" t="s">
        <v>315</v>
      </c>
      <c r="K274" s="83" t="s">
        <v>151</v>
      </c>
      <c r="L274" s="83" t="s">
        <v>169</v>
      </c>
      <c r="M274" s="82" t="str">
        <f>IFERROR(__xludf.DUMMYFUNCTION("IFERROR(VLOOKUP(D274,
IMPORTRANGE(""https://docs.google.com/spreadsheets/d/1MjHtlUikwobi2MaWJgy7tfLeBmhj1u-dRFRs_8GwSoA/edit#gid=0"",""Gestores Escolares!D7:J""),3,0),""VERIFICAR CÓD SEC"")"),"ISAAC BATISTA VILAS BOAS")</f>
        <v>ISAAC BATISTA VILAS BOAS</v>
      </c>
      <c r="N274" s="82" t="str">
        <f>IFERROR(__xludf.DUMMYFUNCTION("IFERROR(VLOOKUP(D274,
IMPORTRANGE(""https://docs.google.com/spreadsheets/d/1MjHtlUikwobi2MaWJgy7tfLeBmhj1u-dRFRs_8GwSoA/edit#gid=0"",""Gestores Escolares!D7:J""),4,0),""VERIFICAR CÓD SEC"")"),"(74) 9 9195-7667")</f>
        <v>(74) 9 9195-7667</v>
      </c>
      <c r="O274" s="82" t="str">
        <f>IFERROR(__xludf.DUMMYFUNCTION("IFERROR(VLOOKUP(D274,
IMPORTRANGE(""https://docs.google.com/spreadsheets/d/1MjHtlUikwobi2MaWJgy7tfLeBmhj1u-dRFRs_8GwSoA/edit#gid=0"",""Gestores Escolares!D7:J""),6,0),""VERIFICAR CÓD SEC"")"),"GILSE CAMPOS CARVALHO SPITZBARTH")</f>
        <v>GILSE CAMPOS CARVALHO SPITZBARTH</v>
      </c>
      <c r="P274" s="82" t="str">
        <f>IFERROR(__xludf.DUMMYFUNCTION("IFERROR(VLOOKUP(D274,
IMPORTRANGE(""https://docs.google.com/spreadsheets/d/1MjHtlUikwobi2MaWJgy7tfLeBmhj1u-dRFRs_8GwSoA/edit#gid=0"",""Gestores Escolares!D7:J""),7,0),""VERIFICAR CÓD SEC"")"),"(71) 9 9114-4339")</f>
        <v>(71) 9 9114-4339</v>
      </c>
      <c r="Q274" s="82" t="str">
        <f>IFERROR(__xludf.DUMMYFUNCTION("IFERROR(VLOOKUP(D274,
IMPORTRANGE(""https://docs.google.com/spreadsheets/d/1MjHtlUikwobi2MaWJgy7tfLeBmhj1u-dRFRs_8GwSoA/edit#gid=0"",""Gestores Escolares!D7:m""),9,0),""VERIFICAR CÓD SEC"")"),"MARIA AMALIA BARBOSA PINTO CARVALHO")</f>
        <v>MARIA AMALIA BARBOSA PINTO CARVALHO</v>
      </c>
      <c r="R274" s="82" t="str">
        <f>IFERROR(__xludf.DUMMYFUNCTION("IFERROR(VLOOKUP(D274,
IMPORTRANGE(""https://docs.google.com/spreadsheets/d/1MjHtlUikwobi2MaWJgy7tfLeBmhj1u-dRFRs_8GwSoA/edit#gid=0"",""Gestores Escolares!D7:m""),10,0),""VERIFICAR CÓD SEC"")"),"(71) 9 9962-2490")</f>
        <v>(71) 9 9962-2490</v>
      </c>
      <c r="S274" s="82"/>
      <c r="T274" s="138">
        <v>3.0</v>
      </c>
      <c r="U274" s="139">
        <v>3.0</v>
      </c>
      <c r="V274" s="106">
        <v>0.0</v>
      </c>
      <c r="W274" s="107">
        <v>0.0</v>
      </c>
      <c r="X274" s="107">
        <v>0.0</v>
      </c>
      <c r="Y274" s="107">
        <v>0.0</v>
      </c>
      <c r="Z274" s="80">
        <f t="shared" si="1"/>
        <v>0</v>
      </c>
      <c r="AA274" s="106">
        <v>0.0</v>
      </c>
      <c r="AB274" s="107">
        <v>0.0</v>
      </c>
      <c r="AC274" s="107">
        <v>0.0</v>
      </c>
      <c r="AD274" s="107">
        <v>0.0</v>
      </c>
      <c r="AE274" s="80">
        <f t="shared" si="2"/>
        <v>0</v>
      </c>
      <c r="AF274" s="140">
        <v>0.0</v>
      </c>
      <c r="AG274" s="109">
        <v>44.0</v>
      </c>
      <c r="AH274" s="109">
        <v>0.0</v>
      </c>
      <c r="AI274" s="141">
        <v>0.0</v>
      </c>
      <c r="AJ274" s="80">
        <f t="shared" si="3"/>
        <v>44</v>
      </c>
      <c r="AK274" s="140">
        <v>0.0</v>
      </c>
      <c r="AL274" s="109">
        <v>0.0</v>
      </c>
      <c r="AM274" s="141">
        <v>0.0</v>
      </c>
      <c r="AN274" s="80">
        <f t="shared" si="4"/>
        <v>0</v>
      </c>
      <c r="AO274" s="140">
        <v>0.0</v>
      </c>
      <c r="AP274" s="109">
        <v>0.0</v>
      </c>
      <c r="AQ274" s="109">
        <v>0.0</v>
      </c>
      <c r="AR274" s="80">
        <f t="shared" si="5"/>
        <v>0</v>
      </c>
      <c r="AS274" s="110">
        <v>0.0</v>
      </c>
      <c r="AT274" s="110">
        <v>0.0</v>
      </c>
      <c r="AU274" s="110">
        <v>0.0</v>
      </c>
      <c r="AV274" s="142">
        <v>0.0</v>
      </c>
      <c r="AW274" s="80">
        <f t="shared" si="6"/>
        <v>0</v>
      </c>
      <c r="AX274" s="113">
        <f t="shared" si="7"/>
        <v>44</v>
      </c>
      <c r="AY274" s="117">
        <f t="shared" si="8"/>
        <v>44</v>
      </c>
      <c r="AZ274" s="120">
        <f t="shared" si="9"/>
        <v>0</v>
      </c>
      <c r="BA274" s="115">
        <v>0.0</v>
      </c>
      <c r="BB274" s="89">
        <f t="shared" si="10"/>
        <v>44</v>
      </c>
      <c r="BC274" s="132" t="s">
        <v>373</v>
      </c>
      <c r="BD274" s="132" t="s">
        <v>178</v>
      </c>
      <c r="BE274" s="132" t="s">
        <v>178</v>
      </c>
      <c r="BF274" s="123"/>
      <c r="BG274" s="83">
        <v>1178992.0</v>
      </c>
      <c r="BH274" s="112"/>
      <c r="BI274" s="112">
        <v>3.0</v>
      </c>
      <c r="BJ274" s="98" t="s">
        <v>155</v>
      </c>
      <c r="BK274" s="99">
        <f t="shared" si="11"/>
        <v>0</v>
      </c>
      <c r="BL274" s="99">
        <f t="shared" si="12"/>
        <v>44</v>
      </c>
      <c r="BM274" s="99" t="str">
        <f>IFERROR(__xludf.DUMMYFUNCTION("IFERROR(VLOOKUP(BG274,IMPORTRANGE(""https://docs.google.com/spreadsheets/d/1juPI-Fb8LD0YtltB2mlGEnp_R3UVu1t3wSFPzgCyHXE/edit?gid=0#gid=0"",""GERAL!A2:C""),3,0),""-"")"),"CAMPO")</f>
        <v>CAMPO</v>
      </c>
    </row>
    <row r="275" ht="15.75" customHeight="1">
      <c r="A275" s="111" t="s">
        <v>383</v>
      </c>
      <c r="B275" s="83" t="s">
        <v>1163</v>
      </c>
      <c r="C275" s="83" t="s">
        <v>164</v>
      </c>
      <c r="D275" s="112">
        <v>1178099.0</v>
      </c>
      <c r="E275" s="83">
        <v>1178991.0</v>
      </c>
      <c r="F275" s="98">
        <v>2.9490235E7</v>
      </c>
      <c r="G275" s="185" t="s">
        <v>1187</v>
      </c>
      <c r="H275" s="91" t="s">
        <v>1188</v>
      </c>
      <c r="I275" s="83" t="s">
        <v>1189</v>
      </c>
      <c r="J275" s="136" t="s">
        <v>187</v>
      </c>
      <c r="K275" s="83" t="s">
        <v>151</v>
      </c>
      <c r="L275" s="83" t="s">
        <v>169</v>
      </c>
      <c r="M275" s="82" t="str">
        <f>IFERROR(__xludf.DUMMYFUNCTION("IFERROR(VLOOKUP(D275,
IMPORTRANGE(""https://docs.google.com/spreadsheets/d/1MjHtlUikwobi2MaWJgy7tfLeBmhj1u-dRFRs_8GwSoA/edit#gid=0"",""Gestores Escolares!D7:J""),3,0),""VERIFICAR CÓD SEC"")"),"ISAAC BATISTA VILAS BOAS")</f>
        <v>ISAAC BATISTA VILAS BOAS</v>
      </c>
      <c r="N275" s="82" t="str">
        <f>IFERROR(__xludf.DUMMYFUNCTION("IFERROR(VLOOKUP(D275,
IMPORTRANGE(""https://docs.google.com/spreadsheets/d/1MjHtlUikwobi2MaWJgy7tfLeBmhj1u-dRFRs_8GwSoA/edit#gid=0"",""Gestores Escolares!D7:J""),4,0),""VERIFICAR CÓD SEC"")"),"(74) 9 9195-7667")</f>
        <v>(74) 9 9195-7667</v>
      </c>
      <c r="O275" s="82" t="str">
        <f>IFERROR(__xludf.DUMMYFUNCTION("IFERROR(VLOOKUP(D275,
IMPORTRANGE(""https://docs.google.com/spreadsheets/d/1MjHtlUikwobi2MaWJgy7tfLeBmhj1u-dRFRs_8GwSoA/edit#gid=0"",""Gestores Escolares!D7:J""),6,0),""VERIFICAR CÓD SEC"")"),"GILSE CAMPOS CARVALHO SPITZBARTH")</f>
        <v>GILSE CAMPOS CARVALHO SPITZBARTH</v>
      </c>
      <c r="P275" s="82" t="str">
        <f>IFERROR(__xludf.DUMMYFUNCTION("IFERROR(VLOOKUP(D275,
IMPORTRANGE(""https://docs.google.com/spreadsheets/d/1MjHtlUikwobi2MaWJgy7tfLeBmhj1u-dRFRs_8GwSoA/edit#gid=0"",""Gestores Escolares!D7:J""),7,0),""VERIFICAR CÓD SEC"")"),"(71) 9 9114-4339")</f>
        <v>(71) 9 9114-4339</v>
      </c>
      <c r="Q275" s="82" t="str">
        <f>IFERROR(__xludf.DUMMYFUNCTION("IFERROR(VLOOKUP(D275,
IMPORTRANGE(""https://docs.google.com/spreadsheets/d/1MjHtlUikwobi2MaWJgy7tfLeBmhj1u-dRFRs_8GwSoA/edit#gid=0"",""Gestores Escolares!D7:m""),9,0),""VERIFICAR CÓD SEC"")"),"MARIA AMALIA BARBOSA PINTO CARVALHO")</f>
        <v>MARIA AMALIA BARBOSA PINTO CARVALHO</v>
      </c>
      <c r="R275" s="82" t="str">
        <f>IFERROR(__xludf.DUMMYFUNCTION("IFERROR(VLOOKUP(D275,
IMPORTRANGE(""https://docs.google.com/spreadsheets/d/1MjHtlUikwobi2MaWJgy7tfLeBmhj1u-dRFRs_8GwSoA/edit#gid=0"",""Gestores Escolares!D7:m""),10,0),""VERIFICAR CÓD SEC"")"),"(71) 9 9962-2490")</f>
        <v>(71) 9 9962-2490</v>
      </c>
      <c r="S275" s="82"/>
      <c r="T275" s="138">
        <v>3.0</v>
      </c>
      <c r="U275" s="139">
        <v>3.0</v>
      </c>
      <c r="V275" s="106">
        <v>0.0</v>
      </c>
      <c r="W275" s="107">
        <v>0.0</v>
      </c>
      <c r="X275" s="107">
        <v>0.0</v>
      </c>
      <c r="Y275" s="107">
        <v>0.0</v>
      </c>
      <c r="Z275" s="80">
        <f t="shared" si="1"/>
        <v>0</v>
      </c>
      <c r="AA275" s="106">
        <v>0.0</v>
      </c>
      <c r="AB275" s="107">
        <v>0.0</v>
      </c>
      <c r="AC275" s="107">
        <v>0.0</v>
      </c>
      <c r="AD275" s="107">
        <v>0.0</v>
      </c>
      <c r="AE275" s="80">
        <f t="shared" si="2"/>
        <v>0</v>
      </c>
      <c r="AF275" s="140">
        <v>46.0</v>
      </c>
      <c r="AG275" s="109">
        <v>0.0</v>
      </c>
      <c r="AH275" s="109">
        <v>0.0</v>
      </c>
      <c r="AI275" s="141">
        <v>0.0</v>
      </c>
      <c r="AJ275" s="80">
        <f t="shared" si="3"/>
        <v>46</v>
      </c>
      <c r="AK275" s="140">
        <v>0.0</v>
      </c>
      <c r="AL275" s="109">
        <v>0.0</v>
      </c>
      <c r="AM275" s="141">
        <v>0.0</v>
      </c>
      <c r="AN275" s="80">
        <f t="shared" si="4"/>
        <v>0</v>
      </c>
      <c r="AO275" s="140">
        <v>0.0</v>
      </c>
      <c r="AP275" s="109">
        <v>0.0</v>
      </c>
      <c r="AQ275" s="109">
        <v>20.0</v>
      </c>
      <c r="AR275" s="80">
        <f t="shared" si="5"/>
        <v>20</v>
      </c>
      <c r="AS275" s="110">
        <v>0.0</v>
      </c>
      <c r="AT275" s="110">
        <v>0.0</v>
      </c>
      <c r="AU275" s="110">
        <v>27.0</v>
      </c>
      <c r="AV275" s="142">
        <v>0.0</v>
      </c>
      <c r="AW275" s="80">
        <f t="shared" si="6"/>
        <v>27</v>
      </c>
      <c r="AX275" s="113">
        <f t="shared" si="7"/>
        <v>93</v>
      </c>
      <c r="AY275" s="117">
        <f t="shared" si="8"/>
        <v>46</v>
      </c>
      <c r="AZ275" s="120">
        <f t="shared" si="9"/>
        <v>47</v>
      </c>
      <c r="BA275" s="115">
        <v>0.0</v>
      </c>
      <c r="BB275" s="89">
        <f t="shared" si="10"/>
        <v>93</v>
      </c>
      <c r="BC275" s="132" t="s">
        <v>373</v>
      </c>
      <c r="BD275" s="132" t="s">
        <v>178</v>
      </c>
      <c r="BE275" s="132" t="s">
        <v>178</v>
      </c>
      <c r="BF275" s="123"/>
      <c r="BG275" s="83">
        <v>1178991.0</v>
      </c>
      <c r="BH275" s="112"/>
      <c r="BI275" s="112">
        <v>3.0</v>
      </c>
      <c r="BJ275" s="98" t="s">
        <v>155</v>
      </c>
      <c r="BK275" s="99">
        <f t="shared" si="11"/>
        <v>0</v>
      </c>
      <c r="BL275" s="99">
        <f t="shared" si="12"/>
        <v>46</v>
      </c>
      <c r="BM275" s="99" t="str">
        <f>IFERROR(__xludf.DUMMYFUNCTION("IFERROR(VLOOKUP(BG275,IMPORTRANGE(""https://docs.google.com/spreadsheets/d/1juPI-Fb8LD0YtltB2mlGEnp_R3UVu1t3wSFPzgCyHXE/edit?gid=0#gid=0"",""GERAL!A2:C""),3,0),""-"")"),"CAMPO")</f>
        <v>CAMPO</v>
      </c>
    </row>
    <row r="276" ht="15.75" customHeight="1">
      <c r="A276" s="111" t="s">
        <v>383</v>
      </c>
      <c r="B276" s="83" t="s">
        <v>1163</v>
      </c>
      <c r="C276" s="83" t="s">
        <v>164</v>
      </c>
      <c r="D276" s="112">
        <v>1178099.0</v>
      </c>
      <c r="E276" s="83">
        <v>1178990.0</v>
      </c>
      <c r="F276" s="98">
        <v>2.9490227E7</v>
      </c>
      <c r="G276" s="185" t="s">
        <v>1190</v>
      </c>
      <c r="H276" s="91" t="s">
        <v>1191</v>
      </c>
      <c r="I276" s="83" t="s">
        <v>1192</v>
      </c>
      <c r="J276" s="136" t="s">
        <v>577</v>
      </c>
      <c r="K276" s="83" t="s">
        <v>151</v>
      </c>
      <c r="L276" s="83" t="s">
        <v>169</v>
      </c>
      <c r="M276" s="82" t="str">
        <f>IFERROR(__xludf.DUMMYFUNCTION("IFERROR(VLOOKUP(D276,
IMPORTRANGE(""https://docs.google.com/spreadsheets/d/1MjHtlUikwobi2MaWJgy7tfLeBmhj1u-dRFRs_8GwSoA/edit#gid=0"",""Gestores Escolares!D7:J""),3,0),""VERIFICAR CÓD SEC"")"),"ISAAC BATISTA VILAS BOAS")</f>
        <v>ISAAC BATISTA VILAS BOAS</v>
      </c>
      <c r="N276" s="82" t="str">
        <f>IFERROR(__xludf.DUMMYFUNCTION("IFERROR(VLOOKUP(D276,
IMPORTRANGE(""https://docs.google.com/spreadsheets/d/1MjHtlUikwobi2MaWJgy7tfLeBmhj1u-dRFRs_8GwSoA/edit#gid=0"",""Gestores Escolares!D7:J""),4,0),""VERIFICAR CÓD SEC"")"),"(74) 9 9195-7667")</f>
        <v>(74) 9 9195-7667</v>
      </c>
      <c r="O276" s="82" t="str">
        <f>IFERROR(__xludf.DUMMYFUNCTION("IFERROR(VLOOKUP(D276,
IMPORTRANGE(""https://docs.google.com/spreadsheets/d/1MjHtlUikwobi2MaWJgy7tfLeBmhj1u-dRFRs_8GwSoA/edit#gid=0"",""Gestores Escolares!D7:J""),6,0),""VERIFICAR CÓD SEC"")"),"GILSE CAMPOS CARVALHO SPITZBARTH")</f>
        <v>GILSE CAMPOS CARVALHO SPITZBARTH</v>
      </c>
      <c r="P276" s="82" t="str">
        <f>IFERROR(__xludf.DUMMYFUNCTION("IFERROR(VLOOKUP(D276,
IMPORTRANGE(""https://docs.google.com/spreadsheets/d/1MjHtlUikwobi2MaWJgy7tfLeBmhj1u-dRFRs_8GwSoA/edit#gid=0"",""Gestores Escolares!D7:J""),7,0),""VERIFICAR CÓD SEC"")"),"(71) 9 9114-4339")</f>
        <v>(71) 9 9114-4339</v>
      </c>
      <c r="Q276" s="82" t="str">
        <f>IFERROR(__xludf.DUMMYFUNCTION("IFERROR(VLOOKUP(D276,
IMPORTRANGE(""https://docs.google.com/spreadsheets/d/1MjHtlUikwobi2MaWJgy7tfLeBmhj1u-dRFRs_8GwSoA/edit#gid=0"",""Gestores Escolares!D7:m""),9,0),""VERIFICAR CÓD SEC"")"),"MARIA AMALIA BARBOSA PINTO CARVALHO")</f>
        <v>MARIA AMALIA BARBOSA PINTO CARVALHO</v>
      </c>
      <c r="R276" s="82" t="str">
        <f>IFERROR(__xludf.DUMMYFUNCTION("IFERROR(VLOOKUP(D276,
IMPORTRANGE(""https://docs.google.com/spreadsheets/d/1MjHtlUikwobi2MaWJgy7tfLeBmhj1u-dRFRs_8GwSoA/edit#gid=0"",""Gestores Escolares!D7:m""),10,0),""VERIFICAR CÓD SEC"")"),"(71) 9 9962-2490")</f>
        <v>(71) 9 9962-2490</v>
      </c>
      <c r="S276" s="82"/>
      <c r="T276" s="138">
        <v>3.0</v>
      </c>
      <c r="U276" s="139">
        <v>3.0</v>
      </c>
      <c r="V276" s="106">
        <v>0.0</v>
      </c>
      <c r="W276" s="107">
        <v>0.0</v>
      </c>
      <c r="X276" s="107">
        <v>0.0</v>
      </c>
      <c r="Y276" s="107">
        <v>0.0</v>
      </c>
      <c r="Z276" s="80">
        <f t="shared" si="1"/>
        <v>0</v>
      </c>
      <c r="AA276" s="106">
        <v>0.0</v>
      </c>
      <c r="AB276" s="107">
        <v>0.0</v>
      </c>
      <c r="AC276" s="107">
        <v>0.0</v>
      </c>
      <c r="AD276" s="107">
        <v>0.0</v>
      </c>
      <c r="AE276" s="80">
        <f t="shared" si="2"/>
        <v>0</v>
      </c>
      <c r="AF276" s="140">
        <v>0.0</v>
      </c>
      <c r="AG276" s="109">
        <v>46.0</v>
      </c>
      <c r="AH276" s="109">
        <v>0.0</v>
      </c>
      <c r="AI276" s="141">
        <v>0.0</v>
      </c>
      <c r="AJ276" s="80">
        <f t="shared" si="3"/>
        <v>46</v>
      </c>
      <c r="AK276" s="140">
        <v>0.0</v>
      </c>
      <c r="AL276" s="109">
        <v>0.0</v>
      </c>
      <c r="AM276" s="141">
        <v>0.0</v>
      </c>
      <c r="AN276" s="80">
        <f t="shared" si="4"/>
        <v>0</v>
      </c>
      <c r="AO276" s="140">
        <v>0.0</v>
      </c>
      <c r="AP276" s="109">
        <v>0.0</v>
      </c>
      <c r="AQ276" s="109">
        <v>9.0</v>
      </c>
      <c r="AR276" s="80">
        <f t="shared" si="5"/>
        <v>9</v>
      </c>
      <c r="AS276" s="110">
        <v>0.0</v>
      </c>
      <c r="AT276" s="110">
        <v>0.0</v>
      </c>
      <c r="AU276" s="110">
        <v>0.0</v>
      </c>
      <c r="AV276" s="142">
        <v>0.0</v>
      </c>
      <c r="AW276" s="80">
        <f t="shared" si="6"/>
        <v>0</v>
      </c>
      <c r="AX276" s="113">
        <f t="shared" si="7"/>
        <v>55</v>
      </c>
      <c r="AY276" s="117">
        <f t="shared" si="8"/>
        <v>46</v>
      </c>
      <c r="AZ276" s="120">
        <f t="shared" si="9"/>
        <v>9</v>
      </c>
      <c r="BA276" s="115">
        <v>0.0</v>
      </c>
      <c r="BB276" s="89">
        <f t="shared" si="10"/>
        <v>55</v>
      </c>
      <c r="BC276" s="132" t="s">
        <v>373</v>
      </c>
      <c r="BD276" s="132" t="s">
        <v>178</v>
      </c>
      <c r="BE276" s="132" t="s">
        <v>178</v>
      </c>
      <c r="BF276" s="123"/>
      <c r="BG276" s="83">
        <v>1178990.0</v>
      </c>
      <c r="BH276" s="112"/>
      <c r="BI276" s="112">
        <v>3.0</v>
      </c>
      <c r="BJ276" s="98" t="s">
        <v>155</v>
      </c>
      <c r="BK276" s="99">
        <f t="shared" si="11"/>
        <v>0</v>
      </c>
      <c r="BL276" s="99">
        <f t="shared" si="12"/>
        <v>46</v>
      </c>
      <c r="BM276" s="99" t="str">
        <f>IFERROR(__xludf.DUMMYFUNCTION("IFERROR(VLOOKUP(BG276,IMPORTRANGE(""https://docs.google.com/spreadsheets/d/1juPI-Fb8LD0YtltB2mlGEnp_R3UVu1t3wSFPzgCyHXE/edit?gid=0#gid=0"",""GERAL!A2:C""),3,0),""-"")"),"CAMPO")</f>
        <v>CAMPO</v>
      </c>
    </row>
    <row r="277" ht="15.75" customHeight="1">
      <c r="A277" s="111" t="s">
        <v>383</v>
      </c>
      <c r="B277" s="83" t="s">
        <v>1163</v>
      </c>
      <c r="C277" s="83" t="s">
        <v>164</v>
      </c>
      <c r="D277" s="112">
        <v>1178099.0</v>
      </c>
      <c r="E277" s="83">
        <v>1178989.0</v>
      </c>
      <c r="F277" s="98">
        <v>2.9490219E7</v>
      </c>
      <c r="G277" s="185" t="s">
        <v>1193</v>
      </c>
      <c r="H277" s="91" t="s">
        <v>1194</v>
      </c>
      <c r="I277" s="83" t="s">
        <v>1195</v>
      </c>
      <c r="J277" s="83" t="s">
        <v>331</v>
      </c>
      <c r="K277" s="83" t="s">
        <v>151</v>
      </c>
      <c r="L277" s="83" t="s">
        <v>169</v>
      </c>
      <c r="M277" s="82" t="str">
        <f>IFERROR(__xludf.DUMMYFUNCTION("IFERROR(VLOOKUP(D277,
IMPORTRANGE(""https://docs.google.com/spreadsheets/d/1MjHtlUikwobi2MaWJgy7tfLeBmhj1u-dRFRs_8GwSoA/edit#gid=0"",""Gestores Escolares!D7:J""),3,0),""VERIFICAR CÓD SEC"")"),"ISAAC BATISTA VILAS BOAS")</f>
        <v>ISAAC BATISTA VILAS BOAS</v>
      </c>
      <c r="N277" s="82" t="str">
        <f>IFERROR(__xludf.DUMMYFUNCTION("IFERROR(VLOOKUP(D277,
IMPORTRANGE(""https://docs.google.com/spreadsheets/d/1MjHtlUikwobi2MaWJgy7tfLeBmhj1u-dRFRs_8GwSoA/edit#gid=0"",""Gestores Escolares!D7:J""),4,0),""VERIFICAR CÓD SEC"")"),"(74) 9 9195-7667")</f>
        <v>(74) 9 9195-7667</v>
      </c>
      <c r="O277" s="82" t="str">
        <f>IFERROR(__xludf.DUMMYFUNCTION("IFERROR(VLOOKUP(D277,
IMPORTRANGE(""https://docs.google.com/spreadsheets/d/1MjHtlUikwobi2MaWJgy7tfLeBmhj1u-dRFRs_8GwSoA/edit#gid=0"",""Gestores Escolares!D7:J""),6,0),""VERIFICAR CÓD SEC"")"),"GILSE CAMPOS CARVALHO SPITZBARTH")</f>
        <v>GILSE CAMPOS CARVALHO SPITZBARTH</v>
      </c>
      <c r="P277" s="82" t="str">
        <f>IFERROR(__xludf.DUMMYFUNCTION("IFERROR(VLOOKUP(D277,
IMPORTRANGE(""https://docs.google.com/spreadsheets/d/1MjHtlUikwobi2MaWJgy7tfLeBmhj1u-dRFRs_8GwSoA/edit#gid=0"",""Gestores Escolares!D7:J""),7,0),""VERIFICAR CÓD SEC"")"),"(71) 9 9114-4339")</f>
        <v>(71) 9 9114-4339</v>
      </c>
      <c r="Q277" s="82" t="str">
        <f>IFERROR(__xludf.DUMMYFUNCTION("IFERROR(VLOOKUP(D277,
IMPORTRANGE(""https://docs.google.com/spreadsheets/d/1MjHtlUikwobi2MaWJgy7tfLeBmhj1u-dRFRs_8GwSoA/edit#gid=0"",""Gestores Escolares!D7:m""),9,0),""VERIFICAR CÓD SEC"")"),"MARIA AMALIA BARBOSA PINTO CARVALHO")</f>
        <v>MARIA AMALIA BARBOSA PINTO CARVALHO</v>
      </c>
      <c r="R277" s="82" t="str">
        <f>IFERROR(__xludf.DUMMYFUNCTION("IFERROR(VLOOKUP(D277,
IMPORTRANGE(""https://docs.google.com/spreadsheets/d/1MjHtlUikwobi2MaWJgy7tfLeBmhj1u-dRFRs_8GwSoA/edit#gid=0"",""Gestores Escolares!D7:m""),10,0),""VERIFICAR CÓD SEC"")"),"(71) 9 9962-2490")</f>
        <v>(71) 9 9962-2490</v>
      </c>
      <c r="S277" s="82"/>
      <c r="T277" s="138">
        <v>3.0</v>
      </c>
      <c r="U277" s="139">
        <v>3.0</v>
      </c>
      <c r="V277" s="106">
        <v>0.0</v>
      </c>
      <c r="W277" s="107">
        <v>0.0</v>
      </c>
      <c r="X277" s="107">
        <v>0.0</v>
      </c>
      <c r="Y277" s="107">
        <v>0.0</v>
      </c>
      <c r="Z277" s="80">
        <f t="shared" si="1"/>
        <v>0</v>
      </c>
      <c r="AA277" s="106">
        <v>0.0</v>
      </c>
      <c r="AB277" s="107">
        <v>0.0</v>
      </c>
      <c r="AC277" s="107">
        <v>0.0</v>
      </c>
      <c r="AD277" s="107">
        <v>0.0</v>
      </c>
      <c r="AE277" s="80">
        <f t="shared" si="2"/>
        <v>0</v>
      </c>
      <c r="AF277" s="140">
        <v>0.0</v>
      </c>
      <c r="AG277" s="109">
        <v>48.0</v>
      </c>
      <c r="AH277" s="109">
        <v>0.0</v>
      </c>
      <c r="AI277" s="141">
        <v>0.0</v>
      </c>
      <c r="AJ277" s="80">
        <f t="shared" si="3"/>
        <v>48</v>
      </c>
      <c r="AK277" s="140">
        <v>0.0</v>
      </c>
      <c r="AL277" s="109">
        <v>0.0</v>
      </c>
      <c r="AM277" s="141">
        <v>0.0</v>
      </c>
      <c r="AN277" s="80">
        <f t="shared" si="4"/>
        <v>0</v>
      </c>
      <c r="AO277" s="140">
        <v>0.0</v>
      </c>
      <c r="AP277" s="109">
        <v>0.0</v>
      </c>
      <c r="AQ277" s="109">
        <v>0.0</v>
      </c>
      <c r="AR277" s="80">
        <f t="shared" si="5"/>
        <v>0</v>
      </c>
      <c r="AS277" s="110">
        <v>0.0</v>
      </c>
      <c r="AT277" s="110">
        <v>0.0</v>
      </c>
      <c r="AU277" s="110">
        <v>0.0</v>
      </c>
      <c r="AV277" s="142">
        <v>0.0</v>
      </c>
      <c r="AW277" s="80">
        <f t="shared" si="6"/>
        <v>0</v>
      </c>
      <c r="AX277" s="113">
        <f t="shared" si="7"/>
        <v>48</v>
      </c>
      <c r="AY277" s="117">
        <f t="shared" si="8"/>
        <v>48</v>
      </c>
      <c r="AZ277" s="120">
        <f t="shared" si="9"/>
        <v>0</v>
      </c>
      <c r="BA277" s="115">
        <v>0.0</v>
      </c>
      <c r="BB277" s="89">
        <f t="shared" si="10"/>
        <v>48</v>
      </c>
      <c r="BC277" s="132" t="s">
        <v>373</v>
      </c>
      <c r="BD277" s="132" t="s">
        <v>178</v>
      </c>
      <c r="BE277" s="132" t="s">
        <v>178</v>
      </c>
      <c r="BF277" s="123"/>
      <c r="BG277" s="83">
        <v>1178989.0</v>
      </c>
      <c r="BH277" s="112"/>
      <c r="BI277" s="112">
        <v>3.0</v>
      </c>
      <c r="BJ277" s="98" t="s">
        <v>155</v>
      </c>
      <c r="BK277" s="99">
        <f t="shared" si="11"/>
        <v>0</v>
      </c>
      <c r="BL277" s="99">
        <f t="shared" si="12"/>
        <v>48</v>
      </c>
      <c r="BM277" s="99" t="str">
        <f>IFERROR(__xludf.DUMMYFUNCTION("IFERROR(VLOOKUP(BG277,IMPORTRANGE(""https://docs.google.com/spreadsheets/d/1juPI-Fb8LD0YtltB2mlGEnp_R3UVu1t3wSFPzgCyHXE/edit?gid=0#gid=0"",""GERAL!A2:C""),3,0),""-"")"),"CAMPO")</f>
        <v>CAMPO</v>
      </c>
    </row>
    <row r="278" ht="15.75" customHeight="1">
      <c r="A278" s="111" t="s">
        <v>383</v>
      </c>
      <c r="B278" s="83" t="s">
        <v>1163</v>
      </c>
      <c r="C278" s="83" t="s">
        <v>164</v>
      </c>
      <c r="D278" s="112">
        <v>1179292.0</v>
      </c>
      <c r="E278" s="83">
        <v>1178997.0</v>
      </c>
      <c r="F278" s="98">
        <v>2.9460816E7</v>
      </c>
      <c r="G278" s="114" t="s">
        <v>1196</v>
      </c>
      <c r="H278" s="91" t="s">
        <v>1197</v>
      </c>
      <c r="I278" s="136" t="s">
        <v>1198</v>
      </c>
      <c r="J278" s="83" t="s">
        <v>209</v>
      </c>
      <c r="K278" s="83" t="s">
        <v>168</v>
      </c>
      <c r="L278" s="83" t="s">
        <v>169</v>
      </c>
      <c r="M278" s="82" t="str">
        <f>IFERROR(__xludf.DUMMYFUNCTION("IFERROR(VLOOKUP(D278,
IMPORTRANGE(""https://docs.google.com/spreadsheets/d/1MjHtlUikwobi2MaWJgy7tfLeBmhj1u-dRFRs_8GwSoA/edit#gid=0"",""Gestores Escolares!D7:J""),3,0),""VERIFICAR CÓD SEC"")"),"TECIO LUIZ BOAVENTURA DE MENEZES")</f>
        <v>TECIO LUIZ BOAVENTURA DE MENEZES</v>
      </c>
      <c r="N278" s="82" t="str">
        <f>IFERROR(__xludf.DUMMYFUNCTION("IFERROR(VLOOKUP(D278,
IMPORTRANGE(""https://docs.google.com/spreadsheets/d/1MjHtlUikwobi2MaWJgy7tfLeBmhj1u-dRFRs_8GwSoA/edit#gid=0"",""Gestores Escolares!D7:J""),4,0),""VERIFICAR CÓD SEC"")"),"(75) 9 9948-8050")</f>
        <v>(75) 9 9948-8050</v>
      </c>
      <c r="O278" s="82" t="str">
        <f>IFERROR(__xludf.DUMMYFUNCTION("IFERROR(VLOOKUP(D278,
IMPORTRANGE(""https://docs.google.com/spreadsheets/d/1MjHtlUikwobi2MaWJgy7tfLeBmhj1u-dRFRs_8GwSoA/edit#gid=0"",""Gestores Escolares!D7:J""),6,0),""VERIFICAR CÓD SEC"")"),"ELISANGELA DE ALMEIDA CARDOSO")</f>
        <v>ELISANGELA DE ALMEIDA CARDOSO</v>
      </c>
      <c r="P278" s="82" t="str">
        <f>IFERROR(__xludf.DUMMYFUNCTION("IFERROR(VLOOKUP(D278,
IMPORTRANGE(""https://docs.google.com/spreadsheets/d/1MjHtlUikwobi2MaWJgy7tfLeBmhj1u-dRFRs_8GwSoA/edit#gid=0"",""Gestores Escolares!D7:J""),7,0),""VERIFICAR CÓD SEC"")")," (71) 9 9418-7474")</f>
        <v> (71) 9 9418-7474</v>
      </c>
      <c r="Q278" s="82" t="str">
        <f>IFERROR(__xludf.DUMMYFUNCTION("IFERROR(VLOOKUP(D278,
IMPORTRANGE(""https://docs.google.com/spreadsheets/d/1MjHtlUikwobi2MaWJgy7tfLeBmhj1u-dRFRs_8GwSoA/edit#gid=0"",""Gestores Escolares!D7:m""),9,0),""VERIFICAR CÓD SEC"")"),"")</f>
        <v/>
      </c>
      <c r="R278" s="82" t="str">
        <f>IFERROR(__xludf.DUMMYFUNCTION("IFERROR(VLOOKUP(D278,
IMPORTRANGE(""https://docs.google.com/spreadsheets/d/1MjHtlUikwobi2MaWJgy7tfLeBmhj1u-dRFRs_8GwSoA/edit#gid=0"",""Gestores Escolares!D7:m""),10,0),""VERIFICAR CÓD SEC"")"),"")</f>
        <v/>
      </c>
      <c r="S278" s="82"/>
      <c r="T278" s="138">
        <v>3.0</v>
      </c>
      <c r="U278" s="139">
        <v>3.0</v>
      </c>
      <c r="V278" s="106">
        <v>0.0</v>
      </c>
      <c r="W278" s="107">
        <v>0.0</v>
      </c>
      <c r="X278" s="107">
        <v>0.0</v>
      </c>
      <c r="Y278" s="107">
        <v>0.0</v>
      </c>
      <c r="Z278" s="80">
        <f t="shared" si="1"/>
        <v>0</v>
      </c>
      <c r="AA278" s="106">
        <v>0.0</v>
      </c>
      <c r="AB278" s="107">
        <v>0.0</v>
      </c>
      <c r="AC278" s="107">
        <v>0.0</v>
      </c>
      <c r="AD278" s="107">
        <v>0.0</v>
      </c>
      <c r="AE278" s="80">
        <f t="shared" si="2"/>
        <v>0</v>
      </c>
      <c r="AF278" s="140">
        <v>0.0</v>
      </c>
      <c r="AG278" s="109">
        <v>24.0</v>
      </c>
      <c r="AH278" s="109">
        <v>6.0</v>
      </c>
      <c r="AI278" s="141">
        <v>0.0</v>
      </c>
      <c r="AJ278" s="80">
        <f t="shared" si="3"/>
        <v>30</v>
      </c>
      <c r="AK278" s="140">
        <v>0.0</v>
      </c>
      <c r="AL278" s="109">
        <v>0.0</v>
      </c>
      <c r="AM278" s="141">
        <v>0.0</v>
      </c>
      <c r="AN278" s="80">
        <f t="shared" si="4"/>
        <v>0</v>
      </c>
      <c r="AO278" s="140">
        <v>0.0</v>
      </c>
      <c r="AP278" s="109">
        <v>0.0</v>
      </c>
      <c r="AQ278" s="109">
        <v>0.0</v>
      </c>
      <c r="AR278" s="80">
        <f t="shared" si="5"/>
        <v>0</v>
      </c>
      <c r="AS278" s="110">
        <v>0.0</v>
      </c>
      <c r="AT278" s="110">
        <v>0.0</v>
      </c>
      <c r="AU278" s="110">
        <v>0.0</v>
      </c>
      <c r="AV278" s="142">
        <v>0.0</v>
      </c>
      <c r="AW278" s="80">
        <f t="shared" si="6"/>
        <v>0</v>
      </c>
      <c r="AX278" s="113">
        <f t="shared" si="7"/>
        <v>30</v>
      </c>
      <c r="AY278" s="117">
        <f t="shared" si="8"/>
        <v>24</v>
      </c>
      <c r="AZ278" s="120">
        <f t="shared" si="9"/>
        <v>6</v>
      </c>
      <c r="BA278" s="115">
        <v>0.0</v>
      </c>
      <c r="BB278" s="89">
        <f t="shared" si="10"/>
        <v>30</v>
      </c>
      <c r="BC278" s="132" t="s">
        <v>178</v>
      </c>
      <c r="BD278" s="143" t="s">
        <v>227</v>
      </c>
      <c r="BE278" s="132" t="s">
        <v>178</v>
      </c>
      <c r="BF278" s="123"/>
      <c r="BG278" s="83">
        <v>1178997.0</v>
      </c>
      <c r="BH278" s="112"/>
      <c r="BI278" s="112">
        <v>3.0</v>
      </c>
      <c r="BJ278" s="98" t="s">
        <v>155</v>
      </c>
      <c r="BK278" s="99">
        <f t="shared" si="11"/>
        <v>0</v>
      </c>
      <c r="BL278" s="99">
        <f t="shared" si="12"/>
        <v>24</v>
      </c>
      <c r="BM278" s="99" t="str">
        <f>IFERROR(__xludf.DUMMYFUNCTION("IFERROR(VLOOKUP(BG278,IMPORTRANGE(""https://docs.google.com/spreadsheets/d/1juPI-Fb8LD0YtltB2mlGEnp_R3UVu1t3wSFPzgCyHXE/edit?gid=0#gid=0"",""GERAL!A2:C""),3,0),""-"")"),"-")</f>
        <v>-</v>
      </c>
    </row>
    <row r="279" ht="15.75" customHeight="1">
      <c r="A279" s="111" t="s">
        <v>383</v>
      </c>
      <c r="B279" s="83" t="s">
        <v>1199</v>
      </c>
      <c r="C279" s="83" t="s">
        <v>68</v>
      </c>
      <c r="D279" s="112">
        <v>1178222.0</v>
      </c>
      <c r="E279" s="83"/>
      <c r="F279" s="83">
        <v>2.9443296E7</v>
      </c>
      <c r="G279" s="187" t="s">
        <v>1200</v>
      </c>
      <c r="H279" s="91" t="s">
        <v>1201</v>
      </c>
      <c r="I279" s="83" t="s">
        <v>149</v>
      </c>
      <c r="J279" s="83" t="s">
        <v>150</v>
      </c>
      <c r="K279" s="83" t="s">
        <v>151</v>
      </c>
      <c r="L279" s="83" t="s">
        <v>169</v>
      </c>
      <c r="M279" s="82" t="str">
        <f>IFERROR(__xludf.DUMMYFUNCTION("IFERROR(VLOOKUP(D279,
IMPORTRANGE(""https://docs.google.com/spreadsheets/d/1MjHtlUikwobi2MaWJgy7tfLeBmhj1u-dRFRs_8GwSoA/edit#gid=0"",""Gestores Escolares!D7:J""),3,0),""VERIFICAR CÓD SEC"")"),"ROSANGELA DOS SANTOS LIMA SOUZA")</f>
        <v>ROSANGELA DOS SANTOS LIMA SOUZA</v>
      </c>
      <c r="N279" s="82" t="str">
        <f>IFERROR(__xludf.DUMMYFUNCTION("IFERROR(VLOOKUP(D279,
IMPORTRANGE(""https://docs.google.com/spreadsheets/d/1MjHtlUikwobi2MaWJgy7tfLeBmhj1u-dRFRs_8GwSoA/edit#gid=0"",""Gestores Escolares!D7:J""),4,0),""VERIFICAR CÓD SEC"")"),"(71) 9 8136-9318")</f>
        <v>(71) 9 8136-9318</v>
      </c>
      <c r="O279" s="82" t="str">
        <f>IFERROR(__xludf.DUMMYFUNCTION("IFERROR(VLOOKUP(D279,
IMPORTRANGE(""https://docs.google.com/spreadsheets/d/1MjHtlUikwobi2MaWJgy7tfLeBmhj1u-dRFRs_8GwSoA/edit#gid=0"",""Gestores Escolares!D7:J""),6,0),""VERIFICAR CÓD SEC"")"),"CAMILA FIGUEIREDO DE CARVALHO MELO")</f>
        <v>CAMILA FIGUEIREDO DE CARVALHO MELO</v>
      </c>
      <c r="P279" s="82" t="str">
        <f>IFERROR(__xludf.DUMMYFUNCTION("IFERROR(VLOOKUP(D279,
IMPORTRANGE(""https://docs.google.com/spreadsheets/d/1MjHtlUikwobi2MaWJgy7tfLeBmhj1u-dRFRs_8GwSoA/edit#gid=0"",""Gestores Escolares!D7:J""),7,0),""VERIFICAR CÓD SEC"")")," (71) 9 8827 - 2251")</f>
        <v> (71) 9 8827 - 2251</v>
      </c>
      <c r="Q279" s="82" t="str">
        <f>IFERROR(__xludf.DUMMYFUNCTION("IFERROR(VLOOKUP(D279,
IMPORTRANGE(""https://docs.google.com/spreadsheets/d/1MjHtlUikwobi2MaWJgy7tfLeBmhj1u-dRFRs_8GwSoA/edit#gid=0"",""Gestores Escolares!D7:m""),9,0),""VERIFICAR CÓD SEC"")"),"")</f>
        <v/>
      </c>
      <c r="R279" s="82" t="str">
        <f>IFERROR(__xludf.DUMMYFUNCTION("IFERROR(VLOOKUP(D279,
IMPORTRANGE(""https://docs.google.com/spreadsheets/d/1MjHtlUikwobi2MaWJgy7tfLeBmhj1u-dRFRs_8GwSoA/edit#gid=0"",""Gestores Escolares!D7:m""),10,0),""VERIFICAR CÓD SEC"")"),"")</f>
        <v/>
      </c>
      <c r="S279" s="82"/>
      <c r="T279" s="138">
        <v>7.0</v>
      </c>
      <c r="U279" s="145" t="s">
        <v>3930</v>
      </c>
      <c r="V279" s="106">
        <v>0.0</v>
      </c>
      <c r="W279" s="107">
        <v>0.0</v>
      </c>
      <c r="X279" s="107">
        <v>0.0</v>
      </c>
      <c r="Y279" s="107">
        <v>0.0</v>
      </c>
      <c r="Z279" s="80">
        <f t="shared" si="1"/>
        <v>0</v>
      </c>
      <c r="AA279" s="106">
        <v>0.0</v>
      </c>
      <c r="AB279" s="107">
        <v>0.0</v>
      </c>
      <c r="AC279" s="107">
        <v>0.0</v>
      </c>
      <c r="AD279" s="107">
        <v>0.0</v>
      </c>
      <c r="AE279" s="80">
        <f t="shared" si="2"/>
        <v>0</v>
      </c>
      <c r="AF279" s="140">
        <v>0.0</v>
      </c>
      <c r="AG279" s="109">
        <v>29.0</v>
      </c>
      <c r="AH279" s="109">
        <v>0.0</v>
      </c>
      <c r="AI279" s="141">
        <v>108.0</v>
      </c>
      <c r="AJ279" s="80">
        <f t="shared" si="3"/>
        <v>137</v>
      </c>
      <c r="AK279" s="140">
        <v>0.0</v>
      </c>
      <c r="AL279" s="109">
        <v>0.0</v>
      </c>
      <c r="AM279" s="141">
        <v>0.0</v>
      </c>
      <c r="AN279" s="80">
        <f t="shared" si="4"/>
        <v>0</v>
      </c>
      <c r="AO279" s="140">
        <v>0.0</v>
      </c>
      <c r="AP279" s="109">
        <v>0.0</v>
      </c>
      <c r="AQ279" s="109">
        <v>19.0</v>
      </c>
      <c r="AR279" s="80">
        <f t="shared" si="5"/>
        <v>19</v>
      </c>
      <c r="AS279" s="110">
        <v>0.0</v>
      </c>
      <c r="AT279" s="110">
        <v>0.0</v>
      </c>
      <c r="AU279" s="110">
        <v>0.0</v>
      </c>
      <c r="AV279" s="142">
        <v>25.0</v>
      </c>
      <c r="AW279" s="80">
        <f t="shared" si="6"/>
        <v>25</v>
      </c>
      <c r="AX279" s="113">
        <f t="shared" si="7"/>
        <v>181</v>
      </c>
      <c r="AY279" s="117">
        <f t="shared" si="8"/>
        <v>162</v>
      </c>
      <c r="AZ279" s="120">
        <f t="shared" si="9"/>
        <v>19</v>
      </c>
      <c r="BA279" s="115">
        <v>0.0</v>
      </c>
      <c r="BB279" s="89">
        <f t="shared" si="10"/>
        <v>181</v>
      </c>
      <c r="BC279" s="132" t="s">
        <v>178</v>
      </c>
      <c r="BD279" s="132" t="s">
        <v>178</v>
      </c>
      <c r="BE279" s="132" t="s">
        <v>178</v>
      </c>
      <c r="BF279" s="123"/>
      <c r="BG279" s="83">
        <v>1178222.0</v>
      </c>
      <c r="BH279" s="112"/>
      <c r="BI279" s="112">
        <v>7.0</v>
      </c>
      <c r="BJ279" s="98" t="s">
        <v>155</v>
      </c>
      <c r="BK279" s="99">
        <f t="shared" si="11"/>
        <v>133</v>
      </c>
      <c r="BL279" s="99">
        <f t="shared" si="12"/>
        <v>29</v>
      </c>
      <c r="BM279" s="99" t="str">
        <f>IFERROR(__xludf.DUMMYFUNCTION("IFERROR(VLOOKUP(BG279,IMPORTRANGE(""https://docs.google.com/spreadsheets/d/1juPI-Fb8LD0YtltB2mlGEnp_R3UVu1t3wSFPzgCyHXE/edit?gid=0#gid=0"",""GERAL!A2:C""),3,0),""-"")"),"-")</f>
        <v>-</v>
      </c>
    </row>
    <row r="280" ht="15.75" customHeight="1">
      <c r="A280" s="111" t="s">
        <v>383</v>
      </c>
      <c r="B280" s="83" t="s">
        <v>1199</v>
      </c>
      <c r="C280" s="83" t="s">
        <v>68</v>
      </c>
      <c r="D280" s="112">
        <v>1116691.0</v>
      </c>
      <c r="E280" s="83"/>
      <c r="F280" s="83">
        <v>2.9146631E7</v>
      </c>
      <c r="G280" s="147" t="s">
        <v>1203</v>
      </c>
      <c r="H280" s="91" t="s">
        <v>1204</v>
      </c>
      <c r="I280" s="83" t="s">
        <v>149</v>
      </c>
      <c r="J280" s="83" t="s">
        <v>327</v>
      </c>
      <c r="K280" s="83" t="s">
        <v>151</v>
      </c>
      <c r="L280" s="83" t="s">
        <v>169</v>
      </c>
      <c r="M280" s="82" t="str">
        <f>IFERROR(__xludf.DUMMYFUNCTION("IFERROR(VLOOKUP(D280,
IMPORTRANGE(""https://docs.google.com/spreadsheets/d/1MjHtlUikwobi2MaWJgy7tfLeBmhj1u-dRFRs_8GwSoA/edit#gid=0"",""Gestores Escolares!D7:J""),3,0),""VERIFICAR CÓD SEC"")"),"GENI FERREIRA ALVES")</f>
        <v>GENI FERREIRA ALVES</v>
      </c>
      <c r="N280" s="82" t="str">
        <f>IFERROR(__xludf.DUMMYFUNCTION("IFERROR(VLOOKUP(D280,
IMPORTRANGE(""https://docs.google.com/spreadsheets/d/1MjHtlUikwobi2MaWJgy7tfLeBmhj1u-dRFRs_8GwSoA/edit#gid=0"",""Gestores Escolares!D7:J""),4,0),""VERIFICAR CÓD SEC"")"),"(75) 9 9109-1677")</f>
        <v>(75) 9 9109-1677</v>
      </c>
      <c r="O280" s="82" t="str">
        <f>IFERROR(__xludf.DUMMYFUNCTION("IFERROR(VLOOKUP(D280,
IMPORTRANGE(""https://docs.google.com/spreadsheets/d/1MjHtlUikwobi2MaWJgy7tfLeBmhj1u-dRFRs_8GwSoA/edit#gid=0"",""Gestores Escolares!D7:J""),6,0),""VERIFICAR CÓD SEC"")"),"")</f>
        <v/>
      </c>
      <c r="P280" s="82" t="str">
        <f>IFERROR(__xludf.DUMMYFUNCTION("IFERROR(VLOOKUP(D280,
IMPORTRANGE(""https://docs.google.com/spreadsheets/d/1MjHtlUikwobi2MaWJgy7tfLeBmhj1u-dRFRs_8GwSoA/edit#gid=0"",""Gestores Escolares!D7:J""),7,0),""VERIFICAR CÓD SEC"")"),"")</f>
        <v/>
      </c>
      <c r="Q280" s="82" t="str">
        <f>IFERROR(__xludf.DUMMYFUNCTION("IFERROR(VLOOKUP(D280,
IMPORTRANGE(""https://docs.google.com/spreadsheets/d/1MjHtlUikwobi2MaWJgy7tfLeBmhj1u-dRFRs_8GwSoA/edit#gid=0"",""Gestores Escolares!D7:m""),9,0),""VERIFICAR CÓD SEC"")"),"")</f>
        <v/>
      </c>
      <c r="R280" s="82" t="str">
        <f>IFERROR(__xludf.DUMMYFUNCTION("IFERROR(VLOOKUP(D280,
IMPORTRANGE(""https://docs.google.com/spreadsheets/d/1MjHtlUikwobi2MaWJgy7tfLeBmhj1u-dRFRs_8GwSoA/edit#gid=0"",""Gestores Escolares!D7:m""),10,0),""VERIFICAR CÓD SEC"")"),"")</f>
        <v/>
      </c>
      <c r="S280" s="82"/>
      <c r="T280" s="138">
        <v>12.0</v>
      </c>
      <c r="U280" s="145" t="s">
        <v>3947</v>
      </c>
      <c r="V280" s="106">
        <v>0.0</v>
      </c>
      <c r="W280" s="107">
        <v>0.0</v>
      </c>
      <c r="X280" s="107">
        <v>0.0</v>
      </c>
      <c r="Y280" s="107">
        <v>0.0</v>
      </c>
      <c r="Z280" s="80">
        <f t="shared" si="1"/>
        <v>0</v>
      </c>
      <c r="AA280" s="106">
        <v>0.0</v>
      </c>
      <c r="AB280" s="107">
        <v>0.0</v>
      </c>
      <c r="AC280" s="107">
        <v>0.0</v>
      </c>
      <c r="AD280" s="107">
        <v>0.0</v>
      </c>
      <c r="AE280" s="80">
        <f t="shared" si="2"/>
        <v>0</v>
      </c>
      <c r="AF280" s="140">
        <v>0.0</v>
      </c>
      <c r="AG280" s="109">
        <v>0.0</v>
      </c>
      <c r="AH280" s="109">
        <v>0.0</v>
      </c>
      <c r="AI280" s="141">
        <v>0.0</v>
      </c>
      <c r="AJ280" s="80">
        <f t="shared" si="3"/>
        <v>0</v>
      </c>
      <c r="AK280" s="140">
        <v>0.0</v>
      </c>
      <c r="AL280" s="109">
        <v>0.0</v>
      </c>
      <c r="AM280" s="141">
        <v>0.0</v>
      </c>
      <c r="AN280" s="80">
        <f t="shared" si="4"/>
        <v>0</v>
      </c>
      <c r="AO280" s="140">
        <v>0.0</v>
      </c>
      <c r="AP280" s="109">
        <v>0.0</v>
      </c>
      <c r="AQ280" s="109">
        <v>0.0</v>
      </c>
      <c r="AR280" s="80">
        <f t="shared" si="5"/>
        <v>0</v>
      </c>
      <c r="AS280" s="110">
        <v>0.0</v>
      </c>
      <c r="AT280" s="110">
        <v>33.0</v>
      </c>
      <c r="AU280" s="110">
        <v>0.0</v>
      </c>
      <c r="AV280" s="142">
        <v>68.0</v>
      </c>
      <c r="AW280" s="80">
        <f t="shared" si="6"/>
        <v>101</v>
      </c>
      <c r="AX280" s="113">
        <f t="shared" si="7"/>
        <v>101</v>
      </c>
      <c r="AY280" s="117">
        <f t="shared" si="8"/>
        <v>101</v>
      </c>
      <c r="AZ280" s="120">
        <f t="shared" si="9"/>
        <v>0</v>
      </c>
      <c r="BA280" s="115">
        <v>0.0</v>
      </c>
      <c r="BB280" s="89">
        <f t="shared" si="10"/>
        <v>101</v>
      </c>
      <c r="BC280" s="132" t="s">
        <v>373</v>
      </c>
      <c r="BD280" s="132" t="s">
        <v>178</v>
      </c>
      <c r="BE280" s="132" t="s">
        <v>178</v>
      </c>
      <c r="BF280" s="123"/>
      <c r="BG280" s="83">
        <v>1116691.0</v>
      </c>
      <c r="BH280" s="98"/>
      <c r="BI280" s="98">
        <v>10.0</v>
      </c>
      <c r="BJ280" s="98" t="s">
        <v>155</v>
      </c>
      <c r="BK280" s="99">
        <f t="shared" si="11"/>
        <v>68</v>
      </c>
      <c r="BL280" s="99">
        <f t="shared" si="12"/>
        <v>33</v>
      </c>
      <c r="BM280" s="99" t="str">
        <f>IFERROR(__xludf.DUMMYFUNCTION("IFERROR(VLOOKUP(BG280,IMPORTRANGE(""https://docs.google.com/spreadsheets/d/1juPI-Fb8LD0YtltB2mlGEnp_R3UVu1t3wSFPzgCyHXE/edit?gid=0#gid=0"",""GERAL!A2:C""),3,0),""-"")"),"CAMPO")</f>
        <v>CAMPO</v>
      </c>
    </row>
    <row r="281" ht="15.75" customHeight="1">
      <c r="A281" s="111" t="s">
        <v>383</v>
      </c>
      <c r="B281" s="83" t="s">
        <v>1207</v>
      </c>
      <c r="C281" s="83" t="s">
        <v>45</v>
      </c>
      <c r="D281" s="112">
        <v>1178382.0</v>
      </c>
      <c r="E281" s="83"/>
      <c r="F281" s="83">
        <v>2.9427223E7</v>
      </c>
      <c r="G281" s="241" t="s">
        <v>1208</v>
      </c>
      <c r="H281" s="91" t="s">
        <v>1209</v>
      </c>
      <c r="I281" s="136" t="s">
        <v>576</v>
      </c>
      <c r="J281" s="229" t="s">
        <v>784</v>
      </c>
      <c r="K281" s="136" t="s">
        <v>171</v>
      </c>
      <c r="L281" s="136" t="s">
        <v>152</v>
      </c>
      <c r="M281" s="82" t="str">
        <f>IFERROR(__xludf.DUMMYFUNCTION("IFERROR(VLOOKUP(D281,
IMPORTRANGE(""https://docs.google.com/spreadsheets/d/1MjHtlUikwobi2MaWJgy7tfLeBmhj1u-dRFRs_8GwSoA/edit#gid=0"",""Gestores Escolares!D7:J""),3,0),""VERIFICAR CÓD SEC"")"),"NELSON DE JESUS LOPES")</f>
        <v>NELSON DE JESUS LOPES</v>
      </c>
      <c r="N281" s="82" t="str">
        <f>IFERROR(__xludf.DUMMYFUNCTION("IFERROR(VLOOKUP(D281,
IMPORTRANGE(""https://docs.google.com/spreadsheets/d/1MjHtlUikwobi2MaWJgy7tfLeBmhj1u-dRFRs_8GwSoA/edit#gid=0"",""Gestores Escolares!D7:J""),4,0),""VERIFICAR CÓD SEC"")")," (75) 9 9101-8192")</f>
        <v> (75) 9 9101-8192</v>
      </c>
      <c r="O281" s="82" t="str">
        <f>IFERROR(__xludf.DUMMYFUNCTION("IFERROR(VLOOKUP(D281,
IMPORTRANGE(""https://docs.google.com/spreadsheets/d/1MjHtlUikwobi2MaWJgy7tfLeBmhj1u-dRFRs_8GwSoA/edit#gid=0"",""Gestores Escolares!D7:J""),6,0),""VERIFICAR CÓD SEC"")"),"")</f>
        <v/>
      </c>
      <c r="P281" s="82" t="str">
        <f>IFERROR(__xludf.DUMMYFUNCTION("IFERROR(VLOOKUP(D281,
IMPORTRANGE(""https://docs.google.com/spreadsheets/d/1MjHtlUikwobi2MaWJgy7tfLeBmhj1u-dRFRs_8GwSoA/edit#gid=0"",""Gestores Escolares!D7:J""),7,0),""VERIFICAR CÓD SEC"")"),"")</f>
        <v/>
      </c>
      <c r="Q281" s="82" t="str">
        <f>IFERROR(__xludf.DUMMYFUNCTION("IFERROR(VLOOKUP(D281,
IMPORTRANGE(""https://docs.google.com/spreadsheets/d/1MjHtlUikwobi2MaWJgy7tfLeBmhj1u-dRFRs_8GwSoA/edit#gid=0"",""Gestores Escolares!D7:m""),9,0),""VERIFICAR CÓD SEC"")"),"")</f>
        <v/>
      </c>
      <c r="R281" s="82" t="str">
        <f>IFERROR(__xludf.DUMMYFUNCTION("IFERROR(VLOOKUP(D281,
IMPORTRANGE(""https://docs.google.com/spreadsheets/d/1MjHtlUikwobi2MaWJgy7tfLeBmhj1u-dRFRs_8GwSoA/edit#gid=0"",""Gestores Escolares!D7:m""),10,0),""VERIFICAR CÓD SEC"")"),"")</f>
        <v/>
      </c>
      <c r="S281" s="82"/>
      <c r="T281" s="138">
        <v>18.0</v>
      </c>
      <c r="U281" s="217">
        <v>8.0</v>
      </c>
      <c r="V281" s="106">
        <v>0.0</v>
      </c>
      <c r="W281" s="107">
        <v>0.0</v>
      </c>
      <c r="X281" s="107">
        <v>0.0</v>
      </c>
      <c r="Y281" s="107">
        <v>0.0</v>
      </c>
      <c r="Z281" s="80">
        <f t="shared" si="1"/>
        <v>0</v>
      </c>
      <c r="AA281" s="106">
        <v>0.0</v>
      </c>
      <c r="AB281" s="107">
        <v>0.0</v>
      </c>
      <c r="AC281" s="107">
        <v>0.0</v>
      </c>
      <c r="AD281" s="107">
        <v>29.0</v>
      </c>
      <c r="AE281" s="80">
        <f t="shared" si="2"/>
        <v>29</v>
      </c>
      <c r="AF281" s="225">
        <v>0.0</v>
      </c>
      <c r="AG281" s="226">
        <v>0.0</v>
      </c>
      <c r="AH281" s="226">
        <v>0.0</v>
      </c>
      <c r="AI281" s="227">
        <v>90.0</v>
      </c>
      <c r="AJ281" s="80">
        <f t="shared" si="3"/>
        <v>90</v>
      </c>
      <c r="AK281" s="140">
        <v>0.0</v>
      </c>
      <c r="AL281" s="109">
        <v>0.0</v>
      </c>
      <c r="AM281" s="141">
        <v>0.0</v>
      </c>
      <c r="AN281" s="80">
        <f t="shared" si="4"/>
        <v>0</v>
      </c>
      <c r="AO281" s="225">
        <v>0.0</v>
      </c>
      <c r="AP281" s="226">
        <v>0.0</v>
      </c>
      <c r="AQ281" s="226">
        <v>0.0</v>
      </c>
      <c r="AR281" s="80">
        <f t="shared" si="5"/>
        <v>0</v>
      </c>
      <c r="AS281" s="110">
        <v>0.0</v>
      </c>
      <c r="AT281" s="110">
        <v>0.0</v>
      </c>
      <c r="AU281" s="110">
        <v>0.0</v>
      </c>
      <c r="AV281" s="142">
        <v>0.0</v>
      </c>
      <c r="AW281" s="80">
        <f t="shared" si="6"/>
        <v>0</v>
      </c>
      <c r="AX281" s="113">
        <f t="shared" si="7"/>
        <v>119</v>
      </c>
      <c r="AY281" s="117">
        <f t="shared" si="8"/>
        <v>119</v>
      </c>
      <c r="AZ281" s="120">
        <f t="shared" si="9"/>
        <v>0</v>
      </c>
      <c r="BA281" s="115">
        <v>0.0</v>
      </c>
      <c r="BB281" s="89">
        <f t="shared" si="10"/>
        <v>119</v>
      </c>
      <c r="BC281" s="143" t="s">
        <v>54</v>
      </c>
      <c r="BD281" s="132" t="s">
        <v>178</v>
      </c>
      <c r="BE281" s="132" t="s">
        <v>178</v>
      </c>
      <c r="BF281" s="123"/>
      <c r="BG281" s="83">
        <v>1178382.0</v>
      </c>
      <c r="BH281" s="98"/>
      <c r="BI281" s="98" t="s">
        <v>171</v>
      </c>
      <c r="BJ281" s="98" t="s">
        <v>155</v>
      </c>
      <c r="BK281" s="99">
        <f t="shared" si="11"/>
        <v>119</v>
      </c>
      <c r="BL281" s="99">
        <f t="shared" si="12"/>
        <v>0</v>
      </c>
      <c r="BM281" s="99" t="str">
        <f>IFERROR(__xludf.DUMMYFUNCTION("IFERROR(VLOOKUP(BG281,IMPORTRANGE(""https://docs.google.com/spreadsheets/d/1juPI-Fb8LD0YtltB2mlGEnp_R3UVu1t3wSFPzgCyHXE/edit?gid=0#gid=0"",""GERAL!A2:C""),3,0),""-"")"),"EFA")</f>
        <v>EFA</v>
      </c>
    </row>
    <row r="282" ht="15.75" customHeight="1">
      <c r="A282" s="111" t="s">
        <v>383</v>
      </c>
      <c r="B282" s="83" t="s">
        <v>1207</v>
      </c>
      <c r="C282" s="83" t="s">
        <v>68</v>
      </c>
      <c r="D282" s="112">
        <v>1179389.0</v>
      </c>
      <c r="E282" s="83"/>
      <c r="F282" s="83">
        <v>2.9464382E7</v>
      </c>
      <c r="G282" s="384" t="s">
        <v>1211</v>
      </c>
      <c r="H282" s="91" t="s">
        <v>1212</v>
      </c>
      <c r="I282" s="83" t="s">
        <v>1213</v>
      </c>
      <c r="J282" s="83" t="s">
        <v>315</v>
      </c>
      <c r="K282" s="83" t="s">
        <v>151</v>
      </c>
      <c r="L282" s="83" t="s">
        <v>76</v>
      </c>
      <c r="M282" s="82" t="str">
        <f>IFERROR(__xludf.DUMMYFUNCTION("IFERROR(VLOOKUP(D282,
IMPORTRANGE(""https://docs.google.com/spreadsheets/d/1MjHtlUikwobi2MaWJgy7tfLeBmhj1u-dRFRs_8GwSoA/edit#gid=0"",""Gestores Escolares!D7:J""),3,0),""VERIFICAR CÓD SEC"")"),"CATIANA GUIMARAES RIBEIRO")</f>
        <v>CATIANA GUIMARAES RIBEIRO</v>
      </c>
      <c r="N282" s="82" t="str">
        <f>IFERROR(__xludf.DUMMYFUNCTION("IFERROR(VLOOKUP(D282,
IMPORTRANGE(""https://docs.google.com/spreadsheets/d/1MjHtlUikwobi2MaWJgy7tfLeBmhj1u-dRFRs_8GwSoA/edit#gid=0"",""Gestores Escolares!D7:J""),4,0),""VERIFICAR CÓD SEC"")"),"(75) 9 9962-7923")</f>
        <v>(75) 9 9962-7923</v>
      </c>
      <c r="O282" s="82" t="str">
        <f>IFERROR(__xludf.DUMMYFUNCTION("IFERROR(VLOOKUP(D282,
IMPORTRANGE(""https://docs.google.com/spreadsheets/d/1MjHtlUikwobi2MaWJgy7tfLeBmhj1u-dRFRs_8GwSoA/edit#gid=0"",""Gestores Escolares!D7:J""),6,0),""VERIFICAR CÓD SEC"")"),"ISMAEL RICARDO CARDOSO DO NASCIMENTO")</f>
        <v>ISMAEL RICARDO CARDOSO DO NASCIMENTO</v>
      </c>
      <c r="P282" s="82" t="str">
        <f>IFERROR(__xludf.DUMMYFUNCTION("IFERROR(VLOOKUP(D282,
IMPORTRANGE(""https://docs.google.com/spreadsheets/d/1MjHtlUikwobi2MaWJgy7tfLeBmhj1u-dRFRs_8GwSoA/edit#gid=0"",""Gestores Escolares!D7:J""),7,0),""VERIFICAR CÓD SEC"")"),"(75) 9 9192-3592")</f>
        <v>(75) 9 9192-3592</v>
      </c>
      <c r="Q282" s="82" t="str">
        <f>IFERROR(__xludf.DUMMYFUNCTION("IFERROR(VLOOKUP(D282,
IMPORTRANGE(""https://docs.google.com/spreadsheets/d/1MjHtlUikwobi2MaWJgy7tfLeBmhj1u-dRFRs_8GwSoA/edit#gid=0"",""Gestores Escolares!D7:m""),9,0),""VERIFICAR CÓD SEC"")"),"")</f>
        <v/>
      </c>
      <c r="R282" s="82" t="str">
        <f>IFERROR(__xludf.DUMMYFUNCTION("IFERROR(VLOOKUP(D282,
IMPORTRANGE(""https://docs.google.com/spreadsheets/d/1MjHtlUikwobi2MaWJgy7tfLeBmhj1u-dRFRs_8GwSoA/edit#gid=0"",""Gestores Escolares!D7:m""),10,0),""VERIFICAR CÓD SEC"")"),"")</f>
        <v/>
      </c>
      <c r="S282" s="82"/>
      <c r="T282" s="138">
        <v>6.0</v>
      </c>
      <c r="U282" s="139">
        <v>6.0</v>
      </c>
      <c r="V282" s="106">
        <v>0.0</v>
      </c>
      <c r="W282" s="107">
        <v>0.0</v>
      </c>
      <c r="X282" s="107">
        <v>0.0</v>
      </c>
      <c r="Y282" s="107">
        <v>0.0</v>
      </c>
      <c r="Z282" s="80">
        <f t="shared" si="1"/>
        <v>0</v>
      </c>
      <c r="AA282" s="106">
        <v>0.0</v>
      </c>
      <c r="AB282" s="107">
        <v>0.0</v>
      </c>
      <c r="AC282" s="107">
        <v>0.0</v>
      </c>
      <c r="AD282" s="107">
        <v>0.0</v>
      </c>
      <c r="AE282" s="80">
        <f t="shared" si="2"/>
        <v>0</v>
      </c>
      <c r="AF282" s="140">
        <v>222.0</v>
      </c>
      <c r="AG282" s="109">
        <v>209.0</v>
      </c>
      <c r="AH282" s="109">
        <v>0.0</v>
      </c>
      <c r="AI282" s="141">
        <v>0.0</v>
      </c>
      <c r="AJ282" s="80">
        <f t="shared" si="3"/>
        <v>431</v>
      </c>
      <c r="AK282" s="140">
        <v>0.0</v>
      </c>
      <c r="AL282" s="109">
        <v>0.0</v>
      </c>
      <c r="AM282" s="141">
        <v>0.0</v>
      </c>
      <c r="AN282" s="80">
        <f t="shared" si="4"/>
        <v>0</v>
      </c>
      <c r="AO282" s="140">
        <v>0.0</v>
      </c>
      <c r="AP282" s="109">
        <v>0.0</v>
      </c>
      <c r="AQ282" s="109">
        <v>31.0</v>
      </c>
      <c r="AR282" s="80">
        <f t="shared" si="5"/>
        <v>31</v>
      </c>
      <c r="AS282" s="110">
        <v>0.0</v>
      </c>
      <c r="AT282" s="110">
        <v>0.0</v>
      </c>
      <c r="AU282" s="110">
        <v>0.0</v>
      </c>
      <c r="AV282" s="142">
        <v>0.0</v>
      </c>
      <c r="AW282" s="80">
        <f t="shared" si="6"/>
        <v>0</v>
      </c>
      <c r="AX282" s="113">
        <f t="shared" si="7"/>
        <v>462</v>
      </c>
      <c r="AY282" s="117">
        <f t="shared" si="8"/>
        <v>431</v>
      </c>
      <c r="AZ282" s="120">
        <f t="shared" si="9"/>
        <v>31</v>
      </c>
      <c r="BA282" s="115">
        <v>0.0</v>
      </c>
      <c r="BB282" s="89">
        <f t="shared" si="10"/>
        <v>462</v>
      </c>
      <c r="BC282" s="132" t="s">
        <v>373</v>
      </c>
      <c r="BD282" s="132" t="s">
        <v>178</v>
      </c>
      <c r="BE282" s="132" t="s">
        <v>178</v>
      </c>
      <c r="BF282" s="156"/>
      <c r="BG282" s="83">
        <v>1179389.0</v>
      </c>
      <c r="BH282" s="112"/>
      <c r="BI282" s="112">
        <v>6.0</v>
      </c>
      <c r="BJ282" s="98" t="s">
        <v>162</v>
      </c>
      <c r="BK282" s="99">
        <f t="shared" si="11"/>
        <v>0</v>
      </c>
      <c r="BL282" s="99">
        <f t="shared" si="12"/>
        <v>431</v>
      </c>
      <c r="BM282" s="99" t="str">
        <f>IFERROR(__xludf.DUMMYFUNCTION("IFERROR(VLOOKUP(BG282,IMPORTRANGE(""https://docs.google.com/spreadsheets/d/1juPI-Fb8LD0YtltB2mlGEnp_R3UVu1t3wSFPzgCyHXE/edit?gid=0#gid=0"",""GERAL!A2:C""),3,0),""-"")"),"CAMPO")</f>
        <v>CAMPO</v>
      </c>
    </row>
    <row r="283" ht="15.75" customHeight="1">
      <c r="A283" s="111" t="s">
        <v>383</v>
      </c>
      <c r="B283" s="83" t="s">
        <v>1207</v>
      </c>
      <c r="C283" s="83" t="s">
        <v>68</v>
      </c>
      <c r="D283" s="112">
        <v>1177073.0</v>
      </c>
      <c r="E283" s="83"/>
      <c r="F283" s="83">
        <v>2.9411947E7</v>
      </c>
      <c r="G283" s="147" t="s">
        <v>1216</v>
      </c>
      <c r="H283" s="91" t="s">
        <v>1217</v>
      </c>
      <c r="I283" s="83" t="s">
        <v>149</v>
      </c>
      <c r="J283" s="83" t="s">
        <v>150</v>
      </c>
      <c r="K283" s="83" t="s">
        <v>151</v>
      </c>
      <c r="L283" s="83" t="s">
        <v>230</v>
      </c>
      <c r="M283" s="82" t="str">
        <f>IFERROR(__xludf.DUMMYFUNCTION("IFERROR(VLOOKUP(D283,
IMPORTRANGE(""https://docs.google.com/spreadsheets/d/1MjHtlUikwobi2MaWJgy7tfLeBmhj1u-dRFRs_8GwSoA/edit#gid=0"",""Gestores Escolares!D7:J""),3,0),""VERIFICAR CÓD SEC"")"),"IVONE OLIVEIRA DA COSTA SOUZA ")</f>
        <v>IVONE OLIVEIRA DA COSTA SOUZA </v>
      </c>
      <c r="N283" s="82" t="str">
        <f>IFERROR(__xludf.DUMMYFUNCTION("IFERROR(VLOOKUP(D283,
IMPORTRANGE(""https://docs.google.com/spreadsheets/d/1MjHtlUikwobi2MaWJgy7tfLeBmhj1u-dRFRs_8GwSoA/edit#gid=0"",""Gestores Escolares!D7:J""),4,0),""VERIFICAR CÓD SEC"")"),"(75) 9 9139-1887")</f>
        <v>(75) 9 9139-1887</v>
      </c>
      <c r="O283" s="82" t="str">
        <f>IFERROR(__xludf.DUMMYFUNCTION("IFERROR(VLOOKUP(D283,
IMPORTRANGE(""https://docs.google.com/spreadsheets/d/1MjHtlUikwobi2MaWJgy7tfLeBmhj1u-dRFRs_8GwSoA/edit#gid=0"",""Gestores Escolares!D7:J""),6,0),""VERIFICAR CÓD SEC"")"),"SIMONE CONCEIÇÃO SOARES DIAS")</f>
        <v>SIMONE CONCEIÇÃO SOARES DIAS</v>
      </c>
      <c r="P283" s="82" t="str">
        <f>IFERROR(__xludf.DUMMYFUNCTION("IFERROR(VLOOKUP(D283,
IMPORTRANGE(""https://docs.google.com/spreadsheets/d/1MjHtlUikwobi2MaWJgy7tfLeBmhj1u-dRFRs_8GwSoA/edit#gid=0"",""Gestores Escolares!D7:J""),7,0),""VERIFICAR CÓD SEC"")"),"(75) 9 9963-3389")</f>
        <v>(75) 9 9963-3389</v>
      </c>
      <c r="Q283" s="82" t="str">
        <f>IFERROR(__xludf.DUMMYFUNCTION("IFERROR(VLOOKUP(D283,
IMPORTRANGE(""https://docs.google.com/spreadsheets/d/1MjHtlUikwobi2MaWJgy7tfLeBmhj1u-dRFRs_8GwSoA/edit#gid=0"",""Gestores Escolares!D7:m""),9,0),""VERIFICAR CÓD SEC"")"),"ROBERTO DANTAS DA SILVA")</f>
        <v>ROBERTO DANTAS DA SILVA</v>
      </c>
      <c r="R283" s="82" t="str">
        <f>IFERROR(__xludf.DUMMYFUNCTION("IFERROR(VLOOKUP(D283,
IMPORTRANGE(""https://docs.google.com/spreadsheets/d/1MjHtlUikwobi2MaWJgy7tfLeBmhj1u-dRFRs_8GwSoA/edit#gid=0"",""Gestores Escolares!D7:m""),10,0),""VERIFICAR CÓD SEC"")"),"(75) 9 9712-8965")</f>
        <v>(75) 9 9712-8965</v>
      </c>
      <c r="S283" s="82"/>
      <c r="T283" s="138">
        <v>15.0</v>
      </c>
      <c r="U283" s="217" t="s">
        <v>4055</v>
      </c>
      <c r="V283" s="106">
        <v>0.0</v>
      </c>
      <c r="W283" s="107">
        <v>0.0</v>
      </c>
      <c r="X283" s="107">
        <v>0.0</v>
      </c>
      <c r="Y283" s="107">
        <v>0.0</v>
      </c>
      <c r="Z283" s="80">
        <f t="shared" si="1"/>
        <v>0</v>
      </c>
      <c r="AA283" s="106">
        <v>0.0</v>
      </c>
      <c r="AB283" s="107">
        <v>0.0</v>
      </c>
      <c r="AC283" s="107">
        <v>0.0</v>
      </c>
      <c r="AD283" s="107">
        <v>0.0</v>
      </c>
      <c r="AE283" s="80">
        <f t="shared" si="2"/>
        <v>0</v>
      </c>
      <c r="AF283" s="222">
        <v>272.0</v>
      </c>
      <c r="AG283" s="222">
        <v>205.0</v>
      </c>
      <c r="AH283" s="222">
        <v>0.0</v>
      </c>
      <c r="AI283" s="224">
        <v>543.0</v>
      </c>
      <c r="AJ283" s="80">
        <f t="shared" si="3"/>
        <v>1020</v>
      </c>
      <c r="AK283" s="140">
        <v>0.0</v>
      </c>
      <c r="AL283" s="109">
        <v>0.0</v>
      </c>
      <c r="AM283" s="141">
        <v>0.0</v>
      </c>
      <c r="AN283" s="80">
        <f t="shared" si="4"/>
        <v>0</v>
      </c>
      <c r="AO283" s="222">
        <v>0.0</v>
      </c>
      <c r="AP283" s="222">
        <v>0.0</v>
      </c>
      <c r="AQ283" s="224">
        <v>85.0</v>
      </c>
      <c r="AR283" s="80">
        <f t="shared" si="5"/>
        <v>85</v>
      </c>
      <c r="AS283" s="110">
        <v>0.0</v>
      </c>
      <c r="AT283" s="110">
        <v>0.0</v>
      </c>
      <c r="AU283" s="110">
        <v>28.0</v>
      </c>
      <c r="AV283" s="142">
        <v>89.0</v>
      </c>
      <c r="AW283" s="80">
        <f t="shared" si="6"/>
        <v>117</v>
      </c>
      <c r="AX283" s="113">
        <f t="shared" si="7"/>
        <v>1222</v>
      </c>
      <c r="AY283" s="117">
        <f t="shared" si="8"/>
        <v>1109</v>
      </c>
      <c r="AZ283" s="120">
        <f t="shared" si="9"/>
        <v>113</v>
      </c>
      <c r="BA283" s="115">
        <v>0.0</v>
      </c>
      <c r="BB283" s="89">
        <f t="shared" si="10"/>
        <v>1222</v>
      </c>
      <c r="BC283" s="132" t="s">
        <v>178</v>
      </c>
      <c r="BD283" s="132" t="s">
        <v>178</v>
      </c>
      <c r="BE283" s="132" t="s">
        <v>178</v>
      </c>
      <c r="BF283" s="156"/>
      <c r="BG283" s="83">
        <v>1177073.0</v>
      </c>
      <c r="BH283" s="112"/>
      <c r="BI283" s="112">
        <v>15.0</v>
      </c>
      <c r="BJ283" s="98" t="s">
        <v>176</v>
      </c>
      <c r="BK283" s="99">
        <f t="shared" si="11"/>
        <v>632</v>
      </c>
      <c r="BL283" s="99">
        <f t="shared" si="12"/>
        <v>477</v>
      </c>
      <c r="BM283" s="99" t="str">
        <f>IFERROR(__xludf.DUMMYFUNCTION("IFERROR(VLOOKUP(BG283,IMPORTRANGE(""https://docs.google.com/spreadsheets/d/1juPI-Fb8LD0YtltB2mlGEnp_R3UVu1t3wSFPzgCyHXE/edit?gid=0#gid=0"",""GERAL!A2:C""),3,0),""-"")"),"-")</f>
        <v>-</v>
      </c>
    </row>
    <row r="284" ht="15.75" customHeight="1">
      <c r="A284" s="111" t="s">
        <v>383</v>
      </c>
      <c r="B284" s="83" t="s">
        <v>1207</v>
      </c>
      <c r="C284" s="83" t="s">
        <v>164</v>
      </c>
      <c r="D284" s="98">
        <v>1179794.0</v>
      </c>
      <c r="E284" s="98">
        <v>1179794.0</v>
      </c>
      <c r="F284" s="98">
        <v>2.9491614E7</v>
      </c>
      <c r="G284" s="292" t="s">
        <v>1220</v>
      </c>
      <c r="H284" s="91"/>
      <c r="I284" s="136"/>
      <c r="J284" s="229"/>
      <c r="K284" s="136"/>
      <c r="L284" s="136"/>
      <c r="M284" s="82" t="str">
        <f>IFERROR(__xludf.DUMMYFUNCTION("IFERROR(VLOOKUP(D284,
IMPORTRANGE(""https://docs.google.com/spreadsheets/d/1MjHtlUikwobi2MaWJgy7tfLeBmhj1u-dRFRs_8GwSoA/edit#gid=0"",""Gestores Escolares!D7:J""),3,0),""VERIFICAR CÓD SEC"")"),"VERIFICAR CÓD SEC")</f>
        <v>VERIFICAR CÓD SEC</v>
      </c>
      <c r="N284" s="82" t="str">
        <f>IFERROR(__xludf.DUMMYFUNCTION("IFERROR(VLOOKUP(D284,
IMPORTRANGE(""https://docs.google.com/spreadsheets/d/1MjHtlUikwobi2MaWJgy7tfLeBmhj1u-dRFRs_8GwSoA/edit#gid=0"",""Gestores Escolares!D7:J""),4,0),""VERIFICAR CÓD SEC"")"),"VERIFICAR CÓD SEC")</f>
        <v>VERIFICAR CÓD SEC</v>
      </c>
      <c r="O284" s="82" t="str">
        <f>IFERROR(__xludf.DUMMYFUNCTION("IFERROR(VLOOKUP(D284,
IMPORTRANGE(""https://docs.google.com/spreadsheets/d/1MjHtlUikwobi2MaWJgy7tfLeBmhj1u-dRFRs_8GwSoA/edit#gid=0"",""Gestores Escolares!D7:J""),6,0),""VERIFICAR CÓD SEC"")"),"VERIFICAR CÓD SEC")</f>
        <v>VERIFICAR CÓD SEC</v>
      </c>
      <c r="P284" s="82" t="str">
        <f>IFERROR(__xludf.DUMMYFUNCTION("IFERROR(VLOOKUP(D284,
IMPORTRANGE(""https://docs.google.com/spreadsheets/d/1MjHtlUikwobi2MaWJgy7tfLeBmhj1u-dRFRs_8GwSoA/edit#gid=0"",""Gestores Escolares!D7:J""),7,0),""VERIFICAR CÓD SEC"")"),"VERIFICAR CÓD SEC")</f>
        <v>VERIFICAR CÓD SEC</v>
      </c>
      <c r="Q284" s="82" t="str">
        <f>IFERROR(__xludf.DUMMYFUNCTION("IFERROR(VLOOKUP(D284,
IMPORTRANGE(""https://docs.google.com/spreadsheets/d/1MjHtlUikwobi2MaWJgy7tfLeBmhj1u-dRFRs_8GwSoA/edit#gid=0"",""Gestores Escolares!D7:m""),9,0),""VERIFICAR CÓD SEC"")"),"VERIFICAR CÓD SEC")</f>
        <v>VERIFICAR CÓD SEC</v>
      </c>
      <c r="R284" s="82" t="str">
        <f>IFERROR(__xludf.DUMMYFUNCTION("IFERROR(VLOOKUP(D284,
IMPORTRANGE(""https://docs.google.com/spreadsheets/d/1MjHtlUikwobi2MaWJgy7tfLeBmhj1u-dRFRs_8GwSoA/edit#gid=0"",""Gestores Escolares!D7:m""),10,0),""VERIFICAR CÓD SEC"")"),"VERIFICAR CÓD SEC")</f>
        <v>VERIFICAR CÓD SEC</v>
      </c>
      <c r="S284" s="82"/>
      <c r="T284" s="138"/>
      <c r="U284" s="217"/>
      <c r="V284" s="106">
        <v>0.0</v>
      </c>
      <c r="W284" s="107">
        <v>0.0</v>
      </c>
      <c r="X284" s="107">
        <v>0.0</v>
      </c>
      <c r="Y284" s="107">
        <v>0.0</v>
      </c>
      <c r="Z284" s="80">
        <f t="shared" si="1"/>
        <v>0</v>
      </c>
      <c r="AA284" s="106">
        <v>0.0</v>
      </c>
      <c r="AB284" s="107">
        <v>0.0</v>
      </c>
      <c r="AC284" s="107">
        <v>0.0</v>
      </c>
      <c r="AD284" s="107">
        <v>0.0</v>
      </c>
      <c r="AE284" s="80">
        <f t="shared" si="2"/>
        <v>0</v>
      </c>
      <c r="AF284" s="225">
        <v>0.0</v>
      </c>
      <c r="AG284" s="226">
        <v>0.0</v>
      </c>
      <c r="AH284" s="226">
        <v>0.0</v>
      </c>
      <c r="AI284" s="227">
        <v>0.0</v>
      </c>
      <c r="AJ284" s="80">
        <f t="shared" si="3"/>
        <v>0</v>
      </c>
      <c r="AK284" s="140">
        <v>0.0</v>
      </c>
      <c r="AL284" s="109">
        <v>0.0</v>
      </c>
      <c r="AM284" s="141">
        <v>0.0</v>
      </c>
      <c r="AN284" s="80">
        <f t="shared" si="4"/>
        <v>0</v>
      </c>
      <c r="AO284" s="225">
        <v>0.0</v>
      </c>
      <c r="AP284" s="226">
        <v>0.0</v>
      </c>
      <c r="AQ284" s="226">
        <v>0.0</v>
      </c>
      <c r="AR284" s="80">
        <f t="shared" si="5"/>
        <v>0</v>
      </c>
      <c r="AS284" s="110">
        <v>0.0</v>
      </c>
      <c r="AT284" s="110">
        <v>0.0</v>
      </c>
      <c r="AU284" s="110">
        <v>0.0</v>
      </c>
      <c r="AV284" s="142">
        <v>0.0</v>
      </c>
      <c r="AW284" s="80">
        <f t="shared" si="6"/>
        <v>0</v>
      </c>
      <c r="AX284" s="113">
        <f t="shared" si="7"/>
        <v>0</v>
      </c>
      <c r="AY284" s="117">
        <f t="shared" si="8"/>
        <v>0</v>
      </c>
      <c r="AZ284" s="120">
        <f t="shared" si="9"/>
        <v>0</v>
      </c>
      <c r="BA284" s="115">
        <v>0.0</v>
      </c>
      <c r="BB284" s="89">
        <f t="shared" si="10"/>
        <v>0</v>
      </c>
      <c r="BC284" s="143"/>
      <c r="BD284" s="132"/>
      <c r="BE284" s="132"/>
      <c r="BF284" s="123"/>
      <c r="BG284" s="98">
        <v>1179794.0</v>
      </c>
      <c r="BH284" s="98"/>
      <c r="BI284" s="98"/>
      <c r="BJ284" s="98"/>
      <c r="BK284" s="99">
        <f t="shared" si="11"/>
        <v>0</v>
      </c>
      <c r="BL284" s="99">
        <f t="shared" si="12"/>
        <v>0</v>
      </c>
      <c r="BM284" s="99" t="str">
        <f>IFERROR(__xludf.DUMMYFUNCTION("IFERROR(VLOOKUP(BG284,IMPORTRANGE(""https://docs.google.com/spreadsheets/d/1juPI-Fb8LD0YtltB2mlGEnp_R3UVu1t3wSFPzgCyHXE/edit?gid=0#gid=0"",""GERAL!A2:C""),3,0),""-"")"),"-")</f>
        <v>-</v>
      </c>
    </row>
    <row r="285" ht="15.75" customHeight="1">
      <c r="A285" s="111" t="s">
        <v>383</v>
      </c>
      <c r="B285" s="136" t="s">
        <v>1221</v>
      </c>
      <c r="C285" s="83" t="s">
        <v>68</v>
      </c>
      <c r="D285" s="112">
        <v>1178091.0</v>
      </c>
      <c r="E285" s="83"/>
      <c r="F285" s="83">
        <v>2.9432022E7</v>
      </c>
      <c r="G285" s="147" t="s">
        <v>1222</v>
      </c>
      <c r="H285" s="91" t="s">
        <v>1223</v>
      </c>
      <c r="I285" s="83" t="s">
        <v>149</v>
      </c>
      <c r="J285" s="83" t="s">
        <v>150</v>
      </c>
      <c r="K285" s="83" t="s">
        <v>151</v>
      </c>
      <c r="L285" s="83" t="s">
        <v>76</v>
      </c>
      <c r="M285" s="82" t="str">
        <f>IFERROR(__xludf.DUMMYFUNCTION("IFERROR(VLOOKUP(D285,
IMPORTRANGE(""https://docs.google.com/spreadsheets/d/1MjHtlUikwobi2MaWJgy7tfLeBmhj1u-dRFRs_8GwSoA/edit#gid=0"",""Gestores Escolares!D7:J""),3,0),""VERIFICAR CÓD SEC"")"),"	PAULO VINICIUS MORAES FERREIRA")</f>
        <v>	PAULO VINICIUS MORAES FERREIRA</v>
      </c>
      <c r="N285" s="82" t="str">
        <f>IFERROR(__xludf.DUMMYFUNCTION("IFERROR(VLOOKUP(D285,
IMPORTRANGE(""https://docs.google.com/spreadsheets/d/1MjHtlUikwobi2MaWJgy7tfLeBmhj1u-dRFRs_8GwSoA/edit#gid=0"",""Gestores Escolares!D7:J""),4,0),""VERIFICAR CÓD SEC"")"),"(71) 9 8115-9859")</f>
        <v>(71) 9 8115-9859</v>
      </c>
      <c r="O285" s="82" t="str">
        <f>IFERROR(__xludf.DUMMYFUNCTION("IFERROR(VLOOKUP(D285,
IMPORTRANGE(""https://docs.google.com/spreadsheets/d/1MjHtlUikwobi2MaWJgy7tfLeBmhj1u-dRFRs_8GwSoA/edit#gid=0"",""Gestores Escolares!D7:J""),6,0),""VERIFICAR CÓD SEC"")"),"BRUNO ALVES SOARES LOPES")</f>
        <v>BRUNO ALVES SOARES LOPES</v>
      </c>
      <c r="P285" s="82" t="str">
        <f>IFERROR(__xludf.DUMMYFUNCTION("IFERROR(VLOOKUP(D285,
IMPORTRANGE(""https://docs.google.com/spreadsheets/d/1MjHtlUikwobi2MaWJgy7tfLeBmhj1u-dRFRs_8GwSoA/edit#gid=0"",""Gestores Escolares!D7:J""),7,0),""VERIFICAR CÓD SEC"")"),"(75) 9 8109-5266")</f>
        <v>(75) 9 8109-5266</v>
      </c>
      <c r="Q285" s="82" t="str">
        <f>IFERROR(__xludf.DUMMYFUNCTION("IFERROR(VLOOKUP(D285,
IMPORTRANGE(""https://docs.google.com/spreadsheets/d/1MjHtlUikwobi2MaWJgy7tfLeBmhj1u-dRFRs_8GwSoA/edit#gid=0"",""Gestores Escolares!D7:m""),9,0),""VERIFICAR CÓD SEC"")"),"")</f>
        <v/>
      </c>
      <c r="R285" s="82" t="str">
        <f>IFERROR(__xludf.DUMMYFUNCTION("IFERROR(VLOOKUP(D285,
IMPORTRANGE(""https://docs.google.com/spreadsheets/d/1MjHtlUikwobi2MaWJgy7tfLeBmhj1u-dRFRs_8GwSoA/edit#gid=0"",""Gestores Escolares!D7:m""),10,0),""VERIFICAR CÓD SEC"")"),"")</f>
        <v/>
      </c>
      <c r="S285" s="82"/>
      <c r="T285" s="138">
        <v>8.0</v>
      </c>
      <c r="U285" s="145">
        <v>10.0</v>
      </c>
      <c r="V285" s="106">
        <v>0.0</v>
      </c>
      <c r="W285" s="107">
        <v>0.0</v>
      </c>
      <c r="X285" s="107">
        <v>0.0</v>
      </c>
      <c r="Y285" s="107">
        <v>0.0</v>
      </c>
      <c r="Z285" s="80">
        <f t="shared" si="1"/>
        <v>0</v>
      </c>
      <c r="AA285" s="106">
        <v>0.0</v>
      </c>
      <c r="AB285" s="107">
        <v>0.0</v>
      </c>
      <c r="AC285" s="107">
        <v>0.0</v>
      </c>
      <c r="AD285" s="107">
        <v>0.0</v>
      </c>
      <c r="AE285" s="80">
        <f t="shared" si="2"/>
        <v>0</v>
      </c>
      <c r="AF285" s="140">
        <v>154.0</v>
      </c>
      <c r="AG285" s="109">
        <v>147.0</v>
      </c>
      <c r="AH285" s="109">
        <v>0.0</v>
      </c>
      <c r="AI285" s="141">
        <v>73.0</v>
      </c>
      <c r="AJ285" s="80">
        <f t="shared" si="3"/>
        <v>374</v>
      </c>
      <c r="AK285" s="140">
        <v>0.0</v>
      </c>
      <c r="AL285" s="109">
        <v>0.0</v>
      </c>
      <c r="AM285" s="141">
        <v>0.0</v>
      </c>
      <c r="AN285" s="80">
        <f t="shared" si="4"/>
        <v>0</v>
      </c>
      <c r="AO285" s="140">
        <v>0.0</v>
      </c>
      <c r="AP285" s="109">
        <v>0.0</v>
      </c>
      <c r="AQ285" s="109">
        <v>0.0</v>
      </c>
      <c r="AR285" s="80">
        <f t="shared" si="5"/>
        <v>0</v>
      </c>
      <c r="AS285" s="110">
        <v>0.0</v>
      </c>
      <c r="AT285" s="110">
        <v>60.0</v>
      </c>
      <c r="AU285" s="110">
        <v>0.0</v>
      </c>
      <c r="AV285" s="142">
        <v>0.0</v>
      </c>
      <c r="AW285" s="80">
        <f t="shared" si="6"/>
        <v>60</v>
      </c>
      <c r="AX285" s="113">
        <f t="shared" si="7"/>
        <v>434</v>
      </c>
      <c r="AY285" s="117">
        <f t="shared" si="8"/>
        <v>434</v>
      </c>
      <c r="AZ285" s="120">
        <f t="shared" si="9"/>
        <v>0</v>
      </c>
      <c r="BA285" s="115">
        <v>0.0</v>
      </c>
      <c r="BB285" s="89">
        <f t="shared" si="10"/>
        <v>434</v>
      </c>
      <c r="BC285" s="132" t="s">
        <v>178</v>
      </c>
      <c r="BD285" s="132" t="s">
        <v>178</v>
      </c>
      <c r="BE285" s="132" t="s">
        <v>178</v>
      </c>
      <c r="BF285" s="123"/>
      <c r="BG285" s="83">
        <v>1178091.0</v>
      </c>
      <c r="BH285" s="112"/>
      <c r="BI285" s="112">
        <v>8.0</v>
      </c>
      <c r="BJ285" s="98" t="s">
        <v>176</v>
      </c>
      <c r="BK285" s="99">
        <f t="shared" si="11"/>
        <v>73</v>
      </c>
      <c r="BL285" s="99">
        <f t="shared" si="12"/>
        <v>361</v>
      </c>
      <c r="BM285" s="99" t="str">
        <f>IFERROR(__xludf.DUMMYFUNCTION("IFERROR(VLOOKUP(BG285,IMPORTRANGE(""https://docs.google.com/spreadsheets/d/1juPI-Fb8LD0YtltB2mlGEnp_R3UVu1t3wSFPzgCyHXE/edit?gid=0#gid=0"",""GERAL!A2:C""),3,0),""-"")"),"-")</f>
        <v>-</v>
      </c>
    </row>
    <row r="286" ht="15.75" customHeight="1">
      <c r="A286" s="111" t="s">
        <v>383</v>
      </c>
      <c r="B286" s="83" t="s">
        <v>1227</v>
      </c>
      <c r="C286" s="83" t="s">
        <v>68</v>
      </c>
      <c r="D286" s="112">
        <v>1178050.0</v>
      </c>
      <c r="E286" s="83"/>
      <c r="F286" s="83">
        <v>2.9426537E7</v>
      </c>
      <c r="G286" s="147" t="s">
        <v>1228</v>
      </c>
      <c r="H286" s="91" t="s">
        <v>1229</v>
      </c>
      <c r="I286" s="83" t="s">
        <v>149</v>
      </c>
      <c r="J286" s="83" t="s">
        <v>150</v>
      </c>
      <c r="K286" s="83" t="s">
        <v>151</v>
      </c>
      <c r="L286" s="83" t="s">
        <v>152</v>
      </c>
      <c r="M286" s="82" t="str">
        <f>IFERROR(__xludf.DUMMYFUNCTION("IFERROR(VLOOKUP(D286,
IMPORTRANGE(""https://docs.google.com/spreadsheets/d/1MjHtlUikwobi2MaWJgy7tfLeBmhj1u-dRFRs_8GwSoA/edit#gid=0"",""Gestores Escolares!D7:J""),3,0),""VERIFICAR CÓD SEC"")"),"CARLOS IVAN ALMEIDA LIMA")</f>
        <v>CARLOS IVAN ALMEIDA LIMA</v>
      </c>
      <c r="N286" s="82" t="str">
        <f>IFERROR(__xludf.DUMMYFUNCTION("IFERROR(VLOOKUP(D286,
IMPORTRANGE(""https://docs.google.com/spreadsheets/d/1MjHtlUikwobi2MaWJgy7tfLeBmhj1u-dRFRs_8GwSoA/edit#gid=0"",""Gestores Escolares!D7:J""),4,0),""VERIFICAR CÓD SEC"")"),"(75) 9 9927-0797/
9 9907-2797")</f>
        <v>(75) 9 9927-0797/
9 9907-2797</v>
      </c>
      <c r="O286" s="82" t="str">
        <f>IFERROR(__xludf.DUMMYFUNCTION("IFERROR(VLOOKUP(D286,
IMPORTRANGE(""https://docs.google.com/spreadsheets/d/1MjHtlUikwobi2MaWJgy7tfLeBmhj1u-dRFRs_8GwSoA/edit#gid=0"",""Gestores Escolares!D7:J""),6,0),""VERIFICAR CÓD SEC"")"),"TIAGO DA SILVA OLIVEIRA")</f>
        <v>TIAGO DA SILVA OLIVEIRA</v>
      </c>
      <c r="P286" s="82" t="str">
        <f>IFERROR(__xludf.DUMMYFUNCTION("IFERROR(VLOOKUP(D286,
IMPORTRANGE(""https://docs.google.com/spreadsheets/d/1MjHtlUikwobi2MaWJgy7tfLeBmhj1u-dRFRs_8GwSoA/edit#gid=0"",""Gestores Escolares!D7:J""),7,0),""VERIFICAR CÓD SEC"")"),"(75) 9 8121-2041")</f>
        <v>(75) 9 8121-2041</v>
      </c>
      <c r="Q286" s="82" t="str">
        <f>IFERROR(__xludf.DUMMYFUNCTION("IFERROR(VLOOKUP(D286,
IMPORTRANGE(""https://docs.google.com/spreadsheets/d/1MjHtlUikwobi2MaWJgy7tfLeBmhj1u-dRFRs_8GwSoA/edit#gid=0"",""Gestores Escolares!D7:m""),9,0),""VERIFICAR CÓD SEC"")"),"ROSINEYDE SILVA COSTA")</f>
        <v>ROSINEYDE SILVA COSTA</v>
      </c>
      <c r="R286" s="82" t="str">
        <f>IFERROR(__xludf.DUMMYFUNCTION("IFERROR(VLOOKUP(D286,
IMPORTRANGE(""https://docs.google.com/spreadsheets/d/1MjHtlUikwobi2MaWJgy7tfLeBmhj1u-dRFRs_8GwSoA/edit#gid=0"",""Gestores Escolares!D7:m""),10,0),""VERIFICAR CÓD SEC"")"),"(75) 9 9951-9339")</f>
        <v>(75) 9 9951-9339</v>
      </c>
      <c r="S286" s="82"/>
      <c r="T286" s="138">
        <v>6.0</v>
      </c>
      <c r="U286" s="145">
        <v>14.0</v>
      </c>
      <c r="V286" s="106">
        <v>0.0</v>
      </c>
      <c r="W286" s="107">
        <v>0.0</v>
      </c>
      <c r="X286" s="107">
        <v>0.0</v>
      </c>
      <c r="Y286" s="107">
        <v>0.0</v>
      </c>
      <c r="Z286" s="80">
        <f t="shared" si="1"/>
        <v>0</v>
      </c>
      <c r="AA286" s="106">
        <v>0.0</v>
      </c>
      <c r="AB286" s="107">
        <v>0.0</v>
      </c>
      <c r="AC286" s="107">
        <v>0.0</v>
      </c>
      <c r="AD286" s="107">
        <v>0.0</v>
      </c>
      <c r="AE286" s="80">
        <f t="shared" si="2"/>
        <v>0</v>
      </c>
      <c r="AF286" s="140">
        <v>0.0</v>
      </c>
      <c r="AG286" s="109">
        <v>55.0</v>
      </c>
      <c r="AH286" s="109">
        <v>0.0</v>
      </c>
      <c r="AI286" s="141">
        <v>249.0</v>
      </c>
      <c r="AJ286" s="80">
        <f t="shared" si="3"/>
        <v>304</v>
      </c>
      <c r="AK286" s="140">
        <v>0.0</v>
      </c>
      <c r="AL286" s="109">
        <v>0.0</v>
      </c>
      <c r="AM286" s="141">
        <v>0.0</v>
      </c>
      <c r="AN286" s="80">
        <f t="shared" si="4"/>
        <v>0</v>
      </c>
      <c r="AO286" s="140">
        <v>0.0</v>
      </c>
      <c r="AP286" s="109">
        <v>0.0</v>
      </c>
      <c r="AQ286" s="109">
        <v>114.0</v>
      </c>
      <c r="AR286" s="80">
        <f t="shared" si="5"/>
        <v>114</v>
      </c>
      <c r="AS286" s="110">
        <v>123.0</v>
      </c>
      <c r="AT286" s="110">
        <v>88.0</v>
      </c>
      <c r="AU286" s="110">
        <v>138.0</v>
      </c>
      <c r="AV286" s="142">
        <v>100.0</v>
      </c>
      <c r="AW286" s="80">
        <f t="shared" si="6"/>
        <v>449</v>
      </c>
      <c r="AX286" s="113">
        <f t="shared" si="7"/>
        <v>867</v>
      </c>
      <c r="AY286" s="117">
        <f t="shared" si="8"/>
        <v>615</v>
      </c>
      <c r="AZ286" s="120">
        <f t="shared" si="9"/>
        <v>252</v>
      </c>
      <c r="BA286" s="115">
        <v>0.0</v>
      </c>
      <c r="BB286" s="89">
        <f t="shared" si="10"/>
        <v>867</v>
      </c>
      <c r="BC286" s="132" t="s">
        <v>178</v>
      </c>
      <c r="BD286" s="132" t="s">
        <v>522</v>
      </c>
      <c r="BE286" s="132" t="s">
        <v>178</v>
      </c>
      <c r="BF286" s="123"/>
      <c r="BG286" s="83">
        <v>1178050.0</v>
      </c>
      <c r="BH286" s="98"/>
      <c r="BI286" s="98">
        <v>6.0</v>
      </c>
      <c r="BJ286" s="98" t="s">
        <v>176</v>
      </c>
      <c r="BK286" s="99">
        <f t="shared" si="11"/>
        <v>349</v>
      </c>
      <c r="BL286" s="99">
        <f t="shared" si="12"/>
        <v>266</v>
      </c>
      <c r="BM286" s="99" t="str">
        <f>IFERROR(__xludf.DUMMYFUNCTION("IFERROR(VLOOKUP(BG286,IMPORTRANGE(""https://docs.google.com/spreadsheets/d/1juPI-Fb8LD0YtltB2mlGEnp_R3UVu1t3wSFPzgCyHXE/edit?gid=0#gid=0"",""GERAL!A2:C""),3,0),""-"")"),"-")</f>
        <v>-</v>
      </c>
    </row>
    <row r="287" ht="15.75" customHeight="1">
      <c r="A287" s="111" t="s">
        <v>383</v>
      </c>
      <c r="B287" s="83" t="s">
        <v>1227</v>
      </c>
      <c r="C287" s="83" t="s">
        <v>164</v>
      </c>
      <c r="D287" s="112">
        <v>1178050.0</v>
      </c>
      <c r="E287" s="83">
        <v>1178606.0</v>
      </c>
      <c r="F287" s="98">
        <v>2.948992E7</v>
      </c>
      <c r="G287" s="119" t="s">
        <v>1231</v>
      </c>
      <c r="H287" s="91" t="s">
        <v>1232</v>
      </c>
      <c r="I287" s="83" t="s">
        <v>149</v>
      </c>
      <c r="J287" s="83" t="s">
        <v>315</v>
      </c>
      <c r="K287" s="83" t="s">
        <v>168</v>
      </c>
      <c r="L287" s="83" t="s">
        <v>169</v>
      </c>
      <c r="M287" s="82" t="str">
        <f>IFERROR(__xludf.DUMMYFUNCTION("IFERROR(VLOOKUP(D287,
IMPORTRANGE(""https://docs.google.com/spreadsheets/d/1MjHtlUikwobi2MaWJgy7tfLeBmhj1u-dRFRs_8GwSoA/edit#gid=0"",""Gestores Escolares!D7:J""),3,0),""VERIFICAR CÓD SEC"")"),"CARLOS IVAN ALMEIDA LIMA")</f>
        <v>CARLOS IVAN ALMEIDA LIMA</v>
      </c>
      <c r="N287" s="82" t="str">
        <f>IFERROR(__xludf.DUMMYFUNCTION("IFERROR(VLOOKUP(D287,
IMPORTRANGE(""https://docs.google.com/spreadsheets/d/1MjHtlUikwobi2MaWJgy7tfLeBmhj1u-dRFRs_8GwSoA/edit#gid=0"",""Gestores Escolares!D7:J""),4,0),""VERIFICAR CÓD SEC"")"),"(75) 9 9927-0797/
9 9907-2797")</f>
        <v>(75) 9 9927-0797/
9 9907-2797</v>
      </c>
      <c r="O287" s="82" t="str">
        <f>IFERROR(__xludf.DUMMYFUNCTION("IFERROR(VLOOKUP(D287,
IMPORTRANGE(""https://docs.google.com/spreadsheets/d/1MjHtlUikwobi2MaWJgy7tfLeBmhj1u-dRFRs_8GwSoA/edit#gid=0"",""Gestores Escolares!D7:J""),6,0),""VERIFICAR CÓD SEC"")"),"TIAGO DA SILVA OLIVEIRA")</f>
        <v>TIAGO DA SILVA OLIVEIRA</v>
      </c>
      <c r="P287" s="82" t="str">
        <f>IFERROR(__xludf.DUMMYFUNCTION("IFERROR(VLOOKUP(D287,
IMPORTRANGE(""https://docs.google.com/spreadsheets/d/1MjHtlUikwobi2MaWJgy7tfLeBmhj1u-dRFRs_8GwSoA/edit#gid=0"",""Gestores Escolares!D7:J""),7,0),""VERIFICAR CÓD SEC"")"),"(75) 9 8121-2041")</f>
        <v>(75) 9 8121-2041</v>
      </c>
      <c r="Q287" s="82" t="str">
        <f>IFERROR(__xludf.DUMMYFUNCTION("IFERROR(VLOOKUP(D287,
IMPORTRANGE(""https://docs.google.com/spreadsheets/d/1MjHtlUikwobi2MaWJgy7tfLeBmhj1u-dRFRs_8GwSoA/edit#gid=0"",""Gestores Escolares!D7:m""),9,0),""VERIFICAR CÓD SEC"")"),"ROSINEYDE SILVA COSTA")</f>
        <v>ROSINEYDE SILVA COSTA</v>
      </c>
      <c r="R287" s="82" t="str">
        <f>IFERROR(__xludf.DUMMYFUNCTION("IFERROR(VLOOKUP(D287,
IMPORTRANGE(""https://docs.google.com/spreadsheets/d/1MjHtlUikwobi2MaWJgy7tfLeBmhj1u-dRFRs_8GwSoA/edit#gid=0"",""Gestores Escolares!D7:m""),10,0),""VERIFICAR CÓD SEC"")"),"(75) 9 9951-9339")</f>
        <v>(75) 9 9951-9339</v>
      </c>
      <c r="S287" s="82"/>
      <c r="T287" s="138">
        <v>6.0</v>
      </c>
      <c r="U287" s="145">
        <v>5.0</v>
      </c>
      <c r="V287" s="106">
        <v>0.0</v>
      </c>
      <c r="W287" s="107">
        <v>0.0</v>
      </c>
      <c r="X287" s="107">
        <v>0.0</v>
      </c>
      <c r="Y287" s="107">
        <v>0.0</v>
      </c>
      <c r="Z287" s="80">
        <f t="shared" si="1"/>
        <v>0</v>
      </c>
      <c r="AA287" s="106">
        <v>0.0</v>
      </c>
      <c r="AB287" s="107">
        <v>0.0</v>
      </c>
      <c r="AC287" s="107">
        <v>0.0</v>
      </c>
      <c r="AD287" s="107">
        <v>0.0</v>
      </c>
      <c r="AE287" s="80">
        <f t="shared" si="2"/>
        <v>0</v>
      </c>
      <c r="AF287" s="140">
        <v>0.0</v>
      </c>
      <c r="AG287" s="109">
        <v>34.0</v>
      </c>
      <c r="AH287" s="109">
        <v>0.0</v>
      </c>
      <c r="AI287" s="141">
        <v>0.0</v>
      </c>
      <c r="AJ287" s="80">
        <f t="shared" si="3"/>
        <v>34</v>
      </c>
      <c r="AK287" s="140">
        <v>0.0</v>
      </c>
      <c r="AL287" s="109">
        <v>0.0</v>
      </c>
      <c r="AM287" s="141">
        <v>0.0</v>
      </c>
      <c r="AN287" s="80">
        <f t="shared" si="4"/>
        <v>0</v>
      </c>
      <c r="AO287" s="140">
        <v>0.0</v>
      </c>
      <c r="AP287" s="109">
        <v>0.0</v>
      </c>
      <c r="AQ287" s="109">
        <v>23.0</v>
      </c>
      <c r="AR287" s="80">
        <f t="shared" si="5"/>
        <v>23</v>
      </c>
      <c r="AS287" s="110">
        <v>0.0</v>
      </c>
      <c r="AT287" s="110">
        <v>0.0</v>
      </c>
      <c r="AU287" s="110">
        <v>0.0</v>
      </c>
      <c r="AV287" s="142">
        <v>0.0</v>
      </c>
      <c r="AW287" s="80">
        <f t="shared" si="6"/>
        <v>0</v>
      </c>
      <c r="AX287" s="113">
        <f t="shared" si="7"/>
        <v>57</v>
      </c>
      <c r="AY287" s="117">
        <f t="shared" si="8"/>
        <v>34</v>
      </c>
      <c r="AZ287" s="120">
        <f t="shared" si="9"/>
        <v>23</v>
      </c>
      <c r="BA287" s="115">
        <v>0.0</v>
      </c>
      <c r="BB287" s="89">
        <f t="shared" si="10"/>
        <v>57</v>
      </c>
      <c r="BC287" s="132" t="s">
        <v>373</v>
      </c>
      <c r="BD287" s="132" t="s">
        <v>178</v>
      </c>
      <c r="BE287" s="132" t="s">
        <v>178</v>
      </c>
      <c r="BF287" s="123"/>
      <c r="BG287" s="83">
        <v>1178606.0</v>
      </c>
      <c r="BH287" s="112"/>
      <c r="BI287" s="112">
        <v>6.0</v>
      </c>
      <c r="BJ287" s="98" t="s">
        <v>155</v>
      </c>
      <c r="BK287" s="99">
        <f t="shared" si="11"/>
        <v>0</v>
      </c>
      <c r="BL287" s="99">
        <f t="shared" si="12"/>
        <v>34</v>
      </c>
      <c r="BM287" s="99" t="str">
        <f>IFERROR(__xludf.DUMMYFUNCTION("IFERROR(VLOOKUP(BG287,IMPORTRANGE(""https://docs.google.com/spreadsheets/d/1juPI-Fb8LD0YtltB2mlGEnp_R3UVu1t3wSFPzgCyHXE/edit?gid=0#gid=0"",""GERAL!A2:C""),3,0),""-"")"),"CAMPO")</f>
        <v>CAMPO</v>
      </c>
    </row>
    <row r="288" ht="15.75" customHeight="1">
      <c r="A288" s="111" t="s">
        <v>383</v>
      </c>
      <c r="B288" s="83" t="s">
        <v>1227</v>
      </c>
      <c r="C288" s="83" t="s">
        <v>164</v>
      </c>
      <c r="D288" s="112">
        <v>1178050.0</v>
      </c>
      <c r="E288" s="83">
        <v>1178605.0</v>
      </c>
      <c r="F288" s="98">
        <v>2.9489903E7</v>
      </c>
      <c r="G288" s="119" t="s">
        <v>1233</v>
      </c>
      <c r="H288" s="91" t="s">
        <v>1234</v>
      </c>
      <c r="I288" s="83" t="s">
        <v>149</v>
      </c>
      <c r="J288" s="83" t="s">
        <v>456</v>
      </c>
      <c r="K288" s="83" t="s">
        <v>168</v>
      </c>
      <c r="L288" s="83" t="s">
        <v>169</v>
      </c>
      <c r="M288" s="82" t="str">
        <f>IFERROR(__xludf.DUMMYFUNCTION("IFERROR(VLOOKUP(D288,
IMPORTRANGE(""https://docs.google.com/spreadsheets/d/1MjHtlUikwobi2MaWJgy7tfLeBmhj1u-dRFRs_8GwSoA/edit#gid=0"",""Gestores Escolares!D7:J""),3,0),""VERIFICAR CÓD SEC"")"),"CARLOS IVAN ALMEIDA LIMA")</f>
        <v>CARLOS IVAN ALMEIDA LIMA</v>
      </c>
      <c r="N288" s="82" t="str">
        <f>IFERROR(__xludf.DUMMYFUNCTION("IFERROR(VLOOKUP(D288,
IMPORTRANGE(""https://docs.google.com/spreadsheets/d/1MjHtlUikwobi2MaWJgy7tfLeBmhj1u-dRFRs_8GwSoA/edit#gid=0"",""Gestores Escolares!D7:J""),4,0),""VERIFICAR CÓD SEC"")"),"(75) 9 9927-0797/
9 9907-2797")</f>
        <v>(75) 9 9927-0797/
9 9907-2797</v>
      </c>
      <c r="O288" s="82" t="str">
        <f>IFERROR(__xludf.DUMMYFUNCTION("IFERROR(VLOOKUP(D288,
IMPORTRANGE(""https://docs.google.com/spreadsheets/d/1MjHtlUikwobi2MaWJgy7tfLeBmhj1u-dRFRs_8GwSoA/edit#gid=0"",""Gestores Escolares!D7:J""),6,0),""VERIFICAR CÓD SEC"")"),"TIAGO DA SILVA OLIVEIRA")</f>
        <v>TIAGO DA SILVA OLIVEIRA</v>
      </c>
      <c r="P288" s="82" t="str">
        <f>IFERROR(__xludf.DUMMYFUNCTION("IFERROR(VLOOKUP(D288,
IMPORTRANGE(""https://docs.google.com/spreadsheets/d/1MjHtlUikwobi2MaWJgy7tfLeBmhj1u-dRFRs_8GwSoA/edit#gid=0"",""Gestores Escolares!D7:J""),7,0),""VERIFICAR CÓD SEC"")"),"(75) 9 8121-2041")</f>
        <v>(75) 9 8121-2041</v>
      </c>
      <c r="Q288" s="82" t="str">
        <f>IFERROR(__xludf.DUMMYFUNCTION("IFERROR(VLOOKUP(D288,
IMPORTRANGE(""https://docs.google.com/spreadsheets/d/1MjHtlUikwobi2MaWJgy7tfLeBmhj1u-dRFRs_8GwSoA/edit#gid=0"",""Gestores Escolares!D7:m""),9,0),""VERIFICAR CÓD SEC"")"),"ROSINEYDE SILVA COSTA")</f>
        <v>ROSINEYDE SILVA COSTA</v>
      </c>
      <c r="R288" s="82" t="str">
        <f>IFERROR(__xludf.DUMMYFUNCTION("IFERROR(VLOOKUP(D288,
IMPORTRANGE(""https://docs.google.com/spreadsheets/d/1MjHtlUikwobi2MaWJgy7tfLeBmhj1u-dRFRs_8GwSoA/edit#gid=0"",""Gestores Escolares!D7:m""),10,0),""VERIFICAR CÓD SEC"")"),"(75) 9 9951-9339")</f>
        <v>(75) 9 9951-9339</v>
      </c>
      <c r="S288" s="82"/>
      <c r="T288" s="138">
        <v>3.0</v>
      </c>
      <c r="U288" s="139">
        <v>3.0</v>
      </c>
      <c r="V288" s="106">
        <v>0.0</v>
      </c>
      <c r="W288" s="107">
        <v>0.0</v>
      </c>
      <c r="X288" s="107">
        <v>0.0</v>
      </c>
      <c r="Y288" s="107">
        <v>0.0</v>
      </c>
      <c r="Z288" s="80">
        <f t="shared" si="1"/>
        <v>0</v>
      </c>
      <c r="AA288" s="106">
        <v>0.0</v>
      </c>
      <c r="AB288" s="107">
        <v>0.0</v>
      </c>
      <c r="AC288" s="107">
        <v>0.0</v>
      </c>
      <c r="AD288" s="107">
        <v>0.0</v>
      </c>
      <c r="AE288" s="80">
        <f t="shared" si="2"/>
        <v>0</v>
      </c>
      <c r="AF288" s="140">
        <v>0.0</v>
      </c>
      <c r="AG288" s="109">
        <v>67.0</v>
      </c>
      <c r="AH288" s="109">
        <v>0.0</v>
      </c>
      <c r="AI288" s="141">
        <v>0.0</v>
      </c>
      <c r="AJ288" s="80">
        <f t="shared" si="3"/>
        <v>67</v>
      </c>
      <c r="AK288" s="140">
        <v>0.0</v>
      </c>
      <c r="AL288" s="109">
        <v>0.0</v>
      </c>
      <c r="AM288" s="141">
        <v>0.0</v>
      </c>
      <c r="AN288" s="80">
        <f t="shared" si="4"/>
        <v>0</v>
      </c>
      <c r="AO288" s="140">
        <v>0.0</v>
      </c>
      <c r="AP288" s="109">
        <v>0.0</v>
      </c>
      <c r="AQ288" s="109">
        <v>14.0</v>
      </c>
      <c r="AR288" s="80">
        <f t="shared" si="5"/>
        <v>14</v>
      </c>
      <c r="AS288" s="110">
        <v>0.0</v>
      </c>
      <c r="AT288" s="110">
        <v>0.0</v>
      </c>
      <c r="AU288" s="110">
        <v>0.0</v>
      </c>
      <c r="AV288" s="142">
        <v>0.0</v>
      </c>
      <c r="AW288" s="80">
        <f t="shared" si="6"/>
        <v>0</v>
      </c>
      <c r="AX288" s="113">
        <f t="shared" si="7"/>
        <v>81</v>
      </c>
      <c r="AY288" s="117">
        <f t="shared" si="8"/>
        <v>67</v>
      </c>
      <c r="AZ288" s="120">
        <f t="shared" si="9"/>
        <v>14</v>
      </c>
      <c r="BA288" s="115">
        <v>0.0</v>
      </c>
      <c r="BB288" s="89">
        <f t="shared" si="10"/>
        <v>81</v>
      </c>
      <c r="BC288" s="132" t="s">
        <v>373</v>
      </c>
      <c r="BD288" s="132" t="s">
        <v>178</v>
      </c>
      <c r="BE288" s="132" t="s">
        <v>178</v>
      </c>
      <c r="BF288" s="123"/>
      <c r="BG288" s="83">
        <v>1178605.0</v>
      </c>
      <c r="BH288" s="112"/>
      <c r="BI288" s="112">
        <v>3.0</v>
      </c>
      <c r="BJ288" s="98" t="s">
        <v>155</v>
      </c>
      <c r="BK288" s="99">
        <f t="shared" si="11"/>
        <v>0</v>
      </c>
      <c r="BL288" s="99">
        <f t="shared" si="12"/>
        <v>67</v>
      </c>
      <c r="BM288" s="99" t="str">
        <f>IFERROR(__xludf.DUMMYFUNCTION("IFERROR(VLOOKUP(BG288,IMPORTRANGE(""https://docs.google.com/spreadsheets/d/1juPI-Fb8LD0YtltB2mlGEnp_R3UVu1t3wSFPzgCyHXE/edit?gid=0#gid=0"",""GERAL!A2:C""),3,0),""-"")"),"CAMPO")</f>
        <v>CAMPO</v>
      </c>
    </row>
    <row r="289" ht="15.75" customHeight="1">
      <c r="A289" s="111" t="s">
        <v>383</v>
      </c>
      <c r="B289" s="83" t="s">
        <v>1227</v>
      </c>
      <c r="C289" s="83" t="s">
        <v>164</v>
      </c>
      <c r="D289" s="112">
        <v>1178050.0</v>
      </c>
      <c r="E289" s="83">
        <v>1178608.0</v>
      </c>
      <c r="F289" s="98">
        <v>2.9489911E7</v>
      </c>
      <c r="G289" s="119" t="s">
        <v>1235</v>
      </c>
      <c r="H289" s="91" t="s">
        <v>1234</v>
      </c>
      <c r="I289" s="83" t="s">
        <v>149</v>
      </c>
      <c r="J289" s="136" t="s">
        <v>191</v>
      </c>
      <c r="K289" s="83" t="s">
        <v>151</v>
      </c>
      <c r="L289" s="83" t="s">
        <v>169</v>
      </c>
      <c r="M289" s="82" t="str">
        <f>IFERROR(__xludf.DUMMYFUNCTION("IFERROR(VLOOKUP(D289,
IMPORTRANGE(""https://docs.google.com/spreadsheets/d/1MjHtlUikwobi2MaWJgy7tfLeBmhj1u-dRFRs_8GwSoA/edit#gid=0"",""Gestores Escolares!D7:J""),3,0),""VERIFICAR CÓD SEC"")"),"CARLOS IVAN ALMEIDA LIMA")</f>
        <v>CARLOS IVAN ALMEIDA LIMA</v>
      </c>
      <c r="N289" s="82" t="str">
        <f>IFERROR(__xludf.DUMMYFUNCTION("IFERROR(VLOOKUP(D289,
IMPORTRANGE(""https://docs.google.com/spreadsheets/d/1MjHtlUikwobi2MaWJgy7tfLeBmhj1u-dRFRs_8GwSoA/edit#gid=0"",""Gestores Escolares!D7:J""),4,0),""VERIFICAR CÓD SEC"")"),"(75) 9 9927-0797/
9 9907-2797")</f>
        <v>(75) 9 9927-0797/
9 9907-2797</v>
      </c>
      <c r="O289" s="82" t="str">
        <f>IFERROR(__xludf.DUMMYFUNCTION("IFERROR(VLOOKUP(D289,
IMPORTRANGE(""https://docs.google.com/spreadsheets/d/1MjHtlUikwobi2MaWJgy7tfLeBmhj1u-dRFRs_8GwSoA/edit#gid=0"",""Gestores Escolares!D7:J""),6,0),""VERIFICAR CÓD SEC"")"),"TIAGO DA SILVA OLIVEIRA")</f>
        <v>TIAGO DA SILVA OLIVEIRA</v>
      </c>
      <c r="P289" s="82" t="str">
        <f>IFERROR(__xludf.DUMMYFUNCTION("IFERROR(VLOOKUP(D289,
IMPORTRANGE(""https://docs.google.com/spreadsheets/d/1MjHtlUikwobi2MaWJgy7tfLeBmhj1u-dRFRs_8GwSoA/edit#gid=0"",""Gestores Escolares!D7:J""),7,0),""VERIFICAR CÓD SEC"")"),"(75) 9 8121-2041")</f>
        <v>(75) 9 8121-2041</v>
      </c>
      <c r="Q289" s="82" t="str">
        <f>IFERROR(__xludf.DUMMYFUNCTION("IFERROR(VLOOKUP(D289,
IMPORTRANGE(""https://docs.google.com/spreadsheets/d/1MjHtlUikwobi2MaWJgy7tfLeBmhj1u-dRFRs_8GwSoA/edit#gid=0"",""Gestores Escolares!D7:m""),9,0),""VERIFICAR CÓD SEC"")"),"ROSINEYDE SILVA COSTA")</f>
        <v>ROSINEYDE SILVA COSTA</v>
      </c>
      <c r="R289" s="82" t="str">
        <f>IFERROR(__xludf.DUMMYFUNCTION("IFERROR(VLOOKUP(D289,
IMPORTRANGE(""https://docs.google.com/spreadsheets/d/1MjHtlUikwobi2MaWJgy7tfLeBmhj1u-dRFRs_8GwSoA/edit#gid=0"",""Gestores Escolares!D7:m""),10,0),""VERIFICAR CÓD SEC"")"),"(75) 9 9951-9339")</f>
        <v>(75) 9 9951-9339</v>
      </c>
      <c r="S289" s="82"/>
      <c r="T289" s="138">
        <v>3.0</v>
      </c>
      <c r="U289" s="139">
        <v>3.0</v>
      </c>
      <c r="V289" s="106">
        <v>0.0</v>
      </c>
      <c r="W289" s="107">
        <v>0.0</v>
      </c>
      <c r="X289" s="107">
        <v>0.0</v>
      </c>
      <c r="Y289" s="107">
        <v>0.0</v>
      </c>
      <c r="Z289" s="80">
        <f t="shared" si="1"/>
        <v>0</v>
      </c>
      <c r="AA289" s="106">
        <v>0.0</v>
      </c>
      <c r="AB289" s="107">
        <v>0.0</v>
      </c>
      <c r="AC289" s="107">
        <v>0.0</v>
      </c>
      <c r="AD289" s="107">
        <v>0.0</v>
      </c>
      <c r="AE289" s="80">
        <f t="shared" si="2"/>
        <v>0</v>
      </c>
      <c r="AF289" s="140">
        <v>0.0</v>
      </c>
      <c r="AG289" s="109">
        <v>116.0</v>
      </c>
      <c r="AH289" s="109">
        <v>0.0</v>
      </c>
      <c r="AI289" s="141">
        <v>0.0</v>
      </c>
      <c r="AJ289" s="80">
        <f t="shared" si="3"/>
        <v>116</v>
      </c>
      <c r="AK289" s="140">
        <v>0.0</v>
      </c>
      <c r="AL289" s="109">
        <v>0.0</v>
      </c>
      <c r="AM289" s="141">
        <v>0.0</v>
      </c>
      <c r="AN289" s="80">
        <f t="shared" si="4"/>
        <v>0</v>
      </c>
      <c r="AO289" s="140">
        <v>0.0</v>
      </c>
      <c r="AP289" s="109">
        <v>0.0</v>
      </c>
      <c r="AQ289" s="109">
        <v>0.0</v>
      </c>
      <c r="AR289" s="80">
        <f t="shared" si="5"/>
        <v>0</v>
      </c>
      <c r="AS289" s="110">
        <v>0.0</v>
      </c>
      <c r="AT289" s="110">
        <v>0.0</v>
      </c>
      <c r="AU289" s="110">
        <v>0.0</v>
      </c>
      <c r="AV289" s="142">
        <v>0.0</v>
      </c>
      <c r="AW289" s="80">
        <f t="shared" si="6"/>
        <v>0</v>
      </c>
      <c r="AX289" s="113">
        <f t="shared" si="7"/>
        <v>116</v>
      </c>
      <c r="AY289" s="117">
        <f t="shared" si="8"/>
        <v>116</v>
      </c>
      <c r="AZ289" s="120">
        <f t="shared" si="9"/>
        <v>0</v>
      </c>
      <c r="BA289" s="115">
        <v>0.0</v>
      </c>
      <c r="BB289" s="89">
        <f t="shared" si="10"/>
        <v>116</v>
      </c>
      <c r="BC289" s="132" t="s">
        <v>373</v>
      </c>
      <c r="BD289" s="132" t="s">
        <v>178</v>
      </c>
      <c r="BE289" s="132" t="s">
        <v>178</v>
      </c>
      <c r="BF289" s="123"/>
      <c r="BG289" s="83">
        <v>1178608.0</v>
      </c>
      <c r="BH289" s="112"/>
      <c r="BI289" s="112">
        <v>3.0</v>
      </c>
      <c r="BJ289" s="98" t="s">
        <v>155</v>
      </c>
      <c r="BK289" s="99">
        <f t="shared" si="11"/>
        <v>0</v>
      </c>
      <c r="BL289" s="99">
        <f t="shared" si="12"/>
        <v>116</v>
      </c>
      <c r="BM289" s="99" t="str">
        <f>IFERROR(__xludf.DUMMYFUNCTION("IFERROR(VLOOKUP(BG289,IMPORTRANGE(""https://docs.google.com/spreadsheets/d/1juPI-Fb8LD0YtltB2mlGEnp_R3UVu1t3wSFPzgCyHXE/edit?gid=0#gid=0"",""GERAL!A2:C""),3,0),""-"")"),"CAMPO")</f>
        <v>CAMPO</v>
      </c>
    </row>
    <row r="290" ht="15.75" customHeight="1">
      <c r="A290" s="111" t="s">
        <v>383</v>
      </c>
      <c r="B290" s="83" t="s">
        <v>1236</v>
      </c>
      <c r="C290" s="83" t="s">
        <v>68</v>
      </c>
      <c r="D290" s="112">
        <v>1179117.0</v>
      </c>
      <c r="E290" s="83"/>
      <c r="F290" s="83">
        <v>2.9399238E7</v>
      </c>
      <c r="G290" s="153" t="s">
        <v>1237</v>
      </c>
      <c r="H290" s="108" t="s">
        <v>1238</v>
      </c>
      <c r="I290" s="172" t="s">
        <v>1239</v>
      </c>
      <c r="J290" s="83" t="s">
        <v>839</v>
      </c>
      <c r="K290" s="83" t="s">
        <v>151</v>
      </c>
      <c r="L290" s="83" t="s">
        <v>230</v>
      </c>
      <c r="M290" s="82" t="str">
        <f>IFERROR(__xludf.DUMMYFUNCTION("IFERROR(VLOOKUP(D290,
IMPORTRANGE(""https://docs.google.com/spreadsheets/d/1MjHtlUikwobi2MaWJgy7tfLeBmhj1u-dRFRs_8GwSoA/edit#gid=0"",""Gestores Escolares!D7:J""),3,0),""VERIFICAR CÓD SEC"")"),"IGOR LUIZ DOS SANTOS")</f>
        <v>IGOR LUIZ DOS SANTOS</v>
      </c>
      <c r="N290" s="82" t="str">
        <f>IFERROR(__xludf.DUMMYFUNCTION("IFERROR(VLOOKUP(D290,
IMPORTRANGE(""https://docs.google.com/spreadsheets/d/1MjHtlUikwobi2MaWJgy7tfLeBmhj1u-dRFRs_8GwSoA/edit#gid=0"",""Gestores Escolares!D7:J""),4,0),""VERIFICAR CÓD SEC"")"),"(87) 9 9967-1348")</f>
        <v>(87) 9 9967-1348</v>
      </c>
      <c r="O290" s="82" t="str">
        <f>IFERROR(__xludf.DUMMYFUNCTION("IFERROR(VLOOKUP(D290,
IMPORTRANGE(""https://docs.google.com/spreadsheets/d/1MjHtlUikwobi2MaWJgy7tfLeBmhj1u-dRFRs_8GwSoA/edit#gid=0"",""Gestores Escolares!D7:J""),6,0),""VERIFICAR CÓD SEC"")"),"ADEMIR SANTOS DE ARAUJO")</f>
        <v>ADEMIR SANTOS DE ARAUJO</v>
      </c>
      <c r="P290" s="82" t="str">
        <f>IFERROR(__xludf.DUMMYFUNCTION("IFERROR(VLOOKUP(D290,
IMPORTRANGE(""https://docs.google.com/spreadsheets/d/1MjHtlUikwobi2MaWJgy7tfLeBmhj1u-dRFRs_8GwSoA/edit#gid=0"",""Gestores Escolares!D7:J""),7,0),""VERIFICAR CÓD SEC"")"),"(75) 9 9954-7071")</f>
        <v>(75) 9 9954-7071</v>
      </c>
      <c r="Q290" s="82" t="str">
        <f>IFERROR(__xludf.DUMMYFUNCTION("IFERROR(VLOOKUP(D290,
IMPORTRANGE(""https://docs.google.com/spreadsheets/d/1MjHtlUikwobi2MaWJgy7tfLeBmhj1u-dRFRs_8GwSoA/edit#gid=0"",""Gestores Escolares!D7:m""),9,0),""VERIFICAR CÓD SEC"")"),"")</f>
        <v/>
      </c>
      <c r="R290" s="82" t="str">
        <f>IFERROR(__xludf.DUMMYFUNCTION("IFERROR(VLOOKUP(D290,
IMPORTRANGE(""https://docs.google.com/spreadsheets/d/1MjHtlUikwobi2MaWJgy7tfLeBmhj1u-dRFRs_8GwSoA/edit#gid=0"",""Gestores Escolares!D7:m""),10,0),""VERIFICAR CÓD SEC"")"),"")</f>
        <v/>
      </c>
      <c r="S290" s="82"/>
      <c r="T290" s="138">
        <v>6.0</v>
      </c>
      <c r="U290" s="145">
        <v>12.0</v>
      </c>
      <c r="V290" s="106">
        <v>0.0</v>
      </c>
      <c r="W290" s="107">
        <v>0.0</v>
      </c>
      <c r="X290" s="107">
        <v>0.0</v>
      </c>
      <c r="Y290" s="107">
        <v>0.0</v>
      </c>
      <c r="Z290" s="80">
        <f t="shared" si="1"/>
        <v>0</v>
      </c>
      <c r="AA290" s="106">
        <v>0.0</v>
      </c>
      <c r="AB290" s="107">
        <v>0.0</v>
      </c>
      <c r="AC290" s="107">
        <v>0.0</v>
      </c>
      <c r="AD290" s="107">
        <v>0.0</v>
      </c>
      <c r="AE290" s="80">
        <f t="shared" si="2"/>
        <v>0</v>
      </c>
      <c r="AF290" s="140">
        <v>47.0</v>
      </c>
      <c r="AG290" s="109">
        <v>35.0</v>
      </c>
      <c r="AH290" s="109">
        <v>0.0</v>
      </c>
      <c r="AI290" s="141">
        <v>120.0</v>
      </c>
      <c r="AJ290" s="80">
        <f t="shared" si="3"/>
        <v>202</v>
      </c>
      <c r="AK290" s="140">
        <v>0.0</v>
      </c>
      <c r="AL290" s="109">
        <v>0.0</v>
      </c>
      <c r="AM290" s="141">
        <v>0.0</v>
      </c>
      <c r="AN290" s="80">
        <f t="shared" si="4"/>
        <v>0</v>
      </c>
      <c r="AO290" s="140">
        <v>0.0</v>
      </c>
      <c r="AP290" s="109">
        <v>0.0</v>
      </c>
      <c r="AQ290" s="109">
        <v>41.0</v>
      </c>
      <c r="AR290" s="80">
        <f t="shared" si="5"/>
        <v>41</v>
      </c>
      <c r="AS290" s="110">
        <v>0.0</v>
      </c>
      <c r="AT290" s="110">
        <v>0.0</v>
      </c>
      <c r="AU290" s="110">
        <v>0.0</v>
      </c>
      <c r="AV290" s="142">
        <v>54.0</v>
      </c>
      <c r="AW290" s="80">
        <f t="shared" si="6"/>
        <v>54</v>
      </c>
      <c r="AX290" s="113">
        <f t="shared" si="7"/>
        <v>297</v>
      </c>
      <c r="AY290" s="117">
        <f t="shared" si="8"/>
        <v>256</v>
      </c>
      <c r="AZ290" s="120">
        <f t="shared" si="9"/>
        <v>41</v>
      </c>
      <c r="BA290" s="115">
        <v>0.0</v>
      </c>
      <c r="BB290" s="89">
        <f t="shared" si="10"/>
        <v>297</v>
      </c>
      <c r="BC290" s="132" t="s">
        <v>373</v>
      </c>
      <c r="BD290" s="132" t="s">
        <v>178</v>
      </c>
      <c r="BE290" s="132" t="s">
        <v>178</v>
      </c>
      <c r="BF290" s="156"/>
      <c r="BG290" s="83">
        <v>1179117.0</v>
      </c>
      <c r="BH290" s="112"/>
      <c r="BI290" s="112">
        <v>6.0</v>
      </c>
      <c r="BJ290" s="98" t="s">
        <v>162</v>
      </c>
      <c r="BK290" s="99">
        <f t="shared" si="11"/>
        <v>174</v>
      </c>
      <c r="BL290" s="99">
        <f t="shared" si="12"/>
        <v>82</v>
      </c>
      <c r="BM290" s="99" t="str">
        <f>IFERROR(__xludf.DUMMYFUNCTION("IFERROR(VLOOKUP(BG290,IMPORTRANGE(""https://docs.google.com/spreadsheets/d/1juPI-Fb8LD0YtltB2mlGEnp_R3UVu1t3wSFPzgCyHXE/edit?gid=0#gid=0"",""GERAL!A2:C""),3,0),""-"")"),"CAMPO")</f>
        <v>CAMPO</v>
      </c>
    </row>
    <row r="291" ht="15.75" customHeight="1">
      <c r="A291" s="111" t="s">
        <v>383</v>
      </c>
      <c r="B291" s="83" t="s">
        <v>1236</v>
      </c>
      <c r="C291" s="83" t="s">
        <v>68</v>
      </c>
      <c r="D291" s="112">
        <v>1178079.0</v>
      </c>
      <c r="E291" s="83"/>
      <c r="F291" s="83">
        <v>2.9432154E7</v>
      </c>
      <c r="G291" s="119" t="s">
        <v>1241</v>
      </c>
      <c r="H291" s="91" t="s">
        <v>1242</v>
      </c>
      <c r="I291" s="83" t="s">
        <v>149</v>
      </c>
      <c r="J291" s="83" t="s">
        <v>150</v>
      </c>
      <c r="K291" s="83" t="s">
        <v>151</v>
      </c>
      <c r="L291" s="83" t="s">
        <v>152</v>
      </c>
      <c r="M291" s="82" t="str">
        <f>IFERROR(__xludf.DUMMYFUNCTION("IFERROR(VLOOKUP(D291,
IMPORTRANGE(""https://docs.google.com/spreadsheets/d/1MjHtlUikwobi2MaWJgy7tfLeBmhj1u-dRFRs_8GwSoA/edit#gid=0"",""Gestores Escolares!D7:J""),3,0),""VERIFICAR CÓD SEC"")")," LUIS LINDEMBERG SOUZA ABREU")</f>
        <v> LUIS LINDEMBERG SOUZA ABREU</v>
      </c>
      <c r="N291" s="82" t="str">
        <f>IFERROR(__xludf.DUMMYFUNCTION("IFERROR(VLOOKUP(D291,
IMPORTRANGE(""https://docs.google.com/spreadsheets/d/1MjHtlUikwobi2MaWJgy7tfLeBmhj1u-dRFRs_8GwSoA/edit#gid=0"",""Gestores Escolares!D7:J""),4,0),""VERIFICAR CÓD SEC"")"),"(75) 9 9943-6292")</f>
        <v>(75) 9 9943-6292</v>
      </c>
      <c r="O291" s="82" t="str">
        <f>IFERROR(__xludf.DUMMYFUNCTION("IFERROR(VLOOKUP(D291,
IMPORTRANGE(""https://docs.google.com/spreadsheets/d/1MjHtlUikwobi2MaWJgy7tfLeBmhj1u-dRFRs_8GwSoA/edit#gid=0"",""Gestores Escolares!D7:J""),6,0),""VERIFICAR CÓD SEC"")"),"WELLINGTON SANTANA DE ANDRADE")</f>
        <v>WELLINGTON SANTANA DE ANDRADE</v>
      </c>
      <c r="P291" s="82" t="str">
        <f>IFERROR(__xludf.DUMMYFUNCTION("IFERROR(VLOOKUP(D291,
IMPORTRANGE(""https://docs.google.com/spreadsheets/d/1MjHtlUikwobi2MaWJgy7tfLeBmhj1u-dRFRs_8GwSoA/edit#gid=0"",""Gestores Escolares!D7:J""),7,0),""VERIFICAR CÓD SEC"")")," (75) 9 9916-2954")</f>
        <v> (75) 9 9916-2954</v>
      </c>
      <c r="Q291" s="82" t="str">
        <f>IFERROR(__xludf.DUMMYFUNCTION("IFERROR(VLOOKUP(D291,
IMPORTRANGE(""https://docs.google.com/spreadsheets/d/1MjHtlUikwobi2MaWJgy7tfLeBmhj1u-dRFRs_8GwSoA/edit#gid=0"",""Gestores Escolares!D7:m""),9,0),""VERIFICAR CÓD SEC"")"),"")</f>
        <v/>
      </c>
      <c r="R291" s="82" t="str">
        <f>IFERROR(__xludf.DUMMYFUNCTION("IFERROR(VLOOKUP(D291,
IMPORTRANGE(""https://docs.google.com/spreadsheets/d/1MjHtlUikwobi2MaWJgy7tfLeBmhj1u-dRFRs_8GwSoA/edit#gid=0"",""Gestores Escolares!D7:m""),10,0),""VERIFICAR CÓD SEC"")"),"")</f>
        <v/>
      </c>
      <c r="S291" s="82"/>
      <c r="T291" s="138">
        <v>8.0</v>
      </c>
      <c r="U291" s="145">
        <v>19.0</v>
      </c>
      <c r="V291" s="106">
        <v>0.0</v>
      </c>
      <c r="W291" s="107">
        <v>0.0</v>
      </c>
      <c r="X291" s="107">
        <v>0.0</v>
      </c>
      <c r="Y291" s="107">
        <v>0.0</v>
      </c>
      <c r="Z291" s="80">
        <f t="shared" si="1"/>
        <v>0</v>
      </c>
      <c r="AA291" s="106">
        <v>0.0</v>
      </c>
      <c r="AB291" s="107">
        <v>0.0</v>
      </c>
      <c r="AC291" s="107">
        <v>0.0</v>
      </c>
      <c r="AD291" s="107">
        <v>0.0</v>
      </c>
      <c r="AE291" s="80">
        <f t="shared" si="2"/>
        <v>0</v>
      </c>
      <c r="AF291" s="140">
        <v>58.0</v>
      </c>
      <c r="AG291" s="109">
        <v>41.0</v>
      </c>
      <c r="AH291" s="109">
        <v>0.0</v>
      </c>
      <c r="AI291" s="141">
        <v>293.0</v>
      </c>
      <c r="AJ291" s="80">
        <f t="shared" si="3"/>
        <v>392</v>
      </c>
      <c r="AK291" s="140">
        <v>0.0</v>
      </c>
      <c r="AL291" s="109">
        <v>0.0</v>
      </c>
      <c r="AM291" s="141">
        <v>0.0</v>
      </c>
      <c r="AN291" s="80">
        <f t="shared" si="4"/>
        <v>0</v>
      </c>
      <c r="AO291" s="140">
        <v>0.0</v>
      </c>
      <c r="AP291" s="109">
        <v>0.0</v>
      </c>
      <c r="AQ291" s="109">
        <v>50.0</v>
      </c>
      <c r="AR291" s="80">
        <f t="shared" si="5"/>
        <v>50</v>
      </c>
      <c r="AS291" s="110">
        <v>0.0</v>
      </c>
      <c r="AT291" s="110">
        <v>0.0</v>
      </c>
      <c r="AU291" s="110">
        <v>0.0</v>
      </c>
      <c r="AV291" s="142">
        <v>0.0</v>
      </c>
      <c r="AW291" s="80">
        <f t="shared" si="6"/>
        <v>0</v>
      </c>
      <c r="AX291" s="113">
        <f t="shared" si="7"/>
        <v>442</v>
      </c>
      <c r="AY291" s="117">
        <f t="shared" si="8"/>
        <v>392</v>
      </c>
      <c r="AZ291" s="120">
        <f t="shared" si="9"/>
        <v>50</v>
      </c>
      <c r="BA291" s="115">
        <v>0.0</v>
      </c>
      <c r="BB291" s="89">
        <f t="shared" si="10"/>
        <v>442</v>
      </c>
      <c r="BC291" s="132" t="s">
        <v>178</v>
      </c>
      <c r="BD291" s="132" t="s">
        <v>178</v>
      </c>
      <c r="BE291" s="132" t="s">
        <v>178</v>
      </c>
      <c r="BF291" s="123"/>
      <c r="BG291" s="83">
        <v>1178079.0</v>
      </c>
      <c r="BH291" s="98"/>
      <c r="BI291" s="98">
        <v>16.0</v>
      </c>
      <c r="BJ291" s="98" t="s">
        <v>176</v>
      </c>
      <c r="BK291" s="99">
        <f t="shared" si="11"/>
        <v>293</v>
      </c>
      <c r="BL291" s="99">
        <f t="shared" si="12"/>
        <v>99</v>
      </c>
      <c r="BM291" s="99" t="str">
        <f>IFERROR(__xludf.DUMMYFUNCTION("IFERROR(VLOOKUP(BG291,IMPORTRANGE(""https://docs.google.com/spreadsheets/d/1juPI-Fb8LD0YtltB2mlGEnp_R3UVu1t3wSFPzgCyHXE/edit?gid=0#gid=0"",""GERAL!A2:C""),3,0),""-"")"),"-")</f>
        <v>-</v>
      </c>
    </row>
    <row r="292" ht="15.75" customHeight="1">
      <c r="A292" s="111" t="s">
        <v>383</v>
      </c>
      <c r="B292" s="83" t="s">
        <v>1236</v>
      </c>
      <c r="C292" s="83" t="s">
        <v>164</v>
      </c>
      <c r="D292" s="112">
        <v>1179117.0</v>
      </c>
      <c r="E292" s="83">
        <v>1178609.0</v>
      </c>
      <c r="F292" s="98">
        <v>2.9491649E7</v>
      </c>
      <c r="G292" s="114" t="s">
        <v>1244</v>
      </c>
      <c r="H292" s="91" t="s">
        <v>1245</v>
      </c>
      <c r="I292" s="172" t="s">
        <v>1246</v>
      </c>
      <c r="J292" s="136" t="s">
        <v>464</v>
      </c>
      <c r="K292" s="83" t="s">
        <v>168</v>
      </c>
      <c r="L292" s="83" t="s">
        <v>169</v>
      </c>
      <c r="M292" s="82" t="str">
        <f>IFERROR(__xludf.DUMMYFUNCTION("IFERROR(VLOOKUP(D292,
IMPORTRANGE(""https://docs.google.com/spreadsheets/d/1MjHtlUikwobi2MaWJgy7tfLeBmhj1u-dRFRs_8GwSoA/edit#gid=0"",""Gestores Escolares!D7:J""),3,0),""VERIFICAR CÓD SEC"")"),"IGOR LUIZ DOS SANTOS")</f>
        <v>IGOR LUIZ DOS SANTOS</v>
      </c>
      <c r="N292" s="82" t="str">
        <f>IFERROR(__xludf.DUMMYFUNCTION("IFERROR(VLOOKUP(D292,
IMPORTRANGE(""https://docs.google.com/spreadsheets/d/1MjHtlUikwobi2MaWJgy7tfLeBmhj1u-dRFRs_8GwSoA/edit#gid=0"",""Gestores Escolares!D7:J""),4,0),""VERIFICAR CÓD SEC"")"),"(87) 9 9967-1348")</f>
        <v>(87) 9 9967-1348</v>
      </c>
      <c r="O292" s="82" t="str">
        <f>IFERROR(__xludf.DUMMYFUNCTION("IFERROR(VLOOKUP(D292,
IMPORTRANGE(""https://docs.google.com/spreadsheets/d/1MjHtlUikwobi2MaWJgy7tfLeBmhj1u-dRFRs_8GwSoA/edit#gid=0"",""Gestores Escolares!D7:J""),6,0),""VERIFICAR CÓD SEC"")"),"ADEMIR SANTOS DE ARAUJO")</f>
        <v>ADEMIR SANTOS DE ARAUJO</v>
      </c>
      <c r="P292" s="82" t="str">
        <f>IFERROR(__xludf.DUMMYFUNCTION("IFERROR(VLOOKUP(D292,
IMPORTRANGE(""https://docs.google.com/spreadsheets/d/1MjHtlUikwobi2MaWJgy7tfLeBmhj1u-dRFRs_8GwSoA/edit#gid=0"",""Gestores Escolares!D7:J""),7,0),""VERIFICAR CÓD SEC"")"),"(75) 9 9954-7071")</f>
        <v>(75) 9 9954-7071</v>
      </c>
      <c r="Q292" s="82" t="str">
        <f>IFERROR(__xludf.DUMMYFUNCTION("IFERROR(VLOOKUP(D292,
IMPORTRANGE(""https://docs.google.com/spreadsheets/d/1MjHtlUikwobi2MaWJgy7tfLeBmhj1u-dRFRs_8GwSoA/edit#gid=0"",""Gestores Escolares!D7:m""),9,0),""VERIFICAR CÓD SEC"")"),"")</f>
        <v/>
      </c>
      <c r="R292" s="82" t="str">
        <f>IFERROR(__xludf.DUMMYFUNCTION("IFERROR(VLOOKUP(D292,
IMPORTRANGE(""https://docs.google.com/spreadsheets/d/1MjHtlUikwobi2MaWJgy7tfLeBmhj1u-dRFRs_8GwSoA/edit#gid=0"",""Gestores Escolares!D7:m""),10,0),""VERIFICAR CÓD SEC"")"),"")</f>
        <v/>
      </c>
      <c r="S292" s="82"/>
      <c r="T292" s="138">
        <v>3.0</v>
      </c>
      <c r="U292" s="139">
        <v>3.0</v>
      </c>
      <c r="V292" s="106">
        <v>0.0</v>
      </c>
      <c r="W292" s="107">
        <v>0.0</v>
      </c>
      <c r="X292" s="107">
        <v>0.0</v>
      </c>
      <c r="Y292" s="107">
        <v>0.0</v>
      </c>
      <c r="Z292" s="80">
        <f t="shared" si="1"/>
        <v>0</v>
      </c>
      <c r="AA292" s="106">
        <v>0.0</v>
      </c>
      <c r="AB292" s="107">
        <v>0.0</v>
      </c>
      <c r="AC292" s="107">
        <v>0.0</v>
      </c>
      <c r="AD292" s="107">
        <v>0.0</v>
      </c>
      <c r="AE292" s="80">
        <f t="shared" si="2"/>
        <v>0</v>
      </c>
      <c r="AF292" s="140">
        <v>48.0</v>
      </c>
      <c r="AG292" s="109">
        <v>64.0</v>
      </c>
      <c r="AH292" s="109">
        <v>0.0</v>
      </c>
      <c r="AI292" s="141">
        <v>0.0</v>
      </c>
      <c r="AJ292" s="80">
        <f t="shared" si="3"/>
        <v>112</v>
      </c>
      <c r="AK292" s="140">
        <v>0.0</v>
      </c>
      <c r="AL292" s="109">
        <v>0.0</v>
      </c>
      <c r="AM292" s="141">
        <v>0.0</v>
      </c>
      <c r="AN292" s="80">
        <f t="shared" si="4"/>
        <v>0</v>
      </c>
      <c r="AO292" s="140">
        <v>0.0</v>
      </c>
      <c r="AP292" s="109">
        <v>0.0</v>
      </c>
      <c r="AQ292" s="109">
        <v>33.0</v>
      </c>
      <c r="AR292" s="80">
        <f t="shared" si="5"/>
        <v>33</v>
      </c>
      <c r="AS292" s="110">
        <v>0.0</v>
      </c>
      <c r="AT292" s="110">
        <v>0.0</v>
      </c>
      <c r="AU292" s="110">
        <v>0.0</v>
      </c>
      <c r="AV292" s="142">
        <v>0.0</v>
      </c>
      <c r="AW292" s="80">
        <f t="shared" si="6"/>
        <v>0</v>
      </c>
      <c r="AX292" s="113">
        <f t="shared" si="7"/>
        <v>145</v>
      </c>
      <c r="AY292" s="117">
        <f t="shared" si="8"/>
        <v>112</v>
      </c>
      <c r="AZ292" s="120">
        <f t="shared" si="9"/>
        <v>33</v>
      </c>
      <c r="BA292" s="115">
        <v>0.0</v>
      </c>
      <c r="BB292" s="89">
        <f t="shared" si="10"/>
        <v>145</v>
      </c>
      <c r="BC292" s="132" t="s">
        <v>373</v>
      </c>
      <c r="BD292" s="132" t="s">
        <v>178</v>
      </c>
      <c r="BE292" s="132" t="s">
        <v>178</v>
      </c>
      <c r="BF292" s="123"/>
      <c r="BG292" s="83">
        <v>1178609.0</v>
      </c>
      <c r="BH292" s="112"/>
      <c r="BI292" s="112">
        <v>3.0</v>
      </c>
      <c r="BJ292" s="98" t="s">
        <v>155</v>
      </c>
      <c r="BK292" s="99">
        <f t="shared" si="11"/>
        <v>0</v>
      </c>
      <c r="BL292" s="99">
        <f t="shared" si="12"/>
        <v>112</v>
      </c>
      <c r="BM292" s="99" t="str">
        <f>IFERROR(__xludf.DUMMYFUNCTION("IFERROR(VLOOKUP(BG292,IMPORTRANGE(""https://docs.google.com/spreadsheets/d/1juPI-Fb8LD0YtltB2mlGEnp_R3UVu1t3wSFPzgCyHXE/edit?gid=0#gid=0"",""GERAL!A2:C""),3,0),""-"")"),"CAMPO")</f>
        <v>CAMPO</v>
      </c>
    </row>
    <row r="293" ht="15.75" customHeight="1">
      <c r="A293" s="111" t="s">
        <v>383</v>
      </c>
      <c r="B293" s="83" t="s">
        <v>1236</v>
      </c>
      <c r="C293" s="83" t="s">
        <v>164</v>
      </c>
      <c r="D293" s="112">
        <v>1179292.0</v>
      </c>
      <c r="E293" s="83">
        <v>1179322.0</v>
      </c>
      <c r="F293" s="98">
        <v>2.9460816E7</v>
      </c>
      <c r="G293" s="114" t="s">
        <v>1247</v>
      </c>
      <c r="H293" s="91" t="s">
        <v>1248</v>
      </c>
      <c r="I293" s="83" t="s">
        <v>149</v>
      </c>
      <c r="J293" s="136" t="s">
        <v>784</v>
      </c>
      <c r="K293" s="83" t="s">
        <v>168</v>
      </c>
      <c r="L293" s="83" t="s">
        <v>169</v>
      </c>
      <c r="M293" s="82" t="str">
        <f>IFERROR(__xludf.DUMMYFUNCTION("IFERROR(VLOOKUP(D293,
IMPORTRANGE(""https://docs.google.com/spreadsheets/d/1MjHtlUikwobi2MaWJgy7tfLeBmhj1u-dRFRs_8GwSoA/edit#gid=0"",""Gestores Escolares!D7:J""),3,0),""VERIFICAR CÓD SEC"")"),"TECIO LUIZ BOAVENTURA DE MENEZES")</f>
        <v>TECIO LUIZ BOAVENTURA DE MENEZES</v>
      </c>
      <c r="N293" s="82" t="str">
        <f>IFERROR(__xludf.DUMMYFUNCTION("IFERROR(VLOOKUP(D293,
IMPORTRANGE(""https://docs.google.com/spreadsheets/d/1MjHtlUikwobi2MaWJgy7tfLeBmhj1u-dRFRs_8GwSoA/edit#gid=0"",""Gestores Escolares!D7:J""),4,0),""VERIFICAR CÓD SEC"")"),"(75) 9 9948-8050")</f>
        <v>(75) 9 9948-8050</v>
      </c>
      <c r="O293" s="82" t="str">
        <f>IFERROR(__xludf.DUMMYFUNCTION("IFERROR(VLOOKUP(D293,
IMPORTRANGE(""https://docs.google.com/spreadsheets/d/1MjHtlUikwobi2MaWJgy7tfLeBmhj1u-dRFRs_8GwSoA/edit#gid=0"",""Gestores Escolares!D7:J""),6,0),""VERIFICAR CÓD SEC"")"),"ELISANGELA DE ALMEIDA CARDOSO")</f>
        <v>ELISANGELA DE ALMEIDA CARDOSO</v>
      </c>
      <c r="P293" s="82" t="str">
        <f>IFERROR(__xludf.DUMMYFUNCTION("IFERROR(VLOOKUP(D293,
IMPORTRANGE(""https://docs.google.com/spreadsheets/d/1MjHtlUikwobi2MaWJgy7tfLeBmhj1u-dRFRs_8GwSoA/edit#gid=0"",""Gestores Escolares!D7:J""),7,0),""VERIFICAR CÓD SEC"")")," (71) 9 9418-7474")</f>
        <v> (71) 9 9418-7474</v>
      </c>
      <c r="Q293" s="82" t="str">
        <f>IFERROR(__xludf.DUMMYFUNCTION("IFERROR(VLOOKUP(D293,
IMPORTRANGE(""https://docs.google.com/spreadsheets/d/1MjHtlUikwobi2MaWJgy7tfLeBmhj1u-dRFRs_8GwSoA/edit#gid=0"",""Gestores Escolares!D7:m""),9,0),""VERIFICAR CÓD SEC"")"),"")</f>
        <v/>
      </c>
      <c r="R293" s="82" t="str">
        <f>IFERROR(__xludf.DUMMYFUNCTION("IFERROR(VLOOKUP(D293,
IMPORTRANGE(""https://docs.google.com/spreadsheets/d/1MjHtlUikwobi2MaWJgy7tfLeBmhj1u-dRFRs_8GwSoA/edit#gid=0"",""Gestores Escolares!D7:m""),10,0),""VERIFICAR CÓD SEC"")"),"")</f>
        <v/>
      </c>
      <c r="S293" s="82"/>
      <c r="T293" s="138">
        <v>2.0</v>
      </c>
      <c r="U293" s="139">
        <v>2.0</v>
      </c>
      <c r="V293" s="106">
        <v>0.0</v>
      </c>
      <c r="W293" s="107">
        <v>0.0</v>
      </c>
      <c r="X293" s="107">
        <v>0.0</v>
      </c>
      <c r="Y293" s="107">
        <v>0.0</v>
      </c>
      <c r="Z293" s="80">
        <f t="shared" si="1"/>
        <v>0</v>
      </c>
      <c r="AA293" s="106">
        <v>0.0</v>
      </c>
      <c r="AB293" s="107">
        <v>0.0</v>
      </c>
      <c r="AC293" s="107">
        <v>0.0</v>
      </c>
      <c r="AD293" s="107">
        <v>0.0</v>
      </c>
      <c r="AE293" s="80">
        <f t="shared" si="2"/>
        <v>0</v>
      </c>
      <c r="AF293" s="140">
        <v>0.0</v>
      </c>
      <c r="AG293" s="109">
        <v>0.0</v>
      </c>
      <c r="AH293" s="109">
        <v>41.0</v>
      </c>
      <c r="AI293" s="141">
        <v>0.0</v>
      </c>
      <c r="AJ293" s="80">
        <f t="shared" si="3"/>
        <v>41</v>
      </c>
      <c r="AK293" s="140">
        <v>0.0</v>
      </c>
      <c r="AL293" s="109">
        <v>0.0</v>
      </c>
      <c r="AM293" s="141">
        <v>0.0</v>
      </c>
      <c r="AN293" s="80">
        <f t="shared" si="4"/>
        <v>0</v>
      </c>
      <c r="AO293" s="140">
        <v>0.0</v>
      </c>
      <c r="AP293" s="109">
        <v>0.0</v>
      </c>
      <c r="AQ293" s="109">
        <v>0.0</v>
      </c>
      <c r="AR293" s="80">
        <f t="shared" si="5"/>
        <v>0</v>
      </c>
      <c r="AS293" s="110">
        <v>0.0</v>
      </c>
      <c r="AT293" s="110">
        <v>0.0</v>
      </c>
      <c r="AU293" s="110">
        <v>0.0</v>
      </c>
      <c r="AV293" s="142">
        <v>0.0</v>
      </c>
      <c r="AW293" s="80">
        <f t="shared" si="6"/>
        <v>0</v>
      </c>
      <c r="AX293" s="113">
        <f t="shared" si="7"/>
        <v>41</v>
      </c>
      <c r="AY293" s="117">
        <f t="shared" si="8"/>
        <v>0</v>
      </c>
      <c r="AZ293" s="120">
        <f t="shared" si="9"/>
        <v>41</v>
      </c>
      <c r="BA293" s="115">
        <v>0.0</v>
      </c>
      <c r="BB293" s="89">
        <f t="shared" si="10"/>
        <v>41</v>
      </c>
      <c r="BC293" s="132" t="s">
        <v>178</v>
      </c>
      <c r="BD293" s="143" t="s">
        <v>227</v>
      </c>
      <c r="BE293" s="132" t="s">
        <v>178</v>
      </c>
      <c r="BF293" s="156"/>
      <c r="BG293" s="83">
        <v>1179322.0</v>
      </c>
      <c r="BH293" s="112"/>
      <c r="BI293" s="112">
        <v>2.0</v>
      </c>
      <c r="BJ293" s="98" t="s">
        <v>155</v>
      </c>
      <c r="BK293" s="99">
        <f t="shared" si="11"/>
        <v>0</v>
      </c>
      <c r="BL293" s="99">
        <f t="shared" si="12"/>
        <v>0</v>
      </c>
      <c r="BM293" s="99" t="str">
        <f>IFERROR(__xludf.DUMMYFUNCTION("IFERROR(VLOOKUP(BG293,IMPORTRANGE(""https://docs.google.com/spreadsheets/d/1juPI-Fb8LD0YtltB2mlGEnp_R3UVu1t3wSFPzgCyHXE/edit?gid=0#gid=0"",""GERAL!A2:C""),3,0),""-"")"),"-")</f>
        <v>-</v>
      </c>
    </row>
    <row r="294" ht="15.75" customHeight="1">
      <c r="A294" s="111" t="s">
        <v>383</v>
      </c>
      <c r="B294" s="83" t="s">
        <v>1249</v>
      </c>
      <c r="C294" s="83" t="s">
        <v>68</v>
      </c>
      <c r="D294" s="112">
        <v>1115997.0</v>
      </c>
      <c r="E294" s="83"/>
      <c r="F294" s="83">
        <v>2.9142229E7</v>
      </c>
      <c r="G294" s="153" t="s">
        <v>1250</v>
      </c>
      <c r="H294" s="108" t="s">
        <v>1251</v>
      </c>
      <c r="I294" s="98" t="s">
        <v>149</v>
      </c>
      <c r="J294" s="83" t="s">
        <v>150</v>
      </c>
      <c r="K294" s="83" t="s">
        <v>151</v>
      </c>
      <c r="L294" s="98" t="s">
        <v>230</v>
      </c>
      <c r="M294" s="82" t="str">
        <f>IFERROR(__xludf.DUMMYFUNCTION("IFERROR(VLOOKUP(D294,
IMPORTRANGE(""https://docs.google.com/spreadsheets/d/1MjHtlUikwobi2MaWJgy7tfLeBmhj1u-dRFRs_8GwSoA/edit#gid=0"",""Gestores Escolares!D7:J""),3,0),""VERIFICAR CÓD SEC"")")," RENICIO LIMA DA SILVA")</f>
        <v> RENICIO LIMA DA SILVA</v>
      </c>
      <c r="N294" s="82" t="str">
        <f>IFERROR(__xludf.DUMMYFUNCTION("IFERROR(VLOOKUP(D294,
IMPORTRANGE(""https://docs.google.com/spreadsheets/d/1MjHtlUikwobi2MaWJgy7tfLeBmhj1u-dRFRs_8GwSoA/edit#gid=0"",""Gestores Escolares!D7:J""),4,0),""VERIFICAR CÓD SEC"")")," (75) 9 8119-3920")</f>
        <v> (75) 9 8119-3920</v>
      </c>
      <c r="O294" s="82" t="str">
        <f>IFERROR(__xludf.DUMMYFUNCTION("IFERROR(VLOOKUP(D294,
IMPORTRANGE(""https://docs.google.com/spreadsheets/d/1MjHtlUikwobi2MaWJgy7tfLeBmhj1u-dRFRs_8GwSoA/edit#gid=0"",""Gestores Escolares!D7:J""),6,0),""VERIFICAR CÓD SEC"")")," 	ELISANGELA DE MATOS SILVA MORAIS")</f>
        <v> 	ELISANGELA DE MATOS SILVA MORAIS</v>
      </c>
      <c r="P294" s="82" t="str">
        <f>IFERROR(__xludf.DUMMYFUNCTION("IFERROR(VLOOKUP(D294,
IMPORTRANGE(""https://docs.google.com/spreadsheets/d/1MjHtlUikwobi2MaWJgy7tfLeBmhj1u-dRFRs_8GwSoA/edit#gid=0"",""Gestores Escolares!D7:J""),7,0),""VERIFICAR CÓD SEC"")"),"(75) 9 9971-0101")</f>
        <v>(75) 9 9971-0101</v>
      </c>
      <c r="Q294" s="82" t="str">
        <f>IFERROR(__xludf.DUMMYFUNCTION("IFERROR(VLOOKUP(D294,
IMPORTRANGE(""https://docs.google.com/spreadsheets/d/1MjHtlUikwobi2MaWJgy7tfLeBmhj1u-dRFRs_8GwSoA/edit#gid=0"",""Gestores Escolares!D7:m""),9,0),""VERIFICAR CÓD SEC"")"),"MOISES GORDIANO DA SILVA OLIVEIRA")</f>
        <v>MOISES GORDIANO DA SILVA OLIVEIRA</v>
      </c>
      <c r="R294" s="82" t="str">
        <f>IFERROR(__xludf.DUMMYFUNCTION("IFERROR(VLOOKUP(D294,
IMPORTRANGE(""https://docs.google.com/spreadsheets/d/1MjHtlUikwobi2MaWJgy7tfLeBmhj1u-dRFRs_8GwSoA/edit#gid=0"",""Gestores Escolares!D7:m""),10,0),""VERIFICAR CÓD SEC"")"),"(75) 9 8164-8300")</f>
        <v>(75) 9 8164-8300</v>
      </c>
      <c r="S294" s="82"/>
      <c r="T294" s="138">
        <v>10.0</v>
      </c>
      <c r="U294" s="145">
        <v>12.0</v>
      </c>
      <c r="V294" s="106">
        <v>0.0</v>
      </c>
      <c r="W294" s="107">
        <v>0.0</v>
      </c>
      <c r="X294" s="107">
        <v>0.0</v>
      </c>
      <c r="Y294" s="107">
        <v>0.0</v>
      </c>
      <c r="Z294" s="80">
        <f t="shared" si="1"/>
        <v>0</v>
      </c>
      <c r="AA294" s="106">
        <v>0.0</v>
      </c>
      <c r="AB294" s="107">
        <v>0.0</v>
      </c>
      <c r="AC294" s="107">
        <v>0.0</v>
      </c>
      <c r="AD294" s="107">
        <v>0.0</v>
      </c>
      <c r="AE294" s="80">
        <f t="shared" si="2"/>
        <v>0</v>
      </c>
      <c r="AF294" s="140">
        <v>0.0</v>
      </c>
      <c r="AG294" s="109">
        <v>142.0</v>
      </c>
      <c r="AH294" s="109">
        <v>0.0</v>
      </c>
      <c r="AI294" s="141">
        <v>208.0</v>
      </c>
      <c r="AJ294" s="80">
        <f t="shared" si="3"/>
        <v>350</v>
      </c>
      <c r="AK294" s="140">
        <v>0.0</v>
      </c>
      <c r="AL294" s="109">
        <v>0.0</v>
      </c>
      <c r="AM294" s="141">
        <v>0.0</v>
      </c>
      <c r="AN294" s="80">
        <f t="shared" si="4"/>
        <v>0</v>
      </c>
      <c r="AO294" s="140">
        <v>0.0</v>
      </c>
      <c r="AP294" s="109">
        <v>0.0</v>
      </c>
      <c r="AQ294" s="109">
        <v>103.0</v>
      </c>
      <c r="AR294" s="80">
        <f t="shared" si="5"/>
        <v>103</v>
      </c>
      <c r="AS294" s="110">
        <v>32.0</v>
      </c>
      <c r="AT294" s="110">
        <v>0.0</v>
      </c>
      <c r="AU294" s="110">
        <v>0.0</v>
      </c>
      <c r="AV294" s="142">
        <v>63.0</v>
      </c>
      <c r="AW294" s="80">
        <f t="shared" si="6"/>
        <v>95</v>
      </c>
      <c r="AX294" s="113">
        <f t="shared" si="7"/>
        <v>548</v>
      </c>
      <c r="AY294" s="117">
        <f t="shared" si="8"/>
        <v>445</v>
      </c>
      <c r="AZ294" s="120">
        <f t="shared" si="9"/>
        <v>103</v>
      </c>
      <c r="BA294" s="115">
        <v>0.0</v>
      </c>
      <c r="BB294" s="89">
        <f t="shared" si="10"/>
        <v>548</v>
      </c>
      <c r="BC294" s="132" t="s">
        <v>178</v>
      </c>
      <c r="BD294" s="132" t="s">
        <v>178</v>
      </c>
      <c r="BE294" s="132" t="s">
        <v>178</v>
      </c>
      <c r="BF294" s="123"/>
      <c r="BG294" s="83">
        <v>1115997.0</v>
      </c>
      <c r="BH294" s="112"/>
      <c r="BI294" s="112">
        <v>11.0</v>
      </c>
      <c r="BJ294" s="98" t="s">
        <v>162</v>
      </c>
      <c r="BK294" s="99">
        <f t="shared" si="11"/>
        <v>271</v>
      </c>
      <c r="BL294" s="99">
        <f t="shared" si="12"/>
        <v>174</v>
      </c>
      <c r="BM294" s="99" t="str">
        <f>IFERROR(__xludf.DUMMYFUNCTION("IFERROR(VLOOKUP(BG294,IMPORTRANGE(""https://docs.google.com/spreadsheets/d/1juPI-Fb8LD0YtltB2mlGEnp_R3UVu1t3wSFPzgCyHXE/edit?gid=0#gid=0"",""GERAL!A2:C""),3,0),""-"")"),"-")</f>
        <v>-</v>
      </c>
    </row>
    <row r="295" ht="15.75" customHeight="1">
      <c r="A295" s="111" t="s">
        <v>383</v>
      </c>
      <c r="B295" s="83" t="s">
        <v>1253</v>
      </c>
      <c r="C295" s="83" t="s">
        <v>68</v>
      </c>
      <c r="D295" s="112">
        <v>1115814.0</v>
      </c>
      <c r="E295" s="83"/>
      <c r="F295" s="83">
        <v>2.914512E7</v>
      </c>
      <c r="G295" s="153" t="s">
        <v>1254</v>
      </c>
      <c r="H295" s="91" t="s">
        <v>1255</v>
      </c>
      <c r="I295" s="136" t="s">
        <v>1256</v>
      </c>
      <c r="J295" s="83" t="s">
        <v>485</v>
      </c>
      <c r="K295" s="83" t="s">
        <v>151</v>
      </c>
      <c r="L295" s="83" t="s">
        <v>152</v>
      </c>
      <c r="M295" s="82" t="str">
        <f>IFERROR(__xludf.DUMMYFUNCTION("IFERROR(VLOOKUP(D295,
IMPORTRANGE(""https://docs.google.com/spreadsheets/d/1MjHtlUikwobi2MaWJgy7tfLeBmhj1u-dRFRs_8GwSoA/edit#gid=0"",""Gestores Escolares!D7:J""),3,0),""VERIFICAR CÓD SEC"")"),"SUZANEIDE OLIVEIRA MEDRADO")</f>
        <v>SUZANEIDE OLIVEIRA MEDRADO</v>
      </c>
      <c r="N295" s="82" t="str">
        <f>IFERROR(__xludf.DUMMYFUNCTION("IFERROR(VLOOKUP(D295,
IMPORTRANGE(""https://docs.google.com/spreadsheets/d/1MjHtlUikwobi2MaWJgy7tfLeBmhj1u-dRFRs_8GwSoA/edit#gid=0"",""Gestores Escolares!D7:J""),4,0),""VERIFICAR CÓD SEC"")"),"(75) 9 8281-5287")</f>
        <v>(75) 9 8281-5287</v>
      </c>
      <c r="O295" s="82" t="str">
        <f>IFERROR(__xludf.DUMMYFUNCTION("IFERROR(VLOOKUP(D295,
IMPORTRANGE(""https://docs.google.com/spreadsheets/d/1MjHtlUikwobi2MaWJgy7tfLeBmhj1u-dRFRs_8GwSoA/edit#gid=0"",""Gestores Escolares!D7:J""),6,0),""VERIFICAR CÓD SEC"")"),"MARCIA MARLY SOUZA DE OLIVEIRA")</f>
        <v>MARCIA MARLY SOUZA DE OLIVEIRA</v>
      </c>
      <c r="P295" s="82" t="str">
        <f>IFERROR(__xludf.DUMMYFUNCTION("IFERROR(VLOOKUP(D295,
IMPORTRANGE(""https://docs.google.com/spreadsheets/d/1MjHtlUikwobi2MaWJgy7tfLeBmhj1u-dRFRs_8GwSoA/edit#gid=0"",""Gestores Escolares!D7:J""),7,0),""VERIFICAR CÓD SEC"")"),"(75) 9 9107-6975")</f>
        <v>(75) 9 9107-6975</v>
      </c>
      <c r="Q295" s="82" t="str">
        <f>IFERROR(__xludf.DUMMYFUNCTION("IFERROR(VLOOKUP(D295,
IMPORTRANGE(""https://docs.google.com/spreadsheets/d/1MjHtlUikwobi2MaWJgy7tfLeBmhj1u-dRFRs_8GwSoA/edit#gid=0"",""Gestores Escolares!D7:m""),9,0),""VERIFICAR CÓD SEC"")"),"")</f>
        <v/>
      </c>
      <c r="R295" s="82" t="str">
        <f>IFERROR(__xludf.DUMMYFUNCTION("IFERROR(VLOOKUP(D295,
IMPORTRANGE(""https://docs.google.com/spreadsheets/d/1MjHtlUikwobi2MaWJgy7tfLeBmhj1u-dRFRs_8GwSoA/edit#gid=0"",""Gestores Escolares!D7:m""),10,0),""VERIFICAR CÓD SEC"")"),"")</f>
        <v/>
      </c>
      <c r="S295" s="82"/>
      <c r="T295" s="138">
        <v>2.0</v>
      </c>
      <c r="U295" s="145">
        <v>6.0</v>
      </c>
      <c r="V295" s="106">
        <v>0.0</v>
      </c>
      <c r="W295" s="107">
        <v>0.0</v>
      </c>
      <c r="X295" s="107">
        <v>0.0</v>
      </c>
      <c r="Y295" s="107">
        <v>0.0</v>
      </c>
      <c r="Z295" s="80">
        <f t="shared" si="1"/>
        <v>0</v>
      </c>
      <c r="AA295" s="106">
        <v>0.0</v>
      </c>
      <c r="AB295" s="107">
        <v>0.0</v>
      </c>
      <c r="AC295" s="107">
        <v>0.0</v>
      </c>
      <c r="AD295" s="107">
        <v>0.0</v>
      </c>
      <c r="AE295" s="80">
        <f t="shared" si="2"/>
        <v>0</v>
      </c>
      <c r="AF295" s="140">
        <v>28.0</v>
      </c>
      <c r="AG295" s="109">
        <v>19.0</v>
      </c>
      <c r="AH295" s="109">
        <v>0.0</v>
      </c>
      <c r="AI295" s="141">
        <v>109.0</v>
      </c>
      <c r="AJ295" s="80">
        <f t="shared" si="3"/>
        <v>156</v>
      </c>
      <c r="AK295" s="140">
        <v>0.0</v>
      </c>
      <c r="AL295" s="109">
        <v>0.0</v>
      </c>
      <c r="AM295" s="141">
        <v>0.0</v>
      </c>
      <c r="AN295" s="80">
        <f t="shared" si="4"/>
        <v>0</v>
      </c>
      <c r="AO295" s="140">
        <v>0.0</v>
      </c>
      <c r="AP295" s="109">
        <v>0.0</v>
      </c>
      <c r="AQ295" s="109">
        <v>41.0</v>
      </c>
      <c r="AR295" s="80">
        <f t="shared" si="5"/>
        <v>41</v>
      </c>
      <c r="AS295" s="110">
        <v>0.0</v>
      </c>
      <c r="AT295" s="110">
        <v>0.0</v>
      </c>
      <c r="AU295" s="110">
        <v>0.0</v>
      </c>
      <c r="AV295" s="142">
        <v>0.0</v>
      </c>
      <c r="AW295" s="80">
        <f t="shared" si="6"/>
        <v>0</v>
      </c>
      <c r="AX295" s="113">
        <f t="shared" si="7"/>
        <v>197</v>
      </c>
      <c r="AY295" s="117">
        <f t="shared" si="8"/>
        <v>156</v>
      </c>
      <c r="AZ295" s="120">
        <f t="shared" si="9"/>
        <v>41</v>
      </c>
      <c r="BA295" s="115">
        <v>0.0</v>
      </c>
      <c r="BB295" s="89">
        <f t="shared" si="10"/>
        <v>197</v>
      </c>
      <c r="BC295" s="132" t="s">
        <v>373</v>
      </c>
      <c r="BD295" s="132" t="s">
        <v>178</v>
      </c>
      <c r="BE295" s="132" t="s">
        <v>178</v>
      </c>
      <c r="BF295" s="123"/>
      <c r="BG295" s="83">
        <v>1115814.0</v>
      </c>
      <c r="BH295" s="112"/>
      <c r="BI295" s="112">
        <v>2.0</v>
      </c>
      <c r="BJ295" s="98" t="s">
        <v>162</v>
      </c>
      <c r="BK295" s="99">
        <f t="shared" si="11"/>
        <v>109</v>
      </c>
      <c r="BL295" s="99">
        <f t="shared" si="12"/>
        <v>47</v>
      </c>
      <c r="BM295" s="99" t="str">
        <f>IFERROR(__xludf.DUMMYFUNCTION("IFERROR(VLOOKUP(BG295,IMPORTRANGE(""https://docs.google.com/spreadsheets/d/1juPI-Fb8LD0YtltB2mlGEnp_R3UVu1t3wSFPzgCyHXE/edit?gid=0#gid=0"",""GERAL!A2:C""),3,0),""-"")"),"CAMPO")</f>
        <v>CAMPO</v>
      </c>
    </row>
    <row r="296" ht="15.75" customHeight="1">
      <c r="A296" s="111" t="s">
        <v>383</v>
      </c>
      <c r="B296" s="83" t="s">
        <v>1253</v>
      </c>
      <c r="C296" s="83" t="s">
        <v>68</v>
      </c>
      <c r="D296" s="112">
        <v>1115776.0</v>
      </c>
      <c r="E296" s="83"/>
      <c r="F296" s="83">
        <v>2.9144302E7</v>
      </c>
      <c r="G296" s="119" t="s">
        <v>1258</v>
      </c>
      <c r="H296" s="108" t="s">
        <v>4285</v>
      </c>
      <c r="I296" s="83" t="s">
        <v>149</v>
      </c>
      <c r="J296" s="83" t="s">
        <v>150</v>
      </c>
      <c r="K296" s="83" t="s">
        <v>151</v>
      </c>
      <c r="L296" s="83" t="s">
        <v>152</v>
      </c>
      <c r="M296" s="82" t="str">
        <f>IFERROR(__xludf.DUMMYFUNCTION("IFERROR(VLOOKUP(D296,
IMPORTRANGE(""https://docs.google.com/spreadsheets/d/1MjHtlUikwobi2MaWJgy7tfLeBmhj1u-dRFRs_8GwSoA/edit#gid=0"",""Gestores Escolares!D7:J""),3,0),""VERIFICAR CÓD SEC"")"),"ANANIAS FRANCISCO CRUZ FILHO")</f>
        <v>ANANIAS FRANCISCO CRUZ FILHO</v>
      </c>
      <c r="N296" s="82" t="str">
        <f>IFERROR(__xludf.DUMMYFUNCTION("IFERROR(VLOOKUP(D296,
IMPORTRANGE(""https://docs.google.com/spreadsheets/d/1MjHtlUikwobi2MaWJgy7tfLeBmhj1u-dRFRs_8GwSoA/edit#gid=0"",""Gestores Escolares!D7:J""),4,0),""VERIFICAR CÓD SEC"")"),"(75) 9 8171-1577")</f>
        <v>(75) 9 8171-1577</v>
      </c>
      <c r="O296" s="82" t="str">
        <f>IFERROR(__xludf.DUMMYFUNCTION("IFERROR(VLOOKUP(D296,
IMPORTRANGE(""https://docs.google.com/spreadsheets/d/1MjHtlUikwobi2MaWJgy7tfLeBmhj1u-dRFRs_8GwSoA/edit#gid=0"",""Gestores Escolares!D7:J""),6,0),""VERIFICAR CÓD SEC"")"),"ANEDY CARNEIRO DO CARMO BELISARIO")</f>
        <v>ANEDY CARNEIRO DO CARMO BELISARIO</v>
      </c>
      <c r="P296" s="82" t="str">
        <f>IFERROR(__xludf.DUMMYFUNCTION("IFERROR(VLOOKUP(D296,
IMPORTRANGE(""https://docs.google.com/spreadsheets/d/1MjHtlUikwobi2MaWJgy7tfLeBmhj1u-dRFRs_8GwSoA/edit#gid=0"",""Gestores Escolares!D7:J""),7,0),""VERIFICAR CÓD SEC"")"),"(75) 9 9263-1020")</f>
        <v>(75) 9 9263-1020</v>
      </c>
      <c r="Q296" s="82" t="str">
        <f>IFERROR(__xludf.DUMMYFUNCTION("IFERROR(VLOOKUP(D296,
IMPORTRANGE(""https://docs.google.com/spreadsheets/d/1MjHtlUikwobi2MaWJgy7tfLeBmhj1u-dRFRs_8GwSoA/edit#gid=0"",""Gestores Escolares!D7:m""),9,0),""VERIFICAR CÓD SEC"")"),"JANDSON JURITI SANTOS")</f>
        <v>JANDSON JURITI SANTOS</v>
      </c>
      <c r="R296" s="82" t="str">
        <f>IFERROR(__xludf.DUMMYFUNCTION("IFERROR(VLOOKUP(D296,
IMPORTRANGE(""https://docs.google.com/spreadsheets/d/1MjHtlUikwobi2MaWJgy7tfLeBmhj1u-dRFRs_8GwSoA/edit#gid=0"",""Gestores Escolares!D7:m""),10,0),""VERIFICAR CÓD SEC"")")," (75) 9 8243-0805")</f>
        <v> (75) 9 8243-0805</v>
      </c>
      <c r="S296" s="82"/>
      <c r="T296" s="138">
        <v>19.0</v>
      </c>
      <c r="U296" s="145">
        <v>17.0</v>
      </c>
      <c r="V296" s="106">
        <v>0.0</v>
      </c>
      <c r="W296" s="107">
        <v>0.0</v>
      </c>
      <c r="X296" s="107">
        <v>0.0</v>
      </c>
      <c r="Y296" s="107">
        <v>0.0</v>
      </c>
      <c r="Z296" s="80">
        <f t="shared" si="1"/>
        <v>0</v>
      </c>
      <c r="AA296" s="106">
        <v>0.0</v>
      </c>
      <c r="AB296" s="107">
        <v>0.0</v>
      </c>
      <c r="AC296" s="107">
        <v>0.0</v>
      </c>
      <c r="AD296" s="107">
        <v>0.0</v>
      </c>
      <c r="AE296" s="80">
        <f t="shared" si="2"/>
        <v>0</v>
      </c>
      <c r="AF296" s="140">
        <v>0.0</v>
      </c>
      <c r="AG296" s="109">
        <v>123.0</v>
      </c>
      <c r="AH296" s="109">
        <v>0.0</v>
      </c>
      <c r="AI296" s="141">
        <v>447.0</v>
      </c>
      <c r="AJ296" s="80">
        <f t="shared" si="3"/>
        <v>570</v>
      </c>
      <c r="AK296" s="140">
        <v>0.0</v>
      </c>
      <c r="AL296" s="109">
        <v>0.0</v>
      </c>
      <c r="AM296" s="141">
        <v>0.0</v>
      </c>
      <c r="AN296" s="80">
        <f t="shared" si="4"/>
        <v>0</v>
      </c>
      <c r="AO296" s="140">
        <v>0.0</v>
      </c>
      <c r="AP296" s="109">
        <v>0.0</v>
      </c>
      <c r="AQ296" s="109">
        <v>209.0</v>
      </c>
      <c r="AR296" s="80">
        <f t="shared" si="5"/>
        <v>209</v>
      </c>
      <c r="AS296" s="110">
        <v>0.0</v>
      </c>
      <c r="AT296" s="110">
        <v>0.0</v>
      </c>
      <c r="AU296" s="110">
        <v>0.0</v>
      </c>
      <c r="AV296" s="142">
        <v>0.0</v>
      </c>
      <c r="AW296" s="80">
        <f t="shared" si="6"/>
        <v>0</v>
      </c>
      <c r="AX296" s="113">
        <f t="shared" si="7"/>
        <v>779</v>
      </c>
      <c r="AY296" s="117">
        <f t="shared" si="8"/>
        <v>570</v>
      </c>
      <c r="AZ296" s="120">
        <f t="shared" si="9"/>
        <v>209</v>
      </c>
      <c r="BA296" s="115">
        <v>0.0</v>
      </c>
      <c r="BB296" s="89">
        <f t="shared" si="10"/>
        <v>779</v>
      </c>
      <c r="BC296" s="132" t="s">
        <v>178</v>
      </c>
      <c r="BD296" s="132" t="s">
        <v>178</v>
      </c>
      <c r="BE296" s="132" t="s">
        <v>178</v>
      </c>
      <c r="BF296" s="123"/>
      <c r="BG296" s="83">
        <v>1115776.0</v>
      </c>
      <c r="BH296" s="98"/>
      <c r="BI296" s="98">
        <v>19.0</v>
      </c>
      <c r="BJ296" s="98" t="s">
        <v>155</v>
      </c>
      <c r="BK296" s="99">
        <f t="shared" si="11"/>
        <v>447</v>
      </c>
      <c r="BL296" s="99">
        <f t="shared" si="12"/>
        <v>123</v>
      </c>
      <c r="BM296" s="99" t="str">
        <f>IFERROR(__xludf.DUMMYFUNCTION("IFERROR(VLOOKUP(BG296,IMPORTRANGE(""https://docs.google.com/spreadsheets/d/1juPI-Fb8LD0YtltB2mlGEnp_R3UVu1t3wSFPzgCyHXE/edit?gid=0#gid=0"",""GERAL!A2:C""),3,0),""-"")"),"-")</f>
        <v>-</v>
      </c>
    </row>
    <row r="297" ht="15.75" customHeight="1">
      <c r="A297" s="111" t="s">
        <v>383</v>
      </c>
      <c r="B297" s="83" t="s">
        <v>1253</v>
      </c>
      <c r="C297" s="83" t="s">
        <v>68</v>
      </c>
      <c r="D297" s="112">
        <v>1178326.0</v>
      </c>
      <c r="E297" s="83"/>
      <c r="F297" s="83">
        <v>2.9397693E7</v>
      </c>
      <c r="G297" s="114" t="s">
        <v>1261</v>
      </c>
      <c r="H297" s="91" t="s">
        <v>1262</v>
      </c>
      <c r="I297" s="83" t="s">
        <v>149</v>
      </c>
      <c r="J297" s="83" t="s">
        <v>150</v>
      </c>
      <c r="K297" s="83" t="s">
        <v>151</v>
      </c>
      <c r="L297" s="83" t="s">
        <v>230</v>
      </c>
      <c r="M297" s="82" t="str">
        <f>IFERROR(__xludf.DUMMYFUNCTION("IFERROR(VLOOKUP(D297,
IMPORTRANGE(""https://docs.google.com/spreadsheets/d/1MjHtlUikwobi2MaWJgy7tfLeBmhj1u-dRFRs_8GwSoA/edit#gid=0"",""Gestores Escolares!D7:J""),3,0),""VERIFICAR CÓD SEC"")"),"JEANE MATOS ARAUJO LIMA")</f>
        <v>JEANE MATOS ARAUJO LIMA</v>
      </c>
      <c r="N297" s="82" t="str">
        <f>IFERROR(__xludf.DUMMYFUNCTION("IFERROR(VLOOKUP(D297,
IMPORTRANGE(""https://docs.google.com/spreadsheets/d/1MjHtlUikwobi2MaWJgy7tfLeBmhj1u-dRFRs_8GwSoA/edit#gid=0"",""Gestores Escolares!D7:J""),4,0),""VERIFICAR CÓD SEC"")"),"(75) 9 9817-3545")</f>
        <v>(75) 9 9817-3545</v>
      </c>
      <c r="O297" s="82" t="str">
        <f>IFERROR(__xludf.DUMMYFUNCTION("IFERROR(VLOOKUP(D297,
IMPORTRANGE(""https://docs.google.com/spreadsheets/d/1MjHtlUikwobi2MaWJgy7tfLeBmhj1u-dRFRs_8GwSoA/edit#gid=0"",""Gestores Escolares!D7:J""),6,0),""VERIFICAR CÓD SEC"")"),"DIEGO SILVA MACEDO")</f>
        <v>DIEGO SILVA MACEDO</v>
      </c>
      <c r="P297" s="82" t="str">
        <f>IFERROR(__xludf.DUMMYFUNCTION("IFERROR(VLOOKUP(D297,
IMPORTRANGE(""https://docs.google.com/spreadsheets/d/1MjHtlUikwobi2MaWJgy7tfLeBmhj1u-dRFRs_8GwSoA/edit#gid=0"",""Gestores Escolares!D7:J""),7,0),""VERIFICAR CÓD SEC"")"),"(75) 9 9212-1305")</f>
        <v>(75) 9 9212-1305</v>
      </c>
      <c r="Q297" s="82" t="str">
        <f>IFERROR(__xludf.DUMMYFUNCTION("IFERROR(VLOOKUP(D297,
IMPORTRANGE(""https://docs.google.com/spreadsheets/d/1MjHtlUikwobi2MaWJgy7tfLeBmhj1u-dRFRs_8GwSoA/edit#gid=0"",""Gestores Escolares!D7:m""),9,0),""VERIFICAR CÓD SEC"")"),"ESTEFANE DE JESUS FIUZA")</f>
        <v>ESTEFANE DE JESUS FIUZA</v>
      </c>
      <c r="R297" s="82" t="str">
        <f>IFERROR(__xludf.DUMMYFUNCTION("IFERROR(VLOOKUP(D297,
IMPORTRANGE(""https://docs.google.com/spreadsheets/d/1MjHtlUikwobi2MaWJgy7tfLeBmhj1u-dRFRs_8GwSoA/edit#gid=0"",""Gestores Escolares!D7:m""),10,0),""VERIFICAR CÓD SEC"")"),"(75) 9 9802-9888")</f>
        <v>(75) 9 9802-9888</v>
      </c>
      <c r="S297" s="82"/>
      <c r="T297" s="138">
        <v>7.0</v>
      </c>
      <c r="U297" s="145" t="s">
        <v>4300</v>
      </c>
      <c r="V297" s="106">
        <v>0.0</v>
      </c>
      <c r="W297" s="107">
        <v>0.0</v>
      </c>
      <c r="X297" s="107">
        <v>0.0</v>
      </c>
      <c r="Y297" s="107">
        <v>0.0</v>
      </c>
      <c r="Z297" s="80">
        <f t="shared" si="1"/>
        <v>0</v>
      </c>
      <c r="AA297" s="106">
        <v>0.0</v>
      </c>
      <c r="AB297" s="107">
        <v>0.0</v>
      </c>
      <c r="AC297" s="107">
        <v>0.0</v>
      </c>
      <c r="AD297" s="107">
        <v>0.0</v>
      </c>
      <c r="AE297" s="80">
        <f t="shared" si="2"/>
        <v>0</v>
      </c>
      <c r="AF297" s="140">
        <v>0.0</v>
      </c>
      <c r="AG297" s="109">
        <v>0.0</v>
      </c>
      <c r="AH297" s="109">
        <v>0.0</v>
      </c>
      <c r="AI297" s="141">
        <v>0.0</v>
      </c>
      <c r="AJ297" s="80">
        <f t="shared" si="3"/>
        <v>0</v>
      </c>
      <c r="AK297" s="140">
        <v>0.0</v>
      </c>
      <c r="AL297" s="109">
        <v>0.0</v>
      </c>
      <c r="AM297" s="141">
        <v>0.0</v>
      </c>
      <c r="AN297" s="80">
        <f t="shared" si="4"/>
        <v>0</v>
      </c>
      <c r="AO297" s="140">
        <v>0.0</v>
      </c>
      <c r="AP297" s="109">
        <v>0.0</v>
      </c>
      <c r="AQ297" s="109">
        <v>0.0</v>
      </c>
      <c r="AR297" s="80">
        <f t="shared" si="5"/>
        <v>0</v>
      </c>
      <c r="AS297" s="110">
        <v>333.0</v>
      </c>
      <c r="AT297" s="110">
        <v>275.0</v>
      </c>
      <c r="AU297" s="110">
        <v>192.0</v>
      </c>
      <c r="AV297" s="142">
        <v>0.0</v>
      </c>
      <c r="AW297" s="80">
        <f t="shared" si="6"/>
        <v>800</v>
      </c>
      <c r="AX297" s="113">
        <f t="shared" si="7"/>
        <v>800</v>
      </c>
      <c r="AY297" s="117">
        <f t="shared" si="8"/>
        <v>608</v>
      </c>
      <c r="AZ297" s="120">
        <f t="shared" si="9"/>
        <v>192</v>
      </c>
      <c r="BA297" s="115">
        <v>0.0</v>
      </c>
      <c r="BB297" s="89">
        <f t="shared" si="10"/>
        <v>800</v>
      </c>
      <c r="BC297" s="132" t="s">
        <v>178</v>
      </c>
      <c r="BD297" s="132" t="s">
        <v>779</v>
      </c>
      <c r="BE297" s="132" t="s">
        <v>178</v>
      </c>
      <c r="BF297" s="123"/>
      <c r="BG297" s="83">
        <v>1178326.0</v>
      </c>
      <c r="BH297" s="98"/>
      <c r="BI297" s="98">
        <v>17.0</v>
      </c>
      <c r="BJ297" s="98" t="s">
        <v>176</v>
      </c>
      <c r="BK297" s="99">
        <f t="shared" si="11"/>
        <v>0</v>
      </c>
      <c r="BL297" s="99">
        <f t="shared" si="12"/>
        <v>608</v>
      </c>
      <c r="BM297" s="99" t="str">
        <f>IFERROR(__xludf.DUMMYFUNCTION("IFERROR(VLOOKUP(BG297,IMPORTRANGE(""https://docs.google.com/spreadsheets/d/1juPI-Fb8LD0YtltB2mlGEnp_R3UVu1t3wSFPzgCyHXE/edit?gid=0#gid=0"",""GERAL!A2:C""),3,0),""-"")"),"-")</f>
        <v>-</v>
      </c>
    </row>
    <row r="298" ht="15.75" customHeight="1">
      <c r="A298" s="111" t="s">
        <v>383</v>
      </c>
      <c r="B298" s="83" t="s">
        <v>1253</v>
      </c>
      <c r="C298" s="83" t="s">
        <v>164</v>
      </c>
      <c r="D298" s="112">
        <v>1179292.0</v>
      </c>
      <c r="E298" s="83">
        <v>1179351.0</v>
      </c>
      <c r="F298" s="98">
        <v>2.9460816E7</v>
      </c>
      <c r="G298" s="114" t="s">
        <v>1264</v>
      </c>
      <c r="H298" s="91" t="s">
        <v>1265</v>
      </c>
      <c r="I298" s="172" t="s">
        <v>171</v>
      </c>
      <c r="J298" s="83" t="s">
        <v>440</v>
      </c>
      <c r="K298" s="83" t="s">
        <v>168</v>
      </c>
      <c r="L298" s="83" t="s">
        <v>169</v>
      </c>
      <c r="M298" s="82" t="str">
        <f>IFERROR(__xludf.DUMMYFUNCTION("IFERROR(VLOOKUP(D298,
IMPORTRANGE(""https://docs.google.com/spreadsheets/d/1MjHtlUikwobi2MaWJgy7tfLeBmhj1u-dRFRs_8GwSoA/edit#gid=0"",""Gestores Escolares!D7:J""),3,0),""VERIFICAR CÓD SEC"")"),"TECIO LUIZ BOAVENTURA DE MENEZES")</f>
        <v>TECIO LUIZ BOAVENTURA DE MENEZES</v>
      </c>
      <c r="N298" s="82" t="str">
        <f>IFERROR(__xludf.DUMMYFUNCTION("IFERROR(VLOOKUP(D298,
IMPORTRANGE(""https://docs.google.com/spreadsheets/d/1MjHtlUikwobi2MaWJgy7tfLeBmhj1u-dRFRs_8GwSoA/edit#gid=0"",""Gestores Escolares!D7:J""),4,0),""VERIFICAR CÓD SEC"")"),"(75) 9 9948-8050")</f>
        <v>(75) 9 9948-8050</v>
      </c>
      <c r="O298" s="82" t="str">
        <f>IFERROR(__xludf.DUMMYFUNCTION("IFERROR(VLOOKUP(D298,
IMPORTRANGE(""https://docs.google.com/spreadsheets/d/1MjHtlUikwobi2MaWJgy7tfLeBmhj1u-dRFRs_8GwSoA/edit#gid=0"",""Gestores Escolares!D7:J""),6,0),""VERIFICAR CÓD SEC"")"),"ELISANGELA DE ALMEIDA CARDOSO")</f>
        <v>ELISANGELA DE ALMEIDA CARDOSO</v>
      </c>
      <c r="P298" s="82" t="str">
        <f>IFERROR(__xludf.DUMMYFUNCTION("IFERROR(VLOOKUP(D298,
IMPORTRANGE(""https://docs.google.com/spreadsheets/d/1MjHtlUikwobi2MaWJgy7tfLeBmhj1u-dRFRs_8GwSoA/edit#gid=0"",""Gestores Escolares!D7:J""),7,0),""VERIFICAR CÓD SEC"")")," (71) 9 9418-7474")</f>
        <v> (71) 9 9418-7474</v>
      </c>
      <c r="Q298" s="82" t="str">
        <f>IFERROR(__xludf.DUMMYFUNCTION("IFERROR(VLOOKUP(D298,
IMPORTRANGE(""https://docs.google.com/spreadsheets/d/1MjHtlUikwobi2MaWJgy7tfLeBmhj1u-dRFRs_8GwSoA/edit#gid=0"",""Gestores Escolares!D7:m""),9,0),""VERIFICAR CÓD SEC"")"),"")</f>
        <v/>
      </c>
      <c r="R298" s="82" t="str">
        <f>IFERROR(__xludf.DUMMYFUNCTION("IFERROR(VLOOKUP(D298,
IMPORTRANGE(""https://docs.google.com/spreadsheets/d/1MjHtlUikwobi2MaWJgy7tfLeBmhj1u-dRFRs_8GwSoA/edit#gid=0"",""Gestores Escolares!D7:m""),10,0),""VERIFICAR CÓD SEC"")"),"")</f>
        <v/>
      </c>
      <c r="S298" s="82"/>
      <c r="T298" s="138">
        <v>3.0</v>
      </c>
      <c r="U298" s="139">
        <v>3.0</v>
      </c>
      <c r="V298" s="106">
        <v>0.0</v>
      </c>
      <c r="W298" s="107">
        <v>0.0</v>
      </c>
      <c r="X298" s="107">
        <v>0.0</v>
      </c>
      <c r="Y298" s="107">
        <v>0.0</v>
      </c>
      <c r="Z298" s="80">
        <f t="shared" si="1"/>
        <v>0</v>
      </c>
      <c r="AA298" s="106">
        <v>0.0</v>
      </c>
      <c r="AB298" s="107">
        <v>0.0</v>
      </c>
      <c r="AC298" s="107">
        <v>0.0</v>
      </c>
      <c r="AD298" s="107">
        <v>0.0</v>
      </c>
      <c r="AE298" s="80">
        <f t="shared" si="2"/>
        <v>0</v>
      </c>
      <c r="AF298" s="140">
        <v>0.0</v>
      </c>
      <c r="AG298" s="109">
        <v>11.0</v>
      </c>
      <c r="AH298" s="109">
        <v>41.0</v>
      </c>
      <c r="AI298" s="141">
        <v>0.0</v>
      </c>
      <c r="AJ298" s="80">
        <f t="shared" si="3"/>
        <v>52</v>
      </c>
      <c r="AK298" s="140">
        <v>0.0</v>
      </c>
      <c r="AL298" s="109">
        <v>0.0</v>
      </c>
      <c r="AM298" s="141">
        <v>0.0</v>
      </c>
      <c r="AN298" s="80">
        <f t="shared" si="4"/>
        <v>0</v>
      </c>
      <c r="AO298" s="140">
        <v>0.0</v>
      </c>
      <c r="AP298" s="109">
        <v>0.0</v>
      </c>
      <c r="AQ298" s="109">
        <v>0.0</v>
      </c>
      <c r="AR298" s="80">
        <f t="shared" si="5"/>
        <v>0</v>
      </c>
      <c r="AS298" s="110">
        <v>0.0</v>
      </c>
      <c r="AT298" s="110">
        <v>0.0</v>
      </c>
      <c r="AU298" s="110">
        <v>0.0</v>
      </c>
      <c r="AV298" s="142">
        <v>0.0</v>
      </c>
      <c r="AW298" s="80">
        <f t="shared" si="6"/>
        <v>0</v>
      </c>
      <c r="AX298" s="113">
        <f t="shared" si="7"/>
        <v>52</v>
      </c>
      <c r="AY298" s="117">
        <f t="shared" si="8"/>
        <v>11</v>
      </c>
      <c r="AZ298" s="120">
        <f t="shared" si="9"/>
        <v>41</v>
      </c>
      <c r="BA298" s="115">
        <v>0.0</v>
      </c>
      <c r="BB298" s="89">
        <f t="shared" si="10"/>
        <v>52</v>
      </c>
      <c r="BC298" s="132" t="s">
        <v>178</v>
      </c>
      <c r="BD298" s="143" t="s">
        <v>227</v>
      </c>
      <c r="BE298" s="132" t="s">
        <v>178</v>
      </c>
      <c r="BF298" s="156"/>
      <c r="BG298" s="83">
        <v>1179351.0</v>
      </c>
      <c r="BH298" s="112"/>
      <c r="BI298" s="112">
        <v>3.0</v>
      </c>
      <c r="BJ298" s="98" t="s">
        <v>155</v>
      </c>
      <c r="BK298" s="99">
        <f t="shared" si="11"/>
        <v>0</v>
      </c>
      <c r="BL298" s="99">
        <f t="shared" si="12"/>
        <v>11</v>
      </c>
      <c r="BM298" s="99" t="str">
        <f>IFERROR(__xludf.DUMMYFUNCTION("IFERROR(VLOOKUP(BG298,IMPORTRANGE(""https://docs.google.com/spreadsheets/d/1juPI-Fb8LD0YtltB2mlGEnp_R3UVu1t3wSFPzgCyHXE/edit?gid=0#gid=0"",""GERAL!A2:C""),3,0),""-"")"),"-")</f>
        <v>-</v>
      </c>
    </row>
    <row r="299" ht="15.75" customHeight="1">
      <c r="A299" s="111" t="s">
        <v>383</v>
      </c>
      <c r="B299" s="83" t="s">
        <v>1266</v>
      </c>
      <c r="C299" s="98" t="s">
        <v>68</v>
      </c>
      <c r="D299" s="112">
        <v>1116365.0</v>
      </c>
      <c r="E299" s="83"/>
      <c r="F299" s="83">
        <v>2.9145287E7</v>
      </c>
      <c r="G299" s="114" t="s">
        <v>1267</v>
      </c>
      <c r="H299" s="91" t="s">
        <v>1268</v>
      </c>
      <c r="I299" s="172" t="s">
        <v>149</v>
      </c>
      <c r="J299" s="83" t="s">
        <v>150</v>
      </c>
      <c r="K299" s="83" t="s">
        <v>151</v>
      </c>
      <c r="L299" s="83" t="s">
        <v>230</v>
      </c>
      <c r="M299" s="82" t="str">
        <f>IFERROR(__xludf.DUMMYFUNCTION("IFERROR(VLOOKUP(D299,
IMPORTRANGE(""https://docs.google.com/spreadsheets/d/1MjHtlUikwobi2MaWJgy7tfLeBmhj1u-dRFRs_8GwSoA/edit#gid=0"",""Gestores Escolares!D7:J""),3,0),""VERIFICAR CÓD SEC"")"),"ANSELMO OLIVEIRA SANTOS")</f>
        <v>ANSELMO OLIVEIRA SANTOS</v>
      </c>
      <c r="N299" s="82" t="str">
        <f>IFERROR(__xludf.DUMMYFUNCTION("IFERROR(VLOOKUP(D299,
IMPORTRANGE(""https://docs.google.com/spreadsheets/d/1MjHtlUikwobi2MaWJgy7tfLeBmhj1u-dRFRs_8GwSoA/edit#gid=0"",""Gestores Escolares!D7:J""),4,0),""VERIFICAR CÓD SEC"")"),"(75) 9 8185-8031")</f>
        <v>(75) 9 8185-8031</v>
      </c>
      <c r="O299" s="82" t="str">
        <f>IFERROR(__xludf.DUMMYFUNCTION("IFERROR(VLOOKUP(D299,
IMPORTRANGE(""https://docs.google.com/spreadsheets/d/1MjHtlUikwobi2MaWJgy7tfLeBmhj1u-dRFRs_8GwSoA/edit#gid=0"",""Gestores Escolares!D7:J""),6,0),""VERIFICAR CÓD SEC"")"),"SONIA ALMEIDA DOS SANTOS")</f>
        <v>SONIA ALMEIDA DOS SANTOS</v>
      </c>
      <c r="P299" s="82" t="str">
        <f>IFERROR(__xludf.DUMMYFUNCTION("IFERROR(VLOOKUP(D299,
IMPORTRANGE(""https://docs.google.com/spreadsheets/d/1MjHtlUikwobi2MaWJgy7tfLeBmhj1u-dRFRs_8GwSoA/edit#gid=0"",""Gestores Escolares!D7:J""),7,0),""VERIFICAR CÓD SEC"")"),"(75) 9 8122-7756")</f>
        <v>(75) 9 8122-7756</v>
      </c>
      <c r="Q299" s="82" t="str">
        <f>IFERROR(__xludf.DUMMYFUNCTION("IFERROR(VLOOKUP(D299,
IMPORTRANGE(""https://docs.google.com/spreadsheets/d/1MjHtlUikwobi2MaWJgy7tfLeBmhj1u-dRFRs_8GwSoA/edit#gid=0"",""Gestores Escolares!D7:m""),9,0),""VERIFICAR CÓD SEC"")"),"ANTONIA ROSANE PEREIRA LIMA")</f>
        <v>ANTONIA ROSANE PEREIRA LIMA</v>
      </c>
      <c r="R299" s="82" t="str">
        <f>IFERROR(__xludf.DUMMYFUNCTION("IFERROR(VLOOKUP(D299,
IMPORTRANGE(""https://docs.google.com/spreadsheets/d/1MjHtlUikwobi2MaWJgy7tfLeBmhj1u-dRFRs_8GwSoA/edit#gid=0"",""Gestores Escolares!D7:m""),10,0),""VERIFICAR CÓD SEC"")"),"(75) 9 9826-0271")</f>
        <v>(75) 9 9826-0271</v>
      </c>
      <c r="S299" s="82"/>
      <c r="T299" s="138">
        <v>14.0</v>
      </c>
      <c r="U299" s="145" t="s">
        <v>4328</v>
      </c>
      <c r="V299" s="106">
        <v>0.0</v>
      </c>
      <c r="W299" s="107">
        <v>0.0</v>
      </c>
      <c r="X299" s="107">
        <v>0.0</v>
      </c>
      <c r="Y299" s="107">
        <v>0.0</v>
      </c>
      <c r="Z299" s="80">
        <f t="shared" si="1"/>
        <v>0</v>
      </c>
      <c r="AA299" s="106">
        <v>0.0</v>
      </c>
      <c r="AB299" s="107">
        <v>0.0</v>
      </c>
      <c r="AC299" s="107">
        <v>0.0</v>
      </c>
      <c r="AD299" s="107">
        <v>0.0</v>
      </c>
      <c r="AE299" s="80">
        <f t="shared" si="2"/>
        <v>0</v>
      </c>
      <c r="AF299" s="140">
        <v>30.0</v>
      </c>
      <c r="AG299" s="109">
        <v>19.0</v>
      </c>
      <c r="AH299" s="109">
        <v>0.0</v>
      </c>
      <c r="AI299" s="141">
        <v>88.0</v>
      </c>
      <c r="AJ299" s="80">
        <f t="shared" si="3"/>
        <v>137</v>
      </c>
      <c r="AK299" s="140">
        <v>0.0</v>
      </c>
      <c r="AL299" s="109">
        <v>0.0</v>
      </c>
      <c r="AM299" s="141">
        <v>0.0</v>
      </c>
      <c r="AN299" s="80">
        <f t="shared" si="4"/>
        <v>0</v>
      </c>
      <c r="AO299" s="140">
        <v>0.0</v>
      </c>
      <c r="AP299" s="109">
        <v>0.0</v>
      </c>
      <c r="AQ299" s="109">
        <v>37.0</v>
      </c>
      <c r="AR299" s="80">
        <f t="shared" si="5"/>
        <v>37</v>
      </c>
      <c r="AS299" s="110">
        <v>134.0</v>
      </c>
      <c r="AT299" s="110">
        <v>25.0</v>
      </c>
      <c r="AU299" s="110">
        <v>163.0</v>
      </c>
      <c r="AV299" s="142">
        <v>0.0</v>
      </c>
      <c r="AW299" s="80">
        <f t="shared" si="6"/>
        <v>322</v>
      </c>
      <c r="AX299" s="113">
        <f t="shared" si="7"/>
        <v>496</v>
      </c>
      <c r="AY299" s="117">
        <f t="shared" si="8"/>
        <v>296</v>
      </c>
      <c r="AZ299" s="120">
        <f t="shared" si="9"/>
        <v>200</v>
      </c>
      <c r="BA299" s="115">
        <v>0.0</v>
      </c>
      <c r="BB299" s="89">
        <f t="shared" si="10"/>
        <v>496</v>
      </c>
      <c r="BC299" s="132" t="s">
        <v>178</v>
      </c>
      <c r="BD299" s="132" t="s">
        <v>779</v>
      </c>
      <c r="BE299" s="132" t="s">
        <v>178</v>
      </c>
      <c r="BF299" s="123"/>
      <c r="BG299" s="83">
        <v>1116365.0</v>
      </c>
      <c r="BH299" s="112"/>
      <c r="BI299" s="112">
        <v>14.0</v>
      </c>
      <c r="BJ299" s="98" t="s">
        <v>176</v>
      </c>
      <c r="BK299" s="99">
        <f t="shared" si="11"/>
        <v>88</v>
      </c>
      <c r="BL299" s="99">
        <f t="shared" si="12"/>
        <v>208</v>
      </c>
      <c r="BM299" s="99" t="str">
        <f>IFERROR(__xludf.DUMMYFUNCTION("IFERROR(VLOOKUP(BG299,IMPORTRANGE(""https://docs.google.com/spreadsheets/d/1juPI-Fb8LD0YtltB2mlGEnp_R3UVu1t3wSFPzgCyHXE/edit?gid=0#gid=0"",""GERAL!A2:C""),3,0),""-"")"),"-")</f>
        <v>-</v>
      </c>
    </row>
    <row r="300" ht="15.75" customHeight="1">
      <c r="A300" s="111" t="s">
        <v>383</v>
      </c>
      <c r="B300" s="83" t="s">
        <v>1270</v>
      </c>
      <c r="C300" s="83" t="s">
        <v>68</v>
      </c>
      <c r="D300" s="112">
        <v>1178235.0</v>
      </c>
      <c r="E300" s="83"/>
      <c r="F300" s="83">
        <v>2.9372895E7</v>
      </c>
      <c r="G300" s="184" t="s">
        <v>1275</v>
      </c>
      <c r="H300" s="91" t="s">
        <v>1276</v>
      </c>
      <c r="I300" s="233" t="s">
        <v>149</v>
      </c>
      <c r="J300" s="83" t="s">
        <v>694</v>
      </c>
      <c r="K300" s="83" t="s">
        <v>151</v>
      </c>
      <c r="L300" s="83" t="s">
        <v>169</v>
      </c>
      <c r="M300" s="82" t="str">
        <f>IFERROR(__xludf.DUMMYFUNCTION("IFERROR(VLOOKUP(D300,
IMPORTRANGE(""https://docs.google.com/spreadsheets/d/1MjHtlUikwobi2MaWJgy7tfLeBmhj1u-dRFRs_8GwSoA/edit#gid=0"",""Gestores Escolares!D7:J""),3,0),""VERIFICAR CÓD SEC"")"),"LAUDILINO ANUNCIACAO DAS NEVES")</f>
        <v>LAUDILINO ANUNCIACAO DAS NEVES</v>
      </c>
      <c r="N300" s="82" t="str">
        <f>IFERROR(__xludf.DUMMYFUNCTION("IFERROR(VLOOKUP(D300,
IMPORTRANGE(""https://docs.google.com/spreadsheets/d/1MjHtlUikwobi2MaWJgy7tfLeBmhj1u-dRFRs_8GwSoA/edit#gid=0"",""Gestores Escolares!D7:J""),4,0),""VERIFICAR CÓD SEC"")"),"(75) 9 8200-0011")</f>
        <v>(75) 9 8200-0011</v>
      </c>
      <c r="O300" s="82" t="str">
        <f>IFERROR(__xludf.DUMMYFUNCTION("IFERROR(VLOOKUP(D300,
IMPORTRANGE(""https://docs.google.com/spreadsheets/d/1MjHtlUikwobi2MaWJgy7tfLeBmhj1u-dRFRs_8GwSoA/edit#gid=0"",""Gestores Escolares!D7:J""),6,0),""VERIFICAR CÓD SEC"")"),"LEILA CARDOSO CARVALHO")</f>
        <v>LEILA CARDOSO CARVALHO</v>
      </c>
      <c r="P300" s="82" t="str">
        <f>IFERROR(__xludf.DUMMYFUNCTION("IFERROR(VLOOKUP(D300,
IMPORTRANGE(""https://docs.google.com/spreadsheets/d/1MjHtlUikwobi2MaWJgy7tfLeBmhj1u-dRFRs_8GwSoA/edit#gid=0"",""Gestores Escolares!D7:J""),7,0),""VERIFICAR CÓD SEC"")"),"(77) 9 9136-8347")</f>
        <v>(77) 9 9136-8347</v>
      </c>
      <c r="Q300" s="82" t="str">
        <f>IFERROR(__xludf.DUMMYFUNCTION("IFERROR(VLOOKUP(D300,
IMPORTRANGE(""https://docs.google.com/spreadsheets/d/1MjHtlUikwobi2MaWJgy7tfLeBmhj1u-dRFRs_8GwSoA/edit#gid=0"",""Gestores Escolares!D7:m""),9,0),""VERIFICAR CÓD SEC"")"),"")</f>
        <v/>
      </c>
      <c r="R300" s="82" t="str">
        <f>IFERROR(__xludf.DUMMYFUNCTION("IFERROR(VLOOKUP(D300,
IMPORTRANGE(""https://docs.google.com/spreadsheets/d/1MjHtlUikwobi2MaWJgy7tfLeBmhj1u-dRFRs_8GwSoA/edit#gid=0"",""Gestores Escolares!D7:m""),10,0),""VERIFICAR CÓD SEC"")"),"")</f>
        <v/>
      </c>
      <c r="S300" s="82"/>
      <c r="T300" s="138">
        <v>10.0</v>
      </c>
      <c r="U300" s="139">
        <v>10.0</v>
      </c>
      <c r="V300" s="106">
        <v>0.0</v>
      </c>
      <c r="W300" s="107">
        <v>0.0</v>
      </c>
      <c r="X300" s="107">
        <v>0.0</v>
      </c>
      <c r="Y300" s="107">
        <v>0.0</v>
      </c>
      <c r="Z300" s="80">
        <f t="shared" si="1"/>
        <v>0</v>
      </c>
      <c r="AA300" s="106">
        <v>0.0</v>
      </c>
      <c r="AB300" s="107">
        <v>0.0</v>
      </c>
      <c r="AC300" s="107">
        <v>0.0</v>
      </c>
      <c r="AD300" s="107">
        <v>0.0</v>
      </c>
      <c r="AE300" s="80">
        <f t="shared" si="2"/>
        <v>0</v>
      </c>
      <c r="AF300" s="140">
        <v>0.0</v>
      </c>
      <c r="AG300" s="109">
        <v>18.0</v>
      </c>
      <c r="AH300" s="109">
        <v>0.0</v>
      </c>
      <c r="AI300" s="141">
        <v>99.0</v>
      </c>
      <c r="AJ300" s="80">
        <f t="shared" si="3"/>
        <v>117</v>
      </c>
      <c r="AK300" s="140">
        <v>0.0</v>
      </c>
      <c r="AL300" s="109">
        <v>0.0</v>
      </c>
      <c r="AM300" s="141">
        <v>0.0</v>
      </c>
      <c r="AN300" s="80">
        <f t="shared" si="4"/>
        <v>0</v>
      </c>
      <c r="AO300" s="140">
        <v>0.0</v>
      </c>
      <c r="AP300" s="109">
        <v>0.0</v>
      </c>
      <c r="AQ300" s="109">
        <v>90.0</v>
      </c>
      <c r="AR300" s="80">
        <f t="shared" si="5"/>
        <v>90</v>
      </c>
      <c r="AS300" s="110">
        <v>0.0</v>
      </c>
      <c r="AT300" s="110">
        <v>0.0</v>
      </c>
      <c r="AU300" s="110">
        <v>0.0</v>
      </c>
      <c r="AV300" s="142">
        <v>0.0</v>
      </c>
      <c r="AW300" s="80">
        <f t="shared" si="6"/>
        <v>0</v>
      </c>
      <c r="AX300" s="113">
        <f t="shared" si="7"/>
        <v>207</v>
      </c>
      <c r="AY300" s="117">
        <f t="shared" si="8"/>
        <v>117</v>
      </c>
      <c r="AZ300" s="120">
        <f t="shared" si="9"/>
        <v>90</v>
      </c>
      <c r="BA300" s="115">
        <v>0.0</v>
      </c>
      <c r="BB300" s="89">
        <f t="shared" si="10"/>
        <v>207</v>
      </c>
      <c r="BC300" s="132" t="s">
        <v>373</v>
      </c>
      <c r="BD300" s="132" t="s">
        <v>178</v>
      </c>
      <c r="BE300" s="132" t="s">
        <v>178</v>
      </c>
      <c r="BF300" s="123"/>
      <c r="BG300" s="83">
        <v>1178235.0</v>
      </c>
      <c r="BH300" s="112"/>
      <c r="BI300" s="112">
        <v>10.0</v>
      </c>
      <c r="BJ300" s="98" t="s">
        <v>155</v>
      </c>
      <c r="BK300" s="99">
        <f t="shared" si="11"/>
        <v>99</v>
      </c>
      <c r="BL300" s="99">
        <f t="shared" si="12"/>
        <v>18</v>
      </c>
      <c r="BM300" s="99" t="str">
        <f>IFERROR(__xludf.DUMMYFUNCTION("IFERROR(VLOOKUP(BG300,IMPORTRANGE(""https://docs.google.com/spreadsheets/d/1juPI-Fb8LD0YtltB2mlGEnp_R3UVu1t3wSFPzgCyHXE/edit?gid=0#gid=0"",""GERAL!A2:C""),3,0),""-"")"),"CAMPO")</f>
        <v>CAMPO</v>
      </c>
    </row>
    <row r="301" ht="15.75" customHeight="1">
      <c r="A301" s="111" t="s">
        <v>383</v>
      </c>
      <c r="B301" s="83" t="s">
        <v>1270</v>
      </c>
      <c r="C301" s="83" t="s">
        <v>68</v>
      </c>
      <c r="D301" s="112">
        <v>1166427.0</v>
      </c>
      <c r="E301" s="83"/>
      <c r="F301" s="83">
        <v>2.936543E7</v>
      </c>
      <c r="G301" s="184" t="s">
        <v>1278</v>
      </c>
      <c r="H301" s="91" t="s">
        <v>1279</v>
      </c>
      <c r="I301" s="233" t="s">
        <v>149</v>
      </c>
      <c r="J301" s="83" t="s">
        <v>240</v>
      </c>
      <c r="K301" s="83" t="s">
        <v>151</v>
      </c>
      <c r="L301" s="83" t="s">
        <v>169</v>
      </c>
      <c r="M301" s="82" t="str">
        <f>IFERROR(__xludf.DUMMYFUNCTION("IFERROR(VLOOKUP(D301,
IMPORTRANGE(""https://docs.google.com/spreadsheets/d/1MjHtlUikwobi2MaWJgy7tfLeBmhj1u-dRFRs_8GwSoA/edit#gid=0"",""Gestores Escolares!D7:J""),3,0),""VERIFICAR CÓD SEC"")"),"         JANESSUELLY CONCEICAO DE PAULA SANTOS")</f>
        <v>         JANESSUELLY CONCEICAO DE PAULA SANTOS</v>
      </c>
      <c r="N301" s="82" t="str">
        <f>IFERROR(__xludf.DUMMYFUNCTION("IFERROR(VLOOKUP(D301,
IMPORTRANGE(""https://docs.google.com/spreadsheets/d/1MjHtlUikwobi2MaWJgy7tfLeBmhj1u-dRFRs_8GwSoA/edit#gid=0"",""Gestores Escolares!D7:J""),4,0),""VERIFICAR CÓD SEC"")"),"(75) 9 9157-0402")</f>
        <v>(75) 9 9157-0402</v>
      </c>
      <c r="O301" s="82" t="str">
        <f>IFERROR(__xludf.DUMMYFUNCTION("IFERROR(VLOOKUP(D301,
IMPORTRANGE(""https://docs.google.com/spreadsheets/d/1MjHtlUikwobi2MaWJgy7tfLeBmhj1u-dRFRs_8GwSoA/edit#gid=0"",""Gestores Escolares!D7:J""),6,0),""VERIFICAR CÓD SEC"")"),"GABRIEL CIDREIRA ARAUJO")</f>
        <v>GABRIEL CIDREIRA ARAUJO</v>
      </c>
      <c r="P301" s="82" t="str">
        <f>IFERROR(__xludf.DUMMYFUNCTION("IFERROR(VLOOKUP(D301,
IMPORTRANGE(""https://docs.google.com/spreadsheets/d/1MjHtlUikwobi2MaWJgy7tfLeBmhj1u-dRFRs_8GwSoA/edit#gid=0"",""Gestores Escolares!D7:J""),7,0),""VERIFICAR CÓD SEC"")"),"(71) 9 8427-8920")</f>
        <v>(71) 9 8427-8920</v>
      </c>
      <c r="Q301" s="82" t="str">
        <f>IFERROR(__xludf.DUMMYFUNCTION("IFERROR(VLOOKUP(D301,
IMPORTRANGE(""https://docs.google.com/spreadsheets/d/1MjHtlUikwobi2MaWJgy7tfLeBmhj1u-dRFRs_8GwSoA/edit#gid=0"",""Gestores Escolares!D7:m""),9,0),""VERIFICAR CÓD SEC"")"),"")</f>
        <v/>
      </c>
      <c r="R301" s="82" t="str">
        <f>IFERROR(__xludf.DUMMYFUNCTION("IFERROR(VLOOKUP(D301,
IMPORTRANGE(""https://docs.google.com/spreadsheets/d/1MjHtlUikwobi2MaWJgy7tfLeBmhj1u-dRFRs_8GwSoA/edit#gid=0"",""Gestores Escolares!D7:m""),10,0),""VERIFICAR CÓD SEC"")"),"")</f>
        <v/>
      </c>
      <c r="S301" s="82"/>
      <c r="T301" s="138">
        <v>6.0</v>
      </c>
      <c r="U301" s="145" t="s">
        <v>4380</v>
      </c>
      <c r="V301" s="106">
        <v>0.0</v>
      </c>
      <c r="W301" s="107">
        <v>0.0</v>
      </c>
      <c r="X301" s="107">
        <v>0.0</v>
      </c>
      <c r="Y301" s="107">
        <v>0.0</v>
      </c>
      <c r="Z301" s="80">
        <f t="shared" si="1"/>
        <v>0</v>
      </c>
      <c r="AA301" s="106">
        <v>0.0</v>
      </c>
      <c r="AB301" s="107">
        <v>0.0</v>
      </c>
      <c r="AC301" s="107">
        <v>0.0</v>
      </c>
      <c r="AD301" s="107">
        <v>0.0</v>
      </c>
      <c r="AE301" s="80">
        <f t="shared" si="2"/>
        <v>0</v>
      </c>
      <c r="AF301" s="140">
        <v>50.0</v>
      </c>
      <c r="AG301" s="109">
        <v>0.0</v>
      </c>
      <c r="AH301" s="109">
        <v>0.0</v>
      </c>
      <c r="AI301" s="141">
        <v>0.0</v>
      </c>
      <c r="AJ301" s="80">
        <f t="shared" si="3"/>
        <v>50</v>
      </c>
      <c r="AK301" s="140">
        <v>0.0</v>
      </c>
      <c r="AL301" s="109">
        <v>0.0</v>
      </c>
      <c r="AM301" s="141">
        <v>0.0</v>
      </c>
      <c r="AN301" s="80">
        <f t="shared" si="4"/>
        <v>0</v>
      </c>
      <c r="AO301" s="140">
        <v>0.0</v>
      </c>
      <c r="AP301" s="109">
        <v>0.0</v>
      </c>
      <c r="AQ301" s="109">
        <v>27.0</v>
      </c>
      <c r="AR301" s="80">
        <f t="shared" si="5"/>
        <v>27</v>
      </c>
      <c r="AS301" s="110">
        <v>0.0</v>
      </c>
      <c r="AT301" s="110">
        <v>0.0</v>
      </c>
      <c r="AU301" s="110">
        <v>0.0</v>
      </c>
      <c r="AV301" s="142">
        <v>0.0</v>
      </c>
      <c r="AW301" s="80">
        <f t="shared" si="6"/>
        <v>0</v>
      </c>
      <c r="AX301" s="113">
        <f t="shared" si="7"/>
        <v>77</v>
      </c>
      <c r="AY301" s="117">
        <f t="shared" si="8"/>
        <v>50</v>
      </c>
      <c r="AZ301" s="120">
        <f t="shared" si="9"/>
        <v>27</v>
      </c>
      <c r="BA301" s="115">
        <v>0.0</v>
      </c>
      <c r="BB301" s="89">
        <f t="shared" si="10"/>
        <v>77</v>
      </c>
      <c r="BC301" s="132" t="s">
        <v>373</v>
      </c>
      <c r="BD301" s="132" t="s">
        <v>178</v>
      </c>
      <c r="BE301" s="132" t="s">
        <v>178</v>
      </c>
      <c r="BF301" s="156"/>
      <c r="BG301" s="83">
        <v>1166427.0</v>
      </c>
      <c r="BH301" s="112"/>
      <c r="BI301" s="112">
        <v>3.0</v>
      </c>
      <c r="BJ301" s="98" t="s">
        <v>155</v>
      </c>
      <c r="BK301" s="99">
        <f t="shared" si="11"/>
        <v>0</v>
      </c>
      <c r="BL301" s="99">
        <f t="shared" si="12"/>
        <v>50</v>
      </c>
      <c r="BM301" s="99" t="str">
        <f>IFERROR(__xludf.DUMMYFUNCTION("IFERROR(VLOOKUP(BG301,IMPORTRANGE(""https://docs.google.com/spreadsheets/d/1juPI-Fb8LD0YtltB2mlGEnp_R3UVu1t3wSFPzgCyHXE/edit?gid=0#gid=0"",""GERAL!A2:C""),3,0),""-"")"),"CAMPO")</f>
        <v>CAMPO</v>
      </c>
    </row>
    <row r="302" ht="15.75" customHeight="1">
      <c r="A302" s="111" t="s">
        <v>383</v>
      </c>
      <c r="B302" s="83" t="s">
        <v>1270</v>
      </c>
      <c r="C302" s="83" t="s">
        <v>68</v>
      </c>
      <c r="D302" s="112">
        <v>1116241.0</v>
      </c>
      <c r="E302" s="83"/>
      <c r="F302" s="83">
        <v>2.9146151E7</v>
      </c>
      <c r="G302" s="184" t="s">
        <v>1283</v>
      </c>
      <c r="H302" s="108" t="s">
        <v>1284</v>
      </c>
      <c r="I302" s="172" t="s">
        <v>149</v>
      </c>
      <c r="J302" s="83" t="s">
        <v>150</v>
      </c>
      <c r="K302" s="83" t="s">
        <v>151</v>
      </c>
      <c r="L302" s="83" t="s">
        <v>152</v>
      </c>
      <c r="M302" s="82" t="str">
        <f>IFERROR(__xludf.DUMMYFUNCTION("IFERROR(VLOOKUP(D302,
IMPORTRANGE(""https://docs.google.com/spreadsheets/d/1MjHtlUikwobi2MaWJgy7tfLeBmhj1u-dRFRs_8GwSoA/edit#gid=0"",""Gestores Escolares!D7:J""),3,0),""VERIFICAR CÓD SEC"")"),"MANOEL DA CRUZ LIMA")</f>
        <v>MANOEL DA CRUZ LIMA</v>
      </c>
      <c r="N302" s="82" t="str">
        <f>IFERROR(__xludf.DUMMYFUNCTION("IFERROR(VLOOKUP(D302,
IMPORTRANGE(""https://docs.google.com/spreadsheets/d/1MjHtlUikwobi2MaWJgy7tfLeBmhj1u-dRFRs_8GwSoA/edit#gid=0"",""Gestores Escolares!D7:J""),4,0),""VERIFICAR CÓD SEC"")"),"(75) 9 9884-4896")</f>
        <v>(75) 9 9884-4896</v>
      </c>
      <c r="O302" s="82" t="str">
        <f>IFERROR(__xludf.DUMMYFUNCTION("IFERROR(VLOOKUP(D302,
IMPORTRANGE(""https://docs.google.com/spreadsheets/d/1MjHtlUikwobi2MaWJgy7tfLeBmhj1u-dRFRs_8GwSoA/edit#gid=0"",""Gestores Escolares!D7:J""),6,0),""VERIFICAR CÓD SEC"")"),"JULIANA ARAUJO SANTOS")</f>
        <v>JULIANA ARAUJO SANTOS</v>
      </c>
      <c r="P302" s="82" t="str">
        <f>IFERROR(__xludf.DUMMYFUNCTION("IFERROR(VLOOKUP(D302,
IMPORTRANGE(""https://docs.google.com/spreadsheets/d/1MjHtlUikwobi2MaWJgy7tfLeBmhj1u-dRFRs_8GwSoA/edit#gid=0"",""Gestores Escolares!D7:J""),7,0),""VERIFICAR CÓD SEC"")"),"(75) 9 9158-8553")</f>
        <v>(75) 9 9158-8553</v>
      </c>
      <c r="Q302" s="82" t="str">
        <f>IFERROR(__xludf.DUMMYFUNCTION("IFERROR(VLOOKUP(D302,
IMPORTRANGE(""https://docs.google.com/spreadsheets/d/1MjHtlUikwobi2MaWJgy7tfLeBmhj1u-dRFRs_8GwSoA/edit#gid=0"",""Gestores Escolares!D7:m""),9,0),""VERIFICAR CÓD SEC"")"),"MICHELE OLIVEIRA SILVA")</f>
        <v>MICHELE OLIVEIRA SILVA</v>
      </c>
      <c r="R302" s="82" t="str">
        <f>IFERROR(__xludf.DUMMYFUNCTION("IFERROR(VLOOKUP(D302,
IMPORTRANGE(""https://docs.google.com/spreadsheets/d/1MjHtlUikwobi2MaWJgy7tfLeBmhj1u-dRFRs_8GwSoA/edit#gid=0"",""Gestores Escolares!D7:m""),10,0),""VERIFICAR CÓD SEC"")"),"(75) 9 9985-5548")</f>
        <v>(75) 9 9985-5548</v>
      </c>
      <c r="S302" s="82"/>
      <c r="T302" s="138">
        <v>15.0</v>
      </c>
      <c r="U302" s="388">
        <v>14.0</v>
      </c>
      <c r="V302" s="106">
        <v>0.0</v>
      </c>
      <c r="W302" s="107">
        <v>0.0</v>
      </c>
      <c r="X302" s="107">
        <v>0.0</v>
      </c>
      <c r="Y302" s="107">
        <v>0.0</v>
      </c>
      <c r="Z302" s="80">
        <f t="shared" si="1"/>
        <v>0</v>
      </c>
      <c r="AA302" s="106">
        <v>0.0</v>
      </c>
      <c r="AB302" s="107">
        <v>0.0</v>
      </c>
      <c r="AC302" s="107">
        <v>0.0</v>
      </c>
      <c r="AD302" s="107">
        <v>0.0</v>
      </c>
      <c r="AE302" s="80">
        <f t="shared" si="2"/>
        <v>0</v>
      </c>
      <c r="AF302" s="140">
        <v>127.0</v>
      </c>
      <c r="AG302" s="109">
        <v>17.0</v>
      </c>
      <c r="AH302" s="109">
        <v>0.0</v>
      </c>
      <c r="AI302" s="141">
        <v>316.0</v>
      </c>
      <c r="AJ302" s="80">
        <f t="shared" si="3"/>
        <v>460</v>
      </c>
      <c r="AK302" s="140">
        <v>0.0</v>
      </c>
      <c r="AL302" s="109">
        <v>0.0</v>
      </c>
      <c r="AM302" s="141">
        <v>0.0</v>
      </c>
      <c r="AN302" s="80">
        <f t="shared" si="4"/>
        <v>0</v>
      </c>
      <c r="AO302" s="140">
        <v>0.0</v>
      </c>
      <c r="AP302" s="109">
        <v>0.0</v>
      </c>
      <c r="AQ302" s="109">
        <v>286.0</v>
      </c>
      <c r="AR302" s="80">
        <f t="shared" si="5"/>
        <v>286</v>
      </c>
      <c r="AS302" s="110">
        <v>0.0</v>
      </c>
      <c r="AT302" s="110">
        <v>0.0</v>
      </c>
      <c r="AU302" s="110">
        <v>30.0</v>
      </c>
      <c r="AV302" s="142">
        <v>94.0</v>
      </c>
      <c r="AW302" s="80">
        <f t="shared" si="6"/>
        <v>124</v>
      </c>
      <c r="AX302" s="113">
        <f t="shared" si="7"/>
        <v>870</v>
      </c>
      <c r="AY302" s="117">
        <f t="shared" si="8"/>
        <v>554</v>
      </c>
      <c r="AZ302" s="120">
        <f t="shared" si="9"/>
        <v>316</v>
      </c>
      <c r="BA302" s="115">
        <v>1.0</v>
      </c>
      <c r="BB302" s="89">
        <f t="shared" si="10"/>
        <v>871</v>
      </c>
      <c r="BC302" s="132" t="s">
        <v>178</v>
      </c>
      <c r="BD302" s="132" t="s">
        <v>178</v>
      </c>
      <c r="BE302" s="132" t="s">
        <v>178</v>
      </c>
      <c r="BF302" s="123"/>
      <c r="BG302" s="83">
        <v>1116241.0</v>
      </c>
      <c r="BH302" s="112"/>
      <c r="BI302" s="112">
        <v>15.0</v>
      </c>
      <c r="BJ302" s="98" t="s">
        <v>155</v>
      </c>
      <c r="BK302" s="99">
        <f t="shared" si="11"/>
        <v>410</v>
      </c>
      <c r="BL302" s="99">
        <f t="shared" si="12"/>
        <v>144</v>
      </c>
      <c r="BM302" s="99" t="str">
        <f>IFERROR(__xludf.DUMMYFUNCTION("IFERROR(VLOOKUP(BG302,IMPORTRANGE(""https://docs.google.com/spreadsheets/d/1juPI-Fb8LD0YtltB2mlGEnp_R3UVu1t3wSFPzgCyHXE/edit?gid=0#gid=0"",""GERAL!A2:C""),3,0),""-"")"),"-")</f>
        <v>-</v>
      </c>
    </row>
    <row r="303" ht="15.75" customHeight="1">
      <c r="A303" s="111" t="s">
        <v>383</v>
      </c>
      <c r="B303" s="83" t="s">
        <v>1270</v>
      </c>
      <c r="C303" s="83" t="s">
        <v>68</v>
      </c>
      <c r="D303" s="112">
        <v>1178088.0</v>
      </c>
      <c r="E303" s="83"/>
      <c r="F303" s="83">
        <v>2.9432235E7</v>
      </c>
      <c r="G303" s="185" t="s">
        <v>1286</v>
      </c>
      <c r="H303" s="91" t="s">
        <v>1287</v>
      </c>
      <c r="I303" s="136" t="s">
        <v>1288</v>
      </c>
      <c r="J303" s="83" t="s">
        <v>150</v>
      </c>
      <c r="K303" s="83" t="s">
        <v>151</v>
      </c>
      <c r="L303" s="83" t="s">
        <v>230</v>
      </c>
      <c r="M303" s="82" t="str">
        <f>IFERROR(__xludf.DUMMYFUNCTION("IFERROR(VLOOKUP(D303,
IMPORTRANGE(""https://docs.google.com/spreadsheets/d/1MjHtlUikwobi2MaWJgy7tfLeBmhj1u-dRFRs_8GwSoA/edit#gid=0"",""Gestores Escolares!D7:J""),3,0),""VERIFICAR CÓD SEC"")"),"CARLOS HUDSON DE OLIVEIRA BATISTA")</f>
        <v>CARLOS HUDSON DE OLIVEIRA BATISTA</v>
      </c>
      <c r="N303" s="82" t="str">
        <f>IFERROR(__xludf.DUMMYFUNCTION("IFERROR(VLOOKUP(D303,
IMPORTRANGE(""https://docs.google.com/spreadsheets/d/1MjHtlUikwobi2MaWJgy7tfLeBmhj1u-dRFRs_8GwSoA/edit#gid=0"",""Gestores Escolares!D7:J""),4,0),""VERIFICAR CÓD SEC"")"),"(75) 9 9284-3482")</f>
        <v>(75) 9 9284-3482</v>
      </c>
      <c r="O303" s="82" t="str">
        <f>IFERROR(__xludf.DUMMYFUNCTION("IFERROR(VLOOKUP(D303,
IMPORTRANGE(""https://docs.google.com/spreadsheets/d/1MjHtlUikwobi2MaWJgy7tfLeBmhj1u-dRFRs_8GwSoA/edit#gid=0"",""Gestores Escolares!D7:J""),6,0),""VERIFICAR CÓD SEC"")"),"GLEIDSON SILVA SANTOS")</f>
        <v>GLEIDSON SILVA SANTOS</v>
      </c>
      <c r="P303" s="82" t="str">
        <f>IFERROR(__xludf.DUMMYFUNCTION("IFERROR(VLOOKUP(D303,
IMPORTRANGE(""https://docs.google.com/spreadsheets/d/1MjHtlUikwobi2MaWJgy7tfLeBmhj1u-dRFRs_8GwSoA/edit#gid=0"",""Gestores Escolares!D7:J""),7,0),""VERIFICAR CÓD SEC"")"),"(75) 9 8232-6102")</f>
        <v>(75) 9 8232-6102</v>
      </c>
      <c r="Q303" s="82" t="str">
        <f>IFERROR(__xludf.DUMMYFUNCTION("IFERROR(VLOOKUP(D303,
IMPORTRANGE(""https://docs.google.com/spreadsheets/d/1MjHtlUikwobi2MaWJgy7tfLeBmhj1u-dRFRs_8GwSoA/edit#gid=0"",""Gestores Escolares!D7:m""),9,0),""VERIFICAR CÓD SEC"")"),"NUADSON HERCULANO DOS SANTOS")</f>
        <v>NUADSON HERCULANO DOS SANTOS</v>
      </c>
      <c r="R303" s="82" t="str">
        <f>IFERROR(__xludf.DUMMYFUNCTION("IFERROR(VLOOKUP(D303,
IMPORTRANGE(""https://docs.google.com/spreadsheets/d/1MjHtlUikwobi2MaWJgy7tfLeBmhj1u-dRFRs_8GwSoA/edit#gid=0"",""Gestores Escolares!D7:m""),10,0),""VERIFICAR CÓD SEC"")"),"(75) 9 9173-7237")</f>
        <v>(75) 9 9173-7237</v>
      </c>
      <c r="S303" s="82"/>
      <c r="T303" s="138">
        <v>21.0</v>
      </c>
      <c r="U303" s="145" t="s">
        <v>4415</v>
      </c>
      <c r="V303" s="106">
        <v>0.0</v>
      </c>
      <c r="W303" s="107">
        <v>0.0</v>
      </c>
      <c r="X303" s="107">
        <v>0.0</v>
      </c>
      <c r="Y303" s="107">
        <v>0.0</v>
      </c>
      <c r="Z303" s="80">
        <f t="shared" si="1"/>
        <v>0</v>
      </c>
      <c r="AA303" s="106">
        <v>0.0</v>
      </c>
      <c r="AB303" s="107">
        <v>0.0</v>
      </c>
      <c r="AC303" s="107">
        <v>0.0</v>
      </c>
      <c r="AD303" s="107">
        <v>0.0</v>
      </c>
      <c r="AE303" s="80">
        <f t="shared" si="2"/>
        <v>0</v>
      </c>
      <c r="AF303" s="140">
        <v>0.0</v>
      </c>
      <c r="AG303" s="109">
        <v>0.0</v>
      </c>
      <c r="AH303" s="109">
        <v>0.0</v>
      </c>
      <c r="AI303" s="141">
        <v>0.0</v>
      </c>
      <c r="AJ303" s="80">
        <f t="shared" si="3"/>
        <v>0</v>
      </c>
      <c r="AK303" s="140">
        <v>0.0</v>
      </c>
      <c r="AL303" s="109">
        <v>0.0</v>
      </c>
      <c r="AM303" s="141">
        <v>0.0</v>
      </c>
      <c r="AN303" s="80">
        <f t="shared" si="4"/>
        <v>0</v>
      </c>
      <c r="AO303" s="140">
        <v>0.0</v>
      </c>
      <c r="AP303" s="109">
        <v>0.0</v>
      </c>
      <c r="AQ303" s="109">
        <v>0.0</v>
      </c>
      <c r="AR303" s="80">
        <f t="shared" si="5"/>
        <v>0</v>
      </c>
      <c r="AS303" s="110">
        <v>952.0</v>
      </c>
      <c r="AT303" s="110">
        <v>698.0</v>
      </c>
      <c r="AU303" s="110">
        <v>429.0</v>
      </c>
      <c r="AV303" s="142">
        <v>0.0</v>
      </c>
      <c r="AW303" s="80">
        <f t="shared" si="6"/>
        <v>2079</v>
      </c>
      <c r="AX303" s="113">
        <f t="shared" si="7"/>
        <v>2079</v>
      </c>
      <c r="AY303" s="117">
        <f t="shared" si="8"/>
        <v>1650</v>
      </c>
      <c r="AZ303" s="120">
        <f t="shared" si="9"/>
        <v>429</v>
      </c>
      <c r="BA303" s="115">
        <v>0.0</v>
      </c>
      <c r="BB303" s="89">
        <f t="shared" si="10"/>
        <v>2079</v>
      </c>
      <c r="BC303" s="132" t="s">
        <v>178</v>
      </c>
      <c r="BD303" s="132" t="s">
        <v>522</v>
      </c>
      <c r="BE303" s="132" t="s">
        <v>178</v>
      </c>
      <c r="BF303" s="123"/>
      <c r="BG303" s="83">
        <v>1178088.0</v>
      </c>
      <c r="BH303" s="112"/>
      <c r="BI303" s="112">
        <v>44.0</v>
      </c>
      <c r="BJ303" s="98" t="s">
        <v>176</v>
      </c>
      <c r="BK303" s="99">
        <f t="shared" si="11"/>
        <v>0</v>
      </c>
      <c r="BL303" s="99">
        <f t="shared" si="12"/>
        <v>1650</v>
      </c>
      <c r="BM303" s="99" t="str">
        <f>IFERROR(__xludf.DUMMYFUNCTION("IFERROR(VLOOKUP(BG303,IMPORTRANGE(""https://docs.google.com/spreadsheets/d/1juPI-Fb8LD0YtltB2mlGEnp_R3UVu1t3wSFPzgCyHXE/edit?gid=0#gid=0"",""GERAL!A2:C""),3,0),""-"")"),"-")</f>
        <v>-</v>
      </c>
    </row>
    <row r="304" ht="15.75" customHeight="1">
      <c r="A304" s="111" t="s">
        <v>383</v>
      </c>
      <c r="B304" s="83" t="s">
        <v>1270</v>
      </c>
      <c r="C304" s="83" t="s">
        <v>68</v>
      </c>
      <c r="D304" s="112">
        <v>1179292.0</v>
      </c>
      <c r="E304" s="83"/>
      <c r="F304" s="83">
        <v>2.9460816E7</v>
      </c>
      <c r="G304" s="185" t="s">
        <v>1291</v>
      </c>
      <c r="H304" s="91" t="s">
        <v>1292</v>
      </c>
      <c r="I304" s="136" t="s">
        <v>1293</v>
      </c>
      <c r="J304" s="83" t="s">
        <v>150</v>
      </c>
      <c r="K304" s="83" t="s">
        <v>151</v>
      </c>
      <c r="L304" s="83" t="s">
        <v>230</v>
      </c>
      <c r="M304" s="82" t="str">
        <f>IFERROR(__xludf.DUMMYFUNCTION("IFERROR(VLOOKUP(D304,
IMPORTRANGE(""https://docs.google.com/spreadsheets/d/1MjHtlUikwobi2MaWJgy7tfLeBmhj1u-dRFRs_8GwSoA/edit#gid=0"",""Gestores Escolares!D7:J""),3,0),""VERIFICAR CÓD SEC"")"),"TECIO LUIZ BOAVENTURA DE MENEZES")</f>
        <v>TECIO LUIZ BOAVENTURA DE MENEZES</v>
      </c>
      <c r="N304" s="82" t="str">
        <f>IFERROR(__xludf.DUMMYFUNCTION("IFERROR(VLOOKUP(D304,
IMPORTRANGE(""https://docs.google.com/spreadsheets/d/1MjHtlUikwobi2MaWJgy7tfLeBmhj1u-dRFRs_8GwSoA/edit#gid=0"",""Gestores Escolares!D7:J""),4,0),""VERIFICAR CÓD SEC"")"),"(75) 9 9948-8050")</f>
        <v>(75) 9 9948-8050</v>
      </c>
      <c r="O304" s="82" t="str">
        <f>IFERROR(__xludf.DUMMYFUNCTION("IFERROR(VLOOKUP(D304,
IMPORTRANGE(""https://docs.google.com/spreadsheets/d/1MjHtlUikwobi2MaWJgy7tfLeBmhj1u-dRFRs_8GwSoA/edit#gid=0"",""Gestores Escolares!D7:J""),6,0),""VERIFICAR CÓD SEC"")"),"ELISANGELA DE ALMEIDA CARDOSO")</f>
        <v>ELISANGELA DE ALMEIDA CARDOSO</v>
      </c>
      <c r="P304" s="82" t="str">
        <f>IFERROR(__xludf.DUMMYFUNCTION("IFERROR(VLOOKUP(D304,
IMPORTRANGE(""https://docs.google.com/spreadsheets/d/1MjHtlUikwobi2MaWJgy7tfLeBmhj1u-dRFRs_8GwSoA/edit#gid=0"",""Gestores Escolares!D7:J""),7,0),""VERIFICAR CÓD SEC"")")," (71) 9 9418-7474")</f>
        <v> (71) 9 9418-7474</v>
      </c>
      <c r="Q304" s="82" t="str">
        <f>IFERROR(__xludf.DUMMYFUNCTION("IFERROR(VLOOKUP(D304,
IMPORTRANGE(""https://docs.google.com/spreadsheets/d/1MjHtlUikwobi2MaWJgy7tfLeBmhj1u-dRFRs_8GwSoA/edit#gid=0"",""Gestores Escolares!D7:m""),9,0),""VERIFICAR CÓD SEC"")"),"")</f>
        <v/>
      </c>
      <c r="R304" s="82" t="str">
        <f>IFERROR(__xludf.DUMMYFUNCTION("IFERROR(VLOOKUP(D304,
IMPORTRANGE(""https://docs.google.com/spreadsheets/d/1MjHtlUikwobi2MaWJgy7tfLeBmhj1u-dRFRs_8GwSoA/edit#gid=0"",""Gestores Escolares!D7:m""),10,0),""VERIFICAR CÓD SEC"")"),"")</f>
        <v/>
      </c>
      <c r="S304" s="82"/>
      <c r="T304" s="138" t="s">
        <v>171</v>
      </c>
      <c r="U304" s="145" t="s">
        <v>533</v>
      </c>
      <c r="V304" s="106">
        <v>0.0</v>
      </c>
      <c r="W304" s="107">
        <v>0.0</v>
      </c>
      <c r="X304" s="107">
        <v>0.0</v>
      </c>
      <c r="Y304" s="107">
        <v>0.0</v>
      </c>
      <c r="Z304" s="80">
        <f t="shared" si="1"/>
        <v>0</v>
      </c>
      <c r="AA304" s="106">
        <v>0.0</v>
      </c>
      <c r="AB304" s="107">
        <v>0.0</v>
      </c>
      <c r="AC304" s="107">
        <v>0.0</v>
      </c>
      <c r="AD304" s="107">
        <v>0.0</v>
      </c>
      <c r="AE304" s="80">
        <f t="shared" si="2"/>
        <v>0</v>
      </c>
      <c r="AF304" s="140">
        <v>0.0</v>
      </c>
      <c r="AG304" s="109">
        <v>0.0</v>
      </c>
      <c r="AH304" s="109">
        <v>0.0</v>
      </c>
      <c r="AI304" s="141">
        <v>0.0</v>
      </c>
      <c r="AJ304" s="80">
        <f t="shared" si="3"/>
        <v>0</v>
      </c>
      <c r="AK304" s="140">
        <v>0.0</v>
      </c>
      <c r="AL304" s="109">
        <v>0.0</v>
      </c>
      <c r="AM304" s="141">
        <v>0.0</v>
      </c>
      <c r="AN304" s="80">
        <f t="shared" si="4"/>
        <v>0</v>
      </c>
      <c r="AO304" s="140">
        <v>0.0</v>
      </c>
      <c r="AP304" s="109">
        <v>0.0</v>
      </c>
      <c r="AQ304" s="109">
        <v>0.0</v>
      </c>
      <c r="AR304" s="80">
        <f t="shared" si="5"/>
        <v>0</v>
      </c>
      <c r="AS304" s="110">
        <v>0.0</v>
      </c>
      <c r="AT304" s="110">
        <v>0.0</v>
      </c>
      <c r="AU304" s="110">
        <v>0.0</v>
      </c>
      <c r="AV304" s="142">
        <v>0.0</v>
      </c>
      <c r="AW304" s="80">
        <f t="shared" si="6"/>
        <v>0</v>
      </c>
      <c r="AX304" s="113">
        <f t="shared" si="7"/>
        <v>0</v>
      </c>
      <c r="AY304" s="117">
        <f t="shared" si="8"/>
        <v>0</v>
      </c>
      <c r="AZ304" s="120">
        <f t="shared" si="9"/>
        <v>0</v>
      </c>
      <c r="BA304" s="115">
        <v>0.0</v>
      </c>
      <c r="BB304" s="89">
        <f t="shared" si="10"/>
        <v>0</v>
      </c>
      <c r="BC304" s="132" t="s">
        <v>178</v>
      </c>
      <c r="BD304" s="143" t="s">
        <v>227</v>
      </c>
      <c r="BE304" s="132" t="s">
        <v>178</v>
      </c>
      <c r="BF304" s="83" t="s">
        <v>534</v>
      </c>
      <c r="BG304" s="83">
        <v>1179292.0</v>
      </c>
      <c r="BH304" s="112"/>
      <c r="BI304" s="112">
        <v>0.0</v>
      </c>
      <c r="BJ304" s="98" t="s">
        <v>155</v>
      </c>
      <c r="BK304" s="99">
        <f t="shared" si="11"/>
        <v>0</v>
      </c>
      <c r="BL304" s="99">
        <f t="shared" si="12"/>
        <v>0</v>
      </c>
      <c r="BM304" s="99" t="str">
        <f>IFERROR(__xludf.DUMMYFUNCTION("IFERROR(VLOOKUP(BG304,IMPORTRANGE(""https://docs.google.com/spreadsheets/d/1juPI-Fb8LD0YtltB2mlGEnp_R3UVu1t3wSFPzgCyHXE/edit?gid=0#gid=0"",""GERAL!A2:C""),3,0),""-"")"),"-")</f>
        <v>-</v>
      </c>
    </row>
    <row r="305" ht="15.75" customHeight="1">
      <c r="A305" s="111" t="s">
        <v>383</v>
      </c>
      <c r="B305" s="83" t="s">
        <v>1270</v>
      </c>
      <c r="C305" s="83" t="s">
        <v>68</v>
      </c>
      <c r="D305" s="112">
        <v>1179664.0</v>
      </c>
      <c r="E305" s="83"/>
      <c r="F305" s="83">
        <v>2.9474698E7</v>
      </c>
      <c r="G305" s="185" t="s">
        <v>1295</v>
      </c>
      <c r="H305" s="91" t="s">
        <v>1296</v>
      </c>
      <c r="I305" s="172" t="s">
        <v>1293</v>
      </c>
      <c r="J305" s="83" t="s">
        <v>150</v>
      </c>
      <c r="K305" s="83" t="s">
        <v>151</v>
      </c>
      <c r="L305" s="83" t="s">
        <v>230</v>
      </c>
      <c r="M305" s="82" t="str">
        <f>IFERROR(__xludf.DUMMYFUNCTION("IFERROR(VLOOKUP(D305,
IMPORTRANGE(""https://docs.google.com/spreadsheets/d/1MjHtlUikwobi2MaWJgy7tfLeBmhj1u-dRFRs_8GwSoA/edit#gid=0"",""Gestores Escolares!D7:J""),3,0),""VERIFICAR CÓD SEC"")"),"LORENA RAMOS DE OLIVEIRA")</f>
        <v>LORENA RAMOS DE OLIVEIRA</v>
      </c>
      <c r="N305" s="82" t="str">
        <f>IFERROR(__xludf.DUMMYFUNCTION("IFERROR(VLOOKUP(D305,
IMPORTRANGE(""https://docs.google.com/spreadsheets/d/1MjHtlUikwobi2MaWJgy7tfLeBmhj1u-dRFRs_8GwSoA/edit#gid=0"",""Gestores Escolares!D7:J""),4,0),""VERIFICAR CÓD SEC"")"),"(71) 9 9996-2935")</f>
        <v>(71) 9 9996-2935</v>
      </c>
      <c r="O305" s="82" t="str">
        <f>IFERROR(__xludf.DUMMYFUNCTION("IFERROR(VLOOKUP(D305,
IMPORTRANGE(""https://docs.google.com/spreadsheets/d/1MjHtlUikwobi2MaWJgy7tfLeBmhj1u-dRFRs_8GwSoA/edit#gid=0"",""Gestores Escolares!D7:J""),6,0),""VERIFICAR CÓD SEC"")"),"IVONEI DE ALMEIDA CARNEIRO")</f>
        <v>IVONEI DE ALMEIDA CARNEIRO</v>
      </c>
      <c r="P305" s="82" t="str">
        <f>IFERROR(__xludf.DUMMYFUNCTION("IFERROR(VLOOKUP(D305,
IMPORTRANGE(""https://docs.google.com/spreadsheets/d/1MjHtlUikwobi2MaWJgy7tfLeBmhj1u-dRFRs_8GwSoA/edit#gid=0"",""Gestores Escolares!D7:J""),7,0),""VERIFICAR CÓD SEC"")"),"(75) 9 8191-7046 ")</f>
        <v>(75) 9 8191-7046 </v>
      </c>
      <c r="Q305" s="82" t="str">
        <f>IFERROR(__xludf.DUMMYFUNCTION("IFERROR(VLOOKUP(D305,
IMPORTRANGE(""https://docs.google.com/spreadsheets/d/1MjHtlUikwobi2MaWJgy7tfLeBmhj1u-dRFRs_8GwSoA/edit#gid=0"",""Gestores Escolares!D7:m""),9,0),""VERIFICAR CÓD SEC"")"),"")</f>
        <v/>
      </c>
      <c r="R305" s="82" t="str">
        <f>IFERROR(__xludf.DUMMYFUNCTION("IFERROR(VLOOKUP(D305,
IMPORTRANGE(""https://docs.google.com/spreadsheets/d/1MjHtlUikwobi2MaWJgy7tfLeBmhj1u-dRFRs_8GwSoA/edit#gid=0"",""Gestores Escolares!D7:m""),10,0),""VERIFICAR CÓD SEC"")"),"")</f>
        <v/>
      </c>
      <c r="S305" s="82"/>
      <c r="T305" s="138" t="s">
        <v>171</v>
      </c>
      <c r="U305" s="390" t="s">
        <v>4448</v>
      </c>
      <c r="V305" s="106">
        <v>0.0</v>
      </c>
      <c r="W305" s="107">
        <v>0.0</v>
      </c>
      <c r="X305" s="107">
        <v>0.0</v>
      </c>
      <c r="Y305" s="107">
        <v>0.0</v>
      </c>
      <c r="Z305" s="80">
        <f t="shared" si="1"/>
        <v>0</v>
      </c>
      <c r="AA305" s="106">
        <v>0.0</v>
      </c>
      <c r="AB305" s="107">
        <v>0.0</v>
      </c>
      <c r="AC305" s="107">
        <v>0.0</v>
      </c>
      <c r="AD305" s="107">
        <v>0.0</v>
      </c>
      <c r="AE305" s="80">
        <f t="shared" si="2"/>
        <v>0</v>
      </c>
      <c r="AF305" s="140">
        <v>0.0</v>
      </c>
      <c r="AG305" s="109">
        <v>0.0</v>
      </c>
      <c r="AH305" s="109">
        <v>0.0</v>
      </c>
      <c r="AI305" s="141">
        <v>0.0</v>
      </c>
      <c r="AJ305" s="80">
        <f t="shared" si="3"/>
        <v>0</v>
      </c>
      <c r="AK305" s="140">
        <v>0.0</v>
      </c>
      <c r="AL305" s="109">
        <v>0.0</v>
      </c>
      <c r="AM305" s="141">
        <v>0.0</v>
      </c>
      <c r="AN305" s="80">
        <f t="shared" si="4"/>
        <v>0</v>
      </c>
      <c r="AO305" s="140">
        <v>0.0</v>
      </c>
      <c r="AP305" s="109">
        <v>0.0</v>
      </c>
      <c r="AQ305" s="109">
        <v>0.0</v>
      </c>
      <c r="AR305" s="80">
        <f t="shared" si="5"/>
        <v>0</v>
      </c>
      <c r="AS305" s="110">
        <v>0.0</v>
      </c>
      <c r="AT305" s="110">
        <v>0.0</v>
      </c>
      <c r="AU305" s="110">
        <v>0.0</v>
      </c>
      <c r="AV305" s="142">
        <v>0.0</v>
      </c>
      <c r="AW305" s="80">
        <f t="shared" si="6"/>
        <v>0</v>
      </c>
      <c r="AX305" s="113">
        <f t="shared" si="7"/>
        <v>0</v>
      </c>
      <c r="AY305" s="117">
        <f t="shared" si="8"/>
        <v>0</v>
      </c>
      <c r="AZ305" s="120">
        <f t="shared" si="9"/>
        <v>0</v>
      </c>
      <c r="BA305" s="168">
        <v>0.0</v>
      </c>
      <c r="BB305" s="89">
        <f t="shared" si="10"/>
        <v>0</v>
      </c>
      <c r="BC305" s="143" t="s">
        <v>547</v>
      </c>
      <c r="BD305" s="143" t="s">
        <v>547</v>
      </c>
      <c r="BE305" s="132" t="s">
        <v>178</v>
      </c>
      <c r="BF305" s="361"/>
      <c r="BG305" s="83">
        <v>1179664.0</v>
      </c>
      <c r="BH305" s="112"/>
      <c r="BI305" s="112">
        <v>6.0</v>
      </c>
      <c r="BJ305" s="98" t="s">
        <v>155</v>
      </c>
      <c r="BK305" s="99">
        <f t="shared" si="11"/>
        <v>0</v>
      </c>
      <c r="BL305" s="99">
        <f t="shared" si="12"/>
        <v>0</v>
      </c>
      <c r="BM305" s="99" t="str">
        <f>IFERROR(__xludf.DUMMYFUNCTION("IFERROR(VLOOKUP(BG305,IMPORTRANGE(""https://docs.google.com/spreadsheets/d/1juPI-Fb8LD0YtltB2mlGEnp_R3UVu1t3wSFPzgCyHXE/edit?gid=0#gid=0"",""GERAL!A2:C""),3,0),""-"")"),"-")</f>
        <v>-</v>
      </c>
    </row>
    <row r="306" ht="15.75" customHeight="1">
      <c r="A306" s="111" t="s">
        <v>383</v>
      </c>
      <c r="B306" s="83" t="s">
        <v>1270</v>
      </c>
      <c r="C306" s="83" t="s">
        <v>164</v>
      </c>
      <c r="D306" s="112">
        <v>1116209.0</v>
      </c>
      <c r="E306" s="83">
        <v>1178737.0</v>
      </c>
      <c r="F306" s="98">
        <v>2.9493269E7</v>
      </c>
      <c r="G306" s="184" t="s">
        <v>4460</v>
      </c>
      <c r="H306" s="91" t="s">
        <v>1300</v>
      </c>
      <c r="I306" s="83" t="s">
        <v>149</v>
      </c>
      <c r="J306" s="83" t="s">
        <v>1301</v>
      </c>
      <c r="K306" s="83" t="s">
        <v>168</v>
      </c>
      <c r="L306" s="83" t="s">
        <v>169</v>
      </c>
      <c r="M306" s="82" t="str">
        <f>IFERROR(__xludf.DUMMYFUNCTION("IFERROR(VLOOKUP(D306,
IMPORTRANGE(""https://docs.google.com/spreadsheets/d/1MjHtlUikwobi2MaWJgy7tfLeBmhj1u-dRFRs_8GwSoA/edit#gid=0"",""Gestores Escolares!D7:J""),3,0),""VERIFICAR CÓD SEC"")"),"SEM DIREÇÃO")</f>
        <v>SEM DIREÇÃO</v>
      </c>
      <c r="N306" s="82" t="str">
        <f>IFERROR(__xludf.DUMMYFUNCTION("IFERROR(VLOOKUP(D306,
IMPORTRANGE(""https://docs.google.com/spreadsheets/d/1MjHtlUikwobi2MaWJgy7tfLeBmhj1u-dRFRs_8GwSoA/edit#gid=0"",""Gestores Escolares!D7:J""),4,0),""VERIFICAR CÓD SEC"")"),"")</f>
        <v/>
      </c>
      <c r="O306" s="82" t="str">
        <f>IFERROR(__xludf.DUMMYFUNCTION("IFERROR(VLOOKUP(D306,
IMPORTRANGE(""https://docs.google.com/spreadsheets/d/1MjHtlUikwobi2MaWJgy7tfLeBmhj1u-dRFRs_8GwSoA/edit#gid=0"",""Gestores Escolares!D7:J""),6,0),""VERIFICAR CÓD SEC"")")," JORLEIDE FERNANDES QUEIROZ")</f>
        <v> JORLEIDE FERNANDES QUEIROZ</v>
      </c>
      <c r="P306" s="82" t="str">
        <f>IFERROR(__xludf.DUMMYFUNCTION("IFERROR(VLOOKUP(D306,
IMPORTRANGE(""https://docs.google.com/spreadsheets/d/1MjHtlUikwobi2MaWJgy7tfLeBmhj1u-dRFRs_8GwSoA/edit#gid=0"",""Gestores Escolares!D7:J""),7,0),""VERIFICAR CÓD SEC"")"),"(75) 9 9103-2632/
9 9851-1116")</f>
        <v>(75) 9 9103-2632/
9 9851-1116</v>
      </c>
      <c r="Q306" s="82" t="str">
        <f>IFERROR(__xludf.DUMMYFUNCTION("IFERROR(VLOOKUP(D306,
IMPORTRANGE(""https://docs.google.com/spreadsheets/d/1MjHtlUikwobi2MaWJgy7tfLeBmhj1u-dRFRs_8GwSoA/edit#gid=0"",""Gestores Escolares!D7:m""),9,0),""VERIFICAR CÓD SEC"")"),"")</f>
        <v/>
      </c>
      <c r="R306" s="82" t="str">
        <f>IFERROR(__xludf.DUMMYFUNCTION("IFERROR(VLOOKUP(D306,
IMPORTRANGE(""https://docs.google.com/spreadsheets/d/1MjHtlUikwobi2MaWJgy7tfLeBmhj1u-dRFRs_8GwSoA/edit#gid=0"",""Gestores Escolares!D7:m""),10,0),""VERIFICAR CÓD SEC"")"),"")</f>
        <v/>
      </c>
      <c r="S306" s="82"/>
      <c r="T306" s="138">
        <v>2.0</v>
      </c>
      <c r="U306" s="139">
        <v>1.0</v>
      </c>
      <c r="V306" s="106">
        <v>0.0</v>
      </c>
      <c r="W306" s="107">
        <v>0.0</v>
      </c>
      <c r="X306" s="107">
        <v>0.0</v>
      </c>
      <c r="Y306" s="107">
        <v>0.0</v>
      </c>
      <c r="Z306" s="80">
        <f t="shared" si="1"/>
        <v>0</v>
      </c>
      <c r="AA306" s="106">
        <v>0.0</v>
      </c>
      <c r="AB306" s="107">
        <v>0.0</v>
      </c>
      <c r="AC306" s="107">
        <v>0.0</v>
      </c>
      <c r="AD306" s="107">
        <v>0.0</v>
      </c>
      <c r="AE306" s="80">
        <f t="shared" si="2"/>
        <v>0</v>
      </c>
      <c r="AF306" s="140">
        <v>0.0</v>
      </c>
      <c r="AG306" s="109">
        <v>0.0</v>
      </c>
      <c r="AH306" s="109">
        <v>0.0</v>
      </c>
      <c r="AI306" s="141">
        <v>0.0</v>
      </c>
      <c r="AJ306" s="80">
        <f t="shared" si="3"/>
        <v>0</v>
      </c>
      <c r="AK306" s="140">
        <v>0.0</v>
      </c>
      <c r="AL306" s="109">
        <v>0.0</v>
      </c>
      <c r="AM306" s="141">
        <v>0.0</v>
      </c>
      <c r="AN306" s="80">
        <f t="shared" si="4"/>
        <v>0</v>
      </c>
      <c r="AO306" s="140">
        <v>0.0</v>
      </c>
      <c r="AP306" s="109">
        <v>0.0</v>
      </c>
      <c r="AQ306" s="109">
        <v>21.0</v>
      </c>
      <c r="AR306" s="80">
        <f t="shared" si="5"/>
        <v>21</v>
      </c>
      <c r="AS306" s="110">
        <v>0.0</v>
      </c>
      <c r="AT306" s="110">
        <v>0.0</v>
      </c>
      <c r="AU306" s="110">
        <v>0.0</v>
      </c>
      <c r="AV306" s="142">
        <v>0.0</v>
      </c>
      <c r="AW306" s="80">
        <f t="shared" si="6"/>
        <v>0</v>
      </c>
      <c r="AX306" s="113">
        <f t="shared" si="7"/>
        <v>21</v>
      </c>
      <c r="AY306" s="117">
        <f t="shared" si="8"/>
        <v>0</v>
      </c>
      <c r="AZ306" s="120">
        <f t="shared" si="9"/>
        <v>21</v>
      </c>
      <c r="BA306" s="115">
        <v>0.0</v>
      </c>
      <c r="BB306" s="89">
        <f t="shared" si="10"/>
        <v>21</v>
      </c>
      <c r="BC306" s="132" t="s">
        <v>563</v>
      </c>
      <c r="BD306" s="132" t="s">
        <v>178</v>
      </c>
      <c r="BE306" s="132" t="s">
        <v>178</v>
      </c>
      <c r="BF306" s="123"/>
      <c r="BG306" s="83">
        <v>1178737.0</v>
      </c>
      <c r="BH306" s="112"/>
      <c r="BI306" s="112">
        <v>1.0</v>
      </c>
      <c r="BJ306" s="98" t="s">
        <v>155</v>
      </c>
      <c r="BK306" s="99">
        <f t="shared" si="11"/>
        <v>0</v>
      </c>
      <c r="BL306" s="99">
        <f t="shared" si="12"/>
        <v>0</v>
      </c>
      <c r="BM306" s="99" t="str">
        <f>IFERROR(__xludf.DUMMYFUNCTION("IFERROR(VLOOKUP(BG306,IMPORTRANGE(""https://docs.google.com/spreadsheets/d/1juPI-Fb8LD0YtltB2mlGEnp_R3UVu1t3wSFPzgCyHXE/edit?gid=0#gid=0"",""GERAL!A2:C""),3,0),""-"")"),"CAMPO")</f>
        <v>CAMPO</v>
      </c>
    </row>
    <row r="307" ht="15.75" customHeight="1">
      <c r="A307" s="111" t="s">
        <v>383</v>
      </c>
      <c r="B307" s="83" t="s">
        <v>1270</v>
      </c>
      <c r="C307" s="83" t="s">
        <v>164</v>
      </c>
      <c r="D307" s="112">
        <v>1166427.0</v>
      </c>
      <c r="E307" s="83">
        <v>1179209.0</v>
      </c>
      <c r="F307" s="98">
        <v>2.9491576E7</v>
      </c>
      <c r="G307" s="185" t="s">
        <v>1302</v>
      </c>
      <c r="H307" s="91" t="s">
        <v>1303</v>
      </c>
      <c r="I307" s="136" t="s">
        <v>149</v>
      </c>
      <c r="J307" s="83" t="s">
        <v>240</v>
      </c>
      <c r="K307" s="83" t="s">
        <v>168</v>
      </c>
      <c r="L307" s="83" t="s">
        <v>169</v>
      </c>
      <c r="M307" s="82" t="str">
        <f>IFERROR(__xludf.DUMMYFUNCTION("IFERROR(VLOOKUP(D307,
IMPORTRANGE(""https://docs.google.com/spreadsheets/d/1MjHtlUikwobi2MaWJgy7tfLeBmhj1u-dRFRs_8GwSoA/edit#gid=0"",""Gestores Escolares!D7:J""),3,0),""VERIFICAR CÓD SEC"")"),"         JANESSUELLY CONCEICAO DE PAULA SANTOS")</f>
        <v>         JANESSUELLY CONCEICAO DE PAULA SANTOS</v>
      </c>
      <c r="N307" s="82" t="str">
        <f>IFERROR(__xludf.DUMMYFUNCTION("IFERROR(VLOOKUP(D307,
IMPORTRANGE(""https://docs.google.com/spreadsheets/d/1MjHtlUikwobi2MaWJgy7tfLeBmhj1u-dRFRs_8GwSoA/edit#gid=0"",""Gestores Escolares!D7:J""),4,0),""VERIFICAR CÓD SEC"")"),"(75) 9 9157-0402")</f>
        <v>(75) 9 9157-0402</v>
      </c>
      <c r="O307" s="82" t="str">
        <f>IFERROR(__xludf.DUMMYFUNCTION("IFERROR(VLOOKUP(D307,
IMPORTRANGE(""https://docs.google.com/spreadsheets/d/1MjHtlUikwobi2MaWJgy7tfLeBmhj1u-dRFRs_8GwSoA/edit#gid=0"",""Gestores Escolares!D7:J""),6,0),""VERIFICAR CÓD SEC"")"),"GABRIEL CIDREIRA ARAUJO")</f>
        <v>GABRIEL CIDREIRA ARAUJO</v>
      </c>
      <c r="P307" s="82" t="str">
        <f>IFERROR(__xludf.DUMMYFUNCTION("IFERROR(VLOOKUP(D307,
IMPORTRANGE(""https://docs.google.com/spreadsheets/d/1MjHtlUikwobi2MaWJgy7tfLeBmhj1u-dRFRs_8GwSoA/edit#gid=0"",""Gestores Escolares!D7:J""),7,0),""VERIFICAR CÓD SEC"")"),"(71) 9 8427-8920")</f>
        <v>(71) 9 8427-8920</v>
      </c>
      <c r="Q307" s="82" t="str">
        <f>IFERROR(__xludf.DUMMYFUNCTION("IFERROR(VLOOKUP(D307,
IMPORTRANGE(""https://docs.google.com/spreadsheets/d/1MjHtlUikwobi2MaWJgy7tfLeBmhj1u-dRFRs_8GwSoA/edit#gid=0"",""Gestores Escolares!D7:m""),9,0),""VERIFICAR CÓD SEC"")"),"")</f>
        <v/>
      </c>
      <c r="R307" s="82" t="str">
        <f>IFERROR(__xludf.DUMMYFUNCTION("IFERROR(VLOOKUP(D307,
IMPORTRANGE(""https://docs.google.com/spreadsheets/d/1MjHtlUikwobi2MaWJgy7tfLeBmhj1u-dRFRs_8GwSoA/edit#gid=0"",""Gestores Escolares!D7:m""),10,0),""VERIFICAR CÓD SEC"")"),"")</f>
        <v/>
      </c>
      <c r="S307" s="82"/>
      <c r="T307" s="138">
        <v>5.0</v>
      </c>
      <c r="U307" s="139">
        <v>3.0</v>
      </c>
      <c r="V307" s="106">
        <v>0.0</v>
      </c>
      <c r="W307" s="107">
        <v>0.0</v>
      </c>
      <c r="X307" s="107">
        <v>0.0</v>
      </c>
      <c r="Y307" s="107">
        <v>0.0</v>
      </c>
      <c r="Z307" s="80">
        <f t="shared" si="1"/>
        <v>0</v>
      </c>
      <c r="AA307" s="106">
        <v>0.0</v>
      </c>
      <c r="AB307" s="107">
        <v>0.0</v>
      </c>
      <c r="AC307" s="107">
        <v>0.0</v>
      </c>
      <c r="AD307" s="107">
        <v>0.0</v>
      </c>
      <c r="AE307" s="80">
        <f t="shared" si="2"/>
        <v>0</v>
      </c>
      <c r="AF307" s="140">
        <v>0.0</v>
      </c>
      <c r="AG307" s="109">
        <v>40.0</v>
      </c>
      <c r="AH307" s="109">
        <v>0.0</v>
      </c>
      <c r="AI307" s="141">
        <v>0.0</v>
      </c>
      <c r="AJ307" s="80">
        <f t="shared" si="3"/>
        <v>40</v>
      </c>
      <c r="AK307" s="140">
        <v>0.0</v>
      </c>
      <c r="AL307" s="109">
        <v>0.0</v>
      </c>
      <c r="AM307" s="141">
        <v>0.0</v>
      </c>
      <c r="AN307" s="80">
        <f t="shared" si="4"/>
        <v>0</v>
      </c>
      <c r="AO307" s="140">
        <v>0.0</v>
      </c>
      <c r="AP307" s="109">
        <v>0.0</v>
      </c>
      <c r="AQ307" s="109">
        <v>26.0</v>
      </c>
      <c r="AR307" s="80">
        <f t="shared" si="5"/>
        <v>26</v>
      </c>
      <c r="AS307" s="110">
        <v>0.0</v>
      </c>
      <c r="AT307" s="110">
        <v>0.0</v>
      </c>
      <c r="AU307" s="110">
        <v>0.0</v>
      </c>
      <c r="AV307" s="142">
        <v>0.0</v>
      </c>
      <c r="AW307" s="80">
        <f t="shared" si="6"/>
        <v>0</v>
      </c>
      <c r="AX307" s="113">
        <f t="shared" si="7"/>
        <v>66</v>
      </c>
      <c r="AY307" s="117">
        <f t="shared" si="8"/>
        <v>40</v>
      </c>
      <c r="AZ307" s="120">
        <f t="shared" si="9"/>
        <v>26</v>
      </c>
      <c r="BA307" s="115">
        <v>0.0</v>
      </c>
      <c r="BB307" s="89">
        <f t="shared" si="10"/>
        <v>66</v>
      </c>
      <c r="BC307" s="132" t="s">
        <v>373</v>
      </c>
      <c r="BD307" s="132" t="s">
        <v>178</v>
      </c>
      <c r="BE307" s="132" t="s">
        <v>178</v>
      </c>
      <c r="BF307" s="123"/>
      <c r="BG307" s="83">
        <v>1179209.0</v>
      </c>
      <c r="BH307" s="112"/>
      <c r="BI307" s="112">
        <v>3.0</v>
      </c>
      <c r="BJ307" s="98" t="s">
        <v>155</v>
      </c>
      <c r="BK307" s="99">
        <f t="shared" si="11"/>
        <v>0</v>
      </c>
      <c r="BL307" s="99">
        <f t="shared" si="12"/>
        <v>40</v>
      </c>
      <c r="BM307" s="99" t="str">
        <f>IFERROR(__xludf.DUMMYFUNCTION("IFERROR(VLOOKUP(BG307,IMPORTRANGE(""https://docs.google.com/spreadsheets/d/1juPI-Fb8LD0YtltB2mlGEnp_R3UVu1t3wSFPzgCyHXE/edit?gid=0#gid=0"",""GERAL!A2:C""),3,0),""-"")"),"CAMPO")</f>
        <v>CAMPO</v>
      </c>
    </row>
    <row r="308" ht="15.75" customHeight="1">
      <c r="A308" s="111" t="s">
        <v>383</v>
      </c>
      <c r="B308" s="83" t="s">
        <v>1270</v>
      </c>
      <c r="C308" s="83" t="s">
        <v>164</v>
      </c>
      <c r="D308" s="112">
        <v>1179292.0</v>
      </c>
      <c r="E308" s="83">
        <v>1179216.0</v>
      </c>
      <c r="F308" s="98">
        <v>2.9460816E7</v>
      </c>
      <c r="G308" s="185" t="s">
        <v>1304</v>
      </c>
      <c r="H308" s="91" t="s">
        <v>1305</v>
      </c>
      <c r="I308" s="136" t="s">
        <v>149</v>
      </c>
      <c r="J308" s="83" t="s">
        <v>784</v>
      </c>
      <c r="K308" s="83" t="s">
        <v>168</v>
      </c>
      <c r="L308" s="82" t="s">
        <v>169</v>
      </c>
      <c r="M308" s="82" t="str">
        <f>IFERROR(__xludf.DUMMYFUNCTION("IFERROR(VLOOKUP(D308,
IMPORTRANGE(""https://docs.google.com/spreadsheets/d/1MjHtlUikwobi2MaWJgy7tfLeBmhj1u-dRFRs_8GwSoA/edit#gid=0"",""Gestores Escolares!D7:J""),3,0),""VERIFICAR CÓD SEC"")"),"TECIO LUIZ BOAVENTURA DE MENEZES")</f>
        <v>TECIO LUIZ BOAVENTURA DE MENEZES</v>
      </c>
      <c r="N308" s="82" t="str">
        <f>IFERROR(__xludf.DUMMYFUNCTION("IFERROR(VLOOKUP(D308,
IMPORTRANGE(""https://docs.google.com/spreadsheets/d/1MjHtlUikwobi2MaWJgy7tfLeBmhj1u-dRFRs_8GwSoA/edit#gid=0"",""Gestores Escolares!D7:J""),4,0),""VERIFICAR CÓD SEC"")"),"(75) 9 9948-8050")</f>
        <v>(75) 9 9948-8050</v>
      </c>
      <c r="O308" s="82" t="str">
        <f>IFERROR(__xludf.DUMMYFUNCTION("IFERROR(VLOOKUP(D308,
IMPORTRANGE(""https://docs.google.com/spreadsheets/d/1MjHtlUikwobi2MaWJgy7tfLeBmhj1u-dRFRs_8GwSoA/edit#gid=0"",""Gestores Escolares!D7:J""),6,0),""VERIFICAR CÓD SEC"")"),"ELISANGELA DE ALMEIDA CARDOSO")</f>
        <v>ELISANGELA DE ALMEIDA CARDOSO</v>
      </c>
      <c r="P308" s="82" t="str">
        <f>IFERROR(__xludf.DUMMYFUNCTION("IFERROR(VLOOKUP(D308,
IMPORTRANGE(""https://docs.google.com/spreadsheets/d/1MjHtlUikwobi2MaWJgy7tfLeBmhj1u-dRFRs_8GwSoA/edit#gid=0"",""Gestores Escolares!D7:J""),7,0),""VERIFICAR CÓD SEC"")")," (71) 9 9418-7474")</f>
        <v> (71) 9 9418-7474</v>
      </c>
      <c r="Q308" s="82" t="str">
        <f>IFERROR(__xludf.DUMMYFUNCTION("IFERROR(VLOOKUP(D308,
IMPORTRANGE(""https://docs.google.com/spreadsheets/d/1MjHtlUikwobi2MaWJgy7tfLeBmhj1u-dRFRs_8GwSoA/edit#gid=0"",""Gestores Escolares!D7:m""),9,0),""VERIFICAR CÓD SEC"")"),"")</f>
        <v/>
      </c>
      <c r="R308" s="82" t="str">
        <f>IFERROR(__xludf.DUMMYFUNCTION("IFERROR(VLOOKUP(D308,
IMPORTRANGE(""https://docs.google.com/spreadsheets/d/1MjHtlUikwobi2MaWJgy7tfLeBmhj1u-dRFRs_8GwSoA/edit#gid=0"",""Gestores Escolares!D7:m""),10,0),""VERIFICAR CÓD SEC"")"),"")</f>
        <v/>
      </c>
      <c r="S308" s="82"/>
      <c r="T308" s="138">
        <v>3.0</v>
      </c>
      <c r="U308" s="139">
        <v>3.0</v>
      </c>
      <c r="V308" s="106">
        <v>0.0</v>
      </c>
      <c r="W308" s="107">
        <v>0.0</v>
      </c>
      <c r="X308" s="107">
        <v>0.0</v>
      </c>
      <c r="Y308" s="107">
        <v>0.0</v>
      </c>
      <c r="Z308" s="80">
        <f t="shared" si="1"/>
        <v>0</v>
      </c>
      <c r="AA308" s="106">
        <v>0.0</v>
      </c>
      <c r="AB308" s="107">
        <v>0.0</v>
      </c>
      <c r="AC308" s="107">
        <v>0.0</v>
      </c>
      <c r="AD308" s="107">
        <v>0.0</v>
      </c>
      <c r="AE308" s="80">
        <f t="shared" si="2"/>
        <v>0</v>
      </c>
      <c r="AF308" s="140">
        <v>0.0</v>
      </c>
      <c r="AG308" s="109">
        <v>0.0</v>
      </c>
      <c r="AH308" s="109">
        <v>44.0</v>
      </c>
      <c r="AI308" s="141">
        <v>0.0</v>
      </c>
      <c r="AJ308" s="80">
        <f t="shared" si="3"/>
        <v>44</v>
      </c>
      <c r="AK308" s="140">
        <v>0.0</v>
      </c>
      <c r="AL308" s="109">
        <v>0.0</v>
      </c>
      <c r="AM308" s="141">
        <v>0.0</v>
      </c>
      <c r="AN308" s="80">
        <f t="shared" si="4"/>
        <v>0</v>
      </c>
      <c r="AO308" s="140">
        <v>0.0</v>
      </c>
      <c r="AP308" s="109">
        <v>0.0</v>
      </c>
      <c r="AQ308" s="109">
        <v>0.0</v>
      </c>
      <c r="AR308" s="80">
        <f t="shared" si="5"/>
        <v>0</v>
      </c>
      <c r="AS308" s="110">
        <v>0.0</v>
      </c>
      <c r="AT308" s="110">
        <v>0.0</v>
      </c>
      <c r="AU308" s="110">
        <v>0.0</v>
      </c>
      <c r="AV308" s="142">
        <v>0.0</v>
      </c>
      <c r="AW308" s="80">
        <f t="shared" si="6"/>
        <v>0</v>
      </c>
      <c r="AX308" s="113">
        <f t="shared" si="7"/>
        <v>44</v>
      </c>
      <c r="AY308" s="117">
        <f t="shared" si="8"/>
        <v>0</v>
      </c>
      <c r="AZ308" s="120">
        <f t="shared" si="9"/>
        <v>44</v>
      </c>
      <c r="BA308" s="115">
        <v>0.0</v>
      </c>
      <c r="BB308" s="89">
        <f t="shared" si="10"/>
        <v>44</v>
      </c>
      <c r="BC308" s="132" t="s">
        <v>178</v>
      </c>
      <c r="BD308" s="143" t="s">
        <v>227</v>
      </c>
      <c r="BE308" s="132" t="s">
        <v>178</v>
      </c>
      <c r="BF308" s="123"/>
      <c r="BG308" s="83">
        <v>1179216.0</v>
      </c>
      <c r="BH308" s="112"/>
      <c r="BI308" s="112">
        <v>3.0</v>
      </c>
      <c r="BJ308" s="98" t="s">
        <v>155</v>
      </c>
      <c r="BK308" s="99">
        <f t="shared" si="11"/>
        <v>0</v>
      </c>
      <c r="BL308" s="99">
        <f t="shared" si="12"/>
        <v>0</v>
      </c>
      <c r="BM308" s="99" t="str">
        <f>IFERROR(__xludf.DUMMYFUNCTION("IFERROR(VLOOKUP(BG308,IMPORTRANGE(""https://docs.google.com/spreadsheets/d/1juPI-Fb8LD0YtltB2mlGEnp_R3UVu1t3wSFPzgCyHXE/edit?gid=0#gid=0"",""GERAL!A2:C""),3,0),""-"")"),"-")</f>
        <v>-</v>
      </c>
    </row>
    <row r="309" ht="15.75" customHeight="1">
      <c r="A309" s="111" t="s">
        <v>383</v>
      </c>
      <c r="B309" s="83" t="s">
        <v>1270</v>
      </c>
      <c r="C309" s="83" t="s">
        <v>164</v>
      </c>
      <c r="D309" s="112">
        <v>1179292.0</v>
      </c>
      <c r="E309" s="83">
        <v>1178611.0</v>
      </c>
      <c r="F309" s="98">
        <v>2.9460816E7</v>
      </c>
      <c r="G309" s="185" t="s">
        <v>1307</v>
      </c>
      <c r="H309" s="91" t="s">
        <v>1308</v>
      </c>
      <c r="I309" s="136" t="s">
        <v>149</v>
      </c>
      <c r="J309" s="83" t="s">
        <v>315</v>
      </c>
      <c r="K309" s="83" t="s">
        <v>168</v>
      </c>
      <c r="L309" s="83" t="s">
        <v>169</v>
      </c>
      <c r="M309" s="82" t="str">
        <f>IFERROR(__xludf.DUMMYFUNCTION("IFERROR(VLOOKUP(D309,
IMPORTRANGE(""https://docs.google.com/spreadsheets/d/1MjHtlUikwobi2MaWJgy7tfLeBmhj1u-dRFRs_8GwSoA/edit#gid=0"",""Gestores Escolares!D7:J""),3,0),""VERIFICAR CÓD SEC"")"),"TECIO LUIZ BOAVENTURA DE MENEZES")</f>
        <v>TECIO LUIZ BOAVENTURA DE MENEZES</v>
      </c>
      <c r="N309" s="82" t="str">
        <f>IFERROR(__xludf.DUMMYFUNCTION("IFERROR(VLOOKUP(D309,
IMPORTRANGE(""https://docs.google.com/spreadsheets/d/1MjHtlUikwobi2MaWJgy7tfLeBmhj1u-dRFRs_8GwSoA/edit#gid=0"",""Gestores Escolares!D7:J""),4,0),""VERIFICAR CÓD SEC"")"),"(75) 9 9948-8050")</f>
        <v>(75) 9 9948-8050</v>
      </c>
      <c r="O309" s="82" t="str">
        <f>IFERROR(__xludf.DUMMYFUNCTION("IFERROR(VLOOKUP(D309,
IMPORTRANGE(""https://docs.google.com/spreadsheets/d/1MjHtlUikwobi2MaWJgy7tfLeBmhj1u-dRFRs_8GwSoA/edit#gid=0"",""Gestores Escolares!D7:J""),6,0),""VERIFICAR CÓD SEC"")"),"ELISANGELA DE ALMEIDA CARDOSO")</f>
        <v>ELISANGELA DE ALMEIDA CARDOSO</v>
      </c>
      <c r="P309" s="82" t="str">
        <f>IFERROR(__xludf.DUMMYFUNCTION("IFERROR(VLOOKUP(D309,
IMPORTRANGE(""https://docs.google.com/spreadsheets/d/1MjHtlUikwobi2MaWJgy7tfLeBmhj1u-dRFRs_8GwSoA/edit#gid=0"",""Gestores Escolares!D7:J""),7,0),""VERIFICAR CÓD SEC"")")," (71) 9 9418-7474")</f>
        <v> (71) 9 9418-7474</v>
      </c>
      <c r="Q309" s="82" t="str">
        <f>IFERROR(__xludf.DUMMYFUNCTION("IFERROR(VLOOKUP(D309,
IMPORTRANGE(""https://docs.google.com/spreadsheets/d/1MjHtlUikwobi2MaWJgy7tfLeBmhj1u-dRFRs_8GwSoA/edit#gid=0"",""Gestores Escolares!D7:m""),9,0),""VERIFICAR CÓD SEC"")"),"")</f>
        <v/>
      </c>
      <c r="R309" s="82" t="str">
        <f>IFERROR(__xludf.DUMMYFUNCTION("IFERROR(VLOOKUP(D309,
IMPORTRANGE(""https://docs.google.com/spreadsheets/d/1MjHtlUikwobi2MaWJgy7tfLeBmhj1u-dRFRs_8GwSoA/edit#gid=0"",""Gestores Escolares!D7:m""),10,0),""VERIFICAR CÓD SEC"")"),"")</f>
        <v/>
      </c>
      <c r="S309" s="82"/>
      <c r="T309" s="138">
        <v>3.0</v>
      </c>
      <c r="U309" s="139">
        <v>3.0</v>
      </c>
      <c r="V309" s="106">
        <v>0.0</v>
      </c>
      <c r="W309" s="107">
        <v>0.0</v>
      </c>
      <c r="X309" s="107">
        <v>0.0</v>
      </c>
      <c r="Y309" s="107">
        <v>0.0</v>
      </c>
      <c r="Z309" s="80">
        <f t="shared" si="1"/>
        <v>0</v>
      </c>
      <c r="AA309" s="106">
        <v>0.0</v>
      </c>
      <c r="AB309" s="107">
        <v>0.0</v>
      </c>
      <c r="AC309" s="107">
        <v>0.0</v>
      </c>
      <c r="AD309" s="107">
        <v>0.0</v>
      </c>
      <c r="AE309" s="80">
        <f t="shared" si="2"/>
        <v>0</v>
      </c>
      <c r="AF309" s="140">
        <v>0.0</v>
      </c>
      <c r="AG309" s="109">
        <v>0.0</v>
      </c>
      <c r="AH309" s="109">
        <v>58.0</v>
      </c>
      <c r="AI309" s="141">
        <v>0.0</v>
      </c>
      <c r="AJ309" s="80">
        <f t="shared" si="3"/>
        <v>58</v>
      </c>
      <c r="AK309" s="140">
        <v>0.0</v>
      </c>
      <c r="AL309" s="109">
        <v>0.0</v>
      </c>
      <c r="AM309" s="141">
        <v>0.0</v>
      </c>
      <c r="AN309" s="80">
        <f t="shared" si="4"/>
        <v>0</v>
      </c>
      <c r="AO309" s="140">
        <v>0.0</v>
      </c>
      <c r="AP309" s="109">
        <v>0.0</v>
      </c>
      <c r="AQ309" s="109">
        <v>0.0</v>
      </c>
      <c r="AR309" s="80">
        <f t="shared" si="5"/>
        <v>0</v>
      </c>
      <c r="AS309" s="110">
        <v>0.0</v>
      </c>
      <c r="AT309" s="110">
        <v>0.0</v>
      </c>
      <c r="AU309" s="110">
        <v>0.0</v>
      </c>
      <c r="AV309" s="142">
        <v>0.0</v>
      </c>
      <c r="AW309" s="80">
        <f t="shared" si="6"/>
        <v>0</v>
      </c>
      <c r="AX309" s="113">
        <f t="shared" si="7"/>
        <v>58</v>
      </c>
      <c r="AY309" s="117">
        <f t="shared" si="8"/>
        <v>0</v>
      </c>
      <c r="AZ309" s="120">
        <f t="shared" si="9"/>
        <v>58</v>
      </c>
      <c r="BA309" s="115">
        <v>0.0</v>
      </c>
      <c r="BB309" s="89">
        <f t="shared" si="10"/>
        <v>58</v>
      </c>
      <c r="BC309" s="132" t="s">
        <v>178</v>
      </c>
      <c r="BD309" s="143" t="s">
        <v>227</v>
      </c>
      <c r="BE309" s="132" t="s">
        <v>178</v>
      </c>
      <c r="BF309" s="123"/>
      <c r="BG309" s="83">
        <v>1178611.0</v>
      </c>
      <c r="BH309" s="112"/>
      <c r="BI309" s="112">
        <v>3.0</v>
      </c>
      <c r="BJ309" s="98" t="s">
        <v>155</v>
      </c>
      <c r="BK309" s="99">
        <f t="shared" si="11"/>
        <v>0</v>
      </c>
      <c r="BL309" s="99">
        <f t="shared" si="12"/>
        <v>0</v>
      </c>
      <c r="BM309" s="99" t="str">
        <f>IFERROR(__xludf.DUMMYFUNCTION("IFERROR(VLOOKUP(BG309,IMPORTRANGE(""https://docs.google.com/spreadsheets/d/1juPI-Fb8LD0YtltB2mlGEnp_R3UVu1t3wSFPzgCyHXE/edit?gid=0#gid=0"",""GERAL!A2:C""),3,0),""-"")"),"-")</f>
        <v>-</v>
      </c>
    </row>
    <row r="310" ht="15.75" customHeight="1">
      <c r="A310" s="111" t="s">
        <v>383</v>
      </c>
      <c r="B310" s="83" t="s">
        <v>1309</v>
      </c>
      <c r="C310" s="83" t="s">
        <v>68</v>
      </c>
      <c r="D310" s="112">
        <v>1116446.0</v>
      </c>
      <c r="E310" s="83"/>
      <c r="F310" s="83">
        <v>2.9147913E7</v>
      </c>
      <c r="G310" s="119" t="s">
        <v>1310</v>
      </c>
      <c r="H310" s="108" t="s">
        <v>1311</v>
      </c>
      <c r="I310" s="83" t="s">
        <v>149</v>
      </c>
      <c r="J310" s="83" t="s">
        <v>150</v>
      </c>
      <c r="K310" s="83" t="s">
        <v>151</v>
      </c>
      <c r="L310" s="98" t="s">
        <v>230</v>
      </c>
      <c r="M310" s="82" t="str">
        <f>IFERROR(__xludf.DUMMYFUNCTION("IFERROR(VLOOKUP(D310,
IMPORTRANGE(""https://docs.google.com/spreadsheets/d/1MjHtlUikwobi2MaWJgy7tfLeBmhj1u-dRFRs_8GwSoA/edit#gid=0"",""Gestores Escolares!D7:J""),3,0),""VERIFICAR CÓD SEC"")"),"SIDNEI SILVA DA VISITACAO")</f>
        <v>SIDNEI SILVA DA VISITACAO</v>
      </c>
      <c r="N310" s="82" t="str">
        <f>IFERROR(__xludf.DUMMYFUNCTION("IFERROR(VLOOKUP(D310,
IMPORTRANGE(""https://docs.google.com/spreadsheets/d/1MjHtlUikwobi2MaWJgy7tfLeBmhj1u-dRFRs_8GwSoA/edit#gid=0"",""Gestores Escolares!D7:J""),4,0),""VERIFICAR CÓD SEC"")"),"(75) 9 9962-7341")</f>
        <v>(75) 9 9962-7341</v>
      </c>
      <c r="O310" s="82" t="str">
        <f>IFERROR(__xludf.DUMMYFUNCTION("IFERROR(VLOOKUP(D310,
IMPORTRANGE(""https://docs.google.com/spreadsheets/d/1MjHtlUikwobi2MaWJgy7tfLeBmhj1u-dRFRs_8GwSoA/edit#gid=0"",""Gestores Escolares!D7:J""),6,0),""VERIFICAR CÓD SEC"")"),"ARIANE MATOS DE CARVALHO")</f>
        <v>ARIANE MATOS DE CARVALHO</v>
      </c>
      <c r="P310" s="82" t="str">
        <f>IFERROR(__xludf.DUMMYFUNCTION("IFERROR(VLOOKUP(D310,
IMPORTRANGE(""https://docs.google.com/spreadsheets/d/1MjHtlUikwobi2MaWJgy7tfLeBmhj1u-dRFRs_8GwSoA/edit#gid=0"",""Gestores Escolares!D7:J""),7,0),""VERIFICAR CÓD SEC"")"),"(75) 9 9112-1571")</f>
        <v>(75) 9 9112-1571</v>
      </c>
      <c r="Q310" s="82" t="str">
        <f>IFERROR(__xludf.DUMMYFUNCTION("IFERROR(VLOOKUP(D310,
IMPORTRANGE(""https://docs.google.com/spreadsheets/d/1MjHtlUikwobi2MaWJgy7tfLeBmhj1u-dRFRs_8GwSoA/edit#gid=0"",""Gestores Escolares!D7:m""),9,0),""VERIFICAR CÓD SEC"")"),"ANA BARBARA VITERBO DE AZEVEDO")</f>
        <v>ANA BARBARA VITERBO DE AZEVEDO</v>
      </c>
      <c r="R310" s="82" t="str">
        <f>IFERROR(__xludf.DUMMYFUNCTION("IFERROR(VLOOKUP(D310,
IMPORTRANGE(""https://docs.google.com/spreadsheets/d/1MjHtlUikwobi2MaWJgy7tfLeBmhj1u-dRFRs_8GwSoA/edit#gid=0"",""Gestores Escolares!D7:m""),10,0),""VERIFICAR CÓD SEC"")"),"(75) 9 9910-5571/9 9129-3733")</f>
        <v>(75) 9 9910-5571/9 9129-3733</v>
      </c>
      <c r="S310" s="82"/>
      <c r="T310" s="138">
        <v>10.0</v>
      </c>
      <c r="U310" s="145">
        <v>17.0</v>
      </c>
      <c r="V310" s="106">
        <v>0.0</v>
      </c>
      <c r="W310" s="107">
        <v>0.0</v>
      </c>
      <c r="X310" s="107">
        <v>0.0</v>
      </c>
      <c r="Y310" s="107">
        <v>0.0</v>
      </c>
      <c r="Z310" s="80">
        <f t="shared" si="1"/>
        <v>0</v>
      </c>
      <c r="AA310" s="106">
        <v>0.0</v>
      </c>
      <c r="AB310" s="107">
        <v>0.0</v>
      </c>
      <c r="AC310" s="107">
        <v>0.0</v>
      </c>
      <c r="AD310" s="107">
        <v>0.0</v>
      </c>
      <c r="AE310" s="80">
        <f t="shared" si="2"/>
        <v>0</v>
      </c>
      <c r="AF310" s="140">
        <v>0.0</v>
      </c>
      <c r="AG310" s="109">
        <v>44.0</v>
      </c>
      <c r="AH310" s="109">
        <v>0.0</v>
      </c>
      <c r="AI310" s="141">
        <v>312.0</v>
      </c>
      <c r="AJ310" s="80">
        <f t="shared" si="3"/>
        <v>356</v>
      </c>
      <c r="AK310" s="140">
        <v>0.0</v>
      </c>
      <c r="AL310" s="109">
        <v>0.0</v>
      </c>
      <c r="AM310" s="141">
        <v>0.0</v>
      </c>
      <c r="AN310" s="80">
        <f t="shared" si="4"/>
        <v>0</v>
      </c>
      <c r="AO310" s="140">
        <v>0.0</v>
      </c>
      <c r="AP310" s="109">
        <v>0.0</v>
      </c>
      <c r="AQ310" s="109">
        <v>65.0</v>
      </c>
      <c r="AR310" s="80">
        <f t="shared" si="5"/>
        <v>65</v>
      </c>
      <c r="AS310" s="110">
        <v>21.0</v>
      </c>
      <c r="AT310" s="110">
        <v>25.0</v>
      </c>
      <c r="AU310" s="110">
        <v>70.0</v>
      </c>
      <c r="AV310" s="142">
        <v>225.0</v>
      </c>
      <c r="AW310" s="80">
        <f t="shared" si="6"/>
        <v>341</v>
      </c>
      <c r="AX310" s="113">
        <f t="shared" si="7"/>
        <v>762</v>
      </c>
      <c r="AY310" s="117">
        <f t="shared" si="8"/>
        <v>627</v>
      </c>
      <c r="AZ310" s="120">
        <f t="shared" si="9"/>
        <v>135</v>
      </c>
      <c r="BA310" s="115">
        <v>0.0</v>
      </c>
      <c r="BB310" s="89">
        <f t="shared" si="10"/>
        <v>762</v>
      </c>
      <c r="BC310" s="132" t="s">
        <v>178</v>
      </c>
      <c r="BD310" s="132" t="s">
        <v>178</v>
      </c>
      <c r="BE310" s="132" t="s">
        <v>178</v>
      </c>
      <c r="BF310" s="123"/>
      <c r="BG310" s="83">
        <v>1116446.0</v>
      </c>
      <c r="BH310" s="112"/>
      <c r="BI310" s="112">
        <v>10.0</v>
      </c>
      <c r="BJ310" s="98" t="s">
        <v>162</v>
      </c>
      <c r="BK310" s="99">
        <f t="shared" si="11"/>
        <v>537</v>
      </c>
      <c r="BL310" s="99">
        <f t="shared" si="12"/>
        <v>90</v>
      </c>
      <c r="BM310" s="99" t="str">
        <f>IFERROR(__xludf.DUMMYFUNCTION("IFERROR(VLOOKUP(BG310,IMPORTRANGE(""https://docs.google.com/spreadsheets/d/1juPI-Fb8LD0YtltB2mlGEnp_R3UVu1t3wSFPzgCyHXE/edit?gid=0#gid=0"",""GERAL!A2:C""),3,0),""-"")"),"-")</f>
        <v>-</v>
      </c>
    </row>
    <row r="311" ht="15.75" customHeight="1">
      <c r="A311" s="111" t="s">
        <v>383</v>
      </c>
      <c r="B311" s="83" t="s">
        <v>1309</v>
      </c>
      <c r="C311" s="83" t="s">
        <v>164</v>
      </c>
      <c r="D311" s="112">
        <v>1179292.0</v>
      </c>
      <c r="E311" s="83">
        <v>1179352.0</v>
      </c>
      <c r="F311" s="98">
        <v>2.9460816E7</v>
      </c>
      <c r="G311" s="114" t="s">
        <v>1314</v>
      </c>
      <c r="H311" s="91" t="s">
        <v>1315</v>
      </c>
      <c r="I311" s="136" t="s">
        <v>1316</v>
      </c>
      <c r="J311" s="83" t="s">
        <v>240</v>
      </c>
      <c r="K311" s="83" t="s">
        <v>168</v>
      </c>
      <c r="L311" s="83" t="s">
        <v>169</v>
      </c>
      <c r="M311" s="82" t="str">
        <f>IFERROR(__xludf.DUMMYFUNCTION("IFERROR(VLOOKUP(D311,
IMPORTRANGE(""https://docs.google.com/spreadsheets/d/1MjHtlUikwobi2MaWJgy7tfLeBmhj1u-dRFRs_8GwSoA/edit#gid=0"",""Gestores Escolares!D7:J""),3,0),""VERIFICAR CÓD SEC"")"),"TECIO LUIZ BOAVENTURA DE MENEZES")</f>
        <v>TECIO LUIZ BOAVENTURA DE MENEZES</v>
      </c>
      <c r="N311" s="82" t="str">
        <f>IFERROR(__xludf.DUMMYFUNCTION("IFERROR(VLOOKUP(D311,
IMPORTRANGE(""https://docs.google.com/spreadsheets/d/1MjHtlUikwobi2MaWJgy7tfLeBmhj1u-dRFRs_8GwSoA/edit#gid=0"",""Gestores Escolares!D7:J""),4,0),""VERIFICAR CÓD SEC"")"),"(75) 9 9948-8050")</f>
        <v>(75) 9 9948-8050</v>
      </c>
      <c r="O311" s="82" t="str">
        <f>IFERROR(__xludf.DUMMYFUNCTION("IFERROR(VLOOKUP(D311,
IMPORTRANGE(""https://docs.google.com/spreadsheets/d/1MjHtlUikwobi2MaWJgy7tfLeBmhj1u-dRFRs_8GwSoA/edit#gid=0"",""Gestores Escolares!D7:J""),6,0),""VERIFICAR CÓD SEC"")"),"ELISANGELA DE ALMEIDA CARDOSO")</f>
        <v>ELISANGELA DE ALMEIDA CARDOSO</v>
      </c>
      <c r="P311" s="82" t="str">
        <f>IFERROR(__xludf.DUMMYFUNCTION("IFERROR(VLOOKUP(D311,
IMPORTRANGE(""https://docs.google.com/spreadsheets/d/1MjHtlUikwobi2MaWJgy7tfLeBmhj1u-dRFRs_8GwSoA/edit#gid=0"",""Gestores Escolares!D7:J""),7,0),""VERIFICAR CÓD SEC"")")," (71) 9 9418-7474")</f>
        <v> (71) 9 9418-7474</v>
      </c>
      <c r="Q311" s="82" t="str">
        <f>IFERROR(__xludf.DUMMYFUNCTION("IFERROR(VLOOKUP(D311,
IMPORTRANGE(""https://docs.google.com/spreadsheets/d/1MjHtlUikwobi2MaWJgy7tfLeBmhj1u-dRFRs_8GwSoA/edit#gid=0"",""Gestores Escolares!D7:m""),9,0),""VERIFICAR CÓD SEC"")"),"")</f>
        <v/>
      </c>
      <c r="R311" s="82" t="str">
        <f>IFERROR(__xludf.DUMMYFUNCTION("IFERROR(VLOOKUP(D311,
IMPORTRANGE(""https://docs.google.com/spreadsheets/d/1MjHtlUikwobi2MaWJgy7tfLeBmhj1u-dRFRs_8GwSoA/edit#gid=0"",""Gestores Escolares!D7:m""),10,0),""VERIFICAR CÓD SEC"")"),"")</f>
        <v/>
      </c>
      <c r="S311" s="82"/>
      <c r="T311" s="138">
        <v>3.0</v>
      </c>
      <c r="U311" s="139">
        <v>3.0</v>
      </c>
      <c r="V311" s="106">
        <v>0.0</v>
      </c>
      <c r="W311" s="107">
        <v>0.0</v>
      </c>
      <c r="X311" s="107">
        <v>0.0</v>
      </c>
      <c r="Y311" s="107">
        <v>0.0</v>
      </c>
      <c r="Z311" s="80">
        <f t="shared" si="1"/>
        <v>0</v>
      </c>
      <c r="AA311" s="106">
        <v>0.0</v>
      </c>
      <c r="AB311" s="107">
        <v>0.0</v>
      </c>
      <c r="AC311" s="107">
        <v>0.0</v>
      </c>
      <c r="AD311" s="107">
        <v>0.0</v>
      </c>
      <c r="AE311" s="80">
        <f t="shared" si="2"/>
        <v>0</v>
      </c>
      <c r="AF311" s="140">
        <v>0.0</v>
      </c>
      <c r="AG311" s="109">
        <v>0.0</v>
      </c>
      <c r="AH311" s="109">
        <v>57.0</v>
      </c>
      <c r="AI311" s="141">
        <v>0.0</v>
      </c>
      <c r="AJ311" s="80">
        <f t="shared" si="3"/>
        <v>57</v>
      </c>
      <c r="AK311" s="140">
        <v>0.0</v>
      </c>
      <c r="AL311" s="109">
        <v>0.0</v>
      </c>
      <c r="AM311" s="141">
        <v>0.0</v>
      </c>
      <c r="AN311" s="80">
        <f t="shared" si="4"/>
        <v>0</v>
      </c>
      <c r="AO311" s="140">
        <v>0.0</v>
      </c>
      <c r="AP311" s="109">
        <v>0.0</v>
      </c>
      <c r="AQ311" s="109">
        <v>0.0</v>
      </c>
      <c r="AR311" s="80">
        <f t="shared" si="5"/>
        <v>0</v>
      </c>
      <c r="AS311" s="110">
        <v>0.0</v>
      </c>
      <c r="AT311" s="110">
        <v>0.0</v>
      </c>
      <c r="AU311" s="110">
        <v>0.0</v>
      </c>
      <c r="AV311" s="142">
        <v>0.0</v>
      </c>
      <c r="AW311" s="80">
        <f t="shared" si="6"/>
        <v>0</v>
      </c>
      <c r="AX311" s="113">
        <f t="shared" si="7"/>
        <v>57</v>
      </c>
      <c r="AY311" s="117">
        <f t="shared" si="8"/>
        <v>0</v>
      </c>
      <c r="AZ311" s="120">
        <f t="shared" si="9"/>
        <v>57</v>
      </c>
      <c r="BA311" s="115">
        <v>0.0</v>
      </c>
      <c r="BB311" s="89">
        <f t="shared" si="10"/>
        <v>57</v>
      </c>
      <c r="BC311" s="132" t="s">
        <v>178</v>
      </c>
      <c r="BD311" s="143" t="s">
        <v>227</v>
      </c>
      <c r="BE311" s="132" t="s">
        <v>178</v>
      </c>
      <c r="BF311" s="156"/>
      <c r="BG311" s="83">
        <v>1179352.0</v>
      </c>
      <c r="BH311" s="112"/>
      <c r="BI311" s="112">
        <v>3.0</v>
      </c>
      <c r="BJ311" s="98" t="s">
        <v>155</v>
      </c>
      <c r="BK311" s="99">
        <f t="shared" si="11"/>
        <v>0</v>
      </c>
      <c r="BL311" s="99">
        <f t="shared" si="12"/>
        <v>0</v>
      </c>
      <c r="BM311" s="99" t="str">
        <f>IFERROR(__xludf.DUMMYFUNCTION("IFERROR(VLOOKUP(BG311,IMPORTRANGE(""https://docs.google.com/spreadsheets/d/1juPI-Fb8LD0YtltB2mlGEnp_R3UVu1t3wSFPzgCyHXE/edit?gid=0#gid=0"",""GERAL!A2:C""),3,0),""-"")"),"-")</f>
        <v>-</v>
      </c>
    </row>
    <row r="312" ht="15.75" customHeight="1">
      <c r="A312" s="111" t="s">
        <v>383</v>
      </c>
      <c r="B312" s="83" t="s">
        <v>1317</v>
      </c>
      <c r="C312" s="83" t="s">
        <v>68</v>
      </c>
      <c r="D312" s="112">
        <v>1114958.0</v>
      </c>
      <c r="E312" s="83"/>
      <c r="F312" s="83">
        <v>2.9123143E7</v>
      </c>
      <c r="G312" s="114" t="s">
        <v>1318</v>
      </c>
      <c r="H312" s="91" t="s">
        <v>1319</v>
      </c>
      <c r="I312" s="172" t="s">
        <v>1320</v>
      </c>
      <c r="J312" s="83" t="s">
        <v>1321</v>
      </c>
      <c r="K312" s="83" t="s">
        <v>151</v>
      </c>
      <c r="L312" s="83" t="s">
        <v>76</v>
      </c>
      <c r="M312" s="82" t="str">
        <f>IFERROR(__xludf.DUMMYFUNCTION("IFERROR(VLOOKUP(D312,
IMPORTRANGE(""https://docs.google.com/spreadsheets/d/1MjHtlUikwobi2MaWJgy7tfLeBmhj1u-dRFRs_8GwSoA/edit#gid=0"",""Gestores Escolares!D7:J""),3,0),""VERIFICAR CÓD SEC"")"),"DELMARK DA ANUNCIAÇÃO PIMENTEL")</f>
        <v>DELMARK DA ANUNCIAÇÃO PIMENTEL</v>
      </c>
      <c r="N312" s="82" t="str">
        <f>IFERROR(__xludf.DUMMYFUNCTION("IFERROR(VLOOKUP(D312,
IMPORTRANGE(""https://docs.google.com/spreadsheets/d/1MjHtlUikwobi2MaWJgy7tfLeBmhj1u-dRFRs_8GwSoA/edit#gid=0"",""Gestores Escolares!D7:J""),4,0),""VERIFICAR CÓD SEC"")"),"(75) 9 9156-7897")</f>
        <v>(75) 9 9156-7897</v>
      </c>
      <c r="O312" s="82" t="str">
        <f>IFERROR(__xludf.DUMMYFUNCTION("IFERROR(VLOOKUP(D312,
IMPORTRANGE(""https://docs.google.com/spreadsheets/d/1MjHtlUikwobi2MaWJgy7tfLeBmhj1u-dRFRs_8GwSoA/edit#gid=0"",""Gestores Escolares!D7:J""),6,0),""VERIFICAR CÓD SEC"")"),"LEANDRO SILVA PIMENTEL")</f>
        <v>LEANDRO SILVA PIMENTEL</v>
      </c>
      <c r="P312" s="82" t="str">
        <f>IFERROR(__xludf.DUMMYFUNCTION("IFERROR(VLOOKUP(D312,
IMPORTRANGE(""https://docs.google.com/spreadsheets/d/1MjHtlUikwobi2MaWJgy7tfLeBmhj1u-dRFRs_8GwSoA/edit#gid=0"",""Gestores Escolares!D7:J""),7,0),""VERIFICAR CÓD SEC"")"),"(75) 9 9224-1668")</f>
        <v>(75) 9 9224-1668</v>
      </c>
      <c r="Q312" s="82" t="str">
        <f>IFERROR(__xludf.DUMMYFUNCTION("IFERROR(VLOOKUP(D312,
IMPORTRANGE(""https://docs.google.com/spreadsheets/d/1MjHtlUikwobi2MaWJgy7tfLeBmhj1u-dRFRs_8GwSoA/edit#gid=0"",""Gestores Escolares!D7:m""),9,0),""VERIFICAR CÓD SEC"")"),"")</f>
        <v/>
      </c>
      <c r="R312" s="82" t="str">
        <f>IFERROR(__xludf.DUMMYFUNCTION("IFERROR(VLOOKUP(D312,
IMPORTRANGE(""https://docs.google.com/spreadsheets/d/1MjHtlUikwobi2MaWJgy7tfLeBmhj1u-dRFRs_8GwSoA/edit#gid=0"",""Gestores Escolares!D7:m""),10,0),""VERIFICAR CÓD SEC"")"),"")</f>
        <v/>
      </c>
      <c r="S312" s="82"/>
      <c r="T312" s="138">
        <v>8.0</v>
      </c>
      <c r="U312" s="145" t="s">
        <v>4542</v>
      </c>
      <c r="V312" s="106">
        <v>0.0</v>
      </c>
      <c r="W312" s="107">
        <v>0.0</v>
      </c>
      <c r="X312" s="107">
        <v>0.0</v>
      </c>
      <c r="Y312" s="107">
        <v>0.0</v>
      </c>
      <c r="Z312" s="80">
        <f t="shared" si="1"/>
        <v>0</v>
      </c>
      <c r="AA312" s="106">
        <v>0.0</v>
      </c>
      <c r="AB312" s="107">
        <v>0.0</v>
      </c>
      <c r="AC312" s="107">
        <v>0.0</v>
      </c>
      <c r="AD312" s="107">
        <v>0.0</v>
      </c>
      <c r="AE312" s="80">
        <f t="shared" si="2"/>
        <v>0</v>
      </c>
      <c r="AF312" s="140">
        <v>136.0</v>
      </c>
      <c r="AG312" s="109">
        <v>97.0</v>
      </c>
      <c r="AH312" s="109">
        <v>0.0</v>
      </c>
      <c r="AI312" s="141">
        <v>67.0</v>
      </c>
      <c r="AJ312" s="80">
        <f t="shared" si="3"/>
        <v>300</v>
      </c>
      <c r="AK312" s="140">
        <v>0.0</v>
      </c>
      <c r="AL312" s="109">
        <v>0.0</v>
      </c>
      <c r="AM312" s="141">
        <v>0.0</v>
      </c>
      <c r="AN312" s="80">
        <f t="shared" si="4"/>
        <v>0</v>
      </c>
      <c r="AO312" s="140">
        <v>0.0</v>
      </c>
      <c r="AP312" s="109">
        <v>0.0</v>
      </c>
      <c r="AQ312" s="109">
        <v>68.0</v>
      </c>
      <c r="AR312" s="80">
        <f t="shared" si="5"/>
        <v>68</v>
      </c>
      <c r="AS312" s="110">
        <v>0.0</v>
      </c>
      <c r="AT312" s="110">
        <v>0.0</v>
      </c>
      <c r="AU312" s="110">
        <v>0.0</v>
      </c>
      <c r="AV312" s="142">
        <v>0.0</v>
      </c>
      <c r="AW312" s="80">
        <f t="shared" si="6"/>
        <v>0</v>
      </c>
      <c r="AX312" s="113">
        <f t="shared" si="7"/>
        <v>368</v>
      </c>
      <c r="AY312" s="117">
        <f t="shared" si="8"/>
        <v>300</v>
      </c>
      <c r="AZ312" s="120">
        <f t="shared" si="9"/>
        <v>68</v>
      </c>
      <c r="BA312" s="115">
        <v>0.0</v>
      </c>
      <c r="BB312" s="89">
        <f t="shared" si="10"/>
        <v>368</v>
      </c>
      <c r="BC312" s="132" t="s">
        <v>178</v>
      </c>
      <c r="BD312" s="132" t="s">
        <v>178</v>
      </c>
      <c r="BE312" s="132" t="s">
        <v>178</v>
      </c>
      <c r="BF312" s="123"/>
      <c r="BG312" s="83">
        <v>1114958.0</v>
      </c>
      <c r="BH312" s="112"/>
      <c r="BI312" s="112">
        <v>7.0</v>
      </c>
      <c r="BJ312" s="98" t="s">
        <v>284</v>
      </c>
      <c r="BK312" s="99">
        <f t="shared" si="11"/>
        <v>67</v>
      </c>
      <c r="BL312" s="99">
        <f t="shared" si="12"/>
        <v>233</v>
      </c>
      <c r="BM312" s="99" t="str">
        <f>IFERROR(__xludf.DUMMYFUNCTION("IFERROR(VLOOKUP(BG312,IMPORTRANGE(""https://docs.google.com/spreadsheets/d/1juPI-Fb8LD0YtltB2mlGEnp_R3UVu1t3wSFPzgCyHXE/edit?gid=0#gid=0"",""GERAL!A2:C""),3,0),""-"")"),"-")</f>
        <v>-</v>
      </c>
    </row>
    <row r="313" ht="15.75" customHeight="1">
      <c r="A313" s="111" t="s">
        <v>383</v>
      </c>
      <c r="B313" s="83" t="s">
        <v>1317</v>
      </c>
      <c r="C313" s="83" t="s">
        <v>68</v>
      </c>
      <c r="D313" s="112">
        <v>1115105.0</v>
      </c>
      <c r="E313" s="83"/>
      <c r="F313" s="83">
        <v>2.9124212E7</v>
      </c>
      <c r="G313" s="153" t="s">
        <v>1324</v>
      </c>
      <c r="H313" s="91" t="s">
        <v>1325</v>
      </c>
      <c r="I313" s="83" t="s">
        <v>149</v>
      </c>
      <c r="J313" s="83" t="s">
        <v>150</v>
      </c>
      <c r="K313" s="83" t="s">
        <v>151</v>
      </c>
      <c r="L313" s="83" t="s">
        <v>1326</v>
      </c>
      <c r="M313" s="82" t="str">
        <f>IFERROR(__xludf.DUMMYFUNCTION("IFERROR(VLOOKUP(D313,
IMPORTRANGE(""https://docs.google.com/spreadsheets/d/1MjHtlUikwobi2MaWJgy7tfLeBmhj1u-dRFRs_8GwSoA/edit#gid=0"",""Gestores Escolares!D7:J""),3,0),""VERIFICAR CÓD SEC"")"),"TELMA PIMENTEL DA CONCEIÇAO")</f>
        <v>TELMA PIMENTEL DA CONCEIÇAO</v>
      </c>
      <c r="N313" s="82" t="str">
        <f>IFERROR(__xludf.DUMMYFUNCTION("IFERROR(VLOOKUP(D313,
IMPORTRANGE(""https://docs.google.com/spreadsheets/d/1MjHtlUikwobi2MaWJgy7tfLeBmhj1u-dRFRs_8GwSoA/edit#gid=0"",""Gestores Escolares!D7:J""),4,0),""VERIFICAR CÓD SEC"")"),"(75) 9 9138-0258")</f>
        <v>(75) 9 9138-0258</v>
      </c>
      <c r="O313" s="82" t="str">
        <f>IFERROR(__xludf.DUMMYFUNCTION("IFERROR(VLOOKUP(D313,
IMPORTRANGE(""https://docs.google.com/spreadsheets/d/1MjHtlUikwobi2MaWJgy7tfLeBmhj1u-dRFRs_8GwSoA/edit#gid=0"",""Gestores Escolares!D7:J""),6,0),""VERIFICAR CÓD SEC"")"),"MATEUS NASCIMENTO FERREIRA")</f>
        <v>MATEUS NASCIMENTO FERREIRA</v>
      </c>
      <c r="P313" s="82" t="str">
        <f>IFERROR(__xludf.DUMMYFUNCTION("IFERROR(VLOOKUP(D313,
IMPORTRANGE(""https://docs.google.com/spreadsheets/d/1MjHtlUikwobi2MaWJgy7tfLeBmhj1u-dRFRs_8GwSoA/edit#gid=0"",""Gestores Escolares!D7:J""),7,0),""VERIFICAR CÓD SEC"")"),"(75) 9 9144-3344")</f>
        <v>(75) 9 9144-3344</v>
      </c>
      <c r="Q313" s="82" t="str">
        <f>IFERROR(__xludf.DUMMYFUNCTION("IFERROR(VLOOKUP(D313,
IMPORTRANGE(""https://docs.google.com/spreadsheets/d/1MjHtlUikwobi2MaWJgy7tfLeBmhj1u-dRFRs_8GwSoA/edit#gid=0"",""Gestores Escolares!D7:m""),9,0),""VERIFICAR CÓD SEC"")"),"ADRIANA LISBOA DE MIRANDA")</f>
        <v>ADRIANA LISBOA DE MIRANDA</v>
      </c>
      <c r="R313" s="82" t="str">
        <f>IFERROR(__xludf.DUMMYFUNCTION("IFERROR(VLOOKUP(D313,
IMPORTRANGE(""https://docs.google.com/spreadsheets/d/1MjHtlUikwobi2MaWJgy7tfLeBmhj1u-dRFRs_8GwSoA/edit#gid=0"",""Gestores Escolares!D7:m""),10,0),""VERIFICAR CÓD SEC"")"),"(75) 9 9846-1687/ 
9 9149-4327")</f>
        <v>(75) 9 9846-1687/ 
9 9149-4327</v>
      </c>
      <c r="S313" s="82"/>
      <c r="T313" s="138">
        <v>17.0</v>
      </c>
      <c r="U313" s="145" t="s">
        <v>4552</v>
      </c>
      <c r="V313" s="106">
        <v>0.0</v>
      </c>
      <c r="W313" s="107">
        <v>0.0</v>
      </c>
      <c r="X313" s="107">
        <v>0.0</v>
      </c>
      <c r="Y313" s="107">
        <v>0.0</v>
      </c>
      <c r="Z313" s="80">
        <f t="shared" si="1"/>
        <v>0</v>
      </c>
      <c r="AA313" s="106">
        <v>0.0</v>
      </c>
      <c r="AB313" s="107">
        <v>0.0</v>
      </c>
      <c r="AC313" s="107">
        <v>0.0</v>
      </c>
      <c r="AD313" s="107">
        <v>0.0</v>
      </c>
      <c r="AE313" s="80">
        <f t="shared" si="2"/>
        <v>0</v>
      </c>
      <c r="AF313" s="140">
        <v>65.0</v>
      </c>
      <c r="AG313" s="109">
        <v>54.0</v>
      </c>
      <c r="AH313" s="109">
        <v>0.0</v>
      </c>
      <c r="AI313" s="141">
        <v>734.0</v>
      </c>
      <c r="AJ313" s="80">
        <f t="shared" si="3"/>
        <v>853</v>
      </c>
      <c r="AK313" s="140">
        <v>0.0</v>
      </c>
      <c r="AL313" s="109">
        <v>0.0</v>
      </c>
      <c r="AM313" s="141">
        <v>0.0</v>
      </c>
      <c r="AN313" s="80">
        <f t="shared" si="4"/>
        <v>0</v>
      </c>
      <c r="AO313" s="140">
        <v>0.0</v>
      </c>
      <c r="AP313" s="109">
        <v>0.0</v>
      </c>
      <c r="AQ313" s="109">
        <v>136.0</v>
      </c>
      <c r="AR313" s="80">
        <f t="shared" si="5"/>
        <v>136</v>
      </c>
      <c r="AS313" s="110">
        <v>64.0</v>
      </c>
      <c r="AT313" s="110">
        <v>79.0</v>
      </c>
      <c r="AU313" s="110">
        <v>16.0</v>
      </c>
      <c r="AV313" s="142">
        <v>175.0</v>
      </c>
      <c r="AW313" s="80">
        <f t="shared" si="6"/>
        <v>334</v>
      </c>
      <c r="AX313" s="113">
        <f t="shared" si="7"/>
        <v>1323</v>
      </c>
      <c r="AY313" s="117">
        <f t="shared" si="8"/>
        <v>1171</v>
      </c>
      <c r="AZ313" s="120">
        <f t="shared" si="9"/>
        <v>152</v>
      </c>
      <c r="BA313" s="115">
        <v>0.0</v>
      </c>
      <c r="BB313" s="89">
        <f t="shared" si="10"/>
        <v>1323</v>
      </c>
      <c r="BC313" s="132" t="s">
        <v>178</v>
      </c>
      <c r="BD313" s="132" t="s">
        <v>178</v>
      </c>
      <c r="BE313" s="132" t="s">
        <v>178</v>
      </c>
      <c r="BF313" s="123"/>
      <c r="BG313" s="83">
        <v>1115105.0</v>
      </c>
      <c r="BH313" s="112"/>
      <c r="BI313" s="112">
        <v>26.0</v>
      </c>
      <c r="BJ313" s="98" t="s">
        <v>162</v>
      </c>
      <c r="BK313" s="99">
        <f t="shared" si="11"/>
        <v>909</v>
      </c>
      <c r="BL313" s="99">
        <f t="shared" si="12"/>
        <v>262</v>
      </c>
      <c r="BM313" s="99" t="str">
        <f>IFERROR(__xludf.DUMMYFUNCTION("IFERROR(VLOOKUP(BG313,IMPORTRANGE(""https://docs.google.com/spreadsheets/d/1juPI-Fb8LD0YtltB2mlGEnp_R3UVu1t3wSFPzgCyHXE/edit?gid=0#gid=0"",""GERAL!A2:C""),3,0),""-"")"),"-")</f>
        <v>-</v>
      </c>
    </row>
    <row r="314" ht="15.75" customHeight="1">
      <c r="A314" s="111" t="s">
        <v>383</v>
      </c>
      <c r="B314" s="83" t="s">
        <v>1328</v>
      </c>
      <c r="C314" s="83" t="s">
        <v>45</v>
      </c>
      <c r="D314" s="112">
        <v>1178381.0</v>
      </c>
      <c r="E314" s="83"/>
      <c r="F314" s="83">
        <v>2.9345146E7</v>
      </c>
      <c r="G314" s="114" t="s">
        <v>1329</v>
      </c>
      <c r="H314" s="91" t="s">
        <v>1330</v>
      </c>
      <c r="I314" s="229" t="s">
        <v>149</v>
      </c>
      <c r="J314" s="229" t="s">
        <v>784</v>
      </c>
      <c r="K314" s="172" t="s">
        <v>171</v>
      </c>
      <c r="L314" s="83" t="s">
        <v>512</v>
      </c>
      <c r="M314" s="82" t="str">
        <f>IFERROR(__xludf.DUMMYFUNCTION("IFERROR(VLOOKUP(D314,
IMPORTRANGE(""https://docs.google.com/spreadsheets/d/1MjHtlUikwobi2MaWJgy7tfLeBmhj1u-dRFRs_8GwSoA/edit#gid=0"",""Gestores Escolares!D7:J""),3,0),""VERIFICAR CÓD SEC"")"),"MARILENE BISPO")</f>
        <v>MARILENE BISPO</v>
      </c>
      <c r="N314" s="82" t="str">
        <f>IFERROR(__xludf.DUMMYFUNCTION("IFERROR(VLOOKUP(D314,
IMPORTRANGE(""https://docs.google.com/spreadsheets/d/1MjHtlUikwobi2MaWJgy7tfLeBmhj1u-dRFRs_8GwSoA/edit#gid=0"",""Gestores Escolares!D7:J""),4,0),""VERIFICAR CÓD SEC"")")," (75) 9 8190-7242")</f>
        <v> (75) 9 8190-7242</v>
      </c>
      <c r="O314" s="82" t="str">
        <f>IFERROR(__xludf.DUMMYFUNCTION("IFERROR(VLOOKUP(D314,
IMPORTRANGE(""https://docs.google.com/spreadsheets/d/1MjHtlUikwobi2MaWJgy7tfLeBmhj1u-dRFRs_8GwSoA/edit#gid=0"",""Gestores Escolares!D7:J""),6,0),""VERIFICAR CÓD SEC"")"),"")</f>
        <v/>
      </c>
      <c r="P314" s="82" t="str">
        <f>IFERROR(__xludf.DUMMYFUNCTION("IFERROR(VLOOKUP(D314,
IMPORTRANGE(""https://docs.google.com/spreadsheets/d/1MjHtlUikwobi2MaWJgy7tfLeBmhj1u-dRFRs_8GwSoA/edit#gid=0"",""Gestores Escolares!D7:J""),7,0),""VERIFICAR CÓD SEC"")"),"")</f>
        <v/>
      </c>
      <c r="Q314" s="82" t="str">
        <f>IFERROR(__xludf.DUMMYFUNCTION("IFERROR(VLOOKUP(D314,
IMPORTRANGE(""https://docs.google.com/spreadsheets/d/1MjHtlUikwobi2MaWJgy7tfLeBmhj1u-dRFRs_8GwSoA/edit#gid=0"",""Gestores Escolares!D7:m""),9,0),""VERIFICAR CÓD SEC"")"),"")</f>
        <v/>
      </c>
      <c r="R314" s="82" t="str">
        <f>IFERROR(__xludf.DUMMYFUNCTION("IFERROR(VLOOKUP(D314,
IMPORTRANGE(""https://docs.google.com/spreadsheets/d/1MjHtlUikwobi2MaWJgy7tfLeBmhj1u-dRFRs_8GwSoA/edit#gid=0"",""Gestores Escolares!D7:m""),10,0),""VERIFICAR CÓD SEC"")"),"")</f>
        <v/>
      </c>
      <c r="S314" s="82"/>
      <c r="T314" s="138">
        <v>8.0</v>
      </c>
      <c r="U314" s="145">
        <v>4.0</v>
      </c>
      <c r="V314" s="106">
        <v>0.0</v>
      </c>
      <c r="W314" s="107">
        <v>0.0</v>
      </c>
      <c r="X314" s="107">
        <v>0.0</v>
      </c>
      <c r="Y314" s="107">
        <v>0.0</v>
      </c>
      <c r="Z314" s="80">
        <f t="shared" si="1"/>
        <v>0</v>
      </c>
      <c r="AA314" s="106">
        <v>0.0</v>
      </c>
      <c r="AB314" s="107">
        <v>0.0</v>
      </c>
      <c r="AC314" s="107">
        <v>0.0</v>
      </c>
      <c r="AD314" s="107">
        <v>122.0</v>
      </c>
      <c r="AE314" s="80">
        <f t="shared" si="2"/>
        <v>122</v>
      </c>
      <c r="AF314" s="225">
        <v>0.0</v>
      </c>
      <c r="AG314" s="226">
        <v>0.0</v>
      </c>
      <c r="AH314" s="226">
        <v>0.0</v>
      </c>
      <c r="AI314" s="227">
        <v>81.0</v>
      </c>
      <c r="AJ314" s="80">
        <f t="shared" si="3"/>
        <v>81</v>
      </c>
      <c r="AK314" s="140">
        <v>0.0</v>
      </c>
      <c r="AL314" s="109">
        <v>0.0</v>
      </c>
      <c r="AM314" s="141">
        <v>0.0</v>
      </c>
      <c r="AN314" s="80">
        <f t="shared" si="4"/>
        <v>0</v>
      </c>
      <c r="AO314" s="225">
        <v>0.0</v>
      </c>
      <c r="AP314" s="226">
        <v>0.0</v>
      </c>
      <c r="AQ314" s="226">
        <v>0.0</v>
      </c>
      <c r="AR314" s="80">
        <f t="shared" si="5"/>
        <v>0</v>
      </c>
      <c r="AS314" s="110">
        <v>0.0</v>
      </c>
      <c r="AT314" s="110">
        <v>0.0</v>
      </c>
      <c r="AU314" s="110">
        <v>0.0</v>
      </c>
      <c r="AV314" s="142">
        <v>0.0</v>
      </c>
      <c r="AW314" s="80">
        <f t="shared" si="6"/>
        <v>0</v>
      </c>
      <c r="AX314" s="113">
        <f t="shared" si="7"/>
        <v>203</v>
      </c>
      <c r="AY314" s="117">
        <f t="shared" si="8"/>
        <v>203</v>
      </c>
      <c r="AZ314" s="120">
        <f t="shared" si="9"/>
        <v>0</v>
      </c>
      <c r="BA314" s="115">
        <v>0.0</v>
      </c>
      <c r="BB314" s="89">
        <f t="shared" si="10"/>
        <v>203</v>
      </c>
      <c r="BC314" s="132" t="s">
        <v>178</v>
      </c>
      <c r="BD314" s="132" t="s">
        <v>178</v>
      </c>
      <c r="BE314" s="132" t="s">
        <v>178</v>
      </c>
      <c r="BF314" s="123"/>
      <c r="BG314" s="83">
        <v>1178381.0</v>
      </c>
      <c r="BH314" s="112"/>
      <c r="BI314" s="112">
        <v>8.0</v>
      </c>
      <c r="BJ314" s="98" t="s">
        <v>155</v>
      </c>
      <c r="BK314" s="99">
        <f t="shared" si="11"/>
        <v>203</v>
      </c>
      <c r="BL314" s="99">
        <f t="shared" si="12"/>
        <v>0</v>
      </c>
      <c r="BM314" s="99" t="str">
        <f>IFERROR(__xludf.DUMMYFUNCTION("IFERROR(VLOOKUP(BG314,IMPORTRANGE(""https://docs.google.com/spreadsheets/d/1juPI-Fb8LD0YtltB2mlGEnp_R3UVu1t3wSFPzgCyHXE/edit?gid=0#gid=0"",""GERAL!A2:C""),3,0),""-"")"),"EFA")</f>
        <v>EFA</v>
      </c>
    </row>
    <row r="315" ht="15.75" customHeight="1">
      <c r="A315" s="111" t="s">
        <v>383</v>
      </c>
      <c r="B315" s="83" t="s">
        <v>1328</v>
      </c>
      <c r="C315" s="83" t="s">
        <v>68</v>
      </c>
      <c r="D315" s="112">
        <v>1178275.0</v>
      </c>
      <c r="E315" s="83"/>
      <c r="F315" s="83">
        <v>2.9915783E7</v>
      </c>
      <c r="G315" s="119" t="s">
        <v>1332</v>
      </c>
      <c r="H315" s="91" t="s">
        <v>1333</v>
      </c>
      <c r="I315" s="83" t="s">
        <v>149</v>
      </c>
      <c r="J315" s="83" t="s">
        <v>240</v>
      </c>
      <c r="K315" s="83" t="s">
        <v>151</v>
      </c>
      <c r="L315" s="83" t="s">
        <v>169</v>
      </c>
      <c r="M315" s="82" t="str">
        <f>IFERROR(__xludf.DUMMYFUNCTION("IFERROR(VLOOKUP(D315,
IMPORTRANGE(""https://docs.google.com/spreadsheets/d/1MjHtlUikwobi2MaWJgy7tfLeBmhj1u-dRFRs_8GwSoA/edit#gid=0"",""Gestores Escolares!D7:J""),3,0),""VERIFICAR CÓD SEC"")"),"ANA ZILDA DE JESUS OLIVEIRA")</f>
        <v>ANA ZILDA DE JESUS OLIVEIRA</v>
      </c>
      <c r="N315" s="82" t="str">
        <f>IFERROR(__xludf.DUMMYFUNCTION("IFERROR(VLOOKUP(D315,
IMPORTRANGE(""https://docs.google.com/spreadsheets/d/1MjHtlUikwobi2MaWJgy7tfLeBmhj1u-dRFRs_8GwSoA/edit#gid=0"",""Gestores Escolares!D7:J""),4,0),""VERIFICAR CÓD SEC"")"),"(75) 9 8239-0323")</f>
        <v>(75) 9 8239-0323</v>
      </c>
      <c r="O315" s="82" t="str">
        <f>IFERROR(__xludf.DUMMYFUNCTION("IFERROR(VLOOKUP(D315,
IMPORTRANGE(""https://docs.google.com/spreadsheets/d/1MjHtlUikwobi2MaWJgy7tfLeBmhj1u-dRFRs_8GwSoA/edit#gid=0"",""Gestores Escolares!D7:J""),6,0),""VERIFICAR CÓD SEC"")"),"")</f>
        <v/>
      </c>
      <c r="P315" s="82" t="str">
        <f>IFERROR(__xludf.DUMMYFUNCTION("IFERROR(VLOOKUP(D315,
IMPORTRANGE(""https://docs.google.com/spreadsheets/d/1MjHtlUikwobi2MaWJgy7tfLeBmhj1u-dRFRs_8GwSoA/edit#gid=0"",""Gestores Escolares!D7:J""),7,0),""VERIFICAR CÓD SEC"")"),"")</f>
        <v/>
      </c>
      <c r="Q315" s="82" t="str">
        <f>IFERROR(__xludf.DUMMYFUNCTION("IFERROR(VLOOKUP(D315,
IMPORTRANGE(""https://docs.google.com/spreadsheets/d/1MjHtlUikwobi2MaWJgy7tfLeBmhj1u-dRFRs_8GwSoA/edit#gid=0"",""Gestores Escolares!D7:m""),9,0),""VERIFICAR CÓD SEC"")"),"")</f>
        <v/>
      </c>
      <c r="R315" s="82" t="str">
        <f>IFERROR(__xludf.DUMMYFUNCTION("IFERROR(VLOOKUP(D315,
IMPORTRANGE(""https://docs.google.com/spreadsheets/d/1MjHtlUikwobi2MaWJgy7tfLeBmhj1u-dRFRs_8GwSoA/edit#gid=0"",""Gestores Escolares!D7:m""),10,0),""VERIFICAR CÓD SEC"")"),"")</f>
        <v/>
      </c>
      <c r="S315" s="82"/>
      <c r="T315" s="138">
        <v>6.0</v>
      </c>
      <c r="U315" s="145" t="s">
        <v>4591</v>
      </c>
      <c r="V315" s="106">
        <v>0.0</v>
      </c>
      <c r="W315" s="107">
        <v>0.0</v>
      </c>
      <c r="X315" s="107">
        <v>0.0</v>
      </c>
      <c r="Y315" s="107">
        <v>0.0</v>
      </c>
      <c r="Z315" s="80">
        <f t="shared" si="1"/>
        <v>0</v>
      </c>
      <c r="AA315" s="106">
        <v>0.0</v>
      </c>
      <c r="AB315" s="107">
        <v>0.0</v>
      </c>
      <c r="AC315" s="107">
        <v>0.0</v>
      </c>
      <c r="AD315" s="107">
        <v>0.0</v>
      </c>
      <c r="AE315" s="80">
        <f t="shared" si="2"/>
        <v>0</v>
      </c>
      <c r="AF315" s="140">
        <v>0.0</v>
      </c>
      <c r="AG315" s="109">
        <v>58.0</v>
      </c>
      <c r="AH315" s="109">
        <v>0.0</v>
      </c>
      <c r="AI315" s="141">
        <v>0.0</v>
      </c>
      <c r="AJ315" s="80">
        <f t="shared" si="3"/>
        <v>58</v>
      </c>
      <c r="AK315" s="140">
        <v>0.0</v>
      </c>
      <c r="AL315" s="109">
        <v>0.0</v>
      </c>
      <c r="AM315" s="141">
        <v>0.0</v>
      </c>
      <c r="AN315" s="80">
        <f t="shared" si="4"/>
        <v>0</v>
      </c>
      <c r="AO315" s="140">
        <v>0.0</v>
      </c>
      <c r="AP315" s="109">
        <v>0.0</v>
      </c>
      <c r="AQ315" s="109">
        <v>17.0</v>
      </c>
      <c r="AR315" s="80">
        <f t="shared" si="5"/>
        <v>17</v>
      </c>
      <c r="AS315" s="110">
        <v>0.0</v>
      </c>
      <c r="AT315" s="110">
        <v>0.0</v>
      </c>
      <c r="AU315" s="110">
        <v>0.0</v>
      </c>
      <c r="AV315" s="142">
        <v>0.0</v>
      </c>
      <c r="AW315" s="80">
        <f t="shared" si="6"/>
        <v>0</v>
      </c>
      <c r="AX315" s="113">
        <f t="shared" si="7"/>
        <v>75</v>
      </c>
      <c r="AY315" s="117">
        <f t="shared" si="8"/>
        <v>58</v>
      </c>
      <c r="AZ315" s="120">
        <f t="shared" si="9"/>
        <v>17</v>
      </c>
      <c r="BA315" s="115">
        <v>0.0</v>
      </c>
      <c r="BB315" s="89">
        <f t="shared" si="10"/>
        <v>75</v>
      </c>
      <c r="BC315" s="132" t="s">
        <v>373</v>
      </c>
      <c r="BD315" s="132" t="s">
        <v>178</v>
      </c>
      <c r="BE315" s="132" t="s">
        <v>178</v>
      </c>
      <c r="BF315" s="123"/>
      <c r="BG315" s="83">
        <v>1178275.0</v>
      </c>
      <c r="BH315" s="112"/>
      <c r="BI315" s="112">
        <v>6.0</v>
      </c>
      <c r="BJ315" s="98" t="s">
        <v>155</v>
      </c>
      <c r="BK315" s="99">
        <f t="shared" si="11"/>
        <v>0</v>
      </c>
      <c r="BL315" s="99">
        <f t="shared" si="12"/>
        <v>58</v>
      </c>
      <c r="BM315" s="99" t="str">
        <f>IFERROR(__xludf.DUMMYFUNCTION("IFERROR(VLOOKUP(BG315,IMPORTRANGE(""https://docs.google.com/spreadsheets/d/1juPI-Fb8LD0YtltB2mlGEnp_R3UVu1t3wSFPzgCyHXE/edit?gid=0#gid=0"",""GERAL!A2:C""),3,0),""-"")"),"CAMPO")</f>
        <v>CAMPO</v>
      </c>
    </row>
    <row r="316" ht="15.75" customHeight="1">
      <c r="A316" s="111" t="s">
        <v>383</v>
      </c>
      <c r="B316" s="83" t="s">
        <v>1328</v>
      </c>
      <c r="C316" s="83" t="s">
        <v>68</v>
      </c>
      <c r="D316" s="112">
        <v>1178102.0</v>
      </c>
      <c r="E316" s="83"/>
      <c r="F316" s="83">
        <v>2.943212E7</v>
      </c>
      <c r="G316" s="114" t="s">
        <v>1337</v>
      </c>
      <c r="H316" s="91" t="s">
        <v>1338</v>
      </c>
      <c r="I316" s="83" t="s">
        <v>149</v>
      </c>
      <c r="J316" s="83" t="s">
        <v>150</v>
      </c>
      <c r="K316" s="83" t="s">
        <v>151</v>
      </c>
      <c r="L316" s="83" t="s">
        <v>169</v>
      </c>
      <c r="M316" s="82" t="str">
        <f>IFERROR(__xludf.DUMMYFUNCTION("IFERROR(VLOOKUP(D316,
IMPORTRANGE(""https://docs.google.com/spreadsheets/d/1MjHtlUikwobi2MaWJgy7tfLeBmhj1u-dRFRs_8GwSoA/edit#gid=0"",""Gestores Escolares!D7:J""),3,0),""VERIFICAR CÓD SEC"")"),"ROMULO MONTEIRO SOARES JUNIOR")</f>
        <v>ROMULO MONTEIRO SOARES JUNIOR</v>
      </c>
      <c r="N316" s="82" t="str">
        <f>IFERROR(__xludf.DUMMYFUNCTION("IFERROR(VLOOKUP(D316,
IMPORTRANGE(""https://docs.google.com/spreadsheets/d/1MjHtlUikwobi2MaWJgy7tfLeBmhj1u-dRFRs_8GwSoA/edit#gid=0"",""Gestores Escolares!D7:J""),4,0),""VERIFICAR CÓD SEC"")"),"(75) 9 8108-4043")</f>
        <v>(75) 9 8108-4043</v>
      </c>
      <c r="O316" s="82" t="str">
        <f>IFERROR(__xludf.DUMMYFUNCTION("IFERROR(VLOOKUP(D316,
IMPORTRANGE(""https://docs.google.com/spreadsheets/d/1MjHtlUikwobi2MaWJgy7tfLeBmhj1u-dRFRs_8GwSoA/edit#gid=0"",""Gestores Escolares!D7:J""),6,0),""VERIFICAR CÓD SEC"")"),"SANMAI VIANA PEREIRA OLIVEIRA")</f>
        <v>SANMAI VIANA PEREIRA OLIVEIRA</v>
      </c>
      <c r="P316" s="82" t="str">
        <f>IFERROR(__xludf.DUMMYFUNCTION("IFERROR(VLOOKUP(D316,
IMPORTRANGE(""https://docs.google.com/spreadsheets/d/1MjHtlUikwobi2MaWJgy7tfLeBmhj1u-dRFRs_8GwSoA/edit#gid=0"",""Gestores Escolares!D7:J""),7,0),""VERIFICAR CÓD SEC"")"),"(75) 9 8173-0298")</f>
        <v>(75) 9 8173-0298</v>
      </c>
      <c r="Q316" s="82" t="str">
        <f>IFERROR(__xludf.DUMMYFUNCTION("IFERROR(VLOOKUP(D316,
IMPORTRANGE(""https://docs.google.com/spreadsheets/d/1MjHtlUikwobi2MaWJgy7tfLeBmhj1u-dRFRs_8GwSoA/edit#gid=0"",""Gestores Escolares!D7:m""),9,0),""VERIFICAR CÓD SEC"")"),"")</f>
        <v/>
      </c>
      <c r="R316" s="82" t="str">
        <f>IFERROR(__xludf.DUMMYFUNCTION("IFERROR(VLOOKUP(D316,
IMPORTRANGE(""https://docs.google.com/spreadsheets/d/1MjHtlUikwobi2MaWJgy7tfLeBmhj1u-dRFRs_8GwSoA/edit#gid=0"",""Gestores Escolares!D7:m""),10,0),""VERIFICAR CÓD SEC"")"),"")</f>
        <v/>
      </c>
      <c r="S316" s="82"/>
      <c r="T316" s="138">
        <v>7.0</v>
      </c>
      <c r="U316" s="145" t="s">
        <v>4609</v>
      </c>
      <c r="V316" s="106">
        <v>0.0</v>
      </c>
      <c r="W316" s="107">
        <v>0.0</v>
      </c>
      <c r="X316" s="107">
        <v>0.0</v>
      </c>
      <c r="Y316" s="107">
        <v>0.0</v>
      </c>
      <c r="Z316" s="80">
        <f t="shared" si="1"/>
        <v>0</v>
      </c>
      <c r="AA316" s="106">
        <v>0.0</v>
      </c>
      <c r="AB316" s="107">
        <v>0.0</v>
      </c>
      <c r="AC316" s="107">
        <v>0.0</v>
      </c>
      <c r="AD316" s="107">
        <v>0.0</v>
      </c>
      <c r="AE316" s="80">
        <f t="shared" si="2"/>
        <v>0</v>
      </c>
      <c r="AF316" s="140">
        <v>238.0</v>
      </c>
      <c r="AG316" s="109">
        <v>0.0</v>
      </c>
      <c r="AH316" s="109">
        <v>0.0</v>
      </c>
      <c r="AI316" s="141">
        <v>0.0</v>
      </c>
      <c r="AJ316" s="80">
        <f t="shared" si="3"/>
        <v>238</v>
      </c>
      <c r="AK316" s="140">
        <v>0.0</v>
      </c>
      <c r="AL316" s="109">
        <v>0.0</v>
      </c>
      <c r="AM316" s="141">
        <v>0.0</v>
      </c>
      <c r="AN316" s="80">
        <f t="shared" si="4"/>
        <v>0</v>
      </c>
      <c r="AO316" s="140">
        <v>0.0</v>
      </c>
      <c r="AP316" s="109">
        <v>0.0</v>
      </c>
      <c r="AQ316" s="109">
        <v>55.0</v>
      </c>
      <c r="AR316" s="80">
        <f t="shared" si="5"/>
        <v>55</v>
      </c>
      <c r="AS316" s="110">
        <v>0.0</v>
      </c>
      <c r="AT316" s="110">
        <v>0.0</v>
      </c>
      <c r="AU316" s="110">
        <v>0.0</v>
      </c>
      <c r="AV316" s="142">
        <v>0.0</v>
      </c>
      <c r="AW316" s="80">
        <f t="shared" si="6"/>
        <v>0</v>
      </c>
      <c r="AX316" s="113">
        <f t="shared" si="7"/>
        <v>293</v>
      </c>
      <c r="AY316" s="117">
        <f t="shared" si="8"/>
        <v>238</v>
      </c>
      <c r="AZ316" s="120">
        <f t="shared" si="9"/>
        <v>55</v>
      </c>
      <c r="BA316" s="115">
        <v>0.0</v>
      </c>
      <c r="BB316" s="89">
        <f t="shared" si="10"/>
        <v>293</v>
      </c>
      <c r="BC316" s="132" t="s">
        <v>178</v>
      </c>
      <c r="BD316" s="132" t="s">
        <v>178</v>
      </c>
      <c r="BE316" s="132" t="s">
        <v>178</v>
      </c>
      <c r="BF316" s="123"/>
      <c r="BG316" s="83">
        <v>1178102.0</v>
      </c>
      <c r="BH316" s="112"/>
      <c r="BI316" s="112">
        <v>7.0</v>
      </c>
      <c r="BJ316" s="98" t="s">
        <v>155</v>
      </c>
      <c r="BK316" s="99">
        <f t="shared" si="11"/>
        <v>0</v>
      </c>
      <c r="BL316" s="99">
        <f t="shared" si="12"/>
        <v>238</v>
      </c>
      <c r="BM316" s="99" t="str">
        <f>IFERROR(__xludf.DUMMYFUNCTION("IFERROR(VLOOKUP(BG316,IMPORTRANGE(""https://docs.google.com/spreadsheets/d/1juPI-Fb8LD0YtltB2mlGEnp_R3UVu1t3wSFPzgCyHXE/edit?gid=0#gid=0"",""GERAL!A2:C""),3,0),""-"")"),"-")</f>
        <v>-</v>
      </c>
    </row>
    <row r="317" ht="15.75" customHeight="1">
      <c r="A317" s="111" t="s">
        <v>383</v>
      </c>
      <c r="B317" s="83" t="s">
        <v>1328</v>
      </c>
      <c r="C317" s="83" t="s">
        <v>68</v>
      </c>
      <c r="D317" s="112">
        <v>1116713.0</v>
      </c>
      <c r="E317" s="83"/>
      <c r="F317" s="83">
        <v>2.914938E7</v>
      </c>
      <c r="G317" s="119" t="s">
        <v>1341</v>
      </c>
      <c r="H317" s="91" t="s">
        <v>1342</v>
      </c>
      <c r="I317" s="83" t="s">
        <v>149</v>
      </c>
      <c r="J317" s="83" t="s">
        <v>150</v>
      </c>
      <c r="K317" s="83" t="s">
        <v>151</v>
      </c>
      <c r="L317" s="83" t="s">
        <v>152</v>
      </c>
      <c r="M317" s="82" t="str">
        <f>IFERROR(__xludf.DUMMYFUNCTION("IFERROR(VLOOKUP(D317,
IMPORTRANGE(""https://docs.google.com/spreadsheets/d/1MjHtlUikwobi2MaWJgy7tfLeBmhj1u-dRFRs_8GwSoA/edit#gid=0"",""Gestores Escolares!D7:J""),3,0),""VERIFICAR CÓD SEC"")")," SUZANNE SALES DE SOUZA")</f>
        <v> SUZANNE SALES DE SOUZA</v>
      </c>
      <c r="N317" s="82" t="str">
        <f>IFERROR(__xludf.DUMMYFUNCTION("IFERROR(VLOOKUP(D317,
IMPORTRANGE(""https://docs.google.com/spreadsheets/d/1MjHtlUikwobi2MaWJgy7tfLeBmhj1u-dRFRs_8GwSoA/edit#gid=0"",""Gestores Escolares!D7:J""),4,0),""VERIFICAR CÓD SEC"")"),"(71) 9 9132-2456")</f>
        <v>(71) 9 9132-2456</v>
      </c>
      <c r="O317" s="82" t="str">
        <f>IFERROR(__xludf.DUMMYFUNCTION("IFERROR(VLOOKUP(D317,
IMPORTRANGE(""https://docs.google.com/spreadsheets/d/1MjHtlUikwobi2MaWJgy7tfLeBmhj1u-dRFRs_8GwSoA/edit#gid=0"",""Gestores Escolares!D7:J""),6,0),""VERIFICAR CÓD SEC"")"),"GILDA MARIA CUNHA PEREIRA")</f>
        <v>GILDA MARIA CUNHA PEREIRA</v>
      </c>
      <c r="P317" s="82" t="str">
        <f>IFERROR(__xludf.DUMMYFUNCTION("IFERROR(VLOOKUP(D317,
IMPORTRANGE(""https://docs.google.com/spreadsheets/d/1MjHtlUikwobi2MaWJgy7tfLeBmhj1u-dRFRs_8GwSoA/edit#gid=0"",""Gestores Escolares!D7:J""),7,0),""VERIFICAR CÓD SEC"")"),"(75) 9 9843-9573")</f>
        <v>(75) 9 9843-9573</v>
      </c>
      <c r="Q317" s="82" t="str">
        <f>IFERROR(__xludf.DUMMYFUNCTION("IFERROR(VLOOKUP(D317,
IMPORTRANGE(""https://docs.google.com/spreadsheets/d/1MjHtlUikwobi2MaWJgy7tfLeBmhj1u-dRFRs_8GwSoA/edit#gid=0"",""Gestores Escolares!D7:m""),9,0),""VERIFICAR CÓD SEC"")"),"CRISLEY JAMILE ARAUJO DA SILVA")</f>
        <v>CRISLEY JAMILE ARAUJO DA SILVA</v>
      </c>
      <c r="R317" s="82" t="str">
        <f>IFERROR(__xludf.DUMMYFUNCTION("IFERROR(VLOOKUP(D317,
IMPORTRANGE(""https://docs.google.com/spreadsheets/d/1MjHtlUikwobi2MaWJgy7tfLeBmhj1u-dRFRs_8GwSoA/edit#gid=0"",""Gestores Escolares!D7:m""),10,0),""VERIFICAR CÓD SEC"")"),"(75) 9 8118-2607")</f>
        <v>(75) 9 8118-2607</v>
      </c>
      <c r="S317" s="82"/>
      <c r="T317" s="138">
        <v>15.0</v>
      </c>
      <c r="U317" s="145">
        <v>21.0</v>
      </c>
      <c r="V317" s="106">
        <v>0.0</v>
      </c>
      <c r="W317" s="107">
        <v>0.0</v>
      </c>
      <c r="X317" s="107">
        <v>0.0</v>
      </c>
      <c r="Y317" s="107">
        <v>0.0</v>
      </c>
      <c r="Z317" s="80">
        <f t="shared" si="1"/>
        <v>0</v>
      </c>
      <c r="AA317" s="106">
        <v>0.0</v>
      </c>
      <c r="AB317" s="107">
        <v>0.0</v>
      </c>
      <c r="AC317" s="107">
        <v>0.0</v>
      </c>
      <c r="AD317" s="107">
        <v>0.0</v>
      </c>
      <c r="AE317" s="80">
        <f t="shared" si="2"/>
        <v>0</v>
      </c>
      <c r="AF317" s="140">
        <v>90.0</v>
      </c>
      <c r="AG317" s="109">
        <v>32.0</v>
      </c>
      <c r="AH317" s="109">
        <v>0.0</v>
      </c>
      <c r="AI317" s="141">
        <v>354.0</v>
      </c>
      <c r="AJ317" s="80">
        <f t="shared" si="3"/>
        <v>476</v>
      </c>
      <c r="AK317" s="140">
        <v>0.0</v>
      </c>
      <c r="AL317" s="109">
        <v>0.0</v>
      </c>
      <c r="AM317" s="141">
        <v>0.0</v>
      </c>
      <c r="AN317" s="80">
        <f t="shared" si="4"/>
        <v>0</v>
      </c>
      <c r="AO317" s="140">
        <v>0.0</v>
      </c>
      <c r="AP317" s="109">
        <v>0.0</v>
      </c>
      <c r="AQ317" s="109">
        <v>96.0</v>
      </c>
      <c r="AR317" s="80">
        <f t="shared" si="5"/>
        <v>96</v>
      </c>
      <c r="AS317" s="110">
        <v>0.0</v>
      </c>
      <c r="AT317" s="110">
        <v>0.0</v>
      </c>
      <c r="AU317" s="110">
        <v>0.0</v>
      </c>
      <c r="AV317" s="142">
        <v>90.0</v>
      </c>
      <c r="AW317" s="80">
        <f t="shared" si="6"/>
        <v>90</v>
      </c>
      <c r="AX317" s="113">
        <f t="shared" si="7"/>
        <v>662</v>
      </c>
      <c r="AY317" s="117">
        <f t="shared" si="8"/>
        <v>566</v>
      </c>
      <c r="AZ317" s="120">
        <f t="shared" si="9"/>
        <v>96</v>
      </c>
      <c r="BA317" s="115">
        <v>0.0</v>
      </c>
      <c r="BB317" s="89">
        <f t="shared" si="10"/>
        <v>662</v>
      </c>
      <c r="BC317" s="132" t="s">
        <v>178</v>
      </c>
      <c r="BD317" s="132" t="s">
        <v>178</v>
      </c>
      <c r="BE317" s="132" t="s">
        <v>178</v>
      </c>
      <c r="BF317" s="123"/>
      <c r="BG317" s="83">
        <v>1116713.0</v>
      </c>
      <c r="BH317" s="112"/>
      <c r="BI317" s="112">
        <v>13.0</v>
      </c>
      <c r="BJ317" s="98" t="s">
        <v>284</v>
      </c>
      <c r="BK317" s="99">
        <f t="shared" si="11"/>
        <v>444</v>
      </c>
      <c r="BL317" s="99">
        <f t="shared" si="12"/>
        <v>122</v>
      </c>
      <c r="BM317" s="99" t="str">
        <f>IFERROR(__xludf.DUMMYFUNCTION("IFERROR(VLOOKUP(BG317,IMPORTRANGE(""https://docs.google.com/spreadsheets/d/1juPI-Fb8LD0YtltB2mlGEnp_R3UVu1t3wSFPzgCyHXE/edit?gid=0#gid=0"",""GERAL!A2:C""),3,0),""-"")"),"-")</f>
        <v>-</v>
      </c>
    </row>
    <row r="318" ht="15.75" customHeight="1">
      <c r="A318" s="111" t="s">
        <v>383</v>
      </c>
      <c r="B318" s="83" t="s">
        <v>1328</v>
      </c>
      <c r="C318" s="83" t="s">
        <v>164</v>
      </c>
      <c r="D318" s="112">
        <v>1179292.0</v>
      </c>
      <c r="E318" s="83">
        <v>1178613.0</v>
      </c>
      <c r="F318" s="98">
        <v>2.9460816E7</v>
      </c>
      <c r="G318" s="114" t="s">
        <v>1345</v>
      </c>
      <c r="H318" s="91" t="s">
        <v>1346</v>
      </c>
      <c r="I318" s="172" t="s">
        <v>171</v>
      </c>
      <c r="J318" s="83" t="s">
        <v>1347</v>
      </c>
      <c r="K318" s="83" t="s">
        <v>168</v>
      </c>
      <c r="L318" s="83" t="s">
        <v>169</v>
      </c>
      <c r="M318" s="82" t="str">
        <f>IFERROR(__xludf.DUMMYFUNCTION("IFERROR(VLOOKUP(D318,
IMPORTRANGE(""https://docs.google.com/spreadsheets/d/1MjHtlUikwobi2MaWJgy7tfLeBmhj1u-dRFRs_8GwSoA/edit#gid=0"",""Gestores Escolares!D7:J""),3,0),""VERIFICAR CÓD SEC"")"),"TECIO LUIZ BOAVENTURA DE MENEZES")</f>
        <v>TECIO LUIZ BOAVENTURA DE MENEZES</v>
      </c>
      <c r="N318" s="82" t="str">
        <f>IFERROR(__xludf.DUMMYFUNCTION("IFERROR(VLOOKUP(D318,
IMPORTRANGE(""https://docs.google.com/spreadsheets/d/1MjHtlUikwobi2MaWJgy7tfLeBmhj1u-dRFRs_8GwSoA/edit#gid=0"",""Gestores Escolares!D7:J""),4,0),""VERIFICAR CÓD SEC"")"),"(75) 9 9948-8050")</f>
        <v>(75) 9 9948-8050</v>
      </c>
      <c r="O318" s="82" t="str">
        <f>IFERROR(__xludf.DUMMYFUNCTION("IFERROR(VLOOKUP(D318,
IMPORTRANGE(""https://docs.google.com/spreadsheets/d/1MjHtlUikwobi2MaWJgy7tfLeBmhj1u-dRFRs_8GwSoA/edit#gid=0"",""Gestores Escolares!D7:J""),6,0),""VERIFICAR CÓD SEC"")"),"ELISANGELA DE ALMEIDA CARDOSO")</f>
        <v>ELISANGELA DE ALMEIDA CARDOSO</v>
      </c>
      <c r="P318" s="82" t="str">
        <f>IFERROR(__xludf.DUMMYFUNCTION("IFERROR(VLOOKUP(D318,
IMPORTRANGE(""https://docs.google.com/spreadsheets/d/1MjHtlUikwobi2MaWJgy7tfLeBmhj1u-dRFRs_8GwSoA/edit#gid=0"",""Gestores Escolares!D7:J""),7,0),""VERIFICAR CÓD SEC"")")," (71) 9 9418-7474")</f>
        <v> (71) 9 9418-7474</v>
      </c>
      <c r="Q318" s="82" t="str">
        <f>IFERROR(__xludf.DUMMYFUNCTION("IFERROR(VLOOKUP(D318,
IMPORTRANGE(""https://docs.google.com/spreadsheets/d/1MjHtlUikwobi2MaWJgy7tfLeBmhj1u-dRFRs_8GwSoA/edit#gid=0"",""Gestores Escolares!D7:m""),9,0),""VERIFICAR CÓD SEC"")"),"")</f>
        <v/>
      </c>
      <c r="R318" s="82" t="str">
        <f>IFERROR(__xludf.DUMMYFUNCTION("IFERROR(VLOOKUP(D318,
IMPORTRANGE(""https://docs.google.com/spreadsheets/d/1MjHtlUikwobi2MaWJgy7tfLeBmhj1u-dRFRs_8GwSoA/edit#gid=0"",""Gestores Escolares!D7:m""),10,0),""VERIFICAR CÓD SEC"")"),"")</f>
        <v/>
      </c>
      <c r="S318" s="82"/>
      <c r="T318" s="138">
        <v>3.0</v>
      </c>
      <c r="U318" s="145">
        <v>2.0</v>
      </c>
      <c r="V318" s="106">
        <v>0.0</v>
      </c>
      <c r="W318" s="107">
        <v>0.0</v>
      </c>
      <c r="X318" s="107">
        <v>0.0</v>
      </c>
      <c r="Y318" s="107">
        <v>0.0</v>
      </c>
      <c r="Z318" s="80">
        <f t="shared" si="1"/>
        <v>0</v>
      </c>
      <c r="AA318" s="106">
        <v>0.0</v>
      </c>
      <c r="AB318" s="107">
        <v>0.0</v>
      </c>
      <c r="AC318" s="107">
        <v>0.0</v>
      </c>
      <c r="AD318" s="107">
        <v>0.0</v>
      </c>
      <c r="AE318" s="80">
        <f t="shared" si="2"/>
        <v>0</v>
      </c>
      <c r="AF318" s="222">
        <v>0.0</v>
      </c>
      <c r="AG318" s="222">
        <v>0.0</v>
      </c>
      <c r="AH318" s="222">
        <v>76.0</v>
      </c>
      <c r="AI318" s="224">
        <v>0.0</v>
      </c>
      <c r="AJ318" s="80">
        <f t="shared" si="3"/>
        <v>76</v>
      </c>
      <c r="AK318" s="140">
        <v>0.0</v>
      </c>
      <c r="AL318" s="109">
        <v>0.0</v>
      </c>
      <c r="AM318" s="141">
        <v>0.0</v>
      </c>
      <c r="AN318" s="80">
        <f t="shared" si="4"/>
        <v>0</v>
      </c>
      <c r="AO318" s="222">
        <v>0.0</v>
      </c>
      <c r="AP318" s="222">
        <v>0.0</v>
      </c>
      <c r="AQ318" s="224">
        <v>0.0</v>
      </c>
      <c r="AR318" s="80">
        <f t="shared" si="5"/>
        <v>0</v>
      </c>
      <c r="AS318" s="110">
        <v>0.0</v>
      </c>
      <c r="AT318" s="110">
        <v>0.0</v>
      </c>
      <c r="AU318" s="110">
        <v>0.0</v>
      </c>
      <c r="AV318" s="142">
        <v>0.0</v>
      </c>
      <c r="AW318" s="80">
        <f t="shared" si="6"/>
        <v>0</v>
      </c>
      <c r="AX318" s="113">
        <f t="shared" si="7"/>
        <v>76</v>
      </c>
      <c r="AY318" s="117">
        <f t="shared" si="8"/>
        <v>0</v>
      </c>
      <c r="AZ318" s="120">
        <f t="shared" si="9"/>
        <v>76</v>
      </c>
      <c r="BA318" s="115">
        <v>0.0</v>
      </c>
      <c r="BB318" s="89">
        <f t="shared" si="10"/>
        <v>76</v>
      </c>
      <c r="BC318" s="132" t="s">
        <v>178</v>
      </c>
      <c r="BD318" s="143" t="s">
        <v>227</v>
      </c>
      <c r="BE318" s="132" t="s">
        <v>178</v>
      </c>
      <c r="BF318" s="123"/>
      <c r="BG318" s="83">
        <v>1178613.0</v>
      </c>
      <c r="BH318" s="112"/>
      <c r="BI318" s="112">
        <v>3.0</v>
      </c>
      <c r="BJ318" s="98" t="s">
        <v>155</v>
      </c>
      <c r="BK318" s="99">
        <f t="shared" si="11"/>
        <v>0</v>
      </c>
      <c r="BL318" s="99">
        <f t="shared" si="12"/>
        <v>0</v>
      </c>
      <c r="BM318" s="99" t="str">
        <f>IFERROR(__xludf.DUMMYFUNCTION("IFERROR(VLOOKUP(BG318,IMPORTRANGE(""https://docs.google.com/spreadsheets/d/1juPI-Fb8LD0YtltB2mlGEnp_R3UVu1t3wSFPzgCyHXE/edit?gid=0#gid=0"",""GERAL!A2:C""),3,0),""-"")"),"-")</f>
        <v>-</v>
      </c>
    </row>
    <row r="319" ht="15.75" customHeight="1">
      <c r="A319" s="111" t="s">
        <v>451</v>
      </c>
      <c r="B319" s="172" t="s">
        <v>1348</v>
      </c>
      <c r="C319" s="83" t="s">
        <v>68</v>
      </c>
      <c r="D319" s="112">
        <v>1111495.0</v>
      </c>
      <c r="E319" s="83"/>
      <c r="F319" s="83">
        <v>2.929228E7</v>
      </c>
      <c r="G319" s="147" t="s">
        <v>1349</v>
      </c>
      <c r="H319" s="91" t="s">
        <v>1350</v>
      </c>
      <c r="I319" s="83" t="s">
        <v>149</v>
      </c>
      <c r="J319" s="83" t="s">
        <v>150</v>
      </c>
      <c r="K319" s="83" t="s">
        <v>151</v>
      </c>
      <c r="L319" s="83" t="s">
        <v>169</v>
      </c>
      <c r="M319" s="82" t="str">
        <f>IFERROR(__xludf.DUMMYFUNCTION("IFERROR(VLOOKUP(D319,
IMPORTRANGE(""https://docs.google.com/spreadsheets/d/1MjHtlUikwobi2MaWJgy7tfLeBmhj1u-dRFRs_8GwSoA/edit#gid=0"",""Gestores Escolares!D7:J""),3,0),""VERIFICAR CÓD SEC"")"),"ANTONIO LUIS ARAUJO NETO")</f>
        <v>ANTONIO LUIS ARAUJO NETO</v>
      </c>
      <c r="N319" s="82" t="str">
        <f>IFERROR(__xludf.DUMMYFUNCTION("IFERROR(VLOOKUP(D319,
IMPORTRANGE(""https://docs.google.com/spreadsheets/d/1MjHtlUikwobi2MaWJgy7tfLeBmhj1u-dRFRs_8GwSoA/edit#gid=0"",""Gestores Escolares!D7:J""),4,0),""VERIFICAR CÓD SEC"")"),"(73) 9 8134-4247")</f>
        <v>(73) 9 8134-4247</v>
      </c>
      <c r="O319" s="82" t="str">
        <f>IFERROR(__xludf.DUMMYFUNCTION("IFERROR(VLOOKUP(D319,
IMPORTRANGE(""https://docs.google.com/spreadsheets/d/1MjHtlUikwobi2MaWJgy7tfLeBmhj1u-dRFRs_8GwSoA/edit#gid=0"",""Gestores Escolares!D7:J""),6,0),""VERIFICAR CÓD SEC"")"),"LUCINETE AMARAL ARGOLO DE SOUSA")</f>
        <v>LUCINETE AMARAL ARGOLO DE SOUSA</v>
      </c>
      <c r="P319" s="82" t="str">
        <f>IFERROR(__xludf.DUMMYFUNCTION("IFERROR(VLOOKUP(D319,
IMPORTRANGE(""https://docs.google.com/spreadsheets/d/1MjHtlUikwobi2MaWJgy7tfLeBmhj1u-dRFRs_8GwSoA/edit#gid=0"",""Gestores Escolares!D7:J""),7,0),""VERIFICAR CÓD SEC"")"),"(73) 9 9805-3838")</f>
        <v>(73) 9 9805-3838</v>
      </c>
      <c r="Q319" s="82" t="str">
        <f>IFERROR(__xludf.DUMMYFUNCTION("IFERROR(VLOOKUP(D319,
IMPORTRANGE(""https://docs.google.com/spreadsheets/d/1MjHtlUikwobi2MaWJgy7tfLeBmhj1u-dRFRs_8GwSoA/edit#gid=0"",""Gestores Escolares!D7:m""),9,0),""VERIFICAR CÓD SEC"")"),"")</f>
        <v/>
      </c>
      <c r="R319" s="82" t="str">
        <f>IFERROR(__xludf.DUMMYFUNCTION("IFERROR(VLOOKUP(D319,
IMPORTRANGE(""https://docs.google.com/spreadsheets/d/1MjHtlUikwobi2MaWJgy7tfLeBmhj1u-dRFRs_8GwSoA/edit#gid=0"",""Gestores Escolares!D7:m""),10,0),""VERIFICAR CÓD SEC"")"),"")</f>
        <v/>
      </c>
      <c r="S319" s="82"/>
      <c r="T319" s="138">
        <v>6.0</v>
      </c>
      <c r="U319" s="145">
        <v>8.0</v>
      </c>
      <c r="V319" s="106">
        <v>0.0</v>
      </c>
      <c r="W319" s="107">
        <v>0.0</v>
      </c>
      <c r="X319" s="107">
        <v>0.0</v>
      </c>
      <c r="Y319" s="107">
        <v>0.0</v>
      </c>
      <c r="Z319" s="80">
        <f t="shared" si="1"/>
        <v>0</v>
      </c>
      <c r="AA319" s="106">
        <v>0.0</v>
      </c>
      <c r="AB319" s="107">
        <v>0.0</v>
      </c>
      <c r="AC319" s="107">
        <v>0.0</v>
      </c>
      <c r="AD319" s="107">
        <v>0.0</v>
      </c>
      <c r="AE319" s="80">
        <f t="shared" si="2"/>
        <v>0</v>
      </c>
      <c r="AF319" s="140">
        <v>0.0</v>
      </c>
      <c r="AG319" s="109">
        <v>0.0</v>
      </c>
      <c r="AH319" s="109">
        <v>0.0</v>
      </c>
      <c r="AI319" s="141">
        <v>139.0</v>
      </c>
      <c r="AJ319" s="80">
        <f t="shared" si="3"/>
        <v>139</v>
      </c>
      <c r="AK319" s="140">
        <v>0.0</v>
      </c>
      <c r="AL319" s="109">
        <v>0.0</v>
      </c>
      <c r="AM319" s="141">
        <v>0.0</v>
      </c>
      <c r="AN319" s="80">
        <f t="shared" si="4"/>
        <v>0</v>
      </c>
      <c r="AO319" s="140">
        <v>0.0</v>
      </c>
      <c r="AP319" s="109">
        <v>0.0</v>
      </c>
      <c r="AQ319" s="109">
        <v>19.0</v>
      </c>
      <c r="AR319" s="80">
        <f t="shared" si="5"/>
        <v>19</v>
      </c>
      <c r="AS319" s="110">
        <v>0.0</v>
      </c>
      <c r="AT319" s="110">
        <v>0.0</v>
      </c>
      <c r="AU319" s="110">
        <v>36.0</v>
      </c>
      <c r="AV319" s="142">
        <v>0.0</v>
      </c>
      <c r="AW319" s="80">
        <f t="shared" si="6"/>
        <v>36</v>
      </c>
      <c r="AX319" s="113">
        <f t="shared" si="7"/>
        <v>194</v>
      </c>
      <c r="AY319" s="117">
        <f t="shared" si="8"/>
        <v>139</v>
      </c>
      <c r="AZ319" s="120">
        <f t="shared" si="9"/>
        <v>55</v>
      </c>
      <c r="BA319" s="115">
        <v>0.0</v>
      </c>
      <c r="BB319" s="89">
        <f t="shared" si="10"/>
        <v>194</v>
      </c>
      <c r="BC319" s="132" t="s">
        <v>178</v>
      </c>
      <c r="BD319" s="132" t="s">
        <v>178</v>
      </c>
      <c r="BE319" s="132" t="s">
        <v>178</v>
      </c>
      <c r="BF319" s="123"/>
      <c r="BG319" s="83">
        <v>1111495.0</v>
      </c>
      <c r="BH319" s="144"/>
      <c r="BI319" s="112">
        <v>6.0</v>
      </c>
      <c r="BJ319" s="98" t="s">
        <v>155</v>
      </c>
      <c r="BK319" s="99">
        <f t="shared" si="11"/>
        <v>139</v>
      </c>
      <c r="BL319" s="99">
        <f t="shared" si="12"/>
        <v>0</v>
      </c>
      <c r="BM319" s="99" t="str">
        <f>IFERROR(__xludf.DUMMYFUNCTION("IFERROR(VLOOKUP(BG319,IMPORTRANGE(""https://docs.google.com/spreadsheets/d/1juPI-Fb8LD0YtltB2mlGEnp_R3UVu1t3wSFPzgCyHXE/edit?gid=0#gid=0"",""GERAL!A2:C""),3,0),""-"")"),"-")</f>
        <v>-</v>
      </c>
    </row>
    <row r="320" ht="15.75" customHeight="1">
      <c r="A320" s="111" t="s">
        <v>451</v>
      </c>
      <c r="B320" s="136" t="s">
        <v>1352</v>
      </c>
      <c r="C320" s="83" t="s">
        <v>68</v>
      </c>
      <c r="D320" s="112">
        <v>1161093.0</v>
      </c>
      <c r="E320" s="83"/>
      <c r="F320" s="83">
        <v>2.9292808E7</v>
      </c>
      <c r="G320" s="147" t="s">
        <v>4672</v>
      </c>
      <c r="H320" s="91" t="s">
        <v>1354</v>
      </c>
      <c r="I320" s="172" t="s">
        <v>149</v>
      </c>
      <c r="J320" s="83" t="s">
        <v>150</v>
      </c>
      <c r="K320" s="83" t="s">
        <v>151</v>
      </c>
      <c r="L320" s="83" t="s">
        <v>76</v>
      </c>
      <c r="M320" s="82" t="str">
        <f>IFERROR(__xludf.DUMMYFUNCTION("IFERROR(VLOOKUP(D320,
IMPORTRANGE(""https://docs.google.com/spreadsheets/d/1MjHtlUikwobi2MaWJgy7tfLeBmhj1u-dRFRs_8GwSoA/edit#gid=0"",""Gestores Escolares!D7:J""),3,0),""VERIFICAR CÓD SEC"")"),"ROSANI GENTIL DE OLIVEIRA")</f>
        <v>ROSANI GENTIL DE OLIVEIRA</v>
      </c>
      <c r="N320" s="82" t="str">
        <f>IFERROR(__xludf.DUMMYFUNCTION("IFERROR(VLOOKUP(D320,
IMPORTRANGE(""https://docs.google.com/spreadsheets/d/1MjHtlUikwobi2MaWJgy7tfLeBmhj1u-dRFRs_8GwSoA/edit#gid=0"",""Gestores Escolares!D7:J""),4,0),""VERIFICAR CÓD SEC"")"),"(73) 9 8134-2061")</f>
        <v>(73) 9 8134-2061</v>
      </c>
      <c r="O320" s="82" t="str">
        <f>IFERROR(__xludf.DUMMYFUNCTION("IFERROR(VLOOKUP(D320,
IMPORTRANGE(""https://docs.google.com/spreadsheets/d/1MjHtlUikwobi2MaWJgy7tfLeBmhj1u-dRFRs_8GwSoA/edit#gid=0"",""Gestores Escolares!D7:J""),6,0),""VERIFICAR CÓD SEC"")"),"LOURISANE FERREIRA DA SILVA")</f>
        <v>LOURISANE FERREIRA DA SILVA</v>
      </c>
      <c r="P320" s="82" t="str">
        <f>IFERROR(__xludf.DUMMYFUNCTION("IFERROR(VLOOKUP(D320,
IMPORTRANGE(""https://docs.google.com/spreadsheets/d/1MjHtlUikwobi2MaWJgy7tfLeBmhj1u-dRFRs_8GwSoA/edit#gid=0"",""Gestores Escolares!D7:J""),7,0),""VERIFICAR CÓD SEC"")"),"(73) 9 8212-9571")</f>
        <v>(73) 9 8212-9571</v>
      </c>
      <c r="Q320" s="82" t="str">
        <f>IFERROR(__xludf.DUMMYFUNCTION("IFERROR(VLOOKUP(D320,
IMPORTRANGE(""https://docs.google.com/spreadsheets/d/1MjHtlUikwobi2MaWJgy7tfLeBmhj1u-dRFRs_8GwSoA/edit#gid=0"",""Gestores Escolares!D7:m""),9,0),""VERIFICAR CÓD SEC"")"),"")</f>
        <v/>
      </c>
      <c r="R320" s="82" t="str">
        <f>IFERROR(__xludf.DUMMYFUNCTION("IFERROR(VLOOKUP(D320,
IMPORTRANGE(""https://docs.google.com/spreadsheets/d/1MjHtlUikwobi2MaWJgy7tfLeBmhj1u-dRFRs_8GwSoA/edit#gid=0"",""Gestores Escolares!D7:m""),10,0),""VERIFICAR CÓD SEC"")"),"")</f>
        <v/>
      </c>
      <c r="S320" s="82"/>
      <c r="T320" s="138">
        <v>6.0</v>
      </c>
      <c r="U320" s="152">
        <v>5.0</v>
      </c>
      <c r="V320" s="106">
        <v>0.0</v>
      </c>
      <c r="W320" s="107">
        <v>0.0</v>
      </c>
      <c r="X320" s="107">
        <v>0.0</v>
      </c>
      <c r="Y320" s="107">
        <v>0.0</v>
      </c>
      <c r="Z320" s="80">
        <f t="shared" si="1"/>
        <v>0</v>
      </c>
      <c r="AA320" s="106">
        <v>0.0</v>
      </c>
      <c r="AB320" s="107">
        <v>0.0</v>
      </c>
      <c r="AC320" s="107">
        <v>0.0</v>
      </c>
      <c r="AD320" s="107">
        <v>0.0</v>
      </c>
      <c r="AE320" s="80">
        <f t="shared" si="2"/>
        <v>0</v>
      </c>
      <c r="AF320" s="140">
        <v>49.0</v>
      </c>
      <c r="AG320" s="109">
        <v>35.0</v>
      </c>
      <c r="AH320" s="109">
        <v>0.0</v>
      </c>
      <c r="AI320" s="141">
        <v>108.0</v>
      </c>
      <c r="AJ320" s="80">
        <f t="shared" si="3"/>
        <v>192</v>
      </c>
      <c r="AK320" s="140">
        <v>0.0</v>
      </c>
      <c r="AL320" s="109">
        <v>0.0</v>
      </c>
      <c r="AM320" s="141">
        <v>0.0</v>
      </c>
      <c r="AN320" s="80">
        <f t="shared" si="4"/>
        <v>0</v>
      </c>
      <c r="AO320" s="140">
        <v>0.0</v>
      </c>
      <c r="AP320" s="109">
        <v>0.0</v>
      </c>
      <c r="AQ320" s="109">
        <v>95.0</v>
      </c>
      <c r="AR320" s="80">
        <f t="shared" si="5"/>
        <v>95</v>
      </c>
      <c r="AS320" s="110">
        <v>0.0</v>
      </c>
      <c r="AT320" s="110">
        <v>0.0</v>
      </c>
      <c r="AU320" s="110">
        <v>0.0</v>
      </c>
      <c r="AV320" s="142">
        <v>0.0</v>
      </c>
      <c r="AW320" s="80">
        <f t="shared" si="6"/>
        <v>0</v>
      </c>
      <c r="AX320" s="113">
        <f t="shared" si="7"/>
        <v>287</v>
      </c>
      <c r="AY320" s="117">
        <f t="shared" si="8"/>
        <v>192</v>
      </c>
      <c r="AZ320" s="120">
        <f t="shared" si="9"/>
        <v>95</v>
      </c>
      <c r="BA320" s="115">
        <v>0.0</v>
      </c>
      <c r="BB320" s="89">
        <f t="shared" si="10"/>
        <v>287</v>
      </c>
      <c r="BC320" s="132" t="s">
        <v>178</v>
      </c>
      <c r="BD320" s="132" t="s">
        <v>178</v>
      </c>
      <c r="BE320" s="132" t="s">
        <v>178</v>
      </c>
      <c r="BF320" s="156"/>
      <c r="BG320" s="83">
        <v>1161093.0</v>
      </c>
      <c r="BH320" s="98" t="s">
        <v>1355</v>
      </c>
      <c r="BI320" s="112">
        <v>5.0</v>
      </c>
      <c r="BJ320" s="98" t="s">
        <v>155</v>
      </c>
      <c r="BK320" s="99">
        <f t="shared" si="11"/>
        <v>108</v>
      </c>
      <c r="BL320" s="99">
        <f t="shared" si="12"/>
        <v>84</v>
      </c>
      <c r="BM320" s="99" t="str">
        <f>IFERROR(__xludf.DUMMYFUNCTION("IFERROR(VLOOKUP(BG320,IMPORTRANGE(""https://docs.google.com/spreadsheets/d/1juPI-Fb8LD0YtltB2mlGEnp_R3UVu1t3wSFPzgCyHXE/edit?gid=0#gid=0"",""GERAL!A2:C""),3,0),""-"")"),"-")</f>
        <v>-</v>
      </c>
    </row>
    <row r="321" ht="15.75" customHeight="1">
      <c r="A321" s="111" t="s">
        <v>451</v>
      </c>
      <c r="B321" s="136" t="s">
        <v>1352</v>
      </c>
      <c r="C321" s="83" t="s">
        <v>68</v>
      </c>
      <c r="D321" s="112">
        <v>1178142.0</v>
      </c>
      <c r="E321" s="83"/>
      <c r="F321" s="83">
        <v>2.9886732E7</v>
      </c>
      <c r="G321" s="187" t="s">
        <v>1356</v>
      </c>
      <c r="H321" s="91" t="s">
        <v>1357</v>
      </c>
      <c r="I321" s="172" t="s">
        <v>149</v>
      </c>
      <c r="J321" s="83" t="s">
        <v>150</v>
      </c>
      <c r="K321" s="83" t="s">
        <v>151</v>
      </c>
      <c r="L321" s="83" t="s">
        <v>230</v>
      </c>
      <c r="M321" s="82" t="str">
        <f>IFERROR(__xludf.DUMMYFUNCTION("IFERROR(VLOOKUP(D321,
IMPORTRANGE(""https://docs.google.com/spreadsheets/d/1MjHtlUikwobi2MaWJgy7tfLeBmhj1u-dRFRs_8GwSoA/edit#gid=0"",""Gestores Escolares!D7:J""),3,0),""VERIFICAR CÓD SEC"")"),"LUIZ CARLOS SANTOS")</f>
        <v>LUIZ CARLOS SANTOS</v>
      </c>
      <c r="N321" s="82" t="str">
        <f>IFERROR(__xludf.DUMMYFUNCTION("IFERROR(VLOOKUP(D321,
IMPORTRANGE(""https://docs.google.com/spreadsheets/d/1MjHtlUikwobi2MaWJgy7tfLeBmhj1u-dRFRs_8GwSoA/edit#gid=0"",""Gestores Escolares!D7:J""),4,0),""VERIFICAR CÓD SEC"")"),"(73) 9 8162-0608")</f>
        <v>(73) 9 8162-0608</v>
      </c>
      <c r="O321" s="82" t="str">
        <f>IFERROR(__xludf.DUMMYFUNCTION("IFERROR(VLOOKUP(D321,
IMPORTRANGE(""https://docs.google.com/spreadsheets/d/1MjHtlUikwobi2MaWJgy7tfLeBmhj1u-dRFRs_8GwSoA/edit#gid=0"",""Gestores Escolares!D7:J""),6,0),""VERIFICAR CÓD SEC"")"),"NAYARA SILVA SANTANA ")</f>
        <v>NAYARA SILVA SANTANA </v>
      </c>
      <c r="P321" s="82" t="str">
        <f>IFERROR(__xludf.DUMMYFUNCTION("IFERROR(VLOOKUP(D321,
IMPORTRANGE(""https://docs.google.com/spreadsheets/d/1MjHtlUikwobi2MaWJgy7tfLeBmhj1u-dRFRs_8GwSoA/edit#gid=0"",""Gestores Escolares!D7:J""),7,0),""VERIFICAR CÓD SEC"")"),"(73) 9 8199-3411")</f>
        <v>(73) 9 8199-3411</v>
      </c>
      <c r="Q321" s="82" t="str">
        <f>IFERROR(__xludf.DUMMYFUNCTION("IFERROR(VLOOKUP(D321,
IMPORTRANGE(""https://docs.google.com/spreadsheets/d/1MjHtlUikwobi2MaWJgy7tfLeBmhj1u-dRFRs_8GwSoA/edit#gid=0"",""Gestores Escolares!D7:m""),9,0),""VERIFICAR CÓD SEC"")"),"")</f>
        <v/>
      </c>
      <c r="R321" s="82" t="str">
        <f>IFERROR(__xludf.DUMMYFUNCTION("IFERROR(VLOOKUP(D321,
IMPORTRANGE(""https://docs.google.com/spreadsheets/d/1MjHtlUikwobi2MaWJgy7tfLeBmhj1u-dRFRs_8GwSoA/edit#gid=0"",""Gestores Escolares!D7:m""),10,0),""VERIFICAR CÓD SEC"")"),"")</f>
        <v/>
      </c>
      <c r="S321" s="82"/>
      <c r="T321" s="138">
        <v>18.0</v>
      </c>
      <c r="U321" s="217" t="s">
        <v>4700</v>
      </c>
      <c r="V321" s="106">
        <v>0.0</v>
      </c>
      <c r="W321" s="107">
        <v>0.0</v>
      </c>
      <c r="X321" s="107">
        <v>0.0</v>
      </c>
      <c r="Y321" s="107">
        <v>0.0</v>
      </c>
      <c r="Z321" s="80">
        <f t="shared" si="1"/>
        <v>0</v>
      </c>
      <c r="AA321" s="106">
        <v>0.0</v>
      </c>
      <c r="AB321" s="107">
        <v>0.0</v>
      </c>
      <c r="AC321" s="107">
        <v>0.0</v>
      </c>
      <c r="AD321" s="107">
        <v>0.0</v>
      </c>
      <c r="AE321" s="80">
        <f t="shared" si="2"/>
        <v>0</v>
      </c>
      <c r="AF321" s="140">
        <v>0.0</v>
      </c>
      <c r="AG321" s="109">
        <v>0.0</v>
      </c>
      <c r="AH321" s="109">
        <v>0.0</v>
      </c>
      <c r="AI321" s="141">
        <v>0.0</v>
      </c>
      <c r="AJ321" s="80">
        <f t="shared" si="3"/>
        <v>0</v>
      </c>
      <c r="AK321" s="140">
        <v>0.0</v>
      </c>
      <c r="AL321" s="109">
        <v>0.0</v>
      </c>
      <c r="AM321" s="141">
        <v>0.0</v>
      </c>
      <c r="AN321" s="80">
        <f t="shared" si="4"/>
        <v>0</v>
      </c>
      <c r="AO321" s="140">
        <v>0.0</v>
      </c>
      <c r="AP321" s="109">
        <v>0.0</v>
      </c>
      <c r="AQ321" s="109">
        <v>0.0</v>
      </c>
      <c r="AR321" s="80">
        <f t="shared" si="5"/>
        <v>0</v>
      </c>
      <c r="AS321" s="110">
        <v>84.0</v>
      </c>
      <c r="AT321" s="110">
        <v>0.0</v>
      </c>
      <c r="AU321" s="110">
        <v>128.0</v>
      </c>
      <c r="AV321" s="142">
        <v>10.0</v>
      </c>
      <c r="AW321" s="80">
        <f t="shared" si="6"/>
        <v>222</v>
      </c>
      <c r="AX321" s="113">
        <f t="shared" si="7"/>
        <v>222</v>
      </c>
      <c r="AY321" s="117">
        <f t="shared" si="8"/>
        <v>94</v>
      </c>
      <c r="AZ321" s="120">
        <f t="shared" si="9"/>
        <v>128</v>
      </c>
      <c r="BA321" s="115">
        <v>10.0</v>
      </c>
      <c r="BB321" s="89">
        <f t="shared" si="10"/>
        <v>232</v>
      </c>
      <c r="BC321" s="132" t="s">
        <v>631</v>
      </c>
      <c r="BD321" s="132" t="s">
        <v>779</v>
      </c>
      <c r="BE321" s="132" t="s">
        <v>178</v>
      </c>
      <c r="BF321" s="123"/>
      <c r="BG321" s="83">
        <v>1178142.0</v>
      </c>
      <c r="BH321" s="171" t="s">
        <v>1358</v>
      </c>
      <c r="BI321" s="112">
        <v>8.0</v>
      </c>
      <c r="BJ321" s="98" t="s">
        <v>155</v>
      </c>
      <c r="BK321" s="99">
        <f t="shared" si="11"/>
        <v>10</v>
      </c>
      <c r="BL321" s="99">
        <f t="shared" si="12"/>
        <v>84</v>
      </c>
      <c r="BM321" s="99" t="str">
        <f>IFERROR(__xludf.DUMMYFUNCTION("IFERROR(VLOOKUP(BG321,IMPORTRANGE(""https://docs.google.com/spreadsheets/d/1juPI-Fb8LD0YtltB2mlGEnp_R3UVu1t3wSFPzgCyHXE/edit?gid=0#gid=0"",""GERAL!A2:C""),3,0),""-"")"),"ASSENTAMENTOS")</f>
        <v>ASSENTAMENTOS</v>
      </c>
    </row>
    <row r="322" ht="15.75" customHeight="1">
      <c r="A322" s="111" t="s">
        <v>451</v>
      </c>
      <c r="B322" s="83" t="s">
        <v>1359</v>
      </c>
      <c r="C322" s="83" t="s">
        <v>68</v>
      </c>
      <c r="D322" s="112">
        <v>1111550.0</v>
      </c>
      <c r="E322" s="83"/>
      <c r="F322" s="83">
        <v>2.9293197E7</v>
      </c>
      <c r="G322" s="147" t="s">
        <v>4713</v>
      </c>
      <c r="H322" s="91" t="s">
        <v>1361</v>
      </c>
      <c r="I322" s="172" t="s">
        <v>149</v>
      </c>
      <c r="J322" s="83" t="s">
        <v>150</v>
      </c>
      <c r="K322" s="83" t="s">
        <v>151</v>
      </c>
      <c r="L322" s="83" t="s">
        <v>152</v>
      </c>
      <c r="M322" s="82" t="str">
        <f>IFERROR(__xludf.DUMMYFUNCTION("IFERROR(VLOOKUP(D322,
IMPORTRANGE(""https://docs.google.com/spreadsheets/d/1MjHtlUikwobi2MaWJgy7tfLeBmhj1u-dRFRs_8GwSoA/edit#gid=0"",""Gestores Escolares!D7:J""),3,0),""VERIFICAR CÓD SEC"")"),"DENIS ANJOS DE SANTANA SOUZA ")</f>
        <v>DENIS ANJOS DE SANTANA SOUZA </v>
      </c>
      <c r="N322" s="82" t="str">
        <f>IFERROR(__xludf.DUMMYFUNCTION("IFERROR(VLOOKUP(D322,
IMPORTRANGE(""https://docs.google.com/spreadsheets/d/1MjHtlUikwobi2MaWJgy7tfLeBmhj1u-dRFRs_8GwSoA/edit#gid=0"",""Gestores Escolares!D7:J""),4,0),""VERIFICAR CÓD SEC"")"),"(73) 9 8190-6608")</f>
        <v>(73) 9 8190-6608</v>
      </c>
      <c r="O322" s="82" t="str">
        <f>IFERROR(__xludf.DUMMYFUNCTION("IFERROR(VLOOKUP(D322,
IMPORTRANGE(""https://docs.google.com/spreadsheets/d/1MjHtlUikwobi2MaWJgy7tfLeBmhj1u-dRFRs_8GwSoA/edit#gid=0"",""Gestores Escolares!D7:J""),6,0),""VERIFICAR CÓD SEC"")"),"ADJA BATISTA SILVA LAGO")</f>
        <v>ADJA BATISTA SILVA LAGO</v>
      </c>
      <c r="P322" s="82" t="str">
        <f>IFERROR(__xludf.DUMMYFUNCTION("IFERROR(VLOOKUP(D322,
IMPORTRANGE(""https://docs.google.com/spreadsheets/d/1MjHtlUikwobi2MaWJgy7tfLeBmhj1u-dRFRs_8GwSoA/edit#gid=0"",""Gestores Escolares!D7:J""),7,0),""VERIFICAR CÓD SEC"")"),"(73) 9 8816-6415")</f>
        <v>(73) 9 8816-6415</v>
      </c>
      <c r="Q322" s="82" t="str">
        <f>IFERROR(__xludf.DUMMYFUNCTION("IFERROR(VLOOKUP(D322,
IMPORTRANGE(""https://docs.google.com/spreadsheets/d/1MjHtlUikwobi2MaWJgy7tfLeBmhj1u-dRFRs_8GwSoA/edit#gid=0"",""Gestores Escolares!D7:m""),9,0),""VERIFICAR CÓD SEC"")"),"REINALDO ALMEIDA NETO")</f>
        <v>REINALDO ALMEIDA NETO</v>
      </c>
      <c r="R322" s="82" t="str">
        <f>IFERROR(__xludf.DUMMYFUNCTION("IFERROR(VLOOKUP(D322,
IMPORTRANGE(""https://docs.google.com/spreadsheets/d/1MjHtlUikwobi2MaWJgy7tfLeBmhj1u-dRFRs_8GwSoA/edit#gid=0"",""Gestores Escolares!D7:m""),10,0),""VERIFICAR CÓD SEC"")"),"(73) 9 9829-4434")</f>
        <v>(73) 9 9829-4434</v>
      </c>
      <c r="S322" s="82"/>
      <c r="T322" s="138">
        <v>6.0</v>
      </c>
      <c r="U322" s="145">
        <v>10.0</v>
      </c>
      <c r="V322" s="106">
        <v>0.0</v>
      </c>
      <c r="W322" s="107">
        <v>0.0</v>
      </c>
      <c r="X322" s="107">
        <v>0.0</v>
      </c>
      <c r="Y322" s="107">
        <v>0.0</v>
      </c>
      <c r="Z322" s="80">
        <f t="shared" si="1"/>
        <v>0</v>
      </c>
      <c r="AA322" s="106">
        <v>0.0</v>
      </c>
      <c r="AB322" s="107">
        <v>0.0</v>
      </c>
      <c r="AC322" s="107">
        <v>0.0</v>
      </c>
      <c r="AD322" s="107">
        <v>0.0</v>
      </c>
      <c r="AE322" s="80">
        <f t="shared" si="2"/>
        <v>0</v>
      </c>
      <c r="AF322" s="140">
        <v>110.0</v>
      </c>
      <c r="AG322" s="109">
        <v>39.0</v>
      </c>
      <c r="AH322" s="109">
        <v>0.0</v>
      </c>
      <c r="AI322" s="141">
        <v>169.0</v>
      </c>
      <c r="AJ322" s="80">
        <f t="shared" si="3"/>
        <v>318</v>
      </c>
      <c r="AK322" s="140">
        <v>0.0</v>
      </c>
      <c r="AL322" s="109">
        <v>0.0</v>
      </c>
      <c r="AM322" s="141">
        <v>0.0</v>
      </c>
      <c r="AN322" s="80">
        <f t="shared" si="4"/>
        <v>0</v>
      </c>
      <c r="AO322" s="140">
        <v>0.0</v>
      </c>
      <c r="AP322" s="109">
        <v>0.0</v>
      </c>
      <c r="AQ322" s="109">
        <v>85.0</v>
      </c>
      <c r="AR322" s="80">
        <f t="shared" si="5"/>
        <v>85</v>
      </c>
      <c r="AS322" s="110">
        <v>0.0</v>
      </c>
      <c r="AT322" s="110">
        <v>0.0</v>
      </c>
      <c r="AU322" s="110">
        <v>20.0</v>
      </c>
      <c r="AV322" s="142">
        <v>31.0</v>
      </c>
      <c r="AW322" s="80">
        <f t="shared" si="6"/>
        <v>51</v>
      </c>
      <c r="AX322" s="113">
        <f t="shared" si="7"/>
        <v>454</v>
      </c>
      <c r="AY322" s="117">
        <f t="shared" si="8"/>
        <v>349</v>
      </c>
      <c r="AZ322" s="120">
        <f t="shared" si="9"/>
        <v>105</v>
      </c>
      <c r="BA322" s="115">
        <v>0.0</v>
      </c>
      <c r="BB322" s="89">
        <f t="shared" si="10"/>
        <v>454</v>
      </c>
      <c r="BC322" s="132" t="s">
        <v>178</v>
      </c>
      <c r="BD322" s="132" t="s">
        <v>178</v>
      </c>
      <c r="BE322" s="132" t="s">
        <v>178</v>
      </c>
      <c r="BF322" s="123"/>
      <c r="BG322" s="83">
        <v>1111550.0</v>
      </c>
      <c r="BH322" s="98" t="s">
        <v>1362</v>
      </c>
      <c r="BI322" s="112">
        <v>7.0</v>
      </c>
      <c r="BJ322" s="98" t="s">
        <v>162</v>
      </c>
      <c r="BK322" s="99">
        <f t="shared" si="11"/>
        <v>200</v>
      </c>
      <c r="BL322" s="99">
        <f t="shared" si="12"/>
        <v>149</v>
      </c>
      <c r="BM322" s="99" t="str">
        <f>IFERROR(__xludf.DUMMYFUNCTION("IFERROR(VLOOKUP(BG322,IMPORTRANGE(""https://docs.google.com/spreadsheets/d/1juPI-Fb8LD0YtltB2mlGEnp_R3UVu1t3wSFPzgCyHXE/edit?gid=0#gid=0"",""GERAL!A2:C""),3,0),""-"")"),"-")</f>
        <v>-</v>
      </c>
    </row>
    <row r="323" ht="15.75" customHeight="1">
      <c r="A323" s="111" t="s">
        <v>451</v>
      </c>
      <c r="B323" s="83" t="s">
        <v>1359</v>
      </c>
      <c r="C323" s="83" t="s">
        <v>164</v>
      </c>
      <c r="D323" s="112">
        <v>1179701.0</v>
      </c>
      <c r="E323" s="83">
        <v>1178500.0</v>
      </c>
      <c r="F323" s="98">
        <v>2.9482267E7</v>
      </c>
      <c r="G323" s="114" t="s">
        <v>1363</v>
      </c>
      <c r="H323" s="91" t="s">
        <v>1364</v>
      </c>
      <c r="I323" s="172" t="s">
        <v>1365</v>
      </c>
      <c r="J323" s="83" t="s">
        <v>331</v>
      </c>
      <c r="K323" s="83" t="s">
        <v>151</v>
      </c>
      <c r="L323" s="83" t="s">
        <v>169</v>
      </c>
      <c r="M323" s="82" t="str">
        <f>IFERROR(__xludf.DUMMYFUNCTION("IFERROR(VLOOKUP(D323,
IMPORTRANGE(""https://docs.google.com/spreadsheets/d/1MjHtlUikwobi2MaWJgy7tfLeBmhj1u-dRFRs_8GwSoA/edit#gid=0"",""Gestores Escolares!D7:J""),3,0),""VERIFICAR CÓD SEC"")"),"ALESSANDRO COELHO MARQUES")</f>
        <v>ALESSANDRO COELHO MARQUES</v>
      </c>
      <c r="N323" s="82" t="str">
        <f>IFERROR(__xludf.DUMMYFUNCTION("IFERROR(VLOOKUP(D323,
IMPORTRANGE(""https://docs.google.com/spreadsheets/d/1MjHtlUikwobi2MaWJgy7tfLeBmhj1u-dRFRs_8GwSoA/edit#gid=0"",""Gestores Escolares!D7:J""),4,0),""VERIFICAR CÓD SEC"")"),"(73) 9 9978-4374")</f>
        <v>(73) 9 9978-4374</v>
      </c>
      <c r="O323" s="82" t="str">
        <f>IFERROR(__xludf.DUMMYFUNCTION("IFERROR(VLOOKUP(D323,
IMPORTRANGE(""https://docs.google.com/spreadsheets/d/1MjHtlUikwobi2MaWJgy7tfLeBmhj1u-dRFRs_8GwSoA/edit#gid=0"",""Gestores Escolares!D7:J""),6,0),""VERIFICAR CÓD SEC"")"),"VALERIA CUNHA ROSARIO LEVITA")</f>
        <v>VALERIA CUNHA ROSARIO LEVITA</v>
      </c>
      <c r="P323" s="82" t="str">
        <f>IFERROR(__xludf.DUMMYFUNCTION("IFERROR(VLOOKUP(D323,
IMPORTRANGE(""https://docs.google.com/spreadsheets/d/1MjHtlUikwobi2MaWJgy7tfLeBmhj1u-dRFRs_8GwSoA/edit#gid=0"",""Gestores Escolares!D7:J""),7,0),""VERIFICAR CÓD SEC"")"),"(73) 9 8248-8925")</f>
        <v>(73) 9 8248-8925</v>
      </c>
      <c r="Q323" s="82" t="str">
        <f>IFERROR(__xludf.DUMMYFUNCTION("IFERROR(VLOOKUP(D323,
IMPORTRANGE(""https://docs.google.com/spreadsheets/d/1MjHtlUikwobi2MaWJgy7tfLeBmhj1u-dRFRs_8GwSoA/edit#gid=0"",""Gestores Escolares!D7:m""),9,0),""VERIFICAR CÓD SEC"")"),"")</f>
        <v/>
      </c>
      <c r="R323" s="82" t="str">
        <f>IFERROR(__xludf.DUMMYFUNCTION("IFERROR(VLOOKUP(D323,
IMPORTRANGE(""https://docs.google.com/spreadsheets/d/1MjHtlUikwobi2MaWJgy7tfLeBmhj1u-dRFRs_8GwSoA/edit#gid=0"",""Gestores Escolares!D7:m""),10,0),""VERIFICAR CÓD SEC"")"),"")</f>
        <v/>
      </c>
      <c r="S323" s="82"/>
      <c r="T323" s="138">
        <v>3.0</v>
      </c>
      <c r="U323" s="217">
        <v>2.0</v>
      </c>
      <c r="V323" s="106">
        <v>0.0</v>
      </c>
      <c r="W323" s="107">
        <v>0.0</v>
      </c>
      <c r="X323" s="107">
        <v>0.0</v>
      </c>
      <c r="Y323" s="107">
        <v>0.0</v>
      </c>
      <c r="Z323" s="80">
        <f t="shared" si="1"/>
        <v>0</v>
      </c>
      <c r="AA323" s="106">
        <v>0.0</v>
      </c>
      <c r="AB323" s="107">
        <v>0.0</v>
      </c>
      <c r="AC323" s="107">
        <v>0.0</v>
      </c>
      <c r="AD323" s="107">
        <v>0.0</v>
      </c>
      <c r="AE323" s="80">
        <f t="shared" si="2"/>
        <v>0</v>
      </c>
      <c r="AF323" s="140">
        <v>0.0</v>
      </c>
      <c r="AG323" s="109">
        <v>0.0</v>
      </c>
      <c r="AH323" s="109">
        <v>27.0</v>
      </c>
      <c r="AI323" s="141">
        <v>0.0</v>
      </c>
      <c r="AJ323" s="80">
        <f t="shared" si="3"/>
        <v>27</v>
      </c>
      <c r="AK323" s="140">
        <v>0.0</v>
      </c>
      <c r="AL323" s="109">
        <v>0.0</v>
      </c>
      <c r="AM323" s="141">
        <v>0.0</v>
      </c>
      <c r="AN323" s="80">
        <f t="shared" si="4"/>
        <v>0</v>
      </c>
      <c r="AO323" s="140">
        <v>0.0</v>
      </c>
      <c r="AP323" s="109">
        <v>0.0</v>
      </c>
      <c r="AQ323" s="109">
        <v>0.0</v>
      </c>
      <c r="AR323" s="80">
        <f t="shared" si="5"/>
        <v>0</v>
      </c>
      <c r="AS323" s="110">
        <v>0.0</v>
      </c>
      <c r="AT323" s="110">
        <v>0.0</v>
      </c>
      <c r="AU323" s="110">
        <v>0.0</v>
      </c>
      <c r="AV323" s="142">
        <v>0.0</v>
      </c>
      <c r="AW323" s="80">
        <f t="shared" si="6"/>
        <v>0</v>
      </c>
      <c r="AX323" s="113">
        <f t="shared" si="7"/>
        <v>27</v>
      </c>
      <c r="AY323" s="117">
        <f t="shared" si="8"/>
        <v>0</v>
      </c>
      <c r="AZ323" s="120">
        <f t="shared" si="9"/>
        <v>27</v>
      </c>
      <c r="BA323" s="115">
        <v>0.0</v>
      </c>
      <c r="BB323" s="89">
        <f t="shared" si="10"/>
        <v>27</v>
      </c>
      <c r="BC323" s="132" t="s">
        <v>373</v>
      </c>
      <c r="BD323" s="143" t="s">
        <v>227</v>
      </c>
      <c r="BE323" s="132" t="s">
        <v>178</v>
      </c>
      <c r="BF323" s="123"/>
      <c r="BG323" s="83">
        <v>1178500.0</v>
      </c>
      <c r="BH323" s="144"/>
      <c r="BI323" s="112">
        <v>3.0</v>
      </c>
      <c r="BJ323" s="98" t="s">
        <v>155</v>
      </c>
      <c r="BK323" s="99">
        <f t="shared" si="11"/>
        <v>0</v>
      </c>
      <c r="BL323" s="99">
        <f t="shared" si="12"/>
        <v>0</v>
      </c>
      <c r="BM323" s="99" t="str">
        <f>IFERROR(__xludf.DUMMYFUNCTION("IFERROR(VLOOKUP(BG323,IMPORTRANGE(""https://docs.google.com/spreadsheets/d/1juPI-Fb8LD0YtltB2mlGEnp_R3UVu1t3wSFPzgCyHXE/edit?gid=0#gid=0"",""GERAL!A2:C""),3,0),""-"")"),"CAMPO")</f>
        <v>CAMPO</v>
      </c>
    </row>
    <row r="324" ht="15.75" customHeight="1">
      <c r="A324" s="111" t="s">
        <v>451</v>
      </c>
      <c r="B324" s="83" t="s">
        <v>1366</v>
      </c>
      <c r="C324" s="83" t="s">
        <v>68</v>
      </c>
      <c r="D324" s="112">
        <v>1112491.0</v>
      </c>
      <c r="E324" s="83"/>
      <c r="F324" s="83">
        <v>2.9294037E7</v>
      </c>
      <c r="G324" s="147" t="s">
        <v>1367</v>
      </c>
      <c r="H324" s="131" t="s">
        <v>1368</v>
      </c>
      <c r="I324" s="98" t="s">
        <v>149</v>
      </c>
      <c r="J324" s="98" t="s">
        <v>150</v>
      </c>
      <c r="K324" s="236" t="s">
        <v>151</v>
      </c>
      <c r="L324" s="236" t="s">
        <v>169</v>
      </c>
      <c r="M324" s="82" t="str">
        <f>IFERROR(__xludf.DUMMYFUNCTION("IFERROR(VLOOKUP(D324,
IMPORTRANGE(""https://docs.google.com/spreadsheets/d/1MjHtlUikwobi2MaWJgy7tfLeBmhj1u-dRFRs_8GwSoA/edit#gid=0"",""Gestores Escolares!D7:J""),3,0),""VERIFICAR CÓD SEC"")"),"LUCIANE FELISBERTO DOS SANTOS")</f>
        <v>LUCIANE FELISBERTO DOS SANTOS</v>
      </c>
      <c r="N324" s="82" t="str">
        <f>IFERROR(__xludf.DUMMYFUNCTION("IFERROR(VLOOKUP(D324,
IMPORTRANGE(""https://docs.google.com/spreadsheets/d/1MjHtlUikwobi2MaWJgy7tfLeBmhj1u-dRFRs_8GwSoA/edit#gid=0"",""Gestores Escolares!D7:J""),4,0),""VERIFICAR CÓD SEC"")"),"(73) 9 8197-0579")</f>
        <v>(73) 9 8197-0579</v>
      </c>
      <c r="O324" s="82" t="str">
        <f>IFERROR(__xludf.DUMMYFUNCTION("IFERROR(VLOOKUP(D324,
IMPORTRANGE(""https://docs.google.com/spreadsheets/d/1MjHtlUikwobi2MaWJgy7tfLeBmhj1u-dRFRs_8GwSoA/edit#gid=0"",""Gestores Escolares!D7:J""),6,0),""VERIFICAR CÓD SEC"")"),"ANNE MARGARETH COSTA MARQUES")</f>
        <v>ANNE MARGARETH COSTA MARQUES</v>
      </c>
      <c r="P324" s="82" t="str">
        <f>IFERROR(__xludf.DUMMYFUNCTION("IFERROR(VLOOKUP(D324,
IMPORTRANGE(""https://docs.google.com/spreadsheets/d/1MjHtlUikwobi2MaWJgy7tfLeBmhj1u-dRFRs_8GwSoA/edit#gid=0"",""Gestores Escolares!D7:J""),7,0),""VERIFICAR CÓD SEC"")"),"(73) 9 8819-6477")</f>
        <v>(73) 9 8819-6477</v>
      </c>
      <c r="Q324" s="82" t="str">
        <f>IFERROR(__xludf.DUMMYFUNCTION("IFERROR(VLOOKUP(D324,
IMPORTRANGE(""https://docs.google.com/spreadsheets/d/1MjHtlUikwobi2MaWJgy7tfLeBmhj1u-dRFRs_8GwSoA/edit#gid=0"",""Gestores Escolares!D7:m""),9,0),""VERIFICAR CÓD SEC"")"),"")</f>
        <v/>
      </c>
      <c r="R324" s="82" t="str">
        <f>IFERROR(__xludf.DUMMYFUNCTION("IFERROR(VLOOKUP(D324,
IMPORTRANGE(""https://docs.google.com/spreadsheets/d/1MjHtlUikwobi2MaWJgy7tfLeBmhj1u-dRFRs_8GwSoA/edit#gid=0"",""Gestores Escolares!D7:m""),10,0),""VERIFICAR CÓD SEC"")"),"")</f>
        <v/>
      </c>
      <c r="S324" s="82"/>
      <c r="T324" s="138">
        <v>6.0</v>
      </c>
      <c r="U324" s="145" t="s">
        <v>4769</v>
      </c>
      <c r="V324" s="106">
        <v>0.0</v>
      </c>
      <c r="W324" s="107">
        <v>0.0</v>
      </c>
      <c r="X324" s="107">
        <v>0.0</v>
      </c>
      <c r="Y324" s="107">
        <v>0.0</v>
      </c>
      <c r="Z324" s="80">
        <f t="shared" si="1"/>
        <v>0</v>
      </c>
      <c r="AA324" s="106">
        <v>0.0</v>
      </c>
      <c r="AB324" s="107">
        <v>0.0</v>
      </c>
      <c r="AC324" s="107">
        <v>0.0</v>
      </c>
      <c r="AD324" s="107">
        <v>0.0</v>
      </c>
      <c r="AE324" s="80">
        <f t="shared" si="2"/>
        <v>0</v>
      </c>
      <c r="AF324" s="140">
        <v>25.0</v>
      </c>
      <c r="AG324" s="109">
        <v>0.0</v>
      </c>
      <c r="AH324" s="109">
        <v>0.0</v>
      </c>
      <c r="AI324" s="141">
        <v>82.0</v>
      </c>
      <c r="AJ324" s="80">
        <f t="shared" si="3"/>
        <v>107</v>
      </c>
      <c r="AK324" s="140">
        <v>0.0</v>
      </c>
      <c r="AL324" s="109">
        <v>0.0</v>
      </c>
      <c r="AM324" s="141">
        <v>0.0</v>
      </c>
      <c r="AN324" s="80">
        <f t="shared" si="4"/>
        <v>0</v>
      </c>
      <c r="AO324" s="140">
        <v>0.0</v>
      </c>
      <c r="AP324" s="109">
        <v>0.0</v>
      </c>
      <c r="AQ324" s="109">
        <v>10.0</v>
      </c>
      <c r="AR324" s="80">
        <f t="shared" si="5"/>
        <v>10</v>
      </c>
      <c r="AS324" s="110">
        <v>0.0</v>
      </c>
      <c r="AT324" s="110">
        <v>0.0</v>
      </c>
      <c r="AU324" s="110">
        <v>50.0</v>
      </c>
      <c r="AV324" s="142">
        <v>30.0</v>
      </c>
      <c r="AW324" s="80">
        <f t="shared" si="6"/>
        <v>80</v>
      </c>
      <c r="AX324" s="113">
        <f t="shared" si="7"/>
        <v>197</v>
      </c>
      <c r="AY324" s="117">
        <f t="shared" si="8"/>
        <v>137</v>
      </c>
      <c r="AZ324" s="120">
        <f t="shared" si="9"/>
        <v>60</v>
      </c>
      <c r="BA324" s="115">
        <v>0.0</v>
      </c>
      <c r="BB324" s="89">
        <f t="shared" si="10"/>
        <v>197</v>
      </c>
      <c r="BC324" s="132" t="s">
        <v>178</v>
      </c>
      <c r="BD324" s="132" t="s">
        <v>178</v>
      </c>
      <c r="BE324" s="132" t="s">
        <v>178</v>
      </c>
      <c r="BF324" s="123"/>
      <c r="BG324" s="83">
        <v>1112491.0</v>
      </c>
      <c r="BH324" s="112"/>
      <c r="BI324" s="112">
        <v>6.0</v>
      </c>
      <c r="BJ324" s="98" t="s">
        <v>155</v>
      </c>
      <c r="BK324" s="99">
        <f t="shared" si="11"/>
        <v>112</v>
      </c>
      <c r="BL324" s="99">
        <f t="shared" si="12"/>
        <v>25</v>
      </c>
      <c r="BM324" s="99" t="str">
        <f>IFERROR(__xludf.DUMMYFUNCTION("IFERROR(VLOOKUP(BG324,IMPORTRANGE(""https://docs.google.com/spreadsheets/d/1juPI-Fb8LD0YtltB2mlGEnp_R3UVu1t3wSFPzgCyHXE/edit?gid=0#gid=0"",""GERAL!A2:C""),3,0),""-"")"),"-")</f>
        <v>-</v>
      </c>
    </row>
    <row r="325" ht="15.75" customHeight="1">
      <c r="A325" s="111" t="s">
        <v>451</v>
      </c>
      <c r="B325" s="83" t="s">
        <v>1370</v>
      </c>
      <c r="C325" s="83" t="s">
        <v>68</v>
      </c>
      <c r="D325" s="112">
        <v>1178186.0</v>
      </c>
      <c r="E325" s="83"/>
      <c r="F325" s="83">
        <v>2.944657E7</v>
      </c>
      <c r="G325" s="119" t="s">
        <v>1371</v>
      </c>
      <c r="H325" s="91" t="s">
        <v>1372</v>
      </c>
      <c r="I325" s="136" t="s">
        <v>1373</v>
      </c>
      <c r="J325" s="83" t="s">
        <v>240</v>
      </c>
      <c r="K325" s="98" t="s">
        <v>151</v>
      </c>
      <c r="L325" s="98" t="s">
        <v>152</v>
      </c>
      <c r="M325" s="82" t="str">
        <f>IFERROR(__xludf.DUMMYFUNCTION("IFERROR(VLOOKUP(D325,
IMPORTRANGE(""https://docs.google.com/spreadsheets/d/1MjHtlUikwobi2MaWJgy7tfLeBmhj1u-dRFRs_8GwSoA/edit#gid=0"",""Gestores Escolares!D7:J""),3,0),""VERIFICAR CÓD SEC"")"),"MAGNOLIA JESUS DA SILVA")</f>
        <v>MAGNOLIA JESUS DA SILVA</v>
      </c>
      <c r="N325" s="82" t="str">
        <f>IFERROR(__xludf.DUMMYFUNCTION("IFERROR(VLOOKUP(D325,
IMPORTRANGE(""https://docs.google.com/spreadsheets/d/1MjHtlUikwobi2MaWJgy7tfLeBmhj1u-dRFRs_8GwSoA/edit#gid=0"",""Gestores Escolares!D7:J""),4,0),""VERIFICAR CÓD SEC"")"),"(73) 9 8843-3333")</f>
        <v>(73) 9 8843-3333</v>
      </c>
      <c r="O325" s="82" t="str">
        <f>IFERROR(__xludf.DUMMYFUNCTION("IFERROR(VLOOKUP(D325,
IMPORTRANGE(""https://docs.google.com/spreadsheets/d/1MjHtlUikwobi2MaWJgy7tfLeBmhj1u-dRFRs_8GwSoA/edit#gid=0"",""Gestores Escolares!D7:J""),6,0),""VERIFICAR CÓD SEC"")"),"MARIA ERENITA SOUZA SANTOS ")</f>
        <v>MARIA ERENITA SOUZA SANTOS </v>
      </c>
      <c r="P325" s="82" t="str">
        <f>IFERROR(__xludf.DUMMYFUNCTION("IFERROR(VLOOKUP(D325,
IMPORTRANGE(""https://docs.google.com/spreadsheets/d/1MjHtlUikwobi2MaWJgy7tfLeBmhj1u-dRFRs_8GwSoA/edit#gid=0"",""Gestores Escolares!D7:J""),7,0),""VERIFICAR CÓD SEC"")"),"(73) 9 8151-8664")</f>
        <v>(73) 9 8151-8664</v>
      </c>
      <c r="Q325" s="82" t="str">
        <f>IFERROR(__xludf.DUMMYFUNCTION("IFERROR(VLOOKUP(D325,
IMPORTRANGE(""https://docs.google.com/spreadsheets/d/1MjHtlUikwobi2MaWJgy7tfLeBmhj1u-dRFRs_8GwSoA/edit#gid=0"",""Gestores Escolares!D7:m""),9,0),""VERIFICAR CÓD SEC"")"),"ROSILENE (COORDENADORA INDIGENA DAS ESCOLAS DO TERRITÓRIO)  
(73) 9 9142-3286")</f>
        <v>ROSILENE (COORDENADORA INDIGENA DAS ESCOLAS DO TERRITÓRIO)  
(73) 9 9142-3286</v>
      </c>
      <c r="R325" s="82" t="str">
        <f>IFERROR(__xludf.DUMMYFUNCTION("IFERROR(VLOOKUP(D325,
IMPORTRANGE(""https://docs.google.com/spreadsheets/d/1MjHtlUikwobi2MaWJgy7tfLeBmhj1u-dRFRs_8GwSoA/edit#gid=0"",""Gestores Escolares!D7:m""),10,0),""VERIFICAR CÓD SEC"")"),"")</f>
        <v/>
      </c>
      <c r="S325" s="82"/>
      <c r="T325" s="138">
        <v>11.0</v>
      </c>
      <c r="U325" s="145">
        <v>6.0</v>
      </c>
      <c r="V325" s="106">
        <v>0.0</v>
      </c>
      <c r="W325" s="107">
        <v>36.0</v>
      </c>
      <c r="X325" s="107">
        <v>0.0</v>
      </c>
      <c r="Y325" s="107">
        <v>0.0</v>
      </c>
      <c r="Z325" s="80">
        <f t="shared" si="1"/>
        <v>36</v>
      </c>
      <c r="AA325" s="106">
        <v>0.0</v>
      </c>
      <c r="AB325" s="107">
        <v>89.0</v>
      </c>
      <c r="AC325" s="107">
        <v>0.0</v>
      </c>
      <c r="AD325" s="107">
        <v>60.0</v>
      </c>
      <c r="AE325" s="80">
        <f t="shared" si="2"/>
        <v>149</v>
      </c>
      <c r="AF325" s="140">
        <v>0.0</v>
      </c>
      <c r="AG325" s="109">
        <v>0.0</v>
      </c>
      <c r="AH325" s="109">
        <v>0.0</v>
      </c>
      <c r="AI325" s="141">
        <v>0.0</v>
      </c>
      <c r="AJ325" s="80">
        <f t="shared" si="3"/>
        <v>0</v>
      </c>
      <c r="AK325" s="140">
        <v>0.0</v>
      </c>
      <c r="AL325" s="109">
        <v>0.0</v>
      </c>
      <c r="AM325" s="141">
        <v>0.0</v>
      </c>
      <c r="AN325" s="80">
        <f t="shared" si="4"/>
        <v>0</v>
      </c>
      <c r="AO325" s="140">
        <v>0.0</v>
      </c>
      <c r="AP325" s="109">
        <v>0.0</v>
      </c>
      <c r="AQ325" s="109">
        <v>0.0</v>
      </c>
      <c r="AR325" s="80">
        <f t="shared" si="5"/>
        <v>0</v>
      </c>
      <c r="AS325" s="110">
        <v>8.0</v>
      </c>
      <c r="AT325" s="110">
        <v>0.0</v>
      </c>
      <c r="AU325" s="110">
        <v>0.0</v>
      </c>
      <c r="AV325" s="142">
        <v>23.0</v>
      </c>
      <c r="AW325" s="80">
        <f t="shared" si="6"/>
        <v>31</v>
      </c>
      <c r="AX325" s="113">
        <f t="shared" si="7"/>
        <v>216</v>
      </c>
      <c r="AY325" s="117">
        <f t="shared" si="8"/>
        <v>216</v>
      </c>
      <c r="AZ325" s="120">
        <f t="shared" si="9"/>
        <v>0</v>
      </c>
      <c r="BA325" s="115">
        <v>0.0</v>
      </c>
      <c r="BB325" s="89">
        <f t="shared" si="10"/>
        <v>216</v>
      </c>
      <c r="BC325" s="143" t="s">
        <v>1294</v>
      </c>
      <c r="BD325" s="132" t="s">
        <v>178</v>
      </c>
      <c r="BE325" s="132" t="s">
        <v>178</v>
      </c>
      <c r="BF325" s="123"/>
      <c r="BG325" s="83">
        <v>1178186.0</v>
      </c>
      <c r="BH325" s="112"/>
      <c r="BI325" s="112">
        <v>6.0</v>
      </c>
      <c r="BJ325" s="98" t="s">
        <v>162</v>
      </c>
      <c r="BK325" s="99">
        <f t="shared" si="11"/>
        <v>83</v>
      </c>
      <c r="BL325" s="99">
        <f t="shared" si="12"/>
        <v>133</v>
      </c>
      <c r="BM325" s="99" t="str">
        <f>IFERROR(__xludf.DUMMYFUNCTION("IFERROR(VLOOKUP(BG325,IMPORTRANGE(""https://docs.google.com/spreadsheets/d/1juPI-Fb8LD0YtltB2mlGEnp_R3UVu1t3wSFPzgCyHXE/edit?gid=0#gid=0"",""GERAL!A2:C""),3,0),""-"")"),"INDÍGENAS")</f>
        <v>INDÍGENAS</v>
      </c>
    </row>
    <row r="326" ht="15.75" customHeight="1">
      <c r="A326" s="111" t="s">
        <v>451</v>
      </c>
      <c r="B326" s="83" t="s">
        <v>1370</v>
      </c>
      <c r="C326" s="83" t="s">
        <v>68</v>
      </c>
      <c r="D326" s="112">
        <v>1111584.0</v>
      </c>
      <c r="E326" s="83"/>
      <c r="F326" s="83">
        <v>2.9294606E7</v>
      </c>
      <c r="G326" s="119" t="s">
        <v>1375</v>
      </c>
      <c r="H326" s="91" t="s">
        <v>1376</v>
      </c>
      <c r="I326" s="83" t="s">
        <v>149</v>
      </c>
      <c r="J326" s="83" t="s">
        <v>150</v>
      </c>
      <c r="K326" s="83" t="s">
        <v>151</v>
      </c>
      <c r="L326" s="98" t="s">
        <v>152</v>
      </c>
      <c r="M326" s="82" t="str">
        <f>IFERROR(__xludf.DUMMYFUNCTION("IFERROR(VLOOKUP(D326,
IMPORTRANGE(""https://docs.google.com/spreadsheets/d/1MjHtlUikwobi2MaWJgy7tfLeBmhj1u-dRFRs_8GwSoA/edit#gid=0"",""Gestores Escolares!D7:J""),3,0),""VERIFICAR CÓD SEC"")"),"VALTER BRITO DA SILVA ")</f>
        <v>VALTER BRITO DA SILVA </v>
      </c>
      <c r="N326" s="82" t="str">
        <f>IFERROR(__xludf.DUMMYFUNCTION("IFERROR(VLOOKUP(D326,
IMPORTRANGE(""https://docs.google.com/spreadsheets/d/1MjHtlUikwobi2MaWJgy7tfLeBmhj1u-dRFRs_8GwSoA/edit#gid=0"",""Gestores Escolares!D7:J""),4,0),""VERIFICAR CÓD SEC"")"),"(73) 9 8848-6680")</f>
        <v>(73) 9 8848-6680</v>
      </c>
      <c r="O326" s="82" t="str">
        <f>IFERROR(__xludf.DUMMYFUNCTION("IFERROR(VLOOKUP(D326,
IMPORTRANGE(""https://docs.google.com/spreadsheets/d/1MjHtlUikwobi2MaWJgy7tfLeBmhj1u-dRFRs_8GwSoA/edit#gid=0"",""Gestores Escolares!D7:J""),6,0),""VERIFICAR CÓD SEC"")"),"EVELINE LACERDA COLL ")</f>
        <v>EVELINE LACERDA COLL </v>
      </c>
      <c r="P326" s="82" t="str">
        <f>IFERROR(__xludf.DUMMYFUNCTION("IFERROR(VLOOKUP(D326,
IMPORTRANGE(""https://docs.google.com/spreadsheets/d/1MjHtlUikwobi2MaWJgy7tfLeBmhj1u-dRFRs_8GwSoA/edit#gid=0"",""Gestores Escolares!D7:J""),7,0),""VERIFICAR CÓD SEC"")"),"(73) 9 9159-4366")</f>
        <v>(73) 9 9159-4366</v>
      </c>
      <c r="Q326" s="82" t="str">
        <f>IFERROR(__xludf.DUMMYFUNCTION("IFERROR(VLOOKUP(D326,
IMPORTRANGE(""https://docs.google.com/spreadsheets/d/1MjHtlUikwobi2MaWJgy7tfLeBmhj1u-dRFRs_8GwSoA/edit#gid=0"",""Gestores Escolares!D7:m""),9,0),""VERIFICAR CÓD SEC"")"),"")</f>
        <v/>
      </c>
      <c r="R326" s="82" t="str">
        <f>IFERROR(__xludf.DUMMYFUNCTION("IFERROR(VLOOKUP(D326,
IMPORTRANGE(""https://docs.google.com/spreadsheets/d/1MjHtlUikwobi2MaWJgy7tfLeBmhj1u-dRFRs_8GwSoA/edit#gid=0"",""Gestores Escolares!D7:m""),10,0),""VERIFICAR CÓD SEC"")"),"")</f>
        <v/>
      </c>
      <c r="S326" s="82"/>
      <c r="T326" s="138">
        <v>10.0</v>
      </c>
      <c r="U326" s="145">
        <v>10.0</v>
      </c>
      <c r="V326" s="106">
        <v>0.0</v>
      </c>
      <c r="W326" s="107">
        <v>0.0</v>
      </c>
      <c r="X326" s="107">
        <v>0.0</v>
      </c>
      <c r="Y326" s="107">
        <v>0.0</v>
      </c>
      <c r="Z326" s="80">
        <f t="shared" si="1"/>
        <v>0</v>
      </c>
      <c r="AA326" s="106">
        <v>0.0</v>
      </c>
      <c r="AB326" s="107">
        <v>0.0</v>
      </c>
      <c r="AC326" s="107">
        <v>0.0</v>
      </c>
      <c r="AD326" s="107">
        <v>0.0</v>
      </c>
      <c r="AE326" s="80">
        <f t="shared" si="2"/>
        <v>0</v>
      </c>
      <c r="AF326" s="140">
        <v>195.0</v>
      </c>
      <c r="AG326" s="109">
        <v>115.0</v>
      </c>
      <c r="AH326" s="109">
        <v>0.0</v>
      </c>
      <c r="AI326" s="141">
        <v>20.0</v>
      </c>
      <c r="AJ326" s="80">
        <f t="shared" si="3"/>
        <v>330</v>
      </c>
      <c r="AK326" s="140">
        <v>0.0</v>
      </c>
      <c r="AL326" s="109">
        <v>0.0</v>
      </c>
      <c r="AM326" s="141">
        <v>0.0</v>
      </c>
      <c r="AN326" s="80">
        <f t="shared" si="4"/>
        <v>0</v>
      </c>
      <c r="AO326" s="140">
        <v>0.0</v>
      </c>
      <c r="AP326" s="109">
        <v>0.0</v>
      </c>
      <c r="AQ326" s="109">
        <v>75.0</v>
      </c>
      <c r="AR326" s="80">
        <f t="shared" si="5"/>
        <v>75</v>
      </c>
      <c r="AS326" s="110">
        <v>0.0</v>
      </c>
      <c r="AT326" s="110">
        <v>0.0</v>
      </c>
      <c r="AU326" s="110">
        <v>0.0</v>
      </c>
      <c r="AV326" s="142">
        <v>81.0</v>
      </c>
      <c r="AW326" s="80">
        <f t="shared" si="6"/>
        <v>81</v>
      </c>
      <c r="AX326" s="113">
        <f t="shared" si="7"/>
        <v>486</v>
      </c>
      <c r="AY326" s="117">
        <f t="shared" si="8"/>
        <v>411</v>
      </c>
      <c r="AZ326" s="120">
        <f t="shared" si="9"/>
        <v>75</v>
      </c>
      <c r="BA326" s="115">
        <v>0.0</v>
      </c>
      <c r="BB326" s="89">
        <f t="shared" si="10"/>
        <v>486</v>
      </c>
      <c r="BC326" s="132" t="s">
        <v>178</v>
      </c>
      <c r="BD326" s="132" t="s">
        <v>178</v>
      </c>
      <c r="BE326" s="132" t="s">
        <v>178</v>
      </c>
      <c r="BF326" s="123"/>
      <c r="BG326" s="83">
        <v>1111584.0</v>
      </c>
      <c r="BH326" s="112"/>
      <c r="BI326" s="112">
        <v>10.0</v>
      </c>
      <c r="BJ326" s="98" t="s">
        <v>155</v>
      </c>
      <c r="BK326" s="99">
        <f t="shared" si="11"/>
        <v>101</v>
      </c>
      <c r="BL326" s="99">
        <f t="shared" si="12"/>
        <v>310</v>
      </c>
      <c r="BM326" s="99" t="str">
        <f>IFERROR(__xludf.DUMMYFUNCTION("IFERROR(VLOOKUP(BG326,IMPORTRANGE(""https://docs.google.com/spreadsheets/d/1juPI-Fb8LD0YtltB2mlGEnp_R3UVu1t3wSFPzgCyHXE/edit?gid=0#gid=0"",""GERAL!A2:C""),3,0),""-"")"),"-")</f>
        <v>-</v>
      </c>
    </row>
    <row r="327" ht="15.75" customHeight="1">
      <c r="A327" s="111" t="s">
        <v>451</v>
      </c>
      <c r="B327" s="83" t="s">
        <v>1378</v>
      </c>
      <c r="C327" s="83" t="s">
        <v>68</v>
      </c>
      <c r="D327" s="112">
        <v>1111797.0</v>
      </c>
      <c r="E327" s="83"/>
      <c r="F327" s="83">
        <v>2.9295866E7</v>
      </c>
      <c r="G327" s="119" t="s">
        <v>1379</v>
      </c>
      <c r="H327" s="91" t="s">
        <v>1380</v>
      </c>
      <c r="I327" s="136" t="s">
        <v>149</v>
      </c>
      <c r="J327" s="83" t="s">
        <v>150</v>
      </c>
      <c r="K327" s="83" t="s">
        <v>151</v>
      </c>
      <c r="L327" s="83" t="s">
        <v>152</v>
      </c>
      <c r="M327" s="82" t="str">
        <f>IFERROR(__xludf.DUMMYFUNCTION("IFERROR(VLOOKUP(D327,
IMPORTRANGE(""https://docs.google.com/spreadsheets/d/1MjHtlUikwobi2MaWJgy7tfLeBmhj1u-dRFRs_8GwSoA/edit#gid=0"",""Gestores Escolares!D7:J""),3,0),""VERIFICAR CÓD SEC"")"),"VAGNER GONCALVES  VIANA ")</f>
        <v>VAGNER GONCALVES  VIANA </v>
      </c>
      <c r="N327" s="82" t="str">
        <f>IFERROR(__xludf.DUMMYFUNCTION("IFERROR(VLOOKUP(D327,
IMPORTRANGE(""https://docs.google.com/spreadsheets/d/1MjHtlUikwobi2MaWJgy7tfLeBmhj1u-dRFRs_8GwSoA/edit#gid=0"",""Gestores Escolares!D7:J""),4,0),""VERIFICAR CÓD SEC"")"),"(73) 9 9122-8373")</f>
        <v>(73) 9 9122-8373</v>
      </c>
      <c r="O327" s="82" t="str">
        <f>IFERROR(__xludf.DUMMYFUNCTION("IFERROR(VLOOKUP(D327,
IMPORTRANGE(""https://docs.google.com/spreadsheets/d/1MjHtlUikwobi2MaWJgy7tfLeBmhj1u-dRFRs_8GwSoA/edit#gid=0"",""Gestores Escolares!D7:J""),6,0),""VERIFICAR CÓD SEC"")"),"PATRICIA DA SILVA SANTANA BOMFIM")</f>
        <v>PATRICIA DA SILVA SANTANA BOMFIM</v>
      </c>
      <c r="P327" s="82" t="str">
        <f>IFERROR(__xludf.DUMMYFUNCTION("IFERROR(VLOOKUP(D327,
IMPORTRANGE(""https://docs.google.com/spreadsheets/d/1MjHtlUikwobi2MaWJgy7tfLeBmhj1u-dRFRs_8GwSoA/edit#gid=0"",""Gestores Escolares!D7:J""),7,0),""VERIFICAR CÓD SEC"")"),"(73) 9 8143-2264")</f>
        <v>(73) 9 8143-2264</v>
      </c>
      <c r="Q327" s="82" t="str">
        <f>IFERROR(__xludf.DUMMYFUNCTION("IFERROR(VLOOKUP(D327,
IMPORTRANGE(""https://docs.google.com/spreadsheets/d/1MjHtlUikwobi2MaWJgy7tfLeBmhj1u-dRFRs_8GwSoA/edit#gid=0"",""Gestores Escolares!D7:m""),9,0),""VERIFICAR CÓD SEC"")"),"VALNEIDE BORGES CAMPOS")</f>
        <v>VALNEIDE BORGES CAMPOS</v>
      </c>
      <c r="R327" s="82" t="str">
        <f>IFERROR(__xludf.DUMMYFUNCTION("IFERROR(VLOOKUP(D327,
IMPORTRANGE(""https://docs.google.com/spreadsheets/d/1MjHtlUikwobi2MaWJgy7tfLeBmhj1u-dRFRs_8GwSoA/edit#gid=0"",""Gestores Escolares!D7:m""),10,0),""VERIFICAR CÓD SEC"")"),"(73) 9 8844-0684")</f>
        <v>(73) 9 8844-0684</v>
      </c>
      <c r="S327" s="82"/>
      <c r="T327" s="138">
        <v>15.0</v>
      </c>
      <c r="U327" s="145" t="s">
        <v>4802</v>
      </c>
      <c r="V327" s="106">
        <v>0.0</v>
      </c>
      <c r="W327" s="107">
        <v>0.0</v>
      </c>
      <c r="X327" s="107">
        <v>0.0</v>
      </c>
      <c r="Y327" s="107">
        <v>0.0</v>
      </c>
      <c r="Z327" s="80">
        <f t="shared" si="1"/>
        <v>0</v>
      </c>
      <c r="AA327" s="106">
        <v>0.0</v>
      </c>
      <c r="AB327" s="107">
        <v>0.0</v>
      </c>
      <c r="AC327" s="107">
        <v>0.0</v>
      </c>
      <c r="AD327" s="107">
        <v>0.0</v>
      </c>
      <c r="AE327" s="80">
        <f t="shared" si="2"/>
        <v>0</v>
      </c>
      <c r="AF327" s="140">
        <v>0.0</v>
      </c>
      <c r="AG327" s="109">
        <v>0.0</v>
      </c>
      <c r="AH327" s="109">
        <v>0.0</v>
      </c>
      <c r="AI327" s="141">
        <v>300.0</v>
      </c>
      <c r="AJ327" s="80">
        <f t="shared" si="3"/>
        <v>300</v>
      </c>
      <c r="AK327" s="140">
        <v>0.0</v>
      </c>
      <c r="AL327" s="109">
        <v>0.0</v>
      </c>
      <c r="AM327" s="141">
        <v>0.0</v>
      </c>
      <c r="AN327" s="80">
        <f t="shared" si="4"/>
        <v>0</v>
      </c>
      <c r="AO327" s="140">
        <v>0.0</v>
      </c>
      <c r="AP327" s="109">
        <v>0.0</v>
      </c>
      <c r="AQ327" s="109">
        <v>100.0</v>
      </c>
      <c r="AR327" s="80">
        <f t="shared" si="5"/>
        <v>100</v>
      </c>
      <c r="AS327" s="110">
        <v>0.0</v>
      </c>
      <c r="AT327" s="110">
        <v>0.0</v>
      </c>
      <c r="AU327" s="110">
        <v>0.0</v>
      </c>
      <c r="AV327" s="142">
        <v>171.0</v>
      </c>
      <c r="AW327" s="80">
        <f t="shared" si="6"/>
        <v>171</v>
      </c>
      <c r="AX327" s="113">
        <f t="shared" si="7"/>
        <v>571</v>
      </c>
      <c r="AY327" s="117">
        <f t="shared" si="8"/>
        <v>471</v>
      </c>
      <c r="AZ327" s="120">
        <f t="shared" si="9"/>
        <v>100</v>
      </c>
      <c r="BA327" s="115">
        <v>0.0</v>
      </c>
      <c r="BB327" s="89">
        <f t="shared" si="10"/>
        <v>571</v>
      </c>
      <c r="BC327" s="132" t="s">
        <v>178</v>
      </c>
      <c r="BD327" s="132" t="s">
        <v>178</v>
      </c>
      <c r="BE327" s="132" t="s">
        <v>178</v>
      </c>
      <c r="BF327" s="123"/>
      <c r="BG327" s="83">
        <v>1111797.0</v>
      </c>
      <c r="BH327" s="112"/>
      <c r="BI327" s="112">
        <v>13.0</v>
      </c>
      <c r="BJ327" s="98" t="s">
        <v>284</v>
      </c>
      <c r="BK327" s="99">
        <f t="shared" si="11"/>
        <v>471</v>
      </c>
      <c r="BL327" s="99">
        <f t="shared" si="12"/>
        <v>0</v>
      </c>
      <c r="BM327" s="99" t="str">
        <f>IFERROR(__xludf.DUMMYFUNCTION("IFERROR(VLOOKUP(BG327,IMPORTRANGE(""https://docs.google.com/spreadsheets/d/1juPI-Fb8LD0YtltB2mlGEnp_R3UVu1t3wSFPzgCyHXE/edit?gid=0#gid=0"",""GERAL!A2:C""),3,0),""-"")"),"-")</f>
        <v>-</v>
      </c>
    </row>
    <row r="328" ht="15.75" customHeight="1">
      <c r="A328" s="111" t="s">
        <v>451</v>
      </c>
      <c r="B328" s="83" t="s">
        <v>1378</v>
      </c>
      <c r="C328" s="83" t="s">
        <v>68</v>
      </c>
      <c r="D328" s="112">
        <v>1176394.0</v>
      </c>
      <c r="E328" s="83"/>
      <c r="F328" s="83">
        <v>2.9351502E7</v>
      </c>
      <c r="G328" s="119" t="s">
        <v>1383</v>
      </c>
      <c r="H328" s="91" t="s">
        <v>1384</v>
      </c>
      <c r="I328" s="136" t="s">
        <v>1385</v>
      </c>
      <c r="J328" s="83" t="s">
        <v>1386</v>
      </c>
      <c r="K328" s="83" t="s">
        <v>151</v>
      </c>
      <c r="L328" s="83" t="s">
        <v>169</v>
      </c>
      <c r="M328" s="82" t="str">
        <f>IFERROR(__xludf.DUMMYFUNCTION("IFERROR(VLOOKUP(D328,
IMPORTRANGE(""https://docs.google.com/spreadsheets/d/1MjHtlUikwobi2MaWJgy7tfLeBmhj1u-dRFRs_8GwSoA/edit#gid=0"",""Gestores Escolares!D7:J""),3,0),""VERIFICAR CÓD SEC"")"),"ELIZETE VERONICA SILVA DE ARGOLO")</f>
        <v>ELIZETE VERONICA SILVA DE ARGOLO</v>
      </c>
      <c r="N328" s="82" t="str">
        <f>IFERROR(__xludf.DUMMYFUNCTION("IFERROR(VLOOKUP(D328,
IMPORTRANGE(""https://docs.google.com/spreadsheets/d/1MjHtlUikwobi2MaWJgy7tfLeBmhj1u-dRFRs_8GwSoA/edit#gid=0"",""Gestores Escolares!D7:J""),4,0),""VERIFICAR CÓD SEC"")"),"(73) 9 8118-1492")</f>
        <v>(73) 9 8118-1492</v>
      </c>
      <c r="O328" s="82" t="str">
        <f>IFERROR(__xludf.DUMMYFUNCTION("IFERROR(VLOOKUP(D328,
IMPORTRANGE(""https://docs.google.com/spreadsheets/d/1MjHtlUikwobi2MaWJgy7tfLeBmhj1u-dRFRs_8GwSoA/edit#gid=0"",""Gestores Escolares!D7:J""),6,0),""VERIFICAR CÓD SEC"")"),"")</f>
        <v/>
      </c>
      <c r="P328" s="82" t="str">
        <f>IFERROR(__xludf.DUMMYFUNCTION("IFERROR(VLOOKUP(D328,
IMPORTRANGE(""https://docs.google.com/spreadsheets/d/1MjHtlUikwobi2MaWJgy7tfLeBmhj1u-dRFRs_8GwSoA/edit#gid=0"",""Gestores Escolares!D7:J""),7,0),""VERIFICAR CÓD SEC"")"),"")</f>
        <v/>
      </c>
      <c r="Q328" s="82" t="str">
        <f>IFERROR(__xludf.DUMMYFUNCTION("IFERROR(VLOOKUP(D328,
IMPORTRANGE(""https://docs.google.com/spreadsheets/d/1MjHtlUikwobi2MaWJgy7tfLeBmhj1u-dRFRs_8GwSoA/edit#gid=0"",""Gestores Escolares!D7:m""),9,0),""VERIFICAR CÓD SEC"")"),"")</f>
        <v/>
      </c>
      <c r="R328" s="82" t="str">
        <f>IFERROR(__xludf.DUMMYFUNCTION("IFERROR(VLOOKUP(D328,
IMPORTRANGE(""https://docs.google.com/spreadsheets/d/1MjHtlUikwobi2MaWJgy7tfLeBmhj1u-dRFRs_8GwSoA/edit#gid=0"",""Gestores Escolares!D7:m""),10,0),""VERIFICAR CÓD SEC"")"),"")</f>
        <v/>
      </c>
      <c r="S328" s="82"/>
      <c r="T328" s="138">
        <v>10.0</v>
      </c>
      <c r="U328" s="145">
        <v>12.0</v>
      </c>
      <c r="V328" s="106">
        <v>0.0</v>
      </c>
      <c r="W328" s="107">
        <v>0.0</v>
      </c>
      <c r="X328" s="107">
        <v>0.0</v>
      </c>
      <c r="Y328" s="107">
        <v>0.0</v>
      </c>
      <c r="Z328" s="80">
        <f t="shared" si="1"/>
        <v>0</v>
      </c>
      <c r="AA328" s="106">
        <v>0.0</v>
      </c>
      <c r="AB328" s="107">
        <v>0.0</v>
      </c>
      <c r="AC328" s="107">
        <v>0.0</v>
      </c>
      <c r="AD328" s="107">
        <v>0.0</v>
      </c>
      <c r="AE328" s="80">
        <f t="shared" si="2"/>
        <v>0</v>
      </c>
      <c r="AF328" s="140">
        <v>75.0</v>
      </c>
      <c r="AG328" s="109">
        <v>0.0</v>
      </c>
      <c r="AH328" s="109">
        <v>0.0</v>
      </c>
      <c r="AI328" s="141">
        <v>37.0</v>
      </c>
      <c r="AJ328" s="80">
        <f t="shared" si="3"/>
        <v>112</v>
      </c>
      <c r="AK328" s="140">
        <v>0.0</v>
      </c>
      <c r="AL328" s="109">
        <v>0.0</v>
      </c>
      <c r="AM328" s="141">
        <v>0.0</v>
      </c>
      <c r="AN328" s="80">
        <f t="shared" si="4"/>
        <v>0</v>
      </c>
      <c r="AO328" s="140">
        <v>0.0</v>
      </c>
      <c r="AP328" s="109">
        <v>0.0</v>
      </c>
      <c r="AQ328" s="109">
        <v>37.0</v>
      </c>
      <c r="AR328" s="80">
        <f t="shared" si="5"/>
        <v>37</v>
      </c>
      <c r="AS328" s="110">
        <v>0.0</v>
      </c>
      <c r="AT328" s="110">
        <v>0.0</v>
      </c>
      <c r="AU328" s="110">
        <v>22.0</v>
      </c>
      <c r="AV328" s="142">
        <v>27.0</v>
      </c>
      <c r="AW328" s="80">
        <f t="shared" si="6"/>
        <v>49</v>
      </c>
      <c r="AX328" s="113">
        <f t="shared" si="7"/>
        <v>198</v>
      </c>
      <c r="AY328" s="117">
        <f t="shared" si="8"/>
        <v>139</v>
      </c>
      <c r="AZ328" s="120">
        <f t="shared" si="9"/>
        <v>59</v>
      </c>
      <c r="BA328" s="115">
        <v>0.0</v>
      </c>
      <c r="BB328" s="89">
        <f t="shared" si="10"/>
        <v>198</v>
      </c>
      <c r="BC328" s="132" t="s">
        <v>178</v>
      </c>
      <c r="BD328" s="132" t="s">
        <v>178</v>
      </c>
      <c r="BE328" s="132" t="s">
        <v>178</v>
      </c>
      <c r="BF328" s="156"/>
      <c r="BG328" s="83">
        <v>1176394.0</v>
      </c>
      <c r="BH328" s="98"/>
      <c r="BI328" s="98">
        <v>4.0</v>
      </c>
      <c r="BJ328" s="98" t="s">
        <v>155</v>
      </c>
      <c r="BK328" s="99">
        <f t="shared" si="11"/>
        <v>64</v>
      </c>
      <c r="BL328" s="99">
        <f t="shared" si="12"/>
        <v>75</v>
      </c>
      <c r="BM328" s="99" t="str">
        <f>IFERROR(__xludf.DUMMYFUNCTION("IFERROR(VLOOKUP(BG328,IMPORTRANGE(""https://docs.google.com/spreadsheets/d/1juPI-Fb8LD0YtltB2mlGEnp_R3UVu1t3wSFPzgCyHXE/edit?gid=0#gid=0"",""GERAL!A2:C""),3,0),""-"")"),"-")</f>
        <v>-</v>
      </c>
    </row>
    <row r="329" ht="15.75" customHeight="1">
      <c r="A329" s="111" t="s">
        <v>451</v>
      </c>
      <c r="B329" s="83" t="s">
        <v>1388</v>
      </c>
      <c r="C329" s="83" t="s">
        <v>68</v>
      </c>
      <c r="D329" s="112">
        <v>1178107.0</v>
      </c>
      <c r="E329" s="83"/>
      <c r="F329" s="83">
        <v>2.9436184E7</v>
      </c>
      <c r="G329" s="119" t="s">
        <v>1389</v>
      </c>
      <c r="H329" s="91" t="s">
        <v>1390</v>
      </c>
      <c r="I329" s="136" t="s">
        <v>149</v>
      </c>
      <c r="J329" s="83" t="s">
        <v>150</v>
      </c>
      <c r="K329" s="83" t="s">
        <v>151</v>
      </c>
      <c r="L329" s="98" t="s">
        <v>1391</v>
      </c>
      <c r="M329" s="82" t="str">
        <f>IFERROR(__xludf.DUMMYFUNCTION("IFERROR(VLOOKUP(D329,
IMPORTRANGE(""https://docs.google.com/spreadsheets/d/1MjHtlUikwobi2MaWJgy7tfLeBmhj1u-dRFRs_8GwSoA/edit#gid=0"",""Gestores Escolares!D7:J""),3,0),""VERIFICAR CÓD SEC"")"),"SILVAN AVELINO DOS SANTOS")</f>
        <v>SILVAN AVELINO DOS SANTOS</v>
      </c>
      <c r="N329" s="82" t="str">
        <f>IFERROR(__xludf.DUMMYFUNCTION("IFERROR(VLOOKUP(D329,
IMPORTRANGE(""https://docs.google.com/spreadsheets/d/1MjHtlUikwobi2MaWJgy7tfLeBmhj1u-dRFRs_8GwSoA/edit#gid=0"",""Gestores Escolares!D7:J""),4,0),""VERIFICAR CÓD SEC"")"),"(73) 9 9995-9170")</f>
        <v>(73) 9 9995-9170</v>
      </c>
      <c r="O329" s="82" t="str">
        <f>IFERROR(__xludf.DUMMYFUNCTION("IFERROR(VLOOKUP(D329,
IMPORTRANGE(""https://docs.google.com/spreadsheets/d/1MjHtlUikwobi2MaWJgy7tfLeBmhj1u-dRFRs_8GwSoA/edit#gid=0"",""Gestores Escolares!D7:J""),6,0),""VERIFICAR CÓD SEC"")"),"VALQUIRIA SANTOS DE SOUZA")</f>
        <v>VALQUIRIA SANTOS DE SOUZA</v>
      </c>
      <c r="P329" s="82" t="str">
        <f>IFERROR(__xludf.DUMMYFUNCTION("IFERROR(VLOOKUP(D329,
IMPORTRANGE(""https://docs.google.com/spreadsheets/d/1MjHtlUikwobi2MaWJgy7tfLeBmhj1u-dRFRs_8GwSoA/edit#gid=0"",""Gestores Escolares!D7:J""),7,0),""VERIFICAR CÓD SEC"")"),"(73) 9 9121-0693")</f>
        <v>(73) 9 9121-0693</v>
      </c>
      <c r="Q329" s="82" t="str">
        <f>IFERROR(__xludf.DUMMYFUNCTION("IFERROR(VLOOKUP(D329,
IMPORTRANGE(""https://docs.google.com/spreadsheets/d/1MjHtlUikwobi2MaWJgy7tfLeBmhj1u-dRFRs_8GwSoA/edit#gid=0"",""Gestores Escolares!D7:m""),9,0),""VERIFICAR CÓD SEC"")")," INGRID MARIA PELUZO DOS SANTOS SEARA")</f>
        <v> INGRID MARIA PELUZO DOS SANTOS SEARA</v>
      </c>
      <c r="R329" s="82" t="str">
        <f>IFERROR(__xludf.DUMMYFUNCTION("IFERROR(VLOOKUP(D329,
IMPORTRANGE(""https://docs.google.com/spreadsheets/d/1MjHtlUikwobi2MaWJgy7tfLeBmhj1u-dRFRs_8GwSoA/edit#gid=0"",""Gestores Escolares!D7:m""),10,0),""VERIFICAR CÓD SEC"")"),"(73) 9 9818-6701")</f>
        <v>(73) 9 9818-6701</v>
      </c>
      <c r="S329" s="82"/>
      <c r="T329" s="138">
        <v>15.0</v>
      </c>
      <c r="U329" s="145" t="s">
        <v>4839</v>
      </c>
      <c r="V329" s="106">
        <v>0.0</v>
      </c>
      <c r="W329" s="107">
        <v>0.0</v>
      </c>
      <c r="X329" s="107">
        <v>0.0</v>
      </c>
      <c r="Y329" s="107">
        <v>0.0</v>
      </c>
      <c r="Z329" s="80">
        <f t="shared" si="1"/>
        <v>0</v>
      </c>
      <c r="AA329" s="106">
        <v>0.0</v>
      </c>
      <c r="AB329" s="107">
        <v>0.0</v>
      </c>
      <c r="AC329" s="107">
        <v>0.0</v>
      </c>
      <c r="AD329" s="107">
        <v>0.0</v>
      </c>
      <c r="AE329" s="80">
        <f t="shared" si="2"/>
        <v>0</v>
      </c>
      <c r="AF329" s="140">
        <v>263.0</v>
      </c>
      <c r="AG329" s="109">
        <v>187.0</v>
      </c>
      <c r="AH329" s="109">
        <v>0.0</v>
      </c>
      <c r="AI329" s="141">
        <v>154.0</v>
      </c>
      <c r="AJ329" s="80">
        <f t="shared" si="3"/>
        <v>604</v>
      </c>
      <c r="AK329" s="140">
        <v>0.0</v>
      </c>
      <c r="AL329" s="109">
        <v>0.0</v>
      </c>
      <c r="AM329" s="141">
        <v>0.0</v>
      </c>
      <c r="AN329" s="80">
        <f t="shared" si="4"/>
        <v>0</v>
      </c>
      <c r="AO329" s="140">
        <v>0.0</v>
      </c>
      <c r="AP329" s="109">
        <v>0.0</v>
      </c>
      <c r="AQ329" s="109">
        <v>204.0</v>
      </c>
      <c r="AR329" s="80">
        <f t="shared" si="5"/>
        <v>204</v>
      </c>
      <c r="AS329" s="110">
        <v>24.0</v>
      </c>
      <c r="AT329" s="110">
        <v>0.0</v>
      </c>
      <c r="AU329" s="110">
        <v>23.0</v>
      </c>
      <c r="AV329" s="142">
        <v>26.0</v>
      </c>
      <c r="AW329" s="80">
        <f t="shared" si="6"/>
        <v>73</v>
      </c>
      <c r="AX329" s="113">
        <f t="shared" si="7"/>
        <v>881</v>
      </c>
      <c r="AY329" s="117">
        <f t="shared" si="8"/>
        <v>654</v>
      </c>
      <c r="AZ329" s="120">
        <f t="shared" si="9"/>
        <v>227</v>
      </c>
      <c r="BA329" s="115">
        <v>0.0</v>
      </c>
      <c r="BB329" s="89">
        <f t="shared" si="10"/>
        <v>881</v>
      </c>
      <c r="BC329" s="132" t="s">
        <v>178</v>
      </c>
      <c r="BD329" s="132" t="s">
        <v>178</v>
      </c>
      <c r="BE329" s="132" t="s">
        <v>178</v>
      </c>
      <c r="BF329" s="123"/>
      <c r="BG329" s="83">
        <v>1178107.0</v>
      </c>
      <c r="BH329" s="112"/>
      <c r="BI329" s="112">
        <v>18.0</v>
      </c>
      <c r="BJ329" s="98" t="s">
        <v>284</v>
      </c>
      <c r="BK329" s="99">
        <f t="shared" si="11"/>
        <v>180</v>
      </c>
      <c r="BL329" s="99">
        <f t="shared" si="12"/>
        <v>474</v>
      </c>
      <c r="BM329" s="99" t="str">
        <f>IFERROR(__xludf.DUMMYFUNCTION("IFERROR(VLOOKUP(BG329,IMPORTRANGE(""https://docs.google.com/spreadsheets/d/1juPI-Fb8LD0YtltB2mlGEnp_R3UVu1t3wSFPzgCyHXE/edit?gid=0#gid=0"",""GERAL!A2:C""),3,0),""-"")"),"-")</f>
        <v>-</v>
      </c>
    </row>
    <row r="330" ht="15.75" customHeight="1">
      <c r="A330" s="111" t="s">
        <v>451</v>
      </c>
      <c r="B330" s="83" t="s">
        <v>1388</v>
      </c>
      <c r="C330" s="83" t="s">
        <v>164</v>
      </c>
      <c r="D330" s="112">
        <v>1179701.0</v>
      </c>
      <c r="E330" s="98">
        <v>1179800.0</v>
      </c>
      <c r="F330" s="98">
        <v>2.9482267E7</v>
      </c>
      <c r="G330" s="147" t="s">
        <v>1394</v>
      </c>
      <c r="H330" s="108" t="s">
        <v>1395</v>
      </c>
      <c r="I330" s="83"/>
      <c r="J330" s="83"/>
      <c r="K330" s="83" t="s">
        <v>168</v>
      </c>
      <c r="L330" s="83"/>
      <c r="M330" s="82" t="str">
        <f>IFERROR(__xludf.DUMMYFUNCTION("IFERROR(VLOOKUP(D330,
IMPORTRANGE(""https://docs.google.com/spreadsheets/d/1MjHtlUikwobi2MaWJgy7tfLeBmhj1u-dRFRs_8GwSoA/edit#gid=0"",""Gestores Escolares!D7:J""),3,0),""VERIFICAR CÓD SEC"")"),"ALESSANDRO COELHO MARQUES")</f>
        <v>ALESSANDRO COELHO MARQUES</v>
      </c>
      <c r="N330" s="82" t="str">
        <f>IFERROR(__xludf.DUMMYFUNCTION("IFERROR(VLOOKUP(D330,
IMPORTRANGE(""https://docs.google.com/spreadsheets/d/1MjHtlUikwobi2MaWJgy7tfLeBmhj1u-dRFRs_8GwSoA/edit#gid=0"",""Gestores Escolares!D7:J""),4,0),""VERIFICAR CÓD SEC"")"),"(73) 9 9978-4374")</f>
        <v>(73) 9 9978-4374</v>
      </c>
      <c r="O330" s="82" t="str">
        <f>IFERROR(__xludf.DUMMYFUNCTION("IFERROR(VLOOKUP(D330,
IMPORTRANGE(""https://docs.google.com/spreadsheets/d/1MjHtlUikwobi2MaWJgy7tfLeBmhj1u-dRFRs_8GwSoA/edit#gid=0"",""Gestores Escolares!D7:J""),6,0),""VERIFICAR CÓD SEC"")"),"VALERIA CUNHA ROSARIO LEVITA")</f>
        <v>VALERIA CUNHA ROSARIO LEVITA</v>
      </c>
      <c r="P330" s="82" t="str">
        <f>IFERROR(__xludf.DUMMYFUNCTION("IFERROR(VLOOKUP(D330,
IMPORTRANGE(""https://docs.google.com/spreadsheets/d/1MjHtlUikwobi2MaWJgy7tfLeBmhj1u-dRFRs_8GwSoA/edit#gid=0"",""Gestores Escolares!D7:J""),7,0),""VERIFICAR CÓD SEC"")"),"(73) 9 8248-8925")</f>
        <v>(73) 9 8248-8925</v>
      </c>
      <c r="Q330" s="82" t="str">
        <f>IFERROR(__xludf.DUMMYFUNCTION("IFERROR(VLOOKUP(D330,
IMPORTRANGE(""https://docs.google.com/spreadsheets/d/1MjHtlUikwobi2MaWJgy7tfLeBmhj1u-dRFRs_8GwSoA/edit#gid=0"",""Gestores Escolares!D7:m""),9,0),""VERIFICAR CÓD SEC"")"),"")</f>
        <v/>
      </c>
      <c r="R330" s="82" t="str">
        <f>IFERROR(__xludf.DUMMYFUNCTION("IFERROR(VLOOKUP(D330,
IMPORTRANGE(""https://docs.google.com/spreadsheets/d/1MjHtlUikwobi2MaWJgy7tfLeBmhj1u-dRFRs_8GwSoA/edit#gid=0"",""Gestores Escolares!D7:m""),10,0),""VERIFICAR CÓD SEC"")"),"")</f>
        <v/>
      </c>
      <c r="S330" s="82"/>
      <c r="T330" s="138"/>
      <c r="U330" s="145"/>
      <c r="V330" s="106">
        <v>0.0</v>
      </c>
      <c r="W330" s="107">
        <v>0.0</v>
      </c>
      <c r="X330" s="107">
        <v>0.0</v>
      </c>
      <c r="Y330" s="107">
        <v>0.0</v>
      </c>
      <c r="Z330" s="80">
        <f t="shared" si="1"/>
        <v>0</v>
      </c>
      <c r="AA330" s="106">
        <v>0.0</v>
      </c>
      <c r="AB330" s="107">
        <v>0.0</v>
      </c>
      <c r="AC330" s="107">
        <v>0.0</v>
      </c>
      <c r="AD330" s="107">
        <v>0.0</v>
      </c>
      <c r="AE330" s="80">
        <f t="shared" si="2"/>
        <v>0</v>
      </c>
      <c r="AF330" s="140">
        <v>0.0</v>
      </c>
      <c r="AG330" s="109">
        <v>0.0</v>
      </c>
      <c r="AH330" s="109">
        <v>6.0</v>
      </c>
      <c r="AI330" s="141">
        <v>0.0</v>
      </c>
      <c r="AJ330" s="80">
        <f t="shared" si="3"/>
        <v>6</v>
      </c>
      <c r="AK330" s="140">
        <v>0.0</v>
      </c>
      <c r="AL330" s="109">
        <v>0.0</v>
      </c>
      <c r="AM330" s="141">
        <v>0.0</v>
      </c>
      <c r="AN330" s="80">
        <f t="shared" si="4"/>
        <v>0</v>
      </c>
      <c r="AO330" s="140">
        <v>0.0</v>
      </c>
      <c r="AP330" s="109">
        <v>0.0</v>
      </c>
      <c r="AQ330" s="109">
        <v>0.0</v>
      </c>
      <c r="AR330" s="80">
        <f t="shared" si="5"/>
        <v>0</v>
      </c>
      <c r="AS330" s="110">
        <v>0.0</v>
      </c>
      <c r="AT330" s="110">
        <v>0.0</v>
      </c>
      <c r="AU330" s="110">
        <v>0.0</v>
      </c>
      <c r="AV330" s="142">
        <v>0.0</v>
      </c>
      <c r="AW330" s="80">
        <f t="shared" si="6"/>
        <v>0</v>
      </c>
      <c r="AX330" s="113">
        <f t="shared" si="7"/>
        <v>6</v>
      </c>
      <c r="AY330" s="117">
        <f t="shared" si="8"/>
        <v>0</v>
      </c>
      <c r="AZ330" s="120">
        <f t="shared" si="9"/>
        <v>6</v>
      </c>
      <c r="BA330" s="115">
        <v>0.0</v>
      </c>
      <c r="BB330" s="89">
        <f t="shared" si="10"/>
        <v>6</v>
      </c>
      <c r="BC330" s="132"/>
      <c r="BD330" s="132" t="s">
        <v>227</v>
      </c>
      <c r="BE330" s="132"/>
      <c r="BF330" s="123"/>
      <c r="BG330" s="98">
        <v>1179800.0</v>
      </c>
      <c r="BH330" s="112"/>
      <c r="BI330" s="112"/>
      <c r="BJ330" s="98"/>
      <c r="BK330" s="99">
        <f t="shared" si="11"/>
        <v>0</v>
      </c>
      <c r="BL330" s="99">
        <f t="shared" si="12"/>
        <v>0</v>
      </c>
      <c r="BM330" s="99" t="str">
        <f>IFERROR(__xludf.DUMMYFUNCTION("IFERROR(VLOOKUP(BG330,IMPORTRANGE(""https://docs.google.com/spreadsheets/d/1juPI-Fb8LD0YtltB2mlGEnp_R3UVu1t3wSFPzgCyHXE/edit?gid=0#gid=0"",""GERAL!A2:C""),3,0),""-"")"),"-")</f>
        <v>-</v>
      </c>
    </row>
    <row r="331" ht="15.75" customHeight="1">
      <c r="A331" s="111" t="s">
        <v>451</v>
      </c>
      <c r="B331" s="83" t="s">
        <v>1388</v>
      </c>
      <c r="C331" s="83" t="s">
        <v>164</v>
      </c>
      <c r="D331" s="112">
        <v>1179701.0</v>
      </c>
      <c r="E331" s="83">
        <v>1179726.0</v>
      </c>
      <c r="F331" s="98">
        <v>2.9482267E7</v>
      </c>
      <c r="G331" s="114" t="s">
        <v>1397</v>
      </c>
      <c r="H331" s="91" t="s">
        <v>1398</v>
      </c>
      <c r="I331" s="193"/>
      <c r="J331" s="83" t="s">
        <v>310</v>
      </c>
      <c r="K331" s="83" t="s">
        <v>168</v>
      </c>
      <c r="L331" s="83" t="s">
        <v>169</v>
      </c>
      <c r="M331" s="82" t="str">
        <f>IFERROR(__xludf.DUMMYFUNCTION("IFERROR(VLOOKUP(D331,
IMPORTRANGE(""https://docs.google.com/spreadsheets/d/1MjHtlUikwobi2MaWJgy7tfLeBmhj1u-dRFRs_8GwSoA/edit#gid=0"",""Gestores Escolares!D7:J""),3,0),""VERIFICAR CÓD SEC"")"),"ALESSANDRO COELHO MARQUES")</f>
        <v>ALESSANDRO COELHO MARQUES</v>
      </c>
      <c r="N331" s="82" t="str">
        <f>IFERROR(__xludf.DUMMYFUNCTION("IFERROR(VLOOKUP(D331,
IMPORTRANGE(""https://docs.google.com/spreadsheets/d/1MjHtlUikwobi2MaWJgy7tfLeBmhj1u-dRFRs_8GwSoA/edit#gid=0"",""Gestores Escolares!D7:J""),4,0),""VERIFICAR CÓD SEC"")"),"(73) 9 9978-4374")</f>
        <v>(73) 9 9978-4374</v>
      </c>
      <c r="O331" s="82" t="str">
        <f>IFERROR(__xludf.DUMMYFUNCTION("IFERROR(VLOOKUP(D331,
IMPORTRANGE(""https://docs.google.com/spreadsheets/d/1MjHtlUikwobi2MaWJgy7tfLeBmhj1u-dRFRs_8GwSoA/edit#gid=0"",""Gestores Escolares!D7:J""),6,0),""VERIFICAR CÓD SEC"")"),"VALERIA CUNHA ROSARIO LEVITA")</f>
        <v>VALERIA CUNHA ROSARIO LEVITA</v>
      </c>
      <c r="P331" s="82" t="str">
        <f>IFERROR(__xludf.DUMMYFUNCTION("IFERROR(VLOOKUP(D331,
IMPORTRANGE(""https://docs.google.com/spreadsheets/d/1MjHtlUikwobi2MaWJgy7tfLeBmhj1u-dRFRs_8GwSoA/edit#gid=0"",""Gestores Escolares!D7:J""),7,0),""VERIFICAR CÓD SEC"")"),"(73) 9 8248-8925")</f>
        <v>(73) 9 8248-8925</v>
      </c>
      <c r="Q331" s="82" t="str">
        <f>IFERROR(__xludf.DUMMYFUNCTION("IFERROR(VLOOKUP(D331,
IMPORTRANGE(""https://docs.google.com/spreadsheets/d/1MjHtlUikwobi2MaWJgy7tfLeBmhj1u-dRFRs_8GwSoA/edit#gid=0"",""Gestores Escolares!D7:m""),9,0),""VERIFICAR CÓD SEC"")"),"")</f>
        <v/>
      </c>
      <c r="R331" s="82" t="str">
        <f>IFERROR(__xludf.DUMMYFUNCTION("IFERROR(VLOOKUP(D331,
IMPORTRANGE(""https://docs.google.com/spreadsheets/d/1MjHtlUikwobi2MaWJgy7tfLeBmhj1u-dRFRs_8GwSoA/edit#gid=0"",""Gestores Escolares!D7:m""),10,0),""VERIFICAR CÓD SEC"")"),"")</f>
        <v/>
      </c>
      <c r="S331" s="82"/>
      <c r="T331" s="138">
        <v>2.0</v>
      </c>
      <c r="U331" s="139">
        <v>2.0</v>
      </c>
      <c r="V331" s="106">
        <v>0.0</v>
      </c>
      <c r="W331" s="107">
        <v>0.0</v>
      </c>
      <c r="X331" s="107">
        <v>0.0</v>
      </c>
      <c r="Y331" s="107">
        <v>0.0</v>
      </c>
      <c r="Z331" s="80">
        <f t="shared" si="1"/>
        <v>0</v>
      </c>
      <c r="AA331" s="106">
        <v>0.0</v>
      </c>
      <c r="AB331" s="107">
        <v>0.0</v>
      </c>
      <c r="AC331" s="107">
        <v>0.0</v>
      </c>
      <c r="AD331" s="107">
        <v>0.0</v>
      </c>
      <c r="AE331" s="80">
        <f t="shared" si="2"/>
        <v>0</v>
      </c>
      <c r="AF331" s="140">
        <v>0.0</v>
      </c>
      <c r="AG331" s="109">
        <v>0.0</v>
      </c>
      <c r="AH331" s="109">
        <v>40.0</v>
      </c>
      <c r="AI331" s="141">
        <v>0.0</v>
      </c>
      <c r="AJ331" s="80">
        <f t="shared" si="3"/>
        <v>40</v>
      </c>
      <c r="AK331" s="140">
        <v>0.0</v>
      </c>
      <c r="AL331" s="109">
        <v>0.0</v>
      </c>
      <c r="AM331" s="141">
        <v>0.0</v>
      </c>
      <c r="AN331" s="80">
        <f t="shared" si="4"/>
        <v>0</v>
      </c>
      <c r="AO331" s="140">
        <v>0.0</v>
      </c>
      <c r="AP331" s="109">
        <v>0.0</v>
      </c>
      <c r="AQ331" s="109">
        <v>0.0</v>
      </c>
      <c r="AR331" s="80">
        <f t="shared" si="5"/>
        <v>0</v>
      </c>
      <c r="AS331" s="110">
        <v>0.0</v>
      </c>
      <c r="AT331" s="110">
        <v>0.0</v>
      </c>
      <c r="AU331" s="110">
        <v>0.0</v>
      </c>
      <c r="AV331" s="142">
        <v>0.0</v>
      </c>
      <c r="AW331" s="80">
        <f t="shared" si="6"/>
        <v>0</v>
      </c>
      <c r="AX331" s="113">
        <f t="shared" si="7"/>
        <v>40</v>
      </c>
      <c r="AY331" s="117">
        <f t="shared" si="8"/>
        <v>0</v>
      </c>
      <c r="AZ331" s="120">
        <f t="shared" si="9"/>
        <v>40</v>
      </c>
      <c r="BA331" s="115">
        <v>0.0</v>
      </c>
      <c r="BB331" s="89">
        <f t="shared" si="10"/>
        <v>40</v>
      </c>
      <c r="BC331" s="132" t="s">
        <v>178</v>
      </c>
      <c r="BD331" s="143" t="s">
        <v>227</v>
      </c>
      <c r="BE331" s="132" t="s">
        <v>178</v>
      </c>
      <c r="BF331" s="123"/>
      <c r="BG331" s="83">
        <v>1179726.0</v>
      </c>
      <c r="BH331" s="112"/>
      <c r="BI331" s="112">
        <v>2.0</v>
      </c>
      <c r="BJ331" s="98" t="s">
        <v>155</v>
      </c>
      <c r="BK331" s="99">
        <f t="shared" si="11"/>
        <v>0</v>
      </c>
      <c r="BL331" s="99">
        <f t="shared" si="12"/>
        <v>0</v>
      </c>
      <c r="BM331" s="99" t="str">
        <f>IFERROR(__xludf.DUMMYFUNCTION("IFERROR(VLOOKUP(BG331,IMPORTRANGE(""https://docs.google.com/spreadsheets/d/1juPI-Fb8LD0YtltB2mlGEnp_R3UVu1t3wSFPzgCyHXE/edit?gid=0#gid=0"",""GERAL!A2:C""),3,0),""-"")"),"-")</f>
        <v>-</v>
      </c>
    </row>
    <row r="332" ht="15.75" customHeight="1">
      <c r="A332" s="111" t="s">
        <v>451</v>
      </c>
      <c r="B332" s="83" t="s">
        <v>1388</v>
      </c>
      <c r="C332" s="83" t="s">
        <v>164</v>
      </c>
      <c r="D332" s="112">
        <v>1179701.0</v>
      </c>
      <c r="E332" s="98">
        <v>1179799.0</v>
      </c>
      <c r="F332" s="98">
        <v>2.9482267E7</v>
      </c>
      <c r="G332" s="147" t="s">
        <v>1399</v>
      </c>
      <c r="H332" s="119" t="s">
        <v>1400</v>
      </c>
      <c r="I332" s="83"/>
      <c r="J332" s="83"/>
      <c r="K332" s="83" t="s">
        <v>168</v>
      </c>
      <c r="L332" s="146"/>
      <c r="M332" s="82" t="str">
        <f>IFERROR(__xludf.DUMMYFUNCTION("IFERROR(VLOOKUP(D332,
IMPORTRANGE(""https://docs.google.com/spreadsheets/d/1MjHtlUikwobi2MaWJgy7tfLeBmhj1u-dRFRs_8GwSoA/edit#gid=0"",""Gestores Escolares!D7:J""),3,0),""VERIFICAR CÓD SEC"")"),"ALESSANDRO COELHO MARQUES")</f>
        <v>ALESSANDRO COELHO MARQUES</v>
      </c>
      <c r="N332" s="82" t="str">
        <f>IFERROR(__xludf.DUMMYFUNCTION("IFERROR(VLOOKUP(D332,
IMPORTRANGE(""https://docs.google.com/spreadsheets/d/1MjHtlUikwobi2MaWJgy7tfLeBmhj1u-dRFRs_8GwSoA/edit#gid=0"",""Gestores Escolares!D7:J""),4,0),""VERIFICAR CÓD SEC"")"),"(73) 9 9978-4374")</f>
        <v>(73) 9 9978-4374</v>
      </c>
      <c r="O332" s="82" t="str">
        <f>IFERROR(__xludf.DUMMYFUNCTION("IFERROR(VLOOKUP(D332,
IMPORTRANGE(""https://docs.google.com/spreadsheets/d/1MjHtlUikwobi2MaWJgy7tfLeBmhj1u-dRFRs_8GwSoA/edit#gid=0"",""Gestores Escolares!D7:J""),6,0),""VERIFICAR CÓD SEC"")"),"VALERIA CUNHA ROSARIO LEVITA")</f>
        <v>VALERIA CUNHA ROSARIO LEVITA</v>
      </c>
      <c r="P332" s="82" t="str">
        <f>IFERROR(__xludf.DUMMYFUNCTION("IFERROR(VLOOKUP(D332,
IMPORTRANGE(""https://docs.google.com/spreadsheets/d/1MjHtlUikwobi2MaWJgy7tfLeBmhj1u-dRFRs_8GwSoA/edit#gid=0"",""Gestores Escolares!D7:J""),7,0),""VERIFICAR CÓD SEC"")"),"(73) 9 8248-8925")</f>
        <v>(73) 9 8248-8925</v>
      </c>
      <c r="Q332" s="82" t="str">
        <f>IFERROR(__xludf.DUMMYFUNCTION("IFERROR(VLOOKUP(D332,
IMPORTRANGE(""https://docs.google.com/spreadsheets/d/1MjHtlUikwobi2MaWJgy7tfLeBmhj1u-dRFRs_8GwSoA/edit#gid=0"",""Gestores Escolares!D7:m""),9,0),""VERIFICAR CÓD SEC"")"),"")</f>
        <v/>
      </c>
      <c r="R332" s="82" t="str">
        <f>IFERROR(__xludf.DUMMYFUNCTION("IFERROR(VLOOKUP(D332,
IMPORTRANGE(""https://docs.google.com/spreadsheets/d/1MjHtlUikwobi2MaWJgy7tfLeBmhj1u-dRFRs_8GwSoA/edit#gid=0"",""Gestores Escolares!D7:m""),10,0),""VERIFICAR CÓD SEC"")"),"")</f>
        <v/>
      </c>
      <c r="S332" s="82"/>
      <c r="T332" s="138"/>
      <c r="U332" s="145"/>
      <c r="V332" s="106">
        <v>0.0</v>
      </c>
      <c r="W332" s="107">
        <v>0.0</v>
      </c>
      <c r="X332" s="107">
        <v>0.0</v>
      </c>
      <c r="Y332" s="107">
        <v>0.0</v>
      </c>
      <c r="Z332" s="80">
        <f t="shared" si="1"/>
        <v>0</v>
      </c>
      <c r="AA332" s="106">
        <v>0.0</v>
      </c>
      <c r="AB332" s="107">
        <v>0.0</v>
      </c>
      <c r="AC332" s="107">
        <v>0.0</v>
      </c>
      <c r="AD332" s="107">
        <v>0.0</v>
      </c>
      <c r="AE332" s="80">
        <f t="shared" si="2"/>
        <v>0</v>
      </c>
      <c r="AF332" s="140">
        <v>0.0</v>
      </c>
      <c r="AG332" s="109">
        <v>0.0</v>
      </c>
      <c r="AH332" s="109">
        <v>15.0</v>
      </c>
      <c r="AI332" s="141">
        <v>0.0</v>
      </c>
      <c r="AJ332" s="80">
        <f t="shared" si="3"/>
        <v>15</v>
      </c>
      <c r="AK332" s="140">
        <v>0.0</v>
      </c>
      <c r="AL332" s="109">
        <v>0.0</v>
      </c>
      <c r="AM332" s="141">
        <v>0.0</v>
      </c>
      <c r="AN332" s="80">
        <f t="shared" si="4"/>
        <v>0</v>
      </c>
      <c r="AO332" s="140">
        <v>0.0</v>
      </c>
      <c r="AP332" s="109">
        <v>0.0</v>
      </c>
      <c r="AQ332" s="109">
        <v>0.0</v>
      </c>
      <c r="AR332" s="80">
        <f t="shared" si="5"/>
        <v>0</v>
      </c>
      <c r="AS332" s="110">
        <v>0.0</v>
      </c>
      <c r="AT332" s="110">
        <v>0.0</v>
      </c>
      <c r="AU332" s="110">
        <v>0.0</v>
      </c>
      <c r="AV332" s="142">
        <v>0.0</v>
      </c>
      <c r="AW332" s="80">
        <f t="shared" si="6"/>
        <v>0</v>
      </c>
      <c r="AX332" s="113">
        <f t="shared" si="7"/>
        <v>15</v>
      </c>
      <c r="AY332" s="117">
        <f t="shared" si="8"/>
        <v>0</v>
      </c>
      <c r="AZ332" s="120">
        <f t="shared" si="9"/>
        <v>15</v>
      </c>
      <c r="BA332" s="115">
        <v>0.0</v>
      </c>
      <c r="BB332" s="89">
        <f t="shared" si="10"/>
        <v>15</v>
      </c>
      <c r="BC332" s="132"/>
      <c r="BD332" s="132" t="s">
        <v>227</v>
      </c>
      <c r="BE332" s="132"/>
      <c r="BF332" s="123"/>
      <c r="BG332" s="98">
        <v>1179799.0</v>
      </c>
      <c r="BH332" s="112"/>
      <c r="BI332" s="112"/>
      <c r="BJ332" s="98"/>
      <c r="BK332" s="99">
        <f t="shared" si="11"/>
        <v>0</v>
      </c>
      <c r="BL332" s="99">
        <f t="shared" si="12"/>
        <v>0</v>
      </c>
      <c r="BM332" s="99" t="str">
        <f>IFERROR(__xludf.DUMMYFUNCTION("IFERROR(VLOOKUP(BG332,IMPORTRANGE(""https://docs.google.com/spreadsheets/d/1juPI-Fb8LD0YtltB2mlGEnp_R3UVu1t3wSFPzgCyHXE/edit?gid=0#gid=0"",""GERAL!A2:C""),3,0),""-"")"),"-")</f>
        <v>-</v>
      </c>
    </row>
    <row r="333" ht="15.75" customHeight="1">
      <c r="A333" s="111" t="s">
        <v>451</v>
      </c>
      <c r="B333" s="83" t="s">
        <v>1401</v>
      </c>
      <c r="C333" s="83" t="s">
        <v>68</v>
      </c>
      <c r="D333" s="112">
        <v>1178112.0</v>
      </c>
      <c r="E333" s="83"/>
      <c r="F333" s="83">
        <v>2.9434017E7</v>
      </c>
      <c r="G333" s="119" t="s">
        <v>1403</v>
      </c>
      <c r="H333" s="91" t="s">
        <v>1404</v>
      </c>
      <c r="I333" s="83" t="s">
        <v>149</v>
      </c>
      <c r="J333" s="83" t="s">
        <v>150</v>
      </c>
      <c r="K333" s="83" t="s">
        <v>151</v>
      </c>
      <c r="L333" s="83" t="s">
        <v>152</v>
      </c>
      <c r="M333" s="82" t="str">
        <f>IFERROR(__xludf.DUMMYFUNCTION("IFERROR(VLOOKUP(D333,
IMPORTRANGE(""https://docs.google.com/spreadsheets/d/1MjHtlUikwobi2MaWJgy7tfLeBmhj1u-dRFRs_8GwSoA/edit#gid=0"",""Gestores Escolares!D7:J""),3,0),""VERIFICAR CÓD SEC"")"),"ADRIANA SANTANA SILVA")</f>
        <v>ADRIANA SANTANA SILVA</v>
      </c>
      <c r="N333" s="82" t="str">
        <f>IFERROR(__xludf.DUMMYFUNCTION("IFERROR(VLOOKUP(D333,
IMPORTRANGE(""https://docs.google.com/spreadsheets/d/1MjHtlUikwobi2MaWJgy7tfLeBmhj1u-dRFRs_8GwSoA/edit#gid=0"",""Gestores Escolares!D7:J""),4,0),""VERIFICAR CÓD SEC"")"),"(73) 9 8157-0935")</f>
        <v>(73) 9 8157-0935</v>
      </c>
      <c r="O333" s="82" t="str">
        <f>IFERROR(__xludf.DUMMYFUNCTION("IFERROR(VLOOKUP(D333,
IMPORTRANGE(""https://docs.google.com/spreadsheets/d/1MjHtlUikwobi2MaWJgy7tfLeBmhj1u-dRFRs_8GwSoA/edit#gid=0"",""Gestores Escolares!D7:J""),6,0),""VERIFICAR CÓD SEC"")"),"MARLI SOUZA PEREIRA")</f>
        <v>MARLI SOUZA PEREIRA</v>
      </c>
      <c r="P333" s="82" t="str">
        <f>IFERROR(__xludf.DUMMYFUNCTION("IFERROR(VLOOKUP(D333,
IMPORTRANGE(""https://docs.google.com/spreadsheets/d/1MjHtlUikwobi2MaWJgy7tfLeBmhj1u-dRFRs_8GwSoA/edit#gid=0"",""Gestores Escolares!D7:J""),7,0),""VERIFICAR CÓD SEC"")"),"(73) 9 8228-5306")</f>
        <v>(73) 9 8228-5306</v>
      </c>
      <c r="Q333" s="82" t="str">
        <f>IFERROR(__xludf.DUMMYFUNCTION("IFERROR(VLOOKUP(D333,
IMPORTRANGE(""https://docs.google.com/spreadsheets/d/1MjHtlUikwobi2MaWJgy7tfLeBmhj1u-dRFRs_8GwSoA/edit#gid=0"",""Gestores Escolares!D7:m""),9,0),""VERIFICAR CÓD SEC"")"),"JOSE WALDIR JESUS CARVALHO")</f>
        <v>JOSE WALDIR JESUS CARVALHO</v>
      </c>
      <c r="R333" s="82" t="str">
        <f>IFERROR(__xludf.DUMMYFUNCTION("IFERROR(VLOOKUP(D333,
IMPORTRANGE(""https://docs.google.com/spreadsheets/d/1MjHtlUikwobi2MaWJgy7tfLeBmhj1u-dRFRs_8GwSoA/edit#gid=0"",""Gestores Escolares!D7:m""),10,0),""VERIFICAR CÓD SEC"")"),"(73) 9 9148-0009")</f>
        <v>(73) 9 9148-0009</v>
      </c>
      <c r="S333" s="82"/>
      <c r="T333" s="138">
        <v>12.0</v>
      </c>
      <c r="U333" s="145" t="s">
        <v>4888</v>
      </c>
      <c r="V333" s="106">
        <v>0.0</v>
      </c>
      <c r="W333" s="107">
        <v>0.0</v>
      </c>
      <c r="X333" s="107">
        <v>0.0</v>
      </c>
      <c r="Y333" s="107">
        <v>0.0</v>
      </c>
      <c r="Z333" s="80">
        <f t="shared" si="1"/>
        <v>0</v>
      </c>
      <c r="AA333" s="106">
        <v>0.0</v>
      </c>
      <c r="AB333" s="107">
        <v>0.0</v>
      </c>
      <c r="AC333" s="107">
        <v>0.0</v>
      </c>
      <c r="AD333" s="107">
        <v>0.0</v>
      </c>
      <c r="AE333" s="80">
        <f t="shared" si="2"/>
        <v>0</v>
      </c>
      <c r="AF333" s="140">
        <v>203.0</v>
      </c>
      <c r="AG333" s="109">
        <v>86.0</v>
      </c>
      <c r="AH333" s="109">
        <v>0.0</v>
      </c>
      <c r="AI333" s="141">
        <v>72.0</v>
      </c>
      <c r="AJ333" s="80">
        <f t="shared" si="3"/>
        <v>361</v>
      </c>
      <c r="AK333" s="140">
        <v>0.0</v>
      </c>
      <c r="AL333" s="109">
        <v>0.0</v>
      </c>
      <c r="AM333" s="141">
        <v>0.0</v>
      </c>
      <c r="AN333" s="80">
        <f t="shared" si="4"/>
        <v>0</v>
      </c>
      <c r="AO333" s="140">
        <v>0.0</v>
      </c>
      <c r="AP333" s="109">
        <v>0.0</v>
      </c>
      <c r="AQ333" s="109">
        <v>104.0</v>
      </c>
      <c r="AR333" s="80">
        <f t="shared" si="5"/>
        <v>104</v>
      </c>
      <c r="AS333" s="110">
        <v>0.0</v>
      </c>
      <c r="AT333" s="110">
        <v>0.0</v>
      </c>
      <c r="AU333" s="110">
        <v>0.0</v>
      </c>
      <c r="AV333" s="142">
        <v>55.0</v>
      </c>
      <c r="AW333" s="80">
        <f t="shared" si="6"/>
        <v>55</v>
      </c>
      <c r="AX333" s="113">
        <f t="shared" si="7"/>
        <v>520</v>
      </c>
      <c r="AY333" s="117">
        <f t="shared" si="8"/>
        <v>416</v>
      </c>
      <c r="AZ333" s="120">
        <f t="shared" si="9"/>
        <v>104</v>
      </c>
      <c r="BA333" s="115">
        <v>0.0</v>
      </c>
      <c r="BB333" s="89">
        <f t="shared" si="10"/>
        <v>520</v>
      </c>
      <c r="BC333" s="132" t="s">
        <v>178</v>
      </c>
      <c r="BD333" s="132" t="s">
        <v>178</v>
      </c>
      <c r="BE333" s="132" t="s">
        <v>178</v>
      </c>
      <c r="BF333" s="123"/>
      <c r="BG333" s="83">
        <v>1178112.0</v>
      </c>
      <c r="BH333" s="112"/>
      <c r="BI333" s="112">
        <v>10.0</v>
      </c>
      <c r="BJ333" s="98" t="s">
        <v>155</v>
      </c>
      <c r="BK333" s="99">
        <f t="shared" si="11"/>
        <v>127</v>
      </c>
      <c r="BL333" s="99">
        <f t="shared" si="12"/>
        <v>289</v>
      </c>
      <c r="BM333" s="99" t="str">
        <f>IFERROR(__xludf.DUMMYFUNCTION("IFERROR(VLOOKUP(BG333,IMPORTRANGE(""https://docs.google.com/spreadsheets/d/1juPI-Fb8LD0YtltB2mlGEnp_R3UVu1t3wSFPzgCyHXE/edit?gid=0#gid=0"",""GERAL!A2:C""),3,0),""-"")"),"-")</f>
        <v>-</v>
      </c>
    </row>
    <row r="334" ht="15.75" customHeight="1">
      <c r="A334" s="111" t="s">
        <v>451</v>
      </c>
      <c r="B334" s="83" t="s">
        <v>1401</v>
      </c>
      <c r="C334" s="83" t="s">
        <v>164</v>
      </c>
      <c r="D334" s="112">
        <v>1178112.0</v>
      </c>
      <c r="E334" s="83">
        <v>1178501.0</v>
      </c>
      <c r="F334" s="395">
        <v>2.9490642E7</v>
      </c>
      <c r="G334" s="119" t="s">
        <v>1406</v>
      </c>
      <c r="H334" s="91" t="s">
        <v>1407</v>
      </c>
      <c r="I334" s="238" t="s">
        <v>149</v>
      </c>
      <c r="J334" s="83" t="s">
        <v>240</v>
      </c>
      <c r="K334" s="83" t="s">
        <v>168</v>
      </c>
      <c r="L334" s="82" t="s">
        <v>169</v>
      </c>
      <c r="M334" s="82" t="str">
        <f>IFERROR(__xludf.DUMMYFUNCTION("IFERROR(VLOOKUP(D334,
IMPORTRANGE(""https://docs.google.com/spreadsheets/d/1MjHtlUikwobi2MaWJgy7tfLeBmhj1u-dRFRs_8GwSoA/edit#gid=0"",""Gestores Escolares!D7:J""),3,0),""VERIFICAR CÓD SEC"")"),"ADRIANA SANTANA SILVA")</f>
        <v>ADRIANA SANTANA SILVA</v>
      </c>
      <c r="N334" s="82" t="str">
        <f>IFERROR(__xludf.DUMMYFUNCTION("IFERROR(VLOOKUP(D334,
IMPORTRANGE(""https://docs.google.com/spreadsheets/d/1MjHtlUikwobi2MaWJgy7tfLeBmhj1u-dRFRs_8GwSoA/edit#gid=0"",""Gestores Escolares!D7:J""),4,0),""VERIFICAR CÓD SEC"")"),"(73) 9 8157-0935")</f>
        <v>(73) 9 8157-0935</v>
      </c>
      <c r="O334" s="82" t="str">
        <f>IFERROR(__xludf.DUMMYFUNCTION("IFERROR(VLOOKUP(D334,
IMPORTRANGE(""https://docs.google.com/spreadsheets/d/1MjHtlUikwobi2MaWJgy7tfLeBmhj1u-dRFRs_8GwSoA/edit#gid=0"",""Gestores Escolares!D7:J""),6,0),""VERIFICAR CÓD SEC"")"),"MARLI SOUZA PEREIRA")</f>
        <v>MARLI SOUZA PEREIRA</v>
      </c>
      <c r="P334" s="82" t="str">
        <f>IFERROR(__xludf.DUMMYFUNCTION("IFERROR(VLOOKUP(D334,
IMPORTRANGE(""https://docs.google.com/spreadsheets/d/1MjHtlUikwobi2MaWJgy7tfLeBmhj1u-dRFRs_8GwSoA/edit#gid=0"",""Gestores Escolares!D7:J""),7,0),""VERIFICAR CÓD SEC"")"),"(73) 9 8228-5306")</f>
        <v>(73) 9 8228-5306</v>
      </c>
      <c r="Q334" s="82" t="str">
        <f>IFERROR(__xludf.DUMMYFUNCTION("IFERROR(VLOOKUP(D334,
IMPORTRANGE(""https://docs.google.com/spreadsheets/d/1MjHtlUikwobi2MaWJgy7tfLeBmhj1u-dRFRs_8GwSoA/edit#gid=0"",""Gestores Escolares!D7:m""),9,0),""VERIFICAR CÓD SEC"")"),"JOSE WALDIR JESUS CARVALHO")</f>
        <v>JOSE WALDIR JESUS CARVALHO</v>
      </c>
      <c r="R334" s="82" t="str">
        <f>IFERROR(__xludf.DUMMYFUNCTION("IFERROR(VLOOKUP(D334,
IMPORTRANGE(""https://docs.google.com/spreadsheets/d/1MjHtlUikwobi2MaWJgy7tfLeBmhj1u-dRFRs_8GwSoA/edit#gid=0"",""Gestores Escolares!D7:m""),10,0),""VERIFICAR CÓD SEC"")"),"(73) 9 9148-0009")</f>
        <v>(73) 9 9148-0009</v>
      </c>
      <c r="S334" s="82"/>
      <c r="T334" s="138">
        <v>3.0</v>
      </c>
      <c r="U334" s="139">
        <v>3.0</v>
      </c>
      <c r="V334" s="106">
        <v>0.0</v>
      </c>
      <c r="W334" s="107">
        <v>0.0</v>
      </c>
      <c r="X334" s="107">
        <v>0.0</v>
      </c>
      <c r="Y334" s="107">
        <v>0.0</v>
      </c>
      <c r="Z334" s="80">
        <f t="shared" si="1"/>
        <v>0</v>
      </c>
      <c r="AA334" s="106">
        <v>0.0</v>
      </c>
      <c r="AB334" s="107">
        <v>0.0</v>
      </c>
      <c r="AC334" s="107">
        <v>0.0</v>
      </c>
      <c r="AD334" s="107">
        <v>0.0</v>
      </c>
      <c r="AE334" s="80">
        <f t="shared" si="2"/>
        <v>0</v>
      </c>
      <c r="AF334" s="140">
        <v>0.0</v>
      </c>
      <c r="AG334" s="109">
        <v>0.0</v>
      </c>
      <c r="AH334" s="109">
        <v>0.0</v>
      </c>
      <c r="AI334" s="141">
        <v>0.0</v>
      </c>
      <c r="AJ334" s="80">
        <f t="shared" si="3"/>
        <v>0</v>
      </c>
      <c r="AK334" s="140">
        <v>0.0</v>
      </c>
      <c r="AL334" s="109">
        <v>0.0</v>
      </c>
      <c r="AM334" s="141">
        <v>0.0</v>
      </c>
      <c r="AN334" s="80">
        <f t="shared" si="4"/>
        <v>0</v>
      </c>
      <c r="AO334" s="140">
        <v>0.0</v>
      </c>
      <c r="AP334" s="109">
        <v>0.0</v>
      </c>
      <c r="AQ334" s="109">
        <v>17.0</v>
      </c>
      <c r="AR334" s="80">
        <f t="shared" si="5"/>
        <v>17</v>
      </c>
      <c r="AS334" s="110">
        <v>0.0</v>
      </c>
      <c r="AT334" s="110">
        <v>0.0</v>
      </c>
      <c r="AU334" s="110">
        <v>0.0</v>
      </c>
      <c r="AV334" s="142">
        <v>0.0</v>
      </c>
      <c r="AW334" s="80">
        <f t="shared" si="6"/>
        <v>0</v>
      </c>
      <c r="AX334" s="113">
        <f t="shared" si="7"/>
        <v>17</v>
      </c>
      <c r="AY334" s="117">
        <f t="shared" si="8"/>
        <v>0</v>
      </c>
      <c r="AZ334" s="120">
        <f t="shared" si="9"/>
        <v>17</v>
      </c>
      <c r="BA334" s="115">
        <v>0.0</v>
      </c>
      <c r="BB334" s="89">
        <f t="shared" si="10"/>
        <v>17</v>
      </c>
      <c r="BC334" s="132" t="s">
        <v>373</v>
      </c>
      <c r="BD334" s="132" t="s">
        <v>178</v>
      </c>
      <c r="BE334" s="132" t="s">
        <v>178</v>
      </c>
      <c r="BF334" s="123"/>
      <c r="BG334" s="83">
        <v>1178501.0</v>
      </c>
      <c r="BH334" s="112"/>
      <c r="BI334" s="112">
        <v>3.0</v>
      </c>
      <c r="BJ334" s="98" t="s">
        <v>155</v>
      </c>
      <c r="BK334" s="99">
        <f t="shared" si="11"/>
        <v>0</v>
      </c>
      <c r="BL334" s="99">
        <f t="shared" si="12"/>
        <v>0</v>
      </c>
      <c r="BM334" s="99" t="str">
        <f>IFERROR(__xludf.DUMMYFUNCTION("IFERROR(VLOOKUP(BG334,IMPORTRANGE(""https://docs.google.com/spreadsheets/d/1juPI-Fb8LD0YtltB2mlGEnp_R3UVu1t3wSFPzgCyHXE/edit?gid=0#gid=0"",""GERAL!A2:C""),3,0),""-"")"),"CAMPO")</f>
        <v>CAMPO</v>
      </c>
    </row>
    <row r="335" ht="15.75" customHeight="1">
      <c r="A335" s="111" t="s">
        <v>451</v>
      </c>
      <c r="B335" s="83" t="s">
        <v>1408</v>
      </c>
      <c r="C335" s="83" t="s">
        <v>68</v>
      </c>
      <c r="D335" s="112">
        <v>1158947.0</v>
      </c>
      <c r="E335" s="83"/>
      <c r="F335" s="83">
        <v>2.929852E7</v>
      </c>
      <c r="G335" s="220" t="s">
        <v>1409</v>
      </c>
      <c r="H335" s="91" t="s">
        <v>1410</v>
      </c>
      <c r="I335" s="83" t="s">
        <v>149</v>
      </c>
      <c r="J335" s="83" t="s">
        <v>150</v>
      </c>
      <c r="K335" s="83" t="s">
        <v>151</v>
      </c>
      <c r="L335" s="83" t="s">
        <v>230</v>
      </c>
      <c r="M335" s="82" t="str">
        <f>IFERROR(__xludf.DUMMYFUNCTION("IFERROR(VLOOKUP(D335,
IMPORTRANGE(""https://docs.google.com/spreadsheets/d/1MjHtlUikwobi2MaWJgy7tfLeBmhj1u-dRFRs_8GwSoA/edit#gid=0"",""Gestores Escolares!D7:J""),3,0),""VERIFICAR CÓD SEC"")"),"JUSCELIA SIRQUEIRA PINHEIRO")</f>
        <v>JUSCELIA SIRQUEIRA PINHEIRO</v>
      </c>
      <c r="N335" s="82" t="str">
        <f>IFERROR(__xludf.DUMMYFUNCTION("IFERROR(VLOOKUP(D335,
IMPORTRANGE(""https://docs.google.com/spreadsheets/d/1MjHtlUikwobi2MaWJgy7tfLeBmhj1u-dRFRs_8GwSoA/edit#gid=0"",""Gestores Escolares!D7:J""),4,0),""VERIFICAR CÓD SEC"")"),"(73) 9 8162-9340")</f>
        <v>(73) 9 8162-9340</v>
      </c>
      <c r="O335" s="82" t="str">
        <f>IFERROR(__xludf.DUMMYFUNCTION("IFERROR(VLOOKUP(D335,
IMPORTRANGE(""https://docs.google.com/spreadsheets/d/1MjHtlUikwobi2MaWJgy7tfLeBmhj1u-dRFRs_8GwSoA/edit#gid=0"",""Gestores Escolares!D7:J""),6,0),""VERIFICAR CÓD SEC"")"),"EDVANISE SOUZA BARBOSA CORDEIRO ")</f>
        <v>EDVANISE SOUZA BARBOSA CORDEIRO </v>
      </c>
      <c r="P335" s="82" t="str">
        <f>IFERROR(__xludf.DUMMYFUNCTION("IFERROR(VLOOKUP(D335,
IMPORTRANGE(""https://docs.google.com/spreadsheets/d/1MjHtlUikwobi2MaWJgy7tfLeBmhj1u-dRFRs_8GwSoA/edit#gid=0"",""Gestores Escolares!D7:J""),7,0),""VERIFICAR CÓD SEC"")"),"(73) 9 8165-7767")</f>
        <v>(73) 9 8165-7767</v>
      </c>
      <c r="Q335" s="82" t="str">
        <f>IFERROR(__xludf.DUMMYFUNCTION("IFERROR(VLOOKUP(D335,
IMPORTRANGE(""https://docs.google.com/spreadsheets/d/1MjHtlUikwobi2MaWJgy7tfLeBmhj1u-dRFRs_8GwSoA/edit#gid=0"",""Gestores Escolares!D7:m""),9,0),""VERIFICAR CÓD SEC"")"),"CLAUDIA SOARES PACHECO")</f>
        <v>CLAUDIA SOARES PACHECO</v>
      </c>
      <c r="R335" s="82" t="str">
        <f>IFERROR(__xludf.DUMMYFUNCTION("IFERROR(VLOOKUP(D335,
IMPORTRANGE(""https://docs.google.com/spreadsheets/d/1MjHtlUikwobi2MaWJgy7tfLeBmhj1u-dRFRs_8GwSoA/edit#gid=0"",""Gestores Escolares!D7:m""),10,0),""VERIFICAR CÓD SEC"")"),"(73) 9 8837-9407")</f>
        <v>(73) 9 8837-9407</v>
      </c>
      <c r="S335" s="82"/>
      <c r="T335" s="138">
        <v>6.0</v>
      </c>
      <c r="U335" s="145" t="s">
        <v>4921</v>
      </c>
      <c r="V335" s="106">
        <v>0.0</v>
      </c>
      <c r="W335" s="107">
        <v>0.0</v>
      </c>
      <c r="X335" s="107">
        <v>0.0</v>
      </c>
      <c r="Y335" s="107">
        <v>0.0</v>
      </c>
      <c r="Z335" s="80">
        <f t="shared" si="1"/>
        <v>0</v>
      </c>
      <c r="AA335" s="106">
        <v>0.0</v>
      </c>
      <c r="AB335" s="107">
        <v>0.0</v>
      </c>
      <c r="AC335" s="107">
        <v>0.0</v>
      </c>
      <c r="AD335" s="107">
        <v>0.0</v>
      </c>
      <c r="AE335" s="80">
        <f t="shared" si="2"/>
        <v>0</v>
      </c>
      <c r="AF335" s="140">
        <v>85.0</v>
      </c>
      <c r="AG335" s="109">
        <v>71.0</v>
      </c>
      <c r="AH335" s="109">
        <v>0.0</v>
      </c>
      <c r="AI335" s="141">
        <v>154.0</v>
      </c>
      <c r="AJ335" s="80">
        <f t="shared" si="3"/>
        <v>310</v>
      </c>
      <c r="AK335" s="140">
        <v>0.0</v>
      </c>
      <c r="AL335" s="109">
        <v>0.0</v>
      </c>
      <c r="AM335" s="141">
        <v>0.0</v>
      </c>
      <c r="AN335" s="80">
        <f t="shared" si="4"/>
        <v>0</v>
      </c>
      <c r="AO335" s="140">
        <v>0.0</v>
      </c>
      <c r="AP335" s="109">
        <v>0.0</v>
      </c>
      <c r="AQ335" s="109">
        <v>59.0</v>
      </c>
      <c r="AR335" s="80">
        <f t="shared" si="5"/>
        <v>59</v>
      </c>
      <c r="AS335" s="110">
        <v>0.0</v>
      </c>
      <c r="AT335" s="110">
        <v>23.0</v>
      </c>
      <c r="AU335" s="110">
        <v>0.0</v>
      </c>
      <c r="AV335" s="142">
        <v>0.0</v>
      </c>
      <c r="AW335" s="80">
        <f t="shared" si="6"/>
        <v>23</v>
      </c>
      <c r="AX335" s="113">
        <f t="shared" si="7"/>
        <v>392</v>
      </c>
      <c r="AY335" s="117">
        <f t="shared" si="8"/>
        <v>333</v>
      </c>
      <c r="AZ335" s="120">
        <f t="shared" si="9"/>
        <v>59</v>
      </c>
      <c r="BA335" s="115">
        <v>0.0</v>
      </c>
      <c r="BB335" s="89">
        <f t="shared" si="10"/>
        <v>392</v>
      </c>
      <c r="BC335" s="132" t="s">
        <v>178</v>
      </c>
      <c r="BD335" s="132" t="s">
        <v>178</v>
      </c>
      <c r="BE335" s="132" t="s">
        <v>178</v>
      </c>
      <c r="BF335" s="156"/>
      <c r="BG335" s="83">
        <v>1158947.0</v>
      </c>
      <c r="BH335" s="112"/>
      <c r="BI335" s="112">
        <v>8.0</v>
      </c>
      <c r="BJ335" s="98" t="s">
        <v>162</v>
      </c>
      <c r="BK335" s="99">
        <f t="shared" si="11"/>
        <v>154</v>
      </c>
      <c r="BL335" s="99">
        <f t="shared" si="12"/>
        <v>179</v>
      </c>
      <c r="BM335" s="99" t="str">
        <f>IFERROR(__xludf.DUMMYFUNCTION("IFERROR(VLOOKUP(BG335,IMPORTRANGE(""https://docs.google.com/spreadsheets/d/1juPI-Fb8LD0YtltB2mlGEnp_R3UVu1t3wSFPzgCyHXE/edit?gid=0#gid=0"",""GERAL!A2:C""),3,0),""-"")"),"-")</f>
        <v>-</v>
      </c>
    </row>
    <row r="336" ht="15.75" customHeight="1">
      <c r="A336" s="111" t="s">
        <v>451</v>
      </c>
      <c r="B336" s="233" t="s">
        <v>1413</v>
      </c>
      <c r="C336" s="83" t="s">
        <v>68</v>
      </c>
      <c r="D336" s="112">
        <v>1176103.0</v>
      </c>
      <c r="E336" s="83"/>
      <c r="F336" s="83">
        <v>2.9299802E7</v>
      </c>
      <c r="G336" s="119" t="s">
        <v>1415</v>
      </c>
      <c r="H336" s="91" t="s">
        <v>1416</v>
      </c>
      <c r="I336" s="136" t="s">
        <v>1417</v>
      </c>
      <c r="J336" s="83" t="s">
        <v>839</v>
      </c>
      <c r="K336" s="83" t="s">
        <v>151</v>
      </c>
      <c r="L336" s="83" t="s">
        <v>169</v>
      </c>
      <c r="M336" s="82" t="str">
        <f>IFERROR(__xludf.DUMMYFUNCTION("IFERROR(VLOOKUP(D336,
IMPORTRANGE(""https://docs.google.com/spreadsheets/d/1MjHtlUikwobi2MaWJgy7tfLeBmhj1u-dRFRs_8GwSoA/edit#gid=0"",""Gestores Escolares!D7:J""),3,0),""VERIFICAR CÓD SEC"")"),"FABRIZIO MENEZES MIRANDA")</f>
        <v>FABRIZIO MENEZES MIRANDA</v>
      </c>
      <c r="N336" s="82" t="str">
        <f>IFERROR(__xludf.DUMMYFUNCTION("IFERROR(VLOOKUP(D336,
IMPORTRANGE(""https://docs.google.com/spreadsheets/d/1MjHtlUikwobi2MaWJgy7tfLeBmhj1u-dRFRs_8GwSoA/edit#gid=0"",""Gestores Escolares!D7:J""),4,0),""VERIFICAR CÓD SEC"")"),"(73) 9 9126-2628")</f>
        <v>(73) 9 9126-2628</v>
      </c>
      <c r="O336" s="82" t="str">
        <f>IFERROR(__xludf.DUMMYFUNCTION("IFERROR(VLOOKUP(D336,
IMPORTRANGE(""https://docs.google.com/spreadsheets/d/1MjHtlUikwobi2MaWJgy7tfLeBmhj1u-dRFRs_8GwSoA/edit#gid=0"",""Gestores Escolares!D7:J""),6,0),""VERIFICAR CÓD SEC"")"),"")</f>
        <v/>
      </c>
      <c r="P336" s="82" t="str">
        <f>IFERROR(__xludf.DUMMYFUNCTION("IFERROR(VLOOKUP(D336,
IMPORTRANGE(""https://docs.google.com/spreadsheets/d/1MjHtlUikwobi2MaWJgy7tfLeBmhj1u-dRFRs_8GwSoA/edit#gid=0"",""Gestores Escolares!D7:J""),7,0),""VERIFICAR CÓD SEC"")"),"")</f>
        <v/>
      </c>
      <c r="Q336" s="82" t="str">
        <f>IFERROR(__xludf.DUMMYFUNCTION("IFERROR(VLOOKUP(D336,
IMPORTRANGE(""https://docs.google.com/spreadsheets/d/1MjHtlUikwobi2MaWJgy7tfLeBmhj1u-dRFRs_8GwSoA/edit#gid=0"",""Gestores Escolares!D7:m""),9,0),""VERIFICAR CÓD SEC"")"),"")</f>
        <v/>
      </c>
      <c r="R336" s="82" t="str">
        <f>IFERROR(__xludf.DUMMYFUNCTION("IFERROR(VLOOKUP(D336,
IMPORTRANGE(""https://docs.google.com/spreadsheets/d/1MjHtlUikwobi2MaWJgy7tfLeBmhj1u-dRFRs_8GwSoA/edit#gid=0"",""Gestores Escolares!D7:m""),10,0),""VERIFICAR CÓD SEC"")"),"")</f>
        <v/>
      </c>
      <c r="S336" s="82"/>
      <c r="T336" s="138">
        <v>4.0</v>
      </c>
      <c r="U336" s="152" t="s">
        <v>4948</v>
      </c>
      <c r="V336" s="106">
        <v>0.0</v>
      </c>
      <c r="W336" s="107">
        <v>0.0</v>
      </c>
      <c r="X336" s="107">
        <v>0.0</v>
      </c>
      <c r="Y336" s="107">
        <v>0.0</v>
      </c>
      <c r="Z336" s="80">
        <f t="shared" si="1"/>
        <v>0</v>
      </c>
      <c r="AA336" s="106">
        <v>34.0</v>
      </c>
      <c r="AB336" s="107">
        <v>32.0</v>
      </c>
      <c r="AC336" s="107">
        <v>0.0</v>
      </c>
      <c r="AD336" s="107">
        <v>0.0</v>
      </c>
      <c r="AE336" s="80">
        <f t="shared" si="2"/>
        <v>66</v>
      </c>
      <c r="AF336" s="140">
        <v>9.0</v>
      </c>
      <c r="AG336" s="109">
        <v>24.0</v>
      </c>
      <c r="AH336" s="109">
        <v>0.0</v>
      </c>
      <c r="AI336" s="141">
        <v>0.0</v>
      </c>
      <c r="AJ336" s="80">
        <f t="shared" si="3"/>
        <v>33</v>
      </c>
      <c r="AK336" s="140">
        <v>0.0</v>
      </c>
      <c r="AL336" s="109">
        <v>0.0</v>
      </c>
      <c r="AM336" s="141">
        <v>0.0</v>
      </c>
      <c r="AN336" s="80">
        <f t="shared" si="4"/>
        <v>0</v>
      </c>
      <c r="AO336" s="140">
        <v>0.0</v>
      </c>
      <c r="AP336" s="109">
        <v>0.0</v>
      </c>
      <c r="AQ336" s="109">
        <v>0.0</v>
      </c>
      <c r="AR336" s="80">
        <f t="shared" si="5"/>
        <v>0</v>
      </c>
      <c r="AS336" s="110">
        <v>0.0</v>
      </c>
      <c r="AT336" s="110">
        <v>0.0</v>
      </c>
      <c r="AU336" s="110">
        <v>0.0</v>
      </c>
      <c r="AV336" s="142">
        <v>0.0</v>
      </c>
      <c r="AW336" s="80">
        <f t="shared" si="6"/>
        <v>0</v>
      </c>
      <c r="AX336" s="113">
        <f t="shared" si="7"/>
        <v>99</v>
      </c>
      <c r="AY336" s="117">
        <f t="shared" si="8"/>
        <v>99</v>
      </c>
      <c r="AZ336" s="120">
        <f t="shared" si="9"/>
        <v>0</v>
      </c>
      <c r="BA336" s="115">
        <v>0.0</v>
      </c>
      <c r="BB336" s="89">
        <f t="shared" si="10"/>
        <v>99</v>
      </c>
      <c r="BC336" s="132" t="s">
        <v>373</v>
      </c>
      <c r="BD336" s="132" t="s">
        <v>178</v>
      </c>
      <c r="BE336" s="132" t="s">
        <v>178</v>
      </c>
      <c r="BF336" s="156"/>
      <c r="BG336" s="83">
        <v>1176103.0</v>
      </c>
      <c r="BH336" s="112"/>
      <c r="BI336" s="112">
        <v>3.0</v>
      </c>
      <c r="BJ336" s="98" t="s">
        <v>155</v>
      </c>
      <c r="BK336" s="99">
        <f t="shared" si="11"/>
        <v>0</v>
      </c>
      <c r="BL336" s="99">
        <f t="shared" si="12"/>
        <v>99</v>
      </c>
      <c r="BM336" s="99" t="str">
        <f>IFERROR(__xludf.DUMMYFUNCTION("IFERROR(VLOOKUP(BG336,IMPORTRANGE(""https://docs.google.com/spreadsheets/d/1juPI-Fb8LD0YtltB2mlGEnp_R3UVu1t3wSFPzgCyHXE/edit?gid=0#gid=0"",""GERAL!A2:C""),3,0),""-"")"),"CAMPO")</f>
        <v>CAMPO</v>
      </c>
    </row>
    <row r="337" ht="15.75" customHeight="1">
      <c r="A337" s="111" t="s">
        <v>451</v>
      </c>
      <c r="B337" s="233" t="s">
        <v>1413</v>
      </c>
      <c r="C337" s="83" t="s">
        <v>68</v>
      </c>
      <c r="D337" s="112">
        <v>1178110.0</v>
      </c>
      <c r="E337" s="83"/>
      <c r="F337" s="83">
        <v>2.9433886E7</v>
      </c>
      <c r="G337" s="147" t="s">
        <v>1419</v>
      </c>
      <c r="H337" s="91" t="s">
        <v>1420</v>
      </c>
      <c r="I337" s="136" t="s">
        <v>149</v>
      </c>
      <c r="J337" s="83" t="s">
        <v>150</v>
      </c>
      <c r="K337" s="83" t="s">
        <v>151</v>
      </c>
      <c r="L337" s="98" t="s">
        <v>1421</v>
      </c>
      <c r="M337" s="82" t="str">
        <f>IFERROR(__xludf.DUMMYFUNCTION("IFERROR(VLOOKUP(D337,
IMPORTRANGE(""https://docs.google.com/spreadsheets/d/1MjHtlUikwobi2MaWJgy7tfLeBmhj1u-dRFRs_8GwSoA/edit#gid=0"",""Gestores Escolares!D7:J""),3,0),""VERIFICAR CÓD SEC"")"),"LENILDO ALVES SANTANA")</f>
        <v>LENILDO ALVES SANTANA</v>
      </c>
      <c r="N337" s="82" t="str">
        <f>IFERROR(__xludf.DUMMYFUNCTION("IFERROR(VLOOKUP(D337,
IMPORTRANGE(""https://docs.google.com/spreadsheets/d/1MjHtlUikwobi2MaWJgy7tfLeBmhj1u-dRFRs_8GwSoA/edit#gid=0"",""Gestores Escolares!D7:J""),4,0),""VERIFICAR CÓD SEC"")"),"(73) 9 9132-1171")</f>
        <v>(73) 9 9132-1171</v>
      </c>
      <c r="O337" s="82" t="str">
        <f>IFERROR(__xludf.DUMMYFUNCTION("IFERROR(VLOOKUP(D337,
IMPORTRANGE(""https://docs.google.com/spreadsheets/d/1MjHtlUikwobi2MaWJgy7tfLeBmhj1u-dRFRs_8GwSoA/edit#gid=0"",""Gestores Escolares!D7:J""),6,0),""VERIFICAR CÓD SEC"")")," SERGIO GAMA SANTOS")</f>
        <v> SERGIO GAMA SANTOS</v>
      </c>
      <c r="P337" s="82" t="str">
        <f>IFERROR(__xludf.DUMMYFUNCTION("IFERROR(VLOOKUP(D337,
IMPORTRANGE(""https://docs.google.com/spreadsheets/d/1MjHtlUikwobi2MaWJgy7tfLeBmhj1u-dRFRs_8GwSoA/edit#gid=0"",""Gestores Escolares!D7:J""),7,0),""VERIFICAR CÓD SEC"")"),"(73) 9 8122-1908")</f>
        <v>(73) 9 8122-1908</v>
      </c>
      <c r="Q337" s="82" t="str">
        <f>IFERROR(__xludf.DUMMYFUNCTION("IFERROR(VLOOKUP(D337,
IMPORTRANGE(""https://docs.google.com/spreadsheets/d/1MjHtlUikwobi2MaWJgy7tfLeBmhj1u-dRFRs_8GwSoA/edit#gid=0"",""Gestores Escolares!D7:m""),9,0),""VERIFICAR CÓD SEC"")"),"JOSE WADSON SANTOS CONCEICAO")</f>
        <v>JOSE WADSON SANTOS CONCEICAO</v>
      </c>
      <c r="R337" s="82" t="str">
        <f>IFERROR(__xludf.DUMMYFUNCTION("IFERROR(VLOOKUP(D337,
IMPORTRANGE(""https://docs.google.com/spreadsheets/d/1MjHtlUikwobi2MaWJgy7tfLeBmhj1u-dRFRs_8GwSoA/edit#gid=0"",""Gestores Escolares!D7:m""),10,0),""VERIFICAR CÓD SEC"")"),"(73) 9 9131-0943")</f>
        <v>(73) 9 9131-0943</v>
      </c>
      <c r="S337" s="82"/>
      <c r="T337" s="138">
        <v>14.0</v>
      </c>
      <c r="U337" s="152">
        <v>12.0</v>
      </c>
      <c r="V337" s="106">
        <v>0.0</v>
      </c>
      <c r="W337" s="107">
        <v>0.0</v>
      </c>
      <c r="X337" s="107">
        <v>0.0</v>
      </c>
      <c r="Y337" s="107">
        <v>0.0</v>
      </c>
      <c r="Z337" s="80">
        <f t="shared" si="1"/>
        <v>0</v>
      </c>
      <c r="AA337" s="106">
        <v>0.0</v>
      </c>
      <c r="AB337" s="107">
        <v>0.0</v>
      </c>
      <c r="AC337" s="107">
        <v>0.0</v>
      </c>
      <c r="AD337" s="107">
        <v>0.0</v>
      </c>
      <c r="AE337" s="80">
        <f t="shared" si="2"/>
        <v>0</v>
      </c>
      <c r="AF337" s="140">
        <v>26.0</v>
      </c>
      <c r="AG337" s="109">
        <v>12.0</v>
      </c>
      <c r="AH337" s="109">
        <v>0.0</v>
      </c>
      <c r="AI337" s="141">
        <v>360.0</v>
      </c>
      <c r="AJ337" s="80">
        <f t="shared" si="3"/>
        <v>398</v>
      </c>
      <c r="AK337" s="140">
        <v>0.0</v>
      </c>
      <c r="AL337" s="109">
        <v>0.0</v>
      </c>
      <c r="AM337" s="141">
        <v>0.0</v>
      </c>
      <c r="AN337" s="80">
        <f t="shared" si="4"/>
        <v>0</v>
      </c>
      <c r="AO337" s="140">
        <v>0.0</v>
      </c>
      <c r="AP337" s="109">
        <v>0.0</v>
      </c>
      <c r="AQ337" s="109">
        <v>101.0</v>
      </c>
      <c r="AR337" s="80">
        <f t="shared" si="5"/>
        <v>101</v>
      </c>
      <c r="AS337" s="110">
        <v>0.0</v>
      </c>
      <c r="AT337" s="110">
        <v>0.0</v>
      </c>
      <c r="AU337" s="110">
        <v>10.0</v>
      </c>
      <c r="AV337" s="142">
        <v>64.0</v>
      </c>
      <c r="AW337" s="80">
        <f t="shared" si="6"/>
        <v>74</v>
      </c>
      <c r="AX337" s="113">
        <f t="shared" si="7"/>
        <v>573</v>
      </c>
      <c r="AY337" s="117">
        <f t="shared" si="8"/>
        <v>462</v>
      </c>
      <c r="AZ337" s="120">
        <f t="shared" si="9"/>
        <v>111</v>
      </c>
      <c r="BA337" s="115">
        <v>0.0</v>
      </c>
      <c r="BB337" s="89">
        <f t="shared" si="10"/>
        <v>573</v>
      </c>
      <c r="BC337" s="132" t="s">
        <v>178</v>
      </c>
      <c r="BD337" s="132" t="s">
        <v>178</v>
      </c>
      <c r="BE337" s="132" t="s">
        <v>178</v>
      </c>
      <c r="BF337" s="123"/>
      <c r="BG337" s="83">
        <v>1178110.0</v>
      </c>
      <c r="BH337" s="112"/>
      <c r="BI337" s="112">
        <v>12.0</v>
      </c>
      <c r="BJ337" s="98" t="s">
        <v>155</v>
      </c>
      <c r="BK337" s="99">
        <f t="shared" si="11"/>
        <v>424</v>
      </c>
      <c r="BL337" s="99">
        <f t="shared" si="12"/>
        <v>38</v>
      </c>
      <c r="BM337" s="99" t="str">
        <f>IFERROR(__xludf.DUMMYFUNCTION("IFERROR(VLOOKUP(BG337,IMPORTRANGE(""https://docs.google.com/spreadsheets/d/1juPI-Fb8LD0YtltB2mlGEnp_R3UVu1t3wSFPzgCyHXE/edit?gid=0#gid=0"",""GERAL!A2:C""),3,0),""-"")"),"-")</f>
        <v>-</v>
      </c>
    </row>
    <row r="338" ht="15.75" customHeight="1">
      <c r="A338" s="111" t="s">
        <v>451</v>
      </c>
      <c r="B338" s="83" t="s">
        <v>1423</v>
      </c>
      <c r="C338" s="83" t="s">
        <v>68</v>
      </c>
      <c r="D338" s="112">
        <v>1179622.0</v>
      </c>
      <c r="E338" s="83"/>
      <c r="F338" s="83">
        <v>2.947316E7</v>
      </c>
      <c r="G338" s="187" t="s">
        <v>1424</v>
      </c>
      <c r="H338" s="91" t="s">
        <v>1425</v>
      </c>
      <c r="I338" s="83" t="s">
        <v>149</v>
      </c>
      <c r="J338" s="83" t="s">
        <v>244</v>
      </c>
      <c r="K338" s="83" t="s">
        <v>168</v>
      </c>
      <c r="L338" s="83" t="s">
        <v>169</v>
      </c>
      <c r="M338" s="82" t="str">
        <f>IFERROR(__xludf.DUMMYFUNCTION("IFERROR(VLOOKUP(D338,
IMPORTRANGE(""https://docs.google.com/spreadsheets/d/1MjHtlUikwobi2MaWJgy7tfLeBmhj1u-dRFRs_8GwSoA/edit#gid=0"",""Gestores Escolares!D7:J""),3,0),""VERIFICAR CÓD SEC"")"),"ADMILSON SILVA AMARAL")</f>
        <v>ADMILSON SILVA AMARAL</v>
      </c>
      <c r="N338" s="82" t="str">
        <f>IFERROR(__xludf.DUMMYFUNCTION("IFERROR(VLOOKUP(D338,
IMPORTRANGE(""https://docs.google.com/spreadsheets/d/1MjHtlUikwobi2MaWJgy7tfLeBmhj1u-dRFRs_8GwSoA/edit#gid=0"",""Gestores Escolares!D7:J""),4,0),""VERIFICAR CÓD SEC"")"),"(73) 9 8834-5668")</f>
        <v>(73) 9 8834-5668</v>
      </c>
      <c r="O338" s="82" t="str">
        <f>IFERROR(__xludf.DUMMYFUNCTION("IFERROR(VLOOKUP(D338,
IMPORTRANGE(""https://docs.google.com/spreadsheets/d/1MjHtlUikwobi2MaWJgy7tfLeBmhj1u-dRFRs_8GwSoA/edit#gid=0"",""Gestores Escolares!D7:J""),6,0),""VERIFICAR CÓD SEC"")"),"SORAIA CONCEICAO ALMEIDA")</f>
        <v>SORAIA CONCEICAO ALMEIDA</v>
      </c>
      <c r="P338" s="82" t="str">
        <f>IFERROR(__xludf.DUMMYFUNCTION("IFERROR(VLOOKUP(D338,
IMPORTRANGE(""https://docs.google.com/spreadsheets/d/1MjHtlUikwobi2MaWJgy7tfLeBmhj1u-dRFRs_8GwSoA/edit#gid=0"",""Gestores Escolares!D7:J""),7,0),""VERIFICAR CÓD SEC"")"),"(73) 9 9141-0408")</f>
        <v>(73) 9 9141-0408</v>
      </c>
      <c r="Q338" s="82" t="str">
        <f>IFERROR(__xludf.DUMMYFUNCTION("IFERROR(VLOOKUP(D338,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38" s="82" t="str">
        <f>IFERROR(__xludf.DUMMYFUNCTION("IFERROR(VLOOKUP(D338,
IMPORTRANGE(""https://docs.google.com/spreadsheets/d/1MjHtlUikwobi2MaWJgy7tfLeBmhj1u-dRFRs_8GwSoA/edit#gid=0"",""Gestores Escolares!D7:m""),10,0),""VERIFICAR CÓD SEC"")"),"")</f>
        <v/>
      </c>
      <c r="S338" s="82"/>
      <c r="T338" s="138">
        <v>7.0</v>
      </c>
      <c r="U338" s="152">
        <v>7.0</v>
      </c>
      <c r="V338" s="106">
        <v>0.0</v>
      </c>
      <c r="W338" s="107">
        <v>24.0</v>
      </c>
      <c r="X338" s="107">
        <v>0.0</v>
      </c>
      <c r="Y338" s="107">
        <v>0.0</v>
      </c>
      <c r="Z338" s="80">
        <f t="shared" si="1"/>
        <v>24</v>
      </c>
      <c r="AA338" s="106">
        <v>55.0</v>
      </c>
      <c r="AB338" s="107">
        <v>56.0</v>
      </c>
      <c r="AC338" s="107">
        <v>0.0</v>
      </c>
      <c r="AD338" s="107">
        <v>0.0</v>
      </c>
      <c r="AE338" s="80">
        <f t="shared" si="2"/>
        <v>111</v>
      </c>
      <c r="AF338" s="140">
        <v>0.0</v>
      </c>
      <c r="AG338" s="109">
        <v>0.0</v>
      </c>
      <c r="AH338" s="109">
        <v>0.0</v>
      </c>
      <c r="AI338" s="141">
        <v>0.0</v>
      </c>
      <c r="AJ338" s="80">
        <f t="shared" si="3"/>
        <v>0</v>
      </c>
      <c r="AK338" s="140">
        <v>0.0</v>
      </c>
      <c r="AL338" s="109">
        <v>0.0</v>
      </c>
      <c r="AM338" s="141">
        <v>43.0</v>
      </c>
      <c r="AN338" s="80">
        <f t="shared" si="4"/>
        <v>43</v>
      </c>
      <c r="AO338" s="140">
        <v>0.0</v>
      </c>
      <c r="AP338" s="109">
        <v>0.0</v>
      </c>
      <c r="AQ338" s="109">
        <v>23.0</v>
      </c>
      <c r="AR338" s="80">
        <f t="shared" si="5"/>
        <v>23</v>
      </c>
      <c r="AS338" s="110">
        <v>0.0</v>
      </c>
      <c r="AT338" s="110">
        <v>0.0</v>
      </c>
      <c r="AU338" s="110">
        <v>0.0</v>
      </c>
      <c r="AV338" s="142">
        <v>0.0</v>
      </c>
      <c r="AW338" s="80">
        <f t="shared" si="6"/>
        <v>0</v>
      </c>
      <c r="AX338" s="113">
        <f t="shared" si="7"/>
        <v>201</v>
      </c>
      <c r="AY338" s="117">
        <f t="shared" si="8"/>
        <v>135</v>
      </c>
      <c r="AZ338" s="120">
        <f t="shared" si="9"/>
        <v>66</v>
      </c>
      <c r="BA338" s="115">
        <v>0.0</v>
      </c>
      <c r="BB338" s="89">
        <f t="shared" si="10"/>
        <v>201</v>
      </c>
      <c r="BC338" s="143" t="s">
        <v>1294</v>
      </c>
      <c r="BD338" s="132" t="s">
        <v>178</v>
      </c>
      <c r="BE338" s="132" t="s">
        <v>178</v>
      </c>
      <c r="BF338" s="156"/>
      <c r="BG338" s="83">
        <v>1179622.0</v>
      </c>
      <c r="BH338" s="112"/>
      <c r="BI338" s="112">
        <v>7.0</v>
      </c>
      <c r="BJ338" s="98" t="s">
        <v>155</v>
      </c>
      <c r="BK338" s="99">
        <f t="shared" si="11"/>
        <v>0</v>
      </c>
      <c r="BL338" s="99">
        <f t="shared" si="12"/>
        <v>135</v>
      </c>
      <c r="BM338" s="99" t="str">
        <f>IFERROR(__xludf.DUMMYFUNCTION("IFERROR(VLOOKUP(BG338,IMPORTRANGE(""https://docs.google.com/spreadsheets/d/1juPI-Fb8LD0YtltB2mlGEnp_R3UVu1t3wSFPzgCyHXE/edit?gid=0#gid=0"",""GERAL!A2:C""),3,0),""-"")"),"INDÍGENAS")</f>
        <v>INDÍGENAS</v>
      </c>
    </row>
    <row r="339" ht="15.75" customHeight="1">
      <c r="A339" s="111" t="s">
        <v>451</v>
      </c>
      <c r="B339" s="83" t="s">
        <v>1423</v>
      </c>
      <c r="C339" s="83" t="s">
        <v>68</v>
      </c>
      <c r="D339" s="112">
        <v>1176675.0</v>
      </c>
      <c r="E339" s="83"/>
      <c r="F339" s="83">
        <v>2.9406889E7</v>
      </c>
      <c r="G339" s="119" t="s">
        <v>1426</v>
      </c>
      <c r="H339" s="91" t="s">
        <v>1427</v>
      </c>
      <c r="I339" s="83" t="s">
        <v>149</v>
      </c>
      <c r="J339" s="83" t="s">
        <v>150</v>
      </c>
      <c r="K339" s="83" t="s">
        <v>151</v>
      </c>
      <c r="L339" s="83" t="s">
        <v>152</v>
      </c>
      <c r="M339" s="82" t="str">
        <f>IFERROR(__xludf.DUMMYFUNCTION("IFERROR(VLOOKUP(D339,
IMPORTRANGE(""https://docs.google.com/spreadsheets/d/1MjHtlUikwobi2MaWJgy7tfLeBmhj1u-dRFRs_8GwSoA/edit#gid=0"",""Gestores Escolares!D7:J""),3,0),""VERIFICAR CÓD SEC"")"),"   ADELINE GOMES DA SILVA ")</f>
        <v>   ADELINE GOMES DA SILVA </v>
      </c>
      <c r="N339" s="82" t="str">
        <f>IFERROR(__xludf.DUMMYFUNCTION("IFERROR(VLOOKUP(D339,
IMPORTRANGE(""https://docs.google.com/spreadsheets/d/1MjHtlUikwobi2MaWJgy7tfLeBmhj1u-dRFRs_8GwSoA/edit#gid=0"",""Gestores Escolares!D7:J""),4,0),""VERIFICAR CÓD SEC"")"),"(73) 9 9196-5955")</f>
        <v>(73) 9 9196-5955</v>
      </c>
      <c r="O339" s="82" t="str">
        <f>IFERROR(__xludf.DUMMYFUNCTION("IFERROR(VLOOKUP(D339,
IMPORTRANGE(""https://docs.google.com/spreadsheets/d/1MjHtlUikwobi2MaWJgy7tfLeBmhj1u-dRFRs_8GwSoA/edit#gid=0"",""Gestores Escolares!D7:J""),6,0),""VERIFICAR CÓD SEC"")"),"JEAN PIERRE NASCIMENTO COSTA")</f>
        <v>JEAN PIERRE NASCIMENTO COSTA</v>
      </c>
      <c r="P339" s="82" t="str">
        <f>IFERROR(__xludf.DUMMYFUNCTION("IFERROR(VLOOKUP(D339,
IMPORTRANGE(""https://docs.google.com/spreadsheets/d/1MjHtlUikwobi2MaWJgy7tfLeBmhj1u-dRFRs_8GwSoA/edit#gid=0"",""Gestores Escolares!D7:J""),7,0),""VERIFICAR CÓD SEC"")"),"(73) 9 8179- 9198")</f>
        <v>(73) 9 8179- 9198</v>
      </c>
      <c r="Q339" s="82" t="str">
        <f>IFERROR(__xludf.DUMMYFUNCTION("IFERROR(VLOOKUP(D339,
IMPORTRANGE(""https://docs.google.com/spreadsheets/d/1MjHtlUikwobi2MaWJgy7tfLeBmhj1u-dRFRs_8GwSoA/edit#gid=0"",""Gestores Escolares!D7:m""),9,0),""VERIFICAR CÓD SEC"")"),"ACACIA BASTOS COUTO PINTO")</f>
        <v>ACACIA BASTOS COUTO PINTO</v>
      </c>
      <c r="R339" s="82" t="str">
        <f>IFERROR(__xludf.DUMMYFUNCTION("IFERROR(VLOOKUP(D339,
IMPORTRANGE(""https://docs.google.com/spreadsheets/d/1MjHtlUikwobi2MaWJgy7tfLeBmhj1u-dRFRs_8GwSoA/edit#gid=0"",""Gestores Escolares!D7:m""),10,0),""VERIFICAR CÓD SEC"")"),"(71) 9 9124-8368")</f>
        <v>(71) 9 9124-8368</v>
      </c>
      <c r="S339" s="82"/>
      <c r="T339" s="138">
        <v>10.0</v>
      </c>
      <c r="U339" s="152">
        <v>10.0</v>
      </c>
      <c r="V339" s="106">
        <v>0.0</v>
      </c>
      <c r="W339" s="107">
        <v>0.0</v>
      </c>
      <c r="X339" s="107">
        <v>0.0</v>
      </c>
      <c r="Y339" s="107">
        <v>0.0</v>
      </c>
      <c r="Z339" s="80">
        <f t="shared" si="1"/>
        <v>0</v>
      </c>
      <c r="AA339" s="106">
        <v>0.0</v>
      </c>
      <c r="AB339" s="107">
        <v>0.0</v>
      </c>
      <c r="AC339" s="107">
        <v>0.0</v>
      </c>
      <c r="AD339" s="107">
        <v>0.0</v>
      </c>
      <c r="AE339" s="80">
        <f t="shared" si="2"/>
        <v>0</v>
      </c>
      <c r="AF339" s="140">
        <v>0.0</v>
      </c>
      <c r="AG339" s="109">
        <v>0.0</v>
      </c>
      <c r="AH339" s="109">
        <v>0.0</v>
      </c>
      <c r="AI339" s="141">
        <v>89.0</v>
      </c>
      <c r="AJ339" s="80">
        <f t="shared" si="3"/>
        <v>89</v>
      </c>
      <c r="AK339" s="140">
        <v>0.0</v>
      </c>
      <c r="AL339" s="109">
        <v>0.0</v>
      </c>
      <c r="AM339" s="141">
        <v>0.0</v>
      </c>
      <c r="AN339" s="80">
        <f t="shared" si="4"/>
        <v>0</v>
      </c>
      <c r="AO339" s="140">
        <v>0.0</v>
      </c>
      <c r="AP339" s="109">
        <v>0.0</v>
      </c>
      <c r="AQ339" s="109">
        <v>65.0</v>
      </c>
      <c r="AR339" s="80">
        <f t="shared" si="5"/>
        <v>65</v>
      </c>
      <c r="AS339" s="110">
        <v>0.0</v>
      </c>
      <c r="AT339" s="110">
        <v>0.0</v>
      </c>
      <c r="AU339" s="110">
        <v>99.0</v>
      </c>
      <c r="AV339" s="142">
        <v>66.0</v>
      </c>
      <c r="AW339" s="80">
        <f t="shared" si="6"/>
        <v>165</v>
      </c>
      <c r="AX339" s="113">
        <f t="shared" si="7"/>
        <v>319</v>
      </c>
      <c r="AY339" s="117">
        <f t="shared" si="8"/>
        <v>155</v>
      </c>
      <c r="AZ339" s="120">
        <f t="shared" si="9"/>
        <v>164</v>
      </c>
      <c r="BA339" s="115">
        <v>0.0</v>
      </c>
      <c r="BB339" s="89">
        <f t="shared" si="10"/>
        <v>319</v>
      </c>
      <c r="BC339" s="132" t="s">
        <v>178</v>
      </c>
      <c r="BD339" s="132" t="s">
        <v>178</v>
      </c>
      <c r="BE339" s="132" t="s">
        <v>178</v>
      </c>
      <c r="BF339" s="156"/>
      <c r="BG339" s="83">
        <v>1176675.0</v>
      </c>
      <c r="BH339" s="112"/>
      <c r="BI339" s="112">
        <v>10.0</v>
      </c>
      <c r="BJ339" s="98" t="s">
        <v>155</v>
      </c>
      <c r="BK339" s="99">
        <f t="shared" si="11"/>
        <v>155</v>
      </c>
      <c r="BL339" s="99">
        <f t="shared" si="12"/>
        <v>0</v>
      </c>
      <c r="BM339" s="99" t="str">
        <f>IFERROR(__xludf.DUMMYFUNCTION("IFERROR(VLOOKUP(BG339,IMPORTRANGE(""https://docs.google.com/spreadsheets/d/1juPI-Fb8LD0YtltB2mlGEnp_R3UVu1t3wSFPzgCyHXE/edit?gid=0#gid=0"",""GERAL!A2:C""),3,0),""-"")"),"-")</f>
        <v>-</v>
      </c>
    </row>
    <row r="340" ht="15.75" customHeight="1">
      <c r="A340" s="111" t="s">
        <v>451</v>
      </c>
      <c r="B340" s="83" t="s">
        <v>1423</v>
      </c>
      <c r="C340" s="83" t="s">
        <v>68</v>
      </c>
      <c r="D340" s="112">
        <v>1178075.0</v>
      </c>
      <c r="E340" s="83"/>
      <c r="F340" s="83">
        <v>2.9431298E7</v>
      </c>
      <c r="G340" s="119" t="s">
        <v>1429</v>
      </c>
      <c r="H340" s="91" t="s">
        <v>1430</v>
      </c>
      <c r="I340" s="136" t="s">
        <v>149</v>
      </c>
      <c r="J340" s="83" t="s">
        <v>767</v>
      </c>
      <c r="K340" s="83" t="s">
        <v>151</v>
      </c>
      <c r="L340" s="83" t="s">
        <v>76</v>
      </c>
      <c r="M340" s="82" t="str">
        <f>IFERROR(__xludf.DUMMYFUNCTION("IFERROR(VLOOKUP(D340,
IMPORTRANGE(""https://docs.google.com/spreadsheets/d/1MjHtlUikwobi2MaWJgy7tfLeBmhj1u-dRFRs_8GwSoA/edit#gid=0"",""Gestores Escolares!D7:J""),3,0),""VERIFICAR CÓD SEC"")"),"MARIA JESUINA BARBOSA DOS SANTOS ")</f>
        <v>MARIA JESUINA BARBOSA DOS SANTOS </v>
      </c>
      <c r="N340" s="82" t="str">
        <f>IFERROR(__xludf.DUMMYFUNCTION("IFERROR(VLOOKUP(D340,
IMPORTRANGE(""https://docs.google.com/spreadsheets/d/1MjHtlUikwobi2MaWJgy7tfLeBmhj1u-dRFRs_8GwSoA/edit#gid=0"",""Gestores Escolares!D7:J""),4,0),""VERIFICAR CÓD SEC"")"),"(73) 9 8854-4876")</f>
        <v>(73) 9 8854-4876</v>
      </c>
      <c r="O340" s="82" t="str">
        <f>IFERROR(__xludf.DUMMYFUNCTION("IFERROR(VLOOKUP(D340,
IMPORTRANGE(""https://docs.google.com/spreadsheets/d/1MjHtlUikwobi2MaWJgy7tfLeBmhj1u-dRFRs_8GwSoA/edit#gid=0"",""Gestores Escolares!D7:J""),6,0),""VERIFICAR CÓD SEC"")"),"")</f>
        <v/>
      </c>
      <c r="P340" s="82" t="str">
        <f>IFERROR(__xludf.DUMMYFUNCTION("IFERROR(VLOOKUP(D340,
IMPORTRANGE(""https://docs.google.com/spreadsheets/d/1MjHtlUikwobi2MaWJgy7tfLeBmhj1u-dRFRs_8GwSoA/edit#gid=0"",""Gestores Escolares!D7:J""),7,0),""VERIFICAR CÓD SEC"")"),"")</f>
        <v/>
      </c>
      <c r="Q340" s="82" t="str">
        <f>IFERROR(__xludf.DUMMYFUNCTION("IFERROR(VLOOKUP(D340,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40" s="82" t="str">
        <f>IFERROR(__xludf.DUMMYFUNCTION("IFERROR(VLOOKUP(D340,
IMPORTRANGE(""https://docs.google.com/spreadsheets/d/1MjHtlUikwobi2MaWJgy7tfLeBmhj1u-dRFRs_8GwSoA/edit#gid=0"",""Gestores Escolares!D7:m""),10,0),""VERIFICAR CÓD SEC"")"),"")</f>
        <v/>
      </c>
      <c r="S340" s="82"/>
      <c r="T340" s="138">
        <v>9.0</v>
      </c>
      <c r="U340" s="152">
        <v>9.0</v>
      </c>
      <c r="V340" s="106">
        <v>0.0</v>
      </c>
      <c r="W340" s="107">
        <v>28.0</v>
      </c>
      <c r="X340" s="107">
        <v>0.0</v>
      </c>
      <c r="Y340" s="107">
        <v>0.0</v>
      </c>
      <c r="Z340" s="80">
        <f t="shared" si="1"/>
        <v>28</v>
      </c>
      <c r="AA340" s="106">
        <v>138.0</v>
      </c>
      <c r="AB340" s="107">
        <v>97.0</v>
      </c>
      <c r="AC340" s="107">
        <v>0.0</v>
      </c>
      <c r="AD340" s="107">
        <v>0.0</v>
      </c>
      <c r="AE340" s="80">
        <f t="shared" si="2"/>
        <v>235</v>
      </c>
      <c r="AF340" s="140">
        <v>34.0</v>
      </c>
      <c r="AG340" s="109">
        <v>0.0</v>
      </c>
      <c r="AH340" s="109">
        <v>0.0</v>
      </c>
      <c r="AI340" s="141">
        <v>0.0</v>
      </c>
      <c r="AJ340" s="80">
        <f t="shared" si="3"/>
        <v>34</v>
      </c>
      <c r="AK340" s="140">
        <v>0.0</v>
      </c>
      <c r="AL340" s="109">
        <v>0.0</v>
      </c>
      <c r="AM340" s="141">
        <v>65.0</v>
      </c>
      <c r="AN340" s="80">
        <f t="shared" si="4"/>
        <v>65</v>
      </c>
      <c r="AO340" s="140">
        <v>0.0</v>
      </c>
      <c r="AP340" s="109">
        <v>0.0</v>
      </c>
      <c r="AQ340" s="109">
        <v>34.0</v>
      </c>
      <c r="AR340" s="80">
        <f t="shared" si="5"/>
        <v>34</v>
      </c>
      <c r="AS340" s="110">
        <v>0.0</v>
      </c>
      <c r="AT340" s="110">
        <v>0.0</v>
      </c>
      <c r="AU340" s="110">
        <v>0.0</v>
      </c>
      <c r="AV340" s="142">
        <v>0.0</v>
      </c>
      <c r="AW340" s="80">
        <f t="shared" si="6"/>
        <v>0</v>
      </c>
      <c r="AX340" s="113">
        <f t="shared" si="7"/>
        <v>396</v>
      </c>
      <c r="AY340" s="117">
        <f t="shared" si="8"/>
        <v>297</v>
      </c>
      <c r="AZ340" s="120">
        <f t="shared" si="9"/>
        <v>99</v>
      </c>
      <c r="BA340" s="115">
        <v>0.0</v>
      </c>
      <c r="BB340" s="89">
        <f t="shared" si="10"/>
        <v>396</v>
      </c>
      <c r="BC340" s="143" t="s">
        <v>1294</v>
      </c>
      <c r="BD340" s="132" t="s">
        <v>178</v>
      </c>
      <c r="BE340" s="132" t="s">
        <v>178</v>
      </c>
      <c r="BF340" s="123"/>
      <c r="BG340" s="83">
        <v>1178075.0</v>
      </c>
      <c r="BH340" s="112"/>
      <c r="BI340" s="112">
        <v>9.0</v>
      </c>
      <c r="BJ340" s="98" t="s">
        <v>155</v>
      </c>
      <c r="BK340" s="99">
        <f t="shared" si="11"/>
        <v>0</v>
      </c>
      <c r="BL340" s="99">
        <f t="shared" si="12"/>
        <v>297</v>
      </c>
      <c r="BM340" s="99" t="str">
        <f>IFERROR(__xludf.DUMMYFUNCTION("IFERROR(VLOOKUP(BG340,IMPORTRANGE(""https://docs.google.com/spreadsheets/d/1juPI-Fb8LD0YtltB2mlGEnp_R3UVu1t3wSFPzgCyHXE/edit?gid=0#gid=0"",""GERAL!A2:C""),3,0),""-"")"),"INDÍGENAS")</f>
        <v>INDÍGENAS</v>
      </c>
    </row>
    <row r="341" ht="15.75" customHeight="1">
      <c r="A341" s="111" t="s">
        <v>451</v>
      </c>
      <c r="B341" s="83" t="s">
        <v>1423</v>
      </c>
      <c r="C341" s="83" t="s">
        <v>68</v>
      </c>
      <c r="D341" s="208">
        <v>1179275.0</v>
      </c>
      <c r="E341" s="83"/>
      <c r="F341" s="83">
        <v>2.9462266E7</v>
      </c>
      <c r="G341" s="398" t="s">
        <v>1432</v>
      </c>
      <c r="H341" s="91" t="s">
        <v>1433</v>
      </c>
      <c r="I341" s="83" t="s">
        <v>149</v>
      </c>
      <c r="J341" s="83" t="s">
        <v>767</v>
      </c>
      <c r="K341" s="83" t="s">
        <v>151</v>
      </c>
      <c r="L341" s="83" t="s">
        <v>169</v>
      </c>
      <c r="M341" s="82" t="str">
        <f>IFERROR(__xludf.DUMMYFUNCTION("IFERROR(VLOOKUP(D341,
IMPORTRANGE(""https://docs.google.com/spreadsheets/d/1MjHtlUikwobi2MaWJgy7tfLeBmhj1u-dRFRs_8GwSoA/edit#gid=0"",""Gestores Escolares!D7:J""),3,0),""VERIFICAR CÓD SEC"")"),"EDNA MARIA PEREIRA SANTOS")</f>
        <v>EDNA MARIA PEREIRA SANTOS</v>
      </c>
      <c r="N341" s="82" t="str">
        <f>IFERROR(__xludf.DUMMYFUNCTION("IFERROR(VLOOKUP(D341,
IMPORTRANGE(""https://docs.google.com/spreadsheets/d/1MjHtlUikwobi2MaWJgy7tfLeBmhj1u-dRFRs_8GwSoA/edit#gid=0"",""Gestores Escolares!D7:J""),4,0),""VERIFICAR CÓD SEC"")"),"(73) 9 8127-2856
")</f>
        <v>(73) 9 8127-2856
</v>
      </c>
      <c r="O341" s="82" t="str">
        <f>IFERROR(__xludf.DUMMYFUNCTION("IFERROR(VLOOKUP(D341,
IMPORTRANGE(""https://docs.google.com/spreadsheets/d/1MjHtlUikwobi2MaWJgy7tfLeBmhj1u-dRFRs_8GwSoA/edit#gid=0"",""Gestores Escolares!D7:J""),6,0),""VERIFICAR CÓD SEC"")"),"MAURICIO DEZIDERIO ROCHA")</f>
        <v>MAURICIO DEZIDERIO ROCHA</v>
      </c>
      <c r="P341" s="82" t="str">
        <f>IFERROR(__xludf.DUMMYFUNCTION("IFERROR(VLOOKUP(D341,
IMPORTRANGE(""https://docs.google.com/spreadsheets/d/1MjHtlUikwobi2MaWJgy7tfLeBmhj1u-dRFRs_8GwSoA/edit#gid=0"",""Gestores Escolares!D7:J""),7,0),""VERIFICAR CÓD SEC"")"),"(73) 9 8102-7684")</f>
        <v>(73) 9 8102-7684</v>
      </c>
      <c r="Q341" s="82" t="str">
        <f>IFERROR(__xludf.DUMMYFUNCTION("IFERROR(VLOOKUP(D341,
IMPORTRANGE(""https://docs.google.com/spreadsheets/d/1MjHtlUikwobi2MaWJgy7tfLeBmhj1u-dRFRs_8GwSoA/edit#gid=0"",""Gestores Escolares!D7:m""),9,0),""VERIFICAR CÓD SEC"")"),"")</f>
        <v/>
      </c>
      <c r="R341" s="82" t="str">
        <f>IFERROR(__xludf.DUMMYFUNCTION("IFERROR(VLOOKUP(D341,
IMPORTRANGE(""https://docs.google.com/spreadsheets/d/1MjHtlUikwobi2MaWJgy7tfLeBmhj1u-dRFRs_8GwSoA/edit#gid=0"",""Gestores Escolares!D7:m""),10,0),""VERIFICAR CÓD SEC"")"),"")</f>
        <v/>
      </c>
      <c r="S341" s="82"/>
      <c r="T341" s="138">
        <v>7.0</v>
      </c>
      <c r="U341" s="152">
        <v>4.0</v>
      </c>
      <c r="V341" s="106">
        <v>0.0</v>
      </c>
      <c r="W341" s="107">
        <v>18.0</v>
      </c>
      <c r="X341" s="107">
        <v>0.0</v>
      </c>
      <c r="Y341" s="107">
        <v>0.0</v>
      </c>
      <c r="Z341" s="80">
        <f t="shared" si="1"/>
        <v>18</v>
      </c>
      <c r="AA341" s="106">
        <v>90.0</v>
      </c>
      <c r="AB341" s="107">
        <v>49.0</v>
      </c>
      <c r="AC341" s="107">
        <v>0.0</v>
      </c>
      <c r="AD341" s="107">
        <v>0.0</v>
      </c>
      <c r="AE341" s="80">
        <f t="shared" si="2"/>
        <v>139</v>
      </c>
      <c r="AF341" s="140">
        <v>28.0</v>
      </c>
      <c r="AG341" s="109">
        <v>0.0</v>
      </c>
      <c r="AH341" s="109">
        <v>0.0</v>
      </c>
      <c r="AI341" s="141">
        <v>0.0</v>
      </c>
      <c r="AJ341" s="80">
        <f t="shared" si="3"/>
        <v>28</v>
      </c>
      <c r="AK341" s="140">
        <v>0.0</v>
      </c>
      <c r="AL341" s="109">
        <v>0.0</v>
      </c>
      <c r="AM341" s="141">
        <v>29.0</v>
      </c>
      <c r="AN341" s="80">
        <f t="shared" si="4"/>
        <v>29</v>
      </c>
      <c r="AO341" s="140">
        <v>0.0</v>
      </c>
      <c r="AP341" s="109">
        <v>0.0</v>
      </c>
      <c r="AQ341" s="109">
        <v>19.0</v>
      </c>
      <c r="AR341" s="80">
        <f t="shared" si="5"/>
        <v>19</v>
      </c>
      <c r="AS341" s="110">
        <v>0.0</v>
      </c>
      <c r="AT341" s="110">
        <v>0.0</v>
      </c>
      <c r="AU341" s="110">
        <v>0.0</v>
      </c>
      <c r="AV341" s="142">
        <v>0.0</v>
      </c>
      <c r="AW341" s="80">
        <f t="shared" si="6"/>
        <v>0</v>
      </c>
      <c r="AX341" s="113">
        <f t="shared" si="7"/>
        <v>233</v>
      </c>
      <c r="AY341" s="117">
        <f t="shared" si="8"/>
        <v>185</v>
      </c>
      <c r="AZ341" s="120">
        <f t="shared" si="9"/>
        <v>48</v>
      </c>
      <c r="BA341" s="115">
        <v>0.0</v>
      </c>
      <c r="BB341" s="89">
        <f t="shared" si="10"/>
        <v>233</v>
      </c>
      <c r="BC341" s="143" t="s">
        <v>1294</v>
      </c>
      <c r="BD341" s="132" t="s">
        <v>178</v>
      </c>
      <c r="BE341" s="132" t="s">
        <v>178</v>
      </c>
      <c r="BF341" s="156"/>
      <c r="BG341" s="83">
        <v>1179275.0</v>
      </c>
      <c r="BH341" s="112"/>
      <c r="BI341" s="112">
        <v>4.0</v>
      </c>
      <c r="BJ341" s="98" t="s">
        <v>155</v>
      </c>
      <c r="BK341" s="99">
        <f t="shared" si="11"/>
        <v>0</v>
      </c>
      <c r="BL341" s="99">
        <f t="shared" si="12"/>
        <v>185</v>
      </c>
      <c r="BM341" s="99" t="str">
        <f>IFERROR(__xludf.DUMMYFUNCTION("IFERROR(VLOOKUP(BG341,IMPORTRANGE(""https://docs.google.com/spreadsheets/d/1juPI-Fb8LD0YtltB2mlGEnp_R3UVu1t3wSFPzgCyHXE/edit?gid=0#gid=0"",""GERAL!A2:C""),3,0),""-"")"),"INDÍGENAS")</f>
        <v>INDÍGENAS</v>
      </c>
    </row>
    <row r="342" ht="15.75" customHeight="1">
      <c r="A342" s="111" t="s">
        <v>451</v>
      </c>
      <c r="B342" s="83" t="s">
        <v>1423</v>
      </c>
      <c r="C342" s="83" t="s">
        <v>68</v>
      </c>
      <c r="D342" s="98">
        <v>1179824.0</v>
      </c>
      <c r="E342" s="83"/>
      <c r="F342" s="395">
        <v>2.9496934E7</v>
      </c>
      <c r="G342" s="119" t="s">
        <v>1435</v>
      </c>
      <c r="H342" s="108" t="s">
        <v>1436</v>
      </c>
      <c r="I342" s="238"/>
      <c r="J342" s="83"/>
      <c r="K342" s="83" t="s">
        <v>168</v>
      </c>
      <c r="L342" s="83" t="s">
        <v>169</v>
      </c>
      <c r="M342" s="82" t="str">
        <f>IFERROR(__xludf.DUMMYFUNCTION("IFERROR(VLOOKUP(D342,
IMPORTRANGE(""https://docs.google.com/spreadsheets/d/1MjHtlUikwobi2MaWJgy7tfLeBmhj1u-dRFRs_8GwSoA/edit#gid=0"",""Gestores Escolares!D7:J""),3,0),""VERIFICAR CÓD SEC"")"),"CLEITON FRANCA AMORIM")</f>
        <v>CLEITON FRANCA AMORIM</v>
      </c>
      <c r="N342" s="82" t="str">
        <f>IFERROR(__xludf.DUMMYFUNCTION("IFERROR(VLOOKUP(D342,
IMPORTRANGE(""https://docs.google.com/spreadsheets/d/1MjHtlUikwobi2MaWJgy7tfLeBmhj1u-dRFRs_8GwSoA/edit#gid=0"",""Gestores Escolares!D7:J""),4,0),""VERIFICAR CÓD SEC"")"),"(73) 9 8125-5389")</f>
        <v>(73) 9 8125-5389</v>
      </c>
      <c r="O342" s="82" t="str">
        <f>IFERROR(__xludf.DUMMYFUNCTION("IFERROR(VLOOKUP(D342,
IMPORTRANGE(""https://docs.google.com/spreadsheets/d/1MjHtlUikwobi2MaWJgy7tfLeBmhj1u-dRFRs_8GwSoA/edit#gid=0"",""Gestores Escolares!D7:J""),6,0),""VERIFICAR CÓD SEC"")"),"")</f>
        <v/>
      </c>
      <c r="P342" s="82" t="str">
        <f>IFERROR(__xludf.DUMMYFUNCTION("IFERROR(VLOOKUP(D342,
IMPORTRANGE(""https://docs.google.com/spreadsheets/d/1MjHtlUikwobi2MaWJgy7tfLeBmhj1u-dRFRs_8GwSoA/edit#gid=0"",""Gestores Escolares!D7:J""),7,0),""VERIFICAR CÓD SEC"")"),"")</f>
        <v/>
      </c>
      <c r="Q342" s="82" t="str">
        <f>IFERROR(__xludf.DUMMYFUNCTION("IFERROR(VLOOKUP(D342,
IMPORTRANGE(""https://docs.google.com/spreadsheets/d/1MjHtlUikwobi2MaWJgy7tfLeBmhj1u-dRFRs_8GwSoA/edit#gid=0"",""Gestores Escolares!D7:m""),9,0),""VERIFICAR CÓD SEC"")"),"")</f>
        <v/>
      </c>
      <c r="R342" s="82" t="str">
        <f>IFERROR(__xludf.DUMMYFUNCTION("IFERROR(VLOOKUP(D342,
IMPORTRANGE(""https://docs.google.com/spreadsheets/d/1MjHtlUikwobi2MaWJgy7tfLeBmhj1u-dRFRs_8GwSoA/edit#gid=0"",""Gestores Escolares!D7:m""),10,0),""VERIFICAR CÓD SEC"")"),"")</f>
        <v/>
      </c>
      <c r="S342" s="82"/>
      <c r="T342" s="138"/>
      <c r="U342" s="152"/>
      <c r="V342" s="106">
        <v>0.0</v>
      </c>
      <c r="W342" s="107">
        <v>23.0</v>
      </c>
      <c r="X342" s="107">
        <v>0.0</v>
      </c>
      <c r="Y342" s="107">
        <v>0.0</v>
      </c>
      <c r="Z342" s="80">
        <f t="shared" si="1"/>
        <v>23</v>
      </c>
      <c r="AA342" s="106">
        <v>70.0</v>
      </c>
      <c r="AB342" s="107">
        <v>13.0</v>
      </c>
      <c r="AC342" s="107">
        <v>0.0</v>
      </c>
      <c r="AD342" s="107">
        <v>0.0</v>
      </c>
      <c r="AE342" s="80">
        <f t="shared" si="2"/>
        <v>83</v>
      </c>
      <c r="AF342" s="140">
        <v>0.0</v>
      </c>
      <c r="AG342" s="109">
        <v>0.0</v>
      </c>
      <c r="AH342" s="109">
        <v>0.0</v>
      </c>
      <c r="AI342" s="141">
        <v>0.0</v>
      </c>
      <c r="AJ342" s="80">
        <f t="shared" si="3"/>
        <v>0</v>
      </c>
      <c r="AK342" s="140">
        <v>0.0</v>
      </c>
      <c r="AL342" s="109">
        <v>0.0</v>
      </c>
      <c r="AM342" s="141">
        <v>26.0</v>
      </c>
      <c r="AN342" s="80">
        <f t="shared" si="4"/>
        <v>26</v>
      </c>
      <c r="AO342" s="140">
        <v>0.0</v>
      </c>
      <c r="AP342" s="109">
        <v>0.0</v>
      </c>
      <c r="AQ342" s="109">
        <v>26.0</v>
      </c>
      <c r="AR342" s="80">
        <f t="shared" si="5"/>
        <v>26</v>
      </c>
      <c r="AS342" s="110">
        <v>0.0</v>
      </c>
      <c r="AT342" s="110">
        <v>0.0</v>
      </c>
      <c r="AU342" s="110">
        <v>0.0</v>
      </c>
      <c r="AV342" s="142">
        <v>0.0</v>
      </c>
      <c r="AW342" s="80">
        <f t="shared" si="6"/>
        <v>0</v>
      </c>
      <c r="AX342" s="113">
        <f t="shared" si="7"/>
        <v>158</v>
      </c>
      <c r="AY342" s="117">
        <f t="shared" si="8"/>
        <v>106</v>
      </c>
      <c r="AZ342" s="120">
        <f t="shared" si="9"/>
        <v>52</v>
      </c>
      <c r="BA342" s="115">
        <v>0.0</v>
      </c>
      <c r="BB342" s="89">
        <f t="shared" si="10"/>
        <v>158</v>
      </c>
      <c r="BC342" s="132"/>
      <c r="BD342" s="132"/>
      <c r="BE342" s="132"/>
      <c r="BF342" s="156"/>
      <c r="BG342" s="98">
        <v>1179824.0</v>
      </c>
      <c r="BH342" s="112"/>
      <c r="BI342" s="112"/>
      <c r="BJ342" s="98"/>
      <c r="BK342" s="99">
        <f t="shared" si="11"/>
        <v>0</v>
      </c>
      <c r="BL342" s="99">
        <f t="shared" si="12"/>
        <v>106</v>
      </c>
      <c r="BM342" s="99" t="str">
        <f>IFERROR(__xludf.DUMMYFUNCTION("IFERROR(VLOOKUP(BG342,IMPORTRANGE(""https://docs.google.com/spreadsheets/d/1juPI-Fb8LD0YtltB2mlGEnp_R3UVu1t3wSFPzgCyHXE/edit?gid=0#gid=0"",""GERAL!A2:C""),3,0),""-"")"),"INDÍGENAS")</f>
        <v>INDÍGENAS</v>
      </c>
    </row>
    <row r="343" ht="15.75" customHeight="1">
      <c r="A343" s="111" t="s">
        <v>451</v>
      </c>
      <c r="B343" s="83" t="s">
        <v>1423</v>
      </c>
      <c r="C343" s="83" t="s">
        <v>68</v>
      </c>
      <c r="D343" s="84">
        <v>1179628.0</v>
      </c>
      <c r="E343" s="83"/>
      <c r="F343" s="83">
        <v>2.9473101E7</v>
      </c>
      <c r="G343" s="402" t="s">
        <v>1437</v>
      </c>
      <c r="H343" s="91" t="s">
        <v>1438</v>
      </c>
      <c r="I343" s="83" t="s">
        <v>1439</v>
      </c>
      <c r="J343" s="83" t="s">
        <v>767</v>
      </c>
      <c r="K343" s="83" t="s">
        <v>151</v>
      </c>
      <c r="L343" s="83" t="s">
        <v>76</v>
      </c>
      <c r="M343" s="82" t="str">
        <f>IFERROR(__xludf.DUMMYFUNCTION("IFERROR(VLOOKUP(D343,
IMPORTRANGE(""https://docs.google.com/spreadsheets/d/1MjHtlUikwobi2MaWJgy7tfLeBmhj1u-dRFRs_8GwSoA/edit#gid=0"",""Gestores Escolares!D7:J""),3,0),""VERIFICAR CÓD SEC"")"),"LEONARDO GONCALVES DE JESUS")</f>
        <v>LEONARDO GONCALVES DE JESUS</v>
      </c>
      <c r="N343" s="82" t="str">
        <f>IFERROR(__xludf.DUMMYFUNCTION("IFERROR(VLOOKUP(D343,
IMPORTRANGE(""https://docs.google.com/spreadsheets/d/1MjHtlUikwobi2MaWJgy7tfLeBmhj1u-dRFRs_8GwSoA/edit#gid=0"",""Gestores Escolares!D7:J""),4,0),""VERIFICAR CÓD SEC"")"),"(73) 9 8205-0172")</f>
        <v>(73) 9 8205-0172</v>
      </c>
      <c r="O343" s="82" t="str">
        <f>IFERROR(__xludf.DUMMYFUNCTION("IFERROR(VLOOKUP(D343,
IMPORTRANGE(""https://docs.google.com/spreadsheets/d/1MjHtlUikwobi2MaWJgy7tfLeBmhj1u-dRFRs_8GwSoA/edit#gid=0"",""Gestores Escolares!D7:J""),6,0),""VERIFICAR CÓD SEC"")"),"")</f>
        <v/>
      </c>
      <c r="P343" s="82" t="str">
        <f>IFERROR(__xludf.DUMMYFUNCTION("IFERROR(VLOOKUP(D343,
IMPORTRANGE(""https://docs.google.com/spreadsheets/d/1MjHtlUikwobi2MaWJgy7tfLeBmhj1u-dRFRs_8GwSoA/edit#gid=0"",""Gestores Escolares!D7:J""),7,0),""VERIFICAR CÓD SEC"")"),"")</f>
        <v/>
      </c>
      <c r="Q343" s="82" t="str">
        <f>IFERROR(__xludf.DUMMYFUNCTION("IFERROR(VLOOKUP(D343,
IMPORTRANGE(""https://docs.google.com/spreadsheets/d/1MjHtlUikwobi2MaWJgy7tfLeBmhj1u-dRFRs_8GwSoA/edit#gid=0"",""Gestores Escolares!D7:m""),9,0),""VERIFICAR CÓD SEC"")"),"")</f>
        <v/>
      </c>
      <c r="R343" s="82" t="str">
        <f>IFERROR(__xludf.DUMMYFUNCTION("IFERROR(VLOOKUP(D343,
IMPORTRANGE(""https://docs.google.com/spreadsheets/d/1MjHtlUikwobi2MaWJgy7tfLeBmhj1u-dRFRs_8GwSoA/edit#gid=0"",""Gestores Escolares!D7:m""),10,0),""VERIFICAR CÓD SEC"")"),"")</f>
        <v/>
      </c>
      <c r="S343" s="82"/>
      <c r="T343" s="138">
        <v>7.0</v>
      </c>
      <c r="U343" s="403">
        <v>7.0</v>
      </c>
      <c r="V343" s="106">
        <v>0.0</v>
      </c>
      <c r="W343" s="107">
        <v>9.0</v>
      </c>
      <c r="X343" s="107">
        <v>0.0</v>
      </c>
      <c r="Y343" s="107">
        <v>0.0</v>
      </c>
      <c r="Z343" s="80">
        <f t="shared" si="1"/>
        <v>9</v>
      </c>
      <c r="AA343" s="106">
        <v>52.0</v>
      </c>
      <c r="AB343" s="107">
        <v>47.0</v>
      </c>
      <c r="AC343" s="107">
        <v>0.0</v>
      </c>
      <c r="AD343" s="107">
        <v>0.0</v>
      </c>
      <c r="AE343" s="80">
        <f t="shared" si="2"/>
        <v>99</v>
      </c>
      <c r="AF343" s="140">
        <v>15.0</v>
      </c>
      <c r="AG343" s="109">
        <v>0.0</v>
      </c>
      <c r="AH343" s="109">
        <v>0.0</v>
      </c>
      <c r="AI343" s="141">
        <v>0.0</v>
      </c>
      <c r="AJ343" s="80">
        <f t="shared" si="3"/>
        <v>15</v>
      </c>
      <c r="AK343" s="140">
        <v>0.0</v>
      </c>
      <c r="AL343" s="109">
        <v>0.0</v>
      </c>
      <c r="AM343" s="141">
        <v>35.0</v>
      </c>
      <c r="AN343" s="80">
        <f t="shared" si="4"/>
        <v>35</v>
      </c>
      <c r="AO343" s="140">
        <v>0.0</v>
      </c>
      <c r="AP343" s="109">
        <v>0.0</v>
      </c>
      <c r="AQ343" s="109">
        <v>18.0</v>
      </c>
      <c r="AR343" s="80">
        <f t="shared" si="5"/>
        <v>18</v>
      </c>
      <c r="AS343" s="110">
        <v>0.0</v>
      </c>
      <c r="AT343" s="110">
        <v>0.0</v>
      </c>
      <c r="AU343" s="110">
        <v>0.0</v>
      </c>
      <c r="AV343" s="142">
        <v>0.0</v>
      </c>
      <c r="AW343" s="80">
        <f t="shared" si="6"/>
        <v>0</v>
      </c>
      <c r="AX343" s="113">
        <f t="shared" si="7"/>
        <v>176</v>
      </c>
      <c r="AY343" s="117">
        <f t="shared" si="8"/>
        <v>123</v>
      </c>
      <c r="AZ343" s="120">
        <f t="shared" si="9"/>
        <v>53</v>
      </c>
      <c r="BA343" s="115">
        <v>0.0</v>
      </c>
      <c r="BB343" s="89">
        <f t="shared" si="10"/>
        <v>176</v>
      </c>
      <c r="BC343" s="143" t="s">
        <v>1294</v>
      </c>
      <c r="BD343" s="132" t="s">
        <v>178</v>
      </c>
      <c r="BE343" s="132" t="s">
        <v>178</v>
      </c>
      <c r="BF343" s="156"/>
      <c r="BG343" s="83">
        <v>1179628.0</v>
      </c>
      <c r="BH343" s="112"/>
      <c r="BI343" s="112">
        <v>7.0</v>
      </c>
      <c r="BJ343" s="98" t="s">
        <v>155</v>
      </c>
      <c r="BK343" s="99">
        <f t="shared" si="11"/>
        <v>0</v>
      </c>
      <c r="BL343" s="99">
        <f t="shared" si="12"/>
        <v>123</v>
      </c>
      <c r="BM343" s="99" t="str">
        <f>IFERROR(__xludf.DUMMYFUNCTION("IFERROR(VLOOKUP(BG343,IMPORTRANGE(""https://docs.google.com/spreadsheets/d/1juPI-Fb8LD0YtltB2mlGEnp_R3UVu1t3wSFPzgCyHXE/edit?gid=0#gid=0"",""GERAL!A2:C""),3,0),""-"")"),"INDÍGENAS")</f>
        <v>INDÍGENAS</v>
      </c>
    </row>
    <row r="344" ht="15.75" customHeight="1">
      <c r="A344" s="111" t="s">
        <v>451</v>
      </c>
      <c r="B344" s="83" t="s">
        <v>1423</v>
      </c>
      <c r="C344" s="83" t="s">
        <v>68</v>
      </c>
      <c r="D344" s="112">
        <v>1111126.0</v>
      </c>
      <c r="E344" s="83"/>
      <c r="F344" s="83">
        <v>2.9302269E7</v>
      </c>
      <c r="G344" s="119" t="s">
        <v>1440</v>
      </c>
      <c r="H344" s="91" t="s">
        <v>1441</v>
      </c>
      <c r="I344" s="83" t="s">
        <v>149</v>
      </c>
      <c r="J344" s="83" t="s">
        <v>150</v>
      </c>
      <c r="K344" s="83" t="s">
        <v>151</v>
      </c>
      <c r="L344" s="83" t="s">
        <v>152</v>
      </c>
      <c r="M344" s="82" t="str">
        <f>IFERROR(__xludf.DUMMYFUNCTION("IFERROR(VLOOKUP(D344,
IMPORTRANGE(""https://docs.google.com/spreadsheets/d/1MjHtlUikwobi2MaWJgy7tfLeBmhj1u-dRFRs_8GwSoA/edit#gid=0"",""Gestores Escolares!D7:J""),3,0),""VERIFICAR CÓD SEC"")"),"JACIRA OLIVEIRA FERNANDES DOS SANTOS")</f>
        <v>JACIRA OLIVEIRA FERNANDES DOS SANTOS</v>
      </c>
      <c r="N344" s="82" t="str">
        <f>IFERROR(__xludf.DUMMYFUNCTION("IFERROR(VLOOKUP(D344,
IMPORTRANGE(""https://docs.google.com/spreadsheets/d/1MjHtlUikwobi2MaWJgy7tfLeBmhj1u-dRFRs_8GwSoA/edit#gid=0"",""Gestores Escolares!D7:J""),4,0),""VERIFICAR CÓD SEC"")"),"(73) 9 8822-3768")</f>
        <v>(73) 9 8822-3768</v>
      </c>
      <c r="O344" s="82" t="str">
        <f>IFERROR(__xludf.DUMMYFUNCTION("IFERROR(VLOOKUP(D344,
IMPORTRANGE(""https://docs.google.com/spreadsheets/d/1MjHtlUikwobi2MaWJgy7tfLeBmhj1u-dRFRs_8GwSoA/edit#gid=0"",""Gestores Escolares!D7:J""),6,0),""VERIFICAR CÓD SEC"")"),"PRISCILA SOUZA SANTOS DE AQUINO")</f>
        <v>PRISCILA SOUZA SANTOS DE AQUINO</v>
      </c>
      <c r="P344" s="82" t="str">
        <f>IFERROR(__xludf.DUMMYFUNCTION("IFERROR(VLOOKUP(D344,
IMPORTRANGE(""https://docs.google.com/spreadsheets/d/1MjHtlUikwobi2MaWJgy7tfLeBmhj1u-dRFRs_8GwSoA/edit#gid=0"",""Gestores Escolares!D7:J""),7,0),""VERIFICAR CÓD SEC"")"),"(73) 9 8816-5798")</f>
        <v>(73) 9 8816-5798</v>
      </c>
      <c r="Q344" s="82" t="str">
        <f>IFERROR(__xludf.DUMMYFUNCTION("IFERROR(VLOOKUP(D344,
IMPORTRANGE(""https://docs.google.com/spreadsheets/d/1MjHtlUikwobi2MaWJgy7tfLeBmhj1u-dRFRs_8GwSoA/edit#gid=0"",""Gestores Escolares!D7:m""),9,0),""VERIFICAR CÓD SEC"")"),"PHILLIPE OLIVEIRA FREIRE")</f>
        <v>PHILLIPE OLIVEIRA FREIRE</v>
      </c>
      <c r="R344" s="82" t="str">
        <f>IFERROR(__xludf.DUMMYFUNCTION("IFERROR(VLOOKUP(D344,
IMPORTRANGE(""https://docs.google.com/spreadsheets/d/1MjHtlUikwobi2MaWJgy7tfLeBmhj1u-dRFRs_8GwSoA/edit#gid=0"",""Gestores Escolares!D7:m""),10,0),""VERIFICAR CÓD SEC"")"),"(73) 9 8814-1105")</f>
        <v>(73) 9 8814-1105</v>
      </c>
      <c r="S344" s="82"/>
      <c r="T344" s="138">
        <v>7.0</v>
      </c>
      <c r="U344" s="403">
        <v>7.0</v>
      </c>
      <c r="V344" s="106">
        <v>0.0</v>
      </c>
      <c r="W344" s="107">
        <v>0.0</v>
      </c>
      <c r="X344" s="107">
        <v>0.0</v>
      </c>
      <c r="Y344" s="107">
        <v>0.0</v>
      </c>
      <c r="Z344" s="80">
        <f t="shared" si="1"/>
        <v>0</v>
      </c>
      <c r="AA344" s="106">
        <v>83.0</v>
      </c>
      <c r="AB344" s="107">
        <v>118.0</v>
      </c>
      <c r="AC344" s="107">
        <v>0.0</v>
      </c>
      <c r="AD344" s="107">
        <v>0.0</v>
      </c>
      <c r="AE344" s="80">
        <f t="shared" si="2"/>
        <v>201</v>
      </c>
      <c r="AF344" s="140">
        <v>13.0</v>
      </c>
      <c r="AG344" s="109">
        <v>0.0</v>
      </c>
      <c r="AH344" s="109">
        <v>0.0</v>
      </c>
      <c r="AI344" s="141">
        <v>108.0</v>
      </c>
      <c r="AJ344" s="80">
        <f t="shared" si="3"/>
        <v>121</v>
      </c>
      <c r="AK344" s="140">
        <v>0.0</v>
      </c>
      <c r="AL344" s="109">
        <v>0.0</v>
      </c>
      <c r="AM344" s="141">
        <v>0.0</v>
      </c>
      <c r="AN344" s="80">
        <f t="shared" si="4"/>
        <v>0</v>
      </c>
      <c r="AO344" s="140">
        <v>0.0</v>
      </c>
      <c r="AP344" s="109">
        <v>0.0</v>
      </c>
      <c r="AQ344" s="109">
        <v>34.0</v>
      </c>
      <c r="AR344" s="80">
        <f t="shared" si="5"/>
        <v>34</v>
      </c>
      <c r="AS344" s="110">
        <v>0.0</v>
      </c>
      <c r="AT344" s="110">
        <v>0.0</v>
      </c>
      <c r="AU344" s="110">
        <v>0.0</v>
      </c>
      <c r="AV344" s="142">
        <v>0.0</v>
      </c>
      <c r="AW344" s="80">
        <f t="shared" si="6"/>
        <v>0</v>
      </c>
      <c r="AX344" s="113">
        <f t="shared" si="7"/>
        <v>356</v>
      </c>
      <c r="AY344" s="117">
        <f t="shared" si="8"/>
        <v>322</v>
      </c>
      <c r="AZ344" s="120">
        <f t="shared" si="9"/>
        <v>34</v>
      </c>
      <c r="BA344" s="115">
        <v>0.0</v>
      </c>
      <c r="BB344" s="89">
        <f t="shared" si="10"/>
        <v>356</v>
      </c>
      <c r="BC344" s="132" t="s">
        <v>178</v>
      </c>
      <c r="BD344" s="132" t="s">
        <v>178</v>
      </c>
      <c r="BE344" s="132" t="s">
        <v>178</v>
      </c>
      <c r="BF344" s="123"/>
      <c r="BG344" s="83">
        <v>1111126.0</v>
      </c>
      <c r="BH344" s="112"/>
      <c r="BI344" s="112">
        <v>7.0</v>
      </c>
      <c r="BJ344" s="98" t="s">
        <v>155</v>
      </c>
      <c r="BK344" s="99">
        <f t="shared" si="11"/>
        <v>108</v>
      </c>
      <c r="BL344" s="99">
        <f t="shared" si="12"/>
        <v>214</v>
      </c>
      <c r="BM344" s="99" t="str">
        <f>IFERROR(__xludf.DUMMYFUNCTION("IFERROR(VLOOKUP(BG344,IMPORTRANGE(""https://docs.google.com/spreadsheets/d/1juPI-Fb8LD0YtltB2mlGEnp_R3UVu1t3wSFPzgCyHXE/edit?gid=0#gid=0"",""GERAL!A2:C""),3,0),""-"")"),"-")</f>
        <v>-</v>
      </c>
    </row>
    <row r="345" ht="15.75" customHeight="1">
      <c r="A345" s="111" t="s">
        <v>451</v>
      </c>
      <c r="B345" s="83" t="s">
        <v>1423</v>
      </c>
      <c r="C345" s="83" t="s">
        <v>68</v>
      </c>
      <c r="D345" s="112">
        <v>1111436.0</v>
      </c>
      <c r="E345" s="83"/>
      <c r="F345" s="83">
        <v>2.9303125E7</v>
      </c>
      <c r="G345" s="119" t="s">
        <v>1443</v>
      </c>
      <c r="H345" s="91" t="s">
        <v>1444</v>
      </c>
      <c r="I345" s="136" t="s">
        <v>149</v>
      </c>
      <c r="J345" s="83" t="s">
        <v>767</v>
      </c>
      <c r="K345" s="83" t="s">
        <v>151</v>
      </c>
      <c r="L345" s="83" t="s">
        <v>169</v>
      </c>
      <c r="M345" s="82" t="str">
        <f>IFERROR(__xludf.DUMMYFUNCTION("IFERROR(VLOOKUP(D345,
IMPORTRANGE(""https://docs.google.com/spreadsheets/d/1MjHtlUikwobi2MaWJgy7tfLeBmhj1u-dRFRs_8GwSoA/edit#gid=0"",""Gestores Escolares!D7:J""),3,0),""VERIFICAR CÓD SEC"")"),"EDJAN SOUZA DUARTE")</f>
        <v>EDJAN SOUZA DUARTE</v>
      </c>
      <c r="N345" s="82" t="str">
        <f>IFERROR(__xludf.DUMMYFUNCTION("IFERROR(VLOOKUP(D345,
IMPORTRANGE(""https://docs.google.com/spreadsheets/d/1MjHtlUikwobi2MaWJgy7tfLeBmhj1u-dRFRs_8GwSoA/edit#gid=0"",""Gestores Escolares!D7:J""),4,0),""VERIFICAR CÓD SEC"")"),"(73) 9 9969-7999")</f>
        <v>(73) 9 9969-7999</v>
      </c>
      <c r="O345" s="82" t="str">
        <f>IFERROR(__xludf.DUMMYFUNCTION("IFERROR(VLOOKUP(D345,
IMPORTRANGE(""https://docs.google.com/spreadsheets/d/1MjHtlUikwobi2MaWJgy7tfLeBmhj1u-dRFRs_8GwSoA/edit#gid=0"",""Gestores Escolares!D7:J""),6,0),""VERIFICAR CÓD SEC"")"),"BRENNA KAREN OLIVEIRA SILVA")</f>
        <v>BRENNA KAREN OLIVEIRA SILVA</v>
      </c>
      <c r="P345" s="82" t="str">
        <f>IFERROR(__xludf.DUMMYFUNCTION("IFERROR(VLOOKUP(D345,
IMPORTRANGE(""https://docs.google.com/spreadsheets/d/1MjHtlUikwobi2MaWJgy7tfLeBmhj1u-dRFRs_8GwSoA/edit#gid=0"",""Gestores Escolares!D7:J""),7,0),""VERIFICAR CÓD SEC"")"),"(73) 9 9145-2544")</f>
        <v>(73) 9 9145-2544</v>
      </c>
      <c r="Q345" s="82" t="str">
        <f>IFERROR(__xludf.DUMMYFUNCTION("IFERROR(VLOOKUP(D345,
IMPORTRANGE(""https://docs.google.com/spreadsheets/d/1MjHtlUikwobi2MaWJgy7tfLeBmhj1u-dRFRs_8GwSoA/edit#gid=0"",""Gestores Escolares!D7:m""),9,0),""VERIFICAR CÓD SEC"")"),"")</f>
        <v/>
      </c>
      <c r="R345" s="82" t="str">
        <f>IFERROR(__xludf.DUMMYFUNCTION("IFERROR(VLOOKUP(D345,
IMPORTRANGE(""https://docs.google.com/spreadsheets/d/1MjHtlUikwobi2MaWJgy7tfLeBmhj1u-dRFRs_8GwSoA/edit#gid=0"",""Gestores Escolares!D7:m""),10,0),""VERIFICAR CÓD SEC"")"),"")</f>
        <v/>
      </c>
      <c r="S345" s="82"/>
      <c r="T345" s="138">
        <v>6.0</v>
      </c>
      <c r="U345" s="403">
        <v>4.0</v>
      </c>
      <c r="V345" s="106">
        <v>0.0</v>
      </c>
      <c r="W345" s="107">
        <v>0.0</v>
      </c>
      <c r="X345" s="107">
        <v>0.0</v>
      </c>
      <c r="Y345" s="107">
        <v>0.0</v>
      </c>
      <c r="Z345" s="80">
        <f t="shared" si="1"/>
        <v>0</v>
      </c>
      <c r="AA345" s="106">
        <v>0.0</v>
      </c>
      <c r="AB345" s="107">
        <v>0.0</v>
      </c>
      <c r="AC345" s="107">
        <v>0.0</v>
      </c>
      <c r="AD345" s="107">
        <v>0.0</v>
      </c>
      <c r="AE345" s="80">
        <f t="shared" si="2"/>
        <v>0</v>
      </c>
      <c r="AF345" s="140">
        <v>0.0</v>
      </c>
      <c r="AG345" s="109">
        <v>0.0</v>
      </c>
      <c r="AH345" s="109">
        <v>0.0</v>
      </c>
      <c r="AI345" s="141">
        <v>90.0</v>
      </c>
      <c r="AJ345" s="80">
        <f t="shared" si="3"/>
        <v>90</v>
      </c>
      <c r="AK345" s="140">
        <v>0.0</v>
      </c>
      <c r="AL345" s="109">
        <v>0.0</v>
      </c>
      <c r="AM345" s="141">
        <v>0.0</v>
      </c>
      <c r="AN345" s="80">
        <f t="shared" si="4"/>
        <v>0</v>
      </c>
      <c r="AO345" s="140">
        <v>0.0</v>
      </c>
      <c r="AP345" s="109">
        <v>0.0</v>
      </c>
      <c r="AQ345" s="109">
        <v>34.0</v>
      </c>
      <c r="AR345" s="80">
        <f t="shared" si="5"/>
        <v>34</v>
      </c>
      <c r="AS345" s="110">
        <v>0.0</v>
      </c>
      <c r="AT345" s="110">
        <v>0.0</v>
      </c>
      <c r="AU345" s="110">
        <v>11.0</v>
      </c>
      <c r="AV345" s="142">
        <v>0.0</v>
      </c>
      <c r="AW345" s="80">
        <f t="shared" si="6"/>
        <v>11</v>
      </c>
      <c r="AX345" s="113">
        <f t="shared" si="7"/>
        <v>135</v>
      </c>
      <c r="AY345" s="117">
        <f t="shared" si="8"/>
        <v>90</v>
      </c>
      <c r="AZ345" s="120">
        <f t="shared" si="9"/>
        <v>45</v>
      </c>
      <c r="BA345" s="115">
        <v>0.0</v>
      </c>
      <c r="BB345" s="89">
        <f t="shared" si="10"/>
        <v>135</v>
      </c>
      <c r="BC345" s="132" t="s">
        <v>373</v>
      </c>
      <c r="BD345" s="132" t="s">
        <v>178</v>
      </c>
      <c r="BE345" s="132" t="s">
        <v>178</v>
      </c>
      <c r="BF345" s="123"/>
      <c r="BG345" s="83">
        <v>1111436.0</v>
      </c>
      <c r="BH345" s="112"/>
      <c r="BI345" s="112">
        <v>4.0</v>
      </c>
      <c r="BJ345" s="98" t="s">
        <v>155</v>
      </c>
      <c r="BK345" s="99">
        <f t="shared" si="11"/>
        <v>90</v>
      </c>
      <c r="BL345" s="99">
        <f t="shared" si="12"/>
        <v>0</v>
      </c>
      <c r="BM345" s="99" t="str">
        <f>IFERROR(__xludf.DUMMYFUNCTION("IFERROR(VLOOKUP(BG345,IMPORTRANGE(""https://docs.google.com/spreadsheets/d/1juPI-Fb8LD0YtltB2mlGEnp_R3UVu1t3wSFPzgCyHXE/edit?gid=0#gid=0"",""GERAL!A2:C""),3,0),""-"")"),"CAMPO")</f>
        <v>CAMPO</v>
      </c>
    </row>
    <row r="346" ht="15.75" customHeight="1">
      <c r="A346" s="111" t="s">
        <v>451</v>
      </c>
      <c r="B346" s="83" t="s">
        <v>1423</v>
      </c>
      <c r="C346" s="83" t="s">
        <v>68</v>
      </c>
      <c r="D346" s="112">
        <v>1169221.0</v>
      </c>
      <c r="E346" s="83"/>
      <c r="F346" s="83">
        <v>2.9301882E7</v>
      </c>
      <c r="G346" s="119" t="s">
        <v>1446</v>
      </c>
      <c r="H346" s="91" t="s">
        <v>1447</v>
      </c>
      <c r="I346" s="83" t="s">
        <v>1448</v>
      </c>
      <c r="J346" s="83" t="s">
        <v>150</v>
      </c>
      <c r="K346" s="83" t="s">
        <v>151</v>
      </c>
      <c r="L346" s="83" t="s">
        <v>152</v>
      </c>
      <c r="M346" s="82" t="str">
        <f>IFERROR(__xludf.DUMMYFUNCTION("IFERROR(VLOOKUP(D346,
IMPORTRANGE(""https://docs.google.com/spreadsheets/d/1MjHtlUikwobi2MaWJgy7tfLeBmhj1u-dRFRs_8GwSoA/edit#gid=0"",""Gestores Escolares!D7:J""),3,0),""VERIFICAR CÓD SEC"")"),"GLEIDE PIRES DE OLIVEIRA")</f>
        <v>GLEIDE PIRES DE OLIVEIRA</v>
      </c>
      <c r="N346" s="82" t="str">
        <f>IFERROR(__xludf.DUMMYFUNCTION("IFERROR(VLOOKUP(D346,
IMPORTRANGE(""https://docs.google.com/spreadsheets/d/1MjHtlUikwobi2MaWJgy7tfLeBmhj1u-dRFRs_8GwSoA/edit#gid=0"",""Gestores Escolares!D7:J""),4,0),""VERIFICAR CÓD SEC"")"),"(73) 9 8858-6428")</f>
        <v>(73) 9 8858-6428</v>
      </c>
      <c r="O346" s="82" t="str">
        <f>IFERROR(__xludf.DUMMYFUNCTION("IFERROR(VLOOKUP(D346,
IMPORTRANGE(""https://docs.google.com/spreadsheets/d/1MjHtlUikwobi2MaWJgy7tfLeBmhj1u-dRFRs_8GwSoA/edit#gid=0"",""Gestores Escolares!D7:J""),6,0),""VERIFICAR CÓD SEC"")"),"SARITA DANTAS SENA GONÇALVES")</f>
        <v>SARITA DANTAS SENA GONÇALVES</v>
      </c>
      <c r="P346" s="82" t="str">
        <f>IFERROR(__xludf.DUMMYFUNCTION("IFERROR(VLOOKUP(D346,
IMPORTRANGE(""https://docs.google.com/spreadsheets/d/1MjHtlUikwobi2MaWJgy7tfLeBmhj1u-dRFRs_8GwSoA/edit#gid=0"",""Gestores Escolares!D7:J""),7,0),""VERIFICAR CÓD SEC"")"),"(73) 9 9123-3386")</f>
        <v>(73) 9 9123-3386</v>
      </c>
      <c r="Q346" s="82" t="str">
        <f>IFERROR(__xludf.DUMMYFUNCTION("IFERROR(VLOOKUP(D346,
IMPORTRANGE(""https://docs.google.com/spreadsheets/d/1MjHtlUikwobi2MaWJgy7tfLeBmhj1u-dRFRs_8GwSoA/edit#gid=0"",""Gestores Escolares!D7:m""),9,0),""VERIFICAR CÓD SEC"")"),"RENATA PESTANA PACOVA")</f>
        <v>RENATA PESTANA PACOVA</v>
      </c>
      <c r="R346" s="82" t="str">
        <f>IFERROR(__xludf.DUMMYFUNCTION("IFERROR(VLOOKUP(D346,
IMPORTRANGE(""https://docs.google.com/spreadsheets/d/1MjHtlUikwobi2MaWJgy7tfLeBmhj1u-dRFRs_8GwSoA/edit#gid=0"",""Gestores Escolares!D7:m""),10,0),""VERIFICAR CÓD SEC"")"),"(73) 9 9901-6878")</f>
        <v>(73) 9 9901-6878</v>
      </c>
      <c r="S346" s="82"/>
      <c r="T346" s="138">
        <v>16.0</v>
      </c>
      <c r="U346" s="403">
        <v>16.0</v>
      </c>
      <c r="V346" s="106">
        <v>0.0</v>
      </c>
      <c r="W346" s="107">
        <v>0.0</v>
      </c>
      <c r="X346" s="107">
        <v>0.0</v>
      </c>
      <c r="Y346" s="107">
        <v>0.0</v>
      </c>
      <c r="Z346" s="80">
        <f t="shared" si="1"/>
        <v>0</v>
      </c>
      <c r="AA346" s="106">
        <v>0.0</v>
      </c>
      <c r="AB346" s="107">
        <v>0.0</v>
      </c>
      <c r="AC346" s="107">
        <v>0.0</v>
      </c>
      <c r="AD346" s="107">
        <v>0.0</v>
      </c>
      <c r="AE346" s="80">
        <f t="shared" si="2"/>
        <v>0</v>
      </c>
      <c r="AF346" s="140">
        <v>139.0</v>
      </c>
      <c r="AG346" s="109">
        <v>96.0</v>
      </c>
      <c r="AH346" s="109">
        <v>0.0</v>
      </c>
      <c r="AI346" s="141">
        <v>312.0</v>
      </c>
      <c r="AJ346" s="80">
        <f t="shared" si="3"/>
        <v>547</v>
      </c>
      <c r="AK346" s="140">
        <v>0.0</v>
      </c>
      <c r="AL346" s="109">
        <v>0.0</v>
      </c>
      <c r="AM346" s="141">
        <v>0.0</v>
      </c>
      <c r="AN346" s="80">
        <f t="shared" si="4"/>
        <v>0</v>
      </c>
      <c r="AO346" s="140">
        <v>0.0</v>
      </c>
      <c r="AP346" s="109">
        <v>0.0</v>
      </c>
      <c r="AQ346" s="109">
        <v>58.0</v>
      </c>
      <c r="AR346" s="80">
        <f t="shared" si="5"/>
        <v>58</v>
      </c>
      <c r="AS346" s="110">
        <v>0.0</v>
      </c>
      <c r="AT346" s="110">
        <v>0.0</v>
      </c>
      <c r="AU346" s="110">
        <v>52.0</v>
      </c>
      <c r="AV346" s="142">
        <v>28.0</v>
      </c>
      <c r="AW346" s="80">
        <f t="shared" si="6"/>
        <v>80</v>
      </c>
      <c r="AX346" s="113">
        <f t="shared" si="7"/>
        <v>685</v>
      </c>
      <c r="AY346" s="117">
        <f t="shared" si="8"/>
        <v>575</v>
      </c>
      <c r="AZ346" s="120">
        <f t="shared" si="9"/>
        <v>110</v>
      </c>
      <c r="BA346" s="115">
        <v>0.0</v>
      </c>
      <c r="BB346" s="89">
        <f t="shared" si="10"/>
        <v>685</v>
      </c>
      <c r="BC346" s="132" t="s">
        <v>178</v>
      </c>
      <c r="BD346" s="132" t="s">
        <v>178</v>
      </c>
      <c r="BE346" s="132" t="s">
        <v>178</v>
      </c>
      <c r="BF346" s="156"/>
      <c r="BG346" s="83">
        <v>1169221.0</v>
      </c>
      <c r="BH346" s="112"/>
      <c r="BI346" s="112">
        <v>16.0</v>
      </c>
      <c r="BJ346" s="98" t="s">
        <v>155</v>
      </c>
      <c r="BK346" s="99">
        <f t="shared" si="11"/>
        <v>340</v>
      </c>
      <c r="BL346" s="99">
        <f t="shared" si="12"/>
        <v>235</v>
      </c>
      <c r="BM346" s="99" t="str">
        <f>IFERROR(__xludf.DUMMYFUNCTION("IFERROR(VLOOKUP(BG346,IMPORTRANGE(""https://docs.google.com/spreadsheets/d/1juPI-Fb8LD0YtltB2mlGEnp_R3UVu1t3wSFPzgCyHXE/edit?gid=0#gid=0"",""GERAL!A2:C""),3,0),""-"")"),"-")</f>
        <v>-</v>
      </c>
    </row>
    <row r="347" ht="15.75" customHeight="1">
      <c r="A347" s="111" t="s">
        <v>451</v>
      </c>
      <c r="B347" s="83" t="s">
        <v>1423</v>
      </c>
      <c r="C347" s="83" t="s">
        <v>68</v>
      </c>
      <c r="D347" s="112">
        <v>1159838.0</v>
      </c>
      <c r="E347" s="83"/>
      <c r="F347" s="83">
        <v>2.9302293E7</v>
      </c>
      <c r="G347" s="153" t="s">
        <v>1450</v>
      </c>
      <c r="H347" s="108" t="s">
        <v>1451</v>
      </c>
      <c r="I347" s="98" t="s">
        <v>1452</v>
      </c>
      <c r="J347" s="83" t="s">
        <v>150</v>
      </c>
      <c r="K347" s="83" t="s">
        <v>151</v>
      </c>
      <c r="L347" s="83" t="s">
        <v>230</v>
      </c>
      <c r="M347" s="82" t="str">
        <f>IFERROR(__xludf.DUMMYFUNCTION("IFERROR(VLOOKUP(D347,
IMPORTRANGE(""https://docs.google.com/spreadsheets/d/1MjHtlUikwobi2MaWJgy7tfLeBmhj1u-dRFRs_8GwSoA/edit#gid=0"",""Gestores Escolares!D7:J""),3,0),""VERIFICAR CÓD SEC"")"),"MARICELIA CARDOSO MATOS")</f>
        <v>MARICELIA CARDOSO MATOS</v>
      </c>
      <c r="N347" s="82" t="str">
        <f>IFERROR(__xludf.DUMMYFUNCTION("IFERROR(VLOOKUP(D347,
IMPORTRANGE(""https://docs.google.com/spreadsheets/d/1MjHtlUikwobi2MaWJgy7tfLeBmhj1u-dRFRs_8GwSoA/edit#gid=0"",""Gestores Escolares!D7:J""),4,0),""VERIFICAR CÓD SEC"")"),"(73) 9 9119-7968")</f>
        <v>(73) 9 9119-7968</v>
      </c>
      <c r="O347" s="82" t="str">
        <f>IFERROR(__xludf.DUMMYFUNCTION("IFERROR(VLOOKUP(D347,
IMPORTRANGE(""https://docs.google.com/spreadsheets/d/1MjHtlUikwobi2MaWJgy7tfLeBmhj1u-dRFRs_8GwSoA/edit#gid=0"",""Gestores Escolares!D7:J""),6,0),""VERIFICAR CÓD SEC"")"),"FATIMA KELLY PESSOA BOMFIM ALMEIDA")</f>
        <v>FATIMA KELLY PESSOA BOMFIM ALMEIDA</v>
      </c>
      <c r="P347" s="82" t="str">
        <f>IFERROR(__xludf.DUMMYFUNCTION("IFERROR(VLOOKUP(D347,
IMPORTRANGE(""https://docs.google.com/spreadsheets/d/1MjHtlUikwobi2MaWJgy7tfLeBmhj1u-dRFRs_8GwSoA/edit#gid=0"",""Gestores Escolares!D7:J""),7,0),""VERIFICAR CÓD SEC"")"),"(73) 9 9154-2325")</f>
        <v>(73) 9 9154-2325</v>
      </c>
      <c r="Q347" s="82" t="str">
        <f>IFERROR(__xludf.DUMMYFUNCTION("IFERROR(VLOOKUP(D347,
IMPORTRANGE(""https://docs.google.com/spreadsheets/d/1MjHtlUikwobi2MaWJgy7tfLeBmhj1u-dRFRs_8GwSoA/edit#gid=0"",""Gestores Escolares!D7:m""),9,0),""VERIFICAR CÓD SEC"")"),"ILDENIR ANDRADE DOS SANTOS")</f>
        <v>ILDENIR ANDRADE DOS SANTOS</v>
      </c>
      <c r="R347" s="82" t="str">
        <f>IFERROR(__xludf.DUMMYFUNCTION("IFERROR(VLOOKUP(D347,
IMPORTRANGE(""https://docs.google.com/spreadsheets/d/1MjHtlUikwobi2MaWJgy7tfLeBmhj1u-dRFRs_8GwSoA/edit#gid=0"",""Gestores Escolares!D7:m""),10,0),""VERIFICAR CÓD SEC"")"),"(73) 9 9115-6552")</f>
        <v>(73) 9 9115-6552</v>
      </c>
      <c r="S347" s="82"/>
      <c r="T347" s="138">
        <v>18.0</v>
      </c>
      <c r="U347" s="404">
        <v>24.0</v>
      </c>
      <c r="V347" s="106">
        <v>0.0</v>
      </c>
      <c r="W347" s="107">
        <v>0.0</v>
      </c>
      <c r="X347" s="107">
        <v>0.0</v>
      </c>
      <c r="Y347" s="107">
        <v>0.0</v>
      </c>
      <c r="Z347" s="80">
        <f t="shared" si="1"/>
        <v>0</v>
      </c>
      <c r="AA347" s="106">
        <v>0.0</v>
      </c>
      <c r="AB347" s="107">
        <v>0.0</v>
      </c>
      <c r="AC347" s="107">
        <v>0.0</v>
      </c>
      <c r="AD347" s="107">
        <v>0.0</v>
      </c>
      <c r="AE347" s="80">
        <f t="shared" si="2"/>
        <v>0</v>
      </c>
      <c r="AF347" s="140">
        <v>0.0</v>
      </c>
      <c r="AG347" s="109">
        <v>0.0</v>
      </c>
      <c r="AH347" s="109">
        <v>0.0</v>
      </c>
      <c r="AI347" s="141">
        <v>352.0</v>
      </c>
      <c r="AJ347" s="80">
        <f t="shared" si="3"/>
        <v>352</v>
      </c>
      <c r="AK347" s="140">
        <v>0.0</v>
      </c>
      <c r="AL347" s="109">
        <v>0.0</v>
      </c>
      <c r="AM347" s="141">
        <v>0.0</v>
      </c>
      <c r="AN347" s="80">
        <f t="shared" si="4"/>
        <v>0</v>
      </c>
      <c r="AO347" s="140">
        <v>0.0</v>
      </c>
      <c r="AP347" s="109">
        <v>0.0</v>
      </c>
      <c r="AQ347" s="109">
        <v>68.0</v>
      </c>
      <c r="AR347" s="80">
        <f t="shared" si="5"/>
        <v>68</v>
      </c>
      <c r="AS347" s="110">
        <v>62.0</v>
      </c>
      <c r="AT347" s="110">
        <v>11.0</v>
      </c>
      <c r="AU347" s="110">
        <v>5.0</v>
      </c>
      <c r="AV347" s="142">
        <v>167.0</v>
      </c>
      <c r="AW347" s="80">
        <f t="shared" si="6"/>
        <v>245</v>
      </c>
      <c r="AX347" s="113">
        <f t="shared" si="7"/>
        <v>665</v>
      </c>
      <c r="AY347" s="117">
        <f t="shared" si="8"/>
        <v>592</v>
      </c>
      <c r="AZ347" s="120">
        <f t="shared" si="9"/>
        <v>73</v>
      </c>
      <c r="BA347" s="115">
        <v>0.0</v>
      </c>
      <c r="BB347" s="89">
        <f t="shared" si="10"/>
        <v>665</v>
      </c>
      <c r="BC347" s="132" t="s">
        <v>178</v>
      </c>
      <c r="BD347" s="132" t="s">
        <v>178</v>
      </c>
      <c r="BE347" s="132" t="s">
        <v>178</v>
      </c>
      <c r="BF347" s="156"/>
      <c r="BG347" s="83">
        <v>1159838.0</v>
      </c>
      <c r="BH347" s="112"/>
      <c r="BI347" s="112">
        <v>24.0</v>
      </c>
      <c r="BJ347" s="98" t="s">
        <v>162</v>
      </c>
      <c r="BK347" s="99">
        <f t="shared" si="11"/>
        <v>519</v>
      </c>
      <c r="BL347" s="99">
        <f t="shared" si="12"/>
        <v>73</v>
      </c>
      <c r="BM347" s="99" t="str">
        <f>IFERROR(__xludf.DUMMYFUNCTION("IFERROR(VLOOKUP(BG347,IMPORTRANGE(""https://docs.google.com/spreadsheets/d/1juPI-Fb8LD0YtltB2mlGEnp_R3UVu1t3wSFPzgCyHXE/edit?gid=0#gid=0"",""GERAL!A2:C""),3,0),""-"")"),"-")</f>
        <v>-</v>
      </c>
    </row>
    <row r="348" ht="15.75" customHeight="1">
      <c r="A348" s="111" t="s">
        <v>451</v>
      </c>
      <c r="B348" s="83" t="s">
        <v>1423</v>
      </c>
      <c r="C348" s="83" t="s">
        <v>68</v>
      </c>
      <c r="D348" s="112">
        <v>1176424.0</v>
      </c>
      <c r="E348" s="83">
        <v>1111223.0</v>
      </c>
      <c r="F348" s="83">
        <v>2.9386284E7</v>
      </c>
      <c r="G348" s="147" t="s">
        <v>1454</v>
      </c>
      <c r="H348" s="91" t="s">
        <v>1455</v>
      </c>
      <c r="I348" s="83" t="s">
        <v>149</v>
      </c>
      <c r="J348" s="83" t="s">
        <v>150</v>
      </c>
      <c r="K348" s="83" t="s">
        <v>151</v>
      </c>
      <c r="L348" s="83" t="s">
        <v>76</v>
      </c>
      <c r="M348" s="82" t="str">
        <f>IFERROR(__xludf.DUMMYFUNCTION("IFERROR(VLOOKUP(D348,
IMPORTRANGE(""https://docs.google.com/spreadsheets/d/1MjHtlUikwobi2MaWJgy7tfLeBmhj1u-dRFRs_8GwSoA/edit#gid=0"",""Gestores Escolares!D7:J""),3,0),""VERIFICAR CÓD SEC"")")," MILENA SANTOS DE JESUS  ")</f>
        <v> MILENA SANTOS DE JESUS  </v>
      </c>
      <c r="N348" s="82" t="str">
        <f>IFERROR(__xludf.DUMMYFUNCTION("IFERROR(VLOOKUP(D348,
IMPORTRANGE(""https://docs.google.com/spreadsheets/d/1MjHtlUikwobi2MaWJgy7tfLeBmhj1u-dRFRs_8GwSoA/edit#gid=0"",""Gestores Escolares!D7:J""),4,0),""VERIFICAR CÓD SEC"")"),"(73) 9 9925-1277         ")</f>
        <v>(73) 9 9925-1277         </v>
      </c>
      <c r="O348" s="82" t="str">
        <f>IFERROR(__xludf.DUMMYFUNCTION("IFERROR(VLOOKUP(D348,
IMPORTRANGE(""https://docs.google.com/spreadsheets/d/1MjHtlUikwobi2MaWJgy7tfLeBmhj1u-dRFRs_8GwSoA/edit#gid=0"",""Gestores Escolares!D7:J""),6,0),""VERIFICAR CÓD SEC"")"),"EUZNER TELES ALVES ")</f>
        <v>EUZNER TELES ALVES </v>
      </c>
      <c r="P348" s="82" t="str">
        <f>IFERROR(__xludf.DUMMYFUNCTION("IFERROR(VLOOKUP(D348,
IMPORTRANGE(""https://docs.google.com/spreadsheets/d/1MjHtlUikwobi2MaWJgy7tfLeBmhj1u-dRFRs_8GwSoA/edit#gid=0"",""Gestores Escolares!D7:J""),7,0),""VERIFICAR CÓD SEC"")"),"(73) 9 9136-3110")</f>
        <v>(73) 9 9136-3110</v>
      </c>
      <c r="Q348" s="82" t="str">
        <f>IFERROR(__xludf.DUMMYFUNCTION("IFERROR(VLOOKUP(D348,
IMPORTRANGE(""https://docs.google.com/spreadsheets/d/1MjHtlUikwobi2MaWJgy7tfLeBmhj1u-dRFRs_8GwSoA/edit#gid=0"",""Gestores Escolares!D7:m""),9,0),""VERIFICAR CÓD SEC"")"),"")</f>
        <v/>
      </c>
      <c r="R348" s="82" t="str">
        <f>IFERROR(__xludf.DUMMYFUNCTION("IFERROR(VLOOKUP(D348,
IMPORTRANGE(""https://docs.google.com/spreadsheets/d/1MjHtlUikwobi2MaWJgy7tfLeBmhj1u-dRFRs_8GwSoA/edit#gid=0"",""Gestores Escolares!D7:m""),10,0),""VERIFICAR CÓD SEC"")"),"")</f>
        <v/>
      </c>
      <c r="S348" s="82"/>
      <c r="T348" s="138">
        <v>13.0</v>
      </c>
      <c r="U348" s="152">
        <v>13.0</v>
      </c>
      <c r="V348" s="106">
        <v>0.0</v>
      </c>
      <c r="W348" s="107">
        <v>0.0</v>
      </c>
      <c r="X348" s="107">
        <v>0.0</v>
      </c>
      <c r="Y348" s="107">
        <v>0.0</v>
      </c>
      <c r="Z348" s="80">
        <f t="shared" si="1"/>
        <v>0</v>
      </c>
      <c r="AA348" s="106">
        <v>0.0</v>
      </c>
      <c r="AB348" s="107">
        <v>0.0</v>
      </c>
      <c r="AC348" s="107">
        <v>0.0</v>
      </c>
      <c r="AD348" s="107">
        <v>0.0</v>
      </c>
      <c r="AE348" s="80">
        <f t="shared" si="2"/>
        <v>0</v>
      </c>
      <c r="AF348" s="140">
        <v>119.0</v>
      </c>
      <c r="AG348" s="109">
        <v>17.0</v>
      </c>
      <c r="AH348" s="109">
        <v>0.0</v>
      </c>
      <c r="AI348" s="141">
        <v>45.0</v>
      </c>
      <c r="AJ348" s="80">
        <f t="shared" si="3"/>
        <v>181</v>
      </c>
      <c r="AK348" s="140">
        <v>0.0</v>
      </c>
      <c r="AL348" s="109">
        <v>0.0</v>
      </c>
      <c r="AM348" s="141">
        <v>0.0</v>
      </c>
      <c r="AN348" s="80">
        <f t="shared" si="4"/>
        <v>0</v>
      </c>
      <c r="AO348" s="140">
        <v>0.0</v>
      </c>
      <c r="AP348" s="109">
        <v>0.0</v>
      </c>
      <c r="AQ348" s="109">
        <v>50.0</v>
      </c>
      <c r="AR348" s="80">
        <f t="shared" si="5"/>
        <v>50</v>
      </c>
      <c r="AS348" s="110">
        <v>43.0</v>
      </c>
      <c r="AT348" s="110">
        <v>0.0</v>
      </c>
      <c r="AU348" s="110">
        <v>35.0</v>
      </c>
      <c r="AV348" s="142">
        <v>11.0</v>
      </c>
      <c r="AW348" s="80">
        <f t="shared" si="6"/>
        <v>89</v>
      </c>
      <c r="AX348" s="113">
        <f t="shared" si="7"/>
        <v>320</v>
      </c>
      <c r="AY348" s="117">
        <f t="shared" si="8"/>
        <v>235</v>
      </c>
      <c r="AZ348" s="120">
        <f t="shared" si="9"/>
        <v>85</v>
      </c>
      <c r="BA348" s="115">
        <v>0.0</v>
      </c>
      <c r="BB348" s="89">
        <f t="shared" si="10"/>
        <v>320</v>
      </c>
      <c r="BC348" s="132" t="s">
        <v>178</v>
      </c>
      <c r="BD348" s="132" t="s">
        <v>178</v>
      </c>
      <c r="BE348" s="132" t="s">
        <v>178</v>
      </c>
      <c r="BF348" s="156"/>
      <c r="BG348" s="83">
        <v>1176424.0</v>
      </c>
      <c r="BH348" s="112"/>
      <c r="BI348" s="112">
        <v>13.0</v>
      </c>
      <c r="BJ348" s="98" t="s">
        <v>284</v>
      </c>
      <c r="BK348" s="99">
        <f t="shared" si="11"/>
        <v>56</v>
      </c>
      <c r="BL348" s="99">
        <f t="shared" si="12"/>
        <v>179</v>
      </c>
      <c r="BM348" s="99" t="str">
        <f>IFERROR(__xludf.DUMMYFUNCTION("IFERROR(VLOOKUP(BG348,IMPORTRANGE(""https://docs.google.com/spreadsheets/d/1juPI-Fb8LD0YtltB2mlGEnp_R3UVu1t3wSFPzgCyHXE/edit?gid=0#gid=0"",""GERAL!A2:C""),3,0),""-"")"),"-")</f>
        <v>-</v>
      </c>
    </row>
    <row r="349" ht="15.75" customHeight="1">
      <c r="A349" s="111" t="s">
        <v>451</v>
      </c>
      <c r="B349" s="83" t="s">
        <v>1423</v>
      </c>
      <c r="C349" s="83" t="s">
        <v>68</v>
      </c>
      <c r="D349" s="112">
        <v>1178145.0</v>
      </c>
      <c r="E349" s="83"/>
      <c r="F349" s="83">
        <v>2.9442079E7</v>
      </c>
      <c r="G349" s="119" t="s">
        <v>1457</v>
      </c>
      <c r="H349" s="91" t="s">
        <v>1458</v>
      </c>
      <c r="I349" s="83" t="s">
        <v>1459</v>
      </c>
      <c r="J349" s="83" t="s">
        <v>1460</v>
      </c>
      <c r="K349" s="83" t="s">
        <v>151</v>
      </c>
      <c r="L349" s="83" t="s">
        <v>76</v>
      </c>
      <c r="M349" s="82" t="str">
        <f>IFERROR(__xludf.DUMMYFUNCTION("IFERROR(VLOOKUP(D349,
IMPORTRANGE(""https://docs.google.com/spreadsheets/d/1MjHtlUikwobi2MaWJgy7tfLeBmhj1u-dRFRs_8GwSoA/edit#gid=0"",""Gestores Escolares!D7:J""),3,0),""VERIFICAR CÓD SEC"")"),"CLEUSA MARIA DE JESUS PINTO SANTOS")</f>
        <v>CLEUSA MARIA DE JESUS PINTO SANTOS</v>
      </c>
      <c r="N349" s="82" t="str">
        <f>IFERROR(__xludf.DUMMYFUNCTION("IFERROR(VLOOKUP(D349,
IMPORTRANGE(""https://docs.google.com/spreadsheets/d/1MjHtlUikwobi2MaWJgy7tfLeBmhj1u-dRFRs_8GwSoA/edit#gid=0"",""Gestores Escolares!D7:J""),4,0),""VERIFICAR CÓD SEC"")"),"(73) 9 8838-0551")</f>
        <v>(73) 9 8838-0551</v>
      </c>
      <c r="O349" s="82" t="str">
        <f>IFERROR(__xludf.DUMMYFUNCTION("IFERROR(VLOOKUP(D349,
IMPORTRANGE(""https://docs.google.com/spreadsheets/d/1MjHtlUikwobi2MaWJgy7tfLeBmhj1u-dRFRs_8GwSoA/edit#gid=0"",""Gestores Escolares!D7:J""),6,0),""VERIFICAR CÓD SEC"")"),"SILVANA SANTOS CORREA")</f>
        <v>SILVANA SANTOS CORREA</v>
      </c>
      <c r="P349" s="82" t="str">
        <f>IFERROR(__xludf.DUMMYFUNCTION("IFERROR(VLOOKUP(D349,
IMPORTRANGE(""https://docs.google.com/spreadsheets/d/1MjHtlUikwobi2MaWJgy7tfLeBmhj1u-dRFRs_8GwSoA/edit#gid=0"",""Gestores Escolares!D7:J""),7,0),""VERIFICAR CÓD SEC"")"),"(73) 9 8880-7102")</f>
        <v>(73) 9 8880-7102</v>
      </c>
      <c r="Q349" s="82" t="str">
        <f>IFERROR(__xludf.DUMMYFUNCTION("IFERROR(VLOOKUP(D349,
IMPORTRANGE(""https://docs.google.com/spreadsheets/d/1MjHtlUikwobi2MaWJgy7tfLeBmhj1u-dRFRs_8GwSoA/edit#gid=0"",""Gestores Escolares!D7:m""),9,0),""VERIFICAR CÓD SEC"")"),"")</f>
        <v/>
      </c>
      <c r="R349" s="82" t="str">
        <f>IFERROR(__xludf.DUMMYFUNCTION("IFERROR(VLOOKUP(D349,
IMPORTRANGE(""https://docs.google.com/spreadsheets/d/1MjHtlUikwobi2MaWJgy7tfLeBmhj1u-dRFRs_8GwSoA/edit#gid=0"",""Gestores Escolares!D7:m""),10,0),""VERIFICAR CÓD SEC"")"),"")</f>
        <v/>
      </c>
      <c r="S349" s="82"/>
      <c r="T349" s="138">
        <v>8.0</v>
      </c>
      <c r="U349" s="408" t="s">
        <v>5180</v>
      </c>
      <c r="V349" s="106">
        <v>0.0</v>
      </c>
      <c r="W349" s="107">
        <v>0.0</v>
      </c>
      <c r="X349" s="107">
        <v>0.0</v>
      </c>
      <c r="Y349" s="107">
        <v>0.0</v>
      </c>
      <c r="Z349" s="80">
        <f t="shared" si="1"/>
        <v>0</v>
      </c>
      <c r="AA349" s="106">
        <v>0.0</v>
      </c>
      <c r="AB349" s="107">
        <v>0.0</v>
      </c>
      <c r="AC349" s="107">
        <v>0.0</v>
      </c>
      <c r="AD349" s="107">
        <v>0.0</v>
      </c>
      <c r="AE349" s="80">
        <f t="shared" si="2"/>
        <v>0</v>
      </c>
      <c r="AF349" s="140">
        <v>71.0</v>
      </c>
      <c r="AG349" s="109">
        <v>17.0</v>
      </c>
      <c r="AH349" s="109">
        <v>0.0</v>
      </c>
      <c r="AI349" s="141">
        <v>68.0</v>
      </c>
      <c r="AJ349" s="80">
        <f t="shared" si="3"/>
        <v>156</v>
      </c>
      <c r="AK349" s="140">
        <v>0.0</v>
      </c>
      <c r="AL349" s="109">
        <v>0.0</v>
      </c>
      <c r="AM349" s="141">
        <v>0.0</v>
      </c>
      <c r="AN349" s="80">
        <f t="shared" si="4"/>
        <v>0</v>
      </c>
      <c r="AO349" s="140">
        <v>0.0</v>
      </c>
      <c r="AP349" s="109">
        <v>0.0</v>
      </c>
      <c r="AQ349" s="109">
        <v>0.0</v>
      </c>
      <c r="AR349" s="80">
        <f t="shared" si="5"/>
        <v>0</v>
      </c>
      <c r="AS349" s="110">
        <v>0.0</v>
      </c>
      <c r="AT349" s="110">
        <v>0.0</v>
      </c>
      <c r="AU349" s="110">
        <v>27.0</v>
      </c>
      <c r="AV349" s="142">
        <v>32.0</v>
      </c>
      <c r="AW349" s="80">
        <f t="shared" si="6"/>
        <v>59</v>
      </c>
      <c r="AX349" s="113">
        <f t="shared" si="7"/>
        <v>215</v>
      </c>
      <c r="AY349" s="117">
        <f t="shared" si="8"/>
        <v>188</v>
      </c>
      <c r="AZ349" s="120">
        <f t="shared" si="9"/>
        <v>27</v>
      </c>
      <c r="BA349" s="115">
        <v>0.0</v>
      </c>
      <c r="BB349" s="89">
        <f t="shared" si="10"/>
        <v>215</v>
      </c>
      <c r="BC349" s="132" t="s">
        <v>178</v>
      </c>
      <c r="BD349" s="132" t="s">
        <v>178</v>
      </c>
      <c r="BE349" s="132" t="s">
        <v>178</v>
      </c>
      <c r="BF349" s="123"/>
      <c r="BG349" s="83">
        <v>1178145.0</v>
      </c>
      <c r="BH349" s="112"/>
      <c r="BI349" s="112">
        <v>8.0</v>
      </c>
      <c r="BJ349" s="98" t="s">
        <v>155</v>
      </c>
      <c r="BK349" s="99">
        <f t="shared" si="11"/>
        <v>100</v>
      </c>
      <c r="BL349" s="99">
        <f t="shared" si="12"/>
        <v>88</v>
      </c>
      <c r="BM349" s="99" t="str">
        <f>IFERROR(__xludf.DUMMYFUNCTION("IFERROR(VLOOKUP(BG349,IMPORTRANGE(""https://docs.google.com/spreadsheets/d/1juPI-Fb8LD0YtltB2mlGEnp_R3UVu1t3wSFPzgCyHXE/edit?gid=0#gid=0"",""GERAL!A2:C""),3,0),""-"")"),"-")</f>
        <v>-</v>
      </c>
    </row>
    <row r="350" ht="15.75" customHeight="1">
      <c r="A350" s="111" t="s">
        <v>451</v>
      </c>
      <c r="B350" s="83" t="s">
        <v>1423</v>
      </c>
      <c r="C350" s="83" t="s">
        <v>68</v>
      </c>
      <c r="D350" s="112">
        <v>1159919.0</v>
      </c>
      <c r="E350" s="83"/>
      <c r="F350" s="83">
        <v>2.9301475E7</v>
      </c>
      <c r="G350" s="119" t="s">
        <v>1462</v>
      </c>
      <c r="H350" s="91" t="s">
        <v>1464</v>
      </c>
      <c r="I350" s="83" t="s">
        <v>149</v>
      </c>
      <c r="J350" s="83" t="s">
        <v>150</v>
      </c>
      <c r="K350" s="83" t="s">
        <v>151</v>
      </c>
      <c r="L350" s="83" t="s">
        <v>152</v>
      </c>
      <c r="M350" s="82" t="str">
        <f>IFERROR(__xludf.DUMMYFUNCTION("IFERROR(VLOOKUP(D350,
IMPORTRANGE(""https://docs.google.com/spreadsheets/d/1MjHtlUikwobi2MaWJgy7tfLeBmhj1u-dRFRs_8GwSoA/edit#gid=0"",""Gestores Escolares!D7:J""),3,0),""VERIFICAR CÓD SEC"")"),"DIREÇÃO DA ESCOLA: CLAUDIA MARIA MACEDO ARCANJO SOARES - (73) 9 8854-5541
DIREÇÃO DA UNIDADE PM: Tenente Coronel QOPM HOSANNAH SANTOS ROCHA - (73) 9 9118-8655
DIREÇÃO DO ADJUNTO PM:  Major QOPM JOILMA CORDEIRO COSTA MACHADO - 
(73) 9 9968-6434")</f>
        <v>DIREÇÃO DA ESCOLA: CLAUDIA MARIA MACEDO ARCANJO SOARES - (73) 9 8854-5541
DIREÇÃO DA UNIDADE PM: Tenente Coronel QOPM HOSANNAH SANTOS ROCHA - (73) 9 9118-8655
DIREÇÃO DO ADJUNTO PM:  Major QOPM JOILMA CORDEIRO COSTA MACHADO - 
(73) 9 9968-6434</v>
      </c>
      <c r="N350" s="82" t="str">
        <f>IFERROR(__xludf.DUMMYFUNCTION("IFERROR(VLOOKUP(D350,
IMPORTRANGE(""https://docs.google.com/spreadsheets/d/1MjHtlUikwobi2MaWJgy7tfLeBmhj1u-dRFRs_8GwSoA/edit#gid=0"",""Gestores Escolares!D7:J""),4,0),""VERIFICAR CÓD SEC"")"),"-")</f>
        <v>-</v>
      </c>
      <c r="O350" s="82" t="str">
        <f>IFERROR(__xludf.DUMMYFUNCTION("IFERROR(VLOOKUP(D350,
IMPORTRANGE(""https://docs.google.com/spreadsheets/d/1MjHtlUikwobi2MaWJgy7tfLeBmhj1u-dRFRs_8GwSoA/edit#gid=0"",""Gestores Escolares!D7:J""),6,0),""VERIFICAR CÓD SEC"")"),"CLEBIA SANTOS DA SILVA")</f>
        <v>CLEBIA SANTOS DA SILVA</v>
      </c>
      <c r="P350" s="82" t="str">
        <f>IFERROR(__xludf.DUMMYFUNCTION("IFERROR(VLOOKUP(D350,
IMPORTRANGE(""https://docs.google.com/spreadsheets/d/1MjHtlUikwobi2MaWJgy7tfLeBmhj1u-dRFRs_8GwSoA/edit#gid=0"",""Gestores Escolares!D7:J""),7,0),""VERIFICAR CÓD SEC"")")," (73) 9 8801-0415")</f>
        <v> (73) 9 8801-0415</v>
      </c>
      <c r="Q350" s="82" t="str">
        <f>IFERROR(__xludf.DUMMYFUNCTION("IFERROR(VLOOKUP(D350,
IMPORTRANGE(""https://docs.google.com/spreadsheets/d/1MjHtlUikwobi2MaWJgy7tfLeBmhj1u-dRFRs_8GwSoA/edit#gid=0"",""Gestores Escolares!D7:m""),9,0),""VERIFICAR CÓD SEC"")"),"")</f>
        <v/>
      </c>
      <c r="R350" s="82" t="str">
        <f>IFERROR(__xludf.DUMMYFUNCTION("IFERROR(VLOOKUP(D350,
IMPORTRANGE(""https://docs.google.com/spreadsheets/d/1MjHtlUikwobi2MaWJgy7tfLeBmhj1u-dRFRs_8GwSoA/edit#gid=0"",""Gestores Escolares!D7:m""),10,0),""VERIFICAR CÓD SEC"")"),"")</f>
        <v/>
      </c>
      <c r="S350" s="82"/>
      <c r="T350" s="138">
        <v>22.0</v>
      </c>
      <c r="U350" s="403">
        <v>21.0</v>
      </c>
      <c r="V350" s="106">
        <v>0.0</v>
      </c>
      <c r="W350" s="107">
        <v>0.0</v>
      </c>
      <c r="X350" s="107">
        <v>0.0</v>
      </c>
      <c r="Y350" s="107">
        <v>0.0</v>
      </c>
      <c r="Z350" s="80">
        <f t="shared" si="1"/>
        <v>0</v>
      </c>
      <c r="AA350" s="106">
        <v>81.0</v>
      </c>
      <c r="AB350" s="107">
        <v>501.0</v>
      </c>
      <c r="AC350" s="107">
        <v>0.0</v>
      </c>
      <c r="AD350" s="107">
        <v>0.0</v>
      </c>
      <c r="AE350" s="80">
        <f t="shared" si="2"/>
        <v>582</v>
      </c>
      <c r="AF350" s="140">
        <v>421.0</v>
      </c>
      <c r="AG350" s="109">
        <v>0.0</v>
      </c>
      <c r="AH350" s="109">
        <v>0.0</v>
      </c>
      <c r="AI350" s="141">
        <v>0.0</v>
      </c>
      <c r="AJ350" s="80">
        <f t="shared" si="3"/>
        <v>421</v>
      </c>
      <c r="AK350" s="140">
        <v>0.0</v>
      </c>
      <c r="AL350" s="109">
        <v>0.0</v>
      </c>
      <c r="AM350" s="141">
        <v>0.0</v>
      </c>
      <c r="AN350" s="80">
        <f t="shared" si="4"/>
        <v>0</v>
      </c>
      <c r="AO350" s="140">
        <v>0.0</v>
      </c>
      <c r="AP350" s="109">
        <v>0.0</v>
      </c>
      <c r="AQ350" s="109">
        <v>0.0</v>
      </c>
      <c r="AR350" s="80">
        <f t="shared" si="5"/>
        <v>0</v>
      </c>
      <c r="AS350" s="110">
        <v>0.0</v>
      </c>
      <c r="AT350" s="110">
        <v>0.0</v>
      </c>
      <c r="AU350" s="110">
        <v>0.0</v>
      </c>
      <c r="AV350" s="142">
        <v>0.0</v>
      </c>
      <c r="AW350" s="80">
        <f t="shared" si="6"/>
        <v>0</v>
      </c>
      <c r="AX350" s="113">
        <f t="shared" si="7"/>
        <v>1003</v>
      </c>
      <c r="AY350" s="117">
        <f t="shared" si="8"/>
        <v>1003</v>
      </c>
      <c r="AZ350" s="120">
        <f t="shared" si="9"/>
        <v>0</v>
      </c>
      <c r="BA350" s="115">
        <v>0.0</v>
      </c>
      <c r="BB350" s="89">
        <f t="shared" si="10"/>
        <v>1003</v>
      </c>
      <c r="BC350" s="143" t="s">
        <v>1014</v>
      </c>
      <c r="BD350" s="132" t="s">
        <v>178</v>
      </c>
      <c r="BE350" s="132" t="s">
        <v>178</v>
      </c>
      <c r="BF350" s="156"/>
      <c r="BG350" s="83">
        <v>1159919.0</v>
      </c>
      <c r="BH350" s="112"/>
      <c r="BI350" s="112">
        <v>21.0</v>
      </c>
      <c r="BJ350" s="98" t="s">
        <v>155</v>
      </c>
      <c r="BK350" s="99">
        <f t="shared" si="11"/>
        <v>0</v>
      </c>
      <c r="BL350" s="99">
        <f t="shared" si="12"/>
        <v>1003</v>
      </c>
      <c r="BM350" s="99" t="str">
        <f>IFERROR(__xludf.DUMMYFUNCTION("IFERROR(VLOOKUP(BG350,IMPORTRANGE(""https://docs.google.com/spreadsheets/d/1juPI-Fb8LD0YtltB2mlGEnp_R3UVu1t3wSFPzgCyHXE/edit?gid=0#gid=0"",""GERAL!A2:C""),3,0),""-"")"),"-")</f>
        <v>-</v>
      </c>
    </row>
    <row r="351" ht="15.75" customHeight="1">
      <c r="A351" s="111" t="s">
        <v>451</v>
      </c>
      <c r="B351" s="83" t="s">
        <v>1423</v>
      </c>
      <c r="C351" s="83" t="s">
        <v>68</v>
      </c>
      <c r="D351" s="112">
        <v>1111339.0</v>
      </c>
      <c r="E351" s="83"/>
      <c r="F351" s="83">
        <v>2.9301394E7</v>
      </c>
      <c r="G351" s="114" t="s">
        <v>1466</v>
      </c>
      <c r="H351" s="91" t="s">
        <v>1467</v>
      </c>
      <c r="I351" s="83" t="s">
        <v>149</v>
      </c>
      <c r="J351" s="83" t="s">
        <v>150</v>
      </c>
      <c r="K351" s="83" t="s">
        <v>151</v>
      </c>
      <c r="L351" s="83" t="s">
        <v>230</v>
      </c>
      <c r="M351" s="82" t="str">
        <f>IFERROR(__xludf.DUMMYFUNCTION("IFERROR(VLOOKUP(D351,
IMPORTRANGE(""https://docs.google.com/spreadsheets/d/1MjHtlUikwobi2MaWJgy7tfLeBmhj1u-dRFRs_8GwSoA/edit#gid=0"",""Gestores Escolares!D7:J""),3,0),""VERIFICAR CÓD SEC"")"),"JORGENEY ELCYMARCOS DE ARGOLO SOUZA")</f>
        <v>JORGENEY ELCYMARCOS DE ARGOLO SOUZA</v>
      </c>
      <c r="N351" s="82" t="str">
        <f>IFERROR(__xludf.DUMMYFUNCTION("IFERROR(VLOOKUP(D351,
IMPORTRANGE(""https://docs.google.com/spreadsheets/d/1MjHtlUikwobi2MaWJgy7tfLeBmhj1u-dRFRs_8GwSoA/edit#gid=0"",""Gestores Escolares!D7:J""),4,0),""VERIFICAR CÓD SEC"")"),"(73) 9 9105-0748")</f>
        <v>(73) 9 9105-0748</v>
      </c>
      <c r="O351" s="82" t="str">
        <f>IFERROR(__xludf.DUMMYFUNCTION("IFERROR(VLOOKUP(D351,
IMPORTRANGE(""https://docs.google.com/spreadsheets/d/1MjHtlUikwobi2MaWJgy7tfLeBmhj1u-dRFRs_8GwSoA/edit#gid=0"",""Gestores Escolares!D7:J""),6,0),""VERIFICAR CÓD SEC"")"),"CLICIA SILVA MATOS ")</f>
        <v>CLICIA SILVA MATOS </v>
      </c>
      <c r="P351" s="82" t="str">
        <f>IFERROR(__xludf.DUMMYFUNCTION("IFERROR(VLOOKUP(D351,
IMPORTRANGE(""https://docs.google.com/spreadsheets/d/1MjHtlUikwobi2MaWJgy7tfLeBmhj1u-dRFRs_8GwSoA/edit#gid=0"",""Gestores Escolares!D7:J""),7,0),""VERIFICAR CÓD SEC"")"),"(73) 9 9135-4771")</f>
        <v>(73) 9 9135-4771</v>
      </c>
      <c r="Q351" s="82" t="str">
        <f>IFERROR(__xludf.DUMMYFUNCTION("IFERROR(VLOOKUP(D351,
IMPORTRANGE(""https://docs.google.com/spreadsheets/d/1MjHtlUikwobi2MaWJgy7tfLeBmhj1u-dRFRs_8GwSoA/edit#gid=0"",""Gestores Escolares!D7:m""),9,0),""VERIFICAR CÓD SEC"")"),"PAULO ROBERTO PIRES SANTOS")</f>
        <v>PAULO ROBERTO PIRES SANTOS</v>
      </c>
      <c r="R351" s="82" t="str">
        <f>IFERROR(__xludf.DUMMYFUNCTION("IFERROR(VLOOKUP(D351,
IMPORTRANGE(""https://docs.google.com/spreadsheets/d/1MjHtlUikwobi2MaWJgy7tfLeBmhj1u-dRFRs_8GwSoA/edit#gid=0"",""Gestores Escolares!D7:m""),10,0),""VERIFICAR CÓD SEC"")"),"(73) 9 9199-2386")</f>
        <v>(73) 9 9199-2386</v>
      </c>
      <c r="S351" s="82"/>
      <c r="T351" s="138">
        <v>13.0</v>
      </c>
      <c r="U351" s="403">
        <v>12.0</v>
      </c>
      <c r="V351" s="106">
        <v>0.0</v>
      </c>
      <c r="W351" s="107">
        <v>0.0</v>
      </c>
      <c r="X351" s="107">
        <v>0.0</v>
      </c>
      <c r="Y351" s="107">
        <v>0.0</v>
      </c>
      <c r="Z351" s="80">
        <f t="shared" si="1"/>
        <v>0</v>
      </c>
      <c r="AA351" s="106">
        <v>0.0</v>
      </c>
      <c r="AB351" s="107">
        <v>0.0</v>
      </c>
      <c r="AC351" s="107">
        <v>0.0</v>
      </c>
      <c r="AD351" s="107">
        <v>0.0</v>
      </c>
      <c r="AE351" s="80">
        <f t="shared" si="2"/>
        <v>0</v>
      </c>
      <c r="AF351" s="140">
        <v>0.0</v>
      </c>
      <c r="AG351" s="109">
        <v>0.0</v>
      </c>
      <c r="AH351" s="109">
        <v>0.0</v>
      </c>
      <c r="AI351" s="141">
        <v>0.0</v>
      </c>
      <c r="AJ351" s="80">
        <f t="shared" si="3"/>
        <v>0</v>
      </c>
      <c r="AK351" s="140">
        <v>0.0</v>
      </c>
      <c r="AL351" s="109">
        <v>0.0</v>
      </c>
      <c r="AM351" s="141">
        <v>0.0</v>
      </c>
      <c r="AN351" s="80">
        <f t="shared" si="4"/>
        <v>0</v>
      </c>
      <c r="AO351" s="140">
        <v>0.0</v>
      </c>
      <c r="AP351" s="109">
        <v>0.0</v>
      </c>
      <c r="AQ351" s="109">
        <v>0.0</v>
      </c>
      <c r="AR351" s="80">
        <f t="shared" si="5"/>
        <v>0</v>
      </c>
      <c r="AS351" s="110">
        <v>376.0</v>
      </c>
      <c r="AT351" s="110">
        <v>271.0</v>
      </c>
      <c r="AU351" s="110">
        <v>217.0</v>
      </c>
      <c r="AV351" s="142">
        <v>0.0</v>
      </c>
      <c r="AW351" s="80">
        <f t="shared" si="6"/>
        <v>864</v>
      </c>
      <c r="AX351" s="113">
        <f t="shared" si="7"/>
        <v>864</v>
      </c>
      <c r="AY351" s="117">
        <f t="shared" si="8"/>
        <v>647</v>
      </c>
      <c r="AZ351" s="120">
        <f t="shared" si="9"/>
        <v>217</v>
      </c>
      <c r="BA351" s="115">
        <v>0.0</v>
      </c>
      <c r="BB351" s="89">
        <f t="shared" si="10"/>
        <v>864</v>
      </c>
      <c r="BC351" s="132" t="s">
        <v>178</v>
      </c>
      <c r="BD351" s="132" t="s">
        <v>779</v>
      </c>
      <c r="BE351" s="132" t="s">
        <v>178</v>
      </c>
      <c r="BF351" s="123"/>
      <c r="BG351" s="83">
        <v>1111339.0</v>
      </c>
      <c r="BH351" s="112"/>
      <c r="BI351" s="112">
        <v>12.0</v>
      </c>
      <c r="BJ351" s="98" t="s">
        <v>155</v>
      </c>
      <c r="BK351" s="99">
        <f t="shared" si="11"/>
        <v>0</v>
      </c>
      <c r="BL351" s="99">
        <f t="shared" si="12"/>
        <v>647</v>
      </c>
      <c r="BM351" s="99" t="str">
        <f>IFERROR(__xludf.DUMMYFUNCTION("IFERROR(VLOOKUP(BG351,IMPORTRANGE(""https://docs.google.com/spreadsheets/d/1juPI-Fb8LD0YtltB2mlGEnp_R3UVu1t3wSFPzgCyHXE/edit?gid=0#gid=0"",""GERAL!A2:C""),3,0),""-"")"),"-")</f>
        <v>-</v>
      </c>
    </row>
    <row r="352" ht="56.25" customHeight="1">
      <c r="A352" s="111" t="s">
        <v>451</v>
      </c>
      <c r="B352" s="83" t="s">
        <v>1423</v>
      </c>
      <c r="C352" s="83" t="s">
        <v>68</v>
      </c>
      <c r="D352" s="112">
        <v>1111096.0</v>
      </c>
      <c r="E352" s="83"/>
      <c r="F352" s="83">
        <v>2.9301483E7</v>
      </c>
      <c r="G352" s="114" t="s">
        <v>1469</v>
      </c>
      <c r="H352" s="91" t="s">
        <v>1470</v>
      </c>
      <c r="I352" s="83" t="s">
        <v>149</v>
      </c>
      <c r="J352" s="83" t="s">
        <v>150</v>
      </c>
      <c r="K352" s="83" t="s">
        <v>151</v>
      </c>
      <c r="L352" s="83" t="s">
        <v>230</v>
      </c>
      <c r="M352" s="82" t="str">
        <f>IFERROR(__xludf.DUMMYFUNCTION("IFERROR(VLOOKUP(D352,
IMPORTRANGE(""https://docs.google.com/spreadsheets/d/1MjHtlUikwobi2MaWJgy7tfLeBmhj1u-dRFRs_8GwSoA/edit#gid=0"",""Gestores Escolares!D7:J""),3,0),""VERIFICAR CÓD SEC"")"),"PAULO ROBERTO QUADROS JUNIOR ")</f>
        <v>PAULO ROBERTO QUADROS JUNIOR </v>
      </c>
      <c r="N352" s="82" t="str">
        <f>IFERROR(__xludf.DUMMYFUNCTION("IFERROR(VLOOKUP(D352,
IMPORTRANGE(""https://docs.google.com/spreadsheets/d/1MjHtlUikwobi2MaWJgy7tfLeBmhj1u-dRFRs_8GwSoA/edit#gid=0"",""Gestores Escolares!D7:J""),4,0),""VERIFICAR CÓD SEC"")"),"(73) 9 8166-6173 (ZAP)/ 
9 8108-0884")</f>
        <v>(73) 9 8166-6173 (ZAP)/ 
9 8108-0884</v>
      </c>
      <c r="O352" s="82" t="str">
        <f>IFERROR(__xludf.DUMMYFUNCTION("IFERROR(VLOOKUP(D352,
IMPORTRANGE(""https://docs.google.com/spreadsheets/d/1MjHtlUikwobi2MaWJgy7tfLeBmhj1u-dRFRs_8GwSoA/edit#gid=0"",""Gestores Escolares!D7:J""),6,0),""VERIFICAR CÓD SEC"")"),"MARIA DA LUZ MARTINS DA SILVA COUTINHO")</f>
        <v>MARIA DA LUZ MARTINS DA SILVA COUTINHO</v>
      </c>
      <c r="P352" s="82" t="str">
        <f>IFERROR(__xludf.DUMMYFUNCTION("IFERROR(VLOOKUP(D352,
IMPORTRANGE(""https://docs.google.com/spreadsheets/d/1MjHtlUikwobi2MaWJgy7tfLeBmhj1u-dRFRs_8GwSoA/edit#gid=0"",""Gestores Escolares!D7:J""),7,0),""VERIFICAR CÓD SEC"")"),"(73) 9 8894-6664")</f>
        <v>(73) 9 8894-6664</v>
      </c>
      <c r="Q352" s="82" t="str">
        <f>IFERROR(__xludf.DUMMYFUNCTION("IFERROR(VLOOKUP(D352,
IMPORTRANGE(""https://docs.google.com/spreadsheets/d/1MjHtlUikwobi2MaWJgy7tfLeBmhj1u-dRFRs_8GwSoA/edit#gid=0"",""Gestores Escolares!D7:m""),9,0),""VERIFICAR CÓD SEC"")"),"JULIERME BARROS COUTO")</f>
        <v>JULIERME BARROS COUTO</v>
      </c>
      <c r="R352" s="82" t="str">
        <f>IFERROR(__xludf.DUMMYFUNCTION("IFERROR(VLOOKUP(D352,
IMPORTRANGE(""https://docs.google.com/spreadsheets/d/1MjHtlUikwobi2MaWJgy7tfLeBmhj1u-dRFRs_8GwSoA/edit#gid=0"",""Gestores Escolares!D7:m""),10,0),""VERIFICAR CÓD SEC"")"),"(73) 9 9105 6625")</f>
        <v>(73) 9 9105 6625</v>
      </c>
      <c r="S352" s="82"/>
      <c r="T352" s="138">
        <v>28.0</v>
      </c>
      <c r="U352" s="388">
        <v>24.0</v>
      </c>
      <c r="V352" s="106">
        <v>0.0</v>
      </c>
      <c r="W352" s="107">
        <v>0.0</v>
      </c>
      <c r="X352" s="107">
        <v>0.0</v>
      </c>
      <c r="Y352" s="107">
        <v>0.0</v>
      </c>
      <c r="Z352" s="80">
        <f t="shared" si="1"/>
        <v>0</v>
      </c>
      <c r="AA352" s="106">
        <v>0.0</v>
      </c>
      <c r="AB352" s="107">
        <v>0.0</v>
      </c>
      <c r="AC352" s="107">
        <v>0.0</v>
      </c>
      <c r="AD352" s="107">
        <v>0.0</v>
      </c>
      <c r="AE352" s="80">
        <f t="shared" si="2"/>
        <v>0</v>
      </c>
      <c r="AF352" s="140">
        <v>0.0</v>
      </c>
      <c r="AG352" s="109">
        <v>0.0</v>
      </c>
      <c r="AH352" s="109">
        <v>0.0</v>
      </c>
      <c r="AI352" s="141">
        <v>0.0</v>
      </c>
      <c r="AJ352" s="80">
        <f t="shared" si="3"/>
        <v>0</v>
      </c>
      <c r="AK352" s="140">
        <v>0.0</v>
      </c>
      <c r="AL352" s="109">
        <v>0.0</v>
      </c>
      <c r="AM352" s="141">
        <v>0.0</v>
      </c>
      <c r="AN352" s="80">
        <f t="shared" si="4"/>
        <v>0</v>
      </c>
      <c r="AO352" s="140">
        <v>0.0</v>
      </c>
      <c r="AP352" s="109">
        <v>0.0</v>
      </c>
      <c r="AQ352" s="109">
        <v>0.0</v>
      </c>
      <c r="AR352" s="80">
        <f t="shared" si="5"/>
        <v>0</v>
      </c>
      <c r="AS352" s="110">
        <v>739.0</v>
      </c>
      <c r="AT352" s="110">
        <v>467.0</v>
      </c>
      <c r="AU352" s="110">
        <v>44.0</v>
      </c>
      <c r="AV352" s="142">
        <v>0.0</v>
      </c>
      <c r="AW352" s="80">
        <f t="shared" si="6"/>
        <v>1250</v>
      </c>
      <c r="AX352" s="113">
        <f t="shared" si="7"/>
        <v>1250</v>
      </c>
      <c r="AY352" s="117">
        <f t="shared" si="8"/>
        <v>1206</v>
      </c>
      <c r="AZ352" s="120">
        <f t="shared" si="9"/>
        <v>44</v>
      </c>
      <c r="BA352" s="115">
        <v>0.0</v>
      </c>
      <c r="BB352" s="89">
        <f t="shared" si="10"/>
        <v>1250</v>
      </c>
      <c r="BC352" s="132" t="s">
        <v>178</v>
      </c>
      <c r="BD352" s="132" t="s">
        <v>779</v>
      </c>
      <c r="BE352" s="132" t="s">
        <v>178</v>
      </c>
      <c r="BF352" s="123"/>
      <c r="BG352" s="83">
        <v>1111096.0</v>
      </c>
      <c r="BH352" s="112"/>
      <c r="BI352" s="112">
        <v>22.0</v>
      </c>
      <c r="BJ352" s="98" t="s">
        <v>176</v>
      </c>
      <c r="BK352" s="99">
        <f t="shared" si="11"/>
        <v>0</v>
      </c>
      <c r="BL352" s="99">
        <f t="shared" si="12"/>
        <v>1206</v>
      </c>
      <c r="BM352" s="99" t="str">
        <f>IFERROR(__xludf.DUMMYFUNCTION("IFERROR(VLOOKUP(BG352,IMPORTRANGE(""https://docs.google.com/spreadsheets/d/1juPI-Fb8LD0YtltB2mlGEnp_R3UVu1t3wSFPzgCyHXE/edit?gid=0#gid=0"",""GERAL!A2:C""),3,0),""-"")"),"-")</f>
        <v>-</v>
      </c>
    </row>
    <row r="353" ht="15.75" customHeight="1">
      <c r="A353" s="111" t="s">
        <v>451</v>
      </c>
      <c r="B353" s="83" t="s">
        <v>1423</v>
      </c>
      <c r="C353" s="83" t="s">
        <v>68</v>
      </c>
      <c r="D353" s="112">
        <v>1179701.0</v>
      </c>
      <c r="E353" s="83"/>
      <c r="F353" s="83">
        <v>2.9482267E7</v>
      </c>
      <c r="G353" s="187" t="s">
        <v>1472</v>
      </c>
      <c r="H353" s="91" t="s">
        <v>1473</v>
      </c>
      <c r="I353" s="136" t="s">
        <v>149</v>
      </c>
      <c r="J353" s="98" t="s">
        <v>150</v>
      </c>
      <c r="K353" s="83" t="s">
        <v>151</v>
      </c>
      <c r="L353" s="136" t="s">
        <v>230</v>
      </c>
      <c r="M353" s="82" t="str">
        <f>IFERROR(__xludf.DUMMYFUNCTION("IFERROR(VLOOKUP(D353,
IMPORTRANGE(""https://docs.google.com/spreadsheets/d/1MjHtlUikwobi2MaWJgy7tfLeBmhj1u-dRFRs_8GwSoA/edit#gid=0"",""Gestores Escolares!D7:J""),3,0),""VERIFICAR CÓD SEC"")"),"ALESSANDRO COELHO MARQUES")</f>
        <v>ALESSANDRO COELHO MARQUES</v>
      </c>
      <c r="N353" s="82" t="str">
        <f>IFERROR(__xludf.DUMMYFUNCTION("IFERROR(VLOOKUP(D353,
IMPORTRANGE(""https://docs.google.com/spreadsheets/d/1MjHtlUikwobi2MaWJgy7tfLeBmhj1u-dRFRs_8GwSoA/edit#gid=0"",""Gestores Escolares!D7:J""),4,0),""VERIFICAR CÓD SEC"")"),"(73) 9 9978-4374")</f>
        <v>(73) 9 9978-4374</v>
      </c>
      <c r="O353" s="82" t="str">
        <f>IFERROR(__xludf.DUMMYFUNCTION("IFERROR(VLOOKUP(D353,
IMPORTRANGE(""https://docs.google.com/spreadsheets/d/1MjHtlUikwobi2MaWJgy7tfLeBmhj1u-dRFRs_8GwSoA/edit#gid=0"",""Gestores Escolares!D7:J""),6,0),""VERIFICAR CÓD SEC"")"),"VALERIA CUNHA ROSARIO LEVITA")</f>
        <v>VALERIA CUNHA ROSARIO LEVITA</v>
      </c>
      <c r="P353" s="82" t="str">
        <f>IFERROR(__xludf.DUMMYFUNCTION("IFERROR(VLOOKUP(D353,
IMPORTRANGE(""https://docs.google.com/spreadsheets/d/1MjHtlUikwobi2MaWJgy7tfLeBmhj1u-dRFRs_8GwSoA/edit#gid=0"",""Gestores Escolares!D7:J""),7,0),""VERIFICAR CÓD SEC"")"),"(73) 9 8248-8925")</f>
        <v>(73) 9 8248-8925</v>
      </c>
      <c r="Q353" s="82" t="str">
        <f>IFERROR(__xludf.DUMMYFUNCTION("IFERROR(VLOOKUP(D353,
IMPORTRANGE(""https://docs.google.com/spreadsheets/d/1MjHtlUikwobi2MaWJgy7tfLeBmhj1u-dRFRs_8GwSoA/edit#gid=0"",""Gestores Escolares!D7:m""),9,0),""VERIFICAR CÓD SEC"")"),"")</f>
        <v/>
      </c>
      <c r="R353" s="82" t="str">
        <f>IFERROR(__xludf.DUMMYFUNCTION("IFERROR(VLOOKUP(D353,
IMPORTRANGE(""https://docs.google.com/spreadsheets/d/1MjHtlUikwobi2MaWJgy7tfLeBmhj1u-dRFRs_8GwSoA/edit#gid=0"",""Gestores Escolares!D7:m""),10,0),""VERIFICAR CÓD SEC"")"),"")</f>
        <v/>
      </c>
      <c r="S353" s="82"/>
      <c r="T353" s="138" t="s">
        <v>171</v>
      </c>
      <c r="U353" s="404" t="s">
        <v>533</v>
      </c>
      <c r="V353" s="106">
        <v>0.0</v>
      </c>
      <c r="W353" s="107">
        <v>0.0</v>
      </c>
      <c r="X353" s="107">
        <v>0.0</v>
      </c>
      <c r="Y353" s="107">
        <v>0.0</v>
      </c>
      <c r="Z353" s="80">
        <f t="shared" si="1"/>
        <v>0</v>
      </c>
      <c r="AA353" s="106">
        <v>0.0</v>
      </c>
      <c r="AB353" s="107">
        <v>0.0</v>
      </c>
      <c r="AC353" s="107">
        <v>0.0</v>
      </c>
      <c r="AD353" s="107">
        <v>0.0</v>
      </c>
      <c r="AE353" s="80">
        <f t="shared" si="2"/>
        <v>0</v>
      </c>
      <c r="AF353" s="140">
        <v>0.0</v>
      </c>
      <c r="AG353" s="109">
        <v>0.0</v>
      </c>
      <c r="AH353" s="109">
        <v>0.0</v>
      </c>
      <c r="AI353" s="141">
        <v>0.0</v>
      </c>
      <c r="AJ353" s="80">
        <f t="shared" si="3"/>
        <v>0</v>
      </c>
      <c r="AK353" s="140">
        <v>0.0</v>
      </c>
      <c r="AL353" s="109">
        <v>0.0</v>
      </c>
      <c r="AM353" s="141">
        <v>0.0</v>
      </c>
      <c r="AN353" s="80">
        <f t="shared" si="4"/>
        <v>0</v>
      </c>
      <c r="AO353" s="140">
        <v>0.0</v>
      </c>
      <c r="AP353" s="109">
        <v>0.0</v>
      </c>
      <c r="AQ353" s="109">
        <v>0.0</v>
      </c>
      <c r="AR353" s="80">
        <f t="shared" si="5"/>
        <v>0</v>
      </c>
      <c r="AS353" s="110">
        <v>0.0</v>
      </c>
      <c r="AT353" s="110">
        <v>0.0</v>
      </c>
      <c r="AU353" s="110">
        <v>0.0</v>
      </c>
      <c r="AV353" s="142">
        <v>0.0</v>
      </c>
      <c r="AW353" s="80">
        <f t="shared" si="6"/>
        <v>0</v>
      </c>
      <c r="AX353" s="113">
        <f t="shared" si="7"/>
        <v>0</v>
      </c>
      <c r="AY353" s="117">
        <f t="shared" si="8"/>
        <v>0</v>
      </c>
      <c r="AZ353" s="120">
        <f t="shared" si="9"/>
        <v>0</v>
      </c>
      <c r="BA353" s="115">
        <v>0.0</v>
      </c>
      <c r="BB353" s="89">
        <f t="shared" si="10"/>
        <v>0</v>
      </c>
      <c r="BC353" s="132" t="s">
        <v>178</v>
      </c>
      <c r="BD353" s="143" t="s">
        <v>227</v>
      </c>
      <c r="BE353" s="132" t="s">
        <v>178</v>
      </c>
      <c r="BF353" s="156"/>
      <c r="BG353" s="83">
        <v>1179701.0</v>
      </c>
      <c r="BH353" s="112"/>
      <c r="BI353" s="112">
        <v>0.0</v>
      </c>
      <c r="BJ353" s="98" t="s">
        <v>155</v>
      </c>
      <c r="BK353" s="99">
        <f t="shared" si="11"/>
        <v>0</v>
      </c>
      <c r="BL353" s="99">
        <f t="shared" si="12"/>
        <v>0</v>
      </c>
      <c r="BM353" s="99" t="str">
        <f>IFERROR(__xludf.DUMMYFUNCTION("IFERROR(VLOOKUP(BG353,IMPORTRANGE(""https://docs.google.com/spreadsheets/d/1juPI-Fb8LD0YtltB2mlGEnp_R3UVu1t3wSFPzgCyHXE/edit?gid=0#gid=0"",""GERAL!A2:C""),3,0),""-"")"),"-")</f>
        <v>-</v>
      </c>
    </row>
    <row r="354" ht="15.75" customHeight="1">
      <c r="A354" s="111" t="s">
        <v>451</v>
      </c>
      <c r="B354" s="83" t="s">
        <v>1423</v>
      </c>
      <c r="C354" s="83" t="s">
        <v>164</v>
      </c>
      <c r="D354" s="112">
        <v>1179275.0</v>
      </c>
      <c r="E354" s="83">
        <v>1179653.0</v>
      </c>
      <c r="F354" s="98">
        <v>2.9493501E7</v>
      </c>
      <c r="G354" s="114" t="s">
        <v>1474</v>
      </c>
      <c r="H354" s="91" t="s">
        <v>1475</v>
      </c>
      <c r="I354" s="83" t="s">
        <v>149</v>
      </c>
      <c r="J354" s="83" t="s">
        <v>464</v>
      </c>
      <c r="K354" s="83" t="s">
        <v>168</v>
      </c>
      <c r="L354" s="83" t="s">
        <v>169</v>
      </c>
      <c r="M354" s="82" t="str">
        <f>IFERROR(__xludf.DUMMYFUNCTION("IFERROR(VLOOKUP(D354,
IMPORTRANGE(""https://docs.google.com/spreadsheets/d/1MjHtlUikwobi2MaWJgy7tfLeBmhj1u-dRFRs_8GwSoA/edit#gid=0"",""Gestores Escolares!D7:J""),3,0),""VERIFICAR CÓD SEC"")"),"EDNA MARIA PEREIRA SANTOS")</f>
        <v>EDNA MARIA PEREIRA SANTOS</v>
      </c>
      <c r="N354" s="82" t="str">
        <f>IFERROR(__xludf.DUMMYFUNCTION("IFERROR(VLOOKUP(D354,
IMPORTRANGE(""https://docs.google.com/spreadsheets/d/1MjHtlUikwobi2MaWJgy7tfLeBmhj1u-dRFRs_8GwSoA/edit#gid=0"",""Gestores Escolares!D7:J""),4,0),""VERIFICAR CÓD SEC"")"),"(73) 9 8127-2856
")</f>
        <v>(73) 9 8127-2856
</v>
      </c>
      <c r="O354" s="82" t="str">
        <f>IFERROR(__xludf.DUMMYFUNCTION("IFERROR(VLOOKUP(D354,
IMPORTRANGE(""https://docs.google.com/spreadsheets/d/1MjHtlUikwobi2MaWJgy7tfLeBmhj1u-dRFRs_8GwSoA/edit#gid=0"",""Gestores Escolares!D7:J""),6,0),""VERIFICAR CÓD SEC"")"),"MAURICIO DEZIDERIO ROCHA")</f>
        <v>MAURICIO DEZIDERIO ROCHA</v>
      </c>
      <c r="P354" s="82" t="str">
        <f>IFERROR(__xludf.DUMMYFUNCTION("IFERROR(VLOOKUP(D354,
IMPORTRANGE(""https://docs.google.com/spreadsheets/d/1MjHtlUikwobi2MaWJgy7tfLeBmhj1u-dRFRs_8GwSoA/edit#gid=0"",""Gestores Escolares!D7:J""),7,0),""VERIFICAR CÓD SEC"")"),"(73) 9 8102-7684")</f>
        <v>(73) 9 8102-7684</v>
      </c>
      <c r="Q354" s="82" t="str">
        <f>IFERROR(__xludf.DUMMYFUNCTION("IFERROR(VLOOKUP(D354,
IMPORTRANGE(""https://docs.google.com/spreadsheets/d/1MjHtlUikwobi2MaWJgy7tfLeBmhj1u-dRFRs_8GwSoA/edit#gid=0"",""Gestores Escolares!D7:m""),9,0),""VERIFICAR CÓD SEC"")"),"")</f>
        <v/>
      </c>
      <c r="R354" s="82" t="str">
        <f>IFERROR(__xludf.DUMMYFUNCTION("IFERROR(VLOOKUP(D354,
IMPORTRANGE(""https://docs.google.com/spreadsheets/d/1MjHtlUikwobi2MaWJgy7tfLeBmhj1u-dRFRs_8GwSoA/edit#gid=0"",""Gestores Escolares!D7:m""),10,0),""VERIFICAR CÓD SEC"")"),"")</f>
        <v/>
      </c>
      <c r="S354" s="82"/>
      <c r="T354" s="138">
        <v>3.0</v>
      </c>
      <c r="U354" s="403">
        <v>7.0</v>
      </c>
      <c r="V354" s="106">
        <v>7.0</v>
      </c>
      <c r="W354" s="107">
        <v>0.0</v>
      </c>
      <c r="X354" s="107">
        <v>0.0</v>
      </c>
      <c r="Y354" s="107">
        <v>0.0</v>
      </c>
      <c r="Z354" s="80">
        <f t="shared" si="1"/>
        <v>7</v>
      </c>
      <c r="AA354" s="106">
        <v>0.0</v>
      </c>
      <c r="AB354" s="107">
        <v>15.0</v>
      </c>
      <c r="AC354" s="107">
        <v>0.0</v>
      </c>
      <c r="AD354" s="107">
        <v>0.0</v>
      </c>
      <c r="AE354" s="80">
        <f t="shared" si="2"/>
        <v>15</v>
      </c>
      <c r="AF354" s="140">
        <v>0.0</v>
      </c>
      <c r="AG354" s="109">
        <v>0.0</v>
      </c>
      <c r="AH354" s="109">
        <v>0.0</v>
      </c>
      <c r="AI354" s="141">
        <v>0.0</v>
      </c>
      <c r="AJ354" s="80">
        <f t="shared" si="3"/>
        <v>0</v>
      </c>
      <c r="AK354" s="140">
        <v>0.0</v>
      </c>
      <c r="AL354" s="109">
        <v>0.0</v>
      </c>
      <c r="AM354" s="141">
        <v>4.0</v>
      </c>
      <c r="AN354" s="80">
        <f t="shared" si="4"/>
        <v>4</v>
      </c>
      <c r="AO354" s="140">
        <v>0.0</v>
      </c>
      <c r="AP354" s="109">
        <v>0.0</v>
      </c>
      <c r="AQ354" s="109">
        <v>0.0</v>
      </c>
      <c r="AR354" s="80">
        <f t="shared" si="5"/>
        <v>0</v>
      </c>
      <c r="AS354" s="110">
        <v>0.0</v>
      </c>
      <c r="AT354" s="110">
        <v>0.0</v>
      </c>
      <c r="AU354" s="110">
        <v>0.0</v>
      </c>
      <c r="AV354" s="142">
        <v>0.0</v>
      </c>
      <c r="AW354" s="80">
        <f t="shared" si="6"/>
        <v>0</v>
      </c>
      <c r="AX354" s="113">
        <f t="shared" si="7"/>
        <v>26</v>
      </c>
      <c r="AY354" s="117">
        <f t="shared" si="8"/>
        <v>22</v>
      </c>
      <c r="AZ354" s="120">
        <f t="shared" si="9"/>
        <v>4</v>
      </c>
      <c r="BA354" s="115">
        <v>0.0</v>
      </c>
      <c r="BB354" s="89">
        <f t="shared" si="10"/>
        <v>26</v>
      </c>
      <c r="BC354" s="143" t="s">
        <v>1294</v>
      </c>
      <c r="BD354" s="132" t="s">
        <v>178</v>
      </c>
      <c r="BE354" s="132" t="s">
        <v>178</v>
      </c>
      <c r="BF354" s="156"/>
      <c r="BG354" s="83">
        <v>1179653.0</v>
      </c>
      <c r="BH354" s="112"/>
      <c r="BI354" s="112">
        <v>7.0</v>
      </c>
      <c r="BJ354" s="98" t="s">
        <v>155</v>
      </c>
      <c r="BK354" s="99">
        <f t="shared" si="11"/>
        <v>0</v>
      </c>
      <c r="BL354" s="99">
        <f t="shared" si="12"/>
        <v>22</v>
      </c>
      <c r="BM354" s="99" t="str">
        <f>IFERROR(__xludf.DUMMYFUNCTION("IFERROR(VLOOKUP(BG354,IMPORTRANGE(""https://docs.google.com/spreadsheets/d/1juPI-Fb8LD0YtltB2mlGEnp_R3UVu1t3wSFPzgCyHXE/edit?gid=0#gid=0"",""GERAL!A2:C""),3,0),""-"")"),"INDÍGENAS")</f>
        <v>INDÍGENAS</v>
      </c>
    </row>
    <row r="355" ht="15.75" customHeight="1">
      <c r="A355" s="111" t="s">
        <v>451</v>
      </c>
      <c r="B355" s="83" t="s">
        <v>1423</v>
      </c>
      <c r="C355" s="83" t="s">
        <v>164</v>
      </c>
      <c r="D355" s="112">
        <v>1179275.0</v>
      </c>
      <c r="E355" s="83">
        <v>1179652.0</v>
      </c>
      <c r="F355" s="98">
        <v>2.9493498E7</v>
      </c>
      <c r="G355" s="114" t="s">
        <v>1476</v>
      </c>
      <c r="H355" s="91" t="s">
        <v>1477</v>
      </c>
      <c r="I355" s="83" t="s">
        <v>149</v>
      </c>
      <c r="J355" s="83" t="s">
        <v>1478</v>
      </c>
      <c r="K355" s="83" t="s">
        <v>168</v>
      </c>
      <c r="L355" s="83" t="s">
        <v>169</v>
      </c>
      <c r="M355" s="82" t="str">
        <f>IFERROR(__xludf.DUMMYFUNCTION("IFERROR(VLOOKUP(D355,
IMPORTRANGE(""https://docs.google.com/spreadsheets/d/1MjHtlUikwobi2MaWJgy7tfLeBmhj1u-dRFRs_8GwSoA/edit#gid=0"",""Gestores Escolares!D7:J""),3,0),""VERIFICAR CÓD SEC"")"),"EDNA MARIA PEREIRA SANTOS")</f>
        <v>EDNA MARIA PEREIRA SANTOS</v>
      </c>
      <c r="N355" s="82" t="str">
        <f>IFERROR(__xludf.DUMMYFUNCTION("IFERROR(VLOOKUP(D355,
IMPORTRANGE(""https://docs.google.com/spreadsheets/d/1MjHtlUikwobi2MaWJgy7tfLeBmhj1u-dRFRs_8GwSoA/edit#gid=0"",""Gestores Escolares!D7:J""),4,0),""VERIFICAR CÓD SEC"")"),"(73) 9 8127-2856
")</f>
        <v>(73) 9 8127-2856
</v>
      </c>
      <c r="O355" s="82" t="str">
        <f>IFERROR(__xludf.DUMMYFUNCTION("IFERROR(VLOOKUP(D355,
IMPORTRANGE(""https://docs.google.com/spreadsheets/d/1MjHtlUikwobi2MaWJgy7tfLeBmhj1u-dRFRs_8GwSoA/edit#gid=0"",""Gestores Escolares!D7:J""),6,0),""VERIFICAR CÓD SEC"")"),"MAURICIO DEZIDERIO ROCHA")</f>
        <v>MAURICIO DEZIDERIO ROCHA</v>
      </c>
      <c r="P355" s="82" t="str">
        <f>IFERROR(__xludf.DUMMYFUNCTION("IFERROR(VLOOKUP(D355,
IMPORTRANGE(""https://docs.google.com/spreadsheets/d/1MjHtlUikwobi2MaWJgy7tfLeBmhj1u-dRFRs_8GwSoA/edit#gid=0"",""Gestores Escolares!D7:J""),7,0),""VERIFICAR CÓD SEC"")"),"(73) 9 8102-7684")</f>
        <v>(73) 9 8102-7684</v>
      </c>
      <c r="Q355" s="82" t="str">
        <f>IFERROR(__xludf.DUMMYFUNCTION("IFERROR(VLOOKUP(D355,
IMPORTRANGE(""https://docs.google.com/spreadsheets/d/1MjHtlUikwobi2MaWJgy7tfLeBmhj1u-dRFRs_8GwSoA/edit#gid=0"",""Gestores Escolares!D7:m""),9,0),""VERIFICAR CÓD SEC"")"),"")</f>
        <v/>
      </c>
      <c r="R355" s="82" t="str">
        <f>IFERROR(__xludf.DUMMYFUNCTION("IFERROR(VLOOKUP(D355,
IMPORTRANGE(""https://docs.google.com/spreadsheets/d/1MjHtlUikwobi2MaWJgy7tfLeBmhj1u-dRFRs_8GwSoA/edit#gid=0"",""Gestores Escolares!D7:m""),10,0),""VERIFICAR CÓD SEC"")"),"")</f>
        <v/>
      </c>
      <c r="S355" s="82"/>
      <c r="T355" s="138">
        <v>3.0</v>
      </c>
      <c r="U355" s="403">
        <v>1.0</v>
      </c>
      <c r="V355" s="106">
        <v>0.0</v>
      </c>
      <c r="W355" s="107">
        <v>0.0</v>
      </c>
      <c r="X355" s="107">
        <v>0.0</v>
      </c>
      <c r="Y355" s="107">
        <v>0.0</v>
      </c>
      <c r="Z355" s="80">
        <f t="shared" si="1"/>
        <v>0</v>
      </c>
      <c r="AA355" s="106">
        <v>18.0</v>
      </c>
      <c r="AB355" s="107">
        <v>0.0</v>
      </c>
      <c r="AC355" s="107">
        <v>0.0</v>
      </c>
      <c r="AD355" s="107">
        <v>0.0</v>
      </c>
      <c r="AE355" s="80">
        <f t="shared" si="2"/>
        <v>18</v>
      </c>
      <c r="AF355" s="140">
        <v>0.0</v>
      </c>
      <c r="AG355" s="109">
        <v>0.0</v>
      </c>
      <c r="AH355" s="109">
        <v>0.0</v>
      </c>
      <c r="AI355" s="141">
        <v>0.0</v>
      </c>
      <c r="AJ355" s="80">
        <f t="shared" si="3"/>
        <v>0</v>
      </c>
      <c r="AK355" s="140">
        <v>0.0</v>
      </c>
      <c r="AL355" s="109">
        <v>0.0</v>
      </c>
      <c r="AM355" s="141">
        <v>0.0</v>
      </c>
      <c r="AN355" s="80">
        <f t="shared" si="4"/>
        <v>0</v>
      </c>
      <c r="AO355" s="140">
        <v>0.0</v>
      </c>
      <c r="AP355" s="109">
        <v>0.0</v>
      </c>
      <c r="AQ355" s="109">
        <v>0.0</v>
      </c>
      <c r="AR355" s="80">
        <f t="shared" si="5"/>
        <v>0</v>
      </c>
      <c r="AS355" s="110">
        <v>0.0</v>
      </c>
      <c r="AT355" s="110">
        <v>0.0</v>
      </c>
      <c r="AU355" s="110">
        <v>0.0</v>
      </c>
      <c r="AV355" s="142">
        <v>0.0</v>
      </c>
      <c r="AW355" s="80">
        <f t="shared" si="6"/>
        <v>0</v>
      </c>
      <c r="AX355" s="113">
        <f t="shared" si="7"/>
        <v>18</v>
      </c>
      <c r="AY355" s="117">
        <f t="shared" si="8"/>
        <v>18</v>
      </c>
      <c r="AZ355" s="120">
        <f t="shared" si="9"/>
        <v>0</v>
      </c>
      <c r="BA355" s="115">
        <v>0.0</v>
      </c>
      <c r="BB355" s="89">
        <f t="shared" si="10"/>
        <v>18</v>
      </c>
      <c r="BC355" s="143" t="s">
        <v>1294</v>
      </c>
      <c r="BD355" s="132" t="s">
        <v>178</v>
      </c>
      <c r="BE355" s="132" t="s">
        <v>178</v>
      </c>
      <c r="BF355" s="156"/>
      <c r="BG355" s="83">
        <v>1179652.0</v>
      </c>
      <c r="BH355" s="112"/>
      <c r="BI355" s="112">
        <v>1.0</v>
      </c>
      <c r="BJ355" s="98" t="s">
        <v>155</v>
      </c>
      <c r="BK355" s="99">
        <f t="shared" si="11"/>
        <v>0</v>
      </c>
      <c r="BL355" s="99">
        <f t="shared" si="12"/>
        <v>18</v>
      </c>
      <c r="BM355" s="99" t="str">
        <f>IFERROR(__xludf.DUMMYFUNCTION("IFERROR(VLOOKUP(BG355,IMPORTRANGE(""https://docs.google.com/spreadsheets/d/1juPI-Fb8LD0YtltB2mlGEnp_R3UVu1t3wSFPzgCyHXE/edit?gid=0#gid=0"",""GERAL!A2:C""),3,0),""-"")"),"INDÍGENAS")</f>
        <v>INDÍGENAS</v>
      </c>
    </row>
    <row r="356" ht="15.75" customHeight="1">
      <c r="A356" s="111" t="s">
        <v>451</v>
      </c>
      <c r="B356" s="83" t="s">
        <v>1423</v>
      </c>
      <c r="C356" s="83" t="s">
        <v>164</v>
      </c>
      <c r="D356" s="112">
        <v>1178075.0</v>
      </c>
      <c r="E356" s="83">
        <v>1179521.0</v>
      </c>
      <c r="F356" s="98">
        <v>2.9492416E7</v>
      </c>
      <c r="G356" s="114" t="s">
        <v>1479</v>
      </c>
      <c r="H356" s="91" t="s">
        <v>1480</v>
      </c>
      <c r="I356" s="83" t="s">
        <v>1481</v>
      </c>
      <c r="J356" s="83" t="s">
        <v>187</v>
      </c>
      <c r="K356" s="83" t="s">
        <v>168</v>
      </c>
      <c r="L356" s="83" t="s">
        <v>1482</v>
      </c>
      <c r="M356" s="82" t="str">
        <f>IFERROR(__xludf.DUMMYFUNCTION("IFERROR(VLOOKUP(D356,
IMPORTRANGE(""https://docs.google.com/spreadsheets/d/1MjHtlUikwobi2MaWJgy7tfLeBmhj1u-dRFRs_8GwSoA/edit#gid=0"",""Gestores Escolares!D7:J""),3,0),""VERIFICAR CÓD SEC"")"),"MARIA JESUINA BARBOSA DOS SANTOS ")</f>
        <v>MARIA JESUINA BARBOSA DOS SANTOS </v>
      </c>
      <c r="N356" s="82" t="str">
        <f>IFERROR(__xludf.DUMMYFUNCTION("IFERROR(VLOOKUP(D356,
IMPORTRANGE(""https://docs.google.com/spreadsheets/d/1MjHtlUikwobi2MaWJgy7tfLeBmhj1u-dRFRs_8GwSoA/edit#gid=0"",""Gestores Escolares!D7:J""),4,0),""VERIFICAR CÓD SEC"")"),"(73) 9 8854-4876")</f>
        <v>(73) 9 8854-4876</v>
      </c>
      <c r="O356" s="82" t="str">
        <f>IFERROR(__xludf.DUMMYFUNCTION("IFERROR(VLOOKUP(D356,
IMPORTRANGE(""https://docs.google.com/spreadsheets/d/1MjHtlUikwobi2MaWJgy7tfLeBmhj1u-dRFRs_8GwSoA/edit#gid=0"",""Gestores Escolares!D7:J""),6,0),""VERIFICAR CÓD SEC"")"),"")</f>
        <v/>
      </c>
      <c r="P356" s="82" t="str">
        <f>IFERROR(__xludf.DUMMYFUNCTION("IFERROR(VLOOKUP(D356,
IMPORTRANGE(""https://docs.google.com/spreadsheets/d/1MjHtlUikwobi2MaWJgy7tfLeBmhj1u-dRFRs_8GwSoA/edit#gid=0"",""Gestores Escolares!D7:J""),7,0),""VERIFICAR CÓD SEC"")"),"")</f>
        <v/>
      </c>
      <c r="Q356" s="82" t="str">
        <f>IFERROR(__xludf.DUMMYFUNCTION("IFERROR(VLOOKUP(D356,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56" s="82" t="str">
        <f>IFERROR(__xludf.DUMMYFUNCTION("IFERROR(VLOOKUP(D356,
IMPORTRANGE(""https://docs.google.com/spreadsheets/d/1MjHtlUikwobi2MaWJgy7tfLeBmhj1u-dRFRs_8GwSoA/edit#gid=0"",""Gestores Escolares!D7:m""),10,0),""VERIFICAR CÓD SEC"")"),"")</f>
        <v/>
      </c>
      <c r="S356" s="82"/>
      <c r="T356" s="138">
        <v>1.0</v>
      </c>
      <c r="U356" s="152">
        <v>1.0</v>
      </c>
      <c r="V356" s="106">
        <v>6.0</v>
      </c>
      <c r="W356" s="107">
        <v>0.0</v>
      </c>
      <c r="X356" s="107">
        <v>0.0</v>
      </c>
      <c r="Y356" s="107">
        <v>0.0</v>
      </c>
      <c r="Z356" s="80">
        <f t="shared" si="1"/>
        <v>6</v>
      </c>
      <c r="AA356" s="106">
        <v>5.0</v>
      </c>
      <c r="AB356" s="107">
        <v>0.0</v>
      </c>
      <c r="AC356" s="107">
        <v>0.0</v>
      </c>
      <c r="AD356" s="107">
        <v>0.0</v>
      </c>
      <c r="AE356" s="80">
        <f t="shared" si="2"/>
        <v>5</v>
      </c>
      <c r="AF356" s="140">
        <v>0.0</v>
      </c>
      <c r="AG356" s="109">
        <v>0.0</v>
      </c>
      <c r="AH356" s="109">
        <v>0.0</v>
      </c>
      <c r="AI356" s="141">
        <v>0.0</v>
      </c>
      <c r="AJ356" s="80">
        <f t="shared" si="3"/>
        <v>0</v>
      </c>
      <c r="AK356" s="140">
        <v>0.0</v>
      </c>
      <c r="AL356" s="109">
        <v>0.0</v>
      </c>
      <c r="AM356" s="141">
        <v>0.0</v>
      </c>
      <c r="AN356" s="80">
        <f t="shared" si="4"/>
        <v>0</v>
      </c>
      <c r="AO356" s="140">
        <v>0.0</v>
      </c>
      <c r="AP356" s="109">
        <v>0.0</v>
      </c>
      <c r="AQ356" s="109">
        <v>0.0</v>
      </c>
      <c r="AR356" s="80">
        <f t="shared" si="5"/>
        <v>0</v>
      </c>
      <c r="AS356" s="110">
        <v>0.0</v>
      </c>
      <c r="AT356" s="110">
        <v>0.0</v>
      </c>
      <c r="AU356" s="110">
        <v>0.0</v>
      </c>
      <c r="AV356" s="142">
        <v>0.0</v>
      </c>
      <c r="AW356" s="80">
        <f t="shared" si="6"/>
        <v>0</v>
      </c>
      <c r="AX356" s="113">
        <f t="shared" si="7"/>
        <v>11</v>
      </c>
      <c r="AY356" s="117">
        <f t="shared" si="8"/>
        <v>11</v>
      </c>
      <c r="AZ356" s="120">
        <f t="shared" si="9"/>
        <v>0</v>
      </c>
      <c r="BA356" s="115">
        <v>0.0</v>
      </c>
      <c r="BB356" s="89">
        <f t="shared" si="10"/>
        <v>11</v>
      </c>
      <c r="BC356" s="143" t="s">
        <v>1294</v>
      </c>
      <c r="BD356" s="132" t="s">
        <v>178</v>
      </c>
      <c r="BE356" s="132" t="s">
        <v>178</v>
      </c>
      <c r="BF356" s="156"/>
      <c r="BG356" s="83">
        <v>1179521.0</v>
      </c>
      <c r="BH356" s="112"/>
      <c r="BI356" s="112">
        <v>1.0</v>
      </c>
      <c r="BJ356" s="98" t="s">
        <v>155</v>
      </c>
      <c r="BK356" s="99">
        <f t="shared" si="11"/>
        <v>0</v>
      </c>
      <c r="BL356" s="99">
        <f t="shared" si="12"/>
        <v>11</v>
      </c>
      <c r="BM356" s="99" t="str">
        <f>IFERROR(__xludf.DUMMYFUNCTION("IFERROR(VLOOKUP(BG356,IMPORTRANGE(""https://docs.google.com/spreadsheets/d/1juPI-Fb8LD0YtltB2mlGEnp_R3UVu1t3wSFPzgCyHXE/edit?gid=0#gid=0"",""GERAL!A2:C""),3,0),""-"")"),"INDÍGENAS")</f>
        <v>INDÍGENAS</v>
      </c>
    </row>
    <row r="357" ht="15.75" customHeight="1">
      <c r="A357" s="111" t="s">
        <v>451</v>
      </c>
      <c r="B357" s="83" t="s">
        <v>1423</v>
      </c>
      <c r="C357" s="83" t="s">
        <v>164</v>
      </c>
      <c r="D357" s="112">
        <v>1178075.0</v>
      </c>
      <c r="E357" s="83">
        <v>1179526.0</v>
      </c>
      <c r="F357" s="98">
        <v>2.9492394E7</v>
      </c>
      <c r="G357" s="114" t="s">
        <v>1483</v>
      </c>
      <c r="H357" s="91" t="s">
        <v>1484</v>
      </c>
      <c r="I357" s="83" t="s">
        <v>1481</v>
      </c>
      <c r="J357" s="83" t="s">
        <v>240</v>
      </c>
      <c r="K357" s="83" t="s">
        <v>168</v>
      </c>
      <c r="L357" s="83" t="s">
        <v>1482</v>
      </c>
      <c r="M357" s="82" t="str">
        <f>IFERROR(__xludf.DUMMYFUNCTION("IFERROR(VLOOKUP(D357,
IMPORTRANGE(""https://docs.google.com/spreadsheets/d/1MjHtlUikwobi2MaWJgy7tfLeBmhj1u-dRFRs_8GwSoA/edit#gid=0"",""Gestores Escolares!D7:J""),3,0),""VERIFICAR CÓD SEC"")"),"MARIA JESUINA BARBOSA DOS SANTOS ")</f>
        <v>MARIA JESUINA BARBOSA DOS SANTOS </v>
      </c>
      <c r="N357" s="82" t="str">
        <f>IFERROR(__xludf.DUMMYFUNCTION("IFERROR(VLOOKUP(D357,
IMPORTRANGE(""https://docs.google.com/spreadsheets/d/1MjHtlUikwobi2MaWJgy7tfLeBmhj1u-dRFRs_8GwSoA/edit#gid=0"",""Gestores Escolares!D7:J""),4,0),""VERIFICAR CÓD SEC"")"),"(73) 9 8854-4876")</f>
        <v>(73) 9 8854-4876</v>
      </c>
      <c r="O357" s="82" t="str">
        <f>IFERROR(__xludf.DUMMYFUNCTION("IFERROR(VLOOKUP(D357,
IMPORTRANGE(""https://docs.google.com/spreadsheets/d/1MjHtlUikwobi2MaWJgy7tfLeBmhj1u-dRFRs_8GwSoA/edit#gid=0"",""Gestores Escolares!D7:J""),6,0),""VERIFICAR CÓD SEC"")"),"")</f>
        <v/>
      </c>
      <c r="P357" s="82" t="str">
        <f>IFERROR(__xludf.DUMMYFUNCTION("IFERROR(VLOOKUP(D357,
IMPORTRANGE(""https://docs.google.com/spreadsheets/d/1MjHtlUikwobi2MaWJgy7tfLeBmhj1u-dRFRs_8GwSoA/edit#gid=0"",""Gestores Escolares!D7:J""),7,0),""VERIFICAR CÓD SEC"")"),"")</f>
        <v/>
      </c>
      <c r="Q357" s="82" t="str">
        <f>IFERROR(__xludf.DUMMYFUNCTION("IFERROR(VLOOKUP(D357,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57" s="82" t="str">
        <f>IFERROR(__xludf.DUMMYFUNCTION("IFERROR(VLOOKUP(D357,
IMPORTRANGE(""https://docs.google.com/spreadsheets/d/1MjHtlUikwobi2MaWJgy7tfLeBmhj1u-dRFRs_8GwSoA/edit#gid=0"",""Gestores Escolares!D7:m""),10,0),""VERIFICAR CÓD SEC"")"),"")</f>
        <v/>
      </c>
      <c r="S357" s="82"/>
      <c r="T357" s="138">
        <v>2.0</v>
      </c>
      <c r="U357" s="403">
        <v>2.0</v>
      </c>
      <c r="V357" s="106">
        <v>5.0</v>
      </c>
      <c r="W357" s="107">
        <v>0.0</v>
      </c>
      <c r="X357" s="107">
        <v>0.0</v>
      </c>
      <c r="Y357" s="107">
        <v>0.0</v>
      </c>
      <c r="Z357" s="80">
        <f t="shared" si="1"/>
        <v>5</v>
      </c>
      <c r="AA357" s="106">
        <v>0.0</v>
      </c>
      <c r="AB357" s="107">
        <v>6.0</v>
      </c>
      <c r="AC357" s="107">
        <v>0.0</v>
      </c>
      <c r="AD357" s="107">
        <v>0.0</v>
      </c>
      <c r="AE357" s="80">
        <f t="shared" si="2"/>
        <v>6</v>
      </c>
      <c r="AF357" s="140">
        <v>0.0</v>
      </c>
      <c r="AG357" s="109">
        <v>0.0</v>
      </c>
      <c r="AH357" s="109">
        <v>0.0</v>
      </c>
      <c r="AI357" s="141">
        <v>0.0</v>
      </c>
      <c r="AJ357" s="80">
        <f t="shared" si="3"/>
        <v>0</v>
      </c>
      <c r="AK357" s="140">
        <v>0.0</v>
      </c>
      <c r="AL357" s="109">
        <v>0.0</v>
      </c>
      <c r="AM357" s="141">
        <v>13.0</v>
      </c>
      <c r="AN357" s="80">
        <f t="shared" si="4"/>
        <v>13</v>
      </c>
      <c r="AO357" s="140">
        <v>0.0</v>
      </c>
      <c r="AP357" s="109">
        <v>0.0</v>
      </c>
      <c r="AQ357" s="109">
        <v>5.0</v>
      </c>
      <c r="AR357" s="80">
        <f t="shared" si="5"/>
        <v>5</v>
      </c>
      <c r="AS357" s="110">
        <v>0.0</v>
      </c>
      <c r="AT357" s="110">
        <v>0.0</v>
      </c>
      <c r="AU357" s="110">
        <v>0.0</v>
      </c>
      <c r="AV357" s="142">
        <v>0.0</v>
      </c>
      <c r="AW357" s="80">
        <f t="shared" si="6"/>
        <v>0</v>
      </c>
      <c r="AX357" s="113">
        <f t="shared" si="7"/>
        <v>29</v>
      </c>
      <c r="AY357" s="117">
        <f t="shared" si="8"/>
        <v>11</v>
      </c>
      <c r="AZ357" s="120">
        <f t="shared" si="9"/>
        <v>18</v>
      </c>
      <c r="BA357" s="115">
        <v>0.0</v>
      </c>
      <c r="BB357" s="89">
        <f t="shared" si="10"/>
        <v>29</v>
      </c>
      <c r="BC357" s="143" t="s">
        <v>1294</v>
      </c>
      <c r="BD357" s="132" t="s">
        <v>178</v>
      </c>
      <c r="BE357" s="132" t="s">
        <v>178</v>
      </c>
      <c r="BF357" s="156"/>
      <c r="BG357" s="83">
        <v>1179526.0</v>
      </c>
      <c r="BH357" s="112"/>
      <c r="BI357" s="112">
        <v>2.0</v>
      </c>
      <c r="BJ357" s="98" t="s">
        <v>155</v>
      </c>
      <c r="BK357" s="99">
        <f t="shared" si="11"/>
        <v>0</v>
      </c>
      <c r="BL357" s="99">
        <f t="shared" si="12"/>
        <v>11</v>
      </c>
      <c r="BM357" s="99" t="str">
        <f>IFERROR(__xludf.DUMMYFUNCTION("IFERROR(VLOOKUP(BG357,IMPORTRANGE(""https://docs.google.com/spreadsheets/d/1juPI-Fb8LD0YtltB2mlGEnp_R3UVu1t3wSFPzgCyHXE/edit?gid=0#gid=0"",""GERAL!A2:C""),3,0),""-"")"),"INDÍGENAS")</f>
        <v>INDÍGENAS</v>
      </c>
    </row>
    <row r="358" ht="15.75" customHeight="1">
      <c r="A358" s="111" t="s">
        <v>451</v>
      </c>
      <c r="B358" s="83" t="s">
        <v>1423</v>
      </c>
      <c r="C358" s="83" t="s">
        <v>164</v>
      </c>
      <c r="D358" s="112">
        <v>1178075.0</v>
      </c>
      <c r="E358" s="83">
        <v>1179524.0</v>
      </c>
      <c r="F358" s="98">
        <v>2.9492386E7</v>
      </c>
      <c r="G358" s="114" t="s">
        <v>1485</v>
      </c>
      <c r="H358" s="91" t="s">
        <v>1486</v>
      </c>
      <c r="I358" s="83" t="s">
        <v>1481</v>
      </c>
      <c r="J358" s="83" t="s">
        <v>240</v>
      </c>
      <c r="K358" s="83" t="s">
        <v>168</v>
      </c>
      <c r="L358" s="83" t="s">
        <v>1482</v>
      </c>
      <c r="M358" s="82" t="str">
        <f>IFERROR(__xludf.DUMMYFUNCTION("IFERROR(VLOOKUP(D358,
IMPORTRANGE(""https://docs.google.com/spreadsheets/d/1MjHtlUikwobi2MaWJgy7tfLeBmhj1u-dRFRs_8GwSoA/edit#gid=0"",""Gestores Escolares!D7:J""),3,0),""VERIFICAR CÓD SEC"")"),"MARIA JESUINA BARBOSA DOS SANTOS ")</f>
        <v>MARIA JESUINA BARBOSA DOS SANTOS </v>
      </c>
      <c r="N358" s="82" t="str">
        <f>IFERROR(__xludf.DUMMYFUNCTION("IFERROR(VLOOKUP(D358,
IMPORTRANGE(""https://docs.google.com/spreadsheets/d/1MjHtlUikwobi2MaWJgy7tfLeBmhj1u-dRFRs_8GwSoA/edit#gid=0"",""Gestores Escolares!D7:J""),4,0),""VERIFICAR CÓD SEC"")"),"(73) 9 8854-4876")</f>
        <v>(73) 9 8854-4876</v>
      </c>
      <c r="O358" s="82" t="str">
        <f>IFERROR(__xludf.DUMMYFUNCTION("IFERROR(VLOOKUP(D358,
IMPORTRANGE(""https://docs.google.com/spreadsheets/d/1MjHtlUikwobi2MaWJgy7tfLeBmhj1u-dRFRs_8GwSoA/edit#gid=0"",""Gestores Escolares!D7:J""),6,0),""VERIFICAR CÓD SEC"")"),"")</f>
        <v/>
      </c>
      <c r="P358" s="82" t="str">
        <f>IFERROR(__xludf.DUMMYFUNCTION("IFERROR(VLOOKUP(D358,
IMPORTRANGE(""https://docs.google.com/spreadsheets/d/1MjHtlUikwobi2MaWJgy7tfLeBmhj1u-dRFRs_8GwSoA/edit#gid=0"",""Gestores Escolares!D7:J""),7,0),""VERIFICAR CÓD SEC"")"),"")</f>
        <v/>
      </c>
      <c r="Q358" s="82" t="str">
        <f>IFERROR(__xludf.DUMMYFUNCTION("IFERROR(VLOOKUP(D358,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58" s="82" t="str">
        <f>IFERROR(__xludf.DUMMYFUNCTION("IFERROR(VLOOKUP(D358,
IMPORTRANGE(""https://docs.google.com/spreadsheets/d/1MjHtlUikwobi2MaWJgy7tfLeBmhj1u-dRFRs_8GwSoA/edit#gid=0"",""Gestores Escolares!D7:m""),10,0),""VERIFICAR CÓD SEC"")"),"")</f>
        <v/>
      </c>
      <c r="S358" s="82"/>
      <c r="T358" s="138">
        <v>1.0</v>
      </c>
      <c r="U358" s="403">
        <v>2.0</v>
      </c>
      <c r="V358" s="106">
        <v>10.0</v>
      </c>
      <c r="W358" s="107">
        <v>0.0</v>
      </c>
      <c r="X358" s="107">
        <v>0.0</v>
      </c>
      <c r="Y358" s="107">
        <v>0.0</v>
      </c>
      <c r="Z358" s="80">
        <f t="shared" si="1"/>
        <v>10</v>
      </c>
      <c r="AA358" s="106">
        <v>1.0</v>
      </c>
      <c r="AB358" s="107">
        <v>11.0</v>
      </c>
      <c r="AC358" s="107">
        <v>0.0</v>
      </c>
      <c r="AD358" s="107">
        <v>0.0</v>
      </c>
      <c r="AE358" s="80">
        <f t="shared" si="2"/>
        <v>12</v>
      </c>
      <c r="AF358" s="140">
        <v>0.0</v>
      </c>
      <c r="AG358" s="109">
        <v>0.0</v>
      </c>
      <c r="AH358" s="109">
        <v>0.0</v>
      </c>
      <c r="AI358" s="141">
        <v>0.0</v>
      </c>
      <c r="AJ358" s="80">
        <f t="shared" si="3"/>
        <v>0</v>
      </c>
      <c r="AK358" s="140">
        <v>0.0</v>
      </c>
      <c r="AL358" s="109">
        <v>0.0</v>
      </c>
      <c r="AM358" s="141">
        <v>0.0</v>
      </c>
      <c r="AN358" s="80">
        <f t="shared" si="4"/>
        <v>0</v>
      </c>
      <c r="AO358" s="140">
        <v>0.0</v>
      </c>
      <c r="AP358" s="109">
        <v>0.0</v>
      </c>
      <c r="AQ358" s="109">
        <v>0.0</v>
      </c>
      <c r="AR358" s="80">
        <f t="shared" si="5"/>
        <v>0</v>
      </c>
      <c r="AS358" s="110">
        <v>0.0</v>
      </c>
      <c r="AT358" s="110">
        <v>0.0</v>
      </c>
      <c r="AU358" s="110">
        <v>0.0</v>
      </c>
      <c r="AV358" s="142">
        <v>0.0</v>
      </c>
      <c r="AW358" s="80">
        <f t="shared" si="6"/>
        <v>0</v>
      </c>
      <c r="AX358" s="113">
        <f t="shared" si="7"/>
        <v>22</v>
      </c>
      <c r="AY358" s="117">
        <f t="shared" si="8"/>
        <v>22</v>
      </c>
      <c r="AZ358" s="120">
        <f t="shared" si="9"/>
        <v>0</v>
      </c>
      <c r="BA358" s="115">
        <v>0.0</v>
      </c>
      <c r="BB358" s="89">
        <f t="shared" si="10"/>
        <v>22</v>
      </c>
      <c r="BC358" s="143" t="s">
        <v>1294</v>
      </c>
      <c r="BD358" s="132" t="s">
        <v>178</v>
      </c>
      <c r="BE358" s="132" t="s">
        <v>178</v>
      </c>
      <c r="BF358" s="156"/>
      <c r="BG358" s="83">
        <v>1179524.0</v>
      </c>
      <c r="BH358" s="112"/>
      <c r="BI358" s="112">
        <v>2.0</v>
      </c>
      <c r="BJ358" s="98" t="s">
        <v>155</v>
      </c>
      <c r="BK358" s="99">
        <f t="shared" si="11"/>
        <v>0</v>
      </c>
      <c r="BL358" s="99">
        <f t="shared" si="12"/>
        <v>22</v>
      </c>
      <c r="BM358" s="99" t="str">
        <f>IFERROR(__xludf.DUMMYFUNCTION("IFERROR(VLOOKUP(BG358,IMPORTRANGE(""https://docs.google.com/spreadsheets/d/1juPI-Fb8LD0YtltB2mlGEnp_R3UVu1t3wSFPzgCyHXE/edit?gid=0#gid=0"",""GERAL!A2:C""),3,0),""-"")"),"INDÍGENAS")</f>
        <v>INDÍGENAS</v>
      </c>
    </row>
    <row r="359" ht="15.75" customHeight="1">
      <c r="A359" s="111" t="s">
        <v>451</v>
      </c>
      <c r="B359" s="83" t="s">
        <v>1423</v>
      </c>
      <c r="C359" s="83" t="s">
        <v>164</v>
      </c>
      <c r="D359" s="112">
        <v>1178075.0</v>
      </c>
      <c r="E359" s="83">
        <v>1179523.0</v>
      </c>
      <c r="F359" s="98">
        <v>2.9492378E7</v>
      </c>
      <c r="G359" s="114" t="s">
        <v>1487</v>
      </c>
      <c r="H359" s="91" t="s">
        <v>1488</v>
      </c>
      <c r="I359" s="83" t="s">
        <v>1481</v>
      </c>
      <c r="J359" s="83" t="s">
        <v>577</v>
      </c>
      <c r="K359" s="83" t="s">
        <v>168</v>
      </c>
      <c r="L359" s="83" t="s">
        <v>1482</v>
      </c>
      <c r="M359" s="82" t="str">
        <f>IFERROR(__xludf.DUMMYFUNCTION("IFERROR(VLOOKUP(D359,
IMPORTRANGE(""https://docs.google.com/spreadsheets/d/1MjHtlUikwobi2MaWJgy7tfLeBmhj1u-dRFRs_8GwSoA/edit#gid=0"",""Gestores Escolares!D7:J""),3,0),""VERIFICAR CÓD SEC"")"),"MARIA JESUINA BARBOSA DOS SANTOS ")</f>
        <v>MARIA JESUINA BARBOSA DOS SANTOS </v>
      </c>
      <c r="N359" s="82" t="str">
        <f>IFERROR(__xludf.DUMMYFUNCTION("IFERROR(VLOOKUP(D359,
IMPORTRANGE(""https://docs.google.com/spreadsheets/d/1MjHtlUikwobi2MaWJgy7tfLeBmhj1u-dRFRs_8GwSoA/edit#gid=0"",""Gestores Escolares!D7:J""),4,0),""VERIFICAR CÓD SEC"")"),"(73) 9 8854-4876")</f>
        <v>(73) 9 8854-4876</v>
      </c>
      <c r="O359" s="82" t="str">
        <f>IFERROR(__xludf.DUMMYFUNCTION("IFERROR(VLOOKUP(D359,
IMPORTRANGE(""https://docs.google.com/spreadsheets/d/1MjHtlUikwobi2MaWJgy7tfLeBmhj1u-dRFRs_8GwSoA/edit#gid=0"",""Gestores Escolares!D7:J""),6,0),""VERIFICAR CÓD SEC"")"),"")</f>
        <v/>
      </c>
      <c r="P359" s="82" t="str">
        <f>IFERROR(__xludf.DUMMYFUNCTION("IFERROR(VLOOKUP(D359,
IMPORTRANGE(""https://docs.google.com/spreadsheets/d/1MjHtlUikwobi2MaWJgy7tfLeBmhj1u-dRFRs_8GwSoA/edit#gid=0"",""Gestores Escolares!D7:J""),7,0),""VERIFICAR CÓD SEC"")"),"")</f>
        <v/>
      </c>
      <c r="Q359" s="82" t="str">
        <f>IFERROR(__xludf.DUMMYFUNCTION("IFERROR(VLOOKUP(D359,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59" s="82" t="str">
        <f>IFERROR(__xludf.DUMMYFUNCTION("IFERROR(VLOOKUP(D359,
IMPORTRANGE(""https://docs.google.com/spreadsheets/d/1MjHtlUikwobi2MaWJgy7tfLeBmhj1u-dRFRs_8GwSoA/edit#gid=0"",""Gestores Escolares!D7:m""),10,0),""VERIFICAR CÓD SEC"")"),"")</f>
        <v/>
      </c>
      <c r="S359" s="82"/>
      <c r="T359" s="138">
        <v>3.0</v>
      </c>
      <c r="U359" s="403">
        <v>2.0</v>
      </c>
      <c r="V359" s="106">
        <v>25.0</v>
      </c>
      <c r="W359" s="107">
        <v>0.0</v>
      </c>
      <c r="X359" s="107">
        <v>0.0</v>
      </c>
      <c r="Y359" s="107">
        <v>0.0</v>
      </c>
      <c r="Z359" s="80">
        <f t="shared" si="1"/>
        <v>25</v>
      </c>
      <c r="AA359" s="106">
        <v>11.0</v>
      </c>
      <c r="AB359" s="107">
        <v>26.0</v>
      </c>
      <c r="AC359" s="107">
        <v>0.0</v>
      </c>
      <c r="AD359" s="107">
        <v>0.0</v>
      </c>
      <c r="AE359" s="80">
        <f t="shared" si="2"/>
        <v>37</v>
      </c>
      <c r="AF359" s="140">
        <v>0.0</v>
      </c>
      <c r="AG359" s="109">
        <v>0.0</v>
      </c>
      <c r="AH359" s="109">
        <v>0.0</v>
      </c>
      <c r="AI359" s="141">
        <v>0.0</v>
      </c>
      <c r="AJ359" s="80">
        <f t="shared" si="3"/>
        <v>0</v>
      </c>
      <c r="AK359" s="140">
        <v>0.0</v>
      </c>
      <c r="AL359" s="109">
        <v>0.0</v>
      </c>
      <c r="AM359" s="141">
        <v>15.0</v>
      </c>
      <c r="AN359" s="80">
        <f t="shared" si="4"/>
        <v>15</v>
      </c>
      <c r="AO359" s="140">
        <v>0.0</v>
      </c>
      <c r="AP359" s="109">
        <v>0.0</v>
      </c>
      <c r="AQ359" s="109">
        <v>0.0</v>
      </c>
      <c r="AR359" s="80">
        <f t="shared" si="5"/>
        <v>0</v>
      </c>
      <c r="AS359" s="110">
        <v>0.0</v>
      </c>
      <c r="AT359" s="110">
        <v>0.0</v>
      </c>
      <c r="AU359" s="110">
        <v>0.0</v>
      </c>
      <c r="AV359" s="142">
        <v>0.0</v>
      </c>
      <c r="AW359" s="80">
        <f t="shared" si="6"/>
        <v>0</v>
      </c>
      <c r="AX359" s="113">
        <f t="shared" si="7"/>
        <v>77</v>
      </c>
      <c r="AY359" s="117">
        <f t="shared" si="8"/>
        <v>62</v>
      </c>
      <c r="AZ359" s="120">
        <f t="shared" si="9"/>
        <v>15</v>
      </c>
      <c r="BA359" s="115">
        <v>0.0</v>
      </c>
      <c r="BB359" s="89">
        <f t="shared" si="10"/>
        <v>77</v>
      </c>
      <c r="BC359" s="143" t="s">
        <v>1294</v>
      </c>
      <c r="BD359" s="132" t="s">
        <v>178</v>
      </c>
      <c r="BE359" s="132" t="s">
        <v>178</v>
      </c>
      <c r="BF359" s="156"/>
      <c r="BG359" s="83">
        <v>1179523.0</v>
      </c>
      <c r="BH359" s="112"/>
      <c r="BI359" s="112">
        <v>2.0</v>
      </c>
      <c r="BJ359" s="98" t="s">
        <v>155</v>
      </c>
      <c r="BK359" s="99">
        <f t="shared" si="11"/>
        <v>0</v>
      </c>
      <c r="BL359" s="99">
        <f t="shared" si="12"/>
        <v>62</v>
      </c>
      <c r="BM359" s="99" t="str">
        <f>IFERROR(__xludf.DUMMYFUNCTION("IFERROR(VLOOKUP(BG359,IMPORTRANGE(""https://docs.google.com/spreadsheets/d/1juPI-Fb8LD0YtltB2mlGEnp_R3UVu1t3wSFPzgCyHXE/edit?gid=0#gid=0"",""GERAL!A2:C""),3,0),""-"")"),"INDÍGENAS")</f>
        <v>INDÍGENAS</v>
      </c>
    </row>
    <row r="360" ht="15.75" customHeight="1">
      <c r="A360" s="111" t="s">
        <v>451</v>
      </c>
      <c r="B360" s="83" t="s">
        <v>1423</v>
      </c>
      <c r="C360" s="83" t="s">
        <v>164</v>
      </c>
      <c r="D360" s="112">
        <v>1178075.0</v>
      </c>
      <c r="E360" s="83">
        <v>1179513.0</v>
      </c>
      <c r="F360" s="98">
        <v>2.949236E7</v>
      </c>
      <c r="G360" s="114" t="s">
        <v>1489</v>
      </c>
      <c r="H360" s="91" t="s">
        <v>1490</v>
      </c>
      <c r="I360" s="83" t="s">
        <v>1481</v>
      </c>
      <c r="J360" s="83" t="s">
        <v>240</v>
      </c>
      <c r="K360" s="83" t="s">
        <v>168</v>
      </c>
      <c r="L360" s="83" t="s">
        <v>1482</v>
      </c>
      <c r="M360" s="82" t="str">
        <f>IFERROR(__xludf.DUMMYFUNCTION("IFERROR(VLOOKUP(D360,
IMPORTRANGE(""https://docs.google.com/spreadsheets/d/1MjHtlUikwobi2MaWJgy7tfLeBmhj1u-dRFRs_8GwSoA/edit#gid=0"",""Gestores Escolares!D7:J""),3,0),""VERIFICAR CÓD SEC"")"),"MARIA JESUINA BARBOSA DOS SANTOS ")</f>
        <v>MARIA JESUINA BARBOSA DOS SANTOS </v>
      </c>
      <c r="N360" s="82" t="str">
        <f>IFERROR(__xludf.DUMMYFUNCTION("IFERROR(VLOOKUP(D360,
IMPORTRANGE(""https://docs.google.com/spreadsheets/d/1MjHtlUikwobi2MaWJgy7tfLeBmhj1u-dRFRs_8GwSoA/edit#gid=0"",""Gestores Escolares!D7:J""),4,0),""VERIFICAR CÓD SEC"")"),"(73) 9 8854-4876")</f>
        <v>(73) 9 8854-4876</v>
      </c>
      <c r="O360" s="82" t="str">
        <f>IFERROR(__xludf.DUMMYFUNCTION("IFERROR(VLOOKUP(D360,
IMPORTRANGE(""https://docs.google.com/spreadsheets/d/1MjHtlUikwobi2MaWJgy7tfLeBmhj1u-dRFRs_8GwSoA/edit#gid=0"",""Gestores Escolares!D7:J""),6,0),""VERIFICAR CÓD SEC"")"),"")</f>
        <v/>
      </c>
      <c r="P360" s="82" t="str">
        <f>IFERROR(__xludf.DUMMYFUNCTION("IFERROR(VLOOKUP(D360,
IMPORTRANGE(""https://docs.google.com/spreadsheets/d/1MjHtlUikwobi2MaWJgy7tfLeBmhj1u-dRFRs_8GwSoA/edit#gid=0"",""Gestores Escolares!D7:J""),7,0),""VERIFICAR CÓD SEC"")"),"")</f>
        <v/>
      </c>
      <c r="Q360" s="82" t="str">
        <f>IFERROR(__xludf.DUMMYFUNCTION("IFERROR(VLOOKUP(D360,
IMPORTRANGE(""https://docs.google.com/spreadsheets/d/1MjHtlUikwobi2MaWJgy7tfLeBmhj1u-dRFRs_8GwSoA/edit#gid=0"",""Gestores Escolares!D7:m""),9,0),""VERIFICAR CÓD SEC"")"),"ROSILENE (COORDENADORA INDIGENA DAS ESCOLAS DO TERRITÓRIO) - (73) 9 9142-3286")</f>
        <v>ROSILENE (COORDENADORA INDIGENA DAS ESCOLAS DO TERRITÓRIO) - (73) 9 9142-3286</v>
      </c>
      <c r="R360" s="82" t="str">
        <f>IFERROR(__xludf.DUMMYFUNCTION("IFERROR(VLOOKUP(D360,
IMPORTRANGE(""https://docs.google.com/spreadsheets/d/1MjHtlUikwobi2MaWJgy7tfLeBmhj1u-dRFRs_8GwSoA/edit#gid=0"",""Gestores Escolares!D7:m""),10,0),""VERIFICAR CÓD SEC"")"),"")</f>
        <v/>
      </c>
      <c r="S360" s="82"/>
      <c r="T360" s="138">
        <v>2.0</v>
      </c>
      <c r="U360" s="403">
        <v>2.0</v>
      </c>
      <c r="V360" s="106">
        <v>0.0</v>
      </c>
      <c r="W360" s="107">
        <v>4.0</v>
      </c>
      <c r="X360" s="107">
        <v>0.0</v>
      </c>
      <c r="Y360" s="107">
        <v>0.0</v>
      </c>
      <c r="Z360" s="80">
        <f t="shared" si="1"/>
        <v>4</v>
      </c>
      <c r="AA360" s="106">
        <v>0.0</v>
      </c>
      <c r="AB360" s="107">
        <v>4.0</v>
      </c>
      <c r="AC360" s="107">
        <v>0.0</v>
      </c>
      <c r="AD360" s="107">
        <v>0.0</v>
      </c>
      <c r="AE360" s="80">
        <f t="shared" si="2"/>
        <v>4</v>
      </c>
      <c r="AF360" s="140">
        <v>0.0</v>
      </c>
      <c r="AG360" s="109">
        <v>0.0</v>
      </c>
      <c r="AH360" s="109">
        <v>0.0</v>
      </c>
      <c r="AI360" s="141">
        <v>0.0</v>
      </c>
      <c r="AJ360" s="80">
        <f t="shared" si="3"/>
        <v>0</v>
      </c>
      <c r="AK360" s="140">
        <v>0.0</v>
      </c>
      <c r="AL360" s="109">
        <v>0.0</v>
      </c>
      <c r="AM360" s="141">
        <v>0.0</v>
      </c>
      <c r="AN360" s="80">
        <f t="shared" si="4"/>
        <v>0</v>
      </c>
      <c r="AO360" s="140">
        <v>0.0</v>
      </c>
      <c r="AP360" s="109">
        <v>0.0</v>
      </c>
      <c r="AQ360" s="109">
        <v>0.0</v>
      </c>
      <c r="AR360" s="80">
        <f t="shared" si="5"/>
        <v>0</v>
      </c>
      <c r="AS360" s="110">
        <v>0.0</v>
      </c>
      <c r="AT360" s="110">
        <v>0.0</v>
      </c>
      <c r="AU360" s="110">
        <v>0.0</v>
      </c>
      <c r="AV360" s="142">
        <v>0.0</v>
      </c>
      <c r="AW360" s="80">
        <f t="shared" si="6"/>
        <v>0</v>
      </c>
      <c r="AX360" s="113">
        <f t="shared" si="7"/>
        <v>8</v>
      </c>
      <c r="AY360" s="117">
        <f t="shared" si="8"/>
        <v>8</v>
      </c>
      <c r="AZ360" s="120">
        <f t="shared" si="9"/>
        <v>0</v>
      </c>
      <c r="BA360" s="115">
        <v>0.0</v>
      </c>
      <c r="BB360" s="89">
        <f t="shared" si="10"/>
        <v>8</v>
      </c>
      <c r="BC360" s="143" t="s">
        <v>1294</v>
      </c>
      <c r="BD360" s="132" t="s">
        <v>178</v>
      </c>
      <c r="BE360" s="132" t="s">
        <v>178</v>
      </c>
      <c r="BF360" s="156"/>
      <c r="BG360" s="83">
        <v>1179513.0</v>
      </c>
      <c r="BH360" s="112"/>
      <c r="BI360" s="112">
        <v>2.0</v>
      </c>
      <c r="BJ360" s="98" t="s">
        <v>155</v>
      </c>
      <c r="BK360" s="99">
        <f t="shared" si="11"/>
        <v>0</v>
      </c>
      <c r="BL360" s="99">
        <f t="shared" si="12"/>
        <v>8</v>
      </c>
      <c r="BM360" s="99" t="str">
        <f>IFERROR(__xludf.DUMMYFUNCTION("IFERROR(VLOOKUP(BG360,IMPORTRANGE(""https://docs.google.com/spreadsheets/d/1juPI-Fb8LD0YtltB2mlGEnp_R3UVu1t3wSFPzgCyHXE/edit?gid=0#gid=0"",""GERAL!A2:C""),3,0),""-"")"),"INDÍGENAS")</f>
        <v>INDÍGENAS</v>
      </c>
    </row>
    <row r="361" ht="15.75" customHeight="1">
      <c r="A361" s="111" t="s">
        <v>451</v>
      </c>
      <c r="B361" s="83" t="s">
        <v>1423</v>
      </c>
      <c r="C361" s="83" t="s">
        <v>164</v>
      </c>
      <c r="D361" s="112">
        <v>1179628.0</v>
      </c>
      <c r="E361" s="83">
        <v>1179680.0</v>
      </c>
      <c r="F361" s="98">
        <v>2.9492351E7</v>
      </c>
      <c r="G361" s="240" t="s">
        <v>1491</v>
      </c>
      <c r="H361" s="91" t="s">
        <v>1492</v>
      </c>
      <c r="I361" s="83" t="s">
        <v>1493</v>
      </c>
      <c r="J361" s="83" t="s">
        <v>1494</v>
      </c>
      <c r="K361" s="83" t="s">
        <v>168</v>
      </c>
      <c r="L361" s="83" t="s">
        <v>169</v>
      </c>
      <c r="M361" s="82" t="str">
        <f>IFERROR(__xludf.DUMMYFUNCTION("IFERROR(VLOOKUP(D361,
IMPORTRANGE(""https://docs.google.com/spreadsheets/d/1MjHtlUikwobi2MaWJgy7tfLeBmhj1u-dRFRs_8GwSoA/edit#gid=0"",""Gestores Escolares!D7:J""),3,0),""VERIFICAR CÓD SEC"")"),"LEONARDO GONCALVES DE JESUS")</f>
        <v>LEONARDO GONCALVES DE JESUS</v>
      </c>
      <c r="N361" s="82" t="str">
        <f>IFERROR(__xludf.DUMMYFUNCTION("IFERROR(VLOOKUP(D361,
IMPORTRANGE(""https://docs.google.com/spreadsheets/d/1MjHtlUikwobi2MaWJgy7tfLeBmhj1u-dRFRs_8GwSoA/edit#gid=0"",""Gestores Escolares!D7:J""),4,0),""VERIFICAR CÓD SEC"")"),"(73) 9 8205-0172")</f>
        <v>(73) 9 8205-0172</v>
      </c>
      <c r="O361" s="82" t="str">
        <f>IFERROR(__xludf.DUMMYFUNCTION("IFERROR(VLOOKUP(D361,
IMPORTRANGE(""https://docs.google.com/spreadsheets/d/1MjHtlUikwobi2MaWJgy7tfLeBmhj1u-dRFRs_8GwSoA/edit#gid=0"",""Gestores Escolares!D7:J""),6,0),""VERIFICAR CÓD SEC"")"),"")</f>
        <v/>
      </c>
      <c r="P361" s="82" t="str">
        <f>IFERROR(__xludf.DUMMYFUNCTION("IFERROR(VLOOKUP(D361,
IMPORTRANGE(""https://docs.google.com/spreadsheets/d/1MjHtlUikwobi2MaWJgy7tfLeBmhj1u-dRFRs_8GwSoA/edit#gid=0"",""Gestores Escolares!D7:J""),7,0),""VERIFICAR CÓD SEC"")"),"")</f>
        <v/>
      </c>
      <c r="Q361" s="82" t="str">
        <f>IFERROR(__xludf.DUMMYFUNCTION("IFERROR(VLOOKUP(D361,
IMPORTRANGE(""https://docs.google.com/spreadsheets/d/1MjHtlUikwobi2MaWJgy7tfLeBmhj1u-dRFRs_8GwSoA/edit#gid=0"",""Gestores Escolares!D7:m""),9,0),""VERIFICAR CÓD SEC"")"),"")</f>
        <v/>
      </c>
      <c r="R361" s="82" t="str">
        <f>IFERROR(__xludf.DUMMYFUNCTION("IFERROR(VLOOKUP(D361,
IMPORTRANGE(""https://docs.google.com/spreadsheets/d/1MjHtlUikwobi2MaWJgy7tfLeBmhj1u-dRFRs_8GwSoA/edit#gid=0"",""Gestores Escolares!D7:m""),10,0),""VERIFICAR CÓD SEC"")"),"")</f>
        <v/>
      </c>
      <c r="S361" s="82"/>
      <c r="T361" s="138">
        <v>7.0</v>
      </c>
      <c r="U361" s="403">
        <v>6.0</v>
      </c>
      <c r="V361" s="106">
        <v>0.0</v>
      </c>
      <c r="W361" s="107">
        <v>13.0</v>
      </c>
      <c r="X361" s="107">
        <v>0.0</v>
      </c>
      <c r="Y361" s="107">
        <v>0.0</v>
      </c>
      <c r="Z361" s="80">
        <f t="shared" si="1"/>
        <v>13</v>
      </c>
      <c r="AA361" s="106">
        <v>24.0</v>
      </c>
      <c r="AB361" s="107">
        <v>0.0</v>
      </c>
      <c r="AC361" s="107">
        <v>0.0</v>
      </c>
      <c r="AD361" s="107">
        <v>0.0</v>
      </c>
      <c r="AE361" s="80">
        <f t="shared" si="2"/>
        <v>24</v>
      </c>
      <c r="AF361" s="140">
        <v>0.0</v>
      </c>
      <c r="AG361" s="109">
        <v>0.0</v>
      </c>
      <c r="AH361" s="109">
        <v>0.0</v>
      </c>
      <c r="AI361" s="141">
        <v>0.0</v>
      </c>
      <c r="AJ361" s="80">
        <f t="shared" si="3"/>
        <v>0</v>
      </c>
      <c r="AK361" s="140">
        <v>0.0</v>
      </c>
      <c r="AL361" s="109">
        <v>0.0</v>
      </c>
      <c r="AM361" s="141">
        <v>14.0</v>
      </c>
      <c r="AN361" s="80">
        <f t="shared" si="4"/>
        <v>14</v>
      </c>
      <c r="AO361" s="140">
        <v>0.0</v>
      </c>
      <c r="AP361" s="109">
        <v>0.0</v>
      </c>
      <c r="AQ361" s="109">
        <v>5.0</v>
      </c>
      <c r="AR361" s="80">
        <f t="shared" si="5"/>
        <v>5</v>
      </c>
      <c r="AS361" s="110">
        <v>0.0</v>
      </c>
      <c r="AT361" s="110">
        <v>0.0</v>
      </c>
      <c r="AU361" s="110">
        <v>0.0</v>
      </c>
      <c r="AV361" s="142">
        <v>0.0</v>
      </c>
      <c r="AW361" s="80">
        <f t="shared" si="6"/>
        <v>0</v>
      </c>
      <c r="AX361" s="113">
        <f t="shared" si="7"/>
        <v>56</v>
      </c>
      <c r="AY361" s="117">
        <f t="shared" si="8"/>
        <v>37</v>
      </c>
      <c r="AZ361" s="120">
        <f t="shared" si="9"/>
        <v>19</v>
      </c>
      <c r="BA361" s="115">
        <v>0.0</v>
      </c>
      <c r="BB361" s="89">
        <f t="shared" si="10"/>
        <v>56</v>
      </c>
      <c r="BC361" s="143" t="s">
        <v>1294</v>
      </c>
      <c r="BD361" s="132" t="s">
        <v>178</v>
      </c>
      <c r="BE361" s="132" t="s">
        <v>178</v>
      </c>
      <c r="BF361" s="156"/>
      <c r="BG361" s="83">
        <v>1179680.0</v>
      </c>
      <c r="BH361" s="112"/>
      <c r="BI361" s="112">
        <v>6.0</v>
      </c>
      <c r="BJ361" s="98" t="s">
        <v>155</v>
      </c>
      <c r="BK361" s="99">
        <f t="shared" si="11"/>
        <v>0</v>
      </c>
      <c r="BL361" s="99">
        <f t="shared" si="12"/>
        <v>37</v>
      </c>
      <c r="BM361" s="99" t="str">
        <f>IFERROR(__xludf.DUMMYFUNCTION("IFERROR(VLOOKUP(BG361,IMPORTRANGE(""https://docs.google.com/spreadsheets/d/1juPI-Fb8LD0YtltB2mlGEnp_R3UVu1t3wSFPzgCyHXE/edit?gid=0#gid=0"",""GERAL!A2:C""),3,0),""-"")"),"INDÍGENAS")</f>
        <v>INDÍGENAS</v>
      </c>
    </row>
    <row r="362" ht="15.75" customHeight="1">
      <c r="A362" s="111" t="s">
        <v>451</v>
      </c>
      <c r="B362" s="83" t="s">
        <v>1423</v>
      </c>
      <c r="C362" s="83" t="s">
        <v>164</v>
      </c>
      <c r="D362" s="112">
        <v>1179628.0</v>
      </c>
      <c r="E362" s="83">
        <v>1179681.0</v>
      </c>
      <c r="F362" s="98">
        <v>2.9492343E7</v>
      </c>
      <c r="G362" s="240" t="s">
        <v>1495</v>
      </c>
      <c r="H362" s="91" t="s">
        <v>1496</v>
      </c>
      <c r="I362" s="83" t="s">
        <v>1497</v>
      </c>
      <c r="J362" s="83" t="s">
        <v>1498</v>
      </c>
      <c r="K362" s="83" t="s">
        <v>168</v>
      </c>
      <c r="L362" s="83" t="s">
        <v>169</v>
      </c>
      <c r="M362" s="82" t="str">
        <f>IFERROR(__xludf.DUMMYFUNCTION("IFERROR(VLOOKUP(D362,
IMPORTRANGE(""https://docs.google.com/spreadsheets/d/1MjHtlUikwobi2MaWJgy7tfLeBmhj1u-dRFRs_8GwSoA/edit#gid=0"",""Gestores Escolares!D7:J""),3,0),""VERIFICAR CÓD SEC"")"),"LEONARDO GONCALVES DE JESUS")</f>
        <v>LEONARDO GONCALVES DE JESUS</v>
      </c>
      <c r="N362" s="82" t="str">
        <f>IFERROR(__xludf.DUMMYFUNCTION("IFERROR(VLOOKUP(D362,
IMPORTRANGE(""https://docs.google.com/spreadsheets/d/1MjHtlUikwobi2MaWJgy7tfLeBmhj1u-dRFRs_8GwSoA/edit#gid=0"",""Gestores Escolares!D7:J""),4,0),""VERIFICAR CÓD SEC"")"),"(73) 9 8205-0172")</f>
        <v>(73) 9 8205-0172</v>
      </c>
      <c r="O362" s="82" t="str">
        <f>IFERROR(__xludf.DUMMYFUNCTION("IFERROR(VLOOKUP(D362,
IMPORTRANGE(""https://docs.google.com/spreadsheets/d/1MjHtlUikwobi2MaWJgy7tfLeBmhj1u-dRFRs_8GwSoA/edit#gid=0"",""Gestores Escolares!D7:J""),6,0),""VERIFICAR CÓD SEC"")"),"")</f>
        <v/>
      </c>
      <c r="P362" s="82" t="str">
        <f>IFERROR(__xludf.DUMMYFUNCTION("IFERROR(VLOOKUP(D362,
IMPORTRANGE(""https://docs.google.com/spreadsheets/d/1MjHtlUikwobi2MaWJgy7tfLeBmhj1u-dRFRs_8GwSoA/edit#gid=0"",""Gestores Escolares!D7:J""),7,0),""VERIFICAR CÓD SEC"")"),"")</f>
        <v/>
      </c>
      <c r="Q362" s="82" t="str">
        <f>IFERROR(__xludf.DUMMYFUNCTION("IFERROR(VLOOKUP(D362,
IMPORTRANGE(""https://docs.google.com/spreadsheets/d/1MjHtlUikwobi2MaWJgy7tfLeBmhj1u-dRFRs_8GwSoA/edit#gid=0"",""Gestores Escolares!D7:m""),9,0),""VERIFICAR CÓD SEC"")"),"")</f>
        <v/>
      </c>
      <c r="R362" s="82" t="str">
        <f>IFERROR(__xludf.DUMMYFUNCTION("IFERROR(VLOOKUP(D362,
IMPORTRANGE(""https://docs.google.com/spreadsheets/d/1MjHtlUikwobi2MaWJgy7tfLeBmhj1u-dRFRs_8GwSoA/edit#gid=0"",""Gestores Escolares!D7:m""),10,0),""VERIFICAR CÓD SEC"")"),"")</f>
        <v/>
      </c>
      <c r="S362" s="82"/>
      <c r="T362" s="138">
        <v>5.0</v>
      </c>
      <c r="U362" s="403">
        <v>4.0</v>
      </c>
      <c r="V362" s="106">
        <v>0.0</v>
      </c>
      <c r="W362" s="107">
        <v>11.0</v>
      </c>
      <c r="X362" s="107">
        <v>0.0</v>
      </c>
      <c r="Y362" s="107">
        <v>0.0</v>
      </c>
      <c r="Z362" s="80">
        <f t="shared" si="1"/>
        <v>11</v>
      </c>
      <c r="AA362" s="106">
        <v>21.0</v>
      </c>
      <c r="AB362" s="107">
        <v>3.0</v>
      </c>
      <c r="AC362" s="107">
        <v>0.0</v>
      </c>
      <c r="AD362" s="107">
        <v>0.0</v>
      </c>
      <c r="AE362" s="80">
        <f t="shared" si="2"/>
        <v>24</v>
      </c>
      <c r="AF362" s="140">
        <v>0.0</v>
      </c>
      <c r="AG362" s="109">
        <v>0.0</v>
      </c>
      <c r="AH362" s="109">
        <v>0.0</v>
      </c>
      <c r="AI362" s="141">
        <v>0.0</v>
      </c>
      <c r="AJ362" s="80">
        <f t="shared" si="3"/>
        <v>0</v>
      </c>
      <c r="AK362" s="140">
        <v>0.0</v>
      </c>
      <c r="AL362" s="109">
        <v>0.0</v>
      </c>
      <c r="AM362" s="141">
        <v>44.0</v>
      </c>
      <c r="AN362" s="80">
        <f t="shared" si="4"/>
        <v>44</v>
      </c>
      <c r="AO362" s="140">
        <v>0.0</v>
      </c>
      <c r="AP362" s="109">
        <v>0.0</v>
      </c>
      <c r="AQ362" s="109">
        <v>0.0</v>
      </c>
      <c r="AR362" s="80">
        <f t="shared" si="5"/>
        <v>0</v>
      </c>
      <c r="AS362" s="110">
        <v>0.0</v>
      </c>
      <c r="AT362" s="110">
        <v>0.0</v>
      </c>
      <c r="AU362" s="110">
        <v>0.0</v>
      </c>
      <c r="AV362" s="142">
        <v>0.0</v>
      </c>
      <c r="AW362" s="80">
        <f t="shared" si="6"/>
        <v>0</v>
      </c>
      <c r="AX362" s="113">
        <f t="shared" si="7"/>
        <v>79</v>
      </c>
      <c r="AY362" s="117">
        <f t="shared" si="8"/>
        <v>35</v>
      </c>
      <c r="AZ362" s="120">
        <f t="shared" si="9"/>
        <v>44</v>
      </c>
      <c r="BA362" s="115">
        <v>0.0</v>
      </c>
      <c r="BB362" s="89">
        <f t="shared" si="10"/>
        <v>79</v>
      </c>
      <c r="BC362" s="143" t="s">
        <v>1294</v>
      </c>
      <c r="BD362" s="132" t="s">
        <v>178</v>
      </c>
      <c r="BE362" s="132" t="s">
        <v>178</v>
      </c>
      <c r="BF362" s="156"/>
      <c r="BG362" s="83">
        <v>1179681.0</v>
      </c>
      <c r="BH362" s="112"/>
      <c r="BI362" s="112">
        <v>4.0</v>
      </c>
      <c r="BJ362" s="98" t="s">
        <v>155</v>
      </c>
      <c r="BK362" s="99">
        <f t="shared" si="11"/>
        <v>0</v>
      </c>
      <c r="BL362" s="99">
        <f t="shared" si="12"/>
        <v>35</v>
      </c>
      <c r="BM362" s="99" t="str">
        <f>IFERROR(__xludf.DUMMYFUNCTION("IFERROR(VLOOKUP(BG362,IMPORTRANGE(""https://docs.google.com/spreadsheets/d/1juPI-Fb8LD0YtltB2mlGEnp_R3UVu1t3wSFPzgCyHXE/edit?gid=0#gid=0"",""GERAL!A2:C""),3,0),""-"")"),"INDÍGENAS")</f>
        <v>INDÍGENAS</v>
      </c>
    </row>
    <row r="363" ht="15.75" customHeight="1">
      <c r="A363" s="111" t="s">
        <v>451</v>
      </c>
      <c r="B363" s="83" t="s">
        <v>1423</v>
      </c>
      <c r="C363" s="83" t="s">
        <v>164</v>
      </c>
      <c r="D363" s="112">
        <v>1179628.0</v>
      </c>
      <c r="E363" s="83">
        <v>1179677.0</v>
      </c>
      <c r="F363" s="98">
        <v>2.9492335E7</v>
      </c>
      <c r="G363" s="114" t="s">
        <v>1499</v>
      </c>
      <c r="H363" s="91" t="s">
        <v>1500</v>
      </c>
      <c r="I363" s="136" t="s">
        <v>1501</v>
      </c>
      <c r="J363" s="83" t="s">
        <v>1502</v>
      </c>
      <c r="K363" s="83" t="s">
        <v>168</v>
      </c>
      <c r="L363" s="83" t="s">
        <v>169</v>
      </c>
      <c r="M363" s="82" t="str">
        <f>IFERROR(__xludf.DUMMYFUNCTION("IFERROR(VLOOKUP(D363,
IMPORTRANGE(""https://docs.google.com/spreadsheets/d/1MjHtlUikwobi2MaWJgy7tfLeBmhj1u-dRFRs_8GwSoA/edit#gid=0"",""Gestores Escolares!D7:J""),3,0),""VERIFICAR CÓD SEC"")"),"LEONARDO GONCALVES DE JESUS")</f>
        <v>LEONARDO GONCALVES DE JESUS</v>
      </c>
      <c r="N363" s="82" t="str">
        <f>IFERROR(__xludf.DUMMYFUNCTION("IFERROR(VLOOKUP(D363,
IMPORTRANGE(""https://docs.google.com/spreadsheets/d/1MjHtlUikwobi2MaWJgy7tfLeBmhj1u-dRFRs_8GwSoA/edit#gid=0"",""Gestores Escolares!D7:J""),4,0),""VERIFICAR CÓD SEC"")"),"(73) 9 8205-0172")</f>
        <v>(73) 9 8205-0172</v>
      </c>
      <c r="O363" s="82" t="str">
        <f>IFERROR(__xludf.DUMMYFUNCTION("IFERROR(VLOOKUP(D363,
IMPORTRANGE(""https://docs.google.com/spreadsheets/d/1MjHtlUikwobi2MaWJgy7tfLeBmhj1u-dRFRs_8GwSoA/edit#gid=0"",""Gestores Escolares!D7:J""),6,0),""VERIFICAR CÓD SEC"")"),"")</f>
        <v/>
      </c>
      <c r="P363" s="82" t="str">
        <f>IFERROR(__xludf.DUMMYFUNCTION("IFERROR(VLOOKUP(D363,
IMPORTRANGE(""https://docs.google.com/spreadsheets/d/1MjHtlUikwobi2MaWJgy7tfLeBmhj1u-dRFRs_8GwSoA/edit#gid=0"",""Gestores Escolares!D7:J""),7,0),""VERIFICAR CÓD SEC"")"),"")</f>
        <v/>
      </c>
      <c r="Q363" s="82" t="str">
        <f>IFERROR(__xludf.DUMMYFUNCTION("IFERROR(VLOOKUP(D363,
IMPORTRANGE(""https://docs.google.com/spreadsheets/d/1MjHtlUikwobi2MaWJgy7tfLeBmhj1u-dRFRs_8GwSoA/edit#gid=0"",""Gestores Escolares!D7:m""),9,0),""VERIFICAR CÓD SEC"")"),"")</f>
        <v/>
      </c>
      <c r="R363" s="82" t="str">
        <f>IFERROR(__xludf.DUMMYFUNCTION("IFERROR(VLOOKUP(D363,
IMPORTRANGE(""https://docs.google.com/spreadsheets/d/1MjHtlUikwobi2MaWJgy7tfLeBmhj1u-dRFRs_8GwSoA/edit#gid=0"",""Gestores Escolares!D7:m""),10,0),""VERIFICAR CÓD SEC"")"),"")</f>
        <v/>
      </c>
      <c r="S363" s="82"/>
      <c r="T363" s="138">
        <v>6.0</v>
      </c>
      <c r="U363" s="403">
        <v>5.0</v>
      </c>
      <c r="V363" s="106">
        <v>10.0</v>
      </c>
      <c r="W363" s="107">
        <v>10.0</v>
      </c>
      <c r="X363" s="107">
        <v>0.0</v>
      </c>
      <c r="Y363" s="107">
        <v>0.0</v>
      </c>
      <c r="Z363" s="80">
        <f t="shared" si="1"/>
        <v>20</v>
      </c>
      <c r="AA363" s="106">
        <v>26.0</v>
      </c>
      <c r="AB363" s="107">
        <v>35.0</v>
      </c>
      <c r="AC363" s="107">
        <v>0.0</v>
      </c>
      <c r="AD363" s="107">
        <v>0.0</v>
      </c>
      <c r="AE363" s="80">
        <f t="shared" si="2"/>
        <v>61</v>
      </c>
      <c r="AF363" s="140">
        <v>0.0</v>
      </c>
      <c r="AG363" s="109">
        <v>0.0</v>
      </c>
      <c r="AH363" s="109">
        <v>0.0</v>
      </c>
      <c r="AI363" s="141">
        <v>0.0</v>
      </c>
      <c r="AJ363" s="80">
        <f t="shared" si="3"/>
        <v>0</v>
      </c>
      <c r="AK363" s="140">
        <v>0.0</v>
      </c>
      <c r="AL363" s="109">
        <v>0.0</v>
      </c>
      <c r="AM363" s="141">
        <v>0.0</v>
      </c>
      <c r="AN363" s="80">
        <f t="shared" si="4"/>
        <v>0</v>
      </c>
      <c r="AO363" s="140">
        <v>0.0</v>
      </c>
      <c r="AP363" s="109">
        <v>0.0</v>
      </c>
      <c r="AQ363" s="109">
        <v>0.0</v>
      </c>
      <c r="AR363" s="80">
        <f t="shared" si="5"/>
        <v>0</v>
      </c>
      <c r="AS363" s="110">
        <v>0.0</v>
      </c>
      <c r="AT363" s="110">
        <v>0.0</v>
      </c>
      <c r="AU363" s="110">
        <v>0.0</v>
      </c>
      <c r="AV363" s="142">
        <v>0.0</v>
      </c>
      <c r="AW363" s="80">
        <f t="shared" si="6"/>
        <v>0</v>
      </c>
      <c r="AX363" s="113">
        <f t="shared" si="7"/>
        <v>81</v>
      </c>
      <c r="AY363" s="117">
        <f t="shared" si="8"/>
        <v>81</v>
      </c>
      <c r="AZ363" s="120">
        <f t="shared" si="9"/>
        <v>0</v>
      </c>
      <c r="BA363" s="115">
        <v>0.0</v>
      </c>
      <c r="BB363" s="89">
        <f t="shared" si="10"/>
        <v>81</v>
      </c>
      <c r="BC363" s="143" t="s">
        <v>1294</v>
      </c>
      <c r="BD363" s="132" t="s">
        <v>178</v>
      </c>
      <c r="BE363" s="132" t="s">
        <v>178</v>
      </c>
      <c r="BF363" s="156"/>
      <c r="BG363" s="83">
        <v>1179677.0</v>
      </c>
      <c r="BH363" s="112"/>
      <c r="BI363" s="112">
        <v>5.0</v>
      </c>
      <c r="BJ363" s="98" t="s">
        <v>155</v>
      </c>
      <c r="BK363" s="99">
        <f t="shared" si="11"/>
        <v>0</v>
      </c>
      <c r="BL363" s="99">
        <f t="shared" si="12"/>
        <v>81</v>
      </c>
      <c r="BM363" s="99" t="str">
        <f>IFERROR(__xludf.DUMMYFUNCTION("IFERROR(VLOOKUP(BG363,IMPORTRANGE(""https://docs.google.com/spreadsheets/d/1juPI-Fb8LD0YtltB2mlGEnp_R3UVu1t3wSFPzgCyHXE/edit?gid=0#gid=0"",""GERAL!A2:C""),3,0),""-"")"),"INDÍGENAS")</f>
        <v>INDÍGENAS</v>
      </c>
    </row>
    <row r="364" ht="15.75" customHeight="1">
      <c r="A364" s="111" t="s">
        <v>451</v>
      </c>
      <c r="B364" s="83" t="s">
        <v>1423</v>
      </c>
      <c r="C364" s="83" t="s">
        <v>164</v>
      </c>
      <c r="D364" s="112">
        <v>1111126.0</v>
      </c>
      <c r="E364" s="83">
        <v>1179235.0</v>
      </c>
      <c r="F364" s="98">
        <v>2.9491789E7</v>
      </c>
      <c r="G364" s="114" t="s">
        <v>1507</v>
      </c>
      <c r="H364" s="91" t="s">
        <v>1508</v>
      </c>
      <c r="I364" s="83" t="s">
        <v>149</v>
      </c>
      <c r="J364" s="83" t="s">
        <v>1321</v>
      </c>
      <c r="K364" s="83" t="s">
        <v>168</v>
      </c>
      <c r="L364" s="83" t="s">
        <v>169</v>
      </c>
      <c r="M364" s="82" t="str">
        <f>IFERROR(__xludf.DUMMYFUNCTION("IFERROR(VLOOKUP(D364,
IMPORTRANGE(""https://docs.google.com/spreadsheets/d/1MjHtlUikwobi2MaWJgy7tfLeBmhj1u-dRFRs_8GwSoA/edit#gid=0"",""Gestores Escolares!D7:J""),3,0),""VERIFICAR CÓD SEC"")"),"JACIRA OLIVEIRA FERNANDES DOS SANTOS")</f>
        <v>JACIRA OLIVEIRA FERNANDES DOS SANTOS</v>
      </c>
      <c r="N364" s="82" t="str">
        <f>IFERROR(__xludf.DUMMYFUNCTION("IFERROR(VLOOKUP(D364,
IMPORTRANGE(""https://docs.google.com/spreadsheets/d/1MjHtlUikwobi2MaWJgy7tfLeBmhj1u-dRFRs_8GwSoA/edit#gid=0"",""Gestores Escolares!D7:J""),4,0),""VERIFICAR CÓD SEC"")"),"(73) 9 8822-3768")</f>
        <v>(73) 9 8822-3768</v>
      </c>
      <c r="O364" s="82" t="str">
        <f>IFERROR(__xludf.DUMMYFUNCTION("IFERROR(VLOOKUP(D364,
IMPORTRANGE(""https://docs.google.com/spreadsheets/d/1MjHtlUikwobi2MaWJgy7tfLeBmhj1u-dRFRs_8GwSoA/edit#gid=0"",""Gestores Escolares!D7:J""),6,0),""VERIFICAR CÓD SEC"")"),"PRISCILA SOUZA SANTOS DE AQUINO")</f>
        <v>PRISCILA SOUZA SANTOS DE AQUINO</v>
      </c>
      <c r="P364" s="82" t="str">
        <f>IFERROR(__xludf.DUMMYFUNCTION("IFERROR(VLOOKUP(D364,
IMPORTRANGE(""https://docs.google.com/spreadsheets/d/1MjHtlUikwobi2MaWJgy7tfLeBmhj1u-dRFRs_8GwSoA/edit#gid=0"",""Gestores Escolares!D7:J""),7,0),""VERIFICAR CÓD SEC"")"),"(73) 9 8816-5798")</f>
        <v>(73) 9 8816-5798</v>
      </c>
      <c r="Q364" s="82" t="str">
        <f>IFERROR(__xludf.DUMMYFUNCTION("IFERROR(VLOOKUP(D364,
IMPORTRANGE(""https://docs.google.com/spreadsheets/d/1MjHtlUikwobi2MaWJgy7tfLeBmhj1u-dRFRs_8GwSoA/edit#gid=0"",""Gestores Escolares!D7:m""),9,0),""VERIFICAR CÓD SEC"")"),"PHILLIPE OLIVEIRA FREIRE")</f>
        <v>PHILLIPE OLIVEIRA FREIRE</v>
      </c>
      <c r="R364" s="82" t="str">
        <f>IFERROR(__xludf.DUMMYFUNCTION("IFERROR(VLOOKUP(D364,
IMPORTRANGE(""https://docs.google.com/spreadsheets/d/1MjHtlUikwobi2MaWJgy7tfLeBmhj1u-dRFRs_8GwSoA/edit#gid=0"",""Gestores Escolares!D7:m""),10,0),""VERIFICAR CÓD SEC"")"),"(73) 9 8814-1105")</f>
        <v>(73) 9 8814-1105</v>
      </c>
      <c r="S364" s="82"/>
      <c r="T364" s="138">
        <v>5.0</v>
      </c>
      <c r="U364" s="403">
        <v>2.0</v>
      </c>
      <c r="V364" s="106">
        <v>0.0</v>
      </c>
      <c r="W364" s="107">
        <v>0.0</v>
      </c>
      <c r="X364" s="107">
        <v>0.0</v>
      </c>
      <c r="Y364" s="107">
        <v>0.0</v>
      </c>
      <c r="Z364" s="80">
        <f t="shared" si="1"/>
        <v>0</v>
      </c>
      <c r="AA364" s="106">
        <v>0.0</v>
      </c>
      <c r="AB364" s="107">
        <v>0.0</v>
      </c>
      <c r="AC364" s="107">
        <v>0.0</v>
      </c>
      <c r="AD364" s="107">
        <v>0.0</v>
      </c>
      <c r="AE364" s="80">
        <f t="shared" si="2"/>
        <v>0</v>
      </c>
      <c r="AF364" s="140">
        <v>0.0</v>
      </c>
      <c r="AG364" s="109">
        <v>0.0</v>
      </c>
      <c r="AH364" s="109">
        <v>0.0</v>
      </c>
      <c r="AI364" s="141">
        <v>0.0</v>
      </c>
      <c r="AJ364" s="80">
        <f t="shared" si="3"/>
        <v>0</v>
      </c>
      <c r="AK364" s="140">
        <v>12.0</v>
      </c>
      <c r="AL364" s="109">
        <v>2.0</v>
      </c>
      <c r="AM364" s="141">
        <v>0.0</v>
      </c>
      <c r="AN364" s="80">
        <f t="shared" si="4"/>
        <v>14</v>
      </c>
      <c r="AO364" s="140">
        <v>8.0</v>
      </c>
      <c r="AP364" s="109">
        <v>8.0</v>
      </c>
      <c r="AQ364" s="109">
        <v>0.0</v>
      </c>
      <c r="AR364" s="80">
        <f t="shared" si="5"/>
        <v>16</v>
      </c>
      <c r="AS364" s="110">
        <v>0.0</v>
      </c>
      <c r="AT364" s="110">
        <v>0.0</v>
      </c>
      <c r="AU364" s="110">
        <v>0.0</v>
      </c>
      <c r="AV364" s="142">
        <v>0.0</v>
      </c>
      <c r="AW364" s="80">
        <f t="shared" si="6"/>
        <v>0</v>
      </c>
      <c r="AX364" s="113">
        <f t="shared" si="7"/>
        <v>30</v>
      </c>
      <c r="AY364" s="117">
        <f t="shared" si="8"/>
        <v>30</v>
      </c>
      <c r="AZ364" s="120">
        <f t="shared" si="9"/>
        <v>0</v>
      </c>
      <c r="BA364" s="115">
        <v>0.0</v>
      </c>
      <c r="BB364" s="89">
        <f t="shared" si="10"/>
        <v>30</v>
      </c>
      <c r="BC364" s="132" t="s">
        <v>563</v>
      </c>
      <c r="BD364" s="132" t="s">
        <v>178</v>
      </c>
      <c r="BE364" s="132" t="s">
        <v>178</v>
      </c>
      <c r="BF364" s="123"/>
      <c r="BG364" s="83">
        <v>1179235.0</v>
      </c>
      <c r="BH364" s="112"/>
      <c r="BI364" s="112">
        <v>2.0</v>
      </c>
      <c r="BJ364" s="98" t="s">
        <v>155</v>
      </c>
      <c r="BK364" s="99">
        <f t="shared" si="11"/>
        <v>0</v>
      </c>
      <c r="BL364" s="99">
        <f t="shared" si="12"/>
        <v>30</v>
      </c>
      <c r="BM364" s="99" t="str">
        <f>IFERROR(__xludf.DUMMYFUNCTION("IFERROR(VLOOKUP(BG364,IMPORTRANGE(""https://docs.google.com/spreadsheets/d/1juPI-Fb8LD0YtltB2mlGEnp_R3UVu1t3wSFPzgCyHXE/edit?gid=0#gid=0"",""GERAL!A2:C""),3,0),""-"")"),"-")</f>
        <v>-</v>
      </c>
    </row>
    <row r="365" ht="15.75" customHeight="1">
      <c r="A365" s="111" t="s">
        <v>451</v>
      </c>
      <c r="B365" s="83" t="s">
        <v>1423</v>
      </c>
      <c r="C365" s="83" t="s">
        <v>164</v>
      </c>
      <c r="D365" s="112">
        <v>1179701.0</v>
      </c>
      <c r="E365" s="83">
        <v>1179699.0</v>
      </c>
      <c r="F365" s="98">
        <v>2.9482267E7</v>
      </c>
      <c r="G365" s="187" t="s">
        <v>1509</v>
      </c>
      <c r="H365" s="91" t="s">
        <v>1510</v>
      </c>
      <c r="I365" s="136" t="s">
        <v>149</v>
      </c>
      <c r="J365" s="83" t="s">
        <v>865</v>
      </c>
      <c r="K365" s="83" t="s">
        <v>168</v>
      </c>
      <c r="L365" s="83" t="s">
        <v>169</v>
      </c>
      <c r="M365" s="82" t="str">
        <f>IFERROR(__xludf.DUMMYFUNCTION("IFERROR(VLOOKUP(D365,
IMPORTRANGE(""https://docs.google.com/spreadsheets/d/1MjHtlUikwobi2MaWJgy7tfLeBmhj1u-dRFRs_8GwSoA/edit#gid=0"",""Gestores Escolares!D7:J""),3,0),""VERIFICAR CÓD SEC"")"),"ALESSANDRO COELHO MARQUES")</f>
        <v>ALESSANDRO COELHO MARQUES</v>
      </c>
      <c r="N365" s="82" t="str">
        <f>IFERROR(__xludf.DUMMYFUNCTION("IFERROR(VLOOKUP(D365,
IMPORTRANGE(""https://docs.google.com/spreadsheets/d/1MjHtlUikwobi2MaWJgy7tfLeBmhj1u-dRFRs_8GwSoA/edit#gid=0"",""Gestores Escolares!D7:J""),4,0),""VERIFICAR CÓD SEC"")"),"(73) 9 9978-4374")</f>
        <v>(73) 9 9978-4374</v>
      </c>
      <c r="O365" s="82" t="str">
        <f>IFERROR(__xludf.DUMMYFUNCTION("IFERROR(VLOOKUP(D365,
IMPORTRANGE(""https://docs.google.com/spreadsheets/d/1MjHtlUikwobi2MaWJgy7tfLeBmhj1u-dRFRs_8GwSoA/edit#gid=0"",""Gestores Escolares!D7:J""),6,0),""VERIFICAR CÓD SEC"")"),"VALERIA CUNHA ROSARIO LEVITA")</f>
        <v>VALERIA CUNHA ROSARIO LEVITA</v>
      </c>
      <c r="P365" s="82" t="str">
        <f>IFERROR(__xludf.DUMMYFUNCTION("IFERROR(VLOOKUP(D365,
IMPORTRANGE(""https://docs.google.com/spreadsheets/d/1MjHtlUikwobi2MaWJgy7tfLeBmhj1u-dRFRs_8GwSoA/edit#gid=0"",""Gestores Escolares!D7:J""),7,0),""VERIFICAR CÓD SEC"")"),"(73) 9 8248-8925")</f>
        <v>(73) 9 8248-8925</v>
      </c>
      <c r="Q365" s="82" t="str">
        <f>IFERROR(__xludf.DUMMYFUNCTION("IFERROR(VLOOKUP(D365,
IMPORTRANGE(""https://docs.google.com/spreadsheets/d/1MjHtlUikwobi2MaWJgy7tfLeBmhj1u-dRFRs_8GwSoA/edit#gid=0"",""Gestores Escolares!D7:m""),9,0),""VERIFICAR CÓD SEC"")"),"")</f>
        <v/>
      </c>
      <c r="R365" s="82" t="str">
        <f>IFERROR(__xludf.DUMMYFUNCTION("IFERROR(VLOOKUP(D365,
IMPORTRANGE(""https://docs.google.com/spreadsheets/d/1MjHtlUikwobi2MaWJgy7tfLeBmhj1u-dRFRs_8GwSoA/edit#gid=0"",""Gestores Escolares!D7:m""),10,0),""VERIFICAR CÓD SEC"")"),"")</f>
        <v/>
      </c>
      <c r="S365" s="82"/>
      <c r="T365" s="138">
        <v>4.0</v>
      </c>
      <c r="U365" s="152">
        <v>4.0</v>
      </c>
      <c r="V365" s="106">
        <v>0.0</v>
      </c>
      <c r="W365" s="107">
        <v>0.0</v>
      </c>
      <c r="X365" s="107">
        <v>0.0</v>
      </c>
      <c r="Y365" s="107">
        <v>0.0</v>
      </c>
      <c r="Z365" s="80">
        <f t="shared" si="1"/>
        <v>0</v>
      </c>
      <c r="AA365" s="106">
        <v>0.0</v>
      </c>
      <c r="AB365" s="107">
        <v>0.0</v>
      </c>
      <c r="AC365" s="107">
        <v>0.0</v>
      </c>
      <c r="AD365" s="107">
        <v>0.0</v>
      </c>
      <c r="AE365" s="80">
        <f t="shared" si="2"/>
        <v>0</v>
      </c>
      <c r="AF365" s="140">
        <v>0.0</v>
      </c>
      <c r="AG365" s="109">
        <v>0.0</v>
      </c>
      <c r="AH365" s="109">
        <v>28.0</v>
      </c>
      <c r="AI365" s="141">
        <v>0.0</v>
      </c>
      <c r="AJ365" s="80">
        <f t="shared" si="3"/>
        <v>28</v>
      </c>
      <c r="AK365" s="140">
        <v>0.0</v>
      </c>
      <c r="AL365" s="109">
        <v>0.0</v>
      </c>
      <c r="AM365" s="141">
        <v>0.0</v>
      </c>
      <c r="AN365" s="80">
        <f t="shared" si="4"/>
        <v>0</v>
      </c>
      <c r="AO365" s="140">
        <v>0.0</v>
      </c>
      <c r="AP365" s="109">
        <v>0.0</v>
      </c>
      <c r="AQ365" s="109">
        <v>0.0</v>
      </c>
      <c r="AR365" s="80">
        <f t="shared" si="5"/>
        <v>0</v>
      </c>
      <c r="AS365" s="110">
        <v>0.0</v>
      </c>
      <c r="AT365" s="110">
        <v>0.0</v>
      </c>
      <c r="AU365" s="110">
        <v>0.0</v>
      </c>
      <c r="AV365" s="142">
        <v>0.0</v>
      </c>
      <c r="AW365" s="80">
        <f t="shared" si="6"/>
        <v>0</v>
      </c>
      <c r="AX365" s="113">
        <f t="shared" si="7"/>
        <v>28</v>
      </c>
      <c r="AY365" s="117">
        <f t="shared" si="8"/>
        <v>0</v>
      </c>
      <c r="AZ365" s="120">
        <f t="shared" si="9"/>
        <v>28</v>
      </c>
      <c r="BA365" s="115">
        <v>0.0</v>
      </c>
      <c r="BB365" s="89">
        <f t="shared" si="10"/>
        <v>28</v>
      </c>
      <c r="BC365" s="132" t="s">
        <v>373</v>
      </c>
      <c r="BD365" s="143" t="s">
        <v>227</v>
      </c>
      <c r="BE365" s="132" t="s">
        <v>178</v>
      </c>
      <c r="BF365" s="156"/>
      <c r="BG365" s="83">
        <v>1179699.0</v>
      </c>
      <c r="BH365" s="112"/>
      <c r="BI365" s="112">
        <v>4.0</v>
      </c>
      <c r="BJ365" s="98" t="s">
        <v>155</v>
      </c>
      <c r="BK365" s="99">
        <f t="shared" si="11"/>
        <v>0</v>
      </c>
      <c r="BL365" s="99">
        <f t="shared" si="12"/>
        <v>0</v>
      </c>
      <c r="BM365" s="99" t="str">
        <f>IFERROR(__xludf.DUMMYFUNCTION("IFERROR(VLOOKUP(BG365,IMPORTRANGE(""https://docs.google.com/spreadsheets/d/1juPI-Fb8LD0YtltB2mlGEnp_R3UVu1t3wSFPzgCyHXE/edit?gid=0#gid=0"",""GERAL!A2:C""),3,0),""-"")"),"CAMPO")</f>
        <v>CAMPO</v>
      </c>
    </row>
    <row r="366" ht="15.75" customHeight="1">
      <c r="A366" s="111" t="s">
        <v>451</v>
      </c>
      <c r="B366" s="83" t="s">
        <v>1423</v>
      </c>
      <c r="C366" s="83" t="s">
        <v>164</v>
      </c>
      <c r="D366" s="112">
        <v>1179701.0</v>
      </c>
      <c r="E366" s="83">
        <v>1179725.0</v>
      </c>
      <c r="F366" s="98">
        <v>2.9482267E7</v>
      </c>
      <c r="G366" s="114" t="s">
        <v>1511</v>
      </c>
      <c r="H366" s="91" t="s">
        <v>1512</v>
      </c>
      <c r="I366" s="193"/>
      <c r="J366" s="83" t="s">
        <v>1074</v>
      </c>
      <c r="K366" s="83" t="s">
        <v>168</v>
      </c>
      <c r="L366" s="83" t="s">
        <v>169</v>
      </c>
      <c r="M366" s="82" t="str">
        <f>IFERROR(__xludf.DUMMYFUNCTION("IFERROR(VLOOKUP(D366,
IMPORTRANGE(""https://docs.google.com/spreadsheets/d/1MjHtlUikwobi2MaWJgy7tfLeBmhj1u-dRFRs_8GwSoA/edit#gid=0"",""Gestores Escolares!D7:J""),3,0),""VERIFICAR CÓD SEC"")"),"ALESSANDRO COELHO MARQUES")</f>
        <v>ALESSANDRO COELHO MARQUES</v>
      </c>
      <c r="N366" s="82" t="str">
        <f>IFERROR(__xludf.DUMMYFUNCTION("IFERROR(VLOOKUP(D366,
IMPORTRANGE(""https://docs.google.com/spreadsheets/d/1MjHtlUikwobi2MaWJgy7tfLeBmhj1u-dRFRs_8GwSoA/edit#gid=0"",""Gestores Escolares!D7:J""),4,0),""VERIFICAR CÓD SEC"")"),"(73) 9 9978-4374")</f>
        <v>(73) 9 9978-4374</v>
      </c>
      <c r="O366" s="82" t="str">
        <f>IFERROR(__xludf.DUMMYFUNCTION("IFERROR(VLOOKUP(D366,
IMPORTRANGE(""https://docs.google.com/spreadsheets/d/1MjHtlUikwobi2MaWJgy7tfLeBmhj1u-dRFRs_8GwSoA/edit#gid=0"",""Gestores Escolares!D7:J""),6,0),""VERIFICAR CÓD SEC"")"),"VALERIA CUNHA ROSARIO LEVITA")</f>
        <v>VALERIA CUNHA ROSARIO LEVITA</v>
      </c>
      <c r="P366" s="82" t="str">
        <f>IFERROR(__xludf.DUMMYFUNCTION("IFERROR(VLOOKUP(D366,
IMPORTRANGE(""https://docs.google.com/spreadsheets/d/1MjHtlUikwobi2MaWJgy7tfLeBmhj1u-dRFRs_8GwSoA/edit#gid=0"",""Gestores Escolares!D7:J""),7,0),""VERIFICAR CÓD SEC"")"),"(73) 9 8248-8925")</f>
        <v>(73) 9 8248-8925</v>
      </c>
      <c r="Q366" s="82" t="str">
        <f>IFERROR(__xludf.DUMMYFUNCTION("IFERROR(VLOOKUP(D366,
IMPORTRANGE(""https://docs.google.com/spreadsheets/d/1MjHtlUikwobi2MaWJgy7tfLeBmhj1u-dRFRs_8GwSoA/edit#gid=0"",""Gestores Escolares!D7:m""),9,0),""VERIFICAR CÓD SEC"")"),"")</f>
        <v/>
      </c>
      <c r="R366" s="82" t="str">
        <f>IFERROR(__xludf.DUMMYFUNCTION("IFERROR(VLOOKUP(D366,
IMPORTRANGE(""https://docs.google.com/spreadsheets/d/1MjHtlUikwobi2MaWJgy7tfLeBmhj1u-dRFRs_8GwSoA/edit#gid=0"",""Gestores Escolares!D7:m""),10,0),""VERIFICAR CÓD SEC"")"),"")</f>
        <v/>
      </c>
      <c r="S366" s="82"/>
      <c r="T366" s="138"/>
      <c r="U366" s="403" t="s">
        <v>171</v>
      </c>
      <c r="V366" s="106">
        <v>0.0</v>
      </c>
      <c r="W366" s="107">
        <v>0.0</v>
      </c>
      <c r="X366" s="107">
        <v>0.0</v>
      </c>
      <c r="Y366" s="107">
        <v>0.0</v>
      </c>
      <c r="Z366" s="80">
        <f t="shared" si="1"/>
        <v>0</v>
      </c>
      <c r="AA366" s="106">
        <v>0.0</v>
      </c>
      <c r="AB366" s="107">
        <v>0.0</v>
      </c>
      <c r="AC366" s="107">
        <v>0.0</v>
      </c>
      <c r="AD366" s="107">
        <v>0.0</v>
      </c>
      <c r="AE366" s="80">
        <f t="shared" si="2"/>
        <v>0</v>
      </c>
      <c r="AF366" s="140">
        <v>0.0</v>
      </c>
      <c r="AG366" s="109">
        <v>4.0</v>
      </c>
      <c r="AH366" s="109">
        <v>0.0</v>
      </c>
      <c r="AI366" s="141">
        <v>0.0</v>
      </c>
      <c r="AJ366" s="80">
        <f t="shared" si="3"/>
        <v>4</v>
      </c>
      <c r="AK366" s="140">
        <v>0.0</v>
      </c>
      <c r="AL366" s="109">
        <v>0.0</v>
      </c>
      <c r="AM366" s="141">
        <v>0.0</v>
      </c>
      <c r="AN366" s="80">
        <f t="shared" si="4"/>
        <v>0</v>
      </c>
      <c r="AO366" s="140">
        <v>0.0</v>
      </c>
      <c r="AP366" s="109">
        <v>0.0</v>
      </c>
      <c r="AQ366" s="109">
        <v>0.0</v>
      </c>
      <c r="AR366" s="80">
        <f t="shared" si="5"/>
        <v>0</v>
      </c>
      <c r="AS366" s="110">
        <v>0.0</v>
      </c>
      <c r="AT366" s="110">
        <v>0.0</v>
      </c>
      <c r="AU366" s="110">
        <v>0.0</v>
      </c>
      <c r="AV366" s="142">
        <v>0.0</v>
      </c>
      <c r="AW366" s="80">
        <f t="shared" si="6"/>
        <v>0</v>
      </c>
      <c r="AX366" s="113">
        <f t="shared" si="7"/>
        <v>4</v>
      </c>
      <c r="AY366" s="117">
        <f t="shared" si="8"/>
        <v>4</v>
      </c>
      <c r="AZ366" s="120">
        <f t="shared" si="9"/>
        <v>0</v>
      </c>
      <c r="BA366" s="115">
        <v>0.0</v>
      </c>
      <c r="BB366" s="89">
        <f t="shared" si="10"/>
        <v>4</v>
      </c>
      <c r="BC366" s="132" t="s">
        <v>178</v>
      </c>
      <c r="BD366" s="143" t="s">
        <v>227</v>
      </c>
      <c r="BE366" s="132" t="s">
        <v>178</v>
      </c>
      <c r="BF366" s="123"/>
      <c r="BG366" s="83">
        <v>1179725.0</v>
      </c>
      <c r="BH366" s="112"/>
      <c r="BI366" s="112">
        <v>0.0</v>
      </c>
      <c r="BJ366" s="98" t="s">
        <v>155</v>
      </c>
      <c r="BK366" s="99">
        <f t="shared" si="11"/>
        <v>0</v>
      </c>
      <c r="BL366" s="99">
        <f t="shared" si="12"/>
        <v>4</v>
      </c>
      <c r="BM366" s="99" t="str">
        <f>IFERROR(__xludf.DUMMYFUNCTION("IFERROR(VLOOKUP(BG366,IMPORTRANGE(""https://docs.google.com/spreadsheets/d/1juPI-Fb8LD0YtltB2mlGEnp_R3UVu1t3wSFPzgCyHXE/edit?gid=0#gid=0"",""GERAL!A2:C""),3,0),""-"")"),"-")</f>
        <v>-</v>
      </c>
    </row>
    <row r="367" ht="15.75" customHeight="1">
      <c r="A367" s="111" t="s">
        <v>451</v>
      </c>
      <c r="B367" s="83" t="s">
        <v>1423</v>
      </c>
      <c r="C367" s="83" t="s">
        <v>164</v>
      </c>
      <c r="D367" s="112">
        <v>1179701.0</v>
      </c>
      <c r="E367" s="83">
        <v>1178494.0</v>
      </c>
      <c r="F367" s="98">
        <v>2.9482267E7</v>
      </c>
      <c r="G367" s="114" t="s">
        <v>1513</v>
      </c>
      <c r="H367" s="91" t="s">
        <v>1514</v>
      </c>
      <c r="I367" s="83" t="s">
        <v>1515</v>
      </c>
      <c r="J367" s="83" t="s">
        <v>694</v>
      </c>
      <c r="K367" s="83" t="s">
        <v>168</v>
      </c>
      <c r="L367" s="83" t="s">
        <v>169</v>
      </c>
      <c r="M367" s="82" t="str">
        <f>IFERROR(__xludf.DUMMYFUNCTION("IFERROR(VLOOKUP(D367,
IMPORTRANGE(""https://docs.google.com/spreadsheets/d/1MjHtlUikwobi2MaWJgy7tfLeBmhj1u-dRFRs_8GwSoA/edit#gid=0"",""Gestores Escolares!D7:J""),3,0),""VERIFICAR CÓD SEC"")"),"ALESSANDRO COELHO MARQUES")</f>
        <v>ALESSANDRO COELHO MARQUES</v>
      </c>
      <c r="N367" s="82" t="str">
        <f>IFERROR(__xludf.DUMMYFUNCTION("IFERROR(VLOOKUP(D367,
IMPORTRANGE(""https://docs.google.com/spreadsheets/d/1MjHtlUikwobi2MaWJgy7tfLeBmhj1u-dRFRs_8GwSoA/edit#gid=0"",""Gestores Escolares!D7:J""),4,0),""VERIFICAR CÓD SEC"")"),"(73) 9 9978-4374")</f>
        <v>(73) 9 9978-4374</v>
      </c>
      <c r="O367" s="82" t="str">
        <f>IFERROR(__xludf.DUMMYFUNCTION("IFERROR(VLOOKUP(D367,
IMPORTRANGE(""https://docs.google.com/spreadsheets/d/1MjHtlUikwobi2MaWJgy7tfLeBmhj1u-dRFRs_8GwSoA/edit#gid=0"",""Gestores Escolares!D7:J""),6,0),""VERIFICAR CÓD SEC"")"),"VALERIA CUNHA ROSARIO LEVITA")</f>
        <v>VALERIA CUNHA ROSARIO LEVITA</v>
      </c>
      <c r="P367" s="82" t="str">
        <f>IFERROR(__xludf.DUMMYFUNCTION("IFERROR(VLOOKUP(D367,
IMPORTRANGE(""https://docs.google.com/spreadsheets/d/1MjHtlUikwobi2MaWJgy7tfLeBmhj1u-dRFRs_8GwSoA/edit#gid=0"",""Gestores Escolares!D7:J""),7,0),""VERIFICAR CÓD SEC"")"),"(73) 9 8248-8925")</f>
        <v>(73) 9 8248-8925</v>
      </c>
      <c r="Q367" s="82" t="str">
        <f>IFERROR(__xludf.DUMMYFUNCTION("IFERROR(VLOOKUP(D367,
IMPORTRANGE(""https://docs.google.com/spreadsheets/d/1MjHtlUikwobi2MaWJgy7tfLeBmhj1u-dRFRs_8GwSoA/edit#gid=0"",""Gestores Escolares!D7:m""),9,0),""VERIFICAR CÓD SEC"")"),"")</f>
        <v/>
      </c>
      <c r="R367" s="82" t="str">
        <f>IFERROR(__xludf.DUMMYFUNCTION("IFERROR(VLOOKUP(D367,
IMPORTRANGE(""https://docs.google.com/spreadsheets/d/1MjHtlUikwobi2MaWJgy7tfLeBmhj1u-dRFRs_8GwSoA/edit#gid=0"",""Gestores Escolares!D7:m""),10,0),""VERIFICAR CÓD SEC"")"),"")</f>
        <v/>
      </c>
      <c r="S367" s="82"/>
      <c r="T367" s="138">
        <v>3.0</v>
      </c>
      <c r="U367" s="403">
        <v>3.0</v>
      </c>
      <c r="V367" s="106">
        <v>0.0</v>
      </c>
      <c r="W367" s="107">
        <v>0.0</v>
      </c>
      <c r="X367" s="107">
        <v>0.0</v>
      </c>
      <c r="Y367" s="107">
        <v>0.0</v>
      </c>
      <c r="Z367" s="80">
        <f t="shared" si="1"/>
        <v>0</v>
      </c>
      <c r="AA367" s="106">
        <v>0.0</v>
      </c>
      <c r="AB367" s="107">
        <v>0.0</v>
      </c>
      <c r="AC367" s="107">
        <v>0.0</v>
      </c>
      <c r="AD367" s="107">
        <v>0.0</v>
      </c>
      <c r="AE367" s="80">
        <f t="shared" si="2"/>
        <v>0</v>
      </c>
      <c r="AF367" s="140">
        <v>0.0</v>
      </c>
      <c r="AG367" s="109">
        <v>0.0</v>
      </c>
      <c r="AH367" s="109">
        <v>83.0</v>
      </c>
      <c r="AI367" s="141">
        <v>0.0</v>
      </c>
      <c r="AJ367" s="80">
        <f t="shared" si="3"/>
        <v>83</v>
      </c>
      <c r="AK367" s="140">
        <v>0.0</v>
      </c>
      <c r="AL367" s="109">
        <v>0.0</v>
      </c>
      <c r="AM367" s="141">
        <v>0.0</v>
      </c>
      <c r="AN367" s="80">
        <f t="shared" si="4"/>
        <v>0</v>
      </c>
      <c r="AO367" s="140">
        <v>0.0</v>
      </c>
      <c r="AP367" s="109">
        <v>0.0</v>
      </c>
      <c r="AQ367" s="109">
        <v>0.0</v>
      </c>
      <c r="AR367" s="80">
        <f t="shared" si="5"/>
        <v>0</v>
      </c>
      <c r="AS367" s="110">
        <v>0.0</v>
      </c>
      <c r="AT367" s="110">
        <v>0.0</v>
      </c>
      <c r="AU367" s="110">
        <v>0.0</v>
      </c>
      <c r="AV367" s="142">
        <v>0.0</v>
      </c>
      <c r="AW367" s="80">
        <f t="shared" si="6"/>
        <v>0</v>
      </c>
      <c r="AX367" s="113">
        <f t="shared" si="7"/>
        <v>83</v>
      </c>
      <c r="AY367" s="117">
        <f t="shared" si="8"/>
        <v>0</v>
      </c>
      <c r="AZ367" s="120">
        <f t="shared" si="9"/>
        <v>83</v>
      </c>
      <c r="BA367" s="115">
        <v>0.0</v>
      </c>
      <c r="BB367" s="89">
        <f t="shared" si="10"/>
        <v>83</v>
      </c>
      <c r="BC367" s="132" t="s">
        <v>373</v>
      </c>
      <c r="BD367" s="143" t="s">
        <v>227</v>
      </c>
      <c r="BE367" s="132" t="s">
        <v>178</v>
      </c>
      <c r="BF367" s="123"/>
      <c r="BG367" s="83">
        <v>1178494.0</v>
      </c>
      <c r="BH367" s="112"/>
      <c r="BI367" s="112">
        <v>3.0</v>
      </c>
      <c r="BJ367" s="98" t="s">
        <v>155</v>
      </c>
      <c r="BK367" s="99">
        <f t="shared" si="11"/>
        <v>0</v>
      </c>
      <c r="BL367" s="99">
        <f t="shared" si="12"/>
        <v>0</v>
      </c>
      <c r="BM367" s="99" t="str">
        <f>IFERROR(__xludf.DUMMYFUNCTION("IFERROR(VLOOKUP(BG367,IMPORTRANGE(""https://docs.google.com/spreadsheets/d/1juPI-Fb8LD0YtltB2mlGEnp_R3UVu1t3wSFPzgCyHXE/edit?gid=0#gid=0"",""GERAL!A2:C""),3,0),""-"")"),"CAMPO")</f>
        <v>CAMPO</v>
      </c>
    </row>
    <row r="368" ht="15.75" customHeight="1">
      <c r="A368" s="111" t="s">
        <v>451</v>
      </c>
      <c r="B368" s="83" t="s">
        <v>1423</v>
      </c>
      <c r="C368" s="83" t="s">
        <v>164</v>
      </c>
      <c r="D368" s="112">
        <v>1179701.0</v>
      </c>
      <c r="E368" s="83">
        <v>1179273.0</v>
      </c>
      <c r="F368" s="98">
        <v>2.9482267E7</v>
      </c>
      <c r="G368" s="114" t="s">
        <v>1516</v>
      </c>
      <c r="H368" s="91" t="s">
        <v>1517</v>
      </c>
      <c r="I368" s="136" t="s">
        <v>149</v>
      </c>
      <c r="J368" s="83" t="s">
        <v>1502</v>
      </c>
      <c r="K368" s="83" t="s">
        <v>168</v>
      </c>
      <c r="L368" s="83" t="s">
        <v>169</v>
      </c>
      <c r="M368" s="82" t="str">
        <f>IFERROR(__xludf.DUMMYFUNCTION("IFERROR(VLOOKUP(D368,
IMPORTRANGE(""https://docs.google.com/spreadsheets/d/1MjHtlUikwobi2MaWJgy7tfLeBmhj1u-dRFRs_8GwSoA/edit#gid=0"",""Gestores Escolares!D7:J""),3,0),""VERIFICAR CÓD SEC"")"),"ALESSANDRO COELHO MARQUES")</f>
        <v>ALESSANDRO COELHO MARQUES</v>
      </c>
      <c r="N368" s="82" t="str">
        <f>IFERROR(__xludf.DUMMYFUNCTION("IFERROR(VLOOKUP(D368,
IMPORTRANGE(""https://docs.google.com/spreadsheets/d/1MjHtlUikwobi2MaWJgy7tfLeBmhj1u-dRFRs_8GwSoA/edit#gid=0"",""Gestores Escolares!D7:J""),4,0),""VERIFICAR CÓD SEC"")"),"(73) 9 9978-4374")</f>
        <v>(73) 9 9978-4374</v>
      </c>
      <c r="O368" s="82" t="str">
        <f>IFERROR(__xludf.DUMMYFUNCTION("IFERROR(VLOOKUP(D368,
IMPORTRANGE(""https://docs.google.com/spreadsheets/d/1MjHtlUikwobi2MaWJgy7tfLeBmhj1u-dRFRs_8GwSoA/edit#gid=0"",""Gestores Escolares!D7:J""),6,0),""VERIFICAR CÓD SEC"")"),"VALERIA CUNHA ROSARIO LEVITA")</f>
        <v>VALERIA CUNHA ROSARIO LEVITA</v>
      </c>
      <c r="P368" s="82" t="str">
        <f>IFERROR(__xludf.DUMMYFUNCTION("IFERROR(VLOOKUP(D368,
IMPORTRANGE(""https://docs.google.com/spreadsheets/d/1MjHtlUikwobi2MaWJgy7tfLeBmhj1u-dRFRs_8GwSoA/edit#gid=0"",""Gestores Escolares!D7:J""),7,0),""VERIFICAR CÓD SEC"")"),"(73) 9 8248-8925")</f>
        <v>(73) 9 8248-8925</v>
      </c>
      <c r="Q368" s="82" t="str">
        <f>IFERROR(__xludf.DUMMYFUNCTION("IFERROR(VLOOKUP(D368,
IMPORTRANGE(""https://docs.google.com/spreadsheets/d/1MjHtlUikwobi2MaWJgy7tfLeBmhj1u-dRFRs_8GwSoA/edit#gid=0"",""Gestores Escolares!D7:m""),9,0),""VERIFICAR CÓD SEC"")"),"")</f>
        <v/>
      </c>
      <c r="R368" s="82" t="str">
        <f>IFERROR(__xludf.DUMMYFUNCTION("IFERROR(VLOOKUP(D368,
IMPORTRANGE(""https://docs.google.com/spreadsheets/d/1MjHtlUikwobi2MaWJgy7tfLeBmhj1u-dRFRs_8GwSoA/edit#gid=0"",""Gestores Escolares!D7:m""),10,0),""VERIFICAR CÓD SEC"")"),"")</f>
        <v/>
      </c>
      <c r="S368" s="82"/>
      <c r="T368" s="138">
        <v>3.0</v>
      </c>
      <c r="U368" s="403">
        <v>3.0</v>
      </c>
      <c r="V368" s="106">
        <v>0.0</v>
      </c>
      <c r="W368" s="107">
        <v>0.0</v>
      </c>
      <c r="X368" s="107">
        <v>0.0</v>
      </c>
      <c r="Y368" s="107">
        <v>0.0</v>
      </c>
      <c r="Z368" s="80">
        <f t="shared" si="1"/>
        <v>0</v>
      </c>
      <c r="AA368" s="106">
        <v>0.0</v>
      </c>
      <c r="AB368" s="107">
        <v>0.0</v>
      </c>
      <c r="AC368" s="107">
        <v>0.0</v>
      </c>
      <c r="AD368" s="107">
        <v>0.0</v>
      </c>
      <c r="AE368" s="80">
        <f t="shared" si="2"/>
        <v>0</v>
      </c>
      <c r="AF368" s="140">
        <v>0.0</v>
      </c>
      <c r="AG368" s="109">
        <v>0.0</v>
      </c>
      <c r="AH368" s="109">
        <v>18.0</v>
      </c>
      <c r="AI368" s="141">
        <v>0.0</v>
      </c>
      <c r="AJ368" s="80">
        <f t="shared" si="3"/>
        <v>18</v>
      </c>
      <c r="AK368" s="140">
        <v>0.0</v>
      </c>
      <c r="AL368" s="109">
        <v>0.0</v>
      </c>
      <c r="AM368" s="141">
        <v>0.0</v>
      </c>
      <c r="AN368" s="80">
        <f t="shared" si="4"/>
        <v>0</v>
      </c>
      <c r="AO368" s="140">
        <v>0.0</v>
      </c>
      <c r="AP368" s="109">
        <v>0.0</v>
      </c>
      <c r="AQ368" s="109">
        <v>0.0</v>
      </c>
      <c r="AR368" s="80">
        <f t="shared" si="5"/>
        <v>0</v>
      </c>
      <c r="AS368" s="110">
        <v>0.0</v>
      </c>
      <c r="AT368" s="110">
        <v>0.0</v>
      </c>
      <c r="AU368" s="110">
        <v>0.0</v>
      </c>
      <c r="AV368" s="142">
        <v>0.0</v>
      </c>
      <c r="AW368" s="80">
        <f t="shared" si="6"/>
        <v>0</v>
      </c>
      <c r="AX368" s="113">
        <f t="shared" si="7"/>
        <v>18</v>
      </c>
      <c r="AY368" s="117">
        <f t="shared" si="8"/>
        <v>0</v>
      </c>
      <c r="AZ368" s="120">
        <f t="shared" si="9"/>
        <v>18</v>
      </c>
      <c r="BA368" s="115">
        <v>0.0</v>
      </c>
      <c r="BB368" s="89">
        <f t="shared" si="10"/>
        <v>18</v>
      </c>
      <c r="BC368" s="132" t="s">
        <v>373</v>
      </c>
      <c r="BD368" s="143" t="s">
        <v>227</v>
      </c>
      <c r="BE368" s="132" t="s">
        <v>178</v>
      </c>
      <c r="BF368" s="156"/>
      <c r="BG368" s="83">
        <v>1179273.0</v>
      </c>
      <c r="BH368" s="112"/>
      <c r="BI368" s="112">
        <v>3.0</v>
      </c>
      <c r="BJ368" s="98" t="s">
        <v>155</v>
      </c>
      <c r="BK368" s="99">
        <f t="shared" si="11"/>
        <v>0</v>
      </c>
      <c r="BL368" s="99">
        <f t="shared" si="12"/>
        <v>0</v>
      </c>
      <c r="BM368" s="99" t="str">
        <f>IFERROR(__xludf.DUMMYFUNCTION("IFERROR(VLOOKUP(BG368,IMPORTRANGE(""https://docs.google.com/spreadsheets/d/1juPI-Fb8LD0YtltB2mlGEnp_R3UVu1t3wSFPzgCyHXE/edit?gid=0#gid=0"",""GERAL!A2:C""),3,0),""-"")"),"CAMPO")</f>
        <v>CAMPO</v>
      </c>
    </row>
    <row r="369" ht="15.75" customHeight="1">
      <c r="A369" s="111" t="s">
        <v>451</v>
      </c>
      <c r="B369" s="83" t="s">
        <v>1423</v>
      </c>
      <c r="C369" s="83" t="s">
        <v>164</v>
      </c>
      <c r="D369" s="112">
        <v>1179701.0</v>
      </c>
      <c r="E369" s="83">
        <v>1109699.0</v>
      </c>
      <c r="F369" s="98">
        <v>2.9482267E7</v>
      </c>
      <c r="G369" s="114" t="s">
        <v>1518</v>
      </c>
      <c r="H369" s="91" t="s">
        <v>1519</v>
      </c>
      <c r="I369" s="136" t="s">
        <v>1520</v>
      </c>
      <c r="J369" s="83" t="s">
        <v>187</v>
      </c>
      <c r="K369" s="83" t="s">
        <v>168</v>
      </c>
      <c r="L369" s="83" t="s">
        <v>169</v>
      </c>
      <c r="M369" s="82" t="str">
        <f>IFERROR(__xludf.DUMMYFUNCTION("IFERROR(VLOOKUP(D369,
IMPORTRANGE(""https://docs.google.com/spreadsheets/d/1MjHtlUikwobi2MaWJgy7tfLeBmhj1u-dRFRs_8GwSoA/edit#gid=0"",""Gestores Escolares!D7:J""),3,0),""VERIFICAR CÓD SEC"")"),"ALESSANDRO COELHO MARQUES")</f>
        <v>ALESSANDRO COELHO MARQUES</v>
      </c>
      <c r="N369" s="82" t="str">
        <f>IFERROR(__xludf.DUMMYFUNCTION("IFERROR(VLOOKUP(D369,
IMPORTRANGE(""https://docs.google.com/spreadsheets/d/1MjHtlUikwobi2MaWJgy7tfLeBmhj1u-dRFRs_8GwSoA/edit#gid=0"",""Gestores Escolares!D7:J""),4,0),""VERIFICAR CÓD SEC"")"),"(73) 9 9978-4374")</f>
        <v>(73) 9 9978-4374</v>
      </c>
      <c r="O369" s="82" t="str">
        <f>IFERROR(__xludf.DUMMYFUNCTION("IFERROR(VLOOKUP(D369,
IMPORTRANGE(""https://docs.google.com/spreadsheets/d/1MjHtlUikwobi2MaWJgy7tfLeBmhj1u-dRFRs_8GwSoA/edit#gid=0"",""Gestores Escolares!D7:J""),6,0),""VERIFICAR CÓD SEC"")"),"VALERIA CUNHA ROSARIO LEVITA")</f>
        <v>VALERIA CUNHA ROSARIO LEVITA</v>
      </c>
      <c r="P369" s="82" t="str">
        <f>IFERROR(__xludf.DUMMYFUNCTION("IFERROR(VLOOKUP(D369,
IMPORTRANGE(""https://docs.google.com/spreadsheets/d/1MjHtlUikwobi2MaWJgy7tfLeBmhj1u-dRFRs_8GwSoA/edit#gid=0"",""Gestores Escolares!D7:J""),7,0),""VERIFICAR CÓD SEC"")"),"(73) 9 8248-8925")</f>
        <v>(73) 9 8248-8925</v>
      </c>
      <c r="Q369" s="82" t="str">
        <f>IFERROR(__xludf.DUMMYFUNCTION("IFERROR(VLOOKUP(D369,
IMPORTRANGE(""https://docs.google.com/spreadsheets/d/1MjHtlUikwobi2MaWJgy7tfLeBmhj1u-dRFRs_8GwSoA/edit#gid=0"",""Gestores Escolares!D7:m""),9,0),""VERIFICAR CÓD SEC"")"),"")</f>
        <v/>
      </c>
      <c r="R369" s="82" t="str">
        <f>IFERROR(__xludf.DUMMYFUNCTION("IFERROR(VLOOKUP(D369,
IMPORTRANGE(""https://docs.google.com/spreadsheets/d/1MjHtlUikwobi2MaWJgy7tfLeBmhj1u-dRFRs_8GwSoA/edit#gid=0"",""Gestores Escolares!D7:m""),10,0),""VERIFICAR CÓD SEC"")"),"")</f>
        <v/>
      </c>
      <c r="S369" s="82"/>
      <c r="T369" s="138">
        <v>3.0</v>
      </c>
      <c r="U369" s="403">
        <v>3.0</v>
      </c>
      <c r="V369" s="106">
        <v>0.0</v>
      </c>
      <c r="W369" s="107">
        <v>0.0</v>
      </c>
      <c r="X369" s="107">
        <v>0.0</v>
      </c>
      <c r="Y369" s="107">
        <v>0.0</v>
      </c>
      <c r="Z369" s="80">
        <f t="shared" si="1"/>
        <v>0</v>
      </c>
      <c r="AA369" s="106">
        <v>0.0</v>
      </c>
      <c r="AB369" s="107">
        <v>0.0</v>
      </c>
      <c r="AC369" s="107">
        <v>0.0</v>
      </c>
      <c r="AD369" s="107">
        <v>0.0</v>
      </c>
      <c r="AE369" s="80">
        <f t="shared" si="2"/>
        <v>0</v>
      </c>
      <c r="AF369" s="140">
        <v>0.0</v>
      </c>
      <c r="AG369" s="109">
        <v>0.0</v>
      </c>
      <c r="AH369" s="109">
        <v>50.0</v>
      </c>
      <c r="AI369" s="141">
        <v>0.0</v>
      </c>
      <c r="AJ369" s="80">
        <f t="shared" si="3"/>
        <v>50</v>
      </c>
      <c r="AK369" s="140">
        <v>0.0</v>
      </c>
      <c r="AL369" s="109">
        <v>0.0</v>
      </c>
      <c r="AM369" s="141">
        <v>0.0</v>
      </c>
      <c r="AN369" s="80">
        <f t="shared" si="4"/>
        <v>0</v>
      </c>
      <c r="AO369" s="140">
        <v>0.0</v>
      </c>
      <c r="AP369" s="109">
        <v>0.0</v>
      </c>
      <c r="AQ369" s="109">
        <v>0.0</v>
      </c>
      <c r="AR369" s="80">
        <f t="shared" si="5"/>
        <v>0</v>
      </c>
      <c r="AS369" s="110">
        <v>0.0</v>
      </c>
      <c r="AT369" s="110">
        <v>0.0</v>
      </c>
      <c r="AU369" s="110">
        <v>0.0</v>
      </c>
      <c r="AV369" s="142">
        <v>0.0</v>
      </c>
      <c r="AW369" s="80">
        <f t="shared" si="6"/>
        <v>0</v>
      </c>
      <c r="AX369" s="113">
        <f t="shared" si="7"/>
        <v>50</v>
      </c>
      <c r="AY369" s="117">
        <f t="shared" si="8"/>
        <v>0</v>
      </c>
      <c r="AZ369" s="120">
        <f t="shared" si="9"/>
        <v>50</v>
      </c>
      <c r="BA369" s="115">
        <v>0.0</v>
      </c>
      <c r="BB369" s="89">
        <f t="shared" si="10"/>
        <v>50</v>
      </c>
      <c r="BC369" s="132" t="s">
        <v>373</v>
      </c>
      <c r="BD369" s="143" t="s">
        <v>227</v>
      </c>
      <c r="BE369" s="132" t="s">
        <v>178</v>
      </c>
      <c r="BF369" s="123"/>
      <c r="BG369" s="83">
        <v>1109699.0</v>
      </c>
      <c r="BH369" s="112"/>
      <c r="BI369" s="112">
        <v>3.0</v>
      </c>
      <c r="BJ369" s="98" t="s">
        <v>155</v>
      </c>
      <c r="BK369" s="99">
        <f t="shared" si="11"/>
        <v>0</v>
      </c>
      <c r="BL369" s="99">
        <f t="shared" si="12"/>
        <v>0</v>
      </c>
      <c r="BM369" s="99" t="str">
        <f>IFERROR(__xludf.DUMMYFUNCTION("IFERROR(VLOOKUP(BG369,IMPORTRANGE(""https://docs.google.com/spreadsheets/d/1juPI-Fb8LD0YtltB2mlGEnp_R3UVu1t3wSFPzgCyHXE/edit?gid=0#gid=0"",""GERAL!A2:C""),3,0),""-"")"),"CAMPO")</f>
        <v>CAMPO</v>
      </c>
    </row>
    <row r="370" ht="15.75" customHeight="1">
      <c r="A370" s="111" t="s">
        <v>451</v>
      </c>
      <c r="B370" s="83" t="s">
        <v>1423</v>
      </c>
      <c r="C370" s="83" t="s">
        <v>164</v>
      </c>
      <c r="D370" s="112">
        <v>1179701.0</v>
      </c>
      <c r="E370" s="83">
        <v>1179342.0</v>
      </c>
      <c r="F370" s="98">
        <v>2.9482267E7</v>
      </c>
      <c r="G370" s="114" t="s">
        <v>1521</v>
      </c>
      <c r="H370" s="91" t="s">
        <v>1522</v>
      </c>
      <c r="I370" s="136" t="s">
        <v>1523</v>
      </c>
      <c r="J370" s="83" t="s">
        <v>767</v>
      </c>
      <c r="K370" s="83" t="s">
        <v>168</v>
      </c>
      <c r="L370" s="83" t="s">
        <v>512</v>
      </c>
      <c r="M370" s="82" t="str">
        <f>IFERROR(__xludf.DUMMYFUNCTION("IFERROR(VLOOKUP(D370,
IMPORTRANGE(""https://docs.google.com/spreadsheets/d/1MjHtlUikwobi2MaWJgy7tfLeBmhj1u-dRFRs_8GwSoA/edit#gid=0"",""Gestores Escolares!D7:J""),3,0),""VERIFICAR CÓD SEC"")"),"ALESSANDRO COELHO MARQUES")</f>
        <v>ALESSANDRO COELHO MARQUES</v>
      </c>
      <c r="N370" s="82" t="str">
        <f>IFERROR(__xludf.DUMMYFUNCTION("IFERROR(VLOOKUP(D370,
IMPORTRANGE(""https://docs.google.com/spreadsheets/d/1MjHtlUikwobi2MaWJgy7tfLeBmhj1u-dRFRs_8GwSoA/edit#gid=0"",""Gestores Escolares!D7:J""),4,0),""VERIFICAR CÓD SEC"")"),"(73) 9 9978-4374")</f>
        <v>(73) 9 9978-4374</v>
      </c>
      <c r="O370" s="82" t="str">
        <f>IFERROR(__xludf.DUMMYFUNCTION("IFERROR(VLOOKUP(D370,
IMPORTRANGE(""https://docs.google.com/spreadsheets/d/1MjHtlUikwobi2MaWJgy7tfLeBmhj1u-dRFRs_8GwSoA/edit#gid=0"",""Gestores Escolares!D7:J""),6,0),""VERIFICAR CÓD SEC"")"),"VALERIA CUNHA ROSARIO LEVITA")</f>
        <v>VALERIA CUNHA ROSARIO LEVITA</v>
      </c>
      <c r="P370" s="82" t="str">
        <f>IFERROR(__xludf.DUMMYFUNCTION("IFERROR(VLOOKUP(D370,
IMPORTRANGE(""https://docs.google.com/spreadsheets/d/1MjHtlUikwobi2MaWJgy7tfLeBmhj1u-dRFRs_8GwSoA/edit#gid=0"",""Gestores Escolares!D7:J""),7,0),""VERIFICAR CÓD SEC"")"),"(73) 9 8248-8925")</f>
        <v>(73) 9 8248-8925</v>
      </c>
      <c r="Q370" s="82" t="str">
        <f>IFERROR(__xludf.DUMMYFUNCTION("IFERROR(VLOOKUP(D370,
IMPORTRANGE(""https://docs.google.com/spreadsheets/d/1MjHtlUikwobi2MaWJgy7tfLeBmhj1u-dRFRs_8GwSoA/edit#gid=0"",""Gestores Escolares!D7:m""),9,0),""VERIFICAR CÓD SEC"")"),"")</f>
        <v/>
      </c>
      <c r="R370" s="82" t="str">
        <f>IFERROR(__xludf.DUMMYFUNCTION("IFERROR(VLOOKUP(D370,
IMPORTRANGE(""https://docs.google.com/spreadsheets/d/1MjHtlUikwobi2MaWJgy7tfLeBmhj1u-dRFRs_8GwSoA/edit#gid=0"",""Gestores Escolares!D7:m""),10,0),""VERIFICAR CÓD SEC"")"),"")</f>
        <v/>
      </c>
      <c r="S370" s="82"/>
      <c r="T370" s="138">
        <v>3.0</v>
      </c>
      <c r="U370" s="403">
        <v>3.0</v>
      </c>
      <c r="V370" s="106">
        <v>0.0</v>
      </c>
      <c r="W370" s="107">
        <v>0.0</v>
      </c>
      <c r="X370" s="107">
        <v>0.0</v>
      </c>
      <c r="Y370" s="107">
        <v>0.0</v>
      </c>
      <c r="Z370" s="80">
        <f t="shared" si="1"/>
        <v>0</v>
      </c>
      <c r="AA370" s="106">
        <v>0.0</v>
      </c>
      <c r="AB370" s="107">
        <v>0.0</v>
      </c>
      <c r="AC370" s="107">
        <v>0.0</v>
      </c>
      <c r="AD370" s="107">
        <v>0.0</v>
      </c>
      <c r="AE370" s="80">
        <f t="shared" si="2"/>
        <v>0</v>
      </c>
      <c r="AF370" s="140">
        <v>0.0</v>
      </c>
      <c r="AG370" s="109">
        <v>0.0</v>
      </c>
      <c r="AH370" s="109">
        <v>28.0</v>
      </c>
      <c r="AI370" s="141">
        <v>0.0</v>
      </c>
      <c r="AJ370" s="80">
        <f t="shared" si="3"/>
        <v>28</v>
      </c>
      <c r="AK370" s="140">
        <v>0.0</v>
      </c>
      <c r="AL370" s="109">
        <v>0.0</v>
      </c>
      <c r="AM370" s="141">
        <v>0.0</v>
      </c>
      <c r="AN370" s="80">
        <f t="shared" si="4"/>
        <v>0</v>
      </c>
      <c r="AO370" s="140">
        <v>0.0</v>
      </c>
      <c r="AP370" s="109">
        <v>0.0</v>
      </c>
      <c r="AQ370" s="109">
        <v>0.0</v>
      </c>
      <c r="AR370" s="80">
        <f t="shared" si="5"/>
        <v>0</v>
      </c>
      <c r="AS370" s="110">
        <v>0.0</v>
      </c>
      <c r="AT370" s="110">
        <v>0.0</v>
      </c>
      <c r="AU370" s="110">
        <v>0.0</v>
      </c>
      <c r="AV370" s="142">
        <v>0.0</v>
      </c>
      <c r="AW370" s="80">
        <f t="shared" si="6"/>
        <v>0</v>
      </c>
      <c r="AX370" s="113">
        <f t="shared" si="7"/>
        <v>28</v>
      </c>
      <c r="AY370" s="117">
        <f t="shared" si="8"/>
        <v>0</v>
      </c>
      <c r="AZ370" s="120">
        <f t="shared" si="9"/>
        <v>28</v>
      </c>
      <c r="BA370" s="115">
        <v>0.0</v>
      </c>
      <c r="BB370" s="89">
        <f t="shared" si="10"/>
        <v>28</v>
      </c>
      <c r="BC370" s="132" t="s">
        <v>373</v>
      </c>
      <c r="BD370" s="143" t="s">
        <v>227</v>
      </c>
      <c r="BE370" s="132" t="s">
        <v>178</v>
      </c>
      <c r="BF370" s="156"/>
      <c r="BG370" s="83">
        <v>1179342.0</v>
      </c>
      <c r="BH370" s="112"/>
      <c r="BI370" s="112">
        <v>3.0</v>
      </c>
      <c r="BJ370" s="98" t="s">
        <v>155</v>
      </c>
      <c r="BK370" s="99">
        <f t="shared" si="11"/>
        <v>0</v>
      </c>
      <c r="BL370" s="99">
        <f t="shared" si="12"/>
        <v>0</v>
      </c>
      <c r="BM370" s="99" t="str">
        <f>IFERROR(__xludf.DUMMYFUNCTION("IFERROR(VLOOKUP(BG370,IMPORTRANGE(""https://docs.google.com/spreadsheets/d/1juPI-Fb8LD0YtltB2mlGEnp_R3UVu1t3wSFPzgCyHXE/edit?gid=0#gid=0"",""GERAL!A2:C""),3,0),""-"")"),"CAMPO")</f>
        <v>CAMPO</v>
      </c>
    </row>
    <row r="371" ht="15.75" customHeight="1">
      <c r="A371" s="111" t="s">
        <v>451</v>
      </c>
      <c r="B371" s="83" t="s">
        <v>1423</v>
      </c>
      <c r="C371" s="83" t="s">
        <v>164</v>
      </c>
      <c r="D371" s="112">
        <v>1179701.0</v>
      </c>
      <c r="E371" s="83">
        <v>1179055.0</v>
      </c>
      <c r="F371" s="98">
        <v>2.9482267E7</v>
      </c>
      <c r="G371" s="114" t="s">
        <v>1524</v>
      </c>
      <c r="H371" s="91" t="s">
        <v>1525</v>
      </c>
      <c r="I371" s="136" t="s">
        <v>149</v>
      </c>
      <c r="J371" s="83" t="s">
        <v>244</v>
      </c>
      <c r="K371" s="83" t="s">
        <v>168</v>
      </c>
      <c r="L371" s="83" t="s">
        <v>169</v>
      </c>
      <c r="M371" s="82" t="str">
        <f>IFERROR(__xludf.DUMMYFUNCTION("IFERROR(VLOOKUP(D371,
IMPORTRANGE(""https://docs.google.com/spreadsheets/d/1MjHtlUikwobi2MaWJgy7tfLeBmhj1u-dRFRs_8GwSoA/edit#gid=0"",""Gestores Escolares!D7:J""),3,0),""VERIFICAR CÓD SEC"")"),"ALESSANDRO COELHO MARQUES")</f>
        <v>ALESSANDRO COELHO MARQUES</v>
      </c>
      <c r="N371" s="82" t="str">
        <f>IFERROR(__xludf.DUMMYFUNCTION("IFERROR(VLOOKUP(D371,
IMPORTRANGE(""https://docs.google.com/spreadsheets/d/1MjHtlUikwobi2MaWJgy7tfLeBmhj1u-dRFRs_8GwSoA/edit#gid=0"",""Gestores Escolares!D7:J""),4,0),""VERIFICAR CÓD SEC"")"),"(73) 9 9978-4374")</f>
        <v>(73) 9 9978-4374</v>
      </c>
      <c r="O371" s="82" t="str">
        <f>IFERROR(__xludf.DUMMYFUNCTION("IFERROR(VLOOKUP(D371,
IMPORTRANGE(""https://docs.google.com/spreadsheets/d/1MjHtlUikwobi2MaWJgy7tfLeBmhj1u-dRFRs_8GwSoA/edit#gid=0"",""Gestores Escolares!D7:J""),6,0),""VERIFICAR CÓD SEC"")"),"VALERIA CUNHA ROSARIO LEVITA")</f>
        <v>VALERIA CUNHA ROSARIO LEVITA</v>
      </c>
      <c r="P371" s="82" t="str">
        <f>IFERROR(__xludf.DUMMYFUNCTION("IFERROR(VLOOKUP(D371,
IMPORTRANGE(""https://docs.google.com/spreadsheets/d/1MjHtlUikwobi2MaWJgy7tfLeBmhj1u-dRFRs_8GwSoA/edit#gid=0"",""Gestores Escolares!D7:J""),7,0),""VERIFICAR CÓD SEC"")"),"(73) 9 8248-8925")</f>
        <v>(73) 9 8248-8925</v>
      </c>
      <c r="Q371" s="82" t="str">
        <f>IFERROR(__xludf.DUMMYFUNCTION("IFERROR(VLOOKUP(D371,
IMPORTRANGE(""https://docs.google.com/spreadsheets/d/1MjHtlUikwobi2MaWJgy7tfLeBmhj1u-dRFRs_8GwSoA/edit#gid=0"",""Gestores Escolares!D7:m""),9,0),""VERIFICAR CÓD SEC"")"),"")</f>
        <v/>
      </c>
      <c r="R371" s="82" t="str">
        <f>IFERROR(__xludf.DUMMYFUNCTION("IFERROR(VLOOKUP(D371,
IMPORTRANGE(""https://docs.google.com/spreadsheets/d/1MjHtlUikwobi2MaWJgy7tfLeBmhj1u-dRFRs_8GwSoA/edit#gid=0"",""Gestores Escolares!D7:m""),10,0),""VERIFICAR CÓD SEC"")"),"")</f>
        <v/>
      </c>
      <c r="S371" s="82"/>
      <c r="T371" s="138">
        <v>3.0</v>
      </c>
      <c r="U371" s="403">
        <v>3.0</v>
      </c>
      <c r="V371" s="106">
        <v>0.0</v>
      </c>
      <c r="W371" s="107">
        <v>0.0</v>
      </c>
      <c r="X371" s="107">
        <v>0.0</v>
      </c>
      <c r="Y371" s="107">
        <v>0.0</v>
      </c>
      <c r="Z371" s="80">
        <f t="shared" si="1"/>
        <v>0</v>
      </c>
      <c r="AA371" s="106">
        <v>0.0</v>
      </c>
      <c r="AB371" s="107">
        <v>0.0</v>
      </c>
      <c r="AC371" s="107">
        <v>0.0</v>
      </c>
      <c r="AD371" s="107">
        <v>0.0</v>
      </c>
      <c r="AE371" s="80">
        <f t="shared" si="2"/>
        <v>0</v>
      </c>
      <c r="AF371" s="140">
        <v>0.0</v>
      </c>
      <c r="AG371" s="109">
        <v>0.0</v>
      </c>
      <c r="AH371" s="109">
        <v>30.0</v>
      </c>
      <c r="AI371" s="141">
        <v>0.0</v>
      </c>
      <c r="AJ371" s="80">
        <f t="shared" si="3"/>
        <v>30</v>
      </c>
      <c r="AK371" s="140">
        <v>0.0</v>
      </c>
      <c r="AL371" s="109">
        <v>0.0</v>
      </c>
      <c r="AM371" s="141">
        <v>0.0</v>
      </c>
      <c r="AN371" s="80">
        <f t="shared" si="4"/>
        <v>0</v>
      </c>
      <c r="AO371" s="140">
        <v>0.0</v>
      </c>
      <c r="AP371" s="109">
        <v>0.0</v>
      </c>
      <c r="AQ371" s="109">
        <v>0.0</v>
      </c>
      <c r="AR371" s="80">
        <f t="shared" si="5"/>
        <v>0</v>
      </c>
      <c r="AS371" s="110">
        <v>0.0</v>
      </c>
      <c r="AT371" s="110">
        <v>0.0</v>
      </c>
      <c r="AU371" s="110">
        <v>0.0</v>
      </c>
      <c r="AV371" s="142">
        <v>0.0</v>
      </c>
      <c r="AW371" s="80">
        <f t="shared" si="6"/>
        <v>0</v>
      </c>
      <c r="AX371" s="113">
        <f t="shared" si="7"/>
        <v>30</v>
      </c>
      <c r="AY371" s="117">
        <f t="shared" si="8"/>
        <v>0</v>
      </c>
      <c r="AZ371" s="120">
        <f t="shared" si="9"/>
        <v>30</v>
      </c>
      <c r="BA371" s="115">
        <v>0.0</v>
      </c>
      <c r="BB371" s="89">
        <f t="shared" si="10"/>
        <v>30</v>
      </c>
      <c r="BC371" s="132" t="s">
        <v>373</v>
      </c>
      <c r="BD371" s="143" t="s">
        <v>227</v>
      </c>
      <c r="BE371" s="132" t="s">
        <v>178</v>
      </c>
      <c r="BF371" s="123"/>
      <c r="BG371" s="83">
        <v>1179055.0</v>
      </c>
      <c r="BH371" s="112"/>
      <c r="BI371" s="112">
        <v>3.0</v>
      </c>
      <c r="BJ371" s="98" t="s">
        <v>155</v>
      </c>
      <c r="BK371" s="99">
        <f t="shared" si="11"/>
        <v>0</v>
      </c>
      <c r="BL371" s="99">
        <f t="shared" si="12"/>
        <v>0</v>
      </c>
      <c r="BM371" s="99" t="str">
        <f>IFERROR(__xludf.DUMMYFUNCTION("IFERROR(VLOOKUP(BG371,IMPORTRANGE(""https://docs.google.com/spreadsheets/d/1juPI-Fb8LD0YtltB2mlGEnp_R3UVu1t3wSFPzgCyHXE/edit?gid=0#gid=0"",""GERAL!A2:C""),3,0),""-"")"),"CAMPO")</f>
        <v>CAMPO</v>
      </c>
    </row>
    <row r="372" ht="15.75" customHeight="1">
      <c r="A372" s="111" t="s">
        <v>451</v>
      </c>
      <c r="B372" s="83" t="s">
        <v>1423</v>
      </c>
      <c r="C372" s="83" t="s">
        <v>164</v>
      </c>
      <c r="D372" s="112">
        <v>1179701.0</v>
      </c>
      <c r="E372" s="83">
        <v>1178491.0</v>
      </c>
      <c r="F372" s="98">
        <v>2.9482267E7</v>
      </c>
      <c r="G372" s="114" t="s">
        <v>1526</v>
      </c>
      <c r="H372" s="91" t="s">
        <v>1527</v>
      </c>
      <c r="I372" s="136" t="s">
        <v>1528</v>
      </c>
      <c r="J372" s="83" t="s">
        <v>209</v>
      </c>
      <c r="K372" s="83" t="s">
        <v>168</v>
      </c>
      <c r="L372" s="83" t="s">
        <v>169</v>
      </c>
      <c r="M372" s="82" t="str">
        <f>IFERROR(__xludf.DUMMYFUNCTION("IFERROR(VLOOKUP(D372,
IMPORTRANGE(""https://docs.google.com/spreadsheets/d/1MjHtlUikwobi2MaWJgy7tfLeBmhj1u-dRFRs_8GwSoA/edit#gid=0"",""Gestores Escolares!D7:J""),3,0),""VERIFICAR CÓD SEC"")"),"ALESSANDRO COELHO MARQUES")</f>
        <v>ALESSANDRO COELHO MARQUES</v>
      </c>
      <c r="N372" s="82" t="str">
        <f>IFERROR(__xludf.DUMMYFUNCTION("IFERROR(VLOOKUP(D372,
IMPORTRANGE(""https://docs.google.com/spreadsheets/d/1MjHtlUikwobi2MaWJgy7tfLeBmhj1u-dRFRs_8GwSoA/edit#gid=0"",""Gestores Escolares!D7:J""),4,0),""VERIFICAR CÓD SEC"")"),"(73) 9 9978-4374")</f>
        <v>(73) 9 9978-4374</v>
      </c>
      <c r="O372" s="82" t="str">
        <f>IFERROR(__xludf.DUMMYFUNCTION("IFERROR(VLOOKUP(D372,
IMPORTRANGE(""https://docs.google.com/spreadsheets/d/1MjHtlUikwobi2MaWJgy7tfLeBmhj1u-dRFRs_8GwSoA/edit#gid=0"",""Gestores Escolares!D7:J""),6,0),""VERIFICAR CÓD SEC"")"),"VALERIA CUNHA ROSARIO LEVITA")</f>
        <v>VALERIA CUNHA ROSARIO LEVITA</v>
      </c>
      <c r="P372" s="82" t="str">
        <f>IFERROR(__xludf.DUMMYFUNCTION("IFERROR(VLOOKUP(D372,
IMPORTRANGE(""https://docs.google.com/spreadsheets/d/1MjHtlUikwobi2MaWJgy7tfLeBmhj1u-dRFRs_8GwSoA/edit#gid=0"",""Gestores Escolares!D7:J""),7,0),""VERIFICAR CÓD SEC"")"),"(73) 9 8248-8925")</f>
        <v>(73) 9 8248-8925</v>
      </c>
      <c r="Q372" s="82" t="str">
        <f>IFERROR(__xludf.DUMMYFUNCTION("IFERROR(VLOOKUP(D372,
IMPORTRANGE(""https://docs.google.com/spreadsheets/d/1MjHtlUikwobi2MaWJgy7tfLeBmhj1u-dRFRs_8GwSoA/edit#gid=0"",""Gestores Escolares!D7:m""),9,0),""VERIFICAR CÓD SEC"")"),"")</f>
        <v/>
      </c>
      <c r="R372" s="82" t="str">
        <f>IFERROR(__xludf.DUMMYFUNCTION("IFERROR(VLOOKUP(D372,
IMPORTRANGE(""https://docs.google.com/spreadsheets/d/1MjHtlUikwobi2MaWJgy7tfLeBmhj1u-dRFRs_8GwSoA/edit#gid=0"",""Gestores Escolares!D7:m""),10,0),""VERIFICAR CÓD SEC"")"),"")</f>
        <v/>
      </c>
      <c r="S372" s="82"/>
      <c r="T372" s="138">
        <v>3.0</v>
      </c>
      <c r="U372" s="403">
        <v>3.0</v>
      </c>
      <c r="V372" s="106">
        <v>0.0</v>
      </c>
      <c r="W372" s="107">
        <v>0.0</v>
      </c>
      <c r="X372" s="107">
        <v>0.0</v>
      </c>
      <c r="Y372" s="107">
        <v>0.0</v>
      </c>
      <c r="Z372" s="80">
        <f t="shared" si="1"/>
        <v>0</v>
      </c>
      <c r="AA372" s="106">
        <v>0.0</v>
      </c>
      <c r="AB372" s="107">
        <v>0.0</v>
      </c>
      <c r="AC372" s="107">
        <v>0.0</v>
      </c>
      <c r="AD372" s="107">
        <v>0.0</v>
      </c>
      <c r="AE372" s="80">
        <f t="shared" si="2"/>
        <v>0</v>
      </c>
      <c r="AF372" s="140">
        <v>0.0</v>
      </c>
      <c r="AG372" s="109">
        <v>0.0</v>
      </c>
      <c r="AH372" s="109">
        <v>18.0</v>
      </c>
      <c r="AI372" s="141">
        <v>0.0</v>
      </c>
      <c r="AJ372" s="80">
        <f t="shared" si="3"/>
        <v>18</v>
      </c>
      <c r="AK372" s="140">
        <v>0.0</v>
      </c>
      <c r="AL372" s="109">
        <v>0.0</v>
      </c>
      <c r="AM372" s="141">
        <v>0.0</v>
      </c>
      <c r="AN372" s="80">
        <f t="shared" si="4"/>
        <v>0</v>
      </c>
      <c r="AO372" s="140">
        <v>0.0</v>
      </c>
      <c r="AP372" s="109">
        <v>0.0</v>
      </c>
      <c r="AQ372" s="109">
        <v>0.0</v>
      </c>
      <c r="AR372" s="80">
        <f t="shared" si="5"/>
        <v>0</v>
      </c>
      <c r="AS372" s="110">
        <v>0.0</v>
      </c>
      <c r="AT372" s="110">
        <v>0.0</v>
      </c>
      <c r="AU372" s="110">
        <v>0.0</v>
      </c>
      <c r="AV372" s="142">
        <v>0.0</v>
      </c>
      <c r="AW372" s="80">
        <f t="shared" si="6"/>
        <v>0</v>
      </c>
      <c r="AX372" s="113">
        <f t="shared" si="7"/>
        <v>18</v>
      </c>
      <c r="AY372" s="117">
        <f t="shared" si="8"/>
        <v>0</v>
      </c>
      <c r="AZ372" s="120">
        <f t="shared" si="9"/>
        <v>18</v>
      </c>
      <c r="BA372" s="115">
        <v>0.0</v>
      </c>
      <c r="BB372" s="89">
        <f t="shared" si="10"/>
        <v>18</v>
      </c>
      <c r="BC372" s="132" t="s">
        <v>373</v>
      </c>
      <c r="BD372" s="143" t="s">
        <v>227</v>
      </c>
      <c r="BE372" s="132" t="s">
        <v>178</v>
      </c>
      <c r="BF372" s="123"/>
      <c r="BG372" s="83">
        <v>1178491.0</v>
      </c>
      <c r="BH372" s="112"/>
      <c r="BI372" s="112">
        <v>3.0</v>
      </c>
      <c r="BJ372" s="98" t="s">
        <v>155</v>
      </c>
      <c r="BK372" s="99">
        <f t="shared" si="11"/>
        <v>0</v>
      </c>
      <c r="BL372" s="99">
        <f t="shared" si="12"/>
        <v>0</v>
      </c>
      <c r="BM372" s="99" t="str">
        <f>IFERROR(__xludf.DUMMYFUNCTION("IFERROR(VLOOKUP(BG372,IMPORTRANGE(""https://docs.google.com/spreadsheets/d/1juPI-Fb8LD0YtltB2mlGEnp_R3UVu1t3wSFPzgCyHXE/edit?gid=0#gid=0"",""GERAL!A2:C""),3,0),""-"")"),"CAMPO")</f>
        <v>CAMPO</v>
      </c>
    </row>
    <row r="373" ht="15.75" customHeight="1">
      <c r="A373" s="111" t="s">
        <v>451</v>
      </c>
      <c r="B373" s="136" t="s">
        <v>1529</v>
      </c>
      <c r="C373" s="83" t="s">
        <v>68</v>
      </c>
      <c r="D373" s="112">
        <v>1176081.0</v>
      </c>
      <c r="E373" s="83"/>
      <c r="F373" s="83">
        <v>2.930539E7</v>
      </c>
      <c r="G373" s="147" t="s">
        <v>1530</v>
      </c>
      <c r="H373" s="91" t="s">
        <v>1531</v>
      </c>
      <c r="I373" s="136" t="s">
        <v>149</v>
      </c>
      <c r="J373" s="83" t="s">
        <v>150</v>
      </c>
      <c r="K373" s="83" t="s">
        <v>151</v>
      </c>
      <c r="L373" s="83" t="s">
        <v>230</v>
      </c>
      <c r="M373" s="82" t="str">
        <f>IFERROR(__xludf.DUMMYFUNCTION("IFERROR(VLOOKUP(D373,
IMPORTRANGE(""https://docs.google.com/spreadsheets/d/1MjHtlUikwobi2MaWJgy7tfLeBmhj1u-dRFRs_8GwSoA/edit#gid=0"",""Gestores Escolares!D7:J""),3,0),""VERIFICAR CÓD SEC"")"),"JORGE LUIZ BRANDAO XAVIER")</f>
        <v>JORGE LUIZ BRANDAO XAVIER</v>
      </c>
      <c r="N373" s="82" t="str">
        <f>IFERROR(__xludf.DUMMYFUNCTION("IFERROR(VLOOKUP(D373,
IMPORTRANGE(""https://docs.google.com/spreadsheets/d/1MjHtlUikwobi2MaWJgy7tfLeBmhj1u-dRFRs_8GwSoA/edit#gid=0"",""Gestores Escolares!D7:J""),4,0),""VERIFICAR CÓD SEC"")"),"(73) 9 9829-7099")</f>
        <v>(73) 9 9829-7099</v>
      </c>
      <c r="O373" s="82" t="str">
        <f>IFERROR(__xludf.DUMMYFUNCTION("IFERROR(VLOOKUP(D373,
IMPORTRANGE(""https://docs.google.com/spreadsheets/d/1MjHtlUikwobi2MaWJgy7tfLeBmhj1u-dRFRs_8GwSoA/edit#gid=0"",""Gestores Escolares!D7:J""),6,0),""VERIFICAR CÓD SEC"")"),"DANIEL DAMASCENO NOVAES FILHO")</f>
        <v>DANIEL DAMASCENO NOVAES FILHO</v>
      </c>
      <c r="P373" s="82" t="str">
        <f>IFERROR(__xludf.DUMMYFUNCTION("IFERROR(VLOOKUP(D373,
IMPORTRANGE(""https://docs.google.com/spreadsheets/d/1MjHtlUikwobi2MaWJgy7tfLeBmhj1u-dRFRs_8GwSoA/edit#gid=0"",""Gestores Escolares!D7:J""),7,0),""VERIFICAR CÓD SEC"")"),"(73) 9 8111-0758")</f>
        <v>(73) 9 8111-0758</v>
      </c>
      <c r="Q373" s="82" t="str">
        <f>IFERROR(__xludf.DUMMYFUNCTION("IFERROR(VLOOKUP(D373,
IMPORTRANGE(""https://docs.google.com/spreadsheets/d/1MjHtlUikwobi2MaWJgy7tfLeBmhj1u-dRFRs_8GwSoA/edit#gid=0"",""Gestores Escolares!D7:m""),9,0),""VERIFICAR CÓD SEC"")"),"VILMA MARIA DOS SANTOS FREIRE")</f>
        <v>VILMA MARIA DOS SANTOS FREIRE</v>
      </c>
      <c r="R373" s="82" t="str">
        <f>IFERROR(__xludf.DUMMYFUNCTION("IFERROR(VLOOKUP(D373,
IMPORTRANGE(""https://docs.google.com/spreadsheets/d/1MjHtlUikwobi2MaWJgy7tfLeBmhj1u-dRFRs_8GwSoA/edit#gid=0"",""Gestores Escolares!D7:m""),10,0),""VERIFICAR CÓD SEC"")"),"(73) 9 9181-9391")</f>
        <v>(73) 9 9181-9391</v>
      </c>
      <c r="S373" s="82"/>
      <c r="T373" s="138">
        <v>63.0</v>
      </c>
      <c r="U373" s="404">
        <v>64.0</v>
      </c>
      <c r="V373" s="106">
        <v>0.0</v>
      </c>
      <c r="W373" s="107">
        <v>0.0</v>
      </c>
      <c r="X373" s="107">
        <v>0.0</v>
      </c>
      <c r="Y373" s="107">
        <v>0.0</v>
      </c>
      <c r="Z373" s="80">
        <f t="shared" si="1"/>
        <v>0</v>
      </c>
      <c r="AA373" s="106">
        <v>0.0</v>
      </c>
      <c r="AB373" s="107">
        <v>0.0</v>
      </c>
      <c r="AC373" s="107">
        <v>0.0</v>
      </c>
      <c r="AD373" s="107">
        <v>0.0</v>
      </c>
      <c r="AE373" s="80">
        <f t="shared" si="2"/>
        <v>0</v>
      </c>
      <c r="AF373" s="140">
        <v>0.0</v>
      </c>
      <c r="AG373" s="109">
        <v>0.0</v>
      </c>
      <c r="AH373" s="109">
        <v>0.0</v>
      </c>
      <c r="AI373" s="141">
        <v>357.0</v>
      </c>
      <c r="AJ373" s="80">
        <f t="shared" si="3"/>
        <v>357</v>
      </c>
      <c r="AK373" s="140">
        <v>0.0</v>
      </c>
      <c r="AL373" s="109">
        <v>0.0</v>
      </c>
      <c r="AM373" s="141">
        <v>0.0</v>
      </c>
      <c r="AN373" s="80">
        <f t="shared" si="4"/>
        <v>0</v>
      </c>
      <c r="AO373" s="140">
        <v>0.0</v>
      </c>
      <c r="AP373" s="109">
        <v>0.0</v>
      </c>
      <c r="AQ373" s="109">
        <v>135.0</v>
      </c>
      <c r="AR373" s="80">
        <f t="shared" si="5"/>
        <v>135</v>
      </c>
      <c r="AS373" s="110">
        <v>0.0</v>
      </c>
      <c r="AT373" s="110">
        <v>0.0</v>
      </c>
      <c r="AU373" s="110">
        <v>91.0</v>
      </c>
      <c r="AV373" s="142">
        <v>282.0</v>
      </c>
      <c r="AW373" s="80">
        <f t="shared" si="6"/>
        <v>373</v>
      </c>
      <c r="AX373" s="113">
        <f t="shared" si="7"/>
        <v>865</v>
      </c>
      <c r="AY373" s="117">
        <f t="shared" si="8"/>
        <v>639</v>
      </c>
      <c r="AZ373" s="120">
        <f t="shared" si="9"/>
        <v>226</v>
      </c>
      <c r="BA373" s="115">
        <v>0.0</v>
      </c>
      <c r="BB373" s="89">
        <f t="shared" si="10"/>
        <v>865</v>
      </c>
      <c r="BC373" s="132" t="s">
        <v>178</v>
      </c>
      <c r="BD373" s="132" t="s">
        <v>5473</v>
      </c>
      <c r="BE373" s="132" t="s">
        <v>178</v>
      </c>
      <c r="BF373" s="156"/>
      <c r="BG373" s="83">
        <v>1176081.0</v>
      </c>
      <c r="BH373" s="98"/>
      <c r="BI373" s="98">
        <v>64.0</v>
      </c>
      <c r="BJ373" s="98" t="s">
        <v>176</v>
      </c>
      <c r="BK373" s="99">
        <f t="shared" si="11"/>
        <v>639</v>
      </c>
      <c r="BL373" s="99">
        <f t="shared" si="12"/>
        <v>0</v>
      </c>
      <c r="BM373" s="99" t="str">
        <f>IFERROR(__xludf.DUMMYFUNCTION("IFERROR(VLOOKUP(BG373,IMPORTRANGE(""https://docs.google.com/spreadsheets/d/1juPI-Fb8LD0YtltB2mlGEnp_R3UVu1t3wSFPzgCyHXE/edit?gid=0#gid=0"",""GERAL!A2:C""),3,0),""-"")"),"-")</f>
        <v>-</v>
      </c>
    </row>
    <row r="374" ht="15.75" customHeight="1">
      <c r="A374" s="111" t="s">
        <v>451</v>
      </c>
      <c r="B374" s="83" t="s">
        <v>1529</v>
      </c>
      <c r="C374" s="83" t="s">
        <v>68</v>
      </c>
      <c r="D374" s="112">
        <v>1177091.0</v>
      </c>
      <c r="E374" s="83"/>
      <c r="F374" s="83">
        <v>2.942402E7</v>
      </c>
      <c r="G374" s="289" t="s">
        <v>1536</v>
      </c>
      <c r="H374" s="91" t="s">
        <v>1537</v>
      </c>
      <c r="I374" s="83" t="s">
        <v>149</v>
      </c>
      <c r="J374" s="83" t="s">
        <v>150</v>
      </c>
      <c r="K374" s="83" t="s">
        <v>151</v>
      </c>
      <c r="L374" s="83" t="s">
        <v>152</v>
      </c>
      <c r="M374" s="82" t="str">
        <f>IFERROR(__xludf.DUMMYFUNCTION("IFERROR(VLOOKUP(D374,
IMPORTRANGE(""https://docs.google.com/spreadsheets/d/1MjHtlUikwobi2MaWJgy7tfLeBmhj1u-dRFRs_8GwSoA/edit#gid=0"",""Gestores Escolares!D7:J""),3,0),""VERIFICAR CÓD SEC"")"),"EDNAILZA MIRANDA CARVALHO ABOBOREIRA")</f>
        <v>EDNAILZA MIRANDA CARVALHO ABOBOREIRA</v>
      </c>
      <c r="N374" s="82" t="str">
        <f>IFERROR(__xludf.DUMMYFUNCTION("IFERROR(VLOOKUP(D374,
IMPORTRANGE(""https://docs.google.com/spreadsheets/d/1MjHtlUikwobi2MaWJgy7tfLeBmhj1u-dRFRs_8GwSoA/edit#gid=0"",""Gestores Escolares!D7:J""),4,0),""VERIFICAR CÓD SEC"")"),"(73) 9 9191-0700")</f>
        <v>(73) 9 9191-0700</v>
      </c>
      <c r="O374" s="82" t="str">
        <f>IFERROR(__xludf.DUMMYFUNCTION("IFERROR(VLOOKUP(D374,
IMPORTRANGE(""https://docs.google.com/spreadsheets/d/1MjHtlUikwobi2MaWJgy7tfLeBmhj1u-dRFRs_8GwSoA/edit#gid=0"",""Gestores Escolares!D7:J""),6,0),""VERIFICAR CÓD SEC"")"),"ALINE SOARES DE SOUZA")</f>
        <v>ALINE SOARES DE SOUZA</v>
      </c>
      <c r="P374" s="82" t="str">
        <f>IFERROR(__xludf.DUMMYFUNCTION("IFERROR(VLOOKUP(D374,
IMPORTRANGE(""https://docs.google.com/spreadsheets/d/1MjHtlUikwobi2MaWJgy7tfLeBmhj1u-dRFRs_8GwSoA/edit#gid=0"",""Gestores Escolares!D7:J""),7,0),""VERIFICAR CÓD SEC"")"),"(73) 9 8865-2980")</f>
        <v>(73) 9 8865-2980</v>
      </c>
      <c r="Q374" s="82" t="str">
        <f>IFERROR(__xludf.DUMMYFUNCTION("IFERROR(VLOOKUP(D374,
IMPORTRANGE(""https://docs.google.com/spreadsheets/d/1MjHtlUikwobi2MaWJgy7tfLeBmhj1u-dRFRs_8GwSoA/edit#gid=0"",""Gestores Escolares!D7:m""),9,0),""VERIFICAR CÓD SEC"")"),"CRISTIANO GOMES DOS SANTOS")</f>
        <v>CRISTIANO GOMES DOS SANTOS</v>
      </c>
      <c r="R374" s="82" t="str">
        <f>IFERROR(__xludf.DUMMYFUNCTION("IFERROR(VLOOKUP(D374,
IMPORTRANGE(""https://docs.google.com/spreadsheets/d/1MjHtlUikwobi2MaWJgy7tfLeBmhj1u-dRFRs_8GwSoA/edit#gid=0"",""Gestores Escolares!D7:m""),10,0),""VERIFICAR CÓD SEC"")"),"(73) 9 9151-8656")</f>
        <v>(73) 9 9151-8656</v>
      </c>
      <c r="S374" s="82"/>
      <c r="T374" s="138">
        <v>17.0</v>
      </c>
      <c r="U374" s="403" t="s">
        <v>5480</v>
      </c>
      <c r="V374" s="106">
        <v>0.0</v>
      </c>
      <c r="W374" s="107">
        <v>0.0</v>
      </c>
      <c r="X374" s="107">
        <v>0.0</v>
      </c>
      <c r="Y374" s="107">
        <v>0.0</v>
      </c>
      <c r="Z374" s="80">
        <f t="shared" si="1"/>
        <v>0</v>
      </c>
      <c r="AA374" s="106">
        <v>0.0</v>
      </c>
      <c r="AB374" s="107">
        <v>0.0</v>
      </c>
      <c r="AC374" s="107">
        <v>0.0</v>
      </c>
      <c r="AD374" s="107">
        <v>0.0</v>
      </c>
      <c r="AE374" s="80">
        <f t="shared" si="2"/>
        <v>0</v>
      </c>
      <c r="AF374" s="140">
        <v>272.0</v>
      </c>
      <c r="AG374" s="109">
        <v>124.0</v>
      </c>
      <c r="AH374" s="109">
        <v>0.0</v>
      </c>
      <c r="AI374" s="141">
        <v>145.0</v>
      </c>
      <c r="AJ374" s="80">
        <f t="shared" si="3"/>
        <v>541</v>
      </c>
      <c r="AK374" s="140">
        <v>0.0</v>
      </c>
      <c r="AL374" s="109">
        <v>0.0</v>
      </c>
      <c r="AM374" s="141">
        <v>0.0</v>
      </c>
      <c r="AN374" s="80">
        <f t="shared" si="4"/>
        <v>0</v>
      </c>
      <c r="AO374" s="140">
        <v>0.0</v>
      </c>
      <c r="AP374" s="109">
        <v>0.0</v>
      </c>
      <c r="AQ374" s="109">
        <v>63.0</v>
      </c>
      <c r="AR374" s="80">
        <f t="shared" si="5"/>
        <v>63</v>
      </c>
      <c r="AS374" s="110">
        <v>105.0</v>
      </c>
      <c r="AT374" s="110">
        <v>79.0</v>
      </c>
      <c r="AU374" s="110">
        <v>95.0</v>
      </c>
      <c r="AV374" s="142">
        <v>0.0</v>
      </c>
      <c r="AW374" s="80">
        <f t="shared" si="6"/>
        <v>279</v>
      </c>
      <c r="AX374" s="113">
        <f t="shared" si="7"/>
        <v>883</v>
      </c>
      <c r="AY374" s="117">
        <f t="shared" si="8"/>
        <v>725</v>
      </c>
      <c r="AZ374" s="120">
        <f t="shared" si="9"/>
        <v>158</v>
      </c>
      <c r="BA374" s="115">
        <v>0.0</v>
      </c>
      <c r="BB374" s="89">
        <f t="shared" si="10"/>
        <v>883</v>
      </c>
      <c r="BC374" s="132" t="s">
        <v>178</v>
      </c>
      <c r="BD374" s="132" t="s">
        <v>178</v>
      </c>
      <c r="BE374" s="132" t="s">
        <v>178</v>
      </c>
      <c r="BF374" s="156"/>
      <c r="BG374" s="83">
        <v>1177091.0</v>
      </c>
      <c r="BH374" s="112"/>
      <c r="BI374" s="112">
        <v>14.0</v>
      </c>
      <c r="BJ374" s="98" t="s">
        <v>155</v>
      </c>
      <c r="BK374" s="99">
        <f t="shared" si="11"/>
        <v>145</v>
      </c>
      <c r="BL374" s="99">
        <f t="shared" si="12"/>
        <v>580</v>
      </c>
      <c r="BM374" s="99" t="str">
        <f>IFERROR(__xludf.DUMMYFUNCTION("IFERROR(VLOOKUP(BG374,IMPORTRANGE(""https://docs.google.com/spreadsheets/d/1juPI-Fb8LD0YtltB2mlGEnp_R3UVu1t3wSFPzgCyHXE/edit?gid=0#gid=0"",""GERAL!A2:C""),3,0),""-"")"),"-")</f>
        <v>-</v>
      </c>
    </row>
    <row r="375" ht="15.75" customHeight="1">
      <c r="A375" s="111" t="s">
        <v>451</v>
      </c>
      <c r="B375" s="83" t="s">
        <v>1529</v>
      </c>
      <c r="C375" s="83" t="s">
        <v>68</v>
      </c>
      <c r="D375" s="112">
        <v>1112084.0</v>
      </c>
      <c r="E375" s="82"/>
      <c r="F375" s="83">
        <v>2.9304776E7</v>
      </c>
      <c r="G375" s="108" t="s">
        <v>1540</v>
      </c>
      <c r="H375" s="91" t="s">
        <v>1541</v>
      </c>
      <c r="I375" s="83" t="s">
        <v>1542</v>
      </c>
      <c r="J375" s="83" t="s">
        <v>150</v>
      </c>
      <c r="K375" s="83" t="s">
        <v>151</v>
      </c>
      <c r="L375" s="82" t="s">
        <v>230</v>
      </c>
      <c r="M375" s="82" t="str">
        <f>IFERROR(__xludf.DUMMYFUNCTION("IFERROR(VLOOKUP(D375,
IMPORTRANGE(""https://docs.google.com/spreadsheets/d/1MjHtlUikwobi2MaWJgy7tfLeBmhj1u-dRFRs_8GwSoA/edit#gid=0"",""Gestores Escolares!D7:J""),3,0),""VERIFICAR CÓD SEC"")"),"MAGALI TEIXEIRA MORAES")</f>
        <v>MAGALI TEIXEIRA MORAES</v>
      </c>
      <c r="N375" s="82" t="str">
        <f>IFERROR(__xludf.DUMMYFUNCTION("IFERROR(VLOOKUP(D375,
IMPORTRANGE(""https://docs.google.com/spreadsheets/d/1MjHtlUikwobi2MaWJgy7tfLeBmhj1u-dRFRs_8GwSoA/edit#gid=0"",""Gestores Escolares!D7:J""),4,0),""VERIFICAR CÓD SEC"")"),"(73) 9 8134-8615")</f>
        <v>(73) 9 8134-8615</v>
      </c>
      <c r="O375" s="82" t="str">
        <f>IFERROR(__xludf.DUMMYFUNCTION("IFERROR(VLOOKUP(D375,
IMPORTRANGE(""https://docs.google.com/spreadsheets/d/1MjHtlUikwobi2MaWJgy7tfLeBmhj1u-dRFRs_8GwSoA/edit#gid=0"",""Gestores Escolares!D7:J""),6,0),""VERIFICAR CÓD SEC"")"),"MIRALVO MENDES DA SILVA JUNIOR ")</f>
        <v>MIRALVO MENDES DA SILVA JUNIOR </v>
      </c>
      <c r="P375" s="82" t="str">
        <f>IFERROR(__xludf.DUMMYFUNCTION("IFERROR(VLOOKUP(D375,
IMPORTRANGE(""https://docs.google.com/spreadsheets/d/1MjHtlUikwobi2MaWJgy7tfLeBmhj1u-dRFRs_8GwSoA/edit#gid=0"",""Gestores Escolares!D7:J""),7,0),""VERIFICAR CÓD SEC"")"),"(73) 9 8862-8676")</f>
        <v>(73) 9 8862-8676</v>
      </c>
      <c r="Q375" s="82" t="str">
        <f>IFERROR(__xludf.DUMMYFUNCTION("IFERROR(VLOOKUP(D375,
IMPORTRANGE(""https://docs.google.com/spreadsheets/d/1MjHtlUikwobi2MaWJgy7tfLeBmhj1u-dRFRs_8GwSoA/edit#gid=0"",""Gestores Escolares!D7:m""),9,0),""VERIFICAR CÓD SEC"")"),"ALEX FABIO PEREIRA LIMA")</f>
        <v>ALEX FABIO PEREIRA LIMA</v>
      </c>
      <c r="R375" s="82" t="str">
        <f>IFERROR(__xludf.DUMMYFUNCTION("IFERROR(VLOOKUP(D375,
IMPORTRANGE(""https://docs.google.com/spreadsheets/d/1MjHtlUikwobi2MaWJgy7tfLeBmhj1u-dRFRs_8GwSoA/edit#gid=0"",""Gestores Escolares!D7:m""),10,0),""VERIFICAR CÓD SEC"")"),"(73) 9 8836-5659")</f>
        <v>(73) 9 8836-5659</v>
      </c>
      <c r="S375" s="82"/>
      <c r="T375" s="138">
        <v>12.0</v>
      </c>
      <c r="U375" s="388" t="s">
        <v>5494</v>
      </c>
      <c r="V375" s="106">
        <v>0.0</v>
      </c>
      <c r="W375" s="107">
        <v>0.0</v>
      </c>
      <c r="X375" s="107">
        <v>0.0</v>
      </c>
      <c r="Y375" s="107">
        <v>0.0</v>
      </c>
      <c r="Z375" s="80">
        <f t="shared" si="1"/>
        <v>0</v>
      </c>
      <c r="AA375" s="106">
        <v>0.0</v>
      </c>
      <c r="AB375" s="107">
        <v>0.0</v>
      </c>
      <c r="AC375" s="107">
        <v>0.0</v>
      </c>
      <c r="AD375" s="107">
        <v>0.0</v>
      </c>
      <c r="AE375" s="80">
        <f t="shared" si="2"/>
        <v>0</v>
      </c>
      <c r="AF375" s="140">
        <v>0.0</v>
      </c>
      <c r="AG375" s="109">
        <v>0.0</v>
      </c>
      <c r="AH375" s="109">
        <v>0.0</v>
      </c>
      <c r="AI375" s="141">
        <v>137.0</v>
      </c>
      <c r="AJ375" s="80">
        <f t="shared" si="3"/>
        <v>137</v>
      </c>
      <c r="AK375" s="140">
        <v>0.0</v>
      </c>
      <c r="AL375" s="109">
        <v>0.0</v>
      </c>
      <c r="AM375" s="141">
        <v>0.0</v>
      </c>
      <c r="AN375" s="80">
        <f t="shared" si="4"/>
        <v>0</v>
      </c>
      <c r="AO375" s="140">
        <v>0.0</v>
      </c>
      <c r="AP375" s="109">
        <v>0.0</v>
      </c>
      <c r="AQ375" s="109">
        <v>95.0</v>
      </c>
      <c r="AR375" s="80">
        <f t="shared" si="5"/>
        <v>95</v>
      </c>
      <c r="AS375" s="110">
        <v>72.0</v>
      </c>
      <c r="AT375" s="110">
        <v>0.0</v>
      </c>
      <c r="AU375" s="110">
        <v>39.0</v>
      </c>
      <c r="AV375" s="142">
        <v>0.0</v>
      </c>
      <c r="AW375" s="80">
        <f t="shared" si="6"/>
        <v>111</v>
      </c>
      <c r="AX375" s="113">
        <f t="shared" si="7"/>
        <v>343</v>
      </c>
      <c r="AY375" s="117">
        <f t="shared" si="8"/>
        <v>209</v>
      </c>
      <c r="AZ375" s="120">
        <f t="shared" si="9"/>
        <v>134</v>
      </c>
      <c r="BA375" s="115">
        <v>0.0</v>
      </c>
      <c r="BB375" s="89">
        <f t="shared" si="10"/>
        <v>343</v>
      </c>
      <c r="BC375" s="132" t="s">
        <v>178</v>
      </c>
      <c r="BD375" s="132" t="s">
        <v>178</v>
      </c>
      <c r="BE375" s="132" t="s">
        <v>178</v>
      </c>
      <c r="BF375" s="181"/>
      <c r="BG375" s="83">
        <v>1112084.0</v>
      </c>
      <c r="BH375" s="112"/>
      <c r="BI375" s="112">
        <v>10.0</v>
      </c>
      <c r="BJ375" s="98" t="s">
        <v>155</v>
      </c>
      <c r="BK375" s="99">
        <f t="shared" si="11"/>
        <v>137</v>
      </c>
      <c r="BL375" s="99">
        <f t="shared" si="12"/>
        <v>72</v>
      </c>
      <c r="BM375" s="99" t="str">
        <f>IFERROR(__xludf.DUMMYFUNCTION("IFERROR(VLOOKUP(BG375,IMPORTRANGE(""https://docs.google.com/spreadsheets/d/1juPI-Fb8LD0YtltB2mlGEnp_R3UVu1t3wSFPzgCyHXE/edit?gid=0#gid=0"",""GERAL!A2:C""),3,0),""-"")"),"-")</f>
        <v>-</v>
      </c>
    </row>
    <row r="376" ht="15.75" customHeight="1">
      <c r="A376" s="111" t="s">
        <v>451</v>
      </c>
      <c r="B376" s="83" t="s">
        <v>1529</v>
      </c>
      <c r="C376" s="83" t="s">
        <v>68</v>
      </c>
      <c r="D376" s="112">
        <v>1111940.0</v>
      </c>
      <c r="E376" s="83"/>
      <c r="F376" s="83">
        <v>2.9306264E7</v>
      </c>
      <c r="G376" s="119" t="s">
        <v>1545</v>
      </c>
      <c r="H376" s="91" t="s">
        <v>1546</v>
      </c>
      <c r="I376" s="242" t="s">
        <v>149</v>
      </c>
      <c r="J376" s="83" t="s">
        <v>150</v>
      </c>
      <c r="K376" s="83" t="s">
        <v>151</v>
      </c>
      <c r="L376" s="83" t="s">
        <v>152</v>
      </c>
      <c r="M376" s="82" t="str">
        <f>IFERROR(__xludf.DUMMYFUNCTION("IFERROR(VLOOKUP(D376,
IMPORTRANGE(""https://docs.google.com/spreadsheets/d/1MjHtlUikwobi2MaWJgy7tfLeBmhj1u-dRFRs_8GwSoA/edit#gid=0"",""Gestores Escolares!D7:J""),3,0),""VERIFICAR CÓD SEC"")"),"CORBULON BATISTA DOS SANTOS FILHO")</f>
        <v>CORBULON BATISTA DOS SANTOS FILHO</v>
      </c>
      <c r="N376" s="82" t="str">
        <f>IFERROR(__xludf.DUMMYFUNCTION("IFERROR(VLOOKUP(D376,
IMPORTRANGE(""https://docs.google.com/spreadsheets/d/1MjHtlUikwobi2MaWJgy7tfLeBmhj1u-dRFRs_8GwSoA/edit#gid=0"",""Gestores Escolares!D7:J""),4,0),""VERIFICAR CÓD SEC"")"),"(73) 9 9136-4221")</f>
        <v>(73) 9 9136-4221</v>
      </c>
      <c r="O376" s="82" t="str">
        <f>IFERROR(__xludf.DUMMYFUNCTION("IFERROR(VLOOKUP(D376,
IMPORTRANGE(""https://docs.google.com/spreadsheets/d/1MjHtlUikwobi2MaWJgy7tfLeBmhj1u-dRFRs_8GwSoA/edit#gid=0"",""Gestores Escolares!D7:J""),6,0),""VERIFICAR CÓD SEC"")"),"LUCICLEIA SOUSA SILVA PASSOS")</f>
        <v>LUCICLEIA SOUSA SILVA PASSOS</v>
      </c>
      <c r="P376" s="82" t="str">
        <f>IFERROR(__xludf.DUMMYFUNCTION("IFERROR(VLOOKUP(D376,
IMPORTRANGE(""https://docs.google.com/spreadsheets/d/1MjHtlUikwobi2MaWJgy7tfLeBmhj1u-dRFRs_8GwSoA/edit#gid=0"",""Gestores Escolares!D7:J""),7,0),""VERIFICAR CÓD SEC"")"),"(73) 9 8141-7063")</f>
        <v>(73) 9 8141-7063</v>
      </c>
      <c r="Q376" s="82" t="str">
        <f>IFERROR(__xludf.DUMMYFUNCTION("IFERROR(VLOOKUP(D376,
IMPORTRANGE(""https://docs.google.com/spreadsheets/d/1MjHtlUikwobi2MaWJgy7tfLeBmhj1u-dRFRs_8GwSoA/edit#gid=0"",""Gestores Escolares!D7:m""),9,0),""VERIFICAR CÓD SEC"")"),"")</f>
        <v/>
      </c>
      <c r="R376" s="82" t="str">
        <f>IFERROR(__xludf.DUMMYFUNCTION("IFERROR(VLOOKUP(D376,
IMPORTRANGE(""https://docs.google.com/spreadsheets/d/1MjHtlUikwobi2MaWJgy7tfLeBmhj1u-dRFRs_8GwSoA/edit#gid=0"",""Gestores Escolares!D7:m""),10,0),""VERIFICAR CÓD SEC"")"),"")</f>
        <v/>
      </c>
      <c r="S376" s="82"/>
      <c r="T376" s="138">
        <v>10.0</v>
      </c>
      <c r="U376" s="388" t="s">
        <v>5506</v>
      </c>
      <c r="V376" s="106">
        <v>0.0</v>
      </c>
      <c r="W376" s="107">
        <v>0.0</v>
      </c>
      <c r="X376" s="107">
        <v>0.0</v>
      </c>
      <c r="Y376" s="107">
        <v>0.0</v>
      </c>
      <c r="Z376" s="80">
        <f t="shared" si="1"/>
        <v>0</v>
      </c>
      <c r="AA376" s="106">
        <v>0.0</v>
      </c>
      <c r="AB376" s="107">
        <v>0.0</v>
      </c>
      <c r="AC376" s="107">
        <v>0.0</v>
      </c>
      <c r="AD376" s="107">
        <v>0.0</v>
      </c>
      <c r="AE376" s="80">
        <f t="shared" si="2"/>
        <v>0</v>
      </c>
      <c r="AF376" s="140">
        <v>151.0</v>
      </c>
      <c r="AG376" s="109">
        <v>94.0</v>
      </c>
      <c r="AH376" s="109">
        <v>0.0</v>
      </c>
      <c r="AI376" s="141">
        <v>187.0</v>
      </c>
      <c r="AJ376" s="80">
        <f t="shared" si="3"/>
        <v>432</v>
      </c>
      <c r="AK376" s="140">
        <v>0.0</v>
      </c>
      <c r="AL376" s="109">
        <v>0.0</v>
      </c>
      <c r="AM376" s="141">
        <v>0.0</v>
      </c>
      <c r="AN376" s="80">
        <f t="shared" si="4"/>
        <v>0</v>
      </c>
      <c r="AO376" s="140">
        <v>0.0</v>
      </c>
      <c r="AP376" s="109">
        <v>0.0</v>
      </c>
      <c r="AQ376" s="109">
        <v>55.0</v>
      </c>
      <c r="AR376" s="80">
        <f t="shared" si="5"/>
        <v>55</v>
      </c>
      <c r="AS376" s="110">
        <v>0.0</v>
      </c>
      <c r="AT376" s="110">
        <v>0.0</v>
      </c>
      <c r="AU376" s="110">
        <v>0.0</v>
      </c>
      <c r="AV376" s="142">
        <v>0.0</v>
      </c>
      <c r="AW376" s="80">
        <f t="shared" si="6"/>
        <v>0</v>
      </c>
      <c r="AX376" s="113">
        <f t="shared" si="7"/>
        <v>487</v>
      </c>
      <c r="AY376" s="117">
        <f t="shared" si="8"/>
        <v>432</v>
      </c>
      <c r="AZ376" s="120">
        <f t="shared" si="9"/>
        <v>55</v>
      </c>
      <c r="BA376" s="115">
        <v>0.0</v>
      </c>
      <c r="BB376" s="89">
        <f t="shared" si="10"/>
        <v>487</v>
      </c>
      <c r="BC376" s="132" t="s">
        <v>178</v>
      </c>
      <c r="BD376" s="132" t="s">
        <v>178</v>
      </c>
      <c r="BE376" s="132" t="s">
        <v>178</v>
      </c>
      <c r="BF376" s="123"/>
      <c r="BG376" s="83">
        <v>1111940.0</v>
      </c>
      <c r="BH376" s="112"/>
      <c r="BI376" s="112">
        <v>10.0</v>
      </c>
      <c r="BJ376" s="98" t="s">
        <v>155</v>
      </c>
      <c r="BK376" s="99">
        <f t="shared" si="11"/>
        <v>187</v>
      </c>
      <c r="BL376" s="99">
        <f t="shared" si="12"/>
        <v>245</v>
      </c>
      <c r="BM376" s="99" t="str">
        <f>IFERROR(__xludf.DUMMYFUNCTION("IFERROR(VLOOKUP(BG376,IMPORTRANGE(""https://docs.google.com/spreadsheets/d/1juPI-Fb8LD0YtltB2mlGEnp_R3UVu1t3wSFPzgCyHXE/edit?gid=0#gid=0"",""GERAL!A2:C""),3,0),""-"")"),"-")</f>
        <v>-</v>
      </c>
    </row>
    <row r="377" ht="15.75" customHeight="1">
      <c r="A377" s="111" t="s">
        <v>451</v>
      </c>
      <c r="B377" s="83" t="s">
        <v>1529</v>
      </c>
      <c r="C377" s="83" t="s">
        <v>68</v>
      </c>
      <c r="D377" s="98">
        <v>1111738.0</v>
      </c>
      <c r="E377" s="83"/>
      <c r="F377" s="83">
        <v>2.9306205E7</v>
      </c>
      <c r="G377" s="153" t="s">
        <v>1549</v>
      </c>
      <c r="H377" s="91" t="s">
        <v>1550</v>
      </c>
      <c r="I377" s="136" t="s">
        <v>149</v>
      </c>
      <c r="J377" s="83" t="s">
        <v>150</v>
      </c>
      <c r="K377" s="83" t="s">
        <v>151</v>
      </c>
      <c r="L377" s="83" t="s">
        <v>230</v>
      </c>
      <c r="M377" s="82" t="str">
        <f>IFERROR(__xludf.DUMMYFUNCTION("IFERROR(VLOOKUP(D377,
IMPORTRANGE(""https://docs.google.com/spreadsheets/d/1MjHtlUikwobi2MaWJgy7tfLeBmhj1u-dRFRs_8GwSoA/edit#gid=0"",""Gestores Escolares!D7:J""),3,0),""VERIFICAR CÓD SEC"")"),"ROSIMEIRE DOS SANTOS GUERRA")</f>
        <v>ROSIMEIRE DOS SANTOS GUERRA</v>
      </c>
      <c r="N377" s="82" t="str">
        <f>IFERROR(__xludf.DUMMYFUNCTION("IFERROR(VLOOKUP(D377,
IMPORTRANGE(""https://docs.google.com/spreadsheets/d/1MjHtlUikwobi2MaWJgy7tfLeBmhj1u-dRFRs_8GwSoA/edit#gid=0"",""Gestores Escolares!D7:J""),4,0),""VERIFICAR CÓD SEC"")"),"(73) 9 9166-1365")</f>
        <v>(73) 9 9166-1365</v>
      </c>
      <c r="O377" s="82" t="str">
        <f>IFERROR(__xludf.DUMMYFUNCTION("IFERROR(VLOOKUP(D377,
IMPORTRANGE(""https://docs.google.com/spreadsheets/d/1MjHtlUikwobi2MaWJgy7tfLeBmhj1u-dRFRs_8GwSoA/edit#gid=0"",""Gestores Escolares!D7:J""),6,0),""VERIFICAR CÓD SEC"")"),"MARIA HELENA RIBEIRO DE CARVALHO NOVAES ")</f>
        <v>MARIA HELENA RIBEIRO DE CARVALHO NOVAES </v>
      </c>
      <c r="P377" s="82" t="str">
        <f>IFERROR(__xludf.DUMMYFUNCTION("IFERROR(VLOOKUP(D377,
IMPORTRANGE(""https://docs.google.com/spreadsheets/d/1MjHtlUikwobi2MaWJgy7tfLeBmhj1u-dRFRs_8GwSoA/edit#gid=0"",""Gestores Escolares!D7:J""),7,0),""VERIFICAR CÓD SEC"")"),"(73) 9 9125-7106")</f>
        <v>(73) 9 9125-7106</v>
      </c>
      <c r="Q377" s="82" t="str">
        <f>IFERROR(__xludf.DUMMYFUNCTION("IFERROR(VLOOKUP(D377,
IMPORTRANGE(""https://docs.google.com/spreadsheets/d/1MjHtlUikwobi2MaWJgy7tfLeBmhj1u-dRFRs_8GwSoA/edit#gid=0"",""Gestores Escolares!D7:m""),9,0),""VERIFICAR CÓD SEC"")"),"JUCELIA ALVES OLIVEIRA SANTOS")</f>
        <v>JUCELIA ALVES OLIVEIRA SANTOS</v>
      </c>
      <c r="R377" s="82" t="str">
        <f>IFERROR(__xludf.DUMMYFUNCTION("IFERROR(VLOOKUP(D377,
IMPORTRANGE(""https://docs.google.com/spreadsheets/d/1MjHtlUikwobi2MaWJgy7tfLeBmhj1u-dRFRs_8GwSoA/edit#gid=0"",""Gestores Escolares!D7:m""),10,0),""VERIFICAR CÓD SEC"")"),"(73) 9 9151-9888")</f>
        <v>(73) 9 9151-9888</v>
      </c>
      <c r="S377" s="82"/>
      <c r="T377" s="138">
        <v>24.0</v>
      </c>
      <c r="U377" s="416">
        <v>24.0</v>
      </c>
      <c r="V377" s="106">
        <v>0.0</v>
      </c>
      <c r="W377" s="107">
        <v>0.0</v>
      </c>
      <c r="X377" s="107">
        <v>0.0</v>
      </c>
      <c r="Y377" s="107">
        <v>0.0</v>
      </c>
      <c r="Z377" s="80">
        <f t="shared" si="1"/>
        <v>0</v>
      </c>
      <c r="AA377" s="106">
        <v>0.0</v>
      </c>
      <c r="AB377" s="107">
        <v>0.0</v>
      </c>
      <c r="AC377" s="107">
        <v>0.0</v>
      </c>
      <c r="AD377" s="107">
        <v>0.0</v>
      </c>
      <c r="AE377" s="80">
        <f t="shared" si="2"/>
        <v>0</v>
      </c>
      <c r="AF377" s="140">
        <v>0.0</v>
      </c>
      <c r="AG377" s="109">
        <v>0.0</v>
      </c>
      <c r="AH377" s="109">
        <v>0.0</v>
      </c>
      <c r="AI377" s="141">
        <v>895.0</v>
      </c>
      <c r="AJ377" s="80">
        <f t="shared" si="3"/>
        <v>895</v>
      </c>
      <c r="AK377" s="140">
        <v>0.0</v>
      </c>
      <c r="AL377" s="109">
        <v>0.0</v>
      </c>
      <c r="AM377" s="141">
        <v>0.0</v>
      </c>
      <c r="AN377" s="80">
        <f t="shared" si="4"/>
        <v>0</v>
      </c>
      <c r="AO377" s="140">
        <v>0.0</v>
      </c>
      <c r="AP377" s="109">
        <v>0.0</v>
      </c>
      <c r="AQ377" s="109">
        <v>60.0</v>
      </c>
      <c r="AR377" s="80">
        <f t="shared" si="5"/>
        <v>60</v>
      </c>
      <c r="AS377" s="110">
        <v>0.0</v>
      </c>
      <c r="AT377" s="110">
        <v>0.0</v>
      </c>
      <c r="AU377" s="110">
        <v>0.0</v>
      </c>
      <c r="AV377" s="142">
        <v>0.0</v>
      </c>
      <c r="AW377" s="80">
        <f t="shared" si="6"/>
        <v>0</v>
      </c>
      <c r="AX377" s="113">
        <f t="shared" si="7"/>
        <v>955</v>
      </c>
      <c r="AY377" s="117">
        <f t="shared" si="8"/>
        <v>895</v>
      </c>
      <c r="AZ377" s="120">
        <f t="shared" si="9"/>
        <v>60</v>
      </c>
      <c r="BA377" s="115">
        <v>0.0</v>
      </c>
      <c r="BB377" s="89">
        <f t="shared" si="10"/>
        <v>955</v>
      </c>
      <c r="BC377" s="132" t="s">
        <v>178</v>
      </c>
      <c r="BD377" s="132" t="s">
        <v>178</v>
      </c>
      <c r="BE377" s="132" t="s">
        <v>178</v>
      </c>
      <c r="BF377" s="235" t="s">
        <v>5312</v>
      </c>
      <c r="BG377" s="98">
        <v>1111738.0</v>
      </c>
      <c r="BH377" s="112"/>
      <c r="BI377" s="112">
        <v>24.0</v>
      </c>
      <c r="BJ377" s="98" t="s">
        <v>162</v>
      </c>
      <c r="BK377" s="99">
        <f t="shared" si="11"/>
        <v>895</v>
      </c>
      <c r="BL377" s="99">
        <f t="shared" si="12"/>
        <v>0</v>
      </c>
      <c r="BM377" s="99" t="str">
        <f>IFERROR(__xludf.DUMMYFUNCTION("IFERROR(VLOOKUP(BG377,IMPORTRANGE(""https://docs.google.com/spreadsheets/d/1juPI-Fb8LD0YtltB2mlGEnp_R3UVu1t3wSFPzgCyHXE/edit?gid=0#gid=0"",""GERAL!A2:C""),3,0),""-"")"),"-")</f>
        <v>-</v>
      </c>
    </row>
    <row r="378" ht="15.75" customHeight="1">
      <c r="A378" s="111" t="s">
        <v>451</v>
      </c>
      <c r="B378" s="83" t="s">
        <v>1529</v>
      </c>
      <c r="C378" s="83" t="s">
        <v>68</v>
      </c>
      <c r="D378" s="112">
        <v>1112149.0</v>
      </c>
      <c r="E378" s="83"/>
      <c r="F378" s="83">
        <v>2.9304296E7</v>
      </c>
      <c r="G378" s="119" t="s">
        <v>1553</v>
      </c>
      <c r="H378" s="91" t="s">
        <v>1554</v>
      </c>
      <c r="I378" s="83" t="s">
        <v>149</v>
      </c>
      <c r="J378" s="83" t="s">
        <v>150</v>
      </c>
      <c r="K378" s="83" t="s">
        <v>151</v>
      </c>
      <c r="L378" s="83" t="s">
        <v>230</v>
      </c>
      <c r="M378" s="82" t="str">
        <f>IFERROR(__xludf.DUMMYFUNCTION("IFERROR(VLOOKUP(D378,
IMPORTRANGE(""https://docs.google.com/spreadsheets/d/1MjHtlUikwobi2MaWJgy7tfLeBmhj1u-dRFRs_8GwSoA/edit#gid=0"",""Gestores Escolares!D7:J""),3,0),""VERIFICAR CÓD SEC"")"),"SEMIRAMES CRISTINA DIAS SILVA DE CASTRO")</f>
        <v>SEMIRAMES CRISTINA DIAS SILVA DE CASTRO</v>
      </c>
      <c r="N378" s="82" t="str">
        <f>IFERROR(__xludf.DUMMYFUNCTION("IFERROR(VLOOKUP(D378,
IMPORTRANGE(""https://docs.google.com/spreadsheets/d/1MjHtlUikwobi2MaWJgy7tfLeBmhj1u-dRFRs_8GwSoA/edit#gid=0"",""Gestores Escolares!D7:J""),4,0),""VERIFICAR CÓD SEC"")"),"(73) 9 8869-9887")</f>
        <v>(73) 9 8869-9887</v>
      </c>
      <c r="O378" s="82" t="str">
        <f>IFERROR(__xludf.DUMMYFUNCTION("IFERROR(VLOOKUP(D378,
IMPORTRANGE(""https://docs.google.com/spreadsheets/d/1MjHtlUikwobi2MaWJgy7tfLeBmhj1u-dRFRs_8GwSoA/edit#gid=0"",""Gestores Escolares!D7:J""),6,0),""VERIFICAR CÓD SEC"")"),"ALBERTO JOSE DOS SANTOS JUNIOR")</f>
        <v>ALBERTO JOSE DOS SANTOS JUNIOR</v>
      </c>
      <c r="P378" s="82" t="str">
        <f>IFERROR(__xludf.DUMMYFUNCTION("IFERROR(VLOOKUP(D378,
IMPORTRANGE(""https://docs.google.com/spreadsheets/d/1MjHtlUikwobi2MaWJgy7tfLeBmhj1u-dRFRs_8GwSoA/edit#gid=0"",""Gestores Escolares!D7:J""),7,0),""VERIFICAR CÓD SEC"")"),"(73) 9 8826-7383")</f>
        <v>(73) 9 8826-7383</v>
      </c>
      <c r="Q378" s="82" t="str">
        <f>IFERROR(__xludf.DUMMYFUNCTION("IFERROR(VLOOKUP(D378,
IMPORTRANGE(""https://docs.google.com/spreadsheets/d/1MjHtlUikwobi2MaWJgy7tfLeBmhj1u-dRFRs_8GwSoA/edit#gid=0"",""Gestores Escolares!D7:m""),9,0),""VERIFICAR CÓD SEC"")"),"AURENIZE ROCHA SANTOS PALMEIRA DE LIMA")</f>
        <v>AURENIZE ROCHA SANTOS PALMEIRA DE LIMA</v>
      </c>
      <c r="R378" s="82" t="str">
        <f>IFERROR(__xludf.DUMMYFUNCTION("IFERROR(VLOOKUP(D378,
IMPORTRANGE(""https://docs.google.com/spreadsheets/d/1MjHtlUikwobi2MaWJgy7tfLeBmhj1u-dRFRs_8GwSoA/edit#gid=0"",""Gestores Escolares!D7:m""),10,0),""VERIFICAR CÓD SEC"")"),"(73) 9 8101-1392")</f>
        <v>(73) 9 8101-1392</v>
      </c>
      <c r="S378" s="82"/>
      <c r="T378" s="138">
        <v>25.0</v>
      </c>
      <c r="U378" s="145">
        <v>17.0</v>
      </c>
      <c r="V378" s="106">
        <v>0.0</v>
      </c>
      <c r="W378" s="107">
        <v>0.0</v>
      </c>
      <c r="X378" s="107">
        <v>0.0</v>
      </c>
      <c r="Y378" s="107">
        <v>0.0</v>
      </c>
      <c r="Z378" s="80">
        <f t="shared" si="1"/>
        <v>0</v>
      </c>
      <c r="AA378" s="106">
        <v>0.0</v>
      </c>
      <c r="AB378" s="107">
        <v>0.0</v>
      </c>
      <c r="AC378" s="107">
        <v>0.0</v>
      </c>
      <c r="AD378" s="107">
        <v>0.0</v>
      </c>
      <c r="AE378" s="80">
        <f t="shared" si="2"/>
        <v>0</v>
      </c>
      <c r="AF378" s="140">
        <v>273.0</v>
      </c>
      <c r="AG378" s="109">
        <v>140.0</v>
      </c>
      <c r="AH378" s="109">
        <v>0.0</v>
      </c>
      <c r="AI378" s="141">
        <v>259.0</v>
      </c>
      <c r="AJ378" s="80">
        <f t="shared" si="3"/>
        <v>672</v>
      </c>
      <c r="AK378" s="140">
        <v>0.0</v>
      </c>
      <c r="AL378" s="109">
        <v>0.0</v>
      </c>
      <c r="AM378" s="141">
        <v>0.0</v>
      </c>
      <c r="AN378" s="80">
        <f t="shared" si="4"/>
        <v>0</v>
      </c>
      <c r="AO378" s="140">
        <v>0.0</v>
      </c>
      <c r="AP378" s="109">
        <v>0.0</v>
      </c>
      <c r="AQ378" s="109">
        <v>56.0</v>
      </c>
      <c r="AR378" s="80">
        <f t="shared" si="5"/>
        <v>56</v>
      </c>
      <c r="AS378" s="110">
        <v>0.0</v>
      </c>
      <c r="AT378" s="110">
        <v>0.0</v>
      </c>
      <c r="AU378" s="110">
        <v>0.0</v>
      </c>
      <c r="AV378" s="142">
        <v>0.0</v>
      </c>
      <c r="AW378" s="80">
        <f t="shared" si="6"/>
        <v>0</v>
      </c>
      <c r="AX378" s="113">
        <f t="shared" si="7"/>
        <v>728</v>
      </c>
      <c r="AY378" s="117">
        <f t="shared" si="8"/>
        <v>672</v>
      </c>
      <c r="AZ378" s="120">
        <f t="shared" si="9"/>
        <v>56</v>
      </c>
      <c r="BA378" s="115">
        <v>0.0</v>
      </c>
      <c r="BB378" s="89">
        <f t="shared" si="10"/>
        <v>728</v>
      </c>
      <c r="BC378" s="132" t="s">
        <v>178</v>
      </c>
      <c r="BD378" s="132" t="s">
        <v>178</v>
      </c>
      <c r="BE378" s="132" t="s">
        <v>178</v>
      </c>
      <c r="BF378" s="123"/>
      <c r="BG378" s="83">
        <v>1112149.0</v>
      </c>
      <c r="BH378" s="112"/>
      <c r="BI378" s="112">
        <v>25.0</v>
      </c>
      <c r="BJ378" s="98" t="s">
        <v>155</v>
      </c>
      <c r="BK378" s="99">
        <f t="shared" si="11"/>
        <v>259</v>
      </c>
      <c r="BL378" s="99">
        <f t="shared" si="12"/>
        <v>413</v>
      </c>
      <c r="BM378" s="99" t="str">
        <f>IFERROR(__xludf.DUMMYFUNCTION("IFERROR(VLOOKUP(BG378,IMPORTRANGE(""https://docs.google.com/spreadsheets/d/1juPI-Fb8LD0YtltB2mlGEnp_R3UVu1t3wSFPzgCyHXE/edit?gid=0#gid=0"",""GERAL!A2:C""),3,0),""-"")"),"-")</f>
        <v>-</v>
      </c>
    </row>
    <row r="379" ht="15.75" customHeight="1">
      <c r="A379" s="111" t="s">
        <v>451</v>
      </c>
      <c r="B379" s="83" t="s">
        <v>1529</v>
      </c>
      <c r="C379" s="83" t="s">
        <v>68</v>
      </c>
      <c r="D379" s="112">
        <v>1112009.0</v>
      </c>
      <c r="E379" s="83"/>
      <c r="F379" s="83">
        <v>2.930623E7</v>
      </c>
      <c r="G379" s="119" t="s">
        <v>1557</v>
      </c>
      <c r="H379" s="91" t="s">
        <v>1558</v>
      </c>
      <c r="I379" s="83" t="s">
        <v>149</v>
      </c>
      <c r="J379" s="83" t="s">
        <v>150</v>
      </c>
      <c r="K379" s="83" t="s">
        <v>151</v>
      </c>
      <c r="L379" s="83" t="s">
        <v>76</v>
      </c>
      <c r="M379" s="82" t="str">
        <f>IFERROR(__xludf.DUMMYFUNCTION("IFERROR(VLOOKUP(D379,
IMPORTRANGE(""https://docs.google.com/spreadsheets/d/1MjHtlUikwobi2MaWJgy7tfLeBmhj1u-dRFRs_8GwSoA/edit#gid=0"",""Gestores Escolares!D7:J""),3,0),""VERIFICAR CÓD SEC"")"),"JOSÉ DOS SANTOS JUNIOR")</f>
        <v>JOSÉ DOS SANTOS JUNIOR</v>
      </c>
      <c r="N379" s="82" t="str">
        <f>IFERROR(__xludf.DUMMYFUNCTION("IFERROR(VLOOKUP(D379,
IMPORTRANGE(""https://docs.google.com/spreadsheets/d/1MjHtlUikwobi2MaWJgy7tfLeBmhj1u-dRFRs_8GwSoA/edit#gid=0"",""Gestores Escolares!D7:J""),4,0),""VERIFICAR CÓD SEC"")"),"(73) 9 9119-8616")</f>
        <v>(73) 9 9119-8616</v>
      </c>
      <c r="O379" s="82" t="str">
        <f>IFERROR(__xludf.DUMMYFUNCTION("IFERROR(VLOOKUP(D379,
IMPORTRANGE(""https://docs.google.com/spreadsheets/d/1MjHtlUikwobi2MaWJgy7tfLeBmhj1u-dRFRs_8GwSoA/edit#gid=0"",""Gestores Escolares!D7:J""),6,0),""VERIFICAR CÓD SEC"")"),"MAYRA APARECIDA FERNANDES DE CARVALHO")</f>
        <v>MAYRA APARECIDA FERNANDES DE CARVALHO</v>
      </c>
      <c r="P379" s="82" t="str">
        <f>IFERROR(__xludf.DUMMYFUNCTION("IFERROR(VLOOKUP(D379,
IMPORTRANGE(""https://docs.google.com/spreadsheets/d/1MjHtlUikwobi2MaWJgy7tfLeBmhj1u-dRFRs_8GwSoA/edit#gid=0"",""Gestores Escolares!D7:J""),7,0),""VERIFICAR CÓD SEC"")"),"(73) 9 8827-7278")</f>
        <v>(73) 9 8827-7278</v>
      </c>
      <c r="Q379" s="82" t="str">
        <f>IFERROR(__xludf.DUMMYFUNCTION("IFERROR(VLOOKUP(D379,
IMPORTRANGE(""https://docs.google.com/spreadsheets/d/1MjHtlUikwobi2MaWJgy7tfLeBmhj1u-dRFRs_8GwSoA/edit#gid=0"",""Gestores Escolares!D7:m""),9,0),""VERIFICAR CÓD SEC"")"),"")</f>
        <v/>
      </c>
      <c r="R379" s="82" t="str">
        <f>IFERROR(__xludf.DUMMYFUNCTION("IFERROR(VLOOKUP(D379,
IMPORTRANGE(""https://docs.google.com/spreadsheets/d/1MjHtlUikwobi2MaWJgy7tfLeBmhj1u-dRFRs_8GwSoA/edit#gid=0"",""Gestores Escolares!D7:m""),10,0),""VERIFICAR CÓD SEC"")"),"")</f>
        <v/>
      </c>
      <c r="S379" s="82"/>
      <c r="T379" s="138">
        <v>8.0</v>
      </c>
      <c r="U379" s="145" t="s">
        <v>5535</v>
      </c>
      <c r="V379" s="106">
        <v>0.0</v>
      </c>
      <c r="W379" s="107">
        <v>0.0</v>
      </c>
      <c r="X379" s="107">
        <v>0.0</v>
      </c>
      <c r="Y379" s="107">
        <v>0.0</v>
      </c>
      <c r="Z379" s="80">
        <f t="shared" si="1"/>
        <v>0</v>
      </c>
      <c r="AA379" s="106">
        <v>0.0</v>
      </c>
      <c r="AB379" s="107">
        <v>0.0</v>
      </c>
      <c r="AC379" s="107">
        <v>0.0</v>
      </c>
      <c r="AD379" s="107">
        <v>0.0</v>
      </c>
      <c r="AE379" s="80">
        <f t="shared" si="2"/>
        <v>0</v>
      </c>
      <c r="AF379" s="140">
        <v>66.0</v>
      </c>
      <c r="AG379" s="109">
        <v>21.0</v>
      </c>
      <c r="AH379" s="109">
        <v>0.0</v>
      </c>
      <c r="AI379" s="141">
        <v>31.0</v>
      </c>
      <c r="AJ379" s="80">
        <f t="shared" si="3"/>
        <v>118</v>
      </c>
      <c r="AK379" s="140">
        <v>0.0</v>
      </c>
      <c r="AL379" s="109">
        <v>0.0</v>
      </c>
      <c r="AM379" s="141">
        <v>0.0</v>
      </c>
      <c r="AN379" s="80">
        <f t="shared" si="4"/>
        <v>0</v>
      </c>
      <c r="AO379" s="140">
        <v>0.0</v>
      </c>
      <c r="AP379" s="109">
        <v>0.0</v>
      </c>
      <c r="AQ379" s="109">
        <v>46.0</v>
      </c>
      <c r="AR379" s="80">
        <f t="shared" si="5"/>
        <v>46</v>
      </c>
      <c r="AS379" s="110">
        <v>0.0</v>
      </c>
      <c r="AT379" s="110">
        <v>0.0</v>
      </c>
      <c r="AU379" s="110">
        <v>28.0</v>
      </c>
      <c r="AV379" s="142">
        <v>14.0</v>
      </c>
      <c r="AW379" s="80">
        <f t="shared" si="6"/>
        <v>42</v>
      </c>
      <c r="AX379" s="113">
        <f t="shared" si="7"/>
        <v>206</v>
      </c>
      <c r="AY379" s="117">
        <f t="shared" si="8"/>
        <v>132</v>
      </c>
      <c r="AZ379" s="120">
        <f t="shared" si="9"/>
        <v>74</v>
      </c>
      <c r="BA379" s="115">
        <v>0.0</v>
      </c>
      <c r="BB379" s="89">
        <f t="shared" si="10"/>
        <v>206</v>
      </c>
      <c r="BC379" s="132" t="s">
        <v>178</v>
      </c>
      <c r="BD379" s="132" t="s">
        <v>178</v>
      </c>
      <c r="BE379" s="132" t="s">
        <v>178</v>
      </c>
      <c r="BF379" s="123"/>
      <c r="BG379" s="83">
        <v>1112009.0</v>
      </c>
      <c r="BH379" s="112"/>
      <c r="BI379" s="112">
        <v>8.0</v>
      </c>
      <c r="BJ379" s="98" t="s">
        <v>155</v>
      </c>
      <c r="BK379" s="99">
        <f t="shared" si="11"/>
        <v>45</v>
      </c>
      <c r="BL379" s="99">
        <f t="shared" si="12"/>
        <v>87</v>
      </c>
      <c r="BM379" s="99" t="str">
        <f>IFERROR(__xludf.DUMMYFUNCTION("IFERROR(VLOOKUP(BG379,IMPORTRANGE(""https://docs.google.com/spreadsheets/d/1juPI-Fb8LD0YtltB2mlGEnp_R3UVu1t3wSFPzgCyHXE/edit?gid=0#gid=0"",""GERAL!A2:C""),3,0),""-"")"),"-")</f>
        <v>-</v>
      </c>
    </row>
    <row r="380" ht="15.75" customHeight="1">
      <c r="A380" s="111" t="s">
        <v>451</v>
      </c>
      <c r="B380" s="83" t="s">
        <v>1529</v>
      </c>
      <c r="C380" s="83" t="s">
        <v>68</v>
      </c>
      <c r="D380" s="112">
        <v>1112211.0</v>
      </c>
      <c r="E380" s="83"/>
      <c r="F380" s="83">
        <v>2.9304237E7</v>
      </c>
      <c r="G380" s="289" t="s">
        <v>1561</v>
      </c>
      <c r="H380" s="91" t="s">
        <v>1562</v>
      </c>
      <c r="I380" s="83" t="s">
        <v>1563</v>
      </c>
      <c r="J380" s="83" t="s">
        <v>150</v>
      </c>
      <c r="K380" s="83" t="s">
        <v>151</v>
      </c>
      <c r="L380" s="83" t="s">
        <v>152</v>
      </c>
      <c r="M380" s="82" t="str">
        <f>IFERROR(__xludf.DUMMYFUNCTION("IFERROR(VLOOKUP(D380,
IMPORTRANGE(""https://docs.google.com/spreadsheets/d/1MjHtlUikwobi2MaWJgy7tfLeBmhj1u-dRFRs_8GwSoA/edit#gid=0"",""Gestores Escolares!D7:J""),3,0),""VERIFICAR CÓD SEC"")")," DIREÇÃO DA ESCOLA: VERONICA ISABEL LODUVICO NASCIMENTO - (73) 9 9963-1329
DIREÇÃO DA UNIDADE PM:  Tenente Coronel QOPM JOSE LUIS VENTURA MESQUITA JUNIOR -  (71) 9 9989-0398 
DIREÇÃO DO ADJUNTO: Capitão QOPM WECSLEY DE MELO BRITO (Aguardando contato)")</f>
        <v> DIREÇÃO DA ESCOLA: VERONICA ISABEL LODUVICO NASCIMENTO - (73) 9 9963-1329
DIREÇÃO DA UNIDADE PM:  Tenente Coronel QOPM JOSE LUIS VENTURA MESQUITA JUNIOR -  (71) 9 9989-0398 
DIREÇÃO DO ADJUNTO: Capitão QOPM WECSLEY DE MELO BRITO (Aguardando contato)</v>
      </c>
      <c r="N380" s="82" t="str">
        <f>IFERROR(__xludf.DUMMYFUNCTION("IFERROR(VLOOKUP(D380,
IMPORTRANGE(""https://docs.google.com/spreadsheets/d/1MjHtlUikwobi2MaWJgy7tfLeBmhj1u-dRFRs_8GwSoA/edit#gid=0"",""Gestores Escolares!D7:J""),4,0),""VERIFICAR CÓD SEC"")"),"-")</f>
        <v>-</v>
      </c>
      <c r="O380" s="82" t="str">
        <f>IFERROR(__xludf.DUMMYFUNCTION("IFERROR(VLOOKUP(D380,
IMPORTRANGE(""https://docs.google.com/spreadsheets/d/1MjHtlUikwobi2MaWJgy7tfLeBmhj1u-dRFRs_8GwSoA/edit#gid=0"",""Gestores Escolares!D7:J""),6,0),""VERIFICAR CÓD SEC"")"),"GILMARA BORGES SANTANA")</f>
        <v>GILMARA BORGES SANTANA</v>
      </c>
      <c r="P380" s="82" t="str">
        <f>IFERROR(__xludf.DUMMYFUNCTION("IFERROR(VLOOKUP(D380,
IMPORTRANGE(""https://docs.google.com/spreadsheets/d/1MjHtlUikwobi2MaWJgy7tfLeBmhj1u-dRFRs_8GwSoA/edit#gid=0"",""Gestores Escolares!D7:J""),7,0),""VERIFICAR CÓD SEC"")"),"(73) 9 8228-2985")</f>
        <v>(73) 9 8228-2985</v>
      </c>
      <c r="Q380" s="82" t="str">
        <f>IFERROR(__xludf.DUMMYFUNCTION("IFERROR(VLOOKUP(D380,
IMPORTRANGE(""https://docs.google.com/spreadsheets/d/1MjHtlUikwobi2MaWJgy7tfLeBmhj1u-dRFRs_8GwSoA/edit#gid=0"",""Gestores Escolares!D7:m""),9,0),""VERIFICAR CÓD SEC"")"),"")</f>
        <v/>
      </c>
      <c r="R380" s="82" t="str">
        <f>IFERROR(__xludf.DUMMYFUNCTION("IFERROR(VLOOKUP(D380,
IMPORTRANGE(""https://docs.google.com/spreadsheets/d/1MjHtlUikwobi2MaWJgy7tfLeBmhj1u-dRFRs_8GwSoA/edit#gid=0"",""Gestores Escolares!D7:m""),10,0),""VERIFICAR CÓD SEC"")"),"")</f>
        <v/>
      </c>
      <c r="S380" s="82"/>
      <c r="T380" s="138">
        <v>18.0</v>
      </c>
      <c r="U380" s="145">
        <v>17.0</v>
      </c>
      <c r="V380" s="106">
        <v>0.0</v>
      </c>
      <c r="W380" s="107">
        <v>0.0</v>
      </c>
      <c r="X380" s="107">
        <v>0.0</v>
      </c>
      <c r="Y380" s="107">
        <v>0.0</v>
      </c>
      <c r="Z380" s="80">
        <f t="shared" si="1"/>
        <v>0</v>
      </c>
      <c r="AA380" s="106">
        <v>60.0</v>
      </c>
      <c r="AB380" s="107">
        <v>448.0</v>
      </c>
      <c r="AC380" s="107">
        <v>0.0</v>
      </c>
      <c r="AD380" s="107">
        <v>0.0</v>
      </c>
      <c r="AE380" s="80">
        <f t="shared" si="2"/>
        <v>508</v>
      </c>
      <c r="AF380" s="140">
        <v>323.0</v>
      </c>
      <c r="AG380" s="109">
        <v>0.0</v>
      </c>
      <c r="AH380" s="109">
        <v>0.0</v>
      </c>
      <c r="AI380" s="141">
        <v>0.0</v>
      </c>
      <c r="AJ380" s="80">
        <f t="shared" si="3"/>
        <v>323</v>
      </c>
      <c r="AK380" s="140">
        <v>0.0</v>
      </c>
      <c r="AL380" s="109">
        <v>0.0</v>
      </c>
      <c r="AM380" s="141">
        <v>0.0</v>
      </c>
      <c r="AN380" s="80">
        <f t="shared" si="4"/>
        <v>0</v>
      </c>
      <c r="AO380" s="140">
        <v>0.0</v>
      </c>
      <c r="AP380" s="109">
        <v>0.0</v>
      </c>
      <c r="AQ380" s="109">
        <v>0.0</v>
      </c>
      <c r="AR380" s="80">
        <f t="shared" si="5"/>
        <v>0</v>
      </c>
      <c r="AS380" s="110">
        <v>0.0</v>
      </c>
      <c r="AT380" s="110">
        <v>0.0</v>
      </c>
      <c r="AU380" s="110">
        <v>0.0</v>
      </c>
      <c r="AV380" s="142">
        <v>0.0</v>
      </c>
      <c r="AW380" s="80">
        <f t="shared" si="6"/>
        <v>0</v>
      </c>
      <c r="AX380" s="113">
        <f t="shared" si="7"/>
        <v>831</v>
      </c>
      <c r="AY380" s="117">
        <f t="shared" si="8"/>
        <v>831</v>
      </c>
      <c r="AZ380" s="120">
        <f t="shared" si="9"/>
        <v>0</v>
      </c>
      <c r="BA380" s="115">
        <v>0.0</v>
      </c>
      <c r="BB380" s="89">
        <f t="shared" si="10"/>
        <v>831</v>
      </c>
      <c r="BC380" s="143" t="s">
        <v>1014</v>
      </c>
      <c r="BD380" s="132" t="s">
        <v>178</v>
      </c>
      <c r="BE380" s="132" t="s">
        <v>178</v>
      </c>
      <c r="BF380" s="123"/>
      <c r="BG380" s="83">
        <v>1112211.0</v>
      </c>
      <c r="BH380" s="112"/>
      <c r="BI380" s="112">
        <v>18.0</v>
      </c>
      <c r="BJ380" s="98" t="s">
        <v>155</v>
      </c>
      <c r="BK380" s="99">
        <f t="shared" si="11"/>
        <v>0</v>
      </c>
      <c r="BL380" s="99">
        <f t="shared" si="12"/>
        <v>831</v>
      </c>
      <c r="BM380" s="99" t="str">
        <f>IFERROR(__xludf.DUMMYFUNCTION("IFERROR(VLOOKUP(BG380,IMPORTRANGE(""https://docs.google.com/spreadsheets/d/1juPI-Fb8LD0YtltB2mlGEnp_R3UVu1t3wSFPzgCyHXE/edit?gid=0#gid=0"",""GERAL!A2:C""),3,0),""-"")"),"-")</f>
        <v>-</v>
      </c>
    </row>
    <row r="381" ht="15.75" customHeight="1">
      <c r="A381" s="111" t="s">
        <v>451</v>
      </c>
      <c r="B381" s="83" t="s">
        <v>1529</v>
      </c>
      <c r="C381" s="83" t="s">
        <v>68</v>
      </c>
      <c r="D381" s="112">
        <v>1112092.0</v>
      </c>
      <c r="E381" s="83"/>
      <c r="F381" s="83">
        <v>2.9304377E7</v>
      </c>
      <c r="G381" s="114" t="s">
        <v>1566</v>
      </c>
      <c r="H381" s="91" t="s">
        <v>1567</v>
      </c>
      <c r="I381" s="83" t="s">
        <v>149</v>
      </c>
      <c r="J381" s="83" t="s">
        <v>150</v>
      </c>
      <c r="K381" s="83" t="s">
        <v>151</v>
      </c>
      <c r="L381" s="83" t="s">
        <v>230</v>
      </c>
      <c r="M381" s="82" t="str">
        <f>IFERROR(__xludf.DUMMYFUNCTION("IFERROR(VLOOKUP(D381,
IMPORTRANGE(""https://docs.google.com/spreadsheets/d/1MjHtlUikwobi2MaWJgy7tfLeBmhj1u-dRFRs_8GwSoA/edit#gid=0"",""Gestores Escolares!D7:J""),3,0),""VERIFICAR CÓD SEC"")"),"ALEXANDRE DAVID MOREIRA ASSIS")</f>
        <v>ALEXANDRE DAVID MOREIRA ASSIS</v>
      </c>
      <c r="N381" s="82" t="str">
        <f>IFERROR(__xludf.DUMMYFUNCTION("IFERROR(VLOOKUP(D381,
IMPORTRANGE(""https://docs.google.com/spreadsheets/d/1MjHtlUikwobi2MaWJgy7tfLeBmhj1u-dRFRs_8GwSoA/edit#gid=0"",""Gestores Escolares!D7:J""),4,0),""VERIFICAR CÓD SEC"")"),"(73) 9 8881-9311")</f>
        <v>(73) 9 8881-9311</v>
      </c>
      <c r="O381" s="82" t="str">
        <f>IFERROR(__xludf.DUMMYFUNCTION("IFERROR(VLOOKUP(D381,
IMPORTRANGE(""https://docs.google.com/spreadsheets/d/1MjHtlUikwobi2MaWJgy7tfLeBmhj1u-dRFRs_8GwSoA/edit#gid=0"",""Gestores Escolares!D7:J""),6,0),""VERIFICAR CÓD SEC"")"),"ARTUR DE OLIVEIRA NETO ")</f>
        <v>ARTUR DE OLIVEIRA NETO </v>
      </c>
      <c r="P381" s="82" t="str">
        <f>IFERROR(__xludf.DUMMYFUNCTION("IFERROR(VLOOKUP(D381,
IMPORTRANGE(""https://docs.google.com/spreadsheets/d/1MjHtlUikwobi2MaWJgy7tfLeBmhj1u-dRFRs_8GwSoA/edit#gid=0"",""Gestores Escolares!D7:J""),7,0),""VERIFICAR CÓD SEC"")"),"(73) 9 8115-0990")</f>
        <v>(73) 9 8115-0990</v>
      </c>
      <c r="Q381" s="82" t="str">
        <f>IFERROR(__xludf.DUMMYFUNCTION("IFERROR(VLOOKUP(D381,
IMPORTRANGE(""https://docs.google.com/spreadsheets/d/1MjHtlUikwobi2MaWJgy7tfLeBmhj1u-dRFRs_8GwSoA/edit#gid=0"",""Gestores Escolares!D7:m""),9,0),""VERIFICAR CÓD SEC"")"),"MILENA SANTOS DORIA")</f>
        <v>MILENA SANTOS DORIA</v>
      </c>
      <c r="R381" s="82" t="str">
        <f>IFERROR(__xludf.DUMMYFUNCTION("IFERROR(VLOOKUP(D381,
IMPORTRANGE(""https://docs.google.com/spreadsheets/d/1MjHtlUikwobi2MaWJgy7tfLeBmhj1u-dRFRs_8GwSoA/edit#gid=0"",""Gestores Escolares!D7:m""),10,0),""VERIFICAR CÓD SEC"")"),"(73) 9 9122-6054")</f>
        <v>(73) 9 9122-6054</v>
      </c>
      <c r="S381" s="82"/>
      <c r="T381" s="138">
        <v>23.0</v>
      </c>
      <c r="U381" s="139">
        <v>15.0</v>
      </c>
      <c r="V381" s="106">
        <v>0.0</v>
      </c>
      <c r="W381" s="107">
        <v>0.0</v>
      </c>
      <c r="X381" s="107">
        <v>0.0</v>
      </c>
      <c r="Y381" s="107">
        <v>0.0</v>
      </c>
      <c r="Z381" s="80">
        <f t="shared" si="1"/>
        <v>0</v>
      </c>
      <c r="AA381" s="106">
        <v>0.0</v>
      </c>
      <c r="AB381" s="107">
        <v>0.0</v>
      </c>
      <c r="AC381" s="107">
        <v>0.0</v>
      </c>
      <c r="AD381" s="107">
        <v>0.0</v>
      </c>
      <c r="AE381" s="80">
        <f t="shared" si="2"/>
        <v>0</v>
      </c>
      <c r="AF381" s="140">
        <v>0.0</v>
      </c>
      <c r="AG381" s="109">
        <v>0.0</v>
      </c>
      <c r="AH381" s="109">
        <v>0.0</v>
      </c>
      <c r="AI381" s="141">
        <v>0.0</v>
      </c>
      <c r="AJ381" s="80">
        <f t="shared" si="3"/>
        <v>0</v>
      </c>
      <c r="AK381" s="140">
        <v>0.0</v>
      </c>
      <c r="AL381" s="109">
        <v>0.0</v>
      </c>
      <c r="AM381" s="141">
        <v>0.0</v>
      </c>
      <c r="AN381" s="80">
        <f t="shared" si="4"/>
        <v>0</v>
      </c>
      <c r="AO381" s="140">
        <v>0.0</v>
      </c>
      <c r="AP381" s="109">
        <v>0.0</v>
      </c>
      <c r="AQ381" s="109">
        <v>0.0</v>
      </c>
      <c r="AR381" s="80">
        <f t="shared" si="5"/>
        <v>0</v>
      </c>
      <c r="AS381" s="110">
        <v>456.0</v>
      </c>
      <c r="AT381" s="110">
        <v>50.0</v>
      </c>
      <c r="AU381" s="110">
        <v>248.0</v>
      </c>
      <c r="AV381" s="142">
        <v>0.0</v>
      </c>
      <c r="AW381" s="80">
        <f t="shared" si="6"/>
        <v>754</v>
      </c>
      <c r="AX381" s="113">
        <f t="shared" si="7"/>
        <v>754</v>
      </c>
      <c r="AY381" s="117">
        <f t="shared" si="8"/>
        <v>506</v>
      </c>
      <c r="AZ381" s="120">
        <f t="shared" si="9"/>
        <v>248</v>
      </c>
      <c r="BA381" s="115">
        <v>0.0</v>
      </c>
      <c r="BB381" s="89">
        <f t="shared" si="10"/>
        <v>754</v>
      </c>
      <c r="BC381" s="132" t="s">
        <v>178</v>
      </c>
      <c r="BD381" s="132" t="s">
        <v>779</v>
      </c>
      <c r="BE381" s="132" t="s">
        <v>178</v>
      </c>
      <c r="BF381" s="181"/>
      <c r="BG381" s="83">
        <v>1112092.0</v>
      </c>
      <c r="BH381" s="112"/>
      <c r="BI381" s="112">
        <v>15.0</v>
      </c>
      <c r="BJ381" s="98" t="s">
        <v>155</v>
      </c>
      <c r="BK381" s="99">
        <f t="shared" si="11"/>
        <v>0</v>
      </c>
      <c r="BL381" s="99">
        <f t="shared" si="12"/>
        <v>506</v>
      </c>
      <c r="BM381" s="99" t="str">
        <f>IFERROR(__xludf.DUMMYFUNCTION("IFERROR(VLOOKUP(BG381,IMPORTRANGE(""https://docs.google.com/spreadsheets/d/1juPI-Fb8LD0YtltB2mlGEnp_R3UVu1t3wSFPzgCyHXE/edit?gid=0#gid=0"",""GERAL!A2:C""),3,0),""-"")"),"-")</f>
        <v>-</v>
      </c>
    </row>
    <row r="382" ht="15.75" customHeight="1">
      <c r="A382" s="111" t="s">
        <v>451</v>
      </c>
      <c r="B382" s="83" t="s">
        <v>1529</v>
      </c>
      <c r="C382" s="83" t="s">
        <v>68</v>
      </c>
      <c r="D382" s="112">
        <v>1146698.0</v>
      </c>
      <c r="E382" s="83"/>
      <c r="F382" s="83">
        <v>2.9305373E7</v>
      </c>
      <c r="G382" s="119" t="s">
        <v>1570</v>
      </c>
      <c r="H382" s="91" t="s">
        <v>1571</v>
      </c>
      <c r="I382" s="83" t="s">
        <v>1572</v>
      </c>
      <c r="J382" s="83" t="s">
        <v>150</v>
      </c>
      <c r="K382" s="83" t="s">
        <v>151</v>
      </c>
      <c r="L382" s="83" t="s">
        <v>230</v>
      </c>
      <c r="M382" s="82" t="str">
        <f>IFERROR(__xludf.DUMMYFUNCTION("IFERROR(VLOOKUP(D382,
IMPORTRANGE(""https://docs.google.com/spreadsheets/d/1MjHtlUikwobi2MaWJgy7tfLeBmhj1u-dRFRs_8GwSoA/edit#gid=0"",""Gestores Escolares!D7:J""),3,0),""VERIFICAR CÓD SEC"")"),"DENISE MENEZES ALMEIDA")</f>
        <v>DENISE MENEZES ALMEIDA</v>
      </c>
      <c r="N382" s="82" t="str">
        <f>IFERROR(__xludf.DUMMYFUNCTION("IFERROR(VLOOKUP(D382,
IMPORTRANGE(""https://docs.google.com/spreadsheets/d/1MjHtlUikwobi2MaWJgy7tfLeBmhj1u-dRFRs_8GwSoA/edit#gid=0"",""Gestores Escolares!D7:J""),4,0),""VERIFICAR CÓD SEC"")"),"(73) 9 8853-9834")</f>
        <v>(73) 9 8853-9834</v>
      </c>
      <c r="O382" s="82" t="str">
        <f>IFERROR(__xludf.DUMMYFUNCTION("IFERROR(VLOOKUP(D382,
IMPORTRANGE(""https://docs.google.com/spreadsheets/d/1MjHtlUikwobi2MaWJgy7tfLeBmhj1u-dRFRs_8GwSoA/edit#gid=0"",""Gestores Escolares!D7:J""),6,0),""VERIFICAR CÓD SEC"")"),"BRUNA RODRIGUES SANTOS LEAL")</f>
        <v>BRUNA RODRIGUES SANTOS LEAL</v>
      </c>
      <c r="P382" s="82" t="str">
        <f>IFERROR(__xludf.DUMMYFUNCTION("IFERROR(VLOOKUP(D382,
IMPORTRANGE(""https://docs.google.com/spreadsheets/d/1MjHtlUikwobi2MaWJgy7tfLeBmhj1u-dRFRs_8GwSoA/edit#gid=0"",""Gestores Escolares!D7:J""),7,0),""VERIFICAR CÓD SEC"")"),"(73) 9 8857-8969")</f>
        <v>(73) 9 8857-8969</v>
      </c>
      <c r="Q382" s="82" t="str">
        <f>IFERROR(__xludf.DUMMYFUNCTION("IFERROR(VLOOKUP(D382,
IMPORTRANGE(""https://docs.google.com/spreadsheets/d/1MjHtlUikwobi2MaWJgy7tfLeBmhj1u-dRFRs_8GwSoA/edit#gid=0"",""Gestores Escolares!D7:m""),9,0),""VERIFICAR CÓD SEC"")"),"LARISSE  SILVA ANDRADE")</f>
        <v>LARISSE  SILVA ANDRADE</v>
      </c>
      <c r="R382" s="82" t="str">
        <f>IFERROR(__xludf.DUMMYFUNCTION("IFERROR(VLOOKUP(D382,
IMPORTRANGE(""https://docs.google.com/spreadsheets/d/1MjHtlUikwobi2MaWJgy7tfLeBmhj1u-dRFRs_8GwSoA/edit#gid=0"",""Gestores Escolares!D7:m""),10,0),""VERIFICAR CÓD SEC"")"),"(73) 9 9815-6170")</f>
        <v>(73) 9 9815-6170</v>
      </c>
      <c r="S382" s="82"/>
      <c r="T382" s="138">
        <v>20.0</v>
      </c>
      <c r="U382" s="145">
        <v>11.0</v>
      </c>
      <c r="V382" s="106">
        <v>0.0</v>
      </c>
      <c r="W382" s="107">
        <v>0.0</v>
      </c>
      <c r="X382" s="107">
        <v>0.0</v>
      </c>
      <c r="Y382" s="107">
        <v>0.0</v>
      </c>
      <c r="Z382" s="80">
        <f t="shared" si="1"/>
        <v>0</v>
      </c>
      <c r="AA382" s="106">
        <v>0.0</v>
      </c>
      <c r="AB382" s="107">
        <v>0.0</v>
      </c>
      <c r="AC382" s="107">
        <v>0.0</v>
      </c>
      <c r="AD382" s="107">
        <v>0.0</v>
      </c>
      <c r="AE382" s="80">
        <f t="shared" si="2"/>
        <v>0</v>
      </c>
      <c r="AF382" s="140">
        <v>0.0</v>
      </c>
      <c r="AG382" s="109">
        <v>0.0</v>
      </c>
      <c r="AH382" s="109">
        <v>0.0</v>
      </c>
      <c r="AI382" s="141">
        <v>0.0</v>
      </c>
      <c r="AJ382" s="80">
        <f t="shared" si="3"/>
        <v>0</v>
      </c>
      <c r="AK382" s="140">
        <v>0.0</v>
      </c>
      <c r="AL382" s="109">
        <v>0.0</v>
      </c>
      <c r="AM382" s="141">
        <v>0.0</v>
      </c>
      <c r="AN382" s="80">
        <f t="shared" si="4"/>
        <v>0</v>
      </c>
      <c r="AO382" s="140">
        <v>0.0</v>
      </c>
      <c r="AP382" s="109">
        <v>0.0</v>
      </c>
      <c r="AQ382" s="109">
        <v>0.0</v>
      </c>
      <c r="AR382" s="80">
        <f t="shared" si="5"/>
        <v>0</v>
      </c>
      <c r="AS382" s="110">
        <v>0.0</v>
      </c>
      <c r="AT382" s="110">
        <v>0.0</v>
      </c>
      <c r="AU382" s="110">
        <v>0.0</v>
      </c>
      <c r="AV382" s="142">
        <v>0.0</v>
      </c>
      <c r="AW382" s="80">
        <f t="shared" si="6"/>
        <v>0</v>
      </c>
      <c r="AX382" s="113">
        <f t="shared" si="7"/>
        <v>0</v>
      </c>
      <c r="AY382" s="117">
        <f t="shared" si="8"/>
        <v>0</v>
      </c>
      <c r="AZ382" s="120">
        <f t="shared" si="9"/>
        <v>0</v>
      </c>
      <c r="BA382" s="168">
        <v>0.0</v>
      </c>
      <c r="BB382" s="89">
        <f t="shared" si="10"/>
        <v>0</v>
      </c>
      <c r="BC382" s="132" t="s">
        <v>553</v>
      </c>
      <c r="BD382" s="132" t="s">
        <v>554</v>
      </c>
      <c r="BE382" s="132" t="s">
        <v>178</v>
      </c>
      <c r="BF382" s="156"/>
      <c r="BG382" s="83">
        <v>1146698.0</v>
      </c>
      <c r="BH382" s="112"/>
      <c r="BI382" s="112">
        <v>15.0</v>
      </c>
      <c r="BJ382" s="98" t="s">
        <v>155</v>
      </c>
      <c r="BK382" s="99">
        <f t="shared" si="11"/>
        <v>0</v>
      </c>
      <c r="BL382" s="99">
        <f t="shared" si="12"/>
        <v>0</v>
      </c>
      <c r="BM382" s="99" t="str">
        <f>IFERROR(__xludf.DUMMYFUNCTION("IFERROR(VLOOKUP(BG382,IMPORTRANGE(""https://docs.google.com/spreadsheets/d/1juPI-Fb8LD0YtltB2mlGEnp_R3UVu1t3wSFPzgCyHXE/edit?gid=0#gid=0"",""GERAL!A2:C""),3,0),""-"")"),"-")</f>
        <v>-</v>
      </c>
    </row>
    <row r="383" ht="15.75" customHeight="1">
      <c r="A383" s="111" t="s">
        <v>451</v>
      </c>
      <c r="B383" s="83" t="s">
        <v>1529</v>
      </c>
      <c r="C383" s="83" t="s">
        <v>164</v>
      </c>
      <c r="D383" s="112">
        <v>1112009.0</v>
      </c>
      <c r="E383" s="83">
        <v>1178412.0</v>
      </c>
      <c r="F383" s="98">
        <v>2.9489849E7</v>
      </c>
      <c r="G383" s="119" t="s">
        <v>1574</v>
      </c>
      <c r="H383" s="91" t="s">
        <v>1575</v>
      </c>
      <c r="I383" s="136" t="s">
        <v>149</v>
      </c>
      <c r="J383" s="83" t="s">
        <v>822</v>
      </c>
      <c r="K383" s="83" t="s">
        <v>168</v>
      </c>
      <c r="L383" s="83" t="s">
        <v>169</v>
      </c>
      <c r="M383" s="82" t="str">
        <f>IFERROR(__xludf.DUMMYFUNCTION("IFERROR(VLOOKUP(D383,
IMPORTRANGE(""https://docs.google.com/spreadsheets/d/1MjHtlUikwobi2MaWJgy7tfLeBmhj1u-dRFRs_8GwSoA/edit#gid=0"",""Gestores Escolares!D7:J""),3,0),""VERIFICAR CÓD SEC"")"),"JOSÉ DOS SANTOS JUNIOR")</f>
        <v>JOSÉ DOS SANTOS JUNIOR</v>
      </c>
      <c r="N383" s="82" t="str">
        <f>IFERROR(__xludf.DUMMYFUNCTION("IFERROR(VLOOKUP(D383,
IMPORTRANGE(""https://docs.google.com/spreadsheets/d/1MjHtlUikwobi2MaWJgy7tfLeBmhj1u-dRFRs_8GwSoA/edit#gid=0"",""Gestores Escolares!D7:J""),4,0),""VERIFICAR CÓD SEC"")"),"(73) 9 9119-8616")</f>
        <v>(73) 9 9119-8616</v>
      </c>
      <c r="O383" s="82" t="str">
        <f>IFERROR(__xludf.DUMMYFUNCTION("IFERROR(VLOOKUP(D383,
IMPORTRANGE(""https://docs.google.com/spreadsheets/d/1MjHtlUikwobi2MaWJgy7tfLeBmhj1u-dRFRs_8GwSoA/edit#gid=0"",""Gestores Escolares!D7:J""),6,0),""VERIFICAR CÓD SEC"")"),"MAYRA APARECIDA FERNANDES DE CARVALHO")</f>
        <v>MAYRA APARECIDA FERNANDES DE CARVALHO</v>
      </c>
      <c r="P383" s="82" t="str">
        <f>IFERROR(__xludf.DUMMYFUNCTION("IFERROR(VLOOKUP(D383,
IMPORTRANGE(""https://docs.google.com/spreadsheets/d/1MjHtlUikwobi2MaWJgy7tfLeBmhj1u-dRFRs_8GwSoA/edit#gid=0"",""Gestores Escolares!D7:J""),7,0),""VERIFICAR CÓD SEC"")"),"(73) 9 8827-7278")</f>
        <v>(73) 9 8827-7278</v>
      </c>
      <c r="Q383" s="82" t="str">
        <f>IFERROR(__xludf.DUMMYFUNCTION("IFERROR(VLOOKUP(D383,
IMPORTRANGE(""https://docs.google.com/spreadsheets/d/1MjHtlUikwobi2MaWJgy7tfLeBmhj1u-dRFRs_8GwSoA/edit#gid=0"",""Gestores Escolares!D7:m""),9,0),""VERIFICAR CÓD SEC"")"),"")</f>
        <v/>
      </c>
      <c r="R383" s="82" t="str">
        <f>IFERROR(__xludf.DUMMYFUNCTION("IFERROR(VLOOKUP(D383,
IMPORTRANGE(""https://docs.google.com/spreadsheets/d/1MjHtlUikwobi2MaWJgy7tfLeBmhj1u-dRFRs_8GwSoA/edit#gid=0"",""Gestores Escolares!D7:m""),10,0),""VERIFICAR CÓD SEC"")"),"")</f>
        <v/>
      </c>
      <c r="S383" s="82"/>
      <c r="T383" s="138">
        <v>12.0</v>
      </c>
      <c r="U383" s="152" t="s">
        <v>171</v>
      </c>
      <c r="V383" s="106">
        <v>0.0</v>
      </c>
      <c r="W383" s="107">
        <v>0.0</v>
      </c>
      <c r="X383" s="107">
        <v>0.0</v>
      </c>
      <c r="Y383" s="107">
        <v>0.0</v>
      </c>
      <c r="Z383" s="80">
        <f t="shared" si="1"/>
        <v>0</v>
      </c>
      <c r="AA383" s="106">
        <v>0.0</v>
      </c>
      <c r="AB383" s="107">
        <v>0.0</v>
      </c>
      <c r="AC383" s="107">
        <v>0.0</v>
      </c>
      <c r="AD383" s="107">
        <v>0.0</v>
      </c>
      <c r="AE383" s="80">
        <f t="shared" si="2"/>
        <v>0</v>
      </c>
      <c r="AF383" s="140">
        <v>0.0</v>
      </c>
      <c r="AG383" s="109">
        <v>0.0</v>
      </c>
      <c r="AH383" s="109">
        <v>0.0</v>
      </c>
      <c r="AI383" s="141">
        <v>0.0</v>
      </c>
      <c r="AJ383" s="80">
        <f t="shared" si="3"/>
        <v>0</v>
      </c>
      <c r="AK383" s="140">
        <v>12.0</v>
      </c>
      <c r="AL383" s="109">
        <v>18.0</v>
      </c>
      <c r="AM383" s="141">
        <v>3.0</v>
      </c>
      <c r="AN383" s="80">
        <f t="shared" si="4"/>
        <v>33</v>
      </c>
      <c r="AO383" s="140">
        <v>18.0</v>
      </c>
      <c r="AP383" s="109">
        <v>6.0</v>
      </c>
      <c r="AQ383" s="109">
        <v>3.0</v>
      </c>
      <c r="AR383" s="80">
        <f t="shared" si="5"/>
        <v>27</v>
      </c>
      <c r="AS383" s="110">
        <v>0.0</v>
      </c>
      <c r="AT383" s="110">
        <v>0.0</v>
      </c>
      <c r="AU383" s="110">
        <v>24.0</v>
      </c>
      <c r="AV383" s="142">
        <v>0.0</v>
      </c>
      <c r="AW383" s="80">
        <f t="shared" si="6"/>
        <v>24</v>
      </c>
      <c r="AX383" s="113">
        <f t="shared" si="7"/>
        <v>84</v>
      </c>
      <c r="AY383" s="117">
        <f t="shared" si="8"/>
        <v>54</v>
      </c>
      <c r="AZ383" s="120">
        <f t="shared" si="9"/>
        <v>30</v>
      </c>
      <c r="BA383" s="115">
        <v>0.0</v>
      </c>
      <c r="BB383" s="89">
        <f t="shared" si="10"/>
        <v>84</v>
      </c>
      <c r="BC383" s="132" t="s">
        <v>563</v>
      </c>
      <c r="BD383" s="132" t="s">
        <v>178</v>
      </c>
      <c r="BE383" s="132" t="s">
        <v>178</v>
      </c>
      <c r="BF383" s="156" t="s">
        <v>632</v>
      </c>
      <c r="BG383" s="83">
        <v>1178412.0</v>
      </c>
      <c r="BH383" s="112"/>
      <c r="BI383" s="112">
        <v>12.0</v>
      </c>
      <c r="BJ383" s="98" t="s">
        <v>155</v>
      </c>
      <c r="BK383" s="99">
        <f t="shared" si="11"/>
        <v>0</v>
      </c>
      <c r="BL383" s="99">
        <f t="shared" si="12"/>
        <v>54</v>
      </c>
      <c r="BM383" s="99" t="str">
        <f>IFERROR(__xludf.DUMMYFUNCTION("IFERROR(VLOOKUP(BG383,IMPORTRANGE(""https://docs.google.com/spreadsheets/d/1juPI-Fb8LD0YtltB2mlGEnp_R3UVu1t3wSFPzgCyHXE/edit?gid=0#gid=0"",""GERAL!A2:C""),3,0),""-"")"),"-")</f>
        <v>-</v>
      </c>
    </row>
    <row r="384" ht="15.75" customHeight="1">
      <c r="A384" s="111" t="s">
        <v>451</v>
      </c>
      <c r="B384" s="83" t="s">
        <v>1576</v>
      </c>
      <c r="C384" s="83" t="s">
        <v>68</v>
      </c>
      <c r="D384" s="112">
        <v>1178751.0</v>
      </c>
      <c r="E384" s="83"/>
      <c r="F384" s="83">
        <v>2.9449219E7</v>
      </c>
      <c r="G384" s="184" t="s">
        <v>1577</v>
      </c>
      <c r="H384" s="91" t="s">
        <v>1578</v>
      </c>
      <c r="I384" s="172" t="s">
        <v>1579</v>
      </c>
      <c r="J384" s="83" t="s">
        <v>1460</v>
      </c>
      <c r="K384" s="83" t="s">
        <v>168</v>
      </c>
      <c r="L384" s="83" t="s">
        <v>76</v>
      </c>
      <c r="M384" s="82" t="str">
        <f>IFERROR(__xludf.DUMMYFUNCTION("IFERROR(VLOOKUP(D384,
IMPORTRANGE(""https://docs.google.com/spreadsheets/d/1MjHtlUikwobi2MaWJgy7tfLeBmhj1u-dRFRs_8GwSoA/edit#gid=0"",""Gestores Escolares!D7:J""),3,0),""VERIFICAR CÓD SEC"")"),"LUIS EDUARDO LISBOA")</f>
        <v>LUIS EDUARDO LISBOA</v>
      </c>
      <c r="N384" s="82" t="str">
        <f>IFERROR(__xludf.DUMMYFUNCTION("IFERROR(VLOOKUP(D384,
IMPORTRANGE(""https://docs.google.com/spreadsheets/d/1MjHtlUikwobi2MaWJgy7tfLeBmhj1u-dRFRs_8GwSoA/edit#gid=0"",""Gestores Escolares!D7:J""),4,0),""VERIFICAR CÓD SEC"")"),"(73) 9 9841-1341")</f>
        <v>(73) 9 9841-1341</v>
      </c>
      <c r="O384" s="82" t="str">
        <f>IFERROR(__xludf.DUMMYFUNCTION("IFERROR(VLOOKUP(D384,
IMPORTRANGE(""https://docs.google.com/spreadsheets/d/1MjHtlUikwobi2MaWJgy7tfLeBmhj1u-dRFRs_8GwSoA/edit#gid=0"",""Gestores Escolares!D7:J""),6,0),""VERIFICAR CÓD SEC"")"),"RENATA DE MELO GOMES")</f>
        <v>RENATA DE MELO GOMES</v>
      </c>
      <c r="P384" s="82" t="str">
        <f>IFERROR(__xludf.DUMMYFUNCTION("IFERROR(VLOOKUP(D384,
IMPORTRANGE(""https://docs.google.com/spreadsheets/d/1MjHtlUikwobi2MaWJgy7tfLeBmhj1u-dRFRs_8GwSoA/edit#gid=0"",""Gestores Escolares!D7:J""),7,0),""VERIFICAR CÓD SEC"")"),"(73) 9 9102-5164")</f>
        <v>(73) 9 9102-5164</v>
      </c>
      <c r="Q384" s="82" t="str">
        <f>IFERROR(__xludf.DUMMYFUNCTION("IFERROR(VLOOKUP(D384,
IMPORTRANGE(""https://docs.google.com/spreadsheets/d/1MjHtlUikwobi2MaWJgy7tfLeBmhj1u-dRFRs_8GwSoA/edit#gid=0"",""Gestores Escolares!D7:m""),9,0),""VERIFICAR CÓD SEC"")"),"")</f>
        <v/>
      </c>
      <c r="R384" s="82" t="str">
        <f>IFERROR(__xludf.DUMMYFUNCTION("IFERROR(VLOOKUP(D384,
IMPORTRANGE(""https://docs.google.com/spreadsheets/d/1MjHtlUikwobi2MaWJgy7tfLeBmhj1u-dRFRs_8GwSoA/edit#gid=0"",""Gestores Escolares!D7:m""),10,0),""VERIFICAR CÓD SEC"")"),"")</f>
        <v/>
      </c>
      <c r="S384" s="82"/>
      <c r="T384" s="138">
        <v>9.0</v>
      </c>
      <c r="U384" s="145">
        <v>8.0</v>
      </c>
      <c r="V384" s="106">
        <v>0.0</v>
      </c>
      <c r="W384" s="107">
        <v>0.0</v>
      </c>
      <c r="X384" s="107">
        <v>0.0</v>
      </c>
      <c r="Y384" s="107">
        <v>0.0</v>
      </c>
      <c r="Z384" s="80">
        <f t="shared" si="1"/>
        <v>0</v>
      </c>
      <c r="AA384" s="106">
        <v>0.0</v>
      </c>
      <c r="AB384" s="107">
        <v>0.0</v>
      </c>
      <c r="AC384" s="107">
        <v>0.0</v>
      </c>
      <c r="AD384" s="107">
        <v>0.0</v>
      </c>
      <c r="AE384" s="80">
        <f t="shared" si="2"/>
        <v>0</v>
      </c>
      <c r="AF384" s="140">
        <v>148.0</v>
      </c>
      <c r="AG384" s="109">
        <v>53.0</v>
      </c>
      <c r="AH384" s="109">
        <v>0.0</v>
      </c>
      <c r="AI384" s="141">
        <v>0.0</v>
      </c>
      <c r="AJ384" s="80">
        <f t="shared" si="3"/>
        <v>201</v>
      </c>
      <c r="AK384" s="140">
        <v>0.0</v>
      </c>
      <c r="AL384" s="109">
        <v>0.0</v>
      </c>
      <c r="AM384" s="141">
        <v>0.0</v>
      </c>
      <c r="AN384" s="80">
        <f t="shared" si="4"/>
        <v>0</v>
      </c>
      <c r="AO384" s="140">
        <v>0.0</v>
      </c>
      <c r="AP384" s="109">
        <v>0.0</v>
      </c>
      <c r="AQ384" s="109">
        <v>101.0</v>
      </c>
      <c r="AR384" s="80">
        <f t="shared" si="5"/>
        <v>101</v>
      </c>
      <c r="AS384" s="110">
        <v>0.0</v>
      </c>
      <c r="AT384" s="110">
        <v>0.0</v>
      </c>
      <c r="AU384" s="110">
        <v>11.0</v>
      </c>
      <c r="AV384" s="142">
        <v>26.0</v>
      </c>
      <c r="AW384" s="80">
        <f t="shared" si="6"/>
        <v>37</v>
      </c>
      <c r="AX384" s="113">
        <f t="shared" si="7"/>
        <v>339</v>
      </c>
      <c r="AY384" s="117">
        <f t="shared" si="8"/>
        <v>227</v>
      </c>
      <c r="AZ384" s="120">
        <f t="shared" si="9"/>
        <v>112</v>
      </c>
      <c r="BA384" s="115">
        <v>0.0</v>
      </c>
      <c r="BB384" s="89">
        <f t="shared" si="10"/>
        <v>339</v>
      </c>
      <c r="BC384" s="132" t="s">
        <v>178</v>
      </c>
      <c r="BD384" s="132" t="s">
        <v>178</v>
      </c>
      <c r="BE384" s="132" t="s">
        <v>178</v>
      </c>
      <c r="BF384" s="123"/>
      <c r="BG384" s="83">
        <v>1178751.0</v>
      </c>
      <c r="BH384" s="112"/>
      <c r="BI384" s="112">
        <v>7.0</v>
      </c>
      <c r="BJ384" s="98" t="s">
        <v>155</v>
      </c>
      <c r="BK384" s="99">
        <f t="shared" si="11"/>
        <v>26</v>
      </c>
      <c r="BL384" s="99">
        <f t="shared" si="12"/>
        <v>201</v>
      </c>
      <c r="BM384" s="99" t="str">
        <f>IFERROR(__xludf.DUMMYFUNCTION("IFERROR(VLOOKUP(BG384,IMPORTRANGE(""https://docs.google.com/spreadsheets/d/1juPI-Fb8LD0YtltB2mlGEnp_R3UVu1t3wSFPzgCyHXE/edit?gid=0#gid=0"",""GERAL!A2:C""),3,0),""-"")"),"CAMPO")</f>
        <v>CAMPO</v>
      </c>
    </row>
    <row r="385" ht="15.75" customHeight="1">
      <c r="A385" s="111" t="s">
        <v>451</v>
      </c>
      <c r="B385" s="83" t="s">
        <v>1576</v>
      </c>
      <c r="C385" s="83" t="s">
        <v>68</v>
      </c>
      <c r="D385" s="208">
        <v>1111347.0</v>
      </c>
      <c r="E385" s="189"/>
      <c r="F385" s="83">
        <v>2.930676E7</v>
      </c>
      <c r="G385" s="376" t="s">
        <v>1581</v>
      </c>
      <c r="H385" s="91" t="s">
        <v>1582</v>
      </c>
      <c r="I385" s="83" t="s">
        <v>149</v>
      </c>
      <c r="J385" s="83" t="s">
        <v>150</v>
      </c>
      <c r="K385" s="83" t="s">
        <v>151</v>
      </c>
      <c r="L385" s="83" t="s">
        <v>230</v>
      </c>
      <c r="M385" s="82" t="str">
        <f>IFERROR(__xludf.DUMMYFUNCTION("IFERROR(VLOOKUP(D385,
IMPORTRANGE(""https://docs.google.com/spreadsheets/d/1MjHtlUikwobi2MaWJgy7tfLeBmhj1u-dRFRs_8GwSoA/edit#gid=0"",""Gestores Escolares!D7:J""),3,0),""VERIFICAR CÓD SEC"")"),"JULIANA DELMONT")</f>
        <v>JULIANA DELMONT</v>
      </c>
      <c r="N385" s="82" t="str">
        <f>IFERROR(__xludf.DUMMYFUNCTION("IFERROR(VLOOKUP(D385,
IMPORTRANGE(""https://docs.google.com/spreadsheets/d/1MjHtlUikwobi2MaWJgy7tfLeBmhj1u-dRFRs_8GwSoA/edit#gid=0"",""Gestores Escolares!D7:J""),4,0),""VERIFICAR CÓD SEC"")"),"(73) 9 9155-4276")</f>
        <v>(73) 9 9155-4276</v>
      </c>
      <c r="O385" s="82" t="str">
        <f>IFERROR(__xludf.DUMMYFUNCTION("IFERROR(VLOOKUP(D385,
IMPORTRANGE(""https://docs.google.com/spreadsheets/d/1MjHtlUikwobi2MaWJgy7tfLeBmhj1u-dRFRs_8GwSoA/edit#gid=0"",""Gestores Escolares!D7:J""),6,0),""VERIFICAR CÓD SEC"")"),"CREUZA CRISTINA MATOS")</f>
        <v>CREUZA CRISTINA MATOS</v>
      </c>
      <c r="P385" s="82" t="str">
        <f>IFERROR(__xludf.DUMMYFUNCTION("IFERROR(VLOOKUP(D385,
IMPORTRANGE(""https://docs.google.com/spreadsheets/d/1MjHtlUikwobi2MaWJgy7tfLeBmhj1u-dRFRs_8GwSoA/edit#gid=0"",""Gestores Escolares!D7:J""),7,0),""VERIFICAR CÓD SEC"")"),"(73) 9 9999-0988")</f>
        <v>(73) 9 9999-0988</v>
      </c>
      <c r="Q385" s="82" t="str">
        <f>IFERROR(__xludf.DUMMYFUNCTION("IFERROR(VLOOKUP(D385,
IMPORTRANGE(""https://docs.google.com/spreadsheets/d/1MjHtlUikwobi2MaWJgy7tfLeBmhj1u-dRFRs_8GwSoA/edit#gid=0"",""Gestores Escolares!D7:m""),9,0),""VERIFICAR CÓD SEC"")"),"LUCINETE RODRIGUES FRANCA")</f>
        <v>LUCINETE RODRIGUES FRANCA</v>
      </c>
      <c r="R385" s="82" t="str">
        <f>IFERROR(__xludf.DUMMYFUNCTION("IFERROR(VLOOKUP(D385,
IMPORTRANGE(""https://docs.google.com/spreadsheets/d/1MjHtlUikwobi2MaWJgy7tfLeBmhj1u-dRFRs_8GwSoA/edit#gid=0"",""Gestores Escolares!D7:m""),10,0),""VERIFICAR CÓD SEC"")"),"(71) 9 9910-9166")</f>
        <v>(71) 9 9910-9166</v>
      </c>
      <c r="S385" s="82"/>
      <c r="T385" s="138">
        <v>7.0</v>
      </c>
      <c r="U385" s="145">
        <v>12.0</v>
      </c>
      <c r="V385" s="106">
        <v>0.0</v>
      </c>
      <c r="W385" s="107">
        <v>0.0</v>
      </c>
      <c r="X385" s="107">
        <v>0.0</v>
      </c>
      <c r="Y385" s="107">
        <v>0.0</v>
      </c>
      <c r="Z385" s="80">
        <f t="shared" si="1"/>
        <v>0</v>
      </c>
      <c r="AA385" s="106">
        <v>0.0</v>
      </c>
      <c r="AB385" s="107">
        <v>0.0</v>
      </c>
      <c r="AC385" s="107">
        <v>0.0</v>
      </c>
      <c r="AD385" s="107">
        <v>0.0</v>
      </c>
      <c r="AE385" s="80">
        <f t="shared" si="2"/>
        <v>0</v>
      </c>
      <c r="AF385" s="140">
        <v>201.0</v>
      </c>
      <c r="AG385" s="109">
        <v>135.0</v>
      </c>
      <c r="AH385" s="109">
        <v>0.0</v>
      </c>
      <c r="AI385" s="141">
        <v>254.0</v>
      </c>
      <c r="AJ385" s="80">
        <f t="shared" si="3"/>
        <v>590</v>
      </c>
      <c r="AK385" s="140">
        <v>0.0</v>
      </c>
      <c r="AL385" s="109">
        <v>0.0</v>
      </c>
      <c r="AM385" s="141">
        <v>0.0</v>
      </c>
      <c r="AN385" s="80">
        <f t="shared" si="4"/>
        <v>0</v>
      </c>
      <c r="AO385" s="140">
        <v>0.0</v>
      </c>
      <c r="AP385" s="109">
        <v>0.0</v>
      </c>
      <c r="AQ385" s="109">
        <v>121.0</v>
      </c>
      <c r="AR385" s="80">
        <f t="shared" si="5"/>
        <v>121</v>
      </c>
      <c r="AS385" s="110">
        <v>0.0</v>
      </c>
      <c r="AT385" s="110">
        <v>0.0</v>
      </c>
      <c r="AU385" s="110">
        <v>22.0</v>
      </c>
      <c r="AV385" s="142">
        <v>26.0</v>
      </c>
      <c r="AW385" s="80">
        <f t="shared" si="6"/>
        <v>48</v>
      </c>
      <c r="AX385" s="113">
        <f t="shared" si="7"/>
        <v>759</v>
      </c>
      <c r="AY385" s="117">
        <f t="shared" si="8"/>
        <v>616</v>
      </c>
      <c r="AZ385" s="120">
        <f t="shared" si="9"/>
        <v>143</v>
      </c>
      <c r="BA385" s="115">
        <v>0.0</v>
      </c>
      <c r="BB385" s="89">
        <f t="shared" si="10"/>
        <v>759</v>
      </c>
      <c r="BC385" s="132" t="s">
        <v>178</v>
      </c>
      <c r="BD385" s="132" t="s">
        <v>178</v>
      </c>
      <c r="BE385" s="132" t="s">
        <v>178</v>
      </c>
      <c r="BF385" s="123"/>
      <c r="BG385" s="83">
        <v>1111347.0</v>
      </c>
      <c r="BH385" s="112"/>
      <c r="BI385" s="112">
        <v>6.0</v>
      </c>
      <c r="BJ385" s="98" t="s">
        <v>162</v>
      </c>
      <c r="BK385" s="99">
        <f t="shared" si="11"/>
        <v>280</v>
      </c>
      <c r="BL385" s="99">
        <f t="shared" si="12"/>
        <v>336</v>
      </c>
      <c r="BM385" s="99" t="str">
        <f>IFERROR(__xludf.DUMMYFUNCTION("IFERROR(VLOOKUP(BG385,IMPORTRANGE(""https://docs.google.com/spreadsheets/d/1juPI-Fb8LD0YtltB2mlGEnp_R3UVu1t3wSFPzgCyHXE/edit?gid=0#gid=0"",""GERAL!A2:C""),3,0),""-"")"),"-")</f>
        <v>-</v>
      </c>
    </row>
    <row r="386" ht="15.75" customHeight="1">
      <c r="A386" s="111" t="s">
        <v>451</v>
      </c>
      <c r="B386" s="83" t="s">
        <v>1584</v>
      </c>
      <c r="C386" s="83" t="s">
        <v>68</v>
      </c>
      <c r="D386" s="112">
        <v>1112262.0</v>
      </c>
      <c r="E386" s="237"/>
      <c r="F386" s="237">
        <v>2.9308046E7</v>
      </c>
      <c r="G386" s="119" t="s">
        <v>1585</v>
      </c>
      <c r="H386" s="91" t="s">
        <v>1586</v>
      </c>
      <c r="I386" s="248" t="s">
        <v>149</v>
      </c>
      <c r="J386" s="83" t="s">
        <v>150</v>
      </c>
      <c r="K386" s="83" t="s">
        <v>151</v>
      </c>
      <c r="L386" s="83" t="s">
        <v>169</v>
      </c>
      <c r="M386" s="82" t="str">
        <f>IFERROR(__xludf.DUMMYFUNCTION("IFERROR(VLOOKUP(D386,
IMPORTRANGE(""https://docs.google.com/spreadsheets/d/1MjHtlUikwobi2MaWJgy7tfLeBmhj1u-dRFRs_8GwSoA/edit#gid=0"",""Gestores Escolares!D7:J""),3,0),""VERIFICAR CÓD SEC"")"),"ITALO YAN SANTOS FRANCA")</f>
        <v>ITALO YAN SANTOS FRANCA</v>
      </c>
      <c r="N386" s="82" t="str">
        <f>IFERROR(__xludf.DUMMYFUNCTION("IFERROR(VLOOKUP(D386,
IMPORTRANGE(""https://docs.google.com/spreadsheets/d/1MjHtlUikwobi2MaWJgy7tfLeBmhj1u-dRFRs_8GwSoA/edit#gid=0"",""Gestores Escolares!D7:J""),4,0),""VERIFICAR CÓD SEC"")"),"(73) 9 8855-1556")</f>
        <v>(73) 9 8855-1556</v>
      </c>
      <c r="O386" s="82" t="str">
        <f>IFERROR(__xludf.DUMMYFUNCTION("IFERROR(VLOOKUP(D386,
IMPORTRANGE(""https://docs.google.com/spreadsheets/d/1MjHtlUikwobi2MaWJgy7tfLeBmhj1u-dRFRs_8GwSoA/edit#gid=0"",""Gestores Escolares!D7:J""),6,0),""VERIFICAR CÓD SEC"")"),"SILMARA SILVA MELO")</f>
        <v>SILMARA SILVA MELO</v>
      </c>
      <c r="P386" s="82" t="str">
        <f>IFERROR(__xludf.DUMMYFUNCTION("IFERROR(VLOOKUP(D386,
IMPORTRANGE(""https://docs.google.com/spreadsheets/d/1MjHtlUikwobi2MaWJgy7tfLeBmhj1u-dRFRs_8GwSoA/edit#gid=0"",""Gestores Escolares!D7:J""),7,0),""VERIFICAR CÓD SEC"")"),"(73) 9 8876-9797/9 8130-6276")</f>
        <v>(73) 9 8876-9797/9 8130-6276</v>
      </c>
      <c r="Q386" s="82" t="str">
        <f>IFERROR(__xludf.DUMMYFUNCTION("IFERROR(VLOOKUP(D386,
IMPORTRANGE(""https://docs.google.com/spreadsheets/d/1MjHtlUikwobi2MaWJgy7tfLeBmhj1u-dRFRs_8GwSoA/edit#gid=0"",""Gestores Escolares!D7:m""),9,0),""VERIFICAR CÓD SEC"")"),"")</f>
        <v/>
      </c>
      <c r="R386" s="82" t="str">
        <f>IFERROR(__xludf.DUMMYFUNCTION("IFERROR(VLOOKUP(D386,
IMPORTRANGE(""https://docs.google.com/spreadsheets/d/1MjHtlUikwobi2MaWJgy7tfLeBmhj1u-dRFRs_8GwSoA/edit#gid=0"",""Gestores Escolares!D7:m""),10,0),""VERIFICAR CÓD SEC"")"),"")</f>
        <v/>
      </c>
      <c r="S386" s="82"/>
      <c r="T386" s="138">
        <v>7.0</v>
      </c>
      <c r="U386" s="418" t="s">
        <v>5598</v>
      </c>
      <c r="V386" s="106">
        <v>0.0</v>
      </c>
      <c r="W386" s="107">
        <v>0.0</v>
      </c>
      <c r="X386" s="107">
        <v>0.0</v>
      </c>
      <c r="Y386" s="107">
        <v>0.0</v>
      </c>
      <c r="Z386" s="80">
        <f t="shared" si="1"/>
        <v>0</v>
      </c>
      <c r="AA386" s="106">
        <v>0.0</v>
      </c>
      <c r="AB386" s="107">
        <v>0.0</v>
      </c>
      <c r="AC386" s="107">
        <v>0.0</v>
      </c>
      <c r="AD386" s="107">
        <v>0.0</v>
      </c>
      <c r="AE386" s="80">
        <f t="shared" si="2"/>
        <v>0</v>
      </c>
      <c r="AF386" s="140">
        <v>0.0</v>
      </c>
      <c r="AG386" s="109">
        <v>0.0</v>
      </c>
      <c r="AH386" s="109">
        <v>0.0</v>
      </c>
      <c r="AI386" s="141">
        <v>79.0</v>
      </c>
      <c r="AJ386" s="80">
        <f t="shared" si="3"/>
        <v>79</v>
      </c>
      <c r="AK386" s="140">
        <v>0.0</v>
      </c>
      <c r="AL386" s="109">
        <v>0.0</v>
      </c>
      <c r="AM386" s="141">
        <v>0.0</v>
      </c>
      <c r="AN386" s="80">
        <f t="shared" si="4"/>
        <v>0</v>
      </c>
      <c r="AO386" s="140">
        <v>0.0</v>
      </c>
      <c r="AP386" s="109">
        <v>0.0</v>
      </c>
      <c r="AQ386" s="109">
        <v>38.0</v>
      </c>
      <c r="AR386" s="80">
        <f t="shared" si="5"/>
        <v>38</v>
      </c>
      <c r="AS386" s="110">
        <v>0.0</v>
      </c>
      <c r="AT386" s="110">
        <v>0.0</v>
      </c>
      <c r="AU386" s="110">
        <v>28.0</v>
      </c>
      <c r="AV386" s="142">
        <v>50.0</v>
      </c>
      <c r="AW386" s="80">
        <f t="shared" si="6"/>
        <v>78</v>
      </c>
      <c r="AX386" s="113">
        <f t="shared" si="7"/>
        <v>195</v>
      </c>
      <c r="AY386" s="117">
        <f t="shared" si="8"/>
        <v>129</v>
      </c>
      <c r="AZ386" s="120">
        <f t="shared" si="9"/>
        <v>66</v>
      </c>
      <c r="BA386" s="115">
        <v>0.0</v>
      </c>
      <c r="BB386" s="89">
        <f t="shared" si="10"/>
        <v>195</v>
      </c>
      <c r="BC386" s="132" t="s">
        <v>178</v>
      </c>
      <c r="BD386" s="132" t="s">
        <v>178</v>
      </c>
      <c r="BE386" s="132" t="s">
        <v>178</v>
      </c>
      <c r="BF386" s="123"/>
      <c r="BG386" s="83">
        <v>1112262.0</v>
      </c>
      <c r="BH386" s="112"/>
      <c r="BI386" s="112">
        <v>9.0</v>
      </c>
      <c r="BJ386" s="98" t="s">
        <v>176</v>
      </c>
      <c r="BK386" s="99">
        <f t="shared" si="11"/>
        <v>129</v>
      </c>
      <c r="BL386" s="99">
        <f t="shared" si="12"/>
        <v>0</v>
      </c>
      <c r="BM386" s="99" t="str">
        <f>IFERROR(__xludf.DUMMYFUNCTION("IFERROR(VLOOKUP(BG386,IMPORTRANGE(""https://docs.google.com/spreadsheets/d/1juPI-Fb8LD0YtltB2mlGEnp_R3UVu1t3wSFPzgCyHXE/edit?gid=0#gid=0"",""GERAL!A2:C""),3,0),""-"")"),"-")</f>
        <v>-</v>
      </c>
    </row>
    <row r="387" ht="15.75" customHeight="1">
      <c r="A387" s="111" t="s">
        <v>451</v>
      </c>
      <c r="B387" s="83" t="s">
        <v>1584</v>
      </c>
      <c r="C387" s="83" t="s">
        <v>164</v>
      </c>
      <c r="D387" s="84">
        <v>1112262.0</v>
      </c>
      <c r="E387" s="82">
        <v>1178505.0</v>
      </c>
      <c r="F387" s="98">
        <v>2.9490693E7</v>
      </c>
      <c r="G387" s="108" t="s">
        <v>1589</v>
      </c>
      <c r="H387" s="91" t="s">
        <v>1590</v>
      </c>
      <c r="I387" s="83" t="s">
        <v>149</v>
      </c>
      <c r="J387" s="83" t="s">
        <v>471</v>
      </c>
      <c r="K387" s="83" t="s">
        <v>151</v>
      </c>
      <c r="L387" s="83" t="s">
        <v>169</v>
      </c>
      <c r="M387" s="82" t="str">
        <f>IFERROR(__xludf.DUMMYFUNCTION("IFERROR(VLOOKUP(D387,
IMPORTRANGE(""https://docs.google.com/spreadsheets/d/1MjHtlUikwobi2MaWJgy7tfLeBmhj1u-dRFRs_8GwSoA/edit#gid=0"",""Gestores Escolares!D7:J""),3,0),""VERIFICAR CÓD SEC"")"),"ITALO YAN SANTOS FRANCA")</f>
        <v>ITALO YAN SANTOS FRANCA</v>
      </c>
      <c r="N387" s="82" t="str">
        <f>IFERROR(__xludf.DUMMYFUNCTION("IFERROR(VLOOKUP(D387,
IMPORTRANGE(""https://docs.google.com/spreadsheets/d/1MjHtlUikwobi2MaWJgy7tfLeBmhj1u-dRFRs_8GwSoA/edit#gid=0"",""Gestores Escolares!D7:J""),4,0),""VERIFICAR CÓD SEC"")"),"(73) 9 8855-1556")</f>
        <v>(73) 9 8855-1556</v>
      </c>
      <c r="O387" s="82" t="str">
        <f>IFERROR(__xludf.DUMMYFUNCTION("IFERROR(VLOOKUP(D387,
IMPORTRANGE(""https://docs.google.com/spreadsheets/d/1MjHtlUikwobi2MaWJgy7tfLeBmhj1u-dRFRs_8GwSoA/edit#gid=0"",""Gestores Escolares!D7:J""),6,0),""VERIFICAR CÓD SEC"")"),"SILMARA SILVA MELO")</f>
        <v>SILMARA SILVA MELO</v>
      </c>
      <c r="P387" s="82" t="str">
        <f>IFERROR(__xludf.DUMMYFUNCTION("IFERROR(VLOOKUP(D387,
IMPORTRANGE(""https://docs.google.com/spreadsheets/d/1MjHtlUikwobi2MaWJgy7tfLeBmhj1u-dRFRs_8GwSoA/edit#gid=0"",""Gestores Escolares!D7:J""),7,0),""VERIFICAR CÓD SEC"")"),"(73) 9 8876-9797/9 8130-6276")</f>
        <v>(73) 9 8876-9797/9 8130-6276</v>
      </c>
      <c r="Q387" s="82" t="str">
        <f>IFERROR(__xludf.DUMMYFUNCTION("IFERROR(VLOOKUP(D387,
IMPORTRANGE(""https://docs.google.com/spreadsheets/d/1MjHtlUikwobi2MaWJgy7tfLeBmhj1u-dRFRs_8GwSoA/edit#gid=0"",""Gestores Escolares!D7:m""),9,0),""VERIFICAR CÓD SEC"")"),"")</f>
        <v/>
      </c>
      <c r="R387" s="82" t="str">
        <f>IFERROR(__xludf.DUMMYFUNCTION("IFERROR(VLOOKUP(D387,
IMPORTRANGE(""https://docs.google.com/spreadsheets/d/1MjHtlUikwobi2MaWJgy7tfLeBmhj1u-dRFRs_8GwSoA/edit#gid=0"",""Gestores Escolares!D7:m""),10,0),""VERIFICAR CÓD SEC"")"),"")</f>
        <v/>
      </c>
      <c r="S387" s="82"/>
      <c r="T387" s="138">
        <v>5.0</v>
      </c>
      <c r="U387" s="152">
        <v>3.0</v>
      </c>
      <c r="V387" s="106">
        <v>0.0</v>
      </c>
      <c r="W387" s="107">
        <v>0.0</v>
      </c>
      <c r="X387" s="107">
        <v>0.0</v>
      </c>
      <c r="Y387" s="107">
        <v>0.0</v>
      </c>
      <c r="Z387" s="80">
        <f t="shared" si="1"/>
        <v>0</v>
      </c>
      <c r="AA387" s="106">
        <v>0.0</v>
      </c>
      <c r="AB387" s="107">
        <v>0.0</v>
      </c>
      <c r="AC387" s="107">
        <v>0.0</v>
      </c>
      <c r="AD387" s="107">
        <v>0.0</v>
      </c>
      <c r="AE387" s="80">
        <f t="shared" si="2"/>
        <v>0</v>
      </c>
      <c r="AF387" s="140">
        <v>86.0</v>
      </c>
      <c r="AG387" s="109">
        <v>0.0</v>
      </c>
      <c r="AH387" s="109">
        <v>0.0</v>
      </c>
      <c r="AI387" s="141">
        <v>0.0</v>
      </c>
      <c r="AJ387" s="80">
        <f t="shared" si="3"/>
        <v>86</v>
      </c>
      <c r="AK387" s="140">
        <v>0.0</v>
      </c>
      <c r="AL387" s="109">
        <v>0.0</v>
      </c>
      <c r="AM387" s="141">
        <v>0.0</v>
      </c>
      <c r="AN387" s="80">
        <f t="shared" si="4"/>
        <v>0</v>
      </c>
      <c r="AO387" s="140">
        <v>0.0</v>
      </c>
      <c r="AP387" s="109">
        <v>0.0</v>
      </c>
      <c r="AQ387" s="109">
        <v>28.0</v>
      </c>
      <c r="AR387" s="80">
        <f t="shared" si="5"/>
        <v>28</v>
      </c>
      <c r="AS387" s="110">
        <v>0.0</v>
      </c>
      <c r="AT387" s="110">
        <v>0.0</v>
      </c>
      <c r="AU387" s="110">
        <v>0.0</v>
      </c>
      <c r="AV387" s="142">
        <v>0.0</v>
      </c>
      <c r="AW387" s="80">
        <f t="shared" si="6"/>
        <v>0</v>
      </c>
      <c r="AX387" s="113">
        <f t="shared" si="7"/>
        <v>114</v>
      </c>
      <c r="AY387" s="117">
        <f t="shared" si="8"/>
        <v>86</v>
      </c>
      <c r="AZ387" s="120">
        <f t="shared" si="9"/>
        <v>28</v>
      </c>
      <c r="BA387" s="115">
        <v>0.0</v>
      </c>
      <c r="BB387" s="89">
        <f t="shared" si="10"/>
        <v>114</v>
      </c>
      <c r="BC387" s="132" t="s">
        <v>373</v>
      </c>
      <c r="BD387" s="132" t="s">
        <v>178</v>
      </c>
      <c r="BE387" s="132" t="s">
        <v>178</v>
      </c>
      <c r="BF387" s="123"/>
      <c r="BG387" s="83">
        <v>1178505.0</v>
      </c>
      <c r="BH387" s="112"/>
      <c r="BI387" s="112">
        <v>3.0</v>
      </c>
      <c r="BJ387" s="98" t="s">
        <v>155</v>
      </c>
      <c r="BK387" s="99">
        <f t="shared" si="11"/>
        <v>0</v>
      </c>
      <c r="BL387" s="99">
        <f t="shared" si="12"/>
        <v>86</v>
      </c>
      <c r="BM387" s="99" t="str">
        <f>IFERROR(__xludf.DUMMYFUNCTION("IFERROR(VLOOKUP(BG387,IMPORTRANGE(""https://docs.google.com/spreadsheets/d/1juPI-Fb8LD0YtltB2mlGEnp_R3UVu1t3wSFPzgCyHXE/edit?gid=0#gid=0"",""GERAL!A2:C""),3,0),""-"")"),"CAMPO")</f>
        <v>CAMPO</v>
      </c>
    </row>
    <row r="388" ht="15.75" customHeight="1">
      <c r="A388" s="111" t="s">
        <v>451</v>
      </c>
      <c r="B388" s="83" t="s">
        <v>1591</v>
      </c>
      <c r="C388" s="83" t="s">
        <v>68</v>
      </c>
      <c r="D388" s="112">
        <v>1112408.0</v>
      </c>
      <c r="E388" s="83"/>
      <c r="F388" s="83">
        <v>2.9308747E7</v>
      </c>
      <c r="G388" s="119" t="s">
        <v>1592</v>
      </c>
      <c r="H388" s="91" t="s">
        <v>1593</v>
      </c>
      <c r="I388" s="83" t="s">
        <v>149</v>
      </c>
      <c r="J388" s="83" t="s">
        <v>150</v>
      </c>
      <c r="K388" s="83" t="s">
        <v>151</v>
      </c>
      <c r="L388" s="83" t="s">
        <v>152</v>
      </c>
      <c r="M388" s="82" t="str">
        <f>IFERROR(__xludf.DUMMYFUNCTION("IFERROR(VLOOKUP(D388,
IMPORTRANGE(""https://docs.google.com/spreadsheets/d/1MjHtlUikwobi2MaWJgy7tfLeBmhj1u-dRFRs_8GwSoA/edit#gid=0"",""Gestores Escolares!D7:J""),3,0),""VERIFICAR CÓD SEC"")"),"LUCAS OLIVEIRA ROCHA")</f>
        <v>LUCAS OLIVEIRA ROCHA</v>
      </c>
      <c r="N388" s="82" t="str">
        <f>IFERROR(__xludf.DUMMYFUNCTION("IFERROR(VLOOKUP(D388,
IMPORTRANGE(""https://docs.google.com/spreadsheets/d/1MjHtlUikwobi2MaWJgy7tfLeBmhj1u-dRFRs_8GwSoA/edit#gid=0"",""Gestores Escolares!D7:J""),4,0),""VERIFICAR CÓD SEC"")"),"(73) 9 9118-4269")</f>
        <v>(73) 9 9118-4269</v>
      </c>
      <c r="O388" s="82" t="str">
        <f>IFERROR(__xludf.DUMMYFUNCTION("IFERROR(VLOOKUP(D388,
IMPORTRANGE(""https://docs.google.com/spreadsheets/d/1MjHtlUikwobi2MaWJgy7tfLeBmhj1u-dRFRs_8GwSoA/edit#gid=0"",""Gestores Escolares!D7:J""),6,0),""VERIFICAR CÓD SEC"")"),"TANIA SILVA SANTOS")</f>
        <v>TANIA SILVA SANTOS</v>
      </c>
      <c r="P388" s="82" t="str">
        <f>IFERROR(__xludf.DUMMYFUNCTION("IFERROR(VLOOKUP(D388,
IMPORTRANGE(""https://docs.google.com/spreadsheets/d/1MjHtlUikwobi2MaWJgy7tfLeBmhj1u-dRFRs_8GwSoA/edit#gid=0"",""Gestores Escolares!D7:J""),7,0),""VERIFICAR CÓD SEC"")"),"(73) 9 9155-4589")</f>
        <v>(73) 9 9155-4589</v>
      </c>
      <c r="Q388" s="82" t="str">
        <f>IFERROR(__xludf.DUMMYFUNCTION("IFERROR(VLOOKUP(D388,
IMPORTRANGE(""https://docs.google.com/spreadsheets/d/1MjHtlUikwobi2MaWJgy7tfLeBmhj1u-dRFRs_8GwSoA/edit#gid=0"",""Gestores Escolares!D7:m""),9,0),""VERIFICAR CÓD SEC"")"),"JULIANA SANTOS BARROS")</f>
        <v>JULIANA SANTOS BARROS</v>
      </c>
      <c r="R388" s="82" t="str">
        <f>IFERROR(__xludf.DUMMYFUNCTION("IFERROR(VLOOKUP(D388,
IMPORTRANGE(""https://docs.google.com/spreadsheets/d/1MjHtlUikwobi2MaWJgy7tfLeBmhj1u-dRFRs_8GwSoA/edit#gid=0"",""Gestores Escolares!D7:m""),10,0),""VERIFICAR CÓD SEC"")"),"(73) 9 8143-2004")</f>
        <v>(73) 9 8143-2004</v>
      </c>
      <c r="S388" s="82"/>
      <c r="T388" s="138">
        <v>13.0</v>
      </c>
      <c r="U388" s="145">
        <v>16.0</v>
      </c>
      <c r="V388" s="106">
        <v>0.0</v>
      </c>
      <c r="W388" s="107">
        <v>0.0</v>
      </c>
      <c r="X388" s="107">
        <v>0.0</v>
      </c>
      <c r="Y388" s="107">
        <v>0.0</v>
      </c>
      <c r="Z388" s="80">
        <f t="shared" si="1"/>
        <v>0</v>
      </c>
      <c r="AA388" s="106">
        <v>0.0</v>
      </c>
      <c r="AB388" s="107">
        <v>0.0</v>
      </c>
      <c r="AC388" s="107">
        <v>0.0</v>
      </c>
      <c r="AD388" s="107">
        <v>0.0</v>
      </c>
      <c r="AE388" s="80">
        <f t="shared" si="2"/>
        <v>0</v>
      </c>
      <c r="AF388" s="140">
        <v>213.0</v>
      </c>
      <c r="AG388" s="109">
        <v>85.0</v>
      </c>
      <c r="AH388" s="109">
        <v>0.0</v>
      </c>
      <c r="AI388" s="141">
        <v>134.0</v>
      </c>
      <c r="AJ388" s="80">
        <f t="shared" si="3"/>
        <v>432</v>
      </c>
      <c r="AK388" s="140">
        <v>0.0</v>
      </c>
      <c r="AL388" s="109">
        <v>0.0</v>
      </c>
      <c r="AM388" s="141">
        <v>0.0</v>
      </c>
      <c r="AN388" s="80">
        <f t="shared" si="4"/>
        <v>0</v>
      </c>
      <c r="AO388" s="140">
        <v>0.0</v>
      </c>
      <c r="AP388" s="109">
        <v>0.0</v>
      </c>
      <c r="AQ388" s="109">
        <v>98.0</v>
      </c>
      <c r="AR388" s="80">
        <f t="shared" si="5"/>
        <v>98</v>
      </c>
      <c r="AS388" s="110">
        <v>0.0</v>
      </c>
      <c r="AT388" s="110">
        <v>0.0</v>
      </c>
      <c r="AU388" s="110">
        <v>27.0</v>
      </c>
      <c r="AV388" s="142">
        <v>0.0</v>
      </c>
      <c r="AW388" s="80">
        <f t="shared" si="6"/>
        <v>27</v>
      </c>
      <c r="AX388" s="113">
        <f t="shared" si="7"/>
        <v>557</v>
      </c>
      <c r="AY388" s="117">
        <f t="shared" si="8"/>
        <v>432</v>
      </c>
      <c r="AZ388" s="120">
        <f t="shared" si="9"/>
        <v>125</v>
      </c>
      <c r="BA388" s="115">
        <v>0.0</v>
      </c>
      <c r="BB388" s="89">
        <f t="shared" si="10"/>
        <v>557</v>
      </c>
      <c r="BC388" s="132" t="s">
        <v>178</v>
      </c>
      <c r="BD388" s="132" t="s">
        <v>178</v>
      </c>
      <c r="BE388" s="132" t="s">
        <v>178</v>
      </c>
      <c r="BF388" s="123"/>
      <c r="BG388" s="83">
        <v>1112408.0</v>
      </c>
      <c r="BH388" s="112"/>
      <c r="BI388" s="112">
        <v>12.0</v>
      </c>
      <c r="BJ388" s="98" t="s">
        <v>155</v>
      </c>
      <c r="BK388" s="99">
        <f t="shared" si="11"/>
        <v>134</v>
      </c>
      <c r="BL388" s="99">
        <f t="shared" si="12"/>
        <v>298</v>
      </c>
      <c r="BM388" s="99" t="str">
        <f>IFERROR(__xludf.DUMMYFUNCTION("IFERROR(VLOOKUP(BG388,IMPORTRANGE(""https://docs.google.com/spreadsheets/d/1juPI-Fb8LD0YtltB2mlGEnp_R3UVu1t3wSFPzgCyHXE/edit?gid=0#gid=0"",""GERAL!A2:C""),3,0),""-"")"),"-")</f>
        <v>-</v>
      </c>
    </row>
    <row r="389" ht="15.75" customHeight="1">
      <c r="A389" s="111" t="s">
        <v>451</v>
      </c>
      <c r="B389" s="136" t="s">
        <v>1596</v>
      </c>
      <c r="C389" s="83" t="s">
        <v>68</v>
      </c>
      <c r="D389" s="112">
        <v>1158688.0</v>
      </c>
      <c r="E389" s="83"/>
      <c r="F389" s="83">
        <v>2.9309425E7</v>
      </c>
      <c r="G389" s="184" t="s">
        <v>1597</v>
      </c>
      <c r="H389" s="91" t="s">
        <v>1598</v>
      </c>
      <c r="I389" s="83" t="s">
        <v>1599</v>
      </c>
      <c r="J389" s="83" t="s">
        <v>150</v>
      </c>
      <c r="K389" s="98" t="s">
        <v>151</v>
      </c>
      <c r="L389" s="98" t="s">
        <v>230</v>
      </c>
      <c r="M389" s="82" t="str">
        <f>IFERROR(__xludf.DUMMYFUNCTION("IFERROR(VLOOKUP(D389,
IMPORTRANGE(""https://docs.google.com/spreadsheets/d/1MjHtlUikwobi2MaWJgy7tfLeBmhj1u-dRFRs_8GwSoA/edit#gid=0"",""Gestores Escolares!D7:J""),3,0),""VERIFICAR CÓD SEC"")"),"ANA CAROLINA ALVES PASSOS")</f>
        <v>ANA CAROLINA ALVES PASSOS</v>
      </c>
      <c r="N389" s="82" t="str">
        <f>IFERROR(__xludf.DUMMYFUNCTION("IFERROR(VLOOKUP(D389,
IMPORTRANGE(""https://docs.google.com/spreadsheets/d/1MjHtlUikwobi2MaWJgy7tfLeBmhj1u-dRFRs_8GwSoA/edit#gid=0"",""Gestores Escolares!D7:J""),4,0),""VERIFICAR CÓD SEC"")"),"(73) 9 8861-3820")</f>
        <v>(73) 9 8861-3820</v>
      </c>
      <c r="O389" s="82" t="str">
        <f>IFERROR(__xludf.DUMMYFUNCTION("IFERROR(VLOOKUP(D389,
IMPORTRANGE(""https://docs.google.com/spreadsheets/d/1MjHtlUikwobi2MaWJgy7tfLeBmhj1u-dRFRs_8GwSoA/edit#gid=0"",""Gestores Escolares!D7:J""),6,0),""VERIFICAR CÓD SEC"")"),"VALDINAH SILVA DOS SANTOS")</f>
        <v>VALDINAH SILVA DOS SANTOS</v>
      </c>
      <c r="P389" s="82" t="str">
        <f>IFERROR(__xludf.DUMMYFUNCTION("IFERROR(VLOOKUP(D389,
IMPORTRANGE(""https://docs.google.com/spreadsheets/d/1MjHtlUikwobi2MaWJgy7tfLeBmhj1u-dRFRs_8GwSoA/edit#gid=0"",""Gestores Escolares!D7:J""),7,0),""VERIFICAR CÓD SEC"")"),"(73) 9 8828-4077")</f>
        <v>(73) 9 8828-4077</v>
      </c>
      <c r="Q389" s="82" t="str">
        <f>IFERROR(__xludf.DUMMYFUNCTION("IFERROR(VLOOKUP(D389,
IMPORTRANGE(""https://docs.google.com/spreadsheets/d/1MjHtlUikwobi2MaWJgy7tfLeBmhj1u-dRFRs_8GwSoA/edit#gid=0"",""Gestores Escolares!D7:m""),9,0),""VERIFICAR CÓD SEC"")"),"")</f>
        <v/>
      </c>
      <c r="R389" s="82" t="str">
        <f>IFERROR(__xludf.DUMMYFUNCTION("IFERROR(VLOOKUP(D389,
IMPORTRANGE(""https://docs.google.com/spreadsheets/d/1MjHtlUikwobi2MaWJgy7tfLeBmhj1u-dRFRs_8GwSoA/edit#gid=0"",""Gestores Escolares!D7:m""),10,0),""VERIFICAR CÓD SEC"")"),"")</f>
        <v/>
      </c>
      <c r="S389" s="82"/>
      <c r="T389" s="138">
        <v>10.0</v>
      </c>
      <c r="U389" s="217">
        <v>10.0</v>
      </c>
      <c r="V389" s="106">
        <v>0.0</v>
      </c>
      <c r="W389" s="107">
        <v>0.0</v>
      </c>
      <c r="X389" s="107">
        <v>0.0</v>
      </c>
      <c r="Y389" s="107">
        <v>0.0</v>
      </c>
      <c r="Z389" s="80">
        <f t="shared" si="1"/>
        <v>0</v>
      </c>
      <c r="AA389" s="106">
        <v>0.0</v>
      </c>
      <c r="AB389" s="107">
        <v>0.0</v>
      </c>
      <c r="AC389" s="107">
        <v>0.0</v>
      </c>
      <c r="AD389" s="107">
        <v>0.0</v>
      </c>
      <c r="AE389" s="80">
        <f t="shared" si="2"/>
        <v>0</v>
      </c>
      <c r="AF389" s="140">
        <v>0.0</v>
      </c>
      <c r="AG389" s="109">
        <v>0.0</v>
      </c>
      <c r="AH389" s="109">
        <v>0.0</v>
      </c>
      <c r="AI389" s="141">
        <v>203.0</v>
      </c>
      <c r="AJ389" s="80">
        <f t="shared" si="3"/>
        <v>203</v>
      </c>
      <c r="AK389" s="140">
        <v>0.0</v>
      </c>
      <c r="AL389" s="109">
        <v>0.0</v>
      </c>
      <c r="AM389" s="141">
        <v>0.0</v>
      </c>
      <c r="AN389" s="80">
        <f t="shared" si="4"/>
        <v>0</v>
      </c>
      <c r="AO389" s="140">
        <v>0.0</v>
      </c>
      <c r="AP389" s="109">
        <v>0.0</v>
      </c>
      <c r="AQ389" s="109">
        <v>69.0</v>
      </c>
      <c r="AR389" s="80">
        <f t="shared" si="5"/>
        <v>69</v>
      </c>
      <c r="AS389" s="110">
        <v>0.0</v>
      </c>
      <c r="AT389" s="110">
        <v>0.0</v>
      </c>
      <c r="AU389" s="110">
        <v>16.0</v>
      </c>
      <c r="AV389" s="142">
        <v>64.0</v>
      </c>
      <c r="AW389" s="80">
        <f t="shared" si="6"/>
        <v>80</v>
      </c>
      <c r="AX389" s="113">
        <f t="shared" si="7"/>
        <v>352</v>
      </c>
      <c r="AY389" s="117">
        <f t="shared" si="8"/>
        <v>267</v>
      </c>
      <c r="AZ389" s="120">
        <f t="shared" si="9"/>
        <v>85</v>
      </c>
      <c r="BA389" s="115">
        <v>0.0</v>
      </c>
      <c r="BB389" s="89">
        <f t="shared" si="10"/>
        <v>352</v>
      </c>
      <c r="BC389" s="132" t="s">
        <v>178</v>
      </c>
      <c r="BD389" s="132" t="s">
        <v>178</v>
      </c>
      <c r="BE389" s="132" t="s">
        <v>178</v>
      </c>
      <c r="BF389" s="156"/>
      <c r="BG389" s="83">
        <v>1158688.0</v>
      </c>
      <c r="BH389" s="112"/>
      <c r="BI389" s="112">
        <v>10.0</v>
      </c>
      <c r="BJ389" s="98" t="s">
        <v>1601</v>
      </c>
      <c r="BK389" s="99">
        <f t="shared" si="11"/>
        <v>267</v>
      </c>
      <c r="BL389" s="99">
        <f t="shared" si="12"/>
        <v>0</v>
      </c>
      <c r="BM389" s="99" t="str">
        <f>IFERROR(__xludf.DUMMYFUNCTION("IFERROR(VLOOKUP(BG389,IMPORTRANGE(""https://docs.google.com/spreadsheets/d/1juPI-Fb8LD0YtltB2mlGEnp_R3UVu1t3wSFPzgCyHXE/edit?gid=0#gid=0"",""GERAL!A2:C""),3,0),""-"")"),"-")</f>
        <v>-</v>
      </c>
    </row>
    <row r="390" ht="15.75" customHeight="1">
      <c r="A390" s="111" t="s">
        <v>451</v>
      </c>
      <c r="B390" s="83" t="s">
        <v>1603</v>
      </c>
      <c r="C390" s="83" t="s">
        <v>68</v>
      </c>
      <c r="D390" s="112">
        <v>1112602.0</v>
      </c>
      <c r="E390" s="83"/>
      <c r="F390" s="83">
        <v>2.9310512E7</v>
      </c>
      <c r="G390" s="119" t="s">
        <v>1604</v>
      </c>
      <c r="H390" s="91" t="s">
        <v>1605</v>
      </c>
      <c r="I390" s="83" t="s">
        <v>149</v>
      </c>
      <c r="J390" s="83" t="s">
        <v>150</v>
      </c>
      <c r="K390" s="83" t="s">
        <v>151</v>
      </c>
      <c r="L390" s="83" t="s">
        <v>169</v>
      </c>
      <c r="M390" s="82" t="str">
        <f>IFERROR(__xludf.DUMMYFUNCTION("IFERROR(VLOOKUP(D390,
IMPORTRANGE(""https://docs.google.com/spreadsheets/d/1MjHtlUikwobi2MaWJgy7tfLeBmhj1u-dRFRs_8GwSoA/edit#gid=0"",""Gestores Escolares!D7:J""),3,0),""VERIFICAR CÓD SEC"")"),"ELIANE FERNANDES DA SILVA ")</f>
        <v>ELIANE FERNANDES DA SILVA </v>
      </c>
      <c r="N390" s="82" t="str">
        <f>IFERROR(__xludf.DUMMYFUNCTION("IFERROR(VLOOKUP(D390,
IMPORTRANGE(""https://docs.google.com/spreadsheets/d/1MjHtlUikwobi2MaWJgy7tfLeBmhj1u-dRFRs_8GwSoA/edit#gid=0"",""Gestores Escolares!D7:J""),4,0),""VERIFICAR CÓD SEC"")"),"(73) 9 8851-9592 (zap)")</f>
        <v>(73) 9 8851-9592 (zap)</v>
      </c>
      <c r="O390" s="82" t="str">
        <f>IFERROR(__xludf.DUMMYFUNCTION("IFERROR(VLOOKUP(D390,
IMPORTRANGE(""https://docs.google.com/spreadsheets/d/1MjHtlUikwobi2MaWJgy7tfLeBmhj1u-dRFRs_8GwSoA/edit#gid=0"",""Gestores Escolares!D7:J""),6,0),""VERIFICAR CÓD SEC"")"),"RAIANY FRANCA OLIVEIRA")</f>
        <v>RAIANY FRANCA OLIVEIRA</v>
      </c>
      <c r="P390" s="82" t="str">
        <f>IFERROR(__xludf.DUMMYFUNCTION("IFERROR(VLOOKUP(D390,
IMPORTRANGE(""https://docs.google.com/spreadsheets/d/1MjHtlUikwobi2MaWJgy7tfLeBmhj1u-dRFRs_8GwSoA/edit#gid=0"",""Gestores Escolares!D7:J""),7,0),""VERIFICAR CÓD SEC"")"),"(73) 9 9146-0527")</f>
        <v>(73) 9 9146-0527</v>
      </c>
      <c r="Q390" s="82" t="str">
        <f>IFERROR(__xludf.DUMMYFUNCTION("IFERROR(VLOOKUP(D390,
IMPORTRANGE(""https://docs.google.com/spreadsheets/d/1MjHtlUikwobi2MaWJgy7tfLeBmhj1u-dRFRs_8GwSoA/edit#gid=0"",""Gestores Escolares!D7:m""),9,0),""VERIFICAR CÓD SEC"")"),"")</f>
        <v/>
      </c>
      <c r="R390" s="82" t="str">
        <f>IFERROR(__xludf.DUMMYFUNCTION("IFERROR(VLOOKUP(D390,
IMPORTRANGE(""https://docs.google.com/spreadsheets/d/1MjHtlUikwobi2MaWJgy7tfLeBmhj1u-dRFRs_8GwSoA/edit#gid=0"",""Gestores Escolares!D7:m""),10,0),""VERIFICAR CÓD SEC"")"),"")</f>
        <v/>
      </c>
      <c r="S390" s="82"/>
      <c r="T390" s="138">
        <v>5.0</v>
      </c>
      <c r="U390" s="217" t="s">
        <v>5656</v>
      </c>
      <c r="V390" s="106">
        <v>0.0</v>
      </c>
      <c r="W390" s="107">
        <v>0.0</v>
      </c>
      <c r="X390" s="107">
        <v>0.0</v>
      </c>
      <c r="Y390" s="107">
        <v>0.0</v>
      </c>
      <c r="Z390" s="80">
        <f t="shared" si="1"/>
        <v>0</v>
      </c>
      <c r="AA390" s="106">
        <v>0.0</v>
      </c>
      <c r="AB390" s="107">
        <v>0.0</v>
      </c>
      <c r="AC390" s="107">
        <v>0.0</v>
      </c>
      <c r="AD390" s="107">
        <v>0.0</v>
      </c>
      <c r="AE390" s="80">
        <f t="shared" si="2"/>
        <v>0</v>
      </c>
      <c r="AF390" s="140">
        <v>67.0</v>
      </c>
      <c r="AG390" s="109">
        <v>36.0</v>
      </c>
      <c r="AH390" s="109">
        <v>0.0</v>
      </c>
      <c r="AI390" s="141">
        <v>52.0</v>
      </c>
      <c r="AJ390" s="80">
        <f t="shared" si="3"/>
        <v>155</v>
      </c>
      <c r="AK390" s="140">
        <v>0.0</v>
      </c>
      <c r="AL390" s="109">
        <v>0.0</v>
      </c>
      <c r="AM390" s="141">
        <v>0.0</v>
      </c>
      <c r="AN390" s="80">
        <f t="shared" si="4"/>
        <v>0</v>
      </c>
      <c r="AO390" s="140">
        <v>0.0</v>
      </c>
      <c r="AP390" s="109">
        <v>0.0</v>
      </c>
      <c r="AQ390" s="109">
        <v>14.0</v>
      </c>
      <c r="AR390" s="80">
        <f t="shared" si="5"/>
        <v>14</v>
      </c>
      <c r="AS390" s="110">
        <v>0.0</v>
      </c>
      <c r="AT390" s="110">
        <v>0.0</v>
      </c>
      <c r="AU390" s="110">
        <v>19.0</v>
      </c>
      <c r="AV390" s="142">
        <v>0.0</v>
      </c>
      <c r="AW390" s="80">
        <f t="shared" si="6"/>
        <v>19</v>
      </c>
      <c r="AX390" s="113">
        <f t="shared" si="7"/>
        <v>188</v>
      </c>
      <c r="AY390" s="117">
        <f t="shared" si="8"/>
        <v>155</v>
      </c>
      <c r="AZ390" s="120">
        <f t="shared" si="9"/>
        <v>33</v>
      </c>
      <c r="BA390" s="115">
        <v>0.0</v>
      </c>
      <c r="BB390" s="89">
        <f t="shared" si="10"/>
        <v>188</v>
      </c>
      <c r="BC390" s="132" t="s">
        <v>178</v>
      </c>
      <c r="BD390" s="132" t="s">
        <v>178</v>
      </c>
      <c r="BE390" s="132" t="s">
        <v>178</v>
      </c>
      <c r="BF390" s="123"/>
      <c r="BG390" s="83">
        <v>1112602.0</v>
      </c>
      <c r="BH390" s="112"/>
      <c r="BI390" s="112">
        <v>5.0</v>
      </c>
      <c r="BJ390" s="98" t="s">
        <v>155</v>
      </c>
      <c r="BK390" s="99">
        <f t="shared" si="11"/>
        <v>52</v>
      </c>
      <c r="BL390" s="99">
        <f t="shared" si="12"/>
        <v>103</v>
      </c>
      <c r="BM390" s="99" t="str">
        <f>IFERROR(__xludf.DUMMYFUNCTION("IFERROR(VLOOKUP(BG390,IMPORTRANGE(""https://docs.google.com/spreadsheets/d/1juPI-Fb8LD0YtltB2mlGEnp_R3UVu1t3wSFPzgCyHXE/edit?gid=0#gid=0"",""GERAL!A2:C""),3,0),""-"")"),"-")</f>
        <v>-</v>
      </c>
    </row>
    <row r="391" ht="15.75" customHeight="1">
      <c r="A391" s="111" t="s">
        <v>451</v>
      </c>
      <c r="B391" s="83" t="s">
        <v>1607</v>
      </c>
      <c r="C391" s="83" t="s">
        <v>68</v>
      </c>
      <c r="D391" s="112">
        <v>1159277.0</v>
      </c>
      <c r="E391" s="83"/>
      <c r="F391" s="83">
        <v>2.931066E7</v>
      </c>
      <c r="G391" s="292" t="s">
        <v>1608</v>
      </c>
      <c r="H391" s="91" t="s">
        <v>1609</v>
      </c>
      <c r="I391" s="83" t="s">
        <v>149</v>
      </c>
      <c r="J391" s="83" t="s">
        <v>150</v>
      </c>
      <c r="K391" s="83" t="s">
        <v>151</v>
      </c>
      <c r="L391" s="83" t="s">
        <v>76</v>
      </c>
      <c r="M391" s="82" t="str">
        <f>IFERROR(__xludf.DUMMYFUNCTION("IFERROR(VLOOKUP(D391,
IMPORTRANGE(""https://docs.google.com/spreadsheets/d/1MjHtlUikwobi2MaWJgy7tfLeBmhj1u-dRFRs_8GwSoA/edit#gid=0"",""Gestores Escolares!D7:J""),3,0),""VERIFICAR CÓD SEC"")"),"DANIELA SILVA DE SOUSA  (LICENÇA A GESTANTE DE 17.08.26 Á 12.02.27)")</f>
        <v>DANIELA SILVA DE SOUSA  (LICENÇA A GESTANTE DE 17.08.26 Á 12.02.27)</v>
      </c>
      <c r="N391" s="82" t="str">
        <f>IFERROR(__xludf.DUMMYFUNCTION("IFERROR(VLOOKUP(D391,
IMPORTRANGE(""https://docs.google.com/spreadsheets/d/1MjHtlUikwobi2MaWJgy7tfLeBmhj1u-dRFRs_8GwSoA/edit#gid=0"",""Gestores Escolares!D7:J""),4,0),""VERIFICAR CÓD SEC"")"),"(73) 9 8175-4405")</f>
        <v>(73) 9 8175-4405</v>
      </c>
      <c r="O391" s="82" t="str">
        <f>IFERROR(__xludf.DUMMYFUNCTION("IFERROR(VLOOKUP(D391,
IMPORTRANGE(""https://docs.google.com/spreadsheets/d/1MjHtlUikwobi2MaWJgy7tfLeBmhj1u-dRFRs_8GwSoA/edit#gid=0"",""Gestores Escolares!D7:J""),6,0),""VERIFICAR CÓD SEC"")"),"EPAMINONDAS REIS ALVES")</f>
        <v>EPAMINONDAS REIS ALVES</v>
      </c>
      <c r="P391" s="82" t="str">
        <f>IFERROR(__xludf.DUMMYFUNCTION("IFERROR(VLOOKUP(D391,
IMPORTRANGE(""https://docs.google.com/spreadsheets/d/1MjHtlUikwobi2MaWJgy7tfLeBmhj1u-dRFRs_8GwSoA/edit#gid=0"",""Gestores Escolares!D7:J""),7,0),""VERIFICAR CÓD SEC"")"),"(73) 9 8152-1490")</f>
        <v>(73) 9 8152-1490</v>
      </c>
      <c r="Q391" s="82" t="str">
        <f>IFERROR(__xludf.DUMMYFUNCTION("IFERROR(VLOOKUP(D391,
IMPORTRANGE(""https://docs.google.com/spreadsheets/d/1MjHtlUikwobi2MaWJgy7tfLeBmhj1u-dRFRs_8GwSoA/edit#gid=0"",""Gestores Escolares!D7:m""),9,0),""VERIFICAR CÓD SEC"")"),"")</f>
        <v/>
      </c>
      <c r="R391" s="82" t="str">
        <f>IFERROR(__xludf.DUMMYFUNCTION("IFERROR(VLOOKUP(D391,
IMPORTRANGE(""https://docs.google.com/spreadsheets/d/1MjHtlUikwobi2MaWJgy7tfLeBmhj1u-dRFRs_8GwSoA/edit#gid=0"",""Gestores Escolares!D7:m""),10,0),""VERIFICAR CÓD SEC"")"),"")</f>
        <v/>
      </c>
      <c r="S391" s="82"/>
      <c r="T391" s="138">
        <v>7.0</v>
      </c>
      <c r="U391" s="388" t="s">
        <v>5671</v>
      </c>
      <c r="V391" s="106">
        <v>0.0</v>
      </c>
      <c r="W391" s="107">
        <v>0.0</v>
      </c>
      <c r="X391" s="107">
        <v>0.0</v>
      </c>
      <c r="Y391" s="107">
        <v>0.0</v>
      </c>
      <c r="Z391" s="80">
        <f t="shared" si="1"/>
        <v>0</v>
      </c>
      <c r="AA391" s="106">
        <v>0.0</v>
      </c>
      <c r="AB391" s="107">
        <v>0.0</v>
      </c>
      <c r="AC391" s="107">
        <v>0.0</v>
      </c>
      <c r="AD391" s="107">
        <v>0.0</v>
      </c>
      <c r="AE391" s="80">
        <f t="shared" si="2"/>
        <v>0</v>
      </c>
      <c r="AF391" s="140">
        <v>0.0</v>
      </c>
      <c r="AG391" s="109">
        <v>0.0</v>
      </c>
      <c r="AH391" s="109">
        <v>0.0</v>
      </c>
      <c r="AI391" s="141">
        <v>146.0</v>
      </c>
      <c r="AJ391" s="80">
        <f t="shared" si="3"/>
        <v>146</v>
      </c>
      <c r="AK391" s="140">
        <v>0.0</v>
      </c>
      <c r="AL391" s="109">
        <v>0.0</v>
      </c>
      <c r="AM391" s="141">
        <v>0.0</v>
      </c>
      <c r="AN391" s="80">
        <f t="shared" si="4"/>
        <v>0</v>
      </c>
      <c r="AO391" s="140">
        <v>0.0</v>
      </c>
      <c r="AP391" s="109">
        <v>0.0</v>
      </c>
      <c r="AQ391" s="109">
        <v>67.0</v>
      </c>
      <c r="AR391" s="80">
        <f t="shared" si="5"/>
        <v>67</v>
      </c>
      <c r="AS391" s="110">
        <v>0.0</v>
      </c>
      <c r="AT391" s="110">
        <v>0.0</v>
      </c>
      <c r="AU391" s="110">
        <v>62.0</v>
      </c>
      <c r="AV391" s="142">
        <v>0.0</v>
      </c>
      <c r="AW391" s="80">
        <f t="shared" si="6"/>
        <v>62</v>
      </c>
      <c r="AX391" s="113">
        <f t="shared" si="7"/>
        <v>275</v>
      </c>
      <c r="AY391" s="117">
        <f t="shared" si="8"/>
        <v>146</v>
      </c>
      <c r="AZ391" s="120">
        <f t="shared" si="9"/>
        <v>129</v>
      </c>
      <c r="BA391" s="115">
        <v>0.0</v>
      </c>
      <c r="BB391" s="89">
        <f t="shared" si="10"/>
        <v>275</v>
      </c>
      <c r="BC391" s="132" t="s">
        <v>178</v>
      </c>
      <c r="BD391" s="132" t="s">
        <v>178</v>
      </c>
      <c r="BE391" s="132" t="s">
        <v>178</v>
      </c>
      <c r="BF391" s="156"/>
      <c r="BG391" s="83">
        <v>1159277.0</v>
      </c>
      <c r="BH391" s="112"/>
      <c r="BI391" s="112">
        <v>8.0</v>
      </c>
      <c r="BJ391" s="98" t="s">
        <v>155</v>
      </c>
      <c r="BK391" s="99">
        <f t="shared" si="11"/>
        <v>146</v>
      </c>
      <c r="BL391" s="99">
        <f t="shared" si="12"/>
        <v>0</v>
      </c>
      <c r="BM391" s="99" t="str">
        <f>IFERROR(__xludf.DUMMYFUNCTION("IFERROR(VLOOKUP(BG391,IMPORTRANGE(""https://docs.google.com/spreadsheets/d/1juPI-Fb8LD0YtltB2mlGEnp_R3UVu1t3wSFPzgCyHXE/edit?gid=0#gid=0"",""GERAL!A2:C""),3,0),""-"")"),"-")</f>
        <v>-</v>
      </c>
    </row>
    <row r="392" ht="15.75" customHeight="1">
      <c r="A392" s="111" t="s">
        <v>451</v>
      </c>
      <c r="B392" s="83" t="s">
        <v>1612</v>
      </c>
      <c r="C392" s="83" t="s">
        <v>68</v>
      </c>
      <c r="D392" s="112">
        <v>1159641.0</v>
      </c>
      <c r="E392" s="83"/>
      <c r="F392" s="83">
        <v>2.928815E7</v>
      </c>
      <c r="G392" s="147" t="s">
        <v>1613</v>
      </c>
      <c r="H392" s="91" t="s">
        <v>1614</v>
      </c>
      <c r="I392" s="83" t="s">
        <v>1615</v>
      </c>
      <c r="J392" s="83" t="s">
        <v>244</v>
      </c>
      <c r="K392" s="83" t="s">
        <v>151</v>
      </c>
      <c r="L392" s="83" t="s">
        <v>76</v>
      </c>
      <c r="M392" s="82" t="str">
        <f>IFERROR(__xludf.DUMMYFUNCTION("IFERROR(VLOOKUP(D392,
IMPORTRANGE(""https://docs.google.com/spreadsheets/d/1MjHtlUikwobi2MaWJgy7tfLeBmhj1u-dRFRs_8GwSoA/edit#gid=0"",""Gestores Escolares!D7:J""),3,0),""VERIFICAR CÓD SEC"")")," AUREA REGINA MOTA OLIVEIRA AGUIAR")</f>
        <v> AUREA REGINA MOTA OLIVEIRA AGUIAR</v>
      </c>
      <c r="N392" s="82" t="str">
        <f>IFERROR(__xludf.DUMMYFUNCTION("IFERROR(VLOOKUP(D392,
IMPORTRANGE(""https://docs.google.com/spreadsheets/d/1MjHtlUikwobi2MaWJgy7tfLeBmhj1u-dRFRs_8GwSoA/edit#gid=0"",""Gestores Escolares!D7:J""),4,0),""VERIFICAR CÓD SEC"")"),"(73) 9 8171-5517")</f>
        <v>(73) 9 8171-5517</v>
      </c>
      <c r="O392" s="82" t="str">
        <f>IFERROR(__xludf.DUMMYFUNCTION("IFERROR(VLOOKUP(D392,
IMPORTRANGE(""https://docs.google.com/spreadsheets/d/1MjHtlUikwobi2MaWJgy7tfLeBmhj1u-dRFRs_8GwSoA/edit#gid=0"",""Gestores Escolares!D7:J""),6,0),""VERIFICAR CÓD SEC"")"),"MARIA ESTELITA BARBOSA FARIAS")</f>
        <v>MARIA ESTELITA BARBOSA FARIAS</v>
      </c>
      <c r="P392" s="82" t="str">
        <f>IFERROR(__xludf.DUMMYFUNCTION("IFERROR(VLOOKUP(D392,
IMPORTRANGE(""https://docs.google.com/spreadsheets/d/1MjHtlUikwobi2MaWJgy7tfLeBmhj1u-dRFRs_8GwSoA/edit#gid=0"",""Gestores Escolares!D7:J""),7,0),""VERIFICAR CÓD SEC"")"),"(73) 9 8170-5005")</f>
        <v>(73) 9 8170-5005</v>
      </c>
      <c r="Q392" s="82" t="str">
        <f>IFERROR(__xludf.DUMMYFUNCTION("IFERROR(VLOOKUP(D392,
IMPORTRANGE(""https://docs.google.com/spreadsheets/d/1MjHtlUikwobi2MaWJgy7tfLeBmhj1u-dRFRs_8GwSoA/edit#gid=0"",""Gestores Escolares!D7:m""),9,0),""VERIFICAR CÓD SEC"")"),"RAMILLE ROQUE PINHEIRO")</f>
        <v>RAMILLE ROQUE PINHEIRO</v>
      </c>
      <c r="R392" s="82" t="str">
        <f>IFERROR(__xludf.DUMMYFUNCTION("IFERROR(VLOOKUP(D392,
IMPORTRANGE(""https://docs.google.com/spreadsheets/d/1MjHtlUikwobi2MaWJgy7tfLeBmhj1u-dRFRs_8GwSoA/edit#gid=0"",""Gestores Escolares!D7:m""),10,0),""VERIFICAR CÓD SEC"")"),"(73) 9 9997-8001")</f>
        <v>(73) 9 9997-8001</v>
      </c>
      <c r="S392" s="82"/>
      <c r="T392" s="138">
        <v>7.0</v>
      </c>
      <c r="U392" s="145">
        <v>6.0</v>
      </c>
      <c r="V392" s="106">
        <v>0.0</v>
      </c>
      <c r="W392" s="107">
        <v>0.0</v>
      </c>
      <c r="X392" s="107">
        <v>0.0</v>
      </c>
      <c r="Y392" s="107">
        <v>0.0</v>
      </c>
      <c r="Z392" s="80">
        <f t="shared" si="1"/>
        <v>0</v>
      </c>
      <c r="AA392" s="106">
        <v>0.0</v>
      </c>
      <c r="AB392" s="107">
        <v>0.0</v>
      </c>
      <c r="AC392" s="107">
        <v>0.0</v>
      </c>
      <c r="AD392" s="107">
        <v>0.0</v>
      </c>
      <c r="AE392" s="80">
        <f t="shared" si="2"/>
        <v>0</v>
      </c>
      <c r="AF392" s="140">
        <v>0.0</v>
      </c>
      <c r="AG392" s="109">
        <v>0.0</v>
      </c>
      <c r="AH392" s="109">
        <v>0.0</v>
      </c>
      <c r="AI392" s="141">
        <v>150.0</v>
      </c>
      <c r="AJ392" s="80">
        <f t="shared" si="3"/>
        <v>150</v>
      </c>
      <c r="AK392" s="140">
        <v>0.0</v>
      </c>
      <c r="AL392" s="109">
        <v>0.0</v>
      </c>
      <c r="AM392" s="141">
        <v>0.0</v>
      </c>
      <c r="AN392" s="80">
        <f t="shared" si="4"/>
        <v>0</v>
      </c>
      <c r="AO392" s="140">
        <v>0.0</v>
      </c>
      <c r="AP392" s="109">
        <v>0.0</v>
      </c>
      <c r="AQ392" s="109">
        <v>0.0</v>
      </c>
      <c r="AR392" s="80">
        <f t="shared" si="5"/>
        <v>0</v>
      </c>
      <c r="AS392" s="110">
        <v>0.0</v>
      </c>
      <c r="AT392" s="110">
        <v>0.0</v>
      </c>
      <c r="AU392" s="110">
        <v>0.0</v>
      </c>
      <c r="AV392" s="142">
        <v>0.0</v>
      </c>
      <c r="AW392" s="80">
        <f t="shared" si="6"/>
        <v>0</v>
      </c>
      <c r="AX392" s="113">
        <f t="shared" si="7"/>
        <v>150</v>
      </c>
      <c r="AY392" s="117">
        <f t="shared" si="8"/>
        <v>150</v>
      </c>
      <c r="AZ392" s="120">
        <f t="shared" si="9"/>
        <v>0</v>
      </c>
      <c r="BA392" s="115">
        <v>0.0</v>
      </c>
      <c r="BB392" s="89">
        <f t="shared" si="10"/>
        <v>150</v>
      </c>
      <c r="BC392" s="132" t="s">
        <v>373</v>
      </c>
      <c r="BD392" s="132" t="s">
        <v>178</v>
      </c>
      <c r="BE392" s="132" t="s">
        <v>178</v>
      </c>
      <c r="BF392" s="156"/>
      <c r="BG392" s="83">
        <v>1159641.0</v>
      </c>
      <c r="BH392" s="112"/>
      <c r="BI392" s="112">
        <v>6.0</v>
      </c>
      <c r="BJ392" s="98" t="s">
        <v>155</v>
      </c>
      <c r="BK392" s="99">
        <f t="shared" si="11"/>
        <v>150</v>
      </c>
      <c r="BL392" s="99">
        <f t="shared" si="12"/>
        <v>0</v>
      </c>
      <c r="BM392" s="99" t="str">
        <f>IFERROR(__xludf.DUMMYFUNCTION("IFERROR(VLOOKUP(BG392,IMPORTRANGE(""https://docs.google.com/spreadsheets/d/1juPI-Fb8LD0YtltB2mlGEnp_R3UVu1t3wSFPzgCyHXE/edit?gid=0#gid=0"",""GERAL!A2:C""),3,0),""-"")"),"CAMPO")</f>
        <v>CAMPO</v>
      </c>
    </row>
    <row r="393" ht="15.75" customHeight="1">
      <c r="A393" s="111" t="s">
        <v>451</v>
      </c>
      <c r="B393" s="83" t="s">
        <v>1612</v>
      </c>
      <c r="C393" s="83" t="s">
        <v>68</v>
      </c>
      <c r="D393" s="112">
        <v>1179678.0</v>
      </c>
      <c r="E393" s="83"/>
      <c r="F393" s="83">
        <v>2.9477492E7</v>
      </c>
      <c r="G393" s="220" t="s">
        <v>1617</v>
      </c>
      <c r="H393" s="91" t="s">
        <v>1618</v>
      </c>
      <c r="I393" s="83" t="s">
        <v>149</v>
      </c>
      <c r="J393" s="83" t="s">
        <v>568</v>
      </c>
      <c r="K393" s="83" t="s">
        <v>151</v>
      </c>
      <c r="L393" s="83" t="s">
        <v>76</v>
      </c>
      <c r="M393" s="82" t="str">
        <f>IFERROR(__xludf.DUMMYFUNCTION("IFERROR(VLOOKUP(D393,
IMPORTRANGE(""https://docs.google.com/spreadsheets/d/1MjHtlUikwobi2MaWJgy7tfLeBmhj1u-dRFRs_8GwSoA/edit#gid=0"",""Gestores Escolares!D7:J""),3,0),""VERIFICAR CÓD SEC"")"),"JOLENILZE FERNANDES DE SANTANA ")</f>
        <v>JOLENILZE FERNANDES DE SANTANA </v>
      </c>
      <c r="N393" s="82" t="str">
        <f>IFERROR(__xludf.DUMMYFUNCTION("IFERROR(VLOOKUP(D393,
IMPORTRANGE(""https://docs.google.com/spreadsheets/d/1MjHtlUikwobi2MaWJgy7tfLeBmhj1u-dRFRs_8GwSoA/edit#gid=0"",""Gestores Escolares!D7:J""),4,0),""VERIFICAR CÓD SEC"")"),"(73) 9 9827 5617")</f>
        <v>(73) 9 9827 5617</v>
      </c>
      <c r="O393" s="82" t="str">
        <f>IFERROR(__xludf.DUMMYFUNCTION("IFERROR(VLOOKUP(D393,
IMPORTRANGE(""https://docs.google.com/spreadsheets/d/1MjHtlUikwobi2MaWJgy7tfLeBmhj1u-dRFRs_8GwSoA/edit#gid=0"",""Gestores Escolares!D7:J""),6,0),""VERIFICAR CÓD SEC"")"),"")</f>
        <v/>
      </c>
      <c r="P393" s="82" t="str">
        <f>IFERROR(__xludf.DUMMYFUNCTION("IFERROR(VLOOKUP(D393,
IMPORTRANGE(""https://docs.google.com/spreadsheets/d/1MjHtlUikwobi2MaWJgy7tfLeBmhj1u-dRFRs_8GwSoA/edit#gid=0"",""Gestores Escolares!D7:J""),7,0),""VERIFICAR CÓD SEC"")"),"")</f>
        <v/>
      </c>
      <c r="Q393" s="82" t="str">
        <f>IFERROR(__xludf.DUMMYFUNCTION("IFERROR(VLOOKUP(D393,
IMPORTRANGE(""https://docs.google.com/spreadsheets/d/1MjHtlUikwobi2MaWJgy7tfLeBmhj1u-dRFRs_8GwSoA/edit#gid=0"",""Gestores Escolares!D7:m""),9,0),""VERIFICAR CÓD SEC"")"),"")</f>
        <v/>
      </c>
      <c r="R393" s="82" t="str">
        <f>IFERROR(__xludf.DUMMYFUNCTION("IFERROR(VLOOKUP(D393,
IMPORTRANGE(""https://docs.google.com/spreadsheets/d/1MjHtlUikwobi2MaWJgy7tfLeBmhj1u-dRFRs_8GwSoA/edit#gid=0"",""Gestores Escolares!D7:m""),10,0),""VERIFICAR CÓD SEC"")"),"")</f>
        <v/>
      </c>
      <c r="S393" s="82"/>
      <c r="T393" s="138">
        <v>6.0</v>
      </c>
      <c r="U393" s="369" t="s">
        <v>5692</v>
      </c>
      <c r="V393" s="106">
        <v>0.0</v>
      </c>
      <c r="W393" s="107">
        <v>0.0</v>
      </c>
      <c r="X393" s="107">
        <v>0.0</v>
      </c>
      <c r="Y393" s="107">
        <v>0.0</v>
      </c>
      <c r="Z393" s="80">
        <f t="shared" si="1"/>
        <v>0</v>
      </c>
      <c r="AA393" s="106">
        <v>0.0</v>
      </c>
      <c r="AB393" s="107">
        <v>0.0</v>
      </c>
      <c r="AC393" s="107">
        <v>0.0</v>
      </c>
      <c r="AD393" s="107">
        <v>0.0</v>
      </c>
      <c r="AE393" s="80">
        <f t="shared" si="2"/>
        <v>0</v>
      </c>
      <c r="AF393" s="140">
        <v>0.0</v>
      </c>
      <c r="AG393" s="109">
        <v>0.0</v>
      </c>
      <c r="AH393" s="109">
        <v>0.0</v>
      </c>
      <c r="AI393" s="141">
        <v>202.0</v>
      </c>
      <c r="AJ393" s="80">
        <f t="shared" si="3"/>
        <v>202</v>
      </c>
      <c r="AK393" s="140">
        <v>0.0</v>
      </c>
      <c r="AL393" s="109">
        <v>0.0</v>
      </c>
      <c r="AM393" s="141">
        <v>0.0</v>
      </c>
      <c r="AN393" s="80">
        <f t="shared" si="4"/>
        <v>0</v>
      </c>
      <c r="AO393" s="140">
        <v>0.0</v>
      </c>
      <c r="AP393" s="109">
        <v>0.0</v>
      </c>
      <c r="AQ393" s="109">
        <v>98.0</v>
      </c>
      <c r="AR393" s="80">
        <f t="shared" si="5"/>
        <v>98</v>
      </c>
      <c r="AS393" s="110">
        <v>0.0</v>
      </c>
      <c r="AT393" s="110">
        <v>0.0</v>
      </c>
      <c r="AU393" s="110">
        <v>0.0</v>
      </c>
      <c r="AV393" s="142">
        <v>0.0</v>
      </c>
      <c r="AW393" s="80">
        <f t="shared" si="6"/>
        <v>0</v>
      </c>
      <c r="AX393" s="113">
        <f t="shared" si="7"/>
        <v>300</v>
      </c>
      <c r="AY393" s="117">
        <f t="shared" si="8"/>
        <v>202</v>
      </c>
      <c r="AZ393" s="120">
        <f t="shared" si="9"/>
        <v>98</v>
      </c>
      <c r="BA393" s="115">
        <v>0.0</v>
      </c>
      <c r="BB393" s="89">
        <f t="shared" si="10"/>
        <v>300</v>
      </c>
      <c r="BC393" s="132" t="s">
        <v>178</v>
      </c>
      <c r="BD393" s="132" t="s">
        <v>178</v>
      </c>
      <c r="BE393" s="132" t="s">
        <v>178</v>
      </c>
      <c r="BF393" s="156"/>
      <c r="BG393" s="83">
        <v>1179678.0</v>
      </c>
      <c r="BH393" s="112"/>
      <c r="BI393" s="112">
        <v>6.0</v>
      </c>
      <c r="BJ393" s="98" t="s">
        <v>162</v>
      </c>
      <c r="BK393" s="99">
        <f t="shared" si="11"/>
        <v>202</v>
      </c>
      <c r="BL393" s="99">
        <f t="shared" si="12"/>
        <v>0</v>
      </c>
      <c r="BM393" s="99" t="str">
        <f>IFERROR(__xludf.DUMMYFUNCTION("IFERROR(VLOOKUP(BG393,IMPORTRANGE(""https://docs.google.com/spreadsheets/d/1juPI-Fb8LD0YtltB2mlGEnp_R3UVu1t3wSFPzgCyHXE/edit?gid=0#gid=0"",""GERAL!A2:C""),3,0),""-"")"),"-")</f>
        <v>-</v>
      </c>
    </row>
    <row r="394" ht="15.75" customHeight="1">
      <c r="A394" s="111" t="s">
        <v>451</v>
      </c>
      <c r="B394" s="83" t="s">
        <v>1612</v>
      </c>
      <c r="C394" s="83" t="s">
        <v>68</v>
      </c>
      <c r="D394" s="112">
        <v>1159668.0</v>
      </c>
      <c r="E394" s="83"/>
      <c r="F394" s="83">
        <v>2.9288142E7</v>
      </c>
      <c r="G394" s="114" t="s">
        <v>1621</v>
      </c>
      <c r="H394" s="91" t="s">
        <v>1622</v>
      </c>
      <c r="I394" s="83" t="s">
        <v>149</v>
      </c>
      <c r="J394" s="83" t="s">
        <v>150</v>
      </c>
      <c r="K394" s="83" t="s">
        <v>151</v>
      </c>
      <c r="L394" s="83" t="s">
        <v>230</v>
      </c>
      <c r="M394" s="82" t="str">
        <f>IFERROR(__xludf.DUMMYFUNCTION("IFERROR(VLOOKUP(D394,
IMPORTRANGE(""https://docs.google.com/spreadsheets/d/1MjHtlUikwobi2MaWJgy7tfLeBmhj1u-dRFRs_8GwSoA/edit#gid=0"",""Gestores Escolares!D7:J""),3,0),""VERIFICAR CÓD SEC"")"),"CESAR ALEX DE SOUZA LEAL")</f>
        <v>CESAR ALEX DE SOUZA LEAL</v>
      </c>
      <c r="N394" s="82" t="str">
        <f>IFERROR(__xludf.DUMMYFUNCTION("IFERROR(VLOOKUP(D394,
IMPORTRANGE(""https://docs.google.com/spreadsheets/d/1MjHtlUikwobi2MaWJgy7tfLeBmhj1u-dRFRs_8GwSoA/edit#gid=0"",""Gestores Escolares!D7:J""),4,0),""VERIFICAR CÓD SEC"")"),"(73) 9 8846-3162")</f>
        <v>(73) 9 8846-3162</v>
      </c>
      <c r="O394" s="82" t="str">
        <f>IFERROR(__xludf.DUMMYFUNCTION("IFERROR(VLOOKUP(D394,
IMPORTRANGE(""https://docs.google.com/spreadsheets/d/1MjHtlUikwobi2MaWJgy7tfLeBmhj1u-dRFRs_8GwSoA/edit#gid=0"",""Gestores Escolares!D7:J""),6,0),""VERIFICAR CÓD SEC"")"),"LUCIANA SANTOS DE SOUZA JESUS")</f>
        <v>LUCIANA SANTOS DE SOUZA JESUS</v>
      </c>
      <c r="P394" s="82" t="str">
        <f>IFERROR(__xludf.DUMMYFUNCTION("IFERROR(VLOOKUP(D394,
IMPORTRANGE(""https://docs.google.com/spreadsheets/d/1MjHtlUikwobi2MaWJgy7tfLeBmhj1u-dRFRs_8GwSoA/edit#gid=0"",""Gestores Escolares!D7:J""),7,0),""VERIFICAR CÓD SEC"")"),"(71) 9 8653-1636")</f>
        <v>(71) 9 8653-1636</v>
      </c>
      <c r="Q394" s="82" t="str">
        <f>IFERROR(__xludf.DUMMYFUNCTION("IFERROR(VLOOKUP(D394,
IMPORTRANGE(""https://docs.google.com/spreadsheets/d/1MjHtlUikwobi2MaWJgy7tfLeBmhj1u-dRFRs_8GwSoA/edit#gid=0"",""Gestores Escolares!D7:m""),9,0),""VERIFICAR CÓD SEC"")"),"")</f>
        <v/>
      </c>
      <c r="R394" s="82" t="str">
        <f>IFERROR(__xludf.DUMMYFUNCTION("IFERROR(VLOOKUP(D394,
IMPORTRANGE(""https://docs.google.com/spreadsheets/d/1MjHtlUikwobi2MaWJgy7tfLeBmhj1u-dRFRs_8GwSoA/edit#gid=0"",""Gestores Escolares!D7:m""),10,0),""VERIFICAR CÓD SEC"")"),"")</f>
        <v/>
      </c>
      <c r="S394" s="82"/>
      <c r="T394" s="138">
        <v>7.0</v>
      </c>
      <c r="U394" s="369" t="s">
        <v>5702</v>
      </c>
      <c r="V394" s="106">
        <v>0.0</v>
      </c>
      <c r="W394" s="107">
        <v>0.0</v>
      </c>
      <c r="X394" s="107">
        <v>0.0</v>
      </c>
      <c r="Y394" s="107">
        <v>0.0</v>
      </c>
      <c r="Z394" s="80">
        <f t="shared" si="1"/>
        <v>0</v>
      </c>
      <c r="AA394" s="106">
        <v>0.0</v>
      </c>
      <c r="AB394" s="107">
        <v>0.0</v>
      </c>
      <c r="AC394" s="107">
        <v>0.0</v>
      </c>
      <c r="AD394" s="107">
        <v>0.0</v>
      </c>
      <c r="AE394" s="80">
        <f t="shared" si="2"/>
        <v>0</v>
      </c>
      <c r="AF394" s="140">
        <v>0.0</v>
      </c>
      <c r="AG394" s="109">
        <v>0.0</v>
      </c>
      <c r="AH394" s="109">
        <v>0.0</v>
      </c>
      <c r="AI394" s="141">
        <v>0.0</v>
      </c>
      <c r="AJ394" s="80">
        <f t="shared" si="3"/>
        <v>0</v>
      </c>
      <c r="AK394" s="140">
        <v>0.0</v>
      </c>
      <c r="AL394" s="109">
        <v>0.0</v>
      </c>
      <c r="AM394" s="141">
        <v>0.0</v>
      </c>
      <c r="AN394" s="80">
        <f t="shared" si="4"/>
        <v>0</v>
      </c>
      <c r="AO394" s="140">
        <v>0.0</v>
      </c>
      <c r="AP394" s="109">
        <v>0.0</v>
      </c>
      <c r="AQ394" s="109">
        <v>0.0</v>
      </c>
      <c r="AR394" s="80">
        <f t="shared" si="5"/>
        <v>0</v>
      </c>
      <c r="AS394" s="110">
        <v>123.0</v>
      </c>
      <c r="AT394" s="110">
        <v>119.0</v>
      </c>
      <c r="AU394" s="110">
        <v>72.0</v>
      </c>
      <c r="AV394" s="142">
        <v>0.0</v>
      </c>
      <c r="AW394" s="80">
        <f t="shared" si="6"/>
        <v>314</v>
      </c>
      <c r="AX394" s="113">
        <f t="shared" si="7"/>
        <v>314</v>
      </c>
      <c r="AY394" s="117">
        <f t="shared" si="8"/>
        <v>242</v>
      </c>
      <c r="AZ394" s="120">
        <f t="shared" si="9"/>
        <v>72</v>
      </c>
      <c r="BA394" s="115">
        <v>0.0</v>
      </c>
      <c r="BB394" s="89">
        <f t="shared" si="10"/>
        <v>314</v>
      </c>
      <c r="BC394" s="132" t="s">
        <v>265</v>
      </c>
      <c r="BD394" s="132" t="s">
        <v>522</v>
      </c>
      <c r="BE394" s="132" t="s">
        <v>178</v>
      </c>
      <c r="BF394" s="156"/>
      <c r="BG394" s="83">
        <v>1159668.0</v>
      </c>
      <c r="BH394" s="112"/>
      <c r="BI394" s="112">
        <v>8.0</v>
      </c>
      <c r="BJ394" s="98" t="s">
        <v>155</v>
      </c>
      <c r="BK394" s="99">
        <f t="shared" si="11"/>
        <v>0</v>
      </c>
      <c r="BL394" s="99">
        <f t="shared" si="12"/>
        <v>242</v>
      </c>
      <c r="BM394" s="99" t="str">
        <f>IFERROR(__xludf.DUMMYFUNCTION("IFERROR(VLOOKUP(BG394,IMPORTRANGE(""https://docs.google.com/spreadsheets/d/1juPI-Fb8LD0YtltB2mlGEnp_R3UVu1t3wSFPzgCyHXE/edit?gid=0#gid=0"",""GERAL!A2:C""),3,0),""-"")"),"QUILOMBOLAS")</f>
        <v>QUILOMBOLAS</v>
      </c>
    </row>
    <row r="395" ht="15.75" customHeight="1">
      <c r="A395" s="111" t="s">
        <v>451</v>
      </c>
      <c r="B395" s="136" t="s">
        <v>1625</v>
      </c>
      <c r="C395" s="83" t="s">
        <v>68</v>
      </c>
      <c r="D395" s="112">
        <v>1159617.0</v>
      </c>
      <c r="E395" s="83"/>
      <c r="F395" s="83">
        <v>2.93115E7</v>
      </c>
      <c r="G395" s="119" t="s">
        <v>1626</v>
      </c>
      <c r="H395" s="91" t="s">
        <v>1627</v>
      </c>
      <c r="I395" s="83" t="s">
        <v>149</v>
      </c>
      <c r="J395" s="83" t="s">
        <v>187</v>
      </c>
      <c r="K395" s="83" t="s">
        <v>151</v>
      </c>
      <c r="L395" s="83" t="s">
        <v>76</v>
      </c>
      <c r="M395" s="82" t="str">
        <f>IFERROR(__xludf.DUMMYFUNCTION("IFERROR(VLOOKUP(D395,
IMPORTRANGE(""https://docs.google.com/spreadsheets/d/1MjHtlUikwobi2MaWJgy7tfLeBmhj1u-dRFRs_8GwSoA/edit#gid=0"",""Gestores Escolares!D7:J""),3,0),""VERIFICAR CÓD SEC"")"),"LEONARDO JHONATAS MOREIRA DA SILVA")</f>
        <v>LEONARDO JHONATAS MOREIRA DA SILVA</v>
      </c>
      <c r="N395" s="82" t="str">
        <f>IFERROR(__xludf.DUMMYFUNCTION("IFERROR(VLOOKUP(D395,
IMPORTRANGE(""https://docs.google.com/spreadsheets/d/1MjHtlUikwobi2MaWJgy7tfLeBmhj1u-dRFRs_8GwSoA/edit#gid=0"",""Gestores Escolares!D7:J""),4,0),""VERIFICAR CÓD SEC"")"),"(27) 9 9253-0569")</f>
        <v>(27) 9 9253-0569</v>
      </c>
      <c r="O395" s="82" t="str">
        <f>IFERROR(__xludf.DUMMYFUNCTION("IFERROR(VLOOKUP(D395,
IMPORTRANGE(""https://docs.google.com/spreadsheets/d/1MjHtlUikwobi2MaWJgy7tfLeBmhj1u-dRFRs_8GwSoA/edit#gid=0"",""Gestores Escolares!D7:J""),6,0),""VERIFICAR CÓD SEC"")"),"")</f>
        <v/>
      </c>
      <c r="P395" s="82" t="str">
        <f>IFERROR(__xludf.DUMMYFUNCTION("IFERROR(VLOOKUP(D395,
IMPORTRANGE(""https://docs.google.com/spreadsheets/d/1MjHtlUikwobi2MaWJgy7tfLeBmhj1u-dRFRs_8GwSoA/edit#gid=0"",""Gestores Escolares!D7:J""),7,0),""VERIFICAR CÓD SEC"")"),"")</f>
        <v/>
      </c>
      <c r="Q395" s="82" t="str">
        <f>IFERROR(__xludf.DUMMYFUNCTION("IFERROR(VLOOKUP(D395,
IMPORTRANGE(""https://docs.google.com/spreadsheets/d/1MjHtlUikwobi2MaWJgy7tfLeBmhj1u-dRFRs_8GwSoA/edit#gid=0"",""Gestores Escolares!D7:m""),9,0),""VERIFICAR CÓD SEC"")"),"")</f>
        <v/>
      </c>
      <c r="R395" s="82" t="str">
        <f>IFERROR(__xludf.DUMMYFUNCTION("IFERROR(VLOOKUP(D395,
IMPORTRANGE(""https://docs.google.com/spreadsheets/d/1MjHtlUikwobi2MaWJgy7tfLeBmhj1u-dRFRs_8GwSoA/edit#gid=0"",""Gestores Escolares!D7:m""),10,0),""VERIFICAR CÓD SEC"")"),"")</f>
        <v/>
      </c>
      <c r="S395" s="82"/>
      <c r="T395" s="138">
        <v>7.0</v>
      </c>
      <c r="U395" s="152">
        <v>6.0</v>
      </c>
      <c r="V395" s="106">
        <v>0.0</v>
      </c>
      <c r="W395" s="107">
        <v>0.0</v>
      </c>
      <c r="X395" s="107">
        <v>0.0</v>
      </c>
      <c r="Y395" s="107">
        <v>0.0</v>
      </c>
      <c r="Z395" s="80">
        <f t="shared" si="1"/>
        <v>0</v>
      </c>
      <c r="AA395" s="106">
        <v>0.0</v>
      </c>
      <c r="AB395" s="107">
        <v>0.0</v>
      </c>
      <c r="AC395" s="107">
        <v>0.0</v>
      </c>
      <c r="AD395" s="107">
        <v>0.0</v>
      </c>
      <c r="AE395" s="80">
        <f t="shared" si="2"/>
        <v>0</v>
      </c>
      <c r="AF395" s="140">
        <v>162.0</v>
      </c>
      <c r="AG395" s="109">
        <v>26.0</v>
      </c>
      <c r="AH395" s="109">
        <v>0.0</v>
      </c>
      <c r="AI395" s="141">
        <v>48.0</v>
      </c>
      <c r="AJ395" s="80">
        <f t="shared" si="3"/>
        <v>236</v>
      </c>
      <c r="AK395" s="140">
        <v>0.0</v>
      </c>
      <c r="AL395" s="109">
        <v>0.0</v>
      </c>
      <c r="AM395" s="141">
        <v>0.0</v>
      </c>
      <c r="AN395" s="80">
        <f t="shared" si="4"/>
        <v>0</v>
      </c>
      <c r="AO395" s="140">
        <v>0.0</v>
      </c>
      <c r="AP395" s="109">
        <v>0.0</v>
      </c>
      <c r="AQ395" s="109">
        <v>94.0</v>
      </c>
      <c r="AR395" s="80">
        <f t="shared" si="5"/>
        <v>94</v>
      </c>
      <c r="AS395" s="110">
        <v>0.0</v>
      </c>
      <c r="AT395" s="110">
        <v>0.0</v>
      </c>
      <c r="AU395" s="110">
        <v>0.0</v>
      </c>
      <c r="AV395" s="142">
        <v>90.0</v>
      </c>
      <c r="AW395" s="80">
        <f t="shared" si="6"/>
        <v>90</v>
      </c>
      <c r="AX395" s="113">
        <f t="shared" si="7"/>
        <v>420</v>
      </c>
      <c r="AY395" s="117">
        <f t="shared" si="8"/>
        <v>326</v>
      </c>
      <c r="AZ395" s="120">
        <f t="shared" si="9"/>
        <v>94</v>
      </c>
      <c r="BA395" s="115">
        <v>0.0</v>
      </c>
      <c r="BB395" s="89">
        <f t="shared" si="10"/>
        <v>420</v>
      </c>
      <c r="BC395" s="132" t="s">
        <v>178</v>
      </c>
      <c r="BD395" s="132" t="s">
        <v>178</v>
      </c>
      <c r="BE395" s="132" t="s">
        <v>178</v>
      </c>
      <c r="BF395" s="156"/>
      <c r="BG395" s="83">
        <v>1159617.0</v>
      </c>
      <c r="BH395" s="112"/>
      <c r="BI395" s="112">
        <v>6.0</v>
      </c>
      <c r="BJ395" s="98" t="s">
        <v>162</v>
      </c>
      <c r="BK395" s="99">
        <f t="shared" si="11"/>
        <v>138</v>
      </c>
      <c r="BL395" s="99">
        <f t="shared" si="12"/>
        <v>188</v>
      </c>
      <c r="BM395" s="99" t="str">
        <f>IFERROR(__xludf.DUMMYFUNCTION("IFERROR(VLOOKUP(BG395,IMPORTRANGE(""https://docs.google.com/spreadsheets/d/1juPI-Fb8LD0YtltB2mlGEnp_R3UVu1t3wSFPzgCyHXE/edit?gid=0#gid=0"",""GERAL!A2:C""),3,0),""-"")"),"-")</f>
        <v>-</v>
      </c>
    </row>
    <row r="396" ht="15.75" customHeight="1">
      <c r="A396" s="111" t="s">
        <v>451</v>
      </c>
      <c r="B396" s="136" t="s">
        <v>1625</v>
      </c>
      <c r="C396" s="83" t="s">
        <v>68</v>
      </c>
      <c r="D396" s="112">
        <v>1159587.0</v>
      </c>
      <c r="E396" s="83"/>
      <c r="F396" s="83">
        <v>2.9311497E7</v>
      </c>
      <c r="G396" s="119" t="s">
        <v>1631</v>
      </c>
      <c r="H396" s="91" t="s">
        <v>1632</v>
      </c>
      <c r="I396" s="83" t="s">
        <v>149</v>
      </c>
      <c r="J396" s="83" t="s">
        <v>150</v>
      </c>
      <c r="K396" s="83" t="s">
        <v>151</v>
      </c>
      <c r="L396" s="83" t="s">
        <v>169</v>
      </c>
      <c r="M396" s="82" t="str">
        <f>IFERROR(__xludf.DUMMYFUNCTION("IFERROR(VLOOKUP(D396,
IMPORTRANGE(""https://docs.google.com/spreadsheets/d/1MjHtlUikwobi2MaWJgy7tfLeBmhj1u-dRFRs_8GwSoA/edit#gid=0"",""Gestores Escolares!D7:J""),3,0),""VERIFICAR CÓD SEC"")"),"ROSIMEIRE SILVA SANTOS REIS")</f>
        <v>ROSIMEIRE SILVA SANTOS REIS</v>
      </c>
      <c r="N396" s="82" t="str">
        <f>IFERROR(__xludf.DUMMYFUNCTION("IFERROR(VLOOKUP(D396,
IMPORTRANGE(""https://docs.google.com/spreadsheets/d/1MjHtlUikwobi2MaWJgy7tfLeBmhj1u-dRFRs_8GwSoA/edit#gid=0"",""Gestores Escolares!D7:J""),4,0),""VERIFICAR CÓD SEC"")"),"(73) 9 9195-3738")</f>
        <v>(73) 9 9195-3738</v>
      </c>
      <c r="O396" s="82" t="str">
        <f>IFERROR(__xludf.DUMMYFUNCTION("IFERROR(VLOOKUP(D396,
IMPORTRANGE(""https://docs.google.com/spreadsheets/d/1MjHtlUikwobi2MaWJgy7tfLeBmhj1u-dRFRs_8GwSoA/edit#gid=0"",""Gestores Escolares!D7:J""),6,0),""VERIFICAR CÓD SEC"")"),"NIRALDO ROCHA JUNIOR")</f>
        <v>NIRALDO ROCHA JUNIOR</v>
      </c>
      <c r="P396" s="82" t="str">
        <f>IFERROR(__xludf.DUMMYFUNCTION("IFERROR(VLOOKUP(D396,
IMPORTRANGE(""https://docs.google.com/spreadsheets/d/1MjHtlUikwobi2MaWJgy7tfLeBmhj1u-dRFRs_8GwSoA/edit#gid=0"",""Gestores Escolares!D7:J""),7,0),""VERIFICAR CÓD SEC"")"),"(73) 9 9117-3714")</f>
        <v>(73) 9 9117-3714</v>
      </c>
      <c r="Q396" s="82" t="str">
        <f>IFERROR(__xludf.DUMMYFUNCTION("IFERROR(VLOOKUP(D396,
IMPORTRANGE(""https://docs.google.com/spreadsheets/d/1MjHtlUikwobi2MaWJgy7tfLeBmhj1u-dRFRs_8GwSoA/edit#gid=0"",""Gestores Escolares!D7:m""),9,0),""VERIFICAR CÓD SEC"")"),"")</f>
        <v/>
      </c>
      <c r="R396" s="82" t="str">
        <f>IFERROR(__xludf.DUMMYFUNCTION("IFERROR(VLOOKUP(D396,
IMPORTRANGE(""https://docs.google.com/spreadsheets/d/1MjHtlUikwobi2MaWJgy7tfLeBmhj1u-dRFRs_8GwSoA/edit#gid=0"",""Gestores Escolares!D7:m""),10,0),""VERIFICAR CÓD SEC"")"),"")</f>
        <v/>
      </c>
      <c r="S396" s="82"/>
      <c r="T396" s="138">
        <v>4.0</v>
      </c>
      <c r="U396" s="152">
        <v>4.0</v>
      </c>
      <c r="V396" s="106">
        <v>0.0</v>
      </c>
      <c r="W396" s="107">
        <v>0.0</v>
      </c>
      <c r="X396" s="107">
        <v>0.0</v>
      </c>
      <c r="Y396" s="107">
        <v>0.0</v>
      </c>
      <c r="Z396" s="80">
        <f t="shared" si="1"/>
        <v>0</v>
      </c>
      <c r="AA396" s="106">
        <v>0.0</v>
      </c>
      <c r="AB396" s="107">
        <v>0.0</v>
      </c>
      <c r="AC396" s="107">
        <v>0.0</v>
      </c>
      <c r="AD396" s="107">
        <v>0.0</v>
      </c>
      <c r="AE396" s="80">
        <f t="shared" si="2"/>
        <v>0</v>
      </c>
      <c r="AF396" s="140">
        <v>0.0</v>
      </c>
      <c r="AG396" s="109">
        <v>0.0</v>
      </c>
      <c r="AH396" s="109">
        <v>0.0</v>
      </c>
      <c r="AI396" s="141">
        <v>83.0</v>
      </c>
      <c r="AJ396" s="80">
        <f t="shared" si="3"/>
        <v>83</v>
      </c>
      <c r="AK396" s="140">
        <v>0.0</v>
      </c>
      <c r="AL396" s="109">
        <v>0.0</v>
      </c>
      <c r="AM396" s="141">
        <v>0.0</v>
      </c>
      <c r="AN396" s="80">
        <f t="shared" si="4"/>
        <v>0</v>
      </c>
      <c r="AO396" s="140">
        <v>0.0</v>
      </c>
      <c r="AP396" s="109">
        <v>0.0</v>
      </c>
      <c r="AQ396" s="109">
        <v>44.0</v>
      </c>
      <c r="AR396" s="80">
        <f t="shared" si="5"/>
        <v>44</v>
      </c>
      <c r="AS396" s="110">
        <v>0.0</v>
      </c>
      <c r="AT396" s="110">
        <v>0.0</v>
      </c>
      <c r="AU396" s="110">
        <v>23.0</v>
      </c>
      <c r="AV396" s="142">
        <v>0.0</v>
      </c>
      <c r="AW396" s="80">
        <f t="shared" si="6"/>
        <v>23</v>
      </c>
      <c r="AX396" s="113">
        <f t="shared" si="7"/>
        <v>150</v>
      </c>
      <c r="AY396" s="117">
        <f t="shared" si="8"/>
        <v>83</v>
      </c>
      <c r="AZ396" s="120">
        <f t="shared" si="9"/>
        <v>67</v>
      </c>
      <c r="BA396" s="115">
        <v>0.0</v>
      </c>
      <c r="BB396" s="89">
        <f t="shared" si="10"/>
        <v>150</v>
      </c>
      <c r="BC396" s="132" t="s">
        <v>178</v>
      </c>
      <c r="BD396" s="132" t="s">
        <v>178</v>
      </c>
      <c r="BE396" s="132" t="s">
        <v>178</v>
      </c>
      <c r="BF396" s="156"/>
      <c r="BG396" s="83">
        <v>1159587.0</v>
      </c>
      <c r="BH396" s="112"/>
      <c r="BI396" s="112">
        <v>4.0</v>
      </c>
      <c r="BJ396" s="98" t="s">
        <v>155</v>
      </c>
      <c r="BK396" s="99">
        <f t="shared" si="11"/>
        <v>83</v>
      </c>
      <c r="BL396" s="99">
        <f t="shared" si="12"/>
        <v>0</v>
      </c>
      <c r="BM396" s="99" t="str">
        <f>IFERROR(__xludf.DUMMYFUNCTION("IFERROR(VLOOKUP(BG396,IMPORTRANGE(""https://docs.google.com/spreadsheets/d/1juPI-Fb8LD0YtltB2mlGEnp_R3UVu1t3wSFPzgCyHXE/edit?gid=0#gid=0"",""GERAL!A2:C""),3,0),""-"")"),"-")</f>
        <v>-</v>
      </c>
    </row>
    <row r="397" ht="15.75" customHeight="1">
      <c r="A397" s="111" t="s">
        <v>451</v>
      </c>
      <c r="B397" s="83" t="s">
        <v>1634</v>
      </c>
      <c r="C397" s="83" t="s">
        <v>68</v>
      </c>
      <c r="D397" s="112">
        <v>1177077.0</v>
      </c>
      <c r="E397" s="136"/>
      <c r="F397" s="136">
        <v>2.9406897E7</v>
      </c>
      <c r="G397" s="292" t="s">
        <v>1635</v>
      </c>
      <c r="H397" s="91" t="s">
        <v>1636</v>
      </c>
      <c r="I397" s="136" t="s">
        <v>149</v>
      </c>
      <c r="J397" s="136" t="s">
        <v>150</v>
      </c>
      <c r="K397" s="136" t="s">
        <v>151</v>
      </c>
      <c r="L397" s="136" t="s">
        <v>152</v>
      </c>
      <c r="M397" s="82" t="str">
        <f>IFERROR(__xludf.DUMMYFUNCTION("IFERROR(VLOOKUP(D397,
IMPORTRANGE(""https://docs.google.com/spreadsheets/d/1MjHtlUikwobi2MaWJgy7tfLeBmhj1u-dRFRs_8GwSoA/edit#gid=0"",""Gestores Escolares!D7:J""),3,0),""VERIFICAR CÓD SEC"")"),"ROSINEIDE VENANCIO DO NASCIMENTO SANTANA")</f>
        <v>ROSINEIDE VENANCIO DO NASCIMENTO SANTANA</v>
      </c>
      <c r="N397" s="82" t="str">
        <f>IFERROR(__xludf.DUMMYFUNCTION("IFERROR(VLOOKUP(D397,
IMPORTRANGE(""https://docs.google.com/spreadsheets/d/1MjHtlUikwobi2MaWJgy7tfLeBmhj1u-dRFRs_8GwSoA/edit#gid=0"",""Gestores Escolares!D7:J""),4,0),""VERIFICAR CÓD SEC"")"),"(73) 9 8836-0132")</f>
        <v>(73) 9 8836-0132</v>
      </c>
      <c r="O397" s="82" t="str">
        <f>IFERROR(__xludf.DUMMYFUNCTION("IFERROR(VLOOKUP(D397,
IMPORTRANGE(""https://docs.google.com/spreadsheets/d/1MjHtlUikwobi2MaWJgy7tfLeBmhj1u-dRFRs_8GwSoA/edit#gid=0"",""Gestores Escolares!D7:J""),6,0),""VERIFICAR CÓD SEC"")"),"JONAS MARCEL DE ALMEIDA CAMPOS")</f>
        <v>JONAS MARCEL DE ALMEIDA CAMPOS</v>
      </c>
      <c r="P397" s="82" t="str">
        <f>IFERROR(__xludf.DUMMYFUNCTION("IFERROR(VLOOKUP(D397,
IMPORTRANGE(""https://docs.google.com/spreadsheets/d/1MjHtlUikwobi2MaWJgy7tfLeBmhj1u-dRFRs_8GwSoA/edit#gid=0"",""Gestores Escolares!D7:J""),7,0),""VERIFICAR CÓD SEC"")"),"(73) 9 8896-5963")</f>
        <v>(73) 9 8896-5963</v>
      </c>
      <c r="Q397" s="82" t="str">
        <f>IFERROR(__xludf.DUMMYFUNCTION("IFERROR(VLOOKUP(D397,
IMPORTRANGE(""https://docs.google.com/spreadsheets/d/1MjHtlUikwobi2MaWJgy7tfLeBmhj1u-dRFRs_8GwSoA/edit#gid=0"",""Gestores Escolares!D7:m""),9,0),""VERIFICAR CÓD SEC"")"),"SARA SANTOS MORAES")</f>
        <v>SARA SANTOS MORAES</v>
      </c>
      <c r="R397" s="82" t="str">
        <f>IFERROR(__xludf.DUMMYFUNCTION("IFERROR(VLOOKUP(D397,
IMPORTRANGE(""https://docs.google.com/spreadsheets/d/1MjHtlUikwobi2MaWJgy7tfLeBmhj1u-dRFRs_8GwSoA/edit#gid=0"",""Gestores Escolares!D7:m""),10,0),""VERIFICAR CÓD SEC"")"),"(73) 98112-8231")</f>
        <v>(73) 98112-8231</v>
      </c>
      <c r="S397" s="82"/>
      <c r="T397" s="138">
        <v>7.0</v>
      </c>
      <c r="U397" s="139">
        <v>6.0</v>
      </c>
      <c r="V397" s="106">
        <v>0.0</v>
      </c>
      <c r="W397" s="107">
        <v>0.0</v>
      </c>
      <c r="X397" s="107">
        <v>0.0</v>
      </c>
      <c r="Y397" s="107">
        <v>0.0</v>
      </c>
      <c r="Z397" s="80">
        <f t="shared" si="1"/>
        <v>0</v>
      </c>
      <c r="AA397" s="106">
        <v>0.0</v>
      </c>
      <c r="AB397" s="107">
        <v>0.0</v>
      </c>
      <c r="AC397" s="107">
        <v>0.0</v>
      </c>
      <c r="AD397" s="107">
        <v>0.0</v>
      </c>
      <c r="AE397" s="80">
        <f t="shared" si="2"/>
        <v>0</v>
      </c>
      <c r="AF397" s="140">
        <v>86.0</v>
      </c>
      <c r="AG397" s="109">
        <v>46.0</v>
      </c>
      <c r="AH397" s="109">
        <v>0.0</v>
      </c>
      <c r="AI397" s="141">
        <v>105.0</v>
      </c>
      <c r="AJ397" s="80">
        <f t="shared" si="3"/>
        <v>237</v>
      </c>
      <c r="AK397" s="140">
        <v>0.0</v>
      </c>
      <c r="AL397" s="109">
        <v>0.0</v>
      </c>
      <c r="AM397" s="141">
        <v>0.0</v>
      </c>
      <c r="AN397" s="80">
        <f t="shared" si="4"/>
        <v>0</v>
      </c>
      <c r="AO397" s="140">
        <v>0.0</v>
      </c>
      <c r="AP397" s="109">
        <v>0.0</v>
      </c>
      <c r="AQ397" s="109">
        <v>98.0</v>
      </c>
      <c r="AR397" s="80">
        <f t="shared" si="5"/>
        <v>98</v>
      </c>
      <c r="AS397" s="110">
        <v>0.0</v>
      </c>
      <c r="AT397" s="110">
        <v>0.0</v>
      </c>
      <c r="AU397" s="110">
        <v>36.0</v>
      </c>
      <c r="AV397" s="142">
        <v>0.0</v>
      </c>
      <c r="AW397" s="80">
        <f t="shared" si="6"/>
        <v>36</v>
      </c>
      <c r="AX397" s="113">
        <f t="shared" si="7"/>
        <v>371</v>
      </c>
      <c r="AY397" s="117">
        <f t="shared" si="8"/>
        <v>237</v>
      </c>
      <c r="AZ397" s="120">
        <f t="shared" si="9"/>
        <v>134</v>
      </c>
      <c r="BA397" s="115">
        <v>0.0</v>
      </c>
      <c r="BB397" s="89">
        <f t="shared" si="10"/>
        <v>371</v>
      </c>
      <c r="BC397" s="132" t="s">
        <v>178</v>
      </c>
      <c r="BD397" s="132" t="s">
        <v>178</v>
      </c>
      <c r="BE397" s="132" t="s">
        <v>178</v>
      </c>
      <c r="BF397" s="417"/>
      <c r="BG397" s="83">
        <v>1177077.0</v>
      </c>
      <c r="BH397" s="112"/>
      <c r="BI397" s="112">
        <v>6.0</v>
      </c>
      <c r="BJ397" s="98" t="s">
        <v>155</v>
      </c>
      <c r="BK397" s="99">
        <f t="shared" si="11"/>
        <v>105</v>
      </c>
      <c r="BL397" s="99">
        <f t="shared" si="12"/>
        <v>132</v>
      </c>
      <c r="BM397" s="99" t="str">
        <f>IFERROR(__xludf.DUMMYFUNCTION("IFERROR(VLOOKUP(BG397,IMPORTRANGE(""https://docs.google.com/spreadsheets/d/1juPI-Fb8LD0YtltB2mlGEnp_R3UVu1t3wSFPzgCyHXE/edit?gid=0#gid=0"",""GERAL!A2:C""),3,0),""-"")"),"-")</f>
        <v>-</v>
      </c>
    </row>
    <row r="398" ht="15.75" customHeight="1">
      <c r="A398" s="111" t="s">
        <v>451</v>
      </c>
      <c r="B398" s="83" t="s">
        <v>1634</v>
      </c>
      <c r="C398" s="83" t="s">
        <v>68</v>
      </c>
      <c r="D398" s="112">
        <v>1177011.0</v>
      </c>
      <c r="E398" s="136"/>
      <c r="F398" s="136">
        <v>2.9407044E7</v>
      </c>
      <c r="G398" s="292" t="s">
        <v>1638</v>
      </c>
      <c r="H398" s="91" t="s">
        <v>1639</v>
      </c>
      <c r="I398" s="136" t="s">
        <v>1640</v>
      </c>
      <c r="J398" s="136" t="s">
        <v>1641</v>
      </c>
      <c r="K398" s="136" t="s">
        <v>151</v>
      </c>
      <c r="L398" s="136" t="s">
        <v>152</v>
      </c>
      <c r="M398" s="82" t="str">
        <f>IFERROR(__xludf.DUMMYFUNCTION("IFERROR(VLOOKUP(D398,
IMPORTRANGE(""https://docs.google.com/spreadsheets/d/1MjHtlUikwobi2MaWJgy7tfLeBmhj1u-dRFRs_8GwSoA/edit#gid=0"",""Gestores Escolares!D7:J""),3,0),""VERIFICAR CÓD SEC"")"),"IVANILDA PEREIRA DOS SANTOS")</f>
        <v>IVANILDA PEREIRA DOS SANTOS</v>
      </c>
      <c r="N398" s="82" t="str">
        <f>IFERROR(__xludf.DUMMYFUNCTION("IFERROR(VLOOKUP(D398,
IMPORTRANGE(""https://docs.google.com/spreadsheets/d/1MjHtlUikwobi2MaWJgy7tfLeBmhj1u-dRFRs_8GwSoA/edit#gid=0"",""Gestores Escolares!D7:J""),4,0),""VERIFICAR CÓD SEC"")"),"(73) 9 8243-0673")</f>
        <v>(73) 9 8243-0673</v>
      </c>
      <c r="O398" s="82" t="str">
        <f>IFERROR(__xludf.DUMMYFUNCTION("IFERROR(VLOOKUP(D398,
IMPORTRANGE(""https://docs.google.com/spreadsheets/d/1MjHtlUikwobi2MaWJgy7tfLeBmhj1u-dRFRs_8GwSoA/edit#gid=0"",""Gestores Escolares!D7:J""),6,0),""VERIFICAR CÓD SEC"")"),"HARIA NUNES DE SOUZA")</f>
        <v>HARIA NUNES DE SOUZA</v>
      </c>
      <c r="P398" s="82" t="str">
        <f>IFERROR(__xludf.DUMMYFUNCTION("IFERROR(VLOOKUP(D398,
IMPORTRANGE(""https://docs.google.com/spreadsheets/d/1MjHtlUikwobi2MaWJgy7tfLeBmhj1u-dRFRs_8GwSoA/edit#gid=0"",""Gestores Escolares!D7:J""),7,0),""VERIFICAR CÓD SEC"")"),"(73) 9 8230-0422")</f>
        <v>(73) 9 8230-0422</v>
      </c>
      <c r="Q398" s="82" t="str">
        <f>IFERROR(__xludf.DUMMYFUNCTION("IFERROR(VLOOKUP(D398,
IMPORTRANGE(""https://docs.google.com/spreadsheets/d/1MjHtlUikwobi2MaWJgy7tfLeBmhj1u-dRFRs_8GwSoA/edit#gid=0"",""Gestores Escolares!D7:m""),9,0),""VERIFICAR CÓD SEC"")"),"RAIMUNDO ALVES DOS SANTOS")</f>
        <v>RAIMUNDO ALVES DOS SANTOS</v>
      </c>
      <c r="R398" s="82" t="str">
        <f>IFERROR(__xludf.DUMMYFUNCTION("IFERROR(VLOOKUP(D398,
IMPORTRANGE(""https://docs.google.com/spreadsheets/d/1MjHtlUikwobi2MaWJgy7tfLeBmhj1u-dRFRs_8GwSoA/edit#gid=0"",""Gestores Escolares!D7:m""),10,0),""VERIFICAR CÓD SEC"")"),"(73) 9 8122-5300")</f>
        <v>(73) 9 8122-5300</v>
      </c>
      <c r="S398" s="82"/>
      <c r="T398" s="138">
        <v>14.0</v>
      </c>
      <c r="U398" s="145" t="s">
        <v>5748</v>
      </c>
      <c r="V398" s="106">
        <v>0.0</v>
      </c>
      <c r="W398" s="107">
        <v>0.0</v>
      </c>
      <c r="X398" s="107">
        <v>0.0</v>
      </c>
      <c r="Y398" s="107">
        <v>0.0</v>
      </c>
      <c r="Z398" s="80">
        <f t="shared" si="1"/>
        <v>0</v>
      </c>
      <c r="AA398" s="106">
        <v>149.0</v>
      </c>
      <c r="AB398" s="107">
        <v>119.0</v>
      </c>
      <c r="AC398" s="107">
        <v>0.0</v>
      </c>
      <c r="AD398" s="107">
        <v>0.0</v>
      </c>
      <c r="AE398" s="80">
        <f t="shared" si="2"/>
        <v>268</v>
      </c>
      <c r="AF398" s="140">
        <v>0.0</v>
      </c>
      <c r="AG398" s="109">
        <v>15.0</v>
      </c>
      <c r="AH398" s="109">
        <v>0.0</v>
      </c>
      <c r="AI398" s="141">
        <v>19.0</v>
      </c>
      <c r="AJ398" s="80">
        <f t="shared" si="3"/>
        <v>34</v>
      </c>
      <c r="AK398" s="140">
        <v>0.0</v>
      </c>
      <c r="AL398" s="109">
        <v>0.0</v>
      </c>
      <c r="AM398" s="141">
        <v>33.0</v>
      </c>
      <c r="AN398" s="80">
        <f t="shared" si="4"/>
        <v>33</v>
      </c>
      <c r="AO398" s="140">
        <v>0.0</v>
      </c>
      <c r="AP398" s="109">
        <v>0.0</v>
      </c>
      <c r="AQ398" s="109">
        <v>42.0</v>
      </c>
      <c r="AR398" s="80">
        <f t="shared" si="5"/>
        <v>42</v>
      </c>
      <c r="AS398" s="110">
        <v>0.0</v>
      </c>
      <c r="AT398" s="110">
        <v>0.0</v>
      </c>
      <c r="AU398" s="110">
        <v>0.0</v>
      </c>
      <c r="AV398" s="142">
        <v>16.0</v>
      </c>
      <c r="AW398" s="80">
        <f t="shared" si="6"/>
        <v>16</v>
      </c>
      <c r="AX398" s="113">
        <f t="shared" si="7"/>
        <v>393</v>
      </c>
      <c r="AY398" s="117">
        <f t="shared" si="8"/>
        <v>318</v>
      </c>
      <c r="AZ398" s="120">
        <f t="shared" si="9"/>
        <v>75</v>
      </c>
      <c r="BA398" s="115">
        <v>0.0</v>
      </c>
      <c r="BB398" s="89">
        <f t="shared" si="10"/>
        <v>393</v>
      </c>
      <c r="BC398" s="143" t="s">
        <v>1294</v>
      </c>
      <c r="BD398" s="132" t="s">
        <v>178</v>
      </c>
      <c r="BE398" s="132" t="s">
        <v>178</v>
      </c>
      <c r="BF398" s="156"/>
      <c r="BG398" s="83">
        <v>1177011.0</v>
      </c>
      <c r="BH398" s="112"/>
      <c r="BI398" s="112">
        <v>14.0</v>
      </c>
      <c r="BJ398" s="98" t="s">
        <v>155</v>
      </c>
      <c r="BK398" s="99">
        <f t="shared" si="11"/>
        <v>35</v>
      </c>
      <c r="BL398" s="99">
        <f t="shared" si="12"/>
        <v>283</v>
      </c>
      <c r="BM398" s="99" t="str">
        <f>IFERROR(__xludf.DUMMYFUNCTION("IFERROR(VLOOKUP(BG398,IMPORTRANGE(""https://docs.google.com/spreadsheets/d/1juPI-Fb8LD0YtltB2mlGEnp_R3UVu1t3wSFPzgCyHXE/edit?gid=0#gid=0"",""GERAL!A2:C""),3,0),""-"")"),"INDÍGENAS")</f>
        <v>INDÍGENAS</v>
      </c>
    </row>
    <row r="399" ht="15.75" customHeight="1">
      <c r="A399" s="111" t="s">
        <v>451</v>
      </c>
      <c r="B399" s="83" t="s">
        <v>1634</v>
      </c>
      <c r="C399" s="83" t="s">
        <v>164</v>
      </c>
      <c r="D399" s="112">
        <v>1177011.0</v>
      </c>
      <c r="E399" s="83">
        <v>1178509.0</v>
      </c>
      <c r="F399" s="98">
        <v>2.9492068E7</v>
      </c>
      <c r="G399" s="185" t="s">
        <v>1643</v>
      </c>
      <c r="H399" s="91" t="s">
        <v>1644</v>
      </c>
      <c r="I399" s="83" t="s">
        <v>149</v>
      </c>
      <c r="J399" s="83" t="s">
        <v>1645</v>
      </c>
      <c r="K399" s="83" t="s">
        <v>151</v>
      </c>
      <c r="L399" s="83" t="s">
        <v>169</v>
      </c>
      <c r="M399" s="82" t="str">
        <f>IFERROR(__xludf.DUMMYFUNCTION("IFERROR(VLOOKUP(D399,
IMPORTRANGE(""https://docs.google.com/spreadsheets/d/1MjHtlUikwobi2MaWJgy7tfLeBmhj1u-dRFRs_8GwSoA/edit#gid=0"",""Gestores Escolares!D7:J""),3,0),""VERIFICAR CÓD SEC"")"),"IVANILDA PEREIRA DOS SANTOS")</f>
        <v>IVANILDA PEREIRA DOS SANTOS</v>
      </c>
      <c r="N399" s="82" t="str">
        <f>IFERROR(__xludf.DUMMYFUNCTION("IFERROR(VLOOKUP(D399,
IMPORTRANGE(""https://docs.google.com/spreadsheets/d/1MjHtlUikwobi2MaWJgy7tfLeBmhj1u-dRFRs_8GwSoA/edit#gid=0"",""Gestores Escolares!D7:J""),4,0),""VERIFICAR CÓD SEC"")"),"(73) 9 8243-0673")</f>
        <v>(73) 9 8243-0673</v>
      </c>
      <c r="O399" s="82" t="str">
        <f>IFERROR(__xludf.DUMMYFUNCTION("IFERROR(VLOOKUP(D399,
IMPORTRANGE(""https://docs.google.com/spreadsheets/d/1MjHtlUikwobi2MaWJgy7tfLeBmhj1u-dRFRs_8GwSoA/edit#gid=0"",""Gestores Escolares!D7:J""),6,0),""VERIFICAR CÓD SEC"")"),"HARIA NUNES DE SOUZA")</f>
        <v>HARIA NUNES DE SOUZA</v>
      </c>
      <c r="P399" s="82" t="str">
        <f>IFERROR(__xludf.DUMMYFUNCTION("IFERROR(VLOOKUP(D399,
IMPORTRANGE(""https://docs.google.com/spreadsheets/d/1MjHtlUikwobi2MaWJgy7tfLeBmhj1u-dRFRs_8GwSoA/edit#gid=0"",""Gestores Escolares!D7:J""),7,0),""VERIFICAR CÓD SEC"")"),"(73) 9 8230-0422")</f>
        <v>(73) 9 8230-0422</v>
      </c>
      <c r="Q399" s="82" t="str">
        <f>IFERROR(__xludf.DUMMYFUNCTION("IFERROR(VLOOKUP(D399,
IMPORTRANGE(""https://docs.google.com/spreadsheets/d/1MjHtlUikwobi2MaWJgy7tfLeBmhj1u-dRFRs_8GwSoA/edit#gid=0"",""Gestores Escolares!D7:m""),9,0),""VERIFICAR CÓD SEC"")"),"RAIMUNDO ALVES DOS SANTOS")</f>
        <v>RAIMUNDO ALVES DOS SANTOS</v>
      </c>
      <c r="R399" s="82" t="str">
        <f>IFERROR(__xludf.DUMMYFUNCTION("IFERROR(VLOOKUP(D399,
IMPORTRANGE(""https://docs.google.com/spreadsheets/d/1MjHtlUikwobi2MaWJgy7tfLeBmhj1u-dRFRs_8GwSoA/edit#gid=0"",""Gestores Escolares!D7:m""),10,0),""VERIFICAR CÓD SEC"")"),"(73) 9 8122-5300")</f>
        <v>(73) 9 8122-5300</v>
      </c>
      <c r="S399" s="82"/>
      <c r="T399" s="138">
        <v>2.0</v>
      </c>
      <c r="U399" s="139">
        <v>2.0</v>
      </c>
      <c r="V399" s="106">
        <v>0.0</v>
      </c>
      <c r="W399" s="107">
        <v>0.0</v>
      </c>
      <c r="X399" s="107">
        <v>0.0</v>
      </c>
      <c r="Y399" s="107">
        <v>0.0</v>
      </c>
      <c r="Z399" s="80">
        <f t="shared" si="1"/>
        <v>0</v>
      </c>
      <c r="AA399" s="106">
        <v>14.0</v>
      </c>
      <c r="AB399" s="107">
        <v>0.0</v>
      </c>
      <c r="AC399" s="107">
        <v>0.0</v>
      </c>
      <c r="AD399" s="107">
        <v>0.0</v>
      </c>
      <c r="AE399" s="80">
        <f t="shared" si="2"/>
        <v>14</v>
      </c>
      <c r="AF399" s="140">
        <v>0.0</v>
      </c>
      <c r="AG399" s="109">
        <v>0.0</v>
      </c>
      <c r="AH399" s="109">
        <v>0.0</v>
      </c>
      <c r="AI399" s="141">
        <v>0.0</v>
      </c>
      <c r="AJ399" s="80">
        <f t="shared" si="3"/>
        <v>0</v>
      </c>
      <c r="AK399" s="140">
        <v>0.0</v>
      </c>
      <c r="AL399" s="109">
        <v>0.0</v>
      </c>
      <c r="AM399" s="141">
        <v>0.0</v>
      </c>
      <c r="AN399" s="80">
        <f t="shared" si="4"/>
        <v>0</v>
      </c>
      <c r="AO399" s="140">
        <v>0.0</v>
      </c>
      <c r="AP399" s="109">
        <v>0.0</v>
      </c>
      <c r="AQ399" s="109">
        <v>0.0</v>
      </c>
      <c r="AR399" s="80">
        <f t="shared" si="5"/>
        <v>0</v>
      </c>
      <c r="AS399" s="110">
        <v>0.0</v>
      </c>
      <c r="AT399" s="110">
        <v>0.0</v>
      </c>
      <c r="AU399" s="110">
        <v>0.0</v>
      </c>
      <c r="AV399" s="142">
        <v>0.0</v>
      </c>
      <c r="AW399" s="80">
        <f t="shared" si="6"/>
        <v>0</v>
      </c>
      <c r="AX399" s="113">
        <f t="shared" si="7"/>
        <v>14</v>
      </c>
      <c r="AY399" s="117">
        <f t="shared" si="8"/>
        <v>14</v>
      </c>
      <c r="AZ399" s="120">
        <f t="shared" si="9"/>
        <v>0</v>
      </c>
      <c r="BA399" s="115">
        <v>0.0</v>
      </c>
      <c r="BB399" s="89">
        <f t="shared" si="10"/>
        <v>14</v>
      </c>
      <c r="BC399" s="143" t="s">
        <v>1294</v>
      </c>
      <c r="BD399" s="132" t="s">
        <v>178</v>
      </c>
      <c r="BE399" s="132" t="s">
        <v>178</v>
      </c>
      <c r="BF399" s="123"/>
      <c r="BG399" s="83">
        <v>1178509.0</v>
      </c>
      <c r="BH399" s="112"/>
      <c r="BI399" s="112">
        <v>2.0</v>
      </c>
      <c r="BJ399" s="98" t="s">
        <v>155</v>
      </c>
      <c r="BK399" s="99">
        <f t="shared" si="11"/>
        <v>0</v>
      </c>
      <c r="BL399" s="99">
        <f t="shared" si="12"/>
        <v>14</v>
      </c>
      <c r="BM399" s="99" t="str">
        <f>IFERROR(__xludf.DUMMYFUNCTION("IFERROR(VLOOKUP(BG399,IMPORTRANGE(""https://docs.google.com/spreadsheets/d/1juPI-Fb8LD0YtltB2mlGEnp_R3UVu1t3wSFPzgCyHXE/edit?gid=0#gid=0"",""GERAL!A2:C""),3,0),""-"")"),"INDÍGENAS")</f>
        <v>INDÍGENAS</v>
      </c>
    </row>
    <row r="400" ht="15.75" customHeight="1">
      <c r="A400" s="111" t="s">
        <v>451</v>
      </c>
      <c r="B400" s="83" t="s">
        <v>1634</v>
      </c>
      <c r="C400" s="83" t="s">
        <v>164</v>
      </c>
      <c r="D400" s="112">
        <v>1177011.0</v>
      </c>
      <c r="E400" s="83">
        <v>1178507.0</v>
      </c>
      <c r="F400" s="98">
        <v>2.949205E7</v>
      </c>
      <c r="G400" s="185" t="s">
        <v>1646</v>
      </c>
      <c r="H400" s="91" t="s">
        <v>1647</v>
      </c>
      <c r="I400" s="83" t="s">
        <v>149</v>
      </c>
      <c r="J400" s="83" t="s">
        <v>315</v>
      </c>
      <c r="K400" s="83" t="s">
        <v>151</v>
      </c>
      <c r="L400" s="83" t="s">
        <v>512</v>
      </c>
      <c r="M400" s="82" t="str">
        <f>IFERROR(__xludf.DUMMYFUNCTION("IFERROR(VLOOKUP(D400,
IMPORTRANGE(""https://docs.google.com/spreadsheets/d/1MjHtlUikwobi2MaWJgy7tfLeBmhj1u-dRFRs_8GwSoA/edit#gid=0"",""Gestores Escolares!D7:J""),3,0),""VERIFICAR CÓD SEC"")"),"IVANILDA PEREIRA DOS SANTOS")</f>
        <v>IVANILDA PEREIRA DOS SANTOS</v>
      </c>
      <c r="N400" s="82" t="str">
        <f>IFERROR(__xludf.DUMMYFUNCTION("IFERROR(VLOOKUP(D400,
IMPORTRANGE(""https://docs.google.com/spreadsheets/d/1MjHtlUikwobi2MaWJgy7tfLeBmhj1u-dRFRs_8GwSoA/edit#gid=0"",""Gestores Escolares!D7:J""),4,0),""VERIFICAR CÓD SEC"")"),"(73) 9 8243-0673")</f>
        <v>(73) 9 8243-0673</v>
      </c>
      <c r="O400" s="82" t="str">
        <f>IFERROR(__xludf.DUMMYFUNCTION("IFERROR(VLOOKUP(D400,
IMPORTRANGE(""https://docs.google.com/spreadsheets/d/1MjHtlUikwobi2MaWJgy7tfLeBmhj1u-dRFRs_8GwSoA/edit#gid=0"",""Gestores Escolares!D7:J""),6,0),""VERIFICAR CÓD SEC"")"),"HARIA NUNES DE SOUZA")</f>
        <v>HARIA NUNES DE SOUZA</v>
      </c>
      <c r="P400" s="82" t="str">
        <f>IFERROR(__xludf.DUMMYFUNCTION("IFERROR(VLOOKUP(D400,
IMPORTRANGE(""https://docs.google.com/spreadsheets/d/1MjHtlUikwobi2MaWJgy7tfLeBmhj1u-dRFRs_8GwSoA/edit#gid=0"",""Gestores Escolares!D7:J""),7,0),""VERIFICAR CÓD SEC"")"),"(73) 9 8230-0422")</f>
        <v>(73) 9 8230-0422</v>
      </c>
      <c r="Q400" s="82" t="str">
        <f>IFERROR(__xludf.DUMMYFUNCTION("IFERROR(VLOOKUP(D400,
IMPORTRANGE(""https://docs.google.com/spreadsheets/d/1MjHtlUikwobi2MaWJgy7tfLeBmhj1u-dRFRs_8GwSoA/edit#gid=0"",""Gestores Escolares!D7:m""),9,0),""VERIFICAR CÓD SEC"")"),"RAIMUNDO ALVES DOS SANTOS")</f>
        <v>RAIMUNDO ALVES DOS SANTOS</v>
      </c>
      <c r="R400" s="82" t="str">
        <f>IFERROR(__xludf.DUMMYFUNCTION("IFERROR(VLOOKUP(D400,
IMPORTRANGE(""https://docs.google.com/spreadsheets/d/1MjHtlUikwobi2MaWJgy7tfLeBmhj1u-dRFRs_8GwSoA/edit#gid=0"",""Gestores Escolares!D7:m""),10,0),""VERIFICAR CÓD SEC"")"),"(73) 9 8122-5300")</f>
        <v>(73) 9 8122-5300</v>
      </c>
      <c r="S400" s="82"/>
      <c r="T400" s="138">
        <v>1.0</v>
      </c>
      <c r="U400" s="139">
        <v>2.0</v>
      </c>
      <c r="V400" s="106">
        <v>0.0</v>
      </c>
      <c r="W400" s="107">
        <v>0.0</v>
      </c>
      <c r="X400" s="107">
        <v>0.0</v>
      </c>
      <c r="Y400" s="107">
        <v>0.0</v>
      </c>
      <c r="Z400" s="80">
        <f t="shared" si="1"/>
        <v>0</v>
      </c>
      <c r="AA400" s="106">
        <v>0.0</v>
      </c>
      <c r="AB400" s="107">
        <v>6.0</v>
      </c>
      <c r="AC400" s="107">
        <v>0.0</v>
      </c>
      <c r="AD400" s="107">
        <v>0.0</v>
      </c>
      <c r="AE400" s="80">
        <f t="shared" si="2"/>
        <v>6</v>
      </c>
      <c r="AF400" s="140">
        <v>0.0</v>
      </c>
      <c r="AG400" s="109">
        <v>0.0</v>
      </c>
      <c r="AH400" s="109">
        <v>0.0</v>
      </c>
      <c r="AI400" s="141">
        <v>0.0</v>
      </c>
      <c r="AJ400" s="80">
        <f t="shared" si="3"/>
        <v>0</v>
      </c>
      <c r="AK400" s="140">
        <v>0.0</v>
      </c>
      <c r="AL400" s="109">
        <v>0.0</v>
      </c>
      <c r="AM400" s="141">
        <v>0.0</v>
      </c>
      <c r="AN400" s="80">
        <f t="shared" si="4"/>
        <v>0</v>
      </c>
      <c r="AO400" s="140">
        <v>0.0</v>
      </c>
      <c r="AP400" s="109">
        <v>0.0</v>
      </c>
      <c r="AQ400" s="109">
        <v>0.0</v>
      </c>
      <c r="AR400" s="80">
        <f t="shared" si="5"/>
        <v>0</v>
      </c>
      <c r="AS400" s="110">
        <v>0.0</v>
      </c>
      <c r="AT400" s="110">
        <v>0.0</v>
      </c>
      <c r="AU400" s="110">
        <v>0.0</v>
      </c>
      <c r="AV400" s="142">
        <v>0.0</v>
      </c>
      <c r="AW400" s="80">
        <f t="shared" si="6"/>
        <v>0</v>
      </c>
      <c r="AX400" s="113">
        <f t="shared" si="7"/>
        <v>6</v>
      </c>
      <c r="AY400" s="117">
        <f t="shared" si="8"/>
        <v>6</v>
      </c>
      <c r="AZ400" s="120">
        <f t="shared" si="9"/>
        <v>0</v>
      </c>
      <c r="BA400" s="115">
        <v>0.0</v>
      </c>
      <c r="BB400" s="89">
        <f t="shared" si="10"/>
        <v>6</v>
      </c>
      <c r="BC400" s="143" t="s">
        <v>1294</v>
      </c>
      <c r="BD400" s="132" t="s">
        <v>178</v>
      </c>
      <c r="BE400" s="132" t="s">
        <v>178</v>
      </c>
      <c r="BF400" s="123"/>
      <c r="BG400" s="83">
        <v>1178507.0</v>
      </c>
      <c r="BH400" s="112"/>
      <c r="BI400" s="112">
        <v>2.0</v>
      </c>
      <c r="BJ400" s="98" t="s">
        <v>155</v>
      </c>
      <c r="BK400" s="99">
        <f t="shared" si="11"/>
        <v>0</v>
      </c>
      <c r="BL400" s="99">
        <f t="shared" si="12"/>
        <v>6</v>
      </c>
      <c r="BM400" s="99" t="str">
        <f>IFERROR(__xludf.DUMMYFUNCTION("IFERROR(VLOOKUP(BG400,IMPORTRANGE(""https://docs.google.com/spreadsheets/d/1juPI-Fb8LD0YtltB2mlGEnp_R3UVu1t3wSFPzgCyHXE/edit?gid=0#gid=0"",""GERAL!A2:C""),3,0),""-"")"),"INDÍGENAS")</f>
        <v>INDÍGENAS</v>
      </c>
    </row>
    <row r="401" ht="15.75" customHeight="1">
      <c r="A401" s="111" t="s">
        <v>451</v>
      </c>
      <c r="B401" s="83" t="s">
        <v>1634</v>
      </c>
      <c r="C401" s="83" t="s">
        <v>164</v>
      </c>
      <c r="D401" s="112">
        <v>1177011.0</v>
      </c>
      <c r="E401" s="83">
        <v>1178508.0</v>
      </c>
      <c r="F401" s="98">
        <v>2.9492041E7</v>
      </c>
      <c r="G401" s="185" t="s">
        <v>1648</v>
      </c>
      <c r="H401" s="91" t="s">
        <v>1649</v>
      </c>
      <c r="I401" s="136" t="s">
        <v>149</v>
      </c>
      <c r="J401" s="136" t="s">
        <v>315</v>
      </c>
      <c r="K401" s="136" t="s">
        <v>151</v>
      </c>
      <c r="L401" s="136" t="s">
        <v>512</v>
      </c>
      <c r="M401" s="82" t="str">
        <f>IFERROR(__xludf.DUMMYFUNCTION("IFERROR(VLOOKUP(D401,
IMPORTRANGE(""https://docs.google.com/spreadsheets/d/1MjHtlUikwobi2MaWJgy7tfLeBmhj1u-dRFRs_8GwSoA/edit#gid=0"",""Gestores Escolares!D7:J""),3,0),""VERIFICAR CÓD SEC"")"),"IVANILDA PEREIRA DOS SANTOS")</f>
        <v>IVANILDA PEREIRA DOS SANTOS</v>
      </c>
      <c r="N401" s="82" t="str">
        <f>IFERROR(__xludf.DUMMYFUNCTION("IFERROR(VLOOKUP(D401,
IMPORTRANGE(""https://docs.google.com/spreadsheets/d/1MjHtlUikwobi2MaWJgy7tfLeBmhj1u-dRFRs_8GwSoA/edit#gid=0"",""Gestores Escolares!D7:J""),4,0),""VERIFICAR CÓD SEC"")"),"(73) 9 8243-0673")</f>
        <v>(73) 9 8243-0673</v>
      </c>
      <c r="O401" s="82" t="str">
        <f>IFERROR(__xludf.DUMMYFUNCTION("IFERROR(VLOOKUP(D401,
IMPORTRANGE(""https://docs.google.com/spreadsheets/d/1MjHtlUikwobi2MaWJgy7tfLeBmhj1u-dRFRs_8GwSoA/edit#gid=0"",""Gestores Escolares!D7:J""),6,0),""VERIFICAR CÓD SEC"")"),"HARIA NUNES DE SOUZA")</f>
        <v>HARIA NUNES DE SOUZA</v>
      </c>
      <c r="P401" s="82" t="str">
        <f>IFERROR(__xludf.DUMMYFUNCTION("IFERROR(VLOOKUP(D401,
IMPORTRANGE(""https://docs.google.com/spreadsheets/d/1MjHtlUikwobi2MaWJgy7tfLeBmhj1u-dRFRs_8GwSoA/edit#gid=0"",""Gestores Escolares!D7:J""),7,0),""VERIFICAR CÓD SEC"")"),"(73) 9 8230-0422")</f>
        <v>(73) 9 8230-0422</v>
      </c>
      <c r="Q401" s="82" t="str">
        <f>IFERROR(__xludf.DUMMYFUNCTION("IFERROR(VLOOKUP(D401,
IMPORTRANGE(""https://docs.google.com/spreadsheets/d/1MjHtlUikwobi2MaWJgy7tfLeBmhj1u-dRFRs_8GwSoA/edit#gid=0"",""Gestores Escolares!D7:m""),9,0),""VERIFICAR CÓD SEC"")"),"RAIMUNDO ALVES DOS SANTOS")</f>
        <v>RAIMUNDO ALVES DOS SANTOS</v>
      </c>
      <c r="R401" s="82" t="str">
        <f>IFERROR(__xludf.DUMMYFUNCTION("IFERROR(VLOOKUP(D401,
IMPORTRANGE(""https://docs.google.com/spreadsheets/d/1MjHtlUikwobi2MaWJgy7tfLeBmhj1u-dRFRs_8GwSoA/edit#gid=0"",""Gestores Escolares!D7:m""),10,0),""VERIFICAR CÓD SEC"")"),"(73) 9 8122-5300")</f>
        <v>(73) 9 8122-5300</v>
      </c>
      <c r="S401" s="82"/>
      <c r="T401" s="138">
        <v>4.0</v>
      </c>
      <c r="U401" s="139">
        <v>3.0</v>
      </c>
      <c r="V401" s="106">
        <v>0.0</v>
      </c>
      <c r="W401" s="107">
        <v>0.0</v>
      </c>
      <c r="X401" s="107">
        <v>0.0</v>
      </c>
      <c r="Y401" s="107">
        <v>0.0</v>
      </c>
      <c r="Z401" s="80">
        <f t="shared" si="1"/>
        <v>0</v>
      </c>
      <c r="AA401" s="106">
        <v>31.0</v>
      </c>
      <c r="AB401" s="107">
        <v>0.0</v>
      </c>
      <c r="AC401" s="107">
        <v>0.0</v>
      </c>
      <c r="AD401" s="107">
        <v>0.0</v>
      </c>
      <c r="AE401" s="80">
        <f t="shared" si="2"/>
        <v>31</v>
      </c>
      <c r="AF401" s="140">
        <v>0.0</v>
      </c>
      <c r="AG401" s="109">
        <v>0.0</v>
      </c>
      <c r="AH401" s="109">
        <v>0.0</v>
      </c>
      <c r="AI401" s="141">
        <v>0.0</v>
      </c>
      <c r="AJ401" s="80">
        <f t="shared" si="3"/>
        <v>0</v>
      </c>
      <c r="AK401" s="140">
        <v>0.0</v>
      </c>
      <c r="AL401" s="109">
        <v>0.0</v>
      </c>
      <c r="AM401" s="141">
        <v>0.0</v>
      </c>
      <c r="AN401" s="80">
        <f t="shared" si="4"/>
        <v>0</v>
      </c>
      <c r="AO401" s="140">
        <v>0.0</v>
      </c>
      <c r="AP401" s="109">
        <v>0.0</v>
      </c>
      <c r="AQ401" s="109">
        <v>0.0</v>
      </c>
      <c r="AR401" s="80">
        <f t="shared" si="5"/>
        <v>0</v>
      </c>
      <c r="AS401" s="110">
        <v>0.0</v>
      </c>
      <c r="AT401" s="110">
        <v>0.0</v>
      </c>
      <c r="AU401" s="110">
        <v>0.0</v>
      </c>
      <c r="AV401" s="142">
        <v>0.0</v>
      </c>
      <c r="AW401" s="80">
        <f t="shared" si="6"/>
        <v>0</v>
      </c>
      <c r="AX401" s="113">
        <f t="shared" si="7"/>
        <v>31</v>
      </c>
      <c r="AY401" s="117">
        <f t="shared" si="8"/>
        <v>31</v>
      </c>
      <c r="AZ401" s="120">
        <f t="shared" si="9"/>
        <v>0</v>
      </c>
      <c r="BA401" s="115">
        <v>0.0</v>
      </c>
      <c r="BB401" s="89">
        <f t="shared" si="10"/>
        <v>31</v>
      </c>
      <c r="BC401" s="143" t="s">
        <v>1294</v>
      </c>
      <c r="BD401" s="132" t="s">
        <v>178</v>
      </c>
      <c r="BE401" s="132" t="s">
        <v>178</v>
      </c>
      <c r="BF401" s="123"/>
      <c r="BG401" s="83">
        <v>1178508.0</v>
      </c>
      <c r="BH401" s="112"/>
      <c r="BI401" s="112">
        <v>3.0</v>
      </c>
      <c r="BJ401" s="98" t="s">
        <v>155</v>
      </c>
      <c r="BK401" s="99">
        <f t="shared" si="11"/>
        <v>0</v>
      </c>
      <c r="BL401" s="99">
        <f t="shared" si="12"/>
        <v>31</v>
      </c>
      <c r="BM401" s="99" t="str">
        <f>IFERROR(__xludf.DUMMYFUNCTION("IFERROR(VLOOKUP(BG401,IMPORTRANGE(""https://docs.google.com/spreadsheets/d/1juPI-Fb8LD0YtltB2mlGEnp_R3UVu1t3wSFPzgCyHXE/edit?gid=0#gid=0"",""GERAL!A2:C""),3,0),""-"")"),"INDÍGENAS")</f>
        <v>INDÍGENAS</v>
      </c>
    </row>
    <row r="402" ht="15.75" customHeight="1">
      <c r="A402" s="111" t="s">
        <v>451</v>
      </c>
      <c r="B402" s="83" t="s">
        <v>1650</v>
      </c>
      <c r="C402" s="83" t="s">
        <v>68</v>
      </c>
      <c r="D402" s="112">
        <v>1177004.0</v>
      </c>
      <c r="E402" s="83"/>
      <c r="F402" s="83">
        <v>2.9406668E7</v>
      </c>
      <c r="G402" s="119" t="s">
        <v>1651</v>
      </c>
      <c r="H402" s="91" t="s">
        <v>1652</v>
      </c>
      <c r="I402" s="83" t="s">
        <v>149</v>
      </c>
      <c r="J402" s="83" t="s">
        <v>150</v>
      </c>
      <c r="K402" s="83" t="s">
        <v>151</v>
      </c>
      <c r="L402" s="83" t="s">
        <v>76</v>
      </c>
      <c r="M402" s="82" t="str">
        <f>IFERROR(__xludf.DUMMYFUNCTION("IFERROR(VLOOKUP(D402,
IMPORTRANGE(""https://docs.google.com/spreadsheets/d/1MjHtlUikwobi2MaWJgy7tfLeBmhj1u-dRFRs_8GwSoA/edit#gid=0"",""Gestores Escolares!D7:J""),3,0),""VERIFICAR CÓD SEC"")")," SILVANA ARAUJO DA SILVA")</f>
        <v> SILVANA ARAUJO DA SILVA</v>
      </c>
      <c r="N402" s="82" t="str">
        <f>IFERROR(__xludf.DUMMYFUNCTION("IFERROR(VLOOKUP(D402,
IMPORTRANGE(""https://docs.google.com/spreadsheets/d/1MjHtlUikwobi2MaWJgy7tfLeBmhj1u-dRFRs_8GwSoA/edit#gid=0"",""Gestores Escolares!D7:J""),4,0),""VERIFICAR CÓD SEC"")"),"(73) 9 9977-4420")</f>
        <v>(73) 9 9977-4420</v>
      </c>
      <c r="O402" s="82" t="str">
        <f>IFERROR(__xludf.DUMMYFUNCTION("IFERROR(VLOOKUP(D402,
IMPORTRANGE(""https://docs.google.com/spreadsheets/d/1MjHtlUikwobi2MaWJgy7tfLeBmhj1u-dRFRs_8GwSoA/edit#gid=0"",""Gestores Escolares!D7:J""),6,0),""VERIFICAR CÓD SEC"")"),"")</f>
        <v/>
      </c>
      <c r="P402" s="82" t="str">
        <f>IFERROR(__xludf.DUMMYFUNCTION("IFERROR(VLOOKUP(D402,
IMPORTRANGE(""https://docs.google.com/spreadsheets/d/1MjHtlUikwobi2MaWJgy7tfLeBmhj1u-dRFRs_8GwSoA/edit#gid=0"",""Gestores Escolares!D7:J""),7,0),""VERIFICAR CÓD SEC"")"),"")</f>
        <v/>
      </c>
      <c r="Q402" s="82" t="str">
        <f>IFERROR(__xludf.DUMMYFUNCTION("IFERROR(VLOOKUP(D402,
IMPORTRANGE(""https://docs.google.com/spreadsheets/d/1MjHtlUikwobi2MaWJgy7tfLeBmhj1u-dRFRs_8GwSoA/edit#gid=0"",""Gestores Escolares!D7:m""),9,0),""VERIFICAR CÓD SEC"")"),"")</f>
        <v/>
      </c>
      <c r="R402" s="82" t="str">
        <f>IFERROR(__xludf.DUMMYFUNCTION("IFERROR(VLOOKUP(D402,
IMPORTRANGE(""https://docs.google.com/spreadsheets/d/1MjHtlUikwobi2MaWJgy7tfLeBmhj1u-dRFRs_8GwSoA/edit#gid=0"",""Gestores Escolares!D7:m""),10,0),""VERIFICAR CÓD SEC"")"),"")</f>
        <v/>
      </c>
      <c r="S402" s="82"/>
      <c r="T402" s="138">
        <v>6.0</v>
      </c>
      <c r="U402" s="145" t="s">
        <v>3687</v>
      </c>
      <c r="V402" s="106">
        <v>0.0</v>
      </c>
      <c r="W402" s="107">
        <v>0.0</v>
      </c>
      <c r="X402" s="107">
        <v>0.0</v>
      </c>
      <c r="Y402" s="107">
        <v>0.0</v>
      </c>
      <c r="Z402" s="80">
        <f t="shared" si="1"/>
        <v>0</v>
      </c>
      <c r="AA402" s="106">
        <v>0.0</v>
      </c>
      <c r="AB402" s="107">
        <v>0.0</v>
      </c>
      <c r="AC402" s="107">
        <v>0.0</v>
      </c>
      <c r="AD402" s="107">
        <v>0.0</v>
      </c>
      <c r="AE402" s="80">
        <f t="shared" si="2"/>
        <v>0</v>
      </c>
      <c r="AF402" s="140">
        <v>136.0</v>
      </c>
      <c r="AG402" s="109">
        <v>116.0</v>
      </c>
      <c r="AH402" s="109">
        <v>0.0</v>
      </c>
      <c r="AI402" s="141">
        <v>0.0</v>
      </c>
      <c r="AJ402" s="80">
        <f t="shared" si="3"/>
        <v>252</v>
      </c>
      <c r="AK402" s="140">
        <v>0.0</v>
      </c>
      <c r="AL402" s="109">
        <v>0.0</v>
      </c>
      <c r="AM402" s="141">
        <v>0.0</v>
      </c>
      <c r="AN402" s="80">
        <f t="shared" si="4"/>
        <v>0</v>
      </c>
      <c r="AO402" s="140">
        <v>0.0</v>
      </c>
      <c r="AP402" s="109">
        <v>0.0</v>
      </c>
      <c r="AQ402" s="109">
        <v>52.0</v>
      </c>
      <c r="AR402" s="80">
        <f t="shared" si="5"/>
        <v>52</v>
      </c>
      <c r="AS402" s="110">
        <v>0.0</v>
      </c>
      <c r="AT402" s="110">
        <v>0.0</v>
      </c>
      <c r="AU402" s="110">
        <v>44.0</v>
      </c>
      <c r="AV402" s="142">
        <v>0.0</v>
      </c>
      <c r="AW402" s="80">
        <f t="shared" si="6"/>
        <v>44</v>
      </c>
      <c r="AX402" s="113">
        <f t="shared" si="7"/>
        <v>348</v>
      </c>
      <c r="AY402" s="117">
        <f t="shared" si="8"/>
        <v>252</v>
      </c>
      <c r="AZ402" s="120">
        <f t="shared" si="9"/>
        <v>96</v>
      </c>
      <c r="BA402" s="115">
        <v>0.0</v>
      </c>
      <c r="BB402" s="89">
        <f t="shared" si="10"/>
        <v>348</v>
      </c>
      <c r="BC402" s="132" t="s">
        <v>178</v>
      </c>
      <c r="BD402" s="132" t="s">
        <v>178</v>
      </c>
      <c r="BE402" s="132" t="s">
        <v>178</v>
      </c>
      <c r="BF402" s="156"/>
      <c r="BG402" s="83">
        <v>1177004.0</v>
      </c>
      <c r="BH402" s="112"/>
      <c r="BI402" s="112">
        <v>6.0</v>
      </c>
      <c r="BJ402" s="98" t="s">
        <v>155</v>
      </c>
      <c r="BK402" s="99">
        <f t="shared" si="11"/>
        <v>0</v>
      </c>
      <c r="BL402" s="99">
        <f t="shared" si="12"/>
        <v>252</v>
      </c>
      <c r="BM402" s="99" t="str">
        <f>IFERROR(__xludf.DUMMYFUNCTION("IFERROR(VLOOKUP(BG402,IMPORTRANGE(""https://docs.google.com/spreadsheets/d/1juPI-Fb8LD0YtltB2mlGEnp_R3UVu1t3wSFPzgCyHXE/edit?gid=0#gid=0"",""GERAL!A2:C""),3,0),""-"")"),"-")</f>
        <v>-</v>
      </c>
    </row>
    <row r="403" ht="15.75" customHeight="1">
      <c r="A403" s="111" t="s">
        <v>451</v>
      </c>
      <c r="B403" s="83" t="s">
        <v>1654</v>
      </c>
      <c r="C403" s="83" t="s">
        <v>68</v>
      </c>
      <c r="D403" s="112">
        <v>1170912.0</v>
      </c>
      <c r="E403" s="83"/>
      <c r="F403" s="83">
        <v>2.9313171E7</v>
      </c>
      <c r="G403" s="147" t="s">
        <v>1655</v>
      </c>
      <c r="H403" s="91" t="s">
        <v>1656</v>
      </c>
      <c r="I403" s="83" t="s">
        <v>149</v>
      </c>
      <c r="J403" s="83" t="s">
        <v>150</v>
      </c>
      <c r="K403" s="83" t="s">
        <v>151</v>
      </c>
      <c r="L403" s="83" t="s">
        <v>76</v>
      </c>
      <c r="M403" s="82" t="str">
        <f>IFERROR(__xludf.DUMMYFUNCTION("IFERROR(VLOOKUP(D403,
IMPORTRANGE(""https://docs.google.com/spreadsheets/d/1MjHtlUikwobi2MaWJgy7tfLeBmhj1u-dRFRs_8GwSoA/edit#gid=0"",""Gestores Escolares!D7:J""),3,0),""VERIFICAR CÓD SEC"")"),"TIAGO DOS SANTOS VIANA")</f>
        <v>TIAGO DOS SANTOS VIANA</v>
      </c>
      <c r="N403" s="82" t="str">
        <f>IFERROR(__xludf.DUMMYFUNCTION("IFERROR(VLOOKUP(D403,
IMPORTRANGE(""https://docs.google.com/spreadsheets/d/1MjHtlUikwobi2MaWJgy7tfLeBmhj1u-dRFRs_8GwSoA/edit#gid=0"",""Gestores Escolares!D7:J""),4,0),""VERIFICAR CÓD SEC"")"),"(73) 9 8171-4411")</f>
        <v>(73) 9 8171-4411</v>
      </c>
      <c r="O403" s="82" t="str">
        <f>IFERROR(__xludf.DUMMYFUNCTION("IFERROR(VLOOKUP(D403,
IMPORTRANGE(""https://docs.google.com/spreadsheets/d/1MjHtlUikwobi2MaWJgy7tfLeBmhj1u-dRFRs_8GwSoA/edit#gid=0"",""Gestores Escolares!D7:J""),6,0),""VERIFICAR CÓD SEC"")"),"ISIS DE OLIVEIRA BRITO")</f>
        <v>ISIS DE OLIVEIRA BRITO</v>
      </c>
      <c r="P403" s="82" t="str">
        <f>IFERROR(__xludf.DUMMYFUNCTION("IFERROR(VLOOKUP(D403,
IMPORTRANGE(""https://docs.google.com/spreadsheets/d/1MjHtlUikwobi2MaWJgy7tfLeBmhj1u-dRFRs_8GwSoA/edit#gid=0"",""Gestores Escolares!D7:J""),7,0),""VERIFICAR CÓD SEC"")"),"(73) 9 8234-8981")</f>
        <v>(73) 9 8234-8981</v>
      </c>
      <c r="Q403" s="82" t="str">
        <f>IFERROR(__xludf.DUMMYFUNCTION("IFERROR(VLOOKUP(D403,
IMPORTRANGE(""https://docs.google.com/spreadsheets/d/1MjHtlUikwobi2MaWJgy7tfLeBmhj1u-dRFRs_8GwSoA/edit#gid=0"",""Gestores Escolares!D7:m""),9,0),""VERIFICAR CÓD SEC"")"),"")</f>
        <v/>
      </c>
      <c r="R403" s="82" t="str">
        <f>IFERROR(__xludf.DUMMYFUNCTION("IFERROR(VLOOKUP(D403,
IMPORTRANGE(""https://docs.google.com/spreadsheets/d/1MjHtlUikwobi2MaWJgy7tfLeBmhj1u-dRFRs_8GwSoA/edit#gid=0"",""Gestores Escolares!D7:m""),10,0),""VERIFICAR CÓD SEC"")"),"")</f>
        <v/>
      </c>
      <c r="S403" s="82"/>
      <c r="T403" s="138">
        <v>10.0</v>
      </c>
      <c r="U403" s="145" t="s">
        <v>5806</v>
      </c>
      <c r="V403" s="106">
        <v>0.0</v>
      </c>
      <c r="W403" s="107">
        <v>0.0</v>
      </c>
      <c r="X403" s="107">
        <v>0.0</v>
      </c>
      <c r="Y403" s="107">
        <v>0.0</v>
      </c>
      <c r="Z403" s="80">
        <f t="shared" si="1"/>
        <v>0</v>
      </c>
      <c r="AA403" s="106">
        <v>0.0</v>
      </c>
      <c r="AB403" s="107">
        <v>0.0</v>
      </c>
      <c r="AC403" s="107">
        <v>0.0</v>
      </c>
      <c r="AD403" s="107">
        <v>0.0</v>
      </c>
      <c r="AE403" s="80">
        <f t="shared" si="2"/>
        <v>0</v>
      </c>
      <c r="AF403" s="140">
        <v>0.0</v>
      </c>
      <c r="AG403" s="109">
        <v>0.0</v>
      </c>
      <c r="AH403" s="109">
        <v>0.0</v>
      </c>
      <c r="AI403" s="141">
        <v>86.0</v>
      </c>
      <c r="AJ403" s="80">
        <f t="shared" si="3"/>
        <v>86</v>
      </c>
      <c r="AK403" s="140">
        <v>0.0</v>
      </c>
      <c r="AL403" s="109">
        <v>0.0</v>
      </c>
      <c r="AM403" s="141">
        <v>0.0</v>
      </c>
      <c r="AN403" s="80">
        <f t="shared" si="4"/>
        <v>0</v>
      </c>
      <c r="AO403" s="140">
        <v>0.0</v>
      </c>
      <c r="AP403" s="109">
        <v>0.0</v>
      </c>
      <c r="AQ403" s="109">
        <v>37.0</v>
      </c>
      <c r="AR403" s="80">
        <f t="shared" si="5"/>
        <v>37</v>
      </c>
      <c r="AS403" s="110">
        <v>0.0</v>
      </c>
      <c r="AT403" s="110">
        <v>0.0</v>
      </c>
      <c r="AU403" s="110">
        <v>21.0</v>
      </c>
      <c r="AV403" s="142">
        <v>46.0</v>
      </c>
      <c r="AW403" s="80">
        <f t="shared" si="6"/>
        <v>67</v>
      </c>
      <c r="AX403" s="113">
        <f t="shared" si="7"/>
        <v>190</v>
      </c>
      <c r="AY403" s="117">
        <f t="shared" si="8"/>
        <v>132</v>
      </c>
      <c r="AZ403" s="120">
        <f t="shared" si="9"/>
        <v>58</v>
      </c>
      <c r="BA403" s="115">
        <v>0.0</v>
      </c>
      <c r="BB403" s="89">
        <f t="shared" si="10"/>
        <v>190</v>
      </c>
      <c r="BC403" s="132" t="s">
        <v>178</v>
      </c>
      <c r="BD403" s="132" t="s">
        <v>178</v>
      </c>
      <c r="BE403" s="132" t="s">
        <v>178</v>
      </c>
      <c r="BF403" s="156"/>
      <c r="BG403" s="83">
        <v>1170912.0</v>
      </c>
      <c r="BH403" s="112"/>
      <c r="BI403" s="112">
        <v>10.0</v>
      </c>
      <c r="BJ403" s="98" t="s">
        <v>155</v>
      </c>
      <c r="BK403" s="99">
        <f t="shared" si="11"/>
        <v>132</v>
      </c>
      <c r="BL403" s="99">
        <f t="shared" si="12"/>
        <v>0</v>
      </c>
      <c r="BM403" s="99" t="str">
        <f>IFERROR(__xludf.DUMMYFUNCTION("IFERROR(VLOOKUP(BG403,IMPORTRANGE(""https://docs.google.com/spreadsheets/d/1juPI-Fb8LD0YtltB2mlGEnp_R3UVu1t3wSFPzgCyHXE/edit?gid=0#gid=0"",""GERAL!A2:C""),3,0),""-"")"),"-")</f>
        <v>-</v>
      </c>
    </row>
    <row r="404" ht="15.75" customHeight="1">
      <c r="A404" s="111" t="s">
        <v>451</v>
      </c>
      <c r="B404" s="83" t="s">
        <v>1658</v>
      </c>
      <c r="C404" s="83" t="s">
        <v>68</v>
      </c>
      <c r="D404" s="112">
        <v>1112777.0</v>
      </c>
      <c r="E404" s="83"/>
      <c r="F404" s="83">
        <v>2.9313848E7</v>
      </c>
      <c r="G404" s="119" t="s">
        <v>1659</v>
      </c>
      <c r="H404" s="91" t="s">
        <v>1660</v>
      </c>
      <c r="I404" s="172" t="s">
        <v>149</v>
      </c>
      <c r="J404" s="83" t="s">
        <v>150</v>
      </c>
      <c r="K404" s="83" t="s">
        <v>151</v>
      </c>
      <c r="L404" s="83" t="s">
        <v>152</v>
      </c>
      <c r="M404" s="82" t="str">
        <f>IFERROR(__xludf.DUMMYFUNCTION("IFERROR(VLOOKUP(D404,
IMPORTRANGE(""https://docs.google.com/spreadsheets/d/1MjHtlUikwobi2MaWJgy7tfLeBmhj1u-dRFRs_8GwSoA/edit#gid=0"",""Gestores Escolares!D7:J""),3,0),""VERIFICAR CÓD SEC"")"),"CRISTIANE LEMOS DE SANTANA LIGER")</f>
        <v>CRISTIANE LEMOS DE SANTANA LIGER</v>
      </c>
      <c r="N404" s="82" t="str">
        <f>IFERROR(__xludf.DUMMYFUNCTION("IFERROR(VLOOKUP(D404,
IMPORTRANGE(""https://docs.google.com/spreadsheets/d/1MjHtlUikwobi2MaWJgy7tfLeBmhj1u-dRFRs_8GwSoA/edit#gid=0"",""Gestores Escolares!D7:J""),4,0),""VERIFICAR CÓD SEC"")"),"(73) 9 8184-2491")</f>
        <v>(73) 9 8184-2491</v>
      </c>
      <c r="O404" s="82" t="str">
        <f>IFERROR(__xludf.DUMMYFUNCTION("IFERROR(VLOOKUP(D404,
IMPORTRANGE(""https://docs.google.com/spreadsheets/d/1MjHtlUikwobi2MaWJgy7tfLeBmhj1u-dRFRs_8GwSoA/edit#gid=0"",""Gestores Escolares!D7:J""),6,0),""VERIFICAR CÓD SEC"")"),"VIRLESIO CARLOS DE OLIVEIRA")</f>
        <v>VIRLESIO CARLOS DE OLIVEIRA</v>
      </c>
      <c r="P404" s="82" t="str">
        <f>IFERROR(__xludf.DUMMYFUNCTION("IFERROR(VLOOKUP(D404,
IMPORTRANGE(""https://docs.google.com/spreadsheets/d/1MjHtlUikwobi2MaWJgy7tfLeBmhj1u-dRFRs_8GwSoA/edit#gid=0"",""Gestores Escolares!D7:J""),7,0),""VERIFICAR CÓD SEC"")"),"(73) 9 8853-2539")</f>
        <v>(73) 9 8853-2539</v>
      </c>
      <c r="Q404" s="82" t="str">
        <f>IFERROR(__xludf.DUMMYFUNCTION("IFERROR(VLOOKUP(D404,
IMPORTRANGE(""https://docs.google.com/spreadsheets/d/1MjHtlUikwobi2MaWJgy7tfLeBmhj1u-dRFRs_8GwSoA/edit#gid=0"",""Gestores Escolares!D7:m""),9,0),""VERIFICAR CÓD SEC"")"),"")</f>
        <v/>
      </c>
      <c r="R404" s="82" t="str">
        <f>IFERROR(__xludf.DUMMYFUNCTION("IFERROR(VLOOKUP(D404,
IMPORTRANGE(""https://docs.google.com/spreadsheets/d/1MjHtlUikwobi2MaWJgy7tfLeBmhj1u-dRFRs_8GwSoA/edit#gid=0"",""Gestores Escolares!D7:m""),10,0),""VERIFICAR CÓD SEC"")"),"")</f>
        <v/>
      </c>
      <c r="S404" s="82"/>
      <c r="T404" s="138">
        <v>11.0</v>
      </c>
      <c r="U404" s="145">
        <v>21.0</v>
      </c>
      <c r="V404" s="106">
        <v>0.0</v>
      </c>
      <c r="W404" s="107">
        <v>0.0</v>
      </c>
      <c r="X404" s="107">
        <v>0.0</v>
      </c>
      <c r="Y404" s="107">
        <v>0.0</v>
      </c>
      <c r="Z404" s="80">
        <f t="shared" si="1"/>
        <v>0</v>
      </c>
      <c r="AA404" s="106">
        <v>0.0</v>
      </c>
      <c r="AB404" s="107">
        <v>0.0</v>
      </c>
      <c r="AC404" s="107">
        <v>0.0</v>
      </c>
      <c r="AD404" s="107">
        <v>0.0</v>
      </c>
      <c r="AE404" s="80">
        <f t="shared" si="2"/>
        <v>0</v>
      </c>
      <c r="AF404" s="140">
        <v>294.0</v>
      </c>
      <c r="AG404" s="109">
        <v>126.0</v>
      </c>
      <c r="AH404" s="109">
        <v>0.0</v>
      </c>
      <c r="AI404" s="141">
        <v>16.0</v>
      </c>
      <c r="AJ404" s="80">
        <f t="shared" si="3"/>
        <v>436</v>
      </c>
      <c r="AK404" s="140">
        <v>0.0</v>
      </c>
      <c r="AL404" s="109">
        <v>0.0</v>
      </c>
      <c r="AM404" s="141">
        <v>0.0</v>
      </c>
      <c r="AN404" s="80">
        <f t="shared" si="4"/>
        <v>0</v>
      </c>
      <c r="AO404" s="140">
        <v>0.0</v>
      </c>
      <c r="AP404" s="109">
        <v>0.0</v>
      </c>
      <c r="AQ404" s="109">
        <v>85.0</v>
      </c>
      <c r="AR404" s="80">
        <f t="shared" si="5"/>
        <v>85</v>
      </c>
      <c r="AS404" s="110">
        <v>33.0</v>
      </c>
      <c r="AT404" s="110">
        <v>35.0</v>
      </c>
      <c r="AU404" s="110">
        <v>24.0</v>
      </c>
      <c r="AV404" s="142">
        <v>30.0</v>
      </c>
      <c r="AW404" s="80">
        <f t="shared" si="6"/>
        <v>122</v>
      </c>
      <c r="AX404" s="113">
        <f t="shared" si="7"/>
        <v>643</v>
      </c>
      <c r="AY404" s="117">
        <f t="shared" si="8"/>
        <v>534</v>
      </c>
      <c r="AZ404" s="120">
        <f t="shared" si="9"/>
        <v>109</v>
      </c>
      <c r="BA404" s="115">
        <v>0.0</v>
      </c>
      <c r="BB404" s="89">
        <f t="shared" si="10"/>
        <v>643</v>
      </c>
      <c r="BC404" s="132" t="s">
        <v>178</v>
      </c>
      <c r="BD404" s="132" t="s">
        <v>178</v>
      </c>
      <c r="BE404" s="132" t="s">
        <v>178</v>
      </c>
      <c r="BF404" s="123"/>
      <c r="BG404" s="83">
        <v>1112777.0</v>
      </c>
      <c r="BH404" s="112"/>
      <c r="BI404" s="112">
        <v>11.0</v>
      </c>
      <c r="BJ404" s="98" t="s">
        <v>176</v>
      </c>
      <c r="BK404" s="99">
        <f t="shared" si="11"/>
        <v>46</v>
      </c>
      <c r="BL404" s="99">
        <f t="shared" si="12"/>
        <v>488</v>
      </c>
      <c r="BM404" s="99" t="str">
        <f>IFERROR(__xludf.DUMMYFUNCTION("IFERROR(VLOOKUP(BG404,IMPORTRANGE(""https://docs.google.com/spreadsheets/d/1juPI-Fb8LD0YtltB2mlGEnp_R3UVu1t3wSFPzgCyHXE/edit?gid=0#gid=0"",""GERAL!A2:C""),3,0),""-"")"),"-")</f>
        <v>-</v>
      </c>
    </row>
    <row r="405" ht="15.75" customHeight="1">
      <c r="A405" s="111" t="s">
        <v>451</v>
      </c>
      <c r="B405" s="83" t="s">
        <v>1663</v>
      </c>
      <c r="C405" s="83" t="s">
        <v>68</v>
      </c>
      <c r="D405" s="112">
        <v>1139136.0</v>
      </c>
      <c r="E405" s="83"/>
      <c r="F405" s="83">
        <v>2.9315492E7</v>
      </c>
      <c r="G405" s="119" t="s">
        <v>1664</v>
      </c>
      <c r="H405" s="91" t="s">
        <v>1665</v>
      </c>
      <c r="I405" s="172" t="s">
        <v>149</v>
      </c>
      <c r="J405" s="83" t="s">
        <v>150</v>
      </c>
      <c r="K405" s="83" t="s">
        <v>151</v>
      </c>
      <c r="L405" s="83" t="s">
        <v>152</v>
      </c>
      <c r="M405" s="82" t="str">
        <f>IFERROR(__xludf.DUMMYFUNCTION("IFERROR(VLOOKUP(D405,
IMPORTRANGE(""https://docs.google.com/spreadsheets/d/1MjHtlUikwobi2MaWJgy7tfLeBmhj1u-dRFRs_8GwSoA/edit#gid=0"",""Gestores Escolares!D7:J""),3,0),""VERIFICAR CÓD SEC"")"),"MARCOS SILVA SANTOS")</f>
        <v>MARCOS SILVA SANTOS</v>
      </c>
      <c r="N405" s="82" t="str">
        <f>IFERROR(__xludf.DUMMYFUNCTION("IFERROR(VLOOKUP(D405,
IMPORTRANGE(""https://docs.google.com/spreadsheets/d/1MjHtlUikwobi2MaWJgy7tfLeBmhj1u-dRFRs_8GwSoA/edit#gid=0"",""Gestores Escolares!D7:J""),4,0),""VERIFICAR CÓD SEC"")"),"(73) 9 9906-9657")</f>
        <v>(73) 9 9906-9657</v>
      </c>
      <c r="O405" s="82" t="str">
        <f>IFERROR(__xludf.DUMMYFUNCTION("IFERROR(VLOOKUP(D405,
IMPORTRANGE(""https://docs.google.com/spreadsheets/d/1MjHtlUikwobi2MaWJgy7tfLeBmhj1u-dRFRs_8GwSoA/edit#gid=0"",""Gestores Escolares!D7:J""),6,0),""VERIFICAR CÓD SEC"")"),"MARIA DA PAZ SANTOS FERREIRA")</f>
        <v>MARIA DA PAZ SANTOS FERREIRA</v>
      </c>
      <c r="P405" s="82" t="str">
        <f>IFERROR(__xludf.DUMMYFUNCTION("IFERROR(VLOOKUP(D405,
IMPORTRANGE(""https://docs.google.com/spreadsheets/d/1MjHtlUikwobi2MaWJgy7tfLeBmhj1u-dRFRs_8GwSoA/edit#gid=0"",""Gestores Escolares!D7:J""),7,0),""VERIFICAR CÓD SEC"")"),"(73) 9 9944-1657")</f>
        <v>(73) 9 9944-1657</v>
      </c>
      <c r="Q405" s="82" t="str">
        <f>IFERROR(__xludf.DUMMYFUNCTION("IFERROR(VLOOKUP(D405,
IMPORTRANGE(""https://docs.google.com/spreadsheets/d/1MjHtlUikwobi2MaWJgy7tfLeBmhj1u-dRFRs_8GwSoA/edit#gid=0"",""Gestores Escolares!D7:m""),9,0),""VERIFICAR CÓD SEC"")"),"WALDECK PAULO DOS SANTOS")</f>
        <v>WALDECK PAULO DOS SANTOS</v>
      </c>
      <c r="R405" s="82" t="str">
        <f>IFERROR(__xludf.DUMMYFUNCTION("IFERROR(VLOOKUP(D405,
IMPORTRANGE(""https://docs.google.com/spreadsheets/d/1MjHtlUikwobi2MaWJgy7tfLeBmhj1u-dRFRs_8GwSoA/edit#gid=0"",""Gestores Escolares!D7:m""),10,0),""VERIFICAR CÓD SEC"")"),"(73) 9 9964-9297")</f>
        <v>(73) 9 9964-9297</v>
      </c>
      <c r="S405" s="82"/>
      <c r="T405" s="138">
        <v>10.0</v>
      </c>
      <c r="U405" s="145">
        <v>11.0</v>
      </c>
      <c r="V405" s="106">
        <v>0.0</v>
      </c>
      <c r="W405" s="107">
        <v>0.0</v>
      </c>
      <c r="X405" s="107">
        <v>0.0</v>
      </c>
      <c r="Y405" s="107">
        <v>0.0</v>
      </c>
      <c r="Z405" s="80">
        <f t="shared" si="1"/>
        <v>0</v>
      </c>
      <c r="AA405" s="106">
        <v>0.0</v>
      </c>
      <c r="AB405" s="107">
        <v>0.0</v>
      </c>
      <c r="AC405" s="107">
        <v>0.0</v>
      </c>
      <c r="AD405" s="107">
        <v>0.0</v>
      </c>
      <c r="AE405" s="80">
        <f t="shared" si="2"/>
        <v>0</v>
      </c>
      <c r="AF405" s="140">
        <v>303.0</v>
      </c>
      <c r="AG405" s="109">
        <v>231.0</v>
      </c>
      <c r="AH405" s="109">
        <v>0.0</v>
      </c>
      <c r="AI405" s="141">
        <v>12.0</v>
      </c>
      <c r="AJ405" s="80">
        <f t="shared" si="3"/>
        <v>546</v>
      </c>
      <c r="AK405" s="140">
        <v>0.0</v>
      </c>
      <c r="AL405" s="109">
        <v>0.0</v>
      </c>
      <c r="AM405" s="141">
        <v>0.0</v>
      </c>
      <c r="AN405" s="80">
        <f t="shared" si="4"/>
        <v>0</v>
      </c>
      <c r="AO405" s="140">
        <v>0.0</v>
      </c>
      <c r="AP405" s="109">
        <v>0.0</v>
      </c>
      <c r="AQ405" s="109">
        <v>105.0</v>
      </c>
      <c r="AR405" s="80">
        <f t="shared" si="5"/>
        <v>105</v>
      </c>
      <c r="AS405" s="110">
        <v>0.0</v>
      </c>
      <c r="AT405" s="110">
        <v>0.0</v>
      </c>
      <c r="AU405" s="110">
        <v>19.0</v>
      </c>
      <c r="AV405" s="142">
        <v>0.0</v>
      </c>
      <c r="AW405" s="80">
        <f t="shared" si="6"/>
        <v>19</v>
      </c>
      <c r="AX405" s="113">
        <f t="shared" si="7"/>
        <v>670</v>
      </c>
      <c r="AY405" s="117">
        <f t="shared" si="8"/>
        <v>546</v>
      </c>
      <c r="AZ405" s="120">
        <f t="shared" si="9"/>
        <v>124</v>
      </c>
      <c r="BA405" s="115">
        <v>0.0</v>
      </c>
      <c r="BB405" s="89">
        <f t="shared" si="10"/>
        <v>670</v>
      </c>
      <c r="BC405" s="132" t="s">
        <v>178</v>
      </c>
      <c r="BD405" s="132" t="s">
        <v>178</v>
      </c>
      <c r="BE405" s="132" t="s">
        <v>178</v>
      </c>
      <c r="BF405" s="156"/>
      <c r="BG405" s="83">
        <v>1139136.0</v>
      </c>
      <c r="BH405" s="112"/>
      <c r="BI405" s="112">
        <v>10.0</v>
      </c>
      <c r="BJ405" s="98" t="s">
        <v>155</v>
      </c>
      <c r="BK405" s="99">
        <f t="shared" si="11"/>
        <v>12</v>
      </c>
      <c r="BL405" s="99">
        <f t="shared" si="12"/>
        <v>534</v>
      </c>
      <c r="BM405" s="99" t="str">
        <f>IFERROR(__xludf.DUMMYFUNCTION("IFERROR(VLOOKUP(BG405,IMPORTRANGE(""https://docs.google.com/spreadsheets/d/1juPI-Fb8LD0YtltB2mlGEnp_R3UVu1t3wSFPzgCyHXE/edit?gid=0#gid=0"",""GERAL!A2:C""),3,0),""-"")"),"-")</f>
        <v>-</v>
      </c>
    </row>
    <row r="406" ht="15.75" customHeight="1">
      <c r="A406" s="111" t="s">
        <v>451</v>
      </c>
      <c r="B406" s="83" t="s">
        <v>1663</v>
      </c>
      <c r="C406" s="83" t="s">
        <v>164</v>
      </c>
      <c r="D406" s="112">
        <v>1179701.0</v>
      </c>
      <c r="E406" s="83">
        <v>1178496.0</v>
      </c>
      <c r="F406" s="98">
        <v>2.9482267E7</v>
      </c>
      <c r="G406" s="114" t="s">
        <v>1667</v>
      </c>
      <c r="H406" s="91" t="s">
        <v>1668</v>
      </c>
      <c r="I406" s="172" t="s">
        <v>171</v>
      </c>
      <c r="J406" s="83" t="s">
        <v>187</v>
      </c>
      <c r="K406" s="83" t="s">
        <v>151</v>
      </c>
      <c r="L406" s="83" t="s">
        <v>169</v>
      </c>
      <c r="M406" s="82" t="str">
        <f>IFERROR(__xludf.DUMMYFUNCTION("IFERROR(VLOOKUP(D406,
IMPORTRANGE(""https://docs.google.com/spreadsheets/d/1MjHtlUikwobi2MaWJgy7tfLeBmhj1u-dRFRs_8GwSoA/edit#gid=0"",""Gestores Escolares!D7:J""),3,0),""VERIFICAR CÓD SEC"")"),"ALESSANDRO COELHO MARQUES")</f>
        <v>ALESSANDRO COELHO MARQUES</v>
      </c>
      <c r="N406" s="82" t="str">
        <f>IFERROR(__xludf.DUMMYFUNCTION("IFERROR(VLOOKUP(D406,
IMPORTRANGE(""https://docs.google.com/spreadsheets/d/1MjHtlUikwobi2MaWJgy7tfLeBmhj1u-dRFRs_8GwSoA/edit#gid=0"",""Gestores Escolares!D7:J""),4,0),""VERIFICAR CÓD SEC"")"),"(73) 9 9978-4374")</f>
        <v>(73) 9 9978-4374</v>
      </c>
      <c r="O406" s="82" t="str">
        <f>IFERROR(__xludf.DUMMYFUNCTION("IFERROR(VLOOKUP(D406,
IMPORTRANGE(""https://docs.google.com/spreadsheets/d/1MjHtlUikwobi2MaWJgy7tfLeBmhj1u-dRFRs_8GwSoA/edit#gid=0"",""Gestores Escolares!D7:J""),6,0),""VERIFICAR CÓD SEC"")"),"VALERIA CUNHA ROSARIO LEVITA")</f>
        <v>VALERIA CUNHA ROSARIO LEVITA</v>
      </c>
      <c r="P406" s="82" t="str">
        <f>IFERROR(__xludf.DUMMYFUNCTION("IFERROR(VLOOKUP(D406,
IMPORTRANGE(""https://docs.google.com/spreadsheets/d/1MjHtlUikwobi2MaWJgy7tfLeBmhj1u-dRFRs_8GwSoA/edit#gid=0"",""Gestores Escolares!D7:J""),7,0),""VERIFICAR CÓD SEC"")"),"(73) 9 8248-8925")</f>
        <v>(73) 9 8248-8925</v>
      </c>
      <c r="Q406" s="82" t="str">
        <f>IFERROR(__xludf.DUMMYFUNCTION("IFERROR(VLOOKUP(D406,
IMPORTRANGE(""https://docs.google.com/spreadsheets/d/1MjHtlUikwobi2MaWJgy7tfLeBmhj1u-dRFRs_8GwSoA/edit#gid=0"",""Gestores Escolares!D7:m""),9,0),""VERIFICAR CÓD SEC"")"),"")</f>
        <v/>
      </c>
      <c r="R406" s="82" t="str">
        <f>IFERROR(__xludf.DUMMYFUNCTION("IFERROR(VLOOKUP(D406,
IMPORTRANGE(""https://docs.google.com/spreadsheets/d/1MjHtlUikwobi2MaWJgy7tfLeBmhj1u-dRFRs_8GwSoA/edit#gid=0"",""Gestores Escolares!D7:m""),10,0),""VERIFICAR CÓD SEC"")"),"")</f>
        <v/>
      </c>
      <c r="S406" s="82"/>
      <c r="T406" s="138">
        <v>2.0</v>
      </c>
      <c r="U406" s="139">
        <v>2.0</v>
      </c>
      <c r="V406" s="106">
        <v>0.0</v>
      </c>
      <c r="W406" s="107">
        <v>0.0</v>
      </c>
      <c r="X406" s="107">
        <v>0.0</v>
      </c>
      <c r="Y406" s="107">
        <v>0.0</v>
      </c>
      <c r="Z406" s="80">
        <f t="shared" si="1"/>
        <v>0</v>
      </c>
      <c r="AA406" s="106">
        <v>0.0</v>
      </c>
      <c r="AB406" s="107">
        <v>0.0</v>
      </c>
      <c r="AC406" s="107">
        <v>0.0</v>
      </c>
      <c r="AD406" s="107">
        <v>0.0</v>
      </c>
      <c r="AE406" s="80">
        <f t="shared" si="2"/>
        <v>0</v>
      </c>
      <c r="AF406" s="140">
        <v>16.0</v>
      </c>
      <c r="AG406" s="109">
        <v>14.0</v>
      </c>
      <c r="AH406" s="109">
        <v>0.0</v>
      </c>
      <c r="AI406" s="141">
        <v>0.0</v>
      </c>
      <c r="AJ406" s="80">
        <f t="shared" si="3"/>
        <v>30</v>
      </c>
      <c r="AK406" s="140">
        <v>0.0</v>
      </c>
      <c r="AL406" s="109">
        <v>0.0</v>
      </c>
      <c r="AM406" s="141">
        <v>0.0</v>
      </c>
      <c r="AN406" s="80">
        <f t="shared" si="4"/>
        <v>0</v>
      </c>
      <c r="AO406" s="140">
        <v>0.0</v>
      </c>
      <c r="AP406" s="109">
        <v>0.0</v>
      </c>
      <c r="AQ406" s="109">
        <v>0.0</v>
      </c>
      <c r="AR406" s="80">
        <f t="shared" si="5"/>
        <v>0</v>
      </c>
      <c r="AS406" s="110">
        <v>0.0</v>
      </c>
      <c r="AT406" s="110">
        <v>0.0</v>
      </c>
      <c r="AU406" s="110">
        <v>0.0</v>
      </c>
      <c r="AV406" s="142">
        <v>0.0</v>
      </c>
      <c r="AW406" s="80">
        <f t="shared" si="6"/>
        <v>0</v>
      </c>
      <c r="AX406" s="113">
        <f t="shared" si="7"/>
        <v>30</v>
      </c>
      <c r="AY406" s="117">
        <f t="shared" si="8"/>
        <v>30</v>
      </c>
      <c r="AZ406" s="120">
        <f t="shared" si="9"/>
        <v>0</v>
      </c>
      <c r="BA406" s="115">
        <v>0.0</v>
      </c>
      <c r="BB406" s="89">
        <f t="shared" si="10"/>
        <v>30</v>
      </c>
      <c r="BC406" s="132" t="s">
        <v>373</v>
      </c>
      <c r="BD406" s="143" t="s">
        <v>227</v>
      </c>
      <c r="BE406" s="132" t="s">
        <v>178</v>
      </c>
      <c r="BF406" s="123"/>
      <c r="BG406" s="83">
        <v>1178496.0</v>
      </c>
      <c r="BH406" s="112"/>
      <c r="BI406" s="112">
        <v>2.0</v>
      </c>
      <c r="BJ406" s="98" t="s">
        <v>155</v>
      </c>
      <c r="BK406" s="99">
        <f t="shared" si="11"/>
        <v>0</v>
      </c>
      <c r="BL406" s="99">
        <f t="shared" si="12"/>
        <v>30</v>
      </c>
      <c r="BM406" s="99" t="str">
        <f>IFERROR(__xludf.DUMMYFUNCTION("IFERROR(VLOOKUP(BG406,IMPORTRANGE(""https://docs.google.com/spreadsheets/d/1juPI-Fb8LD0YtltB2mlGEnp_R3UVu1t3wSFPzgCyHXE/edit?gid=0#gid=0"",""GERAL!A2:C""),3,0),""-"")"),"CAMPO")</f>
        <v>CAMPO</v>
      </c>
    </row>
    <row r="407" ht="15.75" customHeight="1">
      <c r="A407" s="111" t="s">
        <v>451</v>
      </c>
      <c r="B407" s="83" t="s">
        <v>1669</v>
      </c>
      <c r="C407" s="83" t="s">
        <v>68</v>
      </c>
      <c r="D407" s="112">
        <v>1179595.0</v>
      </c>
      <c r="E407" s="83"/>
      <c r="F407" s="83">
        <v>2.9470358E7</v>
      </c>
      <c r="G407" s="147" t="s">
        <v>1670</v>
      </c>
      <c r="H407" s="91" t="s">
        <v>1671</v>
      </c>
      <c r="I407" s="172" t="s">
        <v>1672</v>
      </c>
      <c r="J407" s="83" t="s">
        <v>464</v>
      </c>
      <c r="K407" s="83" t="s">
        <v>1673</v>
      </c>
      <c r="L407" s="83" t="s">
        <v>76</v>
      </c>
      <c r="M407" s="82" t="str">
        <f>IFERROR(__xludf.DUMMYFUNCTION("IFERROR(VLOOKUP(D407,
IMPORTRANGE(""https://docs.google.com/spreadsheets/d/1MjHtlUikwobi2MaWJgy7tfLeBmhj1u-dRFRs_8GwSoA/edit#gid=0"",""Gestores Escolares!D7:J""),3,0),""VERIFICAR CÓD SEC"")"),"LEANDRO LESSA BEZERRA")</f>
        <v>LEANDRO LESSA BEZERRA</v>
      </c>
      <c r="N407" s="82" t="str">
        <f>IFERROR(__xludf.DUMMYFUNCTION("IFERROR(VLOOKUP(D407,
IMPORTRANGE(""https://docs.google.com/spreadsheets/d/1MjHtlUikwobi2MaWJgy7tfLeBmhj1u-dRFRs_8GwSoA/edit#gid=0"",""Gestores Escolares!D7:J""),4,0),""VERIFICAR CÓD SEC"")"),"(73) 9 9138-4938")</f>
        <v>(73) 9 9138-4938</v>
      </c>
      <c r="O407" s="82" t="str">
        <f>IFERROR(__xludf.DUMMYFUNCTION("IFERROR(VLOOKUP(D407,
IMPORTRANGE(""https://docs.google.com/spreadsheets/d/1MjHtlUikwobi2MaWJgy7tfLeBmhj1u-dRFRs_8GwSoA/edit#gid=0"",""Gestores Escolares!D7:J""),6,0),""VERIFICAR CÓD SEC"")"),"HYLLO NADER DE ARAUJO")</f>
        <v>HYLLO NADER DE ARAUJO</v>
      </c>
      <c r="P407" s="82" t="str">
        <f>IFERROR(__xludf.DUMMYFUNCTION("IFERROR(VLOOKUP(D407,
IMPORTRANGE(""https://docs.google.com/spreadsheets/d/1MjHtlUikwobi2MaWJgy7tfLeBmhj1u-dRFRs_8GwSoA/edit#gid=0"",""Gestores Escolares!D7:J""),7,0),""VERIFICAR CÓD SEC"")"),"(73) 9 9858-1414")</f>
        <v>(73) 9 9858-1414</v>
      </c>
      <c r="Q407" s="82" t="str">
        <f>IFERROR(__xludf.DUMMYFUNCTION("IFERROR(VLOOKUP(D407,
IMPORTRANGE(""https://docs.google.com/spreadsheets/d/1MjHtlUikwobi2MaWJgy7tfLeBmhj1u-dRFRs_8GwSoA/edit#gid=0"",""Gestores Escolares!D7:m""),9,0),""VERIFICAR CÓD SEC"")"),"")</f>
        <v/>
      </c>
      <c r="R407" s="82" t="str">
        <f>IFERROR(__xludf.DUMMYFUNCTION("IFERROR(VLOOKUP(D407,
IMPORTRANGE(""https://docs.google.com/spreadsheets/d/1MjHtlUikwobi2MaWJgy7tfLeBmhj1u-dRFRs_8GwSoA/edit#gid=0"",""Gestores Escolares!D7:m""),10,0),""VERIFICAR CÓD SEC"")"),"")</f>
        <v/>
      </c>
      <c r="S407" s="82"/>
      <c r="T407" s="138">
        <v>5.0</v>
      </c>
      <c r="U407" s="145">
        <v>6.0</v>
      </c>
      <c r="V407" s="106">
        <v>0.0</v>
      </c>
      <c r="W407" s="107">
        <v>0.0</v>
      </c>
      <c r="X407" s="107">
        <v>0.0</v>
      </c>
      <c r="Y407" s="107">
        <v>0.0</v>
      </c>
      <c r="Z407" s="80">
        <f t="shared" si="1"/>
        <v>0</v>
      </c>
      <c r="AA407" s="106">
        <v>0.0</v>
      </c>
      <c r="AB407" s="107">
        <v>0.0</v>
      </c>
      <c r="AC407" s="107">
        <v>0.0</v>
      </c>
      <c r="AD407" s="107">
        <v>0.0</v>
      </c>
      <c r="AE407" s="80">
        <f t="shared" si="2"/>
        <v>0</v>
      </c>
      <c r="AF407" s="140">
        <v>0.0</v>
      </c>
      <c r="AG407" s="109">
        <v>0.0</v>
      </c>
      <c r="AH407" s="109">
        <v>0.0</v>
      </c>
      <c r="AI407" s="141">
        <v>107.0</v>
      </c>
      <c r="AJ407" s="80">
        <f t="shared" si="3"/>
        <v>107</v>
      </c>
      <c r="AK407" s="140">
        <v>0.0</v>
      </c>
      <c r="AL407" s="109">
        <v>0.0</v>
      </c>
      <c r="AM407" s="141">
        <v>0.0</v>
      </c>
      <c r="AN407" s="80">
        <f t="shared" si="4"/>
        <v>0</v>
      </c>
      <c r="AO407" s="140">
        <v>0.0</v>
      </c>
      <c r="AP407" s="109">
        <v>0.0</v>
      </c>
      <c r="AQ407" s="109">
        <v>62.0</v>
      </c>
      <c r="AR407" s="80">
        <f t="shared" si="5"/>
        <v>62</v>
      </c>
      <c r="AS407" s="110">
        <v>0.0</v>
      </c>
      <c r="AT407" s="110">
        <v>0.0</v>
      </c>
      <c r="AU407" s="110">
        <v>0.0</v>
      </c>
      <c r="AV407" s="142">
        <v>50.0</v>
      </c>
      <c r="AW407" s="80">
        <f t="shared" si="6"/>
        <v>50</v>
      </c>
      <c r="AX407" s="113">
        <f t="shared" si="7"/>
        <v>219</v>
      </c>
      <c r="AY407" s="117">
        <f t="shared" si="8"/>
        <v>157</v>
      </c>
      <c r="AZ407" s="120">
        <f t="shared" si="9"/>
        <v>62</v>
      </c>
      <c r="BA407" s="115">
        <v>0.0</v>
      </c>
      <c r="BB407" s="89">
        <f t="shared" si="10"/>
        <v>219</v>
      </c>
      <c r="BC407" s="132" t="s">
        <v>373</v>
      </c>
      <c r="BD407" s="132" t="s">
        <v>178</v>
      </c>
      <c r="BE407" s="132" t="s">
        <v>178</v>
      </c>
      <c r="BF407" s="156"/>
      <c r="BG407" s="83">
        <v>1179595.0</v>
      </c>
      <c r="BH407" s="112"/>
      <c r="BI407" s="112">
        <v>3.0</v>
      </c>
      <c r="BJ407" s="98" t="s">
        <v>155</v>
      </c>
      <c r="BK407" s="99">
        <f t="shared" si="11"/>
        <v>157</v>
      </c>
      <c r="BL407" s="99">
        <f t="shared" si="12"/>
        <v>0</v>
      </c>
      <c r="BM407" s="99" t="str">
        <f>IFERROR(__xludf.DUMMYFUNCTION("IFERROR(VLOOKUP(BG407,IMPORTRANGE(""https://docs.google.com/spreadsheets/d/1juPI-Fb8LD0YtltB2mlGEnp_R3UVu1t3wSFPzgCyHXE/edit?gid=0#gid=0"",""GERAL!A2:C""),3,0),""-"")"),"CAMPO")</f>
        <v>CAMPO</v>
      </c>
    </row>
    <row r="408" ht="15.75" customHeight="1">
      <c r="A408" s="111" t="s">
        <v>451</v>
      </c>
      <c r="B408" s="83" t="s">
        <v>1669</v>
      </c>
      <c r="C408" s="83" t="s">
        <v>68</v>
      </c>
      <c r="D408" s="112">
        <v>1159790.0</v>
      </c>
      <c r="E408" s="83"/>
      <c r="F408" s="83">
        <v>2.931626E7</v>
      </c>
      <c r="G408" s="119" t="s">
        <v>1675</v>
      </c>
      <c r="H408" s="91" t="s">
        <v>1676</v>
      </c>
      <c r="I408" s="172" t="s">
        <v>149</v>
      </c>
      <c r="J408" s="83" t="s">
        <v>150</v>
      </c>
      <c r="K408" s="83" t="s">
        <v>151</v>
      </c>
      <c r="L408" s="83" t="s">
        <v>152</v>
      </c>
      <c r="M408" s="82" t="str">
        <f>IFERROR(__xludf.DUMMYFUNCTION("IFERROR(VLOOKUP(D408,
IMPORTRANGE(""https://docs.google.com/spreadsheets/d/1MjHtlUikwobi2MaWJgy7tfLeBmhj1u-dRFRs_8GwSoA/edit#gid=0"",""Gestores Escolares!D7:J""),3,0),""VERIFICAR CÓD SEC"")"),"IEDA LIMA DE ALMEIDA")</f>
        <v>IEDA LIMA DE ALMEIDA</v>
      </c>
      <c r="N408" s="82" t="str">
        <f>IFERROR(__xludf.DUMMYFUNCTION("IFERROR(VLOOKUP(D408,
IMPORTRANGE(""https://docs.google.com/spreadsheets/d/1MjHtlUikwobi2MaWJgy7tfLeBmhj1u-dRFRs_8GwSoA/edit#gid=0"",""Gestores Escolares!D7:J""),4,0),""VERIFICAR CÓD SEC"")"),"(73) 9 9156-2872/ 
9 8126-0278")</f>
        <v>(73) 9 9156-2872/ 
9 8126-0278</v>
      </c>
      <c r="O408" s="82" t="str">
        <f>IFERROR(__xludf.DUMMYFUNCTION("IFERROR(VLOOKUP(D408,
IMPORTRANGE(""https://docs.google.com/spreadsheets/d/1MjHtlUikwobi2MaWJgy7tfLeBmhj1u-dRFRs_8GwSoA/edit#gid=0"",""Gestores Escolares!D7:J""),6,0),""VERIFICAR CÓD SEC"")"),"MÁRCIA OLIVEIRA SANTANA ")</f>
        <v>MÁRCIA OLIVEIRA SANTANA </v>
      </c>
      <c r="P408" s="82" t="str">
        <f>IFERROR(__xludf.DUMMYFUNCTION("IFERROR(VLOOKUP(D408,
IMPORTRANGE(""https://docs.google.com/spreadsheets/d/1MjHtlUikwobi2MaWJgy7tfLeBmhj1u-dRFRs_8GwSoA/edit#gid=0"",""Gestores Escolares!D7:J""),7,0),""VERIFICAR CÓD SEC"")"),"(73) 9 8806-9186")</f>
        <v>(73) 9 8806-9186</v>
      </c>
      <c r="Q408" s="82" t="str">
        <f>IFERROR(__xludf.DUMMYFUNCTION("IFERROR(VLOOKUP(D408,
IMPORTRANGE(""https://docs.google.com/spreadsheets/d/1MjHtlUikwobi2MaWJgy7tfLeBmhj1u-dRFRs_8GwSoA/edit#gid=0"",""Gestores Escolares!D7:m""),9,0),""VERIFICAR CÓD SEC"")"),"ROSANA BENTO DA SILVA")</f>
        <v>ROSANA BENTO DA SILVA</v>
      </c>
      <c r="R408" s="82" t="str">
        <f>IFERROR(__xludf.DUMMYFUNCTION("IFERROR(VLOOKUP(D408,
IMPORTRANGE(""https://docs.google.com/spreadsheets/d/1MjHtlUikwobi2MaWJgy7tfLeBmhj1u-dRFRs_8GwSoA/edit#gid=0"",""Gestores Escolares!D7:m""),10,0),""VERIFICAR CÓD SEC"")"),"(73) 9 8102-4548")</f>
        <v>(73) 9 8102-4548</v>
      </c>
      <c r="S408" s="82"/>
      <c r="T408" s="138">
        <v>11.0</v>
      </c>
      <c r="U408" s="145">
        <v>8.0</v>
      </c>
      <c r="V408" s="106">
        <v>0.0</v>
      </c>
      <c r="W408" s="107">
        <v>0.0</v>
      </c>
      <c r="X408" s="107">
        <v>0.0</v>
      </c>
      <c r="Y408" s="107">
        <v>0.0</v>
      </c>
      <c r="Z408" s="80">
        <f t="shared" si="1"/>
        <v>0</v>
      </c>
      <c r="AA408" s="106">
        <v>0.0</v>
      </c>
      <c r="AB408" s="107">
        <v>0.0</v>
      </c>
      <c r="AC408" s="107">
        <v>0.0</v>
      </c>
      <c r="AD408" s="107">
        <v>0.0</v>
      </c>
      <c r="AE408" s="80">
        <f t="shared" si="2"/>
        <v>0</v>
      </c>
      <c r="AF408" s="140">
        <v>213.0</v>
      </c>
      <c r="AG408" s="109">
        <v>127.0</v>
      </c>
      <c r="AH408" s="109">
        <v>0.0</v>
      </c>
      <c r="AI408" s="141">
        <v>106.0</v>
      </c>
      <c r="AJ408" s="80">
        <f t="shared" si="3"/>
        <v>446</v>
      </c>
      <c r="AK408" s="140">
        <v>0.0</v>
      </c>
      <c r="AL408" s="109">
        <v>0.0</v>
      </c>
      <c r="AM408" s="141">
        <v>0.0</v>
      </c>
      <c r="AN408" s="80">
        <f t="shared" si="4"/>
        <v>0</v>
      </c>
      <c r="AO408" s="140">
        <v>0.0</v>
      </c>
      <c r="AP408" s="109">
        <v>0.0</v>
      </c>
      <c r="AQ408" s="109">
        <v>103.0</v>
      </c>
      <c r="AR408" s="80">
        <f t="shared" si="5"/>
        <v>103</v>
      </c>
      <c r="AS408" s="110">
        <v>0.0</v>
      </c>
      <c r="AT408" s="110">
        <v>0.0</v>
      </c>
      <c r="AU408" s="110">
        <v>0.0</v>
      </c>
      <c r="AV408" s="142">
        <v>0.0</v>
      </c>
      <c r="AW408" s="80">
        <f t="shared" si="6"/>
        <v>0</v>
      </c>
      <c r="AX408" s="113">
        <f t="shared" si="7"/>
        <v>549</v>
      </c>
      <c r="AY408" s="117">
        <f t="shared" si="8"/>
        <v>446</v>
      </c>
      <c r="AZ408" s="120">
        <f t="shared" si="9"/>
        <v>103</v>
      </c>
      <c r="BA408" s="115">
        <v>0.0</v>
      </c>
      <c r="BB408" s="89">
        <f t="shared" si="10"/>
        <v>549</v>
      </c>
      <c r="BC408" s="132" t="s">
        <v>178</v>
      </c>
      <c r="BD408" s="132" t="s">
        <v>178</v>
      </c>
      <c r="BE408" s="132" t="s">
        <v>178</v>
      </c>
      <c r="BF408" s="156"/>
      <c r="BG408" s="83">
        <v>1159790.0</v>
      </c>
      <c r="BH408" s="112"/>
      <c r="BI408" s="112">
        <v>9.0</v>
      </c>
      <c r="BJ408" s="98" t="s">
        <v>155</v>
      </c>
      <c r="BK408" s="99">
        <f t="shared" si="11"/>
        <v>106</v>
      </c>
      <c r="BL408" s="99">
        <f t="shared" si="12"/>
        <v>340</v>
      </c>
      <c r="BM408" s="99" t="str">
        <f>IFERROR(__xludf.DUMMYFUNCTION("IFERROR(VLOOKUP(BG408,IMPORTRANGE(""https://docs.google.com/spreadsheets/d/1juPI-Fb8LD0YtltB2mlGEnp_R3UVu1t3wSFPzgCyHXE/edit?gid=0#gid=0"",""GERAL!A2:C""),3,0),""-"")"),"-")</f>
        <v>-</v>
      </c>
    </row>
    <row r="409" ht="15.75" customHeight="1">
      <c r="A409" s="111" t="s">
        <v>540</v>
      </c>
      <c r="B409" s="83" t="s">
        <v>1678</v>
      </c>
      <c r="C409" s="83" t="s">
        <v>68</v>
      </c>
      <c r="D409" s="112">
        <v>1108966.0</v>
      </c>
      <c r="E409" s="83"/>
      <c r="F409" s="83">
        <v>2.916177E7</v>
      </c>
      <c r="G409" s="119" t="s">
        <v>1679</v>
      </c>
      <c r="H409" s="108" t="s">
        <v>1680</v>
      </c>
      <c r="I409" s="83" t="s">
        <v>149</v>
      </c>
      <c r="J409" s="83" t="s">
        <v>150</v>
      </c>
      <c r="K409" s="83" t="s">
        <v>168</v>
      </c>
      <c r="L409" s="83" t="s">
        <v>152</v>
      </c>
      <c r="M409" s="82" t="str">
        <f>IFERROR(__xludf.DUMMYFUNCTION("IFERROR(VLOOKUP(D409,
IMPORTRANGE(""https://docs.google.com/spreadsheets/d/1MjHtlUikwobi2MaWJgy7tfLeBmhj1u-dRFRs_8GwSoA/edit#gid=0"",""Gestores Escolares!D7:J""),3,0),""VERIFICAR CÓD SEC"")"),"JOSENEL DOS SANTOS OLIVEIRA")</f>
        <v>JOSENEL DOS SANTOS OLIVEIRA</v>
      </c>
      <c r="N409" s="82" t="str">
        <f>IFERROR(__xludf.DUMMYFUNCTION("IFERROR(VLOOKUP(D409,
IMPORTRANGE(""https://docs.google.com/spreadsheets/d/1MjHtlUikwobi2MaWJgy7tfLeBmhj1u-dRFRs_8GwSoA/edit#gid=0"",""Gestores Escolares!D7:J""),4,0),""VERIFICAR CÓD SEC"")"),"(75) 9 8818-8982")</f>
        <v>(75) 9 8818-8982</v>
      </c>
      <c r="O409" s="82" t="str">
        <f>IFERROR(__xludf.DUMMYFUNCTION("IFERROR(VLOOKUP(D409,
IMPORTRANGE(""https://docs.google.com/spreadsheets/d/1MjHtlUikwobi2MaWJgy7tfLeBmhj1u-dRFRs_8GwSoA/edit#gid=0"",""Gestores Escolares!D7:J""),6,0),""VERIFICAR CÓD SEC"")"),"HYAN DA SILVA CARDOSO DOS SANTOS")</f>
        <v>HYAN DA SILVA CARDOSO DOS SANTOS</v>
      </c>
      <c r="P409" s="82" t="str">
        <f>IFERROR(__xludf.DUMMYFUNCTION("IFERROR(VLOOKUP(D409,
IMPORTRANGE(""https://docs.google.com/spreadsheets/d/1MjHtlUikwobi2MaWJgy7tfLeBmhj1u-dRFRs_8GwSoA/edit#gid=0"",""Gestores Escolares!D7:J""),7,0),""VERIFICAR CÓD SEC"")"),"(75) 9 8164-7899")</f>
        <v>(75) 9 8164-7899</v>
      </c>
      <c r="Q409" s="82" t="str">
        <f>IFERROR(__xludf.DUMMYFUNCTION("IFERROR(VLOOKUP(D409,
IMPORTRANGE(""https://docs.google.com/spreadsheets/d/1MjHtlUikwobi2MaWJgy7tfLeBmhj1u-dRFRs_8GwSoA/edit#gid=0"",""Gestores Escolares!D7:m""),9,0),""VERIFICAR CÓD SEC"")"),"")</f>
        <v/>
      </c>
      <c r="R409" s="82" t="str">
        <f>IFERROR(__xludf.DUMMYFUNCTION("IFERROR(VLOOKUP(D409,
IMPORTRANGE(""https://docs.google.com/spreadsheets/d/1MjHtlUikwobi2MaWJgy7tfLeBmhj1u-dRFRs_8GwSoA/edit#gid=0"",""Gestores Escolares!D7:m""),10,0),""VERIFICAR CÓD SEC"")"),"")</f>
        <v/>
      </c>
      <c r="S409" s="82"/>
      <c r="T409" s="138">
        <v>12.0</v>
      </c>
      <c r="U409" s="145">
        <v>12.0</v>
      </c>
      <c r="V409" s="106">
        <v>0.0</v>
      </c>
      <c r="W409" s="107">
        <v>0.0</v>
      </c>
      <c r="X409" s="107">
        <v>0.0</v>
      </c>
      <c r="Y409" s="107">
        <v>0.0</v>
      </c>
      <c r="Z409" s="80">
        <f t="shared" si="1"/>
        <v>0</v>
      </c>
      <c r="AA409" s="106">
        <v>0.0</v>
      </c>
      <c r="AB409" s="107">
        <v>0.0</v>
      </c>
      <c r="AC409" s="107">
        <v>0.0</v>
      </c>
      <c r="AD409" s="107">
        <v>0.0</v>
      </c>
      <c r="AE409" s="80">
        <f t="shared" si="2"/>
        <v>0</v>
      </c>
      <c r="AF409" s="140">
        <v>0.0</v>
      </c>
      <c r="AG409" s="109">
        <v>0.0</v>
      </c>
      <c r="AH409" s="109">
        <v>0.0</v>
      </c>
      <c r="AI409" s="141">
        <v>183.0</v>
      </c>
      <c r="AJ409" s="80">
        <f t="shared" si="3"/>
        <v>183</v>
      </c>
      <c r="AK409" s="140">
        <v>0.0</v>
      </c>
      <c r="AL409" s="109">
        <v>0.0</v>
      </c>
      <c r="AM409" s="141">
        <v>0.0</v>
      </c>
      <c r="AN409" s="80">
        <f t="shared" si="4"/>
        <v>0</v>
      </c>
      <c r="AO409" s="140">
        <v>0.0</v>
      </c>
      <c r="AP409" s="109">
        <v>0.0</v>
      </c>
      <c r="AQ409" s="109">
        <v>47.0</v>
      </c>
      <c r="AR409" s="80">
        <f t="shared" si="5"/>
        <v>47</v>
      </c>
      <c r="AS409" s="110">
        <v>109.0</v>
      </c>
      <c r="AT409" s="110">
        <v>21.0</v>
      </c>
      <c r="AU409" s="110">
        <v>32.0</v>
      </c>
      <c r="AV409" s="142">
        <v>0.0</v>
      </c>
      <c r="AW409" s="80">
        <f t="shared" si="6"/>
        <v>162</v>
      </c>
      <c r="AX409" s="113">
        <f t="shared" si="7"/>
        <v>392</v>
      </c>
      <c r="AY409" s="117">
        <f t="shared" si="8"/>
        <v>313</v>
      </c>
      <c r="AZ409" s="120">
        <f t="shared" si="9"/>
        <v>79</v>
      </c>
      <c r="BA409" s="115">
        <v>0.0</v>
      </c>
      <c r="BB409" s="89">
        <f t="shared" si="10"/>
        <v>392</v>
      </c>
      <c r="BC409" s="132" t="s">
        <v>178</v>
      </c>
      <c r="BD409" s="132" t="s">
        <v>178</v>
      </c>
      <c r="BE409" s="132" t="s">
        <v>178</v>
      </c>
      <c r="BF409" s="123"/>
      <c r="BG409" s="83">
        <v>1108966.0</v>
      </c>
      <c r="BH409" s="171" t="s">
        <v>1681</v>
      </c>
      <c r="BI409" s="112">
        <v>13.0</v>
      </c>
      <c r="BJ409" s="98" t="s">
        <v>162</v>
      </c>
      <c r="BK409" s="99">
        <f t="shared" si="11"/>
        <v>183</v>
      </c>
      <c r="BL409" s="99">
        <f t="shared" si="12"/>
        <v>130</v>
      </c>
      <c r="BM409" s="99" t="str">
        <f>IFERROR(__xludf.DUMMYFUNCTION("IFERROR(VLOOKUP(BG409,IMPORTRANGE(""https://docs.google.com/spreadsheets/d/1juPI-Fb8LD0YtltB2mlGEnp_R3UVu1t3wSFPzgCyHXE/edit?gid=0#gid=0"",""GERAL!A2:C""),3,0),""-"")"),"-")</f>
        <v>-</v>
      </c>
    </row>
    <row r="410" ht="15.75" customHeight="1">
      <c r="A410" s="111" t="s">
        <v>540</v>
      </c>
      <c r="B410" s="136" t="s">
        <v>1682</v>
      </c>
      <c r="C410" s="83" t="s">
        <v>68</v>
      </c>
      <c r="D410" s="195">
        <v>1142862.0</v>
      </c>
      <c r="E410" s="136"/>
      <c r="F410" s="136">
        <v>2.9285534E7</v>
      </c>
      <c r="G410" s="187" t="s">
        <v>1683</v>
      </c>
      <c r="H410" s="91" t="s">
        <v>1684</v>
      </c>
      <c r="I410" s="83" t="s">
        <v>149</v>
      </c>
      <c r="J410" s="83" t="s">
        <v>150</v>
      </c>
      <c r="K410" s="83" t="s">
        <v>1685</v>
      </c>
      <c r="L410" s="83" t="s">
        <v>152</v>
      </c>
      <c r="M410" s="82" t="str">
        <f>IFERROR(__xludf.DUMMYFUNCTION("IFERROR(VLOOKUP(D410,
IMPORTRANGE(""https://docs.google.com/spreadsheets/d/1MjHtlUikwobi2MaWJgy7tfLeBmhj1u-dRFRs_8GwSoA/edit#gid=0"",""Gestores Escolares!D7:J""),3,0),""VERIFICAR CÓD SEC"")"),"LISMAR LUCAS SANTOS DOS REIS")</f>
        <v>LISMAR LUCAS SANTOS DOS REIS</v>
      </c>
      <c r="N410" s="82" t="str">
        <f>IFERROR(__xludf.DUMMYFUNCTION("IFERROR(VLOOKUP(D410,
IMPORTRANGE(""https://docs.google.com/spreadsheets/d/1MjHtlUikwobi2MaWJgy7tfLeBmhj1u-dRFRs_8GwSoA/edit#gid=0"",""Gestores Escolares!D7:J""),4,0),""VERIFICAR CÓD SEC"")")," (73) 9 9195-1045")</f>
        <v> (73) 9 9195-1045</v>
      </c>
      <c r="O410" s="82" t="str">
        <f>IFERROR(__xludf.DUMMYFUNCTION("IFERROR(VLOOKUP(D410,
IMPORTRANGE(""https://docs.google.com/spreadsheets/d/1MjHtlUikwobi2MaWJgy7tfLeBmhj1u-dRFRs_8GwSoA/edit#gid=0"",""Gestores Escolares!D7:J""),6,0),""VERIFICAR CÓD SEC"")"),"JANINE SANTOS DA SILVA SOARES")</f>
        <v>JANINE SANTOS DA SILVA SOARES</v>
      </c>
      <c r="P410" s="82" t="str">
        <f>IFERROR(__xludf.DUMMYFUNCTION("IFERROR(VLOOKUP(D410,
IMPORTRANGE(""https://docs.google.com/spreadsheets/d/1MjHtlUikwobi2MaWJgy7tfLeBmhj1u-dRFRs_8GwSoA/edit#gid=0"",""Gestores Escolares!D7:J""),7,0),""VERIFICAR CÓD SEC"")"),"(75) 9 9966-8823")</f>
        <v>(75) 9 9966-8823</v>
      </c>
      <c r="Q410" s="82" t="str">
        <f>IFERROR(__xludf.DUMMYFUNCTION("IFERROR(VLOOKUP(D410,
IMPORTRANGE(""https://docs.google.com/spreadsheets/d/1MjHtlUikwobi2MaWJgy7tfLeBmhj1u-dRFRs_8GwSoA/edit#gid=0"",""Gestores Escolares!D7:m""),9,0),""VERIFICAR CÓD SEC"")"),"DANIELE MENEZES DOS SANTOS DE MELO")</f>
        <v>DANIELE MENEZES DOS SANTOS DE MELO</v>
      </c>
      <c r="R410" s="82" t="str">
        <f>IFERROR(__xludf.DUMMYFUNCTION("IFERROR(VLOOKUP(D410,
IMPORTRANGE(""https://docs.google.com/spreadsheets/d/1MjHtlUikwobi2MaWJgy7tfLeBmhj1u-dRFRs_8GwSoA/edit#gid=0"",""Gestores Escolares!D7:m""),10,0),""VERIFICAR CÓD SEC"")"),"(75) 9 8103-2934")</f>
        <v>(75) 9 8103-2934</v>
      </c>
      <c r="S410" s="82"/>
      <c r="T410" s="138">
        <v>6.0</v>
      </c>
      <c r="U410" s="145">
        <v>5.0</v>
      </c>
      <c r="V410" s="106">
        <v>0.0</v>
      </c>
      <c r="W410" s="107">
        <v>0.0</v>
      </c>
      <c r="X410" s="107">
        <v>0.0</v>
      </c>
      <c r="Y410" s="107">
        <v>0.0</v>
      </c>
      <c r="Z410" s="80">
        <f t="shared" si="1"/>
        <v>0</v>
      </c>
      <c r="AA410" s="106">
        <v>0.0</v>
      </c>
      <c r="AB410" s="107">
        <v>0.0</v>
      </c>
      <c r="AC410" s="107">
        <v>0.0</v>
      </c>
      <c r="AD410" s="107">
        <v>0.0</v>
      </c>
      <c r="AE410" s="80">
        <f t="shared" si="2"/>
        <v>0</v>
      </c>
      <c r="AF410" s="140">
        <v>0.0</v>
      </c>
      <c r="AG410" s="109">
        <v>0.0</v>
      </c>
      <c r="AH410" s="109">
        <v>0.0</v>
      </c>
      <c r="AI410" s="141">
        <v>17.0</v>
      </c>
      <c r="AJ410" s="80">
        <f t="shared" si="3"/>
        <v>17</v>
      </c>
      <c r="AK410" s="140">
        <v>0.0</v>
      </c>
      <c r="AL410" s="109">
        <v>0.0</v>
      </c>
      <c r="AM410" s="141">
        <v>0.0</v>
      </c>
      <c r="AN410" s="80">
        <f t="shared" si="4"/>
        <v>0</v>
      </c>
      <c r="AO410" s="140">
        <v>0.0</v>
      </c>
      <c r="AP410" s="109">
        <v>0.0</v>
      </c>
      <c r="AQ410" s="109">
        <v>24.0</v>
      </c>
      <c r="AR410" s="80">
        <f t="shared" si="5"/>
        <v>24</v>
      </c>
      <c r="AS410" s="110">
        <v>0.0</v>
      </c>
      <c r="AT410" s="110">
        <v>0.0</v>
      </c>
      <c r="AU410" s="110">
        <v>0.0</v>
      </c>
      <c r="AV410" s="142">
        <v>42.0</v>
      </c>
      <c r="AW410" s="80">
        <f t="shared" si="6"/>
        <v>42</v>
      </c>
      <c r="AX410" s="113">
        <f t="shared" si="7"/>
        <v>83</v>
      </c>
      <c r="AY410" s="117">
        <f t="shared" si="8"/>
        <v>59</v>
      </c>
      <c r="AZ410" s="120">
        <f t="shared" si="9"/>
        <v>24</v>
      </c>
      <c r="BA410" s="115">
        <v>0.0</v>
      </c>
      <c r="BB410" s="89">
        <f t="shared" si="10"/>
        <v>83</v>
      </c>
      <c r="BC410" s="132" t="s">
        <v>178</v>
      </c>
      <c r="BD410" s="132" t="s">
        <v>178</v>
      </c>
      <c r="BE410" s="132" t="s">
        <v>178</v>
      </c>
      <c r="BF410" s="156"/>
      <c r="BG410" s="136">
        <v>1142862.0</v>
      </c>
      <c r="BH410" s="112"/>
      <c r="BI410" s="112">
        <v>5.0</v>
      </c>
      <c r="BJ410" s="98" t="s">
        <v>155</v>
      </c>
      <c r="BK410" s="99">
        <f t="shared" si="11"/>
        <v>59</v>
      </c>
      <c r="BL410" s="99">
        <f t="shared" si="12"/>
        <v>0</v>
      </c>
      <c r="BM410" s="99" t="str">
        <f>IFERROR(__xludf.DUMMYFUNCTION("IFERROR(VLOOKUP(BG410,IMPORTRANGE(""https://docs.google.com/spreadsheets/d/1juPI-Fb8LD0YtltB2mlGEnp_R3UVu1t3wSFPzgCyHXE/edit?gid=0#gid=0"",""GERAL!A2:C""),3,0),""-"")"),"-")</f>
        <v>-</v>
      </c>
    </row>
    <row r="411" ht="15.75" customHeight="1">
      <c r="A411" s="111" t="s">
        <v>540</v>
      </c>
      <c r="B411" s="136" t="s">
        <v>1682</v>
      </c>
      <c r="C411" s="136" t="s">
        <v>164</v>
      </c>
      <c r="D411" s="195">
        <v>1142862.0</v>
      </c>
      <c r="E411" s="136">
        <v>1178330.0</v>
      </c>
      <c r="F411" s="115">
        <v>2.9490359E7</v>
      </c>
      <c r="G411" s="187" t="s">
        <v>1687</v>
      </c>
      <c r="H411" s="91" t="s">
        <v>1688</v>
      </c>
      <c r="I411" s="83" t="s">
        <v>1689</v>
      </c>
      <c r="J411" s="83" t="s">
        <v>1690</v>
      </c>
      <c r="K411" s="83" t="s">
        <v>168</v>
      </c>
      <c r="L411" s="83" t="s">
        <v>169</v>
      </c>
      <c r="M411" s="82" t="str">
        <f>IFERROR(__xludf.DUMMYFUNCTION("IFERROR(VLOOKUP(D411,
IMPORTRANGE(""https://docs.google.com/spreadsheets/d/1MjHtlUikwobi2MaWJgy7tfLeBmhj1u-dRFRs_8GwSoA/edit#gid=0"",""Gestores Escolares!D7:J""),3,0),""VERIFICAR CÓD SEC"")"),"LISMAR LUCAS SANTOS DOS REIS")</f>
        <v>LISMAR LUCAS SANTOS DOS REIS</v>
      </c>
      <c r="N411" s="82" t="str">
        <f>IFERROR(__xludf.DUMMYFUNCTION("IFERROR(VLOOKUP(D411,
IMPORTRANGE(""https://docs.google.com/spreadsheets/d/1MjHtlUikwobi2MaWJgy7tfLeBmhj1u-dRFRs_8GwSoA/edit#gid=0"",""Gestores Escolares!D7:J""),4,0),""VERIFICAR CÓD SEC"")")," (73) 9 9195-1045")</f>
        <v> (73) 9 9195-1045</v>
      </c>
      <c r="O411" s="82" t="str">
        <f>IFERROR(__xludf.DUMMYFUNCTION("IFERROR(VLOOKUP(D411,
IMPORTRANGE(""https://docs.google.com/spreadsheets/d/1MjHtlUikwobi2MaWJgy7tfLeBmhj1u-dRFRs_8GwSoA/edit#gid=0"",""Gestores Escolares!D7:J""),6,0),""VERIFICAR CÓD SEC"")"),"JANINE SANTOS DA SILVA SOARES")</f>
        <v>JANINE SANTOS DA SILVA SOARES</v>
      </c>
      <c r="P411" s="82" t="str">
        <f>IFERROR(__xludf.DUMMYFUNCTION("IFERROR(VLOOKUP(D411,
IMPORTRANGE(""https://docs.google.com/spreadsheets/d/1MjHtlUikwobi2MaWJgy7tfLeBmhj1u-dRFRs_8GwSoA/edit#gid=0"",""Gestores Escolares!D7:J""),7,0),""VERIFICAR CÓD SEC"")"),"(75) 9 9966-8823")</f>
        <v>(75) 9 9966-8823</v>
      </c>
      <c r="Q411" s="82" t="str">
        <f>IFERROR(__xludf.DUMMYFUNCTION("IFERROR(VLOOKUP(D411,
IMPORTRANGE(""https://docs.google.com/spreadsheets/d/1MjHtlUikwobi2MaWJgy7tfLeBmhj1u-dRFRs_8GwSoA/edit#gid=0"",""Gestores Escolares!D7:m""),9,0),""VERIFICAR CÓD SEC"")"),"DANIELE MENEZES DOS SANTOS DE MELO")</f>
        <v>DANIELE MENEZES DOS SANTOS DE MELO</v>
      </c>
      <c r="R411" s="82" t="str">
        <f>IFERROR(__xludf.DUMMYFUNCTION("IFERROR(VLOOKUP(D411,
IMPORTRANGE(""https://docs.google.com/spreadsheets/d/1MjHtlUikwobi2MaWJgy7tfLeBmhj1u-dRFRs_8GwSoA/edit#gid=0"",""Gestores Escolares!D7:m""),10,0),""VERIFICAR CÓD SEC"")"),"(75) 9 8103-2934")</f>
        <v>(75) 9 8103-2934</v>
      </c>
      <c r="S411" s="82"/>
      <c r="T411" s="138">
        <v>5.0</v>
      </c>
      <c r="U411" s="139">
        <v>3.0</v>
      </c>
      <c r="V411" s="106">
        <v>0.0</v>
      </c>
      <c r="W411" s="107">
        <v>0.0</v>
      </c>
      <c r="X411" s="107">
        <v>0.0</v>
      </c>
      <c r="Y411" s="107">
        <v>0.0</v>
      </c>
      <c r="Z411" s="80">
        <f t="shared" si="1"/>
        <v>0</v>
      </c>
      <c r="AA411" s="106">
        <v>0.0</v>
      </c>
      <c r="AB411" s="107">
        <v>0.0</v>
      </c>
      <c r="AC411" s="107">
        <v>0.0</v>
      </c>
      <c r="AD411" s="107">
        <v>0.0</v>
      </c>
      <c r="AE411" s="80">
        <f t="shared" si="2"/>
        <v>0</v>
      </c>
      <c r="AF411" s="140">
        <v>119.0</v>
      </c>
      <c r="AG411" s="109">
        <v>0.0</v>
      </c>
      <c r="AH411" s="109">
        <v>0.0</v>
      </c>
      <c r="AI411" s="141">
        <v>0.0</v>
      </c>
      <c r="AJ411" s="80">
        <f t="shared" si="3"/>
        <v>119</v>
      </c>
      <c r="AK411" s="140">
        <v>0.0</v>
      </c>
      <c r="AL411" s="109">
        <v>0.0</v>
      </c>
      <c r="AM411" s="141">
        <v>0.0</v>
      </c>
      <c r="AN411" s="80">
        <f t="shared" si="4"/>
        <v>0</v>
      </c>
      <c r="AO411" s="140">
        <v>0.0</v>
      </c>
      <c r="AP411" s="109">
        <v>0.0</v>
      </c>
      <c r="AQ411" s="109">
        <v>40.0</v>
      </c>
      <c r="AR411" s="80">
        <f t="shared" si="5"/>
        <v>40</v>
      </c>
      <c r="AS411" s="110">
        <v>0.0</v>
      </c>
      <c r="AT411" s="110">
        <v>0.0</v>
      </c>
      <c r="AU411" s="110">
        <v>0.0</v>
      </c>
      <c r="AV411" s="142">
        <v>0.0</v>
      </c>
      <c r="AW411" s="80">
        <f t="shared" si="6"/>
        <v>0</v>
      </c>
      <c r="AX411" s="113">
        <f t="shared" si="7"/>
        <v>159</v>
      </c>
      <c r="AY411" s="117">
        <f t="shared" si="8"/>
        <v>119</v>
      </c>
      <c r="AZ411" s="120">
        <f t="shared" si="9"/>
        <v>40</v>
      </c>
      <c r="BA411" s="115">
        <v>0.0</v>
      </c>
      <c r="BB411" s="89">
        <f t="shared" si="10"/>
        <v>159</v>
      </c>
      <c r="BC411" s="132" t="s">
        <v>373</v>
      </c>
      <c r="BD411" s="132" t="s">
        <v>178</v>
      </c>
      <c r="BE411" s="132" t="s">
        <v>178</v>
      </c>
      <c r="BF411" s="123"/>
      <c r="BG411" s="136">
        <v>1178330.0</v>
      </c>
      <c r="BH411" s="112"/>
      <c r="BI411" s="112">
        <v>3.0</v>
      </c>
      <c r="BJ411" s="98" t="s">
        <v>155</v>
      </c>
      <c r="BK411" s="99">
        <f t="shared" si="11"/>
        <v>0</v>
      </c>
      <c r="BL411" s="99">
        <f t="shared" si="12"/>
        <v>119</v>
      </c>
      <c r="BM411" s="99" t="str">
        <f>IFERROR(__xludf.DUMMYFUNCTION("IFERROR(VLOOKUP(BG411,IMPORTRANGE(""https://docs.google.com/spreadsheets/d/1juPI-Fb8LD0YtltB2mlGEnp_R3UVu1t3wSFPzgCyHXE/edit?gid=0#gid=0"",""GERAL!A2:C""),3,0),""-"")"),"CAMPO")</f>
        <v>CAMPO</v>
      </c>
    </row>
    <row r="412" ht="15.75" customHeight="1">
      <c r="A412" s="111" t="s">
        <v>540</v>
      </c>
      <c r="B412" s="136" t="s">
        <v>1682</v>
      </c>
      <c r="C412" s="136" t="s">
        <v>164</v>
      </c>
      <c r="D412" s="195">
        <v>1142862.0</v>
      </c>
      <c r="E412" s="136">
        <v>1178481.0</v>
      </c>
      <c r="F412" s="115">
        <v>2.949034E7</v>
      </c>
      <c r="G412" s="187" t="s">
        <v>1691</v>
      </c>
      <c r="H412" s="91" t="s">
        <v>1692</v>
      </c>
      <c r="I412" s="83" t="s">
        <v>149</v>
      </c>
      <c r="J412" s="83" t="s">
        <v>1693</v>
      </c>
      <c r="K412" s="83" t="s">
        <v>168</v>
      </c>
      <c r="L412" s="83" t="s">
        <v>169</v>
      </c>
      <c r="M412" s="82" t="str">
        <f>IFERROR(__xludf.DUMMYFUNCTION("IFERROR(VLOOKUP(D412,
IMPORTRANGE(""https://docs.google.com/spreadsheets/d/1MjHtlUikwobi2MaWJgy7tfLeBmhj1u-dRFRs_8GwSoA/edit#gid=0"",""Gestores Escolares!D7:J""),3,0),""VERIFICAR CÓD SEC"")"),"LISMAR LUCAS SANTOS DOS REIS")</f>
        <v>LISMAR LUCAS SANTOS DOS REIS</v>
      </c>
      <c r="N412" s="82" t="str">
        <f>IFERROR(__xludf.DUMMYFUNCTION("IFERROR(VLOOKUP(D412,
IMPORTRANGE(""https://docs.google.com/spreadsheets/d/1MjHtlUikwobi2MaWJgy7tfLeBmhj1u-dRFRs_8GwSoA/edit#gid=0"",""Gestores Escolares!D7:J""),4,0),""VERIFICAR CÓD SEC"")")," (73) 9 9195-1045")</f>
        <v> (73) 9 9195-1045</v>
      </c>
      <c r="O412" s="82" t="str">
        <f>IFERROR(__xludf.DUMMYFUNCTION("IFERROR(VLOOKUP(D412,
IMPORTRANGE(""https://docs.google.com/spreadsheets/d/1MjHtlUikwobi2MaWJgy7tfLeBmhj1u-dRFRs_8GwSoA/edit#gid=0"",""Gestores Escolares!D7:J""),6,0),""VERIFICAR CÓD SEC"")"),"JANINE SANTOS DA SILVA SOARES")</f>
        <v>JANINE SANTOS DA SILVA SOARES</v>
      </c>
      <c r="P412" s="82" t="str">
        <f>IFERROR(__xludf.DUMMYFUNCTION("IFERROR(VLOOKUP(D412,
IMPORTRANGE(""https://docs.google.com/spreadsheets/d/1MjHtlUikwobi2MaWJgy7tfLeBmhj1u-dRFRs_8GwSoA/edit#gid=0"",""Gestores Escolares!D7:J""),7,0),""VERIFICAR CÓD SEC"")"),"(75) 9 9966-8823")</f>
        <v>(75) 9 9966-8823</v>
      </c>
      <c r="Q412" s="82" t="str">
        <f>IFERROR(__xludf.DUMMYFUNCTION("IFERROR(VLOOKUP(D412,
IMPORTRANGE(""https://docs.google.com/spreadsheets/d/1MjHtlUikwobi2MaWJgy7tfLeBmhj1u-dRFRs_8GwSoA/edit#gid=0"",""Gestores Escolares!D7:m""),9,0),""VERIFICAR CÓD SEC"")"),"DANIELE MENEZES DOS SANTOS DE MELO")</f>
        <v>DANIELE MENEZES DOS SANTOS DE MELO</v>
      </c>
      <c r="R412" s="82" t="str">
        <f>IFERROR(__xludf.DUMMYFUNCTION("IFERROR(VLOOKUP(D412,
IMPORTRANGE(""https://docs.google.com/spreadsheets/d/1MjHtlUikwobi2MaWJgy7tfLeBmhj1u-dRFRs_8GwSoA/edit#gid=0"",""Gestores Escolares!D7:m""),10,0),""VERIFICAR CÓD SEC"")"),"(75) 9 8103-2934")</f>
        <v>(75) 9 8103-2934</v>
      </c>
      <c r="S412" s="82"/>
      <c r="T412" s="138">
        <v>4.0</v>
      </c>
      <c r="U412" s="139">
        <v>3.0</v>
      </c>
      <c r="V412" s="106">
        <v>0.0</v>
      </c>
      <c r="W412" s="107">
        <v>0.0</v>
      </c>
      <c r="X412" s="107">
        <v>0.0</v>
      </c>
      <c r="Y412" s="107">
        <v>0.0</v>
      </c>
      <c r="Z412" s="80">
        <f t="shared" si="1"/>
        <v>0</v>
      </c>
      <c r="AA412" s="106">
        <v>0.0</v>
      </c>
      <c r="AB412" s="107">
        <v>0.0</v>
      </c>
      <c r="AC412" s="107">
        <v>0.0</v>
      </c>
      <c r="AD412" s="107">
        <v>0.0</v>
      </c>
      <c r="AE412" s="80">
        <f t="shared" si="2"/>
        <v>0</v>
      </c>
      <c r="AF412" s="140">
        <v>0.0</v>
      </c>
      <c r="AG412" s="109">
        <v>94.0</v>
      </c>
      <c r="AH412" s="109">
        <v>0.0</v>
      </c>
      <c r="AI412" s="141">
        <v>0.0</v>
      </c>
      <c r="AJ412" s="80">
        <f t="shared" si="3"/>
        <v>94</v>
      </c>
      <c r="AK412" s="140">
        <v>0.0</v>
      </c>
      <c r="AL412" s="109">
        <v>0.0</v>
      </c>
      <c r="AM412" s="141">
        <v>0.0</v>
      </c>
      <c r="AN412" s="80">
        <f t="shared" si="4"/>
        <v>0</v>
      </c>
      <c r="AO412" s="140">
        <v>0.0</v>
      </c>
      <c r="AP412" s="109">
        <v>0.0</v>
      </c>
      <c r="AQ412" s="109">
        <v>35.0</v>
      </c>
      <c r="AR412" s="80">
        <f t="shared" si="5"/>
        <v>35</v>
      </c>
      <c r="AS412" s="110">
        <v>0.0</v>
      </c>
      <c r="AT412" s="110">
        <v>0.0</v>
      </c>
      <c r="AU412" s="110">
        <v>0.0</v>
      </c>
      <c r="AV412" s="142">
        <v>0.0</v>
      </c>
      <c r="AW412" s="80">
        <f t="shared" si="6"/>
        <v>0</v>
      </c>
      <c r="AX412" s="113">
        <f t="shared" si="7"/>
        <v>129</v>
      </c>
      <c r="AY412" s="117">
        <f t="shared" si="8"/>
        <v>94</v>
      </c>
      <c r="AZ412" s="120">
        <f t="shared" si="9"/>
        <v>35</v>
      </c>
      <c r="BA412" s="115">
        <v>0.0</v>
      </c>
      <c r="BB412" s="89">
        <f t="shared" si="10"/>
        <v>129</v>
      </c>
      <c r="BC412" s="132" t="s">
        <v>373</v>
      </c>
      <c r="BD412" s="132" t="s">
        <v>178</v>
      </c>
      <c r="BE412" s="132" t="s">
        <v>178</v>
      </c>
      <c r="BF412" s="123"/>
      <c r="BG412" s="136">
        <v>1178481.0</v>
      </c>
      <c r="BH412" s="112"/>
      <c r="BI412" s="112">
        <v>3.0</v>
      </c>
      <c r="BJ412" s="98" t="s">
        <v>155</v>
      </c>
      <c r="BK412" s="99">
        <f t="shared" si="11"/>
        <v>0</v>
      </c>
      <c r="BL412" s="99">
        <f t="shared" si="12"/>
        <v>94</v>
      </c>
      <c r="BM412" s="99" t="str">
        <f>IFERROR(__xludf.DUMMYFUNCTION("IFERROR(VLOOKUP(BG412,IMPORTRANGE(""https://docs.google.com/spreadsheets/d/1juPI-Fb8LD0YtltB2mlGEnp_R3UVu1t3wSFPzgCyHXE/edit?gid=0#gid=0"",""GERAL!A2:C""),3,0),""-"")"),"CAMPO")</f>
        <v>CAMPO</v>
      </c>
    </row>
    <row r="413" ht="15.75" customHeight="1">
      <c r="A413" s="111" t="s">
        <v>540</v>
      </c>
      <c r="B413" s="136" t="s">
        <v>1682</v>
      </c>
      <c r="C413" s="136" t="s">
        <v>164</v>
      </c>
      <c r="D413" s="195">
        <v>1142862.0</v>
      </c>
      <c r="E413" s="136">
        <v>1178479.0</v>
      </c>
      <c r="F413" s="115">
        <v>2.9490332E7</v>
      </c>
      <c r="G413" s="187" t="s">
        <v>1694</v>
      </c>
      <c r="H413" s="91" t="s">
        <v>1695</v>
      </c>
      <c r="I413" s="83" t="s">
        <v>149</v>
      </c>
      <c r="J413" s="83" t="s">
        <v>1696</v>
      </c>
      <c r="K413" s="83" t="s">
        <v>168</v>
      </c>
      <c r="L413" s="83" t="s">
        <v>169</v>
      </c>
      <c r="M413" s="82" t="str">
        <f>IFERROR(__xludf.DUMMYFUNCTION("IFERROR(VLOOKUP(D413,
IMPORTRANGE(""https://docs.google.com/spreadsheets/d/1MjHtlUikwobi2MaWJgy7tfLeBmhj1u-dRFRs_8GwSoA/edit#gid=0"",""Gestores Escolares!D7:J""),3,0),""VERIFICAR CÓD SEC"")"),"LISMAR LUCAS SANTOS DOS REIS")</f>
        <v>LISMAR LUCAS SANTOS DOS REIS</v>
      </c>
      <c r="N413" s="82" t="str">
        <f>IFERROR(__xludf.DUMMYFUNCTION("IFERROR(VLOOKUP(D413,
IMPORTRANGE(""https://docs.google.com/spreadsheets/d/1MjHtlUikwobi2MaWJgy7tfLeBmhj1u-dRFRs_8GwSoA/edit#gid=0"",""Gestores Escolares!D7:J""),4,0),""VERIFICAR CÓD SEC"")")," (73) 9 9195-1045")</f>
        <v> (73) 9 9195-1045</v>
      </c>
      <c r="O413" s="82" t="str">
        <f>IFERROR(__xludf.DUMMYFUNCTION("IFERROR(VLOOKUP(D413,
IMPORTRANGE(""https://docs.google.com/spreadsheets/d/1MjHtlUikwobi2MaWJgy7tfLeBmhj1u-dRFRs_8GwSoA/edit#gid=0"",""Gestores Escolares!D7:J""),6,0),""VERIFICAR CÓD SEC"")"),"JANINE SANTOS DA SILVA SOARES")</f>
        <v>JANINE SANTOS DA SILVA SOARES</v>
      </c>
      <c r="P413" s="82" t="str">
        <f>IFERROR(__xludf.DUMMYFUNCTION("IFERROR(VLOOKUP(D413,
IMPORTRANGE(""https://docs.google.com/spreadsheets/d/1MjHtlUikwobi2MaWJgy7tfLeBmhj1u-dRFRs_8GwSoA/edit#gid=0"",""Gestores Escolares!D7:J""),7,0),""VERIFICAR CÓD SEC"")"),"(75) 9 9966-8823")</f>
        <v>(75) 9 9966-8823</v>
      </c>
      <c r="Q413" s="82" t="str">
        <f>IFERROR(__xludf.DUMMYFUNCTION("IFERROR(VLOOKUP(D413,
IMPORTRANGE(""https://docs.google.com/spreadsheets/d/1MjHtlUikwobi2MaWJgy7tfLeBmhj1u-dRFRs_8GwSoA/edit#gid=0"",""Gestores Escolares!D7:m""),9,0),""VERIFICAR CÓD SEC"")"),"DANIELE MENEZES DOS SANTOS DE MELO")</f>
        <v>DANIELE MENEZES DOS SANTOS DE MELO</v>
      </c>
      <c r="R413" s="82" t="str">
        <f>IFERROR(__xludf.DUMMYFUNCTION("IFERROR(VLOOKUP(D413,
IMPORTRANGE(""https://docs.google.com/spreadsheets/d/1MjHtlUikwobi2MaWJgy7tfLeBmhj1u-dRFRs_8GwSoA/edit#gid=0"",""Gestores Escolares!D7:m""),10,0),""VERIFICAR CÓD SEC"")"),"(75) 9 8103-2934")</f>
        <v>(75) 9 8103-2934</v>
      </c>
      <c r="S413" s="82"/>
      <c r="T413" s="138">
        <v>4.0</v>
      </c>
      <c r="U413" s="139">
        <v>3.0</v>
      </c>
      <c r="V413" s="106">
        <v>0.0</v>
      </c>
      <c r="W413" s="107">
        <v>0.0</v>
      </c>
      <c r="X413" s="107">
        <v>0.0</v>
      </c>
      <c r="Y413" s="107">
        <v>0.0</v>
      </c>
      <c r="Z413" s="80">
        <f t="shared" si="1"/>
        <v>0</v>
      </c>
      <c r="AA413" s="106">
        <v>0.0</v>
      </c>
      <c r="AB413" s="107">
        <v>0.0</v>
      </c>
      <c r="AC413" s="107">
        <v>0.0</v>
      </c>
      <c r="AD413" s="107">
        <v>0.0</v>
      </c>
      <c r="AE413" s="80">
        <f t="shared" si="2"/>
        <v>0</v>
      </c>
      <c r="AF413" s="140">
        <v>0.0</v>
      </c>
      <c r="AG413" s="109">
        <v>92.0</v>
      </c>
      <c r="AH413" s="109">
        <v>0.0</v>
      </c>
      <c r="AI413" s="141">
        <v>0.0</v>
      </c>
      <c r="AJ413" s="80">
        <f t="shared" si="3"/>
        <v>92</v>
      </c>
      <c r="AK413" s="140">
        <v>0.0</v>
      </c>
      <c r="AL413" s="109">
        <v>0.0</v>
      </c>
      <c r="AM413" s="141">
        <v>0.0</v>
      </c>
      <c r="AN413" s="80">
        <f t="shared" si="4"/>
        <v>0</v>
      </c>
      <c r="AO413" s="140">
        <v>0.0</v>
      </c>
      <c r="AP413" s="109">
        <v>0.0</v>
      </c>
      <c r="AQ413" s="109">
        <v>20.0</v>
      </c>
      <c r="AR413" s="80">
        <f t="shared" si="5"/>
        <v>20</v>
      </c>
      <c r="AS413" s="110">
        <v>0.0</v>
      </c>
      <c r="AT413" s="110">
        <v>0.0</v>
      </c>
      <c r="AU413" s="110">
        <v>0.0</v>
      </c>
      <c r="AV413" s="142">
        <v>0.0</v>
      </c>
      <c r="AW413" s="80">
        <f t="shared" si="6"/>
        <v>0</v>
      </c>
      <c r="AX413" s="113">
        <f t="shared" si="7"/>
        <v>112</v>
      </c>
      <c r="AY413" s="117">
        <f t="shared" si="8"/>
        <v>92</v>
      </c>
      <c r="AZ413" s="120">
        <f t="shared" si="9"/>
        <v>20</v>
      </c>
      <c r="BA413" s="115">
        <v>0.0</v>
      </c>
      <c r="BB413" s="89">
        <f t="shared" si="10"/>
        <v>112</v>
      </c>
      <c r="BC413" s="132" t="s">
        <v>373</v>
      </c>
      <c r="BD413" s="132" t="s">
        <v>178</v>
      </c>
      <c r="BE413" s="132" t="s">
        <v>178</v>
      </c>
      <c r="BF413" s="123"/>
      <c r="BG413" s="136">
        <v>1178479.0</v>
      </c>
      <c r="BH413" s="112"/>
      <c r="BI413" s="112">
        <v>3.0</v>
      </c>
      <c r="BJ413" s="98" t="s">
        <v>155</v>
      </c>
      <c r="BK413" s="99">
        <f t="shared" si="11"/>
        <v>0</v>
      </c>
      <c r="BL413" s="99">
        <f t="shared" si="12"/>
        <v>92</v>
      </c>
      <c r="BM413" s="99" t="str">
        <f>IFERROR(__xludf.DUMMYFUNCTION("IFERROR(VLOOKUP(BG413,IMPORTRANGE(""https://docs.google.com/spreadsheets/d/1juPI-Fb8LD0YtltB2mlGEnp_R3UVu1t3wSFPzgCyHXE/edit?gid=0#gid=0"",""GERAL!A2:C""),3,0),""-"")"),"CAMPO")</f>
        <v>CAMPO</v>
      </c>
    </row>
    <row r="414" ht="15.75" customHeight="1">
      <c r="A414" s="111" t="s">
        <v>540</v>
      </c>
      <c r="B414" s="136" t="s">
        <v>1682</v>
      </c>
      <c r="C414" s="136" t="s">
        <v>164</v>
      </c>
      <c r="D414" s="112">
        <v>1179284.0</v>
      </c>
      <c r="E414" s="136">
        <v>1178482.0</v>
      </c>
      <c r="F414" s="115">
        <v>2.946093E7</v>
      </c>
      <c r="G414" s="187" t="s">
        <v>1697</v>
      </c>
      <c r="H414" s="91" t="s">
        <v>1698</v>
      </c>
      <c r="I414" s="83" t="s">
        <v>149</v>
      </c>
      <c r="J414" s="83" t="s">
        <v>1699</v>
      </c>
      <c r="K414" s="83" t="s">
        <v>168</v>
      </c>
      <c r="L414" s="83" t="s">
        <v>169</v>
      </c>
      <c r="M414" s="82" t="str">
        <f>IFERROR(__xludf.DUMMYFUNCTION("IFERROR(VLOOKUP(D414,
IMPORTRANGE(""https://docs.google.com/spreadsheets/d/1MjHtlUikwobi2MaWJgy7tfLeBmhj1u-dRFRs_8GwSoA/edit#gid=0"",""Gestores Escolares!D7:J""),3,0),""VERIFICAR CÓD SEC"")")," NILCEANNE NOGUEIRA LIMA")</f>
        <v> NILCEANNE NOGUEIRA LIMA</v>
      </c>
      <c r="N414" s="82" t="str">
        <f>IFERROR(__xludf.DUMMYFUNCTION("IFERROR(VLOOKUP(D414,
IMPORTRANGE(""https://docs.google.com/spreadsheets/d/1MjHtlUikwobi2MaWJgy7tfLeBmhj1u-dRFRs_8GwSoA/edit#gid=0"",""Gestores Escolares!D7:J""),4,0),""VERIFICAR CÓD SEC"")"),"(73) 9 9123-7129")</f>
        <v>(73) 9 9123-7129</v>
      </c>
      <c r="O414" s="82" t="str">
        <f>IFERROR(__xludf.DUMMYFUNCTION("IFERROR(VLOOKUP(D414,
IMPORTRANGE(""https://docs.google.com/spreadsheets/d/1MjHtlUikwobi2MaWJgy7tfLeBmhj1u-dRFRs_8GwSoA/edit#gid=0"",""Gestores Escolares!D7:J""),6,0),""VERIFICAR CÓD SEC"")"),"FRANCISCO CRUZ DO NASCIMENTO")</f>
        <v>FRANCISCO CRUZ DO NASCIMENTO</v>
      </c>
      <c r="P414" s="82" t="str">
        <f>IFERROR(__xludf.DUMMYFUNCTION("IFERROR(VLOOKUP(D414,
IMPORTRANGE(""https://docs.google.com/spreadsheets/d/1MjHtlUikwobi2MaWJgy7tfLeBmhj1u-dRFRs_8GwSoA/edit#gid=0"",""Gestores Escolares!D7:J""),7,0),""VERIFICAR CÓD SEC"")"),"(73) 9 8123-9143")</f>
        <v>(73) 9 8123-9143</v>
      </c>
      <c r="Q414" s="82" t="str">
        <f>IFERROR(__xludf.DUMMYFUNCTION("IFERROR(VLOOKUP(D414,
IMPORTRANGE(""https://docs.google.com/spreadsheets/d/1MjHtlUikwobi2MaWJgy7tfLeBmhj1u-dRFRs_8GwSoA/edit#gid=0"",""Gestores Escolares!D7:m""),9,0),""VERIFICAR CÓD SEC"")"),"")</f>
        <v/>
      </c>
      <c r="R414" s="82" t="str">
        <f>IFERROR(__xludf.DUMMYFUNCTION("IFERROR(VLOOKUP(D414,
IMPORTRANGE(""https://docs.google.com/spreadsheets/d/1MjHtlUikwobi2MaWJgy7tfLeBmhj1u-dRFRs_8GwSoA/edit#gid=0"",""Gestores Escolares!D7:m""),10,0),""VERIFICAR CÓD SEC"")"),"")</f>
        <v/>
      </c>
      <c r="S414" s="82"/>
      <c r="T414" s="138">
        <v>3.0</v>
      </c>
      <c r="U414" s="139">
        <v>3.0</v>
      </c>
      <c r="V414" s="106">
        <v>0.0</v>
      </c>
      <c r="W414" s="107">
        <v>0.0</v>
      </c>
      <c r="X414" s="107">
        <v>0.0</v>
      </c>
      <c r="Y414" s="107">
        <v>0.0</v>
      </c>
      <c r="Z414" s="80">
        <f t="shared" si="1"/>
        <v>0</v>
      </c>
      <c r="AA414" s="106">
        <v>0.0</v>
      </c>
      <c r="AB414" s="107">
        <v>0.0</v>
      </c>
      <c r="AC414" s="107">
        <v>0.0</v>
      </c>
      <c r="AD414" s="107">
        <v>0.0</v>
      </c>
      <c r="AE414" s="80">
        <f t="shared" si="2"/>
        <v>0</v>
      </c>
      <c r="AF414" s="140">
        <v>0.0</v>
      </c>
      <c r="AG414" s="109">
        <v>0.0</v>
      </c>
      <c r="AH414" s="109">
        <v>36.0</v>
      </c>
      <c r="AI414" s="141">
        <v>0.0</v>
      </c>
      <c r="AJ414" s="80">
        <f t="shared" si="3"/>
        <v>36</v>
      </c>
      <c r="AK414" s="140">
        <v>0.0</v>
      </c>
      <c r="AL414" s="109">
        <v>0.0</v>
      </c>
      <c r="AM414" s="141">
        <v>0.0</v>
      </c>
      <c r="AN414" s="80">
        <f t="shared" si="4"/>
        <v>0</v>
      </c>
      <c r="AO414" s="140">
        <v>0.0</v>
      </c>
      <c r="AP414" s="109">
        <v>0.0</v>
      </c>
      <c r="AQ414" s="109">
        <v>0.0</v>
      </c>
      <c r="AR414" s="80">
        <f t="shared" si="5"/>
        <v>0</v>
      </c>
      <c r="AS414" s="110">
        <v>0.0</v>
      </c>
      <c r="AT414" s="110">
        <v>0.0</v>
      </c>
      <c r="AU414" s="110">
        <v>0.0</v>
      </c>
      <c r="AV414" s="142">
        <v>0.0</v>
      </c>
      <c r="AW414" s="80">
        <f t="shared" si="6"/>
        <v>0</v>
      </c>
      <c r="AX414" s="113">
        <f t="shared" si="7"/>
        <v>36</v>
      </c>
      <c r="AY414" s="117">
        <f t="shared" si="8"/>
        <v>0</v>
      </c>
      <c r="AZ414" s="120">
        <f t="shared" si="9"/>
        <v>36</v>
      </c>
      <c r="BA414" s="115">
        <v>0.0</v>
      </c>
      <c r="BB414" s="89">
        <f t="shared" si="10"/>
        <v>36</v>
      </c>
      <c r="BC414" s="132" t="s">
        <v>373</v>
      </c>
      <c r="BD414" s="143" t="s">
        <v>227</v>
      </c>
      <c r="BE414" s="132" t="s">
        <v>178</v>
      </c>
      <c r="BF414" s="123"/>
      <c r="BG414" s="136">
        <v>1178482.0</v>
      </c>
      <c r="BH414" s="112"/>
      <c r="BI414" s="112">
        <v>3.0</v>
      </c>
      <c r="BJ414" s="98" t="s">
        <v>155</v>
      </c>
      <c r="BK414" s="99">
        <f t="shared" si="11"/>
        <v>0</v>
      </c>
      <c r="BL414" s="99">
        <f t="shared" si="12"/>
        <v>0</v>
      </c>
      <c r="BM414" s="99" t="str">
        <f>IFERROR(__xludf.DUMMYFUNCTION("IFERROR(VLOOKUP(BG414,IMPORTRANGE(""https://docs.google.com/spreadsheets/d/1juPI-Fb8LD0YtltB2mlGEnp_R3UVu1t3wSFPzgCyHXE/edit?gid=0#gid=0"",""GERAL!A2:C""),3,0),""-"")"),"CAMPO")</f>
        <v>CAMPO</v>
      </c>
    </row>
    <row r="415" ht="15.75" customHeight="1">
      <c r="A415" s="111" t="s">
        <v>540</v>
      </c>
      <c r="B415" s="136" t="s">
        <v>1682</v>
      </c>
      <c r="C415" s="136" t="s">
        <v>164</v>
      </c>
      <c r="D415" s="112">
        <v>1179284.0</v>
      </c>
      <c r="E415" s="136">
        <v>1178480.0</v>
      </c>
      <c r="F415" s="115">
        <v>2.946093E7</v>
      </c>
      <c r="G415" s="187" t="s">
        <v>1700</v>
      </c>
      <c r="H415" s="91" t="s">
        <v>1701</v>
      </c>
      <c r="I415" s="83" t="s">
        <v>149</v>
      </c>
      <c r="J415" s="83" t="s">
        <v>1702</v>
      </c>
      <c r="K415" s="83" t="s">
        <v>168</v>
      </c>
      <c r="L415" s="83" t="s">
        <v>169</v>
      </c>
      <c r="M415" s="82" t="str">
        <f>IFERROR(__xludf.DUMMYFUNCTION("IFERROR(VLOOKUP(D415,
IMPORTRANGE(""https://docs.google.com/spreadsheets/d/1MjHtlUikwobi2MaWJgy7tfLeBmhj1u-dRFRs_8GwSoA/edit#gid=0"",""Gestores Escolares!D7:J""),3,0),""VERIFICAR CÓD SEC"")")," NILCEANNE NOGUEIRA LIMA")</f>
        <v> NILCEANNE NOGUEIRA LIMA</v>
      </c>
      <c r="N415" s="82" t="str">
        <f>IFERROR(__xludf.DUMMYFUNCTION("IFERROR(VLOOKUP(D415,
IMPORTRANGE(""https://docs.google.com/spreadsheets/d/1MjHtlUikwobi2MaWJgy7tfLeBmhj1u-dRFRs_8GwSoA/edit#gid=0"",""Gestores Escolares!D7:J""),4,0),""VERIFICAR CÓD SEC"")"),"(73) 9 9123-7129")</f>
        <v>(73) 9 9123-7129</v>
      </c>
      <c r="O415" s="82" t="str">
        <f>IFERROR(__xludf.DUMMYFUNCTION("IFERROR(VLOOKUP(D415,
IMPORTRANGE(""https://docs.google.com/spreadsheets/d/1MjHtlUikwobi2MaWJgy7tfLeBmhj1u-dRFRs_8GwSoA/edit#gid=0"",""Gestores Escolares!D7:J""),6,0),""VERIFICAR CÓD SEC"")"),"FRANCISCO CRUZ DO NASCIMENTO")</f>
        <v>FRANCISCO CRUZ DO NASCIMENTO</v>
      </c>
      <c r="P415" s="82" t="str">
        <f>IFERROR(__xludf.DUMMYFUNCTION("IFERROR(VLOOKUP(D415,
IMPORTRANGE(""https://docs.google.com/spreadsheets/d/1MjHtlUikwobi2MaWJgy7tfLeBmhj1u-dRFRs_8GwSoA/edit#gid=0"",""Gestores Escolares!D7:J""),7,0),""VERIFICAR CÓD SEC"")"),"(73) 9 8123-9143")</f>
        <v>(73) 9 8123-9143</v>
      </c>
      <c r="Q415" s="82" t="str">
        <f>IFERROR(__xludf.DUMMYFUNCTION("IFERROR(VLOOKUP(D415,
IMPORTRANGE(""https://docs.google.com/spreadsheets/d/1MjHtlUikwobi2MaWJgy7tfLeBmhj1u-dRFRs_8GwSoA/edit#gid=0"",""Gestores Escolares!D7:m""),9,0),""VERIFICAR CÓD SEC"")"),"")</f>
        <v/>
      </c>
      <c r="R415" s="82" t="str">
        <f>IFERROR(__xludf.DUMMYFUNCTION("IFERROR(VLOOKUP(D415,
IMPORTRANGE(""https://docs.google.com/spreadsheets/d/1MjHtlUikwobi2MaWJgy7tfLeBmhj1u-dRFRs_8GwSoA/edit#gid=0"",""Gestores Escolares!D7:m""),10,0),""VERIFICAR CÓD SEC"")"),"")</f>
        <v/>
      </c>
      <c r="S415" s="82"/>
      <c r="T415" s="138">
        <v>3.0</v>
      </c>
      <c r="U415" s="139">
        <v>3.0</v>
      </c>
      <c r="V415" s="106">
        <v>0.0</v>
      </c>
      <c r="W415" s="107">
        <v>0.0</v>
      </c>
      <c r="X415" s="107">
        <v>0.0</v>
      </c>
      <c r="Y415" s="107">
        <v>0.0</v>
      </c>
      <c r="Z415" s="80">
        <f t="shared" si="1"/>
        <v>0</v>
      </c>
      <c r="AA415" s="106">
        <v>0.0</v>
      </c>
      <c r="AB415" s="107">
        <v>0.0</v>
      </c>
      <c r="AC415" s="107">
        <v>0.0</v>
      </c>
      <c r="AD415" s="107">
        <v>0.0</v>
      </c>
      <c r="AE415" s="80">
        <f t="shared" si="2"/>
        <v>0</v>
      </c>
      <c r="AF415" s="140">
        <v>0.0</v>
      </c>
      <c r="AG415" s="109">
        <v>0.0</v>
      </c>
      <c r="AH415" s="109">
        <v>20.0</v>
      </c>
      <c r="AI415" s="141">
        <v>0.0</v>
      </c>
      <c r="AJ415" s="80">
        <f t="shared" si="3"/>
        <v>20</v>
      </c>
      <c r="AK415" s="140">
        <v>0.0</v>
      </c>
      <c r="AL415" s="109">
        <v>0.0</v>
      </c>
      <c r="AM415" s="141">
        <v>0.0</v>
      </c>
      <c r="AN415" s="80">
        <f t="shared" si="4"/>
        <v>0</v>
      </c>
      <c r="AO415" s="140">
        <v>0.0</v>
      </c>
      <c r="AP415" s="109">
        <v>0.0</v>
      </c>
      <c r="AQ415" s="109">
        <v>0.0</v>
      </c>
      <c r="AR415" s="80">
        <f t="shared" si="5"/>
        <v>0</v>
      </c>
      <c r="AS415" s="110">
        <v>0.0</v>
      </c>
      <c r="AT415" s="110">
        <v>0.0</v>
      </c>
      <c r="AU415" s="110">
        <v>0.0</v>
      </c>
      <c r="AV415" s="142">
        <v>0.0</v>
      </c>
      <c r="AW415" s="80">
        <f t="shared" si="6"/>
        <v>0</v>
      </c>
      <c r="AX415" s="113">
        <f t="shared" si="7"/>
        <v>20</v>
      </c>
      <c r="AY415" s="117">
        <f t="shared" si="8"/>
        <v>0</v>
      </c>
      <c r="AZ415" s="120">
        <f t="shared" si="9"/>
        <v>20</v>
      </c>
      <c r="BA415" s="115">
        <v>0.0</v>
      </c>
      <c r="BB415" s="89">
        <f t="shared" si="10"/>
        <v>20</v>
      </c>
      <c r="BC415" s="132" t="s">
        <v>178</v>
      </c>
      <c r="BD415" s="143" t="s">
        <v>227</v>
      </c>
      <c r="BE415" s="132" t="s">
        <v>178</v>
      </c>
      <c r="BF415" s="123"/>
      <c r="BG415" s="136">
        <v>1178480.0</v>
      </c>
      <c r="BH415" s="112"/>
      <c r="BI415" s="112">
        <v>3.0</v>
      </c>
      <c r="BJ415" s="98" t="s">
        <v>155</v>
      </c>
      <c r="BK415" s="99">
        <f t="shared" si="11"/>
        <v>0</v>
      </c>
      <c r="BL415" s="99">
        <f t="shared" si="12"/>
        <v>0</v>
      </c>
      <c r="BM415" s="99" t="str">
        <f>IFERROR(__xludf.DUMMYFUNCTION("IFERROR(VLOOKUP(BG415,IMPORTRANGE(""https://docs.google.com/spreadsheets/d/1juPI-Fb8LD0YtltB2mlGEnp_R3UVu1t3wSFPzgCyHXE/edit?gid=0#gid=0"",""GERAL!A2:C""),3,0),""-"")"),"-")</f>
        <v>-</v>
      </c>
    </row>
    <row r="416" ht="15.75" customHeight="1">
      <c r="A416" s="111" t="s">
        <v>540</v>
      </c>
      <c r="B416" s="136" t="s">
        <v>1682</v>
      </c>
      <c r="C416" s="136" t="s">
        <v>164</v>
      </c>
      <c r="D416" s="112">
        <v>1179284.0</v>
      </c>
      <c r="E416" s="136">
        <v>1178483.0</v>
      </c>
      <c r="F416" s="115">
        <v>2.946093E7</v>
      </c>
      <c r="G416" s="187" t="s">
        <v>1703</v>
      </c>
      <c r="H416" s="91" t="s">
        <v>1704</v>
      </c>
      <c r="I416" s="83" t="s">
        <v>149</v>
      </c>
      <c r="J416" s="83" t="s">
        <v>1705</v>
      </c>
      <c r="K416" s="83" t="s">
        <v>168</v>
      </c>
      <c r="L416" s="83" t="s">
        <v>169</v>
      </c>
      <c r="M416" s="82" t="str">
        <f>IFERROR(__xludf.DUMMYFUNCTION("IFERROR(VLOOKUP(D416,
IMPORTRANGE(""https://docs.google.com/spreadsheets/d/1MjHtlUikwobi2MaWJgy7tfLeBmhj1u-dRFRs_8GwSoA/edit#gid=0"",""Gestores Escolares!D7:J""),3,0),""VERIFICAR CÓD SEC"")")," NILCEANNE NOGUEIRA LIMA")</f>
        <v> NILCEANNE NOGUEIRA LIMA</v>
      </c>
      <c r="N416" s="82" t="str">
        <f>IFERROR(__xludf.DUMMYFUNCTION("IFERROR(VLOOKUP(D416,
IMPORTRANGE(""https://docs.google.com/spreadsheets/d/1MjHtlUikwobi2MaWJgy7tfLeBmhj1u-dRFRs_8GwSoA/edit#gid=0"",""Gestores Escolares!D7:J""),4,0),""VERIFICAR CÓD SEC"")"),"(73) 9 9123-7129")</f>
        <v>(73) 9 9123-7129</v>
      </c>
      <c r="O416" s="82" t="str">
        <f>IFERROR(__xludf.DUMMYFUNCTION("IFERROR(VLOOKUP(D416,
IMPORTRANGE(""https://docs.google.com/spreadsheets/d/1MjHtlUikwobi2MaWJgy7tfLeBmhj1u-dRFRs_8GwSoA/edit#gid=0"",""Gestores Escolares!D7:J""),6,0),""VERIFICAR CÓD SEC"")"),"FRANCISCO CRUZ DO NASCIMENTO")</f>
        <v>FRANCISCO CRUZ DO NASCIMENTO</v>
      </c>
      <c r="P416" s="82" t="str">
        <f>IFERROR(__xludf.DUMMYFUNCTION("IFERROR(VLOOKUP(D416,
IMPORTRANGE(""https://docs.google.com/spreadsheets/d/1MjHtlUikwobi2MaWJgy7tfLeBmhj1u-dRFRs_8GwSoA/edit#gid=0"",""Gestores Escolares!D7:J""),7,0),""VERIFICAR CÓD SEC"")"),"(73) 9 8123-9143")</f>
        <v>(73) 9 8123-9143</v>
      </c>
      <c r="Q416" s="82" t="str">
        <f>IFERROR(__xludf.DUMMYFUNCTION("IFERROR(VLOOKUP(D416,
IMPORTRANGE(""https://docs.google.com/spreadsheets/d/1MjHtlUikwobi2MaWJgy7tfLeBmhj1u-dRFRs_8GwSoA/edit#gid=0"",""Gestores Escolares!D7:m""),9,0),""VERIFICAR CÓD SEC"")"),"")</f>
        <v/>
      </c>
      <c r="R416" s="82" t="str">
        <f>IFERROR(__xludf.DUMMYFUNCTION("IFERROR(VLOOKUP(D416,
IMPORTRANGE(""https://docs.google.com/spreadsheets/d/1MjHtlUikwobi2MaWJgy7tfLeBmhj1u-dRFRs_8GwSoA/edit#gid=0"",""Gestores Escolares!D7:m""),10,0),""VERIFICAR CÓD SEC"")"),"")</f>
        <v/>
      </c>
      <c r="S416" s="82"/>
      <c r="T416" s="138">
        <v>3.0</v>
      </c>
      <c r="U416" s="139">
        <v>3.0</v>
      </c>
      <c r="V416" s="106">
        <v>0.0</v>
      </c>
      <c r="W416" s="107">
        <v>0.0</v>
      </c>
      <c r="X416" s="107">
        <v>0.0</v>
      </c>
      <c r="Y416" s="107">
        <v>0.0</v>
      </c>
      <c r="Z416" s="80">
        <f t="shared" si="1"/>
        <v>0</v>
      </c>
      <c r="AA416" s="106">
        <v>0.0</v>
      </c>
      <c r="AB416" s="107">
        <v>0.0</v>
      </c>
      <c r="AC416" s="107">
        <v>0.0</v>
      </c>
      <c r="AD416" s="107">
        <v>0.0</v>
      </c>
      <c r="AE416" s="80">
        <f t="shared" si="2"/>
        <v>0</v>
      </c>
      <c r="AF416" s="140">
        <v>0.0</v>
      </c>
      <c r="AG416" s="109">
        <v>0.0</v>
      </c>
      <c r="AH416" s="109">
        <v>16.0</v>
      </c>
      <c r="AI416" s="141">
        <v>0.0</v>
      </c>
      <c r="AJ416" s="80">
        <f t="shared" si="3"/>
        <v>16</v>
      </c>
      <c r="AK416" s="140">
        <v>0.0</v>
      </c>
      <c r="AL416" s="109">
        <v>0.0</v>
      </c>
      <c r="AM416" s="141">
        <v>0.0</v>
      </c>
      <c r="AN416" s="80">
        <f t="shared" si="4"/>
        <v>0</v>
      </c>
      <c r="AO416" s="140">
        <v>0.0</v>
      </c>
      <c r="AP416" s="109">
        <v>0.0</v>
      </c>
      <c r="AQ416" s="109">
        <v>0.0</v>
      </c>
      <c r="AR416" s="80">
        <f t="shared" si="5"/>
        <v>0</v>
      </c>
      <c r="AS416" s="110">
        <v>0.0</v>
      </c>
      <c r="AT416" s="110">
        <v>0.0</v>
      </c>
      <c r="AU416" s="110">
        <v>0.0</v>
      </c>
      <c r="AV416" s="142">
        <v>0.0</v>
      </c>
      <c r="AW416" s="80">
        <f t="shared" si="6"/>
        <v>0</v>
      </c>
      <c r="AX416" s="113">
        <f t="shared" si="7"/>
        <v>16</v>
      </c>
      <c r="AY416" s="117">
        <f t="shared" si="8"/>
        <v>0</v>
      </c>
      <c r="AZ416" s="120">
        <f t="shared" si="9"/>
        <v>16</v>
      </c>
      <c r="BA416" s="115">
        <v>0.0</v>
      </c>
      <c r="BB416" s="89">
        <f t="shared" si="10"/>
        <v>16</v>
      </c>
      <c r="BC416" s="132" t="s">
        <v>178</v>
      </c>
      <c r="BD416" s="143" t="s">
        <v>227</v>
      </c>
      <c r="BE416" s="132" t="s">
        <v>178</v>
      </c>
      <c r="BF416" s="123"/>
      <c r="BG416" s="136">
        <v>1178483.0</v>
      </c>
      <c r="BH416" s="112"/>
      <c r="BI416" s="112">
        <v>3.0</v>
      </c>
      <c r="BJ416" s="98" t="s">
        <v>155</v>
      </c>
      <c r="BK416" s="99">
        <f t="shared" si="11"/>
        <v>0</v>
      </c>
      <c r="BL416" s="99">
        <f t="shared" si="12"/>
        <v>0</v>
      </c>
      <c r="BM416" s="99" t="str">
        <f>IFERROR(__xludf.DUMMYFUNCTION("IFERROR(VLOOKUP(BG416,IMPORTRANGE(""https://docs.google.com/spreadsheets/d/1juPI-Fb8LD0YtltB2mlGEnp_R3UVu1t3wSFPzgCyHXE/edit?gid=0#gid=0"",""GERAL!A2:C""),3,0),""-"")"),"-")</f>
        <v>-</v>
      </c>
    </row>
    <row r="417" ht="15.75" customHeight="1">
      <c r="A417" s="111" t="s">
        <v>540</v>
      </c>
      <c r="B417" s="136" t="s">
        <v>1706</v>
      </c>
      <c r="C417" s="83" t="s">
        <v>68</v>
      </c>
      <c r="D417" s="112">
        <v>1110049.0</v>
      </c>
      <c r="E417" s="83"/>
      <c r="F417" s="83">
        <v>2.9285801E7</v>
      </c>
      <c r="G417" s="114" t="s">
        <v>1708</v>
      </c>
      <c r="H417" s="91" t="s">
        <v>1709</v>
      </c>
      <c r="I417" s="83" t="s">
        <v>149</v>
      </c>
      <c r="J417" s="83" t="s">
        <v>150</v>
      </c>
      <c r="K417" s="83" t="s">
        <v>1685</v>
      </c>
      <c r="L417" s="83" t="s">
        <v>230</v>
      </c>
      <c r="M417" s="82" t="str">
        <f>IFERROR(__xludf.DUMMYFUNCTION("IFERROR(VLOOKUP(D417,
IMPORTRANGE(""https://docs.google.com/spreadsheets/d/1MjHtlUikwobi2MaWJgy7tfLeBmhj1u-dRFRs_8GwSoA/edit#gid=0"",""Gestores Escolares!D7:J""),3,0),""VERIFICAR CÓD SEC"")"),"GILSON SANTOS DE SANTANA")</f>
        <v>GILSON SANTOS DE SANTANA</v>
      </c>
      <c r="N417" s="82" t="str">
        <f>IFERROR(__xludf.DUMMYFUNCTION("IFERROR(VLOOKUP(D417,
IMPORTRANGE(""https://docs.google.com/spreadsheets/d/1MjHtlUikwobi2MaWJgy7tfLeBmhj1u-dRFRs_8GwSoA/edit#gid=0"",""Gestores Escolares!D7:J""),4,0),""VERIFICAR CÓD SEC"")"),"(73) 9 9968-9653")</f>
        <v>(73) 9 9968-9653</v>
      </c>
      <c r="O417" s="82" t="str">
        <f>IFERROR(__xludf.DUMMYFUNCTION("IFERROR(VLOOKUP(D417,
IMPORTRANGE(""https://docs.google.com/spreadsheets/d/1MjHtlUikwobi2MaWJgy7tfLeBmhj1u-dRFRs_8GwSoA/edit#gid=0"",""Gestores Escolares!D7:J""),6,0),""VERIFICAR CÓD SEC"")"),"ELINEUDES ALMEIDA SOUTO SOLEDADE")</f>
        <v>ELINEUDES ALMEIDA SOUTO SOLEDADE</v>
      </c>
      <c r="P417" s="82" t="str">
        <f>IFERROR(__xludf.DUMMYFUNCTION("IFERROR(VLOOKUP(D417,
IMPORTRANGE(""https://docs.google.com/spreadsheets/d/1MjHtlUikwobi2MaWJgy7tfLeBmhj1u-dRFRs_8GwSoA/edit#gid=0"",""Gestores Escolares!D7:J""),7,0),""VERIFICAR CÓD SEC"")"),"(73) 9 9977-3934")</f>
        <v>(73) 9 9977-3934</v>
      </c>
      <c r="Q417" s="82" t="str">
        <f>IFERROR(__xludf.DUMMYFUNCTION("IFERROR(VLOOKUP(D417,
IMPORTRANGE(""https://docs.google.com/spreadsheets/d/1MjHtlUikwobi2MaWJgy7tfLeBmhj1u-dRFRs_8GwSoA/edit#gid=0"",""Gestores Escolares!D7:m""),9,0),""VERIFICAR CÓD SEC"")"),"MARIA CRISTINA DA ROCHA SOUSA")</f>
        <v>MARIA CRISTINA DA ROCHA SOUSA</v>
      </c>
      <c r="R417" s="82" t="str">
        <f>IFERROR(__xludf.DUMMYFUNCTION("IFERROR(VLOOKUP(D417,
IMPORTRANGE(""https://docs.google.com/spreadsheets/d/1MjHtlUikwobi2MaWJgy7tfLeBmhj1u-dRFRs_8GwSoA/edit#gid=0"",""Gestores Escolares!D7:m""),10,0),""VERIFICAR CÓD SEC"")"),"(73) 9 8118-2777")</f>
        <v>(73) 9 8118-2777</v>
      </c>
      <c r="S417" s="82"/>
      <c r="T417" s="138">
        <v>16.0</v>
      </c>
      <c r="U417" s="152">
        <v>16.0</v>
      </c>
      <c r="V417" s="106">
        <v>0.0</v>
      </c>
      <c r="W417" s="107">
        <v>0.0</v>
      </c>
      <c r="X417" s="107">
        <v>0.0</v>
      </c>
      <c r="Y417" s="107">
        <v>0.0</v>
      </c>
      <c r="Z417" s="80">
        <f t="shared" si="1"/>
        <v>0</v>
      </c>
      <c r="AA417" s="106">
        <v>0.0</v>
      </c>
      <c r="AB417" s="107">
        <v>0.0</v>
      </c>
      <c r="AC417" s="107">
        <v>0.0</v>
      </c>
      <c r="AD417" s="107">
        <v>0.0</v>
      </c>
      <c r="AE417" s="80">
        <f t="shared" si="2"/>
        <v>0</v>
      </c>
      <c r="AF417" s="140">
        <v>449.0</v>
      </c>
      <c r="AG417" s="109">
        <v>319.0</v>
      </c>
      <c r="AH417" s="109">
        <v>0.0</v>
      </c>
      <c r="AI417" s="141">
        <v>139.0</v>
      </c>
      <c r="AJ417" s="80">
        <f t="shared" si="3"/>
        <v>907</v>
      </c>
      <c r="AK417" s="140">
        <v>0.0</v>
      </c>
      <c r="AL417" s="109">
        <v>0.0</v>
      </c>
      <c r="AM417" s="141">
        <v>0.0</v>
      </c>
      <c r="AN417" s="80">
        <f t="shared" si="4"/>
        <v>0</v>
      </c>
      <c r="AO417" s="140">
        <v>0.0</v>
      </c>
      <c r="AP417" s="109">
        <v>0.0</v>
      </c>
      <c r="AQ417" s="109">
        <v>125.0</v>
      </c>
      <c r="AR417" s="80">
        <f t="shared" si="5"/>
        <v>125</v>
      </c>
      <c r="AS417" s="110">
        <v>66.0</v>
      </c>
      <c r="AT417" s="110">
        <v>0.0</v>
      </c>
      <c r="AU417" s="110">
        <v>0.0</v>
      </c>
      <c r="AV417" s="142">
        <v>0.0</v>
      </c>
      <c r="AW417" s="80">
        <f t="shared" si="6"/>
        <v>66</v>
      </c>
      <c r="AX417" s="113">
        <f t="shared" si="7"/>
        <v>1098</v>
      </c>
      <c r="AY417" s="117">
        <f t="shared" si="8"/>
        <v>973</v>
      </c>
      <c r="AZ417" s="120">
        <f t="shared" si="9"/>
        <v>125</v>
      </c>
      <c r="BA417" s="115">
        <v>0.0</v>
      </c>
      <c r="BB417" s="89">
        <f t="shared" si="10"/>
        <v>1098</v>
      </c>
      <c r="BC417" s="132" t="s">
        <v>178</v>
      </c>
      <c r="BD417" s="132" t="s">
        <v>178</v>
      </c>
      <c r="BE417" s="132" t="s">
        <v>178</v>
      </c>
      <c r="BF417" s="123"/>
      <c r="BG417" s="83">
        <v>1110049.0</v>
      </c>
      <c r="BH417" s="112"/>
      <c r="BI417" s="112">
        <v>16.0</v>
      </c>
      <c r="BJ417" s="98" t="s">
        <v>155</v>
      </c>
      <c r="BK417" s="99">
        <f t="shared" si="11"/>
        <v>139</v>
      </c>
      <c r="BL417" s="99">
        <f t="shared" si="12"/>
        <v>834</v>
      </c>
      <c r="BM417" s="99" t="str">
        <f>IFERROR(__xludf.DUMMYFUNCTION("IFERROR(VLOOKUP(BG417,IMPORTRANGE(""https://docs.google.com/spreadsheets/d/1juPI-Fb8LD0YtltB2mlGEnp_R3UVu1t3wSFPzgCyHXE/edit?gid=0#gid=0"",""GERAL!A2:C""),3,0),""-"")"),"-")</f>
        <v>-</v>
      </c>
    </row>
    <row r="418" ht="15.75" customHeight="1">
      <c r="A418" s="111" t="s">
        <v>540</v>
      </c>
      <c r="B418" s="83" t="s">
        <v>1706</v>
      </c>
      <c r="C418" s="83" t="s">
        <v>164</v>
      </c>
      <c r="D418" s="112">
        <v>1110049.0</v>
      </c>
      <c r="E418" s="83">
        <v>1178187.0</v>
      </c>
      <c r="F418" s="98">
        <v>2.94927E7</v>
      </c>
      <c r="G418" s="147" t="s">
        <v>1711</v>
      </c>
      <c r="H418" s="91" t="s">
        <v>1712</v>
      </c>
      <c r="I418" s="83" t="s">
        <v>149</v>
      </c>
      <c r="J418" s="83" t="s">
        <v>641</v>
      </c>
      <c r="K418" s="83" t="s">
        <v>168</v>
      </c>
      <c r="L418" s="83" t="s">
        <v>169</v>
      </c>
      <c r="M418" s="82" t="str">
        <f>IFERROR(__xludf.DUMMYFUNCTION("IFERROR(VLOOKUP(D418,
IMPORTRANGE(""https://docs.google.com/spreadsheets/d/1MjHtlUikwobi2MaWJgy7tfLeBmhj1u-dRFRs_8GwSoA/edit#gid=0"",""Gestores Escolares!D7:J""),3,0),""VERIFICAR CÓD SEC"")"),"GILSON SANTOS DE SANTANA")</f>
        <v>GILSON SANTOS DE SANTANA</v>
      </c>
      <c r="N418" s="82" t="str">
        <f>IFERROR(__xludf.DUMMYFUNCTION("IFERROR(VLOOKUP(D418,
IMPORTRANGE(""https://docs.google.com/spreadsheets/d/1MjHtlUikwobi2MaWJgy7tfLeBmhj1u-dRFRs_8GwSoA/edit#gid=0"",""Gestores Escolares!D7:J""),4,0),""VERIFICAR CÓD SEC"")"),"(73) 9 9968-9653")</f>
        <v>(73) 9 9968-9653</v>
      </c>
      <c r="O418" s="82" t="str">
        <f>IFERROR(__xludf.DUMMYFUNCTION("IFERROR(VLOOKUP(D418,
IMPORTRANGE(""https://docs.google.com/spreadsheets/d/1MjHtlUikwobi2MaWJgy7tfLeBmhj1u-dRFRs_8GwSoA/edit#gid=0"",""Gestores Escolares!D7:J""),6,0),""VERIFICAR CÓD SEC"")"),"ELINEUDES ALMEIDA SOUTO SOLEDADE")</f>
        <v>ELINEUDES ALMEIDA SOUTO SOLEDADE</v>
      </c>
      <c r="P418" s="82" t="str">
        <f>IFERROR(__xludf.DUMMYFUNCTION("IFERROR(VLOOKUP(D418,
IMPORTRANGE(""https://docs.google.com/spreadsheets/d/1MjHtlUikwobi2MaWJgy7tfLeBmhj1u-dRFRs_8GwSoA/edit#gid=0"",""Gestores Escolares!D7:J""),7,0),""VERIFICAR CÓD SEC"")"),"(73) 9 9977-3934")</f>
        <v>(73) 9 9977-3934</v>
      </c>
      <c r="Q418" s="82" t="str">
        <f>IFERROR(__xludf.DUMMYFUNCTION("IFERROR(VLOOKUP(D418,
IMPORTRANGE(""https://docs.google.com/spreadsheets/d/1MjHtlUikwobi2MaWJgy7tfLeBmhj1u-dRFRs_8GwSoA/edit#gid=0"",""Gestores Escolares!D7:m""),9,0),""VERIFICAR CÓD SEC"")"),"MARIA CRISTINA DA ROCHA SOUSA")</f>
        <v>MARIA CRISTINA DA ROCHA SOUSA</v>
      </c>
      <c r="R418" s="82" t="str">
        <f>IFERROR(__xludf.DUMMYFUNCTION("IFERROR(VLOOKUP(D418,
IMPORTRANGE(""https://docs.google.com/spreadsheets/d/1MjHtlUikwobi2MaWJgy7tfLeBmhj1u-dRFRs_8GwSoA/edit#gid=0"",""Gestores Escolares!D7:m""),10,0),""VERIFICAR CÓD SEC"")"),"(73) 9 8118-2777")</f>
        <v>(73) 9 8118-2777</v>
      </c>
      <c r="S418" s="82"/>
      <c r="T418" s="138">
        <v>3.0</v>
      </c>
      <c r="U418" s="152">
        <v>3.0</v>
      </c>
      <c r="V418" s="106">
        <v>0.0</v>
      </c>
      <c r="W418" s="107">
        <v>0.0</v>
      </c>
      <c r="X418" s="107">
        <v>0.0</v>
      </c>
      <c r="Y418" s="107">
        <v>0.0</v>
      </c>
      <c r="Z418" s="80">
        <f t="shared" si="1"/>
        <v>0</v>
      </c>
      <c r="AA418" s="106">
        <v>0.0</v>
      </c>
      <c r="AB418" s="107">
        <v>0.0</v>
      </c>
      <c r="AC418" s="107">
        <v>0.0</v>
      </c>
      <c r="AD418" s="107">
        <v>0.0</v>
      </c>
      <c r="AE418" s="80">
        <f t="shared" si="2"/>
        <v>0</v>
      </c>
      <c r="AF418" s="140">
        <v>79.0</v>
      </c>
      <c r="AG418" s="109">
        <v>42.0</v>
      </c>
      <c r="AH418" s="109">
        <v>0.0</v>
      </c>
      <c r="AI418" s="141">
        <v>0.0</v>
      </c>
      <c r="AJ418" s="80">
        <f t="shared" si="3"/>
        <v>121</v>
      </c>
      <c r="AK418" s="140">
        <v>0.0</v>
      </c>
      <c r="AL418" s="109">
        <v>0.0</v>
      </c>
      <c r="AM418" s="141">
        <v>0.0</v>
      </c>
      <c r="AN418" s="80">
        <f t="shared" si="4"/>
        <v>0</v>
      </c>
      <c r="AO418" s="140">
        <v>0.0</v>
      </c>
      <c r="AP418" s="109">
        <v>0.0</v>
      </c>
      <c r="AQ418" s="109">
        <v>12.0</v>
      </c>
      <c r="AR418" s="80">
        <f t="shared" si="5"/>
        <v>12</v>
      </c>
      <c r="AS418" s="110">
        <v>0.0</v>
      </c>
      <c r="AT418" s="110">
        <v>0.0</v>
      </c>
      <c r="AU418" s="110">
        <v>0.0</v>
      </c>
      <c r="AV418" s="142">
        <v>0.0</v>
      </c>
      <c r="AW418" s="80">
        <f t="shared" si="6"/>
        <v>0</v>
      </c>
      <c r="AX418" s="113">
        <f t="shared" si="7"/>
        <v>133</v>
      </c>
      <c r="AY418" s="117">
        <f t="shared" si="8"/>
        <v>121</v>
      </c>
      <c r="AZ418" s="120">
        <f t="shared" si="9"/>
        <v>12</v>
      </c>
      <c r="BA418" s="115">
        <v>0.0</v>
      </c>
      <c r="BB418" s="89">
        <f t="shared" si="10"/>
        <v>133</v>
      </c>
      <c r="BC418" s="132" t="s">
        <v>373</v>
      </c>
      <c r="BD418" s="132" t="s">
        <v>178</v>
      </c>
      <c r="BE418" s="132" t="s">
        <v>178</v>
      </c>
      <c r="BF418" s="123"/>
      <c r="BG418" s="83">
        <v>1178187.0</v>
      </c>
      <c r="BH418" s="112"/>
      <c r="BI418" s="112">
        <v>3.0</v>
      </c>
      <c r="BJ418" s="98" t="s">
        <v>155</v>
      </c>
      <c r="BK418" s="99">
        <f t="shared" si="11"/>
        <v>0</v>
      </c>
      <c r="BL418" s="99">
        <f t="shared" si="12"/>
        <v>121</v>
      </c>
      <c r="BM418" s="99" t="str">
        <f>IFERROR(__xludf.DUMMYFUNCTION("IFERROR(VLOOKUP(BG418,IMPORTRANGE(""https://docs.google.com/spreadsheets/d/1juPI-Fb8LD0YtltB2mlGEnp_R3UVu1t3wSFPzgCyHXE/edit?gid=0#gid=0"",""GERAL!A2:C""),3,0),""-"")"),"CAMPO")</f>
        <v>CAMPO</v>
      </c>
    </row>
    <row r="419" ht="15.75" customHeight="1">
      <c r="A419" s="111" t="s">
        <v>540</v>
      </c>
      <c r="B419" s="83" t="s">
        <v>1706</v>
      </c>
      <c r="C419" s="83" t="s">
        <v>164</v>
      </c>
      <c r="D419" s="112">
        <v>1179284.0</v>
      </c>
      <c r="E419" s="83">
        <v>1179356.0</v>
      </c>
      <c r="F419" s="98">
        <v>2.946093E7</v>
      </c>
      <c r="G419" s="114" t="s">
        <v>1713</v>
      </c>
      <c r="H419" s="91" t="s">
        <v>1714</v>
      </c>
      <c r="I419" s="83" t="s">
        <v>149</v>
      </c>
      <c r="J419" s="83" t="s">
        <v>1715</v>
      </c>
      <c r="K419" s="83" t="s">
        <v>168</v>
      </c>
      <c r="L419" s="83" t="s">
        <v>169</v>
      </c>
      <c r="M419" s="82" t="str">
        <f>IFERROR(__xludf.DUMMYFUNCTION("IFERROR(VLOOKUP(D419,
IMPORTRANGE(""https://docs.google.com/spreadsheets/d/1MjHtlUikwobi2MaWJgy7tfLeBmhj1u-dRFRs_8GwSoA/edit#gid=0"",""Gestores Escolares!D7:J""),3,0),""VERIFICAR CÓD SEC"")")," NILCEANNE NOGUEIRA LIMA")</f>
        <v> NILCEANNE NOGUEIRA LIMA</v>
      </c>
      <c r="N419" s="82" t="str">
        <f>IFERROR(__xludf.DUMMYFUNCTION("IFERROR(VLOOKUP(D419,
IMPORTRANGE(""https://docs.google.com/spreadsheets/d/1MjHtlUikwobi2MaWJgy7tfLeBmhj1u-dRFRs_8GwSoA/edit#gid=0"",""Gestores Escolares!D7:J""),4,0),""VERIFICAR CÓD SEC"")"),"(73) 9 9123-7129")</f>
        <v>(73) 9 9123-7129</v>
      </c>
      <c r="O419" s="82" t="str">
        <f>IFERROR(__xludf.DUMMYFUNCTION("IFERROR(VLOOKUP(D419,
IMPORTRANGE(""https://docs.google.com/spreadsheets/d/1MjHtlUikwobi2MaWJgy7tfLeBmhj1u-dRFRs_8GwSoA/edit#gid=0"",""Gestores Escolares!D7:J""),6,0),""VERIFICAR CÓD SEC"")"),"FRANCISCO CRUZ DO NASCIMENTO")</f>
        <v>FRANCISCO CRUZ DO NASCIMENTO</v>
      </c>
      <c r="P419" s="82" t="str">
        <f>IFERROR(__xludf.DUMMYFUNCTION("IFERROR(VLOOKUP(D419,
IMPORTRANGE(""https://docs.google.com/spreadsheets/d/1MjHtlUikwobi2MaWJgy7tfLeBmhj1u-dRFRs_8GwSoA/edit#gid=0"",""Gestores Escolares!D7:J""),7,0),""VERIFICAR CÓD SEC"")"),"(73) 9 8123-9143")</f>
        <v>(73) 9 8123-9143</v>
      </c>
      <c r="Q419" s="82" t="str">
        <f>IFERROR(__xludf.DUMMYFUNCTION("IFERROR(VLOOKUP(D419,
IMPORTRANGE(""https://docs.google.com/spreadsheets/d/1MjHtlUikwobi2MaWJgy7tfLeBmhj1u-dRFRs_8GwSoA/edit#gid=0"",""Gestores Escolares!D7:m""),9,0),""VERIFICAR CÓD SEC"")"),"")</f>
        <v/>
      </c>
      <c r="R419" s="82" t="str">
        <f>IFERROR(__xludf.DUMMYFUNCTION("IFERROR(VLOOKUP(D419,
IMPORTRANGE(""https://docs.google.com/spreadsheets/d/1MjHtlUikwobi2MaWJgy7tfLeBmhj1u-dRFRs_8GwSoA/edit#gid=0"",""Gestores Escolares!D7:m""),10,0),""VERIFICAR CÓD SEC"")"),"")</f>
        <v/>
      </c>
      <c r="S419" s="82"/>
      <c r="T419" s="138">
        <v>1.0</v>
      </c>
      <c r="U419" s="152">
        <v>1.0</v>
      </c>
      <c r="V419" s="106">
        <v>0.0</v>
      </c>
      <c r="W419" s="107">
        <v>0.0</v>
      </c>
      <c r="X419" s="107">
        <v>0.0</v>
      </c>
      <c r="Y419" s="107">
        <v>0.0</v>
      </c>
      <c r="Z419" s="80">
        <f t="shared" si="1"/>
        <v>0</v>
      </c>
      <c r="AA419" s="106">
        <v>0.0</v>
      </c>
      <c r="AB419" s="107">
        <v>0.0</v>
      </c>
      <c r="AC419" s="107">
        <v>0.0</v>
      </c>
      <c r="AD419" s="107">
        <v>0.0</v>
      </c>
      <c r="AE419" s="80">
        <f t="shared" si="2"/>
        <v>0</v>
      </c>
      <c r="AF419" s="140">
        <v>0.0</v>
      </c>
      <c r="AG419" s="109">
        <v>2.0</v>
      </c>
      <c r="AH419" s="109">
        <v>3.0</v>
      </c>
      <c r="AI419" s="141">
        <v>0.0</v>
      </c>
      <c r="AJ419" s="80">
        <f t="shared" si="3"/>
        <v>5</v>
      </c>
      <c r="AK419" s="140">
        <v>0.0</v>
      </c>
      <c r="AL419" s="109">
        <v>0.0</v>
      </c>
      <c r="AM419" s="141">
        <v>0.0</v>
      </c>
      <c r="AN419" s="80">
        <f t="shared" si="4"/>
        <v>0</v>
      </c>
      <c r="AO419" s="140">
        <v>0.0</v>
      </c>
      <c r="AP419" s="109">
        <v>0.0</v>
      </c>
      <c r="AQ419" s="109">
        <v>0.0</v>
      </c>
      <c r="AR419" s="80">
        <f t="shared" si="5"/>
        <v>0</v>
      </c>
      <c r="AS419" s="110">
        <v>0.0</v>
      </c>
      <c r="AT419" s="110">
        <v>0.0</v>
      </c>
      <c r="AU419" s="110">
        <v>0.0</v>
      </c>
      <c r="AV419" s="142">
        <v>0.0</v>
      </c>
      <c r="AW419" s="80">
        <f t="shared" si="6"/>
        <v>0</v>
      </c>
      <c r="AX419" s="113">
        <f t="shared" si="7"/>
        <v>5</v>
      </c>
      <c r="AY419" s="117">
        <f t="shared" si="8"/>
        <v>2</v>
      </c>
      <c r="AZ419" s="120">
        <f t="shared" si="9"/>
        <v>3</v>
      </c>
      <c r="BA419" s="115">
        <v>0.0</v>
      </c>
      <c r="BB419" s="89">
        <f t="shared" si="10"/>
        <v>5</v>
      </c>
      <c r="BC419" s="132" t="s">
        <v>178</v>
      </c>
      <c r="BD419" s="143" t="s">
        <v>227</v>
      </c>
      <c r="BE419" s="132" t="s">
        <v>178</v>
      </c>
      <c r="BF419" s="156"/>
      <c r="BG419" s="83">
        <v>1179356.0</v>
      </c>
      <c r="BH419" s="112"/>
      <c r="BI419" s="112">
        <v>1.0</v>
      </c>
      <c r="BJ419" s="98" t="s">
        <v>155</v>
      </c>
      <c r="BK419" s="99">
        <f t="shared" si="11"/>
        <v>0</v>
      </c>
      <c r="BL419" s="99">
        <f t="shared" si="12"/>
        <v>2</v>
      </c>
      <c r="BM419" s="99" t="str">
        <f>IFERROR(__xludf.DUMMYFUNCTION("IFERROR(VLOOKUP(BG419,IMPORTRANGE(""https://docs.google.com/spreadsheets/d/1juPI-Fb8LD0YtltB2mlGEnp_R3UVu1t3wSFPzgCyHXE/edit?gid=0#gid=0"",""GERAL!A2:C""),3,0),""-"")"),"-")</f>
        <v>-</v>
      </c>
    </row>
    <row r="420" ht="15.75" customHeight="1">
      <c r="A420" s="111" t="s">
        <v>540</v>
      </c>
      <c r="B420" s="83" t="s">
        <v>1716</v>
      </c>
      <c r="C420" s="83" t="s">
        <v>68</v>
      </c>
      <c r="D420" s="112">
        <v>1109814.0</v>
      </c>
      <c r="E420" s="83"/>
      <c r="F420" s="83">
        <v>2.9298954E7</v>
      </c>
      <c r="G420" s="114" t="s">
        <v>1717</v>
      </c>
      <c r="H420" s="91" t="s">
        <v>1718</v>
      </c>
      <c r="I420" s="83" t="s">
        <v>149</v>
      </c>
      <c r="J420" s="83" t="s">
        <v>150</v>
      </c>
      <c r="K420" s="83" t="s">
        <v>1685</v>
      </c>
      <c r="L420" s="83" t="s">
        <v>152</v>
      </c>
      <c r="M420" s="82" t="str">
        <f>IFERROR(__xludf.DUMMYFUNCTION("IFERROR(VLOOKUP(D420,
IMPORTRANGE(""https://docs.google.com/spreadsheets/d/1MjHtlUikwobi2MaWJgy7tfLeBmhj1u-dRFRs_8GwSoA/edit#gid=0"",""Gestores Escolares!D7:J""),3,0),""VERIFICAR CÓD SEC"")"),"ADRIANA NUNES DE ALMEIDA")</f>
        <v>ADRIANA NUNES DE ALMEIDA</v>
      </c>
      <c r="N420" s="82" t="str">
        <f>IFERROR(__xludf.DUMMYFUNCTION("IFERROR(VLOOKUP(D420,
IMPORTRANGE(""https://docs.google.com/spreadsheets/d/1MjHtlUikwobi2MaWJgy7tfLeBmhj1u-dRFRs_8GwSoA/edit#gid=0"",""Gestores Escolares!D7:J""),4,0),""VERIFICAR CÓD SEC"")"),"(73) 9 8140-4778/ 
9 9993-7389")</f>
        <v>(73) 9 8140-4778/ 
9 9993-7389</v>
      </c>
      <c r="O420" s="82" t="str">
        <f>IFERROR(__xludf.DUMMYFUNCTION("IFERROR(VLOOKUP(D420,
IMPORTRANGE(""https://docs.google.com/spreadsheets/d/1MjHtlUikwobi2MaWJgy7tfLeBmhj1u-dRFRs_8GwSoA/edit#gid=0"",""Gestores Escolares!D7:J""),6,0),""VERIFICAR CÓD SEC"")"),"MARCIO ROBERTO SANTANA")</f>
        <v>MARCIO ROBERTO SANTANA</v>
      </c>
      <c r="P420" s="82" t="str">
        <f>IFERROR(__xludf.DUMMYFUNCTION("IFERROR(VLOOKUP(D420,
IMPORTRANGE(""https://docs.google.com/spreadsheets/d/1MjHtlUikwobi2MaWJgy7tfLeBmhj1u-dRFRs_8GwSoA/edit#gid=0"",""Gestores Escolares!D7:J""),7,0),""VERIFICAR CÓD SEC"")"),"(73) 9 9803-9570")</f>
        <v>(73) 9 9803-9570</v>
      </c>
      <c r="Q420" s="82" t="str">
        <f>IFERROR(__xludf.DUMMYFUNCTION("IFERROR(VLOOKUP(D420,
IMPORTRANGE(""https://docs.google.com/spreadsheets/d/1MjHtlUikwobi2MaWJgy7tfLeBmhj1u-dRFRs_8GwSoA/edit#gid=0"",""Gestores Escolares!D7:m""),9,0),""VERIFICAR CÓD SEC"")"),"JOCIANE DO NASCIMENTO PINHEIRO")</f>
        <v>JOCIANE DO NASCIMENTO PINHEIRO</v>
      </c>
      <c r="R420" s="82" t="str">
        <f>IFERROR(__xludf.DUMMYFUNCTION("IFERROR(VLOOKUP(D420,
IMPORTRANGE(""https://docs.google.com/spreadsheets/d/1MjHtlUikwobi2MaWJgy7tfLeBmhj1u-dRFRs_8GwSoA/edit#gid=0"",""Gestores Escolares!D7:m""),10,0),""VERIFICAR CÓD SEC"")"),"(73) 9 9996-1192")</f>
        <v>(73) 9 9996-1192</v>
      </c>
      <c r="S420" s="82"/>
      <c r="T420" s="138">
        <v>19.0</v>
      </c>
      <c r="U420" s="421" t="s">
        <v>5938</v>
      </c>
      <c r="V420" s="106">
        <v>0.0</v>
      </c>
      <c r="W420" s="107">
        <v>0.0</v>
      </c>
      <c r="X420" s="107">
        <v>0.0</v>
      </c>
      <c r="Y420" s="107">
        <v>0.0</v>
      </c>
      <c r="Z420" s="80">
        <f t="shared" si="1"/>
        <v>0</v>
      </c>
      <c r="AA420" s="106">
        <v>0.0</v>
      </c>
      <c r="AB420" s="107">
        <v>0.0</v>
      </c>
      <c r="AC420" s="107">
        <v>0.0</v>
      </c>
      <c r="AD420" s="107">
        <v>0.0</v>
      </c>
      <c r="AE420" s="80">
        <f t="shared" si="2"/>
        <v>0</v>
      </c>
      <c r="AF420" s="140">
        <v>0.0</v>
      </c>
      <c r="AG420" s="109">
        <v>0.0</v>
      </c>
      <c r="AH420" s="109">
        <v>0.0</v>
      </c>
      <c r="AI420" s="141">
        <v>457.0</v>
      </c>
      <c r="AJ420" s="80">
        <f t="shared" si="3"/>
        <v>457</v>
      </c>
      <c r="AK420" s="140">
        <v>0.0</v>
      </c>
      <c r="AL420" s="109">
        <v>0.0</v>
      </c>
      <c r="AM420" s="141">
        <v>0.0</v>
      </c>
      <c r="AN420" s="80">
        <f t="shared" si="4"/>
        <v>0</v>
      </c>
      <c r="AO420" s="140">
        <v>0.0</v>
      </c>
      <c r="AP420" s="109">
        <v>0.0</v>
      </c>
      <c r="AQ420" s="109">
        <v>237.0</v>
      </c>
      <c r="AR420" s="80">
        <f t="shared" si="5"/>
        <v>237</v>
      </c>
      <c r="AS420" s="110">
        <v>0.0</v>
      </c>
      <c r="AT420" s="110">
        <v>0.0</v>
      </c>
      <c r="AU420" s="110">
        <v>0.0</v>
      </c>
      <c r="AV420" s="142">
        <v>0.0</v>
      </c>
      <c r="AW420" s="80">
        <f t="shared" si="6"/>
        <v>0</v>
      </c>
      <c r="AX420" s="113">
        <f t="shared" si="7"/>
        <v>694</v>
      </c>
      <c r="AY420" s="117">
        <f t="shared" si="8"/>
        <v>457</v>
      </c>
      <c r="AZ420" s="120">
        <f t="shared" si="9"/>
        <v>237</v>
      </c>
      <c r="BA420" s="115">
        <v>0.0</v>
      </c>
      <c r="BB420" s="89">
        <f t="shared" si="10"/>
        <v>694</v>
      </c>
      <c r="BC420" s="132" t="s">
        <v>178</v>
      </c>
      <c r="BD420" s="132" t="s">
        <v>178</v>
      </c>
      <c r="BE420" s="132" t="s">
        <v>178</v>
      </c>
      <c r="BF420" s="123"/>
      <c r="BG420" s="83">
        <v>1109814.0</v>
      </c>
      <c r="BH420" s="112"/>
      <c r="BI420" s="112">
        <v>15.0</v>
      </c>
      <c r="BJ420" s="98" t="s">
        <v>155</v>
      </c>
      <c r="BK420" s="99">
        <f t="shared" si="11"/>
        <v>457</v>
      </c>
      <c r="BL420" s="99">
        <f t="shared" si="12"/>
        <v>0</v>
      </c>
      <c r="BM420" s="99" t="str">
        <f>IFERROR(__xludf.DUMMYFUNCTION("IFERROR(VLOOKUP(BG420,IMPORTRANGE(""https://docs.google.com/spreadsheets/d/1juPI-Fb8LD0YtltB2mlGEnp_R3UVu1t3wSFPzgCyHXE/edit?gid=0#gid=0"",""GERAL!A2:C""),3,0),""-"")"),"-")</f>
        <v>-</v>
      </c>
    </row>
    <row r="421" ht="15.75" customHeight="1">
      <c r="A421" s="111" t="s">
        <v>540</v>
      </c>
      <c r="B421" s="83" t="s">
        <v>1716</v>
      </c>
      <c r="C421" s="83" t="s">
        <v>68</v>
      </c>
      <c r="D421" s="112">
        <v>1110111.0</v>
      </c>
      <c r="E421" s="83"/>
      <c r="F421" s="83">
        <v>2.9299063E7</v>
      </c>
      <c r="G421" s="114" t="s">
        <v>1721</v>
      </c>
      <c r="H421" s="91" t="s">
        <v>1722</v>
      </c>
      <c r="I421" s="83" t="s">
        <v>149</v>
      </c>
      <c r="J421" s="83" t="s">
        <v>150</v>
      </c>
      <c r="K421" s="83" t="s">
        <v>1685</v>
      </c>
      <c r="L421" s="83" t="s">
        <v>230</v>
      </c>
      <c r="M421" s="82" t="str">
        <f>IFERROR(__xludf.DUMMYFUNCTION("IFERROR(VLOOKUP(D421,
IMPORTRANGE(""https://docs.google.com/spreadsheets/d/1MjHtlUikwobi2MaWJgy7tfLeBmhj1u-dRFRs_8GwSoA/edit#gid=0"",""Gestores Escolares!D7:J""),3,0),""VERIFICAR CÓD SEC"")"),"JUSSEANDRE SANTOS SANTANA")</f>
        <v>JUSSEANDRE SANTOS SANTANA</v>
      </c>
      <c r="N421" s="82" t="str">
        <f>IFERROR(__xludf.DUMMYFUNCTION("IFERROR(VLOOKUP(D421,
IMPORTRANGE(""https://docs.google.com/spreadsheets/d/1MjHtlUikwobi2MaWJgy7tfLeBmhj1u-dRFRs_8GwSoA/edit#gid=0"",""Gestores Escolares!D7:J""),4,0),""VERIFICAR CÓD SEC"")"),"(73) 9 9982-2499")</f>
        <v>(73) 9 9982-2499</v>
      </c>
      <c r="O421" s="82" t="str">
        <f>IFERROR(__xludf.DUMMYFUNCTION("IFERROR(VLOOKUP(D421,
IMPORTRANGE(""https://docs.google.com/spreadsheets/d/1MjHtlUikwobi2MaWJgy7tfLeBmhj1u-dRFRs_8GwSoA/edit#gid=0"",""Gestores Escolares!D7:J""),6,0),""VERIFICAR CÓD SEC"")"),"ANTONIA ARGOLO DE JESUS")</f>
        <v>ANTONIA ARGOLO DE JESUS</v>
      </c>
      <c r="P421" s="82" t="str">
        <f>IFERROR(__xludf.DUMMYFUNCTION("IFERROR(VLOOKUP(D421,
IMPORTRANGE(""https://docs.google.com/spreadsheets/d/1MjHtlUikwobi2MaWJgy7tfLeBmhj1u-dRFRs_8GwSoA/edit#gid=0"",""Gestores Escolares!D7:J""),7,0),""VERIFICAR CÓD SEC"")"),"(71) 9 9641-1152")</f>
        <v>(71) 9 9641-1152</v>
      </c>
      <c r="Q421" s="82" t="str">
        <f>IFERROR(__xludf.DUMMYFUNCTION("IFERROR(VLOOKUP(D421,
IMPORTRANGE(""https://docs.google.com/spreadsheets/d/1MjHtlUikwobi2MaWJgy7tfLeBmhj1u-dRFRs_8GwSoA/edit#gid=0"",""Gestores Escolares!D7:m""),9,0),""VERIFICAR CÓD SEC"")"),"TALYTA BORGES BEZERRA SAMPAIO")</f>
        <v>TALYTA BORGES BEZERRA SAMPAIO</v>
      </c>
      <c r="R421" s="82" t="str">
        <f>IFERROR(__xludf.DUMMYFUNCTION("IFERROR(VLOOKUP(D421,
IMPORTRANGE(""https://docs.google.com/spreadsheets/d/1MjHtlUikwobi2MaWJgy7tfLeBmhj1u-dRFRs_8GwSoA/edit#gid=0"",""Gestores Escolares!D7:m""),10,0),""VERIFICAR CÓD SEC"")"),"(73) 9 9972-7850")</f>
        <v>(73) 9 9972-7850</v>
      </c>
      <c r="S421" s="82"/>
      <c r="T421" s="138">
        <v>15.0</v>
      </c>
      <c r="U421" s="139">
        <v>15.0</v>
      </c>
      <c r="V421" s="106">
        <v>0.0</v>
      </c>
      <c r="W421" s="107">
        <v>0.0</v>
      </c>
      <c r="X421" s="107">
        <v>0.0</v>
      </c>
      <c r="Y421" s="107">
        <v>0.0</v>
      </c>
      <c r="Z421" s="80">
        <f t="shared" si="1"/>
        <v>0</v>
      </c>
      <c r="AA421" s="106">
        <v>0.0</v>
      </c>
      <c r="AB421" s="107">
        <v>0.0</v>
      </c>
      <c r="AC421" s="107">
        <v>0.0</v>
      </c>
      <c r="AD421" s="107">
        <v>0.0</v>
      </c>
      <c r="AE421" s="80">
        <f t="shared" si="2"/>
        <v>0</v>
      </c>
      <c r="AF421" s="140">
        <v>0.0</v>
      </c>
      <c r="AG421" s="109">
        <v>0.0</v>
      </c>
      <c r="AH421" s="109">
        <v>0.0</v>
      </c>
      <c r="AI421" s="141">
        <v>0.0</v>
      </c>
      <c r="AJ421" s="80">
        <f t="shared" si="3"/>
        <v>0</v>
      </c>
      <c r="AK421" s="140">
        <v>0.0</v>
      </c>
      <c r="AL421" s="109">
        <v>0.0</v>
      </c>
      <c r="AM421" s="141">
        <v>0.0</v>
      </c>
      <c r="AN421" s="80">
        <f t="shared" si="4"/>
        <v>0</v>
      </c>
      <c r="AO421" s="140">
        <v>0.0</v>
      </c>
      <c r="AP421" s="109">
        <v>0.0</v>
      </c>
      <c r="AQ421" s="109">
        <v>0.0</v>
      </c>
      <c r="AR421" s="80">
        <f t="shared" si="5"/>
        <v>0</v>
      </c>
      <c r="AS421" s="110">
        <v>617.0</v>
      </c>
      <c r="AT421" s="110">
        <v>238.0</v>
      </c>
      <c r="AU421" s="110">
        <v>153.0</v>
      </c>
      <c r="AV421" s="142">
        <v>0.0</v>
      </c>
      <c r="AW421" s="80">
        <f t="shared" si="6"/>
        <v>1008</v>
      </c>
      <c r="AX421" s="113">
        <f t="shared" si="7"/>
        <v>1008</v>
      </c>
      <c r="AY421" s="117">
        <f t="shared" si="8"/>
        <v>855</v>
      </c>
      <c r="AZ421" s="120">
        <f t="shared" si="9"/>
        <v>153</v>
      </c>
      <c r="BA421" s="115">
        <v>0.0</v>
      </c>
      <c r="BB421" s="89">
        <f t="shared" si="10"/>
        <v>1008</v>
      </c>
      <c r="BC421" s="132" t="s">
        <v>178</v>
      </c>
      <c r="BD421" s="132" t="s">
        <v>522</v>
      </c>
      <c r="BE421" s="132" t="s">
        <v>178</v>
      </c>
      <c r="BF421" s="123"/>
      <c r="BG421" s="83">
        <v>1110111.0</v>
      </c>
      <c r="BH421" s="112"/>
      <c r="BI421" s="112">
        <v>15.0</v>
      </c>
      <c r="BJ421" s="98" t="s">
        <v>155</v>
      </c>
      <c r="BK421" s="99">
        <f t="shared" si="11"/>
        <v>0</v>
      </c>
      <c r="BL421" s="99">
        <f t="shared" si="12"/>
        <v>855</v>
      </c>
      <c r="BM421" s="99" t="str">
        <f>IFERROR(__xludf.DUMMYFUNCTION("IFERROR(VLOOKUP(BG421,IMPORTRANGE(""https://docs.google.com/spreadsheets/d/1juPI-Fb8LD0YtltB2mlGEnp_R3UVu1t3wSFPzgCyHXE/edit?gid=0#gid=0"",""GERAL!A2:C""),3,0),""-"")"),"-")</f>
        <v>-</v>
      </c>
    </row>
    <row r="422" ht="15.75" customHeight="1">
      <c r="A422" s="111" t="s">
        <v>540</v>
      </c>
      <c r="B422" s="136" t="s">
        <v>1725</v>
      </c>
      <c r="C422" s="83" t="s">
        <v>68</v>
      </c>
      <c r="D422" s="112">
        <v>1178010.0</v>
      </c>
      <c r="E422" s="83"/>
      <c r="F422" s="83">
        <v>2.9423503E7</v>
      </c>
      <c r="G422" s="114" t="s">
        <v>1726</v>
      </c>
      <c r="H422" s="91" t="s">
        <v>1727</v>
      </c>
      <c r="I422" s="83" t="s">
        <v>149</v>
      </c>
      <c r="J422" s="83" t="s">
        <v>150</v>
      </c>
      <c r="K422" s="83" t="s">
        <v>1685</v>
      </c>
      <c r="L422" s="83" t="s">
        <v>152</v>
      </c>
      <c r="M422" s="82" t="str">
        <f>IFERROR(__xludf.DUMMYFUNCTION("IFERROR(VLOOKUP(D422,
IMPORTRANGE(""https://docs.google.com/spreadsheets/d/1MjHtlUikwobi2MaWJgy7tfLeBmhj1u-dRFRs_8GwSoA/edit#gid=0"",""Gestores Escolares!D7:J""),3,0),""VERIFICAR CÓD SEC"")"),"ELEONDES COELHO DOS SANTOS")</f>
        <v>ELEONDES COELHO DOS SANTOS</v>
      </c>
      <c r="N422" s="82" t="str">
        <f>IFERROR(__xludf.DUMMYFUNCTION("IFERROR(VLOOKUP(D422,
IMPORTRANGE(""https://docs.google.com/spreadsheets/d/1MjHtlUikwobi2MaWJgy7tfLeBmhj1u-dRFRs_8GwSoA/edit#gid=0"",""Gestores Escolares!D7:J""),4,0),""VERIFICAR CÓD SEC"")"),"(73) 9 8113-5805")</f>
        <v>(73) 9 8113-5805</v>
      </c>
      <c r="O422" s="82" t="str">
        <f>IFERROR(__xludf.DUMMYFUNCTION("IFERROR(VLOOKUP(D422,
IMPORTRANGE(""https://docs.google.com/spreadsheets/d/1MjHtlUikwobi2MaWJgy7tfLeBmhj1u-dRFRs_8GwSoA/edit#gid=0"",""Gestores Escolares!D7:J""),6,0),""VERIFICAR CÓD SEC"")"),"GIANE ROSA DE OLIVEIRA")</f>
        <v>GIANE ROSA DE OLIVEIRA</v>
      </c>
      <c r="P422" s="82" t="str">
        <f>IFERROR(__xludf.DUMMYFUNCTION("IFERROR(VLOOKUP(D422,
IMPORTRANGE(""https://docs.google.com/spreadsheets/d/1MjHtlUikwobi2MaWJgy7tfLeBmhj1u-dRFRs_8GwSoA/edit#gid=0"",""Gestores Escolares!D7:J""),7,0),""VERIFICAR CÓD SEC"")"),"(73) 9 8119-6024")</f>
        <v>(73) 9 8119-6024</v>
      </c>
      <c r="Q422" s="82" t="str">
        <f>IFERROR(__xludf.DUMMYFUNCTION("IFERROR(VLOOKUP(D422,
IMPORTRANGE(""https://docs.google.com/spreadsheets/d/1MjHtlUikwobi2MaWJgy7tfLeBmhj1u-dRFRs_8GwSoA/edit#gid=0"",""Gestores Escolares!D7:m""),9,0),""VERIFICAR CÓD SEC"")"),"")</f>
        <v/>
      </c>
      <c r="R422" s="82" t="str">
        <f>IFERROR(__xludf.DUMMYFUNCTION("IFERROR(VLOOKUP(D422,
IMPORTRANGE(""https://docs.google.com/spreadsheets/d/1MjHtlUikwobi2MaWJgy7tfLeBmhj1u-dRFRs_8GwSoA/edit#gid=0"",""Gestores Escolares!D7:m""),10,0),""VERIFICAR CÓD SEC"")"),"")</f>
        <v/>
      </c>
      <c r="S422" s="82"/>
      <c r="T422" s="138">
        <v>11.0</v>
      </c>
      <c r="U422" s="145">
        <v>11.0</v>
      </c>
      <c r="V422" s="106">
        <v>0.0</v>
      </c>
      <c r="W422" s="107">
        <v>0.0</v>
      </c>
      <c r="X422" s="107">
        <v>0.0</v>
      </c>
      <c r="Y422" s="107">
        <v>0.0</v>
      </c>
      <c r="Z422" s="80">
        <f t="shared" si="1"/>
        <v>0</v>
      </c>
      <c r="AA422" s="106">
        <v>0.0</v>
      </c>
      <c r="AB422" s="107">
        <v>0.0</v>
      </c>
      <c r="AC422" s="107">
        <v>0.0</v>
      </c>
      <c r="AD422" s="107">
        <v>0.0</v>
      </c>
      <c r="AE422" s="80">
        <f t="shared" si="2"/>
        <v>0</v>
      </c>
      <c r="AF422" s="140">
        <v>0.0</v>
      </c>
      <c r="AG422" s="109">
        <v>0.0</v>
      </c>
      <c r="AH422" s="109">
        <v>0.0</v>
      </c>
      <c r="AI422" s="141">
        <v>164.0</v>
      </c>
      <c r="AJ422" s="80">
        <f t="shared" si="3"/>
        <v>164</v>
      </c>
      <c r="AK422" s="140">
        <v>0.0</v>
      </c>
      <c r="AL422" s="109">
        <v>0.0</v>
      </c>
      <c r="AM422" s="141">
        <v>0.0</v>
      </c>
      <c r="AN422" s="80">
        <f t="shared" si="4"/>
        <v>0</v>
      </c>
      <c r="AO422" s="140">
        <v>0.0</v>
      </c>
      <c r="AP422" s="109">
        <v>0.0</v>
      </c>
      <c r="AQ422" s="109">
        <v>84.0</v>
      </c>
      <c r="AR422" s="80">
        <f t="shared" si="5"/>
        <v>84</v>
      </c>
      <c r="AS422" s="110">
        <v>0.0</v>
      </c>
      <c r="AT422" s="110">
        <v>0.0</v>
      </c>
      <c r="AU422" s="110">
        <v>0.0</v>
      </c>
      <c r="AV422" s="142">
        <v>162.0</v>
      </c>
      <c r="AW422" s="80">
        <f t="shared" si="6"/>
        <v>162</v>
      </c>
      <c r="AX422" s="113">
        <f t="shared" si="7"/>
        <v>410</v>
      </c>
      <c r="AY422" s="117">
        <f t="shared" si="8"/>
        <v>326</v>
      </c>
      <c r="AZ422" s="120">
        <f t="shared" si="9"/>
        <v>84</v>
      </c>
      <c r="BA422" s="115">
        <v>0.0</v>
      </c>
      <c r="BB422" s="89">
        <f t="shared" si="10"/>
        <v>410</v>
      </c>
      <c r="BC422" s="132" t="s">
        <v>178</v>
      </c>
      <c r="BD422" s="132" t="s">
        <v>178</v>
      </c>
      <c r="BE422" s="132" t="s">
        <v>178</v>
      </c>
      <c r="BF422" s="156"/>
      <c r="BG422" s="83">
        <v>1178010.0</v>
      </c>
      <c r="BH422" s="112"/>
      <c r="BI422" s="112">
        <v>8.0</v>
      </c>
      <c r="BJ422" s="98" t="s">
        <v>155</v>
      </c>
      <c r="BK422" s="99">
        <f t="shared" si="11"/>
        <v>326</v>
      </c>
      <c r="BL422" s="99">
        <f t="shared" si="12"/>
        <v>0</v>
      </c>
      <c r="BM422" s="99" t="str">
        <f>IFERROR(__xludf.DUMMYFUNCTION("IFERROR(VLOOKUP(BG422,IMPORTRANGE(""https://docs.google.com/spreadsheets/d/1juPI-Fb8LD0YtltB2mlGEnp_R3UVu1t3wSFPzgCyHXE/edit?gid=0#gid=0"",""GERAL!A2:C""),3,0),""-"")"),"-")</f>
        <v>-</v>
      </c>
    </row>
    <row r="423" ht="15.75" customHeight="1">
      <c r="A423" s="111" t="s">
        <v>540</v>
      </c>
      <c r="B423" s="136" t="s">
        <v>1725</v>
      </c>
      <c r="C423" s="83" t="s">
        <v>68</v>
      </c>
      <c r="D423" s="112">
        <v>1179138.0</v>
      </c>
      <c r="E423" s="83"/>
      <c r="F423" s="83">
        <v>2.9448816E7</v>
      </c>
      <c r="G423" s="114" t="s">
        <v>1730</v>
      </c>
      <c r="H423" s="91" t="s">
        <v>1731</v>
      </c>
      <c r="I423" s="83" t="s">
        <v>1732</v>
      </c>
      <c r="J423" s="83" t="s">
        <v>1460</v>
      </c>
      <c r="K423" s="83" t="s">
        <v>1685</v>
      </c>
      <c r="L423" s="98" t="s">
        <v>76</v>
      </c>
      <c r="M423" s="82" t="str">
        <f>IFERROR(__xludf.DUMMYFUNCTION("IFERROR(VLOOKUP(D423,
IMPORTRANGE(""https://docs.google.com/spreadsheets/d/1MjHtlUikwobi2MaWJgy7tfLeBmhj1u-dRFRs_8GwSoA/edit#gid=0"",""Gestores Escolares!D7:J""),3,0),""VERIFICAR CÓD SEC"")"),"VALDENILTON JOSE DOS SANTOS")</f>
        <v>VALDENILTON JOSE DOS SANTOS</v>
      </c>
      <c r="N423" s="82" t="str">
        <f>IFERROR(__xludf.DUMMYFUNCTION("IFERROR(VLOOKUP(D423,
IMPORTRANGE(""https://docs.google.com/spreadsheets/d/1MjHtlUikwobi2MaWJgy7tfLeBmhj1u-dRFRs_8GwSoA/edit#gid=0"",""Gestores Escolares!D7:J""),4,0),""VERIFICAR CÓD SEC"")"),"(73) 9 8829-0611
")</f>
        <v>(73) 9 8829-0611
</v>
      </c>
      <c r="O423" s="82" t="str">
        <f>IFERROR(__xludf.DUMMYFUNCTION("IFERROR(VLOOKUP(D423,
IMPORTRANGE(""https://docs.google.com/spreadsheets/d/1MjHtlUikwobi2MaWJgy7tfLeBmhj1u-dRFRs_8GwSoA/edit#gid=0"",""Gestores Escolares!D7:J""),6,0),""VERIFICAR CÓD SEC"")"),"NIVIANE OLIVEIRA DE SOUZA")</f>
        <v>NIVIANE OLIVEIRA DE SOUZA</v>
      </c>
      <c r="P423" s="82" t="str">
        <f>IFERROR(__xludf.DUMMYFUNCTION("IFERROR(VLOOKUP(D423,
IMPORTRANGE(""https://docs.google.com/spreadsheets/d/1MjHtlUikwobi2MaWJgy7tfLeBmhj1u-dRFRs_8GwSoA/edit#gid=0"",""Gestores Escolares!D7:J""),7,0),""VERIFICAR CÓD SEC"")"),"(73) 9 9859-3587")</f>
        <v>(73) 9 9859-3587</v>
      </c>
      <c r="Q423" s="82" t="str">
        <f>IFERROR(__xludf.DUMMYFUNCTION("IFERROR(VLOOKUP(D423,
IMPORTRANGE(""https://docs.google.com/spreadsheets/d/1MjHtlUikwobi2MaWJgy7tfLeBmhj1u-dRFRs_8GwSoA/edit#gid=0"",""Gestores Escolares!D7:m""),9,0),""VERIFICAR CÓD SEC"")"),"")</f>
        <v/>
      </c>
      <c r="R423" s="82" t="str">
        <f>IFERROR(__xludf.DUMMYFUNCTION("IFERROR(VLOOKUP(D423,
IMPORTRANGE(""https://docs.google.com/spreadsheets/d/1MjHtlUikwobi2MaWJgy7tfLeBmhj1u-dRFRs_8GwSoA/edit#gid=0"",""Gestores Escolares!D7:m""),10,0),""VERIFICAR CÓD SEC"")"),"")</f>
        <v/>
      </c>
      <c r="S423" s="82"/>
      <c r="T423" s="138">
        <v>6.0</v>
      </c>
      <c r="U423" s="139">
        <v>6.0</v>
      </c>
      <c r="V423" s="106">
        <v>0.0</v>
      </c>
      <c r="W423" s="107">
        <v>0.0</v>
      </c>
      <c r="X423" s="107">
        <v>0.0</v>
      </c>
      <c r="Y423" s="107">
        <v>0.0</v>
      </c>
      <c r="Z423" s="80">
        <f t="shared" si="1"/>
        <v>0</v>
      </c>
      <c r="AA423" s="106">
        <v>0.0</v>
      </c>
      <c r="AB423" s="107">
        <v>0.0</v>
      </c>
      <c r="AC423" s="107">
        <v>0.0</v>
      </c>
      <c r="AD423" s="107">
        <v>0.0</v>
      </c>
      <c r="AE423" s="80">
        <f t="shared" si="2"/>
        <v>0</v>
      </c>
      <c r="AF423" s="140">
        <v>191.0</v>
      </c>
      <c r="AG423" s="109">
        <v>75.0</v>
      </c>
      <c r="AH423" s="109">
        <v>0.0</v>
      </c>
      <c r="AI423" s="141">
        <v>0.0</v>
      </c>
      <c r="AJ423" s="80">
        <f t="shared" si="3"/>
        <v>266</v>
      </c>
      <c r="AK423" s="140">
        <v>0.0</v>
      </c>
      <c r="AL423" s="109">
        <v>0.0</v>
      </c>
      <c r="AM423" s="141">
        <v>0.0</v>
      </c>
      <c r="AN423" s="80">
        <f t="shared" si="4"/>
        <v>0</v>
      </c>
      <c r="AO423" s="140">
        <v>0.0</v>
      </c>
      <c r="AP423" s="109">
        <v>0.0</v>
      </c>
      <c r="AQ423" s="109">
        <v>69.0</v>
      </c>
      <c r="AR423" s="80">
        <f t="shared" si="5"/>
        <v>69</v>
      </c>
      <c r="AS423" s="110">
        <v>0.0</v>
      </c>
      <c r="AT423" s="110">
        <v>0.0</v>
      </c>
      <c r="AU423" s="110">
        <v>24.0</v>
      </c>
      <c r="AV423" s="142">
        <v>0.0</v>
      </c>
      <c r="AW423" s="80">
        <f t="shared" si="6"/>
        <v>24</v>
      </c>
      <c r="AX423" s="113">
        <f t="shared" si="7"/>
        <v>359</v>
      </c>
      <c r="AY423" s="117">
        <f t="shared" si="8"/>
        <v>266</v>
      </c>
      <c r="AZ423" s="120">
        <f t="shared" si="9"/>
        <v>93</v>
      </c>
      <c r="BA423" s="115">
        <v>0.0</v>
      </c>
      <c r="BB423" s="89">
        <f t="shared" si="10"/>
        <v>359</v>
      </c>
      <c r="BC423" s="132" t="s">
        <v>373</v>
      </c>
      <c r="BD423" s="132" t="s">
        <v>178</v>
      </c>
      <c r="BE423" s="132" t="s">
        <v>178</v>
      </c>
      <c r="BF423" s="123"/>
      <c r="BG423" s="83">
        <v>1179138.0</v>
      </c>
      <c r="BH423" s="112"/>
      <c r="BI423" s="112">
        <v>6.0</v>
      </c>
      <c r="BJ423" s="98" t="s">
        <v>155</v>
      </c>
      <c r="BK423" s="99">
        <f t="shared" si="11"/>
        <v>0</v>
      </c>
      <c r="BL423" s="99">
        <f t="shared" si="12"/>
        <v>266</v>
      </c>
      <c r="BM423" s="99" t="str">
        <f>IFERROR(__xludf.DUMMYFUNCTION("IFERROR(VLOOKUP(BG423,IMPORTRANGE(""https://docs.google.com/spreadsheets/d/1juPI-Fb8LD0YtltB2mlGEnp_R3UVu1t3wSFPzgCyHXE/edit?gid=0#gid=0"",""GERAL!A2:C""),3,0),""-"")"),"CAMPO")</f>
        <v>CAMPO</v>
      </c>
    </row>
    <row r="424" ht="15.75" customHeight="1">
      <c r="A424" s="111" t="s">
        <v>540</v>
      </c>
      <c r="B424" s="136" t="s">
        <v>1735</v>
      </c>
      <c r="C424" s="83" t="s">
        <v>68</v>
      </c>
      <c r="D424" s="112">
        <v>1178082.0</v>
      </c>
      <c r="E424" s="83"/>
      <c r="F424" s="83">
        <v>2.9429269E7</v>
      </c>
      <c r="G424" s="114" t="s">
        <v>1736</v>
      </c>
      <c r="H424" s="91" t="s">
        <v>1737</v>
      </c>
      <c r="I424" s="83" t="s">
        <v>149</v>
      </c>
      <c r="J424" s="83" t="s">
        <v>150</v>
      </c>
      <c r="K424" s="83" t="s">
        <v>1685</v>
      </c>
      <c r="L424" s="83" t="s">
        <v>76</v>
      </c>
      <c r="M424" s="82" t="str">
        <f>IFERROR(__xludf.DUMMYFUNCTION("IFERROR(VLOOKUP(D424,
IMPORTRANGE(""https://docs.google.com/spreadsheets/d/1MjHtlUikwobi2MaWJgy7tfLeBmhj1u-dRFRs_8GwSoA/edit#gid=0"",""Gestores Escolares!D7:J""),3,0),""VERIFICAR CÓD SEC"")"),"TATIANA DE OLIVEIRA REIS VIANA")</f>
        <v>TATIANA DE OLIVEIRA REIS VIANA</v>
      </c>
      <c r="N424" s="82" t="str">
        <f>IFERROR(__xludf.DUMMYFUNCTION("IFERROR(VLOOKUP(D424,
IMPORTRANGE(""https://docs.google.com/spreadsheets/d/1MjHtlUikwobi2MaWJgy7tfLeBmhj1u-dRFRs_8GwSoA/edit#gid=0"",""Gestores Escolares!D7:J""),4,0),""VERIFICAR CÓD SEC"")"),"(73) 9 8168-9363")</f>
        <v>(73) 9 8168-9363</v>
      </c>
      <c r="O424" s="82" t="str">
        <f>IFERROR(__xludf.DUMMYFUNCTION("IFERROR(VLOOKUP(D424,
IMPORTRANGE(""https://docs.google.com/spreadsheets/d/1MjHtlUikwobi2MaWJgy7tfLeBmhj1u-dRFRs_8GwSoA/edit#gid=0"",""Gestores Escolares!D7:J""),6,0),""VERIFICAR CÓD SEC"")"),"FABILENE GOMES PAIM")</f>
        <v>FABILENE GOMES PAIM</v>
      </c>
      <c r="P424" s="82" t="str">
        <f>IFERROR(__xludf.DUMMYFUNCTION("IFERROR(VLOOKUP(D424,
IMPORTRANGE(""https://docs.google.com/spreadsheets/d/1MjHtlUikwobi2MaWJgy7tfLeBmhj1u-dRFRs_8GwSoA/edit#gid=0"",""Gestores Escolares!D7:J""),7,0),""VERIFICAR CÓD SEC"")"),"(14) 9 8110-4956")</f>
        <v>(14) 9 8110-4956</v>
      </c>
      <c r="Q424" s="82" t="str">
        <f>IFERROR(__xludf.DUMMYFUNCTION("IFERROR(VLOOKUP(D424,
IMPORTRANGE(""https://docs.google.com/spreadsheets/d/1MjHtlUikwobi2MaWJgy7tfLeBmhj1u-dRFRs_8GwSoA/edit#gid=0"",""Gestores Escolares!D7:m""),9,0),""VERIFICAR CÓD SEC"")"),"")</f>
        <v/>
      </c>
      <c r="R424" s="82" t="str">
        <f>IFERROR(__xludf.DUMMYFUNCTION("IFERROR(VLOOKUP(D424,
IMPORTRANGE(""https://docs.google.com/spreadsheets/d/1MjHtlUikwobi2MaWJgy7tfLeBmhj1u-dRFRs_8GwSoA/edit#gid=0"",""Gestores Escolares!D7:m""),10,0),""VERIFICAR CÓD SEC"")"),"")</f>
        <v/>
      </c>
      <c r="S424" s="82"/>
      <c r="T424" s="138">
        <v>10.0</v>
      </c>
      <c r="U424" s="139">
        <v>10.0</v>
      </c>
      <c r="V424" s="106">
        <v>0.0</v>
      </c>
      <c r="W424" s="107">
        <v>0.0</v>
      </c>
      <c r="X424" s="107">
        <v>0.0</v>
      </c>
      <c r="Y424" s="107">
        <v>0.0</v>
      </c>
      <c r="Z424" s="80">
        <f t="shared" si="1"/>
        <v>0</v>
      </c>
      <c r="AA424" s="106">
        <v>0.0</v>
      </c>
      <c r="AB424" s="107">
        <v>0.0</v>
      </c>
      <c r="AC424" s="107">
        <v>0.0</v>
      </c>
      <c r="AD424" s="107">
        <v>0.0</v>
      </c>
      <c r="AE424" s="80">
        <f t="shared" si="2"/>
        <v>0</v>
      </c>
      <c r="AF424" s="140">
        <v>0.0</v>
      </c>
      <c r="AG424" s="109">
        <v>0.0</v>
      </c>
      <c r="AH424" s="109">
        <v>0.0</v>
      </c>
      <c r="AI424" s="141">
        <v>172.0</v>
      </c>
      <c r="AJ424" s="80">
        <f t="shared" si="3"/>
        <v>172</v>
      </c>
      <c r="AK424" s="140">
        <v>0.0</v>
      </c>
      <c r="AL424" s="109">
        <v>0.0</v>
      </c>
      <c r="AM424" s="141">
        <v>0.0</v>
      </c>
      <c r="AN424" s="80">
        <f t="shared" si="4"/>
        <v>0</v>
      </c>
      <c r="AO424" s="140">
        <v>0.0</v>
      </c>
      <c r="AP424" s="109">
        <v>0.0</v>
      </c>
      <c r="AQ424" s="109">
        <v>46.0</v>
      </c>
      <c r="AR424" s="80">
        <f t="shared" si="5"/>
        <v>46</v>
      </c>
      <c r="AS424" s="110">
        <v>0.0</v>
      </c>
      <c r="AT424" s="110">
        <v>0.0</v>
      </c>
      <c r="AU424" s="110">
        <v>0.0</v>
      </c>
      <c r="AV424" s="142">
        <v>51.0</v>
      </c>
      <c r="AW424" s="80">
        <f t="shared" si="6"/>
        <v>51</v>
      </c>
      <c r="AX424" s="113">
        <f t="shared" si="7"/>
        <v>269</v>
      </c>
      <c r="AY424" s="117">
        <f t="shared" si="8"/>
        <v>223</v>
      </c>
      <c r="AZ424" s="120">
        <f t="shared" si="9"/>
        <v>46</v>
      </c>
      <c r="BA424" s="115">
        <v>0.0</v>
      </c>
      <c r="BB424" s="89">
        <f t="shared" si="10"/>
        <v>269</v>
      </c>
      <c r="BC424" s="132" t="s">
        <v>178</v>
      </c>
      <c r="BD424" s="132" t="s">
        <v>178</v>
      </c>
      <c r="BE424" s="132" t="s">
        <v>178</v>
      </c>
      <c r="BF424" s="123"/>
      <c r="BG424" s="83">
        <v>1178082.0</v>
      </c>
      <c r="BH424" s="112"/>
      <c r="BI424" s="112">
        <v>10.0</v>
      </c>
      <c r="BJ424" s="98" t="s">
        <v>155</v>
      </c>
      <c r="BK424" s="99">
        <f t="shared" si="11"/>
        <v>223</v>
      </c>
      <c r="BL424" s="99">
        <f t="shared" si="12"/>
        <v>0</v>
      </c>
      <c r="BM424" s="99" t="str">
        <f>IFERROR(__xludf.DUMMYFUNCTION("IFERROR(VLOOKUP(BG424,IMPORTRANGE(""https://docs.google.com/spreadsheets/d/1juPI-Fb8LD0YtltB2mlGEnp_R3UVu1t3wSFPzgCyHXE/edit?gid=0#gid=0"",""GERAL!A2:C""),3,0),""-"")"),"-")</f>
        <v>-</v>
      </c>
    </row>
    <row r="425" ht="15.75" customHeight="1">
      <c r="A425" s="111" t="s">
        <v>540</v>
      </c>
      <c r="B425" s="136" t="s">
        <v>1735</v>
      </c>
      <c r="C425" s="83" t="s">
        <v>45</v>
      </c>
      <c r="D425" s="98">
        <v>1179759.0</v>
      </c>
      <c r="E425" s="83"/>
      <c r="F425" s="83">
        <v>2.9399203E7</v>
      </c>
      <c r="G425" s="114" t="s">
        <v>1739</v>
      </c>
      <c r="H425" s="91" t="s">
        <v>1740</v>
      </c>
      <c r="I425" s="115" t="s">
        <v>1706</v>
      </c>
      <c r="J425" s="83" t="s">
        <v>1741</v>
      </c>
      <c r="K425" s="83" t="s">
        <v>168</v>
      </c>
      <c r="L425" s="83" t="s">
        <v>512</v>
      </c>
      <c r="M425" s="82" t="str">
        <f>IFERROR(__xludf.DUMMYFUNCTION("IFERROR(VLOOKUP(D425,
IMPORTRANGE(""https://docs.google.com/spreadsheets/d/1MjHtlUikwobi2MaWJgy7tfLeBmhj1u-dRFRs_8GwSoA/edit#gid=0"",""Gestores Escolares!D7:J""),3,0),""VERIFICAR CÓD SEC"")"),"VERIFICAR CÓD SEC")</f>
        <v>VERIFICAR CÓD SEC</v>
      </c>
      <c r="N425" s="82" t="str">
        <f>IFERROR(__xludf.DUMMYFUNCTION("IFERROR(VLOOKUP(D425,
IMPORTRANGE(""https://docs.google.com/spreadsheets/d/1MjHtlUikwobi2MaWJgy7tfLeBmhj1u-dRFRs_8GwSoA/edit#gid=0"",""Gestores Escolares!D7:J""),4,0),""VERIFICAR CÓD SEC"")"),"VERIFICAR CÓD SEC")</f>
        <v>VERIFICAR CÓD SEC</v>
      </c>
      <c r="O425" s="82" t="str">
        <f>IFERROR(__xludf.DUMMYFUNCTION("IFERROR(VLOOKUP(D425,
IMPORTRANGE(""https://docs.google.com/spreadsheets/d/1MjHtlUikwobi2MaWJgy7tfLeBmhj1u-dRFRs_8GwSoA/edit#gid=0"",""Gestores Escolares!D7:J""),6,0),""VERIFICAR CÓD SEC"")"),"VERIFICAR CÓD SEC")</f>
        <v>VERIFICAR CÓD SEC</v>
      </c>
      <c r="P425" s="82" t="str">
        <f>IFERROR(__xludf.DUMMYFUNCTION("IFERROR(VLOOKUP(D425,
IMPORTRANGE(""https://docs.google.com/spreadsheets/d/1MjHtlUikwobi2MaWJgy7tfLeBmhj1u-dRFRs_8GwSoA/edit#gid=0"",""Gestores Escolares!D7:J""),7,0),""VERIFICAR CÓD SEC"")"),"VERIFICAR CÓD SEC")</f>
        <v>VERIFICAR CÓD SEC</v>
      </c>
      <c r="Q425" s="82" t="str">
        <f>IFERROR(__xludf.DUMMYFUNCTION("IFERROR(VLOOKUP(D425,
IMPORTRANGE(""https://docs.google.com/spreadsheets/d/1MjHtlUikwobi2MaWJgy7tfLeBmhj1u-dRFRs_8GwSoA/edit#gid=0"",""Gestores Escolares!D7:m""),9,0),""VERIFICAR CÓD SEC"")"),"VERIFICAR CÓD SEC")</f>
        <v>VERIFICAR CÓD SEC</v>
      </c>
      <c r="R425" s="82" t="str">
        <f>IFERROR(__xludf.DUMMYFUNCTION("IFERROR(VLOOKUP(D425,
IMPORTRANGE(""https://docs.google.com/spreadsheets/d/1MjHtlUikwobi2MaWJgy7tfLeBmhj1u-dRFRs_8GwSoA/edit#gid=0"",""Gestores Escolares!D7:m""),10,0),""VERIFICAR CÓD SEC"")"),"VERIFICAR CÓD SEC")</f>
        <v>VERIFICAR CÓD SEC</v>
      </c>
      <c r="S425" s="82"/>
      <c r="T425" s="138">
        <v>3.0</v>
      </c>
      <c r="U425" s="388">
        <v>3.0</v>
      </c>
      <c r="V425" s="106">
        <v>0.0</v>
      </c>
      <c r="W425" s="107">
        <v>0.0</v>
      </c>
      <c r="X425" s="107">
        <v>0.0</v>
      </c>
      <c r="Y425" s="107">
        <v>0.0</v>
      </c>
      <c r="Z425" s="80">
        <f t="shared" si="1"/>
        <v>0</v>
      </c>
      <c r="AA425" s="106">
        <v>0.0</v>
      </c>
      <c r="AB425" s="107">
        <v>0.0</v>
      </c>
      <c r="AC425" s="107">
        <v>0.0</v>
      </c>
      <c r="AD425" s="107">
        <v>0.0</v>
      </c>
      <c r="AE425" s="80">
        <f t="shared" si="2"/>
        <v>0</v>
      </c>
      <c r="AF425" s="225">
        <v>0.0</v>
      </c>
      <c r="AG425" s="226">
        <v>0.0</v>
      </c>
      <c r="AH425" s="226">
        <v>0.0</v>
      </c>
      <c r="AI425" s="227">
        <v>139.0</v>
      </c>
      <c r="AJ425" s="80">
        <f t="shared" si="3"/>
        <v>139</v>
      </c>
      <c r="AK425" s="140">
        <v>0.0</v>
      </c>
      <c r="AL425" s="109">
        <v>0.0</v>
      </c>
      <c r="AM425" s="141">
        <v>0.0</v>
      </c>
      <c r="AN425" s="80">
        <f t="shared" si="4"/>
        <v>0</v>
      </c>
      <c r="AO425" s="225">
        <v>0.0</v>
      </c>
      <c r="AP425" s="226">
        <v>0.0</v>
      </c>
      <c r="AQ425" s="226">
        <v>0.0</v>
      </c>
      <c r="AR425" s="80">
        <f t="shared" si="5"/>
        <v>0</v>
      </c>
      <c r="AS425" s="110">
        <v>0.0</v>
      </c>
      <c r="AT425" s="110">
        <v>0.0</v>
      </c>
      <c r="AU425" s="110">
        <v>0.0</v>
      </c>
      <c r="AV425" s="142">
        <v>0.0</v>
      </c>
      <c r="AW425" s="80">
        <f t="shared" si="6"/>
        <v>0</v>
      </c>
      <c r="AX425" s="113">
        <f t="shared" si="7"/>
        <v>139</v>
      </c>
      <c r="AY425" s="117">
        <f t="shared" si="8"/>
        <v>139</v>
      </c>
      <c r="AZ425" s="120">
        <f t="shared" si="9"/>
        <v>0</v>
      </c>
      <c r="BA425" s="115">
        <v>0.0</v>
      </c>
      <c r="BB425" s="89">
        <f t="shared" si="10"/>
        <v>139</v>
      </c>
      <c r="BC425" s="132" t="s">
        <v>178</v>
      </c>
      <c r="BD425" s="132" t="s">
        <v>178</v>
      </c>
      <c r="BE425" s="132" t="s">
        <v>178</v>
      </c>
      <c r="BF425" s="156"/>
      <c r="BG425" s="98">
        <v>1179759.0</v>
      </c>
      <c r="BH425" s="112"/>
      <c r="BI425" s="112">
        <v>3.0</v>
      </c>
      <c r="BJ425" s="98" t="s">
        <v>155</v>
      </c>
      <c r="BK425" s="99">
        <f t="shared" si="11"/>
        <v>139</v>
      </c>
      <c r="BL425" s="99">
        <f t="shared" si="12"/>
        <v>0</v>
      </c>
      <c r="BM425" s="99" t="str">
        <f>IFERROR(__xludf.DUMMYFUNCTION("IFERROR(VLOOKUP(BG425,IMPORTRANGE(""https://docs.google.com/spreadsheets/d/1juPI-Fb8LD0YtltB2mlGEnp_R3UVu1t3wSFPzgCyHXE/edit?gid=0#gid=0"",""GERAL!A2:C""),3,0),""-"")"),"EFA")</f>
        <v>EFA</v>
      </c>
    </row>
    <row r="426" ht="15.75" customHeight="1">
      <c r="A426" s="111" t="s">
        <v>540</v>
      </c>
      <c r="B426" s="83" t="s">
        <v>1735</v>
      </c>
      <c r="C426" s="83" t="s">
        <v>164</v>
      </c>
      <c r="D426" s="112">
        <v>1179284.0</v>
      </c>
      <c r="E426" s="83">
        <v>1179399.0</v>
      </c>
      <c r="F426" s="98">
        <v>2.946093E7</v>
      </c>
      <c r="G426" s="114" t="s">
        <v>1743</v>
      </c>
      <c r="H426" s="91" t="s">
        <v>1744</v>
      </c>
      <c r="I426" s="136" t="s">
        <v>149</v>
      </c>
      <c r="J426" s="83" t="s">
        <v>1745</v>
      </c>
      <c r="K426" s="83" t="s">
        <v>1685</v>
      </c>
      <c r="L426" s="83" t="s">
        <v>169</v>
      </c>
      <c r="M426" s="82" t="str">
        <f>IFERROR(__xludf.DUMMYFUNCTION("IFERROR(VLOOKUP(D426,
IMPORTRANGE(""https://docs.google.com/spreadsheets/d/1MjHtlUikwobi2MaWJgy7tfLeBmhj1u-dRFRs_8GwSoA/edit#gid=0"",""Gestores Escolares!D7:J""),3,0),""VERIFICAR CÓD SEC"")")," NILCEANNE NOGUEIRA LIMA")</f>
        <v> NILCEANNE NOGUEIRA LIMA</v>
      </c>
      <c r="N426" s="82" t="str">
        <f>IFERROR(__xludf.DUMMYFUNCTION("IFERROR(VLOOKUP(D426,
IMPORTRANGE(""https://docs.google.com/spreadsheets/d/1MjHtlUikwobi2MaWJgy7tfLeBmhj1u-dRFRs_8GwSoA/edit#gid=0"",""Gestores Escolares!D7:J""),4,0),""VERIFICAR CÓD SEC"")"),"(73) 9 9123-7129")</f>
        <v>(73) 9 9123-7129</v>
      </c>
      <c r="O426" s="82" t="str">
        <f>IFERROR(__xludf.DUMMYFUNCTION("IFERROR(VLOOKUP(D426,
IMPORTRANGE(""https://docs.google.com/spreadsheets/d/1MjHtlUikwobi2MaWJgy7tfLeBmhj1u-dRFRs_8GwSoA/edit#gid=0"",""Gestores Escolares!D7:J""),6,0),""VERIFICAR CÓD SEC"")"),"FRANCISCO CRUZ DO NASCIMENTO")</f>
        <v>FRANCISCO CRUZ DO NASCIMENTO</v>
      </c>
      <c r="P426" s="82" t="str">
        <f>IFERROR(__xludf.DUMMYFUNCTION("IFERROR(VLOOKUP(D426,
IMPORTRANGE(""https://docs.google.com/spreadsheets/d/1MjHtlUikwobi2MaWJgy7tfLeBmhj1u-dRFRs_8GwSoA/edit#gid=0"",""Gestores Escolares!D7:J""),7,0),""VERIFICAR CÓD SEC"")"),"(73) 9 8123-9143")</f>
        <v>(73) 9 8123-9143</v>
      </c>
      <c r="Q426" s="82" t="str">
        <f>IFERROR(__xludf.DUMMYFUNCTION("IFERROR(VLOOKUP(D426,
IMPORTRANGE(""https://docs.google.com/spreadsheets/d/1MjHtlUikwobi2MaWJgy7tfLeBmhj1u-dRFRs_8GwSoA/edit#gid=0"",""Gestores Escolares!D7:m""),9,0),""VERIFICAR CÓD SEC"")"),"")</f>
        <v/>
      </c>
      <c r="R426" s="82" t="str">
        <f>IFERROR(__xludf.DUMMYFUNCTION("IFERROR(VLOOKUP(D426,
IMPORTRANGE(""https://docs.google.com/spreadsheets/d/1MjHtlUikwobi2MaWJgy7tfLeBmhj1u-dRFRs_8GwSoA/edit#gid=0"",""Gestores Escolares!D7:m""),10,0),""VERIFICAR CÓD SEC"")"),"")</f>
        <v/>
      </c>
      <c r="S426" s="82"/>
      <c r="T426" s="138">
        <v>3.0</v>
      </c>
      <c r="U426" s="416">
        <v>3.0</v>
      </c>
      <c r="V426" s="106">
        <v>0.0</v>
      </c>
      <c r="W426" s="107">
        <v>0.0</v>
      </c>
      <c r="X426" s="107">
        <v>0.0</v>
      </c>
      <c r="Y426" s="107">
        <v>0.0</v>
      </c>
      <c r="Z426" s="80">
        <f t="shared" si="1"/>
        <v>0</v>
      </c>
      <c r="AA426" s="106">
        <v>0.0</v>
      </c>
      <c r="AB426" s="107">
        <v>0.0</v>
      </c>
      <c r="AC426" s="107">
        <v>0.0</v>
      </c>
      <c r="AD426" s="107">
        <v>0.0</v>
      </c>
      <c r="AE426" s="80">
        <f t="shared" si="2"/>
        <v>0</v>
      </c>
      <c r="AF426" s="140">
        <v>24.0</v>
      </c>
      <c r="AG426" s="109">
        <v>0.0</v>
      </c>
      <c r="AH426" s="109">
        <v>0.0</v>
      </c>
      <c r="AI426" s="141">
        <v>0.0</v>
      </c>
      <c r="AJ426" s="80">
        <f t="shared" si="3"/>
        <v>24</v>
      </c>
      <c r="AK426" s="140">
        <v>0.0</v>
      </c>
      <c r="AL426" s="109">
        <v>0.0</v>
      </c>
      <c r="AM426" s="141">
        <v>0.0</v>
      </c>
      <c r="AN426" s="80">
        <f t="shared" si="4"/>
        <v>0</v>
      </c>
      <c r="AO426" s="140">
        <v>0.0</v>
      </c>
      <c r="AP426" s="109">
        <v>0.0</v>
      </c>
      <c r="AQ426" s="109">
        <v>0.0</v>
      </c>
      <c r="AR426" s="80">
        <f t="shared" si="5"/>
        <v>0</v>
      </c>
      <c r="AS426" s="110">
        <v>0.0</v>
      </c>
      <c r="AT426" s="110">
        <v>0.0</v>
      </c>
      <c r="AU426" s="110">
        <v>0.0</v>
      </c>
      <c r="AV426" s="142">
        <v>0.0</v>
      </c>
      <c r="AW426" s="80">
        <f t="shared" si="6"/>
        <v>0</v>
      </c>
      <c r="AX426" s="113">
        <f t="shared" si="7"/>
        <v>24</v>
      </c>
      <c r="AY426" s="117">
        <f t="shared" si="8"/>
        <v>24</v>
      </c>
      <c r="AZ426" s="120">
        <f t="shared" si="9"/>
        <v>0</v>
      </c>
      <c r="BA426" s="115">
        <v>0.0</v>
      </c>
      <c r="BB426" s="89">
        <f t="shared" si="10"/>
        <v>24</v>
      </c>
      <c r="BC426" s="132" t="s">
        <v>178</v>
      </c>
      <c r="BD426" s="143" t="s">
        <v>227</v>
      </c>
      <c r="BE426" s="132" t="s">
        <v>178</v>
      </c>
      <c r="BF426" s="156"/>
      <c r="BG426" s="83">
        <v>1179399.0</v>
      </c>
      <c r="BH426" s="112"/>
      <c r="BI426" s="112">
        <v>3.0</v>
      </c>
      <c r="BJ426" s="98" t="s">
        <v>155</v>
      </c>
      <c r="BK426" s="99">
        <f t="shared" si="11"/>
        <v>0</v>
      </c>
      <c r="BL426" s="99">
        <f t="shared" si="12"/>
        <v>24</v>
      </c>
      <c r="BM426" s="99" t="str">
        <f>IFERROR(__xludf.DUMMYFUNCTION("IFERROR(VLOOKUP(BG426,IMPORTRANGE(""https://docs.google.com/spreadsheets/d/1juPI-Fb8LD0YtltB2mlGEnp_R3UVu1t3wSFPzgCyHXE/edit?gid=0#gid=0"",""GERAL!A2:C""),3,0),""-"")"),"-")</f>
        <v>-</v>
      </c>
    </row>
    <row r="427" ht="15.75" customHeight="1">
      <c r="A427" s="111" t="s">
        <v>540</v>
      </c>
      <c r="B427" s="83" t="s">
        <v>1735</v>
      </c>
      <c r="C427" s="83" t="s">
        <v>164</v>
      </c>
      <c r="D427" s="112">
        <v>1179284.0</v>
      </c>
      <c r="E427" s="83">
        <v>1179355.0</v>
      </c>
      <c r="F427" s="98">
        <v>2.946093E7</v>
      </c>
      <c r="G427" s="114" t="s">
        <v>1746</v>
      </c>
      <c r="H427" s="91" t="s">
        <v>1747</v>
      </c>
      <c r="I427" s="136" t="s">
        <v>149</v>
      </c>
      <c r="J427" s="83" t="s">
        <v>1748</v>
      </c>
      <c r="K427" s="83" t="s">
        <v>168</v>
      </c>
      <c r="L427" s="83" t="s">
        <v>169</v>
      </c>
      <c r="M427" s="82" t="str">
        <f>IFERROR(__xludf.DUMMYFUNCTION("IFERROR(VLOOKUP(D427,
IMPORTRANGE(""https://docs.google.com/spreadsheets/d/1MjHtlUikwobi2MaWJgy7tfLeBmhj1u-dRFRs_8GwSoA/edit#gid=0"",""Gestores Escolares!D7:J""),3,0),""VERIFICAR CÓD SEC"")")," NILCEANNE NOGUEIRA LIMA")</f>
        <v> NILCEANNE NOGUEIRA LIMA</v>
      </c>
      <c r="N427" s="82" t="str">
        <f>IFERROR(__xludf.DUMMYFUNCTION("IFERROR(VLOOKUP(D427,
IMPORTRANGE(""https://docs.google.com/spreadsheets/d/1MjHtlUikwobi2MaWJgy7tfLeBmhj1u-dRFRs_8GwSoA/edit#gid=0"",""Gestores Escolares!D7:J""),4,0),""VERIFICAR CÓD SEC"")"),"(73) 9 9123-7129")</f>
        <v>(73) 9 9123-7129</v>
      </c>
      <c r="O427" s="82" t="str">
        <f>IFERROR(__xludf.DUMMYFUNCTION("IFERROR(VLOOKUP(D427,
IMPORTRANGE(""https://docs.google.com/spreadsheets/d/1MjHtlUikwobi2MaWJgy7tfLeBmhj1u-dRFRs_8GwSoA/edit#gid=0"",""Gestores Escolares!D7:J""),6,0),""VERIFICAR CÓD SEC"")"),"FRANCISCO CRUZ DO NASCIMENTO")</f>
        <v>FRANCISCO CRUZ DO NASCIMENTO</v>
      </c>
      <c r="P427" s="82" t="str">
        <f>IFERROR(__xludf.DUMMYFUNCTION("IFERROR(VLOOKUP(D427,
IMPORTRANGE(""https://docs.google.com/spreadsheets/d/1MjHtlUikwobi2MaWJgy7tfLeBmhj1u-dRFRs_8GwSoA/edit#gid=0"",""Gestores Escolares!D7:J""),7,0),""VERIFICAR CÓD SEC"")"),"(73) 9 8123-9143")</f>
        <v>(73) 9 8123-9143</v>
      </c>
      <c r="Q427" s="82" t="str">
        <f>IFERROR(__xludf.DUMMYFUNCTION("IFERROR(VLOOKUP(D427,
IMPORTRANGE(""https://docs.google.com/spreadsheets/d/1MjHtlUikwobi2MaWJgy7tfLeBmhj1u-dRFRs_8GwSoA/edit#gid=0"",""Gestores Escolares!D7:m""),9,0),""VERIFICAR CÓD SEC"")"),"")</f>
        <v/>
      </c>
      <c r="R427" s="82" t="str">
        <f>IFERROR(__xludf.DUMMYFUNCTION("IFERROR(VLOOKUP(D427,
IMPORTRANGE(""https://docs.google.com/spreadsheets/d/1MjHtlUikwobi2MaWJgy7tfLeBmhj1u-dRFRs_8GwSoA/edit#gid=0"",""Gestores Escolares!D7:m""),10,0),""VERIFICAR CÓD SEC"")"),"")</f>
        <v/>
      </c>
      <c r="S427" s="82"/>
      <c r="T427" s="138">
        <v>2.0</v>
      </c>
      <c r="U427" s="416">
        <v>2.0</v>
      </c>
      <c r="V427" s="106">
        <v>0.0</v>
      </c>
      <c r="W427" s="107">
        <v>0.0</v>
      </c>
      <c r="X427" s="107">
        <v>0.0</v>
      </c>
      <c r="Y427" s="107">
        <v>0.0</v>
      </c>
      <c r="Z427" s="80">
        <f t="shared" si="1"/>
        <v>0</v>
      </c>
      <c r="AA427" s="106">
        <v>0.0</v>
      </c>
      <c r="AB427" s="107">
        <v>0.0</v>
      </c>
      <c r="AC427" s="107">
        <v>0.0</v>
      </c>
      <c r="AD427" s="107">
        <v>0.0</v>
      </c>
      <c r="AE427" s="80">
        <f t="shared" si="2"/>
        <v>0</v>
      </c>
      <c r="AF427" s="140">
        <v>14.0</v>
      </c>
      <c r="AG427" s="109">
        <v>39.0</v>
      </c>
      <c r="AH427" s="109">
        <v>0.0</v>
      </c>
      <c r="AI427" s="141">
        <v>0.0</v>
      </c>
      <c r="AJ427" s="80">
        <f t="shared" si="3"/>
        <v>53</v>
      </c>
      <c r="AK427" s="140">
        <v>0.0</v>
      </c>
      <c r="AL427" s="109">
        <v>0.0</v>
      </c>
      <c r="AM427" s="141">
        <v>0.0</v>
      </c>
      <c r="AN427" s="80">
        <f t="shared" si="4"/>
        <v>0</v>
      </c>
      <c r="AO427" s="140">
        <v>0.0</v>
      </c>
      <c r="AP427" s="109">
        <v>0.0</v>
      </c>
      <c r="AQ427" s="109">
        <v>0.0</v>
      </c>
      <c r="AR427" s="80">
        <f t="shared" si="5"/>
        <v>0</v>
      </c>
      <c r="AS427" s="110">
        <v>0.0</v>
      </c>
      <c r="AT427" s="110">
        <v>0.0</v>
      </c>
      <c r="AU427" s="110">
        <v>0.0</v>
      </c>
      <c r="AV427" s="142">
        <v>0.0</v>
      </c>
      <c r="AW427" s="80">
        <f t="shared" si="6"/>
        <v>0</v>
      </c>
      <c r="AX427" s="113">
        <f t="shared" si="7"/>
        <v>53</v>
      </c>
      <c r="AY427" s="117">
        <f t="shared" si="8"/>
        <v>53</v>
      </c>
      <c r="AZ427" s="120">
        <f t="shared" si="9"/>
        <v>0</v>
      </c>
      <c r="BA427" s="115">
        <v>0.0</v>
      </c>
      <c r="BB427" s="89">
        <f t="shared" si="10"/>
        <v>53</v>
      </c>
      <c r="BC427" s="132" t="s">
        <v>178</v>
      </c>
      <c r="BD427" s="143" t="s">
        <v>227</v>
      </c>
      <c r="BE427" s="132" t="s">
        <v>178</v>
      </c>
      <c r="BF427" s="156"/>
      <c r="BG427" s="83">
        <v>1179355.0</v>
      </c>
      <c r="BH427" s="112"/>
      <c r="BI427" s="112">
        <v>2.0</v>
      </c>
      <c r="BJ427" s="98" t="s">
        <v>155</v>
      </c>
      <c r="BK427" s="99">
        <f t="shared" si="11"/>
        <v>0</v>
      </c>
      <c r="BL427" s="99">
        <f t="shared" si="12"/>
        <v>53</v>
      </c>
      <c r="BM427" s="99" t="str">
        <f>IFERROR(__xludf.DUMMYFUNCTION("IFERROR(VLOOKUP(BG427,IMPORTRANGE(""https://docs.google.com/spreadsheets/d/1juPI-Fb8LD0YtltB2mlGEnp_R3UVu1t3wSFPzgCyHXE/edit?gid=0#gid=0"",""GERAL!A2:C""),3,0),""-"")"),"-")</f>
        <v>-</v>
      </c>
    </row>
    <row r="428" ht="15.75" customHeight="1">
      <c r="A428" s="111" t="s">
        <v>540</v>
      </c>
      <c r="B428" s="83" t="s">
        <v>1735</v>
      </c>
      <c r="C428" s="83" t="s">
        <v>164</v>
      </c>
      <c r="D428" s="112">
        <v>1179284.0</v>
      </c>
      <c r="E428" s="83">
        <v>1178484.0</v>
      </c>
      <c r="F428" s="98">
        <v>2.946093E7</v>
      </c>
      <c r="G428" s="114" t="s">
        <v>1749</v>
      </c>
      <c r="H428" s="91" t="s">
        <v>1750</v>
      </c>
      <c r="I428" s="136" t="s">
        <v>149</v>
      </c>
      <c r="J428" s="83" t="s">
        <v>187</v>
      </c>
      <c r="K428" s="83" t="s">
        <v>168</v>
      </c>
      <c r="L428" s="83" t="s">
        <v>169</v>
      </c>
      <c r="M428" s="82" t="str">
        <f>IFERROR(__xludf.DUMMYFUNCTION("IFERROR(VLOOKUP(D428,
IMPORTRANGE(""https://docs.google.com/spreadsheets/d/1MjHtlUikwobi2MaWJgy7tfLeBmhj1u-dRFRs_8GwSoA/edit#gid=0"",""Gestores Escolares!D7:J""),3,0),""VERIFICAR CÓD SEC"")")," NILCEANNE NOGUEIRA LIMA")</f>
        <v> NILCEANNE NOGUEIRA LIMA</v>
      </c>
      <c r="N428" s="82" t="str">
        <f>IFERROR(__xludf.DUMMYFUNCTION("IFERROR(VLOOKUP(D428,
IMPORTRANGE(""https://docs.google.com/spreadsheets/d/1MjHtlUikwobi2MaWJgy7tfLeBmhj1u-dRFRs_8GwSoA/edit#gid=0"",""Gestores Escolares!D7:J""),4,0),""VERIFICAR CÓD SEC"")"),"(73) 9 9123-7129")</f>
        <v>(73) 9 9123-7129</v>
      </c>
      <c r="O428" s="82" t="str">
        <f>IFERROR(__xludf.DUMMYFUNCTION("IFERROR(VLOOKUP(D428,
IMPORTRANGE(""https://docs.google.com/spreadsheets/d/1MjHtlUikwobi2MaWJgy7tfLeBmhj1u-dRFRs_8GwSoA/edit#gid=0"",""Gestores Escolares!D7:J""),6,0),""VERIFICAR CÓD SEC"")"),"FRANCISCO CRUZ DO NASCIMENTO")</f>
        <v>FRANCISCO CRUZ DO NASCIMENTO</v>
      </c>
      <c r="P428" s="82" t="str">
        <f>IFERROR(__xludf.DUMMYFUNCTION("IFERROR(VLOOKUP(D428,
IMPORTRANGE(""https://docs.google.com/spreadsheets/d/1MjHtlUikwobi2MaWJgy7tfLeBmhj1u-dRFRs_8GwSoA/edit#gid=0"",""Gestores Escolares!D7:J""),7,0),""VERIFICAR CÓD SEC"")"),"(73) 9 8123-9143")</f>
        <v>(73) 9 8123-9143</v>
      </c>
      <c r="Q428" s="82" t="str">
        <f>IFERROR(__xludf.DUMMYFUNCTION("IFERROR(VLOOKUP(D428,
IMPORTRANGE(""https://docs.google.com/spreadsheets/d/1MjHtlUikwobi2MaWJgy7tfLeBmhj1u-dRFRs_8GwSoA/edit#gid=0"",""Gestores Escolares!D7:m""),9,0),""VERIFICAR CÓD SEC"")"),"")</f>
        <v/>
      </c>
      <c r="R428" s="82" t="str">
        <f>IFERROR(__xludf.DUMMYFUNCTION("IFERROR(VLOOKUP(D428,
IMPORTRANGE(""https://docs.google.com/spreadsheets/d/1MjHtlUikwobi2MaWJgy7tfLeBmhj1u-dRFRs_8GwSoA/edit#gid=0"",""Gestores Escolares!D7:m""),10,0),""VERIFICAR CÓD SEC"")"),"")</f>
        <v/>
      </c>
      <c r="S428" s="82"/>
      <c r="T428" s="138">
        <v>3.0</v>
      </c>
      <c r="U428" s="139">
        <v>3.0</v>
      </c>
      <c r="V428" s="106">
        <v>0.0</v>
      </c>
      <c r="W428" s="107">
        <v>0.0</v>
      </c>
      <c r="X428" s="107">
        <v>0.0</v>
      </c>
      <c r="Y428" s="107">
        <v>0.0</v>
      </c>
      <c r="Z428" s="80">
        <f t="shared" si="1"/>
        <v>0</v>
      </c>
      <c r="AA428" s="106">
        <v>0.0</v>
      </c>
      <c r="AB428" s="107">
        <v>0.0</v>
      </c>
      <c r="AC428" s="107">
        <v>0.0</v>
      </c>
      <c r="AD428" s="107">
        <v>0.0</v>
      </c>
      <c r="AE428" s="80">
        <f t="shared" si="2"/>
        <v>0</v>
      </c>
      <c r="AF428" s="140">
        <v>0.0</v>
      </c>
      <c r="AG428" s="109">
        <v>26.0</v>
      </c>
      <c r="AH428" s="109">
        <v>0.0</v>
      </c>
      <c r="AI428" s="141">
        <v>0.0</v>
      </c>
      <c r="AJ428" s="80">
        <f t="shared" si="3"/>
        <v>26</v>
      </c>
      <c r="AK428" s="140">
        <v>0.0</v>
      </c>
      <c r="AL428" s="109">
        <v>0.0</v>
      </c>
      <c r="AM428" s="141">
        <v>0.0</v>
      </c>
      <c r="AN428" s="80">
        <f t="shared" si="4"/>
        <v>0</v>
      </c>
      <c r="AO428" s="140">
        <v>0.0</v>
      </c>
      <c r="AP428" s="109">
        <v>0.0</v>
      </c>
      <c r="AQ428" s="109">
        <v>0.0</v>
      </c>
      <c r="AR428" s="80">
        <f t="shared" si="5"/>
        <v>0</v>
      </c>
      <c r="AS428" s="110">
        <v>0.0</v>
      </c>
      <c r="AT428" s="110">
        <v>0.0</v>
      </c>
      <c r="AU428" s="110">
        <v>0.0</v>
      </c>
      <c r="AV428" s="142">
        <v>0.0</v>
      </c>
      <c r="AW428" s="80">
        <f t="shared" si="6"/>
        <v>0</v>
      </c>
      <c r="AX428" s="113">
        <f t="shared" si="7"/>
        <v>26</v>
      </c>
      <c r="AY428" s="117">
        <f t="shared" si="8"/>
        <v>26</v>
      </c>
      <c r="AZ428" s="120">
        <f t="shared" si="9"/>
        <v>0</v>
      </c>
      <c r="BA428" s="115">
        <v>0.0</v>
      </c>
      <c r="BB428" s="89">
        <f t="shared" si="10"/>
        <v>26</v>
      </c>
      <c r="BC428" s="132" t="s">
        <v>178</v>
      </c>
      <c r="BD428" s="143" t="s">
        <v>227</v>
      </c>
      <c r="BE428" s="132" t="s">
        <v>178</v>
      </c>
      <c r="BF428" s="123"/>
      <c r="BG428" s="83">
        <v>1178484.0</v>
      </c>
      <c r="BH428" s="112"/>
      <c r="BI428" s="112">
        <v>3.0</v>
      </c>
      <c r="BJ428" s="98" t="s">
        <v>155</v>
      </c>
      <c r="BK428" s="99">
        <f t="shared" si="11"/>
        <v>0</v>
      </c>
      <c r="BL428" s="99">
        <f t="shared" si="12"/>
        <v>26</v>
      </c>
      <c r="BM428" s="99" t="str">
        <f>IFERROR(__xludf.DUMMYFUNCTION("IFERROR(VLOOKUP(BG428,IMPORTRANGE(""https://docs.google.com/spreadsheets/d/1juPI-Fb8LD0YtltB2mlGEnp_R3UVu1t3wSFPzgCyHXE/edit?gid=0#gid=0"",""GERAL!A2:C""),3,0),""-"")"),"-")</f>
        <v>-</v>
      </c>
    </row>
    <row r="429" ht="15.75" customHeight="1">
      <c r="A429" s="111" t="s">
        <v>540</v>
      </c>
      <c r="B429" s="83" t="s">
        <v>1751</v>
      </c>
      <c r="C429" s="83" t="s">
        <v>68</v>
      </c>
      <c r="D429" s="112">
        <v>1110251.0</v>
      </c>
      <c r="E429" s="83"/>
      <c r="F429" s="83">
        <v>2.9287235E7</v>
      </c>
      <c r="G429" s="114" t="s">
        <v>1752</v>
      </c>
      <c r="H429" s="91" t="s">
        <v>1753</v>
      </c>
      <c r="I429" s="83" t="s">
        <v>1754</v>
      </c>
      <c r="J429" s="83" t="s">
        <v>150</v>
      </c>
      <c r="K429" s="83" t="s">
        <v>1685</v>
      </c>
      <c r="L429" s="83" t="s">
        <v>152</v>
      </c>
      <c r="M429" s="82" t="str">
        <f>IFERROR(__xludf.DUMMYFUNCTION("IFERROR(VLOOKUP(D429,
IMPORTRANGE(""https://docs.google.com/spreadsheets/d/1MjHtlUikwobi2MaWJgy7tfLeBmhj1u-dRFRs_8GwSoA/edit#gid=0"",""Gestores Escolares!D7:J""),3,0),""VERIFICAR CÓD SEC"")"),"ELIZANGELA BARBOSA MORENO")</f>
        <v>ELIZANGELA BARBOSA MORENO</v>
      </c>
      <c r="N429" s="82" t="str">
        <f>IFERROR(__xludf.DUMMYFUNCTION("IFERROR(VLOOKUP(D429,
IMPORTRANGE(""https://docs.google.com/spreadsheets/d/1MjHtlUikwobi2MaWJgy7tfLeBmhj1u-dRFRs_8GwSoA/edit#gid=0"",""Gestores Escolares!D7:J""),4,0),""VERIFICAR CÓD SEC"")"),"(73) 9 8135-0853")</f>
        <v>(73) 9 8135-0853</v>
      </c>
      <c r="O429" s="82" t="str">
        <f>IFERROR(__xludf.DUMMYFUNCTION("IFERROR(VLOOKUP(D429,
IMPORTRANGE(""https://docs.google.com/spreadsheets/d/1MjHtlUikwobi2MaWJgy7tfLeBmhj1u-dRFRs_8GwSoA/edit#gid=0"",""Gestores Escolares!D7:J""),6,0),""VERIFICAR CÓD SEC"")"),"GLEYDE AUZILLENE TIAGO DA SILVA")</f>
        <v>GLEYDE AUZILLENE TIAGO DA SILVA</v>
      </c>
      <c r="P429" s="82" t="str">
        <f>IFERROR(__xludf.DUMMYFUNCTION("IFERROR(VLOOKUP(D429,
IMPORTRANGE(""https://docs.google.com/spreadsheets/d/1MjHtlUikwobi2MaWJgy7tfLeBmhj1u-dRFRs_8GwSoA/edit#gid=0"",""Gestores Escolares!D7:J""),7,0),""VERIFICAR CÓD SEC"")"),"(75) 9 9708-4469")</f>
        <v>(75) 9 9708-4469</v>
      </c>
      <c r="Q429" s="82" t="str">
        <f>IFERROR(__xludf.DUMMYFUNCTION("IFERROR(VLOOKUP(D429,
IMPORTRANGE(""https://docs.google.com/spreadsheets/d/1MjHtlUikwobi2MaWJgy7tfLeBmhj1u-dRFRs_8GwSoA/edit#gid=0"",""Gestores Escolares!D7:m""),9,0),""VERIFICAR CÓD SEC"")"),"TABATHA YUKIKO IDOGAWA TIANO")</f>
        <v>TABATHA YUKIKO IDOGAWA TIANO</v>
      </c>
      <c r="R429" s="82" t="str">
        <f>IFERROR(__xludf.DUMMYFUNCTION("IFERROR(VLOOKUP(D429,
IMPORTRANGE(""https://docs.google.com/spreadsheets/d/1MjHtlUikwobi2MaWJgy7tfLeBmhj1u-dRFRs_8GwSoA/edit#gid=0"",""Gestores Escolares!D7:m""),10,0),""VERIFICAR CÓD SEC"")"),"(71) 9 9955-8062")</f>
        <v>(71) 9 9955-8062</v>
      </c>
      <c r="S429" s="82"/>
      <c r="T429" s="138">
        <v>16.0</v>
      </c>
      <c r="U429" s="145" t="s">
        <v>6013</v>
      </c>
      <c r="V429" s="106">
        <v>0.0</v>
      </c>
      <c r="W429" s="107">
        <v>0.0</v>
      </c>
      <c r="X429" s="107">
        <v>0.0</v>
      </c>
      <c r="Y429" s="107">
        <v>0.0</v>
      </c>
      <c r="Z429" s="80">
        <f t="shared" si="1"/>
        <v>0</v>
      </c>
      <c r="AA429" s="106">
        <v>0.0</v>
      </c>
      <c r="AB429" s="107">
        <v>0.0</v>
      </c>
      <c r="AC429" s="107">
        <v>0.0</v>
      </c>
      <c r="AD429" s="107">
        <v>0.0</v>
      </c>
      <c r="AE429" s="80">
        <f t="shared" si="2"/>
        <v>0</v>
      </c>
      <c r="AF429" s="140">
        <v>204.0</v>
      </c>
      <c r="AG429" s="109">
        <v>128.0</v>
      </c>
      <c r="AH429" s="109">
        <v>0.0</v>
      </c>
      <c r="AI429" s="141">
        <v>119.0</v>
      </c>
      <c r="AJ429" s="80">
        <f t="shared" si="3"/>
        <v>451</v>
      </c>
      <c r="AK429" s="140">
        <v>0.0</v>
      </c>
      <c r="AL429" s="109">
        <v>0.0</v>
      </c>
      <c r="AM429" s="141">
        <v>0.0</v>
      </c>
      <c r="AN429" s="80">
        <f t="shared" si="4"/>
        <v>0</v>
      </c>
      <c r="AO429" s="140">
        <v>0.0</v>
      </c>
      <c r="AP429" s="109">
        <v>0.0</v>
      </c>
      <c r="AQ429" s="109">
        <v>110.0</v>
      </c>
      <c r="AR429" s="80">
        <f t="shared" si="5"/>
        <v>110</v>
      </c>
      <c r="AS429" s="110">
        <v>63.0</v>
      </c>
      <c r="AT429" s="110">
        <v>0.0</v>
      </c>
      <c r="AU429" s="110">
        <v>23.0</v>
      </c>
      <c r="AV429" s="142">
        <v>23.0</v>
      </c>
      <c r="AW429" s="80">
        <f t="shared" si="6"/>
        <v>109</v>
      </c>
      <c r="AX429" s="113">
        <f t="shared" si="7"/>
        <v>670</v>
      </c>
      <c r="AY429" s="117">
        <f t="shared" si="8"/>
        <v>537</v>
      </c>
      <c r="AZ429" s="120">
        <f t="shared" si="9"/>
        <v>133</v>
      </c>
      <c r="BA429" s="115">
        <v>0.0</v>
      </c>
      <c r="BB429" s="89">
        <f t="shared" si="10"/>
        <v>670</v>
      </c>
      <c r="BC429" s="132" t="s">
        <v>178</v>
      </c>
      <c r="BD429" s="132" t="s">
        <v>178</v>
      </c>
      <c r="BE429" s="132" t="s">
        <v>178</v>
      </c>
      <c r="BF429" s="123"/>
      <c r="BG429" s="83">
        <v>1110251.0</v>
      </c>
      <c r="BH429" s="112"/>
      <c r="BI429" s="112">
        <v>14.0</v>
      </c>
      <c r="BJ429" s="98" t="s">
        <v>284</v>
      </c>
      <c r="BK429" s="99">
        <f t="shared" si="11"/>
        <v>142</v>
      </c>
      <c r="BL429" s="99">
        <f t="shared" si="12"/>
        <v>395</v>
      </c>
      <c r="BM429" s="99" t="str">
        <f>IFERROR(__xludf.DUMMYFUNCTION("IFERROR(VLOOKUP(BG429,IMPORTRANGE(""https://docs.google.com/spreadsheets/d/1juPI-Fb8LD0YtltB2mlGEnp_R3UVu1t3wSFPzgCyHXE/edit?gid=0#gid=0"",""GERAL!A2:C""),3,0),""-"")"),"-")</f>
        <v>-</v>
      </c>
    </row>
    <row r="430" ht="15.75" customHeight="1">
      <c r="A430" s="111" t="s">
        <v>540</v>
      </c>
      <c r="B430" s="83" t="s">
        <v>1751</v>
      </c>
      <c r="C430" s="83" t="s">
        <v>164</v>
      </c>
      <c r="D430" s="112">
        <v>1110251.0</v>
      </c>
      <c r="E430" s="83">
        <v>1170701.0</v>
      </c>
      <c r="F430" s="98">
        <v>2.9492017E7</v>
      </c>
      <c r="G430" s="114" t="s">
        <v>1756</v>
      </c>
      <c r="H430" s="91" t="s">
        <v>1757</v>
      </c>
      <c r="I430" s="83" t="s">
        <v>149</v>
      </c>
      <c r="J430" s="83" t="s">
        <v>187</v>
      </c>
      <c r="K430" s="83" t="s">
        <v>1685</v>
      </c>
      <c r="L430" s="83" t="s">
        <v>169</v>
      </c>
      <c r="M430" s="82" t="str">
        <f>IFERROR(__xludf.DUMMYFUNCTION("IFERROR(VLOOKUP(D430,
IMPORTRANGE(""https://docs.google.com/spreadsheets/d/1MjHtlUikwobi2MaWJgy7tfLeBmhj1u-dRFRs_8GwSoA/edit#gid=0"",""Gestores Escolares!D7:J""),3,0),""VERIFICAR CÓD SEC"")"),"ELIZANGELA BARBOSA MORENO")</f>
        <v>ELIZANGELA BARBOSA MORENO</v>
      </c>
      <c r="N430" s="82" t="str">
        <f>IFERROR(__xludf.DUMMYFUNCTION("IFERROR(VLOOKUP(D430,
IMPORTRANGE(""https://docs.google.com/spreadsheets/d/1MjHtlUikwobi2MaWJgy7tfLeBmhj1u-dRFRs_8GwSoA/edit#gid=0"",""Gestores Escolares!D7:J""),4,0),""VERIFICAR CÓD SEC"")"),"(73) 9 8135-0853")</f>
        <v>(73) 9 8135-0853</v>
      </c>
      <c r="O430" s="82" t="str">
        <f>IFERROR(__xludf.DUMMYFUNCTION("IFERROR(VLOOKUP(D430,
IMPORTRANGE(""https://docs.google.com/spreadsheets/d/1MjHtlUikwobi2MaWJgy7tfLeBmhj1u-dRFRs_8GwSoA/edit#gid=0"",""Gestores Escolares!D7:J""),6,0),""VERIFICAR CÓD SEC"")"),"GLEYDE AUZILLENE TIAGO DA SILVA")</f>
        <v>GLEYDE AUZILLENE TIAGO DA SILVA</v>
      </c>
      <c r="P430" s="82" t="str">
        <f>IFERROR(__xludf.DUMMYFUNCTION("IFERROR(VLOOKUP(D430,
IMPORTRANGE(""https://docs.google.com/spreadsheets/d/1MjHtlUikwobi2MaWJgy7tfLeBmhj1u-dRFRs_8GwSoA/edit#gid=0"",""Gestores Escolares!D7:J""),7,0),""VERIFICAR CÓD SEC"")"),"(75) 9 9708-4469")</f>
        <v>(75) 9 9708-4469</v>
      </c>
      <c r="Q430" s="82" t="str">
        <f>IFERROR(__xludf.DUMMYFUNCTION("IFERROR(VLOOKUP(D430,
IMPORTRANGE(""https://docs.google.com/spreadsheets/d/1MjHtlUikwobi2MaWJgy7tfLeBmhj1u-dRFRs_8GwSoA/edit#gid=0"",""Gestores Escolares!D7:m""),9,0),""VERIFICAR CÓD SEC"")"),"TABATHA YUKIKO IDOGAWA TIANO")</f>
        <v>TABATHA YUKIKO IDOGAWA TIANO</v>
      </c>
      <c r="R430" s="82" t="str">
        <f>IFERROR(__xludf.DUMMYFUNCTION("IFERROR(VLOOKUP(D430,
IMPORTRANGE(""https://docs.google.com/spreadsheets/d/1MjHtlUikwobi2MaWJgy7tfLeBmhj1u-dRFRs_8GwSoA/edit#gid=0"",""Gestores Escolares!D7:m""),10,0),""VERIFICAR CÓD SEC"")"),"(71) 9 9955-8062")</f>
        <v>(71) 9 9955-8062</v>
      </c>
      <c r="S430" s="82"/>
      <c r="T430" s="138">
        <v>4.0</v>
      </c>
      <c r="U430" s="145">
        <v>3.0</v>
      </c>
      <c r="V430" s="106">
        <v>0.0</v>
      </c>
      <c r="W430" s="107">
        <v>0.0</v>
      </c>
      <c r="X430" s="107">
        <v>0.0</v>
      </c>
      <c r="Y430" s="107">
        <v>0.0</v>
      </c>
      <c r="Z430" s="80">
        <f t="shared" si="1"/>
        <v>0</v>
      </c>
      <c r="AA430" s="106">
        <v>0.0</v>
      </c>
      <c r="AB430" s="107">
        <v>0.0</v>
      </c>
      <c r="AC430" s="107">
        <v>0.0</v>
      </c>
      <c r="AD430" s="107">
        <v>0.0</v>
      </c>
      <c r="AE430" s="80">
        <f t="shared" si="2"/>
        <v>0</v>
      </c>
      <c r="AF430" s="222">
        <v>0.0</v>
      </c>
      <c r="AG430" s="222">
        <v>31.0</v>
      </c>
      <c r="AH430" s="222">
        <v>0.0</v>
      </c>
      <c r="AI430" s="224">
        <v>0.0</v>
      </c>
      <c r="AJ430" s="80">
        <f t="shared" si="3"/>
        <v>31</v>
      </c>
      <c r="AK430" s="140">
        <v>0.0</v>
      </c>
      <c r="AL430" s="109">
        <v>0.0</v>
      </c>
      <c r="AM430" s="141">
        <v>0.0</v>
      </c>
      <c r="AN430" s="80">
        <f t="shared" si="4"/>
        <v>0</v>
      </c>
      <c r="AO430" s="222">
        <v>0.0</v>
      </c>
      <c r="AP430" s="222">
        <v>0.0</v>
      </c>
      <c r="AQ430" s="224">
        <v>0.0</v>
      </c>
      <c r="AR430" s="80">
        <f t="shared" si="5"/>
        <v>0</v>
      </c>
      <c r="AS430" s="110">
        <v>0.0</v>
      </c>
      <c r="AT430" s="110">
        <v>0.0</v>
      </c>
      <c r="AU430" s="110">
        <v>0.0</v>
      </c>
      <c r="AV430" s="142">
        <v>0.0</v>
      </c>
      <c r="AW430" s="80">
        <f t="shared" si="6"/>
        <v>0</v>
      </c>
      <c r="AX430" s="113">
        <f t="shared" si="7"/>
        <v>31</v>
      </c>
      <c r="AY430" s="117">
        <f t="shared" si="8"/>
        <v>31</v>
      </c>
      <c r="AZ430" s="120">
        <f t="shared" si="9"/>
        <v>0</v>
      </c>
      <c r="BA430" s="115">
        <v>0.0</v>
      </c>
      <c r="BB430" s="89">
        <f t="shared" si="10"/>
        <v>31</v>
      </c>
      <c r="BC430" s="132" t="s">
        <v>631</v>
      </c>
      <c r="BD430" s="132" t="s">
        <v>178</v>
      </c>
      <c r="BE430" s="132" t="s">
        <v>178</v>
      </c>
      <c r="BF430" s="156"/>
      <c r="BG430" s="83">
        <v>1170701.0</v>
      </c>
      <c r="BH430" s="112"/>
      <c r="BI430" s="112">
        <v>4.0</v>
      </c>
      <c r="BJ430" s="98" t="s">
        <v>155</v>
      </c>
      <c r="BK430" s="99">
        <f t="shared" si="11"/>
        <v>0</v>
      </c>
      <c r="BL430" s="99">
        <f t="shared" si="12"/>
        <v>31</v>
      </c>
      <c r="BM430" s="99" t="str">
        <f>IFERROR(__xludf.DUMMYFUNCTION("IFERROR(VLOOKUP(BG430,IMPORTRANGE(""https://docs.google.com/spreadsheets/d/1juPI-Fb8LD0YtltB2mlGEnp_R3UVu1t3wSFPzgCyHXE/edit?gid=0#gid=0"",""GERAL!A2:C""),3,0),""-"")"),"ASSENTAMENTOS")</f>
        <v>ASSENTAMENTOS</v>
      </c>
    </row>
    <row r="431" ht="15.75" customHeight="1">
      <c r="A431" s="111" t="s">
        <v>540</v>
      </c>
      <c r="B431" s="136" t="s">
        <v>1758</v>
      </c>
      <c r="C431" s="83" t="s">
        <v>68</v>
      </c>
      <c r="D431" s="112">
        <v>1109229.0</v>
      </c>
      <c r="E431" s="83"/>
      <c r="F431" s="83">
        <v>2.9166829E7</v>
      </c>
      <c r="G431" s="153" t="s">
        <v>1759</v>
      </c>
      <c r="H431" s="160" t="s">
        <v>1760</v>
      </c>
      <c r="I431" s="83" t="s">
        <v>149</v>
      </c>
      <c r="J431" s="83" t="s">
        <v>150</v>
      </c>
      <c r="K431" s="83" t="s">
        <v>1685</v>
      </c>
      <c r="L431" s="98" t="s">
        <v>152</v>
      </c>
      <c r="M431" s="82" t="str">
        <f>IFERROR(__xludf.DUMMYFUNCTION("IFERROR(VLOOKUP(D431,
IMPORTRANGE(""https://docs.google.com/spreadsheets/d/1MjHtlUikwobi2MaWJgy7tfLeBmhj1u-dRFRs_8GwSoA/edit#gid=0"",""Gestores Escolares!D7:J""),3,0),""VERIFICAR CÓD SEC"")"),"JOSE CARLOS SILVA NEVES")</f>
        <v>JOSE CARLOS SILVA NEVES</v>
      </c>
      <c r="N431" s="82" t="str">
        <f>IFERROR(__xludf.DUMMYFUNCTION("IFERROR(VLOOKUP(D431,
IMPORTRANGE(""https://docs.google.com/spreadsheets/d/1MjHtlUikwobi2MaWJgy7tfLeBmhj1u-dRFRs_8GwSoA/edit#gid=0"",""Gestores Escolares!D7:J""),4,0),""VERIFICAR CÓD SEC"")"),"(75) 9 8833-2634")</f>
        <v>(75) 9 8833-2634</v>
      </c>
      <c r="O431" s="82" t="str">
        <f>IFERROR(__xludf.DUMMYFUNCTION("IFERROR(VLOOKUP(D431,
IMPORTRANGE(""https://docs.google.com/spreadsheets/d/1MjHtlUikwobi2MaWJgy7tfLeBmhj1u-dRFRs_8GwSoA/edit#gid=0"",""Gestores Escolares!D7:J""),6,0),""VERIFICAR CÓD SEC"")"),"MEIRE JANE CERQUEIRA SANTOS")</f>
        <v>MEIRE JANE CERQUEIRA SANTOS</v>
      </c>
      <c r="P431" s="82" t="str">
        <f>IFERROR(__xludf.DUMMYFUNCTION("IFERROR(VLOOKUP(D431,
IMPORTRANGE(""https://docs.google.com/spreadsheets/d/1MjHtlUikwobi2MaWJgy7tfLeBmhj1u-dRFRs_8GwSoA/edit#gid=0"",""Gestores Escolares!D7:J""),7,0),""VERIFICAR CÓD SEC"")"),"(75) 9 8338-9314/ 
(71) 9 8676-2711")</f>
        <v>(75) 9 8338-9314/ 
(71) 9 8676-2711</v>
      </c>
      <c r="Q431" s="82" t="str">
        <f>IFERROR(__xludf.DUMMYFUNCTION("IFERROR(VLOOKUP(D431,
IMPORTRANGE(""https://docs.google.com/spreadsheets/d/1MjHtlUikwobi2MaWJgy7tfLeBmhj1u-dRFRs_8GwSoA/edit#gid=0"",""Gestores Escolares!D7:m""),9,0),""VERIFICAR CÓD SEC"")"),"JOEDNA AGUIAR DOS SANTOS")</f>
        <v>JOEDNA AGUIAR DOS SANTOS</v>
      </c>
      <c r="R431" s="82" t="str">
        <f>IFERROR(__xludf.DUMMYFUNCTION("IFERROR(VLOOKUP(D431,
IMPORTRANGE(""https://docs.google.com/spreadsheets/d/1MjHtlUikwobi2MaWJgy7tfLeBmhj1u-dRFRs_8GwSoA/edit#gid=0"",""Gestores Escolares!D7:m""),10,0),""VERIFICAR CÓD SEC"")"),"(75) 9 9249-7930")</f>
        <v>(75) 9 9249-7930</v>
      </c>
      <c r="S431" s="82"/>
      <c r="T431" s="138">
        <v>8.0</v>
      </c>
      <c r="U431" s="139">
        <v>6.0</v>
      </c>
      <c r="V431" s="106">
        <v>0.0</v>
      </c>
      <c r="W431" s="107">
        <v>0.0</v>
      </c>
      <c r="X431" s="107">
        <v>0.0</v>
      </c>
      <c r="Y431" s="107">
        <v>0.0</v>
      </c>
      <c r="Z431" s="80">
        <f t="shared" si="1"/>
        <v>0</v>
      </c>
      <c r="AA431" s="106">
        <v>0.0</v>
      </c>
      <c r="AB431" s="107">
        <v>0.0</v>
      </c>
      <c r="AC431" s="107">
        <v>0.0</v>
      </c>
      <c r="AD431" s="107">
        <v>0.0</v>
      </c>
      <c r="AE431" s="80">
        <f t="shared" si="2"/>
        <v>0</v>
      </c>
      <c r="AF431" s="140">
        <v>0.0</v>
      </c>
      <c r="AG431" s="109">
        <v>0.0</v>
      </c>
      <c r="AH431" s="109">
        <v>0.0</v>
      </c>
      <c r="AI431" s="141">
        <v>36.0</v>
      </c>
      <c r="AJ431" s="80">
        <f t="shared" si="3"/>
        <v>36</v>
      </c>
      <c r="AK431" s="140">
        <v>0.0</v>
      </c>
      <c r="AL431" s="109">
        <v>0.0</v>
      </c>
      <c r="AM431" s="141">
        <v>0.0</v>
      </c>
      <c r="AN431" s="80">
        <f t="shared" si="4"/>
        <v>0</v>
      </c>
      <c r="AO431" s="140">
        <v>0.0</v>
      </c>
      <c r="AP431" s="109">
        <v>0.0</v>
      </c>
      <c r="AQ431" s="109">
        <v>30.0</v>
      </c>
      <c r="AR431" s="80">
        <f t="shared" si="5"/>
        <v>30</v>
      </c>
      <c r="AS431" s="110">
        <v>0.0</v>
      </c>
      <c r="AT431" s="110">
        <v>0.0</v>
      </c>
      <c r="AU431" s="110">
        <v>0.0</v>
      </c>
      <c r="AV431" s="142">
        <v>57.0</v>
      </c>
      <c r="AW431" s="80">
        <f t="shared" si="6"/>
        <v>57</v>
      </c>
      <c r="AX431" s="113">
        <f t="shared" si="7"/>
        <v>123</v>
      </c>
      <c r="AY431" s="117">
        <f t="shared" si="8"/>
        <v>93</v>
      </c>
      <c r="AZ431" s="120">
        <f t="shared" si="9"/>
        <v>30</v>
      </c>
      <c r="BA431" s="115">
        <v>0.0</v>
      </c>
      <c r="BB431" s="89">
        <f t="shared" si="10"/>
        <v>123</v>
      </c>
      <c r="BC431" s="132" t="s">
        <v>178</v>
      </c>
      <c r="BD431" s="132" t="s">
        <v>178</v>
      </c>
      <c r="BE431" s="132" t="s">
        <v>178</v>
      </c>
      <c r="BF431" s="123"/>
      <c r="BG431" s="83">
        <v>1109229.0</v>
      </c>
      <c r="BH431" s="112"/>
      <c r="BI431" s="112">
        <v>6.0</v>
      </c>
      <c r="BJ431" s="98" t="s">
        <v>162</v>
      </c>
      <c r="BK431" s="99">
        <f t="shared" si="11"/>
        <v>93</v>
      </c>
      <c r="BL431" s="99">
        <f t="shared" si="12"/>
        <v>0</v>
      </c>
      <c r="BM431" s="99" t="str">
        <f>IFERROR(__xludf.DUMMYFUNCTION("IFERROR(VLOOKUP(BG431,IMPORTRANGE(""https://docs.google.com/spreadsheets/d/1juPI-Fb8LD0YtltB2mlGEnp_R3UVu1t3wSFPzgCyHXE/edit?gid=0#gid=0"",""GERAL!A2:C""),3,0),""-"")"),"-")</f>
        <v>-</v>
      </c>
    </row>
    <row r="432" ht="15.75" customHeight="1">
      <c r="A432" s="111" t="s">
        <v>540</v>
      </c>
      <c r="B432" s="83" t="s">
        <v>1758</v>
      </c>
      <c r="C432" s="83" t="s">
        <v>164</v>
      </c>
      <c r="D432" s="112">
        <v>1109229.0</v>
      </c>
      <c r="E432" s="83">
        <v>1179259.0</v>
      </c>
      <c r="F432" s="98">
        <v>2.9490901E7</v>
      </c>
      <c r="G432" s="114" t="s">
        <v>1763</v>
      </c>
      <c r="H432" s="91" t="s">
        <v>1764</v>
      </c>
      <c r="I432" s="83" t="s">
        <v>149</v>
      </c>
      <c r="J432" s="83" t="s">
        <v>1765</v>
      </c>
      <c r="K432" s="83" t="s">
        <v>168</v>
      </c>
      <c r="L432" s="83" t="s">
        <v>169</v>
      </c>
      <c r="M432" s="82" t="str">
        <f>IFERROR(__xludf.DUMMYFUNCTION("IFERROR(VLOOKUP(D432,
IMPORTRANGE(""https://docs.google.com/spreadsheets/d/1MjHtlUikwobi2MaWJgy7tfLeBmhj1u-dRFRs_8GwSoA/edit#gid=0"",""Gestores Escolares!D7:J""),3,0),""VERIFICAR CÓD SEC"")"),"JOSE CARLOS SILVA NEVES")</f>
        <v>JOSE CARLOS SILVA NEVES</v>
      </c>
      <c r="N432" s="82" t="str">
        <f>IFERROR(__xludf.DUMMYFUNCTION("IFERROR(VLOOKUP(D432,
IMPORTRANGE(""https://docs.google.com/spreadsheets/d/1MjHtlUikwobi2MaWJgy7tfLeBmhj1u-dRFRs_8GwSoA/edit#gid=0"",""Gestores Escolares!D7:J""),4,0),""VERIFICAR CÓD SEC"")"),"(75) 9 8833-2634")</f>
        <v>(75) 9 8833-2634</v>
      </c>
      <c r="O432" s="82" t="str">
        <f>IFERROR(__xludf.DUMMYFUNCTION("IFERROR(VLOOKUP(D432,
IMPORTRANGE(""https://docs.google.com/spreadsheets/d/1MjHtlUikwobi2MaWJgy7tfLeBmhj1u-dRFRs_8GwSoA/edit#gid=0"",""Gestores Escolares!D7:J""),6,0),""VERIFICAR CÓD SEC"")"),"MEIRE JANE CERQUEIRA SANTOS")</f>
        <v>MEIRE JANE CERQUEIRA SANTOS</v>
      </c>
      <c r="P432" s="82" t="str">
        <f>IFERROR(__xludf.DUMMYFUNCTION("IFERROR(VLOOKUP(D432,
IMPORTRANGE(""https://docs.google.com/spreadsheets/d/1MjHtlUikwobi2MaWJgy7tfLeBmhj1u-dRFRs_8GwSoA/edit#gid=0"",""Gestores Escolares!D7:J""),7,0),""VERIFICAR CÓD SEC"")"),"(75) 9 8338-9314/ 
(71) 9 8676-2711")</f>
        <v>(75) 9 8338-9314/ 
(71) 9 8676-2711</v>
      </c>
      <c r="Q432" s="82" t="str">
        <f>IFERROR(__xludf.DUMMYFUNCTION("IFERROR(VLOOKUP(D432,
IMPORTRANGE(""https://docs.google.com/spreadsheets/d/1MjHtlUikwobi2MaWJgy7tfLeBmhj1u-dRFRs_8GwSoA/edit#gid=0"",""Gestores Escolares!D7:m""),9,0),""VERIFICAR CÓD SEC"")"),"JOEDNA AGUIAR DOS SANTOS")</f>
        <v>JOEDNA AGUIAR DOS SANTOS</v>
      </c>
      <c r="R432" s="82" t="str">
        <f>IFERROR(__xludf.DUMMYFUNCTION("IFERROR(VLOOKUP(D432,
IMPORTRANGE(""https://docs.google.com/spreadsheets/d/1MjHtlUikwobi2MaWJgy7tfLeBmhj1u-dRFRs_8GwSoA/edit#gid=0"",""Gestores Escolares!D7:m""),10,0),""VERIFICAR CÓD SEC"")"),"(75) 9 9249-7930")</f>
        <v>(75) 9 9249-7930</v>
      </c>
      <c r="S432" s="82"/>
      <c r="T432" s="138">
        <v>6.0</v>
      </c>
      <c r="U432" s="139">
        <v>4.0</v>
      </c>
      <c r="V432" s="106">
        <v>0.0</v>
      </c>
      <c r="W432" s="107">
        <v>0.0</v>
      </c>
      <c r="X432" s="107">
        <v>0.0</v>
      </c>
      <c r="Y432" s="107">
        <v>0.0</v>
      </c>
      <c r="Z432" s="80">
        <f t="shared" si="1"/>
        <v>0</v>
      </c>
      <c r="AA432" s="106">
        <v>0.0</v>
      </c>
      <c r="AB432" s="107">
        <v>0.0</v>
      </c>
      <c r="AC432" s="107">
        <v>0.0</v>
      </c>
      <c r="AD432" s="107">
        <v>0.0</v>
      </c>
      <c r="AE432" s="80">
        <f t="shared" si="2"/>
        <v>0</v>
      </c>
      <c r="AF432" s="140">
        <v>0.0</v>
      </c>
      <c r="AG432" s="109">
        <v>202.0</v>
      </c>
      <c r="AH432" s="109">
        <v>0.0</v>
      </c>
      <c r="AI432" s="141">
        <v>0.0</v>
      </c>
      <c r="AJ432" s="80">
        <f t="shared" si="3"/>
        <v>202</v>
      </c>
      <c r="AK432" s="140">
        <v>0.0</v>
      </c>
      <c r="AL432" s="109">
        <v>0.0</v>
      </c>
      <c r="AM432" s="141">
        <v>0.0</v>
      </c>
      <c r="AN432" s="80">
        <f t="shared" si="4"/>
        <v>0</v>
      </c>
      <c r="AO432" s="140">
        <v>0.0</v>
      </c>
      <c r="AP432" s="109">
        <v>0.0</v>
      </c>
      <c r="AQ432" s="109">
        <v>75.0</v>
      </c>
      <c r="AR432" s="80">
        <f t="shared" si="5"/>
        <v>75</v>
      </c>
      <c r="AS432" s="110">
        <v>0.0</v>
      </c>
      <c r="AT432" s="110">
        <v>0.0</v>
      </c>
      <c r="AU432" s="110">
        <v>0.0</v>
      </c>
      <c r="AV432" s="142">
        <v>0.0</v>
      </c>
      <c r="AW432" s="80">
        <f t="shared" si="6"/>
        <v>0</v>
      </c>
      <c r="AX432" s="113">
        <f t="shared" si="7"/>
        <v>277</v>
      </c>
      <c r="AY432" s="117">
        <f t="shared" si="8"/>
        <v>202</v>
      </c>
      <c r="AZ432" s="120">
        <f t="shared" si="9"/>
        <v>75</v>
      </c>
      <c r="BA432" s="115">
        <v>0.0</v>
      </c>
      <c r="BB432" s="89">
        <f t="shared" si="10"/>
        <v>277</v>
      </c>
      <c r="BC432" s="132" t="s">
        <v>373</v>
      </c>
      <c r="BD432" s="132" t="s">
        <v>178</v>
      </c>
      <c r="BE432" s="132" t="s">
        <v>178</v>
      </c>
      <c r="BF432" s="156"/>
      <c r="BG432" s="83">
        <v>1179259.0</v>
      </c>
      <c r="BH432" s="112"/>
      <c r="BI432" s="112">
        <v>4.0</v>
      </c>
      <c r="BJ432" s="98" t="s">
        <v>155</v>
      </c>
      <c r="BK432" s="99">
        <f t="shared" si="11"/>
        <v>0</v>
      </c>
      <c r="BL432" s="99">
        <f t="shared" si="12"/>
        <v>202</v>
      </c>
      <c r="BM432" s="99" t="str">
        <f>IFERROR(__xludf.DUMMYFUNCTION("IFERROR(VLOOKUP(BG432,IMPORTRANGE(""https://docs.google.com/spreadsheets/d/1juPI-Fb8LD0YtltB2mlGEnp_R3UVu1t3wSFPzgCyHXE/edit?gid=0#gid=0"",""GERAL!A2:C""),3,0),""-"")"),"CAMPO")</f>
        <v>CAMPO</v>
      </c>
    </row>
    <row r="433" ht="15.75" customHeight="1">
      <c r="A433" s="111" t="s">
        <v>540</v>
      </c>
      <c r="B433" s="83" t="s">
        <v>1766</v>
      </c>
      <c r="C433" s="83" t="s">
        <v>68</v>
      </c>
      <c r="D433" s="112">
        <v>1110499.0</v>
      </c>
      <c r="E433" s="83"/>
      <c r="F433" s="83">
        <v>2.9288339E7</v>
      </c>
      <c r="G433" s="114" t="s">
        <v>1767</v>
      </c>
      <c r="H433" s="108" t="s">
        <v>6066</v>
      </c>
      <c r="I433" s="83" t="s">
        <v>149</v>
      </c>
      <c r="J433" s="83" t="s">
        <v>150</v>
      </c>
      <c r="K433" s="83" t="s">
        <v>1685</v>
      </c>
      <c r="L433" s="83" t="s">
        <v>152</v>
      </c>
      <c r="M433" s="82" t="str">
        <f>IFERROR(__xludf.DUMMYFUNCTION("IFERROR(VLOOKUP(D433,
IMPORTRANGE(""https://docs.google.com/spreadsheets/d/1MjHtlUikwobi2MaWJgy7tfLeBmhj1u-dRFRs_8GwSoA/edit#gid=0"",""Gestores Escolares!D7:J""),3,0),""VERIFICAR CÓD SEC"")"),"SONY MARIA LOPES DO ROSARIO")</f>
        <v>SONY MARIA LOPES DO ROSARIO</v>
      </c>
      <c r="N433" s="82" t="str">
        <f>IFERROR(__xludf.DUMMYFUNCTION("IFERROR(VLOOKUP(D433,
IMPORTRANGE(""https://docs.google.com/spreadsheets/d/1MjHtlUikwobi2MaWJgy7tfLeBmhj1u-dRFRs_8GwSoA/edit#gid=0"",""Gestores Escolares!D7:J""),4,0),""VERIFICAR CÓD SEC"")"),"(73) 9 8138-0633")</f>
        <v>(73) 9 8138-0633</v>
      </c>
      <c r="O433" s="82" t="str">
        <f>IFERROR(__xludf.DUMMYFUNCTION("IFERROR(VLOOKUP(D433,
IMPORTRANGE(""https://docs.google.com/spreadsheets/d/1MjHtlUikwobi2MaWJgy7tfLeBmhj1u-dRFRs_8GwSoA/edit#gid=0"",""Gestores Escolares!D7:J""),6,0),""VERIFICAR CÓD SEC"")"),"JOSE OURACI SOUZA ROXO")</f>
        <v>JOSE OURACI SOUZA ROXO</v>
      </c>
      <c r="P433" s="82" t="str">
        <f>IFERROR(__xludf.DUMMYFUNCTION("IFERROR(VLOOKUP(D433,
IMPORTRANGE(""https://docs.google.com/spreadsheets/d/1MjHtlUikwobi2MaWJgy7tfLeBmhj1u-dRFRs_8GwSoA/edit#gid=0"",""Gestores Escolares!D7:J""),7,0),""VERIFICAR CÓD SEC"")"),"(73 9 9984-2940")</f>
        <v>(73 9 9984-2940</v>
      </c>
      <c r="Q433" s="82" t="str">
        <f>IFERROR(__xludf.DUMMYFUNCTION("IFERROR(VLOOKUP(D433,
IMPORTRANGE(""https://docs.google.com/spreadsheets/d/1MjHtlUikwobi2MaWJgy7tfLeBmhj1u-dRFRs_8GwSoA/edit#gid=0"",""Gestores Escolares!D7:m""),9,0),""VERIFICAR CÓD SEC"")"),"LUCAS AFONSO LIMA PEREIRA")</f>
        <v>LUCAS AFONSO LIMA PEREIRA</v>
      </c>
      <c r="R433" s="82" t="str">
        <f>IFERROR(__xludf.DUMMYFUNCTION("IFERROR(VLOOKUP(D433,
IMPORTRANGE(""https://docs.google.com/spreadsheets/d/1MjHtlUikwobi2MaWJgy7tfLeBmhj1u-dRFRs_8GwSoA/edit#gid=0"",""Gestores Escolares!D7:m""),10,0),""VERIFICAR CÓD SEC"")"),"(73) 9 9955-5309")</f>
        <v>(73) 9 9955-5309</v>
      </c>
      <c r="S433" s="82"/>
      <c r="T433" s="138">
        <v>7.0</v>
      </c>
      <c r="U433" s="145">
        <v>6.0</v>
      </c>
      <c r="V433" s="106">
        <v>0.0</v>
      </c>
      <c r="W433" s="107">
        <v>0.0</v>
      </c>
      <c r="X433" s="107">
        <v>0.0</v>
      </c>
      <c r="Y433" s="107">
        <v>0.0</v>
      </c>
      <c r="Z433" s="80">
        <f t="shared" si="1"/>
        <v>0</v>
      </c>
      <c r="AA433" s="106">
        <v>0.0</v>
      </c>
      <c r="AB433" s="107">
        <v>0.0</v>
      </c>
      <c r="AC433" s="107">
        <v>0.0</v>
      </c>
      <c r="AD433" s="107">
        <v>0.0</v>
      </c>
      <c r="AE433" s="80">
        <f t="shared" si="2"/>
        <v>0</v>
      </c>
      <c r="AF433" s="140">
        <v>0.0</v>
      </c>
      <c r="AG433" s="109">
        <v>0.0</v>
      </c>
      <c r="AH433" s="109">
        <v>0.0</v>
      </c>
      <c r="AI433" s="141">
        <v>116.0</v>
      </c>
      <c r="AJ433" s="80">
        <f t="shared" si="3"/>
        <v>116</v>
      </c>
      <c r="AK433" s="140">
        <v>0.0</v>
      </c>
      <c r="AL433" s="109">
        <v>0.0</v>
      </c>
      <c r="AM433" s="141">
        <v>0.0</v>
      </c>
      <c r="AN433" s="80">
        <f t="shared" si="4"/>
        <v>0</v>
      </c>
      <c r="AO433" s="140">
        <v>0.0</v>
      </c>
      <c r="AP433" s="109">
        <v>0.0</v>
      </c>
      <c r="AQ433" s="109">
        <v>66.0</v>
      </c>
      <c r="AR433" s="80">
        <f t="shared" si="5"/>
        <v>66</v>
      </c>
      <c r="AS433" s="110">
        <v>0.0</v>
      </c>
      <c r="AT433" s="110">
        <v>0.0</v>
      </c>
      <c r="AU433" s="110">
        <v>0.0</v>
      </c>
      <c r="AV433" s="142">
        <v>86.0</v>
      </c>
      <c r="AW433" s="80">
        <f t="shared" si="6"/>
        <v>86</v>
      </c>
      <c r="AX433" s="113">
        <f t="shared" si="7"/>
        <v>268</v>
      </c>
      <c r="AY433" s="117">
        <f t="shared" si="8"/>
        <v>202</v>
      </c>
      <c r="AZ433" s="120">
        <f t="shared" si="9"/>
        <v>66</v>
      </c>
      <c r="BA433" s="115">
        <v>0.0</v>
      </c>
      <c r="BB433" s="89">
        <f t="shared" si="10"/>
        <v>268</v>
      </c>
      <c r="BC433" s="132" t="s">
        <v>178</v>
      </c>
      <c r="BD433" s="132" t="s">
        <v>178</v>
      </c>
      <c r="BE433" s="132" t="s">
        <v>178</v>
      </c>
      <c r="BF433" s="123"/>
      <c r="BG433" s="83">
        <v>1110499.0</v>
      </c>
      <c r="BH433" s="112"/>
      <c r="BI433" s="112">
        <v>7.0</v>
      </c>
      <c r="BJ433" s="98" t="s">
        <v>155</v>
      </c>
      <c r="BK433" s="99">
        <f t="shared" si="11"/>
        <v>202</v>
      </c>
      <c r="BL433" s="99">
        <f t="shared" si="12"/>
        <v>0</v>
      </c>
      <c r="BM433" s="99" t="str">
        <f>IFERROR(__xludf.DUMMYFUNCTION("IFERROR(VLOOKUP(BG433,IMPORTRANGE(""https://docs.google.com/spreadsheets/d/1juPI-Fb8LD0YtltB2mlGEnp_R3UVu1t3wSFPzgCyHXE/edit?gid=0#gid=0"",""GERAL!A2:C""),3,0),""-"")"),"-")</f>
        <v>-</v>
      </c>
    </row>
    <row r="434" ht="15.75" customHeight="1">
      <c r="A434" s="111" t="s">
        <v>540</v>
      </c>
      <c r="B434" s="83" t="s">
        <v>1766</v>
      </c>
      <c r="C434" s="83" t="s">
        <v>45</v>
      </c>
      <c r="D434" s="98">
        <v>1179760.0</v>
      </c>
      <c r="E434" s="83"/>
      <c r="F434" s="83">
        <v>2.939927E7</v>
      </c>
      <c r="G434" s="187" t="s">
        <v>1771</v>
      </c>
      <c r="H434" s="91" t="s">
        <v>1772</v>
      </c>
      <c r="I434" s="83" t="s">
        <v>149</v>
      </c>
      <c r="J434" s="83" t="s">
        <v>1773</v>
      </c>
      <c r="K434" s="83" t="s">
        <v>168</v>
      </c>
      <c r="L434" s="83" t="s">
        <v>512</v>
      </c>
      <c r="M434" s="82" t="str">
        <f>IFERROR(__xludf.DUMMYFUNCTION("IFERROR(VLOOKUP(D434,
IMPORTRANGE(""https://docs.google.com/spreadsheets/d/1MjHtlUikwobi2MaWJgy7tfLeBmhj1u-dRFRs_8GwSoA/edit#gid=0"",""Gestores Escolares!D7:J""),3,0),""VERIFICAR CÓD SEC"")"),"VERIFICAR CÓD SEC")</f>
        <v>VERIFICAR CÓD SEC</v>
      </c>
      <c r="N434" s="82" t="str">
        <f>IFERROR(__xludf.DUMMYFUNCTION("IFERROR(VLOOKUP(D434,
IMPORTRANGE(""https://docs.google.com/spreadsheets/d/1MjHtlUikwobi2MaWJgy7tfLeBmhj1u-dRFRs_8GwSoA/edit#gid=0"",""Gestores Escolares!D7:J""),4,0),""VERIFICAR CÓD SEC"")"),"VERIFICAR CÓD SEC")</f>
        <v>VERIFICAR CÓD SEC</v>
      </c>
      <c r="O434" s="82" t="str">
        <f>IFERROR(__xludf.DUMMYFUNCTION("IFERROR(VLOOKUP(D434,
IMPORTRANGE(""https://docs.google.com/spreadsheets/d/1MjHtlUikwobi2MaWJgy7tfLeBmhj1u-dRFRs_8GwSoA/edit#gid=0"",""Gestores Escolares!D7:J""),6,0),""VERIFICAR CÓD SEC"")"),"VERIFICAR CÓD SEC")</f>
        <v>VERIFICAR CÓD SEC</v>
      </c>
      <c r="P434" s="82" t="str">
        <f>IFERROR(__xludf.DUMMYFUNCTION("IFERROR(VLOOKUP(D434,
IMPORTRANGE(""https://docs.google.com/spreadsheets/d/1MjHtlUikwobi2MaWJgy7tfLeBmhj1u-dRFRs_8GwSoA/edit#gid=0"",""Gestores Escolares!D7:J""),7,0),""VERIFICAR CÓD SEC"")"),"VERIFICAR CÓD SEC")</f>
        <v>VERIFICAR CÓD SEC</v>
      </c>
      <c r="Q434" s="82" t="str">
        <f>IFERROR(__xludf.DUMMYFUNCTION("IFERROR(VLOOKUP(D434,
IMPORTRANGE(""https://docs.google.com/spreadsheets/d/1MjHtlUikwobi2MaWJgy7tfLeBmhj1u-dRFRs_8GwSoA/edit#gid=0"",""Gestores Escolares!D7:m""),9,0),""VERIFICAR CÓD SEC"")"),"VERIFICAR CÓD SEC")</f>
        <v>VERIFICAR CÓD SEC</v>
      </c>
      <c r="R434" s="82" t="str">
        <f>IFERROR(__xludf.DUMMYFUNCTION("IFERROR(VLOOKUP(D434,
IMPORTRANGE(""https://docs.google.com/spreadsheets/d/1MjHtlUikwobi2MaWJgy7tfLeBmhj1u-dRFRs_8GwSoA/edit#gid=0"",""Gestores Escolares!D7:m""),10,0),""VERIFICAR CÓD SEC"")"),"VERIFICAR CÓD SEC")</f>
        <v>VERIFICAR CÓD SEC</v>
      </c>
      <c r="S434" s="82"/>
      <c r="T434" s="138">
        <v>3.0</v>
      </c>
      <c r="U434" s="139" t="s">
        <v>171</v>
      </c>
      <c r="V434" s="106">
        <v>0.0</v>
      </c>
      <c r="W434" s="107">
        <v>0.0</v>
      </c>
      <c r="X434" s="107">
        <v>0.0</v>
      </c>
      <c r="Y434" s="107">
        <v>0.0</v>
      </c>
      <c r="Z434" s="80">
        <f t="shared" si="1"/>
        <v>0</v>
      </c>
      <c r="AA434" s="106">
        <v>0.0</v>
      </c>
      <c r="AB434" s="107">
        <v>0.0</v>
      </c>
      <c r="AC434" s="107">
        <v>0.0</v>
      </c>
      <c r="AD434" s="107">
        <v>0.0</v>
      </c>
      <c r="AE434" s="80">
        <f t="shared" si="2"/>
        <v>0</v>
      </c>
      <c r="AF434" s="225">
        <v>0.0</v>
      </c>
      <c r="AG434" s="226">
        <v>0.0</v>
      </c>
      <c r="AH434" s="226">
        <v>0.0</v>
      </c>
      <c r="AI434" s="227">
        <v>121.0</v>
      </c>
      <c r="AJ434" s="80">
        <f t="shared" si="3"/>
        <v>121</v>
      </c>
      <c r="AK434" s="140">
        <v>0.0</v>
      </c>
      <c r="AL434" s="109">
        <v>0.0</v>
      </c>
      <c r="AM434" s="141">
        <v>0.0</v>
      </c>
      <c r="AN434" s="80">
        <f t="shared" si="4"/>
        <v>0</v>
      </c>
      <c r="AO434" s="225">
        <v>0.0</v>
      </c>
      <c r="AP434" s="226">
        <v>0.0</v>
      </c>
      <c r="AQ434" s="226">
        <v>0.0</v>
      </c>
      <c r="AR434" s="80">
        <f t="shared" si="5"/>
        <v>0</v>
      </c>
      <c r="AS434" s="110">
        <v>0.0</v>
      </c>
      <c r="AT434" s="110">
        <v>0.0</v>
      </c>
      <c r="AU434" s="110">
        <v>0.0</v>
      </c>
      <c r="AV434" s="142">
        <v>0.0</v>
      </c>
      <c r="AW434" s="80">
        <f t="shared" si="6"/>
        <v>0</v>
      </c>
      <c r="AX434" s="113">
        <f t="shared" si="7"/>
        <v>121</v>
      </c>
      <c r="AY434" s="117">
        <f t="shared" si="8"/>
        <v>121</v>
      </c>
      <c r="AZ434" s="120">
        <f t="shared" si="9"/>
        <v>0</v>
      </c>
      <c r="BA434" s="115">
        <v>0.0</v>
      </c>
      <c r="BB434" s="89">
        <f t="shared" si="10"/>
        <v>121</v>
      </c>
      <c r="BC434" s="132" t="s">
        <v>178</v>
      </c>
      <c r="BD434" s="132" t="s">
        <v>178</v>
      </c>
      <c r="BE434" s="132" t="s">
        <v>178</v>
      </c>
      <c r="BF434" s="156"/>
      <c r="BG434" s="98">
        <v>1179760.0</v>
      </c>
      <c r="BH434" s="112"/>
      <c r="BI434" s="112">
        <v>3.0</v>
      </c>
      <c r="BJ434" s="98" t="s">
        <v>155</v>
      </c>
      <c r="BK434" s="99">
        <f t="shared" si="11"/>
        <v>121</v>
      </c>
      <c r="BL434" s="99">
        <f t="shared" si="12"/>
        <v>0</v>
      </c>
      <c r="BM434" s="99" t="str">
        <f>IFERROR(__xludf.DUMMYFUNCTION("IFERROR(VLOOKUP(BG434,IMPORTRANGE(""https://docs.google.com/spreadsheets/d/1juPI-Fb8LD0YtltB2mlGEnp_R3UVu1t3wSFPzgCyHXE/edit?gid=0#gid=0"",""GERAL!A2:C""),3,0),""-"")"),"EFA")</f>
        <v>EFA</v>
      </c>
    </row>
    <row r="435" ht="15.75" customHeight="1">
      <c r="A435" s="111" t="s">
        <v>540</v>
      </c>
      <c r="B435" s="83" t="s">
        <v>1766</v>
      </c>
      <c r="C435" s="83" t="s">
        <v>164</v>
      </c>
      <c r="D435" s="112">
        <v>1110499.0</v>
      </c>
      <c r="E435" s="83">
        <v>1178414.0</v>
      </c>
      <c r="F435" s="98">
        <v>2.9490049E7</v>
      </c>
      <c r="G435" s="147" t="s">
        <v>1775</v>
      </c>
      <c r="H435" s="91" t="s">
        <v>1776</v>
      </c>
      <c r="I435" s="83" t="s">
        <v>149</v>
      </c>
      <c r="J435" s="83" t="s">
        <v>244</v>
      </c>
      <c r="K435" s="83" t="s">
        <v>168</v>
      </c>
      <c r="L435" s="83" t="s">
        <v>169</v>
      </c>
      <c r="M435" s="82" t="str">
        <f>IFERROR(__xludf.DUMMYFUNCTION("IFERROR(VLOOKUP(D435,
IMPORTRANGE(""https://docs.google.com/spreadsheets/d/1MjHtlUikwobi2MaWJgy7tfLeBmhj1u-dRFRs_8GwSoA/edit#gid=0"",""Gestores Escolares!D7:J""),3,0),""VERIFICAR CÓD SEC"")"),"SONY MARIA LOPES DO ROSARIO")</f>
        <v>SONY MARIA LOPES DO ROSARIO</v>
      </c>
      <c r="N435" s="82" t="str">
        <f>IFERROR(__xludf.DUMMYFUNCTION("IFERROR(VLOOKUP(D435,
IMPORTRANGE(""https://docs.google.com/spreadsheets/d/1MjHtlUikwobi2MaWJgy7tfLeBmhj1u-dRFRs_8GwSoA/edit#gid=0"",""Gestores Escolares!D7:J""),4,0),""VERIFICAR CÓD SEC"")"),"(73) 9 8138-0633")</f>
        <v>(73) 9 8138-0633</v>
      </c>
      <c r="O435" s="82" t="str">
        <f>IFERROR(__xludf.DUMMYFUNCTION("IFERROR(VLOOKUP(D435,
IMPORTRANGE(""https://docs.google.com/spreadsheets/d/1MjHtlUikwobi2MaWJgy7tfLeBmhj1u-dRFRs_8GwSoA/edit#gid=0"",""Gestores Escolares!D7:J""),6,0),""VERIFICAR CÓD SEC"")"),"JOSE OURACI SOUZA ROXO")</f>
        <v>JOSE OURACI SOUZA ROXO</v>
      </c>
      <c r="P435" s="82" t="str">
        <f>IFERROR(__xludf.DUMMYFUNCTION("IFERROR(VLOOKUP(D435,
IMPORTRANGE(""https://docs.google.com/spreadsheets/d/1MjHtlUikwobi2MaWJgy7tfLeBmhj1u-dRFRs_8GwSoA/edit#gid=0"",""Gestores Escolares!D7:J""),7,0),""VERIFICAR CÓD SEC"")"),"(73 9 9984-2940")</f>
        <v>(73 9 9984-2940</v>
      </c>
      <c r="Q435" s="82" t="str">
        <f>IFERROR(__xludf.DUMMYFUNCTION("IFERROR(VLOOKUP(D435,
IMPORTRANGE(""https://docs.google.com/spreadsheets/d/1MjHtlUikwobi2MaWJgy7tfLeBmhj1u-dRFRs_8GwSoA/edit#gid=0"",""Gestores Escolares!D7:m""),9,0),""VERIFICAR CÓD SEC"")"),"LUCAS AFONSO LIMA PEREIRA")</f>
        <v>LUCAS AFONSO LIMA PEREIRA</v>
      </c>
      <c r="R435" s="82" t="str">
        <f>IFERROR(__xludf.DUMMYFUNCTION("IFERROR(VLOOKUP(D435,
IMPORTRANGE(""https://docs.google.com/spreadsheets/d/1MjHtlUikwobi2MaWJgy7tfLeBmhj1u-dRFRs_8GwSoA/edit#gid=0"",""Gestores Escolares!D7:m""),10,0),""VERIFICAR CÓD SEC"")"),"(73) 9 9955-5309")</f>
        <v>(73) 9 9955-5309</v>
      </c>
      <c r="S435" s="82"/>
      <c r="T435" s="138">
        <v>4.0</v>
      </c>
      <c r="U435" s="139">
        <v>2.0</v>
      </c>
      <c r="V435" s="106">
        <v>0.0</v>
      </c>
      <c r="W435" s="107">
        <v>0.0</v>
      </c>
      <c r="X435" s="107">
        <v>0.0</v>
      </c>
      <c r="Y435" s="107">
        <v>0.0</v>
      </c>
      <c r="Z435" s="80">
        <f t="shared" si="1"/>
        <v>0</v>
      </c>
      <c r="AA435" s="106">
        <v>0.0</v>
      </c>
      <c r="AB435" s="107">
        <v>0.0</v>
      </c>
      <c r="AC435" s="107">
        <v>0.0</v>
      </c>
      <c r="AD435" s="107">
        <v>0.0</v>
      </c>
      <c r="AE435" s="80">
        <f t="shared" si="2"/>
        <v>0</v>
      </c>
      <c r="AF435" s="140">
        <v>72.0</v>
      </c>
      <c r="AG435" s="109">
        <v>30.0</v>
      </c>
      <c r="AH435" s="109">
        <v>0.0</v>
      </c>
      <c r="AI435" s="141">
        <v>0.0</v>
      </c>
      <c r="AJ435" s="80">
        <f t="shared" si="3"/>
        <v>102</v>
      </c>
      <c r="AK435" s="140">
        <v>0.0</v>
      </c>
      <c r="AL435" s="109">
        <v>0.0</v>
      </c>
      <c r="AM435" s="141">
        <v>0.0</v>
      </c>
      <c r="AN435" s="80">
        <f t="shared" si="4"/>
        <v>0</v>
      </c>
      <c r="AO435" s="140">
        <v>0.0</v>
      </c>
      <c r="AP435" s="109">
        <v>0.0</v>
      </c>
      <c r="AQ435" s="109">
        <v>72.0</v>
      </c>
      <c r="AR435" s="80">
        <f t="shared" si="5"/>
        <v>72</v>
      </c>
      <c r="AS435" s="110">
        <v>0.0</v>
      </c>
      <c r="AT435" s="110">
        <v>0.0</v>
      </c>
      <c r="AU435" s="110">
        <v>0.0</v>
      </c>
      <c r="AV435" s="142">
        <v>0.0</v>
      </c>
      <c r="AW435" s="80">
        <f t="shared" si="6"/>
        <v>0</v>
      </c>
      <c r="AX435" s="113">
        <f t="shared" si="7"/>
        <v>174</v>
      </c>
      <c r="AY435" s="117">
        <f t="shared" si="8"/>
        <v>102</v>
      </c>
      <c r="AZ435" s="120">
        <f t="shared" si="9"/>
        <v>72</v>
      </c>
      <c r="BA435" s="115">
        <v>0.0</v>
      </c>
      <c r="BB435" s="89">
        <f t="shared" si="10"/>
        <v>174</v>
      </c>
      <c r="BC435" s="132" t="s">
        <v>373</v>
      </c>
      <c r="BD435" s="132" t="s">
        <v>178</v>
      </c>
      <c r="BE435" s="132" t="s">
        <v>178</v>
      </c>
      <c r="BF435" s="123"/>
      <c r="BG435" s="83">
        <v>1178414.0</v>
      </c>
      <c r="BH435" s="112"/>
      <c r="BI435" s="112">
        <v>2.0</v>
      </c>
      <c r="BJ435" s="98" t="s">
        <v>155</v>
      </c>
      <c r="BK435" s="99">
        <f t="shared" si="11"/>
        <v>0</v>
      </c>
      <c r="BL435" s="99">
        <f t="shared" si="12"/>
        <v>102</v>
      </c>
      <c r="BM435" s="99" t="str">
        <f>IFERROR(__xludf.DUMMYFUNCTION("IFERROR(VLOOKUP(BG435,IMPORTRANGE(""https://docs.google.com/spreadsheets/d/1juPI-Fb8LD0YtltB2mlGEnp_R3UVu1t3wSFPzgCyHXE/edit?gid=0#gid=0"",""GERAL!A2:C""),3,0),""-"")"),"CAMPO")</f>
        <v>CAMPO</v>
      </c>
    </row>
    <row r="436" ht="15.75" customHeight="1">
      <c r="A436" s="111" t="s">
        <v>540</v>
      </c>
      <c r="B436" s="83" t="s">
        <v>1766</v>
      </c>
      <c r="C436" s="83" t="s">
        <v>164</v>
      </c>
      <c r="D436" s="112">
        <v>1179284.0</v>
      </c>
      <c r="E436" s="83">
        <v>1178486.0</v>
      </c>
      <c r="F436" s="98">
        <v>2.946093E7</v>
      </c>
      <c r="G436" s="114" t="s">
        <v>1777</v>
      </c>
      <c r="H436" s="91" t="s">
        <v>1778</v>
      </c>
      <c r="I436" s="83" t="s">
        <v>149</v>
      </c>
      <c r="J436" s="83" t="s">
        <v>310</v>
      </c>
      <c r="K436" s="83" t="s">
        <v>168</v>
      </c>
      <c r="L436" s="83" t="s">
        <v>169</v>
      </c>
      <c r="M436" s="82" t="str">
        <f>IFERROR(__xludf.DUMMYFUNCTION("IFERROR(VLOOKUP(D436,
IMPORTRANGE(""https://docs.google.com/spreadsheets/d/1MjHtlUikwobi2MaWJgy7tfLeBmhj1u-dRFRs_8GwSoA/edit#gid=0"",""Gestores Escolares!D7:J""),3,0),""VERIFICAR CÓD SEC"")")," NILCEANNE NOGUEIRA LIMA")</f>
        <v> NILCEANNE NOGUEIRA LIMA</v>
      </c>
      <c r="N436" s="82" t="str">
        <f>IFERROR(__xludf.DUMMYFUNCTION("IFERROR(VLOOKUP(D436,
IMPORTRANGE(""https://docs.google.com/spreadsheets/d/1MjHtlUikwobi2MaWJgy7tfLeBmhj1u-dRFRs_8GwSoA/edit#gid=0"",""Gestores Escolares!D7:J""),4,0),""VERIFICAR CÓD SEC"")"),"(73) 9 9123-7129")</f>
        <v>(73) 9 9123-7129</v>
      </c>
      <c r="O436" s="82" t="str">
        <f>IFERROR(__xludf.DUMMYFUNCTION("IFERROR(VLOOKUP(D436,
IMPORTRANGE(""https://docs.google.com/spreadsheets/d/1MjHtlUikwobi2MaWJgy7tfLeBmhj1u-dRFRs_8GwSoA/edit#gid=0"",""Gestores Escolares!D7:J""),6,0),""VERIFICAR CÓD SEC"")"),"FRANCISCO CRUZ DO NASCIMENTO")</f>
        <v>FRANCISCO CRUZ DO NASCIMENTO</v>
      </c>
      <c r="P436" s="82" t="str">
        <f>IFERROR(__xludf.DUMMYFUNCTION("IFERROR(VLOOKUP(D436,
IMPORTRANGE(""https://docs.google.com/spreadsheets/d/1MjHtlUikwobi2MaWJgy7tfLeBmhj1u-dRFRs_8GwSoA/edit#gid=0"",""Gestores Escolares!D7:J""),7,0),""VERIFICAR CÓD SEC"")"),"(73) 9 8123-9143")</f>
        <v>(73) 9 8123-9143</v>
      </c>
      <c r="Q436" s="82" t="str">
        <f>IFERROR(__xludf.DUMMYFUNCTION("IFERROR(VLOOKUP(D436,
IMPORTRANGE(""https://docs.google.com/spreadsheets/d/1MjHtlUikwobi2MaWJgy7tfLeBmhj1u-dRFRs_8GwSoA/edit#gid=0"",""Gestores Escolares!D7:m""),9,0),""VERIFICAR CÓD SEC"")"),"")</f>
        <v/>
      </c>
      <c r="R436" s="82" t="str">
        <f>IFERROR(__xludf.DUMMYFUNCTION("IFERROR(VLOOKUP(D436,
IMPORTRANGE(""https://docs.google.com/spreadsheets/d/1MjHtlUikwobi2MaWJgy7tfLeBmhj1u-dRFRs_8GwSoA/edit#gid=0"",""Gestores Escolares!D7:m""),10,0),""VERIFICAR CÓD SEC"")"),"")</f>
        <v/>
      </c>
      <c r="S436" s="82"/>
      <c r="T436" s="138">
        <v>3.0</v>
      </c>
      <c r="U436" s="139">
        <v>3.0</v>
      </c>
      <c r="V436" s="106">
        <v>0.0</v>
      </c>
      <c r="W436" s="107">
        <v>0.0</v>
      </c>
      <c r="X436" s="107">
        <v>0.0</v>
      </c>
      <c r="Y436" s="107">
        <v>0.0</v>
      </c>
      <c r="Z436" s="80">
        <f t="shared" si="1"/>
        <v>0</v>
      </c>
      <c r="AA436" s="106">
        <v>0.0</v>
      </c>
      <c r="AB436" s="107">
        <v>0.0</v>
      </c>
      <c r="AC436" s="107">
        <v>0.0</v>
      </c>
      <c r="AD436" s="107">
        <v>0.0</v>
      </c>
      <c r="AE436" s="80">
        <f t="shared" si="2"/>
        <v>0</v>
      </c>
      <c r="AF436" s="140">
        <v>0.0</v>
      </c>
      <c r="AG436" s="109">
        <v>0.0</v>
      </c>
      <c r="AH436" s="109">
        <v>29.0</v>
      </c>
      <c r="AI436" s="141">
        <v>0.0</v>
      </c>
      <c r="AJ436" s="80">
        <f t="shared" si="3"/>
        <v>29</v>
      </c>
      <c r="AK436" s="140">
        <v>0.0</v>
      </c>
      <c r="AL436" s="109">
        <v>0.0</v>
      </c>
      <c r="AM436" s="141">
        <v>0.0</v>
      </c>
      <c r="AN436" s="80">
        <f t="shared" si="4"/>
        <v>0</v>
      </c>
      <c r="AO436" s="140">
        <v>0.0</v>
      </c>
      <c r="AP436" s="109">
        <v>0.0</v>
      </c>
      <c r="AQ436" s="109">
        <v>0.0</v>
      </c>
      <c r="AR436" s="80">
        <f t="shared" si="5"/>
        <v>0</v>
      </c>
      <c r="AS436" s="110">
        <v>0.0</v>
      </c>
      <c r="AT436" s="110">
        <v>0.0</v>
      </c>
      <c r="AU436" s="110">
        <v>0.0</v>
      </c>
      <c r="AV436" s="142">
        <v>0.0</v>
      </c>
      <c r="AW436" s="80">
        <f t="shared" si="6"/>
        <v>0</v>
      </c>
      <c r="AX436" s="113">
        <f t="shared" si="7"/>
        <v>29</v>
      </c>
      <c r="AY436" s="117">
        <f t="shared" si="8"/>
        <v>0</v>
      </c>
      <c r="AZ436" s="120">
        <f t="shared" si="9"/>
        <v>29</v>
      </c>
      <c r="BA436" s="115">
        <v>0.0</v>
      </c>
      <c r="BB436" s="89">
        <f t="shared" si="10"/>
        <v>29</v>
      </c>
      <c r="BC436" s="132" t="s">
        <v>178</v>
      </c>
      <c r="BD436" s="143" t="s">
        <v>227</v>
      </c>
      <c r="BE436" s="132" t="s">
        <v>178</v>
      </c>
      <c r="BF436" s="123"/>
      <c r="BG436" s="83">
        <v>1178486.0</v>
      </c>
      <c r="BH436" s="112"/>
      <c r="BI436" s="112">
        <v>3.0</v>
      </c>
      <c r="BJ436" s="98" t="s">
        <v>155</v>
      </c>
      <c r="BK436" s="99">
        <f t="shared" si="11"/>
        <v>0</v>
      </c>
      <c r="BL436" s="99">
        <f t="shared" si="12"/>
        <v>0</v>
      </c>
      <c r="BM436" s="99" t="str">
        <f>IFERROR(__xludf.DUMMYFUNCTION("IFERROR(VLOOKUP(BG436,IMPORTRANGE(""https://docs.google.com/spreadsheets/d/1juPI-Fb8LD0YtltB2mlGEnp_R3UVu1t3wSFPzgCyHXE/edit?gid=0#gid=0"",""GERAL!A2:C""),3,0),""-"")"),"-")</f>
        <v>-</v>
      </c>
    </row>
    <row r="437" ht="15.75" customHeight="1">
      <c r="A437" s="111" t="s">
        <v>540</v>
      </c>
      <c r="B437" s="83" t="s">
        <v>1766</v>
      </c>
      <c r="C437" s="83" t="s">
        <v>164</v>
      </c>
      <c r="D437" s="112">
        <v>1179284.0</v>
      </c>
      <c r="E437" s="83">
        <v>1178549.0</v>
      </c>
      <c r="F437" s="98">
        <v>2.946093E7</v>
      </c>
      <c r="G437" s="114" t="s">
        <v>1779</v>
      </c>
      <c r="H437" s="91" t="s">
        <v>1780</v>
      </c>
      <c r="I437" s="83" t="s">
        <v>149</v>
      </c>
      <c r="J437" s="83" t="s">
        <v>923</v>
      </c>
      <c r="K437" s="83" t="s">
        <v>168</v>
      </c>
      <c r="L437" s="83" t="s">
        <v>169</v>
      </c>
      <c r="M437" s="82" t="str">
        <f>IFERROR(__xludf.DUMMYFUNCTION("IFERROR(VLOOKUP(D437,
IMPORTRANGE(""https://docs.google.com/spreadsheets/d/1MjHtlUikwobi2MaWJgy7tfLeBmhj1u-dRFRs_8GwSoA/edit#gid=0"",""Gestores Escolares!D7:J""),3,0),""VERIFICAR CÓD SEC"")")," NILCEANNE NOGUEIRA LIMA")</f>
        <v> NILCEANNE NOGUEIRA LIMA</v>
      </c>
      <c r="N437" s="82" t="str">
        <f>IFERROR(__xludf.DUMMYFUNCTION("IFERROR(VLOOKUP(D437,
IMPORTRANGE(""https://docs.google.com/spreadsheets/d/1MjHtlUikwobi2MaWJgy7tfLeBmhj1u-dRFRs_8GwSoA/edit#gid=0"",""Gestores Escolares!D7:J""),4,0),""VERIFICAR CÓD SEC"")"),"(73) 9 9123-7129")</f>
        <v>(73) 9 9123-7129</v>
      </c>
      <c r="O437" s="82" t="str">
        <f>IFERROR(__xludf.DUMMYFUNCTION("IFERROR(VLOOKUP(D437,
IMPORTRANGE(""https://docs.google.com/spreadsheets/d/1MjHtlUikwobi2MaWJgy7tfLeBmhj1u-dRFRs_8GwSoA/edit#gid=0"",""Gestores Escolares!D7:J""),6,0),""VERIFICAR CÓD SEC"")"),"FRANCISCO CRUZ DO NASCIMENTO")</f>
        <v>FRANCISCO CRUZ DO NASCIMENTO</v>
      </c>
      <c r="P437" s="82" t="str">
        <f>IFERROR(__xludf.DUMMYFUNCTION("IFERROR(VLOOKUP(D437,
IMPORTRANGE(""https://docs.google.com/spreadsheets/d/1MjHtlUikwobi2MaWJgy7tfLeBmhj1u-dRFRs_8GwSoA/edit#gid=0"",""Gestores Escolares!D7:J""),7,0),""VERIFICAR CÓD SEC"")"),"(73) 9 8123-9143")</f>
        <v>(73) 9 8123-9143</v>
      </c>
      <c r="Q437" s="82" t="str">
        <f>IFERROR(__xludf.DUMMYFUNCTION("IFERROR(VLOOKUP(D437,
IMPORTRANGE(""https://docs.google.com/spreadsheets/d/1MjHtlUikwobi2MaWJgy7tfLeBmhj1u-dRFRs_8GwSoA/edit#gid=0"",""Gestores Escolares!D7:m""),9,0),""VERIFICAR CÓD SEC"")"),"")</f>
        <v/>
      </c>
      <c r="R437" s="82" t="str">
        <f>IFERROR(__xludf.DUMMYFUNCTION("IFERROR(VLOOKUP(D437,
IMPORTRANGE(""https://docs.google.com/spreadsheets/d/1MjHtlUikwobi2MaWJgy7tfLeBmhj1u-dRFRs_8GwSoA/edit#gid=0"",""Gestores Escolares!D7:m""),10,0),""VERIFICAR CÓD SEC"")"),"")</f>
        <v/>
      </c>
      <c r="S437" s="82"/>
      <c r="T437" s="138">
        <v>6.0</v>
      </c>
      <c r="U437" s="139">
        <v>6.0</v>
      </c>
      <c r="V437" s="106">
        <v>0.0</v>
      </c>
      <c r="W437" s="107">
        <v>0.0</v>
      </c>
      <c r="X437" s="107">
        <v>0.0</v>
      </c>
      <c r="Y437" s="107">
        <v>0.0</v>
      </c>
      <c r="Z437" s="80">
        <f t="shared" si="1"/>
        <v>0</v>
      </c>
      <c r="AA437" s="106">
        <v>0.0</v>
      </c>
      <c r="AB437" s="107">
        <v>0.0</v>
      </c>
      <c r="AC437" s="107">
        <v>0.0</v>
      </c>
      <c r="AD437" s="107">
        <v>0.0</v>
      </c>
      <c r="AE437" s="80">
        <f t="shared" si="2"/>
        <v>0</v>
      </c>
      <c r="AF437" s="140">
        <v>0.0</v>
      </c>
      <c r="AG437" s="109">
        <v>0.0</v>
      </c>
      <c r="AH437" s="109">
        <v>7.0</v>
      </c>
      <c r="AI437" s="141">
        <v>0.0</v>
      </c>
      <c r="AJ437" s="80">
        <f t="shared" si="3"/>
        <v>7</v>
      </c>
      <c r="AK437" s="140">
        <v>0.0</v>
      </c>
      <c r="AL437" s="109">
        <v>0.0</v>
      </c>
      <c r="AM437" s="141">
        <v>0.0</v>
      </c>
      <c r="AN437" s="80">
        <f t="shared" si="4"/>
        <v>0</v>
      </c>
      <c r="AO437" s="140">
        <v>0.0</v>
      </c>
      <c r="AP437" s="109">
        <v>0.0</v>
      </c>
      <c r="AQ437" s="109">
        <v>0.0</v>
      </c>
      <c r="AR437" s="80">
        <f t="shared" si="5"/>
        <v>0</v>
      </c>
      <c r="AS437" s="110">
        <v>0.0</v>
      </c>
      <c r="AT437" s="110">
        <v>0.0</v>
      </c>
      <c r="AU437" s="110">
        <v>0.0</v>
      </c>
      <c r="AV437" s="142">
        <v>0.0</v>
      </c>
      <c r="AW437" s="80">
        <f t="shared" si="6"/>
        <v>0</v>
      </c>
      <c r="AX437" s="113">
        <f t="shared" si="7"/>
        <v>7</v>
      </c>
      <c r="AY437" s="117">
        <f t="shared" si="8"/>
        <v>0</v>
      </c>
      <c r="AZ437" s="120">
        <f t="shared" si="9"/>
        <v>7</v>
      </c>
      <c r="BA437" s="115">
        <v>0.0</v>
      </c>
      <c r="BB437" s="89">
        <f t="shared" si="10"/>
        <v>7</v>
      </c>
      <c r="BC437" s="132" t="s">
        <v>178</v>
      </c>
      <c r="BD437" s="143" t="s">
        <v>227</v>
      </c>
      <c r="BE437" s="132" t="s">
        <v>178</v>
      </c>
      <c r="BF437" s="123"/>
      <c r="BG437" s="83">
        <v>1178549.0</v>
      </c>
      <c r="BH437" s="112"/>
      <c r="BI437" s="112">
        <v>6.0</v>
      </c>
      <c r="BJ437" s="98" t="s">
        <v>155</v>
      </c>
      <c r="BK437" s="99">
        <f t="shared" si="11"/>
        <v>0</v>
      </c>
      <c r="BL437" s="99">
        <f t="shared" si="12"/>
        <v>0</v>
      </c>
      <c r="BM437" s="99" t="str">
        <f>IFERROR(__xludf.DUMMYFUNCTION("IFERROR(VLOOKUP(BG437,IMPORTRANGE(""https://docs.google.com/spreadsheets/d/1juPI-Fb8LD0YtltB2mlGEnp_R3UVu1t3wSFPzgCyHXE/edit?gid=0#gid=0"",""GERAL!A2:C""),3,0),""-"")"),"-")</f>
        <v>-</v>
      </c>
    </row>
    <row r="438" ht="15.75" customHeight="1">
      <c r="A438" s="111" t="s">
        <v>540</v>
      </c>
      <c r="B438" s="83" t="s">
        <v>1781</v>
      </c>
      <c r="C438" s="83" t="s">
        <v>68</v>
      </c>
      <c r="D438" s="112">
        <v>1158270.0</v>
      </c>
      <c r="E438" s="83"/>
      <c r="F438" s="83">
        <v>2.928927E7</v>
      </c>
      <c r="G438" s="119" t="s">
        <v>1782</v>
      </c>
      <c r="H438" s="91" t="s">
        <v>1783</v>
      </c>
      <c r="I438" s="83" t="s">
        <v>149</v>
      </c>
      <c r="J438" s="83" t="s">
        <v>150</v>
      </c>
      <c r="K438" s="83" t="s">
        <v>1685</v>
      </c>
      <c r="L438" s="83" t="s">
        <v>152</v>
      </c>
      <c r="M438" s="82" t="str">
        <f>IFERROR(__xludf.DUMMYFUNCTION("IFERROR(VLOOKUP(D438,
IMPORTRANGE(""https://docs.google.com/spreadsheets/d/1MjHtlUikwobi2MaWJgy7tfLeBmhj1u-dRFRs_8GwSoA/edit#gid=0"",""Gestores Escolares!D7:J""),3,0),""VERIFICAR CÓD SEC"")"),"FABIANA SANTOS DE CARVALHO")</f>
        <v>FABIANA SANTOS DE CARVALHO</v>
      </c>
      <c r="N438" s="82" t="str">
        <f>IFERROR(__xludf.DUMMYFUNCTION("IFERROR(VLOOKUP(D438,
IMPORTRANGE(""https://docs.google.com/spreadsheets/d/1MjHtlUikwobi2MaWJgy7tfLeBmhj1u-dRFRs_8GwSoA/edit#gid=0"",""Gestores Escolares!D7:J""),4,0),""VERIFICAR CÓD SEC"")"),"(73) 9 8103-3641")</f>
        <v>(73) 9 8103-3641</v>
      </c>
      <c r="O438" s="82" t="str">
        <f>IFERROR(__xludf.DUMMYFUNCTION("IFERROR(VLOOKUP(D438,
IMPORTRANGE(""https://docs.google.com/spreadsheets/d/1MjHtlUikwobi2MaWJgy7tfLeBmhj1u-dRFRs_8GwSoA/edit#gid=0"",""Gestores Escolares!D7:J""),6,0),""VERIFICAR CÓD SEC"")"),"ANA CRISTINA DOS SANTOS ARAGAO")</f>
        <v>ANA CRISTINA DOS SANTOS ARAGAO</v>
      </c>
      <c r="P438" s="82" t="str">
        <f>IFERROR(__xludf.DUMMYFUNCTION("IFERROR(VLOOKUP(D438,
IMPORTRANGE(""https://docs.google.com/spreadsheets/d/1MjHtlUikwobi2MaWJgy7tfLeBmhj1u-dRFRs_8GwSoA/edit#gid=0"",""Gestores Escolares!D7:J""),7,0),""VERIFICAR CÓD SEC"")"),"(73) 9 8171-3206")</f>
        <v>(73) 9 8171-3206</v>
      </c>
      <c r="Q438" s="82" t="str">
        <f>IFERROR(__xludf.DUMMYFUNCTION("IFERROR(VLOOKUP(D438,
IMPORTRANGE(""https://docs.google.com/spreadsheets/d/1MjHtlUikwobi2MaWJgy7tfLeBmhj1u-dRFRs_8GwSoA/edit#gid=0"",""Gestores Escolares!D7:m""),9,0),""VERIFICAR CÓD SEC"")"),"")</f>
        <v/>
      </c>
      <c r="R438" s="82" t="str">
        <f>IFERROR(__xludf.DUMMYFUNCTION("IFERROR(VLOOKUP(D438,
IMPORTRANGE(""https://docs.google.com/spreadsheets/d/1MjHtlUikwobi2MaWJgy7tfLeBmhj1u-dRFRs_8GwSoA/edit#gid=0"",""Gestores Escolares!D7:m""),10,0),""VERIFICAR CÓD SEC"")"),"")</f>
        <v/>
      </c>
      <c r="S438" s="82"/>
      <c r="T438" s="138">
        <v>8.0</v>
      </c>
      <c r="U438" s="145" t="s">
        <v>6144</v>
      </c>
      <c r="V438" s="106">
        <v>0.0</v>
      </c>
      <c r="W438" s="107">
        <v>0.0</v>
      </c>
      <c r="X438" s="107">
        <v>0.0</v>
      </c>
      <c r="Y438" s="107">
        <v>0.0</v>
      </c>
      <c r="Z438" s="80">
        <f t="shared" si="1"/>
        <v>0</v>
      </c>
      <c r="AA438" s="106">
        <v>0.0</v>
      </c>
      <c r="AB438" s="107">
        <v>0.0</v>
      </c>
      <c r="AC438" s="107">
        <v>0.0</v>
      </c>
      <c r="AD438" s="107">
        <v>0.0</v>
      </c>
      <c r="AE438" s="80">
        <f t="shared" si="2"/>
        <v>0</v>
      </c>
      <c r="AF438" s="140">
        <v>0.0</v>
      </c>
      <c r="AG438" s="109">
        <v>0.0</v>
      </c>
      <c r="AH438" s="109">
        <v>0.0</v>
      </c>
      <c r="AI438" s="141">
        <v>125.0</v>
      </c>
      <c r="AJ438" s="80">
        <f t="shared" si="3"/>
        <v>125</v>
      </c>
      <c r="AK438" s="140">
        <v>0.0</v>
      </c>
      <c r="AL438" s="109">
        <v>0.0</v>
      </c>
      <c r="AM438" s="141">
        <v>0.0</v>
      </c>
      <c r="AN438" s="80">
        <f t="shared" si="4"/>
        <v>0</v>
      </c>
      <c r="AO438" s="140">
        <v>0.0</v>
      </c>
      <c r="AP438" s="109">
        <v>0.0</v>
      </c>
      <c r="AQ438" s="109">
        <v>52.0</v>
      </c>
      <c r="AR438" s="80">
        <f t="shared" si="5"/>
        <v>52</v>
      </c>
      <c r="AS438" s="110">
        <v>0.0</v>
      </c>
      <c r="AT438" s="110">
        <v>23.0</v>
      </c>
      <c r="AU438" s="110">
        <v>37.0</v>
      </c>
      <c r="AV438" s="142">
        <v>59.0</v>
      </c>
      <c r="AW438" s="80">
        <f t="shared" si="6"/>
        <v>119</v>
      </c>
      <c r="AX438" s="113">
        <f t="shared" si="7"/>
        <v>296</v>
      </c>
      <c r="AY438" s="117">
        <f t="shared" si="8"/>
        <v>207</v>
      </c>
      <c r="AZ438" s="120">
        <f t="shared" si="9"/>
        <v>89</v>
      </c>
      <c r="BA438" s="115">
        <v>0.0</v>
      </c>
      <c r="BB438" s="89">
        <f t="shared" si="10"/>
        <v>296</v>
      </c>
      <c r="BC438" s="132" t="s">
        <v>178</v>
      </c>
      <c r="BD438" s="132" t="s">
        <v>178</v>
      </c>
      <c r="BE438" s="132" t="s">
        <v>178</v>
      </c>
      <c r="BF438" s="156"/>
      <c r="BG438" s="83">
        <v>1158270.0</v>
      </c>
      <c r="BH438" s="112"/>
      <c r="BI438" s="112">
        <v>7.0</v>
      </c>
      <c r="BJ438" s="98" t="s">
        <v>155</v>
      </c>
      <c r="BK438" s="99">
        <f t="shared" si="11"/>
        <v>184</v>
      </c>
      <c r="BL438" s="99">
        <f t="shared" si="12"/>
        <v>23</v>
      </c>
      <c r="BM438" s="99" t="str">
        <f>IFERROR(__xludf.DUMMYFUNCTION("IFERROR(VLOOKUP(BG438,IMPORTRANGE(""https://docs.google.com/spreadsheets/d/1juPI-Fb8LD0YtltB2mlGEnp_R3UVu1t3wSFPzgCyHXE/edit?gid=0#gid=0"",""GERAL!A2:C""),3,0),""-"")"),"-")</f>
        <v>-</v>
      </c>
    </row>
    <row r="439" ht="15.75" customHeight="1">
      <c r="A439" s="111" t="s">
        <v>540</v>
      </c>
      <c r="B439" s="83" t="s">
        <v>1787</v>
      </c>
      <c r="C439" s="83" t="s">
        <v>68</v>
      </c>
      <c r="D439" s="112">
        <v>1178081.0</v>
      </c>
      <c r="E439" s="83"/>
      <c r="F439" s="83">
        <v>2.9431719E7</v>
      </c>
      <c r="G439" s="119" t="s">
        <v>1788</v>
      </c>
      <c r="H439" s="91" t="s">
        <v>1789</v>
      </c>
      <c r="I439" s="83" t="s">
        <v>149</v>
      </c>
      <c r="J439" s="83" t="s">
        <v>150</v>
      </c>
      <c r="K439" s="83" t="s">
        <v>1685</v>
      </c>
      <c r="L439" s="98" t="s">
        <v>1391</v>
      </c>
      <c r="M439" s="82" t="str">
        <f>IFERROR(__xludf.DUMMYFUNCTION("IFERROR(VLOOKUP(D439,
IMPORTRANGE(""https://docs.google.com/spreadsheets/d/1MjHtlUikwobi2MaWJgy7tfLeBmhj1u-dRFRs_8GwSoA/edit#gid=0"",""Gestores Escolares!D7:J""),3,0),""VERIFICAR CÓD SEC"")"),"DERALDO NASCIMENTO NETO")</f>
        <v>DERALDO NASCIMENTO NETO</v>
      </c>
      <c r="N439" s="82" t="str">
        <f>IFERROR(__xludf.DUMMYFUNCTION("IFERROR(VLOOKUP(D439,
IMPORTRANGE(""https://docs.google.com/spreadsheets/d/1MjHtlUikwobi2MaWJgy7tfLeBmhj1u-dRFRs_8GwSoA/edit#gid=0"",""Gestores Escolares!D7:J""),4,0),""VERIFICAR CÓD SEC"")"),"(73) 9 8111-3109")</f>
        <v>(73) 9 8111-3109</v>
      </c>
      <c r="O439" s="82" t="str">
        <f>IFERROR(__xludf.DUMMYFUNCTION("IFERROR(VLOOKUP(D439,
IMPORTRANGE(""https://docs.google.com/spreadsheets/d/1MjHtlUikwobi2MaWJgy7tfLeBmhj1u-dRFRs_8GwSoA/edit#gid=0"",""Gestores Escolares!D7:J""),6,0),""VERIFICAR CÓD SEC"")"),"MARIA DO AMPARO DOS SANTOS MENDES")</f>
        <v>MARIA DO AMPARO DOS SANTOS MENDES</v>
      </c>
      <c r="P439" s="82" t="str">
        <f>IFERROR(__xludf.DUMMYFUNCTION("IFERROR(VLOOKUP(D439,
IMPORTRANGE(""https://docs.google.com/spreadsheets/d/1MjHtlUikwobi2MaWJgy7tfLeBmhj1u-dRFRs_8GwSoA/edit#gid=0"",""Gestores Escolares!D7:J""),7,0),""VERIFICAR CÓD SEC"")"),"(73) 9 8127-4076")</f>
        <v>(73) 9 8127-4076</v>
      </c>
      <c r="Q439" s="82" t="str">
        <f>IFERROR(__xludf.DUMMYFUNCTION("IFERROR(VLOOKUP(D439,
IMPORTRANGE(""https://docs.google.com/spreadsheets/d/1MjHtlUikwobi2MaWJgy7tfLeBmhj1u-dRFRs_8GwSoA/edit#gid=0"",""Gestores Escolares!D7:m""),9,0),""VERIFICAR CÓD SEC"")"),"NAIARA SERAFIM SANTOS MOTA")</f>
        <v>NAIARA SERAFIM SANTOS MOTA</v>
      </c>
      <c r="R439" s="82" t="str">
        <f>IFERROR(__xludf.DUMMYFUNCTION("IFERROR(VLOOKUP(D439,
IMPORTRANGE(""https://docs.google.com/spreadsheets/d/1MjHtlUikwobi2MaWJgy7tfLeBmhj1u-dRFRs_8GwSoA/edit#gid=0"",""Gestores Escolares!D7:m""),10,0),""VERIFICAR CÓD SEC"")"),"(73) 9 8144-7258")</f>
        <v>(73) 9 8144-7258</v>
      </c>
      <c r="S439" s="82"/>
      <c r="T439" s="138">
        <v>9.0</v>
      </c>
      <c r="U439" s="152">
        <v>16.0</v>
      </c>
      <c r="V439" s="106">
        <v>0.0</v>
      </c>
      <c r="W439" s="107">
        <v>0.0</v>
      </c>
      <c r="X439" s="107">
        <v>0.0</v>
      </c>
      <c r="Y439" s="107">
        <v>0.0</v>
      </c>
      <c r="Z439" s="80">
        <f t="shared" si="1"/>
        <v>0</v>
      </c>
      <c r="AA439" s="106">
        <v>0.0</v>
      </c>
      <c r="AB439" s="107">
        <v>0.0</v>
      </c>
      <c r="AC439" s="107">
        <v>0.0</v>
      </c>
      <c r="AD439" s="107">
        <v>0.0</v>
      </c>
      <c r="AE439" s="80">
        <f t="shared" si="2"/>
        <v>0</v>
      </c>
      <c r="AF439" s="222">
        <v>509.0</v>
      </c>
      <c r="AG439" s="222">
        <v>377.0</v>
      </c>
      <c r="AH439" s="222">
        <v>0.0</v>
      </c>
      <c r="AI439" s="224">
        <v>49.0</v>
      </c>
      <c r="AJ439" s="80">
        <f t="shared" si="3"/>
        <v>935</v>
      </c>
      <c r="AK439" s="140">
        <v>0.0</v>
      </c>
      <c r="AL439" s="109">
        <v>0.0</v>
      </c>
      <c r="AM439" s="141">
        <v>0.0</v>
      </c>
      <c r="AN439" s="80">
        <f t="shared" si="4"/>
        <v>0</v>
      </c>
      <c r="AO439" s="222">
        <v>0.0</v>
      </c>
      <c r="AP439" s="222">
        <v>0.0</v>
      </c>
      <c r="AQ439" s="224">
        <v>104.0</v>
      </c>
      <c r="AR439" s="80">
        <f t="shared" si="5"/>
        <v>104</v>
      </c>
      <c r="AS439" s="110">
        <v>0.0</v>
      </c>
      <c r="AT439" s="110">
        <v>0.0</v>
      </c>
      <c r="AU439" s="110">
        <v>19.0</v>
      </c>
      <c r="AV439" s="142">
        <v>67.0</v>
      </c>
      <c r="AW439" s="80">
        <f t="shared" si="6"/>
        <v>86</v>
      </c>
      <c r="AX439" s="113">
        <f t="shared" si="7"/>
        <v>1125</v>
      </c>
      <c r="AY439" s="117">
        <f t="shared" si="8"/>
        <v>1002</v>
      </c>
      <c r="AZ439" s="120">
        <f t="shared" si="9"/>
        <v>123</v>
      </c>
      <c r="BA439" s="115">
        <v>0.0</v>
      </c>
      <c r="BB439" s="89">
        <f t="shared" si="10"/>
        <v>1125</v>
      </c>
      <c r="BC439" s="132" t="s">
        <v>178</v>
      </c>
      <c r="BD439" s="132" t="s">
        <v>178</v>
      </c>
      <c r="BE439" s="132" t="s">
        <v>178</v>
      </c>
      <c r="BF439" s="123"/>
      <c r="BG439" s="83">
        <v>1178081.0</v>
      </c>
      <c r="BH439" s="112"/>
      <c r="BI439" s="112">
        <v>16.0</v>
      </c>
      <c r="BJ439" s="98" t="s">
        <v>176</v>
      </c>
      <c r="BK439" s="99">
        <f t="shared" si="11"/>
        <v>116</v>
      </c>
      <c r="BL439" s="99">
        <f t="shared" si="12"/>
        <v>886</v>
      </c>
      <c r="BM439" s="99" t="str">
        <f>IFERROR(__xludf.DUMMYFUNCTION("IFERROR(VLOOKUP(BG439,IMPORTRANGE(""https://docs.google.com/spreadsheets/d/1juPI-Fb8LD0YtltB2mlGEnp_R3UVu1t3wSFPzgCyHXE/edit?gid=0#gid=0"",""GERAL!A2:C""),3,0),""-"")"),"-")</f>
        <v>-</v>
      </c>
    </row>
    <row r="440" ht="15.75" customHeight="1">
      <c r="A440" s="111" t="s">
        <v>540</v>
      </c>
      <c r="B440" s="83" t="s">
        <v>1787</v>
      </c>
      <c r="C440" s="83" t="s">
        <v>45</v>
      </c>
      <c r="D440" s="98">
        <v>1179761.0</v>
      </c>
      <c r="E440" s="83"/>
      <c r="F440" s="83">
        <v>2.9959721E7</v>
      </c>
      <c r="G440" s="187" t="s">
        <v>1792</v>
      </c>
      <c r="H440" s="91" t="s">
        <v>1793</v>
      </c>
      <c r="I440" s="83" t="s">
        <v>149</v>
      </c>
      <c r="J440" s="83" t="s">
        <v>1012</v>
      </c>
      <c r="K440" s="83" t="s">
        <v>151</v>
      </c>
      <c r="L440" s="83" t="s">
        <v>76</v>
      </c>
      <c r="M440" s="82" t="str">
        <f>IFERROR(__xludf.DUMMYFUNCTION("IFERROR(VLOOKUP(D440,
IMPORTRANGE(""https://docs.google.com/spreadsheets/d/1MjHtlUikwobi2MaWJgy7tfLeBmhj1u-dRFRs_8GwSoA/edit#gid=0"",""Gestores Escolares!D7:J""),3,0),""VERIFICAR CÓD SEC"")"),"VERIFICAR CÓD SEC")</f>
        <v>VERIFICAR CÓD SEC</v>
      </c>
      <c r="N440" s="82" t="str">
        <f>IFERROR(__xludf.DUMMYFUNCTION("IFERROR(VLOOKUP(D440,
IMPORTRANGE(""https://docs.google.com/spreadsheets/d/1MjHtlUikwobi2MaWJgy7tfLeBmhj1u-dRFRs_8GwSoA/edit#gid=0"",""Gestores Escolares!D7:J""),4,0),""VERIFICAR CÓD SEC"")"),"VERIFICAR CÓD SEC")</f>
        <v>VERIFICAR CÓD SEC</v>
      </c>
      <c r="O440" s="82" t="str">
        <f>IFERROR(__xludf.DUMMYFUNCTION("IFERROR(VLOOKUP(D440,
IMPORTRANGE(""https://docs.google.com/spreadsheets/d/1MjHtlUikwobi2MaWJgy7tfLeBmhj1u-dRFRs_8GwSoA/edit#gid=0"",""Gestores Escolares!D7:J""),6,0),""VERIFICAR CÓD SEC"")"),"VERIFICAR CÓD SEC")</f>
        <v>VERIFICAR CÓD SEC</v>
      </c>
      <c r="P440" s="82" t="str">
        <f>IFERROR(__xludf.DUMMYFUNCTION("IFERROR(VLOOKUP(D440,
IMPORTRANGE(""https://docs.google.com/spreadsheets/d/1MjHtlUikwobi2MaWJgy7tfLeBmhj1u-dRFRs_8GwSoA/edit#gid=0"",""Gestores Escolares!D7:J""),7,0),""VERIFICAR CÓD SEC"")"),"VERIFICAR CÓD SEC")</f>
        <v>VERIFICAR CÓD SEC</v>
      </c>
      <c r="Q440" s="82" t="str">
        <f>IFERROR(__xludf.DUMMYFUNCTION("IFERROR(VLOOKUP(D440,
IMPORTRANGE(""https://docs.google.com/spreadsheets/d/1MjHtlUikwobi2MaWJgy7tfLeBmhj1u-dRFRs_8GwSoA/edit#gid=0"",""Gestores Escolares!D7:m""),9,0),""VERIFICAR CÓD SEC"")"),"VERIFICAR CÓD SEC")</f>
        <v>VERIFICAR CÓD SEC</v>
      </c>
      <c r="R440" s="82" t="str">
        <f>IFERROR(__xludf.DUMMYFUNCTION("IFERROR(VLOOKUP(D440,
IMPORTRANGE(""https://docs.google.com/spreadsheets/d/1MjHtlUikwobi2MaWJgy7tfLeBmhj1u-dRFRs_8GwSoA/edit#gid=0"",""Gestores Escolares!D7:m""),10,0),""VERIFICAR CÓD SEC"")"),"VERIFICAR CÓD SEC")</f>
        <v>VERIFICAR CÓD SEC</v>
      </c>
      <c r="S440" s="82"/>
      <c r="T440" s="138">
        <v>5.0</v>
      </c>
      <c r="U440" s="152" t="s">
        <v>171</v>
      </c>
      <c r="V440" s="106">
        <v>0.0</v>
      </c>
      <c r="W440" s="107">
        <v>0.0</v>
      </c>
      <c r="X440" s="107">
        <v>0.0</v>
      </c>
      <c r="Y440" s="107">
        <v>0.0</v>
      </c>
      <c r="Z440" s="80">
        <f t="shared" si="1"/>
        <v>0</v>
      </c>
      <c r="AA440" s="106">
        <v>0.0</v>
      </c>
      <c r="AB440" s="107">
        <v>0.0</v>
      </c>
      <c r="AC440" s="107">
        <v>0.0</v>
      </c>
      <c r="AD440" s="107">
        <v>0.0</v>
      </c>
      <c r="AE440" s="80">
        <f t="shared" si="2"/>
        <v>0</v>
      </c>
      <c r="AF440" s="225">
        <v>0.0</v>
      </c>
      <c r="AG440" s="226">
        <v>0.0</v>
      </c>
      <c r="AH440" s="226">
        <v>0.0</v>
      </c>
      <c r="AI440" s="227">
        <v>129.0</v>
      </c>
      <c r="AJ440" s="80">
        <f t="shared" si="3"/>
        <v>129</v>
      </c>
      <c r="AK440" s="140">
        <v>0.0</v>
      </c>
      <c r="AL440" s="109">
        <v>0.0</v>
      </c>
      <c r="AM440" s="141">
        <v>0.0</v>
      </c>
      <c r="AN440" s="80">
        <f t="shared" si="4"/>
        <v>0</v>
      </c>
      <c r="AO440" s="225">
        <v>0.0</v>
      </c>
      <c r="AP440" s="226">
        <v>0.0</v>
      </c>
      <c r="AQ440" s="226">
        <v>0.0</v>
      </c>
      <c r="AR440" s="80">
        <f t="shared" si="5"/>
        <v>0</v>
      </c>
      <c r="AS440" s="110">
        <v>0.0</v>
      </c>
      <c r="AT440" s="110">
        <v>0.0</v>
      </c>
      <c r="AU440" s="110">
        <v>0.0</v>
      </c>
      <c r="AV440" s="142">
        <v>0.0</v>
      </c>
      <c r="AW440" s="80">
        <f t="shared" si="6"/>
        <v>0</v>
      </c>
      <c r="AX440" s="113">
        <f t="shared" si="7"/>
        <v>129</v>
      </c>
      <c r="AY440" s="117">
        <f t="shared" si="8"/>
        <v>129</v>
      </c>
      <c r="AZ440" s="120">
        <f t="shared" si="9"/>
        <v>0</v>
      </c>
      <c r="BA440" s="115">
        <v>0.0</v>
      </c>
      <c r="BB440" s="89">
        <f t="shared" si="10"/>
        <v>129</v>
      </c>
      <c r="BC440" s="132" t="s">
        <v>178</v>
      </c>
      <c r="BD440" s="132" t="s">
        <v>178</v>
      </c>
      <c r="BE440" s="132" t="s">
        <v>178</v>
      </c>
      <c r="BF440" s="156"/>
      <c r="BG440" s="98">
        <v>1179761.0</v>
      </c>
      <c r="BH440" s="112"/>
      <c r="BI440" s="112">
        <v>5.0</v>
      </c>
      <c r="BJ440" s="98" t="s">
        <v>155</v>
      </c>
      <c r="BK440" s="99">
        <f t="shared" si="11"/>
        <v>129</v>
      </c>
      <c r="BL440" s="99">
        <f t="shared" si="12"/>
        <v>0</v>
      </c>
      <c r="BM440" s="99" t="str">
        <f>IFERROR(__xludf.DUMMYFUNCTION("IFERROR(VLOOKUP(BG440,IMPORTRANGE(""https://docs.google.com/spreadsheets/d/1juPI-Fb8LD0YtltB2mlGEnp_R3UVu1t3wSFPzgCyHXE/edit?gid=0#gid=0"",""GERAL!A2:C""),3,0),""-"")"),"EFA")</f>
        <v>EFA</v>
      </c>
    </row>
    <row r="441" ht="15.75" customHeight="1">
      <c r="A441" s="111" t="s">
        <v>540</v>
      </c>
      <c r="B441" s="83" t="s">
        <v>1796</v>
      </c>
      <c r="C441" s="83" t="s">
        <v>68</v>
      </c>
      <c r="D441" s="112">
        <v>1117396.0</v>
      </c>
      <c r="E441" s="83"/>
      <c r="F441" s="83">
        <v>2.9290678E7</v>
      </c>
      <c r="G441" s="153" t="s">
        <v>1797</v>
      </c>
      <c r="H441" s="108" t="s">
        <v>1798</v>
      </c>
      <c r="I441" s="83"/>
      <c r="J441" s="83" t="s">
        <v>150</v>
      </c>
      <c r="K441" s="83" t="s">
        <v>1685</v>
      </c>
      <c r="L441" s="83" t="s">
        <v>230</v>
      </c>
      <c r="M441" s="82" t="str">
        <f>IFERROR(__xludf.DUMMYFUNCTION("IFERROR(VLOOKUP(D441,
IMPORTRANGE(""https://docs.google.com/spreadsheets/d/1MjHtlUikwobi2MaWJgy7tfLeBmhj1u-dRFRs_8GwSoA/edit#gid=0"",""Gestores Escolares!D7:J""),3,0),""VERIFICAR CÓD SEC"")"),"ALDO LISBOA DE CARVALHO")</f>
        <v>ALDO LISBOA DE CARVALHO</v>
      </c>
      <c r="N441" s="82" t="str">
        <f>IFERROR(__xludf.DUMMYFUNCTION("IFERROR(VLOOKUP(D441,
IMPORTRANGE(""https://docs.google.com/spreadsheets/d/1MjHtlUikwobi2MaWJgy7tfLeBmhj1u-dRFRs_8GwSoA/edit#gid=0"",""Gestores Escolares!D7:J""),4,0),""VERIFICAR CÓD SEC"")"),"(75) 9 9964-2965")</f>
        <v>(75) 9 9964-2965</v>
      </c>
      <c r="O441" s="82" t="str">
        <f>IFERROR(__xludf.DUMMYFUNCTION("IFERROR(VLOOKUP(D441,
IMPORTRANGE(""https://docs.google.com/spreadsheets/d/1MjHtlUikwobi2MaWJgy7tfLeBmhj1u-dRFRs_8GwSoA/edit#gid=0"",""Gestores Escolares!D7:J""),6,0),""VERIFICAR CÓD SEC"")"),"KETYANE DA SILVA EVARISTO")</f>
        <v>KETYANE DA SILVA EVARISTO</v>
      </c>
      <c r="P441" s="82" t="str">
        <f>IFERROR(__xludf.DUMMYFUNCTION("IFERROR(VLOOKUP(D441,
IMPORTRANGE(""https://docs.google.com/spreadsheets/d/1MjHtlUikwobi2MaWJgy7tfLeBmhj1u-dRFRs_8GwSoA/edit#gid=0"",""Gestores Escolares!D7:J""),7,0),""VERIFICAR CÓD SEC"")"),"(75) 9 9973-4911")</f>
        <v>(75) 9 9973-4911</v>
      </c>
      <c r="Q441" s="82" t="str">
        <f>IFERROR(__xludf.DUMMYFUNCTION("IFERROR(VLOOKUP(D441,
IMPORTRANGE(""https://docs.google.com/spreadsheets/d/1MjHtlUikwobi2MaWJgy7tfLeBmhj1u-dRFRs_8GwSoA/edit#gid=0"",""Gestores Escolares!D7:m""),9,0),""VERIFICAR CÓD SEC"")")," MAICON ANDERSON OLIVEIRA DE JESU")</f>
        <v> MAICON ANDERSON OLIVEIRA DE JESU</v>
      </c>
      <c r="R441" s="82" t="str">
        <f>IFERROR(__xludf.DUMMYFUNCTION("IFERROR(VLOOKUP(D441,
IMPORTRANGE(""https://docs.google.com/spreadsheets/d/1MjHtlUikwobi2MaWJgy7tfLeBmhj1u-dRFRs_8GwSoA/edit#gid=0"",""Gestores Escolares!D7:m""),10,0),""VERIFICAR CÓD SEC"")"),"(75) 9 9894-4225")</f>
        <v>(75) 9 9894-4225</v>
      </c>
      <c r="S441" s="82"/>
      <c r="T441" s="138">
        <v>8.0</v>
      </c>
      <c r="U441" s="145">
        <v>12.0</v>
      </c>
      <c r="V441" s="106">
        <v>0.0</v>
      </c>
      <c r="W441" s="107">
        <v>0.0</v>
      </c>
      <c r="X441" s="107">
        <v>0.0</v>
      </c>
      <c r="Y441" s="107">
        <v>0.0</v>
      </c>
      <c r="Z441" s="80">
        <f t="shared" si="1"/>
        <v>0</v>
      </c>
      <c r="AA441" s="106">
        <v>0.0</v>
      </c>
      <c r="AB441" s="107">
        <v>0.0</v>
      </c>
      <c r="AC441" s="107">
        <v>0.0</v>
      </c>
      <c r="AD441" s="107">
        <v>0.0</v>
      </c>
      <c r="AE441" s="80">
        <f t="shared" si="2"/>
        <v>0</v>
      </c>
      <c r="AF441" s="140">
        <v>0.0</v>
      </c>
      <c r="AG441" s="109">
        <v>0.0</v>
      </c>
      <c r="AH441" s="109">
        <v>0.0</v>
      </c>
      <c r="AI441" s="141">
        <v>231.0</v>
      </c>
      <c r="AJ441" s="80">
        <f t="shared" si="3"/>
        <v>231</v>
      </c>
      <c r="AK441" s="140">
        <v>0.0</v>
      </c>
      <c r="AL441" s="109">
        <v>0.0</v>
      </c>
      <c r="AM441" s="141">
        <v>0.0</v>
      </c>
      <c r="AN441" s="80">
        <f t="shared" si="4"/>
        <v>0</v>
      </c>
      <c r="AO441" s="140">
        <v>0.0</v>
      </c>
      <c r="AP441" s="109">
        <v>0.0</v>
      </c>
      <c r="AQ441" s="109">
        <v>116.0</v>
      </c>
      <c r="AR441" s="80">
        <f t="shared" si="5"/>
        <v>116</v>
      </c>
      <c r="AS441" s="110">
        <v>0.0</v>
      </c>
      <c r="AT441" s="110">
        <v>0.0</v>
      </c>
      <c r="AU441" s="110">
        <v>0.0</v>
      </c>
      <c r="AV441" s="142">
        <v>52.0</v>
      </c>
      <c r="AW441" s="80">
        <f t="shared" si="6"/>
        <v>52</v>
      </c>
      <c r="AX441" s="113">
        <f t="shared" si="7"/>
        <v>399</v>
      </c>
      <c r="AY441" s="117">
        <f t="shared" si="8"/>
        <v>283</v>
      </c>
      <c r="AZ441" s="120">
        <f t="shared" si="9"/>
        <v>116</v>
      </c>
      <c r="BA441" s="115">
        <v>0.0</v>
      </c>
      <c r="BB441" s="89">
        <f t="shared" si="10"/>
        <v>399</v>
      </c>
      <c r="BC441" s="132" t="s">
        <v>178</v>
      </c>
      <c r="BD441" s="132" t="s">
        <v>178</v>
      </c>
      <c r="BE441" s="132" t="s">
        <v>178</v>
      </c>
      <c r="BF441" s="123"/>
      <c r="BG441" s="83">
        <v>1117396.0</v>
      </c>
      <c r="BH441" s="112"/>
      <c r="BI441" s="112">
        <v>8.0</v>
      </c>
      <c r="BJ441" s="98" t="s">
        <v>162</v>
      </c>
      <c r="BK441" s="99">
        <f t="shared" si="11"/>
        <v>283</v>
      </c>
      <c r="BL441" s="99">
        <f t="shared" si="12"/>
        <v>0</v>
      </c>
      <c r="BM441" s="99" t="str">
        <f>IFERROR(__xludf.DUMMYFUNCTION("IFERROR(VLOOKUP(BG441,IMPORTRANGE(""https://docs.google.com/spreadsheets/d/1juPI-Fb8LD0YtltB2mlGEnp_R3UVu1t3wSFPzgCyHXE/edit?gid=0#gid=0"",""GERAL!A2:C""),3,0),""-"")"),"-")</f>
        <v>-</v>
      </c>
    </row>
    <row r="442" ht="15.75" customHeight="1">
      <c r="A442" s="111" t="s">
        <v>540</v>
      </c>
      <c r="B442" s="83" t="s">
        <v>1796</v>
      </c>
      <c r="C442" s="83" t="s">
        <v>164</v>
      </c>
      <c r="D442" s="112">
        <v>1179284.0</v>
      </c>
      <c r="E442" s="83">
        <v>1179625.0</v>
      </c>
      <c r="F442" s="98">
        <v>2.946093E7</v>
      </c>
      <c r="G442" s="114" t="s">
        <v>1800</v>
      </c>
      <c r="H442" s="91" t="s">
        <v>1801</v>
      </c>
      <c r="I442" s="83" t="s">
        <v>149</v>
      </c>
      <c r="J442" s="136" t="s">
        <v>464</v>
      </c>
      <c r="K442" s="83" t="s">
        <v>168</v>
      </c>
      <c r="L442" s="83" t="s">
        <v>169</v>
      </c>
      <c r="M442" s="82" t="str">
        <f>IFERROR(__xludf.DUMMYFUNCTION("IFERROR(VLOOKUP(D442,
IMPORTRANGE(""https://docs.google.com/spreadsheets/d/1MjHtlUikwobi2MaWJgy7tfLeBmhj1u-dRFRs_8GwSoA/edit#gid=0"",""Gestores Escolares!D7:J""),3,0),""VERIFICAR CÓD SEC"")")," NILCEANNE NOGUEIRA LIMA")</f>
        <v> NILCEANNE NOGUEIRA LIMA</v>
      </c>
      <c r="N442" s="82" t="str">
        <f>IFERROR(__xludf.DUMMYFUNCTION("IFERROR(VLOOKUP(D442,
IMPORTRANGE(""https://docs.google.com/spreadsheets/d/1MjHtlUikwobi2MaWJgy7tfLeBmhj1u-dRFRs_8GwSoA/edit#gid=0"",""Gestores Escolares!D7:J""),4,0),""VERIFICAR CÓD SEC"")"),"(73) 9 9123-7129")</f>
        <v>(73) 9 9123-7129</v>
      </c>
      <c r="O442" s="82" t="str">
        <f>IFERROR(__xludf.DUMMYFUNCTION("IFERROR(VLOOKUP(D442,
IMPORTRANGE(""https://docs.google.com/spreadsheets/d/1MjHtlUikwobi2MaWJgy7tfLeBmhj1u-dRFRs_8GwSoA/edit#gid=0"",""Gestores Escolares!D7:J""),6,0),""VERIFICAR CÓD SEC"")"),"FRANCISCO CRUZ DO NASCIMENTO")</f>
        <v>FRANCISCO CRUZ DO NASCIMENTO</v>
      </c>
      <c r="P442" s="82" t="str">
        <f>IFERROR(__xludf.DUMMYFUNCTION("IFERROR(VLOOKUP(D442,
IMPORTRANGE(""https://docs.google.com/spreadsheets/d/1MjHtlUikwobi2MaWJgy7tfLeBmhj1u-dRFRs_8GwSoA/edit#gid=0"",""Gestores Escolares!D7:J""),7,0),""VERIFICAR CÓD SEC"")"),"(73) 9 8123-9143")</f>
        <v>(73) 9 8123-9143</v>
      </c>
      <c r="Q442" s="82" t="str">
        <f>IFERROR(__xludf.DUMMYFUNCTION("IFERROR(VLOOKUP(D442,
IMPORTRANGE(""https://docs.google.com/spreadsheets/d/1MjHtlUikwobi2MaWJgy7tfLeBmhj1u-dRFRs_8GwSoA/edit#gid=0"",""Gestores Escolares!D7:m""),9,0),""VERIFICAR CÓD SEC"")"),"")</f>
        <v/>
      </c>
      <c r="R442" s="82" t="str">
        <f>IFERROR(__xludf.DUMMYFUNCTION("IFERROR(VLOOKUP(D442,
IMPORTRANGE(""https://docs.google.com/spreadsheets/d/1MjHtlUikwobi2MaWJgy7tfLeBmhj1u-dRFRs_8GwSoA/edit#gid=0"",""Gestores Escolares!D7:m""),10,0),""VERIFICAR CÓD SEC"")"),"")</f>
        <v/>
      </c>
      <c r="S442" s="82"/>
      <c r="T442" s="138">
        <v>3.0</v>
      </c>
      <c r="U442" s="139">
        <v>3.0</v>
      </c>
      <c r="V442" s="106">
        <v>0.0</v>
      </c>
      <c r="W442" s="107">
        <v>0.0</v>
      </c>
      <c r="X442" s="107">
        <v>0.0</v>
      </c>
      <c r="Y442" s="107">
        <v>0.0</v>
      </c>
      <c r="Z442" s="80">
        <f t="shared" si="1"/>
        <v>0</v>
      </c>
      <c r="AA442" s="106">
        <v>0.0</v>
      </c>
      <c r="AB442" s="107">
        <v>0.0</v>
      </c>
      <c r="AC442" s="107">
        <v>0.0</v>
      </c>
      <c r="AD442" s="107">
        <v>0.0</v>
      </c>
      <c r="AE442" s="80">
        <f t="shared" si="2"/>
        <v>0</v>
      </c>
      <c r="AF442" s="140">
        <v>0.0</v>
      </c>
      <c r="AG442" s="109">
        <v>0.0</v>
      </c>
      <c r="AH442" s="109">
        <v>0.0</v>
      </c>
      <c r="AI442" s="141">
        <v>0.0</v>
      </c>
      <c r="AJ442" s="80">
        <f t="shared" si="3"/>
        <v>0</v>
      </c>
      <c r="AK442" s="140">
        <v>0.0</v>
      </c>
      <c r="AL442" s="109">
        <v>0.0</v>
      </c>
      <c r="AM442" s="141">
        <v>0.0</v>
      </c>
      <c r="AN442" s="80">
        <f t="shared" si="4"/>
        <v>0</v>
      </c>
      <c r="AO442" s="140">
        <v>0.0</v>
      </c>
      <c r="AP442" s="109">
        <v>0.0</v>
      </c>
      <c r="AQ442" s="109">
        <v>0.0</v>
      </c>
      <c r="AR442" s="80">
        <f t="shared" si="5"/>
        <v>0</v>
      </c>
      <c r="AS442" s="110">
        <v>0.0</v>
      </c>
      <c r="AT442" s="110">
        <v>0.0</v>
      </c>
      <c r="AU442" s="110">
        <v>0.0</v>
      </c>
      <c r="AV442" s="142">
        <v>0.0</v>
      </c>
      <c r="AW442" s="80">
        <f t="shared" si="6"/>
        <v>0</v>
      </c>
      <c r="AX442" s="113">
        <f t="shared" si="7"/>
        <v>0</v>
      </c>
      <c r="AY442" s="117">
        <f t="shared" si="8"/>
        <v>0</v>
      </c>
      <c r="AZ442" s="120">
        <f t="shared" si="9"/>
        <v>0</v>
      </c>
      <c r="BA442" s="115">
        <v>0.0</v>
      </c>
      <c r="BB442" s="89">
        <f t="shared" si="10"/>
        <v>0</v>
      </c>
      <c r="BC442" s="132" t="s">
        <v>178</v>
      </c>
      <c r="BD442" s="143" t="s">
        <v>227</v>
      </c>
      <c r="BE442" s="132" t="s">
        <v>178</v>
      </c>
      <c r="BF442" s="156"/>
      <c r="BG442" s="83">
        <v>1179625.0</v>
      </c>
      <c r="BH442" s="112"/>
      <c r="BI442" s="112">
        <v>3.0</v>
      </c>
      <c r="BJ442" s="98" t="s">
        <v>155</v>
      </c>
      <c r="BK442" s="99">
        <f t="shared" si="11"/>
        <v>0</v>
      </c>
      <c r="BL442" s="99">
        <f t="shared" si="12"/>
        <v>0</v>
      </c>
      <c r="BM442" s="99" t="str">
        <f>IFERROR(__xludf.DUMMYFUNCTION("IFERROR(VLOOKUP(BG442,IMPORTRANGE(""https://docs.google.com/spreadsheets/d/1juPI-Fb8LD0YtltB2mlGEnp_R3UVu1t3wSFPzgCyHXE/edit?gid=0#gid=0"",""GERAL!A2:C""),3,0),""-"")"),"-")</f>
        <v>-</v>
      </c>
    </row>
    <row r="443" ht="15.75" customHeight="1">
      <c r="A443" s="111" t="s">
        <v>540</v>
      </c>
      <c r="B443" s="83" t="s">
        <v>1796</v>
      </c>
      <c r="C443" s="83" t="s">
        <v>164</v>
      </c>
      <c r="D443" s="112">
        <v>1179284.0</v>
      </c>
      <c r="E443" s="83">
        <v>1179398.0</v>
      </c>
      <c r="F443" s="98">
        <v>2.946093E7</v>
      </c>
      <c r="G443" s="114" t="s">
        <v>1802</v>
      </c>
      <c r="H443" s="91" t="s">
        <v>1803</v>
      </c>
      <c r="I443" s="83" t="s">
        <v>149</v>
      </c>
      <c r="J443" s="98" t="s">
        <v>187</v>
      </c>
      <c r="K443" s="98" t="s">
        <v>168</v>
      </c>
      <c r="L443" s="83" t="s">
        <v>512</v>
      </c>
      <c r="M443" s="82" t="str">
        <f>IFERROR(__xludf.DUMMYFUNCTION("IFERROR(VLOOKUP(D443,
IMPORTRANGE(""https://docs.google.com/spreadsheets/d/1MjHtlUikwobi2MaWJgy7tfLeBmhj1u-dRFRs_8GwSoA/edit#gid=0"",""Gestores Escolares!D7:J""),3,0),""VERIFICAR CÓD SEC"")")," NILCEANNE NOGUEIRA LIMA")</f>
        <v> NILCEANNE NOGUEIRA LIMA</v>
      </c>
      <c r="N443" s="82" t="str">
        <f>IFERROR(__xludf.DUMMYFUNCTION("IFERROR(VLOOKUP(D443,
IMPORTRANGE(""https://docs.google.com/spreadsheets/d/1MjHtlUikwobi2MaWJgy7tfLeBmhj1u-dRFRs_8GwSoA/edit#gid=0"",""Gestores Escolares!D7:J""),4,0),""VERIFICAR CÓD SEC"")"),"(73) 9 9123-7129")</f>
        <v>(73) 9 9123-7129</v>
      </c>
      <c r="O443" s="82" t="str">
        <f>IFERROR(__xludf.DUMMYFUNCTION("IFERROR(VLOOKUP(D443,
IMPORTRANGE(""https://docs.google.com/spreadsheets/d/1MjHtlUikwobi2MaWJgy7tfLeBmhj1u-dRFRs_8GwSoA/edit#gid=0"",""Gestores Escolares!D7:J""),6,0),""VERIFICAR CÓD SEC"")"),"FRANCISCO CRUZ DO NASCIMENTO")</f>
        <v>FRANCISCO CRUZ DO NASCIMENTO</v>
      </c>
      <c r="P443" s="82" t="str">
        <f>IFERROR(__xludf.DUMMYFUNCTION("IFERROR(VLOOKUP(D443,
IMPORTRANGE(""https://docs.google.com/spreadsheets/d/1MjHtlUikwobi2MaWJgy7tfLeBmhj1u-dRFRs_8GwSoA/edit#gid=0"",""Gestores Escolares!D7:J""),7,0),""VERIFICAR CÓD SEC"")"),"(73) 9 8123-9143")</f>
        <v>(73) 9 8123-9143</v>
      </c>
      <c r="Q443" s="82" t="str">
        <f>IFERROR(__xludf.DUMMYFUNCTION("IFERROR(VLOOKUP(D443,
IMPORTRANGE(""https://docs.google.com/spreadsheets/d/1MjHtlUikwobi2MaWJgy7tfLeBmhj1u-dRFRs_8GwSoA/edit#gid=0"",""Gestores Escolares!D7:m""),9,0),""VERIFICAR CÓD SEC"")"),"")</f>
        <v/>
      </c>
      <c r="R443" s="82" t="str">
        <f>IFERROR(__xludf.DUMMYFUNCTION("IFERROR(VLOOKUP(D443,
IMPORTRANGE(""https://docs.google.com/spreadsheets/d/1MjHtlUikwobi2MaWJgy7tfLeBmhj1u-dRFRs_8GwSoA/edit#gid=0"",""Gestores Escolares!D7:m""),10,0),""VERIFICAR CÓD SEC"")"),"")</f>
        <v/>
      </c>
      <c r="S443" s="82"/>
      <c r="T443" s="138">
        <v>4.0</v>
      </c>
      <c r="U443" s="145">
        <v>2.0</v>
      </c>
      <c r="V443" s="106">
        <v>0.0</v>
      </c>
      <c r="W443" s="107">
        <v>0.0</v>
      </c>
      <c r="X443" s="107">
        <v>0.0</v>
      </c>
      <c r="Y443" s="107">
        <v>0.0</v>
      </c>
      <c r="Z443" s="80">
        <f t="shared" si="1"/>
        <v>0</v>
      </c>
      <c r="AA443" s="106">
        <v>0.0</v>
      </c>
      <c r="AB443" s="107">
        <v>0.0</v>
      </c>
      <c r="AC443" s="107">
        <v>0.0</v>
      </c>
      <c r="AD443" s="107">
        <v>0.0</v>
      </c>
      <c r="AE443" s="80">
        <f t="shared" si="2"/>
        <v>0</v>
      </c>
      <c r="AF443" s="140">
        <v>0.0</v>
      </c>
      <c r="AG443" s="109">
        <v>0.0</v>
      </c>
      <c r="AH443" s="109">
        <v>17.0</v>
      </c>
      <c r="AI443" s="141">
        <v>0.0</v>
      </c>
      <c r="AJ443" s="80">
        <f t="shared" si="3"/>
        <v>17</v>
      </c>
      <c r="AK443" s="140">
        <v>0.0</v>
      </c>
      <c r="AL443" s="109">
        <v>0.0</v>
      </c>
      <c r="AM443" s="141">
        <v>0.0</v>
      </c>
      <c r="AN443" s="80">
        <f t="shared" si="4"/>
        <v>0</v>
      </c>
      <c r="AO443" s="140">
        <v>0.0</v>
      </c>
      <c r="AP443" s="109">
        <v>0.0</v>
      </c>
      <c r="AQ443" s="109">
        <v>0.0</v>
      </c>
      <c r="AR443" s="80">
        <f t="shared" si="5"/>
        <v>0</v>
      </c>
      <c r="AS443" s="110">
        <v>0.0</v>
      </c>
      <c r="AT443" s="110">
        <v>0.0</v>
      </c>
      <c r="AU443" s="110">
        <v>0.0</v>
      </c>
      <c r="AV443" s="142">
        <v>0.0</v>
      </c>
      <c r="AW443" s="80">
        <f t="shared" si="6"/>
        <v>0</v>
      </c>
      <c r="AX443" s="113">
        <f t="shared" si="7"/>
        <v>17</v>
      </c>
      <c r="AY443" s="117">
        <f t="shared" si="8"/>
        <v>0</v>
      </c>
      <c r="AZ443" s="120">
        <f t="shared" si="9"/>
        <v>17</v>
      </c>
      <c r="BA443" s="115">
        <v>0.0</v>
      </c>
      <c r="BB443" s="89">
        <f t="shared" si="10"/>
        <v>17</v>
      </c>
      <c r="BC443" s="132" t="s">
        <v>178</v>
      </c>
      <c r="BD443" s="143" t="s">
        <v>227</v>
      </c>
      <c r="BE443" s="132" t="s">
        <v>178</v>
      </c>
      <c r="BF443" s="156"/>
      <c r="BG443" s="83">
        <v>1179398.0</v>
      </c>
      <c r="BH443" s="112"/>
      <c r="BI443" s="112">
        <v>2.0</v>
      </c>
      <c r="BJ443" s="98" t="s">
        <v>155</v>
      </c>
      <c r="BK443" s="99">
        <f t="shared" si="11"/>
        <v>0</v>
      </c>
      <c r="BL443" s="99">
        <f t="shared" si="12"/>
        <v>0</v>
      </c>
      <c r="BM443" s="99" t="str">
        <f>IFERROR(__xludf.DUMMYFUNCTION("IFERROR(VLOOKUP(BG443,IMPORTRANGE(""https://docs.google.com/spreadsheets/d/1juPI-Fb8LD0YtltB2mlGEnp_R3UVu1t3wSFPzgCyHXE/edit?gid=0#gid=0"",""GERAL!A2:C""),3,0),""-"")"),"-")</f>
        <v>-</v>
      </c>
    </row>
    <row r="444" ht="15.75" customHeight="1">
      <c r="A444" s="111" t="s">
        <v>540</v>
      </c>
      <c r="B444" s="83" t="s">
        <v>1796</v>
      </c>
      <c r="C444" s="83" t="s">
        <v>164</v>
      </c>
      <c r="D444" s="112">
        <v>1179284.0</v>
      </c>
      <c r="E444" s="83">
        <v>1179241.0</v>
      </c>
      <c r="F444" s="98">
        <v>2.946093E7</v>
      </c>
      <c r="G444" s="114" t="s">
        <v>1804</v>
      </c>
      <c r="H444" s="91" t="s">
        <v>1805</v>
      </c>
      <c r="I444" s="83" t="s">
        <v>149</v>
      </c>
      <c r="J444" s="136" t="s">
        <v>1806</v>
      </c>
      <c r="K444" s="83" t="s">
        <v>168</v>
      </c>
      <c r="L444" s="83" t="s">
        <v>169</v>
      </c>
      <c r="M444" s="82" t="str">
        <f>IFERROR(__xludf.DUMMYFUNCTION("IFERROR(VLOOKUP(D444,
IMPORTRANGE(""https://docs.google.com/spreadsheets/d/1MjHtlUikwobi2MaWJgy7tfLeBmhj1u-dRFRs_8GwSoA/edit#gid=0"",""Gestores Escolares!D7:J""),3,0),""VERIFICAR CÓD SEC"")")," NILCEANNE NOGUEIRA LIMA")</f>
        <v> NILCEANNE NOGUEIRA LIMA</v>
      </c>
      <c r="N444" s="82" t="str">
        <f>IFERROR(__xludf.DUMMYFUNCTION("IFERROR(VLOOKUP(D444,
IMPORTRANGE(""https://docs.google.com/spreadsheets/d/1MjHtlUikwobi2MaWJgy7tfLeBmhj1u-dRFRs_8GwSoA/edit#gid=0"",""Gestores Escolares!D7:J""),4,0),""VERIFICAR CÓD SEC"")"),"(73) 9 9123-7129")</f>
        <v>(73) 9 9123-7129</v>
      </c>
      <c r="O444" s="82" t="str">
        <f>IFERROR(__xludf.DUMMYFUNCTION("IFERROR(VLOOKUP(D444,
IMPORTRANGE(""https://docs.google.com/spreadsheets/d/1MjHtlUikwobi2MaWJgy7tfLeBmhj1u-dRFRs_8GwSoA/edit#gid=0"",""Gestores Escolares!D7:J""),6,0),""VERIFICAR CÓD SEC"")"),"FRANCISCO CRUZ DO NASCIMENTO")</f>
        <v>FRANCISCO CRUZ DO NASCIMENTO</v>
      </c>
      <c r="P444" s="82" t="str">
        <f>IFERROR(__xludf.DUMMYFUNCTION("IFERROR(VLOOKUP(D444,
IMPORTRANGE(""https://docs.google.com/spreadsheets/d/1MjHtlUikwobi2MaWJgy7tfLeBmhj1u-dRFRs_8GwSoA/edit#gid=0"",""Gestores Escolares!D7:J""),7,0),""VERIFICAR CÓD SEC"")"),"(73) 9 8123-9143")</f>
        <v>(73) 9 8123-9143</v>
      </c>
      <c r="Q444" s="82" t="str">
        <f>IFERROR(__xludf.DUMMYFUNCTION("IFERROR(VLOOKUP(D444,
IMPORTRANGE(""https://docs.google.com/spreadsheets/d/1MjHtlUikwobi2MaWJgy7tfLeBmhj1u-dRFRs_8GwSoA/edit#gid=0"",""Gestores Escolares!D7:m""),9,0),""VERIFICAR CÓD SEC"")"),"")</f>
        <v/>
      </c>
      <c r="R444" s="82" t="str">
        <f>IFERROR(__xludf.DUMMYFUNCTION("IFERROR(VLOOKUP(D444,
IMPORTRANGE(""https://docs.google.com/spreadsheets/d/1MjHtlUikwobi2MaWJgy7tfLeBmhj1u-dRFRs_8GwSoA/edit#gid=0"",""Gestores Escolares!D7:m""),10,0),""VERIFICAR CÓD SEC"")"),"")</f>
        <v/>
      </c>
      <c r="S444" s="82"/>
      <c r="T444" s="138">
        <v>3.0</v>
      </c>
      <c r="U444" s="145">
        <v>2.0</v>
      </c>
      <c r="V444" s="106">
        <v>0.0</v>
      </c>
      <c r="W444" s="107">
        <v>0.0</v>
      </c>
      <c r="X444" s="107">
        <v>0.0</v>
      </c>
      <c r="Y444" s="107">
        <v>0.0</v>
      </c>
      <c r="Z444" s="80">
        <f t="shared" si="1"/>
        <v>0</v>
      </c>
      <c r="AA444" s="106">
        <v>0.0</v>
      </c>
      <c r="AB444" s="107">
        <v>0.0</v>
      </c>
      <c r="AC444" s="107">
        <v>0.0</v>
      </c>
      <c r="AD444" s="107">
        <v>0.0</v>
      </c>
      <c r="AE444" s="80">
        <f t="shared" si="2"/>
        <v>0</v>
      </c>
      <c r="AF444" s="140">
        <v>0.0</v>
      </c>
      <c r="AG444" s="109">
        <v>0.0</v>
      </c>
      <c r="AH444" s="109">
        <v>36.0</v>
      </c>
      <c r="AI444" s="141">
        <v>0.0</v>
      </c>
      <c r="AJ444" s="80">
        <f t="shared" si="3"/>
        <v>36</v>
      </c>
      <c r="AK444" s="140">
        <v>0.0</v>
      </c>
      <c r="AL444" s="109">
        <v>0.0</v>
      </c>
      <c r="AM444" s="141">
        <v>0.0</v>
      </c>
      <c r="AN444" s="80">
        <f t="shared" si="4"/>
        <v>0</v>
      </c>
      <c r="AO444" s="140">
        <v>0.0</v>
      </c>
      <c r="AP444" s="109">
        <v>0.0</v>
      </c>
      <c r="AQ444" s="109">
        <v>0.0</v>
      </c>
      <c r="AR444" s="80">
        <f t="shared" si="5"/>
        <v>0</v>
      </c>
      <c r="AS444" s="110">
        <v>0.0</v>
      </c>
      <c r="AT444" s="110">
        <v>0.0</v>
      </c>
      <c r="AU444" s="110">
        <v>0.0</v>
      </c>
      <c r="AV444" s="142">
        <v>0.0</v>
      </c>
      <c r="AW444" s="80">
        <f t="shared" si="6"/>
        <v>0</v>
      </c>
      <c r="AX444" s="113">
        <f t="shared" si="7"/>
        <v>36</v>
      </c>
      <c r="AY444" s="117">
        <f t="shared" si="8"/>
        <v>0</v>
      </c>
      <c r="AZ444" s="120">
        <f t="shared" si="9"/>
        <v>36</v>
      </c>
      <c r="BA444" s="115">
        <v>0.0</v>
      </c>
      <c r="BB444" s="89">
        <f t="shared" si="10"/>
        <v>36</v>
      </c>
      <c r="BC444" s="132" t="s">
        <v>178</v>
      </c>
      <c r="BD444" s="143" t="s">
        <v>227</v>
      </c>
      <c r="BE444" s="132" t="s">
        <v>178</v>
      </c>
      <c r="BF444" s="123"/>
      <c r="BG444" s="83">
        <v>1179241.0</v>
      </c>
      <c r="BH444" s="112"/>
      <c r="BI444" s="112">
        <v>2.0</v>
      </c>
      <c r="BJ444" s="98" t="s">
        <v>155</v>
      </c>
      <c r="BK444" s="99">
        <f t="shared" si="11"/>
        <v>0</v>
      </c>
      <c r="BL444" s="99">
        <f t="shared" si="12"/>
        <v>0</v>
      </c>
      <c r="BM444" s="99" t="str">
        <f>IFERROR(__xludf.DUMMYFUNCTION("IFERROR(VLOOKUP(BG444,IMPORTRANGE(""https://docs.google.com/spreadsheets/d/1juPI-Fb8LD0YtltB2mlGEnp_R3UVu1t3wSFPzgCyHXE/edit?gid=0#gid=0"",""GERAL!A2:C""),3,0),""-"")"),"-")</f>
        <v>-</v>
      </c>
    </row>
    <row r="445" ht="15.75" customHeight="1">
      <c r="A445" s="111" t="s">
        <v>540</v>
      </c>
      <c r="B445" s="83" t="s">
        <v>1796</v>
      </c>
      <c r="C445" s="83" t="s">
        <v>164</v>
      </c>
      <c r="D445" s="112">
        <v>1179284.0</v>
      </c>
      <c r="E445" s="83">
        <v>1179242.0</v>
      </c>
      <c r="F445" s="98">
        <v>2.946093E7</v>
      </c>
      <c r="G445" s="114" t="s">
        <v>1807</v>
      </c>
      <c r="H445" s="91" t="s">
        <v>1808</v>
      </c>
      <c r="I445" s="136" t="s">
        <v>1809</v>
      </c>
      <c r="J445" s="83" t="s">
        <v>767</v>
      </c>
      <c r="K445" s="83" t="s">
        <v>168</v>
      </c>
      <c r="L445" s="83" t="s">
        <v>169</v>
      </c>
      <c r="M445" s="82" t="str">
        <f>IFERROR(__xludf.DUMMYFUNCTION("IFERROR(VLOOKUP(D445,
IMPORTRANGE(""https://docs.google.com/spreadsheets/d/1MjHtlUikwobi2MaWJgy7tfLeBmhj1u-dRFRs_8GwSoA/edit#gid=0"",""Gestores Escolares!D7:J""),3,0),""VERIFICAR CÓD SEC"")")," NILCEANNE NOGUEIRA LIMA")</f>
        <v> NILCEANNE NOGUEIRA LIMA</v>
      </c>
      <c r="N445" s="82" t="str">
        <f>IFERROR(__xludf.DUMMYFUNCTION("IFERROR(VLOOKUP(D445,
IMPORTRANGE(""https://docs.google.com/spreadsheets/d/1MjHtlUikwobi2MaWJgy7tfLeBmhj1u-dRFRs_8GwSoA/edit#gid=0"",""Gestores Escolares!D7:J""),4,0),""VERIFICAR CÓD SEC"")"),"(73) 9 9123-7129")</f>
        <v>(73) 9 9123-7129</v>
      </c>
      <c r="O445" s="82" t="str">
        <f>IFERROR(__xludf.DUMMYFUNCTION("IFERROR(VLOOKUP(D445,
IMPORTRANGE(""https://docs.google.com/spreadsheets/d/1MjHtlUikwobi2MaWJgy7tfLeBmhj1u-dRFRs_8GwSoA/edit#gid=0"",""Gestores Escolares!D7:J""),6,0),""VERIFICAR CÓD SEC"")"),"FRANCISCO CRUZ DO NASCIMENTO")</f>
        <v>FRANCISCO CRUZ DO NASCIMENTO</v>
      </c>
      <c r="P445" s="82" t="str">
        <f>IFERROR(__xludf.DUMMYFUNCTION("IFERROR(VLOOKUP(D445,
IMPORTRANGE(""https://docs.google.com/spreadsheets/d/1MjHtlUikwobi2MaWJgy7tfLeBmhj1u-dRFRs_8GwSoA/edit#gid=0"",""Gestores Escolares!D7:J""),7,0),""VERIFICAR CÓD SEC"")"),"(73) 9 8123-9143")</f>
        <v>(73) 9 8123-9143</v>
      </c>
      <c r="Q445" s="82" t="str">
        <f>IFERROR(__xludf.DUMMYFUNCTION("IFERROR(VLOOKUP(D445,
IMPORTRANGE(""https://docs.google.com/spreadsheets/d/1MjHtlUikwobi2MaWJgy7tfLeBmhj1u-dRFRs_8GwSoA/edit#gid=0"",""Gestores Escolares!D7:m""),9,0),""VERIFICAR CÓD SEC"")"),"")</f>
        <v/>
      </c>
      <c r="R445" s="82" t="str">
        <f>IFERROR(__xludf.DUMMYFUNCTION("IFERROR(VLOOKUP(D445,
IMPORTRANGE(""https://docs.google.com/spreadsheets/d/1MjHtlUikwobi2MaWJgy7tfLeBmhj1u-dRFRs_8GwSoA/edit#gid=0"",""Gestores Escolares!D7:m""),10,0),""VERIFICAR CÓD SEC"")"),"")</f>
        <v/>
      </c>
      <c r="S445" s="82"/>
      <c r="T445" s="138">
        <v>3.0</v>
      </c>
      <c r="U445" s="139">
        <v>3.0</v>
      </c>
      <c r="V445" s="106">
        <v>0.0</v>
      </c>
      <c r="W445" s="107">
        <v>0.0</v>
      </c>
      <c r="X445" s="107">
        <v>0.0</v>
      </c>
      <c r="Y445" s="107">
        <v>0.0</v>
      </c>
      <c r="Z445" s="80">
        <f t="shared" si="1"/>
        <v>0</v>
      </c>
      <c r="AA445" s="106">
        <v>0.0</v>
      </c>
      <c r="AB445" s="107">
        <v>0.0</v>
      </c>
      <c r="AC445" s="107">
        <v>0.0</v>
      </c>
      <c r="AD445" s="107">
        <v>0.0</v>
      </c>
      <c r="AE445" s="80">
        <f t="shared" si="2"/>
        <v>0</v>
      </c>
      <c r="AF445" s="222">
        <v>0.0</v>
      </c>
      <c r="AG445" s="222">
        <v>0.0</v>
      </c>
      <c r="AH445" s="222">
        <v>25.0</v>
      </c>
      <c r="AI445" s="224">
        <v>0.0</v>
      </c>
      <c r="AJ445" s="80">
        <f t="shared" si="3"/>
        <v>25</v>
      </c>
      <c r="AK445" s="140">
        <v>0.0</v>
      </c>
      <c r="AL445" s="109">
        <v>0.0</v>
      </c>
      <c r="AM445" s="141">
        <v>0.0</v>
      </c>
      <c r="AN445" s="80">
        <f t="shared" si="4"/>
        <v>0</v>
      </c>
      <c r="AO445" s="222">
        <v>0.0</v>
      </c>
      <c r="AP445" s="222">
        <v>0.0</v>
      </c>
      <c r="AQ445" s="224">
        <v>0.0</v>
      </c>
      <c r="AR445" s="80">
        <f t="shared" si="5"/>
        <v>0</v>
      </c>
      <c r="AS445" s="110">
        <v>0.0</v>
      </c>
      <c r="AT445" s="110">
        <v>0.0</v>
      </c>
      <c r="AU445" s="110">
        <v>0.0</v>
      </c>
      <c r="AV445" s="142">
        <v>0.0</v>
      </c>
      <c r="AW445" s="80">
        <f t="shared" si="6"/>
        <v>0</v>
      </c>
      <c r="AX445" s="113">
        <f t="shared" si="7"/>
        <v>25</v>
      </c>
      <c r="AY445" s="117">
        <f t="shared" si="8"/>
        <v>0</v>
      </c>
      <c r="AZ445" s="120">
        <f t="shared" si="9"/>
        <v>25</v>
      </c>
      <c r="BA445" s="115">
        <v>0.0</v>
      </c>
      <c r="BB445" s="89">
        <f t="shared" si="10"/>
        <v>25</v>
      </c>
      <c r="BC445" s="132" t="s">
        <v>178</v>
      </c>
      <c r="BD445" s="143" t="s">
        <v>227</v>
      </c>
      <c r="BE445" s="132" t="s">
        <v>178</v>
      </c>
      <c r="BF445" s="156"/>
      <c r="BG445" s="83">
        <v>1179242.0</v>
      </c>
      <c r="BH445" s="112"/>
      <c r="BI445" s="112">
        <v>3.0</v>
      </c>
      <c r="BJ445" s="98" t="s">
        <v>155</v>
      </c>
      <c r="BK445" s="99">
        <f t="shared" si="11"/>
        <v>0</v>
      </c>
      <c r="BL445" s="99">
        <f t="shared" si="12"/>
        <v>0</v>
      </c>
      <c r="BM445" s="99" t="str">
        <f>IFERROR(__xludf.DUMMYFUNCTION("IFERROR(VLOOKUP(BG445,IMPORTRANGE(""https://docs.google.com/spreadsheets/d/1juPI-Fb8LD0YtltB2mlGEnp_R3UVu1t3wSFPzgCyHXE/edit?gid=0#gid=0"",""GERAL!A2:C""),3,0),""-"")"),"-")</f>
        <v>-</v>
      </c>
    </row>
    <row r="446" ht="15.75" customHeight="1">
      <c r="A446" s="111" t="s">
        <v>540</v>
      </c>
      <c r="B446" s="83" t="s">
        <v>1796</v>
      </c>
      <c r="C446" s="83" t="s">
        <v>164</v>
      </c>
      <c r="D446" s="112">
        <v>1179284.0</v>
      </c>
      <c r="E446" s="83">
        <v>1178572.0</v>
      </c>
      <c r="F446" s="98">
        <v>2.946093E7</v>
      </c>
      <c r="G446" s="114" t="s">
        <v>1810</v>
      </c>
      <c r="H446" s="91" t="s">
        <v>1811</v>
      </c>
      <c r="I446" s="83" t="s">
        <v>149</v>
      </c>
      <c r="J446" s="83" t="s">
        <v>464</v>
      </c>
      <c r="K446" s="83" t="s">
        <v>168</v>
      </c>
      <c r="L446" s="83" t="s">
        <v>169</v>
      </c>
      <c r="M446" s="82" t="str">
        <f>IFERROR(__xludf.DUMMYFUNCTION("IFERROR(VLOOKUP(D446,
IMPORTRANGE(""https://docs.google.com/spreadsheets/d/1MjHtlUikwobi2MaWJgy7tfLeBmhj1u-dRFRs_8GwSoA/edit#gid=0"",""Gestores Escolares!D7:J""),3,0),""VERIFICAR CÓD SEC"")")," NILCEANNE NOGUEIRA LIMA")</f>
        <v> NILCEANNE NOGUEIRA LIMA</v>
      </c>
      <c r="N446" s="82" t="str">
        <f>IFERROR(__xludf.DUMMYFUNCTION("IFERROR(VLOOKUP(D446,
IMPORTRANGE(""https://docs.google.com/spreadsheets/d/1MjHtlUikwobi2MaWJgy7tfLeBmhj1u-dRFRs_8GwSoA/edit#gid=0"",""Gestores Escolares!D7:J""),4,0),""VERIFICAR CÓD SEC"")"),"(73) 9 9123-7129")</f>
        <v>(73) 9 9123-7129</v>
      </c>
      <c r="O446" s="82" t="str">
        <f>IFERROR(__xludf.DUMMYFUNCTION("IFERROR(VLOOKUP(D446,
IMPORTRANGE(""https://docs.google.com/spreadsheets/d/1MjHtlUikwobi2MaWJgy7tfLeBmhj1u-dRFRs_8GwSoA/edit#gid=0"",""Gestores Escolares!D7:J""),6,0),""VERIFICAR CÓD SEC"")"),"FRANCISCO CRUZ DO NASCIMENTO")</f>
        <v>FRANCISCO CRUZ DO NASCIMENTO</v>
      </c>
      <c r="P446" s="82" t="str">
        <f>IFERROR(__xludf.DUMMYFUNCTION("IFERROR(VLOOKUP(D446,
IMPORTRANGE(""https://docs.google.com/spreadsheets/d/1MjHtlUikwobi2MaWJgy7tfLeBmhj1u-dRFRs_8GwSoA/edit#gid=0"",""Gestores Escolares!D7:J""),7,0),""VERIFICAR CÓD SEC"")"),"(73) 9 8123-9143")</f>
        <v>(73) 9 8123-9143</v>
      </c>
      <c r="Q446" s="82" t="str">
        <f>IFERROR(__xludf.DUMMYFUNCTION("IFERROR(VLOOKUP(D446,
IMPORTRANGE(""https://docs.google.com/spreadsheets/d/1MjHtlUikwobi2MaWJgy7tfLeBmhj1u-dRFRs_8GwSoA/edit#gid=0"",""Gestores Escolares!D7:m""),9,0),""VERIFICAR CÓD SEC"")"),"")</f>
        <v/>
      </c>
      <c r="R446" s="82" t="str">
        <f>IFERROR(__xludf.DUMMYFUNCTION("IFERROR(VLOOKUP(D446,
IMPORTRANGE(""https://docs.google.com/spreadsheets/d/1MjHtlUikwobi2MaWJgy7tfLeBmhj1u-dRFRs_8GwSoA/edit#gid=0"",""Gestores Escolares!D7:m""),10,0),""VERIFICAR CÓD SEC"")"),"")</f>
        <v/>
      </c>
      <c r="S446" s="82"/>
      <c r="T446" s="138">
        <v>3.0</v>
      </c>
      <c r="U446" s="139">
        <v>3.0</v>
      </c>
      <c r="V446" s="106">
        <v>0.0</v>
      </c>
      <c r="W446" s="107">
        <v>0.0</v>
      </c>
      <c r="X446" s="107">
        <v>0.0</v>
      </c>
      <c r="Y446" s="107">
        <v>0.0</v>
      </c>
      <c r="Z446" s="80">
        <f t="shared" si="1"/>
        <v>0</v>
      </c>
      <c r="AA446" s="106">
        <v>0.0</v>
      </c>
      <c r="AB446" s="107">
        <v>0.0</v>
      </c>
      <c r="AC446" s="107">
        <v>0.0</v>
      </c>
      <c r="AD446" s="107">
        <v>0.0</v>
      </c>
      <c r="AE446" s="80">
        <f t="shared" si="2"/>
        <v>0</v>
      </c>
      <c r="AF446" s="140">
        <v>0.0</v>
      </c>
      <c r="AG446" s="109">
        <v>0.0</v>
      </c>
      <c r="AH446" s="109">
        <v>22.0</v>
      </c>
      <c r="AI446" s="141">
        <v>0.0</v>
      </c>
      <c r="AJ446" s="80">
        <f t="shared" si="3"/>
        <v>22</v>
      </c>
      <c r="AK446" s="140">
        <v>0.0</v>
      </c>
      <c r="AL446" s="109">
        <v>0.0</v>
      </c>
      <c r="AM446" s="141">
        <v>0.0</v>
      </c>
      <c r="AN446" s="80">
        <f t="shared" si="4"/>
        <v>0</v>
      </c>
      <c r="AO446" s="140">
        <v>0.0</v>
      </c>
      <c r="AP446" s="109">
        <v>0.0</v>
      </c>
      <c r="AQ446" s="109">
        <v>0.0</v>
      </c>
      <c r="AR446" s="80">
        <f t="shared" si="5"/>
        <v>0</v>
      </c>
      <c r="AS446" s="110">
        <v>0.0</v>
      </c>
      <c r="AT446" s="110">
        <v>0.0</v>
      </c>
      <c r="AU446" s="110">
        <v>0.0</v>
      </c>
      <c r="AV446" s="142">
        <v>0.0</v>
      </c>
      <c r="AW446" s="80">
        <f t="shared" si="6"/>
        <v>0</v>
      </c>
      <c r="AX446" s="113">
        <f t="shared" si="7"/>
        <v>22</v>
      </c>
      <c r="AY446" s="117">
        <f t="shared" si="8"/>
        <v>0</v>
      </c>
      <c r="AZ446" s="120">
        <f t="shared" si="9"/>
        <v>22</v>
      </c>
      <c r="BA446" s="115">
        <v>0.0</v>
      </c>
      <c r="BB446" s="89">
        <f t="shared" si="10"/>
        <v>22</v>
      </c>
      <c r="BC446" s="132" t="s">
        <v>178</v>
      </c>
      <c r="BD446" s="143" t="s">
        <v>227</v>
      </c>
      <c r="BE446" s="132" t="s">
        <v>178</v>
      </c>
      <c r="BF446" s="123"/>
      <c r="BG446" s="83">
        <v>1178572.0</v>
      </c>
      <c r="BH446" s="112"/>
      <c r="BI446" s="112">
        <v>3.0</v>
      </c>
      <c r="BJ446" s="98" t="s">
        <v>155</v>
      </c>
      <c r="BK446" s="99">
        <f t="shared" si="11"/>
        <v>0</v>
      </c>
      <c r="BL446" s="99">
        <f t="shared" si="12"/>
        <v>0</v>
      </c>
      <c r="BM446" s="99" t="str">
        <f>IFERROR(__xludf.DUMMYFUNCTION("IFERROR(VLOOKUP(BG446,IMPORTRANGE(""https://docs.google.com/spreadsheets/d/1juPI-Fb8LD0YtltB2mlGEnp_R3UVu1t3wSFPzgCyHXE/edit?gid=0#gid=0"",""GERAL!A2:C""),3,0),""-"")"),"-")</f>
        <v>-</v>
      </c>
    </row>
    <row r="447" ht="15.75" customHeight="1">
      <c r="A447" s="111" t="s">
        <v>540</v>
      </c>
      <c r="B447" s="83" t="s">
        <v>1812</v>
      </c>
      <c r="C447" s="83" t="s">
        <v>68</v>
      </c>
      <c r="D447" s="112">
        <v>1110677.0</v>
      </c>
      <c r="E447" s="189"/>
      <c r="F447" s="189">
        <v>2.9313325E7</v>
      </c>
      <c r="G447" s="423" t="s">
        <v>1813</v>
      </c>
      <c r="H447" s="91" t="s">
        <v>1814</v>
      </c>
      <c r="I447" s="83" t="s">
        <v>149</v>
      </c>
      <c r="J447" s="83" t="s">
        <v>150</v>
      </c>
      <c r="K447" s="83" t="s">
        <v>1685</v>
      </c>
      <c r="L447" s="98" t="s">
        <v>152</v>
      </c>
      <c r="M447" s="82" t="str">
        <f>IFERROR(__xludf.DUMMYFUNCTION("IFERROR(VLOOKUP(D447,
IMPORTRANGE(""https://docs.google.com/spreadsheets/d/1MjHtlUikwobi2MaWJgy7tfLeBmhj1u-dRFRs_8GwSoA/edit#gid=0"",""Gestores Escolares!D7:J""),3,0),""VERIFICAR CÓD SEC"")"),"MARILENE SOUZA BARRETO LIMA")</f>
        <v>MARILENE SOUZA BARRETO LIMA</v>
      </c>
      <c r="N447" s="82" t="str">
        <f>IFERROR(__xludf.DUMMYFUNCTION("IFERROR(VLOOKUP(D447,
IMPORTRANGE(""https://docs.google.com/spreadsheets/d/1MjHtlUikwobi2MaWJgy7tfLeBmhj1u-dRFRs_8GwSoA/edit#gid=0"",""Gestores Escolares!D7:J""),4,0),""VERIFICAR CÓD SEC"")"),"(73) 9 8144-8575")</f>
        <v>(73) 9 8144-8575</v>
      </c>
      <c r="O447" s="82" t="str">
        <f>IFERROR(__xludf.DUMMYFUNCTION("IFERROR(VLOOKUP(D447,
IMPORTRANGE(""https://docs.google.com/spreadsheets/d/1MjHtlUikwobi2MaWJgy7tfLeBmhj1u-dRFRs_8GwSoA/edit#gid=0"",""Gestores Escolares!D7:J""),6,0),""VERIFICAR CÓD SEC"")"),"RODRIGO DE OLIVEIRA LELIS")</f>
        <v>RODRIGO DE OLIVEIRA LELIS</v>
      </c>
      <c r="P447" s="82" t="str">
        <f>IFERROR(__xludf.DUMMYFUNCTION("IFERROR(VLOOKUP(D447,
IMPORTRANGE(""https://docs.google.com/spreadsheets/d/1MjHtlUikwobi2MaWJgy7tfLeBmhj1u-dRFRs_8GwSoA/edit#gid=0"",""Gestores Escolares!D7:J""),7,0),""VERIFICAR CÓD SEC"")"),"(75) 9 8128-4736")</f>
        <v>(75) 9 8128-4736</v>
      </c>
      <c r="Q447" s="82" t="str">
        <f>IFERROR(__xludf.DUMMYFUNCTION("IFERROR(VLOOKUP(D447,
IMPORTRANGE(""https://docs.google.com/spreadsheets/d/1MjHtlUikwobi2MaWJgy7tfLeBmhj1u-dRFRs_8GwSoA/edit#gid=0"",""Gestores Escolares!D7:m""),9,0),""VERIFICAR CÓD SEC"")"),"")</f>
        <v/>
      </c>
      <c r="R447" s="82" t="str">
        <f>IFERROR(__xludf.DUMMYFUNCTION("IFERROR(VLOOKUP(D447,
IMPORTRANGE(""https://docs.google.com/spreadsheets/d/1MjHtlUikwobi2MaWJgy7tfLeBmhj1u-dRFRs_8GwSoA/edit#gid=0"",""Gestores Escolares!D7:m""),10,0),""VERIFICAR CÓD SEC"")"),"")</f>
        <v/>
      </c>
      <c r="S447" s="82"/>
      <c r="T447" s="138">
        <v>8.0</v>
      </c>
      <c r="U447" s="217" t="s">
        <v>6219</v>
      </c>
      <c r="V447" s="106">
        <v>0.0</v>
      </c>
      <c r="W447" s="107">
        <v>0.0</v>
      </c>
      <c r="X447" s="107">
        <v>0.0</v>
      </c>
      <c r="Y447" s="107">
        <v>0.0</v>
      </c>
      <c r="Z447" s="80">
        <f t="shared" si="1"/>
        <v>0</v>
      </c>
      <c r="AA447" s="106">
        <v>0.0</v>
      </c>
      <c r="AB447" s="107">
        <v>0.0</v>
      </c>
      <c r="AC447" s="107">
        <v>0.0</v>
      </c>
      <c r="AD447" s="107">
        <v>0.0</v>
      </c>
      <c r="AE447" s="80">
        <f t="shared" si="2"/>
        <v>0</v>
      </c>
      <c r="AF447" s="140">
        <v>169.0</v>
      </c>
      <c r="AG447" s="109">
        <v>87.0</v>
      </c>
      <c r="AH447" s="109">
        <v>0.0</v>
      </c>
      <c r="AI447" s="141">
        <v>108.0</v>
      </c>
      <c r="AJ447" s="80">
        <f t="shared" si="3"/>
        <v>364</v>
      </c>
      <c r="AK447" s="140">
        <v>0.0</v>
      </c>
      <c r="AL447" s="109">
        <v>0.0</v>
      </c>
      <c r="AM447" s="141">
        <v>0.0</v>
      </c>
      <c r="AN447" s="80">
        <f t="shared" si="4"/>
        <v>0</v>
      </c>
      <c r="AO447" s="140">
        <v>0.0</v>
      </c>
      <c r="AP447" s="109">
        <v>0.0</v>
      </c>
      <c r="AQ447" s="109">
        <v>109.0</v>
      </c>
      <c r="AR447" s="80">
        <f t="shared" si="5"/>
        <v>109</v>
      </c>
      <c r="AS447" s="110">
        <v>0.0</v>
      </c>
      <c r="AT447" s="110">
        <v>0.0</v>
      </c>
      <c r="AU447" s="110">
        <v>18.0</v>
      </c>
      <c r="AV447" s="142">
        <v>0.0</v>
      </c>
      <c r="AW447" s="80">
        <f t="shared" si="6"/>
        <v>18</v>
      </c>
      <c r="AX447" s="113">
        <f t="shared" si="7"/>
        <v>491</v>
      </c>
      <c r="AY447" s="117">
        <f t="shared" si="8"/>
        <v>364</v>
      </c>
      <c r="AZ447" s="120">
        <f t="shared" si="9"/>
        <v>127</v>
      </c>
      <c r="BA447" s="115">
        <v>0.0</v>
      </c>
      <c r="BB447" s="89">
        <f t="shared" si="10"/>
        <v>491</v>
      </c>
      <c r="BC447" s="132" t="s">
        <v>178</v>
      </c>
      <c r="BD447" s="132" t="s">
        <v>178</v>
      </c>
      <c r="BE447" s="132" t="s">
        <v>178</v>
      </c>
      <c r="BF447" s="123"/>
      <c r="BG447" s="83">
        <v>1110677.0</v>
      </c>
      <c r="BH447" s="112"/>
      <c r="BI447" s="112">
        <v>7.0</v>
      </c>
      <c r="BJ447" s="98" t="s">
        <v>155</v>
      </c>
      <c r="BK447" s="99">
        <f t="shared" si="11"/>
        <v>108</v>
      </c>
      <c r="BL447" s="99">
        <f t="shared" si="12"/>
        <v>256</v>
      </c>
      <c r="BM447" s="99" t="str">
        <f>IFERROR(__xludf.DUMMYFUNCTION("IFERROR(VLOOKUP(BG447,IMPORTRANGE(""https://docs.google.com/spreadsheets/d/1juPI-Fb8LD0YtltB2mlGEnp_R3UVu1t3wSFPzgCyHXE/edit?gid=0#gid=0"",""GERAL!A2:C""),3,0),""-"")"),"-")</f>
        <v>-</v>
      </c>
    </row>
    <row r="448" ht="15.75" customHeight="1">
      <c r="A448" s="111" t="s">
        <v>540</v>
      </c>
      <c r="B448" s="83" t="s">
        <v>1812</v>
      </c>
      <c r="C448" s="191" t="s">
        <v>164</v>
      </c>
      <c r="D448" s="112">
        <v>1179284.0</v>
      </c>
      <c r="E448" s="83">
        <v>1178490.0</v>
      </c>
      <c r="F448" s="83">
        <v>2.946093E7</v>
      </c>
      <c r="G448" s="114" t="s">
        <v>1818</v>
      </c>
      <c r="H448" s="91" t="s">
        <v>1819</v>
      </c>
      <c r="I448" s="424"/>
      <c r="J448" s="98" t="s">
        <v>767</v>
      </c>
      <c r="K448" s="83" t="s">
        <v>168</v>
      </c>
      <c r="L448" s="98" t="s">
        <v>76</v>
      </c>
      <c r="M448" s="82" t="str">
        <f>IFERROR(__xludf.DUMMYFUNCTION("IFERROR(VLOOKUP(D448,
IMPORTRANGE(""https://docs.google.com/spreadsheets/d/1MjHtlUikwobi2MaWJgy7tfLeBmhj1u-dRFRs_8GwSoA/edit#gid=0"",""Gestores Escolares!D7:J""),3,0),""VERIFICAR CÓD SEC"")")," NILCEANNE NOGUEIRA LIMA")</f>
        <v> NILCEANNE NOGUEIRA LIMA</v>
      </c>
      <c r="N448" s="82" t="str">
        <f>IFERROR(__xludf.DUMMYFUNCTION("IFERROR(VLOOKUP(D448,
IMPORTRANGE(""https://docs.google.com/spreadsheets/d/1MjHtlUikwobi2MaWJgy7tfLeBmhj1u-dRFRs_8GwSoA/edit#gid=0"",""Gestores Escolares!D7:J""),4,0),""VERIFICAR CÓD SEC"")"),"(73) 9 9123-7129")</f>
        <v>(73) 9 9123-7129</v>
      </c>
      <c r="O448" s="82" t="str">
        <f>IFERROR(__xludf.DUMMYFUNCTION("IFERROR(VLOOKUP(D448,
IMPORTRANGE(""https://docs.google.com/spreadsheets/d/1MjHtlUikwobi2MaWJgy7tfLeBmhj1u-dRFRs_8GwSoA/edit#gid=0"",""Gestores Escolares!D7:J""),6,0),""VERIFICAR CÓD SEC"")"),"FRANCISCO CRUZ DO NASCIMENTO")</f>
        <v>FRANCISCO CRUZ DO NASCIMENTO</v>
      </c>
      <c r="P448" s="82" t="str">
        <f>IFERROR(__xludf.DUMMYFUNCTION("IFERROR(VLOOKUP(D448,
IMPORTRANGE(""https://docs.google.com/spreadsheets/d/1MjHtlUikwobi2MaWJgy7tfLeBmhj1u-dRFRs_8GwSoA/edit#gid=0"",""Gestores Escolares!D7:J""),7,0),""VERIFICAR CÓD SEC"")"),"(73) 9 8123-9143")</f>
        <v>(73) 9 8123-9143</v>
      </c>
      <c r="Q448" s="82" t="str">
        <f>IFERROR(__xludf.DUMMYFUNCTION("IFERROR(VLOOKUP(D448,
IMPORTRANGE(""https://docs.google.com/spreadsheets/d/1MjHtlUikwobi2MaWJgy7tfLeBmhj1u-dRFRs_8GwSoA/edit#gid=0"",""Gestores Escolares!D7:m""),9,0),""VERIFICAR CÓD SEC"")"),"")</f>
        <v/>
      </c>
      <c r="R448" s="82" t="str">
        <f>IFERROR(__xludf.DUMMYFUNCTION("IFERROR(VLOOKUP(D448,
IMPORTRANGE(""https://docs.google.com/spreadsheets/d/1MjHtlUikwobi2MaWJgy7tfLeBmhj1u-dRFRs_8GwSoA/edit#gid=0"",""Gestores Escolares!D7:m""),10,0),""VERIFICAR CÓD SEC"")"),"")</f>
        <v/>
      </c>
      <c r="S448" s="82"/>
      <c r="T448" s="138"/>
      <c r="U448" s="217">
        <v>1.0</v>
      </c>
      <c r="V448" s="106">
        <v>0.0</v>
      </c>
      <c r="W448" s="107">
        <v>0.0</v>
      </c>
      <c r="X448" s="107">
        <v>0.0</v>
      </c>
      <c r="Y448" s="107">
        <v>0.0</v>
      </c>
      <c r="Z448" s="80">
        <f t="shared" si="1"/>
        <v>0</v>
      </c>
      <c r="AA448" s="106">
        <v>0.0</v>
      </c>
      <c r="AB448" s="107">
        <v>0.0</v>
      </c>
      <c r="AC448" s="107">
        <v>0.0</v>
      </c>
      <c r="AD448" s="107">
        <v>0.0</v>
      </c>
      <c r="AE448" s="80">
        <f t="shared" si="2"/>
        <v>0</v>
      </c>
      <c r="AF448" s="140">
        <v>0.0</v>
      </c>
      <c r="AG448" s="109">
        <v>0.0</v>
      </c>
      <c r="AH448" s="109">
        <v>24.0</v>
      </c>
      <c r="AI448" s="141">
        <v>0.0</v>
      </c>
      <c r="AJ448" s="80">
        <f t="shared" si="3"/>
        <v>24</v>
      </c>
      <c r="AK448" s="140">
        <v>0.0</v>
      </c>
      <c r="AL448" s="109">
        <v>0.0</v>
      </c>
      <c r="AM448" s="141">
        <v>0.0</v>
      </c>
      <c r="AN448" s="80">
        <f t="shared" si="4"/>
        <v>0</v>
      </c>
      <c r="AO448" s="140">
        <v>0.0</v>
      </c>
      <c r="AP448" s="109">
        <v>0.0</v>
      </c>
      <c r="AQ448" s="109">
        <v>0.0</v>
      </c>
      <c r="AR448" s="80">
        <f t="shared" si="5"/>
        <v>0</v>
      </c>
      <c r="AS448" s="110">
        <v>0.0</v>
      </c>
      <c r="AT448" s="110">
        <v>0.0</v>
      </c>
      <c r="AU448" s="110">
        <v>0.0</v>
      </c>
      <c r="AV448" s="142">
        <v>0.0</v>
      </c>
      <c r="AW448" s="80">
        <f t="shared" si="6"/>
        <v>0</v>
      </c>
      <c r="AX448" s="113">
        <f t="shared" si="7"/>
        <v>24</v>
      </c>
      <c r="AY448" s="117">
        <f t="shared" si="8"/>
        <v>0</v>
      </c>
      <c r="AZ448" s="120">
        <f t="shared" si="9"/>
        <v>24</v>
      </c>
      <c r="BA448" s="115">
        <v>0.0</v>
      </c>
      <c r="BB448" s="89">
        <f t="shared" si="10"/>
        <v>24</v>
      </c>
      <c r="BC448" s="132" t="s">
        <v>178</v>
      </c>
      <c r="BD448" s="143" t="s">
        <v>227</v>
      </c>
      <c r="BE448" s="132" t="s">
        <v>178</v>
      </c>
      <c r="BF448" s="123"/>
      <c r="BG448" s="83">
        <v>1178490.0</v>
      </c>
      <c r="BH448" s="112"/>
      <c r="BI448" s="112">
        <v>1.0</v>
      </c>
      <c r="BJ448" s="98" t="s">
        <v>155</v>
      </c>
      <c r="BK448" s="99">
        <f t="shared" si="11"/>
        <v>0</v>
      </c>
      <c r="BL448" s="99">
        <f t="shared" si="12"/>
        <v>0</v>
      </c>
      <c r="BM448" s="99" t="str">
        <f>IFERROR(__xludf.DUMMYFUNCTION("IFERROR(VLOOKUP(BG448,IMPORTRANGE(""https://docs.google.com/spreadsheets/d/1juPI-Fb8LD0YtltB2mlGEnp_R3UVu1t3wSFPzgCyHXE/edit?gid=0#gid=0"",""GERAL!A2:C""),3,0),""-"")"),"-")</f>
        <v>-</v>
      </c>
    </row>
    <row r="449" ht="15.75" customHeight="1">
      <c r="A449" s="111" t="s">
        <v>540</v>
      </c>
      <c r="B449" s="83" t="s">
        <v>1812</v>
      </c>
      <c r="C449" s="83" t="s">
        <v>164</v>
      </c>
      <c r="D449" s="112">
        <v>1179284.0</v>
      </c>
      <c r="E449" s="82">
        <v>1178489.0</v>
      </c>
      <c r="F449" s="94">
        <v>2.946093E7</v>
      </c>
      <c r="G449" s="91" t="s">
        <v>1820</v>
      </c>
      <c r="H449" s="91" t="s">
        <v>1821</v>
      </c>
      <c r="I449" s="83" t="s">
        <v>149</v>
      </c>
      <c r="J449" s="83" t="s">
        <v>209</v>
      </c>
      <c r="K449" s="83" t="s">
        <v>168</v>
      </c>
      <c r="L449" s="83" t="s">
        <v>169</v>
      </c>
      <c r="M449" s="82" t="str">
        <f>IFERROR(__xludf.DUMMYFUNCTION("IFERROR(VLOOKUP(D449,
IMPORTRANGE(""https://docs.google.com/spreadsheets/d/1MjHtlUikwobi2MaWJgy7tfLeBmhj1u-dRFRs_8GwSoA/edit#gid=0"",""Gestores Escolares!D7:J""),3,0),""VERIFICAR CÓD SEC"")")," NILCEANNE NOGUEIRA LIMA")</f>
        <v> NILCEANNE NOGUEIRA LIMA</v>
      </c>
      <c r="N449" s="82" t="str">
        <f>IFERROR(__xludf.DUMMYFUNCTION("IFERROR(VLOOKUP(D449,
IMPORTRANGE(""https://docs.google.com/spreadsheets/d/1MjHtlUikwobi2MaWJgy7tfLeBmhj1u-dRFRs_8GwSoA/edit#gid=0"",""Gestores Escolares!D7:J""),4,0),""VERIFICAR CÓD SEC"")"),"(73) 9 9123-7129")</f>
        <v>(73) 9 9123-7129</v>
      </c>
      <c r="O449" s="82" t="str">
        <f>IFERROR(__xludf.DUMMYFUNCTION("IFERROR(VLOOKUP(D449,
IMPORTRANGE(""https://docs.google.com/spreadsheets/d/1MjHtlUikwobi2MaWJgy7tfLeBmhj1u-dRFRs_8GwSoA/edit#gid=0"",""Gestores Escolares!D7:J""),6,0),""VERIFICAR CÓD SEC"")"),"FRANCISCO CRUZ DO NASCIMENTO")</f>
        <v>FRANCISCO CRUZ DO NASCIMENTO</v>
      </c>
      <c r="P449" s="82" t="str">
        <f>IFERROR(__xludf.DUMMYFUNCTION("IFERROR(VLOOKUP(D449,
IMPORTRANGE(""https://docs.google.com/spreadsheets/d/1MjHtlUikwobi2MaWJgy7tfLeBmhj1u-dRFRs_8GwSoA/edit#gid=0"",""Gestores Escolares!D7:J""),7,0),""VERIFICAR CÓD SEC"")"),"(73) 9 8123-9143")</f>
        <v>(73) 9 8123-9143</v>
      </c>
      <c r="Q449" s="82" t="str">
        <f>IFERROR(__xludf.DUMMYFUNCTION("IFERROR(VLOOKUP(D449,
IMPORTRANGE(""https://docs.google.com/spreadsheets/d/1MjHtlUikwobi2MaWJgy7tfLeBmhj1u-dRFRs_8GwSoA/edit#gid=0"",""Gestores Escolares!D7:m""),9,0),""VERIFICAR CÓD SEC"")"),"")</f>
        <v/>
      </c>
      <c r="R449" s="82" t="str">
        <f>IFERROR(__xludf.DUMMYFUNCTION("IFERROR(VLOOKUP(D449,
IMPORTRANGE(""https://docs.google.com/spreadsheets/d/1MjHtlUikwobi2MaWJgy7tfLeBmhj1u-dRFRs_8GwSoA/edit#gid=0"",""Gestores Escolares!D7:m""),10,0),""VERIFICAR CÓD SEC"")"),"")</f>
        <v/>
      </c>
      <c r="S449" s="82"/>
      <c r="T449" s="138">
        <v>4.0</v>
      </c>
      <c r="U449" s="217">
        <v>1.0</v>
      </c>
      <c r="V449" s="106">
        <v>0.0</v>
      </c>
      <c r="W449" s="107">
        <v>0.0</v>
      </c>
      <c r="X449" s="107">
        <v>0.0</v>
      </c>
      <c r="Y449" s="107">
        <v>0.0</v>
      </c>
      <c r="Z449" s="80">
        <f t="shared" si="1"/>
        <v>0</v>
      </c>
      <c r="AA449" s="106">
        <v>0.0</v>
      </c>
      <c r="AB449" s="107">
        <v>0.0</v>
      </c>
      <c r="AC449" s="107">
        <v>0.0</v>
      </c>
      <c r="AD449" s="107">
        <v>0.0</v>
      </c>
      <c r="AE449" s="80">
        <f t="shared" si="2"/>
        <v>0</v>
      </c>
      <c r="AF449" s="140">
        <v>50.0</v>
      </c>
      <c r="AG449" s="109">
        <v>16.0</v>
      </c>
      <c r="AH449" s="109">
        <v>0.0</v>
      </c>
      <c r="AI449" s="141">
        <v>0.0</v>
      </c>
      <c r="AJ449" s="80">
        <f t="shared" si="3"/>
        <v>66</v>
      </c>
      <c r="AK449" s="140">
        <v>0.0</v>
      </c>
      <c r="AL449" s="109">
        <v>0.0</v>
      </c>
      <c r="AM449" s="141">
        <v>0.0</v>
      </c>
      <c r="AN449" s="80">
        <f t="shared" si="4"/>
        <v>0</v>
      </c>
      <c r="AO449" s="140">
        <v>0.0</v>
      </c>
      <c r="AP449" s="109">
        <v>0.0</v>
      </c>
      <c r="AQ449" s="109">
        <v>0.0</v>
      </c>
      <c r="AR449" s="80">
        <f t="shared" si="5"/>
        <v>0</v>
      </c>
      <c r="AS449" s="110">
        <v>0.0</v>
      </c>
      <c r="AT449" s="110">
        <v>0.0</v>
      </c>
      <c r="AU449" s="110">
        <v>0.0</v>
      </c>
      <c r="AV449" s="142">
        <v>0.0</v>
      </c>
      <c r="AW449" s="80">
        <f t="shared" si="6"/>
        <v>0</v>
      </c>
      <c r="AX449" s="113">
        <f t="shared" si="7"/>
        <v>66</v>
      </c>
      <c r="AY449" s="117">
        <f t="shared" si="8"/>
        <v>66</v>
      </c>
      <c r="AZ449" s="120">
        <f t="shared" si="9"/>
        <v>0</v>
      </c>
      <c r="BA449" s="115">
        <v>0.0</v>
      </c>
      <c r="BB449" s="89">
        <f t="shared" si="10"/>
        <v>66</v>
      </c>
      <c r="BC449" s="132" t="s">
        <v>178</v>
      </c>
      <c r="BD449" s="143" t="s">
        <v>227</v>
      </c>
      <c r="BE449" s="132" t="s">
        <v>178</v>
      </c>
      <c r="BF449" s="123"/>
      <c r="BG449" s="83">
        <v>1178489.0</v>
      </c>
      <c r="BH449" s="112"/>
      <c r="BI449" s="112">
        <v>1.0</v>
      </c>
      <c r="BJ449" s="98" t="s">
        <v>155</v>
      </c>
      <c r="BK449" s="99">
        <f t="shared" si="11"/>
        <v>0</v>
      </c>
      <c r="BL449" s="99">
        <f t="shared" si="12"/>
        <v>66</v>
      </c>
      <c r="BM449" s="99" t="str">
        <f>IFERROR(__xludf.DUMMYFUNCTION("IFERROR(VLOOKUP(BG449,IMPORTRANGE(""https://docs.google.com/spreadsheets/d/1juPI-Fb8LD0YtltB2mlGEnp_R3UVu1t3wSFPzgCyHXE/edit?gid=0#gid=0"",""GERAL!A2:C""),3,0),""-"")"),"-")</f>
        <v>-</v>
      </c>
    </row>
    <row r="450" ht="15.75" customHeight="1">
      <c r="A450" s="111" t="s">
        <v>540</v>
      </c>
      <c r="B450" s="172" t="s">
        <v>1822</v>
      </c>
      <c r="C450" s="83" t="s">
        <v>68</v>
      </c>
      <c r="D450" s="195">
        <v>1179311.0</v>
      </c>
      <c r="E450" s="136"/>
      <c r="F450" s="136">
        <v>2.9460646E7</v>
      </c>
      <c r="G450" s="218" t="s">
        <v>6243</v>
      </c>
      <c r="H450" s="91" t="s">
        <v>1840</v>
      </c>
      <c r="I450" s="136" t="s">
        <v>149</v>
      </c>
      <c r="J450" s="136" t="s">
        <v>1347</v>
      </c>
      <c r="K450" s="136" t="s">
        <v>1685</v>
      </c>
      <c r="L450" s="136" t="s">
        <v>169</v>
      </c>
      <c r="M450" s="82" t="str">
        <f>IFERROR(__xludf.DUMMYFUNCTION("IFERROR(VLOOKUP(D450,
IMPORTRANGE(""https://docs.google.com/spreadsheets/d/1MjHtlUikwobi2MaWJgy7tfLeBmhj1u-dRFRs_8GwSoA/edit#gid=0"",""Gestores Escolares!D7:J""),3,0),""VERIFICAR CÓD SEC"")"),"ADEMARIO REIS OLIVEIRA")</f>
        <v>ADEMARIO REIS OLIVEIRA</v>
      </c>
      <c r="N450" s="82" t="str">
        <f>IFERROR(__xludf.DUMMYFUNCTION("IFERROR(VLOOKUP(D450,
IMPORTRANGE(""https://docs.google.com/spreadsheets/d/1MjHtlUikwobi2MaWJgy7tfLeBmhj1u-dRFRs_8GwSoA/edit#gid=0"",""Gestores Escolares!D7:J""),4,0),""VERIFICAR CÓD SEC"")"),"(75) 9 8892-3404/ (71) 9 9123-4633")</f>
        <v>(75) 9 8892-3404/ (71) 9 9123-4633</v>
      </c>
      <c r="O450" s="82" t="str">
        <f>IFERROR(__xludf.DUMMYFUNCTION("IFERROR(VLOOKUP(D450,
IMPORTRANGE(""https://docs.google.com/spreadsheets/d/1MjHtlUikwobi2MaWJgy7tfLeBmhj1u-dRFRs_8GwSoA/edit#gid=0"",""Gestores Escolares!D7:J""),6,0),""VERIFICAR CÓD SEC"")"),"")</f>
        <v/>
      </c>
      <c r="P450" s="82" t="str">
        <f>IFERROR(__xludf.DUMMYFUNCTION("IFERROR(VLOOKUP(D450,
IMPORTRANGE(""https://docs.google.com/spreadsheets/d/1MjHtlUikwobi2MaWJgy7tfLeBmhj1u-dRFRs_8GwSoA/edit#gid=0"",""Gestores Escolares!D7:J""),7,0),""VERIFICAR CÓD SEC"")"),"")</f>
        <v/>
      </c>
      <c r="Q450" s="82" t="str">
        <f>IFERROR(__xludf.DUMMYFUNCTION("IFERROR(VLOOKUP(D450,
IMPORTRANGE(""https://docs.google.com/spreadsheets/d/1MjHtlUikwobi2MaWJgy7tfLeBmhj1u-dRFRs_8GwSoA/edit#gid=0"",""Gestores Escolares!D7:m""),9,0),""VERIFICAR CÓD SEC"")"),"")</f>
        <v/>
      </c>
      <c r="R450" s="82" t="str">
        <f>IFERROR(__xludf.DUMMYFUNCTION("IFERROR(VLOOKUP(D450,
IMPORTRANGE(""https://docs.google.com/spreadsheets/d/1MjHtlUikwobi2MaWJgy7tfLeBmhj1u-dRFRs_8GwSoA/edit#gid=0"",""Gestores Escolares!D7:m""),10,0),""VERIFICAR CÓD SEC"")"),"")</f>
        <v/>
      </c>
      <c r="S450" s="82"/>
      <c r="T450" s="138">
        <v>6.0</v>
      </c>
      <c r="U450" s="145" t="s">
        <v>6248</v>
      </c>
      <c r="V450" s="106">
        <v>0.0</v>
      </c>
      <c r="W450" s="107">
        <v>0.0</v>
      </c>
      <c r="X450" s="107">
        <v>0.0</v>
      </c>
      <c r="Y450" s="107">
        <v>0.0</v>
      </c>
      <c r="Z450" s="80">
        <f t="shared" si="1"/>
        <v>0</v>
      </c>
      <c r="AA450" s="106">
        <v>0.0</v>
      </c>
      <c r="AB450" s="107">
        <v>0.0</v>
      </c>
      <c r="AC450" s="107">
        <v>0.0</v>
      </c>
      <c r="AD450" s="107">
        <v>0.0</v>
      </c>
      <c r="AE450" s="80">
        <f t="shared" si="2"/>
        <v>0</v>
      </c>
      <c r="AF450" s="140">
        <v>0.0</v>
      </c>
      <c r="AG450" s="109">
        <v>0.0</v>
      </c>
      <c r="AH450" s="109">
        <v>0.0</v>
      </c>
      <c r="AI450" s="141">
        <v>35.0</v>
      </c>
      <c r="AJ450" s="80">
        <f t="shared" si="3"/>
        <v>35</v>
      </c>
      <c r="AK450" s="140">
        <v>0.0</v>
      </c>
      <c r="AL450" s="109">
        <v>0.0</v>
      </c>
      <c r="AM450" s="141">
        <v>0.0</v>
      </c>
      <c r="AN450" s="80">
        <f t="shared" si="4"/>
        <v>0</v>
      </c>
      <c r="AO450" s="140">
        <v>0.0</v>
      </c>
      <c r="AP450" s="109">
        <v>0.0</v>
      </c>
      <c r="AQ450" s="109">
        <v>21.0</v>
      </c>
      <c r="AR450" s="80">
        <f t="shared" si="5"/>
        <v>21</v>
      </c>
      <c r="AS450" s="110">
        <v>0.0</v>
      </c>
      <c r="AT450" s="110">
        <v>0.0</v>
      </c>
      <c r="AU450" s="110">
        <v>0.0</v>
      </c>
      <c r="AV450" s="142">
        <v>0.0</v>
      </c>
      <c r="AW450" s="80">
        <f t="shared" si="6"/>
        <v>0</v>
      </c>
      <c r="AX450" s="113">
        <f t="shared" si="7"/>
        <v>56</v>
      </c>
      <c r="AY450" s="117">
        <f t="shared" si="8"/>
        <v>35</v>
      </c>
      <c r="AZ450" s="120">
        <f t="shared" si="9"/>
        <v>21</v>
      </c>
      <c r="BA450" s="115">
        <v>0.0</v>
      </c>
      <c r="BB450" s="89">
        <f t="shared" si="10"/>
        <v>56</v>
      </c>
      <c r="BC450" s="132" t="s">
        <v>265</v>
      </c>
      <c r="BD450" s="132" t="s">
        <v>178</v>
      </c>
      <c r="BE450" s="132" t="s">
        <v>178</v>
      </c>
      <c r="BF450" s="156"/>
      <c r="BG450" s="136">
        <v>1179311.0</v>
      </c>
      <c r="BH450" s="112"/>
      <c r="BI450" s="112">
        <v>6.0</v>
      </c>
      <c r="BJ450" s="98" t="s">
        <v>155</v>
      </c>
      <c r="BK450" s="99">
        <f t="shared" si="11"/>
        <v>35</v>
      </c>
      <c r="BL450" s="99">
        <f t="shared" si="12"/>
        <v>0</v>
      </c>
      <c r="BM450" s="99" t="str">
        <f>IFERROR(__xludf.DUMMYFUNCTION("IFERROR(VLOOKUP(BG450,IMPORTRANGE(""https://docs.google.com/spreadsheets/d/1juPI-Fb8LD0YtltB2mlGEnp_R3UVu1t3wSFPzgCyHXE/edit?gid=0#gid=0"",""GERAL!A2:C""),3,0),""-"")"),"QUILOMBOLAS")</f>
        <v>QUILOMBOLAS</v>
      </c>
    </row>
    <row r="451" ht="15.75" customHeight="1">
      <c r="A451" s="111" t="s">
        <v>540</v>
      </c>
      <c r="B451" s="83" t="s">
        <v>1822</v>
      </c>
      <c r="C451" s="83" t="s">
        <v>68</v>
      </c>
      <c r="D451" s="112">
        <v>1179116.0</v>
      </c>
      <c r="E451" s="83"/>
      <c r="F451" s="83">
        <v>2.9460549E7</v>
      </c>
      <c r="G451" s="119" t="s">
        <v>1824</v>
      </c>
      <c r="H451" s="91" t="s">
        <v>1825</v>
      </c>
      <c r="I451" s="83" t="s">
        <v>149</v>
      </c>
      <c r="J451" s="83" t="s">
        <v>209</v>
      </c>
      <c r="K451" s="83" t="s">
        <v>1685</v>
      </c>
      <c r="L451" s="83" t="s">
        <v>169</v>
      </c>
      <c r="M451" s="82" t="str">
        <f>IFERROR(__xludf.DUMMYFUNCTION("IFERROR(VLOOKUP(D451,
IMPORTRANGE(""https://docs.google.com/spreadsheets/d/1MjHtlUikwobi2MaWJgy7tfLeBmhj1u-dRFRs_8GwSoA/edit#gid=0"",""Gestores Escolares!D7:J""),3,0),""VERIFICAR CÓD SEC"")"),"DIEGO MENEZES DOS SANTOS")</f>
        <v>DIEGO MENEZES DOS SANTOS</v>
      </c>
      <c r="N451" s="82" t="str">
        <f>IFERROR(__xludf.DUMMYFUNCTION("IFERROR(VLOOKUP(D451,
IMPORTRANGE(""https://docs.google.com/spreadsheets/d/1MjHtlUikwobi2MaWJgy7tfLeBmhj1u-dRFRs_8GwSoA/edit#gid=0"",""Gestores Escolares!D7:J""),4,0),""VERIFICAR CÓD SEC"")"),"(75) 9 8893-2111")</f>
        <v>(75) 9 8893-2111</v>
      </c>
      <c r="O451" s="82" t="str">
        <f>IFERROR(__xludf.DUMMYFUNCTION("IFERROR(VLOOKUP(D451,
IMPORTRANGE(""https://docs.google.com/spreadsheets/d/1MjHtlUikwobi2MaWJgy7tfLeBmhj1u-dRFRs_8GwSoA/edit#gid=0"",""Gestores Escolares!D7:J""),6,0),""VERIFICAR CÓD SEC"")"),"")</f>
        <v/>
      </c>
      <c r="P451" s="82" t="str">
        <f>IFERROR(__xludf.DUMMYFUNCTION("IFERROR(VLOOKUP(D451,
IMPORTRANGE(""https://docs.google.com/spreadsheets/d/1MjHtlUikwobi2MaWJgy7tfLeBmhj1u-dRFRs_8GwSoA/edit#gid=0"",""Gestores Escolares!D7:J""),7,0),""VERIFICAR CÓD SEC"")"),"")</f>
        <v/>
      </c>
      <c r="Q451" s="82" t="str">
        <f>IFERROR(__xludf.DUMMYFUNCTION("IFERROR(VLOOKUP(D451,
IMPORTRANGE(""https://docs.google.com/spreadsheets/d/1MjHtlUikwobi2MaWJgy7tfLeBmhj1u-dRFRs_8GwSoA/edit#gid=0"",""Gestores Escolares!D7:m""),9,0),""VERIFICAR CÓD SEC"")"),"")</f>
        <v/>
      </c>
      <c r="R451" s="82" t="str">
        <f>IFERROR(__xludf.DUMMYFUNCTION("IFERROR(VLOOKUP(D451,
IMPORTRANGE(""https://docs.google.com/spreadsheets/d/1MjHtlUikwobi2MaWJgy7tfLeBmhj1u-dRFRs_8GwSoA/edit#gid=0"",""Gestores Escolares!D7:m""),10,0),""VERIFICAR CÓD SEC"")"),"")</f>
        <v/>
      </c>
      <c r="S451" s="82"/>
      <c r="T451" s="138">
        <v>4.0</v>
      </c>
      <c r="U451" s="145" t="s">
        <v>6252</v>
      </c>
      <c r="V451" s="106">
        <v>0.0</v>
      </c>
      <c r="W451" s="107">
        <v>0.0</v>
      </c>
      <c r="X451" s="107">
        <v>0.0</v>
      </c>
      <c r="Y451" s="107">
        <v>0.0</v>
      </c>
      <c r="Z451" s="80">
        <f t="shared" si="1"/>
        <v>0</v>
      </c>
      <c r="AA451" s="106">
        <v>0.0</v>
      </c>
      <c r="AB451" s="107">
        <v>0.0</v>
      </c>
      <c r="AC451" s="107">
        <v>0.0</v>
      </c>
      <c r="AD451" s="107">
        <v>0.0</v>
      </c>
      <c r="AE451" s="80">
        <f t="shared" si="2"/>
        <v>0</v>
      </c>
      <c r="AF451" s="140">
        <v>0.0</v>
      </c>
      <c r="AG451" s="109">
        <v>0.0</v>
      </c>
      <c r="AH451" s="109">
        <v>0.0</v>
      </c>
      <c r="AI451" s="141">
        <v>89.0</v>
      </c>
      <c r="AJ451" s="80">
        <f t="shared" si="3"/>
        <v>89</v>
      </c>
      <c r="AK451" s="140">
        <v>0.0</v>
      </c>
      <c r="AL451" s="109">
        <v>0.0</v>
      </c>
      <c r="AM451" s="141">
        <v>0.0</v>
      </c>
      <c r="AN451" s="80">
        <f t="shared" si="4"/>
        <v>0</v>
      </c>
      <c r="AO451" s="140">
        <v>0.0</v>
      </c>
      <c r="AP451" s="109">
        <v>0.0</v>
      </c>
      <c r="AQ451" s="109">
        <v>50.0</v>
      </c>
      <c r="AR451" s="80">
        <f t="shared" si="5"/>
        <v>50</v>
      </c>
      <c r="AS451" s="110">
        <v>0.0</v>
      </c>
      <c r="AT451" s="110">
        <v>0.0</v>
      </c>
      <c r="AU451" s="110">
        <v>0.0</v>
      </c>
      <c r="AV451" s="142">
        <v>0.0</v>
      </c>
      <c r="AW451" s="80">
        <f t="shared" si="6"/>
        <v>0</v>
      </c>
      <c r="AX451" s="113">
        <f t="shared" si="7"/>
        <v>139</v>
      </c>
      <c r="AY451" s="117">
        <f t="shared" si="8"/>
        <v>89</v>
      </c>
      <c r="AZ451" s="120">
        <f t="shared" si="9"/>
        <v>50</v>
      </c>
      <c r="BA451" s="115">
        <v>0.0</v>
      </c>
      <c r="BB451" s="89">
        <f t="shared" si="10"/>
        <v>139</v>
      </c>
      <c r="BC451" s="132" t="s">
        <v>265</v>
      </c>
      <c r="BD451" s="132" t="s">
        <v>178</v>
      </c>
      <c r="BE451" s="132" t="s">
        <v>178</v>
      </c>
      <c r="BF451" s="156"/>
      <c r="BG451" s="83">
        <v>1179116.0</v>
      </c>
      <c r="BH451" s="112"/>
      <c r="BI451" s="112">
        <v>3.0</v>
      </c>
      <c r="BJ451" s="98" t="s">
        <v>155</v>
      </c>
      <c r="BK451" s="99">
        <f t="shared" si="11"/>
        <v>89</v>
      </c>
      <c r="BL451" s="99">
        <f t="shared" si="12"/>
        <v>0</v>
      </c>
      <c r="BM451" s="99" t="str">
        <f>IFERROR(__xludf.DUMMYFUNCTION("IFERROR(VLOOKUP(BG451,IMPORTRANGE(""https://docs.google.com/spreadsheets/d/1juPI-Fb8LD0YtltB2mlGEnp_R3UVu1t3wSFPzgCyHXE/edit?gid=0#gid=0"",""GERAL!A2:C""),3,0),""-"")"),"QUILOMBOLAS")</f>
        <v>QUILOMBOLAS</v>
      </c>
    </row>
    <row r="452" ht="15.75" customHeight="1">
      <c r="A452" s="111" t="s">
        <v>540</v>
      </c>
      <c r="B452" s="83" t="s">
        <v>1822</v>
      </c>
      <c r="C452" s="83" t="s">
        <v>68</v>
      </c>
      <c r="D452" s="112">
        <v>1178011.0</v>
      </c>
      <c r="E452" s="83"/>
      <c r="F452" s="83">
        <v>2.9426502E7</v>
      </c>
      <c r="G452" s="119" t="s">
        <v>1828</v>
      </c>
      <c r="H452" s="91" t="s">
        <v>1829</v>
      </c>
      <c r="I452" s="172" t="s">
        <v>149</v>
      </c>
      <c r="J452" s="83" t="s">
        <v>150</v>
      </c>
      <c r="K452" s="83" t="s">
        <v>1685</v>
      </c>
      <c r="L452" s="83" t="s">
        <v>76</v>
      </c>
      <c r="M452" s="82" t="str">
        <f>IFERROR(__xludf.DUMMYFUNCTION("IFERROR(VLOOKUP(D452,
IMPORTRANGE(""https://docs.google.com/spreadsheets/d/1MjHtlUikwobi2MaWJgy7tfLeBmhj1u-dRFRs_8GwSoA/edit#gid=0"",""Gestores Escolares!D7:J""),3,0),""VERIFICAR CÓD SEC"")"),"KRENY LIMA CARVALHO DE SOUZA ")</f>
        <v>KRENY LIMA CARVALHO DE SOUZA </v>
      </c>
      <c r="N452" s="82" t="str">
        <f>IFERROR(__xludf.DUMMYFUNCTION("IFERROR(VLOOKUP(D452,
IMPORTRANGE(""https://docs.google.com/spreadsheets/d/1MjHtlUikwobi2MaWJgy7tfLeBmhj1u-dRFRs_8GwSoA/edit#gid=0"",""Gestores Escolares!D7:J""),4,0),""VERIFICAR CÓD SEC"")"),"(75) 9 8122-2003")</f>
        <v>(75) 9 8122-2003</v>
      </c>
      <c r="O452" s="82" t="str">
        <f>IFERROR(__xludf.DUMMYFUNCTION("IFERROR(VLOOKUP(D452,
IMPORTRANGE(""https://docs.google.com/spreadsheets/d/1MjHtlUikwobi2MaWJgy7tfLeBmhj1u-dRFRs_8GwSoA/edit#gid=0"",""Gestores Escolares!D7:J""),6,0),""VERIFICAR CÓD SEC"")"),"")</f>
        <v/>
      </c>
      <c r="P452" s="82" t="str">
        <f>IFERROR(__xludf.DUMMYFUNCTION("IFERROR(VLOOKUP(D452,
IMPORTRANGE(""https://docs.google.com/spreadsheets/d/1MjHtlUikwobi2MaWJgy7tfLeBmhj1u-dRFRs_8GwSoA/edit#gid=0"",""Gestores Escolares!D7:J""),7,0),""VERIFICAR CÓD SEC"")"),"")</f>
        <v/>
      </c>
      <c r="Q452" s="82" t="str">
        <f>IFERROR(__xludf.DUMMYFUNCTION("IFERROR(VLOOKUP(D452,
IMPORTRANGE(""https://docs.google.com/spreadsheets/d/1MjHtlUikwobi2MaWJgy7tfLeBmhj1u-dRFRs_8GwSoA/edit#gid=0"",""Gestores Escolares!D7:m""),9,0),""VERIFICAR CÓD SEC"")"),"")</f>
        <v/>
      </c>
      <c r="R452" s="82" t="str">
        <f>IFERROR(__xludf.DUMMYFUNCTION("IFERROR(VLOOKUP(D452,
IMPORTRANGE(""https://docs.google.com/spreadsheets/d/1MjHtlUikwobi2MaWJgy7tfLeBmhj1u-dRFRs_8GwSoA/edit#gid=0"",""Gestores Escolares!D7:m""),10,0),""VERIFICAR CÓD SEC"")"),"")</f>
        <v/>
      </c>
      <c r="S452" s="82"/>
      <c r="T452" s="138">
        <v>13.0</v>
      </c>
      <c r="U452" s="145" t="s">
        <v>6256</v>
      </c>
      <c r="V452" s="106">
        <v>0.0</v>
      </c>
      <c r="W452" s="107">
        <v>0.0</v>
      </c>
      <c r="X452" s="107">
        <v>0.0</v>
      </c>
      <c r="Y452" s="107">
        <v>0.0</v>
      </c>
      <c r="Z452" s="80">
        <f t="shared" si="1"/>
        <v>0</v>
      </c>
      <c r="AA452" s="106">
        <v>0.0</v>
      </c>
      <c r="AB452" s="107">
        <v>0.0</v>
      </c>
      <c r="AC452" s="107">
        <v>0.0</v>
      </c>
      <c r="AD452" s="107">
        <v>0.0</v>
      </c>
      <c r="AE452" s="80">
        <f t="shared" si="2"/>
        <v>0</v>
      </c>
      <c r="AF452" s="140">
        <v>0.0</v>
      </c>
      <c r="AG452" s="109">
        <v>0.0</v>
      </c>
      <c r="AH452" s="109">
        <v>0.0</v>
      </c>
      <c r="AI452" s="141">
        <v>95.0</v>
      </c>
      <c r="AJ452" s="80">
        <f t="shared" si="3"/>
        <v>95</v>
      </c>
      <c r="AK452" s="140">
        <v>0.0</v>
      </c>
      <c r="AL452" s="109">
        <v>0.0</v>
      </c>
      <c r="AM452" s="141">
        <v>0.0</v>
      </c>
      <c r="AN452" s="80">
        <f t="shared" si="4"/>
        <v>0</v>
      </c>
      <c r="AO452" s="140">
        <v>0.0</v>
      </c>
      <c r="AP452" s="109">
        <v>0.0</v>
      </c>
      <c r="AQ452" s="109">
        <v>121.0</v>
      </c>
      <c r="AR452" s="80">
        <f t="shared" si="5"/>
        <v>121</v>
      </c>
      <c r="AS452" s="110">
        <v>0.0</v>
      </c>
      <c r="AT452" s="110">
        <v>0.0</v>
      </c>
      <c r="AU452" s="110">
        <v>0.0</v>
      </c>
      <c r="AV452" s="142">
        <v>0.0</v>
      </c>
      <c r="AW452" s="80">
        <f t="shared" si="6"/>
        <v>0</v>
      </c>
      <c r="AX452" s="113">
        <f t="shared" si="7"/>
        <v>216</v>
      </c>
      <c r="AY452" s="117">
        <f t="shared" si="8"/>
        <v>95</v>
      </c>
      <c r="AZ452" s="120">
        <f t="shared" si="9"/>
        <v>121</v>
      </c>
      <c r="BA452" s="115">
        <v>0.0</v>
      </c>
      <c r="BB452" s="89">
        <f t="shared" si="10"/>
        <v>216</v>
      </c>
      <c r="BC452" s="132" t="s">
        <v>178</v>
      </c>
      <c r="BD452" s="132" t="s">
        <v>178</v>
      </c>
      <c r="BE452" s="132" t="s">
        <v>178</v>
      </c>
      <c r="BF452" s="156"/>
      <c r="BG452" s="83">
        <v>1178011.0</v>
      </c>
      <c r="BH452" s="112"/>
      <c r="BI452" s="112">
        <v>10.0</v>
      </c>
      <c r="BJ452" s="98" t="s">
        <v>155</v>
      </c>
      <c r="BK452" s="99">
        <f t="shared" si="11"/>
        <v>95</v>
      </c>
      <c r="BL452" s="99">
        <f t="shared" si="12"/>
        <v>0</v>
      </c>
      <c r="BM452" s="99" t="str">
        <f>IFERROR(__xludf.DUMMYFUNCTION("IFERROR(VLOOKUP(BG452,IMPORTRANGE(""https://docs.google.com/spreadsheets/d/1juPI-Fb8LD0YtltB2mlGEnp_R3UVu1t3wSFPzgCyHXE/edit?gid=0#gid=0"",""GERAL!A2:C""),3,0),""-"")"),"-")</f>
        <v>-</v>
      </c>
    </row>
    <row r="453" ht="15.75" customHeight="1">
      <c r="A453" s="111" t="s">
        <v>540</v>
      </c>
      <c r="B453" s="83" t="s">
        <v>1822</v>
      </c>
      <c r="C453" s="83" t="s">
        <v>68</v>
      </c>
      <c r="D453" s="112">
        <v>1111045.0</v>
      </c>
      <c r="E453" s="83"/>
      <c r="F453" s="83">
        <v>2.9290791E7</v>
      </c>
      <c r="G453" s="119" t="s">
        <v>1832</v>
      </c>
      <c r="H453" s="91" t="s">
        <v>1833</v>
      </c>
      <c r="I453" s="172" t="s">
        <v>149</v>
      </c>
      <c r="J453" s="83" t="s">
        <v>150</v>
      </c>
      <c r="K453" s="83" t="s">
        <v>1685</v>
      </c>
      <c r="L453" s="83" t="s">
        <v>230</v>
      </c>
      <c r="M453" s="82" t="str">
        <f>IFERROR(__xludf.DUMMYFUNCTION("IFERROR(VLOOKUP(D453,
IMPORTRANGE(""https://docs.google.com/spreadsheets/d/1MjHtlUikwobi2MaWJgy7tfLeBmhj1u-dRFRs_8GwSoA/edit#gid=0"",""Gestores Escolares!D7:J""),3,0),""VERIFICAR CÓD SEC"")"),"HELIO SOUZA DE CRISTO")</f>
        <v>HELIO SOUZA DE CRISTO</v>
      </c>
      <c r="N453" s="82" t="str">
        <f>IFERROR(__xludf.DUMMYFUNCTION("IFERROR(VLOOKUP(D453,
IMPORTRANGE(""https://docs.google.com/spreadsheets/d/1MjHtlUikwobi2MaWJgy7tfLeBmhj1u-dRFRs_8GwSoA/edit#gid=0"",""Gestores Escolares!D7:J""),4,0),""VERIFICAR CÓD SEC"")"),"(75) 9 9921-8611")</f>
        <v>(75) 9 9921-8611</v>
      </c>
      <c r="O453" s="82" t="str">
        <f>IFERROR(__xludf.DUMMYFUNCTION("IFERROR(VLOOKUP(D453,
IMPORTRANGE(""https://docs.google.com/spreadsheets/d/1MjHtlUikwobi2MaWJgy7tfLeBmhj1u-dRFRs_8GwSoA/edit#gid=0"",""Gestores Escolares!D7:J""),6,0),""VERIFICAR CÓD SEC"")"),"ANA MARIA SOUZA SARMENTO SANTOS")</f>
        <v>ANA MARIA SOUZA SARMENTO SANTOS</v>
      </c>
      <c r="P453" s="82" t="str">
        <f>IFERROR(__xludf.DUMMYFUNCTION("IFERROR(VLOOKUP(D453,
IMPORTRANGE(""https://docs.google.com/spreadsheets/d/1MjHtlUikwobi2MaWJgy7tfLeBmhj1u-dRFRs_8GwSoA/edit#gid=0"",""Gestores Escolares!D7:J""),7,0),""VERIFICAR CÓD SEC"")"),"(75) 9 8812-2858")</f>
        <v>(75) 9 8812-2858</v>
      </c>
      <c r="Q453" s="82" t="str">
        <f>IFERROR(__xludf.DUMMYFUNCTION("IFERROR(VLOOKUP(D453,
IMPORTRANGE(""https://docs.google.com/spreadsheets/d/1MjHtlUikwobi2MaWJgy7tfLeBmhj1u-dRFRs_8GwSoA/edit#gid=0"",""Gestores Escolares!D7:m""),9,0),""VERIFICAR CÓD SEC"")"),"VITOR THOMAS SANT AMARO")</f>
        <v>VITOR THOMAS SANT AMARO</v>
      </c>
      <c r="R453" s="82" t="str">
        <f>IFERROR(__xludf.DUMMYFUNCTION("IFERROR(VLOOKUP(D453,
IMPORTRANGE(""https://docs.google.com/spreadsheets/d/1MjHtlUikwobi2MaWJgy7tfLeBmhj1u-dRFRs_8GwSoA/edit#gid=0"",""Gestores Escolares!D7:m""),10,0),""VERIFICAR CÓD SEC"")"),"(75) 9 9871-3055")</f>
        <v>(75) 9 9871-3055</v>
      </c>
      <c r="S453" s="82"/>
      <c r="T453" s="138">
        <v>28.0</v>
      </c>
      <c r="U453" s="145" t="s">
        <v>6271</v>
      </c>
      <c r="V453" s="106">
        <v>0.0</v>
      </c>
      <c r="W453" s="107">
        <v>0.0</v>
      </c>
      <c r="X453" s="107">
        <v>0.0</v>
      </c>
      <c r="Y453" s="107">
        <v>0.0</v>
      </c>
      <c r="Z453" s="80">
        <f t="shared" si="1"/>
        <v>0</v>
      </c>
      <c r="AA453" s="106">
        <v>0.0</v>
      </c>
      <c r="AB453" s="107">
        <v>0.0</v>
      </c>
      <c r="AC453" s="107">
        <v>0.0</v>
      </c>
      <c r="AD453" s="107">
        <v>0.0</v>
      </c>
      <c r="AE453" s="80">
        <f t="shared" si="2"/>
        <v>0</v>
      </c>
      <c r="AF453" s="140">
        <v>0.0</v>
      </c>
      <c r="AG453" s="109">
        <v>0.0</v>
      </c>
      <c r="AH453" s="109">
        <v>0.0</v>
      </c>
      <c r="AI453" s="141">
        <v>269.0</v>
      </c>
      <c r="AJ453" s="80">
        <f t="shared" si="3"/>
        <v>269</v>
      </c>
      <c r="AK453" s="140">
        <v>0.0</v>
      </c>
      <c r="AL453" s="109">
        <v>0.0</v>
      </c>
      <c r="AM453" s="141">
        <v>0.0</v>
      </c>
      <c r="AN453" s="80">
        <f t="shared" si="4"/>
        <v>0</v>
      </c>
      <c r="AO453" s="140">
        <v>0.0</v>
      </c>
      <c r="AP453" s="109">
        <v>0.0</v>
      </c>
      <c r="AQ453" s="109">
        <v>214.0</v>
      </c>
      <c r="AR453" s="80">
        <f t="shared" si="5"/>
        <v>214</v>
      </c>
      <c r="AS453" s="110">
        <v>38.0</v>
      </c>
      <c r="AT453" s="110">
        <v>0.0</v>
      </c>
      <c r="AU453" s="110">
        <v>0.0</v>
      </c>
      <c r="AV453" s="142">
        <v>0.0</v>
      </c>
      <c r="AW453" s="80">
        <f t="shared" si="6"/>
        <v>38</v>
      </c>
      <c r="AX453" s="113">
        <f t="shared" si="7"/>
        <v>521</v>
      </c>
      <c r="AY453" s="117">
        <f t="shared" si="8"/>
        <v>307</v>
      </c>
      <c r="AZ453" s="120">
        <f t="shared" si="9"/>
        <v>214</v>
      </c>
      <c r="BA453" s="115">
        <v>0.0</v>
      </c>
      <c r="BB453" s="89">
        <f t="shared" si="10"/>
        <v>521</v>
      </c>
      <c r="BC453" s="132" t="s">
        <v>178</v>
      </c>
      <c r="BD453" s="132" t="s">
        <v>178</v>
      </c>
      <c r="BE453" s="132" t="s">
        <v>178</v>
      </c>
      <c r="BF453" s="123"/>
      <c r="BG453" s="83">
        <v>1111045.0</v>
      </c>
      <c r="BH453" s="112"/>
      <c r="BI453" s="112">
        <v>25.0</v>
      </c>
      <c r="BJ453" s="98" t="s">
        <v>284</v>
      </c>
      <c r="BK453" s="99">
        <f t="shared" si="11"/>
        <v>269</v>
      </c>
      <c r="BL453" s="99">
        <f t="shared" si="12"/>
        <v>38</v>
      </c>
      <c r="BM453" s="99" t="str">
        <f>IFERROR(__xludf.DUMMYFUNCTION("IFERROR(VLOOKUP(BG453,IMPORTRANGE(""https://docs.google.com/spreadsheets/d/1juPI-Fb8LD0YtltB2mlGEnp_R3UVu1t3wSFPzgCyHXE/edit?gid=0#gid=0"",""GERAL!A2:C""),3,0),""-"")"),"-")</f>
        <v>-</v>
      </c>
    </row>
    <row r="454" ht="15.75" customHeight="1">
      <c r="A454" s="111" t="s">
        <v>540</v>
      </c>
      <c r="B454" s="83" t="s">
        <v>1822</v>
      </c>
      <c r="C454" s="83" t="s">
        <v>68</v>
      </c>
      <c r="D454" s="112">
        <v>1179139.0</v>
      </c>
      <c r="E454" s="83"/>
      <c r="F454" s="83">
        <v>2.945646E7</v>
      </c>
      <c r="G454" s="119" t="s">
        <v>1835</v>
      </c>
      <c r="H454" s="91" t="s">
        <v>1836</v>
      </c>
      <c r="I454" s="172" t="s">
        <v>149</v>
      </c>
      <c r="J454" s="83" t="s">
        <v>209</v>
      </c>
      <c r="K454" s="83" t="s">
        <v>1685</v>
      </c>
      <c r="L454" s="83" t="s">
        <v>76</v>
      </c>
      <c r="M454" s="82" t="str">
        <f>IFERROR(__xludf.DUMMYFUNCTION("IFERROR(VLOOKUP(D454,
IMPORTRANGE(""https://docs.google.com/spreadsheets/d/1MjHtlUikwobi2MaWJgy7tfLeBmhj1u-dRFRs_8GwSoA/edit#gid=0"",""Gestores Escolares!D7:J""),3,0),""VERIFICAR CÓD SEC"")"),"CLAUDIANA DE SOUZA PEREIRA COSTA")</f>
        <v>CLAUDIANA DE SOUZA PEREIRA COSTA</v>
      </c>
      <c r="N454" s="82" t="str">
        <f>IFERROR(__xludf.DUMMYFUNCTION("IFERROR(VLOOKUP(D454,
IMPORTRANGE(""https://docs.google.com/spreadsheets/d/1MjHtlUikwobi2MaWJgy7tfLeBmhj1u-dRFRs_8GwSoA/edit#gid=0"",""Gestores Escolares!D7:J""),4,0),""VERIFICAR CÓD SEC"")"),"(75) 9 8836-3628")</f>
        <v>(75) 9 8836-3628</v>
      </c>
      <c r="O454" s="82" t="str">
        <f>IFERROR(__xludf.DUMMYFUNCTION("IFERROR(VLOOKUP(D454,
IMPORTRANGE(""https://docs.google.com/spreadsheets/d/1MjHtlUikwobi2MaWJgy7tfLeBmhj1u-dRFRs_8GwSoA/edit#gid=0"",""Gestores Escolares!D7:J""),6,0),""VERIFICAR CÓD SEC"")"),"DANILLO RANGEL PEREIRA")</f>
        <v>DANILLO RANGEL PEREIRA</v>
      </c>
      <c r="P454" s="82" t="str">
        <f>IFERROR(__xludf.DUMMYFUNCTION("IFERROR(VLOOKUP(D454,
IMPORTRANGE(""https://docs.google.com/spreadsheets/d/1MjHtlUikwobi2MaWJgy7tfLeBmhj1u-dRFRs_8GwSoA/edit#gid=0"",""Gestores Escolares!D7:J""),7,0),""VERIFICAR CÓD SEC"")"),"(75) 9 8844-2815")</f>
        <v>(75) 9 8844-2815</v>
      </c>
      <c r="Q454" s="82" t="str">
        <f>IFERROR(__xludf.DUMMYFUNCTION("IFERROR(VLOOKUP(D454,
IMPORTRANGE(""https://docs.google.com/spreadsheets/d/1MjHtlUikwobi2MaWJgy7tfLeBmhj1u-dRFRs_8GwSoA/edit#gid=0"",""Gestores Escolares!D7:m""),9,0),""VERIFICAR CÓD SEC"")"),"")</f>
        <v/>
      </c>
      <c r="R454" s="82" t="str">
        <f>IFERROR(__xludf.DUMMYFUNCTION("IFERROR(VLOOKUP(D454,
IMPORTRANGE(""https://docs.google.com/spreadsheets/d/1MjHtlUikwobi2MaWJgy7tfLeBmhj1u-dRFRs_8GwSoA/edit#gid=0"",""Gestores Escolares!D7:m""),10,0),""VERIFICAR CÓD SEC"")"),"")</f>
        <v/>
      </c>
      <c r="S454" s="82"/>
      <c r="T454" s="138">
        <v>6.0</v>
      </c>
      <c r="U454" s="139">
        <v>6.0</v>
      </c>
      <c r="V454" s="106">
        <v>0.0</v>
      </c>
      <c r="W454" s="107">
        <v>0.0</v>
      </c>
      <c r="X454" s="107">
        <v>0.0</v>
      </c>
      <c r="Y454" s="107">
        <v>0.0</v>
      </c>
      <c r="Z454" s="80">
        <f t="shared" si="1"/>
        <v>0</v>
      </c>
      <c r="AA454" s="106">
        <v>0.0</v>
      </c>
      <c r="AB454" s="107">
        <v>0.0</v>
      </c>
      <c r="AC454" s="107">
        <v>0.0</v>
      </c>
      <c r="AD454" s="107">
        <v>0.0</v>
      </c>
      <c r="AE454" s="80">
        <f t="shared" si="2"/>
        <v>0</v>
      </c>
      <c r="AF454" s="140">
        <v>19.0</v>
      </c>
      <c r="AG454" s="109">
        <v>0.0</v>
      </c>
      <c r="AH454" s="109">
        <v>0.0</v>
      </c>
      <c r="AI454" s="141">
        <v>166.0</v>
      </c>
      <c r="AJ454" s="80">
        <f t="shared" si="3"/>
        <v>185</v>
      </c>
      <c r="AK454" s="140">
        <v>0.0</v>
      </c>
      <c r="AL454" s="109">
        <v>0.0</v>
      </c>
      <c r="AM454" s="141">
        <v>0.0</v>
      </c>
      <c r="AN454" s="80">
        <f t="shared" si="4"/>
        <v>0</v>
      </c>
      <c r="AO454" s="140">
        <v>0.0</v>
      </c>
      <c r="AP454" s="109">
        <v>0.0</v>
      </c>
      <c r="AQ454" s="109">
        <v>126.0</v>
      </c>
      <c r="AR454" s="80">
        <f t="shared" si="5"/>
        <v>126</v>
      </c>
      <c r="AS454" s="110">
        <v>0.0</v>
      </c>
      <c r="AT454" s="110">
        <v>0.0</v>
      </c>
      <c r="AU454" s="110">
        <v>0.0</v>
      </c>
      <c r="AV454" s="142">
        <v>0.0</v>
      </c>
      <c r="AW454" s="80">
        <f t="shared" si="6"/>
        <v>0</v>
      </c>
      <c r="AX454" s="113">
        <f t="shared" si="7"/>
        <v>311</v>
      </c>
      <c r="AY454" s="117">
        <f t="shared" si="8"/>
        <v>185</v>
      </c>
      <c r="AZ454" s="120">
        <f t="shared" si="9"/>
        <v>126</v>
      </c>
      <c r="BA454" s="115">
        <v>0.0</v>
      </c>
      <c r="BB454" s="89">
        <f t="shared" si="10"/>
        <v>311</v>
      </c>
      <c r="BC454" s="132" t="s">
        <v>373</v>
      </c>
      <c r="BD454" s="132" t="s">
        <v>178</v>
      </c>
      <c r="BE454" s="132" t="s">
        <v>178</v>
      </c>
      <c r="BF454" s="123"/>
      <c r="BG454" s="83">
        <v>1179139.0</v>
      </c>
      <c r="BH454" s="112"/>
      <c r="BI454" s="112">
        <v>6.0</v>
      </c>
      <c r="BJ454" s="98" t="s">
        <v>155</v>
      </c>
      <c r="BK454" s="99">
        <f t="shared" si="11"/>
        <v>166</v>
      </c>
      <c r="BL454" s="99">
        <f t="shared" si="12"/>
        <v>19</v>
      </c>
      <c r="BM454" s="99" t="str">
        <f>IFERROR(__xludf.DUMMYFUNCTION("IFERROR(VLOOKUP(BG454,IMPORTRANGE(""https://docs.google.com/spreadsheets/d/1juPI-Fb8LD0YtltB2mlGEnp_R3UVu1t3wSFPzgCyHXE/edit?gid=0#gid=0"",""GERAL!A2:C""),3,0),""-"")"),"CAMPO")</f>
        <v>CAMPO</v>
      </c>
    </row>
    <row r="455" ht="15.75" customHeight="1">
      <c r="A455" s="111" t="s">
        <v>540</v>
      </c>
      <c r="B455" s="83" t="s">
        <v>1822</v>
      </c>
      <c r="C455" s="83" t="s">
        <v>68</v>
      </c>
      <c r="D455" s="112">
        <v>1111070.0</v>
      </c>
      <c r="E455" s="83"/>
      <c r="F455" s="83">
        <v>2.9290732E7</v>
      </c>
      <c r="G455" s="119" t="s">
        <v>1844</v>
      </c>
      <c r="H455" s="91" t="s">
        <v>1845</v>
      </c>
      <c r="I455" s="172" t="s">
        <v>149</v>
      </c>
      <c r="J455" s="83" t="s">
        <v>150</v>
      </c>
      <c r="K455" s="83" t="s">
        <v>1685</v>
      </c>
      <c r="L455" s="83" t="s">
        <v>230</v>
      </c>
      <c r="M455" s="82" t="str">
        <f>IFERROR(__xludf.DUMMYFUNCTION("IFERROR(VLOOKUP(D455,
IMPORTRANGE(""https://docs.google.com/spreadsheets/d/1MjHtlUikwobi2MaWJgy7tfLeBmhj1u-dRFRs_8GwSoA/edit#gid=0"",""Gestores Escolares!D7:J""),3,0),""VERIFICAR CÓD SEC"")"),"JAMILE NASCIMENTO SANTOS")</f>
        <v>JAMILE NASCIMENTO SANTOS</v>
      </c>
      <c r="N455" s="82" t="str">
        <f>IFERROR(__xludf.DUMMYFUNCTION("IFERROR(VLOOKUP(D455,
IMPORTRANGE(""https://docs.google.com/spreadsheets/d/1MjHtlUikwobi2MaWJgy7tfLeBmhj1u-dRFRs_8GwSoA/edit#gid=0"",""Gestores Escolares!D7:J""),4,0),""VERIFICAR CÓD SEC"")"),"(73) 9 9900-3572")</f>
        <v>(73) 9 9900-3572</v>
      </c>
      <c r="O455" s="82" t="str">
        <f>IFERROR(__xludf.DUMMYFUNCTION("IFERROR(VLOOKUP(D455,
IMPORTRANGE(""https://docs.google.com/spreadsheets/d/1MjHtlUikwobi2MaWJgy7tfLeBmhj1u-dRFRs_8GwSoA/edit#gid=0"",""Gestores Escolares!D7:J""),6,0),""VERIFICAR CÓD SEC"")"),"ADEMILTON DE JESUS SANTOS")</f>
        <v>ADEMILTON DE JESUS SANTOS</v>
      </c>
      <c r="P455" s="82" t="str">
        <f>IFERROR(__xludf.DUMMYFUNCTION("IFERROR(VLOOKUP(D455,
IMPORTRANGE(""https://docs.google.com/spreadsheets/d/1MjHtlUikwobi2MaWJgy7tfLeBmhj1u-dRFRs_8GwSoA/edit#gid=0"",""Gestores Escolares!D7:J""),7,0),""VERIFICAR CÓD SEC"")"),"(75) 9 8102-0816/
9 9228-1444")</f>
        <v>(75) 9 8102-0816/
9 9228-1444</v>
      </c>
      <c r="Q455" s="82" t="str">
        <f>IFERROR(__xludf.DUMMYFUNCTION("IFERROR(VLOOKUP(D455,
IMPORTRANGE(""https://docs.google.com/spreadsheets/d/1MjHtlUikwobi2MaWJgy7tfLeBmhj1u-dRFRs_8GwSoA/edit#gid=0"",""Gestores Escolares!D7:m""),9,0),""VERIFICAR CÓD SEC"")"),"CEZAR MARTONIO SOUZA SILVA")</f>
        <v>CEZAR MARTONIO SOUZA SILVA</v>
      </c>
      <c r="R455" s="82" t="str">
        <f>IFERROR(__xludf.DUMMYFUNCTION("IFERROR(VLOOKUP(D455,
IMPORTRANGE(""https://docs.google.com/spreadsheets/d/1MjHtlUikwobi2MaWJgy7tfLeBmhj1u-dRFRs_8GwSoA/edit#gid=0"",""Gestores Escolares!D7:m""),10,0),""VERIFICAR CÓD SEC"")"),"(75) 9 9104-6535")</f>
        <v>(75) 9 9104-6535</v>
      </c>
      <c r="S455" s="82"/>
      <c r="T455" s="138">
        <v>27.0</v>
      </c>
      <c r="U455" s="139">
        <v>20.0</v>
      </c>
      <c r="V455" s="106">
        <v>0.0</v>
      </c>
      <c r="W455" s="107">
        <v>0.0</v>
      </c>
      <c r="X455" s="107">
        <v>0.0</v>
      </c>
      <c r="Y455" s="107">
        <v>0.0</v>
      </c>
      <c r="Z455" s="80">
        <f t="shared" si="1"/>
        <v>0</v>
      </c>
      <c r="AA455" s="106">
        <v>0.0</v>
      </c>
      <c r="AB455" s="107">
        <v>0.0</v>
      </c>
      <c r="AC455" s="107">
        <v>0.0</v>
      </c>
      <c r="AD455" s="107">
        <v>0.0</v>
      </c>
      <c r="AE455" s="80">
        <f t="shared" si="2"/>
        <v>0</v>
      </c>
      <c r="AF455" s="140">
        <v>0.0</v>
      </c>
      <c r="AG455" s="109">
        <v>0.0</v>
      </c>
      <c r="AH455" s="109">
        <v>0.0</v>
      </c>
      <c r="AI455" s="141">
        <v>0.0</v>
      </c>
      <c r="AJ455" s="80">
        <f t="shared" si="3"/>
        <v>0</v>
      </c>
      <c r="AK455" s="140">
        <v>0.0</v>
      </c>
      <c r="AL455" s="109">
        <v>0.0</v>
      </c>
      <c r="AM455" s="141">
        <v>0.0</v>
      </c>
      <c r="AN455" s="80">
        <f t="shared" si="4"/>
        <v>0</v>
      </c>
      <c r="AO455" s="140">
        <v>0.0</v>
      </c>
      <c r="AP455" s="109">
        <v>0.0</v>
      </c>
      <c r="AQ455" s="109">
        <v>0.0</v>
      </c>
      <c r="AR455" s="80">
        <f t="shared" si="5"/>
        <v>0</v>
      </c>
      <c r="AS455" s="110">
        <v>480.0</v>
      </c>
      <c r="AT455" s="110">
        <v>163.0</v>
      </c>
      <c r="AU455" s="110">
        <v>360.0</v>
      </c>
      <c r="AV455" s="142">
        <v>0.0</v>
      </c>
      <c r="AW455" s="80">
        <f t="shared" si="6"/>
        <v>1003</v>
      </c>
      <c r="AX455" s="113">
        <f t="shared" si="7"/>
        <v>1003</v>
      </c>
      <c r="AY455" s="117">
        <f t="shared" si="8"/>
        <v>643</v>
      </c>
      <c r="AZ455" s="120">
        <f t="shared" si="9"/>
        <v>360</v>
      </c>
      <c r="BA455" s="115">
        <v>0.0</v>
      </c>
      <c r="BB455" s="89">
        <f t="shared" si="10"/>
        <v>1003</v>
      </c>
      <c r="BC455" s="132" t="s">
        <v>178</v>
      </c>
      <c r="BD455" s="132" t="s">
        <v>779</v>
      </c>
      <c r="BE455" s="132" t="s">
        <v>178</v>
      </c>
      <c r="BF455" s="123"/>
      <c r="BG455" s="83">
        <v>1111070.0</v>
      </c>
      <c r="BH455" s="112"/>
      <c r="BI455" s="112">
        <v>20.0</v>
      </c>
      <c r="BJ455" s="98" t="s">
        <v>155</v>
      </c>
      <c r="BK455" s="99">
        <f t="shared" si="11"/>
        <v>0</v>
      </c>
      <c r="BL455" s="99">
        <f t="shared" si="12"/>
        <v>643</v>
      </c>
      <c r="BM455" s="99" t="str">
        <f>IFERROR(__xludf.DUMMYFUNCTION("IFERROR(VLOOKUP(BG455,IMPORTRANGE(""https://docs.google.com/spreadsheets/d/1juPI-Fb8LD0YtltB2mlGEnp_R3UVu1t3wSFPzgCyHXE/edit?gid=0#gid=0"",""GERAL!A2:C""),3,0),""-"")"),"-")</f>
        <v>-</v>
      </c>
    </row>
    <row r="456" ht="15.75" customHeight="1">
      <c r="A456" s="127" t="s">
        <v>540</v>
      </c>
      <c r="B456" s="98" t="s">
        <v>1822</v>
      </c>
      <c r="C456" s="83" t="s">
        <v>68</v>
      </c>
      <c r="D456" s="98">
        <v>1179786.0</v>
      </c>
      <c r="E456" s="83"/>
      <c r="F456" s="98">
        <v>2.949566E7</v>
      </c>
      <c r="G456" s="147" t="s">
        <v>1848</v>
      </c>
      <c r="H456" s="108" t="s">
        <v>1849</v>
      </c>
      <c r="I456" s="172" t="s">
        <v>149</v>
      </c>
      <c r="J456" s="83"/>
      <c r="K456" s="83" t="s">
        <v>1685</v>
      </c>
      <c r="L456" s="83" t="s">
        <v>230</v>
      </c>
      <c r="M456" s="82" t="str">
        <f>IFERROR(__xludf.DUMMYFUNCTION("IFERROR(VLOOKUP(D456,
IMPORTRANGE(""https://docs.google.com/spreadsheets/d/1MjHtlUikwobi2MaWJgy7tfLeBmhj1u-dRFRs_8GwSoA/edit#gid=0"",""Gestores Escolares!D7:J""),3,0),""VERIFICAR CÓD SEC"")"),"CLAUDIA SANDRA DE JESUS SANTOS NASCIMENTO")</f>
        <v>CLAUDIA SANDRA DE JESUS SANTOS NASCIMENTO</v>
      </c>
      <c r="N456" s="82" t="str">
        <f>IFERROR(__xludf.DUMMYFUNCTION("IFERROR(VLOOKUP(D456,
IMPORTRANGE(""https://docs.google.com/spreadsheets/d/1MjHtlUikwobi2MaWJgy7tfLeBmhj1u-dRFRs_8GwSoA/edit#gid=0"",""Gestores Escolares!D7:J""),4,0),""VERIFICAR CÓD SEC"")"),"(75) 9 9195-7208")</f>
        <v>(75) 9 9195-7208</v>
      </c>
      <c r="O456" s="82" t="str">
        <f>IFERROR(__xludf.DUMMYFUNCTION("IFERROR(VLOOKUP(D456,
IMPORTRANGE(""https://docs.google.com/spreadsheets/d/1MjHtlUikwobi2MaWJgy7tfLeBmhj1u-dRFRs_8GwSoA/edit#gid=0"",""Gestores Escolares!D7:J""),6,0),""VERIFICAR CÓD SEC"")"),"")</f>
        <v/>
      </c>
      <c r="P456" s="82" t="str">
        <f>IFERROR(__xludf.DUMMYFUNCTION("IFERROR(VLOOKUP(D456,
IMPORTRANGE(""https://docs.google.com/spreadsheets/d/1MjHtlUikwobi2MaWJgy7tfLeBmhj1u-dRFRs_8GwSoA/edit#gid=0"",""Gestores Escolares!D7:J""),7,0),""VERIFICAR CÓD SEC"")"),"")</f>
        <v/>
      </c>
      <c r="Q456" s="82" t="str">
        <f>IFERROR(__xludf.DUMMYFUNCTION("IFERROR(VLOOKUP(D456,
IMPORTRANGE(""https://docs.google.com/spreadsheets/d/1MjHtlUikwobi2MaWJgy7tfLeBmhj1u-dRFRs_8GwSoA/edit#gid=0"",""Gestores Escolares!D7:m""),9,0),""VERIFICAR CÓD SEC"")"),"")</f>
        <v/>
      </c>
      <c r="R456" s="82" t="str">
        <f>IFERROR(__xludf.DUMMYFUNCTION("IFERROR(VLOOKUP(D456,
IMPORTRANGE(""https://docs.google.com/spreadsheets/d/1MjHtlUikwobi2MaWJgy7tfLeBmhj1u-dRFRs_8GwSoA/edit#gid=0"",""Gestores Escolares!D7:m""),10,0),""VERIFICAR CÓD SEC"")"),"")</f>
        <v/>
      </c>
      <c r="S456" s="82"/>
      <c r="T456" s="138"/>
      <c r="U456" s="139"/>
      <c r="V456" s="106">
        <v>0.0</v>
      </c>
      <c r="W456" s="107">
        <v>0.0</v>
      </c>
      <c r="X456" s="107">
        <v>0.0</v>
      </c>
      <c r="Y456" s="107">
        <v>0.0</v>
      </c>
      <c r="Z456" s="80">
        <f t="shared" si="1"/>
        <v>0</v>
      </c>
      <c r="AA456" s="106">
        <v>0.0</v>
      </c>
      <c r="AB456" s="107">
        <v>0.0</v>
      </c>
      <c r="AC456" s="107">
        <v>0.0</v>
      </c>
      <c r="AD456" s="107">
        <v>0.0</v>
      </c>
      <c r="AE456" s="80">
        <f t="shared" si="2"/>
        <v>0</v>
      </c>
      <c r="AF456" s="140">
        <v>0.0</v>
      </c>
      <c r="AG456" s="109">
        <v>0.0</v>
      </c>
      <c r="AH456" s="109">
        <v>0.0</v>
      </c>
      <c r="AI456" s="141">
        <v>0.0</v>
      </c>
      <c r="AJ456" s="80">
        <f t="shared" si="3"/>
        <v>0</v>
      </c>
      <c r="AK456" s="140">
        <v>0.0</v>
      </c>
      <c r="AL456" s="109">
        <v>0.0</v>
      </c>
      <c r="AM456" s="141">
        <v>0.0</v>
      </c>
      <c r="AN456" s="80">
        <f t="shared" si="4"/>
        <v>0</v>
      </c>
      <c r="AO456" s="140">
        <v>0.0</v>
      </c>
      <c r="AP456" s="109">
        <v>0.0</v>
      </c>
      <c r="AQ456" s="109">
        <v>0.0</v>
      </c>
      <c r="AR456" s="80">
        <f t="shared" si="5"/>
        <v>0</v>
      </c>
      <c r="AS456" s="110">
        <v>0.0</v>
      </c>
      <c r="AT456" s="110">
        <v>0.0</v>
      </c>
      <c r="AU456" s="110">
        <v>0.0</v>
      </c>
      <c r="AV456" s="142">
        <v>0.0</v>
      </c>
      <c r="AW456" s="80">
        <f t="shared" si="6"/>
        <v>0</v>
      </c>
      <c r="AX456" s="113">
        <f t="shared" si="7"/>
        <v>0</v>
      </c>
      <c r="AY456" s="117">
        <f t="shared" si="8"/>
        <v>0</v>
      </c>
      <c r="AZ456" s="120">
        <f t="shared" si="9"/>
        <v>0</v>
      </c>
      <c r="BA456" s="115">
        <v>0.0</v>
      </c>
      <c r="BB456" s="89">
        <f t="shared" si="10"/>
        <v>0</v>
      </c>
      <c r="BC456" s="132" t="s">
        <v>553</v>
      </c>
      <c r="BD456" s="132" t="s">
        <v>554</v>
      </c>
      <c r="BE456" s="132"/>
      <c r="BF456" s="123"/>
      <c r="BG456" s="98">
        <v>1179786.0</v>
      </c>
      <c r="BH456" s="112"/>
      <c r="BI456" s="112"/>
      <c r="BJ456" s="98"/>
      <c r="BK456" s="99">
        <f t="shared" si="11"/>
        <v>0</v>
      </c>
      <c r="BL456" s="99">
        <f t="shared" si="12"/>
        <v>0</v>
      </c>
      <c r="BM456" s="99" t="str">
        <f>IFERROR(__xludf.DUMMYFUNCTION("IFERROR(VLOOKUP(BG456,IMPORTRANGE(""https://docs.google.com/spreadsheets/d/1juPI-Fb8LD0YtltB2mlGEnp_R3UVu1t3wSFPzgCyHXE/edit?gid=0#gid=0"",""GERAL!A2:C""),3,0),""-"")"),"-")</f>
        <v>-</v>
      </c>
    </row>
    <row r="457" ht="15.75" customHeight="1">
      <c r="A457" s="111" t="s">
        <v>540</v>
      </c>
      <c r="B457" s="83" t="s">
        <v>1822</v>
      </c>
      <c r="C457" s="83" t="s">
        <v>164</v>
      </c>
      <c r="D457" s="112">
        <v>1111070.0</v>
      </c>
      <c r="E457" s="83">
        <v>1178296.0</v>
      </c>
      <c r="F457" s="98">
        <v>2.948989E7</v>
      </c>
      <c r="G457" s="119" t="s">
        <v>1850</v>
      </c>
      <c r="H457" s="91" t="s">
        <v>1851</v>
      </c>
      <c r="I457" s="83" t="s">
        <v>149</v>
      </c>
      <c r="J457" s="83" t="s">
        <v>657</v>
      </c>
      <c r="K457" s="83" t="s">
        <v>1852</v>
      </c>
      <c r="L457" s="83" t="s">
        <v>169</v>
      </c>
      <c r="M457" s="82" t="str">
        <f>IFERROR(__xludf.DUMMYFUNCTION("IFERROR(VLOOKUP(D457,
IMPORTRANGE(""https://docs.google.com/spreadsheets/d/1MjHtlUikwobi2MaWJgy7tfLeBmhj1u-dRFRs_8GwSoA/edit#gid=0"",""Gestores Escolares!D7:J""),3,0),""VERIFICAR CÓD SEC"")"),"JAMILE NASCIMENTO SANTOS")</f>
        <v>JAMILE NASCIMENTO SANTOS</v>
      </c>
      <c r="N457" s="82" t="str">
        <f>IFERROR(__xludf.DUMMYFUNCTION("IFERROR(VLOOKUP(D457,
IMPORTRANGE(""https://docs.google.com/spreadsheets/d/1MjHtlUikwobi2MaWJgy7tfLeBmhj1u-dRFRs_8GwSoA/edit#gid=0"",""Gestores Escolares!D7:J""),4,0),""VERIFICAR CÓD SEC"")"),"(73) 9 9900-3572")</f>
        <v>(73) 9 9900-3572</v>
      </c>
      <c r="O457" s="82" t="str">
        <f>IFERROR(__xludf.DUMMYFUNCTION("IFERROR(VLOOKUP(D457,
IMPORTRANGE(""https://docs.google.com/spreadsheets/d/1MjHtlUikwobi2MaWJgy7tfLeBmhj1u-dRFRs_8GwSoA/edit#gid=0"",""Gestores Escolares!D7:J""),6,0),""VERIFICAR CÓD SEC"")"),"ADEMILTON DE JESUS SANTOS")</f>
        <v>ADEMILTON DE JESUS SANTOS</v>
      </c>
      <c r="P457" s="82" t="str">
        <f>IFERROR(__xludf.DUMMYFUNCTION("IFERROR(VLOOKUP(D457,
IMPORTRANGE(""https://docs.google.com/spreadsheets/d/1MjHtlUikwobi2MaWJgy7tfLeBmhj1u-dRFRs_8GwSoA/edit#gid=0"",""Gestores Escolares!D7:J""),7,0),""VERIFICAR CÓD SEC"")"),"(75) 9 8102-0816/
9 9228-1444")</f>
        <v>(75) 9 8102-0816/
9 9228-1444</v>
      </c>
      <c r="Q457" s="82" t="str">
        <f>IFERROR(__xludf.DUMMYFUNCTION("IFERROR(VLOOKUP(D457,
IMPORTRANGE(""https://docs.google.com/spreadsheets/d/1MjHtlUikwobi2MaWJgy7tfLeBmhj1u-dRFRs_8GwSoA/edit#gid=0"",""Gestores Escolares!D7:m""),9,0),""VERIFICAR CÓD SEC"")"),"CEZAR MARTONIO SOUZA SILVA")</f>
        <v>CEZAR MARTONIO SOUZA SILVA</v>
      </c>
      <c r="R457" s="82" t="str">
        <f>IFERROR(__xludf.DUMMYFUNCTION("IFERROR(VLOOKUP(D457,
IMPORTRANGE(""https://docs.google.com/spreadsheets/d/1MjHtlUikwobi2MaWJgy7tfLeBmhj1u-dRFRs_8GwSoA/edit#gid=0"",""Gestores Escolares!D7:m""),10,0),""VERIFICAR CÓD SEC"")"),"(75) 9 9104-6535")</f>
        <v>(75) 9 9104-6535</v>
      </c>
      <c r="S457" s="82"/>
      <c r="T457" s="138">
        <v>7.0</v>
      </c>
      <c r="U457" s="139">
        <v>7.0</v>
      </c>
      <c r="V457" s="106">
        <v>0.0</v>
      </c>
      <c r="W457" s="107">
        <v>0.0</v>
      </c>
      <c r="X457" s="107">
        <v>0.0</v>
      </c>
      <c r="Y457" s="107">
        <v>0.0</v>
      </c>
      <c r="Z457" s="80">
        <f t="shared" si="1"/>
        <v>0</v>
      </c>
      <c r="AA457" s="106">
        <v>0.0</v>
      </c>
      <c r="AB457" s="107">
        <v>0.0</v>
      </c>
      <c r="AC457" s="107">
        <v>0.0</v>
      </c>
      <c r="AD457" s="107">
        <v>0.0</v>
      </c>
      <c r="AE457" s="80">
        <f t="shared" si="2"/>
        <v>0</v>
      </c>
      <c r="AF457" s="140">
        <v>0.0</v>
      </c>
      <c r="AG457" s="109">
        <v>0.0</v>
      </c>
      <c r="AH457" s="109">
        <v>0.0</v>
      </c>
      <c r="AI457" s="141">
        <v>0.0</v>
      </c>
      <c r="AJ457" s="80">
        <f t="shared" si="3"/>
        <v>0</v>
      </c>
      <c r="AK457" s="140">
        <v>0.0</v>
      </c>
      <c r="AL457" s="109">
        <v>0.0</v>
      </c>
      <c r="AM457" s="141">
        <v>0.0</v>
      </c>
      <c r="AN457" s="80">
        <f t="shared" si="4"/>
        <v>0</v>
      </c>
      <c r="AO457" s="140">
        <v>0.0</v>
      </c>
      <c r="AP457" s="109">
        <v>0.0</v>
      </c>
      <c r="AQ457" s="109">
        <v>0.0</v>
      </c>
      <c r="AR457" s="80">
        <f t="shared" si="5"/>
        <v>0</v>
      </c>
      <c r="AS457" s="110">
        <v>0.0</v>
      </c>
      <c r="AT457" s="110">
        <v>67.0</v>
      </c>
      <c r="AU457" s="110">
        <v>64.0</v>
      </c>
      <c r="AV457" s="142">
        <v>0.0</v>
      </c>
      <c r="AW457" s="80">
        <f t="shared" si="6"/>
        <v>131</v>
      </c>
      <c r="AX457" s="113">
        <f t="shared" si="7"/>
        <v>131</v>
      </c>
      <c r="AY457" s="117">
        <f t="shared" si="8"/>
        <v>67</v>
      </c>
      <c r="AZ457" s="120">
        <f t="shared" si="9"/>
        <v>64</v>
      </c>
      <c r="BA457" s="115">
        <v>0.0</v>
      </c>
      <c r="BB457" s="89">
        <f t="shared" si="10"/>
        <v>131</v>
      </c>
      <c r="BC457" s="132" t="s">
        <v>373</v>
      </c>
      <c r="BD457" s="132" t="s">
        <v>779</v>
      </c>
      <c r="BE457" s="132" t="s">
        <v>178</v>
      </c>
      <c r="BF457" s="123"/>
      <c r="BG457" s="83">
        <v>1178296.0</v>
      </c>
      <c r="BH457" s="112"/>
      <c r="BI457" s="112">
        <v>7.0</v>
      </c>
      <c r="BJ457" s="98" t="s">
        <v>155</v>
      </c>
      <c r="BK457" s="99">
        <f t="shared" si="11"/>
        <v>0</v>
      </c>
      <c r="BL457" s="99">
        <f t="shared" si="12"/>
        <v>67</v>
      </c>
      <c r="BM457" s="99" t="str">
        <f>IFERROR(__xludf.DUMMYFUNCTION("IFERROR(VLOOKUP(BG457,IMPORTRANGE(""https://docs.google.com/spreadsheets/d/1juPI-Fb8LD0YtltB2mlGEnp_R3UVu1t3wSFPzgCyHXE/edit?gid=0#gid=0"",""GERAL!A2:C""),3,0),""-"")"),"CAMPO")</f>
        <v>CAMPO</v>
      </c>
    </row>
    <row r="458" ht="15.75" customHeight="1">
      <c r="A458" s="111" t="s">
        <v>540</v>
      </c>
      <c r="B458" s="83" t="s">
        <v>1822</v>
      </c>
      <c r="C458" s="83" t="s">
        <v>164</v>
      </c>
      <c r="D458" s="112">
        <v>1111045.0</v>
      </c>
      <c r="E458" s="98">
        <v>1179057.0</v>
      </c>
      <c r="F458" s="98">
        <v>2.9491991E7</v>
      </c>
      <c r="G458" s="119" t="s">
        <v>1854</v>
      </c>
      <c r="H458" s="108" t="s">
        <v>1855</v>
      </c>
      <c r="I458" s="172"/>
      <c r="J458" s="83"/>
      <c r="K458" s="83" t="s">
        <v>1685</v>
      </c>
      <c r="L458" s="83" t="s">
        <v>169</v>
      </c>
      <c r="M458" s="82" t="str">
        <f>IFERROR(__xludf.DUMMYFUNCTION("IFERROR(VLOOKUP(D458,
IMPORTRANGE(""https://docs.google.com/spreadsheets/d/1MjHtlUikwobi2MaWJgy7tfLeBmhj1u-dRFRs_8GwSoA/edit#gid=0"",""Gestores Escolares!D7:J""),3,0),""VERIFICAR CÓD SEC"")"),"HELIO SOUZA DE CRISTO")</f>
        <v>HELIO SOUZA DE CRISTO</v>
      </c>
      <c r="N458" s="82" t="str">
        <f>IFERROR(__xludf.DUMMYFUNCTION("IFERROR(VLOOKUP(D458,
IMPORTRANGE(""https://docs.google.com/spreadsheets/d/1MjHtlUikwobi2MaWJgy7tfLeBmhj1u-dRFRs_8GwSoA/edit#gid=0"",""Gestores Escolares!D7:J""),4,0),""VERIFICAR CÓD SEC"")"),"(75) 9 9921-8611")</f>
        <v>(75) 9 9921-8611</v>
      </c>
      <c r="O458" s="82" t="str">
        <f>IFERROR(__xludf.DUMMYFUNCTION("IFERROR(VLOOKUP(D458,
IMPORTRANGE(""https://docs.google.com/spreadsheets/d/1MjHtlUikwobi2MaWJgy7tfLeBmhj1u-dRFRs_8GwSoA/edit#gid=0"",""Gestores Escolares!D7:J""),6,0),""VERIFICAR CÓD SEC"")"),"ANA MARIA SOUZA SARMENTO SANTOS")</f>
        <v>ANA MARIA SOUZA SARMENTO SANTOS</v>
      </c>
      <c r="P458" s="82" t="str">
        <f>IFERROR(__xludf.DUMMYFUNCTION("IFERROR(VLOOKUP(D458,
IMPORTRANGE(""https://docs.google.com/spreadsheets/d/1MjHtlUikwobi2MaWJgy7tfLeBmhj1u-dRFRs_8GwSoA/edit#gid=0"",""Gestores Escolares!D7:J""),7,0),""VERIFICAR CÓD SEC"")"),"(75) 9 8812-2858")</f>
        <v>(75) 9 8812-2858</v>
      </c>
      <c r="Q458" s="82" t="str">
        <f>IFERROR(__xludf.DUMMYFUNCTION("IFERROR(VLOOKUP(D458,
IMPORTRANGE(""https://docs.google.com/spreadsheets/d/1MjHtlUikwobi2MaWJgy7tfLeBmhj1u-dRFRs_8GwSoA/edit#gid=0"",""Gestores Escolares!D7:m""),9,0),""VERIFICAR CÓD SEC"")"),"VITOR THOMAS SANT AMARO")</f>
        <v>VITOR THOMAS SANT AMARO</v>
      </c>
      <c r="R458" s="82" t="str">
        <f>IFERROR(__xludf.DUMMYFUNCTION("IFERROR(VLOOKUP(D458,
IMPORTRANGE(""https://docs.google.com/spreadsheets/d/1MjHtlUikwobi2MaWJgy7tfLeBmhj1u-dRFRs_8GwSoA/edit#gid=0"",""Gestores Escolares!D7:m""),10,0),""VERIFICAR CÓD SEC"")"),"(75) 9 9871-3055")</f>
        <v>(75) 9 9871-3055</v>
      </c>
      <c r="S458" s="82"/>
      <c r="T458" s="138"/>
      <c r="U458" s="145">
        <v>2.0</v>
      </c>
      <c r="V458" s="106">
        <v>0.0</v>
      </c>
      <c r="W458" s="107">
        <v>0.0</v>
      </c>
      <c r="X458" s="107">
        <v>0.0</v>
      </c>
      <c r="Y458" s="107">
        <v>0.0</v>
      </c>
      <c r="Z458" s="80">
        <f t="shared" si="1"/>
        <v>0</v>
      </c>
      <c r="AA458" s="106">
        <v>0.0</v>
      </c>
      <c r="AB458" s="107">
        <v>0.0</v>
      </c>
      <c r="AC458" s="107">
        <v>0.0</v>
      </c>
      <c r="AD458" s="107">
        <v>0.0</v>
      </c>
      <c r="AE458" s="80">
        <f t="shared" si="2"/>
        <v>0</v>
      </c>
      <c r="AF458" s="140">
        <v>0.0</v>
      </c>
      <c r="AG458" s="109">
        <v>0.0</v>
      </c>
      <c r="AH458" s="109">
        <v>0.0</v>
      </c>
      <c r="AI458" s="141">
        <v>0.0</v>
      </c>
      <c r="AJ458" s="80">
        <f t="shared" si="3"/>
        <v>0</v>
      </c>
      <c r="AK458" s="140">
        <v>0.0</v>
      </c>
      <c r="AL458" s="109">
        <v>0.0</v>
      </c>
      <c r="AM458" s="141">
        <v>0.0</v>
      </c>
      <c r="AN458" s="80">
        <f t="shared" si="4"/>
        <v>0</v>
      </c>
      <c r="AO458" s="140">
        <v>0.0</v>
      </c>
      <c r="AP458" s="109">
        <v>0.0</v>
      </c>
      <c r="AQ458" s="109">
        <v>28.0</v>
      </c>
      <c r="AR458" s="80">
        <f t="shared" si="5"/>
        <v>28</v>
      </c>
      <c r="AS458" s="110">
        <v>0.0</v>
      </c>
      <c r="AT458" s="110">
        <v>0.0</v>
      </c>
      <c r="AU458" s="110">
        <v>0.0</v>
      </c>
      <c r="AV458" s="142">
        <v>0.0</v>
      </c>
      <c r="AW458" s="80">
        <f t="shared" si="6"/>
        <v>0</v>
      </c>
      <c r="AX458" s="113">
        <f t="shared" si="7"/>
        <v>28</v>
      </c>
      <c r="AY458" s="117">
        <f t="shared" si="8"/>
        <v>0</v>
      </c>
      <c r="AZ458" s="120">
        <f t="shared" si="9"/>
        <v>28</v>
      </c>
      <c r="BA458" s="115">
        <v>0.0</v>
      </c>
      <c r="BB458" s="89">
        <f t="shared" si="10"/>
        <v>28</v>
      </c>
      <c r="BC458" s="132" t="s">
        <v>178</v>
      </c>
      <c r="BD458" s="132" t="s">
        <v>178</v>
      </c>
      <c r="BE458" s="132" t="s">
        <v>178</v>
      </c>
      <c r="BF458" s="123"/>
      <c r="BG458" s="98">
        <v>1179057.0</v>
      </c>
      <c r="BH458" s="98"/>
      <c r="BI458" s="98">
        <v>0.0</v>
      </c>
      <c r="BJ458" s="98" t="s">
        <v>155</v>
      </c>
      <c r="BK458" s="99">
        <f t="shared" si="11"/>
        <v>0</v>
      </c>
      <c r="BL458" s="99">
        <f t="shared" si="12"/>
        <v>0</v>
      </c>
      <c r="BM458" s="99" t="str">
        <f>IFERROR(__xludf.DUMMYFUNCTION("IFERROR(VLOOKUP(BG458,IMPORTRANGE(""https://docs.google.com/spreadsheets/d/1juPI-Fb8LD0YtltB2mlGEnp_R3UVu1t3wSFPzgCyHXE/edit?gid=0#gid=0"",""GERAL!A2:C""),3,0),""-"")"),"-")</f>
        <v>-</v>
      </c>
    </row>
    <row r="459" ht="15.75" customHeight="1">
      <c r="A459" s="111" t="s">
        <v>540</v>
      </c>
      <c r="B459" s="83" t="s">
        <v>1822</v>
      </c>
      <c r="C459" s="83" t="s">
        <v>68</v>
      </c>
      <c r="D459" s="112">
        <v>1179284.0</v>
      </c>
      <c r="E459" s="98">
        <v>1110898.0</v>
      </c>
      <c r="F459" s="83">
        <v>2.946093E7</v>
      </c>
      <c r="G459" s="119" t="s">
        <v>1856</v>
      </c>
      <c r="H459" s="91" t="s">
        <v>1857</v>
      </c>
      <c r="I459" s="172" t="s">
        <v>149</v>
      </c>
      <c r="J459" s="83" t="s">
        <v>150</v>
      </c>
      <c r="K459" s="83" t="s">
        <v>151</v>
      </c>
      <c r="L459" s="83" t="s">
        <v>230</v>
      </c>
      <c r="M459" s="82" t="str">
        <f>IFERROR(__xludf.DUMMYFUNCTION("IFERROR(VLOOKUP(D459,
IMPORTRANGE(""https://docs.google.com/spreadsheets/d/1MjHtlUikwobi2MaWJgy7tfLeBmhj1u-dRFRs_8GwSoA/edit#gid=0"",""Gestores Escolares!D7:J""),3,0),""VERIFICAR CÓD SEC"")")," NILCEANNE NOGUEIRA LIMA")</f>
        <v> NILCEANNE NOGUEIRA LIMA</v>
      </c>
      <c r="N459" s="82" t="str">
        <f>IFERROR(__xludf.DUMMYFUNCTION("IFERROR(VLOOKUP(D459,
IMPORTRANGE(""https://docs.google.com/spreadsheets/d/1MjHtlUikwobi2MaWJgy7tfLeBmhj1u-dRFRs_8GwSoA/edit#gid=0"",""Gestores Escolares!D7:J""),4,0),""VERIFICAR CÓD SEC"")"),"(73) 9 9123-7129")</f>
        <v>(73) 9 9123-7129</v>
      </c>
      <c r="O459" s="82" t="str">
        <f>IFERROR(__xludf.DUMMYFUNCTION("IFERROR(VLOOKUP(D459,
IMPORTRANGE(""https://docs.google.com/spreadsheets/d/1MjHtlUikwobi2MaWJgy7tfLeBmhj1u-dRFRs_8GwSoA/edit#gid=0"",""Gestores Escolares!D7:J""),6,0),""VERIFICAR CÓD SEC"")"),"FRANCISCO CRUZ DO NASCIMENTO")</f>
        <v>FRANCISCO CRUZ DO NASCIMENTO</v>
      </c>
      <c r="P459" s="82" t="str">
        <f>IFERROR(__xludf.DUMMYFUNCTION("IFERROR(VLOOKUP(D459,
IMPORTRANGE(""https://docs.google.com/spreadsheets/d/1MjHtlUikwobi2MaWJgy7tfLeBmhj1u-dRFRs_8GwSoA/edit#gid=0"",""Gestores Escolares!D7:J""),7,0),""VERIFICAR CÓD SEC"")"),"(73) 9 8123-9143")</f>
        <v>(73) 9 8123-9143</v>
      </c>
      <c r="Q459" s="82" t="str">
        <f>IFERROR(__xludf.DUMMYFUNCTION("IFERROR(VLOOKUP(D459,
IMPORTRANGE(""https://docs.google.com/spreadsheets/d/1MjHtlUikwobi2MaWJgy7tfLeBmhj1u-dRFRs_8GwSoA/edit#gid=0"",""Gestores Escolares!D7:m""),9,0),""VERIFICAR CÓD SEC"")"),"")</f>
        <v/>
      </c>
      <c r="R459" s="82" t="str">
        <f>IFERROR(__xludf.DUMMYFUNCTION("IFERROR(VLOOKUP(D459,
IMPORTRANGE(""https://docs.google.com/spreadsheets/d/1MjHtlUikwobi2MaWJgy7tfLeBmhj1u-dRFRs_8GwSoA/edit#gid=0"",""Gestores Escolares!D7:m""),10,0),""VERIFICAR CÓD SEC"")"),"")</f>
        <v/>
      </c>
      <c r="S459" s="82"/>
      <c r="T459" s="138" t="s">
        <v>171</v>
      </c>
      <c r="U459" s="145" t="s">
        <v>533</v>
      </c>
      <c r="V459" s="106">
        <v>0.0</v>
      </c>
      <c r="W459" s="107">
        <v>0.0</v>
      </c>
      <c r="X459" s="107">
        <v>0.0</v>
      </c>
      <c r="Y459" s="107">
        <v>0.0</v>
      </c>
      <c r="Z459" s="80">
        <f t="shared" si="1"/>
        <v>0</v>
      </c>
      <c r="AA459" s="106">
        <v>0.0</v>
      </c>
      <c r="AB459" s="107">
        <v>0.0</v>
      </c>
      <c r="AC459" s="107">
        <v>0.0</v>
      </c>
      <c r="AD459" s="107">
        <v>0.0</v>
      </c>
      <c r="AE459" s="80">
        <f t="shared" si="2"/>
        <v>0</v>
      </c>
      <c r="AF459" s="140">
        <v>0.0</v>
      </c>
      <c r="AG459" s="109">
        <v>0.0</v>
      </c>
      <c r="AH459" s="109">
        <v>0.0</v>
      </c>
      <c r="AI459" s="141">
        <v>0.0</v>
      </c>
      <c r="AJ459" s="80">
        <f t="shared" si="3"/>
        <v>0</v>
      </c>
      <c r="AK459" s="140">
        <v>0.0</v>
      </c>
      <c r="AL459" s="109">
        <v>0.0</v>
      </c>
      <c r="AM459" s="141">
        <v>0.0</v>
      </c>
      <c r="AN459" s="80">
        <f t="shared" si="4"/>
        <v>0</v>
      </c>
      <c r="AO459" s="140">
        <v>0.0</v>
      </c>
      <c r="AP459" s="109">
        <v>0.0</v>
      </c>
      <c r="AQ459" s="109">
        <v>0.0</v>
      </c>
      <c r="AR459" s="80">
        <f t="shared" si="5"/>
        <v>0</v>
      </c>
      <c r="AS459" s="110">
        <v>0.0</v>
      </c>
      <c r="AT459" s="110">
        <v>0.0</v>
      </c>
      <c r="AU459" s="110">
        <v>0.0</v>
      </c>
      <c r="AV459" s="142">
        <v>0.0</v>
      </c>
      <c r="AW459" s="80">
        <f t="shared" si="6"/>
        <v>0</v>
      </c>
      <c r="AX459" s="113">
        <f t="shared" si="7"/>
        <v>0</v>
      </c>
      <c r="AY459" s="117">
        <f t="shared" si="8"/>
        <v>0</v>
      </c>
      <c r="AZ459" s="120">
        <f t="shared" si="9"/>
        <v>0</v>
      </c>
      <c r="BA459" s="115">
        <v>0.0</v>
      </c>
      <c r="BB459" s="89">
        <f t="shared" si="10"/>
        <v>0</v>
      </c>
      <c r="BC459" s="132" t="s">
        <v>178</v>
      </c>
      <c r="BD459" s="143" t="s">
        <v>227</v>
      </c>
      <c r="BE459" s="132" t="s">
        <v>178</v>
      </c>
      <c r="BF459" s="83" t="s">
        <v>534</v>
      </c>
      <c r="BG459" s="83">
        <v>1179284.0</v>
      </c>
      <c r="BH459" s="112"/>
      <c r="BI459" s="112">
        <v>0.0</v>
      </c>
      <c r="BJ459" s="98" t="s">
        <v>155</v>
      </c>
      <c r="BK459" s="99">
        <f t="shared" si="11"/>
        <v>0</v>
      </c>
      <c r="BL459" s="99">
        <f t="shared" si="12"/>
        <v>0</v>
      </c>
      <c r="BM459" s="99" t="str">
        <f>IFERROR(__xludf.DUMMYFUNCTION("IFERROR(VLOOKUP(BG459,IMPORTRANGE(""https://docs.google.com/spreadsheets/d/1juPI-Fb8LD0YtltB2mlGEnp_R3UVu1t3wSFPzgCyHXE/edit?gid=0#gid=0"",""GERAL!A2:C""),3,0),""-"")"),"-")</f>
        <v>-</v>
      </c>
    </row>
    <row r="460" ht="15.75" customHeight="1">
      <c r="A460" s="111" t="s">
        <v>540</v>
      </c>
      <c r="B460" s="83" t="s">
        <v>1859</v>
      </c>
      <c r="C460" s="83" t="s">
        <v>68</v>
      </c>
      <c r="D460" s="112">
        <v>1110685.0</v>
      </c>
      <c r="E460" s="83"/>
      <c r="F460" s="83">
        <v>2.9317134E7</v>
      </c>
      <c r="G460" s="119" t="s">
        <v>1860</v>
      </c>
      <c r="H460" s="91" t="s">
        <v>1861</v>
      </c>
      <c r="I460" s="172" t="s">
        <v>149</v>
      </c>
      <c r="J460" s="83" t="s">
        <v>150</v>
      </c>
      <c r="K460" s="83" t="s">
        <v>1685</v>
      </c>
      <c r="L460" s="98" t="s">
        <v>152</v>
      </c>
      <c r="M460" s="82" t="str">
        <f>IFERROR(__xludf.DUMMYFUNCTION("IFERROR(VLOOKUP(D460,
IMPORTRANGE(""https://docs.google.com/spreadsheets/d/1MjHtlUikwobi2MaWJgy7tfLeBmhj1u-dRFRs_8GwSoA/edit#gid=0"",""Gestores Escolares!D7:J""),3,0),""VERIFICAR CÓD SEC"")")," LEILA MARIA MACHADO DA SILVA SOUZA")</f>
        <v> LEILA MARIA MACHADO DA SILVA SOUZA</v>
      </c>
      <c r="N460" s="82" t="str">
        <f>IFERROR(__xludf.DUMMYFUNCTION("IFERROR(VLOOKUP(D460,
IMPORTRANGE(""https://docs.google.com/spreadsheets/d/1MjHtlUikwobi2MaWJgy7tfLeBmhj1u-dRFRs_8GwSoA/edit#gid=0"",""Gestores Escolares!D7:J""),4,0),""VERIFICAR CÓD SEC"")"),"(73) 9 8178-4303")</f>
        <v>(73) 9 8178-4303</v>
      </c>
      <c r="O460" s="82" t="str">
        <f>IFERROR(__xludf.DUMMYFUNCTION("IFERROR(VLOOKUP(D460,
IMPORTRANGE(""https://docs.google.com/spreadsheets/d/1MjHtlUikwobi2MaWJgy7tfLeBmhj1u-dRFRs_8GwSoA/edit#gid=0"",""Gestores Escolares!D7:J""),6,0),""VERIFICAR CÓD SEC"")"),"ISABEL LISBOA DA SILVA")</f>
        <v>ISABEL LISBOA DA SILVA</v>
      </c>
      <c r="P460" s="82" t="str">
        <f>IFERROR(__xludf.DUMMYFUNCTION("IFERROR(VLOOKUP(D460,
IMPORTRANGE(""https://docs.google.com/spreadsheets/d/1MjHtlUikwobi2MaWJgy7tfLeBmhj1u-dRFRs_8GwSoA/edit#gid=0"",""Gestores Escolares!D7:J""),7,0),""VERIFICAR CÓD SEC"")"),"(73) 9 9958-3990")</f>
        <v>(73) 9 9958-3990</v>
      </c>
      <c r="Q460" s="82" t="str">
        <f>IFERROR(__xludf.DUMMYFUNCTION("IFERROR(VLOOKUP(D460,
IMPORTRANGE(""https://docs.google.com/spreadsheets/d/1MjHtlUikwobi2MaWJgy7tfLeBmhj1u-dRFRs_8GwSoA/edit#gid=0"",""Gestores Escolares!D7:m""),9,0),""VERIFICAR CÓD SEC"")"),"")</f>
        <v/>
      </c>
      <c r="R460" s="82" t="str">
        <f>IFERROR(__xludf.DUMMYFUNCTION("IFERROR(VLOOKUP(D460,
IMPORTRANGE(""https://docs.google.com/spreadsheets/d/1MjHtlUikwobi2MaWJgy7tfLeBmhj1u-dRFRs_8GwSoA/edit#gid=0"",""Gestores Escolares!D7:m""),10,0),""VERIFICAR CÓD SEC"")"),"")</f>
        <v/>
      </c>
      <c r="S460" s="82"/>
      <c r="T460" s="138">
        <v>8.0</v>
      </c>
      <c r="U460" s="145" t="s">
        <v>6144</v>
      </c>
      <c r="V460" s="106">
        <v>0.0</v>
      </c>
      <c r="W460" s="107">
        <v>0.0</v>
      </c>
      <c r="X460" s="107">
        <v>0.0</v>
      </c>
      <c r="Y460" s="107">
        <v>0.0</v>
      </c>
      <c r="Z460" s="80">
        <f t="shared" si="1"/>
        <v>0</v>
      </c>
      <c r="AA460" s="106">
        <v>0.0</v>
      </c>
      <c r="AB460" s="107">
        <v>0.0</v>
      </c>
      <c r="AC460" s="107">
        <v>0.0</v>
      </c>
      <c r="AD460" s="107">
        <v>0.0</v>
      </c>
      <c r="AE460" s="80">
        <f t="shared" si="2"/>
        <v>0</v>
      </c>
      <c r="AF460" s="140">
        <v>0.0</v>
      </c>
      <c r="AG460" s="109">
        <v>0.0</v>
      </c>
      <c r="AH460" s="109">
        <v>0.0</v>
      </c>
      <c r="AI460" s="141">
        <v>140.0</v>
      </c>
      <c r="AJ460" s="80">
        <f t="shared" si="3"/>
        <v>140</v>
      </c>
      <c r="AK460" s="140">
        <v>0.0</v>
      </c>
      <c r="AL460" s="109">
        <v>0.0</v>
      </c>
      <c r="AM460" s="141">
        <v>0.0</v>
      </c>
      <c r="AN460" s="80">
        <f t="shared" si="4"/>
        <v>0</v>
      </c>
      <c r="AO460" s="140">
        <v>0.0</v>
      </c>
      <c r="AP460" s="109">
        <v>0.0</v>
      </c>
      <c r="AQ460" s="109">
        <v>113.0</v>
      </c>
      <c r="AR460" s="80">
        <f t="shared" si="5"/>
        <v>113</v>
      </c>
      <c r="AS460" s="110">
        <v>0.0</v>
      </c>
      <c r="AT460" s="110">
        <v>0.0</v>
      </c>
      <c r="AU460" s="110">
        <v>49.0</v>
      </c>
      <c r="AV460" s="142">
        <v>60.0</v>
      </c>
      <c r="AW460" s="80">
        <f t="shared" si="6"/>
        <v>109</v>
      </c>
      <c r="AX460" s="113">
        <f t="shared" si="7"/>
        <v>362</v>
      </c>
      <c r="AY460" s="117">
        <f t="shared" si="8"/>
        <v>200</v>
      </c>
      <c r="AZ460" s="120">
        <f t="shared" si="9"/>
        <v>162</v>
      </c>
      <c r="BA460" s="115">
        <v>0.0</v>
      </c>
      <c r="BB460" s="89">
        <f t="shared" si="10"/>
        <v>362</v>
      </c>
      <c r="BC460" s="132" t="s">
        <v>178</v>
      </c>
      <c r="BD460" s="132" t="s">
        <v>178</v>
      </c>
      <c r="BE460" s="132" t="s">
        <v>178</v>
      </c>
      <c r="BF460" s="123"/>
      <c r="BG460" s="83">
        <v>1110685.0</v>
      </c>
      <c r="BH460" s="112"/>
      <c r="BI460" s="112">
        <v>7.0</v>
      </c>
      <c r="BJ460" s="98" t="s">
        <v>155</v>
      </c>
      <c r="BK460" s="99">
        <f t="shared" si="11"/>
        <v>200</v>
      </c>
      <c r="BL460" s="99">
        <f t="shared" si="12"/>
        <v>0</v>
      </c>
      <c r="BM460" s="99" t="str">
        <f>IFERROR(__xludf.DUMMYFUNCTION("IFERROR(VLOOKUP(BG460,IMPORTRANGE(""https://docs.google.com/spreadsheets/d/1juPI-Fb8LD0YtltB2mlGEnp_R3UVu1t3wSFPzgCyHXE/edit?gid=0#gid=0"",""GERAL!A2:C""),3,0),""-"")"),"-")</f>
        <v>-</v>
      </c>
    </row>
    <row r="461" ht="15.75" customHeight="1">
      <c r="A461" s="111" t="s">
        <v>540</v>
      </c>
      <c r="B461" s="83" t="s">
        <v>1859</v>
      </c>
      <c r="C461" s="83" t="s">
        <v>164</v>
      </c>
      <c r="D461" s="112">
        <v>1110685.0</v>
      </c>
      <c r="E461" s="83">
        <v>1178413.0</v>
      </c>
      <c r="F461" s="98">
        <v>2.9492793E7</v>
      </c>
      <c r="G461" s="119" t="s">
        <v>1863</v>
      </c>
      <c r="H461" s="91" t="s">
        <v>1864</v>
      </c>
      <c r="I461" s="172" t="s">
        <v>1865</v>
      </c>
      <c r="J461" s="83" t="s">
        <v>1502</v>
      </c>
      <c r="K461" s="83" t="s">
        <v>168</v>
      </c>
      <c r="L461" s="83" t="s">
        <v>169</v>
      </c>
      <c r="M461" s="82" t="str">
        <f>IFERROR(__xludf.DUMMYFUNCTION("IFERROR(VLOOKUP(D461,
IMPORTRANGE(""https://docs.google.com/spreadsheets/d/1MjHtlUikwobi2MaWJgy7tfLeBmhj1u-dRFRs_8GwSoA/edit#gid=0"",""Gestores Escolares!D7:J""),3,0),""VERIFICAR CÓD SEC"")")," LEILA MARIA MACHADO DA SILVA SOUZA")</f>
        <v> LEILA MARIA MACHADO DA SILVA SOUZA</v>
      </c>
      <c r="N461" s="82" t="str">
        <f>IFERROR(__xludf.DUMMYFUNCTION("IFERROR(VLOOKUP(D461,
IMPORTRANGE(""https://docs.google.com/spreadsheets/d/1MjHtlUikwobi2MaWJgy7tfLeBmhj1u-dRFRs_8GwSoA/edit#gid=0"",""Gestores Escolares!D7:J""),4,0),""VERIFICAR CÓD SEC"")"),"(73) 9 8178-4303")</f>
        <v>(73) 9 8178-4303</v>
      </c>
      <c r="O461" s="82" t="str">
        <f>IFERROR(__xludf.DUMMYFUNCTION("IFERROR(VLOOKUP(D461,
IMPORTRANGE(""https://docs.google.com/spreadsheets/d/1MjHtlUikwobi2MaWJgy7tfLeBmhj1u-dRFRs_8GwSoA/edit#gid=0"",""Gestores Escolares!D7:J""),6,0),""VERIFICAR CÓD SEC"")"),"ISABEL LISBOA DA SILVA")</f>
        <v>ISABEL LISBOA DA SILVA</v>
      </c>
      <c r="P461" s="82" t="str">
        <f>IFERROR(__xludf.DUMMYFUNCTION("IFERROR(VLOOKUP(D461,
IMPORTRANGE(""https://docs.google.com/spreadsheets/d/1MjHtlUikwobi2MaWJgy7tfLeBmhj1u-dRFRs_8GwSoA/edit#gid=0"",""Gestores Escolares!D7:J""),7,0),""VERIFICAR CÓD SEC"")"),"(73) 9 9958-3990")</f>
        <v>(73) 9 9958-3990</v>
      </c>
      <c r="Q461" s="82" t="str">
        <f>IFERROR(__xludf.DUMMYFUNCTION("IFERROR(VLOOKUP(D461,
IMPORTRANGE(""https://docs.google.com/spreadsheets/d/1MjHtlUikwobi2MaWJgy7tfLeBmhj1u-dRFRs_8GwSoA/edit#gid=0"",""Gestores Escolares!D7:m""),9,0),""VERIFICAR CÓD SEC"")"),"")</f>
        <v/>
      </c>
      <c r="R461" s="82" t="str">
        <f>IFERROR(__xludf.DUMMYFUNCTION("IFERROR(VLOOKUP(D461,
IMPORTRANGE(""https://docs.google.com/spreadsheets/d/1MjHtlUikwobi2MaWJgy7tfLeBmhj1u-dRFRs_8GwSoA/edit#gid=0"",""Gestores Escolares!D7:m""),10,0),""VERIFICAR CÓD SEC"")"),"")</f>
        <v/>
      </c>
      <c r="S461" s="82"/>
      <c r="T461" s="138">
        <v>5.0</v>
      </c>
      <c r="U461" s="145">
        <v>3.0</v>
      </c>
      <c r="V461" s="106">
        <v>0.0</v>
      </c>
      <c r="W461" s="107">
        <v>0.0</v>
      </c>
      <c r="X461" s="107">
        <v>0.0</v>
      </c>
      <c r="Y461" s="107">
        <v>0.0</v>
      </c>
      <c r="Z461" s="80">
        <f t="shared" si="1"/>
        <v>0</v>
      </c>
      <c r="AA461" s="106">
        <v>0.0</v>
      </c>
      <c r="AB461" s="107">
        <v>0.0</v>
      </c>
      <c r="AC461" s="107">
        <v>0.0</v>
      </c>
      <c r="AD461" s="107">
        <v>0.0</v>
      </c>
      <c r="AE461" s="80">
        <f t="shared" si="2"/>
        <v>0</v>
      </c>
      <c r="AF461" s="140">
        <v>0.0</v>
      </c>
      <c r="AG461" s="109">
        <v>73.0</v>
      </c>
      <c r="AH461" s="109">
        <v>0.0</v>
      </c>
      <c r="AI461" s="141">
        <v>0.0</v>
      </c>
      <c r="AJ461" s="80">
        <f t="shared" si="3"/>
        <v>73</v>
      </c>
      <c r="AK461" s="140">
        <v>0.0</v>
      </c>
      <c r="AL461" s="109">
        <v>0.0</v>
      </c>
      <c r="AM461" s="141">
        <v>0.0</v>
      </c>
      <c r="AN461" s="80">
        <f t="shared" si="4"/>
        <v>0</v>
      </c>
      <c r="AO461" s="140">
        <v>0.0</v>
      </c>
      <c r="AP461" s="109">
        <v>0.0</v>
      </c>
      <c r="AQ461" s="109">
        <v>22.0</v>
      </c>
      <c r="AR461" s="80">
        <f t="shared" si="5"/>
        <v>22</v>
      </c>
      <c r="AS461" s="110">
        <v>0.0</v>
      </c>
      <c r="AT461" s="110">
        <v>0.0</v>
      </c>
      <c r="AU461" s="110">
        <v>0.0</v>
      </c>
      <c r="AV461" s="142">
        <v>0.0</v>
      </c>
      <c r="AW461" s="80">
        <f t="shared" si="6"/>
        <v>0</v>
      </c>
      <c r="AX461" s="113">
        <f t="shared" si="7"/>
        <v>95</v>
      </c>
      <c r="AY461" s="117">
        <f t="shared" si="8"/>
        <v>73</v>
      </c>
      <c r="AZ461" s="120">
        <f t="shared" si="9"/>
        <v>22</v>
      </c>
      <c r="BA461" s="115">
        <v>0.0</v>
      </c>
      <c r="BB461" s="89">
        <f t="shared" si="10"/>
        <v>95</v>
      </c>
      <c r="BC461" s="132" t="s">
        <v>373</v>
      </c>
      <c r="BD461" s="132" t="s">
        <v>178</v>
      </c>
      <c r="BE461" s="132" t="s">
        <v>178</v>
      </c>
      <c r="BF461" s="123"/>
      <c r="BG461" s="83">
        <v>1178413.0</v>
      </c>
      <c r="BH461" s="112"/>
      <c r="BI461" s="112">
        <v>3.0</v>
      </c>
      <c r="BJ461" s="98" t="s">
        <v>155</v>
      </c>
      <c r="BK461" s="99">
        <f t="shared" si="11"/>
        <v>0</v>
      </c>
      <c r="BL461" s="99">
        <f t="shared" si="12"/>
        <v>73</v>
      </c>
      <c r="BM461" s="99" t="str">
        <f>IFERROR(__xludf.DUMMYFUNCTION("IFERROR(VLOOKUP(BG461,IMPORTRANGE(""https://docs.google.com/spreadsheets/d/1juPI-Fb8LD0YtltB2mlGEnp_R3UVu1t3wSFPzgCyHXE/edit?gid=0#gid=0"",""GERAL!A2:C""),3,0),""-"")"),"CAMPO")</f>
        <v>CAMPO</v>
      </c>
    </row>
    <row r="462" ht="15.75" customHeight="1">
      <c r="A462" s="111" t="s">
        <v>540</v>
      </c>
      <c r="B462" s="83" t="s">
        <v>1859</v>
      </c>
      <c r="C462" s="83" t="s">
        <v>164</v>
      </c>
      <c r="D462" s="112">
        <v>1179284.0</v>
      </c>
      <c r="E462" s="83">
        <v>1179052.0</v>
      </c>
      <c r="F462" s="98">
        <v>2.946093E7</v>
      </c>
      <c r="G462" s="114" t="s">
        <v>1866</v>
      </c>
      <c r="H462" s="91" t="s">
        <v>1867</v>
      </c>
      <c r="I462" s="83" t="s">
        <v>149</v>
      </c>
      <c r="J462" s="83" t="s">
        <v>443</v>
      </c>
      <c r="K462" s="83" t="s">
        <v>168</v>
      </c>
      <c r="L462" s="82" t="s">
        <v>169</v>
      </c>
      <c r="M462" s="82" t="str">
        <f>IFERROR(__xludf.DUMMYFUNCTION("IFERROR(VLOOKUP(D462,
IMPORTRANGE(""https://docs.google.com/spreadsheets/d/1MjHtlUikwobi2MaWJgy7tfLeBmhj1u-dRFRs_8GwSoA/edit#gid=0"",""Gestores Escolares!D7:J""),3,0),""VERIFICAR CÓD SEC"")")," NILCEANNE NOGUEIRA LIMA")</f>
        <v> NILCEANNE NOGUEIRA LIMA</v>
      </c>
      <c r="N462" s="82" t="str">
        <f>IFERROR(__xludf.DUMMYFUNCTION("IFERROR(VLOOKUP(D462,
IMPORTRANGE(""https://docs.google.com/spreadsheets/d/1MjHtlUikwobi2MaWJgy7tfLeBmhj1u-dRFRs_8GwSoA/edit#gid=0"",""Gestores Escolares!D7:J""),4,0),""VERIFICAR CÓD SEC"")"),"(73) 9 9123-7129")</f>
        <v>(73) 9 9123-7129</v>
      </c>
      <c r="O462" s="82" t="str">
        <f>IFERROR(__xludf.DUMMYFUNCTION("IFERROR(VLOOKUP(D462,
IMPORTRANGE(""https://docs.google.com/spreadsheets/d/1MjHtlUikwobi2MaWJgy7tfLeBmhj1u-dRFRs_8GwSoA/edit#gid=0"",""Gestores Escolares!D7:J""),6,0),""VERIFICAR CÓD SEC"")"),"FRANCISCO CRUZ DO NASCIMENTO")</f>
        <v>FRANCISCO CRUZ DO NASCIMENTO</v>
      </c>
      <c r="P462" s="82" t="str">
        <f>IFERROR(__xludf.DUMMYFUNCTION("IFERROR(VLOOKUP(D462,
IMPORTRANGE(""https://docs.google.com/spreadsheets/d/1MjHtlUikwobi2MaWJgy7tfLeBmhj1u-dRFRs_8GwSoA/edit#gid=0"",""Gestores Escolares!D7:J""),7,0),""VERIFICAR CÓD SEC"")"),"(73) 9 8123-9143")</f>
        <v>(73) 9 8123-9143</v>
      </c>
      <c r="Q462" s="82" t="str">
        <f>IFERROR(__xludf.DUMMYFUNCTION("IFERROR(VLOOKUP(D462,
IMPORTRANGE(""https://docs.google.com/spreadsheets/d/1MjHtlUikwobi2MaWJgy7tfLeBmhj1u-dRFRs_8GwSoA/edit#gid=0"",""Gestores Escolares!D7:m""),9,0),""VERIFICAR CÓD SEC"")"),"")</f>
        <v/>
      </c>
      <c r="R462" s="82" t="str">
        <f>IFERROR(__xludf.DUMMYFUNCTION("IFERROR(VLOOKUP(D462,
IMPORTRANGE(""https://docs.google.com/spreadsheets/d/1MjHtlUikwobi2MaWJgy7tfLeBmhj1u-dRFRs_8GwSoA/edit#gid=0"",""Gestores Escolares!D7:m""),10,0),""VERIFICAR CÓD SEC"")"),"")</f>
        <v/>
      </c>
      <c r="S462" s="82"/>
      <c r="T462" s="138">
        <v>3.0</v>
      </c>
      <c r="U462" s="145">
        <v>3.0</v>
      </c>
      <c r="V462" s="106">
        <v>0.0</v>
      </c>
      <c r="W462" s="107">
        <v>0.0</v>
      </c>
      <c r="X462" s="107">
        <v>0.0</v>
      </c>
      <c r="Y462" s="107">
        <v>0.0</v>
      </c>
      <c r="Z462" s="80">
        <f t="shared" si="1"/>
        <v>0</v>
      </c>
      <c r="AA462" s="106">
        <v>0.0</v>
      </c>
      <c r="AB462" s="107">
        <v>0.0</v>
      </c>
      <c r="AC462" s="107">
        <v>0.0</v>
      </c>
      <c r="AD462" s="107">
        <v>0.0</v>
      </c>
      <c r="AE462" s="80">
        <f t="shared" si="2"/>
        <v>0</v>
      </c>
      <c r="AF462" s="140">
        <v>0.0</v>
      </c>
      <c r="AG462" s="109">
        <v>0.0</v>
      </c>
      <c r="AH462" s="109">
        <v>5.0</v>
      </c>
      <c r="AI462" s="141">
        <v>0.0</v>
      </c>
      <c r="AJ462" s="80">
        <f t="shared" si="3"/>
        <v>5</v>
      </c>
      <c r="AK462" s="140">
        <v>0.0</v>
      </c>
      <c r="AL462" s="109">
        <v>0.0</v>
      </c>
      <c r="AM462" s="141">
        <v>0.0</v>
      </c>
      <c r="AN462" s="80">
        <f t="shared" si="4"/>
        <v>0</v>
      </c>
      <c r="AO462" s="140">
        <v>0.0</v>
      </c>
      <c r="AP462" s="109">
        <v>0.0</v>
      </c>
      <c r="AQ462" s="109">
        <v>0.0</v>
      </c>
      <c r="AR462" s="80">
        <f t="shared" si="5"/>
        <v>0</v>
      </c>
      <c r="AS462" s="110">
        <v>0.0</v>
      </c>
      <c r="AT462" s="110">
        <v>0.0</v>
      </c>
      <c r="AU462" s="110">
        <v>0.0</v>
      </c>
      <c r="AV462" s="142">
        <v>0.0</v>
      </c>
      <c r="AW462" s="80">
        <f t="shared" si="6"/>
        <v>0</v>
      </c>
      <c r="AX462" s="113">
        <f t="shared" si="7"/>
        <v>5</v>
      </c>
      <c r="AY462" s="117">
        <f t="shared" si="8"/>
        <v>0</v>
      </c>
      <c r="AZ462" s="120">
        <f t="shared" si="9"/>
        <v>5</v>
      </c>
      <c r="BA462" s="115">
        <v>0.0</v>
      </c>
      <c r="BB462" s="89">
        <f t="shared" si="10"/>
        <v>5</v>
      </c>
      <c r="BC462" s="132" t="s">
        <v>178</v>
      </c>
      <c r="BD462" s="143" t="s">
        <v>227</v>
      </c>
      <c r="BE462" s="132" t="s">
        <v>178</v>
      </c>
      <c r="BF462" s="123"/>
      <c r="BG462" s="83">
        <v>1179052.0</v>
      </c>
      <c r="BH462" s="112"/>
      <c r="BI462" s="112">
        <v>3.0</v>
      </c>
      <c r="BJ462" s="98" t="s">
        <v>155</v>
      </c>
      <c r="BK462" s="99">
        <f t="shared" si="11"/>
        <v>0</v>
      </c>
      <c r="BL462" s="99">
        <f t="shared" si="12"/>
        <v>0</v>
      </c>
      <c r="BM462" s="99" t="str">
        <f>IFERROR(__xludf.DUMMYFUNCTION("IFERROR(VLOOKUP(BG462,IMPORTRANGE(""https://docs.google.com/spreadsheets/d/1juPI-Fb8LD0YtltB2mlGEnp_R3UVu1t3wSFPzgCyHXE/edit?gid=0#gid=0"",""GERAL!A2:C""),3,0),""-"")"),"-")</f>
        <v>-</v>
      </c>
    </row>
    <row r="463" ht="15.75" customHeight="1">
      <c r="A463" s="111" t="s">
        <v>540</v>
      </c>
      <c r="B463" s="83" t="s">
        <v>1859</v>
      </c>
      <c r="C463" s="83" t="s">
        <v>164</v>
      </c>
      <c r="D463" s="112">
        <v>1179284.0</v>
      </c>
      <c r="E463" s="83">
        <v>1179051.0</v>
      </c>
      <c r="F463" s="98">
        <v>2.946093E7</v>
      </c>
      <c r="G463" s="114" t="s">
        <v>1868</v>
      </c>
      <c r="H463" s="91" t="s">
        <v>1869</v>
      </c>
      <c r="I463" s="172" t="s">
        <v>171</v>
      </c>
      <c r="J463" s="83" t="s">
        <v>1870</v>
      </c>
      <c r="K463" s="83" t="s">
        <v>168</v>
      </c>
      <c r="L463" s="83" t="s">
        <v>169</v>
      </c>
      <c r="M463" s="82" t="str">
        <f>IFERROR(__xludf.DUMMYFUNCTION("IFERROR(VLOOKUP(D463,
IMPORTRANGE(""https://docs.google.com/spreadsheets/d/1MjHtlUikwobi2MaWJgy7tfLeBmhj1u-dRFRs_8GwSoA/edit#gid=0"",""Gestores Escolares!D7:J""),3,0),""VERIFICAR CÓD SEC"")")," NILCEANNE NOGUEIRA LIMA")</f>
        <v> NILCEANNE NOGUEIRA LIMA</v>
      </c>
      <c r="N463" s="82" t="str">
        <f>IFERROR(__xludf.DUMMYFUNCTION("IFERROR(VLOOKUP(D463,
IMPORTRANGE(""https://docs.google.com/spreadsheets/d/1MjHtlUikwobi2MaWJgy7tfLeBmhj1u-dRFRs_8GwSoA/edit#gid=0"",""Gestores Escolares!D7:J""),4,0),""VERIFICAR CÓD SEC"")"),"(73) 9 9123-7129")</f>
        <v>(73) 9 9123-7129</v>
      </c>
      <c r="O463" s="82" t="str">
        <f>IFERROR(__xludf.DUMMYFUNCTION("IFERROR(VLOOKUP(D463,
IMPORTRANGE(""https://docs.google.com/spreadsheets/d/1MjHtlUikwobi2MaWJgy7tfLeBmhj1u-dRFRs_8GwSoA/edit#gid=0"",""Gestores Escolares!D7:J""),6,0),""VERIFICAR CÓD SEC"")"),"FRANCISCO CRUZ DO NASCIMENTO")</f>
        <v>FRANCISCO CRUZ DO NASCIMENTO</v>
      </c>
      <c r="P463" s="82" t="str">
        <f>IFERROR(__xludf.DUMMYFUNCTION("IFERROR(VLOOKUP(D463,
IMPORTRANGE(""https://docs.google.com/spreadsheets/d/1MjHtlUikwobi2MaWJgy7tfLeBmhj1u-dRFRs_8GwSoA/edit#gid=0"",""Gestores Escolares!D7:J""),7,0),""VERIFICAR CÓD SEC"")"),"(73) 9 8123-9143")</f>
        <v>(73) 9 8123-9143</v>
      </c>
      <c r="Q463" s="82" t="str">
        <f>IFERROR(__xludf.DUMMYFUNCTION("IFERROR(VLOOKUP(D463,
IMPORTRANGE(""https://docs.google.com/spreadsheets/d/1MjHtlUikwobi2MaWJgy7tfLeBmhj1u-dRFRs_8GwSoA/edit#gid=0"",""Gestores Escolares!D7:m""),9,0),""VERIFICAR CÓD SEC"")"),"")</f>
        <v/>
      </c>
      <c r="R463" s="82" t="str">
        <f>IFERROR(__xludf.DUMMYFUNCTION("IFERROR(VLOOKUP(D463,
IMPORTRANGE(""https://docs.google.com/spreadsheets/d/1MjHtlUikwobi2MaWJgy7tfLeBmhj1u-dRFRs_8GwSoA/edit#gid=0"",""Gestores Escolares!D7:m""),10,0),""VERIFICAR CÓD SEC"")"),"")</f>
        <v/>
      </c>
      <c r="S463" s="82"/>
      <c r="T463" s="138">
        <v>3.0</v>
      </c>
      <c r="U463" s="145">
        <v>3.0</v>
      </c>
      <c r="V463" s="106">
        <v>0.0</v>
      </c>
      <c r="W463" s="107">
        <v>0.0</v>
      </c>
      <c r="X463" s="107">
        <v>0.0</v>
      </c>
      <c r="Y463" s="107">
        <v>0.0</v>
      </c>
      <c r="Z463" s="80">
        <f t="shared" si="1"/>
        <v>0</v>
      </c>
      <c r="AA463" s="106">
        <v>0.0</v>
      </c>
      <c r="AB463" s="107">
        <v>0.0</v>
      </c>
      <c r="AC463" s="107">
        <v>0.0</v>
      </c>
      <c r="AD463" s="107">
        <v>0.0</v>
      </c>
      <c r="AE463" s="80">
        <f t="shared" si="2"/>
        <v>0</v>
      </c>
      <c r="AF463" s="140">
        <v>0.0</v>
      </c>
      <c r="AG463" s="109">
        <v>0.0</v>
      </c>
      <c r="AH463" s="109">
        <v>49.0</v>
      </c>
      <c r="AI463" s="141">
        <v>0.0</v>
      </c>
      <c r="AJ463" s="80">
        <f t="shared" si="3"/>
        <v>49</v>
      </c>
      <c r="AK463" s="140">
        <v>0.0</v>
      </c>
      <c r="AL463" s="109">
        <v>0.0</v>
      </c>
      <c r="AM463" s="141">
        <v>0.0</v>
      </c>
      <c r="AN463" s="80">
        <f t="shared" si="4"/>
        <v>0</v>
      </c>
      <c r="AO463" s="140">
        <v>0.0</v>
      </c>
      <c r="AP463" s="109">
        <v>0.0</v>
      </c>
      <c r="AQ463" s="109">
        <v>0.0</v>
      </c>
      <c r="AR463" s="80">
        <f t="shared" si="5"/>
        <v>0</v>
      </c>
      <c r="AS463" s="110">
        <v>0.0</v>
      </c>
      <c r="AT463" s="110">
        <v>0.0</v>
      </c>
      <c r="AU463" s="110">
        <v>0.0</v>
      </c>
      <c r="AV463" s="142">
        <v>0.0</v>
      </c>
      <c r="AW463" s="80">
        <f t="shared" si="6"/>
        <v>0</v>
      </c>
      <c r="AX463" s="113">
        <f t="shared" si="7"/>
        <v>49</v>
      </c>
      <c r="AY463" s="117">
        <f t="shared" si="8"/>
        <v>0</v>
      </c>
      <c r="AZ463" s="120">
        <f t="shared" si="9"/>
        <v>49</v>
      </c>
      <c r="BA463" s="115">
        <v>0.0</v>
      </c>
      <c r="BB463" s="89">
        <f t="shared" si="10"/>
        <v>49</v>
      </c>
      <c r="BC463" s="132" t="s">
        <v>178</v>
      </c>
      <c r="BD463" s="143" t="s">
        <v>227</v>
      </c>
      <c r="BE463" s="132" t="s">
        <v>178</v>
      </c>
      <c r="BF463" s="123"/>
      <c r="BG463" s="83">
        <v>1179051.0</v>
      </c>
      <c r="BH463" s="112"/>
      <c r="BI463" s="112">
        <v>3.0</v>
      </c>
      <c r="BJ463" s="98" t="s">
        <v>155</v>
      </c>
      <c r="BK463" s="99">
        <f t="shared" si="11"/>
        <v>0</v>
      </c>
      <c r="BL463" s="99">
        <f t="shared" si="12"/>
        <v>0</v>
      </c>
      <c r="BM463" s="99" t="str">
        <f>IFERROR(__xludf.DUMMYFUNCTION("IFERROR(VLOOKUP(BG463,IMPORTRANGE(""https://docs.google.com/spreadsheets/d/1juPI-Fb8LD0YtltB2mlGEnp_R3UVu1t3wSFPzgCyHXE/edit?gid=0#gid=0"",""GERAL!A2:C""),3,0),""-"")"),"-")</f>
        <v>-</v>
      </c>
    </row>
    <row r="464" ht="15.75" customHeight="1">
      <c r="A464" s="111" t="s">
        <v>540</v>
      </c>
      <c r="B464" s="83" t="s">
        <v>1859</v>
      </c>
      <c r="C464" s="83" t="s">
        <v>164</v>
      </c>
      <c r="D464" s="112">
        <v>1179284.0</v>
      </c>
      <c r="E464" s="83">
        <v>1179053.0</v>
      </c>
      <c r="F464" s="98">
        <v>2.946093E7</v>
      </c>
      <c r="G464" s="114" t="s">
        <v>1871</v>
      </c>
      <c r="H464" s="91" t="s">
        <v>1872</v>
      </c>
      <c r="I464" s="172" t="s">
        <v>171</v>
      </c>
      <c r="J464" s="83" t="s">
        <v>890</v>
      </c>
      <c r="K464" s="83" t="s">
        <v>168</v>
      </c>
      <c r="L464" s="83" t="s">
        <v>169</v>
      </c>
      <c r="M464" s="82" t="str">
        <f>IFERROR(__xludf.DUMMYFUNCTION("IFERROR(VLOOKUP(D464,
IMPORTRANGE(""https://docs.google.com/spreadsheets/d/1MjHtlUikwobi2MaWJgy7tfLeBmhj1u-dRFRs_8GwSoA/edit#gid=0"",""Gestores Escolares!D7:J""),3,0),""VERIFICAR CÓD SEC"")")," NILCEANNE NOGUEIRA LIMA")</f>
        <v> NILCEANNE NOGUEIRA LIMA</v>
      </c>
      <c r="N464" s="82" t="str">
        <f>IFERROR(__xludf.DUMMYFUNCTION("IFERROR(VLOOKUP(D464,
IMPORTRANGE(""https://docs.google.com/spreadsheets/d/1MjHtlUikwobi2MaWJgy7tfLeBmhj1u-dRFRs_8GwSoA/edit#gid=0"",""Gestores Escolares!D7:J""),4,0),""VERIFICAR CÓD SEC"")"),"(73) 9 9123-7129")</f>
        <v>(73) 9 9123-7129</v>
      </c>
      <c r="O464" s="82" t="str">
        <f>IFERROR(__xludf.DUMMYFUNCTION("IFERROR(VLOOKUP(D464,
IMPORTRANGE(""https://docs.google.com/spreadsheets/d/1MjHtlUikwobi2MaWJgy7tfLeBmhj1u-dRFRs_8GwSoA/edit#gid=0"",""Gestores Escolares!D7:J""),6,0),""VERIFICAR CÓD SEC"")"),"FRANCISCO CRUZ DO NASCIMENTO")</f>
        <v>FRANCISCO CRUZ DO NASCIMENTO</v>
      </c>
      <c r="P464" s="82" t="str">
        <f>IFERROR(__xludf.DUMMYFUNCTION("IFERROR(VLOOKUP(D464,
IMPORTRANGE(""https://docs.google.com/spreadsheets/d/1MjHtlUikwobi2MaWJgy7tfLeBmhj1u-dRFRs_8GwSoA/edit#gid=0"",""Gestores Escolares!D7:J""),7,0),""VERIFICAR CÓD SEC"")"),"(73) 9 8123-9143")</f>
        <v>(73) 9 8123-9143</v>
      </c>
      <c r="Q464" s="82" t="str">
        <f>IFERROR(__xludf.DUMMYFUNCTION("IFERROR(VLOOKUP(D464,
IMPORTRANGE(""https://docs.google.com/spreadsheets/d/1MjHtlUikwobi2MaWJgy7tfLeBmhj1u-dRFRs_8GwSoA/edit#gid=0"",""Gestores Escolares!D7:m""),9,0),""VERIFICAR CÓD SEC"")"),"")</f>
        <v/>
      </c>
      <c r="R464" s="82" t="str">
        <f>IFERROR(__xludf.DUMMYFUNCTION("IFERROR(VLOOKUP(D464,
IMPORTRANGE(""https://docs.google.com/spreadsheets/d/1MjHtlUikwobi2MaWJgy7tfLeBmhj1u-dRFRs_8GwSoA/edit#gid=0"",""Gestores Escolares!D7:m""),10,0),""VERIFICAR CÓD SEC"")"),"")</f>
        <v/>
      </c>
      <c r="S464" s="82"/>
      <c r="T464" s="138">
        <v>2.0</v>
      </c>
      <c r="U464" s="145">
        <v>2.0</v>
      </c>
      <c r="V464" s="106">
        <v>0.0</v>
      </c>
      <c r="W464" s="107">
        <v>0.0</v>
      </c>
      <c r="X464" s="107">
        <v>0.0</v>
      </c>
      <c r="Y464" s="107">
        <v>0.0</v>
      </c>
      <c r="Z464" s="80">
        <f t="shared" si="1"/>
        <v>0</v>
      </c>
      <c r="AA464" s="106">
        <v>0.0</v>
      </c>
      <c r="AB464" s="107">
        <v>0.0</v>
      </c>
      <c r="AC464" s="107">
        <v>0.0</v>
      </c>
      <c r="AD464" s="107">
        <v>0.0</v>
      </c>
      <c r="AE464" s="80">
        <f t="shared" si="2"/>
        <v>0</v>
      </c>
      <c r="AF464" s="140">
        <v>0.0</v>
      </c>
      <c r="AG464" s="109">
        <v>0.0</v>
      </c>
      <c r="AH464" s="109">
        <v>11.0</v>
      </c>
      <c r="AI464" s="141">
        <v>0.0</v>
      </c>
      <c r="AJ464" s="80">
        <f t="shared" si="3"/>
        <v>11</v>
      </c>
      <c r="AK464" s="140">
        <v>0.0</v>
      </c>
      <c r="AL464" s="109">
        <v>0.0</v>
      </c>
      <c r="AM464" s="141">
        <v>0.0</v>
      </c>
      <c r="AN464" s="80">
        <f t="shared" si="4"/>
        <v>0</v>
      </c>
      <c r="AO464" s="140">
        <v>0.0</v>
      </c>
      <c r="AP464" s="109">
        <v>0.0</v>
      </c>
      <c r="AQ464" s="109">
        <v>0.0</v>
      </c>
      <c r="AR464" s="80">
        <f t="shared" si="5"/>
        <v>0</v>
      </c>
      <c r="AS464" s="110">
        <v>0.0</v>
      </c>
      <c r="AT464" s="110">
        <v>0.0</v>
      </c>
      <c r="AU464" s="110">
        <v>0.0</v>
      </c>
      <c r="AV464" s="142">
        <v>0.0</v>
      </c>
      <c r="AW464" s="80">
        <f t="shared" si="6"/>
        <v>0</v>
      </c>
      <c r="AX464" s="113">
        <f t="shared" si="7"/>
        <v>11</v>
      </c>
      <c r="AY464" s="117">
        <f t="shared" si="8"/>
        <v>0</v>
      </c>
      <c r="AZ464" s="120">
        <f t="shared" si="9"/>
        <v>11</v>
      </c>
      <c r="BA464" s="115">
        <v>0.0</v>
      </c>
      <c r="BB464" s="89">
        <f t="shared" si="10"/>
        <v>11</v>
      </c>
      <c r="BC464" s="132" t="s">
        <v>178</v>
      </c>
      <c r="BD464" s="143" t="s">
        <v>227</v>
      </c>
      <c r="BE464" s="132" t="s">
        <v>178</v>
      </c>
      <c r="BF464" s="123"/>
      <c r="BG464" s="83">
        <v>1179053.0</v>
      </c>
      <c r="BH464" s="112"/>
      <c r="BI464" s="112">
        <v>2.0</v>
      </c>
      <c r="BJ464" s="98" t="s">
        <v>155</v>
      </c>
      <c r="BK464" s="99">
        <f t="shared" si="11"/>
        <v>0</v>
      </c>
      <c r="BL464" s="99">
        <f t="shared" si="12"/>
        <v>0</v>
      </c>
      <c r="BM464" s="99" t="str">
        <f>IFERROR(__xludf.DUMMYFUNCTION("IFERROR(VLOOKUP(BG464,IMPORTRANGE(""https://docs.google.com/spreadsheets/d/1juPI-Fb8LD0YtltB2mlGEnp_R3UVu1t3wSFPzgCyHXE/edit?gid=0#gid=0"",""GERAL!A2:C""),3,0),""-"")"),"-")</f>
        <v>-</v>
      </c>
    </row>
    <row r="465" ht="15.75" customHeight="1">
      <c r="A465" s="111" t="s">
        <v>605</v>
      </c>
      <c r="B465" s="83" t="s">
        <v>1873</v>
      </c>
      <c r="C465" s="83" t="s">
        <v>68</v>
      </c>
      <c r="D465" s="112">
        <v>1179279.0</v>
      </c>
      <c r="E465" s="83"/>
      <c r="F465" s="83">
        <v>2.945901E7</v>
      </c>
      <c r="G465" s="114" t="s">
        <v>1874</v>
      </c>
      <c r="H465" s="91" t="s">
        <v>1875</v>
      </c>
      <c r="I465" s="83" t="s">
        <v>1876</v>
      </c>
      <c r="J465" s="83" t="s">
        <v>187</v>
      </c>
      <c r="K465" s="83" t="s">
        <v>168</v>
      </c>
      <c r="L465" s="83" t="s">
        <v>169</v>
      </c>
      <c r="M465" s="82" t="str">
        <f>IFERROR(__xludf.DUMMYFUNCTION("IFERROR(VLOOKUP(D465,
IMPORTRANGE(""https://docs.google.com/spreadsheets/d/1MjHtlUikwobi2MaWJgy7tfLeBmhj1u-dRFRs_8GwSoA/edit#gid=0"",""Gestores Escolares!D7:J""),3,0),""VERIFICAR CÓD SEC"")"),"CARLOS EDUARDO TORRES")</f>
        <v>CARLOS EDUARDO TORRES</v>
      </c>
      <c r="N465" s="82" t="str">
        <f>IFERROR(__xludf.DUMMYFUNCTION("IFERROR(VLOOKUP(D465,
IMPORTRANGE(""https://docs.google.com/spreadsheets/d/1MjHtlUikwobi2MaWJgy7tfLeBmhj1u-dRFRs_8GwSoA/edit#gid=0"",""Gestores Escolares!D7:J""),4,0),""VERIFICAR CÓD SEC"")"),"(73) 9 9930-8508")</f>
        <v>(73) 9 9930-8508</v>
      </c>
      <c r="O465" s="82" t="str">
        <f>IFERROR(__xludf.DUMMYFUNCTION("IFERROR(VLOOKUP(D465,
IMPORTRANGE(""https://docs.google.com/spreadsheets/d/1MjHtlUikwobi2MaWJgy7tfLeBmhj1u-dRFRs_8GwSoA/edit#gid=0"",""Gestores Escolares!D7:J""),6,0),""VERIFICAR CÓD SEC"")"),"AGESON CHRISTIAN DA SILVA")</f>
        <v>AGESON CHRISTIAN DA SILVA</v>
      </c>
      <c r="P465" s="82" t="str">
        <f>IFERROR(__xludf.DUMMYFUNCTION("IFERROR(VLOOKUP(D465,
IMPORTRANGE(""https://docs.google.com/spreadsheets/d/1MjHtlUikwobi2MaWJgy7tfLeBmhj1u-dRFRs_8GwSoA/edit#gid=0"",""Gestores Escolares!D7:J""),7,0),""VERIFICAR CÓD SEC"")"),"(73) 9 8254-3492")</f>
        <v>(73) 9 8254-3492</v>
      </c>
      <c r="Q465" s="82" t="str">
        <f>IFERROR(__xludf.DUMMYFUNCTION("IFERROR(VLOOKUP(D465,
IMPORTRANGE(""https://docs.google.com/spreadsheets/d/1MjHtlUikwobi2MaWJgy7tfLeBmhj1u-dRFRs_8GwSoA/edit#gid=0"",""Gestores Escolares!D7:m""),9,0),""VERIFICAR CÓD SEC"")"),"")</f>
        <v/>
      </c>
      <c r="R465" s="82" t="str">
        <f>IFERROR(__xludf.DUMMYFUNCTION("IFERROR(VLOOKUP(D465,
IMPORTRANGE(""https://docs.google.com/spreadsheets/d/1MjHtlUikwobi2MaWJgy7tfLeBmhj1u-dRFRs_8GwSoA/edit#gid=0"",""Gestores Escolares!D7:m""),10,0),""VERIFICAR CÓD SEC"")"),"")</f>
        <v/>
      </c>
      <c r="S465" s="82"/>
      <c r="T465" s="138">
        <v>6.0</v>
      </c>
      <c r="U465" s="152">
        <v>6.0</v>
      </c>
      <c r="V465" s="106">
        <v>0.0</v>
      </c>
      <c r="W465" s="107">
        <v>0.0</v>
      </c>
      <c r="X465" s="107">
        <v>0.0</v>
      </c>
      <c r="Y465" s="107">
        <v>0.0</v>
      </c>
      <c r="Z465" s="80">
        <f t="shared" si="1"/>
        <v>0</v>
      </c>
      <c r="AA465" s="106">
        <v>0.0</v>
      </c>
      <c r="AB465" s="107">
        <v>0.0</v>
      </c>
      <c r="AC465" s="107">
        <v>0.0</v>
      </c>
      <c r="AD465" s="107">
        <v>0.0</v>
      </c>
      <c r="AE465" s="80">
        <f t="shared" si="2"/>
        <v>0</v>
      </c>
      <c r="AF465" s="140">
        <v>174.0</v>
      </c>
      <c r="AG465" s="109">
        <v>0.0</v>
      </c>
      <c r="AH465" s="109">
        <v>0.0</v>
      </c>
      <c r="AI465" s="141">
        <v>0.0</v>
      </c>
      <c r="AJ465" s="80">
        <f t="shared" si="3"/>
        <v>174</v>
      </c>
      <c r="AK465" s="140">
        <v>0.0</v>
      </c>
      <c r="AL465" s="109">
        <v>0.0</v>
      </c>
      <c r="AM465" s="141">
        <v>0.0</v>
      </c>
      <c r="AN465" s="80">
        <f t="shared" si="4"/>
        <v>0</v>
      </c>
      <c r="AO465" s="140">
        <v>0.0</v>
      </c>
      <c r="AP465" s="109">
        <v>0.0</v>
      </c>
      <c r="AQ465" s="109">
        <v>71.0</v>
      </c>
      <c r="AR465" s="80">
        <f t="shared" si="5"/>
        <v>71</v>
      </c>
      <c r="AS465" s="110">
        <v>0.0</v>
      </c>
      <c r="AT465" s="110">
        <v>0.0</v>
      </c>
      <c r="AU465" s="110">
        <v>0.0</v>
      </c>
      <c r="AV465" s="142">
        <v>0.0</v>
      </c>
      <c r="AW465" s="80">
        <f t="shared" si="6"/>
        <v>0</v>
      </c>
      <c r="AX465" s="113">
        <f t="shared" si="7"/>
        <v>245</v>
      </c>
      <c r="AY465" s="117">
        <f t="shared" si="8"/>
        <v>174</v>
      </c>
      <c r="AZ465" s="120">
        <f t="shared" si="9"/>
        <v>71</v>
      </c>
      <c r="BA465" s="115">
        <v>0.0</v>
      </c>
      <c r="BB465" s="89">
        <f t="shared" si="10"/>
        <v>245</v>
      </c>
      <c r="BC465" s="132" t="s">
        <v>373</v>
      </c>
      <c r="BD465" s="132" t="s">
        <v>178</v>
      </c>
      <c r="BE465" s="132" t="s">
        <v>178</v>
      </c>
      <c r="BF465" s="156"/>
      <c r="BG465" s="83">
        <v>1179279.0</v>
      </c>
      <c r="BH465" s="98" t="s">
        <v>1877</v>
      </c>
      <c r="BI465" s="112">
        <v>6.0</v>
      </c>
      <c r="BJ465" s="98" t="s">
        <v>155</v>
      </c>
      <c r="BK465" s="99">
        <f t="shared" si="11"/>
        <v>0</v>
      </c>
      <c r="BL465" s="99">
        <f t="shared" si="12"/>
        <v>174</v>
      </c>
      <c r="BM465" s="99" t="str">
        <f>IFERROR(__xludf.DUMMYFUNCTION("IFERROR(VLOOKUP(BG465,IMPORTRANGE(""https://docs.google.com/spreadsheets/d/1juPI-Fb8LD0YtltB2mlGEnp_R3UVu1t3wSFPzgCyHXE/edit?gid=0#gid=0"",""GERAL!A2:C""),3,0),""-"")"),"CAMPO")</f>
        <v>CAMPO</v>
      </c>
    </row>
    <row r="466" ht="15.75" customHeight="1">
      <c r="A466" s="111" t="s">
        <v>605</v>
      </c>
      <c r="B466" s="83" t="s">
        <v>1873</v>
      </c>
      <c r="C466" s="83" t="s">
        <v>68</v>
      </c>
      <c r="D466" s="112">
        <v>1178090.0</v>
      </c>
      <c r="E466" s="83"/>
      <c r="F466" s="83">
        <v>2.9433746E7</v>
      </c>
      <c r="G466" s="114" t="s">
        <v>1878</v>
      </c>
      <c r="H466" s="91" t="s">
        <v>1879</v>
      </c>
      <c r="I466" s="83" t="s">
        <v>149</v>
      </c>
      <c r="J466" s="83" t="s">
        <v>150</v>
      </c>
      <c r="K466" s="83" t="s">
        <v>151</v>
      </c>
      <c r="L466" s="83" t="s">
        <v>230</v>
      </c>
      <c r="M466" s="82" t="str">
        <f>IFERROR(__xludf.DUMMYFUNCTION("IFERROR(VLOOKUP(D466,
IMPORTRANGE(""https://docs.google.com/spreadsheets/d/1MjHtlUikwobi2MaWJgy7tfLeBmhj1u-dRFRs_8GwSoA/edit#gid=0"",""Gestores Escolares!D7:J""),3,0),""VERIFICAR CÓD SEC"")"),"GABRIEL GUIMARAES DOS SANTOS")</f>
        <v>GABRIEL GUIMARAES DOS SANTOS</v>
      </c>
      <c r="N466" s="82" t="str">
        <f>IFERROR(__xludf.DUMMYFUNCTION("IFERROR(VLOOKUP(D466,
IMPORTRANGE(""https://docs.google.com/spreadsheets/d/1MjHtlUikwobi2MaWJgy7tfLeBmhj1u-dRFRs_8GwSoA/edit#gid=0"",""Gestores Escolares!D7:J""),4,0),""VERIFICAR CÓD SEC"")"),"(73) 9 9917-4383")</f>
        <v>(73) 9 9917-4383</v>
      </c>
      <c r="O466" s="82" t="str">
        <f>IFERROR(__xludf.DUMMYFUNCTION("IFERROR(VLOOKUP(D466,
IMPORTRANGE(""https://docs.google.com/spreadsheets/d/1MjHtlUikwobi2MaWJgy7tfLeBmhj1u-dRFRs_8GwSoA/edit#gid=0"",""Gestores Escolares!D7:J""),6,0),""VERIFICAR CÓD SEC"")"),"JOAO BERNARDO JUNIOR")</f>
        <v>JOAO BERNARDO JUNIOR</v>
      </c>
      <c r="P466" s="82" t="str">
        <f>IFERROR(__xludf.DUMMYFUNCTION("IFERROR(VLOOKUP(D466,
IMPORTRANGE(""https://docs.google.com/spreadsheets/d/1MjHtlUikwobi2MaWJgy7tfLeBmhj1u-dRFRs_8GwSoA/edit#gid=0"",""Gestores Escolares!D7:J""),7,0),""VERIFICAR CÓD SEC"")"),"(73) 9 8854-1857")</f>
        <v>(73) 9 8854-1857</v>
      </c>
      <c r="Q466" s="82" t="str">
        <f>IFERROR(__xludf.DUMMYFUNCTION("IFERROR(VLOOKUP(D466,
IMPORTRANGE(""https://docs.google.com/spreadsheets/d/1MjHtlUikwobi2MaWJgy7tfLeBmhj1u-dRFRs_8GwSoA/edit#gid=0"",""Gestores Escolares!D7:m""),9,0),""VERIFICAR CÓD SEC"")"),"")</f>
        <v/>
      </c>
      <c r="R466" s="82" t="str">
        <f>IFERROR(__xludf.DUMMYFUNCTION("IFERROR(VLOOKUP(D466,
IMPORTRANGE(""https://docs.google.com/spreadsheets/d/1MjHtlUikwobi2MaWJgy7tfLeBmhj1u-dRFRs_8GwSoA/edit#gid=0"",""Gestores Escolares!D7:m""),10,0),""VERIFICAR CÓD SEC"")"),"")</f>
        <v/>
      </c>
      <c r="S466" s="82"/>
      <c r="T466" s="138">
        <v>9.0</v>
      </c>
      <c r="U466" s="217" t="s">
        <v>6387</v>
      </c>
      <c r="V466" s="106">
        <v>0.0</v>
      </c>
      <c r="W466" s="107">
        <v>0.0</v>
      </c>
      <c r="X466" s="107">
        <v>0.0</v>
      </c>
      <c r="Y466" s="107">
        <v>0.0</v>
      </c>
      <c r="Z466" s="80">
        <f t="shared" si="1"/>
        <v>0</v>
      </c>
      <c r="AA466" s="106">
        <v>0.0</v>
      </c>
      <c r="AB466" s="107">
        <v>0.0</v>
      </c>
      <c r="AC466" s="107">
        <v>0.0</v>
      </c>
      <c r="AD466" s="107">
        <v>0.0</v>
      </c>
      <c r="AE466" s="80">
        <f t="shared" si="2"/>
        <v>0</v>
      </c>
      <c r="AF466" s="140">
        <v>0.0</v>
      </c>
      <c r="AG466" s="109">
        <v>0.0</v>
      </c>
      <c r="AH466" s="109">
        <v>0.0</v>
      </c>
      <c r="AI466" s="141">
        <v>215.0</v>
      </c>
      <c r="AJ466" s="80">
        <f t="shared" si="3"/>
        <v>215</v>
      </c>
      <c r="AK466" s="140">
        <v>0.0</v>
      </c>
      <c r="AL466" s="109">
        <v>0.0</v>
      </c>
      <c r="AM466" s="141">
        <v>0.0</v>
      </c>
      <c r="AN466" s="80">
        <f t="shared" si="4"/>
        <v>0</v>
      </c>
      <c r="AO466" s="140">
        <v>0.0</v>
      </c>
      <c r="AP466" s="109">
        <v>0.0</v>
      </c>
      <c r="AQ466" s="109">
        <v>143.0</v>
      </c>
      <c r="AR466" s="80">
        <f t="shared" si="5"/>
        <v>143</v>
      </c>
      <c r="AS466" s="110">
        <v>0.0</v>
      </c>
      <c r="AT466" s="110">
        <v>0.0</v>
      </c>
      <c r="AU466" s="110">
        <v>0.0</v>
      </c>
      <c r="AV466" s="142">
        <v>74.0</v>
      </c>
      <c r="AW466" s="80">
        <f t="shared" si="6"/>
        <v>74</v>
      </c>
      <c r="AX466" s="113">
        <f t="shared" si="7"/>
        <v>432</v>
      </c>
      <c r="AY466" s="117">
        <f t="shared" si="8"/>
        <v>289</v>
      </c>
      <c r="AZ466" s="120">
        <f t="shared" si="9"/>
        <v>143</v>
      </c>
      <c r="BA466" s="115">
        <v>0.0</v>
      </c>
      <c r="BB466" s="89">
        <f t="shared" si="10"/>
        <v>432</v>
      </c>
      <c r="BC466" s="132" t="s">
        <v>178</v>
      </c>
      <c r="BD466" s="132" t="s">
        <v>178</v>
      </c>
      <c r="BE466" s="132" t="s">
        <v>178</v>
      </c>
      <c r="BF466" s="123"/>
      <c r="BG466" s="83">
        <v>1178090.0</v>
      </c>
      <c r="BH466" s="144"/>
      <c r="BI466" s="112">
        <v>10.0</v>
      </c>
      <c r="BJ466" s="98" t="s">
        <v>155</v>
      </c>
      <c r="BK466" s="99">
        <f t="shared" si="11"/>
        <v>289</v>
      </c>
      <c r="BL466" s="99">
        <f t="shared" si="12"/>
        <v>0</v>
      </c>
      <c r="BM466" s="99" t="str">
        <f>IFERROR(__xludf.DUMMYFUNCTION("IFERROR(VLOOKUP(BG466,IMPORTRANGE(""https://docs.google.com/spreadsheets/d/1juPI-Fb8LD0YtltB2mlGEnp_R3UVu1t3wSFPzgCyHXE/edit?gid=0#gid=0"",""GERAL!A2:C""),3,0),""-"")"),"-")</f>
        <v>-</v>
      </c>
    </row>
    <row r="467" ht="15.75" customHeight="1">
      <c r="A467" s="111" t="s">
        <v>605</v>
      </c>
      <c r="B467" s="83" t="s">
        <v>1873</v>
      </c>
      <c r="C467" s="83" t="s">
        <v>164</v>
      </c>
      <c r="D467" s="112">
        <v>1179713.0</v>
      </c>
      <c r="E467" s="83">
        <v>1178542.0</v>
      </c>
      <c r="F467" s="98">
        <v>2.9483247E7</v>
      </c>
      <c r="G467" s="119" t="s">
        <v>1882</v>
      </c>
      <c r="H467" s="91" t="s">
        <v>1883</v>
      </c>
      <c r="I467" s="83" t="s">
        <v>1884</v>
      </c>
      <c r="J467" s="83" t="s">
        <v>868</v>
      </c>
      <c r="K467" s="83" t="s">
        <v>168</v>
      </c>
      <c r="L467" s="83" t="s">
        <v>76</v>
      </c>
      <c r="M467" s="82" t="str">
        <f>IFERROR(__xludf.DUMMYFUNCTION("IFERROR(VLOOKUP(D467,
IMPORTRANGE(""https://docs.google.com/spreadsheets/d/1MjHtlUikwobi2MaWJgy7tfLeBmhj1u-dRFRs_8GwSoA/edit#gid=0"",""Gestores Escolares!D7:J""),3,0),""VERIFICAR CÓD SEC"")"),"MARIA DIAS ASSUNCAO")</f>
        <v>MARIA DIAS ASSUNCAO</v>
      </c>
      <c r="N467" s="82" t="str">
        <f>IFERROR(__xludf.DUMMYFUNCTION("IFERROR(VLOOKUP(D467,
IMPORTRANGE(""https://docs.google.com/spreadsheets/d/1MjHtlUikwobi2MaWJgy7tfLeBmhj1u-dRFRs_8GwSoA/edit#gid=0"",""Gestores Escolares!D7:J""),4,0),""VERIFICAR CÓD SEC"")"),"(73) 9 9961-2626")</f>
        <v>(73) 9 9961-2626</v>
      </c>
      <c r="O467" s="82" t="str">
        <f>IFERROR(__xludf.DUMMYFUNCTION("IFERROR(VLOOKUP(D467,
IMPORTRANGE(""https://docs.google.com/spreadsheets/d/1MjHtlUikwobi2MaWJgy7tfLeBmhj1u-dRFRs_8GwSoA/edit#gid=0"",""Gestores Escolares!D7:J""),6,0),""VERIFICAR CÓD SEC"")"),"FERNANDA AURELINO INOCENCIO")</f>
        <v>FERNANDA AURELINO INOCENCIO</v>
      </c>
      <c r="P467" s="82" t="str">
        <f>IFERROR(__xludf.DUMMYFUNCTION("IFERROR(VLOOKUP(D467,
IMPORTRANGE(""https://docs.google.com/spreadsheets/d/1MjHtlUikwobi2MaWJgy7tfLeBmhj1u-dRFRs_8GwSoA/edit#gid=0"",""Gestores Escolares!D7:J""),7,0),""VERIFICAR CÓD SEC"")"),"(73) 9 9823-1075")</f>
        <v>(73) 9 9823-1075</v>
      </c>
      <c r="Q467" s="82" t="str">
        <f>IFERROR(__xludf.DUMMYFUNCTION("IFERROR(VLOOKUP(D467,
IMPORTRANGE(""https://docs.google.com/spreadsheets/d/1MjHtlUikwobi2MaWJgy7tfLeBmhj1u-dRFRs_8GwSoA/edit#gid=0"",""Gestores Escolares!D7:m""),9,0),""VERIFICAR CÓD SEC"")"),"")</f>
        <v/>
      </c>
      <c r="R467" s="82" t="str">
        <f>IFERROR(__xludf.DUMMYFUNCTION("IFERROR(VLOOKUP(D467,
IMPORTRANGE(""https://docs.google.com/spreadsheets/d/1MjHtlUikwobi2MaWJgy7tfLeBmhj1u-dRFRs_8GwSoA/edit#gid=0"",""Gestores Escolares!D7:m""),10,0),""VERIFICAR CÓD SEC"")"),"")</f>
        <v/>
      </c>
      <c r="S467" s="82"/>
      <c r="T467" s="138">
        <v>3.0</v>
      </c>
      <c r="U467" s="152">
        <v>3.0</v>
      </c>
      <c r="V467" s="106">
        <v>0.0</v>
      </c>
      <c r="W467" s="107">
        <v>0.0</v>
      </c>
      <c r="X467" s="107">
        <v>0.0</v>
      </c>
      <c r="Y467" s="107">
        <v>0.0</v>
      </c>
      <c r="Z467" s="80">
        <f t="shared" si="1"/>
        <v>0</v>
      </c>
      <c r="AA467" s="106">
        <v>0.0</v>
      </c>
      <c r="AB467" s="107">
        <v>0.0</v>
      </c>
      <c r="AC467" s="107">
        <v>0.0</v>
      </c>
      <c r="AD467" s="107">
        <v>0.0</v>
      </c>
      <c r="AE467" s="80">
        <f t="shared" si="2"/>
        <v>0</v>
      </c>
      <c r="AF467" s="140">
        <v>0.0</v>
      </c>
      <c r="AG467" s="109">
        <v>0.0</v>
      </c>
      <c r="AH467" s="109">
        <v>32.0</v>
      </c>
      <c r="AI467" s="141">
        <v>0.0</v>
      </c>
      <c r="AJ467" s="80">
        <f t="shared" si="3"/>
        <v>32</v>
      </c>
      <c r="AK467" s="140">
        <v>0.0</v>
      </c>
      <c r="AL467" s="109">
        <v>0.0</v>
      </c>
      <c r="AM467" s="141">
        <v>0.0</v>
      </c>
      <c r="AN467" s="80">
        <f t="shared" si="4"/>
        <v>0</v>
      </c>
      <c r="AO467" s="140">
        <v>0.0</v>
      </c>
      <c r="AP467" s="109">
        <v>0.0</v>
      </c>
      <c r="AQ467" s="109">
        <v>0.0</v>
      </c>
      <c r="AR467" s="80">
        <f t="shared" si="5"/>
        <v>0</v>
      </c>
      <c r="AS467" s="110">
        <v>0.0</v>
      </c>
      <c r="AT467" s="110">
        <v>0.0</v>
      </c>
      <c r="AU467" s="110">
        <v>0.0</v>
      </c>
      <c r="AV467" s="142">
        <v>0.0</v>
      </c>
      <c r="AW467" s="80">
        <f t="shared" si="6"/>
        <v>0</v>
      </c>
      <c r="AX467" s="113">
        <f t="shared" si="7"/>
        <v>32</v>
      </c>
      <c r="AY467" s="117">
        <f t="shared" si="8"/>
        <v>0</v>
      </c>
      <c r="AZ467" s="120">
        <f t="shared" si="9"/>
        <v>32</v>
      </c>
      <c r="BA467" s="115">
        <v>0.0</v>
      </c>
      <c r="BB467" s="89">
        <f t="shared" si="10"/>
        <v>32</v>
      </c>
      <c r="BC467" s="132" t="s">
        <v>373</v>
      </c>
      <c r="BD467" s="143" t="s">
        <v>227</v>
      </c>
      <c r="BE467" s="132" t="s">
        <v>178</v>
      </c>
      <c r="BF467" s="123"/>
      <c r="BG467" s="83">
        <v>1178542.0</v>
      </c>
      <c r="BH467" s="144"/>
      <c r="BI467" s="112">
        <v>3.0</v>
      </c>
      <c r="BJ467" s="98" t="s">
        <v>155</v>
      </c>
      <c r="BK467" s="99">
        <f t="shared" si="11"/>
        <v>0</v>
      </c>
      <c r="BL467" s="99">
        <f t="shared" si="12"/>
        <v>0</v>
      </c>
      <c r="BM467" s="99" t="str">
        <f>IFERROR(__xludf.DUMMYFUNCTION("IFERROR(VLOOKUP(BG467,IMPORTRANGE(""https://docs.google.com/spreadsheets/d/1juPI-Fb8LD0YtltB2mlGEnp_R3UVu1t3wSFPzgCyHXE/edit?gid=0#gid=0"",""GERAL!A2:C""),3,0),""-"")"),"CAMPO")</f>
        <v>CAMPO</v>
      </c>
    </row>
    <row r="468" ht="15.75" customHeight="1">
      <c r="A468" s="111" t="s">
        <v>605</v>
      </c>
      <c r="B468" s="83" t="s">
        <v>1873</v>
      </c>
      <c r="C468" s="83" t="s">
        <v>164</v>
      </c>
      <c r="D468" s="112">
        <v>1179713.0</v>
      </c>
      <c r="E468" s="83">
        <v>1178540.0</v>
      </c>
      <c r="F468" s="98">
        <v>2.9483247E7</v>
      </c>
      <c r="G468" s="119" t="s">
        <v>1885</v>
      </c>
      <c r="H468" s="91" t="s">
        <v>1886</v>
      </c>
      <c r="I468" s="83" t="s">
        <v>1887</v>
      </c>
      <c r="J468" s="83" t="s">
        <v>865</v>
      </c>
      <c r="K468" s="83" t="s">
        <v>168</v>
      </c>
      <c r="L468" s="83" t="s">
        <v>76</v>
      </c>
      <c r="M468" s="82" t="str">
        <f>IFERROR(__xludf.DUMMYFUNCTION("IFERROR(VLOOKUP(D468,
IMPORTRANGE(""https://docs.google.com/spreadsheets/d/1MjHtlUikwobi2MaWJgy7tfLeBmhj1u-dRFRs_8GwSoA/edit#gid=0"",""Gestores Escolares!D7:J""),3,0),""VERIFICAR CÓD SEC"")"),"MARIA DIAS ASSUNCAO")</f>
        <v>MARIA DIAS ASSUNCAO</v>
      </c>
      <c r="N468" s="82" t="str">
        <f>IFERROR(__xludf.DUMMYFUNCTION("IFERROR(VLOOKUP(D468,
IMPORTRANGE(""https://docs.google.com/spreadsheets/d/1MjHtlUikwobi2MaWJgy7tfLeBmhj1u-dRFRs_8GwSoA/edit#gid=0"",""Gestores Escolares!D7:J""),4,0),""VERIFICAR CÓD SEC"")"),"(73) 9 9961-2626")</f>
        <v>(73) 9 9961-2626</v>
      </c>
      <c r="O468" s="82" t="str">
        <f>IFERROR(__xludf.DUMMYFUNCTION("IFERROR(VLOOKUP(D468,
IMPORTRANGE(""https://docs.google.com/spreadsheets/d/1MjHtlUikwobi2MaWJgy7tfLeBmhj1u-dRFRs_8GwSoA/edit#gid=0"",""Gestores Escolares!D7:J""),6,0),""VERIFICAR CÓD SEC"")"),"FERNANDA AURELINO INOCENCIO")</f>
        <v>FERNANDA AURELINO INOCENCIO</v>
      </c>
      <c r="P468" s="82" t="str">
        <f>IFERROR(__xludf.DUMMYFUNCTION("IFERROR(VLOOKUP(D468,
IMPORTRANGE(""https://docs.google.com/spreadsheets/d/1MjHtlUikwobi2MaWJgy7tfLeBmhj1u-dRFRs_8GwSoA/edit#gid=0"",""Gestores Escolares!D7:J""),7,0),""VERIFICAR CÓD SEC"")"),"(73) 9 9823-1075")</f>
        <v>(73) 9 9823-1075</v>
      </c>
      <c r="Q468" s="82" t="str">
        <f>IFERROR(__xludf.DUMMYFUNCTION("IFERROR(VLOOKUP(D468,
IMPORTRANGE(""https://docs.google.com/spreadsheets/d/1MjHtlUikwobi2MaWJgy7tfLeBmhj1u-dRFRs_8GwSoA/edit#gid=0"",""Gestores Escolares!D7:m""),9,0),""VERIFICAR CÓD SEC"")"),"")</f>
        <v/>
      </c>
      <c r="R468" s="82" t="str">
        <f>IFERROR(__xludf.DUMMYFUNCTION("IFERROR(VLOOKUP(D468,
IMPORTRANGE(""https://docs.google.com/spreadsheets/d/1MjHtlUikwobi2MaWJgy7tfLeBmhj1u-dRFRs_8GwSoA/edit#gid=0"",""Gestores Escolares!D7:m""),10,0),""VERIFICAR CÓD SEC"")"),"")</f>
        <v/>
      </c>
      <c r="S468" s="82"/>
      <c r="T468" s="138">
        <v>3.0</v>
      </c>
      <c r="U468" s="152">
        <v>3.0</v>
      </c>
      <c r="V468" s="106">
        <v>0.0</v>
      </c>
      <c r="W468" s="107">
        <v>0.0</v>
      </c>
      <c r="X468" s="107">
        <v>0.0</v>
      </c>
      <c r="Y468" s="107">
        <v>0.0</v>
      </c>
      <c r="Z468" s="80">
        <f t="shared" si="1"/>
        <v>0</v>
      </c>
      <c r="AA468" s="106">
        <v>0.0</v>
      </c>
      <c r="AB468" s="107">
        <v>0.0</v>
      </c>
      <c r="AC468" s="107">
        <v>0.0</v>
      </c>
      <c r="AD468" s="107">
        <v>0.0</v>
      </c>
      <c r="AE468" s="80">
        <f t="shared" si="2"/>
        <v>0</v>
      </c>
      <c r="AF468" s="140">
        <v>0.0</v>
      </c>
      <c r="AG468" s="109">
        <v>0.0</v>
      </c>
      <c r="AH468" s="109">
        <v>77.0</v>
      </c>
      <c r="AI468" s="141">
        <v>0.0</v>
      </c>
      <c r="AJ468" s="80">
        <f t="shared" si="3"/>
        <v>77</v>
      </c>
      <c r="AK468" s="140">
        <v>0.0</v>
      </c>
      <c r="AL468" s="109">
        <v>0.0</v>
      </c>
      <c r="AM468" s="141">
        <v>0.0</v>
      </c>
      <c r="AN468" s="80">
        <f t="shared" si="4"/>
        <v>0</v>
      </c>
      <c r="AO468" s="140">
        <v>0.0</v>
      </c>
      <c r="AP468" s="109">
        <v>0.0</v>
      </c>
      <c r="AQ468" s="109">
        <v>0.0</v>
      </c>
      <c r="AR468" s="80">
        <f t="shared" si="5"/>
        <v>0</v>
      </c>
      <c r="AS468" s="110">
        <v>0.0</v>
      </c>
      <c r="AT468" s="110">
        <v>0.0</v>
      </c>
      <c r="AU468" s="110">
        <v>0.0</v>
      </c>
      <c r="AV468" s="142">
        <v>0.0</v>
      </c>
      <c r="AW468" s="80">
        <f t="shared" si="6"/>
        <v>0</v>
      </c>
      <c r="AX468" s="113">
        <f t="shared" si="7"/>
        <v>77</v>
      </c>
      <c r="AY468" s="117">
        <f t="shared" si="8"/>
        <v>0</v>
      </c>
      <c r="AZ468" s="120">
        <f t="shared" si="9"/>
        <v>77</v>
      </c>
      <c r="BA468" s="115">
        <v>0.0</v>
      </c>
      <c r="BB468" s="89">
        <f t="shared" si="10"/>
        <v>77</v>
      </c>
      <c r="BC468" s="132" t="s">
        <v>373</v>
      </c>
      <c r="BD468" s="143" t="s">
        <v>227</v>
      </c>
      <c r="BE468" s="132" t="s">
        <v>178</v>
      </c>
      <c r="BF468" s="123"/>
      <c r="BG468" s="83">
        <v>1178540.0</v>
      </c>
      <c r="BH468" s="144"/>
      <c r="BI468" s="112">
        <v>3.0</v>
      </c>
      <c r="BJ468" s="98" t="s">
        <v>155</v>
      </c>
      <c r="BK468" s="99">
        <f t="shared" si="11"/>
        <v>0</v>
      </c>
      <c r="BL468" s="99">
        <f t="shared" si="12"/>
        <v>0</v>
      </c>
      <c r="BM468" s="99" t="str">
        <f>IFERROR(__xludf.DUMMYFUNCTION("IFERROR(VLOOKUP(BG468,IMPORTRANGE(""https://docs.google.com/spreadsheets/d/1juPI-Fb8LD0YtltB2mlGEnp_R3UVu1t3wSFPzgCyHXE/edit?gid=0#gid=0"",""GERAL!A2:C""),3,0),""-"")"),"CAMPO")</f>
        <v>CAMPO</v>
      </c>
    </row>
    <row r="469" ht="15.75" customHeight="1">
      <c r="A469" s="111" t="s">
        <v>605</v>
      </c>
      <c r="B469" s="136" t="s">
        <v>1873</v>
      </c>
      <c r="C469" s="136" t="s">
        <v>164</v>
      </c>
      <c r="D469" s="112">
        <v>1178182.0</v>
      </c>
      <c r="E469" s="136">
        <v>1178539.0</v>
      </c>
      <c r="F469" s="115">
        <v>2.9493412E7</v>
      </c>
      <c r="G469" s="187" t="s">
        <v>1888</v>
      </c>
      <c r="H469" s="91" t="s">
        <v>1889</v>
      </c>
      <c r="I469" s="136" t="s">
        <v>1890</v>
      </c>
      <c r="J469" s="83" t="s">
        <v>252</v>
      </c>
      <c r="K469" s="83" t="s">
        <v>151</v>
      </c>
      <c r="L469" s="83" t="s">
        <v>169</v>
      </c>
      <c r="M469" s="82" t="str">
        <f>IFERROR(__xludf.DUMMYFUNCTION("IFERROR(VLOOKUP(D469,
IMPORTRANGE(""https://docs.google.com/spreadsheets/d/1MjHtlUikwobi2MaWJgy7tfLeBmhj1u-dRFRs_8GwSoA/edit#gid=0"",""Gestores Escolares!D7:J""),3,0),""VERIFICAR CÓD SEC"")"),"LUIS GUILHERME ESCHENAZI LUCENA")</f>
        <v>LUIS GUILHERME ESCHENAZI LUCENA</v>
      </c>
      <c r="N469" s="82" t="str">
        <f>IFERROR(__xludf.DUMMYFUNCTION("IFERROR(VLOOKUP(D469,
IMPORTRANGE(""https://docs.google.com/spreadsheets/d/1MjHtlUikwobi2MaWJgy7tfLeBmhj1u-dRFRs_8GwSoA/edit#gid=0"",""Gestores Escolares!D7:J""),4,0),""VERIFICAR CÓD SEC"")"),"(21) 9 9146-0175")</f>
        <v>(21) 9 9146-0175</v>
      </c>
      <c r="O469" s="82" t="str">
        <f>IFERROR(__xludf.DUMMYFUNCTION("IFERROR(VLOOKUP(D469,
IMPORTRANGE(""https://docs.google.com/spreadsheets/d/1MjHtlUikwobi2MaWJgy7tfLeBmhj1u-dRFRs_8GwSoA/edit#gid=0"",""Gestores Escolares!D7:J""),6,0),""VERIFICAR CÓD SEC"")"),"")</f>
        <v/>
      </c>
      <c r="P469" s="82" t="str">
        <f>IFERROR(__xludf.DUMMYFUNCTION("IFERROR(VLOOKUP(D469,
IMPORTRANGE(""https://docs.google.com/spreadsheets/d/1MjHtlUikwobi2MaWJgy7tfLeBmhj1u-dRFRs_8GwSoA/edit#gid=0"",""Gestores Escolares!D7:J""),7,0),""VERIFICAR CÓD SEC"")"),"")</f>
        <v/>
      </c>
      <c r="Q469" s="82" t="str">
        <f>IFERROR(__xludf.DUMMYFUNCTION("IFERROR(VLOOKUP(D469,
IMPORTRANGE(""https://docs.google.com/spreadsheets/d/1MjHtlUikwobi2MaWJgy7tfLeBmhj1u-dRFRs_8GwSoA/edit#gid=0"",""Gestores Escolares!D7:m""),9,0),""VERIFICAR CÓD SEC"")"),"")</f>
        <v/>
      </c>
      <c r="R469" s="82" t="str">
        <f>IFERROR(__xludf.DUMMYFUNCTION("IFERROR(VLOOKUP(D469,
IMPORTRANGE(""https://docs.google.com/spreadsheets/d/1MjHtlUikwobi2MaWJgy7tfLeBmhj1u-dRFRs_8GwSoA/edit#gid=0"",""Gestores Escolares!D7:m""),10,0),""VERIFICAR CÓD SEC"")"),"")</f>
        <v/>
      </c>
      <c r="S469" s="82"/>
      <c r="T469" s="138">
        <v>3.0</v>
      </c>
      <c r="U469" s="152">
        <v>3.0</v>
      </c>
      <c r="V469" s="106">
        <v>0.0</v>
      </c>
      <c r="W469" s="107">
        <v>0.0</v>
      </c>
      <c r="X469" s="107">
        <v>0.0</v>
      </c>
      <c r="Y469" s="107">
        <v>0.0</v>
      </c>
      <c r="Z469" s="80">
        <f t="shared" si="1"/>
        <v>0</v>
      </c>
      <c r="AA469" s="106">
        <v>0.0</v>
      </c>
      <c r="AB469" s="107">
        <v>0.0</v>
      </c>
      <c r="AC469" s="107">
        <v>0.0</v>
      </c>
      <c r="AD469" s="107">
        <v>0.0</v>
      </c>
      <c r="AE469" s="80">
        <f t="shared" si="2"/>
        <v>0</v>
      </c>
      <c r="AF469" s="140">
        <v>0.0</v>
      </c>
      <c r="AG469" s="109">
        <v>0.0</v>
      </c>
      <c r="AH469" s="109">
        <v>0.0</v>
      </c>
      <c r="AI469" s="141">
        <v>0.0</v>
      </c>
      <c r="AJ469" s="80">
        <f t="shared" si="3"/>
        <v>0</v>
      </c>
      <c r="AK469" s="140">
        <v>0.0</v>
      </c>
      <c r="AL469" s="109">
        <v>0.0</v>
      </c>
      <c r="AM469" s="141">
        <v>0.0</v>
      </c>
      <c r="AN469" s="80">
        <f t="shared" si="4"/>
        <v>0</v>
      </c>
      <c r="AO469" s="140">
        <v>0.0</v>
      </c>
      <c r="AP469" s="109">
        <v>0.0</v>
      </c>
      <c r="AQ469" s="109">
        <v>45.0</v>
      </c>
      <c r="AR469" s="80">
        <f t="shared" si="5"/>
        <v>45</v>
      </c>
      <c r="AS469" s="110">
        <v>0.0</v>
      </c>
      <c r="AT469" s="110">
        <v>0.0</v>
      </c>
      <c r="AU469" s="110">
        <v>0.0</v>
      </c>
      <c r="AV469" s="142">
        <v>0.0</v>
      </c>
      <c r="AW469" s="80">
        <f t="shared" si="6"/>
        <v>0</v>
      </c>
      <c r="AX469" s="113">
        <f t="shared" si="7"/>
        <v>45</v>
      </c>
      <c r="AY469" s="117">
        <f t="shared" si="8"/>
        <v>0</v>
      </c>
      <c r="AZ469" s="120">
        <f t="shared" si="9"/>
        <v>45</v>
      </c>
      <c r="BA469" s="115">
        <v>0.0</v>
      </c>
      <c r="BB469" s="89">
        <f t="shared" si="10"/>
        <v>45</v>
      </c>
      <c r="BC469" s="132" t="s">
        <v>631</v>
      </c>
      <c r="BD469" s="132" t="s">
        <v>178</v>
      </c>
      <c r="BE469" s="132" t="s">
        <v>178</v>
      </c>
      <c r="BF469" s="123"/>
      <c r="BG469" s="136">
        <v>1178539.0</v>
      </c>
      <c r="BH469" s="144"/>
      <c r="BI469" s="112">
        <v>3.0</v>
      </c>
      <c r="BJ469" s="98" t="s">
        <v>155</v>
      </c>
      <c r="BK469" s="99">
        <f t="shared" si="11"/>
        <v>0</v>
      </c>
      <c r="BL469" s="99">
        <f t="shared" si="12"/>
        <v>0</v>
      </c>
      <c r="BM469" s="99" t="str">
        <f>IFERROR(__xludf.DUMMYFUNCTION("IFERROR(VLOOKUP(BG469,IMPORTRANGE(""https://docs.google.com/spreadsheets/d/1juPI-Fb8LD0YtltB2mlGEnp_R3UVu1t3wSFPzgCyHXE/edit?gid=0#gid=0"",""GERAL!A2:C""),3,0),""-"")"),"ASSENTAMENTOS")</f>
        <v>ASSENTAMENTOS</v>
      </c>
    </row>
    <row r="470" ht="15.75" customHeight="1">
      <c r="A470" s="111" t="s">
        <v>605</v>
      </c>
      <c r="B470" s="83" t="s">
        <v>1873</v>
      </c>
      <c r="C470" s="83" t="s">
        <v>164</v>
      </c>
      <c r="D470" s="112">
        <v>1179713.0</v>
      </c>
      <c r="E470" s="98">
        <v>1179810.0</v>
      </c>
      <c r="F470" s="98">
        <v>2.9483247E7</v>
      </c>
      <c r="G470" s="119" t="s">
        <v>1891</v>
      </c>
      <c r="H470" s="108" t="s">
        <v>1892</v>
      </c>
      <c r="I470" s="83"/>
      <c r="J470" s="83"/>
      <c r="K470" s="83" t="s">
        <v>168</v>
      </c>
      <c r="L470" s="83"/>
      <c r="M470" s="82" t="str">
        <f>IFERROR(__xludf.DUMMYFUNCTION("IFERROR(VLOOKUP(D470,
IMPORTRANGE(""https://docs.google.com/spreadsheets/d/1MjHtlUikwobi2MaWJgy7tfLeBmhj1u-dRFRs_8GwSoA/edit#gid=0"",""Gestores Escolares!D7:J""),3,0),""VERIFICAR CÓD SEC"")"),"MARIA DIAS ASSUNCAO")</f>
        <v>MARIA DIAS ASSUNCAO</v>
      </c>
      <c r="N470" s="82" t="str">
        <f>IFERROR(__xludf.DUMMYFUNCTION("IFERROR(VLOOKUP(D470,
IMPORTRANGE(""https://docs.google.com/spreadsheets/d/1MjHtlUikwobi2MaWJgy7tfLeBmhj1u-dRFRs_8GwSoA/edit#gid=0"",""Gestores Escolares!D7:J""),4,0),""VERIFICAR CÓD SEC"")"),"(73) 9 9961-2626")</f>
        <v>(73) 9 9961-2626</v>
      </c>
      <c r="O470" s="82" t="str">
        <f>IFERROR(__xludf.DUMMYFUNCTION("IFERROR(VLOOKUP(D470,
IMPORTRANGE(""https://docs.google.com/spreadsheets/d/1MjHtlUikwobi2MaWJgy7tfLeBmhj1u-dRFRs_8GwSoA/edit#gid=0"",""Gestores Escolares!D7:J""),6,0),""VERIFICAR CÓD SEC"")"),"FERNANDA AURELINO INOCENCIO")</f>
        <v>FERNANDA AURELINO INOCENCIO</v>
      </c>
      <c r="P470" s="82" t="str">
        <f>IFERROR(__xludf.DUMMYFUNCTION("IFERROR(VLOOKUP(D470,
IMPORTRANGE(""https://docs.google.com/spreadsheets/d/1MjHtlUikwobi2MaWJgy7tfLeBmhj1u-dRFRs_8GwSoA/edit#gid=0"",""Gestores Escolares!D7:J""),7,0),""VERIFICAR CÓD SEC"")"),"(73) 9 9823-1075")</f>
        <v>(73) 9 9823-1075</v>
      </c>
      <c r="Q470" s="82" t="str">
        <f>IFERROR(__xludf.DUMMYFUNCTION("IFERROR(VLOOKUP(D470,
IMPORTRANGE(""https://docs.google.com/spreadsheets/d/1MjHtlUikwobi2MaWJgy7tfLeBmhj1u-dRFRs_8GwSoA/edit#gid=0"",""Gestores Escolares!D7:m""),9,0),""VERIFICAR CÓD SEC"")"),"")</f>
        <v/>
      </c>
      <c r="R470" s="82" t="str">
        <f>IFERROR(__xludf.DUMMYFUNCTION("IFERROR(VLOOKUP(D470,
IMPORTRANGE(""https://docs.google.com/spreadsheets/d/1MjHtlUikwobi2MaWJgy7tfLeBmhj1u-dRFRs_8GwSoA/edit#gid=0"",""Gestores Escolares!D7:m""),10,0),""VERIFICAR CÓD SEC"")"),"")</f>
        <v/>
      </c>
      <c r="S470" s="82"/>
      <c r="T470" s="138"/>
      <c r="U470" s="152"/>
      <c r="V470" s="106">
        <v>0.0</v>
      </c>
      <c r="W470" s="107">
        <v>0.0</v>
      </c>
      <c r="X470" s="107">
        <v>0.0</v>
      </c>
      <c r="Y470" s="107">
        <v>0.0</v>
      </c>
      <c r="Z470" s="80">
        <f t="shared" si="1"/>
        <v>0</v>
      </c>
      <c r="AA470" s="106">
        <v>0.0</v>
      </c>
      <c r="AB470" s="107">
        <v>0.0</v>
      </c>
      <c r="AC470" s="107">
        <v>0.0</v>
      </c>
      <c r="AD470" s="107">
        <v>0.0</v>
      </c>
      <c r="AE470" s="80">
        <f t="shared" si="2"/>
        <v>0</v>
      </c>
      <c r="AF470" s="140">
        <v>0.0</v>
      </c>
      <c r="AG470" s="109">
        <v>0.0</v>
      </c>
      <c r="AH470" s="109">
        <v>16.0</v>
      </c>
      <c r="AI470" s="141">
        <v>0.0</v>
      </c>
      <c r="AJ470" s="80">
        <f t="shared" si="3"/>
        <v>16</v>
      </c>
      <c r="AK470" s="140">
        <v>0.0</v>
      </c>
      <c r="AL470" s="109">
        <v>0.0</v>
      </c>
      <c r="AM470" s="141">
        <v>0.0</v>
      </c>
      <c r="AN470" s="80">
        <f t="shared" si="4"/>
        <v>0</v>
      </c>
      <c r="AO470" s="140">
        <v>0.0</v>
      </c>
      <c r="AP470" s="109">
        <v>0.0</v>
      </c>
      <c r="AQ470" s="109">
        <v>0.0</v>
      </c>
      <c r="AR470" s="80">
        <f t="shared" si="5"/>
        <v>0</v>
      </c>
      <c r="AS470" s="110">
        <v>0.0</v>
      </c>
      <c r="AT470" s="110">
        <v>0.0</v>
      </c>
      <c r="AU470" s="110">
        <v>0.0</v>
      </c>
      <c r="AV470" s="142">
        <v>0.0</v>
      </c>
      <c r="AW470" s="80">
        <f t="shared" si="6"/>
        <v>0</v>
      </c>
      <c r="AX470" s="113">
        <f t="shared" si="7"/>
        <v>16</v>
      </c>
      <c r="AY470" s="117">
        <f t="shared" si="8"/>
        <v>0</v>
      </c>
      <c r="AZ470" s="120">
        <f t="shared" si="9"/>
        <v>16</v>
      </c>
      <c r="BA470" s="115">
        <v>0.0</v>
      </c>
      <c r="BB470" s="89">
        <f t="shared" si="10"/>
        <v>16</v>
      </c>
      <c r="BC470" s="132"/>
      <c r="BD470" s="132" t="s">
        <v>227</v>
      </c>
      <c r="BE470" s="132"/>
      <c r="BF470" s="123"/>
      <c r="BG470" s="98">
        <v>1179810.0</v>
      </c>
      <c r="BH470" s="144"/>
      <c r="BI470" s="112"/>
      <c r="BJ470" s="98" t="s">
        <v>155</v>
      </c>
      <c r="BK470" s="99">
        <f t="shared" si="11"/>
        <v>0</v>
      </c>
      <c r="BL470" s="99">
        <f t="shared" si="12"/>
        <v>0</v>
      </c>
      <c r="BM470" s="99" t="str">
        <f>IFERROR(__xludf.DUMMYFUNCTION("IFERROR(VLOOKUP(BG470,IMPORTRANGE(""https://docs.google.com/spreadsheets/d/1juPI-Fb8LD0YtltB2mlGEnp_R3UVu1t3wSFPzgCyHXE/edit?gid=0#gid=0"",""GERAL!A2:C""),3,0),""-"")"),"-")</f>
        <v>-</v>
      </c>
    </row>
    <row r="471" ht="15.75" customHeight="1">
      <c r="A471" s="111" t="s">
        <v>605</v>
      </c>
      <c r="B471" s="83" t="s">
        <v>1893</v>
      </c>
      <c r="C471" s="83" t="s">
        <v>68</v>
      </c>
      <c r="D471" s="112">
        <v>1113102.0</v>
      </c>
      <c r="E471" s="83"/>
      <c r="F471" s="83">
        <v>2.9317789E7</v>
      </c>
      <c r="G471" s="114" t="s">
        <v>1894</v>
      </c>
      <c r="H471" s="91" t="s">
        <v>1895</v>
      </c>
      <c r="I471" s="83" t="s">
        <v>149</v>
      </c>
      <c r="J471" s="83" t="s">
        <v>150</v>
      </c>
      <c r="K471" s="83" t="s">
        <v>151</v>
      </c>
      <c r="L471" s="83" t="s">
        <v>230</v>
      </c>
      <c r="M471" s="82" t="str">
        <f>IFERROR(__xludf.DUMMYFUNCTION("IFERROR(VLOOKUP(D471,
IMPORTRANGE(""https://docs.google.com/spreadsheets/d/1MjHtlUikwobi2MaWJgy7tfLeBmhj1u-dRFRs_8GwSoA/edit#gid=0"",""Gestores Escolares!D7:J""),3,0),""VERIFICAR CÓD SEC"")"),"LUIZ LEONARDO SOARES FERREIRA")</f>
        <v>LUIZ LEONARDO SOARES FERREIRA</v>
      </c>
      <c r="N471" s="82" t="str">
        <f>IFERROR(__xludf.DUMMYFUNCTION("IFERROR(VLOOKUP(D471,
IMPORTRANGE(""https://docs.google.com/spreadsheets/d/1MjHtlUikwobi2MaWJgy7tfLeBmhj1u-dRFRs_8GwSoA/edit#gid=0"",""Gestores Escolares!D7:J""),4,0),""VERIFICAR CÓD SEC"")"),"(73) 9 8815-1223")</f>
        <v>(73) 9 8815-1223</v>
      </c>
      <c r="O471" s="82" t="str">
        <f>IFERROR(__xludf.DUMMYFUNCTION("IFERROR(VLOOKUP(D471,
IMPORTRANGE(""https://docs.google.com/spreadsheets/d/1MjHtlUikwobi2MaWJgy7tfLeBmhj1u-dRFRs_8GwSoA/edit#gid=0"",""Gestores Escolares!D7:J""),6,0),""VERIFICAR CÓD SEC"")"),"CERES ALVES LUZ")</f>
        <v>CERES ALVES LUZ</v>
      </c>
      <c r="P471" s="82" t="str">
        <f>IFERROR(__xludf.DUMMYFUNCTION("IFERROR(VLOOKUP(D471,
IMPORTRANGE(""https://docs.google.com/spreadsheets/d/1MjHtlUikwobi2MaWJgy7tfLeBmhj1u-dRFRs_8GwSoA/edit#gid=0"",""Gestores Escolares!D7:J""),7,0),""VERIFICAR CÓD SEC"")"),"(73) 9 9930-8508")</f>
        <v>(73) 9 9930-8508</v>
      </c>
      <c r="Q471" s="82" t="str">
        <f>IFERROR(__xludf.DUMMYFUNCTION("IFERROR(VLOOKUP(D471,
IMPORTRANGE(""https://docs.google.com/spreadsheets/d/1MjHtlUikwobi2MaWJgy7tfLeBmhj1u-dRFRs_8GwSoA/edit#gid=0"",""Gestores Escolares!D7:m""),9,0),""VERIFICAR CÓD SEC"")"),"ANIELA MORETTI MANCO")</f>
        <v>ANIELA MORETTI MANCO</v>
      </c>
      <c r="R471" s="82" t="str">
        <f>IFERROR(__xludf.DUMMYFUNCTION("IFERROR(VLOOKUP(D471,
IMPORTRANGE(""https://docs.google.com/spreadsheets/d/1MjHtlUikwobi2MaWJgy7tfLeBmhj1u-dRFRs_8GwSoA/edit#gid=0"",""Gestores Escolares!D7:m""),10,0),""VERIFICAR CÓD SEC"")"),"(73) 9 8802-8750")</f>
        <v>(73) 9 8802-8750</v>
      </c>
      <c r="S471" s="82"/>
      <c r="T471" s="138">
        <v>11.0</v>
      </c>
      <c r="U471" s="145" t="s">
        <v>6446</v>
      </c>
      <c r="V471" s="106">
        <v>0.0</v>
      </c>
      <c r="W471" s="107">
        <v>0.0</v>
      </c>
      <c r="X471" s="107">
        <v>0.0</v>
      </c>
      <c r="Y471" s="107">
        <v>0.0</v>
      </c>
      <c r="Z471" s="80">
        <f t="shared" si="1"/>
        <v>0</v>
      </c>
      <c r="AA471" s="106">
        <v>0.0</v>
      </c>
      <c r="AB471" s="107">
        <v>0.0</v>
      </c>
      <c r="AC471" s="107">
        <v>0.0</v>
      </c>
      <c r="AD471" s="107">
        <v>0.0</v>
      </c>
      <c r="AE471" s="80">
        <f t="shared" si="2"/>
        <v>0</v>
      </c>
      <c r="AF471" s="140">
        <v>0.0</v>
      </c>
      <c r="AG471" s="109">
        <v>176.0</v>
      </c>
      <c r="AH471" s="109">
        <v>0.0</v>
      </c>
      <c r="AI471" s="141">
        <v>0.0</v>
      </c>
      <c r="AJ471" s="80">
        <f t="shared" si="3"/>
        <v>176</v>
      </c>
      <c r="AK471" s="140">
        <v>0.0</v>
      </c>
      <c r="AL471" s="109">
        <v>0.0</v>
      </c>
      <c r="AM471" s="141">
        <v>0.0</v>
      </c>
      <c r="AN471" s="80">
        <f t="shared" si="4"/>
        <v>0</v>
      </c>
      <c r="AO471" s="140">
        <v>0.0</v>
      </c>
      <c r="AP471" s="109">
        <v>0.0</v>
      </c>
      <c r="AQ471" s="109">
        <v>57.0</v>
      </c>
      <c r="AR471" s="80">
        <f t="shared" si="5"/>
        <v>57</v>
      </c>
      <c r="AS471" s="110">
        <v>0.0</v>
      </c>
      <c r="AT471" s="110">
        <v>0.0</v>
      </c>
      <c r="AU471" s="110">
        <v>0.0</v>
      </c>
      <c r="AV471" s="142">
        <v>174.0</v>
      </c>
      <c r="AW471" s="80">
        <f t="shared" si="6"/>
        <v>174</v>
      </c>
      <c r="AX471" s="113">
        <f t="shared" si="7"/>
        <v>407</v>
      </c>
      <c r="AY471" s="117">
        <f t="shared" si="8"/>
        <v>350</v>
      </c>
      <c r="AZ471" s="120">
        <f t="shared" si="9"/>
        <v>57</v>
      </c>
      <c r="BA471" s="115">
        <v>0.0</v>
      </c>
      <c r="BB471" s="89">
        <f t="shared" si="10"/>
        <v>407</v>
      </c>
      <c r="BC471" s="132" t="s">
        <v>178</v>
      </c>
      <c r="BD471" s="132" t="s">
        <v>178</v>
      </c>
      <c r="BE471" s="132" t="s">
        <v>178</v>
      </c>
      <c r="BF471" s="123"/>
      <c r="BG471" s="83">
        <v>1113102.0</v>
      </c>
      <c r="BH471" s="112"/>
      <c r="BI471" s="112">
        <v>7.0</v>
      </c>
      <c r="BJ471" s="98" t="s">
        <v>155</v>
      </c>
      <c r="BK471" s="99">
        <f t="shared" si="11"/>
        <v>174</v>
      </c>
      <c r="BL471" s="99">
        <f t="shared" si="12"/>
        <v>176</v>
      </c>
      <c r="BM471" s="99" t="str">
        <f>IFERROR(__xludf.DUMMYFUNCTION("IFERROR(VLOOKUP(BG471,IMPORTRANGE(""https://docs.google.com/spreadsheets/d/1juPI-Fb8LD0YtltB2mlGEnp_R3UVu1t3wSFPzgCyHXE/edit?gid=0#gid=0"",""GERAL!A2:C""),3,0),""-"")"),"-")</f>
        <v>-</v>
      </c>
    </row>
    <row r="472" ht="15.75" customHeight="1">
      <c r="A472" s="111" t="s">
        <v>605</v>
      </c>
      <c r="B472" s="83" t="s">
        <v>1893</v>
      </c>
      <c r="C472" s="83" t="s">
        <v>164</v>
      </c>
      <c r="D472" s="112">
        <v>1113102.0</v>
      </c>
      <c r="E472" s="83">
        <v>1178544.0</v>
      </c>
      <c r="F472" s="98">
        <v>2.9493528E7</v>
      </c>
      <c r="G472" s="114" t="s">
        <v>1897</v>
      </c>
      <c r="H472" s="91" t="s">
        <v>1898</v>
      </c>
      <c r="I472" s="83" t="s">
        <v>1899</v>
      </c>
      <c r="J472" s="83" t="s">
        <v>1900</v>
      </c>
      <c r="K472" s="83" t="s">
        <v>168</v>
      </c>
      <c r="L472" s="83" t="s">
        <v>169</v>
      </c>
      <c r="M472" s="82" t="str">
        <f>IFERROR(__xludf.DUMMYFUNCTION("IFERROR(VLOOKUP(D472,
IMPORTRANGE(""https://docs.google.com/spreadsheets/d/1MjHtlUikwobi2MaWJgy7tfLeBmhj1u-dRFRs_8GwSoA/edit#gid=0"",""Gestores Escolares!D7:J""),3,0),""VERIFICAR CÓD SEC"")"),"LUIZ LEONARDO SOARES FERREIRA")</f>
        <v>LUIZ LEONARDO SOARES FERREIRA</v>
      </c>
      <c r="N472" s="82" t="str">
        <f>IFERROR(__xludf.DUMMYFUNCTION("IFERROR(VLOOKUP(D472,
IMPORTRANGE(""https://docs.google.com/spreadsheets/d/1MjHtlUikwobi2MaWJgy7tfLeBmhj1u-dRFRs_8GwSoA/edit#gid=0"",""Gestores Escolares!D7:J""),4,0),""VERIFICAR CÓD SEC"")"),"(73) 9 8815-1223")</f>
        <v>(73) 9 8815-1223</v>
      </c>
      <c r="O472" s="82" t="str">
        <f>IFERROR(__xludf.DUMMYFUNCTION("IFERROR(VLOOKUP(D472,
IMPORTRANGE(""https://docs.google.com/spreadsheets/d/1MjHtlUikwobi2MaWJgy7tfLeBmhj1u-dRFRs_8GwSoA/edit#gid=0"",""Gestores Escolares!D7:J""),6,0),""VERIFICAR CÓD SEC"")"),"CERES ALVES LUZ")</f>
        <v>CERES ALVES LUZ</v>
      </c>
      <c r="P472" s="82" t="str">
        <f>IFERROR(__xludf.DUMMYFUNCTION("IFERROR(VLOOKUP(D472,
IMPORTRANGE(""https://docs.google.com/spreadsheets/d/1MjHtlUikwobi2MaWJgy7tfLeBmhj1u-dRFRs_8GwSoA/edit#gid=0"",""Gestores Escolares!D7:J""),7,0),""VERIFICAR CÓD SEC"")"),"(73) 9 9930-8508")</f>
        <v>(73) 9 9930-8508</v>
      </c>
      <c r="Q472" s="82" t="str">
        <f>IFERROR(__xludf.DUMMYFUNCTION("IFERROR(VLOOKUP(D472,
IMPORTRANGE(""https://docs.google.com/spreadsheets/d/1MjHtlUikwobi2MaWJgy7tfLeBmhj1u-dRFRs_8GwSoA/edit#gid=0"",""Gestores Escolares!D7:m""),9,0),""VERIFICAR CÓD SEC"")"),"ANIELA MORETTI MANCO")</f>
        <v>ANIELA MORETTI MANCO</v>
      </c>
      <c r="R472" s="82" t="str">
        <f>IFERROR(__xludf.DUMMYFUNCTION("IFERROR(VLOOKUP(D472,
IMPORTRANGE(""https://docs.google.com/spreadsheets/d/1MjHtlUikwobi2MaWJgy7tfLeBmhj1u-dRFRs_8GwSoA/edit#gid=0"",""Gestores Escolares!D7:m""),10,0),""VERIFICAR CÓD SEC"")"),"(73) 9 8802-8750")</f>
        <v>(73) 9 8802-8750</v>
      </c>
      <c r="S472" s="82"/>
      <c r="T472" s="138">
        <v>3.0</v>
      </c>
      <c r="U472" s="139">
        <v>6.0</v>
      </c>
      <c r="V472" s="106">
        <v>0.0</v>
      </c>
      <c r="W472" s="107">
        <v>0.0</v>
      </c>
      <c r="X472" s="107">
        <v>0.0</v>
      </c>
      <c r="Y472" s="107">
        <v>0.0</v>
      </c>
      <c r="Z472" s="80">
        <f t="shared" si="1"/>
        <v>0</v>
      </c>
      <c r="AA472" s="106">
        <v>0.0</v>
      </c>
      <c r="AB472" s="107">
        <v>0.0</v>
      </c>
      <c r="AC472" s="107">
        <v>0.0</v>
      </c>
      <c r="AD472" s="107">
        <v>0.0</v>
      </c>
      <c r="AE472" s="80">
        <f t="shared" si="2"/>
        <v>0</v>
      </c>
      <c r="AF472" s="140">
        <v>0.0</v>
      </c>
      <c r="AG472" s="109">
        <v>32.0</v>
      </c>
      <c r="AH472" s="109">
        <v>0.0</v>
      </c>
      <c r="AI472" s="141">
        <v>0.0</v>
      </c>
      <c r="AJ472" s="80">
        <f t="shared" si="3"/>
        <v>32</v>
      </c>
      <c r="AK472" s="140">
        <v>0.0</v>
      </c>
      <c r="AL472" s="109">
        <v>0.0</v>
      </c>
      <c r="AM472" s="141">
        <v>0.0</v>
      </c>
      <c r="AN472" s="80">
        <f t="shared" si="4"/>
        <v>0</v>
      </c>
      <c r="AO472" s="140">
        <v>0.0</v>
      </c>
      <c r="AP472" s="109">
        <v>0.0</v>
      </c>
      <c r="AQ472" s="109">
        <v>45.0</v>
      </c>
      <c r="AR472" s="80">
        <f t="shared" si="5"/>
        <v>45</v>
      </c>
      <c r="AS472" s="110">
        <v>0.0</v>
      </c>
      <c r="AT472" s="110">
        <v>0.0</v>
      </c>
      <c r="AU472" s="110">
        <v>0.0</v>
      </c>
      <c r="AV472" s="142">
        <v>0.0</v>
      </c>
      <c r="AW472" s="80">
        <f t="shared" si="6"/>
        <v>0</v>
      </c>
      <c r="AX472" s="113">
        <f t="shared" si="7"/>
        <v>77</v>
      </c>
      <c r="AY472" s="117">
        <f t="shared" si="8"/>
        <v>32</v>
      </c>
      <c r="AZ472" s="120">
        <f t="shared" si="9"/>
        <v>45</v>
      </c>
      <c r="BA472" s="115">
        <v>0.0</v>
      </c>
      <c r="BB472" s="89">
        <f t="shared" si="10"/>
        <v>77</v>
      </c>
      <c r="BC472" s="132" t="s">
        <v>373</v>
      </c>
      <c r="BD472" s="132" t="s">
        <v>178</v>
      </c>
      <c r="BE472" s="132" t="s">
        <v>178</v>
      </c>
      <c r="BF472" s="123"/>
      <c r="BG472" s="83">
        <v>1178544.0</v>
      </c>
      <c r="BH472" s="112"/>
      <c r="BI472" s="112">
        <v>6.0</v>
      </c>
      <c r="BJ472" s="98" t="s">
        <v>155</v>
      </c>
      <c r="BK472" s="99">
        <f t="shared" si="11"/>
        <v>0</v>
      </c>
      <c r="BL472" s="99">
        <f t="shared" si="12"/>
        <v>32</v>
      </c>
      <c r="BM472" s="99" t="str">
        <f>IFERROR(__xludf.DUMMYFUNCTION("IFERROR(VLOOKUP(BG472,IMPORTRANGE(""https://docs.google.com/spreadsheets/d/1juPI-Fb8LD0YtltB2mlGEnp_R3UVu1t3wSFPzgCyHXE/edit?gid=0#gid=0"",""GERAL!A2:C""),3,0),""-"")"),"CAMPO")</f>
        <v>CAMPO</v>
      </c>
    </row>
    <row r="473" ht="15.75" customHeight="1">
      <c r="A473" s="111" t="s">
        <v>605</v>
      </c>
      <c r="B473" s="83" t="s">
        <v>1893</v>
      </c>
      <c r="C473" s="83" t="s">
        <v>164</v>
      </c>
      <c r="D473" s="112">
        <v>1113102.0</v>
      </c>
      <c r="E473" s="83">
        <v>1178545.0</v>
      </c>
      <c r="F473" s="98">
        <v>2.9493544E7</v>
      </c>
      <c r="G473" s="114" t="s">
        <v>1901</v>
      </c>
      <c r="H473" s="91" t="s">
        <v>1902</v>
      </c>
      <c r="I473" s="83" t="s">
        <v>1903</v>
      </c>
      <c r="J473" s="83" t="s">
        <v>1904</v>
      </c>
      <c r="K473" s="83" t="s">
        <v>168</v>
      </c>
      <c r="L473" s="83" t="s">
        <v>169</v>
      </c>
      <c r="M473" s="82" t="str">
        <f>IFERROR(__xludf.DUMMYFUNCTION("IFERROR(VLOOKUP(D473,
IMPORTRANGE(""https://docs.google.com/spreadsheets/d/1MjHtlUikwobi2MaWJgy7tfLeBmhj1u-dRFRs_8GwSoA/edit#gid=0"",""Gestores Escolares!D7:J""),3,0),""VERIFICAR CÓD SEC"")"),"LUIZ LEONARDO SOARES FERREIRA")</f>
        <v>LUIZ LEONARDO SOARES FERREIRA</v>
      </c>
      <c r="N473" s="82" t="str">
        <f>IFERROR(__xludf.DUMMYFUNCTION("IFERROR(VLOOKUP(D473,
IMPORTRANGE(""https://docs.google.com/spreadsheets/d/1MjHtlUikwobi2MaWJgy7tfLeBmhj1u-dRFRs_8GwSoA/edit#gid=0"",""Gestores Escolares!D7:J""),4,0),""VERIFICAR CÓD SEC"")"),"(73) 9 8815-1223")</f>
        <v>(73) 9 8815-1223</v>
      </c>
      <c r="O473" s="82" t="str">
        <f>IFERROR(__xludf.DUMMYFUNCTION("IFERROR(VLOOKUP(D473,
IMPORTRANGE(""https://docs.google.com/spreadsheets/d/1MjHtlUikwobi2MaWJgy7tfLeBmhj1u-dRFRs_8GwSoA/edit#gid=0"",""Gestores Escolares!D7:J""),6,0),""VERIFICAR CÓD SEC"")"),"CERES ALVES LUZ")</f>
        <v>CERES ALVES LUZ</v>
      </c>
      <c r="P473" s="82" t="str">
        <f>IFERROR(__xludf.DUMMYFUNCTION("IFERROR(VLOOKUP(D473,
IMPORTRANGE(""https://docs.google.com/spreadsheets/d/1MjHtlUikwobi2MaWJgy7tfLeBmhj1u-dRFRs_8GwSoA/edit#gid=0"",""Gestores Escolares!D7:J""),7,0),""VERIFICAR CÓD SEC"")"),"(73) 9 9930-8508")</f>
        <v>(73) 9 9930-8508</v>
      </c>
      <c r="Q473" s="82" t="str">
        <f>IFERROR(__xludf.DUMMYFUNCTION("IFERROR(VLOOKUP(D473,
IMPORTRANGE(""https://docs.google.com/spreadsheets/d/1MjHtlUikwobi2MaWJgy7tfLeBmhj1u-dRFRs_8GwSoA/edit#gid=0"",""Gestores Escolares!D7:m""),9,0),""VERIFICAR CÓD SEC"")"),"ANIELA MORETTI MANCO")</f>
        <v>ANIELA MORETTI MANCO</v>
      </c>
      <c r="R473" s="82" t="str">
        <f>IFERROR(__xludf.DUMMYFUNCTION("IFERROR(VLOOKUP(D473,
IMPORTRANGE(""https://docs.google.com/spreadsheets/d/1MjHtlUikwobi2MaWJgy7tfLeBmhj1u-dRFRs_8GwSoA/edit#gid=0"",""Gestores Escolares!D7:m""),10,0),""VERIFICAR CÓD SEC"")"),"(73) 9 8802-8750")</f>
        <v>(73) 9 8802-8750</v>
      </c>
      <c r="S473" s="82"/>
      <c r="T473" s="138">
        <v>3.0</v>
      </c>
      <c r="U473" s="139">
        <v>3.0</v>
      </c>
      <c r="V473" s="106">
        <v>0.0</v>
      </c>
      <c r="W473" s="107">
        <v>0.0</v>
      </c>
      <c r="X473" s="107">
        <v>0.0</v>
      </c>
      <c r="Y473" s="107">
        <v>0.0</v>
      </c>
      <c r="Z473" s="80">
        <f t="shared" si="1"/>
        <v>0</v>
      </c>
      <c r="AA473" s="106">
        <v>0.0</v>
      </c>
      <c r="AB473" s="107">
        <v>0.0</v>
      </c>
      <c r="AC473" s="107">
        <v>0.0</v>
      </c>
      <c r="AD473" s="107">
        <v>0.0</v>
      </c>
      <c r="AE473" s="80">
        <f t="shared" si="2"/>
        <v>0</v>
      </c>
      <c r="AF473" s="140">
        <v>0.0</v>
      </c>
      <c r="AG473" s="109">
        <v>0.0</v>
      </c>
      <c r="AH473" s="109">
        <v>0.0</v>
      </c>
      <c r="AI473" s="141">
        <v>0.0</v>
      </c>
      <c r="AJ473" s="80">
        <f t="shared" si="3"/>
        <v>0</v>
      </c>
      <c r="AK473" s="140">
        <v>0.0</v>
      </c>
      <c r="AL473" s="109">
        <v>0.0</v>
      </c>
      <c r="AM473" s="141">
        <v>0.0</v>
      </c>
      <c r="AN473" s="80">
        <f t="shared" si="4"/>
        <v>0</v>
      </c>
      <c r="AO473" s="140">
        <v>0.0</v>
      </c>
      <c r="AP473" s="109">
        <v>0.0</v>
      </c>
      <c r="AQ473" s="109">
        <v>40.0</v>
      </c>
      <c r="AR473" s="80">
        <f t="shared" si="5"/>
        <v>40</v>
      </c>
      <c r="AS473" s="110">
        <v>0.0</v>
      </c>
      <c r="AT473" s="110">
        <v>0.0</v>
      </c>
      <c r="AU473" s="110">
        <v>0.0</v>
      </c>
      <c r="AV473" s="142">
        <v>0.0</v>
      </c>
      <c r="AW473" s="80">
        <f t="shared" si="6"/>
        <v>0</v>
      </c>
      <c r="AX473" s="113">
        <f t="shared" si="7"/>
        <v>40</v>
      </c>
      <c r="AY473" s="117">
        <f t="shared" si="8"/>
        <v>0</v>
      </c>
      <c r="AZ473" s="120">
        <f t="shared" si="9"/>
        <v>40</v>
      </c>
      <c r="BA473" s="115">
        <v>0.0</v>
      </c>
      <c r="BB473" s="89">
        <f t="shared" si="10"/>
        <v>40</v>
      </c>
      <c r="BC473" s="132" t="s">
        <v>373</v>
      </c>
      <c r="BD473" s="132" t="s">
        <v>178</v>
      </c>
      <c r="BE473" s="132" t="s">
        <v>178</v>
      </c>
      <c r="BF473" s="123"/>
      <c r="BG473" s="83">
        <v>1178545.0</v>
      </c>
      <c r="BH473" s="112"/>
      <c r="BI473" s="112">
        <v>3.0</v>
      </c>
      <c r="BJ473" s="98" t="s">
        <v>155</v>
      </c>
      <c r="BK473" s="99">
        <f t="shared" si="11"/>
        <v>0</v>
      </c>
      <c r="BL473" s="99">
        <f t="shared" si="12"/>
        <v>0</v>
      </c>
      <c r="BM473" s="99" t="str">
        <f>IFERROR(__xludf.DUMMYFUNCTION("IFERROR(VLOOKUP(BG473,IMPORTRANGE(""https://docs.google.com/spreadsheets/d/1juPI-Fb8LD0YtltB2mlGEnp_R3UVu1t3wSFPzgCyHXE/edit?gid=0#gid=0"",""GERAL!A2:C""),3,0),""-"")"),"CAMPO")</f>
        <v>CAMPO</v>
      </c>
    </row>
    <row r="474" ht="15.75" customHeight="1">
      <c r="A474" s="111" t="s">
        <v>605</v>
      </c>
      <c r="B474" s="83" t="s">
        <v>1893</v>
      </c>
      <c r="C474" s="83" t="s">
        <v>164</v>
      </c>
      <c r="D474" s="112">
        <v>1113102.0</v>
      </c>
      <c r="E474" s="83">
        <v>1178546.0</v>
      </c>
      <c r="F474" s="98">
        <v>2.9493536E7</v>
      </c>
      <c r="G474" s="114" t="s">
        <v>1905</v>
      </c>
      <c r="H474" s="91" t="s">
        <v>1906</v>
      </c>
      <c r="I474" s="83" t="s">
        <v>149</v>
      </c>
      <c r="J474" s="83" t="s">
        <v>252</v>
      </c>
      <c r="K474" s="83" t="s">
        <v>168</v>
      </c>
      <c r="L474" s="83" t="s">
        <v>169</v>
      </c>
      <c r="M474" s="82" t="str">
        <f>IFERROR(__xludf.DUMMYFUNCTION("IFERROR(VLOOKUP(D474,
IMPORTRANGE(""https://docs.google.com/spreadsheets/d/1MjHtlUikwobi2MaWJgy7tfLeBmhj1u-dRFRs_8GwSoA/edit#gid=0"",""Gestores Escolares!D7:J""),3,0),""VERIFICAR CÓD SEC"")"),"LUIZ LEONARDO SOARES FERREIRA")</f>
        <v>LUIZ LEONARDO SOARES FERREIRA</v>
      </c>
      <c r="N474" s="82" t="str">
        <f>IFERROR(__xludf.DUMMYFUNCTION("IFERROR(VLOOKUP(D474,
IMPORTRANGE(""https://docs.google.com/spreadsheets/d/1MjHtlUikwobi2MaWJgy7tfLeBmhj1u-dRFRs_8GwSoA/edit#gid=0"",""Gestores Escolares!D7:J""),4,0),""VERIFICAR CÓD SEC"")"),"(73) 9 8815-1223")</f>
        <v>(73) 9 8815-1223</v>
      </c>
      <c r="O474" s="82" t="str">
        <f>IFERROR(__xludf.DUMMYFUNCTION("IFERROR(VLOOKUP(D474,
IMPORTRANGE(""https://docs.google.com/spreadsheets/d/1MjHtlUikwobi2MaWJgy7tfLeBmhj1u-dRFRs_8GwSoA/edit#gid=0"",""Gestores Escolares!D7:J""),6,0),""VERIFICAR CÓD SEC"")"),"CERES ALVES LUZ")</f>
        <v>CERES ALVES LUZ</v>
      </c>
      <c r="P474" s="82" t="str">
        <f>IFERROR(__xludf.DUMMYFUNCTION("IFERROR(VLOOKUP(D474,
IMPORTRANGE(""https://docs.google.com/spreadsheets/d/1MjHtlUikwobi2MaWJgy7tfLeBmhj1u-dRFRs_8GwSoA/edit#gid=0"",""Gestores Escolares!D7:J""),7,0),""VERIFICAR CÓD SEC"")"),"(73) 9 9930-8508")</f>
        <v>(73) 9 9930-8508</v>
      </c>
      <c r="Q474" s="82" t="str">
        <f>IFERROR(__xludf.DUMMYFUNCTION("IFERROR(VLOOKUP(D474,
IMPORTRANGE(""https://docs.google.com/spreadsheets/d/1MjHtlUikwobi2MaWJgy7tfLeBmhj1u-dRFRs_8GwSoA/edit#gid=0"",""Gestores Escolares!D7:m""),9,0),""VERIFICAR CÓD SEC"")"),"ANIELA MORETTI MANCO")</f>
        <v>ANIELA MORETTI MANCO</v>
      </c>
      <c r="R474" s="82" t="str">
        <f>IFERROR(__xludf.DUMMYFUNCTION("IFERROR(VLOOKUP(D474,
IMPORTRANGE(""https://docs.google.com/spreadsheets/d/1MjHtlUikwobi2MaWJgy7tfLeBmhj1u-dRFRs_8GwSoA/edit#gid=0"",""Gestores Escolares!D7:m""),10,0),""VERIFICAR CÓD SEC"")"),"(73) 9 8802-8750")</f>
        <v>(73) 9 8802-8750</v>
      </c>
      <c r="S474" s="82"/>
      <c r="T474" s="138">
        <v>3.0</v>
      </c>
      <c r="U474" s="139">
        <v>3.0</v>
      </c>
      <c r="V474" s="106">
        <v>0.0</v>
      </c>
      <c r="W474" s="107">
        <v>0.0</v>
      </c>
      <c r="X474" s="107">
        <v>0.0</v>
      </c>
      <c r="Y474" s="107">
        <v>0.0</v>
      </c>
      <c r="Z474" s="80">
        <f t="shared" si="1"/>
        <v>0</v>
      </c>
      <c r="AA474" s="106">
        <v>0.0</v>
      </c>
      <c r="AB474" s="107">
        <v>0.0</v>
      </c>
      <c r="AC474" s="107">
        <v>0.0</v>
      </c>
      <c r="AD474" s="107">
        <v>0.0</v>
      </c>
      <c r="AE474" s="80">
        <f t="shared" si="2"/>
        <v>0</v>
      </c>
      <c r="AF474" s="140">
        <v>45.0</v>
      </c>
      <c r="AG474" s="109">
        <v>86.0</v>
      </c>
      <c r="AH474" s="109">
        <v>0.0</v>
      </c>
      <c r="AI474" s="141">
        <v>0.0</v>
      </c>
      <c r="AJ474" s="80">
        <f t="shared" si="3"/>
        <v>131</v>
      </c>
      <c r="AK474" s="140">
        <v>0.0</v>
      </c>
      <c r="AL474" s="109">
        <v>0.0</v>
      </c>
      <c r="AM474" s="141">
        <v>0.0</v>
      </c>
      <c r="AN474" s="80">
        <f t="shared" si="4"/>
        <v>0</v>
      </c>
      <c r="AO474" s="140">
        <v>0.0</v>
      </c>
      <c r="AP474" s="109">
        <v>0.0</v>
      </c>
      <c r="AQ474" s="109">
        <v>19.0</v>
      </c>
      <c r="AR474" s="80">
        <f t="shared" si="5"/>
        <v>19</v>
      </c>
      <c r="AS474" s="110">
        <v>0.0</v>
      </c>
      <c r="AT474" s="110">
        <v>0.0</v>
      </c>
      <c r="AU474" s="110">
        <v>0.0</v>
      </c>
      <c r="AV474" s="142">
        <v>0.0</v>
      </c>
      <c r="AW474" s="80">
        <f t="shared" si="6"/>
        <v>0</v>
      </c>
      <c r="AX474" s="113">
        <f t="shared" si="7"/>
        <v>150</v>
      </c>
      <c r="AY474" s="117">
        <f t="shared" si="8"/>
        <v>131</v>
      </c>
      <c r="AZ474" s="120">
        <f t="shared" si="9"/>
        <v>19</v>
      </c>
      <c r="BA474" s="115">
        <v>0.0</v>
      </c>
      <c r="BB474" s="89">
        <f t="shared" si="10"/>
        <v>150</v>
      </c>
      <c r="BC474" s="132" t="s">
        <v>373</v>
      </c>
      <c r="BD474" s="132" t="s">
        <v>178</v>
      </c>
      <c r="BE474" s="132" t="s">
        <v>178</v>
      </c>
      <c r="BF474" s="123"/>
      <c r="BG474" s="83">
        <v>1178546.0</v>
      </c>
      <c r="BH474" s="112"/>
      <c r="BI474" s="112">
        <v>3.0</v>
      </c>
      <c r="BJ474" s="98" t="s">
        <v>155</v>
      </c>
      <c r="BK474" s="99">
        <f t="shared" si="11"/>
        <v>0</v>
      </c>
      <c r="BL474" s="99">
        <f t="shared" si="12"/>
        <v>131</v>
      </c>
      <c r="BM474" s="99" t="str">
        <f>IFERROR(__xludf.DUMMYFUNCTION("IFERROR(VLOOKUP(BG474,IMPORTRANGE(""https://docs.google.com/spreadsheets/d/1juPI-Fb8LD0YtltB2mlGEnp_R3UVu1t3wSFPzgCyHXE/edit?gid=0#gid=0"",""GERAL!A2:C""),3,0),""-"")"),"CAMPO")</f>
        <v>CAMPO</v>
      </c>
    </row>
    <row r="475" ht="15.75" customHeight="1">
      <c r="A475" s="111" t="s">
        <v>605</v>
      </c>
      <c r="B475" s="83" t="s">
        <v>1893</v>
      </c>
      <c r="C475" s="83" t="s">
        <v>164</v>
      </c>
      <c r="D475" s="112">
        <v>1113102.0</v>
      </c>
      <c r="E475" s="83">
        <v>1178543.0</v>
      </c>
      <c r="F475" s="98">
        <v>2.949351E7</v>
      </c>
      <c r="G475" s="114" t="s">
        <v>1907</v>
      </c>
      <c r="H475" s="91" t="s">
        <v>1908</v>
      </c>
      <c r="I475" s="83" t="s">
        <v>149</v>
      </c>
      <c r="J475" s="83" t="s">
        <v>1909</v>
      </c>
      <c r="K475" s="83" t="s">
        <v>168</v>
      </c>
      <c r="L475" s="83" t="s">
        <v>169</v>
      </c>
      <c r="M475" s="82" t="str">
        <f>IFERROR(__xludf.DUMMYFUNCTION("IFERROR(VLOOKUP(D475,
IMPORTRANGE(""https://docs.google.com/spreadsheets/d/1MjHtlUikwobi2MaWJgy7tfLeBmhj1u-dRFRs_8GwSoA/edit#gid=0"",""Gestores Escolares!D7:J""),3,0),""VERIFICAR CÓD SEC"")"),"LUIZ LEONARDO SOARES FERREIRA")</f>
        <v>LUIZ LEONARDO SOARES FERREIRA</v>
      </c>
      <c r="N475" s="82" t="str">
        <f>IFERROR(__xludf.DUMMYFUNCTION("IFERROR(VLOOKUP(D475,
IMPORTRANGE(""https://docs.google.com/spreadsheets/d/1MjHtlUikwobi2MaWJgy7tfLeBmhj1u-dRFRs_8GwSoA/edit#gid=0"",""Gestores Escolares!D7:J""),4,0),""VERIFICAR CÓD SEC"")"),"(73) 9 8815-1223")</f>
        <v>(73) 9 8815-1223</v>
      </c>
      <c r="O475" s="82" t="str">
        <f>IFERROR(__xludf.DUMMYFUNCTION("IFERROR(VLOOKUP(D475,
IMPORTRANGE(""https://docs.google.com/spreadsheets/d/1MjHtlUikwobi2MaWJgy7tfLeBmhj1u-dRFRs_8GwSoA/edit#gid=0"",""Gestores Escolares!D7:J""),6,0),""VERIFICAR CÓD SEC"")"),"CERES ALVES LUZ")</f>
        <v>CERES ALVES LUZ</v>
      </c>
      <c r="P475" s="82" t="str">
        <f>IFERROR(__xludf.DUMMYFUNCTION("IFERROR(VLOOKUP(D475,
IMPORTRANGE(""https://docs.google.com/spreadsheets/d/1MjHtlUikwobi2MaWJgy7tfLeBmhj1u-dRFRs_8GwSoA/edit#gid=0"",""Gestores Escolares!D7:J""),7,0),""VERIFICAR CÓD SEC"")"),"(73) 9 9930-8508")</f>
        <v>(73) 9 9930-8508</v>
      </c>
      <c r="Q475" s="82" t="str">
        <f>IFERROR(__xludf.DUMMYFUNCTION("IFERROR(VLOOKUP(D475,
IMPORTRANGE(""https://docs.google.com/spreadsheets/d/1MjHtlUikwobi2MaWJgy7tfLeBmhj1u-dRFRs_8GwSoA/edit#gid=0"",""Gestores Escolares!D7:m""),9,0),""VERIFICAR CÓD SEC"")"),"ANIELA MORETTI MANCO")</f>
        <v>ANIELA MORETTI MANCO</v>
      </c>
      <c r="R475" s="82" t="str">
        <f>IFERROR(__xludf.DUMMYFUNCTION("IFERROR(VLOOKUP(D475,
IMPORTRANGE(""https://docs.google.com/spreadsheets/d/1MjHtlUikwobi2MaWJgy7tfLeBmhj1u-dRFRs_8GwSoA/edit#gid=0"",""Gestores Escolares!D7:m""),10,0),""VERIFICAR CÓD SEC"")"),"(73) 9 8802-8750")</f>
        <v>(73) 9 8802-8750</v>
      </c>
      <c r="S475" s="82"/>
      <c r="T475" s="138">
        <v>3.0</v>
      </c>
      <c r="U475" s="139">
        <v>3.0</v>
      </c>
      <c r="V475" s="106">
        <v>0.0</v>
      </c>
      <c r="W475" s="107">
        <v>0.0</v>
      </c>
      <c r="X475" s="107">
        <v>0.0</v>
      </c>
      <c r="Y475" s="107">
        <v>0.0</v>
      </c>
      <c r="Z475" s="80">
        <f t="shared" si="1"/>
        <v>0</v>
      </c>
      <c r="AA475" s="106">
        <v>0.0</v>
      </c>
      <c r="AB475" s="107">
        <v>0.0</v>
      </c>
      <c r="AC475" s="107">
        <v>0.0</v>
      </c>
      <c r="AD475" s="107">
        <v>0.0</v>
      </c>
      <c r="AE475" s="80">
        <f t="shared" si="2"/>
        <v>0</v>
      </c>
      <c r="AF475" s="140">
        <v>0.0</v>
      </c>
      <c r="AG475" s="109">
        <v>0.0</v>
      </c>
      <c r="AH475" s="109">
        <v>0.0</v>
      </c>
      <c r="AI475" s="141">
        <v>0.0</v>
      </c>
      <c r="AJ475" s="80">
        <f t="shared" si="3"/>
        <v>0</v>
      </c>
      <c r="AK475" s="140">
        <v>0.0</v>
      </c>
      <c r="AL475" s="109">
        <v>0.0</v>
      </c>
      <c r="AM475" s="141">
        <v>0.0</v>
      </c>
      <c r="AN475" s="80">
        <f t="shared" si="4"/>
        <v>0</v>
      </c>
      <c r="AO475" s="140">
        <v>0.0</v>
      </c>
      <c r="AP475" s="109">
        <v>0.0</v>
      </c>
      <c r="AQ475" s="109">
        <v>46.0</v>
      </c>
      <c r="AR475" s="80">
        <f t="shared" si="5"/>
        <v>46</v>
      </c>
      <c r="AS475" s="110">
        <v>0.0</v>
      </c>
      <c r="AT475" s="110">
        <v>0.0</v>
      </c>
      <c r="AU475" s="110">
        <v>0.0</v>
      </c>
      <c r="AV475" s="142">
        <v>0.0</v>
      </c>
      <c r="AW475" s="80">
        <f t="shared" si="6"/>
        <v>0</v>
      </c>
      <c r="AX475" s="113">
        <f t="shared" si="7"/>
        <v>46</v>
      </c>
      <c r="AY475" s="117">
        <f t="shared" si="8"/>
        <v>0</v>
      </c>
      <c r="AZ475" s="120">
        <f t="shared" si="9"/>
        <v>46</v>
      </c>
      <c r="BA475" s="115">
        <v>0.0</v>
      </c>
      <c r="BB475" s="89">
        <f t="shared" si="10"/>
        <v>46</v>
      </c>
      <c r="BC475" s="132" t="s">
        <v>373</v>
      </c>
      <c r="BD475" s="132" t="s">
        <v>178</v>
      </c>
      <c r="BE475" s="132" t="s">
        <v>178</v>
      </c>
      <c r="BF475" s="123"/>
      <c r="BG475" s="83">
        <v>1178543.0</v>
      </c>
      <c r="BH475" s="112"/>
      <c r="BI475" s="112">
        <v>3.0</v>
      </c>
      <c r="BJ475" s="98" t="s">
        <v>155</v>
      </c>
      <c r="BK475" s="99">
        <f t="shared" si="11"/>
        <v>0</v>
      </c>
      <c r="BL475" s="99">
        <f t="shared" si="12"/>
        <v>0</v>
      </c>
      <c r="BM475" s="99" t="str">
        <f>IFERROR(__xludf.DUMMYFUNCTION("IFERROR(VLOOKUP(BG475,IMPORTRANGE(""https://docs.google.com/spreadsheets/d/1juPI-Fb8LD0YtltB2mlGEnp_R3UVu1t3wSFPzgCyHXE/edit?gid=0#gid=0"",""GERAL!A2:C""),3,0),""-"")"),"CAMPO")</f>
        <v>CAMPO</v>
      </c>
    </row>
    <row r="476" ht="15.75" customHeight="1">
      <c r="A476" s="111" t="s">
        <v>605</v>
      </c>
      <c r="B476" s="83" t="s">
        <v>1910</v>
      </c>
      <c r="C476" s="83" t="s">
        <v>68</v>
      </c>
      <c r="D476" s="112">
        <v>1178216.0</v>
      </c>
      <c r="E476" s="83"/>
      <c r="F476" s="83">
        <v>2.9444993E7</v>
      </c>
      <c r="G476" s="114" t="s">
        <v>1911</v>
      </c>
      <c r="H476" s="91" t="s">
        <v>1912</v>
      </c>
      <c r="I476" s="136" t="s">
        <v>149</v>
      </c>
      <c r="J476" s="83" t="s">
        <v>150</v>
      </c>
      <c r="K476" s="83" t="s">
        <v>151</v>
      </c>
      <c r="L476" s="83" t="s">
        <v>169</v>
      </c>
      <c r="M476" s="82" t="str">
        <f>IFERROR(__xludf.DUMMYFUNCTION("IFERROR(VLOOKUP(D476,
IMPORTRANGE(""https://docs.google.com/spreadsheets/d/1MjHtlUikwobi2MaWJgy7tfLeBmhj1u-dRFRs_8GwSoA/edit#gid=0"",""Gestores Escolares!D7:J""),3,0),""VERIFICAR CÓD SEC"")"),"RONALDO BANDEIRA DA SILVA")</f>
        <v>RONALDO BANDEIRA DA SILVA</v>
      </c>
      <c r="N476" s="82" t="str">
        <f>IFERROR(__xludf.DUMMYFUNCTION("IFERROR(VLOOKUP(D476,
IMPORTRANGE(""https://docs.google.com/spreadsheets/d/1MjHtlUikwobi2MaWJgy7tfLeBmhj1u-dRFRs_8GwSoA/edit#gid=0"",""Gestores Escolares!D7:J""),4,0),""VERIFICAR CÓD SEC"")"),"(73) 9 8161-1731")</f>
        <v>(73) 9 8161-1731</v>
      </c>
      <c r="O476" s="82" t="str">
        <f>IFERROR(__xludf.DUMMYFUNCTION("IFERROR(VLOOKUP(D476,
IMPORTRANGE(""https://docs.google.com/spreadsheets/d/1MjHtlUikwobi2MaWJgy7tfLeBmhj1u-dRFRs_8GwSoA/edit#gid=0"",""Gestores Escolares!D7:J""),6,0),""VERIFICAR CÓD SEC"")"),"")</f>
        <v/>
      </c>
      <c r="P476" s="82" t="str">
        <f>IFERROR(__xludf.DUMMYFUNCTION("IFERROR(VLOOKUP(D476,
IMPORTRANGE(""https://docs.google.com/spreadsheets/d/1MjHtlUikwobi2MaWJgy7tfLeBmhj1u-dRFRs_8GwSoA/edit#gid=0"",""Gestores Escolares!D7:J""),7,0),""VERIFICAR CÓD SEC"")"),"")</f>
        <v/>
      </c>
      <c r="Q476" s="82" t="str">
        <f>IFERROR(__xludf.DUMMYFUNCTION("IFERROR(VLOOKUP(D476,
IMPORTRANGE(""https://docs.google.com/spreadsheets/d/1MjHtlUikwobi2MaWJgy7tfLeBmhj1u-dRFRs_8GwSoA/edit#gid=0"",""Gestores Escolares!D7:m""),9,0),""VERIFICAR CÓD SEC"")"),"")</f>
        <v/>
      </c>
      <c r="R476" s="82" t="str">
        <f>IFERROR(__xludf.DUMMYFUNCTION("IFERROR(VLOOKUP(D476,
IMPORTRANGE(""https://docs.google.com/spreadsheets/d/1MjHtlUikwobi2MaWJgy7tfLeBmhj1u-dRFRs_8GwSoA/edit#gid=0"",""Gestores Escolares!D7:m""),10,0),""VERIFICAR CÓD SEC"")"),"")</f>
        <v/>
      </c>
      <c r="S476" s="82"/>
      <c r="T476" s="138">
        <v>7.0</v>
      </c>
      <c r="U476" s="369" t="s">
        <v>6506</v>
      </c>
      <c r="V476" s="106">
        <v>0.0</v>
      </c>
      <c r="W476" s="107">
        <v>0.0</v>
      </c>
      <c r="X476" s="107">
        <v>0.0</v>
      </c>
      <c r="Y476" s="107">
        <v>0.0</v>
      </c>
      <c r="Z476" s="80">
        <f t="shared" si="1"/>
        <v>0</v>
      </c>
      <c r="AA476" s="106">
        <v>0.0</v>
      </c>
      <c r="AB476" s="107">
        <v>0.0</v>
      </c>
      <c r="AC476" s="107">
        <v>0.0</v>
      </c>
      <c r="AD476" s="107">
        <v>0.0</v>
      </c>
      <c r="AE476" s="80">
        <f t="shared" si="2"/>
        <v>0</v>
      </c>
      <c r="AF476" s="140">
        <v>150.0</v>
      </c>
      <c r="AG476" s="109">
        <v>90.0</v>
      </c>
      <c r="AH476" s="109">
        <v>0.0</v>
      </c>
      <c r="AI476" s="141">
        <v>0.0</v>
      </c>
      <c r="AJ476" s="80">
        <f t="shared" si="3"/>
        <v>240</v>
      </c>
      <c r="AK476" s="140">
        <v>0.0</v>
      </c>
      <c r="AL476" s="109">
        <v>0.0</v>
      </c>
      <c r="AM476" s="141">
        <v>0.0</v>
      </c>
      <c r="AN476" s="80">
        <f t="shared" si="4"/>
        <v>0</v>
      </c>
      <c r="AO476" s="140">
        <v>0.0</v>
      </c>
      <c r="AP476" s="109">
        <v>0.0</v>
      </c>
      <c r="AQ476" s="109">
        <v>51.0</v>
      </c>
      <c r="AR476" s="80">
        <f t="shared" si="5"/>
        <v>51</v>
      </c>
      <c r="AS476" s="110">
        <v>0.0</v>
      </c>
      <c r="AT476" s="110">
        <v>0.0</v>
      </c>
      <c r="AU476" s="110">
        <v>31.0</v>
      </c>
      <c r="AV476" s="142">
        <v>0.0</v>
      </c>
      <c r="AW476" s="80">
        <f t="shared" si="6"/>
        <v>31</v>
      </c>
      <c r="AX476" s="113">
        <f t="shared" si="7"/>
        <v>322</v>
      </c>
      <c r="AY476" s="117">
        <f t="shared" si="8"/>
        <v>240</v>
      </c>
      <c r="AZ476" s="120">
        <f t="shared" si="9"/>
        <v>82</v>
      </c>
      <c r="BA476" s="115">
        <v>0.0</v>
      </c>
      <c r="BB476" s="89">
        <f t="shared" si="10"/>
        <v>322</v>
      </c>
      <c r="BC476" s="132" t="s">
        <v>178</v>
      </c>
      <c r="BD476" s="132" t="s">
        <v>178</v>
      </c>
      <c r="BE476" s="132" t="s">
        <v>178</v>
      </c>
      <c r="BF476" s="123"/>
      <c r="BG476" s="83">
        <v>1178216.0</v>
      </c>
      <c r="BH476" s="112"/>
      <c r="BI476" s="112">
        <v>7.0</v>
      </c>
      <c r="BJ476" s="98" t="s">
        <v>155</v>
      </c>
      <c r="BK476" s="99">
        <f t="shared" si="11"/>
        <v>0</v>
      </c>
      <c r="BL476" s="99">
        <f t="shared" si="12"/>
        <v>240</v>
      </c>
      <c r="BM476" s="99" t="str">
        <f>IFERROR(__xludf.DUMMYFUNCTION("IFERROR(VLOOKUP(BG476,IMPORTRANGE(""https://docs.google.com/spreadsheets/d/1juPI-Fb8LD0YtltB2mlGEnp_R3UVu1t3wSFPzgCyHXE/edit?gid=0#gid=0"",""GERAL!A2:C""),3,0),""-"")"),"-")</f>
        <v>-</v>
      </c>
    </row>
    <row r="477" ht="15.75" customHeight="1">
      <c r="A477" s="111" t="s">
        <v>605</v>
      </c>
      <c r="B477" s="83" t="s">
        <v>1914</v>
      </c>
      <c r="C477" s="83" t="s">
        <v>68</v>
      </c>
      <c r="D477" s="112">
        <v>1179481.0</v>
      </c>
      <c r="E477" s="83"/>
      <c r="F477" s="83">
        <v>2.9469066E7</v>
      </c>
      <c r="G477" s="114" t="s">
        <v>1915</v>
      </c>
      <c r="H477" s="91" t="s">
        <v>1916</v>
      </c>
      <c r="I477" s="83" t="s">
        <v>1917</v>
      </c>
      <c r="J477" s="83" t="s">
        <v>150</v>
      </c>
      <c r="K477" s="83" t="s">
        <v>151</v>
      </c>
      <c r="L477" s="83" t="s">
        <v>230</v>
      </c>
      <c r="M477" s="82" t="str">
        <f>IFERROR(__xludf.DUMMYFUNCTION("IFERROR(VLOOKUP(D477,
IMPORTRANGE(""https://docs.google.com/spreadsheets/d/1MjHtlUikwobi2MaWJgy7tfLeBmhj1u-dRFRs_8GwSoA/edit#gid=0"",""Gestores Escolares!D7:J""),3,0),""VERIFICAR CÓD SEC"")"),"MARIALDA DIAS ASSUNÇÃO ")</f>
        <v>MARIALDA DIAS ASSUNÇÃO </v>
      </c>
      <c r="N477" s="82" t="str">
        <f>IFERROR(__xludf.DUMMYFUNCTION("IFERROR(VLOOKUP(D477,
IMPORTRANGE(""https://docs.google.com/spreadsheets/d/1MjHtlUikwobi2MaWJgy7tfLeBmhj1u-dRFRs_8GwSoA/edit#gid=0"",""Gestores Escolares!D7:J""),4,0),""VERIFICAR CÓD SEC"")"),"(73) 9 9927-2064")</f>
        <v>(73) 9 9927-2064</v>
      </c>
      <c r="O477" s="82" t="str">
        <f>IFERROR(__xludf.DUMMYFUNCTION("IFERROR(VLOOKUP(D477,
IMPORTRANGE(""https://docs.google.com/spreadsheets/d/1MjHtlUikwobi2MaWJgy7tfLeBmhj1u-dRFRs_8GwSoA/edit#gid=0"",""Gestores Escolares!D7:J""),6,0),""VERIFICAR CÓD SEC"")"),"GABRIELLE GOMES DOS SANTOS PACHECO")</f>
        <v>GABRIELLE GOMES DOS SANTOS PACHECO</v>
      </c>
      <c r="P477" s="82" t="str">
        <f>IFERROR(__xludf.DUMMYFUNCTION("IFERROR(VLOOKUP(D477,
IMPORTRANGE(""https://docs.google.com/spreadsheets/d/1MjHtlUikwobi2MaWJgy7tfLeBmhj1u-dRFRs_8GwSoA/edit#gid=0"",""Gestores Escolares!D7:J""),7,0),""VERIFICAR CÓD SEC"")"),"(73) 9 9853-7786")</f>
        <v>(73) 9 9853-7786</v>
      </c>
      <c r="Q477" s="82" t="str">
        <f>IFERROR(__xludf.DUMMYFUNCTION("IFERROR(VLOOKUP(D477,
IMPORTRANGE(""https://docs.google.com/spreadsheets/d/1MjHtlUikwobi2MaWJgy7tfLeBmhj1u-dRFRs_8GwSoA/edit#gid=0"",""Gestores Escolares!D7:m""),9,0),""VERIFICAR CÓD SEC"")"),"")</f>
        <v/>
      </c>
      <c r="R477" s="82" t="str">
        <f>IFERROR(__xludf.DUMMYFUNCTION("IFERROR(VLOOKUP(D477,
IMPORTRANGE(""https://docs.google.com/spreadsheets/d/1MjHtlUikwobi2MaWJgy7tfLeBmhj1u-dRFRs_8GwSoA/edit#gid=0"",""Gestores Escolares!D7:m""),10,0),""VERIFICAR CÓD SEC"")"),"")</f>
        <v/>
      </c>
      <c r="S477" s="82"/>
      <c r="T477" s="138">
        <v>15.0</v>
      </c>
      <c r="U477" s="145" t="s">
        <v>6520</v>
      </c>
      <c r="V477" s="106">
        <v>0.0</v>
      </c>
      <c r="W477" s="107">
        <v>0.0</v>
      </c>
      <c r="X477" s="107">
        <v>0.0</v>
      </c>
      <c r="Y477" s="107">
        <v>0.0</v>
      </c>
      <c r="Z477" s="80">
        <f t="shared" si="1"/>
        <v>0</v>
      </c>
      <c r="AA477" s="106">
        <v>0.0</v>
      </c>
      <c r="AB477" s="107">
        <v>0.0</v>
      </c>
      <c r="AC477" s="107">
        <v>0.0</v>
      </c>
      <c r="AD477" s="107">
        <v>0.0</v>
      </c>
      <c r="AE477" s="80">
        <f t="shared" si="2"/>
        <v>0</v>
      </c>
      <c r="AF477" s="140">
        <v>0.0</v>
      </c>
      <c r="AG477" s="109">
        <v>0.0</v>
      </c>
      <c r="AH477" s="109">
        <v>0.0</v>
      </c>
      <c r="AI477" s="141">
        <v>343.0</v>
      </c>
      <c r="AJ477" s="80">
        <f t="shared" si="3"/>
        <v>343</v>
      </c>
      <c r="AK477" s="140">
        <v>0.0</v>
      </c>
      <c r="AL477" s="109">
        <v>0.0</v>
      </c>
      <c r="AM477" s="141">
        <v>0.0</v>
      </c>
      <c r="AN477" s="80">
        <f t="shared" si="4"/>
        <v>0</v>
      </c>
      <c r="AO477" s="140">
        <v>0.0</v>
      </c>
      <c r="AP477" s="109">
        <v>0.0</v>
      </c>
      <c r="AQ477" s="109">
        <v>98.0</v>
      </c>
      <c r="AR477" s="80">
        <f t="shared" si="5"/>
        <v>98</v>
      </c>
      <c r="AS477" s="110">
        <v>0.0</v>
      </c>
      <c r="AT477" s="110">
        <v>0.0</v>
      </c>
      <c r="AU477" s="110">
        <v>17.0</v>
      </c>
      <c r="AV477" s="142">
        <v>120.0</v>
      </c>
      <c r="AW477" s="80">
        <f t="shared" si="6"/>
        <v>137</v>
      </c>
      <c r="AX477" s="113">
        <f t="shared" si="7"/>
        <v>578</v>
      </c>
      <c r="AY477" s="117">
        <f t="shared" si="8"/>
        <v>463</v>
      </c>
      <c r="AZ477" s="120">
        <f t="shared" si="9"/>
        <v>115</v>
      </c>
      <c r="BA477" s="115">
        <v>0.0</v>
      </c>
      <c r="BB477" s="89">
        <f t="shared" si="10"/>
        <v>578</v>
      </c>
      <c r="BC477" s="132" t="s">
        <v>178</v>
      </c>
      <c r="BD477" s="132" t="s">
        <v>178</v>
      </c>
      <c r="BE477" s="132" t="s">
        <v>178</v>
      </c>
      <c r="BF477" s="156"/>
      <c r="BG477" s="83">
        <v>1179481.0</v>
      </c>
      <c r="BH477" s="112"/>
      <c r="BI477" s="112">
        <v>15.0</v>
      </c>
      <c r="BJ477" s="98" t="s">
        <v>284</v>
      </c>
      <c r="BK477" s="99">
        <f t="shared" si="11"/>
        <v>463</v>
      </c>
      <c r="BL477" s="99">
        <f t="shared" si="12"/>
        <v>0</v>
      </c>
      <c r="BM477" s="99" t="str">
        <f>IFERROR(__xludf.DUMMYFUNCTION("IFERROR(VLOOKUP(BG477,IMPORTRANGE(""https://docs.google.com/spreadsheets/d/1juPI-Fb8LD0YtltB2mlGEnp_R3UVu1t3wSFPzgCyHXE/edit?gid=0#gid=0"",""GERAL!A2:C""),3,0),""-"")"),"-")</f>
        <v>-</v>
      </c>
    </row>
    <row r="478" ht="15.75" customHeight="1">
      <c r="A478" s="111" t="s">
        <v>605</v>
      </c>
      <c r="B478" s="83" t="s">
        <v>1914</v>
      </c>
      <c r="C478" s="83" t="s">
        <v>68</v>
      </c>
      <c r="D478" s="112">
        <v>1176400.0</v>
      </c>
      <c r="E478" s="83"/>
      <c r="F478" s="83">
        <v>2.9370485E7</v>
      </c>
      <c r="G478" s="114" t="s">
        <v>1919</v>
      </c>
      <c r="H478" s="91" t="s">
        <v>1920</v>
      </c>
      <c r="I478" s="83" t="s">
        <v>1921</v>
      </c>
      <c r="J478" s="83" t="s">
        <v>150</v>
      </c>
      <c r="K478" s="83" t="s">
        <v>151</v>
      </c>
      <c r="L478" s="98" t="s">
        <v>76</v>
      </c>
      <c r="M478" s="82" t="str">
        <f>IFERROR(__xludf.DUMMYFUNCTION("IFERROR(VLOOKUP(D478,
IMPORTRANGE(""https://docs.google.com/spreadsheets/d/1MjHtlUikwobi2MaWJgy7tfLeBmhj1u-dRFRs_8GwSoA/edit#gid=0"",""Gestores Escolares!D7:J""),3,0),""VERIFICAR CÓD SEC"")"),"IVONETE LIMA DE ALMEIDA")</f>
        <v>IVONETE LIMA DE ALMEIDA</v>
      </c>
      <c r="N478" s="82" t="str">
        <f>IFERROR(__xludf.DUMMYFUNCTION("IFERROR(VLOOKUP(D478,
IMPORTRANGE(""https://docs.google.com/spreadsheets/d/1MjHtlUikwobi2MaWJgy7tfLeBmhj1u-dRFRs_8GwSoA/edit#gid=0"",""Gestores Escolares!D7:J""),4,0),""VERIFICAR CÓD SEC"")"),"(73) 9 9128-2134")</f>
        <v>(73) 9 9128-2134</v>
      </c>
      <c r="O478" s="82" t="str">
        <f>IFERROR(__xludf.DUMMYFUNCTION("IFERROR(VLOOKUP(D478,
IMPORTRANGE(""https://docs.google.com/spreadsheets/d/1MjHtlUikwobi2MaWJgy7tfLeBmhj1u-dRFRs_8GwSoA/edit#gid=0"",""Gestores Escolares!D7:J""),6,0),""VERIFICAR CÓD SEC"")"),"MARIA MADALENA DA CONCEICAO SANTOS")</f>
        <v>MARIA MADALENA DA CONCEICAO SANTOS</v>
      </c>
      <c r="P478" s="82" t="str">
        <f>IFERROR(__xludf.DUMMYFUNCTION("IFERROR(VLOOKUP(D478,
IMPORTRANGE(""https://docs.google.com/spreadsheets/d/1MjHtlUikwobi2MaWJgy7tfLeBmhj1u-dRFRs_8GwSoA/edit#gid=0"",""Gestores Escolares!D7:J""),7,0),""VERIFICAR CÓD SEC"")"),"(73) 9 9178-2365")</f>
        <v>(73) 9 9178-2365</v>
      </c>
      <c r="Q478" s="82" t="str">
        <f>IFERROR(__xludf.DUMMYFUNCTION("IFERROR(VLOOKUP(D478,
IMPORTRANGE(""https://docs.google.com/spreadsheets/d/1MjHtlUikwobi2MaWJgy7tfLeBmhj1u-dRFRs_8GwSoA/edit#gid=0"",""Gestores Escolares!D7:m""),9,0),""VERIFICAR CÓD SEC"")"),"")</f>
        <v/>
      </c>
      <c r="R478" s="82" t="str">
        <f>IFERROR(__xludf.DUMMYFUNCTION("IFERROR(VLOOKUP(D478,
IMPORTRANGE(""https://docs.google.com/spreadsheets/d/1MjHtlUikwobi2MaWJgy7tfLeBmhj1u-dRFRs_8GwSoA/edit#gid=0"",""Gestores Escolares!D7:m""),10,0),""VERIFICAR CÓD SEC"")"),"")</f>
        <v/>
      </c>
      <c r="S478" s="82"/>
      <c r="T478" s="138">
        <v>11.0</v>
      </c>
      <c r="U478" s="145">
        <v>12.0</v>
      </c>
      <c r="V478" s="106">
        <v>0.0</v>
      </c>
      <c r="W478" s="107">
        <v>0.0</v>
      </c>
      <c r="X478" s="107">
        <v>0.0</v>
      </c>
      <c r="Y478" s="107">
        <v>0.0</v>
      </c>
      <c r="Z478" s="80">
        <f t="shared" si="1"/>
        <v>0</v>
      </c>
      <c r="AA478" s="106">
        <v>0.0</v>
      </c>
      <c r="AB478" s="107">
        <v>0.0</v>
      </c>
      <c r="AC478" s="107">
        <v>0.0</v>
      </c>
      <c r="AD478" s="107">
        <v>0.0</v>
      </c>
      <c r="AE478" s="80">
        <f t="shared" si="2"/>
        <v>0</v>
      </c>
      <c r="AF478" s="140">
        <v>148.0</v>
      </c>
      <c r="AG478" s="109">
        <v>89.0</v>
      </c>
      <c r="AH478" s="109">
        <v>0.0</v>
      </c>
      <c r="AI478" s="141">
        <v>108.0</v>
      </c>
      <c r="AJ478" s="80">
        <f t="shared" si="3"/>
        <v>345</v>
      </c>
      <c r="AK478" s="140">
        <v>0.0</v>
      </c>
      <c r="AL478" s="109">
        <v>0.0</v>
      </c>
      <c r="AM478" s="141">
        <v>0.0</v>
      </c>
      <c r="AN478" s="80">
        <f t="shared" si="4"/>
        <v>0</v>
      </c>
      <c r="AO478" s="140">
        <v>0.0</v>
      </c>
      <c r="AP478" s="109">
        <v>0.0</v>
      </c>
      <c r="AQ478" s="109">
        <v>135.0</v>
      </c>
      <c r="AR478" s="80">
        <f t="shared" si="5"/>
        <v>135</v>
      </c>
      <c r="AS478" s="110">
        <v>0.0</v>
      </c>
      <c r="AT478" s="110">
        <v>0.0</v>
      </c>
      <c r="AU478" s="110">
        <v>0.0</v>
      </c>
      <c r="AV478" s="142">
        <v>0.0</v>
      </c>
      <c r="AW478" s="80">
        <f t="shared" si="6"/>
        <v>0</v>
      </c>
      <c r="AX478" s="113">
        <f t="shared" si="7"/>
        <v>480</v>
      </c>
      <c r="AY478" s="117">
        <f t="shared" si="8"/>
        <v>345</v>
      </c>
      <c r="AZ478" s="120">
        <f t="shared" si="9"/>
        <v>135</v>
      </c>
      <c r="BA478" s="115">
        <v>0.0</v>
      </c>
      <c r="BB478" s="89">
        <f t="shared" si="10"/>
        <v>480</v>
      </c>
      <c r="BC478" s="132" t="s">
        <v>178</v>
      </c>
      <c r="BD478" s="132" t="s">
        <v>178</v>
      </c>
      <c r="BE478" s="132" t="s">
        <v>178</v>
      </c>
      <c r="BF478" s="156"/>
      <c r="BG478" s="83">
        <v>1176400.0</v>
      </c>
      <c r="BH478" s="112"/>
      <c r="BI478" s="112">
        <v>11.0</v>
      </c>
      <c r="BJ478" s="98" t="s">
        <v>155</v>
      </c>
      <c r="BK478" s="99">
        <f t="shared" si="11"/>
        <v>108</v>
      </c>
      <c r="BL478" s="99">
        <f t="shared" si="12"/>
        <v>237</v>
      </c>
      <c r="BM478" s="99" t="str">
        <f>IFERROR(__xludf.DUMMYFUNCTION("IFERROR(VLOOKUP(BG478,IMPORTRANGE(""https://docs.google.com/spreadsheets/d/1juPI-Fb8LD0YtltB2mlGEnp_R3UVu1t3wSFPzgCyHXE/edit?gid=0#gid=0"",""GERAL!A2:C""),3,0),""-"")"),"-")</f>
        <v>-</v>
      </c>
    </row>
    <row r="479" ht="15.75" customHeight="1">
      <c r="A479" s="111" t="s">
        <v>605</v>
      </c>
      <c r="B479" s="83" t="s">
        <v>1914</v>
      </c>
      <c r="C479" s="83" t="s">
        <v>68</v>
      </c>
      <c r="D479" s="112">
        <v>1178109.0</v>
      </c>
      <c r="E479" s="83"/>
      <c r="F479" s="83">
        <v>2.9446651E7</v>
      </c>
      <c r="G479" s="114" t="s">
        <v>1923</v>
      </c>
      <c r="H479" s="91" t="s">
        <v>1924</v>
      </c>
      <c r="I479" s="83" t="s">
        <v>1925</v>
      </c>
      <c r="J479" s="83" t="s">
        <v>150</v>
      </c>
      <c r="K479" s="83" t="s">
        <v>151</v>
      </c>
      <c r="L479" s="98" t="s">
        <v>230</v>
      </c>
      <c r="M479" s="82" t="str">
        <f>IFERROR(__xludf.DUMMYFUNCTION("IFERROR(VLOOKUP(D479,
IMPORTRANGE(""https://docs.google.com/spreadsheets/d/1MjHtlUikwobi2MaWJgy7tfLeBmhj1u-dRFRs_8GwSoA/edit#gid=0"",""Gestores Escolares!D7:J""),3,0),""VERIFICAR CÓD SEC"")"),"ERLEI GOMES FERRARI")</f>
        <v>ERLEI GOMES FERRARI</v>
      </c>
      <c r="N479" s="82" t="str">
        <f>IFERROR(__xludf.DUMMYFUNCTION("IFERROR(VLOOKUP(D479,
IMPORTRANGE(""https://docs.google.com/spreadsheets/d/1MjHtlUikwobi2MaWJgy7tfLeBmhj1u-dRFRs_8GwSoA/edit#gid=0"",""Gestores Escolares!D7:J""),4,0),""VERIFICAR CÓD SEC"")")," (73) 9 9953-0580")</f>
        <v> (73) 9 9953-0580</v>
      </c>
      <c r="O479" s="82" t="str">
        <f>IFERROR(__xludf.DUMMYFUNCTION("IFERROR(VLOOKUP(D479,
IMPORTRANGE(""https://docs.google.com/spreadsheets/d/1MjHtlUikwobi2MaWJgy7tfLeBmhj1u-dRFRs_8GwSoA/edit#gid=0"",""Gestores Escolares!D7:J""),6,0),""VERIFICAR CÓD SEC"")"),"FELIPE PIRES CAITITE")</f>
        <v>FELIPE PIRES CAITITE</v>
      </c>
      <c r="P479" s="82" t="str">
        <f>IFERROR(__xludf.DUMMYFUNCTION("IFERROR(VLOOKUP(D479,
IMPORTRANGE(""https://docs.google.com/spreadsheets/d/1MjHtlUikwobi2MaWJgy7tfLeBmhj1u-dRFRs_8GwSoA/edit#gid=0"",""Gestores Escolares!D7:J""),7,0),""VERIFICAR CÓD SEC"")"),"(77) 9 8123-4057/
(73) 9 8195-2038")</f>
        <v>(77) 9 8123-4057/
(73) 9 8195-2038</v>
      </c>
      <c r="Q479" s="82" t="str">
        <f>IFERROR(__xludf.DUMMYFUNCTION("IFERROR(VLOOKUP(D479,
IMPORTRANGE(""https://docs.google.com/spreadsheets/d/1MjHtlUikwobi2MaWJgy7tfLeBmhj1u-dRFRs_8GwSoA/edit#gid=0"",""Gestores Escolares!D7:m""),9,0),""VERIFICAR CÓD SEC"")"),"")</f>
        <v/>
      </c>
      <c r="R479" s="82" t="str">
        <f>IFERROR(__xludf.DUMMYFUNCTION("IFERROR(VLOOKUP(D479,
IMPORTRANGE(""https://docs.google.com/spreadsheets/d/1MjHtlUikwobi2MaWJgy7tfLeBmhj1u-dRFRs_8GwSoA/edit#gid=0"",""Gestores Escolares!D7:m""),10,0),""VERIFICAR CÓD SEC"")"),"")</f>
        <v/>
      </c>
      <c r="S479" s="82"/>
      <c r="T479" s="138">
        <v>13.0</v>
      </c>
      <c r="U479" s="145">
        <v>17.0</v>
      </c>
      <c r="V479" s="106">
        <v>0.0</v>
      </c>
      <c r="W479" s="107">
        <v>0.0</v>
      </c>
      <c r="X479" s="107">
        <v>0.0</v>
      </c>
      <c r="Y479" s="107">
        <v>0.0</v>
      </c>
      <c r="Z479" s="80">
        <f t="shared" si="1"/>
        <v>0</v>
      </c>
      <c r="AA479" s="106">
        <v>0.0</v>
      </c>
      <c r="AB479" s="107">
        <v>0.0</v>
      </c>
      <c r="AC479" s="107">
        <v>0.0</v>
      </c>
      <c r="AD479" s="107">
        <v>0.0</v>
      </c>
      <c r="AE479" s="80">
        <f t="shared" si="2"/>
        <v>0</v>
      </c>
      <c r="AF479" s="140">
        <v>45.0</v>
      </c>
      <c r="AG479" s="109">
        <v>0.0</v>
      </c>
      <c r="AH479" s="109">
        <v>0.0</v>
      </c>
      <c r="AI479" s="141">
        <v>697.0</v>
      </c>
      <c r="AJ479" s="80">
        <f t="shared" si="3"/>
        <v>742</v>
      </c>
      <c r="AK479" s="140">
        <v>0.0</v>
      </c>
      <c r="AL479" s="109">
        <v>0.0</v>
      </c>
      <c r="AM479" s="141">
        <v>0.0</v>
      </c>
      <c r="AN479" s="80">
        <f t="shared" si="4"/>
        <v>0</v>
      </c>
      <c r="AO479" s="140">
        <v>0.0</v>
      </c>
      <c r="AP479" s="109">
        <v>0.0</v>
      </c>
      <c r="AQ479" s="109">
        <v>0.0</v>
      </c>
      <c r="AR479" s="80">
        <f t="shared" si="5"/>
        <v>0</v>
      </c>
      <c r="AS479" s="110">
        <v>0.0</v>
      </c>
      <c r="AT479" s="110">
        <v>0.0</v>
      </c>
      <c r="AU479" s="110">
        <v>0.0</v>
      </c>
      <c r="AV479" s="142">
        <v>0.0</v>
      </c>
      <c r="AW479" s="80">
        <f t="shared" si="6"/>
        <v>0</v>
      </c>
      <c r="AX479" s="113">
        <f t="shared" si="7"/>
        <v>742</v>
      </c>
      <c r="AY479" s="117">
        <f t="shared" si="8"/>
        <v>742</v>
      </c>
      <c r="AZ479" s="120">
        <f t="shared" si="9"/>
        <v>0</v>
      </c>
      <c r="BA479" s="115">
        <v>0.0</v>
      </c>
      <c r="BB479" s="89">
        <f t="shared" si="10"/>
        <v>742</v>
      </c>
      <c r="BC479" s="132" t="s">
        <v>178</v>
      </c>
      <c r="BD479" s="132" t="s">
        <v>178</v>
      </c>
      <c r="BE479" s="132" t="s">
        <v>178</v>
      </c>
      <c r="BF479" s="123"/>
      <c r="BG479" s="83">
        <v>1178109.0</v>
      </c>
      <c r="BH479" s="112"/>
      <c r="BI479" s="112">
        <v>13.0</v>
      </c>
      <c r="BJ479" s="98" t="s">
        <v>155</v>
      </c>
      <c r="BK479" s="99">
        <f t="shared" si="11"/>
        <v>697</v>
      </c>
      <c r="BL479" s="99">
        <f t="shared" si="12"/>
        <v>45</v>
      </c>
      <c r="BM479" s="99" t="str">
        <f>IFERROR(__xludf.DUMMYFUNCTION("IFERROR(VLOOKUP(BG479,IMPORTRANGE(""https://docs.google.com/spreadsheets/d/1juPI-Fb8LD0YtltB2mlGEnp_R3UVu1t3wSFPzgCyHXE/edit?gid=0#gid=0"",""GERAL!A2:C""),3,0),""-"")"),"-")</f>
        <v>-</v>
      </c>
    </row>
    <row r="480" ht="15.75" customHeight="1">
      <c r="A480" s="111" t="s">
        <v>605</v>
      </c>
      <c r="B480" s="83" t="s">
        <v>1914</v>
      </c>
      <c r="C480" s="83" t="s">
        <v>164</v>
      </c>
      <c r="D480" s="112">
        <v>1179713.0</v>
      </c>
      <c r="E480" s="83">
        <v>1178518.0</v>
      </c>
      <c r="F480" s="98">
        <v>2.9483247E7</v>
      </c>
      <c r="G480" s="119" t="s">
        <v>1927</v>
      </c>
      <c r="H480" s="91" t="s">
        <v>1928</v>
      </c>
      <c r="I480" s="83" t="s">
        <v>149</v>
      </c>
      <c r="J480" s="83" t="s">
        <v>890</v>
      </c>
      <c r="K480" s="83" t="s">
        <v>168</v>
      </c>
      <c r="L480" s="83" t="s">
        <v>152</v>
      </c>
      <c r="M480" s="82" t="str">
        <f>IFERROR(__xludf.DUMMYFUNCTION("IFERROR(VLOOKUP(D480,
IMPORTRANGE(""https://docs.google.com/spreadsheets/d/1MjHtlUikwobi2MaWJgy7tfLeBmhj1u-dRFRs_8GwSoA/edit#gid=0"",""Gestores Escolares!D7:J""),3,0),""VERIFICAR CÓD SEC"")"),"MARIA DIAS ASSUNCAO")</f>
        <v>MARIA DIAS ASSUNCAO</v>
      </c>
      <c r="N480" s="82" t="str">
        <f>IFERROR(__xludf.DUMMYFUNCTION("IFERROR(VLOOKUP(D480,
IMPORTRANGE(""https://docs.google.com/spreadsheets/d/1MjHtlUikwobi2MaWJgy7tfLeBmhj1u-dRFRs_8GwSoA/edit#gid=0"",""Gestores Escolares!D7:J""),4,0),""VERIFICAR CÓD SEC"")"),"(73) 9 9961-2626")</f>
        <v>(73) 9 9961-2626</v>
      </c>
      <c r="O480" s="82" t="str">
        <f>IFERROR(__xludf.DUMMYFUNCTION("IFERROR(VLOOKUP(D480,
IMPORTRANGE(""https://docs.google.com/spreadsheets/d/1MjHtlUikwobi2MaWJgy7tfLeBmhj1u-dRFRs_8GwSoA/edit#gid=0"",""Gestores Escolares!D7:J""),6,0),""VERIFICAR CÓD SEC"")"),"FERNANDA AURELINO INOCENCIO")</f>
        <v>FERNANDA AURELINO INOCENCIO</v>
      </c>
      <c r="P480" s="82" t="str">
        <f>IFERROR(__xludf.DUMMYFUNCTION("IFERROR(VLOOKUP(D480,
IMPORTRANGE(""https://docs.google.com/spreadsheets/d/1MjHtlUikwobi2MaWJgy7tfLeBmhj1u-dRFRs_8GwSoA/edit#gid=0"",""Gestores Escolares!D7:J""),7,0),""VERIFICAR CÓD SEC"")"),"(73) 9 9823-1075")</f>
        <v>(73) 9 9823-1075</v>
      </c>
      <c r="Q480" s="82" t="str">
        <f>IFERROR(__xludf.DUMMYFUNCTION("IFERROR(VLOOKUP(D480,
IMPORTRANGE(""https://docs.google.com/spreadsheets/d/1MjHtlUikwobi2MaWJgy7tfLeBmhj1u-dRFRs_8GwSoA/edit#gid=0"",""Gestores Escolares!D7:m""),9,0),""VERIFICAR CÓD SEC"")"),"")</f>
        <v/>
      </c>
      <c r="R480" s="82" t="str">
        <f>IFERROR(__xludf.DUMMYFUNCTION("IFERROR(VLOOKUP(D480,
IMPORTRANGE(""https://docs.google.com/spreadsheets/d/1MjHtlUikwobi2MaWJgy7tfLeBmhj1u-dRFRs_8GwSoA/edit#gid=0"",""Gestores Escolares!D7:m""),10,0),""VERIFICAR CÓD SEC"")"),"")</f>
        <v/>
      </c>
      <c r="S480" s="82"/>
      <c r="T480" s="138">
        <v>3.0</v>
      </c>
      <c r="U480" s="139">
        <v>4.0</v>
      </c>
      <c r="V480" s="106">
        <v>0.0</v>
      </c>
      <c r="W480" s="107">
        <v>0.0</v>
      </c>
      <c r="X480" s="107">
        <v>0.0</v>
      </c>
      <c r="Y480" s="107">
        <v>0.0</v>
      </c>
      <c r="Z480" s="80">
        <f t="shared" si="1"/>
        <v>0</v>
      </c>
      <c r="AA480" s="106">
        <v>0.0</v>
      </c>
      <c r="AB480" s="107">
        <v>0.0</v>
      </c>
      <c r="AC480" s="107">
        <v>0.0</v>
      </c>
      <c r="AD480" s="107">
        <v>0.0</v>
      </c>
      <c r="AE480" s="80">
        <f t="shared" si="2"/>
        <v>0</v>
      </c>
      <c r="AF480" s="140">
        <v>0.0</v>
      </c>
      <c r="AG480" s="109">
        <v>0.0</v>
      </c>
      <c r="AH480" s="109">
        <v>39.0</v>
      </c>
      <c r="AI480" s="141">
        <v>0.0</v>
      </c>
      <c r="AJ480" s="80">
        <f t="shared" si="3"/>
        <v>39</v>
      </c>
      <c r="AK480" s="140">
        <v>0.0</v>
      </c>
      <c r="AL480" s="109">
        <v>0.0</v>
      </c>
      <c r="AM480" s="141">
        <v>0.0</v>
      </c>
      <c r="AN480" s="80">
        <f t="shared" si="4"/>
        <v>0</v>
      </c>
      <c r="AO480" s="140">
        <v>0.0</v>
      </c>
      <c r="AP480" s="109">
        <v>0.0</v>
      </c>
      <c r="AQ480" s="109">
        <v>0.0</v>
      </c>
      <c r="AR480" s="80">
        <f t="shared" si="5"/>
        <v>0</v>
      </c>
      <c r="AS480" s="110">
        <v>0.0</v>
      </c>
      <c r="AT480" s="110">
        <v>0.0</v>
      </c>
      <c r="AU480" s="110">
        <v>0.0</v>
      </c>
      <c r="AV480" s="142">
        <v>0.0</v>
      </c>
      <c r="AW480" s="80">
        <f t="shared" si="6"/>
        <v>0</v>
      </c>
      <c r="AX480" s="113">
        <f t="shared" si="7"/>
        <v>39</v>
      </c>
      <c r="AY480" s="117">
        <f t="shared" si="8"/>
        <v>0</v>
      </c>
      <c r="AZ480" s="120">
        <f t="shared" si="9"/>
        <v>39</v>
      </c>
      <c r="BA480" s="115">
        <v>0.0</v>
      </c>
      <c r="BB480" s="89">
        <f t="shared" si="10"/>
        <v>39</v>
      </c>
      <c r="BC480" s="132" t="s">
        <v>373</v>
      </c>
      <c r="BD480" s="132" t="s">
        <v>178</v>
      </c>
      <c r="BE480" s="132" t="s">
        <v>178</v>
      </c>
      <c r="BF480" s="123"/>
      <c r="BG480" s="83">
        <v>1178518.0</v>
      </c>
      <c r="BH480" s="112"/>
      <c r="BI480" s="112">
        <v>4.0</v>
      </c>
      <c r="BJ480" s="98" t="s">
        <v>155</v>
      </c>
      <c r="BK480" s="99">
        <f t="shared" si="11"/>
        <v>0</v>
      </c>
      <c r="BL480" s="99">
        <f t="shared" si="12"/>
        <v>0</v>
      </c>
      <c r="BM480" s="99" t="str">
        <f>IFERROR(__xludf.DUMMYFUNCTION("IFERROR(VLOOKUP(BG480,IMPORTRANGE(""https://docs.google.com/spreadsheets/d/1juPI-Fb8LD0YtltB2mlGEnp_R3UVu1t3wSFPzgCyHXE/edit?gid=0#gid=0"",""GERAL!A2:C""),3,0),""-"")"),"CAMPO")</f>
        <v>CAMPO</v>
      </c>
    </row>
    <row r="481" ht="15.75" customHeight="1">
      <c r="A481" s="111" t="s">
        <v>605</v>
      </c>
      <c r="B481" s="83" t="s">
        <v>1914</v>
      </c>
      <c r="C481" s="83" t="s">
        <v>164</v>
      </c>
      <c r="D481" s="112">
        <v>1179713.0</v>
      </c>
      <c r="E481" s="83">
        <v>1178519.0</v>
      </c>
      <c r="F481" s="98">
        <v>2.9483247E7</v>
      </c>
      <c r="G481" s="119" t="s">
        <v>1929</v>
      </c>
      <c r="H481" s="91" t="s">
        <v>1930</v>
      </c>
      <c r="I481" s="83" t="s">
        <v>149</v>
      </c>
      <c r="J481" s="83" t="s">
        <v>1931</v>
      </c>
      <c r="K481" s="83" t="s">
        <v>168</v>
      </c>
      <c r="L481" s="83" t="s">
        <v>152</v>
      </c>
      <c r="M481" s="82" t="str">
        <f>IFERROR(__xludf.DUMMYFUNCTION("IFERROR(VLOOKUP(D481,
IMPORTRANGE(""https://docs.google.com/spreadsheets/d/1MjHtlUikwobi2MaWJgy7tfLeBmhj1u-dRFRs_8GwSoA/edit#gid=0"",""Gestores Escolares!D7:J""),3,0),""VERIFICAR CÓD SEC"")"),"MARIA DIAS ASSUNCAO")</f>
        <v>MARIA DIAS ASSUNCAO</v>
      </c>
      <c r="N481" s="82" t="str">
        <f>IFERROR(__xludf.DUMMYFUNCTION("IFERROR(VLOOKUP(D481,
IMPORTRANGE(""https://docs.google.com/spreadsheets/d/1MjHtlUikwobi2MaWJgy7tfLeBmhj1u-dRFRs_8GwSoA/edit#gid=0"",""Gestores Escolares!D7:J""),4,0),""VERIFICAR CÓD SEC"")"),"(73) 9 9961-2626")</f>
        <v>(73) 9 9961-2626</v>
      </c>
      <c r="O481" s="82" t="str">
        <f>IFERROR(__xludf.DUMMYFUNCTION("IFERROR(VLOOKUP(D481,
IMPORTRANGE(""https://docs.google.com/spreadsheets/d/1MjHtlUikwobi2MaWJgy7tfLeBmhj1u-dRFRs_8GwSoA/edit#gid=0"",""Gestores Escolares!D7:J""),6,0),""VERIFICAR CÓD SEC"")"),"FERNANDA AURELINO INOCENCIO")</f>
        <v>FERNANDA AURELINO INOCENCIO</v>
      </c>
      <c r="P481" s="82" t="str">
        <f>IFERROR(__xludf.DUMMYFUNCTION("IFERROR(VLOOKUP(D481,
IMPORTRANGE(""https://docs.google.com/spreadsheets/d/1MjHtlUikwobi2MaWJgy7tfLeBmhj1u-dRFRs_8GwSoA/edit#gid=0"",""Gestores Escolares!D7:J""),7,0),""VERIFICAR CÓD SEC"")"),"(73) 9 9823-1075")</f>
        <v>(73) 9 9823-1075</v>
      </c>
      <c r="Q481" s="82" t="str">
        <f>IFERROR(__xludf.DUMMYFUNCTION("IFERROR(VLOOKUP(D481,
IMPORTRANGE(""https://docs.google.com/spreadsheets/d/1MjHtlUikwobi2MaWJgy7tfLeBmhj1u-dRFRs_8GwSoA/edit#gid=0"",""Gestores Escolares!D7:m""),9,0),""VERIFICAR CÓD SEC"")"),"")</f>
        <v/>
      </c>
      <c r="R481" s="82" t="str">
        <f>IFERROR(__xludf.DUMMYFUNCTION("IFERROR(VLOOKUP(D481,
IMPORTRANGE(""https://docs.google.com/spreadsheets/d/1MjHtlUikwobi2MaWJgy7tfLeBmhj1u-dRFRs_8GwSoA/edit#gid=0"",""Gestores Escolares!D7:m""),10,0),""VERIFICAR CÓD SEC"")"),"")</f>
        <v/>
      </c>
      <c r="S481" s="82"/>
      <c r="T481" s="138">
        <v>3.0</v>
      </c>
      <c r="U481" s="139">
        <v>5.0</v>
      </c>
      <c r="V481" s="106">
        <v>0.0</v>
      </c>
      <c r="W481" s="107">
        <v>0.0</v>
      </c>
      <c r="X481" s="107">
        <v>0.0</v>
      </c>
      <c r="Y481" s="107">
        <v>0.0</v>
      </c>
      <c r="Z481" s="80">
        <f t="shared" si="1"/>
        <v>0</v>
      </c>
      <c r="AA481" s="106">
        <v>0.0</v>
      </c>
      <c r="AB481" s="107">
        <v>0.0</v>
      </c>
      <c r="AC481" s="107">
        <v>0.0</v>
      </c>
      <c r="AD481" s="107">
        <v>0.0</v>
      </c>
      <c r="AE481" s="80">
        <f t="shared" si="2"/>
        <v>0</v>
      </c>
      <c r="AF481" s="140">
        <v>0.0</v>
      </c>
      <c r="AG481" s="109">
        <v>0.0</v>
      </c>
      <c r="AH481" s="109">
        <v>35.0</v>
      </c>
      <c r="AI481" s="141">
        <v>0.0</v>
      </c>
      <c r="AJ481" s="80">
        <f t="shared" si="3"/>
        <v>35</v>
      </c>
      <c r="AK481" s="140">
        <v>0.0</v>
      </c>
      <c r="AL481" s="109">
        <v>0.0</v>
      </c>
      <c r="AM481" s="141">
        <v>0.0</v>
      </c>
      <c r="AN481" s="80">
        <f t="shared" si="4"/>
        <v>0</v>
      </c>
      <c r="AO481" s="140">
        <v>0.0</v>
      </c>
      <c r="AP481" s="109">
        <v>0.0</v>
      </c>
      <c r="AQ481" s="109">
        <v>0.0</v>
      </c>
      <c r="AR481" s="80">
        <f t="shared" si="5"/>
        <v>0</v>
      </c>
      <c r="AS481" s="110">
        <v>0.0</v>
      </c>
      <c r="AT481" s="110">
        <v>0.0</v>
      </c>
      <c r="AU481" s="110">
        <v>0.0</v>
      </c>
      <c r="AV481" s="142">
        <v>0.0</v>
      </c>
      <c r="AW481" s="80">
        <f t="shared" si="6"/>
        <v>0</v>
      </c>
      <c r="AX481" s="113">
        <f t="shared" si="7"/>
        <v>35</v>
      </c>
      <c r="AY481" s="117">
        <f t="shared" si="8"/>
        <v>0</v>
      </c>
      <c r="AZ481" s="120">
        <f t="shared" si="9"/>
        <v>35</v>
      </c>
      <c r="BA481" s="115">
        <v>0.0</v>
      </c>
      <c r="BB481" s="89">
        <f t="shared" si="10"/>
        <v>35</v>
      </c>
      <c r="BC481" s="132" t="s">
        <v>373</v>
      </c>
      <c r="BD481" s="143" t="s">
        <v>227</v>
      </c>
      <c r="BE481" s="132" t="s">
        <v>178</v>
      </c>
      <c r="BF481" s="123"/>
      <c r="BG481" s="83">
        <v>1178519.0</v>
      </c>
      <c r="BH481" s="112"/>
      <c r="BI481" s="112">
        <v>5.0</v>
      </c>
      <c r="BJ481" s="98" t="s">
        <v>155</v>
      </c>
      <c r="BK481" s="99">
        <f t="shared" si="11"/>
        <v>0</v>
      </c>
      <c r="BL481" s="99">
        <f t="shared" si="12"/>
        <v>0</v>
      </c>
      <c r="BM481" s="99" t="str">
        <f>IFERROR(__xludf.DUMMYFUNCTION("IFERROR(VLOOKUP(BG481,IMPORTRANGE(""https://docs.google.com/spreadsheets/d/1juPI-Fb8LD0YtltB2mlGEnp_R3UVu1t3wSFPzgCyHXE/edit?gid=0#gid=0"",""GERAL!A2:C""),3,0),""-"")"),"CAMPO")</f>
        <v>CAMPO</v>
      </c>
    </row>
    <row r="482" ht="15.75" customHeight="1">
      <c r="A482" s="111" t="s">
        <v>605</v>
      </c>
      <c r="B482" s="83" t="s">
        <v>1914</v>
      </c>
      <c r="C482" s="83" t="s">
        <v>164</v>
      </c>
      <c r="D482" s="112">
        <v>1179713.0</v>
      </c>
      <c r="E482" s="83">
        <v>1178526.0</v>
      </c>
      <c r="F482" s="98">
        <v>2.9483247E7</v>
      </c>
      <c r="G482" s="119" t="s">
        <v>1932</v>
      </c>
      <c r="H482" s="91" t="s">
        <v>1933</v>
      </c>
      <c r="I482" s="83" t="s">
        <v>149</v>
      </c>
      <c r="J482" s="83" t="s">
        <v>568</v>
      </c>
      <c r="K482" s="83" t="s">
        <v>168</v>
      </c>
      <c r="L482" s="83" t="s">
        <v>152</v>
      </c>
      <c r="M482" s="82" t="str">
        <f>IFERROR(__xludf.DUMMYFUNCTION("IFERROR(VLOOKUP(D482,
IMPORTRANGE(""https://docs.google.com/spreadsheets/d/1MjHtlUikwobi2MaWJgy7tfLeBmhj1u-dRFRs_8GwSoA/edit#gid=0"",""Gestores Escolares!D7:J""),3,0),""VERIFICAR CÓD SEC"")"),"MARIA DIAS ASSUNCAO")</f>
        <v>MARIA DIAS ASSUNCAO</v>
      </c>
      <c r="N482" s="82" t="str">
        <f>IFERROR(__xludf.DUMMYFUNCTION("IFERROR(VLOOKUP(D482,
IMPORTRANGE(""https://docs.google.com/spreadsheets/d/1MjHtlUikwobi2MaWJgy7tfLeBmhj1u-dRFRs_8GwSoA/edit#gid=0"",""Gestores Escolares!D7:J""),4,0),""VERIFICAR CÓD SEC"")"),"(73) 9 9961-2626")</f>
        <v>(73) 9 9961-2626</v>
      </c>
      <c r="O482" s="82" t="str">
        <f>IFERROR(__xludf.DUMMYFUNCTION("IFERROR(VLOOKUP(D482,
IMPORTRANGE(""https://docs.google.com/spreadsheets/d/1MjHtlUikwobi2MaWJgy7tfLeBmhj1u-dRFRs_8GwSoA/edit#gid=0"",""Gestores Escolares!D7:J""),6,0),""VERIFICAR CÓD SEC"")"),"FERNANDA AURELINO INOCENCIO")</f>
        <v>FERNANDA AURELINO INOCENCIO</v>
      </c>
      <c r="P482" s="82" t="str">
        <f>IFERROR(__xludf.DUMMYFUNCTION("IFERROR(VLOOKUP(D482,
IMPORTRANGE(""https://docs.google.com/spreadsheets/d/1MjHtlUikwobi2MaWJgy7tfLeBmhj1u-dRFRs_8GwSoA/edit#gid=0"",""Gestores Escolares!D7:J""),7,0),""VERIFICAR CÓD SEC"")"),"(73) 9 9823-1075")</f>
        <v>(73) 9 9823-1075</v>
      </c>
      <c r="Q482" s="82" t="str">
        <f>IFERROR(__xludf.DUMMYFUNCTION("IFERROR(VLOOKUP(D482,
IMPORTRANGE(""https://docs.google.com/spreadsheets/d/1MjHtlUikwobi2MaWJgy7tfLeBmhj1u-dRFRs_8GwSoA/edit#gid=0"",""Gestores Escolares!D7:m""),9,0),""VERIFICAR CÓD SEC"")"),"")</f>
        <v/>
      </c>
      <c r="R482" s="82" t="str">
        <f>IFERROR(__xludf.DUMMYFUNCTION("IFERROR(VLOOKUP(D482,
IMPORTRANGE(""https://docs.google.com/spreadsheets/d/1MjHtlUikwobi2MaWJgy7tfLeBmhj1u-dRFRs_8GwSoA/edit#gid=0"",""Gestores Escolares!D7:m""),10,0),""VERIFICAR CÓD SEC"")"),"")</f>
        <v/>
      </c>
      <c r="S482" s="82"/>
      <c r="T482" s="138">
        <v>3.0</v>
      </c>
      <c r="U482" s="139">
        <v>4.0</v>
      </c>
      <c r="V482" s="106">
        <v>0.0</v>
      </c>
      <c r="W482" s="107">
        <v>0.0</v>
      </c>
      <c r="X482" s="107">
        <v>0.0</v>
      </c>
      <c r="Y482" s="107">
        <v>0.0</v>
      </c>
      <c r="Z482" s="80">
        <f t="shared" si="1"/>
        <v>0</v>
      </c>
      <c r="AA482" s="106">
        <v>0.0</v>
      </c>
      <c r="AB482" s="107">
        <v>0.0</v>
      </c>
      <c r="AC482" s="107">
        <v>0.0</v>
      </c>
      <c r="AD482" s="107">
        <v>0.0</v>
      </c>
      <c r="AE482" s="80">
        <f t="shared" si="2"/>
        <v>0</v>
      </c>
      <c r="AF482" s="140">
        <v>0.0</v>
      </c>
      <c r="AG482" s="109">
        <v>0.0</v>
      </c>
      <c r="AH482" s="109">
        <v>19.0</v>
      </c>
      <c r="AI482" s="141">
        <v>0.0</v>
      </c>
      <c r="AJ482" s="80">
        <f t="shared" si="3"/>
        <v>19</v>
      </c>
      <c r="AK482" s="140">
        <v>0.0</v>
      </c>
      <c r="AL482" s="109">
        <v>0.0</v>
      </c>
      <c r="AM482" s="141">
        <v>0.0</v>
      </c>
      <c r="AN482" s="80">
        <f t="shared" si="4"/>
        <v>0</v>
      </c>
      <c r="AO482" s="140">
        <v>0.0</v>
      </c>
      <c r="AP482" s="109">
        <v>0.0</v>
      </c>
      <c r="AQ482" s="109">
        <v>0.0</v>
      </c>
      <c r="AR482" s="80">
        <f t="shared" si="5"/>
        <v>0</v>
      </c>
      <c r="AS482" s="110">
        <v>0.0</v>
      </c>
      <c r="AT482" s="110">
        <v>0.0</v>
      </c>
      <c r="AU482" s="110">
        <v>0.0</v>
      </c>
      <c r="AV482" s="142">
        <v>0.0</v>
      </c>
      <c r="AW482" s="80">
        <f t="shared" si="6"/>
        <v>0</v>
      </c>
      <c r="AX482" s="113">
        <f t="shared" si="7"/>
        <v>19</v>
      </c>
      <c r="AY482" s="117">
        <f t="shared" si="8"/>
        <v>0</v>
      </c>
      <c r="AZ482" s="120">
        <f t="shared" si="9"/>
        <v>19</v>
      </c>
      <c r="BA482" s="115">
        <v>0.0</v>
      </c>
      <c r="BB482" s="89">
        <f t="shared" si="10"/>
        <v>19</v>
      </c>
      <c r="BC482" s="132" t="s">
        <v>373</v>
      </c>
      <c r="BD482" s="143" t="s">
        <v>227</v>
      </c>
      <c r="BE482" s="132" t="s">
        <v>178</v>
      </c>
      <c r="BF482" s="123"/>
      <c r="BG482" s="83">
        <v>1178526.0</v>
      </c>
      <c r="BH482" s="112"/>
      <c r="BI482" s="112">
        <v>4.0</v>
      </c>
      <c r="BJ482" s="98" t="s">
        <v>155</v>
      </c>
      <c r="BK482" s="99">
        <f t="shared" si="11"/>
        <v>0</v>
      </c>
      <c r="BL482" s="99">
        <f t="shared" si="12"/>
        <v>0</v>
      </c>
      <c r="BM482" s="99" t="str">
        <f>IFERROR(__xludf.DUMMYFUNCTION("IFERROR(VLOOKUP(BG482,IMPORTRANGE(""https://docs.google.com/spreadsheets/d/1juPI-Fb8LD0YtltB2mlGEnp_R3UVu1t3wSFPzgCyHXE/edit?gid=0#gid=0"",""GERAL!A2:C""),3,0),""-"")"),"CAMPO")</f>
        <v>CAMPO</v>
      </c>
    </row>
    <row r="483" ht="15.75" customHeight="1">
      <c r="A483" s="111" t="s">
        <v>605</v>
      </c>
      <c r="B483" s="83" t="s">
        <v>1914</v>
      </c>
      <c r="C483" s="83" t="s">
        <v>164</v>
      </c>
      <c r="D483" s="112">
        <v>1179713.0</v>
      </c>
      <c r="E483" s="83">
        <v>1178525.0</v>
      </c>
      <c r="F483" s="98">
        <v>2.9483247E7</v>
      </c>
      <c r="G483" s="119" t="s">
        <v>1934</v>
      </c>
      <c r="H483" s="91" t="s">
        <v>1935</v>
      </c>
      <c r="I483" s="83" t="s">
        <v>149</v>
      </c>
      <c r="J483" s="83" t="s">
        <v>1936</v>
      </c>
      <c r="K483" s="83" t="s">
        <v>168</v>
      </c>
      <c r="L483" s="83" t="s">
        <v>152</v>
      </c>
      <c r="M483" s="82" t="str">
        <f>IFERROR(__xludf.DUMMYFUNCTION("IFERROR(VLOOKUP(D483,
IMPORTRANGE(""https://docs.google.com/spreadsheets/d/1MjHtlUikwobi2MaWJgy7tfLeBmhj1u-dRFRs_8GwSoA/edit#gid=0"",""Gestores Escolares!D7:J""),3,0),""VERIFICAR CÓD SEC"")"),"MARIA DIAS ASSUNCAO")</f>
        <v>MARIA DIAS ASSUNCAO</v>
      </c>
      <c r="N483" s="82" t="str">
        <f>IFERROR(__xludf.DUMMYFUNCTION("IFERROR(VLOOKUP(D483,
IMPORTRANGE(""https://docs.google.com/spreadsheets/d/1MjHtlUikwobi2MaWJgy7tfLeBmhj1u-dRFRs_8GwSoA/edit#gid=0"",""Gestores Escolares!D7:J""),4,0),""VERIFICAR CÓD SEC"")"),"(73) 9 9961-2626")</f>
        <v>(73) 9 9961-2626</v>
      </c>
      <c r="O483" s="82" t="str">
        <f>IFERROR(__xludf.DUMMYFUNCTION("IFERROR(VLOOKUP(D483,
IMPORTRANGE(""https://docs.google.com/spreadsheets/d/1MjHtlUikwobi2MaWJgy7tfLeBmhj1u-dRFRs_8GwSoA/edit#gid=0"",""Gestores Escolares!D7:J""),6,0),""VERIFICAR CÓD SEC"")"),"FERNANDA AURELINO INOCENCIO")</f>
        <v>FERNANDA AURELINO INOCENCIO</v>
      </c>
      <c r="P483" s="82" t="str">
        <f>IFERROR(__xludf.DUMMYFUNCTION("IFERROR(VLOOKUP(D483,
IMPORTRANGE(""https://docs.google.com/spreadsheets/d/1MjHtlUikwobi2MaWJgy7tfLeBmhj1u-dRFRs_8GwSoA/edit#gid=0"",""Gestores Escolares!D7:J""),7,0),""VERIFICAR CÓD SEC"")"),"(73) 9 9823-1075")</f>
        <v>(73) 9 9823-1075</v>
      </c>
      <c r="Q483" s="82" t="str">
        <f>IFERROR(__xludf.DUMMYFUNCTION("IFERROR(VLOOKUP(D483,
IMPORTRANGE(""https://docs.google.com/spreadsheets/d/1MjHtlUikwobi2MaWJgy7tfLeBmhj1u-dRFRs_8GwSoA/edit#gid=0"",""Gestores Escolares!D7:m""),9,0),""VERIFICAR CÓD SEC"")"),"")</f>
        <v/>
      </c>
      <c r="R483" s="82" t="str">
        <f>IFERROR(__xludf.DUMMYFUNCTION("IFERROR(VLOOKUP(D483,
IMPORTRANGE(""https://docs.google.com/spreadsheets/d/1MjHtlUikwobi2MaWJgy7tfLeBmhj1u-dRFRs_8GwSoA/edit#gid=0"",""Gestores Escolares!D7:m""),10,0),""VERIFICAR CÓD SEC"")"),"")</f>
        <v/>
      </c>
      <c r="S483" s="82"/>
      <c r="T483" s="138">
        <v>3.0</v>
      </c>
      <c r="U483" s="139">
        <v>4.0</v>
      </c>
      <c r="V483" s="106">
        <v>0.0</v>
      </c>
      <c r="W483" s="107">
        <v>0.0</v>
      </c>
      <c r="X483" s="107">
        <v>0.0</v>
      </c>
      <c r="Y483" s="107">
        <v>0.0</v>
      </c>
      <c r="Z483" s="80">
        <f t="shared" si="1"/>
        <v>0</v>
      </c>
      <c r="AA483" s="106">
        <v>0.0</v>
      </c>
      <c r="AB483" s="107">
        <v>0.0</v>
      </c>
      <c r="AC483" s="107">
        <v>0.0</v>
      </c>
      <c r="AD483" s="107">
        <v>0.0</v>
      </c>
      <c r="AE483" s="80">
        <f t="shared" si="2"/>
        <v>0</v>
      </c>
      <c r="AF483" s="140">
        <v>0.0</v>
      </c>
      <c r="AG483" s="109">
        <v>0.0</v>
      </c>
      <c r="AH483" s="109">
        <v>25.0</v>
      </c>
      <c r="AI483" s="141">
        <v>0.0</v>
      </c>
      <c r="AJ483" s="80">
        <f t="shared" si="3"/>
        <v>25</v>
      </c>
      <c r="AK483" s="140">
        <v>0.0</v>
      </c>
      <c r="AL483" s="109">
        <v>0.0</v>
      </c>
      <c r="AM483" s="141">
        <v>0.0</v>
      </c>
      <c r="AN483" s="80">
        <f t="shared" si="4"/>
        <v>0</v>
      </c>
      <c r="AO483" s="140">
        <v>0.0</v>
      </c>
      <c r="AP483" s="109">
        <v>0.0</v>
      </c>
      <c r="AQ483" s="109">
        <v>0.0</v>
      </c>
      <c r="AR483" s="80">
        <f t="shared" si="5"/>
        <v>0</v>
      </c>
      <c r="AS483" s="110">
        <v>0.0</v>
      </c>
      <c r="AT483" s="110">
        <v>0.0</v>
      </c>
      <c r="AU483" s="110">
        <v>0.0</v>
      </c>
      <c r="AV483" s="142">
        <v>0.0</v>
      </c>
      <c r="AW483" s="80">
        <f t="shared" si="6"/>
        <v>0</v>
      </c>
      <c r="AX483" s="113">
        <f t="shared" si="7"/>
        <v>25</v>
      </c>
      <c r="AY483" s="117">
        <f t="shared" si="8"/>
        <v>0</v>
      </c>
      <c r="AZ483" s="120">
        <f t="shared" si="9"/>
        <v>25</v>
      </c>
      <c r="BA483" s="115">
        <v>0.0</v>
      </c>
      <c r="BB483" s="89">
        <f t="shared" si="10"/>
        <v>25</v>
      </c>
      <c r="BC483" s="132" t="s">
        <v>373</v>
      </c>
      <c r="BD483" s="143" t="s">
        <v>227</v>
      </c>
      <c r="BE483" s="132" t="s">
        <v>178</v>
      </c>
      <c r="BF483" s="123"/>
      <c r="BG483" s="83">
        <v>1178525.0</v>
      </c>
      <c r="BH483" s="112"/>
      <c r="BI483" s="112">
        <v>4.0</v>
      </c>
      <c r="BJ483" s="98" t="s">
        <v>155</v>
      </c>
      <c r="BK483" s="99">
        <f t="shared" si="11"/>
        <v>0</v>
      </c>
      <c r="BL483" s="99">
        <f t="shared" si="12"/>
        <v>0</v>
      </c>
      <c r="BM483" s="99" t="str">
        <f>IFERROR(__xludf.DUMMYFUNCTION("IFERROR(VLOOKUP(BG483,IMPORTRANGE(""https://docs.google.com/spreadsheets/d/1juPI-Fb8LD0YtltB2mlGEnp_R3UVu1t3wSFPzgCyHXE/edit?gid=0#gid=0"",""GERAL!A2:C""),3,0),""-"")"),"CAMPO")</f>
        <v>CAMPO</v>
      </c>
    </row>
    <row r="484" ht="15.75" customHeight="1">
      <c r="A484" s="111" t="s">
        <v>605</v>
      </c>
      <c r="B484" s="83" t="s">
        <v>1914</v>
      </c>
      <c r="C484" s="83" t="s">
        <v>164</v>
      </c>
      <c r="D484" s="112">
        <v>1179713.0</v>
      </c>
      <c r="E484" s="83">
        <v>1178524.0</v>
      </c>
      <c r="F484" s="98">
        <v>2.9483247E7</v>
      </c>
      <c r="G484" s="119" t="s">
        <v>1937</v>
      </c>
      <c r="H484" s="91" t="s">
        <v>1938</v>
      </c>
      <c r="I484" s="83" t="s">
        <v>149</v>
      </c>
      <c r="J484" s="83" t="s">
        <v>568</v>
      </c>
      <c r="K484" s="83" t="s">
        <v>168</v>
      </c>
      <c r="L484" s="83" t="s">
        <v>152</v>
      </c>
      <c r="M484" s="82" t="str">
        <f>IFERROR(__xludf.DUMMYFUNCTION("IFERROR(VLOOKUP(D484,
IMPORTRANGE(""https://docs.google.com/spreadsheets/d/1MjHtlUikwobi2MaWJgy7tfLeBmhj1u-dRFRs_8GwSoA/edit#gid=0"",""Gestores Escolares!D7:J""),3,0),""VERIFICAR CÓD SEC"")"),"MARIA DIAS ASSUNCAO")</f>
        <v>MARIA DIAS ASSUNCAO</v>
      </c>
      <c r="N484" s="82" t="str">
        <f>IFERROR(__xludf.DUMMYFUNCTION("IFERROR(VLOOKUP(D484,
IMPORTRANGE(""https://docs.google.com/spreadsheets/d/1MjHtlUikwobi2MaWJgy7tfLeBmhj1u-dRFRs_8GwSoA/edit#gid=0"",""Gestores Escolares!D7:J""),4,0),""VERIFICAR CÓD SEC"")"),"(73) 9 9961-2626")</f>
        <v>(73) 9 9961-2626</v>
      </c>
      <c r="O484" s="82" t="str">
        <f>IFERROR(__xludf.DUMMYFUNCTION("IFERROR(VLOOKUP(D484,
IMPORTRANGE(""https://docs.google.com/spreadsheets/d/1MjHtlUikwobi2MaWJgy7tfLeBmhj1u-dRFRs_8GwSoA/edit#gid=0"",""Gestores Escolares!D7:J""),6,0),""VERIFICAR CÓD SEC"")"),"FERNANDA AURELINO INOCENCIO")</f>
        <v>FERNANDA AURELINO INOCENCIO</v>
      </c>
      <c r="P484" s="82" t="str">
        <f>IFERROR(__xludf.DUMMYFUNCTION("IFERROR(VLOOKUP(D484,
IMPORTRANGE(""https://docs.google.com/spreadsheets/d/1MjHtlUikwobi2MaWJgy7tfLeBmhj1u-dRFRs_8GwSoA/edit#gid=0"",""Gestores Escolares!D7:J""),7,0),""VERIFICAR CÓD SEC"")"),"(73) 9 9823-1075")</f>
        <v>(73) 9 9823-1075</v>
      </c>
      <c r="Q484" s="82" t="str">
        <f>IFERROR(__xludf.DUMMYFUNCTION("IFERROR(VLOOKUP(D484,
IMPORTRANGE(""https://docs.google.com/spreadsheets/d/1MjHtlUikwobi2MaWJgy7tfLeBmhj1u-dRFRs_8GwSoA/edit#gid=0"",""Gestores Escolares!D7:m""),9,0),""VERIFICAR CÓD SEC"")"),"")</f>
        <v/>
      </c>
      <c r="R484" s="82" t="str">
        <f>IFERROR(__xludf.DUMMYFUNCTION("IFERROR(VLOOKUP(D484,
IMPORTRANGE(""https://docs.google.com/spreadsheets/d/1MjHtlUikwobi2MaWJgy7tfLeBmhj1u-dRFRs_8GwSoA/edit#gid=0"",""Gestores Escolares!D7:m""),10,0),""VERIFICAR CÓD SEC"")"),"")</f>
        <v/>
      </c>
      <c r="S484" s="82"/>
      <c r="T484" s="138">
        <v>3.0</v>
      </c>
      <c r="U484" s="139">
        <v>6.0</v>
      </c>
      <c r="V484" s="106">
        <v>0.0</v>
      </c>
      <c r="W484" s="107">
        <v>0.0</v>
      </c>
      <c r="X484" s="107">
        <v>0.0</v>
      </c>
      <c r="Y484" s="107">
        <v>0.0</v>
      </c>
      <c r="Z484" s="80">
        <f t="shared" si="1"/>
        <v>0</v>
      </c>
      <c r="AA484" s="106">
        <v>0.0</v>
      </c>
      <c r="AB484" s="107">
        <v>0.0</v>
      </c>
      <c r="AC484" s="107">
        <v>0.0</v>
      </c>
      <c r="AD484" s="107">
        <v>0.0</v>
      </c>
      <c r="AE484" s="80">
        <f t="shared" si="2"/>
        <v>0</v>
      </c>
      <c r="AF484" s="140">
        <v>0.0</v>
      </c>
      <c r="AG484" s="109">
        <v>0.0</v>
      </c>
      <c r="AH484" s="109">
        <v>51.0</v>
      </c>
      <c r="AI484" s="141">
        <v>0.0</v>
      </c>
      <c r="AJ484" s="80">
        <f t="shared" si="3"/>
        <v>51</v>
      </c>
      <c r="AK484" s="140">
        <v>0.0</v>
      </c>
      <c r="AL484" s="109">
        <v>0.0</v>
      </c>
      <c r="AM484" s="141">
        <v>0.0</v>
      </c>
      <c r="AN484" s="80">
        <f t="shared" si="4"/>
        <v>0</v>
      </c>
      <c r="AO484" s="140">
        <v>0.0</v>
      </c>
      <c r="AP484" s="109">
        <v>0.0</v>
      </c>
      <c r="AQ484" s="109">
        <v>0.0</v>
      </c>
      <c r="AR484" s="80">
        <f t="shared" si="5"/>
        <v>0</v>
      </c>
      <c r="AS484" s="110">
        <v>0.0</v>
      </c>
      <c r="AT484" s="110">
        <v>0.0</v>
      </c>
      <c r="AU484" s="110">
        <v>0.0</v>
      </c>
      <c r="AV484" s="142">
        <v>0.0</v>
      </c>
      <c r="AW484" s="80">
        <f t="shared" si="6"/>
        <v>0</v>
      </c>
      <c r="AX484" s="113">
        <f t="shared" si="7"/>
        <v>51</v>
      </c>
      <c r="AY484" s="117">
        <f t="shared" si="8"/>
        <v>0</v>
      </c>
      <c r="AZ484" s="120">
        <f t="shared" si="9"/>
        <v>51</v>
      </c>
      <c r="BA484" s="115">
        <v>0.0</v>
      </c>
      <c r="BB484" s="89">
        <f t="shared" si="10"/>
        <v>51</v>
      </c>
      <c r="BC484" s="132" t="s">
        <v>373</v>
      </c>
      <c r="BD484" s="143" t="s">
        <v>227</v>
      </c>
      <c r="BE484" s="132" t="s">
        <v>178</v>
      </c>
      <c r="BF484" s="123"/>
      <c r="BG484" s="83">
        <v>1178524.0</v>
      </c>
      <c r="BH484" s="112"/>
      <c r="BI484" s="112">
        <v>6.0</v>
      </c>
      <c r="BJ484" s="98" t="s">
        <v>155</v>
      </c>
      <c r="BK484" s="99">
        <f t="shared" si="11"/>
        <v>0</v>
      </c>
      <c r="BL484" s="99">
        <f t="shared" si="12"/>
        <v>0</v>
      </c>
      <c r="BM484" s="99" t="str">
        <f>IFERROR(__xludf.DUMMYFUNCTION("IFERROR(VLOOKUP(BG484,IMPORTRANGE(""https://docs.google.com/spreadsheets/d/1juPI-Fb8LD0YtltB2mlGEnp_R3UVu1t3wSFPzgCyHXE/edit?gid=0#gid=0"",""GERAL!A2:C""),3,0),""-"")"),"CAMPO")</f>
        <v>CAMPO</v>
      </c>
    </row>
    <row r="485" ht="15.75" customHeight="1">
      <c r="A485" s="111" t="s">
        <v>605</v>
      </c>
      <c r="B485" s="83" t="s">
        <v>1914</v>
      </c>
      <c r="C485" s="83" t="s">
        <v>164</v>
      </c>
      <c r="D485" s="112">
        <v>1179713.0</v>
      </c>
      <c r="E485" s="83">
        <v>1178522.0</v>
      </c>
      <c r="F485" s="98">
        <v>2.9483247E7</v>
      </c>
      <c r="G485" s="119" t="s">
        <v>1939</v>
      </c>
      <c r="H485" s="91" t="s">
        <v>1940</v>
      </c>
      <c r="I485" s="83" t="s">
        <v>149</v>
      </c>
      <c r="J485" s="83" t="s">
        <v>641</v>
      </c>
      <c r="K485" s="83" t="s">
        <v>168</v>
      </c>
      <c r="L485" s="83" t="s">
        <v>152</v>
      </c>
      <c r="M485" s="82" t="str">
        <f>IFERROR(__xludf.DUMMYFUNCTION("IFERROR(VLOOKUP(D485,
IMPORTRANGE(""https://docs.google.com/spreadsheets/d/1MjHtlUikwobi2MaWJgy7tfLeBmhj1u-dRFRs_8GwSoA/edit#gid=0"",""Gestores Escolares!D7:J""),3,0),""VERIFICAR CÓD SEC"")"),"MARIA DIAS ASSUNCAO")</f>
        <v>MARIA DIAS ASSUNCAO</v>
      </c>
      <c r="N485" s="82" t="str">
        <f>IFERROR(__xludf.DUMMYFUNCTION("IFERROR(VLOOKUP(D485,
IMPORTRANGE(""https://docs.google.com/spreadsheets/d/1MjHtlUikwobi2MaWJgy7tfLeBmhj1u-dRFRs_8GwSoA/edit#gid=0"",""Gestores Escolares!D7:J""),4,0),""VERIFICAR CÓD SEC"")"),"(73) 9 9961-2626")</f>
        <v>(73) 9 9961-2626</v>
      </c>
      <c r="O485" s="82" t="str">
        <f>IFERROR(__xludf.DUMMYFUNCTION("IFERROR(VLOOKUP(D485,
IMPORTRANGE(""https://docs.google.com/spreadsheets/d/1MjHtlUikwobi2MaWJgy7tfLeBmhj1u-dRFRs_8GwSoA/edit#gid=0"",""Gestores Escolares!D7:J""),6,0),""VERIFICAR CÓD SEC"")"),"FERNANDA AURELINO INOCENCIO")</f>
        <v>FERNANDA AURELINO INOCENCIO</v>
      </c>
      <c r="P485" s="82" t="str">
        <f>IFERROR(__xludf.DUMMYFUNCTION("IFERROR(VLOOKUP(D485,
IMPORTRANGE(""https://docs.google.com/spreadsheets/d/1MjHtlUikwobi2MaWJgy7tfLeBmhj1u-dRFRs_8GwSoA/edit#gid=0"",""Gestores Escolares!D7:J""),7,0),""VERIFICAR CÓD SEC"")"),"(73) 9 9823-1075")</f>
        <v>(73) 9 9823-1075</v>
      </c>
      <c r="Q485" s="82" t="str">
        <f>IFERROR(__xludf.DUMMYFUNCTION("IFERROR(VLOOKUP(D485,
IMPORTRANGE(""https://docs.google.com/spreadsheets/d/1MjHtlUikwobi2MaWJgy7tfLeBmhj1u-dRFRs_8GwSoA/edit#gid=0"",""Gestores Escolares!D7:m""),9,0),""VERIFICAR CÓD SEC"")"),"")</f>
        <v/>
      </c>
      <c r="R485" s="82" t="str">
        <f>IFERROR(__xludf.DUMMYFUNCTION("IFERROR(VLOOKUP(D485,
IMPORTRANGE(""https://docs.google.com/spreadsheets/d/1MjHtlUikwobi2MaWJgy7tfLeBmhj1u-dRFRs_8GwSoA/edit#gid=0"",""Gestores Escolares!D7:m""),10,0),""VERIFICAR CÓD SEC"")"),"")</f>
        <v/>
      </c>
      <c r="S485" s="82"/>
      <c r="T485" s="138">
        <v>3.0</v>
      </c>
      <c r="U485" s="139">
        <v>3.0</v>
      </c>
      <c r="V485" s="106">
        <v>0.0</v>
      </c>
      <c r="W485" s="107">
        <v>0.0</v>
      </c>
      <c r="X485" s="107">
        <v>0.0</v>
      </c>
      <c r="Y485" s="107">
        <v>0.0</v>
      </c>
      <c r="Z485" s="80">
        <f t="shared" si="1"/>
        <v>0</v>
      </c>
      <c r="AA485" s="106">
        <v>0.0</v>
      </c>
      <c r="AB485" s="107">
        <v>0.0</v>
      </c>
      <c r="AC485" s="107">
        <v>0.0</v>
      </c>
      <c r="AD485" s="107">
        <v>0.0</v>
      </c>
      <c r="AE485" s="80">
        <f t="shared" si="2"/>
        <v>0</v>
      </c>
      <c r="AF485" s="140">
        <v>0.0</v>
      </c>
      <c r="AG485" s="109">
        <v>0.0</v>
      </c>
      <c r="AH485" s="109">
        <v>36.0</v>
      </c>
      <c r="AI485" s="141">
        <v>0.0</v>
      </c>
      <c r="AJ485" s="80">
        <f t="shared" si="3"/>
        <v>36</v>
      </c>
      <c r="AK485" s="140">
        <v>0.0</v>
      </c>
      <c r="AL485" s="109">
        <v>0.0</v>
      </c>
      <c r="AM485" s="141">
        <v>0.0</v>
      </c>
      <c r="AN485" s="80">
        <f t="shared" si="4"/>
        <v>0</v>
      </c>
      <c r="AO485" s="140">
        <v>0.0</v>
      </c>
      <c r="AP485" s="109">
        <v>0.0</v>
      </c>
      <c r="AQ485" s="109">
        <v>0.0</v>
      </c>
      <c r="AR485" s="80">
        <f t="shared" si="5"/>
        <v>0</v>
      </c>
      <c r="AS485" s="110">
        <v>0.0</v>
      </c>
      <c r="AT485" s="110">
        <v>0.0</v>
      </c>
      <c r="AU485" s="110">
        <v>0.0</v>
      </c>
      <c r="AV485" s="142">
        <v>0.0</v>
      </c>
      <c r="AW485" s="80">
        <f t="shared" si="6"/>
        <v>0</v>
      </c>
      <c r="AX485" s="113">
        <f t="shared" si="7"/>
        <v>36</v>
      </c>
      <c r="AY485" s="117">
        <f t="shared" si="8"/>
        <v>0</v>
      </c>
      <c r="AZ485" s="120">
        <f t="shared" si="9"/>
        <v>36</v>
      </c>
      <c r="BA485" s="115">
        <v>0.0</v>
      </c>
      <c r="BB485" s="89">
        <f t="shared" si="10"/>
        <v>36</v>
      </c>
      <c r="BC485" s="132" t="s">
        <v>373</v>
      </c>
      <c r="BD485" s="143" t="s">
        <v>227</v>
      </c>
      <c r="BE485" s="132" t="s">
        <v>178</v>
      </c>
      <c r="BF485" s="123"/>
      <c r="BG485" s="83">
        <v>1178522.0</v>
      </c>
      <c r="BH485" s="112"/>
      <c r="BI485" s="112">
        <v>3.0</v>
      </c>
      <c r="BJ485" s="98" t="s">
        <v>155</v>
      </c>
      <c r="BK485" s="99">
        <f t="shared" si="11"/>
        <v>0</v>
      </c>
      <c r="BL485" s="99">
        <f t="shared" si="12"/>
        <v>0</v>
      </c>
      <c r="BM485" s="99" t="str">
        <f>IFERROR(__xludf.DUMMYFUNCTION("IFERROR(VLOOKUP(BG485,IMPORTRANGE(""https://docs.google.com/spreadsheets/d/1juPI-Fb8LD0YtltB2mlGEnp_R3UVu1t3wSFPzgCyHXE/edit?gid=0#gid=0"",""GERAL!A2:C""),3,0),""-"")"),"CAMPO")</f>
        <v>CAMPO</v>
      </c>
    </row>
    <row r="486" ht="15.75" customHeight="1">
      <c r="A486" s="111" t="s">
        <v>605</v>
      </c>
      <c r="B486" s="83" t="s">
        <v>1914</v>
      </c>
      <c r="C486" s="83" t="s">
        <v>164</v>
      </c>
      <c r="D486" s="112">
        <v>1179713.0</v>
      </c>
      <c r="E486" s="83">
        <v>1178520.0</v>
      </c>
      <c r="F486" s="98">
        <v>2.9483247E7</v>
      </c>
      <c r="G486" s="119" t="s">
        <v>1941</v>
      </c>
      <c r="H486" s="91" t="s">
        <v>1942</v>
      </c>
      <c r="I486" s="83" t="s">
        <v>149</v>
      </c>
      <c r="J486" s="83" t="s">
        <v>1745</v>
      </c>
      <c r="K486" s="83" t="s">
        <v>168</v>
      </c>
      <c r="L486" s="83" t="s">
        <v>152</v>
      </c>
      <c r="M486" s="82" t="str">
        <f>IFERROR(__xludf.DUMMYFUNCTION("IFERROR(VLOOKUP(D486,
IMPORTRANGE(""https://docs.google.com/spreadsheets/d/1MjHtlUikwobi2MaWJgy7tfLeBmhj1u-dRFRs_8GwSoA/edit#gid=0"",""Gestores Escolares!D7:J""),3,0),""VERIFICAR CÓD SEC"")"),"MARIA DIAS ASSUNCAO")</f>
        <v>MARIA DIAS ASSUNCAO</v>
      </c>
      <c r="N486" s="82" t="str">
        <f>IFERROR(__xludf.DUMMYFUNCTION("IFERROR(VLOOKUP(D486,
IMPORTRANGE(""https://docs.google.com/spreadsheets/d/1MjHtlUikwobi2MaWJgy7tfLeBmhj1u-dRFRs_8GwSoA/edit#gid=0"",""Gestores Escolares!D7:J""),4,0),""VERIFICAR CÓD SEC"")"),"(73) 9 9961-2626")</f>
        <v>(73) 9 9961-2626</v>
      </c>
      <c r="O486" s="82" t="str">
        <f>IFERROR(__xludf.DUMMYFUNCTION("IFERROR(VLOOKUP(D486,
IMPORTRANGE(""https://docs.google.com/spreadsheets/d/1MjHtlUikwobi2MaWJgy7tfLeBmhj1u-dRFRs_8GwSoA/edit#gid=0"",""Gestores Escolares!D7:J""),6,0),""VERIFICAR CÓD SEC"")"),"FERNANDA AURELINO INOCENCIO")</f>
        <v>FERNANDA AURELINO INOCENCIO</v>
      </c>
      <c r="P486" s="82" t="str">
        <f>IFERROR(__xludf.DUMMYFUNCTION("IFERROR(VLOOKUP(D486,
IMPORTRANGE(""https://docs.google.com/spreadsheets/d/1MjHtlUikwobi2MaWJgy7tfLeBmhj1u-dRFRs_8GwSoA/edit#gid=0"",""Gestores Escolares!D7:J""),7,0),""VERIFICAR CÓD SEC"")"),"(73) 9 9823-1075")</f>
        <v>(73) 9 9823-1075</v>
      </c>
      <c r="Q486" s="82" t="str">
        <f>IFERROR(__xludf.DUMMYFUNCTION("IFERROR(VLOOKUP(D486,
IMPORTRANGE(""https://docs.google.com/spreadsheets/d/1MjHtlUikwobi2MaWJgy7tfLeBmhj1u-dRFRs_8GwSoA/edit#gid=0"",""Gestores Escolares!D7:m""),9,0),""VERIFICAR CÓD SEC"")"),"")</f>
        <v/>
      </c>
      <c r="R486" s="82" t="str">
        <f>IFERROR(__xludf.DUMMYFUNCTION("IFERROR(VLOOKUP(D486,
IMPORTRANGE(""https://docs.google.com/spreadsheets/d/1MjHtlUikwobi2MaWJgy7tfLeBmhj1u-dRFRs_8GwSoA/edit#gid=0"",""Gestores Escolares!D7:m""),10,0),""VERIFICAR CÓD SEC"")"),"")</f>
        <v/>
      </c>
      <c r="S486" s="82"/>
      <c r="T486" s="138">
        <v>3.0</v>
      </c>
      <c r="U486" s="139">
        <v>4.0</v>
      </c>
      <c r="V486" s="106">
        <v>0.0</v>
      </c>
      <c r="W486" s="107">
        <v>0.0</v>
      </c>
      <c r="X486" s="107">
        <v>0.0</v>
      </c>
      <c r="Y486" s="107">
        <v>0.0</v>
      </c>
      <c r="Z486" s="80">
        <f t="shared" si="1"/>
        <v>0</v>
      </c>
      <c r="AA486" s="106">
        <v>0.0</v>
      </c>
      <c r="AB486" s="107">
        <v>0.0</v>
      </c>
      <c r="AC486" s="107">
        <v>0.0</v>
      </c>
      <c r="AD486" s="107">
        <v>0.0</v>
      </c>
      <c r="AE486" s="80">
        <f t="shared" si="2"/>
        <v>0</v>
      </c>
      <c r="AF486" s="140">
        <v>0.0</v>
      </c>
      <c r="AG486" s="109">
        <v>0.0</v>
      </c>
      <c r="AH486" s="109">
        <v>25.0</v>
      </c>
      <c r="AI486" s="141">
        <v>0.0</v>
      </c>
      <c r="AJ486" s="80">
        <f t="shared" si="3"/>
        <v>25</v>
      </c>
      <c r="AK486" s="140">
        <v>0.0</v>
      </c>
      <c r="AL486" s="109">
        <v>0.0</v>
      </c>
      <c r="AM486" s="141">
        <v>0.0</v>
      </c>
      <c r="AN486" s="80">
        <f t="shared" si="4"/>
        <v>0</v>
      </c>
      <c r="AO486" s="140">
        <v>0.0</v>
      </c>
      <c r="AP486" s="109">
        <v>0.0</v>
      </c>
      <c r="AQ486" s="109">
        <v>0.0</v>
      </c>
      <c r="AR486" s="80">
        <f t="shared" si="5"/>
        <v>0</v>
      </c>
      <c r="AS486" s="110">
        <v>0.0</v>
      </c>
      <c r="AT486" s="110">
        <v>0.0</v>
      </c>
      <c r="AU486" s="110">
        <v>0.0</v>
      </c>
      <c r="AV486" s="142">
        <v>0.0</v>
      </c>
      <c r="AW486" s="80">
        <f t="shared" si="6"/>
        <v>0</v>
      </c>
      <c r="AX486" s="113">
        <f t="shared" si="7"/>
        <v>25</v>
      </c>
      <c r="AY486" s="117">
        <f t="shared" si="8"/>
        <v>0</v>
      </c>
      <c r="AZ486" s="120">
        <f t="shared" si="9"/>
        <v>25</v>
      </c>
      <c r="BA486" s="115">
        <v>0.0</v>
      </c>
      <c r="BB486" s="89">
        <f t="shared" si="10"/>
        <v>25</v>
      </c>
      <c r="BC486" s="132" t="s">
        <v>373</v>
      </c>
      <c r="BD486" s="143" t="s">
        <v>227</v>
      </c>
      <c r="BE486" s="132" t="s">
        <v>178</v>
      </c>
      <c r="BF486" s="123"/>
      <c r="BG486" s="83">
        <v>1178520.0</v>
      </c>
      <c r="BH486" s="112"/>
      <c r="BI486" s="112">
        <v>4.0</v>
      </c>
      <c r="BJ486" s="98" t="s">
        <v>155</v>
      </c>
      <c r="BK486" s="99">
        <f t="shared" si="11"/>
        <v>0</v>
      </c>
      <c r="BL486" s="99">
        <f t="shared" si="12"/>
        <v>0</v>
      </c>
      <c r="BM486" s="99" t="str">
        <f>IFERROR(__xludf.DUMMYFUNCTION("IFERROR(VLOOKUP(BG486,IMPORTRANGE(""https://docs.google.com/spreadsheets/d/1juPI-Fb8LD0YtltB2mlGEnp_R3UVu1t3wSFPzgCyHXE/edit?gid=0#gid=0"",""GERAL!A2:C""),3,0),""-"")"),"CAMPO")</f>
        <v>CAMPO</v>
      </c>
    </row>
    <row r="487" ht="15.75" customHeight="1">
      <c r="A487" s="111" t="s">
        <v>605</v>
      </c>
      <c r="B487" s="83" t="s">
        <v>1914</v>
      </c>
      <c r="C487" s="83" t="s">
        <v>164</v>
      </c>
      <c r="D487" s="112">
        <v>1179713.0</v>
      </c>
      <c r="E487" s="83">
        <v>1178523.0</v>
      </c>
      <c r="F487" s="98">
        <v>2.9483247E7</v>
      </c>
      <c r="G487" s="119" t="s">
        <v>1944</v>
      </c>
      <c r="H487" s="91" t="s">
        <v>1945</v>
      </c>
      <c r="I487" s="83" t="s">
        <v>149</v>
      </c>
      <c r="J487" s="83" t="s">
        <v>1946</v>
      </c>
      <c r="K487" s="83" t="s">
        <v>168</v>
      </c>
      <c r="L487" s="83" t="s">
        <v>152</v>
      </c>
      <c r="M487" s="82" t="str">
        <f>IFERROR(__xludf.DUMMYFUNCTION("IFERROR(VLOOKUP(D487,
IMPORTRANGE(""https://docs.google.com/spreadsheets/d/1MjHtlUikwobi2MaWJgy7tfLeBmhj1u-dRFRs_8GwSoA/edit#gid=0"",""Gestores Escolares!D7:J""),3,0),""VERIFICAR CÓD SEC"")"),"MARIA DIAS ASSUNCAO")</f>
        <v>MARIA DIAS ASSUNCAO</v>
      </c>
      <c r="N487" s="82" t="str">
        <f>IFERROR(__xludf.DUMMYFUNCTION("IFERROR(VLOOKUP(D487,
IMPORTRANGE(""https://docs.google.com/spreadsheets/d/1MjHtlUikwobi2MaWJgy7tfLeBmhj1u-dRFRs_8GwSoA/edit#gid=0"",""Gestores Escolares!D7:J""),4,0),""VERIFICAR CÓD SEC"")"),"(73) 9 9961-2626")</f>
        <v>(73) 9 9961-2626</v>
      </c>
      <c r="O487" s="82" t="str">
        <f>IFERROR(__xludf.DUMMYFUNCTION("IFERROR(VLOOKUP(D487,
IMPORTRANGE(""https://docs.google.com/spreadsheets/d/1MjHtlUikwobi2MaWJgy7tfLeBmhj1u-dRFRs_8GwSoA/edit#gid=0"",""Gestores Escolares!D7:J""),6,0),""VERIFICAR CÓD SEC"")"),"FERNANDA AURELINO INOCENCIO")</f>
        <v>FERNANDA AURELINO INOCENCIO</v>
      </c>
      <c r="P487" s="82" t="str">
        <f>IFERROR(__xludf.DUMMYFUNCTION("IFERROR(VLOOKUP(D487,
IMPORTRANGE(""https://docs.google.com/spreadsheets/d/1MjHtlUikwobi2MaWJgy7tfLeBmhj1u-dRFRs_8GwSoA/edit#gid=0"",""Gestores Escolares!D7:J""),7,0),""VERIFICAR CÓD SEC"")"),"(73) 9 9823-1075")</f>
        <v>(73) 9 9823-1075</v>
      </c>
      <c r="Q487" s="82" t="str">
        <f>IFERROR(__xludf.DUMMYFUNCTION("IFERROR(VLOOKUP(D487,
IMPORTRANGE(""https://docs.google.com/spreadsheets/d/1MjHtlUikwobi2MaWJgy7tfLeBmhj1u-dRFRs_8GwSoA/edit#gid=0"",""Gestores Escolares!D7:m""),9,0),""VERIFICAR CÓD SEC"")"),"")</f>
        <v/>
      </c>
      <c r="R487" s="82" t="str">
        <f>IFERROR(__xludf.DUMMYFUNCTION("IFERROR(VLOOKUP(D487,
IMPORTRANGE(""https://docs.google.com/spreadsheets/d/1MjHtlUikwobi2MaWJgy7tfLeBmhj1u-dRFRs_8GwSoA/edit#gid=0"",""Gestores Escolares!D7:m""),10,0),""VERIFICAR CÓD SEC"")"),"")</f>
        <v/>
      </c>
      <c r="S487" s="82"/>
      <c r="T487" s="138">
        <v>3.0</v>
      </c>
      <c r="U487" s="139">
        <v>5.0</v>
      </c>
      <c r="V487" s="106">
        <v>0.0</v>
      </c>
      <c r="W487" s="107">
        <v>0.0</v>
      </c>
      <c r="X487" s="107">
        <v>0.0</v>
      </c>
      <c r="Y487" s="107">
        <v>0.0</v>
      </c>
      <c r="Z487" s="80">
        <f t="shared" si="1"/>
        <v>0</v>
      </c>
      <c r="AA487" s="106">
        <v>0.0</v>
      </c>
      <c r="AB487" s="107">
        <v>0.0</v>
      </c>
      <c r="AC487" s="107">
        <v>0.0</v>
      </c>
      <c r="AD487" s="107">
        <v>0.0</v>
      </c>
      <c r="AE487" s="80">
        <f t="shared" si="2"/>
        <v>0</v>
      </c>
      <c r="AF487" s="140">
        <v>0.0</v>
      </c>
      <c r="AG487" s="109">
        <v>0.0</v>
      </c>
      <c r="AH487" s="109">
        <v>15.0</v>
      </c>
      <c r="AI487" s="141">
        <v>0.0</v>
      </c>
      <c r="AJ487" s="80">
        <f t="shared" si="3"/>
        <v>15</v>
      </c>
      <c r="AK487" s="140">
        <v>0.0</v>
      </c>
      <c r="AL487" s="109">
        <v>0.0</v>
      </c>
      <c r="AM487" s="141">
        <v>0.0</v>
      </c>
      <c r="AN487" s="80">
        <f t="shared" si="4"/>
        <v>0</v>
      </c>
      <c r="AO487" s="140">
        <v>0.0</v>
      </c>
      <c r="AP487" s="109">
        <v>0.0</v>
      </c>
      <c r="AQ487" s="109">
        <v>0.0</v>
      </c>
      <c r="AR487" s="80">
        <f t="shared" si="5"/>
        <v>0</v>
      </c>
      <c r="AS487" s="110">
        <v>0.0</v>
      </c>
      <c r="AT487" s="110">
        <v>0.0</v>
      </c>
      <c r="AU487" s="110">
        <v>0.0</v>
      </c>
      <c r="AV487" s="142">
        <v>0.0</v>
      </c>
      <c r="AW487" s="80">
        <f t="shared" si="6"/>
        <v>0</v>
      </c>
      <c r="AX487" s="113">
        <f t="shared" si="7"/>
        <v>15</v>
      </c>
      <c r="AY487" s="117">
        <f t="shared" si="8"/>
        <v>0</v>
      </c>
      <c r="AZ487" s="120">
        <f t="shared" si="9"/>
        <v>15</v>
      </c>
      <c r="BA487" s="115">
        <v>0.0</v>
      </c>
      <c r="BB487" s="89">
        <f t="shared" si="10"/>
        <v>15</v>
      </c>
      <c r="BC487" s="132" t="s">
        <v>373</v>
      </c>
      <c r="BD487" s="143" t="s">
        <v>227</v>
      </c>
      <c r="BE487" s="132" t="s">
        <v>178</v>
      </c>
      <c r="BF487" s="123"/>
      <c r="BG487" s="83">
        <v>1178523.0</v>
      </c>
      <c r="BH487" s="112"/>
      <c r="BI487" s="112">
        <v>5.0</v>
      </c>
      <c r="BJ487" s="98" t="s">
        <v>155</v>
      </c>
      <c r="BK487" s="99">
        <f t="shared" si="11"/>
        <v>0</v>
      </c>
      <c r="BL487" s="99">
        <f t="shared" si="12"/>
        <v>0</v>
      </c>
      <c r="BM487" s="99" t="str">
        <f>IFERROR(__xludf.DUMMYFUNCTION("IFERROR(VLOOKUP(BG487,IMPORTRANGE(""https://docs.google.com/spreadsheets/d/1juPI-Fb8LD0YtltB2mlGEnp_R3UVu1t3wSFPzgCyHXE/edit?gid=0#gid=0"",""GERAL!A2:C""),3,0),""-"")"),"CAMPO")</f>
        <v>CAMPO</v>
      </c>
    </row>
    <row r="488" ht="15.75" customHeight="1">
      <c r="A488" s="111" t="s">
        <v>605</v>
      </c>
      <c r="B488" s="83" t="s">
        <v>1914</v>
      </c>
      <c r="C488" s="83" t="s">
        <v>164</v>
      </c>
      <c r="D488" s="112">
        <v>1179713.0</v>
      </c>
      <c r="E488" s="83">
        <v>1178521.0</v>
      </c>
      <c r="F488" s="98">
        <v>2.9483247E7</v>
      </c>
      <c r="G488" s="119" t="s">
        <v>1947</v>
      </c>
      <c r="H488" s="91" t="s">
        <v>1948</v>
      </c>
      <c r="I488" s="83" t="s">
        <v>149</v>
      </c>
      <c r="J488" s="83" t="s">
        <v>641</v>
      </c>
      <c r="K488" s="83" t="s">
        <v>168</v>
      </c>
      <c r="L488" s="83" t="s">
        <v>152</v>
      </c>
      <c r="M488" s="82" t="str">
        <f>IFERROR(__xludf.DUMMYFUNCTION("IFERROR(VLOOKUP(D488,
IMPORTRANGE(""https://docs.google.com/spreadsheets/d/1MjHtlUikwobi2MaWJgy7tfLeBmhj1u-dRFRs_8GwSoA/edit#gid=0"",""Gestores Escolares!D7:J""),3,0),""VERIFICAR CÓD SEC"")"),"MARIA DIAS ASSUNCAO")</f>
        <v>MARIA DIAS ASSUNCAO</v>
      </c>
      <c r="N488" s="82" t="str">
        <f>IFERROR(__xludf.DUMMYFUNCTION("IFERROR(VLOOKUP(D488,
IMPORTRANGE(""https://docs.google.com/spreadsheets/d/1MjHtlUikwobi2MaWJgy7tfLeBmhj1u-dRFRs_8GwSoA/edit#gid=0"",""Gestores Escolares!D7:J""),4,0),""VERIFICAR CÓD SEC"")"),"(73) 9 9961-2626")</f>
        <v>(73) 9 9961-2626</v>
      </c>
      <c r="O488" s="82" t="str">
        <f>IFERROR(__xludf.DUMMYFUNCTION("IFERROR(VLOOKUP(D488,
IMPORTRANGE(""https://docs.google.com/spreadsheets/d/1MjHtlUikwobi2MaWJgy7tfLeBmhj1u-dRFRs_8GwSoA/edit#gid=0"",""Gestores Escolares!D7:J""),6,0),""VERIFICAR CÓD SEC"")"),"FERNANDA AURELINO INOCENCIO")</f>
        <v>FERNANDA AURELINO INOCENCIO</v>
      </c>
      <c r="P488" s="82" t="str">
        <f>IFERROR(__xludf.DUMMYFUNCTION("IFERROR(VLOOKUP(D488,
IMPORTRANGE(""https://docs.google.com/spreadsheets/d/1MjHtlUikwobi2MaWJgy7tfLeBmhj1u-dRFRs_8GwSoA/edit#gid=0"",""Gestores Escolares!D7:J""),7,0),""VERIFICAR CÓD SEC"")"),"(73) 9 9823-1075")</f>
        <v>(73) 9 9823-1075</v>
      </c>
      <c r="Q488" s="82" t="str">
        <f>IFERROR(__xludf.DUMMYFUNCTION("IFERROR(VLOOKUP(D488,
IMPORTRANGE(""https://docs.google.com/spreadsheets/d/1MjHtlUikwobi2MaWJgy7tfLeBmhj1u-dRFRs_8GwSoA/edit#gid=0"",""Gestores Escolares!D7:m""),9,0),""VERIFICAR CÓD SEC"")"),"")</f>
        <v/>
      </c>
      <c r="R488" s="82" t="str">
        <f>IFERROR(__xludf.DUMMYFUNCTION("IFERROR(VLOOKUP(D488,
IMPORTRANGE(""https://docs.google.com/spreadsheets/d/1MjHtlUikwobi2MaWJgy7tfLeBmhj1u-dRFRs_8GwSoA/edit#gid=0"",""Gestores Escolares!D7:m""),10,0),""VERIFICAR CÓD SEC"")"),"")</f>
        <v/>
      </c>
      <c r="S488" s="82"/>
      <c r="T488" s="138">
        <v>3.0</v>
      </c>
      <c r="U488" s="139">
        <v>3.0</v>
      </c>
      <c r="V488" s="106">
        <v>0.0</v>
      </c>
      <c r="W488" s="107">
        <v>0.0</v>
      </c>
      <c r="X488" s="107">
        <v>0.0</v>
      </c>
      <c r="Y488" s="107">
        <v>0.0</v>
      </c>
      <c r="Z488" s="80">
        <f t="shared" si="1"/>
        <v>0</v>
      </c>
      <c r="AA488" s="106">
        <v>0.0</v>
      </c>
      <c r="AB488" s="107">
        <v>0.0</v>
      </c>
      <c r="AC488" s="107">
        <v>0.0</v>
      </c>
      <c r="AD488" s="107">
        <v>0.0</v>
      </c>
      <c r="AE488" s="80">
        <f t="shared" si="2"/>
        <v>0</v>
      </c>
      <c r="AF488" s="140">
        <v>0.0</v>
      </c>
      <c r="AG488" s="109">
        <v>0.0</v>
      </c>
      <c r="AH488" s="109">
        <v>42.0</v>
      </c>
      <c r="AI488" s="141">
        <v>0.0</v>
      </c>
      <c r="AJ488" s="80">
        <f t="shared" si="3"/>
        <v>42</v>
      </c>
      <c r="AK488" s="140">
        <v>0.0</v>
      </c>
      <c r="AL488" s="109">
        <v>0.0</v>
      </c>
      <c r="AM488" s="141">
        <v>0.0</v>
      </c>
      <c r="AN488" s="80">
        <f t="shared" si="4"/>
        <v>0</v>
      </c>
      <c r="AO488" s="140">
        <v>0.0</v>
      </c>
      <c r="AP488" s="109">
        <v>0.0</v>
      </c>
      <c r="AQ488" s="109">
        <v>0.0</v>
      </c>
      <c r="AR488" s="80">
        <f t="shared" si="5"/>
        <v>0</v>
      </c>
      <c r="AS488" s="110">
        <v>0.0</v>
      </c>
      <c r="AT488" s="110">
        <v>0.0</v>
      </c>
      <c r="AU488" s="110">
        <v>0.0</v>
      </c>
      <c r="AV488" s="142">
        <v>0.0</v>
      </c>
      <c r="AW488" s="80">
        <f t="shared" si="6"/>
        <v>0</v>
      </c>
      <c r="AX488" s="113">
        <f t="shared" si="7"/>
        <v>42</v>
      </c>
      <c r="AY488" s="117">
        <f t="shared" si="8"/>
        <v>0</v>
      </c>
      <c r="AZ488" s="120">
        <f t="shared" si="9"/>
        <v>42</v>
      </c>
      <c r="BA488" s="115">
        <v>0.0</v>
      </c>
      <c r="BB488" s="89">
        <f t="shared" si="10"/>
        <v>42</v>
      </c>
      <c r="BC488" s="132" t="s">
        <v>373</v>
      </c>
      <c r="BD488" s="143" t="s">
        <v>227</v>
      </c>
      <c r="BE488" s="132" t="s">
        <v>178</v>
      </c>
      <c r="BF488" s="123"/>
      <c r="BG488" s="83">
        <v>1178521.0</v>
      </c>
      <c r="BH488" s="112"/>
      <c r="BI488" s="112">
        <v>3.0</v>
      </c>
      <c r="BJ488" s="98" t="s">
        <v>155</v>
      </c>
      <c r="BK488" s="99">
        <f t="shared" si="11"/>
        <v>0</v>
      </c>
      <c r="BL488" s="99">
        <f t="shared" si="12"/>
        <v>0</v>
      </c>
      <c r="BM488" s="99" t="str">
        <f>IFERROR(__xludf.DUMMYFUNCTION("IFERROR(VLOOKUP(BG488,IMPORTRANGE(""https://docs.google.com/spreadsheets/d/1juPI-Fb8LD0YtltB2mlGEnp_R3UVu1t3wSFPzgCyHXE/edit?gid=0#gid=0"",""GERAL!A2:C""),3,0),""-"")"),"CAMPO")</f>
        <v>CAMPO</v>
      </c>
    </row>
    <row r="489" ht="15.75" customHeight="1">
      <c r="A489" s="111" t="s">
        <v>605</v>
      </c>
      <c r="B489" s="83" t="s">
        <v>1914</v>
      </c>
      <c r="C489" s="83" t="s">
        <v>164</v>
      </c>
      <c r="D489" s="112">
        <v>1179686.0</v>
      </c>
      <c r="E489" s="83">
        <v>1179692.0</v>
      </c>
      <c r="F489" s="98">
        <v>2.9491584E7</v>
      </c>
      <c r="G489" s="187" t="s">
        <v>1949</v>
      </c>
      <c r="H489" s="91" t="s">
        <v>1950</v>
      </c>
      <c r="I489" s="83" t="s">
        <v>1951</v>
      </c>
      <c r="J489" s="83" t="s">
        <v>222</v>
      </c>
      <c r="K489" s="83" t="s">
        <v>168</v>
      </c>
      <c r="L489" s="83" t="s">
        <v>169</v>
      </c>
      <c r="M489" s="82" t="str">
        <f>IFERROR(__xludf.DUMMYFUNCTION("IFERROR(VLOOKUP(D489,
IMPORTRANGE(""https://docs.google.com/spreadsheets/d/1MjHtlUikwobi2MaWJgy7tfLeBmhj1u-dRFRs_8GwSoA/edit#gid=0"",""Gestores Escolares!D7:J""),3,0),""VERIFICAR CÓD SEC"")"),"NURIA SILVA LYRA ")</f>
        <v>NURIA SILVA LYRA </v>
      </c>
      <c r="N489" s="82" t="str">
        <f>IFERROR(__xludf.DUMMYFUNCTION("IFERROR(VLOOKUP(D489,
IMPORTRANGE(""https://docs.google.com/spreadsheets/d/1MjHtlUikwobi2MaWJgy7tfLeBmhj1u-dRFRs_8GwSoA/edit#gid=0"",""Gestores Escolares!D7:J""),4,0),""VERIFICAR CÓD SEC"")"),"(73) 9 9957-7609")</f>
        <v>(73) 9 9957-7609</v>
      </c>
      <c r="O489" s="82" t="str">
        <f>IFERROR(__xludf.DUMMYFUNCTION("IFERROR(VLOOKUP(D489,
IMPORTRANGE(""https://docs.google.com/spreadsheets/d/1MjHtlUikwobi2MaWJgy7tfLeBmhj1u-dRFRs_8GwSoA/edit#gid=0"",""Gestores Escolares!D7:J""),6,0),""VERIFICAR CÓD SEC"")"),"")</f>
        <v/>
      </c>
      <c r="P489" s="82" t="str">
        <f>IFERROR(__xludf.DUMMYFUNCTION("IFERROR(VLOOKUP(D489,
IMPORTRANGE(""https://docs.google.com/spreadsheets/d/1MjHtlUikwobi2MaWJgy7tfLeBmhj1u-dRFRs_8GwSoA/edit#gid=0"",""Gestores Escolares!D7:J""),7,0),""VERIFICAR CÓD SEC"")"),"")</f>
        <v/>
      </c>
      <c r="Q489" s="82" t="str">
        <f>IFERROR(__xludf.DUMMYFUNCTION("IFERROR(VLOOKUP(D489,
IMPORTRANGE(""https://docs.google.com/spreadsheets/d/1MjHtlUikwobi2MaWJgy7tfLeBmhj1u-dRFRs_8GwSoA/edit#gid=0"",""Gestores Escolares!D7:m""),9,0),""VERIFICAR CÓD SEC"")"),"")</f>
        <v/>
      </c>
      <c r="R489" s="82" t="str">
        <f>IFERROR(__xludf.DUMMYFUNCTION("IFERROR(VLOOKUP(D489,
IMPORTRANGE(""https://docs.google.com/spreadsheets/d/1MjHtlUikwobi2MaWJgy7tfLeBmhj1u-dRFRs_8GwSoA/edit#gid=0"",""Gestores Escolares!D7:m""),10,0),""VERIFICAR CÓD SEC"")"),"")</f>
        <v/>
      </c>
      <c r="S489" s="82"/>
      <c r="T489" s="138">
        <v>4.0</v>
      </c>
      <c r="U489" s="139" t="s">
        <v>171</v>
      </c>
      <c r="V489" s="106">
        <v>0.0</v>
      </c>
      <c r="W489" s="107">
        <v>0.0</v>
      </c>
      <c r="X489" s="107">
        <v>0.0</v>
      </c>
      <c r="Y489" s="107">
        <v>0.0</v>
      </c>
      <c r="Z489" s="80">
        <f t="shared" si="1"/>
        <v>0</v>
      </c>
      <c r="AA489" s="106">
        <v>0.0</v>
      </c>
      <c r="AB489" s="107">
        <v>0.0</v>
      </c>
      <c r="AC489" s="107">
        <v>0.0</v>
      </c>
      <c r="AD489" s="107">
        <v>0.0</v>
      </c>
      <c r="AE489" s="80">
        <f t="shared" si="2"/>
        <v>0</v>
      </c>
      <c r="AF489" s="140">
        <v>0.0</v>
      </c>
      <c r="AG489" s="109">
        <v>0.0</v>
      </c>
      <c r="AH489" s="109">
        <v>0.0</v>
      </c>
      <c r="AI489" s="141">
        <v>0.0</v>
      </c>
      <c r="AJ489" s="80">
        <f t="shared" si="3"/>
        <v>0</v>
      </c>
      <c r="AK489" s="140">
        <v>0.0</v>
      </c>
      <c r="AL489" s="109">
        <v>0.0</v>
      </c>
      <c r="AM489" s="141">
        <v>0.0</v>
      </c>
      <c r="AN489" s="80">
        <f t="shared" si="4"/>
        <v>0</v>
      </c>
      <c r="AO489" s="140">
        <v>0.0</v>
      </c>
      <c r="AP489" s="109">
        <v>0.0</v>
      </c>
      <c r="AQ489" s="109">
        <v>24.0</v>
      </c>
      <c r="AR489" s="80">
        <f t="shared" si="5"/>
        <v>24</v>
      </c>
      <c r="AS489" s="110">
        <v>0.0</v>
      </c>
      <c r="AT489" s="110">
        <v>0.0</v>
      </c>
      <c r="AU489" s="110">
        <v>0.0</v>
      </c>
      <c r="AV489" s="142">
        <v>0.0</v>
      </c>
      <c r="AW489" s="80">
        <f t="shared" si="6"/>
        <v>0</v>
      </c>
      <c r="AX489" s="113">
        <f t="shared" si="7"/>
        <v>24</v>
      </c>
      <c r="AY489" s="117">
        <f t="shared" si="8"/>
        <v>0</v>
      </c>
      <c r="AZ489" s="120">
        <f t="shared" si="9"/>
        <v>24</v>
      </c>
      <c r="BA489" s="115">
        <v>0.0</v>
      </c>
      <c r="BB489" s="89">
        <f t="shared" si="10"/>
        <v>24</v>
      </c>
      <c r="BC489" s="132" t="s">
        <v>631</v>
      </c>
      <c r="BD489" s="132" t="s">
        <v>178</v>
      </c>
      <c r="BE489" s="132" t="s">
        <v>178</v>
      </c>
      <c r="BF489" s="156"/>
      <c r="BG489" s="83">
        <v>1179692.0</v>
      </c>
      <c r="BH489" s="112"/>
      <c r="BI489" s="112">
        <v>4.0</v>
      </c>
      <c r="BJ489" s="98" t="s">
        <v>155</v>
      </c>
      <c r="BK489" s="99">
        <f t="shared" si="11"/>
        <v>0</v>
      </c>
      <c r="BL489" s="99">
        <f t="shared" si="12"/>
        <v>0</v>
      </c>
      <c r="BM489" s="99" t="str">
        <f>IFERROR(__xludf.DUMMYFUNCTION("IFERROR(VLOOKUP(BG489,IMPORTRANGE(""https://docs.google.com/spreadsheets/d/1juPI-Fb8LD0YtltB2mlGEnp_R3UVu1t3wSFPzgCyHXE/edit?gid=0#gid=0"",""GERAL!A2:C""),3,0),""-"")"),"ASSENTAMENTOS")</f>
        <v>ASSENTAMENTOS</v>
      </c>
    </row>
    <row r="490" ht="15.75" customHeight="1">
      <c r="A490" s="111" t="s">
        <v>605</v>
      </c>
      <c r="B490" s="83" t="s">
        <v>1952</v>
      </c>
      <c r="C490" s="83" t="s">
        <v>68</v>
      </c>
      <c r="D490" s="112">
        <v>1113200.0</v>
      </c>
      <c r="E490" s="83"/>
      <c r="F490" s="83">
        <v>2.932248E7</v>
      </c>
      <c r="G490" s="147" t="s">
        <v>1953</v>
      </c>
      <c r="H490" s="91" t="s">
        <v>1954</v>
      </c>
      <c r="I490" s="83" t="s">
        <v>1955</v>
      </c>
      <c r="J490" s="83" t="s">
        <v>150</v>
      </c>
      <c r="K490" s="83" t="s">
        <v>151</v>
      </c>
      <c r="L490" s="83" t="s">
        <v>230</v>
      </c>
      <c r="M490" s="82" t="str">
        <f>IFERROR(__xludf.DUMMYFUNCTION("IFERROR(VLOOKUP(D490,
IMPORTRANGE(""https://docs.google.com/spreadsheets/d/1MjHtlUikwobi2MaWJgy7tfLeBmhj1u-dRFRs_8GwSoA/edit#gid=0"",""Gestores Escolares!D7:J""),3,0),""VERIFICAR CÓD SEC"")"),"MARIA DENISE LISBOA MEDEIROS")</f>
        <v>MARIA DENISE LISBOA MEDEIROS</v>
      </c>
      <c r="N490" s="82" t="str">
        <f>IFERROR(__xludf.DUMMYFUNCTION("IFERROR(VLOOKUP(D490,
IMPORTRANGE(""https://docs.google.com/spreadsheets/d/1MjHtlUikwobi2MaWJgy7tfLeBmhj1u-dRFRs_8GwSoA/edit#gid=0"",""Gestores Escolares!D7:J""),4,0),""VERIFICAR CÓD SEC"")"),"(73) 9 8829-9620")</f>
        <v>(73) 9 8829-9620</v>
      </c>
      <c r="O490" s="82" t="str">
        <f>IFERROR(__xludf.DUMMYFUNCTION("IFERROR(VLOOKUP(D490,
IMPORTRANGE(""https://docs.google.com/spreadsheets/d/1MjHtlUikwobi2MaWJgy7tfLeBmhj1u-dRFRs_8GwSoA/edit#gid=0"",""Gestores Escolares!D7:J""),6,0),""VERIFICAR CÓD SEC"")"),"CREUSA FERREIRA DOS SANTOS")</f>
        <v>CREUSA FERREIRA DOS SANTOS</v>
      </c>
      <c r="P490" s="82" t="str">
        <f>IFERROR(__xludf.DUMMYFUNCTION("IFERROR(VLOOKUP(D490,
IMPORTRANGE(""https://docs.google.com/spreadsheets/d/1MjHtlUikwobi2MaWJgy7tfLeBmhj1u-dRFRs_8GwSoA/edit#gid=0"",""Gestores Escolares!D7:J""),7,0),""VERIFICAR CÓD SEC"")"),"(73) 9 9932-0715")</f>
        <v>(73) 9 9932-0715</v>
      </c>
      <c r="Q490" s="82" t="str">
        <f>IFERROR(__xludf.DUMMYFUNCTION("IFERROR(VLOOKUP(D490,
IMPORTRANGE(""https://docs.google.com/spreadsheets/d/1MjHtlUikwobi2MaWJgy7tfLeBmhj1u-dRFRs_8GwSoA/edit#gid=0"",""Gestores Escolares!D7:m""),9,0),""VERIFICAR CÓD SEC"")"),"")</f>
        <v/>
      </c>
      <c r="R490" s="82" t="str">
        <f>IFERROR(__xludf.DUMMYFUNCTION("IFERROR(VLOOKUP(D490,
IMPORTRANGE(""https://docs.google.com/spreadsheets/d/1MjHtlUikwobi2MaWJgy7tfLeBmhj1u-dRFRs_8GwSoA/edit#gid=0"",""Gestores Escolares!D7:m""),10,0),""VERIFICAR CÓD SEC"")"),"")</f>
        <v/>
      </c>
      <c r="S490" s="82"/>
      <c r="T490" s="138">
        <v>10.0</v>
      </c>
      <c r="U490" s="145">
        <v>10.0</v>
      </c>
      <c r="V490" s="106">
        <v>0.0</v>
      </c>
      <c r="W490" s="107">
        <v>0.0</v>
      </c>
      <c r="X490" s="107">
        <v>0.0</v>
      </c>
      <c r="Y490" s="107">
        <v>0.0</v>
      </c>
      <c r="Z490" s="80">
        <f t="shared" si="1"/>
        <v>0</v>
      </c>
      <c r="AA490" s="106">
        <v>0.0</v>
      </c>
      <c r="AB490" s="107">
        <v>0.0</v>
      </c>
      <c r="AC490" s="107">
        <v>0.0</v>
      </c>
      <c r="AD490" s="107">
        <v>0.0</v>
      </c>
      <c r="AE490" s="80">
        <f t="shared" si="2"/>
        <v>0</v>
      </c>
      <c r="AF490" s="140">
        <v>0.0</v>
      </c>
      <c r="AG490" s="109">
        <v>0.0</v>
      </c>
      <c r="AH490" s="109">
        <v>0.0</v>
      </c>
      <c r="AI490" s="141">
        <v>212.0</v>
      </c>
      <c r="AJ490" s="80">
        <f t="shared" si="3"/>
        <v>212</v>
      </c>
      <c r="AK490" s="140">
        <v>0.0</v>
      </c>
      <c r="AL490" s="109">
        <v>0.0</v>
      </c>
      <c r="AM490" s="141">
        <v>0.0</v>
      </c>
      <c r="AN490" s="80">
        <f t="shared" si="4"/>
        <v>0</v>
      </c>
      <c r="AO490" s="140">
        <v>0.0</v>
      </c>
      <c r="AP490" s="109">
        <v>0.0</v>
      </c>
      <c r="AQ490" s="109">
        <v>63.0</v>
      </c>
      <c r="AR490" s="80">
        <f t="shared" si="5"/>
        <v>63</v>
      </c>
      <c r="AS490" s="110">
        <v>0.0</v>
      </c>
      <c r="AT490" s="110">
        <v>0.0</v>
      </c>
      <c r="AU490" s="110">
        <v>0.0</v>
      </c>
      <c r="AV490" s="142">
        <v>67.0</v>
      </c>
      <c r="AW490" s="80">
        <f t="shared" si="6"/>
        <v>67</v>
      </c>
      <c r="AX490" s="113">
        <f t="shared" si="7"/>
        <v>342</v>
      </c>
      <c r="AY490" s="117">
        <f t="shared" si="8"/>
        <v>279</v>
      </c>
      <c r="AZ490" s="120">
        <f t="shared" si="9"/>
        <v>63</v>
      </c>
      <c r="BA490" s="115">
        <v>0.0</v>
      </c>
      <c r="BB490" s="89">
        <f t="shared" si="10"/>
        <v>342</v>
      </c>
      <c r="BC490" s="132" t="s">
        <v>178</v>
      </c>
      <c r="BD490" s="132" t="s">
        <v>178</v>
      </c>
      <c r="BE490" s="132" t="s">
        <v>178</v>
      </c>
      <c r="BF490" s="123"/>
      <c r="BG490" s="83">
        <v>1113200.0</v>
      </c>
      <c r="BH490" s="112"/>
      <c r="BI490" s="112">
        <v>11.0</v>
      </c>
      <c r="BJ490" s="98" t="s">
        <v>284</v>
      </c>
      <c r="BK490" s="99">
        <f t="shared" si="11"/>
        <v>279</v>
      </c>
      <c r="BL490" s="99">
        <f t="shared" si="12"/>
        <v>0</v>
      </c>
      <c r="BM490" s="99" t="str">
        <f>IFERROR(__xludf.DUMMYFUNCTION("IFERROR(VLOOKUP(BG490,IMPORTRANGE(""https://docs.google.com/spreadsheets/d/1juPI-Fb8LD0YtltB2mlGEnp_R3UVu1t3wSFPzgCyHXE/edit?gid=0#gid=0"",""GERAL!A2:C""),3,0),""-"")"),"-")</f>
        <v>-</v>
      </c>
    </row>
    <row r="491" ht="15.75" customHeight="1">
      <c r="A491" s="111" t="s">
        <v>605</v>
      </c>
      <c r="B491" s="83" t="s">
        <v>1952</v>
      </c>
      <c r="C491" s="83" t="s">
        <v>164</v>
      </c>
      <c r="D491" s="112">
        <v>1179713.0</v>
      </c>
      <c r="E491" s="83">
        <v>1178552.0</v>
      </c>
      <c r="F491" s="98">
        <v>2.9483247E7</v>
      </c>
      <c r="G491" s="184" t="s">
        <v>1959</v>
      </c>
      <c r="H491" s="91" t="s">
        <v>1960</v>
      </c>
      <c r="I491" s="83" t="s">
        <v>1961</v>
      </c>
      <c r="J491" s="83" t="s">
        <v>331</v>
      </c>
      <c r="K491" s="83" t="s">
        <v>168</v>
      </c>
      <c r="L491" s="83" t="s">
        <v>169</v>
      </c>
      <c r="M491" s="82" t="str">
        <f>IFERROR(__xludf.DUMMYFUNCTION("IFERROR(VLOOKUP(D491,
IMPORTRANGE(""https://docs.google.com/spreadsheets/d/1MjHtlUikwobi2MaWJgy7tfLeBmhj1u-dRFRs_8GwSoA/edit#gid=0"",""Gestores Escolares!D7:J""),3,0),""VERIFICAR CÓD SEC"")"),"MARIA DIAS ASSUNCAO")</f>
        <v>MARIA DIAS ASSUNCAO</v>
      </c>
      <c r="N491" s="82" t="str">
        <f>IFERROR(__xludf.DUMMYFUNCTION("IFERROR(VLOOKUP(D491,
IMPORTRANGE(""https://docs.google.com/spreadsheets/d/1MjHtlUikwobi2MaWJgy7tfLeBmhj1u-dRFRs_8GwSoA/edit#gid=0"",""Gestores Escolares!D7:J""),4,0),""VERIFICAR CÓD SEC"")"),"(73) 9 9961-2626")</f>
        <v>(73) 9 9961-2626</v>
      </c>
      <c r="O491" s="82" t="str">
        <f>IFERROR(__xludf.DUMMYFUNCTION("IFERROR(VLOOKUP(D491,
IMPORTRANGE(""https://docs.google.com/spreadsheets/d/1MjHtlUikwobi2MaWJgy7tfLeBmhj1u-dRFRs_8GwSoA/edit#gid=0"",""Gestores Escolares!D7:J""),6,0),""VERIFICAR CÓD SEC"")"),"FERNANDA AURELINO INOCENCIO")</f>
        <v>FERNANDA AURELINO INOCENCIO</v>
      </c>
      <c r="P491" s="82" t="str">
        <f>IFERROR(__xludf.DUMMYFUNCTION("IFERROR(VLOOKUP(D491,
IMPORTRANGE(""https://docs.google.com/spreadsheets/d/1MjHtlUikwobi2MaWJgy7tfLeBmhj1u-dRFRs_8GwSoA/edit#gid=0"",""Gestores Escolares!D7:J""),7,0),""VERIFICAR CÓD SEC"")"),"(73) 9 9823-1075")</f>
        <v>(73) 9 9823-1075</v>
      </c>
      <c r="Q491" s="82" t="str">
        <f>IFERROR(__xludf.DUMMYFUNCTION("IFERROR(VLOOKUP(D491,
IMPORTRANGE(""https://docs.google.com/spreadsheets/d/1MjHtlUikwobi2MaWJgy7tfLeBmhj1u-dRFRs_8GwSoA/edit#gid=0"",""Gestores Escolares!D7:m""),9,0),""VERIFICAR CÓD SEC"")"),"")</f>
        <v/>
      </c>
      <c r="R491" s="82" t="str">
        <f>IFERROR(__xludf.DUMMYFUNCTION("IFERROR(VLOOKUP(D491,
IMPORTRANGE(""https://docs.google.com/spreadsheets/d/1MjHtlUikwobi2MaWJgy7tfLeBmhj1u-dRFRs_8GwSoA/edit#gid=0"",""Gestores Escolares!D7:m""),10,0),""VERIFICAR CÓD SEC"")"),"")</f>
        <v/>
      </c>
      <c r="S491" s="82"/>
      <c r="T491" s="138">
        <v>3.0</v>
      </c>
      <c r="U491" s="139">
        <v>3.0</v>
      </c>
      <c r="V491" s="106">
        <v>0.0</v>
      </c>
      <c r="W491" s="107">
        <v>0.0</v>
      </c>
      <c r="X491" s="107">
        <v>0.0</v>
      </c>
      <c r="Y491" s="107">
        <v>0.0</v>
      </c>
      <c r="Z491" s="80">
        <f t="shared" si="1"/>
        <v>0</v>
      </c>
      <c r="AA491" s="106">
        <v>0.0</v>
      </c>
      <c r="AB491" s="107">
        <v>0.0</v>
      </c>
      <c r="AC491" s="107">
        <v>0.0</v>
      </c>
      <c r="AD491" s="107">
        <v>0.0</v>
      </c>
      <c r="AE491" s="80">
        <f t="shared" si="2"/>
        <v>0</v>
      </c>
      <c r="AF491" s="140">
        <v>0.0</v>
      </c>
      <c r="AG491" s="109">
        <v>0.0</v>
      </c>
      <c r="AH491" s="109">
        <v>13.0</v>
      </c>
      <c r="AI491" s="141">
        <v>0.0</v>
      </c>
      <c r="AJ491" s="80">
        <f t="shared" si="3"/>
        <v>13</v>
      </c>
      <c r="AK491" s="140">
        <v>0.0</v>
      </c>
      <c r="AL491" s="109">
        <v>0.0</v>
      </c>
      <c r="AM491" s="141">
        <v>0.0</v>
      </c>
      <c r="AN491" s="80">
        <f t="shared" si="4"/>
        <v>0</v>
      </c>
      <c r="AO491" s="140">
        <v>0.0</v>
      </c>
      <c r="AP491" s="109">
        <v>0.0</v>
      </c>
      <c r="AQ491" s="109">
        <v>0.0</v>
      </c>
      <c r="AR491" s="80">
        <f t="shared" si="5"/>
        <v>0</v>
      </c>
      <c r="AS491" s="110">
        <v>0.0</v>
      </c>
      <c r="AT491" s="110">
        <v>0.0</v>
      </c>
      <c r="AU491" s="110">
        <v>0.0</v>
      </c>
      <c r="AV491" s="142">
        <v>0.0</v>
      </c>
      <c r="AW491" s="80">
        <f t="shared" si="6"/>
        <v>0</v>
      </c>
      <c r="AX491" s="113">
        <f t="shared" si="7"/>
        <v>13</v>
      </c>
      <c r="AY491" s="117">
        <f t="shared" si="8"/>
        <v>0</v>
      </c>
      <c r="AZ491" s="120">
        <f t="shared" si="9"/>
        <v>13</v>
      </c>
      <c r="BA491" s="115">
        <v>0.0</v>
      </c>
      <c r="BB491" s="89">
        <f t="shared" si="10"/>
        <v>13</v>
      </c>
      <c r="BC491" s="132" t="s">
        <v>178</v>
      </c>
      <c r="BD491" s="143" t="s">
        <v>227</v>
      </c>
      <c r="BE491" s="132" t="s">
        <v>178</v>
      </c>
      <c r="BF491" s="123"/>
      <c r="BG491" s="83">
        <v>1178552.0</v>
      </c>
      <c r="BH491" s="112"/>
      <c r="BI491" s="112">
        <v>3.0</v>
      </c>
      <c r="BJ491" s="98" t="s">
        <v>155</v>
      </c>
      <c r="BK491" s="99">
        <f t="shared" si="11"/>
        <v>0</v>
      </c>
      <c r="BL491" s="99">
        <f t="shared" si="12"/>
        <v>0</v>
      </c>
      <c r="BM491" s="99" t="str">
        <f>IFERROR(__xludf.DUMMYFUNCTION("IFERROR(VLOOKUP(BG491,IMPORTRANGE(""https://docs.google.com/spreadsheets/d/1juPI-Fb8LD0YtltB2mlGEnp_R3UVu1t3wSFPzgCyHXE/edit?gid=0#gid=0"",""GERAL!A2:C""),3,0),""-"")"),"-")</f>
        <v>-</v>
      </c>
    </row>
    <row r="492" ht="15.75" customHeight="1">
      <c r="A492" s="111" t="s">
        <v>605</v>
      </c>
      <c r="B492" s="83" t="s">
        <v>1952</v>
      </c>
      <c r="C492" s="83" t="s">
        <v>164</v>
      </c>
      <c r="D492" s="112">
        <v>1179713.0</v>
      </c>
      <c r="E492" s="83">
        <v>1178553.0</v>
      </c>
      <c r="F492" s="98">
        <v>2.9483247E7</v>
      </c>
      <c r="G492" s="184" t="s">
        <v>1962</v>
      </c>
      <c r="H492" s="91" t="s">
        <v>1963</v>
      </c>
      <c r="I492" s="83" t="s">
        <v>1964</v>
      </c>
      <c r="J492" s="83" t="s">
        <v>240</v>
      </c>
      <c r="K492" s="83" t="s">
        <v>168</v>
      </c>
      <c r="L492" s="83" t="s">
        <v>169</v>
      </c>
      <c r="M492" s="82" t="str">
        <f>IFERROR(__xludf.DUMMYFUNCTION("IFERROR(VLOOKUP(D492,
IMPORTRANGE(""https://docs.google.com/spreadsheets/d/1MjHtlUikwobi2MaWJgy7tfLeBmhj1u-dRFRs_8GwSoA/edit#gid=0"",""Gestores Escolares!D7:J""),3,0),""VERIFICAR CÓD SEC"")"),"MARIA DIAS ASSUNCAO")</f>
        <v>MARIA DIAS ASSUNCAO</v>
      </c>
      <c r="N492" s="82" t="str">
        <f>IFERROR(__xludf.DUMMYFUNCTION("IFERROR(VLOOKUP(D492,
IMPORTRANGE(""https://docs.google.com/spreadsheets/d/1MjHtlUikwobi2MaWJgy7tfLeBmhj1u-dRFRs_8GwSoA/edit#gid=0"",""Gestores Escolares!D7:J""),4,0),""VERIFICAR CÓD SEC"")"),"(73) 9 9961-2626")</f>
        <v>(73) 9 9961-2626</v>
      </c>
      <c r="O492" s="82" t="str">
        <f>IFERROR(__xludf.DUMMYFUNCTION("IFERROR(VLOOKUP(D492,
IMPORTRANGE(""https://docs.google.com/spreadsheets/d/1MjHtlUikwobi2MaWJgy7tfLeBmhj1u-dRFRs_8GwSoA/edit#gid=0"",""Gestores Escolares!D7:J""),6,0),""VERIFICAR CÓD SEC"")"),"FERNANDA AURELINO INOCENCIO")</f>
        <v>FERNANDA AURELINO INOCENCIO</v>
      </c>
      <c r="P492" s="82" t="str">
        <f>IFERROR(__xludf.DUMMYFUNCTION("IFERROR(VLOOKUP(D492,
IMPORTRANGE(""https://docs.google.com/spreadsheets/d/1MjHtlUikwobi2MaWJgy7tfLeBmhj1u-dRFRs_8GwSoA/edit#gid=0"",""Gestores Escolares!D7:J""),7,0),""VERIFICAR CÓD SEC"")"),"(73) 9 9823-1075")</f>
        <v>(73) 9 9823-1075</v>
      </c>
      <c r="Q492" s="82" t="str">
        <f>IFERROR(__xludf.DUMMYFUNCTION("IFERROR(VLOOKUP(D492,
IMPORTRANGE(""https://docs.google.com/spreadsheets/d/1MjHtlUikwobi2MaWJgy7tfLeBmhj1u-dRFRs_8GwSoA/edit#gid=0"",""Gestores Escolares!D7:m""),9,0),""VERIFICAR CÓD SEC"")"),"")</f>
        <v/>
      </c>
      <c r="R492" s="82" t="str">
        <f>IFERROR(__xludf.DUMMYFUNCTION("IFERROR(VLOOKUP(D492,
IMPORTRANGE(""https://docs.google.com/spreadsheets/d/1MjHtlUikwobi2MaWJgy7tfLeBmhj1u-dRFRs_8GwSoA/edit#gid=0"",""Gestores Escolares!D7:m""),10,0),""VERIFICAR CÓD SEC"")"),"")</f>
        <v/>
      </c>
      <c r="S492" s="82"/>
      <c r="T492" s="138">
        <v>1.0</v>
      </c>
      <c r="U492" s="139">
        <v>1.0</v>
      </c>
      <c r="V492" s="106">
        <v>0.0</v>
      </c>
      <c r="W492" s="107">
        <v>0.0</v>
      </c>
      <c r="X492" s="107">
        <v>0.0</v>
      </c>
      <c r="Y492" s="107">
        <v>0.0</v>
      </c>
      <c r="Z492" s="80">
        <f t="shared" si="1"/>
        <v>0</v>
      </c>
      <c r="AA492" s="106">
        <v>0.0</v>
      </c>
      <c r="AB492" s="107">
        <v>0.0</v>
      </c>
      <c r="AC492" s="107">
        <v>0.0</v>
      </c>
      <c r="AD492" s="107">
        <v>0.0</v>
      </c>
      <c r="AE492" s="80">
        <f t="shared" si="2"/>
        <v>0</v>
      </c>
      <c r="AF492" s="140">
        <v>3.0</v>
      </c>
      <c r="AG492" s="109">
        <v>0.0</v>
      </c>
      <c r="AH492" s="109">
        <v>5.0</v>
      </c>
      <c r="AI492" s="141">
        <v>0.0</v>
      </c>
      <c r="AJ492" s="80">
        <f t="shared" si="3"/>
        <v>8</v>
      </c>
      <c r="AK492" s="140">
        <v>0.0</v>
      </c>
      <c r="AL492" s="109">
        <v>0.0</v>
      </c>
      <c r="AM492" s="141">
        <v>0.0</v>
      </c>
      <c r="AN492" s="80">
        <f t="shared" si="4"/>
        <v>0</v>
      </c>
      <c r="AO492" s="140">
        <v>0.0</v>
      </c>
      <c r="AP492" s="109">
        <v>0.0</v>
      </c>
      <c r="AQ492" s="109">
        <v>0.0</v>
      </c>
      <c r="AR492" s="80">
        <f t="shared" si="5"/>
        <v>0</v>
      </c>
      <c r="AS492" s="110">
        <v>0.0</v>
      </c>
      <c r="AT492" s="110">
        <v>0.0</v>
      </c>
      <c r="AU492" s="110">
        <v>0.0</v>
      </c>
      <c r="AV492" s="142">
        <v>0.0</v>
      </c>
      <c r="AW492" s="80">
        <f t="shared" si="6"/>
        <v>0</v>
      </c>
      <c r="AX492" s="113">
        <f t="shared" si="7"/>
        <v>8</v>
      </c>
      <c r="AY492" s="117">
        <f t="shared" si="8"/>
        <v>3</v>
      </c>
      <c r="AZ492" s="120">
        <f t="shared" si="9"/>
        <v>5</v>
      </c>
      <c r="BA492" s="115">
        <v>0.0</v>
      </c>
      <c r="BB492" s="89">
        <f t="shared" si="10"/>
        <v>8</v>
      </c>
      <c r="BC492" s="132" t="s">
        <v>178</v>
      </c>
      <c r="BD492" s="143" t="s">
        <v>227</v>
      </c>
      <c r="BE492" s="132" t="s">
        <v>178</v>
      </c>
      <c r="BF492" s="123"/>
      <c r="BG492" s="83">
        <v>1178553.0</v>
      </c>
      <c r="BH492" s="112"/>
      <c r="BI492" s="112">
        <v>1.0</v>
      </c>
      <c r="BJ492" s="98" t="s">
        <v>155</v>
      </c>
      <c r="BK492" s="99">
        <f t="shared" si="11"/>
        <v>0</v>
      </c>
      <c r="BL492" s="99">
        <f t="shared" si="12"/>
        <v>3</v>
      </c>
      <c r="BM492" s="99" t="str">
        <f>IFERROR(__xludf.DUMMYFUNCTION("IFERROR(VLOOKUP(BG492,IMPORTRANGE(""https://docs.google.com/spreadsheets/d/1juPI-Fb8LD0YtltB2mlGEnp_R3UVu1t3wSFPzgCyHXE/edit?gid=0#gid=0"",""GERAL!A2:C""),3,0),""-"")"),"-")</f>
        <v>-</v>
      </c>
    </row>
    <row r="493" ht="15.75" customHeight="1">
      <c r="A493" s="111" t="s">
        <v>605</v>
      </c>
      <c r="B493" s="83" t="s">
        <v>1952</v>
      </c>
      <c r="C493" s="83" t="s">
        <v>164</v>
      </c>
      <c r="D493" s="112">
        <v>1179713.0</v>
      </c>
      <c r="E493" s="98">
        <v>1178551.0</v>
      </c>
      <c r="F493" s="98">
        <v>2.9483247E7</v>
      </c>
      <c r="G493" s="184" t="s">
        <v>1966</v>
      </c>
      <c r="H493" s="91"/>
      <c r="I493" s="83"/>
      <c r="J493" s="83"/>
      <c r="K493" s="83" t="s">
        <v>168</v>
      </c>
      <c r="L493" s="83" t="s">
        <v>169</v>
      </c>
      <c r="M493" s="82" t="str">
        <f>IFERROR(__xludf.DUMMYFUNCTION("IFERROR(VLOOKUP(D493,
IMPORTRANGE(""https://docs.google.com/spreadsheets/d/1MjHtlUikwobi2MaWJgy7tfLeBmhj1u-dRFRs_8GwSoA/edit#gid=0"",""Gestores Escolares!D7:J""),3,0),""VERIFICAR CÓD SEC"")"),"MARIA DIAS ASSUNCAO")</f>
        <v>MARIA DIAS ASSUNCAO</v>
      </c>
      <c r="N493" s="82" t="str">
        <f>IFERROR(__xludf.DUMMYFUNCTION("IFERROR(VLOOKUP(D493,
IMPORTRANGE(""https://docs.google.com/spreadsheets/d/1MjHtlUikwobi2MaWJgy7tfLeBmhj1u-dRFRs_8GwSoA/edit#gid=0"",""Gestores Escolares!D7:J""),4,0),""VERIFICAR CÓD SEC"")"),"(73) 9 9961-2626")</f>
        <v>(73) 9 9961-2626</v>
      </c>
      <c r="O493" s="82" t="str">
        <f>IFERROR(__xludf.DUMMYFUNCTION("IFERROR(VLOOKUP(D493,
IMPORTRANGE(""https://docs.google.com/spreadsheets/d/1MjHtlUikwobi2MaWJgy7tfLeBmhj1u-dRFRs_8GwSoA/edit#gid=0"",""Gestores Escolares!D7:J""),6,0),""VERIFICAR CÓD SEC"")"),"FERNANDA AURELINO INOCENCIO")</f>
        <v>FERNANDA AURELINO INOCENCIO</v>
      </c>
      <c r="P493" s="82" t="str">
        <f>IFERROR(__xludf.DUMMYFUNCTION("IFERROR(VLOOKUP(D493,
IMPORTRANGE(""https://docs.google.com/spreadsheets/d/1MjHtlUikwobi2MaWJgy7tfLeBmhj1u-dRFRs_8GwSoA/edit#gid=0"",""Gestores Escolares!D7:J""),7,0),""VERIFICAR CÓD SEC"")"),"(73) 9 9823-1075")</f>
        <v>(73) 9 9823-1075</v>
      </c>
      <c r="Q493" s="82" t="str">
        <f>IFERROR(__xludf.DUMMYFUNCTION("IFERROR(VLOOKUP(D493,
IMPORTRANGE(""https://docs.google.com/spreadsheets/d/1MjHtlUikwobi2MaWJgy7tfLeBmhj1u-dRFRs_8GwSoA/edit#gid=0"",""Gestores Escolares!D7:m""),9,0),""VERIFICAR CÓD SEC"")"),"")</f>
        <v/>
      </c>
      <c r="R493" s="82" t="str">
        <f>IFERROR(__xludf.DUMMYFUNCTION("IFERROR(VLOOKUP(D493,
IMPORTRANGE(""https://docs.google.com/spreadsheets/d/1MjHtlUikwobi2MaWJgy7tfLeBmhj1u-dRFRs_8GwSoA/edit#gid=0"",""Gestores Escolares!D7:m""),10,0),""VERIFICAR CÓD SEC"")"),"")</f>
        <v/>
      </c>
      <c r="S493" s="82"/>
      <c r="T493" s="138"/>
      <c r="U493" s="145">
        <v>1.0</v>
      </c>
      <c r="V493" s="106">
        <v>0.0</v>
      </c>
      <c r="W493" s="107">
        <v>0.0</v>
      </c>
      <c r="X493" s="107">
        <v>0.0</v>
      </c>
      <c r="Y493" s="107">
        <v>0.0</v>
      </c>
      <c r="Z493" s="80">
        <f t="shared" si="1"/>
        <v>0</v>
      </c>
      <c r="AA493" s="106">
        <v>0.0</v>
      </c>
      <c r="AB493" s="107">
        <v>0.0</v>
      </c>
      <c r="AC493" s="107">
        <v>0.0</v>
      </c>
      <c r="AD493" s="107">
        <v>0.0</v>
      </c>
      <c r="AE493" s="80">
        <f t="shared" si="2"/>
        <v>0</v>
      </c>
      <c r="AF493" s="140">
        <v>3.0</v>
      </c>
      <c r="AG493" s="109">
        <v>2.0</v>
      </c>
      <c r="AH493" s="109">
        <v>2.0</v>
      </c>
      <c r="AI493" s="141">
        <v>0.0</v>
      </c>
      <c r="AJ493" s="80">
        <f t="shared" si="3"/>
        <v>7</v>
      </c>
      <c r="AK493" s="140">
        <v>0.0</v>
      </c>
      <c r="AL493" s="109">
        <v>0.0</v>
      </c>
      <c r="AM493" s="141">
        <v>0.0</v>
      </c>
      <c r="AN493" s="80">
        <f t="shared" si="4"/>
        <v>0</v>
      </c>
      <c r="AO493" s="140">
        <v>0.0</v>
      </c>
      <c r="AP493" s="109">
        <v>0.0</v>
      </c>
      <c r="AQ493" s="109">
        <v>0.0</v>
      </c>
      <c r="AR493" s="80">
        <f t="shared" si="5"/>
        <v>0</v>
      </c>
      <c r="AS493" s="110">
        <v>0.0</v>
      </c>
      <c r="AT493" s="110">
        <v>0.0</v>
      </c>
      <c r="AU493" s="110">
        <v>0.0</v>
      </c>
      <c r="AV493" s="142">
        <v>0.0</v>
      </c>
      <c r="AW493" s="80">
        <f t="shared" si="6"/>
        <v>0</v>
      </c>
      <c r="AX493" s="113">
        <f t="shared" si="7"/>
        <v>7</v>
      </c>
      <c r="AY493" s="117">
        <f t="shared" si="8"/>
        <v>5</v>
      </c>
      <c r="AZ493" s="120">
        <f t="shared" si="9"/>
        <v>2</v>
      </c>
      <c r="BA493" s="115">
        <v>0.0</v>
      </c>
      <c r="BB493" s="89">
        <f t="shared" si="10"/>
        <v>7</v>
      </c>
      <c r="BC493" s="132"/>
      <c r="BD493" s="132" t="s">
        <v>227</v>
      </c>
      <c r="BE493" s="132"/>
      <c r="BF493" s="123"/>
      <c r="BG493" s="98">
        <v>1178551.0</v>
      </c>
      <c r="BH493" s="112"/>
      <c r="BI493" s="112"/>
      <c r="BJ493" s="98"/>
      <c r="BK493" s="99">
        <f t="shared" si="11"/>
        <v>0</v>
      </c>
      <c r="BL493" s="99">
        <f t="shared" si="12"/>
        <v>5</v>
      </c>
      <c r="BM493" s="99" t="str">
        <f>IFERROR(__xludf.DUMMYFUNCTION("IFERROR(VLOOKUP(BG493,IMPORTRANGE(""https://docs.google.com/spreadsheets/d/1juPI-Fb8LD0YtltB2mlGEnp_R3UVu1t3wSFPzgCyHXE/edit?gid=0#gid=0"",""GERAL!A2:C""),3,0),""-"")"),"-")</f>
        <v>-</v>
      </c>
    </row>
    <row r="494" ht="15.75" customHeight="1">
      <c r="A494" s="111" t="s">
        <v>605</v>
      </c>
      <c r="B494" s="83" t="s">
        <v>1952</v>
      </c>
      <c r="C494" s="83" t="s">
        <v>164</v>
      </c>
      <c r="D494" s="112">
        <v>1179713.0</v>
      </c>
      <c r="E494" s="83">
        <v>1178548.0</v>
      </c>
      <c r="F494" s="98">
        <v>2.9483247E7</v>
      </c>
      <c r="G494" s="184" t="s">
        <v>1971</v>
      </c>
      <c r="H494" s="91" t="s">
        <v>1972</v>
      </c>
      <c r="I494" s="83" t="s">
        <v>1973</v>
      </c>
      <c r="J494" s="83" t="s">
        <v>240</v>
      </c>
      <c r="K494" s="83" t="s">
        <v>168</v>
      </c>
      <c r="L494" s="83" t="s">
        <v>169</v>
      </c>
      <c r="M494" s="82" t="str">
        <f>IFERROR(__xludf.DUMMYFUNCTION("IFERROR(VLOOKUP(D494,
IMPORTRANGE(""https://docs.google.com/spreadsheets/d/1MjHtlUikwobi2MaWJgy7tfLeBmhj1u-dRFRs_8GwSoA/edit#gid=0"",""Gestores Escolares!D7:J""),3,0),""VERIFICAR CÓD SEC"")"),"MARIA DIAS ASSUNCAO")</f>
        <v>MARIA DIAS ASSUNCAO</v>
      </c>
      <c r="N494" s="82" t="str">
        <f>IFERROR(__xludf.DUMMYFUNCTION("IFERROR(VLOOKUP(D494,
IMPORTRANGE(""https://docs.google.com/spreadsheets/d/1MjHtlUikwobi2MaWJgy7tfLeBmhj1u-dRFRs_8GwSoA/edit#gid=0"",""Gestores Escolares!D7:J""),4,0),""VERIFICAR CÓD SEC"")"),"(73) 9 9961-2626")</f>
        <v>(73) 9 9961-2626</v>
      </c>
      <c r="O494" s="82" t="str">
        <f>IFERROR(__xludf.DUMMYFUNCTION("IFERROR(VLOOKUP(D494,
IMPORTRANGE(""https://docs.google.com/spreadsheets/d/1MjHtlUikwobi2MaWJgy7tfLeBmhj1u-dRFRs_8GwSoA/edit#gid=0"",""Gestores Escolares!D7:J""),6,0),""VERIFICAR CÓD SEC"")"),"FERNANDA AURELINO INOCENCIO")</f>
        <v>FERNANDA AURELINO INOCENCIO</v>
      </c>
      <c r="P494" s="82" t="str">
        <f>IFERROR(__xludf.DUMMYFUNCTION("IFERROR(VLOOKUP(D494,
IMPORTRANGE(""https://docs.google.com/spreadsheets/d/1MjHtlUikwobi2MaWJgy7tfLeBmhj1u-dRFRs_8GwSoA/edit#gid=0"",""Gestores Escolares!D7:J""),7,0),""VERIFICAR CÓD SEC"")"),"(73) 9 9823-1075")</f>
        <v>(73) 9 9823-1075</v>
      </c>
      <c r="Q494" s="82" t="str">
        <f>IFERROR(__xludf.DUMMYFUNCTION("IFERROR(VLOOKUP(D494,
IMPORTRANGE(""https://docs.google.com/spreadsheets/d/1MjHtlUikwobi2MaWJgy7tfLeBmhj1u-dRFRs_8GwSoA/edit#gid=0"",""Gestores Escolares!D7:m""),9,0),""VERIFICAR CÓD SEC"")"),"")</f>
        <v/>
      </c>
      <c r="R494" s="82" t="str">
        <f>IFERROR(__xludf.DUMMYFUNCTION("IFERROR(VLOOKUP(D494,
IMPORTRANGE(""https://docs.google.com/spreadsheets/d/1MjHtlUikwobi2MaWJgy7tfLeBmhj1u-dRFRs_8GwSoA/edit#gid=0"",""Gestores Escolares!D7:m""),10,0),""VERIFICAR CÓD SEC"")"),"")</f>
        <v/>
      </c>
      <c r="S494" s="82"/>
      <c r="T494" s="138">
        <v>1.0</v>
      </c>
      <c r="U494" s="139">
        <v>1.0</v>
      </c>
      <c r="V494" s="106">
        <v>0.0</v>
      </c>
      <c r="W494" s="107">
        <v>0.0</v>
      </c>
      <c r="X494" s="107">
        <v>0.0</v>
      </c>
      <c r="Y494" s="107">
        <v>0.0</v>
      </c>
      <c r="Z494" s="80">
        <f t="shared" si="1"/>
        <v>0</v>
      </c>
      <c r="AA494" s="106">
        <v>0.0</v>
      </c>
      <c r="AB494" s="107">
        <v>0.0</v>
      </c>
      <c r="AC494" s="107">
        <v>0.0</v>
      </c>
      <c r="AD494" s="107">
        <v>0.0</v>
      </c>
      <c r="AE494" s="80">
        <f t="shared" si="2"/>
        <v>0</v>
      </c>
      <c r="AF494" s="140">
        <v>0.0</v>
      </c>
      <c r="AG494" s="109">
        <v>7.0</v>
      </c>
      <c r="AH494" s="109">
        <v>1.0</v>
      </c>
      <c r="AI494" s="141">
        <v>0.0</v>
      </c>
      <c r="AJ494" s="80">
        <f t="shared" si="3"/>
        <v>8</v>
      </c>
      <c r="AK494" s="140">
        <v>0.0</v>
      </c>
      <c r="AL494" s="109">
        <v>0.0</v>
      </c>
      <c r="AM494" s="141">
        <v>0.0</v>
      </c>
      <c r="AN494" s="80">
        <f t="shared" si="4"/>
        <v>0</v>
      </c>
      <c r="AO494" s="140">
        <v>0.0</v>
      </c>
      <c r="AP494" s="109">
        <v>0.0</v>
      </c>
      <c r="AQ494" s="109">
        <v>0.0</v>
      </c>
      <c r="AR494" s="80">
        <f t="shared" si="5"/>
        <v>0</v>
      </c>
      <c r="AS494" s="110">
        <v>0.0</v>
      </c>
      <c r="AT494" s="110">
        <v>0.0</v>
      </c>
      <c r="AU494" s="110">
        <v>0.0</v>
      </c>
      <c r="AV494" s="142">
        <v>0.0</v>
      </c>
      <c r="AW494" s="80">
        <f t="shared" si="6"/>
        <v>0</v>
      </c>
      <c r="AX494" s="113">
        <f t="shared" si="7"/>
        <v>8</v>
      </c>
      <c r="AY494" s="117">
        <f t="shared" si="8"/>
        <v>7</v>
      </c>
      <c r="AZ494" s="120">
        <f t="shared" si="9"/>
        <v>1</v>
      </c>
      <c r="BA494" s="115">
        <v>0.0</v>
      </c>
      <c r="BB494" s="89">
        <f t="shared" si="10"/>
        <v>8</v>
      </c>
      <c r="BC494" s="132" t="s">
        <v>178</v>
      </c>
      <c r="BD494" s="143" t="s">
        <v>227</v>
      </c>
      <c r="BE494" s="132" t="s">
        <v>178</v>
      </c>
      <c r="BF494" s="123"/>
      <c r="BG494" s="83">
        <v>1178548.0</v>
      </c>
      <c r="BH494" s="112"/>
      <c r="BI494" s="112">
        <v>1.0</v>
      </c>
      <c r="BJ494" s="98" t="s">
        <v>155</v>
      </c>
      <c r="BK494" s="99">
        <f t="shared" si="11"/>
        <v>0</v>
      </c>
      <c r="BL494" s="99">
        <f t="shared" si="12"/>
        <v>7</v>
      </c>
      <c r="BM494" s="99" t="str">
        <f>IFERROR(__xludf.DUMMYFUNCTION("IFERROR(VLOOKUP(BG494,IMPORTRANGE(""https://docs.google.com/spreadsheets/d/1juPI-Fb8LD0YtltB2mlGEnp_R3UVu1t3wSFPzgCyHXE/edit?gid=0#gid=0"",""GERAL!A2:C""),3,0),""-"")"),"-")</f>
        <v>-</v>
      </c>
    </row>
    <row r="495" ht="15.75" customHeight="1">
      <c r="A495" s="111" t="s">
        <v>605</v>
      </c>
      <c r="B495" s="83" t="s">
        <v>1952</v>
      </c>
      <c r="C495" s="83" t="s">
        <v>164</v>
      </c>
      <c r="D495" s="112">
        <v>1113200.0</v>
      </c>
      <c r="E495" s="83">
        <v>1178550.0</v>
      </c>
      <c r="F495" s="98">
        <v>2.9493579E7</v>
      </c>
      <c r="G495" s="184" t="s">
        <v>1977</v>
      </c>
      <c r="H495" s="91" t="s">
        <v>1978</v>
      </c>
      <c r="I495" s="83" t="s">
        <v>1979</v>
      </c>
      <c r="J495" s="83" t="s">
        <v>315</v>
      </c>
      <c r="K495" s="83" t="s">
        <v>168</v>
      </c>
      <c r="L495" s="83" t="s">
        <v>169</v>
      </c>
      <c r="M495" s="82" t="str">
        <f>IFERROR(__xludf.DUMMYFUNCTION("IFERROR(VLOOKUP(D495,
IMPORTRANGE(""https://docs.google.com/spreadsheets/d/1MjHtlUikwobi2MaWJgy7tfLeBmhj1u-dRFRs_8GwSoA/edit#gid=0"",""Gestores Escolares!D7:J""),3,0),""VERIFICAR CÓD SEC"")"),"MARIA DENISE LISBOA MEDEIROS")</f>
        <v>MARIA DENISE LISBOA MEDEIROS</v>
      </c>
      <c r="N495" s="82" t="str">
        <f>IFERROR(__xludf.DUMMYFUNCTION("IFERROR(VLOOKUP(D495,
IMPORTRANGE(""https://docs.google.com/spreadsheets/d/1MjHtlUikwobi2MaWJgy7tfLeBmhj1u-dRFRs_8GwSoA/edit#gid=0"",""Gestores Escolares!D7:J""),4,0),""VERIFICAR CÓD SEC"")"),"(73) 9 8829-9620")</f>
        <v>(73) 9 8829-9620</v>
      </c>
      <c r="O495" s="82" t="str">
        <f>IFERROR(__xludf.DUMMYFUNCTION("IFERROR(VLOOKUP(D495,
IMPORTRANGE(""https://docs.google.com/spreadsheets/d/1MjHtlUikwobi2MaWJgy7tfLeBmhj1u-dRFRs_8GwSoA/edit#gid=0"",""Gestores Escolares!D7:J""),6,0),""VERIFICAR CÓD SEC"")"),"CREUSA FERREIRA DOS SANTOS")</f>
        <v>CREUSA FERREIRA DOS SANTOS</v>
      </c>
      <c r="P495" s="82" t="str">
        <f>IFERROR(__xludf.DUMMYFUNCTION("IFERROR(VLOOKUP(D495,
IMPORTRANGE(""https://docs.google.com/spreadsheets/d/1MjHtlUikwobi2MaWJgy7tfLeBmhj1u-dRFRs_8GwSoA/edit#gid=0"",""Gestores Escolares!D7:J""),7,0),""VERIFICAR CÓD SEC"")"),"(73) 9 9932-0715")</f>
        <v>(73) 9 9932-0715</v>
      </c>
      <c r="Q495" s="82" t="str">
        <f>IFERROR(__xludf.DUMMYFUNCTION("IFERROR(VLOOKUP(D495,
IMPORTRANGE(""https://docs.google.com/spreadsheets/d/1MjHtlUikwobi2MaWJgy7tfLeBmhj1u-dRFRs_8GwSoA/edit#gid=0"",""Gestores Escolares!D7:m""),9,0),""VERIFICAR CÓD SEC"")"),"")</f>
        <v/>
      </c>
      <c r="R495" s="82" t="str">
        <f>IFERROR(__xludf.DUMMYFUNCTION("IFERROR(VLOOKUP(D495,
IMPORTRANGE(""https://docs.google.com/spreadsheets/d/1MjHtlUikwobi2MaWJgy7tfLeBmhj1u-dRFRs_8GwSoA/edit#gid=0"",""Gestores Escolares!D7:m""),10,0),""VERIFICAR CÓD SEC"")"),"")</f>
        <v/>
      </c>
      <c r="S495" s="82"/>
      <c r="T495" s="138">
        <v>3.0</v>
      </c>
      <c r="U495" s="139">
        <v>3.0</v>
      </c>
      <c r="V495" s="106">
        <v>0.0</v>
      </c>
      <c r="W495" s="107">
        <v>0.0</v>
      </c>
      <c r="X495" s="107">
        <v>0.0</v>
      </c>
      <c r="Y495" s="107">
        <v>0.0</v>
      </c>
      <c r="Z495" s="80">
        <f t="shared" si="1"/>
        <v>0</v>
      </c>
      <c r="AA495" s="106">
        <v>0.0</v>
      </c>
      <c r="AB495" s="107">
        <v>0.0</v>
      </c>
      <c r="AC495" s="107">
        <v>0.0</v>
      </c>
      <c r="AD495" s="107">
        <v>0.0</v>
      </c>
      <c r="AE495" s="80">
        <f t="shared" si="2"/>
        <v>0</v>
      </c>
      <c r="AF495" s="140">
        <v>0.0</v>
      </c>
      <c r="AG495" s="109">
        <v>0.0</v>
      </c>
      <c r="AH495" s="109">
        <v>0.0</v>
      </c>
      <c r="AI495" s="141">
        <v>0.0</v>
      </c>
      <c r="AJ495" s="80">
        <f t="shared" si="3"/>
        <v>0</v>
      </c>
      <c r="AK495" s="140">
        <v>0.0</v>
      </c>
      <c r="AL495" s="109">
        <v>0.0</v>
      </c>
      <c r="AM495" s="141">
        <v>0.0</v>
      </c>
      <c r="AN495" s="80">
        <f t="shared" si="4"/>
        <v>0</v>
      </c>
      <c r="AO495" s="140">
        <v>0.0</v>
      </c>
      <c r="AP495" s="109">
        <v>0.0</v>
      </c>
      <c r="AQ495" s="109">
        <v>30.0</v>
      </c>
      <c r="AR495" s="80">
        <f t="shared" si="5"/>
        <v>30</v>
      </c>
      <c r="AS495" s="110">
        <v>0.0</v>
      </c>
      <c r="AT495" s="110">
        <v>0.0</v>
      </c>
      <c r="AU495" s="110">
        <v>0.0</v>
      </c>
      <c r="AV495" s="142">
        <v>0.0</v>
      </c>
      <c r="AW495" s="80">
        <f t="shared" si="6"/>
        <v>0</v>
      </c>
      <c r="AX495" s="113">
        <f t="shared" si="7"/>
        <v>30</v>
      </c>
      <c r="AY495" s="117">
        <f t="shared" si="8"/>
        <v>0</v>
      </c>
      <c r="AZ495" s="120">
        <f t="shared" si="9"/>
        <v>30</v>
      </c>
      <c r="BA495" s="115">
        <v>0.0</v>
      </c>
      <c r="BB495" s="89">
        <f t="shared" si="10"/>
        <v>30</v>
      </c>
      <c r="BC495" s="132" t="s">
        <v>373</v>
      </c>
      <c r="BD495" s="132" t="s">
        <v>178</v>
      </c>
      <c r="BE495" s="132" t="s">
        <v>178</v>
      </c>
      <c r="BF495" s="123"/>
      <c r="BG495" s="83">
        <v>1178550.0</v>
      </c>
      <c r="BH495" s="112"/>
      <c r="BI495" s="112">
        <v>3.0</v>
      </c>
      <c r="BJ495" s="98" t="s">
        <v>155</v>
      </c>
      <c r="BK495" s="99">
        <f t="shared" si="11"/>
        <v>0</v>
      </c>
      <c r="BL495" s="99">
        <f t="shared" si="12"/>
        <v>0</v>
      </c>
      <c r="BM495" s="99" t="str">
        <f>IFERROR(__xludf.DUMMYFUNCTION("IFERROR(VLOOKUP(BG495,IMPORTRANGE(""https://docs.google.com/spreadsheets/d/1juPI-Fb8LD0YtltB2mlGEnp_R3UVu1t3wSFPzgCyHXE/edit?gid=0#gid=0"",""GERAL!A2:C""),3,0),""-"")"),"CAMPO")</f>
        <v>CAMPO</v>
      </c>
    </row>
    <row r="496" ht="15.75" customHeight="1">
      <c r="A496" s="111" t="s">
        <v>605</v>
      </c>
      <c r="B496" s="83" t="s">
        <v>1952</v>
      </c>
      <c r="C496" s="83" t="s">
        <v>164</v>
      </c>
      <c r="D496" s="112">
        <v>1113200.0</v>
      </c>
      <c r="E496" s="83">
        <v>1178178.0</v>
      </c>
      <c r="F496" s="98">
        <v>2.949356E7</v>
      </c>
      <c r="G496" s="184" t="s">
        <v>1982</v>
      </c>
      <c r="H496" s="91" t="s">
        <v>1983</v>
      </c>
      <c r="I496" s="146" t="s">
        <v>1984</v>
      </c>
      <c r="J496" s="83" t="s">
        <v>187</v>
      </c>
      <c r="K496" s="83" t="s">
        <v>168</v>
      </c>
      <c r="L496" s="83" t="s">
        <v>169</v>
      </c>
      <c r="M496" s="82" t="str">
        <f>IFERROR(__xludf.DUMMYFUNCTION("IFERROR(VLOOKUP(D496,
IMPORTRANGE(""https://docs.google.com/spreadsheets/d/1MjHtlUikwobi2MaWJgy7tfLeBmhj1u-dRFRs_8GwSoA/edit#gid=0"",""Gestores Escolares!D7:J""),3,0),""VERIFICAR CÓD SEC"")"),"MARIA DENISE LISBOA MEDEIROS")</f>
        <v>MARIA DENISE LISBOA MEDEIROS</v>
      </c>
      <c r="N496" s="82" t="str">
        <f>IFERROR(__xludf.DUMMYFUNCTION("IFERROR(VLOOKUP(D496,
IMPORTRANGE(""https://docs.google.com/spreadsheets/d/1MjHtlUikwobi2MaWJgy7tfLeBmhj1u-dRFRs_8GwSoA/edit#gid=0"",""Gestores Escolares!D7:J""),4,0),""VERIFICAR CÓD SEC"")"),"(73) 9 8829-9620")</f>
        <v>(73) 9 8829-9620</v>
      </c>
      <c r="O496" s="82" t="str">
        <f>IFERROR(__xludf.DUMMYFUNCTION("IFERROR(VLOOKUP(D496,
IMPORTRANGE(""https://docs.google.com/spreadsheets/d/1MjHtlUikwobi2MaWJgy7tfLeBmhj1u-dRFRs_8GwSoA/edit#gid=0"",""Gestores Escolares!D7:J""),6,0),""VERIFICAR CÓD SEC"")"),"CREUSA FERREIRA DOS SANTOS")</f>
        <v>CREUSA FERREIRA DOS SANTOS</v>
      </c>
      <c r="P496" s="82" t="str">
        <f>IFERROR(__xludf.DUMMYFUNCTION("IFERROR(VLOOKUP(D496,
IMPORTRANGE(""https://docs.google.com/spreadsheets/d/1MjHtlUikwobi2MaWJgy7tfLeBmhj1u-dRFRs_8GwSoA/edit#gid=0"",""Gestores Escolares!D7:J""),7,0),""VERIFICAR CÓD SEC"")"),"(73) 9 9932-0715")</f>
        <v>(73) 9 9932-0715</v>
      </c>
      <c r="Q496" s="82" t="str">
        <f>IFERROR(__xludf.DUMMYFUNCTION("IFERROR(VLOOKUP(D496,
IMPORTRANGE(""https://docs.google.com/spreadsheets/d/1MjHtlUikwobi2MaWJgy7tfLeBmhj1u-dRFRs_8GwSoA/edit#gid=0"",""Gestores Escolares!D7:m""),9,0),""VERIFICAR CÓD SEC"")"),"")</f>
        <v/>
      </c>
      <c r="R496" s="82" t="str">
        <f>IFERROR(__xludf.DUMMYFUNCTION("IFERROR(VLOOKUP(D496,
IMPORTRANGE(""https://docs.google.com/spreadsheets/d/1MjHtlUikwobi2MaWJgy7tfLeBmhj1u-dRFRs_8GwSoA/edit#gid=0"",""Gestores Escolares!D7:m""),10,0),""VERIFICAR CÓD SEC"")"),"")</f>
        <v/>
      </c>
      <c r="S496" s="82"/>
      <c r="T496" s="138">
        <v>3.0</v>
      </c>
      <c r="U496" s="139">
        <v>3.0</v>
      </c>
      <c r="V496" s="106">
        <v>0.0</v>
      </c>
      <c r="W496" s="107">
        <v>0.0</v>
      </c>
      <c r="X496" s="107">
        <v>0.0</v>
      </c>
      <c r="Y496" s="107">
        <v>0.0</v>
      </c>
      <c r="Z496" s="80">
        <f t="shared" si="1"/>
        <v>0</v>
      </c>
      <c r="AA496" s="106">
        <v>0.0</v>
      </c>
      <c r="AB496" s="107">
        <v>0.0</v>
      </c>
      <c r="AC496" s="107">
        <v>0.0</v>
      </c>
      <c r="AD496" s="107">
        <v>0.0</v>
      </c>
      <c r="AE496" s="80">
        <f t="shared" si="2"/>
        <v>0</v>
      </c>
      <c r="AF496" s="140">
        <v>38.0</v>
      </c>
      <c r="AG496" s="109">
        <v>0.0</v>
      </c>
      <c r="AH496" s="109">
        <v>0.0</v>
      </c>
      <c r="AI496" s="141">
        <v>0.0</v>
      </c>
      <c r="AJ496" s="80">
        <f t="shared" si="3"/>
        <v>38</v>
      </c>
      <c r="AK496" s="140">
        <v>0.0</v>
      </c>
      <c r="AL496" s="109">
        <v>0.0</v>
      </c>
      <c r="AM496" s="141">
        <v>0.0</v>
      </c>
      <c r="AN496" s="80">
        <f t="shared" si="4"/>
        <v>0</v>
      </c>
      <c r="AO496" s="140">
        <v>0.0</v>
      </c>
      <c r="AP496" s="109">
        <v>0.0</v>
      </c>
      <c r="AQ496" s="109">
        <v>37.0</v>
      </c>
      <c r="AR496" s="80">
        <f t="shared" si="5"/>
        <v>37</v>
      </c>
      <c r="AS496" s="110">
        <v>0.0</v>
      </c>
      <c r="AT496" s="110">
        <v>0.0</v>
      </c>
      <c r="AU496" s="110">
        <v>0.0</v>
      </c>
      <c r="AV496" s="142">
        <v>0.0</v>
      </c>
      <c r="AW496" s="80">
        <f t="shared" si="6"/>
        <v>0</v>
      </c>
      <c r="AX496" s="113">
        <f t="shared" si="7"/>
        <v>75</v>
      </c>
      <c r="AY496" s="117">
        <f t="shared" si="8"/>
        <v>38</v>
      </c>
      <c r="AZ496" s="120">
        <f t="shared" si="9"/>
        <v>37</v>
      </c>
      <c r="BA496" s="115">
        <v>0.0</v>
      </c>
      <c r="BB496" s="89">
        <f t="shared" si="10"/>
        <v>75</v>
      </c>
      <c r="BC496" s="132" t="s">
        <v>373</v>
      </c>
      <c r="BD496" s="132" t="s">
        <v>178</v>
      </c>
      <c r="BE496" s="132" t="s">
        <v>178</v>
      </c>
      <c r="BF496" s="123"/>
      <c r="BG496" s="83">
        <v>1178178.0</v>
      </c>
      <c r="BH496" s="112"/>
      <c r="BI496" s="112">
        <v>3.0</v>
      </c>
      <c r="BJ496" s="98" t="s">
        <v>155</v>
      </c>
      <c r="BK496" s="99">
        <f t="shared" si="11"/>
        <v>0</v>
      </c>
      <c r="BL496" s="99">
        <f t="shared" si="12"/>
        <v>38</v>
      </c>
      <c r="BM496" s="99" t="str">
        <f>IFERROR(__xludf.DUMMYFUNCTION("IFERROR(VLOOKUP(BG496,IMPORTRANGE(""https://docs.google.com/spreadsheets/d/1juPI-Fb8LD0YtltB2mlGEnp_R3UVu1t3wSFPzgCyHXE/edit?gid=0#gid=0"",""GERAL!A2:C""),3,0),""-"")"),"CAMPO")</f>
        <v>CAMPO</v>
      </c>
    </row>
    <row r="497" ht="15.75" customHeight="1">
      <c r="A497" s="111" t="s">
        <v>605</v>
      </c>
      <c r="B497" s="83" t="s">
        <v>1952</v>
      </c>
      <c r="C497" s="83" t="s">
        <v>164</v>
      </c>
      <c r="D497" s="112">
        <v>1113200.0</v>
      </c>
      <c r="E497" s="83">
        <v>1178547.0</v>
      </c>
      <c r="F497" s="98">
        <v>2.9493552E7</v>
      </c>
      <c r="G497" s="184" t="s">
        <v>1988</v>
      </c>
      <c r="H497" s="91" t="s">
        <v>1989</v>
      </c>
      <c r="I497" s="83" t="s">
        <v>1990</v>
      </c>
      <c r="J497" s="83" t="s">
        <v>577</v>
      </c>
      <c r="K497" s="83" t="s">
        <v>168</v>
      </c>
      <c r="L497" s="83" t="s">
        <v>169</v>
      </c>
      <c r="M497" s="82" t="str">
        <f>IFERROR(__xludf.DUMMYFUNCTION("IFERROR(VLOOKUP(D497,
IMPORTRANGE(""https://docs.google.com/spreadsheets/d/1MjHtlUikwobi2MaWJgy7tfLeBmhj1u-dRFRs_8GwSoA/edit#gid=0"",""Gestores Escolares!D7:J""),3,0),""VERIFICAR CÓD SEC"")"),"MARIA DENISE LISBOA MEDEIROS")</f>
        <v>MARIA DENISE LISBOA MEDEIROS</v>
      </c>
      <c r="N497" s="82" t="str">
        <f>IFERROR(__xludf.DUMMYFUNCTION("IFERROR(VLOOKUP(D497,
IMPORTRANGE(""https://docs.google.com/spreadsheets/d/1MjHtlUikwobi2MaWJgy7tfLeBmhj1u-dRFRs_8GwSoA/edit#gid=0"",""Gestores Escolares!D7:J""),4,0),""VERIFICAR CÓD SEC"")"),"(73) 9 8829-9620")</f>
        <v>(73) 9 8829-9620</v>
      </c>
      <c r="O497" s="82" t="str">
        <f>IFERROR(__xludf.DUMMYFUNCTION("IFERROR(VLOOKUP(D497,
IMPORTRANGE(""https://docs.google.com/spreadsheets/d/1MjHtlUikwobi2MaWJgy7tfLeBmhj1u-dRFRs_8GwSoA/edit#gid=0"",""Gestores Escolares!D7:J""),6,0),""VERIFICAR CÓD SEC"")"),"CREUSA FERREIRA DOS SANTOS")</f>
        <v>CREUSA FERREIRA DOS SANTOS</v>
      </c>
      <c r="P497" s="82" t="str">
        <f>IFERROR(__xludf.DUMMYFUNCTION("IFERROR(VLOOKUP(D497,
IMPORTRANGE(""https://docs.google.com/spreadsheets/d/1MjHtlUikwobi2MaWJgy7tfLeBmhj1u-dRFRs_8GwSoA/edit#gid=0"",""Gestores Escolares!D7:J""),7,0),""VERIFICAR CÓD SEC"")"),"(73) 9 9932-0715")</f>
        <v>(73) 9 9932-0715</v>
      </c>
      <c r="Q497" s="82" t="str">
        <f>IFERROR(__xludf.DUMMYFUNCTION("IFERROR(VLOOKUP(D497,
IMPORTRANGE(""https://docs.google.com/spreadsheets/d/1MjHtlUikwobi2MaWJgy7tfLeBmhj1u-dRFRs_8GwSoA/edit#gid=0"",""Gestores Escolares!D7:m""),9,0),""VERIFICAR CÓD SEC"")"),"")</f>
        <v/>
      </c>
      <c r="R497" s="82" t="str">
        <f>IFERROR(__xludf.DUMMYFUNCTION("IFERROR(VLOOKUP(D497,
IMPORTRANGE(""https://docs.google.com/spreadsheets/d/1MjHtlUikwobi2MaWJgy7tfLeBmhj1u-dRFRs_8GwSoA/edit#gid=0"",""Gestores Escolares!D7:m""),10,0),""VERIFICAR CÓD SEC"")"),"")</f>
        <v/>
      </c>
      <c r="S497" s="82"/>
      <c r="T497" s="138">
        <v>3.0</v>
      </c>
      <c r="U497" s="139">
        <v>3.0</v>
      </c>
      <c r="V497" s="106">
        <v>0.0</v>
      </c>
      <c r="W497" s="107">
        <v>0.0</v>
      </c>
      <c r="X497" s="107">
        <v>0.0</v>
      </c>
      <c r="Y497" s="107">
        <v>0.0</v>
      </c>
      <c r="Z497" s="80">
        <f t="shared" si="1"/>
        <v>0</v>
      </c>
      <c r="AA497" s="106">
        <v>0.0</v>
      </c>
      <c r="AB497" s="107">
        <v>0.0</v>
      </c>
      <c r="AC497" s="107">
        <v>0.0</v>
      </c>
      <c r="AD497" s="107">
        <v>0.0</v>
      </c>
      <c r="AE497" s="80">
        <f t="shared" si="2"/>
        <v>0</v>
      </c>
      <c r="AF497" s="140">
        <v>0.0</v>
      </c>
      <c r="AG497" s="109">
        <v>0.0</v>
      </c>
      <c r="AH497" s="109">
        <v>0.0</v>
      </c>
      <c r="AI497" s="141">
        <v>0.0</v>
      </c>
      <c r="AJ497" s="80">
        <f t="shared" si="3"/>
        <v>0</v>
      </c>
      <c r="AK497" s="140">
        <v>0.0</v>
      </c>
      <c r="AL497" s="109">
        <v>0.0</v>
      </c>
      <c r="AM497" s="141">
        <v>0.0</v>
      </c>
      <c r="AN497" s="80">
        <f t="shared" si="4"/>
        <v>0</v>
      </c>
      <c r="AO497" s="140">
        <v>0.0</v>
      </c>
      <c r="AP497" s="109">
        <v>0.0</v>
      </c>
      <c r="AQ497" s="109">
        <v>25.0</v>
      </c>
      <c r="AR497" s="80">
        <f t="shared" si="5"/>
        <v>25</v>
      </c>
      <c r="AS497" s="110">
        <v>0.0</v>
      </c>
      <c r="AT497" s="110">
        <v>0.0</v>
      </c>
      <c r="AU497" s="110">
        <v>0.0</v>
      </c>
      <c r="AV497" s="142">
        <v>0.0</v>
      </c>
      <c r="AW497" s="80">
        <f t="shared" si="6"/>
        <v>0</v>
      </c>
      <c r="AX497" s="113">
        <f t="shared" si="7"/>
        <v>25</v>
      </c>
      <c r="AY497" s="117">
        <f t="shared" si="8"/>
        <v>0</v>
      </c>
      <c r="AZ497" s="120">
        <f t="shared" si="9"/>
        <v>25</v>
      </c>
      <c r="BA497" s="115">
        <v>0.0</v>
      </c>
      <c r="BB497" s="89">
        <f t="shared" si="10"/>
        <v>25</v>
      </c>
      <c r="BC497" s="132" t="s">
        <v>373</v>
      </c>
      <c r="BD497" s="132" t="s">
        <v>178</v>
      </c>
      <c r="BE497" s="132" t="s">
        <v>178</v>
      </c>
      <c r="BF497" s="123"/>
      <c r="BG497" s="83">
        <v>1178547.0</v>
      </c>
      <c r="BH497" s="112"/>
      <c r="BI497" s="112">
        <v>3.0</v>
      </c>
      <c r="BJ497" s="98" t="s">
        <v>155</v>
      </c>
      <c r="BK497" s="99">
        <f t="shared" si="11"/>
        <v>0</v>
      </c>
      <c r="BL497" s="99">
        <f t="shared" si="12"/>
        <v>0</v>
      </c>
      <c r="BM497" s="99" t="str">
        <f>IFERROR(__xludf.DUMMYFUNCTION("IFERROR(VLOOKUP(BG497,IMPORTRANGE(""https://docs.google.com/spreadsheets/d/1juPI-Fb8LD0YtltB2mlGEnp_R3UVu1t3wSFPzgCyHXE/edit?gid=0#gid=0"",""GERAL!A2:C""),3,0),""-"")"),"CAMPO")</f>
        <v>CAMPO</v>
      </c>
    </row>
    <row r="498" ht="15.75" customHeight="1">
      <c r="A498" s="111" t="s">
        <v>605</v>
      </c>
      <c r="B498" s="83" t="s">
        <v>1995</v>
      </c>
      <c r="C498" s="83" t="s">
        <v>68</v>
      </c>
      <c r="D498" s="112">
        <v>1170157.0</v>
      </c>
      <c r="E498" s="83"/>
      <c r="F498" s="83">
        <v>2.93238E7</v>
      </c>
      <c r="G498" s="435" t="s">
        <v>1998</v>
      </c>
      <c r="H498" s="91" t="s">
        <v>2002</v>
      </c>
      <c r="I498" s="83" t="s">
        <v>149</v>
      </c>
      <c r="J498" s="83" t="s">
        <v>150</v>
      </c>
      <c r="K498" s="83" t="s">
        <v>168</v>
      </c>
      <c r="L498" s="83" t="s">
        <v>169</v>
      </c>
      <c r="M498" s="82" t="str">
        <f>IFERROR(__xludf.DUMMYFUNCTION("IFERROR(VLOOKUP(D498,
IMPORTRANGE(""https://docs.google.com/spreadsheets/d/1MjHtlUikwobi2MaWJgy7tfLeBmhj1u-dRFRs_8GwSoA/edit#gid=0"",""Gestores Escolares!D7:J""),3,0),""VERIFICAR CÓD SEC"")"),"LEONARDO PROCOPIO DO CARMO")</f>
        <v>LEONARDO PROCOPIO DO CARMO</v>
      </c>
      <c r="N498" s="82" t="str">
        <f>IFERROR(__xludf.DUMMYFUNCTION("IFERROR(VLOOKUP(D498,
IMPORTRANGE(""https://docs.google.com/spreadsheets/d/1MjHtlUikwobi2MaWJgy7tfLeBmhj1u-dRFRs_8GwSoA/edit#gid=0"",""Gestores Escolares!D7:J""),4,0),""VERIFICAR CÓD SEC"")"),"(73) 9 9822-0058")</f>
        <v>(73) 9 9822-0058</v>
      </c>
      <c r="O498" s="82" t="str">
        <f>IFERROR(__xludf.DUMMYFUNCTION("IFERROR(VLOOKUP(D498,
IMPORTRANGE(""https://docs.google.com/spreadsheets/d/1MjHtlUikwobi2MaWJgy7tfLeBmhj1u-dRFRs_8GwSoA/edit#gid=0"",""Gestores Escolares!D7:J""),6,0),""VERIFICAR CÓD SEC"")"),"")</f>
        <v/>
      </c>
      <c r="P498" s="82" t="str">
        <f>IFERROR(__xludf.DUMMYFUNCTION("IFERROR(VLOOKUP(D498,
IMPORTRANGE(""https://docs.google.com/spreadsheets/d/1MjHtlUikwobi2MaWJgy7tfLeBmhj1u-dRFRs_8GwSoA/edit#gid=0"",""Gestores Escolares!D7:J""),7,0),""VERIFICAR CÓD SEC"")"),"")</f>
        <v/>
      </c>
      <c r="Q498" s="82" t="str">
        <f>IFERROR(__xludf.DUMMYFUNCTION("IFERROR(VLOOKUP(D498,
IMPORTRANGE(""https://docs.google.com/spreadsheets/d/1MjHtlUikwobi2MaWJgy7tfLeBmhj1u-dRFRs_8GwSoA/edit#gid=0"",""Gestores Escolares!D7:m""),9,0),""VERIFICAR CÓD SEC"")"),"")</f>
        <v/>
      </c>
      <c r="R498" s="82" t="str">
        <f>IFERROR(__xludf.DUMMYFUNCTION("IFERROR(VLOOKUP(D498,
IMPORTRANGE(""https://docs.google.com/spreadsheets/d/1MjHtlUikwobi2MaWJgy7tfLeBmhj1u-dRFRs_8GwSoA/edit#gid=0"",""Gestores Escolares!D7:m""),10,0),""VERIFICAR CÓD SEC"")"),"")</f>
        <v/>
      </c>
      <c r="S498" s="82"/>
      <c r="T498" s="138">
        <v>6.0</v>
      </c>
      <c r="U498" s="152">
        <v>6.0</v>
      </c>
      <c r="V498" s="106">
        <v>0.0</v>
      </c>
      <c r="W498" s="107">
        <v>0.0</v>
      </c>
      <c r="X498" s="107">
        <v>0.0</v>
      </c>
      <c r="Y498" s="107">
        <v>0.0</v>
      </c>
      <c r="Z498" s="80">
        <f t="shared" si="1"/>
        <v>0</v>
      </c>
      <c r="AA498" s="106">
        <v>0.0</v>
      </c>
      <c r="AB498" s="107">
        <v>0.0</v>
      </c>
      <c r="AC498" s="107">
        <v>0.0</v>
      </c>
      <c r="AD498" s="107">
        <v>0.0</v>
      </c>
      <c r="AE498" s="80">
        <f t="shared" si="2"/>
        <v>0</v>
      </c>
      <c r="AF498" s="140">
        <v>0.0</v>
      </c>
      <c r="AG498" s="109">
        <v>28.0</v>
      </c>
      <c r="AH498" s="109">
        <v>0.0</v>
      </c>
      <c r="AI498" s="141">
        <v>62.0</v>
      </c>
      <c r="AJ498" s="80">
        <f t="shared" si="3"/>
        <v>90</v>
      </c>
      <c r="AK498" s="140">
        <v>0.0</v>
      </c>
      <c r="AL498" s="109">
        <v>0.0</v>
      </c>
      <c r="AM498" s="141">
        <v>0.0</v>
      </c>
      <c r="AN498" s="80">
        <f t="shared" si="4"/>
        <v>0</v>
      </c>
      <c r="AO498" s="140">
        <v>0.0</v>
      </c>
      <c r="AP498" s="109">
        <v>0.0</v>
      </c>
      <c r="AQ498" s="109">
        <v>65.0</v>
      </c>
      <c r="AR498" s="80">
        <f t="shared" si="5"/>
        <v>65</v>
      </c>
      <c r="AS498" s="110">
        <v>0.0</v>
      </c>
      <c r="AT498" s="110">
        <v>78.0</v>
      </c>
      <c r="AU498" s="110">
        <v>0.0</v>
      </c>
      <c r="AV498" s="142">
        <v>0.0</v>
      </c>
      <c r="AW498" s="80">
        <f t="shared" si="6"/>
        <v>78</v>
      </c>
      <c r="AX498" s="113">
        <f t="shared" si="7"/>
        <v>233</v>
      </c>
      <c r="AY498" s="117">
        <f t="shared" si="8"/>
        <v>168</v>
      </c>
      <c r="AZ498" s="120">
        <f t="shared" si="9"/>
        <v>65</v>
      </c>
      <c r="BA498" s="115">
        <v>0.0</v>
      </c>
      <c r="BB498" s="89">
        <f t="shared" si="10"/>
        <v>233</v>
      </c>
      <c r="BC498" s="132" t="s">
        <v>178</v>
      </c>
      <c r="BD498" s="132" t="s">
        <v>178</v>
      </c>
      <c r="BE498" s="132" t="s">
        <v>178</v>
      </c>
      <c r="BF498" s="156"/>
      <c r="BG498" s="83">
        <v>1170157.0</v>
      </c>
      <c r="BH498" s="112"/>
      <c r="BI498" s="112">
        <v>6.0</v>
      </c>
      <c r="BJ498" s="98" t="s">
        <v>155</v>
      </c>
      <c r="BK498" s="99">
        <f t="shared" si="11"/>
        <v>62</v>
      </c>
      <c r="BL498" s="99">
        <f t="shared" si="12"/>
        <v>106</v>
      </c>
      <c r="BM498" s="99" t="str">
        <f>IFERROR(__xludf.DUMMYFUNCTION("IFERROR(VLOOKUP(BG498,IMPORTRANGE(""https://docs.google.com/spreadsheets/d/1juPI-Fb8LD0YtltB2mlGEnp_R3UVu1t3wSFPzgCyHXE/edit?gid=0#gid=0"",""GERAL!A2:C""),3,0),""-"")"),"-")</f>
        <v>-</v>
      </c>
    </row>
    <row r="499" ht="15.75" customHeight="1">
      <c r="A499" s="111" t="s">
        <v>605</v>
      </c>
      <c r="B499" s="83" t="s">
        <v>1995</v>
      </c>
      <c r="C499" s="83" t="s">
        <v>164</v>
      </c>
      <c r="D499" s="112">
        <v>1170157.0</v>
      </c>
      <c r="E499" s="83">
        <v>1178530.0</v>
      </c>
      <c r="F499" s="98">
        <v>2.9492955E7</v>
      </c>
      <c r="G499" s="184" t="s">
        <v>2015</v>
      </c>
      <c r="H499" s="91" t="s">
        <v>2016</v>
      </c>
      <c r="I499" s="83" t="s">
        <v>2017</v>
      </c>
      <c r="J499" s="83" t="s">
        <v>187</v>
      </c>
      <c r="K499" s="83" t="s">
        <v>168</v>
      </c>
      <c r="L499" s="83" t="s">
        <v>169</v>
      </c>
      <c r="M499" s="82" t="str">
        <f>IFERROR(__xludf.DUMMYFUNCTION("IFERROR(VLOOKUP(D499,
IMPORTRANGE(""https://docs.google.com/spreadsheets/d/1MjHtlUikwobi2MaWJgy7tfLeBmhj1u-dRFRs_8GwSoA/edit#gid=0"",""Gestores Escolares!D7:J""),3,0),""VERIFICAR CÓD SEC"")"),"LEONARDO PROCOPIO DO CARMO")</f>
        <v>LEONARDO PROCOPIO DO CARMO</v>
      </c>
      <c r="N499" s="82" t="str">
        <f>IFERROR(__xludf.DUMMYFUNCTION("IFERROR(VLOOKUP(D499,
IMPORTRANGE(""https://docs.google.com/spreadsheets/d/1MjHtlUikwobi2MaWJgy7tfLeBmhj1u-dRFRs_8GwSoA/edit#gid=0"",""Gestores Escolares!D7:J""),4,0),""VERIFICAR CÓD SEC"")"),"(73) 9 9822-0058")</f>
        <v>(73) 9 9822-0058</v>
      </c>
      <c r="O499" s="82" t="str">
        <f>IFERROR(__xludf.DUMMYFUNCTION("IFERROR(VLOOKUP(D499,
IMPORTRANGE(""https://docs.google.com/spreadsheets/d/1MjHtlUikwobi2MaWJgy7tfLeBmhj1u-dRFRs_8GwSoA/edit#gid=0"",""Gestores Escolares!D7:J""),6,0),""VERIFICAR CÓD SEC"")"),"")</f>
        <v/>
      </c>
      <c r="P499" s="82" t="str">
        <f>IFERROR(__xludf.DUMMYFUNCTION("IFERROR(VLOOKUP(D499,
IMPORTRANGE(""https://docs.google.com/spreadsheets/d/1MjHtlUikwobi2MaWJgy7tfLeBmhj1u-dRFRs_8GwSoA/edit#gid=0"",""Gestores Escolares!D7:J""),7,0),""VERIFICAR CÓD SEC"")"),"")</f>
        <v/>
      </c>
      <c r="Q499" s="82" t="str">
        <f>IFERROR(__xludf.DUMMYFUNCTION("IFERROR(VLOOKUP(D499,
IMPORTRANGE(""https://docs.google.com/spreadsheets/d/1MjHtlUikwobi2MaWJgy7tfLeBmhj1u-dRFRs_8GwSoA/edit#gid=0"",""Gestores Escolares!D7:m""),9,0),""VERIFICAR CÓD SEC"")"),"")</f>
        <v/>
      </c>
      <c r="R499" s="82" t="str">
        <f>IFERROR(__xludf.DUMMYFUNCTION("IFERROR(VLOOKUP(D499,
IMPORTRANGE(""https://docs.google.com/spreadsheets/d/1MjHtlUikwobi2MaWJgy7tfLeBmhj1u-dRFRs_8GwSoA/edit#gid=0"",""Gestores Escolares!D7:m""),10,0),""VERIFICAR CÓD SEC"")"),"")</f>
        <v/>
      </c>
      <c r="S499" s="82"/>
      <c r="T499" s="138">
        <v>3.0</v>
      </c>
      <c r="U499" s="152">
        <v>3.0</v>
      </c>
      <c r="V499" s="106">
        <v>0.0</v>
      </c>
      <c r="W499" s="107">
        <v>0.0</v>
      </c>
      <c r="X499" s="107">
        <v>0.0</v>
      </c>
      <c r="Y499" s="107">
        <v>0.0</v>
      </c>
      <c r="Z499" s="80">
        <f t="shared" si="1"/>
        <v>0</v>
      </c>
      <c r="AA499" s="106">
        <v>0.0</v>
      </c>
      <c r="AB499" s="107">
        <v>0.0</v>
      </c>
      <c r="AC499" s="107">
        <v>0.0</v>
      </c>
      <c r="AD499" s="107">
        <v>0.0</v>
      </c>
      <c r="AE499" s="80">
        <f t="shared" si="2"/>
        <v>0</v>
      </c>
      <c r="AF499" s="140">
        <v>0.0</v>
      </c>
      <c r="AG499" s="109">
        <v>0.0</v>
      </c>
      <c r="AH499" s="109">
        <v>0.0</v>
      </c>
      <c r="AI499" s="141">
        <v>0.0</v>
      </c>
      <c r="AJ499" s="80">
        <f t="shared" si="3"/>
        <v>0</v>
      </c>
      <c r="AK499" s="140">
        <v>0.0</v>
      </c>
      <c r="AL499" s="109">
        <v>0.0</v>
      </c>
      <c r="AM499" s="141">
        <v>0.0</v>
      </c>
      <c r="AN499" s="80">
        <f t="shared" si="4"/>
        <v>0</v>
      </c>
      <c r="AO499" s="140">
        <v>0.0</v>
      </c>
      <c r="AP499" s="109">
        <v>0.0</v>
      </c>
      <c r="AQ499" s="109">
        <v>17.0</v>
      </c>
      <c r="AR499" s="80">
        <f t="shared" si="5"/>
        <v>17</v>
      </c>
      <c r="AS499" s="110">
        <v>0.0</v>
      </c>
      <c r="AT499" s="110">
        <v>0.0</v>
      </c>
      <c r="AU499" s="110">
        <v>0.0</v>
      </c>
      <c r="AV499" s="142">
        <v>0.0</v>
      </c>
      <c r="AW499" s="80">
        <f t="shared" si="6"/>
        <v>0</v>
      </c>
      <c r="AX499" s="113">
        <f t="shared" si="7"/>
        <v>17</v>
      </c>
      <c r="AY499" s="117">
        <f t="shared" si="8"/>
        <v>0</v>
      </c>
      <c r="AZ499" s="120">
        <f t="shared" si="9"/>
        <v>17</v>
      </c>
      <c r="BA499" s="115">
        <v>0.0</v>
      </c>
      <c r="BB499" s="89">
        <f t="shared" si="10"/>
        <v>17</v>
      </c>
      <c r="BC499" s="132" t="s">
        <v>373</v>
      </c>
      <c r="BD499" s="132" t="s">
        <v>178</v>
      </c>
      <c r="BE499" s="132" t="s">
        <v>178</v>
      </c>
      <c r="BF499" s="123"/>
      <c r="BG499" s="83">
        <v>1178530.0</v>
      </c>
      <c r="BH499" s="112"/>
      <c r="BI499" s="112">
        <v>3.0</v>
      </c>
      <c r="BJ499" s="98" t="s">
        <v>155</v>
      </c>
      <c r="BK499" s="99">
        <f t="shared" si="11"/>
        <v>0</v>
      </c>
      <c r="BL499" s="99">
        <f t="shared" si="12"/>
        <v>0</v>
      </c>
      <c r="BM499" s="99" t="str">
        <f>IFERROR(__xludf.DUMMYFUNCTION("IFERROR(VLOOKUP(BG499,IMPORTRANGE(""https://docs.google.com/spreadsheets/d/1juPI-Fb8LD0YtltB2mlGEnp_R3UVu1t3wSFPzgCyHXE/edit?gid=0#gid=0"",""GERAL!A2:C""),3,0),""-"")"),"CAMPO")</f>
        <v>CAMPO</v>
      </c>
    </row>
    <row r="500" ht="15.75" customHeight="1">
      <c r="A500" s="111" t="s">
        <v>605</v>
      </c>
      <c r="B500" s="83" t="s">
        <v>1995</v>
      </c>
      <c r="C500" s="83" t="s">
        <v>164</v>
      </c>
      <c r="D500" s="112">
        <v>1170157.0</v>
      </c>
      <c r="E500" s="83">
        <v>1178532.0</v>
      </c>
      <c r="F500" s="98">
        <v>2.9492947E7</v>
      </c>
      <c r="G500" s="184" t="s">
        <v>2022</v>
      </c>
      <c r="H500" s="91" t="s">
        <v>2023</v>
      </c>
      <c r="I500" s="83" t="s">
        <v>2024</v>
      </c>
      <c r="J500" s="83" t="s">
        <v>2025</v>
      </c>
      <c r="K500" s="83" t="s">
        <v>168</v>
      </c>
      <c r="L500" s="83" t="s">
        <v>169</v>
      </c>
      <c r="M500" s="82" t="str">
        <f>IFERROR(__xludf.DUMMYFUNCTION("IFERROR(VLOOKUP(D500,
IMPORTRANGE(""https://docs.google.com/spreadsheets/d/1MjHtlUikwobi2MaWJgy7tfLeBmhj1u-dRFRs_8GwSoA/edit#gid=0"",""Gestores Escolares!D7:J""),3,0),""VERIFICAR CÓD SEC"")"),"LEONARDO PROCOPIO DO CARMO")</f>
        <v>LEONARDO PROCOPIO DO CARMO</v>
      </c>
      <c r="N500" s="82" t="str">
        <f>IFERROR(__xludf.DUMMYFUNCTION("IFERROR(VLOOKUP(D500,
IMPORTRANGE(""https://docs.google.com/spreadsheets/d/1MjHtlUikwobi2MaWJgy7tfLeBmhj1u-dRFRs_8GwSoA/edit#gid=0"",""Gestores Escolares!D7:J""),4,0),""VERIFICAR CÓD SEC"")"),"(73) 9 9822-0058")</f>
        <v>(73) 9 9822-0058</v>
      </c>
      <c r="O500" s="82" t="str">
        <f>IFERROR(__xludf.DUMMYFUNCTION("IFERROR(VLOOKUP(D500,
IMPORTRANGE(""https://docs.google.com/spreadsheets/d/1MjHtlUikwobi2MaWJgy7tfLeBmhj1u-dRFRs_8GwSoA/edit#gid=0"",""Gestores Escolares!D7:J""),6,0),""VERIFICAR CÓD SEC"")"),"")</f>
        <v/>
      </c>
      <c r="P500" s="82" t="str">
        <f>IFERROR(__xludf.DUMMYFUNCTION("IFERROR(VLOOKUP(D500,
IMPORTRANGE(""https://docs.google.com/spreadsheets/d/1MjHtlUikwobi2MaWJgy7tfLeBmhj1u-dRFRs_8GwSoA/edit#gid=0"",""Gestores Escolares!D7:J""),7,0),""VERIFICAR CÓD SEC"")"),"")</f>
        <v/>
      </c>
      <c r="Q500" s="82" t="str">
        <f>IFERROR(__xludf.DUMMYFUNCTION("IFERROR(VLOOKUP(D500,
IMPORTRANGE(""https://docs.google.com/spreadsheets/d/1MjHtlUikwobi2MaWJgy7tfLeBmhj1u-dRFRs_8GwSoA/edit#gid=0"",""Gestores Escolares!D7:m""),9,0),""VERIFICAR CÓD SEC"")"),"")</f>
        <v/>
      </c>
      <c r="R500" s="82" t="str">
        <f>IFERROR(__xludf.DUMMYFUNCTION("IFERROR(VLOOKUP(D500,
IMPORTRANGE(""https://docs.google.com/spreadsheets/d/1MjHtlUikwobi2MaWJgy7tfLeBmhj1u-dRFRs_8GwSoA/edit#gid=0"",""Gestores Escolares!D7:m""),10,0),""VERIFICAR CÓD SEC"")"),"")</f>
        <v/>
      </c>
      <c r="S500" s="82"/>
      <c r="T500" s="138">
        <v>3.0</v>
      </c>
      <c r="U500" s="152">
        <v>3.0</v>
      </c>
      <c r="V500" s="106">
        <v>0.0</v>
      </c>
      <c r="W500" s="107">
        <v>0.0</v>
      </c>
      <c r="X500" s="107">
        <v>0.0</v>
      </c>
      <c r="Y500" s="107">
        <v>0.0</v>
      </c>
      <c r="Z500" s="80">
        <f t="shared" si="1"/>
        <v>0</v>
      </c>
      <c r="AA500" s="106">
        <v>0.0</v>
      </c>
      <c r="AB500" s="107">
        <v>0.0</v>
      </c>
      <c r="AC500" s="107">
        <v>0.0</v>
      </c>
      <c r="AD500" s="107">
        <v>0.0</v>
      </c>
      <c r="AE500" s="80">
        <f t="shared" si="2"/>
        <v>0</v>
      </c>
      <c r="AF500" s="140">
        <v>0.0</v>
      </c>
      <c r="AG500" s="109">
        <v>0.0</v>
      </c>
      <c r="AH500" s="109">
        <v>0.0</v>
      </c>
      <c r="AI500" s="141">
        <v>0.0</v>
      </c>
      <c r="AJ500" s="80">
        <f t="shared" si="3"/>
        <v>0</v>
      </c>
      <c r="AK500" s="140">
        <v>0.0</v>
      </c>
      <c r="AL500" s="109">
        <v>0.0</v>
      </c>
      <c r="AM500" s="141">
        <v>0.0</v>
      </c>
      <c r="AN500" s="80">
        <f t="shared" si="4"/>
        <v>0</v>
      </c>
      <c r="AO500" s="140">
        <v>0.0</v>
      </c>
      <c r="AP500" s="109">
        <v>0.0</v>
      </c>
      <c r="AQ500" s="109">
        <v>47.0</v>
      </c>
      <c r="AR500" s="80">
        <f t="shared" si="5"/>
        <v>47</v>
      </c>
      <c r="AS500" s="110">
        <v>0.0</v>
      </c>
      <c r="AT500" s="110">
        <v>0.0</v>
      </c>
      <c r="AU500" s="110">
        <v>0.0</v>
      </c>
      <c r="AV500" s="142">
        <v>0.0</v>
      </c>
      <c r="AW500" s="80">
        <f t="shared" si="6"/>
        <v>0</v>
      </c>
      <c r="AX500" s="113">
        <f t="shared" si="7"/>
        <v>47</v>
      </c>
      <c r="AY500" s="117">
        <f t="shared" si="8"/>
        <v>0</v>
      </c>
      <c r="AZ500" s="120">
        <f t="shared" si="9"/>
        <v>47</v>
      </c>
      <c r="BA500" s="115">
        <v>0.0</v>
      </c>
      <c r="BB500" s="89">
        <f t="shared" si="10"/>
        <v>47</v>
      </c>
      <c r="BC500" s="132" t="s">
        <v>373</v>
      </c>
      <c r="BD500" s="132" t="s">
        <v>178</v>
      </c>
      <c r="BE500" s="132" t="s">
        <v>178</v>
      </c>
      <c r="BF500" s="123"/>
      <c r="BG500" s="83">
        <v>1178532.0</v>
      </c>
      <c r="BH500" s="112"/>
      <c r="BI500" s="112">
        <v>3.0</v>
      </c>
      <c r="BJ500" s="98" t="s">
        <v>155</v>
      </c>
      <c r="BK500" s="99">
        <f t="shared" si="11"/>
        <v>0</v>
      </c>
      <c r="BL500" s="99">
        <f t="shared" si="12"/>
        <v>0</v>
      </c>
      <c r="BM500" s="99" t="str">
        <f>IFERROR(__xludf.DUMMYFUNCTION("IFERROR(VLOOKUP(BG500,IMPORTRANGE(""https://docs.google.com/spreadsheets/d/1juPI-Fb8LD0YtltB2mlGEnp_R3UVu1t3wSFPzgCyHXE/edit?gid=0#gid=0"",""GERAL!A2:C""),3,0),""-"")"),"CAMPO")</f>
        <v>CAMPO</v>
      </c>
    </row>
    <row r="501" ht="15.75" customHeight="1">
      <c r="A501" s="111" t="s">
        <v>605</v>
      </c>
      <c r="B501" s="83" t="s">
        <v>1995</v>
      </c>
      <c r="C501" s="83" t="s">
        <v>164</v>
      </c>
      <c r="D501" s="112">
        <v>1170157.0</v>
      </c>
      <c r="E501" s="83">
        <v>1178531.0</v>
      </c>
      <c r="F501" s="98">
        <v>2.9492939E7</v>
      </c>
      <c r="G501" s="184" t="s">
        <v>2033</v>
      </c>
      <c r="H501" s="91" t="s">
        <v>2035</v>
      </c>
      <c r="I501" s="172" t="s">
        <v>2036</v>
      </c>
      <c r="J501" s="83" t="s">
        <v>183</v>
      </c>
      <c r="K501" s="83" t="s">
        <v>151</v>
      </c>
      <c r="L501" s="83" t="s">
        <v>169</v>
      </c>
      <c r="M501" s="82" t="str">
        <f>IFERROR(__xludf.DUMMYFUNCTION("IFERROR(VLOOKUP(D501,
IMPORTRANGE(""https://docs.google.com/spreadsheets/d/1MjHtlUikwobi2MaWJgy7tfLeBmhj1u-dRFRs_8GwSoA/edit#gid=0"",""Gestores Escolares!D7:J""),3,0),""VERIFICAR CÓD SEC"")"),"LEONARDO PROCOPIO DO CARMO")</f>
        <v>LEONARDO PROCOPIO DO CARMO</v>
      </c>
      <c r="N501" s="82" t="str">
        <f>IFERROR(__xludf.DUMMYFUNCTION("IFERROR(VLOOKUP(D501,
IMPORTRANGE(""https://docs.google.com/spreadsheets/d/1MjHtlUikwobi2MaWJgy7tfLeBmhj1u-dRFRs_8GwSoA/edit#gid=0"",""Gestores Escolares!D7:J""),4,0),""VERIFICAR CÓD SEC"")"),"(73) 9 9822-0058")</f>
        <v>(73) 9 9822-0058</v>
      </c>
      <c r="O501" s="82" t="str">
        <f>IFERROR(__xludf.DUMMYFUNCTION("IFERROR(VLOOKUP(D501,
IMPORTRANGE(""https://docs.google.com/spreadsheets/d/1MjHtlUikwobi2MaWJgy7tfLeBmhj1u-dRFRs_8GwSoA/edit#gid=0"",""Gestores Escolares!D7:J""),6,0),""VERIFICAR CÓD SEC"")"),"")</f>
        <v/>
      </c>
      <c r="P501" s="82" t="str">
        <f>IFERROR(__xludf.DUMMYFUNCTION("IFERROR(VLOOKUP(D501,
IMPORTRANGE(""https://docs.google.com/spreadsheets/d/1MjHtlUikwobi2MaWJgy7tfLeBmhj1u-dRFRs_8GwSoA/edit#gid=0"",""Gestores Escolares!D7:J""),7,0),""VERIFICAR CÓD SEC"")"),"")</f>
        <v/>
      </c>
      <c r="Q501" s="82" t="str">
        <f>IFERROR(__xludf.DUMMYFUNCTION("IFERROR(VLOOKUP(D501,
IMPORTRANGE(""https://docs.google.com/spreadsheets/d/1MjHtlUikwobi2MaWJgy7tfLeBmhj1u-dRFRs_8GwSoA/edit#gid=0"",""Gestores Escolares!D7:m""),9,0),""VERIFICAR CÓD SEC"")"),"")</f>
        <v/>
      </c>
      <c r="R501" s="82" t="str">
        <f>IFERROR(__xludf.DUMMYFUNCTION("IFERROR(VLOOKUP(D501,
IMPORTRANGE(""https://docs.google.com/spreadsheets/d/1MjHtlUikwobi2MaWJgy7tfLeBmhj1u-dRFRs_8GwSoA/edit#gid=0"",""Gestores Escolares!D7:m""),10,0),""VERIFICAR CÓD SEC"")"),"")</f>
        <v/>
      </c>
      <c r="S501" s="82"/>
      <c r="T501" s="138">
        <v>3.0</v>
      </c>
      <c r="U501" s="152">
        <v>3.0</v>
      </c>
      <c r="V501" s="106">
        <v>0.0</v>
      </c>
      <c r="W501" s="107">
        <v>0.0</v>
      </c>
      <c r="X501" s="107">
        <v>0.0</v>
      </c>
      <c r="Y501" s="107">
        <v>0.0</v>
      </c>
      <c r="Z501" s="80">
        <f t="shared" si="1"/>
        <v>0</v>
      </c>
      <c r="AA501" s="106">
        <v>0.0</v>
      </c>
      <c r="AB501" s="107">
        <v>0.0</v>
      </c>
      <c r="AC501" s="107">
        <v>0.0</v>
      </c>
      <c r="AD501" s="107">
        <v>0.0</v>
      </c>
      <c r="AE501" s="80">
        <f t="shared" si="2"/>
        <v>0</v>
      </c>
      <c r="AF501" s="140">
        <v>0.0</v>
      </c>
      <c r="AG501" s="109">
        <v>0.0</v>
      </c>
      <c r="AH501" s="109">
        <v>0.0</v>
      </c>
      <c r="AI501" s="141">
        <v>0.0</v>
      </c>
      <c r="AJ501" s="80">
        <f t="shared" si="3"/>
        <v>0</v>
      </c>
      <c r="AK501" s="140">
        <v>0.0</v>
      </c>
      <c r="AL501" s="109">
        <v>0.0</v>
      </c>
      <c r="AM501" s="141">
        <v>0.0</v>
      </c>
      <c r="AN501" s="80">
        <f t="shared" si="4"/>
        <v>0</v>
      </c>
      <c r="AO501" s="140">
        <v>0.0</v>
      </c>
      <c r="AP501" s="109">
        <v>0.0</v>
      </c>
      <c r="AQ501" s="109">
        <v>20.0</v>
      </c>
      <c r="AR501" s="80">
        <f t="shared" si="5"/>
        <v>20</v>
      </c>
      <c r="AS501" s="110">
        <v>0.0</v>
      </c>
      <c r="AT501" s="110">
        <v>0.0</v>
      </c>
      <c r="AU501" s="110">
        <v>0.0</v>
      </c>
      <c r="AV501" s="142">
        <v>0.0</v>
      </c>
      <c r="AW501" s="80">
        <f t="shared" si="6"/>
        <v>0</v>
      </c>
      <c r="AX501" s="113">
        <f t="shared" si="7"/>
        <v>20</v>
      </c>
      <c r="AY501" s="117">
        <f t="shared" si="8"/>
        <v>0</v>
      </c>
      <c r="AZ501" s="120">
        <f t="shared" si="9"/>
        <v>20</v>
      </c>
      <c r="BA501" s="115">
        <v>0.0</v>
      </c>
      <c r="BB501" s="89">
        <f t="shared" si="10"/>
        <v>20</v>
      </c>
      <c r="BC501" s="132" t="s">
        <v>373</v>
      </c>
      <c r="BD501" s="132" t="s">
        <v>178</v>
      </c>
      <c r="BE501" s="132" t="s">
        <v>178</v>
      </c>
      <c r="BF501" s="123"/>
      <c r="BG501" s="83">
        <v>1178531.0</v>
      </c>
      <c r="BH501" s="112"/>
      <c r="BI501" s="112">
        <v>3.0</v>
      </c>
      <c r="BJ501" s="98" t="s">
        <v>155</v>
      </c>
      <c r="BK501" s="99">
        <f t="shared" si="11"/>
        <v>0</v>
      </c>
      <c r="BL501" s="99">
        <f t="shared" si="12"/>
        <v>0</v>
      </c>
      <c r="BM501" s="99" t="str">
        <f>IFERROR(__xludf.DUMMYFUNCTION("IFERROR(VLOOKUP(BG501,IMPORTRANGE(""https://docs.google.com/spreadsheets/d/1juPI-Fb8LD0YtltB2mlGEnp_R3UVu1t3wSFPzgCyHXE/edit?gid=0#gid=0"",""GERAL!A2:C""),3,0),""-"")"),"CAMPO")</f>
        <v>CAMPO</v>
      </c>
    </row>
    <row r="502" ht="15.75" customHeight="1">
      <c r="A502" s="111" t="s">
        <v>605</v>
      </c>
      <c r="B502" s="83" t="s">
        <v>2043</v>
      </c>
      <c r="C502" s="83" t="s">
        <v>68</v>
      </c>
      <c r="D502" s="112">
        <v>1157525.0</v>
      </c>
      <c r="E502" s="83"/>
      <c r="F502" s="83">
        <v>2.9323967E7</v>
      </c>
      <c r="G502" s="187" t="s">
        <v>2046</v>
      </c>
      <c r="H502" s="91" t="s">
        <v>2047</v>
      </c>
      <c r="I502" s="136" t="s">
        <v>149</v>
      </c>
      <c r="J502" s="136" t="s">
        <v>150</v>
      </c>
      <c r="K502" s="83" t="s">
        <v>151</v>
      </c>
      <c r="L502" s="83" t="s">
        <v>169</v>
      </c>
      <c r="M502" s="82" t="str">
        <f>IFERROR(__xludf.DUMMYFUNCTION("IFERROR(VLOOKUP(D502,
IMPORTRANGE(""https://docs.google.com/spreadsheets/d/1MjHtlUikwobi2MaWJgy7tfLeBmhj1u-dRFRs_8GwSoA/edit#gid=0"",""Gestores Escolares!D7:J""),3,0),""VERIFICAR CÓD SEC"")"),"CARLOS HENRIQUE DOS SANTOS RODRIGUES")</f>
        <v>CARLOS HENRIQUE DOS SANTOS RODRIGUES</v>
      </c>
      <c r="N502" s="82" t="str">
        <f>IFERROR(__xludf.DUMMYFUNCTION("IFERROR(VLOOKUP(D502,
IMPORTRANGE(""https://docs.google.com/spreadsheets/d/1MjHtlUikwobi2MaWJgy7tfLeBmhj1u-dRFRs_8GwSoA/edit#gid=0"",""Gestores Escolares!D7:J""),4,0),""VERIFICAR CÓD SEC"")"),"(71) 9 8880-7964")</f>
        <v>(71) 9 8880-7964</v>
      </c>
      <c r="O502" s="82" t="str">
        <f>IFERROR(__xludf.DUMMYFUNCTION("IFERROR(VLOOKUP(D502,
IMPORTRANGE(""https://docs.google.com/spreadsheets/d/1MjHtlUikwobi2MaWJgy7tfLeBmhj1u-dRFRs_8GwSoA/edit#gid=0"",""Gestores Escolares!D7:J""),6,0),""VERIFICAR CÓD SEC"")"),"")</f>
        <v/>
      </c>
      <c r="P502" s="82" t="str">
        <f>IFERROR(__xludf.DUMMYFUNCTION("IFERROR(VLOOKUP(D502,
IMPORTRANGE(""https://docs.google.com/spreadsheets/d/1MjHtlUikwobi2MaWJgy7tfLeBmhj1u-dRFRs_8GwSoA/edit#gid=0"",""Gestores Escolares!D7:J""),7,0),""VERIFICAR CÓD SEC"")"),"")</f>
        <v/>
      </c>
      <c r="Q502" s="82" t="str">
        <f>IFERROR(__xludf.DUMMYFUNCTION("IFERROR(VLOOKUP(D502,
IMPORTRANGE(""https://docs.google.com/spreadsheets/d/1MjHtlUikwobi2MaWJgy7tfLeBmhj1u-dRFRs_8GwSoA/edit#gid=0"",""Gestores Escolares!D7:m""),9,0),""VERIFICAR CÓD SEC"")"),"")</f>
        <v/>
      </c>
      <c r="R502" s="82" t="str">
        <f>IFERROR(__xludf.DUMMYFUNCTION("IFERROR(VLOOKUP(D502,
IMPORTRANGE(""https://docs.google.com/spreadsheets/d/1MjHtlUikwobi2MaWJgy7tfLeBmhj1u-dRFRs_8GwSoA/edit#gid=0"",""Gestores Escolares!D7:m""),10,0),""VERIFICAR CÓD SEC"")"),"")</f>
        <v/>
      </c>
      <c r="S502" s="82"/>
      <c r="T502" s="138">
        <v>4.0</v>
      </c>
      <c r="U502" s="217" t="s">
        <v>6862</v>
      </c>
      <c r="V502" s="106">
        <v>0.0</v>
      </c>
      <c r="W502" s="107">
        <v>0.0</v>
      </c>
      <c r="X502" s="107">
        <v>0.0</v>
      </c>
      <c r="Y502" s="107">
        <v>0.0</v>
      </c>
      <c r="Z502" s="80">
        <f t="shared" si="1"/>
        <v>0</v>
      </c>
      <c r="AA502" s="106">
        <v>0.0</v>
      </c>
      <c r="AB502" s="107">
        <v>0.0</v>
      </c>
      <c r="AC502" s="107">
        <v>0.0</v>
      </c>
      <c r="AD502" s="107">
        <v>0.0</v>
      </c>
      <c r="AE502" s="80">
        <f t="shared" si="2"/>
        <v>0</v>
      </c>
      <c r="AF502" s="140">
        <v>133.0</v>
      </c>
      <c r="AG502" s="109">
        <v>0.0</v>
      </c>
      <c r="AH502" s="109">
        <v>0.0</v>
      </c>
      <c r="AI502" s="141">
        <v>0.0</v>
      </c>
      <c r="AJ502" s="80">
        <f t="shared" si="3"/>
        <v>133</v>
      </c>
      <c r="AK502" s="140">
        <v>0.0</v>
      </c>
      <c r="AL502" s="109">
        <v>0.0</v>
      </c>
      <c r="AM502" s="141">
        <v>0.0</v>
      </c>
      <c r="AN502" s="80">
        <f t="shared" si="4"/>
        <v>0</v>
      </c>
      <c r="AO502" s="140">
        <v>0.0</v>
      </c>
      <c r="AP502" s="109">
        <v>0.0</v>
      </c>
      <c r="AQ502" s="109">
        <v>21.0</v>
      </c>
      <c r="AR502" s="80">
        <f t="shared" si="5"/>
        <v>21</v>
      </c>
      <c r="AS502" s="110">
        <v>0.0</v>
      </c>
      <c r="AT502" s="110">
        <v>0.0</v>
      </c>
      <c r="AU502" s="110">
        <v>21.0</v>
      </c>
      <c r="AV502" s="142">
        <v>0.0</v>
      </c>
      <c r="AW502" s="80">
        <f t="shared" si="6"/>
        <v>21</v>
      </c>
      <c r="AX502" s="113">
        <f t="shared" si="7"/>
        <v>175</v>
      </c>
      <c r="AY502" s="117">
        <f t="shared" si="8"/>
        <v>133</v>
      </c>
      <c r="AZ502" s="120">
        <f t="shared" si="9"/>
        <v>42</v>
      </c>
      <c r="BA502" s="115">
        <v>0.0</v>
      </c>
      <c r="BB502" s="89">
        <f t="shared" si="10"/>
        <v>175</v>
      </c>
      <c r="BC502" s="132" t="s">
        <v>178</v>
      </c>
      <c r="BD502" s="132" t="s">
        <v>178</v>
      </c>
      <c r="BE502" s="132" t="s">
        <v>178</v>
      </c>
      <c r="BF502" s="156"/>
      <c r="BG502" s="83">
        <v>1157525.0</v>
      </c>
      <c r="BH502" s="112"/>
      <c r="BI502" s="112">
        <v>4.0</v>
      </c>
      <c r="BJ502" s="98" t="s">
        <v>155</v>
      </c>
      <c r="BK502" s="99">
        <f t="shared" si="11"/>
        <v>0</v>
      </c>
      <c r="BL502" s="99">
        <f t="shared" si="12"/>
        <v>133</v>
      </c>
      <c r="BM502" s="99" t="str">
        <f>IFERROR(__xludf.DUMMYFUNCTION("IFERROR(VLOOKUP(BG502,IMPORTRANGE(""https://docs.google.com/spreadsheets/d/1juPI-Fb8LD0YtltB2mlGEnp_R3UVu1t3wSFPzgCyHXE/edit?gid=0#gid=0"",""GERAL!A2:C""),3,0),""-"")"),"-")</f>
        <v>-</v>
      </c>
    </row>
    <row r="503" ht="15.75" customHeight="1">
      <c r="A503" s="111" t="s">
        <v>605</v>
      </c>
      <c r="B503" s="83" t="s">
        <v>2053</v>
      </c>
      <c r="C503" s="83" t="s">
        <v>68</v>
      </c>
      <c r="D503" s="112">
        <v>1179661.0</v>
      </c>
      <c r="E503" s="83"/>
      <c r="F503" s="83">
        <v>2.9474272E7</v>
      </c>
      <c r="G503" s="125" t="s">
        <v>2054</v>
      </c>
      <c r="H503" s="91" t="s">
        <v>2055</v>
      </c>
      <c r="I503" s="83" t="s">
        <v>149</v>
      </c>
      <c r="J503" s="83" t="s">
        <v>2057</v>
      </c>
      <c r="K503" s="83" t="s">
        <v>151</v>
      </c>
      <c r="L503" s="83" t="s">
        <v>230</v>
      </c>
      <c r="M503" s="82" t="str">
        <f>IFERROR(__xludf.DUMMYFUNCTION("IFERROR(VLOOKUP(D503,
IMPORTRANGE(""https://docs.google.com/spreadsheets/d/1MjHtlUikwobi2MaWJgy7tfLeBmhj1u-dRFRs_8GwSoA/edit#gid=0"",""Gestores Escolares!D7:J""),3,0),""VERIFICAR CÓD SEC"")"),"SERGIO ALVES DE SOUZA")</f>
        <v>SERGIO ALVES DE SOUZA</v>
      </c>
      <c r="N503" s="82" t="str">
        <f>IFERROR(__xludf.DUMMYFUNCTION("IFERROR(VLOOKUP(D503,
IMPORTRANGE(""https://docs.google.com/spreadsheets/d/1MjHtlUikwobi2MaWJgy7tfLeBmhj1u-dRFRs_8GwSoA/edit#gid=0"",""Gestores Escolares!D7:J""),4,0),""VERIFICAR CÓD SEC"")"),"(73) 9 9994-7760")</f>
        <v>(73) 9 9994-7760</v>
      </c>
      <c r="O503" s="82" t="str">
        <f>IFERROR(__xludf.DUMMYFUNCTION("IFERROR(VLOOKUP(D503,
IMPORTRANGE(""https://docs.google.com/spreadsheets/d/1MjHtlUikwobi2MaWJgy7tfLeBmhj1u-dRFRs_8GwSoA/edit#gid=0"",""Gestores Escolares!D7:J""),6,0),""VERIFICAR CÓD SEC"")"),"FILIPE GUSTAVO BARBOSA SARMENTO")</f>
        <v>FILIPE GUSTAVO BARBOSA SARMENTO</v>
      </c>
      <c r="P503" s="82" t="str">
        <f>IFERROR(__xludf.DUMMYFUNCTION("IFERROR(VLOOKUP(D503,
IMPORTRANGE(""https://docs.google.com/spreadsheets/d/1MjHtlUikwobi2MaWJgy7tfLeBmhj1u-dRFRs_8GwSoA/edit#gid=0"",""Gestores Escolares!D7:J""),7,0),""VERIFICAR CÓD SEC"")"),"(73) 9 9961-6973")</f>
        <v>(73) 9 9961-6973</v>
      </c>
      <c r="Q503" s="82" t="str">
        <f>IFERROR(__xludf.DUMMYFUNCTION("IFERROR(VLOOKUP(D503,
IMPORTRANGE(""https://docs.google.com/spreadsheets/d/1MjHtlUikwobi2MaWJgy7tfLeBmhj1u-dRFRs_8GwSoA/edit#gid=0"",""Gestores Escolares!D7:m""),9,0),""VERIFICAR CÓD SEC"")"),"ANDREIA OLIVEIRA PRATES")</f>
        <v>ANDREIA OLIVEIRA PRATES</v>
      </c>
      <c r="R503" s="82" t="str">
        <f>IFERROR(__xludf.DUMMYFUNCTION("IFERROR(VLOOKUP(D503,
IMPORTRANGE(""https://docs.google.com/spreadsheets/d/1MjHtlUikwobi2MaWJgy7tfLeBmhj1u-dRFRs_8GwSoA/edit#gid=0"",""Gestores Escolares!D7:m""),10,0),""VERIFICAR CÓD SEC"")"),"(73) 9 9937-8455")</f>
        <v>(73) 9 9937-8455</v>
      </c>
      <c r="S503" s="82"/>
      <c r="T503" s="138">
        <v>12.0</v>
      </c>
      <c r="U503" s="139">
        <v>12.0</v>
      </c>
      <c r="V503" s="106">
        <v>0.0</v>
      </c>
      <c r="W503" s="107">
        <v>0.0</v>
      </c>
      <c r="X503" s="107">
        <v>0.0</v>
      </c>
      <c r="Y503" s="107">
        <v>0.0</v>
      </c>
      <c r="Z503" s="80">
        <f t="shared" si="1"/>
        <v>0</v>
      </c>
      <c r="AA503" s="106">
        <v>0.0</v>
      </c>
      <c r="AB503" s="107">
        <v>0.0</v>
      </c>
      <c r="AC503" s="107">
        <v>0.0</v>
      </c>
      <c r="AD503" s="107">
        <v>0.0</v>
      </c>
      <c r="AE503" s="80">
        <f t="shared" si="2"/>
        <v>0</v>
      </c>
      <c r="AF503" s="140">
        <v>0.0</v>
      </c>
      <c r="AG503" s="109">
        <v>0.0</v>
      </c>
      <c r="AH503" s="109">
        <v>0.0</v>
      </c>
      <c r="AI503" s="141">
        <v>95.0</v>
      </c>
      <c r="AJ503" s="80">
        <f t="shared" si="3"/>
        <v>95</v>
      </c>
      <c r="AK503" s="140">
        <v>0.0</v>
      </c>
      <c r="AL503" s="109">
        <v>0.0</v>
      </c>
      <c r="AM503" s="141">
        <v>0.0</v>
      </c>
      <c r="AN503" s="80">
        <f t="shared" si="4"/>
        <v>0</v>
      </c>
      <c r="AO503" s="140">
        <v>0.0</v>
      </c>
      <c r="AP503" s="109">
        <v>0.0</v>
      </c>
      <c r="AQ503" s="109">
        <v>86.0</v>
      </c>
      <c r="AR503" s="80">
        <f t="shared" si="5"/>
        <v>86</v>
      </c>
      <c r="AS503" s="110">
        <v>321.0</v>
      </c>
      <c r="AT503" s="110">
        <v>141.0</v>
      </c>
      <c r="AU503" s="110">
        <v>0.0</v>
      </c>
      <c r="AV503" s="142">
        <v>0.0</v>
      </c>
      <c r="AW503" s="80">
        <f t="shared" si="6"/>
        <v>462</v>
      </c>
      <c r="AX503" s="113">
        <f t="shared" si="7"/>
        <v>643</v>
      </c>
      <c r="AY503" s="117">
        <f t="shared" si="8"/>
        <v>557</v>
      </c>
      <c r="AZ503" s="120">
        <f t="shared" si="9"/>
        <v>86</v>
      </c>
      <c r="BA503" s="115">
        <v>0.0</v>
      </c>
      <c r="BB503" s="89">
        <f t="shared" si="10"/>
        <v>643</v>
      </c>
      <c r="BC503" s="132" t="s">
        <v>178</v>
      </c>
      <c r="BD503" s="132" t="s">
        <v>522</v>
      </c>
      <c r="BE503" s="132" t="s">
        <v>178</v>
      </c>
      <c r="BF503" s="156"/>
      <c r="BG503" s="83">
        <v>1179661.0</v>
      </c>
      <c r="BH503" s="112"/>
      <c r="BI503" s="112">
        <v>12.0</v>
      </c>
      <c r="BJ503" s="98" t="s">
        <v>162</v>
      </c>
      <c r="BK503" s="99">
        <f t="shared" si="11"/>
        <v>95</v>
      </c>
      <c r="BL503" s="99">
        <f t="shared" si="12"/>
        <v>462</v>
      </c>
      <c r="BM503" s="99" t="str">
        <f>IFERROR(__xludf.DUMMYFUNCTION("IFERROR(VLOOKUP(BG503,IMPORTRANGE(""https://docs.google.com/spreadsheets/d/1juPI-Fb8LD0YtltB2mlGEnp_R3UVu1t3wSFPzgCyHXE/edit?gid=0#gid=0"",""GERAL!A2:C""),3,0),""-"")"),"-")</f>
        <v>-</v>
      </c>
    </row>
    <row r="504" ht="15.75" customHeight="1">
      <c r="A504" s="111" t="s">
        <v>605</v>
      </c>
      <c r="B504" s="83" t="s">
        <v>2053</v>
      </c>
      <c r="C504" s="83" t="s">
        <v>164</v>
      </c>
      <c r="D504" s="112">
        <v>1179713.0</v>
      </c>
      <c r="E504" s="83">
        <v>1178556.0</v>
      </c>
      <c r="F504" s="98">
        <v>2.9483247E7</v>
      </c>
      <c r="G504" s="119" t="s">
        <v>2066</v>
      </c>
      <c r="H504" s="91" t="s">
        <v>2067</v>
      </c>
      <c r="I504" s="83" t="s">
        <v>2069</v>
      </c>
      <c r="J504" s="83" t="s">
        <v>244</v>
      </c>
      <c r="K504" s="83" t="s">
        <v>168</v>
      </c>
      <c r="L504" s="83" t="s">
        <v>169</v>
      </c>
      <c r="M504" s="82" t="str">
        <f>IFERROR(__xludf.DUMMYFUNCTION("IFERROR(VLOOKUP(D504,
IMPORTRANGE(""https://docs.google.com/spreadsheets/d/1MjHtlUikwobi2MaWJgy7tfLeBmhj1u-dRFRs_8GwSoA/edit#gid=0"",""Gestores Escolares!D7:J""),3,0),""VERIFICAR CÓD SEC"")"),"MARIA DIAS ASSUNCAO")</f>
        <v>MARIA DIAS ASSUNCAO</v>
      </c>
      <c r="N504" s="82" t="str">
        <f>IFERROR(__xludf.DUMMYFUNCTION("IFERROR(VLOOKUP(D504,
IMPORTRANGE(""https://docs.google.com/spreadsheets/d/1MjHtlUikwobi2MaWJgy7tfLeBmhj1u-dRFRs_8GwSoA/edit#gid=0"",""Gestores Escolares!D7:J""),4,0),""VERIFICAR CÓD SEC"")"),"(73) 9 9961-2626")</f>
        <v>(73) 9 9961-2626</v>
      </c>
      <c r="O504" s="82" t="str">
        <f>IFERROR(__xludf.DUMMYFUNCTION("IFERROR(VLOOKUP(D504,
IMPORTRANGE(""https://docs.google.com/spreadsheets/d/1MjHtlUikwobi2MaWJgy7tfLeBmhj1u-dRFRs_8GwSoA/edit#gid=0"",""Gestores Escolares!D7:J""),6,0),""VERIFICAR CÓD SEC"")"),"FERNANDA AURELINO INOCENCIO")</f>
        <v>FERNANDA AURELINO INOCENCIO</v>
      </c>
      <c r="P504" s="82" t="str">
        <f>IFERROR(__xludf.DUMMYFUNCTION("IFERROR(VLOOKUP(D504,
IMPORTRANGE(""https://docs.google.com/spreadsheets/d/1MjHtlUikwobi2MaWJgy7tfLeBmhj1u-dRFRs_8GwSoA/edit#gid=0"",""Gestores Escolares!D7:J""),7,0),""VERIFICAR CÓD SEC"")"),"(73) 9 9823-1075")</f>
        <v>(73) 9 9823-1075</v>
      </c>
      <c r="Q504" s="82" t="str">
        <f>IFERROR(__xludf.DUMMYFUNCTION("IFERROR(VLOOKUP(D504,
IMPORTRANGE(""https://docs.google.com/spreadsheets/d/1MjHtlUikwobi2MaWJgy7tfLeBmhj1u-dRFRs_8GwSoA/edit#gid=0"",""Gestores Escolares!D7:m""),9,0),""VERIFICAR CÓD SEC"")"),"")</f>
        <v/>
      </c>
      <c r="R504" s="82" t="str">
        <f>IFERROR(__xludf.DUMMYFUNCTION("IFERROR(VLOOKUP(D504,
IMPORTRANGE(""https://docs.google.com/spreadsheets/d/1MjHtlUikwobi2MaWJgy7tfLeBmhj1u-dRFRs_8GwSoA/edit#gid=0"",""Gestores Escolares!D7:m""),10,0),""VERIFICAR CÓD SEC"")"),"")</f>
        <v/>
      </c>
      <c r="S504" s="82"/>
      <c r="T504" s="138">
        <v>3.0</v>
      </c>
      <c r="U504" s="139">
        <v>3.0</v>
      </c>
      <c r="V504" s="106">
        <v>0.0</v>
      </c>
      <c r="W504" s="107">
        <v>0.0</v>
      </c>
      <c r="X504" s="107">
        <v>0.0</v>
      </c>
      <c r="Y504" s="107">
        <v>0.0</v>
      </c>
      <c r="Z504" s="80">
        <f t="shared" si="1"/>
        <v>0</v>
      </c>
      <c r="AA504" s="106">
        <v>0.0</v>
      </c>
      <c r="AB504" s="107">
        <v>0.0</v>
      </c>
      <c r="AC504" s="107">
        <v>0.0</v>
      </c>
      <c r="AD504" s="107">
        <v>0.0</v>
      </c>
      <c r="AE504" s="80">
        <f t="shared" si="2"/>
        <v>0</v>
      </c>
      <c r="AF504" s="140">
        <v>0.0</v>
      </c>
      <c r="AG504" s="109">
        <v>0.0</v>
      </c>
      <c r="AH504" s="109">
        <v>20.0</v>
      </c>
      <c r="AI504" s="141">
        <v>0.0</v>
      </c>
      <c r="AJ504" s="80">
        <f t="shared" si="3"/>
        <v>20</v>
      </c>
      <c r="AK504" s="140">
        <v>0.0</v>
      </c>
      <c r="AL504" s="109">
        <v>0.0</v>
      </c>
      <c r="AM504" s="141">
        <v>0.0</v>
      </c>
      <c r="AN504" s="80">
        <f t="shared" si="4"/>
        <v>0</v>
      </c>
      <c r="AO504" s="140">
        <v>0.0</v>
      </c>
      <c r="AP504" s="109">
        <v>0.0</v>
      </c>
      <c r="AQ504" s="109">
        <v>0.0</v>
      </c>
      <c r="AR504" s="80">
        <f t="shared" si="5"/>
        <v>0</v>
      </c>
      <c r="AS504" s="110">
        <v>0.0</v>
      </c>
      <c r="AT504" s="110">
        <v>0.0</v>
      </c>
      <c r="AU504" s="110">
        <v>0.0</v>
      </c>
      <c r="AV504" s="142">
        <v>0.0</v>
      </c>
      <c r="AW504" s="80">
        <f t="shared" si="6"/>
        <v>0</v>
      </c>
      <c r="AX504" s="113">
        <f t="shared" si="7"/>
        <v>20</v>
      </c>
      <c r="AY504" s="117">
        <f t="shared" si="8"/>
        <v>0</v>
      </c>
      <c r="AZ504" s="120">
        <f t="shared" si="9"/>
        <v>20</v>
      </c>
      <c r="BA504" s="115">
        <v>0.0</v>
      </c>
      <c r="BB504" s="89">
        <f t="shared" si="10"/>
        <v>20</v>
      </c>
      <c r="BC504" s="132" t="s">
        <v>265</v>
      </c>
      <c r="BD504" s="183" t="s">
        <v>227</v>
      </c>
      <c r="BE504" s="132" t="s">
        <v>178</v>
      </c>
      <c r="BF504" s="123"/>
      <c r="BG504" s="83">
        <v>1178556.0</v>
      </c>
      <c r="BH504" s="112"/>
      <c r="BI504" s="112">
        <v>3.0</v>
      </c>
      <c r="BJ504" s="98" t="s">
        <v>155</v>
      </c>
      <c r="BK504" s="99">
        <f t="shared" si="11"/>
        <v>0</v>
      </c>
      <c r="BL504" s="99">
        <f t="shared" si="12"/>
        <v>0</v>
      </c>
      <c r="BM504" s="99" t="str">
        <f>IFERROR(__xludf.DUMMYFUNCTION("IFERROR(VLOOKUP(BG504,IMPORTRANGE(""https://docs.google.com/spreadsheets/d/1juPI-Fb8LD0YtltB2mlGEnp_R3UVu1t3wSFPzgCyHXE/edit?gid=0#gid=0"",""GERAL!A2:C""),3,0),""-"")"),"QUILOMBOLAS")</f>
        <v>QUILOMBOLAS</v>
      </c>
    </row>
    <row r="505" ht="15.75" customHeight="1">
      <c r="A505" s="111" t="s">
        <v>605</v>
      </c>
      <c r="B505" s="83" t="s">
        <v>2053</v>
      </c>
      <c r="C505" s="83" t="s">
        <v>164</v>
      </c>
      <c r="D505" s="112">
        <v>1179661.0</v>
      </c>
      <c r="E505" s="83">
        <v>1179702.0</v>
      </c>
      <c r="F505" s="98">
        <v>2.9489954E7</v>
      </c>
      <c r="G505" s="187" t="s">
        <v>2075</v>
      </c>
      <c r="H505" s="91" t="s">
        <v>2077</v>
      </c>
      <c r="I505" s="172" t="s">
        <v>2078</v>
      </c>
      <c r="J505" s="83" t="s">
        <v>890</v>
      </c>
      <c r="K505" s="83" t="s">
        <v>151</v>
      </c>
      <c r="L505" s="83" t="s">
        <v>512</v>
      </c>
      <c r="M505" s="82" t="str">
        <f>IFERROR(__xludf.DUMMYFUNCTION("IFERROR(VLOOKUP(D505,
IMPORTRANGE(""https://docs.google.com/spreadsheets/d/1MjHtlUikwobi2MaWJgy7tfLeBmhj1u-dRFRs_8GwSoA/edit#gid=0"",""Gestores Escolares!D7:J""),3,0),""VERIFICAR CÓD SEC"")"),"SERGIO ALVES DE SOUZA")</f>
        <v>SERGIO ALVES DE SOUZA</v>
      </c>
      <c r="N505" s="82" t="str">
        <f>IFERROR(__xludf.DUMMYFUNCTION("IFERROR(VLOOKUP(D505,
IMPORTRANGE(""https://docs.google.com/spreadsheets/d/1MjHtlUikwobi2MaWJgy7tfLeBmhj1u-dRFRs_8GwSoA/edit#gid=0"",""Gestores Escolares!D7:J""),4,0),""VERIFICAR CÓD SEC"")"),"(73) 9 9994-7760")</f>
        <v>(73) 9 9994-7760</v>
      </c>
      <c r="O505" s="82" t="str">
        <f>IFERROR(__xludf.DUMMYFUNCTION("IFERROR(VLOOKUP(D505,
IMPORTRANGE(""https://docs.google.com/spreadsheets/d/1MjHtlUikwobi2MaWJgy7tfLeBmhj1u-dRFRs_8GwSoA/edit#gid=0"",""Gestores Escolares!D7:J""),6,0),""VERIFICAR CÓD SEC"")"),"FILIPE GUSTAVO BARBOSA SARMENTO")</f>
        <v>FILIPE GUSTAVO BARBOSA SARMENTO</v>
      </c>
      <c r="P505" s="82" t="str">
        <f>IFERROR(__xludf.DUMMYFUNCTION("IFERROR(VLOOKUP(D505,
IMPORTRANGE(""https://docs.google.com/spreadsheets/d/1MjHtlUikwobi2MaWJgy7tfLeBmhj1u-dRFRs_8GwSoA/edit#gid=0"",""Gestores Escolares!D7:J""),7,0),""VERIFICAR CÓD SEC"")"),"(73) 9 9961-6973")</f>
        <v>(73) 9 9961-6973</v>
      </c>
      <c r="Q505" s="82" t="str">
        <f>IFERROR(__xludf.DUMMYFUNCTION("IFERROR(VLOOKUP(D505,
IMPORTRANGE(""https://docs.google.com/spreadsheets/d/1MjHtlUikwobi2MaWJgy7tfLeBmhj1u-dRFRs_8GwSoA/edit#gid=0"",""Gestores Escolares!D7:m""),9,0),""VERIFICAR CÓD SEC"")"),"ANDREIA OLIVEIRA PRATES")</f>
        <v>ANDREIA OLIVEIRA PRATES</v>
      </c>
      <c r="R505" s="82" t="str">
        <f>IFERROR(__xludf.DUMMYFUNCTION("IFERROR(VLOOKUP(D505,
IMPORTRANGE(""https://docs.google.com/spreadsheets/d/1MjHtlUikwobi2MaWJgy7tfLeBmhj1u-dRFRs_8GwSoA/edit#gid=0"",""Gestores Escolares!D7:m""),10,0),""VERIFICAR CÓD SEC"")"),"(73) 9 9937-8455")</f>
        <v>(73) 9 9937-8455</v>
      </c>
      <c r="S505" s="82"/>
      <c r="T505" s="138">
        <v>3.0</v>
      </c>
      <c r="U505" s="139">
        <v>4.0</v>
      </c>
      <c r="V505" s="106">
        <v>0.0</v>
      </c>
      <c r="W505" s="107">
        <v>0.0</v>
      </c>
      <c r="X505" s="107">
        <v>0.0</v>
      </c>
      <c r="Y505" s="107">
        <v>0.0</v>
      </c>
      <c r="Z505" s="80">
        <f t="shared" si="1"/>
        <v>0</v>
      </c>
      <c r="AA505" s="106">
        <v>0.0</v>
      </c>
      <c r="AB505" s="107">
        <v>0.0</v>
      </c>
      <c r="AC505" s="107">
        <v>0.0</v>
      </c>
      <c r="AD505" s="107">
        <v>0.0</v>
      </c>
      <c r="AE505" s="80">
        <f t="shared" si="2"/>
        <v>0</v>
      </c>
      <c r="AF505" s="140">
        <v>0.0</v>
      </c>
      <c r="AG505" s="109">
        <v>0.0</v>
      </c>
      <c r="AH505" s="109">
        <v>0.0</v>
      </c>
      <c r="AI505" s="141">
        <v>0.0</v>
      </c>
      <c r="AJ505" s="80">
        <f t="shared" si="3"/>
        <v>0</v>
      </c>
      <c r="AK505" s="140">
        <v>0.0</v>
      </c>
      <c r="AL505" s="109">
        <v>0.0</v>
      </c>
      <c r="AM505" s="141">
        <v>0.0</v>
      </c>
      <c r="AN505" s="80">
        <f t="shared" si="4"/>
        <v>0</v>
      </c>
      <c r="AO505" s="140">
        <v>0.0</v>
      </c>
      <c r="AP505" s="109">
        <v>0.0</v>
      </c>
      <c r="AQ505" s="109">
        <v>43.0</v>
      </c>
      <c r="AR505" s="80">
        <f t="shared" si="5"/>
        <v>43</v>
      </c>
      <c r="AS505" s="110">
        <v>0.0</v>
      </c>
      <c r="AT505" s="110">
        <v>0.0</v>
      </c>
      <c r="AU505" s="110">
        <v>0.0</v>
      </c>
      <c r="AV505" s="142">
        <v>0.0</v>
      </c>
      <c r="AW505" s="80">
        <f t="shared" si="6"/>
        <v>0</v>
      </c>
      <c r="AX505" s="113">
        <f t="shared" si="7"/>
        <v>43</v>
      </c>
      <c r="AY505" s="117">
        <f t="shared" si="8"/>
        <v>0</v>
      </c>
      <c r="AZ505" s="120">
        <f t="shared" si="9"/>
        <v>43</v>
      </c>
      <c r="BA505" s="115">
        <v>0.0</v>
      </c>
      <c r="BB505" s="89">
        <f t="shared" si="10"/>
        <v>43</v>
      </c>
      <c r="BC505" s="132" t="s">
        <v>373</v>
      </c>
      <c r="BD505" s="132" t="s">
        <v>522</v>
      </c>
      <c r="BE505" s="132" t="s">
        <v>178</v>
      </c>
      <c r="BF505" s="156"/>
      <c r="BG505" s="83">
        <v>1179702.0</v>
      </c>
      <c r="BH505" s="112"/>
      <c r="BI505" s="112">
        <v>4.0</v>
      </c>
      <c r="BJ505" s="98" t="s">
        <v>155</v>
      </c>
      <c r="BK505" s="99">
        <f t="shared" si="11"/>
        <v>0</v>
      </c>
      <c r="BL505" s="99">
        <f t="shared" si="12"/>
        <v>0</v>
      </c>
      <c r="BM505" s="99" t="str">
        <f>IFERROR(__xludf.DUMMYFUNCTION("IFERROR(VLOOKUP(BG505,IMPORTRANGE(""https://docs.google.com/spreadsheets/d/1juPI-Fb8LD0YtltB2mlGEnp_R3UVu1t3wSFPzgCyHXE/edit?gid=0#gid=0"",""GERAL!A2:C""),3,0),""-"")"),"CAMPO")</f>
        <v>CAMPO</v>
      </c>
    </row>
    <row r="506" ht="15.75" customHeight="1">
      <c r="A506" s="111" t="s">
        <v>605</v>
      </c>
      <c r="B506" s="83" t="s">
        <v>2053</v>
      </c>
      <c r="C506" s="83" t="s">
        <v>164</v>
      </c>
      <c r="D506" s="112">
        <v>1179661.0</v>
      </c>
      <c r="E506" s="83">
        <v>1179648.0</v>
      </c>
      <c r="F506" s="98">
        <v>2.9489946E7</v>
      </c>
      <c r="G506" s="114" t="s">
        <v>2084</v>
      </c>
      <c r="H506" s="91" t="s">
        <v>2085</v>
      </c>
      <c r="I506" s="83" t="s">
        <v>2086</v>
      </c>
      <c r="J506" s="83" t="s">
        <v>252</v>
      </c>
      <c r="K506" s="83" t="s">
        <v>151</v>
      </c>
      <c r="L506" s="83" t="s">
        <v>169</v>
      </c>
      <c r="M506" s="82" t="str">
        <f>IFERROR(__xludf.DUMMYFUNCTION("IFERROR(VLOOKUP(D506,
IMPORTRANGE(""https://docs.google.com/spreadsheets/d/1MjHtlUikwobi2MaWJgy7tfLeBmhj1u-dRFRs_8GwSoA/edit#gid=0"",""Gestores Escolares!D7:J""),3,0),""VERIFICAR CÓD SEC"")"),"SERGIO ALVES DE SOUZA")</f>
        <v>SERGIO ALVES DE SOUZA</v>
      </c>
      <c r="N506" s="82" t="str">
        <f>IFERROR(__xludf.DUMMYFUNCTION("IFERROR(VLOOKUP(D506,
IMPORTRANGE(""https://docs.google.com/spreadsheets/d/1MjHtlUikwobi2MaWJgy7tfLeBmhj1u-dRFRs_8GwSoA/edit#gid=0"",""Gestores Escolares!D7:J""),4,0),""VERIFICAR CÓD SEC"")"),"(73) 9 9994-7760")</f>
        <v>(73) 9 9994-7760</v>
      </c>
      <c r="O506" s="82" t="str">
        <f>IFERROR(__xludf.DUMMYFUNCTION("IFERROR(VLOOKUP(D506,
IMPORTRANGE(""https://docs.google.com/spreadsheets/d/1MjHtlUikwobi2MaWJgy7tfLeBmhj1u-dRFRs_8GwSoA/edit#gid=0"",""Gestores Escolares!D7:J""),6,0),""VERIFICAR CÓD SEC"")"),"FILIPE GUSTAVO BARBOSA SARMENTO")</f>
        <v>FILIPE GUSTAVO BARBOSA SARMENTO</v>
      </c>
      <c r="P506" s="82" t="str">
        <f>IFERROR(__xludf.DUMMYFUNCTION("IFERROR(VLOOKUP(D506,
IMPORTRANGE(""https://docs.google.com/spreadsheets/d/1MjHtlUikwobi2MaWJgy7tfLeBmhj1u-dRFRs_8GwSoA/edit#gid=0"",""Gestores Escolares!D7:J""),7,0),""VERIFICAR CÓD SEC"")"),"(73) 9 9961-6973")</f>
        <v>(73) 9 9961-6973</v>
      </c>
      <c r="Q506" s="82" t="str">
        <f>IFERROR(__xludf.DUMMYFUNCTION("IFERROR(VLOOKUP(D506,
IMPORTRANGE(""https://docs.google.com/spreadsheets/d/1MjHtlUikwobi2MaWJgy7tfLeBmhj1u-dRFRs_8GwSoA/edit#gid=0"",""Gestores Escolares!D7:m""),9,0),""VERIFICAR CÓD SEC"")"),"ANDREIA OLIVEIRA PRATES")</f>
        <v>ANDREIA OLIVEIRA PRATES</v>
      </c>
      <c r="R506" s="82" t="str">
        <f>IFERROR(__xludf.DUMMYFUNCTION("IFERROR(VLOOKUP(D506,
IMPORTRANGE(""https://docs.google.com/spreadsheets/d/1MjHtlUikwobi2MaWJgy7tfLeBmhj1u-dRFRs_8GwSoA/edit#gid=0"",""Gestores Escolares!D7:m""),10,0),""VERIFICAR CÓD SEC"")"),"(73) 9 9937-8455")</f>
        <v>(73) 9 9937-8455</v>
      </c>
      <c r="S506" s="82"/>
      <c r="T506" s="138">
        <v>4.0</v>
      </c>
      <c r="U506" s="139">
        <v>4.0</v>
      </c>
      <c r="V506" s="106">
        <v>0.0</v>
      </c>
      <c r="W506" s="107">
        <v>0.0</v>
      </c>
      <c r="X506" s="107">
        <v>0.0</v>
      </c>
      <c r="Y506" s="107">
        <v>0.0</v>
      </c>
      <c r="Z506" s="80">
        <f t="shared" si="1"/>
        <v>0</v>
      </c>
      <c r="AA506" s="106">
        <v>0.0</v>
      </c>
      <c r="AB506" s="107">
        <v>0.0</v>
      </c>
      <c r="AC506" s="107">
        <v>0.0</v>
      </c>
      <c r="AD506" s="107">
        <v>0.0</v>
      </c>
      <c r="AE506" s="80">
        <f t="shared" si="2"/>
        <v>0</v>
      </c>
      <c r="AF506" s="140">
        <v>0.0</v>
      </c>
      <c r="AG506" s="109">
        <v>0.0</v>
      </c>
      <c r="AH506" s="109">
        <v>0.0</v>
      </c>
      <c r="AI506" s="141">
        <v>0.0</v>
      </c>
      <c r="AJ506" s="80">
        <f t="shared" si="3"/>
        <v>0</v>
      </c>
      <c r="AK506" s="140">
        <v>0.0</v>
      </c>
      <c r="AL506" s="109">
        <v>0.0</v>
      </c>
      <c r="AM506" s="141">
        <v>0.0</v>
      </c>
      <c r="AN506" s="80">
        <f t="shared" si="4"/>
        <v>0</v>
      </c>
      <c r="AO506" s="140">
        <v>0.0</v>
      </c>
      <c r="AP506" s="109">
        <v>0.0</v>
      </c>
      <c r="AQ506" s="109">
        <v>31.0</v>
      </c>
      <c r="AR506" s="80">
        <f t="shared" si="5"/>
        <v>31</v>
      </c>
      <c r="AS506" s="110">
        <v>0.0</v>
      </c>
      <c r="AT506" s="110">
        <v>0.0</v>
      </c>
      <c r="AU506" s="110">
        <v>0.0</v>
      </c>
      <c r="AV506" s="142">
        <v>0.0</v>
      </c>
      <c r="AW506" s="80">
        <f t="shared" si="6"/>
        <v>0</v>
      </c>
      <c r="AX506" s="113">
        <f t="shared" si="7"/>
        <v>31</v>
      </c>
      <c r="AY506" s="117">
        <f t="shared" si="8"/>
        <v>0</v>
      </c>
      <c r="AZ506" s="120">
        <f t="shared" si="9"/>
        <v>31</v>
      </c>
      <c r="BA506" s="115">
        <v>0.0</v>
      </c>
      <c r="BB506" s="89">
        <f t="shared" si="10"/>
        <v>31</v>
      </c>
      <c r="BC506" s="132" t="s">
        <v>373</v>
      </c>
      <c r="BD506" s="132" t="s">
        <v>522</v>
      </c>
      <c r="BE506" s="132" t="s">
        <v>178</v>
      </c>
      <c r="BF506" s="156"/>
      <c r="BG506" s="83">
        <v>1179648.0</v>
      </c>
      <c r="BH506" s="112"/>
      <c r="BI506" s="112">
        <v>4.0</v>
      </c>
      <c r="BJ506" s="98" t="s">
        <v>155</v>
      </c>
      <c r="BK506" s="99">
        <f t="shared" si="11"/>
        <v>0</v>
      </c>
      <c r="BL506" s="99">
        <f t="shared" si="12"/>
        <v>0</v>
      </c>
      <c r="BM506" s="99" t="str">
        <f>IFERROR(__xludf.DUMMYFUNCTION("IFERROR(VLOOKUP(BG506,IMPORTRANGE(""https://docs.google.com/spreadsheets/d/1juPI-Fb8LD0YtltB2mlGEnp_R3UVu1t3wSFPzgCyHXE/edit?gid=0#gid=0"",""GERAL!A2:C""),3,0),""-"")"),"CAMPO")</f>
        <v>CAMPO</v>
      </c>
    </row>
    <row r="507" ht="15.75" customHeight="1">
      <c r="A507" s="111" t="s">
        <v>605</v>
      </c>
      <c r="B507" s="83" t="s">
        <v>2090</v>
      </c>
      <c r="C507" s="83" t="s">
        <v>68</v>
      </c>
      <c r="D507" s="112">
        <v>1178093.0</v>
      </c>
      <c r="E507" s="83"/>
      <c r="F507" s="83">
        <v>2.9433843E7</v>
      </c>
      <c r="G507" s="185" t="s">
        <v>2091</v>
      </c>
      <c r="H507" s="91" t="s">
        <v>2092</v>
      </c>
      <c r="I507" s="83" t="s">
        <v>149</v>
      </c>
      <c r="J507" s="83" t="s">
        <v>464</v>
      </c>
      <c r="K507" s="83" t="s">
        <v>151</v>
      </c>
      <c r="L507" s="83" t="s">
        <v>152</v>
      </c>
      <c r="M507" s="82" t="str">
        <f>IFERROR(__xludf.DUMMYFUNCTION("IFERROR(VLOOKUP(D507,
IMPORTRANGE(""https://docs.google.com/spreadsheets/d/1MjHtlUikwobi2MaWJgy7tfLeBmhj1u-dRFRs_8GwSoA/edit#gid=0"",""Gestores Escolares!D7:J""),3,0),""VERIFICAR CÓD SEC"")"),"MARCOS SANTOS NOVAIS")</f>
        <v>MARCOS SANTOS NOVAIS</v>
      </c>
      <c r="N507" s="82" t="str">
        <f>IFERROR(__xludf.DUMMYFUNCTION("IFERROR(VLOOKUP(D507,
IMPORTRANGE(""https://docs.google.com/spreadsheets/d/1MjHtlUikwobi2MaWJgy7tfLeBmhj1u-dRFRs_8GwSoA/edit#gid=0"",""Gestores Escolares!D7:J""),4,0),""VERIFICAR CÓD SEC"")"),"(73) 9 9982-8164")</f>
        <v>(73) 9 9982-8164</v>
      </c>
      <c r="O507" s="82" t="str">
        <f>IFERROR(__xludf.DUMMYFUNCTION("IFERROR(VLOOKUP(D507,
IMPORTRANGE(""https://docs.google.com/spreadsheets/d/1MjHtlUikwobi2MaWJgy7tfLeBmhj1u-dRFRs_8GwSoA/edit#gid=0"",""Gestores Escolares!D7:J""),6,0),""VERIFICAR CÓD SEC"")"),"ELIENE FERREIRA DA SILVA NOVAIS")</f>
        <v>ELIENE FERREIRA DA SILVA NOVAIS</v>
      </c>
      <c r="P507" s="82" t="str">
        <f>IFERROR(__xludf.DUMMYFUNCTION("IFERROR(VLOOKUP(D507,
IMPORTRANGE(""https://docs.google.com/spreadsheets/d/1MjHtlUikwobi2MaWJgy7tfLeBmhj1u-dRFRs_8GwSoA/edit#gid=0"",""Gestores Escolares!D7:J""),7,0),""VERIFICAR CÓD SEC"")"),"(73) 9 9929-2993")</f>
        <v>(73) 9 9929-2993</v>
      </c>
      <c r="Q507" s="82" t="str">
        <f>IFERROR(__xludf.DUMMYFUNCTION("IFERROR(VLOOKUP(D507,
IMPORTRANGE(""https://docs.google.com/spreadsheets/d/1MjHtlUikwobi2MaWJgy7tfLeBmhj1u-dRFRs_8GwSoA/edit#gid=0"",""Gestores Escolares!D7:m""),9,0),""VERIFICAR CÓD SEC"")"),"VANESSA THOMAZINI DA SILVA")</f>
        <v>VANESSA THOMAZINI DA SILVA</v>
      </c>
      <c r="R507" s="82" t="str">
        <f>IFERROR(__xludf.DUMMYFUNCTION("IFERROR(VLOOKUP(D507,
IMPORTRANGE(""https://docs.google.com/spreadsheets/d/1MjHtlUikwobi2MaWJgy7tfLeBmhj1u-dRFRs_8GwSoA/edit#gid=0"",""Gestores Escolares!D7:m""),10,0),""VERIFICAR CÓD SEC"")"),"(73) 9 9975-9839")</f>
        <v>(73) 9 9975-9839</v>
      </c>
      <c r="S507" s="82"/>
      <c r="T507" s="138">
        <v>10.0</v>
      </c>
      <c r="U507" s="150">
        <v>8.0</v>
      </c>
      <c r="V507" s="106">
        <v>0.0</v>
      </c>
      <c r="W507" s="107">
        <v>0.0</v>
      </c>
      <c r="X507" s="107">
        <v>0.0</v>
      </c>
      <c r="Y507" s="107">
        <v>0.0</v>
      </c>
      <c r="Z507" s="80">
        <f t="shared" si="1"/>
        <v>0</v>
      </c>
      <c r="AA507" s="106">
        <v>0.0</v>
      </c>
      <c r="AB507" s="107">
        <v>0.0</v>
      </c>
      <c r="AC507" s="107">
        <v>0.0</v>
      </c>
      <c r="AD507" s="107">
        <v>0.0</v>
      </c>
      <c r="AE507" s="80">
        <f t="shared" si="2"/>
        <v>0</v>
      </c>
      <c r="AF507" s="140">
        <v>331.0</v>
      </c>
      <c r="AG507" s="109">
        <v>250.0</v>
      </c>
      <c r="AH507" s="109">
        <v>0.0</v>
      </c>
      <c r="AI507" s="141">
        <v>0.0</v>
      </c>
      <c r="AJ507" s="80">
        <f t="shared" si="3"/>
        <v>581</v>
      </c>
      <c r="AK507" s="140">
        <v>0.0</v>
      </c>
      <c r="AL507" s="109">
        <v>0.0</v>
      </c>
      <c r="AM507" s="141">
        <v>0.0</v>
      </c>
      <c r="AN507" s="80">
        <f t="shared" si="4"/>
        <v>0</v>
      </c>
      <c r="AO507" s="140">
        <v>0.0</v>
      </c>
      <c r="AP507" s="109">
        <v>0.0</v>
      </c>
      <c r="AQ507" s="109">
        <v>102.0</v>
      </c>
      <c r="AR507" s="80">
        <f t="shared" si="5"/>
        <v>102</v>
      </c>
      <c r="AS507" s="110">
        <v>0.0</v>
      </c>
      <c r="AT507" s="110">
        <v>0.0</v>
      </c>
      <c r="AU507" s="110">
        <v>18.0</v>
      </c>
      <c r="AV507" s="142">
        <v>0.0</v>
      </c>
      <c r="AW507" s="80">
        <f t="shared" si="6"/>
        <v>18</v>
      </c>
      <c r="AX507" s="113">
        <f t="shared" si="7"/>
        <v>701</v>
      </c>
      <c r="AY507" s="117">
        <f t="shared" si="8"/>
        <v>581</v>
      </c>
      <c r="AZ507" s="120">
        <f t="shared" si="9"/>
        <v>120</v>
      </c>
      <c r="BA507" s="115">
        <v>0.0</v>
      </c>
      <c r="BB507" s="89">
        <f t="shared" si="10"/>
        <v>701</v>
      </c>
      <c r="BC507" s="132" t="s">
        <v>373</v>
      </c>
      <c r="BD507" s="132" t="s">
        <v>178</v>
      </c>
      <c r="BE507" s="132" t="s">
        <v>178</v>
      </c>
      <c r="BF507" s="123"/>
      <c r="BG507" s="83">
        <v>1178093.0</v>
      </c>
      <c r="BH507" s="112"/>
      <c r="BI507" s="112">
        <v>8.0</v>
      </c>
      <c r="BJ507" s="98" t="s">
        <v>155</v>
      </c>
      <c r="BK507" s="99">
        <f t="shared" si="11"/>
        <v>0</v>
      </c>
      <c r="BL507" s="99">
        <f t="shared" si="12"/>
        <v>581</v>
      </c>
      <c r="BM507" s="99" t="str">
        <f>IFERROR(__xludf.DUMMYFUNCTION("IFERROR(VLOOKUP(BG507,IMPORTRANGE(""https://docs.google.com/spreadsheets/d/1juPI-Fb8LD0YtltB2mlGEnp_R3UVu1t3wSFPzgCyHXE/edit?gid=0#gid=0"",""GERAL!A2:C""),3,0),""-"")"),"CAMPO")</f>
        <v>CAMPO</v>
      </c>
    </row>
    <row r="508" ht="15.75" customHeight="1">
      <c r="A508" s="111" t="s">
        <v>605</v>
      </c>
      <c r="B508" s="83" t="s">
        <v>2090</v>
      </c>
      <c r="C508" s="83" t="s">
        <v>68</v>
      </c>
      <c r="D508" s="112">
        <v>1178427.0</v>
      </c>
      <c r="E508" s="83"/>
      <c r="F508" s="83">
        <v>2.9399246E7</v>
      </c>
      <c r="G508" s="184" t="s">
        <v>2104</v>
      </c>
      <c r="H508" s="91" t="s">
        <v>2105</v>
      </c>
      <c r="I508" s="83" t="s">
        <v>2106</v>
      </c>
      <c r="J508" s="83" t="s">
        <v>209</v>
      </c>
      <c r="K508" s="83" t="s">
        <v>151</v>
      </c>
      <c r="L508" s="83" t="s">
        <v>169</v>
      </c>
      <c r="M508" s="82" t="str">
        <f>IFERROR(__xludf.DUMMYFUNCTION("IFERROR(VLOOKUP(D508,
IMPORTRANGE(""https://docs.google.com/spreadsheets/d/1MjHtlUikwobi2MaWJgy7tfLeBmhj1u-dRFRs_8GwSoA/edit#gid=0"",""Gestores Escolares!D7:J""),3,0),""VERIFICAR CÓD SEC"")"),"ISAIAS FERREIRA DE OLIVEIRA")</f>
        <v>ISAIAS FERREIRA DE OLIVEIRA</v>
      </c>
      <c r="N508" s="82" t="str">
        <f>IFERROR(__xludf.DUMMYFUNCTION("IFERROR(VLOOKUP(D508,
IMPORTRANGE(""https://docs.google.com/spreadsheets/d/1MjHtlUikwobi2MaWJgy7tfLeBmhj1u-dRFRs_8GwSoA/edit#gid=0"",""Gestores Escolares!D7:J""),4,0),""VERIFICAR CÓD SEC"")"),"(73) 9 9953-0333")</f>
        <v>(73) 9 9953-0333</v>
      </c>
      <c r="O508" s="82" t="str">
        <f>IFERROR(__xludf.DUMMYFUNCTION("IFERROR(VLOOKUP(D508,
IMPORTRANGE(""https://docs.google.com/spreadsheets/d/1MjHtlUikwobi2MaWJgy7tfLeBmhj1u-dRFRs_8GwSoA/edit#gid=0"",""Gestores Escolares!D7:J""),6,0),""VERIFICAR CÓD SEC"")"),"")</f>
        <v/>
      </c>
      <c r="P508" s="82" t="str">
        <f>IFERROR(__xludf.DUMMYFUNCTION("IFERROR(VLOOKUP(D508,
IMPORTRANGE(""https://docs.google.com/spreadsheets/d/1MjHtlUikwobi2MaWJgy7tfLeBmhj1u-dRFRs_8GwSoA/edit#gid=0"",""Gestores Escolares!D7:J""),7,0),""VERIFICAR CÓD SEC"")"),"")</f>
        <v/>
      </c>
      <c r="Q508" s="82" t="str">
        <f>IFERROR(__xludf.DUMMYFUNCTION("IFERROR(VLOOKUP(D508,
IMPORTRANGE(""https://docs.google.com/spreadsheets/d/1MjHtlUikwobi2MaWJgy7tfLeBmhj1u-dRFRs_8GwSoA/edit#gid=0"",""Gestores Escolares!D7:m""),9,0),""VERIFICAR CÓD SEC"")"),"SEM VICE - ÉRICA ALCIDES - FUNCIONÁRIA DA UEE  - FUNÇÃO: APOIO ADMINISTRATIVO           CELULAR: (73) 9 9925-9976")</f>
        <v>SEM VICE - ÉRICA ALCIDES - FUNCIONÁRIA DA UEE  - FUNÇÃO: APOIO ADMINISTRATIVO           CELULAR: (73) 9 9925-9976</v>
      </c>
      <c r="R508" s="82" t="str">
        <f>IFERROR(__xludf.DUMMYFUNCTION("IFERROR(VLOOKUP(D508,
IMPORTRANGE(""https://docs.google.com/spreadsheets/d/1MjHtlUikwobi2MaWJgy7tfLeBmhj1u-dRFRs_8GwSoA/edit#gid=0"",""Gestores Escolares!D7:m""),10,0),""VERIFICAR CÓD SEC"")"),"")</f>
        <v/>
      </c>
      <c r="S508" s="82"/>
      <c r="T508" s="138">
        <v>6.0</v>
      </c>
      <c r="U508" s="148" t="s">
        <v>6971</v>
      </c>
      <c r="V508" s="106">
        <v>0.0</v>
      </c>
      <c r="W508" s="107">
        <v>0.0</v>
      </c>
      <c r="X508" s="107">
        <v>0.0</v>
      </c>
      <c r="Y508" s="107">
        <v>0.0</v>
      </c>
      <c r="Z508" s="80">
        <f t="shared" si="1"/>
        <v>0</v>
      </c>
      <c r="AA508" s="106">
        <v>0.0</v>
      </c>
      <c r="AB508" s="107">
        <v>0.0</v>
      </c>
      <c r="AC508" s="107">
        <v>0.0</v>
      </c>
      <c r="AD508" s="107">
        <v>0.0</v>
      </c>
      <c r="AE508" s="80">
        <f t="shared" si="2"/>
        <v>0</v>
      </c>
      <c r="AF508" s="140">
        <v>30.0</v>
      </c>
      <c r="AG508" s="109">
        <v>0.0</v>
      </c>
      <c r="AH508" s="109">
        <v>0.0</v>
      </c>
      <c r="AI508" s="141">
        <v>0.0</v>
      </c>
      <c r="AJ508" s="80">
        <f t="shared" si="3"/>
        <v>30</v>
      </c>
      <c r="AK508" s="140">
        <v>0.0</v>
      </c>
      <c r="AL508" s="109">
        <v>0.0</v>
      </c>
      <c r="AM508" s="141">
        <v>0.0</v>
      </c>
      <c r="AN508" s="80">
        <f t="shared" si="4"/>
        <v>0</v>
      </c>
      <c r="AO508" s="140">
        <v>0.0</v>
      </c>
      <c r="AP508" s="109">
        <v>0.0</v>
      </c>
      <c r="AQ508" s="109">
        <v>21.0</v>
      </c>
      <c r="AR508" s="80">
        <f t="shared" si="5"/>
        <v>21</v>
      </c>
      <c r="AS508" s="110">
        <v>0.0</v>
      </c>
      <c r="AT508" s="110">
        <v>0.0</v>
      </c>
      <c r="AU508" s="110">
        <v>0.0</v>
      </c>
      <c r="AV508" s="142">
        <v>0.0</v>
      </c>
      <c r="AW508" s="80">
        <f t="shared" si="6"/>
        <v>0</v>
      </c>
      <c r="AX508" s="113">
        <f t="shared" si="7"/>
        <v>51</v>
      </c>
      <c r="AY508" s="117">
        <f t="shared" si="8"/>
        <v>30</v>
      </c>
      <c r="AZ508" s="120">
        <f t="shared" si="9"/>
        <v>21</v>
      </c>
      <c r="BA508" s="115">
        <v>0.0</v>
      </c>
      <c r="BB508" s="89">
        <f t="shared" si="10"/>
        <v>51</v>
      </c>
      <c r="BC508" s="132" t="s">
        <v>631</v>
      </c>
      <c r="BD508" s="132" t="s">
        <v>178</v>
      </c>
      <c r="BE508" s="132" t="s">
        <v>178</v>
      </c>
      <c r="BF508" s="123"/>
      <c r="BG508" s="83">
        <v>1178427.0</v>
      </c>
      <c r="BH508" s="112"/>
      <c r="BI508" s="112">
        <v>3.0</v>
      </c>
      <c r="BJ508" s="98" t="s">
        <v>155</v>
      </c>
      <c r="BK508" s="99">
        <f t="shared" si="11"/>
        <v>0</v>
      </c>
      <c r="BL508" s="99">
        <f t="shared" si="12"/>
        <v>30</v>
      </c>
      <c r="BM508" s="99" t="str">
        <f>IFERROR(__xludf.DUMMYFUNCTION("IFERROR(VLOOKUP(BG508,IMPORTRANGE(""https://docs.google.com/spreadsheets/d/1juPI-Fb8LD0YtltB2mlGEnp_R3UVu1t3wSFPzgCyHXE/edit?gid=0#gid=0"",""GERAL!A2:C""),3,0),""-"")"),"ASSENTAMENTOS")</f>
        <v>ASSENTAMENTOS</v>
      </c>
    </row>
    <row r="509" ht="15.75" customHeight="1">
      <c r="A509" s="111" t="s">
        <v>605</v>
      </c>
      <c r="B509" s="83" t="s">
        <v>2090</v>
      </c>
      <c r="C509" s="83" t="s">
        <v>68</v>
      </c>
      <c r="D509" s="112">
        <v>1157746.0</v>
      </c>
      <c r="E509" s="83"/>
      <c r="F509" s="83">
        <v>2.9325099E7</v>
      </c>
      <c r="G509" s="292" t="s">
        <v>2117</v>
      </c>
      <c r="H509" s="91" t="s">
        <v>2118</v>
      </c>
      <c r="I509" s="136" t="s">
        <v>149</v>
      </c>
      <c r="J509" s="136" t="s">
        <v>150</v>
      </c>
      <c r="K509" s="136" t="s">
        <v>151</v>
      </c>
      <c r="L509" s="136" t="s">
        <v>152</v>
      </c>
      <c r="M509" s="82" t="str">
        <f>IFERROR(__xludf.DUMMYFUNCTION("IFERROR(VLOOKUP(D509,
IMPORTRANGE(""https://docs.google.com/spreadsheets/d/1MjHtlUikwobi2MaWJgy7tfLeBmhj1u-dRFRs_8GwSoA/edit#gid=0"",""Gestores Escolares!D7:J""),3,0),""VERIFICAR CÓD SEC"")")," ALDA MARIA DE OLIVEIRA QUINELATO")</f>
        <v> ALDA MARIA DE OLIVEIRA QUINELATO</v>
      </c>
      <c r="N509" s="82" t="str">
        <f>IFERROR(__xludf.DUMMYFUNCTION("IFERROR(VLOOKUP(D509,
IMPORTRANGE(""https://docs.google.com/spreadsheets/d/1MjHtlUikwobi2MaWJgy7tfLeBmhj1u-dRFRs_8GwSoA/edit#gid=0"",""Gestores Escolares!D7:J""),4,0),""VERIFICAR CÓD SEC"")"),"(73) 9 9992-9678")</f>
        <v>(73) 9 9992-9678</v>
      </c>
      <c r="O509" s="82" t="str">
        <f>IFERROR(__xludf.DUMMYFUNCTION("IFERROR(VLOOKUP(D509,
IMPORTRANGE(""https://docs.google.com/spreadsheets/d/1MjHtlUikwobi2MaWJgy7tfLeBmhj1u-dRFRs_8GwSoA/edit#gid=0"",""Gestores Escolares!D7:J""),6,0),""VERIFICAR CÓD SEC"")"),"THAWAN DIAS SANTANA TANNES")</f>
        <v>THAWAN DIAS SANTANA TANNES</v>
      </c>
      <c r="P509" s="82" t="str">
        <f>IFERROR(__xludf.DUMMYFUNCTION("IFERROR(VLOOKUP(D509,
IMPORTRANGE(""https://docs.google.com/spreadsheets/d/1MjHtlUikwobi2MaWJgy7tfLeBmhj1u-dRFRs_8GwSoA/edit#gid=0"",""Gestores Escolares!D7:J""),7,0),""VERIFICAR CÓD SEC"")"),"(73) 9 9145-8295")</f>
        <v>(73) 9 9145-8295</v>
      </c>
      <c r="Q509" s="82" t="str">
        <f>IFERROR(__xludf.DUMMYFUNCTION("IFERROR(VLOOKUP(D509,
IMPORTRANGE(""https://docs.google.com/spreadsheets/d/1MjHtlUikwobi2MaWJgy7tfLeBmhj1u-dRFRs_8GwSoA/edit#gid=0"",""Gestores Escolares!D7:m""),9,0),""VERIFICAR CÓD SEC"")"),"")</f>
        <v/>
      </c>
      <c r="R509" s="82" t="str">
        <f>IFERROR(__xludf.DUMMYFUNCTION("IFERROR(VLOOKUP(D509,
IMPORTRANGE(""https://docs.google.com/spreadsheets/d/1MjHtlUikwobi2MaWJgy7tfLeBmhj1u-dRFRs_8GwSoA/edit#gid=0"",""Gestores Escolares!D7:m""),10,0),""VERIFICAR CÓD SEC"")"),"")</f>
        <v/>
      </c>
      <c r="S509" s="82"/>
      <c r="T509" s="138">
        <v>10.0</v>
      </c>
      <c r="U509" s="145" t="s">
        <v>6997</v>
      </c>
      <c r="V509" s="106">
        <v>0.0</v>
      </c>
      <c r="W509" s="107">
        <v>0.0</v>
      </c>
      <c r="X509" s="107">
        <v>0.0</v>
      </c>
      <c r="Y509" s="107">
        <v>0.0</v>
      </c>
      <c r="Z509" s="80">
        <f t="shared" si="1"/>
        <v>0</v>
      </c>
      <c r="AA509" s="106">
        <v>0.0</v>
      </c>
      <c r="AB509" s="107">
        <v>0.0</v>
      </c>
      <c r="AC509" s="107">
        <v>0.0</v>
      </c>
      <c r="AD509" s="107">
        <v>0.0</v>
      </c>
      <c r="AE509" s="80">
        <f t="shared" si="2"/>
        <v>0</v>
      </c>
      <c r="AF509" s="140">
        <v>0.0</v>
      </c>
      <c r="AG509" s="109">
        <v>0.0</v>
      </c>
      <c r="AH509" s="109">
        <v>0.0</v>
      </c>
      <c r="AI509" s="141">
        <v>186.0</v>
      </c>
      <c r="AJ509" s="80">
        <f t="shared" si="3"/>
        <v>186</v>
      </c>
      <c r="AK509" s="140">
        <v>0.0</v>
      </c>
      <c r="AL509" s="109">
        <v>0.0</v>
      </c>
      <c r="AM509" s="141">
        <v>0.0</v>
      </c>
      <c r="AN509" s="80">
        <f t="shared" si="4"/>
        <v>0</v>
      </c>
      <c r="AO509" s="140">
        <v>0.0</v>
      </c>
      <c r="AP509" s="109">
        <v>0.0</v>
      </c>
      <c r="AQ509" s="109">
        <v>94.0</v>
      </c>
      <c r="AR509" s="80">
        <f t="shared" si="5"/>
        <v>94</v>
      </c>
      <c r="AS509" s="110">
        <v>0.0</v>
      </c>
      <c r="AT509" s="110">
        <v>0.0</v>
      </c>
      <c r="AU509" s="110">
        <v>0.0</v>
      </c>
      <c r="AV509" s="142">
        <v>0.0</v>
      </c>
      <c r="AW509" s="80">
        <f t="shared" si="6"/>
        <v>0</v>
      </c>
      <c r="AX509" s="113">
        <f t="shared" si="7"/>
        <v>280</v>
      </c>
      <c r="AY509" s="117">
        <f t="shared" si="8"/>
        <v>186</v>
      </c>
      <c r="AZ509" s="120">
        <f t="shared" si="9"/>
        <v>94</v>
      </c>
      <c r="BA509" s="115">
        <v>0.0</v>
      </c>
      <c r="BB509" s="89">
        <f t="shared" si="10"/>
        <v>280</v>
      </c>
      <c r="BC509" s="132" t="s">
        <v>178</v>
      </c>
      <c r="BD509" s="132" t="s">
        <v>178</v>
      </c>
      <c r="BE509" s="132" t="s">
        <v>178</v>
      </c>
      <c r="BF509" s="156"/>
      <c r="BG509" s="83">
        <v>1157746.0</v>
      </c>
      <c r="BH509" s="112"/>
      <c r="BI509" s="112">
        <v>9.0</v>
      </c>
      <c r="BJ509" s="98" t="s">
        <v>155</v>
      </c>
      <c r="BK509" s="99">
        <f t="shared" si="11"/>
        <v>186</v>
      </c>
      <c r="BL509" s="99">
        <f t="shared" si="12"/>
        <v>0</v>
      </c>
      <c r="BM509" s="99" t="str">
        <f>IFERROR(__xludf.DUMMYFUNCTION("IFERROR(VLOOKUP(BG509,IMPORTRANGE(""https://docs.google.com/spreadsheets/d/1juPI-Fb8LD0YtltB2mlGEnp_R3UVu1t3wSFPzgCyHXE/edit?gid=0#gid=0"",""GERAL!A2:C""),3,0),""-"")"),"-")</f>
        <v>-</v>
      </c>
    </row>
    <row r="510" ht="15.75" customHeight="1">
      <c r="A510" s="111" t="s">
        <v>605</v>
      </c>
      <c r="B510" s="83" t="s">
        <v>2090</v>
      </c>
      <c r="C510" s="83" t="s">
        <v>164</v>
      </c>
      <c r="D510" s="112">
        <v>1178093.0</v>
      </c>
      <c r="E510" s="83">
        <v>1178559.0</v>
      </c>
      <c r="F510" s="98">
        <v>2.9492467E7</v>
      </c>
      <c r="G510" s="185" t="s">
        <v>2125</v>
      </c>
      <c r="H510" s="91" t="s">
        <v>2126</v>
      </c>
      <c r="I510" s="83" t="s">
        <v>149</v>
      </c>
      <c r="J510" s="83" t="s">
        <v>252</v>
      </c>
      <c r="K510" s="83" t="s">
        <v>151</v>
      </c>
      <c r="L510" s="83" t="s">
        <v>169</v>
      </c>
      <c r="M510" s="82" t="str">
        <f>IFERROR(__xludf.DUMMYFUNCTION("IFERROR(VLOOKUP(D510,
IMPORTRANGE(""https://docs.google.com/spreadsheets/d/1MjHtlUikwobi2MaWJgy7tfLeBmhj1u-dRFRs_8GwSoA/edit#gid=0"",""Gestores Escolares!D7:J""),3,0),""VERIFICAR CÓD SEC"")"),"MARCOS SANTOS NOVAIS")</f>
        <v>MARCOS SANTOS NOVAIS</v>
      </c>
      <c r="N510" s="82" t="str">
        <f>IFERROR(__xludf.DUMMYFUNCTION("IFERROR(VLOOKUP(D510,
IMPORTRANGE(""https://docs.google.com/spreadsheets/d/1MjHtlUikwobi2MaWJgy7tfLeBmhj1u-dRFRs_8GwSoA/edit#gid=0"",""Gestores Escolares!D7:J""),4,0),""VERIFICAR CÓD SEC"")"),"(73) 9 9982-8164")</f>
        <v>(73) 9 9982-8164</v>
      </c>
      <c r="O510" s="82" t="str">
        <f>IFERROR(__xludf.DUMMYFUNCTION("IFERROR(VLOOKUP(D510,
IMPORTRANGE(""https://docs.google.com/spreadsheets/d/1MjHtlUikwobi2MaWJgy7tfLeBmhj1u-dRFRs_8GwSoA/edit#gid=0"",""Gestores Escolares!D7:J""),6,0),""VERIFICAR CÓD SEC"")"),"ELIENE FERREIRA DA SILVA NOVAIS")</f>
        <v>ELIENE FERREIRA DA SILVA NOVAIS</v>
      </c>
      <c r="P510" s="82" t="str">
        <f>IFERROR(__xludf.DUMMYFUNCTION("IFERROR(VLOOKUP(D510,
IMPORTRANGE(""https://docs.google.com/spreadsheets/d/1MjHtlUikwobi2MaWJgy7tfLeBmhj1u-dRFRs_8GwSoA/edit#gid=0"",""Gestores Escolares!D7:J""),7,0),""VERIFICAR CÓD SEC"")"),"(73) 9 9929-2993")</f>
        <v>(73) 9 9929-2993</v>
      </c>
      <c r="Q510" s="82" t="str">
        <f>IFERROR(__xludf.DUMMYFUNCTION("IFERROR(VLOOKUP(D510,
IMPORTRANGE(""https://docs.google.com/spreadsheets/d/1MjHtlUikwobi2MaWJgy7tfLeBmhj1u-dRFRs_8GwSoA/edit#gid=0"",""Gestores Escolares!D7:m""),9,0),""VERIFICAR CÓD SEC"")"),"VANESSA THOMAZINI DA SILVA")</f>
        <v>VANESSA THOMAZINI DA SILVA</v>
      </c>
      <c r="R510" s="82" t="str">
        <f>IFERROR(__xludf.DUMMYFUNCTION("IFERROR(VLOOKUP(D510,
IMPORTRANGE(""https://docs.google.com/spreadsheets/d/1MjHtlUikwobi2MaWJgy7tfLeBmhj1u-dRFRs_8GwSoA/edit#gid=0"",""Gestores Escolares!D7:m""),10,0),""VERIFICAR CÓD SEC"")"),"(73) 9 9975-9839")</f>
        <v>(73) 9 9975-9839</v>
      </c>
      <c r="S510" s="82"/>
      <c r="T510" s="138">
        <v>3.0</v>
      </c>
      <c r="U510" s="150">
        <v>3.0</v>
      </c>
      <c r="V510" s="106">
        <v>0.0</v>
      </c>
      <c r="W510" s="107">
        <v>0.0</v>
      </c>
      <c r="X510" s="107">
        <v>0.0</v>
      </c>
      <c r="Y510" s="107">
        <v>0.0</v>
      </c>
      <c r="Z510" s="80">
        <f t="shared" si="1"/>
        <v>0</v>
      </c>
      <c r="AA510" s="106">
        <v>0.0</v>
      </c>
      <c r="AB510" s="107">
        <v>0.0</v>
      </c>
      <c r="AC510" s="107">
        <v>0.0</v>
      </c>
      <c r="AD510" s="107">
        <v>0.0</v>
      </c>
      <c r="AE510" s="80">
        <f t="shared" si="2"/>
        <v>0</v>
      </c>
      <c r="AF510" s="140">
        <v>0.0</v>
      </c>
      <c r="AG510" s="109">
        <v>0.0</v>
      </c>
      <c r="AH510" s="109">
        <v>0.0</v>
      </c>
      <c r="AI510" s="141">
        <v>0.0</v>
      </c>
      <c r="AJ510" s="80">
        <f t="shared" si="3"/>
        <v>0</v>
      </c>
      <c r="AK510" s="140">
        <v>0.0</v>
      </c>
      <c r="AL510" s="109">
        <v>0.0</v>
      </c>
      <c r="AM510" s="141">
        <v>0.0</v>
      </c>
      <c r="AN510" s="80">
        <f t="shared" si="4"/>
        <v>0</v>
      </c>
      <c r="AO510" s="140">
        <v>0.0</v>
      </c>
      <c r="AP510" s="109">
        <v>0.0</v>
      </c>
      <c r="AQ510" s="109">
        <v>35.0</v>
      </c>
      <c r="AR510" s="80">
        <f t="shared" si="5"/>
        <v>35</v>
      </c>
      <c r="AS510" s="110">
        <v>0.0</v>
      </c>
      <c r="AT510" s="110">
        <v>0.0</v>
      </c>
      <c r="AU510" s="110">
        <v>0.0</v>
      </c>
      <c r="AV510" s="142">
        <v>0.0</v>
      </c>
      <c r="AW510" s="80">
        <f t="shared" si="6"/>
        <v>0</v>
      </c>
      <c r="AX510" s="113">
        <f t="shared" si="7"/>
        <v>35</v>
      </c>
      <c r="AY510" s="117">
        <f t="shared" si="8"/>
        <v>0</v>
      </c>
      <c r="AZ510" s="120">
        <f t="shared" si="9"/>
        <v>35</v>
      </c>
      <c r="BA510" s="115">
        <v>0.0</v>
      </c>
      <c r="BB510" s="89">
        <f t="shared" si="10"/>
        <v>35</v>
      </c>
      <c r="BC510" s="132" t="s">
        <v>373</v>
      </c>
      <c r="BD510" s="132" t="s">
        <v>178</v>
      </c>
      <c r="BE510" s="132" t="s">
        <v>178</v>
      </c>
      <c r="BF510" s="123"/>
      <c r="BG510" s="83">
        <v>1178559.0</v>
      </c>
      <c r="BH510" s="112"/>
      <c r="BI510" s="112">
        <v>3.0</v>
      </c>
      <c r="BJ510" s="98" t="s">
        <v>155</v>
      </c>
      <c r="BK510" s="99">
        <f t="shared" si="11"/>
        <v>0</v>
      </c>
      <c r="BL510" s="99">
        <f t="shared" si="12"/>
        <v>0</v>
      </c>
      <c r="BM510" s="99" t="str">
        <f>IFERROR(__xludf.DUMMYFUNCTION("IFERROR(VLOOKUP(BG510,IMPORTRANGE(""https://docs.google.com/spreadsheets/d/1juPI-Fb8LD0YtltB2mlGEnp_R3UVu1t3wSFPzgCyHXE/edit?gid=0#gid=0"",""GERAL!A2:C""),3,0),""-"")"),"CAMPO")</f>
        <v>CAMPO</v>
      </c>
    </row>
    <row r="511" ht="15.75" customHeight="1">
      <c r="A511" s="111" t="s">
        <v>605</v>
      </c>
      <c r="B511" s="83" t="s">
        <v>2090</v>
      </c>
      <c r="C511" s="83" t="s">
        <v>164</v>
      </c>
      <c r="D511" s="112">
        <v>1178093.0</v>
      </c>
      <c r="E511" s="83">
        <v>1178558.0</v>
      </c>
      <c r="F511" s="98">
        <v>2.9492459E7</v>
      </c>
      <c r="G511" s="185" t="s">
        <v>2128</v>
      </c>
      <c r="H511" s="91" t="s">
        <v>2129</v>
      </c>
      <c r="I511" s="83" t="s">
        <v>149</v>
      </c>
      <c r="J511" s="83" t="s">
        <v>252</v>
      </c>
      <c r="K511" s="83" t="s">
        <v>151</v>
      </c>
      <c r="L511" s="83" t="s">
        <v>169</v>
      </c>
      <c r="M511" s="82" t="str">
        <f>IFERROR(__xludf.DUMMYFUNCTION("IFERROR(VLOOKUP(D511,
IMPORTRANGE(""https://docs.google.com/spreadsheets/d/1MjHtlUikwobi2MaWJgy7tfLeBmhj1u-dRFRs_8GwSoA/edit#gid=0"",""Gestores Escolares!D7:J""),3,0),""VERIFICAR CÓD SEC"")"),"MARCOS SANTOS NOVAIS")</f>
        <v>MARCOS SANTOS NOVAIS</v>
      </c>
      <c r="N511" s="82" t="str">
        <f>IFERROR(__xludf.DUMMYFUNCTION("IFERROR(VLOOKUP(D511,
IMPORTRANGE(""https://docs.google.com/spreadsheets/d/1MjHtlUikwobi2MaWJgy7tfLeBmhj1u-dRFRs_8GwSoA/edit#gid=0"",""Gestores Escolares!D7:J""),4,0),""VERIFICAR CÓD SEC"")"),"(73) 9 9982-8164")</f>
        <v>(73) 9 9982-8164</v>
      </c>
      <c r="O511" s="82" t="str">
        <f>IFERROR(__xludf.DUMMYFUNCTION("IFERROR(VLOOKUP(D511,
IMPORTRANGE(""https://docs.google.com/spreadsheets/d/1MjHtlUikwobi2MaWJgy7tfLeBmhj1u-dRFRs_8GwSoA/edit#gid=0"",""Gestores Escolares!D7:J""),6,0),""VERIFICAR CÓD SEC"")"),"ELIENE FERREIRA DA SILVA NOVAIS")</f>
        <v>ELIENE FERREIRA DA SILVA NOVAIS</v>
      </c>
      <c r="P511" s="82" t="str">
        <f>IFERROR(__xludf.DUMMYFUNCTION("IFERROR(VLOOKUP(D511,
IMPORTRANGE(""https://docs.google.com/spreadsheets/d/1MjHtlUikwobi2MaWJgy7tfLeBmhj1u-dRFRs_8GwSoA/edit#gid=0"",""Gestores Escolares!D7:J""),7,0),""VERIFICAR CÓD SEC"")"),"(73) 9 9929-2993")</f>
        <v>(73) 9 9929-2993</v>
      </c>
      <c r="Q511" s="82" t="str">
        <f>IFERROR(__xludf.DUMMYFUNCTION("IFERROR(VLOOKUP(D511,
IMPORTRANGE(""https://docs.google.com/spreadsheets/d/1MjHtlUikwobi2MaWJgy7tfLeBmhj1u-dRFRs_8GwSoA/edit#gid=0"",""Gestores Escolares!D7:m""),9,0),""VERIFICAR CÓD SEC"")"),"VANESSA THOMAZINI DA SILVA")</f>
        <v>VANESSA THOMAZINI DA SILVA</v>
      </c>
      <c r="R511" s="82" t="str">
        <f>IFERROR(__xludf.DUMMYFUNCTION("IFERROR(VLOOKUP(D511,
IMPORTRANGE(""https://docs.google.com/spreadsheets/d/1MjHtlUikwobi2MaWJgy7tfLeBmhj1u-dRFRs_8GwSoA/edit#gid=0"",""Gestores Escolares!D7:m""),10,0),""VERIFICAR CÓD SEC"")"),"(73) 9 9975-9839")</f>
        <v>(73) 9 9975-9839</v>
      </c>
      <c r="S511" s="82"/>
      <c r="T511" s="138">
        <v>3.0</v>
      </c>
      <c r="U511" s="150">
        <v>3.0</v>
      </c>
      <c r="V511" s="106">
        <v>0.0</v>
      </c>
      <c r="W511" s="107">
        <v>0.0</v>
      </c>
      <c r="X511" s="107">
        <v>0.0</v>
      </c>
      <c r="Y511" s="107">
        <v>0.0</v>
      </c>
      <c r="Z511" s="80">
        <f t="shared" si="1"/>
        <v>0</v>
      </c>
      <c r="AA511" s="106">
        <v>0.0</v>
      </c>
      <c r="AB511" s="107">
        <v>0.0</v>
      </c>
      <c r="AC511" s="107">
        <v>0.0</v>
      </c>
      <c r="AD511" s="107">
        <v>0.0</v>
      </c>
      <c r="AE511" s="80">
        <f t="shared" si="2"/>
        <v>0</v>
      </c>
      <c r="AF511" s="140">
        <v>0.0</v>
      </c>
      <c r="AG511" s="109">
        <v>0.0</v>
      </c>
      <c r="AH511" s="109">
        <v>0.0</v>
      </c>
      <c r="AI511" s="141">
        <v>0.0</v>
      </c>
      <c r="AJ511" s="80">
        <f t="shared" si="3"/>
        <v>0</v>
      </c>
      <c r="AK511" s="140">
        <v>0.0</v>
      </c>
      <c r="AL511" s="109">
        <v>0.0</v>
      </c>
      <c r="AM511" s="141">
        <v>0.0</v>
      </c>
      <c r="AN511" s="80">
        <f t="shared" si="4"/>
        <v>0</v>
      </c>
      <c r="AO511" s="140">
        <v>0.0</v>
      </c>
      <c r="AP511" s="109">
        <v>0.0</v>
      </c>
      <c r="AQ511" s="109">
        <v>16.0</v>
      </c>
      <c r="AR511" s="80">
        <f t="shared" si="5"/>
        <v>16</v>
      </c>
      <c r="AS511" s="110">
        <v>0.0</v>
      </c>
      <c r="AT511" s="110">
        <v>0.0</v>
      </c>
      <c r="AU511" s="110">
        <v>0.0</v>
      </c>
      <c r="AV511" s="142">
        <v>0.0</v>
      </c>
      <c r="AW511" s="80">
        <f t="shared" si="6"/>
        <v>0</v>
      </c>
      <c r="AX511" s="113">
        <f t="shared" si="7"/>
        <v>16</v>
      </c>
      <c r="AY511" s="117">
        <f t="shared" si="8"/>
        <v>0</v>
      </c>
      <c r="AZ511" s="120">
        <f t="shared" si="9"/>
        <v>16</v>
      </c>
      <c r="BA511" s="115">
        <v>0.0</v>
      </c>
      <c r="BB511" s="89">
        <f t="shared" si="10"/>
        <v>16</v>
      </c>
      <c r="BC511" s="132" t="s">
        <v>373</v>
      </c>
      <c r="BD511" s="132" t="s">
        <v>178</v>
      </c>
      <c r="BE511" s="132" t="s">
        <v>178</v>
      </c>
      <c r="BF511" s="123"/>
      <c r="BG511" s="83">
        <v>1178558.0</v>
      </c>
      <c r="BH511" s="112"/>
      <c r="BI511" s="112">
        <v>3.0</v>
      </c>
      <c r="BJ511" s="98" t="s">
        <v>155</v>
      </c>
      <c r="BK511" s="99">
        <f t="shared" si="11"/>
        <v>0</v>
      </c>
      <c r="BL511" s="99">
        <f t="shared" si="12"/>
        <v>0</v>
      </c>
      <c r="BM511" s="99" t="str">
        <f>IFERROR(__xludf.DUMMYFUNCTION("IFERROR(VLOOKUP(BG511,IMPORTRANGE(""https://docs.google.com/spreadsheets/d/1juPI-Fb8LD0YtltB2mlGEnp_R3UVu1t3wSFPzgCyHXE/edit?gid=0#gid=0"",""GERAL!A2:C""),3,0),""-"")"),"CAMPO")</f>
        <v>CAMPO</v>
      </c>
    </row>
    <row r="512" ht="15.75" customHeight="1">
      <c r="A512" s="111" t="s">
        <v>605</v>
      </c>
      <c r="B512" s="83" t="s">
        <v>2090</v>
      </c>
      <c r="C512" s="83" t="s">
        <v>164</v>
      </c>
      <c r="D512" s="112">
        <v>1178093.0</v>
      </c>
      <c r="E512" s="83">
        <v>1178557.0</v>
      </c>
      <c r="F512" s="98">
        <v>2.949244E7</v>
      </c>
      <c r="G512" s="185" t="s">
        <v>2132</v>
      </c>
      <c r="H512" s="91" t="s">
        <v>2133</v>
      </c>
      <c r="I512" s="83" t="s">
        <v>149</v>
      </c>
      <c r="J512" s="83" t="s">
        <v>464</v>
      </c>
      <c r="K512" s="83" t="s">
        <v>151</v>
      </c>
      <c r="L512" s="83" t="s">
        <v>169</v>
      </c>
      <c r="M512" s="82" t="str">
        <f>IFERROR(__xludf.DUMMYFUNCTION("IFERROR(VLOOKUP(D512,
IMPORTRANGE(""https://docs.google.com/spreadsheets/d/1MjHtlUikwobi2MaWJgy7tfLeBmhj1u-dRFRs_8GwSoA/edit#gid=0"",""Gestores Escolares!D7:J""),3,0),""VERIFICAR CÓD SEC"")"),"MARCOS SANTOS NOVAIS")</f>
        <v>MARCOS SANTOS NOVAIS</v>
      </c>
      <c r="N512" s="82" t="str">
        <f>IFERROR(__xludf.DUMMYFUNCTION("IFERROR(VLOOKUP(D512,
IMPORTRANGE(""https://docs.google.com/spreadsheets/d/1MjHtlUikwobi2MaWJgy7tfLeBmhj1u-dRFRs_8GwSoA/edit#gid=0"",""Gestores Escolares!D7:J""),4,0),""VERIFICAR CÓD SEC"")"),"(73) 9 9982-8164")</f>
        <v>(73) 9 9982-8164</v>
      </c>
      <c r="O512" s="82" t="str">
        <f>IFERROR(__xludf.DUMMYFUNCTION("IFERROR(VLOOKUP(D512,
IMPORTRANGE(""https://docs.google.com/spreadsheets/d/1MjHtlUikwobi2MaWJgy7tfLeBmhj1u-dRFRs_8GwSoA/edit#gid=0"",""Gestores Escolares!D7:J""),6,0),""VERIFICAR CÓD SEC"")"),"ELIENE FERREIRA DA SILVA NOVAIS")</f>
        <v>ELIENE FERREIRA DA SILVA NOVAIS</v>
      </c>
      <c r="P512" s="82" t="str">
        <f>IFERROR(__xludf.DUMMYFUNCTION("IFERROR(VLOOKUP(D512,
IMPORTRANGE(""https://docs.google.com/spreadsheets/d/1MjHtlUikwobi2MaWJgy7tfLeBmhj1u-dRFRs_8GwSoA/edit#gid=0"",""Gestores Escolares!D7:J""),7,0),""VERIFICAR CÓD SEC"")"),"(73) 9 9929-2993")</f>
        <v>(73) 9 9929-2993</v>
      </c>
      <c r="Q512" s="82" t="str">
        <f>IFERROR(__xludf.DUMMYFUNCTION("IFERROR(VLOOKUP(D512,
IMPORTRANGE(""https://docs.google.com/spreadsheets/d/1MjHtlUikwobi2MaWJgy7tfLeBmhj1u-dRFRs_8GwSoA/edit#gid=0"",""Gestores Escolares!D7:m""),9,0),""VERIFICAR CÓD SEC"")"),"VANESSA THOMAZINI DA SILVA")</f>
        <v>VANESSA THOMAZINI DA SILVA</v>
      </c>
      <c r="R512" s="82" t="str">
        <f>IFERROR(__xludf.DUMMYFUNCTION("IFERROR(VLOOKUP(D512,
IMPORTRANGE(""https://docs.google.com/spreadsheets/d/1MjHtlUikwobi2MaWJgy7tfLeBmhj1u-dRFRs_8GwSoA/edit#gid=0"",""Gestores Escolares!D7:m""),10,0),""VERIFICAR CÓD SEC"")"),"(73) 9 9975-9839")</f>
        <v>(73) 9 9975-9839</v>
      </c>
      <c r="S512" s="82"/>
      <c r="T512" s="138">
        <v>3.0</v>
      </c>
      <c r="U512" s="150">
        <v>3.0</v>
      </c>
      <c r="V512" s="106">
        <v>0.0</v>
      </c>
      <c r="W512" s="107">
        <v>0.0</v>
      </c>
      <c r="X512" s="107">
        <v>0.0</v>
      </c>
      <c r="Y512" s="107">
        <v>0.0</v>
      </c>
      <c r="Z512" s="80">
        <f t="shared" si="1"/>
        <v>0</v>
      </c>
      <c r="AA512" s="106">
        <v>0.0</v>
      </c>
      <c r="AB512" s="107">
        <v>0.0</v>
      </c>
      <c r="AC512" s="107">
        <v>0.0</v>
      </c>
      <c r="AD512" s="107">
        <v>0.0</v>
      </c>
      <c r="AE512" s="80">
        <f t="shared" si="2"/>
        <v>0</v>
      </c>
      <c r="AF512" s="140">
        <v>0.0</v>
      </c>
      <c r="AG512" s="109">
        <v>0.0</v>
      </c>
      <c r="AH512" s="109">
        <v>0.0</v>
      </c>
      <c r="AI512" s="141">
        <v>0.0</v>
      </c>
      <c r="AJ512" s="80">
        <f t="shared" si="3"/>
        <v>0</v>
      </c>
      <c r="AK512" s="140">
        <v>0.0</v>
      </c>
      <c r="AL512" s="109">
        <v>0.0</v>
      </c>
      <c r="AM512" s="141">
        <v>0.0</v>
      </c>
      <c r="AN512" s="80">
        <f t="shared" si="4"/>
        <v>0</v>
      </c>
      <c r="AO512" s="140">
        <v>0.0</v>
      </c>
      <c r="AP512" s="109">
        <v>0.0</v>
      </c>
      <c r="AQ512" s="109">
        <v>40.0</v>
      </c>
      <c r="AR512" s="80">
        <f t="shared" si="5"/>
        <v>40</v>
      </c>
      <c r="AS512" s="110">
        <v>0.0</v>
      </c>
      <c r="AT512" s="110">
        <v>0.0</v>
      </c>
      <c r="AU512" s="110">
        <v>0.0</v>
      </c>
      <c r="AV512" s="142">
        <v>0.0</v>
      </c>
      <c r="AW512" s="80">
        <f t="shared" si="6"/>
        <v>0</v>
      </c>
      <c r="AX512" s="113">
        <f t="shared" si="7"/>
        <v>40</v>
      </c>
      <c r="AY512" s="117">
        <f t="shared" si="8"/>
        <v>0</v>
      </c>
      <c r="AZ512" s="120">
        <f t="shared" si="9"/>
        <v>40</v>
      </c>
      <c r="BA512" s="115">
        <v>0.0</v>
      </c>
      <c r="BB512" s="89">
        <f t="shared" si="10"/>
        <v>40</v>
      </c>
      <c r="BC512" s="132" t="s">
        <v>373</v>
      </c>
      <c r="BD512" s="132" t="s">
        <v>178</v>
      </c>
      <c r="BE512" s="132" t="s">
        <v>178</v>
      </c>
      <c r="BF512" s="123"/>
      <c r="BG512" s="83">
        <v>1178557.0</v>
      </c>
      <c r="BH512" s="112"/>
      <c r="BI512" s="112">
        <v>3.0</v>
      </c>
      <c r="BJ512" s="98" t="s">
        <v>155</v>
      </c>
      <c r="BK512" s="99">
        <f t="shared" si="11"/>
        <v>0</v>
      </c>
      <c r="BL512" s="99">
        <f t="shared" si="12"/>
        <v>0</v>
      </c>
      <c r="BM512" s="99" t="str">
        <f>IFERROR(__xludf.DUMMYFUNCTION("IFERROR(VLOOKUP(BG512,IMPORTRANGE(""https://docs.google.com/spreadsheets/d/1juPI-Fb8LD0YtltB2mlGEnp_R3UVu1t3wSFPzgCyHXE/edit?gid=0#gid=0"",""GERAL!A2:C""),3,0),""-"")"),"CAMPO")</f>
        <v>CAMPO</v>
      </c>
    </row>
    <row r="513" ht="15.75" customHeight="1">
      <c r="A513" s="111" t="s">
        <v>605</v>
      </c>
      <c r="B513" s="83" t="s">
        <v>2090</v>
      </c>
      <c r="C513" s="83" t="s">
        <v>164</v>
      </c>
      <c r="D513" s="112">
        <v>1178093.0</v>
      </c>
      <c r="E513" s="83">
        <v>1179696.0</v>
      </c>
      <c r="F513" s="98">
        <v>2.9492432E7</v>
      </c>
      <c r="G513" s="241" t="s">
        <v>2139</v>
      </c>
      <c r="H513" s="91" t="s">
        <v>2141</v>
      </c>
      <c r="I513" s="83" t="s">
        <v>149</v>
      </c>
      <c r="J513" s="83" t="s">
        <v>2142</v>
      </c>
      <c r="K513" s="83" t="s">
        <v>151</v>
      </c>
      <c r="L513" s="83" t="s">
        <v>169</v>
      </c>
      <c r="M513" s="82" t="str">
        <f>IFERROR(__xludf.DUMMYFUNCTION("IFERROR(VLOOKUP(D513,
IMPORTRANGE(""https://docs.google.com/spreadsheets/d/1MjHtlUikwobi2MaWJgy7tfLeBmhj1u-dRFRs_8GwSoA/edit#gid=0"",""Gestores Escolares!D7:J""),3,0),""VERIFICAR CÓD SEC"")"),"MARCOS SANTOS NOVAIS")</f>
        <v>MARCOS SANTOS NOVAIS</v>
      </c>
      <c r="N513" s="82" t="str">
        <f>IFERROR(__xludf.DUMMYFUNCTION("IFERROR(VLOOKUP(D513,
IMPORTRANGE(""https://docs.google.com/spreadsheets/d/1MjHtlUikwobi2MaWJgy7tfLeBmhj1u-dRFRs_8GwSoA/edit#gid=0"",""Gestores Escolares!D7:J""),4,0),""VERIFICAR CÓD SEC"")"),"(73) 9 9982-8164")</f>
        <v>(73) 9 9982-8164</v>
      </c>
      <c r="O513" s="82" t="str">
        <f>IFERROR(__xludf.DUMMYFUNCTION("IFERROR(VLOOKUP(D513,
IMPORTRANGE(""https://docs.google.com/spreadsheets/d/1MjHtlUikwobi2MaWJgy7tfLeBmhj1u-dRFRs_8GwSoA/edit#gid=0"",""Gestores Escolares!D7:J""),6,0),""VERIFICAR CÓD SEC"")"),"ELIENE FERREIRA DA SILVA NOVAIS")</f>
        <v>ELIENE FERREIRA DA SILVA NOVAIS</v>
      </c>
      <c r="P513" s="82" t="str">
        <f>IFERROR(__xludf.DUMMYFUNCTION("IFERROR(VLOOKUP(D513,
IMPORTRANGE(""https://docs.google.com/spreadsheets/d/1MjHtlUikwobi2MaWJgy7tfLeBmhj1u-dRFRs_8GwSoA/edit#gid=0"",""Gestores Escolares!D7:J""),7,0),""VERIFICAR CÓD SEC"")"),"(73) 9 9929-2993")</f>
        <v>(73) 9 9929-2993</v>
      </c>
      <c r="Q513" s="82" t="str">
        <f>IFERROR(__xludf.DUMMYFUNCTION("IFERROR(VLOOKUP(D513,
IMPORTRANGE(""https://docs.google.com/spreadsheets/d/1MjHtlUikwobi2MaWJgy7tfLeBmhj1u-dRFRs_8GwSoA/edit#gid=0"",""Gestores Escolares!D7:m""),9,0),""VERIFICAR CÓD SEC"")"),"VANESSA THOMAZINI DA SILVA")</f>
        <v>VANESSA THOMAZINI DA SILVA</v>
      </c>
      <c r="R513" s="82" t="str">
        <f>IFERROR(__xludf.DUMMYFUNCTION("IFERROR(VLOOKUP(D513,
IMPORTRANGE(""https://docs.google.com/spreadsheets/d/1MjHtlUikwobi2MaWJgy7tfLeBmhj1u-dRFRs_8GwSoA/edit#gid=0"",""Gestores Escolares!D7:m""),10,0),""VERIFICAR CÓD SEC"")"),"(73) 9 9975-9839")</f>
        <v>(73) 9 9975-9839</v>
      </c>
      <c r="S513" s="82"/>
      <c r="T513" s="138">
        <v>3.0</v>
      </c>
      <c r="U513" s="150">
        <v>3.0</v>
      </c>
      <c r="V513" s="106">
        <v>0.0</v>
      </c>
      <c r="W513" s="107">
        <v>0.0</v>
      </c>
      <c r="X513" s="107">
        <v>0.0</v>
      </c>
      <c r="Y513" s="107">
        <v>0.0</v>
      </c>
      <c r="Z513" s="80">
        <f t="shared" si="1"/>
        <v>0</v>
      </c>
      <c r="AA513" s="106">
        <v>0.0</v>
      </c>
      <c r="AB513" s="107">
        <v>0.0</v>
      </c>
      <c r="AC513" s="107">
        <v>0.0</v>
      </c>
      <c r="AD513" s="107">
        <v>0.0</v>
      </c>
      <c r="AE513" s="80">
        <f t="shared" si="2"/>
        <v>0</v>
      </c>
      <c r="AF513" s="140">
        <v>0.0</v>
      </c>
      <c r="AG513" s="109">
        <v>0.0</v>
      </c>
      <c r="AH513" s="109">
        <v>0.0</v>
      </c>
      <c r="AI513" s="141">
        <v>0.0</v>
      </c>
      <c r="AJ513" s="80">
        <f t="shared" si="3"/>
        <v>0</v>
      </c>
      <c r="AK513" s="140">
        <v>0.0</v>
      </c>
      <c r="AL513" s="109">
        <v>0.0</v>
      </c>
      <c r="AM513" s="141">
        <v>0.0</v>
      </c>
      <c r="AN513" s="80">
        <f t="shared" si="4"/>
        <v>0</v>
      </c>
      <c r="AO513" s="140">
        <v>0.0</v>
      </c>
      <c r="AP513" s="109">
        <v>0.0</v>
      </c>
      <c r="AQ513" s="109">
        <v>23.0</v>
      </c>
      <c r="AR513" s="80">
        <f t="shared" si="5"/>
        <v>23</v>
      </c>
      <c r="AS513" s="110">
        <v>0.0</v>
      </c>
      <c r="AT513" s="110">
        <v>0.0</v>
      </c>
      <c r="AU513" s="110">
        <v>0.0</v>
      </c>
      <c r="AV513" s="142">
        <v>0.0</v>
      </c>
      <c r="AW513" s="80">
        <f t="shared" si="6"/>
        <v>0</v>
      </c>
      <c r="AX513" s="113">
        <f t="shared" si="7"/>
        <v>23</v>
      </c>
      <c r="AY513" s="117">
        <f t="shared" si="8"/>
        <v>0</v>
      </c>
      <c r="AZ513" s="120">
        <f t="shared" si="9"/>
        <v>23</v>
      </c>
      <c r="BA513" s="115">
        <v>0.0</v>
      </c>
      <c r="BB513" s="89">
        <f t="shared" si="10"/>
        <v>23</v>
      </c>
      <c r="BC513" s="132" t="s">
        <v>373</v>
      </c>
      <c r="BD513" s="132" t="s">
        <v>178</v>
      </c>
      <c r="BE513" s="132" t="s">
        <v>178</v>
      </c>
      <c r="BF513" s="156"/>
      <c r="BG513" s="83">
        <v>1179696.0</v>
      </c>
      <c r="BH513" s="112"/>
      <c r="BI513" s="112">
        <v>3.0</v>
      </c>
      <c r="BJ513" s="98" t="s">
        <v>155</v>
      </c>
      <c r="BK513" s="99">
        <f t="shared" si="11"/>
        <v>0</v>
      </c>
      <c r="BL513" s="99">
        <f t="shared" si="12"/>
        <v>0</v>
      </c>
      <c r="BM513" s="99" t="str">
        <f>IFERROR(__xludf.DUMMYFUNCTION("IFERROR(VLOOKUP(BG513,IMPORTRANGE(""https://docs.google.com/spreadsheets/d/1juPI-Fb8LD0YtltB2mlGEnp_R3UVu1t3wSFPzgCyHXE/edit?gid=0#gid=0"",""GERAL!A2:C""),3,0),""-"")"),"CAMPO")</f>
        <v>CAMPO</v>
      </c>
    </row>
    <row r="514" ht="15.75" customHeight="1">
      <c r="A514" s="111" t="s">
        <v>605</v>
      </c>
      <c r="B514" s="83" t="s">
        <v>2146</v>
      </c>
      <c r="C514" s="83" t="s">
        <v>68</v>
      </c>
      <c r="D514" s="112">
        <v>1178036.0</v>
      </c>
      <c r="E514" s="83"/>
      <c r="F514" s="83">
        <v>2.9425719E7</v>
      </c>
      <c r="G514" s="185" t="s">
        <v>2149</v>
      </c>
      <c r="H514" s="91" t="s">
        <v>2151</v>
      </c>
      <c r="I514" s="83" t="s">
        <v>149</v>
      </c>
      <c r="J514" s="83" t="s">
        <v>865</v>
      </c>
      <c r="K514" s="83" t="s">
        <v>151</v>
      </c>
      <c r="L514" s="83" t="s">
        <v>230</v>
      </c>
      <c r="M514" s="82" t="str">
        <f>IFERROR(__xludf.DUMMYFUNCTION("IFERROR(VLOOKUP(D514,
IMPORTRANGE(""https://docs.google.com/spreadsheets/d/1MjHtlUikwobi2MaWJgy7tfLeBmhj1u-dRFRs_8GwSoA/edit#gid=0"",""Gestores Escolares!D7:J""),3,0),""VERIFICAR CÓD SEC"")"),"FERNANDA SOARES DE ARAUJO")</f>
        <v>FERNANDA SOARES DE ARAUJO</v>
      </c>
      <c r="N514" s="82" t="str">
        <f>IFERROR(__xludf.DUMMYFUNCTION("IFERROR(VLOOKUP(D514,
IMPORTRANGE(""https://docs.google.com/spreadsheets/d/1MjHtlUikwobi2MaWJgy7tfLeBmhj1u-dRFRs_8GwSoA/edit#gid=0"",""Gestores Escolares!D7:J""),4,0),""VERIFICAR CÓD SEC"")"),"(73) 9 9936-2244")</f>
        <v>(73) 9 9936-2244</v>
      </c>
      <c r="O514" s="82" t="str">
        <f>IFERROR(__xludf.DUMMYFUNCTION("IFERROR(VLOOKUP(D514,
IMPORTRANGE(""https://docs.google.com/spreadsheets/d/1MjHtlUikwobi2MaWJgy7tfLeBmhj1u-dRFRs_8GwSoA/edit#gid=0"",""Gestores Escolares!D7:J""),6,0),""VERIFICAR CÓD SEC"")"),"GUILHERME FRANCA DE MATTOS PEREIRA")</f>
        <v>GUILHERME FRANCA DE MATTOS PEREIRA</v>
      </c>
      <c r="P514" s="82" t="str">
        <f>IFERROR(__xludf.DUMMYFUNCTION("IFERROR(VLOOKUP(D514,
IMPORTRANGE(""https://docs.google.com/spreadsheets/d/1MjHtlUikwobi2MaWJgy7tfLeBmhj1u-dRFRs_8GwSoA/edit#gid=0"",""Gestores Escolares!D7:J""),7,0),""VERIFICAR CÓD SEC"")"),"(27) 9 9634-4567")</f>
        <v>(27) 9 9634-4567</v>
      </c>
      <c r="Q514" s="82" t="str">
        <f>IFERROR(__xludf.DUMMYFUNCTION("IFERROR(VLOOKUP(D514,
IMPORTRANGE(""https://docs.google.com/spreadsheets/d/1MjHtlUikwobi2MaWJgy7tfLeBmhj1u-dRFRs_8GwSoA/edit#gid=0"",""Gestores Escolares!D7:m""),9,0),""VERIFICAR CÓD SEC"")"),"")</f>
        <v/>
      </c>
      <c r="R514" s="82" t="str">
        <f>IFERROR(__xludf.DUMMYFUNCTION("IFERROR(VLOOKUP(D514,
IMPORTRANGE(""https://docs.google.com/spreadsheets/d/1MjHtlUikwobi2MaWJgy7tfLeBmhj1u-dRFRs_8GwSoA/edit#gid=0"",""Gestores Escolares!D7:m""),10,0),""VERIFICAR CÓD SEC"")"),"")</f>
        <v/>
      </c>
      <c r="S514" s="82"/>
      <c r="T514" s="138">
        <v>9.0</v>
      </c>
      <c r="U514" s="145" t="s">
        <v>7092</v>
      </c>
      <c r="V514" s="106">
        <v>0.0</v>
      </c>
      <c r="W514" s="107">
        <v>0.0</v>
      </c>
      <c r="X514" s="107">
        <v>0.0</v>
      </c>
      <c r="Y514" s="107">
        <v>0.0</v>
      </c>
      <c r="Z514" s="80">
        <f t="shared" si="1"/>
        <v>0</v>
      </c>
      <c r="AA514" s="106">
        <v>0.0</v>
      </c>
      <c r="AB514" s="107">
        <v>0.0</v>
      </c>
      <c r="AC514" s="107">
        <v>0.0</v>
      </c>
      <c r="AD514" s="107">
        <v>0.0</v>
      </c>
      <c r="AE514" s="80">
        <f t="shared" si="2"/>
        <v>0</v>
      </c>
      <c r="AF514" s="140">
        <v>0.0</v>
      </c>
      <c r="AG514" s="109">
        <v>0.0</v>
      </c>
      <c r="AH514" s="109">
        <v>0.0</v>
      </c>
      <c r="AI514" s="141">
        <v>53.0</v>
      </c>
      <c r="AJ514" s="80">
        <f t="shared" si="3"/>
        <v>53</v>
      </c>
      <c r="AK514" s="140">
        <v>0.0</v>
      </c>
      <c r="AL514" s="109">
        <v>0.0</v>
      </c>
      <c r="AM514" s="141">
        <v>0.0</v>
      </c>
      <c r="AN514" s="80">
        <f t="shared" si="4"/>
        <v>0</v>
      </c>
      <c r="AO514" s="140">
        <v>0.0</v>
      </c>
      <c r="AP514" s="109">
        <v>0.0</v>
      </c>
      <c r="AQ514" s="109">
        <v>179.0</v>
      </c>
      <c r="AR514" s="80">
        <f t="shared" si="5"/>
        <v>179</v>
      </c>
      <c r="AS514" s="110">
        <v>0.0</v>
      </c>
      <c r="AT514" s="110">
        <v>0.0</v>
      </c>
      <c r="AU514" s="110">
        <v>0.0</v>
      </c>
      <c r="AV514" s="142">
        <v>15.0</v>
      </c>
      <c r="AW514" s="80">
        <f t="shared" si="6"/>
        <v>15</v>
      </c>
      <c r="AX514" s="113">
        <f t="shared" si="7"/>
        <v>247</v>
      </c>
      <c r="AY514" s="117">
        <f t="shared" si="8"/>
        <v>68</v>
      </c>
      <c r="AZ514" s="120">
        <f t="shared" si="9"/>
        <v>179</v>
      </c>
      <c r="BA514" s="115">
        <v>0.0</v>
      </c>
      <c r="BB514" s="89">
        <f t="shared" si="10"/>
        <v>247</v>
      </c>
      <c r="BC514" s="132" t="s">
        <v>373</v>
      </c>
      <c r="BD514" s="132" t="s">
        <v>5473</v>
      </c>
      <c r="BE514" s="132" t="s">
        <v>178</v>
      </c>
      <c r="BF514" s="123"/>
      <c r="BG514" s="83">
        <v>1178036.0</v>
      </c>
      <c r="BH514" s="112"/>
      <c r="BI514" s="112">
        <v>8.0</v>
      </c>
      <c r="BJ514" s="98" t="s">
        <v>155</v>
      </c>
      <c r="BK514" s="99">
        <f t="shared" si="11"/>
        <v>68</v>
      </c>
      <c r="BL514" s="99">
        <f t="shared" si="12"/>
        <v>0</v>
      </c>
      <c r="BM514" s="99" t="str">
        <f>IFERROR(__xludf.DUMMYFUNCTION("IFERROR(VLOOKUP(BG514,IMPORTRANGE(""https://docs.google.com/spreadsheets/d/1juPI-Fb8LD0YtltB2mlGEnp_R3UVu1t3wSFPzgCyHXE/edit?gid=0#gid=0"",""GERAL!A2:C""),3,0),""-"")"),"CAMPO")</f>
        <v>CAMPO</v>
      </c>
    </row>
    <row r="515" ht="15.75" customHeight="1">
      <c r="A515" s="111" t="s">
        <v>605</v>
      </c>
      <c r="B515" s="83" t="s">
        <v>2146</v>
      </c>
      <c r="C515" s="83" t="s">
        <v>68</v>
      </c>
      <c r="D515" s="112">
        <v>1136480.0</v>
      </c>
      <c r="E515" s="83"/>
      <c r="F515" s="83">
        <v>2.9325803E7</v>
      </c>
      <c r="G515" s="185" t="s">
        <v>2155</v>
      </c>
      <c r="H515" s="91" t="s">
        <v>2156</v>
      </c>
      <c r="I515" s="83" t="s">
        <v>2157</v>
      </c>
      <c r="J515" s="83" t="s">
        <v>865</v>
      </c>
      <c r="K515" s="83" t="s">
        <v>151</v>
      </c>
      <c r="L515" s="83" t="s">
        <v>152</v>
      </c>
      <c r="M515" s="82" t="str">
        <f>IFERROR(__xludf.DUMMYFUNCTION("IFERROR(VLOOKUP(D515,
IMPORTRANGE(""https://docs.google.com/spreadsheets/d/1MjHtlUikwobi2MaWJgy7tfLeBmhj1u-dRFRs_8GwSoA/edit#gid=0"",""Gestores Escolares!D7:J""),3,0),""VERIFICAR CÓD SEC"")"),"MONICA ILEDE REY ALVES")</f>
        <v>MONICA ILEDE REY ALVES</v>
      </c>
      <c r="N515" s="82" t="str">
        <f>IFERROR(__xludf.DUMMYFUNCTION("IFERROR(VLOOKUP(D515,
IMPORTRANGE(""https://docs.google.com/spreadsheets/d/1MjHtlUikwobi2MaWJgy7tfLeBmhj1u-dRFRs_8GwSoA/edit#gid=0"",""Gestores Escolares!D7:J""),4,0),""VERIFICAR CÓD SEC"")"),"(73) 9 9995-7627")</f>
        <v>(73) 9 9995-7627</v>
      </c>
      <c r="O515" s="82" t="str">
        <f>IFERROR(__xludf.DUMMYFUNCTION("IFERROR(VLOOKUP(D515,
IMPORTRANGE(""https://docs.google.com/spreadsheets/d/1MjHtlUikwobi2MaWJgy7tfLeBmhj1u-dRFRs_8GwSoA/edit#gid=0"",""Gestores Escolares!D7:J""),6,0),""VERIFICAR CÓD SEC"")"),"SALETE FATIMA LIEFEN")</f>
        <v>SALETE FATIMA LIEFEN</v>
      </c>
      <c r="P515" s="82" t="str">
        <f>IFERROR(__xludf.DUMMYFUNCTION("IFERROR(VLOOKUP(D515,
IMPORTRANGE(""https://docs.google.com/spreadsheets/d/1MjHtlUikwobi2MaWJgy7tfLeBmhj1u-dRFRs_8GwSoA/edit#gid=0"",""Gestores Escolares!D7:J""),7,0),""VERIFICAR CÓD SEC"")"),"(73) 9 9978-7092")</f>
        <v>(73) 9 9978-7092</v>
      </c>
      <c r="Q515" s="82" t="str">
        <f>IFERROR(__xludf.DUMMYFUNCTION("IFERROR(VLOOKUP(D515,
IMPORTRANGE(""https://docs.google.com/spreadsheets/d/1MjHtlUikwobi2MaWJgy7tfLeBmhj1u-dRFRs_8GwSoA/edit#gid=0"",""Gestores Escolares!D7:m""),9,0),""VERIFICAR CÓD SEC"")"),"JOSE ROBERTO GOMES DOS SANTOS")</f>
        <v>JOSE ROBERTO GOMES DOS SANTOS</v>
      </c>
      <c r="R515" s="82" t="str">
        <f>IFERROR(__xludf.DUMMYFUNCTION("IFERROR(VLOOKUP(D515,
IMPORTRANGE(""https://docs.google.com/spreadsheets/d/1MjHtlUikwobi2MaWJgy7tfLeBmhj1u-dRFRs_8GwSoA/edit#gid=0"",""Gestores Escolares!D7:m""),10,0),""VERIFICAR CÓD SEC"")"),"(73) 9 9837-0707")</f>
        <v>(73) 9 9837-0707</v>
      </c>
      <c r="S515" s="82"/>
      <c r="T515" s="138">
        <v>10.0</v>
      </c>
      <c r="U515" s="145" t="s">
        <v>7115</v>
      </c>
      <c r="V515" s="106">
        <v>0.0</v>
      </c>
      <c r="W515" s="107">
        <v>0.0</v>
      </c>
      <c r="X515" s="107">
        <v>0.0</v>
      </c>
      <c r="Y515" s="107">
        <v>0.0</v>
      </c>
      <c r="Z515" s="80">
        <f t="shared" si="1"/>
        <v>0</v>
      </c>
      <c r="AA515" s="106">
        <v>0.0</v>
      </c>
      <c r="AB515" s="107">
        <v>0.0</v>
      </c>
      <c r="AC515" s="107">
        <v>0.0</v>
      </c>
      <c r="AD515" s="107">
        <v>0.0</v>
      </c>
      <c r="AE515" s="80">
        <f t="shared" si="2"/>
        <v>0</v>
      </c>
      <c r="AF515" s="140">
        <v>381.0</v>
      </c>
      <c r="AG515" s="109">
        <v>360.0</v>
      </c>
      <c r="AH515" s="109">
        <v>0.0</v>
      </c>
      <c r="AI515" s="141">
        <v>0.0</v>
      </c>
      <c r="AJ515" s="80">
        <f t="shared" si="3"/>
        <v>741</v>
      </c>
      <c r="AK515" s="140">
        <v>0.0</v>
      </c>
      <c r="AL515" s="109">
        <v>0.0</v>
      </c>
      <c r="AM515" s="141">
        <v>0.0</v>
      </c>
      <c r="AN515" s="80">
        <f t="shared" si="4"/>
        <v>0</v>
      </c>
      <c r="AO515" s="140">
        <v>0.0</v>
      </c>
      <c r="AP515" s="109">
        <v>0.0</v>
      </c>
      <c r="AQ515" s="109">
        <v>59.0</v>
      </c>
      <c r="AR515" s="80">
        <f t="shared" si="5"/>
        <v>59</v>
      </c>
      <c r="AS515" s="110">
        <v>0.0</v>
      </c>
      <c r="AT515" s="110">
        <v>0.0</v>
      </c>
      <c r="AU515" s="110">
        <v>0.0</v>
      </c>
      <c r="AV515" s="142">
        <v>0.0</v>
      </c>
      <c r="AW515" s="80">
        <f t="shared" si="6"/>
        <v>0</v>
      </c>
      <c r="AX515" s="113">
        <f t="shared" si="7"/>
        <v>800</v>
      </c>
      <c r="AY515" s="117">
        <f t="shared" si="8"/>
        <v>741</v>
      </c>
      <c r="AZ515" s="120">
        <f t="shared" si="9"/>
        <v>59</v>
      </c>
      <c r="BA515" s="115">
        <v>0.0</v>
      </c>
      <c r="BB515" s="89">
        <f t="shared" si="10"/>
        <v>800</v>
      </c>
      <c r="BC515" s="132" t="s">
        <v>373</v>
      </c>
      <c r="BD515" s="132" t="s">
        <v>178</v>
      </c>
      <c r="BE515" s="132" t="s">
        <v>178</v>
      </c>
      <c r="BF515" s="156"/>
      <c r="BG515" s="83">
        <v>1136480.0</v>
      </c>
      <c r="BH515" s="112"/>
      <c r="BI515" s="112">
        <v>10.0</v>
      </c>
      <c r="BJ515" s="98" t="s">
        <v>155</v>
      </c>
      <c r="BK515" s="99">
        <f t="shared" si="11"/>
        <v>0</v>
      </c>
      <c r="BL515" s="99">
        <f t="shared" si="12"/>
        <v>741</v>
      </c>
      <c r="BM515" s="99" t="str">
        <f>IFERROR(__xludf.DUMMYFUNCTION("IFERROR(VLOOKUP(BG515,IMPORTRANGE(""https://docs.google.com/spreadsheets/d/1juPI-Fb8LD0YtltB2mlGEnp_R3UVu1t3wSFPzgCyHXE/edit?gid=0#gid=0"",""GERAL!A2:C""),3,0),""-"")"),"CAMPO")</f>
        <v>CAMPO</v>
      </c>
    </row>
    <row r="516" ht="15.75" customHeight="1">
      <c r="A516" s="111" t="s">
        <v>605</v>
      </c>
      <c r="B516" s="83" t="s">
        <v>2146</v>
      </c>
      <c r="C516" s="83" t="s">
        <v>68</v>
      </c>
      <c r="D516" s="112">
        <v>1113579.0</v>
      </c>
      <c r="E516" s="83"/>
      <c r="F516" s="83">
        <v>2.962861E7</v>
      </c>
      <c r="G516" s="184" t="s">
        <v>2162</v>
      </c>
      <c r="H516" s="91" t="s">
        <v>2163</v>
      </c>
      <c r="I516" s="83" t="s">
        <v>149</v>
      </c>
      <c r="J516" s="83" t="s">
        <v>150</v>
      </c>
      <c r="K516" s="83" t="s">
        <v>151</v>
      </c>
      <c r="L516" s="83" t="s">
        <v>76</v>
      </c>
      <c r="M516" s="82" t="str">
        <f>IFERROR(__xludf.DUMMYFUNCTION("IFERROR(VLOOKUP(D516,
IMPORTRANGE(""https://docs.google.com/spreadsheets/d/1MjHtlUikwobi2MaWJgy7tfLeBmhj1u-dRFRs_8GwSoA/edit#gid=0"",""Gestores Escolares!D7:J""),3,0),""VERIFICAR CÓD SEC"")"),"GABRIELE VICENTE FIGUEIREDO (LICENÇA A MATERNIDADE ENTRE 12.06.26 Á 08.12.26)")</f>
        <v>GABRIELE VICENTE FIGUEIREDO (LICENÇA A MATERNIDADE ENTRE 12.06.26 Á 08.12.26)</v>
      </c>
      <c r="N516" s="82" t="str">
        <f>IFERROR(__xludf.DUMMYFUNCTION("IFERROR(VLOOKUP(D516,
IMPORTRANGE(""https://docs.google.com/spreadsheets/d/1MjHtlUikwobi2MaWJgy7tfLeBmhj1u-dRFRs_8GwSoA/edit#gid=0"",""Gestores Escolares!D7:J""),4,0),""VERIFICAR CÓD SEC"")"),"(73) 9 9943-8773")</f>
        <v>(73) 9 9943-8773</v>
      </c>
      <c r="O516" s="82" t="str">
        <f>IFERROR(__xludf.DUMMYFUNCTION("IFERROR(VLOOKUP(D516,
IMPORTRANGE(""https://docs.google.com/spreadsheets/d/1MjHtlUikwobi2MaWJgy7tfLeBmhj1u-dRFRs_8GwSoA/edit#gid=0"",""Gestores Escolares!D7:J""),6,0),""VERIFICAR CÓD SEC"")"),"MARCIO JEFFERSON GONCALVES ")</f>
        <v>MARCIO JEFFERSON GONCALVES </v>
      </c>
      <c r="P516" s="82" t="str">
        <f>IFERROR(__xludf.DUMMYFUNCTION("IFERROR(VLOOKUP(D516,
IMPORTRANGE(""https://docs.google.com/spreadsheets/d/1MjHtlUikwobi2MaWJgy7tfLeBmhj1u-dRFRs_8GwSoA/edit#gid=0"",""Gestores Escolares!D7:J""),7,0),""VERIFICAR CÓD SEC"")"),"(73) 9 9949-2341")</f>
        <v>(73) 9 9949-2341</v>
      </c>
      <c r="Q516" s="82" t="str">
        <f>IFERROR(__xludf.DUMMYFUNCTION("IFERROR(VLOOKUP(D516,
IMPORTRANGE(""https://docs.google.com/spreadsheets/d/1MjHtlUikwobi2MaWJgy7tfLeBmhj1u-dRFRs_8GwSoA/edit#gid=0"",""Gestores Escolares!D7:m""),9,0),""VERIFICAR CÓD SEC"")"),"")</f>
        <v/>
      </c>
      <c r="R516" s="82" t="str">
        <f>IFERROR(__xludf.DUMMYFUNCTION("IFERROR(VLOOKUP(D516,
IMPORTRANGE(""https://docs.google.com/spreadsheets/d/1MjHtlUikwobi2MaWJgy7tfLeBmhj1u-dRFRs_8GwSoA/edit#gid=0"",""Gestores Escolares!D7:m""),10,0),""VERIFICAR CÓD SEC"")"),"")</f>
        <v/>
      </c>
      <c r="S516" s="82"/>
      <c r="T516" s="138">
        <v>6.0</v>
      </c>
      <c r="U516" s="139">
        <v>6.0</v>
      </c>
      <c r="V516" s="106">
        <v>0.0</v>
      </c>
      <c r="W516" s="107">
        <v>0.0</v>
      </c>
      <c r="X516" s="107">
        <v>0.0</v>
      </c>
      <c r="Y516" s="107">
        <v>0.0</v>
      </c>
      <c r="Z516" s="80">
        <f t="shared" si="1"/>
        <v>0</v>
      </c>
      <c r="AA516" s="106">
        <v>0.0</v>
      </c>
      <c r="AB516" s="107">
        <v>0.0</v>
      </c>
      <c r="AC516" s="107">
        <v>0.0</v>
      </c>
      <c r="AD516" s="107">
        <v>0.0</v>
      </c>
      <c r="AE516" s="80">
        <f t="shared" si="2"/>
        <v>0</v>
      </c>
      <c r="AF516" s="140">
        <v>211.0</v>
      </c>
      <c r="AG516" s="109">
        <v>119.0</v>
      </c>
      <c r="AH516" s="109">
        <v>0.0</v>
      </c>
      <c r="AI516" s="141">
        <v>0.0</v>
      </c>
      <c r="AJ516" s="80">
        <f t="shared" si="3"/>
        <v>330</v>
      </c>
      <c r="AK516" s="140">
        <v>0.0</v>
      </c>
      <c r="AL516" s="109">
        <v>0.0</v>
      </c>
      <c r="AM516" s="141">
        <v>0.0</v>
      </c>
      <c r="AN516" s="80">
        <f t="shared" si="4"/>
        <v>0</v>
      </c>
      <c r="AO516" s="140">
        <v>0.0</v>
      </c>
      <c r="AP516" s="109">
        <v>0.0</v>
      </c>
      <c r="AQ516" s="109">
        <v>81.0</v>
      </c>
      <c r="AR516" s="80">
        <f t="shared" si="5"/>
        <v>81</v>
      </c>
      <c r="AS516" s="110">
        <v>0.0</v>
      </c>
      <c r="AT516" s="110">
        <v>0.0</v>
      </c>
      <c r="AU516" s="110">
        <v>0.0</v>
      </c>
      <c r="AV516" s="142">
        <v>0.0</v>
      </c>
      <c r="AW516" s="80">
        <f t="shared" si="6"/>
        <v>0</v>
      </c>
      <c r="AX516" s="113">
        <f t="shared" si="7"/>
        <v>411</v>
      </c>
      <c r="AY516" s="117">
        <f t="shared" si="8"/>
        <v>330</v>
      </c>
      <c r="AZ516" s="120">
        <f t="shared" si="9"/>
        <v>81</v>
      </c>
      <c r="BA516" s="115">
        <v>0.0</v>
      </c>
      <c r="BB516" s="89">
        <f t="shared" si="10"/>
        <v>411</v>
      </c>
      <c r="BC516" s="132" t="s">
        <v>178</v>
      </c>
      <c r="BD516" s="132" t="s">
        <v>178</v>
      </c>
      <c r="BE516" s="132" t="s">
        <v>178</v>
      </c>
      <c r="BF516" s="123"/>
      <c r="BG516" s="83">
        <v>1113579.0</v>
      </c>
      <c r="BH516" s="112"/>
      <c r="BI516" s="112">
        <v>5.0</v>
      </c>
      <c r="BJ516" s="98" t="s">
        <v>155</v>
      </c>
      <c r="BK516" s="99">
        <f t="shared" si="11"/>
        <v>0</v>
      </c>
      <c r="BL516" s="99">
        <f t="shared" si="12"/>
        <v>330</v>
      </c>
      <c r="BM516" s="99" t="str">
        <f>IFERROR(__xludf.DUMMYFUNCTION("IFERROR(VLOOKUP(BG516,IMPORTRANGE(""https://docs.google.com/spreadsheets/d/1juPI-Fb8LD0YtltB2mlGEnp_R3UVu1t3wSFPzgCyHXE/edit?gid=0#gid=0"",""GERAL!A2:C""),3,0),""-"")"),"-")</f>
        <v>-</v>
      </c>
    </row>
    <row r="517" ht="15.75" customHeight="1">
      <c r="A517" s="111" t="s">
        <v>605</v>
      </c>
      <c r="B517" s="83" t="s">
        <v>2146</v>
      </c>
      <c r="C517" s="83" t="s">
        <v>164</v>
      </c>
      <c r="D517" s="112">
        <v>1179713.0</v>
      </c>
      <c r="E517" s="83">
        <v>1178562.0</v>
      </c>
      <c r="F517" s="98">
        <v>2.9483247E7</v>
      </c>
      <c r="G517" s="184" t="s">
        <v>2168</v>
      </c>
      <c r="H517" s="91" t="s">
        <v>2169</v>
      </c>
      <c r="I517" s="83" t="s">
        <v>149</v>
      </c>
      <c r="J517" s="83" t="s">
        <v>240</v>
      </c>
      <c r="K517" s="83" t="s">
        <v>151</v>
      </c>
      <c r="L517" s="83" t="s">
        <v>169</v>
      </c>
      <c r="M517" s="82" t="str">
        <f>IFERROR(__xludf.DUMMYFUNCTION("IFERROR(VLOOKUP(D517,
IMPORTRANGE(""https://docs.google.com/spreadsheets/d/1MjHtlUikwobi2MaWJgy7tfLeBmhj1u-dRFRs_8GwSoA/edit#gid=0"",""Gestores Escolares!D7:J""),3,0),""VERIFICAR CÓD SEC"")"),"MARIA DIAS ASSUNCAO")</f>
        <v>MARIA DIAS ASSUNCAO</v>
      </c>
      <c r="N517" s="82" t="str">
        <f>IFERROR(__xludf.DUMMYFUNCTION("IFERROR(VLOOKUP(D517,
IMPORTRANGE(""https://docs.google.com/spreadsheets/d/1MjHtlUikwobi2MaWJgy7tfLeBmhj1u-dRFRs_8GwSoA/edit#gid=0"",""Gestores Escolares!D7:J""),4,0),""VERIFICAR CÓD SEC"")"),"(73) 9 9961-2626")</f>
        <v>(73) 9 9961-2626</v>
      </c>
      <c r="O517" s="82" t="str">
        <f>IFERROR(__xludf.DUMMYFUNCTION("IFERROR(VLOOKUP(D517,
IMPORTRANGE(""https://docs.google.com/spreadsheets/d/1MjHtlUikwobi2MaWJgy7tfLeBmhj1u-dRFRs_8GwSoA/edit#gid=0"",""Gestores Escolares!D7:J""),6,0),""VERIFICAR CÓD SEC"")"),"FERNANDA AURELINO INOCENCIO")</f>
        <v>FERNANDA AURELINO INOCENCIO</v>
      </c>
      <c r="P517" s="82" t="str">
        <f>IFERROR(__xludf.DUMMYFUNCTION("IFERROR(VLOOKUP(D517,
IMPORTRANGE(""https://docs.google.com/spreadsheets/d/1MjHtlUikwobi2MaWJgy7tfLeBmhj1u-dRFRs_8GwSoA/edit#gid=0"",""Gestores Escolares!D7:J""),7,0),""VERIFICAR CÓD SEC"")"),"(73) 9 9823-1075")</f>
        <v>(73) 9 9823-1075</v>
      </c>
      <c r="Q517" s="82" t="str">
        <f>IFERROR(__xludf.DUMMYFUNCTION("IFERROR(VLOOKUP(D517,
IMPORTRANGE(""https://docs.google.com/spreadsheets/d/1MjHtlUikwobi2MaWJgy7tfLeBmhj1u-dRFRs_8GwSoA/edit#gid=0"",""Gestores Escolares!D7:m""),9,0),""VERIFICAR CÓD SEC"")"),"")</f>
        <v/>
      </c>
      <c r="R517" s="82" t="str">
        <f>IFERROR(__xludf.DUMMYFUNCTION("IFERROR(VLOOKUP(D517,
IMPORTRANGE(""https://docs.google.com/spreadsheets/d/1MjHtlUikwobi2MaWJgy7tfLeBmhj1u-dRFRs_8GwSoA/edit#gid=0"",""Gestores Escolares!D7:m""),10,0),""VERIFICAR CÓD SEC"")"),"")</f>
        <v/>
      </c>
      <c r="S517" s="82"/>
      <c r="T517" s="138">
        <v>3.0</v>
      </c>
      <c r="U517" s="139">
        <v>3.0</v>
      </c>
      <c r="V517" s="106">
        <v>0.0</v>
      </c>
      <c r="W517" s="107">
        <v>0.0</v>
      </c>
      <c r="X517" s="107">
        <v>0.0</v>
      </c>
      <c r="Y517" s="107">
        <v>0.0</v>
      </c>
      <c r="Z517" s="80">
        <f t="shared" si="1"/>
        <v>0</v>
      </c>
      <c r="AA517" s="106">
        <v>0.0</v>
      </c>
      <c r="AB517" s="107">
        <v>0.0</v>
      </c>
      <c r="AC517" s="107">
        <v>0.0</v>
      </c>
      <c r="AD517" s="107">
        <v>0.0</v>
      </c>
      <c r="AE517" s="80">
        <f t="shared" si="2"/>
        <v>0</v>
      </c>
      <c r="AF517" s="140">
        <v>0.0</v>
      </c>
      <c r="AG517" s="109">
        <v>0.0</v>
      </c>
      <c r="AH517" s="109">
        <v>48.0</v>
      </c>
      <c r="AI517" s="141">
        <v>0.0</v>
      </c>
      <c r="AJ517" s="80">
        <f t="shared" si="3"/>
        <v>48</v>
      </c>
      <c r="AK517" s="140">
        <v>0.0</v>
      </c>
      <c r="AL517" s="109">
        <v>0.0</v>
      </c>
      <c r="AM517" s="141">
        <v>0.0</v>
      </c>
      <c r="AN517" s="80">
        <f t="shared" si="4"/>
        <v>0</v>
      </c>
      <c r="AO517" s="140">
        <v>0.0</v>
      </c>
      <c r="AP517" s="109">
        <v>0.0</v>
      </c>
      <c r="AQ517" s="109">
        <v>0.0</v>
      </c>
      <c r="AR517" s="80">
        <f t="shared" si="5"/>
        <v>0</v>
      </c>
      <c r="AS517" s="110">
        <v>0.0</v>
      </c>
      <c r="AT517" s="110">
        <v>0.0</v>
      </c>
      <c r="AU517" s="110">
        <v>0.0</v>
      </c>
      <c r="AV517" s="142">
        <v>0.0</v>
      </c>
      <c r="AW517" s="80">
        <f t="shared" si="6"/>
        <v>0</v>
      </c>
      <c r="AX517" s="113">
        <f t="shared" si="7"/>
        <v>48</v>
      </c>
      <c r="AY517" s="117">
        <f t="shared" si="8"/>
        <v>0</v>
      </c>
      <c r="AZ517" s="120">
        <f t="shared" si="9"/>
        <v>48</v>
      </c>
      <c r="BA517" s="115">
        <v>0.0</v>
      </c>
      <c r="BB517" s="89">
        <f t="shared" si="10"/>
        <v>48</v>
      </c>
      <c r="BC517" s="132" t="s">
        <v>178</v>
      </c>
      <c r="BD517" s="143" t="s">
        <v>227</v>
      </c>
      <c r="BE517" s="132" t="s">
        <v>178</v>
      </c>
      <c r="BF517" s="123"/>
      <c r="BG517" s="83">
        <v>1178562.0</v>
      </c>
      <c r="BH517" s="112"/>
      <c r="BI517" s="112">
        <v>3.0</v>
      </c>
      <c r="BJ517" s="98" t="s">
        <v>155</v>
      </c>
      <c r="BK517" s="99">
        <f t="shared" si="11"/>
        <v>0</v>
      </c>
      <c r="BL517" s="99">
        <f t="shared" si="12"/>
        <v>0</v>
      </c>
      <c r="BM517" s="99" t="str">
        <f>IFERROR(__xludf.DUMMYFUNCTION("IFERROR(VLOOKUP(BG517,IMPORTRANGE(""https://docs.google.com/spreadsheets/d/1juPI-Fb8LD0YtltB2mlGEnp_R3UVu1t3wSFPzgCyHXE/edit?gid=0#gid=0"",""GERAL!A2:C""),3,0),""-"")"),"-")</f>
        <v>-</v>
      </c>
    </row>
    <row r="518" ht="15.75" customHeight="1">
      <c r="A518" s="111" t="s">
        <v>605</v>
      </c>
      <c r="B518" s="83" t="s">
        <v>2146</v>
      </c>
      <c r="C518" s="83" t="s">
        <v>164</v>
      </c>
      <c r="D518" s="112">
        <v>1136480.0</v>
      </c>
      <c r="E518" s="83">
        <v>1178560.0</v>
      </c>
      <c r="F518" s="98">
        <v>2.949292E7</v>
      </c>
      <c r="G518" s="185" t="s">
        <v>2176</v>
      </c>
      <c r="H518" s="91" t="s">
        <v>2177</v>
      </c>
      <c r="I518" s="83" t="s">
        <v>149</v>
      </c>
      <c r="J518" s="83" t="s">
        <v>240</v>
      </c>
      <c r="K518" s="83" t="s">
        <v>151</v>
      </c>
      <c r="L518" s="83" t="s">
        <v>169</v>
      </c>
      <c r="M518" s="82" t="str">
        <f>IFERROR(__xludf.DUMMYFUNCTION("IFERROR(VLOOKUP(D518,
IMPORTRANGE(""https://docs.google.com/spreadsheets/d/1MjHtlUikwobi2MaWJgy7tfLeBmhj1u-dRFRs_8GwSoA/edit#gid=0"",""Gestores Escolares!D7:J""),3,0),""VERIFICAR CÓD SEC"")"),"MONICA ILEDE REY ALVES")</f>
        <v>MONICA ILEDE REY ALVES</v>
      </c>
      <c r="N518" s="82" t="str">
        <f>IFERROR(__xludf.DUMMYFUNCTION("IFERROR(VLOOKUP(D518,
IMPORTRANGE(""https://docs.google.com/spreadsheets/d/1MjHtlUikwobi2MaWJgy7tfLeBmhj1u-dRFRs_8GwSoA/edit#gid=0"",""Gestores Escolares!D7:J""),4,0),""VERIFICAR CÓD SEC"")"),"(73) 9 9995-7627")</f>
        <v>(73) 9 9995-7627</v>
      </c>
      <c r="O518" s="82" t="str">
        <f>IFERROR(__xludf.DUMMYFUNCTION("IFERROR(VLOOKUP(D518,
IMPORTRANGE(""https://docs.google.com/spreadsheets/d/1MjHtlUikwobi2MaWJgy7tfLeBmhj1u-dRFRs_8GwSoA/edit#gid=0"",""Gestores Escolares!D7:J""),6,0),""VERIFICAR CÓD SEC"")"),"SALETE FATIMA LIEFEN")</f>
        <v>SALETE FATIMA LIEFEN</v>
      </c>
      <c r="P518" s="82" t="str">
        <f>IFERROR(__xludf.DUMMYFUNCTION("IFERROR(VLOOKUP(D518,
IMPORTRANGE(""https://docs.google.com/spreadsheets/d/1MjHtlUikwobi2MaWJgy7tfLeBmhj1u-dRFRs_8GwSoA/edit#gid=0"",""Gestores Escolares!D7:J""),7,0),""VERIFICAR CÓD SEC"")"),"(73) 9 9978-7092")</f>
        <v>(73) 9 9978-7092</v>
      </c>
      <c r="Q518" s="82" t="str">
        <f>IFERROR(__xludf.DUMMYFUNCTION("IFERROR(VLOOKUP(D518,
IMPORTRANGE(""https://docs.google.com/spreadsheets/d/1MjHtlUikwobi2MaWJgy7tfLeBmhj1u-dRFRs_8GwSoA/edit#gid=0"",""Gestores Escolares!D7:m""),9,0),""VERIFICAR CÓD SEC"")"),"JOSE ROBERTO GOMES DOS SANTOS")</f>
        <v>JOSE ROBERTO GOMES DOS SANTOS</v>
      </c>
      <c r="R518" s="82" t="str">
        <f>IFERROR(__xludf.DUMMYFUNCTION("IFERROR(VLOOKUP(D518,
IMPORTRANGE(""https://docs.google.com/spreadsheets/d/1MjHtlUikwobi2MaWJgy7tfLeBmhj1u-dRFRs_8GwSoA/edit#gid=0"",""Gestores Escolares!D7:m""),10,0),""VERIFICAR CÓD SEC"")"),"(73) 9 9837-0707")</f>
        <v>(73) 9 9837-0707</v>
      </c>
      <c r="S518" s="82"/>
      <c r="T518" s="138">
        <v>3.0</v>
      </c>
      <c r="U518" s="139">
        <v>3.0</v>
      </c>
      <c r="V518" s="106">
        <v>0.0</v>
      </c>
      <c r="W518" s="107">
        <v>0.0</v>
      </c>
      <c r="X518" s="107">
        <v>0.0</v>
      </c>
      <c r="Y518" s="107">
        <v>0.0</v>
      </c>
      <c r="Z518" s="80">
        <f t="shared" si="1"/>
        <v>0</v>
      </c>
      <c r="AA518" s="106">
        <v>0.0</v>
      </c>
      <c r="AB518" s="107">
        <v>0.0</v>
      </c>
      <c r="AC518" s="107">
        <v>0.0</v>
      </c>
      <c r="AD518" s="107">
        <v>0.0</v>
      </c>
      <c r="AE518" s="80">
        <f t="shared" si="2"/>
        <v>0</v>
      </c>
      <c r="AF518" s="140">
        <v>0.0</v>
      </c>
      <c r="AG518" s="109">
        <v>0.0</v>
      </c>
      <c r="AH518" s="109">
        <v>0.0</v>
      </c>
      <c r="AI518" s="141">
        <v>0.0</v>
      </c>
      <c r="AJ518" s="80">
        <f t="shared" si="3"/>
        <v>0</v>
      </c>
      <c r="AK518" s="140">
        <v>0.0</v>
      </c>
      <c r="AL518" s="109">
        <v>0.0</v>
      </c>
      <c r="AM518" s="141">
        <v>0.0</v>
      </c>
      <c r="AN518" s="80">
        <f t="shared" si="4"/>
        <v>0</v>
      </c>
      <c r="AO518" s="140">
        <v>0.0</v>
      </c>
      <c r="AP518" s="109">
        <v>0.0</v>
      </c>
      <c r="AQ518" s="109">
        <v>26.0</v>
      </c>
      <c r="AR518" s="80">
        <f t="shared" si="5"/>
        <v>26</v>
      </c>
      <c r="AS518" s="110">
        <v>0.0</v>
      </c>
      <c r="AT518" s="110">
        <v>0.0</v>
      </c>
      <c r="AU518" s="110">
        <v>0.0</v>
      </c>
      <c r="AV518" s="142">
        <v>0.0</v>
      </c>
      <c r="AW518" s="80">
        <f t="shared" si="6"/>
        <v>0</v>
      </c>
      <c r="AX518" s="113">
        <f t="shared" si="7"/>
        <v>26</v>
      </c>
      <c r="AY518" s="117">
        <f t="shared" si="8"/>
        <v>0</v>
      </c>
      <c r="AZ518" s="120">
        <f t="shared" si="9"/>
        <v>26</v>
      </c>
      <c r="BA518" s="115">
        <v>0.0</v>
      </c>
      <c r="BB518" s="89">
        <f t="shared" si="10"/>
        <v>26</v>
      </c>
      <c r="BC518" s="132" t="s">
        <v>265</v>
      </c>
      <c r="BD518" s="132" t="s">
        <v>178</v>
      </c>
      <c r="BE518" s="132" t="s">
        <v>178</v>
      </c>
      <c r="BF518" s="123"/>
      <c r="BG518" s="83">
        <v>1178560.0</v>
      </c>
      <c r="BH518" s="112"/>
      <c r="BI518" s="112">
        <v>3.0</v>
      </c>
      <c r="BJ518" s="98" t="s">
        <v>155</v>
      </c>
      <c r="BK518" s="99">
        <f t="shared" si="11"/>
        <v>0</v>
      </c>
      <c r="BL518" s="99">
        <f t="shared" si="12"/>
        <v>0</v>
      </c>
      <c r="BM518" s="99" t="str">
        <f>IFERROR(__xludf.DUMMYFUNCTION("IFERROR(VLOOKUP(BG518,IMPORTRANGE(""https://docs.google.com/spreadsheets/d/1juPI-Fb8LD0YtltB2mlGEnp_R3UVu1t3wSFPzgCyHXE/edit?gid=0#gid=0"",""GERAL!A2:C""),3,0),""-"")"),"QUILOMBOLAS")</f>
        <v>QUILOMBOLAS</v>
      </c>
    </row>
    <row r="519" ht="15.75" customHeight="1">
      <c r="A519" s="111" t="s">
        <v>605</v>
      </c>
      <c r="B519" s="83" t="s">
        <v>2180</v>
      </c>
      <c r="C519" s="83" t="s">
        <v>68</v>
      </c>
      <c r="D519" s="112">
        <v>1179453.0</v>
      </c>
      <c r="E519" s="83"/>
      <c r="F519" s="83">
        <v>2.9467624E7</v>
      </c>
      <c r="G519" s="185" t="s">
        <v>2182</v>
      </c>
      <c r="H519" s="91" t="s">
        <v>2183</v>
      </c>
      <c r="I519" s="83" t="s">
        <v>149</v>
      </c>
      <c r="J519" s="83" t="s">
        <v>705</v>
      </c>
      <c r="K519" s="83" t="s">
        <v>151</v>
      </c>
      <c r="L519" s="83" t="s">
        <v>169</v>
      </c>
      <c r="M519" s="82" t="str">
        <f>IFERROR(__xludf.DUMMYFUNCTION("IFERROR(VLOOKUP(D519,
IMPORTRANGE(""https://docs.google.com/spreadsheets/d/1MjHtlUikwobi2MaWJgy7tfLeBmhj1u-dRFRs_8GwSoA/edit#gid=0"",""Gestores Escolares!D7:J""),3,0),""VERIFICAR CÓD SEC"")"),"ARISNANDO RIBEIRO (PROFESSOR INDIGENA, NO QUAL RESPONDE PELA ESCOLA, MAIS NAO É DIRETOR EFETIVO)")</f>
        <v>ARISNANDO RIBEIRO (PROFESSOR INDIGENA, NO QUAL RESPONDE PELA ESCOLA, MAIS NAO É DIRETOR EFETIVO)</v>
      </c>
      <c r="N519" s="82" t="str">
        <f>IFERROR(__xludf.DUMMYFUNCTION("IFERROR(VLOOKUP(D519,
IMPORTRANGE(""https://docs.google.com/spreadsheets/d/1MjHtlUikwobi2MaWJgy7tfLeBmhj1u-dRFRs_8GwSoA/edit#gid=0"",""Gestores Escolares!D7:J""),4,0),""VERIFICAR CÓD SEC"")"),"(73) 9 9129-9710")</f>
        <v>(73) 9 9129-9710</v>
      </c>
      <c r="O519" s="82" t="str">
        <f>IFERROR(__xludf.DUMMYFUNCTION("IFERROR(VLOOKUP(D519,
IMPORTRANGE(""https://docs.google.com/spreadsheets/d/1MjHtlUikwobi2MaWJgy7tfLeBmhj1u-dRFRs_8GwSoA/edit#gid=0"",""Gestores Escolares!D7:J""),6,0),""VERIFICAR CÓD SEC"")")," LETICIA FERREIRA (COORDENADORA INDIGENA)")</f>
        <v> LETICIA FERREIRA (COORDENADORA INDIGENA)</v>
      </c>
      <c r="P519" s="82" t="str">
        <f>IFERROR(__xludf.DUMMYFUNCTION("IFERROR(VLOOKUP(D519,
IMPORTRANGE(""https://docs.google.com/spreadsheets/d/1MjHtlUikwobi2MaWJgy7tfLeBmhj1u-dRFRs_8GwSoA/edit#gid=0"",""Gestores Escolares!D7:J""),7,0),""VERIFICAR CÓD SEC"")"),"(73) 9 8868-8611")</f>
        <v>(73) 9 8868-8611</v>
      </c>
      <c r="Q519" s="82" t="str">
        <f>IFERROR(__xludf.DUMMYFUNCTION("IFERROR(VLOOKUP(D519,
IMPORTRANGE(""https://docs.google.com/spreadsheets/d/1MjHtlUikwobi2MaWJgy7tfLeBmhj1u-dRFRs_8GwSoA/edit#gid=0"",""Gestores Escolares!D7:m""),9,0),""VERIFICAR CÓD SEC"")"),"")</f>
        <v/>
      </c>
      <c r="R519" s="82" t="str">
        <f>IFERROR(__xludf.DUMMYFUNCTION("IFERROR(VLOOKUP(D519,
IMPORTRANGE(""https://docs.google.com/spreadsheets/d/1MjHtlUikwobi2MaWJgy7tfLeBmhj1u-dRFRs_8GwSoA/edit#gid=0"",""Gestores Escolares!D7:m""),10,0),""VERIFICAR CÓD SEC"")"),"")</f>
        <v/>
      </c>
      <c r="S519" s="82"/>
      <c r="T519" s="138">
        <v>9.0</v>
      </c>
      <c r="U519" s="217" t="s">
        <v>6491</v>
      </c>
      <c r="V519" s="106">
        <v>56.0</v>
      </c>
      <c r="W519" s="107">
        <v>2.0</v>
      </c>
      <c r="X519" s="107">
        <v>0.0</v>
      </c>
      <c r="Y519" s="107">
        <v>0.0</v>
      </c>
      <c r="Z519" s="80">
        <f t="shared" si="1"/>
        <v>58</v>
      </c>
      <c r="AA519" s="106">
        <v>96.0</v>
      </c>
      <c r="AB519" s="107">
        <v>99.0</v>
      </c>
      <c r="AC519" s="107">
        <v>0.0</v>
      </c>
      <c r="AD519" s="107">
        <v>0.0</v>
      </c>
      <c r="AE519" s="80">
        <f t="shared" si="2"/>
        <v>195</v>
      </c>
      <c r="AF519" s="140">
        <v>0.0</v>
      </c>
      <c r="AG519" s="109">
        <v>43.0</v>
      </c>
      <c r="AH519" s="109">
        <v>0.0</v>
      </c>
      <c r="AI519" s="141">
        <v>0.0</v>
      </c>
      <c r="AJ519" s="80">
        <f t="shared" si="3"/>
        <v>43</v>
      </c>
      <c r="AK519" s="140">
        <v>0.0</v>
      </c>
      <c r="AL519" s="109">
        <v>0.0</v>
      </c>
      <c r="AM519" s="141">
        <v>14.0</v>
      </c>
      <c r="AN519" s="80">
        <f t="shared" si="4"/>
        <v>14</v>
      </c>
      <c r="AO519" s="140">
        <v>0.0</v>
      </c>
      <c r="AP519" s="109">
        <v>0.0</v>
      </c>
      <c r="AQ519" s="109">
        <v>28.0</v>
      </c>
      <c r="AR519" s="80">
        <f t="shared" si="5"/>
        <v>28</v>
      </c>
      <c r="AS519" s="110">
        <v>0.0</v>
      </c>
      <c r="AT519" s="110">
        <v>0.0</v>
      </c>
      <c r="AU519" s="110">
        <v>0.0</v>
      </c>
      <c r="AV519" s="142">
        <v>0.0</v>
      </c>
      <c r="AW519" s="80">
        <f t="shared" si="6"/>
        <v>0</v>
      </c>
      <c r="AX519" s="113">
        <f t="shared" si="7"/>
        <v>338</v>
      </c>
      <c r="AY519" s="117">
        <f t="shared" si="8"/>
        <v>296</v>
      </c>
      <c r="AZ519" s="120">
        <f t="shared" si="9"/>
        <v>42</v>
      </c>
      <c r="BA519" s="115">
        <v>0.0</v>
      </c>
      <c r="BB519" s="89">
        <f t="shared" si="10"/>
        <v>338</v>
      </c>
      <c r="BC519" s="143" t="s">
        <v>1294</v>
      </c>
      <c r="BD519" s="132" t="s">
        <v>178</v>
      </c>
      <c r="BE519" s="132" t="s">
        <v>178</v>
      </c>
      <c r="BF519" s="156"/>
      <c r="BG519" s="83">
        <v>1179453.0</v>
      </c>
      <c r="BH519" s="112"/>
      <c r="BI519" s="112">
        <v>8.0</v>
      </c>
      <c r="BJ519" s="98" t="s">
        <v>155</v>
      </c>
      <c r="BK519" s="99">
        <f t="shared" si="11"/>
        <v>0</v>
      </c>
      <c r="BL519" s="99">
        <f t="shared" si="12"/>
        <v>296</v>
      </c>
      <c r="BM519" s="99" t="str">
        <f>IFERROR(__xludf.DUMMYFUNCTION("IFERROR(VLOOKUP(BG519,IMPORTRANGE(""https://docs.google.com/spreadsheets/d/1juPI-Fb8LD0YtltB2mlGEnp_R3UVu1t3wSFPzgCyHXE/edit?gid=0#gid=0"",""GERAL!A2:C""),3,0),""-"")"),"INDÍGENAS")</f>
        <v>INDÍGENAS</v>
      </c>
    </row>
    <row r="520" ht="15.75" customHeight="1">
      <c r="A520" s="111" t="s">
        <v>605</v>
      </c>
      <c r="B520" s="83" t="s">
        <v>2180</v>
      </c>
      <c r="C520" s="83" t="s">
        <v>68</v>
      </c>
      <c r="D520" s="112">
        <v>1179368.0</v>
      </c>
      <c r="E520" s="83"/>
      <c r="F520" s="83">
        <v>2.946439E7</v>
      </c>
      <c r="G520" s="185" t="s">
        <v>2191</v>
      </c>
      <c r="H520" s="91" t="s">
        <v>2193</v>
      </c>
      <c r="I520" s="83" t="s">
        <v>2194</v>
      </c>
      <c r="J520" s="83" t="s">
        <v>183</v>
      </c>
      <c r="K520" s="83" t="s">
        <v>168</v>
      </c>
      <c r="L520" s="83" t="s">
        <v>169</v>
      </c>
      <c r="M520" s="82" t="str">
        <f>IFERROR(__xludf.DUMMYFUNCTION("IFERROR(VLOOKUP(D520,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20" s="82" t="str">
        <f>IFERROR(__xludf.DUMMYFUNCTION("IFERROR(VLOOKUP(D520,
IMPORTRANGE(""https://docs.google.com/spreadsheets/d/1MjHtlUikwobi2MaWJgy7tfLeBmhj1u-dRFRs_8GwSoA/edit#gid=0"",""Gestores Escolares!D7:J""),4,0),""VERIFICAR CÓD SEC"")"),"(73) 9 8868-8611")</f>
        <v>(73) 9 8868-8611</v>
      </c>
      <c r="O520" s="82" t="str">
        <f>IFERROR(__xludf.DUMMYFUNCTION("IFERROR(VLOOKUP(D520,
IMPORTRANGE(""https://docs.google.com/spreadsheets/d/1MjHtlUikwobi2MaWJgy7tfLeBmhj1u-dRFRs_8GwSoA/edit#gid=0"",""Gestores Escolares!D7:J""),6,0),""VERIFICAR CÓD SEC"")"),"")</f>
        <v/>
      </c>
      <c r="P520" s="82" t="str">
        <f>IFERROR(__xludf.DUMMYFUNCTION("IFERROR(VLOOKUP(D520,
IMPORTRANGE(""https://docs.google.com/spreadsheets/d/1MjHtlUikwobi2MaWJgy7tfLeBmhj1u-dRFRs_8GwSoA/edit#gid=0"",""Gestores Escolares!D7:J""),7,0),""VERIFICAR CÓD SEC"")"),"")</f>
        <v/>
      </c>
      <c r="Q520" s="82" t="str">
        <f>IFERROR(__xludf.DUMMYFUNCTION("IFERROR(VLOOKUP(D520,
IMPORTRANGE(""https://docs.google.com/spreadsheets/d/1MjHtlUikwobi2MaWJgy7tfLeBmhj1u-dRFRs_8GwSoA/edit#gid=0"",""Gestores Escolares!D7:m""),9,0),""VERIFICAR CÓD SEC"")"),"")</f>
        <v/>
      </c>
      <c r="R520" s="82" t="str">
        <f>IFERROR(__xludf.DUMMYFUNCTION("IFERROR(VLOOKUP(D520,
IMPORTRANGE(""https://docs.google.com/spreadsheets/d/1MjHtlUikwobi2MaWJgy7tfLeBmhj1u-dRFRs_8GwSoA/edit#gid=0"",""Gestores Escolares!D7:m""),10,0),""VERIFICAR CÓD SEC"")"),"")</f>
        <v/>
      </c>
      <c r="S520" s="82"/>
      <c r="T520" s="138">
        <v>15.0</v>
      </c>
      <c r="U520" s="217">
        <v>5.0</v>
      </c>
      <c r="V520" s="106">
        <v>13.0</v>
      </c>
      <c r="W520" s="107">
        <v>17.0</v>
      </c>
      <c r="X520" s="107">
        <v>0.0</v>
      </c>
      <c r="Y520" s="107">
        <v>0.0</v>
      </c>
      <c r="Z520" s="80">
        <f t="shared" si="1"/>
        <v>30</v>
      </c>
      <c r="AA520" s="106">
        <v>46.0</v>
      </c>
      <c r="AB520" s="107">
        <v>31.0</v>
      </c>
      <c r="AC520" s="107">
        <v>0.0</v>
      </c>
      <c r="AD520" s="107">
        <v>0.0</v>
      </c>
      <c r="AE520" s="80">
        <f t="shared" si="2"/>
        <v>77</v>
      </c>
      <c r="AF520" s="140">
        <v>0.0</v>
      </c>
      <c r="AG520" s="109">
        <v>18.0</v>
      </c>
      <c r="AH520" s="109">
        <v>0.0</v>
      </c>
      <c r="AI520" s="141">
        <v>0.0</v>
      </c>
      <c r="AJ520" s="80">
        <f t="shared" si="3"/>
        <v>18</v>
      </c>
      <c r="AK520" s="140">
        <v>0.0</v>
      </c>
      <c r="AL520" s="109">
        <v>0.0</v>
      </c>
      <c r="AM520" s="141">
        <v>5.0</v>
      </c>
      <c r="AN520" s="80">
        <f t="shared" si="4"/>
        <v>5</v>
      </c>
      <c r="AO520" s="140">
        <v>0.0</v>
      </c>
      <c r="AP520" s="109">
        <v>0.0</v>
      </c>
      <c r="AQ520" s="109">
        <v>3.0</v>
      </c>
      <c r="AR520" s="80">
        <f t="shared" si="5"/>
        <v>3</v>
      </c>
      <c r="AS520" s="110">
        <v>0.0</v>
      </c>
      <c r="AT520" s="110">
        <v>0.0</v>
      </c>
      <c r="AU520" s="110">
        <v>0.0</v>
      </c>
      <c r="AV520" s="142">
        <v>0.0</v>
      </c>
      <c r="AW520" s="80">
        <f t="shared" si="6"/>
        <v>0</v>
      </c>
      <c r="AX520" s="113">
        <f t="shared" si="7"/>
        <v>133</v>
      </c>
      <c r="AY520" s="117">
        <f t="shared" si="8"/>
        <v>125</v>
      </c>
      <c r="AZ520" s="120">
        <f t="shared" si="9"/>
        <v>8</v>
      </c>
      <c r="BA520" s="115">
        <v>0.0</v>
      </c>
      <c r="BB520" s="89">
        <f t="shared" si="10"/>
        <v>133</v>
      </c>
      <c r="BC520" s="143" t="s">
        <v>1294</v>
      </c>
      <c r="BD520" s="132" t="s">
        <v>178</v>
      </c>
      <c r="BE520" s="132" t="s">
        <v>178</v>
      </c>
      <c r="BF520" s="156"/>
      <c r="BG520" s="83">
        <v>1179368.0</v>
      </c>
      <c r="BH520" s="112"/>
      <c r="BI520" s="112">
        <v>5.0</v>
      </c>
      <c r="BJ520" s="98" t="s">
        <v>155</v>
      </c>
      <c r="BK520" s="99">
        <f t="shared" si="11"/>
        <v>0</v>
      </c>
      <c r="BL520" s="99">
        <f t="shared" si="12"/>
        <v>125</v>
      </c>
      <c r="BM520" s="99" t="str">
        <f>IFERROR(__xludf.DUMMYFUNCTION("IFERROR(VLOOKUP(BG520,IMPORTRANGE(""https://docs.google.com/spreadsheets/d/1juPI-Fb8LD0YtltB2mlGEnp_R3UVu1t3wSFPzgCyHXE/edit?gid=0#gid=0"",""GERAL!A2:C""),3,0),""-"")"),"INDÍGENAS")</f>
        <v>INDÍGENAS</v>
      </c>
    </row>
    <row r="521" ht="15.75" customHeight="1">
      <c r="A521" s="111" t="s">
        <v>605</v>
      </c>
      <c r="B521" s="83" t="s">
        <v>2180</v>
      </c>
      <c r="C521" s="83" t="s">
        <v>68</v>
      </c>
      <c r="D521" s="112">
        <v>1178223.0</v>
      </c>
      <c r="E521" s="83"/>
      <c r="F521" s="83">
        <v>2.9445213E7</v>
      </c>
      <c r="G521" s="185" t="s">
        <v>2199</v>
      </c>
      <c r="H521" s="91" t="s">
        <v>2200</v>
      </c>
      <c r="I521" s="83" t="s">
        <v>2201</v>
      </c>
      <c r="J521" s="83" t="s">
        <v>187</v>
      </c>
      <c r="K521" s="83" t="s">
        <v>168</v>
      </c>
      <c r="L521" s="83" t="s">
        <v>169</v>
      </c>
      <c r="M521" s="82" t="str">
        <f>IFERROR(__xludf.DUMMYFUNCTION("IFERROR(VLOOKUP(D521,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21" s="82" t="str">
        <f>IFERROR(__xludf.DUMMYFUNCTION("IFERROR(VLOOKUP(D521,
IMPORTRANGE(""https://docs.google.com/spreadsheets/d/1MjHtlUikwobi2MaWJgy7tfLeBmhj1u-dRFRs_8GwSoA/edit#gid=0"",""Gestores Escolares!D7:J""),4,0),""VERIFICAR CÓD SEC"")"),"(73) 9 8868-8611")</f>
        <v>(73) 9 8868-8611</v>
      </c>
      <c r="O521" s="82" t="str">
        <f>IFERROR(__xludf.DUMMYFUNCTION("IFERROR(VLOOKUP(D521,
IMPORTRANGE(""https://docs.google.com/spreadsheets/d/1MjHtlUikwobi2MaWJgy7tfLeBmhj1u-dRFRs_8GwSoA/edit#gid=0"",""Gestores Escolares!D7:J""),6,0),""VERIFICAR CÓD SEC"")"),"")</f>
        <v/>
      </c>
      <c r="P521" s="82" t="str">
        <f>IFERROR(__xludf.DUMMYFUNCTION("IFERROR(VLOOKUP(D521,
IMPORTRANGE(""https://docs.google.com/spreadsheets/d/1MjHtlUikwobi2MaWJgy7tfLeBmhj1u-dRFRs_8GwSoA/edit#gid=0"",""Gestores Escolares!D7:J""),7,0),""VERIFICAR CÓD SEC"")"),"")</f>
        <v/>
      </c>
      <c r="Q521" s="82" t="str">
        <f>IFERROR(__xludf.DUMMYFUNCTION("IFERROR(VLOOKUP(D521,
IMPORTRANGE(""https://docs.google.com/spreadsheets/d/1MjHtlUikwobi2MaWJgy7tfLeBmhj1u-dRFRs_8GwSoA/edit#gid=0"",""Gestores Escolares!D7:m""),9,0),""VERIFICAR CÓD SEC"")"),"")</f>
        <v/>
      </c>
      <c r="R521" s="82" t="str">
        <f>IFERROR(__xludf.DUMMYFUNCTION("IFERROR(VLOOKUP(D521,
IMPORTRANGE(""https://docs.google.com/spreadsheets/d/1MjHtlUikwobi2MaWJgy7tfLeBmhj1u-dRFRs_8GwSoA/edit#gid=0"",""Gestores Escolares!D7:m""),10,0),""VERIFICAR CÓD SEC"")"),"")</f>
        <v/>
      </c>
      <c r="S521" s="82"/>
      <c r="T521" s="426" t="s">
        <v>171</v>
      </c>
      <c r="U521" s="217">
        <v>1.0</v>
      </c>
      <c r="V521" s="106">
        <v>0.0</v>
      </c>
      <c r="W521" s="107">
        <v>0.0</v>
      </c>
      <c r="X521" s="107">
        <v>0.0</v>
      </c>
      <c r="Y521" s="107">
        <v>0.0</v>
      </c>
      <c r="Z521" s="80">
        <f t="shared" si="1"/>
        <v>0</v>
      </c>
      <c r="AA521" s="106">
        <v>0.0</v>
      </c>
      <c r="AB521" s="107">
        <v>0.0</v>
      </c>
      <c r="AC521" s="107">
        <v>0.0</v>
      </c>
      <c r="AD521" s="107">
        <v>0.0</v>
      </c>
      <c r="AE521" s="80">
        <f t="shared" si="2"/>
        <v>0</v>
      </c>
      <c r="AF521" s="140">
        <v>0.0</v>
      </c>
      <c r="AG521" s="109">
        <v>0.0</v>
      </c>
      <c r="AH521" s="109">
        <v>0.0</v>
      </c>
      <c r="AI521" s="141">
        <v>0.0</v>
      </c>
      <c r="AJ521" s="80">
        <f t="shared" si="3"/>
        <v>0</v>
      </c>
      <c r="AK521" s="140">
        <v>0.0</v>
      </c>
      <c r="AL521" s="109">
        <v>0.0</v>
      </c>
      <c r="AM521" s="141">
        <v>0.0</v>
      </c>
      <c r="AN521" s="80">
        <f t="shared" si="4"/>
        <v>0</v>
      </c>
      <c r="AO521" s="140">
        <v>0.0</v>
      </c>
      <c r="AP521" s="109">
        <v>0.0</v>
      </c>
      <c r="AQ521" s="109">
        <v>0.0</v>
      </c>
      <c r="AR521" s="80">
        <f t="shared" si="5"/>
        <v>0</v>
      </c>
      <c r="AS521" s="109">
        <v>0.0</v>
      </c>
      <c r="AT521" s="109">
        <v>0.0</v>
      </c>
      <c r="AU521" s="109">
        <v>0.0</v>
      </c>
      <c r="AV521" s="428">
        <v>0.0</v>
      </c>
      <c r="AW521" s="80">
        <f t="shared" si="6"/>
        <v>0</v>
      </c>
      <c r="AX521" s="113">
        <f t="shared" si="7"/>
        <v>0</v>
      </c>
      <c r="AY521" s="117">
        <f t="shared" si="8"/>
        <v>0</v>
      </c>
      <c r="AZ521" s="120">
        <f t="shared" si="9"/>
        <v>0</v>
      </c>
      <c r="BA521" s="115">
        <v>0.0</v>
      </c>
      <c r="BB521" s="89">
        <f t="shared" si="10"/>
        <v>0</v>
      </c>
      <c r="BC521" s="143" t="s">
        <v>1294</v>
      </c>
      <c r="BD521" s="132" t="s">
        <v>6503</v>
      </c>
      <c r="BE521" s="132" t="s">
        <v>178</v>
      </c>
      <c r="BF521" s="98" t="s">
        <v>6505</v>
      </c>
      <c r="BG521" s="83">
        <v>1178223.0</v>
      </c>
      <c r="BH521" s="112"/>
      <c r="BI521" s="112">
        <v>1.0</v>
      </c>
      <c r="BJ521" s="98" t="s">
        <v>155</v>
      </c>
      <c r="BK521" s="99">
        <f t="shared" si="11"/>
        <v>0</v>
      </c>
      <c r="BL521" s="99">
        <f t="shared" si="12"/>
        <v>0</v>
      </c>
      <c r="BM521" s="99" t="str">
        <f>IFERROR(__xludf.DUMMYFUNCTION("IFERROR(VLOOKUP(BG521,IMPORTRANGE(""https://docs.google.com/spreadsheets/d/1juPI-Fb8LD0YtltB2mlGEnp_R3UVu1t3wSFPzgCyHXE/edit?gid=0#gid=0"",""GERAL!A2:C""),3,0),""-"")"),"INDÍGENAS")</f>
        <v>INDÍGENAS</v>
      </c>
    </row>
    <row r="522" ht="15.75" customHeight="1">
      <c r="A522" s="111" t="s">
        <v>605</v>
      </c>
      <c r="B522" s="83" t="s">
        <v>2180</v>
      </c>
      <c r="C522" s="83" t="s">
        <v>68</v>
      </c>
      <c r="D522" s="112">
        <v>1178127.0</v>
      </c>
      <c r="E522" s="83"/>
      <c r="F522" s="83">
        <v>2.9327059E7</v>
      </c>
      <c r="G522" s="185" t="s">
        <v>2207</v>
      </c>
      <c r="H522" s="91" t="s">
        <v>2208</v>
      </c>
      <c r="I522" s="83" t="s">
        <v>149</v>
      </c>
      <c r="J522" s="83" t="s">
        <v>865</v>
      </c>
      <c r="K522" s="83" t="s">
        <v>151</v>
      </c>
      <c r="L522" s="83" t="s">
        <v>169</v>
      </c>
      <c r="M522" s="82" t="str">
        <f>IFERROR(__xludf.DUMMYFUNCTION("IFERROR(VLOOKUP(D522,
IMPORTRANGE(""https://docs.google.com/spreadsheets/d/1MjHtlUikwobi2MaWJgy7tfLeBmhj1u-dRFRs_8GwSoA/edit#gid=0"",""Gestores Escolares!D7:J""),3,0),""VERIFICAR CÓD SEC"")"),"MAICON RODRIGUES DOS SANTOS")</f>
        <v>MAICON RODRIGUES DOS SANTOS</v>
      </c>
      <c r="N522" s="82" t="str">
        <f>IFERROR(__xludf.DUMMYFUNCTION("IFERROR(VLOOKUP(D522,
IMPORTRANGE(""https://docs.google.com/spreadsheets/d/1MjHtlUikwobi2MaWJgy7tfLeBmhj1u-dRFRs_8GwSoA/edit#gid=0"",""Gestores Escolares!D7:J""),4,0),""VERIFICAR CÓD SEC"")"),"(73) 9 8858-3480")</f>
        <v>(73) 9 8858-3480</v>
      </c>
      <c r="O522" s="82" t="str">
        <f>IFERROR(__xludf.DUMMYFUNCTION("IFERROR(VLOOKUP(D522,
IMPORTRANGE(""https://docs.google.com/spreadsheets/d/1MjHtlUikwobi2MaWJgy7tfLeBmhj1u-dRFRs_8GwSoA/edit#gid=0"",""Gestores Escolares!D7:J""),6,0),""VERIFICAR CÓD SEC"")"),"MANOEL ROBSON PARAGUASSU DA SILVA")</f>
        <v>MANOEL ROBSON PARAGUASSU DA SILVA</v>
      </c>
      <c r="P522" s="82" t="str">
        <f>IFERROR(__xludf.DUMMYFUNCTION("IFERROR(VLOOKUP(D522,
IMPORTRANGE(""https://docs.google.com/spreadsheets/d/1MjHtlUikwobi2MaWJgy7tfLeBmhj1u-dRFRs_8GwSoA/edit#gid=0"",""Gestores Escolares!D7:J""),7,0),""VERIFICAR CÓD SEC"")"),"(73) 9 9979-1397")</f>
        <v>(73) 9 9979-1397</v>
      </c>
      <c r="Q522" s="82" t="str">
        <f>IFERROR(__xludf.DUMMYFUNCTION("IFERROR(VLOOKUP(D522,
IMPORTRANGE(""https://docs.google.com/spreadsheets/d/1MjHtlUikwobi2MaWJgy7tfLeBmhj1u-dRFRs_8GwSoA/edit#gid=0"",""Gestores Escolares!D7:m""),9,0),""VERIFICAR CÓD SEC"")"),"")</f>
        <v/>
      </c>
      <c r="R522" s="82" t="str">
        <f>IFERROR(__xludf.DUMMYFUNCTION("IFERROR(VLOOKUP(D522,
IMPORTRANGE(""https://docs.google.com/spreadsheets/d/1MjHtlUikwobi2MaWJgy7tfLeBmhj1u-dRFRs_8GwSoA/edit#gid=0"",""Gestores Escolares!D7:m""),10,0),""VERIFICAR CÓD SEC"")"),"")</f>
        <v/>
      </c>
      <c r="S522" s="82"/>
      <c r="T522" s="138">
        <v>8.0</v>
      </c>
      <c r="U522" s="217" t="s">
        <v>986</v>
      </c>
      <c r="V522" s="106">
        <v>10.0</v>
      </c>
      <c r="W522" s="107">
        <v>33.0</v>
      </c>
      <c r="X522" s="107">
        <v>0.0</v>
      </c>
      <c r="Y522" s="107">
        <v>0.0</v>
      </c>
      <c r="Z522" s="80">
        <f t="shared" si="1"/>
        <v>43</v>
      </c>
      <c r="AA522" s="106">
        <v>36.0</v>
      </c>
      <c r="AB522" s="107">
        <v>55.0</v>
      </c>
      <c r="AC522" s="107">
        <v>0.0</v>
      </c>
      <c r="AD522" s="107">
        <v>0.0</v>
      </c>
      <c r="AE522" s="80">
        <f t="shared" si="2"/>
        <v>91</v>
      </c>
      <c r="AF522" s="140">
        <v>29.0</v>
      </c>
      <c r="AG522" s="109">
        <v>0.0</v>
      </c>
      <c r="AH522" s="109">
        <v>0.0</v>
      </c>
      <c r="AI522" s="141">
        <v>0.0</v>
      </c>
      <c r="AJ522" s="80">
        <f t="shared" si="3"/>
        <v>29</v>
      </c>
      <c r="AK522" s="140">
        <v>0.0</v>
      </c>
      <c r="AL522" s="109">
        <v>0.0</v>
      </c>
      <c r="AM522" s="141">
        <v>4.0</v>
      </c>
      <c r="AN522" s="80">
        <f t="shared" si="4"/>
        <v>4</v>
      </c>
      <c r="AO522" s="140">
        <v>0.0</v>
      </c>
      <c r="AP522" s="109">
        <v>0.0</v>
      </c>
      <c r="AQ522" s="109">
        <v>4.0</v>
      </c>
      <c r="AR522" s="80">
        <f t="shared" si="5"/>
        <v>4</v>
      </c>
      <c r="AS522" s="110">
        <v>0.0</v>
      </c>
      <c r="AT522" s="110">
        <v>0.0</v>
      </c>
      <c r="AU522" s="110">
        <v>0.0</v>
      </c>
      <c r="AV522" s="142">
        <v>0.0</v>
      </c>
      <c r="AW522" s="80">
        <f t="shared" si="6"/>
        <v>0</v>
      </c>
      <c r="AX522" s="113">
        <f t="shared" si="7"/>
        <v>171</v>
      </c>
      <c r="AY522" s="117">
        <f t="shared" si="8"/>
        <v>163</v>
      </c>
      <c r="AZ522" s="120">
        <f t="shared" si="9"/>
        <v>8</v>
      </c>
      <c r="BA522" s="115">
        <v>0.0</v>
      </c>
      <c r="BB522" s="89">
        <f t="shared" si="10"/>
        <v>171</v>
      </c>
      <c r="BC522" s="143" t="s">
        <v>1294</v>
      </c>
      <c r="BD522" s="132" t="s">
        <v>178</v>
      </c>
      <c r="BE522" s="132" t="s">
        <v>178</v>
      </c>
      <c r="BF522" s="123"/>
      <c r="BG522" s="83">
        <v>1178127.0</v>
      </c>
      <c r="BH522" s="112"/>
      <c r="BI522" s="112">
        <v>5.0</v>
      </c>
      <c r="BJ522" s="98" t="s">
        <v>155</v>
      </c>
      <c r="BK522" s="99">
        <f t="shared" si="11"/>
        <v>0</v>
      </c>
      <c r="BL522" s="99">
        <f t="shared" si="12"/>
        <v>163</v>
      </c>
      <c r="BM522" s="99" t="str">
        <f>IFERROR(__xludf.DUMMYFUNCTION("IFERROR(VLOOKUP(BG522,IMPORTRANGE(""https://docs.google.com/spreadsheets/d/1juPI-Fb8LD0YtltB2mlGEnp_R3UVu1t3wSFPzgCyHXE/edit?gid=0#gid=0"",""GERAL!A2:C""),3,0),""-"")"),"INDÍGENAS")</f>
        <v>INDÍGENAS</v>
      </c>
    </row>
    <row r="523" ht="15.75" customHeight="1">
      <c r="A523" s="111" t="s">
        <v>605</v>
      </c>
      <c r="B523" s="83" t="s">
        <v>2180</v>
      </c>
      <c r="C523" s="83" t="s">
        <v>68</v>
      </c>
      <c r="D523" s="112">
        <v>1178128.0</v>
      </c>
      <c r="E523" s="83"/>
      <c r="F523" s="83">
        <v>2.9327229E7</v>
      </c>
      <c r="G523" s="185" t="s">
        <v>2213</v>
      </c>
      <c r="H523" s="91" t="s">
        <v>2214</v>
      </c>
      <c r="I523" s="83" t="s">
        <v>149</v>
      </c>
      <c r="J523" s="83" t="s">
        <v>1806</v>
      </c>
      <c r="K523" s="83" t="s">
        <v>151</v>
      </c>
      <c r="L523" s="83" t="s">
        <v>169</v>
      </c>
      <c r="M523" s="82" t="str">
        <f>IFERROR(__xludf.DUMMYFUNCTION("IFERROR(VLOOKUP(D523,
IMPORTRANGE(""https://docs.google.com/spreadsheets/d/1MjHtlUikwobi2MaWJgy7tfLeBmhj1u-dRFRs_8GwSoA/edit#gid=0"",""Gestores Escolares!D7:J""),3,0),""VERIFICAR CÓD SEC"")"),"SARA ALVES OLIVEIRA SILVA")</f>
        <v>SARA ALVES OLIVEIRA SILVA</v>
      </c>
      <c r="N523" s="82" t="str">
        <f>IFERROR(__xludf.DUMMYFUNCTION("IFERROR(VLOOKUP(D523,
IMPORTRANGE(""https://docs.google.com/spreadsheets/d/1MjHtlUikwobi2MaWJgy7tfLeBmhj1u-dRFRs_8GwSoA/edit#gid=0"",""Gestores Escolares!D7:J""),4,0),""VERIFICAR CÓD SEC"")"),"(73) 9 8868-5103")</f>
        <v>(73) 9 8868-5103</v>
      </c>
      <c r="O523" s="82" t="str">
        <f>IFERROR(__xludf.DUMMYFUNCTION("IFERROR(VLOOKUP(D523,
IMPORTRANGE(""https://docs.google.com/spreadsheets/d/1MjHtlUikwobi2MaWJgy7tfLeBmhj1u-dRFRs_8GwSoA/edit#gid=0"",""Gestores Escolares!D7:J""),6,0),""VERIFICAR CÓD SEC"")"),"")</f>
        <v/>
      </c>
      <c r="P523" s="82" t="str">
        <f>IFERROR(__xludf.DUMMYFUNCTION("IFERROR(VLOOKUP(D523,
IMPORTRANGE(""https://docs.google.com/spreadsheets/d/1MjHtlUikwobi2MaWJgy7tfLeBmhj1u-dRFRs_8GwSoA/edit#gid=0"",""Gestores Escolares!D7:J""),7,0),""VERIFICAR CÓD SEC"")"),"")</f>
        <v/>
      </c>
      <c r="Q523" s="82" t="str">
        <f>IFERROR(__xludf.DUMMYFUNCTION("IFERROR(VLOOKUP(D523,
IMPORTRANGE(""https://docs.google.com/spreadsheets/d/1MjHtlUikwobi2MaWJgy7tfLeBmhj1u-dRFRs_8GwSoA/edit#gid=0"",""Gestores Escolares!D7:m""),9,0),""VERIFICAR CÓD SEC"")"),"")</f>
        <v/>
      </c>
      <c r="R523" s="82" t="str">
        <f>IFERROR(__xludf.DUMMYFUNCTION("IFERROR(VLOOKUP(D523,
IMPORTRANGE(""https://docs.google.com/spreadsheets/d/1MjHtlUikwobi2MaWJgy7tfLeBmhj1u-dRFRs_8GwSoA/edit#gid=0"",""Gestores Escolares!D7:m""),10,0),""VERIFICAR CÓD SEC"")"),"")</f>
        <v/>
      </c>
      <c r="S523" s="82"/>
      <c r="T523" s="138">
        <v>8.0</v>
      </c>
      <c r="U523" s="152">
        <v>8.0</v>
      </c>
      <c r="V523" s="106">
        <v>22.0</v>
      </c>
      <c r="W523" s="107">
        <v>0.0</v>
      </c>
      <c r="X523" s="107">
        <v>0.0</v>
      </c>
      <c r="Y523" s="107">
        <v>0.0</v>
      </c>
      <c r="Z523" s="80">
        <f t="shared" si="1"/>
        <v>22</v>
      </c>
      <c r="AA523" s="106">
        <v>52.0</v>
      </c>
      <c r="AB523" s="107">
        <v>31.0</v>
      </c>
      <c r="AC523" s="107">
        <v>0.0</v>
      </c>
      <c r="AD523" s="107">
        <v>0.0</v>
      </c>
      <c r="AE523" s="80">
        <f t="shared" si="2"/>
        <v>83</v>
      </c>
      <c r="AF523" s="140">
        <v>0.0</v>
      </c>
      <c r="AG523" s="109">
        <v>8.0</v>
      </c>
      <c r="AH523" s="109">
        <v>0.0</v>
      </c>
      <c r="AI523" s="141">
        <v>0.0</v>
      </c>
      <c r="AJ523" s="80">
        <f t="shared" si="3"/>
        <v>8</v>
      </c>
      <c r="AK523" s="140">
        <v>0.0</v>
      </c>
      <c r="AL523" s="109">
        <v>0.0</v>
      </c>
      <c r="AM523" s="141">
        <v>18.0</v>
      </c>
      <c r="AN523" s="80">
        <f t="shared" si="4"/>
        <v>18</v>
      </c>
      <c r="AO523" s="140">
        <v>0.0</v>
      </c>
      <c r="AP523" s="109">
        <v>0.0</v>
      </c>
      <c r="AQ523" s="109">
        <v>13.0</v>
      </c>
      <c r="AR523" s="80">
        <f t="shared" si="5"/>
        <v>13</v>
      </c>
      <c r="AS523" s="110">
        <v>0.0</v>
      </c>
      <c r="AT523" s="110">
        <v>0.0</v>
      </c>
      <c r="AU523" s="110">
        <v>0.0</v>
      </c>
      <c r="AV523" s="142">
        <v>0.0</v>
      </c>
      <c r="AW523" s="80">
        <f t="shared" si="6"/>
        <v>0</v>
      </c>
      <c r="AX523" s="113">
        <f t="shared" si="7"/>
        <v>144</v>
      </c>
      <c r="AY523" s="117">
        <f t="shared" si="8"/>
        <v>113</v>
      </c>
      <c r="AZ523" s="120">
        <f t="shared" si="9"/>
        <v>31</v>
      </c>
      <c r="BA523" s="115">
        <v>0.0</v>
      </c>
      <c r="BB523" s="89">
        <f t="shared" si="10"/>
        <v>144</v>
      </c>
      <c r="BC523" s="143" t="s">
        <v>1294</v>
      </c>
      <c r="BD523" s="132" t="s">
        <v>178</v>
      </c>
      <c r="BE523" s="132" t="s">
        <v>178</v>
      </c>
      <c r="BF523" s="123"/>
      <c r="BG523" s="83">
        <v>1178128.0</v>
      </c>
      <c r="BH523" s="112"/>
      <c r="BI523" s="112">
        <v>8.0</v>
      </c>
      <c r="BJ523" s="98" t="s">
        <v>155</v>
      </c>
      <c r="BK523" s="99">
        <f t="shared" si="11"/>
        <v>0</v>
      </c>
      <c r="BL523" s="99">
        <f t="shared" si="12"/>
        <v>113</v>
      </c>
      <c r="BM523" s="99" t="str">
        <f>IFERROR(__xludf.DUMMYFUNCTION("IFERROR(VLOOKUP(BG523,IMPORTRANGE(""https://docs.google.com/spreadsheets/d/1juPI-Fb8LD0YtltB2mlGEnp_R3UVu1t3wSFPzgCyHXE/edit?gid=0#gid=0"",""GERAL!A2:C""),3,0),""-"")"),"INDÍGENAS")</f>
        <v>INDÍGENAS</v>
      </c>
    </row>
    <row r="524" ht="15.75" customHeight="1">
      <c r="A524" s="111" t="s">
        <v>605</v>
      </c>
      <c r="B524" s="83" t="s">
        <v>2180</v>
      </c>
      <c r="C524" s="83" t="s">
        <v>68</v>
      </c>
      <c r="D524" s="112">
        <v>1179452.0</v>
      </c>
      <c r="E524" s="83"/>
      <c r="F524" s="83">
        <v>2.9467551E7</v>
      </c>
      <c r="G524" s="184" t="s">
        <v>2219</v>
      </c>
      <c r="H524" s="91" t="s">
        <v>2221</v>
      </c>
      <c r="I524" s="83" t="s">
        <v>149</v>
      </c>
      <c r="J524" s="83" t="s">
        <v>705</v>
      </c>
      <c r="K524" s="83" t="s">
        <v>168</v>
      </c>
      <c r="L524" s="83" t="s">
        <v>169</v>
      </c>
      <c r="M524" s="82" t="str">
        <f>IFERROR(__xludf.DUMMYFUNCTION("IFERROR(VLOOKUP(D524,
IMPORTRANGE(""https://docs.google.com/spreadsheets/d/1MjHtlUikwobi2MaWJgy7tfLeBmhj1u-dRFRs_8GwSoA/edit#gid=0"",""Gestores Escolares!D7:J""),3,0),""VERIFICAR CÓD SEC"")"),"ALEX DOS SANTOS PEREIRA")</f>
        <v>ALEX DOS SANTOS PEREIRA</v>
      </c>
      <c r="N524" s="82" t="str">
        <f>IFERROR(__xludf.DUMMYFUNCTION("IFERROR(VLOOKUP(D524,
IMPORTRANGE(""https://docs.google.com/spreadsheets/d/1MjHtlUikwobi2MaWJgy7tfLeBmhj1u-dRFRs_8GwSoA/edit#gid=0"",""Gestores Escolares!D7:J""),4,0),""VERIFICAR CÓD SEC"")"),"(73) 9 9151-4888")</f>
        <v>(73) 9 9151-4888</v>
      </c>
      <c r="O524" s="82" t="str">
        <f>IFERROR(__xludf.DUMMYFUNCTION("IFERROR(VLOOKUP(D524,
IMPORTRANGE(""https://docs.google.com/spreadsheets/d/1MjHtlUikwobi2MaWJgy7tfLeBmhj1u-dRFRs_8GwSoA/edit#gid=0"",""Gestores Escolares!D7:J""),6,0),""VERIFICAR CÓD SEC"")")," LETICIA FERREIRA (COORDENADORA INDIGENA)")</f>
        <v> LETICIA FERREIRA (COORDENADORA INDIGENA)</v>
      </c>
      <c r="P524" s="82" t="str">
        <f>IFERROR(__xludf.DUMMYFUNCTION("IFERROR(VLOOKUP(D524,
IMPORTRANGE(""https://docs.google.com/spreadsheets/d/1MjHtlUikwobi2MaWJgy7tfLeBmhj1u-dRFRs_8GwSoA/edit#gid=0"",""Gestores Escolares!D7:J""),7,0),""VERIFICAR CÓD SEC"")"),"(73) 9 8868-8611")</f>
        <v>(73) 9 8868-8611</v>
      </c>
      <c r="Q524" s="82" t="str">
        <f>IFERROR(__xludf.DUMMYFUNCTION("IFERROR(VLOOKUP(D524,
IMPORTRANGE(""https://docs.google.com/spreadsheets/d/1MjHtlUikwobi2MaWJgy7tfLeBmhj1u-dRFRs_8GwSoA/edit#gid=0"",""Gestores Escolares!D7:m""),9,0),""VERIFICAR CÓD SEC"")"),"")</f>
        <v/>
      </c>
      <c r="R524" s="82" t="str">
        <f>IFERROR(__xludf.DUMMYFUNCTION("IFERROR(VLOOKUP(D524,
IMPORTRANGE(""https://docs.google.com/spreadsheets/d/1MjHtlUikwobi2MaWJgy7tfLeBmhj1u-dRFRs_8GwSoA/edit#gid=0"",""Gestores Escolares!D7:m""),10,0),""VERIFICAR CÓD SEC"")"),"")</f>
        <v/>
      </c>
      <c r="S524" s="82"/>
      <c r="T524" s="138">
        <v>8.0</v>
      </c>
      <c r="U524" s="217" t="s">
        <v>7272</v>
      </c>
      <c r="V524" s="106">
        <v>11.0</v>
      </c>
      <c r="W524" s="107">
        <v>5.0</v>
      </c>
      <c r="X524" s="107">
        <v>0.0</v>
      </c>
      <c r="Y524" s="107">
        <v>0.0</v>
      </c>
      <c r="Z524" s="80">
        <f t="shared" si="1"/>
        <v>16</v>
      </c>
      <c r="AA524" s="106">
        <v>43.0</v>
      </c>
      <c r="AB524" s="107">
        <v>33.0</v>
      </c>
      <c r="AC524" s="107">
        <v>0.0</v>
      </c>
      <c r="AD524" s="107">
        <v>0.0</v>
      </c>
      <c r="AE524" s="80">
        <f t="shared" si="2"/>
        <v>76</v>
      </c>
      <c r="AF524" s="140">
        <v>0.0</v>
      </c>
      <c r="AG524" s="109">
        <v>9.0</v>
      </c>
      <c r="AH524" s="109">
        <v>10.0</v>
      </c>
      <c r="AI524" s="141">
        <v>0.0</v>
      </c>
      <c r="AJ524" s="80">
        <f t="shared" si="3"/>
        <v>19</v>
      </c>
      <c r="AK524" s="140">
        <v>0.0</v>
      </c>
      <c r="AL524" s="109">
        <v>0.0</v>
      </c>
      <c r="AM524" s="141">
        <v>5.0</v>
      </c>
      <c r="AN524" s="80">
        <f t="shared" si="4"/>
        <v>5</v>
      </c>
      <c r="AO524" s="140">
        <v>0.0</v>
      </c>
      <c r="AP524" s="109">
        <v>0.0</v>
      </c>
      <c r="AQ524" s="109">
        <v>13.0</v>
      </c>
      <c r="AR524" s="80">
        <f t="shared" si="5"/>
        <v>13</v>
      </c>
      <c r="AS524" s="110">
        <v>0.0</v>
      </c>
      <c r="AT524" s="110">
        <v>0.0</v>
      </c>
      <c r="AU524" s="110">
        <v>0.0</v>
      </c>
      <c r="AV524" s="142">
        <v>0.0</v>
      </c>
      <c r="AW524" s="80">
        <f t="shared" si="6"/>
        <v>0</v>
      </c>
      <c r="AX524" s="113">
        <f t="shared" si="7"/>
        <v>129</v>
      </c>
      <c r="AY524" s="117">
        <f t="shared" si="8"/>
        <v>101</v>
      </c>
      <c r="AZ524" s="120">
        <f t="shared" si="9"/>
        <v>28</v>
      </c>
      <c r="BA524" s="115">
        <v>0.0</v>
      </c>
      <c r="BB524" s="89">
        <f t="shared" si="10"/>
        <v>129</v>
      </c>
      <c r="BC524" s="143" t="s">
        <v>1294</v>
      </c>
      <c r="BD524" s="132" t="s">
        <v>178</v>
      </c>
      <c r="BE524" s="132" t="s">
        <v>178</v>
      </c>
      <c r="BF524" s="156"/>
      <c r="BG524" s="83">
        <v>1179452.0</v>
      </c>
      <c r="BH524" s="112"/>
      <c r="BI524" s="112">
        <v>7.0</v>
      </c>
      <c r="BJ524" s="98" t="s">
        <v>155</v>
      </c>
      <c r="BK524" s="99">
        <f t="shared" si="11"/>
        <v>0</v>
      </c>
      <c r="BL524" s="99">
        <f t="shared" si="12"/>
        <v>101</v>
      </c>
      <c r="BM524" s="99" t="str">
        <f>IFERROR(__xludf.DUMMYFUNCTION("IFERROR(VLOOKUP(BG524,IMPORTRANGE(""https://docs.google.com/spreadsheets/d/1juPI-Fb8LD0YtltB2mlGEnp_R3UVu1t3wSFPzgCyHXE/edit?gid=0#gid=0"",""GERAL!A2:C""),3,0),""-"")"),"INDÍGENAS")</f>
        <v>INDÍGENAS</v>
      </c>
    </row>
    <row r="525" ht="15.75" customHeight="1">
      <c r="A525" s="111" t="s">
        <v>605</v>
      </c>
      <c r="B525" s="83" t="s">
        <v>2180</v>
      </c>
      <c r="C525" s="83" t="s">
        <v>68</v>
      </c>
      <c r="D525" s="112">
        <v>1178182.0</v>
      </c>
      <c r="E525" s="83"/>
      <c r="F525" s="83">
        <v>2.944053E7</v>
      </c>
      <c r="G525" s="185" t="s">
        <v>2227</v>
      </c>
      <c r="H525" s="91" t="s">
        <v>2228</v>
      </c>
      <c r="I525" s="83" t="s">
        <v>149</v>
      </c>
      <c r="J525" s="83" t="s">
        <v>1806</v>
      </c>
      <c r="K525" s="83" t="s">
        <v>151</v>
      </c>
      <c r="L525" s="83" t="s">
        <v>169</v>
      </c>
      <c r="M525" s="82" t="str">
        <f>IFERROR(__xludf.DUMMYFUNCTION("IFERROR(VLOOKUP(D525,
IMPORTRANGE(""https://docs.google.com/spreadsheets/d/1MjHtlUikwobi2MaWJgy7tfLeBmhj1u-dRFRs_8GwSoA/edit#gid=0"",""Gestores Escolares!D7:J""),3,0),""VERIFICAR CÓD SEC"")"),"LUIS GUILHERME ESCHENAZI LUCENA")</f>
        <v>LUIS GUILHERME ESCHENAZI LUCENA</v>
      </c>
      <c r="N525" s="82" t="str">
        <f>IFERROR(__xludf.DUMMYFUNCTION("IFERROR(VLOOKUP(D525,
IMPORTRANGE(""https://docs.google.com/spreadsheets/d/1MjHtlUikwobi2MaWJgy7tfLeBmhj1u-dRFRs_8GwSoA/edit#gid=0"",""Gestores Escolares!D7:J""),4,0),""VERIFICAR CÓD SEC"")"),"(21) 9 9146-0175")</f>
        <v>(21) 9 9146-0175</v>
      </c>
      <c r="O525" s="82" t="str">
        <f>IFERROR(__xludf.DUMMYFUNCTION("IFERROR(VLOOKUP(D525,
IMPORTRANGE(""https://docs.google.com/spreadsheets/d/1MjHtlUikwobi2MaWJgy7tfLeBmhj1u-dRFRs_8GwSoA/edit#gid=0"",""Gestores Escolares!D7:J""),6,0),""VERIFICAR CÓD SEC"")"),"")</f>
        <v/>
      </c>
      <c r="P525" s="82" t="str">
        <f>IFERROR(__xludf.DUMMYFUNCTION("IFERROR(VLOOKUP(D525,
IMPORTRANGE(""https://docs.google.com/spreadsheets/d/1MjHtlUikwobi2MaWJgy7tfLeBmhj1u-dRFRs_8GwSoA/edit#gid=0"",""Gestores Escolares!D7:J""),7,0),""VERIFICAR CÓD SEC"")"),"")</f>
        <v/>
      </c>
      <c r="Q525" s="82" t="str">
        <f>IFERROR(__xludf.DUMMYFUNCTION("IFERROR(VLOOKUP(D525,
IMPORTRANGE(""https://docs.google.com/spreadsheets/d/1MjHtlUikwobi2MaWJgy7tfLeBmhj1u-dRFRs_8GwSoA/edit#gid=0"",""Gestores Escolares!D7:m""),9,0),""VERIFICAR CÓD SEC"")"),"")</f>
        <v/>
      </c>
      <c r="R525" s="82" t="str">
        <f>IFERROR(__xludf.DUMMYFUNCTION("IFERROR(VLOOKUP(D525,
IMPORTRANGE(""https://docs.google.com/spreadsheets/d/1MjHtlUikwobi2MaWJgy7tfLeBmhj1u-dRFRs_8GwSoA/edit#gid=0"",""Gestores Escolares!D7:m""),10,0),""VERIFICAR CÓD SEC"")"),"")</f>
        <v/>
      </c>
      <c r="S525" s="82"/>
      <c r="T525" s="138">
        <v>8.0</v>
      </c>
      <c r="U525" s="152">
        <v>4.0</v>
      </c>
      <c r="V525" s="106">
        <v>0.0</v>
      </c>
      <c r="W525" s="107">
        <v>0.0</v>
      </c>
      <c r="X525" s="107">
        <v>0.0</v>
      </c>
      <c r="Y525" s="107">
        <v>0.0</v>
      </c>
      <c r="Z525" s="80">
        <f t="shared" si="1"/>
        <v>0</v>
      </c>
      <c r="AA525" s="106">
        <v>0.0</v>
      </c>
      <c r="AB525" s="107">
        <v>27.0</v>
      </c>
      <c r="AC525" s="107">
        <v>0.0</v>
      </c>
      <c r="AD525" s="107">
        <v>0.0</v>
      </c>
      <c r="AE525" s="80">
        <f t="shared" si="2"/>
        <v>27</v>
      </c>
      <c r="AF525" s="140">
        <v>0.0</v>
      </c>
      <c r="AG525" s="109">
        <v>0.0</v>
      </c>
      <c r="AH525" s="109">
        <v>0.0</v>
      </c>
      <c r="AI525" s="141">
        <v>0.0</v>
      </c>
      <c r="AJ525" s="80">
        <f t="shared" si="3"/>
        <v>0</v>
      </c>
      <c r="AK525" s="140">
        <v>0.0</v>
      </c>
      <c r="AL525" s="109">
        <v>0.0</v>
      </c>
      <c r="AM525" s="141">
        <v>8.0</v>
      </c>
      <c r="AN525" s="80">
        <f t="shared" si="4"/>
        <v>8</v>
      </c>
      <c r="AO525" s="140">
        <v>0.0</v>
      </c>
      <c r="AP525" s="109">
        <v>0.0</v>
      </c>
      <c r="AQ525" s="109">
        <v>21.0</v>
      </c>
      <c r="AR525" s="80">
        <f t="shared" si="5"/>
        <v>21</v>
      </c>
      <c r="AS525" s="110">
        <v>0.0</v>
      </c>
      <c r="AT525" s="110">
        <v>0.0</v>
      </c>
      <c r="AU525" s="110">
        <v>0.0</v>
      </c>
      <c r="AV525" s="142">
        <v>0.0</v>
      </c>
      <c r="AW525" s="80">
        <f t="shared" si="6"/>
        <v>0</v>
      </c>
      <c r="AX525" s="113">
        <f t="shared" si="7"/>
        <v>56</v>
      </c>
      <c r="AY525" s="117">
        <f t="shared" si="8"/>
        <v>27</v>
      </c>
      <c r="AZ525" s="120">
        <f t="shared" si="9"/>
        <v>29</v>
      </c>
      <c r="BA525" s="115">
        <v>0.0</v>
      </c>
      <c r="BB525" s="89">
        <f t="shared" si="10"/>
        <v>56</v>
      </c>
      <c r="BC525" s="132" t="s">
        <v>631</v>
      </c>
      <c r="BD525" s="132" t="s">
        <v>178</v>
      </c>
      <c r="BE525" s="132" t="s">
        <v>178</v>
      </c>
      <c r="BF525" s="181"/>
      <c r="BG525" s="83">
        <v>1178182.0</v>
      </c>
      <c r="BH525" s="112"/>
      <c r="BI525" s="112">
        <v>4.0</v>
      </c>
      <c r="BJ525" s="98" t="s">
        <v>155</v>
      </c>
      <c r="BK525" s="99">
        <f t="shared" si="11"/>
        <v>0</v>
      </c>
      <c r="BL525" s="99">
        <f t="shared" si="12"/>
        <v>27</v>
      </c>
      <c r="BM525" s="99" t="str">
        <f>IFERROR(__xludf.DUMMYFUNCTION("IFERROR(VLOOKUP(BG525,IMPORTRANGE(""https://docs.google.com/spreadsheets/d/1juPI-Fb8LD0YtltB2mlGEnp_R3UVu1t3wSFPzgCyHXE/edit?gid=0#gid=0"",""GERAL!A2:C""),3,0),""-"")"),"ASSENTAMENTOS")</f>
        <v>ASSENTAMENTOS</v>
      </c>
    </row>
    <row r="526" ht="15.75" customHeight="1">
      <c r="A526" s="111" t="s">
        <v>605</v>
      </c>
      <c r="B526" s="83" t="s">
        <v>2180</v>
      </c>
      <c r="C526" s="83" t="s">
        <v>68</v>
      </c>
      <c r="D526" s="112">
        <v>1179686.0</v>
      </c>
      <c r="E526" s="83"/>
      <c r="F526" s="83">
        <v>2.947722E7</v>
      </c>
      <c r="G526" s="430" t="s">
        <v>2235</v>
      </c>
      <c r="H526" s="91" t="s">
        <v>2236</v>
      </c>
      <c r="I526" s="83" t="s">
        <v>149</v>
      </c>
      <c r="J526" s="83" t="s">
        <v>705</v>
      </c>
      <c r="K526" s="83" t="s">
        <v>151</v>
      </c>
      <c r="L526" s="83" t="s">
        <v>169</v>
      </c>
      <c r="M526" s="82" t="str">
        <f>IFERROR(__xludf.DUMMYFUNCTION("IFERROR(VLOOKUP(D526,
IMPORTRANGE(""https://docs.google.com/spreadsheets/d/1MjHtlUikwobi2MaWJgy7tfLeBmhj1u-dRFRs_8GwSoA/edit#gid=0"",""Gestores Escolares!D7:J""),3,0),""VERIFICAR CÓD SEC"")"),"NURIA SILVA LYRA ")</f>
        <v>NURIA SILVA LYRA </v>
      </c>
      <c r="N526" s="82" t="str">
        <f>IFERROR(__xludf.DUMMYFUNCTION("IFERROR(VLOOKUP(D526,
IMPORTRANGE(""https://docs.google.com/spreadsheets/d/1MjHtlUikwobi2MaWJgy7tfLeBmhj1u-dRFRs_8GwSoA/edit#gid=0"",""Gestores Escolares!D7:J""),4,0),""VERIFICAR CÓD SEC"")"),"(73) 9 9957-7609")</f>
        <v>(73) 9 9957-7609</v>
      </c>
      <c r="O526" s="82" t="str">
        <f>IFERROR(__xludf.DUMMYFUNCTION("IFERROR(VLOOKUP(D526,
IMPORTRANGE(""https://docs.google.com/spreadsheets/d/1MjHtlUikwobi2MaWJgy7tfLeBmhj1u-dRFRs_8GwSoA/edit#gid=0"",""Gestores Escolares!D7:J""),6,0),""VERIFICAR CÓD SEC"")"),"")</f>
        <v/>
      </c>
      <c r="P526" s="82" t="str">
        <f>IFERROR(__xludf.DUMMYFUNCTION("IFERROR(VLOOKUP(D526,
IMPORTRANGE(""https://docs.google.com/spreadsheets/d/1MjHtlUikwobi2MaWJgy7tfLeBmhj1u-dRFRs_8GwSoA/edit#gid=0"",""Gestores Escolares!D7:J""),7,0),""VERIFICAR CÓD SEC"")"),"")</f>
        <v/>
      </c>
      <c r="Q526" s="82" t="str">
        <f>IFERROR(__xludf.DUMMYFUNCTION("IFERROR(VLOOKUP(D526,
IMPORTRANGE(""https://docs.google.com/spreadsheets/d/1MjHtlUikwobi2MaWJgy7tfLeBmhj1u-dRFRs_8GwSoA/edit#gid=0"",""Gestores Escolares!D7:m""),9,0),""VERIFICAR CÓD SEC"")"),"")</f>
        <v/>
      </c>
      <c r="R526" s="82" t="str">
        <f>IFERROR(__xludf.DUMMYFUNCTION("IFERROR(VLOOKUP(D526,
IMPORTRANGE(""https://docs.google.com/spreadsheets/d/1MjHtlUikwobi2MaWJgy7tfLeBmhj1u-dRFRs_8GwSoA/edit#gid=0"",""Gestores Escolares!D7:m""),10,0),""VERIFICAR CÓD SEC"")"),"")</f>
        <v/>
      </c>
      <c r="S526" s="82"/>
      <c r="T526" s="138">
        <v>6.0</v>
      </c>
      <c r="U526" s="139">
        <v>6.0</v>
      </c>
      <c r="V526" s="106">
        <v>0.0</v>
      </c>
      <c r="W526" s="107">
        <v>0.0</v>
      </c>
      <c r="X526" s="107">
        <v>0.0</v>
      </c>
      <c r="Y526" s="107">
        <v>0.0</v>
      </c>
      <c r="Z526" s="80">
        <f t="shared" si="1"/>
        <v>0</v>
      </c>
      <c r="AA526" s="106">
        <v>0.0</v>
      </c>
      <c r="AB526" s="107">
        <v>0.0</v>
      </c>
      <c r="AC526" s="107">
        <v>0.0</v>
      </c>
      <c r="AD526" s="107">
        <v>0.0</v>
      </c>
      <c r="AE526" s="80">
        <f t="shared" si="2"/>
        <v>0</v>
      </c>
      <c r="AF526" s="140">
        <v>0.0</v>
      </c>
      <c r="AG526" s="109">
        <v>0.0</v>
      </c>
      <c r="AH526" s="109">
        <v>0.0</v>
      </c>
      <c r="AI526" s="141">
        <v>0.0</v>
      </c>
      <c r="AJ526" s="80">
        <f t="shared" si="3"/>
        <v>0</v>
      </c>
      <c r="AK526" s="140">
        <v>0.0</v>
      </c>
      <c r="AL526" s="109">
        <v>0.0</v>
      </c>
      <c r="AM526" s="141">
        <v>0.0</v>
      </c>
      <c r="AN526" s="80">
        <f t="shared" si="4"/>
        <v>0</v>
      </c>
      <c r="AO526" s="140">
        <v>0.0</v>
      </c>
      <c r="AP526" s="109">
        <v>0.0</v>
      </c>
      <c r="AQ526" s="109">
        <v>15.0</v>
      </c>
      <c r="AR526" s="80">
        <f t="shared" si="5"/>
        <v>15</v>
      </c>
      <c r="AS526" s="110">
        <v>0.0</v>
      </c>
      <c r="AT526" s="110">
        <v>0.0</v>
      </c>
      <c r="AU526" s="110">
        <v>34.0</v>
      </c>
      <c r="AV526" s="142">
        <v>64.0</v>
      </c>
      <c r="AW526" s="80">
        <f t="shared" si="6"/>
        <v>98</v>
      </c>
      <c r="AX526" s="113">
        <f t="shared" si="7"/>
        <v>113</v>
      </c>
      <c r="AY526" s="117">
        <f t="shared" si="8"/>
        <v>64</v>
      </c>
      <c r="AZ526" s="120">
        <f t="shared" si="9"/>
        <v>49</v>
      </c>
      <c r="BA526" s="115">
        <v>0.0</v>
      </c>
      <c r="BB526" s="89">
        <f t="shared" si="10"/>
        <v>113</v>
      </c>
      <c r="BC526" s="132" t="s">
        <v>631</v>
      </c>
      <c r="BD526" s="132" t="s">
        <v>178</v>
      </c>
      <c r="BE526" s="132" t="s">
        <v>178</v>
      </c>
      <c r="BF526" s="156"/>
      <c r="BG526" s="83">
        <v>1179686.0</v>
      </c>
      <c r="BH526" s="112"/>
      <c r="BI526" s="112">
        <v>6.0</v>
      </c>
      <c r="BJ526" s="98" t="s">
        <v>162</v>
      </c>
      <c r="BK526" s="99">
        <f t="shared" si="11"/>
        <v>64</v>
      </c>
      <c r="BL526" s="99">
        <f t="shared" si="12"/>
        <v>0</v>
      </c>
      <c r="BM526" s="99" t="str">
        <f>IFERROR(__xludf.DUMMYFUNCTION("IFERROR(VLOOKUP(BG526,IMPORTRANGE(""https://docs.google.com/spreadsheets/d/1juPI-Fb8LD0YtltB2mlGEnp_R3UVu1t3wSFPzgCyHXE/edit?gid=0#gid=0"",""GERAL!A2:C""),3,0),""-"")"),"ASSENTAMENTOS")</f>
        <v>ASSENTAMENTOS</v>
      </c>
    </row>
    <row r="527" ht="15.75" customHeight="1">
      <c r="A527" s="111" t="s">
        <v>605</v>
      </c>
      <c r="B527" s="83" t="s">
        <v>2180</v>
      </c>
      <c r="C527" s="83" t="s">
        <v>68</v>
      </c>
      <c r="D527" s="112">
        <v>1113749.0</v>
      </c>
      <c r="E527" s="83"/>
      <c r="F527" s="83">
        <v>2.9327202E7</v>
      </c>
      <c r="G527" s="153" t="s">
        <v>2243</v>
      </c>
      <c r="H527" s="108" t="s">
        <v>2244</v>
      </c>
      <c r="I527" s="83" t="s">
        <v>149</v>
      </c>
      <c r="J527" s="83" t="s">
        <v>150</v>
      </c>
      <c r="K527" s="83" t="s">
        <v>151</v>
      </c>
      <c r="L527" s="83" t="s">
        <v>230</v>
      </c>
      <c r="M527" s="82" t="str">
        <f>IFERROR(__xludf.DUMMYFUNCTION("IFERROR(VLOOKUP(D527,
IMPORTRANGE(""https://docs.google.com/spreadsheets/d/1MjHtlUikwobi2MaWJgy7tfLeBmhj1u-dRFRs_8GwSoA/edit#gid=0"",""Gestores Escolares!D7:J""),3,0),""VERIFICAR CÓD SEC"")"),"JEAN FELIPE RAMALHO E SILVA")</f>
        <v>JEAN FELIPE RAMALHO E SILVA</v>
      </c>
      <c r="N527" s="82" t="str">
        <f>IFERROR(__xludf.DUMMYFUNCTION("IFERROR(VLOOKUP(D527,
IMPORTRANGE(""https://docs.google.com/spreadsheets/d/1MjHtlUikwobi2MaWJgy7tfLeBmhj1u-dRFRs_8GwSoA/edit#gid=0"",""Gestores Escolares!D7:J""),4,0),""VERIFICAR CÓD SEC"")"),"(73) 9 9981-3802")</f>
        <v>(73) 9 9981-3802</v>
      </c>
      <c r="O527" s="82" t="str">
        <f>IFERROR(__xludf.DUMMYFUNCTION("IFERROR(VLOOKUP(D527,
IMPORTRANGE(""https://docs.google.com/spreadsheets/d/1MjHtlUikwobi2MaWJgy7tfLeBmhj1u-dRFRs_8GwSoA/edit#gid=0"",""Gestores Escolares!D7:J""),6,0),""VERIFICAR CÓD SEC"")"),"NEYVA RIBEIRO FERRAZ CHAGAS")</f>
        <v>NEYVA RIBEIRO FERRAZ CHAGAS</v>
      </c>
      <c r="P527" s="82" t="str">
        <f>IFERROR(__xludf.DUMMYFUNCTION("IFERROR(VLOOKUP(D527,
IMPORTRANGE(""https://docs.google.com/spreadsheets/d/1MjHtlUikwobi2MaWJgy7tfLeBmhj1u-dRFRs_8GwSoA/edit#gid=0"",""Gestores Escolares!D7:J""),7,0),""VERIFICAR CÓD SEC"")"),"(73) 9 9810-4672")</f>
        <v>(73) 9 9810-4672</v>
      </c>
      <c r="Q527" s="82" t="str">
        <f>IFERROR(__xludf.DUMMYFUNCTION("IFERROR(VLOOKUP(D527,
IMPORTRANGE(""https://docs.google.com/spreadsheets/d/1MjHtlUikwobi2MaWJgy7tfLeBmhj1u-dRFRs_8GwSoA/edit#gid=0"",""Gestores Escolares!D7:m""),9,0),""VERIFICAR CÓD SEC"")"),"")</f>
        <v/>
      </c>
      <c r="R527" s="82" t="str">
        <f>IFERROR(__xludf.DUMMYFUNCTION("IFERROR(VLOOKUP(D527,
IMPORTRANGE(""https://docs.google.com/spreadsheets/d/1MjHtlUikwobi2MaWJgy7tfLeBmhj1u-dRFRs_8GwSoA/edit#gid=0"",""Gestores Escolares!D7:m""),10,0),""VERIFICAR CÓD SEC"")"),"")</f>
        <v/>
      </c>
      <c r="S527" s="82"/>
      <c r="T527" s="138">
        <v>8.0</v>
      </c>
      <c r="U527" s="145">
        <v>12.0</v>
      </c>
      <c r="V527" s="106">
        <v>0.0</v>
      </c>
      <c r="W527" s="107">
        <v>0.0</v>
      </c>
      <c r="X527" s="107">
        <v>0.0</v>
      </c>
      <c r="Y527" s="107">
        <v>0.0</v>
      </c>
      <c r="Z527" s="80">
        <f t="shared" si="1"/>
        <v>0</v>
      </c>
      <c r="AA527" s="106">
        <v>0.0</v>
      </c>
      <c r="AB527" s="107">
        <v>0.0</v>
      </c>
      <c r="AC527" s="107">
        <v>0.0</v>
      </c>
      <c r="AD527" s="107">
        <v>0.0</v>
      </c>
      <c r="AE527" s="80">
        <f t="shared" si="2"/>
        <v>0</v>
      </c>
      <c r="AF527" s="140">
        <v>0.0</v>
      </c>
      <c r="AG527" s="109">
        <v>0.0</v>
      </c>
      <c r="AH527" s="109">
        <v>0.0</v>
      </c>
      <c r="AI527" s="141">
        <v>497.0</v>
      </c>
      <c r="AJ527" s="80">
        <f t="shared" si="3"/>
        <v>497</v>
      </c>
      <c r="AK527" s="140">
        <v>0.0</v>
      </c>
      <c r="AL527" s="109">
        <v>0.0</v>
      </c>
      <c r="AM527" s="141">
        <v>0.0</v>
      </c>
      <c r="AN527" s="80">
        <f t="shared" si="4"/>
        <v>0</v>
      </c>
      <c r="AO527" s="140">
        <v>0.0</v>
      </c>
      <c r="AP527" s="109">
        <v>0.0</v>
      </c>
      <c r="AQ527" s="109">
        <v>225.0</v>
      </c>
      <c r="AR527" s="80">
        <f t="shared" si="5"/>
        <v>225</v>
      </c>
      <c r="AS527" s="110">
        <v>0.0</v>
      </c>
      <c r="AT527" s="110">
        <v>0.0</v>
      </c>
      <c r="AU527" s="110">
        <v>0.0</v>
      </c>
      <c r="AV527" s="142">
        <v>0.0</v>
      </c>
      <c r="AW527" s="80">
        <f t="shared" si="6"/>
        <v>0</v>
      </c>
      <c r="AX527" s="113">
        <f t="shared" si="7"/>
        <v>722</v>
      </c>
      <c r="AY527" s="117">
        <f t="shared" si="8"/>
        <v>497</v>
      </c>
      <c r="AZ527" s="120">
        <f t="shared" si="9"/>
        <v>225</v>
      </c>
      <c r="BA527" s="115">
        <v>0.0</v>
      </c>
      <c r="BB527" s="89">
        <f t="shared" si="10"/>
        <v>722</v>
      </c>
      <c r="BC527" s="132" t="s">
        <v>178</v>
      </c>
      <c r="BD527" s="132" t="s">
        <v>178</v>
      </c>
      <c r="BE527" s="132" t="s">
        <v>178</v>
      </c>
      <c r="BF527" s="181"/>
      <c r="BG527" s="83">
        <v>1113749.0</v>
      </c>
      <c r="BH527" s="112"/>
      <c r="BI527" s="112">
        <v>8.0</v>
      </c>
      <c r="BJ527" s="98" t="s">
        <v>162</v>
      </c>
      <c r="BK527" s="99">
        <f t="shared" si="11"/>
        <v>497</v>
      </c>
      <c r="BL527" s="99">
        <f t="shared" si="12"/>
        <v>0</v>
      </c>
      <c r="BM527" s="99" t="str">
        <f>IFERROR(__xludf.DUMMYFUNCTION("IFERROR(VLOOKUP(BG527,IMPORTRANGE(""https://docs.google.com/spreadsheets/d/1juPI-Fb8LD0YtltB2mlGEnp_R3UVu1t3wSFPzgCyHXE/edit?gid=0#gid=0"",""GERAL!A2:C""),3,0),""-"")"),"-")</f>
        <v>-</v>
      </c>
    </row>
    <row r="528" ht="15.75" customHeight="1">
      <c r="A528" s="111" t="s">
        <v>605</v>
      </c>
      <c r="B528" s="83" t="s">
        <v>2180</v>
      </c>
      <c r="C528" s="83" t="s">
        <v>164</v>
      </c>
      <c r="D528" s="112">
        <v>1179368.0</v>
      </c>
      <c r="E528" s="83">
        <v>1179688.0</v>
      </c>
      <c r="F528" s="98">
        <v>2.9492319E7</v>
      </c>
      <c r="G528" s="185" t="s">
        <v>2251</v>
      </c>
      <c r="H528" s="91" t="s">
        <v>2252</v>
      </c>
      <c r="I528" s="172" t="s">
        <v>2254</v>
      </c>
      <c r="J528" s="83" t="s">
        <v>464</v>
      </c>
      <c r="K528" s="83" t="s">
        <v>168</v>
      </c>
      <c r="L528" s="83" t="s">
        <v>169</v>
      </c>
      <c r="M528" s="82" t="str">
        <f>IFERROR(__xludf.DUMMYFUNCTION("IFERROR(VLOOKUP(D528,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28" s="82" t="str">
        <f>IFERROR(__xludf.DUMMYFUNCTION("IFERROR(VLOOKUP(D528,
IMPORTRANGE(""https://docs.google.com/spreadsheets/d/1MjHtlUikwobi2MaWJgy7tfLeBmhj1u-dRFRs_8GwSoA/edit#gid=0"",""Gestores Escolares!D7:J""),4,0),""VERIFICAR CÓD SEC"")"),"(73) 9 8868-8611")</f>
        <v>(73) 9 8868-8611</v>
      </c>
      <c r="O528" s="82" t="str">
        <f>IFERROR(__xludf.DUMMYFUNCTION("IFERROR(VLOOKUP(D528,
IMPORTRANGE(""https://docs.google.com/spreadsheets/d/1MjHtlUikwobi2MaWJgy7tfLeBmhj1u-dRFRs_8GwSoA/edit#gid=0"",""Gestores Escolares!D7:J""),6,0),""VERIFICAR CÓD SEC"")"),"")</f>
        <v/>
      </c>
      <c r="P528" s="82" t="str">
        <f>IFERROR(__xludf.DUMMYFUNCTION("IFERROR(VLOOKUP(D528,
IMPORTRANGE(""https://docs.google.com/spreadsheets/d/1MjHtlUikwobi2MaWJgy7tfLeBmhj1u-dRFRs_8GwSoA/edit#gid=0"",""Gestores Escolares!D7:J""),7,0),""VERIFICAR CÓD SEC"")"),"")</f>
        <v/>
      </c>
      <c r="Q528" s="82" t="str">
        <f>IFERROR(__xludf.DUMMYFUNCTION("IFERROR(VLOOKUP(D528,
IMPORTRANGE(""https://docs.google.com/spreadsheets/d/1MjHtlUikwobi2MaWJgy7tfLeBmhj1u-dRFRs_8GwSoA/edit#gid=0"",""Gestores Escolares!D7:m""),9,0),""VERIFICAR CÓD SEC"")"),"")</f>
        <v/>
      </c>
      <c r="R528" s="82" t="str">
        <f>IFERROR(__xludf.DUMMYFUNCTION("IFERROR(VLOOKUP(D528,
IMPORTRANGE(""https://docs.google.com/spreadsheets/d/1MjHtlUikwobi2MaWJgy7tfLeBmhj1u-dRFRs_8GwSoA/edit#gid=0"",""Gestores Escolares!D7:m""),10,0),""VERIFICAR CÓD SEC"")"),"")</f>
        <v/>
      </c>
      <c r="S528" s="82"/>
      <c r="T528" s="138">
        <v>1.0</v>
      </c>
      <c r="U528" s="152">
        <v>2.0</v>
      </c>
      <c r="V528" s="106">
        <v>0.0</v>
      </c>
      <c r="W528" s="107">
        <v>10.0</v>
      </c>
      <c r="X528" s="107">
        <v>0.0</v>
      </c>
      <c r="Y528" s="107">
        <v>0.0</v>
      </c>
      <c r="Z528" s="80">
        <f t="shared" si="1"/>
        <v>10</v>
      </c>
      <c r="AA528" s="106">
        <v>7.0</v>
      </c>
      <c r="AB528" s="107">
        <v>0.0</v>
      </c>
      <c r="AC528" s="107">
        <v>0.0</v>
      </c>
      <c r="AD528" s="107">
        <v>0.0</v>
      </c>
      <c r="AE528" s="80">
        <f t="shared" si="2"/>
        <v>7</v>
      </c>
      <c r="AF528" s="140">
        <v>0.0</v>
      </c>
      <c r="AG528" s="109">
        <v>0.0</v>
      </c>
      <c r="AH528" s="109">
        <v>0.0</v>
      </c>
      <c r="AI528" s="141">
        <v>0.0</v>
      </c>
      <c r="AJ528" s="80">
        <f t="shared" si="3"/>
        <v>0</v>
      </c>
      <c r="AK528" s="140">
        <v>0.0</v>
      </c>
      <c r="AL528" s="109">
        <v>0.0</v>
      </c>
      <c r="AM528" s="141">
        <v>20.0</v>
      </c>
      <c r="AN528" s="80">
        <f t="shared" si="4"/>
        <v>20</v>
      </c>
      <c r="AO528" s="140">
        <v>0.0</v>
      </c>
      <c r="AP528" s="109">
        <v>0.0</v>
      </c>
      <c r="AQ528" s="109">
        <v>0.0</v>
      </c>
      <c r="AR528" s="80">
        <f t="shared" si="5"/>
        <v>0</v>
      </c>
      <c r="AS528" s="110">
        <v>0.0</v>
      </c>
      <c r="AT528" s="110">
        <v>0.0</v>
      </c>
      <c r="AU528" s="110">
        <v>0.0</v>
      </c>
      <c r="AV528" s="142">
        <v>0.0</v>
      </c>
      <c r="AW528" s="80">
        <f t="shared" si="6"/>
        <v>0</v>
      </c>
      <c r="AX528" s="113">
        <f t="shared" si="7"/>
        <v>37</v>
      </c>
      <c r="AY528" s="117">
        <f t="shared" si="8"/>
        <v>17</v>
      </c>
      <c r="AZ528" s="120">
        <f t="shared" si="9"/>
        <v>20</v>
      </c>
      <c r="BA528" s="115">
        <v>0.0</v>
      </c>
      <c r="BB528" s="89">
        <f t="shared" si="10"/>
        <v>37</v>
      </c>
      <c r="BC528" s="143" t="s">
        <v>1294</v>
      </c>
      <c r="BD528" s="132" t="s">
        <v>178</v>
      </c>
      <c r="BE528" s="132" t="s">
        <v>178</v>
      </c>
      <c r="BF528" s="156"/>
      <c r="BG528" s="83">
        <v>1179688.0</v>
      </c>
      <c r="BH528" s="112"/>
      <c r="BI528" s="112">
        <v>2.0</v>
      </c>
      <c r="BJ528" s="98" t="s">
        <v>155</v>
      </c>
      <c r="BK528" s="99">
        <f t="shared" si="11"/>
        <v>0</v>
      </c>
      <c r="BL528" s="99">
        <f t="shared" si="12"/>
        <v>17</v>
      </c>
      <c r="BM528" s="99" t="str">
        <f>IFERROR(__xludf.DUMMYFUNCTION("IFERROR(VLOOKUP(BG528,IMPORTRANGE(""https://docs.google.com/spreadsheets/d/1juPI-Fb8LD0YtltB2mlGEnp_R3UVu1t3wSFPzgCyHXE/edit?gid=0#gid=0"",""GERAL!A2:C""),3,0),""-"")"),"INDÍGENAS")</f>
        <v>INDÍGENAS</v>
      </c>
    </row>
    <row r="529" ht="15.75" customHeight="1">
      <c r="A529" s="111" t="s">
        <v>605</v>
      </c>
      <c r="B529" s="83" t="s">
        <v>2180</v>
      </c>
      <c r="C529" s="83" t="s">
        <v>164</v>
      </c>
      <c r="D529" s="112">
        <v>1179368.0</v>
      </c>
      <c r="E529" s="83">
        <v>1179691.0</v>
      </c>
      <c r="F529" s="98">
        <v>2.94923E7</v>
      </c>
      <c r="G529" s="185" t="s">
        <v>2259</v>
      </c>
      <c r="H529" s="91" t="s">
        <v>2260</v>
      </c>
      <c r="I529" s="172" t="s">
        <v>2201</v>
      </c>
      <c r="J529" s="83" t="s">
        <v>1012</v>
      </c>
      <c r="K529" s="83" t="s">
        <v>168</v>
      </c>
      <c r="L529" s="83" t="s">
        <v>169</v>
      </c>
      <c r="M529" s="82" t="str">
        <f>IFERROR(__xludf.DUMMYFUNCTION("IFERROR(VLOOKUP(D529,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29" s="82" t="str">
        <f>IFERROR(__xludf.DUMMYFUNCTION("IFERROR(VLOOKUP(D529,
IMPORTRANGE(""https://docs.google.com/spreadsheets/d/1MjHtlUikwobi2MaWJgy7tfLeBmhj1u-dRFRs_8GwSoA/edit#gid=0"",""Gestores Escolares!D7:J""),4,0),""VERIFICAR CÓD SEC"")"),"(73) 9 8868-8611")</f>
        <v>(73) 9 8868-8611</v>
      </c>
      <c r="O529" s="82" t="str">
        <f>IFERROR(__xludf.DUMMYFUNCTION("IFERROR(VLOOKUP(D529,
IMPORTRANGE(""https://docs.google.com/spreadsheets/d/1MjHtlUikwobi2MaWJgy7tfLeBmhj1u-dRFRs_8GwSoA/edit#gid=0"",""Gestores Escolares!D7:J""),6,0),""VERIFICAR CÓD SEC"")"),"")</f>
        <v/>
      </c>
      <c r="P529" s="82" t="str">
        <f>IFERROR(__xludf.DUMMYFUNCTION("IFERROR(VLOOKUP(D529,
IMPORTRANGE(""https://docs.google.com/spreadsheets/d/1MjHtlUikwobi2MaWJgy7tfLeBmhj1u-dRFRs_8GwSoA/edit#gid=0"",""Gestores Escolares!D7:J""),7,0),""VERIFICAR CÓD SEC"")"),"")</f>
        <v/>
      </c>
      <c r="Q529" s="82" t="str">
        <f>IFERROR(__xludf.DUMMYFUNCTION("IFERROR(VLOOKUP(D529,
IMPORTRANGE(""https://docs.google.com/spreadsheets/d/1MjHtlUikwobi2MaWJgy7tfLeBmhj1u-dRFRs_8GwSoA/edit#gid=0"",""Gestores Escolares!D7:m""),9,0),""VERIFICAR CÓD SEC"")"),"")</f>
        <v/>
      </c>
      <c r="R529" s="82" t="str">
        <f>IFERROR(__xludf.DUMMYFUNCTION("IFERROR(VLOOKUP(D529,
IMPORTRANGE(""https://docs.google.com/spreadsheets/d/1MjHtlUikwobi2MaWJgy7tfLeBmhj1u-dRFRs_8GwSoA/edit#gid=0"",""Gestores Escolares!D7:m""),10,0),""VERIFICAR CÓD SEC"")"),"")</f>
        <v/>
      </c>
      <c r="S529" s="82"/>
      <c r="T529" s="138">
        <v>7.0</v>
      </c>
      <c r="U529" s="152">
        <v>4.0</v>
      </c>
      <c r="V529" s="106">
        <v>6.0</v>
      </c>
      <c r="W529" s="107">
        <v>23.0</v>
      </c>
      <c r="X529" s="107">
        <v>0.0</v>
      </c>
      <c r="Y529" s="107">
        <v>0.0</v>
      </c>
      <c r="Z529" s="80">
        <f t="shared" si="1"/>
        <v>29</v>
      </c>
      <c r="AA529" s="106">
        <v>23.0</v>
      </c>
      <c r="AB529" s="107">
        <v>28.0</v>
      </c>
      <c r="AC529" s="107">
        <v>0.0</v>
      </c>
      <c r="AD529" s="107">
        <v>0.0</v>
      </c>
      <c r="AE529" s="80">
        <f t="shared" si="2"/>
        <v>51</v>
      </c>
      <c r="AF529" s="140">
        <v>2.0</v>
      </c>
      <c r="AG529" s="109">
        <v>9.0</v>
      </c>
      <c r="AH529" s="109">
        <v>0.0</v>
      </c>
      <c r="AI529" s="141">
        <v>0.0</v>
      </c>
      <c r="AJ529" s="80">
        <f t="shared" si="3"/>
        <v>11</v>
      </c>
      <c r="AK529" s="140">
        <v>0.0</v>
      </c>
      <c r="AL529" s="109">
        <v>0.0</v>
      </c>
      <c r="AM529" s="141">
        <v>0.0</v>
      </c>
      <c r="AN529" s="80">
        <f t="shared" si="4"/>
        <v>0</v>
      </c>
      <c r="AO529" s="140">
        <v>0.0</v>
      </c>
      <c r="AP529" s="109">
        <v>0.0</v>
      </c>
      <c r="AQ529" s="109">
        <v>0.0</v>
      </c>
      <c r="AR529" s="80">
        <f t="shared" si="5"/>
        <v>0</v>
      </c>
      <c r="AS529" s="110">
        <v>0.0</v>
      </c>
      <c r="AT529" s="110">
        <v>0.0</v>
      </c>
      <c r="AU529" s="110">
        <v>0.0</v>
      </c>
      <c r="AV529" s="142">
        <v>0.0</v>
      </c>
      <c r="AW529" s="80">
        <f t="shared" si="6"/>
        <v>0</v>
      </c>
      <c r="AX529" s="113">
        <f t="shared" si="7"/>
        <v>91</v>
      </c>
      <c r="AY529" s="117">
        <f t="shared" si="8"/>
        <v>91</v>
      </c>
      <c r="AZ529" s="120">
        <f t="shared" si="9"/>
        <v>0</v>
      </c>
      <c r="BA529" s="115">
        <v>0.0</v>
      </c>
      <c r="BB529" s="89">
        <f t="shared" si="10"/>
        <v>91</v>
      </c>
      <c r="BC529" s="143" t="s">
        <v>1294</v>
      </c>
      <c r="BD529" s="132" t="s">
        <v>178</v>
      </c>
      <c r="BE529" s="132" t="s">
        <v>178</v>
      </c>
      <c r="BF529" s="156"/>
      <c r="BG529" s="83">
        <v>1179691.0</v>
      </c>
      <c r="BH529" s="112"/>
      <c r="BI529" s="112">
        <v>4.0</v>
      </c>
      <c r="BJ529" s="98" t="s">
        <v>155</v>
      </c>
      <c r="BK529" s="99">
        <f t="shared" si="11"/>
        <v>0</v>
      </c>
      <c r="BL529" s="99">
        <f t="shared" si="12"/>
        <v>91</v>
      </c>
      <c r="BM529" s="99" t="str">
        <f>IFERROR(__xludf.DUMMYFUNCTION("IFERROR(VLOOKUP(BG529,IMPORTRANGE(""https://docs.google.com/spreadsheets/d/1juPI-Fb8LD0YtltB2mlGEnp_R3UVu1t3wSFPzgCyHXE/edit?gid=0#gid=0"",""GERAL!A2:C""),3,0),""-"")"),"INDÍGENAS")</f>
        <v>INDÍGENAS</v>
      </c>
    </row>
    <row r="530" ht="15.75" customHeight="1">
      <c r="A530" s="111" t="s">
        <v>605</v>
      </c>
      <c r="B530" s="83" t="s">
        <v>2180</v>
      </c>
      <c r="C530" s="83" t="s">
        <v>164</v>
      </c>
      <c r="D530" s="112">
        <v>1178223.0</v>
      </c>
      <c r="E530" s="83">
        <v>1179613.0</v>
      </c>
      <c r="F530" s="98">
        <v>2.9492254E7</v>
      </c>
      <c r="G530" s="290" t="s">
        <v>2267</v>
      </c>
      <c r="H530" s="91" t="s">
        <v>2268</v>
      </c>
      <c r="I530" s="83" t="s">
        <v>149</v>
      </c>
      <c r="J530" s="83" t="s">
        <v>327</v>
      </c>
      <c r="K530" s="83" t="s">
        <v>168</v>
      </c>
      <c r="L530" s="83" t="s">
        <v>169</v>
      </c>
      <c r="M530" s="82" t="str">
        <f>IFERROR(__xludf.DUMMYFUNCTION("IFERROR(VLOOKUP(D530,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0" s="82" t="str">
        <f>IFERROR(__xludf.DUMMYFUNCTION("IFERROR(VLOOKUP(D530,
IMPORTRANGE(""https://docs.google.com/spreadsheets/d/1MjHtlUikwobi2MaWJgy7tfLeBmhj1u-dRFRs_8GwSoA/edit#gid=0"",""Gestores Escolares!D7:J""),4,0),""VERIFICAR CÓD SEC"")"),"(73) 9 8868-8611")</f>
        <v>(73) 9 8868-8611</v>
      </c>
      <c r="O530" s="82" t="str">
        <f>IFERROR(__xludf.DUMMYFUNCTION("IFERROR(VLOOKUP(D530,
IMPORTRANGE(""https://docs.google.com/spreadsheets/d/1MjHtlUikwobi2MaWJgy7tfLeBmhj1u-dRFRs_8GwSoA/edit#gid=0"",""Gestores Escolares!D7:J""),6,0),""VERIFICAR CÓD SEC"")"),"")</f>
        <v/>
      </c>
      <c r="P530" s="82" t="str">
        <f>IFERROR(__xludf.DUMMYFUNCTION("IFERROR(VLOOKUP(D530,
IMPORTRANGE(""https://docs.google.com/spreadsheets/d/1MjHtlUikwobi2MaWJgy7tfLeBmhj1u-dRFRs_8GwSoA/edit#gid=0"",""Gestores Escolares!D7:J""),7,0),""VERIFICAR CÓD SEC"")"),"")</f>
        <v/>
      </c>
      <c r="Q530" s="82" t="str">
        <f>IFERROR(__xludf.DUMMYFUNCTION("IFERROR(VLOOKUP(D530,
IMPORTRANGE(""https://docs.google.com/spreadsheets/d/1MjHtlUikwobi2MaWJgy7tfLeBmhj1u-dRFRs_8GwSoA/edit#gid=0"",""Gestores Escolares!D7:m""),9,0),""VERIFICAR CÓD SEC"")"),"")</f>
        <v/>
      </c>
      <c r="R530" s="82" t="str">
        <f>IFERROR(__xludf.DUMMYFUNCTION("IFERROR(VLOOKUP(D530,
IMPORTRANGE(""https://docs.google.com/spreadsheets/d/1MjHtlUikwobi2MaWJgy7tfLeBmhj1u-dRFRs_8GwSoA/edit#gid=0"",""Gestores Escolares!D7:m""),10,0),""VERIFICAR CÓD SEC"")"),"")</f>
        <v/>
      </c>
      <c r="S530" s="82"/>
      <c r="T530" s="138">
        <v>5.0</v>
      </c>
      <c r="U530" s="152">
        <v>4.0</v>
      </c>
      <c r="V530" s="106">
        <v>5.0</v>
      </c>
      <c r="W530" s="107">
        <v>7.0</v>
      </c>
      <c r="X530" s="107">
        <v>0.0</v>
      </c>
      <c r="Y530" s="107">
        <v>0.0</v>
      </c>
      <c r="Z530" s="80">
        <f t="shared" si="1"/>
        <v>12</v>
      </c>
      <c r="AA530" s="106">
        <v>22.0</v>
      </c>
      <c r="AB530" s="107">
        <v>40.0</v>
      </c>
      <c r="AC530" s="107">
        <v>0.0</v>
      </c>
      <c r="AD530" s="107">
        <v>0.0</v>
      </c>
      <c r="AE530" s="80">
        <f t="shared" si="2"/>
        <v>62</v>
      </c>
      <c r="AF530" s="140">
        <v>9.0</v>
      </c>
      <c r="AG530" s="109">
        <v>0.0</v>
      </c>
      <c r="AH530" s="109">
        <v>0.0</v>
      </c>
      <c r="AI530" s="141">
        <v>0.0</v>
      </c>
      <c r="AJ530" s="80">
        <f t="shared" si="3"/>
        <v>9</v>
      </c>
      <c r="AK530" s="140">
        <v>0.0</v>
      </c>
      <c r="AL530" s="109">
        <v>0.0</v>
      </c>
      <c r="AM530" s="141">
        <v>2.0</v>
      </c>
      <c r="AN530" s="80">
        <f t="shared" si="4"/>
        <v>2</v>
      </c>
      <c r="AO530" s="140">
        <v>0.0</v>
      </c>
      <c r="AP530" s="109">
        <v>0.0</v>
      </c>
      <c r="AQ530" s="109">
        <v>0.0</v>
      </c>
      <c r="AR530" s="80">
        <f t="shared" si="5"/>
        <v>0</v>
      </c>
      <c r="AS530" s="110">
        <v>0.0</v>
      </c>
      <c r="AT530" s="110">
        <v>0.0</v>
      </c>
      <c r="AU530" s="110">
        <v>0.0</v>
      </c>
      <c r="AV530" s="142">
        <v>0.0</v>
      </c>
      <c r="AW530" s="80">
        <f t="shared" si="6"/>
        <v>0</v>
      </c>
      <c r="AX530" s="113">
        <f t="shared" si="7"/>
        <v>85</v>
      </c>
      <c r="AY530" s="117">
        <f t="shared" si="8"/>
        <v>83</v>
      </c>
      <c r="AZ530" s="120">
        <f t="shared" si="9"/>
        <v>2</v>
      </c>
      <c r="BA530" s="115">
        <v>0.0</v>
      </c>
      <c r="BB530" s="89">
        <f t="shared" si="10"/>
        <v>85</v>
      </c>
      <c r="BC530" s="143" t="s">
        <v>1294</v>
      </c>
      <c r="BD530" s="132" t="s">
        <v>178</v>
      </c>
      <c r="BE530" s="132" t="s">
        <v>178</v>
      </c>
      <c r="BF530" s="156"/>
      <c r="BG530" s="83">
        <v>1179613.0</v>
      </c>
      <c r="BH530" s="112"/>
      <c r="BI530" s="112">
        <v>4.0</v>
      </c>
      <c r="BJ530" s="98" t="s">
        <v>155</v>
      </c>
      <c r="BK530" s="99">
        <f t="shared" si="11"/>
        <v>0</v>
      </c>
      <c r="BL530" s="99">
        <f t="shared" si="12"/>
        <v>83</v>
      </c>
      <c r="BM530" s="99" t="str">
        <f>IFERROR(__xludf.DUMMYFUNCTION("IFERROR(VLOOKUP(BG530,IMPORTRANGE(""https://docs.google.com/spreadsheets/d/1juPI-Fb8LD0YtltB2mlGEnp_R3UVu1t3wSFPzgCyHXE/edit?gid=0#gid=0"",""GERAL!A2:C""),3,0),""-"")"),"INDÍGENAS")</f>
        <v>INDÍGENAS</v>
      </c>
    </row>
    <row r="531" ht="15.75" customHeight="1">
      <c r="A531" s="111" t="s">
        <v>605</v>
      </c>
      <c r="B531" s="83" t="s">
        <v>2180</v>
      </c>
      <c r="C531" s="83" t="s">
        <v>164</v>
      </c>
      <c r="D531" s="112">
        <v>1178223.0</v>
      </c>
      <c r="E531" s="83">
        <v>1179611.0</v>
      </c>
      <c r="F531" s="98">
        <v>2.9492246E7</v>
      </c>
      <c r="G531" s="185" t="s">
        <v>2272</v>
      </c>
      <c r="H531" s="91" t="s">
        <v>2273</v>
      </c>
      <c r="I531" s="83" t="s">
        <v>149</v>
      </c>
      <c r="J531" s="83" t="s">
        <v>664</v>
      </c>
      <c r="K531" s="83" t="s">
        <v>168</v>
      </c>
      <c r="L531" s="83" t="s">
        <v>169</v>
      </c>
      <c r="M531" s="82" t="str">
        <f>IFERROR(__xludf.DUMMYFUNCTION("IFERROR(VLOOKUP(D531,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1" s="82" t="str">
        <f>IFERROR(__xludf.DUMMYFUNCTION("IFERROR(VLOOKUP(D531,
IMPORTRANGE(""https://docs.google.com/spreadsheets/d/1MjHtlUikwobi2MaWJgy7tfLeBmhj1u-dRFRs_8GwSoA/edit#gid=0"",""Gestores Escolares!D7:J""),4,0),""VERIFICAR CÓD SEC"")"),"(73) 9 8868-8611")</f>
        <v>(73) 9 8868-8611</v>
      </c>
      <c r="O531" s="82" t="str">
        <f>IFERROR(__xludf.DUMMYFUNCTION("IFERROR(VLOOKUP(D531,
IMPORTRANGE(""https://docs.google.com/spreadsheets/d/1MjHtlUikwobi2MaWJgy7tfLeBmhj1u-dRFRs_8GwSoA/edit#gid=0"",""Gestores Escolares!D7:J""),6,0),""VERIFICAR CÓD SEC"")"),"")</f>
        <v/>
      </c>
      <c r="P531" s="82" t="str">
        <f>IFERROR(__xludf.DUMMYFUNCTION("IFERROR(VLOOKUP(D531,
IMPORTRANGE(""https://docs.google.com/spreadsheets/d/1MjHtlUikwobi2MaWJgy7tfLeBmhj1u-dRFRs_8GwSoA/edit#gid=0"",""Gestores Escolares!D7:J""),7,0),""VERIFICAR CÓD SEC"")"),"")</f>
        <v/>
      </c>
      <c r="Q531" s="82" t="str">
        <f>IFERROR(__xludf.DUMMYFUNCTION("IFERROR(VLOOKUP(D531,
IMPORTRANGE(""https://docs.google.com/spreadsheets/d/1MjHtlUikwobi2MaWJgy7tfLeBmhj1u-dRFRs_8GwSoA/edit#gid=0"",""Gestores Escolares!D7:m""),9,0),""VERIFICAR CÓD SEC"")"),"")</f>
        <v/>
      </c>
      <c r="R531" s="82" t="str">
        <f>IFERROR(__xludf.DUMMYFUNCTION("IFERROR(VLOOKUP(D531,
IMPORTRANGE(""https://docs.google.com/spreadsheets/d/1MjHtlUikwobi2MaWJgy7tfLeBmhj1u-dRFRs_8GwSoA/edit#gid=0"",""Gestores Escolares!D7:m""),10,0),""VERIFICAR CÓD SEC"")"),"")</f>
        <v/>
      </c>
      <c r="S531" s="82"/>
      <c r="T531" s="138">
        <v>3.0</v>
      </c>
      <c r="U531" s="152">
        <v>2.0</v>
      </c>
      <c r="V531" s="106">
        <v>13.0</v>
      </c>
      <c r="W531" s="107">
        <v>0.0</v>
      </c>
      <c r="X531" s="107">
        <v>0.0</v>
      </c>
      <c r="Y531" s="107">
        <v>0.0</v>
      </c>
      <c r="Z531" s="80">
        <f t="shared" si="1"/>
        <v>13</v>
      </c>
      <c r="AA531" s="106">
        <v>8.0</v>
      </c>
      <c r="AB531" s="107">
        <v>12.0</v>
      </c>
      <c r="AC531" s="107">
        <v>0.0</v>
      </c>
      <c r="AD531" s="107">
        <v>0.0</v>
      </c>
      <c r="AE531" s="80">
        <f t="shared" si="2"/>
        <v>20</v>
      </c>
      <c r="AF531" s="140">
        <v>0.0</v>
      </c>
      <c r="AG531" s="109">
        <v>0.0</v>
      </c>
      <c r="AH531" s="109">
        <v>0.0</v>
      </c>
      <c r="AI531" s="141">
        <v>0.0</v>
      </c>
      <c r="AJ531" s="80">
        <f t="shared" si="3"/>
        <v>0</v>
      </c>
      <c r="AK531" s="140">
        <v>0.0</v>
      </c>
      <c r="AL531" s="109">
        <v>0.0</v>
      </c>
      <c r="AM531" s="141">
        <v>31.0</v>
      </c>
      <c r="AN531" s="80">
        <f t="shared" si="4"/>
        <v>31</v>
      </c>
      <c r="AO531" s="140">
        <v>0.0</v>
      </c>
      <c r="AP531" s="109">
        <v>0.0</v>
      </c>
      <c r="AQ531" s="109">
        <v>4.0</v>
      </c>
      <c r="AR531" s="80">
        <f t="shared" si="5"/>
        <v>4</v>
      </c>
      <c r="AS531" s="110">
        <v>0.0</v>
      </c>
      <c r="AT531" s="110">
        <v>0.0</v>
      </c>
      <c r="AU531" s="110">
        <v>0.0</v>
      </c>
      <c r="AV531" s="142">
        <v>0.0</v>
      </c>
      <c r="AW531" s="80">
        <f t="shared" si="6"/>
        <v>0</v>
      </c>
      <c r="AX531" s="113">
        <f t="shared" si="7"/>
        <v>68</v>
      </c>
      <c r="AY531" s="117">
        <f t="shared" si="8"/>
        <v>33</v>
      </c>
      <c r="AZ531" s="120">
        <f t="shared" si="9"/>
        <v>35</v>
      </c>
      <c r="BA531" s="115">
        <v>0.0</v>
      </c>
      <c r="BB531" s="89">
        <f t="shared" si="10"/>
        <v>68</v>
      </c>
      <c r="BC531" s="143" t="s">
        <v>1294</v>
      </c>
      <c r="BD531" s="132" t="s">
        <v>178</v>
      </c>
      <c r="BE531" s="132" t="s">
        <v>178</v>
      </c>
      <c r="BF531" s="156" t="s">
        <v>632</v>
      </c>
      <c r="BG531" s="83">
        <v>1179611.0</v>
      </c>
      <c r="BH531" s="112"/>
      <c r="BI531" s="112">
        <v>2.0</v>
      </c>
      <c r="BJ531" s="98" t="s">
        <v>155</v>
      </c>
      <c r="BK531" s="99">
        <f t="shared" si="11"/>
        <v>0</v>
      </c>
      <c r="BL531" s="99">
        <f t="shared" si="12"/>
        <v>33</v>
      </c>
      <c r="BM531" s="99" t="str">
        <f>IFERROR(__xludf.DUMMYFUNCTION("IFERROR(VLOOKUP(BG531,IMPORTRANGE(""https://docs.google.com/spreadsheets/d/1juPI-Fb8LD0YtltB2mlGEnp_R3UVu1t3wSFPzgCyHXE/edit?gid=0#gid=0"",""GERAL!A2:C""),3,0),""-"")"),"INDÍGENAS")</f>
        <v>INDÍGENAS</v>
      </c>
    </row>
    <row r="532" ht="15.75" customHeight="1">
      <c r="A532" s="111" t="s">
        <v>605</v>
      </c>
      <c r="B532" s="83" t="s">
        <v>2180</v>
      </c>
      <c r="C532" s="83" t="s">
        <v>164</v>
      </c>
      <c r="D532" s="112">
        <v>1178223.0</v>
      </c>
      <c r="E532" s="83">
        <v>1179616.0</v>
      </c>
      <c r="F532" s="98">
        <v>2.9492238E7</v>
      </c>
      <c r="G532" s="185" t="s">
        <v>2280</v>
      </c>
      <c r="H532" s="91" t="s">
        <v>2281</v>
      </c>
      <c r="I532" s="146" t="s">
        <v>149</v>
      </c>
      <c r="J532" s="83" t="s">
        <v>672</v>
      </c>
      <c r="K532" s="83" t="s">
        <v>168</v>
      </c>
      <c r="L532" s="83" t="s">
        <v>169</v>
      </c>
      <c r="M532" s="82" t="str">
        <f>IFERROR(__xludf.DUMMYFUNCTION("IFERROR(VLOOKUP(D532,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2" s="82" t="str">
        <f>IFERROR(__xludf.DUMMYFUNCTION("IFERROR(VLOOKUP(D532,
IMPORTRANGE(""https://docs.google.com/spreadsheets/d/1MjHtlUikwobi2MaWJgy7tfLeBmhj1u-dRFRs_8GwSoA/edit#gid=0"",""Gestores Escolares!D7:J""),4,0),""VERIFICAR CÓD SEC"")"),"(73) 9 8868-8611")</f>
        <v>(73) 9 8868-8611</v>
      </c>
      <c r="O532" s="82" t="str">
        <f>IFERROR(__xludf.DUMMYFUNCTION("IFERROR(VLOOKUP(D532,
IMPORTRANGE(""https://docs.google.com/spreadsheets/d/1MjHtlUikwobi2MaWJgy7tfLeBmhj1u-dRFRs_8GwSoA/edit#gid=0"",""Gestores Escolares!D7:J""),6,0),""VERIFICAR CÓD SEC"")"),"")</f>
        <v/>
      </c>
      <c r="P532" s="82" t="str">
        <f>IFERROR(__xludf.DUMMYFUNCTION("IFERROR(VLOOKUP(D532,
IMPORTRANGE(""https://docs.google.com/spreadsheets/d/1MjHtlUikwobi2MaWJgy7tfLeBmhj1u-dRFRs_8GwSoA/edit#gid=0"",""Gestores Escolares!D7:J""),7,0),""VERIFICAR CÓD SEC"")"),"")</f>
        <v/>
      </c>
      <c r="Q532" s="82" t="str">
        <f>IFERROR(__xludf.DUMMYFUNCTION("IFERROR(VLOOKUP(D532,
IMPORTRANGE(""https://docs.google.com/spreadsheets/d/1MjHtlUikwobi2MaWJgy7tfLeBmhj1u-dRFRs_8GwSoA/edit#gid=0"",""Gestores Escolares!D7:m""),9,0),""VERIFICAR CÓD SEC"")"),"")</f>
        <v/>
      </c>
      <c r="R532" s="82" t="str">
        <f>IFERROR(__xludf.DUMMYFUNCTION("IFERROR(VLOOKUP(D532,
IMPORTRANGE(""https://docs.google.com/spreadsheets/d/1MjHtlUikwobi2MaWJgy7tfLeBmhj1u-dRFRs_8GwSoA/edit#gid=0"",""Gestores Escolares!D7:m""),10,0),""VERIFICAR CÓD SEC"")"),"")</f>
        <v/>
      </c>
      <c r="S532" s="82"/>
      <c r="T532" s="138">
        <v>5.0</v>
      </c>
      <c r="U532" s="152">
        <v>3.0</v>
      </c>
      <c r="V532" s="106">
        <v>3.0</v>
      </c>
      <c r="W532" s="107">
        <v>7.0</v>
      </c>
      <c r="X532" s="107">
        <v>0.0</v>
      </c>
      <c r="Y532" s="107">
        <v>0.0</v>
      </c>
      <c r="Z532" s="80">
        <f t="shared" si="1"/>
        <v>10</v>
      </c>
      <c r="AA532" s="106">
        <v>14.0</v>
      </c>
      <c r="AB532" s="107">
        <v>17.0</v>
      </c>
      <c r="AC532" s="107">
        <v>0.0</v>
      </c>
      <c r="AD532" s="107">
        <v>0.0</v>
      </c>
      <c r="AE532" s="80">
        <f t="shared" si="2"/>
        <v>31</v>
      </c>
      <c r="AF532" s="140">
        <v>0.0</v>
      </c>
      <c r="AG532" s="109">
        <v>0.0</v>
      </c>
      <c r="AH532" s="109">
        <v>0.0</v>
      </c>
      <c r="AI532" s="141">
        <v>0.0</v>
      </c>
      <c r="AJ532" s="80">
        <f t="shared" si="3"/>
        <v>0</v>
      </c>
      <c r="AK532" s="140">
        <v>0.0</v>
      </c>
      <c r="AL532" s="109">
        <v>0.0</v>
      </c>
      <c r="AM532" s="141">
        <v>16.0</v>
      </c>
      <c r="AN532" s="80">
        <f t="shared" si="4"/>
        <v>16</v>
      </c>
      <c r="AO532" s="140">
        <v>0.0</v>
      </c>
      <c r="AP532" s="109">
        <v>0.0</v>
      </c>
      <c r="AQ532" s="109">
        <v>8.0</v>
      </c>
      <c r="AR532" s="80">
        <f t="shared" si="5"/>
        <v>8</v>
      </c>
      <c r="AS532" s="110">
        <v>0.0</v>
      </c>
      <c r="AT532" s="110">
        <v>0.0</v>
      </c>
      <c r="AU532" s="110">
        <v>0.0</v>
      </c>
      <c r="AV532" s="142">
        <v>0.0</v>
      </c>
      <c r="AW532" s="80">
        <f t="shared" si="6"/>
        <v>0</v>
      </c>
      <c r="AX532" s="113">
        <f t="shared" si="7"/>
        <v>65</v>
      </c>
      <c r="AY532" s="117">
        <f t="shared" si="8"/>
        <v>41</v>
      </c>
      <c r="AZ532" s="120">
        <f t="shared" si="9"/>
        <v>24</v>
      </c>
      <c r="BA532" s="115">
        <v>0.0</v>
      </c>
      <c r="BB532" s="89">
        <f t="shared" si="10"/>
        <v>65</v>
      </c>
      <c r="BC532" s="143" t="s">
        <v>1294</v>
      </c>
      <c r="BD532" s="132" t="s">
        <v>178</v>
      </c>
      <c r="BE532" s="132" t="s">
        <v>178</v>
      </c>
      <c r="BF532" s="156" t="s">
        <v>632</v>
      </c>
      <c r="BG532" s="83">
        <v>1179616.0</v>
      </c>
      <c r="BH532" s="112"/>
      <c r="BI532" s="112">
        <v>3.0</v>
      </c>
      <c r="BJ532" s="98" t="s">
        <v>155</v>
      </c>
      <c r="BK532" s="99">
        <f t="shared" si="11"/>
        <v>0</v>
      </c>
      <c r="BL532" s="99">
        <f t="shared" si="12"/>
        <v>41</v>
      </c>
      <c r="BM532" s="99" t="str">
        <f>IFERROR(__xludf.DUMMYFUNCTION("IFERROR(VLOOKUP(BG532,IMPORTRANGE(""https://docs.google.com/spreadsheets/d/1juPI-Fb8LD0YtltB2mlGEnp_R3UVu1t3wSFPzgCyHXE/edit?gid=0#gid=0"",""GERAL!A2:C""),3,0),""-"")"),"INDÍGENAS")</f>
        <v>INDÍGENAS</v>
      </c>
    </row>
    <row r="533" ht="15.75" customHeight="1">
      <c r="A533" s="111" t="s">
        <v>605</v>
      </c>
      <c r="B533" s="83" t="s">
        <v>2180</v>
      </c>
      <c r="C533" s="83" t="s">
        <v>164</v>
      </c>
      <c r="D533" s="112">
        <v>1178223.0</v>
      </c>
      <c r="E533" s="83">
        <v>1179614.0</v>
      </c>
      <c r="F533" s="98">
        <v>2.949222E7</v>
      </c>
      <c r="G533" s="185" t="s">
        <v>2285</v>
      </c>
      <c r="H533" s="91" t="s">
        <v>2286</v>
      </c>
      <c r="I533" s="83" t="s">
        <v>149</v>
      </c>
      <c r="J533" s="83" t="s">
        <v>1645</v>
      </c>
      <c r="K533" s="83" t="s">
        <v>168</v>
      </c>
      <c r="L533" s="83" t="s">
        <v>169</v>
      </c>
      <c r="M533" s="82" t="str">
        <f>IFERROR(__xludf.DUMMYFUNCTION("IFERROR(VLOOKUP(D533,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3" s="82" t="str">
        <f>IFERROR(__xludf.DUMMYFUNCTION("IFERROR(VLOOKUP(D533,
IMPORTRANGE(""https://docs.google.com/spreadsheets/d/1MjHtlUikwobi2MaWJgy7tfLeBmhj1u-dRFRs_8GwSoA/edit#gid=0"",""Gestores Escolares!D7:J""),4,0),""VERIFICAR CÓD SEC"")"),"(73) 9 8868-8611")</f>
        <v>(73) 9 8868-8611</v>
      </c>
      <c r="O533" s="82" t="str">
        <f>IFERROR(__xludf.DUMMYFUNCTION("IFERROR(VLOOKUP(D533,
IMPORTRANGE(""https://docs.google.com/spreadsheets/d/1MjHtlUikwobi2MaWJgy7tfLeBmhj1u-dRFRs_8GwSoA/edit#gid=0"",""Gestores Escolares!D7:J""),6,0),""VERIFICAR CÓD SEC"")"),"")</f>
        <v/>
      </c>
      <c r="P533" s="82" t="str">
        <f>IFERROR(__xludf.DUMMYFUNCTION("IFERROR(VLOOKUP(D533,
IMPORTRANGE(""https://docs.google.com/spreadsheets/d/1MjHtlUikwobi2MaWJgy7tfLeBmhj1u-dRFRs_8GwSoA/edit#gid=0"",""Gestores Escolares!D7:J""),7,0),""VERIFICAR CÓD SEC"")"),"")</f>
        <v/>
      </c>
      <c r="Q533" s="82" t="str">
        <f>IFERROR(__xludf.DUMMYFUNCTION("IFERROR(VLOOKUP(D533,
IMPORTRANGE(""https://docs.google.com/spreadsheets/d/1MjHtlUikwobi2MaWJgy7tfLeBmhj1u-dRFRs_8GwSoA/edit#gid=0"",""Gestores Escolares!D7:m""),9,0),""VERIFICAR CÓD SEC"")"),"")</f>
        <v/>
      </c>
      <c r="R533" s="82" t="str">
        <f>IFERROR(__xludf.DUMMYFUNCTION("IFERROR(VLOOKUP(D533,
IMPORTRANGE(""https://docs.google.com/spreadsheets/d/1MjHtlUikwobi2MaWJgy7tfLeBmhj1u-dRFRs_8GwSoA/edit#gid=0"",""Gestores Escolares!D7:m""),10,0),""VERIFICAR CÓD SEC"")"),"")</f>
        <v/>
      </c>
      <c r="S533" s="82"/>
      <c r="T533" s="138">
        <v>8.0</v>
      </c>
      <c r="U533" s="152">
        <v>5.0</v>
      </c>
      <c r="V533" s="106">
        <v>0.0</v>
      </c>
      <c r="W533" s="107">
        <v>37.0</v>
      </c>
      <c r="X533" s="107">
        <v>0.0</v>
      </c>
      <c r="Y533" s="107">
        <v>0.0</v>
      </c>
      <c r="Z533" s="80">
        <f t="shared" si="1"/>
        <v>37</v>
      </c>
      <c r="AA533" s="106">
        <v>68.0</v>
      </c>
      <c r="AB533" s="107">
        <v>58.0</v>
      </c>
      <c r="AC533" s="107">
        <v>0.0</v>
      </c>
      <c r="AD533" s="107">
        <v>0.0</v>
      </c>
      <c r="AE533" s="80">
        <f t="shared" si="2"/>
        <v>126</v>
      </c>
      <c r="AF533" s="140">
        <v>0.0</v>
      </c>
      <c r="AG533" s="109">
        <v>15.0</v>
      </c>
      <c r="AH533" s="109">
        <v>0.0</v>
      </c>
      <c r="AI533" s="141">
        <v>0.0</v>
      </c>
      <c r="AJ533" s="80">
        <f t="shared" si="3"/>
        <v>15</v>
      </c>
      <c r="AK533" s="140">
        <v>0.0</v>
      </c>
      <c r="AL533" s="109">
        <v>0.0</v>
      </c>
      <c r="AM533" s="141">
        <v>23.0</v>
      </c>
      <c r="AN533" s="80">
        <f t="shared" si="4"/>
        <v>23</v>
      </c>
      <c r="AO533" s="140">
        <v>0.0</v>
      </c>
      <c r="AP533" s="109">
        <v>0.0</v>
      </c>
      <c r="AQ533" s="109">
        <v>25.0</v>
      </c>
      <c r="AR533" s="80">
        <f t="shared" si="5"/>
        <v>25</v>
      </c>
      <c r="AS533" s="110">
        <v>0.0</v>
      </c>
      <c r="AT533" s="110">
        <v>0.0</v>
      </c>
      <c r="AU533" s="110">
        <v>0.0</v>
      </c>
      <c r="AV533" s="142">
        <v>0.0</v>
      </c>
      <c r="AW533" s="80">
        <f t="shared" si="6"/>
        <v>0</v>
      </c>
      <c r="AX533" s="113">
        <f t="shared" si="7"/>
        <v>226</v>
      </c>
      <c r="AY533" s="117">
        <f t="shared" si="8"/>
        <v>178</v>
      </c>
      <c r="AZ533" s="120">
        <f t="shared" si="9"/>
        <v>48</v>
      </c>
      <c r="BA533" s="115">
        <v>0.0</v>
      </c>
      <c r="BB533" s="89">
        <f t="shared" si="10"/>
        <v>226</v>
      </c>
      <c r="BC533" s="143" t="s">
        <v>1294</v>
      </c>
      <c r="BD533" s="132" t="s">
        <v>178</v>
      </c>
      <c r="BE533" s="132" t="s">
        <v>178</v>
      </c>
      <c r="BF533" s="156"/>
      <c r="BG533" s="83">
        <v>1179614.0</v>
      </c>
      <c r="BH533" s="112"/>
      <c r="BI533" s="112">
        <v>5.0</v>
      </c>
      <c r="BJ533" s="98" t="s">
        <v>155</v>
      </c>
      <c r="BK533" s="99">
        <f t="shared" si="11"/>
        <v>0</v>
      </c>
      <c r="BL533" s="99">
        <f t="shared" si="12"/>
        <v>178</v>
      </c>
      <c r="BM533" s="99" t="str">
        <f>IFERROR(__xludf.DUMMYFUNCTION("IFERROR(VLOOKUP(BG533,IMPORTRANGE(""https://docs.google.com/spreadsheets/d/1juPI-Fb8LD0YtltB2mlGEnp_R3UVu1t3wSFPzgCyHXE/edit?gid=0#gid=0"",""GERAL!A2:C""),3,0),""-"")"),"INDÍGENAS")</f>
        <v>INDÍGENAS</v>
      </c>
    </row>
    <row r="534" ht="15.75" customHeight="1">
      <c r="A534" s="111" t="s">
        <v>605</v>
      </c>
      <c r="B534" s="83" t="s">
        <v>2180</v>
      </c>
      <c r="C534" s="83" t="s">
        <v>164</v>
      </c>
      <c r="D534" s="112">
        <v>1178223.0</v>
      </c>
      <c r="E534" s="83">
        <v>1179612.0</v>
      </c>
      <c r="F534" s="98">
        <v>2.9492211E7</v>
      </c>
      <c r="G534" s="185" t="s">
        <v>2290</v>
      </c>
      <c r="H534" s="91" t="s">
        <v>2291</v>
      </c>
      <c r="I534" s="83" t="s">
        <v>149</v>
      </c>
      <c r="J534" s="83" t="s">
        <v>1645</v>
      </c>
      <c r="K534" s="83" t="s">
        <v>168</v>
      </c>
      <c r="L534" s="83" t="s">
        <v>169</v>
      </c>
      <c r="M534" s="82" t="str">
        <f>IFERROR(__xludf.DUMMYFUNCTION("IFERROR(VLOOKUP(D534,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4" s="82" t="str">
        <f>IFERROR(__xludf.DUMMYFUNCTION("IFERROR(VLOOKUP(D534,
IMPORTRANGE(""https://docs.google.com/spreadsheets/d/1MjHtlUikwobi2MaWJgy7tfLeBmhj1u-dRFRs_8GwSoA/edit#gid=0"",""Gestores Escolares!D7:J""),4,0),""VERIFICAR CÓD SEC"")"),"(73) 9 8868-8611")</f>
        <v>(73) 9 8868-8611</v>
      </c>
      <c r="O534" s="82" t="str">
        <f>IFERROR(__xludf.DUMMYFUNCTION("IFERROR(VLOOKUP(D534,
IMPORTRANGE(""https://docs.google.com/spreadsheets/d/1MjHtlUikwobi2MaWJgy7tfLeBmhj1u-dRFRs_8GwSoA/edit#gid=0"",""Gestores Escolares!D7:J""),6,0),""VERIFICAR CÓD SEC"")"),"")</f>
        <v/>
      </c>
      <c r="P534" s="82" t="str">
        <f>IFERROR(__xludf.DUMMYFUNCTION("IFERROR(VLOOKUP(D534,
IMPORTRANGE(""https://docs.google.com/spreadsheets/d/1MjHtlUikwobi2MaWJgy7tfLeBmhj1u-dRFRs_8GwSoA/edit#gid=0"",""Gestores Escolares!D7:J""),7,0),""VERIFICAR CÓD SEC"")"),"")</f>
        <v/>
      </c>
      <c r="Q534" s="82" t="str">
        <f>IFERROR(__xludf.DUMMYFUNCTION("IFERROR(VLOOKUP(D534,
IMPORTRANGE(""https://docs.google.com/spreadsheets/d/1MjHtlUikwobi2MaWJgy7tfLeBmhj1u-dRFRs_8GwSoA/edit#gid=0"",""Gestores Escolares!D7:m""),9,0),""VERIFICAR CÓD SEC"")"),"")</f>
        <v/>
      </c>
      <c r="R534" s="82" t="str">
        <f>IFERROR(__xludf.DUMMYFUNCTION("IFERROR(VLOOKUP(D534,
IMPORTRANGE(""https://docs.google.com/spreadsheets/d/1MjHtlUikwobi2MaWJgy7tfLeBmhj1u-dRFRs_8GwSoA/edit#gid=0"",""Gestores Escolares!D7:m""),10,0),""VERIFICAR CÓD SEC"")"),"")</f>
        <v/>
      </c>
      <c r="S534" s="82"/>
      <c r="T534" s="138">
        <v>3.0</v>
      </c>
      <c r="U534" s="152">
        <v>2.0</v>
      </c>
      <c r="V534" s="106">
        <v>0.0</v>
      </c>
      <c r="W534" s="107">
        <v>13.0</v>
      </c>
      <c r="X534" s="107">
        <v>0.0</v>
      </c>
      <c r="Y534" s="107">
        <v>0.0</v>
      </c>
      <c r="Z534" s="80">
        <f t="shared" si="1"/>
        <v>13</v>
      </c>
      <c r="AA534" s="106">
        <v>30.0</v>
      </c>
      <c r="AB534" s="107">
        <v>24.0</v>
      </c>
      <c r="AC534" s="107">
        <v>0.0</v>
      </c>
      <c r="AD534" s="107">
        <v>0.0</v>
      </c>
      <c r="AE534" s="80">
        <f t="shared" si="2"/>
        <v>54</v>
      </c>
      <c r="AF534" s="140">
        <v>0.0</v>
      </c>
      <c r="AG534" s="109">
        <v>0.0</v>
      </c>
      <c r="AH534" s="109">
        <v>0.0</v>
      </c>
      <c r="AI534" s="141">
        <v>0.0</v>
      </c>
      <c r="AJ534" s="80">
        <f t="shared" si="3"/>
        <v>0</v>
      </c>
      <c r="AK534" s="140">
        <v>0.0</v>
      </c>
      <c r="AL534" s="109">
        <v>0.0</v>
      </c>
      <c r="AM534" s="141">
        <v>9.0</v>
      </c>
      <c r="AN534" s="80">
        <f t="shared" si="4"/>
        <v>9</v>
      </c>
      <c r="AO534" s="140">
        <v>0.0</v>
      </c>
      <c r="AP534" s="109">
        <v>0.0</v>
      </c>
      <c r="AQ534" s="109">
        <v>0.0</v>
      </c>
      <c r="AR534" s="80">
        <f t="shared" si="5"/>
        <v>0</v>
      </c>
      <c r="AS534" s="110">
        <v>0.0</v>
      </c>
      <c r="AT534" s="110">
        <v>0.0</v>
      </c>
      <c r="AU534" s="110">
        <v>0.0</v>
      </c>
      <c r="AV534" s="142">
        <v>0.0</v>
      </c>
      <c r="AW534" s="80">
        <f t="shared" si="6"/>
        <v>0</v>
      </c>
      <c r="AX534" s="113">
        <f t="shared" si="7"/>
        <v>76</v>
      </c>
      <c r="AY534" s="117">
        <f t="shared" si="8"/>
        <v>67</v>
      </c>
      <c r="AZ534" s="120">
        <f t="shared" si="9"/>
        <v>9</v>
      </c>
      <c r="BA534" s="115">
        <v>0.0</v>
      </c>
      <c r="BB534" s="89">
        <f t="shared" si="10"/>
        <v>76</v>
      </c>
      <c r="BC534" s="143" t="s">
        <v>1294</v>
      </c>
      <c r="BD534" s="132" t="s">
        <v>178</v>
      </c>
      <c r="BE534" s="132" t="s">
        <v>178</v>
      </c>
      <c r="BF534" s="156"/>
      <c r="BG534" s="83">
        <v>1179612.0</v>
      </c>
      <c r="BH534" s="112"/>
      <c r="BI534" s="112">
        <v>2.0</v>
      </c>
      <c r="BJ534" s="98" t="s">
        <v>155</v>
      </c>
      <c r="BK534" s="99">
        <f t="shared" si="11"/>
        <v>0</v>
      </c>
      <c r="BL534" s="99">
        <f t="shared" si="12"/>
        <v>67</v>
      </c>
      <c r="BM534" s="99" t="str">
        <f>IFERROR(__xludf.DUMMYFUNCTION("IFERROR(VLOOKUP(BG534,IMPORTRANGE(""https://docs.google.com/spreadsheets/d/1juPI-Fb8LD0YtltB2mlGEnp_R3UVu1t3wSFPzgCyHXE/edit?gid=0#gid=0"",""GERAL!A2:C""),3,0),""-"")"),"INDÍGENAS")</f>
        <v>INDÍGENAS</v>
      </c>
    </row>
    <row r="535" ht="15.75" customHeight="1">
      <c r="A535" s="111" t="s">
        <v>605</v>
      </c>
      <c r="B535" s="83" t="s">
        <v>2180</v>
      </c>
      <c r="C535" s="83" t="s">
        <v>164</v>
      </c>
      <c r="D535" s="112">
        <v>1178223.0</v>
      </c>
      <c r="E535" s="83">
        <v>1179615.0</v>
      </c>
      <c r="F535" s="98">
        <v>2.949219E7</v>
      </c>
      <c r="G535" s="185" t="s">
        <v>2293</v>
      </c>
      <c r="H535" s="91" t="s">
        <v>2294</v>
      </c>
      <c r="I535" s="83" t="s">
        <v>149</v>
      </c>
      <c r="J535" s="83" t="s">
        <v>222</v>
      </c>
      <c r="K535" s="83" t="s">
        <v>168</v>
      </c>
      <c r="L535" s="83" t="s">
        <v>169</v>
      </c>
      <c r="M535" s="82" t="str">
        <f>IFERROR(__xludf.DUMMYFUNCTION("IFERROR(VLOOKUP(D535,
IMPORTRANGE(""https://docs.google.com/spreadsheets/d/1MjHtlUikwobi2MaWJgy7tfLeBmhj1u-dRFRs_8GwSoA/edit#gid=0"",""Gestores Escolares!D7:J""),3,0),""VERIFICAR CÓD SEC"")"),"SEM DIREÇÃO - LETICIA FERREIRA (COORDENADORA INDIGENA RESPONDENDO PELAS ESCOLAS DE PRADO)")</f>
        <v>SEM DIREÇÃO - LETICIA FERREIRA (COORDENADORA INDIGENA RESPONDENDO PELAS ESCOLAS DE PRADO)</v>
      </c>
      <c r="N535" s="82" t="str">
        <f>IFERROR(__xludf.DUMMYFUNCTION("IFERROR(VLOOKUP(D535,
IMPORTRANGE(""https://docs.google.com/spreadsheets/d/1MjHtlUikwobi2MaWJgy7tfLeBmhj1u-dRFRs_8GwSoA/edit#gid=0"",""Gestores Escolares!D7:J""),4,0),""VERIFICAR CÓD SEC"")"),"(73) 9 8868-8611")</f>
        <v>(73) 9 8868-8611</v>
      </c>
      <c r="O535" s="82" t="str">
        <f>IFERROR(__xludf.DUMMYFUNCTION("IFERROR(VLOOKUP(D535,
IMPORTRANGE(""https://docs.google.com/spreadsheets/d/1MjHtlUikwobi2MaWJgy7tfLeBmhj1u-dRFRs_8GwSoA/edit#gid=0"",""Gestores Escolares!D7:J""),6,0),""VERIFICAR CÓD SEC"")"),"")</f>
        <v/>
      </c>
      <c r="P535" s="82" t="str">
        <f>IFERROR(__xludf.DUMMYFUNCTION("IFERROR(VLOOKUP(D535,
IMPORTRANGE(""https://docs.google.com/spreadsheets/d/1MjHtlUikwobi2MaWJgy7tfLeBmhj1u-dRFRs_8GwSoA/edit#gid=0"",""Gestores Escolares!D7:J""),7,0),""VERIFICAR CÓD SEC"")"),"")</f>
        <v/>
      </c>
      <c r="Q535" s="82" t="str">
        <f>IFERROR(__xludf.DUMMYFUNCTION("IFERROR(VLOOKUP(D535,
IMPORTRANGE(""https://docs.google.com/spreadsheets/d/1MjHtlUikwobi2MaWJgy7tfLeBmhj1u-dRFRs_8GwSoA/edit#gid=0"",""Gestores Escolares!D7:m""),9,0),""VERIFICAR CÓD SEC"")"),"")</f>
        <v/>
      </c>
      <c r="R535" s="82" t="str">
        <f>IFERROR(__xludf.DUMMYFUNCTION("IFERROR(VLOOKUP(D535,
IMPORTRANGE(""https://docs.google.com/spreadsheets/d/1MjHtlUikwobi2MaWJgy7tfLeBmhj1u-dRFRs_8GwSoA/edit#gid=0"",""Gestores Escolares!D7:m""),10,0),""VERIFICAR CÓD SEC"")"),"")</f>
        <v/>
      </c>
      <c r="S535" s="82"/>
      <c r="T535" s="138">
        <v>3.0</v>
      </c>
      <c r="U535" s="152">
        <v>2.0</v>
      </c>
      <c r="V535" s="106">
        <v>1.0</v>
      </c>
      <c r="W535" s="107">
        <v>0.0</v>
      </c>
      <c r="X535" s="107">
        <v>0.0</v>
      </c>
      <c r="Y535" s="107">
        <v>0.0</v>
      </c>
      <c r="Z535" s="80">
        <f t="shared" si="1"/>
        <v>1</v>
      </c>
      <c r="AA535" s="106">
        <v>0.0</v>
      </c>
      <c r="AB535" s="107">
        <v>5.0</v>
      </c>
      <c r="AC535" s="107">
        <v>0.0</v>
      </c>
      <c r="AD535" s="107">
        <v>0.0</v>
      </c>
      <c r="AE535" s="80">
        <f t="shared" si="2"/>
        <v>5</v>
      </c>
      <c r="AF535" s="140">
        <v>0.0</v>
      </c>
      <c r="AG535" s="109">
        <v>0.0</v>
      </c>
      <c r="AH535" s="109">
        <v>0.0</v>
      </c>
      <c r="AI535" s="141">
        <v>0.0</v>
      </c>
      <c r="AJ535" s="80">
        <f t="shared" si="3"/>
        <v>0</v>
      </c>
      <c r="AK535" s="140">
        <v>0.0</v>
      </c>
      <c r="AL535" s="109">
        <v>0.0</v>
      </c>
      <c r="AM535" s="141">
        <v>8.0</v>
      </c>
      <c r="AN535" s="80">
        <f t="shared" si="4"/>
        <v>8</v>
      </c>
      <c r="AO535" s="140">
        <v>0.0</v>
      </c>
      <c r="AP535" s="109">
        <v>0.0</v>
      </c>
      <c r="AQ535" s="109">
        <v>0.0</v>
      </c>
      <c r="AR535" s="80">
        <f t="shared" si="5"/>
        <v>0</v>
      </c>
      <c r="AS535" s="110">
        <v>0.0</v>
      </c>
      <c r="AT535" s="110">
        <v>0.0</v>
      </c>
      <c r="AU535" s="110">
        <v>0.0</v>
      </c>
      <c r="AV535" s="142">
        <v>0.0</v>
      </c>
      <c r="AW535" s="80">
        <f t="shared" si="6"/>
        <v>0</v>
      </c>
      <c r="AX535" s="113">
        <f t="shared" si="7"/>
        <v>14</v>
      </c>
      <c r="AY535" s="117">
        <f t="shared" si="8"/>
        <v>6</v>
      </c>
      <c r="AZ535" s="120">
        <f t="shared" si="9"/>
        <v>8</v>
      </c>
      <c r="BA535" s="115">
        <v>0.0</v>
      </c>
      <c r="BB535" s="89">
        <f t="shared" si="10"/>
        <v>14</v>
      </c>
      <c r="BC535" s="143" t="s">
        <v>1294</v>
      </c>
      <c r="BD535" s="132" t="s">
        <v>178</v>
      </c>
      <c r="BE535" s="132" t="s">
        <v>178</v>
      </c>
      <c r="BF535" s="156"/>
      <c r="BG535" s="83">
        <v>1179615.0</v>
      </c>
      <c r="BH535" s="112"/>
      <c r="BI535" s="112">
        <v>2.0</v>
      </c>
      <c r="BJ535" s="98" t="s">
        <v>155</v>
      </c>
      <c r="BK535" s="99">
        <f t="shared" si="11"/>
        <v>0</v>
      </c>
      <c r="BL535" s="99">
        <f t="shared" si="12"/>
        <v>6</v>
      </c>
      <c r="BM535" s="99" t="str">
        <f>IFERROR(__xludf.DUMMYFUNCTION("IFERROR(VLOOKUP(BG535,IMPORTRANGE(""https://docs.google.com/spreadsheets/d/1juPI-Fb8LD0YtltB2mlGEnp_R3UVu1t3wSFPzgCyHXE/edit?gid=0#gid=0"",""GERAL!A2:C""),3,0),""-"")"),"INDÍGENAS")</f>
        <v>INDÍGENAS</v>
      </c>
    </row>
    <row r="536" ht="15.75" customHeight="1">
      <c r="A536" s="111" t="s">
        <v>605</v>
      </c>
      <c r="B536" s="83" t="s">
        <v>2296</v>
      </c>
      <c r="C536" s="83" t="s">
        <v>68</v>
      </c>
      <c r="D536" s="112">
        <v>1176218.0</v>
      </c>
      <c r="E536" s="83"/>
      <c r="F536" s="83">
        <v>2.9327695E7</v>
      </c>
      <c r="G536" s="185" t="s">
        <v>2299</v>
      </c>
      <c r="H536" s="91" t="s">
        <v>2300</v>
      </c>
      <c r="I536" s="172" t="s">
        <v>2301</v>
      </c>
      <c r="J536" s="83" t="s">
        <v>150</v>
      </c>
      <c r="K536" s="83" t="s">
        <v>151</v>
      </c>
      <c r="L536" s="83" t="s">
        <v>152</v>
      </c>
      <c r="M536" s="82" t="str">
        <f>IFERROR(__xludf.DUMMYFUNCTION("IFERROR(VLOOKUP(D536,
IMPORTRANGE(""https://docs.google.com/spreadsheets/d/1MjHtlUikwobi2MaWJgy7tfLeBmhj1u-dRFRs_8GwSoA/edit#gid=0"",""Gestores Escolares!D7:J""),3,0),""VERIFICAR CÓD SEC"")"),"DEUSIRA NUNES LAURO DIAS ")</f>
        <v>DEUSIRA NUNES LAURO DIAS </v>
      </c>
      <c r="N536" s="82" t="str">
        <f>IFERROR(__xludf.DUMMYFUNCTION("IFERROR(VLOOKUP(D536,
IMPORTRANGE(""https://docs.google.com/spreadsheets/d/1MjHtlUikwobi2MaWJgy7tfLeBmhj1u-dRFRs_8GwSoA/edit#gid=0"",""Gestores Escolares!D7:J""),4,0),""VERIFICAR CÓD SEC"")"),"(73) 9 9944-5606")</f>
        <v>(73) 9 9944-5606</v>
      </c>
      <c r="O536" s="82" t="str">
        <f>IFERROR(__xludf.DUMMYFUNCTION("IFERROR(VLOOKUP(D536,
IMPORTRANGE(""https://docs.google.com/spreadsheets/d/1MjHtlUikwobi2MaWJgy7tfLeBmhj1u-dRFRs_8GwSoA/edit#gid=0"",""Gestores Escolares!D7:J""),6,0),""VERIFICAR CÓD SEC"")")," ILANA PINHEIRO AZEVEDO VARMES")</f>
        <v> ILANA PINHEIRO AZEVEDO VARMES</v>
      </c>
      <c r="P536" s="82" t="str">
        <f>IFERROR(__xludf.DUMMYFUNCTION("IFERROR(VLOOKUP(D536,
IMPORTRANGE(""https://docs.google.com/spreadsheets/d/1MjHtlUikwobi2MaWJgy7tfLeBmhj1u-dRFRs_8GwSoA/edit#gid=0"",""Gestores Escolares!D7:J""),7,0),""VERIFICAR CÓD SEC"")"),"(73) 9 9825-5371")</f>
        <v>(73) 9 9825-5371</v>
      </c>
      <c r="Q536" s="82" t="str">
        <f>IFERROR(__xludf.DUMMYFUNCTION("IFERROR(VLOOKUP(D536,
IMPORTRANGE(""https://docs.google.com/spreadsheets/d/1MjHtlUikwobi2MaWJgy7tfLeBmhj1u-dRFRs_8GwSoA/edit#gid=0"",""Gestores Escolares!D7:m""),9,0),""VERIFICAR CÓD SEC"")"),"")</f>
        <v/>
      </c>
      <c r="R536" s="82" t="str">
        <f>IFERROR(__xludf.DUMMYFUNCTION("IFERROR(VLOOKUP(D536,
IMPORTRANGE(""https://docs.google.com/spreadsheets/d/1MjHtlUikwobi2MaWJgy7tfLeBmhj1u-dRFRs_8GwSoA/edit#gid=0"",""Gestores Escolares!D7:m""),10,0),""VERIFICAR CÓD SEC"")"),"")</f>
        <v/>
      </c>
      <c r="S536" s="82"/>
      <c r="T536" s="138">
        <v>11.0</v>
      </c>
      <c r="U536" s="148" t="s">
        <v>7461</v>
      </c>
      <c r="V536" s="106">
        <v>0.0</v>
      </c>
      <c r="W536" s="107">
        <v>0.0</v>
      </c>
      <c r="X536" s="107">
        <v>0.0</v>
      </c>
      <c r="Y536" s="107">
        <v>0.0</v>
      </c>
      <c r="Z536" s="80">
        <f t="shared" si="1"/>
        <v>0</v>
      </c>
      <c r="AA536" s="106">
        <v>0.0</v>
      </c>
      <c r="AB536" s="107">
        <v>0.0</v>
      </c>
      <c r="AC536" s="107">
        <v>0.0</v>
      </c>
      <c r="AD536" s="107">
        <v>0.0</v>
      </c>
      <c r="AE536" s="80">
        <f t="shared" si="2"/>
        <v>0</v>
      </c>
      <c r="AF536" s="140">
        <v>0.0</v>
      </c>
      <c r="AG536" s="109">
        <v>0.0</v>
      </c>
      <c r="AH536" s="109">
        <v>0.0</v>
      </c>
      <c r="AI536" s="141">
        <v>453.0</v>
      </c>
      <c r="AJ536" s="80">
        <f t="shared" si="3"/>
        <v>453</v>
      </c>
      <c r="AK536" s="140">
        <v>0.0</v>
      </c>
      <c r="AL536" s="109">
        <v>0.0</v>
      </c>
      <c r="AM536" s="141">
        <v>0.0</v>
      </c>
      <c r="AN536" s="80">
        <f t="shared" si="4"/>
        <v>0</v>
      </c>
      <c r="AO536" s="140">
        <v>0.0</v>
      </c>
      <c r="AP536" s="109">
        <v>0.0</v>
      </c>
      <c r="AQ536" s="109">
        <v>125.0</v>
      </c>
      <c r="AR536" s="80">
        <f t="shared" si="5"/>
        <v>125</v>
      </c>
      <c r="AS536" s="110">
        <v>0.0</v>
      </c>
      <c r="AT536" s="110">
        <v>0.0</v>
      </c>
      <c r="AU536" s="110">
        <v>0.0</v>
      </c>
      <c r="AV536" s="142">
        <v>0.0</v>
      </c>
      <c r="AW536" s="80">
        <f t="shared" si="6"/>
        <v>0</v>
      </c>
      <c r="AX536" s="113">
        <f t="shared" si="7"/>
        <v>578</v>
      </c>
      <c r="AY536" s="117">
        <f t="shared" si="8"/>
        <v>453</v>
      </c>
      <c r="AZ536" s="120">
        <f t="shared" si="9"/>
        <v>125</v>
      </c>
      <c r="BA536" s="115">
        <v>0.0</v>
      </c>
      <c r="BB536" s="89">
        <f t="shared" si="10"/>
        <v>578</v>
      </c>
      <c r="BC536" s="132" t="s">
        <v>178</v>
      </c>
      <c r="BD536" s="132" t="s">
        <v>178</v>
      </c>
      <c r="BE536" s="132" t="s">
        <v>178</v>
      </c>
      <c r="BF536" s="156"/>
      <c r="BG536" s="83">
        <v>1176218.0</v>
      </c>
      <c r="BH536" s="112"/>
      <c r="BI536" s="112">
        <v>10.0</v>
      </c>
      <c r="BJ536" s="98" t="s">
        <v>155</v>
      </c>
      <c r="BK536" s="99">
        <f t="shared" si="11"/>
        <v>453</v>
      </c>
      <c r="BL536" s="99">
        <f t="shared" si="12"/>
        <v>0</v>
      </c>
      <c r="BM536" s="99" t="str">
        <f>IFERROR(__xludf.DUMMYFUNCTION("IFERROR(VLOOKUP(BG536,IMPORTRANGE(""https://docs.google.com/spreadsheets/d/1juPI-Fb8LD0YtltB2mlGEnp_R3UVu1t3wSFPzgCyHXE/edit?gid=0#gid=0"",""GERAL!A2:C""),3,0),""-"")"),"-")</f>
        <v>-</v>
      </c>
    </row>
    <row r="537" ht="15.75" customHeight="1">
      <c r="A537" s="111" t="s">
        <v>605</v>
      </c>
      <c r="B537" s="83" t="s">
        <v>2296</v>
      </c>
      <c r="C537" s="83" t="s">
        <v>68</v>
      </c>
      <c r="D537" s="112">
        <v>1176217.0</v>
      </c>
      <c r="E537" s="83"/>
      <c r="F537" s="83">
        <v>2.9368219E7</v>
      </c>
      <c r="G537" s="185" t="s">
        <v>2313</v>
      </c>
      <c r="H537" s="91" t="s">
        <v>2314</v>
      </c>
      <c r="I537" s="172" t="s">
        <v>2315</v>
      </c>
      <c r="J537" s="83" t="s">
        <v>150</v>
      </c>
      <c r="K537" s="83" t="s">
        <v>151</v>
      </c>
      <c r="L537" s="98" t="s">
        <v>1391</v>
      </c>
      <c r="M537" s="82" t="str">
        <f>IFERROR(__xludf.DUMMYFUNCTION("IFERROR(VLOOKUP(D537,
IMPORTRANGE(""https://docs.google.com/spreadsheets/d/1MjHtlUikwobi2MaWJgy7tfLeBmhj1u-dRFRs_8GwSoA/edit#gid=0"",""Gestores Escolares!D7:J""),3,0),""VERIFICAR CÓD SEC"")"),"ROSANGELA MARTINS DE SOUZA PASSOS")</f>
        <v>ROSANGELA MARTINS DE SOUZA PASSOS</v>
      </c>
      <c r="N537" s="82" t="str">
        <f>IFERROR(__xludf.DUMMYFUNCTION("IFERROR(VLOOKUP(D537,
IMPORTRANGE(""https://docs.google.com/spreadsheets/d/1MjHtlUikwobi2MaWJgy7tfLeBmhj1u-dRFRs_8GwSoA/edit#gid=0"",""Gestores Escolares!D7:J""),4,0),""VERIFICAR CÓD SEC"")"),"(73) 9 9987-9299")</f>
        <v>(73) 9 9987-9299</v>
      </c>
      <c r="O537" s="82" t="str">
        <f>IFERROR(__xludf.DUMMYFUNCTION("IFERROR(VLOOKUP(D537,
IMPORTRANGE(""https://docs.google.com/spreadsheets/d/1MjHtlUikwobi2MaWJgy7tfLeBmhj1u-dRFRs_8GwSoA/edit#gid=0"",""Gestores Escolares!D7:J""),6,0),""VERIFICAR CÓD SEC"")"),"LUCIDALVA T. DOS SANTOS DEOCLECIANO")</f>
        <v>LUCIDALVA T. DOS SANTOS DEOCLECIANO</v>
      </c>
      <c r="P537" s="82" t="str">
        <f>IFERROR(__xludf.DUMMYFUNCTION("IFERROR(VLOOKUP(D537,
IMPORTRANGE(""https://docs.google.com/spreadsheets/d/1MjHtlUikwobi2MaWJgy7tfLeBmhj1u-dRFRs_8GwSoA/edit#gid=0"",""Gestores Escolares!D7:J""),7,0),""VERIFICAR CÓD SEC"")"),"(73) 9 9942-5956")</f>
        <v>(73) 9 9942-5956</v>
      </c>
      <c r="Q537" s="82" t="str">
        <f>IFERROR(__xludf.DUMMYFUNCTION("IFERROR(VLOOKUP(D537,
IMPORTRANGE(""https://docs.google.com/spreadsheets/d/1MjHtlUikwobi2MaWJgy7tfLeBmhj1u-dRFRs_8GwSoA/edit#gid=0"",""Gestores Escolares!D7:m""),9,0),""VERIFICAR CÓD SEC"")"),"SANCHOLYNE CASTINER DIONOR SOUZA")</f>
        <v>SANCHOLYNE CASTINER DIONOR SOUZA</v>
      </c>
      <c r="R537" s="82" t="str">
        <f>IFERROR(__xludf.DUMMYFUNCTION("IFERROR(VLOOKUP(D537,
IMPORTRANGE(""https://docs.google.com/spreadsheets/d/1MjHtlUikwobi2MaWJgy7tfLeBmhj1u-dRFRs_8GwSoA/edit#gid=0"",""Gestores Escolares!D7:m""),10,0),""VERIFICAR CÓD SEC"")"),"(77) 9 8124  2525")</f>
        <v>(77) 9 8124  2525</v>
      </c>
      <c r="S537" s="82"/>
      <c r="T537" s="138">
        <v>16.0</v>
      </c>
      <c r="U537" s="148" t="s">
        <v>7483</v>
      </c>
      <c r="V537" s="106">
        <v>0.0</v>
      </c>
      <c r="W537" s="107">
        <v>0.0</v>
      </c>
      <c r="X537" s="107">
        <v>0.0</v>
      </c>
      <c r="Y537" s="107">
        <v>0.0</v>
      </c>
      <c r="Z537" s="80">
        <f t="shared" si="1"/>
        <v>0</v>
      </c>
      <c r="AA537" s="106">
        <v>0.0</v>
      </c>
      <c r="AB537" s="107">
        <v>0.0</v>
      </c>
      <c r="AC537" s="107">
        <v>0.0</v>
      </c>
      <c r="AD537" s="107">
        <v>0.0</v>
      </c>
      <c r="AE537" s="80">
        <f t="shared" si="2"/>
        <v>0</v>
      </c>
      <c r="AF537" s="140">
        <v>0.0</v>
      </c>
      <c r="AG537" s="109">
        <v>0.0</v>
      </c>
      <c r="AH537" s="109">
        <v>0.0</v>
      </c>
      <c r="AI537" s="141">
        <v>703.0</v>
      </c>
      <c r="AJ537" s="80">
        <f t="shared" si="3"/>
        <v>703</v>
      </c>
      <c r="AK537" s="140">
        <v>0.0</v>
      </c>
      <c r="AL537" s="109">
        <v>0.0</v>
      </c>
      <c r="AM537" s="141">
        <v>0.0</v>
      </c>
      <c r="AN537" s="80">
        <f t="shared" si="4"/>
        <v>0</v>
      </c>
      <c r="AO537" s="140">
        <v>0.0</v>
      </c>
      <c r="AP537" s="109">
        <v>0.0</v>
      </c>
      <c r="AQ537" s="109">
        <v>351.0</v>
      </c>
      <c r="AR537" s="80">
        <f t="shared" si="5"/>
        <v>351</v>
      </c>
      <c r="AS537" s="110">
        <v>0.0</v>
      </c>
      <c r="AT537" s="110">
        <v>0.0</v>
      </c>
      <c r="AU537" s="110">
        <v>0.0</v>
      </c>
      <c r="AV537" s="142">
        <v>0.0</v>
      </c>
      <c r="AW537" s="80">
        <f t="shared" si="6"/>
        <v>0</v>
      </c>
      <c r="AX537" s="113">
        <f t="shared" si="7"/>
        <v>1054</v>
      </c>
      <c r="AY537" s="117">
        <f t="shared" si="8"/>
        <v>703</v>
      </c>
      <c r="AZ537" s="120">
        <f t="shared" si="9"/>
        <v>351</v>
      </c>
      <c r="BA537" s="115">
        <v>0.0</v>
      </c>
      <c r="BB537" s="89">
        <f t="shared" si="10"/>
        <v>1054</v>
      </c>
      <c r="BC537" s="132" t="s">
        <v>178</v>
      </c>
      <c r="BD537" s="132" t="s">
        <v>178</v>
      </c>
      <c r="BE537" s="132" t="s">
        <v>178</v>
      </c>
      <c r="BF537" s="156"/>
      <c r="BG537" s="83">
        <v>1176217.0</v>
      </c>
      <c r="BH537" s="112"/>
      <c r="BI537" s="112">
        <v>16.0</v>
      </c>
      <c r="BJ537" s="98" t="s">
        <v>155</v>
      </c>
      <c r="BK537" s="99">
        <f t="shared" si="11"/>
        <v>703</v>
      </c>
      <c r="BL537" s="99">
        <f t="shared" si="12"/>
        <v>0</v>
      </c>
      <c r="BM537" s="99" t="str">
        <f>IFERROR(__xludf.DUMMYFUNCTION("IFERROR(VLOOKUP(BG537,IMPORTRANGE(""https://docs.google.com/spreadsheets/d/1juPI-Fb8LD0YtltB2mlGEnp_R3UVu1t3wSFPzgCyHXE/edit?gid=0#gid=0"",""GERAL!A2:C""),3,0),""-"")"),"-")</f>
        <v>-</v>
      </c>
    </row>
    <row r="538" ht="15.75" customHeight="1">
      <c r="A538" s="111" t="s">
        <v>605</v>
      </c>
      <c r="B538" s="83" t="s">
        <v>2296</v>
      </c>
      <c r="C538" s="83" t="s">
        <v>68</v>
      </c>
      <c r="D538" s="112">
        <v>1113684.0</v>
      </c>
      <c r="E538" s="83"/>
      <c r="F538" s="83">
        <v>2.9327911E7</v>
      </c>
      <c r="G538" s="185" t="s">
        <v>2325</v>
      </c>
      <c r="H538" s="91" t="s">
        <v>2326</v>
      </c>
      <c r="I538" s="83" t="s">
        <v>2327</v>
      </c>
      <c r="J538" s="83" t="s">
        <v>150</v>
      </c>
      <c r="K538" s="83" t="s">
        <v>151</v>
      </c>
      <c r="L538" s="83" t="s">
        <v>152</v>
      </c>
      <c r="M538" s="82" t="str">
        <f>IFERROR(__xludf.DUMMYFUNCTION("IFERROR(VLOOKUP(D538,
IMPORTRANGE(""https://docs.google.com/spreadsheets/d/1MjHtlUikwobi2MaWJgy7tfLeBmhj1u-dRFRs_8GwSoA/edit#gid=0"",""Gestores Escolares!D7:J""),3,0),""VERIFICAR CÓD SEC"")"),"SOFIA APARECIDA SANTANA MESQUITA DA SILVA ")</f>
        <v>SOFIA APARECIDA SANTANA MESQUITA DA SILVA </v>
      </c>
      <c r="N538" s="82" t="str">
        <f>IFERROR(__xludf.DUMMYFUNCTION("IFERROR(VLOOKUP(D538,
IMPORTRANGE(""https://docs.google.com/spreadsheets/d/1MjHtlUikwobi2MaWJgy7tfLeBmhj1u-dRFRs_8GwSoA/edit#gid=0"",""Gestores Escolares!D7:J""),4,0),""VERIFICAR CÓD SEC"")"),"(73) 9 8188-1872")</f>
        <v>(73) 9 8188-1872</v>
      </c>
      <c r="O538" s="82" t="str">
        <f>IFERROR(__xludf.DUMMYFUNCTION("IFERROR(VLOOKUP(D538,
IMPORTRANGE(""https://docs.google.com/spreadsheets/d/1MjHtlUikwobi2MaWJgy7tfLeBmhj1u-dRFRs_8GwSoA/edit#gid=0"",""Gestores Escolares!D7:J""),6,0),""VERIFICAR CÓD SEC"")"),"EDNAIR MARIA DE SOUZA")</f>
        <v>EDNAIR MARIA DE SOUZA</v>
      </c>
      <c r="P538" s="82" t="str">
        <f>IFERROR(__xludf.DUMMYFUNCTION("IFERROR(VLOOKUP(D538,
IMPORTRANGE(""https://docs.google.com/spreadsheets/d/1MjHtlUikwobi2MaWJgy7tfLeBmhj1u-dRFRs_8GwSoA/edit#gid=0"",""Gestores Escolares!D7:J""),7,0),""VERIFICAR CÓD SEC"")"),"(73) 9 9951-9934")</f>
        <v>(73) 9 9951-9934</v>
      </c>
      <c r="Q538" s="82" t="str">
        <f>IFERROR(__xludf.DUMMYFUNCTION("IFERROR(VLOOKUP(D538,
IMPORTRANGE(""https://docs.google.com/spreadsheets/d/1MjHtlUikwobi2MaWJgy7tfLeBmhj1u-dRFRs_8GwSoA/edit#gid=0"",""Gestores Escolares!D7:m""),9,0),""VERIFICAR CÓD SEC"")"),"")</f>
        <v/>
      </c>
      <c r="R538" s="82" t="str">
        <f>IFERROR(__xludf.DUMMYFUNCTION("IFERROR(VLOOKUP(D538,
IMPORTRANGE(""https://docs.google.com/spreadsheets/d/1MjHtlUikwobi2MaWJgy7tfLeBmhj1u-dRFRs_8GwSoA/edit#gid=0"",""Gestores Escolares!D7:m""),10,0),""VERIFICAR CÓD SEC"")"),"")</f>
        <v/>
      </c>
      <c r="S538" s="82"/>
      <c r="T538" s="138">
        <v>8.0</v>
      </c>
      <c r="U538" s="148">
        <v>8.0</v>
      </c>
      <c r="V538" s="106">
        <v>0.0</v>
      </c>
      <c r="W538" s="107">
        <v>0.0</v>
      </c>
      <c r="X538" s="107">
        <v>0.0</v>
      </c>
      <c r="Y538" s="107">
        <v>0.0</v>
      </c>
      <c r="Z538" s="80">
        <f t="shared" si="1"/>
        <v>0</v>
      </c>
      <c r="AA538" s="106">
        <v>0.0</v>
      </c>
      <c r="AB538" s="107">
        <v>0.0</v>
      </c>
      <c r="AC538" s="107">
        <v>0.0</v>
      </c>
      <c r="AD538" s="107">
        <v>0.0</v>
      </c>
      <c r="AE538" s="80">
        <f t="shared" si="2"/>
        <v>0</v>
      </c>
      <c r="AF538" s="140">
        <v>0.0</v>
      </c>
      <c r="AG538" s="109">
        <v>0.0</v>
      </c>
      <c r="AH538" s="109">
        <v>0.0</v>
      </c>
      <c r="AI538" s="141">
        <v>175.0</v>
      </c>
      <c r="AJ538" s="80">
        <f t="shared" si="3"/>
        <v>175</v>
      </c>
      <c r="AK538" s="140">
        <v>0.0</v>
      </c>
      <c r="AL538" s="109">
        <v>0.0</v>
      </c>
      <c r="AM538" s="141">
        <v>0.0</v>
      </c>
      <c r="AN538" s="80">
        <f t="shared" si="4"/>
        <v>0</v>
      </c>
      <c r="AO538" s="140">
        <v>0.0</v>
      </c>
      <c r="AP538" s="109">
        <v>0.0</v>
      </c>
      <c r="AQ538" s="109">
        <v>233.0</v>
      </c>
      <c r="AR538" s="80">
        <f t="shared" si="5"/>
        <v>233</v>
      </c>
      <c r="AS538" s="110">
        <v>0.0</v>
      </c>
      <c r="AT538" s="110">
        <v>0.0</v>
      </c>
      <c r="AU538" s="110">
        <v>0.0</v>
      </c>
      <c r="AV538" s="142">
        <v>0.0</v>
      </c>
      <c r="AW538" s="80">
        <f t="shared" si="6"/>
        <v>0</v>
      </c>
      <c r="AX538" s="113">
        <f t="shared" si="7"/>
        <v>408</v>
      </c>
      <c r="AY538" s="117">
        <f t="shared" si="8"/>
        <v>175</v>
      </c>
      <c r="AZ538" s="120">
        <f t="shared" si="9"/>
        <v>233</v>
      </c>
      <c r="BA538" s="115">
        <v>0.0</v>
      </c>
      <c r="BB538" s="89">
        <f t="shared" si="10"/>
        <v>408</v>
      </c>
      <c r="BC538" s="132" t="s">
        <v>178</v>
      </c>
      <c r="BD538" s="132" t="s">
        <v>178</v>
      </c>
      <c r="BE538" s="132" t="s">
        <v>178</v>
      </c>
      <c r="BF538" s="123"/>
      <c r="BG538" s="83">
        <v>1113684.0</v>
      </c>
      <c r="BH538" s="112"/>
      <c r="BI538" s="112">
        <v>8.0</v>
      </c>
      <c r="BJ538" s="98" t="s">
        <v>155</v>
      </c>
      <c r="BK538" s="99">
        <f t="shared" si="11"/>
        <v>175</v>
      </c>
      <c r="BL538" s="99">
        <f t="shared" si="12"/>
        <v>0</v>
      </c>
      <c r="BM538" s="99" t="str">
        <f>IFERROR(__xludf.DUMMYFUNCTION("IFERROR(VLOOKUP(BG538,IMPORTRANGE(""https://docs.google.com/spreadsheets/d/1juPI-Fb8LD0YtltB2mlGEnp_R3UVu1t3wSFPzgCyHXE/edit?gid=0#gid=0"",""GERAL!A2:C""),3,0),""-"")"),"-")</f>
        <v>-</v>
      </c>
    </row>
    <row r="539" ht="15.75" customHeight="1">
      <c r="A539" s="111" t="s">
        <v>605</v>
      </c>
      <c r="B539" s="83" t="s">
        <v>2296</v>
      </c>
      <c r="C539" s="83" t="s">
        <v>68</v>
      </c>
      <c r="D539" s="112">
        <v>1113846.0</v>
      </c>
      <c r="E539" s="83"/>
      <c r="F539" s="83">
        <v>2.9327792E7</v>
      </c>
      <c r="G539" s="184" t="s">
        <v>2335</v>
      </c>
      <c r="H539" s="91" t="s">
        <v>2336</v>
      </c>
      <c r="I539" s="83" t="s">
        <v>149</v>
      </c>
      <c r="J539" s="83" t="s">
        <v>150</v>
      </c>
      <c r="K539" s="83" t="s">
        <v>151</v>
      </c>
      <c r="L539" s="83" t="s">
        <v>230</v>
      </c>
      <c r="M539" s="82" t="str">
        <f>IFERROR(__xludf.DUMMYFUNCTION("IFERROR(VLOOKUP(D539,
IMPORTRANGE(""https://docs.google.com/spreadsheets/d/1MjHtlUikwobi2MaWJgy7tfLeBmhj1u-dRFRs_8GwSoA/edit#gid=0"",""Gestores Escolares!D7:J""),3,0),""VERIFICAR CÓD SEC"")"),"CLELIA APARECIDA HENRIQUETA DOS SANTOS MALHEIRO")</f>
        <v>CLELIA APARECIDA HENRIQUETA DOS SANTOS MALHEIRO</v>
      </c>
      <c r="N539" s="82" t="str">
        <f>IFERROR(__xludf.DUMMYFUNCTION("IFERROR(VLOOKUP(D539,
IMPORTRANGE(""https://docs.google.com/spreadsheets/d/1MjHtlUikwobi2MaWJgy7tfLeBmhj1u-dRFRs_8GwSoA/edit#gid=0"",""Gestores Escolares!D7:J""),4,0),""VERIFICAR CÓD SEC"")"),"(73) 9 9178-2224")</f>
        <v>(73) 9 9178-2224</v>
      </c>
      <c r="O539" s="82" t="str">
        <f>IFERROR(__xludf.DUMMYFUNCTION("IFERROR(VLOOKUP(D539,
IMPORTRANGE(""https://docs.google.com/spreadsheets/d/1MjHtlUikwobi2MaWJgy7tfLeBmhj1u-dRFRs_8GwSoA/edit#gid=0"",""Gestores Escolares!D7:J""),6,0),""VERIFICAR CÓD SEC"")"),"PRISCILA FELIX ALMEIDA BONADIMAN")</f>
        <v>PRISCILA FELIX ALMEIDA BONADIMAN</v>
      </c>
      <c r="P539" s="82" t="str">
        <f>IFERROR(__xludf.DUMMYFUNCTION("IFERROR(VLOOKUP(D539,
IMPORTRANGE(""https://docs.google.com/spreadsheets/d/1MjHtlUikwobi2MaWJgy7tfLeBmhj1u-dRFRs_8GwSoA/edit#gid=0"",""Gestores Escolares!D7:J""),7,0),""VERIFICAR CÓD SEC"")"),"(73) 9 9979-8142")</f>
        <v>(73) 9 9979-8142</v>
      </c>
      <c r="Q539" s="82" t="str">
        <f>IFERROR(__xludf.DUMMYFUNCTION("IFERROR(VLOOKUP(D539,
IMPORTRANGE(""https://docs.google.com/spreadsheets/d/1MjHtlUikwobi2MaWJgy7tfLeBmhj1u-dRFRs_8GwSoA/edit#gid=0"",""Gestores Escolares!D7:m""),9,0),""VERIFICAR CÓD SEC"")"),"WILSON DA SILVA ROCHA")</f>
        <v>WILSON DA SILVA ROCHA</v>
      </c>
      <c r="R539" s="82" t="str">
        <f>IFERROR(__xludf.DUMMYFUNCTION("IFERROR(VLOOKUP(D539,
IMPORTRANGE(""https://docs.google.com/spreadsheets/d/1MjHtlUikwobi2MaWJgy7tfLeBmhj1u-dRFRs_8GwSoA/edit#gid=0"",""Gestores Escolares!D7:m""),10,0),""VERIFICAR CÓD SEC"")"),"(73) 9 8212-9124")</f>
        <v>(73) 9 8212-9124</v>
      </c>
      <c r="S539" s="82"/>
      <c r="T539" s="138">
        <v>18.0</v>
      </c>
      <c r="U539" s="148">
        <v>22.0</v>
      </c>
      <c r="V539" s="106">
        <v>0.0</v>
      </c>
      <c r="W539" s="107">
        <v>0.0</v>
      </c>
      <c r="X539" s="107">
        <v>0.0</v>
      </c>
      <c r="Y539" s="107">
        <v>0.0</v>
      </c>
      <c r="Z539" s="80">
        <f t="shared" si="1"/>
        <v>0</v>
      </c>
      <c r="AA539" s="106">
        <v>0.0</v>
      </c>
      <c r="AB539" s="107">
        <v>0.0</v>
      </c>
      <c r="AC539" s="107">
        <v>0.0</v>
      </c>
      <c r="AD539" s="107">
        <v>0.0</v>
      </c>
      <c r="AE539" s="80">
        <f t="shared" si="2"/>
        <v>0</v>
      </c>
      <c r="AF539" s="140">
        <v>33.0</v>
      </c>
      <c r="AG539" s="109">
        <v>0.0</v>
      </c>
      <c r="AH539" s="109">
        <v>0.0</v>
      </c>
      <c r="AI539" s="141">
        <v>838.0</v>
      </c>
      <c r="AJ539" s="80">
        <f t="shared" si="3"/>
        <v>871</v>
      </c>
      <c r="AK539" s="140">
        <v>0.0</v>
      </c>
      <c r="AL539" s="109">
        <v>0.0</v>
      </c>
      <c r="AM539" s="141">
        <v>0.0</v>
      </c>
      <c r="AN539" s="80">
        <f t="shared" si="4"/>
        <v>0</v>
      </c>
      <c r="AO539" s="140">
        <v>0.0</v>
      </c>
      <c r="AP539" s="109">
        <v>0.0</v>
      </c>
      <c r="AQ539" s="109">
        <v>216.0</v>
      </c>
      <c r="AR539" s="80">
        <f t="shared" si="5"/>
        <v>216</v>
      </c>
      <c r="AS539" s="110">
        <v>0.0</v>
      </c>
      <c r="AT539" s="110">
        <v>0.0</v>
      </c>
      <c r="AU539" s="110">
        <v>0.0</v>
      </c>
      <c r="AV539" s="142">
        <v>97.0</v>
      </c>
      <c r="AW539" s="80">
        <f t="shared" si="6"/>
        <v>97</v>
      </c>
      <c r="AX539" s="113">
        <f t="shared" si="7"/>
        <v>1184</v>
      </c>
      <c r="AY539" s="117">
        <f t="shared" si="8"/>
        <v>968</v>
      </c>
      <c r="AZ539" s="120">
        <f t="shared" si="9"/>
        <v>216</v>
      </c>
      <c r="BA539" s="115">
        <v>0.0</v>
      </c>
      <c r="BB539" s="89">
        <f t="shared" si="10"/>
        <v>1184</v>
      </c>
      <c r="BC539" s="132" t="s">
        <v>178</v>
      </c>
      <c r="BD539" s="132" t="s">
        <v>178</v>
      </c>
      <c r="BE539" s="132" t="s">
        <v>178</v>
      </c>
      <c r="BF539" s="123"/>
      <c r="BG539" s="83">
        <v>1113846.0</v>
      </c>
      <c r="BH539" s="98"/>
      <c r="BI539" s="98">
        <v>16.0</v>
      </c>
      <c r="BJ539" s="98" t="s">
        <v>155</v>
      </c>
      <c r="BK539" s="99">
        <f t="shared" si="11"/>
        <v>935</v>
      </c>
      <c r="BL539" s="99">
        <f t="shared" si="12"/>
        <v>33</v>
      </c>
      <c r="BM539" s="99" t="str">
        <f>IFERROR(__xludf.DUMMYFUNCTION("IFERROR(VLOOKUP(BG539,IMPORTRANGE(""https://docs.google.com/spreadsheets/d/1juPI-Fb8LD0YtltB2mlGEnp_R3UVu1t3wSFPzgCyHXE/edit?gid=0#gid=0"",""GERAL!A2:C""),3,0),""-"")"),"-")</f>
        <v>-</v>
      </c>
    </row>
    <row r="540" ht="15.75" customHeight="1">
      <c r="A540" s="111" t="s">
        <v>605</v>
      </c>
      <c r="B540" s="83" t="s">
        <v>2296</v>
      </c>
      <c r="C540" s="83" t="s">
        <v>68</v>
      </c>
      <c r="D540" s="112">
        <v>1113803.0</v>
      </c>
      <c r="E540" s="83"/>
      <c r="F540" s="83">
        <v>2.9328349E7</v>
      </c>
      <c r="G540" s="430" t="s">
        <v>2344</v>
      </c>
      <c r="H540" s="91" t="s">
        <v>2345</v>
      </c>
      <c r="I540" s="83" t="s">
        <v>2301</v>
      </c>
      <c r="J540" s="83" t="s">
        <v>150</v>
      </c>
      <c r="K540" s="83" t="s">
        <v>151</v>
      </c>
      <c r="L540" s="83" t="s">
        <v>230</v>
      </c>
      <c r="M540" s="82" t="str">
        <f>IFERROR(__xludf.DUMMYFUNCTION("IFERROR(VLOOKUP(D540,
IMPORTRANGE(""https://docs.google.com/spreadsheets/d/1MjHtlUikwobi2MaWJgy7tfLeBmhj1u-dRFRs_8GwSoA/edit#gid=0"",""Gestores Escolares!D7:J""),3,0),""VERIFICAR CÓD SEC"")"),"DIREÇÃO DA ESCOLA: MONICA DA SILVA SANTOS - (73) 9 9986-6900
DIREÇÃO DA UNIDADE CPM: Tenente Coronel QOPM VAGNER GONÇALVES RIBEIRO - (73) 9 8841-9988
DIREÇÃO DO ADJUNTO: Major QOPM ADRIANO MORAES DE ABREU - 
(71) 9 8885-0384")</f>
        <v>DIREÇÃO DA ESCOLA: MONICA DA SILVA SANTOS - (73) 9 9986-6900
DIREÇÃO DA UNIDADE CPM: Tenente Coronel QOPM VAGNER GONÇALVES RIBEIRO - (73) 9 8841-9988
DIREÇÃO DO ADJUNTO: Major QOPM ADRIANO MORAES DE ABREU - 
(71) 9 8885-0384</v>
      </c>
      <c r="N540" s="82" t="str">
        <f>IFERROR(__xludf.DUMMYFUNCTION("IFERROR(VLOOKUP(D540,
IMPORTRANGE(""https://docs.google.com/spreadsheets/d/1MjHtlUikwobi2MaWJgy7tfLeBmhj1u-dRFRs_8GwSoA/edit#gid=0"",""Gestores Escolares!D7:J""),4,0),""VERIFICAR CÓD SEC"")"),"-")</f>
        <v>-</v>
      </c>
      <c r="O540" s="82" t="str">
        <f>IFERROR(__xludf.DUMMYFUNCTION("IFERROR(VLOOKUP(D540,
IMPORTRANGE(""https://docs.google.com/spreadsheets/d/1MjHtlUikwobi2MaWJgy7tfLeBmhj1u-dRFRs_8GwSoA/edit#gid=0"",""Gestores Escolares!D7:J""),6,0),""VERIFICAR CÓD SEC"")"),"EDNALDO FERREIRA DA SILVA")</f>
        <v>EDNALDO FERREIRA DA SILVA</v>
      </c>
      <c r="P540" s="82" t="str">
        <f>IFERROR(__xludf.DUMMYFUNCTION("IFERROR(VLOOKUP(D540,
IMPORTRANGE(""https://docs.google.com/spreadsheets/d/1MjHtlUikwobi2MaWJgy7tfLeBmhj1u-dRFRs_8GwSoA/edit#gid=0"",""Gestores Escolares!D7:J""),7,0),""VERIFICAR CÓD SEC"")"),"(73) 9 8123-6696")</f>
        <v>(73) 9 8123-6696</v>
      </c>
      <c r="Q540" s="82" t="str">
        <f>IFERROR(__xludf.DUMMYFUNCTION("IFERROR(VLOOKUP(D540,
IMPORTRANGE(""https://docs.google.com/spreadsheets/d/1MjHtlUikwobi2MaWJgy7tfLeBmhj1u-dRFRs_8GwSoA/edit#gid=0"",""Gestores Escolares!D7:m""),9,0),""VERIFICAR CÓD SEC"")"),"")</f>
        <v/>
      </c>
      <c r="R540" s="82" t="str">
        <f>IFERROR(__xludf.DUMMYFUNCTION("IFERROR(VLOOKUP(D540,
IMPORTRANGE(""https://docs.google.com/spreadsheets/d/1MjHtlUikwobi2MaWJgy7tfLeBmhj1u-dRFRs_8GwSoA/edit#gid=0"",""Gestores Escolares!D7:m""),10,0),""VERIFICAR CÓD SEC"")"),"")</f>
        <v/>
      </c>
      <c r="S540" s="82"/>
      <c r="T540" s="138">
        <v>24.0</v>
      </c>
      <c r="U540" s="148" t="s">
        <v>7549</v>
      </c>
      <c r="V540" s="106">
        <v>0.0</v>
      </c>
      <c r="W540" s="107">
        <v>0.0</v>
      </c>
      <c r="X540" s="107">
        <v>0.0</v>
      </c>
      <c r="Y540" s="107">
        <v>0.0</v>
      </c>
      <c r="Z540" s="80">
        <f t="shared" si="1"/>
        <v>0</v>
      </c>
      <c r="AA540" s="106">
        <v>0.0</v>
      </c>
      <c r="AB540" s="107">
        <v>284.0</v>
      </c>
      <c r="AC540" s="107">
        <v>0.0</v>
      </c>
      <c r="AD540" s="107">
        <v>196.0</v>
      </c>
      <c r="AE540" s="80">
        <f t="shared" si="2"/>
        <v>480</v>
      </c>
      <c r="AF540" s="140">
        <v>241.0</v>
      </c>
      <c r="AG540" s="109">
        <v>0.0</v>
      </c>
      <c r="AH540" s="109">
        <v>0.0</v>
      </c>
      <c r="AI540" s="141">
        <v>125.0</v>
      </c>
      <c r="AJ540" s="80">
        <f t="shared" si="3"/>
        <v>366</v>
      </c>
      <c r="AK540" s="140">
        <v>0.0</v>
      </c>
      <c r="AL540" s="109">
        <v>0.0</v>
      </c>
      <c r="AM540" s="141">
        <v>0.0</v>
      </c>
      <c r="AN540" s="80">
        <f t="shared" si="4"/>
        <v>0</v>
      </c>
      <c r="AO540" s="140">
        <v>0.0</v>
      </c>
      <c r="AP540" s="109">
        <v>0.0</v>
      </c>
      <c r="AQ540" s="109">
        <v>0.0</v>
      </c>
      <c r="AR540" s="80">
        <f t="shared" si="5"/>
        <v>0</v>
      </c>
      <c r="AS540" s="110">
        <v>0.0</v>
      </c>
      <c r="AT540" s="110">
        <v>0.0</v>
      </c>
      <c r="AU540" s="110">
        <v>0.0</v>
      </c>
      <c r="AV540" s="142">
        <v>0.0</v>
      </c>
      <c r="AW540" s="80">
        <f t="shared" si="6"/>
        <v>0</v>
      </c>
      <c r="AX540" s="113">
        <f t="shared" si="7"/>
        <v>846</v>
      </c>
      <c r="AY540" s="117">
        <f t="shared" si="8"/>
        <v>846</v>
      </c>
      <c r="AZ540" s="120">
        <f t="shared" si="9"/>
        <v>0</v>
      </c>
      <c r="BA540" s="115">
        <v>0.0</v>
      </c>
      <c r="BB540" s="89">
        <f t="shared" si="10"/>
        <v>846</v>
      </c>
      <c r="BC540" s="143" t="s">
        <v>1014</v>
      </c>
      <c r="BD540" s="132" t="s">
        <v>178</v>
      </c>
      <c r="BE540" s="132" t="s">
        <v>178</v>
      </c>
      <c r="BF540" s="123"/>
      <c r="BG540" s="83">
        <v>1113803.0</v>
      </c>
      <c r="BH540" s="112"/>
      <c r="BI540" s="112">
        <v>24.0</v>
      </c>
      <c r="BJ540" s="98" t="s">
        <v>162</v>
      </c>
      <c r="BK540" s="99">
        <f t="shared" si="11"/>
        <v>321</v>
      </c>
      <c r="BL540" s="99">
        <f t="shared" si="12"/>
        <v>525</v>
      </c>
      <c r="BM540" s="99" t="str">
        <f>IFERROR(__xludf.DUMMYFUNCTION("IFERROR(VLOOKUP(BG540,IMPORTRANGE(""https://docs.google.com/spreadsheets/d/1juPI-Fb8LD0YtltB2mlGEnp_R3UVu1t3wSFPzgCyHXE/edit?gid=0#gid=0"",""GERAL!A2:C""),3,0),""-"")"),"-")</f>
        <v>-</v>
      </c>
    </row>
    <row r="541" ht="15.75" customHeight="1">
      <c r="A541" s="111" t="s">
        <v>605</v>
      </c>
      <c r="B541" s="83" t="s">
        <v>2296</v>
      </c>
      <c r="C541" s="83" t="s">
        <v>68</v>
      </c>
      <c r="D541" s="112">
        <v>1176425.0</v>
      </c>
      <c r="E541" s="83"/>
      <c r="F541" s="83">
        <v>2.9389631E7</v>
      </c>
      <c r="G541" s="185" t="s">
        <v>2355</v>
      </c>
      <c r="H541" s="91" t="s">
        <v>2357</v>
      </c>
      <c r="I541" s="83" t="s">
        <v>2358</v>
      </c>
      <c r="J541" s="83" t="s">
        <v>150</v>
      </c>
      <c r="K541" s="83" t="s">
        <v>151</v>
      </c>
      <c r="L541" s="83" t="s">
        <v>230</v>
      </c>
      <c r="M541" s="82" t="str">
        <f>IFERROR(__xludf.DUMMYFUNCTION("IFERROR(VLOOKUP(D541,
IMPORTRANGE(""https://docs.google.com/spreadsheets/d/1MjHtlUikwobi2MaWJgy7tfLeBmhj1u-dRFRs_8GwSoA/edit#gid=0"",""Gestores Escolares!D7:J""),3,0),""VERIFICAR CÓD SEC"")"),"PEDRO RALILE DE ABREU")</f>
        <v>PEDRO RALILE DE ABREU</v>
      </c>
      <c r="N541" s="82" t="str">
        <f>IFERROR(__xludf.DUMMYFUNCTION("IFERROR(VLOOKUP(D541,
IMPORTRANGE(""https://docs.google.com/spreadsheets/d/1MjHtlUikwobi2MaWJgy7tfLeBmhj1u-dRFRs_8GwSoA/edit#gid=0"",""Gestores Escolares!D7:J""),4,0),""VERIFICAR CÓD SEC"")"),"(73) 9 9977-8775")</f>
        <v>(73) 9 9977-8775</v>
      </c>
      <c r="O541" s="82" t="str">
        <f>IFERROR(__xludf.DUMMYFUNCTION("IFERROR(VLOOKUP(D541,
IMPORTRANGE(""https://docs.google.com/spreadsheets/d/1MjHtlUikwobi2MaWJgy7tfLeBmhj1u-dRFRs_8GwSoA/edit#gid=0"",""Gestores Escolares!D7:J""),6,0),""VERIFICAR CÓD SEC"")"),"TADILA GONZAGA ARAUJO GOMES")</f>
        <v>TADILA GONZAGA ARAUJO GOMES</v>
      </c>
      <c r="P541" s="82" t="str">
        <f>IFERROR(__xludf.DUMMYFUNCTION("IFERROR(VLOOKUP(D541,
IMPORTRANGE(""https://docs.google.com/spreadsheets/d/1MjHtlUikwobi2MaWJgy7tfLeBmhj1u-dRFRs_8GwSoA/edit#gid=0"",""Gestores Escolares!D7:J""),7,0),""VERIFICAR CÓD SEC"")"),"(73) 9 9918-2220")</f>
        <v>(73) 9 9918-2220</v>
      </c>
      <c r="Q541" s="82" t="str">
        <f>IFERROR(__xludf.DUMMYFUNCTION("IFERROR(VLOOKUP(D541,
IMPORTRANGE(""https://docs.google.com/spreadsheets/d/1MjHtlUikwobi2MaWJgy7tfLeBmhj1u-dRFRs_8GwSoA/edit#gid=0"",""Gestores Escolares!D7:m""),9,0),""VERIFICAR CÓD SEC"")"),"JESSICA MILENA NASCIMENTO BARBOSA")</f>
        <v>JESSICA MILENA NASCIMENTO BARBOSA</v>
      </c>
      <c r="R541" s="82" t="str">
        <f>IFERROR(__xludf.DUMMYFUNCTION("IFERROR(VLOOKUP(D541,
IMPORTRANGE(""https://docs.google.com/spreadsheets/d/1MjHtlUikwobi2MaWJgy7tfLeBmhj1u-dRFRs_8GwSoA/edit#gid=0"",""Gestores Escolares!D7:m""),10,0),""VERIFICAR CÓD SEC"")"),"(73) 9 8829-8399")</f>
        <v>(73) 9 8829-8399</v>
      </c>
      <c r="S541" s="82"/>
      <c r="T541" s="138">
        <v>13.0</v>
      </c>
      <c r="U541" s="148">
        <v>11.0</v>
      </c>
      <c r="V541" s="106">
        <v>0.0</v>
      </c>
      <c r="W541" s="107">
        <v>0.0</v>
      </c>
      <c r="X541" s="107">
        <v>0.0</v>
      </c>
      <c r="Y541" s="107">
        <v>0.0</v>
      </c>
      <c r="Z541" s="80">
        <f t="shared" si="1"/>
        <v>0</v>
      </c>
      <c r="AA541" s="106">
        <v>0.0</v>
      </c>
      <c r="AB541" s="107">
        <v>0.0</v>
      </c>
      <c r="AC541" s="107">
        <v>0.0</v>
      </c>
      <c r="AD541" s="107">
        <v>0.0</v>
      </c>
      <c r="AE541" s="80">
        <f t="shared" si="2"/>
        <v>0</v>
      </c>
      <c r="AF541" s="140">
        <v>0.0</v>
      </c>
      <c r="AG541" s="109">
        <v>0.0</v>
      </c>
      <c r="AH541" s="109">
        <v>0.0</v>
      </c>
      <c r="AI541" s="141">
        <v>0.0</v>
      </c>
      <c r="AJ541" s="80">
        <f t="shared" si="3"/>
        <v>0</v>
      </c>
      <c r="AK541" s="140">
        <v>0.0</v>
      </c>
      <c r="AL541" s="109">
        <v>0.0</v>
      </c>
      <c r="AM541" s="141">
        <v>0.0</v>
      </c>
      <c r="AN541" s="80">
        <f t="shared" si="4"/>
        <v>0</v>
      </c>
      <c r="AO541" s="140">
        <v>0.0</v>
      </c>
      <c r="AP541" s="109">
        <v>0.0</v>
      </c>
      <c r="AQ541" s="109">
        <v>0.0</v>
      </c>
      <c r="AR541" s="80">
        <f t="shared" si="5"/>
        <v>0</v>
      </c>
      <c r="AS541" s="110">
        <v>317.0</v>
      </c>
      <c r="AT541" s="110">
        <v>206.0</v>
      </c>
      <c r="AU541" s="110">
        <v>246.0</v>
      </c>
      <c r="AV541" s="142">
        <v>144.0</v>
      </c>
      <c r="AW541" s="80">
        <f t="shared" si="6"/>
        <v>913</v>
      </c>
      <c r="AX541" s="113">
        <f t="shared" si="7"/>
        <v>913</v>
      </c>
      <c r="AY541" s="117">
        <f t="shared" si="8"/>
        <v>667</v>
      </c>
      <c r="AZ541" s="120">
        <f t="shared" si="9"/>
        <v>246</v>
      </c>
      <c r="BA541" s="115">
        <v>0.0</v>
      </c>
      <c r="BB541" s="89">
        <f t="shared" si="10"/>
        <v>913</v>
      </c>
      <c r="BC541" s="132" t="s">
        <v>178</v>
      </c>
      <c r="BD541" s="132" t="s">
        <v>522</v>
      </c>
      <c r="BE541" s="132" t="s">
        <v>178</v>
      </c>
      <c r="BF541" s="156"/>
      <c r="BG541" s="83">
        <v>1176425.0</v>
      </c>
      <c r="BH541" s="112"/>
      <c r="BI541" s="112">
        <v>11.0</v>
      </c>
      <c r="BJ541" s="98" t="s">
        <v>155</v>
      </c>
      <c r="BK541" s="99">
        <f t="shared" si="11"/>
        <v>144</v>
      </c>
      <c r="BL541" s="99">
        <f t="shared" si="12"/>
        <v>523</v>
      </c>
      <c r="BM541" s="99" t="str">
        <f>IFERROR(__xludf.DUMMYFUNCTION("IFERROR(VLOOKUP(BG541,IMPORTRANGE(""https://docs.google.com/spreadsheets/d/1juPI-Fb8LD0YtltB2mlGEnp_R3UVu1t3wSFPzgCyHXE/edit?gid=0#gid=0"",""GERAL!A2:C""),3,0),""-"")"),"-")</f>
        <v>-</v>
      </c>
    </row>
    <row r="542" ht="15.75" customHeight="1">
      <c r="A542" s="111" t="s">
        <v>605</v>
      </c>
      <c r="B542" s="83" t="s">
        <v>2296</v>
      </c>
      <c r="C542" s="98" t="s">
        <v>68</v>
      </c>
      <c r="D542" s="112">
        <v>1179713.0</v>
      </c>
      <c r="E542" s="146"/>
      <c r="F542" s="98">
        <v>2.9483247E7</v>
      </c>
      <c r="G542" s="241" t="s">
        <v>2367</v>
      </c>
      <c r="H542" s="91" t="s">
        <v>2368</v>
      </c>
      <c r="I542" s="83" t="s">
        <v>2369</v>
      </c>
      <c r="J542" s="83" t="s">
        <v>150</v>
      </c>
      <c r="K542" s="83" t="s">
        <v>151</v>
      </c>
      <c r="L542" s="83" t="s">
        <v>76</v>
      </c>
      <c r="M542" s="82" t="str">
        <f>IFERROR(__xludf.DUMMYFUNCTION("IFERROR(VLOOKUP(D542,
IMPORTRANGE(""https://docs.google.com/spreadsheets/d/1MjHtlUikwobi2MaWJgy7tfLeBmhj1u-dRFRs_8GwSoA/edit#gid=0"",""Gestores Escolares!D7:J""),3,0),""VERIFICAR CÓD SEC"")"),"MARIA DIAS ASSUNCAO")</f>
        <v>MARIA DIAS ASSUNCAO</v>
      </c>
      <c r="N542" s="82" t="str">
        <f>IFERROR(__xludf.DUMMYFUNCTION("IFERROR(VLOOKUP(D542,
IMPORTRANGE(""https://docs.google.com/spreadsheets/d/1MjHtlUikwobi2MaWJgy7tfLeBmhj1u-dRFRs_8GwSoA/edit#gid=0"",""Gestores Escolares!D7:J""),4,0),""VERIFICAR CÓD SEC"")"),"(73) 9 9961-2626")</f>
        <v>(73) 9 9961-2626</v>
      </c>
      <c r="O542" s="82" t="str">
        <f>IFERROR(__xludf.DUMMYFUNCTION("IFERROR(VLOOKUP(D542,
IMPORTRANGE(""https://docs.google.com/spreadsheets/d/1MjHtlUikwobi2MaWJgy7tfLeBmhj1u-dRFRs_8GwSoA/edit#gid=0"",""Gestores Escolares!D7:J""),6,0),""VERIFICAR CÓD SEC"")"),"FERNANDA AURELINO INOCENCIO")</f>
        <v>FERNANDA AURELINO INOCENCIO</v>
      </c>
      <c r="P542" s="82" t="str">
        <f>IFERROR(__xludf.DUMMYFUNCTION("IFERROR(VLOOKUP(D542,
IMPORTRANGE(""https://docs.google.com/spreadsheets/d/1MjHtlUikwobi2MaWJgy7tfLeBmhj1u-dRFRs_8GwSoA/edit#gid=0"",""Gestores Escolares!D7:J""),7,0),""VERIFICAR CÓD SEC"")"),"(73) 9 9823-1075")</f>
        <v>(73) 9 9823-1075</v>
      </c>
      <c r="Q542" s="82" t="str">
        <f>IFERROR(__xludf.DUMMYFUNCTION("IFERROR(VLOOKUP(D542,
IMPORTRANGE(""https://docs.google.com/spreadsheets/d/1MjHtlUikwobi2MaWJgy7tfLeBmhj1u-dRFRs_8GwSoA/edit#gid=0"",""Gestores Escolares!D7:m""),9,0),""VERIFICAR CÓD SEC"")"),"")</f>
        <v/>
      </c>
      <c r="R542" s="82" t="str">
        <f>IFERROR(__xludf.DUMMYFUNCTION("IFERROR(VLOOKUP(D542,
IMPORTRANGE(""https://docs.google.com/spreadsheets/d/1MjHtlUikwobi2MaWJgy7tfLeBmhj1u-dRFRs_8GwSoA/edit#gid=0"",""Gestores Escolares!D7:m""),10,0),""VERIFICAR CÓD SEC"")"),"")</f>
        <v/>
      </c>
      <c r="S542" s="82"/>
      <c r="T542" s="234" t="s">
        <v>171</v>
      </c>
      <c r="U542" s="148" t="s">
        <v>7589</v>
      </c>
      <c r="V542" s="106">
        <v>0.0</v>
      </c>
      <c r="W542" s="107">
        <v>0.0</v>
      </c>
      <c r="X542" s="107">
        <v>0.0</v>
      </c>
      <c r="Y542" s="107">
        <v>0.0</v>
      </c>
      <c r="Z542" s="80">
        <f t="shared" si="1"/>
        <v>0</v>
      </c>
      <c r="AA542" s="106">
        <v>0.0</v>
      </c>
      <c r="AB542" s="107">
        <v>0.0</v>
      </c>
      <c r="AC542" s="107">
        <v>0.0</v>
      </c>
      <c r="AD542" s="107">
        <v>0.0</v>
      </c>
      <c r="AE542" s="80">
        <f t="shared" si="2"/>
        <v>0</v>
      </c>
      <c r="AF542" s="140">
        <v>0.0</v>
      </c>
      <c r="AG542" s="109">
        <v>0.0</v>
      </c>
      <c r="AH542" s="109">
        <v>0.0</v>
      </c>
      <c r="AI542" s="141">
        <v>0.0</v>
      </c>
      <c r="AJ542" s="80">
        <f t="shared" si="3"/>
        <v>0</v>
      </c>
      <c r="AK542" s="140">
        <v>0.0</v>
      </c>
      <c r="AL542" s="109">
        <v>0.0</v>
      </c>
      <c r="AM542" s="141">
        <v>0.0</v>
      </c>
      <c r="AN542" s="80">
        <f t="shared" si="4"/>
        <v>0</v>
      </c>
      <c r="AO542" s="140">
        <v>0.0</v>
      </c>
      <c r="AP542" s="109">
        <v>0.0</v>
      </c>
      <c r="AQ542" s="109">
        <v>0.0</v>
      </c>
      <c r="AR542" s="80">
        <f t="shared" si="5"/>
        <v>0</v>
      </c>
      <c r="AS542" s="110">
        <v>0.0</v>
      </c>
      <c r="AT542" s="110">
        <v>0.0</v>
      </c>
      <c r="AU542" s="110">
        <v>0.0</v>
      </c>
      <c r="AV542" s="142">
        <v>0.0</v>
      </c>
      <c r="AW542" s="80">
        <f t="shared" si="6"/>
        <v>0</v>
      </c>
      <c r="AX542" s="113">
        <f t="shared" si="7"/>
        <v>0</v>
      </c>
      <c r="AY542" s="117">
        <f t="shared" si="8"/>
        <v>0</v>
      </c>
      <c r="AZ542" s="120">
        <f t="shared" si="9"/>
        <v>0</v>
      </c>
      <c r="BA542" s="115">
        <v>0.0</v>
      </c>
      <c r="BB542" s="89">
        <f t="shared" si="10"/>
        <v>0</v>
      </c>
      <c r="BC542" s="132" t="s">
        <v>178</v>
      </c>
      <c r="BD542" s="143" t="s">
        <v>227</v>
      </c>
      <c r="BE542" s="132" t="s">
        <v>178</v>
      </c>
      <c r="BF542" s="156" t="s">
        <v>534</v>
      </c>
      <c r="BG542" s="83">
        <v>1179713.0</v>
      </c>
      <c r="BH542" s="98"/>
      <c r="BI542" s="98">
        <v>0.0</v>
      </c>
      <c r="BJ542" s="98" t="s">
        <v>155</v>
      </c>
      <c r="BK542" s="99">
        <f t="shared" si="11"/>
        <v>0</v>
      </c>
      <c r="BL542" s="99">
        <f t="shared" si="12"/>
        <v>0</v>
      </c>
      <c r="BM542" s="99" t="str">
        <f>IFERROR(__xludf.DUMMYFUNCTION("IFERROR(VLOOKUP(BG542,IMPORTRANGE(""https://docs.google.com/spreadsheets/d/1juPI-Fb8LD0YtltB2mlGEnp_R3UVu1t3wSFPzgCyHXE/edit?gid=0#gid=0"",""GERAL!A2:C""),3,0),""-"")"),"-")</f>
        <v>-</v>
      </c>
    </row>
    <row r="543" ht="15.75" customHeight="1">
      <c r="A543" s="111" t="s">
        <v>605</v>
      </c>
      <c r="B543" s="83" t="s">
        <v>2296</v>
      </c>
      <c r="C543" s="83" t="s">
        <v>164</v>
      </c>
      <c r="D543" s="112">
        <v>1176217.0</v>
      </c>
      <c r="E543" s="83">
        <v>1178564.0</v>
      </c>
      <c r="F543" s="98">
        <v>2.9492734E7</v>
      </c>
      <c r="G543" s="185" t="s">
        <v>2375</v>
      </c>
      <c r="H543" s="91" t="s">
        <v>2377</v>
      </c>
      <c r="I543" s="83" t="s">
        <v>171</v>
      </c>
      <c r="J543" s="83" t="s">
        <v>187</v>
      </c>
      <c r="K543" s="83" t="s">
        <v>168</v>
      </c>
      <c r="L543" s="83" t="s">
        <v>169</v>
      </c>
      <c r="M543" s="82" t="str">
        <f>IFERROR(__xludf.DUMMYFUNCTION("IFERROR(VLOOKUP(D543,
IMPORTRANGE(""https://docs.google.com/spreadsheets/d/1MjHtlUikwobi2MaWJgy7tfLeBmhj1u-dRFRs_8GwSoA/edit#gid=0"",""Gestores Escolares!D7:J""),3,0),""VERIFICAR CÓD SEC"")"),"ROSANGELA MARTINS DE SOUZA PASSOS")</f>
        <v>ROSANGELA MARTINS DE SOUZA PASSOS</v>
      </c>
      <c r="N543" s="82" t="str">
        <f>IFERROR(__xludf.DUMMYFUNCTION("IFERROR(VLOOKUP(D543,
IMPORTRANGE(""https://docs.google.com/spreadsheets/d/1MjHtlUikwobi2MaWJgy7tfLeBmhj1u-dRFRs_8GwSoA/edit#gid=0"",""Gestores Escolares!D7:J""),4,0),""VERIFICAR CÓD SEC"")"),"(73) 9 9987-9299")</f>
        <v>(73) 9 9987-9299</v>
      </c>
      <c r="O543" s="82" t="str">
        <f>IFERROR(__xludf.DUMMYFUNCTION("IFERROR(VLOOKUP(D543,
IMPORTRANGE(""https://docs.google.com/spreadsheets/d/1MjHtlUikwobi2MaWJgy7tfLeBmhj1u-dRFRs_8GwSoA/edit#gid=0"",""Gestores Escolares!D7:J""),6,0),""VERIFICAR CÓD SEC"")"),"LUCIDALVA T. DOS SANTOS DEOCLECIANO")</f>
        <v>LUCIDALVA T. DOS SANTOS DEOCLECIANO</v>
      </c>
      <c r="P543" s="82" t="str">
        <f>IFERROR(__xludf.DUMMYFUNCTION("IFERROR(VLOOKUP(D543,
IMPORTRANGE(""https://docs.google.com/spreadsheets/d/1MjHtlUikwobi2MaWJgy7tfLeBmhj1u-dRFRs_8GwSoA/edit#gid=0"",""Gestores Escolares!D7:J""),7,0),""VERIFICAR CÓD SEC"")"),"(73) 9 9942-5956")</f>
        <v>(73) 9 9942-5956</v>
      </c>
      <c r="Q543" s="82" t="str">
        <f>IFERROR(__xludf.DUMMYFUNCTION("IFERROR(VLOOKUP(D543,
IMPORTRANGE(""https://docs.google.com/spreadsheets/d/1MjHtlUikwobi2MaWJgy7tfLeBmhj1u-dRFRs_8GwSoA/edit#gid=0"",""Gestores Escolares!D7:m""),9,0),""VERIFICAR CÓD SEC"")"),"SANCHOLYNE CASTINER DIONOR SOUZA")</f>
        <v>SANCHOLYNE CASTINER DIONOR SOUZA</v>
      </c>
      <c r="R543" s="82" t="str">
        <f>IFERROR(__xludf.DUMMYFUNCTION("IFERROR(VLOOKUP(D543,
IMPORTRANGE(""https://docs.google.com/spreadsheets/d/1MjHtlUikwobi2MaWJgy7tfLeBmhj1u-dRFRs_8GwSoA/edit#gid=0"",""Gestores Escolares!D7:m""),10,0),""VERIFICAR CÓD SEC"")"),"(77) 9 8124  2525")</f>
        <v>(77) 9 8124  2525</v>
      </c>
      <c r="S543" s="82"/>
      <c r="T543" s="138">
        <v>3.0</v>
      </c>
      <c r="U543" s="148">
        <v>3.0</v>
      </c>
      <c r="V543" s="106">
        <v>0.0</v>
      </c>
      <c r="W543" s="107">
        <v>0.0</v>
      </c>
      <c r="X543" s="107">
        <v>0.0</v>
      </c>
      <c r="Y543" s="107">
        <v>0.0</v>
      </c>
      <c r="Z543" s="80">
        <f t="shared" si="1"/>
        <v>0</v>
      </c>
      <c r="AA543" s="106">
        <v>0.0</v>
      </c>
      <c r="AB543" s="107">
        <v>0.0</v>
      </c>
      <c r="AC543" s="107">
        <v>0.0</v>
      </c>
      <c r="AD543" s="107">
        <v>0.0</v>
      </c>
      <c r="AE543" s="80">
        <f t="shared" si="2"/>
        <v>0</v>
      </c>
      <c r="AF543" s="140">
        <v>0.0</v>
      </c>
      <c r="AG543" s="109">
        <v>0.0</v>
      </c>
      <c r="AH543" s="109">
        <v>0.0</v>
      </c>
      <c r="AI543" s="141">
        <v>0.0</v>
      </c>
      <c r="AJ543" s="80">
        <f t="shared" si="3"/>
        <v>0</v>
      </c>
      <c r="AK543" s="140">
        <v>0.0</v>
      </c>
      <c r="AL543" s="109">
        <v>0.0</v>
      </c>
      <c r="AM543" s="141">
        <v>0.0</v>
      </c>
      <c r="AN543" s="80">
        <f t="shared" si="4"/>
        <v>0</v>
      </c>
      <c r="AO543" s="140">
        <v>0.0</v>
      </c>
      <c r="AP543" s="109">
        <v>0.0</v>
      </c>
      <c r="AQ543" s="109">
        <v>91.0</v>
      </c>
      <c r="AR543" s="80">
        <f t="shared" si="5"/>
        <v>91</v>
      </c>
      <c r="AS543" s="110">
        <v>0.0</v>
      </c>
      <c r="AT543" s="110">
        <v>0.0</v>
      </c>
      <c r="AU543" s="110">
        <v>0.0</v>
      </c>
      <c r="AV543" s="142">
        <v>0.0</v>
      </c>
      <c r="AW543" s="80">
        <f t="shared" si="6"/>
        <v>0</v>
      </c>
      <c r="AX543" s="113">
        <f t="shared" si="7"/>
        <v>91</v>
      </c>
      <c r="AY543" s="117">
        <f t="shared" si="8"/>
        <v>0</v>
      </c>
      <c r="AZ543" s="120">
        <f t="shared" si="9"/>
        <v>91</v>
      </c>
      <c r="BA543" s="115">
        <v>0.0</v>
      </c>
      <c r="BB543" s="89">
        <f t="shared" si="10"/>
        <v>91</v>
      </c>
      <c r="BC543" s="132" t="s">
        <v>373</v>
      </c>
      <c r="BD543" s="132" t="s">
        <v>178</v>
      </c>
      <c r="BE543" s="132" t="s">
        <v>178</v>
      </c>
      <c r="BF543" s="123"/>
      <c r="BG543" s="83">
        <v>1178564.0</v>
      </c>
      <c r="BH543" s="112"/>
      <c r="BI543" s="112">
        <v>3.0</v>
      </c>
      <c r="BJ543" s="98" t="s">
        <v>155</v>
      </c>
      <c r="BK543" s="99">
        <f t="shared" si="11"/>
        <v>0</v>
      </c>
      <c r="BL543" s="99">
        <f t="shared" si="12"/>
        <v>0</v>
      </c>
      <c r="BM543" s="99" t="str">
        <f>IFERROR(__xludf.DUMMYFUNCTION("IFERROR(VLOOKUP(BG543,IMPORTRANGE(""https://docs.google.com/spreadsheets/d/1juPI-Fb8LD0YtltB2mlGEnp_R3UVu1t3wSFPzgCyHXE/edit?gid=0#gid=0"",""GERAL!A2:C""),3,0),""-"")"),"CAMPO")</f>
        <v>CAMPO</v>
      </c>
    </row>
    <row r="544">
      <c r="A544" s="111" t="s">
        <v>605</v>
      </c>
      <c r="B544" s="83" t="s">
        <v>2296</v>
      </c>
      <c r="C544" s="83" t="s">
        <v>164</v>
      </c>
      <c r="D544" s="112">
        <v>1176217.0</v>
      </c>
      <c r="E544" s="83">
        <v>1179393.0</v>
      </c>
      <c r="F544" s="98">
        <v>2.9492726E7</v>
      </c>
      <c r="G544" s="185" t="s">
        <v>2384</v>
      </c>
      <c r="H544" s="91" t="s">
        <v>2385</v>
      </c>
      <c r="I544" s="83" t="s">
        <v>149</v>
      </c>
      <c r="J544" s="83" t="s">
        <v>1741</v>
      </c>
      <c r="K544" s="83" t="s">
        <v>168</v>
      </c>
      <c r="L544" s="83" t="s">
        <v>169</v>
      </c>
      <c r="M544" s="82" t="str">
        <f>IFERROR(__xludf.DUMMYFUNCTION("IFERROR(VLOOKUP(D544,
IMPORTRANGE(""https://docs.google.com/spreadsheets/d/1MjHtlUikwobi2MaWJgy7tfLeBmhj1u-dRFRs_8GwSoA/edit#gid=0"",""Gestores Escolares!D7:J""),3,0),""VERIFICAR CÓD SEC"")"),"ROSANGELA MARTINS DE SOUZA PASSOS")</f>
        <v>ROSANGELA MARTINS DE SOUZA PASSOS</v>
      </c>
      <c r="N544" s="82" t="str">
        <f>IFERROR(__xludf.DUMMYFUNCTION("IFERROR(VLOOKUP(D544,
IMPORTRANGE(""https://docs.google.com/spreadsheets/d/1MjHtlUikwobi2MaWJgy7tfLeBmhj1u-dRFRs_8GwSoA/edit#gid=0"",""Gestores Escolares!D7:J""),4,0),""VERIFICAR CÓD SEC"")"),"(73) 9 9987-9299")</f>
        <v>(73) 9 9987-9299</v>
      </c>
      <c r="O544" s="82" t="str">
        <f>IFERROR(__xludf.DUMMYFUNCTION("IFERROR(VLOOKUP(D544,
IMPORTRANGE(""https://docs.google.com/spreadsheets/d/1MjHtlUikwobi2MaWJgy7tfLeBmhj1u-dRFRs_8GwSoA/edit#gid=0"",""Gestores Escolares!D7:J""),6,0),""VERIFICAR CÓD SEC"")"),"LUCIDALVA T. DOS SANTOS DEOCLECIANO")</f>
        <v>LUCIDALVA T. DOS SANTOS DEOCLECIANO</v>
      </c>
      <c r="P544" s="82" t="str">
        <f>IFERROR(__xludf.DUMMYFUNCTION("IFERROR(VLOOKUP(D544,
IMPORTRANGE(""https://docs.google.com/spreadsheets/d/1MjHtlUikwobi2MaWJgy7tfLeBmhj1u-dRFRs_8GwSoA/edit#gid=0"",""Gestores Escolares!D7:J""),7,0),""VERIFICAR CÓD SEC"")"),"(73) 9 9942-5956")</f>
        <v>(73) 9 9942-5956</v>
      </c>
      <c r="Q544" s="82" t="str">
        <f>IFERROR(__xludf.DUMMYFUNCTION("IFERROR(VLOOKUP(D544,
IMPORTRANGE(""https://docs.google.com/spreadsheets/d/1MjHtlUikwobi2MaWJgy7tfLeBmhj1u-dRFRs_8GwSoA/edit#gid=0"",""Gestores Escolares!D7:m""),9,0),""VERIFICAR CÓD SEC"")"),"SANCHOLYNE CASTINER DIONOR SOUZA")</f>
        <v>SANCHOLYNE CASTINER DIONOR SOUZA</v>
      </c>
      <c r="R544" s="82" t="str">
        <f>IFERROR(__xludf.DUMMYFUNCTION("IFERROR(VLOOKUP(D544,
IMPORTRANGE(""https://docs.google.com/spreadsheets/d/1MjHtlUikwobi2MaWJgy7tfLeBmhj1u-dRFRs_8GwSoA/edit#gid=0"",""Gestores Escolares!D7:m""),10,0),""VERIFICAR CÓD SEC"")"),"(77) 9 8124  2525")</f>
        <v>(77) 9 8124  2525</v>
      </c>
      <c r="S544" s="82"/>
      <c r="T544" s="138">
        <v>5.0</v>
      </c>
      <c r="U544" s="148">
        <v>5.0</v>
      </c>
      <c r="V544" s="106">
        <v>0.0</v>
      </c>
      <c r="W544" s="107">
        <v>0.0</v>
      </c>
      <c r="X544" s="107">
        <v>0.0</v>
      </c>
      <c r="Y544" s="107">
        <v>0.0</v>
      </c>
      <c r="Z544" s="80">
        <f t="shared" si="1"/>
        <v>0</v>
      </c>
      <c r="AA544" s="106">
        <v>0.0</v>
      </c>
      <c r="AB544" s="107">
        <v>0.0</v>
      </c>
      <c r="AC544" s="107">
        <v>0.0</v>
      </c>
      <c r="AD544" s="107">
        <v>0.0</v>
      </c>
      <c r="AE544" s="80">
        <f t="shared" si="2"/>
        <v>0</v>
      </c>
      <c r="AF544" s="140">
        <v>0.0</v>
      </c>
      <c r="AG544" s="109">
        <v>0.0</v>
      </c>
      <c r="AH544" s="109">
        <v>0.0</v>
      </c>
      <c r="AI544" s="141">
        <v>0.0</v>
      </c>
      <c r="AJ544" s="80">
        <f t="shared" si="3"/>
        <v>0</v>
      </c>
      <c r="AK544" s="140">
        <v>0.0</v>
      </c>
      <c r="AL544" s="109">
        <v>82.0</v>
      </c>
      <c r="AM544" s="141">
        <v>0.0</v>
      </c>
      <c r="AN544" s="80">
        <f t="shared" si="4"/>
        <v>82</v>
      </c>
      <c r="AO544" s="140">
        <v>126.0</v>
      </c>
      <c r="AP544" s="109">
        <v>0.0</v>
      </c>
      <c r="AQ544" s="109">
        <v>0.0</v>
      </c>
      <c r="AR544" s="80">
        <f t="shared" si="5"/>
        <v>126</v>
      </c>
      <c r="AS544" s="110">
        <v>0.0</v>
      </c>
      <c r="AT544" s="110">
        <v>0.0</v>
      </c>
      <c r="AU544" s="110">
        <v>0.0</v>
      </c>
      <c r="AV544" s="142">
        <v>0.0</v>
      </c>
      <c r="AW544" s="80">
        <f t="shared" si="6"/>
        <v>0</v>
      </c>
      <c r="AX544" s="113">
        <f t="shared" si="7"/>
        <v>208</v>
      </c>
      <c r="AY544" s="117">
        <f t="shared" si="8"/>
        <v>208</v>
      </c>
      <c r="AZ544" s="120">
        <f t="shared" si="9"/>
        <v>0</v>
      </c>
      <c r="BA544" s="115">
        <v>0.0</v>
      </c>
      <c r="BB544" s="89">
        <f t="shared" si="10"/>
        <v>208</v>
      </c>
      <c r="BC544" s="132" t="s">
        <v>563</v>
      </c>
      <c r="BD544" s="132" t="s">
        <v>178</v>
      </c>
      <c r="BE544" s="132" t="s">
        <v>178</v>
      </c>
      <c r="BF544" s="156"/>
      <c r="BG544" s="83">
        <v>1179393.0</v>
      </c>
      <c r="BH544" s="112"/>
      <c r="BI544" s="112">
        <v>5.0</v>
      </c>
      <c r="BJ544" s="98" t="s">
        <v>155</v>
      </c>
      <c r="BK544" s="99">
        <f t="shared" si="11"/>
        <v>0</v>
      </c>
      <c r="BL544" s="99">
        <f t="shared" si="12"/>
        <v>208</v>
      </c>
      <c r="BM544" s="99" t="str">
        <f>IFERROR(__xludf.DUMMYFUNCTION("IFERROR(VLOOKUP(BG544,IMPORTRANGE(""https://docs.google.com/spreadsheets/d/1juPI-Fb8LD0YtltB2mlGEnp_R3UVu1t3wSFPzgCyHXE/edit?gid=0#gid=0"",""GERAL!A2:C""),3,0),""-"")"),"-")</f>
        <v>-</v>
      </c>
    </row>
    <row r="545" ht="15.75" customHeight="1">
      <c r="A545" s="111" t="s">
        <v>605</v>
      </c>
      <c r="B545" s="83" t="s">
        <v>2296</v>
      </c>
      <c r="C545" s="83" t="s">
        <v>164</v>
      </c>
      <c r="D545" s="112">
        <v>1113846.0</v>
      </c>
      <c r="E545" s="83">
        <v>1178563.0</v>
      </c>
      <c r="F545" s="98">
        <v>2.9490529E7</v>
      </c>
      <c r="G545" s="185" t="s">
        <v>2390</v>
      </c>
      <c r="H545" s="91" t="s">
        <v>2391</v>
      </c>
      <c r="I545" s="83" t="s">
        <v>149</v>
      </c>
      <c r="J545" s="83" t="s">
        <v>183</v>
      </c>
      <c r="K545" s="83" t="s">
        <v>168</v>
      </c>
      <c r="L545" s="83" t="s">
        <v>169</v>
      </c>
      <c r="M545" s="82" t="str">
        <f>IFERROR(__xludf.DUMMYFUNCTION("IFERROR(VLOOKUP(D545,
IMPORTRANGE(""https://docs.google.com/spreadsheets/d/1MjHtlUikwobi2MaWJgy7tfLeBmhj1u-dRFRs_8GwSoA/edit#gid=0"",""Gestores Escolares!D7:J""),3,0),""VERIFICAR CÓD SEC"")"),"CLELIA APARECIDA HENRIQUETA DOS SANTOS MALHEIRO")</f>
        <v>CLELIA APARECIDA HENRIQUETA DOS SANTOS MALHEIRO</v>
      </c>
      <c r="N545" s="82" t="str">
        <f>IFERROR(__xludf.DUMMYFUNCTION("IFERROR(VLOOKUP(D545,
IMPORTRANGE(""https://docs.google.com/spreadsheets/d/1MjHtlUikwobi2MaWJgy7tfLeBmhj1u-dRFRs_8GwSoA/edit#gid=0"",""Gestores Escolares!D7:J""),4,0),""VERIFICAR CÓD SEC"")"),"(73) 9 9178-2224")</f>
        <v>(73) 9 9178-2224</v>
      </c>
      <c r="O545" s="82" t="str">
        <f>IFERROR(__xludf.DUMMYFUNCTION("IFERROR(VLOOKUP(D545,
IMPORTRANGE(""https://docs.google.com/spreadsheets/d/1MjHtlUikwobi2MaWJgy7tfLeBmhj1u-dRFRs_8GwSoA/edit#gid=0"",""Gestores Escolares!D7:J""),6,0),""VERIFICAR CÓD SEC"")"),"PRISCILA FELIX ALMEIDA BONADIMAN")</f>
        <v>PRISCILA FELIX ALMEIDA BONADIMAN</v>
      </c>
      <c r="P545" s="82" t="str">
        <f>IFERROR(__xludf.DUMMYFUNCTION("IFERROR(VLOOKUP(D545,
IMPORTRANGE(""https://docs.google.com/spreadsheets/d/1MjHtlUikwobi2MaWJgy7tfLeBmhj1u-dRFRs_8GwSoA/edit#gid=0"",""Gestores Escolares!D7:J""),7,0),""VERIFICAR CÓD SEC"")"),"(73) 9 9979-8142")</f>
        <v>(73) 9 9979-8142</v>
      </c>
      <c r="Q545" s="82" t="str">
        <f>IFERROR(__xludf.DUMMYFUNCTION("IFERROR(VLOOKUP(D545,
IMPORTRANGE(""https://docs.google.com/spreadsheets/d/1MjHtlUikwobi2MaWJgy7tfLeBmhj1u-dRFRs_8GwSoA/edit#gid=0"",""Gestores Escolares!D7:m""),9,0),""VERIFICAR CÓD SEC"")"),"WILSON DA SILVA ROCHA")</f>
        <v>WILSON DA SILVA ROCHA</v>
      </c>
      <c r="R545" s="82" t="str">
        <f>IFERROR(__xludf.DUMMYFUNCTION("IFERROR(VLOOKUP(D545,
IMPORTRANGE(""https://docs.google.com/spreadsheets/d/1MjHtlUikwobi2MaWJgy7tfLeBmhj1u-dRFRs_8GwSoA/edit#gid=0"",""Gestores Escolares!D7:m""),10,0),""VERIFICAR CÓD SEC"")"),"(73) 9 8212-9124")</f>
        <v>(73) 9 8212-9124</v>
      </c>
      <c r="S545" s="82"/>
      <c r="T545" s="138">
        <v>3.0</v>
      </c>
      <c r="U545" s="148">
        <v>3.0</v>
      </c>
      <c r="V545" s="106">
        <v>0.0</v>
      </c>
      <c r="W545" s="107">
        <v>0.0</v>
      </c>
      <c r="X545" s="107">
        <v>0.0</v>
      </c>
      <c r="Y545" s="107">
        <v>0.0</v>
      </c>
      <c r="Z545" s="80">
        <f t="shared" si="1"/>
        <v>0</v>
      </c>
      <c r="AA545" s="106">
        <v>0.0</v>
      </c>
      <c r="AB545" s="107">
        <v>0.0</v>
      </c>
      <c r="AC545" s="107">
        <v>0.0</v>
      </c>
      <c r="AD545" s="107">
        <v>0.0</v>
      </c>
      <c r="AE545" s="80">
        <f t="shared" si="2"/>
        <v>0</v>
      </c>
      <c r="AF545" s="140">
        <v>0.0</v>
      </c>
      <c r="AG545" s="109">
        <v>0.0</v>
      </c>
      <c r="AH545" s="109">
        <v>0.0</v>
      </c>
      <c r="AI545" s="141">
        <v>0.0</v>
      </c>
      <c r="AJ545" s="80">
        <f t="shared" si="3"/>
        <v>0</v>
      </c>
      <c r="AK545" s="140">
        <v>0.0</v>
      </c>
      <c r="AL545" s="109">
        <v>0.0</v>
      </c>
      <c r="AM545" s="141">
        <v>0.0</v>
      </c>
      <c r="AN545" s="80">
        <f t="shared" si="4"/>
        <v>0</v>
      </c>
      <c r="AO545" s="140">
        <v>0.0</v>
      </c>
      <c r="AP545" s="109">
        <v>0.0</v>
      </c>
      <c r="AQ545" s="109">
        <v>21.0</v>
      </c>
      <c r="AR545" s="80">
        <f t="shared" si="5"/>
        <v>21</v>
      </c>
      <c r="AS545" s="110">
        <v>0.0</v>
      </c>
      <c r="AT545" s="110">
        <v>0.0</v>
      </c>
      <c r="AU545" s="110">
        <v>0.0</v>
      </c>
      <c r="AV545" s="142">
        <v>0.0</v>
      </c>
      <c r="AW545" s="80">
        <f t="shared" si="6"/>
        <v>0</v>
      </c>
      <c r="AX545" s="113">
        <f t="shared" si="7"/>
        <v>21</v>
      </c>
      <c r="AY545" s="117">
        <f t="shared" si="8"/>
        <v>0</v>
      </c>
      <c r="AZ545" s="120">
        <f t="shared" si="9"/>
        <v>21</v>
      </c>
      <c r="BA545" s="115">
        <v>0.0</v>
      </c>
      <c r="BB545" s="89">
        <f t="shared" si="10"/>
        <v>21</v>
      </c>
      <c r="BC545" s="132" t="s">
        <v>373</v>
      </c>
      <c r="BD545" s="132" t="s">
        <v>178</v>
      </c>
      <c r="BE545" s="132" t="s">
        <v>178</v>
      </c>
      <c r="BF545" s="123"/>
      <c r="BG545" s="83">
        <v>1178563.0</v>
      </c>
      <c r="BH545" s="112"/>
      <c r="BI545" s="112">
        <v>3.0</v>
      </c>
      <c r="BJ545" s="98" t="s">
        <v>155</v>
      </c>
      <c r="BK545" s="99">
        <f t="shared" si="11"/>
        <v>0</v>
      </c>
      <c r="BL545" s="99">
        <f t="shared" si="12"/>
        <v>0</v>
      </c>
      <c r="BM545" s="99" t="str">
        <f>IFERROR(__xludf.DUMMYFUNCTION("IFERROR(VLOOKUP(BG545,IMPORTRANGE(""https://docs.google.com/spreadsheets/d/1juPI-Fb8LD0YtltB2mlGEnp_R3UVu1t3wSFPzgCyHXE/edit?gid=0#gid=0"",""GERAL!A2:C""),3,0),""-"")"),"CAMPO")</f>
        <v>CAMPO</v>
      </c>
    </row>
    <row r="546" ht="15.75" customHeight="1">
      <c r="A546" s="111" t="s">
        <v>605</v>
      </c>
      <c r="B546" s="83" t="s">
        <v>2296</v>
      </c>
      <c r="C546" s="83" t="s">
        <v>164</v>
      </c>
      <c r="D546" s="112">
        <v>1113846.0</v>
      </c>
      <c r="E546" s="83">
        <v>1179247.0</v>
      </c>
      <c r="F546" s="98">
        <v>2.9490537E7</v>
      </c>
      <c r="G546" s="185" t="s">
        <v>2394</v>
      </c>
      <c r="H546" s="91" t="s">
        <v>2395</v>
      </c>
      <c r="I546" s="83" t="s">
        <v>149</v>
      </c>
      <c r="J546" s="83" t="s">
        <v>767</v>
      </c>
      <c r="K546" s="83" t="s">
        <v>168</v>
      </c>
      <c r="L546" s="83" t="s">
        <v>169</v>
      </c>
      <c r="M546" s="82" t="str">
        <f>IFERROR(__xludf.DUMMYFUNCTION("IFERROR(VLOOKUP(D546,
IMPORTRANGE(""https://docs.google.com/spreadsheets/d/1MjHtlUikwobi2MaWJgy7tfLeBmhj1u-dRFRs_8GwSoA/edit#gid=0"",""Gestores Escolares!D7:J""),3,0),""VERIFICAR CÓD SEC"")"),"CLELIA APARECIDA HENRIQUETA DOS SANTOS MALHEIRO")</f>
        <v>CLELIA APARECIDA HENRIQUETA DOS SANTOS MALHEIRO</v>
      </c>
      <c r="N546" s="82" t="str">
        <f>IFERROR(__xludf.DUMMYFUNCTION("IFERROR(VLOOKUP(D546,
IMPORTRANGE(""https://docs.google.com/spreadsheets/d/1MjHtlUikwobi2MaWJgy7tfLeBmhj1u-dRFRs_8GwSoA/edit#gid=0"",""Gestores Escolares!D7:J""),4,0),""VERIFICAR CÓD SEC"")"),"(73) 9 9178-2224")</f>
        <v>(73) 9 9178-2224</v>
      </c>
      <c r="O546" s="82" t="str">
        <f>IFERROR(__xludf.DUMMYFUNCTION("IFERROR(VLOOKUP(D546,
IMPORTRANGE(""https://docs.google.com/spreadsheets/d/1MjHtlUikwobi2MaWJgy7tfLeBmhj1u-dRFRs_8GwSoA/edit#gid=0"",""Gestores Escolares!D7:J""),6,0),""VERIFICAR CÓD SEC"")"),"PRISCILA FELIX ALMEIDA BONADIMAN")</f>
        <v>PRISCILA FELIX ALMEIDA BONADIMAN</v>
      </c>
      <c r="P546" s="82" t="str">
        <f>IFERROR(__xludf.DUMMYFUNCTION("IFERROR(VLOOKUP(D546,
IMPORTRANGE(""https://docs.google.com/spreadsheets/d/1MjHtlUikwobi2MaWJgy7tfLeBmhj1u-dRFRs_8GwSoA/edit#gid=0"",""Gestores Escolares!D7:J""),7,0),""VERIFICAR CÓD SEC"")"),"(73) 9 9979-8142")</f>
        <v>(73) 9 9979-8142</v>
      </c>
      <c r="Q546" s="82" t="str">
        <f>IFERROR(__xludf.DUMMYFUNCTION("IFERROR(VLOOKUP(D546,
IMPORTRANGE(""https://docs.google.com/spreadsheets/d/1MjHtlUikwobi2MaWJgy7tfLeBmhj1u-dRFRs_8GwSoA/edit#gid=0"",""Gestores Escolares!D7:m""),9,0),""VERIFICAR CÓD SEC"")"),"WILSON DA SILVA ROCHA")</f>
        <v>WILSON DA SILVA ROCHA</v>
      </c>
      <c r="R546" s="82" t="str">
        <f>IFERROR(__xludf.DUMMYFUNCTION("IFERROR(VLOOKUP(D546,
IMPORTRANGE(""https://docs.google.com/spreadsheets/d/1MjHtlUikwobi2MaWJgy7tfLeBmhj1u-dRFRs_8GwSoA/edit#gid=0"",""Gestores Escolares!D7:m""),10,0),""VERIFICAR CÓD SEC"")"),"(73) 9 8212-9124")</f>
        <v>(73) 9 8212-9124</v>
      </c>
      <c r="S546" s="82"/>
      <c r="T546" s="138">
        <v>3.0</v>
      </c>
      <c r="U546" s="468">
        <v>3.0</v>
      </c>
      <c r="V546" s="106">
        <v>0.0</v>
      </c>
      <c r="W546" s="107">
        <v>0.0</v>
      </c>
      <c r="X546" s="107">
        <v>0.0</v>
      </c>
      <c r="Y546" s="107">
        <v>0.0</v>
      </c>
      <c r="Z546" s="80">
        <f t="shared" si="1"/>
        <v>0</v>
      </c>
      <c r="AA546" s="106">
        <v>0.0</v>
      </c>
      <c r="AB546" s="107">
        <v>0.0</v>
      </c>
      <c r="AC546" s="107">
        <v>0.0</v>
      </c>
      <c r="AD546" s="107">
        <v>0.0</v>
      </c>
      <c r="AE546" s="80">
        <f t="shared" si="2"/>
        <v>0</v>
      </c>
      <c r="AF546" s="140">
        <v>0.0</v>
      </c>
      <c r="AG546" s="109">
        <v>0.0</v>
      </c>
      <c r="AH546" s="109">
        <v>0.0</v>
      </c>
      <c r="AI546" s="141">
        <v>0.0</v>
      </c>
      <c r="AJ546" s="80">
        <f t="shared" si="3"/>
        <v>0</v>
      </c>
      <c r="AK546" s="140">
        <v>0.0</v>
      </c>
      <c r="AL546" s="109">
        <v>0.0</v>
      </c>
      <c r="AM546" s="141">
        <v>0.0</v>
      </c>
      <c r="AN546" s="80">
        <f t="shared" si="4"/>
        <v>0</v>
      </c>
      <c r="AO546" s="140">
        <v>0.0</v>
      </c>
      <c r="AP546" s="109">
        <v>0.0</v>
      </c>
      <c r="AQ546" s="109">
        <v>31.0</v>
      </c>
      <c r="AR546" s="80">
        <f t="shared" si="5"/>
        <v>31</v>
      </c>
      <c r="AS546" s="110">
        <v>0.0</v>
      </c>
      <c r="AT546" s="110">
        <v>0.0</v>
      </c>
      <c r="AU546" s="110">
        <v>0.0</v>
      </c>
      <c r="AV546" s="142">
        <v>0.0</v>
      </c>
      <c r="AW546" s="80">
        <f t="shared" si="6"/>
        <v>0</v>
      </c>
      <c r="AX546" s="113">
        <f t="shared" si="7"/>
        <v>31</v>
      </c>
      <c r="AY546" s="117">
        <f t="shared" si="8"/>
        <v>0</v>
      </c>
      <c r="AZ546" s="120">
        <f t="shared" si="9"/>
        <v>31</v>
      </c>
      <c r="BA546" s="115">
        <v>0.0</v>
      </c>
      <c r="BB546" s="89">
        <f t="shared" si="10"/>
        <v>31</v>
      </c>
      <c r="BC546" s="132" t="s">
        <v>373</v>
      </c>
      <c r="BD546" s="132" t="s">
        <v>178</v>
      </c>
      <c r="BE546" s="132" t="s">
        <v>178</v>
      </c>
      <c r="BF546" s="156"/>
      <c r="BG546" s="83">
        <v>1179247.0</v>
      </c>
      <c r="BH546" s="112"/>
      <c r="BI546" s="112">
        <v>3.0</v>
      </c>
      <c r="BJ546" s="98" t="s">
        <v>155</v>
      </c>
      <c r="BK546" s="99">
        <f t="shared" si="11"/>
        <v>0</v>
      </c>
      <c r="BL546" s="99">
        <f t="shared" si="12"/>
        <v>0</v>
      </c>
      <c r="BM546" s="99" t="str">
        <f>IFERROR(__xludf.DUMMYFUNCTION("IFERROR(VLOOKUP(BG546,IMPORTRANGE(""https://docs.google.com/spreadsheets/d/1juPI-Fb8LD0YtltB2mlGEnp_R3UVu1t3wSFPzgCyHXE/edit?gid=0#gid=0"",""GERAL!A2:C""),3,0),""-"")"),"CAMPO")</f>
        <v>CAMPO</v>
      </c>
    </row>
    <row r="547" ht="15.75" customHeight="1">
      <c r="A547" s="111" t="s">
        <v>605</v>
      </c>
      <c r="B547" s="83" t="s">
        <v>2398</v>
      </c>
      <c r="C547" s="83" t="s">
        <v>68</v>
      </c>
      <c r="D547" s="112">
        <v>1178272.0</v>
      </c>
      <c r="E547" s="83"/>
      <c r="F547" s="83">
        <v>2.9903726E7</v>
      </c>
      <c r="G547" s="187" t="s">
        <v>2400</v>
      </c>
      <c r="H547" s="91" t="s">
        <v>2401</v>
      </c>
      <c r="I547" s="136" t="s">
        <v>149</v>
      </c>
      <c r="J547" s="83" t="s">
        <v>150</v>
      </c>
      <c r="K547" s="83" t="s">
        <v>151</v>
      </c>
      <c r="L547" s="83" t="s">
        <v>169</v>
      </c>
      <c r="M547" s="82" t="str">
        <f>IFERROR(__xludf.DUMMYFUNCTION("IFERROR(VLOOKUP(D547,
IMPORTRANGE(""https://docs.google.com/spreadsheets/d/1MjHtlUikwobi2MaWJgy7tfLeBmhj1u-dRFRs_8GwSoA/edit#gid=0"",""Gestores Escolares!D7:J""),3,0),""VERIFICAR CÓD SEC"")"),"NAIR JULIA DA SILVA CORDEIRO")</f>
        <v>NAIR JULIA DA SILVA CORDEIRO</v>
      </c>
      <c r="N547" s="82" t="str">
        <f>IFERROR(__xludf.DUMMYFUNCTION("IFERROR(VLOOKUP(D547,
IMPORTRANGE(""https://docs.google.com/spreadsheets/d/1MjHtlUikwobi2MaWJgy7tfLeBmhj1u-dRFRs_8GwSoA/edit#gid=0"",""Gestores Escolares!D7:J""),4,0),""VERIFICAR CÓD SEC"")"),"(73) 9 8231-4550")</f>
        <v>(73) 9 8231-4550</v>
      </c>
      <c r="O547" s="82" t="str">
        <f>IFERROR(__xludf.DUMMYFUNCTION("IFERROR(VLOOKUP(D547,
IMPORTRANGE(""https://docs.google.com/spreadsheets/d/1MjHtlUikwobi2MaWJgy7tfLeBmhj1u-dRFRs_8GwSoA/edit#gid=0"",""Gestores Escolares!D7:J""),6,0),""VERIFICAR CÓD SEC"")"),"CARLITO GONCALVES CORDEIRO")</f>
        <v>CARLITO GONCALVES CORDEIRO</v>
      </c>
      <c r="P547" s="82" t="str">
        <f>IFERROR(__xludf.DUMMYFUNCTION("IFERROR(VLOOKUP(D547,
IMPORTRANGE(""https://docs.google.com/spreadsheets/d/1MjHtlUikwobi2MaWJgy7tfLeBmhj1u-dRFRs_8GwSoA/edit#gid=0"",""Gestores Escolares!D7:J""),7,0),""VERIFICAR CÓD SEC"")"),"(73) 9 8231-4550")</f>
        <v>(73) 9 8231-4550</v>
      </c>
      <c r="Q547" s="82" t="str">
        <f>IFERROR(__xludf.DUMMYFUNCTION("IFERROR(VLOOKUP(D547,
IMPORTRANGE(""https://docs.google.com/spreadsheets/d/1MjHtlUikwobi2MaWJgy7tfLeBmhj1u-dRFRs_8GwSoA/edit#gid=0"",""Gestores Escolares!D7:m""),9,0),""VERIFICAR CÓD SEC"")"),"")</f>
        <v/>
      </c>
      <c r="R547" s="82" t="str">
        <f>IFERROR(__xludf.DUMMYFUNCTION("IFERROR(VLOOKUP(D547,
IMPORTRANGE(""https://docs.google.com/spreadsheets/d/1MjHtlUikwobi2MaWJgy7tfLeBmhj1u-dRFRs_8GwSoA/edit#gid=0"",""Gestores Escolares!D7:m""),10,0),""VERIFICAR CÓD SEC"")"),"")</f>
        <v/>
      </c>
      <c r="S547" s="82"/>
      <c r="T547" s="138">
        <v>6.0</v>
      </c>
      <c r="U547" s="404" t="s">
        <v>7658</v>
      </c>
      <c r="V547" s="106">
        <v>0.0</v>
      </c>
      <c r="W547" s="107">
        <v>0.0</v>
      </c>
      <c r="X547" s="107">
        <v>0.0</v>
      </c>
      <c r="Y547" s="107">
        <v>0.0</v>
      </c>
      <c r="Z547" s="80">
        <f t="shared" si="1"/>
        <v>0</v>
      </c>
      <c r="AA547" s="106">
        <v>0.0</v>
      </c>
      <c r="AB547" s="107">
        <v>0.0</v>
      </c>
      <c r="AC547" s="107">
        <v>0.0</v>
      </c>
      <c r="AD547" s="107">
        <v>0.0</v>
      </c>
      <c r="AE547" s="80">
        <f t="shared" si="2"/>
        <v>0</v>
      </c>
      <c r="AF547" s="140">
        <v>0.0</v>
      </c>
      <c r="AG547" s="109">
        <v>0.0</v>
      </c>
      <c r="AH547" s="109">
        <v>0.0</v>
      </c>
      <c r="AI547" s="141">
        <v>65.0</v>
      </c>
      <c r="AJ547" s="80">
        <f t="shared" si="3"/>
        <v>65</v>
      </c>
      <c r="AK547" s="140">
        <v>0.0</v>
      </c>
      <c r="AL547" s="109">
        <v>0.0</v>
      </c>
      <c r="AM547" s="141">
        <v>0.0</v>
      </c>
      <c r="AN547" s="80">
        <f t="shared" si="4"/>
        <v>0</v>
      </c>
      <c r="AO547" s="140">
        <v>0.0</v>
      </c>
      <c r="AP547" s="109">
        <v>0.0</v>
      </c>
      <c r="AQ547" s="109">
        <v>31.0</v>
      </c>
      <c r="AR547" s="80">
        <f t="shared" si="5"/>
        <v>31</v>
      </c>
      <c r="AS547" s="110">
        <v>0.0</v>
      </c>
      <c r="AT547" s="110">
        <v>0.0</v>
      </c>
      <c r="AU547" s="110">
        <v>18.0</v>
      </c>
      <c r="AV547" s="142">
        <v>0.0</v>
      </c>
      <c r="AW547" s="80">
        <f t="shared" si="6"/>
        <v>18</v>
      </c>
      <c r="AX547" s="113">
        <f t="shared" si="7"/>
        <v>114</v>
      </c>
      <c r="AY547" s="117">
        <f t="shared" si="8"/>
        <v>65</v>
      </c>
      <c r="AZ547" s="120">
        <f t="shared" si="9"/>
        <v>49</v>
      </c>
      <c r="BA547" s="115">
        <v>0.0</v>
      </c>
      <c r="BB547" s="89">
        <f t="shared" si="10"/>
        <v>114</v>
      </c>
      <c r="BC547" s="132" t="s">
        <v>178</v>
      </c>
      <c r="BD547" s="132" t="s">
        <v>178</v>
      </c>
      <c r="BE547" s="132" t="s">
        <v>178</v>
      </c>
      <c r="BF547" s="123"/>
      <c r="BG547" s="83">
        <v>1178272.0</v>
      </c>
      <c r="BH547" s="112"/>
      <c r="BI547" s="112">
        <v>6.0</v>
      </c>
      <c r="BJ547" s="98" t="s">
        <v>155</v>
      </c>
      <c r="BK547" s="99">
        <f t="shared" si="11"/>
        <v>65</v>
      </c>
      <c r="BL547" s="99">
        <f t="shared" si="12"/>
        <v>0</v>
      </c>
      <c r="BM547" s="99" t="str">
        <f>IFERROR(__xludf.DUMMYFUNCTION("IFERROR(VLOOKUP(BG547,IMPORTRANGE(""https://docs.google.com/spreadsheets/d/1juPI-Fb8LD0YtltB2mlGEnp_R3UVu1t3wSFPzgCyHXE/edit?gid=0#gid=0"",""GERAL!A2:C""),3,0),""-"")"),"-")</f>
        <v>-</v>
      </c>
    </row>
    <row r="548" ht="15.75" customHeight="1">
      <c r="A548" s="111" t="s">
        <v>605</v>
      </c>
      <c r="B548" s="83" t="s">
        <v>2398</v>
      </c>
      <c r="C548" s="83" t="s">
        <v>68</v>
      </c>
      <c r="D548" s="112">
        <v>1176142.0</v>
      </c>
      <c r="E548" s="83"/>
      <c r="F548" s="83">
        <v>2.9330041E7</v>
      </c>
      <c r="G548" s="187" t="s">
        <v>2407</v>
      </c>
      <c r="H548" s="91" t="s">
        <v>2409</v>
      </c>
      <c r="I548" s="136" t="s">
        <v>149</v>
      </c>
      <c r="J548" s="83" t="s">
        <v>2410</v>
      </c>
      <c r="K548" s="83" t="s">
        <v>151</v>
      </c>
      <c r="L548" s="83" t="s">
        <v>169</v>
      </c>
      <c r="M548" s="82" t="str">
        <f>IFERROR(__xludf.DUMMYFUNCTION("IFERROR(VLOOKUP(D548,
IMPORTRANGE(""https://docs.google.com/spreadsheets/d/1MjHtlUikwobi2MaWJgy7tfLeBmhj1u-dRFRs_8GwSoA/edit#gid=0"",""Gestores Escolares!D7:J""),3,0),""VERIFICAR CÓD SEC"")"),"JEAN OLIVEIRA DASILVA")</f>
        <v>JEAN OLIVEIRA DASILVA</v>
      </c>
      <c r="N548" s="82" t="str">
        <f>IFERROR(__xludf.DUMMYFUNCTION("IFERROR(VLOOKUP(D548,
IMPORTRANGE(""https://docs.google.com/spreadsheets/d/1MjHtlUikwobi2MaWJgy7tfLeBmhj1u-dRFRs_8GwSoA/edit#gid=0"",""Gestores Escolares!D7:J""),4,0),""VERIFICAR CÓD SEC"")"),"(73) 9 8166-7236")</f>
        <v>(73) 9 8166-7236</v>
      </c>
      <c r="O548" s="82" t="str">
        <f>IFERROR(__xludf.DUMMYFUNCTION("IFERROR(VLOOKUP(D548,
IMPORTRANGE(""https://docs.google.com/spreadsheets/d/1MjHtlUikwobi2MaWJgy7tfLeBmhj1u-dRFRs_8GwSoA/edit#gid=0"",""Gestores Escolares!D7:J""),6,0),""VERIFICAR CÓD SEC"")"),"")</f>
        <v/>
      </c>
      <c r="P548" s="82" t="str">
        <f>IFERROR(__xludf.DUMMYFUNCTION("IFERROR(VLOOKUP(D548,
IMPORTRANGE(""https://docs.google.com/spreadsheets/d/1MjHtlUikwobi2MaWJgy7tfLeBmhj1u-dRFRs_8GwSoA/edit#gid=0"",""Gestores Escolares!D7:J""),7,0),""VERIFICAR CÓD SEC"")"),"")</f>
        <v/>
      </c>
      <c r="Q548" s="82" t="str">
        <f>IFERROR(__xludf.DUMMYFUNCTION("IFERROR(VLOOKUP(D548,
IMPORTRANGE(""https://docs.google.com/spreadsheets/d/1MjHtlUikwobi2MaWJgy7tfLeBmhj1u-dRFRs_8GwSoA/edit#gid=0"",""Gestores Escolares!D7:m""),9,0),""VERIFICAR CÓD SEC"")"),"")</f>
        <v/>
      </c>
      <c r="R548" s="82" t="str">
        <f>IFERROR(__xludf.DUMMYFUNCTION("IFERROR(VLOOKUP(D548,
IMPORTRANGE(""https://docs.google.com/spreadsheets/d/1MjHtlUikwobi2MaWJgy7tfLeBmhj1u-dRFRs_8GwSoA/edit#gid=0"",""Gestores Escolares!D7:m""),10,0),""VERIFICAR CÓD SEC"")"),"")</f>
        <v/>
      </c>
      <c r="S548" s="82"/>
      <c r="T548" s="138">
        <v>4.0</v>
      </c>
      <c r="U548" s="404" t="s">
        <v>7665</v>
      </c>
      <c r="V548" s="106">
        <v>0.0</v>
      </c>
      <c r="W548" s="107">
        <v>0.0</v>
      </c>
      <c r="X548" s="107">
        <v>0.0</v>
      </c>
      <c r="Y548" s="107">
        <v>0.0</v>
      </c>
      <c r="Z548" s="80">
        <f t="shared" si="1"/>
        <v>0</v>
      </c>
      <c r="AA548" s="106">
        <v>0.0</v>
      </c>
      <c r="AB548" s="107">
        <v>0.0</v>
      </c>
      <c r="AC548" s="107">
        <v>0.0</v>
      </c>
      <c r="AD548" s="107">
        <v>0.0</v>
      </c>
      <c r="AE548" s="80">
        <f t="shared" si="2"/>
        <v>0</v>
      </c>
      <c r="AF548" s="140">
        <v>49.0</v>
      </c>
      <c r="AG548" s="109">
        <v>0.0</v>
      </c>
      <c r="AH548" s="109">
        <v>0.0</v>
      </c>
      <c r="AI548" s="141">
        <v>0.0</v>
      </c>
      <c r="AJ548" s="80">
        <f t="shared" si="3"/>
        <v>49</v>
      </c>
      <c r="AK548" s="140">
        <v>0.0</v>
      </c>
      <c r="AL548" s="109">
        <v>0.0</v>
      </c>
      <c r="AM548" s="141">
        <v>0.0</v>
      </c>
      <c r="AN548" s="80">
        <f t="shared" si="4"/>
        <v>0</v>
      </c>
      <c r="AO548" s="140">
        <v>0.0</v>
      </c>
      <c r="AP548" s="109">
        <v>0.0</v>
      </c>
      <c r="AQ548" s="109">
        <v>17.0</v>
      </c>
      <c r="AR548" s="80">
        <f t="shared" si="5"/>
        <v>17</v>
      </c>
      <c r="AS548" s="110">
        <v>0.0</v>
      </c>
      <c r="AT548" s="110">
        <v>0.0</v>
      </c>
      <c r="AU548" s="110">
        <v>0.0</v>
      </c>
      <c r="AV548" s="142">
        <v>0.0</v>
      </c>
      <c r="AW548" s="80">
        <f t="shared" si="6"/>
        <v>0</v>
      </c>
      <c r="AX548" s="113">
        <f t="shared" si="7"/>
        <v>66</v>
      </c>
      <c r="AY548" s="117">
        <f t="shared" si="8"/>
        <v>49</v>
      </c>
      <c r="AZ548" s="120">
        <f t="shared" si="9"/>
        <v>17</v>
      </c>
      <c r="BA548" s="115">
        <v>0.0</v>
      </c>
      <c r="BB548" s="89">
        <f t="shared" si="10"/>
        <v>66</v>
      </c>
      <c r="BC548" s="132" t="s">
        <v>373</v>
      </c>
      <c r="BD548" s="132" t="s">
        <v>178</v>
      </c>
      <c r="BE548" s="132" t="s">
        <v>178</v>
      </c>
      <c r="BF548" s="156"/>
      <c r="BG548" s="83">
        <v>1176142.0</v>
      </c>
      <c r="BH548" s="112"/>
      <c r="BI548" s="112">
        <v>4.0</v>
      </c>
      <c r="BJ548" s="98" t="s">
        <v>155</v>
      </c>
      <c r="BK548" s="99">
        <f t="shared" si="11"/>
        <v>0</v>
      </c>
      <c r="BL548" s="99">
        <f t="shared" si="12"/>
        <v>49</v>
      </c>
      <c r="BM548" s="99" t="str">
        <f>IFERROR(__xludf.DUMMYFUNCTION("IFERROR(VLOOKUP(BG548,IMPORTRANGE(""https://docs.google.com/spreadsheets/d/1juPI-Fb8LD0YtltB2mlGEnp_R3UVu1t3wSFPzgCyHXE/edit?gid=0#gid=0"",""GERAL!A2:C""),3,0),""-"")"),"CAMPO")</f>
        <v>CAMPO</v>
      </c>
    </row>
    <row r="549" ht="15.75" customHeight="1">
      <c r="A549" s="111" t="s">
        <v>605</v>
      </c>
      <c r="B549" s="83" t="s">
        <v>2398</v>
      </c>
      <c r="C549" s="83" t="s">
        <v>164</v>
      </c>
      <c r="D549" s="112">
        <v>1179713.0</v>
      </c>
      <c r="E549" s="83">
        <v>1178565.0</v>
      </c>
      <c r="F549" s="98">
        <v>2.9483247E7</v>
      </c>
      <c r="G549" s="147" t="s">
        <v>2414</v>
      </c>
      <c r="H549" s="91" t="s">
        <v>2415</v>
      </c>
      <c r="I549" s="136" t="s">
        <v>149</v>
      </c>
      <c r="J549" s="83" t="s">
        <v>865</v>
      </c>
      <c r="K549" s="83" t="s">
        <v>168</v>
      </c>
      <c r="L549" s="83" t="s">
        <v>169</v>
      </c>
      <c r="M549" s="82" t="str">
        <f>IFERROR(__xludf.DUMMYFUNCTION("IFERROR(VLOOKUP(D549,
IMPORTRANGE(""https://docs.google.com/spreadsheets/d/1MjHtlUikwobi2MaWJgy7tfLeBmhj1u-dRFRs_8GwSoA/edit#gid=0"",""Gestores Escolares!D7:J""),3,0),""VERIFICAR CÓD SEC"")"),"MARIA DIAS ASSUNCAO")</f>
        <v>MARIA DIAS ASSUNCAO</v>
      </c>
      <c r="N549" s="82" t="str">
        <f>IFERROR(__xludf.DUMMYFUNCTION("IFERROR(VLOOKUP(D549,
IMPORTRANGE(""https://docs.google.com/spreadsheets/d/1MjHtlUikwobi2MaWJgy7tfLeBmhj1u-dRFRs_8GwSoA/edit#gid=0"",""Gestores Escolares!D7:J""),4,0),""VERIFICAR CÓD SEC"")"),"(73) 9 9961-2626")</f>
        <v>(73) 9 9961-2626</v>
      </c>
      <c r="O549" s="82" t="str">
        <f>IFERROR(__xludf.DUMMYFUNCTION("IFERROR(VLOOKUP(D549,
IMPORTRANGE(""https://docs.google.com/spreadsheets/d/1MjHtlUikwobi2MaWJgy7tfLeBmhj1u-dRFRs_8GwSoA/edit#gid=0"",""Gestores Escolares!D7:J""),6,0),""VERIFICAR CÓD SEC"")"),"FERNANDA AURELINO INOCENCIO")</f>
        <v>FERNANDA AURELINO INOCENCIO</v>
      </c>
      <c r="P549" s="82" t="str">
        <f>IFERROR(__xludf.DUMMYFUNCTION("IFERROR(VLOOKUP(D549,
IMPORTRANGE(""https://docs.google.com/spreadsheets/d/1MjHtlUikwobi2MaWJgy7tfLeBmhj1u-dRFRs_8GwSoA/edit#gid=0"",""Gestores Escolares!D7:J""),7,0),""VERIFICAR CÓD SEC"")"),"(73) 9 9823-1075")</f>
        <v>(73) 9 9823-1075</v>
      </c>
      <c r="Q549" s="82" t="str">
        <f>IFERROR(__xludf.DUMMYFUNCTION("IFERROR(VLOOKUP(D549,
IMPORTRANGE(""https://docs.google.com/spreadsheets/d/1MjHtlUikwobi2MaWJgy7tfLeBmhj1u-dRFRs_8GwSoA/edit#gid=0"",""Gestores Escolares!D7:m""),9,0),""VERIFICAR CÓD SEC"")"),"")</f>
        <v/>
      </c>
      <c r="R549" s="82" t="str">
        <f>IFERROR(__xludf.DUMMYFUNCTION("IFERROR(VLOOKUP(D549,
IMPORTRANGE(""https://docs.google.com/spreadsheets/d/1MjHtlUikwobi2MaWJgy7tfLeBmhj1u-dRFRs_8GwSoA/edit#gid=0"",""Gestores Escolares!D7:m""),10,0),""VERIFICAR CÓD SEC"")"),"")</f>
        <v/>
      </c>
      <c r="S549" s="82"/>
      <c r="T549" s="138">
        <v>3.0</v>
      </c>
      <c r="U549" s="403">
        <v>3.0</v>
      </c>
      <c r="V549" s="106">
        <v>0.0</v>
      </c>
      <c r="W549" s="107">
        <v>0.0</v>
      </c>
      <c r="X549" s="107">
        <v>0.0</v>
      </c>
      <c r="Y549" s="107">
        <v>0.0</v>
      </c>
      <c r="Z549" s="80">
        <f t="shared" si="1"/>
        <v>0</v>
      </c>
      <c r="AA549" s="106">
        <v>0.0</v>
      </c>
      <c r="AB549" s="107">
        <v>0.0</v>
      </c>
      <c r="AC549" s="107">
        <v>0.0</v>
      </c>
      <c r="AD549" s="107">
        <v>0.0</v>
      </c>
      <c r="AE549" s="80">
        <f t="shared" si="2"/>
        <v>0</v>
      </c>
      <c r="AF549" s="140">
        <v>0.0</v>
      </c>
      <c r="AG549" s="109">
        <v>0.0</v>
      </c>
      <c r="AH549" s="109">
        <v>24.0</v>
      </c>
      <c r="AI549" s="141">
        <v>0.0</v>
      </c>
      <c r="AJ549" s="80">
        <f t="shared" si="3"/>
        <v>24</v>
      </c>
      <c r="AK549" s="140">
        <v>0.0</v>
      </c>
      <c r="AL549" s="109">
        <v>0.0</v>
      </c>
      <c r="AM549" s="141">
        <v>0.0</v>
      </c>
      <c r="AN549" s="80">
        <f t="shared" si="4"/>
        <v>0</v>
      </c>
      <c r="AO549" s="140">
        <v>0.0</v>
      </c>
      <c r="AP549" s="109">
        <v>0.0</v>
      </c>
      <c r="AQ549" s="109">
        <v>0.0</v>
      </c>
      <c r="AR549" s="80">
        <f t="shared" si="5"/>
        <v>0</v>
      </c>
      <c r="AS549" s="110">
        <v>0.0</v>
      </c>
      <c r="AT549" s="110">
        <v>0.0</v>
      </c>
      <c r="AU549" s="110">
        <v>0.0</v>
      </c>
      <c r="AV549" s="142">
        <v>0.0</v>
      </c>
      <c r="AW549" s="80">
        <f t="shared" si="6"/>
        <v>0</v>
      </c>
      <c r="AX549" s="113">
        <f t="shared" si="7"/>
        <v>24</v>
      </c>
      <c r="AY549" s="117">
        <f t="shared" si="8"/>
        <v>0</v>
      </c>
      <c r="AZ549" s="120">
        <f t="shared" si="9"/>
        <v>24</v>
      </c>
      <c r="BA549" s="115">
        <v>0.0</v>
      </c>
      <c r="BB549" s="89">
        <f t="shared" si="10"/>
        <v>24</v>
      </c>
      <c r="BC549" s="132" t="s">
        <v>178</v>
      </c>
      <c r="BD549" s="143" t="s">
        <v>227</v>
      </c>
      <c r="BE549" s="132" t="s">
        <v>178</v>
      </c>
      <c r="BF549" s="123"/>
      <c r="BG549" s="83">
        <v>1178565.0</v>
      </c>
      <c r="BH549" s="112"/>
      <c r="BI549" s="112">
        <v>3.0</v>
      </c>
      <c r="BJ549" s="98" t="s">
        <v>155</v>
      </c>
      <c r="BK549" s="99">
        <f t="shared" si="11"/>
        <v>0</v>
      </c>
      <c r="BL549" s="99">
        <f t="shared" si="12"/>
        <v>0</v>
      </c>
      <c r="BM549" s="99" t="str">
        <f>IFERROR(__xludf.DUMMYFUNCTION("IFERROR(VLOOKUP(BG549,IMPORTRANGE(""https://docs.google.com/spreadsheets/d/1juPI-Fb8LD0YtltB2mlGEnp_R3UVu1t3wSFPzgCyHXE/edit?gid=0#gid=0"",""GERAL!A2:C""),3,0),""-"")"),"-")</f>
        <v>-</v>
      </c>
    </row>
    <row r="550" ht="15.75" customHeight="1">
      <c r="A550" s="111" t="s">
        <v>605</v>
      </c>
      <c r="B550" s="83" t="s">
        <v>2398</v>
      </c>
      <c r="C550" s="83" t="s">
        <v>164</v>
      </c>
      <c r="D550" s="112">
        <v>1179713.0</v>
      </c>
      <c r="E550" s="83">
        <v>1178882.0</v>
      </c>
      <c r="F550" s="98">
        <v>2.9483247E7</v>
      </c>
      <c r="G550" s="147" t="s">
        <v>2417</v>
      </c>
      <c r="H550" s="91" t="s">
        <v>2418</v>
      </c>
      <c r="I550" s="136" t="s">
        <v>149</v>
      </c>
      <c r="J550" s="83" t="s">
        <v>694</v>
      </c>
      <c r="K550" s="83" t="s">
        <v>168</v>
      </c>
      <c r="L550" s="83" t="s">
        <v>169</v>
      </c>
      <c r="M550" s="82" t="str">
        <f>IFERROR(__xludf.DUMMYFUNCTION("IFERROR(VLOOKUP(D550,
IMPORTRANGE(""https://docs.google.com/spreadsheets/d/1MjHtlUikwobi2MaWJgy7tfLeBmhj1u-dRFRs_8GwSoA/edit#gid=0"",""Gestores Escolares!D7:J""),3,0),""VERIFICAR CÓD SEC"")"),"MARIA DIAS ASSUNCAO")</f>
        <v>MARIA DIAS ASSUNCAO</v>
      </c>
      <c r="N550" s="82" t="str">
        <f>IFERROR(__xludf.DUMMYFUNCTION("IFERROR(VLOOKUP(D550,
IMPORTRANGE(""https://docs.google.com/spreadsheets/d/1MjHtlUikwobi2MaWJgy7tfLeBmhj1u-dRFRs_8GwSoA/edit#gid=0"",""Gestores Escolares!D7:J""),4,0),""VERIFICAR CÓD SEC"")"),"(73) 9 9961-2626")</f>
        <v>(73) 9 9961-2626</v>
      </c>
      <c r="O550" s="82" t="str">
        <f>IFERROR(__xludf.DUMMYFUNCTION("IFERROR(VLOOKUP(D550,
IMPORTRANGE(""https://docs.google.com/spreadsheets/d/1MjHtlUikwobi2MaWJgy7tfLeBmhj1u-dRFRs_8GwSoA/edit#gid=0"",""Gestores Escolares!D7:J""),6,0),""VERIFICAR CÓD SEC"")"),"FERNANDA AURELINO INOCENCIO")</f>
        <v>FERNANDA AURELINO INOCENCIO</v>
      </c>
      <c r="P550" s="82" t="str">
        <f>IFERROR(__xludf.DUMMYFUNCTION("IFERROR(VLOOKUP(D550,
IMPORTRANGE(""https://docs.google.com/spreadsheets/d/1MjHtlUikwobi2MaWJgy7tfLeBmhj1u-dRFRs_8GwSoA/edit#gid=0"",""Gestores Escolares!D7:J""),7,0),""VERIFICAR CÓD SEC"")"),"(73) 9 9823-1075")</f>
        <v>(73) 9 9823-1075</v>
      </c>
      <c r="Q550" s="82" t="str">
        <f>IFERROR(__xludf.DUMMYFUNCTION("IFERROR(VLOOKUP(D550,
IMPORTRANGE(""https://docs.google.com/spreadsheets/d/1MjHtlUikwobi2MaWJgy7tfLeBmhj1u-dRFRs_8GwSoA/edit#gid=0"",""Gestores Escolares!D7:m""),9,0),""VERIFICAR CÓD SEC"")"),"")</f>
        <v/>
      </c>
      <c r="R550" s="82" t="str">
        <f>IFERROR(__xludf.DUMMYFUNCTION("IFERROR(VLOOKUP(D550,
IMPORTRANGE(""https://docs.google.com/spreadsheets/d/1MjHtlUikwobi2MaWJgy7tfLeBmhj1u-dRFRs_8GwSoA/edit#gid=0"",""Gestores Escolares!D7:m""),10,0),""VERIFICAR CÓD SEC"")"),"")</f>
        <v/>
      </c>
      <c r="S550" s="82"/>
      <c r="T550" s="138">
        <v>3.0</v>
      </c>
      <c r="U550" s="403">
        <v>3.0</v>
      </c>
      <c r="V550" s="106">
        <v>0.0</v>
      </c>
      <c r="W550" s="107">
        <v>0.0</v>
      </c>
      <c r="X550" s="107">
        <v>0.0</v>
      </c>
      <c r="Y550" s="107">
        <v>0.0</v>
      </c>
      <c r="Z550" s="80">
        <f t="shared" si="1"/>
        <v>0</v>
      </c>
      <c r="AA550" s="106">
        <v>0.0</v>
      </c>
      <c r="AB550" s="107">
        <v>0.0</v>
      </c>
      <c r="AC550" s="107">
        <v>0.0</v>
      </c>
      <c r="AD550" s="107">
        <v>0.0</v>
      </c>
      <c r="AE550" s="80">
        <f t="shared" si="2"/>
        <v>0</v>
      </c>
      <c r="AF550" s="140">
        <v>0.0</v>
      </c>
      <c r="AG550" s="109">
        <v>0.0</v>
      </c>
      <c r="AH550" s="109">
        <v>21.0</v>
      </c>
      <c r="AI550" s="141">
        <v>0.0</v>
      </c>
      <c r="AJ550" s="80">
        <f t="shared" si="3"/>
        <v>21</v>
      </c>
      <c r="AK550" s="140">
        <v>0.0</v>
      </c>
      <c r="AL550" s="109">
        <v>0.0</v>
      </c>
      <c r="AM550" s="141">
        <v>0.0</v>
      </c>
      <c r="AN550" s="80">
        <f t="shared" si="4"/>
        <v>0</v>
      </c>
      <c r="AO550" s="140">
        <v>0.0</v>
      </c>
      <c r="AP550" s="109">
        <v>0.0</v>
      </c>
      <c r="AQ550" s="109">
        <v>0.0</v>
      </c>
      <c r="AR550" s="80">
        <f t="shared" si="5"/>
        <v>0</v>
      </c>
      <c r="AS550" s="110">
        <v>0.0</v>
      </c>
      <c r="AT550" s="110">
        <v>0.0</v>
      </c>
      <c r="AU550" s="110">
        <v>0.0</v>
      </c>
      <c r="AV550" s="142">
        <v>0.0</v>
      </c>
      <c r="AW550" s="80">
        <f t="shared" si="6"/>
        <v>0</v>
      </c>
      <c r="AX550" s="113">
        <f t="shared" si="7"/>
        <v>21</v>
      </c>
      <c r="AY550" s="117">
        <f t="shared" si="8"/>
        <v>0</v>
      </c>
      <c r="AZ550" s="120">
        <f t="shared" si="9"/>
        <v>21</v>
      </c>
      <c r="BA550" s="115">
        <v>0.0</v>
      </c>
      <c r="BB550" s="89">
        <f t="shared" si="10"/>
        <v>21</v>
      </c>
      <c r="BC550" s="132" t="s">
        <v>178</v>
      </c>
      <c r="BD550" s="143" t="s">
        <v>227</v>
      </c>
      <c r="BE550" s="132" t="s">
        <v>178</v>
      </c>
      <c r="BF550" s="123"/>
      <c r="BG550" s="83">
        <v>1178882.0</v>
      </c>
      <c r="BH550" s="112"/>
      <c r="BI550" s="112">
        <v>3.0</v>
      </c>
      <c r="BJ550" s="98" t="s">
        <v>155</v>
      </c>
      <c r="BK550" s="99">
        <f t="shared" si="11"/>
        <v>0</v>
      </c>
      <c r="BL550" s="99">
        <f t="shared" si="12"/>
        <v>0</v>
      </c>
      <c r="BM550" s="99" t="str">
        <f>IFERROR(__xludf.DUMMYFUNCTION("IFERROR(VLOOKUP(BG550,IMPORTRANGE(""https://docs.google.com/spreadsheets/d/1juPI-Fb8LD0YtltB2mlGEnp_R3UVu1t3wSFPzgCyHXE/edit?gid=0#gid=0"",""GERAL!A2:C""),3,0),""-"")"),"-")</f>
        <v>-</v>
      </c>
    </row>
    <row r="551" ht="15.75" customHeight="1">
      <c r="A551" s="111" t="s">
        <v>605</v>
      </c>
      <c r="B551" s="83" t="s">
        <v>2398</v>
      </c>
      <c r="C551" s="83" t="s">
        <v>164</v>
      </c>
      <c r="D551" s="112">
        <v>1178272.0</v>
      </c>
      <c r="E551" s="83">
        <v>1178566.0</v>
      </c>
      <c r="F551" s="98">
        <v>2.9492831E7</v>
      </c>
      <c r="G551" s="187" t="s">
        <v>2421</v>
      </c>
      <c r="H551" s="91" t="s">
        <v>2422</v>
      </c>
      <c r="I551" s="136" t="s">
        <v>2423</v>
      </c>
      <c r="J551" s="83" t="s">
        <v>865</v>
      </c>
      <c r="K551" s="146" t="s">
        <v>151</v>
      </c>
      <c r="L551" s="83" t="s">
        <v>169</v>
      </c>
      <c r="M551" s="82" t="str">
        <f>IFERROR(__xludf.DUMMYFUNCTION("IFERROR(VLOOKUP(D551,
IMPORTRANGE(""https://docs.google.com/spreadsheets/d/1MjHtlUikwobi2MaWJgy7tfLeBmhj1u-dRFRs_8GwSoA/edit#gid=0"",""Gestores Escolares!D7:J""),3,0),""VERIFICAR CÓD SEC"")"),"NAIR JULIA DA SILVA CORDEIRO")</f>
        <v>NAIR JULIA DA SILVA CORDEIRO</v>
      </c>
      <c r="N551" s="82" t="str">
        <f>IFERROR(__xludf.DUMMYFUNCTION("IFERROR(VLOOKUP(D551,
IMPORTRANGE(""https://docs.google.com/spreadsheets/d/1MjHtlUikwobi2MaWJgy7tfLeBmhj1u-dRFRs_8GwSoA/edit#gid=0"",""Gestores Escolares!D7:J""),4,0),""VERIFICAR CÓD SEC"")"),"(73) 9 8231-4550")</f>
        <v>(73) 9 8231-4550</v>
      </c>
      <c r="O551" s="82" t="str">
        <f>IFERROR(__xludf.DUMMYFUNCTION("IFERROR(VLOOKUP(D551,
IMPORTRANGE(""https://docs.google.com/spreadsheets/d/1MjHtlUikwobi2MaWJgy7tfLeBmhj1u-dRFRs_8GwSoA/edit#gid=0"",""Gestores Escolares!D7:J""),6,0),""VERIFICAR CÓD SEC"")"),"CARLITO GONCALVES CORDEIRO")</f>
        <v>CARLITO GONCALVES CORDEIRO</v>
      </c>
      <c r="P551" s="82" t="str">
        <f>IFERROR(__xludf.DUMMYFUNCTION("IFERROR(VLOOKUP(D551,
IMPORTRANGE(""https://docs.google.com/spreadsheets/d/1MjHtlUikwobi2MaWJgy7tfLeBmhj1u-dRFRs_8GwSoA/edit#gid=0"",""Gestores Escolares!D7:J""),7,0),""VERIFICAR CÓD SEC"")"),"(73) 9 8231-4550")</f>
        <v>(73) 9 8231-4550</v>
      </c>
      <c r="Q551" s="82" t="str">
        <f>IFERROR(__xludf.DUMMYFUNCTION("IFERROR(VLOOKUP(D551,
IMPORTRANGE(""https://docs.google.com/spreadsheets/d/1MjHtlUikwobi2MaWJgy7tfLeBmhj1u-dRFRs_8GwSoA/edit#gid=0"",""Gestores Escolares!D7:m""),9,0),""VERIFICAR CÓD SEC"")"),"")</f>
        <v/>
      </c>
      <c r="R551" s="82" t="str">
        <f>IFERROR(__xludf.DUMMYFUNCTION("IFERROR(VLOOKUP(D551,
IMPORTRANGE(""https://docs.google.com/spreadsheets/d/1MjHtlUikwobi2MaWJgy7tfLeBmhj1u-dRFRs_8GwSoA/edit#gid=0"",""Gestores Escolares!D7:m""),10,0),""VERIFICAR CÓD SEC"")"),"")</f>
        <v/>
      </c>
      <c r="S551" s="82"/>
      <c r="T551" s="138">
        <v>3.0</v>
      </c>
      <c r="U551" s="403">
        <v>3.0</v>
      </c>
      <c r="V551" s="106">
        <v>0.0</v>
      </c>
      <c r="W551" s="107">
        <v>0.0</v>
      </c>
      <c r="X551" s="107">
        <v>0.0</v>
      </c>
      <c r="Y551" s="107">
        <v>0.0</v>
      </c>
      <c r="Z551" s="80">
        <f t="shared" si="1"/>
        <v>0</v>
      </c>
      <c r="AA551" s="106">
        <v>0.0</v>
      </c>
      <c r="AB551" s="107">
        <v>0.0</v>
      </c>
      <c r="AC551" s="107">
        <v>0.0</v>
      </c>
      <c r="AD551" s="107">
        <v>0.0</v>
      </c>
      <c r="AE551" s="80">
        <f t="shared" si="2"/>
        <v>0</v>
      </c>
      <c r="AF551" s="140">
        <v>0.0</v>
      </c>
      <c r="AG551" s="109">
        <v>0.0</v>
      </c>
      <c r="AH551" s="109">
        <v>0.0</v>
      </c>
      <c r="AI551" s="141">
        <v>0.0</v>
      </c>
      <c r="AJ551" s="80">
        <f t="shared" si="3"/>
        <v>0</v>
      </c>
      <c r="AK551" s="140">
        <v>0.0</v>
      </c>
      <c r="AL551" s="109">
        <v>0.0</v>
      </c>
      <c r="AM551" s="141">
        <v>0.0</v>
      </c>
      <c r="AN551" s="80">
        <f t="shared" si="4"/>
        <v>0</v>
      </c>
      <c r="AO551" s="140">
        <v>0.0</v>
      </c>
      <c r="AP551" s="109">
        <v>0.0</v>
      </c>
      <c r="AQ551" s="109">
        <v>23.0</v>
      </c>
      <c r="AR551" s="80">
        <f t="shared" si="5"/>
        <v>23</v>
      </c>
      <c r="AS551" s="110">
        <v>0.0</v>
      </c>
      <c r="AT551" s="110">
        <v>0.0</v>
      </c>
      <c r="AU551" s="110">
        <v>0.0</v>
      </c>
      <c r="AV551" s="142">
        <v>0.0</v>
      </c>
      <c r="AW551" s="80">
        <f t="shared" si="6"/>
        <v>0</v>
      </c>
      <c r="AX551" s="113">
        <f t="shared" si="7"/>
        <v>23</v>
      </c>
      <c r="AY551" s="117">
        <f t="shared" si="8"/>
        <v>0</v>
      </c>
      <c r="AZ551" s="120">
        <f t="shared" si="9"/>
        <v>23</v>
      </c>
      <c r="BA551" s="115">
        <v>0.0</v>
      </c>
      <c r="BB551" s="89">
        <f t="shared" si="10"/>
        <v>23</v>
      </c>
      <c r="BC551" s="132" t="s">
        <v>373</v>
      </c>
      <c r="BD551" s="132" t="s">
        <v>178</v>
      </c>
      <c r="BE551" s="132" t="s">
        <v>178</v>
      </c>
      <c r="BF551" s="123"/>
      <c r="BG551" s="83">
        <v>1178566.0</v>
      </c>
      <c r="BH551" s="112"/>
      <c r="BI551" s="112">
        <v>3.0</v>
      </c>
      <c r="BJ551" s="98" t="s">
        <v>155</v>
      </c>
      <c r="BK551" s="99">
        <f t="shared" si="11"/>
        <v>0</v>
      </c>
      <c r="BL551" s="99">
        <f t="shared" si="12"/>
        <v>0</v>
      </c>
      <c r="BM551" s="99" t="str">
        <f>IFERROR(__xludf.DUMMYFUNCTION("IFERROR(VLOOKUP(BG551,IMPORTRANGE(""https://docs.google.com/spreadsheets/d/1juPI-Fb8LD0YtltB2mlGEnp_R3UVu1t3wSFPzgCyHXE/edit?gid=0#gid=0"",""GERAL!A2:C""),3,0),""-"")"),"CAMPO")</f>
        <v>CAMPO</v>
      </c>
    </row>
    <row r="552" ht="15.75" customHeight="1">
      <c r="A552" s="111" t="s">
        <v>673</v>
      </c>
      <c r="B552" s="83" t="s">
        <v>2425</v>
      </c>
      <c r="C552" s="83" t="s">
        <v>68</v>
      </c>
      <c r="D552" s="112">
        <v>1118449.0</v>
      </c>
      <c r="E552" s="83"/>
      <c r="F552" s="83">
        <v>2.9270545E7</v>
      </c>
      <c r="G552" s="119" t="s">
        <v>2427</v>
      </c>
      <c r="H552" s="91" t="s">
        <v>2429</v>
      </c>
      <c r="I552" s="83" t="s">
        <v>149</v>
      </c>
      <c r="J552" s="83" t="s">
        <v>150</v>
      </c>
      <c r="K552" s="83" t="s">
        <v>151</v>
      </c>
      <c r="L552" s="83" t="s">
        <v>169</v>
      </c>
      <c r="M552" s="82" t="str">
        <f>IFERROR(__xludf.DUMMYFUNCTION("IFERROR(VLOOKUP(D552,
IMPORTRANGE(""https://docs.google.com/spreadsheets/d/1MjHtlUikwobi2MaWJgy7tfLeBmhj1u-dRFRs_8GwSoA/edit#gid=0"",""Gestores Escolares!D7:J""),3,0),""VERIFICAR CÓD SEC"")"),"MIKELAL ROST ARAUJO")</f>
        <v>MIKELAL ROST ARAUJO</v>
      </c>
      <c r="N552" s="82" t="str">
        <f>IFERROR(__xludf.DUMMYFUNCTION("IFERROR(VLOOKUP(D552,
IMPORTRANGE(""https://docs.google.com/spreadsheets/d/1MjHtlUikwobi2MaWJgy7tfLeBmhj1u-dRFRs_8GwSoA/edit#gid=0"",""Gestores Escolares!D7:J""),4,0),""VERIFICAR CÓD SEC"")")," (77) 9 8125-5535")</f>
        <v> (77) 9 8125-5535</v>
      </c>
      <c r="O552" s="82" t="str">
        <f>IFERROR(__xludf.DUMMYFUNCTION("IFERROR(VLOOKUP(D552,
IMPORTRANGE(""https://docs.google.com/spreadsheets/d/1MjHtlUikwobi2MaWJgy7tfLeBmhj1u-dRFRs_8GwSoA/edit#gid=0"",""Gestores Escolares!D7:J""),6,0),""VERIFICAR CÓD SEC"")"),"JOSE ROBERTO SANTANA SOUZA")</f>
        <v>JOSE ROBERTO SANTANA SOUZA</v>
      </c>
      <c r="P552" s="82" t="str">
        <f>IFERROR(__xludf.DUMMYFUNCTION("IFERROR(VLOOKUP(D552,
IMPORTRANGE(""https://docs.google.com/spreadsheets/d/1MjHtlUikwobi2MaWJgy7tfLeBmhj1u-dRFRs_8GwSoA/edit#gid=0"",""Gestores Escolares!D7:J""),7,0),""VERIFICAR CÓD SEC"")"),"(77) 9 8811-7166")</f>
        <v>(77) 9 8811-7166</v>
      </c>
      <c r="Q552" s="82" t="str">
        <f>IFERROR(__xludf.DUMMYFUNCTION("IFERROR(VLOOKUP(D552,
IMPORTRANGE(""https://docs.google.com/spreadsheets/d/1MjHtlUikwobi2MaWJgy7tfLeBmhj1u-dRFRs_8GwSoA/edit#gid=0"",""Gestores Escolares!D7:m""),9,0),""VERIFICAR CÓD SEC"")"),"")</f>
        <v/>
      </c>
      <c r="R552" s="82" t="str">
        <f>IFERROR(__xludf.DUMMYFUNCTION("IFERROR(VLOOKUP(D552,
IMPORTRANGE(""https://docs.google.com/spreadsheets/d/1MjHtlUikwobi2MaWJgy7tfLeBmhj1u-dRFRs_8GwSoA/edit#gid=0"",""Gestores Escolares!D7:m""),10,0),""VERIFICAR CÓD SEC"")"),"")</f>
        <v/>
      </c>
      <c r="S552" s="82"/>
      <c r="T552" s="138">
        <v>5.0</v>
      </c>
      <c r="U552" s="404" t="s">
        <v>7719</v>
      </c>
      <c r="V552" s="106">
        <v>0.0</v>
      </c>
      <c r="W552" s="107">
        <v>0.0</v>
      </c>
      <c r="X552" s="107">
        <v>0.0</v>
      </c>
      <c r="Y552" s="107">
        <v>0.0</v>
      </c>
      <c r="Z552" s="80">
        <f t="shared" si="1"/>
        <v>0</v>
      </c>
      <c r="AA552" s="106">
        <v>0.0</v>
      </c>
      <c r="AB552" s="107">
        <v>0.0</v>
      </c>
      <c r="AC552" s="107">
        <v>0.0</v>
      </c>
      <c r="AD552" s="107">
        <v>0.0</v>
      </c>
      <c r="AE552" s="80">
        <f t="shared" si="2"/>
        <v>0</v>
      </c>
      <c r="AF552" s="140">
        <v>139.0</v>
      </c>
      <c r="AG552" s="109">
        <v>12.0</v>
      </c>
      <c r="AH552" s="109">
        <v>0.0</v>
      </c>
      <c r="AI552" s="141">
        <v>0.0</v>
      </c>
      <c r="AJ552" s="80">
        <f t="shared" si="3"/>
        <v>151</v>
      </c>
      <c r="AK552" s="140">
        <v>0.0</v>
      </c>
      <c r="AL552" s="109">
        <v>0.0</v>
      </c>
      <c r="AM552" s="141">
        <v>0.0</v>
      </c>
      <c r="AN552" s="80">
        <f t="shared" si="4"/>
        <v>0</v>
      </c>
      <c r="AO552" s="140">
        <v>0.0</v>
      </c>
      <c r="AP552" s="109">
        <v>0.0</v>
      </c>
      <c r="AQ552" s="109">
        <v>39.0</v>
      </c>
      <c r="AR552" s="80">
        <f t="shared" si="5"/>
        <v>39</v>
      </c>
      <c r="AS552" s="110">
        <v>0.0</v>
      </c>
      <c r="AT552" s="110">
        <v>34.0</v>
      </c>
      <c r="AU552" s="110">
        <v>0.0</v>
      </c>
      <c r="AV552" s="142">
        <v>0.0</v>
      </c>
      <c r="AW552" s="80">
        <f t="shared" si="6"/>
        <v>34</v>
      </c>
      <c r="AX552" s="113">
        <f t="shared" si="7"/>
        <v>224</v>
      </c>
      <c r="AY552" s="117">
        <f t="shared" si="8"/>
        <v>185</v>
      </c>
      <c r="AZ552" s="120">
        <f t="shared" si="9"/>
        <v>39</v>
      </c>
      <c r="BA552" s="115">
        <v>0.0</v>
      </c>
      <c r="BB552" s="89">
        <f t="shared" si="10"/>
        <v>224</v>
      </c>
      <c r="BC552" s="132" t="s">
        <v>178</v>
      </c>
      <c r="BD552" s="132" t="s">
        <v>178</v>
      </c>
      <c r="BE552" s="132" t="s">
        <v>178</v>
      </c>
      <c r="BF552" s="123"/>
      <c r="BG552" s="83">
        <v>1118449.0</v>
      </c>
      <c r="BH552" s="112"/>
      <c r="BI552" s="112">
        <v>5.0</v>
      </c>
      <c r="BJ552" s="98" t="s">
        <v>155</v>
      </c>
      <c r="BK552" s="99">
        <f t="shared" si="11"/>
        <v>0</v>
      </c>
      <c r="BL552" s="99">
        <f t="shared" si="12"/>
        <v>185</v>
      </c>
      <c r="BM552" s="99" t="str">
        <f>IFERROR(__xludf.DUMMYFUNCTION("IFERROR(VLOOKUP(BG552,IMPORTRANGE(""https://docs.google.com/spreadsheets/d/1juPI-Fb8LD0YtltB2mlGEnp_R3UVu1t3wSFPzgCyHXE/edit?gid=0#gid=0"",""GERAL!A2:C""),3,0),""-"")"),"-")</f>
        <v>-</v>
      </c>
    </row>
    <row r="553" ht="15.75" customHeight="1">
      <c r="A553" s="111" t="s">
        <v>673</v>
      </c>
      <c r="B553" s="83" t="s">
        <v>2431</v>
      </c>
      <c r="C553" s="83" t="s">
        <v>68</v>
      </c>
      <c r="D553" s="112">
        <v>1118511.0</v>
      </c>
      <c r="E553" s="83"/>
      <c r="F553" s="83">
        <v>2.9297974E7</v>
      </c>
      <c r="G553" s="114" t="s">
        <v>2433</v>
      </c>
      <c r="H553" s="91" t="s">
        <v>2434</v>
      </c>
      <c r="I553" s="83" t="s">
        <v>149</v>
      </c>
      <c r="J553" s="83" t="s">
        <v>150</v>
      </c>
      <c r="K553" s="83" t="s">
        <v>2435</v>
      </c>
      <c r="L553" s="83" t="s">
        <v>76</v>
      </c>
      <c r="M553" s="82" t="str">
        <f>IFERROR(__xludf.DUMMYFUNCTION("IFERROR(VLOOKUP(D553,
IMPORTRANGE(""https://docs.google.com/spreadsheets/d/1MjHtlUikwobi2MaWJgy7tfLeBmhj1u-dRFRs_8GwSoA/edit#gid=0"",""Gestores Escolares!D7:J""),3,0),""VERIFICAR CÓD SEC"")"),"SANDRA HELENA LEMOS FRANÇA ALMEIDA")</f>
        <v>SANDRA HELENA LEMOS FRANÇA ALMEIDA</v>
      </c>
      <c r="N553" s="82" t="str">
        <f>IFERROR(__xludf.DUMMYFUNCTION("IFERROR(VLOOKUP(D553,
IMPORTRANGE(""https://docs.google.com/spreadsheets/d/1MjHtlUikwobi2MaWJgy7tfLeBmhj1u-dRFRs_8GwSoA/edit#gid=0"",""Gestores Escolares!D7:J""),4,0),""VERIFICAR CÓD SEC"")"),"(73) 9 8154-3707")</f>
        <v>(73) 9 8154-3707</v>
      </c>
      <c r="O553" s="82" t="str">
        <f>IFERROR(__xludf.DUMMYFUNCTION("IFERROR(VLOOKUP(D553,
IMPORTRANGE(""https://docs.google.com/spreadsheets/d/1MjHtlUikwobi2MaWJgy7tfLeBmhj1u-dRFRs_8GwSoA/edit#gid=0"",""Gestores Escolares!D7:J""),6,0),""VERIFICAR CÓD SEC"")"),"THIAGO OLIVEIRA SALES")</f>
        <v>THIAGO OLIVEIRA SALES</v>
      </c>
      <c r="P553" s="82" t="str">
        <f>IFERROR(__xludf.DUMMYFUNCTION("IFERROR(VLOOKUP(D553,
IMPORTRANGE(""https://docs.google.com/spreadsheets/d/1MjHtlUikwobi2MaWJgy7tfLeBmhj1u-dRFRs_8GwSoA/edit#gid=0"",""Gestores Escolares!D7:J""),7,0),""VERIFICAR CÓD SEC"")"),"(77) 9 9109-9955")</f>
        <v>(77) 9 9109-9955</v>
      </c>
      <c r="Q553" s="82" t="str">
        <f>IFERROR(__xludf.DUMMYFUNCTION("IFERROR(VLOOKUP(D553,
IMPORTRANGE(""https://docs.google.com/spreadsheets/d/1MjHtlUikwobi2MaWJgy7tfLeBmhj1u-dRFRs_8GwSoA/edit#gid=0"",""Gestores Escolares!D7:m""),9,0),""VERIFICAR CÓD SEC"")"),"")</f>
        <v/>
      </c>
      <c r="R553" s="82" t="str">
        <f>IFERROR(__xludf.DUMMYFUNCTION("IFERROR(VLOOKUP(D553,
IMPORTRANGE(""https://docs.google.com/spreadsheets/d/1MjHtlUikwobi2MaWJgy7tfLeBmhj1u-dRFRs_8GwSoA/edit#gid=0"",""Gestores Escolares!D7:m""),10,0),""VERIFICAR CÓD SEC"")"),"")</f>
        <v/>
      </c>
      <c r="S553" s="82"/>
      <c r="T553" s="138">
        <v>11.0</v>
      </c>
      <c r="U553" s="388">
        <v>6.0</v>
      </c>
      <c r="V553" s="106">
        <v>0.0</v>
      </c>
      <c r="W553" s="107">
        <v>0.0</v>
      </c>
      <c r="X553" s="107">
        <v>0.0</v>
      </c>
      <c r="Y553" s="107">
        <v>0.0</v>
      </c>
      <c r="Z553" s="80">
        <f t="shared" si="1"/>
        <v>0</v>
      </c>
      <c r="AA553" s="106">
        <v>0.0</v>
      </c>
      <c r="AB553" s="107">
        <v>0.0</v>
      </c>
      <c r="AC553" s="107">
        <v>0.0</v>
      </c>
      <c r="AD553" s="107">
        <v>0.0</v>
      </c>
      <c r="AE553" s="80">
        <f t="shared" si="2"/>
        <v>0</v>
      </c>
      <c r="AF553" s="140">
        <v>0.0</v>
      </c>
      <c r="AG553" s="109">
        <v>0.0</v>
      </c>
      <c r="AH553" s="109">
        <v>0.0</v>
      </c>
      <c r="AI553" s="141">
        <v>68.0</v>
      </c>
      <c r="AJ553" s="80">
        <f t="shared" si="3"/>
        <v>68</v>
      </c>
      <c r="AK553" s="140">
        <v>0.0</v>
      </c>
      <c r="AL553" s="109">
        <v>0.0</v>
      </c>
      <c r="AM553" s="141">
        <v>0.0</v>
      </c>
      <c r="AN553" s="80">
        <f t="shared" si="4"/>
        <v>0</v>
      </c>
      <c r="AO553" s="140">
        <v>0.0</v>
      </c>
      <c r="AP553" s="109">
        <v>0.0</v>
      </c>
      <c r="AQ553" s="109">
        <v>60.0</v>
      </c>
      <c r="AR553" s="80">
        <f t="shared" si="5"/>
        <v>60</v>
      </c>
      <c r="AS553" s="110">
        <v>0.0</v>
      </c>
      <c r="AT553" s="110">
        <v>0.0</v>
      </c>
      <c r="AU553" s="110">
        <v>0.0</v>
      </c>
      <c r="AV553" s="142">
        <v>51.0</v>
      </c>
      <c r="AW553" s="80">
        <f t="shared" si="6"/>
        <v>51</v>
      </c>
      <c r="AX553" s="113">
        <f t="shared" si="7"/>
        <v>179</v>
      </c>
      <c r="AY553" s="117">
        <f t="shared" si="8"/>
        <v>119</v>
      </c>
      <c r="AZ553" s="120">
        <f t="shared" si="9"/>
        <v>60</v>
      </c>
      <c r="BA553" s="115">
        <v>0.0</v>
      </c>
      <c r="BB553" s="89">
        <f t="shared" si="10"/>
        <v>179</v>
      </c>
      <c r="BC553" s="132" t="s">
        <v>178</v>
      </c>
      <c r="BD553" s="132" t="s">
        <v>178</v>
      </c>
      <c r="BE553" s="132" t="s">
        <v>178</v>
      </c>
      <c r="BF553" s="123"/>
      <c r="BG553" s="83">
        <v>1118511.0</v>
      </c>
      <c r="BH553" s="112"/>
      <c r="BI553" s="112">
        <v>4.0</v>
      </c>
      <c r="BJ553" s="98" t="s">
        <v>155</v>
      </c>
      <c r="BK553" s="99">
        <f t="shared" si="11"/>
        <v>119</v>
      </c>
      <c r="BL553" s="99">
        <f t="shared" si="12"/>
        <v>0</v>
      </c>
      <c r="BM553" s="99" t="str">
        <f>IFERROR(__xludf.DUMMYFUNCTION("IFERROR(VLOOKUP(BG553,IMPORTRANGE(""https://docs.google.com/spreadsheets/d/1juPI-Fb8LD0YtltB2mlGEnp_R3UVu1t3wSFPzgCyHXE/edit?gid=0#gid=0"",""GERAL!A2:C""),3,0),""-"")"),"-")</f>
        <v>-</v>
      </c>
    </row>
    <row r="554" ht="15.75" customHeight="1">
      <c r="A554" s="111" t="s">
        <v>673</v>
      </c>
      <c r="B554" s="83" t="s">
        <v>2446</v>
      </c>
      <c r="C554" s="83" t="s">
        <v>68</v>
      </c>
      <c r="D554" s="112">
        <v>1118546.0</v>
      </c>
      <c r="E554" s="83"/>
      <c r="F554" s="83">
        <v>2.9272696E7</v>
      </c>
      <c r="G554" s="469" t="s">
        <v>7745</v>
      </c>
      <c r="H554" s="91" t="s">
        <v>2450</v>
      </c>
      <c r="I554" s="136" t="s">
        <v>149</v>
      </c>
      <c r="J554" s="83" t="s">
        <v>150</v>
      </c>
      <c r="K554" s="83" t="s">
        <v>151</v>
      </c>
      <c r="L554" s="98" t="s">
        <v>230</v>
      </c>
      <c r="M554" s="82" t="str">
        <f>IFERROR(__xludf.DUMMYFUNCTION("IFERROR(VLOOKUP(D554,
IMPORTRANGE(""https://docs.google.com/spreadsheets/d/1MjHtlUikwobi2MaWJgy7tfLeBmhj1u-dRFRs_8GwSoA/edit#gid=0"",""Gestores Escolares!D7:J""),3,0),""VERIFICAR CÓD SEC"")"),"CARLOS JORDAN SOUZA DA ROCHA")</f>
        <v>CARLOS JORDAN SOUZA DA ROCHA</v>
      </c>
      <c r="N554" s="82" t="str">
        <f>IFERROR(__xludf.DUMMYFUNCTION("IFERROR(VLOOKUP(D554,
IMPORTRANGE(""https://docs.google.com/spreadsheets/d/1MjHtlUikwobi2MaWJgy7tfLeBmhj1u-dRFRs_8GwSoA/edit#gid=0"",""Gestores Escolares!D7:J""),4,0),""VERIFICAR CÓD SEC"")"),"(73) 9 8137-2127")</f>
        <v>(73) 9 8137-2127</v>
      </c>
      <c r="O554" s="82" t="str">
        <f>IFERROR(__xludf.DUMMYFUNCTION("IFERROR(VLOOKUP(D554,
IMPORTRANGE(""https://docs.google.com/spreadsheets/d/1MjHtlUikwobi2MaWJgy7tfLeBmhj1u-dRFRs_8GwSoA/edit#gid=0"",""Gestores Escolares!D7:J""),6,0),""VERIFICAR CÓD SEC"")"),"ANA SORAYA PIRES VEIGA BRITO")</f>
        <v>ANA SORAYA PIRES VEIGA BRITO</v>
      </c>
      <c r="P554" s="82" t="str">
        <f>IFERROR(__xludf.DUMMYFUNCTION("IFERROR(VLOOKUP(D554,
IMPORTRANGE(""https://docs.google.com/spreadsheets/d/1MjHtlUikwobi2MaWJgy7tfLeBmhj1u-dRFRs_8GwSoA/edit#gid=0"",""Gestores Escolares!D7:J""),7,0),""VERIFICAR CÓD SEC"")"),"(73) 9 8133-2526")</f>
        <v>(73) 9 8133-2526</v>
      </c>
      <c r="Q554" s="82" t="str">
        <f>IFERROR(__xludf.DUMMYFUNCTION("IFERROR(VLOOKUP(D554,
IMPORTRANGE(""https://docs.google.com/spreadsheets/d/1MjHtlUikwobi2MaWJgy7tfLeBmhj1u-dRFRs_8GwSoA/edit#gid=0"",""Gestores Escolares!D7:m""),9,0),""VERIFICAR CÓD SEC"")"),"")</f>
        <v/>
      </c>
      <c r="R554" s="82" t="str">
        <f>IFERROR(__xludf.DUMMYFUNCTION("IFERROR(VLOOKUP(D554,
IMPORTRANGE(""https://docs.google.com/spreadsheets/d/1MjHtlUikwobi2MaWJgy7tfLeBmhj1u-dRFRs_8GwSoA/edit#gid=0"",""Gestores Escolares!D7:m""),10,0),""VERIFICAR CÓD SEC"")"),"")</f>
        <v/>
      </c>
      <c r="S554" s="82"/>
      <c r="T554" s="138">
        <v>7.0</v>
      </c>
      <c r="U554" s="470">
        <v>10.0</v>
      </c>
      <c r="V554" s="106">
        <v>0.0</v>
      </c>
      <c r="W554" s="107">
        <v>0.0</v>
      </c>
      <c r="X554" s="107">
        <v>0.0</v>
      </c>
      <c r="Y554" s="107">
        <v>0.0</v>
      </c>
      <c r="Z554" s="80">
        <f t="shared" si="1"/>
        <v>0</v>
      </c>
      <c r="AA554" s="106">
        <v>0.0</v>
      </c>
      <c r="AB554" s="107">
        <v>0.0</v>
      </c>
      <c r="AC554" s="107">
        <v>0.0</v>
      </c>
      <c r="AD554" s="107">
        <v>0.0</v>
      </c>
      <c r="AE554" s="80">
        <f t="shared" si="2"/>
        <v>0</v>
      </c>
      <c r="AF554" s="140">
        <v>0.0</v>
      </c>
      <c r="AG554" s="109">
        <v>0.0</v>
      </c>
      <c r="AH554" s="109">
        <v>0.0</v>
      </c>
      <c r="AI554" s="141">
        <v>230.0</v>
      </c>
      <c r="AJ554" s="80">
        <f t="shared" si="3"/>
        <v>230</v>
      </c>
      <c r="AK554" s="140">
        <v>0.0</v>
      </c>
      <c r="AL554" s="109">
        <v>0.0</v>
      </c>
      <c r="AM554" s="141">
        <v>0.0</v>
      </c>
      <c r="AN554" s="80">
        <f t="shared" si="4"/>
        <v>0</v>
      </c>
      <c r="AO554" s="140">
        <v>0.0</v>
      </c>
      <c r="AP554" s="109">
        <v>0.0</v>
      </c>
      <c r="AQ554" s="109">
        <v>133.0</v>
      </c>
      <c r="AR554" s="80">
        <f t="shared" si="5"/>
        <v>133</v>
      </c>
      <c r="AS554" s="110">
        <v>0.0</v>
      </c>
      <c r="AT554" s="110">
        <v>0.0</v>
      </c>
      <c r="AU554" s="110">
        <v>0.0</v>
      </c>
      <c r="AV554" s="142">
        <v>40.0</v>
      </c>
      <c r="AW554" s="80">
        <f t="shared" si="6"/>
        <v>40</v>
      </c>
      <c r="AX554" s="113">
        <f t="shared" si="7"/>
        <v>403</v>
      </c>
      <c r="AY554" s="117">
        <f t="shared" si="8"/>
        <v>270</v>
      </c>
      <c r="AZ554" s="120">
        <f t="shared" si="9"/>
        <v>133</v>
      </c>
      <c r="BA554" s="115">
        <v>0.0</v>
      </c>
      <c r="BB554" s="89">
        <f t="shared" si="10"/>
        <v>403</v>
      </c>
      <c r="BC554" s="132" t="s">
        <v>178</v>
      </c>
      <c r="BD554" s="132" t="s">
        <v>178</v>
      </c>
      <c r="BE554" s="132" t="s">
        <v>178</v>
      </c>
      <c r="BF554" s="123"/>
      <c r="BG554" s="83">
        <v>1118546.0</v>
      </c>
      <c r="BH554" s="112"/>
      <c r="BI554" s="112">
        <v>6.0</v>
      </c>
      <c r="BJ554" s="98" t="s">
        <v>162</v>
      </c>
      <c r="BK554" s="99">
        <f t="shared" si="11"/>
        <v>270</v>
      </c>
      <c r="BL554" s="99">
        <f t="shared" si="12"/>
        <v>0</v>
      </c>
      <c r="BM554" s="99" t="str">
        <f>IFERROR(__xludf.DUMMYFUNCTION("IFERROR(VLOOKUP(BG554,IMPORTRANGE(""https://docs.google.com/spreadsheets/d/1juPI-Fb8LD0YtltB2mlGEnp_R3UVu1t3wSFPzgCyHXE/edit?gid=0#gid=0"",""GERAL!A2:C""),3,0),""-"")"),"-")</f>
        <v>-</v>
      </c>
    </row>
    <row r="555" ht="15.75" customHeight="1">
      <c r="A555" s="111" t="s">
        <v>673</v>
      </c>
      <c r="B555" s="83" t="s">
        <v>2446</v>
      </c>
      <c r="C555" s="83" t="s">
        <v>164</v>
      </c>
      <c r="D555" s="112">
        <v>1118546.0</v>
      </c>
      <c r="E555" s="83">
        <v>1178639.0</v>
      </c>
      <c r="F555" s="98">
        <v>2.9491193E7</v>
      </c>
      <c r="G555" s="119" t="s">
        <v>2458</v>
      </c>
      <c r="H555" s="91" t="s">
        <v>2459</v>
      </c>
      <c r="I555" s="136" t="s">
        <v>2460</v>
      </c>
      <c r="J555" s="83" t="s">
        <v>2461</v>
      </c>
      <c r="K555" s="83" t="s">
        <v>151</v>
      </c>
      <c r="L555" s="83" t="s">
        <v>169</v>
      </c>
      <c r="M555" s="82" t="str">
        <f>IFERROR(__xludf.DUMMYFUNCTION("IFERROR(VLOOKUP(D555,
IMPORTRANGE(""https://docs.google.com/spreadsheets/d/1MjHtlUikwobi2MaWJgy7tfLeBmhj1u-dRFRs_8GwSoA/edit#gid=0"",""Gestores Escolares!D7:J""),3,0),""VERIFICAR CÓD SEC"")"),"CARLOS JORDAN SOUZA DA ROCHA")</f>
        <v>CARLOS JORDAN SOUZA DA ROCHA</v>
      </c>
      <c r="N555" s="82" t="str">
        <f>IFERROR(__xludf.DUMMYFUNCTION("IFERROR(VLOOKUP(D555,
IMPORTRANGE(""https://docs.google.com/spreadsheets/d/1MjHtlUikwobi2MaWJgy7tfLeBmhj1u-dRFRs_8GwSoA/edit#gid=0"",""Gestores Escolares!D7:J""),4,0),""VERIFICAR CÓD SEC"")"),"(73) 9 8137-2127")</f>
        <v>(73) 9 8137-2127</v>
      </c>
      <c r="O555" s="82" t="str">
        <f>IFERROR(__xludf.DUMMYFUNCTION("IFERROR(VLOOKUP(D555,
IMPORTRANGE(""https://docs.google.com/spreadsheets/d/1MjHtlUikwobi2MaWJgy7tfLeBmhj1u-dRFRs_8GwSoA/edit#gid=0"",""Gestores Escolares!D7:J""),6,0),""VERIFICAR CÓD SEC"")"),"ANA SORAYA PIRES VEIGA BRITO")</f>
        <v>ANA SORAYA PIRES VEIGA BRITO</v>
      </c>
      <c r="P555" s="82" t="str">
        <f>IFERROR(__xludf.DUMMYFUNCTION("IFERROR(VLOOKUP(D555,
IMPORTRANGE(""https://docs.google.com/spreadsheets/d/1MjHtlUikwobi2MaWJgy7tfLeBmhj1u-dRFRs_8GwSoA/edit#gid=0"",""Gestores Escolares!D7:J""),7,0),""VERIFICAR CÓD SEC"")"),"(73) 9 8133-2526")</f>
        <v>(73) 9 8133-2526</v>
      </c>
      <c r="Q555" s="82" t="str">
        <f>IFERROR(__xludf.DUMMYFUNCTION("IFERROR(VLOOKUP(D555,
IMPORTRANGE(""https://docs.google.com/spreadsheets/d/1MjHtlUikwobi2MaWJgy7tfLeBmhj1u-dRFRs_8GwSoA/edit#gid=0"",""Gestores Escolares!D7:m""),9,0),""VERIFICAR CÓD SEC"")"),"")</f>
        <v/>
      </c>
      <c r="R555" s="82" t="str">
        <f>IFERROR(__xludf.DUMMYFUNCTION("IFERROR(VLOOKUP(D555,
IMPORTRANGE(""https://docs.google.com/spreadsheets/d/1MjHtlUikwobi2MaWJgy7tfLeBmhj1u-dRFRs_8GwSoA/edit#gid=0"",""Gestores Escolares!D7:m""),10,0),""VERIFICAR CÓD SEC"")"),"")</f>
        <v/>
      </c>
      <c r="S555" s="82"/>
      <c r="T555" s="138">
        <v>2.0</v>
      </c>
      <c r="U555" s="403">
        <v>2.0</v>
      </c>
      <c r="V555" s="106">
        <v>0.0</v>
      </c>
      <c r="W555" s="107">
        <v>0.0</v>
      </c>
      <c r="X555" s="107">
        <v>0.0</v>
      </c>
      <c r="Y555" s="107">
        <v>0.0</v>
      </c>
      <c r="Z555" s="80">
        <f t="shared" si="1"/>
        <v>0</v>
      </c>
      <c r="AA555" s="106">
        <v>0.0</v>
      </c>
      <c r="AB555" s="107">
        <v>0.0</v>
      </c>
      <c r="AC555" s="107">
        <v>0.0</v>
      </c>
      <c r="AD555" s="107">
        <v>0.0</v>
      </c>
      <c r="AE555" s="80">
        <f t="shared" si="2"/>
        <v>0</v>
      </c>
      <c r="AF555" s="140">
        <v>0.0</v>
      </c>
      <c r="AG555" s="109">
        <v>8.0</v>
      </c>
      <c r="AH555" s="109">
        <v>19.0</v>
      </c>
      <c r="AI555" s="141">
        <v>0.0</v>
      </c>
      <c r="AJ555" s="80">
        <f t="shared" si="3"/>
        <v>27</v>
      </c>
      <c r="AK555" s="140">
        <v>0.0</v>
      </c>
      <c r="AL555" s="109">
        <v>0.0</v>
      </c>
      <c r="AM555" s="141">
        <v>0.0</v>
      </c>
      <c r="AN555" s="80">
        <f t="shared" si="4"/>
        <v>0</v>
      </c>
      <c r="AO555" s="140">
        <v>0.0</v>
      </c>
      <c r="AP555" s="109">
        <v>0.0</v>
      </c>
      <c r="AQ555" s="109">
        <v>0.0</v>
      </c>
      <c r="AR555" s="80">
        <f t="shared" si="5"/>
        <v>0</v>
      </c>
      <c r="AS555" s="110">
        <v>0.0</v>
      </c>
      <c r="AT555" s="110">
        <v>0.0</v>
      </c>
      <c r="AU555" s="110">
        <v>0.0</v>
      </c>
      <c r="AV555" s="142">
        <v>0.0</v>
      </c>
      <c r="AW555" s="80">
        <f t="shared" si="6"/>
        <v>0</v>
      </c>
      <c r="AX555" s="113">
        <f t="shared" si="7"/>
        <v>27</v>
      </c>
      <c r="AY555" s="117">
        <f t="shared" si="8"/>
        <v>8</v>
      </c>
      <c r="AZ555" s="120">
        <f t="shared" si="9"/>
        <v>19</v>
      </c>
      <c r="BA555" s="115">
        <v>0.0</v>
      </c>
      <c r="BB555" s="89">
        <f t="shared" si="10"/>
        <v>27</v>
      </c>
      <c r="BC555" s="132" t="s">
        <v>373</v>
      </c>
      <c r="BD555" s="132" t="s">
        <v>178</v>
      </c>
      <c r="BE555" s="132" t="s">
        <v>178</v>
      </c>
      <c r="BF555" s="123"/>
      <c r="BG555" s="83">
        <v>1178639.0</v>
      </c>
      <c r="BH555" s="112"/>
      <c r="BI555" s="112">
        <v>2.0</v>
      </c>
      <c r="BJ555" s="98" t="s">
        <v>155</v>
      </c>
      <c r="BK555" s="99">
        <f t="shared" si="11"/>
        <v>0</v>
      </c>
      <c r="BL555" s="99">
        <f t="shared" si="12"/>
        <v>8</v>
      </c>
      <c r="BM555" s="99" t="str">
        <f>IFERROR(__xludf.DUMMYFUNCTION("IFERROR(VLOOKUP(BG555,IMPORTRANGE(""https://docs.google.com/spreadsheets/d/1juPI-Fb8LD0YtltB2mlGEnp_R3UVu1t3wSFPzgCyHXE/edit?gid=0#gid=0"",""GERAL!A2:C""),3,0),""-"")"),"CAMPO")</f>
        <v>CAMPO</v>
      </c>
    </row>
    <row r="556" ht="15.75" customHeight="1">
      <c r="A556" s="111" t="s">
        <v>673</v>
      </c>
      <c r="B556" s="83" t="s">
        <v>2446</v>
      </c>
      <c r="C556" s="83" t="s">
        <v>164</v>
      </c>
      <c r="D556" s="112">
        <v>1118546.0</v>
      </c>
      <c r="E556" s="83">
        <v>1178638.0</v>
      </c>
      <c r="F556" s="98">
        <v>2.9491177E7</v>
      </c>
      <c r="G556" s="119" t="s">
        <v>2465</v>
      </c>
      <c r="H556" s="91" t="s">
        <v>2466</v>
      </c>
      <c r="I556" s="136" t="s">
        <v>149</v>
      </c>
      <c r="J556" s="83" t="s">
        <v>702</v>
      </c>
      <c r="K556" s="83" t="s">
        <v>151</v>
      </c>
      <c r="L556" s="83" t="s">
        <v>169</v>
      </c>
      <c r="M556" s="82" t="str">
        <f>IFERROR(__xludf.DUMMYFUNCTION("IFERROR(VLOOKUP(D556,
IMPORTRANGE(""https://docs.google.com/spreadsheets/d/1MjHtlUikwobi2MaWJgy7tfLeBmhj1u-dRFRs_8GwSoA/edit#gid=0"",""Gestores Escolares!D7:J""),3,0),""VERIFICAR CÓD SEC"")"),"CARLOS JORDAN SOUZA DA ROCHA")</f>
        <v>CARLOS JORDAN SOUZA DA ROCHA</v>
      </c>
      <c r="N556" s="82" t="str">
        <f>IFERROR(__xludf.DUMMYFUNCTION("IFERROR(VLOOKUP(D556,
IMPORTRANGE(""https://docs.google.com/spreadsheets/d/1MjHtlUikwobi2MaWJgy7tfLeBmhj1u-dRFRs_8GwSoA/edit#gid=0"",""Gestores Escolares!D7:J""),4,0),""VERIFICAR CÓD SEC"")"),"(73) 9 8137-2127")</f>
        <v>(73) 9 8137-2127</v>
      </c>
      <c r="O556" s="82" t="str">
        <f>IFERROR(__xludf.DUMMYFUNCTION("IFERROR(VLOOKUP(D556,
IMPORTRANGE(""https://docs.google.com/spreadsheets/d/1MjHtlUikwobi2MaWJgy7tfLeBmhj1u-dRFRs_8GwSoA/edit#gid=0"",""Gestores Escolares!D7:J""),6,0),""VERIFICAR CÓD SEC"")"),"ANA SORAYA PIRES VEIGA BRITO")</f>
        <v>ANA SORAYA PIRES VEIGA BRITO</v>
      </c>
      <c r="P556" s="82" t="str">
        <f>IFERROR(__xludf.DUMMYFUNCTION("IFERROR(VLOOKUP(D556,
IMPORTRANGE(""https://docs.google.com/spreadsheets/d/1MjHtlUikwobi2MaWJgy7tfLeBmhj1u-dRFRs_8GwSoA/edit#gid=0"",""Gestores Escolares!D7:J""),7,0),""VERIFICAR CÓD SEC"")"),"(73) 9 8133-2526")</f>
        <v>(73) 9 8133-2526</v>
      </c>
      <c r="Q556" s="82" t="str">
        <f>IFERROR(__xludf.DUMMYFUNCTION("IFERROR(VLOOKUP(D556,
IMPORTRANGE(""https://docs.google.com/spreadsheets/d/1MjHtlUikwobi2MaWJgy7tfLeBmhj1u-dRFRs_8GwSoA/edit#gid=0"",""Gestores Escolares!D7:m""),9,0),""VERIFICAR CÓD SEC"")"),"")</f>
        <v/>
      </c>
      <c r="R556" s="82" t="str">
        <f>IFERROR(__xludf.DUMMYFUNCTION("IFERROR(VLOOKUP(D556,
IMPORTRANGE(""https://docs.google.com/spreadsheets/d/1MjHtlUikwobi2MaWJgy7tfLeBmhj1u-dRFRs_8GwSoA/edit#gid=0"",""Gestores Escolares!D7:m""),10,0),""VERIFICAR CÓD SEC"")"),"")</f>
        <v/>
      </c>
      <c r="S556" s="82"/>
      <c r="T556" s="138">
        <v>2.0</v>
      </c>
      <c r="U556" s="152">
        <v>2.0</v>
      </c>
      <c r="V556" s="106">
        <v>0.0</v>
      </c>
      <c r="W556" s="107">
        <v>0.0</v>
      </c>
      <c r="X556" s="107">
        <v>0.0</v>
      </c>
      <c r="Y556" s="107">
        <v>0.0</v>
      </c>
      <c r="Z556" s="80">
        <f t="shared" si="1"/>
        <v>0</v>
      </c>
      <c r="AA556" s="106">
        <v>0.0</v>
      </c>
      <c r="AB556" s="107">
        <v>0.0</v>
      </c>
      <c r="AC556" s="107">
        <v>0.0</v>
      </c>
      <c r="AD556" s="107">
        <v>0.0</v>
      </c>
      <c r="AE556" s="80">
        <f t="shared" si="2"/>
        <v>0</v>
      </c>
      <c r="AF556" s="140">
        <v>0.0</v>
      </c>
      <c r="AG556" s="109">
        <v>0.0</v>
      </c>
      <c r="AH556" s="109">
        <v>45.0</v>
      </c>
      <c r="AI556" s="141">
        <v>0.0</v>
      </c>
      <c r="AJ556" s="80">
        <f t="shared" si="3"/>
        <v>45</v>
      </c>
      <c r="AK556" s="140">
        <v>0.0</v>
      </c>
      <c r="AL556" s="109">
        <v>0.0</v>
      </c>
      <c r="AM556" s="141">
        <v>0.0</v>
      </c>
      <c r="AN556" s="80">
        <f t="shared" si="4"/>
        <v>0</v>
      </c>
      <c r="AO556" s="140">
        <v>0.0</v>
      </c>
      <c r="AP556" s="109">
        <v>0.0</v>
      </c>
      <c r="AQ556" s="109">
        <v>0.0</v>
      </c>
      <c r="AR556" s="80">
        <f t="shared" si="5"/>
        <v>0</v>
      </c>
      <c r="AS556" s="110">
        <v>0.0</v>
      </c>
      <c r="AT556" s="110">
        <v>0.0</v>
      </c>
      <c r="AU556" s="110">
        <v>0.0</v>
      </c>
      <c r="AV556" s="142">
        <v>0.0</v>
      </c>
      <c r="AW556" s="80">
        <f t="shared" si="6"/>
        <v>0</v>
      </c>
      <c r="AX556" s="113">
        <f t="shared" si="7"/>
        <v>45</v>
      </c>
      <c r="AY556" s="117">
        <f t="shared" si="8"/>
        <v>0</v>
      </c>
      <c r="AZ556" s="120">
        <f t="shared" si="9"/>
        <v>45</v>
      </c>
      <c r="BA556" s="115">
        <v>0.0</v>
      </c>
      <c r="BB556" s="89">
        <f t="shared" si="10"/>
        <v>45</v>
      </c>
      <c r="BC556" s="132" t="s">
        <v>373</v>
      </c>
      <c r="BD556" s="132" t="s">
        <v>178</v>
      </c>
      <c r="BE556" s="132" t="s">
        <v>178</v>
      </c>
      <c r="BF556" s="123"/>
      <c r="BG556" s="83">
        <v>1178638.0</v>
      </c>
      <c r="BH556" s="112"/>
      <c r="BI556" s="112">
        <v>2.0</v>
      </c>
      <c r="BJ556" s="98" t="s">
        <v>155</v>
      </c>
      <c r="BK556" s="99">
        <f t="shared" si="11"/>
        <v>0</v>
      </c>
      <c r="BL556" s="99">
        <f t="shared" si="12"/>
        <v>0</v>
      </c>
      <c r="BM556" s="99" t="str">
        <f>IFERROR(__xludf.DUMMYFUNCTION("IFERROR(VLOOKUP(BG556,IMPORTRANGE(""https://docs.google.com/spreadsheets/d/1juPI-Fb8LD0YtltB2mlGEnp_R3UVu1t3wSFPzgCyHXE/edit?gid=0#gid=0"",""GERAL!A2:C""),3,0),""-"")"),"CAMPO")</f>
        <v>CAMPO</v>
      </c>
    </row>
    <row r="557" ht="15.75" customHeight="1">
      <c r="A557" s="111" t="s">
        <v>673</v>
      </c>
      <c r="B557" s="83" t="s">
        <v>2469</v>
      </c>
      <c r="C557" s="83" t="s">
        <v>68</v>
      </c>
      <c r="D557" s="112">
        <v>1118619.0</v>
      </c>
      <c r="E557" s="83"/>
      <c r="F557" s="83">
        <v>2.9272947E7</v>
      </c>
      <c r="G557" s="119" t="s">
        <v>2470</v>
      </c>
      <c r="H557" s="108" t="s">
        <v>2472</v>
      </c>
      <c r="I557" s="115" t="s">
        <v>2474</v>
      </c>
      <c r="J557" s="83" t="s">
        <v>150</v>
      </c>
      <c r="K557" s="83" t="s">
        <v>151</v>
      </c>
      <c r="L557" s="83" t="s">
        <v>152</v>
      </c>
      <c r="M557" s="82" t="str">
        <f>IFERROR(__xludf.DUMMYFUNCTION("IFERROR(VLOOKUP(D557,
IMPORTRANGE(""https://docs.google.com/spreadsheets/d/1MjHtlUikwobi2MaWJgy7tfLeBmhj1u-dRFRs_8GwSoA/edit#gid=0"",""Gestores Escolares!D7:J""),3,0),""VERIFICAR CÓD SEC"")"),"LUIS RAMON SOUSA DE LIMA")</f>
        <v>LUIS RAMON SOUSA DE LIMA</v>
      </c>
      <c r="N557" s="82" t="str">
        <f>IFERROR(__xludf.DUMMYFUNCTION("IFERROR(VLOOKUP(D557,
IMPORTRANGE(""https://docs.google.com/spreadsheets/d/1MjHtlUikwobi2MaWJgy7tfLeBmhj1u-dRFRs_8GwSoA/edit#gid=0"",""Gestores Escolares!D7:J""),4,0),""VERIFICAR CÓD SEC"")"),"(73) 9 8839-8438")</f>
        <v>(73) 9 8839-8438</v>
      </c>
      <c r="O557" s="82" t="str">
        <f>IFERROR(__xludf.DUMMYFUNCTION("IFERROR(VLOOKUP(D557,
IMPORTRANGE(""https://docs.google.com/spreadsheets/d/1MjHtlUikwobi2MaWJgy7tfLeBmhj1u-dRFRs_8GwSoA/edit#gid=0"",""Gestores Escolares!D7:J""),6,0),""VERIFICAR CÓD SEC"")"),"ELENICE DOS SANTOS ROCHA")</f>
        <v>ELENICE DOS SANTOS ROCHA</v>
      </c>
      <c r="P557" s="82" t="str">
        <f>IFERROR(__xludf.DUMMYFUNCTION("IFERROR(VLOOKUP(D557,
IMPORTRANGE(""https://docs.google.com/spreadsheets/d/1MjHtlUikwobi2MaWJgy7tfLeBmhj1u-dRFRs_8GwSoA/edit#gid=0"",""Gestores Escolares!D7:J""),7,0),""VERIFICAR CÓD SEC"")"),"(73) 9 8830-6577")</f>
        <v>(73) 9 8830-6577</v>
      </c>
      <c r="Q557" s="82" t="str">
        <f>IFERROR(__xludf.DUMMYFUNCTION("IFERROR(VLOOKUP(D557,
IMPORTRANGE(""https://docs.google.com/spreadsheets/d/1MjHtlUikwobi2MaWJgy7tfLeBmhj1u-dRFRs_8GwSoA/edit#gid=0"",""Gestores Escolares!D7:m""),9,0),""VERIFICAR CÓD SEC"")"),"")</f>
        <v/>
      </c>
      <c r="R557" s="82" t="str">
        <f>IFERROR(__xludf.DUMMYFUNCTION("IFERROR(VLOOKUP(D557,
IMPORTRANGE(""https://docs.google.com/spreadsheets/d/1MjHtlUikwobi2MaWJgy7tfLeBmhj1u-dRFRs_8GwSoA/edit#gid=0"",""Gestores Escolares!D7:m""),10,0),""VERIFICAR CÓD SEC"")"),"")</f>
        <v/>
      </c>
      <c r="S557" s="82"/>
      <c r="T557" s="138">
        <v>15.0</v>
      </c>
      <c r="U557" s="148">
        <v>12.0</v>
      </c>
      <c r="V557" s="106">
        <v>0.0</v>
      </c>
      <c r="W557" s="107">
        <v>0.0</v>
      </c>
      <c r="X557" s="107">
        <v>0.0</v>
      </c>
      <c r="Y557" s="107">
        <v>0.0</v>
      </c>
      <c r="Z557" s="80">
        <f t="shared" si="1"/>
        <v>0</v>
      </c>
      <c r="AA557" s="106">
        <v>0.0</v>
      </c>
      <c r="AB557" s="107">
        <v>0.0</v>
      </c>
      <c r="AC557" s="107">
        <v>0.0</v>
      </c>
      <c r="AD557" s="107">
        <v>0.0</v>
      </c>
      <c r="AE557" s="80">
        <f t="shared" si="2"/>
        <v>0</v>
      </c>
      <c r="AF557" s="140">
        <v>283.0</v>
      </c>
      <c r="AG557" s="109">
        <v>312.0</v>
      </c>
      <c r="AH557" s="109">
        <v>0.0</v>
      </c>
      <c r="AI557" s="141">
        <v>33.0</v>
      </c>
      <c r="AJ557" s="80">
        <f t="shared" si="3"/>
        <v>628</v>
      </c>
      <c r="AK557" s="140">
        <v>0.0</v>
      </c>
      <c r="AL557" s="109">
        <v>0.0</v>
      </c>
      <c r="AM557" s="141">
        <v>0.0</v>
      </c>
      <c r="AN557" s="80">
        <f t="shared" si="4"/>
        <v>0</v>
      </c>
      <c r="AO557" s="140">
        <v>0.0</v>
      </c>
      <c r="AP557" s="109">
        <v>0.0</v>
      </c>
      <c r="AQ557" s="109">
        <v>96.0</v>
      </c>
      <c r="AR557" s="80">
        <f t="shared" si="5"/>
        <v>96</v>
      </c>
      <c r="AS557" s="110">
        <v>0.0</v>
      </c>
      <c r="AT557" s="110">
        <v>0.0</v>
      </c>
      <c r="AU557" s="110">
        <v>13.0</v>
      </c>
      <c r="AV557" s="142">
        <v>32.0</v>
      </c>
      <c r="AW557" s="80">
        <f t="shared" si="6"/>
        <v>45</v>
      </c>
      <c r="AX557" s="113">
        <f t="shared" si="7"/>
        <v>769</v>
      </c>
      <c r="AY557" s="117">
        <f t="shared" si="8"/>
        <v>660</v>
      </c>
      <c r="AZ557" s="120">
        <f t="shared" si="9"/>
        <v>109</v>
      </c>
      <c r="BA557" s="115">
        <v>0.0</v>
      </c>
      <c r="BB557" s="89">
        <f t="shared" si="10"/>
        <v>769</v>
      </c>
      <c r="BC557" s="132" t="s">
        <v>178</v>
      </c>
      <c r="BD557" s="132" t="s">
        <v>178</v>
      </c>
      <c r="BE557" s="132" t="s">
        <v>178</v>
      </c>
      <c r="BF557" s="123"/>
      <c r="BG557" s="83">
        <v>1118619.0</v>
      </c>
      <c r="BH557" s="112"/>
      <c r="BI557" s="112">
        <v>11.0</v>
      </c>
      <c r="BJ557" s="98" t="s">
        <v>162</v>
      </c>
      <c r="BK557" s="99">
        <f t="shared" si="11"/>
        <v>65</v>
      </c>
      <c r="BL557" s="99">
        <f t="shared" si="12"/>
        <v>595</v>
      </c>
      <c r="BM557" s="99" t="str">
        <f>IFERROR(__xludf.DUMMYFUNCTION("IFERROR(VLOOKUP(BG557,IMPORTRANGE(""https://docs.google.com/spreadsheets/d/1juPI-Fb8LD0YtltB2mlGEnp_R3UVu1t3wSFPzgCyHXE/edit?gid=0#gid=0"",""GERAL!A2:C""),3,0),""-"")"),"-")</f>
        <v>-</v>
      </c>
    </row>
    <row r="558" ht="15.75" customHeight="1">
      <c r="A558" s="111" t="s">
        <v>673</v>
      </c>
      <c r="B558" s="83" t="s">
        <v>2482</v>
      </c>
      <c r="C558" s="83" t="s">
        <v>68</v>
      </c>
      <c r="D558" s="112">
        <v>1118791.0</v>
      </c>
      <c r="E558" s="83"/>
      <c r="F558" s="83">
        <v>2.9282055E7</v>
      </c>
      <c r="G558" s="279" t="s">
        <v>2483</v>
      </c>
      <c r="H558" s="91" t="s">
        <v>2484</v>
      </c>
      <c r="I558" s="83" t="s">
        <v>2485</v>
      </c>
      <c r="J558" s="83" t="s">
        <v>150</v>
      </c>
      <c r="K558" s="83" t="s">
        <v>151</v>
      </c>
      <c r="L558" s="83" t="s">
        <v>152</v>
      </c>
      <c r="M558" s="82" t="str">
        <f>IFERROR(__xludf.DUMMYFUNCTION("IFERROR(VLOOKUP(D558,
IMPORTRANGE(""https://docs.google.com/spreadsheets/d/1MjHtlUikwobi2MaWJgy7tfLeBmhj1u-dRFRs_8GwSoA/edit#gid=0"",""Gestores Escolares!D7:J""),3,0),""VERIFICAR CÓD SEC"")"),"HUMBERTO SILVA DA PAIXAO")</f>
        <v>HUMBERTO SILVA DA PAIXAO</v>
      </c>
      <c r="N558" s="82" t="str">
        <f>IFERROR(__xludf.DUMMYFUNCTION("IFERROR(VLOOKUP(D558,
IMPORTRANGE(""https://docs.google.com/spreadsheets/d/1MjHtlUikwobi2MaWJgy7tfLeBmhj1u-dRFRs_8GwSoA/edit#gid=0"",""Gestores Escolares!D7:J""),4,0),""VERIFICAR CÓD SEC"")"),"(77) 9 9974-5704")</f>
        <v>(77) 9 9974-5704</v>
      </c>
      <c r="O558" s="82" t="str">
        <f>IFERROR(__xludf.DUMMYFUNCTION("IFERROR(VLOOKUP(D558,
IMPORTRANGE(""https://docs.google.com/spreadsheets/d/1MjHtlUikwobi2MaWJgy7tfLeBmhj1u-dRFRs_8GwSoA/edit#gid=0"",""Gestores Escolares!D7:J""),6,0),""VERIFICAR CÓD SEC"")"),"JOSE FERNANDO E SILVA")</f>
        <v>JOSE FERNANDO E SILVA</v>
      </c>
      <c r="P558" s="82" t="str">
        <f>IFERROR(__xludf.DUMMYFUNCTION("IFERROR(VLOOKUP(D558,
IMPORTRANGE(""https://docs.google.com/spreadsheets/d/1MjHtlUikwobi2MaWJgy7tfLeBmhj1u-dRFRs_8GwSoA/edit#gid=0"",""Gestores Escolares!D7:J""),7,0),""VERIFICAR CÓD SEC"")"),"(77) 9 9954-0398")</f>
        <v>(77) 9 9954-0398</v>
      </c>
      <c r="Q558" s="82" t="str">
        <f>IFERROR(__xludf.DUMMYFUNCTION("IFERROR(VLOOKUP(D558,
IMPORTRANGE(""https://docs.google.com/spreadsheets/d/1MjHtlUikwobi2MaWJgy7tfLeBmhj1u-dRFRs_8GwSoA/edit#gid=0"",""Gestores Escolares!D7:m""),9,0),""VERIFICAR CÓD SEC"")"),"ALDONICE FERNANDES DE OLIVEIRA")</f>
        <v>ALDONICE FERNANDES DE OLIVEIRA</v>
      </c>
      <c r="R558" s="82" t="str">
        <f>IFERROR(__xludf.DUMMYFUNCTION("IFERROR(VLOOKUP(D558,
IMPORTRANGE(""https://docs.google.com/spreadsheets/d/1MjHtlUikwobi2MaWJgy7tfLeBmhj1u-dRFRs_8GwSoA/edit#gid=0"",""Gestores Escolares!D7:m""),10,0),""VERIFICAR CÓD SEC"")"),"(77) 9 9939-9889")</f>
        <v>(77) 9 9939-9889</v>
      </c>
      <c r="S558" s="82"/>
      <c r="T558" s="138">
        <v>14.0</v>
      </c>
      <c r="U558" s="145">
        <v>17.0</v>
      </c>
      <c r="V558" s="106">
        <v>0.0</v>
      </c>
      <c r="W558" s="107">
        <v>0.0</v>
      </c>
      <c r="X558" s="107">
        <v>0.0</v>
      </c>
      <c r="Y558" s="107">
        <v>0.0</v>
      </c>
      <c r="Z558" s="80">
        <f t="shared" si="1"/>
        <v>0</v>
      </c>
      <c r="AA558" s="106">
        <v>0.0</v>
      </c>
      <c r="AB558" s="107">
        <v>0.0</v>
      </c>
      <c r="AC558" s="107">
        <v>0.0</v>
      </c>
      <c r="AD558" s="107">
        <v>0.0</v>
      </c>
      <c r="AE558" s="80">
        <f t="shared" si="2"/>
        <v>0</v>
      </c>
      <c r="AF558" s="140">
        <v>75.0</v>
      </c>
      <c r="AG558" s="109">
        <v>0.0</v>
      </c>
      <c r="AH558" s="109">
        <v>0.0</v>
      </c>
      <c r="AI558" s="141">
        <v>264.0</v>
      </c>
      <c r="AJ558" s="80">
        <f t="shared" si="3"/>
        <v>339</v>
      </c>
      <c r="AK558" s="140">
        <v>0.0</v>
      </c>
      <c r="AL558" s="109">
        <v>0.0</v>
      </c>
      <c r="AM558" s="141">
        <v>0.0</v>
      </c>
      <c r="AN558" s="80">
        <f t="shared" si="4"/>
        <v>0</v>
      </c>
      <c r="AO558" s="140">
        <v>0.0</v>
      </c>
      <c r="AP558" s="109">
        <v>0.0</v>
      </c>
      <c r="AQ558" s="109">
        <v>134.0</v>
      </c>
      <c r="AR558" s="80">
        <f t="shared" si="5"/>
        <v>134</v>
      </c>
      <c r="AS558" s="110">
        <v>11.0</v>
      </c>
      <c r="AT558" s="110">
        <v>0.0</v>
      </c>
      <c r="AU558" s="110">
        <v>88.0</v>
      </c>
      <c r="AV558" s="142">
        <v>84.0</v>
      </c>
      <c r="AW558" s="80">
        <f t="shared" si="6"/>
        <v>183</v>
      </c>
      <c r="AX558" s="113">
        <f t="shared" si="7"/>
        <v>656</v>
      </c>
      <c r="AY558" s="117">
        <f t="shared" si="8"/>
        <v>434</v>
      </c>
      <c r="AZ558" s="120">
        <f t="shared" si="9"/>
        <v>222</v>
      </c>
      <c r="BA558" s="115">
        <v>0.0</v>
      </c>
      <c r="BB558" s="89">
        <f t="shared" si="10"/>
        <v>656</v>
      </c>
      <c r="BC558" s="132" t="s">
        <v>178</v>
      </c>
      <c r="BD558" s="132" t="s">
        <v>178</v>
      </c>
      <c r="BE558" s="132" t="s">
        <v>178</v>
      </c>
      <c r="BF558" s="123"/>
      <c r="BG558" s="83">
        <v>1118791.0</v>
      </c>
      <c r="BH558" s="112"/>
      <c r="BI558" s="112">
        <v>16.0</v>
      </c>
      <c r="BJ558" s="98" t="s">
        <v>155</v>
      </c>
      <c r="BK558" s="99">
        <f t="shared" si="11"/>
        <v>348</v>
      </c>
      <c r="BL558" s="99">
        <f t="shared" si="12"/>
        <v>86</v>
      </c>
      <c r="BM558" s="99" t="str">
        <f>IFERROR(__xludf.DUMMYFUNCTION("IFERROR(VLOOKUP(BG558,IMPORTRANGE(""https://docs.google.com/spreadsheets/d/1juPI-Fb8LD0YtltB2mlGEnp_R3UVu1t3wSFPzgCyHXE/edit?gid=0#gid=0"",""GERAL!A2:C""),3,0),""-"")"),"-")</f>
        <v>-</v>
      </c>
    </row>
    <row r="559" ht="15.75" customHeight="1">
      <c r="A559" s="111" t="s">
        <v>673</v>
      </c>
      <c r="B559" s="83" t="s">
        <v>2482</v>
      </c>
      <c r="C559" s="83" t="s">
        <v>164</v>
      </c>
      <c r="D559" s="112">
        <v>1118791.0</v>
      </c>
      <c r="E559" s="83">
        <v>1178641.0</v>
      </c>
      <c r="F559" s="98">
        <v>2.9490855E7</v>
      </c>
      <c r="G559" s="184" t="s">
        <v>2489</v>
      </c>
      <c r="H559" s="91" t="s">
        <v>2490</v>
      </c>
      <c r="I559" s="172" t="s">
        <v>2491</v>
      </c>
      <c r="J559" s="83" t="s">
        <v>2492</v>
      </c>
      <c r="K559" s="83" t="s">
        <v>168</v>
      </c>
      <c r="L559" s="83" t="s">
        <v>169</v>
      </c>
      <c r="M559" s="82" t="str">
        <f>IFERROR(__xludf.DUMMYFUNCTION("IFERROR(VLOOKUP(D559,
IMPORTRANGE(""https://docs.google.com/spreadsheets/d/1MjHtlUikwobi2MaWJgy7tfLeBmhj1u-dRFRs_8GwSoA/edit#gid=0"",""Gestores Escolares!D7:J""),3,0),""VERIFICAR CÓD SEC"")"),"HUMBERTO SILVA DA PAIXAO")</f>
        <v>HUMBERTO SILVA DA PAIXAO</v>
      </c>
      <c r="N559" s="82" t="str">
        <f>IFERROR(__xludf.DUMMYFUNCTION("IFERROR(VLOOKUP(D559,
IMPORTRANGE(""https://docs.google.com/spreadsheets/d/1MjHtlUikwobi2MaWJgy7tfLeBmhj1u-dRFRs_8GwSoA/edit#gid=0"",""Gestores Escolares!D7:J""),4,0),""VERIFICAR CÓD SEC"")"),"(77) 9 9974-5704")</f>
        <v>(77) 9 9974-5704</v>
      </c>
      <c r="O559" s="82" t="str">
        <f>IFERROR(__xludf.DUMMYFUNCTION("IFERROR(VLOOKUP(D559,
IMPORTRANGE(""https://docs.google.com/spreadsheets/d/1MjHtlUikwobi2MaWJgy7tfLeBmhj1u-dRFRs_8GwSoA/edit#gid=0"",""Gestores Escolares!D7:J""),6,0),""VERIFICAR CÓD SEC"")"),"JOSE FERNANDO E SILVA")</f>
        <v>JOSE FERNANDO E SILVA</v>
      </c>
      <c r="P559" s="82" t="str">
        <f>IFERROR(__xludf.DUMMYFUNCTION("IFERROR(VLOOKUP(D559,
IMPORTRANGE(""https://docs.google.com/spreadsheets/d/1MjHtlUikwobi2MaWJgy7tfLeBmhj1u-dRFRs_8GwSoA/edit#gid=0"",""Gestores Escolares!D7:J""),7,0),""VERIFICAR CÓD SEC"")"),"(77) 9 9954-0398")</f>
        <v>(77) 9 9954-0398</v>
      </c>
      <c r="Q559" s="82" t="str">
        <f>IFERROR(__xludf.DUMMYFUNCTION("IFERROR(VLOOKUP(D559,
IMPORTRANGE(""https://docs.google.com/spreadsheets/d/1MjHtlUikwobi2MaWJgy7tfLeBmhj1u-dRFRs_8GwSoA/edit#gid=0"",""Gestores Escolares!D7:m""),9,0),""VERIFICAR CÓD SEC"")"),"ALDONICE FERNANDES DE OLIVEIRA")</f>
        <v>ALDONICE FERNANDES DE OLIVEIRA</v>
      </c>
      <c r="R559" s="82" t="str">
        <f>IFERROR(__xludf.DUMMYFUNCTION("IFERROR(VLOOKUP(D559,
IMPORTRANGE(""https://docs.google.com/spreadsheets/d/1MjHtlUikwobi2MaWJgy7tfLeBmhj1u-dRFRs_8GwSoA/edit#gid=0"",""Gestores Escolares!D7:m""),10,0),""VERIFICAR CÓD SEC"")"),"(77) 9 9939-9889")</f>
        <v>(77) 9 9939-9889</v>
      </c>
      <c r="S559" s="82"/>
      <c r="T559" s="138">
        <v>3.0</v>
      </c>
      <c r="U559" s="145">
        <v>3.0</v>
      </c>
      <c r="V559" s="106">
        <v>0.0</v>
      </c>
      <c r="W559" s="107">
        <v>0.0</v>
      </c>
      <c r="X559" s="107">
        <v>0.0</v>
      </c>
      <c r="Y559" s="107">
        <v>0.0</v>
      </c>
      <c r="Z559" s="80">
        <f t="shared" si="1"/>
        <v>0</v>
      </c>
      <c r="AA559" s="106">
        <v>0.0</v>
      </c>
      <c r="AB559" s="107">
        <v>0.0</v>
      </c>
      <c r="AC559" s="107">
        <v>0.0</v>
      </c>
      <c r="AD559" s="107">
        <v>0.0</v>
      </c>
      <c r="AE559" s="80">
        <f t="shared" si="2"/>
        <v>0</v>
      </c>
      <c r="AF559" s="140">
        <v>0.0</v>
      </c>
      <c r="AG559" s="109">
        <v>0.0</v>
      </c>
      <c r="AH559" s="109">
        <v>22.0</v>
      </c>
      <c r="AI559" s="141">
        <v>0.0</v>
      </c>
      <c r="AJ559" s="80">
        <f t="shared" si="3"/>
        <v>22</v>
      </c>
      <c r="AK559" s="140">
        <v>0.0</v>
      </c>
      <c r="AL559" s="109">
        <v>0.0</v>
      </c>
      <c r="AM559" s="141">
        <v>0.0</v>
      </c>
      <c r="AN559" s="80">
        <f t="shared" si="4"/>
        <v>0</v>
      </c>
      <c r="AO559" s="140">
        <v>0.0</v>
      </c>
      <c r="AP559" s="109">
        <v>0.0</v>
      </c>
      <c r="AQ559" s="109">
        <v>0.0</v>
      </c>
      <c r="AR559" s="80">
        <f t="shared" si="5"/>
        <v>0</v>
      </c>
      <c r="AS559" s="110">
        <v>0.0</v>
      </c>
      <c r="AT559" s="110">
        <v>0.0</v>
      </c>
      <c r="AU559" s="110">
        <v>0.0</v>
      </c>
      <c r="AV559" s="142">
        <v>0.0</v>
      </c>
      <c r="AW559" s="80">
        <f t="shared" si="6"/>
        <v>0</v>
      </c>
      <c r="AX559" s="113">
        <f t="shared" si="7"/>
        <v>22</v>
      </c>
      <c r="AY559" s="117">
        <f t="shared" si="8"/>
        <v>0</v>
      </c>
      <c r="AZ559" s="120">
        <f t="shared" si="9"/>
        <v>22</v>
      </c>
      <c r="BA559" s="115">
        <v>0.0</v>
      </c>
      <c r="BB559" s="89">
        <f t="shared" si="10"/>
        <v>22</v>
      </c>
      <c r="BC559" s="132" t="s">
        <v>373</v>
      </c>
      <c r="BD559" s="132" t="s">
        <v>178</v>
      </c>
      <c r="BE559" s="132" t="s">
        <v>178</v>
      </c>
      <c r="BF559" s="123"/>
      <c r="BG559" s="83">
        <v>1178641.0</v>
      </c>
      <c r="BH559" s="112"/>
      <c r="BI559" s="112">
        <v>3.0</v>
      </c>
      <c r="BJ559" s="98" t="s">
        <v>155</v>
      </c>
      <c r="BK559" s="99">
        <f t="shared" si="11"/>
        <v>0</v>
      </c>
      <c r="BL559" s="99">
        <f t="shared" si="12"/>
        <v>0</v>
      </c>
      <c r="BM559" s="99" t="str">
        <f>IFERROR(__xludf.DUMMYFUNCTION("IFERROR(VLOOKUP(BG559,IMPORTRANGE(""https://docs.google.com/spreadsheets/d/1juPI-Fb8LD0YtltB2mlGEnp_R3UVu1t3wSFPzgCyHXE/edit?gid=0#gid=0"",""GERAL!A2:C""),3,0),""-"")"),"CAMPO")</f>
        <v>CAMPO</v>
      </c>
    </row>
    <row r="560" ht="15.75" customHeight="1">
      <c r="A560" s="111" t="s">
        <v>673</v>
      </c>
      <c r="B560" s="83" t="s">
        <v>2482</v>
      </c>
      <c r="C560" s="83" t="s">
        <v>164</v>
      </c>
      <c r="D560" s="112">
        <v>1118791.0</v>
      </c>
      <c r="E560" s="83">
        <v>1178640.0</v>
      </c>
      <c r="F560" s="98">
        <v>2.9490847E7</v>
      </c>
      <c r="G560" s="184" t="s">
        <v>2494</v>
      </c>
      <c r="H560" s="91" t="s">
        <v>2497</v>
      </c>
      <c r="I560" s="172" t="s">
        <v>2498</v>
      </c>
      <c r="J560" s="83" t="s">
        <v>471</v>
      </c>
      <c r="K560" s="83" t="s">
        <v>168</v>
      </c>
      <c r="L560" s="83" t="s">
        <v>169</v>
      </c>
      <c r="M560" s="82" t="str">
        <f>IFERROR(__xludf.DUMMYFUNCTION("IFERROR(VLOOKUP(D560,
IMPORTRANGE(""https://docs.google.com/spreadsheets/d/1MjHtlUikwobi2MaWJgy7tfLeBmhj1u-dRFRs_8GwSoA/edit#gid=0"",""Gestores Escolares!D7:J""),3,0),""VERIFICAR CÓD SEC"")"),"HUMBERTO SILVA DA PAIXAO")</f>
        <v>HUMBERTO SILVA DA PAIXAO</v>
      </c>
      <c r="N560" s="82" t="str">
        <f>IFERROR(__xludf.DUMMYFUNCTION("IFERROR(VLOOKUP(D560,
IMPORTRANGE(""https://docs.google.com/spreadsheets/d/1MjHtlUikwobi2MaWJgy7tfLeBmhj1u-dRFRs_8GwSoA/edit#gid=0"",""Gestores Escolares!D7:J""),4,0),""VERIFICAR CÓD SEC"")"),"(77) 9 9974-5704")</f>
        <v>(77) 9 9974-5704</v>
      </c>
      <c r="O560" s="82" t="str">
        <f>IFERROR(__xludf.DUMMYFUNCTION("IFERROR(VLOOKUP(D560,
IMPORTRANGE(""https://docs.google.com/spreadsheets/d/1MjHtlUikwobi2MaWJgy7tfLeBmhj1u-dRFRs_8GwSoA/edit#gid=0"",""Gestores Escolares!D7:J""),6,0),""VERIFICAR CÓD SEC"")"),"JOSE FERNANDO E SILVA")</f>
        <v>JOSE FERNANDO E SILVA</v>
      </c>
      <c r="P560" s="82" t="str">
        <f>IFERROR(__xludf.DUMMYFUNCTION("IFERROR(VLOOKUP(D560,
IMPORTRANGE(""https://docs.google.com/spreadsheets/d/1MjHtlUikwobi2MaWJgy7tfLeBmhj1u-dRFRs_8GwSoA/edit#gid=0"",""Gestores Escolares!D7:J""),7,0),""VERIFICAR CÓD SEC"")"),"(77) 9 9954-0398")</f>
        <v>(77) 9 9954-0398</v>
      </c>
      <c r="Q560" s="82" t="str">
        <f>IFERROR(__xludf.DUMMYFUNCTION("IFERROR(VLOOKUP(D560,
IMPORTRANGE(""https://docs.google.com/spreadsheets/d/1MjHtlUikwobi2MaWJgy7tfLeBmhj1u-dRFRs_8GwSoA/edit#gid=0"",""Gestores Escolares!D7:m""),9,0),""VERIFICAR CÓD SEC"")"),"ALDONICE FERNANDES DE OLIVEIRA")</f>
        <v>ALDONICE FERNANDES DE OLIVEIRA</v>
      </c>
      <c r="R560" s="82" t="str">
        <f>IFERROR(__xludf.DUMMYFUNCTION("IFERROR(VLOOKUP(D560,
IMPORTRANGE(""https://docs.google.com/spreadsheets/d/1MjHtlUikwobi2MaWJgy7tfLeBmhj1u-dRFRs_8GwSoA/edit#gid=0"",""Gestores Escolares!D7:m""),10,0),""VERIFICAR CÓD SEC"")"),"(77) 9 9939-9889")</f>
        <v>(77) 9 9939-9889</v>
      </c>
      <c r="S560" s="82"/>
      <c r="T560" s="138">
        <v>3.0</v>
      </c>
      <c r="U560" s="416">
        <v>2.0</v>
      </c>
      <c r="V560" s="106">
        <v>0.0</v>
      </c>
      <c r="W560" s="107">
        <v>0.0</v>
      </c>
      <c r="X560" s="107">
        <v>0.0</v>
      </c>
      <c r="Y560" s="107">
        <v>0.0</v>
      </c>
      <c r="Z560" s="80">
        <f t="shared" si="1"/>
        <v>0</v>
      </c>
      <c r="AA560" s="106">
        <v>0.0</v>
      </c>
      <c r="AB560" s="107">
        <v>0.0</v>
      </c>
      <c r="AC560" s="107">
        <v>0.0</v>
      </c>
      <c r="AD560" s="107">
        <v>0.0</v>
      </c>
      <c r="AE560" s="80">
        <f t="shared" si="2"/>
        <v>0</v>
      </c>
      <c r="AF560" s="140">
        <v>7.0</v>
      </c>
      <c r="AG560" s="109">
        <v>21.0</v>
      </c>
      <c r="AH560" s="109">
        <v>0.0</v>
      </c>
      <c r="AI560" s="141">
        <v>0.0</v>
      </c>
      <c r="AJ560" s="80">
        <f t="shared" si="3"/>
        <v>28</v>
      </c>
      <c r="AK560" s="140">
        <v>0.0</v>
      </c>
      <c r="AL560" s="109">
        <v>0.0</v>
      </c>
      <c r="AM560" s="141">
        <v>0.0</v>
      </c>
      <c r="AN560" s="80">
        <f t="shared" si="4"/>
        <v>0</v>
      </c>
      <c r="AO560" s="140">
        <v>0.0</v>
      </c>
      <c r="AP560" s="109">
        <v>0.0</v>
      </c>
      <c r="AQ560" s="109">
        <v>15.0</v>
      </c>
      <c r="AR560" s="80">
        <f t="shared" si="5"/>
        <v>15</v>
      </c>
      <c r="AS560" s="110">
        <v>0.0</v>
      </c>
      <c r="AT560" s="110">
        <v>0.0</v>
      </c>
      <c r="AU560" s="110">
        <v>0.0</v>
      </c>
      <c r="AV560" s="142">
        <v>0.0</v>
      </c>
      <c r="AW560" s="80">
        <f t="shared" si="6"/>
        <v>0</v>
      </c>
      <c r="AX560" s="113">
        <f t="shared" si="7"/>
        <v>43</v>
      </c>
      <c r="AY560" s="117">
        <f t="shared" si="8"/>
        <v>28</v>
      </c>
      <c r="AZ560" s="120">
        <f t="shared" si="9"/>
        <v>15</v>
      </c>
      <c r="BA560" s="115">
        <v>0.0</v>
      </c>
      <c r="BB560" s="89">
        <f t="shared" si="10"/>
        <v>43</v>
      </c>
      <c r="BC560" s="132" t="s">
        <v>373</v>
      </c>
      <c r="BD560" s="132" t="s">
        <v>178</v>
      </c>
      <c r="BE560" s="132" t="s">
        <v>178</v>
      </c>
      <c r="BF560" s="123"/>
      <c r="BG560" s="83">
        <v>1178640.0</v>
      </c>
      <c r="BH560" s="112"/>
      <c r="BI560" s="112">
        <v>2.0</v>
      </c>
      <c r="BJ560" s="98" t="s">
        <v>155</v>
      </c>
      <c r="BK560" s="99">
        <f t="shared" si="11"/>
        <v>0</v>
      </c>
      <c r="BL560" s="99">
        <f t="shared" si="12"/>
        <v>28</v>
      </c>
      <c r="BM560" s="99" t="str">
        <f>IFERROR(__xludf.DUMMYFUNCTION("IFERROR(VLOOKUP(BG560,IMPORTRANGE(""https://docs.google.com/spreadsheets/d/1juPI-Fb8LD0YtltB2mlGEnp_R3UVu1t3wSFPzgCyHXE/edit?gid=0#gid=0"",""GERAL!A2:C""),3,0),""-"")"),"CAMPO")</f>
        <v>CAMPO</v>
      </c>
    </row>
    <row r="561" ht="15.75" customHeight="1">
      <c r="A561" s="111" t="s">
        <v>673</v>
      </c>
      <c r="B561" s="83" t="s">
        <v>2500</v>
      </c>
      <c r="C561" s="83" t="s">
        <v>68</v>
      </c>
      <c r="D561" s="112">
        <v>1119119.0</v>
      </c>
      <c r="E561" s="83"/>
      <c r="F561" s="83">
        <v>2.9282977E7</v>
      </c>
      <c r="G561" s="184" t="s">
        <v>2502</v>
      </c>
      <c r="H561" s="91" t="s">
        <v>2503</v>
      </c>
      <c r="I561" s="83" t="s">
        <v>149</v>
      </c>
      <c r="J561" s="83" t="s">
        <v>150</v>
      </c>
      <c r="K561" s="83" t="s">
        <v>151</v>
      </c>
      <c r="L561" s="98" t="s">
        <v>152</v>
      </c>
      <c r="M561" s="82" t="str">
        <f>IFERROR(__xludf.DUMMYFUNCTION("IFERROR(VLOOKUP(D561,
IMPORTRANGE(""https://docs.google.com/spreadsheets/d/1MjHtlUikwobi2MaWJgy7tfLeBmhj1u-dRFRs_8GwSoA/edit#gid=0"",""Gestores Escolares!D7:J""),3,0),""VERIFICAR CÓD SEC"")"),"LUCIA MORAIS DA SILVA DE SOUZA")</f>
        <v>LUCIA MORAIS DA SILVA DE SOUZA</v>
      </c>
      <c r="N561" s="82" t="str">
        <f>IFERROR(__xludf.DUMMYFUNCTION("IFERROR(VLOOKUP(D561,
IMPORTRANGE(""https://docs.google.com/spreadsheets/d/1MjHtlUikwobi2MaWJgy7tfLeBmhj1u-dRFRs_8GwSoA/edit#gid=0"",""Gestores Escolares!D7:J""),4,0),""VERIFICAR CÓD SEC"")"),"(77) 9 9160-5569 ")</f>
        <v>(77) 9 9160-5569 </v>
      </c>
      <c r="O561" s="82" t="str">
        <f>IFERROR(__xludf.DUMMYFUNCTION("IFERROR(VLOOKUP(D561,
IMPORTRANGE(""https://docs.google.com/spreadsheets/d/1MjHtlUikwobi2MaWJgy7tfLeBmhj1u-dRFRs_8GwSoA/edit#gid=0"",""Gestores Escolares!D7:J""),6,0),""VERIFICAR CÓD SEC"")"),"RAFFAEL SALOES DE SOUZA")</f>
        <v>RAFFAEL SALOES DE SOUZA</v>
      </c>
      <c r="P561" s="82" t="str">
        <f>IFERROR(__xludf.DUMMYFUNCTION("IFERROR(VLOOKUP(D561,
IMPORTRANGE(""https://docs.google.com/spreadsheets/d/1MjHtlUikwobi2MaWJgy7tfLeBmhj1u-dRFRs_8GwSoA/edit#gid=0"",""Gestores Escolares!D7:J""),7,0),""VERIFICAR CÓD SEC"")"),"(77) 9 9103-2223/
9 8800-2223")</f>
        <v>(77) 9 9103-2223/
9 8800-2223</v>
      </c>
      <c r="Q561" s="82" t="str">
        <f>IFERROR(__xludf.DUMMYFUNCTION("IFERROR(VLOOKUP(D561,
IMPORTRANGE(""https://docs.google.com/spreadsheets/d/1MjHtlUikwobi2MaWJgy7tfLeBmhj1u-dRFRs_8GwSoA/edit#gid=0"",""Gestores Escolares!D7:m""),9,0),""VERIFICAR CÓD SEC"")"),"")</f>
        <v/>
      </c>
      <c r="R561" s="82" t="str">
        <f>IFERROR(__xludf.DUMMYFUNCTION("IFERROR(VLOOKUP(D561,
IMPORTRANGE(""https://docs.google.com/spreadsheets/d/1MjHtlUikwobi2MaWJgy7tfLeBmhj1u-dRFRs_8GwSoA/edit#gid=0"",""Gestores Escolares!D7:m""),10,0),""VERIFICAR CÓD SEC"")"),"")</f>
        <v/>
      </c>
      <c r="S561" s="82"/>
      <c r="T561" s="138">
        <v>12.0</v>
      </c>
      <c r="U561" s="388" t="s">
        <v>7820</v>
      </c>
      <c r="V561" s="106">
        <v>0.0</v>
      </c>
      <c r="W561" s="107">
        <v>0.0</v>
      </c>
      <c r="X561" s="107">
        <v>0.0</v>
      </c>
      <c r="Y561" s="107">
        <v>0.0</v>
      </c>
      <c r="Z561" s="80">
        <f t="shared" si="1"/>
        <v>0</v>
      </c>
      <c r="AA561" s="106">
        <v>0.0</v>
      </c>
      <c r="AB561" s="107">
        <v>0.0</v>
      </c>
      <c r="AC561" s="107">
        <v>0.0</v>
      </c>
      <c r="AD561" s="107">
        <v>0.0</v>
      </c>
      <c r="AE561" s="80">
        <f t="shared" si="2"/>
        <v>0</v>
      </c>
      <c r="AF561" s="140">
        <v>0.0</v>
      </c>
      <c r="AG561" s="109">
        <v>0.0</v>
      </c>
      <c r="AH561" s="109">
        <v>0.0</v>
      </c>
      <c r="AI561" s="141">
        <v>0.0</v>
      </c>
      <c r="AJ561" s="80">
        <f t="shared" si="3"/>
        <v>0</v>
      </c>
      <c r="AK561" s="140">
        <v>0.0</v>
      </c>
      <c r="AL561" s="109">
        <v>0.0</v>
      </c>
      <c r="AM561" s="141">
        <v>0.0</v>
      </c>
      <c r="AN561" s="80">
        <f t="shared" si="4"/>
        <v>0</v>
      </c>
      <c r="AO561" s="140">
        <v>0.0</v>
      </c>
      <c r="AP561" s="109">
        <v>0.0</v>
      </c>
      <c r="AQ561" s="109">
        <v>69.0</v>
      </c>
      <c r="AR561" s="80">
        <f t="shared" si="5"/>
        <v>69</v>
      </c>
      <c r="AS561" s="110">
        <v>462.0</v>
      </c>
      <c r="AT561" s="110">
        <v>0.0</v>
      </c>
      <c r="AU561" s="110">
        <v>114.0</v>
      </c>
      <c r="AV561" s="142">
        <v>0.0</v>
      </c>
      <c r="AW561" s="80">
        <f t="shared" si="6"/>
        <v>576</v>
      </c>
      <c r="AX561" s="113">
        <f t="shared" si="7"/>
        <v>645</v>
      </c>
      <c r="AY561" s="117">
        <f t="shared" si="8"/>
        <v>462</v>
      </c>
      <c r="AZ561" s="120">
        <f t="shared" si="9"/>
        <v>183</v>
      </c>
      <c r="BA561" s="115">
        <v>1.0</v>
      </c>
      <c r="BB561" s="89">
        <f t="shared" si="10"/>
        <v>646</v>
      </c>
      <c r="BC561" s="132" t="s">
        <v>178</v>
      </c>
      <c r="BD561" s="132" t="s">
        <v>178</v>
      </c>
      <c r="BE561" s="132" t="s">
        <v>178</v>
      </c>
      <c r="BF561" s="123"/>
      <c r="BG561" s="83">
        <v>1119119.0</v>
      </c>
      <c r="BH561" s="112"/>
      <c r="BI561" s="112">
        <v>12.0</v>
      </c>
      <c r="BJ561" s="98" t="s">
        <v>155</v>
      </c>
      <c r="BK561" s="99">
        <f t="shared" si="11"/>
        <v>0</v>
      </c>
      <c r="BL561" s="99">
        <f t="shared" si="12"/>
        <v>462</v>
      </c>
      <c r="BM561" s="99" t="str">
        <f>IFERROR(__xludf.DUMMYFUNCTION("IFERROR(VLOOKUP(BG561,IMPORTRANGE(""https://docs.google.com/spreadsheets/d/1juPI-Fb8LD0YtltB2mlGEnp_R3UVu1t3wSFPzgCyHXE/edit?gid=0#gid=0"",""GERAL!A2:C""),3,0),""-"")"),"-")</f>
        <v>-</v>
      </c>
    </row>
    <row r="562" ht="15.75" customHeight="1">
      <c r="A562" s="111" t="s">
        <v>673</v>
      </c>
      <c r="B562" s="83" t="s">
        <v>2500</v>
      </c>
      <c r="C562" s="83" t="s">
        <v>68</v>
      </c>
      <c r="D562" s="112">
        <v>1176427.0</v>
      </c>
      <c r="E562" s="83"/>
      <c r="F562" s="83">
        <v>2.9394341E7</v>
      </c>
      <c r="G562" s="481" t="s">
        <v>2512</v>
      </c>
      <c r="H562" s="91" t="s">
        <v>2513</v>
      </c>
      <c r="I562" s="83" t="s">
        <v>149</v>
      </c>
      <c r="J562" s="83" t="s">
        <v>150</v>
      </c>
      <c r="K562" s="83" t="s">
        <v>151</v>
      </c>
      <c r="L562" s="83" t="s">
        <v>230</v>
      </c>
      <c r="M562" s="82" t="str">
        <f>IFERROR(__xludf.DUMMYFUNCTION("IFERROR(VLOOKUP(D562,
IMPORTRANGE(""https://docs.google.com/spreadsheets/d/1MjHtlUikwobi2MaWJgy7tfLeBmhj1u-dRFRs_8GwSoA/edit#gid=0"",""Gestores Escolares!D7:J""),3,0),""VERIFICAR CÓD SEC"")"),"CARLITO ALVES DE BRITO (DIRETOR DA UEE MODELO E QUE ADMINISTRA O COMPLEXO)
COORDENADORA DO COMPLEXO CSU PROFª JOSEANE, PARA REFERENTE A FOTOS DO PRÉDIO COMPLEXO - (77) 9 8883-9893 ")</f>
        <v>CARLITO ALVES DE BRITO (DIRETOR DA UEE MODELO E QUE ADMINISTRA O COMPLEXO)
COORDENADORA DO COMPLEXO CSU PROFª JOSEANE, PARA REFERENTE A FOTOS DO PRÉDIO COMPLEXO - (77) 9 8883-9893 </v>
      </c>
      <c r="N562" s="82" t="str">
        <f>IFERROR(__xludf.DUMMYFUNCTION("IFERROR(VLOOKUP(D562,
IMPORTRANGE(""https://docs.google.com/spreadsheets/d/1MjHtlUikwobi2MaWJgy7tfLeBmhj1u-dRFRs_8GwSoA/edit#gid=0"",""Gestores Escolares!D7:J""),4,0),""VERIFICAR CÓD SEC"")"),"(77) 9 9146-7954")</f>
        <v>(77) 9 9146-7954</v>
      </c>
      <c r="O562" s="82" t="str">
        <f>IFERROR(__xludf.DUMMYFUNCTION("IFERROR(VLOOKUP(D562,
IMPORTRANGE(""https://docs.google.com/spreadsheets/d/1MjHtlUikwobi2MaWJgy7tfLeBmhj1u-dRFRs_8GwSoA/edit#gid=0"",""Gestores Escolares!D7:J""),6,0),""VERIFICAR CÓD SEC"")"),"MARIA DE LOURDES GOES")</f>
        <v>MARIA DE LOURDES GOES</v>
      </c>
      <c r="P562" s="82" t="str">
        <f>IFERROR(__xludf.DUMMYFUNCTION("IFERROR(VLOOKUP(D562,
IMPORTRANGE(""https://docs.google.com/spreadsheets/d/1MjHtlUikwobi2MaWJgy7tfLeBmhj1u-dRFRs_8GwSoA/edit#gid=0"",""Gestores Escolares!D7:J""),7,0),""VERIFICAR CÓD SEC"")"),"(77) 9 9116-4930/
9 9182-9695")</f>
        <v>(77) 9 9116-4930/
9 9182-9695</v>
      </c>
      <c r="Q562" s="82" t="str">
        <f>IFERROR(__xludf.DUMMYFUNCTION("IFERROR(VLOOKUP(D562,
IMPORTRANGE(""https://docs.google.com/spreadsheets/d/1MjHtlUikwobi2MaWJgy7tfLeBmhj1u-dRFRs_8GwSoA/edit#gid=0"",""Gestores Escolares!D7:m""),9,0),""VERIFICAR CÓD SEC"")"),"")</f>
        <v/>
      </c>
      <c r="R562" s="82" t="str">
        <f>IFERROR(__xludf.DUMMYFUNCTION("IFERROR(VLOOKUP(D562,
IMPORTRANGE(""https://docs.google.com/spreadsheets/d/1MjHtlUikwobi2MaWJgy7tfLeBmhj1u-dRFRs_8GwSoA/edit#gid=0"",""Gestores Escolares!D7:m""),10,0),""VERIFICAR CÓD SEC"")"),"")</f>
        <v/>
      </c>
      <c r="S562" s="82"/>
      <c r="T562" s="138">
        <v>14.0</v>
      </c>
      <c r="U562" s="388" t="s">
        <v>7837</v>
      </c>
      <c r="V562" s="106">
        <v>0.0</v>
      </c>
      <c r="W562" s="107">
        <v>0.0</v>
      </c>
      <c r="X562" s="107">
        <v>0.0</v>
      </c>
      <c r="Y562" s="107">
        <v>0.0</v>
      </c>
      <c r="Z562" s="80">
        <f t="shared" si="1"/>
        <v>0</v>
      </c>
      <c r="AA562" s="106">
        <v>0.0</v>
      </c>
      <c r="AB562" s="107">
        <v>0.0</v>
      </c>
      <c r="AC562" s="107">
        <v>0.0</v>
      </c>
      <c r="AD562" s="107">
        <v>0.0</v>
      </c>
      <c r="AE562" s="80">
        <f t="shared" si="2"/>
        <v>0</v>
      </c>
      <c r="AF562" s="140">
        <v>517.0</v>
      </c>
      <c r="AG562" s="109">
        <v>178.0</v>
      </c>
      <c r="AH562" s="109">
        <v>0.0</v>
      </c>
      <c r="AI562" s="141">
        <v>0.0</v>
      </c>
      <c r="AJ562" s="80">
        <f t="shared" si="3"/>
        <v>695</v>
      </c>
      <c r="AK562" s="140">
        <v>0.0</v>
      </c>
      <c r="AL562" s="109">
        <v>0.0</v>
      </c>
      <c r="AM562" s="141">
        <v>0.0</v>
      </c>
      <c r="AN562" s="80">
        <f t="shared" si="4"/>
        <v>0</v>
      </c>
      <c r="AO562" s="140">
        <v>0.0</v>
      </c>
      <c r="AP562" s="109">
        <v>0.0</v>
      </c>
      <c r="AQ562" s="109">
        <v>113.0</v>
      </c>
      <c r="AR562" s="80">
        <f t="shared" si="5"/>
        <v>113</v>
      </c>
      <c r="AS562" s="110">
        <v>0.0</v>
      </c>
      <c r="AT562" s="110">
        <v>0.0</v>
      </c>
      <c r="AU562" s="110">
        <v>0.0</v>
      </c>
      <c r="AV562" s="142">
        <v>0.0</v>
      </c>
      <c r="AW562" s="80">
        <f t="shared" si="6"/>
        <v>0</v>
      </c>
      <c r="AX562" s="113">
        <f t="shared" si="7"/>
        <v>808</v>
      </c>
      <c r="AY562" s="117">
        <f t="shared" si="8"/>
        <v>695</v>
      </c>
      <c r="AZ562" s="120">
        <f t="shared" si="9"/>
        <v>113</v>
      </c>
      <c r="BA562" s="115">
        <v>0.0</v>
      </c>
      <c r="BB562" s="89">
        <f t="shared" si="10"/>
        <v>808</v>
      </c>
      <c r="BC562" s="132" t="s">
        <v>178</v>
      </c>
      <c r="BD562" s="132" t="s">
        <v>178</v>
      </c>
      <c r="BE562" s="132" t="s">
        <v>178</v>
      </c>
      <c r="BF562" s="156"/>
      <c r="BG562" s="83">
        <v>1176427.0</v>
      </c>
      <c r="BH562" s="112"/>
      <c r="BI562" s="112">
        <v>13.0</v>
      </c>
      <c r="BJ562" s="98" t="s">
        <v>155</v>
      </c>
      <c r="BK562" s="99">
        <f t="shared" si="11"/>
        <v>0</v>
      </c>
      <c r="BL562" s="99">
        <f t="shared" si="12"/>
        <v>695</v>
      </c>
      <c r="BM562" s="99" t="str">
        <f>IFERROR(__xludf.DUMMYFUNCTION("IFERROR(VLOOKUP(BG562,IMPORTRANGE(""https://docs.google.com/spreadsheets/d/1juPI-Fb8LD0YtltB2mlGEnp_R3UVu1t3wSFPzgCyHXE/edit?gid=0#gid=0"",""GERAL!A2:C""),3,0),""-"")"),"-")</f>
        <v>-</v>
      </c>
    </row>
    <row r="563" ht="15.75" customHeight="1">
      <c r="A563" s="111" t="s">
        <v>673</v>
      </c>
      <c r="B563" s="83" t="s">
        <v>2500</v>
      </c>
      <c r="C563" s="83" t="s">
        <v>68</v>
      </c>
      <c r="D563" s="112">
        <v>1118899.0</v>
      </c>
      <c r="E563" s="83"/>
      <c r="F563" s="83">
        <v>2.9282608E7</v>
      </c>
      <c r="G563" s="184" t="s">
        <v>2522</v>
      </c>
      <c r="H563" s="91" t="s">
        <v>2523</v>
      </c>
      <c r="I563" s="83" t="s">
        <v>149</v>
      </c>
      <c r="J563" s="83" t="s">
        <v>150</v>
      </c>
      <c r="K563" s="83" t="s">
        <v>151</v>
      </c>
      <c r="L563" s="83" t="s">
        <v>152</v>
      </c>
      <c r="M563" s="82" t="str">
        <f>IFERROR(__xludf.DUMMYFUNCTION("IFERROR(VLOOKUP(D563,
IMPORTRANGE(""https://docs.google.com/spreadsheets/d/1MjHtlUikwobi2MaWJgy7tfLeBmhj1u-dRFRs_8GwSoA/edit#gid=0"",""Gestores Escolares!D7:J""),3,0),""VERIFICAR CÓD SEC"")"),"ARMANDO LUIZ DOS SANTOS RODRIGO")</f>
        <v>ARMANDO LUIZ DOS SANTOS RODRIGO</v>
      </c>
      <c r="N563" s="82" t="str">
        <f>IFERROR(__xludf.DUMMYFUNCTION("IFERROR(VLOOKUP(D563,
IMPORTRANGE(""https://docs.google.com/spreadsheets/d/1MjHtlUikwobi2MaWJgy7tfLeBmhj1u-dRFRs_8GwSoA/edit#gid=0"",""Gestores Escolares!D7:J""),4,0),""VERIFICAR CÓD SEC"")"),"(77) 9 9176-5260")</f>
        <v>(77) 9 9176-5260</v>
      </c>
      <c r="O563" s="82" t="str">
        <f>IFERROR(__xludf.DUMMYFUNCTION("IFERROR(VLOOKUP(D563,
IMPORTRANGE(""https://docs.google.com/spreadsheets/d/1MjHtlUikwobi2MaWJgy7tfLeBmhj1u-dRFRs_8GwSoA/edit#gid=0"",""Gestores Escolares!D7:J""),6,0),""VERIFICAR CÓD SEC"")"),"DENILSON DE OLIVEIRA")</f>
        <v>DENILSON DE OLIVEIRA</v>
      </c>
      <c r="P563" s="82" t="str">
        <f>IFERROR(__xludf.DUMMYFUNCTION("IFERROR(VLOOKUP(D563,
IMPORTRANGE(""https://docs.google.com/spreadsheets/d/1MjHtlUikwobi2MaWJgy7tfLeBmhj1u-dRFRs_8GwSoA/edit#gid=0"",""Gestores Escolares!D7:J""),7,0),""VERIFICAR CÓD SEC"")"),"(77) 9 9135-8620")</f>
        <v>(77) 9 9135-8620</v>
      </c>
      <c r="Q563" s="82" t="str">
        <f>IFERROR(__xludf.DUMMYFUNCTION("IFERROR(VLOOKUP(D563,
IMPORTRANGE(""https://docs.google.com/spreadsheets/d/1MjHtlUikwobi2MaWJgy7tfLeBmhj1u-dRFRs_8GwSoA/edit#gid=0"",""Gestores Escolares!D7:m""),9,0),""VERIFICAR CÓD SEC"")"),"BIANCA OLIVEIRA DOS SANTOS VIANA")</f>
        <v>BIANCA OLIVEIRA DOS SANTOS VIANA</v>
      </c>
      <c r="R563" s="82" t="str">
        <f>IFERROR(__xludf.DUMMYFUNCTION("IFERROR(VLOOKUP(D563,
IMPORTRANGE(""https://docs.google.com/spreadsheets/d/1MjHtlUikwobi2MaWJgy7tfLeBmhj1u-dRFRs_8GwSoA/edit#gid=0"",""Gestores Escolares!D7:m""),10,0),""VERIFICAR CÓD SEC"")"),"(77) 9 9194-5025")</f>
        <v>(77) 9 9194-5025</v>
      </c>
      <c r="S563" s="82"/>
      <c r="T563" s="138">
        <v>22.0</v>
      </c>
      <c r="U563" s="145" t="s">
        <v>7843</v>
      </c>
      <c r="V563" s="106">
        <v>0.0</v>
      </c>
      <c r="W563" s="107">
        <v>0.0</v>
      </c>
      <c r="X563" s="107">
        <v>0.0</v>
      </c>
      <c r="Y563" s="107">
        <v>0.0</v>
      </c>
      <c r="Z563" s="80">
        <f t="shared" si="1"/>
        <v>0</v>
      </c>
      <c r="AA563" s="106">
        <v>0.0</v>
      </c>
      <c r="AB563" s="107">
        <v>0.0</v>
      </c>
      <c r="AC563" s="107">
        <v>0.0</v>
      </c>
      <c r="AD563" s="107">
        <v>0.0</v>
      </c>
      <c r="AE563" s="80">
        <f t="shared" si="2"/>
        <v>0</v>
      </c>
      <c r="AF563" s="140">
        <v>82.0</v>
      </c>
      <c r="AG563" s="109">
        <v>0.0</v>
      </c>
      <c r="AH563" s="109">
        <v>0.0</v>
      </c>
      <c r="AI563" s="141">
        <v>52.0</v>
      </c>
      <c r="AJ563" s="80">
        <f t="shared" si="3"/>
        <v>134</v>
      </c>
      <c r="AK563" s="140">
        <v>0.0</v>
      </c>
      <c r="AL563" s="109">
        <v>0.0</v>
      </c>
      <c r="AM563" s="141">
        <v>0.0</v>
      </c>
      <c r="AN563" s="80">
        <f t="shared" si="4"/>
        <v>0</v>
      </c>
      <c r="AO563" s="140">
        <v>0.0</v>
      </c>
      <c r="AP563" s="109">
        <v>0.0</v>
      </c>
      <c r="AQ563" s="109">
        <v>119.0</v>
      </c>
      <c r="AR563" s="80">
        <f t="shared" si="5"/>
        <v>119</v>
      </c>
      <c r="AS563" s="110">
        <v>26.0</v>
      </c>
      <c r="AT563" s="110">
        <v>0.0</v>
      </c>
      <c r="AU563" s="110">
        <v>102.0</v>
      </c>
      <c r="AV563" s="142">
        <v>101.0</v>
      </c>
      <c r="AW563" s="80">
        <f t="shared" si="6"/>
        <v>229</v>
      </c>
      <c r="AX563" s="113">
        <f t="shared" si="7"/>
        <v>482</v>
      </c>
      <c r="AY563" s="117">
        <f t="shared" si="8"/>
        <v>261</v>
      </c>
      <c r="AZ563" s="120">
        <f t="shared" si="9"/>
        <v>221</v>
      </c>
      <c r="BA563" s="115">
        <v>0.0</v>
      </c>
      <c r="BB563" s="89">
        <f t="shared" si="10"/>
        <v>482</v>
      </c>
      <c r="BC563" s="132" t="s">
        <v>178</v>
      </c>
      <c r="BD563" s="132" t="s">
        <v>178</v>
      </c>
      <c r="BE563" s="132" t="s">
        <v>178</v>
      </c>
      <c r="BF563" s="123"/>
      <c r="BG563" s="83">
        <v>1118899.0</v>
      </c>
      <c r="BH563" s="112"/>
      <c r="BI563" s="112">
        <v>23.0</v>
      </c>
      <c r="BJ563" s="98" t="s">
        <v>155</v>
      </c>
      <c r="BK563" s="99">
        <f t="shared" si="11"/>
        <v>153</v>
      </c>
      <c r="BL563" s="99">
        <f t="shared" si="12"/>
        <v>108</v>
      </c>
      <c r="BM563" s="99" t="str">
        <f>IFERROR(__xludf.DUMMYFUNCTION("IFERROR(VLOOKUP(BG563,IMPORTRANGE(""https://docs.google.com/spreadsheets/d/1juPI-Fb8LD0YtltB2mlGEnp_R3UVu1t3wSFPzgCyHXE/edit?gid=0#gid=0"",""GERAL!A2:C""),3,0),""-"")"),"-")</f>
        <v>-</v>
      </c>
    </row>
    <row r="564" ht="15.75" customHeight="1">
      <c r="A564" s="111" t="s">
        <v>673</v>
      </c>
      <c r="B564" s="83" t="s">
        <v>2532</v>
      </c>
      <c r="C564" s="83" t="s">
        <v>68</v>
      </c>
      <c r="D564" s="112">
        <v>1166613.0</v>
      </c>
      <c r="E564" s="83"/>
      <c r="F564" s="83">
        <v>2.928323E7</v>
      </c>
      <c r="G564" s="184" t="s">
        <v>2533</v>
      </c>
      <c r="H564" s="91" t="s">
        <v>2534</v>
      </c>
      <c r="I564" s="83" t="s">
        <v>149</v>
      </c>
      <c r="J564" s="83" t="s">
        <v>150</v>
      </c>
      <c r="K564" s="83" t="s">
        <v>151</v>
      </c>
      <c r="L564" s="83" t="s">
        <v>152</v>
      </c>
      <c r="M564" s="82" t="str">
        <f>IFERROR(__xludf.DUMMYFUNCTION("IFERROR(VLOOKUP(D564,
IMPORTRANGE(""https://docs.google.com/spreadsheets/d/1MjHtlUikwobi2MaWJgy7tfLeBmhj1u-dRFRs_8GwSoA/edit#gid=0"",""Gestores Escolares!D7:J""),3,0),""VERIFICAR CÓD SEC"")"),"AMISSON DOS SANTOS NUNES")</f>
        <v>AMISSON DOS SANTOS NUNES</v>
      </c>
      <c r="N564" s="82" t="str">
        <f>IFERROR(__xludf.DUMMYFUNCTION("IFERROR(VLOOKUP(D564,
IMPORTRANGE(""https://docs.google.com/spreadsheets/d/1MjHtlUikwobi2MaWJgy7tfLeBmhj1u-dRFRs_8GwSoA/edit#gid=0"",""Gestores Escolares!D7:J""),4,0),""VERIFICAR CÓD SEC"")"),"(73) 9 8101-8733")</f>
        <v>(73) 9 8101-8733</v>
      </c>
      <c r="O564" s="82" t="str">
        <f>IFERROR(__xludf.DUMMYFUNCTION("IFERROR(VLOOKUP(D564,
IMPORTRANGE(""https://docs.google.com/spreadsheets/d/1MjHtlUikwobi2MaWJgy7tfLeBmhj1u-dRFRs_8GwSoA/edit#gid=0"",""Gestores Escolares!D7:J""),6,0),""VERIFICAR CÓD SEC"")"),"JESSICA SILVA LOPES")</f>
        <v>JESSICA SILVA LOPES</v>
      </c>
      <c r="P564" s="82" t="str">
        <f>IFERROR(__xludf.DUMMYFUNCTION("IFERROR(VLOOKUP(D564,
IMPORTRANGE(""https://docs.google.com/spreadsheets/d/1MjHtlUikwobi2MaWJgy7tfLeBmhj1u-dRFRs_8GwSoA/edit#gid=0"",""Gestores Escolares!D7:J""),7,0),""VERIFICAR CÓD SEC"")"),"(73) 9 9197-2978")</f>
        <v>(73) 9 9197-2978</v>
      </c>
      <c r="Q564" s="82" t="str">
        <f>IFERROR(__xludf.DUMMYFUNCTION("IFERROR(VLOOKUP(D564,
IMPORTRANGE(""https://docs.google.com/spreadsheets/d/1MjHtlUikwobi2MaWJgy7tfLeBmhj1u-dRFRs_8GwSoA/edit#gid=0"",""Gestores Escolares!D7:m""),9,0),""VERIFICAR CÓD SEC"")"),"")</f>
        <v/>
      </c>
      <c r="R564" s="82" t="str">
        <f>IFERROR(__xludf.DUMMYFUNCTION("IFERROR(VLOOKUP(D564,
IMPORTRANGE(""https://docs.google.com/spreadsheets/d/1MjHtlUikwobi2MaWJgy7tfLeBmhj1u-dRFRs_8GwSoA/edit#gid=0"",""Gestores Escolares!D7:m""),10,0),""VERIFICAR CÓD SEC"")"),"")</f>
        <v/>
      </c>
      <c r="S564" s="82"/>
      <c r="T564" s="138">
        <v>8.0</v>
      </c>
      <c r="U564" s="145" t="s">
        <v>7851</v>
      </c>
      <c r="V564" s="106">
        <v>0.0</v>
      </c>
      <c r="W564" s="107">
        <v>0.0</v>
      </c>
      <c r="X564" s="107">
        <v>0.0</v>
      </c>
      <c r="Y564" s="107">
        <v>0.0</v>
      </c>
      <c r="Z564" s="80">
        <f t="shared" si="1"/>
        <v>0</v>
      </c>
      <c r="AA564" s="106">
        <v>0.0</v>
      </c>
      <c r="AB564" s="107">
        <v>0.0</v>
      </c>
      <c r="AC564" s="107">
        <v>0.0</v>
      </c>
      <c r="AD564" s="107">
        <v>0.0</v>
      </c>
      <c r="AE564" s="80">
        <f t="shared" si="2"/>
        <v>0</v>
      </c>
      <c r="AF564" s="140">
        <v>119.0</v>
      </c>
      <c r="AG564" s="109">
        <v>113.0</v>
      </c>
      <c r="AH564" s="109">
        <v>0.0</v>
      </c>
      <c r="AI564" s="141">
        <v>111.0</v>
      </c>
      <c r="AJ564" s="80">
        <f t="shared" si="3"/>
        <v>343</v>
      </c>
      <c r="AK564" s="140">
        <v>0.0</v>
      </c>
      <c r="AL564" s="109">
        <v>0.0</v>
      </c>
      <c r="AM564" s="141">
        <v>0.0</v>
      </c>
      <c r="AN564" s="80">
        <f t="shared" si="4"/>
        <v>0</v>
      </c>
      <c r="AO564" s="140">
        <v>0.0</v>
      </c>
      <c r="AP564" s="109">
        <v>0.0</v>
      </c>
      <c r="AQ564" s="109">
        <v>173.0</v>
      </c>
      <c r="AR564" s="80">
        <f t="shared" si="5"/>
        <v>173</v>
      </c>
      <c r="AS564" s="110">
        <v>0.0</v>
      </c>
      <c r="AT564" s="110">
        <v>0.0</v>
      </c>
      <c r="AU564" s="110">
        <v>46.0</v>
      </c>
      <c r="AV564" s="142">
        <v>52.0</v>
      </c>
      <c r="AW564" s="80">
        <f t="shared" si="6"/>
        <v>98</v>
      </c>
      <c r="AX564" s="113">
        <f t="shared" si="7"/>
        <v>614</v>
      </c>
      <c r="AY564" s="117">
        <f t="shared" si="8"/>
        <v>395</v>
      </c>
      <c r="AZ564" s="120">
        <f t="shared" si="9"/>
        <v>219</v>
      </c>
      <c r="BA564" s="115">
        <v>0.0</v>
      </c>
      <c r="BB564" s="89">
        <f t="shared" si="10"/>
        <v>614</v>
      </c>
      <c r="BC564" s="132" t="s">
        <v>178</v>
      </c>
      <c r="BD564" s="132" t="s">
        <v>178</v>
      </c>
      <c r="BE564" s="132" t="s">
        <v>178</v>
      </c>
      <c r="BF564" s="156"/>
      <c r="BG564" s="83">
        <v>1166613.0</v>
      </c>
      <c r="BH564" s="112"/>
      <c r="BI564" s="112">
        <v>7.0</v>
      </c>
      <c r="BJ564" s="98" t="s">
        <v>155</v>
      </c>
      <c r="BK564" s="99">
        <f t="shared" si="11"/>
        <v>163</v>
      </c>
      <c r="BL564" s="99">
        <f t="shared" si="12"/>
        <v>232</v>
      </c>
      <c r="BM564" s="99" t="str">
        <f>IFERROR(__xludf.DUMMYFUNCTION("IFERROR(VLOOKUP(BG564,IMPORTRANGE(""https://docs.google.com/spreadsheets/d/1juPI-Fb8LD0YtltB2mlGEnp_R3UVu1t3wSFPzgCyHXE/edit?gid=0#gid=0"",""GERAL!A2:C""),3,0),""-"")"),"-")</f>
        <v>-</v>
      </c>
    </row>
    <row r="565" ht="15.75" customHeight="1">
      <c r="A565" s="111" t="s">
        <v>673</v>
      </c>
      <c r="B565" s="83" t="s">
        <v>2532</v>
      </c>
      <c r="C565" s="83" t="s">
        <v>164</v>
      </c>
      <c r="D565" s="112">
        <v>1166613.0</v>
      </c>
      <c r="E565" s="83">
        <v>1178643.0</v>
      </c>
      <c r="F565" s="98">
        <v>2.949057E7</v>
      </c>
      <c r="G565" s="184" t="s">
        <v>2541</v>
      </c>
      <c r="H565" s="91" t="s">
        <v>2542</v>
      </c>
      <c r="I565" s="83" t="s">
        <v>149</v>
      </c>
      <c r="J565" s="83" t="s">
        <v>464</v>
      </c>
      <c r="K565" s="83" t="s">
        <v>168</v>
      </c>
      <c r="L565" s="83" t="s">
        <v>169</v>
      </c>
      <c r="M565" s="82" t="str">
        <f>IFERROR(__xludf.DUMMYFUNCTION("IFERROR(VLOOKUP(D565,
IMPORTRANGE(""https://docs.google.com/spreadsheets/d/1MjHtlUikwobi2MaWJgy7tfLeBmhj1u-dRFRs_8GwSoA/edit#gid=0"",""Gestores Escolares!D7:J""),3,0),""VERIFICAR CÓD SEC"")"),"AMISSON DOS SANTOS NUNES")</f>
        <v>AMISSON DOS SANTOS NUNES</v>
      </c>
      <c r="N565" s="82" t="str">
        <f>IFERROR(__xludf.DUMMYFUNCTION("IFERROR(VLOOKUP(D565,
IMPORTRANGE(""https://docs.google.com/spreadsheets/d/1MjHtlUikwobi2MaWJgy7tfLeBmhj1u-dRFRs_8GwSoA/edit#gid=0"",""Gestores Escolares!D7:J""),4,0),""VERIFICAR CÓD SEC"")"),"(73) 9 8101-8733")</f>
        <v>(73) 9 8101-8733</v>
      </c>
      <c r="O565" s="82" t="str">
        <f>IFERROR(__xludf.DUMMYFUNCTION("IFERROR(VLOOKUP(D565,
IMPORTRANGE(""https://docs.google.com/spreadsheets/d/1MjHtlUikwobi2MaWJgy7tfLeBmhj1u-dRFRs_8GwSoA/edit#gid=0"",""Gestores Escolares!D7:J""),6,0),""VERIFICAR CÓD SEC"")"),"JESSICA SILVA LOPES")</f>
        <v>JESSICA SILVA LOPES</v>
      </c>
      <c r="P565" s="82" t="str">
        <f>IFERROR(__xludf.DUMMYFUNCTION("IFERROR(VLOOKUP(D565,
IMPORTRANGE(""https://docs.google.com/spreadsheets/d/1MjHtlUikwobi2MaWJgy7tfLeBmhj1u-dRFRs_8GwSoA/edit#gid=0"",""Gestores Escolares!D7:J""),7,0),""VERIFICAR CÓD SEC"")"),"(73) 9 9197-2978")</f>
        <v>(73) 9 9197-2978</v>
      </c>
      <c r="Q565" s="82" t="str">
        <f>IFERROR(__xludf.DUMMYFUNCTION("IFERROR(VLOOKUP(D565,
IMPORTRANGE(""https://docs.google.com/spreadsheets/d/1MjHtlUikwobi2MaWJgy7tfLeBmhj1u-dRFRs_8GwSoA/edit#gid=0"",""Gestores Escolares!D7:m""),9,0),""VERIFICAR CÓD SEC"")"),"")</f>
        <v/>
      </c>
      <c r="R565" s="82" t="str">
        <f>IFERROR(__xludf.DUMMYFUNCTION("IFERROR(VLOOKUP(D565,
IMPORTRANGE(""https://docs.google.com/spreadsheets/d/1MjHtlUikwobi2MaWJgy7tfLeBmhj1u-dRFRs_8GwSoA/edit#gid=0"",""Gestores Escolares!D7:m""),10,0),""VERIFICAR CÓD SEC"")"),"")</f>
        <v/>
      </c>
      <c r="S565" s="82"/>
      <c r="T565" s="138">
        <v>2.0</v>
      </c>
      <c r="U565" s="145">
        <v>3.0</v>
      </c>
      <c r="V565" s="106">
        <v>0.0</v>
      </c>
      <c r="W565" s="107">
        <v>0.0</v>
      </c>
      <c r="X565" s="107">
        <v>0.0</v>
      </c>
      <c r="Y565" s="107">
        <v>0.0</v>
      </c>
      <c r="Z565" s="80">
        <f t="shared" si="1"/>
        <v>0</v>
      </c>
      <c r="AA565" s="106">
        <v>0.0</v>
      </c>
      <c r="AB565" s="107">
        <v>0.0</v>
      </c>
      <c r="AC565" s="107">
        <v>0.0</v>
      </c>
      <c r="AD565" s="107">
        <v>0.0</v>
      </c>
      <c r="AE565" s="80">
        <f t="shared" si="2"/>
        <v>0</v>
      </c>
      <c r="AF565" s="140">
        <v>6.0</v>
      </c>
      <c r="AG565" s="109">
        <v>0.0</v>
      </c>
      <c r="AH565" s="109">
        <v>16.0</v>
      </c>
      <c r="AI565" s="141">
        <v>0.0</v>
      </c>
      <c r="AJ565" s="80">
        <f t="shared" si="3"/>
        <v>22</v>
      </c>
      <c r="AK565" s="140">
        <v>0.0</v>
      </c>
      <c r="AL565" s="109">
        <v>0.0</v>
      </c>
      <c r="AM565" s="141">
        <v>0.0</v>
      </c>
      <c r="AN565" s="80">
        <f t="shared" si="4"/>
        <v>0</v>
      </c>
      <c r="AO565" s="140">
        <v>0.0</v>
      </c>
      <c r="AP565" s="109">
        <v>0.0</v>
      </c>
      <c r="AQ565" s="109">
        <v>0.0</v>
      </c>
      <c r="AR565" s="80">
        <f t="shared" si="5"/>
        <v>0</v>
      </c>
      <c r="AS565" s="110">
        <v>0.0</v>
      </c>
      <c r="AT565" s="110">
        <v>0.0</v>
      </c>
      <c r="AU565" s="110">
        <v>0.0</v>
      </c>
      <c r="AV565" s="142">
        <v>0.0</v>
      </c>
      <c r="AW565" s="80">
        <f t="shared" si="6"/>
        <v>0</v>
      </c>
      <c r="AX565" s="113">
        <f t="shared" si="7"/>
        <v>22</v>
      </c>
      <c r="AY565" s="117">
        <f t="shared" si="8"/>
        <v>6</v>
      </c>
      <c r="AZ565" s="120">
        <f t="shared" si="9"/>
        <v>16</v>
      </c>
      <c r="BA565" s="115">
        <v>0.0</v>
      </c>
      <c r="BB565" s="89">
        <f t="shared" si="10"/>
        <v>22</v>
      </c>
      <c r="BC565" s="132" t="s">
        <v>373</v>
      </c>
      <c r="BD565" s="132" t="s">
        <v>178</v>
      </c>
      <c r="BE565" s="132" t="s">
        <v>178</v>
      </c>
      <c r="BF565" s="123"/>
      <c r="BG565" s="83">
        <v>1178643.0</v>
      </c>
      <c r="BH565" s="112"/>
      <c r="BI565" s="112">
        <v>1.0</v>
      </c>
      <c r="BJ565" s="98" t="s">
        <v>155</v>
      </c>
      <c r="BK565" s="99">
        <f t="shared" si="11"/>
        <v>0</v>
      </c>
      <c r="BL565" s="99">
        <f t="shared" si="12"/>
        <v>6</v>
      </c>
      <c r="BM565" s="99" t="str">
        <f>IFERROR(__xludf.DUMMYFUNCTION("IFERROR(VLOOKUP(BG565,IMPORTRANGE(""https://docs.google.com/spreadsheets/d/1juPI-Fb8LD0YtltB2mlGEnp_R3UVu1t3wSFPzgCyHXE/edit?gid=0#gid=0"",""GERAL!A2:C""),3,0),""-"")"),"CAMPO")</f>
        <v>CAMPO</v>
      </c>
    </row>
    <row r="566" ht="15.75" customHeight="1">
      <c r="A566" s="111" t="s">
        <v>673</v>
      </c>
      <c r="B566" s="83" t="s">
        <v>2545</v>
      </c>
      <c r="C566" s="83" t="s">
        <v>68</v>
      </c>
      <c r="D566" s="112">
        <v>1178120.0</v>
      </c>
      <c r="E566" s="83"/>
      <c r="F566" s="83">
        <v>2.9437172E7</v>
      </c>
      <c r="G566" s="184" t="s">
        <v>2546</v>
      </c>
      <c r="H566" s="91" t="s">
        <v>2547</v>
      </c>
      <c r="I566" s="83" t="s">
        <v>149</v>
      </c>
      <c r="J566" s="83" t="s">
        <v>1645</v>
      </c>
      <c r="K566" s="83" t="s">
        <v>151</v>
      </c>
      <c r="L566" s="83" t="s">
        <v>169</v>
      </c>
      <c r="M566" s="82" t="str">
        <f>IFERROR(__xludf.DUMMYFUNCTION("IFERROR(VLOOKUP(D566,
IMPORTRANGE(""https://docs.google.com/spreadsheets/d/1MjHtlUikwobi2MaWJgy7tfLeBmhj1u-dRFRs_8GwSoA/edit#gid=0"",""Gestores Escolares!D7:J""),3,0),""VERIFICAR CÓD SEC"")"),"TEDICARLA OTACILIA NOVAIS SILVA")</f>
        <v>TEDICARLA OTACILIA NOVAIS SILVA</v>
      </c>
      <c r="N566" s="82" t="str">
        <f>IFERROR(__xludf.DUMMYFUNCTION("IFERROR(VLOOKUP(D566,
IMPORTRANGE(""https://docs.google.com/spreadsheets/d/1MjHtlUikwobi2MaWJgy7tfLeBmhj1u-dRFRs_8GwSoA/edit#gid=0"",""Gestores Escolares!D7:J""),4,0),""VERIFICAR CÓD SEC"")"),"(77) 9 8154-9495 (73) 3267-2279")</f>
        <v>(77) 9 8154-9495 (73) 3267-2279</v>
      </c>
      <c r="O566" s="82" t="str">
        <f>IFERROR(__xludf.DUMMYFUNCTION("IFERROR(VLOOKUP(D566,
IMPORTRANGE(""https://docs.google.com/spreadsheets/d/1MjHtlUikwobi2MaWJgy7tfLeBmhj1u-dRFRs_8GwSoA/edit#gid=0"",""Gestores Escolares!D7:J""),6,0),""VERIFICAR CÓD SEC"")"),"")</f>
        <v/>
      </c>
      <c r="P566" s="82" t="str">
        <f>IFERROR(__xludf.DUMMYFUNCTION("IFERROR(VLOOKUP(D566,
IMPORTRANGE(""https://docs.google.com/spreadsheets/d/1MjHtlUikwobi2MaWJgy7tfLeBmhj1u-dRFRs_8GwSoA/edit#gid=0"",""Gestores Escolares!D7:J""),7,0),""VERIFICAR CÓD SEC"")"),"")</f>
        <v/>
      </c>
      <c r="Q566" s="82" t="str">
        <f>IFERROR(__xludf.DUMMYFUNCTION("IFERROR(VLOOKUP(D566,
IMPORTRANGE(""https://docs.google.com/spreadsheets/d/1MjHtlUikwobi2MaWJgy7tfLeBmhj1u-dRFRs_8GwSoA/edit#gid=0"",""Gestores Escolares!D7:m""),9,0),""VERIFICAR CÓD SEC"")"),"")</f>
        <v/>
      </c>
      <c r="R566" s="82" t="str">
        <f>IFERROR(__xludf.DUMMYFUNCTION("IFERROR(VLOOKUP(D566,
IMPORTRANGE(""https://docs.google.com/spreadsheets/d/1MjHtlUikwobi2MaWJgy7tfLeBmhj1u-dRFRs_8GwSoA/edit#gid=0"",""Gestores Escolares!D7:m""),10,0),""VERIFICAR CÓD SEC"")"),"")</f>
        <v/>
      </c>
      <c r="S566" s="82"/>
      <c r="T566" s="138">
        <v>7.0</v>
      </c>
      <c r="U566" s="152" t="s">
        <v>7866</v>
      </c>
      <c r="V566" s="106">
        <v>0.0</v>
      </c>
      <c r="W566" s="107">
        <v>0.0</v>
      </c>
      <c r="X566" s="107">
        <v>0.0</v>
      </c>
      <c r="Y566" s="107">
        <v>0.0</v>
      </c>
      <c r="Z566" s="80">
        <f t="shared" si="1"/>
        <v>0</v>
      </c>
      <c r="AA566" s="106">
        <v>0.0</v>
      </c>
      <c r="AB566" s="107">
        <v>0.0</v>
      </c>
      <c r="AC566" s="107">
        <v>0.0</v>
      </c>
      <c r="AD566" s="107">
        <v>0.0</v>
      </c>
      <c r="AE566" s="80">
        <f t="shared" si="2"/>
        <v>0</v>
      </c>
      <c r="AF566" s="140">
        <v>19.0</v>
      </c>
      <c r="AG566" s="109">
        <v>0.0</v>
      </c>
      <c r="AH566" s="109">
        <v>0.0</v>
      </c>
      <c r="AI566" s="141">
        <v>55.0</v>
      </c>
      <c r="AJ566" s="80">
        <f t="shared" si="3"/>
        <v>74</v>
      </c>
      <c r="AK566" s="140">
        <v>0.0</v>
      </c>
      <c r="AL566" s="109">
        <v>0.0</v>
      </c>
      <c r="AM566" s="141">
        <v>0.0</v>
      </c>
      <c r="AN566" s="80">
        <f t="shared" si="4"/>
        <v>0</v>
      </c>
      <c r="AO566" s="140">
        <v>0.0</v>
      </c>
      <c r="AP566" s="109">
        <v>0.0</v>
      </c>
      <c r="AQ566" s="109">
        <v>36.0</v>
      </c>
      <c r="AR566" s="80">
        <f t="shared" si="5"/>
        <v>36</v>
      </c>
      <c r="AS566" s="110">
        <v>0.0</v>
      </c>
      <c r="AT566" s="110">
        <v>0.0</v>
      </c>
      <c r="AU566" s="110">
        <v>0.0</v>
      </c>
      <c r="AV566" s="142">
        <v>0.0</v>
      </c>
      <c r="AW566" s="80">
        <f t="shared" si="6"/>
        <v>0</v>
      </c>
      <c r="AX566" s="113">
        <f t="shared" si="7"/>
        <v>110</v>
      </c>
      <c r="AY566" s="117">
        <f t="shared" si="8"/>
        <v>74</v>
      </c>
      <c r="AZ566" s="120">
        <f t="shared" si="9"/>
        <v>36</v>
      </c>
      <c r="BA566" s="115">
        <v>0.0</v>
      </c>
      <c r="BB566" s="89">
        <f t="shared" si="10"/>
        <v>110</v>
      </c>
      <c r="BC566" s="132" t="s">
        <v>373</v>
      </c>
      <c r="BD566" s="132" t="s">
        <v>178</v>
      </c>
      <c r="BE566" s="132" t="s">
        <v>178</v>
      </c>
      <c r="BF566" s="123"/>
      <c r="BG566" s="83">
        <v>1178120.0</v>
      </c>
      <c r="BH566" s="112"/>
      <c r="BI566" s="112">
        <v>3.0</v>
      </c>
      <c r="BJ566" s="98" t="s">
        <v>155</v>
      </c>
      <c r="BK566" s="99">
        <f t="shared" si="11"/>
        <v>55</v>
      </c>
      <c r="BL566" s="99">
        <f t="shared" si="12"/>
        <v>19</v>
      </c>
      <c r="BM566" s="99" t="str">
        <f>IFERROR(__xludf.DUMMYFUNCTION("IFERROR(VLOOKUP(BG566,IMPORTRANGE(""https://docs.google.com/spreadsheets/d/1juPI-Fb8LD0YtltB2mlGEnp_R3UVu1t3wSFPzgCyHXE/edit?gid=0#gid=0"",""GERAL!A2:C""),3,0),""-"")"),"CAMPO")</f>
        <v>CAMPO</v>
      </c>
    </row>
    <row r="567" ht="15.75" customHeight="1">
      <c r="A567" s="111" t="s">
        <v>673</v>
      </c>
      <c r="B567" s="83" t="s">
        <v>2545</v>
      </c>
      <c r="C567" s="83" t="s">
        <v>68</v>
      </c>
      <c r="D567" s="112">
        <v>1119283.0</v>
      </c>
      <c r="E567" s="83"/>
      <c r="F567" s="83">
        <v>2.9283647E7</v>
      </c>
      <c r="G567" s="487" t="s">
        <v>2549</v>
      </c>
      <c r="H567" s="108" t="s">
        <v>2550</v>
      </c>
      <c r="I567" s="83" t="s">
        <v>149</v>
      </c>
      <c r="J567" s="83" t="s">
        <v>150</v>
      </c>
      <c r="K567" s="83" t="s">
        <v>151</v>
      </c>
      <c r="L567" s="83" t="s">
        <v>230</v>
      </c>
      <c r="M567" s="82" t="str">
        <f>IFERROR(__xludf.DUMMYFUNCTION("IFERROR(VLOOKUP(D567,
IMPORTRANGE(""https://docs.google.com/spreadsheets/d/1MjHtlUikwobi2MaWJgy7tfLeBmhj1u-dRFRs_8GwSoA/edit#gid=0"",""Gestores Escolares!D7:J""),3,0),""VERIFICAR CÓD SEC"")"),"ALOISIO BATISTA FIGUEIREDO NETO")</f>
        <v>ALOISIO BATISTA FIGUEIREDO NETO</v>
      </c>
      <c r="N567" s="82" t="str">
        <f>IFERROR(__xludf.DUMMYFUNCTION("IFERROR(VLOOKUP(D567,
IMPORTRANGE(""https://docs.google.com/spreadsheets/d/1MjHtlUikwobi2MaWJgy7tfLeBmhj1u-dRFRs_8GwSoA/edit#gid=0"",""Gestores Escolares!D7:J""),4,0),""VERIFICAR CÓD SEC"")"),"(73) 9 9985-3331")</f>
        <v>(73) 9 9985-3331</v>
      </c>
      <c r="O567" s="82" t="str">
        <f>IFERROR(__xludf.DUMMYFUNCTION("IFERROR(VLOOKUP(D567,
IMPORTRANGE(""https://docs.google.com/spreadsheets/d/1MjHtlUikwobi2MaWJgy7tfLeBmhj1u-dRFRs_8GwSoA/edit#gid=0"",""Gestores Escolares!D7:J""),6,0),""VERIFICAR CÓD SEC"")"),"HELLIONADIA SILVA AGUIAR")</f>
        <v>HELLIONADIA SILVA AGUIAR</v>
      </c>
      <c r="P567" s="82" t="str">
        <f>IFERROR(__xludf.DUMMYFUNCTION("IFERROR(VLOOKUP(D567,
IMPORTRANGE(""https://docs.google.com/spreadsheets/d/1MjHtlUikwobi2MaWJgy7tfLeBmhj1u-dRFRs_8GwSoA/edit#gid=0"",""Gestores Escolares!D7:J""),7,0),""VERIFICAR CÓD SEC"")"),"(73) 9 9808-9134")</f>
        <v>(73) 9 9808-9134</v>
      </c>
      <c r="Q567" s="82" t="str">
        <f>IFERROR(__xludf.DUMMYFUNCTION("IFERROR(VLOOKUP(D567,
IMPORTRANGE(""https://docs.google.com/spreadsheets/d/1MjHtlUikwobi2MaWJgy7tfLeBmhj1u-dRFRs_8GwSoA/edit#gid=0"",""Gestores Escolares!D7:m""),9,0),""VERIFICAR CÓD SEC"")"),"CAROLINA DA SILVA VIANA")</f>
        <v>CAROLINA DA SILVA VIANA</v>
      </c>
      <c r="R567" s="82" t="str">
        <f>IFERROR(__xludf.DUMMYFUNCTION("IFERROR(VLOOKUP(D567,
IMPORTRANGE(""https://docs.google.com/spreadsheets/d/1MjHtlUikwobi2MaWJgy7tfLeBmhj1u-dRFRs_8GwSoA/edit#gid=0"",""Gestores Escolares!D7:m""),10,0),""VERIFICAR CÓD SEC"")"),"(73) 9 8254-3463")</f>
        <v>(73) 9 8254-3463</v>
      </c>
      <c r="S567" s="82"/>
      <c r="T567" s="138">
        <v>25.0</v>
      </c>
      <c r="U567" s="145">
        <v>24.0</v>
      </c>
      <c r="V567" s="106">
        <v>0.0</v>
      </c>
      <c r="W567" s="107">
        <v>0.0</v>
      </c>
      <c r="X567" s="107">
        <v>0.0</v>
      </c>
      <c r="Y567" s="107">
        <v>0.0</v>
      </c>
      <c r="Z567" s="80">
        <f t="shared" si="1"/>
        <v>0</v>
      </c>
      <c r="AA567" s="106">
        <v>0.0</v>
      </c>
      <c r="AB567" s="107">
        <v>0.0</v>
      </c>
      <c r="AC567" s="107">
        <v>0.0</v>
      </c>
      <c r="AD567" s="107">
        <v>0.0</v>
      </c>
      <c r="AE567" s="80">
        <f t="shared" si="2"/>
        <v>0</v>
      </c>
      <c r="AF567" s="140">
        <v>0.0</v>
      </c>
      <c r="AG567" s="109">
        <v>0.0</v>
      </c>
      <c r="AH567" s="109">
        <v>0.0</v>
      </c>
      <c r="AI567" s="141">
        <v>0.0</v>
      </c>
      <c r="AJ567" s="80">
        <f t="shared" si="3"/>
        <v>0</v>
      </c>
      <c r="AK567" s="140">
        <v>0.0</v>
      </c>
      <c r="AL567" s="109">
        <v>0.0</v>
      </c>
      <c r="AM567" s="141">
        <v>0.0</v>
      </c>
      <c r="AN567" s="80">
        <f t="shared" si="4"/>
        <v>0</v>
      </c>
      <c r="AO567" s="140">
        <v>0.0</v>
      </c>
      <c r="AP567" s="109">
        <v>0.0</v>
      </c>
      <c r="AQ567" s="109">
        <v>0.0</v>
      </c>
      <c r="AR567" s="80">
        <f t="shared" si="5"/>
        <v>0</v>
      </c>
      <c r="AS567" s="110">
        <v>136.0</v>
      </c>
      <c r="AT567" s="110">
        <v>82.0</v>
      </c>
      <c r="AU567" s="110">
        <v>306.0</v>
      </c>
      <c r="AV567" s="142">
        <v>349.0</v>
      </c>
      <c r="AW567" s="80">
        <f t="shared" si="6"/>
        <v>873</v>
      </c>
      <c r="AX567" s="113">
        <f t="shared" si="7"/>
        <v>873</v>
      </c>
      <c r="AY567" s="117">
        <f t="shared" si="8"/>
        <v>567</v>
      </c>
      <c r="AZ567" s="120">
        <f t="shared" si="9"/>
        <v>306</v>
      </c>
      <c r="BA567" s="115">
        <v>0.0</v>
      </c>
      <c r="BB567" s="89">
        <f t="shared" si="10"/>
        <v>873</v>
      </c>
      <c r="BC567" s="132" t="s">
        <v>178</v>
      </c>
      <c r="BD567" s="132" t="s">
        <v>522</v>
      </c>
      <c r="BE567" s="132" t="s">
        <v>178</v>
      </c>
      <c r="BF567" s="123"/>
      <c r="BG567" s="83">
        <v>1119283.0</v>
      </c>
      <c r="BH567" s="112"/>
      <c r="BI567" s="112">
        <v>22.0</v>
      </c>
      <c r="BJ567" s="98" t="s">
        <v>162</v>
      </c>
      <c r="BK567" s="99">
        <f t="shared" si="11"/>
        <v>349</v>
      </c>
      <c r="BL567" s="99">
        <f t="shared" si="12"/>
        <v>218</v>
      </c>
      <c r="BM567" s="99" t="str">
        <f>IFERROR(__xludf.DUMMYFUNCTION("IFERROR(VLOOKUP(BG567,IMPORTRANGE(""https://docs.google.com/spreadsheets/d/1juPI-Fb8LD0YtltB2mlGEnp_R3UVu1t3wSFPzgCyHXE/edit?gid=0#gid=0"",""GERAL!A2:C""),3,0),""-"")"),"-")</f>
        <v>-</v>
      </c>
    </row>
    <row r="568" ht="15.75" customHeight="1">
      <c r="A568" s="111" t="s">
        <v>673</v>
      </c>
      <c r="B568" s="83" t="s">
        <v>2545</v>
      </c>
      <c r="C568" s="83" t="s">
        <v>164</v>
      </c>
      <c r="D568" s="112">
        <v>1178120.0</v>
      </c>
      <c r="E568" s="83">
        <v>1178645.0</v>
      </c>
      <c r="F568" s="98">
        <v>2.9491924E7</v>
      </c>
      <c r="G568" s="184" t="s">
        <v>2553</v>
      </c>
      <c r="H568" s="91" t="s">
        <v>2554</v>
      </c>
      <c r="I568" s="172" t="s">
        <v>2555</v>
      </c>
      <c r="J568" s="83" t="s">
        <v>751</v>
      </c>
      <c r="K568" s="83" t="s">
        <v>168</v>
      </c>
      <c r="L568" s="83" t="s">
        <v>169</v>
      </c>
      <c r="M568" s="82" t="str">
        <f>IFERROR(__xludf.DUMMYFUNCTION("IFERROR(VLOOKUP(D568,
IMPORTRANGE(""https://docs.google.com/spreadsheets/d/1MjHtlUikwobi2MaWJgy7tfLeBmhj1u-dRFRs_8GwSoA/edit#gid=0"",""Gestores Escolares!D7:J""),3,0),""VERIFICAR CÓD SEC"")"),"TEDICARLA OTACILIA NOVAIS SILVA")</f>
        <v>TEDICARLA OTACILIA NOVAIS SILVA</v>
      </c>
      <c r="N568" s="82" t="str">
        <f>IFERROR(__xludf.DUMMYFUNCTION("IFERROR(VLOOKUP(D568,
IMPORTRANGE(""https://docs.google.com/spreadsheets/d/1MjHtlUikwobi2MaWJgy7tfLeBmhj1u-dRFRs_8GwSoA/edit#gid=0"",""Gestores Escolares!D7:J""),4,0),""VERIFICAR CÓD SEC"")"),"(77) 9 8154-9495 (73) 3267-2279")</f>
        <v>(77) 9 8154-9495 (73) 3267-2279</v>
      </c>
      <c r="O568" s="82" t="str">
        <f>IFERROR(__xludf.DUMMYFUNCTION("IFERROR(VLOOKUP(D568,
IMPORTRANGE(""https://docs.google.com/spreadsheets/d/1MjHtlUikwobi2MaWJgy7tfLeBmhj1u-dRFRs_8GwSoA/edit#gid=0"",""Gestores Escolares!D7:J""),6,0),""VERIFICAR CÓD SEC"")"),"")</f>
        <v/>
      </c>
      <c r="P568" s="82" t="str">
        <f>IFERROR(__xludf.DUMMYFUNCTION("IFERROR(VLOOKUP(D568,
IMPORTRANGE(""https://docs.google.com/spreadsheets/d/1MjHtlUikwobi2MaWJgy7tfLeBmhj1u-dRFRs_8GwSoA/edit#gid=0"",""Gestores Escolares!D7:J""),7,0),""VERIFICAR CÓD SEC"")"),"")</f>
        <v/>
      </c>
      <c r="Q568" s="82" t="str">
        <f>IFERROR(__xludf.DUMMYFUNCTION("IFERROR(VLOOKUP(D568,
IMPORTRANGE(""https://docs.google.com/spreadsheets/d/1MjHtlUikwobi2MaWJgy7tfLeBmhj1u-dRFRs_8GwSoA/edit#gid=0"",""Gestores Escolares!D7:m""),9,0),""VERIFICAR CÓD SEC"")"),"")</f>
        <v/>
      </c>
      <c r="R568" s="82" t="str">
        <f>IFERROR(__xludf.DUMMYFUNCTION("IFERROR(VLOOKUP(D568,
IMPORTRANGE(""https://docs.google.com/spreadsheets/d/1MjHtlUikwobi2MaWJgy7tfLeBmhj1u-dRFRs_8GwSoA/edit#gid=0"",""Gestores Escolares!D7:m""),10,0),""VERIFICAR CÓD SEC"")"),"")</f>
        <v/>
      </c>
      <c r="S568" s="82"/>
      <c r="T568" s="138">
        <v>4.0</v>
      </c>
      <c r="U568" s="152">
        <v>4.0</v>
      </c>
      <c r="V568" s="106">
        <v>0.0</v>
      </c>
      <c r="W568" s="107">
        <v>0.0</v>
      </c>
      <c r="X568" s="107">
        <v>0.0</v>
      </c>
      <c r="Y568" s="107">
        <v>0.0</v>
      </c>
      <c r="Z568" s="80">
        <f t="shared" si="1"/>
        <v>0</v>
      </c>
      <c r="AA568" s="106">
        <v>0.0</v>
      </c>
      <c r="AB568" s="107">
        <v>0.0</v>
      </c>
      <c r="AC568" s="107">
        <v>0.0</v>
      </c>
      <c r="AD568" s="107">
        <v>0.0</v>
      </c>
      <c r="AE568" s="80">
        <f t="shared" si="2"/>
        <v>0</v>
      </c>
      <c r="AF568" s="140">
        <v>0.0</v>
      </c>
      <c r="AG568" s="109">
        <v>0.0</v>
      </c>
      <c r="AH568" s="109">
        <v>29.0</v>
      </c>
      <c r="AI568" s="141">
        <v>0.0</v>
      </c>
      <c r="AJ568" s="80">
        <f t="shared" si="3"/>
        <v>29</v>
      </c>
      <c r="AK568" s="140">
        <v>0.0</v>
      </c>
      <c r="AL568" s="109">
        <v>0.0</v>
      </c>
      <c r="AM568" s="141">
        <v>0.0</v>
      </c>
      <c r="AN568" s="80">
        <f t="shared" si="4"/>
        <v>0</v>
      </c>
      <c r="AO568" s="140">
        <v>0.0</v>
      </c>
      <c r="AP568" s="109">
        <v>0.0</v>
      </c>
      <c r="AQ568" s="109">
        <v>0.0</v>
      </c>
      <c r="AR568" s="80">
        <f t="shared" si="5"/>
        <v>0</v>
      </c>
      <c r="AS568" s="110">
        <v>0.0</v>
      </c>
      <c r="AT568" s="110">
        <v>0.0</v>
      </c>
      <c r="AU568" s="110">
        <v>0.0</v>
      </c>
      <c r="AV568" s="142">
        <v>0.0</v>
      </c>
      <c r="AW568" s="80">
        <f t="shared" si="6"/>
        <v>0</v>
      </c>
      <c r="AX568" s="113">
        <f t="shared" si="7"/>
        <v>29</v>
      </c>
      <c r="AY568" s="117">
        <f t="shared" si="8"/>
        <v>0</v>
      </c>
      <c r="AZ568" s="120">
        <f t="shared" si="9"/>
        <v>29</v>
      </c>
      <c r="BA568" s="115">
        <v>0.0</v>
      </c>
      <c r="BB568" s="89">
        <f t="shared" si="10"/>
        <v>29</v>
      </c>
      <c r="BC568" s="132" t="s">
        <v>373</v>
      </c>
      <c r="BD568" s="132" t="s">
        <v>178</v>
      </c>
      <c r="BE568" s="132" t="s">
        <v>178</v>
      </c>
      <c r="BF568" s="123"/>
      <c r="BG568" s="83">
        <v>1178645.0</v>
      </c>
      <c r="BH568" s="112"/>
      <c r="BI568" s="112">
        <v>4.0</v>
      </c>
      <c r="BJ568" s="98" t="s">
        <v>155</v>
      </c>
      <c r="BK568" s="99">
        <f t="shared" si="11"/>
        <v>0</v>
      </c>
      <c r="BL568" s="99">
        <f t="shared" si="12"/>
        <v>0</v>
      </c>
      <c r="BM568" s="99" t="str">
        <f>IFERROR(__xludf.DUMMYFUNCTION("IFERROR(VLOOKUP(BG568,IMPORTRANGE(""https://docs.google.com/spreadsheets/d/1juPI-Fb8LD0YtltB2mlGEnp_R3UVu1t3wSFPzgCyHXE/edit?gid=0#gid=0"",""GERAL!A2:C""),3,0),""-"")"),"CAMPO")</f>
        <v>CAMPO</v>
      </c>
    </row>
    <row r="569" ht="15.75" customHeight="1">
      <c r="A569" s="111" t="s">
        <v>673</v>
      </c>
      <c r="B569" s="83" t="s">
        <v>2557</v>
      </c>
      <c r="C569" s="83" t="s">
        <v>68</v>
      </c>
      <c r="D569" s="112">
        <v>1119380.0</v>
      </c>
      <c r="E569" s="83"/>
      <c r="F569" s="83">
        <v>2.9284104E7</v>
      </c>
      <c r="G569" s="147" t="s">
        <v>2558</v>
      </c>
      <c r="H569" s="91" t="s">
        <v>2559</v>
      </c>
      <c r="I569" s="83" t="s">
        <v>149</v>
      </c>
      <c r="J569" s="83" t="s">
        <v>150</v>
      </c>
      <c r="K569" s="83" t="s">
        <v>168</v>
      </c>
      <c r="L569" s="98" t="s">
        <v>152</v>
      </c>
      <c r="M569" s="82" t="str">
        <f>IFERROR(__xludf.DUMMYFUNCTION("IFERROR(VLOOKUP(D569,
IMPORTRANGE(""https://docs.google.com/spreadsheets/d/1MjHtlUikwobi2MaWJgy7tfLeBmhj1u-dRFRs_8GwSoA/edit#gid=0"",""Gestores Escolares!D7:J""),3,0),""VERIFICAR CÓD SEC"")"),"ERMI MOREIRA DE ABREU")</f>
        <v>ERMI MOREIRA DE ABREU</v>
      </c>
      <c r="N569" s="82" t="str">
        <f>IFERROR(__xludf.DUMMYFUNCTION("IFERROR(VLOOKUP(D569,
IMPORTRANGE(""https://docs.google.com/spreadsheets/d/1MjHtlUikwobi2MaWJgy7tfLeBmhj1u-dRFRs_8GwSoA/edit#gid=0"",""Gestores Escolares!D7:J""),4,0),""VERIFICAR CÓD SEC"")"),"(77) 9 8805-9383")</f>
        <v>(77) 9 8805-9383</v>
      </c>
      <c r="O569" s="82" t="str">
        <f>IFERROR(__xludf.DUMMYFUNCTION("IFERROR(VLOOKUP(D569,
IMPORTRANGE(""https://docs.google.com/spreadsheets/d/1MjHtlUikwobi2MaWJgy7tfLeBmhj1u-dRFRs_8GwSoA/edit#gid=0"",""Gestores Escolares!D7:J""),6,0),""VERIFICAR CÓD SEC"")"),"")</f>
        <v/>
      </c>
      <c r="P569" s="82" t="str">
        <f>IFERROR(__xludf.DUMMYFUNCTION("IFERROR(VLOOKUP(D569,
IMPORTRANGE(""https://docs.google.com/spreadsheets/d/1MjHtlUikwobi2MaWJgy7tfLeBmhj1u-dRFRs_8GwSoA/edit#gid=0"",""Gestores Escolares!D7:J""),7,0),""VERIFICAR CÓD SEC"")"),"")</f>
        <v/>
      </c>
      <c r="Q569" s="82" t="str">
        <f>IFERROR(__xludf.DUMMYFUNCTION("IFERROR(VLOOKUP(D569,
IMPORTRANGE(""https://docs.google.com/spreadsheets/d/1MjHtlUikwobi2MaWJgy7tfLeBmhj1u-dRFRs_8GwSoA/edit#gid=0"",""Gestores Escolares!D7:m""),9,0),""VERIFICAR CÓD SEC"")"),"")</f>
        <v/>
      </c>
      <c r="R569" s="82" t="str">
        <f>IFERROR(__xludf.DUMMYFUNCTION("IFERROR(VLOOKUP(D569,
IMPORTRANGE(""https://docs.google.com/spreadsheets/d/1MjHtlUikwobi2MaWJgy7tfLeBmhj1u-dRFRs_8GwSoA/edit#gid=0"",""Gestores Escolares!D7:m""),10,0),""VERIFICAR CÓD SEC"")"),"")</f>
        <v/>
      </c>
      <c r="S569" s="82"/>
      <c r="T569" s="138">
        <v>15.0</v>
      </c>
      <c r="U569" s="421" t="s">
        <v>7910</v>
      </c>
      <c r="V569" s="106">
        <v>0.0</v>
      </c>
      <c r="W569" s="107">
        <v>0.0</v>
      </c>
      <c r="X569" s="107">
        <v>0.0</v>
      </c>
      <c r="Y569" s="107">
        <v>0.0</v>
      </c>
      <c r="Z569" s="80">
        <f t="shared" si="1"/>
        <v>0</v>
      </c>
      <c r="AA569" s="106">
        <v>0.0</v>
      </c>
      <c r="AB569" s="107">
        <v>0.0</v>
      </c>
      <c r="AC569" s="107">
        <v>0.0</v>
      </c>
      <c r="AD569" s="107">
        <v>0.0</v>
      </c>
      <c r="AE569" s="80">
        <f t="shared" si="2"/>
        <v>0</v>
      </c>
      <c r="AF569" s="140">
        <v>91.0</v>
      </c>
      <c r="AG569" s="109">
        <v>61.0</v>
      </c>
      <c r="AH569" s="109">
        <v>0.0</v>
      </c>
      <c r="AI569" s="141">
        <v>108.0</v>
      </c>
      <c r="AJ569" s="80">
        <f t="shared" si="3"/>
        <v>260</v>
      </c>
      <c r="AK569" s="140">
        <v>0.0</v>
      </c>
      <c r="AL569" s="109">
        <v>0.0</v>
      </c>
      <c r="AM569" s="141">
        <v>0.0</v>
      </c>
      <c r="AN569" s="80">
        <f t="shared" si="4"/>
        <v>0</v>
      </c>
      <c r="AO569" s="140">
        <v>0.0</v>
      </c>
      <c r="AP569" s="109">
        <v>0.0</v>
      </c>
      <c r="AQ569" s="109">
        <v>112.0</v>
      </c>
      <c r="AR569" s="80">
        <f t="shared" si="5"/>
        <v>112</v>
      </c>
      <c r="AS569" s="110">
        <v>31.0</v>
      </c>
      <c r="AT569" s="110">
        <v>0.0</v>
      </c>
      <c r="AU569" s="110">
        <v>0.0</v>
      </c>
      <c r="AV569" s="142">
        <v>32.0</v>
      </c>
      <c r="AW569" s="80">
        <f t="shared" si="6"/>
        <v>63</v>
      </c>
      <c r="AX569" s="113">
        <f t="shared" si="7"/>
        <v>435</v>
      </c>
      <c r="AY569" s="117">
        <f t="shared" si="8"/>
        <v>323</v>
      </c>
      <c r="AZ569" s="120">
        <f t="shared" si="9"/>
        <v>112</v>
      </c>
      <c r="BA569" s="115">
        <v>0.0</v>
      </c>
      <c r="BB569" s="89">
        <f t="shared" si="10"/>
        <v>435</v>
      </c>
      <c r="BC569" s="132" t="s">
        <v>178</v>
      </c>
      <c r="BD569" s="132" t="s">
        <v>178</v>
      </c>
      <c r="BE569" s="132" t="s">
        <v>178</v>
      </c>
      <c r="BF569" s="123"/>
      <c r="BG569" s="83">
        <v>1119380.0</v>
      </c>
      <c r="BH569" s="112"/>
      <c r="BI569" s="112">
        <v>11.0</v>
      </c>
      <c r="BJ569" s="98" t="s">
        <v>155</v>
      </c>
      <c r="BK569" s="99">
        <f t="shared" si="11"/>
        <v>140</v>
      </c>
      <c r="BL569" s="99">
        <f t="shared" si="12"/>
        <v>183</v>
      </c>
      <c r="BM569" s="99" t="str">
        <f>IFERROR(__xludf.DUMMYFUNCTION("IFERROR(VLOOKUP(BG569,IMPORTRANGE(""https://docs.google.com/spreadsheets/d/1juPI-Fb8LD0YtltB2mlGEnp_R3UVu1t3wSFPzgCyHXE/edit?gid=0#gid=0"",""GERAL!A2:C""),3,0),""-"")"),"-")</f>
        <v>-</v>
      </c>
    </row>
    <row r="570" ht="15.75" customHeight="1">
      <c r="A570" s="111" t="s">
        <v>673</v>
      </c>
      <c r="B570" s="83" t="s">
        <v>2561</v>
      </c>
      <c r="C570" s="83" t="s">
        <v>68</v>
      </c>
      <c r="D570" s="112">
        <v>1178270.0</v>
      </c>
      <c r="E570" s="83"/>
      <c r="F570" s="83">
        <v>2.9466008E7</v>
      </c>
      <c r="G570" s="119" t="s">
        <v>2562</v>
      </c>
      <c r="H570" s="91" t="s">
        <v>2563</v>
      </c>
      <c r="I570" s="172" t="s">
        <v>2564</v>
      </c>
      <c r="J570" s="83" t="s">
        <v>150</v>
      </c>
      <c r="K570" s="83" t="s">
        <v>151</v>
      </c>
      <c r="L570" s="83" t="s">
        <v>76</v>
      </c>
      <c r="M570" s="82" t="str">
        <f>IFERROR(__xludf.DUMMYFUNCTION("IFERROR(VLOOKUP(D570,
IMPORTRANGE(""https://docs.google.com/spreadsheets/d/1MjHtlUikwobi2MaWJgy7tfLeBmhj1u-dRFRs_8GwSoA/edit#gid=0"",""Gestores Escolares!D7:J""),3,0),""VERIFICAR CÓD SEC"")"),"KEITIANE SANTANA SILVA")</f>
        <v>KEITIANE SANTANA SILVA</v>
      </c>
      <c r="N570" s="82" t="str">
        <f>IFERROR(__xludf.DUMMYFUNCTION("IFERROR(VLOOKUP(D570,
IMPORTRANGE(""https://docs.google.com/spreadsheets/d/1MjHtlUikwobi2MaWJgy7tfLeBmhj1u-dRFRs_8GwSoA/edit#gid=0"",""Gestores Escolares!D7:J""),4,0),""VERIFICAR CÓD SEC"")"),"(77)  9 9198-3937")</f>
        <v>(77)  9 9198-3937</v>
      </c>
      <c r="O570" s="82" t="str">
        <f>IFERROR(__xludf.DUMMYFUNCTION("IFERROR(VLOOKUP(D570,
IMPORTRANGE(""https://docs.google.com/spreadsheets/d/1MjHtlUikwobi2MaWJgy7tfLeBmhj1u-dRFRs_8GwSoA/edit#gid=0"",""Gestores Escolares!D7:J""),6,0),""VERIFICAR CÓD SEC"")"),"JUTAI ROCHA CHAVES")</f>
        <v>JUTAI ROCHA CHAVES</v>
      </c>
      <c r="P570" s="82" t="str">
        <f>IFERROR(__xludf.DUMMYFUNCTION("IFERROR(VLOOKUP(D570,
IMPORTRANGE(""https://docs.google.com/spreadsheets/d/1MjHtlUikwobi2MaWJgy7tfLeBmhj1u-dRFRs_8GwSoA/edit#gid=0"",""Gestores Escolares!D7:J""),7,0),""VERIFICAR CÓD SEC"")"),"(77) 9 9172-5288")</f>
        <v>(77) 9 9172-5288</v>
      </c>
      <c r="Q570" s="82" t="str">
        <f>IFERROR(__xludf.DUMMYFUNCTION("IFERROR(VLOOKUP(D570,
IMPORTRANGE(""https://docs.google.com/spreadsheets/d/1MjHtlUikwobi2MaWJgy7tfLeBmhj1u-dRFRs_8GwSoA/edit#gid=0"",""Gestores Escolares!D7:m""),9,0),""VERIFICAR CÓD SEC"")"),"")</f>
        <v/>
      </c>
      <c r="R570" s="82" t="str">
        <f>IFERROR(__xludf.DUMMYFUNCTION("IFERROR(VLOOKUP(D570,
IMPORTRANGE(""https://docs.google.com/spreadsheets/d/1MjHtlUikwobi2MaWJgy7tfLeBmhj1u-dRFRs_8GwSoA/edit#gid=0"",""Gestores Escolares!D7:m""),10,0),""VERIFICAR CÓD SEC"")"),"")</f>
        <v/>
      </c>
      <c r="S570" s="82"/>
      <c r="T570" s="138">
        <v>6.0</v>
      </c>
      <c r="U570" s="145" t="s">
        <v>7930</v>
      </c>
      <c r="V570" s="106">
        <v>0.0</v>
      </c>
      <c r="W570" s="107">
        <v>0.0</v>
      </c>
      <c r="X570" s="107">
        <v>0.0</v>
      </c>
      <c r="Y570" s="107">
        <v>0.0</v>
      </c>
      <c r="Z570" s="80">
        <f t="shared" si="1"/>
        <v>0</v>
      </c>
      <c r="AA570" s="106">
        <v>0.0</v>
      </c>
      <c r="AB570" s="107">
        <v>0.0</v>
      </c>
      <c r="AC570" s="107">
        <v>0.0</v>
      </c>
      <c r="AD570" s="107">
        <v>0.0</v>
      </c>
      <c r="AE570" s="80">
        <f t="shared" si="2"/>
        <v>0</v>
      </c>
      <c r="AF570" s="140">
        <v>105.0</v>
      </c>
      <c r="AG570" s="109">
        <v>57.0</v>
      </c>
      <c r="AH570" s="109">
        <v>0.0</v>
      </c>
      <c r="AI570" s="141">
        <v>0.0</v>
      </c>
      <c r="AJ570" s="80">
        <f t="shared" si="3"/>
        <v>162</v>
      </c>
      <c r="AK570" s="140">
        <v>0.0</v>
      </c>
      <c r="AL570" s="109">
        <v>0.0</v>
      </c>
      <c r="AM570" s="141">
        <v>0.0</v>
      </c>
      <c r="AN570" s="80">
        <f t="shared" si="4"/>
        <v>0</v>
      </c>
      <c r="AO570" s="140">
        <v>0.0</v>
      </c>
      <c r="AP570" s="109">
        <v>0.0</v>
      </c>
      <c r="AQ570" s="109">
        <v>53.0</v>
      </c>
      <c r="AR570" s="80">
        <f t="shared" si="5"/>
        <v>53</v>
      </c>
      <c r="AS570" s="110">
        <v>53.0</v>
      </c>
      <c r="AT570" s="110">
        <v>0.0</v>
      </c>
      <c r="AU570" s="110">
        <v>14.0</v>
      </c>
      <c r="AV570" s="142">
        <v>0.0</v>
      </c>
      <c r="AW570" s="80">
        <f t="shared" si="6"/>
        <v>67</v>
      </c>
      <c r="AX570" s="113">
        <f t="shared" si="7"/>
        <v>282</v>
      </c>
      <c r="AY570" s="117">
        <f t="shared" si="8"/>
        <v>215</v>
      </c>
      <c r="AZ570" s="120">
        <f t="shared" si="9"/>
        <v>67</v>
      </c>
      <c r="BA570" s="115">
        <v>0.0</v>
      </c>
      <c r="BB570" s="89">
        <f t="shared" si="10"/>
        <v>282</v>
      </c>
      <c r="BC570" s="132" t="s">
        <v>178</v>
      </c>
      <c r="BD570" s="132" t="s">
        <v>178</v>
      </c>
      <c r="BE570" s="132" t="s">
        <v>178</v>
      </c>
      <c r="BF570" s="123"/>
      <c r="BG570" s="83">
        <v>1178270.0</v>
      </c>
      <c r="BH570" s="112"/>
      <c r="BI570" s="112">
        <v>7.0</v>
      </c>
      <c r="BJ570" s="98" t="s">
        <v>155</v>
      </c>
      <c r="BK570" s="99">
        <f t="shared" si="11"/>
        <v>0</v>
      </c>
      <c r="BL570" s="99">
        <f t="shared" si="12"/>
        <v>215</v>
      </c>
      <c r="BM570" s="99" t="str">
        <f>IFERROR(__xludf.DUMMYFUNCTION("IFERROR(VLOOKUP(BG570,IMPORTRANGE(""https://docs.google.com/spreadsheets/d/1juPI-Fb8LD0YtltB2mlGEnp_R3UVu1t3wSFPzgCyHXE/edit?gid=0#gid=0"",""GERAL!A2:C""),3,0),""-"")"),"-")</f>
        <v>-</v>
      </c>
    </row>
    <row r="571" ht="15.75" customHeight="1">
      <c r="A571" s="111" t="s">
        <v>673</v>
      </c>
      <c r="B571" s="83" t="s">
        <v>2166</v>
      </c>
      <c r="C571" s="83" t="s">
        <v>68</v>
      </c>
      <c r="D571" s="112">
        <v>1118830.0</v>
      </c>
      <c r="E571" s="83"/>
      <c r="F571" s="83">
        <v>2.943783E7</v>
      </c>
      <c r="G571" s="487" t="s">
        <v>2566</v>
      </c>
      <c r="H571" s="91" t="s">
        <v>2567</v>
      </c>
      <c r="I571" s="136" t="s">
        <v>149</v>
      </c>
      <c r="J571" s="136" t="s">
        <v>150</v>
      </c>
      <c r="K571" s="83" t="s">
        <v>151</v>
      </c>
      <c r="L571" s="98" t="s">
        <v>152</v>
      </c>
      <c r="M571" s="82" t="str">
        <f>IFERROR(__xludf.DUMMYFUNCTION("IFERROR(VLOOKUP(D571,
IMPORTRANGE(""https://docs.google.com/spreadsheets/d/1MjHtlUikwobi2MaWJgy7tfLeBmhj1u-dRFRs_8GwSoA/edit#gid=0"",""Gestores Escolares!D7:J""),3,0),""VERIFICAR CÓD SEC"")"),"ANA PAULA DA SILVA MATOS LIMA")</f>
        <v>ANA PAULA DA SILVA MATOS LIMA</v>
      </c>
      <c r="N571" s="82" t="str">
        <f>IFERROR(__xludf.DUMMYFUNCTION("IFERROR(VLOOKUP(D571,
IMPORTRANGE(""https://docs.google.com/spreadsheets/d/1MjHtlUikwobi2MaWJgy7tfLeBmhj1u-dRFRs_8GwSoA/edit#gid=0"",""Gestores Escolares!D7:J""),4,0),""VERIFICAR CÓD SEC"")"),"(77) 9 8817-3353")</f>
        <v>(77) 9 8817-3353</v>
      </c>
      <c r="O571" s="82" t="str">
        <f>IFERROR(__xludf.DUMMYFUNCTION("IFERROR(VLOOKUP(D571,
IMPORTRANGE(""https://docs.google.com/spreadsheets/d/1MjHtlUikwobi2MaWJgy7tfLeBmhj1u-dRFRs_8GwSoA/edit#gid=0"",""Gestores Escolares!D7:J""),6,0),""VERIFICAR CÓD SEC"")"),"ROZINALVA FERREIRA DE SOUZA")</f>
        <v>ROZINALVA FERREIRA DE SOUZA</v>
      </c>
      <c r="P571" s="82" t="str">
        <f>IFERROR(__xludf.DUMMYFUNCTION("IFERROR(VLOOKUP(D571,
IMPORTRANGE(""https://docs.google.com/spreadsheets/d/1MjHtlUikwobi2MaWJgy7tfLeBmhj1u-dRFRs_8GwSoA/edit#gid=0"",""Gestores Escolares!D7:J""),7,0),""VERIFICAR CÓD SEC"")"),"(73) 9 8815-5760")</f>
        <v>(73) 9 8815-5760</v>
      </c>
      <c r="Q571" s="82" t="str">
        <f>IFERROR(__xludf.DUMMYFUNCTION("IFERROR(VLOOKUP(D571,
IMPORTRANGE(""https://docs.google.com/spreadsheets/d/1MjHtlUikwobi2MaWJgy7tfLeBmhj1u-dRFRs_8GwSoA/edit#gid=0"",""Gestores Escolares!D7:m""),9,0),""VERIFICAR CÓD SEC"")"),"")</f>
        <v/>
      </c>
      <c r="R571" s="82" t="str">
        <f>IFERROR(__xludf.DUMMYFUNCTION("IFERROR(VLOOKUP(D571,
IMPORTRANGE(""https://docs.google.com/spreadsheets/d/1MjHtlUikwobi2MaWJgy7tfLeBmhj1u-dRFRs_8GwSoA/edit#gid=0"",""Gestores Escolares!D7:m""),10,0),""VERIFICAR CÓD SEC"")"),"")</f>
        <v/>
      </c>
      <c r="S571" s="82"/>
      <c r="T571" s="138">
        <v>8.0</v>
      </c>
      <c r="U571" s="145">
        <v>10.0</v>
      </c>
      <c r="V571" s="106">
        <v>0.0</v>
      </c>
      <c r="W571" s="107">
        <v>0.0</v>
      </c>
      <c r="X571" s="107">
        <v>0.0</v>
      </c>
      <c r="Y571" s="107">
        <v>0.0</v>
      </c>
      <c r="Z571" s="80">
        <f t="shared" si="1"/>
        <v>0</v>
      </c>
      <c r="AA571" s="106">
        <v>0.0</v>
      </c>
      <c r="AB571" s="107">
        <v>0.0</v>
      </c>
      <c r="AC571" s="107">
        <v>0.0</v>
      </c>
      <c r="AD571" s="107">
        <v>0.0</v>
      </c>
      <c r="AE571" s="80">
        <f t="shared" si="2"/>
        <v>0</v>
      </c>
      <c r="AF571" s="140">
        <v>103.0</v>
      </c>
      <c r="AG571" s="109">
        <v>0.0</v>
      </c>
      <c r="AH571" s="109">
        <v>0.0</v>
      </c>
      <c r="AI571" s="141">
        <v>199.0</v>
      </c>
      <c r="AJ571" s="80">
        <f t="shared" si="3"/>
        <v>302</v>
      </c>
      <c r="AK571" s="140">
        <v>0.0</v>
      </c>
      <c r="AL571" s="109">
        <v>0.0</v>
      </c>
      <c r="AM571" s="141">
        <v>0.0</v>
      </c>
      <c r="AN571" s="80">
        <f t="shared" si="4"/>
        <v>0</v>
      </c>
      <c r="AO571" s="140">
        <v>0.0</v>
      </c>
      <c r="AP571" s="109">
        <v>0.0</v>
      </c>
      <c r="AQ571" s="109">
        <v>43.0</v>
      </c>
      <c r="AR571" s="80">
        <f t="shared" si="5"/>
        <v>43</v>
      </c>
      <c r="AS571" s="110">
        <v>0.0</v>
      </c>
      <c r="AT571" s="110">
        <v>0.0</v>
      </c>
      <c r="AU571" s="110">
        <v>38.0</v>
      </c>
      <c r="AV571" s="142">
        <v>0.0</v>
      </c>
      <c r="AW571" s="80">
        <f t="shared" si="6"/>
        <v>38</v>
      </c>
      <c r="AX571" s="113">
        <f t="shared" si="7"/>
        <v>383</v>
      </c>
      <c r="AY571" s="117">
        <f t="shared" si="8"/>
        <v>302</v>
      </c>
      <c r="AZ571" s="120">
        <f t="shared" si="9"/>
        <v>81</v>
      </c>
      <c r="BA571" s="115">
        <v>0.0</v>
      </c>
      <c r="BB571" s="89">
        <f t="shared" si="10"/>
        <v>383</v>
      </c>
      <c r="BC571" s="132" t="s">
        <v>178</v>
      </c>
      <c r="BD571" s="132" t="s">
        <v>178</v>
      </c>
      <c r="BE571" s="132" t="s">
        <v>178</v>
      </c>
      <c r="BF571" s="123"/>
      <c r="BG571" s="83">
        <v>1118830.0</v>
      </c>
      <c r="BH571" s="112"/>
      <c r="BI571" s="112">
        <v>6.0</v>
      </c>
      <c r="BJ571" s="98" t="s">
        <v>162</v>
      </c>
      <c r="BK571" s="99">
        <f t="shared" si="11"/>
        <v>199</v>
      </c>
      <c r="BL571" s="99">
        <f t="shared" si="12"/>
        <v>103</v>
      </c>
      <c r="BM571" s="99" t="str">
        <f>IFERROR(__xludf.DUMMYFUNCTION("IFERROR(VLOOKUP(BG571,IMPORTRANGE(""https://docs.google.com/spreadsheets/d/1juPI-Fb8LD0YtltB2mlGEnp_R3UVu1t3wSFPzgCyHXE/edit?gid=0#gid=0"",""GERAL!A2:C""),3,0),""-"")"),"-")</f>
        <v>-</v>
      </c>
    </row>
    <row r="572" ht="15.75" customHeight="1">
      <c r="A572" s="111" t="s">
        <v>673</v>
      </c>
      <c r="B572" s="83" t="s">
        <v>2166</v>
      </c>
      <c r="C572" s="83" t="s">
        <v>164</v>
      </c>
      <c r="D572" s="112">
        <v>1118830.0</v>
      </c>
      <c r="E572" s="83">
        <v>1179697.0</v>
      </c>
      <c r="F572" s="98">
        <v>2.949101E7</v>
      </c>
      <c r="G572" s="292" t="s">
        <v>2569</v>
      </c>
      <c r="H572" s="91" t="s">
        <v>2570</v>
      </c>
      <c r="I572" s="136" t="s">
        <v>576</v>
      </c>
      <c r="J572" s="136" t="s">
        <v>2571</v>
      </c>
      <c r="K572" s="136" t="s">
        <v>168</v>
      </c>
      <c r="L572" s="83" t="s">
        <v>169</v>
      </c>
      <c r="M572" s="82" t="str">
        <f>IFERROR(__xludf.DUMMYFUNCTION("IFERROR(VLOOKUP(D572,
IMPORTRANGE(""https://docs.google.com/spreadsheets/d/1MjHtlUikwobi2MaWJgy7tfLeBmhj1u-dRFRs_8GwSoA/edit#gid=0"",""Gestores Escolares!D7:J""),3,0),""VERIFICAR CÓD SEC"")"),"ANA PAULA DA SILVA MATOS LIMA")</f>
        <v>ANA PAULA DA SILVA MATOS LIMA</v>
      </c>
      <c r="N572" s="82" t="str">
        <f>IFERROR(__xludf.DUMMYFUNCTION("IFERROR(VLOOKUP(D572,
IMPORTRANGE(""https://docs.google.com/spreadsheets/d/1MjHtlUikwobi2MaWJgy7tfLeBmhj1u-dRFRs_8GwSoA/edit#gid=0"",""Gestores Escolares!D7:J""),4,0),""VERIFICAR CÓD SEC"")"),"(77) 9 8817-3353")</f>
        <v>(77) 9 8817-3353</v>
      </c>
      <c r="O572" s="82" t="str">
        <f>IFERROR(__xludf.DUMMYFUNCTION("IFERROR(VLOOKUP(D572,
IMPORTRANGE(""https://docs.google.com/spreadsheets/d/1MjHtlUikwobi2MaWJgy7tfLeBmhj1u-dRFRs_8GwSoA/edit#gid=0"",""Gestores Escolares!D7:J""),6,0),""VERIFICAR CÓD SEC"")"),"ROZINALVA FERREIRA DE SOUZA")</f>
        <v>ROZINALVA FERREIRA DE SOUZA</v>
      </c>
      <c r="P572" s="82" t="str">
        <f>IFERROR(__xludf.DUMMYFUNCTION("IFERROR(VLOOKUP(D572,
IMPORTRANGE(""https://docs.google.com/spreadsheets/d/1MjHtlUikwobi2MaWJgy7tfLeBmhj1u-dRFRs_8GwSoA/edit#gid=0"",""Gestores Escolares!D7:J""),7,0),""VERIFICAR CÓD SEC"")"),"(73) 9 8815-5760")</f>
        <v>(73) 9 8815-5760</v>
      </c>
      <c r="Q572" s="82" t="str">
        <f>IFERROR(__xludf.DUMMYFUNCTION("IFERROR(VLOOKUP(D572,
IMPORTRANGE(""https://docs.google.com/spreadsheets/d/1MjHtlUikwobi2MaWJgy7tfLeBmhj1u-dRFRs_8GwSoA/edit#gid=0"",""Gestores Escolares!D7:m""),9,0),""VERIFICAR CÓD SEC"")"),"")</f>
        <v/>
      </c>
      <c r="R572" s="82" t="str">
        <f>IFERROR(__xludf.DUMMYFUNCTION("IFERROR(VLOOKUP(D572,
IMPORTRANGE(""https://docs.google.com/spreadsheets/d/1MjHtlUikwobi2MaWJgy7tfLeBmhj1u-dRFRs_8GwSoA/edit#gid=0"",""Gestores Escolares!D7:m""),10,0),""VERIFICAR CÓD SEC"")"),"")</f>
        <v/>
      </c>
      <c r="S572" s="82"/>
      <c r="T572" s="138">
        <v>1.0</v>
      </c>
      <c r="U572" s="145">
        <v>3.0</v>
      </c>
      <c r="V572" s="106">
        <v>0.0</v>
      </c>
      <c r="W572" s="107">
        <v>0.0</v>
      </c>
      <c r="X572" s="107">
        <v>0.0</v>
      </c>
      <c r="Y572" s="107">
        <v>0.0</v>
      </c>
      <c r="Z572" s="80">
        <f t="shared" si="1"/>
        <v>0</v>
      </c>
      <c r="AA572" s="106">
        <v>0.0</v>
      </c>
      <c r="AB572" s="107">
        <v>0.0</v>
      </c>
      <c r="AC572" s="107">
        <v>0.0</v>
      </c>
      <c r="AD572" s="107">
        <v>0.0</v>
      </c>
      <c r="AE572" s="80">
        <f t="shared" si="2"/>
        <v>0</v>
      </c>
      <c r="AF572" s="140">
        <v>0.0</v>
      </c>
      <c r="AG572" s="109">
        <v>0.0</v>
      </c>
      <c r="AH572" s="109">
        <v>40.0</v>
      </c>
      <c r="AI572" s="141">
        <v>0.0</v>
      </c>
      <c r="AJ572" s="80">
        <f t="shared" si="3"/>
        <v>40</v>
      </c>
      <c r="AK572" s="140">
        <v>0.0</v>
      </c>
      <c r="AL572" s="109">
        <v>0.0</v>
      </c>
      <c r="AM572" s="141">
        <v>0.0</v>
      </c>
      <c r="AN572" s="80">
        <f t="shared" si="4"/>
        <v>0</v>
      </c>
      <c r="AO572" s="140">
        <v>0.0</v>
      </c>
      <c r="AP572" s="109">
        <v>0.0</v>
      </c>
      <c r="AQ572" s="109">
        <v>0.0</v>
      </c>
      <c r="AR572" s="80">
        <f t="shared" si="5"/>
        <v>0</v>
      </c>
      <c r="AS572" s="110">
        <v>0.0</v>
      </c>
      <c r="AT572" s="110">
        <v>0.0</v>
      </c>
      <c r="AU572" s="110">
        <v>0.0</v>
      </c>
      <c r="AV572" s="142">
        <v>0.0</v>
      </c>
      <c r="AW572" s="80">
        <f t="shared" si="6"/>
        <v>0</v>
      </c>
      <c r="AX572" s="113">
        <f t="shared" si="7"/>
        <v>40</v>
      </c>
      <c r="AY572" s="117">
        <f t="shared" si="8"/>
        <v>0</v>
      </c>
      <c r="AZ572" s="120">
        <f t="shared" si="9"/>
        <v>40</v>
      </c>
      <c r="BA572" s="115">
        <v>0.0</v>
      </c>
      <c r="BB572" s="89">
        <f t="shared" si="10"/>
        <v>40</v>
      </c>
      <c r="BC572" s="132" t="s">
        <v>373</v>
      </c>
      <c r="BD572" s="132" t="s">
        <v>178</v>
      </c>
      <c r="BE572" s="132" t="s">
        <v>178</v>
      </c>
      <c r="BF572" s="156"/>
      <c r="BG572" s="83">
        <v>1179697.0</v>
      </c>
      <c r="BH572" s="112"/>
      <c r="BI572" s="112">
        <v>1.0</v>
      </c>
      <c r="BJ572" s="98" t="s">
        <v>155</v>
      </c>
      <c r="BK572" s="99">
        <f t="shared" si="11"/>
        <v>0</v>
      </c>
      <c r="BL572" s="99">
        <f t="shared" si="12"/>
        <v>0</v>
      </c>
      <c r="BM572" s="99" t="str">
        <f>IFERROR(__xludf.DUMMYFUNCTION("IFERROR(VLOOKUP(BG572,IMPORTRANGE(""https://docs.google.com/spreadsheets/d/1juPI-Fb8LD0YtltB2mlGEnp_R3UVu1t3wSFPzgCyHXE/edit?gid=0#gid=0"",""GERAL!A2:C""),3,0),""-"")"),"CAMPO")</f>
        <v>CAMPO</v>
      </c>
    </row>
    <row r="573" ht="15.75" customHeight="1">
      <c r="A573" s="111" t="s">
        <v>673</v>
      </c>
      <c r="B573" s="83" t="s">
        <v>2166</v>
      </c>
      <c r="C573" s="83" t="s">
        <v>164</v>
      </c>
      <c r="D573" s="112">
        <v>1118830.0</v>
      </c>
      <c r="E573" s="83">
        <v>1179698.0</v>
      </c>
      <c r="F573" s="98">
        <v>2.9490995E7</v>
      </c>
      <c r="G573" s="292" t="s">
        <v>2572</v>
      </c>
      <c r="H573" s="91" t="s">
        <v>2573</v>
      </c>
      <c r="I573" s="136" t="s">
        <v>149</v>
      </c>
      <c r="J573" s="136" t="s">
        <v>2574</v>
      </c>
      <c r="K573" s="136" t="s">
        <v>168</v>
      </c>
      <c r="L573" s="83" t="s">
        <v>169</v>
      </c>
      <c r="M573" s="82" t="str">
        <f>IFERROR(__xludf.DUMMYFUNCTION("IFERROR(VLOOKUP(D573,
IMPORTRANGE(""https://docs.google.com/spreadsheets/d/1MjHtlUikwobi2MaWJgy7tfLeBmhj1u-dRFRs_8GwSoA/edit#gid=0"",""Gestores Escolares!D7:J""),3,0),""VERIFICAR CÓD SEC"")"),"ANA PAULA DA SILVA MATOS LIMA")</f>
        <v>ANA PAULA DA SILVA MATOS LIMA</v>
      </c>
      <c r="N573" s="82" t="str">
        <f>IFERROR(__xludf.DUMMYFUNCTION("IFERROR(VLOOKUP(D573,
IMPORTRANGE(""https://docs.google.com/spreadsheets/d/1MjHtlUikwobi2MaWJgy7tfLeBmhj1u-dRFRs_8GwSoA/edit#gid=0"",""Gestores Escolares!D7:J""),4,0),""VERIFICAR CÓD SEC"")"),"(77) 9 8817-3353")</f>
        <v>(77) 9 8817-3353</v>
      </c>
      <c r="O573" s="82" t="str">
        <f>IFERROR(__xludf.DUMMYFUNCTION("IFERROR(VLOOKUP(D573,
IMPORTRANGE(""https://docs.google.com/spreadsheets/d/1MjHtlUikwobi2MaWJgy7tfLeBmhj1u-dRFRs_8GwSoA/edit#gid=0"",""Gestores Escolares!D7:J""),6,0),""VERIFICAR CÓD SEC"")"),"ROZINALVA FERREIRA DE SOUZA")</f>
        <v>ROZINALVA FERREIRA DE SOUZA</v>
      </c>
      <c r="P573" s="82" t="str">
        <f>IFERROR(__xludf.DUMMYFUNCTION("IFERROR(VLOOKUP(D573,
IMPORTRANGE(""https://docs.google.com/spreadsheets/d/1MjHtlUikwobi2MaWJgy7tfLeBmhj1u-dRFRs_8GwSoA/edit#gid=0"",""Gestores Escolares!D7:J""),7,0),""VERIFICAR CÓD SEC"")"),"(73) 9 8815-5760")</f>
        <v>(73) 9 8815-5760</v>
      </c>
      <c r="Q573" s="82" t="str">
        <f>IFERROR(__xludf.DUMMYFUNCTION("IFERROR(VLOOKUP(D573,
IMPORTRANGE(""https://docs.google.com/spreadsheets/d/1MjHtlUikwobi2MaWJgy7tfLeBmhj1u-dRFRs_8GwSoA/edit#gid=0"",""Gestores Escolares!D7:m""),9,0),""VERIFICAR CÓD SEC"")"),"")</f>
        <v/>
      </c>
      <c r="R573" s="82" t="str">
        <f>IFERROR(__xludf.DUMMYFUNCTION("IFERROR(VLOOKUP(D573,
IMPORTRANGE(""https://docs.google.com/spreadsheets/d/1MjHtlUikwobi2MaWJgy7tfLeBmhj1u-dRFRs_8GwSoA/edit#gid=0"",""Gestores Escolares!D7:m""),10,0),""VERIFICAR CÓD SEC"")"),"")</f>
        <v/>
      </c>
      <c r="S573" s="82"/>
      <c r="T573" s="138">
        <v>2.0</v>
      </c>
      <c r="U573" s="145">
        <v>3.0</v>
      </c>
      <c r="V573" s="106">
        <v>0.0</v>
      </c>
      <c r="W573" s="107">
        <v>0.0</v>
      </c>
      <c r="X573" s="107">
        <v>0.0</v>
      </c>
      <c r="Y573" s="107">
        <v>0.0</v>
      </c>
      <c r="Z573" s="80">
        <f t="shared" si="1"/>
        <v>0</v>
      </c>
      <c r="AA573" s="106">
        <v>0.0</v>
      </c>
      <c r="AB573" s="107">
        <v>0.0</v>
      </c>
      <c r="AC573" s="107">
        <v>0.0</v>
      </c>
      <c r="AD573" s="107">
        <v>0.0</v>
      </c>
      <c r="AE573" s="80">
        <f t="shared" si="2"/>
        <v>0</v>
      </c>
      <c r="AF573" s="140">
        <v>0.0</v>
      </c>
      <c r="AG573" s="109">
        <v>0.0</v>
      </c>
      <c r="AH573" s="109">
        <v>43.0</v>
      </c>
      <c r="AI573" s="141">
        <v>0.0</v>
      </c>
      <c r="AJ573" s="80">
        <f t="shared" si="3"/>
        <v>43</v>
      </c>
      <c r="AK573" s="140">
        <v>0.0</v>
      </c>
      <c r="AL573" s="109">
        <v>0.0</v>
      </c>
      <c r="AM573" s="141">
        <v>0.0</v>
      </c>
      <c r="AN573" s="80">
        <f t="shared" si="4"/>
        <v>0</v>
      </c>
      <c r="AO573" s="140">
        <v>0.0</v>
      </c>
      <c r="AP573" s="109">
        <v>0.0</v>
      </c>
      <c r="AQ573" s="109">
        <v>0.0</v>
      </c>
      <c r="AR573" s="80">
        <f t="shared" si="5"/>
        <v>0</v>
      </c>
      <c r="AS573" s="110">
        <v>0.0</v>
      </c>
      <c r="AT573" s="110">
        <v>0.0</v>
      </c>
      <c r="AU573" s="110">
        <v>0.0</v>
      </c>
      <c r="AV573" s="142">
        <v>0.0</v>
      </c>
      <c r="AW573" s="80">
        <f t="shared" si="6"/>
        <v>0</v>
      </c>
      <c r="AX573" s="113">
        <f t="shared" si="7"/>
        <v>43</v>
      </c>
      <c r="AY573" s="117">
        <f t="shared" si="8"/>
        <v>0</v>
      </c>
      <c r="AZ573" s="120">
        <f t="shared" si="9"/>
        <v>43</v>
      </c>
      <c r="BA573" s="115">
        <v>0.0</v>
      </c>
      <c r="BB573" s="89">
        <f t="shared" si="10"/>
        <v>43</v>
      </c>
      <c r="BC573" s="132" t="s">
        <v>373</v>
      </c>
      <c r="BD573" s="132" t="s">
        <v>178</v>
      </c>
      <c r="BE573" s="132" t="s">
        <v>178</v>
      </c>
      <c r="BF573" s="156"/>
      <c r="BG573" s="83">
        <v>1179698.0</v>
      </c>
      <c r="BH573" s="112"/>
      <c r="BI573" s="112">
        <v>1.0</v>
      </c>
      <c r="BJ573" s="98" t="s">
        <v>155</v>
      </c>
      <c r="BK573" s="99">
        <f t="shared" si="11"/>
        <v>0</v>
      </c>
      <c r="BL573" s="99">
        <f t="shared" si="12"/>
        <v>0</v>
      </c>
      <c r="BM573" s="99" t="str">
        <f>IFERROR(__xludf.DUMMYFUNCTION("IFERROR(VLOOKUP(BG573,IMPORTRANGE(""https://docs.google.com/spreadsheets/d/1juPI-Fb8LD0YtltB2mlGEnp_R3UVu1t3wSFPzgCyHXE/edit?gid=0#gid=0"",""GERAL!A2:C""),3,0),""-"")"),"CAMPO")</f>
        <v>CAMPO</v>
      </c>
    </row>
    <row r="574" ht="15.75" customHeight="1">
      <c r="A574" s="111" t="s">
        <v>673</v>
      </c>
      <c r="B574" s="83" t="s">
        <v>2576</v>
      </c>
      <c r="C574" s="83" t="s">
        <v>68</v>
      </c>
      <c r="D574" s="112">
        <v>1118872.0</v>
      </c>
      <c r="E574" s="83"/>
      <c r="F574" s="83">
        <v>2.9284767E7</v>
      </c>
      <c r="G574" s="184" t="s">
        <v>2579</v>
      </c>
      <c r="H574" s="91" t="s">
        <v>2580</v>
      </c>
      <c r="I574" s="83" t="s">
        <v>149</v>
      </c>
      <c r="J574" s="83" t="s">
        <v>150</v>
      </c>
      <c r="K574" s="83" t="s">
        <v>151</v>
      </c>
      <c r="L574" s="83" t="s">
        <v>76</v>
      </c>
      <c r="M574" s="82" t="str">
        <f>IFERROR(__xludf.DUMMYFUNCTION("IFERROR(VLOOKUP(D574,
IMPORTRANGE(""https://docs.google.com/spreadsheets/d/1MjHtlUikwobi2MaWJgy7tfLeBmhj1u-dRFRs_8GwSoA/edit#gid=0"",""Gestores Escolares!D7:J""),3,0),""VERIFICAR CÓD SEC"")"),"LEVI SOUZA NASCIMENTO")</f>
        <v>LEVI SOUZA NASCIMENTO</v>
      </c>
      <c r="N574" s="82" t="str">
        <f>IFERROR(__xludf.DUMMYFUNCTION("IFERROR(VLOOKUP(D574,
IMPORTRANGE(""https://docs.google.com/spreadsheets/d/1MjHtlUikwobi2MaWJgy7tfLeBmhj1u-dRFRs_8GwSoA/edit#gid=0"",""Gestores Escolares!D7:J""),4,0),""VERIFICAR CÓD SEC"")"),"(73) 9 8150-2233")</f>
        <v>(73) 9 8150-2233</v>
      </c>
      <c r="O574" s="82" t="str">
        <f>IFERROR(__xludf.DUMMYFUNCTION("IFERROR(VLOOKUP(D574,
IMPORTRANGE(""https://docs.google.com/spreadsheets/d/1MjHtlUikwobi2MaWJgy7tfLeBmhj1u-dRFRs_8GwSoA/edit#gid=0"",""Gestores Escolares!D7:J""),6,0),""VERIFICAR CÓD SEC"")"),"TEREZA SANTOS RIBAS DE FARIAS")</f>
        <v>TEREZA SANTOS RIBAS DE FARIAS</v>
      </c>
      <c r="P574" s="82" t="str">
        <f>IFERROR(__xludf.DUMMYFUNCTION("IFERROR(VLOOKUP(D574,
IMPORTRANGE(""https://docs.google.com/spreadsheets/d/1MjHtlUikwobi2MaWJgy7tfLeBmhj1u-dRFRs_8GwSoA/edit#gid=0"",""Gestores Escolares!D7:J""),7,0),""VERIFICAR CÓD SEC"")"),"(73) 9 8118-0810")</f>
        <v>(73) 9 8118-0810</v>
      </c>
      <c r="Q574" s="82" t="str">
        <f>IFERROR(__xludf.DUMMYFUNCTION("IFERROR(VLOOKUP(D574,
IMPORTRANGE(""https://docs.google.com/spreadsheets/d/1MjHtlUikwobi2MaWJgy7tfLeBmhj1u-dRFRs_8GwSoA/edit#gid=0"",""Gestores Escolares!D7:m""),9,0),""VERIFICAR CÓD SEC"")"),"")</f>
        <v/>
      </c>
      <c r="R574" s="82" t="str">
        <f>IFERROR(__xludf.DUMMYFUNCTION("IFERROR(VLOOKUP(D574,
IMPORTRANGE(""https://docs.google.com/spreadsheets/d/1MjHtlUikwobi2MaWJgy7tfLeBmhj1u-dRFRs_8GwSoA/edit#gid=0"",""Gestores Escolares!D7:m""),10,0),""VERIFICAR CÓD SEC"")"),"")</f>
        <v/>
      </c>
      <c r="S574" s="82"/>
      <c r="T574" s="138">
        <v>10.0</v>
      </c>
      <c r="U574" s="145" t="s">
        <v>7993</v>
      </c>
      <c r="V574" s="106">
        <v>0.0</v>
      </c>
      <c r="W574" s="107">
        <v>0.0</v>
      </c>
      <c r="X574" s="107">
        <v>0.0</v>
      </c>
      <c r="Y574" s="107">
        <v>0.0</v>
      </c>
      <c r="Z574" s="80">
        <f t="shared" si="1"/>
        <v>0</v>
      </c>
      <c r="AA574" s="106">
        <v>0.0</v>
      </c>
      <c r="AB574" s="107">
        <v>0.0</v>
      </c>
      <c r="AC574" s="107">
        <v>0.0</v>
      </c>
      <c r="AD574" s="107">
        <v>0.0</v>
      </c>
      <c r="AE574" s="80">
        <f t="shared" si="2"/>
        <v>0</v>
      </c>
      <c r="AF574" s="140">
        <v>0.0</v>
      </c>
      <c r="AG574" s="109">
        <v>58.0</v>
      </c>
      <c r="AH574" s="109">
        <v>0.0</v>
      </c>
      <c r="AI574" s="141">
        <v>159.0</v>
      </c>
      <c r="AJ574" s="80">
        <f t="shared" si="3"/>
        <v>217</v>
      </c>
      <c r="AK574" s="140">
        <v>0.0</v>
      </c>
      <c r="AL574" s="109">
        <v>0.0</v>
      </c>
      <c r="AM574" s="141">
        <v>0.0</v>
      </c>
      <c r="AN574" s="80">
        <f t="shared" si="4"/>
        <v>0</v>
      </c>
      <c r="AO574" s="140">
        <v>0.0</v>
      </c>
      <c r="AP574" s="109">
        <v>0.0</v>
      </c>
      <c r="AQ574" s="109">
        <v>40.0</v>
      </c>
      <c r="AR574" s="80">
        <f t="shared" si="5"/>
        <v>40</v>
      </c>
      <c r="AS574" s="110">
        <v>0.0</v>
      </c>
      <c r="AT574" s="110">
        <v>0.0</v>
      </c>
      <c r="AU574" s="110">
        <v>78.0</v>
      </c>
      <c r="AV574" s="142">
        <v>0.0</v>
      </c>
      <c r="AW574" s="80">
        <f t="shared" si="6"/>
        <v>78</v>
      </c>
      <c r="AX574" s="113">
        <f t="shared" si="7"/>
        <v>335</v>
      </c>
      <c r="AY574" s="117">
        <f t="shared" si="8"/>
        <v>217</v>
      </c>
      <c r="AZ574" s="120">
        <f t="shared" si="9"/>
        <v>118</v>
      </c>
      <c r="BA574" s="115">
        <v>0.0</v>
      </c>
      <c r="BB574" s="89">
        <f t="shared" si="10"/>
        <v>335</v>
      </c>
      <c r="BC574" s="132" t="s">
        <v>178</v>
      </c>
      <c r="BD574" s="132" t="s">
        <v>178</v>
      </c>
      <c r="BE574" s="132" t="s">
        <v>178</v>
      </c>
      <c r="BF574" s="123"/>
      <c r="BG574" s="83">
        <v>1118872.0</v>
      </c>
      <c r="BH574" s="112"/>
      <c r="BI574" s="112">
        <v>7.0</v>
      </c>
      <c r="BJ574" s="98" t="s">
        <v>155</v>
      </c>
      <c r="BK574" s="99">
        <f t="shared" si="11"/>
        <v>159</v>
      </c>
      <c r="BL574" s="99">
        <f t="shared" si="12"/>
        <v>58</v>
      </c>
      <c r="BM574" s="99" t="str">
        <f>IFERROR(__xludf.DUMMYFUNCTION("IFERROR(VLOOKUP(BG574,IMPORTRANGE(""https://docs.google.com/spreadsheets/d/1juPI-Fb8LD0YtltB2mlGEnp_R3UVu1t3wSFPzgCyHXE/edit?gid=0#gid=0"",""GERAL!A2:C""),3,0),""-"")"),"-")</f>
        <v>-</v>
      </c>
    </row>
    <row r="575" ht="15.75" customHeight="1">
      <c r="A575" s="111" t="s">
        <v>673</v>
      </c>
      <c r="B575" s="83" t="s">
        <v>2576</v>
      </c>
      <c r="C575" s="83" t="s">
        <v>164</v>
      </c>
      <c r="D575" s="112">
        <v>1118872.0</v>
      </c>
      <c r="E575" s="83">
        <v>1179627.0</v>
      </c>
      <c r="F575" s="98">
        <v>2.9490014E7</v>
      </c>
      <c r="G575" s="184" t="s">
        <v>2588</v>
      </c>
      <c r="H575" s="91" t="s">
        <v>2590</v>
      </c>
      <c r="I575" s="242" t="s">
        <v>2591</v>
      </c>
      <c r="J575" s="83" t="s">
        <v>183</v>
      </c>
      <c r="K575" s="83" t="s">
        <v>151</v>
      </c>
      <c r="L575" s="83" t="s">
        <v>169</v>
      </c>
      <c r="M575" s="82" t="str">
        <f>IFERROR(__xludf.DUMMYFUNCTION("IFERROR(VLOOKUP(D575,
IMPORTRANGE(""https://docs.google.com/spreadsheets/d/1MjHtlUikwobi2MaWJgy7tfLeBmhj1u-dRFRs_8GwSoA/edit#gid=0"",""Gestores Escolares!D7:J""),3,0),""VERIFICAR CÓD SEC"")"),"LEVI SOUZA NASCIMENTO")</f>
        <v>LEVI SOUZA NASCIMENTO</v>
      </c>
      <c r="N575" s="82" t="str">
        <f>IFERROR(__xludf.DUMMYFUNCTION("IFERROR(VLOOKUP(D575,
IMPORTRANGE(""https://docs.google.com/spreadsheets/d/1MjHtlUikwobi2MaWJgy7tfLeBmhj1u-dRFRs_8GwSoA/edit#gid=0"",""Gestores Escolares!D7:J""),4,0),""VERIFICAR CÓD SEC"")"),"(73) 9 8150-2233")</f>
        <v>(73) 9 8150-2233</v>
      </c>
      <c r="O575" s="82" t="str">
        <f>IFERROR(__xludf.DUMMYFUNCTION("IFERROR(VLOOKUP(D575,
IMPORTRANGE(""https://docs.google.com/spreadsheets/d/1MjHtlUikwobi2MaWJgy7tfLeBmhj1u-dRFRs_8GwSoA/edit#gid=0"",""Gestores Escolares!D7:J""),6,0),""VERIFICAR CÓD SEC"")"),"TEREZA SANTOS RIBAS DE FARIAS")</f>
        <v>TEREZA SANTOS RIBAS DE FARIAS</v>
      </c>
      <c r="P575" s="82" t="str">
        <f>IFERROR(__xludf.DUMMYFUNCTION("IFERROR(VLOOKUP(D575,
IMPORTRANGE(""https://docs.google.com/spreadsheets/d/1MjHtlUikwobi2MaWJgy7tfLeBmhj1u-dRFRs_8GwSoA/edit#gid=0"",""Gestores Escolares!D7:J""),7,0),""VERIFICAR CÓD SEC"")"),"(73) 9 8118-0810")</f>
        <v>(73) 9 8118-0810</v>
      </c>
      <c r="Q575" s="82" t="str">
        <f>IFERROR(__xludf.DUMMYFUNCTION("IFERROR(VLOOKUP(D575,
IMPORTRANGE(""https://docs.google.com/spreadsheets/d/1MjHtlUikwobi2MaWJgy7tfLeBmhj1u-dRFRs_8GwSoA/edit#gid=0"",""Gestores Escolares!D7:m""),9,0),""VERIFICAR CÓD SEC"")"),"")</f>
        <v/>
      </c>
      <c r="R575" s="82" t="str">
        <f>IFERROR(__xludf.DUMMYFUNCTION("IFERROR(VLOOKUP(D575,
IMPORTRANGE(""https://docs.google.com/spreadsheets/d/1MjHtlUikwobi2MaWJgy7tfLeBmhj1u-dRFRs_8GwSoA/edit#gid=0"",""Gestores Escolares!D7:m""),10,0),""VERIFICAR CÓD SEC"")"),"")</f>
        <v/>
      </c>
      <c r="S575" s="82"/>
      <c r="T575" s="138">
        <v>7.0</v>
      </c>
      <c r="U575" s="145">
        <v>7.0</v>
      </c>
      <c r="V575" s="106">
        <v>0.0</v>
      </c>
      <c r="W575" s="107">
        <v>0.0</v>
      </c>
      <c r="X575" s="107">
        <v>0.0</v>
      </c>
      <c r="Y575" s="107">
        <v>0.0</v>
      </c>
      <c r="Z575" s="80">
        <f t="shared" si="1"/>
        <v>0</v>
      </c>
      <c r="AA575" s="106">
        <v>0.0</v>
      </c>
      <c r="AB575" s="107">
        <v>0.0</v>
      </c>
      <c r="AC575" s="107">
        <v>0.0</v>
      </c>
      <c r="AD575" s="107">
        <v>0.0</v>
      </c>
      <c r="AE575" s="80">
        <f t="shared" si="2"/>
        <v>0</v>
      </c>
      <c r="AF575" s="140">
        <v>0.0</v>
      </c>
      <c r="AG575" s="109">
        <v>102.0</v>
      </c>
      <c r="AH575" s="109">
        <v>0.0</v>
      </c>
      <c r="AI575" s="141">
        <v>0.0</v>
      </c>
      <c r="AJ575" s="80">
        <f t="shared" si="3"/>
        <v>102</v>
      </c>
      <c r="AK575" s="140">
        <v>0.0</v>
      </c>
      <c r="AL575" s="109">
        <v>0.0</v>
      </c>
      <c r="AM575" s="141">
        <v>0.0</v>
      </c>
      <c r="AN575" s="80">
        <f t="shared" si="4"/>
        <v>0</v>
      </c>
      <c r="AO575" s="140">
        <v>0.0</v>
      </c>
      <c r="AP575" s="109">
        <v>0.0</v>
      </c>
      <c r="AQ575" s="109">
        <v>0.0</v>
      </c>
      <c r="AR575" s="80">
        <f t="shared" si="5"/>
        <v>0</v>
      </c>
      <c r="AS575" s="110">
        <v>0.0</v>
      </c>
      <c r="AT575" s="110">
        <v>0.0</v>
      </c>
      <c r="AU575" s="110">
        <v>0.0</v>
      </c>
      <c r="AV575" s="142">
        <v>0.0</v>
      </c>
      <c r="AW575" s="80">
        <f t="shared" si="6"/>
        <v>0</v>
      </c>
      <c r="AX575" s="113">
        <f t="shared" si="7"/>
        <v>102</v>
      </c>
      <c r="AY575" s="117">
        <f t="shared" si="8"/>
        <v>102</v>
      </c>
      <c r="AZ575" s="120">
        <f t="shared" si="9"/>
        <v>0</v>
      </c>
      <c r="BA575" s="115">
        <v>0.0</v>
      </c>
      <c r="BB575" s="89">
        <f t="shared" si="10"/>
        <v>102</v>
      </c>
      <c r="BC575" s="132" t="s">
        <v>373</v>
      </c>
      <c r="BD575" s="132" t="s">
        <v>178</v>
      </c>
      <c r="BE575" s="132" t="s">
        <v>178</v>
      </c>
      <c r="BF575" s="156"/>
      <c r="BG575" s="83">
        <v>1179627.0</v>
      </c>
      <c r="BH575" s="112"/>
      <c r="BI575" s="112">
        <v>4.0</v>
      </c>
      <c r="BJ575" s="98" t="s">
        <v>155</v>
      </c>
      <c r="BK575" s="99">
        <f t="shared" si="11"/>
        <v>0</v>
      </c>
      <c r="BL575" s="99">
        <f t="shared" si="12"/>
        <v>102</v>
      </c>
      <c r="BM575" s="99" t="str">
        <f>IFERROR(__xludf.DUMMYFUNCTION("IFERROR(VLOOKUP(BG575,IMPORTRANGE(""https://docs.google.com/spreadsheets/d/1juPI-Fb8LD0YtltB2mlGEnp_R3UVu1t3wSFPzgCyHXE/edit?gid=0#gid=0"",""GERAL!A2:C""),3,0),""-"")"),"CAMPO")</f>
        <v>CAMPO</v>
      </c>
    </row>
    <row r="576" ht="15.75" customHeight="1">
      <c r="A576" s="111" t="s">
        <v>673</v>
      </c>
      <c r="B576" s="172" t="s">
        <v>2620</v>
      </c>
      <c r="C576" s="83" t="s">
        <v>68</v>
      </c>
      <c r="D576" s="195">
        <v>1112785.0</v>
      </c>
      <c r="E576" s="136"/>
      <c r="F576" s="136">
        <v>2.9312469E7</v>
      </c>
      <c r="G576" s="115" t="s">
        <v>8023</v>
      </c>
      <c r="H576" s="91" t="s">
        <v>2625</v>
      </c>
      <c r="I576" s="83" t="s">
        <v>149</v>
      </c>
      <c r="J576" s="83" t="s">
        <v>150</v>
      </c>
      <c r="K576" s="83" t="s">
        <v>151</v>
      </c>
      <c r="L576" s="83" t="s">
        <v>169</v>
      </c>
      <c r="M576" s="82" t="str">
        <f>IFERROR(__xludf.DUMMYFUNCTION("IFERROR(VLOOKUP(D576,
IMPORTRANGE(""https://docs.google.com/spreadsheets/d/1MjHtlUikwobi2MaWJgy7tfLeBmhj1u-dRFRs_8GwSoA/edit#gid=0"",""Gestores Escolares!D7:J""),3,0),""VERIFICAR CÓD SEC"")"),"EDILEUZA GARCIA GOMES")</f>
        <v>EDILEUZA GARCIA GOMES</v>
      </c>
      <c r="N576" s="82" t="str">
        <f>IFERROR(__xludf.DUMMYFUNCTION("IFERROR(VLOOKUP(D576,
IMPORTRANGE(""https://docs.google.com/spreadsheets/d/1MjHtlUikwobi2MaWJgy7tfLeBmhj1u-dRFRs_8GwSoA/edit#gid=0"",""Gestores Escolares!D7:J""),4,0),""VERIFICAR CÓD SEC"")"),"(73) 9 8117-9500")</f>
        <v>(73) 9 8117-9500</v>
      </c>
      <c r="O576" s="82" t="str">
        <f>IFERROR(__xludf.DUMMYFUNCTION("IFERROR(VLOOKUP(D576,
IMPORTRANGE(""https://docs.google.com/spreadsheets/d/1MjHtlUikwobi2MaWJgy7tfLeBmhj1u-dRFRs_8GwSoA/edit#gid=0"",""Gestores Escolares!D7:J""),6,0),""VERIFICAR CÓD SEC"")"),"MARILIA JAQUELINE SOUZA DA ROCHA PEREIRA")</f>
        <v>MARILIA JAQUELINE SOUZA DA ROCHA PEREIRA</v>
      </c>
      <c r="P576" s="82" t="str">
        <f>IFERROR(__xludf.DUMMYFUNCTION("IFERROR(VLOOKUP(D576,
IMPORTRANGE(""https://docs.google.com/spreadsheets/d/1MjHtlUikwobi2MaWJgy7tfLeBmhj1u-dRFRs_8GwSoA/edit#gid=0"",""Gestores Escolares!D7:J""),7,0),""VERIFICAR CÓD SEC"")"),"(77) 9 8133-2310")</f>
        <v>(77) 9 8133-2310</v>
      </c>
      <c r="Q576" s="82" t="str">
        <f>IFERROR(__xludf.DUMMYFUNCTION("IFERROR(VLOOKUP(D576,
IMPORTRANGE(""https://docs.google.com/spreadsheets/d/1MjHtlUikwobi2MaWJgy7tfLeBmhj1u-dRFRs_8GwSoA/edit#gid=0"",""Gestores Escolares!D7:m""),9,0),""VERIFICAR CÓD SEC"")"),"")</f>
        <v/>
      </c>
      <c r="R576" s="82" t="str">
        <f>IFERROR(__xludf.DUMMYFUNCTION("IFERROR(VLOOKUP(D576,
IMPORTRANGE(""https://docs.google.com/spreadsheets/d/1MjHtlUikwobi2MaWJgy7tfLeBmhj1u-dRFRs_8GwSoA/edit#gid=0"",""Gestores Escolares!D7:m""),10,0),""VERIFICAR CÓD SEC"")"),"")</f>
        <v/>
      </c>
      <c r="S576" s="82"/>
      <c r="T576" s="138">
        <v>6.0</v>
      </c>
      <c r="U576" s="152" t="s">
        <v>8032</v>
      </c>
      <c r="V576" s="106">
        <v>0.0</v>
      </c>
      <c r="W576" s="107">
        <v>0.0</v>
      </c>
      <c r="X576" s="107">
        <v>0.0</v>
      </c>
      <c r="Y576" s="107">
        <v>0.0</v>
      </c>
      <c r="Z576" s="80">
        <f t="shared" si="1"/>
        <v>0</v>
      </c>
      <c r="AA576" s="106">
        <v>0.0</v>
      </c>
      <c r="AB576" s="107">
        <v>0.0</v>
      </c>
      <c r="AC576" s="107">
        <v>0.0</v>
      </c>
      <c r="AD576" s="107">
        <v>0.0</v>
      </c>
      <c r="AE576" s="80">
        <f t="shared" si="2"/>
        <v>0</v>
      </c>
      <c r="AF576" s="140">
        <v>76.0</v>
      </c>
      <c r="AG576" s="109">
        <v>0.0</v>
      </c>
      <c r="AH576" s="109">
        <v>0.0</v>
      </c>
      <c r="AI576" s="141">
        <v>0.0</v>
      </c>
      <c r="AJ576" s="80">
        <f t="shared" si="3"/>
        <v>76</v>
      </c>
      <c r="AK576" s="140">
        <v>0.0</v>
      </c>
      <c r="AL576" s="109">
        <v>0.0</v>
      </c>
      <c r="AM576" s="141">
        <v>0.0</v>
      </c>
      <c r="AN576" s="80">
        <f t="shared" si="4"/>
        <v>0</v>
      </c>
      <c r="AO576" s="140">
        <v>0.0</v>
      </c>
      <c r="AP576" s="109">
        <v>0.0</v>
      </c>
      <c r="AQ576" s="109">
        <v>52.0</v>
      </c>
      <c r="AR576" s="80">
        <f t="shared" si="5"/>
        <v>52</v>
      </c>
      <c r="AS576" s="110">
        <v>55.0</v>
      </c>
      <c r="AT576" s="110">
        <v>0.0</v>
      </c>
      <c r="AU576" s="110">
        <v>0.0</v>
      </c>
      <c r="AV576" s="142">
        <v>0.0</v>
      </c>
      <c r="AW576" s="80">
        <f t="shared" si="6"/>
        <v>55</v>
      </c>
      <c r="AX576" s="113">
        <f t="shared" si="7"/>
        <v>183</v>
      </c>
      <c r="AY576" s="117">
        <f t="shared" si="8"/>
        <v>131</v>
      </c>
      <c r="AZ576" s="120">
        <f t="shared" si="9"/>
        <v>52</v>
      </c>
      <c r="BA576" s="115">
        <v>0.0</v>
      </c>
      <c r="BB576" s="89">
        <f t="shared" si="10"/>
        <v>183</v>
      </c>
      <c r="BC576" s="132" t="s">
        <v>178</v>
      </c>
      <c r="BD576" s="132" t="s">
        <v>178</v>
      </c>
      <c r="BE576" s="132" t="s">
        <v>178</v>
      </c>
      <c r="BF576" s="123"/>
      <c r="BG576" s="136">
        <v>1112785.0</v>
      </c>
      <c r="BH576" s="112"/>
      <c r="BI576" s="112">
        <v>6.0</v>
      </c>
      <c r="BJ576" s="98" t="s">
        <v>155</v>
      </c>
      <c r="BK576" s="99">
        <f t="shared" si="11"/>
        <v>0</v>
      </c>
      <c r="BL576" s="99">
        <f t="shared" si="12"/>
        <v>131</v>
      </c>
      <c r="BM576" s="99" t="str">
        <f>IFERROR(__xludf.DUMMYFUNCTION("IFERROR(VLOOKUP(BG576,IMPORTRANGE(""https://docs.google.com/spreadsheets/d/1juPI-Fb8LD0YtltB2mlGEnp_R3UVu1t3wSFPzgCyHXE/edit?gid=0#gid=0"",""GERAL!A2:C""),3,0),""-"")"),"-")</f>
        <v>-</v>
      </c>
    </row>
    <row r="577" ht="15.75" customHeight="1">
      <c r="A577" s="111" t="s">
        <v>723</v>
      </c>
      <c r="B577" s="83" t="s">
        <v>2442</v>
      </c>
      <c r="C577" s="83" t="s">
        <v>68</v>
      </c>
      <c r="D577" s="112">
        <v>1179832.0</v>
      </c>
      <c r="E577" s="83"/>
      <c r="F577" s="98">
        <v>2.9222583E7</v>
      </c>
      <c r="G577" s="119" t="s">
        <v>2635</v>
      </c>
      <c r="H577" s="108" t="s">
        <v>2636</v>
      </c>
      <c r="I577" s="83" t="s">
        <v>149</v>
      </c>
      <c r="J577" s="83" t="s">
        <v>150</v>
      </c>
      <c r="K577" s="83" t="s">
        <v>151</v>
      </c>
      <c r="L577" s="83" t="s">
        <v>230</v>
      </c>
      <c r="M577" s="82" t="str">
        <f>IFERROR(__xludf.DUMMYFUNCTION("IFERROR(VLOOKUP(D577,
IMPORTRANGE(""https://docs.google.com/spreadsheets/d/1MjHtlUikwobi2MaWJgy7tfLeBmhj1u-dRFRs_8GwSoA/edit#gid=0"",""Gestores Escolares!D7:J""),3,0),""VERIFICAR CÓD SEC"")"),"NEILTON SOUZA DE JESUS")</f>
        <v>NEILTON SOUZA DE JESUS</v>
      </c>
      <c r="N577" s="82" t="str">
        <f>IFERROR(__xludf.DUMMYFUNCTION("IFERROR(VLOOKUP(D577,
IMPORTRANGE(""https://docs.google.com/spreadsheets/d/1MjHtlUikwobi2MaWJgy7tfLeBmhj1u-dRFRs_8GwSoA/edit#gid=0"",""Gestores Escolares!D7:J""),4,0),""VERIFICAR CÓD SEC"")"),"(75) 9 8853-2047")</f>
        <v>(75) 9 8853-2047</v>
      </c>
      <c r="O577" s="82" t="str">
        <f>IFERROR(__xludf.DUMMYFUNCTION("IFERROR(VLOOKUP(D577,
IMPORTRANGE(""https://docs.google.com/spreadsheets/d/1MjHtlUikwobi2MaWJgy7tfLeBmhj1u-dRFRs_8GwSoA/edit#gid=0"",""Gestores Escolares!D7:J""),6,0),""VERIFICAR CÓD SEC"")"),"FLAVIO FERREIRA DE SOUZA")</f>
        <v>FLAVIO FERREIRA DE SOUZA</v>
      </c>
      <c r="P577" s="82" t="str">
        <f>IFERROR(__xludf.DUMMYFUNCTION("IFERROR(VLOOKUP(D577,
IMPORTRANGE(""https://docs.google.com/spreadsheets/d/1MjHtlUikwobi2MaWJgy7tfLeBmhj1u-dRFRs_8GwSoA/edit#gid=0"",""Gestores Escolares!D7:J""),7,0),""VERIFICAR CÓD SEC"")"),"(75) 9 8171-4099")</f>
        <v>(75) 9 8171-4099</v>
      </c>
      <c r="Q577" s="82" t="str">
        <f>IFERROR(__xludf.DUMMYFUNCTION("IFERROR(VLOOKUP(D577,
IMPORTRANGE(""https://docs.google.com/spreadsheets/d/1MjHtlUikwobi2MaWJgy7tfLeBmhj1u-dRFRs_8GwSoA/edit#gid=0"",""Gestores Escolares!D7:m""),9,0),""VERIFICAR CÓD SEC"")"),"LILIAN SOUZA CONCEICAO SANTOS")</f>
        <v>LILIAN SOUZA CONCEICAO SANTOS</v>
      </c>
      <c r="R577" s="82" t="str">
        <f>IFERROR(__xludf.DUMMYFUNCTION("IFERROR(VLOOKUP(D577,
IMPORTRANGE(""https://docs.google.com/spreadsheets/d/1MjHtlUikwobi2MaWJgy7tfLeBmhj1u-dRFRs_8GwSoA/edit#gid=0"",""Gestores Escolares!D7:m""),10,0),""VERIFICAR CÓD SEC"")"),"(75) 9 9106-2302")</f>
        <v>(75) 9 9106-2302</v>
      </c>
      <c r="S577" s="82"/>
      <c r="T577" s="138"/>
      <c r="U577" s="421"/>
      <c r="V577" s="106">
        <v>0.0</v>
      </c>
      <c r="W577" s="107">
        <v>0.0</v>
      </c>
      <c r="X577" s="107">
        <v>0.0</v>
      </c>
      <c r="Y577" s="107">
        <v>0.0</v>
      </c>
      <c r="Z577" s="80">
        <f t="shared" si="1"/>
        <v>0</v>
      </c>
      <c r="AA577" s="106">
        <v>0.0</v>
      </c>
      <c r="AB577" s="107">
        <v>0.0</v>
      </c>
      <c r="AC577" s="107">
        <v>0.0</v>
      </c>
      <c r="AD577" s="107">
        <v>0.0</v>
      </c>
      <c r="AE577" s="80">
        <f t="shared" si="2"/>
        <v>0</v>
      </c>
      <c r="AF577" s="140">
        <v>230.0</v>
      </c>
      <c r="AG577" s="109">
        <v>0.0</v>
      </c>
      <c r="AH577" s="109">
        <v>0.0</v>
      </c>
      <c r="AI577" s="141">
        <v>535.0</v>
      </c>
      <c r="AJ577" s="80">
        <f t="shared" si="3"/>
        <v>765</v>
      </c>
      <c r="AK577" s="140">
        <v>0.0</v>
      </c>
      <c r="AL577" s="109">
        <v>0.0</v>
      </c>
      <c r="AM577" s="141">
        <v>0.0</v>
      </c>
      <c r="AN577" s="80">
        <f t="shared" si="4"/>
        <v>0</v>
      </c>
      <c r="AO577" s="140">
        <v>0.0</v>
      </c>
      <c r="AP577" s="109">
        <v>0.0</v>
      </c>
      <c r="AQ577" s="109">
        <v>502.0</v>
      </c>
      <c r="AR577" s="80">
        <f t="shared" si="5"/>
        <v>502</v>
      </c>
      <c r="AS577" s="110">
        <v>0.0</v>
      </c>
      <c r="AT577" s="110">
        <v>0.0</v>
      </c>
      <c r="AU577" s="110">
        <v>0.0</v>
      </c>
      <c r="AV577" s="142">
        <v>0.0</v>
      </c>
      <c r="AW577" s="80">
        <f t="shared" si="6"/>
        <v>0</v>
      </c>
      <c r="AX577" s="113">
        <f t="shared" si="7"/>
        <v>1267</v>
      </c>
      <c r="AY577" s="117">
        <f t="shared" si="8"/>
        <v>765</v>
      </c>
      <c r="AZ577" s="120">
        <f t="shared" si="9"/>
        <v>502</v>
      </c>
      <c r="BA577" s="115">
        <v>0.0</v>
      </c>
      <c r="BB577" s="89">
        <f t="shared" si="10"/>
        <v>1267</v>
      </c>
      <c r="BC577" s="132" t="s">
        <v>178</v>
      </c>
      <c r="BD577" s="132" t="s">
        <v>178</v>
      </c>
      <c r="BE577" s="132" t="s">
        <v>178</v>
      </c>
      <c r="BF577" s="123"/>
      <c r="BG577" s="83">
        <v>1179832.0</v>
      </c>
      <c r="BH577" s="98" t="s">
        <v>2637</v>
      </c>
      <c r="BI577" s="112"/>
      <c r="BJ577" s="98"/>
      <c r="BK577" s="99">
        <f t="shared" si="11"/>
        <v>535</v>
      </c>
      <c r="BL577" s="99">
        <f t="shared" si="12"/>
        <v>230</v>
      </c>
      <c r="BM577" s="99" t="str">
        <f>IFERROR(__xludf.DUMMYFUNCTION("IFERROR(VLOOKUP(BG577,IMPORTRANGE(""https://docs.google.com/spreadsheets/d/1juPI-Fb8LD0YtltB2mlGEnp_R3UVu1t3wSFPzgCyHXE/edit?gid=0#gid=0"",""GERAL!A2:C""),3,0),""-"")"),"-")</f>
        <v>-</v>
      </c>
    </row>
    <row r="578" ht="15.75" customHeight="1">
      <c r="A578" s="111" t="s">
        <v>723</v>
      </c>
      <c r="B578" s="83" t="s">
        <v>2442</v>
      </c>
      <c r="C578" s="83" t="s">
        <v>68</v>
      </c>
      <c r="D578" s="112">
        <v>1167180.0</v>
      </c>
      <c r="E578" s="83"/>
      <c r="F578" s="83">
        <v>2.9223016E7</v>
      </c>
      <c r="G578" s="114" t="s">
        <v>2639</v>
      </c>
      <c r="H578" s="91" t="s">
        <v>2641</v>
      </c>
      <c r="I578" s="83" t="s">
        <v>149</v>
      </c>
      <c r="J578" s="83" t="s">
        <v>2642</v>
      </c>
      <c r="K578" s="83" t="s">
        <v>151</v>
      </c>
      <c r="L578" s="83" t="s">
        <v>230</v>
      </c>
      <c r="M578" s="82" t="str">
        <f>IFERROR(__xludf.DUMMYFUNCTION("IFERROR(VLOOKUP(D578,
IMPORTRANGE(""https://docs.google.com/spreadsheets/d/1MjHtlUikwobi2MaWJgy7tfLeBmhj1u-dRFRs_8GwSoA/edit#gid=0"",""Gestores Escolares!D7:J""),3,0),""VERIFICAR CÓD SEC"")"),"LUCIANA BISPO DA ROSA")</f>
        <v>LUCIANA BISPO DA ROSA</v>
      </c>
      <c r="N578" s="82" t="str">
        <f>IFERROR(__xludf.DUMMYFUNCTION("IFERROR(VLOOKUP(D578,
IMPORTRANGE(""https://docs.google.com/spreadsheets/d/1MjHtlUikwobi2MaWJgy7tfLeBmhj1u-dRFRs_8GwSoA/edit#gid=0"",""Gestores Escolares!D7:J""),4,0),""VERIFICAR CÓD SEC"")")," (75) 9 9193-1509")</f>
        <v> (75) 9 9193-1509</v>
      </c>
      <c r="O578" s="82" t="str">
        <f>IFERROR(__xludf.DUMMYFUNCTION("IFERROR(VLOOKUP(D578,
IMPORTRANGE(""https://docs.google.com/spreadsheets/d/1MjHtlUikwobi2MaWJgy7tfLeBmhj1u-dRFRs_8GwSoA/edit#gid=0"",""Gestores Escolares!D7:J""),6,0),""VERIFICAR CÓD SEC"")"),"RONALDO SANTANA BRANDAO")</f>
        <v>RONALDO SANTANA BRANDAO</v>
      </c>
      <c r="P578" s="82" t="str">
        <f>IFERROR(__xludf.DUMMYFUNCTION("IFERROR(VLOOKUP(D578,
IMPORTRANGE(""https://docs.google.com/spreadsheets/d/1MjHtlUikwobi2MaWJgy7tfLeBmhj1u-dRFRs_8GwSoA/edit#gid=0"",""Gestores Escolares!D7:J""),7,0),""VERIFICAR CÓD SEC"")"),"(71) 9 8536-9122")</f>
        <v>(71) 9 8536-9122</v>
      </c>
      <c r="Q578" s="82" t="str">
        <f>IFERROR(__xludf.DUMMYFUNCTION("IFERROR(VLOOKUP(D578,
IMPORTRANGE(""https://docs.google.com/spreadsheets/d/1MjHtlUikwobi2MaWJgy7tfLeBmhj1u-dRFRs_8GwSoA/edit#gid=0"",""Gestores Escolares!D7:m""),9,0),""VERIFICAR CÓD SEC"")"),"UILSON DE ALMEIDA BITTENCOURT")</f>
        <v>UILSON DE ALMEIDA BITTENCOURT</v>
      </c>
      <c r="R578" s="82" t="str">
        <f>IFERROR(__xludf.DUMMYFUNCTION("IFERROR(VLOOKUP(D578,
IMPORTRANGE(""https://docs.google.com/spreadsheets/d/1MjHtlUikwobi2MaWJgy7tfLeBmhj1u-dRFRs_8GwSoA/edit#gid=0"",""Gestores Escolares!D7:m""),10,0),""VERIFICAR CÓD SEC"")"),"(75) 9 8830-2819")</f>
        <v>(75) 9 8830-2819</v>
      </c>
      <c r="S578" s="82"/>
      <c r="T578" s="138">
        <v>16.0</v>
      </c>
      <c r="U578" s="421">
        <v>12.0</v>
      </c>
      <c r="V578" s="106">
        <v>0.0</v>
      </c>
      <c r="W578" s="107">
        <v>0.0</v>
      </c>
      <c r="X578" s="107">
        <v>0.0</v>
      </c>
      <c r="Y578" s="107">
        <v>0.0</v>
      </c>
      <c r="Z578" s="80">
        <f t="shared" si="1"/>
        <v>0</v>
      </c>
      <c r="AA578" s="106">
        <v>0.0</v>
      </c>
      <c r="AB578" s="107">
        <v>0.0</v>
      </c>
      <c r="AC578" s="107">
        <v>0.0</v>
      </c>
      <c r="AD578" s="107">
        <v>0.0</v>
      </c>
      <c r="AE578" s="80">
        <f t="shared" si="2"/>
        <v>0</v>
      </c>
      <c r="AF578" s="140">
        <v>0.0</v>
      </c>
      <c r="AG578" s="109">
        <v>0.0</v>
      </c>
      <c r="AH578" s="109">
        <v>0.0</v>
      </c>
      <c r="AI578" s="141">
        <v>0.0</v>
      </c>
      <c r="AJ578" s="80">
        <f t="shared" si="3"/>
        <v>0</v>
      </c>
      <c r="AK578" s="140">
        <v>0.0</v>
      </c>
      <c r="AL578" s="109">
        <v>0.0</v>
      </c>
      <c r="AM578" s="141">
        <v>0.0</v>
      </c>
      <c r="AN578" s="80">
        <f t="shared" si="4"/>
        <v>0</v>
      </c>
      <c r="AO578" s="140">
        <v>0.0</v>
      </c>
      <c r="AP578" s="109">
        <v>0.0</v>
      </c>
      <c r="AQ578" s="109">
        <v>0.0</v>
      </c>
      <c r="AR578" s="80">
        <f t="shared" si="5"/>
        <v>0</v>
      </c>
      <c r="AS578" s="110">
        <v>115.0</v>
      </c>
      <c r="AT578" s="110">
        <v>18.0</v>
      </c>
      <c r="AU578" s="110">
        <v>320.0</v>
      </c>
      <c r="AV578" s="142">
        <v>221.0</v>
      </c>
      <c r="AW578" s="80">
        <f t="shared" si="6"/>
        <v>674</v>
      </c>
      <c r="AX578" s="113">
        <f t="shared" si="7"/>
        <v>674</v>
      </c>
      <c r="AY578" s="117">
        <f t="shared" si="8"/>
        <v>354</v>
      </c>
      <c r="AZ578" s="120">
        <f t="shared" si="9"/>
        <v>320</v>
      </c>
      <c r="BA578" s="115">
        <v>0.0</v>
      </c>
      <c r="BB578" s="89">
        <f t="shared" si="10"/>
        <v>674</v>
      </c>
      <c r="BC578" s="132" t="s">
        <v>178</v>
      </c>
      <c r="BD578" s="132" t="s">
        <v>522</v>
      </c>
      <c r="BE578" s="132" t="s">
        <v>178</v>
      </c>
      <c r="BF578" s="156"/>
      <c r="BG578" s="83">
        <v>1167180.0</v>
      </c>
      <c r="BH578" s="98" t="s">
        <v>2643</v>
      </c>
      <c r="BI578" s="112">
        <v>12.0</v>
      </c>
      <c r="BJ578" s="98" t="s">
        <v>176</v>
      </c>
      <c r="BK578" s="99">
        <f t="shared" si="11"/>
        <v>221</v>
      </c>
      <c r="BL578" s="99">
        <f t="shared" si="12"/>
        <v>133</v>
      </c>
      <c r="BM578" s="99" t="str">
        <f>IFERROR(__xludf.DUMMYFUNCTION("IFERROR(VLOOKUP(BG578,IMPORTRANGE(""https://docs.google.com/spreadsheets/d/1juPI-Fb8LD0YtltB2mlGEnp_R3UVu1t3wSFPzgCyHXE/edit?gid=0#gid=0"",""GERAL!A2:C""),3,0),""-"")"),"-")</f>
        <v>-</v>
      </c>
    </row>
    <row r="579" ht="15.75" customHeight="1">
      <c r="A579" s="127" t="s">
        <v>723</v>
      </c>
      <c r="B579" s="98" t="s">
        <v>2442</v>
      </c>
      <c r="C579" s="83" t="s">
        <v>68</v>
      </c>
      <c r="D579" s="98">
        <v>1179787.0</v>
      </c>
      <c r="E579" s="83"/>
      <c r="F579" s="98">
        <v>2.948871E7</v>
      </c>
      <c r="G579" s="147" t="s">
        <v>2647</v>
      </c>
      <c r="H579" s="108" t="s">
        <v>2648</v>
      </c>
      <c r="I579" s="83" t="s">
        <v>149</v>
      </c>
      <c r="J579" s="98"/>
      <c r="K579" s="83" t="s">
        <v>151</v>
      </c>
      <c r="L579" s="83" t="s">
        <v>230</v>
      </c>
      <c r="M579" s="82" t="str">
        <f>IFERROR(__xludf.DUMMYFUNCTION("IFERROR(VLOOKUP(D579,
IMPORTRANGE(""https://docs.google.com/spreadsheets/d/1MjHtlUikwobi2MaWJgy7tfLeBmhj1u-dRFRs_8GwSoA/edit#gid=0"",""Gestores Escolares!D7:J""),3,0),""VERIFICAR CÓD SEC"")"),"JOELMA CRISTINA REBOUCAS ARGOLO")</f>
        <v>JOELMA CRISTINA REBOUCAS ARGOLO</v>
      </c>
      <c r="N579" s="82" t="str">
        <f>IFERROR(__xludf.DUMMYFUNCTION("IFERROR(VLOOKUP(D579,
IMPORTRANGE(""https://docs.google.com/spreadsheets/d/1MjHtlUikwobi2MaWJgy7tfLeBmhj1u-dRFRs_8GwSoA/edit#gid=0"",""Gestores Escolares!D7:J""),4,0),""VERIFICAR CÓD SEC"")"),"(75) 9 8169-0135")</f>
        <v>(75) 9 8169-0135</v>
      </c>
      <c r="O579" s="82" t="str">
        <f>IFERROR(__xludf.DUMMYFUNCTION("IFERROR(VLOOKUP(D579,
IMPORTRANGE(""https://docs.google.com/spreadsheets/d/1MjHtlUikwobi2MaWJgy7tfLeBmhj1u-dRFRs_8GwSoA/edit#gid=0"",""Gestores Escolares!D7:J""),6,0),""VERIFICAR CÓD SEC"")"),"")</f>
        <v/>
      </c>
      <c r="P579" s="82" t="str">
        <f>IFERROR(__xludf.DUMMYFUNCTION("IFERROR(VLOOKUP(D579,
IMPORTRANGE(""https://docs.google.com/spreadsheets/d/1MjHtlUikwobi2MaWJgy7tfLeBmhj1u-dRFRs_8GwSoA/edit#gid=0"",""Gestores Escolares!D7:J""),7,0),""VERIFICAR CÓD SEC"")"),"")</f>
        <v/>
      </c>
      <c r="Q579" s="82" t="str">
        <f>IFERROR(__xludf.DUMMYFUNCTION("IFERROR(VLOOKUP(D579,
IMPORTRANGE(""https://docs.google.com/spreadsheets/d/1MjHtlUikwobi2MaWJgy7tfLeBmhj1u-dRFRs_8GwSoA/edit#gid=0"",""Gestores Escolares!D7:m""),9,0),""VERIFICAR CÓD SEC"")"),"")</f>
        <v/>
      </c>
      <c r="R579" s="82" t="str">
        <f>IFERROR(__xludf.DUMMYFUNCTION("IFERROR(VLOOKUP(D579,
IMPORTRANGE(""https://docs.google.com/spreadsheets/d/1MjHtlUikwobi2MaWJgy7tfLeBmhj1u-dRFRs_8GwSoA/edit#gid=0"",""Gestores Escolares!D7:m""),10,0),""VERIFICAR CÓD SEC"")"),"")</f>
        <v/>
      </c>
      <c r="S579" s="82"/>
      <c r="T579" s="138"/>
      <c r="U579" s="145" t="s">
        <v>171</v>
      </c>
      <c r="V579" s="106">
        <v>0.0</v>
      </c>
      <c r="W579" s="107">
        <v>0.0</v>
      </c>
      <c r="X579" s="107">
        <v>0.0</v>
      </c>
      <c r="Y579" s="107">
        <v>0.0</v>
      </c>
      <c r="Z579" s="80">
        <f t="shared" si="1"/>
        <v>0</v>
      </c>
      <c r="AA579" s="106">
        <v>0.0</v>
      </c>
      <c r="AB579" s="107">
        <v>0.0</v>
      </c>
      <c r="AC579" s="107">
        <v>0.0</v>
      </c>
      <c r="AD579" s="107">
        <v>0.0</v>
      </c>
      <c r="AE579" s="80">
        <f t="shared" si="2"/>
        <v>0</v>
      </c>
      <c r="AF579" s="140">
        <v>0.0</v>
      </c>
      <c r="AG579" s="109">
        <v>0.0</v>
      </c>
      <c r="AH579" s="109">
        <v>0.0</v>
      </c>
      <c r="AI579" s="141">
        <v>0.0</v>
      </c>
      <c r="AJ579" s="80">
        <f t="shared" si="3"/>
        <v>0</v>
      </c>
      <c r="AK579" s="140">
        <v>0.0</v>
      </c>
      <c r="AL579" s="109">
        <v>0.0</v>
      </c>
      <c r="AM579" s="141">
        <v>0.0</v>
      </c>
      <c r="AN579" s="80">
        <f t="shared" si="4"/>
        <v>0</v>
      </c>
      <c r="AO579" s="140">
        <v>0.0</v>
      </c>
      <c r="AP579" s="109">
        <v>0.0</v>
      </c>
      <c r="AQ579" s="109">
        <v>0.0</v>
      </c>
      <c r="AR579" s="80">
        <f t="shared" si="5"/>
        <v>0</v>
      </c>
      <c r="AS579" s="110">
        <v>0.0</v>
      </c>
      <c r="AT579" s="110">
        <v>0.0</v>
      </c>
      <c r="AU579" s="110">
        <v>0.0</v>
      </c>
      <c r="AV579" s="142">
        <v>0.0</v>
      </c>
      <c r="AW579" s="80">
        <f t="shared" si="6"/>
        <v>0</v>
      </c>
      <c r="AX579" s="113">
        <f t="shared" si="7"/>
        <v>0</v>
      </c>
      <c r="AY579" s="117">
        <f t="shared" si="8"/>
        <v>0</v>
      </c>
      <c r="AZ579" s="120">
        <f t="shared" si="9"/>
        <v>0</v>
      </c>
      <c r="BA579" s="115">
        <v>0.0</v>
      </c>
      <c r="BB579" s="89">
        <f t="shared" si="10"/>
        <v>0</v>
      </c>
      <c r="BC579" s="132" t="s">
        <v>553</v>
      </c>
      <c r="BD579" s="132" t="s">
        <v>554</v>
      </c>
      <c r="BE579" s="132"/>
      <c r="BF579" s="156"/>
      <c r="BG579" s="98">
        <v>1179787.0</v>
      </c>
      <c r="BH579" s="144"/>
      <c r="BI579" s="112"/>
      <c r="BJ579" s="98" t="s">
        <v>155</v>
      </c>
      <c r="BK579" s="99">
        <f t="shared" si="11"/>
        <v>0</v>
      </c>
      <c r="BL579" s="99">
        <f t="shared" si="12"/>
        <v>0</v>
      </c>
      <c r="BM579" s="99" t="str">
        <f>IFERROR(__xludf.DUMMYFUNCTION("IFERROR(VLOOKUP(BG579,IMPORTRANGE(""https://docs.google.com/spreadsheets/d/1juPI-Fb8LD0YtltB2mlGEnp_R3UVu1t3wSFPzgCyHXE/edit?gid=0#gid=0"",""GERAL!A2:C""),3,0),""-"")"),"-")</f>
        <v>-</v>
      </c>
    </row>
    <row r="580" ht="15.75" customHeight="1">
      <c r="A580" s="111" t="s">
        <v>723</v>
      </c>
      <c r="B580" s="136" t="s">
        <v>2654</v>
      </c>
      <c r="C580" s="83" t="s">
        <v>68</v>
      </c>
      <c r="D580" s="112">
        <v>1117175.0</v>
      </c>
      <c r="E580" s="83"/>
      <c r="F580" s="83">
        <v>2.9223687E7</v>
      </c>
      <c r="G580" s="147" t="s">
        <v>2655</v>
      </c>
      <c r="H580" s="91" t="s">
        <v>2656</v>
      </c>
      <c r="I580" s="136" t="s">
        <v>149</v>
      </c>
      <c r="J580" s="83" t="s">
        <v>2571</v>
      </c>
      <c r="K580" s="83" t="s">
        <v>151</v>
      </c>
      <c r="L580" s="83" t="s">
        <v>152</v>
      </c>
      <c r="M580" s="82" t="str">
        <f>IFERROR(__xludf.DUMMYFUNCTION("IFERROR(VLOOKUP(D580,
IMPORTRANGE(""https://docs.google.com/spreadsheets/d/1MjHtlUikwobi2MaWJgy7tfLeBmhj1u-dRFRs_8GwSoA/edit#gid=0"",""Gestores Escolares!D7:J""),3,0),""VERIFICAR CÓD SEC"")"),"ALDO BRITO DE JESUS")</f>
        <v>ALDO BRITO DE JESUS</v>
      </c>
      <c r="N580" s="82" t="str">
        <f>IFERROR(__xludf.DUMMYFUNCTION("IFERROR(VLOOKUP(D580,
IMPORTRANGE(""https://docs.google.com/spreadsheets/d/1MjHtlUikwobi2MaWJgy7tfLeBmhj1u-dRFRs_8GwSoA/edit#gid=0"",""Gestores Escolares!D7:J""),4,0),""VERIFICAR CÓD SEC"")"),"(77) 9 8877-0199")</f>
        <v>(77) 9 8877-0199</v>
      </c>
      <c r="O580" s="82" t="str">
        <f>IFERROR(__xludf.DUMMYFUNCTION("IFERROR(VLOOKUP(D580,
IMPORTRANGE(""https://docs.google.com/spreadsheets/d/1MjHtlUikwobi2MaWJgy7tfLeBmhj1u-dRFRs_8GwSoA/edit#gid=0"",""Gestores Escolares!D7:J""),6,0),""VERIFICAR CÓD SEC"")"),"ZAIDE ANSELMO DE SOUZA")</f>
        <v>ZAIDE ANSELMO DE SOUZA</v>
      </c>
      <c r="P580" s="82" t="str">
        <f>IFERROR(__xludf.DUMMYFUNCTION("IFERROR(VLOOKUP(D580,
IMPORTRANGE(""https://docs.google.com/spreadsheets/d/1MjHtlUikwobi2MaWJgy7tfLeBmhj1u-dRFRs_8GwSoA/edit#gid=0"",""Gestores Escolares!D7:J""),7,0),""VERIFICAR CÓD SEC"")"),"(75) 9 9948-8710")</f>
        <v>(75) 9 9948-8710</v>
      </c>
      <c r="Q580" s="82" t="str">
        <f>IFERROR(__xludf.DUMMYFUNCTION("IFERROR(VLOOKUP(D580,
IMPORTRANGE(""https://docs.google.com/spreadsheets/d/1MjHtlUikwobi2MaWJgy7tfLeBmhj1u-dRFRs_8GwSoA/edit#gid=0"",""Gestores Escolares!D7:m""),9,0),""VERIFICAR CÓD SEC"")"),"")</f>
        <v/>
      </c>
      <c r="R580" s="82" t="str">
        <f>IFERROR(__xludf.DUMMYFUNCTION("IFERROR(VLOOKUP(D580,
IMPORTRANGE(""https://docs.google.com/spreadsheets/d/1MjHtlUikwobi2MaWJgy7tfLeBmhj1u-dRFRs_8GwSoA/edit#gid=0"",""Gestores Escolares!D7:m""),10,0),""VERIFICAR CÓD SEC"")"),"")</f>
        <v/>
      </c>
      <c r="S580" s="82"/>
      <c r="T580" s="138">
        <v>7.0</v>
      </c>
      <c r="U580" s="145" t="s">
        <v>8119</v>
      </c>
      <c r="V580" s="106">
        <v>0.0</v>
      </c>
      <c r="W580" s="107">
        <v>0.0</v>
      </c>
      <c r="X580" s="107">
        <v>0.0</v>
      </c>
      <c r="Y580" s="107">
        <v>0.0</v>
      </c>
      <c r="Z580" s="80">
        <f t="shared" si="1"/>
        <v>0</v>
      </c>
      <c r="AA580" s="106">
        <v>0.0</v>
      </c>
      <c r="AB580" s="107">
        <v>0.0</v>
      </c>
      <c r="AC580" s="107">
        <v>0.0</v>
      </c>
      <c r="AD580" s="107">
        <v>0.0</v>
      </c>
      <c r="AE580" s="80">
        <f t="shared" si="2"/>
        <v>0</v>
      </c>
      <c r="AF580" s="140">
        <v>31.0</v>
      </c>
      <c r="AG580" s="109">
        <v>18.0</v>
      </c>
      <c r="AH580" s="109">
        <v>0.0</v>
      </c>
      <c r="AI580" s="141">
        <v>104.0</v>
      </c>
      <c r="AJ580" s="80">
        <f t="shared" si="3"/>
        <v>153</v>
      </c>
      <c r="AK580" s="140">
        <v>0.0</v>
      </c>
      <c r="AL580" s="109">
        <v>0.0</v>
      </c>
      <c r="AM580" s="141">
        <v>0.0</v>
      </c>
      <c r="AN580" s="80">
        <f t="shared" si="4"/>
        <v>0</v>
      </c>
      <c r="AO580" s="140">
        <v>0.0</v>
      </c>
      <c r="AP580" s="109">
        <v>0.0</v>
      </c>
      <c r="AQ580" s="109">
        <v>70.0</v>
      </c>
      <c r="AR580" s="80">
        <f t="shared" si="5"/>
        <v>70</v>
      </c>
      <c r="AS580" s="110">
        <v>0.0</v>
      </c>
      <c r="AT580" s="110">
        <v>0.0</v>
      </c>
      <c r="AU580" s="110">
        <v>23.0</v>
      </c>
      <c r="AV580" s="142">
        <v>159.0</v>
      </c>
      <c r="AW580" s="80">
        <f t="shared" si="6"/>
        <v>182</v>
      </c>
      <c r="AX580" s="113">
        <f t="shared" si="7"/>
        <v>405</v>
      </c>
      <c r="AY580" s="117">
        <f t="shared" si="8"/>
        <v>312</v>
      </c>
      <c r="AZ580" s="120">
        <f t="shared" si="9"/>
        <v>93</v>
      </c>
      <c r="BA580" s="115">
        <v>0.0</v>
      </c>
      <c r="BB580" s="89">
        <f t="shared" si="10"/>
        <v>405</v>
      </c>
      <c r="BC580" s="132" t="s">
        <v>373</v>
      </c>
      <c r="BD580" s="132" t="s">
        <v>178</v>
      </c>
      <c r="BE580" s="132" t="s">
        <v>178</v>
      </c>
      <c r="BF580" s="123"/>
      <c r="BG580" s="83">
        <v>1117175.0</v>
      </c>
      <c r="BH580" s="112"/>
      <c r="BI580" s="112">
        <v>7.0</v>
      </c>
      <c r="BJ580" s="98" t="s">
        <v>155</v>
      </c>
      <c r="BK580" s="99">
        <f t="shared" si="11"/>
        <v>263</v>
      </c>
      <c r="BL580" s="99">
        <f t="shared" si="12"/>
        <v>49</v>
      </c>
      <c r="BM580" s="99" t="str">
        <f>IFERROR(__xludf.DUMMYFUNCTION("IFERROR(VLOOKUP(BG580,IMPORTRANGE(""https://docs.google.com/spreadsheets/d/1juPI-Fb8LD0YtltB2mlGEnp_R3UVu1t3wSFPzgCyHXE/edit?gid=0#gid=0"",""GERAL!A2:C""),3,0),""-"")"),"CAMPO")</f>
        <v>CAMPO</v>
      </c>
    </row>
    <row r="581" ht="15.75" customHeight="1">
      <c r="A581" s="111" t="s">
        <v>723</v>
      </c>
      <c r="B581" s="136" t="s">
        <v>2654</v>
      </c>
      <c r="C581" s="83" t="s">
        <v>68</v>
      </c>
      <c r="D581" s="112">
        <v>1176399.0</v>
      </c>
      <c r="E581" s="83"/>
      <c r="F581" s="83">
        <v>2.9369053E7</v>
      </c>
      <c r="G581" s="147" t="s">
        <v>2658</v>
      </c>
      <c r="H581" s="108" t="s">
        <v>8123</v>
      </c>
      <c r="I581" s="136" t="s">
        <v>149</v>
      </c>
      <c r="J581" s="83" t="s">
        <v>150</v>
      </c>
      <c r="K581" s="83" t="s">
        <v>151</v>
      </c>
      <c r="L581" s="83" t="s">
        <v>152</v>
      </c>
      <c r="M581" s="82" t="str">
        <f>IFERROR(__xludf.DUMMYFUNCTION("IFERROR(VLOOKUP(D581,
IMPORTRANGE(""https://docs.google.com/spreadsheets/d/1MjHtlUikwobi2MaWJgy7tfLeBmhj1u-dRFRs_8GwSoA/edit#gid=0"",""Gestores Escolares!D7:J""),3,0),""VERIFICAR CÓD SEC"")"),"TATIANE RIBEIRO DE SOUZA")</f>
        <v>TATIANE RIBEIRO DE SOUZA</v>
      </c>
      <c r="N581" s="82" t="str">
        <f>IFERROR(__xludf.DUMMYFUNCTION("IFERROR(VLOOKUP(D581,
IMPORTRANGE(""https://docs.google.com/spreadsheets/d/1MjHtlUikwobi2MaWJgy7tfLeBmhj1u-dRFRs_8GwSoA/edit#gid=0"",""Gestores Escolares!D7:J""),4,0),""VERIFICAR CÓD SEC"")"),"(75) 9 8103-0118")</f>
        <v>(75) 9 8103-0118</v>
      </c>
      <c r="O581" s="82" t="str">
        <f>IFERROR(__xludf.DUMMYFUNCTION("IFERROR(VLOOKUP(D581,
IMPORTRANGE(""https://docs.google.com/spreadsheets/d/1MjHtlUikwobi2MaWJgy7tfLeBmhj1u-dRFRs_8GwSoA/edit#gid=0"",""Gestores Escolares!D7:J""),6,0),""VERIFICAR CÓD SEC"")"),"ADRIANA MIRANDA DE ANDRADE KURATANI")</f>
        <v>ADRIANA MIRANDA DE ANDRADE KURATANI</v>
      </c>
      <c r="P581" s="82" t="str">
        <f>IFERROR(__xludf.DUMMYFUNCTION("IFERROR(VLOOKUP(D581,
IMPORTRANGE(""https://docs.google.com/spreadsheets/d/1MjHtlUikwobi2MaWJgy7tfLeBmhj1u-dRFRs_8GwSoA/edit#gid=0"",""Gestores Escolares!D7:J""),7,0),""VERIFICAR CÓD SEC"")"),"(75) 9 8180-0786")</f>
        <v>(75) 9 8180-0786</v>
      </c>
      <c r="Q581" s="82" t="str">
        <f>IFERROR(__xludf.DUMMYFUNCTION("IFERROR(VLOOKUP(D581,
IMPORTRANGE(""https://docs.google.com/spreadsheets/d/1MjHtlUikwobi2MaWJgy7tfLeBmhj1u-dRFRs_8GwSoA/edit#gid=0"",""Gestores Escolares!D7:m""),9,0),""VERIFICAR CÓD SEC"")"),"")</f>
        <v/>
      </c>
      <c r="R581" s="82" t="str">
        <f>IFERROR(__xludf.DUMMYFUNCTION("IFERROR(VLOOKUP(D581,
IMPORTRANGE(""https://docs.google.com/spreadsheets/d/1MjHtlUikwobi2MaWJgy7tfLeBmhj1u-dRFRs_8GwSoA/edit#gid=0"",""Gestores Escolares!D7:m""),10,0),""VERIFICAR CÓD SEC"")"),"")</f>
        <v/>
      </c>
      <c r="S581" s="82"/>
      <c r="T581" s="138">
        <v>8.0</v>
      </c>
      <c r="U581" s="145" t="s">
        <v>8129</v>
      </c>
      <c r="V581" s="106">
        <v>0.0</v>
      </c>
      <c r="W581" s="107">
        <v>0.0</v>
      </c>
      <c r="X581" s="107">
        <v>0.0</v>
      </c>
      <c r="Y581" s="107">
        <v>0.0</v>
      </c>
      <c r="Z581" s="80">
        <f t="shared" si="1"/>
        <v>0</v>
      </c>
      <c r="AA581" s="106">
        <v>0.0</v>
      </c>
      <c r="AB581" s="107">
        <v>0.0</v>
      </c>
      <c r="AC581" s="107">
        <v>0.0</v>
      </c>
      <c r="AD581" s="107">
        <v>0.0</v>
      </c>
      <c r="AE581" s="80">
        <f t="shared" si="2"/>
        <v>0</v>
      </c>
      <c r="AF581" s="140">
        <v>0.0</v>
      </c>
      <c r="AG581" s="109">
        <v>0.0</v>
      </c>
      <c r="AH581" s="109">
        <v>0.0</v>
      </c>
      <c r="AI581" s="141">
        <v>208.0</v>
      </c>
      <c r="AJ581" s="80">
        <f t="shared" si="3"/>
        <v>208</v>
      </c>
      <c r="AK581" s="140">
        <v>0.0</v>
      </c>
      <c r="AL581" s="109">
        <v>0.0</v>
      </c>
      <c r="AM581" s="141">
        <v>0.0</v>
      </c>
      <c r="AN581" s="80">
        <f t="shared" si="4"/>
        <v>0</v>
      </c>
      <c r="AO581" s="140">
        <v>0.0</v>
      </c>
      <c r="AP581" s="109">
        <v>0.0</v>
      </c>
      <c r="AQ581" s="109">
        <v>70.0</v>
      </c>
      <c r="AR581" s="80">
        <f t="shared" si="5"/>
        <v>70</v>
      </c>
      <c r="AS581" s="110">
        <v>0.0</v>
      </c>
      <c r="AT581" s="110">
        <v>0.0</v>
      </c>
      <c r="AU581" s="110">
        <v>21.0</v>
      </c>
      <c r="AV581" s="142">
        <v>106.0</v>
      </c>
      <c r="AW581" s="80">
        <f t="shared" si="6"/>
        <v>127</v>
      </c>
      <c r="AX581" s="113">
        <f t="shared" si="7"/>
        <v>405</v>
      </c>
      <c r="AY581" s="117">
        <f t="shared" si="8"/>
        <v>314</v>
      </c>
      <c r="AZ581" s="120">
        <f t="shared" si="9"/>
        <v>91</v>
      </c>
      <c r="BA581" s="115">
        <v>0.0</v>
      </c>
      <c r="BB581" s="89">
        <f t="shared" si="10"/>
        <v>405</v>
      </c>
      <c r="BC581" s="132" t="s">
        <v>178</v>
      </c>
      <c r="BD581" s="132" t="s">
        <v>178</v>
      </c>
      <c r="BE581" s="132" t="s">
        <v>178</v>
      </c>
      <c r="BF581" s="156"/>
      <c r="BG581" s="83">
        <v>1176399.0</v>
      </c>
      <c r="BH581" s="112"/>
      <c r="BI581" s="112">
        <v>7.0</v>
      </c>
      <c r="BJ581" s="98" t="s">
        <v>155</v>
      </c>
      <c r="BK581" s="99">
        <f t="shared" si="11"/>
        <v>314</v>
      </c>
      <c r="BL581" s="99">
        <f t="shared" si="12"/>
        <v>0</v>
      </c>
      <c r="BM581" s="99" t="str">
        <f>IFERROR(__xludf.DUMMYFUNCTION("IFERROR(VLOOKUP(BG581,IMPORTRANGE(""https://docs.google.com/spreadsheets/d/1juPI-Fb8LD0YtltB2mlGEnp_R3UVu1t3wSFPzgCyHXE/edit?gid=0#gid=0"",""GERAL!A2:C""),3,0),""-"")"),"-")</f>
        <v>-</v>
      </c>
    </row>
    <row r="582" ht="15.75" customHeight="1">
      <c r="A582" s="111" t="s">
        <v>723</v>
      </c>
      <c r="B582" s="83" t="s">
        <v>2661</v>
      </c>
      <c r="C582" s="83" t="s">
        <v>68</v>
      </c>
      <c r="D582" s="112">
        <v>1178045.0</v>
      </c>
      <c r="E582" s="83"/>
      <c r="F582" s="83">
        <v>2.9429129E7</v>
      </c>
      <c r="G582" s="119" t="s">
        <v>2662</v>
      </c>
      <c r="H582" s="91" t="s">
        <v>2663</v>
      </c>
      <c r="I582" s="136" t="s">
        <v>149</v>
      </c>
      <c r="J582" s="83" t="s">
        <v>150</v>
      </c>
      <c r="K582" s="83" t="s">
        <v>151</v>
      </c>
      <c r="L582" s="83" t="s">
        <v>152</v>
      </c>
      <c r="M582" s="82" t="str">
        <f>IFERROR(__xludf.DUMMYFUNCTION("IFERROR(VLOOKUP(D582,
IMPORTRANGE(""https://docs.google.com/spreadsheets/d/1MjHtlUikwobi2MaWJgy7tfLeBmhj1u-dRFRs_8GwSoA/edit#gid=0"",""Gestores Escolares!D7:J""),3,0),""VERIFICAR CÓD SEC"")"),"JOSUE SANTOS DE ALMEIDA JUNIOR")</f>
        <v>JOSUE SANTOS DE ALMEIDA JUNIOR</v>
      </c>
      <c r="N582" s="82" t="str">
        <f>IFERROR(__xludf.DUMMYFUNCTION("IFERROR(VLOOKUP(D582,
IMPORTRANGE(""https://docs.google.com/spreadsheets/d/1MjHtlUikwobi2MaWJgy7tfLeBmhj1u-dRFRs_8GwSoA/edit#gid=0"",""Gestores Escolares!D7:J""),4,0),""VERIFICAR CÓD SEC"")"),"(73) 9 8854-8159")</f>
        <v>(73) 9 8854-8159</v>
      </c>
      <c r="O582" s="82" t="str">
        <f>IFERROR(__xludf.DUMMYFUNCTION("IFERROR(VLOOKUP(D582,
IMPORTRANGE(""https://docs.google.com/spreadsheets/d/1MjHtlUikwobi2MaWJgy7tfLeBmhj1u-dRFRs_8GwSoA/edit#gid=0"",""Gestores Escolares!D7:J""),6,0),""VERIFICAR CÓD SEC"")"),"VIRGINIA LUCIA MOLINA SOARES")</f>
        <v>VIRGINIA LUCIA MOLINA SOARES</v>
      </c>
      <c r="P582" s="82" t="str">
        <f>IFERROR(__xludf.DUMMYFUNCTION("IFERROR(VLOOKUP(D582,
IMPORTRANGE(""https://docs.google.com/spreadsheets/d/1MjHtlUikwobi2MaWJgy7tfLeBmhj1u-dRFRs_8GwSoA/edit#gid=0"",""Gestores Escolares!D7:J""),7,0),""VERIFICAR CÓD SEC"")"),"(73) 9 8898-8433")</f>
        <v>(73) 9 8898-8433</v>
      </c>
      <c r="Q582" s="82" t="str">
        <f>IFERROR(__xludf.DUMMYFUNCTION("IFERROR(VLOOKUP(D582,
IMPORTRANGE(""https://docs.google.com/spreadsheets/d/1MjHtlUikwobi2MaWJgy7tfLeBmhj1u-dRFRs_8GwSoA/edit#gid=0"",""Gestores Escolares!D7:m""),9,0),""VERIFICAR CÓD SEC"")"),"CARMENUCIA DE SOUZA SANTOS")</f>
        <v>CARMENUCIA DE SOUZA SANTOS</v>
      </c>
      <c r="R582" s="82" t="str">
        <f>IFERROR(__xludf.DUMMYFUNCTION("IFERROR(VLOOKUP(D582,
IMPORTRANGE(""https://docs.google.com/spreadsheets/d/1MjHtlUikwobi2MaWJgy7tfLeBmhj1u-dRFRs_8GwSoA/edit#gid=0"",""Gestores Escolares!D7:m""),10,0),""VERIFICAR CÓD SEC"")"),"(73) 9 8826-8219")</f>
        <v>(73) 9 8826-8219</v>
      </c>
      <c r="S582" s="82"/>
      <c r="T582" s="138">
        <v>6.0</v>
      </c>
      <c r="U582" s="145">
        <v>6.0</v>
      </c>
      <c r="V582" s="106">
        <v>0.0</v>
      </c>
      <c r="W582" s="107">
        <v>0.0</v>
      </c>
      <c r="X582" s="107">
        <v>0.0</v>
      </c>
      <c r="Y582" s="107">
        <v>0.0</v>
      </c>
      <c r="Z582" s="80">
        <f t="shared" si="1"/>
        <v>0</v>
      </c>
      <c r="AA582" s="106">
        <v>0.0</v>
      </c>
      <c r="AB582" s="107">
        <v>0.0</v>
      </c>
      <c r="AC582" s="107">
        <v>0.0</v>
      </c>
      <c r="AD582" s="107">
        <v>0.0</v>
      </c>
      <c r="AE582" s="80">
        <f t="shared" si="2"/>
        <v>0</v>
      </c>
      <c r="AF582" s="140">
        <v>0.0</v>
      </c>
      <c r="AG582" s="109">
        <v>0.0</v>
      </c>
      <c r="AH582" s="109">
        <v>0.0</v>
      </c>
      <c r="AI582" s="141">
        <v>81.0</v>
      </c>
      <c r="AJ582" s="80">
        <f t="shared" si="3"/>
        <v>81</v>
      </c>
      <c r="AK582" s="140">
        <v>0.0</v>
      </c>
      <c r="AL582" s="109">
        <v>0.0</v>
      </c>
      <c r="AM582" s="141">
        <v>0.0</v>
      </c>
      <c r="AN582" s="80">
        <f t="shared" si="4"/>
        <v>0</v>
      </c>
      <c r="AO582" s="140">
        <v>0.0</v>
      </c>
      <c r="AP582" s="109">
        <v>0.0</v>
      </c>
      <c r="AQ582" s="109">
        <v>76.0</v>
      </c>
      <c r="AR582" s="80">
        <f t="shared" si="5"/>
        <v>76</v>
      </c>
      <c r="AS582" s="110">
        <v>0.0</v>
      </c>
      <c r="AT582" s="110">
        <v>0.0</v>
      </c>
      <c r="AU582" s="110">
        <v>61.0</v>
      </c>
      <c r="AV582" s="142">
        <v>44.0</v>
      </c>
      <c r="AW582" s="80">
        <f t="shared" si="6"/>
        <v>105</v>
      </c>
      <c r="AX582" s="113">
        <f t="shared" si="7"/>
        <v>262</v>
      </c>
      <c r="AY582" s="117">
        <f t="shared" si="8"/>
        <v>125</v>
      </c>
      <c r="AZ582" s="120">
        <f t="shared" si="9"/>
        <v>137</v>
      </c>
      <c r="BA582" s="115">
        <v>0.0</v>
      </c>
      <c r="BB582" s="89">
        <f t="shared" si="10"/>
        <v>262</v>
      </c>
      <c r="BC582" s="132" t="s">
        <v>178</v>
      </c>
      <c r="BD582" s="132" t="s">
        <v>178</v>
      </c>
      <c r="BE582" s="132" t="s">
        <v>178</v>
      </c>
      <c r="BF582" s="123"/>
      <c r="BG582" s="83">
        <v>1178045.0</v>
      </c>
      <c r="BH582" s="112"/>
      <c r="BI582" s="112">
        <v>6.0</v>
      </c>
      <c r="BJ582" s="98" t="s">
        <v>155</v>
      </c>
      <c r="BK582" s="99">
        <f t="shared" si="11"/>
        <v>125</v>
      </c>
      <c r="BL582" s="99">
        <f t="shared" si="12"/>
        <v>0</v>
      </c>
      <c r="BM582" s="99" t="str">
        <f>IFERROR(__xludf.DUMMYFUNCTION("IFERROR(VLOOKUP(BG582,IMPORTRANGE(""https://docs.google.com/spreadsheets/d/1juPI-Fb8LD0YtltB2mlGEnp_R3UVu1t3wSFPzgCyHXE/edit?gid=0#gid=0"",""GERAL!A2:C""),3,0),""-"")"),"-")</f>
        <v>-</v>
      </c>
    </row>
    <row r="583" ht="15.75" customHeight="1">
      <c r="A583" s="111" t="s">
        <v>723</v>
      </c>
      <c r="B583" s="83" t="s">
        <v>2661</v>
      </c>
      <c r="C583" s="83" t="s">
        <v>164</v>
      </c>
      <c r="D583" s="112">
        <v>1178045.0</v>
      </c>
      <c r="E583" s="83">
        <v>1178616.0</v>
      </c>
      <c r="F583" s="98">
        <v>2.9490499E7</v>
      </c>
      <c r="G583" s="119" t="s">
        <v>2665</v>
      </c>
      <c r="H583" s="91" t="s">
        <v>2666</v>
      </c>
      <c r="I583" s="136" t="s">
        <v>2667</v>
      </c>
      <c r="J583" s="83" t="s">
        <v>2668</v>
      </c>
      <c r="K583" s="83" t="s">
        <v>168</v>
      </c>
      <c r="L583" s="83" t="s">
        <v>169</v>
      </c>
      <c r="M583" s="82" t="str">
        <f>IFERROR(__xludf.DUMMYFUNCTION("IFERROR(VLOOKUP(D583,
IMPORTRANGE(""https://docs.google.com/spreadsheets/d/1MjHtlUikwobi2MaWJgy7tfLeBmhj1u-dRFRs_8GwSoA/edit#gid=0"",""Gestores Escolares!D7:J""),3,0),""VERIFICAR CÓD SEC"")"),"JOSUE SANTOS DE ALMEIDA JUNIOR")</f>
        <v>JOSUE SANTOS DE ALMEIDA JUNIOR</v>
      </c>
      <c r="N583" s="82" t="str">
        <f>IFERROR(__xludf.DUMMYFUNCTION("IFERROR(VLOOKUP(D583,
IMPORTRANGE(""https://docs.google.com/spreadsheets/d/1MjHtlUikwobi2MaWJgy7tfLeBmhj1u-dRFRs_8GwSoA/edit#gid=0"",""Gestores Escolares!D7:J""),4,0),""VERIFICAR CÓD SEC"")"),"(73) 9 8854-8159")</f>
        <v>(73) 9 8854-8159</v>
      </c>
      <c r="O583" s="82" t="str">
        <f>IFERROR(__xludf.DUMMYFUNCTION("IFERROR(VLOOKUP(D583,
IMPORTRANGE(""https://docs.google.com/spreadsheets/d/1MjHtlUikwobi2MaWJgy7tfLeBmhj1u-dRFRs_8GwSoA/edit#gid=0"",""Gestores Escolares!D7:J""),6,0),""VERIFICAR CÓD SEC"")"),"VIRGINIA LUCIA MOLINA SOARES")</f>
        <v>VIRGINIA LUCIA MOLINA SOARES</v>
      </c>
      <c r="P583" s="82" t="str">
        <f>IFERROR(__xludf.DUMMYFUNCTION("IFERROR(VLOOKUP(D583,
IMPORTRANGE(""https://docs.google.com/spreadsheets/d/1MjHtlUikwobi2MaWJgy7tfLeBmhj1u-dRFRs_8GwSoA/edit#gid=0"",""Gestores Escolares!D7:J""),7,0),""VERIFICAR CÓD SEC"")"),"(73) 9 8898-8433")</f>
        <v>(73) 9 8898-8433</v>
      </c>
      <c r="Q583" s="82" t="str">
        <f>IFERROR(__xludf.DUMMYFUNCTION("IFERROR(VLOOKUP(D583,
IMPORTRANGE(""https://docs.google.com/spreadsheets/d/1MjHtlUikwobi2MaWJgy7tfLeBmhj1u-dRFRs_8GwSoA/edit#gid=0"",""Gestores Escolares!D7:m""),9,0),""VERIFICAR CÓD SEC"")"),"CARMENUCIA DE SOUZA SANTOS")</f>
        <v>CARMENUCIA DE SOUZA SANTOS</v>
      </c>
      <c r="R583" s="82" t="str">
        <f>IFERROR(__xludf.DUMMYFUNCTION("IFERROR(VLOOKUP(D583,
IMPORTRANGE(""https://docs.google.com/spreadsheets/d/1MjHtlUikwobi2MaWJgy7tfLeBmhj1u-dRFRs_8GwSoA/edit#gid=0"",""Gestores Escolares!D7:m""),10,0),""VERIFICAR CÓD SEC"")"),"(73) 9 8826-8219")</f>
        <v>(73) 9 8826-8219</v>
      </c>
      <c r="S583" s="82"/>
      <c r="T583" s="138">
        <v>3.0</v>
      </c>
      <c r="U583" s="416">
        <v>3.0</v>
      </c>
      <c r="V583" s="106">
        <v>0.0</v>
      </c>
      <c r="W583" s="107">
        <v>0.0</v>
      </c>
      <c r="X583" s="107">
        <v>0.0</v>
      </c>
      <c r="Y583" s="107">
        <v>0.0</v>
      </c>
      <c r="Z583" s="80">
        <f t="shared" si="1"/>
        <v>0</v>
      </c>
      <c r="AA583" s="106">
        <v>0.0</v>
      </c>
      <c r="AB583" s="107">
        <v>0.0</v>
      </c>
      <c r="AC583" s="107">
        <v>0.0</v>
      </c>
      <c r="AD583" s="107">
        <v>0.0</v>
      </c>
      <c r="AE583" s="80">
        <f t="shared" si="2"/>
        <v>0</v>
      </c>
      <c r="AF583" s="140">
        <v>0.0</v>
      </c>
      <c r="AG583" s="109">
        <v>0.0</v>
      </c>
      <c r="AH583" s="109">
        <v>0.0</v>
      </c>
      <c r="AI583" s="141">
        <v>0.0</v>
      </c>
      <c r="AJ583" s="80">
        <f t="shared" si="3"/>
        <v>0</v>
      </c>
      <c r="AK583" s="140">
        <v>0.0</v>
      </c>
      <c r="AL583" s="109">
        <v>0.0</v>
      </c>
      <c r="AM583" s="141">
        <v>0.0</v>
      </c>
      <c r="AN583" s="80">
        <f t="shared" si="4"/>
        <v>0</v>
      </c>
      <c r="AO583" s="140">
        <v>0.0</v>
      </c>
      <c r="AP583" s="109">
        <v>0.0</v>
      </c>
      <c r="AQ583" s="109">
        <v>27.0</v>
      </c>
      <c r="AR583" s="80">
        <f t="shared" si="5"/>
        <v>27</v>
      </c>
      <c r="AS583" s="110">
        <v>0.0</v>
      </c>
      <c r="AT583" s="110">
        <v>0.0</v>
      </c>
      <c r="AU583" s="110">
        <v>0.0</v>
      </c>
      <c r="AV583" s="142">
        <v>0.0</v>
      </c>
      <c r="AW583" s="80">
        <f t="shared" si="6"/>
        <v>0</v>
      </c>
      <c r="AX583" s="113">
        <f t="shared" si="7"/>
        <v>27</v>
      </c>
      <c r="AY583" s="117">
        <f t="shared" si="8"/>
        <v>0</v>
      </c>
      <c r="AZ583" s="120">
        <f t="shared" si="9"/>
        <v>27</v>
      </c>
      <c r="BA583" s="115">
        <v>0.0</v>
      </c>
      <c r="BB583" s="89">
        <f t="shared" si="10"/>
        <v>27</v>
      </c>
      <c r="BC583" s="132" t="s">
        <v>373</v>
      </c>
      <c r="BD583" s="132" t="s">
        <v>178</v>
      </c>
      <c r="BE583" s="132" t="s">
        <v>178</v>
      </c>
      <c r="BF583" s="123"/>
      <c r="BG583" s="83">
        <v>1178616.0</v>
      </c>
      <c r="BH583" s="112"/>
      <c r="BI583" s="112">
        <v>3.0</v>
      </c>
      <c r="BJ583" s="98" t="s">
        <v>155</v>
      </c>
      <c r="BK583" s="99">
        <f t="shared" si="11"/>
        <v>0</v>
      </c>
      <c r="BL583" s="99">
        <f t="shared" si="12"/>
        <v>0</v>
      </c>
      <c r="BM583" s="99" t="str">
        <f>IFERROR(__xludf.DUMMYFUNCTION("IFERROR(VLOOKUP(BG583,IMPORTRANGE(""https://docs.google.com/spreadsheets/d/1juPI-Fb8LD0YtltB2mlGEnp_R3UVu1t3wSFPzgCyHXE/edit?gid=0#gid=0"",""GERAL!A2:C""),3,0),""-"")"),"CAMPO")</f>
        <v>CAMPO</v>
      </c>
    </row>
    <row r="584" ht="15.75" customHeight="1">
      <c r="A584" s="111" t="s">
        <v>723</v>
      </c>
      <c r="B584" s="83" t="s">
        <v>2670</v>
      </c>
      <c r="C584" s="83" t="s">
        <v>68</v>
      </c>
      <c r="D584" s="112">
        <v>1109423.0</v>
      </c>
      <c r="E584" s="83"/>
      <c r="F584" s="83">
        <v>2.9092744E7</v>
      </c>
      <c r="G584" s="119" t="s">
        <v>2674</v>
      </c>
      <c r="H584" s="91" t="s">
        <v>2675</v>
      </c>
      <c r="I584" s="136" t="s">
        <v>149</v>
      </c>
      <c r="J584" s="83" t="s">
        <v>150</v>
      </c>
      <c r="K584" s="83" t="s">
        <v>151</v>
      </c>
      <c r="L584" s="83" t="s">
        <v>76</v>
      </c>
      <c r="M584" s="82" t="str">
        <f>IFERROR(__xludf.DUMMYFUNCTION("IFERROR(VLOOKUP(D584,
IMPORTRANGE(""https://docs.google.com/spreadsheets/d/1MjHtlUikwobi2MaWJgy7tfLeBmhj1u-dRFRs_8GwSoA/edit#gid=0"",""Gestores Escolares!D7:J""),3,0),""VERIFICAR CÓD SEC"")"),"IVANILDO SILVA DE JESUS")</f>
        <v>IVANILDO SILVA DE JESUS</v>
      </c>
      <c r="N584" s="82" t="str">
        <f>IFERROR(__xludf.DUMMYFUNCTION("IFERROR(VLOOKUP(D584,
IMPORTRANGE(""https://docs.google.com/spreadsheets/d/1MjHtlUikwobi2MaWJgy7tfLeBmhj1u-dRFRs_8GwSoA/edit#gid=0"",""Gestores Escolares!D7:J""),4,0),""VERIFICAR CÓD SEC"")"),"(75) 9 8119-7655")</f>
        <v>(75) 9 8119-7655</v>
      </c>
      <c r="O584" s="82" t="str">
        <f>IFERROR(__xludf.DUMMYFUNCTION("IFERROR(VLOOKUP(D584,
IMPORTRANGE(""https://docs.google.com/spreadsheets/d/1MjHtlUikwobi2MaWJgy7tfLeBmhj1u-dRFRs_8GwSoA/edit#gid=0"",""Gestores Escolares!D7:J""),6,0),""VERIFICAR CÓD SEC"")"),"RITA DE CASSIA ARGOLO CUEVAS")</f>
        <v>RITA DE CASSIA ARGOLO CUEVAS</v>
      </c>
      <c r="P584" s="82" t="str">
        <f>IFERROR(__xludf.DUMMYFUNCTION("IFERROR(VLOOKUP(D584,
IMPORTRANGE(""https://docs.google.com/spreadsheets/d/1MjHtlUikwobi2MaWJgy7tfLeBmhj1u-dRFRs_8GwSoA/edit#gid=0"",""Gestores Escolares!D7:J""),7,0),""VERIFICAR CÓD SEC"")"),"(71) 9 9980-0660")</f>
        <v>(71) 9 9980-0660</v>
      </c>
      <c r="Q584" s="82" t="str">
        <f>IFERROR(__xludf.DUMMYFUNCTION("IFERROR(VLOOKUP(D584,
IMPORTRANGE(""https://docs.google.com/spreadsheets/d/1MjHtlUikwobi2MaWJgy7tfLeBmhj1u-dRFRs_8GwSoA/edit#gid=0"",""Gestores Escolares!D7:m""),9,0),""VERIFICAR CÓD SEC"")"),"IRACI MARIA DE JESUS")</f>
        <v>IRACI MARIA DE JESUS</v>
      </c>
      <c r="R584" s="82" t="str">
        <f>IFERROR(__xludf.DUMMYFUNCTION("IFERROR(VLOOKUP(D584,
IMPORTRANGE(""https://docs.google.com/spreadsheets/d/1MjHtlUikwobi2MaWJgy7tfLeBmhj1u-dRFRs_8GwSoA/edit#gid=0"",""Gestores Escolares!D7:m""),10,0),""VERIFICAR CÓD SEC"")")," (75) 9 9716-8489")</f>
        <v> (75) 9 9716-8489</v>
      </c>
      <c r="S584" s="82"/>
      <c r="T584" s="138">
        <v>9.0</v>
      </c>
      <c r="U584" s="388">
        <v>9.0</v>
      </c>
      <c r="V584" s="106">
        <v>0.0</v>
      </c>
      <c r="W584" s="107">
        <v>0.0</v>
      </c>
      <c r="X584" s="107">
        <v>0.0</v>
      </c>
      <c r="Y584" s="107">
        <v>0.0</v>
      </c>
      <c r="Z584" s="80">
        <f t="shared" si="1"/>
        <v>0</v>
      </c>
      <c r="AA584" s="106">
        <v>0.0</v>
      </c>
      <c r="AB584" s="107">
        <v>0.0</v>
      </c>
      <c r="AC584" s="107">
        <v>0.0</v>
      </c>
      <c r="AD584" s="107">
        <v>0.0</v>
      </c>
      <c r="AE584" s="80">
        <f t="shared" si="2"/>
        <v>0</v>
      </c>
      <c r="AF584" s="140">
        <v>0.0</v>
      </c>
      <c r="AG584" s="109">
        <v>0.0</v>
      </c>
      <c r="AH584" s="109">
        <v>0.0</v>
      </c>
      <c r="AI584" s="141">
        <v>236.0</v>
      </c>
      <c r="AJ584" s="80">
        <f t="shared" si="3"/>
        <v>236</v>
      </c>
      <c r="AK584" s="140">
        <v>0.0</v>
      </c>
      <c r="AL584" s="109">
        <v>0.0</v>
      </c>
      <c r="AM584" s="141">
        <v>0.0</v>
      </c>
      <c r="AN584" s="80">
        <f t="shared" si="4"/>
        <v>0</v>
      </c>
      <c r="AO584" s="140">
        <v>0.0</v>
      </c>
      <c r="AP584" s="109">
        <v>0.0</v>
      </c>
      <c r="AQ584" s="109">
        <v>69.0</v>
      </c>
      <c r="AR584" s="80">
        <f t="shared" si="5"/>
        <v>69</v>
      </c>
      <c r="AS584" s="110">
        <v>0.0</v>
      </c>
      <c r="AT584" s="110">
        <v>0.0</v>
      </c>
      <c r="AU584" s="110">
        <v>0.0</v>
      </c>
      <c r="AV584" s="142">
        <v>58.0</v>
      </c>
      <c r="AW584" s="80">
        <f t="shared" si="6"/>
        <v>58</v>
      </c>
      <c r="AX584" s="113">
        <f t="shared" si="7"/>
        <v>363</v>
      </c>
      <c r="AY584" s="117">
        <f t="shared" si="8"/>
        <v>294</v>
      </c>
      <c r="AZ584" s="120">
        <f t="shared" si="9"/>
        <v>69</v>
      </c>
      <c r="BA584" s="115">
        <v>0.0</v>
      </c>
      <c r="BB584" s="89">
        <f t="shared" si="10"/>
        <v>363</v>
      </c>
      <c r="BC584" s="132" t="s">
        <v>178</v>
      </c>
      <c r="BD584" s="132" t="s">
        <v>178</v>
      </c>
      <c r="BE584" s="132" t="s">
        <v>178</v>
      </c>
      <c r="BF584" s="123"/>
      <c r="BG584" s="83">
        <v>1109423.0</v>
      </c>
      <c r="BH584" s="112"/>
      <c r="BI584" s="112">
        <v>9.0</v>
      </c>
      <c r="BJ584" s="98" t="s">
        <v>155</v>
      </c>
      <c r="BK584" s="99">
        <f t="shared" si="11"/>
        <v>294</v>
      </c>
      <c r="BL584" s="99">
        <f t="shared" si="12"/>
        <v>0</v>
      </c>
      <c r="BM584" s="99" t="str">
        <f>IFERROR(__xludf.DUMMYFUNCTION("IFERROR(VLOOKUP(BG584,IMPORTRANGE(""https://docs.google.com/spreadsheets/d/1juPI-Fb8LD0YtltB2mlGEnp_R3UVu1t3wSFPzgCyHXE/edit?gid=0#gid=0"",""GERAL!A2:C""),3,0),""-"")"),"-")</f>
        <v>-</v>
      </c>
    </row>
    <row r="585" ht="15.75" customHeight="1">
      <c r="A585" s="111" t="s">
        <v>723</v>
      </c>
      <c r="B585" s="83" t="s">
        <v>2678</v>
      </c>
      <c r="C585" s="83" t="s">
        <v>68</v>
      </c>
      <c r="D585" s="112">
        <v>1176366.0</v>
      </c>
      <c r="E585" s="83"/>
      <c r="F585" s="83">
        <v>2.934008E7</v>
      </c>
      <c r="G585" s="119" t="s">
        <v>2679</v>
      </c>
      <c r="H585" s="108" t="s">
        <v>2680</v>
      </c>
      <c r="I585" s="83" t="s">
        <v>149</v>
      </c>
      <c r="J585" s="83" t="s">
        <v>150</v>
      </c>
      <c r="K585" s="83" t="s">
        <v>151</v>
      </c>
      <c r="L585" s="98" t="s">
        <v>76</v>
      </c>
      <c r="M585" s="82" t="str">
        <f>IFERROR(__xludf.DUMMYFUNCTION("IFERROR(VLOOKUP(D585,
IMPORTRANGE(""https://docs.google.com/spreadsheets/d/1MjHtlUikwobi2MaWJgy7tfLeBmhj1u-dRFRs_8GwSoA/edit#gid=0"",""Gestores Escolares!D7:J""),3,0),""VERIFICAR CÓD SEC"")"),"ALEXSANDRA SOUZA LOPES")</f>
        <v>ALEXSANDRA SOUZA LOPES</v>
      </c>
      <c r="N585" s="82" t="str">
        <f>IFERROR(__xludf.DUMMYFUNCTION("IFERROR(VLOOKUP(D585,
IMPORTRANGE(""https://docs.google.com/spreadsheets/d/1MjHtlUikwobi2MaWJgy7tfLeBmhj1u-dRFRs_8GwSoA/edit#gid=0"",""Gestores Escolares!D7:J""),4,0),""VERIFICAR CÓD SEC"")"),"(73) 9 9922-5701")</f>
        <v>(73) 9 9922-5701</v>
      </c>
      <c r="O585" s="82" t="str">
        <f>IFERROR(__xludf.DUMMYFUNCTION("IFERROR(VLOOKUP(D585,
IMPORTRANGE(""https://docs.google.com/spreadsheets/d/1MjHtlUikwobi2MaWJgy7tfLeBmhj1u-dRFRs_8GwSoA/edit#gid=0"",""Gestores Escolares!D7:J""),6,0),""VERIFICAR CÓD SEC"")"),"")</f>
        <v/>
      </c>
      <c r="P585" s="82" t="str">
        <f>IFERROR(__xludf.DUMMYFUNCTION("IFERROR(VLOOKUP(D585,
IMPORTRANGE(""https://docs.google.com/spreadsheets/d/1MjHtlUikwobi2MaWJgy7tfLeBmhj1u-dRFRs_8GwSoA/edit#gid=0"",""Gestores Escolares!D7:J""),7,0),""VERIFICAR CÓD SEC"")"),"")</f>
        <v/>
      </c>
      <c r="Q585" s="82" t="str">
        <f>IFERROR(__xludf.DUMMYFUNCTION("IFERROR(VLOOKUP(D585,
IMPORTRANGE(""https://docs.google.com/spreadsheets/d/1MjHtlUikwobi2MaWJgy7tfLeBmhj1u-dRFRs_8GwSoA/edit#gid=0"",""Gestores Escolares!D7:m""),9,0),""VERIFICAR CÓD SEC"")"),"")</f>
        <v/>
      </c>
      <c r="R585" s="82" t="str">
        <f>IFERROR(__xludf.DUMMYFUNCTION("IFERROR(VLOOKUP(D585,
IMPORTRANGE(""https://docs.google.com/spreadsheets/d/1MjHtlUikwobi2MaWJgy7tfLeBmhj1u-dRFRs_8GwSoA/edit#gid=0"",""Gestores Escolares!D7:m""),10,0),""VERIFICAR CÓD SEC"")"),"")</f>
        <v/>
      </c>
      <c r="S585" s="82"/>
      <c r="T585" s="138">
        <v>6.0</v>
      </c>
      <c r="U585" s="388" t="s">
        <v>8203</v>
      </c>
      <c r="V585" s="106">
        <v>0.0</v>
      </c>
      <c r="W585" s="107">
        <v>0.0</v>
      </c>
      <c r="X585" s="107">
        <v>0.0</v>
      </c>
      <c r="Y585" s="107">
        <v>0.0</v>
      </c>
      <c r="Z585" s="80">
        <f t="shared" si="1"/>
        <v>0</v>
      </c>
      <c r="AA585" s="106">
        <v>0.0</v>
      </c>
      <c r="AB585" s="107">
        <v>0.0</v>
      </c>
      <c r="AC585" s="107">
        <v>0.0</v>
      </c>
      <c r="AD585" s="107">
        <v>0.0</v>
      </c>
      <c r="AE585" s="80">
        <f t="shared" si="2"/>
        <v>0</v>
      </c>
      <c r="AF585" s="140">
        <v>71.0</v>
      </c>
      <c r="AG585" s="109">
        <v>46.0</v>
      </c>
      <c r="AH585" s="109">
        <v>0.0</v>
      </c>
      <c r="AI585" s="141">
        <v>54.0</v>
      </c>
      <c r="AJ585" s="80">
        <f t="shared" si="3"/>
        <v>171</v>
      </c>
      <c r="AK585" s="140">
        <v>0.0</v>
      </c>
      <c r="AL585" s="109">
        <v>0.0</v>
      </c>
      <c r="AM585" s="141">
        <v>0.0</v>
      </c>
      <c r="AN585" s="80">
        <f t="shared" si="4"/>
        <v>0</v>
      </c>
      <c r="AO585" s="140">
        <v>0.0</v>
      </c>
      <c r="AP585" s="109">
        <v>0.0</v>
      </c>
      <c r="AQ585" s="109">
        <v>98.0</v>
      </c>
      <c r="AR585" s="80">
        <f t="shared" si="5"/>
        <v>98</v>
      </c>
      <c r="AS585" s="110">
        <v>0.0</v>
      </c>
      <c r="AT585" s="110">
        <v>17.0</v>
      </c>
      <c r="AU585" s="110">
        <v>0.0</v>
      </c>
      <c r="AV585" s="142">
        <v>24.0</v>
      </c>
      <c r="AW585" s="80">
        <f t="shared" si="6"/>
        <v>41</v>
      </c>
      <c r="AX585" s="113">
        <f t="shared" si="7"/>
        <v>310</v>
      </c>
      <c r="AY585" s="117">
        <f t="shared" si="8"/>
        <v>212</v>
      </c>
      <c r="AZ585" s="120">
        <f t="shared" si="9"/>
        <v>98</v>
      </c>
      <c r="BA585" s="115">
        <v>0.0</v>
      </c>
      <c r="BB585" s="89">
        <f t="shared" si="10"/>
        <v>310</v>
      </c>
      <c r="BC585" s="132" t="s">
        <v>178</v>
      </c>
      <c r="BD585" s="132" t="s">
        <v>178</v>
      </c>
      <c r="BE585" s="132" t="s">
        <v>178</v>
      </c>
      <c r="BF585" s="156"/>
      <c r="BG585" s="83">
        <v>1176366.0</v>
      </c>
      <c r="BH585" s="112"/>
      <c r="BI585" s="112">
        <v>5.0</v>
      </c>
      <c r="BJ585" s="98" t="s">
        <v>155</v>
      </c>
      <c r="BK585" s="99">
        <f t="shared" si="11"/>
        <v>78</v>
      </c>
      <c r="BL585" s="99">
        <f t="shared" si="12"/>
        <v>134</v>
      </c>
      <c r="BM585" s="99" t="str">
        <f>IFERROR(__xludf.DUMMYFUNCTION("IFERROR(VLOOKUP(BG585,IMPORTRANGE(""https://docs.google.com/spreadsheets/d/1juPI-Fb8LD0YtltB2mlGEnp_R3UVu1t3wSFPzgCyHXE/edit?gid=0#gid=0"",""GERAL!A2:C""),3,0),""-"")"),"-")</f>
        <v>-</v>
      </c>
    </row>
    <row r="586" ht="15.75" customHeight="1">
      <c r="A586" s="111" t="s">
        <v>723</v>
      </c>
      <c r="B586" s="83" t="s">
        <v>2684</v>
      </c>
      <c r="C586" s="83" t="s">
        <v>68</v>
      </c>
      <c r="D586" s="112">
        <v>1119470.0</v>
      </c>
      <c r="E586" s="83"/>
      <c r="F586" s="83">
        <v>2.922604E7</v>
      </c>
      <c r="G586" s="119" t="s">
        <v>2685</v>
      </c>
      <c r="H586" s="108" t="s">
        <v>2686</v>
      </c>
      <c r="I586" s="83" t="s">
        <v>149</v>
      </c>
      <c r="J586" s="83" t="s">
        <v>150</v>
      </c>
      <c r="K586" s="83" t="s">
        <v>151</v>
      </c>
      <c r="L586" s="98" t="s">
        <v>76</v>
      </c>
      <c r="M586" s="82" t="str">
        <f>IFERROR(__xludf.DUMMYFUNCTION("IFERROR(VLOOKUP(D586,
IMPORTRANGE(""https://docs.google.com/spreadsheets/d/1MjHtlUikwobi2MaWJgy7tfLeBmhj1u-dRFRs_8GwSoA/edit#gid=0"",""Gestores Escolares!D7:J""),3,0),""VERIFICAR CÓD SEC"")"),"MABEL SARABELA NASCIMENTO ALMEIDA")</f>
        <v>MABEL SARABELA NASCIMENTO ALMEIDA</v>
      </c>
      <c r="N586" s="82" t="str">
        <f>IFERROR(__xludf.DUMMYFUNCTION("IFERROR(VLOOKUP(D586,
IMPORTRANGE(""https://docs.google.com/spreadsheets/d/1MjHtlUikwobi2MaWJgy7tfLeBmhj1u-dRFRs_8GwSoA/edit#gid=0"",""Gestores Escolares!D7:J""),4,0),""VERIFICAR CÓD SEC"")"),"(73) 9 8136-1091")</f>
        <v>(73) 9 8136-1091</v>
      </c>
      <c r="O586" s="82" t="str">
        <f>IFERROR(__xludf.DUMMYFUNCTION("IFERROR(VLOOKUP(D586,
IMPORTRANGE(""https://docs.google.com/spreadsheets/d/1MjHtlUikwobi2MaWJgy7tfLeBmhj1u-dRFRs_8GwSoA/edit#gid=0"",""Gestores Escolares!D7:J""),6,0),""VERIFICAR CÓD SEC"")"),"DANIELA ALMEIDA ARAUJO")</f>
        <v>DANIELA ALMEIDA ARAUJO</v>
      </c>
      <c r="P586" s="82" t="str">
        <f>IFERROR(__xludf.DUMMYFUNCTION("IFERROR(VLOOKUP(D586,
IMPORTRANGE(""https://docs.google.com/spreadsheets/d/1MjHtlUikwobi2MaWJgy7tfLeBmhj1u-dRFRs_8GwSoA/edit#gid=0"",""Gestores Escolares!D7:J""),7,0),""VERIFICAR CÓD SEC"")"),"(73) 9 8815-1371")</f>
        <v>(73) 9 8815-1371</v>
      </c>
      <c r="Q586" s="82" t="str">
        <f>IFERROR(__xludf.DUMMYFUNCTION("IFERROR(VLOOKUP(D586,
IMPORTRANGE(""https://docs.google.com/spreadsheets/d/1MjHtlUikwobi2MaWJgy7tfLeBmhj1u-dRFRs_8GwSoA/edit#gid=0"",""Gestores Escolares!D7:m""),9,0),""VERIFICAR CÓD SEC"")"),"")</f>
        <v/>
      </c>
      <c r="R586" s="82" t="str">
        <f>IFERROR(__xludf.DUMMYFUNCTION("IFERROR(VLOOKUP(D586,
IMPORTRANGE(""https://docs.google.com/spreadsheets/d/1MjHtlUikwobi2MaWJgy7tfLeBmhj1u-dRFRs_8GwSoA/edit#gid=0"",""Gestores Escolares!D7:m""),10,0),""VERIFICAR CÓD SEC"")"),"")</f>
        <v/>
      </c>
      <c r="S586" s="82"/>
      <c r="T586" s="138">
        <v>7.0</v>
      </c>
      <c r="U586" s="152" t="s">
        <v>8226</v>
      </c>
      <c r="V586" s="106">
        <v>0.0</v>
      </c>
      <c r="W586" s="107">
        <v>0.0</v>
      </c>
      <c r="X586" s="107">
        <v>0.0</v>
      </c>
      <c r="Y586" s="107">
        <v>0.0</v>
      </c>
      <c r="Z586" s="80">
        <f t="shared" si="1"/>
        <v>0</v>
      </c>
      <c r="AA586" s="106">
        <v>0.0</v>
      </c>
      <c r="AB586" s="107">
        <v>0.0</v>
      </c>
      <c r="AC586" s="107">
        <v>0.0</v>
      </c>
      <c r="AD586" s="107">
        <v>0.0</v>
      </c>
      <c r="AE586" s="80">
        <f t="shared" si="2"/>
        <v>0</v>
      </c>
      <c r="AF586" s="140">
        <v>75.0</v>
      </c>
      <c r="AG586" s="109">
        <v>84.0</v>
      </c>
      <c r="AH586" s="109">
        <v>0.0</v>
      </c>
      <c r="AI586" s="141">
        <v>16.0</v>
      </c>
      <c r="AJ586" s="80">
        <f t="shared" si="3"/>
        <v>175</v>
      </c>
      <c r="AK586" s="140">
        <v>0.0</v>
      </c>
      <c r="AL586" s="109">
        <v>0.0</v>
      </c>
      <c r="AM586" s="141">
        <v>0.0</v>
      </c>
      <c r="AN586" s="80">
        <f t="shared" si="4"/>
        <v>0</v>
      </c>
      <c r="AO586" s="140">
        <v>0.0</v>
      </c>
      <c r="AP586" s="109">
        <v>0.0</v>
      </c>
      <c r="AQ586" s="109">
        <v>65.0</v>
      </c>
      <c r="AR586" s="80">
        <f t="shared" si="5"/>
        <v>65</v>
      </c>
      <c r="AS586" s="110">
        <v>0.0</v>
      </c>
      <c r="AT586" s="110">
        <v>19.0</v>
      </c>
      <c r="AU586" s="110">
        <v>50.0</v>
      </c>
      <c r="AV586" s="142">
        <v>21.0</v>
      </c>
      <c r="AW586" s="80">
        <f t="shared" si="6"/>
        <v>90</v>
      </c>
      <c r="AX586" s="113">
        <f t="shared" si="7"/>
        <v>330</v>
      </c>
      <c r="AY586" s="117">
        <f t="shared" si="8"/>
        <v>215</v>
      </c>
      <c r="AZ586" s="120">
        <f t="shared" si="9"/>
        <v>115</v>
      </c>
      <c r="BA586" s="115">
        <v>0.0</v>
      </c>
      <c r="BB586" s="89">
        <f t="shared" si="10"/>
        <v>330</v>
      </c>
      <c r="BC586" s="132" t="s">
        <v>178</v>
      </c>
      <c r="BD586" s="132" t="s">
        <v>178</v>
      </c>
      <c r="BE586" s="132" t="s">
        <v>178</v>
      </c>
      <c r="BF586" s="123"/>
      <c r="BG586" s="83">
        <v>1119470.0</v>
      </c>
      <c r="BH586" s="112"/>
      <c r="BI586" s="112">
        <v>6.0</v>
      </c>
      <c r="BJ586" s="98" t="s">
        <v>155</v>
      </c>
      <c r="BK586" s="99">
        <f t="shared" si="11"/>
        <v>37</v>
      </c>
      <c r="BL586" s="99">
        <f t="shared" si="12"/>
        <v>178</v>
      </c>
      <c r="BM586" s="99" t="str">
        <f>IFERROR(__xludf.DUMMYFUNCTION("IFERROR(VLOOKUP(BG586,IMPORTRANGE(""https://docs.google.com/spreadsheets/d/1juPI-Fb8LD0YtltB2mlGEnp_R3UVu1t3wSFPzgCyHXE/edit?gid=0#gid=0"",""GERAL!A2:C""),3,0),""-"")"),"-")</f>
        <v>-</v>
      </c>
    </row>
    <row r="587" ht="15.75" customHeight="1">
      <c r="A587" s="111" t="s">
        <v>723</v>
      </c>
      <c r="B587" s="83" t="s">
        <v>2688</v>
      </c>
      <c r="C587" s="83" t="s">
        <v>68</v>
      </c>
      <c r="D587" s="112">
        <v>1117566.0</v>
      </c>
      <c r="E587" s="83"/>
      <c r="F587" s="83">
        <v>2.9226147E7</v>
      </c>
      <c r="G587" s="119" t="s">
        <v>2689</v>
      </c>
      <c r="H587" s="91" t="s">
        <v>2690</v>
      </c>
      <c r="I587" s="83" t="s">
        <v>149</v>
      </c>
      <c r="J587" s="136" t="s">
        <v>150</v>
      </c>
      <c r="K587" s="83" t="s">
        <v>151</v>
      </c>
      <c r="L587" s="83" t="s">
        <v>76</v>
      </c>
      <c r="M587" s="82" t="str">
        <f>IFERROR(__xludf.DUMMYFUNCTION("IFERROR(VLOOKUP(D587,
IMPORTRANGE(""https://docs.google.com/spreadsheets/d/1MjHtlUikwobi2MaWJgy7tfLeBmhj1u-dRFRs_8GwSoA/edit#gid=0"",""Gestores Escolares!D7:J""),3,0),""VERIFICAR CÓD SEC"")"),"GILTAN BARBOSA LIMA")</f>
        <v>GILTAN BARBOSA LIMA</v>
      </c>
      <c r="N587" s="82" t="str">
        <f>IFERROR(__xludf.DUMMYFUNCTION("IFERROR(VLOOKUP(D587,
IMPORTRANGE(""https://docs.google.com/spreadsheets/d/1MjHtlUikwobi2MaWJgy7tfLeBmhj1u-dRFRs_8GwSoA/edit#gid=0"",""Gestores Escolares!D7:J""),4,0),""VERIFICAR CÓD SEC"")"),"(73) 9 9196-0861")</f>
        <v>(73) 9 9196-0861</v>
      </c>
      <c r="O587" s="82" t="str">
        <f>IFERROR(__xludf.DUMMYFUNCTION("IFERROR(VLOOKUP(D587,
IMPORTRANGE(""https://docs.google.com/spreadsheets/d/1MjHtlUikwobi2MaWJgy7tfLeBmhj1u-dRFRs_8GwSoA/edit#gid=0"",""Gestores Escolares!D7:J""),6,0),""VERIFICAR CÓD SEC"")"),"TAMARA KATIUSA ANDRADE SOUZA")</f>
        <v>TAMARA KATIUSA ANDRADE SOUZA</v>
      </c>
      <c r="P587" s="82" t="str">
        <f>IFERROR(__xludf.DUMMYFUNCTION("IFERROR(VLOOKUP(D587,
IMPORTRANGE(""https://docs.google.com/spreadsheets/d/1MjHtlUikwobi2MaWJgy7tfLeBmhj1u-dRFRs_8GwSoA/edit#gid=0"",""Gestores Escolares!D7:J""),7,0),""VERIFICAR CÓD SEC"")"),"(73) 9 9177-5421")</f>
        <v>(73) 9 9177-5421</v>
      </c>
      <c r="Q587" s="82" t="str">
        <f>IFERROR(__xludf.DUMMYFUNCTION("IFERROR(VLOOKUP(D587,
IMPORTRANGE(""https://docs.google.com/spreadsheets/d/1MjHtlUikwobi2MaWJgy7tfLeBmhj1u-dRFRs_8GwSoA/edit#gid=0"",""Gestores Escolares!D7:m""),9,0),""VERIFICAR CÓD SEC"")"),"")</f>
        <v/>
      </c>
      <c r="R587" s="82" t="str">
        <f>IFERROR(__xludf.DUMMYFUNCTION("IFERROR(VLOOKUP(D587,
IMPORTRANGE(""https://docs.google.com/spreadsheets/d/1MjHtlUikwobi2MaWJgy7tfLeBmhj1u-dRFRs_8GwSoA/edit#gid=0"",""Gestores Escolares!D7:m""),10,0),""VERIFICAR CÓD SEC"")"),"")</f>
        <v/>
      </c>
      <c r="S587" s="82"/>
      <c r="T587" s="138">
        <v>6.0</v>
      </c>
      <c r="U587" s="421">
        <v>6.0</v>
      </c>
      <c r="V587" s="106">
        <v>0.0</v>
      </c>
      <c r="W587" s="107">
        <v>0.0</v>
      </c>
      <c r="X587" s="107">
        <v>0.0</v>
      </c>
      <c r="Y587" s="107">
        <v>0.0</v>
      </c>
      <c r="Z587" s="80">
        <f t="shared" si="1"/>
        <v>0</v>
      </c>
      <c r="AA587" s="106">
        <v>0.0</v>
      </c>
      <c r="AB587" s="107">
        <v>0.0</v>
      </c>
      <c r="AC587" s="107">
        <v>0.0</v>
      </c>
      <c r="AD587" s="107">
        <v>0.0</v>
      </c>
      <c r="AE587" s="80">
        <f t="shared" si="2"/>
        <v>0</v>
      </c>
      <c r="AF587" s="140">
        <v>89.0</v>
      </c>
      <c r="AG587" s="109">
        <v>42.0</v>
      </c>
      <c r="AH587" s="109">
        <v>0.0</v>
      </c>
      <c r="AI587" s="141">
        <v>101.0</v>
      </c>
      <c r="AJ587" s="80">
        <f t="shared" si="3"/>
        <v>232</v>
      </c>
      <c r="AK587" s="140">
        <v>0.0</v>
      </c>
      <c r="AL587" s="109">
        <v>0.0</v>
      </c>
      <c r="AM587" s="141">
        <v>0.0</v>
      </c>
      <c r="AN587" s="80">
        <f t="shared" si="4"/>
        <v>0</v>
      </c>
      <c r="AO587" s="140">
        <v>0.0</v>
      </c>
      <c r="AP587" s="109">
        <v>0.0</v>
      </c>
      <c r="AQ587" s="109">
        <v>44.0</v>
      </c>
      <c r="AR587" s="80">
        <f t="shared" si="5"/>
        <v>44</v>
      </c>
      <c r="AS587" s="110">
        <v>0.0</v>
      </c>
      <c r="AT587" s="110">
        <v>0.0</v>
      </c>
      <c r="AU587" s="110">
        <v>0.0</v>
      </c>
      <c r="AV587" s="142">
        <v>64.0</v>
      </c>
      <c r="AW587" s="80">
        <f t="shared" si="6"/>
        <v>64</v>
      </c>
      <c r="AX587" s="113">
        <f t="shared" si="7"/>
        <v>340</v>
      </c>
      <c r="AY587" s="117">
        <f t="shared" si="8"/>
        <v>296</v>
      </c>
      <c r="AZ587" s="120">
        <f t="shared" si="9"/>
        <v>44</v>
      </c>
      <c r="BA587" s="115">
        <v>0.0</v>
      </c>
      <c r="BB587" s="89">
        <f t="shared" si="10"/>
        <v>340</v>
      </c>
      <c r="BC587" s="132" t="s">
        <v>178</v>
      </c>
      <c r="BD587" s="132" t="s">
        <v>178</v>
      </c>
      <c r="BE587" s="132" t="s">
        <v>178</v>
      </c>
      <c r="BF587" s="123"/>
      <c r="BG587" s="83">
        <v>1117566.0</v>
      </c>
      <c r="BH587" s="112"/>
      <c r="BI587" s="112">
        <v>5.0</v>
      </c>
      <c r="BJ587" s="98" t="s">
        <v>155</v>
      </c>
      <c r="BK587" s="99">
        <f t="shared" si="11"/>
        <v>165</v>
      </c>
      <c r="BL587" s="99">
        <f t="shared" si="12"/>
        <v>131</v>
      </c>
      <c r="BM587" s="99" t="str">
        <f>IFERROR(__xludf.DUMMYFUNCTION("IFERROR(VLOOKUP(BG587,IMPORTRANGE(""https://docs.google.com/spreadsheets/d/1juPI-Fb8LD0YtltB2mlGEnp_R3UVu1t3wSFPzgCyHXE/edit?gid=0#gid=0"",""GERAL!A2:C""),3,0),""-"")"),"-")</f>
        <v>-</v>
      </c>
    </row>
    <row r="588" ht="15.75" customHeight="1">
      <c r="A588" s="111" t="s">
        <v>723</v>
      </c>
      <c r="B588" s="83" t="s">
        <v>2081</v>
      </c>
      <c r="C588" s="83" t="s">
        <v>68</v>
      </c>
      <c r="D588" s="112">
        <v>1119461.0</v>
      </c>
      <c r="E588" s="83"/>
      <c r="F588" s="83">
        <v>2.9227356E7</v>
      </c>
      <c r="G588" s="184" t="s">
        <v>2698</v>
      </c>
      <c r="H588" s="91" t="s">
        <v>2699</v>
      </c>
      <c r="I588" s="83" t="s">
        <v>2700</v>
      </c>
      <c r="J588" s="83" t="s">
        <v>150</v>
      </c>
      <c r="K588" s="83" t="s">
        <v>151</v>
      </c>
      <c r="L588" s="83" t="s">
        <v>152</v>
      </c>
      <c r="M588" s="82" t="str">
        <f>IFERROR(__xludf.DUMMYFUNCTION("IFERROR(VLOOKUP(D588,
IMPORTRANGE(""https://docs.google.com/spreadsheets/d/1MjHtlUikwobi2MaWJgy7tfLeBmhj1u-dRFRs_8GwSoA/edit#gid=0"",""Gestores Escolares!D7:J""),3,0),""VERIFICAR CÓD SEC"")"),"ANTONIO EDEZIO SANTOS DE SOUSA")</f>
        <v>ANTONIO EDEZIO SANTOS DE SOUSA</v>
      </c>
      <c r="N588" s="82" t="str">
        <f>IFERROR(__xludf.DUMMYFUNCTION("IFERROR(VLOOKUP(D588,
IMPORTRANGE(""https://docs.google.com/spreadsheets/d/1MjHtlUikwobi2MaWJgy7tfLeBmhj1u-dRFRs_8GwSoA/edit#gid=0"",""Gestores Escolares!D7:J""),4,0),""VERIFICAR CÓD SEC"")"),"(75) 9 8886-6646")</f>
        <v>(75) 9 8886-6646</v>
      </c>
      <c r="O588" s="82" t="str">
        <f>IFERROR(__xludf.DUMMYFUNCTION("IFERROR(VLOOKUP(D588,
IMPORTRANGE(""https://docs.google.com/spreadsheets/d/1MjHtlUikwobi2MaWJgy7tfLeBmhj1u-dRFRs_8GwSoA/edit#gid=0"",""Gestores Escolares!D7:J""),6,0),""VERIFICAR CÓD SEC"")"),"LOURIVAL BRITO GUIMARAES")</f>
        <v>LOURIVAL BRITO GUIMARAES</v>
      </c>
      <c r="P588" s="82" t="str">
        <f>IFERROR(__xludf.DUMMYFUNCTION("IFERROR(VLOOKUP(D588,
IMPORTRANGE(""https://docs.google.com/spreadsheets/d/1MjHtlUikwobi2MaWJgy7tfLeBmhj1u-dRFRs_8GwSoA/edit#gid=0"",""Gestores Escolares!D7:J""),7,0),""VERIFICAR CÓD SEC"")"),"(73) 9 9102-1102/
9 8821-1932")</f>
        <v>(73) 9 9102-1102/
9 8821-1932</v>
      </c>
      <c r="Q588" s="82" t="str">
        <f>IFERROR(__xludf.DUMMYFUNCTION("IFERROR(VLOOKUP(D588,
IMPORTRANGE(""https://docs.google.com/spreadsheets/d/1MjHtlUikwobi2MaWJgy7tfLeBmhj1u-dRFRs_8GwSoA/edit#gid=0"",""Gestores Escolares!D7:m""),9,0),""VERIFICAR CÓD SEC"")"),"")</f>
        <v/>
      </c>
      <c r="R588" s="82" t="str">
        <f>IFERROR(__xludf.DUMMYFUNCTION("IFERROR(VLOOKUP(D588,
IMPORTRANGE(""https://docs.google.com/spreadsheets/d/1MjHtlUikwobi2MaWJgy7tfLeBmhj1u-dRFRs_8GwSoA/edit#gid=0"",""Gestores Escolares!D7:m""),10,0),""VERIFICAR CÓD SEC"")"),"")</f>
        <v/>
      </c>
      <c r="S588" s="82"/>
      <c r="T588" s="138">
        <v>8.0</v>
      </c>
      <c r="U588" s="145" t="s">
        <v>8261</v>
      </c>
      <c r="V588" s="106">
        <v>0.0</v>
      </c>
      <c r="W588" s="107">
        <v>0.0</v>
      </c>
      <c r="X588" s="107">
        <v>0.0</v>
      </c>
      <c r="Y588" s="107">
        <v>0.0</v>
      </c>
      <c r="Z588" s="80">
        <f t="shared" si="1"/>
        <v>0</v>
      </c>
      <c r="AA588" s="106">
        <v>0.0</v>
      </c>
      <c r="AB588" s="107">
        <v>0.0</v>
      </c>
      <c r="AC588" s="107">
        <v>0.0</v>
      </c>
      <c r="AD588" s="107">
        <v>0.0</v>
      </c>
      <c r="AE588" s="80">
        <f t="shared" si="2"/>
        <v>0</v>
      </c>
      <c r="AF588" s="140">
        <v>49.0</v>
      </c>
      <c r="AG588" s="109">
        <v>42.0</v>
      </c>
      <c r="AH588" s="109">
        <v>0.0</v>
      </c>
      <c r="AI588" s="141">
        <v>0.0</v>
      </c>
      <c r="AJ588" s="80">
        <f t="shared" si="3"/>
        <v>91</v>
      </c>
      <c r="AK588" s="140">
        <v>0.0</v>
      </c>
      <c r="AL588" s="109">
        <v>0.0</v>
      </c>
      <c r="AM588" s="141">
        <v>0.0</v>
      </c>
      <c r="AN588" s="80">
        <f t="shared" si="4"/>
        <v>0</v>
      </c>
      <c r="AO588" s="140">
        <v>0.0</v>
      </c>
      <c r="AP588" s="109">
        <v>0.0</v>
      </c>
      <c r="AQ588" s="109">
        <v>32.0</v>
      </c>
      <c r="AR588" s="80">
        <f t="shared" si="5"/>
        <v>32</v>
      </c>
      <c r="AS588" s="110">
        <v>0.0</v>
      </c>
      <c r="AT588" s="110">
        <v>0.0</v>
      </c>
      <c r="AU588" s="110">
        <v>0.0</v>
      </c>
      <c r="AV588" s="142">
        <v>0.0</v>
      </c>
      <c r="AW588" s="80">
        <f t="shared" si="6"/>
        <v>0</v>
      </c>
      <c r="AX588" s="113">
        <f t="shared" si="7"/>
        <v>123</v>
      </c>
      <c r="AY588" s="117">
        <f t="shared" si="8"/>
        <v>91</v>
      </c>
      <c r="AZ588" s="120">
        <f t="shared" si="9"/>
        <v>32</v>
      </c>
      <c r="BA588" s="115">
        <v>0.0</v>
      </c>
      <c r="BB588" s="89">
        <f t="shared" si="10"/>
        <v>123</v>
      </c>
      <c r="BC588" s="132" t="s">
        <v>178</v>
      </c>
      <c r="BD588" s="132" t="s">
        <v>178</v>
      </c>
      <c r="BE588" s="132" t="s">
        <v>178</v>
      </c>
      <c r="BF588" s="123"/>
      <c r="BG588" s="83">
        <v>1119461.0</v>
      </c>
      <c r="BH588" s="112"/>
      <c r="BI588" s="112">
        <v>8.0</v>
      </c>
      <c r="BJ588" s="98" t="s">
        <v>155</v>
      </c>
      <c r="BK588" s="99">
        <f t="shared" si="11"/>
        <v>0</v>
      </c>
      <c r="BL588" s="99">
        <f t="shared" si="12"/>
        <v>91</v>
      </c>
      <c r="BM588" s="99" t="str">
        <f>IFERROR(__xludf.DUMMYFUNCTION("IFERROR(VLOOKUP(BG588,IMPORTRANGE(""https://docs.google.com/spreadsheets/d/1juPI-Fb8LD0YtltB2mlGEnp_R3UVu1t3wSFPzgCyHXE/edit?gid=0#gid=0"",""GERAL!A2:C""),3,0),""-"")"),"-")</f>
        <v>-</v>
      </c>
    </row>
    <row r="589" ht="15.75" customHeight="1">
      <c r="A589" s="111" t="s">
        <v>723</v>
      </c>
      <c r="B589" s="83" t="s">
        <v>2081</v>
      </c>
      <c r="C589" s="83" t="s">
        <v>68</v>
      </c>
      <c r="D589" s="112">
        <v>1118023.0</v>
      </c>
      <c r="E589" s="83"/>
      <c r="F589" s="83">
        <v>2.9226864E7</v>
      </c>
      <c r="G589" s="184" t="s">
        <v>2702</v>
      </c>
      <c r="H589" s="91" t="s">
        <v>2703</v>
      </c>
      <c r="I589" s="83" t="s">
        <v>149</v>
      </c>
      <c r="J589" s="83" t="s">
        <v>2704</v>
      </c>
      <c r="K589" s="83" t="s">
        <v>151</v>
      </c>
      <c r="L589" s="83" t="s">
        <v>152</v>
      </c>
      <c r="M589" s="82" t="str">
        <f>IFERROR(__xludf.DUMMYFUNCTION("IFERROR(VLOOKUP(D589,
IMPORTRANGE(""https://docs.google.com/spreadsheets/d/1MjHtlUikwobi2MaWJgy7tfLeBmhj1u-dRFRs_8GwSoA/edit#gid=0"",""Gestores Escolares!D7:J""),3,0),""VERIFICAR CÓD SEC"")"),"QUEZIA NARDE DE OLIVEIRA ROSA")</f>
        <v>QUEZIA NARDE DE OLIVEIRA ROSA</v>
      </c>
      <c r="N589" s="82" t="str">
        <f>IFERROR(__xludf.DUMMYFUNCTION("IFERROR(VLOOKUP(D589,
IMPORTRANGE(""https://docs.google.com/spreadsheets/d/1MjHtlUikwobi2MaWJgy7tfLeBmhj1u-dRFRs_8GwSoA/edit#gid=0"",""Gestores Escolares!D7:J""),4,0),""VERIFICAR CÓD SEC"")")," (73) 9 8812-5066")</f>
        <v> (73) 9 8812-5066</v>
      </c>
      <c r="O589" s="82" t="str">
        <f>IFERROR(__xludf.DUMMYFUNCTION("IFERROR(VLOOKUP(D589,
IMPORTRANGE(""https://docs.google.com/spreadsheets/d/1MjHtlUikwobi2MaWJgy7tfLeBmhj1u-dRFRs_8GwSoA/edit#gid=0"",""Gestores Escolares!D7:J""),6,0),""VERIFICAR CÓD SEC"")"),"SILENILCE SOUSA E SANTOS")</f>
        <v>SILENILCE SOUSA E SANTOS</v>
      </c>
      <c r="P589" s="82" t="str">
        <f>IFERROR(__xludf.DUMMYFUNCTION("IFERROR(VLOOKUP(D589,
IMPORTRANGE(""https://docs.google.com/spreadsheets/d/1MjHtlUikwobi2MaWJgy7tfLeBmhj1u-dRFRs_8GwSoA/edit#gid=0"",""Gestores Escolares!D7:J""),7,0),""VERIFICAR CÓD SEC"")"),"(73) 9 8839-9813")</f>
        <v>(73) 9 8839-9813</v>
      </c>
      <c r="Q589" s="82" t="str">
        <f>IFERROR(__xludf.DUMMYFUNCTION("IFERROR(VLOOKUP(D589,
IMPORTRANGE(""https://docs.google.com/spreadsheets/d/1MjHtlUikwobi2MaWJgy7tfLeBmhj1u-dRFRs_8GwSoA/edit#gid=0"",""Gestores Escolares!D7:m""),9,0),""VERIFICAR CÓD SEC"")"),"ANDRE DIAS DA SILVA")</f>
        <v>ANDRE DIAS DA SILVA</v>
      </c>
      <c r="R589" s="82" t="str">
        <f>IFERROR(__xludf.DUMMYFUNCTION("IFERROR(VLOOKUP(D589,
IMPORTRANGE(""https://docs.google.com/spreadsheets/d/1MjHtlUikwobi2MaWJgy7tfLeBmhj1u-dRFRs_8GwSoA/edit#gid=0"",""Gestores Escolares!D7:m""),10,0),""VERIFICAR CÓD SEC"")"),"(73) 9 8825-1056")</f>
        <v>(73) 9 8825-1056</v>
      </c>
      <c r="S589" s="82"/>
      <c r="T589" s="138">
        <v>10.0</v>
      </c>
      <c r="U589" s="421" t="s">
        <v>8281</v>
      </c>
      <c r="V589" s="106">
        <v>0.0</v>
      </c>
      <c r="W589" s="107">
        <v>0.0</v>
      </c>
      <c r="X589" s="107">
        <v>0.0</v>
      </c>
      <c r="Y589" s="107">
        <v>0.0</v>
      </c>
      <c r="Z589" s="80">
        <f t="shared" si="1"/>
        <v>0</v>
      </c>
      <c r="AA589" s="106">
        <v>0.0</v>
      </c>
      <c r="AB589" s="107">
        <v>0.0</v>
      </c>
      <c r="AC589" s="107">
        <v>0.0</v>
      </c>
      <c r="AD589" s="107">
        <v>0.0</v>
      </c>
      <c r="AE589" s="80">
        <f t="shared" si="2"/>
        <v>0</v>
      </c>
      <c r="AF589" s="140">
        <v>176.0</v>
      </c>
      <c r="AG589" s="109">
        <v>105.0</v>
      </c>
      <c r="AH589" s="109">
        <v>0.0</v>
      </c>
      <c r="AI589" s="141">
        <v>49.0</v>
      </c>
      <c r="AJ589" s="80">
        <f t="shared" si="3"/>
        <v>330</v>
      </c>
      <c r="AK589" s="140">
        <v>0.0</v>
      </c>
      <c r="AL589" s="109">
        <v>0.0</v>
      </c>
      <c r="AM589" s="141">
        <v>0.0</v>
      </c>
      <c r="AN589" s="80">
        <f t="shared" si="4"/>
        <v>0</v>
      </c>
      <c r="AO589" s="140">
        <v>0.0</v>
      </c>
      <c r="AP589" s="109">
        <v>0.0</v>
      </c>
      <c r="AQ589" s="109">
        <v>88.0</v>
      </c>
      <c r="AR589" s="80">
        <f t="shared" si="5"/>
        <v>88</v>
      </c>
      <c r="AS589" s="110">
        <v>0.0</v>
      </c>
      <c r="AT589" s="110">
        <v>0.0</v>
      </c>
      <c r="AU589" s="110">
        <v>0.0</v>
      </c>
      <c r="AV589" s="142">
        <v>0.0</v>
      </c>
      <c r="AW589" s="80">
        <f t="shared" si="6"/>
        <v>0</v>
      </c>
      <c r="AX589" s="113">
        <f t="shared" si="7"/>
        <v>418</v>
      </c>
      <c r="AY589" s="117">
        <f t="shared" si="8"/>
        <v>330</v>
      </c>
      <c r="AZ589" s="120">
        <f t="shared" si="9"/>
        <v>88</v>
      </c>
      <c r="BA589" s="115">
        <v>0.0</v>
      </c>
      <c r="BB589" s="89">
        <f t="shared" si="10"/>
        <v>418</v>
      </c>
      <c r="BC589" s="132" t="s">
        <v>373</v>
      </c>
      <c r="BD589" s="132" t="s">
        <v>178</v>
      </c>
      <c r="BE589" s="132" t="s">
        <v>178</v>
      </c>
      <c r="BF589" s="123"/>
      <c r="BG589" s="83">
        <v>1118023.0</v>
      </c>
      <c r="BH589" s="112"/>
      <c r="BI589" s="112">
        <v>10.0</v>
      </c>
      <c r="BJ589" s="98" t="s">
        <v>155</v>
      </c>
      <c r="BK589" s="99">
        <f t="shared" si="11"/>
        <v>49</v>
      </c>
      <c r="BL589" s="99">
        <f t="shared" si="12"/>
        <v>281</v>
      </c>
      <c r="BM589" s="99" t="str">
        <f>IFERROR(__xludf.DUMMYFUNCTION("IFERROR(VLOOKUP(BG589,IMPORTRANGE(""https://docs.google.com/spreadsheets/d/1juPI-Fb8LD0YtltB2mlGEnp_R3UVu1t3wSFPzgCyHXE/edit?gid=0#gid=0"",""GERAL!A2:C""),3,0),""-"")"),"CAMPO")</f>
        <v>CAMPO</v>
      </c>
    </row>
    <row r="590" ht="15.75" customHeight="1">
      <c r="A590" s="111" t="s">
        <v>723</v>
      </c>
      <c r="B590" s="83" t="s">
        <v>2081</v>
      </c>
      <c r="C590" s="83" t="s">
        <v>68</v>
      </c>
      <c r="D590" s="112">
        <v>1119445.0</v>
      </c>
      <c r="E590" s="83"/>
      <c r="F590" s="83">
        <v>2.922652E7</v>
      </c>
      <c r="G590" s="185" t="s">
        <v>2707</v>
      </c>
      <c r="H590" s="91" t="s">
        <v>2708</v>
      </c>
      <c r="I590" s="172" t="s">
        <v>2709</v>
      </c>
      <c r="J590" s="83" t="s">
        <v>150</v>
      </c>
      <c r="K590" s="83" t="s">
        <v>151</v>
      </c>
      <c r="L590" s="83" t="s">
        <v>230</v>
      </c>
      <c r="M590" s="82" t="str">
        <f>IFERROR(__xludf.DUMMYFUNCTION("IFERROR(VLOOKUP(D590,
IMPORTRANGE(""https://docs.google.com/spreadsheets/d/1MjHtlUikwobi2MaWJgy7tfLeBmhj1u-dRFRs_8GwSoA/edit#gid=0"",""Gestores Escolares!D7:J""),3,0),""VERIFICAR CÓD SEC"")"),"SAMARA MACEDO DE ALMEIDA (ALÉM DE SER DIRETORA DO CEEP, A GESTÃO ADMINISTRA O COMPLEXO POLIESPORTIVO DE JAGUAQUARA)")</f>
        <v>SAMARA MACEDO DE ALMEIDA (ALÉM DE SER DIRETORA DO CEEP, A GESTÃO ADMINISTRA O COMPLEXO POLIESPORTIVO DE JAGUAQUARA)</v>
      </c>
      <c r="N590" s="82" t="str">
        <f>IFERROR(__xludf.DUMMYFUNCTION("IFERROR(VLOOKUP(D590,
IMPORTRANGE(""https://docs.google.com/spreadsheets/d/1MjHtlUikwobi2MaWJgy7tfLeBmhj1u-dRFRs_8GwSoA/edit#gid=0"",""Gestores Escolares!D7:J""),4,0),""VERIFICAR CÓD SEC"")"),"(73) 9 8817-1056")</f>
        <v>(73) 9 8817-1056</v>
      </c>
      <c r="O590" s="82" t="str">
        <f>IFERROR(__xludf.DUMMYFUNCTION("IFERROR(VLOOKUP(D590,
IMPORTRANGE(""https://docs.google.com/spreadsheets/d/1MjHtlUikwobi2MaWJgy7tfLeBmhj1u-dRFRs_8GwSoA/edit#gid=0"",""Gestores Escolares!D7:J""),6,0),""VERIFICAR CÓD SEC"")"),"VALERIA MARIA SOUSA BRITO ")</f>
        <v>VALERIA MARIA SOUSA BRITO </v>
      </c>
      <c r="P590" s="82" t="str">
        <f>IFERROR(__xludf.DUMMYFUNCTION("IFERROR(VLOOKUP(D590,
IMPORTRANGE(""https://docs.google.com/spreadsheets/d/1MjHtlUikwobi2MaWJgy7tfLeBmhj1u-dRFRs_8GwSoA/edit#gid=0"",""Gestores Escolares!D7:J""),7,0),""VERIFICAR CÓD SEC"")"),"(73) 9 9997-9174")</f>
        <v>(73) 9 9997-9174</v>
      </c>
      <c r="Q590" s="82" t="str">
        <f>IFERROR(__xludf.DUMMYFUNCTION("IFERROR(VLOOKUP(D590,
IMPORTRANGE(""https://docs.google.com/spreadsheets/d/1MjHtlUikwobi2MaWJgy7tfLeBmhj1u-dRFRs_8GwSoA/edit#gid=0"",""Gestores Escolares!D7:m""),9,0),""VERIFICAR CÓD SEC"")"),"ADRIANA DE SOUZA SANTOS")</f>
        <v>ADRIANA DE SOUZA SANTOS</v>
      </c>
      <c r="R590" s="82" t="str">
        <f>IFERROR(__xludf.DUMMYFUNCTION("IFERROR(VLOOKUP(D590,
IMPORTRANGE(""https://docs.google.com/spreadsheets/d/1MjHtlUikwobi2MaWJgy7tfLeBmhj1u-dRFRs_8GwSoA/edit#gid=0"",""Gestores Escolares!D7:m""),10,0),""VERIFICAR CÓD SEC"")"),"(73) 9 8828-4609")</f>
        <v>(73) 9 8828-4609</v>
      </c>
      <c r="S590" s="82"/>
      <c r="T590" s="138">
        <v>26.0</v>
      </c>
      <c r="U590" s="421" t="s">
        <v>8309</v>
      </c>
      <c r="V590" s="106">
        <v>0.0</v>
      </c>
      <c r="W590" s="107">
        <v>0.0</v>
      </c>
      <c r="X590" s="107">
        <v>0.0</v>
      </c>
      <c r="Y590" s="107">
        <v>0.0</v>
      </c>
      <c r="Z590" s="80">
        <f t="shared" si="1"/>
        <v>0</v>
      </c>
      <c r="AA590" s="106">
        <v>0.0</v>
      </c>
      <c r="AB590" s="107">
        <v>0.0</v>
      </c>
      <c r="AC590" s="107">
        <v>0.0</v>
      </c>
      <c r="AD590" s="107">
        <v>0.0</v>
      </c>
      <c r="AE590" s="80">
        <f t="shared" si="2"/>
        <v>0</v>
      </c>
      <c r="AF590" s="140">
        <v>177.0</v>
      </c>
      <c r="AG590" s="109">
        <v>164.0</v>
      </c>
      <c r="AH590" s="109">
        <v>0.0</v>
      </c>
      <c r="AI590" s="141">
        <v>67.0</v>
      </c>
      <c r="AJ590" s="80">
        <f t="shared" si="3"/>
        <v>408</v>
      </c>
      <c r="AK590" s="140">
        <v>0.0</v>
      </c>
      <c r="AL590" s="109">
        <v>0.0</v>
      </c>
      <c r="AM590" s="141">
        <v>0.0</v>
      </c>
      <c r="AN590" s="80">
        <f t="shared" si="4"/>
        <v>0</v>
      </c>
      <c r="AO590" s="140">
        <v>0.0</v>
      </c>
      <c r="AP590" s="109">
        <v>0.0</v>
      </c>
      <c r="AQ590" s="109">
        <v>120.0</v>
      </c>
      <c r="AR590" s="80">
        <f t="shared" si="5"/>
        <v>120</v>
      </c>
      <c r="AS590" s="110">
        <v>393.0</v>
      </c>
      <c r="AT590" s="110">
        <v>224.0</v>
      </c>
      <c r="AU590" s="110">
        <v>230.0</v>
      </c>
      <c r="AV590" s="142">
        <v>0.0</v>
      </c>
      <c r="AW590" s="80">
        <f t="shared" si="6"/>
        <v>847</v>
      </c>
      <c r="AX590" s="113">
        <f t="shared" si="7"/>
        <v>1375</v>
      </c>
      <c r="AY590" s="117">
        <f t="shared" si="8"/>
        <v>1025</v>
      </c>
      <c r="AZ590" s="120">
        <f t="shared" si="9"/>
        <v>350</v>
      </c>
      <c r="BA590" s="115">
        <v>0.0</v>
      </c>
      <c r="BB590" s="89">
        <f t="shared" si="10"/>
        <v>1375</v>
      </c>
      <c r="BC590" s="132" t="s">
        <v>178</v>
      </c>
      <c r="BD590" s="132" t="s">
        <v>779</v>
      </c>
      <c r="BE590" s="132" t="s">
        <v>178</v>
      </c>
      <c r="BF590" s="123"/>
      <c r="BG590" s="83">
        <v>1119445.0</v>
      </c>
      <c r="BH590" s="112"/>
      <c r="BI590" s="112">
        <v>21.0</v>
      </c>
      <c r="BJ590" s="98" t="s">
        <v>284</v>
      </c>
      <c r="BK590" s="99">
        <f t="shared" si="11"/>
        <v>67</v>
      </c>
      <c r="BL590" s="99">
        <f t="shared" si="12"/>
        <v>958</v>
      </c>
      <c r="BM590" s="99" t="str">
        <f>IFERROR(__xludf.DUMMYFUNCTION("IFERROR(VLOOKUP(BG590,IMPORTRANGE(""https://docs.google.com/spreadsheets/d/1juPI-Fb8LD0YtltB2mlGEnp_R3UVu1t3wSFPzgCyHXE/edit?gid=0#gid=0"",""GERAL!A2:C""),3,0),""-"")"),"-")</f>
        <v>-</v>
      </c>
    </row>
    <row r="591" ht="15.75" customHeight="1">
      <c r="A591" s="111" t="s">
        <v>723</v>
      </c>
      <c r="B591" s="83" t="s">
        <v>2081</v>
      </c>
      <c r="C591" s="83" t="s">
        <v>164</v>
      </c>
      <c r="D591" s="112">
        <v>1119461.0</v>
      </c>
      <c r="E591" s="83">
        <v>1178628.0</v>
      </c>
      <c r="F591" s="98">
        <v>2.949177E7</v>
      </c>
      <c r="G591" s="184" t="s">
        <v>2711</v>
      </c>
      <c r="H591" s="91" t="s">
        <v>2712</v>
      </c>
      <c r="I591" s="172" t="s">
        <v>2713</v>
      </c>
      <c r="J591" s="83" t="s">
        <v>2714</v>
      </c>
      <c r="K591" s="83" t="s">
        <v>168</v>
      </c>
      <c r="L591" s="83" t="s">
        <v>169</v>
      </c>
      <c r="M591" s="82" t="str">
        <f>IFERROR(__xludf.DUMMYFUNCTION("IFERROR(VLOOKUP(D591,
IMPORTRANGE(""https://docs.google.com/spreadsheets/d/1MjHtlUikwobi2MaWJgy7tfLeBmhj1u-dRFRs_8GwSoA/edit#gid=0"",""Gestores Escolares!D7:J""),3,0),""VERIFICAR CÓD SEC"")"),"ANTONIO EDEZIO SANTOS DE SOUSA")</f>
        <v>ANTONIO EDEZIO SANTOS DE SOUSA</v>
      </c>
      <c r="N591" s="82" t="str">
        <f>IFERROR(__xludf.DUMMYFUNCTION("IFERROR(VLOOKUP(D591,
IMPORTRANGE(""https://docs.google.com/spreadsheets/d/1MjHtlUikwobi2MaWJgy7tfLeBmhj1u-dRFRs_8GwSoA/edit#gid=0"",""Gestores Escolares!D7:J""),4,0),""VERIFICAR CÓD SEC"")"),"(75) 9 8886-6646")</f>
        <v>(75) 9 8886-6646</v>
      </c>
      <c r="O591" s="82" t="str">
        <f>IFERROR(__xludf.DUMMYFUNCTION("IFERROR(VLOOKUP(D591,
IMPORTRANGE(""https://docs.google.com/spreadsheets/d/1MjHtlUikwobi2MaWJgy7tfLeBmhj1u-dRFRs_8GwSoA/edit#gid=0"",""Gestores Escolares!D7:J""),6,0),""VERIFICAR CÓD SEC"")"),"LOURIVAL BRITO GUIMARAES")</f>
        <v>LOURIVAL BRITO GUIMARAES</v>
      </c>
      <c r="P591" s="82" t="str">
        <f>IFERROR(__xludf.DUMMYFUNCTION("IFERROR(VLOOKUP(D591,
IMPORTRANGE(""https://docs.google.com/spreadsheets/d/1MjHtlUikwobi2MaWJgy7tfLeBmhj1u-dRFRs_8GwSoA/edit#gid=0"",""Gestores Escolares!D7:J""),7,0),""VERIFICAR CÓD SEC"")"),"(73) 9 9102-1102/
9 8821-1932")</f>
        <v>(73) 9 9102-1102/
9 8821-1932</v>
      </c>
      <c r="Q591" s="82" t="str">
        <f>IFERROR(__xludf.DUMMYFUNCTION("IFERROR(VLOOKUP(D591,
IMPORTRANGE(""https://docs.google.com/spreadsheets/d/1MjHtlUikwobi2MaWJgy7tfLeBmhj1u-dRFRs_8GwSoA/edit#gid=0"",""Gestores Escolares!D7:m""),9,0),""VERIFICAR CÓD SEC"")"),"")</f>
        <v/>
      </c>
      <c r="R591" s="82" t="str">
        <f>IFERROR(__xludf.DUMMYFUNCTION("IFERROR(VLOOKUP(D591,
IMPORTRANGE(""https://docs.google.com/spreadsheets/d/1MjHtlUikwobi2MaWJgy7tfLeBmhj1u-dRFRs_8GwSoA/edit#gid=0"",""Gestores Escolares!D7:m""),10,0),""VERIFICAR CÓD SEC"")"),"")</f>
        <v/>
      </c>
      <c r="S591" s="82"/>
      <c r="T591" s="138">
        <v>3.0</v>
      </c>
      <c r="U591" s="139">
        <v>3.0</v>
      </c>
      <c r="V591" s="106">
        <v>0.0</v>
      </c>
      <c r="W591" s="107">
        <v>0.0</v>
      </c>
      <c r="X591" s="107">
        <v>0.0</v>
      </c>
      <c r="Y591" s="107">
        <v>0.0</v>
      </c>
      <c r="Z591" s="80">
        <f t="shared" si="1"/>
        <v>0</v>
      </c>
      <c r="AA591" s="106">
        <v>0.0</v>
      </c>
      <c r="AB591" s="107">
        <v>0.0</v>
      </c>
      <c r="AC591" s="107">
        <v>0.0</v>
      </c>
      <c r="AD591" s="107">
        <v>0.0</v>
      </c>
      <c r="AE591" s="80">
        <f t="shared" si="2"/>
        <v>0</v>
      </c>
      <c r="AF591" s="140">
        <v>38.0</v>
      </c>
      <c r="AG591" s="109">
        <v>28.0</v>
      </c>
      <c r="AH591" s="109">
        <v>0.0</v>
      </c>
      <c r="AI591" s="141">
        <v>0.0</v>
      </c>
      <c r="AJ591" s="80">
        <f t="shared" si="3"/>
        <v>66</v>
      </c>
      <c r="AK591" s="140">
        <v>0.0</v>
      </c>
      <c r="AL591" s="109">
        <v>0.0</v>
      </c>
      <c r="AM591" s="141">
        <v>0.0</v>
      </c>
      <c r="AN591" s="80">
        <f t="shared" si="4"/>
        <v>0</v>
      </c>
      <c r="AO591" s="140">
        <v>0.0</v>
      </c>
      <c r="AP591" s="109">
        <v>0.0</v>
      </c>
      <c r="AQ591" s="109">
        <v>36.0</v>
      </c>
      <c r="AR591" s="80">
        <f t="shared" si="5"/>
        <v>36</v>
      </c>
      <c r="AS591" s="110">
        <v>0.0</v>
      </c>
      <c r="AT591" s="110">
        <v>0.0</v>
      </c>
      <c r="AU591" s="110">
        <v>0.0</v>
      </c>
      <c r="AV591" s="142">
        <v>0.0</v>
      </c>
      <c r="AW591" s="80">
        <f t="shared" si="6"/>
        <v>0</v>
      </c>
      <c r="AX591" s="113">
        <f t="shared" si="7"/>
        <v>102</v>
      </c>
      <c r="AY591" s="117">
        <f t="shared" si="8"/>
        <v>66</v>
      </c>
      <c r="AZ591" s="120">
        <f t="shared" si="9"/>
        <v>36</v>
      </c>
      <c r="BA591" s="115">
        <v>0.0</v>
      </c>
      <c r="BB591" s="89">
        <f t="shared" si="10"/>
        <v>102</v>
      </c>
      <c r="BC591" s="132" t="s">
        <v>373</v>
      </c>
      <c r="BD591" s="132" t="s">
        <v>178</v>
      </c>
      <c r="BE591" s="132" t="s">
        <v>178</v>
      </c>
      <c r="BF591" s="123"/>
      <c r="BG591" s="83">
        <v>1178628.0</v>
      </c>
      <c r="BH591" s="112"/>
      <c r="BI591" s="112">
        <v>3.0</v>
      </c>
      <c r="BJ591" s="98" t="s">
        <v>155</v>
      </c>
      <c r="BK591" s="99">
        <f t="shared" si="11"/>
        <v>0</v>
      </c>
      <c r="BL591" s="99">
        <f t="shared" si="12"/>
        <v>66</v>
      </c>
      <c r="BM591" s="99" t="str">
        <f>IFERROR(__xludf.DUMMYFUNCTION("IFERROR(VLOOKUP(BG591,IMPORTRANGE(""https://docs.google.com/spreadsheets/d/1juPI-Fb8LD0YtltB2mlGEnp_R3UVu1t3wSFPzgCyHXE/edit?gid=0#gid=0"",""GERAL!A2:C""),3,0),""-"")"),"CAMPO")</f>
        <v>CAMPO</v>
      </c>
    </row>
    <row r="592" ht="15.75" customHeight="1">
      <c r="A592" s="111" t="s">
        <v>723</v>
      </c>
      <c r="B592" s="83" t="s">
        <v>2720</v>
      </c>
      <c r="C592" s="83" t="s">
        <v>68</v>
      </c>
      <c r="D592" s="112">
        <v>1110308.0</v>
      </c>
      <c r="E592" s="83"/>
      <c r="F592" s="83">
        <v>2.9229839E7</v>
      </c>
      <c r="G592" s="153" t="s">
        <v>2721</v>
      </c>
      <c r="H592" s="108" t="s">
        <v>2722</v>
      </c>
      <c r="I592" s="83" t="s">
        <v>149</v>
      </c>
      <c r="J592" s="83" t="s">
        <v>150</v>
      </c>
      <c r="K592" s="83" t="s">
        <v>151</v>
      </c>
      <c r="L592" s="83" t="s">
        <v>230</v>
      </c>
      <c r="M592" s="82" t="str">
        <f>IFERROR(__xludf.DUMMYFUNCTION("IFERROR(VLOOKUP(D592,
IMPORTRANGE(""https://docs.google.com/spreadsheets/d/1MjHtlUikwobi2MaWJgy7tfLeBmhj1u-dRFRs_8GwSoA/edit#gid=0"",""Gestores Escolares!D7:J""),3,0),""VERIFICAR CÓD SEC"")"),"GIVANILSON JESUS DE SOUZA")</f>
        <v>GIVANILSON JESUS DE SOUZA</v>
      </c>
      <c r="N592" s="82" t="str">
        <f>IFERROR(__xludf.DUMMYFUNCTION("IFERROR(VLOOKUP(D592,
IMPORTRANGE(""https://docs.google.com/spreadsheets/d/1MjHtlUikwobi2MaWJgy7tfLeBmhj1u-dRFRs_8GwSoA/edit#gid=0"",""Gestores Escolares!D7:J""),4,0),""VERIFICAR CÓD SEC"")"),"(75) 9 8809-3487")</f>
        <v>(75) 9 8809-3487</v>
      </c>
      <c r="O592" s="82" t="str">
        <f>IFERROR(__xludf.DUMMYFUNCTION("IFERROR(VLOOKUP(D592,
IMPORTRANGE(""https://docs.google.com/spreadsheets/d/1MjHtlUikwobi2MaWJgy7tfLeBmhj1u-dRFRs_8GwSoA/edit#gid=0"",""Gestores Escolares!D7:J""),6,0),""VERIFICAR CÓD SEC"")"),"UERIC SILVA OLIVEIRA")</f>
        <v>UERIC SILVA OLIVEIRA</v>
      </c>
      <c r="P592" s="82" t="str">
        <f>IFERROR(__xludf.DUMMYFUNCTION("IFERROR(VLOOKUP(D592,
IMPORTRANGE(""https://docs.google.com/spreadsheets/d/1MjHtlUikwobi2MaWJgy7tfLeBmhj1u-dRFRs_8GwSoA/edit#gid=0"",""Gestores Escolares!D7:J""),7,0),""VERIFICAR CÓD SEC"")"),"(75) 9 8841-1622")</f>
        <v>(75) 9 8841-1622</v>
      </c>
      <c r="Q592" s="82" t="str">
        <f>IFERROR(__xludf.DUMMYFUNCTION("IFERROR(VLOOKUP(D592,
IMPORTRANGE(""https://docs.google.com/spreadsheets/d/1MjHtlUikwobi2MaWJgy7tfLeBmhj1u-dRFRs_8GwSoA/edit#gid=0"",""Gestores Escolares!D7:m""),9,0),""VERIFICAR CÓD SEC"")"),"MARCOS DE SENA SANTOS")</f>
        <v>MARCOS DE SENA SANTOS</v>
      </c>
      <c r="R592" s="82" t="str">
        <f>IFERROR(__xludf.DUMMYFUNCTION("IFERROR(VLOOKUP(D592,
IMPORTRANGE(""https://docs.google.com/spreadsheets/d/1MjHtlUikwobi2MaWJgy7tfLeBmhj1u-dRFRs_8GwSoA/edit#gid=0"",""Gestores Escolares!D7:m""),10,0),""VERIFICAR CÓD SEC"")"),"(75) 9 8876-7927")</f>
        <v>(75) 9 8876-7927</v>
      </c>
      <c r="S592" s="82"/>
      <c r="T592" s="138">
        <v>8.0</v>
      </c>
      <c r="U592" s="388">
        <v>12.0</v>
      </c>
      <c r="V592" s="106">
        <v>0.0</v>
      </c>
      <c r="W592" s="107">
        <v>0.0</v>
      </c>
      <c r="X592" s="107">
        <v>0.0</v>
      </c>
      <c r="Y592" s="107">
        <v>0.0</v>
      </c>
      <c r="Z592" s="80">
        <f t="shared" si="1"/>
        <v>0</v>
      </c>
      <c r="AA592" s="106">
        <v>0.0</v>
      </c>
      <c r="AB592" s="107">
        <v>0.0</v>
      </c>
      <c r="AC592" s="107">
        <v>0.0</v>
      </c>
      <c r="AD592" s="107">
        <v>0.0</v>
      </c>
      <c r="AE592" s="80">
        <f t="shared" si="2"/>
        <v>0</v>
      </c>
      <c r="AF592" s="140">
        <v>0.0</v>
      </c>
      <c r="AG592" s="109">
        <v>0.0</v>
      </c>
      <c r="AH592" s="109">
        <v>0.0</v>
      </c>
      <c r="AI592" s="141">
        <v>370.0</v>
      </c>
      <c r="AJ592" s="80">
        <f t="shared" si="3"/>
        <v>370</v>
      </c>
      <c r="AK592" s="140">
        <v>0.0</v>
      </c>
      <c r="AL592" s="109">
        <v>0.0</v>
      </c>
      <c r="AM592" s="141">
        <v>0.0</v>
      </c>
      <c r="AN592" s="80">
        <f t="shared" si="4"/>
        <v>0</v>
      </c>
      <c r="AO592" s="140">
        <v>0.0</v>
      </c>
      <c r="AP592" s="109">
        <v>0.0</v>
      </c>
      <c r="AQ592" s="109">
        <v>193.0</v>
      </c>
      <c r="AR592" s="80">
        <f t="shared" si="5"/>
        <v>193</v>
      </c>
      <c r="AS592" s="110">
        <v>0.0</v>
      </c>
      <c r="AT592" s="110">
        <v>0.0</v>
      </c>
      <c r="AU592" s="110">
        <v>0.0</v>
      </c>
      <c r="AV592" s="142">
        <v>49.0</v>
      </c>
      <c r="AW592" s="80">
        <f t="shared" si="6"/>
        <v>49</v>
      </c>
      <c r="AX592" s="113">
        <f t="shared" si="7"/>
        <v>612</v>
      </c>
      <c r="AY592" s="117">
        <f t="shared" si="8"/>
        <v>419</v>
      </c>
      <c r="AZ592" s="120">
        <f t="shared" si="9"/>
        <v>193</v>
      </c>
      <c r="BA592" s="115">
        <v>0.0</v>
      </c>
      <c r="BB592" s="89">
        <f t="shared" si="10"/>
        <v>612</v>
      </c>
      <c r="BC592" s="132" t="s">
        <v>178</v>
      </c>
      <c r="BD592" s="132" t="s">
        <v>178</v>
      </c>
      <c r="BE592" s="132" t="s">
        <v>178</v>
      </c>
      <c r="BF592" s="123"/>
      <c r="BG592" s="83">
        <v>1110308.0</v>
      </c>
      <c r="BH592" s="112"/>
      <c r="BI592" s="112">
        <v>9.0</v>
      </c>
      <c r="BJ592" s="98" t="s">
        <v>162</v>
      </c>
      <c r="BK592" s="99">
        <f t="shared" si="11"/>
        <v>419</v>
      </c>
      <c r="BL592" s="99">
        <f t="shared" si="12"/>
        <v>0</v>
      </c>
      <c r="BM592" s="99" t="str">
        <f>IFERROR(__xludf.DUMMYFUNCTION("IFERROR(VLOOKUP(BG592,IMPORTRANGE(""https://docs.google.com/spreadsheets/d/1juPI-Fb8LD0YtltB2mlGEnp_R3UVu1t3wSFPzgCyHXE/edit?gid=0#gid=0"",""GERAL!A2:C""),3,0),""-"")"),"-")</f>
        <v>-</v>
      </c>
    </row>
    <row r="593" ht="15.75" customHeight="1">
      <c r="A593" s="111" t="s">
        <v>723</v>
      </c>
      <c r="B593" s="83" t="s">
        <v>2725</v>
      </c>
      <c r="C593" s="83" t="s">
        <v>68</v>
      </c>
      <c r="D593" s="112">
        <v>1118066.0</v>
      </c>
      <c r="E593" s="83"/>
      <c r="F593" s="83">
        <v>2.9230985E7</v>
      </c>
      <c r="G593" s="119" t="s">
        <v>2726</v>
      </c>
      <c r="H593" s="91" t="s">
        <v>2727</v>
      </c>
      <c r="I593" s="83" t="s">
        <v>149</v>
      </c>
      <c r="J593" s="83" t="s">
        <v>150</v>
      </c>
      <c r="K593" s="83" t="s">
        <v>151</v>
      </c>
      <c r="L593" s="83" t="s">
        <v>169</v>
      </c>
      <c r="M593" s="82" t="str">
        <f>IFERROR(__xludf.DUMMYFUNCTION("IFERROR(VLOOKUP(D593,
IMPORTRANGE(""https://docs.google.com/spreadsheets/d/1MjHtlUikwobi2MaWJgy7tfLeBmhj1u-dRFRs_8GwSoA/edit#gid=0"",""Gestores Escolares!D7:J""),3,0),""VERIFICAR CÓD SEC"")"),"MANOELA DE JESUS SANTOS")</f>
        <v>MANOELA DE JESUS SANTOS</v>
      </c>
      <c r="N593" s="82" t="str">
        <f>IFERROR(__xludf.DUMMYFUNCTION("IFERROR(VLOOKUP(D593,
IMPORTRANGE(""https://docs.google.com/spreadsheets/d/1MjHtlUikwobi2MaWJgy7tfLeBmhj1u-dRFRs_8GwSoA/edit#gid=0"",""Gestores Escolares!D7:J""),4,0),""VERIFICAR CÓD SEC"")"),"(73) 9 8167-1842")</f>
        <v>(73) 9 8167-1842</v>
      </c>
      <c r="O593" s="82" t="str">
        <f>IFERROR(__xludf.DUMMYFUNCTION("IFERROR(VLOOKUP(D593,
IMPORTRANGE(""https://docs.google.com/spreadsheets/d/1MjHtlUikwobi2MaWJgy7tfLeBmhj1u-dRFRs_8GwSoA/edit#gid=0"",""Gestores Escolares!D7:J""),6,0),""VERIFICAR CÓD SEC"")"),"MISSILENE DE MAGALHAES TERTO")</f>
        <v>MISSILENE DE MAGALHAES TERTO</v>
      </c>
      <c r="P593" s="82" t="str">
        <f>IFERROR(__xludf.DUMMYFUNCTION("IFERROR(VLOOKUP(D593,
IMPORTRANGE(""https://docs.google.com/spreadsheets/d/1MjHtlUikwobi2MaWJgy7tfLeBmhj1u-dRFRs_8GwSoA/edit#gid=0"",""Gestores Escolares!D7:J""),7,0),""VERIFICAR CÓD SEC"")"),"(77) 9 8812-7206")</f>
        <v>(77) 9 8812-7206</v>
      </c>
      <c r="Q593" s="82" t="str">
        <f>IFERROR(__xludf.DUMMYFUNCTION("IFERROR(VLOOKUP(D593,
IMPORTRANGE(""https://docs.google.com/spreadsheets/d/1MjHtlUikwobi2MaWJgy7tfLeBmhj1u-dRFRs_8GwSoA/edit#gid=0"",""Gestores Escolares!D7:m""),9,0),""VERIFICAR CÓD SEC"")"),"")</f>
        <v/>
      </c>
      <c r="R593" s="82" t="str">
        <f>IFERROR(__xludf.DUMMYFUNCTION("IFERROR(VLOOKUP(D593,
IMPORTRANGE(""https://docs.google.com/spreadsheets/d/1MjHtlUikwobi2MaWJgy7tfLeBmhj1u-dRFRs_8GwSoA/edit#gid=0"",""Gestores Escolares!D7:m""),10,0),""VERIFICAR CÓD SEC"")"),"")</f>
        <v/>
      </c>
      <c r="S593" s="82"/>
      <c r="T593" s="138">
        <v>5.0</v>
      </c>
      <c r="U593" s="388" t="s">
        <v>8374</v>
      </c>
      <c r="V593" s="106">
        <v>0.0</v>
      </c>
      <c r="W593" s="107">
        <v>0.0</v>
      </c>
      <c r="X593" s="107">
        <v>0.0</v>
      </c>
      <c r="Y593" s="107">
        <v>0.0</v>
      </c>
      <c r="Z593" s="80">
        <f t="shared" si="1"/>
        <v>0</v>
      </c>
      <c r="AA593" s="106">
        <v>0.0</v>
      </c>
      <c r="AB593" s="107">
        <v>0.0</v>
      </c>
      <c r="AC593" s="107">
        <v>0.0</v>
      </c>
      <c r="AD593" s="107">
        <v>0.0</v>
      </c>
      <c r="AE593" s="80">
        <f t="shared" si="2"/>
        <v>0</v>
      </c>
      <c r="AF593" s="140">
        <v>0.0</v>
      </c>
      <c r="AG593" s="109">
        <v>43.0</v>
      </c>
      <c r="AH593" s="109">
        <v>0.0</v>
      </c>
      <c r="AI593" s="141">
        <v>21.0</v>
      </c>
      <c r="AJ593" s="80">
        <f t="shared" si="3"/>
        <v>64</v>
      </c>
      <c r="AK593" s="140">
        <v>0.0</v>
      </c>
      <c r="AL593" s="109">
        <v>0.0</v>
      </c>
      <c r="AM593" s="141">
        <v>0.0</v>
      </c>
      <c r="AN593" s="80">
        <f t="shared" si="4"/>
        <v>0</v>
      </c>
      <c r="AO593" s="140">
        <v>0.0</v>
      </c>
      <c r="AP593" s="109">
        <v>0.0</v>
      </c>
      <c r="AQ593" s="109">
        <v>40.0</v>
      </c>
      <c r="AR593" s="80">
        <f t="shared" si="5"/>
        <v>40</v>
      </c>
      <c r="AS593" s="110">
        <v>0.0</v>
      </c>
      <c r="AT593" s="110">
        <v>0.0</v>
      </c>
      <c r="AU593" s="110">
        <v>27.0</v>
      </c>
      <c r="AV593" s="142">
        <v>62.0</v>
      </c>
      <c r="AW593" s="80">
        <f t="shared" si="6"/>
        <v>89</v>
      </c>
      <c r="AX593" s="113">
        <f t="shared" si="7"/>
        <v>193</v>
      </c>
      <c r="AY593" s="117">
        <f t="shared" si="8"/>
        <v>126</v>
      </c>
      <c r="AZ593" s="120">
        <f t="shared" si="9"/>
        <v>67</v>
      </c>
      <c r="BA593" s="115">
        <v>0.0</v>
      </c>
      <c r="BB593" s="89">
        <f t="shared" si="10"/>
        <v>193</v>
      </c>
      <c r="BC593" s="132" t="s">
        <v>178</v>
      </c>
      <c r="BD593" s="132" t="s">
        <v>178</v>
      </c>
      <c r="BE593" s="132" t="s">
        <v>178</v>
      </c>
      <c r="BF593" s="123"/>
      <c r="BG593" s="83">
        <v>1118066.0</v>
      </c>
      <c r="BH593" s="112"/>
      <c r="BI593" s="112">
        <v>6.0</v>
      </c>
      <c r="BJ593" s="98" t="s">
        <v>155</v>
      </c>
      <c r="BK593" s="99">
        <f t="shared" si="11"/>
        <v>83</v>
      </c>
      <c r="BL593" s="99">
        <f t="shared" si="12"/>
        <v>43</v>
      </c>
      <c r="BM593" s="99" t="str">
        <f>IFERROR(__xludf.DUMMYFUNCTION("IFERROR(VLOOKUP(BG593,IMPORTRANGE(""https://docs.google.com/spreadsheets/d/1juPI-Fb8LD0YtltB2mlGEnp_R3UVu1t3wSFPzgCyHXE/edit?gid=0#gid=0"",""GERAL!A2:C""),3,0),""-"")"),"-")</f>
        <v>-</v>
      </c>
    </row>
    <row r="594" ht="15.75" customHeight="1">
      <c r="A594" s="111" t="s">
        <v>723</v>
      </c>
      <c r="B594" s="83" t="s">
        <v>2264</v>
      </c>
      <c r="C594" s="83" t="s">
        <v>68</v>
      </c>
      <c r="D594" s="112">
        <v>1178269.0</v>
      </c>
      <c r="E594" s="83"/>
      <c r="F594" s="83">
        <v>2.944769E7</v>
      </c>
      <c r="G594" s="119" t="s">
        <v>2734</v>
      </c>
      <c r="H594" s="91" t="s">
        <v>2735</v>
      </c>
      <c r="I594" s="83" t="s">
        <v>149</v>
      </c>
      <c r="J594" s="83" t="s">
        <v>150</v>
      </c>
      <c r="K594" s="83" t="s">
        <v>151</v>
      </c>
      <c r="L594" s="83" t="s">
        <v>230</v>
      </c>
      <c r="M594" s="82" t="str">
        <f>IFERROR(__xludf.DUMMYFUNCTION("IFERROR(VLOOKUP(D594,
IMPORTRANGE(""https://docs.google.com/spreadsheets/d/1MjHtlUikwobi2MaWJgy7tfLeBmhj1u-dRFRs_8GwSoA/edit#gid=0"",""Gestores Escolares!D7:J""),3,0),""VERIFICAR CÓD SEC"")"),"GILDENY SANTANA DE ANDRADE LIMA")</f>
        <v>GILDENY SANTANA DE ANDRADE LIMA</v>
      </c>
      <c r="N594" s="82" t="str">
        <f>IFERROR(__xludf.DUMMYFUNCTION("IFERROR(VLOOKUP(D594,
IMPORTRANGE(""https://docs.google.com/spreadsheets/d/1MjHtlUikwobi2MaWJgy7tfLeBmhj1u-dRFRs_8GwSoA/edit#gid=0"",""Gestores Escolares!D7:J""),4,0),""VERIFICAR CÓD SEC"")"),"(75) 9 9951-8890")</f>
        <v>(75) 9 9951-8890</v>
      </c>
      <c r="O594" s="82" t="str">
        <f>IFERROR(__xludf.DUMMYFUNCTION("IFERROR(VLOOKUP(D594,
IMPORTRANGE(""https://docs.google.com/spreadsheets/d/1MjHtlUikwobi2MaWJgy7tfLeBmhj1u-dRFRs_8GwSoA/edit#gid=0"",""Gestores Escolares!D7:J""),6,0),""VERIFICAR CÓD SEC"")"),"EDILEUSA MARCIA DA SILVA")</f>
        <v>EDILEUSA MARCIA DA SILVA</v>
      </c>
      <c r="P594" s="82" t="str">
        <f>IFERROR(__xludf.DUMMYFUNCTION("IFERROR(VLOOKUP(D594,
IMPORTRANGE(""https://docs.google.com/spreadsheets/d/1MjHtlUikwobi2MaWJgy7tfLeBmhj1u-dRFRs_8GwSoA/edit#gid=0"",""Gestores Escolares!D7:J""),7,0),""VERIFICAR CÓD SEC"")"),"(75) 9 8881-2134")</f>
        <v>(75) 9 8881-2134</v>
      </c>
      <c r="Q594" s="82" t="str">
        <f>IFERROR(__xludf.DUMMYFUNCTION("IFERROR(VLOOKUP(D594,
IMPORTRANGE(""https://docs.google.com/spreadsheets/d/1MjHtlUikwobi2MaWJgy7tfLeBmhj1u-dRFRs_8GwSoA/edit#gid=0"",""Gestores Escolares!D7:m""),9,0),""VERIFICAR CÓD SEC"")"),"ALIRIO JOSE DA CRUZ NETO")</f>
        <v>ALIRIO JOSE DA CRUZ NETO</v>
      </c>
      <c r="R594" s="82" t="str">
        <f>IFERROR(__xludf.DUMMYFUNCTION("IFERROR(VLOOKUP(D594,
IMPORTRANGE(""https://docs.google.com/spreadsheets/d/1MjHtlUikwobi2MaWJgy7tfLeBmhj1u-dRFRs_8GwSoA/edit#gid=0"",""Gestores Escolares!D7:m""),10,0),""VERIFICAR CÓD SEC"")"),"(75) 9 8117-1505")</f>
        <v>(75) 9 8117-1505</v>
      </c>
      <c r="S594" s="82"/>
      <c r="T594" s="138">
        <v>8.0</v>
      </c>
      <c r="U594" s="388" t="s">
        <v>8394</v>
      </c>
      <c r="V594" s="106">
        <v>0.0</v>
      </c>
      <c r="W594" s="107">
        <v>0.0</v>
      </c>
      <c r="X594" s="107">
        <v>0.0</v>
      </c>
      <c r="Y594" s="107">
        <v>0.0</v>
      </c>
      <c r="Z594" s="80">
        <f t="shared" si="1"/>
        <v>0</v>
      </c>
      <c r="AA594" s="106">
        <v>0.0</v>
      </c>
      <c r="AB594" s="107">
        <v>0.0</v>
      </c>
      <c r="AC594" s="107">
        <v>0.0</v>
      </c>
      <c r="AD594" s="107">
        <v>0.0</v>
      </c>
      <c r="AE594" s="80">
        <f t="shared" si="2"/>
        <v>0</v>
      </c>
      <c r="AF594" s="140">
        <v>458.0</v>
      </c>
      <c r="AG594" s="109">
        <v>364.0</v>
      </c>
      <c r="AH594" s="109">
        <v>0.0</v>
      </c>
      <c r="AI594" s="141">
        <v>77.0</v>
      </c>
      <c r="AJ594" s="80">
        <f t="shared" si="3"/>
        <v>899</v>
      </c>
      <c r="AK594" s="140">
        <v>0.0</v>
      </c>
      <c r="AL594" s="109">
        <v>0.0</v>
      </c>
      <c r="AM594" s="141">
        <v>0.0</v>
      </c>
      <c r="AN594" s="80">
        <f t="shared" si="4"/>
        <v>0</v>
      </c>
      <c r="AO594" s="140">
        <v>0.0</v>
      </c>
      <c r="AP594" s="109">
        <v>0.0</v>
      </c>
      <c r="AQ594" s="109">
        <v>118.0</v>
      </c>
      <c r="AR594" s="80">
        <f t="shared" si="5"/>
        <v>118</v>
      </c>
      <c r="AS594" s="110">
        <v>51.0</v>
      </c>
      <c r="AT594" s="110">
        <v>0.0</v>
      </c>
      <c r="AU594" s="110">
        <v>0.0</v>
      </c>
      <c r="AV594" s="142">
        <v>31.0</v>
      </c>
      <c r="AW594" s="80">
        <f t="shared" si="6"/>
        <v>82</v>
      </c>
      <c r="AX594" s="113">
        <f t="shared" si="7"/>
        <v>1099</v>
      </c>
      <c r="AY594" s="117">
        <f t="shared" si="8"/>
        <v>981</v>
      </c>
      <c r="AZ594" s="120">
        <f t="shared" si="9"/>
        <v>118</v>
      </c>
      <c r="BA594" s="115">
        <v>0.0</v>
      </c>
      <c r="BB594" s="89">
        <f t="shared" si="10"/>
        <v>1099</v>
      </c>
      <c r="BC594" s="132" t="s">
        <v>178</v>
      </c>
      <c r="BD594" s="132" t="s">
        <v>178</v>
      </c>
      <c r="BE594" s="132" t="s">
        <v>178</v>
      </c>
      <c r="BF594" s="123"/>
      <c r="BG594" s="83">
        <v>1178269.0</v>
      </c>
      <c r="BH594" s="112"/>
      <c r="BI594" s="112">
        <v>16.0</v>
      </c>
      <c r="BJ594" s="98" t="s">
        <v>176</v>
      </c>
      <c r="BK594" s="99">
        <f t="shared" si="11"/>
        <v>108</v>
      </c>
      <c r="BL594" s="99">
        <f t="shared" si="12"/>
        <v>873</v>
      </c>
      <c r="BM594" s="99" t="str">
        <f>IFERROR(__xludf.DUMMYFUNCTION("IFERROR(VLOOKUP(BG594,IMPORTRANGE(""https://docs.google.com/spreadsheets/d/1juPI-Fb8LD0YtltB2mlGEnp_R3UVu1t3wSFPzgCyHXE/edit?gid=0#gid=0"",""GERAL!A2:C""),3,0),""-"")"),"-")</f>
        <v>-</v>
      </c>
    </row>
    <row r="595" ht="15.75" customHeight="1">
      <c r="A595" s="111" t="s">
        <v>723</v>
      </c>
      <c r="B595" s="83" t="s">
        <v>2737</v>
      </c>
      <c r="C595" s="83" t="s">
        <v>68</v>
      </c>
      <c r="D595" s="112">
        <v>1166796.0</v>
      </c>
      <c r="E595" s="83"/>
      <c r="F595" s="83">
        <v>2.9231868E7</v>
      </c>
      <c r="G595" s="119" t="s">
        <v>2738</v>
      </c>
      <c r="H595" s="91" t="s">
        <v>2739</v>
      </c>
      <c r="I595" s="83" t="s">
        <v>149</v>
      </c>
      <c r="J595" s="83" t="s">
        <v>150</v>
      </c>
      <c r="K595" s="83" t="s">
        <v>151</v>
      </c>
      <c r="L595" s="83" t="s">
        <v>76</v>
      </c>
      <c r="M595" s="82" t="str">
        <f>IFERROR(__xludf.DUMMYFUNCTION("IFERROR(VLOOKUP(D595,
IMPORTRANGE(""https://docs.google.com/spreadsheets/d/1MjHtlUikwobi2MaWJgy7tfLeBmhj1u-dRFRs_8GwSoA/edit#gid=0"",""Gestores Escolares!D7:J""),3,0),""VERIFICAR CÓD SEC"")"),"MIRIAN FERREIRA MOREIRA")</f>
        <v>MIRIAN FERREIRA MOREIRA</v>
      </c>
      <c r="N595" s="82" t="str">
        <f>IFERROR(__xludf.DUMMYFUNCTION("IFERROR(VLOOKUP(D595,
IMPORTRANGE(""https://docs.google.com/spreadsheets/d/1MjHtlUikwobi2MaWJgy7tfLeBmhj1u-dRFRs_8GwSoA/edit#gid=0"",""Gestores Escolares!D7:J""),4,0),""VERIFICAR CÓD SEC"")"),"(73) 9 9157-6679")</f>
        <v>(73) 9 9157-6679</v>
      </c>
      <c r="O595" s="82" t="str">
        <f>IFERROR(__xludf.DUMMYFUNCTION("IFERROR(VLOOKUP(D595,
IMPORTRANGE(""https://docs.google.com/spreadsheets/d/1MjHtlUikwobi2MaWJgy7tfLeBmhj1u-dRFRs_8GwSoA/edit#gid=0"",""Gestores Escolares!D7:J""),6,0),""VERIFICAR CÓD SEC"")"),"JOCÉLIO PEREIRA DE OLIVEIRA")</f>
        <v>JOCÉLIO PEREIRA DE OLIVEIRA</v>
      </c>
      <c r="P595" s="82" t="str">
        <f>IFERROR(__xludf.DUMMYFUNCTION("IFERROR(VLOOKUP(D595,
IMPORTRANGE(""https://docs.google.com/spreadsheets/d/1MjHtlUikwobi2MaWJgy7tfLeBmhj1u-dRFRs_8GwSoA/edit#gid=0"",""Gestores Escolares!D7:J""),7,0),""VERIFICAR CÓD SEC"")"),"(73) 9 9105-6775")</f>
        <v>(73) 9 9105-6775</v>
      </c>
      <c r="Q595" s="82" t="str">
        <f>IFERROR(__xludf.DUMMYFUNCTION("IFERROR(VLOOKUP(D595,
IMPORTRANGE(""https://docs.google.com/spreadsheets/d/1MjHtlUikwobi2MaWJgy7tfLeBmhj1u-dRFRs_8GwSoA/edit#gid=0"",""Gestores Escolares!D7:m""),9,0),""VERIFICAR CÓD SEC"")"),"")</f>
        <v/>
      </c>
      <c r="R595" s="82" t="str">
        <f>IFERROR(__xludf.DUMMYFUNCTION("IFERROR(VLOOKUP(D595,
IMPORTRANGE(""https://docs.google.com/spreadsheets/d/1MjHtlUikwobi2MaWJgy7tfLeBmhj1u-dRFRs_8GwSoA/edit#gid=0"",""Gestores Escolares!D7:m""),10,0),""VERIFICAR CÓD SEC"")"),"")</f>
        <v/>
      </c>
      <c r="S595" s="82"/>
      <c r="T595" s="138">
        <v>5.0</v>
      </c>
      <c r="U595" s="404" t="s">
        <v>8414</v>
      </c>
      <c r="V595" s="106">
        <v>0.0</v>
      </c>
      <c r="W595" s="107">
        <v>0.0</v>
      </c>
      <c r="X595" s="107">
        <v>0.0</v>
      </c>
      <c r="Y595" s="107">
        <v>0.0</v>
      </c>
      <c r="Z595" s="80">
        <f t="shared" si="1"/>
        <v>0</v>
      </c>
      <c r="AA595" s="106">
        <v>0.0</v>
      </c>
      <c r="AB595" s="107">
        <v>0.0</v>
      </c>
      <c r="AC595" s="107">
        <v>0.0</v>
      </c>
      <c r="AD595" s="107">
        <v>0.0</v>
      </c>
      <c r="AE595" s="80">
        <f t="shared" si="2"/>
        <v>0</v>
      </c>
      <c r="AF595" s="140">
        <v>108.0</v>
      </c>
      <c r="AG595" s="109">
        <v>65.0</v>
      </c>
      <c r="AH595" s="109">
        <v>0.0</v>
      </c>
      <c r="AI595" s="141">
        <v>0.0</v>
      </c>
      <c r="AJ595" s="80">
        <f t="shared" si="3"/>
        <v>173</v>
      </c>
      <c r="AK595" s="140">
        <v>0.0</v>
      </c>
      <c r="AL595" s="109">
        <v>0.0</v>
      </c>
      <c r="AM595" s="141">
        <v>0.0</v>
      </c>
      <c r="AN595" s="80">
        <f t="shared" si="4"/>
        <v>0</v>
      </c>
      <c r="AO595" s="140">
        <v>0.0</v>
      </c>
      <c r="AP595" s="109">
        <v>0.0</v>
      </c>
      <c r="AQ595" s="109">
        <v>94.0</v>
      </c>
      <c r="AR595" s="80">
        <f t="shared" si="5"/>
        <v>94</v>
      </c>
      <c r="AS595" s="110">
        <v>0.0</v>
      </c>
      <c r="AT595" s="110">
        <v>38.0</v>
      </c>
      <c r="AU595" s="110">
        <v>0.0</v>
      </c>
      <c r="AV595" s="142">
        <v>0.0</v>
      </c>
      <c r="AW595" s="80">
        <f t="shared" si="6"/>
        <v>38</v>
      </c>
      <c r="AX595" s="113">
        <f t="shared" si="7"/>
        <v>305</v>
      </c>
      <c r="AY595" s="117">
        <f t="shared" si="8"/>
        <v>211</v>
      </c>
      <c r="AZ595" s="120">
        <f t="shared" si="9"/>
        <v>94</v>
      </c>
      <c r="BA595" s="115">
        <v>0.0</v>
      </c>
      <c r="BB595" s="89">
        <f t="shared" si="10"/>
        <v>305</v>
      </c>
      <c r="BC595" s="132" t="s">
        <v>178</v>
      </c>
      <c r="BD595" s="132" t="s">
        <v>178</v>
      </c>
      <c r="BE595" s="132" t="s">
        <v>178</v>
      </c>
      <c r="BF595" s="156"/>
      <c r="BG595" s="83">
        <v>1166796.0</v>
      </c>
      <c r="BH595" s="112"/>
      <c r="BI595" s="112">
        <v>5.0</v>
      </c>
      <c r="BJ595" s="98" t="s">
        <v>155</v>
      </c>
      <c r="BK595" s="99">
        <f t="shared" si="11"/>
        <v>0</v>
      </c>
      <c r="BL595" s="99">
        <f t="shared" si="12"/>
        <v>211</v>
      </c>
      <c r="BM595" s="99" t="str">
        <f>IFERROR(__xludf.DUMMYFUNCTION("IFERROR(VLOOKUP(BG595,IMPORTRANGE(""https://docs.google.com/spreadsheets/d/1juPI-Fb8LD0YtltB2mlGEnp_R3UVu1t3wSFPzgCyHXE/edit?gid=0#gid=0"",""GERAL!A2:C""),3,0),""-"")"),"-")</f>
        <v>-</v>
      </c>
    </row>
    <row r="596" ht="15.75" customHeight="1">
      <c r="A596" s="111" t="s">
        <v>723</v>
      </c>
      <c r="B596" s="83" t="s">
        <v>2269</v>
      </c>
      <c r="C596" s="83" t="s">
        <v>68</v>
      </c>
      <c r="D596" s="112">
        <v>1176455.0</v>
      </c>
      <c r="E596" s="83"/>
      <c r="F596" s="83">
        <v>2.9390109E7</v>
      </c>
      <c r="G596" s="119" t="s">
        <v>2744</v>
      </c>
      <c r="H596" s="91" t="s">
        <v>2745</v>
      </c>
      <c r="I596" s="172" t="s">
        <v>2746</v>
      </c>
      <c r="J596" s="136" t="s">
        <v>150</v>
      </c>
      <c r="K596" s="83" t="s">
        <v>151</v>
      </c>
      <c r="L596" s="83" t="s">
        <v>230</v>
      </c>
      <c r="M596" s="82" t="str">
        <f>IFERROR(__xludf.DUMMYFUNCTION("IFERROR(VLOOKUP(D596,
IMPORTRANGE(""https://docs.google.com/spreadsheets/d/1MjHtlUikwobi2MaWJgy7tfLeBmhj1u-dRFRs_8GwSoA/edit#gid=0"",""Gestores Escolares!D7:J""),3,0),""VERIFICAR CÓD SEC"")"),"ALEXSANDRA DA SILVA OLIVEIRA D AQUINO DE SOUZA ")</f>
        <v>ALEXSANDRA DA SILVA OLIVEIRA D AQUINO DE SOUZA </v>
      </c>
      <c r="N596" s="82" t="str">
        <f>IFERROR(__xludf.DUMMYFUNCTION("IFERROR(VLOOKUP(D596,
IMPORTRANGE(""https://docs.google.com/spreadsheets/d/1MjHtlUikwobi2MaWJgy7tfLeBmhj1u-dRFRs_8GwSoA/edit#gid=0"",""Gestores Escolares!D7:J""),4,0),""VERIFICAR CÓD SEC"")"),"(73) 9 9901-3180")</f>
        <v>(73) 9 9901-3180</v>
      </c>
      <c r="O596" s="82" t="str">
        <f>IFERROR(__xludf.DUMMYFUNCTION("IFERROR(VLOOKUP(D596,
IMPORTRANGE(""https://docs.google.com/spreadsheets/d/1MjHtlUikwobi2MaWJgy7tfLeBmhj1u-dRFRs_8GwSoA/edit#gid=0"",""Gestores Escolares!D7:J""),6,0),""VERIFICAR CÓD SEC"")"),"ANA PRISCILA CARDOSO FAUSTINO")</f>
        <v>ANA PRISCILA CARDOSO FAUSTINO</v>
      </c>
      <c r="P596" s="82" t="str">
        <f>IFERROR(__xludf.DUMMYFUNCTION("IFERROR(VLOOKUP(D596,
IMPORTRANGE(""https://docs.google.com/spreadsheets/d/1MjHtlUikwobi2MaWJgy7tfLeBmhj1u-dRFRs_8GwSoA/edit#gid=0"",""Gestores Escolares!D7:J""),7,0),""VERIFICAR CÓD SEC"")"),"(71) 9 9175-5613")</f>
        <v>(71) 9 9175-5613</v>
      </c>
      <c r="Q596" s="82" t="str">
        <f>IFERROR(__xludf.DUMMYFUNCTION("IFERROR(VLOOKUP(D596,
IMPORTRANGE(""https://docs.google.com/spreadsheets/d/1MjHtlUikwobi2MaWJgy7tfLeBmhj1u-dRFRs_8GwSoA/edit#gid=0"",""Gestores Escolares!D7:m""),9,0),""VERIFICAR CÓD SEC"")"),"FLAVIO GUIMARAES DE SOUZA")</f>
        <v>FLAVIO GUIMARAES DE SOUZA</v>
      </c>
      <c r="R596" s="82" t="str">
        <f>IFERROR(__xludf.DUMMYFUNCTION("IFERROR(VLOOKUP(D596,
IMPORTRANGE(""https://docs.google.com/spreadsheets/d/1MjHtlUikwobi2MaWJgy7tfLeBmhj1u-dRFRs_8GwSoA/edit#gid=0"",""Gestores Escolares!D7:m""),10,0),""VERIFICAR CÓD SEC"")"),"(73) 9 8805-3173")</f>
        <v>(73) 9 8805-3173</v>
      </c>
      <c r="S596" s="82"/>
      <c r="T596" s="138">
        <v>8.0</v>
      </c>
      <c r="U596" s="388" t="s">
        <v>8434</v>
      </c>
      <c r="V596" s="106">
        <v>0.0</v>
      </c>
      <c r="W596" s="107">
        <v>0.0</v>
      </c>
      <c r="X596" s="107">
        <v>0.0</v>
      </c>
      <c r="Y596" s="107">
        <v>0.0</v>
      </c>
      <c r="Z596" s="80">
        <f t="shared" si="1"/>
        <v>0</v>
      </c>
      <c r="AA596" s="106">
        <v>0.0</v>
      </c>
      <c r="AB596" s="107">
        <v>0.0</v>
      </c>
      <c r="AC596" s="107">
        <v>0.0</v>
      </c>
      <c r="AD596" s="107">
        <v>0.0</v>
      </c>
      <c r="AE596" s="80">
        <f t="shared" si="2"/>
        <v>0</v>
      </c>
      <c r="AF596" s="140">
        <v>155.0</v>
      </c>
      <c r="AG596" s="109">
        <v>94.0</v>
      </c>
      <c r="AH596" s="109">
        <v>0.0</v>
      </c>
      <c r="AI596" s="141">
        <v>373.0</v>
      </c>
      <c r="AJ596" s="80">
        <f t="shared" si="3"/>
        <v>622</v>
      </c>
      <c r="AK596" s="140">
        <v>0.0</v>
      </c>
      <c r="AL596" s="109">
        <v>0.0</v>
      </c>
      <c r="AM596" s="141">
        <v>0.0</v>
      </c>
      <c r="AN596" s="80">
        <f t="shared" si="4"/>
        <v>0</v>
      </c>
      <c r="AO596" s="140">
        <v>0.0</v>
      </c>
      <c r="AP596" s="109">
        <v>0.0</v>
      </c>
      <c r="AQ596" s="109">
        <v>109.0</v>
      </c>
      <c r="AR596" s="80">
        <f t="shared" si="5"/>
        <v>109</v>
      </c>
      <c r="AS596" s="110">
        <v>0.0</v>
      </c>
      <c r="AT596" s="110">
        <v>239.0</v>
      </c>
      <c r="AU596" s="110">
        <v>101.0</v>
      </c>
      <c r="AV596" s="142">
        <v>0.0</v>
      </c>
      <c r="AW596" s="80">
        <f t="shared" si="6"/>
        <v>340</v>
      </c>
      <c r="AX596" s="113">
        <f t="shared" si="7"/>
        <v>1071</v>
      </c>
      <c r="AY596" s="117">
        <f t="shared" si="8"/>
        <v>861</v>
      </c>
      <c r="AZ596" s="120">
        <f t="shared" si="9"/>
        <v>210</v>
      </c>
      <c r="BA596" s="115">
        <v>0.0</v>
      </c>
      <c r="BB596" s="89">
        <f t="shared" si="10"/>
        <v>1071</v>
      </c>
      <c r="BC596" s="132" t="s">
        <v>178</v>
      </c>
      <c r="BD596" s="132" t="s">
        <v>178</v>
      </c>
      <c r="BE596" s="132" t="s">
        <v>178</v>
      </c>
      <c r="BF596" s="156"/>
      <c r="BG596" s="83">
        <v>1176455.0</v>
      </c>
      <c r="BH596" s="112"/>
      <c r="BI596" s="112">
        <v>8.0</v>
      </c>
      <c r="BJ596" s="98" t="s">
        <v>162</v>
      </c>
      <c r="BK596" s="99">
        <f t="shared" si="11"/>
        <v>373</v>
      </c>
      <c r="BL596" s="99">
        <f t="shared" si="12"/>
        <v>488</v>
      </c>
      <c r="BM596" s="99" t="str">
        <f>IFERROR(__xludf.DUMMYFUNCTION("IFERROR(VLOOKUP(BG596,IMPORTRANGE(""https://docs.google.com/spreadsheets/d/1juPI-Fb8LD0YtltB2mlGEnp_R3UVu1t3wSFPzgCyHXE/edit?gid=0#gid=0"",""GERAL!A2:C""),3,0),""-"")"),"-")</f>
        <v>-</v>
      </c>
    </row>
    <row r="597" ht="15.75" customHeight="1">
      <c r="A597" s="111" t="s">
        <v>723</v>
      </c>
      <c r="B597" s="83" t="s">
        <v>2269</v>
      </c>
      <c r="C597" s="83" t="s">
        <v>164</v>
      </c>
      <c r="D597" s="112">
        <v>1176455.0</v>
      </c>
      <c r="E597" s="83">
        <v>1179707.0</v>
      </c>
      <c r="F597" s="98">
        <v>2.9493625E7</v>
      </c>
      <c r="G597" s="147" t="s">
        <v>2750</v>
      </c>
      <c r="H597" s="91" t="s">
        <v>2751</v>
      </c>
      <c r="I597" s="83" t="s">
        <v>149</v>
      </c>
      <c r="J597" s="98" t="s">
        <v>2752</v>
      </c>
      <c r="K597" s="98" t="s">
        <v>168</v>
      </c>
      <c r="L597" s="83" t="s">
        <v>512</v>
      </c>
      <c r="M597" s="82" t="str">
        <f>IFERROR(__xludf.DUMMYFUNCTION("IFERROR(VLOOKUP(D597,
IMPORTRANGE(""https://docs.google.com/spreadsheets/d/1MjHtlUikwobi2MaWJgy7tfLeBmhj1u-dRFRs_8GwSoA/edit#gid=0"",""Gestores Escolares!D7:J""),3,0),""VERIFICAR CÓD SEC"")"),"ALEXSANDRA DA SILVA OLIVEIRA D AQUINO DE SOUZA ")</f>
        <v>ALEXSANDRA DA SILVA OLIVEIRA D AQUINO DE SOUZA </v>
      </c>
      <c r="N597" s="82" t="str">
        <f>IFERROR(__xludf.DUMMYFUNCTION("IFERROR(VLOOKUP(D597,
IMPORTRANGE(""https://docs.google.com/spreadsheets/d/1MjHtlUikwobi2MaWJgy7tfLeBmhj1u-dRFRs_8GwSoA/edit#gid=0"",""Gestores Escolares!D7:J""),4,0),""VERIFICAR CÓD SEC"")"),"(73) 9 9901-3180")</f>
        <v>(73) 9 9901-3180</v>
      </c>
      <c r="O597" s="82" t="str">
        <f>IFERROR(__xludf.DUMMYFUNCTION("IFERROR(VLOOKUP(D597,
IMPORTRANGE(""https://docs.google.com/spreadsheets/d/1MjHtlUikwobi2MaWJgy7tfLeBmhj1u-dRFRs_8GwSoA/edit#gid=0"",""Gestores Escolares!D7:J""),6,0),""VERIFICAR CÓD SEC"")"),"ANA PRISCILA CARDOSO FAUSTINO")</f>
        <v>ANA PRISCILA CARDOSO FAUSTINO</v>
      </c>
      <c r="P597" s="82" t="str">
        <f>IFERROR(__xludf.DUMMYFUNCTION("IFERROR(VLOOKUP(D597,
IMPORTRANGE(""https://docs.google.com/spreadsheets/d/1MjHtlUikwobi2MaWJgy7tfLeBmhj1u-dRFRs_8GwSoA/edit#gid=0"",""Gestores Escolares!D7:J""),7,0),""VERIFICAR CÓD SEC"")"),"(71) 9 9175-5613")</f>
        <v>(71) 9 9175-5613</v>
      </c>
      <c r="Q597" s="82" t="str">
        <f>IFERROR(__xludf.DUMMYFUNCTION("IFERROR(VLOOKUP(D597,
IMPORTRANGE(""https://docs.google.com/spreadsheets/d/1MjHtlUikwobi2MaWJgy7tfLeBmhj1u-dRFRs_8GwSoA/edit#gid=0"",""Gestores Escolares!D7:m""),9,0),""VERIFICAR CÓD SEC"")"),"FLAVIO GUIMARAES DE SOUZA")</f>
        <v>FLAVIO GUIMARAES DE SOUZA</v>
      </c>
      <c r="R597" s="82" t="str">
        <f>IFERROR(__xludf.DUMMYFUNCTION("IFERROR(VLOOKUP(D597,
IMPORTRANGE(""https://docs.google.com/spreadsheets/d/1MjHtlUikwobi2MaWJgy7tfLeBmhj1u-dRFRs_8GwSoA/edit#gid=0"",""Gestores Escolares!D7:m""),10,0),""VERIFICAR CÓD SEC"")"),"(73) 9 8805-3173")</f>
        <v>(73) 9 8805-3173</v>
      </c>
      <c r="S597" s="82"/>
      <c r="T597" s="138">
        <v>4.0</v>
      </c>
      <c r="U597" s="388">
        <v>3.0</v>
      </c>
      <c r="V597" s="106">
        <v>0.0</v>
      </c>
      <c r="W597" s="107">
        <v>0.0</v>
      </c>
      <c r="X597" s="107">
        <v>0.0</v>
      </c>
      <c r="Y597" s="107">
        <v>0.0</v>
      </c>
      <c r="Z597" s="80">
        <f t="shared" si="1"/>
        <v>0</v>
      </c>
      <c r="AA597" s="106">
        <v>0.0</v>
      </c>
      <c r="AB597" s="107">
        <v>0.0</v>
      </c>
      <c r="AC597" s="107">
        <v>0.0</v>
      </c>
      <c r="AD597" s="107">
        <v>0.0</v>
      </c>
      <c r="AE597" s="80">
        <f t="shared" si="2"/>
        <v>0</v>
      </c>
      <c r="AF597" s="140">
        <v>0.0</v>
      </c>
      <c r="AG597" s="109">
        <v>0.0</v>
      </c>
      <c r="AH597" s="109">
        <v>0.0</v>
      </c>
      <c r="AI597" s="141">
        <v>0.0</v>
      </c>
      <c r="AJ597" s="80">
        <f t="shared" si="3"/>
        <v>0</v>
      </c>
      <c r="AK597" s="140">
        <v>0.0</v>
      </c>
      <c r="AL597" s="109">
        <v>0.0</v>
      </c>
      <c r="AM597" s="141">
        <v>0.0</v>
      </c>
      <c r="AN597" s="80">
        <f t="shared" si="4"/>
        <v>0</v>
      </c>
      <c r="AO597" s="140">
        <v>0.0</v>
      </c>
      <c r="AP597" s="109">
        <v>0.0</v>
      </c>
      <c r="AQ597" s="109">
        <v>13.0</v>
      </c>
      <c r="AR597" s="80">
        <f t="shared" si="5"/>
        <v>13</v>
      </c>
      <c r="AS597" s="110">
        <v>0.0</v>
      </c>
      <c r="AT597" s="110">
        <v>63.0</v>
      </c>
      <c r="AU597" s="110">
        <v>0.0</v>
      </c>
      <c r="AV597" s="142">
        <v>0.0</v>
      </c>
      <c r="AW597" s="80">
        <f t="shared" si="6"/>
        <v>63</v>
      </c>
      <c r="AX597" s="113">
        <f t="shared" si="7"/>
        <v>76</v>
      </c>
      <c r="AY597" s="117">
        <f t="shared" si="8"/>
        <v>63</v>
      </c>
      <c r="AZ597" s="120">
        <f t="shared" si="9"/>
        <v>13</v>
      </c>
      <c r="BA597" s="115">
        <v>0.0</v>
      </c>
      <c r="BB597" s="89">
        <f t="shared" si="10"/>
        <v>76</v>
      </c>
      <c r="BC597" s="132" t="s">
        <v>373</v>
      </c>
      <c r="BD597" s="132" t="s">
        <v>178</v>
      </c>
      <c r="BE597" s="132" t="s">
        <v>178</v>
      </c>
      <c r="BF597" s="156"/>
      <c r="BG597" s="83">
        <v>1179707.0</v>
      </c>
      <c r="BH597" s="112"/>
      <c r="BI597" s="112">
        <v>3.0</v>
      </c>
      <c r="BJ597" s="98" t="s">
        <v>155</v>
      </c>
      <c r="BK597" s="99">
        <f t="shared" si="11"/>
        <v>0</v>
      </c>
      <c r="BL597" s="99">
        <f t="shared" si="12"/>
        <v>63</v>
      </c>
      <c r="BM597" s="99" t="str">
        <f>IFERROR(__xludf.DUMMYFUNCTION("IFERROR(VLOOKUP(BG597,IMPORTRANGE(""https://docs.google.com/spreadsheets/d/1juPI-Fb8LD0YtltB2mlGEnp_R3UVu1t3wSFPzgCyHXE/edit?gid=0#gid=0"",""GERAL!A2:C""),3,0),""-"")"),"CAMPO")</f>
        <v>CAMPO</v>
      </c>
    </row>
    <row r="598" ht="15.75" customHeight="1">
      <c r="A598" s="111" t="s">
        <v>723</v>
      </c>
      <c r="B598" s="136" t="s">
        <v>2753</v>
      </c>
      <c r="C598" s="83" t="s">
        <v>68</v>
      </c>
      <c r="D598" s="112">
        <v>1179694.0</v>
      </c>
      <c r="E598" s="83"/>
      <c r="F598" s="83">
        <v>2.9479169E7</v>
      </c>
      <c r="G598" s="292" t="s">
        <v>2754</v>
      </c>
      <c r="H598" s="91" t="s">
        <v>2755</v>
      </c>
      <c r="I598" s="136" t="s">
        <v>149</v>
      </c>
      <c r="J598" s="136" t="s">
        <v>150</v>
      </c>
      <c r="K598" s="136" t="s">
        <v>151</v>
      </c>
      <c r="L598" s="136" t="s">
        <v>152</v>
      </c>
      <c r="M598" s="82" t="str">
        <f>IFERROR(__xludf.DUMMYFUNCTION("IFERROR(VLOOKUP(D598,
IMPORTRANGE(""https://docs.google.com/spreadsheets/d/1MjHtlUikwobi2MaWJgy7tfLeBmhj1u-dRFRs_8GwSoA/edit#gid=0"",""Gestores Escolares!D7:J""),3,0),""VERIFICAR CÓD SEC"")"),"JOSE PAULO ALMEIDA CERQUEIRA")</f>
        <v>JOSE PAULO ALMEIDA CERQUEIRA</v>
      </c>
      <c r="N598" s="82" t="str">
        <f>IFERROR(__xludf.DUMMYFUNCTION("IFERROR(VLOOKUP(D598,
IMPORTRANGE(""https://docs.google.com/spreadsheets/d/1MjHtlUikwobi2MaWJgy7tfLeBmhj1u-dRFRs_8GwSoA/edit#gid=0"",""Gestores Escolares!D7:J""),4,0),""VERIFICAR CÓD SEC"")"),"(75) 9 8171-0015")</f>
        <v>(75) 9 8171-0015</v>
      </c>
      <c r="O598" s="82" t="str">
        <f>IFERROR(__xludf.DUMMYFUNCTION("IFERROR(VLOOKUP(D598,
IMPORTRANGE(""https://docs.google.com/spreadsheets/d/1MjHtlUikwobi2MaWJgy7tfLeBmhj1u-dRFRs_8GwSoA/edit#gid=0"",""Gestores Escolares!D7:J""),6,0),""VERIFICAR CÓD SEC"")"),"JAMILI SOUZA COSTA DAMACENO")</f>
        <v>JAMILI SOUZA COSTA DAMACENO</v>
      </c>
      <c r="P598" s="82" t="str">
        <f>IFERROR(__xludf.DUMMYFUNCTION("IFERROR(VLOOKUP(D598,
IMPORTRANGE(""https://docs.google.com/spreadsheets/d/1MjHtlUikwobi2MaWJgy7tfLeBmhj1u-dRFRs_8GwSoA/edit#gid=0"",""Gestores Escolares!D7:J""),7,0),""VERIFICAR CÓD SEC"")"),"(75) 9 8104-9842")</f>
        <v>(75) 9 8104-9842</v>
      </c>
      <c r="Q598" s="82" t="str">
        <f>IFERROR(__xludf.DUMMYFUNCTION("IFERROR(VLOOKUP(D598,
IMPORTRANGE(""https://docs.google.com/spreadsheets/d/1MjHtlUikwobi2MaWJgy7tfLeBmhj1u-dRFRs_8GwSoA/edit#gid=0"",""Gestores Escolares!D7:m""),9,0),""VERIFICAR CÓD SEC"")"),"ANA VALERIA REIS SOUZA FONSECA")</f>
        <v>ANA VALERIA REIS SOUZA FONSECA</v>
      </c>
      <c r="R598" s="82" t="str">
        <f>IFERROR(__xludf.DUMMYFUNCTION("IFERROR(VLOOKUP(D598,
IMPORTRANGE(""https://docs.google.com/spreadsheets/d/1MjHtlUikwobi2MaWJgy7tfLeBmhj1u-dRFRs_8GwSoA/edit#gid=0"",""Gestores Escolares!D7:m""),10,0),""VERIFICAR CÓD SEC"")"),"(75) 9 8285-6081")</f>
        <v>(75) 9 8285-6081</v>
      </c>
      <c r="S598" s="82"/>
      <c r="T598" s="138">
        <v>9.0</v>
      </c>
      <c r="U598" s="388" t="s">
        <v>8479</v>
      </c>
      <c r="V598" s="106">
        <v>0.0</v>
      </c>
      <c r="W598" s="107">
        <v>0.0</v>
      </c>
      <c r="X598" s="107">
        <v>0.0</v>
      </c>
      <c r="Y598" s="107">
        <v>0.0</v>
      </c>
      <c r="Z598" s="80">
        <f t="shared" si="1"/>
        <v>0</v>
      </c>
      <c r="AA598" s="106">
        <v>0.0</v>
      </c>
      <c r="AB598" s="107">
        <v>0.0</v>
      </c>
      <c r="AC598" s="107">
        <v>0.0</v>
      </c>
      <c r="AD598" s="107">
        <v>0.0</v>
      </c>
      <c r="AE598" s="80">
        <f t="shared" si="2"/>
        <v>0</v>
      </c>
      <c r="AF598" s="140">
        <v>0.0</v>
      </c>
      <c r="AG598" s="109">
        <v>0.0</v>
      </c>
      <c r="AH598" s="109">
        <v>0.0</v>
      </c>
      <c r="AI598" s="141">
        <v>237.0</v>
      </c>
      <c r="AJ598" s="80">
        <f t="shared" si="3"/>
        <v>237</v>
      </c>
      <c r="AK598" s="140">
        <v>0.0</v>
      </c>
      <c r="AL598" s="109">
        <v>0.0</v>
      </c>
      <c r="AM598" s="141">
        <v>0.0</v>
      </c>
      <c r="AN598" s="80">
        <f t="shared" si="4"/>
        <v>0</v>
      </c>
      <c r="AO598" s="140">
        <v>0.0</v>
      </c>
      <c r="AP598" s="109">
        <v>0.0</v>
      </c>
      <c r="AQ598" s="109">
        <v>148.0</v>
      </c>
      <c r="AR598" s="80">
        <f t="shared" si="5"/>
        <v>148</v>
      </c>
      <c r="AS598" s="110">
        <v>0.0</v>
      </c>
      <c r="AT598" s="110">
        <v>0.0</v>
      </c>
      <c r="AU598" s="110">
        <v>0.0</v>
      </c>
      <c r="AV598" s="142">
        <v>86.0</v>
      </c>
      <c r="AW598" s="80">
        <f t="shared" si="6"/>
        <v>86</v>
      </c>
      <c r="AX598" s="113">
        <f t="shared" si="7"/>
        <v>471</v>
      </c>
      <c r="AY598" s="117">
        <f t="shared" si="8"/>
        <v>323</v>
      </c>
      <c r="AZ598" s="120">
        <f t="shared" si="9"/>
        <v>148</v>
      </c>
      <c r="BA598" s="115">
        <v>0.0</v>
      </c>
      <c r="BB598" s="89">
        <f t="shared" si="10"/>
        <v>471</v>
      </c>
      <c r="BC598" s="132" t="s">
        <v>178</v>
      </c>
      <c r="BD598" s="132" t="s">
        <v>178</v>
      </c>
      <c r="BE598" s="132" t="s">
        <v>178</v>
      </c>
      <c r="BF598" s="156"/>
      <c r="BG598" s="83">
        <v>1179694.0</v>
      </c>
      <c r="BH598" s="112"/>
      <c r="BI598" s="112">
        <v>12.0</v>
      </c>
      <c r="BJ598" s="98" t="s">
        <v>155</v>
      </c>
      <c r="BK598" s="99">
        <f t="shared" si="11"/>
        <v>323</v>
      </c>
      <c r="BL598" s="99">
        <f t="shared" si="12"/>
        <v>0</v>
      </c>
      <c r="BM598" s="99" t="str">
        <f>IFERROR(__xludf.DUMMYFUNCTION("IFERROR(VLOOKUP(BG598,IMPORTRANGE(""https://docs.google.com/spreadsheets/d/1juPI-Fb8LD0YtltB2mlGEnp_R3UVu1t3wSFPzgCyHXE/edit?gid=0#gid=0"",""GERAL!A2:C""),3,0),""-"")"),"-")</f>
        <v>-</v>
      </c>
    </row>
    <row r="599" ht="15.75" customHeight="1">
      <c r="A599" s="111" t="s">
        <v>723</v>
      </c>
      <c r="B599" s="83" t="s">
        <v>2764</v>
      </c>
      <c r="C599" s="83" t="s">
        <v>68</v>
      </c>
      <c r="D599" s="112">
        <v>1177069.0</v>
      </c>
      <c r="E599" s="83"/>
      <c r="F599" s="83">
        <v>2.9410452E7</v>
      </c>
      <c r="G599" s="119" t="s">
        <v>2765</v>
      </c>
      <c r="H599" s="108" t="s">
        <v>2766</v>
      </c>
      <c r="I599" s="172" t="s">
        <v>149</v>
      </c>
      <c r="J599" s="83" t="s">
        <v>150</v>
      </c>
      <c r="K599" s="83" t="s">
        <v>151</v>
      </c>
      <c r="L599" s="83" t="s">
        <v>230</v>
      </c>
      <c r="M599" s="82" t="str">
        <f>IFERROR(__xludf.DUMMYFUNCTION("IFERROR(VLOOKUP(D599,
IMPORTRANGE(""https://docs.google.com/spreadsheets/d/1MjHtlUikwobi2MaWJgy7tfLeBmhj1u-dRFRs_8GwSoA/edit#gid=0"",""Gestores Escolares!D7:J""),3,0),""VERIFICAR CÓD SEC"")"),"JOILDES SANTOS DE SOUSA ")</f>
        <v>JOILDES SANTOS DE SOUSA </v>
      </c>
      <c r="N599" s="82" t="str">
        <f>IFERROR(__xludf.DUMMYFUNCTION("IFERROR(VLOOKUP(D599,
IMPORTRANGE(""https://docs.google.com/spreadsheets/d/1MjHtlUikwobi2MaWJgy7tfLeBmhj1u-dRFRs_8GwSoA/edit#gid=0"",""Gestores Escolares!D7:J""),4,0),""VERIFICAR CÓD SEC"")"),"(75) 9 8811-8680")</f>
        <v>(75) 9 8811-8680</v>
      </c>
      <c r="O599" s="82" t="str">
        <f>IFERROR(__xludf.DUMMYFUNCTION("IFERROR(VLOOKUP(D599,
IMPORTRANGE(""https://docs.google.com/spreadsheets/d/1MjHtlUikwobi2MaWJgy7tfLeBmhj1u-dRFRs_8GwSoA/edit#gid=0"",""Gestores Escolares!D7:J""),6,0),""VERIFICAR CÓD SEC"")"),"REINALDO DOS SANTOS SILVA ")</f>
        <v>REINALDO DOS SANTOS SILVA </v>
      </c>
      <c r="P599" s="82" t="str">
        <f>IFERROR(__xludf.DUMMYFUNCTION("IFERROR(VLOOKUP(D599,
IMPORTRANGE(""https://docs.google.com/spreadsheets/d/1MjHtlUikwobi2MaWJgy7tfLeBmhj1u-dRFRs_8GwSoA/edit#gid=0"",""Gestores Escolares!D7:J""),7,0),""VERIFICAR CÓD SEC"")"),"(75) 9 9896-3877")</f>
        <v>(75) 9 9896-3877</v>
      </c>
      <c r="Q599" s="82" t="str">
        <f>IFERROR(__xludf.DUMMYFUNCTION("IFERROR(VLOOKUP(D599,
IMPORTRANGE(""https://docs.google.com/spreadsheets/d/1MjHtlUikwobi2MaWJgy7tfLeBmhj1u-dRFRs_8GwSoA/edit#gid=0"",""Gestores Escolares!D7:m""),9,0),""VERIFICAR CÓD SEC"")"),"CRISTIANE NASCIMENTO DE ANDRADE")</f>
        <v>CRISTIANE NASCIMENTO DE ANDRADE</v>
      </c>
      <c r="R599" s="82" t="str">
        <f>IFERROR(__xludf.DUMMYFUNCTION("IFERROR(VLOOKUP(D599,
IMPORTRANGE(""https://docs.google.com/spreadsheets/d/1MjHtlUikwobi2MaWJgy7tfLeBmhj1u-dRFRs_8GwSoA/edit#gid=0"",""Gestores Escolares!D7:m""),10,0),""VERIFICAR CÓD SEC"")"),"(75) 9 8817-2017")</f>
        <v>(75) 9 8817-2017</v>
      </c>
      <c r="S599" s="82"/>
      <c r="T599" s="138">
        <v>9.0</v>
      </c>
      <c r="U599" s="388">
        <v>12.0</v>
      </c>
      <c r="V599" s="106">
        <v>0.0</v>
      </c>
      <c r="W599" s="107">
        <v>0.0</v>
      </c>
      <c r="X599" s="107">
        <v>0.0</v>
      </c>
      <c r="Y599" s="107">
        <v>0.0</v>
      </c>
      <c r="Z599" s="80">
        <f t="shared" si="1"/>
        <v>0</v>
      </c>
      <c r="AA599" s="106">
        <v>0.0</v>
      </c>
      <c r="AB599" s="107">
        <v>0.0</v>
      </c>
      <c r="AC599" s="107">
        <v>0.0</v>
      </c>
      <c r="AD599" s="107">
        <v>0.0</v>
      </c>
      <c r="AE599" s="80">
        <f t="shared" si="2"/>
        <v>0</v>
      </c>
      <c r="AF599" s="140">
        <v>242.0</v>
      </c>
      <c r="AG599" s="109">
        <v>211.0</v>
      </c>
      <c r="AH599" s="109">
        <v>0.0</v>
      </c>
      <c r="AI599" s="141">
        <v>132.0</v>
      </c>
      <c r="AJ599" s="80">
        <f t="shared" si="3"/>
        <v>585</v>
      </c>
      <c r="AK599" s="140">
        <v>0.0</v>
      </c>
      <c r="AL599" s="109">
        <v>0.0</v>
      </c>
      <c r="AM599" s="141">
        <v>0.0</v>
      </c>
      <c r="AN599" s="80">
        <f t="shared" si="4"/>
        <v>0</v>
      </c>
      <c r="AO599" s="140">
        <v>0.0</v>
      </c>
      <c r="AP599" s="109">
        <v>0.0</v>
      </c>
      <c r="AQ599" s="109">
        <v>132.0</v>
      </c>
      <c r="AR599" s="80">
        <f t="shared" si="5"/>
        <v>132</v>
      </c>
      <c r="AS599" s="110">
        <v>0.0</v>
      </c>
      <c r="AT599" s="110">
        <v>0.0</v>
      </c>
      <c r="AU599" s="110">
        <v>43.0</v>
      </c>
      <c r="AV599" s="142">
        <v>64.0</v>
      </c>
      <c r="AW599" s="80">
        <f t="shared" si="6"/>
        <v>107</v>
      </c>
      <c r="AX599" s="113">
        <f t="shared" si="7"/>
        <v>824</v>
      </c>
      <c r="AY599" s="117">
        <f t="shared" si="8"/>
        <v>649</v>
      </c>
      <c r="AZ599" s="120">
        <f t="shared" si="9"/>
        <v>175</v>
      </c>
      <c r="BA599" s="115">
        <v>0.0</v>
      </c>
      <c r="BB599" s="89">
        <f t="shared" si="10"/>
        <v>824</v>
      </c>
      <c r="BC599" s="132" t="s">
        <v>178</v>
      </c>
      <c r="BD599" s="132" t="s">
        <v>178</v>
      </c>
      <c r="BE599" s="132" t="s">
        <v>178</v>
      </c>
      <c r="BF599" s="156"/>
      <c r="BG599" s="83">
        <v>1177069.0</v>
      </c>
      <c r="BH599" s="195"/>
      <c r="BI599" s="195">
        <v>9.0</v>
      </c>
      <c r="BJ599" s="98" t="s">
        <v>162</v>
      </c>
      <c r="BK599" s="99">
        <f t="shared" si="11"/>
        <v>196</v>
      </c>
      <c r="BL599" s="99">
        <f t="shared" si="12"/>
        <v>453</v>
      </c>
      <c r="BM599" s="99" t="str">
        <f>IFERROR(__xludf.DUMMYFUNCTION("IFERROR(VLOOKUP(BG599,IMPORTRANGE(""https://docs.google.com/spreadsheets/d/1juPI-Fb8LD0YtltB2mlGEnp_R3UVu1t3wSFPzgCyHXE/edit?gid=0#gid=0"",""GERAL!A2:C""),3,0),""-"")"),"-")</f>
        <v>-</v>
      </c>
    </row>
    <row r="600" ht="15.75" customHeight="1">
      <c r="A600" s="111" t="s">
        <v>723</v>
      </c>
      <c r="B600" s="83" t="s">
        <v>2771</v>
      </c>
      <c r="C600" s="83" t="s">
        <v>68</v>
      </c>
      <c r="D600" s="112">
        <v>1118414.0</v>
      </c>
      <c r="E600" s="83"/>
      <c r="F600" s="83">
        <v>2.923445E7</v>
      </c>
      <c r="G600" s="147" t="s">
        <v>2772</v>
      </c>
      <c r="H600" s="91" t="s">
        <v>2773</v>
      </c>
      <c r="I600" s="83" t="s">
        <v>149</v>
      </c>
      <c r="J600" s="83" t="s">
        <v>150</v>
      </c>
      <c r="K600" s="83" t="s">
        <v>151</v>
      </c>
      <c r="L600" s="83" t="s">
        <v>152</v>
      </c>
      <c r="M600" s="82" t="str">
        <f>IFERROR(__xludf.DUMMYFUNCTION("IFERROR(VLOOKUP(D600,
IMPORTRANGE(""https://docs.google.com/spreadsheets/d/1MjHtlUikwobi2MaWJgy7tfLeBmhj1u-dRFRs_8GwSoA/edit#gid=0"",""Gestores Escolares!D7:J""),3,0),""VERIFICAR CÓD SEC"")"),"VALDECIO DE QUEIROZ ARAUJO")</f>
        <v>VALDECIO DE QUEIROZ ARAUJO</v>
      </c>
      <c r="N600" s="82" t="str">
        <f>IFERROR(__xludf.DUMMYFUNCTION("IFERROR(VLOOKUP(D600,
IMPORTRANGE(""https://docs.google.com/spreadsheets/d/1MjHtlUikwobi2MaWJgy7tfLeBmhj1u-dRFRs_8GwSoA/edit#gid=0"",""Gestores Escolares!D7:J""),4,0),""VERIFICAR CÓD SEC"")"),"(73) 9 9971-2470")</f>
        <v>(73) 9 9971-2470</v>
      </c>
      <c r="O600" s="82" t="str">
        <f>IFERROR(__xludf.DUMMYFUNCTION("IFERROR(VLOOKUP(D600,
IMPORTRANGE(""https://docs.google.com/spreadsheets/d/1MjHtlUikwobi2MaWJgy7tfLeBmhj1u-dRFRs_8GwSoA/edit#gid=0"",""Gestores Escolares!D7:J""),6,0),""VERIFICAR CÓD SEC"")"),"VIVIANNE CONCEICAO MIRANDA VIANA")</f>
        <v>VIVIANNE CONCEICAO MIRANDA VIANA</v>
      </c>
      <c r="P600" s="82" t="str">
        <f>IFERROR(__xludf.DUMMYFUNCTION("IFERROR(VLOOKUP(D600,
IMPORTRANGE(""https://docs.google.com/spreadsheets/d/1MjHtlUikwobi2MaWJgy7tfLeBmhj1u-dRFRs_8GwSoA/edit#gid=0"",""Gestores Escolares!D7:J""),7,0),""VERIFICAR CÓD SEC"")"),"(73) 9 9908-6261")</f>
        <v>(73) 9 9908-6261</v>
      </c>
      <c r="Q600" s="82" t="str">
        <f>IFERROR(__xludf.DUMMYFUNCTION("IFERROR(VLOOKUP(D600,
IMPORTRANGE(""https://docs.google.com/spreadsheets/d/1MjHtlUikwobi2MaWJgy7tfLeBmhj1u-dRFRs_8GwSoA/edit#gid=0"",""Gestores Escolares!D7:m""),9,0),""VERIFICAR CÓD SEC"")"),"KARINE COSTA OLIVEIRA")</f>
        <v>KARINE COSTA OLIVEIRA</v>
      </c>
      <c r="R600" s="82" t="str">
        <f>IFERROR(__xludf.DUMMYFUNCTION("IFERROR(VLOOKUP(D600,
IMPORTRANGE(""https://docs.google.com/spreadsheets/d/1MjHtlUikwobi2MaWJgy7tfLeBmhj1u-dRFRs_8GwSoA/edit#gid=0"",""Gestores Escolares!D7:m""),10,0),""VERIFICAR CÓD SEC"")"),"(73) 9 9961-3262")</f>
        <v>(73) 9 9961-3262</v>
      </c>
      <c r="S600" s="82"/>
      <c r="T600" s="138">
        <v>12.0</v>
      </c>
      <c r="U600" s="499" t="s">
        <v>8522</v>
      </c>
      <c r="V600" s="106">
        <v>0.0</v>
      </c>
      <c r="W600" s="107">
        <v>0.0</v>
      </c>
      <c r="X600" s="107">
        <v>0.0</v>
      </c>
      <c r="Y600" s="107">
        <v>0.0</v>
      </c>
      <c r="Z600" s="80">
        <f t="shared" si="1"/>
        <v>0</v>
      </c>
      <c r="AA600" s="106">
        <v>0.0</v>
      </c>
      <c r="AB600" s="107">
        <v>0.0</v>
      </c>
      <c r="AC600" s="107">
        <v>0.0</v>
      </c>
      <c r="AD600" s="107">
        <v>0.0</v>
      </c>
      <c r="AE600" s="80">
        <f t="shared" si="2"/>
        <v>0</v>
      </c>
      <c r="AF600" s="140">
        <v>0.0</v>
      </c>
      <c r="AG600" s="109">
        <v>0.0</v>
      </c>
      <c r="AH600" s="109">
        <v>0.0</v>
      </c>
      <c r="AI600" s="141">
        <v>117.0</v>
      </c>
      <c r="AJ600" s="80">
        <f t="shared" si="3"/>
        <v>117</v>
      </c>
      <c r="AK600" s="140">
        <v>0.0</v>
      </c>
      <c r="AL600" s="109">
        <v>0.0</v>
      </c>
      <c r="AM600" s="141">
        <v>0.0</v>
      </c>
      <c r="AN600" s="80">
        <f t="shared" si="4"/>
        <v>0</v>
      </c>
      <c r="AO600" s="140">
        <v>0.0</v>
      </c>
      <c r="AP600" s="109">
        <v>0.0</v>
      </c>
      <c r="AQ600" s="109">
        <v>61.0</v>
      </c>
      <c r="AR600" s="80">
        <f t="shared" si="5"/>
        <v>61</v>
      </c>
      <c r="AS600" s="110">
        <v>0.0</v>
      </c>
      <c r="AT600" s="110">
        <v>0.0</v>
      </c>
      <c r="AU600" s="110">
        <v>0.0</v>
      </c>
      <c r="AV600" s="142">
        <v>102.0</v>
      </c>
      <c r="AW600" s="80">
        <f t="shared" si="6"/>
        <v>102</v>
      </c>
      <c r="AX600" s="113">
        <f t="shared" si="7"/>
        <v>280</v>
      </c>
      <c r="AY600" s="117">
        <f t="shared" si="8"/>
        <v>219</v>
      </c>
      <c r="AZ600" s="120">
        <f t="shared" si="9"/>
        <v>61</v>
      </c>
      <c r="BA600" s="115">
        <v>0.0</v>
      </c>
      <c r="BB600" s="89">
        <f t="shared" si="10"/>
        <v>280</v>
      </c>
      <c r="BC600" s="132" t="s">
        <v>178</v>
      </c>
      <c r="BD600" s="132" t="s">
        <v>178</v>
      </c>
      <c r="BE600" s="132" t="s">
        <v>178</v>
      </c>
      <c r="BF600" s="123"/>
      <c r="BG600" s="83">
        <v>1118414.0</v>
      </c>
      <c r="BH600" s="112"/>
      <c r="BI600" s="112">
        <v>8.0</v>
      </c>
      <c r="BJ600" s="98" t="s">
        <v>155</v>
      </c>
      <c r="BK600" s="99">
        <f t="shared" si="11"/>
        <v>219</v>
      </c>
      <c r="BL600" s="99">
        <f t="shared" si="12"/>
        <v>0</v>
      </c>
      <c r="BM600" s="99" t="str">
        <f>IFERROR(__xludf.DUMMYFUNCTION("IFERROR(VLOOKUP(BG600,IMPORTRANGE(""https://docs.google.com/spreadsheets/d/1juPI-Fb8LD0YtltB2mlGEnp_R3UVu1t3wSFPzgCyHXE/edit?gid=0#gid=0"",""GERAL!A2:C""),3,0),""-"")"),"-")</f>
        <v>-</v>
      </c>
    </row>
    <row r="601" ht="15.75" customHeight="1">
      <c r="A601" s="111" t="s">
        <v>723</v>
      </c>
      <c r="B601" s="83" t="s">
        <v>2161</v>
      </c>
      <c r="C601" s="83" t="s">
        <v>68</v>
      </c>
      <c r="D601" s="112">
        <v>1166877.0</v>
      </c>
      <c r="E601" s="83"/>
      <c r="F601" s="83">
        <v>2.9234913E7</v>
      </c>
      <c r="G601" s="119" t="s">
        <v>2776</v>
      </c>
      <c r="H601" s="91" t="s">
        <v>2777</v>
      </c>
      <c r="I601" s="136" t="s">
        <v>149</v>
      </c>
      <c r="J601" s="136" t="s">
        <v>150</v>
      </c>
      <c r="K601" s="136" t="s">
        <v>151</v>
      </c>
      <c r="L601" s="83" t="s">
        <v>76</v>
      </c>
      <c r="M601" s="82" t="str">
        <f>IFERROR(__xludf.DUMMYFUNCTION("IFERROR(VLOOKUP(D601,
IMPORTRANGE(""https://docs.google.com/spreadsheets/d/1MjHtlUikwobi2MaWJgy7tfLeBmhj1u-dRFRs_8GwSoA/edit#gid=0"",""Gestores Escolares!D7:J""),3,0),""VERIFICAR CÓD SEC"")")," ROBERTH NOVAES NASCIMENTO")</f>
        <v> ROBERTH NOVAES NASCIMENTO</v>
      </c>
      <c r="N601" s="82" t="str">
        <f>IFERROR(__xludf.DUMMYFUNCTION("IFERROR(VLOOKUP(D601,
IMPORTRANGE(""https://docs.google.com/spreadsheets/d/1MjHtlUikwobi2MaWJgy7tfLeBmhj1u-dRFRs_8GwSoA/edit#gid=0"",""Gestores Escolares!D7:J""),4,0),""VERIFICAR CÓD SEC"")"),"(73) 9 9834-7981")</f>
        <v>(73) 9 9834-7981</v>
      </c>
      <c r="O601" s="82" t="str">
        <f>IFERROR(__xludf.DUMMYFUNCTION("IFERROR(VLOOKUP(D601,
IMPORTRANGE(""https://docs.google.com/spreadsheets/d/1MjHtlUikwobi2MaWJgy7tfLeBmhj1u-dRFRs_8GwSoA/edit#gid=0"",""Gestores Escolares!D7:J""),6,0),""VERIFICAR CÓD SEC"")"),"JOAONITO DE JESUS SANTOS")</f>
        <v>JOAONITO DE JESUS SANTOS</v>
      </c>
      <c r="P601" s="82" t="str">
        <f>IFERROR(__xludf.DUMMYFUNCTION("IFERROR(VLOOKUP(D601,
IMPORTRANGE(""https://docs.google.com/spreadsheets/d/1MjHtlUikwobi2MaWJgy7tfLeBmhj1u-dRFRs_8GwSoA/edit#gid=0"",""Gestores Escolares!D7:J""),7,0),""VERIFICAR CÓD SEC"")"),"(75) 9 9700-2193")</f>
        <v>(75) 9 9700-2193</v>
      </c>
      <c r="Q601" s="82" t="str">
        <f>IFERROR(__xludf.DUMMYFUNCTION("IFERROR(VLOOKUP(D601,
IMPORTRANGE(""https://docs.google.com/spreadsheets/d/1MjHtlUikwobi2MaWJgy7tfLeBmhj1u-dRFRs_8GwSoA/edit#gid=0"",""Gestores Escolares!D7:m""),9,0),""VERIFICAR CÓD SEC"")"),"")</f>
        <v/>
      </c>
      <c r="R601" s="82" t="str">
        <f>IFERROR(__xludf.DUMMYFUNCTION("IFERROR(VLOOKUP(D601,
IMPORTRANGE(""https://docs.google.com/spreadsheets/d/1MjHtlUikwobi2MaWJgy7tfLeBmhj1u-dRFRs_8GwSoA/edit#gid=0"",""Gestores Escolares!D7:m""),10,0),""VERIFICAR CÓD SEC"")"),"")</f>
        <v/>
      </c>
      <c r="S601" s="82"/>
      <c r="T601" s="138">
        <v>7.0</v>
      </c>
      <c r="U601" s="145" t="s">
        <v>8550</v>
      </c>
      <c r="V601" s="106">
        <v>0.0</v>
      </c>
      <c r="W601" s="107">
        <v>0.0</v>
      </c>
      <c r="X601" s="107">
        <v>0.0</v>
      </c>
      <c r="Y601" s="107">
        <v>0.0</v>
      </c>
      <c r="Z601" s="80">
        <f t="shared" si="1"/>
        <v>0</v>
      </c>
      <c r="AA601" s="106">
        <v>0.0</v>
      </c>
      <c r="AB601" s="107">
        <v>0.0</v>
      </c>
      <c r="AC601" s="107">
        <v>0.0</v>
      </c>
      <c r="AD601" s="107">
        <v>0.0</v>
      </c>
      <c r="AE601" s="80">
        <f t="shared" si="2"/>
        <v>0</v>
      </c>
      <c r="AF601" s="140">
        <v>109.0</v>
      </c>
      <c r="AG601" s="109">
        <v>62.0</v>
      </c>
      <c r="AH601" s="109">
        <v>0.0</v>
      </c>
      <c r="AI601" s="141">
        <v>32.0</v>
      </c>
      <c r="AJ601" s="80">
        <f t="shared" si="3"/>
        <v>203</v>
      </c>
      <c r="AK601" s="140">
        <v>0.0</v>
      </c>
      <c r="AL601" s="109">
        <v>0.0</v>
      </c>
      <c r="AM601" s="141">
        <v>0.0</v>
      </c>
      <c r="AN601" s="80">
        <f t="shared" si="4"/>
        <v>0</v>
      </c>
      <c r="AO601" s="140">
        <v>0.0</v>
      </c>
      <c r="AP601" s="109">
        <v>0.0</v>
      </c>
      <c r="AQ601" s="109">
        <v>50.0</v>
      </c>
      <c r="AR601" s="80">
        <f t="shared" si="5"/>
        <v>50</v>
      </c>
      <c r="AS601" s="110">
        <v>116.0</v>
      </c>
      <c r="AT601" s="110">
        <v>18.0</v>
      </c>
      <c r="AU601" s="110">
        <v>20.0</v>
      </c>
      <c r="AV601" s="142">
        <v>20.0</v>
      </c>
      <c r="AW601" s="80">
        <f t="shared" si="6"/>
        <v>174</v>
      </c>
      <c r="AX601" s="113">
        <f t="shared" si="7"/>
        <v>427</v>
      </c>
      <c r="AY601" s="117">
        <f t="shared" si="8"/>
        <v>357</v>
      </c>
      <c r="AZ601" s="120">
        <f t="shared" si="9"/>
        <v>70</v>
      </c>
      <c r="BA601" s="115">
        <v>0.0</v>
      </c>
      <c r="BB601" s="89">
        <f t="shared" si="10"/>
        <v>427</v>
      </c>
      <c r="BC601" s="132" t="s">
        <v>178</v>
      </c>
      <c r="BD601" s="132" t="s">
        <v>178</v>
      </c>
      <c r="BE601" s="132" t="s">
        <v>178</v>
      </c>
      <c r="BF601" s="156"/>
      <c r="BG601" s="83">
        <v>1166877.0</v>
      </c>
      <c r="BH601" s="112"/>
      <c r="BI601" s="112">
        <v>4.0</v>
      </c>
      <c r="BJ601" s="98" t="s">
        <v>284</v>
      </c>
      <c r="BK601" s="99">
        <f t="shared" si="11"/>
        <v>52</v>
      </c>
      <c r="BL601" s="99">
        <f t="shared" si="12"/>
        <v>305</v>
      </c>
      <c r="BM601" s="99" t="str">
        <f>IFERROR(__xludf.DUMMYFUNCTION("IFERROR(VLOOKUP(BG601,IMPORTRANGE(""https://docs.google.com/spreadsheets/d/1juPI-Fb8LD0YtltB2mlGEnp_R3UVu1t3wSFPzgCyHXE/edit?gid=0#gid=0"",""GERAL!A2:C""),3,0),""-"")"),"-")</f>
        <v>-</v>
      </c>
    </row>
    <row r="602" ht="15.75" customHeight="1">
      <c r="A602" s="111" t="s">
        <v>723</v>
      </c>
      <c r="B602" s="83" t="s">
        <v>2784</v>
      </c>
      <c r="C602" s="83" t="s">
        <v>68</v>
      </c>
      <c r="D602" s="195">
        <v>1118287.0</v>
      </c>
      <c r="E602" s="136"/>
      <c r="F602" s="136">
        <v>2.9235138E7</v>
      </c>
      <c r="G602" s="147" t="s">
        <v>2785</v>
      </c>
      <c r="H602" s="108" t="s">
        <v>2786</v>
      </c>
      <c r="I602" s="172" t="s">
        <v>149</v>
      </c>
      <c r="J602" s="83" t="s">
        <v>150</v>
      </c>
      <c r="K602" s="83" t="s">
        <v>151</v>
      </c>
      <c r="L602" s="83" t="s">
        <v>152</v>
      </c>
      <c r="M602" s="82" t="str">
        <f>IFERROR(__xludf.DUMMYFUNCTION("IFERROR(VLOOKUP(D602,
IMPORTRANGE(""https://docs.google.com/spreadsheets/d/1MjHtlUikwobi2MaWJgy7tfLeBmhj1u-dRFRs_8GwSoA/edit#gid=0"",""Gestores Escolares!D7:J""),3,0),""VERIFICAR CÓD SEC"")"),"JEANE ROCHA BANDEIRA")</f>
        <v>JEANE ROCHA BANDEIRA</v>
      </c>
      <c r="N602" s="82" t="str">
        <f>IFERROR(__xludf.DUMMYFUNCTION("IFERROR(VLOOKUP(D602,
IMPORTRANGE(""https://docs.google.com/spreadsheets/d/1MjHtlUikwobi2MaWJgy7tfLeBmhj1u-dRFRs_8GwSoA/edit#gid=0"",""Gestores Escolares!D7:J""),4,0),""VERIFICAR CÓD SEC"")"),"(73) 9 8829-0961")</f>
        <v>(73) 9 8829-0961</v>
      </c>
      <c r="O602" s="82" t="str">
        <f>IFERROR(__xludf.DUMMYFUNCTION("IFERROR(VLOOKUP(D602,
IMPORTRANGE(""https://docs.google.com/spreadsheets/d/1MjHtlUikwobi2MaWJgy7tfLeBmhj1u-dRFRs_8GwSoA/edit#gid=0"",""Gestores Escolares!D7:J""),6,0),""VERIFICAR CÓD SEC"")"),"TACIANA RIBEIRO SOUZA")</f>
        <v>TACIANA RIBEIRO SOUZA</v>
      </c>
      <c r="P602" s="82" t="str">
        <f>IFERROR(__xludf.DUMMYFUNCTION("IFERROR(VLOOKUP(D602,
IMPORTRANGE(""https://docs.google.com/spreadsheets/d/1MjHtlUikwobi2MaWJgy7tfLeBmhj1u-dRFRs_8GwSoA/edit#gid=0"",""Gestores Escolares!D7:J""),7,0),""VERIFICAR CÓD SEC"")")," (71) 9 8421-8646")</f>
        <v> (71) 9 8421-8646</v>
      </c>
      <c r="Q602" s="82" t="str">
        <f>IFERROR(__xludf.DUMMYFUNCTION("IFERROR(VLOOKUP(D602,
IMPORTRANGE(""https://docs.google.com/spreadsheets/d/1MjHtlUikwobi2MaWJgy7tfLeBmhj1u-dRFRs_8GwSoA/edit#gid=0"",""Gestores Escolares!D7:m""),9,0),""VERIFICAR CÓD SEC"")"),"")</f>
        <v/>
      </c>
      <c r="R602" s="82" t="str">
        <f>IFERROR(__xludf.DUMMYFUNCTION("IFERROR(VLOOKUP(D602,
IMPORTRANGE(""https://docs.google.com/spreadsheets/d/1MjHtlUikwobi2MaWJgy7tfLeBmhj1u-dRFRs_8GwSoA/edit#gid=0"",""Gestores Escolares!D7:m""),10,0),""VERIFICAR CÓD SEC"")"),"")</f>
        <v/>
      </c>
      <c r="S602" s="82"/>
      <c r="T602" s="138">
        <v>14.0</v>
      </c>
      <c r="U602" s="388" t="s">
        <v>8572</v>
      </c>
      <c r="V602" s="106">
        <v>0.0</v>
      </c>
      <c r="W602" s="107">
        <v>0.0</v>
      </c>
      <c r="X602" s="107">
        <v>0.0</v>
      </c>
      <c r="Y602" s="107">
        <v>0.0</v>
      </c>
      <c r="Z602" s="80">
        <f t="shared" si="1"/>
        <v>0</v>
      </c>
      <c r="AA602" s="106">
        <v>0.0</v>
      </c>
      <c r="AB602" s="107">
        <v>0.0</v>
      </c>
      <c r="AC602" s="107">
        <v>0.0</v>
      </c>
      <c r="AD602" s="107">
        <v>0.0</v>
      </c>
      <c r="AE602" s="80">
        <f t="shared" si="2"/>
        <v>0</v>
      </c>
      <c r="AF602" s="140">
        <v>0.0</v>
      </c>
      <c r="AG602" s="109">
        <v>0.0</v>
      </c>
      <c r="AH602" s="109">
        <v>0.0</v>
      </c>
      <c r="AI602" s="141">
        <v>139.0</v>
      </c>
      <c r="AJ602" s="80">
        <f t="shared" si="3"/>
        <v>139</v>
      </c>
      <c r="AK602" s="140">
        <v>0.0</v>
      </c>
      <c r="AL602" s="109">
        <v>0.0</v>
      </c>
      <c r="AM602" s="141">
        <v>0.0</v>
      </c>
      <c r="AN602" s="80">
        <f t="shared" si="4"/>
        <v>0</v>
      </c>
      <c r="AO602" s="140">
        <v>0.0</v>
      </c>
      <c r="AP602" s="109">
        <v>0.0</v>
      </c>
      <c r="AQ602" s="109">
        <v>80.0</v>
      </c>
      <c r="AR602" s="80">
        <f t="shared" si="5"/>
        <v>80</v>
      </c>
      <c r="AS602" s="110">
        <v>17.0</v>
      </c>
      <c r="AT602" s="110">
        <v>0.0</v>
      </c>
      <c r="AU602" s="110">
        <v>95.0</v>
      </c>
      <c r="AV602" s="142">
        <v>66.0</v>
      </c>
      <c r="AW602" s="80">
        <f t="shared" si="6"/>
        <v>178</v>
      </c>
      <c r="AX602" s="113">
        <f t="shared" si="7"/>
        <v>397</v>
      </c>
      <c r="AY602" s="117">
        <f t="shared" si="8"/>
        <v>222</v>
      </c>
      <c r="AZ602" s="120">
        <f t="shared" si="9"/>
        <v>175</v>
      </c>
      <c r="BA602" s="115">
        <v>0.0</v>
      </c>
      <c r="BB602" s="89">
        <f t="shared" si="10"/>
        <v>397</v>
      </c>
      <c r="BC602" s="132" t="s">
        <v>178</v>
      </c>
      <c r="BD602" s="132" t="s">
        <v>178</v>
      </c>
      <c r="BE602" s="132" t="s">
        <v>178</v>
      </c>
      <c r="BF602" s="123"/>
      <c r="BG602" s="136">
        <v>1118287.0</v>
      </c>
      <c r="BH602" s="112"/>
      <c r="BI602" s="112">
        <v>11.0</v>
      </c>
      <c r="BJ602" s="98" t="s">
        <v>284</v>
      </c>
      <c r="BK602" s="99">
        <f t="shared" si="11"/>
        <v>205</v>
      </c>
      <c r="BL602" s="99">
        <f t="shared" si="12"/>
        <v>17</v>
      </c>
      <c r="BM602" s="99" t="str">
        <f>IFERROR(__xludf.DUMMYFUNCTION("IFERROR(VLOOKUP(BG602,IMPORTRANGE(""https://docs.google.com/spreadsheets/d/1juPI-Fb8LD0YtltB2mlGEnp_R3UVu1t3wSFPzgCyHXE/edit?gid=0#gid=0"",""GERAL!A2:C""),3,0),""-"")"),"-")</f>
        <v>-</v>
      </c>
    </row>
    <row r="603" ht="15.75" customHeight="1">
      <c r="A603" s="111" t="s">
        <v>723</v>
      </c>
      <c r="B603" s="83" t="s">
        <v>2789</v>
      </c>
      <c r="C603" s="83" t="s">
        <v>68</v>
      </c>
      <c r="D603" s="112">
        <v>1109563.0</v>
      </c>
      <c r="E603" s="83"/>
      <c r="F603" s="83">
        <v>2.923526E7</v>
      </c>
      <c r="G603" s="119" t="s">
        <v>2793</v>
      </c>
      <c r="H603" s="91" t="s">
        <v>2794</v>
      </c>
      <c r="I603" s="172" t="s">
        <v>149</v>
      </c>
      <c r="J603" s="83" t="s">
        <v>150</v>
      </c>
      <c r="K603" s="83" t="s">
        <v>151</v>
      </c>
      <c r="L603" s="83" t="s">
        <v>76</v>
      </c>
      <c r="M603" s="82" t="str">
        <f>IFERROR(__xludf.DUMMYFUNCTION("IFERROR(VLOOKUP(D603,
IMPORTRANGE(""https://docs.google.com/spreadsheets/d/1MjHtlUikwobi2MaWJgy7tfLeBmhj1u-dRFRs_8GwSoA/edit#gid=0"",""Gestores Escolares!D7:J""),3,0),""VERIFICAR CÓD SEC"")"),"PATRICIA SOUZA ANDRADE")</f>
        <v>PATRICIA SOUZA ANDRADE</v>
      </c>
      <c r="N603" s="82" t="str">
        <f>IFERROR(__xludf.DUMMYFUNCTION("IFERROR(VLOOKUP(D603,
IMPORTRANGE(""https://docs.google.com/spreadsheets/d/1MjHtlUikwobi2MaWJgy7tfLeBmhj1u-dRFRs_8GwSoA/edit#gid=0"",""Gestores Escolares!D7:J""),4,0),""VERIFICAR CÓD SEC"")"),"(75) 9 8808-9296")</f>
        <v>(75) 9 8808-9296</v>
      </c>
      <c r="O603" s="82" t="str">
        <f>IFERROR(__xludf.DUMMYFUNCTION("IFERROR(VLOOKUP(D603,
IMPORTRANGE(""https://docs.google.com/spreadsheets/d/1MjHtlUikwobi2MaWJgy7tfLeBmhj1u-dRFRs_8GwSoA/edit#gid=0"",""Gestores Escolares!D7:J""),6,0),""VERIFICAR CÓD SEC"")"),"GEOVANE BASTOS PEREIRA")</f>
        <v>GEOVANE BASTOS PEREIRA</v>
      </c>
      <c r="P603" s="82" t="str">
        <f>IFERROR(__xludf.DUMMYFUNCTION("IFERROR(VLOOKUP(D603,
IMPORTRANGE(""https://docs.google.com/spreadsheets/d/1MjHtlUikwobi2MaWJgy7tfLeBmhj1u-dRFRs_8GwSoA/edit#gid=0"",""Gestores Escolares!D7:J""),7,0),""VERIFICAR CÓD SEC"")"),"(73) 9 8809-5227")</f>
        <v>(73) 9 8809-5227</v>
      </c>
      <c r="Q603" s="82" t="str">
        <f>IFERROR(__xludf.DUMMYFUNCTION("IFERROR(VLOOKUP(D603,
IMPORTRANGE(""https://docs.google.com/spreadsheets/d/1MjHtlUikwobi2MaWJgy7tfLeBmhj1u-dRFRs_8GwSoA/edit#gid=0"",""Gestores Escolares!D7:m""),9,0),""VERIFICAR CÓD SEC"")"),"")</f>
        <v/>
      </c>
      <c r="R603" s="82" t="str">
        <f>IFERROR(__xludf.DUMMYFUNCTION("IFERROR(VLOOKUP(D603,
IMPORTRANGE(""https://docs.google.com/spreadsheets/d/1MjHtlUikwobi2MaWJgy7tfLeBmhj1u-dRFRs_8GwSoA/edit#gid=0"",""Gestores Escolares!D7:m""),10,0),""VERIFICAR CÓD SEC"")"),"")</f>
        <v/>
      </c>
      <c r="S603" s="82"/>
      <c r="T603" s="138">
        <v>9.0</v>
      </c>
      <c r="U603" s="388" t="s">
        <v>8590</v>
      </c>
      <c r="V603" s="106">
        <v>0.0</v>
      </c>
      <c r="W603" s="107">
        <v>0.0</v>
      </c>
      <c r="X603" s="107">
        <v>0.0</v>
      </c>
      <c r="Y603" s="107">
        <v>0.0</v>
      </c>
      <c r="Z603" s="80">
        <f t="shared" si="1"/>
        <v>0</v>
      </c>
      <c r="AA603" s="106">
        <v>0.0</v>
      </c>
      <c r="AB603" s="107">
        <v>0.0</v>
      </c>
      <c r="AC603" s="107">
        <v>0.0</v>
      </c>
      <c r="AD603" s="107">
        <v>0.0</v>
      </c>
      <c r="AE603" s="80">
        <f t="shared" si="2"/>
        <v>0</v>
      </c>
      <c r="AF603" s="140">
        <v>117.0</v>
      </c>
      <c r="AG603" s="109">
        <v>54.0</v>
      </c>
      <c r="AH603" s="109">
        <v>0.0</v>
      </c>
      <c r="AI603" s="141">
        <v>104.0</v>
      </c>
      <c r="AJ603" s="80">
        <f t="shared" si="3"/>
        <v>275</v>
      </c>
      <c r="AK603" s="140">
        <v>0.0</v>
      </c>
      <c r="AL603" s="109">
        <v>0.0</v>
      </c>
      <c r="AM603" s="141">
        <v>0.0</v>
      </c>
      <c r="AN603" s="80">
        <f t="shared" si="4"/>
        <v>0</v>
      </c>
      <c r="AO603" s="140">
        <v>0.0</v>
      </c>
      <c r="AP603" s="109">
        <v>0.0</v>
      </c>
      <c r="AQ603" s="109">
        <v>43.0</v>
      </c>
      <c r="AR603" s="80">
        <f t="shared" si="5"/>
        <v>43</v>
      </c>
      <c r="AS603" s="110">
        <v>0.0</v>
      </c>
      <c r="AT603" s="110">
        <v>0.0</v>
      </c>
      <c r="AU603" s="110">
        <v>0.0</v>
      </c>
      <c r="AV603" s="142">
        <v>10.0</v>
      </c>
      <c r="AW603" s="80">
        <f t="shared" si="6"/>
        <v>10</v>
      </c>
      <c r="AX603" s="113">
        <f t="shared" si="7"/>
        <v>328</v>
      </c>
      <c r="AY603" s="117">
        <f t="shared" si="8"/>
        <v>285</v>
      </c>
      <c r="AZ603" s="120">
        <f t="shared" si="9"/>
        <v>43</v>
      </c>
      <c r="BA603" s="115">
        <v>0.0</v>
      </c>
      <c r="BB603" s="89">
        <f t="shared" si="10"/>
        <v>328</v>
      </c>
      <c r="BC603" s="132" t="s">
        <v>178</v>
      </c>
      <c r="BD603" s="132" t="s">
        <v>178</v>
      </c>
      <c r="BE603" s="132" t="s">
        <v>178</v>
      </c>
      <c r="BF603" s="123"/>
      <c r="BG603" s="83">
        <v>1109563.0</v>
      </c>
      <c r="BH603" s="112"/>
      <c r="BI603" s="112">
        <v>8.0</v>
      </c>
      <c r="BJ603" s="98" t="s">
        <v>155</v>
      </c>
      <c r="BK603" s="99">
        <f t="shared" si="11"/>
        <v>114</v>
      </c>
      <c r="BL603" s="99">
        <f t="shared" si="12"/>
        <v>171</v>
      </c>
      <c r="BM603" s="99" t="str">
        <f>IFERROR(__xludf.DUMMYFUNCTION("IFERROR(VLOOKUP(BG603,IMPORTRANGE(""https://docs.google.com/spreadsheets/d/1juPI-Fb8LD0YtltB2mlGEnp_R3UVu1t3wSFPzgCyHXE/edit?gid=0#gid=0"",""GERAL!A2:C""),3,0),""-"")"),"-")</f>
        <v>-</v>
      </c>
    </row>
    <row r="604" ht="15.75" customHeight="1">
      <c r="A604" s="111" t="s">
        <v>723</v>
      </c>
      <c r="B604" s="83" t="s">
        <v>2806</v>
      </c>
      <c r="C604" s="83" t="s">
        <v>68</v>
      </c>
      <c r="D604" s="112">
        <v>1110529.0</v>
      </c>
      <c r="E604" s="83"/>
      <c r="F604" s="83">
        <v>2.923655E7</v>
      </c>
      <c r="G604" s="119" t="s">
        <v>2807</v>
      </c>
      <c r="H604" s="91" t="s">
        <v>2808</v>
      </c>
      <c r="I604" s="172" t="s">
        <v>149</v>
      </c>
      <c r="J604" s="83" t="s">
        <v>150</v>
      </c>
      <c r="K604" s="83" t="s">
        <v>151</v>
      </c>
      <c r="L604" s="83" t="s">
        <v>152</v>
      </c>
      <c r="M604" s="82" t="str">
        <f>IFERROR(__xludf.DUMMYFUNCTION("IFERROR(VLOOKUP(D604,
IMPORTRANGE(""https://docs.google.com/spreadsheets/d/1MjHtlUikwobi2MaWJgy7tfLeBmhj1u-dRFRs_8GwSoA/edit#gid=0"",""Gestores Escolares!D7:J""),3,0),""VERIFICAR CÓD SEC"")"),"KATIA REGINA SANTOS ROCHA")</f>
        <v>KATIA REGINA SANTOS ROCHA</v>
      </c>
      <c r="N604" s="82" t="str">
        <f>IFERROR(__xludf.DUMMYFUNCTION("IFERROR(VLOOKUP(D604,
IMPORTRANGE(""https://docs.google.com/spreadsheets/d/1MjHtlUikwobi2MaWJgy7tfLeBmhj1u-dRFRs_8GwSoA/edit#gid=0"",""Gestores Escolares!D7:J""),4,0),""VERIFICAR CÓD SEC"")"),"(75) 9 8809-4022")</f>
        <v>(75) 9 8809-4022</v>
      </c>
      <c r="O604" s="82" t="str">
        <f>IFERROR(__xludf.DUMMYFUNCTION("IFERROR(VLOOKUP(D604,
IMPORTRANGE(""https://docs.google.com/spreadsheets/d/1MjHtlUikwobi2MaWJgy7tfLeBmhj1u-dRFRs_8GwSoA/edit#gid=0"",""Gestores Escolares!D7:J""),6,0),""VERIFICAR CÓD SEC"")"),"ROBERTA LEAL TRAVI RIBEIRO")</f>
        <v>ROBERTA LEAL TRAVI RIBEIRO</v>
      </c>
      <c r="P604" s="82" t="str">
        <f>IFERROR(__xludf.DUMMYFUNCTION("IFERROR(VLOOKUP(D604,
IMPORTRANGE(""https://docs.google.com/spreadsheets/d/1MjHtlUikwobi2MaWJgy7tfLeBmhj1u-dRFRs_8GwSoA/edit#gid=0"",""Gestores Escolares!D7:J""),7,0),""VERIFICAR CÓD SEC"")"),"(75) 9 8844-3288")</f>
        <v>(75) 9 8844-3288</v>
      </c>
      <c r="Q604" s="82" t="str">
        <f>IFERROR(__xludf.DUMMYFUNCTION("IFERROR(VLOOKUP(D604,
IMPORTRANGE(""https://docs.google.com/spreadsheets/d/1MjHtlUikwobi2MaWJgy7tfLeBmhj1u-dRFRs_8GwSoA/edit#gid=0"",""Gestores Escolares!D7:m""),9,0),""VERIFICAR CÓD SEC"")"),"EDNA ADRIANA COSTA MATOS LIMA")</f>
        <v>EDNA ADRIANA COSTA MATOS LIMA</v>
      </c>
      <c r="R604" s="82" t="str">
        <f>IFERROR(__xludf.DUMMYFUNCTION("IFERROR(VLOOKUP(D604,
IMPORTRANGE(""https://docs.google.com/spreadsheets/d/1MjHtlUikwobi2MaWJgy7tfLeBmhj1u-dRFRs_8GwSoA/edit#gid=0"",""Gestores Escolares!D7:m""),10,0),""VERIFICAR CÓD SEC"")"),"(73) 9 8257-8958")</f>
        <v>(73) 9 8257-8958</v>
      </c>
      <c r="S604" s="82"/>
      <c r="T604" s="138">
        <v>8.0</v>
      </c>
      <c r="U604" s="388">
        <v>12.0</v>
      </c>
      <c r="V604" s="106">
        <v>0.0</v>
      </c>
      <c r="W604" s="107">
        <v>0.0</v>
      </c>
      <c r="X604" s="107">
        <v>0.0</v>
      </c>
      <c r="Y604" s="107">
        <v>0.0</v>
      </c>
      <c r="Z604" s="80">
        <f t="shared" si="1"/>
        <v>0</v>
      </c>
      <c r="AA604" s="106">
        <v>0.0</v>
      </c>
      <c r="AB604" s="107">
        <v>0.0</v>
      </c>
      <c r="AC604" s="107">
        <v>0.0</v>
      </c>
      <c r="AD604" s="107">
        <v>0.0</v>
      </c>
      <c r="AE604" s="80">
        <f t="shared" si="2"/>
        <v>0</v>
      </c>
      <c r="AF604" s="140">
        <v>292.0</v>
      </c>
      <c r="AG604" s="109">
        <v>94.0</v>
      </c>
      <c r="AH604" s="109">
        <v>0.0</v>
      </c>
      <c r="AI604" s="141">
        <v>87.0</v>
      </c>
      <c r="AJ604" s="80">
        <f t="shared" si="3"/>
        <v>473</v>
      </c>
      <c r="AK604" s="140">
        <v>0.0</v>
      </c>
      <c r="AL604" s="109">
        <v>0.0</v>
      </c>
      <c r="AM604" s="141">
        <v>0.0</v>
      </c>
      <c r="AN604" s="80">
        <f t="shared" si="4"/>
        <v>0</v>
      </c>
      <c r="AO604" s="140">
        <v>0.0</v>
      </c>
      <c r="AP604" s="109">
        <v>0.0</v>
      </c>
      <c r="AQ604" s="109">
        <v>64.0</v>
      </c>
      <c r="AR604" s="80">
        <f t="shared" si="5"/>
        <v>64</v>
      </c>
      <c r="AS604" s="110">
        <v>0.0</v>
      </c>
      <c r="AT604" s="110">
        <v>0.0</v>
      </c>
      <c r="AU604" s="110">
        <v>75.0</v>
      </c>
      <c r="AV604" s="142">
        <v>58.0</v>
      </c>
      <c r="AW604" s="80">
        <f t="shared" si="6"/>
        <v>133</v>
      </c>
      <c r="AX604" s="113">
        <f t="shared" si="7"/>
        <v>670</v>
      </c>
      <c r="AY604" s="117">
        <f t="shared" si="8"/>
        <v>531</v>
      </c>
      <c r="AZ604" s="120">
        <f t="shared" si="9"/>
        <v>139</v>
      </c>
      <c r="BA604" s="115">
        <v>0.0</v>
      </c>
      <c r="BB604" s="89">
        <f t="shared" si="10"/>
        <v>670</v>
      </c>
      <c r="BC604" s="132" t="s">
        <v>178</v>
      </c>
      <c r="BD604" s="132" t="s">
        <v>178</v>
      </c>
      <c r="BE604" s="132" t="s">
        <v>178</v>
      </c>
      <c r="BF604" s="123"/>
      <c r="BG604" s="83">
        <v>1110529.0</v>
      </c>
      <c r="BH604" s="112"/>
      <c r="BI604" s="112">
        <v>8.0</v>
      </c>
      <c r="BJ604" s="98" t="s">
        <v>162</v>
      </c>
      <c r="BK604" s="99">
        <f t="shared" si="11"/>
        <v>145</v>
      </c>
      <c r="BL604" s="99">
        <f t="shared" si="12"/>
        <v>386</v>
      </c>
      <c r="BM604" s="99" t="str">
        <f>IFERROR(__xludf.DUMMYFUNCTION("IFERROR(VLOOKUP(BG604,IMPORTRANGE(""https://docs.google.com/spreadsheets/d/1juPI-Fb8LD0YtltB2mlGEnp_R3UVu1t3wSFPzgCyHXE/edit?gid=0#gid=0"",""GERAL!A2:C""),3,0),""-"")"),"-")</f>
        <v>-</v>
      </c>
    </row>
    <row r="605" ht="15.75" customHeight="1">
      <c r="A605" s="111" t="s">
        <v>723</v>
      </c>
      <c r="B605" s="83" t="s">
        <v>2806</v>
      </c>
      <c r="C605" s="83" t="s">
        <v>164</v>
      </c>
      <c r="D605" s="112">
        <v>1110529.0</v>
      </c>
      <c r="E605" s="83">
        <v>1178881.0</v>
      </c>
      <c r="F605" s="98">
        <v>2.9490308E7</v>
      </c>
      <c r="G605" s="119" t="s">
        <v>2818</v>
      </c>
      <c r="H605" s="91" t="s">
        <v>2819</v>
      </c>
      <c r="I605" s="172" t="s">
        <v>2820</v>
      </c>
      <c r="J605" s="83" t="s">
        <v>2821</v>
      </c>
      <c r="K605" s="83" t="s">
        <v>168</v>
      </c>
      <c r="L605" s="83" t="s">
        <v>169</v>
      </c>
      <c r="M605" s="82" t="str">
        <f>IFERROR(__xludf.DUMMYFUNCTION("IFERROR(VLOOKUP(D605,
IMPORTRANGE(""https://docs.google.com/spreadsheets/d/1MjHtlUikwobi2MaWJgy7tfLeBmhj1u-dRFRs_8GwSoA/edit#gid=0"",""Gestores Escolares!D7:J""),3,0),""VERIFICAR CÓD SEC"")"),"KATIA REGINA SANTOS ROCHA")</f>
        <v>KATIA REGINA SANTOS ROCHA</v>
      </c>
      <c r="N605" s="82" t="str">
        <f>IFERROR(__xludf.DUMMYFUNCTION("IFERROR(VLOOKUP(D605,
IMPORTRANGE(""https://docs.google.com/spreadsheets/d/1MjHtlUikwobi2MaWJgy7tfLeBmhj1u-dRFRs_8GwSoA/edit#gid=0"",""Gestores Escolares!D7:J""),4,0),""VERIFICAR CÓD SEC"")"),"(75) 9 8809-4022")</f>
        <v>(75) 9 8809-4022</v>
      </c>
      <c r="O605" s="82" t="str">
        <f>IFERROR(__xludf.DUMMYFUNCTION("IFERROR(VLOOKUP(D605,
IMPORTRANGE(""https://docs.google.com/spreadsheets/d/1MjHtlUikwobi2MaWJgy7tfLeBmhj1u-dRFRs_8GwSoA/edit#gid=0"",""Gestores Escolares!D7:J""),6,0),""VERIFICAR CÓD SEC"")"),"ROBERTA LEAL TRAVI RIBEIRO")</f>
        <v>ROBERTA LEAL TRAVI RIBEIRO</v>
      </c>
      <c r="P605" s="82" t="str">
        <f>IFERROR(__xludf.DUMMYFUNCTION("IFERROR(VLOOKUP(D605,
IMPORTRANGE(""https://docs.google.com/spreadsheets/d/1MjHtlUikwobi2MaWJgy7tfLeBmhj1u-dRFRs_8GwSoA/edit#gid=0"",""Gestores Escolares!D7:J""),7,0),""VERIFICAR CÓD SEC"")"),"(75) 9 8844-3288")</f>
        <v>(75) 9 8844-3288</v>
      </c>
      <c r="Q605" s="82" t="str">
        <f>IFERROR(__xludf.DUMMYFUNCTION("IFERROR(VLOOKUP(D605,
IMPORTRANGE(""https://docs.google.com/spreadsheets/d/1MjHtlUikwobi2MaWJgy7tfLeBmhj1u-dRFRs_8GwSoA/edit#gid=0"",""Gestores Escolares!D7:m""),9,0),""VERIFICAR CÓD SEC"")"),"EDNA ADRIANA COSTA MATOS LIMA")</f>
        <v>EDNA ADRIANA COSTA MATOS LIMA</v>
      </c>
      <c r="R605" s="82" t="str">
        <f>IFERROR(__xludf.DUMMYFUNCTION("IFERROR(VLOOKUP(D605,
IMPORTRANGE(""https://docs.google.com/spreadsheets/d/1MjHtlUikwobi2MaWJgy7tfLeBmhj1u-dRFRs_8GwSoA/edit#gid=0"",""Gestores Escolares!D7:m""),10,0),""VERIFICAR CÓD SEC"")"),"(73) 9 8257-8958")</f>
        <v>(73) 9 8257-8958</v>
      </c>
      <c r="S605" s="82"/>
      <c r="T605" s="138">
        <v>3.0</v>
      </c>
      <c r="U605" s="139">
        <v>3.0</v>
      </c>
      <c r="V605" s="106">
        <v>0.0</v>
      </c>
      <c r="W605" s="107">
        <v>0.0</v>
      </c>
      <c r="X605" s="107">
        <v>0.0</v>
      </c>
      <c r="Y605" s="107">
        <v>0.0</v>
      </c>
      <c r="Z605" s="80">
        <f t="shared" si="1"/>
        <v>0</v>
      </c>
      <c r="AA605" s="106">
        <v>0.0</v>
      </c>
      <c r="AB605" s="107">
        <v>0.0</v>
      </c>
      <c r="AC605" s="107">
        <v>0.0</v>
      </c>
      <c r="AD605" s="107">
        <v>0.0</v>
      </c>
      <c r="AE605" s="80">
        <f t="shared" si="2"/>
        <v>0</v>
      </c>
      <c r="AF605" s="140">
        <v>0.0</v>
      </c>
      <c r="AG605" s="109">
        <v>0.0</v>
      </c>
      <c r="AH605" s="109">
        <v>0.0</v>
      </c>
      <c r="AI605" s="141">
        <v>0.0</v>
      </c>
      <c r="AJ605" s="80">
        <f t="shared" si="3"/>
        <v>0</v>
      </c>
      <c r="AK605" s="140">
        <v>0.0</v>
      </c>
      <c r="AL605" s="109">
        <v>0.0</v>
      </c>
      <c r="AM605" s="141">
        <v>0.0</v>
      </c>
      <c r="AN605" s="80">
        <f t="shared" si="4"/>
        <v>0</v>
      </c>
      <c r="AO605" s="140">
        <v>0.0</v>
      </c>
      <c r="AP605" s="109">
        <v>0.0</v>
      </c>
      <c r="AQ605" s="109">
        <v>32.0</v>
      </c>
      <c r="AR605" s="80">
        <f t="shared" si="5"/>
        <v>32</v>
      </c>
      <c r="AS605" s="110">
        <v>0.0</v>
      </c>
      <c r="AT605" s="110">
        <v>0.0</v>
      </c>
      <c r="AU605" s="110">
        <v>0.0</v>
      </c>
      <c r="AV605" s="142">
        <v>0.0</v>
      </c>
      <c r="AW605" s="80">
        <f t="shared" si="6"/>
        <v>0</v>
      </c>
      <c r="AX605" s="113">
        <f t="shared" si="7"/>
        <v>32</v>
      </c>
      <c r="AY605" s="117">
        <f t="shared" si="8"/>
        <v>0</v>
      </c>
      <c r="AZ605" s="120">
        <f t="shared" si="9"/>
        <v>32</v>
      </c>
      <c r="BA605" s="115">
        <v>0.0</v>
      </c>
      <c r="BB605" s="89">
        <f t="shared" si="10"/>
        <v>32</v>
      </c>
      <c r="BC605" s="132" t="s">
        <v>373</v>
      </c>
      <c r="BD605" s="132" t="s">
        <v>178</v>
      </c>
      <c r="BE605" s="132" t="s">
        <v>178</v>
      </c>
      <c r="BF605" s="123"/>
      <c r="BG605" s="83">
        <v>1178881.0</v>
      </c>
      <c r="BH605" s="112"/>
      <c r="BI605" s="112">
        <v>3.0</v>
      </c>
      <c r="BJ605" s="98" t="s">
        <v>155</v>
      </c>
      <c r="BK605" s="99">
        <f t="shared" si="11"/>
        <v>0</v>
      </c>
      <c r="BL605" s="99">
        <f t="shared" si="12"/>
        <v>0</v>
      </c>
      <c r="BM605" s="99" t="str">
        <f>IFERROR(__xludf.DUMMYFUNCTION("IFERROR(VLOOKUP(BG605,IMPORTRANGE(""https://docs.google.com/spreadsheets/d/1juPI-Fb8LD0YtltB2mlGEnp_R3UVu1t3wSFPzgCyHXE/edit?gid=0#gid=0"",""GERAL!A2:C""),3,0),""-"")"),"CAMPO")</f>
        <v>CAMPO</v>
      </c>
    </row>
    <row r="606" ht="15.75" customHeight="1">
      <c r="A606" s="111" t="s">
        <v>796</v>
      </c>
      <c r="B606" s="83" t="s">
        <v>2830</v>
      </c>
      <c r="C606" s="83" t="s">
        <v>68</v>
      </c>
      <c r="D606" s="112">
        <v>1178278.0</v>
      </c>
      <c r="E606" s="83"/>
      <c r="F606" s="83">
        <v>2.9535808E7</v>
      </c>
      <c r="G606" s="119" t="s">
        <v>2831</v>
      </c>
      <c r="H606" s="91" t="s">
        <v>2832</v>
      </c>
      <c r="I606" s="136" t="s">
        <v>149</v>
      </c>
      <c r="J606" s="83" t="s">
        <v>150</v>
      </c>
      <c r="K606" s="83" t="s">
        <v>151</v>
      </c>
      <c r="L606" s="83" t="s">
        <v>152</v>
      </c>
      <c r="M606" s="82" t="str">
        <f>IFERROR(__xludf.DUMMYFUNCTION("IFERROR(VLOOKUP(D606,
IMPORTRANGE(""https://docs.google.com/spreadsheets/d/1MjHtlUikwobi2MaWJgy7tfLeBmhj1u-dRFRs_8GwSoA/edit#gid=0"",""Gestores Escolares!D7:J""),3,0),""VERIFICAR CÓD SEC"")"),"CLAUDIVON DIAS DA SILVA ")</f>
        <v>CLAUDIVON DIAS DA SILVA </v>
      </c>
      <c r="N606" s="82" t="str">
        <f>IFERROR(__xludf.DUMMYFUNCTION("IFERROR(VLOOKUP(D606,
IMPORTRANGE(""https://docs.google.com/spreadsheets/d/1MjHtlUikwobi2MaWJgy7tfLeBmhj1u-dRFRs_8GwSoA/edit#gid=0"",""Gestores Escolares!D7:J""),4,0),""VERIFICAR CÓD SEC"")"),"(74) 9 9982-8003 ")</f>
        <v>(74) 9 9982-8003 </v>
      </c>
      <c r="O606" s="82" t="str">
        <f>IFERROR(__xludf.DUMMYFUNCTION("IFERROR(VLOOKUP(D606,
IMPORTRANGE(""https://docs.google.com/spreadsheets/d/1MjHtlUikwobi2MaWJgy7tfLeBmhj1u-dRFRs_8GwSoA/edit#gid=0"",""Gestores Escolares!D7:J""),6,0),""VERIFICAR CÓD SEC"")")," ELIEZER MOREIRA MIRANDA")</f>
        <v> ELIEZER MOREIRA MIRANDA</v>
      </c>
      <c r="P606" s="82" t="str">
        <f>IFERROR(__xludf.DUMMYFUNCTION("IFERROR(VLOOKUP(D606,
IMPORTRANGE(""https://docs.google.com/spreadsheets/d/1MjHtlUikwobi2MaWJgy7tfLeBmhj1u-dRFRs_8GwSoA/edit#gid=0"",""Gestores Escolares!D7:J""),7,0),""VERIFICAR CÓD SEC"")")," (74) 9 9989-3366")</f>
        <v> (74) 9 9989-3366</v>
      </c>
      <c r="Q606" s="82" t="str">
        <f>IFERROR(__xludf.DUMMYFUNCTION("IFERROR(VLOOKUP(D606,
IMPORTRANGE(""https://docs.google.com/spreadsheets/d/1MjHtlUikwobi2MaWJgy7tfLeBmhj1u-dRFRs_8GwSoA/edit#gid=0"",""Gestores Escolares!D7:m""),9,0),""VERIFICAR CÓD SEC"")"),"")</f>
        <v/>
      </c>
      <c r="R606" s="82" t="str">
        <f>IFERROR(__xludf.DUMMYFUNCTION("IFERROR(VLOOKUP(D606,
IMPORTRANGE(""https://docs.google.com/spreadsheets/d/1MjHtlUikwobi2MaWJgy7tfLeBmhj1u-dRFRs_8GwSoA/edit#gid=0"",""Gestores Escolares!D7:m""),10,0),""VERIFICAR CÓD SEC"")"),"")</f>
        <v/>
      </c>
      <c r="S606" s="82"/>
      <c r="T606" s="138">
        <v>8.0</v>
      </c>
      <c r="U606" s="145">
        <v>17.0</v>
      </c>
      <c r="V606" s="106">
        <v>0.0</v>
      </c>
      <c r="W606" s="107">
        <v>0.0</v>
      </c>
      <c r="X606" s="107">
        <v>0.0</v>
      </c>
      <c r="Y606" s="107">
        <v>0.0</v>
      </c>
      <c r="Z606" s="80">
        <f t="shared" si="1"/>
        <v>0</v>
      </c>
      <c r="AA606" s="106">
        <v>0.0</v>
      </c>
      <c r="AB606" s="107">
        <v>0.0</v>
      </c>
      <c r="AC606" s="107">
        <v>0.0</v>
      </c>
      <c r="AD606" s="107">
        <v>0.0</v>
      </c>
      <c r="AE606" s="80">
        <f t="shared" si="2"/>
        <v>0</v>
      </c>
      <c r="AF606" s="140">
        <v>108.0</v>
      </c>
      <c r="AG606" s="109">
        <v>125.0</v>
      </c>
      <c r="AH606" s="109">
        <v>0.0</v>
      </c>
      <c r="AI606" s="141">
        <v>167.0</v>
      </c>
      <c r="AJ606" s="80">
        <f t="shared" si="3"/>
        <v>400</v>
      </c>
      <c r="AK606" s="140">
        <v>0.0</v>
      </c>
      <c r="AL606" s="109">
        <v>0.0</v>
      </c>
      <c r="AM606" s="141">
        <v>0.0</v>
      </c>
      <c r="AN606" s="80">
        <f t="shared" si="4"/>
        <v>0</v>
      </c>
      <c r="AO606" s="140">
        <v>0.0</v>
      </c>
      <c r="AP606" s="109">
        <v>0.0</v>
      </c>
      <c r="AQ606" s="109">
        <v>76.0</v>
      </c>
      <c r="AR606" s="80">
        <f t="shared" si="5"/>
        <v>76</v>
      </c>
      <c r="AS606" s="110">
        <v>0.0</v>
      </c>
      <c r="AT606" s="110">
        <v>22.0</v>
      </c>
      <c r="AU606" s="110">
        <v>14.0</v>
      </c>
      <c r="AV606" s="142">
        <v>122.0</v>
      </c>
      <c r="AW606" s="80">
        <f t="shared" si="6"/>
        <v>158</v>
      </c>
      <c r="AX606" s="113">
        <f t="shared" si="7"/>
        <v>634</v>
      </c>
      <c r="AY606" s="117">
        <f t="shared" si="8"/>
        <v>544</v>
      </c>
      <c r="AZ606" s="120">
        <f t="shared" si="9"/>
        <v>90</v>
      </c>
      <c r="BA606" s="115">
        <v>0.0</v>
      </c>
      <c r="BB606" s="89">
        <f t="shared" si="10"/>
        <v>634</v>
      </c>
      <c r="BC606" s="132" t="s">
        <v>178</v>
      </c>
      <c r="BD606" s="132" t="s">
        <v>178</v>
      </c>
      <c r="BE606" s="132" t="s">
        <v>178</v>
      </c>
      <c r="BF606" s="123"/>
      <c r="BG606" s="83">
        <v>1178278.0</v>
      </c>
      <c r="BH606" s="112"/>
      <c r="BI606" s="112">
        <v>7.0</v>
      </c>
      <c r="BJ606" s="98" t="s">
        <v>176</v>
      </c>
      <c r="BK606" s="99">
        <f t="shared" si="11"/>
        <v>289</v>
      </c>
      <c r="BL606" s="99">
        <f t="shared" si="12"/>
        <v>255</v>
      </c>
      <c r="BM606" s="99" t="str">
        <f>IFERROR(__xludf.DUMMYFUNCTION("IFERROR(VLOOKUP(BG606,IMPORTRANGE(""https://docs.google.com/spreadsheets/d/1juPI-Fb8LD0YtltB2mlGEnp_R3UVu1t3wSFPzgCyHXE/edit?gid=0#gid=0"",""GERAL!A2:C""),3,0),""-"")"),"-")</f>
        <v>-</v>
      </c>
    </row>
    <row r="607" ht="15.75" customHeight="1">
      <c r="A607" s="111" t="s">
        <v>796</v>
      </c>
      <c r="B607" s="83" t="s">
        <v>2830</v>
      </c>
      <c r="C607" s="83" t="s">
        <v>164</v>
      </c>
      <c r="D607" s="112">
        <v>1179111.0</v>
      </c>
      <c r="E607" s="83">
        <v>1178647.0</v>
      </c>
      <c r="F607" s="98">
        <v>2.9456509E7</v>
      </c>
      <c r="G607" s="114" t="s">
        <v>2842</v>
      </c>
      <c r="H607" s="91" t="s">
        <v>2843</v>
      </c>
      <c r="I607" s="136" t="s">
        <v>149</v>
      </c>
      <c r="J607" s="83" t="s">
        <v>1931</v>
      </c>
      <c r="K607" s="83" t="s">
        <v>168</v>
      </c>
      <c r="L607" s="83" t="s">
        <v>169</v>
      </c>
      <c r="M607" s="82" t="str">
        <f>IFERROR(__xludf.DUMMYFUNCTION("IFERROR(VLOOKUP(D607,
IMPORTRANGE(""https://docs.google.com/spreadsheets/d/1MjHtlUikwobi2MaWJgy7tfLeBmhj1u-dRFRs_8GwSoA/edit#gid=0"",""Gestores Escolares!D7:J""),3,0),""VERIFICAR CÓD SEC"")"),"ADAILSON BARBOSA GOMES")</f>
        <v>ADAILSON BARBOSA GOMES</v>
      </c>
      <c r="N607" s="82" t="str">
        <f>IFERROR(__xludf.DUMMYFUNCTION("IFERROR(VLOOKUP(D607,
IMPORTRANGE(""https://docs.google.com/spreadsheets/d/1MjHtlUikwobi2MaWJgy7tfLeBmhj1u-dRFRs_8GwSoA/edit#gid=0"",""Gestores Escolares!D7:J""),4,0),""VERIFICAR CÓD SEC"")"),"(74) 9 8828-2249")</f>
        <v>(74) 9 8828-2249</v>
      </c>
      <c r="O607" s="82" t="str">
        <f>IFERROR(__xludf.DUMMYFUNCTION("IFERROR(VLOOKUP(D607,
IMPORTRANGE(""https://docs.google.com/spreadsheets/d/1MjHtlUikwobi2MaWJgy7tfLeBmhj1u-dRFRs_8GwSoA/edit#gid=0"",""Gestores Escolares!D7:J""),6,0),""VERIFICAR CÓD SEC"")"),"JOSE NELSON ALVES DA SILVA")</f>
        <v>JOSE NELSON ALVES DA SILVA</v>
      </c>
      <c r="P607" s="82" t="str">
        <f>IFERROR(__xludf.DUMMYFUNCTION("IFERROR(VLOOKUP(D607,
IMPORTRANGE(""https://docs.google.com/spreadsheets/d/1MjHtlUikwobi2MaWJgy7tfLeBmhj1u-dRFRs_8GwSoA/edit#gid=0"",""Gestores Escolares!D7:J""),7,0),""VERIFICAR CÓD SEC"")"),"(74) 9 8862-1210")</f>
        <v>(74) 9 8862-1210</v>
      </c>
      <c r="Q607" s="82" t="str">
        <f>IFERROR(__xludf.DUMMYFUNCTION("IFERROR(VLOOKUP(D607,
IMPORTRANGE(""https://docs.google.com/spreadsheets/d/1MjHtlUikwobi2MaWJgy7tfLeBmhj1u-dRFRs_8GwSoA/edit#gid=0"",""Gestores Escolares!D7:m""),9,0),""VERIFICAR CÓD SEC"")"),"JOSEMAR RODRIGUES SANTOS")</f>
        <v>JOSEMAR RODRIGUES SANTOS</v>
      </c>
      <c r="R607" s="82" t="str">
        <f>IFERROR(__xludf.DUMMYFUNCTION("IFERROR(VLOOKUP(D607,
IMPORTRANGE(""https://docs.google.com/spreadsheets/d/1MjHtlUikwobi2MaWJgy7tfLeBmhj1u-dRFRs_8GwSoA/edit#gid=0"",""Gestores Escolares!D7:m""),10,0),""VERIFICAR CÓD SEC"")"),"(74) 9 8832-3106")</f>
        <v>(74) 9 8832-3106</v>
      </c>
      <c r="S607" s="82"/>
      <c r="T607" s="138">
        <v>1.0</v>
      </c>
      <c r="U607" s="145">
        <v>1.0</v>
      </c>
      <c r="V607" s="106">
        <v>0.0</v>
      </c>
      <c r="W607" s="107">
        <v>0.0</v>
      </c>
      <c r="X607" s="107">
        <v>0.0</v>
      </c>
      <c r="Y607" s="107">
        <v>0.0</v>
      </c>
      <c r="Z607" s="80">
        <f t="shared" si="1"/>
        <v>0</v>
      </c>
      <c r="AA607" s="106">
        <v>0.0</v>
      </c>
      <c r="AB607" s="107">
        <v>0.0</v>
      </c>
      <c r="AC607" s="107">
        <v>0.0</v>
      </c>
      <c r="AD607" s="107">
        <v>0.0</v>
      </c>
      <c r="AE607" s="80">
        <f t="shared" si="2"/>
        <v>0</v>
      </c>
      <c r="AF607" s="140">
        <v>4.0</v>
      </c>
      <c r="AG607" s="109">
        <v>0.0</v>
      </c>
      <c r="AH607" s="109">
        <v>16.0</v>
      </c>
      <c r="AI607" s="141">
        <v>0.0</v>
      </c>
      <c r="AJ607" s="80">
        <f t="shared" si="3"/>
        <v>20</v>
      </c>
      <c r="AK607" s="140">
        <v>0.0</v>
      </c>
      <c r="AL607" s="109">
        <v>0.0</v>
      </c>
      <c r="AM607" s="141">
        <v>0.0</v>
      </c>
      <c r="AN607" s="80">
        <f t="shared" si="4"/>
        <v>0</v>
      </c>
      <c r="AO607" s="140">
        <v>0.0</v>
      </c>
      <c r="AP607" s="109">
        <v>0.0</v>
      </c>
      <c r="AQ607" s="109">
        <v>0.0</v>
      </c>
      <c r="AR607" s="80">
        <f t="shared" si="5"/>
        <v>0</v>
      </c>
      <c r="AS607" s="110">
        <v>0.0</v>
      </c>
      <c r="AT607" s="110">
        <v>0.0</v>
      </c>
      <c r="AU607" s="110">
        <v>0.0</v>
      </c>
      <c r="AV607" s="142">
        <v>0.0</v>
      </c>
      <c r="AW607" s="80">
        <f t="shared" si="6"/>
        <v>0</v>
      </c>
      <c r="AX607" s="113">
        <f t="shared" si="7"/>
        <v>20</v>
      </c>
      <c r="AY607" s="117">
        <f t="shared" si="8"/>
        <v>4</v>
      </c>
      <c r="AZ607" s="120">
        <f t="shared" si="9"/>
        <v>16</v>
      </c>
      <c r="BA607" s="115">
        <v>0.0</v>
      </c>
      <c r="BB607" s="89">
        <f t="shared" si="10"/>
        <v>20</v>
      </c>
      <c r="BC607" s="132" t="s">
        <v>178</v>
      </c>
      <c r="BD607" s="143" t="s">
        <v>227</v>
      </c>
      <c r="BE607" s="132" t="s">
        <v>178</v>
      </c>
      <c r="BF607" s="123"/>
      <c r="BG607" s="83">
        <v>1178647.0</v>
      </c>
      <c r="BH607" s="112"/>
      <c r="BI607" s="112">
        <v>1.0</v>
      </c>
      <c r="BJ607" s="98" t="s">
        <v>155</v>
      </c>
      <c r="BK607" s="99">
        <f t="shared" si="11"/>
        <v>0</v>
      </c>
      <c r="BL607" s="99">
        <f t="shared" si="12"/>
        <v>4</v>
      </c>
      <c r="BM607" s="99" t="str">
        <f>IFERROR(__xludf.DUMMYFUNCTION("IFERROR(VLOOKUP(BG607,IMPORTRANGE(""https://docs.google.com/spreadsheets/d/1juPI-Fb8LD0YtltB2mlGEnp_R3UVu1t3wSFPzgCyHXE/edit?gid=0#gid=0"",""GERAL!A2:C""),3,0),""-"")"),"-")</f>
        <v>-</v>
      </c>
    </row>
    <row r="608" ht="15.75" customHeight="1">
      <c r="A608" s="111" t="s">
        <v>796</v>
      </c>
      <c r="B608" s="83" t="s">
        <v>2830</v>
      </c>
      <c r="C608" s="83" t="s">
        <v>164</v>
      </c>
      <c r="D608" s="112">
        <v>1179111.0</v>
      </c>
      <c r="E608" s="83">
        <v>1179077.0</v>
      </c>
      <c r="F608" s="98">
        <v>2.9456509E7</v>
      </c>
      <c r="G608" s="114" t="s">
        <v>2852</v>
      </c>
      <c r="H608" s="91" t="s">
        <v>2853</v>
      </c>
      <c r="I608" s="136" t="s">
        <v>2854</v>
      </c>
      <c r="J608" s="83" t="s">
        <v>2855</v>
      </c>
      <c r="K608" s="83" t="s">
        <v>168</v>
      </c>
      <c r="L608" s="83" t="s">
        <v>169</v>
      </c>
      <c r="M608" s="82" t="str">
        <f>IFERROR(__xludf.DUMMYFUNCTION("IFERROR(VLOOKUP(D608,
IMPORTRANGE(""https://docs.google.com/spreadsheets/d/1MjHtlUikwobi2MaWJgy7tfLeBmhj1u-dRFRs_8GwSoA/edit#gid=0"",""Gestores Escolares!D7:J""),3,0),""VERIFICAR CÓD SEC"")"),"ADAILSON BARBOSA GOMES")</f>
        <v>ADAILSON BARBOSA GOMES</v>
      </c>
      <c r="N608" s="82" t="str">
        <f>IFERROR(__xludf.DUMMYFUNCTION("IFERROR(VLOOKUP(D608,
IMPORTRANGE(""https://docs.google.com/spreadsheets/d/1MjHtlUikwobi2MaWJgy7tfLeBmhj1u-dRFRs_8GwSoA/edit#gid=0"",""Gestores Escolares!D7:J""),4,0),""VERIFICAR CÓD SEC"")"),"(74) 9 8828-2249")</f>
        <v>(74) 9 8828-2249</v>
      </c>
      <c r="O608" s="82" t="str">
        <f>IFERROR(__xludf.DUMMYFUNCTION("IFERROR(VLOOKUP(D608,
IMPORTRANGE(""https://docs.google.com/spreadsheets/d/1MjHtlUikwobi2MaWJgy7tfLeBmhj1u-dRFRs_8GwSoA/edit#gid=0"",""Gestores Escolares!D7:J""),6,0),""VERIFICAR CÓD SEC"")"),"JOSE NELSON ALVES DA SILVA")</f>
        <v>JOSE NELSON ALVES DA SILVA</v>
      </c>
      <c r="P608" s="82" t="str">
        <f>IFERROR(__xludf.DUMMYFUNCTION("IFERROR(VLOOKUP(D608,
IMPORTRANGE(""https://docs.google.com/spreadsheets/d/1MjHtlUikwobi2MaWJgy7tfLeBmhj1u-dRFRs_8GwSoA/edit#gid=0"",""Gestores Escolares!D7:J""),7,0),""VERIFICAR CÓD SEC"")"),"(74) 9 8862-1210")</f>
        <v>(74) 9 8862-1210</v>
      </c>
      <c r="Q608" s="82" t="str">
        <f>IFERROR(__xludf.DUMMYFUNCTION("IFERROR(VLOOKUP(D608,
IMPORTRANGE(""https://docs.google.com/spreadsheets/d/1MjHtlUikwobi2MaWJgy7tfLeBmhj1u-dRFRs_8GwSoA/edit#gid=0"",""Gestores Escolares!D7:m""),9,0),""VERIFICAR CÓD SEC"")"),"JOSEMAR RODRIGUES SANTOS")</f>
        <v>JOSEMAR RODRIGUES SANTOS</v>
      </c>
      <c r="R608" s="82" t="str">
        <f>IFERROR(__xludf.DUMMYFUNCTION("IFERROR(VLOOKUP(D608,
IMPORTRANGE(""https://docs.google.com/spreadsheets/d/1MjHtlUikwobi2MaWJgy7tfLeBmhj1u-dRFRs_8GwSoA/edit#gid=0"",""Gestores Escolares!D7:m""),10,0),""VERIFICAR CÓD SEC"")"),"(74) 9 8832-3106")</f>
        <v>(74) 9 8832-3106</v>
      </c>
      <c r="S608" s="82"/>
      <c r="T608" s="138">
        <v>2.0</v>
      </c>
      <c r="U608" s="145">
        <v>2.0</v>
      </c>
      <c r="V608" s="106">
        <v>0.0</v>
      </c>
      <c r="W608" s="107">
        <v>0.0</v>
      </c>
      <c r="X608" s="107">
        <v>0.0</v>
      </c>
      <c r="Y608" s="107">
        <v>0.0</v>
      </c>
      <c r="Z608" s="80">
        <f t="shared" si="1"/>
        <v>0</v>
      </c>
      <c r="AA608" s="106">
        <v>0.0</v>
      </c>
      <c r="AB608" s="107">
        <v>0.0</v>
      </c>
      <c r="AC608" s="107">
        <v>0.0</v>
      </c>
      <c r="AD608" s="107">
        <v>0.0</v>
      </c>
      <c r="AE608" s="80">
        <f t="shared" si="2"/>
        <v>0</v>
      </c>
      <c r="AF608" s="140">
        <v>17.0</v>
      </c>
      <c r="AG608" s="109">
        <v>9.0</v>
      </c>
      <c r="AH608" s="109">
        <v>0.0</v>
      </c>
      <c r="AI608" s="141">
        <v>0.0</v>
      </c>
      <c r="AJ608" s="80">
        <f t="shared" si="3"/>
        <v>26</v>
      </c>
      <c r="AK608" s="140">
        <v>0.0</v>
      </c>
      <c r="AL608" s="109">
        <v>0.0</v>
      </c>
      <c r="AM608" s="141">
        <v>0.0</v>
      </c>
      <c r="AN608" s="80">
        <f t="shared" si="4"/>
        <v>0</v>
      </c>
      <c r="AO608" s="140">
        <v>0.0</v>
      </c>
      <c r="AP608" s="109">
        <v>0.0</v>
      </c>
      <c r="AQ608" s="109">
        <v>0.0</v>
      </c>
      <c r="AR608" s="80">
        <f t="shared" si="5"/>
        <v>0</v>
      </c>
      <c r="AS608" s="110">
        <v>0.0</v>
      </c>
      <c r="AT608" s="110">
        <v>0.0</v>
      </c>
      <c r="AU608" s="110">
        <v>0.0</v>
      </c>
      <c r="AV608" s="142">
        <v>0.0</v>
      </c>
      <c r="AW608" s="80">
        <f t="shared" si="6"/>
        <v>0</v>
      </c>
      <c r="AX608" s="113">
        <f t="shared" si="7"/>
        <v>26</v>
      </c>
      <c r="AY608" s="117">
        <f t="shared" si="8"/>
        <v>26</v>
      </c>
      <c r="AZ608" s="120">
        <f t="shared" si="9"/>
        <v>0</v>
      </c>
      <c r="BA608" s="115">
        <v>0.0</v>
      </c>
      <c r="BB608" s="89">
        <f t="shared" si="10"/>
        <v>26</v>
      </c>
      <c r="BC608" s="132" t="s">
        <v>178</v>
      </c>
      <c r="BD608" s="143" t="s">
        <v>227</v>
      </c>
      <c r="BE608" s="132" t="s">
        <v>178</v>
      </c>
      <c r="BF608" s="123"/>
      <c r="BG608" s="83">
        <v>1179077.0</v>
      </c>
      <c r="BH608" s="112"/>
      <c r="BI608" s="112">
        <v>2.0</v>
      </c>
      <c r="BJ608" s="98" t="s">
        <v>155</v>
      </c>
      <c r="BK608" s="99">
        <f t="shared" si="11"/>
        <v>0</v>
      </c>
      <c r="BL608" s="99">
        <f t="shared" si="12"/>
        <v>26</v>
      </c>
      <c r="BM608" s="99" t="str">
        <f>IFERROR(__xludf.DUMMYFUNCTION("IFERROR(VLOOKUP(BG608,IMPORTRANGE(""https://docs.google.com/spreadsheets/d/1juPI-Fb8LD0YtltB2mlGEnp_R3UVu1t3wSFPzgCyHXE/edit?gid=0#gid=0"",""GERAL!A2:C""),3,0),""-"")"),"-")</f>
        <v>-</v>
      </c>
    </row>
    <row r="609" ht="15.75" customHeight="1">
      <c r="A609" s="111" t="s">
        <v>796</v>
      </c>
      <c r="B609" s="83" t="s">
        <v>2830</v>
      </c>
      <c r="C609" s="83" t="s">
        <v>164</v>
      </c>
      <c r="D609" s="112">
        <v>1179111.0</v>
      </c>
      <c r="E609" s="83">
        <v>1178653.0</v>
      </c>
      <c r="F609" s="98">
        <v>2.9456509E7</v>
      </c>
      <c r="G609" s="114" t="s">
        <v>2856</v>
      </c>
      <c r="H609" s="91" t="s">
        <v>2857</v>
      </c>
      <c r="I609" s="136" t="s">
        <v>2858</v>
      </c>
      <c r="J609" s="83" t="s">
        <v>890</v>
      </c>
      <c r="K609" s="83" t="s">
        <v>168</v>
      </c>
      <c r="L609" s="83" t="s">
        <v>169</v>
      </c>
      <c r="M609" s="82" t="str">
        <f>IFERROR(__xludf.DUMMYFUNCTION("IFERROR(VLOOKUP(D609,
IMPORTRANGE(""https://docs.google.com/spreadsheets/d/1MjHtlUikwobi2MaWJgy7tfLeBmhj1u-dRFRs_8GwSoA/edit#gid=0"",""Gestores Escolares!D7:J""),3,0),""VERIFICAR CÓD SEC"")"),"ADAILSON BARBOSA GOMES")</f>
        <v>ADAILSON BARBOSA GOMES</v>
      </c>
      <c r="N609" s="82" t="str">
        <f>IFERROR(__xludf.DUMMYFUNCTION("IFERROR(VLOOKUP(D609,
IMPORTRANGE(""https://docs.google.com/spreadsheets/d/1MjHtlUikwobi2MaWJgy7tfLeBmhj1u-dRFRs_8GwSoA/edit#gid=0"",""Gestores Escolares!D7:J""),4,0),""VERIFICAR CÓD SEC"")"),"(74) 9 8828-2249")</f>
        <v>(74) 9 8828-2249</v>
      </c>
      <c r="O609" s="82" t="str">
        <f>IFERROR(__xludf.DUMMYFUNCTION("IFERROR(VLOOKUP(D609,
IMPORTRANGE(""https://docs.google.com/spreadsheets/d/1MjHtlUikwobi2MaWJgy7tfLeBmhj1u-dRFRs_8GwSoA/edit#gid=0"",""Gestores Escolares!D7:J""),6,0),""VERIFICAR CÓD SEC"")"),"JOSE NELSON ALVES DA SILVA")</f>
        <v>JOSE NELSON ALVES DA SILVA</v>
      </c>
      <c r="P609" s="82" t="str">
        <f>IFERROR(__xludf.DUMMYFUNCTION("IFERROR(VLOOKUP(D609,
IMPORTRANGE(""https://docs.google.com/spreadsheets/d/1MjHtlUikwobi2MaWJgy7tfLeBmhj1u-dRFRs_8GwSoA/edit#gid=0"",""Gestores Escolares!D7:J""),7,0),""VERIFICAR CÓD SEC"")"),"(74) 9 8862-1210")</f>
        <v>(74) 9 8862-1210</v>
      </c>
      <c r="Q609" s="82" t="str">
        <f>IFERROR(__xludf.DUMMYFUNCTION("IFERROR(VLOOKUP(D609,
IMPORTRANGE(""https://docs.google.com/spreadsheets/d/1MjHtlUikwobi2MaWJgy7tfLeBmhj1u-dRFRs_8GwSoA/edit#gid=0"",""Gestores Escolares!D7:m""),9,0),""VERIFICAR CÓD SEC"")"),"JOSEMAR RODRIGUES SANTOS")</f>
        <v>JOSEMAR RODRIGUES SANTOS</v>
      </c>
      <c r="R609" s="82" t="str">
        <f>IFERROR(__xludf.DUMMYFUNCTION("IFERROR(VLOOKUP(D609,
IMPORTRANGE(""https://docs.google.com/spreadsheets/d/1MjHtlUikwobi2MaWJgy7tfLeBmhj1u-dRFRs_8GwSoA/edit#gid=0"",""Gestores Escolares!D7:m""),10,0),""VERIFICAR CÓD SEC"")"),"(74) 9 8832-3106")</f>
        <v>(74) 9 8832-3106</v>
      </c>
      <c r="S609" s="82"/>
      <c r="T609" s="138">
        <v>2.0</v>
      </c>
      <c r="U609" s="145">
        <v>2.0</v>
      </c>
      <c r="V609" s="106">
        <v>0.0</v>
      </c>
      <c r="W609" s="107">
        <v>0.0</v>
      </c>
      <c r="X609" s="107">
        <v>0.0</v>
      </c>
      <c r="Y609" s="107">
        <v>0.0</v>
      </c>
      <c r="Z609" s="80">
        <f t="shared" si="1"/>
        <v>0</v>
      </c>
      <c r="AA609" s="106">
        <v>0.0</v>
      </c>
      <c r="AB609" s="107">
        <v>0.0</v>
      </c>
      <c r="AC609" s="107">
        <v>0.0</v>
      </c>
      <c r="AD609" s="107">
        <v>0.0</v>
      </c>
      <c r="AE609" s="80">
        <f t="shared" si="2"/>
        <v>0</v>
      </c>
      <c r="AF609" s="140">
        <v>12.0</v>
      </c>
      <c r="AG609" s="109">
        <v>10.0</v>
      </c>
      <c r="AH609" s="109">
        <v>0.0</v>
      </c>
      <c r="AI609" s="141">
        <v>0.0</v>
      </c>
      <c r="AJ609" s="80">
        <f t="shared" si="3"/>
        <v>22</v>
      </c>
      <c r="AK609" s="140">
        <v>0.0</v>
      </c>
      <c r="AL609" s="109">
        <v>0.0</v>
      </c>
      <c r="AM609" s="141">
        <v>0.0</v>
      </c>
      <c r="AN609" s="80">
        <f t="shared" si="4"/>
        <v>0</v>
      </c>
      <c r="AO609" s="140">
        <v>0.0</v>
      </c>
      <c r="AP609" s="109">
        <v>0.0</v>
      </c>
      <c r="AQ609" s="109">
        <v>0.0</v>
      </c>
      <c r="AR609" s="80">
        <f t="shared" si="5"/>
        <v>0</v>
      </c>
      <c r="AS609" s="110">
        <v>0.0</v>
      </c>
      <c r="AT609" s="110">
        <v>0.0</v>
      </c>
      <c r="AU609" s="110">
        <v>0.0</v>
      </c>
      <c r="AV609" s="142">
        <v>0.0</v>
      </c>
      <c r="AW609" s="80">
        <f t="shared" si="6"/>
        <v>0</v>
      </c>
      <c r="AX609" s="113">
        <f t="shared" si="7"/>
        <v>22</v>
      </c>
      <c r="AY609" s="117">
        <f t="shared" si="8"/>
        <v>22</v>
      </c>
      <c r="AZ609" s="120">
        <f t="shared" si="9"/>
        <v>0</v>
      </c>
      <c r="BA609" s="115">
        <v>0.0</v>
      </c>
      <c r="BB609" s="89">
        <f t="shared" si="10"/>
        <v>22</v>
      </c>
      <c r="BC609" s="132" t="s">
        <v>178</v>
      </c>
      <c r="BD609" s="143" t="s">
        <v>227</v>
      </c>
      <c r="BE609" s="132" t="s">
        <v>178</v>
      </c>
      <c r="BF609" s="123"/>
      <c r="BG609" s="83">
        <v>1178653.0</v>
      </c>
      <c r="BH609" s="112"/>
      <c r="BI609" s="112">
        <v>2.0</v>
      </c>
      <c r="BJ609" s="98" t="s">
        <v>155</v>
      </c>
      <c r="BK609" s="99">
        <f t="shared" si="11"/>
        <v>0</v>
      </c>
      <c r="BL609" s="99">
        <f t="shared" si="12"/>
        <v>22</v>
      </c>
      <c r="BM609" s="99" t="str">
        <f>IFERROR(__xludf.DUMMYFUNCTION("IFERROR(VLOOKUP(BG609,IMPORTRANGE(""https://docs.google.com/spreadsheets/d/1juPI-Fb8LD0YtltB2mlGEnp_R3UVu1t3wSFPzgCyHXE/edit?gid=0#gid=0"",""GERAL!A2:C""),3,0),""-"")"),"-")</f>
        <v>-</v>
      </c>
    </row>
    <row r="610" ht="15.75" customHeight="1">
      <c r="A610" s="111" t="s">
        <v>796</v>
      </c>
      <c r="B610" s="83" t="s">
        <v>2830</v>
      </c>
      <c r="C610" s="83" t="s">
        <v>164</v>
      </c>
      <c r="D610" s="112">
        <v>1179111.0</v>
      </c>
      <c r="E610" s="83">
        <v>1178650.0</v>
      </c>
      <c r="F610" s="98">
        <v>2.9456509E7</v>
      </c>
      <c r="G610" s="114" t="s">
        <v>2859</v>
      </c>
      <c r="H610" s="91" t="s">
        <v>2860</v>
      </c>
      <c r="I610" s="136" t="s">
        <v>2861</v>
      </c>
      <c r="J610" s="83" t="s">
        <v>222</v>
      </c>
      <c r="K610" s="83" t="s">
        <v>168</v>
      </c>
      <c r="L610" s="83" t="s">
        <v>169</v>
      </c>
      <c r="M610" s="82" t="str">
        <f>IFERROR(__xludf.DUMMYFUNCTION("IFERROR(VLOOKUP(D610,
IMPORTRANGE(""https://docs.google.com/spreadsheets/d/1MjHtlUikwobi2MaWJgy7tfLeBmhj1u-dRFRs_8GwSoA/edit#gid=0"",""Gestores Escolares!D7:J""),3,0),""VERIFICAR CÓD SEC"")"),"ADAILSON BARBOSA GOMES")</f>
        <v>ADAILSON BARBOSA GOMES</v>
      </c>
      <c r="N610" s="82" t="str">
        <f>IFERROR(__xludf.DUMMYFUNCTION("IFERROR(VLOOKUP(D610,
IMPORTRANGE(""https://docs.google.com/spreadsheets/d/1MjHtlUikwobi2MaWJgy7tfLeBmhj1u-dRFRs_8GwSoA/edit#gid=0"",""Gestores Escolares!D7:J""),4,0),""VERIFICAR CÓD SEC"")"),"(74) 9 8828-2249")</f>
        <v>(74) 9 8828-2249</v>
      </c>
      <c r="O610" s="82" t="str">
        <f>IFERROR(__xludf.DUMMYFUNCTION("IFERROR(VLOOKUP(D610,
IMPORTRANGE(""https://docs.google.com/spreadsheets/d/1MjHtlUikwobi2MaWJgy7tfLeBmhj1u-dRFRs_8GwSoA/edit#gid=0"",""Gestores Escolares!D7:J""),6,0),""VERIFICAR CÓD SEC"")"),"JOSE NELSON ALVES DA SILVA")</f>
        <v>JOSE NELSON ALVES DA SILVA</v>
      </c>
      <c r="P610" s="82" t="str">
        <f>IFERROR(__xludf.DUMMYFUNCTION("IFERROR(VLOOKUP(D610,
IMPORTRANGE(""https://docs.google.com/spreadsheets/d/1MjHtlUikwobi2MaWJgy7tfLeBmhj1u-dRFRs_8GwSoA/edit#gid=0"",""Gestores Escolares!D7:J""),7,0),""VERIFICAR CÓD SEC"")"),"(74) 9 8862-1210")</f>
        <v>(74) 9 8862-1210</v>
      </c>
      <c r="Q610" s="82" t="str">
        <f>IFERROR(__xludf.DUMMYFUNCTION("IFERROR(VLOOKUP(D610,
IMPORTRANGE(""https://docs.google.com/spreadsheets/d/1MjHtlUikwobi2MaWJgy7tfLeBmhj1u-dRFRs_8GwSoA/edit#gid=0"",""Gestores Escolares!D7:m""),9,0),""VERIFICAR CÓD SEC"")"),"JOSEMAR RODRIGUES SANTOS")</f>
        <v>JOSEMAR RODRIGUES SANTOS</v>
      </c>
      <c r="R610" s="82" t="str">
        <f>IFERROR(__xludf.DUMMYFUNCTION("IFERROR(VLOOKUP(D610,
IMPORTRANGE(""https://docs.google.com/spreadsheets/d/1MjHtlUikwobi2MaWJgy7tfLeBmhj1u-dRFRs_8GwSoA/edit#gid=0"",""Gestores Escolares!D7:m""),10,0),""VERIFICAR CÓD SEC"")"),"(74) 9 8832-3106")</f>
        <v>(74) 9 8832-3106</v>
      </c>
      <c r="S610" s="82"/>
      <c r="T610" s="138">
        <v>2.0</v>
      </c>
      <c r="U610" s="145">
        <v>2.0</v>
      </c>
      <c r="V610" s="106">
        <v>0.0</v>
      </c>
      <c r="W610" s="107">
        <v>0.0</v>
      </c>
      <c r="X610" s="107">
        <v>0.0</v>
      </c>
      <c r="Y610" s="107">
        <v>0.0</v>
      </c>
      <c r="Z610" s="80">
        <f t="shared" si="1"/>
        <v>0</v>
      </c>
      <c r="AA610" s="106">
        <v>0.0</v>
      </c>
      <c r="AB610" s="107">
        <v>0.0</v>
      </c>
      <c r="AC610" s="107">
        <v>0.0</v>
      </c>
      <c r="AD610" s="107">
        <v>0.0</v>
      </c>
      <c r="AE610" s="80">
        <f t="shared" si="2"/>
        <v>0</v>
      </c>
      <c r="AF610" s="140">
        <v>23.0</v>
      </c>
      <c r="AG610" s="109">
        <v>5.0</v>
      </c>
      <c r="AH610" s="109">
        <v>0.0</v>
      </c>
      <c r="AI610" s="141">
        <v>0.0</v>
      </c>
      <c r="AJ610" s="80">
        <f t="shared" si="3"/>
        <v>28</v>
      </c>
      <c r="AK610" s="140">
        <v>0.0</v>
      </c>
      <c r="AL610" s="109">
        <v>0.0</v>
      </c>
      <c r="AM610" s="141">
        <v>0.0</v>
      </c>
      <c r="AN610" s="80">
        <f t="shared" si="4"/>
        <v>0</v>
      </c>
      <c r="AO610" s="140">
        <v>0.0</v>
      </c>
      <c r="AP610" s="109">
        <v>0.0</v>
      </c>
      <c r="AQ610" s="109">
        <v>0.0</v>
      </c>
      <c r="AR610" s="80">
        <f t="shared" si="5"/>
        <v>0</v>
      </c>
      <c r="AS610" s="110">
        <v>0.0</v>
      </c>
      <c r="AT610" s="110">
        <v>0.0</v>
      </c>
      <c r="AU610" s="110">
        <v>0.0</v>
      </c>
      <c r="AV610" s="142">
        <v>0.0</v>
      </c>
      <c r="AW610" s="80">
        <f t="shared" si="6"/>
        <v>0</v>
      </c>
      <c r="AX610" s="113">
        <f t="shared" si="7"/>
        <v>28</v>
      </c>
      <c r="AY610" s="117">
        <f t="shared" si="8"/>
        <v>28</v>
      </c>
      <c r="AZ610" s="120">
        <f t="shared" si="9"/>
        <v>0</v>
      </c>
      <c r="BA610" s="115">
        <v>0.0</v>
      </c>
      <c r="BB610" s="89">
        <f t="shared" si="10"/>
        <v>28</v>
      </c>
      <c r="BC610" s="132" t="s">
        <v>178</v>
      </c>
      <c r="BD610" s="143" t="s">
        <v>227</v>
      </c>
      <c r="BE610" s="132" t="s">
        <v>178</v>
      </c>
      <c r="BF610" s="123"/>
      <c r="BG610" s="83">
        <v>1178650.0</v>
      </c>
      <c r="BH610" s="112"/>
      <c r="BI610" s="112">
        <v>2.0</v>
      </c>
      <c r="BJ610" s="98" t="s">
        <v>155</v>
      </c>
      <c r="BK610" s="99">
        <f t="shared" si="11"/>
        <v>0</v>
      </c>
      <c r="BL610" s="99">
        <f t="shared" si="12"/>
        <v>28</v>
      </c>
      <c r="BM610" s="99" t="str">
        <f>IFERROR(__xludf.DUMMYFUNCTION("IFERROR(VLOOKUP(BG610,IMPORTRANGE(""https://docs.google.com/spreadsheets/d/1juPI-Fb8LD0YtltB2mlGEnp_R3UVu1t3wSFPzgCyHXE/edit?gid=0#gid=0"",""GERAL!A2:C""),3,0),""-"")"),"-")</f>
        <v>-</v>
      </c>
    </row>
    <row r="611" ht="15.75" customHeight="1">
      <c r="A611" s="111" t="s">
        <v>796</v>
      </c>
      <c r="B611" s="83" t="s">
        <v>2830</v>
      </c>
      <c r="C611" s="83" t="s">
        <v>164</v>
      </c>
      <c r="D611" s="112">
        <v>1179111.0</v>
      </c>
      <c r="E611" s="83">
        <v>1178651.0</v>
      </c>
      <c r="F611" s="98">
        <v>2.9456509E7</v>
      </c>
      <c r="G611" s="114" t="s">
        <v>2869</v>
      </c>
      <c r="H611" s="91" t="s">
        <v>2870</v>
      </c>
      <c r="I611" s="136" t="s">
        <v>2871</v>
      </c>
      <c r="J611" s="83" t="s">
        <v>784</v>
      </c>
      <c r="K611" s="83" t="s">
        <v>168</v>
      </c>
      <c r="L611" s="83" t="s">
        <v>169</v>
      </c>
      <c r="M611" s="82" t="str">
        <f>IFERROR(__xludf.DUMMYFUNCTION("IFERROR(VLOOKUP(D611,
IMPORTRANGE(""https://docs.google.com/spreadsheets/d/1MjHtlUikwobi2MaWJgy7tfLeBmhj1u-dRFRs_8GwSoA/edit#gid=0"",""Gestores Escolares!D7:J""),3,0),""VERIFICAR CÓD SEC"")"),"ADAILSON BARBOSA GOMES")</f>
        <v>ADAILSON BARBOSA GOMES</v>
      </c>
      <c r="N611" s="82" t="str">
        <f>IFERROR(__xludf.DUMMYFUNCTION("IFERROR(VLOOKUP(D611,
IMPORTRANGE(""https://docs.google.com/spreadsheets/d/1MjHtlUikwobi2MaWJgy7tfLeBmhj1u-dRFRs_8GwSoA/edit#gid=0"",""Gestores Escolares!D7:J""),4,0),""VERIFICAR CÓD SEC"")"),"(74) 9 8828-2249")</f>
        <v>(74) 9 8828-2249</v>
      </c>
      <c r="O611" s="82" t="str">
        <f>IFERROR(__xludf.DUMMYFUNCTION("IFERROR(VLOOKUP(D611,
IMPORTRANGE(""https://docs.google.com/spreadsheets/d/1MjHtlUikwobi2MaWJgy7tfLeBmhj1u-dRFRs_8GwSoA/edit#gid=0"",""Gestores Escolares!D7:J""),6,0),""VERIFICAR CÓD SEC"")"),"JOSE NELSON ALVES DA SILVA")</f>
        <v>JOSE NELSON ALVES DA SILVA</v>
      </c>
      <c r="P611" s="82" t="str">
        <f>IFERROR(__xludf.DUMMYFUNCTION("IFERROR(VLOOKUP(D611,
IMPORTRANGE(""https://docs.google.com/spreadsheets/d/1MjHtlUikwobi2MaWJgy7tfLeBmhj1u-dRFRs_8GwSoA/edit#gid=0"",""Gestores Escolares!D7:J""),7,0),""VERIFICAR CÓD SEC"")"),"(74) 9 8862-1210")</f>
        <v>(74) 9 8862-1210</v>
      </c>
      <c r="Q611" s="82" t="str">
        <f>IFERROR(__xludf.DUMMYFUNCTION("IFERROR(VLOOKUP(D611,
IMPORTRANGE(""https://docs.google.com/spreadsheets/d/1MjHtlUikwobi2MaWJgy7tfLeBmhj1u-dRFRs_8GwSoA/edit#gid=0"",""Gestores Escolares!D7:m""),9,0),""VERIFICAR CÓD SEC"")"),"JOSEMAR RODRIGUES SANTOS")</f>
        <v>JOSEMAR RODRIGUES SANTOS</v>
      </c>
      <c r="R611" s="82" t="str">
        <f>IFERROR(__xludf.DUMMYFUNCTION("IFERROR(VLOOKUP(D611,
IMPORTRANGE(""https://docs.google.com/spreadsheets/d/1MjHtlUikwobi2MaWJgy7tfLeBmhj1u-dRFRs_8GwSoA/edit#gid=0"",""Gestores Escolares!D7:m""),10,0),""VERIFICAR CÓD SEC"")"),"(74) 9 8832-3106")</f>
        <v>(74) 9 8832-3106</v>
      </c>
      <c r="S611" s="82"/>
      <c r="T611" s="138">
        <v>2.0</v>
      </c>
      <c r="U611" s="145">
        <v>2.0</v>
      </c>
      <c r="V611" s="106">
        <v>0.0</v>
      </c>
      <c r="W611" s="107">
        <v>0.0</v>
      </c>
      <c r="X611" s="107">
        <v>0.0</v>
      </c>
      <c r="Y611" s="107">
        <v>0.0</v>
      </c>
      <c r="Z611" s="80">
        <f t="shared" si="1"/>
        <v>0</v>
      </c>
      <c r="AA611" s="106">
        <v>0.0</v>
      </c>
      <c r="AB611" s="107">
        <v>0.0</v>
      </c>
      <c r="AC611" s="107">
        <v>0.0</v>
      </c>
      <c r="AD611" s="107">
        <v>0.0</v>
      </c>
      <c r="AE611" s="80">
        <f t="shared" si="2"/>
        <v>0</v>
      </c>
      <c r="AF611" s="140">
        <v>8.0</v>
      </c>
      <c r="AG611" s="109">
        <v>16.0</v>
      </c>
      <c r="AH611" s="109">
        <v>0.0</v>
      </c>
      <c r="AI611" s="141">
        <v>0.0</v>
      </c>
      <c r="AJ611" s="80">
        <f t="shared" si="3"/>
        <v>24</v>
      </c>
      <c r="AK611" s="140">
        <v>0.0</v>
      </c>
      <c r="AL611" s="109">
        <v>0.0</v>
      </c>
      <c r="AM611" s="141">
        <v>0.0</v>
      </c>
      <c r="AN611" s="80">
        <f t="shared" si="4"/>
        <v>0</v>
      </c>
      <c r="AO611" s="140">
        <v>0.0</v>
      </c>
      <c r="AP611" s="109">
        <v>0.0</v>
      </c>
      <c r="AQ611" s="109">
        <v>0.0</v>
      </c>
      <c r="AR611" s="80">
        <f t="shared" si="5"/>
        <v>0</v>
      </c>
      <c r="AS611" s="110">
        <v>0.0</v>
      </c>
      <c r="AT611" s="110">
        <v>0.0</v>
      </c>
      <c r="AU611" s="110">
        <v>0.0</v>
      </c>
      <c r="AV611" s="142">
        <v>0.0</v>
      </c>
      <c r="AW611" s="80">
        <f t="shared" si="6"/>
        <v>0</v>
      </c>
      <c r="AX611" s="113">
        <f t="shared" si="7"/>
        <v>24</v>
      </c>
      <c r="AY611" s="117">
        <f t="shared" si="8"/>
        <v>24</v>
      </c>
      <c r="AZ611" s="120">
        <f t="shared" si="9"/>
        <v>0</v>
      </c>
      <c r="BA611" s="115">
        <v>0.0</v>
      </c>
      <c r="BB611" s="89">
        <f t="shared" si="10"/>
        <v>24</v>
      </c>
      <c r="BC611" s="132" t="s">
        <v>178</v>
      </c>
      <c r="BD611" s="143" t="s">
        <v>227</v>
      </c>
      <c r="BE611" s="132" t="s">
        <v>178</v>
      </c>
      <c r="BF611" s="123"/>
      <c r="BG611" s="83">
        <v>1178651.0</v>
      </c>
      <c r="BH611" s="112"/>
      <c r="BI611" s="112">
        <v>2.0</v>
      </c>
      <c r="BJ611" s="98" t="s">
        <v>155</v>
      </c>
      <c r="BK611" s="99">
        <f t="shared" si="11"/>
        <v>0</v>
      </c>
      <c r="BL611" s="99">
        <f t="shared" si="12"/>
        <v>24</v>
      </c>
      <c r="BM611" s="99" t="str">
        <f>IFERROR(__xludf.DUMMYFUNCTION("IFERROR(VLOOKUP(BG611,IMPORTRANGE(""https://docs.google.com/spreadsheets/d/1juPI-Fb8LD0YtltB2mlGEnp_R3UVu1t3wSFPzgCyHXE/edit?gid=0#gid=0"",""GERAL!A2:C""),3,0),""-"")"),"-")</f>
        <v>-</v>
      </c>
    </row>
    <row r="612" ht="15.75" customHeight="1">
      <c r="A612" s="111" t="s">
        <v>796</v>
      </c>
      <c r="B612" s="83" t="s">
        <v>2830</v>
      </c>
      <c r="C612" s="83" t="s">
        <v>164</v>
      </c>
      <c r="D612" s="112">
        <v>1179111.0</v>
      </c>
      <c r="E612" s="83">
        <v>1178669.0</v>
      </c>
      <c r="F612" s="98">
        <v>2.9456509E7</v>
      </c>
      <c r="G612" s="114" t="s">
        <v>2874</v>
      </c>
      <c r="H612" s="91" t="s">
        <v>2875</v>
      </c>
      <c r="I612" s="136" t="s">
        <v>2876</v>
      </c>
      <c r="J612" s="83" t="s">
        <v>2877</v>
      </c>
      <c r="K612" s="83" t="s">
        <v>168</v>
      </c>
      <c r="L612" s="83" t="s">
        <v>169</v>
      </c>
      <c r="M612" s="82" t="str">
        <f>IFERROR(__xludf.DUMMYFUNCTION("IFERROR(VLOOKUP(D612,
IMPORTRANGE(""https://docs.google.com/spreadsheets/d/1MjHtlUikwobi2MaWJgy7tfLeBmhj1u-dRFRs_8GwSoA/edit#gid=0"",""Gestores Escolares!D7:J""),3,0),""VERIFICAR CÓD SEC"")"),"ADAILSON BARBOSA GOMES")</f>
        <v>ADAILSON BARBOSA GOMES</v>
      </c>
      <c r="N612" s="82" t="str">
        <f>IFERROR(__xludf.DUMMYFUNCTION("IFERROR(VLOOKUP(D612,
IMPORTRANGE(""https://docs.google.com/spreadsheets/d/1MjHtlUikwobi2MaWJgy7tfLeBmhj1u-dRFRs_8GwSoA/edit#gid=0"",""Gestores Escolares!D7:J""),4,0),""VERIFICAR CÓD SEC"")"),"(74) 9 8828-2249")</f>
        <v>(74) 9 8828-2249</v>
      </c>
      <c r="O612" s="82" t="str">
        <f>IFERROR(__xludf.DUMMYFUNCTION("IFERROR(VLOOKUP(D612,
IMPORTRANGE(""https://docs.google.com/spreadsheets/d/1MjHtlUikwobi2MaWJgy7tfLeBmhj1u-dRFRs_8GwSoA/edit#gid=0"",""Gestores Escolares!D7:J""),6,0),""VERIFICAR CÓD SEC"")"),"JOSE NELSON ALVES DA SILVA")</f>
        <v>JOSE NELSON ALVES DA SILVA</v>
      </c>
      <c r="P612" s="82" t="str">
        <f>IFERROR(__xludf.DUMMYFUNCTION("IFERROR(VLOOKUP(D612,
IMPORTRANGE(""https://docs.google.com/spreadsheets/d/1MjHtlUikwobi2MaWJgy7tfLeBmhj1u-dRFRs_8GwSoA/edit#gid=0"",""Gestores Escolares!D7:J""),7,0),""VERIFICAR CÓD SEC"")"),"(74) 9 8862-1210")</f>
        <v>(74) 9 8862-1210</v>
      </c>
      <c r="Q612" s="82" t="str">
        <f>IFERROR(__xludf.DUMMYFUNCTION("IFERROR(VLOOKUP(D612,
IMPORTRANGE(""https://docs.google.com/spreadsheets/d/1MjHtlUikwobi2MaWJgy7tfLeBmhj1u-dRFRs_8GwSoA/edit#gid=0"",""Gestores Escolares!D7:m""),9,0),""VERIFICAR CÓD SEC"")"),"JOSEMAR RODRIGUES SANTOS")</f>
        <v>JOSEMAR RODRIGUES SANTOS</v>
      </c>
      <c r="R612" s="82" t="str">
        <f>IFERROR(__xludf.DUMMYFUNCTION("IFERROR(VLOOKUP(D612,
IMPORTRANGE(""https://docs.google.com/spreadsheets/d/1MjHtlUikwobi2MaWJgy7tfLeBmhj1u-dRFRs_8GwSoA/edit#gid=0"",""Gestores Escolares!D7:m""),10,0),""VERIFICAR CÓD SEC"")"),"(74) 9 8832-3106")</f>
        <v>(74) 9 8832-3106</v>
      </c>
      <c r="S612" s="82"/>
      <c r="T612" s="138">
        <v>2.0</v>
      </c>
      <c r="U612" s="145">
        <v>2.0</v>
      </c>
      <c r="V612" s="106">
        <v>0.0</v>
      </c>
      <c r="W612" s="107">
        <v>0.0</v>
      </c>
      <c r="X612" s="107">
        <v>0.0</v>
      </c>
      <c r="Y612" s="107">
        <v>0.0</v>
      </c>
      <c r="Z612" s="80">
        <f t="shared" si="1"/>
        <v>0</v>
      </c>
      <c r="AA612" s="106">
        <v>0.0</v>
      </c>
      <c r="AB612" s="107">
        <v>0.0</v>
      </c>
      <c r="AC612" s="107">
        <v>0.0</v>
      </c>
      <c r="AD612" s="107">
        <v>0.0</v>
      </c>
      <c r="AE612" s="80">
        <f t="shared" si="2"/>
        <v>0</v>
      </c>
      <c r="AF612" s="140">
        <v>18.0</v>
      </c>
      <c r="AG612" s="109">
        <v>14.0</v>
      </c>
      <c r="AH612" s="109">
        <v>12.0</v>
      </c>
      <c r="AI612" s="141">
        <v>0.0</v>
      </c>
      <c r="AJ612" s="80">
        <f t="shared" si="3"/>
        <v>44</v>
      </c>
      <c r="AK612" s="140">
        <v>0.0</v>
      </c>
      <c r="AL612" s="109">
        <v>0.0</v>
      </c>
      <c r="AM612" s="141">
        <v>0.0</v>
      </c>
      <c r="AN612" s="80">
        <f t="shared" si="4"/>
        <v>0</v>
      </c>
      <c r="AO612" s="140">
        <v>0.0</v>
      </c>
      <c r="AP612" s="109">
        <v>0.0</v>
      </c>
      <c r="AQ612" s="109">
        <v>0.0</v>
      </c>
      <c r="AR612" s="80">
        <f t="shared" si="5"/>
        <v>0</v>
      </c>
      <c r="AS612" s="110">
        <v>0.0</v>
      </c>
      <c r="AT612" s="110">
        <v>0.0</v>
      </c>
      <c r="AU612" s="110">
        <v>0.0</v>
      </c>
      <c r="AV612" s="142">
        <v>0.0</v>
      </c>
      <c r="AW612" s="80">
        <f t="shared" si="6"/>
        <v>0</v>
      </c>
      <c r="AX612" s="113">
        <f t="shared" si="7"/>
        <v>44</v>
      </c>
      <c r="AY612" s="117">
        <f t="shared" si="8"/>
        <v>32</v>
      </c>
      <c r="AZ612" s="120">
        <f t="shared" si="9"/>
        <v>12</v>
      </c>
      <c r="BA612" s="115">
        <v>0.0</v>
      </c>
      <c r="BB612" s="89">
        <f t="shared" si="10"/>
        <v>44</v>
      </c>
      <c r="BC612" s="132" t="s">
        <v>178</v>
      </c>
      <c r="BD612" s="143" t="s">
        <v>227</v>
      </c>
      <c r="BE612" s="132" t="s">
        <v>178</v>
      </c>
      <c r="BF612" s="123"/>
      <c r="BG612" s="83">
        <v>1178669.0</v>
      </c>
      <c r="BH612" s="112"/>
      <c r="BI612" s="112">
        <v>2.0</v>
      </c>
      <c r="BJ612" s="98" t="s">
        <v>155</v>
      </c>
      <c r="BK612" s="99">
        <f t="shared" si="11"/>
        <v>0</v>
      </c>
      <c r="BL612" s="99">
        <f t="shared" si="12"/>
        <v>32</v>
      </c>
      <c r="BM612" s="99" t="str">
        <f>IFERROR(__xludf.DUMMYFUNCTION("IFERROR(VLOOKUP(BG612,IMPORTRANGE(""https://docs.google.com/spreadsheets/d/1juPI-Fb8LD0YtltB2mlGEnp_R3UVu1t3wSFPzgCyHXE/edit?gid=0#gid=0"",""GERAL!A2:C""),3,0),""-"")"),"-")</f>
        <v>-</v>
      </c>
    </row>
    <row r="613" ht="15.75" customHeight="1">
      <c r="A613" s="111" t="s">
        <v>796</v>
      </c>
      <c r="B613" s="83" t="s">
        <v>2830</v>
      </c>
      <c r="C613" s="83" t="s">
        <v>164</v>
      </c>
      <c r="D613" s="112">
        <v>1179111.0</v>
      </c>
      <c r="E613" s="83">
        <v>1178649.0</v>
      </c>
      <c r="F613" s="98">
        <v>2.9456509E7</v>
      </c>
      <c r="G613" s="114" t="s">
        <v>2884</v>
      </c>
      <c r="H613" s="91" t="s">
        <v>2885</v>
      </c>
      <c r="I613" s="136" t="s">
        <v>2886</v>
      </c>
      <c r="J613" s="83" t="s">
        <v>485</v>
      </c>
      <c r="K613" s="98" t="s">
        <v>151</v>
      </c>
      <c r="L613" s="83" t="s">
        <v>169</v>
      </c>
      <c r="M613" s="82" t="str">
        <f>IFERROR(__xludf.DUMMYFUNCTION("IFERROR(VLOOKUP(D613,
IMPORTRANGE(""https://docs.google.com/spreadsheets/d/1MjHtlUikwobi2MaWJgy7tfLeBmhj1u-dRFRs_8GwSoA/edit#gid=0"",""Gestores Escolares!D7:J""),3,0),""VERIFICAR CÓD SEC"")"),"ADAILSON BARBOSA GOMES")</f>
        <v>ADAILSON BARBOSA GOMES</v>
      </c>
      <c r="N613" s="82" t="str">
        <f>IFERROR(__xludf.DUMMYFUNCTION("IFERROR(VLOOKUP(D613,
IMPORTRANGE(""https://docs.google.com/spreadsheets/d/1MjHtlUikwobi2MaWJgy7tfLeBmhj1u-dRFRs_8GwSoA/edit#gid=0"",""Gestores Escolares!D7:J""),4,0),""VERIFICAR CÓD SEC"")"),"(74) 9 8828-2249")</f>
        <v>(74) 9 8828-2249</v>
      </c>
      <c r="O613" s="82" t="str">
        <f>IFERROR(__xludf.DUMMYFUNCTION("IFERROR(VLOOKUP(D613,
IMPORTRANGE(""https://docs.google.com/spreadsheets/d/1MjHtlUikwobi2MaWJgy7tfLeBmhj1u-dRFRs_8GwSoA/edit#gid=0"",""Gestores Escolares!D7:J""),6,0),""VERIFICAR CÓD SEC"")"),"JOSE NELSON ALVES DA SILVA")</f>
        <v>JOSE NELSON ALVES DA SILVA</v>
      </c>
      <c r="P613" s="82" t="str">
        <f>IFERROR(__xludf.DUMMYFUNCTION("IFERROR(VLOOKUP(D613,
IMPORTRANGE(""https://docs.google.com/spreadsheets/d/1MjHtlUikwobi2MaWJgy7tfLeBmhj1u-dRFRs_8GwSoA/edit#gid=0"",""Gestores Escolares!D7:J""),7,0),""VERIFICAR CÓD SEC"")"),"(74) 9 8862-1210")</f>
        <v>(74) 9 8862-1210</v>
      </c>
      <c r="Q613" s="82" t="str">
        <f>IFERROR(__xludf.DUMMYFUNCTION("IFERROR(VLOOKUP(D613,
IMPORTRANGE(""https://docs.google.com/spreadsheets/d/1MjHtlUikwobi2MaWJgy7tfLeBmhj1u-dRFRs_8GwSoA/edit#gid=0"",""Gestores Escolares!D7:m""),9,0),""VERIFICAR CÓD SEC"")"),"JOSEMAR RODRIGUES SANTOS")</f>
        <v>JOSEMAR RODRIGUES SANTOS</v>
      </c>
      <c r="R613" s="82" t="str">
        <f>IFERROR(__xludf.DUMMYFUNCTION("IFERROR(VLOOKUP(D613,
IMPORTRANGE(""https://docs.google.com/spreadsheets/d/1MjHtlUikwobi2MaWJgy7tfLeBmhj1u-dRFRs_8GwSoA/edit#gid=0"",""Gestores Escolares!D7:m""),10,0),""VERIFICAR CÓD SEC"")"),"(74) 9 8832-3106")</f>
        <v>(74) 9 8832-3106</v>
      </c>
      <c r="S613" s="82"/>
      <c r="T613" s="138">
        <v>2.0</v>
      </c>
      <c r="U613" s="145">
        <v>2.0</v>
      </c>
      <c r="V613" s="106">
        <v>0.0</v>
      </c>
      <c r="W613" s="107">
        <v>0.0</v>
      </c>
      <c r="X613" s="107">
        <v>0.0</v>
      </c>
      <c r="Y613" s="107">
        <v>0.0</v>
      </c>
      <c r="Z613" s="80">
        <f t="shared" si="1"/>
        <v>0</v>
      </c>
      <c r="AA613" s="106">
        <v>0.0</v>
      </c>
      <c r="AB613" s="107">
        <v>0.0</v>
      </c>
      <c r="AC613" s="107">
        <v>0.0</v>
      </c>
      <c r="AD613" s="107">
        <v>0.0</v>
      </c>
      <c r="AE613" s="80">
        <f t="shared" si="2"/>
        <v>0</v>
      </c>
      <c r="AF613" s="140">
        <v>63.0</v>
      </c>
      <c r="AG613" s="109">
        <v>0.0</v>
      </c>
      <c r="AH613" s="109">
        <v>0.0</v>
      </c>
      <c r="AI613" s="141">
        <v>0.0</v>
      </c>
      <c r="AJ613" s="80">
        <f t="shared" si="3"/>
        <v>63</v>
      </c>
      <c r="AK613" s="140">
        <v>0.0</v>
      </c>
      <c r="AL613" s="109">
        <v>0.0</v>
      </c>
      <c r="AM613" s="141">
        <v>0.0</v>
      </c>
      <c r="AN613" s="80">
        <f t="shared" si="4"/>
        <v>0</v>
      </c>
      <c r="AO613" s="140">
        <v>0.0</v>
      </c>
      <c r="AP613" s="109">
        <v>0.0</v>
      </c>
      <c r="AQ613" s="109">
        <v>0.0</v>
      </c>
      <c r="AR613" s="80">
        <f t="shared" si="5"/>
        <v>0</v>
      </c>
      <c r="AS613" s="110">
        <v>0.0</v>
      </c>
      <c r="AT613" s="110">
        <v>0.0</v>
      </c>
      <c r="AU613" s="110">
        <v>0.0</v>
      </c>
      <c r="AV613" s="142">
        <v>0.0</v>
      </c>
      <c r="AW613" s="80">
        <f t="shared" si="6"/>
        <v>0</v>
      </c>
      <c r="AX613" s="113">
        <f t="shared" si="7"/>
        <v>63</v>
      </c>
      <c r="AY613" s="117">
        <f t="shared" si="8"/>
        <v>63</v>
      </c>
      <c r="AZ613" s="120">
        <f t="shared" si="9"/>
        <v>0</v>
      </c>
      <c r="BA613" s="115">
        <v>0.0</v>
      </c>
      <c r="BB613" s="89">
        <f t="shared" si="10"/>
        <v>63</v>
      </c>
      <c r="BC613" s="132" t="s">
        <v>178</v>
      </c>
      <c r="BD613" s="143" t="s">
        <v>227</v>
      </c>
      <c r="BE613" s="132" t="s">
        <v>178</v>
      </c>
      <c r="BF613" s="123"/>
      <c r="BG613" s="83">
        <v>1178649.0</v>
      </c>
      <c r="BH613" s="112"/>
      <c r="BI613" s="112">
        <v>2.0</v>
      </c>
      <c r="BJ613" s="98" t="s">
        <v>155</v>
      </c>
      <c r="BK613" s="99">
        <f t="shared" si="11"/>
        <v>0</v>
      </c>
      <c r="BL613" s="99">
        <f t="shared" si="12"/>
        <v>63</v>
      </c>
      <c r="BM613" s="99" t="str">
        <f>IFERROR(__xludf.DUMMYFUNCTION("IFERROR(VLOOKUP(BG613,IMPORTRANGE(""https://docs.google.com/spreadsheets/d/1juPI-Fb8LD0YtltB2mlGEnp_R3UVu1t3wSFPzgCyHXE/edit?gid=0#gid=0"",""GERAL!A2:C""),3,0),""-"")"),"-")</f>
        <v>-</v>
      </c>
    </row>
    <row r="614" ht="15.75" customHeight="1">
      <c r="A614" s="111" t="s">
        <v>796</v>
      </c>
      <c r="B614" s="83" t="s">
        <v>2830</v>
      </c>
      <c r="C614" s="83" t="s">
        <v>164</v>
      </c>
      <c r="D614" s="112">
        <v>1179111.0</v>
      </c>
      <c r="E614" s="83">
        <v>1178652.0</v>
      </c>
      <c r="F614" s="98">
        <v>2.9456509E7</v>
      </c>
      <c r="G614" s="114" t="s">
        <v>2887</v>
      </c>
      <c r="H614" s="91" t="s">
        <v>2888</v>
      </c>
      <c r="I614" s="136" t="s">
        <v>2889</v>
      </c>
      <c r="J614" s="83" t="s">
        <v>443</v>
      </c>
      <c r="K614" s="83" t="s">
        <v>168</v>
      </c>
      <c r="L614" s="83" t="s">
        <v>169</v>
      </c>
      <c r="M614" s="82" t="str">
        <f>IFERROR(__xludf.DUMMYFUNCTION("IFERROR(VLOOKUP(D614,
IMPORTRANGE(""https://docs.google.com/spreadsheets/d/1MjHtlUikwobi2MaWJgy7tfLeBmhj1u-dRFRs_8GwSoA/edit#gid=0"",""Gestores Escolares!D7:J""),3,0),""VERIFICAR CÓD SEC"")"),"ADAILSON BARBOSA GOMES")</f>
        <v>ADAILSON BARBOSA GOMES</v>
      </c>
      <c r="N614" s="82" t="str">
        <f>IFERROR(__xludf.DUMMYFUNCTION("IFERROR(VLOOKUP(D614,
IMPORTRANGE(""https://docs.google.com/spreadsheets/d/1MjHtlUikwobi2MaWJgy7tfLeBmhj1u-dRFRs_8GwSoA/edit#gid=0"",""Gestores Escolares!D7:J""),4,0),""VERIFICAR CÓD SEC"")"),"(74) 9 8828-2249")</f>
        <v>(74) 9 8828-2249</v>
      </c>
      <c r="O614" s="82" t="str">
        <f>IFERROR(__xludf.DUMMYFUNCTION("IFERROR(VLOOKUP(D614,
IMPORTRANGE(""https://docs.google.com/spreadsheets/d/1MjHtlUikwobi2MaWJgy7tfLeBmhj1u-dRFRs_8GwSoA/edit#gid=0"",""Gestores Escolares!D7:J""),6,0),""VERIFICAR CÓD SEC"")"),"JOSE NELSON ALVES DA SILVA")</f>
        <v>JOSE NELSON ALVES DA SILVA</v>
      </c>
      <c r="P614" s="82" t="str">
        <f>IFERROR(__xludf.DUMMYFUNCTION("IFERROR(VLOOKUP(D614,
IMPORTRANGE(""https://docs.google.com/spreadsheets/d/1MjHtlUikwobi2MaWJgy7tfLeBmhj1u-dRFRs_8GwSoA/edit#gid=0"",""Gestores Escolares!D7:J""),7,0),""VERIFICAR CÓD SEC"")"),"(74) 9 8862-1210")</f>
        <v>(74) 9 8862-1210</v>
      </c>
      <c r="Q614" s="82" t="str">
        <f>IFERROR(__xludf.DUMMYFUNCTION("IFERROR(VLOOKUP(D614,
IMPORTRANGE(""https://docs.google.com/spreadsheets/d/1MjHtlUikwobi2MaWJgy7tfLeBmhj1u-dRFRs_8GwSoA/edit#gid=0"",""Gestores Escolares!D7:m""),9,0),""VERIFICAR CÓD SEC"")"),"JOSEMAR RODRIGUES SANTOS")</f>
        <v>JOSEMAR RODRIGUES SANTOS</v>
      </c>
      <c r="R614" s="82" t="str">
        <f>IFERROR(__xludf.DUMMYFUNCTION("IFERROR(VLOOKUP(D614,
IMPORTRANGE(""https://docs.google.com/spreadsheets/d/1MjHtlUikwobi2MaWJgy7tfLeBmhj1u-dRFRs_8GwSoA/edit#gid=0"",""Gestores Escolares!D7:m""),10,0),""VERIFICAR CÓD SEC"")"),"(74) 9 8832-3106")</f>
        <v>(74) 9 8832-3106</v>
      </c>
      <c r="S614" s="82"/>
      <c r="T614" s="138">
        <v>2.0</v>
      </c>
      <c r="U614" s="145">
        <v>2.0</v>
      </c>
      <c r="V614" s="106">
        <v>0.0</v>
      </c>
      <c r="W614" s="107">
        <v>0.0</v>
      </c>
      <c r="X614" s="107">
        <v>0.0</v>
      </c>
      <c r="Y614" s="107">
        <v>0.0</v>
      </c>
      <c r="Z614" s="80">
        <f t="shared" si="1"/>
        <v>0</v>
      </c>
      <c r="AA614" s="106">
        <v>0.0</v>
      </c>
      <c r="AB614" s="107">
        <v>0.0</v>
      </c>
      <c r="AC614" s="107">
        <v>0.0</v>
      </c>
      <c r="AD614" s="107">
        <v>0.0</v>
      </c>
      <c r="AE614" s="80">
        <f t="shared" si="2"/>
        <v>0</v>
      </c>
      <c r="AF614" s="140">
        <v>8.0</v>
      </c>
      <c r="AG614" s="109">
        <v>20.0</v>
      </c>
      <c r="AH614" s="109">
        <v>0.0</v>
      </c>
      <c r="AI614" s="141">
        <v>0.0</v>
      </c>
      <c r="AJ614" s="80">
        <f t="shared" si="3"/>
        <v>28</v>
      </c>
      <c r="AK614" s="140">
        <v>0.0</v>
      </c>
      <c r="AL614" s="109">
        <v>0.0</v>
      </c>
      <c r="AM614" s="141">
        <v>0.0</v>
      </c>
      <c r="AN614" s="80">
        <f t="shared" si="4"/>
        <v>0</v>
      </c>
      <c r="AO614" s="140">
        <v>0.0</v>
      </c>
      <c r="AP614" s="109">
        <v>0.0</v>
      </c>
      <c r="AQ614" s="109">
        <v>0.0</v>
      </c>
      <c r="AR614" s="80">
        <f t="shared" si="5"/>
        <v>0</v>
      </c>
      <c r="AS614" s="110">
        <v>0.0</v>
      </c>
      <c r="AT614" s="110">
        <v>0.0</v>
      </c>
      <c r="AU614" s="110">
        <v>0.0</v>
      </c>
      <c r="AV614" s="142">
        <v>0.0</v>
      </c>
      <c r="AW614" s="80">
        <f t="shared" si="6"/>
        <v>0</v>
      </c>
      <c r="AX614" s="113">
        <f t="shared" si="7"/>
        <v>28</v>
      </c>
      <c r="AY614" s="117">
        <f t="shared" si="8"/>
        <v>28</v>
      </c>
      <c r="AZ614" s="120">
        <f t="shared" si="9"/>
        <v>0</v>
      </c>
      <c r="BA614" s="115">
        <v>0.0</v>
      </c>
      <c r="BB614" s="89">
        <f t="shared" si="10"/>
        <v>28</v>
      </c>
      <c r="BC614" s="132" t="s">
        <v>178</v>
      </c>
      <c r="BD614" s="143" t="s">
        <v>227</v>
      </c>
      <c r="BE614" s="132" t="s">
        <v>178</v>
      </c>
      <c r="BF614" s="123"/>
      <c r="BG614" s="83">
        <v>1178652.0</v>
      </c>
      <c r="BH614" s="112"/>
      <c r="BI614" s="112">
        <v>2.0</v>
      </c>
      <c r="BJ614" s="98" t="s">
        <v>155</v>
      </c>
      <c r="BK614" s="99">
        <f t="shared" si="11"/>
        <v>0</v>
      </c>
      <c r="BL614" s="99">
        <f t="shared" si="12"/>
        <v>28</v>
      </c>
      <c r="BM614" s="99" t="str">
        <f>IFERROR(__xludf.DUMMYFUNCTION("IFERROR(VLOOKUP(BG614,IMPORTRANGE(""https://docs.google.com/spreadsheets/d/1juPI-Fb8LD0YtltB2mlGEnp_R3UVu1t3wSFPzgCyHXE/edit?gid=0#gid=0"",""GERAL!A2:C""),3,0),""-"")"),"-")</f>
        <v>-</v>
      </c>
    </row>
    <row r="615" ht="15.75" customHeight="1">
      <c r="A615" s="111" t="s">
        <v>796</v>
      </c>
      <c r="B615" s="83" t="s">
        <v>2830</v>
      </c>
      <c r="C615" s="83" t="s">
        <v>164</v>
      </c>
      <c r="D615" s="112">
        <v>1179111.0</v>
      </c>
      <c r="E615" s="83">
        <v>1178654.0</v>
      </c>
      <c r="F615" s="98">
        <v>2.9456509E7</v>
      </c>
      <c r="G615" s="114" t="s">
        <v>2890</v>
      </c>
      <c r="H615" s="91" t="s">
        <v>2891</v>
      </c>
      <c r="I615" s="136" t="s">
        <v>2892</v>
      </c>
      <c r="J615" s="83" t="s">
        <v>890</v>
      </c>
      <c r="K615" s="83" t="s">
        <v>168</v>
      </c>
      <c r="L615" s="83" t="s">
        <v>169</v>
      </c>
      <c r="M615" s="82" t="str">
        <f>IFERROR(__xludf.DUMMYFUNCTION("IFERROR(VLOOKUP(D615,
IMPORTRANGE(""https://docs.google.com/spreadsheets/d/1MjHtlUikwobi2MaWJgy7tfLeBmhj1u-dRFRs_8GwSoA/edit#gid=0"",""Gestores Escolares!D7:J""),3,0),""VERIFICAR CÓD SEC"")"),"ADAILSON BARBOSA GOMES")</f>
        <v>ADAILSON BARBOSA GOMES</v>
      </c>
      <c r="N615" s="82" t="str">
        <f>IFERROR(__xludf.DUMMYFUNCTION("IFERROR(VLOOKUP(D615,
IMPORTRANGE(""https://docs.google.com/spreadsheets/d/1MjHtlUikwobi2MaWJgy7tfLeBmhj1u-dRFRs_8GwSoA/edit#gid=0"",""Gestores Escolares!D7:J""),4,0),""VERIFICAR CÓD SEC"")"),"(74) 9 8828-2249")</f>
        <v>(74) 9 8828-2249</v>
      </c>
      <c r="O615" s="82" t="str">
        <f>IFERROR(__xludf.DUMMYFUNCTION("IFERROR(VLOOKUP(D615,
IMPORTRANGE(""https://docs.google.com/spreadsheets/d/1MjHtlUikwobi2MaWJgy7tfLeBmhj1u-dRFRs_8GwSoA/edit#gid=0"",""Gestores Escolares!D7:J""),6,0),""VERIFICAR CÓD SEC"")"),"JOSE NELSON ALVES DA SILVA")</f>
        <v>JOSE NELSON ALVES DA SILVA</v>
      </c>
      <c r="P615" s="82" t="str">
        <f>IFERROR(__xludf.DUMMYFUNCTION("IFERROR(VLOOKUP(D615,
IMPORTRANGE(""https://docs.google.com/spreadsheets/d/1MjHtlUikwobi2MaWJgy7tfLeBmhj1u-dRFRs_8GwSoA/edit#gid=0"",""Gestores Escolares!D7:J""),7,0),""VERIFICAR CÓD SEC"")"),"(74) 9 8862-1210")</f>
        <v>(74) 9 8862-1210</v>
      </c>
      <c r="Q615" s="82" t="str">
        <f>IFERROR(__xludf.DUMMYFUNCTION("IFERROR(VLOOKUP(D615,
IMPORTRANGE(""https://docs.google.com/spreadsheets/d/1MjHtlUikwobi2MaWJgy7tfLeBmhj1u-dRFRs_8GwSoA/edit#gid=0"",""Gestores Escolares!D7:m""),9,0),""VERIFICAR CÓD SEC"")"),"JOSEMAR RODRIGUES SANTOS")</f>
        <v>JOSEMAR RODRIGUES SANTOS</v>
      </c>
      <c r="R615" s="82" t="str">
        <f>IFERROR(__xludf.DUMMYFUNCTION("IFERROR(VLOOKUP(D615,
IMPORTRANGE(""https://docs.google.com/spreadsheets/d/1MjHtlUikwobi2MaWJgy7tfLeBmhj1u-dRFRs_8GwSoA/edit#gid=0"",""Gestores Escolares!D7:m""),10,0),""VERIFICAR CÓD SEC"")"),"(74) 9 8832-3106")</f>
        <v>(74) 9 8832-3106</v>
      </c>
      <c r="S615" s="82"/>
      <c r="T615" s="138">
        <v>2.0</v>
      </c>
      <c r="U615" s="145">
        <v>2.0</v>
      </c>
      <c r="V615" s="106">
        <v>0.0</v>
      </c>
      <c r="W615" s="107">
        <v>0.0</v>
      </c>
      <c r="X615" s="107">
        <v>0.0</v>
      </c>
      <c r="Y615" s="107">
        <v>0.0</v>
      </c>
      <c r="Z615" s="80">
        <f t="shared" si="1"/>
        <v>0</v>
      </c>
      <c r="AA615" s="106">
        <v>0.0</v>
      </c>
      <c r="AB615" s="107">
        <v>0.0</v>
      </c>
      <c r="AC615" s="107">
        <v>0.0</v>
      </c>
      <c r="AD615" s="107">
        <v>0.0</v>
      </c>
      <c r="AE615" s="80">
        <f t="shared" si="2"/>
        <v>0</v>
      </c>
      <c r="AF615" s="140">
        <v>9.0</v>
      </c>
      <c r="AG615" s="109">
        <v>28.0</v>
      </c>
      <c r="AH615" s="109">
        <v>0.0</v>
      </c>
      <c r="AI615" s="141">
        <v>0.0</v>
      </c>
      <c r="AJ615" s="80">
        <f t="shared" si="3"/>
        <v>37</v>
      </c>
      <c r="AK615" s="140">
        <v>0.0</v>
      </c>
      <c r="AL615" s="109">
        <v>0.0</v>
      </c>
      <c r="AM615" s="141">
        <v>0.0</v>
      </c>
      <c r="AN615" s="80">
        <f t="shared" si="4"/>
        <v>0</v>
      </c>
      <c r="AO615" s="140">
        <v>0.0</v>
      </c>
      <c r="AP615" s="109">
        <v>0.0</v>
      </c>
      <c r="AQ615" s="109">
        <v>0.0</v>
      </c>
      <c r="AR615" s="80">
        <f t="shared" si="5"/>
        <v>0</v>
      </c>
      <c r="AS615" s="110">
        <v>0.0</v>
      </c>
      <c r="AT615" s="110">
        <v>0.0</v>
      </c>
      <c r="AU615" s="110">
        <v>0.0</v>
      </c>
      <c r="AV615" s="142">
        <v>0.0</v>
      </c>
      <c r="AW615" s="80">
        <f t="shared" si="6"/>
        <v>0</v>
      </c>
      <c r="AX615" s="113">
        <f t="shared" si="7"/>
        <v>37</v>
      </c>
      <c r="AY615" s="117">
        <f t="shared" si="8"/>
        <v>37</v>
      </c>
      <c r="AZ615" s="120">
        <f t="shared" si="9"/>
        <v>0</v>
      </c>
      <c r="BA615" s="115">
        <v>0.0</v>
      </c>
      <c r="BB615" s="89">
        <f t="shared" si="10"/>
        <v>37</v>
      </c>
      <c r="BC615" s="132" t="s">
        <v>178</v>
      </c>
      <c r="BD615" s="143" t="s">
        <v>227</v>
      </c>
      <c r="BE615" s="132" t="s">
        <v>178</v>
      </c>
      <c r="BF615" s="123"/>
      <c r="BG615" s="83">
        <v>1178654.0</v>
      </c>
      <c r="BH615" s="112"/>
      <c r="BI615" s="112">
        <v>2.0</v>
      </c>
      <c r="BJ615" s="98" t="s">
        <v>155</v>
      </c>
      <c r="BK615" s="99">
        <f t="shared" si="11"/>
        <v>0</v>
      </c>
      <c r="BL615" s="99">
        <f t="shared" si="12"/>
        <v>37</v>
      </c>
      <c r="BM615" s="99" t="str">
        <f>IFERROR(__xludf.DUMMYFUNCTION("IFERROR(VLOOKUP(BG615,IMPORTRANGE(""https://docs.google.com/spreadsheets/d/1juPI-Fb8LD0YtltB2mlGEnp_R3UVu1t3wSFPzgCyHXE/edit?gid=0#gid=0"",""GERAL!A2:C""),3,0),""-"")"),"-")</f>
        <v>-</v>
      </c>
    </row>
    <row r="616" ht="15.75" customHeight="1">
      <c r="A616" s="111" t="s">
        <v>796</v>
      </c>
      <c r="B616" s="83" t="s">
        <v>2830</v>
      </c>
      <c r="C616" s="83" t="s">
        <v>164</v>
      </c>
      <c r="D616" s="112">
        <v>1179111.0</v>
      </c>
      <c r="E616" s="83">
        <v>1178629.0</v>
      </c>
      <c r="F616" s="98">
        <v>2.9456509E7</v>
      </c>
      <c r="G616" s="114" t="s">
        <v>2893</v>
      </c>
      <c r="H616" s="91" t="s">
        <v>2894</v>
      </c>
      <c r="I616" s="136" t="s">
        <v>2895</v>
      </c>
      <c r="J616" s="83" t="s">
        <v>2896</v>
      </c>
      <c r="K616" s="83" t="s">
        <v>168</v>
      </c>
      <c r="L616" s="83" t="s">
        <v>169</v>
      </c>
      <c r="M616" s="82" t="str">
        <f>IFERROR(__xludf.DUMMYFUNCTION("IFERROR(VLOOKUP(D616,
IMPORTRANGE(""https://docs.google.com/spreadsheets/d/1MjHtlUikwobi2MaWJgy7tfLeBmhj1u-dRFRs_8GwSoA/edit#gid=0"",""Gestores Escolares!D7:J""),3,0),""VERIFICAR CÓD SEC"")"),"ADAILSON BARBOSA GOMES")</f>
        <v>ADAILSON BARBOSA GOMES</v>
      </c>
      <c r="N616" s="82" t="str">
        <f>IFERROR(__xludf.DUMMYFUNCTION("IFERROR(VLOOKUP(D616,
IMPORTRANGE(""https://docs.google.com/spreadsheets/d/1MjHtlUikwobi2MaWJgy7tfLeBmhj1u-dRFRs_8GwSoA/edit#gid=0"",""Gestores Escolares!D7:J""),4,0),""VERIFICAR CÓD SEC"")"),"(74) 9 8828-2249")</f>
        <v>(74) 9 8828-2249</v>
      </c>
      <c r="O616" s="82" t="str">
        <f>IFERROR(__xludf.DUMMYFUNCTION("IFERROR(VLOOKUP(D616,
IMPORTRANGE(""https://docs.google.com/spreadsheets/d/1MjHtlUikwobi2MaWJgy7tfLeBmhj1u-dRFRs_8GwSoA/edit#gid=0"",""Gestores Escolares!D7:J""),6,0),""VERIFICAR CÓD SEC"")"),"JOSE NELSON ALVES DA SILVA")</f>
        <v>JOSE NELSON ALVES DA SILVA</v>
      </c>
      <c r="P616" s="82" t="str">
        <f>IFERROR(__xludf.DUMMYFUNCTION("IFERROR(VLOOKUP(D616,
IMPORTRANGE(""https://docs.google.com/spreadsheets/d/1MjHtlUikwobi2MaWJgy7tfLeBmhj1u-dRFRs_8GwSoA/edit#gid=0"",""Gestores Escolares!D7:J""),7,0),""VERIFICAR CÓD SEC"")"),"(74) 9 8862-1210")</f>
        <v>(74) 9 8862-1210</v>
      </c>
      <c r="Q616" s="82" t="str">
        <f>IFERROR(__xludf.DUMMYFUNCTION("IFERROR(VLOOKUP(D616,
IMPORTRANGE(""https://docs.google.com/spreadsheets/d/1MjHtlUikwobi2MaWJgy7tfLeBmhj1u-dRFRs_8GwSoA/edit#gid=0"",""Gestores Escolares!D7:m""),9,0),""VERIFICAR CÓD SEC"")"),"JOSEMAR RODRIGUES SANTOS")</f>
        <v>JOSEMAR RODRIGUES SANTOS</v>
      </c>
      <c r="R616" s="82" t="str">
        <f>IFERROR(__xludf.DUMMYFUNCTION("IFERROR(VLOOKUP(D616,
IMPORTRANGE(""https://docs.google.com/spreadsheets/d/1MjHtlUikwobi2MaWJgy7tfLeBmhj1u-dRFRs_8GwSoA/edit#gid=0"",""Gestores Escolares!D7:m""),10,0),""VERIFICAR CÓD SEC"")"),"(74) 9 8832-3106")</f>
        <v>(74) 9 8832-3106</v>
      </c>
      <c r="S616" s="82"/>
      <c r="T616" s="138">
        <v>3.0</v>
      </c>
      <c r="U616" s="145">
        <v>3.0</v>
      </c>
      <c r="V616" s="106">
        <v>0.0</v>
      </c>
      <c r="W616" s="107">
        <v>0.0</v>
      </c>
      <c r="X616" s="107">
        <v>0.0</v>
      </c>
      <c r="Y616" s="107">
        <v>0.0</v>
      </c>
      <c r="Z616" s="80">
        <f t="shared" si="1"/>
        <v>0</v>
      </c>
      <c r="AA616" s="106">
        <v>0.0</v>
      </c>
      <c r="AB616" s="107">
        <v>0.0</v>
      </c>
      <c r="AC616" s="107">
        <v>0.0</v>
      </c>
      <c r="AD616" s="107">
        <v>0.0</v>
      </c>
      <c r="AE616" s="80">
        <f t="shared" si="2"/>
        <v>0</v>
      </c>
      <c r="AF616" s="140">
        <v>4.0</v>
      </c>
      <c r="AG616" s="109">
        <v>7.0</v>
      </c>
      <c r="AH616" s="109">
        <v>10.0</v>
      </c>
      <c r="AI616" s="141">
        <v>0.0</v>
      </c>
      <c r="AJ616" s="80">
        <f t="shared" si="3"/>
        <v>21</v>
      </c>
      <c r="AK616" s="140">
        <v>0.0</v>
      </c>
      <c r="AL616" s="109">
        <v>0.0</v>
      </c>
      <c r="AM616" s="141">
        <v>0.0</v>
      </c>
      <c r="AN616" s="80">
        <f t="shared" si="4"/>
        <v>0</v>
      </c>
      <c r="AO616" s="140">
        <v>0.0</v>
      </c>
      <c r="AP616" s="109">
        <v>0.0</v>
      </c>
      <c r="AQ616" s="109">
        <v>0.0</v>
      </c>
      <c r="AR616" s="80">
        <f t="shared" si="5"/>
        <v>0</v>
      </c>
      <c r="AS616" s="110">
        <v>0.0</v>
      </c>
      <c r="AT616" s="110">
        <v>0.0</v>
      </c>
      <c r="AU616" s="110">
        <v>0.0</v>
      </c>
      <c r="AV616" s="142">
        <v>0.0</v>
      </c>
      <c r="AW616" s="80">
        <f t="shared" si="6"/>
        <v>0</v>
      </c>
      <c r="AX616" s="113">
        <f t="shared" si="7"/>
        <v>21</v>
      </c>
      <c r="AY616" s="117">
        <f t="shared" si="8"/>
        <v>11</v>
      </c>
      <c r="AZ616" s="120">
        <f t="shared" si="9"/>
        <v>10</v>
      </c>
      <c r="BA616" s="115">
        <v>0.0</v>
      </c>
      <c r="BB616" s="89">
        <f t="shared" si="10"/>
        <v>21</v>
      </c>
      <c r="BC616" s="132" t="s">
        <v>178</v>
      </c>
      <c r="BD616" s="143" t="s">
        <v>227</v>
      </c>
      <c r="BE616" s="132" t="s">
        <v>178</v>
      </c>
      <c r="BF616" s="123"/>
      <c r="BG616" s="83">
        <v>1178629.0</v>
      </c>
      <c r="BH616" s="112"/>
      <c r="BI616" s="112">
        <v>3.0</v>
      </c>
      <c r="BJ616" s="98" t="s">
        <v>155</v>
      </c>
      <c r="BK616" s="99">
        <f t="shared" si="11"/>
        <v>0</v>
      </c>
      <c r="BL616" s="99">
        <f t="shared" si="12"/>
        <v>11</v>
      </c>
      <c r="BM616" s="99" t="str">
        <f>IFERROR(__xludf.DUMMYFUNCTION("IFERROR(VLOOKUP(BG616,IMPORTRANGE(""https://docs.google.com/spreadsheets/d/1juPI-Fb8LD0YtltB2mlGEnp_R3UVu1t3wSFPzgCyHXE/edit?gid=0#gid=0"",""GERAL!A2:C""),3,0),""-"")"),"-")</f>
        <v>-</v>
      </c>
    </row>
    <row r="617" ht="15.75" customHeight="1">
      <c r="A617" s="111" t="s">
        <v>796</v>
      </c>
      <c r="B617" s="83" t="s">
        <v>2830</v>
      </c>
      <c r="C617" s="83" t="s">
        <v>164</v>
      </c>
      <c r="D617" s="112">
        <v>1179111.0</v>
      </c>
      <c r="E617" s="83">
        <v>1178648.0</v>
      </c>
      <c r="F617" s="98">
        <v>2.9456509E7</v>
      </c>
      <c r="G617" s="114" t="s">
        <v>2897</v>
      </c>
      <c r="H617" s="91" t="s">
        <v>2898</v>
      </c>
      <c r="I617" s="136" t="s">
        <v>2899</v>
      </c>
      <c r="J617" s="83" t="s">
        <v>191</v>
      </c>
      <c r="K617" s="83" t="s">
        <v>168</v>
      </c>
      <c r="L617" s="83" t="s">
        <v>169</v>
      </c>
      <c r="M617" s="82" t="str">
        <f>IFERROR(__xludf.DUMMYFUNCTION("IFERROR(VLOOKUP(D617,
IMPORTRANGE(""https://docs.google.com/spreadsheets/d/1MjHtlUikwobi2MaWJgy7tfLeBmhj1u-dRFRs_8GwSoA/edit#gid=0"",""Gestores Escolares!D7:J""),3,0),""VERIFICAR CÓD SEC"")"),"ADAILSON BARBOSA GOMES")</f>
        <v>ADAILSON BARBOSA GOMES</v>
      </c>
      <c r="N617" s="82" t="str">
        <f>IFERROR(__xludf.DUMMYFUNCTION("IFERROR(VLOOKUP(D617,
IMPORTRANGE(""https://docs.google.com/spreadsheets/d/1MjHtlUikwobi2MaWJgy7tfLeBmhj1u-dRFRs_8GwSoA/edit#gid=0"",""Gestores Escolares!D7:J""),4,0),""VERIFICAR CÓD SEC"")"),"(74) 9 8828-2249")</f>
        <v>(74) 9 8828-2249</v>
      </c>
      <c r="O617" s="82" t="str">
        <f>IFERROR(__xludf.DUMMYFUNCTION("IFERROR(VLOOKUP(D617,
IMPORTRANGE(""https://docs.google.com/spreadsheets/d/1MjHtlUikwobi2MaWJgy7tfLeBmhj1u-dRFRs_8GwSoA/edit#gid=0"",""Gestores Escolares!D7:J""),6,0),""VERIFICAR CÓD SEC"")"),"JOSE NELSON ALVES DA SILVA")</f>
        <v>JOSE NELSON ALVES DA SILVA</v>
      </c>
      <c r="P617" s="82" t="str">
        <f>IFERROR(__xludf.DUMMYFUNCTION("IFERROR(VLOOKUP(D617,
IMPORTRANGE(""https://docs.google.com/spreadsheets/d/1MjHtlUikwobi2MaWJgy7tfLeBmhj1u-dRFRs_8GwSoA/edit#gid=0"",""Gestores Escolares!D7:J""),7,0),""VERIFICAR CÓD SEC"")"),"(74) 9 8862-1210")</f>
        <v>(74) 9 8862-1210</v>
      </c>
      <c r="Q617" s="82" t="str">
        <f>IFERROR(__xludf.DUMMYFUNCTION("IFERROR(VLOOKUP(D617,
IMPORTRANGE(""https://docs.google.com/spreadsheets/d/1MjHtlUikwobi2MaWJgy7tfLeBmhj1u-dRFRs_8GwSoA/edit#gid=0"",""Gestores Escolares!D7:m""),9,0),""VERIFICAR CÓD SEC"")"),"JOSEMAR RODRIGUES SANTOS")</f>
        <v>JOSEMAR RODRIGUES SANTOS</v>
      </c>
      <c r="R617" s="82" t="str">
        <f>IFERROR(__xludf.DUMMYFUNCTION("IFERROR(VLOOKUP(D617,
IMPORTRANGE(""https://docs.google.com/spreadsheets/d/1MjHtlUikwobi2MaWJgy7tfLeBmhj1u-dRFRs_8GwSoA/edit#gid=0"",""Gestores Escolares!D7:m""),10,0),""VERIFICAR CÓD SEC"")"),"(74) 9 8832-3106")</f>
        <v>(74) 9 8832-3106</v>
      </c>
      <c r="S617" s="82"/>
      <c r="T617" s="138">
        <v>2.0</v>
      </c>
      <c r="U617" s="145">
        <v>2.0</v>
      </c>
      <c r="V617" s="106">
        <v>0.0</v>
      </c>
      <c r="W617" s="107">
        <v>0.0</v>
      </c>
      <c r="X617" s="107">
        <v>0.0</v>
      </c>
      <c r="Y617" s="107">
        <v>0.0</v>
      </c>
      <c r="Z617" s="80">
        <f t="shared" si="1"/>
        <v>0</v>
      </c>
      <c r="AA617" s="106">
        <v>0.0</v>
      </c>
      <c r="AB617" s="107">
        <v>0.0</v>
      </c>
      <c r="AC617" s="107">
        <v>0.0</v>
      </c>
      <c r="AD617" s="107">
        <v>0.0</v>
      </c>
      <c r="AE617" s="80">
        <f t="shared" si="2"/>
        <v>0</v>
      </c>
      <c r="AF617" s="140">
        <v>23.0</v>
      </c>
      <c r="AG617" s="109">
        <v>11.0</v>
      </c>
      <c r="AH617" s="109">
        <v>0.0</v>
      </c>
      <c r="AI617" s="141">
        <v>0.0</v>
      </c>
      <c r="AJ617" s="80">
        <f t="shared" si="3"/>
        <v>34</v>
      </c>
      <c r="AK617" s="140">
        <v>0.0</v>
      </c>
      <c r="AL617" s="109">
        <v>0.0</v>
      </c>
      <c r="AM617" s="141">
        <v>0.0</v>
      </c>
      <c r="AN617" s="80">
        <f t="shared" si="4"/>
        <v>0</v>
      </c>
      <c r="AO617" s="140">
        <v>0.0</v>
      </c>
      <c r="AP617" s="109">
        <v>0.0</v>
      </c>
      <c r="AQ617" s="109">
        <v>0.0</v>
      </c>
      <c r="AR617" s="80">
        <f t="shared" si="5"/>
        <v>0</v>
      </c>
      <c r="AS617" s="110">
        <v>0.0</v>
      </c>
      <c r="AT617" s="110">
        <v>0.0</v>
      </c>
      <c r="AU617" s="110">
        <v>0.0</v>
      </c>
      <c r="AV617" s="142">
        <v>0.0</v>
      </c>
      <c r="AW617" s="80">
        <f t="shared" si="6"/>
        <v>0</v>
      </c>
      <c r="AX617" s="113">
        <f t="shared" si="7"/>
        <v>34</v>
      </c>
      <c r="AY617" s="117">
        <f t="shared" si="8"/>
        <v>34</v>
      </c>
      <c r="AZ617" s="120">
        <f t="shared" si="9"/>
        <v>0</v>
      </c>
      <c r="BA617" s="115">
        <v>0.0</v>
      </c>
      <c r="BB617" s="89">
        <f t="shared" si="10"/>
        <v>34</v>
      </c>
      <c r="BC617" s="132" t="s">
        <v>178</v>
      </c>
      <c r="BD617" s="143" t="s">
        <v>227</v>
      </c>
      <c r="BE617" s="132" t="s">
        <v>178</v>
      </c>
      <c r="BF617" s="123"/>
      <c r="BG617" s="83">
        <v>1178648.0</v>
      </c>
      <c r="BH617" s="112"/>
      <c r="BI617" s="112">
        <v>2.0</v>
      </c>
      <c r="BJ617" s="98" t="s">
        <v>155</v>
      </c>
      <c r="BK617" s="99">
        <f t="shared" si="11"/>
        <v>0</v>
      </c>
      <c r="BL617" s="99">
        <f t="shared" si="12"/>
        <v>34</v>
      </c>
      <c r="BM617" s="99" t="str">
        <f>IFERROR(__xludf.DUMMYFUNCTION("IFERROR(VLOOKUP(BG617,IMPORTRANGE(""https://docs.google.com/spreadsheets/d/1juPI-Fb8LD0YtltB2mlGEnp_R3UVu1t3wSFPzgCyHXE/edit?gid=0#gid=0"",""GERAL!A2:C""),3,0),""-"")"),"-")</f>
        <v>-</v>
      </c>
    </row>
    <row r="618" ht="15.75" customHeight="1">
      <c r="A618" s="111" t="s">
        <v>796</v>
      </c>
      <c r="B618" s="83" t="s">
        <v>2830</v>
      </c>
      <c r="C618" s="83" t="s">
        <v>164</v>
      </c>
      <c r="D618" s="112">
        <v>1179111.0</v>
      </c>
      <c r="E618" s="83">
        <v>1178655.0</v>
      </c>
      <c r="F618" s="98">
        <v>2.9456509E7</v>
      </c>
      <c r="G618" s="114" t="s">
        <v>2900</v>
      </c>
      <c r="H618" s="91" t="s">
        <v>2901</v>
      </c>
      <c r="I618" s="136" t="s">
        <v>2902</v>
      </c>
      <c r="J618" s="83" t="s">
        <v>2903</v>
      </c>
      <c r="K618" s="83" t="s">
        <v>151</v>
      </c>
      <c r="L618" s="83" t="s">
        <v>169</v>
      </c>
      <c r="M618" s="82" t="str">
        <f>IFERROR(__xludf.DUMMYFUNCTION("IFERROR(VLOOKUP(D618,
IMPORTRANGE(""https://docs.google.com/spreadsheets/d/1MjHtlUikwobi2MaWJgy7tfLeBmhj1u-dRFRs_8GwSoA/edit#gid=0"",""Gestores Escolares!D7:J""),3,0),""VERIFICAR CÓD SEC"")"),"ADAILSON BARBOSA GOMES")</f>
        <v>ADAILSON BARBOSA GOMES</v>
      </c>
      <c r="N618" s="82" t="str">
        <f>IFERROR(__xludf.DUMMYFUNCTION("IFERROR(VLOOKUP(D618,
IMPORTRANGE(""https://docs.google.com/spreadsheets/d/1MjHtlUikwobi2MaWJgy7tfLeBmhj1u-dRFRs_8GwSoA/edit#gid=0"",""Gestores Escolares!D7:J""),4,0),""VERIFICAR CÓD SEC"")"),"(74) 9 8828-2249")</f>
        <v>(74) 9 8828-2249</v>
      </c>
      <c r="O618" s="82" t="str">
        <f>IFERROR(__xludf.DUMMYFUNCTION("IFERROR(VLOOKUP(D618,
IMPORTRANGE(""https://docs.google.com/spreadsheets/d/1MjHtlUikwobi2MaWJgy7tfLeBmhj1u-dRFRs_8GwSoA/edit#gid=0"",""Gestores Escolares!D7:J""),6,0),""VERIFICAR CÓD SEC"")"),"JOSE NELSON ALVES DA SILVA")</f>
        <v>JOSE NELSON ALVES DA SILVA</v>
      </c>
      <c r="P618" s="82" t="str">
        <f>IFERROR(__xludf.DUMMYFUNCTION("IFERROR(VLOOKUP(D618,
IMPORTRANGE(""https://docs.google.com/spreadsheets/d/1MjHtlUikwobi2MaWJgy7tfLeBmhj1u-dRFRs_8GwSoA/edit#gid=0"",""Gestores Escolares!D7:J""),7,0),""VERIFICAR CÓD SEC"")"),"(74) 9 8862-1210")</f>
        <v>(74) 9 8862-1210</v>
      </c>
      <c r="Q618" s="82" t="str">
        <f>IFERROR(__xludf.DUMMYFUNCTION("IFERROR(VLOOKUP(D618,
IMPORTRANGE(""https://docs.google.com/spreadsheets/d/1MjHtlUikwobi2MaWJgy7tfLeBmhj1u-dRFRs_8GwSoA/edit#gid=0"",""Gestores Escolares!D7:m""),9,0),""VERIFICAR CÓD SEC"")"),"JOSEMAR RODRIGUES SANTOS")</f>
        <v>JOSEMAR RODRIGUES SANTOS</v>
      </c>
      <c r="R618" s="82" t="str">
        <f>IFERROR(__xludf.DUMMYFUNCTION("IFERROR(VLOOKUP(D618,
IMPORTRANGE(""https://docs.google.com/spreadsheets/d/1MjHtlUikwobi2MaWJgy7tfLeBmhj1u-dRFRs_8GwSoA/edit#gid=0"",""Gestores Escolares!D7:m""),10,0),""VERIFICAR CÓD SEC"")"),"(74) 9 8832-3106")</f>
        <v>(74) 9 8832-3106</v>
      </c>
      <c r="S618" s="82"/>
      <c r="T618" s="138">
        <v>2.0</v>
      </c>
      <c r="U618" s="145">
        <v>2.0</v>
      </c>
      <c r="V618" s="106">
        <v>0.0</v>
      </c>
      <c r="W618" s="107">
        <v>0.0</v>
      </c>
      <c r="X618" s="107">
        <v>0.0</v>
      </c>
      <c r="Y618" s="107">
        <v>0.0</v>
      </c>
      <c r="Z618" s="80">
        <f t="shared" si="1"/>
        <v>0</v>
      </c>
      <c r="AA618" s="106">
        <v>0.0</v>
      </c>
      <c r="AB618" s="107">
        <v>0.0</v>
      </c>
      <c r="AC618" s="107">
        <v>0.0</v>
      </c>
      <c r="AD618" s="107">
        <v>0.0</v>
      </c>
      <c r="AE618" s="80">
        <f t="shared" si="2"/>
        <v>0</v>
      </c>
      <c r="AF618" s="140">
        <v>33.0</v>
      </c>
      <c r="AG618" s="109">
        <v>17.0</v>
      </c>
      <c r="AH618" s="109">
        <v>0.0</v>
      </c>
      <c r="AI618" s="141">
        <v>0.0</v>
      </c>
      <c r="AJ618" s="80">
        <f t="shared" si="3"/>
        <v>50</v>
      </c>
      <c r="AK618" s="140">
        <v>0.0</v>
      </c>
      <c r="AL618" s="109">
        <v>0.0</v>
      </c>
      <c r="AM618" s="141">
        <v>0.0</v>
      </c>
      <c r="AN618" s="80">
        <f t="shared" si="4"/>
        <v>0</v>
      </c>
      <c r="AO618" s="140">
        <v>0.0</v>
      </c>
      <c r="AP618" s="109">
        <v>0.0</v>
      </c>
      <c r="AQ618" s="109">
        <v>0.0</v>
      </c>
      <c r="AR618" s="80">
        <f t="shared" si="5"/>
        <v>0</v>
      </c>
      <c r="AS618" s="110">
        <v>0.0</v>
      </c>
      <c r="AT618" s="110">
        <v>0.0</v>
      </c>
      <c r="AU618" s="110">
        <v>0.0</v>
      </c>
      <c r="AV618" s="142">
        <v>0.0</v>
      </c>
      <c r="AW618" s="80">
        <f t="shared" si="6"/>
        <v>0</v>
      </c>
      <c r="AX618" s="113">
        <f t="shared" si="7"/>
        <v>50</v>
      </c>
      <c r="AY618" s="117">
        <f t="shared" si="8"/>
        <v>50</v>
      </c>
      <c r="AZ618" s="120">
        <f t="shared" si="9"/>
        <v>0</v>
      </c>
      <c r="BA618" s="115">
        <v>0.0</v>
      </c>
      <c r="BB618" s="89">
        <f t="shared" si="10"/>
        <v>50</v>
      </c>
      <c r="BC618" s="132" t="s">
        <v>178</v>
      </c>
      <c r="BD618" s="143" t="s">
        <v>227</v>
      </c>
      <c r="BE618" s="132" t="s">
        <v>178</v>
      </c>
      <c r="BF618" s="123"/>
      <c r="BG618" s="83">
        <v>1178655.0</v>
      </c>
      <c r="BH618" s="112"/>
      <c r="BI618" s="112">
        <v>2.0</v>
      </c>
      <c r="BJ618" s="98" t="s">
        <v>155</v>
      </c>
      <c r="BK618" s="99">
        <f t="shared" si="11"/>
        <v>0</v>
      </c>
      <c r="BL618" s="99">
        <f t="shared" si="12"/>
        <v>50</v>
      </c>
      <c r="BM618" s="99" t="str">
        <f>IFERROR(__xludf.DUMMYFUNCTION("IFERROR(VLOOKUP(BG618,IMPORTRANGE(""https://docs.google.com/spreadsheets/d/1juPI-Fb8LD0YtltB2mlGEnp_R3UVu1t3wSFPzgCyHXE/edit?gid=0#gid=0"",""GERAL!A2:C""),3,0),""-"")"),"-")</f>
        <v>-</v>
      </c>
    </row>
    <row r="619" ht="15.75" customHeight="1">
      <c r="A619" s="111" t="s">
        <v>796</v>
      </c>
      <c r="B619" s="83" t="s">
        <v>2830</v>
      </c>
      <c r="C619" s="83" t="s">
        <v>164</v>
      </c>
      <c r="D619" s="112">
        <v>1179111.0</v>
      </c>
      <c r="E619" s="83">
        <v>1179043.0</v>
      </c>
      <c r="F619" s="98">
        <v>2.9456509E7</v>
      </c>
      <c r="G619" s="114" t="s">
        <v>2904</v>
      </c>
      <c r="H619" s="91" t="s">
        <v>2905</v>
      </c>
      <c r="I619" s="136" t="s">
        <v>2906</v>
      </c>
      <c r="J619" s="83" t="s">
        <v>2907</v>
      </c>
      <c r="K619" s="83" t="s">
        <v>168</v>
      </c>
      <c r="L619" s="83" t="s">
        <v>169</v>
      </c>
      <c r="M619" s="82" t="str">
        <f>IFERROR(__xludf.DUMMYFUNCTION("IFERROR(VLOOKUP(D619,
IMPORTRANGE(""https://docs.google.com/spreadsheets/d/1MjHtlUikwobi2MaWJgy7tfLeBmhj1u-dRFRs_8GwSoA/edit#gid=0"",""Gestores Escolares!D7:J""),3,0),""VERIFICAR CÓD SEC"")"),"ADAILSON BARBOSA GOMES")</f>
        <v>ADAILSON BARBOSA GOMES</v>
      </c>
      <c r="N619" s="82" t="str">
        <f>IFERROR(__xludf.DUMMYFUNCTION("IFERROR(VLOOKUP(D619,
IMPORTRANGE(""https://docs.google.com/spreadsheets/d/1MjHtlUikwobi2MaWJgy7tfLeBmhj1u-dRFRs_8GwSoA/edit#gid=0"",""Gestores Escolares!D7:J""),4,0),""VERIFICAR CÓD SEC"")"),"(74) 9 8828-2249")</f>
        <v>(74) 9 8828-2249</v>
      </c>
      <c r="O619" s="82" t="str">
        <f>IFERROR(__xludf.DUMMYFUNCTION("IFERROR(VLOOKUP(D619,
IMPORTRANGE(""https://docs.google.com/spreadsheets/d/1MjHtlUikwobi2MaWJgy7tfLeBmhj1u-dRFRs_8GwSoA/edit#gid=0"",""Gestores Escolares!D7:J""),6,0),""VERIFICAR CÓD SEC"")"),"JOSE NELSON ALVES DA SILVA")</f>
        <v>JOSE NELSON ALVES DA SILVA</v>
      </c>
      <c r="P619" s="82" t="str">
        <f>IFERROR(__xludf.DUMMYFUNCTION("IFERROR(VLOOKUP(D619,
IMPORTRANGE(""https://docs.google.com/spreadsheets/d/1MjHtlUikwobi2MaWJgy7tfLeBmhj1u-dRFRs_8GwSoA/edit#gid=0"",""Gestores Escolares!D7:J""),7,0),""VERIFICAR CÓD SEC"")"),"(74) 9 8862-1210")</f>
        <v>(74) 9 8862-1210</v>
      </c>
      <c r="Q619" s="82" t="str">
        <f>IFERROR(__xludf.DUMMYFUNCTION("IFERROR(VLOOKUP(D619,
IMPORTRANGE(""https://docs.google.com/spreadsheets/d/1MjHtlUikwobi2MaWJgy7tfLeBmhj1u-dRFRs_8GwSoA/edit#gid=0"",""Gestores Escolares!D7:m""),9,0),""VERIFICAR CÓD SEC"")"),"JOSEMAR RODRIGUES SANTOS")</f>
        <v>JOSEMAR RODRIGUES SANTOS</v>
      </c>
      <c r="R619" s="82" t="str">
        <f>IFERROR(__xludf.DUMMYFUNCTION("IFERROR(VLOOKUP(D619,
IMPORTRANGE(""https://docs.google.com/spreadsheets/d/1MjHtlUikwobi2MaWJgy7tfLeBmhj1u-dRFRs_8GwSoA/edit#gid=0"",""Gestores Escolares!D7:m""),10,0),""VERIFICAR CÓD SEC"")"),"(74) 9 8832-3106")</f>
        <v>(74) 9 8832-3106</v>
      </c>
      <c r="S619" s="82"/>
      <c r="T619" s="138">
        <v>2.0</v>
      </c>
      <c r="U619" s="145">
        <v>2.0</v>
      </c>
      <c r="V619" s="106">
        <v>0.0</v>
      </c>
      <c r="W619" s="107">
        <v>0.0</v>
      </c>
      <c r="X619" s="107">
        <v>0.0</v>
      </c>
      <c r="Y619" s="107">
        <v>0.0</v>
      </c>
      <c r="Z619" s="80">
        <f t="shared" si="1"/>
        <v>0</v>
      </c>
      <c r="AA619" s="106">
        <v>0.0</v>
      </c>
      <c r="AB619" s="107">
        <v>0.0</v>
      </c>
      <c r="AC619" s="107">
        <v>0.0</v>
      </c>
      <c r="AD619" s="107">
        <v>0.0</v>
      </c>
      <c r="AE619" s="80">
        <f t="shared" si="2"/>
        <v>0</v>
      </c>
      <c r="AF619" s="140">
        <v>7.0</v>
      </c>
      <c r="AG619" s="109">
        <v>10.0</v>
      </c>
      <c r="AH619" s="109">
        <v>0.0</v>
      </c>
      <c r="AI619" s="141">
        <v>0.0</v>
      </c>
      <c r="AJ619" s="80">
        <f t="shared" si="3"/>
        <v>17</v>
      </c>
      <c r="AK619" s="140">
        <v>0.0</v>
      </c>
      <c r="AL619" s="109">
        <v>0.0</v>
      </c>
      <c r="AM619" s="141">
        <v>0.0</v>
      </c>
      <c r="AN619" s="80">
        <f t="shared" si="4"/>
        <v>0</v>
      </c>
      <c r="AO619" s="140">
        <v>0.0</v>
      </c>
      <c r="AP619" s="109">
        <v>0.0</v>
      </c>
      <c r="AQ619" s="109">
        <v>0.0</v>
      </c>
      <c r="AR619" s="80">
        <f t="shared" si="5"/>
        <v>0</v>
      </c>
      <c r="AS619" s="110">
        <v>0.0</v>
      </c>
      <c r="AT619" s="110">
        <v>0.0</v>
      </c>
      <c r="AU619" s="110">
        <v>0.0</v>
      </c>
      <c r="AV619" s="142">
        <v>0.0</v>
      </c>
      <c r="AW619" s="80">
        <f t="shared" si="6"/>
        <v>0</v>
      </c>
      <c r="AX619" s="113">
        <f t="shared" si="7"/>
        <v>17</v>
      </c>
      <c r="AY619" s="117">
        <f t="shared" si="8"/>
        <v>17</v>
      </c>
      <c r="AZ619" s="120">
        <f t="shared" si="9"/>
        <v>0</v>
      </c>
      <c r="BA619" s="115">
        <v>0.0</v>
      </c>
      <c r="BB619" s="89">
        <f t="shared" si="10"/>
        <v>17</v>
      </c>
      <c r="BC619" s="132" t="s">
        <v>178</v>
      </c>
      <c r="BD619" s="143" t="s">
        <v>227</v>
      </c>
      <c r="BE619" s="132" t="s">
        <v>178</v>
      </c>
      <c r="BF619" s="123"/>
      <c r="BG619" s="83">
        <v>1179043.0</v>
      </c>
      <c r="BH619" s="112"/>
      <c r="BI619" s="112">
        <v>2.0</v>
      </c>
      <c r="BJ619" s="98" t="s">
        <v>155</v>
      </c>
      <c r="BK619" s="99">
        <f t="shared" si="11"/>
        <v>0</v>
      </c>
      <c r="BL619" s="99">
        <f t="shared" si="12"/>
        <v>17</v>
      </c>
      <c r="BM619" s="99" t="str">
        <f>IFERROR(__xludf.DUMMYFUNCTION("IFERROR(VLOOKUP(BG619,IMPORTRANGE(""https://docs.google.com/spreadsheets/d/1juPI-Fb8LD0YtltB2mlGEnp_R3UVu1t3wSFPzgCyHXE/edit?gid=0#gid=0"",""GERAL!A2:C""),3,0),""-"")"),"-")</f>
        <v>-</v>
      </c>
    </row>
    <row r="620" ht="15.75" customHeight="1">
      <c r="A620" s="111" t="s">
        <v>796</v>
      </c>
      <c r="B620" s="83" t="s">
        <v>2830</v>
      </c>
      <c r="C620" s="83" t="s">
        <v>164</v>
      </c>
      <c r="D620" s="112">
        <v>1179111.0</v>
      </c>
      <c r="E620" s="83">
        <v>1178646.0</v>
      </c>
      <c r="F620" s="98">
        <v>2.9456509E7</v>
      </c>
      <c r="G620" s="114" t="s">
        <v>2908</v>
      </c>
      <c r="H620" s="91" t="s">
        <v>2909</v>
      </c>
      <c r="I620" s="136" t="s">
        <v>2910</v>
      </c>
      <c r="J620" s="83" t="s">
        <v>672</v>
      </c>
      <c r="K620" s="83" t="s">
        <v>168</v>
      </c>
      <c r="L620" s="83" t="s">
        <v>169</v>
      </c>
      <c r="M620" s="82" t="str">
        <f>IFERROR(__xludf.DUMMYFUNCTION("IFERROR(VLOOKUP(D620,
IMPORTRANGE(""https://docs.google.com/spreadsheets/d/1MjHtlUikwobi2MaWJgy7tfLeBmhj1u-dRFRs_8GwSoA/edit#gid=0"",""Gestores Escolares!D7:J""),3,0),""VERIFICAR CÓD SEC"")"),"ADAILSON BARBOSA GOMES")</f>
        <v>ADAILSON BARBOSA GOMES</v>
      </c>
      <c r="N620" s="82" t="str">
        <f>IFERROR(__xludf.DUMMYFUNCTION("IFERROR(VLOOKUP(D620,
IMPORTRANGE(""https://docs.google.com/spreadsheets/d/1MjHtlUikwobi2MaWJgy7tfLeBmhj1u-dRFRs_8GwSoA/edit#gid=0"",""Gestores Escolares!D7:J""),4,0),""VERIFICAR CÓD SEC"")"),"(74) 9 8828-2249")</f>
        <v>(74) 9 8828-2249</v>
      </c>
      <c r="O620" s="82" t="str">
        <f>IFERROR(__xludf.DUMMYFUNCTION("IFERROR(VLOOKUP(D620,
IMPORTRANGE(""https://docs.google.com/spreadsheets/d/1MjHtlUikwobi2MaWJgy7tfLeBmhj1u-dRFRs_8GwSoA/edit#gid=0"",""Gestores Escolares!D7:J""),6,0),""VERIFICAR CÓD SEC"")"),"JOSE NELSON ALVES DA SILVA")</f>
        <v>JOSE NELSON ALVES DA SILVA</v>
      </c>
      <c r="P620" s="82" t="str">
        <f>IFERROR(__xludf.DUMMYFUNCTION("IFERROR(VLOOKUP(D620,
IMPORTRANGE(""https://docs.google.com/spreadsheets/d/1MjHtlUikwobi2MaWJgy7tfLeBmhj1u-dRFRs_8GwSoA/edit#gid=0"",""Gestores Escolares!D7:J""),7,0),""VERIFICAR CÓD SEC"")"),"(74) 9 8862-1210")</f>
        <v>(74) 9 8862-1210</v>
      </c>
      <c r="Q620" s="82" t="str">
        <f>IFERROR(__xludf.DUMMYFUNCTION("IFERROR(VLOOKUP(D620,
IMPORTRANGE(""https://docs.google.com/spreadsheets/d/1MjHtlUikwobi2MaWJgy7tfLeBmhj1u-dRFRs_8GwSoA/edit#gid=0"",""Gestores Escolares!D7:m""),9,0),""VERIFICAR CÓD SEC"")"),"JOSEMAR RODRIGUES SANTOS")</f>
        <v>JOSEMAR RODRIGUES SANTOS</v>
      </c>
      <c r="R620" s="82" t="str">
        <f>IFERROR(__xludf.DUMMYFUNCTION("IFERROR(VLOOKUP(D620,
IMPORTRANGE(""https://docs.google.com/spreadsheets/d/1MjHtlUikwobi2MaWJgy7tfLeBmhj1u-dRFRs_8GwSoA/edit#gid=0"",""Gestores Escolares!D7:m""),10,0),""VERIFICAR CÓD SEC"")"),"(74) 9 8832-3106")</f>
        <v>(74) 9 8832-3106</v>
      </c>
      <c r="S620" s="82"/>
      <c r="T620" s="138">
        <v>2.0</v>
      </c>
      <c r="U620" s="145">
        <v>2.0</v>
      </c>
      <c r="V620" s="106">
        <v>0.0</v>
      </c>
      <c r="W620" s="107">
        <v>0.0</v>
      </c>
      <c r="X620" s="107">
        <v>0.0</v>
      </c>
      <c r="Y620" s="107">
        <v>0.0</v>
      </c>
      <c r="Z620" s="80">
        <f t="shared" si="1"/>
        <v>0</v>
      </c>
      <c r="AA620" s="106">
        <v>0.0</v>
      </c>
      <c r="AB620" s="107">
        <v>0.0</v>
      </c>
      <c r="AC620" s="107">
        <v>0.0</v>
      </c>
      <c r="AD620" s="107">
        <v>0.0</v>
      </c>
      <c r="AE620" s="80">
        <f t="shared" si="2"/>
        <v>0</v>
      </c>
      <c r="AF620" s="140">
        <v>21.0</v>
      </c>
      <c r="AG620" s="109">
        <v>33.0</v>
      </c>
      <c r="AH620" s="109">
        <v>0.0</v>
      </c>
      <c r="AI620" s="141">
        <v>0.0</v>
      </c>
      <c r="AJ620" s="80">
        <f t="shared" si="3"/>
        <v>54</v>
      </c>
      <c r="AK620" s="140">
        <v>0.0</v>
      </c>
      <c r="AL620" s="109">
        <v>0.0</v>
      </c>
      <c r="AM620" s="141">
        <v>0.0</v>
      </c>
      <c r="AN620" s="80">
        <f t="shared" si="4"/>
        <v>0</v>
      </c>
      <c r="AO620" s="140">
        <v>0.0</v>
      </c>
      <c r="AP620" s="109">
        <v>0.0</v>
      </c>
      <c r="AQ620" s="109">
        <v>0.0</v>
      </c>
      <c r="AR620" s="80">
        <f t="shared" si="5"/>
        <v>0</v>
      </c>
      <c r="AS620" s="110">
        <v>0.0</v>
      </c>
      <c r="AT620" s="110">
        <v>0.0</v>
      </c>
      <c r="AU620" s="110">
        <v>0.0</v>
      </c>
      <c r="AV620" s="142">
        <v>0.0</v>
      </c>
      <c r="AW620" s="80">
        <f t="shared" si="6"/>
        <v>0</v>
      </c>
      <c r="AX620" s="113">
        <f t="shared" si="7"/>
        <v>54</v>
      </c>
      <c r="AY620" s="117">
        <f t="shared" si="8"/>
        <v>54</v>
      </c>
      <c r="AZ620" s="120">
        <f t="shared" si="9"/>
        <v>0</v>
      </c>
      <c r="BA620" s="115">
        <v>0.0</v>
      </c>
      <c r="BB620" s="89">
        <f t="shared" si="10"/>
        <v>54</v>
      </c>
      <c r="BC620" s="132" t="s">
        <v>178</v>
      </c>
      <c r="BD620" s="143" t="s">
        <v>227</v>
      </c>
      <c r="BE620" s="132" t="s">
        <v>178</v>
      </c>
      <c r="BF620" s="123"/>
      <c r="BG620" s="83">
        <v>1178646.0</v>
      </c>
      <c r="BH620" s="112"/>
      <c r="BI620" s="112">
        <v>2.0</v>
      </c>
      <c r="BJ620" s="98" t="s">
        <v>155</v>
      </c>
      <c r="BK620" s="99">
        <f t="shared" si="11"/>
        <v>0</v>
      </c>
      <c r="BL620" s="99">
        <f t="shared" si="12"/>
        <v>54</v>
      </c>
      <c r="BM620" s="99" t="str">
        <f>IFERROR(__xludf.DUMMYFUNCTION("IFERROR(VLOOKUP(BG620,IMPORTRANGE(""https://docs.google.com/spreadsheets/d/1juPI-Fb8LD0YtltB2mlGEnp_R3UVu1t3wSFPzgCyHXE/edit?gid=0#gid=0"",""GERAL!A2:C""),3,0),""-"")"),"-")</f>
        <v>-</v>
      </c>
    </row>
    <row r="621" ht="15.75" customHeight="1">
      <c r="A621" s="111" t="s">
        <v>796</v>
      </c>
      <c r="B621" s="83" t="s">
        <v>2911</v>
      </c>
      <c r="C621" s="83" t="s">
        <v>68</v>
      </c>
      <c r="D621" s="112">
        <v>1176454.0</v>
      </c>
      <c r="E621" s="83"/>
      <c r="F621" s="83">
        <v>2.9393353E7</v>
      </c>
      <c r="G621" s="114" t="s">
        <v>2913</v>
      </c>
      <c r="H621" s="91" t="s">
        <v>2915</v>
      </c>
      <c r="I621" s="83" t="s">
        <v>149</v>
      </c>
      <c r="J621" s="83" t="s">
        <v>150</v>
      </c>
      <c r="K621" s="83" t="s">
        <v>151</v>
      </c>
      <c r="L621" s="83" t="s">
        <v>152</v>
      </c>
      <c r="M621" s="82" t="str">
        <f>IFERROR(__xludf.DUMMYFUNCTION("IFERROR(VLOOKUP(D621,
IMPORTRANGE(""https://docs.google.com/spreadsheets/d/1MjHtlUikwobi2MaWJgy7tfLeBmhj1u-dRFRs_8GwSoA/edit#gid=0"",""Gestores Escolares!D7:J""),3,0),""VERIFICAR CÓD SEC"")"),"JARDEL BATISTA LIMA")</f>
        <v>JARDEL BATISTA LIMA</v>
      </c>
      <c r="N621" s="82" t="str">
        <f>IFERROR(__xludf.DUMMYFUNCTION("IFERROR(VLOOKUP(D621,
IMPORTRANGE(""https://docs.google.com/spreadsheets/d/1MjHtlUikwobi2MaWJgy7tfLeBmhj1u-dRFRs_8GwSoA/edit#gid=0"",""Gestores Escolares!D7:J""),4,0),""VERIFICAR CÓD SEC"")"),"(75)  9 9944-6724")</f>
        <v>(75)  9 9944-6724</v>
      </c>
      <c r="O621" s="82" t="str">
        <f>IFERROR(__xludf.DUMMYFUNCTION("IFERROR(VLOOKUP(D621,
IMPORTRANGE(""https://docs.google.com/spreadsheets/d/1MjHtlUikwobi2MaWJgy7tfLeBmhj1u-dRFRs_8GwSoA/edit#gid=0"",""Gestores Escolares!D7:J""),6,0),""VERIFICAR CÓD SEC"")"),"MAISA BORGES DA GAMA")</f>
        <v>MAISA BORGES DA GAMA</v>
      </c>
      <c r="P621" s="82" t="str">
        <f>IFERROR(__xludf.DUMMYFUNCTION("IFERROR(VLOOKUP(D621,
IMPORTRANGE(""https://docs.google.com/spreadsheets/d/1MjHtlUikwobi2MaWJgy7tfLeBmhj1u-dRFRs_8GwSoA/edit#gid=0"",""Gestores Escolares!D7:J""),7,0),""VERIFICAR CÓD SEC"")"),"(75) 9 9172-6644")</f>
        <v>(75) 9 9172-6644</v>
      </c>
      <c r="Q621" s="82" t="str">
        <f>IFERROR(__xludf.DUMMYFUNCTION("IFERROR(VLOOKUP(D621,
IMPORTRANGE(""https://docs.google.com/spreadsheets/d/1MjHtlUikwobi2MaWJgy7tfLeBmhj1u-dRFRs_8GwSoA/edit#gid=0"",""Gestores Escolares!D7:m""),9,0),""VERIFICAR CÓD SEC"")"),"")</f>
        <v/>
      </c>
      <c r="R621" s="82" t="str">
        <f>IFERROR(__xludf.DUMMYFUNCTION("IFERROR(VLOOKUP(D621,
IMPORTRANGE(""https://docs.google.com/spreadsheets/d/1MjHtlUikwobi2MaWJgy7tfLeBmhj1u-dRFRs_8GwSoA/edit#gid=0"",""Gestores Escolares!D7:m""),10,0),""VERIFICAR CÓD SEC"")"),"")</f>
        <v/>
      </c>
      <c r="S621" s="82"/>
      <c r="T621" s="138">
        <v>8.0</v>
      </c>
      <c r="U621" s="145">
        <v>8.0</v>
      </c>
      <c r="V621" s="106">
        <v>0.0</v>
      </c>
      <c r="W621" s="107">
        <v>0.0</v>
      </c>
      <c r="X621" s="107">
        <v>0.0</v>
      </c>
      <c r="Y621" s="107">
        <v>0.0</v>
      </c>
      <c r="Z621" s="80">
        <f t="shared" si="1"/>
        <v>0</v>
      </c>
      <c r="AA621" s="106">
        <v>0.0</v>
      </c>
      <c r="AB621" s="107">
        <v>0.0</v>
      </c>
      <c r="AC621" s="107">
        <v>0.0</v>
      </c>
      <c r="AD621" s="107">
        <v>0.0</v>
      </c>
      <c r="AE621" s="80">
        <f t="shared" si="2"/>
        <v>0</v>
      </c>
      <c r="AF621" s="140">
        <v>188.0</v>
      </c>
      <c r="AG621" s="109">
        <v>307.0</v>
      </c>
      <c r="AH621" s="109">
        <v>0.0</v>
      </c>
      <c r="AI621" s="141">
        <v>0.0</v>
      </c>
      <c r="AJ621" s="80">
        <f t="shared" si="3"/>
        <v>495</v>
      </c>
      <c r="AK621" s="140">
        <v>0.0</v>
      </c>
      <c r="AL621" s="109">
        <v>0.0</v>
      </c>
      <c r="AM621" s="141">
        <v>0.0</v>
      </c>
      <c r="AN621" s="80">
        <f t="shared" si="4"/>
        <v>0</v>
      </c>
      <c r="AO621" s="140">
        <v>0.0</v>
      </c>
      <c r="AP621" s="109">
        <v>0.0</v>
      </c>
      <c r="AQ621" s="109">
        <v>115.0</v>
      </c>
      <c r="AR621" s="80">
        <f t="shared" si="5"/>
        <v>115</v>
      </c>
      <c r="AS621" s="110">
        <v>90.0</v>
      </c>
      <c r="AT621" s="110">
        <v>0.0</v>
      </c>
      <c r="AU621" s="110">
        <v>0.0</v>
      </c>
      <c r="AV621" s="142">
        <v>0.0</v>
      </c>
      <c r="AW621" s="80">
        <f t="shared" si="6"/>
        <v>90</v>
      </c>
      <c r="AX621" s="113">
        <f t="shared" si="7"/>
        <v>700</v>
      </c>
      <c r="AY621" s="117">
        <f t="shared" si="8"/>
        <v>585</v>
      </c>
      <c r="AZ621" s="120">
        <f t="shared" si="9"/>
        <v>115</v>
      </c>
      <c r="BA621" s="115">
        <v>1.0</v>
      </c>
      <c r="BB621" s="89">
        <f t="shared" si="10"/>
        <v>701</v>
      </c>
      <c r="BC621" s="132" t="s">
        <v>178</v>
      </c>
      <c r="BD621" s="132" t="s">
        <v>178</v>
      </c>
      <c r="BE621" s="132" t="s">
        <v>178</v>
      </c>
      <c r="BF621" s="156"/>
      <c r="BG621" s="83">
        <v>1176454.0</v>
      </c>
      <c r="BH621" s="112"/>
      <c r="BI621" s="112">
        <v>8.0</v>
      </c>
      <c r="BJ621" s="98" t="s">
        <v>155</v>
      </c>
      <c r="BK621" s="99">
        <f t="shared" si="11"/>
        <v>0</v>
      </c>
      <c r="BL621" s="99">
        <f t="shared" si="12"/>
        <v>585</v>
      </c>
      <c r="BM621" s="99" t="str">
        <f>IFERROR(__xludf.DUMMYFUNCTION("IFERROR(VLOOKUP(BG621,IMPORTRANGE(""https://docs.google.com/spreadsheets/d/1juPI-Fb8LD0YtltB2mlGEnp_R3UVu1t3wSFPzgCyHXE/edit?gid=0#gid=0"",""GERAL!A2:C""),3,0),""-"")"),"-")</f>
        <v>-</v>
      </c>
    </row>
    <row r="622" ht="15.75" customHeight="1">
      <c r="A622" s="111" t="s">
        <v>796</v>
      </c>
      <c r="B622" s="83" t="s">
        <v>2911</v>
      </c>
      <c r="C622" s="83" t="s">
        <v>164</v>
      </c>
      <c r="D622" s="112">
        <v>1179111.0</v>
      </c>
      <c r="E622" s="83">
        <v>1178604.0</v>
      </c>
      <c r="F622" s="98">
        <v>2.9456509E7</v>
      </c>
      <c r="G622" s="114" t="s">
        <v>2922</v>
      </c>
      <c r="H622" s="91" t="s">
        <v>2923</v>
      </c>
      <c r="I622" s="233" t="s">
        <v>2924</v>
      </c>
      <c r="J622" s="83" t="s">
        <v>467</v>
      </c>
      <c r="K622" s="83" t="s">
        <v>168</v>
      </c>
      <c r="L622" s="83" t="s">
        <v>169</v>
      </c>
      <c r="M622" s="82" t="str">
        <f>IFERROR(__xludf.DUMMYFUNCTION("IFERROR(VLOOKUP(D622,
IMPORTRANGE(""https://docs.google.com/spreadsheets/d/1MjHtlUikwobi2MaWJgy7tfLeBmhj1u-dRFRs_8GwSoA/edit#gid=0"",""Gestores Escolares!D7:J""),3,0),""VERIFICAR CÓD SEC"")"),"ADAILSON BARBOSA GOMES")</f>
        <v>ADAILSON BARBOSA GOMES</v>
      </c>
      <c r="N622" s="82" t="str">
        <f>IFERROR(__xludf.DUMMYFUNCTION("IFERROR(VLOOKUP(D622,
IMPORTRANGE(""https://docs.google.com/spreadsheets/d/1MjHtlUikwobi2MaWJgy7tfLeBmhj1u-dRFRs_8GwSoA/edit#gid=0"",""Gestores Escolares!D7:J""),4,0),""VERIFICAR CÓD SEC"")"),"(74) 9 8828-2249")</f>
        <v>(74) 9 8828-2249</v>
      </c>
      <c r="O622" s="82" t="str">
        <f>IFERROR(__xludf.DUMMYFUNCTION("IFERROR(VLOOKUP(D622,
IMPORTRANGE(""https://docs.google.com/spreadsheets/d/1MjHtlUikwobi2MaWJgy7tfLeBmhj1u-dRFRs_8GwSoA/edit#gid=0"",""Gestores Escolares!D7:J""),6,0),""VERIFICAR CÓD SEC"")"),"JOSE NELSON ALVES DA SILVA")</f>
        <v>JOSE NELSON ALVES DA SILVA</v>
      </c>
      <c r="P622" s="82" t="str">
        <f>IFERROR(__xludf.DUMMYFUNCTION("IFERROR(VLOOKUP(D622,
IMPORTRANGE(""https://docs.google.com/spreadsheets/d/1MjHtlUikwobi2MaWJgy7tfLeBmhj1u-dRFRs_8GwSoA/edit#gid=0"",""Gestores Escolares!D7:J""),7,0),""VERIFICAR CÓD SEC"")"),"(74) 9 8862-1210")</f>
        <v>(74) 9 8862-1210</v>
      </c>
      <c r="Q622" s="82" t="str">
        <f>IFERROR(__xludf.DUMMYFUNCTION("IFERROR(VLOOKUP(D622,
IMPORTRANGE(""https://docs.google.com/spreadsheets/d/1MjHtlUikwobi2MaWJgy7tfLeBmhj1u-dRFRs_8GwSoA/edit#gid=0"",""Gestores Escolares!D7:m""),9,0),""VERIFICAR CÓD SEC"")"),"JOSEMAR RODRIGUES SANTOS")</f>
        <v>JOSEMAR RODRIGUES SANTOS</v>
      </c>
      <c r="R622" s="82" t="str">
        <f>IFERROR(__xludf.DUMMYFUNCTION("IFERROR(VLOOKUP(D622,
IMPORTRANGE(""https://docs.google.com/spreadsheets/d/1MjHtlUikwobi2MaWJgy7tfLeBmhj1u-dRFRs_8GwSoA/edit#gid=0"",""Gestores Escolares!D7:m""),10,0),""VERIFICAR CÓD SEC"")"),"(74) 9 8832-3106")</f>
        <v>(74) 9 8832-3106</v>
      </c>
      <c r="S622" s="82"/>
      <c r="T622" s="138">
        <v>1.0</v>
      </c>
      <c r="U622" s="139">
        <v>1.0</v>
      </c>
      <c r="V622" s="106">
        <v>0.0</v>
      </c>
      <c r="W622" s="107">
        <v>0.0</v>
      </c>
      <c r="X622" s="107">
        <v>0.0</v>
      </c>
      <c r="Y622" s="107">
        <v>0.0</v>
      </c>
      <c r="Z622" s="80">
        <f t="shared" si="1"/>
        <v>0</v>
      </c>
      <c r="AA622" s="106">
        <v>0.0</v>
      </c>
      <c r="AB622" s="107">
        <v>0.0</v>
      </c>
      <c r="AC622" s="107">
        <v>0.0</v>
      </c>
      <c r="AD622" s="107">
        <v>0.0</v>
      </c>
      <c r="AE622" s="80">
        <f t="shared" si="2"/>
        <v>0</v>
      </c>
      <c r="AF622" s="140">
        <v>11.0</v>
      </c>
      <c r="AG622" s="109">
        <v>0.0</v>
      </c>
      <c r="AH622" s="109">
        <v>0.0</v>
      </c>
      <c r="AI622" s="141">
        <v>0.0</v>
      </c>
      <c r="AJ622" s="80">
        <f t="shared" si="3"/>
        <v>11</v>
      </c>
      <c r="AK622" s="140">
        <v>0.0</v>
      </c>
      <c r="AL622" s="109">
        <v>0.0</v>
      </c>
      <c r="AM622" s="141">
        <v>0.0</v>
      </c>
      <c r="AN622" s="80">
        <f t="shared" si="4"/>
        <v>0</v>
      </c>
      <c r="AO622" s="140">
        <v>0.0</v>
      </c>
      <c r="AP622" s="109">
        <v>0.0</v>
      </c>
      <c r="AQ622" s="109">
        <v>0.0</v>
      </c>
      <c r="AR622" s="80">
        <f t="shared" si="5"/>
        <v>0</v>
      </c>
      <c r="AS622" s="110">
        <v>0.0</v>
      </c>
      <c r="AT622" s="110">
        <v>0.0</v>
      </c>
      <c r="AU622" s="110">
        <v>0.0</v>
      </c>
      <c r="AV622" s="142">
        <v>0.0</v>
      </c>
      <c r="AW622" s="80">
        <f t="shared" si="6"/>
        <v>0</v>
      </c>
      <c r="AX622" s="113">
        <f t="shared" si="7"/>
        <v>11</v>
      </c>
      <c r="AY622" s="117">
        <f t="shared" si="8"/>
        <v>11</v>
      </c>
      <c r="AZ622" s="120">
        <f t="shared" si="9"/>
        <v>0</v>
      </c>
      <c r="BA622" s="115">
        <v>0.0</v>
      </c>
      <c r="BB622" s="89">
        <f t="shared" si="10"/>
        <v>11</v>
      </c>
      <c r="BC622" s="132" t="s">
        <v>178</v>
      </c>
      <c r="BD622" s="143" t="s">
        <v>227</v>
      </c>
      <c r="BE622" s="132" t="s">
        <v>178</v>
      </c>
      <c r="BF622" s="123"/>
      <c r="BG622" s="83">
        <v>1178604.0</v>
      </c>
      <c r="BH622" s="112"/>
      <c r="BI622" s="112">
        <v>1.0</v>
      </c>
      <c r="BJ622" s="98" t="s">
        <v>155</v>
      </c>
      <c r="BK622" s="99">
        <f t="shared" si="11"/>
        <v>0</v>
      </c>
      <c r="BL622" s="99">
        <f t="shared" si="12"/>
        <v>11</v>
      </c>
      <c r="BM622" s="99" t="str">
        <f>IFERROR(__xludf.DUMMYFUNCTION("IFERROR(VLOOKUP(BG622,IMPORTRANGE(""https://docs.google.com/spreadsheets/d/1juPI-Fb8LD0YtltB2mlGEnp_R3UVu1t3wSFPzgCyHXE/edit?gid=0#gid=0"",""GERAL!A2:C""),3,0),""-"")"),"-")</f>
        <v>-</v>
      </c>
    </row>
    <row r="623" ht="15.75" customHeight="1">
      <c r="A623" s="111" t="s">
        <v>796</v>
      </c>
      <c r="B623" s="83" t="s">
        <v>2925</v>
      </c>
      <c r="C623" s="83" t="s">
        <v>68</v>
      </c>
      <c r="D623" s="112">
        <v>1179712.0</v>
      </c>
      <c r="E623" s="83"/>
      <c r="F623" s="98">
        <v>2.94851E7</v>
      </c>
      <c r="G623" s="153" t="s">
        <v>2926</v>
      </c>
      <c r="H623" s="91" t="s">
        <v>2927</v>
      </c>
      <c r="I623" s="193" t="s">
        <v>171</v>
      </c>
      <c r="J623" s="98" t="s">
        <v>2928</v>
      </c>
      <c r="K623" s="83" t="s">
        <v>151</v>
      </c>
      <c r="L623" s="98" t="s">
        <v>152</v>
      </c>
      <c r="M623" s="82" t="str">
        <f>IFERROR(__xludf.DUMMYFUNCTION("IFERROR(VLOOKUP(D623,
IMPORTRANGE(""https://docs.google.com/spreadsheets/d/1MjHtlUikwobi2MaWJgy7tfLeBmhj1u-dRFRs_8GwSoA/edit#gid=0"",""Gestores Escolares!D7:J""),3,0),""VERIFICAR CÓD SEC"")"),"ALESSANDRA ALMEIDA E SILVA")</f>
        <v>ALESSANDRA ALMEIDA E SILVA</v>
      </c>
      <c r="N623" s="82" t="str">
        <f>IFERROR(__xludf.DUMMYFUNCTION("IFERROR(VLOOKUP(D623,
IMPORTRANGE(""https://docs.google.com/spreadsheets/d/1MjHtlUikwobi2MaWJgy7tfLeBmhj1u-dRFRs_8GwSoA/edit#gid=0"",""Gestores Escolares!D7:J""),4,0),""VERIFICAR CÓD SEC"")"),"(74) 9 8857-6554")</f>
        <v>(74) 9 8857-6554</v>
      </c>
      <c r="O623" s="82" t="str">
        <f>IFERROR(__xludf.DUMMYFUNCTION("IFERROR(VLOOKUP(D623,
IMPORTRANGE(""https://docs.google.com/spreadsheets/d/1MjHtlUikwobi2MaWJgy7tfLeBmhj1u-dRFRs_8GwSoA/edit#gid=0"",""Gestores Escolares!D7:J""),6,0),""VERIFICAR CÓD SEC"")"),"")</f>
        <v/>
      </c>
      <c r="P623" s="82" t="str">
        <f>IFERROR(__xludf.DUMMYFUNCTION("IFERROR(VLOOKUP(D623,
IMPORTRANGE(""https://docs.google.com/spreadsheets/d/1MjHtlUikwobi2MaWJgy7tfLeBmhj1u-dRFRs_8GwSoA/edit#gid=0"",""Gestores Escolares!D7:J""),7,0),""VERIFICAR CÓD SEC"")"),"")</f>
        <v/>
      </c>
      <c r="Q623" s="82" t="str">
        <f>IFERROR(__xludf.DUMMYFUNCTION("IFERROR(VLOOKUP(D623,
IMPORTRANGE(""https://docs.google.com/spreadsheets/d/1MjHtlUikwobi2MaWJgy7tfLeBmhj1u-dRFRs_8GwSoA/edit#gid=0"",""Gestores Escolares!D7:m""),9,0),""VERIFICAR CÓD SEC"")"),"")</f>
        <v/>
      </c>
      <c r="R623" s="82" t="str">
        <f>IFERROR(__xludf.DUMMYFUNCTION("IFERROR(VLOOKUP(D623,
IMPORTRANGE(""https://docs.google.com/spreadsheets/d/1MjHtlUikwobi2MaWJgy7tfLeBmhj1u-dRFRs_8GwSoA/edit#gid=0"",""Gestores Escolares!D7:m""),10,0),""VERIFICAR CÓD SEC"")"),"")</f>
        <v/>
      </c>
      <c r="S623" s="82"/>
      <c r="T623" s="138">
        <v>6.0</v>
      </c>
      <c r="U623" s="139">
        <v>6.0</v>
      </c>
      <c r="V623" s="106">
        <v>0.0</v>
      </c>
      <c r="W623" s="107">
        <v>0.0</v>
      </c>
      <c r="X623" s="107">
        <v>0.0</v>
      </c>
      <c r="Y623" s="107">
        <v>0.0</v>
      </c>
      <c r="Z623" s="80">
        <f t="shared" si="1"/>
        <v>0</v>
      </c>
      <c r="AA623" s="106">
        <v>0.0</v>
      </c>
      <c r="AB623" s="107">
        <v>0.0</v>
      </c>
      <c r="AC623" s="107">
        <v>0.0</v>
      </c>
      <c r="AD623" s="107">
        <v>0.0</v>
      </c>
      <c r="AE623" s="80">
        <f t="shared" si="2"/>
        <v>0</v>
      </c>
      <c r="AF623" s="140">
        <v>0.0</v>
      </c>
      <c r="AG623" s="109">
        <v>0.0</v>
      </c>
      <c r="AH623" s="109">
        <v>0.0</v>
      </c>
      <c r="AI623" s="141">
        <v>140.0</v>
      </c>
      <c r="AJ623" s="80">
        <f t="shared" si="3"/>
        <v>140</v>
      </c>
      <c r="AK623" s="140">
        <v>0.0</v>
      </c>
      <c r="AL623" s="109">
        <v>0.0</v>
      </c>
      <c r="AM623" s="141">
        <v>0.0</v>
      </c>
      <c r="AN623" s="80">
        <f t="shared" si="4"/>
        <v>0</v>
      </c>
      <c r="AO623" s="140">
        <v>0.0</v>
      </c>
      <c r="AP623" s="109">
        <v>0.0</v>
      </c>
      <c r="AQ623" s="109">
        <v>72.0</v>
      </c>
      <c r="AR623" s="80">
        <f t="shared" si="5"/>
        <v>72</v>
      </c>
      <c r="AS623" s="110">
        <v>0.0</v>
      </c>
      <c r="AT623" s="110">
        <v>0.0</v>
      </c>
      <c r="AU623" s="110">
        <v>0.0</v>
      </c>
      <c r="AV623" s="142">
        <v>0.0</v>
      </c>
      <c r="AW623" s="80">
        <f t="shared" si="6"/>
        <v>0</v>
      </c>
      <c r="AX623" s="113">
        <f t="shared" si="7"/>
        <v>212</v>
      </c>
      <c r="AY623" s="117">
        <f t="shared" si="8"/>
        <v>140</v>
      </c>
      <c r="AZ623" s="120">
        <f t="shared" si="9"/>
        <v>72</v>
      </c>
      <c r="BA623" s="115">
        <v>0.0</v>
      </c>
      <c r="BB623" s="89">
        <f t="shared" si="10"/>
        <v>212</v>
      </c>
      <c r="BC623" s="132" t="s">
        <v>178</v>
      </c>
      <c r="BD623" s="132" t="s">
        <v>178</v>
      </c>
      <c r="BE623" s="132" t="s">
        <v>178</v>
      </c>
      <c r="BF623" s="156"/>
      <c r="BG623" s="83">
        <v>1179712.0</v>
      </c>
      <c r="BH623" s="112"/>
      <c r="BI623" s="112">
        <v>6.0</v>
      </c>
      <c r="BJ623" s="98" t="s">
        <v>162</v>
      </c>
      <c r="BK623" s="99">
        <f t="shared" si="11"/>
        <v>140</v>
      </c>
      <c r="BL623" s="99">
        <f t="shared" si="12"/>
        <v>0</v>
      </c>
      <c r="BM623" s="99" t="str">
        <f>IFERROR(__xludf.DUMMYFUNCTION("IFERROR(VLOOKUP(BG623,IMPORTRANGE(""https://docs.google.com/spreadsheets/d/1juPI-Fb8LD0YtltB2mlGEnp_R3UVu1t3wSFPzgCyHXE/edit?gid=0#gid=0"",""GERAL!A2:C""),3,0),""-"")"),"CAMPO")</f>
        <v>CAMPO</v>
      </c>
    </row>
    <row r="624" ht="15.75" customHeight="1">
      <c r="A624" s="111" t="s">
        <v>796</v>
      </c>
      <c r="B624" s="172" t="s">
        <v>2925</v>
      </c>
      <c r="C624" s="83" t="s">
        <v>68</v>
      </c>
      <c r="D624" s="112">
        <v>1179592.0</v>
      </c>
      <c r="E624" s="83"/>
      <c r="F624" s="83">
        <v>2.947056E7</v>
      </c>
      <c r="G624" s="384" t="s">
        <v>2931</v>
      </c>
      <c r="H624" s="91" t="s">
        <v>2932</v>
      </c>
      <c r="I624" s="83" t="s">
        <v>149</v>
      </c>
      <c r="J624" s="83" t="s">
        <v>702</v>
      </c>
      <c r="K624" s="83" t="s">
        <v>151</v>
      </c>
      <c r="L624" s="83" t="s">
        <v>152</v>
      </c>
      <c r="M624" s="82" t="str">
        <f>IFERROR(__xludf.DUMMYFUNCTION("IFERROR(VLOOKUP(D624,
IMPORTRANGE(""https://docs.google.com/spreadsheets/d/1MjHtlUikwobi2MaWJgy7tfLeBmhj1u-dRFRs_8GwSoA/edit#gid=0"",""Gestores Escolares!D7:J""),3,0),""VERIFICAR CÓD SEC"")"),"BRUNA ANTONIELLA CORDEIRO BRIENE")</f>
        <v>BRUNA ANTONIELLA CORDEIRO BRIENE</v>
      </c>
      <c r="N624" s="82" t="str">
        <f>IFERROR(__xludf.DUMMYFUNCTION("IFERROR(VLOOKUP(D624,
IMPORTRANGE(""https://docs.google.com/spreadsheets/d/1MjHtlUikwobi2MaWJgy7tfLeBmhj1u-dRFRs_8GwSoA/edit#gid=0"",""Gestores Escolares!D7:J""),4,0),""VERIFICAR CÓD SEC"")"),"(74) 9 8118-5924")</f>
        <v>(74) 9 8118-5924</v>
      </c>
      <c r="O624" s="82" t="str">
        <f>IFERROR(__xludf.DUMMYFUNCTION("IFERROR(VLOOKUP(D624,
IMPORTRANGE(""https://docs.google.com/spreadsheets/d/1MjHtlUikwobi2MaWJgy7tfLeBmhj1u-dRFRs_8GwSoA/edit#gid=0"",""Gestores Escolares!D7:J""),6,0),""VERIFICAR CÓD SEC"")"),"JEFFERSON DE SOUZA MAIA")</f>
        <v>JEFFERSON DE SOUZA MAIA</v>
      </c>
      <c r="P624" s="82" t="str">
        <f>IFERROR(__xludf.DUMMYFUNCTION("IFERROR(VLOOKUP(D624,
IMPORTRANGE(""https://docs.google.com/spreadsheets/d/1MjHtlUikwobi2MaWJgy7tfLeBmhj1u-dRFRs_8GwSoA/edit#gid=0"",""Gestores Escolares!D7:J""),7,0),""VERIFICAR CÓD SEC"")"),"(84) 9 8165-2140")</f>
        <v>(84) 9 8165-2140</v>
      </c>
      <c r="Q624" s="82" t="str">
        <f>IFERROR(__xludf.DUMMYFUNCTION("IFERROR(VLOOKUP(D624,
IMPORTRANGE(""https://docs.google.com/spreadsheets/d/1MjHtlUikwobi2MaWJgy7tfLeBmhj1u-dRFRs_8GwSoA/edit#gid=0"",""Gestores Escolares!D7:m""),9,0),""VERIFICAR CÓD SEC"")"),"LAIS LUANA DE LIMA")</f>
        <v>LAIS LUANA DE LIMA</v>
      </c>
      <c r="R624" s="82" t="str">
        <f>IFERROR(__xludf.DUMMYFUNCTION("IFERROR(VLOOKUP(D624,
IMPORTRANGE(""https://docs.google.com/spreadsheets/d/1MjHtlUikwobi2MaWJgy7tfLeBmhj1u-dRFRs_8GwSoA/edit#gid=0"",""Gestores Escolares!D7:m""),10,0),""VERIFICAR CÓD SEC"")"),"(81) 9 9832-2179")</f>
        <v>(81) 9 9832-2179</v>
      </c>
      <c r="S624" s="82"/>
      <c r="T624" s="138">
        <v>10.0</v>
      </c>
      <c r="U624" s="139">
        <v>8.0</v>
      </c>
      <c r="V624" s="106">
        <v>0.0</v>
      </c>
      <c r="W624" s="107">
        <v>0.0</v>
      </c>
      <c r="X624" s="107">
        <v>0.0</v>
      </c>
      <c r="Y624" s="107">
        <v>0.0</v>
      </c>
      <c r="Z624" s="80">
        <f t="shared" si="1"/>
        <v>0</v>
      </c>
      <c r="AA624" s="106">
        <v>0.0</v>
      </c>
      <c r="AB624" s="107">
        <v>0.0</v>
      </c>
      <c r="AC624" s="107">
        <v>0.0</v>
      </c>
      <c r="AD624" s="107">
        <v>0.0</v>
      </c>
      <c r="AE624" s="80">
        <f t="shared" si="2"/>
        <v>0</v>
      </c>
      <c r="AF624" s="140">
        <v>0.0</v>
      </c>
      <c r="AG624" s="109">
        <v>0.0</v>
      </c>
      <c r="AH624" s="109">
        <v>0.0</v>
      </c>
      <c r="AI624" s="141">
        <v>206.0</v>
      </c>
      <c r="AJ624" s="80">
        <f t="shared" si="3"/>
        <v>206</v>
      </c>
      <c r="AK624" s="140">
        <v>0.0</v>
      </c>
      <c r="AL624" s="109">
        <v>0.0</v>
      </c>
      <c r="AM624" s="141">
        <v>0.0</v>
      </c>
      <c r="AN624" s="80">
        <f t="shared" si="4"/>
        <v>0</v>
      </c>
      <c r="AO624" s="140">
        <v>0.0</v>
      </c>
      <c r="AP624" s="109">
        <v>0.0</v>
      </c>
      <c r="AQ624" s="109">
        <v>232.0</v>
      </c>
      <c r="AR624" s="80">
        <f t="shared" si="5"/>
        <v>232</v>
      </c>
      <c r="AS624" s="110">
        <v>0.0</v>
      </c>
      <c r="AT624" s="110">
        <v>0.0</v>
      </c>
      <c r="AU624" s="110">
        <v>0.0</v>
      </c>
      <c r="AV624" s="142">
        <v>0.0</v>
      </c>
      <c r="AW624" s="80">
        <f t="shared" si="6"/>
        <v>0</v>
      </c>
      <c r="AX624" s="113">
        <f t="shared" si="7"/>
        <v>438</v>
      </c>
      <c r="AY624" s="117">
        <f t="shared" si="8"/>
        <v>206</v>
      </c>
      <c r="AZ624" s="120">
        <f t="shared" si="9"/>
        <v>232</v>
      </c>
      <c r="BA624" s="115">
        <v>0.0</v>
      </c>
      <c r="BB624" s="89">
        <f t="shared" si="10"/>
        <v>438</v>
      </c>
      <c r="BC624" s="132" t="s">
        <v>373</v>
      </c>
      <c r="BD624" s="132" t="s">
        <v>178</v>
      </c>
      <c r="BE624" s="132" t="s">
        <v>178</v>
      </c>
      <c r="BF624" s="156"/>
      <c r="BG624" s="83">
        <v>1179592.0</v>
      </c>
      <c r="BH624" s="112"/>
      <c r="BI624" s="112">
        <v>8.0</v>
      </c>
      <c r="BJ624" s="98" t="s">
        <v>162</v>
      </c>
      <c r="BK624" s="99">
        <f t="shared" si="11"/>
        <v>206</v>
      </c>
      <c r="BL624" s="99">
        <f t="shared" si="12"/>
        <v>0</v>
      </c>
      <c r="BM624" s="99" t="str">
        <f>IFERROR(__xludf.DUMMYFUNCTION("IFERROR(VLOOKUP(BG624,IMPORTRANGE(""https://docs.google.com/spreadsheets/d/1juPI-Fb8LD0YtltB2mlGEnp_R3UVu1t3wSFPzgCyHXE/edit?gid=0#gid=0"",""GERAL!A2:C""),3,0),""-"")"),"CAMPO")</f>
        <v>CAMPO</v>
      </c>
    </row>
    <row r="625" ht="15.75" customHeight="1">
      <c r="A625" s="111" t="s">
        <v>796</v>
      </c>
      <c r="B625" s="83" t="s">
        <v>2925</v>
      </c>
      <c r="C625" s="83" t="s">
        <v>68</v>
      </c>
      <c r="D625" s="112">
        <v>1179687.0</v>
      </c>
      <c r="E625" s="83"/>
      <c r="F625" s="83">
        <v>2.9477441E7</v>
      </c>
      <c r="G625" s="119" t="s">
        <v>2942</v>
      </c>
      <c r="H625" s="91" t="s">
        <v>2943</v>
      </c>
      <c r="I625" s="83" t="s">
        <v>149</v>
      </c>
      <c r="J625" s="83" t="s">
        <v>150</v>
      </c>
      <c r="K625" s="83" t="s">
        <v>151</v>
      </c>
      <c r="L625" s="83" t="s">
        <v>230</v>
      </c>
      <c r="M625" s="82" t="str">
        <f>IFERROR(__xludf.DUMMYFUNCTION("IFERROR(VLOOKUP(D625,
IMPORTRANGE(""https://docs.google.com/spreadsheets/d/1MjHtlUikwobi2MaWJgy7tfLeBmhj1u-dRFRs_8GwSoA/edit#gid=0"",""Gestores Escolares!D7:J""),3,0),""VERIFICAR CÓD SEC"")"),"KELLY DE CASTRO SILVA TELES")</f>
        <v>KELLY DE CASTRO SILVA TELES</v>
      </c>
      <c r="N625" s="82" t="str">
        <f>IFERROR(__xludf.DUMMYFUNCTION("IFERROR(VLOOKUP(D625,
IMPORTRANGE(""https://docs.google.com/spreadsheets/d/1MjHtlUikwobi2MaWJgy7tfLeBmhj1u-dRFRs_8GwSoA/edit#gid=0"",""Gestores Escolares!D7:J""),4,0),""VERIFICAR CÓD SEC"")"),"(74) 9 8859-1325")</f>
        <v>(74) 9 8859-1325</v>
      </c>
      <c r="O625" s="82" t="str">
        <f>IFERROR(__xludf.DUMMYFUNCTION("IFERROR(VLOOKUP(D625,
IMPORTRANGE(""https://docs.google.com/spreadsheets/d/1MjHtlUikwobi2MaWJgy7tfLeBmhj1u-dRFRs_8GwSoA/edit#gid=0"",""Gestores Escolares!D7:J""),6,0),""VERIFICAR CÓD SEC"")"),"	LIDIANNE DA SILVA CARVALHO")</f>
        <v>	LIDIANNE DA SILVA CARVALHO</v>
      </c>
      <c r="P625" s="82" t="str">
        <f>IFERROR(__xludf.DUMMYFUNCTION("IFERROR(VLOOKUP(D625,
IMPORTRANGE(""https://docs.google.com/spreadsheets/d/1MjHtlUikwobi2MaWJgy7tfLeBmhj1u-dRFRs_8GwSoA/edit#gid=0"",""Gestores Escolares!D7:J""),7,0),""VERIFICAR CÓD SEC"")"),"(74) 9 8824-5667")</f>
        <v>(74) 9 8824-5667</v>
      </c>
      <c r="Q625" s="82" t="str">
        <f>IFERROR(__xludf.DUMMYFUNCTION("IFERROR(VLOOKUP(D625,
IMPORTRANGE(""https://docs.google.com/spreadsheets/d/1MjHtlUikwobi2MaWJgy7tfLeBmhj1u-dRFRs_8GwSoA/edit#gid=0"",""Gestores Escolares!D7:m""),9,0),""VERIFICAR CÓD SEC"")"),"SUZANA MARCIA SOUZA DOS SANTOS")</f>
        <v>SUZANA MARCIA SOUZA DOS SANTOS</v>
      </c>
      <c r="R625" s="82" t="str">
        <f>IFERROR(__xludf.DUMMYFUNCTION("IFERROR(VLOOKUP(D625,
IMPORTRANGE(""https://docs.google.com/spreadsheets/d/1MjHtlUikwobi2MaWJgy7tfLeBmhj1u-dRFRs_8GwSoA/edit#gid=0"",""Gestores Escolares!D7:m""),10,0),""VERIFICAR CÓD SEC"")"),"(74) 9 8803-2757")</f>
        <v>(74) 9 8803-2757</v>
      </c>
      <c r="S625" s="82"/>
      <c r="T625" s="138">
        <v>25.0</v>
      </c>
      <c r="U625" s="145" t="s">
        <v>8998</v>
      </c>
      <c r="V625" s="106">
        <v>0.0</v>
      </c>
      <c r="W625" s="107">
        <v>0.0</v>
      </c>
      <c r="X625" s="107">
        <v>0.0</v>
      </c>
      <c r="Y625" s="107">
        <v>0.0</v>
      </c>
      <c r="Z625" s="80">
        <f t="shared" si="1"/>
        <v>0</v>
      </c>
      <c r="AA625" s="106">
        <v>0.0</v>
      </c>
      <c r="AB625" s="107">
        <v>0.0</v>
      </c>
      <c r="AC625" s="107">
        <v>0.0</v>
      </c>
      <c r="AD625" s="107">
        <v>0.0</v>
      </c>
      <c r="AE625" s="80">
        <f t="shared" si="2"/>
        <v>0</v>
      </c>
      <c r="AF625" s="140">
        <v>400.0</v>
      </c>
      <c r="AG625" s="109">
        <v>419.0</v>
      </c>
      <c r="AH625" s="109">
        <v>0.0</v>
      </c>
      <c r="AI625" s="141">
        <v>359.0</v>
      </c>
      <c r="AJ625" s="80">
        <f t="shared" si="3"/>
        <v>1178</v>
      </c>
      <c r="AK625" s="140">
        <v>0.0</v>
      </c>
      <c r="AL625" s="109">
        <v>0.0</v>
      </c>
      <c r="AM625" s="141">
        <v>0.0</v>
      </c>
      <c r="AN625" s="80">
        <f t="shared" si="4"/>
        <v>0</v>
      </c>
      <c r="AO625" s="140">
        <v>0.0</v>
      </c>
      <c r="AP625" s="109">
        <v>0.0</v>
      </c>
      <c r="AQ625" s="109">
        <v>256.0</v>
      </c>
      <c r="AR625" s="80">
        <f t="shared" si="5"/>
        <v>256</v>
      </c>
      <c r="AS625" s="110">
        <v>32.0</v>
      </c>
      <c r="AT625" s="110">
        <v>0.0</v>
      </c>
      <c r="AU625" s="110">
        <v>116.0</v>
      </c>
      <c r="AV625" s="142">
        <v>0.0</v>
      </c>
      <c r="AW625" s="80">
        <f t="shared" si="6"/>
        <v>148</v>
      </c>
      <c r="AX625" s="113">
        <f t="shared" si="7"/>
        <v>1582</v>
      </c>
      <c r="AY625" s="117">
        <f t="shared" si="8"/>
        <v>1210</v>
      </c>
      <c r="AZ625" s="120">
        <f t="shared" si="9"/>
        <v>372</v>
      </c>
      <c r="BA625" s="115">
        <v>0.0</v>
      </c>
      <c r="BB625" s="89">
        <f t="shared" si="10"/>
        <v>1582</v>
      </c>
      <c r="BC625" s="132" t="s">
        <v>178</v>
      </c>
      <c r="BD625" s="132" t="s">
        <v>178</v>
      </c>
      <c r="BE625" s="132" t="s">
        <v>178</v>
      </c>
      <c r="BF625" s="156"/>
      <c r="BG625" s="83">
        <v>1179687.0</v>
      </c>
      <c r="BH625" s="112"/>
      <c r="BI625" s="112">
        <v>22.0</v>
      </c>
      <c r="BJ625" s="98" t="s">
        <v>176</v>
      </c>
      <c r="BK625" s="99">
        <f t="shared" si="11"/>
        <v>359</v>
      </c>
      <c r="BL625" s="99">
        <f t="shared" si="12"/>
        <v>851</v>
      </c>
      <c r="BM625" s="99" t="str">
        <f>IFERROR(__xludf.DUMMYFUNCTION("IFERROR(VLOOKUP(BG625,IMPORTRANGE(""https://docs.google.com/spreadsheets/d/1juPI-Fb8LD0YtltB2mlGEnp_R3UVu1t3wSFPzgCyHXE/edit?gid=0#gid=0"",""GERAL!A2:C""),3,0),""-"")"),"-")</f>
        <v>-</v>
      </c>
    </row>
    <row r="626" ht="15.75" customHeight="1">
      <c r="A626" s="111" t="s">
        <v>796</v>
      </c>
      <c r="B626" s="83" t="s">
        <v>2925</v>
      </c>
      <c r="C626" s="83" t="s">
        <v>164</v>
      </c>
      <c r="D626" s="112">
        <v>1179712.0</v>
      </c>
      <c r="E626" s="189">
        <v>1178656.0</v>
      </c>
      <c r="F626" s="98">
        <v>2.9491762E7</v>
      </c>
      <c r="G626" s="119" t="s">
        <v>2957</v>
      </c>
      <c r="H626" s="91" t="s">
        <v>2958</v>
      </c>
      <c r="I626" s="136" t="s">
        <v>2959</v>
      </c>
      <c r="J626" s="83" t="s">
        <v>2961</v>
      </c>
      <c r="K626" s="83" t="s">
        <v>168</v>
      </c>
      <c r="L626" s="83" t="s">
        <v>169</v>
      </c>
      <c r="M626" s="82" t="str">
        <f>IFERROR(__xludf.DUMMYFUNCTION("IFERROR(VLOOKUP(D626,
IMPORTRANGE(""https://docs.google.com/spreadsheets/d/1MjHtlUikwobi2MaWJgy7tfLeBmhj1u-dRFRs_8GwSoA/edit#gid=0"",""Gestores Escolares!D7:J""),3,0),""VERIFICAR CÓD SEC"")"),"ALESSANDRA ALMEIDA E SILVA")</f>
        <v>ALESSANDRA ALMEIDA E SILVA</v>
      </c>
      <c r="N626" s="82" t="str">
        <f>IFERROR(__xludf.DUMMYFUNCTION("IFERROR(VLOOKUP(D626,
IMPORTRANGE(""https://docs.google.com/spreadsheets/d/1MjHtlUikwobi2MaWJgy7tfLeBmhj1u-dRFRs_8GwSoA/edit#gid=0"",""Gestores Escolares!D7:J""),4,0),""VERIFICAR CÓD SEC"")"),"(74) 9 8857-6554")</f>
        <v>(74) 9 8857-6554</v>
      </c>
      <c r="O626" s="82" t="str">
        <f>IFERROR(__xludf.DUMMYFUNCTION("IFERROR(VLOOKUP(D626,
IMPORTRANGE(""https://docs.google.com/spreadsheets/d/1MjHtlUikwobi2MaWJgy7tfLeBmhj1u-dRFRs_8GwSoA/edit#gid=0"",""Gestores Escolares!D7:J""),6,0),""VERIFICAR CÓD SEC"")"),"")</f>
        <v/>
      </c>
      <c r="P626" s="82" t="str">
        <f>IFERROR(__xludf.DUMMYFUNCTION("IFERROR(VLOOKUP(D626,
IMPORTRANGE(""https://docs.google.com/spreadsheets/d/1MjHtlUikwobi2MaWJgy7tfLeBmhj1u-dRFRs_8GwSoA/edit#gid=0"",""Gestores Escolares!D7:J""),7,0),""VERIFICAR CÓD SEC"")"),"")</f>
        <v/>
      </c>
      <c r="Q626" s="82" t="str">
        <f>IFERROR(__xludf.DUMMYFUNCTION("IFERROR(VLOOKUP(D626,
IMPORTRANGE(""https://docs.google.com/spreadsheets/d/1MjHtlUikwobi2MaWJgy7tfLeBmhj1u-dRFRs_8GwSoA/edit#gid=0"",""Gestores Escolares!D7:m""),9,0),""VERIFICAR CÓD SEC"")"),"")</f>
        <v/>
      </c>
      <c r="R626" s="82" t="str">
        <f>IFERROR(__xludf.DUMMYFUNCTION("IFERROR(VLOOKUP(D626,
IMPORTRANGE(""https://docs.google.com/spreadsheets/d/1MjHtlUikwobi2MaWJgy7tfLeBmhj1u-dRFRs_8GwSoA/edit#gid=0"",""Gestores Escolares!D7:m""),10,0),""VERIFICAR CÓD SEC"")"),"")</f>
        <v/>
      </c>
      <c r="S626" s="82"/>
      <c r="T626" s="138">
        <v>7.0</v>
      </c>
      <c r="U626" s="139">
        <v>4.0</v>
      </c>
      <c r="V626" s="106">
        <v>0.0</v>
      </c>
      <c r="W626" s="107">
        <v>0.0</v>
      </c>
      <c r="X626" s="107">
        <v>0.0</v>
      </c>
      <c r="Y626" s="107">
        <v>0.0</v>
      </c>
      <c r="Z626" s="80">
        <f t="shared" si="1"/>
        <v>0</v>
      </c>
      <c r="AA626" s="106">
        <v>0.0</v>
      </c>
      <c r="AB626" s="107">
        <v>0.0</v>
      </c>
      <c r="AC626" s="107">
        <v>0.0</v>
      </c>
      <c r="AD626" s="107">
        <v>0.0</v>
      </c>
      <c r="AE626" s="80">
        <f t="shared" si="2"/>
        <v>0</v>
      </c>
      <c r="AF626" s="140">
        <v>0.0</v>
      </c>
      <c r="AG626" s="109">
        <v>0.0</v>
      </c>
      <c r="AH626" s="109">
        <v>0.0</v>
      </c>
      <c r="AI626" s="141">
        <v>0.0</v>
      </c>
      <c r="AJ626" s="80">
        <f t="shared" si="3"/>
        <v>0</v>
      </c>
      <c r="AK626" s="140">
        <v>0.0</v>
      </c>
      <c r="AL626" s="109">
        <v>0.0</v>
      </c>
      <c r="AM626" s="141">
        <v>0.0</v>
      </c>
      <c r="AN626" s="80">
        <f t="shared" si="4"/>
        <v>0</v>
      </c>
      <c r="AO626" s="140">
        <v>0.0</v>
      </c>
      <c r="AP626" s="109">
        <v>0.0</v>
      </c>
      <c r="AQ626" s="109">
        <v>87.0</v>
      </c>
      <c r="AR626" s="80">
        <f t="shared" si="5"/>
        <v>87</v>
      </c>
      <c r="AS626" s="110">
        <v>0.0</v>
      </c>
      <c r="AT626" s="110">
        <v>0.0</v>
      </c>
      <c r="AU626" s="110">
        <v>0.0</v>
      </c>
      <c r="AV626" s="142">
        <v>0.0</v>
      </c>
      <c r="AW626" s="80">
        <f t="shared" si="6"/>
        <v>0</v>
      </c>
      <c r="AX626" s="113">
        <f t="shared" si="7"/>
        <v>87</v>
      </c>
      <c r="AY626" s="117">
        <f t="shared" si="8"/>
        <v>0</v>
      </c>
      <c r="AZ626" s="120">
        <f t="shared" si="9"/>
        <v>87</v>
      </c>
      <c r="BA626" s="115">
        <v>0.0</v>
      </c>
      <c r="BB626" s="89">
        <f t="shared" si="10"/>
        <v>87</v>
      </c>
      <c r="BC626" s="132" t="s">
        <v>373</v>
      </c>
      <c r="BD626" s="132" t="s">
        <v>178</v>
      </c>
      <c r="BE626" s="132" t="s">
        <v>178</v>
      </c>
      <c r="BF626" s="123"/>
      <c r="BG626" s="83">
        <v>1178656.0</v>
      </c>
      <c r="BH626" s="112"/>
      <c r="BI626" s="112">
        <v>4.0</v>
      </c>
      <c r="BJ626" s="98" t="s">
        <v>155</v>
      </c>
      <c r="BK626" s="99">
        <f t="shared" si="11"/>
        <v>0</v>
      </c>
      <c r="BL626" s="99">
        <f t="shared" si="12"/>
        <v>0</v>
      </c>
      <c r="BM626" s="99" t="str">
        <f>IFERROR(__xludf.DUMMYFUNCTION("IFERROR(VLOOKUP(BG626,IMPORTRANGE(""https://docs.google.com/spreadsheets/d/1juPI-Fb8LD0YtltB2mlGEnp_R3UVu1t3wSFPzgCyHXE/edit?gid=0#gid=0"",""GERAL!A2:C""),3,0),""-"")"),"CAMPO")</f>
        <v>CAMPO</v>
      </c>
    </row>
    <row r="627" ht="15.75" customHeight="1">
      <c r="A627" s="111" t="s">
        <v>796</v>
      </c>
      <c r="B627" s="83" t="s">
        <v>2925</v>
      </c>
      <c r="C627" s="191" t="s">
        <v>164</v>
      </c>
      <c r="D627" s="112">
        <v>1179687.0</v>
      </c>
      <c r="E627" s="83">
        <v>1178663.0</v>
      </c>
      <c r="F627" s="395">
        <v>2.9490774E7</v>
      </c>
      <c r="G627" s="108" t="s">
        <v>2966</v>
      </c>
      <c r="H627" s="91" t="s">
        <v>2967</v>
      </c>
      <c r="I627" s="350" t="s">
        <v>2968</v>
      </c>
      <c r="J627" s="83" t="s">
        <v>1806</v>
      </c>
      <c r="K627" s="83" t="s">
        <v>168</v>
      </c>
      <c r="L627" s="83" t="s">
        <v>169</v>
      </c>
      <c r="M627" s="82" t="str">
        <f>IFERROR(__xludf.DUMMYFUNCTION("IFERROR(VLOOKUP(D627,
IMPORTRANGE(""https://docs.google.com/spreadsheets/d/1MjHtlUikwobi2MaWJgy7tfLeBmhj1u-dRFRs_8GwSoA/edit#gid=0"",""Gestores Escolares!D7:J""),3,0),""VERIFICAR CÓD SEC"")"),"KELLY DE CASTRO SILVA TELES")</f>
        <v>KELLY DE CASTRO SILVA TELES</v>
      </c>
      <c r="N627" s="82" t="str">
        <f>IFERROR(__xludf.DUMMYFUNCTION("IFERROR(VLOOKUP(D627,
IMPORTRANGE(""https://docs.google.com/spreadsheets/d/1MjHtlUikwobi2MaWJgy7tfLeBmhj1u-dRFRs_8GwSoA/edit#gid=0"",""Gestores Escolares!D7:J""),4,0),""VERIFICAR CÓD SEC"")"),"(74) 9 8859-1325")</f>
        <v>(74) 9 8859-1325</v>
      </c>
      <c r="O627" s="82" t="str">
        <f>IFERROR(__xludf.DUMMYFUNCTION("IFERROR(VLOOKUP(D627,
IMPORTRANGE(""https://docs.google.com/spreadsheets/d/1MjHtlUikwobi2MaWJgy7tfLeBmhj1u-dRFRs_8GwSoA/edit#gid=0"",""Gestores Escolares!D7:J""),6,0),""VERIFICAR CÓD SEC"")"),"	LIDIANNE DA SILVA CARVALHO")</f>
        <v>	LIDIANNE DA SILVA CARVALHO</v>
      </c>
      <c r="P627" s="82" t="str">
        <f>IFERROR(__xludf.DUMMYFUNCTION("IFERROR(VLOOKUP(D627,
IMPORTRANGE(""https://docs.google.com/spreadsheets/d/1MjHtlUikwobi2MaWJgy7tfLeBmhj1u-dRFRs_8GwSoA/edit#gid=0"",""Gestores Escolares!D7:J""),7,0),""VERIFICAR CÓD SEC"")"),"(74) 9 8824-5667")</f>
        <v>(74) 9 8824-5667</v>
      </c>
      <c r="Q627" s="82" t="str">
        <f>IFERROR(__xludf.DUMMYFUNCTION("IFERROR(VLOOKUP(D627,
IMPORTRANGE(""https://docs.google.com/spreadsheets/d/1MjHtlUikwobi2MaWJgy7tfLeBmhj1u-dRFRs_8GwSoA/edit#gid=0"",""Gestores Escolares!D7:m""),9,0),""VERIFICAR CÓD SEC"")"),"SUZANA MARCIA SOUZA DOS SANTOS")</f>
        <v>SUZANA MARCIA SOUZA DOS SANTOS</v>
      </c>
      <c r="R627" s="82" t="str">
        <f>IFERROR(__xludf.DUMMYFUNCTION("IFERROR(VLOOKUP(D627,
IMPORTRANGE(""https://docs.google.com/spreadsheets/d/1MjHtlUikwobi2MaWJgy7tfLeBmhj1u-dRFRs_8GwSoA/edit#gid=0"",""Gestores Escolares!D7:m""),10,0),""VERIFICAR CÓD SEC"")"),"(74) 9 8803-2757")</f>
        <v>(74) 9 8803-2757</v>
      </c>
      <c r="S627" s="82"/>
      <c r="T627" s="138">
        <v>3.0</v>
      </c>
      <c r="U627" s="139">
        <v>3.0</v>
      </c>
      <c r="V627" s="106">
        <v>0.0</v>
      </c>
      <c r="W627" s="107">
        <v>0.0</v>
      </c>
      <c r="X627" s="107">
        <v>0.0</v>
      </c>
      <c r="Y627" s="107">
        <v>0.0</v>
      </c>
      <c r="Z627" s="80">
        <f t="shared" si="1"/>
        <v>0</v>
      </c>
      <c r="AA627" s="106">
        <v>0.0</v>
      </c>
      <c r="AB627" s="107">
        <v>0.0</v>
      </c>
      <c r="AC627" s="107">
        <v>0.0</v>
      </c>
      <c r="AD627" s="107">
        <v>0.0</v>
      </c>
      <c r="AE627" s="80">
        <f t="shared" si="2"/>
        <v>0</v>
      </c>
      <c r="AF627" s="140">
        <v>0.0</v>
      </c>
      <c r="AG627" s="109">
        <v>94.0</v>
      </c>
      <c r="AH627" s="109">
        <v>0.0</v>
      </c>
      <c r="AI627" s="141">
        <v>0.0</v>
      </c>
      <c r="AJ627" s="80">
        <f t="shared" si="3"/>
        <v>94</v>
      </c>
      <c r="AK627" s="140">
        <v>0.0</v>
      </c>
      <c r="AL627" s="109">
        <v>0.0</v>
      </c>
      <c r="AM627" s="141">
        <v>0.0</v>
      </c>
      <c r="AN627" s="80">
        <f t="shared" si="4"/>
        <v>0</v>
      </c>
      <c r="AO627" s="140">
        <v>0.0</v>
      </c>
      <c r="AP627" s="109">
        <v>0.0</v>
      </c>
      <c r="AQ627" s="109">
        <v>0.0</v>
      </c>
      <c r="AR627" s="80">
        <f t="shared" si="5"/>
        <v>0</v>
      </c>
      <c r="AS627" s="110">
        <v>0.0</v>
      </c>
      <c r="AT627" s="110">
        <v>0.0</v>
      </c>
      <c r="AU627" s="110">
        <v>0.0</v>
      </c>
      <c r="AV627" s="142">
        <v>0.0</v>
      </c>
      <c r="AW627" s="80">
        <f t="shared" si="6"/>
        <v>0</v>
      </c>
      <c r="AX627" s="113">
        <f t="shared" si="7"/>
        <v>94</v>
      </c>
      <c r="AY627" s="117">
        <f t="shared" si="8"/>
        <v>94</v>
      </c>
      <c r="AZ627" s="120">
        <f t="shared" si="9"/>
        <v>0</v>
      </c>
      <c r="BA627" s="115">
        <v>0.0</v>
      </c>
      <c r="BB627" s="89">
        <f t="shared" si="10"/>
        <v>94</v>
      </c>
      <c r="BC627" s="132" t="s">
        <v>373</v>
      </c>
      <c r="BD627" s="132" t="s">
        <v>178</v>
      </c>
      <c r="BE627" s="132" t="s">
        <v>178</v>
      </c>
      <c r="BF627" s="123"/>
      <c r="BG627" s="83">
        <v>1178663.0</v>
      </c>
      <c r="BH627" s="112"/>
      <c r="BI627" s="112">
        <v>3.0</v>
      </c>
      <c r="BJ627" s="98" t="s">
        <v>155</v>
      </c>
      <c r="BK627" s="99">
        <f t="shared" si="11"/>
        <v>0</v>
      </c>
      <c r="BL627" s="99">
        <f t="shared" si="12"/>
        <v>94</v>
      </c>
      <c r="BM627" s="99" t="str">
        <f>IFERROR(__xludf.DUMMYFUNCTION("IFERROR(VLOOKUP(BG627,IMPORTRANGE(""https://docs.google.com/spreadsheets/d/1juPI-Fb8LD0YtltB2mlGEnp_R3UVu1t3wSFPzgCyHXE/edit?gid=0#gid=0"",""GERAL!A2:C""),3,0),""-"")"),"CAMPO")</f>
        <v>CAMPO</v>
      </c>
    </row>
    <row r="628" ht="15.75" customHeight="1">
      <c r="A628" s="111" t="s">
        <v>796</v>
      </c>
      <c r="B628" s="83" t="s">
        <v>2925</v>
      </c>
      <c r="C628" s="83" t="s">
        <v>164</v>
      </c>
      <c r="D628" s="112">
        <v>1179687.0</v>
      </c>
      <c r="E628" s="83">
        <v>1178661.0</v>
      </c>
      <c r="F628" s="98">
        <v>2.9490766E7</v>
      </c>
      <c r="G628" s="119" t="s">
        <v>2969</v>
      </c>
      <c r="H628" s="91" t="s">
        <v>2970</v>
      </c>
      <c r="I628" s="136" t="s">
        <v>2971</v>
      </c>
      <c r="J628" s="83" t="s">
        <v>318</v>
      </c>
      <c r="K628" s="83" t="s">
        <v>168</v>
      </c>
      <c r="L628" s="83" t="s">
        <v>169</v>
      </c>
      <c r="M628" s="82" t="str">
        <f>IFERROR(__xludf.DUMMYFUNCTION("IFERROR(VLOOKUP(D628,
IMPORTRANGE(""https://docs.google.com/spreadsheets/d/1MjHtlUikwobi2MaWJgy7tfLeBmhj1u-dRFRs_8GwSoA/edit#gid=0"",""Gestores Escolares!D7:J""),3,0),""VERIFICAR CÓD SEC"")"),"KELLY DE CASTRO SILVA TELES")</f>
        <v>KELLY DE CASTRO SILVA TELES</v>
      </c>
      <c r="N628" s="82" t="str">
        <f>IFERROR(__xludf.DUMMYFUNCTION("IFERROR(VLOOKUP(D628,
IMPORTRANGE(""https://docs.google.com/spreadsheets/d/1MjHtlUikwobi2MaWJgy7tfLeBmhj1u-dRFRs_8GwSoA/edit#gid=0"",""Gestores Escolares!D7:J""),4,0),""VERIFICAR CÓD SEC"")"),"(74) 9 8859-1325")</f>
        <v>(74) 9 8859-1325</v>
      </c>
      <c r="O628" s="82" t="str">
        <f>IFERROR(__xludf.DUMMYFUNCTION("IFERROR(VLOOKUP(D628,
IMPORTRANGE(""https://docs.google.com/spreadsheets/d/1MjHtlUikwobi2MaWJgy7tfLeBmhj1u-dRFRs_8GwSoA/edit#gid=0"",""Gestores Escolares!D7:J""),6,0),""VERIFICAR CÓD SEC"")"),"	LIDIANNE DA SILVA CARVALHO")</f>
        <v>	LIDIANNE DA SILVA CARVALHO</v>
      </c>
      <c r="P628" s="82" t="str">
        <f>IFERROR(__xludf.DUMMYFUNCTION("IFERROR(VLOOKUP(D628,
IMPORTRANGE(""https://docs.google.com/spreadsheets/d/1MjHtlUikwobi2MaWJgy7tfLeBmhj1u-dRFRs_8GwSoA/edit#gid=0"",""Gestores Escolares!D7:J""),7,0),""VERIFICAR CÓD SEC"")"),"(74) 9 8824-5667")</f>
        <v>(74) 9 8824-5667</v>
      </c>
      <c r="Q628" s="82" t="str">
        <f>IFERROR(__xludf.DUMMYFUNCTION("IFERROR(VLOOKUP(D628,
IMPORTRANGE(""https://docs.google.com/spreadsheets/d/1MjHtlUikwobi2MaWJgy7tfLeBmhj1u-dRFRs_8GwSoA/edit#gid=0"",""Gestores Escolares!D7:m""),9,0),""VERIFICAR CÓD SEC"")"),"SUZANA MARCIA SOUZA DOS SANTOS")</f>
        <v>SUZANA MARCIA SOUZA DOS SANTOS</v>
      </c>
      <c r="R628" s="82" t="str">
        <f>IFERROR(__xludf.DUMMYFUNCTION("IFERROR(VLOOKUP(D628,
IMPORTRANGE(""https://docs.google.com/spreadsheets/d/1MjHtlUikwobi2MaWJgy7tfLeBmhj1u-dRFRs_8GwSoA/edit#gid=0"",""Gestores Escolares!D7:m""),10,0),""VERIFICAR CÓD SEC"")"),"(74) 9 8803-2757")</f>
        <v>(74) 9 8803-2757</v>
      </c>
      <c r="S628" s="82"/>
      <c r="T628" s="138">
        <v>3.0</v>
      </c>
      <c r="U628" s="139">
        <v>3.0</v>
      </c>
      <c r="V628" s="106">
        <v>0.0</v>
      </c>
      <c r="W628" s="107">
        <v>0.0</v>
      </c>
      <c r="X628" s="107">
        <v>0.0</v>
      </c>
      <c r="Y628" s="107">
        <v>0.0</v>
      </c>
      <c r="Z628" s="80">
        <f t="shared" si="1"/>
        <v>0</v>
      </c>
      <c r="AA628" s="106">
        <v>0.0</v>
      </c>
      <c r="AB628" s="107">
        <v>0.0</v>
      </c>
      <c r="AC628" s="107">
        <v>0.0</v>
      </c>
      <c r="AD628" s="107">
        <v>0.0</v>
      </c>
      <c r="AE628" s="80">
        <f t="shared" si="2"/>
        <v>0</v>
      </c>
      <c r="AF628" s="140">
        <v>0.0</v>
      </c>
      <c r="AG628" s="109">
        <v>29.0</v>
      </c>
      <c r="AH628" s="109">
        <v>0.0</v>
      </c>
      <c r="AI628" s="141">
        <v>0.0</v>
      </c>
      <c r="AJ628" s="80">
        <f t="shared" si="3"/>
        <v>29</v>
      </c>
      <c r="AK628" s="140">
        <v>0.0</v>
      </c>
      <c r="AL628" s="109">
        <v>0.0</v>
      </c>
      <c r="AM628" s="141">
        <v>0.0</v>
      </c>
      <c r="AN628" s="80">
        <f t="shared" si="4"/>
        <v>0</v>
      </c>
      <c r="AO628" s="140">
        <v>0.0</v>
      </c>
      <c r="AP628" s="109">
        <v>0.0</v>
      </c>
      <c r="AQ628" s="109">
        <v>0.0</v>
      </c>
      <c r="AR628" s="80">
        <f t="shared" si="5"/>
        <v>0</v>
      </c>
      <c r="AS628" s="110">
        <v>0.0</v>
      </c>
      <c r="AT628" s="110">
        <v>0.0</v>
      </c>
      <c r="AU628" s="110">
        <v>0.0</v>
      </c>
      <c r="AV628" s="142">
        <v>0.0</v>
      </c>
      <c r="AW628" s="80">
        <f t="shared" si="6"/>
        <v>0</v>
      </c>
      <c r="AX628" s="113">
        <f t="shared" si="7"/>
        <v>29</v>
      </c>
      <c r="AY628" s="117">
        <f t="shared" si="8"/>
        <v>29</v>
      </c>
      <c r="AZ628" s="120">
        <f t="shared" si="9"/>
        <v>0</v>
      </c>
      <c r="BA628" s="115">
        <v>0.0</v>
      </c>
      <c r="BB628" s="89">
        <f t="shared" si="10"/>
        <v>29</v>
      </c>
      <c r="BC628" s="132" t="s">
        <v>373</v>
      </c>
      <c r="BD628" s="132" t="s">
        <v>178</v>
      </c>
      <c r="BE628" s="132" t="s">
        <v>178</v>
      </c>
      <c r="BF628" s="123"/>
      <c r="BG628" s="83">
        <v>1178661.0</v>
      </c>
      <c r="BH628" s="112"/>
      <c r="BI628" s="112">
        <v>3.0</v>
      </c>
      <c r="BJ628" s="98" t="s">
        <v>155</v>
      </c>
      <c r="BK628" s="99">
        <f t="shared" si="11"/>
        <v>0</v>
      </c>
      <c r="BL628" s="99">
        <f t="shared" si="12"/>
        <v>29</v>
      </c>
      <c r="BM628" s="99" t="str">
        <f>IFERROR(__xludf.DUMMYFUNCTION("IFERROR(VLOOKUP(BG628,IMPORTRANGE(""https://docs.google.com/spreadsheets/d/1juPI-Fb8LD0YtltB2mlGEnp_R3UVu1t3wSFPzgCyHXE/edit?gid=0#gid=0"",""GERAL!A2:C""),3,0),""-"")"),"CAMPO")</f>
        <v>CAMPO</v>
      </c>
    </row>
    <row r="629" ht="15.75" customHeight="1">
      <c r="A629" s="111" t="s">
        <v>796</v>
      </c>
      <c r="B629" s="83" t="s">
        <v>2925</v>
      </c>
      <c r="C629" s="83" t="s">
        <v>164</v>
      </c>
      <c r="D629" s="112">
        <v>1179687.0</v>
      </c>
      <c r="E629" s="83">
        <v>1178662.0</v>
      </c>
      <c r="F629" s="98">
        <v>2.9490758E7</v>
      </c>
      <c r="G629" s="119" t="s">
        <v>2977</v>
      </c>
      <c r="H629" s="91" t="s">
        <v>2978</v>
      </c>
      <c r="I629" s="136" t="s">
        <v>2979</v>
      </c>
      <c r="J629" s="83" t="s">
        <v>2896</v>
      </c>
      <c r="K629" s="83" t="s">
        <v>168</v>
      </c>
      <c r="L629" s="83" t="s">
        <v>169</v>
      </c>
      <c r="M629" s="82" t="str">
        <f>IFERROR(__xludf.DUMMYFUNCTION("IFERROR(VLOOKUP(D629,
IMPORTRANGE(""https://docs.google.com/spreadsheets/d/1MjHtlUikwobi2MaWJgy7tfLeBmhj1u-dRFRs_8GwSoA/edit#gid=0"",""Gestores Escolares!D7:J""),3,0),""VERIFICAR CÓD SEC"")"),"KELLY DE CASTRO SILVA TELES")</f>
        <v>KELLY DE CASTRO SILVA TELES</v>
      </c>
      <c r="N629" s="82" t="str">
        <f>IFERROR(__xludf.DUMMYFUNCTION("IFERROR(VLOOKUP(D629,
IMPORTRANGE(""https://docs.google.com/spreadsheets/d/1MjHtlUikwobi2MaWJgy7tfLeBmhj1u-dRFRs_8GwSoA/edit#gid=0"",""Gestores Escolares!D7:J""),4,0),""VERIFICAR CÓD SEC"")"),"(74) 9 8859-1325")</f>
        <v>(74) 9 8859-1325</v>
      </c>
      <c r="O629" s="82" t="str">
        <f>IFERROR(__xludf.DUMMYFUNCTION("IFERROR(VLOOKUP(D629,
IMPORTRANGE(""https://docs.google.com/spreadsheets/d/1MjHtlUikwobi2MaWJgy7tfLeBmhj1u-dRFRs_8GwSoA/edit#gid=0"",""Gestores Escolares!D7:J""),6,0),""VERIFICAR CÓD SEC"")"),"	LIDIANNE DA SILVA CARVALHO")</f>
        <v>	LIDIANNE DA SILVA CARVALHO</v>
      </c>
      <c r="P629" s="82" t="str">
        <f>IFERROR(__xludf.DUMMYFUNCTION("IFERROR(VLOOKUP(D629,
IMPORTRANGE(""https://docs.google.com/spreadsheets/d/1MjHtlUikwobi2MaWJgy7tfLeBmhj1u-dRFRs_8GwSoA/edit#gid=0"",""Gestores Escolares!D7:J""),7,0),""VERIFICAR CÓD SEC"")"),"(74) 9 8824-5667")</f>
        <v>(74) 9 8824-5667</v>
      </c>
      <c r="Q629" s="82" t="str">
        <f>IFERROR(__xludf.DUMMYFUNCTION("IFERROR(VLOOKUP(D629,
IMPORTRANGE(""https://docs.google.com/spreadsheets/d/1MjHtlUikwobi2MaWJgy7tfLeBmhj1u-dRFRs_8GwSoA/edit#gid=0"",""Gestores Escolares!D7:m""),9,0),""VERIFICAR CÓD SEC"")"),"SUZANA MARCIA SOUZA DOS SANTOS")</f>
        <v>SUZANA MARCIA SOUZA DOS SANTOS</v>
      </c>
      <c r="R629" s="82" t="str">
        <f>IFERROR(__xludf.DUMMYFUNCTION("IFERROR(VLOOKUP(D629,
IMPORTRANGE(""https://docs.google.com/spreadsheets/d/1MjHtlUikwobi2MaWJgy7tfLeBmhj1u-dRFRs_8GwSoA/edit#gid=0"",""Gestores Escolares!D7:m""),10,0),""VERIFICAR CÓD SEC"")"),"(74) 9 8803-2757")</f>
        <v>(74) 9 8803-2757</v>
      </c>
      <c r="S629" s="82"/>
      <c r="T629" s="138">
        <v>3.0</v>
      </c>
      <c r="U629" s="139">
        <v>3.0</v>
      </c>
      <c r="V629" s="106">
        <v>0.0</v>
      </c>
      <c r="W629" s="107">
        <v>0.0</v>
      </c>
      <c r="X629" s="107">
        <v>0.0</v>
      </c>
      <c r="Y629" s="107">
        <v>0.0</v>
      </c>
      <c r="Z629" s="80">
        <f t="shared" si="1"/>
        <v>0</v>
      </c>
      <c r="AA629" s="106">
        <v>0.0</v>
      </c>
      <c r="AB629" s="107">
        <v>0.0</v>
      </c>
      <c r="AC629" s="107">
        <v>0.0</v>
      </c>
      <c r="AD629" s="107">
        <v>0.0</v>
      </c>
      <c r="AE629" s="80">
        <f t="shared" si="2"/>
        <v>0</v>
      </c>
      <c r="AF629" s="140">
        <v>0.0</v>
      </c>
      <c r="AG629" s="109">
        <v>66.0</v>
      </c>
      <c r="AH629" s="109">
        <v>0.0</v>
      </c>
      <c r="AI629" s="141">
        <v>0.0</v>
      </c>
      <c r="AJ629" s="80">
        <f t="shared" si="3"/>
        <v>66</v>
      </c>
      <c r="AK629" s="140">
        <v>0.0</v>
      </c>
      <c r="AL629" s="109">
        <v>0.0</v>
      </c>
      <c r="AM629" s="141">
        <v>0.0</v>
      </c>
      <c r="AN629" s="80">
        <f t="shared" si="4"/>
        <v>0</v>
      </c>
      <c r="AO629" s="140">
        <v>0.0</v>
      </c>
      <c r="AP629" s="109">
        <v>0.0</v>
      </c>
      <c r="AQ629" s="109">
        <v>11.0</v>
      </c>
      <c r="AR629" s="80">
        <f t="shared" si="5"/>
        <v>11</v>
      </c>
      <c r="AS629" s="110">
        <v>0.0</v>
      </c>
      <c r="AT629" s="110">
        <v>0.0</v>
      </c>
      <c r="AU629" s="110">
        <v>0.0</v>
      </c>
      <c r="AV629" s="142">
        <v>0.0</v>
      </c>
      <c r="AW629" s="80">
        <f t="shared" si="6"/>
        <v>0</v>
      </c>
      <c r="AX629" s="113">
        <f t="shared" si="7"/>
        <v>77</v>
      </c>
      <c r="AY629" s="117">
        <f t="shared" si="8"/>
        <v>66</v>
      </c>
      <c r="AZ629" s="120">
        <f t="shared" si="9"/>
        <v>11</v>
      </c>
      <c r="BA629" s="115">
        <v>0.0</v>
      </c>
      <c r="BB629" s="89">
        <f t="shared" si="10"/>
        <v>77</v>
      </c>
      <c r="BC629" s="132" t="s">
        <v>373</v>
      </c>
      <c r="BD629" s="132" t="s">
        <v>178</v>
      </c>
      <c r="BE629" s="132" t="s">
        <v>178</v>
      </c>
      <c r="BF629" s="123"/>
      <c r="BG629" s="83">
        <v>1178662.0</v>
      </c>
      <c r="BH629" s="112"/>
      <c r="BI629" s="112">
        <v>3.0</v>
      </c>
      <c r="BJ629" s="98" t="s">
        <v>155</v>
      </c>
      <c r="BK629" s="99">
        <f t="shared" si="11"/>
        <v>0</v>
      </c>
      <c r="BL629" s="99">
        <f t="shared" si="12"/>
        <v>66</v>
      </c>
      <c r="BM629" s="99" t="str">
        <f>IFERROR(__xludf.DUMMYFUNCTION("IFERROR(VLOOKUP(BG629,IMPORTRANGE(""https://docs.google.com/spreadsheets/d/1juPI-Fb8LD0YtltB2mlGEnp_R3UVu1t3wSFPzgCyHXE/edit?gid=0#gid=0"",""GERAL!A2:C""),3,0),""-"")"),"CAMPO")</f>
        <v>CAMPO</v>
      </c>
    </row>
    <row r="630" ht="15.75" customHeight="1">
      <c r="A630" s="111" t="s">
        <v>796</v>
      </c>
      <c r="B630" s="83" t="s">
        <v>2925</v>
      </c>
      <c r="C630" s="83" t="s">
        <v>164</v>
      </c>
      <c r="D630" s="112">
        <v>1179111.0</v>
      </c>
      <c r="E630" s="83">
        <v>1178660.0</v>
      </c>
      <c r="F630" s="98">
        <v>2.9456509E7</v>
      </c>
      <c r="G630" s="114" t="s">
        <v>2987</v>
      </c>
      <c r="H630" s="91" t="s">
        <v>2988</v>
      </c>
      <c r="I630" s="136" t="s">
        <v>2989</v>
      </c>
      <c r="J630" s="83" t="s">
        <v>183</v>
      </c>
      <c r="K630" s="83" t="s">
        <v>168</v>
      </c>
      <c r="L630" s="83" t="s">
        <v>169</v>
      </c>
      <c r="M630" s="82" t="str">
        <f>IFERROR(__xludf.DUMMYFUNCTION("IFERROR(VLOOKUP(D630,
IMPORTRANGE(""https://docs.google.com/spreadsheets/d/1MjHtlUikwobi2MaWJgy7tfLeBmhj1u-dRFRs_8GwSoA/edit#gid=0"",""Gestores Escolares!D7:J""),3,0),""VERIFICAR CÓD SEC"")"),"ADAILSON BARBOSA GOMES")</f>
        <v>ADAILSON BARBOSA GOMES</v>
      </c>
      <c r="N630" s="82" t="str">
        <f>IFERROR(__xludf.DUMMYFUNCTION("IFERROR(VLOOKUP(D630,
IMPORTRANGE(""https://docs.google.com/spreadsheets/d/1MjHtlUikwobi2MaWJgy7tfLeBmhj1u-dRFRs_8GwSoA/edit#gid=0"",""Gestores Escolares!D7:J""),4,0),""VERIFICAR CÓD SEC"")"),"(74) 9 8828-2249")</f>
        <v>(74) 9 8828-2249</v>
      </c>
      <c r="O630" s="82" t="str">
        <f>IFERROR(__xludf.DUMMYFUNCTION("IFERROR(VLOOKUP(D630,
IMPORTRANGE(""https://docs.google.com/spreadsheets/d/1MjHtlUikwobi2MaWJgy7tfLeBmhj1u-dRFRs_8GwSoA/edit#gid=0"",""Gestores Escolares!D7:J""),6,0),""VERIFICAR CÓD SEC"")"),"JOSE NELSON ALVES DA SILVA")</f>
        <v>JOSE NELSON ALVES DA SILVA</v>
      </c>
      <c r="P630" s="82" t="str">
        <f>IFERROR(__xludf.DUMMYFUNCTION("IFERROR(VLOOKUP(D630,
IMPORTRANGE(""https://docs.google.com/spreadsheets/d/1MjHtlUikwobi2MaWJgy7tfLeBmhj1u-dRFRs_8GwSoA/edit#gid=0"",""Gestores Escolares!D7:J""),7,0),""VERIFICAR CÓD SEC"")"),"(74) 9 8862-1210")</f>
        <v>(74) 9 8862-1210</v>
      </c>
      <c r="Q630" s="82" t="str">
        <f>IFERROR(__xludf.DUMMYFUNCTION("IFERROR(VLOOKUP(D630,
IMPORTRANGE(""https://docs.google.com/spreadsheets/d/1MjHtlUikwobi2MaWJgy7tfLeBmhj1u-dRFRs_8GwSoA/edit#gid=0"",""Gestores Escolares!D7:m""),9,0),""VERIFICAR CÓD SEC"")"),"JOSEMAR RODRIGUES SANTOS")</f>
        <v>JOSEMAR RODRIGUES SANTOS</v>
      </c>
      <c r="R630" s="82" t="str">
        <f>IFERROR(__xludf.DUMMYFUNCTION("IFERROR(VLOOKUP(D630,
IMPORTRANGE(""https://docs.google.com/spreadsheets/d/1MjHtlUikwobi2MaWJgy7tfLeBmhj1u-dRFRs_8GwSoA/edit#gid=0"",""Gestores Escolares!D7:m""),10,0),""VERIFICAR CÓD SEC"")"),"(74) 9 8832-3106")</f>
        <v>(74) 9 8832-3106</v>
      </c>
      <c r="S630" s="82"/>
      <c r="T630" s="138">
        <v>2.0</v>
      </c>
      <c r="U630" s="139">
        <v>2.0</v>
      </c>
      <c r="V630" s="106">
        <v>0.0</v>
      </c>
      <c r="W630" s="107">
        <v>0.0</v>
      </c>
      <c r="X630" s="107">
        <v>0.0</v>
      </c>
      <c r="Y630" s="107">
        <v>0.0</v>
      </c>
      <c r="Z630" s="80">
        <f t="shared" si="1"/>
        <v>0</v>
      </c>
      <c r="AA630" s="106">
        <v>0.0</v>
      </c>
      <c r="AB630" s="107">
        <v>0.0</v>
      </c>
      <c r="AC630" s="107">
        <v>0.0</v>
      </c>
      <c r="AD630" s="107">
        <v>0.0</v>
      </c>
      <c r="AE630" s="80">
        <f t="shared" si="2"/>
        <v>0</v>
      </c>
      <c r="AF630" s="140">
        <v>15.0</v>
      </c>
      <c r="AG630" s="109">
        <v>16.0</v>
      </c>
      <c r="AH630" s="109">
        <v>23.0</v>
      </c>
      <c r="AI630" s="141">
        <v>0.0</v>
      </c>
      <c r="AJ630" s="80">
        <f t="shared" si="3"/>
        <v>54</v>
      </c>
      <c r="AK630" s="140">
        <v>0.0</v>
      </c>
      <c r="AL630" s="109">
        <v>0.0</v>
      </c>
      <c r="AM630" s="141">
        <v>0.0</v>
      </c>
      <c r="AN630" s="80">
        <f t="shared" si="4"/>
        <v>0</v>
      </c>
      <c r="AO630" s="140">
        <v>0.0</v>
      </c>
      <c r="AP630" s="109">
        <v>0.0</v>
      </c>
      <c r="AQ630" s="109">
        <v>0.0</v>
      </c>
      <c r="AR630" s="80">
        <f t="shared" si="5"/>
        <v>0</v>
      </c>
      <c r="AS630" s="110">
        <v>0.0</v>
      </c>
      <c r="AT630" s="110">
        <v>0.0</v>
      </c>
      <c r="AU630" s="110">
        <v>0.0</v>
      </c>
      <c r="AV630" s="142">
        <v>0.0</v>
      </c>
      <c r="AW630" s="80">
        <f t="shared" si="6"/>
        <v>0</v>
      </c>
      <c r="AX630" s="113">
        <f t="shared" si="7"/>
        <v>54</v>
      </c>
      <c r="AY630" s="117">
        <f t="shared" si="8"/>
        <v>31</v>
      </c>
      <c r="AZ630" s="120">
        <f t="shared" si="9"/>
        <v>23</v>
      </c>
      <c r="BA630" s="115">
        <v>0.0</v>
      </c>
      <c r="BB630" s="89">
        <f t="shared" si="10"/>
        <v>54</v>
      </c>
      <c r="BC630" s="132" t="s">
        <v>178</v>
      </c>
      <c r="BD630" s="143" t="s">
        <v>227</v>
      </c>
      <c r="BE630" s="132" t="s">
        <v>178</v>
      </c>
      <c r="BF630" s="123"/>
      <c r="BG630" s="83">
        <v>1178660.0</v>
      </c>
      <c r="BH630" s="112"/>
      <c r="BI630" s="112">
        <v>2.0</v>
      </c>
      <c r="BJ630" s="98" t="s">
        <v>155</v>
      </c>
      <c r="BK630" s="99">
        <f t="shared" si="11"/>
        <v>0</v>
      </c>
      <c r="BL630" s="99">
        <f t="shared" si="12"/>
        <v>31</v>
      </c>
      <c r="BM630" s="99" t="str">
        <f>IFERROR(__xludf.DUMMYFUNCTION("IFERROR(VLOOKUP(BG630,IMPORTRANGE(""https://docs.google.com/spreadsheets/d/1juPI-Fb8LD0YtltB2mlGEnp_R3UVu1t3wSFPzgCyHXE/edit?gid=0#gid=0"",""GERAL!A2:C""),3,0),""-"")"),"-")</f>
        <v>-</v>
      </c>
    </row>
    <row r="631" ht="15.75" customHeight="1">
      <c r="A631" s="111" t="s">
        <v>796</v>
      </c>
      <c r="B631" s="83" t="s">
        <v>2205</v>
      </c>
      <c r="C631" s="83" t="s">
        <v>68</v>
      </c>
      <c r="D631" s="98">
        <v>1179779.0</v>
      </c>
      <c r="E631" s="83"/>
      <c r="F631" s="98">
        <v>2.9360463E7</v>
      </c>
      <c r="G631" s="119" t="s">
        <v>2206</v>
      </c>
      <c r="H631" s="108" t="s">
        <v>2993</v>
      </c>
      <c r="I631" s="136"/>
      <c r="J631" s="83"/>
      <c r="K631" s="83" t="s">
        <v>151</v>
      </c>
      <c r="L631" s="83" t="s">
        <v>169</v>
      </c>
      <c r="M631" s="82" t="str">
        <f>IFERROR(__xludf.DUMMYFUNCTION("IFERROR(VLOOKUP(D631,
IMPORTRANGE(""https://docs.google.com/spreadsheets/d/1MjHtlUikwobi2MaWJgy7tfLeBmhj1u-dRFRs_8GwSoA/edit#gid=0"",""Gestores Escolares!D7:J""),3,0),""VERIFICAR CÓD SEC"")"),"SEM DIREÇÃO - NOVA ESCOLA DE PEQUENO PORTE, FOI CRIADA COM NOVO CÓDIGO SEC NO DIA 21 DE MAIO DE 2024, EM BREVE NOMEAÇÃO DE DIREÇÃO DE ESCOLA (SEGUNDO O NTE, IRÁ CONVERSAR COM A COMUNIDADE PARA INDICAÇÃO)")</f>
        <v>SEM DIREÇÃO - NOVA ESCOLA DE PEQUENO PORTE, FOI CRIADA COM NOVO CÓDIGO SEC NO DIA 21 DE MAIO DE 2024, EM BREVE NOMEAÇÃO DE DIREÇÃO DE ESCOLA (SEGUNDO O NTE, IRÁ CONVERSAR COM A COMUNIDADE PARA INDICAÇÃO)</v>
      </c>
      <c r="N631" s="82" t="str">
        <f>IFERROR(__xludf.DUMMYFUNCTION("IFERROR(VLOOKUP(D631,
IMPORTRANGE(""https://docs.google.com/spreadsheets/d/1MjHtlUikwobi2MaWJgy7tfLeBmhj1u-dRFRs_8GwSoA/edit#gid=0"",""Gestores Escolares!D7:J""),4,0),""VERIFICAR CÓD SEC"")"),"")</f>
        <v/>
      </c>
      <c r="O631" s="82" t="str">
        <f>IFERROR(__xludf.DUMMYFUNCTION("IFERROR(VLOOKUP(D631,
IMPORTRANGE(""https://docs.google.com/spreadsheets/d/1MjHtlUikwobi2MaWJgy7tfLeBmhj1u-dRFRs_8GwSoA/edit#gid=0"",""Gestores Escolares!D7:J""),6,0),""VERIFICAR CÓD SEC"")"),"")</f>
        <v/>
      </c>
      <c r="P631" s="82" t="str">
        <f>IFERROR(__xludf.DUMMYFUNCTION("IFERROR(VLOOKUP(D631,
IMPORTRANGE(""https://docs.google.com/spreadsheets/d/1MjHtlUikwobi2MaWJgy7tfLeBmhj1u-dRFRs_8GwSoA/edit#gid=0"",""Gestores Escolares!D7:J""),7,0),""VERIFICAR CÓD SEC"")"),"")</f>
        <v/>
      </c>
      <c r="Q631" s="82" t="str">
        <f>IFERROR(__xludf.DUMMYFUNCTION("IFERROR(VLOOKUP(D631,
IMPORTRANGE(""https://docs.google.com/spreadsheets/d/1MjHtlUikwobi2MaWJgy7tfLeBmhj1u-dRFRs_8GwSoA/edit#gid=0"",""Gestores Escolares!D7:m""),9,0),""VERIFICAR CÓD SEC"")"),"")</f>
        <v/>
      </c>
      <c r="R631" s="82" t="str">
        <f>IFERROR(__xludf.DUMMYFUNCTION("IFERROR(VLOOKUP(D631,
IMPORTRANGE(""https://docs.google.com/spreadsheets/d/1MjHtlUikwobi2MaWJgy7tfLeBmhj1u-dRFRs_8GwSoA/edit#gid=0"",""Gestores Escolares!D7:m""),10,0),""VERIFICAR CÓD SEC"")"),"")</f>
        <v/>
      </c>
      <c r="S631" s="82"/>
      <c r="T631" s="138"/>
      <c r="U631" s="145">
        <v>4.0</v>
      </c>
      <c r="V631" s="106">
        <v>10.0</v>
      </c>
      <c r="W631" s="107">
        <v>0.0</v>
      </c>
      <c r="X631" s="107">
        <v>0.0</v>
      </c>
      <c r="Y631" s="107">
        <v>0.0</v>
      </c>
      <c r="Z631" s="80">
        <f t="shared" si="1"/>
        <v>10</v>
      </c>
      <c r="AA631" s="106">
        <v>22.0</v>
      </c>
      <c r="AB631" s="107">
        <v>23.0</v>
      </c>
      <c r="AC631" s="107">
        <v>0.0</v>
      </c>
      <c r="AD631" s="107">
        <v>0.0</v>
      </c>
      <c r="AE631" s="80">
        <f t="shared" si="2"/>
        <v>45</v>
      </c>
      <c r="AF631" s="140">
        <v>0.0</v>
      </c>
      <c r="AG631" s="109">
        <v>0.0</v>
      </c>
      <c r="AH631" s="109">
        <v>0.0</v>
      </c>
      <c r="AI631" s="141">
        <v>0.0</v>
      </c>
      <c r="AJ631" s="80">
        <f t="shared" si="3"/>
        <v>0</v>
      </c>
      <c r="AK631" s="140">
        <v>0.0</v>
      </c>
      <c r="AL631" s="109">
        <v>0.0</v>
      </c>
      <c r="AM631" s="141">
        <v>0.0</v>
      </c>
      <c r="AN631" s="80">
        <f t="shared" si="4"/>
        <v>0</v>
      </c>
      <c r="AO631" s="140">
        <v>0.0</v>
      </c>
      <c r="AP631" s="109">
        <v>0.0</v>
      </c>
      <c r="AQ631" s="109">
        <v>0.0</v>
      </c>
      <c r="AR631" s="80">
        <f t="shared" si="5"/>
        <v>0</v>
      </c>
      <c r="AS631" s="110">
        <v>0.0</v>
      </c>
      <c r="AT631" s="110">
        <v>0.0</v>
      </c>
      <c r="AU631" s="110">
        <v>0.0</v>
      </c>
      <c r="AV631" s="142">
        <v>0.0</v>
      </c>
      <c r="AW631" s="80">
        <f t="shared" si="6"/>
        <v>0</v>
      </c>
      <c r="AX631" s="113">
        <f t="shared" si="7"/>
        <v>55</v>
      </c>
      <c r="AY631" s="117">
        <f t="shared" si="8"/>
        <v>55</v>
      </c>
      <c r="AZ631" s="120">
        <f t="shared" si="9"/>
        <v>0</v>
      </c>
      <c r="BA631" s="115">
        <v>0.0</v>
      </c>
      <c r="BB631" s="89">
        <f t="shared" si="10"/>
        <v>55</v>
      </c>
      <c r="BC631" s="132"/>
      <c r="BD631" s="132"/>
      <c r="BE631" s="132"/>
      <c r="BF631" s="235"/>
      <c r="BG631" s="98">
        <v>1179779.0</v>
      </c>
      <c r="BH631" s="112"/>
      <c r="BI631" s="112"/>
      <c r="BJ631" s="98"/>
      <c r="BK631" s="99">
        <f t="shared" si="11"/>
        <v>0</v>
      </c>
      <c r="BL631" s="99">
        <f t="shared" si="12"/>
        <v>55</v>
      </c>
      <c r="BM631" s="99" t="str">
        <f>IFERROR(__xludf.DUMMYFUNCTION("IFERROR(VLOOKUP(BG631,IMPORTRANGE(""https://docs.google.com/spreadsheets/d/1juPI-Fb8LD0YtltB2mlGEnp_R3UVu1t3wSFPzgCyHXE/edit?gid=0#gid=0"",""GERAL!A2:C""),3,0),""-"")"),"INDÍGENAS")</f>
        <v>INDÍGENAS</v>
      </c>
    </row>
    <row r="632" ht="15.75" customHeight="1">
      <c r="A632" s="111" t="s">
        <v>796</v>
      </c>
      <c r="B632" s="172" t="s">
        <v>2205</v>
      </c>
      <c r="C632" s="83" t="s">
        <v>68</v>
      </c>
      <c r="D632" s="112">
        <v>1161654.0</v>
      </c>
      <c r="E632" s="83"/>
      <c r="F632" s="83">
        <v>2.9024129E7</v>
      </c>
      <c r="G632" s="114" t="s">
        <v>2999</v>
      </c>
      <c r="H632" s="91" t="s">
        <v>3000</v>
      </c>
      <c r="I632" s="136" t="s">
        <v>3001</v>
      </c>
      <c r="J632" s="83" t="s">
        <v>641</v>
      </c>
      <c r="K632" s="83" t="s">
        <v>151</v>
      </c>
      <c r="L632" s="83" t="s">
        <v>169</v>
      </c>
      <c r="M632" s="82" t="str">
        <f>IFERROR(__xludf.DUMMYFUNCTION("IFERROR(VLOOKUP(D632,
IMPORTRANGE(""https://docs.google.com/spreadsheets/d/1MjHtlUikwobi2MaWJgy7tfLeBmhj1u-dRFRs_8GwSoA/edit#gid=0"",""Gestores Escolares!D7:J""),3,0),""VERIFICAR CÓD SEC"")"),"FERNANDA MACIEL SANTANA")</f>
        <v>FERNANDA MACIEL SANTANA</v>
      </c>
      <c r="N632" s="82" t="str">
        <f>IFERROR(__xludf.DUMMYFUNCTION("IFERROR(VLOOKUP(D632,
IMPORTRANGE(""https://docs.google.com/spreadsheets/d/1MjHtlUikwobi2MaWJgy7tfLeBmhj1u-dRFRs_8GwSoA/edit#gid=0"",""Gestores Escolares!D7:J""),4,0),""VERIFICAR CÓD SEC"")"),"(74) 9 8857-2107")</f>
        <v>(74) 9 8857-2107</v>
      </c>
      <c r="O632" s="82" t="str">
        <f>IFERROR(__xludf.DUMMYFUNCTION("IFERROR(VLOOKUP(D632,
IMPORTRANGE(""https://docs.google.com/spreadsheets/d/1MjHtlUikwobi2MaWJgy7tfLeBmhj1u-dRFRs_8GwSoA/edit#gid=0"",""Gestores Escolares!D7:J""),6,0),""VERIFICAR CÓD SEC"")"),"LUZIA JISELE JERICO PEREIRA")</f>
        <v>LUZIA JISELE JERICO PEREIRA</v>
      </c>
      <c r="P632" s="82" t="str">
        <f>IFERROR(__xludf.DUMMYFUNCTION("IFERROR(VLOOKUP(D632,
IMPORTRANGE(""https://docs.google.com/spreadsheets/d/1MjHtlUikwobi2MaWJgy7tfLeBmhj1u-dRFRs_8GwSoA/edit#gid=0"",""Gestores Escolares!D7:J""),7,0),""VERIFICAR CÓD SEC"")"),"(87) 9 9926-1277")</f>
        <v>(87) 9 9926-1277</v>
      </c>
      <c r="Q632" s="82" t="str">
        <f>IFERROR(__xludf.DUMMYFUNCTION("IFERROR(VLOOKUP(D632,
IMPORTRANGE(""https://docs.google.com/spreadsheets/d/1MjHtlUikwobi2MaWJgy7tfLeBmhj1u-dRFRs_8GwSoA/edit#gid=0"",""Gestores Escolares!D7:m""),9,0),""VERIFICAR CÓD SEC"")"),"")</f>
        <v/>
      </c>
      <c r="R632" s="82" t="str">
        <f>IFERROR(__xludf.DUMMYFUNCTION("IFERROR(VLOOKUP(D632,
IMPORTRANGE(""https://docs.google.com/spreadsheets/d/1MjHtlUikwobi2MaWJgy7tfLeBmhj1u-dRFRs_8GwSoA/edit#gid=0"",""Gestores Escolares!D7:m""),10,0),""VERIFICAR CÓD SEC"")"),"")</f>
        <v/>
      </c>
      <c r="S632" s="82"/>
      <c r="T632" s="138">
        <v>5.0</v>
      </c>
      <c r="U632" s="145">
        <v>5.0</v>
      </c>
      <c r="V632" s="106">
        <v>0.0</v>
      </c>
      <c r="W632" s="107">
        <v>0.0</v>
      </c>
      <c r="X632" s="107">
        <v>0.0</v>
      </c>
      <c r="Y632" s="107">
        <v>0.0</v>
      </c>
      <c r="Z632" s="80">
        <f t="shared" si="1"/>
        <v>0</v>
      </c>
      <c r="AA632" s="106">
        <v>0.0</v>
      </c>
      <c r="AB632" s="107">
        <v>0.0</v>
      </c>
      <c r="AC632" s="107">
        <v>0.0</v>
      </c>
      <c r="AD632" s="107">
        <v>0.0</v>
      </c>
      <c r="AE632" s="80">
        <f t="shared" si="2"/>
        <v>0</v>
      </c>
      <c r="AF632" s="140">
        <v>22.0</v>
      </c>
      <c r="AG632" s="109">
        <v>103.0</v>
      </c>
      <c r="AH632" s="109">
        <v>0.0</v>
      </c>
      <c r="AI632" s="141">
        <v>45.0</v>
      </c>
      <c r="AJ632" s="80">
        <f t="shared" si="3"/>
        <v>170</v>
      </c>
      <c r="AK632" s="140">
        <v>0.0</v>
      </c>
      <c r="AL632" s="109">
        <v>0.0</v>
      </c>
      <c r="AM632" s="141">
        <v>0.0</v>
      </c>
      <c r="AN632" s="80">
        <f t="shared" si="4"/>
        <v>0</v>
      </c>
      <c r="AO632" s="140">
        <v>0.0</v>
      </c>
      <c r="AP632" s="109">
        <v>0.0</v>
      </c>
      <c r="AQ632" s="109">
        <v>28.0</v>
      </c>
      <c r="AR632" s="80">
        <f t="shared" si="5"/>
        <v>28</v>
      </c>
      <c r="AS632" s="110">
        <v>0.0</v>
      </c>
      <c r="AT632" s="110">
        <v>0.0</v>
      </c>
      <c r="AU632" s="110">
        <v>0.0</v>
      </c>
      <c r="AV632" s="142">
        <v>0.0</v>
      </c>
      <c r="AW632" s="80">
        <f t="shared" si="6"/>
        <v>0</v>
      </c>
      <c r="AX632" s="113">
        <f t="shared" si="7"/>
        <v>198</v>
      </c>
      <c r="AY632" s="117">
        <f t="shared" si="8"/>
        <v>170</v>
      </c>
      <c r="AZ632" s="120">
        <f t="shared" si="9"/>
        <v>28</v>
      </c>
      <c r="BA632" s="115">
        <v>0.0</v>
      </c>
      <c r="BB632" s="89">
        <f t="shared" si="10"/>
        <v>198</v>
      </c>
      <c r="BC632" s="132" t="s">
        <v>373</v>
      </c>
      <c r="BD632" s="132" t="s">
        <v>178</v>
      </c>
      <c r="BE632" s="132" t="s">
        <v>178</v>
      </c>
      <c r="BF632" s="156"/>
      <c r="BG632" s="83">
        <v>1161654.0</v>
      </c>
      <c r="BH632" s="98"/>
      <c r="BI632" s="98">
        <v>5.0</v>
      </c>
      <c r="BJ632" s="98" t="s">
        <v>155</v>
      </c>
      <c r="BK632" s="99">
        <f t="shared" si="11"/>
        <v>45</v>
      </c>
      <c r="BL632" s="99">
        <f t="shared" si="12"/>
        <v>125</v>
      </c>
      <c r="BM632" s="99" t="str">
        <f>IFERROR(__xludf.DUMMYFUNCTION("IFERROR(VLOOKUP(BG632,IMPORTRANGE(""https://docs.google.com/spreadsheets/d/1juPI-Fb8LD0YtltB2mlGEnp_R3UVu1t3wSFPzgCyHXE/edit?gid=0#gid=0"",""GERAL!A2:C""),3,0),""-"")"),"CAMPO")</f>
        <v>CAMPO</v>
      </c>
    </row>
    <row r="633" ht="15.75" customHeight="1">
      <c r="A633" s="111" t="s">
        <v>796</v>
      </c>
      <c r="B633" s="83" t="s">
        <v>2205</v>
      </c>
      <c r="C633" s="83" t="s">
        <v>68</v>
      </c>
      <c r="D633" s="112">
        <v>1170823.0</v>
      </c>
      <c r="E633" s="83"/>
      <c r="F633" s="83">
        <v>2.9024323E7</v>
      </c>
      <c r="G633" s="119" t="s">
        <v>3007</v>
      </c>
      <c r="H633" s="91" t="s">
        <v>3008</v>
      </c>
      <c r="I633" s="136" t="s">
        <v>149</v>
      </c>
      <c r="J633" s="83" t="s">
        <v>1806</v>
      </c>
      <c r="K633" s="83" t="s">
        <v>151</v>
      </c>
      <c r="L633" s="98" t="s">
        <v>76</v>
      </c>
      <c r="M633" s="82" t="str">
        <f>IFERROR(__xludf.DUMMYFUNCTION("IFERROR(VLOOKUP(D633,
IMPORTRANGE(""https://docs.google.com/spreadsheets/d/1MjHtlUikwobi2MaWJgy7tfLeBmhj1u-dRFRs_8GwSoA/edit#gid=0"",""Gestores Escolares!D7:J""),3,0),""VERIFICAR CÓD SEC"")"),"VALDIR PEREIRA ALVES")</f>
        <v>VALDIR PEREIRA ALVES</v>
      </c>
      <c r="N633" s="82" t="str">
        <f>IFERROR(__xludf.DUMMYFUNCTION("IFERROR(VLOOKUP(D633,
IMPORTRANGE(""https://docs.google.com/spreadsheets/d/1MjHtlUikwobi2MaWJgy7tfLeBmhj1u-dRFRs_8GwSoA/edit#gid=0"",""Gestores Escolares!D7:J""),4,0),""VERIFICAR CÓD SEC"")"),"(87) 9 9806-3589")</f>
        <v>(87) 9 9806-3589</v>
      </c>
      <c r="O633" s="82" t="str">
        <f>IFERROR(__xludf.DUMMYFUNCTION("IFERROR(VLOOKUP(D633,
IMPORTRANGE(""https://docs.google.com/spreadsheets/d/1MjHtlUikwobi2MaWJgy7tfLeBmhj1u-dRFRs_8GwSoA/edit#gid=0"",""Gestores Escolares!D7:J""),6,0),""VERIFICAR CÓD SEC"")"),"LUZIA DIAS MENEZES")</f>
        <v>LUZIA DIAS MENEZES</v>
      </c>
      <c r="P633" s="82" t="str">
        <f>IFERROR(__xludf.DUMMYFUNCTION("IFERROR(VLOOKUP(D633,
IMPORTRANGE(""https://docs.google.com/spreadsheets/d/1MjHtlUikwobi2MaWJgy7tfLeBmhj1u-dRFRs_8GwSoA/edit#gid=0"",""Gestores Escolares!D7:J""),7,0),""VERIFICAR CÓD SEC"")"),"(87) 9 9107-9253")</f>
        <v>(87) 9 9107-9253</v>
      </c>
      <c r="Q633" s="82" t="str">
        <f>IFERROR(__xludf.DUMMYFUNCTION("IFERROR(VLOOKUP(D633,
IMPORTRANGE(""https://docs.google.com/spreadsheets/d/1MjHtlUikwobi2MaWJgy7tfLeBmhj1u-dRFRs_8GwSoA/edit#gid=0"",""Gestores Escolares!D7:m""),9,0),""VERIFICAR CÓD SEC"")"),"")</f>
        <v/>
      </c>
      <c r="R633" s="82" t="str">
        <f>IFERROR(__xludf.DUMMYFUNCTION("IFERROR(VLOOKUP(D633,
IMPORTRANGE(""https://docs.google.com/spreadsheets/d/1MjHtlUikwobi2MaWJgy7tfLeBmhj1u-dRFRs_8GwSoA/edit#gid=0"",""Gestores Escolares!D7:m""),10,0),""VERIFICAR CÓD SEC"")"),"")</f>
        <v/>
      </c>
      <c r="S633" s="82"/>
      <c r="T633" s="138">
        <v>5.0</v>
      </c>
      <c r="U633" s="145">
        <v>5.0</v>
      </c>
      <c r="V633" s="106">
        <v>0.0</v>
      </c>
      <c r="W633" s="107">
        <v>0.0</v>
      </c>
      <c r="X633" s="107">
        <v>0.0</v>
      </c>
      <c r="Y633" s="107">
        <v>0.0</v>
      </c>
      <c r="Z633" s="80">
        <f t="shared" si="1"/>
        <v>0</v>
      </c>
      <c r="AA633" s="106">
        <v>0.0</v>
      </c>
      <c r="AB633" s="107">
        <v>0.0</v>
      </c>
      <c r="AC633" s="107">
        <v>0.0</v>
      </c>
      <c r="AD633" s="107">
        <v>0.0</v>
      </c>
      <c r="AE633" s="80">
        <f t="shared" si="2"/>
        <v>0</v>
      </c>
      <c r="AF633" s="140">
        <v>184.0</v>
      </c>
      <c r="AG633" s="109">
        <v>201.0</v>
      </c>
      <c r="AH633" s="109">
        <v>0.0</v>
      </c>
      <c r="AI633" s="141">
        <v>0.0</v>
      </c>
      <c r="AJ633" s="80">
        <f t="shared" si="3"/>
        <v>385</v>
      </c>
      <c r="AK633" s="140">
        <v>0.0</v>
      </c>
      <c r="AL633" s="109">
        <v>0.0</v>
      </c>
      <c r="AM633" s="141">
        <v>0.0</v>
      </c>
      <c r="AN633" s="80">
        <f t="shared" si="4"/>
        <v>0</v>
      </c>
      <c r="AO633" s="140">
        <v>0.0</v>
      </c>
      <c r="AP633" s="109">
        <v>0.0</v>
      </c>
      <c r="AQ633" s="109">
        <v>49.0</v>
      </c>
      <c r="AR633" s="80">
        <f t="shared" si="5"/>
        <v>49</v>
      </c>
      <c r="AS633" s="110">
        <v>0.0</v>
      </c>
      <c r="AT633" s="110">
        <v>0.0</v>
      </c>
      <c r="AU633" s="110">
        <v>0.0</v>
      </c>
      <c r="AV633" s="142">
        <v>0.0</v>
      </c>
      <c r="AW633" s="80">
        <f t="shared" si="6"/>
        <v>0</v>
      </c>
      <c r="AX633" s="113">
        <f t="shared" si="7"/>
        <v>434</v>
      </c>
      <c r="AY633" s="117">
        <f t="shared" si="8"/>
        <v>385</v>
      </c>
      <c r="AZ633" s="120">
        <f t="shared" si="9"/>
        <v>49</v>
      </c>
      <c r="BA633" s="115">
        <v>0.0</v>
      </c>
      <c r="BB633" s="89">
        <f t="shared" si="10"/>
        <v>434</v>
      </c>
      <c r="BC633" s="132" t="s">
        <v>373</v>
      </c>
      <c r="BD633" s="132" t="s">
        <v>178</v>
      </c>
      <c r="BE633" s="132" t="s">
        <v>178</v>
      </c>
      <c r="BF633" s="156"/>
      <c r="BG633" s="83">
        <v>1170823.0</v>
      </c>
      <c r="BH633" s="112"/>
      <c r="BI633" s="112">
        <v>6.0</v>
      </c>
      <c r="BJ633" s="98" t="s">
        <v>155</v>
      </c>
      <c r="BK633" s="99">
        <f t="shared" si="11"/>
        <v>0</v>
      </c>
      <c r="BL633" s="99">
        <f t="shared" si="12"/>
        <v>385</v>
      </c>
      <c r="BM633" s="99" t="str">
        <f>IFERROR(__xludf.DUMMYFUNCTION("IFERROR(VLOOKUP(BG633,IMPORTRANGE(""https://docs.google.com/spreadsheets/d/1juPI-Fb8LD0YtltB2mlGEnp_R3UVu1t3wSFPzgCyHXE/edit?gid=0#gid=0"",""GERAL!A2:C""),3,0),""-"")"),"CAMPO")</f>
        <v>CAMPO</v>
      </c>
    </row>
    <row r="634" ht="15.75" customHeight="1">
      <c r="A634" s="111" t="s">
        <v>796</v>
      </c>
      <c r="B634" s="83" t="s">
        <v>2205</v>
      </c>
      <c r="C634" s="83" t="s">
        <v>68</v>
      </c>
      <c r="D634" s="112">
        <v>1161638.0</v>
      </c>
      <c r="E634" s="83"/>
      <c r="F634" s="83">
        <v>2.9023688E7</v>
      </c>
      <c r="G634" s="153" t="s">
        <v>3010</v>
      </c>
      <c r="H634" s="108" t="s">
        <v>3011</v>
      </c>
      <c r="I634" s="83" t="s">
        <v>3012</v>
      </c>
      <c r="J634" s="83" t="s">
        <v>150</v>
      </c>
      <c r="K634" s="83" t="s">
        <v>151</v>
      </c>
      <c r="L634" s="83" t="s">
        <v>230</v>
      </c>
      <c r="M634" s="82" t="str">
        <f>IFERROR(__xludf.DUMMYFUNCTION("IFERROR(VLOOKUP(D634,
IMPORTRANGE(""https://docs.google.com/spreadsheets/d/1MjHtlUikwobi2MaWJgy7tfLeBmhj1u-dRFRs_8GwSoA/edit#gid=0"",""Gestores Escolares!D7:J""),3,0),""VERIFICAR CÓD SEC"")"),"JOAO MENDES GOMES JUNIOR")</f>
        <v>JOAO MENDES GOMES JUNIOR</v>
      </c>
      <c r="N634" s="82" t="str">
        <f>IFERROR(__xludf.DUMMYFUNCTION("IFERROR(VLOOKUP(D634,
IMPORTRANGE(""https://docs.google.com/spreadsheets/d/1MjHtlUikwobi2MaWJgy7tfLeBmhj1u-dRFRs_8GwSoA/edit#gid=0"",""Gestores Escolares!D7:J""),4,0),""VERIFICAR CÓD SEC"")"),"(74) 9 8831-5191")</f>
        <v>(74) 9 8831-5191</v>
      </c>
      <c r="O634" s="82" t="str">
        <f>IFERROR(__xludf.DUMMYFUNCTION("IFERROR(VLOOKUP(D634,
IMPORTRANGE(""https://docs.google.com/spreadsheets/d/1MjHtlUikwobi2MaWJgy7tfLeBmhj1u-dRFRs_8GwSoA/edit#gid=0"",""Gestores Escolares!D7:J""),6,0),""VERIFICAR CÓD SEC"")"),"CLAUDETE DE ALMEIDA GAMA")</f>
        <v>CLAUDETE DE ALMEIDA GAMA</v>
      </c>
      <c r="P634" s="82" t="str">
        <f>IFERROR(__xludf.DUMMYFUNCTION("IFERROR(VLOOKUP(D634,
IMPORTRANGE(""https://docs.google.com/spreadsheets/d/1MjHtlUikwobi2MaWJgy7tfLeBmhj1u-dRFRs_8GwSoA/edit#gid=0"",""Gestores Escolares!D7:J""),7,0),""VERIFICAR CÓD SEC"")"),"(74) 9 9956-9401")</f>
        <v>(74) 9 9956-9401</v>
      </c>
      <c r="Q634" s="82" t="str">
        <f>IFERROR(__xludf.DUMMYFUNCTION("IFERROR(VLOOKUP(D634,
IMPORTRANGE(""https://docs.google.com/spreadsheets/d/1MjHtlUikwobi2MaWJgy7tfLeBmhj1u-dRFRs_8GwSoA/edit#gid=0"",""Gestores Escolares!D7:m""),9,0),""VERIFICAR CÓD SEC"")"),"SERGIO ROBERIO OLIVEIRA BATISTA")</f>
        <v>SERGIO ROBERIO OLIVEIRA BATISTA</v>
      </c>
      <c r="R634" s="82" t="str">
        <f>IFERROR(__xludf.DUMMYFUNCTION("IFERROR(VLOOKUP(D634,
IMPORTRANGE(""https://docs.google.com/spreadsheets/d/1MjHtlUikwobi2MaWJgy7tfLeBmhj1u-dRFRs_8GwSoA/edit#gid=0"",""Gestores Escolares!D7:m""),10,0),""VERIFICAR CÓD SEC"")"),"(74) 9 9956-1070")</f>
        <v>(74) 9 9956-1070</v>
      </c>
      <c r="S634" s="82"/>
      <c r="T634" s="138">
        <v>7.0</v>
      </c>
      <c r="U634" s="145">
        <v>14.0</v>
      </c>
      <c r="V634" s="106">
        <v>0.0</v>
      </c>
      <c r="W634" s="107">
        <v>0.0</v>
      </c>
      <c r="X634" s="107">
        <v>0.0</v>
      </c>
      <c r="Y634" s="107">
        <v>0.0</v>
      </c>
      <c r="Z634" s="80">
        <f t="shared" si="1"/>
        <v>0</v>
      </c>
      <c r="AA634" s="106">
        <v>0.0</v>
      </c>
      <c r="AB634" s="107">
        <v>0.0</v>
      </c>
      <c r="AC634" s="107">
        <v>0.0</v>
      </c>
      <c r="AD634" s="107">
        <v>0.0</v>
      </c>
      <c r="AE634" s="80">
        <f t="shared" si="2"/>
        <v>0</v>
      </c>
      <c r="AF634" s="140">
        <v>80.0</v>
      </c>
      <c r="AG634" s="109">
        <v>76.0</v>
      </c>
      <c r="AH634" s="109">
        <v>0.0</v>
      </c>
      <c r="AI634" s="141">
        <v>173.0</v>
      </c>
      <c r="AJ634" s="80">
        <f t="shared" si="3"/>
        <v>329</v>
      </c>
      <c r="AK634" s="140">
        <v>0.0</v>
      </c>
      <c r="AL634" s="109">
        <v>0.0</v>
      </c>
      <c r="AM634" s="141">
        <v>0.0</v>
      </c>
      <c r="AN634" s="80">
        <f t="shared" si="4"/>
        <v>0</v>
      </c>
      <c r="AO634" s="140">
        <v>0.0</v>
      </c>
      <c r="AP634" s="109">
        <v>0.0</v>
      </c>
      <c r="AQ634" s="109">
        <v>130.0</v>
      </c>
      <c r="AR634" s="80">
        <f t="shared" si="5"/>
        <v>130</v>
      </c>
      <c r="AS634" s="110">
        <v>245.0</v>
      </c>
      <c r="AT634" s="110">
        <v>209.0</v>
      </c>
      <c r="AU634" s="110">
        <v>105.0</v>
      </c>
      <c r="AV634" s="142">
        <v>0.0</v>
      </c>
      <c r="AW634" s="80">
        <f t="shared" si="6"/>
        <v>559</v>
      </c>
      <c r="AX634" s="113">
        <f t="shared" si="7"/>
        <v>1018</v>
      </c>
      <c r="AY634" s="117">
        <f t="shared" si="8"/>
        <v>783</v>
      </c>
      <c r="AZ634" s="120">
        <f t="shared" si="9"/>
        <v>235</v>
      </c>
      <c r="BA634" s="115">
        <v>1.0</v>
      </c>
      <c r="BB634" s="89">
        <f t="shared" si="10"/>
        <v>1019</v>
      </c>
      <c r="BC634" s="132" t="s">
        <v>178</v>
      </c>
      <c r="BD634" s="132" t="s">
        <v>522</v>
      </c>
      <c r="BE634" s="132" t="s">
        <v>178</v>
      </c>
      <c r="BF634" s="156"/>
      <c r="BG634" s="83">
        <v>1161638.0</v>
      </c>
      <c r="BH634" s="112"/>
      <c r="BI634" s="112">
        <v>6.0</v>
      </c>
      <c r="BJ634" s="98" t="s">
        <v>162</v>
      </c>
      <c r="BK634" s="99">
        <f t="shared" si="11"/>
        <v>173</v>
      </c>
      <c r="BL634" s="99">
        <f t="shared" si="12"/>
        <v>610</v>
      </c>
      <c r="BM634" s="99" t="str">
        <f>IFERROR(__xludf.DUMMYFUNCTION("IFERROR(VLOOKUP(BG634,IMPORTRANGE(""https://docs.google.com/spreadsheets/d/1juPI-Fb8LD0YtltB2mlGEnp_R3UVu1t3wSFPzgCyHXE/edit?gid=0#gid=0"",""GERAL!A2:C""),3,0),""-"")"),"-")</f>
        <v>-</v>
      </c>
    </row>
    <row r="635" ht="15.75" customHeight="1">
      <c r="A635" s="111" t="s">
        <v>796</v>
      </c>
      <c r="B635" s="83" t="s">
        <v>2205</v>
      </c>
      <c r="C635" s="83" t="s">
        <v>164</v>
      </c>
      <c r="D635" s="112">
        <v>1161638.0</v>
      </c>
      <c r="E635" s="83">
        <v>1179082.0</v>
      </c>
      <c r="F635" s="98">
        <v>2.9489989E7</v>
      </c>
      <c r="G635" s="119" t="s">
        <v>3022</v>
      </c>
      <c r="H635" s="91" t="s">
        <v>3023</v>
      </c>
      <c r="I635" s="136" t="s">
        <v>3024</v>
      </c>
      <c r="J635" s="83" t="s">
        <v>3025</v>
      </c>
      <c r="K635" s="83" t="s">
        <v>168</v>
      </c>
      <c r="L635" s="83" t="s">
        <v>169</v>
      </c>
      <c r="M635" s="82" t="str">
        <f>IFERROR(__xludf.DUMMYFUNCTION("IFERROR(VLOOKUP(D635,
IMPORTRANGE(""https://docs.google.com/spreadsheets/d/1MjHtlUikwobi2MaWJgy7tfLeBmhj1u-dRFRs_8GwSoA/edit#gid=0"",""Gestores Escolares!D7:J""),3,0),""VERIFICAR CÓD SEC"")"),"JOAO MENDES GOMES JUNIOR")</f>
        <v>JOAO MENDES GOMES JUNIOR</v>
      </c>
      <c r="N635" s="82" t="str">
        <f>IFERROR(__xludf.DUMMYFUNCTION("IFERROR(VLOOKUP(D635,
IMPORTRANGE(""https://docs.google.com/spreadsheets/d/1MjHtlUikwobi2MaWJgy7tfLeBmhj1u-dRFRs_8GwSoA/edit#gid=0"",""Gestores Escolares!D7:J""),4,0),""VERIFICAR CÓD SEC"")"),"(74) 9 8831-5191")</f>
        <v>(74) 9 8831-5191</v>
      </c>
      <c r="O635" s="82" t="str">
        <f>IFERROR(__xludf.DUMMYFUNCTION("IFERROR(VLOOKUP(D635,
IMPORTRANGE(""https://docs.google.com/spreadsheets/d/1MjHtlUikwobi2MaWJgy7tfLeBmhj1u-dRFRs_8GwSoA/edit#gid=0"",""Gestores Escolares!D7:J""),6,0),""VERIFICAR CÓD SEC"")"),"CLAUDETE DE ALMEIDA GAMA")</f>
        <v>CLAUDETE DE ALMEIDA GAMA</v>
      </c>
      <c r="P635" s="82" t="str">
        <f>IFERROR(__xludf.DUMMYFUNCTION("IFERROR(VLOOKUP(D635,
IMPORTRANGE(""https://docs.google.com/spreadsheets/d/1MjHtlUikwobi2MaWJgy7tfLeBmhj1u-dRFRs_8GwSoA/edit#gid=0"",""Gestores Escolares!D7:J""),7,0),""VERIFICAR CÓD SEC"")"),"(74) 9 9956-9401")</f>
        <v>(74) 9 9956-9401</v>
      </c>
      <c r="Q635" s="82" t="str">
        <f>IFERROR(__xludf.DUMMYFUNCTION("IFERROR(VLOOKUP(D635,
IMPORTRANGE(""https://docs.google.com/spreadsheets/d/1MjHtlUikwobi2MaWJgy7tfLeBmhj1u-dRFRs_8GwSoA/edit#gid=0"",""Gestores Escolares!D7:m""),9,0),""VERIFICAR CÓD SEC"")"),"SERGIO ROBERIO OLIVEIRA BATISTA")</f>
        <v>SERGIO ROBERIO OLIVEIRA BATISTA</v>
      </c>
      <c r="R635" s="82" t="str">
        <f>IFERROR(__xludf.DUMMYFUNCTION("IFERROR(VLOOKUP(D635,
IMPORTRANGE(""https://docs.google.com/spreadsheets/d/1MjHtlUikwobi2MaWJgy7tfLeBmhj1u-dRFRs_8GwSoA/edit#gid=0"",""Gestores Escolares!D7:m""),10,0),""VERIFICAR CÓD SEC"")"),"(74) 9 9956-1070")</f>
        <v>(74) 9 9956-1070</v>
      </c>
      <c r="S635" s="82"/>
      <c r="T635" s="138">
        <v>3.0</v>
      </c>
      <c r="U635" s="139">
        <v>3.0</v>
      </c>
      <c r="V635" s="106">
        <v>0.0</v>
      </c>
      <c r="W635" s="107">
        <v>0.0</v>
      </c>
      <c r="X635" s="107">
        <v>0.0</v>
      </c>
      <c r="Y635" s="107">
        <v>0.0</v>
      </c>
      <c r="Z635" s="80">
        <f t="shared" si="1"/>
        <v>0</v>
      </c>
      <c r="AA635" s="106">
        <v>0.0</v>
      </c>
      <c r="AB635" s="107">
        <v>0.0</v>
      </c>
      <c r="AC635" s="107">
        <v>0.0</v>
      </c>
      <c r="AD635" s="107">
        <v>0.0</v>
      </c>
      <c r="AE635" s="80">
        <f t="shared" si="2"/>
        <v>0</v>
      </c>
      <c r="AF635" s="140">
        <v>0.0</v>
      </c>
      <c r="AG635" s="109">
        <v>27.0</v>
      </c>
      <c r="AH635" s="109">
        <v>0.0</v>
      </c>
      <c r="AI635" s="141">
        <v>0.0</v>
      </c>
      <c r="AJ635" s="80">
        <f t="shared" si="3"/>
        <v>27</v>
      </c>
      <c r="AK635" s="140">
        <v>0.0</v>
      </c>
      <c r="AL635" s="109">
        <v>0.0</v>
      </c>
      <c r="AM635" s="141">
        <v>0.0</v>
      </c>
      <c r="AN635" s="80">
        <f t="shared" si="4"/>
        <v>0</v>
      </c>
      <c r="AO635" s="140">
        <v>0.0</v>
      </c>
      <c r="AP635" s="109">
        <v>0.0</v>
      </c>
      <c r="AQ635" s="109">
        <v>0.0</v>
      </c>
      <c r="AR635" s="80">
        <f t="shared" si="5"/>
        <v>0</v>
      </c>
      <c r="AS635" s="110">
        <v>0.0</v>
      </c>
      <c r="AT635" s="110">
        <v>0.0</v>
      </c>
      <c r="AU635" s="110">
        <v>0.0</v>
      </c>
      <c r="AV635" s="142">
        <v>0.0</v>
      </c>
      <c r="AW635" s="80">
        <f t="shared" si="6"/>
        <v>0</v>
      </c>
      <c r="AX635" s="113">
        <f t="shared" si="7"/>
        <v>27</v>
      </c>
      <c r="AY635" s="117">
        <f t="shared" si="8"/>
        <v>27</v>
      </c>
      <c r="AZ635" s="120">
        <f t="shared" si="9"/>
        <v>0</v>
      </c>
      <c r="BA635" s="115">
        <v>0.0</v>
      </c>
      <c r="BB635" s="89">
        <f t="shared" si="10"/>
        <v>27</v>
      </c>
      <c r="BC635" s="132" t="s">
        <v>373</v>
      </c>
      <c r="BD635" s="132" t="s">
        <v>178</v>
      </c>
      <c r="BE635" s="132" t="s">
        <v>178</v>
      </c>
      <c r="BF635" s="235" t="s">
        <v>7389</v>
      </c>
      <c r="BG635" s="83">
        <v>1179082.0</v>
      </c>
      <c r="BH635" s="112"/>
      <c r="BI635" s="112">
        <v>3.0</v>
      </c>
      <c r="BJ635" s="98" t="s">
        <v>155</v>
      </c>
      <c r="BK635" s="99">
        <f t="shared" si="11"/>
        <v>0</v>
      </c>
      <c r="BL635" s="99">
        <f t="shared" si="12"/>
        <v>27</v>
      </c>
      <c r="BM635" s="99" t="str">
        <f>IFERROR(__xludf.DUMMYFUNCTION("IFERROR(VLOOKUP(BG635,IMPORTRANGE(""https://docs.google.com/spreadsheets/d/1juPI-Fb8LD0YtltB2mlGEnp_R3UVu1t3wSFPzgCyHXE/edit?gid=0#gid=0"",""GERAL!A2:C""),3,0),""-"")"),"CAMPO")</f>
        <v>CAMPO</v>
      </c>
    </row>
    <row r="636" ht="15.75" customHeight="1">
      <c r="A636" s="111" t="s">
        <v>796</v>
      </c>
      <c r="B636" s="83" t="s">
        <v>2205</v>
      </c>
      <c r="C636" s="83" t="s">
        <v>164</v>
      </c>
      <c r="D636" s="112">
        <v>1179111.0</v>
      </c>
      <c r="E636" s="83">
        <v>1179079.0</v>
      </c>
      <c r="F636" s="98">
        <v>2.9456509E7</v>
      </c>
      <c r="G636" s="114" t="s">
        <v>3026</v>
      </c>
      <c r="H636" s="91" t="s">
        <v>3028</v>
      </c>
      <c r="I636" s="136" t="s">
        <v>3029</v>
      </c>
      <c r="J636" s="83" t="s">
        <v>331</v>
      </c>
      <c r="K636" s="83" t="s">
        <v>168</v>
      </c>
      <c r="L636" s="83" t="s">
        <v>169</v>
      </c>
      <c r="M636" s="82" t="str">
        <f>IFERROR(__xludf.DUMMYFUNCTION("IFERROR(VLOOKUP(D636,
IMPORTRANGE(""https://docs.google.com/spreadsheets/d/1MjHtlUikwobi2MaWJgy7tfLeBmhj1u-dRFRs_8GwSoA/edit#gid=0"",""Gestores Escolares!D7:J""),3,0),""VERIFICAR CÓD SEC"")"),"ADAILSON BARBOSA GOMES")</f>
        <v>ADAILSON BARBOSA GOMES</v>
      </c>
      <c r="N636" s="82" t="str">
        <f>IFERROR(__xludf.DUMMYFUNCTION("IFERROR(VLOOKUP(D636,
IMPORTRANGE(""https://docs.google.com/spreadsheets/d/1MjHtlUikwobi2MaWJgy7tfLeBmhj1u-dRFRs_8GwSoA/edit#gid=0"",""Gestores Escolares!D7:J""),4,0),""VERIFICAR CÓD SEC"")"),"(74) 9 8828-2249")</f>
        <v>(74) 9 8828-2249</v>
      </c>
      <c r="O636" s="82" t="str">
        <f>IFERROR(__xludf.DUMMYFUNCTION("IFERROR(VLOOKUP(D636,
IMPORTRANGE(""https://docs.google.com/spreadsheets/d/1MjHtlUikwobi2MaWJgy7tfLeBmhj1u-dRFRs_8GwSoA/edit#gid=0"",""Gestores Escolares!D7:J""),6,0),""VERIFICAR CÓD SEC"")"),"JOSE NELSON ALVES DA SILVA")</f>
        <v>JOSE NELSON ALVES DA SILVA</v>
      </c>
      <c r="P636" s="82" t="str">
        <f>IFERROR(__xludf.DUMMYFUNCTION("IFERROR(VLOOKUP(D636,
IMPORTRANGE(""https://docs.google.com/spreadsheets/d/1MjHtlUikwobi2MaWJgy7tfLeBmhj1u-dRFRs_8GwSoA/edit#gid=0"",""Gestores Escolares!D7:J""),7,0),""VERIFICAR CÓD SEC"")"),"(74) 9 8862-1210")</f>
        <v>(74) 9 8862-1210</v>
      </c>
      <c r="Q636" s="82" t="str">
        <f>IFERROR(__xludf.DUMMYFUNCTION("IFERROR(VLOOKUP(D636,
IMPORTRANGE(""https://docs.google.com/spreadsheets/d/1MjHtlUikwobi2MaWJgy7tfLeBmhj1u-dRFRs_8GwSoA/edit#gid=0"",""Gestores Escolares!D7:m""),9,0),""VERIFICAR CÓD SEC"")"),"JOSEMAR RODRIGUES SANTOS")</f>
        <v>JOSEMAR RODRIGUES SANTOS</v>
      </c>
      <c r="R636" s="82" t="str">
        <f>IFERROR(__xludf.DUMMYFUNCTION("IFERROR(VLOOKUP(D636,
IMPORTRANGE(""https://docs.google.com/spreadsheets/d/1MjHtlUikwobi2MaWJgy7tfLeBmhj1u-dRFRs_8GwSoA/edit#gid=0"",""Gestores Escolares!D7:m""),10,0),""VERIFICAR CÓD SEC"")"),"(74) 9 8832-3106")</f>
        <v>(74) 9 8832-3106</v>
      </c>
      <c r="S636" s="82"/>
      <c r="T636" s="138">
        <v>3.0</v>
      </c>
      <c r="U636" s="139">
        <v>3.0</v>
      </c>
      <c r="V636" s="106">
        <v>0.0</v>
      </c>
      <c r="W636" s="107">
        <v>0.0</v>
      </c>
      <c r="X636" s="107">
        <v>0.0</v>
      </c>
      <c r="Y636" s="107">
        <v>0.0</v>
      </c>
      <c r="Z636" s="80">
        <f t="shared" si="1"/>
        <v>0</v>
      </c>
      <c r="AA636" s="106">
        <v>0.0</v>
      </c>
      <c r="AB636" s="107">
        <v>0.0</v>
      </c>
      <c r="AC636" s="107">
        <v>0.0</v>
      </c>
      <c r="AD636" s="107">
        <v>0.0</v>
      </c>
      <c r="AE636" s="80">
        <f t="shared" si="2"/>
        <v>0</v>
      </c>
      <c r="AF636" s="140">
        <v>0.0</v>
      </c>
      <c r="AG636" s="109">
        <v>0.0</v>
      </c>
      <c r="AH636" s="109">
        <v>19.0</v>
      </c>
      <c r="AI636" s="141">
        <v>0.0</v>
      </c>
      <c r="AJ636" s="80">
        <f t="shared" si="3"/>
        <v>19</v>
      </c>
      <c r="AK636" s="140">
        <v>0.0</v>
      </c>
      <c r="AL636" s="109">
        <v>0.0</v>
      </c>
      <c r="AM636" s="141">
        <v>0.0</v>
      </c>
      <c r="AN636" s="80">
        <f t="shared" si="4"/>
        <v>0</v>
      </c>
      <c r="AO636" s="140">
        <v>0.0</v>
      </c>
      <c r="AP636" s="109">
        <v>0.0</v>
      </c>
      <c r="AQ636" s="109">
        <v>0.0</v>
      </c>
      <c r="AR636" s="80">
        <f t="shared" si="5"/>
        <v>0</v>
      </c>
      <c r="AS636" s="110">
        <v>0.0</v>
      </c>
      <c r="AT636" s="110">
        <v>0.0</v>
      </c>
      <c r="AU636" s="110">
        <v>0.0</v>
      </c>
      <c r="AV636" s="142">
        <v>0.0</v>
      </c>
      <c r="AW636" s="80">
        <f t="shared" si="6"/>
        <v>0</v>
      </c>
      <c r="AX636" s="113">
        <f t="shared" si="7"/>
        <v>19</v>
      </c>
      <c r="AY636" s="117">
        <f t="shared" si="8"/>
        <v>0</v>
      </c>
      <c r="AZ636" s="120">
        <f t="shared" si="9"/>
        <v>19</v>
      </c>
      <c r="BA636" s="115">
        <v>0.0</v>
      </c>
      <c r="BB636" s="89">
        <f t="shared" si="10"/>
        <v>19</v>
      </c>
      <c r="BC636" s="132" t="s">
        <v>178</v>
      </c>
      <c r="BD636" s="143" t="s">
        <v>227</v>
      </c>
      <c r="BE636" s="132" t="s">
        <v>178</v>
      </c>
      <c r="BF636" s="123"/>
      <c r="BG636" s="83">
        <v>1179079.0</v>
      </c>
      <c r="BH636" s="112"/>
      <c r="BI636" s="112">
        <v>3.0</v>
      </c>
      <c r="BJ636" s="98" t="s">
        <v>155</v>
      </c>
      <c r="BK636" s="99">
        <f t="shared" si="11"/>
        <v>0</v>
      </c>
      <c r="BL636" s="99">
        <f t="shared" si="12"/>
        <v>0</v>
      </c>
      <c r="BM636" s="99" t="str">
        <f>IFERROR(__xludf.DUMMYFUNCTION("IFERROR(VLOOKUP(BG636,IMPORTRANGE(""https://docs.google.com/spreadsheets/d/1juPI-Fb8LD0YtltB2mlGEnp_R3UVu1t3wSFPzgCyHXE/edit?gid=0#gid=0"",""GERAL!A2:C""),3,0),""-"")"),"-")</f>
        <v>-</v>
      </c>
    </row>
    <row r="637" ht="15.75" customHeight="1">
      <c r="A637" s="111" t="s">
        <v>796</v>
      </c>
      <c r="B637" s="83" t="s">
        <v>2205</v>
      </c>
      <c r="C637" s="83" t="s">
        <v>164</v>
      </c>
      <c r="D637" s="112">
        <v>1179111.0</v>
      </c>
      <c r="E637" s="83">
        <v>1179080.0</v>
      </c>
      <c r="F637" s="98">
        <v>2.9456509E7</v>
      </c>
      <c r="G637" s="114" t="s">
        <v>3036</v>
      </c>
      <c r="H637" s="91" t="s">
        <v>3037</v>
      </c>
      <c r="I637" s="136" t="s">
        <v>149</v>
      </c>
      <c r="J637" s="83" t="s">
        <v>727</v>
      </c>
      <c r="K637" s="83" t="s">
        <v>168</v>
      </c>
      <c r="L637" s="83" t="s">
        <v>169</v>
      </c>
      <c r="M637" s="82" t="str">
        <f>IFERROR(__xludf.DUMMYFUNCTION("IFERROR(VLOOKUP(D637,
IMPORTRANGE(""https://docs.google.com/spreadsheets/d/1MjHtlUikwobi2MaWJgy7tfLeBmhj1u-dRFRs_8GwSoA/edit#gid=0"",""Gestores Escolares!D7:J""),3,0),""VERIFICAR CÓD SEC"")"),"ADAILSON BARBOSA GOMES")</f>
        <v>ADAILSON BARBOSA GOMES</v>
      </c>
      <c r="N637" s="82" t="str">
        <f>IFERROR(__xludf.DUMMYFUNCTION("IFERROR(VLOOKUP(D637,
IMPORTRANGE(""https://docs.google.com/spreadsheets/d/1MjHtlUikwobi2MaWJgy7tfLeBmhj1u-dRFRs_8GwSoA/edit#gid=0"",""Gestores Escolares!D7:J""),4,0),""VERIFICAR CÓD SEC"")"),"(74) 9 8828-2249")</f>
        <v>(74) 9 8828-2249</v>
      </c>
      <c r="O637" s="82" t="str">
        <f>IFERROR(__xludf.DUMMYFUNCTION("IFERROR(VLOOKUP(D637,
IMPORTRANGE(""https://docs.google.com/spreadsheets/d/1MjHtlUikwobi2MaWJgy7tfLeBmhj1u-dRFRs_8GwSoA/edit#gid=0"",""Gestores Escolares!D7:J""),6,0),""VERIFICAR CÓD SEC"")"),"JOSE NELSON ALVES DA SILVA")</f>
        <v>JOSE NELSON ALVES DA SILVA</v>
      </c>
      <c r="P637" s="82" t="str">
        <f>IFERROR(__xludf.DUMMYFUNCTION("IFERROR(VLOOKUP(D637,
IMPORTRANGE(""https://docs.google.com/spreadsheets/d/1MjHtlUikwobi2MaWJgy7tfLeBmhj1u-dRFRs_8GwSoA/edit#gid=0"",""Gestores Escolares!D7:J""),7,0),""VERIFICAR CÓD SEC"")"),"(74) 9 8862-1210")</f>
        <v>(74) 9 8862-1210</v>
      </c>
      <c r="Q637" s="82" t="str">
        <f>IFERROR(__xludf.DUMMYFUNCTION("IFERROR(VLOOKUP(D637,
IMPORTRANGE(""https://docs.google.com/spreadsheets/d/1MjHtlUikwobi2MaWJgy7tfLeBmhj1u-dRFRs_8GwSoA/edit#gid=0"",""Gestores Escolares!D7:m""),9,0),""VERIFICAR CÓD SEC"")"),"JOSEMAR RODRIGUES SANTOS")</f>
        <v>JOSEMAR RODRIGUES SANTOS</v>
      </c>
      <c r="R637" s="82" t="str">
        <f>IFERROR(__xludf.DUMMYFUNCTION("IFERROR(VLOOKUP(D637,
IMPORTRANGE(""https://docs.google.com/spreadsheets/d/1MjHtlUikwobi2MaWJgy7tfLeBmhj1u-dRFRs_8GwSoA/edit#gid=0"",""Gestores Escolares!D7:m""),10,0),""VERIFICAR CÓD SEC"")"),"(74) 9 8832-3106")</f>
        <v>(74) 9 8832-3106</v>
      </c>
      <c r="S637" s="82"/>
      <c r="T637" s="138">
        <v>3.0</v>
      </c>
      <c r="U637" s="139">
        <v>3.0</v>
      </c>
      <c r="V637" s="106">
        <v>0.0</v>
      </c>
      <c r="W637" s="107">
        <v>0.0</v>
      </c>
      <c r="X637" s="107">
        <v>0.0</v>
      </c>
      <c r="Y637" s="107">
        <v>0.0</v>
      </c>
      <c r="Z637" s="80">
        <f t="shared" si="1"/>
        <v>0</v>
      </c>
      <c r="AA637" s="106">
        <v>0.0</v>
      </c>
      <c r="AB637" s="107">
        <v>0.0</v>
      </c>
      <c r="AC637" s="107">
        <v>0.0</v>
      </c>
      <c r="AD637" s="107">
        <v>0.0</v>
      </c>
      <c r="AE637" s="80">
        <f t="shared" si="2"/>
        <v>0</v>
      </c>
      <c r="AF637" s="140">
        <v>0.0</v>
      </c>
      <c r="AG637" s="109">
        <v>0.0</v>
      </c>
      <c r="AH637" s="109">
        <v>9.0</v>
      </c>
      <c r="AI637" s="141">
        <v>0.0</v>
      </c>
      <c r="AJ637" s="80">
        <f t="shared" si="3"/>
        <v>9</v>
      </c>
      <c r="AK637" s="140">
        <v>0.0</v>
      </c>
      <c r="AL637" s="109">
        <v>0.0</v>
      </c>
      <c r="AM637" s="141">
        <v>0.0</v>
      </c>
      <c r="AN637" s="80">
        <f t="shared" si="4"/>
        <v>0</v>
      </c>
      <c r="AO637" s="140">
        <v>0.0</v>
      </c>
      <c r="AP637" s="109">
        <v>0.0</v>
      </c>
      <c r="AQ637" s="109">
        <v>0.0</v>
      </c>
      <c r="AR637" s="80">
        <f t="shared" si="5"/>
        <v>0</v>
      </c>
      <c r="AS637" s="110">
        <v>0.0</v>
      </c>
      <c r="AT637" s="110">
        <v>0.0</v>
      </c>
      <c r="AU637" s="110">
        <v>0.0</v>
      </c>
      <c r="AV637" s="142">
        <v>0.0</v>
      </c>
      <c r="AW637" s="80">
        <f t="shared" si="6"/>
        <v>0</v>
      </c>
      <c r="AX637" s="113">
        <f t="shared" si="7"/>
        <v>9</v>
      </c>
      <c r="AY637" s="117">
        <f t="shared" si="8"/>
        <v>0</v>
      </c>
      <c r="AZ637" s="120">
        <f t="shared" si="9"/>
        <v>9</v>
      </c>
      <c r="BA637" s="115">
        <v>0.0</v>
      </c>
      <c r="BB637" s="89">
        <f t="shared" si="10"/>
        <v>9</v>
      </c>
      <c r="BC637" s="132" t="s">
        <v>178</v>
      </c>
      <c r="BD637" s="143" t="s">
        <v>227</v>
      </c>
      <c r="BE637" s="132" t="s">
        <v>178</v>
      </c>
      <c r="BF637" s="123"/>
      <c r="BG637" s="83">
        <v>1179080.0</v>
      </c>
      <c r="BH637" s="112"/>
      <c r="BI637" s="112">
        <v>3.0</v>
      </c>
      <c r="BJ637" s="98" t="s">
        <v>155</v>
      </c>
      <c r="BK637" s="99">
        <f t="shared" si="11"/>
        <v>0</v>
      </c>
      <c r="BL637" s="99">
        <f t="shared" si="12"/>
        <v>0</v>
      </c>
      <c r="BM637" s="99" t="str">
        <f>IFERROR(__xludf.DUMMYFUNCTION("IFERROR(VLOOKUP(BG637,IMPORTRANGE(""https://docs.google.com/spreadsheets/d/1juPI-Fb8LD0YtltB2mlGEnp_R3UVu1t3wSFPzgCyHXE/edit?gid=0#gid=0"",""GERAL!A2:C""),3,0),""-"")"),"-")</f>
        <v>-</v>
      </c>
    </row>
    <row r="638" ht="15.75" customHeight="1">
      <c r="A638" s="111" t="s">
        <v>796</v>
      </c>
      <c r="B638" s="83" t="s">
        <v>2205</v>
      </c>
      <c r="C638" s="83" t="s">
        <v>164</v>
      </c>
      <c r="D638" s="112">
        <v>1179111.0</v>
      </c>
      <c r="E638" s="83">
        <v>1178665.0</v>
      </c>
      <c r="F638" s="98">
        <v>2.9456509E7</v>
      </c>
      <c r="G638" s="114" t="s">
        <v>3039</v>
      </c>
      <c r="H638" s="91" t="s">
        <v>3041</v>
      </c>
      <c r="I638" s="136" t="s">
        <v>3042</v>
      </c>
      <c r="J638" s="83" t="s">
        <v>331</v>
      </c>
      <c r="K638" s="83" t="s">
        <v>168</v>
      </c>
      <c r="L638" s="83" t="s">
        <v>169</v>
      </c>
      <c r="M638" s="82" t="str">
        <f>IFERROR(__xludf.DUMMYFUNCTION("IFERROR(VLOOKUP(D638,
IMPORTRANGE(""https://docs.google.com/spreadsheets/d/1MjHtlUikwobi2MaWJgy7tfLeBmhj1u-dRFRs_8GwSoA/edit#gid=0"",""Gestores Escolares!D7:J""),3,0),""VERIFICAR CÓD SEC"")"),"ADAILSON BARBOSA GOMES")</f>
        <v>ADAILSON BARBOSA GOMES</v>
      </c>
      <c r="N638" s="82" t="str">
        <f>IFERROR(__xludf.DUMMYFUNCTION("IFERROR(VLOOKUP(D638,
IMPORTRANGE(""https://docs.google.com/spreadsheets/d/1MjHtlUikwobi2MaWJgy7tfLeBmhj1u-dRFRs_8GwSoA/edit#gid=0"",""Gestores Escolares!D7:J""),4,0),""VERIFICAR CÓD SEC"")"),"(74) 9 8828-2249")</f>
        <v>(74) 9 8828-2249</v>
      </c>
      <c r="O638" s="82" t="str">
        <f>IFERROR(__xludf.DUMMYFUNCTION("IFERROR(VLOOKUP(D638,
IMPORTRANGE(""https://docs.google.com/spreadsheets/d/1MjHtlUikwobi2MaWJgy7tfLeBmhj1u-dRFRs_8GwSoA/edit#gid=0"",""Gestores Escolares!D7:J""),6,0),""VERIFICAR CÓD SEC"")"),"JOSE NELSON ALVES DA SILVA")</f>
        <v>JOSE NELSON ALVES DA SILVA</v>
      </c>
      <c r="P638" s="82" t="str">
        <f>IFERROR(__xludf.DUMMYFUNCTION("IFERROR(VLOOKUP(D638,
IMPORTRANGE(""https://docs.google.com/spreadsheets/d/1MjHtlUikwobi2MaWJgy7tfLeBmhj1u-dRFRs_8GwSoA/edit#gid=0"",""Gestores Escolares!D7:J""),7,0),""VERIFICAR CÓD SEC"")"),"(74) 9 8862-1210")</f>
        <v>(74) 9 8862-1210</v>
      </c>
      <c r="Q638" s="82" t="str">
        <f>IFERROR(__xludf.DUMMYFUNCTION("IFERROR(VLOOKUP(D638,
IMPORTRANGE(""https://docs.google.com/spreadsheets/d/1MjHtlUikwobi2MaWJgy7tfLeBmhj1u-dRFRs_8GwSoA/edit#gid=0"",""Gestores Escolares!D7:m""),9,0),""VERIFICAR CÓD SEC"")"),"JOSEMAR RODRIGUES SANTOS")</f>
        <v>JOSEMAR RODRIGUES SANTOS</v>
      </c>
      <c r="R638" s="82" t="str">
        <f>IFERROR(__xludf.DUMMYFUNCTION("IFERROR(VLOOKUP(D638,
IMPORTRANGE(""https://docs.google.com/spreadsheets/d/1MjHtlUikwobi2MaWJgy7tfLeBmhj1u-dRFRs_8GwSoA/edit#gid=0"",""Gestores Escolares!D7:m""),10,0),""VERIFICAR CÓD SEC"")"),"(74) 9 8832-3106")</f>
        <v>(74) 9 8832-3106</v>
      </c>
      <c r="S638" s="82"/>
      <c r="T638" s="138">
        <v>2.0</v>
      </c>
      <c r="U638" s="139">
        <v>2.0</v>
      </c>
      <c r="V638" s="106">
        <v>0.0</v>
      </c>
      <c r="W638" s="107">
        <v>0.0</v>
      </c>
      <c r="X638" s="107">
        <v>0.0</v>
      </c>
      <c r="Y638" s="107">
        <v>0.0</v>
      </c>
      <c r="Z638" s="80">
        <f t="shared" si="1"/>
        <v>0</v>
      </c>
      <c r="AA638" s="106">
        <v>0.0</v>
      </c>
      <c r="AB638" s="107">
        <v>0.0</v>
      </c>
      <c r="AC638" s="107">
        <v>0.0</v>
      </c>
      <c r="AD638" s="107">
        <v>0.0</v>
      </c>
      <c r="AE638" s="80">
        <f t="shared" si="2"/>
        <v>0</v>
      </c>
      <c r="AF638" s="140">
        <v>4.0</v>
      </c>
      <c r="AG638" s="109">
        <v>12.0</v>
      </c>
      <c r="AH638" s="109">
        <v>0.0</v>
      </c>
      <c r="AI638" s="141">
        <v>0.0</v>
      </c>
      <c r="AJ638" s="80">
        <f t="shared" si="3"/>
        <v>16</v>
      </c>
      <c r="AK638" s="140">
        <v>0.0</v>
      </c>
      <c r="AL638" s="109">
        <v>0.0</v>
      </c>
      <c r="AM638" s="141">
        <v>0.0</v>
      </c>
      <c r="AN638" s="80">
        <f t="shared" si="4"/>
        <v>0</v>
      </c>
      <c r="AO638" s="140">
        <v>0.0</v>
      </c>
      <c r="AP638" s="109">
        <v>0.0</v>
      </c>
      <c r="AQ638" s="109">
        <v>0.0</v>
      </c>
      <c r="AR638" s="80">
        <f t="shared" si="5"/>
        <v>0</v>
      </c>
      <c r="AS638" s="110">
        <v>0.0</v>
      </c>
      <c r="AT638" s="110">
        <v>0.0</v>
      </c>
      <c r="AU638" s="110">
        <v>0.0</v>
      </c>
      <c r="AV638" s="142">
        <v>0.0</v>
      </c>
      <c r="AW638" s="80">
        <f t="shared" si="6"/>
        <v>0</v>
      </c>
      <c r="AX638" s="113">
        <f t="shared" si="7"/>
        <v>16</v>
      </c>
      <c r="AY638" s="117">
        <f t="shared" si="8"/>
        <v>16</v>
      </c>
      <c r="AZ638" s="120">
        <f t="shared" si="9"/>
        <v>0</v>
      </c>
      <c r="BA638" s="115">
        <v>0.0</v>
      </c>
      <c r="BB638" s="89">
        <f t="shared" si="10"/>
        <v>16</v>
      </c>
      <c r="BC638" s="132" t="s">
        <v>178</v>
      </c>
      <c r="BD638" s="143" t="s">
        <v>227</v>
      </c>
      <c r="BE638" s="132" t="s">
        <v>178</v>
      </c>
      <c r="BF638" s="123"/>
      <c r="BG638" s="83">
        <v>1178665.0</v>
      </c>
      <c r="BH638" s="112"/>
      <c r="BI638" s="112">
        <v>2.0</v>
      </c>
      <c r="BJ638" s="98" t="s">
        <v>155</v>
      </c>
      <c r="BK638" s="99">
        <f t="shared" si="11"/>
        <v>0</v>
      </c>
      <c r="BL638" s="99">
        <f t="shared" si="12"/>
        <v>16</v>
      </c>
      <c r="BM638" s="99" t="str">
        <f>IFERROR(__xludf.DUMMYFUNCTION("IFERROR(VLOOKUP(BG638,IMPORTRANGE(""https://docs.google.com/spreadsheets/d/1juPI-Fb8LD0YtltB2mlGEnp_R3UVu1t3wSFPzgCyHXE/edit?gid=0#gid=0"",""GERAL!A2:C""),3,0),""-"")"),"-")</f>
        <v>-</v>
      </c>
    </row>
    <row r="639" ht="15.75" customHeight="1">
      <c r="A639" s="111" t="s">
        <v>796</v>
      </c>
      <c r="B639" s="83" t="s">
        <v>2205</v>
      </c>
      <c r="C639" s="83" t="s">
        <v>164</v>
      </c>
      <c r="D639" s="112">
        <v>1179111.0</v>
      </c>
      <c r="E639" s="83">
        <v>1179081.0</v>
      </c>
      <c r="F639" s="98">
        <v>2.9456509E7</v>
      </c>
      <c r="G639" s="114" t="s">
        <v>3048</v>
      </c>
      <c r="H639" s="91" t="s">
        <v>3049</v>
      </c>
      <c r="I639" s="136" t="s">
        <v>3050</v>
      </c>
      <c r="J639" s="83" t="s">
        <v>1936</v>
      </c>
      <c r="K639" s="83" t="s">
        <v>168</v>
      </c>
      <c r="L639" s="83" t="s">
        <v>169</v>
      </c>
      <c r="M639" s="82" t="str">
        <f>IFERROR(__xludf.DUMMYFUNCTION("IFERROR(VLOOKUP(D639,
IMPORTRANGE(""https://docs.google.com/spreadsheets/d/1MjHtlUikwobi2MaWJgy7tfLeBmhj1u-dRFRs_8GwSoA/edit#gid=0"",""Gestores Escolares!D7:J""),3,0),""VERIFICAR CÓD SEC"")"),"ADAILSON BARBOSA GOMES")</f>
        <v>ADAILSON BARBOSA GOMES</v>
      </c>
      <c r="N639" s="82" t="str">
        <f>IFERROR(__xludf.DUMMYFUNCTION("IFERROR(VLOOKUP(D639,
IMPORTRANGE(""https://docs.google.com/spreadsheets/d/1MjHtlUikwobi2MaWJgy7tfLeBmhj1u-dRFRs_8GwSoA/edit#gid=0"",""Gestores Escolares!D7:J""),4,0),""VERIFICAR CÓD SEC"")"),"(74) 9 8828-2249")</f>
        <v>(74) 9 8828-2249</v>
      </c>
      <c r="O639" s="82" t="str">
        <f>IFERROR(__xludf.DUMMYFUNCTION("IFERROR(VLOOKUP(D639,
IMPORTRANGE(""https://docs.google.com/spreadsheets/d/1MjHtlUikwobi2MaWJgy7tfLeBmhj1u-dRFRs_8GwSoA/edit#gid=0"",""Gestores Escolares!D7:J""),6,0),""VERIFICAR CÓD SEC"")"),"JOSE NELSON ALVES DA SILVA")</f>
        <v>JOSE NELSON ALVES DA SILVA</v>
      </c>
      <c r="P639" s="82" t="str">
        <f>IFERROR(__xludf.DUMMYFUNCTION("IFERROR(VLOOKUP(D639,
IMPORTRANGE(""https://docs.google.com/spreadsheets/d/1MjHtlUikwobi2MaWJgy7tfLeBmhj1u-dRFRs_8GwSoA/edit#gid=0"",""Gestores Escolares!D7:J""),7,0),""VERIFICAR CÓD SEC"")"),"(74) 9 8862-1210")</f>
        <v>(74) 9 8862-1210</v>
      </c>
      <c r="Q639" s="82" t="str">
        <f>IFERROR(__xludf.DUMMYFUNCTION("IFERROR(VLOOKUP(D639,
IMPORTRANGE(""https://docs.google.com/spreadsheets/d/1MjHtlUikwobi2MaWJgy7tfLeBmhj1u-dRFRs_8GwSoA/edit#gid=0"",""Gestores Escolares!D7:m""),9,0),""VERIFICAR CÓD SEC"")"),"JOSEMAR RODRIGUES SANTOS")</f>
        <v>JOSEMAR RODRIGUES SANTOS</v>
      </c>
      <c r="R639" s="82" t="str">
        <f>IFERROR(__xludf.DUMMYFUNCTION("IFERROR(VLOOKUP(D639,
IMPORTRANGE(""https://docs.google.com/spreadsheets/d/1MjHtlUikwobi2MaWJgy7tfLeBmhj1u-dRFRs_8GwSoA/edit#gid=0"",""Gestores Escolares!D7:m""),10,0),""VERIFICAR CÓD SEC"")"),"(74) 9 8832-3106")</f>
        <v>(74) 9 8832-3106</v>
      </c>
      <c r="S639" s="82"/>
      <c r="T639" s="138">
        <v>3.0</v>
      </c>
      <c r="U639" s="139">
        <v>3.0</v>
      </c>
      <c r="V639" s="106">
        <v>0.0</v>
      </c>
      <c r="W639" s="107">
        <v>0.0</v>
      </c>
      <c r="X639" s="107">
        <v>0.0</v>
      </c>
      <c r="Y639" s="107">
        <v>0.0</v>
      </c>
      <c r="Z639" s="80">
        <f t="shared" si="1"/>
        <v>0</v>
      </c>
      <c r="AA639" s="106">
        <v>0.0</v>
      </c>
      <c r="AB639" s="107">
        <v>0.0</v>
      </c>
      <c r="AC639" s="107">
        <v>0.0</v>
      </c>
      <c r="AD639" s="107">
        <v>0.0</v>
      </c>
      <c r="AE639" s="80">
        <f t="shared" si="2"/>
        <v>0</v>
      </c>
      <c r="AF639" s="140">
        <v>17.0</v>
      </c>
      <c r="AG639" s="109">
        <v>25.0</v>
      </c>
      <c r="AH639" s="109">
        <v>0.0</v>
      </c>
      <c r="AI639" s="141">
        <v>0.0</v>
      </c>
      <c r="AJ639" s="80">
        <f t="shared" si="3"/>
        <v>42</v>
      </c>
      <c r="AK639" s="140">
        <v>0.0</v>
      </c>
      <c r="AL639" s="109">
        <v>0.0</v>
      </c>
      <c r="AM639" s="141">
        <v>0.0</v>
      </c>
      <c r="AN639" s="80">
        <f t="shared" si="4"/>
        <v>0</v>
      </c>
      <c r="AO639" s="140">
        <v>0.0</v>
      </c>
      <c r="AP639" s="109">
        <v>0.0</v>
      </c>
      <c r="AQ639" s="109">
        <v>0.0</v>
      </c>
      <c r="AR639" s="80">
        <f t="shared" si="5"/>
        <v>0</v>
      </c>
      <c r="AS639" s="110">
        <v>0.0</v>
      </c>
      <c r="AT639" s="110">
        <v>0.0</v>
      </c>
      <c r="AU639" s="110">
        <v>0.0</v>
      </c>
      <c r="AV639" s="142">
        <v>0.0</v>
      </c>
      <c r="AW639" s="80">
        <f t="shared" si="6"/>
        <v>0</v>
      </c>
      <c r="AX639" s="113">
        <f t="shared" si="7"/>
        <v>42</v>
      </c>
      <c r="AY639" s="117">
        <f t="shared" si="8"/>
        <v>42</v>
      </c>
      <c r="AZ639" s="120">
        <f t="shared" si="9"/>
        <v>0</v>
      </c>
      <c r="BA639" s="115">
        <v>0.0</v>
      </c>
      <c r="BB639" s="89">
        <f t="shared" si="10"/>
        <v>42</v>
      </c>
      <c r="BC639" s="132" t="s">
        <v>178</v>
      </c>
      <c r="BD639" s="143" t="s">
        <v>227</v>
      </c>
      <c r="BE639" s="132" t="s">
        <v>178</v>
      </c>
      <c r="BF639" s="123"/>
      <c r="BG639" s="83">
        <v>1179081.0</v>
      </c>
      <c r="BH639" s="112"/>
      <c r="BI639" s="112">
        <v>3.0</v>
      </c>
      <c r="BJ639" s="98" t="s">
        <v>155</v>
      </c>
      <c r="BK639" s="99">
        <f t="shared" si="11"/>
        <v>0</v>
      </c>
      <c r="BL639" s="99">
        <f t="shared" si="12"/>
        <v>42</v>
      </c>
      <c r="BM639" s="99" t="str">
        <f>IFERROR(__xludf.DUMMYFUNCTION("IFERROR(VLOOKUP(BG639,IMPORTRANGE(""https://docs.google.com/spreadsheets/d/1juPI-Fb8LD0YtltB2mlGEnp_R3UVu1t3wSFPzgCyHXE/edit?gid=0#gid=0"",""GERAL!A2:C""),3,0),""-"")"),"-")</f>
        <v>-</v>
      </c>
    </row>
    <row r="640" ht="15.75" customHeight="1">
      <c r="A640" s="111" t="s">
        <v>796</v>
      </c>
      <c r="B640" s="83" t="s">
        <v>2205</v>
      </c>
      <c r="C640" s="83" t="s">
        <v>164</v>
      </c>
      <c r="D640" s="112">
        <v>1161638.0</v>
      </c>
      <c r="E640" s="83">
        <v>1179603.0</v>
      </c>
      <c r="F640" s="98">
        <v>2.948997E7</v>
      </c>
      <c r="G640" s="282" t="s">
        <v>3053</v>
      </c>
      <c r="H640" s="91" t="s">
        <v>3055</v>
      </c>
      <c r="I640" s="136" t="s">
        <v>3057</v>
      </c>
      <c r="J640" s="83" t="s">
        <v>727</v>
      </c>
      <c r="K640" s="83" t="s">
        <v>168</v>
      </c>
      <c r="L640" s="83" t="s">
        <v>169</v>
      </c>
      <c r="M640" s="82" t="str">
        <f>IFERROR(__xludf.DUMMYFUNCTION("IFERROR(VLOOKUP(D640,
IMPORTRANGE(""https://docs.google.com/spreadsheets/d/1MjHtlUikwobi2MaWJgy7tfLeBmhj1u-dRFRs_8GwSoA/edit#gid=0"",""Gestores Escolares!D7:J""),3,0),""VERIFICAR CÓD SEC"")"),"JOAO MENDES GOMES JUNIOR")</f>
        <v>JOAO MENDES GOMES JUNIOR</v>
      </c>
      <c r="N640" s="82" t="str">
        <f>IFERROR(__xludf.DUMMYFUNCTION("IFERROR(VLOOKUP(D640,
IMPORTRANGE(""https://docs.google.com/spreadsheets/d/1MjHtlUikwobi2MaWJgy7tfLeBmhj1u-dRFRs_8GwSoA/edit#gid=0"",""Gestores Escolares!D7:J""),4,0),""VERIFICAR CÓD SEC"")"),"(74) 9 8831-5191")</f>
        <v>(74) 9 8831-5191</v>
      </c>
      <c r="O640" s="82" t="str">
        <f>IFERROR(__xludf.DUMMYFUNCTION("IFERROR(VLOOKUP(D640,
IMPORTRANGE(""https://docs.google.com/spreadsheets/d/1MjHtlUikwobi2MaWJgy7tfLeBmhj1u-dRFRs_8GwSoA/edit#gid=0"",""Gestores Escolares!D7:J""),6,0),""VERIFICAR CÓD SEC"")"),"CLAUDETE DE ALMEIDA GAMA")</f>
        <v>CLAUDETE DE ALMEIDA GAMA</v>
      </c>
      <c r="P640" s="82" t="str">
        <f>IFERROR(__xludf.DUMMYFUNCTION("IFERROR(VLOOKUP(D640,
IMPORTRANGE(""https://docs.google.com/spreadsheets/d/1MjHtlUikwobi2MaWJgy7tfLeBmhj1u-dRFRs_8GwSoA/edit#gid=0"",""Gestores Escolares!D7:J""),7,0),""VERIFICAR CÓD SEC"")"),"(74) 9 9956-9401")</f>
        <v>(74) 9 9956-9401</v>
      </c>
      <c r="Q640" s="82" t="str">
        <f>IFERROR(__xludf.DUMMYFUNCTION("IFERROR(VLOOKUP(D640,
IMPORTRANGE(""https://docs.google.com/spreadsheets/d/1MjHtlUikwobi2MaWJgy7tfLeBmhj1u-dRFRs_8GwSoA/edit#gid=0"",""Gestores Escolares!D7:m""),9,0),""VERIFICAR CÓD SEC"")"),"SERGIO ROBERIO OLIVEIRA BATISTA")</f>
        <v>SERGIO ROBERIO OLIVEIRA BATISTA</v>
      </c>
      <c r="R640" s="82" t="str">
        <f>IFERROR(__xludf.DUMMYFUNCTION("IFERROR(VLOOKUP(D640,
IMPORTRANGE(""https://docs.google.com/spreadsheets/d/1MjHtlUikwobi2MaWJgy7tfLeBmhj1u-dRFRs_8GwSoA/edit#gid=0"",""Gestores Escolares!D7:m""),10,0),""VERIFICAR CÓD SEC"")"),"(74) 9 9956-1070")</f>
        <v>(74) 9 9956-1070</v>
      </c>
      <c r="S640" s="82"/>
      <c r="T640" s="138">
        <v>3.0</v>
      </c>
      <c r="U640" s="139">
        <v>3.0</v>
      </c>
      <c r="V640" s="106">
        <v>0.0</v>
      </c>
      <c r="W640" s="107">
        <v>0.0</v>
      </c>
      <c r="X640" s="107">
        <v>0.0</v>
      </c>
      <c r="Y640" s="107">
        <v>0.0</v>
      </c>
      <c r="Z640" s="80">
        <f t="shared" si="1"/>
        <v>0</v>
      </c>
      <c r="AA640" s="106">
        <v>0.0</v>
      </c>
      <c r="AB640" s="107">
        <v>0.0</v>
      </c>
      <c r="AC640" s="107">
        <v>0.0</v>
      </c>
      <c r="AD640" s="107">
        <v>0.0</v>
      </c>
      <c r="AE640" s="80">
        <f t="shared" si="2"/>
        <v>0</v>
      </c>
      <c r="AF640" s="140">
        <v>0.0</v>
      </c>
      <c r="AG640" s="109">
        <v>25.0</v>
      </c>
      <c r="AH640" s="109">
        <v>0.0</v>
      </c>
      <c r="AI640" s="141">
        <v>0.0</v>
      </c>
      <c r="AJ640" s="80">
        <f t="shared" si="3"/>
        <v>25</v>
      </c>
      <c r="AK640" s="140">
        <v>0.0</v>
      </c>
      <c r="AL640" s="109">
        <v>0.0</v>
      </c>
      <c r="AM640" s="141">
        <v>0.0</v>
      </c>
      <c r="AN640" s="80">
        <f t="shared" si="4"/>
        <v>0</v>
      </c>
      <c r="AO640" s="140">
        <v>0.0</v>
      </c>
      <c r="AP640" s="109">
        <v>0.0</v>
      </c>
      <c r="AQ640" s="109">
        <v>0.0</v>
      </c>
      <c r="AR640" s="80">
        <f t="shared" si="5"/>
        <v>0</v>
      </c>
      <c r="AS640" s="110">
        <v>0.0</v>
      </c>
      <c r="AT640" s="110">
        <v>0.0</v>
      </c>
      <c r="AU640" s="110">
        <v>0.0</v>
      </c>
      <c r="AV640" s="142">
        <v>0.0</v>
      </c>
      <c r="AW640" s="80">
        <f t="shared" si="6"/>
        <v>0</v>
      </c>
      <c r="AX640" s="113">
        <f t="shared" si="7"/>
        <v>25</v>
      </c>
      <c r="AY640" s="117">
        <f t="shared" si="8"/>
        <v>25</v>
      </c>
      <c r="AZ640" s="120">
        <f t="shared" si="9"/>
        <v>0</v>
      </c>
      <c r="BA640" s="115">
        <v>0.0</v>
      </c>
      <c r="BB640" s="89">
        <f t="shared" si="10"/>
        <v>25</v>
      </c>
      <c r="BC640" s="132" t="s">
        <v>373</v>
      </c>
      <c r="BD640" s="132" t="s">
        <v>178</v>
      </c>
      <c r="BE640" s="132" t="s">
        <v>178</v>
      </c>
      <c r="BF640" s="235" t="s">
        <v>7403</v>
      </c>
      <c r="BG640" s="83">
        <v>1179603.0</v>
      </c>
      <c r="BH640" s="112"/>
      <c r="BI640" s="112">
        <v>3.0</v>
      </c>
      <c r="BJ640" s="98" t="s">
        <v>155</v>
      </c>
      <c r="BK640" s="99">
        <f t="shared" si="11"/>
        <v>0</v>
      </c>
      <c r="BL640" s="99">
        <f t="shared" si="12"/>
        <v>25</v>
      </c>
      <c r="BM640" s="99" t="str">
        <f>IFERROR(__xludf.DUMMYFUNCTION("IFERROR(VLOOKUP(BG640,IMPORTRANGE(""https://docs.google.com/spreadsheets/d/1juPI-Fb8LD0YtltB2mlGEnp_R3UVu1t3wSFPzgCyHXE/edit?gid=0#gid=0"",""GERAL!A2:C""),3,0),""-"")"),"CAMPO")</f>
        <v>CAMPO</v>
      </c>
    </row>
    <row r="641" ht="15.75" customHeight="1">
      <c r="A641" s="111" t="s">
        <v>796</v>
      </c>
      <c r="B641" s="83" t="s">
        <v>2087</v>
      </c>
      <c r="C641" s="83" t="s">
        <v>68</v>
      </c>
      <c r="D641" s="208">
        <v>1120915.0</v>
      </c>
      <c r="E641" s="83"/>
      <c r="F641" s="83">
        <v>2.9024579E7</v>
      </c>
      <c r="G641" s="114" t="s">
        <v>3060</v>
      </c>
      <c r="H641" s="91" t="s">
        <v>3061</v>
      </c>
      <c r="I641" s="83" t="s">
        <v>3062</v>
      </c>
      <c r="J641" s="83" t="s">
        <v>150</v>
      </c>
      <c r="K641" s="83" t="s">
        <v>151</v>
      </c>
      <c r="L641" s="82" t="s">
        <v>152</v>
      </c>
      <c r="M641" s="82" t="str">
        <f>IFERROR(__xludf.DUMMYFUNCTION("IFERROR(VLOOKUP(D641,
IMPORTRANGE(""https://docs.google.com/spreadsheets/d/1MjHtlUikwobi2MaWJgy7tfLeBmhj1u-dRFRs_8GwSoA/edit#gid=0"",""Gestores Escolares!D7:J""),3,0),""VERIFICAR CÓD SEC"")"),"ANA RAQUEL ALVES CONCEICAO")</f>
        <v>ANA RAQUEL ALVES CONCEICAO</v>
      </c>
      <c r="N641" s="82" t="str">
        <f>IFERROR(__xludf.DUMMYFUNCTION("IFERROR(VLOOKUP(D641,
IMPORTRANGE(""https://docs.google.com/spreadsheets/d/1MjHtlUikwobi2MaWJgy7tfLeBmhj1u-dRFRs_8GwSoA/edit#gid=0"",""Gestores Escolares!D7:J""),4,0),""VERIFICAR CÓD SEC"")"),"(74) 9 9999-1029")</f>
        <v>(74) 9 9999-1029</v>
      </c>
      <c r="O641" s="82" t="str">
        <f>IFERROR(__xludf.DUMMYFUNCTION("IFERROR(VLOOKUP(D641,
IMPORTRANGE(""https://docs.google.com/spreadsheets/d/1MjHtlUikwobi2MaWJgy7tfLeBmhj1u-dRFRs_8GwSoA/edit#gid=0"",""Gestores Escolares!D7:J""),6,0),""VERIFICAR CÓD SEC"")"),"EDILSON ALVES DE SOUZA")</f>
        <v>EDILSON ALVES DE SOUZA</v>
      </c>
      <c r="P641" s="82" t="str">
        <f>IFERROR(__xludf.DUMMYFUNCTION("IFERROR(VLOOKUP(D641,
IMPORTRANGE(""https://docs.google.com/spreadsheets/d/1MjHtlUikwobi2MaWJgy7tfLeBmhj1u-dRFRs_8GwSoA/edit#gid=0"",""Gestores Escolares!D7:J""),7,0),""VERIFICAR CÓD SEC"")"),"(74) 9 8854-4719")</f>
        <v>(74) 9 8854-4719</v>
      </c>
      <c r="Q641" s="82" t="str">
        <f>IFERROR(__xludf.DUMMYFUNCTION("IFERROR(VLOOKUP(D641,
IMPORTRANGE(""https://docs.google.com/spreadsheets/d/1MjHtlUikwobi2MaWJgy7tfLeBmhj1u-dRFRs_8GwSoA/edit#gid=0"",""Gestores Escolares!D7:m""),9,0),""VERIFICAR CÓD SEC"")"),"MOEMA SANDYA MANICOBA SA")</f>
        <v>MOEMA SANDYA MANICOBA SA</v>
      </c>
      <c r="R641" s="82" t="str">
        <f>IFERROR(__xludf.DUMMYFUNCTION("IFERROR(VLOOKUP(D641,
IMPORTRANGE(""https://docs.google.com/spreadsheets/d/1MjHtlUikwobi2MaWJgy7tfLeBmhj1u-dRFRs_8GwSoA/edit#gid=0"",""Gestores Escolares!D7:m""),10,0),""VERIFICAR CÓD SEC"")"),"(87) 9 9621-5940")</f>
        <v>(87) 9 9621-5940</v>
      </c>
      <c r="S641" s="82"/>
      <c r="T641" s="138">
        <v>23.0</v>
      </c>
      <c r="U641" s="217">
        <v>22.0</v>
      </c>
      <c r="V641" s="106">
        <v>0.0</v>
      </c>
      <c r="W641" s="107">
        <v>0.0</v>
      </c>
      <c r="X641" s="107">
        <v>0.0</v>
      </c>
      <c r="Y641" s="107">
        <v>0.0</v>
      </c>
      <c r="Z641" s="80">
        <f t="shared" si="1"/>
        <v>0</v>
      </c>
      <c r="AA641" s="106">
        <v>0.0</v>
      </c>
      <c r="AB641" s="107">
        <v>0.0</v>
      </c>
      <c r="AC641" s="107">
        <v>0.0</v>
      </c>
      <c r="AD641" s="107">
        <v>425.0</v>
      </c>
      <c r="AE641" s="80">
        <f t="shared" si="2"/>
        <v>425</v>
      </c>
      <c r="AF641" s="140">
        <v>0.0</v>
      </c>
      <c r="AG641" s="109">
        <v>0.0</v>
      </c>
      <c r="AH641" s="109">
        <v>0.0</v>
      </c>
      <c r="AI641" s="141">
        <v>244.0</v>
      </c>
      <c r="AJ641" s="80">
        <f t="shared" si="3"/>
        <v>244</v>
      </c>
      <c r="AK641" s="140">
        <v>0.0</v>
      </c>
      <c r="AL641" s="109">
        <v>0.0</v>
      </c>
      <c r="AM641" s="141">
        <v>0.0</v>
      </c>
      <c r="AN641" s="80">
        <f t="shared" si="4"/>
        <v>0</v>
      </c>
      <c r="AO641" s="140">
        <v>0.0</v>
      </c>
      <c r="AP641" s="109">
        <v>0.0</v>
      </c>
      <c r="AQ641" s="109">
        <v>37.0</v>
      </c>
      <c r="AR641" s="80">
        <f t="shared" si="5"/>
        <v>37</v>
      </c>
      <c r="AS641" s="110">
        <v>0.0</v>
      </c>
      <c r="AT641" s="110">
        <v>0.0</v>
      </c>
      <c r="AU641" s="110">
        <v>0.0</v>
      </c>
      <c r="AV641" s="142">
        <v>0.0</v>
      </c>
      <c r="AW641" s="80">
        <f t="shared" si="6"/>
        <v>0</v>
      </c>
      <c r="AX641" s="113">
        <f t="shared" si="7"/>
        <v>706</v>
      </c>
      <c r="AY641" s="117">
        <f t="shared" si="8"/>
        <v>669</v>
      </c>
      <c r="AZ641" s="120">
        <f t="shared" si="9"/>
        <v>37</v>
      </c>
      <c r="BA641" s="115">
        <v>0.0</v>
      </c>
      <c r="BB641" s="89">
        <f t="shared" si="10"/>
        <v>706</v>
      </c>
      <c r="BC641" s="132" t="s">
        <v>178</v>
      </c>
      <c r="BD641" s="132" t="s">
        <v>5473</v>
      </c>
      <c r="BE641" s="132" t="s">
        <v>178</v>
      </c>
      <c r="BF641" s="123"/>
      <c r="BG641" s="83">
        <v>1120915.0</v>
      </c>
      <c r="BH641" s="112"/>
      <c r="BI641" s="112">
        <v>20.0</v>
      </c>
      <c r="BJ641" s="98" t="s">
        <v>284</v>
      </c>
      <c r="BK641" s="99">
        <f t="shared" si="11"/>
        <v>669</v>
      </c>
      <c r="BL641" s="99">
        <f t="shared" si="12"/>
        <v>0</v>
      </c>
      <c r="BM641" s="99" t="str">
        <f>IFERROR(__xludf.DUMMYFUNCTION("IFERROR(VLOOKUP(BG641,IMPORTRANGE(""https://docs.google.com/spreadsheets/d/1juPI-Fb8LD0YtltB2mlGEnp_R3UVu1t3wSFPzgCyHXE/edit?gid=0#gid=0"",""GERAL!A2:C""),3,0),""-"")"),"-")</f>
        <v>-</v>
      </c>
    </row>
    <row r="642" ht="15.75" customHeight="1">
      <c r="A642" s="111" t="s">
        <v>796</v>
      </c>
      <c r="B642" s="83" t="s">
        <v>2087</v>
      </c>
      <c r="C642" s="83" t="s">
        <v>68</v>
      </c>
      <c r="D642" s="112">
        <v>1176428.0</v>
      </c>
      <c r="E642" s="83"/>
      <c r="F642" s="83">
        <v>2.9390737E7</v>
      </c>
      <c r="G642" s="365" t="s">
        <v>3069</v>
      </c>
      <c r="H642" s="91" t="s">
        <v>3070</v>
      </c>
      <c r="I642" s="83" t="s">
        <v>3071</v>
      </c>
      <c r="J642" s="83" t="s">
        <v>150</v>
      </c>
      <c r="K642" s="83" t="s">
        <v>151</v>
      </c>
      <c r="L642" s="83" t="s">
        <v>230</v>
      </c>
      <c r="M642" s="82" t="str">
        <f>IFERROR(__xludf.DUMMYFUNCTION("IFERROR(VLOOKUP(D642,
IMPORTRANGE(""https://docs.google.com/spreadsheets/d/1MjHtlUikwobi2MaWJgy7tfLeBmhj1u-dRFRs_8GwSoA/edit#gid=0"",""Gestores Escolares!D7:J""),3,0),""VERIFICAR CÓD SEC"")"),"DINOELMA DA SILVA MOURA")</f>
        <v>DINOELMA DA SILVA MOURA</v>
      </c>
      <c r="N642" s="82" t="str">
        <f>IFERROR(__xludf.DUMMYFUNCTION("IFERROR(VLOOKUP(D642,
IMPORTRANGE(""https://docs.google.com/spreadsheets/d/1MjHtlUikwobi2MaWJgy7tfLeBmhj1u-dRFRs_8GwSoA/edit#gid=0"",""Gestores Escolares!D7:J""),4,0),""VERIFICAR CÓD SEC"")"),"(74) 9 9996-5030")</f>
        <v>(74) 9 9996-5030</v>
      </c>
      <c r="O642" s="82" t="str">
        <f>IFERROR(__xludf.DUMMYFUNCTION("IFERROR(VLOOKUP(D642,
IMPORTRANGE(""https://docs.google.com/spreadsheets/d/1MjHtlUikwobi2MaWJgy7tfLeBmhj1u-dRFRs_8GwSoA/edit#gid=0"",""Gestores Escolares!D7:J""),6,0),""VERIFICAR CÓD SEC"")"),"LUZENAIDE GONÇALVES DA CUNHA ")</f>
        <v>LUZENAIDE GONÇALVES DA CUNHA </v>
      </c>
      <c r="P642" s="82" t="str">
        <f>IFERROR(__xludf.DUMMYFUNCTION("IFERROR(VLOOKUP(D642,
IMPORTRANGE(""https://docs.google.com/spreadsheets/d/1MjHtlUikwobi2MaWJgy7tfLeBmhj1u-dRFRs_8GwSoA/edit#gid=0"",""Gestores Escolares!D7:J""),7,0),""VERIFICAR CÓD SEC"")"),"(74) 9 8832-5094")</f>
        <v>(74) 9 8832-5094</v>
      </c>
      <c r="Q642" s="82" t="str">
        <f>IFERROR(__xludf.DUMMYFUNCTION("IFERROR(VLOOKUP(D642,
IMPORTRANGE(""https://docs.google.com/spreadsheets/d/1MjHtlUikwobi2MaWJgy7tfLeBmhj1u-dRFRs_8GwSoA/edit#gid=0"",""Gestores Escolares!D7:m""),9,0),""VERIFICAR CÓD SEC"")"),"ITALO DA SILVA OLIVEIRA")</f>
        <v>ITALO DA SILVA OLIVEIRA</v>
      </c>
      <c r="R642" s="82" t="str">
        <f>IFERROR(__xludf.DUMMYFUNCTION("IFERROR(VLOOKUP(D642,
IMPORTRANGE(""https://docs.google.com/spreadsheets/d/1MjHtlUikwobi2MaWJgy7tfLeBmhj1u-dRFRs_8GwSoA/edit#gid=0"",""Gestores Escolares!D7:m""),10,0),""VERIFICAR CÓD SEC"")"),"(74) 9 8802-5107")</f>
        <v>(74) 9 8802-5107</v>
      </c>
      <c r="S642" s="82"/>
      <c r="T642" s="138">
        <v>18.0</v>
      </c>
      <c r="U642" s="217">
        <v>20.0</v>
      </c>
      <c r="V642" s="106">
        <v>0.0</v>
      </c>
      <c r="W642" s="107">
        <v>0.0</v>
      </c>
      <c r="X642" s="107">
        <v>0.0</v>
      </c>
      <c r="Y642" s="107">
        <v>0.0</v>
      </c>
      <c r="Z642" s="80">
        <f t="shared" si="1"/>
        <v>0</v>
      </c>
      <c r="AA642" s="106">
        <v>0.0</v>
      </c>
      <c r="AB642" s="107">
        <v>0.0</v>
      </c>
      <c r="AC642" s="107">
        <v>0.0</v>
      </c>
      <c r="AD642" s="107">
        <v>0.0</v>
      </c>
      <c r="AE642" s="80">
        <f t="shared" si="2"/>
        <v>0</v>
      </c>
      <c r="AF642" s="140">
        <v>200.0</v>
      </c>
      <c r="AG642" s="109">
        <v>198.0</v>
      </c>
      <c r="AH642" s="109">
        <v>0.0</v>
      </c>
      <c r="AI642" s="141">
        <v>482.0</v>
      </c>
      <c r="AJ642" s="80">
        <f t="shared" si="3"/>
        <v>880</v>
      </c>
      <c r="AK642" s="140">
        <v>0.0</v>
      </c>
      <c r="AL642" s="109">
        <v>0.0</v>
      </c>
      <c r="AM642" s="141">
        <v>0.0</v>
      </c>
      <c r="AN642" s="80">
        <f t="shared" si="4"/>
        <v>0</v>
      </c>
      <c r="AO642" s="140">
        <v>0.0</v>
      </c>
      <c r="AP642" s="109">
        <v>0.0</v>
      </c>
      <c r="AQ642" s="109">
        <v>0.0</v>
      </c>
      <c r="AR642" s="80">
        <f t="shared" si="5"/>
        <v>0</v>
      </c>
      <c r="AS642" s="110">
        <v>0.0</v>
      </c>
      <c r="AT642" s="110">
        <v>0.0</v>
      </c>
      <c r="AU642" s="110">
        <v>0.0</v>
      </c>
      <c r="AV642" s="142">
        <v>0.0</v>
      </c>
      <c r="AW642" s="80">
        <f t="shared" si="6"/>
        <v>0</v>
      </c>
      <c r="AX642" s="113">
        <f t="shared" si="7"/>
        <v>880</v>
      </c>
      <c r="AY642" s="117">
        <f t="shared" si="8"/>
        <v>880</v>
      </c>
      <c r="AZ642" s="120">
        <f t="shared" si="9"/>
        <v>0</v>
      </c>
      <c r="BA642" s="115">
        <v>0.0</v>
      </c>
      <c r="BB642" s="89">
        <f t="shared" si="10"/>
        <v>880</v>
      </c>
      <c r="BC642" s="132" t="s">
        <v>178</v>
      </c>
      <c r="BD642" s="132" t="s">
        <v>178</v>
      </c>
      <c r="BE642" s="132" t="s">
        <v>178</v>
      </c>
      <c r="BF642" s="156"/>
      <c r="BG642" s="83">
        <v>1176428.0</v>
      </c>
      <c r="BH642" s="112"/>
      <c r="BI642" s="112">
        <v>18.0</v>
      </c>
      <c r="BJ642" s="98" t="s">
        <v>284</v>
      </c>
      <c r="BK642" s="99">
        <f t="shared" si="11"/>
        <v>482</v>
      </c>
      <c r="BL642" s="99">
        <f t="shared" si="12"/>
        <v>398</v>
      </c>
      <c r="BM642" s="99" t="str">
        <f>IFERROR(__xludf.DUMMYFUNCTION("IFERROR(VLOOKUP(BG642,IMPORTRANGE(""https://docs.google.com/spreadsheets/d/1juPI-Fb8LD0YtltB2mlGEnp_R3UVu1t3wSFPzgCyHXE/edit?gid=0#gid=0"",""GERAL!A2:C""),3,0),""-"")"),"-")</f>
        <v>-</v>
      </c>
    </row>
    <row r="643" ht="15.75" customHeight="1">
      <c r="A643" s="111" t="s">
        <v>796</v>
      </c>
      <c r="B643" s="83" t="s">
        <v>2087</v>
      </c>
      <c r="C643" s="83" t="s">
        <v>68</v>
      </c>
      <c r="D643" s="112">
        <v>1120893.0</v>
      </c>
      <c r="E643" s="83"/>
      <c r="F643" s="83">
        <v>2.9025001E7</v>
      </c>
      <c r="G643" s="114" t="s">
        <v>3073</v>
      </c>
      <c r="H643" s="91" t="s">
        <v>3074</v>
      </c>
      <c r="I643" s="83" t="s">
        <v>614</v>
      </c>
      <c r="J643" s="83" t="s">
        <v>150</v>
      </c>
      <c r="K643" s="83" t="s">
        <v>168</v>
      </c>
      <c r="L643" s="83" t="s">
        <v>152</v>
      </c>
      <c r="M643" s="82" t="str">
        <f>IFERROR(__xludf.DUMMYFUNCTION("IFERROR(VLOOKUP(D643,
IMPORTRANGE(""https://docs.google.com/spreadsheets/d/1MjHtlUikwobi2MaWJgy7tfLeBmhj1u-dRFRs_8GwSoA/edit#gid=0"",""Gestores Escolares!D7:J""),3,0),""VERIFICAR CÓD SEC"")"),"MARIA PERPETUA DA SILVA SANTOS")</f>
        <v>MARIA PERPETUA DA SILVA SANTOS</v>
      </c>
      <c r="N643" s="82" t="str">
        <f>IFERROR(__xludf.DUMMYFUNCTION("IFERROR(VLOOKUP(D643,
IMPORTRANGE(""https://docs.google.com/spreadsheets/d/1MjHtlUikwobi2MaWJgy7tfLeBmhj1u-dRFRs_8GwSoA/edit#gid=0"",""Gestores Escolares!D7:J""),4,0),""VERIFICAR CÓD SEC"")"),"(74) 9 8801-7607")</f>
        <v>(74) 9 8801-7607</v>
      </c>
      <c r="O643" s="82" t="str">
        <f>IFERROR(__xludf.DUMMYFUNCTION("IFERROR(VLOOKUP(D643,
IMPORTRANGE(""https://docs.google.com/spreadsheets/d/1MjHtlUikwobi2MaWJgy7tfLeBmhj1u-dRFRs_8GwSoA/edit#gid=0"",""Gestores Escolares!D7:J""),6,0),""VERIFICAR CÓD SEC"")"),"TERCIANNE SENTO SE DE SOUZA BRITO")</f>
        <v>TERCIANNE SENTO SE DE SOUZA BRITO</v>
      </c>
      <c r="P643" s="82" t="str">
        <f>IFERROR(__xludf.DUMMYFUNCTION("IFERROR(VLOOKUP(D643,
IMPORTRANGE(""https://docs.google.com/spreadsheets/d/1MjHtlUikwobi2MaWJgy7tfLeBmhj1u-dRFRs_8GwSoA/edit#gid=0"",""Gestores Escolares!D7:J""),7,0),""VERIFICAR CÓD SEC"")"),"(87) 9 8162-7030")</f>
        <v>(87) 9 8162-7030</v>
      </c>
      <c r="Q643" s="82" t="str">
        <f>IFERROR(__xludf.DUMMYFUNCTION("IFERROR(VLOOKUP(D643,
IMPORTRANGE(""https://docs.google.com/spreadsheets/d/1MjHtlUikwobi2MaWJgy7tfLeBmhj1u-dRFRs_8GwSoA/edit#gid=0"",""Gestores Escolares!D7:m""),9,0),""VERIFICAR CÓD SEC"")"),"")</f>
        <v/>
      </c>
      <c r="R643" s="82" t="str">
        <f>IFERROR(__xludf.DUMMYFUNCTION("IFERROR(VLOOKUP(D643,
IMPORTRANGE(""https://docs.google.com/spreadsheets/d/1MjHtlUikwobi2MaWJgy7tfLeBmhj1u-dRFRs_8GwSoA/edit#gid=0"",""Gestores Escolares!D7:m""),10,0),""VERIFICAR CÓD SEC"")"),"")</f>
        <v/>
      </c>
      <c r="S643" s="82"/>
      <c r="T643" s="138">
        <v>8.0</v>
      </c>
      <c r="U643" s="217">
        <v>9.0</v>
      </c>
      <c r="V643" s="106">
        <v>0.0</v>
      </c>
      <c r="W643" s="107">
        <v>0.0</v>
      </c>
      <c r="X643" s="107">
        <v>0.0</v>
      </c>
      <c r="Y643" s="107">
        <v>0.0</v>
      </c>
      <c r="Z643" s="80">
        <f t="shared" si="1"/>
        <v>0</v>
      </c>
      <c r="AA643" s="106">
        <v>253.0</v>
      </c>
      <c r="AB643" s="107">
        <v>150.0</v>
      </c>
      <c r="AC643" s="107">
        <v>0.0</v>
      </c>
      <c r="AD643" s="107">
        <v>0.0</v>
      </c>
      <c r="AE643" s="80">
        <f t="shared" si="2"/>
        <v>403</v>
      </c>
      <c r="AF643" s="140">
        <v>0.0</v>
      </c>
      <c r="AG643" s="109">
        <v>0.0</v>
      </c>
      <c r="AH643" s="109">
        <v>0.0</v>
      </c>
      <c r="AI643" s="141">
        <v>0.0</v>
      </c>
      <c r="AJ643" s="80">
        <f t="shared" si="3"/>
        <v>0</v>
      </c>
      <c r="AK643" s="140">
        <v>0.0</v>
      </c>
      <c r="AL643" s="109">
        <v>0.0</v>
      </c>
      <c r="AM643" s="141">
        <v>0.0</v>
      </c>
      <c r="AN643" s="80">
        <f t="shared" si="4"/>
        <v>0</v>
      </c>
      <c r="AO643" s="140">
        <v>0.0</v>
      </c>
      <c r="AP643" s="109">
        <v>0.0</v>
      </c>
      <c r="AQ643" s="109">
        <v>0.0</v>
      </c>
      <c r="AR643" s="80">
        <f t="shared" si="5"/>
        <v>0</v>
      </c>
      <c r="AS643" s="110">
        <v>0.0</v>
      </c>
      <c r="AT643" s="110">
        <v>0.0</v>
      </c>
      <c r="AU643" s="110">
        <v>0.0</v>
      </c>
      <c r="AV643" s="142">
        <v>0.0</v>
      </c>
      <c r="AW643" s="80">
        <f t="shared" si="6"/>
        <v>0</v>
      </c>
      <c r="AX643" s="113">
        <f t="shared" si="7"/>
        <v>403</v>
      </c>
      <c r="AY643" s="117">
        <f t="shared" si="8"/>
        <v>403</v>
      </c>
      <c r="AZ643" s="120">
        <f t="shared" si="9"/>
        <v>0</v>
      </c>
      <c r="BA643" s="115">
        <v>0.0</v>
      </c>
      <c r="BB643" s="89">
        <f t="shared" si="10"/>
        <v>403</v>
      </c>
      <c r="BC643" s="132" t="s">
        <v>178</v>
      </c>
      <c r="BD643" s="132" t="s">
        <v>178</v>
      </c>
      <c r="BE643" s="132" t="s">
        <v>178</v>
      </c>
      <c r="BF643" s="123"/>
      <c r="BG643" s="83">
        <v>1120893.0</v>
      </c>
      <c r="BH643" s="112"/>
      <c r="BI643" s="112">
        <v>8.0</v>
      </c>
      <c r="BJ643" s="98" t="s">
        <v>155</v>
      </c>
      <c r="BK643" s="99">
        <f t="shared" si="11"/>
        <v>0</v>
      </c>
      <c r="BL643" s="99">
        <f t="shared" si="12"/>
        <v>403</v>
      </c>
      <c r="BM643" s="99" t="str">
        <f>IFERROR(__xludf.DUMMYFUNCTION("IFERROR(VLOOKUP(BG643,IMPORTRANGE(""https://docs.google.com/spreadsheets/d/1juPI-Fb8LD0YtltB2mlGEnp_R3UVu1t3wSFPzgCyHXE/edit?gid=0#gid=0"",""GERAL!A2:C""),3,0),""-"")"),"-")</f>
        <v>-</v>
      </c>
    </row>
    <row r="644" ht="15.75" customHeight="1">
      <c r="A644" s="111" t="s">
        <v>796</v>
      </c>
      <c r="B644" s="83" t="s">
        <v>2087</v>
      </c>
      <c r="C644" s="83" t="s">
        <v>68</v>
      </c>
      <c r="D644" s="112">
        <v>1120524.0</v>
      </c>
      <c r="E644" s="83"/>
      <c r="F644" s="83">
        <v>2.9025052E7</v>
      </c>
      <c r="G644" s="114" t="s">
        <v>3076</v>
      </c>
      <c r="H644" s="91" t="s">
        <v>3077</v>
      </c>
      <c r="I644" s="83" t="s">
        <v>149</v>
      </c>
      <c r="J644" s="83" t="s">
        <v>150</v>
      </c>
      <c r="K644" s="83" t="s">
        <v>151</v>
      </c>
      <c r="L644" s="83" t="s">
        <v>76</v>
      </c>
      <c r="M644" s="82" t="str">
        <f>IFERROR(__xludf.DUMMYFUNCTION("IFERROR(VLOOKUP(D644,
IMPORTRANGE(""https://docs.google.com/spreadsheets/d/1MjHtlUikwobi2MaWJgy7tfLeBmhj1u-dRFRs_8GwSoA/edit#gid=0"",""Gestores Escolares!D7:J""),3,0),""VERIFICAR CÓD SEC"")"),"RENATA LIMA MARTINS")</f>
        <v>RENATA LIMA MARTINS</v>
      </c>
      <c r="N644" s="82" t="str">
        <f>IFERROR(__xludf.DUMMYFUNCTION("IFERROR(VLOOKUP(D644,
IMPORTRANGE(""https://docs.google.com/spreadsheets/d/1MjHtlUikwobi2MaWJgy7tfLeBmhj1u-dRFRs_8GwSoA/edit#gid=0"",""Gestores Escolares!D7:J""),4,0),""VERIFICAR CÓD SEC"")"),"(74) 9 9999-1509")</f>
        <v>(74) 9 9999-1509</v>
      </c>
      <c r="O644" s="82" t="str">
        <f>IFERROR(__xludf.DUMMYFUNCTION("IFERROR(VLOOKUP(D644,
IMPORTRANGE(""https://docs.google.com/spreadsheets/d/1MjHtlUikwobi2MaWJgy7tfLeBmhj1u-dRFRs_8GwSoA/edit#gid=0"",""Gestores Escolares!D7:J""),6,0),""VERIFICAR CÓD SEC"")"),"EDLEUSA FERREIRA DOS SANTOS")</f>
        <v>EDLEUSA FERREIRA DOS SANTOS</v>
      </c>
      <c r="P644" s="82" t="str">
        <f>IFERROR(__xludf.DUMMYFUNCTION("IFERROR(VLOOKUP(D644,
IMPORTRANGE(""https://docs.google.com/spreadsheets/d/1MjHtlUikwobi2MaWJgy7tfLeBmhj1u-dRFRs_8GwSoA/edit#gid=0"",""Gestores Escolares!D7:J""),7,0),""VERIFICAR CÓD SEC"")"),"(74) 9 8804-3686/
(87) 9 8828-6278")</f>
        <v>(74) 9 8804-3686/
(87) 9 8828-6278</v>
      </c>
      <c r="Q644" s="82" t="str">
        <f>IFERROR(__xludf.DUMMYFUNCTION("IFERROR(VLOOKUP(D644,
IMPORTRANGE(""https://docs.google.com/spreadsheets/d/1MjHtlUikwobi2MaWJgy7tfLeBmhj1u-dRFRs_8GwSoA/edit#gid=0"",""Gestores Escolares!D7:m""),9,0),""VERIFICAR CÓD SEC"")"),"")</f>
        <v/>
      </c>
      <c r="R644" s="82" t="str">
        <f>IFERROR(__xludf.DUMMYFUNCTION("IFERROR(VLOOKUP(D644,
IMPORTRANGE(""https://docs.google.com/spreadsheets/d/1MjHtlUikwobi2MaWJgy7tfLeBmhj1u-dRFRs_8GwSoA/edit#gid=0"",""Gestores Escolares!D7:m""),10,0),""VERIFICAR CÓD SEC"")"),"")</f>
        <v/>
      </c>
      <c r="S644" s="82"/>
      <c r="T644" s="138">
        <v>9.0</v>
      </c>
      <c r="U644" s="217" t="s">
        <v>9366</v>
      </c>
      <c r="V644" s="106">
        <v>0.0</v>
      </c>
      <c r="W644" s="107">
        <v>0.0</v>
      </c>
      <c r="X644" s="107">
        <v>0.0</v>
      </c>
      <c r="Y644" s="107">
        <v>0.0</v>
      </c>
      <c r="Z644" s="80">
        <f t="shared" si="1"/>
        <v>0</v>
      </c>
      <c r="AA644" s="106">
        <v>197.0</v>
      </c>
      <c r="AB644" s="107">
        <v>97.0</v>
      </c>
      <c r="AC644" s="107">
        <v>0.0</v>
      </c>
      <c r="AD644" s="107">
        <v>0.0</v>
      </c>
      <c r="AE644" s="80">
        <f t="shared" si="2"/>
        <v>294</v>
      </c>
      <c r="AF644" s="140">
        <v>129.0</v>
      </c>
      <c r="AG644" s="109">
        <v>0.0</v>
      </c>
      <c r="AH644" s="109">
        <v>0.0</v>
      </c>
      <c r="AI644" s="141">
        <v>0.0</v>
      </c>
      <c r="AJ644" s="80">
        <f t="shared" si="3"/>
        <v>129</v>
      </c>
      <c r="AK644" s="140">
        <v>0.0</v>
      </c>
      <c r="AL644" s="109">
        <v>0.0</v>
      </c>
      <c r="AM644" s="141">
        <v>0.0</v>
      </c>
      <c r="AN644" s="80">
        <f t="shared" si="4"/>
        <v>0</v>
      </c>
      <c r="AO644" s="140">
        <v>0.0</v>
      </c>
      <c r="AP644" s="109">
        <v>0.0</v>
      </c>
      <c r="AQ644" s="109">
        <v>36.0</v>
      </c>
      <c r="AR644" s="80">
        <f t="shared" si="5"/>
        <v>36</v>
      </c>
      <c r="AS644" s="110">
        <v>0.0</v>
      </c>
      <c r="AT644" s="110">
        <v>0.0</v>
      </c>
      <c r="AU644" s="110">
        <v>0.0</v>
      </c>
      <c r="AV644" s="142">
        <v>0.0</v>
      </c>
      <c r="AW644" s="80">
        <f t="shared" si="6"/>
        <v>0</v>
      </c>
      <c r="AX644" s="113">
        <f t="shared" si="7"/>
        <v>459</v>
      </c>
      <c r="AY644" s="117">
        <f t="shared" si="8"/>
        <v>423</v>
      </c>
      <c r="AZ644" s="120">
        <f t="shared" si="9"/>
        <v>36</v>
      </c>
      <c r="BA644" s="115">
        <v>1.0</v>
      </c>
      <c r="BB644" s="89">
        <f t="shared" si="10"/>
        <v>460</v>
      </c>
      <c r="BC644" s="132" t="s">
        <v>178</v>
      </c>
      <c r="BD644" s="132" t="s">
        <v>178</v>
      </c>
      <c r="BE644" s="132" t="s">
        <v>178</v>
      </c>
      <c r="BF644" s="123"/>
      <c r="BG644" s="83">
        <v>1120524.0</v>
      </c>
      <c r="BH644" s="112"/>
      <c r="BI644" s="112">
        <v>9.0</v>
      </c>
      <c r="BJ644" s="98" t="s">
        <v>155</v>
      </c>
      <c r="BK644" s="99">
        <f t="shared" si="11"/>
        <v>0</v>
      </c>
      <c r="BL644" s="99">
        <f t="shared" si="12"/>
        <v>423</v>
      </c>
      <c r="BM644" s="99" t="str">
        <f>IFERROR(__xludf.DUMMYFUNCTION("IFERROR(VLOOKUP(BG644,IMPORTRANGE(""https://docs.google.com/spreadsheets/d/1juPI-Fb8LD0YtltB2mlGEnp_R3UVu1t3wSFPzgCyHXE/edit?gid=0#gid=0"",""GERAL!A2:C""),3,0),""-"")"),"-")</f>
        <v>-</v>
      </c>
    </row>
    <row r="645" ht="15.75" customHeight="1">
      <c r="A645" s="111" t="s">
        <v>796</v>
      </c>
      <c r="B645" s="83" t="s">
        <v>2087</v>
      </c>
      <c r="C645" s="83" t="s">
        <v>68</v>
      </c>
      <c r="D645" s="112">
        <v>1176091.0</v>
      </c>
      <c r="E645" s="83"/>
      <c r="F645" s="83">
        <v>2.9025117E7</v>
      </c>
      <c r="G645" s="114" t="s">
        <v>3080</v>
      </c>
      <c r="H645" s="91" t="s">
        <v>3081</v>
      </c>
      <c r="I645" s="83" t="s">
        <v>496</v>
      </c>
      <c r="J645" s="83" t="s">
        <v>150</v>
      </c>
      <c r="K645" s="83" t="s">
        <v>151</v>
      </c>
      <c r="L645" s="82" t="s">
        <v>152</v>
      </c>
      <c r="M645" s="82" t="str">
        <f>IFERROR(__xludf.DUMMYFUNCTION("IFERROR(VLOOKUP(D645,
IMPORTRANGE(""https://docs.google.com/spreadsheets/d/1MjHtlUikwobi2MaWJgy7tfLeBmhj1u-dRFRs_8GwSoA/edit#gid=0"",""Gestores Escolares!D7:J""),3,0),""VERIFICAR CÓD SEC"")"),"ALIRIO RIBEIRO SOARES")</f>
        <v>ALIRIO RIBEIRO SOARES</v>
      </c>
      <c r="N645" s="82" t="str">
        <f>IFERROR(__xludf.DUMMYFUNCTION("IFERROR(VLOOKUP(D645,
IMPORTRANGE(""https://docs.google.com/spreadsheets/d/1MjHtlUikwobi2MaWJgy7tfLeBmhj1u-dRFRs_8GwSoA/edit#gid=0"",""Gestores Escolares!D7:J""),4,0),""VERIFICAR CÓD SEC"")"),"(87) 9 8807-8307")</f>
        <v>(87) 9 8807-8307</v>
      </c>
      <c r="O645" s="82" t="str">
        <f>IFERROR(__xludf.DUMMYFUNCTION("IFERROR(VLOOKUP(D645,
IMPORTRANGE(""https://docs.google.com/spreadsheets/d/1MjHtlUikwobi2MaWJgy7tfLeBmhj1u-dRFRs_8GwSoA/edit#gid=0"",""Gestores Escolares!D7:J""),6,0),""VERIFICAR CÓD SEC"")"),"JUCIMAR GOMES VENCESLAU")</f>
        <v>JUCIMAR GOMES VENCESLAU</v>
      </c>
      <c r="P645" s="82" t="str">
        <f>IFERROR(__xludf.DUMMYFUNCTION("IFERROR(VLOOKUP(D645,
IMPORTRANGE(""https://docs.google.com/spreadsheets/d/1MjHtlUikwobi2MaWJgy7tfLeBmhj1u-dRFRs_8GwSoA/edit#gid=0"",""Gestores Escolares!D7:J""),7,0),""VERIFICAR CÓD SEC"")"),"(74) 9 9103-0240")</f>
        <v>(74) 9 9103-0240</v>
      </c>
      <c r="Q645" s="82" t="str">
        <f>IFERROR(__xludf.DUMMYFUNCTION("IFERROR(VLOOKUP(D645,
IMPORTRANGE(""https://docs.google.com/spreadsheets/d/1MjHtlUikwobi2MaWJgy7tfLeBmhj1u-dRFRs_8GwSoA/edit#gid=0"",""Gestores Escolares!D7:m""),9,0),""VERIFICAR CÓD SEC"")"),"ALBENIR ALEXANDRINA DE SOUSA SILVA")</f>
        <v>ALBENIR ALEXANDRINA DE SOUSA SILVA</v>
      </c>
      <c r="R645" s="82" t="str">
        <f>IFERROR(__xludf.DUMMYFUNCTION("IFERROR(VLOOKUP(D645,
IMPORTRANGE(""https://docs.google.com/spreadsheets/d/1MjHtlUikwobi2MaWJgy7tfLeBmhj1u-dRFRs_8GwSoA/edit#gid=0"",""Gestores Escolares!D7:m""),10,0),""VERIFICAR CÓD SEC"")"),"(74) 9 8809-9072")</f>
        <v>(74) 9 8809-9072</v>
      </c>
      <c r="S645" s="82"/>
      <c r="T645" s="138">
        <v>13.0</v>
      </c>
      <c r="U645" s="152">
        <v>13.0</v>
      </c>
      <c r="V645" s="106">
        <v>0.0</v>
      </c>
      <c r="W645" s="107">
        <v>0.0</v>
      </c>
      <c r="X645" s="107">
        <v>0.0</v>
      </c>
      <c r="Y645" s="107">
        <v>0.0</v>
      </c>
      <c r="Z645" s="80">
        <f t="shared" si="1"/>
        <v>0</v>
      </c>
      <c r="AA645" s="106">
        <v>0.0</v>
      </c>
      <c r="AB645" s="107">
        <v>0.0</v>
      </c>
      <c r="AC645" s="107">
        <v>0.0</v>
      </c>
      <c r="AD645" s="107">
        <v>0.0</v>
      </c>
      <c r="AE645" s="80">
        <f t="shared" si="2"/>
        <v>0</v>
      </c>
      <c r="AF645" s="140">
        <v>97.0</v>
      </c>
      <c r="AG645" s="109">
        <v>36.0</v>
      </c>
      <c r="AH645" s="109">
        <v>0.0</v>
      </c>
      <c r="AI645" s="141">
        <v>336.0</v>
      </c>
      <c r="AJ645" s="80">
        <f t="shared" si="3"/>
        <v>469</v>
      </c>
      <c r="AK645" s="140">
        <v>0.0</v>
      </c>
      <c r="AL645" s="109">
        <v>0.0</v>
      </c>
      <c r="AM645" s="141">
        <v>0.0</v>
      </c>
      <c r="AN645" s="80">
        <f t="shared" si="4"/>
        <v>0</v>
      </c>
      <c r="AO645" s="140">
        <v>0.0</v>
      </c>
      <c r="AP645" s="109">
        <v>0.0</v>
      </c>
      <c r="AQ645" s="109">
        <v>143.0</v>
      </c>
      <c r="AR645" s="80">
        <f t="shared" si="5"/>
        <v>143</v>
      </c>
      <c r="AS645" s="110">
        <v>0.0</v>
      </c>
      <c r="AT645" s="110">
        <v>0.0</v>
      </c>
      <c r="AU645" s="110">
        <v>0.0</v>
      </c>
      <c r="AV645" s="142">
        <v>0.0</v>
      </c>
      <c r="AW645" s="80">
        <f t="shared" si="6"/>
        <v>0</v>
      </c>
      <c r="AX645" s="113">
        <f t="shared" si="7"/>
        <v>612</v>
      </c>
      <c r="AY645" s="117">
        <f t="shared" si="8"/>
        <v>469</v>
      </c>
      <c r="AZ645" s="120">
        <f t="shared" si="9"/>
        <v>143</v>
      </c>
      <c r="BA645" s="115">
        <v>0.0</v>
      </c>
      <c r="BB645" s="89">
        <f t="shared" si="10"/>
        <v>612</v>
      </c>
      <c r="BC645" s="132" t="s">
        <v>178</v>
      </c>
      <c r="BD645" s="132" t="s">
        <v>178</v>
      </c>
      <c r="BE645" s="132" t="s">
        <v>178</v>
      </c>
      <c r="BF645" s="156"/>
      <c r="BG645" s="83">
        <v>1176091.0</v>
      </c>
      <c r="BH645" s="112"/>
      <c r="BI645" s="112">
        <v>13.0</v>
      </c>
      <c r="BJ645" s="98" t="s">
        <v>155</v>
      </c>
      <c r="BK645" s="99">
        <f t="shared" si="11"/>
        <v>336</v>
      </c>
      <c r="BL645" s="99">
        <f t="shared" si="12"/>
        <v>133</v>
      </c>
      <c r="BM645" s="99" t="str">
        <f>IFERROR(__xludf.DUMMYFUNCTION("IFERROR(VLOOKUP(BG645,IMPORTRANGE(""https://docs.google.com/spreadsheets/d/1juPI-Fb8LD0YtltB2mlGEnp_R3UVu1t3wSFPzgCyHXE/edit?gid=0#gid=0"",""GERAL!A2:C""),3,0),""-"")"),"-")</f>
        <v>-</v>
      </c>
    </row>
    <row r="646" ht="15.75" customHeight="1">
      <c r="A646" s="111" t="s">
        <v>796</v>
      </c>
      <c r="B646" s="83" t="s">
        <v>2087</v>
      </c>
      <c r="C646" s="83" t="s">
        <v>68</v>
      </c>
      <c r="D646" s="112">
        <v>1178378.0</v>
      </c>
      <c r="E646" s="83"/>
      <c r="F646" s="83">
        <v>2.9859808E7</v>
      </c>
      <c r="G646" s="114" t="s">
        <v>3084</v>
      </c>
      <c r="H646" s="91" t="s">
        <v>3085</v>
      </c>
      <c r="I646" s="83" t="s">
        <v>149</v>
      </c>
      <c r="J646" s="83" t="s">
        <v>1074</v>
      </c>
      <c r="K646" s="83" t="s">
        <v>151</v>
      </c>
      <c r="L646" s="83" t="s">
        <v>76</v>
      </c>
      <c r="M646" s="82" t="str">
        <f>IFERROR(__xludf.DUMMYFUNCTION("IFERROR(VLOOKUP(D646,
IMPORTRANGE(""https://docs.google.com/spreadsheets/d/1MjHtlUikwobi2MaWJgy7tfLeBmhj1u-dRFRs_8GwSoA/edit#gid=0"",""Gestores Escolares!D7:J""),3,0),""VERIFICAR CÓD SEC"")"),"RAFAEL DA SILVA ASSIS")</f>
        <v>RAFAEL DA SILVA ASSIS</v>
      </c>
      <c r="N646" s="82" t="str">
        <f>IFERROR(__xludf.DUMMYFUNCTION("IFERROR(VLOOKUP(D646,
IMPORTRANGE(""https://docs.google.com/spreadsheets/d/1MjHtlUikwobi2MaWJgy7tfLeBmhj1u-dRFRs_8GwSoA/edit#gid=0"",""Gestores Escolares!D7:J""),4,0),""VERIFICAR CÓD SEC"")"),"(89) 9 8124-6883")</f>
        <v>(89) 9 8124-6883</v>
      </c>
      <c r="O646" s="82" t="str">
        <f>IFERROR(__xludf.DUMMYFUNCTION("IFERROR(VLOOKUP(D646,
IMPORTRANGE(""https://docs.google.com/spreadsheets/d/1MjHtlUikwobi2MaWJgy7tfLeBmhj1u-dRFRs_8GwSoA/edit#gid=0"",""Gestores Escolares!D7:J""),6,0),""VERIFICAR CÓD SEC"")"),"JOEL GOMES SILVA NETO   ")</f>
        <v>JOEL GOMES SILVA NETO   </v>
      </c>
      <c r="P646" s="82" t="str">
        <f>IFERROR(__xludf.DUMMYFUNCTION("IFERROR(VLOOKUP(D646,
IMPORTRANGE(""https://docs.google.com/spreadsheets/d/1MjHtlUikwobi2MaWJgy7tfLeBmhj1u-dRFRs_8GwSoA/edit#gid=0"",""Gestores Escolares!D7:J""),7,0),""VERIFICAR CÓD SEC"")"),"(71) 9 9147-4053")</f>
        <v>(71) 9 9147-4053</v>
      </c>
      <c r="Q646" s="82" t="str">
        <f>IFERROR(__xludf.DUMMYFUNCTION("IFERROR(VLOOKUP(D646,
IMPORTRANGE(""https://docs.google.com/spreadsheets/d/1MjHtlUikwobi2MaWJgy7tfLeBmhj1u-dRFRs_8GwSoA/edit#gid=0"",""Gestores Escolares!D7:m""),9,0),""VERIFICAR CÓD SEC"")"),"SECRETÁRIA ESCOLAR DA UEE -  JOSEFA BATISTA NETA")</f>
        <v>SECRETÁRIA ESCOLAR DA UEE -  JOSEFA BATISTA NETA</v>
      </c>
      <c r="R646" s="82" t="str">
        <f>IFERROR(__xludf.DUMMYFUNCTION("IFERROR(VLOOKUP(D646,
IMPORTRANGE(""https://docs.google.com/spreadsheets/d/1MjHtlUikwobi2MaWJgy7tfLeBmhj1u-dRFRs_8GwSoA/edit#gid=0"",""Gestores Escolares!D7:m""),10,0),""VERIFICAR CÓD SEC"")"),"(74) 9 8861-5543")</f>
        <v>(74) 9 8861-5543</v>
      </c>
      <c r="S646" s="82"/>
      <c r="T646" s="138">
        <v>7.0</v>
      </c>
      <c r="U646" s="152">
        <v>8.0</v>
      </c>
      <c r="V646" s="106">
        <v>0.0</v>
      </c>
      <c r="W646" s="107">
        <v>0.0</v>
      </c>
      <c r="X646" s="107">
        <v>0.0</v>
      </c>
      <c r="Y646" s="107">
        <v>0.0</v>
      </c>
      <c r="Z646" s="80">
        <f t="shared" si="1"/>
        <v>0</v>
      </c>
      <c r="AA646" s="106">
        <v>0.0</v>
      </c>
      <c r="AB646" s="107">
        <v>0.0</v>
      </c>
      <c r="AC646" s="107">
        <v>0.0</v>
      </c>
      <c r="AD646" s="107">
        <v>0.0</v>
      </c>
      <c r="AE646" s="80">
        <f t="shared" si="2"/>
        <v>0</v>
      </c>
      <c r="AF646" s="140">
        <v>0.0</v>
      </c>
      <c r="AG646" s="109">
        <v>140.0</v>
      </c>
      <c r="AH646" s="109">
        <v>0.0</v>
      </c>
      <c r="AI646" s="141">
        <v>0.0</v>
      </c>
      <c r="AJ646" s="80">
        <f t="shared" si="3"/>
        <v>140</v>
      </c>
      <c r="AK646" s="140">
        <v>0.0</v>
      </c>
      <c r="AL646" s="109">
        <v>0.0</v>
      </c>
      <c r="AM646" s="141">
        <v>0.0</v>
      </c>
      <c r="AN646" s="80">
        <f t="shared" si="4"/>
        <v>0</v>
      </c>
      <c r="AO646" s="140">
        <v>0.0</v>
      </c>
      <c r="AP646" s="109">
        <v>0.0</v>
      </c>
      <c r="AQ646" s="109">
        <v>109.0</v>
      </c>
      <c r="AR646" s="80">
        <f t="shared" si="5"/>
        <v>109</v>
      </c>
      <c r="AS646" s="110">
        <v>0.0</v>
      </c>
      <c r="AT646" s="110">
        <v>26.0</v>
      </c>
      <c r="AU646" s="110">
        <v>0.0</v>
      </c>
      <c r="AV646" s="142">
        <v>22.0</v>
      </c>
      <c r="AW646" s="80">
        <f t="shared" si="6"/>
        <v>48</v>
      </c>
      <c r="AX646" s="113">
        <f t="shared" si="7"/>
        <v>297</v>
      </c>
      <c r="AY646" s="117">
        <f t="shared" si="8"/>
        <v>188</v>
      </c>
      <c r="AZ646" s="120">
        <f t="shared" si="9"/>
        <v>109</v>
      </c>
      <c r="BA646" s="115">
        <v>0.0</v>
      </c>
      <c r="BB646" s="89">
        <f t="shared" si="10"/>
        <v>297</v>
      </c>
      <c r="BC646" s="132" t="s">
        <v>373</v>
      </c>
      <c r="BD646" s="132" t="s">
        <v>178</v>
      </c>
      <c r="BE646" s="132" t="s">
        <v>178</v>
      </c>
      <c r="BF646" s="123"/>
      <c r="BG646" s="83">
        <v>1178378.0</v>
      </c>
      <c r="BH646" s="112"/>
      <c r="BI646" s="112">
        <v>8.0</v>
      </c>
      <c r="BJ646" s="98" t="s">
        <v>155</v>
      </c>
      <c r="BK646" s="99">
        <f t="shared" si="11"/>
        <v>22</v>
      </c>
      <c r="BL646" s="99">
        <f t="shared" si="12"/>
        <v>166</v>
      </c>
      <c r="BM646" s="99" t="str">
        <f>IFERROR(__xludf.DUMMYFUNCTION("IFERROR(VLOOKUP(BG646,IMPORTRANGE(""https://docs.google.com/spreadsheets/d/1juPI-Fb8LD0YtltB2mlGEnp_R3UVu1t3wSFPzgCyHXE/edit?gid=0#gid=0"",""GERAL!A2:C""),3,0),""-"")"),"CAMPO")</f>
        <v>CAMPO</v>
      </c>
    </row>
    <row r="647" ht="15.75" customHeight="1">
      <c r="A647" s="111" t="s">
        <v>796</v>
      </c>
      <c r="B647" s="83" t="s">
        <v>2087</v>
      </c>
      <c r="C647" s="83" t="s">
        <v>68</v>
      </c>
      <c r="D647" s="98">
        <v>1178255.0</v>
      </c>
      <c r="E647" s="83"/>
      <c r="F647" s="98">
        <v>2.9467004E7</v>
      </c>
      <c r="G647" s="517" t="s">
        <v>2093</v>
      </c>
      <c r="H647" s="108" t="s">
        <v>3088</v>
      </c>
      <c r="I647" s="83"/>
      <c r="J647" s="83"/>
      <c r="K647" s="98" t="s">
        <v>151</v>
      </c>
      <c r="L647" s="83" t="s">
        <v>152</v>
      </c>
      <c r="M647" s="82" t="str">
        <f>IFERROR(__xludf.DUMMYFUNCTION("IFERROR(VLOOKUP(D647,
IMPORTRANGE(""https://docs.google.com/spreadsheets/d/1MjHtlUikwobi2MaWJgy7tfLeBmhj1u-dRFRs_8GwSoA/edit#gid=0"",""Gestores Escolares!D7:J""),3,0),""VERIFICAR CÓD SEC"")"),"GILBERTO FEITOSA DA SILVA")</f>
        <v>GILBERTO FEITOSA DA SILVA</v>
      </c>
      <c r="N647" s="82" t="str">
        <f>IFERROR(__xludf.DUMMYFUNCTION("IFERROR(VLOOKUP(D647,
IMPORTRANGE(""https://docs.google.com/spreadsheets/d/1MjHtlUikwobi2MaWJgy7tfLeBmhj1u-dRFRs_8GwSoA/edit#gid=0"",""Gestores Escolares!D7:J""),4,0),""VERIFICAR CÓD SEC"")"),"(74) 9 8804-4251")</f>
        <v>(74) 9 8804-4251</v>
      </c>
      <c r="O647" s="82" t="str">
        <f>IFERROR(__xludf.DUMMYFUNCTION("IFERROR(VLOOKUP(D647,
IMPORTRANGE(""https://docs.google.com/spreadsheets/d/1MjHtlUikwobi2MaWJgy7tfLeBmhj1u-dRFRs_8GwSoA/edit#gid=0"",""Gestores Escolares!D7:J""),6,0),""VERIFICAR CÓD SEC"")"),"KARINA AMORIM MOREIRA MENEZES LOURENCO")</f>
        <v>KARINA AMORIM MOREIRA MENEZES LOURENCO</v>
      </c>
      <c r="P647" s="82" t="str">
        <f>IFERROR(__xludf.DUMMYFUNCTION("IFERROR(VLOOKUP(D647,
IMPORTRANGE(""https://docs.google.com/spreadsheets/d/1MjHtlUikwobi2MaWJgy7tfLeBmhj1u-dRFRs_8GwSoA/edit#gid=0"",""Gestores Escolares!D7:J""),7,0),""VERIFICAR CÓD SEC"")"),"(87) 9 8108-1830")</f>
        <v>(87) 9 8108-1830</v>
      </c>
      <c r="Q647" s="82" t="str">
        <f>IFERROR(__xludf.DUMMYFUNCTION("IFERROR(VLOOKUP(D647,
IMPORTRANGE(""https://docs.google.com/spreadsheets/d/1MjHtlUikwobi2MaWJgy7tfLeBmhj1u-dRFRs_8GwSoA/edit#gid=0"",""Gestores Escolares!D7:m""),9,0),""VERIFICAR CÓD SEC"")"),"ANA EMIDIA SOUSA ROCHA")</f>
        <v>ANA EMIDIA SOUSA ROCHA</v>
      </c>
      <c r="R647" s="82" t="str">
        <f>IFERROR(__xludf.DUMMYFUNCTION("IFERROR(VLOOKUP(D647,
IMPORTRANGE(""https://docs.google.com/spreadsheets/d/1MjHtlUikwobi2MaWJgy7tfLeBmhj1u-dRFRs_8GwSoA/edit#gid=0"",""Gestores Escolares!D7:m""),10,0),""VERIFICAR CÓD SEC"")"),"(74) 9 9147-7395")</f>
        <v>(74) 9 9147-7395</v>
      </c>
      <c r="S647" s="82"/>
      <c r="T647" s="138"/>
      <c r="U647" s="217">
        <v>12.0</v>
      </c>
      <c r="V647" s="106">
        <v>0.0</v>
      </c>
      <c r="W647" s="107">
        <v>0.0</v>
      </c>
      <c r="X647" s="107">
        <v>0.0</v>
      </c>
      <c r="Y647" s="107">
        <v>0.0</v>
      </c>
      <c r="Z647" s="80">
        <f t="shared" si="1"/>
        <v>0</v>
      </c>
      <c r="AA647" s="106">
        <v>0.0</v>
      </c>
      <c r="AB647" s="107">
        <v>0.0</v>
      </c>
      <c r="AC647" s="107">
        <v>0.0</v>
      </c>
      <c r="AD647" s="107">
        <v>0.0</v>
      </c>
      <c r="AE647" s="80">
        <f t="shared" si="2"/>
        <v>0</v>
      </c>
      <c r="AF647" s="140">
        <v>0.0</v>
      </c>
      <c r="AG647" s="109">
        <v>0.0</v>
      </c>
      <c r="AH647" s="109">
        <v>0.0</v>
      </c>
      <c r="AI647" s="141">
        <v>403.0</v>
      </c>
      <c r="AJ647" s="80">
        <f t="shared" si="3"/>
        <v>403</v>
      </c>
      <c r="AK647" s="140">
        <v>0.0</v>
      </c>
      <c r="AL647" s="109">
        <v>0.0</v>
      </c>
      <c r="AM647" s="141">
        <v>0.0</v>
      </c>
      <c r="AN647" s="80">
        <f t="shared" si="4"/>
        <v>0</v>
      </c>
      <c r="AO647" s="140">
        <v>0.0</v>
      </c>
      <c r="AP647" s="109">
        <v>0.0</v>
      </c>
      <c r="AQ647" s="109">
        <v>281.0</v>
      </c>
      <c r="AR647" s="80">
        <f t="shared" si="5"/>
        <v>281</v>
      </c>
      <c r="AS647" s="110">
        <v>0.0</v>
      </c>
      <c r="AT647" s="110">
        <v>0.0</v>
      </c>
      <c r="AU647" s="110">
        <v>5.0</v>
      </c>
      <c r="AV647" s="142">
        <v>0.0</v>
      </c>
      <c r="AW647" s="80">
        <f t="shared" si="6"/>
        <v>5</v>
      </c>
      <c r="AX647" s="113">
        <f t="shared" si="7"/>
        <v>689</v>
      </c>
      <c r="AY647" s="117">
        <f t="shared" si="8"/>
        <v>403</v>
      </c>
      <c r="AZ647" s="120">
        <f t="shared" si="9"/>
        <v>286</v>
      </c>
      <c r="BA647" s="115">
        <v>0.0</v>
      </c>
      <c r="BB647" s="89">
        <f t="shared" si="10"/>
        <v>689</v>
      </c>
      <c r="BC647" s="132"/>
      <c r="BD647" s="132"/>
      <c r="BE647" s="132"/>
      <c r="BF647" s="123"/>
      <c r="BG647" s="98">
        <v>1178255.0</v>
      </c>
      <c r="BH647" s="112"/>
      <c r="BI647" s="112"/>
      <c r="BJ647" s="98" t="s">
        <v>162</v>
      </c>
      <c r="BK647" s="99">
        <f t="shared" si="11"/>
        <v>403</v>
      </c>
      <c r="BL647" s="99">
        <f t="shared" si="12"/>
        <v>0</v>
      </c>
      <c r="BM647" s="99" t="str">
        <f>IFERROR(__xludf.DUMMYFUNCTION("IFERROR(VLOOKUP(BG647,IMPORTRANGE(""https://docs.google.com/spreadsheets/d/1juPI-Fb8LD0YtltB2mlGEnp_R3UVu1t3wSFPzgCyHXE/edit?gid=0#gid=0"",""GERAL!A2:C""),3,0),""-"")"),"-")</f>
        <v>-</v>
      </c>
    </row>
    <row r="648" ht="15.75" customHeight="1">
      <c r="A648" s="111" t="s">
        <v>796</v>
      </c>
      <c r="B648" s="83" t="s">
        <v>2087</v>
      </c>
      <c r="C648" s="83" t="s">
        <v>68</v>
      </c>
      <c r="D648" s="112">
        <v>1120761.0</v>
      </c>
      <c r="E648" s="83"/>
      <c r="F648" s="83">
        <v>2.9024722E7</v>
      </c>
      <c r="G648" s="119" t="s">
        <v>3091</v>
      </c>
      <c r="H648" s="91" t="s">
        <v>3092</v>
      </c>
      <c r="I648" s="83" t="s">
        <v>3093</v>
      </c>
      <c r="J648" s="83" t="s">
        <v>150</v>
      </c>
      <c r="K648" s="83" t="s">
        <v>151</v>
      </c>
      <c r="L648" s="83" t="s">
        <v>152</v>
      </c>
      <c r="M648" s="82" t="str">
        <f>IFERROR(__xludf.DUMMYFUNCTION("IFERROR(VLOOKUP(D648,
IMPORTRANGE(""https://docs.google.com/spreadsheets/d/1MjHtlUikwobi2MaWJgy7tfLeBmhj1u-dRFRs_8GwSoA/edit#gid=0"",""Gestores Escolares!D7:J""),3,0),""VERIFICAR CÓD SEC"")"),"MABIO DUTRA")</f>
        <v>MABIO DUTRA</v>
      </c>
      <c r="N648" s="82" t="str">
        <f>IFERROR(__xludf.DUMMYFUNCTION("IFERROR(VLOOKUP(D648,
IMPORTRANGE(""https://docs.google.com/spreadsheets/d/1MjHtlUikwobi2MaWJgy7tfLeBmhj1u-dRFRs_8GwSoA/edit#gid=0"",""Gestores Escolares!D7:J""),4,0),""VERIFICAR CÓD SEC"")"),"(87) 9 8854-8842")</f>
        <v>(87) 9 8854-8842</v>
      </c>
      <c r="O648" s="82" t="str">
        <f>IFERROR(__xludf.DUMMYFUNCTION("IFERROR(VLOOKUP(D648,
IMPORTRANGE(""https://docs.google.com/spreadsheets/d/1MjHtlUikwobi2MaWJgy7tfLeBmhj1u-dRFRs_8GwSoA/edit#gid=0"",""Gestores Escolares!D7:J""),6,0),""VERIFICAR CÓD SEC"")"),"GILDA CLEMENTE XAVIER")</f>
        <v>GILDA CLEMENTE XAVIER</v>
      </c>
      <c r="P648" s="82" t="str">
        <f>IFERROR(__xludf.DUMMYFUNCTION("IFERROR(VLOOKUP(D648,
IMPORTRANGE(""https://docs.google.com/spreadsheets/d/1MjHtlUikwobi2MaWJgy7tfLeBmhj1u-dRFRs_8GwSoA/edit#gid=0"",""Gestores Escolares!D7:J""),7,0),""VERIFICAR CÓD SEC"")"),"(87) 9 9618-6329")</f>
        <v>(87) 9 9618-6329</v>
      </c>
      <c r="Q648" s="82" t="str">
        <f>IFERROR(__xludf.DUMMYFUNCTION("IFERROR(VLOOKUP(D648,
IMPORTRANGE(""https://docs.google.com/spreadsheets/d/1MjHtlUikwobi2MaWJgy7tfLeBmhj1u-dRFRs_8GwSoA/edit#gid=0"",""Gestores Escolares!D7:m""),9,0),""VERIFICAR CÓD SEC"")"),"GERALDO JOSE DA CONCEICAO JUNIOR")</f>
        <v>GERALDO JOSE DA CONCEICAO JUNIOR</v>
      </c>
      <c r="R648" s="82" t="str">
        <f>IFERROR(__xludf.DUMMYFUNCTION("IFERROR(VLOOKUP(D648,
IMPORTRANGE(""https://docs.google.com/spreadsheets/d/1MjHtlUikwobi2MaWJgy7tfLeBmhj1u-dRFRs_8GwSoA/edit#gid=0"",""Gestores Escolares!D7:m""),10,0),""VERIFICAR CÓD SEC"")"),"(81) 9 9899-3360")</f>
        <v>(81) 9 9899-3360</v>
      </c>
      <c r="S648" s="82"/>
      <c r="T648" s="138">
        <v>9.0</v>
      </c>
      <c r="U648" s="152" t="s">
        <v>9445</v>
      </c>
      <c r="V648" s="106">
        <v>0.0</v>
      </c>
      <c r="W648" s="107">
        <v>0.0</v>
      </c>
      <c r="X648" s="107">
        <v>0.0</v>
      </c>
      <c r="Y648" s="107">
        <v>0.0</v>
      </c>
      <c r="Z648" s="80">
        <f t="shared" si="1"/>
        <v>0</v>
      </c>
      <c r="AA648" s="106">
        <v>122.0</v>
      </c>
      <c r="AB648" s="107">
        <v>307.0</v>
      </c>
      <c r="AC648" s="107">
        <v>0.0</v>
      </c>
      <c r="AD648" s="107">
        <v>0.0</v>
      </c>
      <c r="AE648" s="80">
        <f t="shared" si="2"/>
        <v>429</v>
      </c>
      <c r="AF648" s="140">
        <v>166.0</v>
      </c>
      <c r="AG648" s="109">
        <v>32.0</v>
      </c>
      <c r="AH648" s="109">
        <v>0.0</v>
      </c>
      <c r="AI648" s="141">
        <v>0.0</v>
      </c>
      <c r="AJ648" s="80">
        <f t="shared" si="3"/>
        <v>198</v>
      </c>
      <c r="AK648" s="140">
        <v>0.0</v>
      </c>
      <c r="AL648" s="109">
        <v>0.0</v>
      </c>
      <c r="AM648" s="141">
        <v>0.0</v>
      </c>
      <c r="AN648" s="80">
        <f t="shared" si="4"/>
        <v>0</v>
      </c>
      <c r="AO648" s="140">
        <v>0.0</v>
      </c>
      <c r="AP648" s="109">
        <v>0.0</v>
      </c>
      <c r="AQ648" s="109">
        <v>56.0</v>
      </c>
      <c r="AR648" s="80">
        <f t="shared" si="5"/>
        <v>56</v>
      </c>
      <c r="AS648" s="110">
        <v>0.0</v>
      </c>
      <c r="AT648" s="110">
        <v>0.0</v>
      </c>
      <c r="AU648" s="110">
        <v>0.0</v>
      </c>
      <c r="AV648" s="142">
        <v>0.0</v>
      </c>
      <c r="AW648" s="80">
        <f t="shared" si="6"/>
        <v>0</v>
      </c>
      <c r="AX648" s="113">
        <f t="shared" si="7"/>
        <v>683</v>
      </c>
      <c r="AY648" s="117">
        <f t="shared" si="8"/>
        <v>627</v>
      </c>
      <c r="AZ648" s="120">
        <f t="shared" si="9"/>
        <v>56</v>
      </c>
      <c r="BA648" s="115">
        <v>0.0</v>
      </c>
      <c r="BB648" s="89">
        <f t="shared" si="10"/>
        <v>683</v>
      </c>
      <c r="BC648" s="132" t="s">
        <v>178</v>
      </c>
      <c r="BD648" s="132" t="s">
        <v>178</v>
      </c>
      <c r="BE648" s="132" t="s">
        <v>178</v>
      </c>
      <c r="BF648" s="123"/>
      <c r="BG648" s="83">
        <v>1120761.0</v>
      </c>
      <c r="BH648" s="112"/>
      <c r="BI648" s="112">
        <v>9.0</v>
      </c>
      <c r="BJ648" s="98" t="s">
        <v>176</v>
      </c>
      <c r="BK648" s="99">
        <f t="shared" si="11"/>
        <v>0</v>
      </c>
      <c r="BL648" s="99">
        <f t="shared" si="12"/>
        <v>627</v>
      </c>
      <c r="BM648" s="99" t="str">
        <f>IFERROR(__xludf.DUMMYFUNCTION("IFERROR(VLOOKUP(BG648,IMPORTRANGE(""https://docs.google.com/spreadsheets/d/1juPI-Fb8LD0YtltB2mlGEnp_R3UVu1t3wSFPzgCyHXE/edit?gid=0#gid=0"",""GERAL!A2:C""),3,0),""-"")"),"-")</f>
        <v>-</v>
      </c>
    </row>
    <row r="649" ht="15.75" customHeight="1">
      <c r="A649" s="111" t="s">
        <v>796</v>
      </c>
      <c r="B649" s="83" t="s">
        <v>2087</v>
      </c>
      <c r="C649" s="83" t="s">
        <v>68</v>
      </c>
      <c r="D649" s="112">
        <v>1120664.0</v>
      </c>
      <c r="E649" s="83"/>
      <c r="F649" s="83">
        <v>2.9024536E7</v>
      </c>
      <c r="G649" s="119" t="s">
        <v>3096</v>
      </c>
      <c r="H649" s="91" t="s">
        <v>3097</v>
      </c>
      <c r="I649" s="83" t="s">
        <v>3098</v>
      </c>
      <c r="J649" s="83" t="s">
        <v>150</v>
      </c>
      <c r="K649" s="83" t="s">
        <v>151</v>
      </c>
      <c r="L649" s="83" t="s">
        <v>230</v>
      </c>
      <c r="M649" s="82" t="str">
        <f>IFERROR(__xludf.DUMMYFUNCTION("IFERROR(VLOOKUP(D649,
IMPORTRANGE(""https://docs.google.com/spreadsheets/d/1MjHtlUikwobi2MaWJgy7tfLeBmhj1u-dRFRs_8GwSoA/edit#gid=0"",""Gestores Escolares!D7:J""),3,0),""VERIFICAR CÓD SEC"")"),"GEORGTOWN ALMIR OLIVEIRA DA SILVA")</f>
        <v>GEORGTOWN ALMIR OLIVEIRA DA SILVA</v>
      </c>
      <c r="N649" s="82" t="str">
        <f>IFERROR(__xludf.DUMMYFUNCTION("IFERROR(VLOOKUP(D649,
IMPORTRANGE(""https://docs.google.com/spreadsheets/d/1MjHtlUikwobi2MaWJgy7tfLeBmhj1u-dRFRs_8GwSoA/edit#gid=0"",""Gestores Escolares!D7:J""),4,0),""VERIFICAR CÓD SEC"")"),"(87) 9 8119-9926/  
9 9199-0505 (ZAP)")</f>
        <v>(87) 9 8119-9926/  
9 9199-0505 (ZAP)</v>
      </c>
      <c r="O649" s="82" t="str">
        <f>IFERROR(__xludf.DUMMYFUNCTION("IFERROR(VLOOKUP(D649,
IMPORTRANGE(""https://docs.google.com/spreadsheets/d/1MjHtlUikwobi2MaWJgy7tfLeBmhj1u-dRFRs_8GwSoA/edit#gid=0"",""Gestores Escolares!D7:J""),6,0),""VERIFICAR CÓD SEC"")"),"	ELBA MARIA DA SILVA CAMPOS LOUREIRO")</f>
        <v>	ELBA MARIA DA SILVA CAMPOS LOUREIRO</v>
      </c>
      <c r="P649" s="82" t="str">
        <f>IFERROR(__xludf.DUMMYFUNCTION("IFERROR(VLOOKUP(D649,
IMPORTRANGE(""https://docs.google.com/spreadsheets/d/1MjHtlUikwobi2MaWJgy7tfLeBmhj1u-dRFRs_8GwSoA/edit#gid=0"",""Gestores Escolares!D7:J""),7,0),""VERIFICAR CÓD SEC"")"),"(74) 9 8854-0050")</f>
        <v>(74) 9 8854-0050</v>
      </c>
      <c r="Q649" s="82" t="str">
        <f>IFERROR(__xludf.DUMMYFUNCTION("IFERROR(VLOOKUP(D649,
IMPORTRANGE(""https://docs.google.com/spreadsheets/d/1MjHtlUikwobi2MaWJgy7tfLeBmhj1u-dRFRs_8GwSoA/edit#gid=0"",""Gestores Escolares!D7:m""),9,0),""VERIFICAR CÓD SEC"")"),"JOSETE DOURADO LIMA DE MORAIS")</f>
        <v>JOSETE DOURADO LIMA DE MORAIS</v>
      </c>
      <c r="R649" s="82" t="str">
        <f>IFERROR(__xludf.DUMMYFUNCTION("IFERROR(VLOOKUP(D649,
IMPORTRANGE(""https://docs.google.com/spreadsheets/d/1MjHtlUikwobi2MaWJgy7tfLeBmhj1u-dRFRs_8GwSoA/edit#gid=0"",""Gestores Escolares!D7:m""),10,0),""VERIFICAR CÓD SEC"")"),"(74) 9 8854-0050")</f>
        <v>(74) 9 8854-0050</v>
      </c>
      <c r="S649" s="82"/>
      <c r="T649" s="138">
        <v>18.0</v>
      </c>
      <c r="U649" s="217">
        <v>27.0</v>
      </c>
      <c r="V649" s="106">
        <v>0.0</v>
      </c>
      <c r="W649" s="107">
        <v>0.0</v>
      </c>
      <c r="X649" s="107">
        <v>0.0</v>
      </c>
      <c r="Y649" s="107">
        <v>0.0</v>
      </c>
      <c r="Z649" s="80">
        <f t="shared" si="1"/>
        <v>0</v>
      </c>
      <c r="AA649" s="106">
        <v>420.0</v>
      </c>
      <c r="AB649" s="107">
        <v>496.0</v>
      </c>
      <c r="AC649" s="107">
        <v>0.0</v>
      </c>
      <c r="AD649" s="107">
        <v>0.0</v>
      </c>
      <c r="AE649" s="80">
        <f t="shared" si="2"/>
        <v>916</v>
      </c>
      <c r="AF649" s="140">
        <v>73.0</v>
      </c>
      <c r="AG649" s="109">
        <v>37.0</v>
      </c>
      <c r="AH649" s="109">
        <v>0.0</v>
      </c>
      <c r="AI649" s="141">
        <v>574.0</v>
      </c>
      <c r="AJ649" s="80">
        <f t="shared" si="3"/>
        <v>684</v>
      </c>
      <c r="AK649" s="140">
        <v>0.0</v>
      </c>
      <c r="AL649" s="109">
        <v>0.0</v>
      </c>
      <c r="AM649" s="141">
        <v>0.0</v>
      </c>
      <c r="AN649" s="80">
        <f t="shared" si="4"/>
        <v>0</v>
      </c>
      <c r="AO649" s="140">
        <v>0.0</v>
      </c>
      <c r="AP649" s="109">
        <v>0.0</v>
      </c>
      <c r="AQ649" s="109">
        <v>301.0</v>
      </c>
      <c r="AR649" s="80">
        <f t="shared" si="5"/>
        <v>301</v>
      </c>
      <c r="AS649" s="110">
        <v>0.0</v>
      </c>
      <c r="AT649" s="110">
        <v>0.0</v>
      </c>
      <c r="AU649" s="110">
        <v>0.0</v>
      </c>
      <c r="AV649" s="142">
        <v>0.0</v>
      </c>
      <c r="AW649" s="80">
        <f t="shared" si="6"/>
        <v>0</v>
      </c>
      <c r="AX649" s="113">
        <f t="shared" si="7"/>
        <v>1901</v>
      </c>
      <c r="AY649" s="117">
        <f t="shared" si="8"/>
        <v>1600</v>
      </c>
      <c r="AZ649" s="120">
        <f t="shared" si="9"/>
        <v>301</v>
      </c>
      <c r="BA649" s="115">
        <v>0.0</v>
      </c>
      <c r="BB649" s="89">
        <f t="shared" si="10"/>
        <v>1901</v>
      </c>
      <c r="BC649" s="132" t="s">
        <v>178</v>
      </c>
      <c r="BD649" s="132" t="s">
        <v>178</v>
      </c>
      <c r="BE649" s="132" t="s">
        <v>178</v>
      </c>
      <c r="BF649" s="123"/>
      <c r="BG649" s="83">
        <v>1120664.0</v>
      </c>
      <c r="BH649" s="112"/>
      <c r="BI649" s="112">
        <v>18.0</v>
      </c>
      <c r="BJ649" s="98" t="s">
        <v>176</v>
      </c>
      <c r="BK649" s="99">
        <f t="shared" si="11"/>
        <v>574</v>
      </c>
      <c r="BL649" s="99">
        <f t="shared" si="12"/>
        <v>1026</v>
      </c>
      <c r="BM649" s="99" t="str">
        <f>IFERROR(__xludf.DUMMYFUNCTION("IFERROR(VLOOKUP(BG649,IMPORTRANGE(""https://docs.google.com/spreadsheets/d/1juPI-Fb8LD0YtltB2mlGEnp_R3UVu1t3wSFPzgCyHXE/edit?gid=0#gid=0"",""GERAL!A2:C""),3,0),""-"")"),"-")</f>
        <v>-</v>
      </c>
    </row>
    <row r="650" ht="15.75" customHeight="1">
      <c r="A650" s="111" t="s">
        <v>796</v>
      </c>
      <c r="B650" s="83" t="s">
        <v>2087</v>
      </c>
      <c r="C650" s="83" t="s">
        <v>68</v>
      </c>
      <c r="D650" s="112">
        <v>1120613.0</v>
      </c>
      <c r="E650" s="83"/>
      <c r="F650" s="83">
        <v>2.902506E7</v>
      </c>
      <c r="G650" s="119" t="s">
        <v>3101</v>
      </c>
      <c r="H650" s="91" t="s">
        <v>3102</v>
      </c>
      <c r="I650" s="83" t="s">
        <v>3103</v>
      </c>
      <c r="J650" s="83" t="s">
        <v>150</v>
      </c>
      <c r="K650" s="83" t="s">
        <v>151</v>
      </c>
      <c r="L650" s="83" t="s">
        <v>152</v>
      </c>
      <c r="M650" s="82" t="str">
        <f>IFERROR(__xludf.DUMMYFUNCTION("IFERROR(VLOOKUP(D650,
IMPORTRANGE(""https://docs.google.com/spreadsheets/d/1MjHtlUikwobi2MaWJgy7tfLeBmhj1u-dRFRs_8GwSoA/edit#gid=0"",""Gestores Escolares!D7:J""),3,0),""VERIFICAR CÓD SEC"")"),"MARINEZ SILVA MENEZES SANTOS")</f>
        <v>MARINEZ SILVA MENEZES SANTOS</v>
      </c>
      <c r="N650" s="82" t="str">
        <f>IFERROR(__xludf.DUMMYFUNCTION("IFERROR(VLOOKUP(D650,
IMPORTRANGE(""https://docs.google.com/spreadsheets/d/1MjHtlUikwobi2MaWJgy7tfLeBmhj1u-dRFRs_8GwSoA/edit#gid=0"",""Gestores Escolares!D7:J""),4,0),""VERIFICAR CÓD SEC"")"),"(74) 9 8816-7348")</f>
        <v>(74) 9 8816-7348</v>
      </c>
      <c r="O650" s="82" t="str">
        <f>IFERROR(__xludf.DUMMYFUNCTION("IFERROR(VLOOKUP(D650,
IMPORTRANGE(""https://docs.google.com/spreadsheets/d/1MjHtlUikwobi2MaWJgy7tfLeBmhj1u-dRFRs_8GwSoA/edit#gid=0"",""Gestores Escolares!D7:J""),6,0),""VERIFICAR CÓD SEC"")"),"")</f>
        <v/>
      </c>
      <c r="P650" s="82" t="str">
        <f>IFERROR(__xludf.DUMMYFUNCTION("IFERROR(VLOOKUP(D650,
IMPORTRANGE(""https://docs.google.com/spreadsheets/d/1MjHtlUikwobi2MaWJgy7tfLeBmhj1u-dRFRs_8GwSoA/edit#gid=0"",""Gestores Escolares!D7:J""),7,0),""VERIFICAR CÓD SEC"")"),"")</f>
        <v/>
      </c>
      <c r="Q650" s="82" t="str">
        <f>IFERROR(__xludf.DUMMYFUNCTION("IFERROR(VLOOKUP(D650,
IMPORTRANGE(""https://docs.google.com/spreadsheets/d/1MjHtlUikwobi2MaWJgy7tfLeBmhj1u-dRFRs_8GwSoA/edit#gid=0"",""Gestores Escolares!D7:m""),9,0),""VERIFICAR CÓD SEC"")"),"")</f>
        <v/>
      </c>
      <c r="R650" s="82" t="str">
        <f>IFERROR(__xludf.DUMMYFUNCTION("IFERROR(VLOOKUP(D650,
IMPORTRANGE(""https://docs.google.com/spreadsheets/d/1MjHtlUikwobi2MaWJgy7tfLeBmhj1u-dRFRs_8GwSoA/edit#gid=0"",""Gestores Escolares!D7:m""),10,0),""VERIFICAR CÓD SEC"")"),"")</f>
        <v/>
      </c>
      <c r="S650" s="82"/>
      <c r="T650" s="138">
        <v>10.0</v>
      </c>
      <c r="U650" s="152">
        <v>10.0</v>
      </c>
      <c r="V650" s="106">
        <v>0.0</v>
      </c>
      <c r="W650" s="107">
        <v>0.0</v>
      </c>
      <c r="X650" s="107">
        <v>0.0</v>
      </c>
      <c r="Y650" s="107">
        <v>0.0</v>
      </c>
      <c r="Z650" s="80">
        <f t="shared" si="1"/>
        <v>0</v>
      </c>
      <c r="AA650" s="106">
        <v>355.0</v>
      </c>
      <c r="AB650" s="107">
        <v>301.0</v>
      </c>
      <c r="AC650" s="107">
        <v>0.0</v>
      </c>
      <c r="AD650" s="107">
        <v>0.0</v>
      </c>
      <c r="AE650" s="80">
        <f t="shared" si="2"/>
        <v>656</v>
      </c>
      <c r="AF650" s="140">
        <v>0.0</v>
      </c>
      <c r="AG650" s="109">
        <v>0.0</v>
      </c>
      <c r="AH650" s="109">
        <v>0.0</v>
      </c>
      <c r="AI650" s="141">
        <v>0.0</v>
      </c>
      <c r="AJ650" s="80">
        <f t="shared" si="3"/>
        <v>0</v>
      </c>
      <c r="AK650" s="140">
        <v>0.0</v>
      </c>
      <c r="AL650" s="109">
        <v>0.0</v>
      </c>
      <c r="AM650" s="141">
        <v>0.0</v>
      </c>
      <c r="AN650" s="80">
        <f t="shared" si="4"/>
        <v>0</v>
      </c>
      <c r="AO650" s="140">
        <v>0.0</v>
      </c>
      <c r="AP650" s="109">
        <v>0.0</v>
      </c>
      <c r="AQ650" s="109">
        <v>71.0</v>
      </c>
      <c r="AR650" s="80">
        <f t="shared" si="5"/>
        <v>71</v>
      </c>
      <c r="AS650" s="110">
        <v>0.0</v>
      </c>
      <c r="AT650" s="110">
        <v>0.0</v>
      </c>
      <c r="AU650" s="110">
        <v>0.0</v>
      </c>
      <c r="AV650" s="142">
        <v>70.0</v>
      </c>
      <c r="AW650" s="80">
        <f t="shared" si="6"/>
        <v>70</v>
      </c>
      <c r="AX650" s="113">
        <f t="shared" si="7"/>
        <v>797</v>
      </c>
      <c r="AY650" s="117">
        <f t="shared" si="8"/>
        <v>726</v>
      </c>
      <c r="AZ650" s="120">
        <f t="shared" si="9"/>
        <v>71</v>
      </c>
      <c r="BA650" s="115">
        <v>1.0</v>
      </c>
      <c r="BB650" s="89">
        <f t="shared" si="10"/>
        <v>798</v>
      </c>
      <c r="BC650" s="132" t="s">
        <v>178</v>
      </c>
      <c r="BD650" s="132" t="s">
        <v>178</v>
      </c>
      <c r="BE650" s="132" t="s">
        <v>178</v>
      </c>
      <c r="BF650" s="123"/>
      <c r="BG650" s="83">
        <v>1120613.0</v>
      </c>
      <c r="BH650" s="112"/>
      <c r="BI650" s="112">
        <v>10.0</v>
      </c>
      <c r="BJ650" s="98" t="s">
        <v>155</v>
      </c>
      <c r="BK650" s="99">
        <f t="shared" si="11"/>
        <v>70</v>
      </c>
      <c r="BL650" s="99">
        <f t="shared" si="12"/>
        <v>656</v>
      </c>
      <c r="BM650" s="99" t="str">
        <f>IFERROR(__xludf.DUMMYFUNCTION("IFERROR(VLOOKUP(BG650,IMPORTRANGE(""https://docs.google.com/spreadsheets/d/1juPI-Fb8LD0YtltB2mlGEnp_R3UVu1t3wSFPzgCyHXE/edit?gid=0#gid=0"",""GERAL!A2:C""),3,0),""-"")"),"-")</f>
        <v>-</v>
      </c>
    </row>
    <row r="651" ht="15.75" customHeight="1">
      <c r="A651" s="111" t="s">
        <v>796</v>
      </c>
      <c r="B651" s="83" t="s">
        <v>2087</v>
      </c>
      <c r="C651" s="83" t="s">
        <v>68</v>
      </c>
      <c r="D651" s="112">
        <v>1161034.0</v>
      </c>
      <c r="E651" s="83"/>
      <c r="F651" s="83">
        <v>2.9024528E7</v>
      </c>
      <c r="G651" s="153" t="s">
        <v>3106</v>
      </c>
      <c r="H651" s="91" t="s">
        <v>3107</v>
      </c>
      <c r="I651" s="83" t="s">
        <v>3103</v>
      </c>
      <c r="J651" s="83" t="s">
        <v>150</v>
      </c>
      <c r="K651" s="83" t="s">
        <v>151</v>
      </c>
      <c r="L651" s="83" t="s">
        <v>230</v>
      </c>
      <c r="M651" s="82" t="str">
        <f>IFERROR(__xludf.DUMMYFUNCTION("IFERROR(VLOOKUP(D651,
IMPORTRANGE(""https://docs.google.com/spreadsheets/d/1MjHtlUikwobi2MaWJgy7tfLeBmhj1u-dRFRs_8GwSoA/edit#gid=0"",""Gestores Escolares!D7:J""),3,0),""VERIFICAR CÓD SEC"")"),"CHARLES JEAN DA SILVA PEREIRA")</f>
        <v>CHARLES JEAN DA SILVA PEREIRA</v>
      </c>
      <c r="N651" s="82" t="str">
        <f>IFERROR(__xludf.DUMMYFUNCTION("IFERROR(VLOOKUP(D651,
IMPORTRANGE(""https://docs.google.com/spreadsheets/d/1MjHtlUikwobi2MaWJgy7tfLeBmhj1u-dRFRs_8GwSoA/edit#gid=0"",""Gestores Escolares!D7:J""),4,0),""VERIFICAR CÓD SEC"")"),"(74) 9 8805-3560")</f>
        <v>(74) 9 8805-3560</v>
      </c>
      <c r="O651" s="82" t="str">
        <f>IFERROR(__xludf.DUMMYFUNCTION("IFERROR(VLOOKUP(D651,
IMPORTRANGE(""https://docs.google.com/spreadsheets/d/1MjHtlUikwobi2MaWJgy7tfLeBmhj1u-dRFRs_8GwSoA/edit#gid=0"",""Gestores Escolares!D7:J""),6,0),""VERIFICAR CÓD SEC"")"),"ROSIDALVA VARJAO ROBERTO")</f>
        <v>ROSIDALVA VARJAO ROBERTO</v>
      </c>
      <c r="P651" s="82" t="str">
        <f>IFERROR(__xludf.DUMMYFUNCTION("IFERROR(VLOOKUP(D651,
IMPORTRANGE(""https://docs.google.com/spreadsheets/d/1MjHtlUikwobi2MaWJgy7tfLeBmhj1u-dRFRs_8GwSoA/edit#gid=0"",""Gestores Escolares!D7:J""),7,0),""VERIFICAR CÓD SEC"")"),"(74) 9 8801-0379")</f>
        <v>(74) 9 8801-0379</v>
      </c>
      <c r="Q651" s="82" t="str">
        <f>IFERROR(__xludf.DUMMYFUNCTION("IFERROR(VLOOKUP(D651,
IMPORTRANGE(""https://docs.google.com/spreadsheets/d/1MjHtlUikwobi2MaWJgy7tfLeBmhj1u-dRFRs_8GwSoA/edit#gid=0"",""Gestores Escolares!D7:m""),9,0),""VERIFICAR CÓD SEC"")")," DANIELA VIEIRA DE SOUZA")</f>
        <v> DANIELA VIEIRA DE SOUZA</v>
      </c>
      <c r="R651" s="82" t="str">
        <f>IFERROR(__xludf.DUMMYFUNCTION("IFERROR(VLOOKUP(D651,
IMPORTRANGE(""https://docs.google.com/spreadsheets/d/1MjHtlUikwobi2MaWJgy7tfLeBmhj1u-dRFRs_8GwSoA/edit#gid=0"",""Gestores Escolares!D7:m""),10,0),""VERIFICAR CÓD SEC"")"),"(74) 9 8874-4714")</f>
        <v>(74) 9 8874-4714</v>
      </c>
      <c r="S651" s="82"/>
      <c r="T651" s="138">
        <v>15.0</v>
      </c>
      <c r="U651" s="217">
        <v>12.0</v>
      </c>
      <c r="V651" s="106">
        <v>0.0</v>
      </c>
      <c r="W651" s="107">
        <v>0.0</v>
      </c>
      <c r="X651" s="107">
        <v>0.0</v>
      </c>
      <c r="Y651" s="107">
        <v>0.0</v>
      </c>
      <c r="Z651" s="80">
        <f t="shared" si="1"/>
        <v>0</v>
      </c>
      <c r="AA651" s="106">
        <v>0.0</v>
      </c>
      <c r="AB651" s="107">
        <v>0.0</v>
      </c>
      <c r="AC651" s="107">
        <v>0.0</v>
      </c>
      <c r="AD651" s="107">
        <v>0.0</v>
      </c>
      <c r="AE651" s="80">
        <f t="shared" si="2"/>
        <v>0</v>
      </c>
      <c r="AF651" s="140">
        <v>0.0</v>
      </c>
      <c r="AG651" s="109">
        <v>0.0</v>
      </c>
      <c r="AH651" s="109">
        <v>0.0</v>
      </c>
      <c r="AI651" s="141">
        <v>503.0</v>
      </c>
      <c r="AJ651" s="80">
        <f t="shared" si="3"/>
        <v>503</v>
      </c>
      <c r="AK651" s="140">
        <v>0.0</v>
      </c>
      <c r="AL651" s="109">
        <v>0.0</v>
      </c>
      <c r="AM651" s="141">
        <v>0.0</v>
      </c>
      <c r="AN651" s="80">
        <f t="shared" si="4"/>
        <v>0</v>
      </c>
      <c r="AO651" s="140">
        <v>0.0</v>
      </c>
      <c r="AP651" s="109">
        <v>0.0</v>
      </c>
      <c r="AQ651" s="109">
        <v>112.0</v>
      </c>
      <c r="AR651" s="80">
        <f t="shared" si="5"/>
        <v>112</v>
      </c>
      <c r="AS651" s="110">
        <v>0.0</v>
      </c>
      <c r="AT651" s="110">
        <v>0.0</v>
      </c>
      <c r="AU651" s="110">
        <v>0.0</v>
      </c>
      <c r="AV651" s="142">
        <v>0.0</v>
      </c>
      <c r="AW651" s="80">
        <f t="shared" si="6"/>
        <v>0</v>
      </c>
      <c r="AX651" s="113">
        <f t="shared" si="7"/>
        <v>615</v>
      </c>
      <c r="AY651" s="117">
        <f t="shared" si="8"/>
        <v>503</v>
      </c>
      <c r="AZ651" s="120">
        <f t="shared" si="9"/>
        <v>112</v>
      </c>
      <c r="BA651" s="115">
        <v>0.0</v>
      </c>
      <c r="BB651" s="89">
        <f t="shared" si="10"/>
        <v>615</v>
      </c>
      <c r="BC651" s="132" t="s">
        <v>178</v>
      </c>
      <c r="BD651" s="132" t="s">
        <v>178</v>
      </c>
      <c r="BE651" s="132" t="s">
        <v>178</v>
      </c>
      <c r="BF651" s="156"/>
      <c r="BG651" s="83">
        <v>1161034.0</v>
      </c>
      <c r="BH651" s="112"/>
      <c r="BI651" s="112">
        <v>13.0</v>
      </c>
      <c r="BJ651" s="98" t="s">
        <v>162</v>
      </c>
      <c r="BK651" s="99">
        <f t="shared" si="11"/>
        <v>503</v>
      </c>
      <c r="BL651" s="99">
        <f t="shared" si="12"/>
        <v>0</v>
      </c>
      <c r="BM651" s="99" t="str">
        <f>IFERROR(__xludf.DUMMYFUNCTION("IFERROR(VLOOKUP(BG651,IMPORTRANGE(""https://docs.google.com/spreadsheets/d/1juPI-Fb8LD0YtltB2mlGEnp_R3UVu1t3wSFPzgCyHXE/edit?gid=0#gid=0"",""GERAL!A2:C""),3,0),""-"")"),"-")</f>
        <v>-</v>
      </c>
    </row>
    <row r="652" ht="15.75" customHeight="1">
      <c r="A652" s="111" t="s">
        <v>796</v>
      </c>
      <c r="B652" s="83" t="s">
        <v>2087</v>
      </c>
      <c r="C652" s="83" t="s">
        <v>68</v>
      </c>
      <c r="D652" s="112">
        <v>1176930.0</v>
      </c>
      <c r="E652" s="83"/>
      <c r="F652" s="83">
        <v>2.9408628E7</v>
      </c>
      <c r="G652" s="119" t="s">
        <v>9502</v>
      </c>
      <c r="H652" s="91" t="s">
        <v>3123</v>
      </c>
      <c r="I652" s="83" t="s">
        <v>3124</v>
      </c>
      <c r="J652" s="83" t="s">
        <v>150</v>
      </c>
      <c r="K652" s="83" t="s">
        <v>151</v>
      </c>
      <c r="L652" s="83" t="s">
        <v>152</v>
      </c>
      <c r="M652" s="82" t="str">
        <f>IFERROR(__xludf.DUMMYFUNCTION("IFERROR(VLOOKUP(D652,
IMPORTRANGE(""https://docs.google.com/spreadsheets/d/1MjHtlUikwobi2MaWJgy7tfLeBmhj1u-dRFRs_8GwSoA/edit#gid=0"",""Gestores Escolares!D7:J""),3,0),""VERIFICAR CÓD SEC"")")," FRANCIELMA PEREIRA MAGALHAES BRITO ")</f>
        <v> FRANCIELMA PEREIRA MAGALHAES BRITO </v>
      </c>
      <c r="N652" s="82" t="str">
        <f>IFERROR(__xludf.DUMMYFUNCTION("IFERROR(VLOOKUP(D652,
IMPORTRANGE(""https://docs.google.com/spreadsheets/d/1MjHtlUikwobi2MaWJgy7tfLeBmhj1u-dRFRs_8GwSoA/edit#gid=0"",""Gestores Escolares!D7:J""),4,0),""VERIFICAR CÓD SEC"")"),"(87) 9 8127-7229")</f>
        <v>(87) 9 8127-7229</v>
      </c>
      <c r="O652" s="82" t="str">
        <f>IFERROR(__xludf.DUMMYFUNCTION("IFERROR(VLOOKUP(D652,
IMPORTRANGE(""https://docs.google.com/spreadsheets/d/1MjHtlUikwobi2MaWJgy7tfLeBmhj1u-dRFRs_8GwSoA/edit#gid=0"",""Gestores Escolares!D7:J""),6,0),""VERIFICAR CÓD SEC"")"),"ELISANGELA BRAGA SILVA LIMA (RESPONDENDO PELO CARGO DE DIREÇÃO DE ESCOLA, ATÉ O RETORNO DA DIREÇÃO) ")</f>
        <v>ELISANGELA BRAGA SILVA LIMA (RESPONDENDO PELO CARGO DE DIREÇÃO DE ESCOLA, ATÉ O RETORNO DA DIREÇÃO) </v>
      </c>
      <c r="P652" s="82" t="str">
        <f>IFERROR(__xludf.DUMMYFUNCTION("IFERROR(VLOOKUP(D652,
IMPORTRANGE(""https://docs.google.com/spreadsheets/d/1MjHtlUikwobi2MaWJgy7tfLeBmhj1u-dRFRs_8GwSoA/edit#gid=0"",""Gestores Escolares!D7:J""),7,0),""VERIFICAR CÓD SEC"")"),"(75) 9 9858-6755")</f>
        <v>(75) 9 9858-6755</v>
      </c>
      <c r="Q652" s="82" t="str">
        <f>IFERROR(__xludf.DUMMYFUNCTION("IFERROR(VLOOKUP(D652,
IMPORTRANGE(""https://docs.google.com/spreadsheets/d/1MjHtlUikwobi2MaWJgy7tfLeBmhj1u-dRFRs_8GwSoA/edit#gid=0"",""Gestores Escolares!D7:m""),9,0),""VERIFICAR CÓD SEC"")"),"")</f>
        <v/>
      </c>
      <c r="R652" s="82" t="str">
        <f>IFERROR(__xludf.DUMMYFUNCTION("IFERROR(VLOOKUP(D652,
IMPORTRANGE(""https://docs.google.com/spreadsheets/d/1MjHtlUikwobi2MaWJgy7tfLeBmhj1u-dRFRs_8GwSoA/edit#gid=0"",""Gestores Escolares!D7:m""),10,0),""VERIFICAR CÓD SEC"")"),"")</f>
        <v/>
      </c>
      <c r="S652" s="82"/>
      <c r="T652" s="138">
        <v>11.0</v>
      </c>
      <c r="U652" s="217" t="s">
        <v>9507</v>
      </c>
      <c r="V652" s="106">
        <v>0.0</v>
      </c>
      <c r="W652" s="107">
        <v>0.0</v>
      </c>
      <c r="X652" s="107">
        <v>0.0</v>
      </c>
      <c r="Y652" s="107">
        <v>0.0</v>
      </c>
      <c r="Z652" s="80">
        <f t="shared" si="1"/>
        <v>0</v>
      </c>
      <c r="AA652" s="106">
        <v>105.0</v>
      </c>
      <c r="AB652" s="107">
        <v>162.0</v>
      </c>
      <c r="AC652" s="107">
        <v>0.0</v>
      </c>
      <c r="AD652" s="107">
        <v>0.0</v>
      </c>
      <c r="AE652" s="80">
        <f t="shared" si="2"/>
        <v>267</v>
      </c>
      <c r="AF652" s="140">
        <v>51.0</v>
      </c>
      <c r="AG652" s="109">
        <v>44.0</v>
      </c>
      <c r="AH652" s="109">
        <v>0.0</v>
      </c>
      <c r="AI652" s="141">
        <v>107.0</v>
      </c>
      <c r="AJ652" s="80">
        <f t="shared" si="3"/>
        <v>202</v>
      </c>
      <c r="AK652" s="140">
        <v>0.0</v>
      </c>
      <c r="AL652" s="109">
        <v>0.0</v>
      </c>
      <c r="AM652" s="141">
        <v>0.0</v>
      </c>
      <c r="AN652" s="80">
        <f t="shared" si="4"/>
        <v>0</v>
      </c>
      <c r="AO652" s="140">
        <v>0.0</v>
      </c>
      <c r="AP652" s="109">
        <v>0.0</v>
      </c>
      <c r="AQ652" s="109">
        <v>91.0</v>
      </c>
      <c r="AR652" s="80">
        <f t="shared" si="5"/>
        <v>91</v>
      </c>
      <c r="AS652" s="110">
        <v>0.0</v>
      </c>
      <c r="AT652" s="110">
        <v>0.0</v>
      </c>
      <c r="AU652" s="110">
        <v>0.0</v>
      </c>
      <c r="AV652" s="142">
        <v>0.0</v>
      </c>
      <c r="AW652" s="80">
        <f t="shared" si="6"/>
        <v>0</v>
      </c>
      <c r="AX652" s="113">
        <f t="shared" si="7"/>
        <v>560</v>
      </c>
      <c r="AY652" s="117">
        <f t="shared" si="8"/>
        <v>469</v>
      </c>
      <c r="AZ652" s="120">
        <f t="shared" si="9"/>
        <v>91</v>
      </c>
      <c r="BA652" s="115">
        <v>0.0</v>
      </c>
      <c r="BB652" s="89">
        <f t="shared" si="10"/>
        <v>560</v>
      </c>
      <c r="BC652" s="132" t="s">
        <v>178</v>
      </c>
      <c r="BD652" s="132" t="s">
        <v>178</v>
      </c>
      <c r="BE652" s="132" t="s">
        <v>178</v>
      </c>
      <c r="BF652" s="156"/>
      <c r="BG652" s="83">
        <v>1176930.0</v>
      </c>
      <c r="BH652" s="112"/>
      <c r="BI652" s="112">
        <v>11.0</v>
      </c>
      <c r="BJ652" s="98" t="s">
        <v>155</v>
      </c>
      <c r="BK652" s="99">
        <f t="shared" si="11"/>
        <v>107</v>
      </c>
      <c r="BL652" s="99">
        <f t="shared" si="12"/>
        <v>362</v>
      </c>
      <c r="BM652" s="99" t="str">
        <f>IFERROR(__xludf.DUMMYFUNCTION("IFERROR(VLOOKUP(BG652,IMPORTRANGE(""https://docs.google.com/spreadsheets/d/1juPI-Fb8LD0YtltB2mlGEnp_R3UVu1t3wSFPzgCyHXE/edit?gid=0#gid=0"",""GERAL!A2:C""),3,0),""-"")"),"-")</f>
        <v>-</v>
      </c>
    </row>
    <row r="653" ht="15.75" customHeight="1">
      <c r="A653" s="111" t="s">
        <v>796</v>
      </c>
      <c r="B653" s="83" t="s">
        <v>2087</v>
      </c>
      <c r="C653" s="83" t="s">
        <v>68</v>
      </c>
      <c r="D653" s="112">
        <v>1120338.0</v>
      </c>
      <c r="E653" s="83"/>
      <c r="F653" s="83">
        <v>2.9024765E7</v>
      </c>
      <c r="G653" s="119" t="s">
        <v>9513</v>
      </c>
      <c r="H653" s="91" t="s">
        <v>3129</v>
      </c>
      <c r="I653" s="83" t="s">
        <v>3130</v>
      </c>
      <c r="J653" s="83" t="s">
        <v>150</v>
      </c>
      <c r="K653" s="83" t="s">
        <v>151</v>
      </c>
      <c r="L653" s="83" t="s">
        <v>152</v>
      </c>
      <c r="M653" s="82" t="str">
        <f>IFERROR(__xludf.DUMMYFUNCTION("IFERROR(VLOOKUP(D653,
IMPORTRANGE(""https://docs.google.com/spreadsheets/d/1MjHtlUikwobi2MaWJgy7tfLeBmhj1u-dRFRs_8GwSoA/edit#gid=0"",""Gestores Escolares!D7:J""),3,0),""VERIFICAR CÓD SEC"")"),"JOSÉ ADELSON TELES DA GRAÇA")</f>
        <v>JOSÉ ADELSON TELES DA GRAÇA</v>
      </c>
      <c r="N653" s="82" t="str">
        <f>IFERROR(__xludf.DUMMYFUNCTION("IFERROR(VLOOKUP(D653,
IMPORTRANGE(""https://docs.google.com/spreadsheets/d/1MjHtlUikwobi2MaWJgy7tfLeBmhj1u-dRFRs_8GwSoA/edit#gid=0"",""Gestores Escolares!D7:J""),4,0),""VERIFICAR CÓD SEC"")"),"(74) 9 8814-3275")</f>
        <v>(74) 9 8814-3275</v>
      </c>
      <c r="O653" s="82" t="str">
        <f>IFERROR(__xludf.DUMMYFUNCTION("IFERROR(VLOOKUP(D653,
IMPORTRANGE(""https://docs.google.com/spreadsheets/d/1MjHtlUikwobi2MaWJgy7tfLeBmhj1u-dRFRs_8GwSoA/edit#gid=0"",""Gestores Escolares!D7:J""),6,0),""VERIFICAR CÓD SEC"")"),"APARECIDA ARAUJO BEZERRA DE SOUZA")</f>
        <v>APARECIDA ARAUJO BEZERRA DE SOUZA</v>
      </c>
      <c r="P653" s="82" t="str">
        <f>IFERROR(__xludf.DUMMYFUNCTION("IFERROR(VLOOKUP(D653,
IMPORTRANGE(""https://docs.google.com/spreadsheets/d/1MjHtlUikwobi2MaWJgy7tfLeBmhj1u-dRFRs_8GwSoA/edit#gid=0"",""Gestores Escolares!D7:J""),7,0),""VERIFICAR CÓD SEC"")"),"(87) 9 8826-6387")</f>
        <v>(87) 9 8826-6387</v>
      </c>
      <c r="Q653" s="82" t="str">
        <f>IFERROR(__xludf.DUMMYFUNCTION("IFERROR(VLOOKUP(D653,
IMPORTRANGE(""https://docs.google.com/spreadsheets/d/1MjHtlUikwobi2MaWJgy7tfLeBmhj1u-dRFRs_8GwSoA/edit#gid=0"",""Gestores Escolares!D7:m""),9,0),""VERIFICAR CÓD SEC"")"),"MARIA DO SOCORRO ALVES BARBOSA")</f>
        <v>MARIA DO SOCORRO ALVES BARBOSA</v>
      </c>
      <c r="R653" s="82" t="str">
        <f>IFERROR(__xludf.DUMMYFUNCTION("IFERROR(VLOOKUP(D653,
IMPORTRANGE(""https://docs.google.com/spreadsheets/d/1MjHtlUikwobi2MaWJgy7tfLeBmhj1u-dRFRs_8GwSoA/edit#gid=0"",""Gestores Escolares!D7:m""),10,0),""VERIFICAR CÓD SEC"")"),"(74) 9 9110-1238")</f>
        <v>(74) 9 9110-1238</v>
      </c>
      <c r="S653" s="82"/>
      <c r="T653" s="138">
        <v>10.0</v>
      </c>
      <c r="U653" s="217">
        <v>9.0</v>
      </c>
      <c r="V653" s="106">
        <v>0.0</v>
      </c>
      <c r="W653" s="107">
        <v>0.0</v>
      </c>
      <c r="X653" s="107">
        <v>0.0</v>
      </c>
      <c r="Y653" s="107">
        <v>0.0</v>
      </c>
      <c r="Z653" s="80">
        <f t="shared" si="1"/>
        <v>0</v>
      </c>
      <c r="AA653" s="106">
        <v>239.0</v>
      </c>
      <c r="AB653" s="107">
        <v>222.0</v>
      </c>
      <c r="AC653" s="107">
        <v>0.0</v>
      </c>
      <c r="AD653" s="107">
        <v>106.0</v>
      </c>
      <c r="AE653" s="80">
        <f t="shared" si="2"/>
        <v>567</v>
      </c>
      <c r="AF653" s="140">
        <v>0.0</v>
      </c>
      <c r="AG653" s="109">
        <v>0.0</v>
      </c>
      <c r="AH653" s="109">
        <v>0.0</v>
      </c>
      <c r="AI653" s="141">
        <v>0.0</v>
      </c>
      <c r="AJ653" s="80">
        <f t="shared" si="3"/>
        <v>0</v>
      </c>
      <c r="AK653" s="140">
        <v>0.0</v>
      </c>
      <c r="AL653" s="109">
        <v>0.0</v>
      </c>
      <c r="AM653" s="141">
        <v>75.0</v>
      </c>
      <c r="AN653" s="80">
        <f t="shared" si="4"/>
        <v>75</v>
      </c>
      <c r="AO653" s="140">
        <v>0.0</v>
      </c>
      <c r="AP653" s="109">
        <v>0.0</v>
      </c>
      <c r="AQ653" s="109">
        <v>0.0</v>
      </c>
      <c r="AR653" s="80">
        <f t="shared" si="5"/>
        <v>0</v>
      </c>
      <c r="AS653" s="110">
        <v>0.0</v>
      </c>
      <c r="AT653" s="110">
        <v>0.0</v>
      </c>
      <c r="AU653" s="110">
        <v>0.0</v>
      </c>
      <c r="AV653" s="142">
        <v>0.0</v>
      </c>
      <c r="AW653" s="80">
        <f t="shared" si="6"/>
        <v>0</v>
      </c>
      <c r="AX653" s="113">
        <f t="shared" si="7"/>
        <v>642</v>
      </c>
      <c r="AY653" s="117">
        <f t="shared" si="8"/>
        <v>567</v>
      </c>
      <c r="AZ653" s="120">
        <f t="shared" si="9"/>
        <v>75</v>
      </c>
      <c r="BA653" s="115">
        <v>0.0</v>
      </c>
      <c r="BB653" s="89">
        <f t="shared" si="10"/>
        <v>642</v>
      </c>
      <c r="BC653" s="132" t="s">
        <v>178</v>
      </c>
      <c r="BD653" s="132" t="s">
        <v>178</v>
      </c>
      <c r="BE653" s="132" t="s">
        <v>178</v>
      </c>
      <c r="BF653" s="123"/>
      <c r="BG653" s="83">
        <v>1120338.0</v>
      </c>
      <c r="BH653" s="112"/>
      <c r="BI653" s="112">
        <v>10.0</v>
      </c>
      <c r="BJ653" s="98" t="s">
        <v>155</v>
      </c>
      <c r="BK653" s="99">
        <f t="shared" si="11"/>
        <v>106</v>
      </c>
      <c r="BL653" s="99">
        <f t="shared" si="12"/>
        <v>461</v>
      </c>
      <c r="BM653" s="99" t="str">
        <f>IFERROR(__xludf.DUMMYFUNCTION("IFERROR(VLOOKUP(BG653,IMPORTRANGE(""https://docs.google.com/spreadsheets/d/1juPI-Fb8LD0YtltB2mlGEnp_R3UVu1t3wSFPzgCyHXE/edit?gid=0#gid=0"",""GERAL!A2:C""),3,0),""-"")"),"-")</f>
        <v>-</v>
      </c>
    </row>
    <row r="654" ht="15.75" customHeight="1">
      <c r="A654" s="111" t="s">
        <v>796</v>
      </c>
      <c r="B654" s="83" t="s">
        <v>2087</v>
      </c>
      <c r="C654" s="83" t="s">
        <v>68</v>
      </c>
      <c r="D654" s="112">
        <v>1160950.0</v>
      </c>
      <c r="E654" s="83"/>
      <c r="F654" s="83">
        <v>2.9024846E7</v>
      </c>
      <c r="G654" s="119" t="s">
        <v>3111</v>
      </c>
      <c r="H654" s="91" t="s">
        <v>3112</v>
      </c>
      <c r="I654" s="83" t="s">
        <v>3113</v>
      </c>
      <c r="J654" s="83" t="s">
        <v>150</v>
      </c>
      <c r="K654" s="83" t="s">
        <v>151</v>
      </c>
      <c r="L654" s="83" t="s">
        <v>152</v>
      </c>
      <c r="M654" s="82" t="str">
        <f>IFERROR(__xludf.DUMMYFUNCTION("IFERROR(VLOOKUP(D654,
IMPORTRANGE(""https://docs.google.com/spreadsheets/d/1MjHtlUikwobi2MaWJgy7tfLeBmhj1u-dRFRs_8GwSoA/edit#gid=0"",""Gestores Escolares!D7:J""),3,0),""VERIFICAR CÓD SEC"")"),"ROBERIO GRANJA")</f>
        <v>ROBERIO GRANJA</v>
      </c>
      <c r="N654" s="82" t="str">
        <f>IFERROR(__xludf.DUMMYFUNCTION("IFERROR(VLOOKUP(D654,
IMPORTRANGE(""https://docs.google.com/spreadsheets/d/1MjHtlUikwobi2MaWJgy7tfLeBmhj1u-dRFRs_8GwSoA/edit#gid=0"",""Gestores Escolares!D7:J""),4,0),""VERIFICAR CÓD SEC"")"),"(87) 9 8841-5279")</f>
        <v>(87) 9 8841-5279</v>
      </c>
      <c r="O654" s="82" t="str">
        <f>IFERROR(__xludf.DUMMYFUNCTION("IFERROR(VLOOKUP(D654,
IMPORTRANGE(""https://docs.google.com/spreadsheets/d/1MjHtlUikwobi2MaWJgy7tfLeBmhj1u-dRFRs_8GwSoA/edit#gid=0"",""Gestores Escolares!D7:J""),6,0),""VERIFICAR CÓD SEC"")"),"MARIA PERPETUA NETO")</f>
        <v>MARIA PERPETUA NETO</v>
      </c>
      <c r="P654" s="82" t="str">
        <f>IFERROR(__xludf.DUMMYFUNCTION("IFERROR(VLOOKUP(D654,
IMPORTRANGE(""https://docs.google.com/spreadsheets/d/1MjHtlUikwobi2MaWJgy7tfLeBmhj1u-dRFRs_8GwSoA/edit#gid=0"",""Gestores Escolares!D7:J""),7,0),""VERIFICAR CÓD SEC"")"),"(87) 9 8803-6054")</f>
        <v>(87) 9 8803-6054</v>
      </c>
      <c r="Q654" s="82" t="str">
        <f>IFERROR(__xludf.DUMMYFUNCTION("IFERROR(VLOOKUP(D654,
IMPORTRANGE(""https://docs.google.com/spreadsheets/d/1MjHtlUikwobi2MaWJgy7tfLeBmhj1u-dRFRs_8GwSoA/edit#gid=0"",""Gestores Escolares!D7:m""),9,0),""VERIFICAR CÓD SEC"")"),"")</f>
        <v/>
      </c>
      <c r="R654" s="82" t="str">
        <f>IFERROR(__xludf.DUMMYFUNCTION("IFERROR(VLOOKUP(D654,
IMPORTRANGE(""https://docs.google.com/spreadsheets/d/1MjHtlUikwobi2MaWJgy7tfLeBmhj1u-dRFRs_8GwSoA/edit#gid=0"",""Gestores Escolares!D7:m""),10,0),""VERIFICAR CÓD SEC"")"),"")</f>
        <v/>
      </c>
      <c r="S654" s="82"/>
      <c r="T654" s="138">
        <v>6.0</v>
      </c>
      <c r="U654" s="217">
        <v>6.0</v>
      </c>
      <c r="V654" s="106">
        <v>0.0</v>
      </c>
      <c r="W654" s="107">
        <v>0.0</v>
      </c>
      <c r="X654" s="107">
        <v>0.0</v>
      </c>
      <c r="Y654" s="107">
        <v>0.0</v>
      </c>
      <c r="Z654" s="80">
        <f t="shared" si="1"/>
        <v>0</v>
      </c>
      <c r="AA654" s="106">
        <v>27.0</v>
      </c>
      <c r="AB654" s="107">
        <v>120.0</v>
      </c>
      <c r="AC654" s="107">
        <v>0.0</v>
      </c>
      <c r="AD654" s="107">
        <v>0.0</v>
      </c>
      <c r="AE654" s="80">
        <f t="shared" si="2"/>
        <v>147</v>
      </c>
      <c r="AF654" s="140">
        <v>39.0</v>
      </c>
      <c r="AG654" s="109">
        <v>0.0</v>
      </c>
      <c r="AH654" s="109">
        <v>0.0</v>
      </c>
      <c r="AI654" s="141">
        <v>93.0</v>
      </c>
      <c r="AJ654" s="80">
        <f t="shared" si="3"/>
        <v>132</v>
      </c>
      <c r="AK654" s="140">
        <v>0.0</v>
      </c>
      <c r="AL654" s="109">
        <v>0.0</v>
      </c>
      <c r="AM654" s="141">
        <v>0.0</v>
      </c>
      <c r="AN654" s="80">
        <f t="shared" si="4"/>
        <v>0</v>
      </c>
      <c r="AO654" s="140">
        <v>0.0</v>
      </c>
      <c r="AP654" s="109">
        <v>0.0</v>
      </c>
      <c r="AQ654" s="109">
        <v>85.0</v>
      </c>
      <c r="AR654" s="80">
        <f t="shared" si="5"/>
        <v>85</v>
      </c>
      <c r="AS654" s="110">
        <v>0.0</v>
      </c>
      <c r="AT654" s="110">
        <v>0.0</v>
      </c>
      <c r="AU654" s="110">
        <v>0.0</v>
      </c>
      <c r="AV654" s="142">
        <v>0.0</v>
      </c>
      <c r="AW654" s="80">
        <f t="shared" si="6"/>
        <v>0</v>
      </c>
      <c r="AX654" s="113">
        <f t="shared" si="7"/>
        <v>364</v>
      </c>
      <c r="AY654" s="117">
        <f t="shared" si="8"/>
        <v>279</v>
      </c>
      <c r="AZ654" s="120">
        <f t="shared" si="9"/>
        <v>85</v>
      </c>
      <c r="BA654" s="115">
        <v>0.0</v>
      </c>
      <c r="BB654" s="89">
        <f t="shared" si="10"/>
        <v>364</v>
      </c>
      <c r="BC654" s="132" t="s">
        <v>178</v>
      </c>
      <c r="BD654" s="132" t="s">
        <v>178</v>
      </c>
      <c r="BE654" s="132" t="s">
        <v>178</v>
      </c>
      <c r="BF654" s="156"/>
      <c r="BG654" s="83">
        <v>1160950.0</v>
      </c>
      <c r="BH654" s="98"/>
      <c r="BI654" s="98">
        <v>10.0</v>
      </c>
      <c r="BJ654" s="98" t="s">
        <v>284</v>
      </c>
      <c r="BK654" s="99">
        <f t="shared" si="11"/>
        <v>93</v>
      </c>
      <c r="BL654" s="99">
        <f t="shared" si="12"/>
        <v>186</v>
      </c>
      <c r="BM654" s="99" t="str">
        <f>IFERROR(__xludf.DUMMYFUNCTION("IFERROR(VLOOKUP(BG654,IMPORTRANGE(""https://docs.google.com/spreadsheets/d/1juPI-Fb8LD0YtltB2mlGEnp_R3UVu1t3wSFPzgCyHXE/edit?gid=0#gid=0"",""GERAL!A2:C""),3,0),""-"")"),"-")</f>
        <v>-</v>
      </c>
    </row>
    <row r="655" ht="15.75" customHeight="1">
      <c r="A655" s="111" t="s">
        <v>796</v>
      </c>
      <c r="B655" s="83" t="s">
        <v>2087</v>
      </c>
      <c r="C655" s="83" t="s">
        <v>68</v>
      </c>
      <c r="D655" s="112">
        <v>1120389.0</v>
      </c>
      <c r="E655" s="83"/>
      <c r="F655" s="83">
        <v>2.9024862E7</v>
      </c>
      <c r="G655" s="114" t="s">
        <v>3116</v>
      </c>
      <c r="H655" s="91" t="s">
        <v>3117</v>
      </c>
      <c r="I655" s="83" t="s">
        <v>3118</v>
      </c>
      <c r="J655" s="83" t="s">
        <v>150</v>
      </c>
      <c r="K655" s="83" t="s">
        <v>151</v>
      </c>
      <c r="L655" s="98" t="s">
        <v>230</v>
      </c>
      <c r="M655" s="82" t="str">
        <f>IFERROR(__xludf.DUMMYFUNCTION("IFERROR(VLOOKUP(D655,
IMPORTRANGE(""https://docs.google.com/spreadsheets/d/1MjHtlUikwobi2MaWJgy7tfLeBmhj1u-dRFRs_8GwSoA/edit#gid=0"",""Gestores Escolares!D7:J""),3,0),""VERIFICAR CÓD SEC"")"),"LINDOMAR DE SOUZA MENEZES")</f>
        <v>LINDOMAR DE SOUZA MENEZES</v>
      </c>
      <c r="N655" s="82" t="str">
        <f>IFERROR(__xludf.DUMMYFUNCTION("IFERROR(VLOOKUP(D655,
IMPORTRANGE(""https://docs.google.com/spreadsheets/d/1MjHtlUikwobi2MaWJgy7tfLeBmhj1u-dRFRs_8GwSoA/edit#gid=0"",""Gestores Escolares!D7:J""),4,0),""VERIFICAR CÓD SEC"")"),"(74) 9 9809-5034")</f>
        <v>(74) 9 9809-5034</v>
      </c>
      <c r="O655" s="82" t="str">
        <f>IFERROR(__xludf.DUMMYFUNCTION("IFERROR(VLOOKUP(D655,
IMPORTRANGE(""https://docs.google.com/spreadsheets/d/1MjHtlUikwobi2MaWJgy7tfLeBmhj1u-dRFRs_8GwSoA/edit#gid=0"",""Gestores Escolares!D7:J""),6,0),""VERIFICAR CÓD SEC"")"),"LILIAN DE SOUZA SILVA RODRIGUES")</f>
        <v>LILIAN DE SOUZA SILVA RODRIGUES</v>
      </c>
      <c r="P655" s="82" t="str">
        <f>IFERROR(__xludf.DUMMYFUNCTION("IFERROR(VLOOKUP(D655,
IMPORTRANGE(""https://docs.google.com/spreadsheets/d/1MjHtlUikwobi2MaWJgy7tfLeBmhj1u-dRFRs_8GwSoA/edit#gid=0"",""Gestores Escolares!D7:J""),7,0),""VERIFICAR CÓD SEC"")"),"(74) 9 8813-5474")</f>
        <v>(74) 9 8813-5474</v>
      </c>
      <c r="Q655" s="82" t="str">
        <f>IFERROR(__xludf.DUMMYFUNCTION("IFERROR(VLOOKUP(D655,
IMPORTRANGE(""https://docs.google.com/spreadsheets/d/1MjHtlUikwobi2MaWJgy7tfLeBmhj1u-dRFRs_8GwSoA/edit#gid=0"",""Gestores Escolares!D7:m""),9,0),""VERIFICAR CÓD SEC"")"),"ADILSON DE SOUSA MOREIRA")</f>
        <v>ADILSON DE SOUSA MOREIRA</v>
      </c>
      <c r="R655" s="82" t="str">
        <f>IFERROR(__xludf.DUMMYFUNCTION("IFERROR(VLOOKUP(D655,
IMPORTRANGE(""https://docs.google.com/spreadsheets/d/1MjHtlUikwobi2MaWJgy7tfLeBmhj1u-dRFRs_8GwSoA/edit#gid=0"",""Gestores Escolares!D7:m""),10,0),""VERIFICAR CÓD SEC"")"),"(74) 9 8861-0841")</f>
        <v>(74) 9 8861-0841</v>
      </c>
      <c r="S655" s="82"/>
      <c r="T655" s="138">
        <v>11.0</v>
      </c>
      <c r="U655" s="217" t="s">
        <v>9563</v>
      </c>
      <c r="V655" s="106">
        <v>0.0</v>
      </c>
      <c r="W655" s="107">
        <v>0.0</v>
      </c>
      <c r="X655" s="107">
        <v>0.0</v>
      </c>
      <c r="Y655" s="107">
        <v>0.0</v>
      </c>
      <c r="Z655" s="80">
        <f t="shared" si="1"/>
        <v>0</v>
      </c>
      <c r="AA655" s="106">
        <v>0.0</v>
      </c>
      <c r="AB655" s="107">
        <v>0.0</v>
      </c>
      <c r="AC655" s="107">
        <v>0.0</v>
      </c>
      <c r="AD655" s="107">
        <v>0.0</v>
      </c>
      <c r="AE655" s="80">
        <f t="shared" si="2"/>
        <v>0</v>
      </c>
      <c r="AF655" s="140">
        <v>98.0</v>
      </c>
      <c r="AG655" s="109">
        <v>40.0</v>
      </c>
      <c r="AH655" s="109">
        <v>0.0</v>
      </c>
      <c r="AI655" s="141">
        <v>39.0</v>
      </c>
      <c r="AJ655" s="80">
        <f t="shared" si="3"/>
        <v>177</v>
      </c>
      <c r="AK655" s="140">
        <v>0.0</v>
      </c>
      <c r="AL655" s="109">
        <v>0.0</v>
      </c>
      <c r="AM655" s="141">
        <v>0.0</v>
      </c>
      <c r="AN655" s="80">
        <f t="shared" si="4"/>
        <v>0</v>
      </c>
      <c r="AO655" s="140">
        <v>0.0</v>
      </c>
      <c r="AP655" s="109">
        <v>0.0</v>
      </c>
      <c r="AQ655" s="109">
        <v>69.0</v>
      </c>
      <c r="AR655" s="80">
        <f t="shared" si="5"/>
        <v>69</v>
      </c>
      <c r="AS655" s="110">
        <v>27.0</v>
      </c>
      <c r="AT655" s="110">
        <v>0.0</v>
      </c>
      <c r="AU655" s="110">
        <v>0.0</v>
      </c>
      <c r="AV655" s="142">
        <v>0.0</v>
      </c>
      <c r="AW655" s="80">
        <f t="shared" si="6"/>
        <v>27</v>
      </c>
      <c r="AX655" s="113">
        <f t="shared" si="7"/>
        <v>273</v>
      </c>
      <c r="AY655" s="117">
        <f t="shared" si="8"/>
        <v>204</v>
      </c>
      <c r="AZ655" s="120">
        <f t="shared" si="9"/>
        <v>69</v>
      </c>
      <c r="BA655" s="115">
        <v>0.0</v>
      </c>
      <c r="BB655" s="89">
        <f t="shared" si="10"/>
        <v>273</v>
      </c>
      <c r="BC655" s="132" t="s">
        <v>178</v>
      </c>
      <c r="BD655" s="132" t="s">
        <v>178</v>
      </c>
      <c r="BE655" s="132" t="s">
        <v>178</v>
      </c>
      <c r="BF655" s="123"/>
      <c r="BG655" s="83">
        <v>1120389.0</v>
      </c>
      <c r="BH655" s="112"/>
      <c r="BI655" s="112">
        <v>10.0</v>
      </c>
      <c r="BJ655" s="98" t="s">
        <v>155</v>
      </c>
      <c r="BK655" s="99">
        <f t="shared" si="11"/>
        <v>39</v>
      </c>
      <c r="BL655" s="99">
        <f t="shared" si="12"/>
        <v>165</v>
      </c>
      <c r="BM655" s="99" t="str">
        <f>IFERROR(__xludf.DUMMYFUNCTION("IFERROR(VLOOKUP(BG655,IMPORTRANGE(""https://docs.google.com/spreadsheets/d/1juPI-Fb8LD0YtltB2mlGEnp_R3UVu1t3wSFPzgCyHXE/edit?gid=0#gid=0"",""GERAL!A2:C""),3,0),""-"")"),"-")</f>
        <v>-</v>
      </c>
    </row>
    <row r="656" ht="15.75" customHeight="1">
      <c r="A656" s="111" t="s">
        <v>796</v>
      </c>
      <c r="B656" s="83" t="s">
        <v>2087</v>
      </c>
      <c r="C656" s="83" t="s">
        <v>68</v>
      </c>
      <c r="D656" s="112">
        <v>1120311.0</v>
      </c>
      <c r="E656" s="83"/>
      <c r="F656" s="83">
        <v>2.9025028E7</v>
      </c>
      <c r="G656" s="119" t="s">
        <v>3132</v>
      </c>
      <c r="H656" s="91" t="s">
        <v>3133</v>
      </c>
      <c r="I656" s="83" t="s">
        <v>3134</v>
      </c>
      <c r="J656" s="83" t="s">
        <v>150</v>
      </c>
      <c r="K656" s="83" t="s">
        <v>151</v>
      </c>
      <c r="L656" s="83" t="s">
        <v>152</v>
      </c>
      <c r="M656" s="82" t="str">
        <f>IFERROR(__xludf.DUMMYFUNCTION("IFERROR(VLOOKUP(D656,
IMPORTRANGE(""https://docs.google.com/spreadsheets/d/1MjHtlUikwobi2MaWJgy7tfLeBmhj1u-dRFRs_8GwSoA/edit#gid=0"",""Gestores Escolares!D7:J""),3,0),""VERIFICAR CÓD SEC"")"),"DIREÇÃO DA ESCOLA:  EDNA MARIA DE SOUZA SANTOS - (87) 9 8809-4970
DIREÇÃO DA UNIDADE PM: QOPM JOSE NON OLIVEIRA DE SOUZA - (74) 9 9199-8326/ 9 8815-6225
DIREÇÃO DO ADJUNTO: Major QOPM MARIDESIA LOPES BISPO - (74) 9 9139-2512")</f>
        <v>DIREÇÃO DA ESCOLA:  EDNA MARIA DE SOUZA SANTOS - (87) 9 8809-4970
DIREÇÃO DA UNIDADE PM: QOPM JOSE NON OLIVEIRA DE SOUZA - (74) 9 9199-8326/ 9 8815-6225
DIREÇÃO DO ADJUNTO: Major QOPM MARIDESIA LOPES BISPO - (74) 9 9139-2512</v>
      </c>
      <c r="N656" s="82" t="str">
        <f>IFERROR(__xludf.DUMMYFUNCTION("IFERROR(VLOOKUP(D656,
IMPORTRANGE(""https://docs.google.com/spreadsheets/d/1MjHtlUikwobi2MaWJgy7tfLeBmhj1u-dRFRs_8GwSoA/edit#gid=0"",""Gestores Escolares!D7:J""),4,0),""VERIFICAR CÓD SEC"")"),"-")</f>
        <v>-</v>
      </c>
      <c r="O656" s="82" t="str">
        <f>IFERROR(__xludf.DUMMYFUNCTION("IFERROR(VLOOKUP(D656,
IMPORTRANGE(""https://docs.google.com/spreadsheets/d/1MjHtlUikwobi2MaWJgy7tfLeBmhj1u-dRFRs_8GwSoA/edit#gid=0"",""Gestores Escolares!D7:J""),6,0),""VERIFICAR CÓD SEC"")"),"LUIZ CARLOS DE SOUZA")</f>
        <v>LUIZ CARLOS DE SOUZA</v>
      </c>
      <c r="P656" s="82" t="str">
        <f>IFERROR(__xludf.DUMMYFUNCTION("IFERROR(VLOOKUP(D656,
IMPORTRANGE(""https://docs.google.com/spreadsheets/d/1MjHtlUikwobi2MaWJgy7tfLeBmhj1u-dRFRs_8GwSoA/edit#gid=0"",""Gestores Escolares!D7:J""),7,0),""VERIFICAR CÓD SEC"")"),"(87) 9 9179-2572")</f>
        <v>(87) 9 9179-2572</v>
      </c>
      <c r="Q656" s="82" t="str">
        <f>IFERROR(__xludf.DUMMYFUNCTION("IFERROR(VLOOKUP(D656,
IMPORTRANGE(""https://docs.google.com/spreadsheets/d/1MjHtlUikwobi2MaWJgy7tfLeBmhj1u-dRFRs_8GwSoA/edit#gid=0"",""Gestores Escolares!D7:m""),9,0),""VERIFICAR CÓD SEC"")")," ISANA SHASTA RODRIGUES")</f>
        <v> ISANA SHASTA RODRIGUES</v>
      </c>
      <c r="R656" s="82" t="str">
        <f>IFERROR(__xludf.DUMMYFUNCTION("IFERROR(VLOOKUP(D656,
IMPORTRANGE(""https://docs.google.com/spreadsheets/d/1MjHtlUikwobi2MaWJgy7tfLeBmhj1u-dRFRs_8GwSoA/edit#gid=0"",""Gestores Escolares!D7:m""),10,0),""VERIFICAR CÓD SEC"")"),"(74) 9 9195-8312")</f>
        <v>(74) 9 9195-8312</v>
      </c>
      <c r="S656" s="82"/>
      <c r="T656" s="138">
        <v>16.0</v>
      </c>
      <c r="U656" s="217" t="s">
        <v>9588</v>
      </c>
      <c r="V656" s="106">
        <v>0.0</v>
      </c>
      <c r="W656" s="107">
        <v>0.0</v>
      </c>
      <c r="X656" s="107">
        <v>0.0</v>
      </c>
      <c r="Y656" s="107">
        <v>0.0</v>
      </c>
      <c r="Z656" s="80">
        <f t="shared" si="1"/>
        <v>0</v>
      </c>
      <c r="AA656" s="106">
        <v>72.0</v>
      </c>
      <c r="AB656" s="107">
        <v>657.0</v>
      </c>
      <c r="AC656" s="107">
        <v>0.0</v>
      </c>
      <c r="AD656" s="107">
        <v>0.0</v>
      </c>
      <c r="AE656" s="80">
        <f t="shared" si="2"/>
        <v>729</v>
      </c>
      <c r="AF656" s="140">
        <v>510.0</v>
      </c>
      <c r="AG656" s="109">
        <v>0.0</v>
      </c>
      <c r="AH656" s="109">
        <v>0.0</v>
      </c>
      <c r="AI656" s="141">
        <v>0.0</v>
      </c>
      <c r="AJ656" s="80">
        <f t="shared" si="3"/>
        <v>510</v>
      </c>
      <c r="AK656" s="140">
        <v>0.0</v>
      </c>
      <c r="AL656" s="109">
        <v>0.0</v>
      </c>
      <c r="AM656" s="141">
        <v>0.0</v>
      </c>
      <c r="AN656" s="80">
        <f t="shared" si="4"/>
        <v>0</v>
      </c>
      <c r="AO656" s="140">
        <v>0.0</v>
      </c>
      <c r="AP656" s="109">
        <v>0.0</v>
      </c>
      <c r="AQ656" s="109">
        <v>0.0</v>
      </c>
      <c r="AR656" s="80">
        <f t="shared" si="5"/>
        <v>0</v>
      </c>
      <c r="AS656" s="110">
        <v>0.0</v>
      </c>
      <c r="AT656" s="110">
        <v>0.0</v>
      </c>
      <c r="AU656" s="110">
        <v>0.0</v>
      </c>
      <c r="AV656" s="142">
        <v>0.0</v>
      </c>
      <c r="AW656" s="80">
        <f t="shared" si="6"/>
        <v>0</v>
      </c>
      <c r="AX656" s="113">
        <f t="shared" si="7"/>
        <v>1239</v>
      </c>
      <c r="AY656" s="117">
        <f t="shared" si="8"/>
        <v>1239</v>
      </c>
      <c r="AZ656" s="120">
        <f t="shared" si="9"/>
        <v>0</v>
      </c>
      <c r="BA656" s="115">
        <v>0.0</v>
      </c>
      <c r="BB656" s="89">
        <f t="shared" si="10"/>
        <v>1239</v>
      </c>
      <c r="BC656" s="143" t="s">
        <v>1014</v>
      </c>
      <c r="BD656" s="132" t="s">
        <v>178</v>
      </c>
      <c r="BE656" s="132" t="s">
        <v>178</v>
      </c>
      <c r="BF656" s="123"/>
      <c r="BG656" s="83">
        <v>1120311.0</v>
      </c>
      <c r="BH656" s="112"/>
      <c r="BI656" s="112">
        <v>16.0</v>
      </c>
      <c r="BJ656" s="98" t="s">
        <v>176</v>
      </c>
      <c r="BK656" s="99">
        <f t="shared" si="11"/>
        <v>0</v>
      </c>
      <c r="BL656" s="99">
        <f t="shared" si="12"/>
        <v>1239</v>
      </c>
      <c r="BM656" s="99" t="str">
        <f>IFERROR(__xludf.DUMMYFUNCTION("IFERROR(VLOOKUP(BG656,IMPORTRANGE(""https://docs.google.com/spreadsheets/d/1juPI-Fb8LD0YtltB2mlGEnp_R3UVu1t3wSFPzgCyHXE/edit?gid=0#gid=0"",""GERAL!A2:C""),3,0),""-"")"),"-")</f>
        <v>-</v>
      </c>
    </row>
    <row r="657" ht="15.75" customHeight="1">
      <c r="A657" s="111" t="s">
        <v>796</v>
      </c>
      <c r="B657" s="83" t="s">
        <v>2087</v>
      </c>
      <c r="C657" s="83" t="s">
        <v>68</v>
      </c>
      <c r="D657" s="112">
        <v>1161085.0</v>
      </c>
      <c r="E657" s="83"/>
      <c r="F657" s="83">
        <v>2.9024641E7</v>
      </c>
      <c r="G657" s="114" t="s">
        <v>3137</v>
      </c>
      <c r="H657" s="91" t="s">
        <v>3138</v>
      </c>
      <c r="I657" s="83" t="s">
        <v>3139</v>
      </c>
      <c r="J657" s="83" t="s">
        <v>150</v>
      </c>
      <c r="K657" s="83" t="s">
        <v>151</v>
      </c>
      <c r="L657" s="83" t="s">
        <v>230</v>
      </c>
      <c r="M657" s="82" t="str">
        <f>IFERROR(__xludf.DUMMYFUNCTION("IFERROR(VLOOKUP(D657,
IMPORTRANGE(""https://docs.google.com/spreadsheets/d/1MjHtlUikwobi2MaWJgy7tfLeBmhj1u-dRFRs_8GwSoA/edit#gid=0"",""Gestores Escolares!D7:J""),3,0),""VERIFICAR CÓD SEC"")"),"LEILA CRISTINA SILVA SANTANA PACHECO")</f>
        <v>LEILA CRISTINA SILVA SANTANA PACHECO</v>
      </c>
      <c r="N657" s="82" t="str">
        <f>IFERROR(__xludf.DUMMYFUNCTION("IFERROR(VLOOKUP(D657,
IMPORTRANGE(""https://docs.google.com/spreadsheets/d/1MjHtlUikwobi2MaWJgy7tfLeBmhj1u-dRFRs_8GwSoA/edit#gid=0"",""Gestores Escolares!D7:J""),4,0),""VERIFICAR CÓD SEC"")"),"(87) 9 8149-0470")</f>
        <v>(87) 9 8149-0470</v>
      </c>
      <c r="O657" s="82" t="str">
        <f>IFERROR(__xludf.DUMMYFUNCTION("IFERROR(VLOOKUP(D657,
IMPORTRANGE(""https://docs.google.com/spreadsheets/d/1MjHtlUikwobi2MaWJgy7tfLeBmhj1u-dRFRs_8GwSoA/edit#gid=0"",""Gestores Escolares!D7:J""),6,0),""VERIFICAR CÓD SEC"")"),"NEILA CRISTINA RAMOS LÍRIO")</f>
        <v>NEILA CRISTINA RAMOS LÍRIO</v>
      </c>
      <c r="P657" s="82" t="str">
        <f>IFERROR(__xludf.DUMMYFUNCTION("IFERROR(VLOOKUP(D657,
IMPORTRANGE(""https://docs.google.com/spreadsheets/d/1MjHtlUikwobi2MaWJgy7tfLeBmhj1u-dRFRs_8GwSoA/edit#gid=0"",""Gestores Escolares!D7:J""),7,0),""VERIFICAR CÓD SEC"")"),"(74) 9 8817-7847")</f>
        <v>(74) 9 8817-7847</v>
      </c>
      <c r="Q657" s="82" t="str">
        <f>IFERROR(__xludf.DUMMYFUNCTION("IFERROR(VLOOKUP(D657,
IMPORTRANGE(""https://docs.google.com/spreadsheets/d/1MjHtlUikwobi2MaWJgy7tfLeBmhj1u-dRFRs_8GwSoA/edit#gid=0"",""Gestores Escolares!D7:m""),9,0),""VERIFICAR CÓD SEC"")"),"ANTONIO MARCOS NUNES BARBOSA")</f>
        <v>ANTONIO MARCOS NUNES BARBOSA</v>
      </c>
      <c r="R657" s="82" t="str">
        <f>IFERROR(__xludf.DUMMYFUNCTION("IFERROR(VLOOKUP(D657,
IMPORTRANGE(""https://docs.google.com/spreadsheets/d/1MjHtlUikwobi2MaWJgy7tfLeBmhj1u-dRFRs_8GwSoA/edit#gid=0"",""Gestores Escolares!D7:m""),10,0),""VERIFICAR CÓD SEC"")")," (87) 9 9112-5007")</f>
        <v> (87) 9 9112-5007</v>
      </c>
      <c r="S657" s="82"/>
      <c r="T657" s="138">
        <v>23.0</v>
      </c>
      <c r="U657" s="217">
        <v>17.0</v>
      </c>
      <c r="V657" s="106">
        <v>0.0</v>
      </c>
      <c r="W657" s="107">
        <v>0.0</v>
      </c>
      <c r="X657" s="107">
        <v>0.0</v>
      </c>
      <c r="Y657" s="107">
        <v>0.0</v>
      </c>
      <c r="Z657" s="80">
        <f t="shared" si="1"/>
        <v>0</v>
      </c>
      <c r="AA657" s="106">
        <v>0.0</v>
      </c>
      <c r="AB657" s="107">
        <v>0.0</v>
      </c>
      <c r="AC657" s="107">
        <v>0.0</v>
      </c>
      <c r="AD657" s="107">
        <v>0.0</v>
      </c>
      <c r="AE657" s="80">
        <f t="shared" si="2"/>
        <v>0</v>
      </c>
      <c r="AF657" s="140">
        <v>0.0</v>
      </c>
      <c r="AG657" s="109">
        <v>0.0</v>
      </c>
      <c r="AH657" s="109">
        <v>0.0</v>
      </c>
      <c r="AI657" s="141">
        <v>0.0</v>
      </c>
      <c r="AJ657" s="80">
        <f t="shared" si="3"/>
        <v>0</v>
      </c>
      <c r="AK657" s="140">
        <v>0.0</v>
      </c>
      <c r="AL657" s="109">
        <v>0.0</v>
      </c>
      <c r="AM657" s="141">
        <v>0.0</v>
      </c>
      <c r="AN657" s="80">
        <f t="shared" si="4"/>
        <v>0</v>
      </c>
      <c r="AO657" s="140">
        <v>0.0</v>
      </c>
      <c r="AP657" s="109">
        <v>0.0</v>
      </c>
      <c r="AQ657" s="109">
        <v>0.0</v>
      </c>
      <c r="AR657" s="80">
        <f t="shared" si="5"/>
        <v>0</v>
      </c>
      <c r="AS657" s="110">
        <v>508.0</v>
      </c>
      <c r="AT657" s="110">
        <v>335.0</v>
      </c>
      <c r="AU657" s="110">
        <v>180.0</v>
      </c>
      <c r="AV657" s="142">
        <v>0.0</v>
      </c>
      <c r="AW657" s="80">
        <f t="shared" si="6"/>
        <v>1023</v>
      </c>
      <c r="AX657" s="113">
        <f t="shared" si="7"/>
        <v>1023</v>
      </c>
      <c r="AY657" s="117">
        <f t="shared" si="8"/>
        <v>843</v>
      </c>
      <c r="AZ657" s="120">
        <f t="shared" si="9"/>
        <v>180</v>
      </c>
      <c r="BA657" s="115">
        <v>0.0</v>
      </c>
      <c r="BB657" s="89">
        <f t="shared" si="10"/>
        <v>1023</v>
      </c>
      <c r="BC657" s="132" t="s">
        <v>178</v>
      </c>
      <c r="BD657" s="132" t="s">
        <v>522</v>
      </c>
      <c r="BE657" s="132" t="s">
        <v>178</v>
      </c>
      <c r="BF657" s="156"/>
      <c r="BG657" s="83">
        <v>1161085.0</v>
      </c>
      <c r="BH657" s="112"/>
      <c r="BI657" s="112">
        <v>19.0</v>
      </c>
      <c r="BJ657" s="98" t="s">
        <v>284</v>
      </c>
      <c r="BK657" s="99">
        <f t="shared" si="11"/>
        <v>0</v>
      </c>
      <c r="BL657" s="99">
        <f t="shared" si="12"/>
        <v>843</v>
      </c>
      <c r="BM657" s="99" t="str">
        <f>IFERROR(__xludf.DUMMYFUNCTION("IFERROR(VLOOKUP(BG657,IMPORTRANGE(""https://docs.google.com/spreadsheets/d/1juPI-Fb8LD0YtltB2mlGEnp_R3UVu1t3wSFPzgCyHXE/edit?gid=0#gid=0"",""GERAL!A2:C""),3,0),""-"")"),"-")</f>
        <v>-</v>
      </c>
    </row>
    <row r="658" ht="15.75" customHeight="1">
      <c r="A658" s="111" t="s">
        <v>796</v>
      </c>
      <c r="B658" s="83" t="s">
        <v>2087</v>
      </c>
      <c r="C658" s="83" t="s">
        <v>68</v>
      </c>
      <c r="D658" s="112">
        <v>1179111.0</v>
      </c>
      <c r="E658" s="83"/>
      <c r="F658" s="83">
        <v>2.9456509E7</v>
      </c>
      <c r="G658" s="114" t="s">
        <v>3149</v>
      </c>
      <c r="H658" s="91" t="s">
        <v>3150</v>
      </c>
      <c r="I658" s="136" t="s">
        <v>3151</v>
      </c>
      <c r="J658" s="83" t="s">
        <v>150</v>
      </c>
      <c r="K658" s="83" t="s">
        <v>151</v>
      </c>
      <c r="L658" s="136" t="s">
        <v>230</v>
      </c>
      <c r="M658" s="82" t="str">
        <f>IFERROR(__xludf.DUMMYFUNCTION("IFERROR(VLOOKUP(D658,
IMPORTRANGE(""https://docs.google.com/spreadsheets/d/1MjHtlUikwobi2MaWJgy7tfLeBmhj1u-dRFRs_8GwSoA/edit#gid=0"",""Gestores Escolares!D7:J""),3,0),""VERIFICAR CÓD SEC"")"),"ADAILSON BARBOSA GOMES")</f>
        <v>ADAILSON BARBOSA GOMES</v>
      </c>
      <c r="N658" s="82" t="str">
        <f>IFERROR(__xludf.DUMMYFUNCTION("IFERROR(VLOOKUP(D658,
IMPORTRANGE(""https://docs.google.com/spreadsheets/d/1MjHtlUikwobi2MaWJgy7tfLeBmhj1u-dRFRs_8GwSoA/edit#gid=0"",""Gestores Escolares!D7:J""),4,0),""VERIFICAR CÓD SEC"")"),"(74) 9 8828-2249")</f>
        <v>(74) 9 8828-2249</v>
      </c>
      <c r="O658" s="82" t="str">
        <f>IFERROR(__xludf.DUMMYFUNCTION("IFERROR(VLOOKUP(D658,
IMPORTRANGE(""https://docs.google.com/spreadsheets/d/1MjHtlUikwobi2MaWJgy7tfLeBmhj1u-dRFRs_8GwSoA/edit#gid=0"",""Gestores Escolares!D7:J""),6,0),""VERIFICAR CÓD SEC"")"),"JOSE NELSON ALVES DA SILVA")</f>
        <v>JOSE NELSON ALVES DA SILVA</v>
      </c>
      <c r="P658" s="82" t="str">
        <f>IFERROR(__xludf.DUMMYFUNCTION("IFERROR(VLOOKUP(D658,
IMPORTRANGE(""https://docs.google.com/spreadsheets/d/1MjHtlUikwobi2MaWJgy7tfLeBmhj1u-dRFRs_8GwSoA/edit#gid=0"",""Gestores Escolares!D7:J""),7,0),""VERIFICAR CÓD SEC"")"),"(74) 9 8862-1210")</f>
        <v>(74) 9 8862-1210</v>
      </c>
      <c r="Q658" s="82" t="str">
        <f>IFERROR(__xludf.DUMMYFUNCTION("IFERROR(VLOOKUP(D658,
IMPORTRANGE(""https://docs.google.com/spreadsheets/d/1MjHtlUikwobi2MaWJgy7tfLeBmhj1u-dRFRs_8GwSoA/edit#gid=0"",""Gestores Escolares!D7:m""),9,0),""VERIFICAR CÓD SEC"")"),"JOSEMAR RODRIGUES SANTOS")</f>
        <v>JOSEMAR RODRIGUES SANTOS</v>
      </c>
      <c r="R658" s="82" t="str">
        <f>IFERROR(__xludf.DUMMYFUNCTION("IFERROR(VLOOKUP(D658,
IMPORTRANGE(""https://docs.google.com/spreadsheets/d/1MjHtlUikwobi2MaWJgy7tfLeBmhj1u-dRFRs_8GwSoA/edit#gid=0"",""Gestores Escolares!D7:m""),10,0),""VERIFICAR CÓD SEC"")"),"(74) 9 8832-3106")</f>
        <v>(74) 9 8832-3106</v>
      </c>
      <c r="S658" s="82"/>
      <c r="T658" s="138" t="s">
        <v>171</v>
      </c>
      <c r="U658" s="217" t="s">
        <v>533</v>
      </c>
      <c r="V658" s="106">
        <v>0.0</v>
      </c>
      <c r="W658" s="107">
        <v>0.0</v>
      </c>
      <c r="X658" s="107">
        <v>0.0</v>
      </c>
      <c r="Y658" s="107">
        <v>0.0</v>
      </c>
      <c r="Z658" s="80">
        <f t="shared" si="1"/>
        <v>0</v>
      </c>
      <c r="AA658" s="106">
        <v>0.0</v>
      </c>
      <c r="AB658" s="107">
        <v>0.0</v>
      </c>
      <c r="AC658" s="107">
        <v>0.0</v>
      </c>
      <c r="AD658" s="107">
        <v>0.0</v>
      </c>
      <c r="AE658" s="80">
        <f t="shared" si="2"/>
        <v>0</v>
      </c>
      <c r="AF658" s="140">
        <v>0.0</v>
      </c>
      <c r="AG658" s="109">
        <v>0.0</v>
      </c>
      <c r="AH658" s="109">
        <v>0.0</v>
      </c>
      <c r="AI658" s="141">
        <v>0.0</v>
      </c>
      <c r="AJ658" s="80">
        <f t="shared" si="3"/>
        <v>0</v>
      </c>
      <c r="AK658" s="140">
        <v>0.0</v>
      </c>
      <c r="AL658" s="109">
        <v>0.0</v>
      </c>
      <c r="AM658" s="141">
        <v>0.0</v>
      </c>
      <c r="AN658" s="80">
        <f t="shared" si="4"/>
        <v>0</v>
      </c>
      <c r="AO658" s="140">
        <v>0.0</v>
      </c>
      <c r="AP658" s="109">
        <v>0.0</v>
      </c>
      <c r="AQ658" s="109">
        <v>0.0</v>
      </c>
      <c r="AR658" s="80">
        <f t="shared" si="5"/>
        <v>0</v>
      </c>
      <c r="AS658" s="110">
        <v>0.0</v>
      </c>
      <c r="AT658" s="110">
        <v>0.0</v>
      </c>
      <c r="AU658" s="110">
        <v>0.0</v>
      </c>
      <c r="AV658" s="142">
        <v>0.0</v>
      </c>
      <c r="AW658" s="80">
        <f t="shared" si="6"/>
        <v>0</v>
      </c>
      <c r="AX658" s="113">
        <f t="shared" si="7"/>
        <v>0</v>
      </c>
      <c r="AY658" s="117">
        <f t="shared" si="8"/>
        <v>0</v>
      </c>
      <c r="AZ658" s="120">
        <f t="shared" si="9"/>
        <v>0</v>
      </c>
      <c r="BA658" s="115">
        <v>0.0</v>
      </c>
      <c r="BB658" s="89">
        <f t="shared" si="10"/>
        <v>0</v>
      </c>
      <c r="BC658" s="132" t="s">
        <v>178</v>
      </c>
      <c r="BD658" s="143" t="s">
        <v>227</v>
      </c>
      <c r="BE658" s="132" t="s">
        <v>178</v>
      </c>
      <c r="BF658" s="156" t="s">
        <v>534</v>
      </c>
      <c r="BG658" s="83">
        <v>1179111.0</v>
      </c>
      <c r="BH658" s="112"/>
      <c r="BI658" s="112">
        <v>0.0</v>
      </c>
      <c r="BJ658" s="98" t="s">
        <v>155</v>
      </c>
      <c r="BK658" s="99">
        <f t="shared" si="11"/>
        <v>0</v>
      </c>
      <c r="BL658" s="99">
        <f t="shared" si="12"/>
        <v>0</v>
      </c>
      <c r="BM658" s="99" t="str">
        <f>IFERROR(__xludf.DUMMYFUNCTION("IFERROR(VLOOKUP(BG658,IMPORTRANGE(""https://docs.google.com/spreadsheets/d/1juPI-Fb8LD0YtltB2mlGEnp_R3UVu1t3wSFPzgCyHXE/edit?gid=0#gid=0"",""GERAL!A2:C""),3,0),""-"")"),"-")</f>
        <v>-</v>
      </c>
    </row>
    <row r="659" ht="15.75" customHeight="1">
      <c r="A659" s="111" t="s">
        <v>796</v>
      </c>
      <c r="B659" s="83" t="s">
        <v>2087</v>
      </c>
      <c r="C659" s="83" t="s">
        <v>68</v>
      </c>
      <c r="D659" s="112">
        <v>1120494.0</v>
      </c>
      <c r="E659" s="83"/>
      <c r="F659" s="83">
        <v>2.9024803E7</v>
      </c>
      <c r="G659" s="114" t="s">
        <v>3161</v>
      </c>
      <c r="H659" s="91" t="s">
        <v>3162</v>
      </c>
      <c r="I659" s="83" t="s">
        <v>3139</v>
      </c>
      <c r="J659" s="83" t="s">
        <v>150</v>
      </c>
      <c r="K659" s="83" t="s">
        <v>151</v>
      </c>
      <c r="L659" s="83" t="s">
        <v>230</v>
      </c>
      <c r="M659" s="82" t="str">
        <f>IFERROR(__xludf.DUMMYFUNCTION("IFERROR(VLOOKUP(D659,
IMPORTRANGE(""https://docs.google.com/spreadsheets/d/1MjHtlUikwobi2MaWJgy7tfLeBmhj1u-dRFRs_8GwSoA/edit#gid=0"",""Gestores Escolares!D7:J""),3,0),""VERIFICAR CÓD SEC"")"),"MARIA BORGES DE CARVALHO SANTOS")</f>
        <v>MARIA BORGES DE CARVALHO SANTOS</v>
      </c>
      <c r="N659" s="82" t="str">
        <f>IFERROR(__xludf.DUMMYFUNCTION("IFERROR(VLOOKUP(D659,
IMPORTRANGE(""https://docs.google.com/spreadsheets/d/1MjHtlUikwobi2MaWJgy7tfLeBmhj1u-dRFRs_8GwSoA/edit#gid=0"",""Gestores Escolares!D7:J""),4,0),""VERIFICAR CÓD SEC"")"),"(74) 9 8854-8416/9 8838-1124")</f>
        <v>(74) 9 8854-8416/9 8838-1124</v>
      </c>
      <c r="O659" s="82" t="str">
        <f>IFERROR(__xludf.DUMMYFUNCTION("IFERROR(VLOOKUP(D659,
IMPORTRANGE(""https://docs.google.com/spreadsheets/d/1MjHtlUikwobi2MaWJgy7tfLeBmhj1u-dRFRs_8GwSoA/edit#gid=0"",""Gestores Escolares!D7:J""),6,0),""VERIFICAR CÓD SEC"")"),"JANE GOMES NASCIMENTO DE SA")</f>
        <v>JANE GOMES NASCIMENTO DE SA</v>
      </c>
      <c r="P659" s="82" t="str">
        <f>IFERROR(__xludf.DUMMYFUNCTION("IFERROR(VLOOKUP(D659,
IMPORTRANGE(""https://docs.google.com/spreadsheets/d/1MjHtlUikwobi2MaWJgy7tfLeBmhj1u-dRFRs_8GwSoA/edit#gid=0"",""Gestores Escolares!D7:J""),7,0),""VERIFICAR CÓD SEC"")"),"(74) 9 9922-1488")</f>
        <v>(74) 9 9922-1488</v>
      </c>
      <c r="Q659" s="82" t="str">
        <f>IFERROR(__xludf.DUMMYFUNCTION("IFERROR(VLOOKUP(D659,
IMPORTRANGE(""https://docs.google.com/spreadsheets/d/1MjHtlUikwobi2MaWJgy7tfLeBmhj1u-dRFRs_8GwSoA/edit#gid=0"",""Gestores Escolares!D7:m""),9,0),""VERIFICAR CÓD SEC"")"),"LID WILLAMS DE CASTRO SANTOS")</f>
        <v>LID WILLAMS DE CASTRO SANTOS</v>
      </c>
      <c r="R659" s="82" t="str">
        <f>IFERROR(__xludf.DUMMYFUNCTION("IFERROR(VLOOKUP(D659,
IMPORTRANGE(""https://docs.google.com/spreadsheets/d/1MjHtlUikwobi2MaWJgy7tfLeBmhj1u-dRFRs_8GwSoA/edit#gid=0"",""Gestores Escolares!D7:m""),10,0),""VERIFICAR CÓD SEC"")"),"")</f>
        <v/>
      </c>
      <c r="S659" s="82"/>
      <c r="T659" s="138">
        <v>12.0</v>
      </c>
      <c r="U659" s="152">
        <v>9.0</v>
      </c>
      <c r="V659" s="106">
        <v>0.0</v>
      </c>
      <c r="W659" s="107">
        <v>0.0</v>
      </c>
      <c r="X659" s="107">
        <v>0.0</v>
      </c>
      <c r="Y659" s="107">
        <v>0.0</v>
      </c>
      <c r="Z659" s="80">
        <f t="shared" si="1"/>
        <v>0</v>
      </c>
      <c r="AA659" s="106">
        <v>0.0</v>
      </c>
      <c r="AB659" s="107">
        <v>0.0</v>
      </c>
      <c r="AC659" s="107">
        <v>0.0</v>
      </c>
      <c r="AD659" s="107">
        <v>0.0</v>
      </c>
      <c r="AE659" s="80">
        <f t="shared" si="2"/>
        <v>0</v>
      </c>
      <c r="AF659" s="140">
        <v>0.0</v>
      </c>
      <c r="AG659" s="109">
        <v>0.0</v>
      </c>
      <c r="AH659" s="109">
        <v>0.0</v>
      </c>
      <c r="AI659" s="141">
        <v>0.0</v>
      </c>
      <c r="AJ659" s="80">
        <f t="shared" si="3"/>
        <v>0</v>
      </c>
      <c r="AK659" s="140">
        <v>0.0</v>
      </c>
      <c r="AL659" s="109">
        <v>0.0</v>
      </c>
      <c r="AM659" s="141">
        <v>0.0</v>
      </c>
      <c r="AN659" s="80">
        <f t="shared" si="4"/>
        <v>0</v>
      </c>
      <c r="AO659" s="140">
        <v>0.0</v>
      </c>
      <c r="AP659" s="109">
        <v>0.0</v>
      </c>
      <c r="AQ659" s="109">
        <v>0.0</v>
      </c>
      <c r="AR659" s="80">
        <f t="shared" si="5"/>
        <v>0</v>
      </c>
      <c r="AS659" s="110">
        <v>277.0</v>
      </c>
      <c r="AT659" s="110">
        <v>169.0</v>
      </c>
      <c r="AU659" s="110">
        <v>97.0</v>
      </c>
      <c r="AV659" s="142">
        <v>0.0</v>
      </c>
      <c r="AW659" s="80">
        <f t="shared" si="6"/>
        <v>543</v>
      </c>
      <c r="AX659" s="113">
        <f t="shared" si="7"/>
        <v>543</v>
      </c>
      <c r="AY659" s="117">
        <f t="shared" si="8"/>
        <v>446</v>
      </c>
      <c r="AZ659" s="120">
        <f t="shared" si="9"/>
        <v>97</v>
      </c>
      <c r="BA659" s="115">
        <v>0.0</v>
      </c>
      <c r="BB659" s="89">
        <f t="shared" si="10"/>
        <v>543</v>
      </c>
      <c r="BC659" s="132" t="s">
        <v>178</v>
      </c>
      <c r="BD659" s="132" t="s">
        <v>779</v>
      </c>
      <c r="BE659" s="132" t="s">
        <v>178</v>
      </c>
      <c r="BF659" s="123"/>
      <c r="BG659" s="83">
        <v>1120494.0</v>
      </c>
      <c r="BH659" s="112"/>
      <c r="BI659" s="112">
        <v>9.0</v>
      </c>
      <c r="BJ659" s="98" t="s">
        <v>155</v>
      </c>
      <c r="BK659" s="99">
        <f t="shared" si="11"/>
        <v>0</v>
      </c>
      <c r="BL659" s="99">
        <f t="shared" si="12"/>
        <v>446</v>
      </c>
      <c r="BM659" s="99" t="str">
        <f>IFERROR(__xludf.DUMMYFUNCTION("IFERROR(VLOOKUP(BG659,IMPORTRANGE(""https://docs.google.com/spreadsheets/d/1juPI-Fb8LD0YtltB2mlGEnp_R3UVu1t3wSFPzgCyHXE/edit?gid=0#gid=0"",""GERAL!A2:C""),3,0),""-"")"),"-")</f>
        <v>-</v>
      </c>
    </row>
    <row r="660" ht="15.75" customHeight="1">
      <c r="A660" s="127" t="s">
        <v>796</v>
      </c>
      <c r="B660" s="98" t="s">
        <v>2087</v>
      </c>
      <c r="C660" s="83" t="s">
        <v>68</v>
      </c>
      <c r="D660" s="98">
        <v>1179788.0</v>
      </c>
      <c r="E660" s="83"/>
      <c r="F660" s="98">
        <v>44175.0</v>
      </c>
      <c r="G660" s="147" t="s">
        <v>3169</v>
      </c>
      <c r="H660" s="108" t="s">
        <v>3170</v>
      </c>
      <c r="I660" s="136" t="s">
        <v>149</v>
      </c>
      <c r="J660" s="98"/>
      <c r="K660" s="83" t="s">
        <v>151</v>
      </c>
      <c r="L660" s="83" t="s">
        <v>230</v>
      </c>
      <c r="M660" s="82" t="str">
        <f>IFERROR(__xludf.DUMMYFUNCTION("IFERROR(VLOOKUP(D660,
IMPORTRANGE(""https://docs.google.com/spreadsheets/d/1MjHtlUikwobi2MaWJgy7tfLeBmhj1u-dRFRs_8GwSoA/edit#gid=0"",""Gestores Escolares!D7:J""),3,0),""VERIFICAR CÓD SEC"")"),"SEM DIREÇÃO - (AGUARDANDO INDICAÇÃO DO NTE PARA DIREÇÃO DE ESCOLA)")</f>
        <v>SEM DIREÇÃO - (AGUARDANDO INDICAÇÃO DO NTE PARA DIREÇÃO DE ESCOLA)</v>
      </c>
      <c r="N660" s="82" t="str">
        <f>IFERROR(__xludf.DUMMYFUNCTION("IFERROR(VLOOKUP(D660,
IMPORTRANGE(""https://docs.google.com/spreadsheets/d/1MjHtlUikwobi2MaWJgy7tfLeBmhj1u-dRFRs_8GwSoA/edit#gid=0"",""Gestores Escolares!D7:J""),4,0),""VERIFICAR CÓD SEC"")"),"")</f>
        <v/>
      </c>
      <c r="O660" s="82" t="str">
        <f>IFERROR(__xludf.DUMMYFUNCTION("IFERROR(VLOOKUP(D660,
IMPORTRANGE(""https://docs.google.com/spreadsheets/d/1MjHtlUikwobi2MaWJgy7tfLeBmhj1u-dRFRs_8GwSoA/edit#gid=0"",""Gestores Escolares!D7:J""),6,0),""VERIFICAR CÓD SEC"")"),"")</f>
        <v/>
      </c>
      <c r="P660" s="82" t="str">
        <f>IFERROR(__xludf.DUMMYFUNCTION("IFERROR(VLOOKUP(D660,
IMPORTRANGE(""https://docs.google.com/spreadsheets/d/1MjHtlUikwobi2MaWJgy7tfLeBmhj1u-dRFRs_8GwSoA/edit#gid=0"",""Gestores Escolares!D7:J""),7,0),""VERIFICAR CÓD SEC"")"),"")</f>
        <v/>
      </c>
      <c r="Q660" s="82" t="str">
        <f>IFERROR(__xludf.DUMMYFUNCTION("IFERROR(VLOOKUP(D660,
IMPORTRANGE(""https://docs.google.com/spreadsheets/d/1MjHtlUikwobi2MaWJgy7tfLeBmhj1u-dRFRs_8GwSoA/edit#gid=0"",""Gestores Escolares!D7:m""),9,0),""VERIFICAR CÓD SEC"")"),"")</f>
        <v/>
      </c>
      <c r="R660" s="82" t="str">
        <f>IFERROR(__xludf.DUMMYFUNCTION("IFERROR(VLOOKUP(D660,
IMPORTRANGE(""https://docs.google.com/spreadsheets/d/1MjHtlUikwobi2MaWJgy7tfLeBmhj1u-dRFRs_8GwSoA/edit#gid=0"",""Gestores Escolares!D7:m""),10,0),""VERIFICAR CÓD SEC"")"),"")</f>
        <v/>
      </c>
      <c r="S660" s="82"/>
      <c r="T660" s="138"/>
      <c r="U660" s="217"/>
      <c r="V660" s="106">
        <v>0.0</v>
      </c>
      <c r="W660" s="107">
        <v>0.0</v>
      </c>
      <c r="X660" s="107">
        <v>0.0</v>
      </c>
      <c r="Y660" s="107">
        <v>0.0</v>
      </c>
      <c r="Z660" s="80">
        <f t="shared" si="1"/>
        <v>0</v>
      </c>
      <c r="AA660" s="106">
        <v>0.0</v>
      </c>
      <c r="AB660" s="107">
        <v>0.0</v>
      </c>
      <c r="AC660" s="107">
        <v>0.0</v>
      </c>
      <c r="AD660" s="107">
        <v>0.0</v>
      </c>
      <c r="AE660" s="80">
        <f t="shared" si="2"/>
        <v>0</v>
      </c>
      <c r="AF660" s="140">
        <v>0.0</v>
      </c>
      <c r="AG660" s="109">
        <v>0.0</v>
      </c>
      <c r="AH660" s="109">
        <v>0.0</v>
      </c>
      <c r="AI660" s="141">
        <v>0.0</v>
      </c>
      <c r="AJ660" s="80">
        <f t="shared" si="3"/>
        <v>0</v>
      </c>
      <c r="AK660" s="140">
        <v>0.0</v>
      </c>
      <c r="AL660" s="109">
        <v>0.0</v>
      </c>
      <c r="AM660" s="141">
        <v>0.0</v>
      </c>
      <c r="AN660" s="80">
        <f t="shared" si="4"/>
        <v>0</v>
      </c>
      <c r="AO660" s="140">
        <v>0.0</v>
      </c>
      <c r="AP660" s="109">
        <v>0.0</v>
      </c>
      <c r="AQ660" s="109">
        <v>0.0</v>
      </c>
      <c r="AR660" s="80">
        <f t="shared" si="5"/>
        <v>0</v>
      </c>
      <c r="AS660" s="110">
        <v>0.0</v>
      </c>
      <c r="AT660" s="110">
        <v>0.0</v>
      </c>
      <c r="AU660" s="110">
        <v>0.0</v>
      </c>
      <c r="AV660" s="142">
        <v>0.0</v>
      </c>
      <c r="AW660" s="80">
        <f t="shared" si="6"/>
        <v>0</v>
      </c>
      <c r="AX660" s="113">
        <f t="shared" si="7"/>
        <v>0</v>
      </c>
      <c r="AY660" s="117">
        <f t="shared" si="8"/>
        <v>0</v>
      </c>
      <c r="AZ660" s="120">
        <f t="shared" si="9"/>
        <v>0</v>
      </c>
      <c r="BA660" s="115">
        <v>0.0</v>
      </c>
      <c r="BB660" s="89">
        <f t="shared" si="10"/>
        <v>0</v>
      </c>
      <c r="BC660" s="132" t="s">
        <v>553</v>
      </c>
      <c r="BD660" s="132" t="s">
        <v>554</v>
      </c>
      <c r="BE660" s="132"/>
      <c r="BF660" s="156"/>
      <c r="BG660" s="98">
        <v>1179788.0</v>
      </c>
      <c r="BH660" s="112"/>
      <c r="BI660" s="112"/>
      <c r="BJ660" s="98" t="s">
        <v>155</v>
      </c>
      <c r="BK660" s="99">
        <f t="shared" si="11"/>
        <v>0</v>
      </c>
      <c r="BL660" s="99">
        <f t="shared" si="12"/>
        <v>0</v>
      </c>
      <c r="BM660" s="99" t="str">
        <f>IFERROR(__xludf.DUMMYFUNCTION("IFERROR(VLOOKUP(BG660,IMPORTRANGE(""https://docs.google.com/spreadsheets/d/1juPI-Fb8LD0YtltB2mlGEnp_R3UVu1t3wSFPzgCyHXE/edit?gid=0#gid=0"",""GERAL!A2:C""),3,0),""-"")"),"-")</f>
        <v>-</v>
      </c>
    </row>
    <row r="661" ht="15.75" customHeight="1">
      <c r="A661" s="111" t="s">
        <v>796</v>
      </c>
      <c r="B661" s="83" t="s">
        <v>2087</v>
      </c>
      <c r="C661" s="83" t="s">
        <v>164</v>
      </c>
      <c r="D661" s="112">
        <v>1120893.0</v>
      </c>
      <c r="E661" s="83">
        <v>1179535.0</v>
      </c>
      <c r="F661" s="98">
        <v>2.9493242E7</v>
      </c>
      <c r="G661" s="114" t="s">
        <v>3174</v>
      </c>
      <c r="H661" s="91" t="s">
        <v>3175</v>
      </c>
      <c r="I661" s="136" t="s">
        <v>3176</v>
      </c>
      <c r="J661" s="83" t="s">
        <v>222</v>
      </c>
      <c r="K661" s="83" t="s">
        <v>168</v>
      </c>
      <c r="L661" s="83" t="s">
        <v>169</v>
      </c>
      <c r="M661" s="82" t="str">
        <f>IFERROR(__xludf.DUMMYFUNCTION("IFERROR(VLOOKUP(D661,
IMPORTRANGE(""https://docs.google.com/spreadsheets/d/1MjHtlUikwobi2MaWJgy7tfLeBmhj1u-dRFRs_8GwSoA/edit#gid=0"",""Gestores Escolares!D7:J""),3,0),""VERIFICAR CÓD SEC"")"),"MARIA PERPETUA DA SILVA SANTOS")</f>
        <v>MARIA PERPETUA DA SILVA SANTOS</v>
      </c>
      <c r="N661" s="82" t="str">
        <f>IFERROR(__xludf.DUMMYFUNCTION("IFERROR(VLOOKUP(D661,
IMPORTRANGE(""https://docs.google.com/spreadsheets/d/1MjHtlUikwobi2MaWJgy7tfLeBmhj1u-dRFRs_8GwSoA/edit#gid=0"",""Gestores Escolares!D7:J""),4,0),""VERIFICAR CÓD SEC"")"),"(74) 9 8801-7607")</f>
        <v>(74) 9 8801-7607</v>
      </c>
      <c r="O661" s="82" t="str">
        <f>IFERROR(__xludf.DUMMYFUNCTION("IFERROR(VLOOKUP(D661,
IMPORTRANGE(""https://docs.google.com/spreadsheets/d/1MjHtlUikwobi2MaWJgy7tfLeBmhj1u-dRFRs_8GwSoA/edit#gid=0"",""Gestores Escolares!D7:J""),6,0),""VERIFICAR CÓD SEC"")"),"TERCIANNE SENTO SE DE SOUZA BRITO")</f>
        <v>TERCIANNE SENTO SE DE SOUZA BRITO</v>
      </c>
      <c r="P661" s="82" t="str">
        <f>IFERROR(__xludf.DUMMYFUNCTION("IFERROR(VLOOKUP(D661,
IMPORTRANGE(""https://docs.google.com/spreadsheets/d/1MjHtlUikwobi2MaWJgy7tfLeBmhj1u-dRFRs_8GwSoA/edit#gid=0"",""Gestores Escolares!D7:J""),7,0),""VERIFICAR CÓD SEC"")"),"(87) 9 8162-7030")</f>
        <v>(87) 9 8162-7030</v>
      </c>
      <c r="Q661" s="82" t="str">
        <f>IFERROR(__xludf.DUMMYFUNCTION("IFERROR(VLOOKUP(D661,
IMPORTRANGE(""https://docs.google.com/spreadsheets/d/1MjHtlUikwobi2MaWJgy7tfLeBmhj1u-dRFRs_8GwSoA/edit#gid=0"",""Gestores Escolares!D7:m""),9,0),""VERIFICAR CÓD SEC"")"),"")</f>
        <v/>
      </c>
      <c r="R661" s="82" t="str">
        <f>IFERROR(__xludf.DUMMYFUNCTION("IFERROR(VLOOKUP(D661,
IMPORTRANGE(""https://docs.google.com/spreadsheets/d/1MjHtlUikwobi2MaWJgy7tfLeBmhj1u-dRFRs_8GwSoA/edit#gid=0"",""Gestores Escolares!D7:m""),10,0),""VERIFICAR CÓD SEC"")"),"")</f>
        <v/>
      </c>
      <c r="S661" s="82"/>
      <c r="T661" s="138">
        <v>6.0</v>
      </c>
      <c r="U661" s="152">
        <v>3.0</v>
      </c>
      <c r="V661" s="106">
        <v>0.0</v>
      </c>
      <c r="W661" s="107">
        <v>0.0</v>
      </c>
      <c r="X661" s="107">
        <v>0.0</v>
      </c>
      <c r="Y661" s="107">
        <v>0.0</v>
      </c>
      <c r="Z661" s="80">
        <f t="shared" si="1"/>
        <v>0</v>
      </c>
      <c r="AA661" s="106">
        <v>0.0</v>
      </c>
      <c r="AB661" s="107">
        <v>0.0</v>
      </c>
      <c r="AC661" s="107">
        <v>0.0</v>
      </c>
      <c r="AD661" s="107">
        <v>0.0</v>
      </c>
      <c r="AE661" s="80">
        <f t="shared" si="2"/>
        <v>0</v>
      </c>
      <c r="AF661" s="140">
        <v>0.0</v>
      </c>
      <c r="AG661" s="109">
        <v>0.0</v>
      </c>
      <c r="AH661" s="109">
        <v>0.0</v>
      </c>
      <c r="AI661" s="141">
        <v>0.0</v>
      </c>
      <c r="AJ661" s="80">
        <f t="shared" si="3"/>
        <v>0</v>
      </c>
      <c r="AK661" s="140">
        <v>0.0</v>
      </c>
      <c r="AL661" s="109">
        <v>0.0</v>
      </c>
      <c r="AM661" s="141">
        <v>0.0</v>
      </c>
      <c r="AN661" s="80">
        <f t="shared" si="4"/>
        <v>0</v>
      </c>
      <c r="AO661" s="140">
        <v>0.0</v>
      </c>
      <c r="AP661" s="109">
        <v>0.0</v>
      </c>
      <c r="AQ661" s="109">
        <v>63.0</v>
      </c>
      <c r="AR661" s="80">
        <f t="shared" si="5"/>
        <v>63</v>
      </c>
      <c r="AS661" s="110">
        <v>0.0</v>
      </c>
      <c r="AT661" s="110">
        <v>0.0</v>
      </c>
      <c r="AU661" s="110">
        <v>0.0</v>
      </c>
      <c r="AV661" s="142">
        <v>0.0</v>
      </c>
      <c r="AW661" s="80">
        <f t="shared" si="6"/>
        <v>0</v>
      </c>
      <c r="AX661" s="113">
        <f t="shared" si="7"/>
        <v>63</v>
      </c>
      <c r="AY661" s="117">
        <f t="shared" si="8"/>
        <v>0</v>
      </c>
      <c r="AZ661" s="120">
        <f t="shared" si="9"/>
        <v>63</v>
      </c>
      <c r="BA661" s="115">
        <v>0.0</v>
      </c>
      <c r="BB661" s="89">
        <f t="shared" si="10"/>
        <v>63</v>
      </c>
      <c r="BC661" s="132" t="s">
        <v>373</v>
      </c>
      <c r="BD661" s="132" t="s">
        <v>178</v>
      </c>
      <c r="BE661" s="132" t="s">
        <v>178</v>
      </c>
      <c r="BF661" s="156"/>
      <c r="BG661" s="83">
        <v>1179535.0</v>
      </c>
      <c r="BH661" s="112"/>
      <c r="BI661" s="112">
        <v>3.0</v>
      </c>
      <c r="BJ661" s="98" t="s">
        <v>155</v>
      </c>
      <c r="BK661" s="99">
        <f t="shared" si="11"/>
        <v>0</v>
      </c>
      <c r="BL661" s="99">
        <f t="shared" si="12"/>
        <v>0</v>
      </c>
      <c r="BM661" s="99" t="str">
        <f>IFERROR(__xludf.DUMMYFUNCTION("IFERROR(VLOOKUP(BG661,IMPORTRANGE(""https://docs.google.com/spreadsheets/d/1juPI-Fb8LD0YtltB2mlGEnp_R3UVu1t3wSFPzgCyHXE/edit?gid=0#gid=0"",""GERAL!A2:C""),3,0),""-"")"),"CAMPO")</f>
        <v>CAMPO</v>
      </c>
    </row>
    <row r="662" ht="15.75" customHeight="1">
      <c r="A662" s="111" t="s">
        <v>796</v>
      </c>
      <c r="B662" s="83" t="s">
        <v>2087</v>
      </c>
      <c r="C662" s="83" t="s">
        <v>164</v>
      </c>
      <c r="D662" s="112">
        <v>1160950.0</v>
      </c>
      <c r="E662" s="83">
        <v>1178675.0</v>
      </c>
      <c r="F662" s="98">
        <v>2.9490588E7</v>
      </c>
      <c r="G662" s="119" t="s">
        <v>3182</v>
      </c>
      <c r="H662" s="91" t="s">
        <v>3183</v>
      </c>
      <c r="I662" s="136" t="s">
        <v>149</v>
      </c>
      <c r="J662" s="83" t="s">
        <v>1012</v>
      </c>
      <c r="K662" s="83" t="s">
        <v>168</v>
      </c>
      <c r="L662" s="83" t="s">
        <v>169</v>
      </c>
      <c r="M662" s="82" t="str">
        <f>IFERROR(__xludf.DUMMYFUNCTION("IFERROR(VLOOKUP(D662,
IMPORTRANGE(""https://docs.google.com/spreadsheets/d/1MjHtlUikwobi2MaWJgy7tfLeBmhj1u-dRFRs_8GwSoA/edit#gid=0"",""Gestores Escolares!D7:J""),3,0),""VERIFICAR CÓD SEC"")"),"ROBERIO GRANJA")</f>
        <v>ROBERIO GRANJA</v>
      </c>
      <c r="N662" s="82" t="str">
        <f>IFERROR(__xludf.DUMMYFUNCTION("IFERROR(VLOOKUP(D662,
IMPORTRANGE(""https://docs.google.com/spreadsheets/d/1MjHtlUikwobi2MaWJgy7tfLeBmhj1u-dRFRs_8GwSoA/edit#gid=0"",""Gestores Escolares!D7:J""),4,0),""VERIFICAR CÓD SEC"")"),"(87) 9 8841-5279")</f>
        <v>(87) 9 8841-5279</v>
      </c>
      <c r="O662" s="82" t="str">
        <f>IFERROR(__xludf.DUMMYFUNCTION("IFERROR(VLOOKUP(D662,
IMPORTRANGE(""https://docs.google.com/spreadsheets/d/1MjHtlUikwobi2MaWJgy7tfLeBmhj1u-dRFRs_8GwSoA/edit#gid=0"",""Gestores Escolares!D7:J""),6,0),""VERIFICAR CÓD SEC"")"),"MARIA PERPETUA NETO")</f>
        <v>MARIA PERPETUA NETO</v>
      </c>
      <c r="P662" s="82" t="str">
        <f>IFERROR(__xludf.DUMMYFUNCTION("IFERROR(VLOOKUP(D662,
IMPORTRANGE(""https://docs.google.com/spreadsheets/d/1MjHtlUikwobi2MaWJgy7tfLeBmhj1u-dRFRs_8GwSoA/edit#gid=0"",""Gestores Escolares!D7:J""),7,0),""VERIFICAR CÓD SEC"")"),"(87) 9 8803-6054")</f>
        <v>(87) 9 8803-6054</v>
      </c>
      <c r="Q662" s="82" t="str">
        <f>IFERROR(__xludf.DUMMYFUNCTION("IFERROR(VLOOKUP(D662,
IMPORTRANGE(""https://docs.google.com/spreadsheets/d/1MjHtlUikwobi2MaWJgy7tfLeBmhj1u-dRFRs_8GwSoA/edit#gid=0"",""Gestores Escolares!D7:m""),9,0),""VERIFICAR CÓD SEC"")"),"")</f>
        <v/>
      </c>
      <c r="R662" s="82" t="str">
        <f>IFERROR(__xludf.DUMMYFUNCTION("IFERROR(VLOOKUP(D662,
IMPORTRANGE(""https://docs.google.com/spreadsheets/d/1MjHtlUikwobi2MaWJgy7tfLeBmhj1u-dRFRs_8GwSoA/edit#gid=0"",""Gestores Escolares!D7:m""),10,0),""VERIFICAR CÓD SEC"")"),"")</f>
        <v/>
      </c>
      <c r="S662" s="82"/>
      <c r="T662" s="138">
        <v>5.0</v>
      </c>
      <c r="U662" s="152">
        <v>3.0</v>
      </c>
      <c r="V662" s="106">
        <v>0.0</v>
      </c>
      <c r="W662" s="107">
        <v>0.0</v>
      </c>
      <c r="X662" s="107">
        <v>0.0</v>
      </c>
      <c r="Y662" s="107">
        <v>0.0</v>
      </c>
      <c r="Z662" s="80">
        <f t="shared" si="1"/>
        <v>0</v>
      </c>
      <c r="AA662" s="106">
        <v>0.0</v>
      </c>
      <c r="AB662" s="107">
        <v>0.0</v>
      </c>
      <c r="AC662" s="107">
        <v>0.0</v>
      </c>
      <c r="AD662" s="107">
        <v>0.0</v>
      </c>
      <c r="AE662" s="80">
        <f t="shared" si="2"/>
        <v>0</v>
      </c>
      <c r="AF662" s="140">
        <v>0.0</v>
      </c>
      <c r="AG662" s="109">
        <v>0.0</v>
      </c>
      <c r="AH662" s="109">
        <v>0.0</v>
      </c>
      <c r="AI662" s="141">
        <v>0.0</v>
      </c>
      <c r="AJ662" s="80">
        <f t="shared" si="3"/>
        <v>0</v>
      </c>
      <c r="AK662" s="140">
        <v>0.0</v>
      </c>
      <c r="AL662" s="109">
        <v>0.0</v>
      </c>
      <c r="AM662" s="141">
        <v>0.0</v>
      </c>
      <c r="AN662" s="80">
        <f t="shared" si="4"/>
        <v>0</v>
      </c>
      <c r="AO662" s="140">
        <v>5.0</v>
      </c>
      <c r="AP662" s="109">
        <v>80.0</v>
      </c>
      <c r="AQ662" s="109">
        <v>0.0</v>
      </c>
      <c r="AR662" s="80">
        <f t="shared" si="5"/>
        <v>85</v>
      </c>
      <c r="AS662" s="110">
        <v>0.0</v>
      </c>
      <c r="AT662" s="110">
        <v>0.0</v>
      </c>
      <c r="AU662" s="110">
        <v>0.0</v>
      </c>
      <c r="AV662" s="142">
        <v>0.0</v>
      </c>
      <c r="AW662" s="80">
        <f t="shared" si="6"/>
        <v>0</v>
      </c>
      <c r="AX662" s="113">
        <f t="shared" si="7"/>
        <v>85</v>
      </c>
      <c r="AY662" s="117">
        <f t="shared" si="8"/>
        <v>85</v>
      </c>
      <c r="AZ662" s="120">
        <f t="shared" si="9"/>
        <v>0</v>
      </c>
      <c r="BA662" s="115">
        <v>0.0</v>
      </c>
      <c r="BB662" s="89">
        <f t="shared" si="10"/>
        <v>85</v>
      </c>
      <c r="BC662" s="132" t="s">
        <v>563</v>
      </c>
      <c r="BD662" s="132" t="s">
        <v>178</v>
      </c>
      <c r="BE662" s="132" t="s">
        <v>178</v>
      </c>
      <c r="BF662" s="123"/>
      <c r="BG662" s="83">
        <v>1178675.0</v>
      </c>
      <c r="BH662" s="112"/>
      <c r="BI662" s="112">
        <v>3.0</v>
      </c>
      <c r="BJ662" s="98" t="s">
        <v>155</v>
      </c>
      <c r="BK662" s="99">
        <f t="shared" si="11"/>
        <v>0</v>
      </c>
      <c r="BL662" s="99">
        <f t="shared" si="12"/>
        <v>85</v>
      </c>
      <c r="BM662" s="99" t="str">
        <f>IFERROR(__xludf.DUMMYFUNCTION("IFERROR(VLOOKUP(BG662,IMPORTRANGE(""https://docs.google.com/spreadsheets/d/1juPI-Fb8LD0YtltB2mlGEnp_R3UVu1t3wSFPzgCyHXE/edit?gid=0#gid=0"",""GERAL!A2:C""),3,0),""-"")"),"-")</f>
        <v>-</v>
      </c>
    </row>
    <row r="663" ht="15.75" customHeight="1">
      <c r="A663" s="111" t="s">
        <v>796</v>
      </c>
      <c r="B663" s="83" t="s">
        <v>2087</v>
      </c>
      <c r="C663" s="83" t="s">
        <v>164</v>
      </c>
      <c r="D663" s="112">
        <v>1120893.0</v>
      </c>
      <c r="E663" s="83">
        <v>1178672.0</v>
      </c>
      <c r="F663" s="98">
        <v>2.949325E7</v>
      </c>
      <c r="G663" s="114" t="s">
        <v>3185</v>
      </c>
      <c r="H663" s="91" t="s">
        <v>3186</v>
      </c>
      <c r="I663" s="136" t="s">
        <v>3187</v>
      </c>
      <c r="J663" s="83" t="s">
        <v>1074</v>
      </c>
      <c r="K663" s="83" t="s">
        <v>168</v>
      </c>
      <c r="L663" s="83" t="s">
        <v>169</v>
      </c>
      <c r="M663" s="82" t="str">
        <f>IFERROR(__xludf.DUMMYFUNCTION("IFERROR(VLOOKUP(D663,
IMPORTRANGE(""https://docs.google.com/spreadsheets/d/1MjHtlUikwobi2MaWJgy7tfLeBmhj1u-dRFRs_8GwSoA/edit#gid=0"",""Gestores Escolares!D7:J""),3,0),""VERIFICAR CÓD SEC"")"),"MARIA PERPETUA DA SILVA SANTOS")</f>
        <v>MARIA PERPETUA DA SILVA SANTOS</v>
      </c>
      <c r="N663" s="82" t="str">
        <f>IFERROR(__xludf.DUMMYFUNCTION("IFERROR(VLOOKUP(D663,
IMPORTRANGE(""https://docs.google.com/spreadsheets/d/1MjHtlUikwobi2MaWJgy7tfLeBmhj1u-dRFRs_8GwSoA/edit#gid=0"",""Gestores Escolares!D7:J""),4,0),""VERIFICAR CÓD SEC"")"),"(74) 9 8801-7607")</f>
        <v>(74) 9 8801-7607</v>
      </c>
      <c r="O663" s="82" t="str">
        <f>IFERROR(__xludf.DUMMYFUNCTION("IFERROR(VLOOKUP(D663,
IMPORTRANGE(""https://docs.google.com/spreadsheets/d/1MjHtlUikwobi2MaWJgy7tfLeBmhj1u-dRFRs_8GwSoA/edit#gid=0"",""Gestores Escolares!D7:J""),6,0),""VERIFICAR CÓD SEC"")"),"TERCIANNE SENTO SE DE SOUZA BRITO")</f>
        <v>TERCIANNE SENTO SE DE SOUZA BRITO</v>
      </c>
      <c r="P663" s="82" t="str">
        <f>IFERROR(__xludf.DUMMYFUNCTION("IFERROR(VLOOKUP(D663,
IMPORTRANGE(""https://docs.google.com/spreadsheets/d/1MjHtlUikwobi2MaWJgy7tfLeBmhj1u-dRFRs_8GwSoA/edit#gid=0"",""Gestores Escolares!D7:J""),7,0),""VERIFICAR CÓD SEC"")"),"(87) 9 8162-7030")</f>
        <v>(87) 9 8162-7030</v>
      </c>
      <c r="Q663" s="82" t="str">
        <f>IFERROR(__xludf.DUMMYFUNCTION("IFERROR(VLOOKUP(D663,
IMPORTRANGE(""https://docs.google.com/spreadsheets/d/1MjHtlUikwobi2MaWJgy7tfLeBmhj1u-dRFRs_8GwSoA/edit#gid=0"",""Gestores Escolares!D7:m""),9,0),""VERIFICAR CÓD SEC"")"),"")</f>
        <v/>
      </c>
      <c r="R663" s="82" t="str">
        <f>IFERROR(__xludf.DUMMYFUNCTION("IFERROR(VLOOKUP(D663,
IMPORTRANGE(""https://docs.google.com/spreadsheets/d/1MjHtlUikwobi2MaWJgy7tfLeBmhj1u-dRFRs_8GwSoA/edit#gid=0"",""Gestores Escolares!D7:m""),10,0),""VERIFICAR CÓD SEC"")"),"")</f>
        <v/>
      </c>
      <c r="S663" s="82"/>
      <c r="T663" s="138">
        <v>3.0</v>
      </c>
      <c r="U663" s="152">
        <v>3.0</v>
      </c>
      <c r="V663" s="106">
        <v>0.0</v>
      </c>
      <c r="W663" s="107">
        <v>0.0</v>
      </c>
      <c r="X663" s="107">
        <v>0.0</v>
      </c>
      <c r="Y663" s="107">
        <v>0.0</v>
      </c>
      <c r="Z663" s="80">
        <f t="shared" si="1"/>
        <v>0</v>
      </c>
      <c r="AA663" s="106">
        <v>0.0</v>
      </c>
      <c r="AB663" s="107">
        <v>0.0</v>
      </c>
      <c r="AC663" s="107">
        <v>0.0</v>
      </c>
      <c r="AD663" s="107">
        <v>0.0</v>
      </c>
      <c r="AE663" s="80">
        <f t="shared" si="2"/>
        <v>0</v>
      </c>
      <c r="AF663" s="140">
        <v>0.0</v>
      </c>
      <c r="AG663" s="109">
        <v>0.0</v>
      </c>
      <c r="AH663" s="109">
        <v>0.0</v>
      </c>
      <c r="AI663" s="141">
        <v>0.0</v>
      </c>
      <c r="AJ663" s="80">
        <f t="shared" si="3"/>
        <v>0</v>
      </c>
      <c r="AK663" s="140">
        <v>0.0</v>
      </c>
      <c r="AL663" s="109">
        <v>0.0</v>
      </c>
      <c r="AM663" s="141">
        <v>0.0</v>
      </c>
      <c r="AN663" s="80">
        <f t="shared" si="4"/>
        <v>0</v>
      </c>
      <c r="AO663" s="140">
        <v>0.0</v>
      </c>
      <c r="AP663" s="109">
        <v>0.0</v>
      </c>
      <c r="AQ663" s="109">
        <v>27.0</v>
      </c>
      <c r="AR663" s="80">
        <f t="shared" si="5"/>
        <v>27</v>
      </c>
      <c r="AS663" s="110">
        <v>0.0</v>
      </c>
      <c r="AT663" s="110">
        <v>0.0</v>
      </c>
      <c r="AU663" s="110">
        <v>0.0</v>
      </c>
      <c r="AV663" s="142">
        <v>0.0</v>
      </c>
      <c r="AW663" s="80">
        <f t="shared" si="6"/>
        <v>0</v>
      </c>
      <c r="AX663" s="113">
        <f t="shared" si="7"/>
        <v>27</v>
      </c>
      <c r="AY663" s="117">
        <f t="shared" si="8"/>
        <v>0</v>
      </c>
      <c r="AZ663" s="120">
        <f t="shared" si="9"/>
        <v>27</v>
      </c>
      <c r="BA663" s="115">
        <v>0.0</v>
      </c>
      <c r="BB663" s="89">
        <f t="shared" si="10"/>
        <v>27</v>
      </c>
      <c r="BC663" s="132" t="s">
        <v>373</v>
      </c>
      <c r="BD663" s="132" t="s">
        <v>178</v>
      </c>
      <c r="BE663" s="132" t="s">
        <v>178</v>
      </c>
      <c r="BF663" s="123"/>
      <c r="BG663" s="83">
        <v>1178672.0</v>
      </c>
      <c r="BH663" s="112"/>
      <c r="BI663" s="112">
        <v>3.0</v>
      </c>
      <c r="BJ663" s="98" t="s">
        <v>155</v>
      </c>
      <c r="BK663" s="99">
        <f t="shared" si="11"/>
        <v>0</v>
      </c>
      <c r="BL663" s="99">
        <f t="shared" si="12"/>
        <v>0</v>
      </c>
      <c r="BM663" s="99" t="str">
        <f>IFERROR(__xludf.DUMMYFUNCTION("IFERROR(VLOOKUP(BG663,IMPORTRANGE(""https://docs.google.com/spreadsheets/d/1juPI-Fb8LD0YtltB2mlGEnp_R3UVu1t3wSFPzgCyHXE/edit?gid=0#gid=0"",""GERAL!A2:C""),3,0),""-"")"),"CAMPO")</f>
        <v>CAMPO</v>
      </c>
    </row>
    <row r="664" ht="15.75" customHeight="1">
      <c r="A664" s="111" t="s">
        <v>796</v>
      </c>
      <c r="B664" s="83" t="s">
        <v>2087</v>
      </c>
      <c r="C664" s="83" t="s">
        <v>164</v>
      </c>
      <c r="D664" s="112">
        <v>1120761.0</v>
      </c>
      <c r="E664" s="83">
        <v>1178197.0</v>
      </c>
      <c r="F664" s="98">
        <v>2.949124E7</v>
      </c>
      <c r="G664" s="114" t="s">
        <v>3188</v>
      </c>
      <c r="H664" s="91" t="s">
        <v>3189</v>
      </c>
      <c r="I664" s="83" t="s">
        <v>3190</v>
      </c>
      <c r="J664" s="83" t="s">
        <v>1946</v>
      </c>
      <c r="K664" s="83" t="s">
        <v>168</v>
      </c>
      <c r="L664" s="83" t="s">
        <v>169</v>
      </c>
      <c r="M664" s="82" t="str">
        <f>IFERROR(__xludf.DUMMYFUNCTION("IFERROR(VLOOKUP(D664,
IMPORTRANGE(""https://docs.google.com/spreadsheets/d/1MjHtlUikwobi2MaWJgy7tfLeBmhj1u-dRFRs_8GwSoA/edit#gid=0"",""Gestores Escolares!D7:J""),3,0),""VERIFICAR CÓD SEC"")"),"MABIO DUTRA")</f>
        <v>MABIO DUTRA</v>
      </c>
      <c r="N664" s="82" t="str">
        <f>IFERROR(__xludf.DUMMYFUNCTION("IFERROR(VLOOKUP(D664,
IMPORTRANGE(""https://docs.google.com/spreadsheets/d/1MjHtlUikwobi2MaWJgy7tfLeBmhj1u-dRFRs_8GwSoA/edit#gid=0"",""Gestores Escolares!D7:J""),4,0),""VERIFICAR CÓD SEC"")"),"(87) 9 8854-8842")</f>
        <v>(87) 9 8854-8842</v>
      </c>
      <c r="O664" s="82" t="str">
        <f>IFERROR(__xludf.DUMMYFUNCTION("IFERROR(VLOOKUP(D664,
IMPORTRANGE(""https://docs.google.com/spreadsheets/d/1MjHtlUikwobi2MaWJgy7tfLeBmhj1u-dRFRs_8GwSoA/edit#gid=0"",""Gestores Escolares!D7:J""),6,0),""VERIFICAR CÓD SEC"")"),"GILDA CLEMENTE XAVIER")</f>
        <v>GILDA CLEMENTE XAVIER</v>
      </c>
      <c r="P664" s="82" t="str">
        <f>IFERROR(__xludf.DUMMYFUNCTION("IFERROR(VLOOKUP(D664,
IMPORTRANGE(""https://docs.google.com/spreadsheets/d/1MjHtlUikwobi2MaWJgy7tfLeBmhj1u-dRFRs_8GwSoA/edit#gid=0"",""Gestores Escolares!D7:J""),7,0),""VERIFICAR CÓD SEC"")"),"(87) 9 9618-6329")</f>
        <v>(87) 9 9618-6329</v>
      </c>
      <c r="Q664" s="82" t="str">
        <f>IFERROR(__xludf.DUMMYFUNCTION("IFERROR(VLOOKUP(D664,
IMPORTRANGE(""https://docs.google.com/spreadsheets/d/1MjHtlUikwobi2MaWJgy7tfLeBmhj1u-dRFRs_8GwSoA/edit#gid=0"",""Gestores Escolares!D7:m""),9,0),""VERIFICAR CÓD SEC"")"),"GERALDO JOSE DA CONCEICAO JUNIOR")</f>
        <v>GERALDO JOSE DA CONCEICAO JUNIOR</v>
      </c>
      <c r="R664" s="82" t="str">
        <f>IFERROR(__xludf.DUMMYFUNCTION("IFERROR(VLOOKUP(D664,
IMPORTRANGE(""https://docs.google.com/spreadsheets/d/1MjHtlUikwobi2MaWJgy7tfLeBmhj1u-dRFRs_8GwSoA/edit#gid=0"",""Gestores Escolares!D7:m""),10,0),""VERIFICAR CÓD SEC"")"),"(81) 9 9899-3360")</f>
        <v>(81) 9 9899-3360</v>
      </c>
      <c r="S664" s="82"/>
      <c r="T664" s="138">
        <v>5.0</v>
      </c>
      <c r="U664" s="152">
        <v>4.0</v>
      </c>
      <c r="V664" s="106">
        <v>0.0</v>
      </c>
      <c r="W664" s="107">
        <v>0.0</v>
      </c>
      <c r="X664" s="107">
        <v>0.0</v>
      </c>
      <c r="Y664" s="107">
        <v>0.0</v>
      </c>
      <c r="Z664" s="80">
        <f t="shared" si="1"/>
        <v>0</v>
      </c>
      <c r="AA664" s="106">
        <v>0.0</v>
      </c>
      <c r="AB664" s="107">
        <v>0.0</v>
      </c>
      <c r="AC664" s="107">
        <v>0.0</v>
      </c>
      <c r="AD664" s="107">
        <v>0.0</v>
      </c>
      <c r="AE664" s="80">
        <f t="shared" si="2"/>
        <v>0</v>
      </c>
      <c r="AF664" s="140">
        <v>0.0</v>
      </c>
      <c r="AG664" s="109">
        <v>21.0</v>
      </c>
      <c r="AH664" s="109">
        <v>0.0</v>
      </c>
      <c r="AI664" s="141">
        <v>0.0</v>
      </c>
      <c r="AJ664" s="80">
        <f t="shared" si="3"/>
        <v>21</v>
      </c>
      <c r="AK664" s="140">
        <v>0.0</v>
      </c>
      <c r="AL664" s="109">
        <v>0.0</v>
      </c>
      <c r="AM664" s="141">
        <v>0.0</v>
      </c>
      <c r="AN664" s="80">
        <f t="shared" si="4"/>
        <v>0</v>
      </c>
      <c r="AO664" s="140">
        <v>0.0</v>
      </c>
      <c r="AP664" s="109">
        <v>0.0</v>
      </c>
      <c r="AQ664" s="109">
        <v>17.0</v>
      </c>
      <c r="AR664" s="80">
        <f t="shared" si="5"/>
        <v>17</v>
      </c>
      <c r="AS664" s="110">
        <v>0.0</v>
      </c>
      <c r="AT664" s="110">
        <v>0.0</v>
      </c>
      <c r="AU664" s="110">
        <v>0.0</v>
      </c>
      <c r="AV664" s="142">
        <v>0.0</v>
      </c>
      <c r="AW664" s="80">
        <f t="shared" si="6"/>
        <v>0</v>
      </c>
      <c r="AX664" s="113">
        <f t="shared" si="7"/>
        <v>38</v>
      </c>
      <c r="AY664" s="117">
        <f t="shared" si="8"/>
        <v>21</v>
      </c>
      <c r="AZ664" s="120">
        <f t="shared" si="9"/>
        <v>17</v>
      </c>
      <c r="BA664" s="115">
        <v>0.0</v>
      </c>
      <c r="BB664" s="89">
        <f t="shared" si="10"/>
        <v>38</v>
      </c>
      <c r="BC664" s="132" t="s">
        <v>373</v>
      </c>
      <c r="BD664" s="132" t="s">
        <v>178</v>
      </c>
      <c r="BE664" s="132" t="s">
        <v>178</v>
      </c>
      <c r="BF664" s="123"/>
      <c r="BG664" s="83">
        <v>1178197.0</v>
      </c>
      <c r="BH664" s="112"/>
      <c r="BI664" s="112">
        <v>4.0</v>
      </c>
      <c r="BJ664" s="98" t="s">
        <v>155</v>
      </c>
      <c r="BK664" s="99">
        <f t="shared" si="11"/>
        <v>0</v>
      </c>
      <c r="BL664" s="99">
        <f t="shared" si="12"/>
        <v>21</v>
      </c>
      <c r="BM664" s="99" t="str">
        <f>IFERROR(__xludf.DUMMYFUNCTION("IFERROR(VLOOKUP(BG664,IMPORTRANGE(""https://docs.google.com/spreadsheets/d/1juPI-Fb8LD0YtltB2mlGEnp_R3UVu1t3wSFPzgCyHXE/edit?gid=0#gid=0"",""GERAL!A2:C""),3,0),""-"")"),"CAMPO")</f>
        <v>CAMPO</v>
      </c>
    </row>
    <row r="665" ht="15.75" customHeight="1">
      <c r="A665" s="111" t="s">
        <v>796</v>
      </c>
      <c r="B665" s="83" t="s">
        <v>2087</v>
      </c>
      <c r="C665" s="83" t="s">
        <v>164</v>
      </c>
      <c r="D665" s="112">
        <v>1120613.0</v>
      </c>
      <c r="E665" s="83">
        <v>1179084.0</v>
      </c>
      <c r="F665" s="98">
        <v>2.949258E7</v>
      </c>
      <c r="G665" s="114" t="s">
        <v>3196</v>
      </c>
      <c r="H665" s="91" t="s">
        <v>3197</v>
      </c>
      <c r="I665" s="136" t="s">
        <v>3198</v>
      </c>
      <c r="J665" s="136" t="s">
        <v>702</v>
      </c>
      <c r="K665" s="83" t="s">
        <v>168</v>
      </c>
      <c r="L665" s="83" t="s">
        <v>169</v>
      </c>
      <c r="M665" s="82" t="str">
        <f>IFERROR(__xludf.DUMMYFUNCTION("IFERROR(VLOOKUP(D665,
IMPORTRANGE(""https://docs.google.com/spreadsheets/d/1MjHtlUikwobi2MaWJgy7tfLeBmhj1u-dRFRs_8GwSoA/edit#gid=0"",""Gestores Escolares!D7:J""),3,0),""VERIFICAR CÓD SEC"")"),"MARINEZ SILVA MENEZES SANTOS")</f>
        <v>MARINEZ SILVA MENEZES SANTOS</v>
      </c>
      <c r="N665" s="82" t="str">
        <f>IFERROR(__xludf.DUMMYFUNCTION("IFERROR(VLOOKUP(D665,
IMPORTRANGE(""https://docs.google.com/spreadsheets/d/1MjHtlUikwobi2MaWJgy7tfLeBmhj1u-dRFRs_8GwSoA/edit#gid=0"",""Gestores Escolares!D7:J""),4,0),""VERIFICAR CÓD SEC"")"),"(74) 9 8816-7348")</f>
        <v>(74) 9 8816-7348</v>
      </c>
      <c r="O665" s="82" t="str">
        <f>IFERROR(__xludf.DUMMYFUNCTION("IFERROR(VLOOKUP(D665,
IMPORTRANGE(""https://docs.google.com/spreadsheets/d/1MjHtlUikwobi2MaWJgy7tfLeBmhj1u-dRFRs_8GwSoA/edit#gid=0"",""Gestores Escolares!D7:J""),6,0),""VERIFICAR CÓD SEC"")"),"")</f>
        <v/>
      </c>
      <c r="P665" s="82" t="str">
        <f>IFERROR(__xludf.DUMMYFUNCTION("IFERROR(VLOOKUP(D665,
IMPORTRANGE(""https://docs.google.com/spreadsheets/d/1MjHtlUikwobi2MaWJgy7tfLeBmhj1u-dRFRs_8GwSoA/edit#gid=0"",""Gestores Escolares!D7:J""),7,0),""VERIFICAR CÓD SEC"")"),"")</f>
        <v/>
      </c>
      <c r="Q665" s="82" t="str">
        <f>IFERROR(__xludf.DUMMYFUNCTION("IFERROR(VLOOKUP(D665,
IMPORTRANGE(""https://docs.google.com/spreadsheets/d/1MjHtlUikwobi2MaWJgy7tfLeBmhj1u-dRFRs_8GwSoA/edit#gid=0"",""Gestores Escolares!D7:m""),9,0),""VERIFICAR CÓD SEC"")"),"")</f>
        <v/>
      </c>
      <c r="R665" s="82" t="str">
        <f>IFERROR(__xludf.DUMMYFUNCTION("IFERROR(VLOOKUP(D665,
IMPORTRANGE(""https://docs.google.com/spreadsheets/d/1MjHtlUikwobi2MaWJgy7tfLeBmhj1u-dRFRs_8GwSoA/edit#gid=0"",""Gestores Escolares!D7:m""),10,0),""VERIFICAR CÓD SEC"")"),"")</f>
        <v/>
      </c>
      <c r="S665" s="82"/>
      <c r="T665" s="138">
        <v>5.0</v>
      </c>
      <c r="U665" s="152">
        <v>4.0</v>
      </c>
      <c r="V665" s="106">
        <v>0.0</v>
      </c>
      <c r="W665" s="107">
        <v>0.0</v>
      </c>
      <c r="X665" s="107">
        <v>0.0</v>
      </c>
      <c r="Y665" s="107">
        <v>0.0</v>
      </c>
      <c r="Z665" s="80">
        <f t="shared" si="1"/>
        <v>0</v>
      </c>
      <c r="AA665" s="106">
        <v>0.0</v>
      </c>
      <c r="AB665" s="107">
        <v>0.0</v>
      </c>
      <c r="AC665" s="107">
        <v>0.0</v>
      </c>
      <c r="AD665" s="107">
        <v>0.0</v>
      </c>
      <c r="AE665" s="80">
        <f t="shared" si="2"/>
        <v>0</v>
      </c>
      <c r="AF665" s="140">
        <v>0.0</v>
      </c>
      <c r="AG665" s="109">
        <v>0.0</v>
      </c>
      <c r="AH665" s="109">
        <v>0.0</v>
      </c>
      <c r="AI665" s="141">
        <v>0.0</v>
      </c>
      <c r="AJ665" s="80">
        <f t="shared" si="3"/>
        <v>0</v>
      </c>
      <c r="AK665" s="140">
        <v>0.0</v>
      </c>
      <c r="AL665" s="109">
        <v>0.0</v>
      </c>
      <c r="AM665" s="141">
        <v>0.0</v>
      </c>
      <c r="AN665" s="80">
        <f t="shared" si="4"/>
        <v>0</v>
      </c>
      <c r="AO665" s="140">
        <v>0.0</v>
      </c>
      <c r="AP665" s="109">
        <v>0.0</v>
      </c>
      <c r="AQ665" s="109">
        <v>72.0</v>
      </c>
      <c r="AR665" s="80">
        <f t="shared" si="5"/>
        <v>72</v>
      </c>
      <c r="AS665" s="110">
        <v>0.0</v>
      </c>
      <c r="AT665" s="110">
        <v>0.0</v>
      </c>
      <c r="AU665" s="110">
        <v>0.0</v>
      </c>
      <c r="AV665" s="142">
        <v>0.0</v>
      </c>
      <c r="AW665" s="80">
        <f t="shared" si="6"/>
        <v>0</v>
      </c>
      <c r="AX665" s="113">
        <f t="shared" si="7"/>
        <v>72</v>
      </c>
      <c r="AY665" s="117">
        <f t="shared" si="8"/>
        <v>0</v>
      </c>
      <c r="AZ665" s="120">
        <f t="shared" si="9"/>
        <v>72</v>
      </c>
      <c r="BA665" s="115">
        <v>0.0</v>
      </c>
      <c r="BB665" s="89">
        <f t="shared" si="10"/>
        <v>72</v>
      </c>
      <c r="BC665" s="132" t="s">
        <v>373</v>
      </c>
      <c r="BD665" s="132" t="s">
        <v>178</v>
      </c>
      <c r="BE665" s="132" t="s">
        <v>178</v>
      </c>
      <c r="BF665" s="123"/>
      <c r="BG665" s="83">
        <v>1179084.0</v>
      </c>
      <c r="BH665" s="112"/>
      <c r="BI665" s="112">
        <v>4.0</v>
      </c>
      <c r="BJ665" s="98" t="s">
        <v>155</v>
      </c>
      <c r="BK665" s="99">
        <f t="shared" si="11"/>
        <v>0</v>
      </c>
      <c r="BL665" s="99">
        <f t="shared" si="12"/>
        <v>0</v>
      </c>
      <c r="BM665" s="99" t="str">
        <f>IFERROR(__xludf.DUMMYFUNCTION("IFERROR(VLOOKUP(BG665,IMPORTRANGE(""https://docs.google.com/spreadsheets/d/1juPI-Fb8LD0YtltB2mlGEnp_R3UVu1t3wSFPzgCyHXE/edit?gid=0#gid=0"",""GERAL!A2:C""),3,0),""-"")"),"CAMPO")</f>
        <v>CAMPO</v>
      </c>
    </row>
    <row r="666" ht="15.75" customHeight="1">
      <c r="A666" s="111" t="s">
        <v>796</v>
      </c>
      <c r="B666" s="83" t="s">
        <v>2087</v>
      </c>
      <c r="C666" s="83" t="s">
        <v>164</v>
      </c>
      <c r="D666" s="112">
        <v>1120613.0</v>
      </c>
      <c r="E666" s="83">
        <v>1178230.0</v>
      </c>
      <c r="F666" s="98">
        <v>2.9492572E7</v>
      </c>
      <c r="G666" s="114" t="s">
        <v>3199</v>
      </c>
      <c r="H666" s="91" t="s">
        <v>3200</v>
      </c>
      <c r="I666" s="136" t="s">
        <v>149</v>
      </c>
      <c r="J666" s="136" t="s">
        <v>3201</v>
      </c>
      <c r="K666" s="83" t="s">
        <v>168</v>
      </c>
      <c r="L666" s="83" t="s">
        <v>152</v>
      </c>
      <c r="M666" s="82" t="str">
        <f>IFERROR(__xludf.DUMMYFUNCTION("IFERROR(VLOOKUP(D666,
IMPORTRANGE(""https://docs.google.com/spreadsheets/d/1MjHtlUikwobi2MaWJgy7tfLeBmhj1u-dRFRs_8GwSoA/edit#gid=0"",""Gestores Escolares!D7:J""),3,0),""VERIFICAR CÓD SEC"")"),"MARINEZ SILVA MENEZES SANTOS")</f>
        <v>MARINEZ SILVA MENEZES SANTOS</v>
      </c>
      <c r="N666" s="82" t="str">
        <f>IFERROR(__xludf.DUMMYFUNCTION("IFERROR(VLOOKUP(D666,
IMPORTRANGE(""https://docs.google.com/spreadsheets/d/1MjHtlUikwobi2MaWJgy7tfLeBmhj1u-dRFRs_8GwSoA/edit#gid=0"",""Gestores Escolares!D7:J""),4,0),""VERIFICAR CÓD SEC"")"),"(74) 9 8816-7348")</f>
        <v>(74) 9 8816-7348</v>
      </c>
      <c r="O666" s="82" t="str">
        <f>IFERROR(__xludf.DUMMYFUNCTION("IFERROR(VLOOKUP(D666,
IMPORTRANGE(""https://docs.google.com/spreadsheets/d/1MjHtlUikwobi2MaWJgy7tfLeBmhj1u-dRFRs_8GwSoA/edit#gid=0"",""Gestores Escolares!D7:J""),6,0),""VERIFICAR CÓD SEC"")"),"")</f>
        <v/>
      </c>
      <c r="P666" s="82" t="str">
        <f>IFERROR(__xludf.DUMMYFUNCTION("IFERROR(VLOOKUP(D666,
IMPORTRANGE(""https://docs.google.com/spreadsheets/d/1MjHtlUikwobi2MaWJgy7tfLeBmhj1u-dRFRs_8GwSoA/edit#gid=0"",""Gestores Escolares!D7:J""),7,0),""VERIFICAR CÓD SEC"")"),"")</f>
        <v/>
      </c>
      <c r="Q666" s="82" t="str">
        <f>IFERROR(__xludf.DUMMYFUNCTION("IFERROR(VLOOKUP(D666,
IMPORTRANGE(""https://docs.google.com/spreadsheets/d/1MjHtlUikwobi2MaWJgy7tfLeBmhj1u-dRFRs_8GwSoA/edit#gid=0"",""Gestores Escolares!D7:m""),9,0),""VERIFICAR CÓD SEC"")"),"")</f>
        <v/>
      </c>
      <c r="R666" s="82" t="str">
        <f>IFERROR(__xludf.DUMMYFUNCTION("IFERROR(VLOOKUP(D666,
IMPORTRANGE(""https://docs.google.com/spreadsheets/d/1MjHtlUikwobi2MaWJgy7tfLeBmhj1u-dRFRs_8GwSoA/edit#gid=0"",""Gestores Escolares!D7:m""),10,0),""VERIFICAR CÓD SEC"")"),"")</f>
        <v/>
      </c>
      <c r="S666" s="82"/>
      <c r="T666" s="138">
        <v>3.0</v>
      </c>
      <c r="U666" s="152">
        <v>3.0</v>
      </c>
      <c r="V666" s="106">
        <v>0.0</v>
      </c>
      <c r="W666" s="107">
        <v>0.0</v>
      </c>
      <c r="X666" s="107">
        <v>0.0</v>
      </c>
      <c r="Y666" s="107">
        <v>0.0</v>
      </c>
      <c r="Z666" s="80">
        <f t="shared" si="1"/>
        <v>0</v>
      </c>
      <c r="AA666" s="106">
        <v>0.0</v>
      </c>
      <c r="AB666" s="107">
        <v>0.0</v>
      </c>
      <c r="AC666" s="107">
        <v>0.0</v>
      </c>
      <c r="AD666" s="107">
        <v>0.0</v>
      </c>
      <c r="AE666" s="80">
        <f t="shared" si="2"/>
        <v>0</v>
      </c>
      <c r="AF666" s="140">
        <v>0.0</v>
      </c>
      <c r="AG666" s="109">
        <v>0.0</v>
      </c>
      <c r="AH666" s="109">
        <v>0.0</v>
      </c>
      <c r="AI666" s="141">
        <v>0.0</v>
      </c>
      <c r="AJ666" s="80">
        <f t="shared" si="3"/>
        <v>0</v>
      </c>
      <c r="AK666" s="140">
        <v>0.0</v>
      </c>
      <c r="AL666" s="109">
        <v>0.0</v>
      </c>
      <c r="AM666" s="141">
        <v>0.0</v>
      </c>
      <c r="AN666" s="80">
        <f t="shared" si="4"/>
        <v>0</v>
      </c>
      <c r="AO666" s="140">
        <v>0.0</v>
      </c>
      <c r="AP666" s="109">
        <v>0.0</v>
      </c>
      <c r="AQ666" s="109">
        <v>36.0</v>
      </c>
      <c r="AR666" s="80">
        <f t="shared" si="5"/>
        <v>36</v>
      </c>
      <c r="AS666" s="110">
        <v>0.0</v>
      </c>
      <c r="AT666" s="110">
        <v>0.0</v>
      </c>
      <c r="AU666" s="110">
        <v>0.0</v>
      </c>
      <c r="AV666" s="142">
        <v>0.0</v>
      </c>
      <c r="AW666" s="80">
        <f t="shared" si="6"/>
        <v>0</v>
      </c>
      <c r="AX666" s="113">
        <f t="shared" si="7"/>
        <v>36</v>
      </c>
      <c r="AY666" s="117">
        <f t="shared" si="8"/>
        <v>0</v>
      </c>
      <c r="AZ666" s="120">
        <f t="shared" si="9"/>
        <v>36</v>
      </c>
      <c r="BA666" s="115">
        <v>0.0</v>
      </c>
      <c r="BB666" s="89">
        <f t="shared" si="10"/>
        <v>36</v>
      </c>
      <c r="BC666" s="132" t="s">
        <v>373</v>
      </c>
      <c r="BD666" s="132" t="s">
        <v>178</v>
      </c>
      <c r="BE666" s="132" t="s">
        <v>178</v>
      </c>
      <c r="BF666" s="123"/>
      <c r="BG666" s="83">
        <v>1178230.0</v>
      </c>
      <c r="BH666" s="112"/>
      <c r="BI666" s="112">
        <v>3.0</v>
      </c>
      <c r="BJ666" s="98" t="s">
        <v>155</v>
      </c>
      <c r="BK666" s="99">
        <f t="shared" si="11"/>
        <v>0</v>
      </c>
      <c r="BL666" s="99">
        <f t="shared" si="12"/>
        <v>0</v>
      </c>
      <c r="BM666" s="99" t="str">
        <f>IFERROR(__xludf.DUMMYFUNCTION("IFERROR(VLOOKUP(BG666,IMPORTRANGE(""https://docs.google.com/spreadsheets/d/1juPI-Fb8LD0YtltB2mlGEnp_R3UVu1t3wSFPzgCyHXE/edit?gid=0#gid=0"",""GERAL!A2:C""),3,0),""-"")"),"CAMPO")</f>
        <v>CAMPO</v>
      </c>
    </row>
    <row r="667" ht="15.75" customHeight="1">
      <c r="A667" s="111" t="s">
        <v>796</v>
      </c>
      <c r="B667" s="83" t="s">
        <v>2087</v>
      </c>
      <c r="C667" s="83" t="s">
        <v>164</v>
      </c>
      <c r="D667" s="112">
        <v>1176091.0</v>
      </c>
      <c r="E667" s="83">
        <v>1178220.0</v>
      </c>
      <c r="F667" s="98">
        <v>2.9491797E7</v>
      </c>
      <c r="G667" s="114" t="s">
        <v>3202</v>
      </c>
      <c r="H667" s="91" t="s">
        <v>3203</v>
      </c>
      <c r="I667" s="136" t="s">
        <v>149</v>
      </c>
      <c r="J667" s="83" t="s">
        <v>577</v>
      </c>
      <c r="K667" s="83" t="s">
        <v>168</v>
      </c>
      <c r="L667" s="83" t="s">
        <v>169</v>
      </c>
      <c r="M667" s="82" t="str">
        <f>IFERROR(__xludf.DUMMYFUNCTION("IFERROR(VLOOKUP(D667,
IMPORTRANGE(""https://docs.google.com/spreadsheets/d/1MjHtlUikwobi2MaWJgy7tfLeBmhj1u-dRFRs_8GwSoA/edit#gid=0"",""Gestores Escolares!D7:J""),3,0),""VERIFICAR CÓD SEC"")"),"ALIRIO RIBEIRO SOARES")</f>
        <v>ALIRIO RIBEIRO SOARES</v>
      </c>
      <c r="N667" s="82" t="str">
        <f>IFERROR(__xludf.DUMMYFUNCTION("IFERROR(VLOOKUP(D667,
IMPORTRANGE(""https://docs.google.com/spreadsheets/d/1MjHtlUikwobi2MaWJgy7tfLeBmhj1u-dRFRs_8GwSoA/edit#gid=0"",""Gestores Escolares!D7:J""),4,0),""VERIFICAR CÓD SEC"")"),"(87) 9 8807-8307")</f>
        <v>(87) 9 8807-8307</v>
      </c>
      <c r="O667" s="82" t="str">
        <f>IFERROR(__xludf.DUMMYFUNCTION("IFERROR(VLOOKUP(D667,
IMPORTRANGE(""https://docs.google.com/spreadsheets/d/1MjHtlUikwobi2MaWJgy7tfLeBmhj1u-dRFRs_8GwSoA/edit#gid=0"",""Gestores Escolares!D7:J""),6,0),""VERIFICAR CÓD SEC"")"),"JUCIMAR GOMES VENCESLAU")</f>
        <v>JUCIMAR GOMES VENCESLAU</v>
      </c>
      <c r="P667" s="82" t="str">
        <f>IFERROR(__xludf.DUMMYFUNCTION("IFERROR(VLOOKUP(D667,
IMPORTRANGE(""https://docs.google.com/spreadsheets/d/1MjHtlUikwobi2MaWJgy7tfLeBmhj1u-dRFRs_8GwSoA/edit#gid=0"",""Gestores Escolares!D7:J""),7,0),""VERIFICAR CÓD SEC"")"),"(74) 9 9103-0240")</f>
        <v>(74) 9 9103-0240</v>
      </c>
      <c r="Q667" s="82" t="str">
        <f>IFERROR(__xludf.DUMMYFUNCTION("IFERROR(VLOOKUP(D667,
IMPORTRANGE(""https://docs.google.com/spreadsheets/d/1MjHtlUikwobi2MaWJgy7tfLeBmhj1u-dRFRs_8GwSoA/edit#gid=0"",""Gestores Escolares!D7:m""),9,0),""VERIFICAR CÓD SEC"")"),"ALBENIR ALEXANDRINA DE SOUSA SILVA")</f>
        <v>ALBENIR ALEXANDRINA DE SOUSA SILVA</v>
      </c>
      <c r="R667" s="82" t="str">
        <f>IFERROR(__xludf.DUMMYFUNCTION("IFERROR(VLOOKUP(D667,
IMPORTRANGE(""https://docs.google.com/spreadsheets/d/1MjHtlUikwobi2MaWJgy7tfLeBmhj1u-dRFRs_8GwSoA/edit#gid=0"",""Gestores Escolares!D7:m""),10,0),""VERIFICAR CÓD SEC"")"),"(74) 9 8809-9072")</f>
        <v>(74) 9 8809-9072</v>
      </c>
      <c r="S667" s="82"/>
      <c r="T667" s="138">
        <v>3.0</v>
      </c>
      <c r="U667" s="152">
        <v>3.0</v>
      </c>
      <c r="V667" s="106">
        <v>0.0</v>
      </c>
      <c r="W667" s="107">
        <v>0.0</v>
      </c>
      <c r="X667" s="107">
        <v>0.0</v>
      </c>
      <c r="Y667" s="107">
        <v>0.0</v>
      </c>
      <c r="Z667" s="80">
        <f t="shared" si="1"/>
        <v>0</v>
      </c>
      <c r="AA667" s="106">
        <v>0.0</v>
      </c>
      <c r="AB667" s="107">
        <v>0.0</v>
      </c>
      <c r="AC667" s="107">
        <v>0.0</v>
      </c>
      <c r="AD667" s="107">
        <v>0.0</v>
      </c>
      <c r="AE667" s="80">
        <f t="shared" si="2"/>
        <v>0</v>
      </c>
      <c r="AF667" s="140">
        <v>0.0</v>
      </c>
      <c r="AG667" s="109">
        <v>0.0</v>
      </c>
      <c r="AH667" s="109">
        <v>0.0</v>
      </c>
      <c r="AI667" s="141">
        <v>0.0</v>
      </c>
      <c r="AJ667" s="80">
        <f t="shared" si="3"/>
        <v>0</v>
      </c>
      <c r="AK667" s="140">
        <v>0.0</v>
      </c>
      <c r="AL667" s="109">
        <v>0.0</v>
      </c>
      <c r="AM667" s="141">
        <v>0.0</v>
      </c>
      <c r="AN667" s="80">
        <f t="shared" si="4"/>
        <v>0</v>
      </c>
      <c r="AO667" s="140">
        <v>0.0</v>
      </c>
      <c r="AP667" s="109">
        <v>0.0</v>
      </c>
      <c r="AQ667" s="109">
        <v>38.0</v>
      </c>
      <c r="AR667" s="80">
        <f t="shared" si="5"/>
        <v>38</v>
      </c>
      <c r="AS667" s="110">
        <v>0.0</v>
      </c>
      <c r="AT667" s="110">
        <v>0.0</v>
      </c>
      <c r="AU667" s="110">
        <v>0.0</v>
      </c>
      <c r="AV667" s="142">
        <v>0.0</v>
      </c>
      <c r="AW667" s="80">
        <f t="shared" si="6"/>
        <v>0</v>
      </c>
      <c r="AX667" s="113">
        <f t="shared" si="7"/>
        <v>38</v>
      </c>
      <c r="AY667" s="117">
        <f t="shared" si="8"/>
        <v>0</v>
      </c>
      <c r="AZ667" s="120">
        <f t="shared" si="9"/>
        <v>38</v>
      </c>
      <c r="BA667" s="115">
        <v>0.0</v>
      </c>
      <c r="BB667" s="89">
        <f t="shared" si="10"/>
        <v>38</v>
      </c>
      <c r="BC667" s="132" t="s">
        <v>373</v>
      </c>
      <c r="BD667" s="132" t="s">
        <v>178</v>
      </c>
      <c r="BE667" s="132" t="s">
        <v>178</v>
      </c>
      <c r="BF667" s="123"/>
      <c r="BG667" s="83">
        <v>1178220.0</v>
      </c>
      <c r="BH667" s="112"/>
      <c r="BI667" s="112">
        <v>3.0</v>
      </c>
      <c r="BJ667" s="98" t="s">
        <v>155</v>
      </c>
      <c r="BK667" s="99">
        <f t="shared" si="11"/>
        <v>0</v>
      </c>
      <c r="BL667" s="99">
        <f t="shared" si="12"/>
        <v>0</v>
      </c>
      <c r="BM667" s="99" t="str">
        <f>IFERROR(__xludf.DUMMYFUNCTION("IFERROR(VLOOKUP(BG667,IMPORTRANGE(""https://docs.google.com/spreadsheets/d/1juPI-Fb8LD0YtltB2mlGEnp_R3UVu1t3wSFPzgCyHXE/edit?gid=0#gid=0"",""GERAL!A2:C""),3,0),""-"")"),"CAMPO")</f>
        <v>CAMPO</v>
      </c>
    </row>
    <row r="668" ht="15.75" customHeight="1">
      <c r="A668" s="111" t="s">
        <v>796</v>
      </c>
      <c r="B668" s="83" t="s">
        <v>2087</v>
      </c>
      <c r="C668" s="83" t="s">
        <v>164</v>
      </c>
      <c r="D668" s="112">
        <v>1178255.0</v>
      </c>
      <c r="E668" s="83">
        <v>1178670.0</v>
      </c>
      <c r="F668" s="98">
        <v>2.9491231E7</v>
      </c>
      <c r="G668" s="119" t="s">
        <v>3204</v>
      </c>
      <c r="H668" s="91" t="s">
        <v>3205</v>
      </c>
      <c r="I668" s="136" t="s">
        <v>149</v>
      </c>
      <c r="J668" s="136" t="s">
        <v>705</v>
      </c>
      <c r="K668" s="83" t="s">
        <v>168</v>
      </c>
      <c r="L668" s="83" t="s">
        <v>169</v>
      </c>
      <c r="M668" s="82" t="str">
        <f>IFERROR(__xludf.DUMMYFUNCTION("IFERROR(VLOOKUP(D668,
IMPORTRANGE(""https://docs.google.com/spreadsheets/d/1MjHtlUikwobi2MaWJgy7tfLeBmhj1u-dRFRs_8GwSoA/edit#gid=0"",""Gestores Escolares!D7:J""),3,0),""VERIFICAR CÓD SEC"")"),"GILBERTO FEITOSA DA SILVA")</f>
        <v>GILBERTO FEITOSA DA SILVA</v>
      </c>
      <c r="N668" s="82" t="str">
        <f>IFERROR(__xludf.DUMMYFUNCTION("IFERROR(VLOOKUP(D668,
IMPORTRANGE(""https://docs.google.com/spreadsheets/d/1MjHtlUikwobi2MaWJgy7tfLeBmhj1u-dRFRs_8GwSoA/edit#gid=0"",""Gestores Escolares!D7:J""),4,0),""VERIFICAR CÓD SEC"")"),"(74) 9 8804-4251")</f>
        <v>(74) 9 8804-4251</v>
      </c>
      <c r="O668" s="82" t="str">
        <f>IFERROR(__xludf.DUMMYFUNCTION("IFERROR(VLOOKUP(D668,
IMPORTRANGE(""https://docs.google.com/spreadsheets/d/1MjHtlUikwobi2MaWJgy7tfLeBmhj1u-dRFRs_8GwSoA/edit#gid=0"",""Gestores Escolares!D7:J""),6,0),""VERIFICAR CÓD SEC"")"),"KARINA AMORIM MOREIRA MENEZES LOURENCO")</f>
        <v>KARINA AMORIM MOREIRA MENEZES LOURENCO</v>
      </c>
      <c r="P668" s="82" t="str">
        <f>IFERROR(__xludf.DUMMYFUNCTION("IFERROR(VLOOKUP(D668,
IMPORTRANGE(""https://docs.google.com/spreadsheets/d/1MjHtlUikwobi2MaWJgy7tfLeBmhj1u-dRFRs_8GwSoA/edit#gid=0"",""Gestores Escolares!D7:J""),7,0),""VERIFICAR CÓD SEC"")"),"(87) 9 8108-1830")</f>
        <v>(87) 9 8108-1830</v>
      </c>
      <c r="Q668" s="82" t="str">
        <f>IFERROR(__xludf.DUMMYFUNCTION("IFERROR(VLOOKUP(D668,
IMPORTRANGE(""https://docs.google.com/spreadsheets/d/1MjHtlUikwobi2MaWJgy7tfLeBmhj1u-dRFRs_8GwSoA/edit#gid=0"",""Gestores Escolares!D7:m""),9,0),""VERIFICAR CÓD SEC"")"),"ANA EMIDIA SOUSA ROCHA")</f>
        <v>ANA EMIDIA SOUSA ROCHA</v>
      </c>
      <c r="R668" s="82" t="str">
        <f>IFERROR(__xludf.DUMMYFUNCTION("IFERROR(VLOOKUP(D668,
IMPORTRANGE(""https://docs.google.com/spreadsheets/d/1MjHtlUikwobi2MaWJgy7tfLeBmhj1u-dRFRs_8GwSoA/edit#gid=0"",""Gestores Escolares!D7:m""),10,0),""VERIFICAR CÓD SEC"")"),"(74) 9 9147-7395")</f>
        <v>(74) 9 9147-7395</v>
      </c>
      <c r="S668" s="82"/>
      <c r="T668" s="138">
        <v>3.0</v>
      </c>
      <c r="U668" s="152">
        <v>3.0</v>
      </c>
      <c r="V668" s="106">
        <v>0.0</v>
      </c>
      <c r="W668" s="107">
        <v>0.0</v>
      </c>
      <c r="X668" s="107">
        <v>0.0</v>
      </c>
      <c r="Y668" s="107">
        <v>0.0</v>
      </c>
      <c r="Z668" s="80">
        <f t="shared" si="1"/>
        <v>0</v>
      </c>
      <c r="AA668" s="106">
        <v>0.0</v>
      </c>
      <c r="AB668" s="107">
        <v>0.0</v>
      </c>
      <c r="AC668" s="107">
        <v>0.0</v>
      </c>
      <c r="AD668" s="107">
        <v>0.0</v>
      </c>
      <c r="AE668" s="80">
        <f t="shared" si="2"/>
        <v>0</v>
      </c>
      <c r="AF668" s="140">
        <v>0.0</v>
      </c>
      <c r="AG668" s="109">
        <v>0.0</v>
      </c>
      <c r="AH668" s="109">
        <v>28.0</v>
      </c>
      <c r="AI668" s="141">
        <v>0.0</v>
      </c>
      <c r="AJ668" s="80">
        <f t="shared" si="3"/>
        <v>28</v>
      </c>
      <c r="AK668" s="140">
        <v>0.0</v>
      </c>
      <c r="AL668" s="109">
        <v>0.0</v>
      </c>
      <c r="AM668" s="141">
        <v>0.0</v>
      </c>
      <c r="AN668" s="80">
        <f t="shared" si="4"/>
        <v>0</v>
      </c>
      <c r="AO668" s="140">
        <v>0.0</v>
      </c>
      <c r="AP668" s="109">
        <v>0.0</v>
      </c>
      <c r="AQ668" s="109">
        <v>0.0</v>
      </c>
      <c r="AR668" s="80">
        <f t="shared" si="5"/>
        <v>0</v>
      </c>
      <c r="AS668" s="110">
        <v>0.0</v>
      </c>
      <c r="AT668" s="110">
        <v>0.0</v>
      </c>
      <c r="AU668" s="110">
        <v>0.0</v>
      </c>
      <c r="AV668" s="142">
        <v>0.0</v>
      </c>
      <c r="AW668" s="80">
        <f t="shared" si="6"/>
        <v>0</v>
      </c>
      <c r="AX668" s="113">
        <f t="shared" si="7"/>
        <v>28</v>
      </c>
      <c r="AY668" s="117">
        <f t="shared" si="8"/>
        <v>0</v>
      </c>
      <c r="AZ668" s="120">
        <f t="shared" si="9"/>
        <v>28</v>
      </c>
      <c r="BA668" s="115">
        <v>0.0</v>
      </c>
      <c r="BB668" s="89">
        <f t="shared" si="10"/>
        <v>28</v>
      </c>
      <c r="BC668" s="132" t="s">
        <v>373</v>
      </c>
      <c r="BD668" s="132" t="s">
        <v>178</v>
      </c>
      <c r="BE668" s="132" t="s">
        <v>178</v>
      </c>
      <c r="BF668" s="123"/>
      <c r="BG668" s="83">
        <v>1178670.0</v>
      </c>
      <c r="BH668" s="112"/>
      <c r="BI668" s="112">
        <v>3.0</v>
      </c>
      <c r="BJ668" s="98" t="s">
        <v>155</v>
      </c>
      <c r="BK668" s="99">
        <f t="shared" si="11"/>
        <v>0</v>
      </c>
      <c r="BL668" s="99">
        <f t="shared" si="12"/>
        <v>0</v>
      </c>
      <c r="BM668" s="99" t="str">
        <f>IFERROR(__xludf.DUMMYFUNCTION("IFERROR(VLOOKUP(BG668,IMPORTRANGE(""https://docs.google.com/spreadsheets/d/1juPI-Fb8LD0YtltB2mlGEnp_R3UVu1t3wSFPzgCyHXE/edit?gid=0#gid=0"",""GERAL!A2:C""),3,0),""-"")"),"CAMPO")</f>
        <v>CAMPO</v>
      </c>
    </row>
    <row r="669" ht="15.75" customHeight="1">
      <c r="A669" s="111" t="s">
        <v>796</v>
      </c>
      <c r="B669" s="83" t="s">
        <v>2087</v>
      </c>
      <c r="C669" s="83" t="s">
        <v>164</v>
      </c>
      <c r="D669" s="112">
        <v>1178255.0</v>
      </c>
      <c r="E669" s="83">
        <v>1178671.0</v>
      </c>
      <c r="F669" s="98">
        <v>2.9491223E7</v>
      </c>
      <c r="G669" s="119" t="s">
        <v>3206</v>
      </c>
      <c r="H669" s="91" t="s">
        <v>3207</v>
      </c>
      <c r="I669" s="136" t="s">
        <v>149</v>
      </c>
      <c r="J669" s="136" t="s">
        <v>252</v>
      </c>
      <c r="K669" s="83" t="s">
        <v>168</v>
      </c>
      <c r="L669" s="83" t="s">
        <v>169</v>
      </c>
      <c r="M669" s="82" t="str">
        <f>IFERROR(__xludf.DUMMYFUNCTION("IFERROR(VLOOKUP(D669,
IMPORTRANGE(""https://docs.google.com/spreadsheets/d/1MjHtlUikwobi2MaWJgy7tfLeBmhj1u-dRFRs_8GwSoA/edit#gid=0"",""Gestores Escolares!D7:J""),3,0),""VERIFICAR CÓD SEC"")"),"GILBERTO FEITOSA DA SILVA")</f>
        <v>GILBERTO FEITOSA DA SILVA</v>
      </c>
      <c r="N669" s="82" t="str">
        <f>IFERROR(__xludf.DUMMYFUNCTION("IFERROR(VLOOKUP(D669,
IMPORTRANGE(""https://docs.google.com/spreadsheets/d/1MjHtlUikwobi2MaWJgy7tfLeBmhj1u-dRFRs_8GwSoA/edit#gid=0"",""Gestores Escolares!D7:J""),4,0),""VERIFICAR CÓD SEC"")"),"(74) 9 8804-4251")</f>
        <v>(74) 9 8804-4251</v>
      </c>
      <c r="O669" s="82" t="str">
        <f>IFERROR(__xludf.DUMMYFUNCTION("IFERROR(VLOOKUP(D669,
IMPORTRANGE(""https://docs.google.com/spreadsheets/d/1MjHtlUikwobi2MaWJgy7tfLeBmhj1u-dRFRs_8GwSoA/edit#gid=0"",""Gestores Escolares!D7:J""),6,0),""VERIFICAR CÓD SEC"")"),"KARINA AMORIM MOREIRA MENEZES LOURENCO")</f>
        <v>KARINA AMORIM MOREIRA MENEZES LOURENCO</v>
      </c>
      <c r="P669" s="82" t="str">
        <f>IFERROR(__xludf.DUMMYFUNCTION("IFERROR(VLOOKUP(D669,
IMPORTRANGE(""https://docs.google.com/spreadsheets/d/1MjHtlUikwobi2MaWJgy7tfLeBmhj1u-dRFRs_8GwSoA/edit#gid=0"",""Gestores Escolares!D7:J""),7,0),""VERIFICAR CÓD SEC"")"),"(87) 9 8108-1830")</f>
        <v>(87) 9 8108-1830</v>
      </c>
      <c r="Q669" s="82" t="str">
        <f>IFERROR(__xludf.DUMMYFUNCTION("IFERROR(VLOOKUP(D669,
IMPORTRANGE(""https://docs.google.com/spreadsheets/d/1MjHtlUikwobi2MaWJgy7tfLeBmhj1u-dRFRs_8GwSoA/edit#gid=0"",""Gestores Escolares!D7:m""),9,0),""VERIFICAR CÓD SEC"")"),"ANA EMIDIA SOUSA ROCHA")</f>
        <v>ANA EMIDIA SOUSA ROCHA</v>
      </c>
      <c r="R669" s="82" t="str">
        <f>IFERROR(__xludf.DUMMYFUNCTION("IFERROR(VLOOKUP(D669,
IMPORTRANGE(""https://docs.google.com/spreadsheets/d/1MjHtlUikwobi2MaWJgy7tfLeBmhj1u-dRFRs_8GwSoA/edit#gid=0"",""Gestores Escolares!D7:m""),10,0),""VERIFICAR CÓD SEC"")"),"(74) 9 9147-7395")</f>
        <v>(74) 9 9147-7395</v>
      </c>
      <c r="S669" s="82"/>
      <c r="T669" s="138">
        <v>3.0</v>
      </c>
      <c r="U669" s="152">
        <v>3.0</v>
      </c>
      <c r="V669" s="106">
        <v>0.0</v>
      </c>
      <c r="W669" s="107">
        <v>0.0</v>
      </c>
      <c r="X669" s="107">
        <v>0.0</v>
      </c>
      <c r="Y669" s="107">
        <v>0.0</v>
      </c>
      <c r="Z669" s="80">
        <f t="shared" si="1"/>
        <v>0</v>
      </c>
      <c r="AA669" s="106">
        <v>0.0</v>
      </c>
      <c r="AB669" s="107">
        <v>0.0</v>
      </c>
      <c r="AC669" s="107">
        <v>0.0</v>
      </c>
      <c r="AD669" s="107">
        <v>0.0</v>
      </c>
      <c r="AE669" s="80">
        <f t="shared" si="2"/>
        <v>0</v>
      </c>
      <c r="AF669" s="140">
        <v>0.0</v>
      </c>
      <c r="AG669" s="109">
        <v>0.0</v>
      </c>
      <c r="AH669" s="109">
        <v>0.0</v>
      </c>
      <c r="AI669" s="141">
        <v>0.0</v>
      </c>
      <c r="AJ669" s="80">
        <f t="shared" si="3"/>
        <v>0</v>
      </c>
      <c r="AK669" s="140">
        <v>0.0</v>
      </c>
      <c r="AL669" s="109">
        <v>0.0</v>
      </c>
      <c r="AM669" s="141">
        <v>0.0</v>
      </c>
      <c r="AN669" s="80">
        <f t="shared" si="4"/>
        <v>0</v>
      </c>
      <c r="AO669" s="140">
        <v>0.0</v>
      </c>
      <c r="AP669" s="109">
        <v>0.0</v>
      </c>
      <c r="AQ669" s="109">
        <v>22.0</v>
      </c>
      <c r="AR669" s="80">
        <f t="shared" si="5"/>
        <v>22</v>
      </c>
      <c r="AS669" s="110">
        <v>0.0</v>
      </c>
      <c r="AT669" s="110">
        <v>0.0</v>
      </c>
      <c r="AU669" s="110">
        <v>0.0</v>
      </c>
      <c r="AV669" s="142">
        <v>0.0</v>
      </c>
      <c r="AW669" s="80">
        <f t="shared" si="6"/>
        <v>0</v>
      </c>
      <c r="AX669" s="113">
        <f t="shared" si="7"/>
        <v>22</v>
      </c>
      <c r="AY669" s="117">
        <f t="shared" si="8"/>
        <v>0</v>
      </c>
      <c r="AZ669" s="120">
        <f t="shared" si="9"/>
        <v>22</v>
      </c>
      <c r="BA669" s="115">
        <v>0.0</v>
      </c>
      <c r="BB669" s="89">
        <f t="shared" si="10"/>
        <v>22</v>
      </c>
      <c r="BC669" s="132" t="s">
        <v>373</v>
      </c>
      <c r="BD669" s="132" t="s">
        <v>178</v>
      </c>
      <c r="BE669" s="132" t="s">
        <v>178</v>
      </c>
      <c r="BF669" s="179"/>
      <c r="BG669" s="83">
        <v>1178671.0</v>
      </c>
      <c r="BH669" s="112"/>
      <c r="BI669" s="112">
        <v>3.0</v>
      </c>
      <c r="BJ669" s="98" t="s">
        <v>155</v>
      </c>
      <c r="BK669" s="99">
        <f t="shared" si="11"/>
        <v>0</v>
      </c>
      <c r="BL669" s="99">
        <f t="shared" si="12"/>
        <v>0</v>
      </c>
      <c r="BM669" s="99" t="str">
        <f>IFERROR(__xludf.DUMMYFUNCTION("IFERROR(VLOOKUP(BG669,IMPORTRANGE(""https://docs.google.com/spreadsheets/d/1juPI-Fb8LD0YtltB2mlGEnp_R3UVu1t3wSFPzgCyHXE/edit?gid=0#gid=0"",""GERAL!A2:C""),3,0),""-"")"),"FUNDO E FECHO")</f>
        <v>FUNDO E FECHO</v>
      </c>
    </row>
    <row r="670" ht="15.75" customHeight="1">
      <c r="A670" s="111" t="s">
        <v>796</v>
      </c>
      <c r="B670" s="83" t="s">
        <v>2087</v>
      </c>
      <c r="C670" s="83" t="s">
        <v>164</v>
      </c>
      <c r="D670" s="112">
        <v>1120664.0</v>
      </c>
      <c r="E670" s="83">
        <v>1178212.0</v>
      </c>
      <c r="F670" s="98">
        <v>2.9491118E7</v>
      </c>
      <c r="G670" s="147" t="s">
        <v>3208</v>
      </c>
      <c r="H670" s="91" t="s">
        <v>3209</v>
      </c>
      <c r="I670" s="136" t="s">
        <v>3210</v>
      </c>
      <c r="J670" s="136" t="s">
        <v>1946</v>
      </c>
      <c r="K670" s="83" t="s">
        <v>168</v>
      </c>
      <c r="L670" s="83" t="s">
        <v>169</v>
      </c>
      <c r="M670" s="82" t="str">
        <f>IFERROR(__xludf.DUMMYFUNCTION("IFERROR(VLOOKUP(D670,
IMPORTRANGE(""https://docs.google.com/spreadsheets/d/1MjHtlUikwobi2MaWJgy7tfLeBmhj1u-dRFRs_8GwSoA/edit#gid=0"",""Gestores Escolares!D7:J""),3,0),""VERIFICAR CÓD SEC"")"),"GEORGTOWN ALMIR OLIVEIRA DA SILVA")</f>
        <v>GEORGTOWN ALMIR OLIVEIRA DA SILVA</v>
      </c>
      <c r="N670" s="82" t="str">
        <f>IFERROR(__xludf.DUMMYFUNCTION("IFERROR(VLOOKUP(D670,
IMPORTRANGE(""https://docs.google.com/spreadsheets/d/1MjHtlUikwobi2MaWJgy7tfLeBmhj1u-dRFRs_8GwSoA/edit#gid=0"",""Gestores Escolares!D7:J""),4,0),""VERIFICAR CÓD SEC"")"),"(87) 9 8119-9926/  
9 9199-0505 (ZAP)")</f>
        <v>(87) 9 8119-9926/  
9 9199-0505 (ZAP)</v>
      </c>
      <c r="O670" s="82" t="str">
        <f>IFERROR(__xludf.DUMMYFUNCTION("IFERROR(VLOOKUP(D670,
IMPORTRANGE(""https://docs.google.com/spreadsheets/d/1MjHtlUikwobi2MaWJgy7tfLeBmhj1u-dRFRs_8GwSoA/edit#gid=0"",""Gestores Escolares!D7:J""),6,0),""VERIFICAR CÓD SEC"")"),"	ELBA MARIA DA SILVA CAMPOS LOUREIRO")</f>
        <v>	ELBA MARIA DA SILVA CAMPOS LOUREIRO</v>
      </c>
      <c r="P670" s="82" t="str">
        <f>IFERROR(__xludf.DUMMYFUNCTION("IFERROR(VLOOKUP(D670,
IMPORTRANGE(""https://docs.google.com/spreadsheets/d/1MjHtlUikwobi2MaWJgy7tfLeBmhj1u-dRFRs_8GwSoA/edit#gid=0"",""Gestores Escolares!D7:J""),7,0),""VERIFICAR CÓD SEC"")"),"(74) 9 8854-0050")</f>
        <v>(74) 9 8854-0050</v>
      </c>
      <c r="Q670" s="82" t="str">
        <f>IFERROR(__xludf.DUMMYFUNCTION("IFERROR(VLOOKUP(D670,
IMPORTRANGE(""https://docs.google.com/spreadsheets/d/1MjHtlUikwobi2MaWJgy7tfLeBmhj1u-dRFRs_8GwSoA/edit#gid=0"",""Gestores Escolares!D7:m""),9,0),""VERIFICAR CÓD SEC"")"),"JOSETE DOURADO LIMA DE MORAIS")</f>
        <v>JOSETE DOURADO LIMA DE MORAIS</v>
      </c>
      <c r="R670" s="82" t="str">
        <f>IFERROR(__xludf.DUMMYFUNCTION("IFERROR(VLOOKUP(D670,
IMPORTRANGE(""https://docs.google.com/spreadsheets/d/1MjHtlUikwobi2MaWJgy7tfLeBmhj1u-dRFRs_8GwSoA/edit#gid=0"",""Gestores Escolares!D7:m""),10,0),""VERIFICAR CÓD SEC"")"),"(74) 9 8854-0050")</f>
        <v>(74) 9 8854-0050</v>
      </c>
      <c r="S670" s="82"/>
      <c r="T670" s="138">
        <v>3.0</v>
      </c>
      <c r="U670" s="152">
        <v>3.0</v>
      </c>
      <c r="V670" s="106">
        <v>0.0</v>
      </c>
      <c r="W670" s="107">
        <v>0.0</v>
      </c>
      <c r="X670" s="107">
        <v>0.0</v>
      </c>
      <c r="Y670" s="107">
        <v>0.0</v>
      </c>
      <c r="Z670" s="80">
        <f t="shared" si="1"/>
        <v>0</v>
      </c>
      <c r="AA670" s="106">
        <v>0.0</v>
      </c>
      <c r="AB670" s="107">
        <v>0.0</v>
      </c>
      <c r="AC670" s="107">
        <v>0.0</v>
      </c>
      <c r="AD670" s="107">
        <v>0.0</v>
      </c>
      <c r="AE670" s="80">
        <f t="shared" si="2"/>
        <v>0</v>
      </c>
      <c r="AF670" s="140">
        <v>0.0</v>
      </c>
      <c r="AG670" s="109">
        <v>85.0</v>
      </c>
      <c r="AH670" s="109">
        <v>0.0</v>
      </c>
      <c r="AI670" s="141">
        <v>0.0</v>
      </c>
      <c r="AJ670" s="80">
        <f t="shared" si="3"/>
        <v>85</v>
      </c>
      <c r="AK670" s="140">
        <v>0.0</v>
      </c>
      <c r="AL670" s="109">
        <v>0.0</v>
      </c>
      <c r="AM670" s="141">
        <v>0.0</v>
      </c>
      <c r="AN670" s="80">
        <f t="shared" si="4"/>
        <v>0</v>
      </c>
      <c r="AO670" s="140">
        <v>0.0</v>
      </c>
      <c r="AP670" s="109">
        <v>0.0</v>
      </c>
      <c r="AQ670" s="109">
        <v>88.0</v>
      </c>
      <c r="AR670" s="80">
        <f t="shared" si="5"/>
        <v>88</v>
      </c>
      <c r="AS670" s="110">
        <v>0.0</v>
      </c>
      <c r="AT670" s="110">
        <v>0.0</v>
      </c>
      <c r="AU670" s="110">
        <v>0.0</v>
      </c>
      <c r="AV670" s="142">
        <v>0.0</v>
      </c>
      <c r="AW670" s="80">
        <f t="shared" si="6"/>
        <v>0</v>
      </c>
      <c r="AX670" s="113">
        <f t="shared" si="7"/>
        <v>173</v>
      </c>
      <c r="AY670" s="117">
        <f t="shared" si="8"/>
        <v>85</v>
      </c>
      <c r="AZ670" s="120">
        <f t="shared" si="9"/>
        <v>88</v>
      </c>
      <c r="BA670" s="115">
        <v>0.0</v>
      </c>
      <c r="BB670" s="89">
        <f t="shared" si="10"/>
        <v>173</v>
      </c>
      <c r="BC670" s="132" t="s">
        <v>373</v>
      </c>
      <c r="BD670" s="132" t="s">
        <v>178</v>
      </c>
      <c r="BE670" s="132" t="s">
        <v>178</v>
      </c>
      <c r="BF670" s="123"/>
      <c r="BG670" s="83">
        <v>1178212.0</v>
      </c>
      <c r="BH670" s="112"/>
      <c r="BI670" s="112">
        <v>3.0</v>
      </c>
      <c r="BJ670" s="98" t="s">
        <v>155</v>
      </c>
      <c r="BK670" s="99">
        <f t="shared" si="11"/>
        <v>0</v>
      </c>
      <c r="BL670" s="99">
        <f t="shared" si="12"/>
        <v>85</v>
      </c>
      <c r="BM670" s="99" t="str">
        <f>IFERROR(__xludf.DUMMYFUNCTION("IFERROR(VLOOKUP(BG670,IMPORTRANGE(""https://docs.google.com/spreadsheets/d/1juPI-Fb8LD0YtltB2mlGEnp_R3UVu1t3wSFPzgCyHXE/edit?gid=0#gid=0"",""GERAL!A2:C""),3,0),""-"")"),"CAMPO")</f>
        <v>CAMPO</v>
      </c>
    </row>
    <row r="671" ht="15.75" customHeight="1">
      <c r="A671" s="111" t="s">
        <v>796</v>
      </c>
      <c r="B671" s="83" t="s">
        <v>2087</v>
      </c>
      <c r="C671" s="83" t="s">
        <v>164</v>
      </c>
      <c r="D671" s="112">
        <v>1160950.0</v>
      </c>
      <c r="E671" s="83">
        <v>1178673.0</v>
      </c>
      <c r="F671" s="98">
        <v>2.9490596E7</v>
      </c>
      <c r="G671" s="119" t="s">
        <v>3211</v>
      </c>
      <c r="H671" s="91" t="s">
        <v>3212</v>
      </c>
      <c r="I671" s="136" t="s">
        <v>1563</v>
      </c>
      <c r="J671" s="83" t="s">
        <v>1502</v>
      </c>
      <c r="K671" s="83" t="s">
        <v>168</v>
      </c>
      <c r="L671" s="83" t="s">
        <v>169</v>
      </c>
      <c r="M671" s="82" t="str">
        <f>IFERROR(__xludf.DUMMYFUNCTION("IFERROR(VLOOKUP(D671,
IMPORTRANGE(""https://docs.google.com/spreadsheets/d/1MjHtlUikwobi2MaWJgy7tfLeBmhj1u-dRFRs_8GwSoA/edit#gid=0"",""Gestores Escolares!D7:J""),3,0),""VERIFICAR CÓD SEC"")"),"ROBERIO GRANJA")</f>
        <v>ROBERIO GRANJA</v>
      </c>
      <c r="N671" s="82" t="str">
        <f>IFERROR(__xludf.DUMMYFUNCTION("IFERROR(VLOOKUP(D671,
IMPORTRANGE(""https://docs.google.com/spreadsheets/d/1MjHtlUikwobi2MaWJgy7tfLeBmhj1u-dRFRs_8GwSoA/edit#gid=0"",""Gestores Escolares!D7:J""),4,0),""VERIFICAR CÓD SEC"")"),"(87) 9 8841-5279")</f>
        <v>(87) 9 8841-5279</v>
      </c>
      <c r="O671" s="82" t="str">
        <f>IFERROR(__xludf.DUMMYFUNCTION("IFERROR(VLOOKUP(D671,
IMPORTRANGE(""https://docs.google.com/spreadsheets/d/1MjHtlUikwobi2MaWJgy7tfLeBmhj1u-dRFRs_8GwSoA/edit#gid=0"",""Gestores Escolares!D7:J""),6,0),""VERIFICAR CÓD SEC"")"),"MARIA PERPETUA NETO")</f>
        <v>MARIA PERPETUA NETO</v>
      </c>
      <c r="P671" s="82" t="str">
        <f>IFERROR(__xludf.DUMMYFUNCTION("IFERROR(VLOOKUP(D671,
IMPORTRANGE(""https://docs.google.com/spreadsheets/d/1MjHtlUikwobi2MaWJgy7tfLeBmhj1u-dRFRs_8GwSoA/edit#gid=0"",""Gestores Escolares!D7:J""),7,0),""VERIFICAR CÓD SEC"")"),"(87) 9 8803-6054")</f>
        <v>(87) 9 8803-6054</v>
      </c>
      <c r="Q671" s="82" t="str">
        <f>IFERROR(__xludf.DUMMYFUNCTION("IFERROR(VLOOKUP(D671,
IMPORTRANGE(""https://docs.google.com/spreadsheets/d/1MjHtlUikwobi2MaWJgy7tfLeBmhj1u-dRFRs_8GwSoA/edit#gid=0"",""Gestores Escolares!D7:m""),9,0),""VERIFICAR CÓD SEC"")"),"")</f>
        <v/>
      </c>
      <c r="R671" s="82" t="str">
        <f>IFERROR(__xludf.DUMMYFUNCTION("IFERROR(VLOOKUP(D671,
IMPORTRANGE(""https://docs.google.com/spreadsheets/d/1MjHtlUikwobi2MaWJgy7tfLeBmhj1u-dRFRs_8GwSoA/edit#gid=0"",""Gestores Escolares!D7:m""),10,0),""VERIFICAR CÓD SEC"")"),"")</f>
        <v/>
      </c>
      <c r="S671" s="82"/>
      <c r="T671" s="138">
        <v>3.0</v>
      </c>
      <c r="U671" s="152">
        <v>3.0</v>
      </c>
      <c r="V671" s="106">
        <v>0.0</v>
      </c>
      <c r="W671" s="107">
        <v>0.0</v>
      </c>
      <c r="X671" s="107">
        <v>0.0</v>
      </c>
      <c r="Y671" s="107">
        <v>0.0</v>
      </c>
      <c r="Z671" s="80">
        <f t="shared" si="1"/>
        <v>0</v>
      </c>
      <c r="AA671" s="106">
        <v>0.0</v>
      </c>
      <c r="AB671" s="107">
        <v>0.0</v>
      </c>
      <c r="AC671" s="107">
        <v>0.0</v>
      </c>
      <c r="AD671" s="107">
        <v>0.0</v>
      </c>
      <c r="AE671" s="80">
        <f t="shared" si="2"/>
        <v>0</v>
      </c>
      <c r="AF671" s="140">
        <v>0.0</v>
      </c>
      <c r="AG671" s="109">
        <v>0.0</v>
      </c>
      <c r="AH671" s="109">
        <v>0.0</v>
      </c>
      <c r="AI671" s="141">
        <v>0.0</v>
      </c>
      <c r="AJ671" s="80">
        <f t="shared" si="3"/>
        <v>0</v>
      </c>
      <c r="AK671" s="140">
        <v>0.0</v>
      </c>
      <c r="AL671" s="109">
        <v>0.0</v>
      </c>
      <c r="AM671" s="141">
        <v>0.0</v>
      </c>
      <c r="AN671" s="80">
        <f t="shared" si="4"/>
        <v>0</v>
      </c>
      <c r="AO671" s="140">
        <v>0.0</v>
      </c>
      <c r="AP671" s="109">
        <v>0.0</v>
      </c>
      <c r="AQ671" s="109">
        <v>38.0</v>
      </c>
      <c r="AR671" s="80">
        <f t="shared" si="5"/>
        <v>38</v>
      </c>
      <c r="AS671" s="110">
        <v>0.0</v>
      </c>
      <c r="AT671" s="110">
        <v>0.0</v>
      </c>
      <c r="AU671" s="110">
        <v>0.0</v>
      </c>
      <c r="AV671" s="142">
        <v>0.0</v>
      </c>
      <c r="AW671" s="80">
        <f t="shared" si="6"/>
        <v>0</v>
      </c>
      <c r="AX671" s="113">
        <f t="shared" si="7"/>
        <v>38</v>
      </c>
      <c r="AY671" s="117">
        <f t="shared" si="8"/>
        <v>0</v>
      </c>
      <c r="AZ671" s="120">
        <f t="shared" si="9"/>
        <v>38</v>
      </c>
      <c r="BA671" s="115">
        <v>0.0</v>
      </c>
      <c r="BB671" s="89">
        <f t="shared" si="10"/>
        <v>38</v>
      </c>
      <c r="BC671" s="132" t="s">
        <v>373</v>
      </c>
      <c r="BD671" s="132" t="s">
        <v>178</v>
      </c>
      <c r="BE671" s="132" t="s">
        <v>178</v>
      </c>
      <c r="BF671" s="123"/>
      <c r="BG671" s="83">
        <v>1178673.0</v>
      </c>
      <c r="BH671" s="112"/>
      <c r="BI671" s="112">
        <v>3.0</v>
      </c>
      <c r="BJ671" s="98" t="s">
        <v>155</v>
      </c>
      <c r="BK671" s="99">
        <f t="shared" si="11"/>
        <v>0</v>
      </c>
      <c r="BL671" s="99">
        <f t="shared" si="12"/>
        <v>0</v>
      </c>
      <c r="BM671" s="99" t="str">
        <f>IFERROR(__xludf.DUMMYFUNCTION("IFERROR(VLOOKUP(BG671,IMPORTRANGE(""https://docs.google.com/spreadsheets/d/1juPI-Fb8LD0YtltB2mlGEnp_R3UVu1t3wSFPzgCyHXE/edit?gid=0#gid=0"",""GERAL!A2:C""),3,0),""-"")"),"CAMPO")</f>
        <v>CAMPO</v>
      </c>
    </row>
    <row r="672" ht="15.75" customHeight="1">
      <c r="A672" s="111" t="s">
        <v>796</v>
      </c>
      <c r="B672" s="83" t="s">
        <v>2087</v>
      </c>
      <c r="C672" s="98" t="s">
        <v>164</v>
      </c>
      <c r="D672" s="112">
        <v>1120389.0</v>
      </c>
      <c r="E672" s="98">
        <v>1176768.0</v>
      </c>
      <c r="F672" s="98">
        <v>2.949043E7</v>
      </c>
      <c r="G672" s="119" t="s">
        <v>3213</v>
      </c>
      <c r="H672" s="108" t="s">
        <v>3214</v>
      </c>
      <c r="I672" s="83" t="s">
        <v>149</v>
      </c>
      <c r="J672" s="83"/>
      <c r="K672" s="98" t="s">
        <v>168</v>
      </c>
      <c r="L672" s="98" t="s">
        <v>169</v>
      </c>
      <c r="M672" s="82" t="str">
        <f>IFERROR(__xludf.DUMMYFUNCTION("IFERROR(VLOOKUP(D672,
IMPORTRANGE(""https://docs.google.com/spreadsheets/d/1MjHtlUikwobi2MaWJgy7tfLeBmhj1u-dRFRs_8GwSoA/edit#gid=0"",""Gestores Escolares!D7:J""),3,0),""VERIFICAR CÓD SEC"")"),"LINDOMAR DE SOUZA MENEZES")</f>
        <v>LINDOMAR DE SOUZA MENEZES</v>
      </c>
      <c r="N672" s="82" t="str">
        <f>IFERROR(__xludf.DUMMYFUNCTION("IFERROR(VLOOKUP(D672,
IMPORTRANGE(""https://docs.google.com/spreadsheets/d/1MjHtlUikwobi2MaWJgy7tfLeBmhj1u-dRFRs_8GwSoA/edit#gid=0"",""Gestores Escolares!D7:J""),4,0),""VERIFICAR CÓD SEC"")"),"(74) 9 9809-5034")</f>
        <v>(74) 9 9809-5034</v>
      </c>
      <c r="O672" s="82" t="str">
        <f>IFERROR(__xludf.DUMMYFUNCTION("IFERROR(VLOOKUP(D672,
IMPORTRANGE(""https://docs.google.com/spreadsheets/d/1MjHtlUikwobi2MaWJgy7tfLeBmhj1u-dRFRs_8GwSoA/edit#gid=0"",""Gestores Escolares!D7:J""),6,0),""VERIFICAR CÓD SEC"")"),"LILIAN DE SOUZA SILVA RODRIGUES")</f>
        <v>LILIAN DE SOUZA SILVA RODRIGUES</v>
      </c>
      <c r="P672" s="82" t="str">
        <f>IFERROR(__xludf.DUMMYFUNCTION("IFERROR(VLOOKUP(D672,
IMPORTRANGE(""https://docs.google.com/spreadsheets/d/1MjHtlUikwobi2MaWJgy7tfLeBmhj1u-dRFRs_8GwSoA/edit#gid=0"",""Gestores Escolares!D7:J""),7,0),""VERIFICAR CÓD SEC"")"),"(74) 9 8813-5474")</f>
        <v>(74) 9 8813-5474</v>
      </c>
      <c r="Q672" s="82" t="str">
        <f>IFERROR(__xludf.DUMMYFUNCTION("IFERROR(VLOOKUP(D672,
IMPORTRANGE(""https://docs.google.com/spreadsheets/d/1MjHtlUikwobi2MaWJgy7tfLeBmhj1u-dRFRs_8GwSoA/edit#gid=0"",""Gestores Escolares!D7:m""),9,0),""VERIFICAR CÓD SEC"")"),"ADILSON DE SOUSA MOREIRA")</f>
        <v>ADILSON DE SOUSA MOREIRA</v>
      </c>
      <c r="R672" s="82" t="str">
        <f>IFERROR(__xludf.DUMMYFUNCTION("IFERROR(VLOOKUP(D672,
IMPORTRANGE(""https://docs.google.com/spreadsheets/d/1MjHtlUikwobi2MaWJgy7tfLeBmhj1u-dRFRs_8GwSoA/edit#gid=0"",""Gestores Escolares!D7:m""),10,0),""VERIFICAR CÓD SEC"")"),"(74) 9 8861-0841")</f>
        <v>(74) 9 8861-0841</v>
      </c>
      <c r="S672" s="82"/>
      <c r="T672" s="138"/>
      <c r="U672" s="152"/>
      <c r="V672" s="106">
        <v>0.0</v>
      </c>
      <c r="W672" s="107">
        <v>0.0</v>
      </c>
      <c r="X672" s="107">
        <v>0.0</v>
      </c>
      <c r="Y672" s="107">
        <v>0.0</v>
      </c>
      <c r="Z672" s="80">
        <f t="shared" si="1"/>
        <v>0</v>
      </c>
      <c r="AA672" s="106">
        <v>0.0</v>
      </c>
      <c r="AB672" s="107">
        <v>0.0</v>
      </c>
      <c r="AC672" s="107">
        <v>0.0</v>
      </c>
      <c r="AD672" s="107">
        <v>0.0</v>
      </c>
      <c r="AE672" s="80">
        <f t="shared" si="2"/>
        <v>0</v>
      </c>
      <c r="AF672" s="140">
        <v>0.0</v>
      </c>
      <c r="AG672" s="109">
        <v>0.0</v>
      </c>
      <c r="AH672" s="109">
        <v>0.0</v>
      </c>
      <c r="AI672" s="141">
        <v>0.0</v>
      </c>
      <c r="AJ672" s="80">
        <f t="shared" si="3"/>
        <v>0</v>
      </c>
      <c r="AK672" s="140">
        <v>0.0</v>
      </c>
      <c r="AL672" s="109">
        <v>0.0</v>
      </c>
      <c r="AM672" s="141">
        <v>0.0</v>
      </c>
      <c r="AN672" s="80">
        <f t="shared" si="4"/>
        <v>0</v>
      </c>
      <c r="AO672" s="140">
        <v>0.0</v>
      </c>
      <c r="AP672" s="109">
        <v>0.0</v>
      </c>
      <c r="AQ672" s="109">
        <v>46.0</v>
      </c>
      <c r="AR672" s="80">
        <f t="shared" si="5"/>
        <v>46</v>
      </c>
      <c r="AS672" s="110">
        <v>0.0</v>
      </c>
      <c r="AT672" s="110">
        <v>0.0</v>
      </c>
      <c r="AU672" s="110">
        <v>0.0</v>
      </c>
      <c r="AV672" s="142">
        <v>0.0</v>
      </c>
      <c r="AW672" s="80">
        <f t="shared" si="6"/>
        <v>0</v>
      </c>
      <c r="AX672" s="113">
        <f t="shared" si="7"/>
        <v>46</v>
      </c>
      <c r="AY672" s="117">
        <f t="shared" si="8"/>
        <v>0</v>
      </c>
      <c r="AZ672" s="120">
        <f t="shared" si="9"/>
        <v>46</v>
      </c>
      <c r="BA672" s="115">
        <v>0.0</v>
      </c>
      <c r="BB672" s="89">
        <f t="shared" si="10"/>
        <v>46</v>
      </c>
      <c r="BC672" s="132" t="s">
        <v>178</v>
      </c>
      <c r="BD672" s="132" t="s">
        <v>178</v>
      </c>
      <c r="BE672" s="132" t="s">
        <v>178</v>
      </c>
      <c r="BF672" s="156"/>
      <c r="BG672" s="98">
        <v>1176768.0</v>
      </c>
      <c r="BH672" s="98"/>
      <c r="BI672" s="98">
        <v>0.0</v>
      </c>
      <c r="BJ672" s="98" t="s">
        <v>155</v>
      </c>
      <c r="BK672" s="99">
        <f t="shared" si="11"/>
        <v>0</v>
      </c>
      <c r="BL672" s="99">
        <f t="shared" si="12"/>
        <v>0</v>
      </c>
      <c r="BM672" s="99" t="str">
        <f>IFERROR(__xludf.DUMMYFUNCTION("IFERROR(VLOOKUP(BG672,IMPORTRANGE(""https://docs.google.com/spreadsheets/d/1juPI-Fb8LD0YtltB2mlGEnp_R3UVu1t3wSFPzgCyHXE/edit?gid=0#gid=0"",""GERAL!A2:C""),3,0),""-"")"),"-")</f>
        <v>-</v>
      </c>
    </row>
    <row r="673" ht="15.75" customHeight="1">
      <c r="A673" s="111" t="s">
        <v>796</v>
      </c>
      <c r="B673" s="83" t="s">
        <v>2087</v>
      </c>
      <c r="C673" s="83" t="s">
        <v>164</v>
      </c>
      <c r="D673" s="112">
        <v>1120389.0</v>
      </c>
      <c r="E673" s="83">
        <v>1178170.0</v>
      </c>
      <c r="F673" s="98">
        <v>2.9490421E7</v>
      </c>
      <c r="G673" s="114" t="s">
        <v>3215</v>
      </c>
      <c r="H673" s="91" t="s">
        <v>3216</v>
      </c>
      <c r="I673" s="83" t="s">
        <v>3118</v>
      </c>
      <c r="J673" s="83" t="s">
        <v>1502</v>
      </c>
      <c r="K673" s="83" t="s">
        <v>168</v>
      </c>
      <c r="L673" s="83" t="s">
        <v>169</v>
      </c>
      <c r="M673" s="82" t="str">
        <f>IFERROR(__xludf.DUMMYFUNCTION("IFERROR(VLOOKUP(D673,
IMPORTRANGE(""https://docs.google.com/spreadsheets/d/1MjHtlUikwobi2MaWJgy7tfLeBmhj1u-dRFRs_8GwSoA/edit#gid=0"",""Gestores Escolares!D7:J""),3,0),""VERIFICAR CÓD SEC"")"),"LINDOMAR DE SOUZA MENEZES")</f>
        <v>LINDOMAR DE SOUZA MENEZES</v>
      </c>
      <c r="N673" s="82" t="str">
        <f>IFERROR(__xludf.DUMMYFUNCTION("IFERROR(VLOOKUP(D673,
IMPORTRANGE(""https://docs.google.com/spreadsheets/d/1MjHtlUikwobi2MaWJgy7tfLeBmhj1u-dRFRs_8GwSoA/edit#gid=0"",""Gestores Escolares!D7:J""),4,0),""VERIFICAR CÓD SEC"")"),"(74) 9 9809-5034")</f>
        <v>(74) 9 9809-5034</v>
      </c>
      <c r="O673" s="82" t="str">
        <f>IFERROR(__xludf.DUMMYFUNCTION("IFERROR(VLOOKUP(D673,
IMPORTRANGE(""https://docs.google.com/spreadsheets/d/1MjHtlUikwobi2MaWJgy7tfLeBmhj1u-dRFRs_8GwSoA/edit#gid=0"",""Gestores Escolares!D7:J""),6,0),""VERIFICAR CÓD SEC"")"),"LILIAN DE SOUZA SILVA RODRIGUES")</f>
        <v>LILIAN DE SOUZA SILVA RODRIGUES</v>
      </c>
      <c r="P673" s="82" t="str">
        <f>IFERROR(__xludf.DUMMYFUNCTION("IFERROR(VLOOKUP(D673,
IMPORTRANGE(""https://docs.google.com/spreadsheets/d/1MjHtlUikwobi2MaWJgy7tfLeBmhj1u-dRFRs_8GwSoA/edit#gid=0"",""Gestores Escolares!D7:J""),7,0),""VERIFICAR CÓD SEC"")"),"(74) 9 8813-5474")</f>
        <v>(74) 9 8813-5474</v>
      </c>
      <c r="Q673" s="82" t="str">
        <f>IFERROR(__xludf.DUMMYFUNCTION("IFERROR(VLOOKUP(D673,
IMPORTRANGE(""https://docs.google.com/spreadsheets/d/1MjHtlUikwobi2MaWJgy7tfLeBmhj1u-dRFRs_8GwSoA/edit#gid=0"",""Gestores Escolares!D7:m""),9,0),""VERIFICAR CÓD SEC"")"),"ADILSON DE SOUSA MOREIRA")</f>
        <v>ADILSON DE SOUSA MOREIRA</v>
      </c>
      <c r="R673" s="82" t="str">
        <f>IFERROR(__xludf.DUMMYFUNCTION("IFERROR(VLOOKUP(D673,
IMPORTRANGE(""https://docs.google.com/spreadsheets/d/1MjHtlUikwobi2MaWJgy7tfLeBmhj1u-dRFRs_8GwSoA/edit#gid=0"",""Gestores Escolares!D7:m""),10,0),""VERIFICAR CÓD SEC"")"),"(74) 9 8861-0841")</f>
        <v>(74) 9 8861-0841</v>
      </c>
      <c r="S673" s="82"/>
      <c r="T673" s="138">
        <v>3.0</v>
      </c>
      <c r="U673" s="152">
        <v>3.0</v>
      </c>
      <c r="V673" s="106">
        <v>0.0</v>
      </c>
      <c r="W673" s="107">
        <v>0.0</v>
      </c>
      <c r="X673" s="107">
        <v>0.0</v>
      </c>
      <c r="Y673" s="107">
        <v>0.0</v>
      </c>
      <c r="Z673" s="80">
        <f t="shared" si="1"/>
        <v>0</v>
      </c>
      <c r="AA673" s="106">
        <v>0.0</v>
      </c>
      <c r="AB673" s="107">
        <v>0.0</v>
      </c>
      <c r="AC673" s="107">
        <v>0.0</v>
      </c>
      <c r="AD673" s="107">
        <v>0.0</v>
      </c>
      <c r="AE673" s="80">
        <f t="shared" si="2"/>
        <v>0</v>
      </c>
      <c r="AF673" s="140">
        <v>0.0</v>
      </c>
      <c r="AG673" s="109">
        <v>23.0</v>
      </c>
      <c r="AH673" s="109">
        <v>0.0</v>
      </c>
      <c r="AI673" s="141">
        <v>0.0</v>
      </c>
      <c r="AJ673" s="80">
        <f t="shared" si="3"/>
        <v>23</v>
      </c>
      <c r="AK673" s="140">
        <v>0.0</v>
      </c>
      <c r="AL673" s="109">
        <v>0.0</v>
      </c>
      <c r="AM673" s="141">
        <v>0.0</v>
      </c>
      <c r="AN673" s="80">
        <f t="shared" si="4"/>
        <v>0</v>
      </c>
      <c r="AO673" s="140">
        <v>0.0</v>
      </c>
      <c r="AP673" s="109">
        <v>0.0</v>
      </c>
      <c r="AQ673" s="109">
        <v>27.0</v>
      </c>
      <c r="AR673" s="80">
        <f t="shared" si="5"/>
        <v>27</v>
      </c>
      <c r="AS673" s="110">
        <v>0.0</v>
      </c>
      <c r="AT673" s="110">
        <v>0.0</v>
      </c>
      <c r="AU673" s="110">
        <v>0.0</v>
      </c>
      <c r="AV673" s="142">
        <v>0.0</v>
      </c>
      <c r="AW673" s="80">
        <f t="shared" si="6"/>
        <v>0</v>
      </c>
      <c r="AX673" s="113">
        <f t="shared" si="7"/>
        <v>50</v>
      </c>
      <c r="AY673" s="117">
        <f t="shared" si="8"/>
        <v>23</v>
      </c>
      <c r="AZ673" s="120">
        <f t="shared" si="9"/>
        <v>27</v>
      </c>
      <c r="BA673" s="115">
        <v>0.0</v>
      </c>
      <c r="BB673" s="89">
        <f t="shared" si="10"/>
        <v>50</v>
      </c>
      <c r="BC673" s="132" t="s">
        <v>373</v>
      </c>
      <c r="BD673" s="132" t="s">
        <v>178</v>
      </c>
      <c r="BE673" s="132" t="s">
        <v>178</v>
      </c>
      <c r="BF673" s="123"/>
      <c r="BG673" s="83">
        <v>1178170.0</v>
      </c>
      <c r="BH673" s="112"/>
      <c r="BI673" s="112">
        <v>3.0</v>
      </c>
      <c r="BJ673" s="98" t="s">
        <v>155</v>
      </c>
      <c r="BK673" s="99">
        <f t="shared" si="11"/>
        <v>0</v>
      </c>
      <c r="BL673" s="99">
        <f t="shared" si="12"/>
        <v>23</v>
      </c>
      <c r="BM673" s="99" t="str">
        <f>IFERROR(__xludf.DUMMYFUNCTION("IFERROR(VLOOKUP(BG673,IMPORTRANGE(""https://docs.google.com/spreadsheets/d/1juPI-Fb8LD0YtltB2mlGEnp_R3UVu1t3wSFPzgCyHXE/edit?gid=0#gid=0"",""GERAL!A2:C""),3,0),""-"")"),"CAMPO")</f>
        <v>CAMPO</v>
      </c>
    </row>
    <row r="674" ht="15.75" customHeight="1">
      <c r="A674" s="111" t="s">
        <v>796</v>
      </c>
      <c r="B674" s="83" t="s">
        <v>2087</v>
      </c>
      <c r="C674" s="83" t="s">
        <v>164</v>
      </c>
      <c r="D674" s="112">
        <v>1120389.0</v>
      </c>
      <c r="E674" s="83">
        <v>1178666.0</v>
      </c>
      <c r="F674" s="98">
        <v>2.9490413E7</v>
      </c>
      <c r="G674" s="114" t="s">
        <v>3217</v>
      </c>
      <c r="H674" s="91" t="s">
        <v>3218</v>
      </c>
      <c r="I674" s="83" t="s">
        <v>3118</v>
      </c>
      <c r="J674" s="83" t="s">
        <v>3219</v>
      </c>
      <c r="K674" s="83" t="s">
        <v>168</v>
      </c>
      <c r="L674" s="83" t="s">
        <v>169</v>
      </c>
      <c r="M674" s="82" t="str">
        <f>IFERROR(__xludf.DUMMYFUNCTION("IFERROR(VLOOKUP(D674,
IMPORTRANGE(""https://docs.google.com/spreadsheets/d/1MjHtlUikwobi2MaWJgy7tfLeBmhj1u-dRFRs_8GwSoA/edit#gid=0"",""Gestores Escolares!D7:J""),3,0),""VERIFICAR CÓD SEC"")"),"LINDOMAR DE SOUZA MENEZES")</f>
        <v>LINDOMAR DE SOUZA MENEZES</v>
      </c>
      <c r="N674" s="82" t="str">
        <f>IFERROR(__xludf.DUMMYFUNCTION("IFERROR(VLOOKUP(D674,
IMPORTRANGE(""https://docs.google.com/spreadsheets/d/1MjHtlUikwobi2MaWJgy7tfLeBmhj1u-dRFRs_8GwSoA/edit#gid=0"",""Gestores Escolares!D7:J""),4,0),""VERIFICAR CÓD SEC"")"),"(74) 9 9809-5034")</f>
        <v>(74) 9 9809-5034</v>
      </c>
      <c r="O674" s="82" t="str">
        <f>IFERROR(__xludf.DUMMYFUNCTION("IFERROR(VLOOKUP(D674,
IMPORTRANGE(""https://docs.google.com/spreadsheets/d/1MjHtlUikwobi2MaWJgy7tfLeBmhj1u-dRFRs_8GwSoA/edit#gid=0"",""Gestores Escolares!D7:J""),6,0),""VERIFICAR CÓD SEC"")"),"LILIAN DE SOUZA SILVA RODRIGUES")</f>
        <v>LILIAN DE SOUZA SILVA RODRIGUES</v>
      </c>
      <c r="P674" s="82" t="str">
        <f>IFERROR(__xludf.DUMMYFUNCTION("IFERROR(VLOOKUP(D674,
IMPORTRANGE(""https://docs.google.com/spreadsheets/d/1MjHtlUikwobi2MaWJgy7tfLeBmhj1u-dRFRs_8GwSoA/edit#gid=0"",""Gestores Escolares!D7:J""),7,0),""VERIFICAR CÓD SEC"")"),"(74) 9 8813-5474")</f>
        <v>(74) 9 8813-5474</v>
      </c>
      <c r="Q674" s="82" t="str">
        <f>IFERROR(__xludf.DUMMYFUNCTION("IFERROR(VLOOKUP(D674,
IMPORTRANGE(""https://docs.google.com/spreadsheets/d/1MjHtlUikwobi2MaWJgy7tfLeBmhj1u-dRFRs_8GwSoA/edit#gid=0"",""Gestores Escolares!D7:m""),9,0),""VERIFICAR CÓD SEC"")"),"ADILSON DE SOUSA MOREIRA")</f>
        <v>ADILSON DE SOUSA MOREIRA</v>
      </c>
      <c r="R674" s="82" t="str">
        <f>IFERROR(__xludf.DUMMYFUNCTION("IFERROR(VLOOKUP(D674,
IMPORTRANGE(""https://docs.google.com/spreadsheets/d/1MjHtlUikwobi2MaWJgy7tfLeBmhj1u-dRFRs_8GwSoA/edit#gid=0"",""Gestores Escolares!D7:m""),10,0),""VERIFICAR CÓD SEC"")"),"(74) 9 8861-0841")</f>
        <v>(74) 9 8861-0841</v>
      </c>
      <c r="S674" s="82"/>
      <c r="T674" s="138">
        <v>4.0</v>
      </c>
      <c r="U674" s="152">
        <v>3.0</v>
      </c>
      <c r="V674" s="106">
        <v>0.0</v>
      </c>
      <c r="W674" s="107">
        <v>0.0</v>
      </c>
      <c r="X674" s="107">
        <v>0.0</v>
      </c>
      <c r="Y674" s="107">
        <v>0.0</v>
      </c>
      <c r="Z674" s="80">
        <f t="shared" si="1"/>
        <v>0</v>
      </c>
      <c r="AA674" s="106">
        <v>0.0</v>
      </c>
      <c r="AB674" s="107">
        <v>0.0</v>
      </c>
      <c r="AC674" s="107">
        <v>0.0</v>
      </c>
      <c r="AD674" s="107">
        <v>0.0</v>
      </c>
      <c r="AE674" s="80">
        <f t="shared" si="2"/>
        <v>0</v>
      </c>
      <c r="AF674" s="140">
        <v>0.0</v>
      </c>
      <c r="AG674" s="109">
        <v>0.0</v>
      </c>
      <c r="AH674" s="109">
        <v>0.0</v>
      </c>
      <c r="AI674" s="141">
        <v>0.0</v>
      </c>
      <c r="AJ674" s="80">
        <f t="shared" si="3"/>
        <v>0</v>
      </c>
      <c r="AK674" s="140">
        <v>0.0</v>
      </c>
      <c r="AL674" s="109">
        <v>0.0</v>
      </c>
      <c r="AM674" s="141">
        <v>0.0</v>
      </c>
      <c r="AN674" s="80">
        <f t="shared" si="4"/>
        <v>0</v>
      </c>
      <c r="AO674" s="140">
        <v>0.0</v>
      </c>
      <c r="AP674" s="109">
        <v>0.0</v>
      </c>
      <c r="AQ674" s="109">
        <v>23.0</v>
      </c>
      <c r="AR674" s="80">
        <f t="shared" si="5"/>
        <v>23</v>
      </c>
      <c r="AS674" s="110">
        <v>0.0</v>
      </c>
      <c r="AT674" s="110">
        <v>0.0</v>
      </c>
      <c r="AU674" s="110">
        <v>0.0</v>
      </c>
      <c r="AV674" s="142">
        <v>0.0</v>
      </c>
      <c r="AW674" s="80">
        <f t="shared" si="6"/>
        <v>0</v>
      </c>
      <c r="AX674" s="113">
        <f t="shared" si="7"/>
        <v>23</v>
      </c>
      <c r="AY674" s="117">
        <f t="shared" si="8"/>
        <v>0</v>
      </c>
      <c r="AZ674" s="120">
        <f t="shared" si="9"/>
        <v>23</v>
      </c>
      <c r="BA674" s="115">
        <v>0.0</v>
      </c>
      <c r="BB674" s="89">
        <f t="shared" si="10"/>
        <v>23</v>
      </c>
      <c r="BC674" s="132" t="s">
        <v>373</v>
      </c>
      <c r="BD674" s="132" t="s">
        <v>178</v>
      </c>
      <c r="BE674" s="132" t="s">
        <v>178</v>
      </c>
      <c r="BF674" s="123"/>
      <c r="BG674" s="83">
        <v>1178666.0</v>
      </c>
      <c r="BH674" s="112"/>
      <c r="BI674" s="112">
        <v>3.0</v>
      </c>
      <c r="BJ674" s="98" t="s">
        <v>155</v>
      </c>
      <c r="BK674" s="99">
        <f t="shared" si="11"/>
        <v>0</v>
      </c>
      <c r="BL674" s="99">
        <f t="shared" si="12"/>
        <v>0</v>
      </c>
      <c r="BM674" s="99" t="str">
        <f>IFERROR(__xludf.DUMMYFUNCTION("IFERROR(VLOOKUP(BG674,IMPORTRANGE(""https://docs.google.com/spreadsheets/d/1juPI-Fb8LD0YtltB2mlGEnp_R3UVu1t3wSFPzgCyHXE/edit?gid=0#gid=0"",""GERAL!A2:C""),3,0),""-"")"),"CAMPO")</f>
        <v>CAMPO</v>
      </c>
    </row>
    <row r="675" ht="15.75" customHeight="1">
      <c r="A675" s="111" t="s">
        <v>796</v>
      </c>
      <c r="B675" s="83" t="s">
        <v>2087</v>
      </c>
      <c r="C675" s="83" t="s">
        <v>164</v>
      </c>
      <c r="D675" s="112">
        <v>1120389.0</v>
      </c>
      <c r="E675" s="83">
        <v>1178668.0</v>
      </c>
      <c r="F675" s="98">
        <v>2.9490391E7</v>
      </c>
      <c r="G675" s="114" t="s">
        <v>3220</v>
      </c>
      <c r="H675" s="91" t="s">
        <v>3221</v>
      </c>
      <c r="I675" s="136" t="s">
        <v>3222</v>
      </c>
      <c r="J675" s="83" t="s">
        <v>3223</v>
      </c>
      <c r="K675" s="83" t="s">
        <v>168</v>
      </c>
      <c r="L675" s="83" t="s">
        <v>169</v>
      </c>
      <c r="M675" s="82" t="str">
        <f>IFERROR(__xludf.DUMMYFUNCTION("IFERROR(VLOOKUP(D675,
IMPORTRANGE(""https://docs.google.com/spreadsheets/d/1MjHtlUikwobi2MaWJgy7tfLeBmhj1u-dRFRs_8GwSoA/edit#gid=0"",""Gestores Escolares!D7:J""),3,0),""VERIFICAR CÓD SEC"")"),"LINDOMAR DE SOUZA MENEZES")</f>
        <v>LINDOMAR DE SOUZA MENEZES</v>
      </c>
      <c r="N675" s="82" t="str">
        <f>IFERROR(__xludf.DUMMYFUNCTION("IFERROR(VLOOKUP(D675,
IMPORTRANGE(""https://docs.google.com/spreadsheets/d/1MjHtlUikwobi2MaWJgy7tfLeBmhj1u-dRFRs_8GwSoA/edit#gid=0"",""Gestores Escolares!D7:J""),4,0),""VERIFICAR CÓD SEC"")"),"(74) 9 9809-5034")</f>
        <v>(74) 9 9809-5034</v>
      </c>
      <c r="O675" s="82" t="str">
        <f>IFERROR(__xludf.DUMMYFUNCTION("IFERROR(VLOOKUP(D675,
IMPORTRANGE(""https://docs.google.com/spreadsheets/d/1MjHtlUikwobi2MaWJgy7tfLeBmhj1u-dRFRs_8GwSoA/edit#gid=0"",""Gestores Escolares!D7:J""),6,0),""VERIFICAR CÓD SEC"")"),"LILIAN DE SOUZA SILVA RODRIGUES")</f>
        <v>LILIAN DE SOUZA SILVA RODRIGUES</v>
      </c>
      <c r="P675" s="82" t="str">
        <f>IFERROR(__xludf.DUMMYFUNCTION("IFERROR(VLOOKUP(D675,
IMPORTRANGE(""https://docs.google.com/spreadsheets/d/1MjHtlUikwobi2MaWJgy7tfLeBmhj1u-dRFRs_8GwSoA/edit#gid=0"",""Gestores Escolares!D7:J""),7,0),""VERIFICAR CÓD SEC"")"),"(74) 9 8813-5474")</f>
        <v>(74) 9 8813-5474</v>
      </c>
      <c r="Q675" s="82" t="str">
        <f>IFERROR(__xludf.DUMMYFUNCTION("IFERROR(VLOOKUP(D675,
IMPORTRANGE(""https://docs.google.com/spreadsheets/d/1MjHtlUikwobi2MaWJgy7tfLeBmhj1u-dRFRs_8GwSoA/edit#gid=0"",""Gestores Escolares!D7:m""),9,0),""VERIFICAR CÓD SEC"")"),"ADILSON DE SOUSA MOREIRA")</f>
        <v>ADILSON DE SOUSA MOREIRA</v>
      </c>
      <c r="R675" s="82" t="str">
        <f>IFERROR(__xludf.DUMMYFUNCTION("IFERROR(VLOOKUP(D675,
IMPORTRANGE(""https://docs.google.com/spreadsheets/d/1MjHtlUikwobi2MaWJgy7tfLeBmhj1u-dRFRs_8GwSoA/edit#gid=0"",""Gestores Escolares!D7:m""),10,0),""VERIFICAR CÓD SEC"")"),"(74) 9 8861-0841")</f>
        <v>(74) 9 8861-0841</v>
      </c>
      <c r="S675" s="82"/>
      <c r="T675" s="138">
        <v>4.0</v>
      </c>
      <c r="U675" s="152">
        <v>3.0</v>
      </c>
      <c r="V675" s="106">
        <v>0.0</v>
      </c>
      <c r="W675" s="107">
        <v>0.0</v>
      </c>
      <c r="X675" s="107">
        <v>0.0</v>
      </c>
      <c r="Y675" s="107">
        <v>0.0</v>
      </c>
      <c r="Z675" s="80">
        <f t="shared" si="1"/>
        <v>0</v>
      </c>
      <c r="AA675" s="106">
        <v>0.0</v>
      </c>
      <c r="AB675" s="107">
        <v>0.0</v>
      </c>
      <c r="AC675" s="107">
        <v>0.0</v>
      </c>
      <c r="AD675" s="107">
        <v>0.0</v>
      </c>
      <c r="AE675" s="80">
        <f t="shared" si="2"/>
        <v>0</v>
      </c>
      <c r="AF675" s="140">
        <v>0.0</v>
      </c>
      <c r="AG675" s="109">
        <v>0.0</v>
      </c>
      <c r="AH675" s="109">
        <v>0.0</v>
      </c>
      <c r="AI675" s="141">
        <v>0.0</v>
      </c>
      <c r="AJ675" s="80">
        <f t="shared" si="3"/>
        <v>0</v>
      </c>
      <c r="AK675" s="140">
        <v>0.0</v>
      </c>
      <c r="AL675" s="109">
        <v>0.0</v>
      </c>
      <c r="AM675" s="141">
        <v>0.0</v>
      </c>
      <c r="AN675" s="80">
        <f t="shared" si="4"/>
        <v>0</v>
      </c>
      <c r="AO675" s="140">
        <v>0.0</v>
      </c>
      <c r="AP675" s="109">
        <v>0.0</v>
      </c>
      <c r="AQ675" s="109">
        <v>134.0</v>
      </c>
      <c r="AR675" s="80">
        <f t="shared" si="5"/>
        <v>134</v>
      </c>
      <c r="AS675" s="110">
        <v>0.0</v>
      </c>
      <c r="AT675" s="110">
        <v>0.0</v>
      </c>
      <c r="AU675" s="110">
        <v>0.0</v>
      </c>
      <c r="AV675" s="142">
        <v>0.0</v>
      </c>
      <c r="AW675" s="80">
        <f t="shared" si="6"/>
        <v>0</v>
      </c>
      <c r="AX675" s="113">
        <f t="shared" si="7"/>
        <v>134</v>
      </c>
      <c r="AY675" s="117">
        <f t="shared" si="8"/>
        <v>0</v>
      </c>
      <c r="AZ675" s="120">
        <f t="shared" si="9"/>
        <v>134</v>
      </c>
      <c r="BA675" s="115">
        <v>0.0</v>
      </c>
      <c r="BB675" s="89">
        <f t="shared" si="10"/>
        <v>134</v>
      </c>
      <c r="BC675" s="132" t="s">
        <v>373</v>
      </c>
      <c r="BD675" s="132" t="s">
        <v>178</v>
      </c>
      <c r="BE675" s="132" t="s">
        <v>178</v>
      </c>
      <c r="BF675" s="123"/>
      <c r="BG675" s="83">
        <v>1178668.0</v>
      </c>
      <c r="BH675" s="112"/>
      <c r="BI675" s="112">
        <v>3.0</v>
      </c>
      <c r="BJ675" s="98" t="s">
        <v>155</v>
      </c>
      <c r="BK675" s="99">
        <f t="shared" si="11"/>
        <v>0</v>
      </c>
      <c r="BL675" s="99">
        <f t="shared" si="12"/>
        <v>0</v>
      </c>
      <c r="BM675" s="99" t="str">
        <f>IFERROR(__xludf.DUMMYFUNCTION("IFERROR(VLOOKUP(BG675,IMPORTRANGE(""https://docs.google.com/spreadsheets/d/1juPI-Fb8LD0YtltB2mlGEnp_R3UVu1t3wSFPzgCyHXE/edit?gid=0#gid=0"",""GERAL!A2:C""),3,0),""-"")"),"CAMPO")</f>
        <v>CAMPO</v>
      </c>
    </row>
    <row r="676" ht="15.75" customHeight="1">
      <c r="A676" s="111" t="s">
        <v>796</v>
      </c>
      <c r="B676" s="83" t="s">
        <v>2087</v>
      </c>
      <c r="C676" s="83" t="s">
        <v>164</v>
      </c>
      <c r="D676" s="112">
        <v>1176930.0</v>
      </c>
      <c r="E676" s="83">
        <v>1178242.0</v>
      </c>
      <c r="F676" s="98">
        <v>2.9490197E7</v>
      </c>
      <c r="G676" s="114" t="s">
        <v>3224</v>
      </c>
      <c r="H676" s="91" t="s">
        <v>3225</v>
      </c>
      <c r="I676" s="136" t="s">
        <v>3226</v>
      </c>
      <c r="J676" s="83" t="s">
        <v>3227</v>
      </c>
      <c r="K676" s="83" t="s">
        <v>168</v>
      </c>
      <c r="L676" s="83" t="s">
        <v>169</v>
      </c>
      <c r="M676" s="82" t="str">
        <f>IFERROR(__xludf.DUMMYFUNCTION("IFERROR(VLOOKUP(D676,
IMPORTRANGE(""https://docs.google.com/spreadsheets/d/1MjHtlUikwobi2MaWJgy7tfLeBmhj1u-dRFRs_8GwSoA/edit#gid=0"",""Gestores Escolares!D7:J""),3,0),""VERIFICAR CÓD SEC"")")," FRANCIELMA PEREIRA MAGALHAES BRITO ")</f>
        <v> FRANCIELMA PEREIRA MAGALHAES BRITO </v>
      </c>
      <c r="N676" s="82" t="str">
        <f>IFERROR(__xludf.DUMMYFUNCTION("IFERROR(VLOOKUP(D676,
IMPORTRANGE(""https://docs.google.com/spreadsheets/d/1MjHtlUikwobi2MaWJgy7tfLeBmhj1u-dRFRs_8GwSoA/edit#gid=0"",""Gestores Escolares!D7:J""),4,0),""VERIFICAR CÓD SEC"")"),"(87) 9 8127-7229")</f>
        <v>(87) 9 8127-7229</v>
      </c>
      <c r="O676" s="82" t="str">
        <f>IFERROR(__xludf.DUMMYFUNCTION("IFERROR(VLOOKUP(D676,
IMPORTRANGE(""https://docs.google.com/spreadsheets/d/1MjHtlUikwobi2MaWJgy7tfLeBmhj1u-dRFRs_8GwSoA/edit#gid=0"",""Gestores Escolares!D7:J""),6,0),""VERIFICAR CÓD SEC"")"),"ELISANGELA BRAGA SILVA LIMA (RESPONDENDO PELO CARGO DE DIREÇÃO DE ESCOLA, ATÉ O RETORNO DA DIREÇÃO) ")</f>
        <v>ELISANGELA BRAGA SILVA LIMA (RESPONDENDO PELO CARGO DE DIREÇÃO DE ESCOLA, ATÉ O RETORNO DA DIREÇÃO) </v>
      </c>
      <c r="P676" s="82" t="str">
        <f>IFERROR(__xludf.DUMMYFUNCTION("IFERROR(VLOOKUP(D676,
IMPORTRANGE(""https://docs.google.com/spreadsheets/d/1MjHtlUikwobi2MaWJgy7tfLeBmhj1u-dRFRs_8GwSoA/edit#gid=0"",""Gestores Escolares!D7:J""),7,0),""VERIFICAR CÓD SEC"")"),"(75) 9 9858-6755")</f>
        <v>(75) 9 9858-6755</v>
      </c>
      <c r="Q676" s="82" t="str">
        <f>IFERROR(__xludf.DUMMYFUNCTION("IFERROR(VLOOKUP(D676,
IMPORTRANGE(""https://docs.google.com/spreadsheets/d/1MjHtlUikwobi2MaWJgy7tfLeBmhj1u-dRFRs_8GwSoA/edit#gid=0"",""Gestores Escolares!D7:m""),9,0),""VERIFICAR CÓD SEC"")"),"")</f>
        <v/>
      </c>
      <c r="R676" s="82" t="str">
        <f>IFERROR(__xludf.DUMMYFUNCTION("IFERROR(VLOOKUP(D676,
IMPORTRANGE(""https://docs.google.com/spreadsheets/d/1MjHtlUikwobi2MaWJgy7tfLeBmhj1u-dRFRs_8GwSoA/edit#gid=0"",""Gestores Escolares!D7:m""),10,0),""VERIFICAR CÓD SEC"")"),"")</f>
        <v/>
      </c>
      <c r="S676" s="82"/>
      <c r="T676" s="138">
        <v>3.0</v>
      </c>
      <c r="U676" s="152">
        <v>4.0</v>
      </c>
      <c r="V676" s="106">
        <v>0.0</v>
      </c>
      <c r="W676" s="107">
        <v>0.0</v>
      </c>
      <c r="X676" s="107">
        <v>0.0</v>
      </c>
      <c r="Y676" s="107">
        <v>0.0</v>
      </c>
      <c r="Z676" s="80">
        <f t="shared" si="1"/>
        <v>0</v>
      </c>
      <c r="AA676" s="106">
        <v>0.0</v>
      </c>
      <c r="AB676" s="107">
        <v>0.0</v>
      </c>
      <c r="AC676" s="107">
        <v>0.0</v>
      </c>
      <c r="AD676" s="107">
        <v>0.0</v>
      </c>
      <c r="AE676" s="80">
        <f t="shared" si="2"/>
        <v>0</v>
      </c>
      <c r="AF676" s="140">
        <v>0.0</v>
      </c>
      <c r="AG676" s="109">
        <v>66.0</v>
      </c>
      <c r="AH676" s="109">
        <v>0.0</v>
      </c>
      <c r="AI676" s="141">
        <v>0.0</v>
      </c>
      <c r="AJ676" s="80">
        <f t="shared" si="3"/>
        <v>66</v>
      </c>
      <c r="AK676" s="140">
        <v>0.0</v>
      </c>
      <c r="AL676" s="109">
        <v>0.0</v>
      </c>
      <c r="AM676" s="141">
        <v>0.0</v>
      </c>
      <c r="AN676" s="80">
        <f t="shared" si="4"/>
        <v>0</v>
      </c>
      <c r="AO676" s="140">
        <v>0.0</v>
      </c>
      <c r="AP676" s="109">
        <v>0.0</v>
      </c>
      <c r="AQ676" s="109">
        <v>15.0</v>
      </c>
      <c r="AR676" s="80">
        <f t="shared" si="5"/>
        <v>15</v>
      </c>
      <c r="AS676" s="110">
        <v>0.0</v>
      </c>
      <c r="AT676" s="110">
        <v>0.0</v>
      </c>
      <c r="AU676" s="110">
        <v>0.0</v>
      </c>
      <c r="AV676" s="142">
        <v>0.0</v>
      </c>
      <c r="AW676" s="80">
        <f t="shared" si="6"/>
        <v>0</v>
      </c>
      <c r="AX676" s="113">
        <f t="shared" si="7"/>
        <v>81</v>
      </c>
      <c r="AY676" s="117">
        <f t="shared" si="8"/>
        <v>66</v>
      </c>
      <c r="AZ676" s="120">
        <f t="shared" si="9"/>
        <v>15</v>
      </c>
      <c r="BA676" s="115">
        <v>0.0</v>
      </c>
      <c r="BB676" s="89">
        <f t="shared" si="10"/>
        <v>81</v>
      </c>
      <c r="BC676" s="132" t="s">
        <v>373</v>
      </c>
      <c r="BD676" s="132" t="s">
        <v>178</v>
      </c>
      <c r="BE676" s="132" t="s">
        <v>178</v>
      </c>
      <c r="BF676" s="123"/>
      <c r="BG676" s="83">
        <v>1178242.0</v>
      </c>
      <c r="BH676" s="112"/>
      <c r="BI676" s="112">
        <v>4.0</v>
      </c>
      <c r="BJ676" s="98" t="s">
        <v>155</v>
      </c>
      <c r="BK676" s="99">
        <f t="shared" si="11"/>
        <v>0</v>
      </c>
      <c r="BL676" s="99">
        <f t="shared" si="12"/>
        <v>66</v>
      </c>
      <c r="BM676" s="99" t="str">
        <f>IFERROR(__xludf.DUMMYFUNCTION("IFERROR(VLOOKUP(BG676,IMPORTRANGE(""https://docs.google.com/spreadsheets/d/1juPI-Fb8LD0YtltB2mlGEnp_R3UVu1t3wSFPzgCyHXE/edit?gid=0#gid=0"",""GERAL!A2:C""),3,0),""-"")"),"CAMPO")</f>
        <v>CAMPO</v>
      </c>
    </row>
    <row r="677" ht="15.75" customHeight="1">
      <c r="A677" s="111" t="s">
        <v>796</v>
      </c>
      <c r="B677" s="83" t="s">
        <v>2087</v>
      </c>
      <c r="C677" s="83" t="s">
        <v>164</v>
      </c>
      <c r="D677" s="112">
        <v>1120338.0</v>
      </c>
      <c r="E677" s="83">
        <v>1178231.0</v>
      </c>
      <c r="F677" s="98">
        <v>2.9490146E7</v>
      </c>
      <c r="G677" s="114" t="s">
        <v>3229</v>
      </c>
      <c r="H677" s="91" t="s">
        <v>3230</v>
      </c>
      <c r="I677" s="136" t="s">
        <v>3231</v>
      </c>
      <c r="J677" s="83" t="s">
        <v>3232</v>
      </c>
      <c r="K677" s="98" t="s">
        <v>151</v>
      </c>
      <c r="L677" s="83" t="s">
        <v>169</v>
      </c>
      <c r="M677" s="82" t="str">
        <f>IFERROR(__xludf.DUMMYFUNCTION("IFERROR(VLOOKUP(D677,
IMPORTRANGE(""https://docs.google.com/spreadsheets/d/1MjHtlUikwobi2MaWJgy7tfLeBmhj1u-dRFRs_8GwSoA/edit#gid=0"",""Gestores Escolares!D7:J""),3,0),""VERIFICAR CÓD SEC"")"),"JOSÉ ADELSON TELES DA GRAÇA")</f>
        <v>JOSÉ ADELSON TELES DA GRAÇA</v>
      </c>
      <c r="N677" s="82" t="str">
        <f>IFERROR(__xludf.DUMMYFUNCTION("IFERROR(VLOOKUP(D677,
IMPORTRANGE(""https://docs.google.com/spreadsheets/d/1MjHtlUikwobi2MaWJgy7tfLeBmhj1u-dRFRs_8GwSoA/edit#gid=0"",""Gestores Escolares!D7:J""),4,0),""VERIFICAR CÓD SEC"")"),"(74) 9 8814-3275")</f>
        <v>(74) 9 8814-3275</v>
      </c>
      <c r="O677" s="82" t="str">
        <f>IFERROR(__xludf.DUMMYFUNCTION("IFERROR(VLOOKUP(D677,
IMPORTRANGE(""https://docs.google.com/spreadsheets/d/1MjHtlUikwobi2MaWJgy7tfLeBmhj1u-dRFRs_8GwSoA/edit#gid=0"",""Gestores Escolares!D7:J""),6,0),""VERIFICAR CÓD SEC"")"),"APARECIDA ARAUJO BEZERRA DE SOUZA")</f>
        <v>APARECIDA ARAUJO BEZERRA DE SOUZA</v>
      </c>
      <c r="P677" s="82" t="str">
        <f>IFERROR(__xludf.DUMMYFUNCTION("IFERROR(VLOOKUP(D677,
IMPORTRANGE(""https://docs.google.com/spreadsheets/d/1MjHtlUikwobi2MaWJgy7tfLeBmhj1u-dRFRs_8GwSoA/edit#gid=0"",""Gestores Escolares!D7:J""),7,0),""VERIFICAR CÓD SEC"")"),"(87) 9 8826-6387")</f>
        <v>(87) 9 8826-6387</v>
      </c>
      <c r="Q677" s="82" t="str">
        <f>IFERROR(__xludf.DUMMYFUNCTION("IFERROR(VLOOKUP(D677,
IMPORTRANGE(""https://docs.google.com/spreadsheets/d/1MjHtlUikwobi2MaWJgy7tfLeBmhj1u-dRFRs_8GwSoA/edit#gid=0"",""Gestores Escolares!D7:m""),9,0),""VERIFICAR CÓD SEC"")"),"MARIA DO SOCORRO ALVES BARBOSA")</f>
        <v>MARIA DO SOCORRO ALVES BARBOSA</v>
      </c>
      <c r="R677" s="82" t="str">
        <f>IFERROR(__xludf.DUMMYFUNCTION("IFERROR(VLOOKUP(D677,
IMPORTRANGE(""https://docs.google.com/spreadsheets/d/1MjHtlUikwobi2MaWJgy7tfLeBmhj1u-dRFRs_8GwSoA/edit#gid=0"",""Gestores Escolares!D7:m""),10,0),""VERIFICAR CÓD SEC"")"),"(74) 9 9110-1238")</f>
        <v>(74) 9 9110-1238</v>
      </c>
      <c r="S677" s="82"/>
      <c r="T677" s="138">
        <v>6.0</v>
      </c>
      <c r="U677" s="152">
        <v>4.0</v>
      </c>
      <c r="V677" s="106">
        <v>0.0</v>
      </c>
      <c r="W677" s="107">
        <v>0.0</v>
      </c>
      <c r="X677" s="107">
        <v>0.0</v>
      </c>
      <c r="Y677" s="107">
        <v>0.0</v>
      </c>
      <c r="Z677" s="80">
        <f t="shared" si="1"/>
        <v>0</v>
      </c>
      <c r="AA677" s="106">
        <v>0.0</v>
      </c>
      <c r="AB677" s="107">
        <v>0.0</v>
      </c>
      <c r="AC677" s="107">
        <v>0.0</v>
      </c>
      <c r="AD677" s="107">
        <v>0.0</v>
      </c>
      <c r="AE677" s="80">
        <f t="shared" si="2"/>
        <v>0</v>
      </c>
      <c r="AF677" s="140">
        <v>0.0</v>
      </c>
      <c r="AG677" s="109">
        <v>0.0</v>
      </c>
      <c r="AH677" s="109">
        <v>0.0</v>
      </c>
      <c r="AI677" s="141">
        <v>0.0</v>
      </c>
      <c r="AJ677" s="80">
        <f t="shared" si="3"/>
        <v>0</v>
      </c>
      <c r="AK677" s="140">
        <v>0.0</v>
      </c>
      <c r="AL677" s="109">
        <v>0.0</v>
      </c>
      <c r="AM677" s="141">
        <v>0.0</v>
      </c>
      <c r="AN677" s="80">
        <f t="shared" si="4"/>
        <v>0</v>
      </c>
      <c r="AO677" s="140">
        <v>0.0</v>
      </c>
      <c r="AP677" s="109">
        <v>0.0</v>
      </c>
      <c r="AQ677" s="109">
        <v>55.0</v>
      </c>
      <c r="AR677" s="80">
        <f t="shared" si="5"/>
        <v>55</v>
      </c>
      <c r="AS677" s="110">
        <v>0.0</v>
      </c>
      <c r="AT677" s="110">
        <v>0.0</v>
      </c>
      <c r="AU677" s="110">
        <v>0.0</v>
      </c>
      <c r="AV677" s="142">
        <v>0.0</v>
      </c>
      <c r="AW677" s="80">
        <f t="shared" si="6"/>
        <v>0</v>
      </c>
      <c r="AX677" s="113">
        <f t="shared" si="7"/>
        <v>55</v>
      </c>
      <c r="AY677" s="117">
        <f t="shared" si="8"/>
        <v>0</v>
      </c>
      <c r="AZ677" s="120">
        <f t="shared" si="9"/>
        <v>55</v>
      </c>
      <c r="BA677" s="115">
        <v>0.0</v>
      </c>
      <c r="BB677" s="89">
        <f t="shared" si="10"/>
        <v>55</v>
      </c>
      <c r="BC677" s="132" t="s">
        <v>373</v>
      </c>
      <c r="BD677" s="132" t="s">
        <v>178</v>
      </c>
      <c r="BE677" s="132" t="s">
        <v>178</v>
      </c>
      <c r="BF677" s="123"/>
      <c r="BG677" s="83">
        <v>1178231.0</v>
      </c>
      <c r="BH677" s="112"/>
      <c r="BI677" s="112">
        <v>4.0</v>
      </c>
      <c r="BJ677" s="98" t="s">
        <v>155</v>
      </c>
      <c r="BK677" s="99">
        <f t="shared" si="11"/>
        <v>0</v>
      </c>
      <c r="BL677" s="99">
        <f t="shared" si="12"/>
        <v>0</v>
      </c>
      <c r="BM677" s="99" t="str">
        <f>IFERROR(__xludf.DUMMYFUNCTION("IFERROR(VLOOKUP(BG677,IMPORTRANGE(""https://docs.google.com/spreadsheets/d/1juPI-Fb8LD0YtltB2mlGEnp_R3UVu1t3wSFPzgCyHXE/edit?gid=0#gid=0"",""GERAL!A2:C""),3,0),""-"")"),"CAMPO")</f>
        <v>CAMPO</v>
      </c>
    </row>
    <row r="678" ht="15.75" customHeight="1">
      <c r="A678" s="111" t="s">
        <v>796</v>
      </c>
      <c r="B678" s="83" t="s">
        <v>2087</v>
      </c>
      <c r="C678" s="83" t="s">
        <v>164</v>
      </c>
      <c r="D678" s="112">
        <v>1120338.0</v>
      </c>
      <c r="E678" s="83">
        <v>1178243.0</v>
      </c>
      <c r="F678" s="98">
        <v>2.9490138E7</v>
      </c>
      <c r="G678" s="114" t="s">
        <v>3233</v>
      </c>
      <c r="H678" s="91" t="s">
        <v>3234</v>
      </c>
      <c r="I678" s="136" t="s">
        <v>3235</v>
      </c>
      <c r="J678" s="83" t="s">
        <v>1946</v>
      </c>
      <c r="K678" s="98" t="s">
        <v>151</v>
      </c>
      <c r="L678" s="83" t="s">
        <v>169</v>
      </c>
      <c r="M678" s="82" t="str">
        <f>IFERROR(__xludf.DUMMYFUNCTION("IFERROR(VLOOKUP(D678,
IMPORTRANGE(""https://docs.google.com/spreadsheets/d/1MjHtlUikwobi2MaWJgy7tfLeBmhj1u-dRFRs_8GwSoA/edit#gid=0"",""Gestores Escolares!D7:J""),3,0),""VERIFICAR CÓD SEC"")"),"JOSÉ ADELSON TELES DA GRAÇA")</f>
        <v>JOSÉ ADELSON TELES DA GRAÇA</v>
      </c>
      <c r="N678" s="82" t="str">
        <f>IFERROR(__xludf.DUMMYFUNCTION("IFERROR(VLOOKUP(D678,
IMPORTRANGE(""https://docs.google.com/spreadsheets/d/1MjHtlUikwobi2MaWJgy7tfLeBmhj1u-dRFRs_8GwSoA/edit#gid=0"",""Gestores Escolares!D7:J""),4,0),""VERIFICAR CÓD SEC"")"),"(74) 9 8814-3275")</f>
        <v>(74) 9 8814-3275</v>
      </c>
      <c r="O678" s="82" t="str">
        <f>IFERROR(__xludf.DUMMYFUNCTION("IFERROR(VLOOKUP(D678,
IMPORTRANGE(""https://docs.google.com/spreadsheets/d/1MjHtlUikwobi2MaWJgy7tfLeBmhj1u-dRFRs_8GwSoA/edit#gid=0"",""Gestores Escolares!D7:J""),6,0),""VERIFICAR CÓD SEC"")"),"APARECIDA ARAUJO BEZERRA DE SOUZA")</f>
        <v>APARECIDA ARAUJO BEZERRA DE SOUZA</v>
      </c>
      <c r="P678" s="82" t="str">
        <f>IFERROR(__xludf.DUMMYFUNCTION("IFERROR(VLOOKUP(D678,
IMPORTRANGE(""https://docs.google.com/spreadsheets/d/1MjHtlUikwobi2MaWJgy7tfLeBmhj1u-dRFRs_8GwSoA/edit#gid=0"",""Gestores Escolares!D7:J""),7,0),""VERIFICAR CÓD SEC"")"),"(87) 9 8826-6387")</f>
        <v>(87) 9 8826-6387</v>
      </c>
      <c r="Q678" s="82" t="str">
        <f>IFERROR(__xludf.DUMMYFUNCTION("IFERROR(VLOOKUP(D678,
IMPORTRANGE(""https://docs.google.com/spreadsheets/d/1MjHtlUikwobi2MaWJgy7tfLeBmhj1u-dRFRs_8GwSoA/edit#gid=0"",""Gestores Escolares!D7:m""),9,0),""VERIFICAR CÓD SEC"")"),"MARIA DO SOCORRO ALVES BARBOSA")</f>
        <v>MARIA DO SOCORRO ALVES BARBOSA</v>
      </c>
      <c r="R678" s="82" t="str">
        <f>IFERROR(__xludf.DUMMYFUNCTION("IFERROR(VLOOKUP(D678,
IMPORTRANGE(""https://docs.google.com/spreadsheets/d/1MjHtlUikwobi2MaWJgy7tfLeBmhj1u-dRFRs_8GwSoA/edit#gid=0"",""Gestores Escolares!D7:m""),10,0),""VERIFICAR CÓD SEC"")"),"(74) 9 9110-1238")</f>
        <v>(74) 9 9110-1238</v>
      </c>
      <c r="S678" s="82"/>
      <c r="T678" s="138">
        <v>3.0</v>
      </c>
      <c r="U678" s="152">
        <v>3.0</v>
      </c>
      <c r="V678" s="106">
        <v>0.0</v>
      </c>
      <c r="W678" s="107">
        <v>0.0</v>
      </c>
      <c r="X678" s="107">
        <v>0.0</v>
      </c>
      <c r="Y678" s="107">
        <v>0.0</v>
      </c>
      <c r="Z678" s="80">
        <f t="shared" si="1"/>
        <v>0</v>
      </c>
      <c r="AA678" s="106">
        <v>0.0</v>
      </c>
      <c r="AB678" s="107">
        <v>0.0</v>
      </c>
      <c r="AC678" s="107">
        <v>0.0</v>
      </c>
      <c r="AD678" s="107">
        <v>0.0</v>
      </c>
      <c r="AE678" s="80">
        <f t="shared" si="2"/>
        <v>0</v>
      </c>
      <c r="AF678" s="140">
        <v>0.0</v>
      </c>
      <c r="AG678" s="109">
        <v>0.0</v>
      </c>
      <c r="AH678" s="109">
        <v>0.0</v>
      </c>
      <c r="AI678" s="141">
        <v>0.0</v>
      </c>
      <c r="AJ678" s="80">
        <f t="shared" si="3"/>
        <v>0</v>
      </c>
      <c r="AK678" s="140">
        <v>0.0</v>
      </c>
      <c r="AL678" s="109">
        <v>0.0</v>
      </c>
      <c r="AM678" s="141">
        <v>0.0</v>
      </c>
      <c r="AN678" s="80">
        <f t="shared" si="4"/>
        <v>0</v>
      </c>
      <c r="AO678" s="140">
        <v>0.0</v>
      </c>
      <c r="AP678" s="109">
        <v>0.0</v>
      </c>
      <c r="AQ678" s="109">
        <v>27.0</v>
      </c>
      <c r="AR678" s="80">
        <f t="shared" si="5"/>
        <v>27</v>
      </c>
      <c r="AS678" s="110">
        <v>0.0</v>
      </c>
      <c r="AT678" s="110">
        <v>0.0</v>
      </c>
      <c r="AU678" s="110">
        <v>0.0</v>
      </c>
      <c r="AV678" s="142">
        <v>0.0</v>
      </c>
      <c r="AW678" s="80">
        <f t="shared" si="6"/>
        <v>0</v>
      </c>
      <c r="AX678" s="113">
        <f t="shared" si="7"/>
        <v>27</v>
      </c>
      <c r="AY678" s="117">
        <f t="shared" si="8"/>
        <v>0</v>
      </c>
      <c r="AZ678" s="120">
        <f t="shared" si="9"/>
        <v>27</v>
      </c>
      <c r="BA678" s="115">
        <v>0.0</v>
      </c>
      <c r="BB678" s="89">
        <f t="shared" si="10"/>
        <v>27</v>
      </c>
      <c r="BC678" s="132" t="s">
        <v>373</v>
      </c>
      <c r="BD678" s="132" t="s">
        <v>178</v>
      </c>
      <c r="BE678" s="132" t="s">
        <v>178</v>
      </c>
      <c r="BF678" s="123"/>
      <c r="BG678" s="83">
        <v>1178243.0</v>
      </c>
      <c r="BH678" s="112"/>
      <c r="BI678" s="112">
        <v>3.0</v>
      </c>
      <c r="BJ678" s="98" t="s">
        <v>155</v>
      </c>
      <c r="BK678" s="99">
        <f t="shared" si="11"/>
        <v>0</v>
      </c>
      <c r="BL678" s="99">
        <f t="shared" si="12"/>
        <v>0</v>
      </c>
      <c r="BM678" s="99" t="str">
        <f>IFERROR(__xludf.DUMMYFUNCTION("IFERROR(VLOOKUP(BG678,IMPORTRANGE(""https://docs.google.com/spreadsheets/d/1juPI-Fb8LD0YtltB2mlGEnp_R3UVu1t3wSFPzgCyHXE/edit?gid=0#gid=0"",""GERAL!A2:C""),3,0),""-"")"),"CAMPO")</f>
        <v>CAMPO</v>
      </c>
    </row>
    <row r="679" ht="15.75" customHeight="1">
      <c r="A679" s="111" t="s">
        <v>796</v>
      </c>
      <c r="B679" s="83" t="s">
        <v>2087</v>
      </c>
      <c r="C679" s="83" t="s">
        <v>164</v>
      </c>
      <c r="D679" s="112">
        <v>1161034.0</v>
      </c>
      <c r="E679" s="83">
        <v>1178171.0</v>
      </c>
      <c r="F679" s="98">
        <v>2.9490987E7</v>
      </c>
      <c r="G679" s="114" t="s">
        <v>3236</v>
      </c>
      <c r="H679" s="91" t="s">
        <v>3237</v>
      </c>
      <c r="I679" s="136" t="s">
        <v>149</v>
      </c>
      <c r="J679" s="83" t="s">
        <v>315</v>
      </c>
      <c r="K679" s="83" t="s">
        <v>168</v>
      </c>
      <c r="L679" s="83" t="s">
        <v>169</v>
      </c>
      <c r="M679" s="82" t="str">
        <f>IFERROR(__xludf.DUMMYFUNCTION("IFERROR(VLOOKUP(D679,
IMPORTRANGE(""https://docs.google.com/spreadsheets/d/1MjHtlUikwobi2MaWJgy7tfLeBmhj1u-dRFRs_8GwSoA/edit#gid=0"",""Gestores Escolares!D7:J""),3,0),""VERIFICAR CÓD SEC"")"),"CHARLES JEAN DA SILVA PEREIRA")</f>
        <v>CHARLES JEAN DA SILVA PEREIRA</v>
      </c>
      <c r="N679" s="82" t="str">
        <f>IFERROR(__xludf.DUMMYFUNCTION("IFERROR(VLOOKUP(D679,
IMPORTRANGE(""https://docs.google.com/spreadsheets/d/1MjHtlUikwobi2MaWJgy7tfLeBmhj1u-dRFRs_8GwSoA/edit#gid=0"",""Gestores Escolares!D7:J""),4,0),""VERIFICAR CÓD SEC"")"),"(74) 9 8805-3560")</f>
        <v>(74) 9 8805-3560</v>
      </c>
      <c r="O679" s="82" t="str">
        <f>IFERROR(__xludf.DUMMYFUNCTION("IFERROR(VLOOKUP(D679,
IMPORTRANGE(""https://docs.google.com/spreadsheets/d/1MjHtlUikwobi2MaWJgy7tfLeBmhj1u-dRFRs_8GwSoA/edit#gid=0"",""Gestores Escolares!D7:J""),6,0),""VERIFICAR CÓD SEC"")"),"ROSIDALVA VARJAO ROBERTO")</f>
        <v>ROSIDALVA VARJAO ROBERTO</v>
      </c>
      <c r="P679" s="82" t="str">
        <f>IFERROR(__xludf.DUMMYFUNCTION("IFERROR(VLOOKUP(D679,
IMPORTRANGE(""https://docs.google.com/spreadsheets/d/1MjHtlUikwobi2MaWJgy7tfLeBmhj1u-dRFRs_8GwSoA/edit#gid=0"",""Gestores Escolares!D7:J""),7,0),""VERIFICAR CÓD SEC"")"),"(74) 9 8801-0379")</f>
        <v>(74) 9 8801-0379</v>
      </c>
      <c r="Q679" s="82" t="str">
        <f>IFERROR(__xludf.DUMMYFUNCTION("IFERROR(VLOOKUP(D679,
IMPORTRANGE(""https://docs.google.com/spreadsheets/d/1MjHtlUikwobi2MaWJgy7tfLeBmhj1u-dRFRs_8GwSoA/edit#gid=0"",""Gestores Escolares!D7:m""),9,0),""VERIFICAR CÓD SEC"")")," DANIELA VIEIRA DE SOUZA")</f>
        <v> DANIELA VIEIRA DE SOUZA</v>
      </c>
      <c r="R679" s="82" t="str">
        <f>IFERROR(__xludf.DUMMYFUNCTION("IFERROR(VLOOKUP(D679,
IMPORTRANGE(""https://docs.google.com/spreadsheets/d/1MjHtlUikwobi2MaWJgy7tfLeBmhj1u-dRFRs_8GwSoA/edit#gid=0"",""Gestores Escolares!D7:m""),10,0),""VERIFICAR CÓD SEC"")"),"(74) 9 8874-4714")</f>
        <v>(74) 9 8874-4714</v>
      </c>
      <c r="S679" s="82"/>
      <c r="T679" s="138">
        <v>4.0</v>
      </c>
      <c r="U679" s="152">
        <v>3.0</v>
      </c>
      <c r="V679" s="106">
        <v>0.0</v>
      </c>
      <c r="W679" s="107">
        <v>0.0</v>
      </c>
      <c r="X679" s="107">
        <v>0.0</v>
      </c>
      <c r="Y679" s="107">
        <v>0.0</v>
      </c>
      <c r="Z679" s="80">
        <f t="shared" si="1"/>
        <v>0</v>
      </c>
      <c r="AA679" s="106">
        <v>0.0</v>
      </c>
      <c r="AB679" s="107">
        <v>0.0</v>
      </c>
      <c r="AC679" s="107">
        <v>0.0</v>
      </c>
      <c r="AD679" s="107">
        <v>0.0</v>
      </c>
      <c r="AE679" s="80">
        <f t="shared" si="2"/>
        <v>0</v>
      </c>
      <c r="AF679" s="140">
        <v>0.0</v>
      </c>
      <c r="AG679" s="109">
        <v>132.0</v>
      </c>
      <c r="AH679" s="109">
        <v>0.0</v>
      </c>
      <c r="AI679" s="141">
        <v>0.0</v>
      </c>
      <c r="AJ679" s="80">
        <f t="shared" si="3"/>
        <v>132</v>
      </c>
      <c r="AK679" s="140">
        <v>0.0</v>
      </c>
      <c r="AL679" s="109">
        <v>0.0</v>
      </c>
      <c r="AM679" s="141">
        <v>0.0</v>
      </c>
      <c r="AN679" s="80">
        <f t="shared" si="4"/>
        <v>0</v>
      </c>
      <c r="AO679" s="140">
        <v>0.0</v>
      </c>
      <c r="AP679" s="109">
        <v>0.0</v>
      </c>
      <c r="AQ679" s="109">
        <v>23.0</v>
      </c>
      <c r="AR679" s="80">
        <f t="shared" si="5"/>
        <v>23</v>
      </c>
      <c r="AS679" s="110">
        <v>0.0</v>
      </c>
      <c r="AT679" s="110">
        <v>0.0</v>
      </c>
      <c r="AU679" s="110">
        <v>0.0</v>
      </c>
      <c r="AV679" s="142">
        <v>0.0</v>
      </c>
      <c r="AW679" s="80">
        <f t="shared" si="6"/>
        <v>0</v>
      </c>
      <c r="AX679" s="113">
        <f t="shared" si="7"/>
        <v>155</v>
      </c>
      <c r="AY679" s="117">
        <f t="shared" si="8"/>
        <v>132</v>
      </c>
      <c r="AZ679" s="120">
        <f t="shared" si="9"/>
        <v>23</v>
      </c>
      <c r="BA679" s="115">
        <v>0.0</v>
      </c>
      <c r="BB679" s="89">
        <f t="shared" si="10"/>
        <v>155</v>
      </c>
      <c r="BC679" s="132" t="s">
        <v>373</v>
      </c>
      <c r="BD679" s="132" t="s">
        <v>178</v>
      </c>
      <c r="BE679" s="132" t="s">
        <v>178</v>
      </c>
      <c r="BF679" s="123"/>
      <c r="BG679" s="83">
        <v>1178171.0</v>
      </c>
      <c r="BH679" s="112"/>
      <c r="BI679" s="112">
        <v>3.0</v>
      </c>
      <c r="BJ679" s="98" t="s">
        <v>155</v>
      </c>
      <c r="BK679" s="99">
        <f t="shared" si="11"/>
        <v>0</v>
      </c>
      <c r="BL679" s="99">
        <f t="shared" si="12"/>
        <v>132</v>
      </c>
      <c r="BM679" s="99" t="str">
        <f>IFERROR(__xludf.DUMMYFUNCTION("IFERROR(VLOOKUP(BG679,IMPORTRANGE(""https://docs.google.com/spreadsheets/d/1juPI-Fb8LD0YtltB2mlGEnp_R3UVu1t3wSFPzgCyHXE/edit?gid=0#gid=0"",""GERAL!A2:C""),3,0),""-"")"),"CAMPO")</f>
        <v>CAMPO</v>
      </c>
    </row>
    <row r="680" ht="15.75" customHeight="1">
      <c r="A680" s="111" t="s">
        <v>796</v>
      </c>
      <c r="B680" s="83" t="s">
        <v>3238</v>
      </c>
      <c r="C680" s="83" t="s">
        <v>68</v>
      </c>
      <c r="D680" s="112">
        <v>1121520.0</v>
      </c>
      <c r="E680" s="83"/>
      <c r="F680" s="83">
        <v>2.9029732E7</v>
      </c>
      <c r="G680" s="487" t="s">
        <v>3239</v>
      </c>
      <c r="H680" s="91" t="s">
        <v>3241</v>
      </c>
      <c r="I680" s="83" t="s">
        <v>149</v>
      </c>
      <c r="J680" s="83" t="s">
        <v>150</v>
      </c>
      <c r="K680" s="83" t="s">
        <v>151</v>
      </c>
      <c r="L680" s="83" t="s">
        <v>230</v>
      </c>
      <c r="M680" s="82" t="str">
        <f>IFERROR(__xludf.DUMMYFUNCTION("IFERROR(VLOOKUP(D680,
IMPORTRANGE(""https://docs.google.com/spreadsheets/d/1MjHtlUikwobi2MaWJgy7tfLeBmhj1u-dRFRs_8GwSoA/edit#gid=0"",""Gestores Escolares!D7:J""),3,0),""VERIFICAR CÓD SEC"")"),"ANTONIO JERIDELSON DIAS")</f>
        <v>ANTONIO JERIDELSON DIAS</v>
      </c>
      <c r="N680" s="82" t="str">
        <f>IFERROR(__xludf.DUMMYFUNCTION("IFERROR(VLOOKUP(D680,
IMPORTRANGE(""https://docs.google.com/spreadsheets/d/1MjHtlUikwobi2MaWJgy7tfLeBmhj1u-dRFRs_8GwSoA/edit#gid=0"",""Gestores Escolares!D7:J""),4,0),""VERIFICAR CÓD SEC"")"),"(74) 9 8848-8607/9 9933-7177")</f>
        <v>(74) 9 8848-8607/9 9933-7177</v>
      </c>
      <c r="O680" s="82" t="str">
        <f>IFERROR(__xludf.DUMMYFUNCTION("IFERROR(VLOOKUP(D680,
IMPORTRANGE(""https://docs.google.com/spreadsheets/d/1MjHtlUikwobi2MaWJgy7tfLeBmhj1u-dRFRs_8GwSoA/edit#gid=0"",""Gestores Escolares!D7:J""),6,0),""VERIFICAR CÓD SEC"")"),"MARIA GORETE DIAS DA SILVA")</f>
        <v>MARIA GORETE DIAS DA SILVA</v>
      </c>
      <c r="P680" s="82" t="str">
        <f>IFERROR(__xludf.DUMMYFUNCTION("IFERROR(VLOOKUP(D680,
IMPORTRANGE(""https://docs.google.com/spreadsheets/d/1MjHtlUikwobi2MaWJgy7tfLeBmhj1u-dRFRs_8GwSoA/edit#gid=0"",""Gestores Escolares!D7:J""),7,0),""VERIFICAR CÓD SEC"")"),"(74) 9 9954-8179")</f>
        <v>(74) 9 9954-8179</v>
      </c>
      <c r="Q680" s="82" t="str">
        <f>IFERROR(__xludf.DUMMYFUNCTION("IFERROR(VLOOKUP(D680,
IMPORTRANGE(""https://docs.google.com/spreadsheets/d/1MjHtlUikwobi2MaWJgy7tfLeBmhj1u-dRFRs_8GwSoA/edit#gid=0"",""Gestores Escolares!D7:m""),9,0),""VERIFICAR CÓD SEC"")"),"NEWTON JOSE DIAS")</f>
        <v>NEWTON JOSE DIAS</v>
      </c>
      <c r="R680" s="82" t="str">
        <f>IFERROR(__xludf.DUMMYFUNCTION("IFERROR(VLOOKUP(D680,
IMPORTRANGE(""https://docs.google.com/spreadsheets/d/1MjHtlUikwobi2MaWJgy7tfLeBmhj1u-dRFRs_8GwSoA/edit#gid=0"",""Gestores Escolares!D7:m""),10,0),""VERIFICAR CÓD SEC"")"),"(74) 9 8859-3898")</f>
        <v>(74) 9 8859-3898</v>
      </c>
      <c r="S680" s="82"/>
      <c r="T680" s="138">
        <v>8.0</v>
      </c>
      <c r="U680" s="145">
        <v>12.0</v>
      </c>
      <c r="V680" s="106">
        <v>0.0</v>
      </c>
      <c r="W680" s="107">
        <v>0.0</v>
      </c>
      <c r="X680" s="107">
        <v>0.0</v>
      </c>
      <c r="Y680" s="107">
        <v>0.0</v>
      </c>
      <c r="Z680" s="80">
        <f t="shared" si="1"/>
        <v>0</v>
      </c>
      <c r="AA680" s="106">
        <v>0.0</v>
      </c>
      <c r="AB680" s="107">
        <v>0.0</v>
      </c>
      <c r="AC680" s="107">
        <v>0.0</v>
      </c>
      <c r="AD680" s="107">
        <v>0.0</v>
      </c>
      <c r="AE680" s="80">
        <f t="shared" si="2"/>
        <v>0</v>
      </c>
      <c r="AF680" s="140">
        <v>98.0</v>
      </c>
      <c r="AG680" s="109">
        <v>80.0</v>
      </c>
      <c r="AH680" s="109">
        <v>0.0</v>
      </c>
      <c r="AI680" s="141">
        <v>372.0</v>
      </c>
      <c r="AJ680" s="80">
        <f t="shared" si="3"/>
        <v>550</v>
      </c>
      <c r="AK680" s="140">
        <v>0.0</v>
      </c>
      <c r="AL680" s="109">
        <v>0.0</v>
      </c>
      <c r="AM680" s="141">
        <v>0.0</v>
      </c>
      <c r="AN680" s="80">
        <f t="shared" si="4"/>
        <v>0</v>
      </c>
      <c r="AO680" s="140">
        <v>0.0</v>
      </c>
      <c r="AP680" s="109">
        <v>0.0</v>
      </c>
      <c r="AQ680" s="109">
        <v>156.0</v>
      </c>
      <c r="AR680" s="80">
        <f t="shared" si="5"/>
        <v>156</v>
      </c>
      <c r="AS680" s="110">
        <v>0.0</v>
      </c>
      <c r="AT680" s="110">
        <v>0.0</v>
      </c>
      <c r="AU680" s="110">
        <v>0.0</v>
      </c>
      <c r="AV680" s="142">
        <v>33.0</v>
      </c>
      <c r="AW680" s="80">
        <f t="shared" si="6"/>
        <v>33</v>
      </c>
      <c r="AX680" s="113">
        <f t="shared" si="7"/>
        <v>739</v>
      </c>
      <c r="AY680" s="117">
        <f t="shared" si="8"/>
        <v>583</v>
      </c>
      <c r="AZ680" s="120">
        <f t="shared" si="9"/>
        <v>156</v>
      </c>
      <c r="BA680" s="115">
        <v>0.0</v>
      </c>
      <c r="BB680" s="89">
        <f t="shared" si="10"/>
        <v>739</v>
      </c>
      <c r="BC680" s="132" t="s">
        <v>178</v>
      </c>
      <c r="BD680" s="132" t="s">
        <v>178</v>
      </c>
      <c r="BE680" s="132" t="s">
        <v>178</v>
      </c>
      <c r="BF680" s="123"/>
      <c r="BG680" s="83">
        <v>1121520.0</v>
      </c>
      <c r="BH680" s="112"/>
      <c r="BI680" s="112">
        <v>6.0</v>
      </c>
      <c r="BJ680" s="98" t="s">
        <v>162</v>
      </c>
      <c r="BK680" s="99">
        <f t="shared" si="11"/>
        <v>405</v>
      </c>
      <c r="BL680" s="99">
        <f t="shared" si="12"/>
        <v>178</v>
      </c>
      <c r="BM680" s="99" t="str">
        <f>IFERROR(__xludf.DUMMYFUNCTION("IFERROR(VLOOKUP(BG680,IMPORTRANGE(""https://docs.google.com/spreadsheets/d/1juPI-Fb8LD0YtltB2mlGEnp_R3UVu1t3wSFPzgCyHXE/edit?gid=0#gid=0"",""GERAL!A2:C""),3,0),""-"")"),"-")</f>
        <v>-</v>
      </c>
    </row>
    <row r="681" ht="15.75" customHeight="1">
      <c r="A681" s="111" t="s">
        <v>796</v>
      </c>
      <c r="B681" s="83" t="s">
        <v>3238</v>
      </c>
      <c r="C681" s="83" t="s">
        <v>164</v>
      </c>
      <c r="D681" s="112">
        <v>1121520.0</v>
      </c>
      <c r="E681" s="83">
        <v>1179364.0</v>
      </c>
      <c r="F681" s="98">
        <v>2.9491517E7</v>
      </c>
      <c r="G681" s="184" t="s">
        <v>3245</v>
      </c>
      <c r="H681" s="91" t="s">
        <v>3246</v>
      </c>
      <c r="I681" s="83" t="s">
        <v>149</v>
      </c>
      <c r="J681" s="83" t="s">
        <v>3247</v>
      </c>
      <c r="K681" s="83" t="s">
        <v>168</v>
      </c>
      <c r="L681" s="83" t="s">
        <v>169</v>
      </c>
      <c r="M681" s="82" t="str">
        <f>IFERROR(__xludf.DUMMYFUNCTION("IFERROR(VLOOKUP(D681,
IMPORTRANGE(""https://docs.google.com/spreadsheets/d/1MjHtlUikwobi2MaWJgy7tfLeBmhj1u-dRFRs_8GwSoA/edit#gid=0"",""Gestores Escolares!D7:J""),3,0),""VERIFICAR CÓD SEC"")"),"ANTONIO JERIDELSON DIAS")</f>
        <v>ANTONIO JERIDELSON DIAS</v>
      </c>
      <c r="N681" s="82" t="str">
        <f>IFERROR(__xludf.DUMMYFUNCTION("IFERROR(VLOOKUP(D681,
IMPORTRANGE(""https://docs.google.com/spreadsheets/d/1MjHtlUikwobi2MaWJgy7tfLeBmhj1u-dRFRs_8GwSoA/edit#gid=0"",""Gestores Escolares!D7:J""),4,0),""VERIFICAR CÓD SEC"")"),"(74) 9 8848-8607/9 9933-7177")</f>
        <v>(74) 9 8848-8607/9 9933-7177</v>
      </c>
      <c r="O681" s="82" t="str">
        <f>IFERROR(__xludf.DUMMYFUNCTION("IFERROR(VLOOKUP(D681,
IMPORTRANGE(""https://docs.google.com/spreadsheets/d/1MjHtlUikwobi2MaWJgy7tfLeBmhj1u-dRFRs_8GwSoA/edit#gid=0"",""Gestores Escolares!D7:J""),6,0),""VERIFICAR CÓD SEC"")"),"MARIA GORETE DIAS DA SILVA")</f>
        <v>MARIA GORETE DIAS DA SILVA</v>
      </c>
      <c r="P681" s="82" t="str">
        <f>IFERROR(__xludf.DUMMYFUNCTION("IFERROR(VLOOKUP(D681,
IMPORTRANGE(""https://docs.google.com/spreadsheets/d/1MjHtlUikwobi2MaWJgy7tfLeBmhj1u-dRFRs_8GwSoA/edit#gid=0"",""Gestores Escolares!D7:J""),7,0),""VERIFICAR CÓD SEC"")"),"(74) 9 9954-8179")</f>
        <v>(74) 9 9954-8179</v>
      </c>
      <c r="Q681" s="82" t="str">
        <f>IFERROR(__xludf.DUMMYFUNCTION("IFERROR(VLOOKUP(D681,
IMPORTRANGE(""https://docs.google.com/spreadsheets/d/1MjHtlUikwobi2MaWJgy7tfLeBmhj1u-dRFRs_8GwSoA/edit#gid=0"",""Gestores Escolares!D7:m""),9,0),""VERIFICAR CÓD SEC"")"),"NEWTON JOSE DIAS")</f>
        <v>NEWTON JOSE DIAS</v>
      </c>
      <c r="R681" s="82" t="str">
        <f>IFERROR(__xludf.DUMMYFUNCTION("IFERROR(VLOOKUP(D681,
IMPORTRANGE(""https://docs.google.com/spreadsheets/d/1MjHtlUikwobi2MaWJgy7tfLeBmhj1u-dRFRs_8GwSoA/edit#gid=0"",""Gestores Escolares!D7:m""),10,0),""VERIFICAR CÓD SEC"")"),"(74) 9 8859-3898")</f>
        <v>(74) 9 8859-3898</v>
      </c>
      <c r="S681" s="82"/>
      <c r="T681" s="138">
        <v>3.0</v>
      </c>
      <c r="U681" s="145">
        <v>3.0</v>
      </c>
      <c r="V681" s="106">
        <v>0.0</v>
      </c>
      <c r="W681" s="107">
        <v>0.0</v>
      </c>
      <c r="X681" s="107">
        <v>0.0</v>
      </c>
      <c r="Y681" s="107">
        <v>0.0</v>
      </c>
      <c r="Z681" s="80">
        <f t="shared" si="1"/>
        <v>0</v>
      </c>
      <c r="AA681" s="106">
        <v>0.0</v>
      </c>
      <c r="AB681" s="107">
        <v>0.0</v>
      </c>
      <c r="AC681" s="107">
        <v>0.0</v>
      </c>
      <c r="AD681" s="107">
        <v>0.0</v>
      </c>
      <c r="AE681" s="80">
        <f t="shared" si="2"/>
        <v>0</v>
      </c>
      <c r="AF681" s="140">
        <v>0.0</v>
      </c>
      <c r="AG681" s="109">
        <v>19.0</v>
      </c>
      <c r="AH681" s="109">
        <v>0.0</v>
      </c>
      <c r="AI681" s="141">
        <v>0.0</v>
      </c>
      <c r="AJ681" s="80">
        <f t="shared" si="3"/>
        <v>19</v>
      </c>
      <c r="AK681" s="140">
        <v>0.0</v>
      </c>
      <c r="AL681" s="109">
        <v>0.0</v>
      </c>
      <c r="AM681" s="141">
        <v>0.0</v>
      </c>
      <c r="AN681" s="80">
        <f t="shared" si="4"/>
        <v>0</v>
      </c>
      <c r="AO681" s="140">
        <v>0.0</v>
      </c>
      <c r="AP681" s="109">
        <v>0.0</v>
      </c>
      <c r="AQ681" s="109">
        <v>0.0</v>
      </c>
      <c r="AR681" s="80">
        <f t="shared" si="5"/>
        <v>0</v>
      </c>
      <c r="AS681" s="110">
        <v>0.0</v>
      </c>
      <c r="AT681" s="110">
        <v>0.0</v>
      </c>
      <c r="AU681" s="110">
        <v>0.0</v>
      </c>
      <c r="AV681" s="142">
        <v>0.0</v>
      </c>
      <c r="AW681" s="80">
        <f t="shared" si="6"/>
        <v>0</v>
      </c>
      <c r="AX681" s="113">
        <f t="shared" si="7"/>
        <v>19</v>
      </c>
      <c r="AY681" s="117">
        <f t="shared" si="8"/>
        <v>19</v>
      </c>
      <c r="AZ681" s="120">
        <f t="shared" si="9"/>
        <v>0</v>
      </c>
      <c r="BA681" s="115">
        <v>0.0</v>
      </c>
      <c r="BB681" s="89">
        <f t="shared" si="10"/>
        <v>19</v>
      </c>
      <c r="BC681" s="132" t="s">
        <v>373</v>
      </c>
      <c r="BD681" s="132" t="s">
        <v>178</v>
      </c>
      <c r="BE681" s="132" t="s">
        <v>178</v>
      </c>
      <c r="BF681" s="156"/>
      <c r="BG681" s="83">
        <v>1179364.0</v>
      </c>
      <c r="BH681" s="98"/>
      <c r="BI681" s="98">
        <v>2.0</v>
      </c>
      <c r="BJ681" s="98" t="s">
        <v>155</v>
      </c>
      <c r="BK681" s="99">
        <f t="shared" si="11"/>
        <v>0</v>
      </c>
      <c r="BL681" s="99">
        <f t="shared" si="12"/>
        <v>19</v>
      </c>
      <c r="BM681" s="99" t="str">
        <f>IFERROR(__xludf.DUMMYFUNCTION("IFERROR(VLOOKUP(BG681,IMPORTRANGE(""https://docs.google.com/spreadsheets/d/1juPI-Fb8LD0YtltB2mlGEnp_R3UVu1t3wSFPzgCyHXE/edit?gid=0#gid=0"",""GERAL!A2:C""),3,0),""-"")"),"CAMPO")</f>
        <v>CAMPO</v>
      </c>
    </row>
    <row r="682" ht="15.75" customHeight="1">
      <c r="A682" s="111" t="s">
        <v>796</v>
      </c>
      <c r="B682" s="83" t="s">
        <v>3238</v>
      </c>
      <c r="C682" s="83" t="s">
        <v>164</v>
      </c>
      <c r="D682" s="112">
        <v>1121520.0</v>
      </c>
      <c r="E682" s="83">
        <v>1179087.0</v>
      </c>
      <c r="F682" s="98">
        <v>2.9491487E7</v>
      </c>
      <c r="G682" s="184" t="s">
        <v>3250</v>
      </c>
      <c r="H682" s="91" t="s">
        <v>3251</v>
      </c>
      <c r="I682" s="83" t="s">
        <v>149</v>
      </c>
      <c r="J682" s="83" t="s">
        <v>183</v>
      </c>
      <c r="K682" s="83" t="s">
        <v>168</v>
      </c>
      <c r="L682" s="83" t="s">
        <v>169</v>
      </c>
      <c r="M682" s="82" t="str">
        <f>IFERROR(__xludf.DUMMYFUNCTION("IFERROR(VLOOKUP(D682,
IMPORTRANGE(""https://docs.google.com/spreadsheets/d/1MjHtlUikwobi2MaWJgy7tfLeBmhj1u-dRFRs_8GwSoA/edit#gid=0"",""Gestores Escolares!D7:J""),3,0),""VERIFICAR CÓD SEC"")"),"ANTONIO JERIDELSON DIAS")</f>
        <v>ANTONIO JERIDELSON DIAS</v>
      </c>
      <c r="N682" s="82" t="str">
        <f>IFERROR(__xludf.DUMMYFUNCTION("IFERROR(VLOOKUP(D682,
IMPORTRANGE(""https://docs.google.com/spreadsheets/d/1MjHtlUikwobi2MaWJgy7tfLeBmhj1u-dRFRs_8GwSoA/edit#gid=0"",""Gestores Escolares!D7:J""),4,0),""VERIFICAR CÓD SEC"")"),"(74) 9 8848-8607/9 9933-7177")</f>
        <v>(74) 9 8848-8607/9 9933-7177</v>
      </c>
      <c r="O682" s="82" t="str">
        <f>IFERROR(__xludf.DUMMYFUNCTION("IFERROR(VLOOKUP(D682,
IMPORTRANGE(""https://docs.google.com/spreadsheets/d/1MjHtlUikwobi2MaWJgy7tfLeBmhj1u-dRFRs_8GwSoA/edit#gid=0"",""Gestores Escolares!D7:J""),6,0),""VERIFICAR CÓD SEC"")"),"MARIA GORETE DIAS DA SILVA")</f>
        <v>MARIA GORETE DIAS DA SILVA</v>
      </c>
      <c r="P682" s="82" t="str">
        <f>IFERROR(__xludf.DUMMYFUNCTION("IFERROR(VLOOKUP(D682,
IMPORTRANGE(""https://docs.google.com/spreadsheets/d/1MjHtlUikwobi2MaWJgy7tfLeBmhj1u-dRFRs_8GwSoA/edit#gid=0"",""Gestores Escolares!D7:J""),7,0),""VERIFICAR CÓD SEC"")"),"(74) 9 9954-8179")</f>
        <v>(74) 9 9954-8179</v>
      </c>
      <c r="Q682" s="82" t="str">
        <f>IFERROR(__xludf.DUMMYFUNCTION("IFERROR(VLOOKUP(D682,
IMPORTRANGE(""https://docs.google.com/spreadsheets/d/1MjHtlUikwobi2MaWJgy7tfLeBmhj1u-dRFRs_8GwSoA/edit#gid=0"",""Gestores Escolares!D7:m""),9,0),""VERIFICAR CÓD SEC"")"),"NEWTON JOSE DIAS")</f>
        <v>NEWTON JOSE DIAS</v>
      </c>
      <c r="R682" s="82" t="str">
        <f>IFERROR(__xludf.DUMMYFUNCTION("IFERROR(VLOOKUP(D682,
IMPORTRANGE(""https://docs.google.com/spreadsheets/d/1MjHtlUikwobi2MaWJgy7tfLeBmhj1u-dRFRs_8GwSoA/edit#gid=0"",""Gestores Escolares!D7:m""),10,0),""VERIFICAR CÓD SEC"")"),"(74) 9 8859-3898")</f>
        <v>(74) 9 8859-3898</v>
      </c>
      <c r="S682" s="82"/>
      <c r="T682" s="138">
        <v>6.0</v>
      </c>
      <c r="U682" s="145">
        <v>4.0</v>
      </c>
      <c r="V682" s="106">
        <v>0.0</v>
      </c>
      <c r="W682" s="107">
        <v>0.0</v>
      </c>
      <c r="X682" s="107">
        <v>0.0</v>
      </c>
      <c r="Y682" s="107">
        <v>0.0</v>
      </c>
      <c r="Z682" s="80">
        <f t="shared" si="1"/>
        <v>0</v>
      </c>
      <c r="AA682" s="106">
        <v>0.0</v>
      </c>
      <c r="AB682" s="107">
        <v>0.0</v>
      </c>
      <c r="AC682" s="107">
        <v>0.0</v>
      </c>
      <c r="AD682" s="107">
        <v>0.0</v>
      </c>
      <c r="AE682" s="80">
        <f t="shared" si="2"/>
        <v>0</v>
      </c>
      <c r="AF682" s="140">
        <v>0.0</v>
      </c>
      <c r="AG682" s="109">
        <v>0.0</v>
      </c>
      <c r="AH682" s="109">
        <v>0.0</v>
      </c>
      <c r="AI682" s="141">
        <v>0.0</v>
      </c>
      <c r="AJ682" s="80">
        <f t="shared" si="3"/>
        <v>0</v>
      </c>
      <c r="AK682" s="140">
        <v>0.0</v>
      </c>
      <c r="AL682" s="109">
        <v>0.0</v>
      </c>
      <c r="AM682" s="141">
        <v>0.0</v>
      </c>
      <c r="AN682" s="80">
        <f t="shared" si="4"/>
        <v>0</v>
      </c>
      <c r="AO682" s="140">
        <v>0.0</v>
      </c>
      <c r="AP682" s="109">
        <v>0.0</v>
      </c>
      <c r="AQ682" s="109">
        <v>59.0</v>
      </c>
      <c r="AR682" s="80">
        <f t="shared" si="5"/>
        <v>59</v>
      </c>
      <c r="AS682" s="110">
        <v>0.0</v>
      </c>
      <c r="AT682" s="110">
        <v>0.0</v>
      </c>
      <c r="AU682" s="110">
        <v>0.0</v>
      </c>
      <c r="AV682" s="142">
        <v>0.0</v>
      </c>
      <c r="AW682" s="80">
        <f t="shared" si="6"/>
        <v>0</v>
      </c>
      <c r="AX682" s="113">
        <f t="shared" si="7"/>
        <v>59</v>
      </c>
      <c r="AY682" s="117">
        <f t="shared" si="8"/>
        <v>0</v>
      </c>
      <c r="AZ682" s="120">
        <f t="shared" si="9"/>
        <v>59</v>
      </c>
      <c r="BA682" s="115">
        <v>0.0</v>
      </c>
      <c r="BB682" s="89">
        <f t="shared" si="10"/>
        <v>59</v>
      </c>
      <c r="BC682" s="132" t="s">
        <v>373</v>
      </c>
      <c r="BD682" s="132" t="s">
        <v>178</v>
      </c>
      <c r="BE682" s="132" t="s">
        <v>178</v>
      </c>
      <c r="BF682" s="156"/>
      <c r="BG682" s="83">
        <v>1179087.0</v>
      </c>
      <c r="BH682" s="112"/>
      <c r="BI682" s="112">
        <v>6.0</v>
      </c>
      <c r="BJ682" s="98" t="s">
        <v>155</v>
      </c>
      <c r="BK682" s="99">
        <f t="shared" si="11"/>
        <v>0</v>
      </c>
      <c r="BL682" s="99">
        <f t="shared" si="12"/>
        <v>0</v>
      </c>
      <c r="BM682" s="99" t="str">
        <f>IFERROR(__xludf.DUMMYFUNCTION("IFERROR(VLOOKUP(BG682,IMPORTRANGE(""https://docs.google.com/spreadsheets/d/1juPI-Fb8LD0YtltB2mlGEnp_R3UVu1t3wSFPzgCyHXE/edit?gid=0#gid=0"",""GERAL!A2:C""),3,0),""-"")"),"CAMPO")</f>
        <v>CAMPO</v>
      </c>
    </row>
    <row r="683" ht="15.75" customHeight="1">
      <c r="A683" s="111" t="s">
        <v>796</v>
      </c>
      <c r="B683" s="83" t="s">
        <v>3238</v>
      </c>
      <c r="C683" s="83" t="s">
        <v>164</v>
      </c>
      <c r="D683" s="112">
        <v>1121520.0</v>
      </c>
      <c r="E683" s="83">
        <v>1179365.0</v>
      </c>
      <c r="F683" s="98">
        <v>2.9491452E7</v>
      </c>
      <c r="G683" s="184" t="s">
        <v>3253</v>
      </c>
      <c r="H683" s="91" t="s">
        <v>3254</v>
      </c>
      <c r="I683" s="83" t="s">
        <v>149</v>
      </c>
      <c r="J683" s="83" t="s">
        <v>3255</v>
      </c>
      <c r="K683" s="83" t="s">
        <v>168</v>
      </c>
      <c r="L683" s="83" t="s">
        <v>169</v>
      </c>
      <c r="M683" s="82" t="str">
        <f>IFERROR(__xludf.DUMMYFUNCTION("IFERROR(VLOOKUP(D683,
IMPORTRANGE(""https://docs.google.com/spreadsheets/d/1MjHtlUikwobi2MaWJgy7tfLeBmhj1u-dRFRs_8GwSoA/edit#gid=0"",""Gestores Escolares!D7:J""),3,0),""VERIFICAR CÓD SEC"")"),"ANTONIO JERIDELSON DIAS")</f>
        <v>ANTONIO JERIDELSON DIAS</v>
      </c>
      <c r="N683" s="82" t="str">
        <f>IFERROR(__xludf.DUMMYFUNCTION("IFERROR(VLOOKUP(D683,
IMPORTRANGE(""https://docs.google.com/spreadsheets/d/1MjHtlUikwobi2MaWJgy7tfLeBmhj1u-dRFRs_8GwSoA/edit#gid=0"",""Gestores Escolares!D7:J""),4,0),""VERIFICAR CÓD SEC"")"),"(74) 9 8848-8607/9 9933-7177")</f>
        <v>(74) 9 8848-8607/9 9933-7177</v>
      </c>
      <c r="O683" s="82" t="str">
        <f>IFERROR(__xludf.DUMMYFUNCTION("IFERROR(VLOOKUP(D683,
IMPORTRANGE(""https://docs.google.com/spreadsheets/d/1MjHtlUikwobi2MaWJgy7tfLeBmhj1u-dRFRs_8GwSoA/edit#gid=0"",""Gestores Escolares!D7:J""),6,0),""VERIFICAR CÓD SEC"")"),"MARIA GORETE DIAS DA SILVA")</f>
        <v>MARIA GORETE DIAS DA SILVA</v>
      </c>
      <c r="P683" s="82" t="str">
        <f>IFERROR(__xludf.DUMMYFUNCTION("IFERROR(VLOOKUP(D683,
IMPORTRANGE(""https://docs.google.com/spreadsheets/d/1MjHtlUikwobi2MaWJgy7tfLeBmhj1u-dRFRs_8GwSoA/edit#gid=0"",""Gestores Escolares!D7:J""),7,0),""VERIFICAR CÓD SEC"")"),"(74) 9 9954-8179")</f>
        <v>(74) 9 9954-8179</v>
      </c>
      <c r="Q683" s="82" t="str">
        <f>IFERROR(__xludf.DUMMYFUNCTION("IFERROR(VLOOKUP(D683,
IMPORTRANGE(""https://docs.google.com/spreadsheets/d/1MjHtlUikwobi2MaWJgy7tfLeBmhj1u-dRFRs_8GwSoA/edit#gid=0"",""Gestores Escolares!D7:m""),9,0),""VERIFICAR CÓD SEC"")"),"NEWTON JOSE DIAS")</f>
        <v>NEWTON JOSE DIAS</v>
      </c>
      <c r="R683" s="82" t="str">
        <f>IFERROR(__xludf.DUMMYFUNCTION("IFERROR(VLOOKUP(D683,
IMPORTRANGE(""https://docs.google.com/spreadsheets/d/1MjHtlUikwobi2MaWJgy7tfLeBmhj1u-dRFRs_8GwSoA/edit#gid=0"",""Gestores Escolares!D7:m""),10,0),""VERIFICAR CÓD SEC"")"),"(74) 9 8859-3898")</f>
        <v>(74) 9 8859-3898</v>
      </c>
      <c r="S683" s="82"/>
      <c r="T683" s="138">
        <v>3.0</v>
      </c>
      <c r="U683" s="145">
        <v>3.0</v>
      </c>
      <c r="V683" s="106">
        <v>0.0</v>
      </c>
      <c r="W683" s="107">
        <v>0.0</v>
      </c>
      <c r="X683" s="107">
        <v>0.0</v>
      </c>
      <c r="Y683" s="107">
        <v>0.0</v>
      </c>
      <c r="Z683" s="80">
        <f t="shared" si="1"/>
        <v>0</v>
      </c>
      <c r="AA683" s="106">
        <v>0.0</v>
      </c>
      <c r="AB683" s="107">
        <v>0.0</v>
      </c>
      <c r="AC683" s="107">
        <v>0.0</v>
      </c>
      <c r="AD683" s="107">
        <v>0.0</v>
      </c>
      <c r="AE683" s="80">
        <f t="shared" si="2"/>
        <v>0</v>
      </c>
      <c r="AF683" s="140">
        <v>0.0</v>
      </c>
      <c r="AG683" s="109">
        <v>0.0</v>
      </c>
      <c r="AH683" s="109">
        <v>0.0</v>
      </c>
      <c r="AI683" s="141">
        <v>0.0</v>
      </c>
      <c r="AJ683" s="80">
        <f t="shared" si="3"/>
        <v>0</v>
      </c>
      <c r="AK683" s="140">
        <v>0.0</v>
      </c>
      <c r="AL683" s="109">
        <v>0.0</v>
      </c>
      <c r="AM683" s="141">
        <v>0.0</v>
      </c>
      <c r="AN683" s="80">
        <f t="shared" si="4"/>
        <v>0</v>
      </c>
      <c r="AO683" s="140">
        <v>0.0</v>
      </c>
      <c r="AP683" s="109">
        <v>0.0</v>
      </c>
      <c r="AQ683" s="109">
        <v>57.0</v>
      </c>
      <c r="AR683" s="80">
        <f t="shared" si="5"/>
        <v>57</v>
      </c>
      <c r="AS683" s="110">
        <v>0.0</v>
      </c>
      <c r="AT683" s="110">
        <v>0.0</v>
      </c>
      <c r="AU683" s="110">
        <v>0.0</v>
      </c>
      <c r="AV683" s="142">
        <v>0.0</v>
      </c>
      <c r="AW683" s="80">
        <f t="shared" si="6"/>
        <v>0</v>
      </c>
      <c r="AX683" s="113">
        <f t="shared" si="7"/>
        <v>57</v>
      </c>
      <c r="AY683" s="117">
        <f t="shared" si="8"/>
        <v>0</v>
      </c>
      <c r="AZ683" s="120">
        <f t="shared" si="9"/>
        <v>57</v>
      </c>
      <c r="BA683" s="115">
        <v>0.0</v>
      </c>
      <c r="BB683" s="89">
        <f t="shared" si="10"/>
        <v>57</v>
      </c>
      <c r="BC683" s="132" t="s">
        <v>373</v>
      </c>
      <c r="BD683" s="132" t="s">
        <v>178</v>
      </c>
      <c r="BE683" s="132" t="s">
        <v>178</v>
      </c>
      <c r="BF683" s="156"/>
      <c r="BG683" s="83">
        <v>1179365.0</v>
      </c>
      <c r="BH683" s="98"/>
      <c r="BI683" s="98">
        <v>2.0</v>
      </c>
      <c r="BJ683" s="98" t="s">
        <v>155</v>
      </c>
      <c r="BK683" s="99">
        <f t="shared" si="11"/>
        <v>0</v>
      </c>
      <c r="BL683" s="99">
        <f t="shared" si="12"/>
        <v>0</v>
      </c>
      <c r="BM683" s="99" t="str">
        <f>IFERROR(__xludf.DUMMYFUNCTION("IFERROR(VLOOKUP(BG683,IMPORTRANGE(""https://docs.google.com/spreadsheets/d/1juPI-Fb8LD0YtltB2mlGEnp_R3UVu1t3wSFPzgCyHXE/edit?gid=0#gid=0"",""GERAL!A2:C""),3,0),""-"")"),"CAMPO")</f>
        <v>CAMPO</v>
      </c>
    </row>
    <row r="684" ht="15.75" customHeight="1">
      <c r="A684" s="111" t="s">
        <v>796</v>
      </c>
      <c r="B684" s="83" t="s">
        <v>3238</v>
      </c>
      <c r="C684" s="83" t="s">
        <v>164</v>
      </c>
      <c r="D684" s="112">
        <v>1121520.0</v>
      </c>
      <c r="E684" s="83">
        <v>1179143.0</v>
      </c>
      <c r="F684" s="98">
        <v>2.949141E7</v>
      </c>
      <c r="G684" s="184" t="s">
        <v>3261</v>
      </c>
      <c r="H684" s="91" t="s">
        <v>3262</v>
      </c>
      <c r="I684" s="83" t="s">
        <v>3263</v>
      </c>
      <c r="J684" s="83" t="s">
        <v>890</v>
      </c>
      <c r="K684" s="83" t="s">
        <v>168</v>
      </c>
      <c r="L684" s="83" t="s">
        <v>169</v>
      </c>
      <c r="M684" s="82" t="str">
        <f>IFERROR(__xludf.DUMMYFUNCTION("IFERROR(VLOOKUP(D684,
IMPORTRANGE(""https://docs.google.com/spreadsheets/d/1MjHtlUikwobi2MaWJgy7tfLeBmhj1u-dRFRs_8GwSoA/edit#gid=0"",""Gestores Escolares!D7:J""),3,0),""VERIFICAR CÓD SEC"")"),"ANTONIO JERIDELSON DIAS")</f>
        <v>ANTONIO JERIDELSON DIAS</v>
      </c>
      <c r="N684" s="82" t="str">
        <f>IFERROR(__xludf.DUMMYFUNCTION("IFERROR(VLOOKUP(D684,
IMPORTRANGE(""https://docs.google.com/spreadsheets/d/1MjHtlUikwobi2MaWJgy7tfLeBmhj1u-dRFRs_8GwSoA/edit#gid=0"",""Gestores Escolares!D7:J""),4,0),""VERIFICAR CÓD SEC"")"),"(74) 9 8848-8607/9 9933-7177")</f>
        <v>(74) 9 8848-8607/9 9933-7177</v>
      </c>
      <c r="O684" s="82" t="str">
        <f>IFERROR(__xludf.DUMMYFUNCTION("IFERROR(VLOOKUP(D684,
IMPORTRANGE(""https://docs.google.com/spreadsheets/d/1MjHtlUikwobi2MaWJgy7tfLeBmhj1u-dRFRs_8GwSoA/edit#gid=0"",""Gestores Escolares!D7:J""),6,0),""VERIFICAR CÓD SEC"")"),"MARIA GORETE DIAS DA SILVA")</f>
        <v>MARIA GORETE DIAS DA SILVA</v>
      </c>
      <c r="P684" s="82" t="str">
        <f>IFERROR(__xludf.DUMMYFUNCTION("IFERROR(VLOOKUP(D684,
IMPORTRANGE(""https://docs.google.com/spreadsheets/d/1MjHtlUikwobi2MaWJgy7tfLeBmhj1u-dRFRs_8GwSoA/edit#gid=0"",""Gestores Escolares!D7:J""),7,0),""VERIFICAR CÓD SEC"")"),"(74) 9 9954-8179")</f>
        <v>(74) 9 9954-8179</v>
      </c>
      <c r="Q684" s="82" t="str">
        <f>IFERROR(__xludf.DUMMYFUNCTION("IFERROR(VLOOKUP(D684,
IMPORTRANGE(""https://docs.google.com/spreadsheets/d/1MjHtlUikwobi2MaWJgy7tfLeBmhj1u-dRFRs_8GwSoA/edit#gid=0"",""Gestores Escolares!D7:m""),9,0),""VERIFICAR CÓD SEC"")"),"NEWTON JOSE DIAS")</f>
        <v>NEWTON JOSE DIAS</v>
      </c>
      <c r="R684" s="82" t="str">
        <f>IFERROR(__xludf.DUMMYFUNCTION("IFERROR(VLOOKUP(D684,
IMPORTRANGE(""https://docs.google.com/spreadsheets/d/1MjHtlUikwobi2MaWJgy7tfLeBmhj1u-dRFRs_8GwSoA/edit#gid=0"",""Gestores Escolares!D7:m""),10,0),""VERIFICAR CÓD SEC"")"),"(74) 9 8859-3898")</f>
        <v>(74) 9 8859-3898</v>
      </c>
      <c r="S684" s="82"/>
      <c r="T684" s="138">
        <v>3.0</v>
      </c>
      <c r="U684" s="145">
        <v>3.0</v>
      </c>
      <c r="V684" s="106">
        <v>0.0</v>
      </c>
      <c r="W684" s="107">
        <v>0.0</v>
      </c>
      <c r="X684" s="107">
        <v>0.0</v>
      </c>
      <c r="Y684" s="107">
        <v>0.0</v>
      </c>
      <c r="Z684" s="80">
        <f t="shared" si="1"/>
        <v>0</v>
      </c>
      <c r="AA684" s="106">
        <v>0.0</v>
      </c>
      <c r="AB684" s="107">
        <v>0.0</v>
      </c>
      <c r="AC684" s="107">
        <v>0.0</v>
      </c>
      <c r="AD684" s="107">
        <v>0.0</v>
      </c>
      <c r="AE684" s="80">
        <f t="shared" si="2"/>
        <v>0</v>
      </c>
      <c r="AF684" s="140">
        <v>0.0</v>
      </c>
      <c r="AG684" s="109">
        <v>0.0</v>
      </c>
      <c r="AH684" s="109">
        <v>0.0</v>
      </c>
      <c r="AI684" s="141">
        <v>0.0</v>
      </c>
      <c r="AJ684" s="80">
        <f t="shared" si="3"/>
        <v>0</v>
      </c>
      <c r="AK684" s="140">
        <v>0.0</v>
      </c>
      <c r="AL684" s="109">
        <v>0.0</v>
      </c>
      <c r="AM684" s="141">
        <v>0.0</v>
      </c>
      <c r="AN684" s="80">
        <f t="shared" si="4"/>
        <v>0</v>
      </c>
      <c r="AO684" s="140">
        <v>0.0</v>
      </c>
      <c r="AP684" s="109">
        <v>0.0</v>
      </c>
      <c r="AQ684" s="109">
        <v>37.0</v>
      </c>
      <c r="AR684" s="80">
        <f t="shared" si="5"/>
        <v>37</v>
      </c>
      <c r="AS684" s="110">
        <v>0.0</v>
      </c>
      <c r="AT684" s="110">
        <v>0.0</v>
      </c>
      <c r="AU684" s="110">
        <v>0.0</v>
      </c>
      <c r="AV684" s="142">
        <v>0.0</v>
      </c>
      <c r="AW684" s="80">
        <f t="shared" si="6"/>
        <v>0</v>
      </c>
      <c r="AX684" s="113">
        <f t="shared" si="7"/>
        <v>37</v>
      </c>
      <c r="AY684" s="117">
        <f t="shared" si="8"/>
        <v>0</v>
      </c>
      <c r="AZ684" s="120">
        <f t="shared" si="9"/>
        <v>37</v>
      </c>
      <c r="BA684" s="115">
        <v>0.0</v>
      </c>
      <c r="BB684" s="89">
        <f t="shared" si="10"/>
        <v>37</v>
      </c>
      <c r="BC684" s="132" t="s">
        <v>373</v>
      </c>
      <c r="BD684" s="132" t="s">
        <v>178</v>
      </c>
      <c r="BE684" s="132" t="s">
        <v>178</v>
      </c>
      <c r="BF684" s="156"/>
      <c r="BG684" s="83">
        <v>1179143.0</v>
      </c>
      <c r="BH684" s="98"/>
      <c r="BI684" s="98">
        <v>2.0</v>
      </c>
      <c r="BJ684" s="98" t="s">
        <v>155</v>
      </c>
      <c r="BK684" s="99">
        <f t="shared" si="11"/>
        <v>0</v>
      </c>
      <c r="BL684" s="99">
        <f t="shared" si="12"/>
        <v>0</v>
      </c>
      <c r="BM684" s="99" t="str">
        <f>IFERROR(__xludf.DUMMYFUNCTION("IFERROR(VLOOKUP(BG684,IMPORTRANGE(""https://docs.google.com/spreadsheets/d/1juPI-Fb8LD0YtltB2mlGEnp_R3UVu1t3wSFPzgCyHXE/edit?gid=0#gid=0"",""GERAL!A2:C""),3,0),""-"")"),"CAMPO")</f>
        <v>CAMPO</v>
      </c>
    </row>
    <row r="685" ht="15.75" customHeight="1">
      <c r="A685" s="111" t="s">
        <v>796</v>
      </c>
      <c r="B685" s="83" t="s">
        <v>3238</v>
      </c>
      <c r="C685" s="83" t="s">
        <v>164</v>
      </c>
      <c r="D685" s="112">
        <v>1121520.0</v>
      </c>
      <c r="E685" s="83">
        <v>1179142.0</v>
      </c>
      <c r="F685" s="98">
        <v>2.9491398E7</v>
      </c>
      <c r="G685" s="184" t="s">
        <v>3266</v>
      </c>
      <c r="H685" s="91" t="s">
        <v>3267</v>
      </c>
      <c r="I685" s="83" t="s">
        <v>3268</v>
      </c>
      <c r="J685" s="83" t="s">
        <v>2928</v>
      </c>
      <c r="K685" s="83" t="s">
        <v>168</v>
      </c>
      <c r="L685" s="83" t="s">
        <v>169</v>
      </c>
      <c r="M685" s="82" t="str">
        <f>IFERROR(__xludf.DUMMYFUNCTION("IFERROR(VLOOKUP(D685,
IMPORTRANGE(""https://docs.google.com/spreadsheets/d/1MjHtlUikwobi2MaWJgy7tfLeBmhj1u-dRFRs_8GwSoA/edit#gid=0"",""Gestores Escolares!D7:J""),3,0),""VERIFICAR CÓD SEC"")"),"ANTONIO JERIDELSON DIAS")</f>
        <v>ANTONIO JERIDELSON DIAS</v>
      </c>
      <c r="N685" s="82" t="str">
        <f>IFERROR(__xludf.DUMMYFUNCTION("IFERROR(VLOOKUP(D685,
IMPORTRANGE(""https://docs.google.com/spreadsheets/d/1MjHtlUikwobi2MaWJgy7tfLeBmhj1u-dRFRs_8GwSoA/edit#gid=0"",""Gestores Escolares!D7:J""),4,0),""VERIFICAR CÓD SEC"")"),"(74) 9 8848-8607/9 9933-7177")</f>
        <v>(74) 9 8848-8607/9 9933-7177</v>
      </c>
      <c r="O685" s="82" t="str">
        <f>IFERROR(__xludf.DUMMYFUNCTION("IFERROR(VLOOKUP(D685,
IMPORTRANGE(""https://docs.google.com/spreadsheets/d/1MjHtlUikwobi2MaWJgy7tfLeBmhj1u-dRFRs_8GwSoA/edit#gid=0"",""Gestores Escolares!D7:J""),6,0),""VERIFICAR CÓD SEC"")"),"MARIA GORETE DIAS DA SILVA")</f>
        <v>MARIA GORETE DIAS DA SILVA</v>
      </c>
      <c r="P685" s="82" t="str">
        <f>IFERROR(__xludf.DUMMYFUNCTION("IFERROR(VLOOKUP(D685,
IMPORTRANGE(""https://docs.google.com/spreadsheets/d/1MjHtlUikwobi2MaWJgy7tfLeBmhj1u-dRFRs_8GwSoA/edit#gid=0"",""Gestores Escolares!D7:J""),7,0),""VERIFICAR CÓD SEC"")"),"(74) 9 9954-8179")</f>
        <v>(74) 9 9954-8179</v>
      </c>
      <c r="Q685" s="82" t="str">
        <f>IFERROR(__xludf.DUMMYFUNCTION("IFERROR(VLOOKUP(D685,
IMPORTRANGE(""https://docs.google.com/spreadsheets/d/1MjHtlUikwobi2MaWJgy7tfLeBmhj1u-dRFRs_8GwSoA/edit#gid=0"",""Gestores Escolares!D7:m""),9,0),""VERIFICAR CÓD SEC"")"),"NEWTON JOSE DIAS")</f>
        <v>NEWTON JOSE DIAS</v>
      </c>
      <c r="R685" s="82" t="str">
        <f>IFERROR(__xludf.DUMMYFUNCTION("IFERROR(VLOOKUP(D685,
IMPORTRANGE(""https://docs.google.com/spreadsheets/d/1MjHtlUikwobi2MaWJgy7tfLeBmhj1u-dRFRs_8GwSoA/edit#gid=0"",""Gestores Escolares!D7:m""),10,0),""VERIFICAR CÓD SEC"")"),"(74) 9 8859-3898")</f>
        <v>(74) 9 8859-3898</v>
      </c>
      <c r="S685" s="82"/>
      <c r="T685" s="138">
        <v>3.0</v>
      </c>
      <c r="U685" s="145">
        <v>3.0</v>
      </c>
      <c r="V685" s="106">
        <v>0.0</v>
      </c>
      <c r="W685" s="107">
        <v>0.0</v>
      </c>
      <c r="X685" s="107">
        <v>0.0</v>
      </c>
      <c r="Y685" s="107">
        <v>0.0</v>
      </c>
      <c r="Z685" s="80">
        <f t="shared" si="1"/>
        <v>0</v>
      </c>
      <c r="AA685" s="106">
        <v>0.0</v>
      </c>
      <c r="AB685" s="107">
        <v>0.0</v>
      </c>
      <c r="AC685" s="107">
        <v>0.0</v>
      </c>
      <c r="AD685" s="107">
        <v>0.0</v>
      </c>
      <c r="AE685" s="80">
        <f t="shared" si="2"/>
        <v>0</v>
      </c>
      <c r="AF685" s="140">
        <v>0.0</v>
      </c>
      <c r="AG685" s="109">
        <v>0.0</v>
      </c>
      <c r="AH685" s="109">
        <v>0.0</v>
      </c>
      <c r="AI685" s="141">
        <v>0.0</v>
      </c>
      <c r="AJ685" s="80">
        <f t="shared" si="3"/>
        <v>0</v>
      </c>
      <c r="AK685" s="140">
        <v>0.0</v>
      </c>
      <c r="AL685" s="109">
        <v>0.0</v>
      </c>
      <c r="AM685" s="141">
        <v>0.0</v>
      </c>
      <c r="AN685" s="80">
        <f t="shared" si="4"/>
        <v>0</v>
      </c>
      <c r="AO685" s="140">
        <v>0.0</v>
      </c>
      <c r="AP685" s="109">
        <v>0.0</v>
      </c>
      <c r="AQ685" s="109">
        <v>18.0</v>
      </c>
      <c r="AR685" s="80">
        <f t="shared" si="5"/>
        <v>18</v>
      </c>
      <c r="AS685" s="110">
        <v>0.0</v>
      </c>
      <c r="AT685" s="110">
        <v>0.0</v>
      </c>
      <c r="AU685" s="110">
        <v>0.0</v>
      </c>
      <c r="AV685" s="142">
        <v>0.0</v>
      </c>
      <c r="AW685" s="80">
        <f t="shared" si="6"/>
        <v>0</v>
      </c>
      <c r="AX685" s="113">
        <f t="shared" si="7"/>
        <v>18</v>
      </c>
      <c r="AY685" s="117">
        <f t="shared" si="8"/>
        <v>0</v>
      </c>
      <c r="AZ685" s="120">
        <f t="shared" si="9"/>
        <v>18</v>
      </c>
      <c r="BA685" s="115">
        <v>0.0</v>
      </c>
      <c r="BB685" s="89">
        <f t="shared" si="10"/>
        <v>18</v>
      </c>
      <c r="BC685" s="132" t="s">
        <v>373</v>
      </c>
      <c r="BD685" s="132" t="s">
        <v>178</v>
      </c>
      <c r="BE685" s="132" t="s">
        <v>178</v>
      </c>
      <c r="BF685" s="123"/>
      <c r="BG685" s="83">
        <v>1179142.0</v>
      </c>
      <c r="BH685" s="98"/>
      <c r="BI685" s="98">
        <v>2.0</v>
      </c>
      <c r="BJ685" s="98" t="s">
        <v>155</v>
      </c>
      <c r="BK685" s="99">
        <f t="shared" si="11"/>
        <v>0</v>
      </c>
      <c r="BL685" s="99">
        <f t="shared" si="12"/>
        <v>0</v>
      </c>
      <c r="BM685" s="99" t="str">
        <f>IFERROR(__xludf.DUMMYFUNCTION("IFERROR(VLOOKUP(BG685,IMPORTRANGE(""https://docs.google.com/spreadsheets/d/1juPI-Fb8LD0YtltB2mlGEnp_R3UVu1t3wSFPzgCyHXE/edit?gid=0#gid=0"",""GERAL!A2:C""),3,0),""-"")"),"CAMPO")</f>
        <v>CAMPO</v>
      </c>
    </row>
    <row r="686" ht="15.75" customHeight="1">
      <c r="A686" s="111" t="s">
        <v>796</v>
      </c>
      <c r="B686" s="83" t="s">
        <v>3238</v>
      </c>
      <c r="C686" s="83" t="s">
        <v>164</v>
      </c>
      <c r="D686" s="112">
        <v>1121520.0</v>
      </c>
      <c r="E686" s="83">
        <v>1179086.0</v>
      </c>
      <c r="F686" s="98">
        <v>2.9491509E7</v>
      </c>
      <c r="G686" s="184" t="s">
        <v>3269</v>
      </c>
      <c r="H686" s="91" t="s">
        <v>3270</v>
      </c>
      <c r="I686" s="83" t="s">
        <v>149</v>
      </c>
      <c r="J686" s="83" t="s">
        <v>3271</v>
      </c>
      <c r="K686" s="83" t="s">
        <v>168</v>
      </c>
      <c r="L686" s="83" t="s">
        <v>169</v>
      </c>
      <c r="M686" s="82" t="str">
        <f>IFERROR(__xludf.DUMMYFUNCTION("IFERROR(VLOOKUP(D686,
IMPORTRANGE(""https://docs.google.com/spreadsheets/d/1MjHtlUikwobi2MaWJgy7tfLeBmhj1u-dRFRs_8GwSoA/edit#gid=0"",""Gestores Escolares!D7:J""),3,0),""VERIFICAR CÓD SEC"")"),"ANTONIO JERIDELSON DIAS")</f>
        <v>ANTONIO JERIDELSON DIAS</v>
      </c>
      <c r="N686" s="82" t="str">
        <f>IFERROR(__xludf.DUMMYFUNCTION("IFERROR(VLOOKUP(D686,
IMPORTRANGE(""https://docs.google.com/spreadsheets/d/1MjHtlUikwobi2MaWJgy7tfLeBmhj1u-dRFRs_8GwSoA/edit#gid=0"",""Gestores Escolares!D7:J""),4,0),""VERIFICAR CÓD SEC"")"),"(74) 9 8848-8607/9 9933-7177")</f>
        <v>(74) 9 8848-8607/9 9933-7177</v>
      </c>
      <c r="O686" s="82" t="str">
        <f>IFERROR(__xludf.DUMMYFUNCTION("IFERROR(VLOOKUP(D686,
IMPORTRANGE(""https://docs.google.com/spreadsheets/d/1MjHtlUikwobi2MaWJgy7tfLeBmhj1u-dRFRs_8GwSoA/edit#gid=0"",""Gestores Escolares!D7:J""),6,0),""VERIFICAR CÓD SEC"")"),"MARIA GORETE DIAS DA SILVA")</f>
        <v>MARIA GORETE DIAS DA SILVA</v>
      </c>
      <c r="P686" s="82" t="str">
        <f>IFERROR(__xludf.DUMMYFUNCTION("IFERROR(VLOOKUP(D686,
IMPORTRANGE(""https://docs.google.com/spreadsheets/d/1MjHtlUikwobi2MaWJgy7tfLeBmhj1u-dRFRs_8GwSoA/edit#gid=0"",""Gestores Escolares!D7:J""),7,0),""VERIFICAR CÓD SEC"")"),"(74) 9 9954-8179")</f>
        <v>(74) 9 9954-8179</v>
      </c>
      <c r="Q686" s="82" t="str">
        <f>IFERROR(__xludf.DUMMYFUNCTION("IFERROR(VLOOKUP(D686,
IMPORTRANGE(""https://docs.google.com/spreadsheets/d/1MjHtlUikwobi2MaWJgy7tfLeBmhj1u-dRFRs_8GwSoA/edit#gid=0"",""Gestores Escolares!D7:m""),9,0),""VERIFICAR CÓD SEC"")"),"NEWTON JOSE DIAS")</f>
        <v>NEWTON JOSE DIAS</v>
      </c>
      <c r="R686" s="82" t="str">
        <f>IFERROR(__xludf.DUMMYFUNCTION("IFERROR(VLOOKUP(D686,
IMPORTRANGE(""https://docs.google.com/spreadsheets/d/1MjHtlUikwobi2MaWJgy7tfLeBmhj1u-dRFRs_8GwSoA/edit#gid=0"",""Gestores Escolares!D7:m""),10,0),""VERIFICAR CÓD SEC"")"),"(74) 9 8859-3898")</f>
        <v>(74) 9 8859-3898</v>
      </c>
      <c r="S686" s="82"/>
      <c r="T686" s="138">
        <v>3.0</v>
      </c>
      <c r="U686" s="145">
        <v>3.0</v>
      </c>
      <c r="V686" s="106">
        <v>0.0</v>
      </c>
      <c r="W686" s="107">
        <v>0.0</v>
      </c>
      <c r="X686" s="107">
        <v>0.0</v>
      </c>
      <c r="Y686" s="107">
        <v>0.0</v>
      </c>
      <c r="Z686" s="80">
        <f t="shared" si="1"/>
        <v>0</v>
      </c>
      <c r="AA686" s="106">
        <v>0.0</v>
      </c>
      <c r="AB686" s="107">
        <v>0.0</v>
      </c>
      <c r="AC686" s="107">
        <v>0.0</v>
      </c>
      <c r="AD686" s="107">
        <v>0.0</v>
      </c>
      <c r="AE686" s="80">
        <f t="shared" si="2"/>
        <v>0</v>
      </c>
      <c r="AF686" s="140">
        <v>0.0</v>
      </c>
      <c r="AG686" s="109">
        <v>45.0</v>
      </c>
      <c r="AH686" s="109">
        <v>0.0</v>
      </c>
      <c r="AI686" s="141">
        <v>0.0</v>
      </c>
      <c r="AJ686" s="80">
        <f t="shared" si="3"/>
        <v>45</v>
      </c>
      <c r="AK686" s="140">
        <v>0.0</v>
      </c>
      <c r="AL686" s="109">
        <v>0.0</v>
      </c>
      <c r="AM686" s="141">
        <v>0.0</v>
      </c>
      <c r="AN686" s="80">
        <f t="shared" si="4"/>
        <v>0</v>
      </c>
      <c r="AO686" s="140">
        <v>0.0</v>
      </c>
      <c r="AP686" s="109">
        <v>0.0</v>
      </c>
      <c r="AQ686" s="109">
        <v>0.0</v>
      </c>
      <c r="AR686" s="80">
        <f t="shared" si="5"/>
        <v>0</v>
      </c>
      <c r="AS686" s="110">
        <v>0.0</v>
      </c>
      <c r="AT686" s="110">
        <v>0.0</v>
      </c>
      <c r="AU686" s="110">
        <v>0.0</v>
      </c>
      <c r="AV686" s="142">
        <v>0.0</v>
      </c>
      <c r="AW686" s="80">
        <f t="shared" si="6"/>
        <v>0</v>
      </c>
      <c r="AX686" s="113">
        <f t="shared" si="7"/>
        <v>45</v>
      </c>
      <c r="AY686" s="117">
        <f t="shared" si="8"/>
        <v>45</v>
      </c>
      <c r="AZ686" s="120">
        <f t="shared" si="9"/>
        <v>0</v>
      </c>
      <c r="BA686" s="115">
        <v>0.0</v>
      </c>
      <c r="BB686" s="89">
        <f t="shared" si="10"/>
        <v>45</v>
      </c>
      <c r="BC686" s="132" t="s">
        <v>373</v>
      </c>
      <c r="BD686" s="132" t="s">
        <v>178</v>
      </c>
      <c r="BE686" s="132" t="s">
        <v>178</v>
      </c>
      <c r="BF686" s="156"/>
      <c r="BG686" s="83">
        <v>1179086.0</v>
      </c>
      <c r="BH686" s="98"/>
      <c r="BI686" s="98">
        <v>2.0</v>
      </c>
      <c r="BJ686" s="98" t="s">
        <v>155</v>
      </c>
      <c r="BK686" s="99">
        <f t="shared" si="11"/>
        <v>0</v>
      </c>
      <c r="BL686" s="99">
        <f t="shared" si="12"/>
        <v>45</v>
      </c>
      <c r="BM686" s="99" t="str">
        <f>IFERROR(__xludf.DUMMYFUNCTION("IFERROR(VLOOKUP(BG686,IMPORTRANGE(""https://docs.google.com/spreadsheets/d/1juPI-Fb8LD0YtltB2mlGEnp_R3UVu1t3wSFPzgCyHXE/edit?gid=0#gid=0"",""GERAL!A2:C""),3,0),""-"")"),"CAMPO")</f>
        <v>CAMPO</v>
      </c>
    </row>
    <row r="687" ht="15.75" customHeight="1">
      <c r="A687" s="111" t="s">
        <v>796</v>
      </c>
      <c r="B687" s="83" t="s">
        <v>3238</v>
      </c>
      <c r="C687" s="83" t="s">
        <v>164</v>
      </c>
      <c r="D687" s="112">
        <v>1121520.0</v>
      </c>
      <c r="E687" s="83">
        <v>1179088.0</v>
      </c>
      <c r="F687" s="98">
        <v>2.9491495E7</v>
      </c>
      <c r="G687" s="184" t="s">
        <v>3272</v>
      </c>
      <c r="H687" s="91" t="s">
        <v>3273</v>
      </c>
      <c r="I687" s="83" t="s">
        <v>149</v>
      </c>
      <c r="J687" s="83" t="s">
        <v>3274</v>
      </c>
      <c r="K687" s="83" t="s">
        <v>168</v>
      </c>
      <c r="L687" s="83" t="s">
        <v>169</v>
      </c>
      <c r="M687" s="82" t="str">
        <f>IFERROR(__xludf.DUMMYFUNCTION("IFERROR(VLOOKUP(D687,
IMPORTRANGE(""https://docs.google.com/spreadsheets/d/1MjHtlUikwobi2MaWJgy7tfLeBmhj1u-dRFRs_8GwSoA/edit#gid=0"",""Gestores Escolares!D7:J""),3,0),""VERIFICAR CÓD SEC"")"),"ANTONIO JERIDELSON DIAS")</f>
        <v>ANTONIO JERIDELSON DIAS</v>
      </c>
      <c r="N687" s="82" t="str">
        <f>IFERROR(__xludf.DUMMYFUNCTION("IFERROR(VLOOKUP(D687,
IMPORTRANGE(""https://docs.google.com/spreadsheets/d/1MjHtlUikwobi2MaWJgy7tfLeBmhj1u-dRFRs_8GwSoA/edit#gid=0"",""Gestores Escolares!D7:J""),4,0),""VERIFICAR CÓD SEC"")"),"(74) 9 8848-8607/9 9933-7177")</f>
        <v>(74) 9 8848-8607/9 9933-7177</v>
      </c>
      <c r="O687" s="82" t="str">
        <f>IFERROR(__xludf.DUMMYFUNCTION("IFERROR(VLOOKUP(D687,
IMPORTRANGE(""https://docs.google.com/spreadsheets/d/1MjHtlUikwobi2MaWJgy7tfLeBmhj1u-dRFRs_8GwSoA/edit#gid=0"",""Gestores Escolares!D7:J""),6,0),""VERIFICAR CÓD SEC"")"),"MARIA GORETE DIAS DA SILVA")</f>
        <v>MARIA GORETE DIAS DA SILVA</v>
      </c>
      <c r="P687" s="82" t="str">
        <f>IFERROR(__xludf.DUMMYFUNCTION("IFERROR(VLOOKUP(D687,
IMPORTRANGE(""https://docs.google.com/spreadsheets/d/1MjHtlUikwobi2MaWJgy7tfLeBmhj1u-dRFRs_8GwSoA/edit#gid=0"",""Gestores Escolares!D7:J""),7,0),""VERIFICAR CÓD SEC"")"),"(74) 9 9954-8179")</f>
        <v>(74) 9 9954-8179</v>
      </c>
      <c r="Q687" s="82" t="str">
        <f>IFERROR(__xludf.DUMMYFUNCTION("IFERROR(VLOOKUP(D687,
IMPORTRANGE(""https://docs.google.com/spreadsheets/d/1MjHtlUikwobi2MaWJgy7tfLeBmhj1u-dRFRs_8GwSoA/edit#gid=0"",""Gestores Escolares!D7:m""),9,0),""VERIFICAR CÓD SEC"")"),"NEWTON JOSE DIAS")</f>
        <v>NEWTON JOSE DIAS</v>
      </c>
      <c r="R687" s="82" t="str">
        <f>IFERROR(__xludf.DUMMYFUNCTION("IFERROR(VLOOKUP(D687,
IMPORTRANGE(""https://docs.google.com/spreadsheets/d/1MjHtlUikwobi2MaWJgy7tfLeBmhj1u-dRFRs_8GwSoA/edit#gid=0"",""Gestores Escolares!D7:m""),10,0),""VERIFICAR CÓD SEC"")"),"(74) 9 8859-3898")</f>
        <v>(74) 9 8859-3898</v>
      </c>
      <c r="S687" s="82"/>
      <c r="T687" s="138">
        <v>3.0</v>
      </c>
      <c r="U687" s="139">
        <v>3.0</v>
      </c>
      <c r="V687" s="106">
        <v>0.0</v>
      </c>
      <c r="W687" s="107">
        <v>0.0</v>
      </c>
      <c r="X687" s="107">
        <v>0.0</v>
      </c>
      <c r="Y687" s="107">
        <v>0.0</v>
      </c>
      <c r="Z687" s="80">
        <f t="shared" si="1"/>
        <v>0</v>
      </c>
      <c r="AA687" s="106">
        <v>0.0</v>
      </c>
      <c r="AB687" s="107">
        <v>0.0</v>
      </c>
      <c r="AC687" s="107">
        <v>0.0</v>
      </c>
      <c r="AD687" s="107">
        <v>0.0</v>
      </c>
      <c r="AE687" s="80">
        <f t="shared" si="2"/>
        <v>0</v>
      </c>
      <c r="AF687" s="140">
        <v>0.0</v>
      </c>
      <c r="AG687" s="109">
        <v>47.0</v>
      </c>
      <c r="AH687" s="109">
        <v>0.0</v>
      </c>
      <c r="AI687" s="141">
        <v>0.0</v>
      </c>
      <c r="AJ687" s="80">
        <f t="shared" si="3"/>
        <v>47</v>
      </c>
      <c r="AK687" s="140">
        <v>0.0</v>
      </c>
      <c r="AL687" s="109">
        <v>0.0</v>
      </c>
      <c r="AM687" s="141">
        <v>0.0</v>
      </c>
      <c r="AN687" s="80">
        <f t="shared" si="4"/>
        <v>0</v>
      </c>
      <c r="AO687" s="140">
        <v>0.0</v>
      </c>
      <c r="AP687" s="109">
        <v>0.0</v>
      </c>
      <c r="AQ687" s="109">
        <v>0.0</v>
      </c>
      <c r="AR687" s="80">
        <f t="shared" si="5"/>
        <v>0</v>
      </c>
      <c r="AS687" s="110">
        <v>0.0</v>
      </c>
      <c r="AT687" s="110">
        <v>0.0</v>
      </c>
      <c r="AU687" s="110">
        <v>0.0</v>
      </c>
      <c r="AV687" s="142">
        <v>0.0</v>
      </c>
      <c r="AW687" s="80">
        <f t="shared" si="6"/>
        <v>0</v>
      </c>
      <c r="AX687" s="113">
        <f t="shared" si="7"/>
        <v>47</v>
      </c>
      <c r="AY687" s="117">
        <f t="shared" si="8"/>
        <v>47</v>
      </c>
      <c r="AZ687" s="120">
        <f t="shared" si="9"/>
        <v>0</v>
      </c>
      <c r="BA687" s="115">
        <v>0.0</v>
      </c>
      <c r="BB687" s="89">
        <f t="shared" si="10"/>
        <v>47</v>
      </c>
      <c r="BC687" s="132" t="s">
        <v>373</v>
      </c>
      <c r="BD687" s="132" t="s">
        <v>178</v>
      </c>
      <c r="BE687" s="132" t="s">
        <v>178</v>
      </c>
      <c r="BF687" s="156"/>
      <c r="BG687" s="83">
        <v>1179088.0</v>
      </c>
      <c r="BH687" s="112"/>
      <c r="BI687" s="112">
        <v>3.0</v>
      </c>
      <c r="BJ687" s="98" t="s">
        <v>155</v>
      </c>
      <c r="BK687" s="99">
        <f t="shared" si="11"/>
        <v>0</v>
      </c>
      <c r="BL687" s="99">
        <f t="shared" si="12"/>
        <v>47</v>
      </c>
      <c r="BM687" s="99" t="str">
        <f>IFERROR(__xludf.DUMMYFUNCTION("IFERROR(VLOOKUP(BG687,IMPORTRANGE(""https://docs.google.com/spreadsheets/d/1juPI-Fb8LD0YtltB2mlGEnp_R3UVu1t3wSFPzgCyHXE/edit?gid=0#gid=0"",""GERAL!A2:C""),3,0),""-"")"),"CAMPO")</f>
        <v>CAMPO</v>
      </c>
    </row>
    <row r="688" ht="15.75" customHeight="1">
      <c r="A688" s="111" t="s">
        <v>796</v>
      </c>
      <c r="B688" s="83" t="s">
        <v>3238</v>
      </c>
      <c r="C688" s="83" t="s">
        <v>164</v>
      </c>
      <c r="D688" s="112">
        <v>1121520.0</v>
      </c>
      <c r="E688" s="83">
        <v>1178678.0</v>
      </c>
      <c r="F688" s="98">
        <v>2.9491479E7</v>
      </c>
      <c r="G688" s="184" t="s">
        <v>3276</v>
      </c>
      <c r="H688" s="91" t="s">
        <v>3277</v>
      </c>
      <c r="I688" s="83" t="s">
        <v>149</v>
      </c>
      <c r="J688" s="83" t="s">
        <v>1745</v>
      </c>
      <c r="K688" s="83" t="s">
        <v>168</v>
      </c>
      <c r="L688" s="83" t="s">
        <v>169</v>
      </c>
      <c r="M688" s="82" t="str">
        <f>IFERROR(__xludf.DUMMYFUNCTION("IFERROR(VLOOKUP(D688,
IMPORTRANGE(""https://docs.google.com/spreadsheets/d/1MjHtlUikwobi2MaWJgy7tfLeBmhj1u-dRFRs_8GwSoA/edit#gid=0"",""Gestores Escolares!D7:J""),3,0),""VERIFICAR CÓD SEC"")"),"ANTONIO JERIDELSON DIAS")</f>
        <v>ANTONIO JERIDELSON DIAS</v>
      </c>
      <c r="N688" s="82" t="str">
        <f>IFERROR(__xludf.DUMMYFUNCTION("IFERROR(VLOOKUP(D688,
IMPORTRANGE(""https://docs.google.com/spreadsheets/d/1MjHtlUikwobi2MaWJgy7tfLeBmhj1u-dRFRs_8GwSoA/edit#gid=0"",""Gestores Escolares!D7:J""),4,0),""VERIFICAR CÓD SEC"")"),"(74) 9 8848-8607/9 9933-7177")</f>
        <v>(74) 9 8848-8607/9 9933-7177</v>
      </c>
      <c r="O688" s="82" t="str">
        <f>IFERROR(__xludf.DUMMYFUNCTION("IFERROR(VLOOKUP(D688,
IMPORTRANGE(""https://docs.google.com/spreadsheets/d/1MjHtlUikwobi2MaWJgy7tfLeBmhj1u-dRFRs_8GwSoA/edit#gid=0"",""Gestores Escolares!D7:J""),6,0),""VERIFICAR CÓD SEC"")"),"MARIA GORETE DIAS DA SILVA")</f>
        <v>MARIA GORETE DIAS DA SILVA</v>
      </c>
      <c r="P688" s="82" t="str">
        <f>IFERROR(__xludf.DUMMYFUNCTION("IFERROR(VLOOKUP(D688,
IMPORTRANGE(""https://docs.google.com/spreadsheets/d/1MjHtlUikwobi2MaWJgy7tfLeBmhj1u-dRFRs_8GwSoA/edit#gid=0"",""Gestores Escolares!D7:J""),7,0),""VERIFICAR CÓD SEC"")"),"(74) 9 9954-8179")</f>
        <v>(74) 9 9954-8179</v>
      </c>
      <c r="Q688" s="82" t="str">
        <f>IFERROR(__xludf.DUMMYFUNCTION("IFERROR(VLOOKUP(D688,
IMPORTRANGE(""https://docs.google.com/spreadsheets/d/1MjHtlUikwobi2MaWJgy7tfLeBmhj1u-dRFRs_8GwSoA/edit#gid=0"",""Gestores Escolares!D7:m""),9,0),""VERIFICAR CÓD SEC"")"),"NEWTON JOSE DIAS")</f>
        <v>NEWTON JOSE DIAS</v>
      </c>
      <c r="R688" s="82" t="str">
        <f>IFERROR(__xludf.DUMMYFUNCTION("IFERROR(VLOOKUP(D688,
IMPORTRANGE(""https://docs.google.com/spreadsheets/d/1MjHtlUikwobi2MaWJgy7tfLeBmhj1u-dRFRs_8GwSoA/edit#gid=0"",""Gestores Escolares!D7:m""),10,0),""VERIFICAR CÓD SEC"")"),"(74) 9 8859-3898")</f>
        <v>(74) 9 8859-3898</v>
      </c>
      <c r="S688" s="82"/>
      <c r="T688" s="138">
        <v>3.0</v>
      </c>
      <c r="U688" s="139">
        <v>3.0</v>
      </c>
      <c r="V688" s="106">
        <v>0.0</v>
      </c>
      <c r="W688" s="107">
        <v>0.0</v>
      </c>
      <c r="X688" s="107">
        <v>0.0</v>
      </c>
      <c r="Y688" s="107">
        <v>0.0</v>
      </c>
      <c r="Z688" s="80">
        <f t="shared" si="1"/>
        <v>0</v>
      </c>
      <c r="AA688" s="106">
        <v>0.0</v>
      </c>
      <c r="AB688" s="107">
        <v>0.0</v>
      </c>
      <c r="AC688" s="107">
        <v>0.0</v>
      </c>
      <c r="AD688" s="107">
        <v>0.0</v>
      </c>
      <c r="AE688" s="80">
        <f t="shared" si="2"/>
        <v>0</v>
      </c>
      <c r="AF688" s="140">
        <v>0.0</v>
      </c>
      <c r="AG688" s="109">
        <v>26.0</v>
      </c>
      <c r="AH688" s="109">
        <v>0.0</v>
      </c>
      <c r="AI688" s="141">
        <v>0.0</v>
      </c>
      <c r="AJ688" s="80">
        <f t="shared" si="3"/>
        <v>26</v>
      </c>
      <c r="AK688" s="140">
        <v>0.0</v>
      </c>
      <c r="AL688" s="109">
        <v>0.0</v>
      </c>
      <c r="AM688" s="141">
        <v>0.0</v>
      </c>
      <c r="AN688" s="80">
        <f t="shared" si="4"/>
        <v>0</v>
      </c>
      <c r="AO688" s="140">
        <v>0.0</v>
      </c>
      <c r="AP688" s="109">
        <v>0.0</v>
      </c>
      <c r="AQ688" s="109">
        <v>0.0</v>
      </c>
      <c r="AR688" s="80">
        <f t="shared" si="5"/>
        <v>0</v>
      </c>
      <c r="AS688" s="110">
        <v>0.0</v>
      </c>
      <c r="AT688" s="110">
        <v>0.0</v>
      </c>
      <c r="AU688" s="110">
        <v>0.0</v>
      </c>
      <c r="AV688" s="142">
        <v>0.0</v>
      </c>
      <c r="AW688" s="80">
        <f t="shared" si="6"/>
        <v>0</v>
      </c>
      <c r="AX688" s="113">
        <f t="shared" si="7"/>
        <v>26</v>
      </c>
      <c r="AY688" s="117">
        <f t="shared" si="8"/>
        <v>26</v>
      </c>
      <c r="AZ688" s="120">
        <f t="shared" si="9"/>
        <v>0</v>
      </c>
      <c r="BA688" s="115">
        <v>0.0</v>
      </c>
      <c r="BB688" s="89">
        <f t="shared" si="10"/>
        <v>26</v>
      </c>
      <c r="BC688" s="132" t="s">
        <v>373</v>
      </c>
      <c r="BD688" s="132" t="s">
        <v>178</v>
      </c>
      <c r="BE688" s="132" t="s">
        <v>178</v>
      </c>
      <c r="BF688" s="123"/>
      <c r="BG688" s="83">
        <v>1178678.0</v>
      </c>
      <c r="BH688" s="112"/>
      <c r="BI688" s="112">
        <v>3.0</v>
      </c>
      <c r="BJ688" s="98" t="s">
        <v>155</v>
      </c>
      <c r="BK688" s="99">
        <f t="shared" si="11"/>
        <v>0</v>
      </c>
      <c r="BL688" s="99">
        <f t="shared" si="12"/>
        <v>26</v>
      </c>
      <c r="BM688" s="99" t="str">
        <f>IFERROR(__xludf.DUMMYFUNCTION("IFERROR(VLOOKUP(BG688,IMPORTRANGE(""https://docs.google.com/spreadsheets/d/1juPI-Fb8LD0YtltB2mlGEnp_R3UVu1t3wSFPzgCyHXE/edit?gid=0#gid=0"",""GERAL!A2:C""),3,0),""-"")"),"CAMPO")</f>
        <v>CAMPO</v>
      </c>
    </row>
    <row r="689" ht="15.75" customHeight="1">
      <c r="A689" s="111" t="s">
        <v>796</v>
      </c>
      <c r="B689" s="83" t="s">
        <v>3238</v>
      </c>
      <c r="C689" s="83" t="s">
        <v>164</v>
      </c>
      <c r="D689" s="112">
        <v>1121520.0</v>
      </c>
      <c r="E689" s="83">
        <v>1178677.0</v>
      </c>
      <c r="F689" s="98">
        <v>2.949146E7</v>
      </c>
      <c r="G689" s="184" t="s">
        <v>3278</v>
      </c>
      <c r="H689" s="91" t="s">
        <v>3279</v>
      </c>
      <c r="I689" s="83" t="s">
        <v>149</v>
      </c>
      <c r="J689" s="83" t="s">
        <v>694</v>
      </c>
      <c r="K689" s="83" t="s">
        <v>168</v>
      </c>
      <c r="L689" s="83" t="s">
        <v>169</v>
      </c>
      <c r="M689" s="82" t="str">
        <f>IFERROR(__xludf.DUMMYFUNCTION("IFERROR(VLOOKUP(D689,
IMPORTRANGE(""https://docs.google.com/spreadsheets/d/1MjHtlUikwobi2MaWJgy7tfLeBmhj1u-dRFRs_8GwSoA/edit#gid=0"",""Gestores Escolares!D7:J""),3,0),""VERIFICAR CÓD SEC"")"),"ANTONIO JERIDELSON DIAS")</f>
        <v>ANTONIO JERIDELSON DIAS</v>
      </c>
      <c r="N689" s="82" t="str">
        <f>IFERROR(__xludf.DUMMYFUNCTION("IFERROR(VLOOKUP(D689,
IMPORTRANGE(""https://docs.google.com/spreadsheets/d/1MjHtlUikwobi2MaWJgy7tfLeBmhj1u-dRFRs_8GwSoA/edit#gid=0"",""Gestores Escolares!D7:J""),4,0),""VERIFICAR CÓD SEC"")"),"(74) 9 8848-8607/9 9933-7177")</f>
        <v>(74) 9 8848-8607/9 9933-7177</v>
      </c>
      <c r="O689" s="82" t="str">
        <f>IFERROR(__xludf.DUMMYFUNCTION("IFERROR(VLOOKUP(D689,
IMPORTRANGE(""https://docs.google.com/spreadsheets/d/1MjHtlUikwobi2MaWJgy7tfLeBmhj1u-dRFRs_8GwSoA/edit#gid=0"",""Gestores Escolares!D7:J""),6,0),""VERIFICAR CÓD SEC"")"),"MARIA GORETE DIAS DA SILVA")</f>
        <v>MARIA GORETE DIAS DA SILVA</v>
      </c>
      <c r="P689" s="82" t="str">
        <f>IFERROR(__xludf.DUMMYFUNCTION("IFERROR(VLOOKUP(D689,
IMPORTRANGE(""https://docs.google.com/spreadsheets/d/1MjHtlUikwobi2MaWJgy7tfLeBmhj1u-dRFRs_8GwSoA/edit#gid=0"",""Gestores Escolares!D7:J""),7,0),""VERIFICAR CÓD SEC"")"),"(74) 9 9954-8179")</f>
        <v>(74) 9 9954-8179</v>
      </c>
      <c r="Q689" s="82" t="str">
        <f>IFERROR(__xludf.DUMMYFUNCTION("IFERROR(VLOOKUP(D689,
IMPORTRANGE(""https://docs.google.com/spreadsheets/d/1MjHtlUikwobi2MaWJgy7tfLeBmhj1u-dRFRs_8GwSoA/edit#gid=0"",""Gestores Escolares!D7:m""),9,0),""VERIFICAR CÓD SEC"")"),"NEWTON JOSE DIAS")</f>
        <v>NEWTON JOSE DIAS</v>
      </c>
      <c r="R689" s="82" t="str">
        <f>IFERROR(__xludf.DUMMYFUNCTION("IFERROR(VLOOKUP(D689,
IMPORTRANGE(""https://docs.google.com/spreadsheets/d/1MjHtlUikwobi2MaWJgy7tfLeBmhj1u-dRFRs_8GwSoA/edit#gid=0"",""Gestores Escolares!D7:m""),10,0),""VERIFICAR CÓD SEC"")"),"(74) 9 8859-3898")</f>
        <v>(74) 9 8859-3898</v>
      </c>
      <c r="S689" s="82"/>
      <c r="T689" s="138">
        <v>4.0</v>
      </c>
      <c r="U689" s="145">
        <v>4.0</v>
      </c>
      <c r="V689" s="106">
        <v>0.0</v>
      </c>
      <c r="W689" s="107">
        <v>0.0</v>
      </c>
      <c r="X689" s="107">
        <v>0.0</v>
      </c>
      <c r="Y689" s="107">
        <v>0.0</v>
      </c>
      <c r="Z689" s="80">
        <f t="shared" si="1"/>
        <v>0</v>
      </c>
      <c r="AA689" s="106">
        <v>0.0</v>
      </c>
      <c r="AB689" s="107">
        <v>0.0</v>
      </c>
      <c r="AC689" s="107">
        <v>0.0</v>
      </c>
      <c r="AD689" s="107">
        <v>0.0</v>
      </c>
      <c r="AE689" s="80">
        <f t="shared" si="2"/>
        <v>0</v>
      </c>
      <c r="AF689" s="140">
        <v>0.0</v>
      </c>
      <c r="AG689" s="109">
        <v>76.0</v>
      </c>
      <c r="AH689" s="109">
        <v>0.0</v>
      </c>
      <c r="AI689" s="141">
        <v>0.0</v>
      </c>
      <c r="AJ689" s="80">
        <f t="shared" si="3"/>
        <v>76</v>
      </c>
      <c r="AK689" s="140">
        <v>0.0</v>
      </c>
      <c r="AL689" s="109">
        <v>0.0</v>
      </c>
      <c r="AM689" s="141">
        <v>0.0</v>
      </c>
      <c r="AN689" s="80">
        <f t="shared" si="4"/>
        <v>0</v>
      </c>
      <c r="AO689" s="140">
        <v>0.0</v>
      </c>
      <c r="AP689" s="109">
        <v>0.0</v>
      </c>
      <c r="AQ689" s="109">
        <v>0.0</v>
      </c>
      <c r="AR689" s="80">
        <f t="shared" si="5"/>
        <v>0</v>
      </c>
      <c r="AS689" s="110">
        <v>0.0</v>
      </c>
      <c r="AT689" s="110">
        <v>0.0</v>
      </c>
      <c r="AU689" s="110">
        <v>0.0</v>
      </c>
      <c r="AV689" s="142">
        <v>0.0</v>
      </c>
      <c r="AW689" s="80">
        <f t="shared" si="6"/>
        <v>0</v>
      </c>
      <c r="AX689" s="113">
        <f t="shared" si="7"/>
        <v>76</v>
      </c>
      <c r="AY689" s="117">
        <f t="shared" si="8"/>
        <v>76</v>
      </c>
      <c r="AZ689" s="120">
        <f t="shared" si="9"/>
        <v>0</v>
      </c>
      <c r="BA689" s="115">
        <v>0.0</v>
      </c>
      <c r="BB689" s="89">
        <f t="shared" si="10"/>
        <v>76</v>
      </c>
      <c r="BC689" s="132" t="s">
        <v>373</v>
      </c>
      <c r="BD689" s="132" t="s">
        <v>178</v>
      </c>
      <c r="BE689" s="132" t="s">
        <v>178</v>
      </c>
      <c r="BF689" s="123"/>
      <c r="BG689" s="83">
        <v>1178677.0</v>
      </c>
      <c r="BH689" s="112"/>
      <c r="BI689" s="112">
        <v>3.0</v>
      </c>
      <c r="BJ689" s="98" t="s">
        <v>155</v>
      </c>
      <c r="BK689" s="99">
        <f t="shared" si="11"/>
        <v>0</v>
      </c>
      <c r="BL689" s="99">
        <f t="shared" si="12"/>
        <v>76</v>
      </c>
      <c r="BM689" s="99" t="str">
        <f>IFERROR(__xludf.DUMMYFUNCTION("IFERROR(VLOOKUP(BG689,IMPORTRANGE(""https://docs.google.com/spreadsheets/d/1juPI-Fb8LD0YtltB2mlGEnp_R3UVu1t3wSFPzgCyHXE/edit?gid=0#gid=0"",""GERAL!A2:C""),3,0),""-"")"),"CAMPO")</f>
        <v>CAMPO</v>
      </c>
    </row>
    <row r="690" ht="15.75" customHeight="1">
      <c r="A690" s="111" t="s">
        <v>796</v>
      </c>
      <c r="B690" s="83" t="s">
        <v>3238</v>
      </c>
      <c r="C690" s="83" t="s">
        <v>164</v>
      </c>
      <c r="D690" s="112">
        <v>1121520.0</v>
      </c>
      <c r="E690" s="83">
        <v>1178680.0</v>
      </c>
      <c r="F690" s="98">
        <v>2.9491444E7</v>
      </c>
      <c r="G690" s="184" t="s">
        <v>3289</v>
      </c>
      <c r="H690" s="91" t="s">
        <v>3290</v>
      </c>
      <c r="I690" s="83" t="s">
        <v>3291</v>
      </c>
      <c r="J690" s="83" t="s">
        <v>3292</v>
      </c>
      <c r="K690" s="83" t="s">
        <v>168</v>
      </c>
      <c r="L690" s="83" t="s">
        <v>169</v>
      </c>
      <c r="M690" s="82" t="str">
        <f>IFERROR(__xludf.DUMMYFUNCTION("IFERROR(VLOOKUP(D690,
IMPORTRANGE(""https://docs.google.com/spreadsheets/d/1MjHtlUikwobi2MaWJgy7tfLeBmhj1u-dRFRs_8GwSoA/edit#gid=0"",""Gestores Escolares!D7:J""),3,0),""VERIFICAR CÓD SEC"")"),"ANTONIO JERIDELSON DIAS")</f>
        <v>ANTONIO JERIDELSON DIAS</v>
      </c>
      <c r="N690" s="82" t="str">
        <f>IFERROR(__xludf.DUMMYFUNCTION("IFERROR(VLOOKUP(D690,
IMPORTRANGE(""https://docs.google.com/spreadsheets/d/1MjHtlUikwobi2MaWJgy7tfLeBmhj1u-dRFRs_8GwSoA/edit#gid=0"",""Gestores Escolares!D7:J""),4,0),""VERIFICAR CÓD SEC"")"),"(74) 9 8848-8607/9 9933-7177")</f>
        <v>(74) 9 8848-8607/9 9933-7177</v>
      </c>
      <c r="O690" s="82" t="str">
        <f>IFERROR(__xludf.DUMMYFUNCTION("IFERROR(VLOOKUP(D690,
IMPORTRANGE(""https://docs.google.com/spreadsheets/d/1MjHtlUikwobi2MaWJgy7tfLeBmhj1u-dRFRs_8GwSoA/edit#gid=0"",""Gestores Escolares!D7:J""),6,0),""VERIFICAR CÓD SEC"")"),"MARIA GORETE DIAS DA SILVA")</f>
        <v>MARIA GORETE DIAS DA SILVA</v>
      </c>
      <c r="P690" s="82" t="str">
        <f>IFERROR(__xludf.DUMMYFUNCTION("IFERROR(VLOOKUP(D690,
IMPORTRANGE(""https://docs.google.com/spreadsheets/d/1MjHtlUikwobi2MaWJgy7tfLeBmhj1u-dRFRs_8GwSoA/edit#gid=0"",""Gestores Escolares!D7:J""),7,0),""VERIFICAR CÓD SEC"")"),"(74) 9 9954-8179")</f>
        <v>(74) 9 9954-8179</v>
      </c>
      <c r="Q690" s="82" t="str">
        <f>IFERROR(__xludf.DUMMYFUNCTION("IFERROR(VLOOKUP(D690,
IMPORTRANGE(""https://docs.google.com/spreadsheets/d/1MjHtlUikwobi2MaWJgy7tfLeBmhj1u-dRFRs_8GwSoA/edit#gid=0"",""Gestores Escolares!D7:m""),9,0),""VERIFICAR CÓD SEC"")"),"NEWTON JOSE DIAS")</f>
        <v>NEWTON JOSE DIAS</v>
      </c>
      <c r="R690" s="82" t="str">
        <f>IFERROR(__xludf.DUMMYFUNCTION("IFERROR(VLOOKUP(D690,
IMPORTRANGE(""https://docs.google.com/spreadsheets/d/1MjHtlUikwobi2MaWJgy7tfLeBmhj1u-dRFRs_8GwSoA/edit#gid=0"",""Gestores Escolares!D7:m""),10,0),""VERIFICAR CÓD SEC"")"),"(74) 9 8859-3898")</f>
        <v>(74) 9 8859-3898</v>
      </c>
      <c r="S690" s="82"/>
      <c r="T690" s="138">
        <v>3.0</v>
      </c>
      <c r="U690" s="145">
        <v>3.0</v>
      </c>
      <c r="V690" s="106">
        <v>0.0</v>
      </c>
      <c r="W690" s="107">
        <v>0.0</v>
      </c>
      <c r="X690" s="107">
        <v>0.0</v>
      </c>
      <c r="Y690" s="107">
        <v>0.0</v>
      </c>
      <c r="Z690" s="80">
        <f t="shared" si="1"/>
        <v>0</v>
      </c>
      <c r="AA690" s="106">
        <v>0.0</v>
      </c>
      <c r="AB690" s="107">
        <v>0.0</v>
      </c>
      <c r="AC690" s="107">
        <v>0.0</v>
      </c>
      <c r="AD690" s="107">
        <v>0.0</v>
      </c>
      <c r="AE690" s="80">
        <f t="shared" si="2"/>
        <v>0</v>
      </c>
      <c r="AF690" s="140">
        <v>0.0</v>
      </c>
      <c r="AG690" s="109">
        <v>0.0</v>
      </c>
      <c r="AH690" s="109">
        <v>0.0</v>
      </c>
      <c r="AI690" s="141">
        <v>0.0</v>
      </c>
      <c r="AJ690" s="80">
        <f t="shared" si="3"/>
        <v>0</v>
      </c>
      <c r="AK690" s="140">
        <v>0.0</v>
      </c>
      <c r="AL690" s="109">
        <v>0.0</v>
      </c>
      <c r="AM690" s="141">
        <v>0.0</v>
      </c>
      <c r="AN690" s="80">
        <f t="shared" si="4"/>
        <v>0</v>
      </c>
      <c r="AO690" s="140">
        <v>0.0</v>
      </c>
      <c r="AP690" s="109">
        <v>0.0</v>
      </c>
      <c r="AQ690" s="109">
        <v>20.0</v>
      </c>
      <c r="AR690" s="80">
        <f t="shared" si="5"/>
        <v>20</v>
      </c>
      <c r="AS690" s="110">
        <v>0.0</v>
      </c>
      <c r="AT690" s="110">
        <v>0.0</v>
      </c>
      <c r="AU690" s="110">
        <v>0.0</v>
      </c>
      <c r="AV690" s="142">
        <v>0.0</v>
      </c>
      <c r="AW690" s="80">
        <f t="shared" si="6"/>
        <v>0</v>
      </c>
      <c r="AX690" s="113">
        <f t="shared" si="7"/>
        <v>20</v>
      </c>
      <c r="AY690" s="117">
        <f t="shared" si="8"/>
        <v>0</v>
      </c>
      <c r="AZ690" s="120">
        <f t="shared" si="9"/>
        <v>20</v>
      </c>
      <c r="BA690" s="115">
        <v>0.0</v>
      </c>
      <c r="BB690" s="89">
        <f t="shared" si="10"/>
        <v>20</v>
      </c>
      <c r="BC690" s="132" t="s">
        <v>373</v>
      </c>
      <c r="BD690" s="132" t="s">
        <v>178</v>
      </c>
      <c r="BE690" s="132" t="s">
        <v>178</v>
      </c>
      <c r="BF690" s="123"/>
      <c r="BG690" s="83">
        <v>1178680.0</v>
      </c>
      <c r="BH690" s="98"/>
      <c r="BI690" s="98">
        <v>2.0</v>
      </c>
      <c r="BJ690" s="98" t="s">
        <v>155</v>
      </c>
      <c r="BK690" s="99">
        <f t="shared" si="11"/>
        <v>0</v>
      </c>
      <c r="BL690" s="99">
        <f t="shared" si="12"/>
        <v>0</v>
      </c>
      <c r="BM690" s="99" t="str">
        <f>IFERROR(__xludf.DUMMYFUNCTION("IFERROR(VLOOKUP(BG690,IMPORTRANGE(""https://docs.google.com/spreadsheets/d/1juPI-Fb8LD0YtltB2mlGEnp_R3UVu1t3wSFPzgCyHXE/edit?gid=0#gid=0"",""GERAL!A2:C""),3,0),""-"")"),"CAMPO")</f>
        <v>CAMPO</v>
      </c>
    </row>
    <row r="691" ht="15.75" customHeight="1">
      <c r="A691" s="111" t="s">
        <v>796</v>
      </c>
      <c r="B691" s="83" t="s">
        <v>3238</v>
      </c>
      <c r="C691" s="83" t="s">
        <v>164</v>
      </c>
      <c r="D691" s="112">
        <v>1121520.0</v>
      </c>
      <c r="E691" s="83">
        <v>1178679.0</v>
      </c>
      <c r="F691" s="98">
        <v>2.9491428E7</v>
      </c>
      <c r="G691" s="184" t="s">
        <v>3293</v>
      </c>
      <c r="H691" s="91" t="s">
        <v>3294</v>
      </c>
      <c r="I691" s="83" t="s">
        <v>3295</v>
      </c>
      <c r="J691" s="83" t="s">
        <v>3296</v>
      </c>
      <c r="K691" s="83" t="s">
        <v>168</v>
      </c>
      <c r="L691" s="83" t="s">
        <v>169</v>
      </c>
      <c r="M691" s="82" t="str">
        <f>IFERROR(__xludf.DUMMYFUNCTION("IFERROR(VLOOKUP(D691,
IMPORTRANGE(""https://docs.google.com/spreadsheets/d/1MjHtlUikwobi2MaWJgy7tfLeBmhj1u-dRFRs_8GwSoA/edit#gid=0"",""Gestores Escolares!D7:J""),3,0),""VERIFICAR CÓD SEC"")"),"ANTONIO JERIDELSON DIAS")</f>
        <v>ANTONIO JERIDELSON DIAS</v>
      </c>
      <c r="N691" s="82" t="str">
        <f>IFERROR(__xludf.DUMMYFUNCTION("IFERROR(VLOOKUP(D691,
IMPORTRANGE(""https://docs.google.com/spreadsheets/d/1MjHtlUikwobi2MaWJgy7tfLeBmhj1u-dRFRs_8GwSoA/edit#gid=0"",""Gestores Escolares!D7:J""),4,0),""VERIFICAR CÓD SEC"")"),"(74) 9 8848-8607/9 9933-7177")</f>
        <v>(74) 9 8848-8607/9 9933-7177</v>
      </c>
      <c r="O691" s="82" t="str">
        <f>IFERROR(__xludf.DUMMYFUNCTION("IFERROR(VLOOKUP(D691,
IMPORTRANGE(""https://docs.google.com/spreadsheets/d/1MjHtlUikwobi2MaWJgy7tfLeBmhj1u-dRFRs_8GwSoA/edit#gid=0"",""Gestores Escolares!D7:J""),6,0),""VERIFICAR CÓD SEC"")"),"MARIA GORETE DIAS DA SILVA")</f>
        <v>MARIA GORETE DIAS DA SILVA</v>
      </c>
      <c r="P691" s="82" t="str">
        <f>IFERROR(__xludf.DUMMYFUNCTION("IFERROR(VLOOKUP(D691,
IMPORTRANGE(""https://docs.google.com/spreadsheets/d/1MjHtlUikwobi2MaWJgy7tfLeBmhj1u-dRFRs_8GwSoA/edit#gid=0"",""Gestores Escolares!D7:J""),7,0),""VERIFICAR CÓD SEC"")"),"(74) 9 9954-8179")</f>
        <v>(74) 9 9954-8179</v>
      </c>
      <c r="Q691" s="82" t="str">
        <f>IFERROR(__xludf.DUMMYFUNCTION("IFERROR(VLOOKUP(D691,
IMPORTRANGE(""https://docs.google.com/spreadsheets/d/1MjHtlUikwobi2MaWJgy7tfLeBmhj1u-dRFRs_8GwSoA/edit#gid=0"",""Gestores Escolares!D7:m""),9,0),""VERIFICAR CÓD SEC"")"),"NEWTON JOSE DIAS")</f>
        <v>NEWTON JOSE DIAS</v>
      </c>
      <c r="R691" s="82" t="str">
        <f>IFERROR(__xludf.DUMMYFUNCTION("IFERROR(VLOOKUP(D691,
IMPORTRANGE(""https://docs.google.com/spreadsheets/d/1MjHtlUikwobi2MaWJgy7tfLeBmhj1u-dRFRs_8GwSoA/edit#gid=0"",""Gestores Escolares!D7:m""),10,0),""VERIFICAR CÓD SEC"")"),"(74) 9 8859-3898")</f>
        <v>(74) 9 8859-3898</v>
      </c>
      <c r="S691" s="82"/>
      <c r="T691" s="138">
        <v>3.0</v>
      </c>
      <c r="U691" s="139">
        <v>3.0</v>
      </c>
      <c r="V691" s="106">
        <v>0.0</v>
      </c>
      <c r="W691" s="107">
        <v>0.0</v>
      </c>
      <c r="X691" s="107">
        <v>0.0</v>
      </c>
      <c r="Y691" s="107">
        <v>0.0</v>
      </c>
      <c r="Z691" s="80">
        <f t="shared" si="1"/>
        <v>0</v>
      </c>
      <c r="AA691" s="106">
        <v>0.0</v>
      </c>
      <c r="AB691" s="107">
        <v>0.0</v>
      </c>
      <c r="AC691" s="107">
        <v>0.0</v>
      </c>
      <c r="AD691" s="107">
        <v>0.0</v>
      </c>
      <c r="AE691" s="80">
        <f t="shared" si="2"/>
        <v>0</v>
      </c>
      <c r="AF691" s="140">
        <v>0.0</v>
      </c>
      <c r="AG691" s="109">
        <v>34.0</v>
      </c>
      <c r="AH691" s="109">
        <v>0.0</v>
      </c>
      <c r="AI691" s="141">
        <v>0.0</v>
      </c>
      <c r="AJ691" s="80">
        <f t="shared" si="3"/>
        <v>34</v>
      </c>
      <c r="AK691" s="140">
        <v>0.0</v>
      </c>
      <c r="AL691" s="109">
        <v>0.0</v>
      </c>
      <c r="AM691" s="141">
        <v>0.0</v>
      </c>
      <c r="AN691" s="80">
        <f t="shared" si="4"/>
        <v>0</v>
      </c>
      <c r="AO691" s="140">
        <v>0.0</v>
      </c>
      <c r="AP691" s="109">
        <v>0.0</v>
      </c>
      <c r="AQ691" s="109">
        <v>2.0</v>
      </c>
      <c r="AR691" s="80">
        <f t="shared" si="5"/>
        <v>2</v>
      </c>
      <c r="AS691" s="110">
        <v>0.0</v>
      </c>
      <c r="AT691" s="110">
        <v>0.0</v>
      </c>
      <c r="AU691" s="110">
        <v>0.0</v>
      </c>
      <c r="AV691" s="142">
        <v>0.0</v>
      </c>
      <c r="AW691" s="80">
        <f t="shared" si="6"/>
        <v>0</v>
      </c>
      <c r="AX691" s="113">
        <f t="shared" si="7"/>
        <v>36</v>
      </c>
      <c r="AY691" s="117">
        <f t="shared" si="8"/>
        <v>34</v>
      </c>
      <c r="AZ691" s="120">
        <f t="shared" si="9"/>
        <v>2</v>
      </c>
      <c r="BA691" s="115">
        <v>0.0</v>
      </c>
      <c r="BB691" s="89">
        <f t="shared" si="10"/>
        <v>36</v>
      </c>
      <c r="BC691" s="132" t="s">
        <v>373</v>
      </c>
      <c r="BD691" s="132" t="s">
        <v>178</v>
      </c>
      <c r="BE691" s="132" t="s">
        <v>178</v>
      </c>
      <c r="BF691" s="123"/>
      <c r="BG691" s="83">
        <v>1178679.0</v>
      </c>
      <c r="BH691" s="112"/>
      <c r="BI691" s="112">
        <v>3.0</v>
      </c>
      <c r="BJ691" s="98" t="s">
        <v>155</v>
      </c>
      <c r="BK691" s="99">
        <f t="shared" si="11"/>
        <v>0</v>
      </c>
      <c r="BL691" s="99">
        <f t="shared" si="12"/>
        <v>34</v>
      </c>
      <c r="BM691" s="99" t="str">
        <f>IFERROR(__xludf.DUMMYFUNCTION("IFERROR(VLOOKUP(BG691,IMPORTRANGE(""https://docs.google.com/spreadsheets/d/1juPI-Fb8LD0YtltB2mlGEnp_R3UVu1t3wSFPzgCyHXE/edit?gid=0#gid=0"",""GERAL!A2:C""),3,0),""-"")"),"CAMPO")</f>
        <v>CAMPO</v>
      </c>
    </row>
    <row r="692" ht="15.75" customHeight="1">
      <c r="A692" s="111" t="s">
        <v>796</v>
      </c>
      <c r="B692" s="83" t="s">
        <v>3238</v>
      </c>
      <c r="C692" s="83" t="s">
        <v>164</v>
      </c>
      <c r="D692" s="112">
        <v>1121520.0</v>
      </c>
      <c r="E692" s="83">
        <v>1178676.0</v>
      </c>
      <c r="F692" s="98">
        <v>2.9491436E7</v>
      </c>
      <c r="G692" s="184" t="s">
        <v>3298</v>
      </c>
      <c r="H692" s="91" t="s">
        <v>3299</v>
      </c>
      <c r="I692" s="83" t="s">
        <v>3300</v>
      </c>
      <c r="J692" s="83" t="s">
        <v>3301</v>
      </c>
      <c r="K692" s="83" t="s">
        <v>151</v>
      </c>
      <c r="L692" s="83" t="s">
        <v>169</v>
      </c>
      <c r="M692" s="82" t="str">
        <f>IFERROR(__xludf.DUMMYFUNCTION("IFERROR(VLOOKUP(D692,
IMPORTRANGE(""https://docs.google.com/spreadsheets/d/1MjHtlUikwobi2MaWJgy7tfLeBmhj1u-dRFRs_8GwSoA/edit#gid=0"",""Gestores Escolares!D7:J""),3,0),""VERIFICAR CÓD SEC"")"),"ANTONIO JERIDELSON DIAS")</f>
        <v>ANTONIO JERIDELSON DIAS</v>
      </c>
      <c r="N692" s="82" t="str">
        <f>IFERROR(__xludf.DUMMYFUNCTION("IFERROR(VLOOKUP(D692,
IMPORTRANGE(""https://docs.google.com/spreadsheets/d/1MjHtlUikwobi2MaWJgy7tfLeBmhj1u-dRFRs_8GwSoA/edit#gid=0"",""Gestores Escolares!D7:J""),4,0),""VERIFICAR CÓD SEC"")"),"(74) 9 8848-8607/9 9933-7177")</f>
        <v>(74) 9 8848-8607/9 9933-7177</v>
      </c>
      <c r="O692" s="82" t="str">
        <f>IFERROR(__xludf.DUMMYFUNCTION("IFERROR(VLOOKUP(D692,
IMPORTRANGE(""https://docs.google.com/spreadsheets/d/1MjHtlUikwobi2MaWJgy7tfLeBmhj1u-dRFRs_8GwSoA/edit#gid=0"",""Gestores Escolares!D7:J""),6,0),""VERIFICAR CÓD SEC"")"),"MARIA GORETE DIAS DA SILVA")</f>
        <v>MARIA GORETE DIAS DA SILVA</v>
      </c>
      <c r="P692" s="82" t="str">
        <f>IFERROR(__xludf.DUMMYFUNCTION("IFERROR(VLOOKUP(D692,
IMPORTRANGE(""https://docs.google.com/spreadsheets/d/1MjHtlUikwobi2MaWJgy7tfLeBmhj1u-dRFRs_8GwSoA/edit#gid=0"",""Gestores Escolares!D7:J""),7,0),""VERIFICAR CÓD SEC"")"),"(74) 9 9954-8179")</f>
        <v>(74) 9 9954-8179</v>
      </c>
      <c r="Q692" s="82" t="str">
        <f>IFERROR(__xludf.DUMMYFUNCTION("IFERROR(VLOOKUP(D692,
IMPORTRANGE(""https://docs.google.com/spreadsheets/d/1MjHtlUikwobi2MaWJgy7tfLeBmhj1u-dRFRs_8GwSoA/edit#gid=0"",""Gestores Escolares!D7:m""),9,0),""VERIFICAR CÓD SEC"")"),"NEWTON JOSE DIAS")</f>
        <v>NEWTON JOSE DIAS</v>
      </c>
      <c r="R692" s="82" t="str">
        <f>IFERROR(__xludf.DUMMYFUNCTION("IFERROR(VLOOKUP(D692,
IMPORTRANGE(""https://docs.google.com/spreadsheets/d/1MjHtlUikwobi2MaWJgy7tfLeBmhj1u-dRFRs_8GwSoA/edit#gid=0"",""Gestores Escolares!D7:m""),10,0),""VERIFICAR CÓD SEC"")"),"(74) 9 8859-3898")</f>
        <v>(74) 9 8859-3898</v>
      </c>
      <c r="S692" s="82"/>
      <c r="T692" s="138">
        <v>3.0</v>
      </c>
      <c r="U692" s="139">
        <v>3.0</v>
      </c>
      <c r="V692" s="106">
        <v>0.0</v>
      </c>
      <c r="W692" s="107">
        <v>0.0</v>
      </c>
      <c r="X692" s="107">
        <v>0.0</v>
      </c>
      <c r="Y692" s="107">
        <v>0.0</v>
      </c>
      <c r="Z692" s="80">
        <f t="shared" si="1"/>
        <v>0</v>
      </c>
      <c r="AA692" s="106">
        <v>0.0</v>
      </c>
      <c r="AB692" s="107">
        <v>0.0</v>
      </c>
      <c r="AC692" s="107">
        <v>0.0</v>
      </c>
      <c r="AD692" s="107">
        <v>0.0</v>
      </c>
      <c r="AE692" s="80">
        <f t="shared" si="2"/>
        <v>0</v>
      </c>
      <c r="AF692" s="140">
        <v>36.0</v>
      </c>
      <c r="AG692" s="109">
        <v>0.0</v>
      </c>
      <c r="AH692" s="109">
        <v>0.0</v>
      </c>
      <c r="AI692" s="141">
        <v>0.0</v>
      </c>
      <c r="AJ692" s="80">
        <f t="shared" si="3"/>
        <v>36</v>
      </c>
      <c r="AK692" s="140">
        <v>0.0</v>
      </c>
      <c r="AL692" s="109">
        <v>0.0</v>
      </c>
      <c r="AM692" s="141">
        <v>0.0</v>
      </c>
      <c r="AN692" s="80">
        <f t="shared" si="4"/>
        <v>0</v>
      </c>
      <c r="AO692" s="140">
        <v>0.0</v>
      </c>
      <c r="AP692" s="109">
        <v>0.0</v>
      </c>
      <c r="AQ692" s="109">
        <v>0.0</v>
      </c>
      <c r="AR692" s="80">
        <f t="shared" si="5"/>
        <v>0</v>
      </c>
      <c r="AS692" s="110">
        <v>0.0</v>
      </c>
      <c r="AT692" s="110">
        <v>0.0</v>
      </c>
      <c r="AU692" s="110">
        <v>0.0</v>
      </c>
      <c r="AV692" s="142">
        <v>0.0</v>
      </c>
      <c r="AW692" s="80">
        <f t="shared" si="6"/>
        <v>0</v>
      </c>
      <c r="AX692" s="113">
        <f t="shared" si="7"/>
        <v>36</v>
      </c>
      <c r="AY692" s="117">
        <f t="shared" si="8"/>
        <v>36</v>
      </c>
      <c r="AZ692" s="120">
        <f t="shared" si="9"/>
        <v>0</v>
      </c>
      <c r="BA692" s="115">
        <v>0.0</v>
      </c>
      <c r="BB692" s="89">
        <f t="shared" si="10"/>
        <v>36</v>
      </c>
      <c r="BC692" s="132" t="s">
        <v>373</v>
      </c>
      <c r="BD692" s="132" t="s">
        <v>178</v>
      </c>
      <c r="BE692" s="132" t="s">
        <v>178</v>
      </c>
      <c r="BF692" s="123"/>
      <c r="BG692" s="83">
        <v>1178676.0</v>
      </c>
      <c r="BH692" s="112"/>
      <c r="BI692" s="112">
        <v>3.0</v>
      </c>
      <c r="BJ692" s="98" t="s">
        <v>155</v>
      </c>
      <c r="BK692" s="99">
        <f t="shared" si="11"/>
        <v>0</v>
      </c>
      <c r="BL692" s="99">
        <f t="shared" si="12"/>
        <v>36</v>
      </c>
      <c r="BM692" s="99" t="str">
        <f>IFERROR(__xludf.DUMMYFUNCTION("IFERROR(VLOOKUP(BG692,IMPORTRANGE(""https://docs.google.com/spreadsheets/d/1juPI-Fb8LD0YtltB2mlGEnp_R3UVu1t3wSFPzgCyHXE/edit?gid=0#gid=0"",""GERAL!A2:C""),3,0),""-"")"),"CAMPO")</f>
        <v>CAMPO</v>
      </c>
    </row>
    <row r="693" ht="15.75" customHeight="1">
      <c r="A693" s="111" t="s">
        <v>796</v>
      </c>
      <c r="B693" s="83" t="s">
        <v>2159</v>
      </c>
      <c r="C693" s="83" t="s">
        <v>68</v>
      </c>
      <c r="D693" s="112">
        <v>1121326.0</v>
      </c>
      <c r="E693" s="83"/>
      <c r="F693" s="83">
        <v>2.9030137E7</v>
      </c>
      <c r="G693" s="114" t="s">
        <v>3303</v>
      </c>
      <c r="H693" s="91" t="s">
        <v>3304</v>
      </c>
      <c r="I693" s="83" t="s">
        <v>149</v>
      </c>
      <c r="J693" s="83" t="s">
        <v>150</v>
      </c>
      <c r="K693" s="83" t="s">
        <v>151</v>
      </c>
      <c r="L693" s="83" t="s">
        <v>76</v>
      </c>
      <c r="M693" s="82" t="str">
        <f>IFERROR(__xludf.DUMMYFUNCTION("IFERROR(VLOOKUP(D693,
IMPORTRANGE(""https://docs.google.com/spreadsheets/d/1MjHtlUikwobi2MaWJgy7tfLeBmhj1u-dRFRs_8GwSoA/edit#gid=0"",""Gestores Escolares!D7:J""),3,0),""VERIFICAR CÓD SEC"")"),"CLESCIO ALMEIDA DE JESUS")</f>
        <v>CLESCIO ALMEIDA DE JESUS</v>
      </c>
      <c r="N693" s="82" t="str">
        <f>IFERROR(__xludf.DUMMYFUNCTION("IFERROR(VLOOKUP(D693,
IMPORTRANGE(""https://docs.google.com/spreadsheets/d/1MjHtlUikwobi2MaWJgy7tfLeBmhj1u-dRFRs_8GwSoA/edit#gid=0"",""Gestores Escolares!D7:J""),4,0),""VERIFICAR CÓD SEC"")"),"(74) 9 8863-1120")</f>
        <v>(74) 9 8863-1120</v>
      </c>
      <c r="O693" s="82" t="str">
        <f>IFERROR(__xludf.DUMMYFUNCTION("IFERROR(VLOOKUP(D693,
IMPORTRANGE(""https://docs.google.com/spreadsheets/d/1MjHtlUikwobi2MaWJgy7tfLeBmhj1u-dRFRs_8GwSoA/edit#gid=0"",""Gestores Escolares!D7:J""),6,0),""VERIFICAR CÓD SEC"")")," LARISSA MOURA LEITE")</f>
        <v> LARISSA MOURA LEITE</v>
      </c>
      <c r="P693" s="82" t="str">
        <f>IFERROR(__xludf.DUMMYFUNCTION("IFERROR(VLOOKUP(D693,
IMPORTRANGE(""https://docs.google.com/spreadsheets/d/1MjHtlUikwobi2MaWJgy7tfLeBmhj1u-dRFRs_8GwSoA/edit#gid=0"",""Gestores Escolares!D7:J""),7,0),""VERIFICAR CÓD SEC"")"),"(74) 9 8857-4512")</f>
        <v>(74) 9 8857-4512</v>
      </c>
      <c r="Q693" s="82" t="str">
        <f>IFERROR(__xludf.DUMMYFUNCTION("IFERROR(VLOOKUP(D693,
IMPORTRANGE(""https://docs.google.com/spreadsheets/d/1MjHtlUikwobi2MaWJgy7tfLeBmhj1u-dRFRs_8GwSoA/edit#gid=0"",""Gestores Escolares!D7:m""),9,0),""VERIFICAR CÓD SEC"")"),"")</f>
        <v/>
      </c>
      <c r="R693" s="82" t="str">
        <f>IFERROR(__xludf.DUMMYFUNCTION("IFERROR(VLOOKUP(D693,
IMPORTRANGE(""https://docs.google.com/spreadsheets/d/1MjHtlUikwobi2MaWJgy7tfLeBmhj1u-dRFRs_8GwSoA/edit#gid=0"",""Gestores Escolares!D7:m""),10,0),""VERIFICAR CÓD SEC"")"),"")</f>
        <v/>
      </c>
      <c r="S693" s="82"/>
      <c r="T693" s="138">
        <v>10.0</v>
      </c>
      <c r="U693" s="421" t="s">
        <v>9958</v>
      </c>
      <c r="V693" s="106">
        <v>0.0</v>
      </c>
      <c r="W693" s="107">
        <v>0.0</v>
      </c>
      <c r="X693" s="107">
        <v>0.0</v>
      </c>
      <c r="Y693" s="107">
        <v>0.0</v>
      </c>
      <c r="Z693" s="80">
        <f t="shared" si="1"/>
        <v>0</v>
      </c>
      <c r="AA693" s="106">
        <v>0.0</v>
      </c>
      <c r="AB693" s="107">
        <v>0.0</v>
      </c>
      <c r="AC693" s="107">
        <v>0.0</v>
      </c>
      <c r="AD693" s="107">
        <v>0.0</v>
      </c>
      <c r="AE693" s="80">
        <f t="shared" si="2"/>
        <v>0</v>
      </c>
      <c r="AF693" s="140">
        <v>120.0</v>
      </c>
      <c r="AG693" s="109">
        <v>158.0</v>
      </c>
      <c r="AH693" s="109">
        <v>0.0</v>
      </c>
      <c r="AI693" s="141">
        <v>0.0</v>
      </c>
      <c r="AJ693" s="80">
        <f t="shared" si="3"/>
        <v>278</v>
      </c>
      <c r="AK693" s="140">
        <v>0.0</v>
      </c>
      <c r="AL693" s="109">
        <v>0.0</v>
      </c>
      <c r="AM693" s="141">
        <v>0.0</v>
      </c>
      <c r="AN693" s="80">
        <f t="shared" si="4"/>
        <v>0</v>
      </c>
      <c r="AO693" s="140">
        <v>0.0</v>
      </c>
      <c r="AP693" s="109">
        <v>0.0</v>
      </c>
      <c r="AQ693" s="109">
        <v>104.0</v>
      </c>
      <c r="AR693" s="80">
        <f t="shared" si="5"/>
        <v>104</v>
      </c>
      <c r="AS693" s="110">
        <v>95.0</v>
      </c>
      <c r="AT693" s="110">
        <v>74.0</v>
      </c>
      <c r="AU693" s="110">
        <v>90.0</v>
      </c>
      <c r="AV693" s="142">
        <v>0.0</v>
      </c>
      <c r="AW693" s="80">
        <f t="shared" si="6"/>
        <v>259</v>
      </c>
      <c r="AX693" s="113">
        <f t="shared" si="7"/>
        <v>641</v>
      </c>
      <c r="AY693" s="117">
        <f t="shared" si="8"/>
        <v>447</v>
      </c>
      <c r="AZ693" s="120">
        <f t="shared" si="9"/>
        <v>194</v>
      </c>
      <c r="BA693" s="115">
        <v>0.0</v>
      </c>
      <c r="BB693" s="89">
        <f t="shared" si="10"/>
        <v>641</v>
      </c>
      <c r="BC693" s="132" t="s">
        <v>178</v>
      </c>
      <c r="BD693" s="132" t="s">
        <v>178</v>
      </c>
      <c r="BE693" s="132" t="s">
        <v>178</v>
      </c>
      <c r="BF693" s="123"/>
      <c r="BG693" s="83">
        <v>1121326.0</v>
      </c>
      <c r="BH693" s="112"/>
      <c r="BI693" s="112">
        <v>10.0</v>
      </c>
      <c r="BJ693" s="98" t="s">
        <v>155</v>
      </c>
      <c r="BK693" s="99">
        <f t="shared" si="11"/>
        <v>0</v>
      </c>
      <c r="BL693" s="99">
        <f t="shared" si="12"/>
        <v>447</v>
      </c>
      <c r="BM693" s="99" t="str">
        <f>IFERROR(__xludf.DUMMYFUNCTION("IFERROR(VLOOKUP(BG693,IMPORTRANGE(""https://docs.google.com/spreadsheets/d/1juPI-Fb8LD0YtltB2mlGEnp_R3UVu1t3wSFPzgCyHXE/edit?gid=0#gid=0"",""GERAL!A2:C""),3,0),""-"")"),"-")</f>
        <v>-</v>
      </c>
    </row>
    <row r="694" ht="15.75" customHeight="1">
      <c r="A694" s="111" t="s">
        <v>796</v>
      </c>
      <c r="B694" s="83" t="s">
        <v>2159</v>
      </c>
      <c r="C694" s="83" t="s">
        <v>68</v>
      </c>
      <c r="D694" s="112">
        <v>1121342.0</v>
      </c>
      <c r="E694" s="83"/>
      <c r="F694" s="83">
        <v>2.9031265E7</v>
      </c>
      <c r="G694" s="220" t="s">
        <v>3306</v>
      </c>
      <c r="H694" s="91" t="s">
        <v>3307</v>
      </c>
      <c r="I694" s="83" t="s">
        <v>149</v>
      </c>
      <c r="J694" s="83" t="s">
        <v>150</v>
      </c>
      <c r="K694" s="83" t="s">
        <v>151</v>
      </c>
      <c r="L694" s="98" t="s">
        <v>230</v>
      </c>
      <c r="M694" s="82" t="str">
        <f>IFERROR(__xludf.DUMMYFUNCTION("IFERROR(VLOOKUP(D694,
IMPORTRANGE(""https://docs.google.com/spreadsheets/d/1MjHtlUikwobi2MaWJgy7tfLeBmhj1u-dRFRs_8GwSoA/edit#gid=0"",""Gestores Escolares!D7:J""),3,0),""VERIFICAR CÓD SEC"")"),"KATIA CAMPINHO PASSOS")</f>
        <v>KATIA CAMPINHO PASSOS</v>
      </c>
      <c r="N694" s="82" t="str">
        <f>IFERROR(__xludf.DUMMYFUNCTION("IFERROR(VLOOKUP(D694,
IMPORTRANGE(""https://docs.google.com/spreadsheets/d/1MjHtlUikwobi2MaWJgy7tfLeBmhj1u-dRFRs_8GwSoA/edit#gid=0"",""Gestores Escolares!D7:J""),4,0),""VERIFICAR CÓD SEC"")"),"(74) 9 8802-7391")</f>
        <v>(74) 9 8802-7391</v>
      </c>
      <c r="O694" s="82" t="str">
        <f>IFERROR(__xludf.DUMMYFUNCTION("IFERROR(VLOOKUP(D694,
IMPORTRANGE(""https://docs.google.com/spreadsheets/d/1MjHtlUikwobi2MaWJgy7tfLeBmhj1u-dRFRs_8GwSoA/edit#gid=0"",""Gestores Escolares!D7:J""),6,0),""VERIFICAR CÓD SEC"")"),"GASTAO GOMES DE MACEDO MIRANDA")</f>
        <v>GASTAO GOMES DE MACEDO MIRANDA</v>
      </c>
      <c r="P694" s="82" t="str">
        <f>IFERROR(__xludf.DUMMYFUNCTION("IFERROR(VLOOKUP(D694,
IMPORTRANGE(""https://docs.google.com/spreadsheets/d/1MjHtlUikwobi2MaWJgy7tfLeBmhj1u-dRFRs_8GwSoA/edit#gid=0"",""Gestores Escolares!D7:J""),7,0),""VERIFICAR CÓD SEC"")"),"(74) 9 8102-7768")</f>
        <v>(74) 9 8102-7768</v>
      </c>
      <c r="Q694" s="82" t="str">
        <f>IFERROR(__xludf.DUMMYFUNCTION("IFERROR(VLOOKUP(D694,
IMPORTRANGE(""https://docs.google.com/spreadsheets/d/1MjHtlUikwobi2MaWJgy7tfLeBmhj1u-dRFRs_8GwSoA/edit#gid=0"",""Gestores Escolares!D7:m""),9,0),""VERIFICAR CÓD SEC"")"),"KELSON OLIVEIRA ROCHA")</f>
        <v>KELSON OLIVEIRA ROCHA</v>
      </c>
      <c r="R694" s="82" t="str">
        <f>IFERROR(__xludf.DUMMYFUNCTION("IFERROR(VLOOKUP(D694,
IMPORTRANGE(""https://docs.google.com/spreadsheets/d/1MjHtlUikwobi2MaWJgy7tfLeBmhj1u-dRFRs_8GwSoA/edit#gid=0"",""Gestores Escolares!D7:m""),10,0),""VERIFICAR CÓD SEC"")"),"(74) 9 8144-0939")</f>
        <v>(74) 9 8144-0939</v>
      </c>
      <c r="S694" s="82"/>
      <c r="T694" s="138">
        <v>11.0</v>
      </c>
      <c r="U694" s="421">
        <v>14.0</v>
      </c>
      <c r="V694" s="106">
        <v>0.0</v>
      </c>
      <c r="W694" s="107">
        <v>0.0</v>
      </c>
      <c r="X694" s="107">
        <v>0.0</v>
      </c>
      <c r="Y694" s="107">
        <v>0.0</v>
      </c>
      <c r="Z694" s="80">
        <f t="shared" si="1"/>
        <v>0</v>
      </c>
      <c r="AA694" s="106">
        <v>0.0</v>
      </c>
      <c r="AB694" s="107">
        <v>0.0</v>
      </c>
      <c r="AC694" s="107">
        <v>0.0</v>
      </c>
      <c r="AD694" s="107">
        <v>0.0</v>
      </c>
      <c r="AE694" s="80">
        <f t="shared" si="2"/>
        <v>0</v>
      </c>
      <c r="AF694" s="140">
        <v>86.0</v>
      </c>
      <c r="AG694" s="109">
        <v>53.0</v>
      </c>
      <c r="AH694" s="109">
        <v>0.0</v>
      </c>
      <c r="AI694" s="141">
        <v>431.0</v>
      </c>
      <c r="AJ694" s="80">
        <f t="shared" si="3"/>
        <v>570</v>
      </c>
      <c r="AK694" s="140">
        <v>0.0</v>
      </c>
      <c r="AL694" s="109">
        <v>0.0</v>
      </c>
      <c r="AM694" s="141">
        <v>0.0</v>
      </c>
      <c r="AN694" s="80">
        <f t="shared" si="4"/>
        <v>0</v>
      </c>
      <c r="AO694" s="140">
        <v>0.0</v>
      </c>
      <c r="AP694" s="109">
        <v>0.0</v>
      </c>
      <c r="AQ694" s="109">
        <v>255.0</v>
      </c>
      <c r="AR694" s="80">
        <f t="shared" si="5"/>
        <v>255</v>
      </c>
      <c r="AS694" s="110">
        <v>0.0</v>
      </c>
      <c r="AT694" s="110">
        <v>0.0</v>
      </c>
      <c r="AU694" s="110">
        <v>0.0</v>
      </c>
      <c r="AV694" s="142">
        <v>0.0</v>
      </c>
      <c r="AW694" s="80">
        <f t="shared" si="6"/>
        <v>0</v>
      </c>
      <c r="AX694" s="113">
        <f t="shared" si="7"/>
        <v>825</v>
      </c>
      <c r="AY694" s="117">
        <f t="shared" si="8"/>
        <v>570</v>
      </c>
      <c r="AZ694" s="120">
        <f t="shared" si="9"/>
        <v>255</v>
      </c>
      <c r="BA694" s="115">
        <v>0.0</v>
      </c>
      <c r="BB694" s="89">
        <f t="shared" si="10"/>
        <v>825</v>
      </c>
      <c r="BC694" s="132" t="s">
        <v>178</v>
      </c>
      <c r="BD694" s="132" t="s">
        <v>178</v>
      </c>
      <c r="BE694" s="132" t="s">
        <v>178</v>
      </c>
      <c r="BF694" s="123"/>
      <c r="BG694" s="83">
        <v>1121342.0</v>
      </c>
      <c r="BH694" s="112"/>
      <c r="BI694" s="112">
        <v>13.0</v>
      </c>
      <c r="BJ694" s="98" t="s">
        <v>162</v>
      </c>
      <c r="BK694" s="99">
        <f t="shared" si="11"/>
        <v>431</v>
      </c>
      <c r="BL694" s="99">
        <f t="shared" si="12"/>
        <v>139</v>
      </c>
      <c r="BM694" s="99" t="str">
        <f>IFERROR(__xludf.DUMMYFUNCTION("IFERROR(VLOOKUP(BG694,IMPORTRANGE(""https://docs.google.com/spreadsheets/d/1juPI-Fb8LD0YtltB2mlGEnp_R3UVu1t3wSFPzgCyHXE/edit?gid=0#gid=0"",""GERAL!A2:C""),3,0),""-"")"),"-")</f>
        <v>-</v>
      </c>
    </row>
    <row r="695" ht="15.75" customHeight="1">
      <c r="A695" s="111" t="s">
        <v>796</v>
      </c>
      <c r="B695" s="83" t="s">
        <v>2159</v>
      </c>
      <c r="C695" s="83" t="s">
        <v>164</v>
      </c>
      <c r="D695" s="112">
        <v>1179111.0</v>
      </c>
      <c r="E695" s="83">
        <v>1178688.0</v>
      </c>
      <c r="F695" s="98">
        <v>2.9456509E7</v>
      </c>
      <c r="G695" s="114" t="s">
        <v>3309</v>
      </c>
      <c r="H695" s="91" t="s">
        <v>3310</v>
      </c>
      <c r="I695" s="83" t="s">
        <v>149</v>
      </c>
      <c r="J695" s="136" t="s">
        <v>2855</v>
      </c>
      <c r="K695" s="83" t="s">
        <v>168</v>
      </c>
      <c r="L695" s="83" t="s">
        <v>169</v>
      </c>
      <c r="M695" s="82" t="str">
        <f>IFERROR(__xludf.DUMMYFUNCTION("IFERROR(VLOOKUP(D695,
IMPORTRANGE(""https://docs.google.com/spreadsheets/d/1MjHtlUikwobi2MaWJgy7tfLeBmhj1u-dRFRs_8GwSoA/edit#gid=0"",""Gestores Escolares!D7:J""),3,0),""VERIFICAR CÓD SEC"")"),"ADAILSON BARBOSA GOMES")</f>
        <v>ADAILSON BARBOSA GOMES</v>
      </c>
      <c r="N695" s="82" t="str">
        <f>IFERROR(__xludf.DUMMYFUNCTION("IFERROR(VLOOKUP(D695,
IMPORTRANGE(""https://docs.google.com/spreadsheets/d/1MjHtlUikwobi2MaWJgy7tfLeBmhj1u-dRFRs_8GwSoA/edit#gid=0"",""Gestores Escolares!D7:J""),4,0),""VERIFICAR CÓD SEC"")"),"(74) 9 8828-2249")</f>
        <v>(74) 9 8828-2249</v>
      </c>
      <c r="O695" s="82" t="str">
        <f>IFERROR(__xludf.DUMMYFUNCTION("IFERROR(VLOOKUP(D695,
IMPORTRANGE(""https://docs.google.com/spreadsheets/d/1MjHtlUikwobi2MaWJgy7tfLeBmhj1u-dRFRs_8GwSoA/edit#gid=0"",""Gestores Escolares!D7:J""),6,0),""VERIFICAR CÓD SEC"")"),"JOSE NELSON ALVES DA SILVA")</f>
        <v>JOSE NELSON ALVES DA SILVA</v>
      </c>
      <c r="P695" s="82" t="str">
        <f>IFERROR(__xludf.DUMMYFUNCTION("IFERROR(VLOOKUP(D695,
IMPORTRANGE(""https://docs.google.com/spreadsheets/d/1MjHtlUikwobi2MaWJgy7tfLeBmhj1u-dRFRs_8GwSoA/edit#gid=0"",""Gestores Escolares!D7:J""),7,0),""VERIFICAR CÓD SEC"")"),"(74) 9 8862-1210")</f>
        <v>(74) 9 8862-1210</v>
      </c>
      <c r="Q695" s="82" t="str">
        <f>IFERROR(__xludf.DUMMYFUNCTION("IFERROR(VLOOKUP(D695,
IMPORTRANGE(""https://docs.google.com/spreadsheets/d/1MjHtlUikwobi2MaWJgy7tfLeBmhj1u-dRFRs_8GwSoA/edit#gid=0"",""Gestores Escolares!D7:m""),9,0),""VERIFICAR CÓD SEC"")"),"JOSEMAR RODRIGUES SANTOS")</f>
        <v>JOSEMAR RODRIGUES SANTOS</v>
      </c>
      <c r="R695" s="82" t="str">
        <f>IFERROR(__xludf.DUMMYFUNCTION("IFERROR(VLOOKUP(D695,
IMPORTRANGE(""https://docs.google.com/spreadsheets/d/1MjHtlUikwobi2MaWJgy7tfLeBmhj1u-dRFRs_8GwSoA/edit#gid=0"",""Gestores Escolares!D7:m""),10,0),""VERIFICAR CÓD SEC"")"),"(74) 9 8832-3106")</f>
        <v>(74) 9 8832-3106</v>
      </c>
      <c r="S695" s="82"/>
      <c r="T695" s="138">
        <v>2.0</v>
      </c>
      <c r="U695" s="139">
        <v>2.0</v>
      </c>
      <c r="V695" s="106">
        <v>0.0</v>
      </c>
      <c r="W695" s="107">
        <v>0.0</v>
      </c>
      <c r="X695" s="107">
        <v>0.0</v>
      </c>
      <c r="Y695" s="107">
        <v>0.0</v>
      </c>
      <c r="Z695" s="80">
        <f t="shared" si="1"/>
        <v>0</v>
      </c>
      <c r="AA695" s="106">
        <v>0.0</v>
      </c>
      <c r="AB695" s="107">
        <v>0.0</v>
      </c>
      <c r="AC695" s="107">
        <v>0.0</v>
      </c>
      <c r="AD695" s="107">
        <v>0.0</v>
      </c>
      <c r="AE695" s="80">
        <f t="shared" si="2"/>
        <v>0</v>
      </c>
      <c r="AF695" s="140">
        <v>0.0</v>
      </c>
      <c r="AG695" s="109">
        <v>58.0</v>
      </c>
      <c r="AH695" s="109">
        <v>0.0</v>
      </c>
      <c r="AI695" s="141">
        <v>0.0</v>
      </c>
      <c r="AJ695" s="80">
        <f t="shared" si="3"/>
        <v>58</v>
      </c>
      <c r="AK695" s="140">
        <v>0.0</v>
      </c>
      <c r="AL695" s="109">
        <v>0.0</v>
      </c>
      <c r="AM695" s="141">
        <v>0.0</v>
      </c>
      <c r="AN695" s="80">
        <f t="shared" si="4"/>
        <v>0</v>
      </c>
      <c r="AO695" s="140">
        <v>0.0</v>
      </c>
      <c r="AP695" s="109">
        <v>0.0</v>
      </c>
      <c r="AQ695" s="109">
        <v>0.0</v>
      </c>
      <c r="AR695" s="80">
        <f t="shared" si="5"/>
        <v>0</v>
      </c>
      <c r="AS695" s="110">
        <v>0.0</v>
      </c>
      <c r="AT695" s="110">
        <v>0.0</v>
      </c>
      <c r="AU695" s="110">
        <v>0.0</v>
      </c>
      <c r="AV695" s="142">
        <v>0.0</v>
      </c>
      <c r="AW695" s="80">
        <f t="shared" si="6"/>
        <v>0</v>
      </c>
      <c r="AX695" s="113">
        <f t="shared" si="7"/>
        <v>58</v>
      </c>
      <c r="AY695" s="117">
        <f t="shared" si="8"/>
        <v>58</v>
      </c>
      <c r="AZ695" s="120">
        <f t="shared" si="9"/>
        <v>0</v>
      </c>
      <c r="BA695" s="115">
        <v>0.0</v>
      </c>
      <c r="BB695" s="89">
        <f t="shared" si="10"/>
        <v>58</v>
      </c>
      <c r="BC695" s="132" t="s">
        <v>178</v>
      </c>
      <c r="BD695" s="143" t="s">
        <v>227</v>
      </c>
      <c r="BE695" s="132" t="s">
        <v>178</v>
      </c>
      <c r="BF695" s="123"/>
      <c r="BG695" s="83">
        <v>1178688.0</v>
      </c>
      <c r="BH695" s="112"/>
      <c r="BI695" s="112">
        <v>2.0</v>
      </c>
      <c r="BJ695" s="98" t="s">
        <v>155</v>
      </c>
      <c r="BK695" s="99">
        <f t="shared" si="11"/>
        <v>0</v>
      </c>
      <c r="BL695" s="99">
        <f t="shared" si="12"/>
        <v>58</v>
      </c>
      <c r="BM695" s="99" t="str">
        <f>IFERROR(__xludf.DUMMYFUNCTION("IFERROR(VLOOKUP(BG695,IMPORTRANGE(""https://docs.google.com/spreadsheets/d/1juPI-Fb8LD0YtltB2mlGEnp_R3UVu1t3wSFPzgCyHXE/edit?gid=0#gid=0"",""GERAL!A2:C""),3,0),""-"")"),"-")</f>
        <v>-</v>
      </c>
    </row>
    <row r="696" ht="15.75" customHeight="1">
      <c r="A696" s="111" t="s">
        <v>796</v>
      </c>
      <c r="B696" s="83" t="s">
        <v>2159</v>
      </c>
      <c r="C696" s="83" t="s">
        <v>164</v>
      </c>
      <c r="D696" s="112">
        <v>1179111.0</v>
      </c>
      <c r="E696" s="83">
        <v>1178683.0</v>
      </c>
      <c r="F696" s="98">
        <v>2.9456509E7</v>
      </c>
      <c r="G696" s="114" t="s">
        <v>3311</v>
      </c>
      <c r="H696" s="91" t="s">
        <v>3312</v>
      </c>
      <c r="I696" s="83" t="s">
        <v>149</v>
      </c>
      <c r="J696" s="136" t="s">
        <v>702</v>
      </c>
      <c r="K696" s="83" t="s">
        <v>168</v>
      </c>
      <c r="L696" s="83" t="s">
        <v>169</v>
      </c>
      <c r="M696" s="82" t="str">
        <f>IFERROR(__xludf.DUMMYFUNCTION("IFERROR(VLOOKUP(D696,
IMPORTRANGE(""https://docs.google.com/spreadsheets/d/1MjHtlUikwobi2MaWJgy7tfLeBmhj1u-dRFRs_8GwSoA/edit#gid=0"",""Gestores Escolares!D7:J""),3,0),""VERIFICAR CÓD SEC"")"),"ADAILSON BARBOSA GOMES")</f>
        <v>ADAILSON BARBOSA GOMES</v>
      </c>
      <c r="N696" s="82" t="str">
        <f>IFERROR(__xludf.DUMMYFUNCTION("IFERROR(VLOOKUP(D696,
IMPORTRANGE(""https://docs.google.com/spreadsheets/d/1MjHtlUikwobi2MaWJgy7tfLeBmhj1u-dRFRs_8GwSoA/edit#gid=0"",""Gestores Escolares!D7:J""),4,0),""VERIFICAR CÓD SEC"")"),"(74) 9 8828-2249")</f>
        <v>(74) 9 8828-2249</v>
      </c>
      <c r="O696" s="82" t="str">
        <f>IFERROR(__xludf.DUMMYFUNCTION("IFERROR(VLOOKUP(D696,
IMPORTRANGE(""https://docs.google.com/spreadsheets/d/1MjHtlUikwobi2MaWJgy7tfLeBmhj1u-dRFRs_8GwSoA/edit#gid=0"",""Gestores Escolares!D7:J""),6,0),""VERIFICAR CÓD SEC"")"),"JOSE NELSON ALVES DA SILVA")</f>
        <v>JOSE NELSON ALVES DA SILVA</v>
      </c>
      <c r="P696" s="82" t="str">
        <f>IFERROR(__xludf.DUMMYFUNCTION("IFERROR(VLOOKUP(D696,
IMPORTRANGE(""https://docs.google.com/spreadsheets/d/1MjHtlUikwobi2MaWJgy7tfLeBmhj1u-dRFRs_8GwSoA/edit#gid=0"",""Gestores Escolares!D7:J""),7,0),""VERIFICAR CÓD SEC"")"),"(74) 9 8862-1210")</f>
        <v>(74) 9 8862-1210</v>
      </c>
      <c r="Q696" s="82" t="str">
        <f>IFERROR(__xludf.DUMMYFUNCTION("IFERROR(VLOOKUP(D696,
IMPORTRANGE(""https://docs.google.com/spreadsheets/d/1MjHtlUikwobi2MaWJgy7tfLeBmhj1u-dRFRs_8GwSoA/edit#gid=0"",""Gestores Escolares!D7:m""),9,0),""VERIFICAR CÓD SEC"")"),"JOSEMAR RODRIGUES SANTOS")</f>
        <v>JOSEMAR RODRIGUES SANTOS</v>
      </c>
      <c r="R696" s="82" t="str">
        <f>IFERROR(__xludf.DUMMYFUNCTION("IFERROR(VLOOKUP(D696,
IMPORTRANGE(""https://docs.google.com/spreadsheets/d/1MjHtlUikwobi2MaWJgy7tfLeBmhj1u-dRFRs_8GwSoA/edit#gid=0"",""Gestores Escolares!D7:m""),10,0),""VERIFICAR CÓD SEC"")"),"(74) 9 8832-3106")</f>
        <v>(74) 9 8832-3106</v>
      </c>
      <c r="S696" s="82"/>
      <c r="T696" s="138">
        <v>2.0</v>
      </c>
      <c r="U696" s="139">
        <v>2.0</v>
      </c>
      <c r="V696" s="106">
        <v>0.0</v>
      </c>
      <c r="W696" s="107">
        <v>0.0</v>
      </c>
      <c r="X696" s="107">
        <v>0.0</v>
      </c>
      <c r="Y696" s="107">
        <v>0.0</v>
      </c>
      <c r="Z696" s="80">
        <f t="shared" si="1"/>
        <v>0</v>
      </c>
      <c r="AA696" s="106">
        <v>0.0</v>
      </c>
      <c r="AB696" s="107">
        <v>0.0</v>
      </c>
      <c r="AC696" s="107">
        <v>0.0</v>
      </c>
      <c r="AD696" s="107">
        <v>0.0</v>
      </c>
      <c r="AE696" s="80">
        <f t="shared" si="2"/>
        <v>0</v>
      </c>
      <c r="AF696" s="140">
        <v>19.0</v>
      </c>
      <c r="AG696" s="109">
        <v>31.0</v>
      </c>
      <c r="AH696" s="109">
        <v>0.0</v>
      </c>
      <c r="AI696" s="141">
        <v>0.0</v>
      </c>
      <c r="AJ696" s="80">
        <f t="shared" si="3"/>
        <v>50</v>
      </c>
      <c r="AK696" s="140">
        <v>0.0</v>
      </c>
      <c r="AL696" s="109">
        <v>0.0</v>
      </c>
      <c r="AM696" s="141">
        <v>0.0</v>
      </c>
      <c r="AN696" s="80">
        <f t="shared" si="4"/>
        <v>0</v>
      </c>
      <c r="AO696" s="140">
        <v>0.0</v>
      </c>
      <c r="AP696" s="109">
        <v>0.0</v>
      </c>
      <c r="AQ696" s="109">
        <v>0.0</v>
      </c>
      <c r="AR696" s="80">
        <f t="shared" si="5"/>
        <v>0</v>
      </c>
      <c r="AS696" s="110">
        <v>0.0</v>
      </c>
      <c r="AT696" s="110">
        <v>0.0</v>
      </c>
      <c r="AU696" s="110">
        <v>0.0</v>
      </c>
      <c r="AV696" s="142">
        <v>0.0</v>
      </c>
      <c r="AW696" s="80">
        <f t="shared" si="6"/>
        <v>0</v>
      </c>
      <c r="AX696" s="113">
        <f t="shared" si="7"/>
        <v>50</v>
      </c>
      <c r="AY696" s="117">
        <f t="shared" si="8"/>
        <v>50</v>
      </c>
      <c r="AZ696" s="120">
        <f t="shared" si="9"/>
        <v>0</v>
      </c>
      <c r="BA696" s="115">
        <v>0.0</v>
      </c>
      <c r="BB696" s="89">
        <f t="shared" si="10"/>
        <v>50</v>
      </c>
      <c r="BC696" s="132" t="s">
        <v>178</v>
      </c>
      <c r="BD696" s="143" t="s">
        <v>227</v>
      </c>
      <c r="BE696" s="132" t="s">
        <v>178</v>
      </c>
      <c r="BF696" s="123"/>
      <c r="BG696" s="83">
        <v>1178683.0</v>
      </c>
      <c r="BH696" s="112"/>
      <c r="BI696" s="112">
        <v>2.0</v>
      </c>
      <c r="BJ696" s="98" t="s">
        <v>155</v>
      </c>
      <c r="BK696" s="99">
        <f t="shared" si="11"/>
        <v>0</v>
      </c>
      <c r="BL696" s="99">
        <f t="shared" si="12"/>
        <v>50</v>
      </c>
      <c r="BM696" s="99" t="str">
        <f>IFERROR(__xludf.DUMMYFUNCTION("IFERROR(VLOOKUP(BG696,IMPORTRANGE(""https://docs.google.com/spreadsheets/d/1juPI-Fb8LD0YtltB2mlGEnp_R3UVu1t3wSFPzgCyHXE/edit?gid=0#gid=0"",""GERAL!A2:C""),3,0),""-"")"),"-")</f>
        <v>-</v>
      </c>
    </row>
    <row r="697" ht="15.75" customHeight="1">
      <c r="A697" s="111" t="s">
        <v>796</v>
      </c>
      <c r="B697" s="83" t="s">
        <v>2159</v>
      </c>
      <c r="C697" s="83" t="s">
        <v>164</v>
      </c>
      <c r="D697" s="112">
        <v>1179111.0</v>
      </c>
      <c r="E697" s="83">
        <v>1178682.0</v>
      </c>
      <c r="F697" s="98">
        <v>2.9456509E7</v>
      </c>
      <c r="G697" s="298" t="s">
        <v>3313</v>
      </c>
      <c r="H697" s="91" t="s">
        <v>3314</v>
      </c>
      <c r="I697" s="193" t="s">
        <v>171</v>
      </c>
      <c r="J697" s="98" t="s">
        <v>784</v>
      </c>
      <c r="K697" s="83" t="s">
        <v>168</v>
      </c>
      <c r="L697" s="83" t="s">
        <v>512</v>
      </c>
      <c r="M697" s="82" t="str">
        <f>IFERROR(__xludf.DUMMYFUNCTION("IFERROR(VLOOKUP(D697,
IMPORTRANGE(""https://docs.google.com/spreadsheets/d/1MjHtlUikwobi2MaWJgy7tfLeBmhj1u-dRFRs_8GwSoA/edit#gid=0"",""Gestores Escolares!D7:J""),3,0),""VERIFICAR CÓD SEC"")"),"ADAILSON BARBOSA GOMES")</f>
        <v>ADAILSON BARBOSA GOMES</v>
      </c>
      <c r="N697" s="82" t="str">
        <f>IFERROR(__xludf.DUMMYFUNCTION("IFERROR(VLOOKUP(D697,
IMPORTRANGE(""https://docs.google.com/spreadsheets/d/1MjHtlUikwobi2MaWJgy7tfLeBmhj1u-dRFRs_8GwSoA/edit#gid=0"",""Gestores Escolares!D7:J""),4,0),""VERIFICAR CÓD SEC"")"),"(74) 9 8828-2249")</f>
        <v>(74) 9 8828-2249</v>
      </c>
      <c r="O697" s="82" t="str">
        <f>IFERROR(__xludf.DUMMYFUNCTION("IFERROR(VLOOKUP(D697,
IMPORTRANGE(""https://docs.google.com/spreadsheets/d/1MjHtlUikwobi2MaWJgy7tfLeBmhj1u-dRFRs_8GwSoA/edit#gid=0"",""Gestores Escolares!D7:J""),6,0),""VERIFICAR CÓD SEC"")"),"JOSE NELSON ALVES DA SILVA")</f>
        <v>JOSE NELSON ALVES DA SILVA</v>
      </c>
      <c r="P697" s="82" t="str">
        <f>IFERROR(__xludf.DUMMYFUNCTION("IFERROR(VLOOKUP(D697,
IMPORTRANGE(""https://docs.google.com/spreadsheets/d/1MjHtlUikwobi2MaWJgy7tfLeBmhj1u-dRFRs_8GwSoA/edit#gid=0"",""Gestores Escolares!D7:J""),7,0),""VERIFICAR CÓD SEC"")"),"(74) 9 8862-1210")</f>
        <v>(74) 9 8862-1210</v>
      </c>
      <c r="Q697" s="82" t="str">
        <f>IFERROR(__xludf.DUMMYFUNCTION("IFERROR(VLOOKUP(D697,
IMPORTRANGE(""https://docs.google.com/spreadsheets/d/1MjHtlUikwobi2MaWJgy7tfLeBmhj1u-dRFRs_8GwSoA/edit#gid=0"",""Gestores Escolares!D7:m""),9,0),""VERIFICAR CÓD SEC"")"),"JOSEMAR RODRIGUES SANTOS")</f>
        <v>JOSEMAR RODRIGUES SANTOS</v>
      </c>
      <c r="R697" s="82" t="str">
        <f>IFERROR(__xludf.DUMMYFUNCTION("IFERROR(VLOOKUP(D697,
IMPORTRANGE(""https://docs.google.com/spreadsheets/d/1MjHtlUikwobi2MaWJgy7tfLeBmhj1u-dRFRs_8GwSoA/edit#gid=0"",""Gestores Escolares!D7:m""),10,0),""VERIFICAR CÓD SEC"")"),"(74) 9 8832-3106")</f>
        <v>(74) 9 8832-3106</v>
      </c>
      <c r="S697" s="82"/>
      <c r="T697" s="138" t="s">
        <v>171</v>
      </c>
      <c r="U697" s="145">
        <v>2.0</v>
      </c>
      <c r="V697" s="106">
        <v>0.0</v>
      </c>
      <c r="W697" s="107">
        <v>0.0</v>
      </c>
      <c r="X697" s="107">
        <v>0.0</v>
      </c>
      <c r="Y697" s="107">
        <v>0.0</v>
      </c>
      <c r="Z697" s="80">
        <f t="shared" si="1"/>
        <v>0</v>
      </c>
      <c r="AA697" s="106">
        <v>0.0</v>
      </c>
      <c r="AB697" s="107">
        <v>0.0</v>
      </c>
      <c r="AC697" s="107">
        <v>0.0</v>
      </c>
      <c r="AD697" s="107">
        <v>0.0</v>
      </c>
      <c r="AE697" s="80">
        <f t="shared" si="2"/>
        <v>0</v>
      </c>
      <c r="AF697" s="140">
        <v>0.0</v>
      </c>
      <c r="AG697" s="109">
        <v>24.0</v>
      </c>
      <c r="AH697" s="109">
        <v>0.0</v>
      </c>
      <c r="AI697" s="141">
        <v>0.0</v>
      </c>
      <c r="AJ697" s="80">
        <f t="shared" si="3"/>
        <v>24</v>
      </c>
      <c r="AK697" s="140">
        <v>0.0</v>
      </c>
      <c r="AL697" s="109">
        <v>0.0</v>
      </c>
      <c r="AM697" s="141">
        <v>0.0</v>
      </c>
      <c r="AN697" s="80">
        <f t="shared" si="4"/>
        <v>0</v>
      </c>
      <c r="AO697" s="140">
        <v>0.0</v>
      </c>
      <c r="AP697" s="109">
        <v>0.0</v>
      </c>
      <c r="AQ697" s="109">
        <v>0.0</v>
      </c>
      <c r="AR697" s="80">
        <f t="shared" si="5"/>
        <v>0</v>
      </c>
      <c r="AS697" s="110">
        <v>0.0</v>
      </c>
      <c r="AT697" s="110">
        <v>0.0</v>
      </c>
      <c r="AU697" s="110">
        <v>0.0</v>
      </c>
      <c r="AV697" s="142">
        <v>0.0</v>
      </c>
      <c r="AW697" s="80">
        <f t="shared" si="6"/>
        <v>0</v>
      </c>
      <c r="AX697" s="113">
        <f t="shared" si="7"/>
        <v>24</v>
      </c>
      <c r="AY697" s="117">
        <f t="shared" si="8"/>
        <v>24</v>
      </c>
      <c r="AZ697" s="120">
        <f t="shared" si="9"/>
        <v>0</v>
      </c>
      <c r="BA697" s="115">
        <v>0.0</v>
      </c>
      <c r="BB697" s="89">
        <f t="shared" si="10"/>
        <v>24</v>
      </c>
      <c r="BC697" s="132" t="s">
        <v>178</v>
      </c>
      <c r="BD697" s="143" t="s">
        <v>227</v>
      </c>
      <c r="BE697" s="132" t="s">
        <v>178</v>
      </c>
      <c r="BF697" s="156" t="s">
        <v>632</v>
      </c>
      <c r="BG697" s="83">
        <v>1178682.0</v>
      </c>
      <c r="BH697" s="98"/>
      <c r="BI697" s="98">
        <v>2.0</v>
      </c>
      <c r="BJ697" s="98" t="s">
        <v>155</v>
      </c>
      <c r="BK697" s="99">
        <f t="shared" si="11"/>
        <v>0</v>
      </c>
      <c r="BL697" s="99">
        <f t="shared" si="12"/>
        <v>24</v>
      </c>
      <c r="BM697" s="99" t="str">
        <f>IFERROR(__xludf.DUMMYFUNCTION("IFERROR(VLOOKUP(BG697,IMPORTRANGE(""https://docs.google.com/spreadsheets/d/1juPI-Fb8LD0YtltB2mlGEnp_R3UVu1t3wSFPzgCyHXE/edit?gid=0#gid=0"",""GERAL!A2:C""),3,0),""-"")"),"-")</f>
        <v>-</v>
      </c>
    </row>
    <row r="698" ht="15.75" customHeight="1">
      <c r="A698" s="111" t="s">
        <v>796</v>
      </c>
      <c r="B698" s="83" t="s">
        <v>2159</v>
      </c>
      <c r="C698" s="83" t="s">
        <v>164</v>
      </c>
      <c r="D698" s="112">
        <v>1179111.0</v>
      </c>
      <c r="E698" s="83">
        <v>1178687.0</v>
      </c>
      <c r="F698" s="98">
        <v>2.9456509E7</v>
      </c>
      <c r="G698" s="114" t="s">
        <v>3316</v>
      </c>
      <c r="H698" s="91" t="s">
        <v>3317</v>
      </c>
      <c r="I698" s="83" t="s">
        <v>149</v>
      </c>
      <c r="J698" s="136" t="s">
        <v>672</v>
      </c>
      <c r="K698" s="83" t="s">
        <v>151</v>
      </c>
      <c r="L698" s="83" t="s">
        <v>169</v>
      </c>
      <c r="M698" s="82" t="str">
        <f>IFERROR(__xludf.DUMMYFUNCTION("IFERROR(VLOOKUP(D698,
IMPORTRANGE(""https://docs.google.com/spreadsheets/d/1MjHtlUikwobi2MaWJgy7tfLeBmhj1u-dRFRs_8GwSoA/edit#gid=0"",""Gestores Escolares!D7:J""),3,0),""VERIFICAR CÓD SEC"")"),"ADAILSON BARBOSA GOMES")</f>
        <v>ADAILSON BARBOSA GOMES</v>
      </c>
      <c r="N698" s="82" t="str">
        <f>IFERROR(__xludf.DUMMYFUNCTION("IFERROR(VLOOKUP(D698,
IMPORTRANGE(""https://docs.google.com/spreadsheets/d/1MjHtlUikwobi2MaWJgy7tfLeBmhj1u-dRFRs_8GwSoA/edit#gid=0"",""Gestores Escolares!D7:J""),4,0),""VERIFICAR CÓD SEC"")"),"(74) 9 8828-2249")</f>
        <v>(74) 9 8828-2249</v>
      </c>
      <c r="O698" s="82" t="str">
        <f>IFERROR(__xludf.DUMMYFUNCTION("IFERROR(VLOOKUP(D698,
IMPORTRANGE(""https://docs.google.com/spreadsheets/d/1MjHtlUikwobi2MaWJgy7tfLeBmhj1u-dRFRs_8GwSoA/edit#gid=0"",""Gestores Escolares!D7:J""),6,0),""VERIFICAR CÓD SEC"")"),"JOSE NELSON ALVES DA SILVA")</f>
        <v>JOSE NELSON ALVES DA SILVA</v>
      </c>
      <c r="P698" s="82" t="str">
        <f>IFERROR(__xludf.DUMMYFUNCTION("IFERROR(VLOOKUP(D698,
IMPORTRANGE(""https://docs.google.com/spreadsheets/d/1MjHtlUikwobi2MaWJgy7tfLeBmhj1u-dRFRs_8GwSoA/edit#gid=0"",""Gestores Escolares!D7:J""),7,0),""VERIFICAR CÓD SEC"")"),"(74) 9 8862-1210")</f>
        <v>(74) 9 8862-1210</v>
      </c>
      <c r="Q698" s="82" t="str">
        <f>IFERROR(__xludf.DUMMYFUNCTION("IFERROR(VLOOKUP(D698,
IMPORTRANGE(""https://docs.google.com/spreadsheets/d/1MjHtlUikwobi2MaWJgy7tfLeBmhj1u-dRFRs_8GwSoA/edit#gid=0"",""Gestores Escolares!D7:m""),9,0),""VERIFICAR CÓD SEC"")"),"JOSEMAR RODRIGUES SANTOS")</f>
        <v>JOSEMAR RODRIGUES SANTOS</v>
      </c>
      <c r="R698" s="82" t="str">
        <f>IFERROR(__xludf.DUMMYFUNCTION("IFERROR(VLOOKUP(D698,
IMPORTRANGE(""https://docs.google.com/spreadsheets/d/1MjHtlUikwobi2MaWJgy7tfLeBmhj1u-dRFRs_8GwSoA/edit#gid=0"",""Gestores Escolares!D7:m""),10,0),""VERIFICAR CÓD SEC"")"),"(74) 9 8832-3106")</f>
        <v>(74) 9 8832-3106</v>
      </c>
      <c r="S698" s="82"/>
      <c r="T698" s="138">
        <v>2.0</v>
      </c>
      <c r="U698" s="139">
        <v>2.0</v>
      </c>
      <c r="V698" s="106">
        <v>0.0</v>
      </c>
      <c r="W698" s="107">
        <v>0.0</v>
      </c>
      <c r="X698" s="107">
        <v>0.0</v>
      </c>
      <c r="Y698" s="107">
        <v>0.0</v>
      </c>
      <c r="Z698" s="80">
        <f t="shared" si="1"/>
        <v>0</v>
      </c>
      <c r="AA698" s="106">
        <v>0.0</v>
      </c>
      <c r="AB698" s="107">
        <v>0.0</v>
      </c>
      <c r="AC698" s="107">
        <v>0.0</v>
      </c>
      <c r="AD698" s="107">
        <v>0.0</v>
      </c>
      <c r="AE698" s="80">
        <f t="shared" si="2"/>
        <v>0</v>
      </c>
      <c r="AF698" s="140">
        <v>16.0</v>
      </c>
      <c r="AG698" s="109">
        <v>20.0</v>
      </c>
      <c r="AH698" s="109">
        <v>0.0</v>
      </c>
      <c r="AI698" s="141">
        <v>0.0</v>
      </c>
      <c r="AJ698" s="80">
        <f t="shared" si="3"/>
        <v>36</v>
      </c>
      <c r="AK698" s="140">
        <v>0.0</v>
      </c>
      <c r="AL698" s="109">
        <v>0.0</v>
      </c>
      <c r="AM698" s="141">
        <v>0.0</v>
      </c>
      <c r="AN698" s="80">
        <f t="shared" si="4"/>
        <v>0</v>
      </c>
      <c r="AO698" s="140">
        <v>0.0</v>
      </c>
      <c r="AP698" s="109">
        <v>0.0</v>
      </c>
      <c r="AQ698" s="109">
        <v>0.0</v>
      </c>
      <c r="AR698" s="80">
        <f t="shared" si="5"/>
        <v>0</v>
      </c>
      <c r="AS698" s="110">
        <v>0.0</v>
      </c>
      <c r="AT698" s="110">
        <v>0.0</v>
      </c>
      <c r="AU698" s="110">
        <v>0.0</v>
      </c>
      <c r="AV698" s="142">
        <v>0.0</v>
      </c>
      <c r="AW698" s="80">
        <f t="shared" si="6"/>
        <v>0</v>
      </c>
      <c r="AX698" s="113">
        <f t="shared" si="7"/>
        <v>36</v>
      </c>
      <c r="AY698" s="117">
        <f t="shared" si="8"/>
        <v>36</v>
      </c>
      <c r="AZ698" s="120">
        <f t="shared" si="9"/>
        <v>0</v>
      </c>
      <c r="BA698" s="115">
        <v>0.0</v>
      </c>
      <c r="BB698" s="89">
        <f t="shared" si="10"/>
        <v>36</v>
      </c>
      <c r="BC698" s="132" t="s">
        <v>178</v>
      </c>
      <c r="BD698" s="143" t="s">
        <v>227</v>
      </c>
      <c r="BE698" s="132" t="s">
        <v>178</v>
      </c>
      <c r="BF698" s="123"/>
      <c r="BG698" s="83">
        <v>1178687.0</v>
      </c>
      <c r="BH698" s="112"/>
      <c r="BI698" s="112">
        <v>2.0</v>
      </c>
      <c r="BJ698" s="98" t="s">
        <v>155</v>
      </c>
      <c r="BK698" s="99">
        <f t="shared" si="11"/>
        <v>0</v>
      </c>
      <c r="BL698" s="99">
        <f t="shared" si="12"/>
        <v>36</v>
      </c>
      <c r="BM698" s="99" t="str">
        <f>IFERROR(__xludf.DUMMYFUNCTION("IFERROR(VLOOKUP(BG698,IMPORTRANGE(""https://docs.google.com/spreadsheets/d/1juPI-Fb8LD0YtltB2mlGEnp_R3UVu1t3wSFPzgCyHXE/edit?gid=0#gid=0"",""GERAL!A2:C""),3,0),""-"")"),"-")</f>
        <v>-</v>
      </c>
    </row>
    <row r="699" ht="15.75" customHeight="1">
      <c r="A699" s="111" t="s">
        <v>796</v>
      </c>
      <c r="B699" s="83" t="s">
        <v>2159</v>
      </c>
      <c r="C699" s="83" t="s">
        <v>164</v>
      </c>
      <c r="D699" s="112">
        <v>1179111.0</v>
      </c>
      <c r="E699" s="83">
        <v>1178681.0</v>
      </c>
      <c r="F699" s="98">
        <v>2.9456509E7</v>
      </c>
      <c r="G699" s="114" t="s">
        <v>3318</v>
      </c>
      <c r="H699" s="91" t="s">
        <v>3304</v>
      </c>
      <c r="I699" s="83" t="s">
        <v>149</v>
      </c>
      <c r="J699" s="83" t="s">
        <v>3319</v>
      </c>
      <c r="K699" s="83" t="s">
        <v>168</v>
      </c>
      <c r="L699" s="83" t="s">
        <v>169</v>
      </c>
      <c r="M699" s="82" t="str">
        <f>IFERROR(__xludf.DUMMYFUNCTION("IFERROR(VLOOKUP(D699,
IMPORTRANGE(""https://docs.google.com/spreadsheets/d/1MjHtlUikwobi2MaWJgy7tfLeBmhj1u-dRFRs_8GwSoA/edit#gid=0"",""Gestores Escolares!D7:J""),3,0),""VERIFICAR CÓD SEC"")"),"ADAILSON BARBOSA GOMES")</f>
        <v>ADAILSON BARBOSA GOMES</v>
      </c>
      <c r="N699" s="82" t="str">
        <f>IFERROR(__xludf.DUMMYFUNCTION("IFERROR(VLOOKUP(D699,
IMPORTRANGE(""https://docs.google.com/spreadsheets/d/1MjHtlUikwobi2MaWJgy7tfLeBmhj1u-dRFRs_8GwSoA/edit#gid=0"",""Gestores Escolares!D7:J""),4,0),""VERIFICAR CÓD SEC"")"),"(74) 9 8828-2249")</f>
        <v>(74) 9 8828-2249</v>
      </c>
      <c r="O699" s="82" t="str">
        <f>IFERROR(__xludf.DUMMYFUNCTION("IFERROR(VLOOKUP(D699,
IMPORTRANGE(""https://docs.google.com/spreadsheets/d/1MjHtlUikwobi2MaWJgy7tfLeBmhj1u-dRFRs_8GwSoA/edit#gid=0"",""Gestores Escolares!D7:J""),6,0),""VERIFICAR CÓD SEC"")"),"JOSE NELSON ALVES DA SILVA")</f>
        <v>JOSE NELSON ALVES DA SILVA</v>
      </c>
      <c r="P699" s="82" t="str">
        <f>IFERROR(__xludf.DUMMYFUNCTION("IFERROR(VLOOKUP(D699,
IMPORTRANGE(""https://docs.google.com/spreadsheets/d/1MjHtlUikwobi2MaWJgy7tfLeBmhj1u-dRFRs_8GwSoA/edit#gid=0"",""Gestores Escolares!D7:J""),7,0),""VERIFICAR CÓD SEC"")"),"(74) 9 8862-1210")</f>
        <v>(74) 9 8862-1210</v>
      </c>
      <c r="Q699" s="82" t="str">
        <f>IFERROR(__xludf.DUMMYFUNCTION("IFERROR(VLOOKUP(D699,
IMPORTRANGE(""https://docs.google.com/spreadsheets/d/1MjHtlUikwobi2MaWJgy7tfLeBmhj1u-dRFRs_8GwSoA/edit#gid=0"",""Gestores Escolares!D7:m""),9,0),""VERIFICAR CÓD SEC"")"),"JOSEMAR RODRIGUES SANTOS")</f>
        <v>JOSEMAR RODRIGUES SANTOS</v>
      </c>
      <c r="R699" s="82" t="str">
        <f>IFERROR(__xludf.DUMMYFUNCTION("IFERROR(VLOOKUP(D699,
IMPORTRANGE(""https://docs.google.com/spreadsheets/d/1MjHtlUikwobi2MaWJgy7tfLeBmhj1u-dRFRs_8GwSoA/edit#gid=0"",""Gestores Escolares!D7:m""),10,0),""VERIFICAR CÓD SEC"")"),"(74) 9 8832-3106")</f>
        <v>(74) 9 8832-3106</v>
      </c>
      <c r="S699" s="82"/>
      <c r="T699" s="138">
        <v>3.0</v>
      </c>
      <c r="U699" s="139">
        <v>3.0</v>
      </c>
      <c r="V699" s="106">
        <v>0.0</v>
      </c>
      <c r="W699" s="107">
        <v>0.0</v>
      </c>
      <c r="X699" s="107">
        <v>0.0</v>
      </c>
      <c r="Y699" s="107">
        <v>0.0</v>
      </c>
      <c r="Z699" s="80">
        <f t="shared" si="1"/>
        <v>0</v>
      </c>
      <c r="AA699" s="106">
        <v>0.0</v>
      </c>
      <c r="AB699" s="107">
        <v>0.0</v>
      </c>
      <c r="AC699" s="107">
        <v>0.0</v>
      </c>
      <c r="AD699" s="107">
        <v>0.0</v>
      </c>
      <c r="AE699" s="80">
        <f t="shared" si="2"/>
        <v>0</v>
      </c>
      <c r="AF699" s="140">
        <v>0.0</v>
      </c>
      <c r="AG699" s="109">
        <v>21.0</v>
      </c>
      <c r="AH699" s="109">
        <v>63.0</v>
      </c>
      <c r="AI699" s="141">
        <v>0.0</v>
      </c>
      <c r="AJ699" s="80">
        <f t="shared" si="3"/>
        <v>84</v>
      </c>
      <c r="AK699" s="140">
        <v>0.0</v>
      </c>
      <c r="AL699" s="109">
        <v>0.0</v>
      </c>
      <c r="AM699" s="141">
        <v>0.0</v>
      </c>
      <c r="AN699" s="80">
        <f t="shared" si="4"/>
        <v>0</v>
      </c>
      <c r="AO699" s="140">
        <v>0.0</v>
      </c>
      <c r="AP699" s="109">
        <v>0.0</v>
      </c>
      <c r="AQ699" s="109">
        <v>0.0</v>
      </c>
      <c r="AR699" s="80">
        <f t="shared" si="5"/>
        <v>0</v>
      </c>
      <c r="AS699" s="110">
        <v>0.0</v>
      </c>
      <c r="AT699" s="110">
        <v>0.0</v>
      </c>
      <c r="AU699" s="110">
        <v>0.0</v>
      </c>
      <c r="AV699" s="142">
        <v>0.0</v>
      </c>
      <c r="AW699" s="80">
        <f t="shared" si="6"/>
        <v>0</v>
      </c>
      <c r="AX699" s="113">
        <f t="shared" si="7"/>
        <v>84</v>
      </c>
      <c r="AY699" s="117">
        <f t="shared" si="8"/>
        <v>21</v>
      </c>
      <c r="AZ699" s="120">
        <f t="shared" si="9"/>
        <v>63</v>
      </c>
      <c r="BA699" s="115">
        <v>0.0</v>
      </c>
      <c r="BB699" s="89">
        <f t="shared" si="10"/>
        <v>84</v>
      </c>
      <c r="BC699" s="132" t="s">
        <v>178</v>
      </c>
      <c r="BD699" s="143" t="s">
        <v>227</v>
      </c>
      <c r="BE699" s="132" t="s">
        <v>178</v>
      </c>
      <c r="BF699" s="181"/>
      <c r="BG699" s="83">
        <v>1178681.0</v>
      </c>
      <c r="BH699" s="112"/>
      <c r="BI699" s="112">
        <v>3.0</v>
      </c>
      <c r="BJ699" s="98" t="s">
        <v>155</v>
      </c>
      <c r="BK699" s="99">
        <f t="shared" si="11"/>
        <v>0</v>
      </c>
      <c r="BL699" s="99">
        <f t="shared" si="12"/>
        <v>21</v>
      </c>
      <c r="BM699" s="99" t="str">
        <f>IFERROR(__xludf.DUMMYFUNCTION("IFERROR(VLOOKUP(BG699,IMPORTRANGE(""https://docs.google.com/spreadsheets/d/1juPI-Fb8LD0YtltB2mlGEnp_R3UVu1t3wSFPzgCyHXE/edit?gid=0#gid=0"",""GERAL!A2:C""),3,0),""-"")"),"-")</f>
        <v>-</v>
      </c>
    </row>
    <row r="700" ht="15.75" customHeight="1">
      <c r="A700" s="111" t="s">
        <v>796</v>
      </c>
      <c r="B700" s="83" t="s">
        <v>2159</v>
      </c>
      <c r="C700" s="83" t="s">
        <v>164</v>
      </c>
      <c r="D700" s="112">
        <v>1179111.0</v>
      </c>
      <c r="E700" s="83">
        <v>1178685.0</v>
      </c>
      <c r="F700" s="98">
        <v>2.9456509E7</v>
      </c>
      <c r="G700" s="114" t="s">
        <v>3320</v>
      </c>
      <c r="H700" s="91" t="s">
        <v>3321</v>
      </c>
      <c r="I700" s="83" t="s">
        <v>149</v>
      </c>
      <c r="J700" s="83" t="s">
        <v>3319</v>
      </c>
      <c r="K700" s="83" t="s">
        <v>168</v>
      </c>
      <c r="L700" s="83" t="s">
        <v>169</v>
      </c>
      <c r="M700" s="82" t="str">
        <f>IFERROR(__xludf.DUMMYFUNCTION("IFERROR(VLOOKUP(D700,
IMPORTRANGE(""https://docs.google.com/spreadsheets/d/1MjHtlUikwobi2MaWJgy7tfLeBmhj1u-dRFRs_8GwSoA/edit#gid=0"",""Gestores Escolares!D7:J""),3,0),""VERIFICAR CÓD SEC"")"),"ADAILSON BARBOSA GOMES")</f>
        <v>ADAILSON BARBOSA GOMES</v>
      </c>
      <c r="N700" s="82" t="str">
        <f>IFERROR(__xludf.DUMMYFUNCTION("IFERROR(VLOOKUP(D700,
IMPORTRANGE(""https://docs.google.com/spreadsheets/d/1MjHtlUikwobi2MaWJgy7tfLeBmhj1u-dRFRs_8GwSoA/edit#gid=0"",""Gestores Escolares!D7:J""),4,0),""VERIFICAR CÓD SEC"")"),"(74) 9 8828-2249")</f>
        <v>(74) 9 8828-2249</v>
      </c>
      <c r="O700" s="82" t="str">
        <f>IFERROR(__xludf.DUMMYFUNCTION("IFERROR(VLOOKUP(D700,
IMPORTRANGE(""https://docs.google.com/spreadsheets/d/1MjHtlUikwobi2MaWJgy7tfLeBmhj1u-dRFRs_8GwSoA/edit#gid=0"",""Gestores Escolares!D7:J""),6,0),""VERIFICAR CÓD SEC"")"),"JOSE NELSON ALVES DA SILVA")</f>
        <v>JOSE NELSON ALVES DA SILVA</v>
      </c>
      <c r="P700" s="82" t="str">
        <f>IFERROR(__xludf.DUMMYFUNCTION("IFERROR(VLOOKUP(D700,
IMPORTRANGE(""https://docs.google.com/spreadsheets/d/1MjHtlUikwobi2MaWJgy7tfLeBmhj1u-dRFRs_8GwSoA/edit#gid=0"",""Gestores Escolares!D7:J""),7,0),""VERIFICAR CÓD SEC"")"),"(74) 9 8862-1210")</f>
        <v>(74) 9 8862-1210</v>
      </c>
      <c r="Q700" s="82" t="str">
        <f>IFERROR(__xludf.DUMMYFUNCTION("IFERROR(VLOOKUP(D700,
IMPORTRANGE(""https://docs.google.com/spreadsheets/d/1MjHtlUikwobi2MaWJgy7tfLeBmhj1u-dRFRs_8GwSoA/edit#gid=0"",""Gestores Escolares!D7:m""),9,0),""VERIFICAR CÓD SEC"")"),"JOSEMAR RODRIGUES SANTOS")</f>
        <v>JOSEMAR RODRIGUES SANTOS</v>
      </c>
      <c r="R700" s="82" t="str">
        <f>IFERROR(__xludf.DUMMYFUNCTION("IFERROR(VLOOKUP(D700,
IMPORTRANGE(""https://docs.google.com/spreadsheets/d/1MjHtlUikwobi2MaWJgy7tfLeBmhj1u-dRFRs_8GwSoA/edit#gid=0"",""Gestores Escolares!D7:m""),10,0),""VERIFICAR CÓD SEC"")"),"(74) 9 8832-3106")</f>
        <v>(74) 9 8832-3106</v>
      </c>
      <c r="S700" s="82"/>
      <c r="T700" s="138">
        <v>1.0</v>
      </c>
      <c r="U700" s="139">
        <v>1.0</v>
      </c>
      <c r="V700" s="106">
        <v>0.0</v>
      </c>
      <c r="W700" s="107">
        <v>0.0</v>
      </c>
      <c r="X700" s="107">
        <v>0.0</v>
      </c>
      <c r="Y700" s="107">
        <v>0.0</v>
      </c>
      <c r="Z700" s="80">
        <f t="shared" si="1"/>
        <v>0</v>
      </c>
      <c r="AA700" s="106">
        <v>0.0</v>
      </c>
      <c r="AB700" s="107">
        <v>0.0</v>
      </c>
      <c r="AC700" s="107">
        <v>0.0</v>
      </c>
      <c r="AD700" s="107">
        <v>0.0</v>
      </c>
      <c r="AE700" s="80">
        <f t="shared" si="2"/>
        <v>0</v>
      </c>
      <c r="AF700" s="140">
        <v>12.0</v>
      </c>
      <c r="AG700" s="109">
        <v>29.0</v>
      </c>
      <c r="AH700" s="109">
        <v>0.0</v>
      </c>
      <c r="AI700" s="141">
        <v>0.0</v>
      </c>
      <c r="AJ700" s="80">
        <f t="shared" si="3"/>
        <v>41</v>
      </c>
      <c r="AK700" s="140">
        <v>0.0</v>
      </c>
      <c r="AL700" s="109">
        <v>0.0</v>
      </c>
      <c r="AM700" s="141">
        <v>0.0</v>
      </c>
      <c r="AN700" s="80">
        <f t="shared" si="4"/>
        <v>0</v>
      </c>
      <c r="AO700" s="140">
        <v>0.0</v>
      </c>
      <c r="AP700" s="109">
        <v>0.0</v>
      </c>
      <c r="AQ700" s="109">
        <v>0.0</v>
      </c>
      <c r="AR700" s="80">
        <f t="shared" si="5"/>
        <v>0</v>
      </c>
      <c r="AS700" s="110">
        <v>0.0</v>
      </c>
      <c r="AT700" s="110">
        <v>0.0</v>
      </c>
      <c r="AU700" s="110">
        <v>0.0</v>
      </c>
      <c r="AV700" s="142">
        <v>0.0</v>
      </c>
      <c r="AW700" s="80">
        <f t="shared" si="6"/>
        <v>0</v>
      </c>
      <c r="AX700" s="113">
        <f t="shared" si="7"/>
        <v>41</v>
      </c>
      <c r="AY700" s="117">
        <f t="shared" si="8"/>
        <v>41</v>
      </c>
      <c r="AZ700" s="120">
        <f t="shared" si="9"/>
        <v>0</v>
      </c>
      <c r="BA700" s="115">
        <v>0.0</v>
      </c>
      <c r="BB700" s="89">
        <f t="shared" si="10"/>
        <v>41</v>
      </c>
      <c r="BC700" s="132" t="s">
        <v>178</v>
      </c>
      <c r="BD700" s="143" t="s">
        <v>227</v>
      </c>
      <c r="BE700" s="132" t="s">
        <v>178</v>
      </c>
      <c r="BF700" s="123"/>
      <c r="BG700" s="83">
        <v>1178685.0</v>
      </c>
      <c r="BH700" s="112"/>
      <c r="BI700" s="112">
        <v>1.0</v>
      </c>
      <c r="BJ700" s="98" t="s">
        <v>155</v>
      </c>
      <c r="BK700" s="99">
        <f t="shared" si="11"/>
        <v>0</v>
      </c>
      <c r="BL700" s="99">
        <f t="shared" si="12"/>
        <v>41</v>
      </c>
      <c r="BM700" s="99" t="str">
        <f>IFERROR(__xludf.DUMMYFUNCTION("IFERROR(VLOOKUP(BG700,IMPORTRANGE(""https://docs.google.com/spreadsheets/d/1juPI-Fb8LD0YtltB2mlGEnp_R3UVu1t3wSFPzgCyHXE/edit?gid=0#gid=0"",""GERAL!A2:C""),3,0),""-"")"),"-")</f>
        <v>-</v>
      </c>
    </row>
    <row r="701" ht="15.75" customHeight="1">
      <c r="A701" s="111" t="s">
        <v>796</v>
      </c>
      <c r="B701" s="83" t="s">
        <v>2159</v>
      </c>
      <c r="C701" s="83" t="s">
        <v>164</v>
      </c>
      <c r="D701" s="112">
        <v>1179111.0</v>
      </c>
      <c r="E701" s="83">
        <v>1178684.0</v>
      </c>
      <c r="F701" s="98">
        <v>2.9456509E7</v>
      </c>
      <c r="G701" s="114" t="s">
        <v>3324</v>
      </c>
      <c r="H701" s="91" t="s">
        <v>3325</v>
      </c>
      <c r="I701" s="83" t="s">
        <v>149</v>
      </c>
      <c r="J701" s="83" t="s">
        <v>657</v>
      </c>
      <c r="K701" s="83" t="s">
        <v>168</v>
      </c>
      <c r="L701" s="83" t="s">
        <v>169</v>
      </c>
      <c r="M701" s="82" t="str">
        <f>IFERROR(__xludf.DUMMYFUNCTION("IFERROR(VLOOKUP(D701,
IMPORTRANGE(""https://docs.google.com/spreadsheets/d/1MjHtlUikwobi2MaWJgy7tfLeBmhj1u-dRFRs_8GwSoA/edit#gid=0"",""Gestores Escolares!D7:J""),3,0),""VERIFICAR CÓD SEC"")"),"ADAILSON BARBOSA GOMES")</f>
        <v>ADAILSON BARBOSA GOMES</v>
      </c>
      <c r="N701" s="82" t="str">
        <f>IFERROR(__xludf.DUMMYFUNCTION("IFERROR(VLOOKUP(D701,
IMPORTRANGE(""https://docs.google.com/spreadsheets/d/1MjHtlUikwobi2MaWJgy7tfLeBmhj1u-dRFRs_8GwSoA/edit#gid=0"",""Gestores Escolares!D7:J""),4,0),""VERIFICAR CÓD SEC"")"),"(74) 9 8828-2249")</f>
        <v>(74) 9 8828-2249</v>
      </c>
      <c r="O701" s="82" t="str">
        <f>IFERROR(__xludf.DUMMYFUNCTION("IFERROR(VLOOKUP(D701,
IMPORTRANGE(""https://docs.google.com/spreadsheets/d/1MjHtlUikwobi2MaWJgy7tfLeBmhj1u-dRFRs_8GwSoA/edit#gid=0"",""Gestores Escolares!D7:J""),6,0),""VERIFICAR CÓD SEC"")"),"JOSE NELSON ALVES DA SILVA")</f>
        <v>JOSE NELSON ALVES DA SILVA</v>
      </c>
      <c r="P701" s="82" t="str">
        <f>IFERROR(__xludf.DUMMYFUNCTION("IFERROR(VLOOKUP(D701,
IMPORTRANGE(""https://docs.google.com/spreadsheets/d/1MjHtlUikwobi2MaWJgy7tfLeBmhj1u-dRFRs_8GwSoA/edit#gid=0"",""Gestores Escolares!D7:J""),7,0),""VERIFICAR CÓD SEC"")"),"(74) 9 8862-1210")</f>
        <v>(74) 9 8862-1210</v>
      </c>
      <c r="Q701" s="82" t="str">
        <f>IFERROR(__xludf.DUMMYFUNCTION("IFERROR(VLOOKUP(D701,
IMPORTRANGE(""https://docs.google.com/spreadsheets/d/1MjHtlUikwobi2MaWJgy7tfLeBmhj1u-dRFRs_8GwSoA/edit#gid=0"",""Gestores Escolares!D7:m""),9,0),""VERIFICAR CÓD SEC"")"),"JOSEMAR RODRIGUES SANTOS")</f>
        <v>JOSEMAR RODRIGUES SANTOS</v>
      </c>
      <c r="R701" s="82" t="str">
        <f>IFERROR(__xludf.DUMMYFUNCTION("IFERROR(VLOOKUP(D701,
IMPORTRANGE(""https://docs.google.com/spreadsheets/d/1MjHtlUikwobi2MaWJgy7tfLeBmhj1u-dRFRs_8GwSoA/edit#gid=0"",""Gestores Escolares!D7:m""),10,0),""VERIFICAR CÓD SEC"")"),"(74) 9 8832-3106")</f>
        <v>(74) 9 8832-3106</v>
      </c>
      <c r="S701" s="82"/>
      <c r="T701" s="138">
        <v>1.0</v>
      </c>
      <c r="U701" s="388">
        <v>9.0</v>
      </c>
      <c r="V701" s="106">
        <v>0.0</v>
      </c>
      <c r="W701" s="107">
        <v>0.0</v>
      </c>
      <c r="X701" s="107">
        <v>0.0</v>
      </c>
      <c r="Y701" s="107">
        <v>0.0</v>
      </c>
      <c r="Z701" s="80">
        <f t="shared" si="1"/>
        <v>0</v>
      </c>
      <c r="AA701" s="106">
        <v>0.0</v>
      </c>
      <c r="AB701" s="107">
        <v>0.0</v>
      </c>
      <c r="AC701" s="107">
        <v>0.0</v>
      </c>
      <c r="AD701" s="107">
        <v>0.0</v>
      </c>
      <c r="AE701" s="80">
        <f t="shared" si="2"/>
        <v>0</v>
      </c>
      <c r="AF701" s="140">
        <v>14.0</v>
      </c>
      <c r="AG701" s="109">
        <v>29.0</v>
      </c>
      <c r="AH701" s="109">
        <v>0.0</v>
      </c>
      <c r="AI701" s="141">
        <v>0.0</v>
      </c>
      <c r="AJ701" s="80">
        <f t="shared" si="3"/>
        <v>43</v>
      </c>
      <c r="AK701" s="140">
        <v>0.0</v>
      </c>
      <c r="AL701" s="109">
        <v>0.0</v>
      </c>
      <c r="AM701" s="141">
        <v>0.0</v>
      </c>
      <c r="AN701" s="80">
        <f t="shared" si="4"/>
        <v>0</v>
      </c>
      <c r="AO701" s="140">
        <v>0.0</v>
      </c>
      <c r="AP701" s="109">
        <v>0.0</v>
      </c>
      <c r="AQ701" s="109">
        <v>0.0</v>
      </c>
      <c r="AR701" s="80">
        <f t="shared" si="5"/>
        <v>0</v>
      </c>
      <c r="AS701" s="110">
        <v>0.0</v>
      </c>
      <c r="AT701" s="110">
        <v>0.0</v>
      </c>
      <c r="AU701" s="110">
        <v>0.0</v>
      </c>
      <c r="AV701" s="142">
        <v>0.0</v>
      </c>
      <c r="AW701" s="80">
        <f t="shared" si="6"/>
        <v>0</v>
      </c>
      <c r="AX701" s="113">
        <f t="shared" si="7"/>
        <v>43</v>
      </c>
      <c r="AY701" s="117">
        <f t="shared" si="8"/>
        <v>43</v>
      </c>
      <c r="AZ701" s="120">
        <f t="shared" si="9"/>
        <v>0</v>
      </c>
      <c r="BA701" s="115">
        <v>0.0</v>
      </c>
      <c r="BB701" s="89">
        <f t="shared" si="10"/>
        <v>43</v>
      </c>
      <c r="BC701" s="132" t="s">
        <v>178</v>
      </c>
      <c r="BD701" s="143" t="s">
        <v>227</v>
      </c>
      <c r="BE701" s="132" t="s">
        <v>178</v>
      </c>
      <c r="BF701" s="123"/>
      <c r="BG701" s="83">
        <v>1178684.0</v>
      </c>
      <c r="BH701" s="98"/>
      <c r="BI701" s="98">
        <v>9.0</v>
      </c>
      <c r="BJ701" s="98" t="s">
        <v>155</v>
      </c>
      <c r="BK701" s="99">
        <f t="shared" si="11"/>
        <v>0</v>
      </c>
      <c r="BL701" s="99">
        <f t="shared" si="12"/>
        <v>43</v>
      </c>
      <c r="BM701" s="99" t="str">
        <f>IFERROR(__xludf.DUMMYFUNCTION("IFERROR(VLOOKUP(BG701,IMPORTRANGE(""https://docs.google.com/spreadsheets/d/1juPI-Fb8LD0YtltB2mlGEnp_R3UVu1t3wSFPzgCyHXE/edit?gid=0#gid=0"",""GERAL!A2:C""),3,0),""-"")"),"-")</f>
        <v>-</v>
      </c>
    </row>
    <row r="702" ht="15.75" customHeight="1">
      <c r="A702" s="111" t="s">
        <v>796</v>
      </c>
      <c r="B702" s="83" t="s">
        <v>2234</v>
      </c>
      <c r="C702" s="83" t="s">
        <v>68</v>
      </c>
      <c r="D702" s="98">
        <v>1179841.0</v>
      </c>
      <c r="E702" s="83"/>
      <c r="F702" s="98">
        <v>2.9031761E7</v>
      </c>
      <c r="G702" s="119" t="s">
        <v>10074</v>
      </c>
      <c r="H702" s="91" t="s">
        <v>3326</v>
      </c>
      <c r="I702" s="83" t="s">
        <v>149</v>
      </c>
      <c r="J702" s="83" t="s">
        <v>150</v>
      </c>
      <c r="K702" s="83" t="s">
        <v>151</v>
      </c>
      <c r="L702" s="98" t="s">
        <v>230</v>
      </c>
      <c r="M702" s="82" t="str">
        <f>IFERROR(__xludf.DUMMYFUNCTION("IFERROR(VLOOKUP(D702,
IMPORTRANGE(""https://docs.google.com/spreadsheets/d/1MjHtlUikwobi2MaWJgy7tfLeBmhj1u-dRFRs_8GwSoA/edit#gid=0"",""Gestores Escolares!D7:J""),3,0),""VERIFICAR CÓD SEC"")"),"EM TRAMITES PARA NOMEAÇÃO E JUNÇÃO")</f>
        <v>EM TRAMITES PARA NOMEAÇÃO E JUNÇÃO</v>
      </c>
      <c r="N702" s="82" t="str">
        <f>IFERROR(__xludf.DUMMYFUNCTION("IFERROR(VLOOKUP(D702,
IMPORTRANGE(""https://docs.google.com/spreadsheets/d/1MjHtlUikwobi2MaWJgy7tfLeBmhj1u-dRFRs_8GwSoA/edit#gid=0"",""Gestores Escolares!D7:J""),4,0),""VERIFICAR CÓD SEC"")"),"")</f>
        <v/>
      </c>
      <c r="O702" s="82" t="str">
        <f>IFERROR(__xludf.DUMMYFUNCTION("IFERROR(VLOOKUP(D702,
IMPORTRANGE(""https://docs.google.com/spreadsheets/d/1MjHtlUikwobi2MaWJgy7tfLeBmhj1u-dRFRs_8GwSoA/edit#gid=0"",""Gestores Escolares!D7:J""),6,0),""VERIFICAR CÓD SEC"")"),"")</f>
        <v/>
      </c>
      <c r="P702" s="82" t="str">
        <f>IFERROR(__xludf.DUMMYFUNCTION("IFERROR(VLOOKUP(D702,
IMPORTRANGE(""https://docs.google.com/spreadsheets/d/1MjHtlUikwobi2MaWJgy7tfLeBmhj1u-dRFRs_8GwSoA/edit#gid=0"",""Gestores Escolares!D7:J""),7,0),""VERIFICAR CÓD SEC"")"),"")</f>
        <v/>
      </c>
      <c r="Q702" s="82" t="str">
        <f>IFERROR(__xludf.DUMMYFUNCTION("IFERROR(VLOOKUP(D702,
IMPORTRANGE(""https://docs.google.com/spreadsheets/d/1MjHtlUikwobi2MaWJgy7tfLeBmhj1u-dRFRs_8GwSoA/edit#gid=0"",""Gestores Escolares!D7:m""),9,0),""VERIFICAR CÓD SEC"")"),"")</f>
        <v/>
      </c>
      <c r="R702" s="82" t="str">
        <f>IFERROR(__xludf.DUMMYFUNCTION("IFERROR(VLOOKUP(D702,
IMPORTRANGE(""https://docs.google.com/spreadsheets/d/1MjHtlUikwobi2MaWJgy7tfLeBmhj1u-dRFRs_8GwSoA/edit#gid=0"",""Gestores Escolares!D7:m""),10,0),""VERIFICAR CÓD SEC"")"),"")</f>
        <v/>
      </c>
      <c r="S702" s="82"/>
      <c r="T702" s="138">
        <v>10.0</v>
      </c>
      <c r="U702" s="388">
        <v>22.0</v>
      </c>
      <c r="V702" s="106">
        <v>0.0</v>
      </c>
      <c r="W702" s="107">
        <v>0.0</v>
      </c>
      <c r="X702" s="107">
        <v>0.0</v>
      </c>
      <c r="Y702" s="107">
        <v>0.0</v>
      </c>
      <c r="Z702" s="80">
        <f t="shared" si="1"/>
        <v>0</v>
      </c>
      <c r="AA702" s="106">
        <v>0.0</v>
      </c>
      <c r="AB702" s="107">
        <v>0.0</v>
      </c>
      <c r="AC702" s="107">
        <v>0.0</v>
      </c>
      <c r="AD702" s="107">
        <v>0.0</v>
      </c>
      <c r="AE702" s="80">
        <f t="shared" si="2"/>
        <v>0</v>
      </c>
      <c r="AF702" s="140">
        <v>163.0</v>
      </c>
      <c r="AG702" s="109">
        <v>0.0</v>
      </c>
      <c r="AH702" s="109">
        <v>0.0</v>
      </c>
      <c r="AI702" s="141">
        <v>521.0</v>
      </c>
      <c r="AJ702" s="80">
        <f t="shared" si="3"/>
        <v>684</v>
      </c>
      <c r="AK702" s="140">
        <v>0.0</v>
      </c>
      <c r="AL702" s="109">
        <v>0.0</v>
      </c>
      <c r="AM702" s="141">
        <v>0.0</v>
      </c>
      <c r="AN702" s="80">
        <f t="shared" si="4"/>
        <v>0</v>
      </c>
      <c r="AO702" s="140">
        <v>0.0</v>
      </c>
      <c r="AP702" s="109">
        <v>0.0</v>
      </c>
      <c r="AQ702" s="109">
        <v>121.0</v>
      </c>
      <c r="AR702" s="80">
        <f t="shared" si="5"/>
        <v>121</v>
      </c>
      <c r="AS702" s="110">
        <v>143.0</v>
      </c>
      <c r="AT702" s="110">
        <v>112.0</v>
      </c>
      <c r="AU702" s="110">
        <v>63.0</v>
      </c>
      <c r="AV702" s="142">
        <v>0.0</v>
      </c>
      <c r="AW702" s="80">
        <f t="shared" si="6"/>
        <v>318</v>
      </c>
      <c r="AX702" s="113">
        <f t="shared" si="7"/>
        <v>1123</v>
      </c>
      <c r="AY702" s="117">
        <f t="shared" si="8"/>
        <v>939</v>
      </c>
      <c r="AZ702" s="120">
        <f t="shared" si="9"/>
        <v>184</v>
      </c>
      <c r="BA702" s="115">
        <v>0.0</v>
      </c>
      <c r="BB702" s="89">
        <f t="shared" si="10"/>
        <v>1123</v>
      </c>
      <c r="BC702" s="132" t="s">
        <v>178</v>
      </c>
      <c r="BD702" s="132" t="s">
        <v>178</v>
      </c>
      <c r="BE702" s="132" t="s">
        <v>178</v>
      </c>
      <c r="BF702" s="156"/>
      <c r="BG702" s="98">
        <v>1179841.0</v>
      </c>
      <c r="BH702" s="98"/>
      <c r="BI702" s="98">
        <v>13.0</v>
      </c>
      <c r="BJ702" s="98" t="s">
        <v>176</v>
      </c>
      <c r="BK702" s="99">
        <f t="shared" si="11"/>
        <v>521</v>
      </c>
      <c r="BL702" s="99">
        <f t="shared" si="12"/>
        <v>418</v>
      </c>
      <c r="BM702" s="99" t="str">
        <f>IFERROR(__xludf.DUMMYFUNCTION("IFERROR(VLOOKUP(BG702,IMPORTRANGE(""https://docs.google.com/spreadsheets/d/1juPI-Fb8LD0YtltB2mlGEnp_R3UVu1t3wSFPzgCyHXE/edit?gid=0#gid=0"",""GERAL!A2:C""),3,0),""-"")"),"-")</f>
        <v>-</v>
      </c>
    </row>
    <row r="703" ht="15.75" customHeight="1">
      <c r="A703" s="111" t="s">
        <v>796</v>
      </c>
      <c r="B703" s="83" t="s">
        <v>2234</v>
      </c>
      <c r="C703" s="83" t="s">
        <v>164</v>
      </c>
      <c r="D703" s="112">
        <v>1179111.0</v>
      </c>
      <c r="E703" s="212">
        <v>1179774.0</v>
      </c>
      <c r="F703" s="98">
        <v>2.9456509E7</v>
      </c>
      <c r="G703" s="209" t="s">
        <v>3328</v>
      </c>
      <c r="H703" s="108" t="s">
        <v>3329</v>
      </c>
      <c r="I703" s="229"/>
      <c r="J703" s="229"/>
      <c r="K703" s="83" t="s">
        <v>168</v>
      </c>
      <c r="L703" s="83" t="s">
        <v>169</v>
      </c>
      <c r="M703" s="82" t="str">
        <f>IFERROR(__xludf.DUMMYFUNCTION("IFERROR(VLOOKUP(D703,
IMPORTRANGE(""https://docs.google.com/spreadsheets/d/1MjHtlUikwobi2MaWJgy7tfLeBmhj1u-dRFRs_8GwSoA/edit#gid=0"",""Gestores Escolares!D7:J""),3,0),""VERIFICAR CÓD SEC"")"),"ADAILSON BARBOSA GOMES")</f>
        <v>ADAILSON BARBOSA GOMES</v>
      </c>
      <c r="N703" s="82" t="str">
        <f>IFERROR(__xludf.DUMMYFUNCTION("IFERROR(VLOOKUP(D703,
IMPORTRANGE(""https://docs.google.com/spreadsheets/d/1MjHtlUikwobi2MaWJgy7tfLeBmhj1u-dRFRs_8GwSoA/edit#gid=0"",""Gestores Escolares!D7:J""),4,0),""VERIFICAR CÓD SEC"")"),"(74) 9 8828-2249")</f>
        <v>(74) 9 8828-2249</v>
      </c>
      <c r="O703" s="82" t="str">
        <f>IFERROR(__xludf.DUMMYFUNCTION("IFERROR(VLOOKUP(D703,
IMPORTRANGE(""https://docs.google.com/spreadsheets/d/1MjHtlUikwobi2MaWJgy7tfLeBmhj1u-dRFRs_8GwSoA/edit#gid=0"",""Gestores Escolares!D7:J""),6,0),""VERIFICAR CÓD SEC"")"),"JOSE NELSON ALVES DA SILVA")</f>
        <v>JOSE NELSON ALVES DA SILVA</v>
      </c>
      <c r="P703" s="82" t="str">
        <f>IFERROR(__xludf.DUMMYFUNCTION("IFERROR(VLOOKUP(D703,
IMPORTRANGE(""https://docs.google.com/spreadsheets/d/1MjHtlUikwobi2MaWJgy7tfLeBmhj1u-dRFRs_8GwSoA/edit#gid=0"",""Gestores Escolares!D7:J""),7,0),""VERIFICAR CÓD SEC"")"),"(74) 9 8862-1210")</f>
        <v>(74) 9 8862-1210</v>
      </c>
      <c r="Q703" s="82" t="str">
        <f>IFERROR(__xludf.DUMMYFUNCTION("IFERROR(VLOOKUP(D703,
IMPORTRANGE(""https://docs.google.com/spreadsheets/d/1MjHtlUikwobi2MaWJgy7tfLeBmhj1u-dRFRs_8GwSoA/edit#gid=0"",""Gestores Escolares!D7:m""),9,0),""VERIFICAR CÓD SEC"")"),"JOSEMAR RODRIGUES SANTOS")</f>
        <v>JOSEMAR RODRIGUES SANTOS</v>
      </c>
      <c r="R703" s="82" t="str">
        <f>IFERROR(__xludf.DUMMYFUNCTION("IFERROR(VLOOKUP(D703,
IMPORTRANGE(""https://docs.google.com/spreadsheets/d/1MjHtlUikwobi2MaWJgy7tfLeBmhj1u-dRFRs_8GwSoA/edit#gid=0"",""Gestores Escolares!D7:m""),10,0),""VERIFICAR CÓD SEC"")"),"(74) 9 8832-3106")</f>
        <v>(74) 9 8832-3106</v>
      </c>
      <c r="S703" s="82"/>
      <c r="T703" s="138"/>
      <c r="U703" s="388">
        <v>1.0</v>
      </c>
      <c r="V703" s="106">
        <v>0.0</v>
      </c>
      <c r="W703" s="107">
        <v>0.0</v>
      </c>
      <c r="X703" s="107">
        <v>0.0</v>
      </c>
      <c r="Y703" s="107">
        <v>0.0</v>
      </c>
      <c r="Z703" s="80">
        <f t="shared" si="1"/>
        <v>0</v>
      </c>
      <c r="AA703" s="106">
        <v>0.0</v>
      </c>
      <c r="AB703" s="107">
        <v>0.0</v>
      </c>
      <c r="AC703" s="107">
        <v>0.0</v>
      </c>
      <c r="AD703" s="107">
        <v>0.0</v>
      </c>
      <c r="AE703" s="80">
        <f t="shared" si="2"/>
        <v>0</v>
      </c>
      <c r="AF703" s="225">
        <v>0.0</v>
      </c>
      <c r="AG703" s="226">
        <v>15.0</v>
      </c>
      <c r="AH703" s="226">
        <v>0.0</v>
      </c>
      <c r="AI703" s="227">
        <v>0.0</v>
      </c>
      <c r="AJ703" s="80">
        <f t="shared" si="3"/>
        <v>15</v>
      </c>
      <c r="AK703" s="140">
        <v>0.0</v>
      </c>
      <c r="AL703" s="109">
        <v>0.0</v>
      </c>
      <c r="AM703" s="141">
        <v>0.0</v>
      </c>
      <c r="AN703" s="80">
        <f t="shared" si="4"/>
        <v>0</v>
      </c>
      <c r="AO703" s="225">
        <v>0.0</v>
      </c>
      <c r="AP703" s="226">
        <v>0.0</v>
      </c>
      <c r="AQ703" s="226">
        <v>0.0</v>
      </c>
      <c r="AR703" s="80">
        <f t="shared" si="5"/>
        <v>0</v>
      </c>
      <c r="AS703" s="110">
        <v>0.0</v>
      </c>
      <c r="AT703" s="110">
        <v>0.0</v>
      </c>
      <c r="AU703" s="110">
        <v>0.0</v>
      </c>
      <c r="AV703" s="142">
        <v>0.0</v>
      </c>
      <c r="AW703" s="80">
        <f t="shared" si="6"/>
        <v>0</v>
      </c>
      <c r="AX703" s="113">
        <f t="shared" si="7"/>
        <v>15</v>
      </c>
      <c r="AY703" s="117">
        <f t="shared" si="8"/>
        <v>15</v>
      </c>
      <c r="AZ703" s="120">
        <f t="shared" si="9"/>
        <v>0</v>
      </c>
      <c r="BA703" s="115">
        <v>0.0</v>
      </c>
      <c r="BB703" s="89">
        <f t="shared" si="10"/>
        <v>15</v>
      </c>
      <c r="BC703" s="132"/>
      <c r="BD703" s="132" t="s">
        <v>227</v>
      </c>
      <c r="BE703" s="132"/>
      <c r="BF703" s="123"/>
      <c r="BG703" s="98">
        <v>1179774.0</v>
      </c>
      <c r="BH703" s="112"/>
      <c r="BI703" s="112"/>
      <c r="BJ703" s="98" t="s">
        <v>155</v>
      </c>
      <c r="BK703" s="99">
        <f t="shared" si="11"/>
        <v>0</v>
      </c>
      <c r="BL703" s="99">
        <f t="shared" si="12"/>
        <v>15</v>
      </c>
      <c r="BM703" s="99" t="str">
        <f>IFERROR(__xludf.DUMMYFUNCTION("IFERROR(VLOOKUP(BG703,IMPORTRANGE(""https://docs.google.com/spreadsheets/d/1juPI-Fb8LD0YtltB2mlGEnp_R3UVu1t3wSFPzgCyHXE/edit?gid=0#gid=0"",""GERAL!A2:C""),3,0),""-"")"),"-")</f>
        <v>-</v>
      </c>
    </row>
    <row r="704" ht="15.75" customHeight="1">
      <c r="A704" s="111" t="s">
        <v>796</v>
      </c>
      <c r="B704" s="83" t="s">
        <v>2234</v>
      </c>
      <c r="C704" s="83" t="s">
        <v>164</v>
      </c>
      <c r="D704" s="112">
        <v>1120990.0</v>
      </c>
      <c r="E704" s="189">
        <v>1178703.0</v>
      </c>
      <c r="F704" s="98">
        <v>2.9491886E7</v>
      </c>
      <c r="G704" s="209" t="s">
        <v>3331</v>
      </c>
      <c r="H704" s="91" t="s">
        <v>3332</v>
      </c>
      <c r="I704" s="214" t="s">
        <v>3333</v>
      </c>
      <c r="J704" s="83" t="s">
        <v>3334</v>
      </c>
      <c r="K704" s="83" t="s">
        <v>151</v>
      </c>
      <c r="L704" s="83" t="s">
        <v>169</v>
      </c>
      <c r="M704" s="82" t="str">
        <f>IFERROR(__xludf.DUMMYFUNCTION("IFERROR(VLOOKUP(D704,
IMPORTRANGE(""https://docs.google.com/spreadsheets/d/1MjHtlUikwobi2MaWJgy7tfLeBmhj1u-dRFRs_8GwSoA/edit#gid=0"",""Gestores Escolares!D7:J""),3,0),""VERIFICAR CÓD SEC"")"),"MARIA DO SOCORRO COSTA DOS SANTOS")</f>
        <v>MARIA DO SOCORRO COSTA DOS SANTOS</v>
      </c>
      <c r="N704" s="82" t="str">
        <f>IFERROR(__xludf.DUMMYFUNCTION("IFERROR(VLOOKUP(D704,
IMPORTRANGE(""https://docs.google.com/spreadsheets/d/1MjHtlUikwobi2MaWJgy7tfLeBmhj1u-dRFRs_8GwSoA/edit#gid=0"",""Gestores Escolares!D7:J""),4,0),""VERIFICAR CÓD SEC"")"),"(74) 9 8109-2046")</f>
        <v>(74) 9 8109-2046</v>
      </c>
      <c r="O704" s="82" t="str">
        <f>IFERROR(__xludf.DUMMYFUNCTION("IFERROR(VLOOKUP(D704,
IMPORTRANGE(""https://docs.google.com/spreadsheets/d/1MjHtlUikwobi2MaWJgy7tfLeBmhj1u-dRFRs_8GwSoA/edit#gid=0"",""Gestores Escolares!D7:J""),6,0),""VERIFICAR CÓD SEC"")"),"LISANDRAY NUNES DA SILVA ALMEIDA SANTOS")</f>
        <v>LISANDRAY NUNES DA SILVA ALMEIDA SANTOS</v>
      </c>
      <c r="P704" s="82" t="str">
        <f>IFERROR(__xludf.DUMMYFUNCTION("IFERROR(VLOOKUP(D704,
IMPORTRANGE(""https://docs.google.com/spreadsheets/d/1MjHtlUikwobi2MaWJgy7tfLeBmhj1u-dRFRs_8GwSoA/edit#gid=0"",""Gestores Escolares!D7:J""),7,0),""VERIFICAR CÓD SEC"")"),"(74) 9 8111-4741")</f>
        <v>(74) 9 8111-4741</v>
      </c>
      <c r="Q704" s="82" t="str">
        <f>IFERROR(__xludf.DUMMYFUNCTION("IFERROR(VLOOKUP(D704,
IMPORTRANGE(""https://docs.google.com/spreadsheets/d/1MjHtlUikwobi2MaWJgy7tfLeBmhj1u-dRFRs_8GwSoA/edit#gid=0"",""Gestores Escolares!D7:m""),9,0),""VERIFICAR CÓD SEC"")"),"")</f>
        <v/>
      </c>
      <c r="R704" s="82" t="str">
        <f>IFERROR(__xludf.DUMMYFUNCTION("IFERROR(VLOOKUP(D704,
IMPORTRANGE(""https://docs.google.com/spreadsheets/d/1MjHtlUikwobi2MaWJgy7tfLeBmhj1u-dRFRs_8GwSoA/edit#gid=0"",""Gestores Escolares!D7:m""),10,0),""VERIFICAR CÓD SEC"")"),"")</f>
        <v/>
      </c>
      <c r="S704" s="82"/>
      <c r="T704" s="138">
        <v>3.0</v>
      </c>
      <c r="U704" s="416">
        <v>3.0</v>
      </c>
      <c r="V704" s="106">
        <v>0.0</v>
      </c>
      <c r="W704" s="107">
        <v>0.0</v>
      </c>
      <c r="X704" s="107">
        <v>0.0</v>
      </c>
      <c r="Y704" s="107">
        <v>0.0</v>
      </c>
      <c r="Z704" s="80">
        <f t="shared" si="1"/>
        <v>0</v>
      </c>
      <c r="AA704" s="106">
        <v>0.0</v>
      </c>
      <c r="AB704" s="107">
        <v>0.0</v>
      </c>
      <c r="AC704" s="107">
        <v>0.0</v>
      </c>
      <c r="AD704" s="107">
        <v>0.0</v>
      </c>
      <c r="AE704" s="80">
        <f t="shared" si="2"/>
        <v>0</v>
      </c>
      <c r="AF704" s="140">
        <v>0.0</v>
      </c>
      <c r="AG704" s="109">
        <v>0.0</v>
      </c>
      <c r="AH704" s="109">
        <v>0.0</v>
      </c>
      <c r="AI704" s="141">
        <v>0.0</v>
      </c>
      <c r="AJ704" s="80">
        <f t="shared" si="3"/>
        <v>0</v>
      </c>
      <c r="AK704" s="140">
        <v>0.0</v>
      </c>
      <c r="AL704" s="109">
        <v>0.0</v>
      </c>
      <c r="AM704" s="141">
        <v>0.0</v>
      </c>
      <c r="AN704" s="80">
        <f t="shared" si="4"/>
        <v>0</v>
      </c>
      <c r="AO704" s="140">
        <v>0.0</v>
      </c>
      <c r="AP704" s="109">
        <v>0.0</v>
      </c>
      <c r="AQ704" s="109">
        <v>33.0</v>
      </c>
      <c r="AR704" s="80">
        <f t="shared" si="5"/>
        <v>33</v>
      </c>
      <c r="AS704" s="110">
        <v>0.0</v>
      </c>
      <c r="AT704" s="110">
        <v>0.0</v>
      </c>
      <c r="AU704" s="110">
        <v>0.0</v>
      </c>
      <c r="AV704" s="142">
        <v>0.0</v>
      </c>
      <c r="AW704" s="80">
        <f t="shared" si="6"/>
        <v>0</v>
      </c>
      <c r="AX704" s="113">
        <f t="shared" si="7"/>
        <v>33</v>
      </c>
      <c r="AY704" s="117">
        <f t="shared" si="8"/>
        <v>0</v>
      </c>
      <c r="AZ704" s="120">
        <f t="shared" si="9"/>
        <v>33</v>
      </c>
      <c r="BA704" s="115">
        <v>0.0</v>
      </c>
      <c r="BB704" s="89">
        <f t="shared" si="10"/>
        <v>33</v>
      </c>
      <c r="BC704" s="132" t="s">
        <v>373</v>
      </c>
      <c r="BD704" s="132" t="s">
        <v>178</v>
      </c>
      <c r="BE704" s="132" t="s">
        <v>178</v>
      </c>
      <c r="BF704" s="123"/>
      <c r="BG704" s="83">
        <v>1178703.0</v>
      </c>
      <c r="BH704" s="112"/>
      <c r="BI704" s="112">
        <v>3.0</v>
      </c>
      <c r="BJ704" s="98" t="s">
        <v>155</v>
      </c>
      <c r="BK704" s="99">
        <f t="shared" si="11"/>
        <v>0</v>
      </c>
      <c r="BL704" s="99">
        <f t="shared" si="12"/>
        <v>0</v>
      </c>
      <c r="BM704" s="99" t="str">
        <f>IFERROR(__xludf.DUMMYFUNCTION("IFERROR(VLOOKUP(BG704,IMPORTRANGE(""https://docs.google.com/spreadsheets/d/1juPI-Fb8LD0YtltB2mlGEnp_R3UVu1t3wSFPzgCyHXE/edit?gid=0#gid=0"",""GERAL!A2:C""),3,0),""-"")"),"CAMPO")</f>
        <v>CAMPO</v>
      </c>
    </row>
    <row r="705" ht="15.75" customHeight="1">
      <c r="A705" s="111" t="s">
        <v>796</v>
      </c>
      <c r="B705" s="83" t="s">
        <v>2234</v>
      </c>
      <c r="C705" s="191" t="s">
        <v>164</v>
      </c>
      <c r="D705" s="112">
        <v>1120990.0</v>
      </c>
      <c r="E705" s="83">
        <v>1178700.0</v>
      </c>
      <c r="F705" s="395">
        <v>2.9491878E7</v>
      </c>
      <c r="G705" s="119" t="s">
        <v>3335</v>
      </c>
      <c r="H705" s="91" t="s">
        <v>3336</v>
      </c>
      <c r="I705" s="214" t="s">
        <v>3337</v>
      </c>
      <c r="J705" s="83" t="s">
        <v>2410</v>
      </c>
      <c r="K705" s="83" t="s">
        <v>168</v>
      </c>
      <c r="L705" s="83" t="s">
        <v>169</v>
      </c>
      <c r="M705" s="82" t="str">
        <f>IFERROR(__xludf.DUMMYFUNCTION("IFERROR(VLOOKUP(D705,
IMPORTRANGE(""https://docs.google.com/spreadsheets/d/1MjHtlUikwobi2MaWJgy7tfLeBmhj1u-dRFRs_8GwSoA/edit#gid=0"",""Gestores Escolares!D7:J""),3,0),""VERIFICAR CÓD SEC"")"),"MARIA DO SOCORRO COSTA DOS SANTOS")</f>
        <v>MARIA DO SOCORRO COSTA DOS SANTOS</v>
      </c>
      <c r="N705" s="82" t="str">
        <f>IFERROR(__xludf.DUMMYFUNCTION("IFERROR(VLOOKUP(D705,
IMPORTRANGE(""https://docs.google.com/spreadsheets/d/1MjHtlUikwobi2MaWJgy7tfLeBmhj1u-dRFRs_8GwSoA/edit#gid=0"",""Gestores Escolares!D7:J""),4,0),""VERIFICAR CÓD SEC"")"),"(74) 9 8109-2046")</f>
        <v>(74) 9 8109-2046</v>
      </c>
      <c r="O705" s="82" t="str">
        <f>IFERROR(__xludf.DUMMYFUNCTION("IFERROR(VLOOKUP(D705,
IMPORTRANGE(""https://docs.google.com/spreadsheets/d/1MjHtlUikwobi2MaWJgy7tfLeBmhj1u-dRFRs_8GwSoA/edit#gid=0"",""Gestores Escolares!D7:J""),6,0),""VERIFICAR CÓD SEC"")"),"LISANDRAY NUNES DA SILVA ALMEIDA SANTOS")</f>
        <v>LISANDRAY NUNES DA SILVA ALMEIDA SANTOS</v>
      </c>
      <c r="P705" s="82" t="str">
        <f>IFERROR(__xludf.DUMMYFUNCTION("IFERROR(VLOOKUP(D705,
IMPORTRANGE(""https://docs.google.com/spreadsheets/d/1MjHtlUikwobi2MaWJgy7tfLeBmhj1u-dRFRs_8GwSoA/edit#gid=0"",""Gestores Escolares!D7:J""),7,0),""VERIFICAR CÓD SEC"")"),"(74) 9 8111-4741")</f>
        <v>(74) 9 8111-4741</v>
      </c>
      <c r="Q705" s="82" t="str">
        <f>IFERROR(__xludf.DUMMYFUNCTION("IFERROR(VLOOKUP(D705,
IMPORTRANGE(""https://docs.google.com/spreadsheets/d/1MjHtlUikwobi2MaWJgy7tfLeBmhj1u-dRFRs_8GwSoA/edit#gid=0"",""Gestores Escolares!D7:m""),9,0),""VERIFICAR CÓD SEC"")"),"")</f>
        <v/>
      </c>
      <c r="R705" s="82" t="str">
        <f>IFERROR(__xludf.DUMMYFUNCTION("IFERROR(VLOOKUP(D705,
IMPORTRANGE(""https://docs.google.com/spreadsheets/d/1MjHtlUikwobi2MaWJgy7tfLeBmhj1u-dRFRs_8GwSoA/edit#gid=0"",""Gestores Escolares!D7:m""),10,0),""VERIFICAR CÓD SEC"")"),"")</f>
        <v/>
      </c>
      <c r="S705" s="82"/>
      <c r="T705" s="138">
        <v>3.0</v>
      </c>
      <c r="U705" s="416">
        <v>3.0</v>
      </c>
      <c r="V705" s="106">
        <v>0.0</v>
      </c>
      <c r="W705" s="107">
        <v>0.0</v>
      </c>
      <c r="X705" s="107">
        <v>0.0</v>
      </c>
      <c r="Y705" s="107">
        <v>0.0</v>
      </c>
      <c r="Z705" s="80">
        <f t="shared" si="1"/>
        <v>0</v>
      </c>
      <c r="AA705" s="106">
        <v>0.0</v>
      </c>
      <c r="AB705" s="107">
        <v>0.0</v>
      </c>
      <c r="AC705" s="107">
        <v>0.0</v>
      </c>
      <c r="AD705" s="107">
        <v>0.0</v>
      </c>
      <c r="AE705" s="80">
        <f t="shared" si="2"/>
        <v>0</v>
      </c>
      <c r="AF705" s="140">
        <v>0.0</v>
      </c>
      <c r="AG705" s="109">
        <v>0.0</v>
      </c>
      <c r="AH705" s="109">
        <v>0.0</v>
      </c>
      <c r="AI705" s="141">
        <v>0.0</v>
      </c>
      <c r="AJ705" s="80">
        <f t="shared" si="3"/>
        <v>0</v>
      </c>
      <c r="AK705" s="140">
        <v>0.0</v>
      </c>
      <c r="AL705" s="109">
        <v>0.0</v>
      </c>
      <c r="AM705" s="141">
        <v>0.0</v>
      </c>
      <c r="AN705" s="80">
        <f t="shared" si="4"/>
        <v>0</v>
      </c>
      <c r="AO705" s="140">
        <v>0.0</v>
      </c>
      <c r="AP705" s="109">
        <v>0.0</v>
      </c>
      <c r="AQ705" s="109">
        <v>55.0</v>
      </c>
      <c r="AR705" s="80">
        <f t="shared" si="5"/>
        <v>55</v>
      </c>
      <c r="AS705" s="110">
        <v>0.0</v>
      </c>
      <c r="AT705" s="110">
        <v>0.0</v>
      </c>
      <c r="AU705" s="110">
        <v>0.0</v>
      </c>
      <c r="AV705" s="142">
        <v>0.0</v>
      </c>
      <c r="AW705" s="80">
        <f t="shared" si="6"/>
        <v>0</v>
      </c>
      <c r="AX705" s="113">
        <f t="shared" si="7"/>
        <v>55</v>
      </c>
      <c r="AY705" s="117">
        <f t="shared" si="8"/>
        <v>0</v>
      </c>
      <c r="AZ705" s="120">
        <f t="shared" si="9"/>
        <v>55</v>
      </c>
      <c r="BA705" s="115">
        <v>0.0</v>
      </c>
      <c r="BB705" s="89">
        <f t="shared" si="10"/>
        <v>55</v>
      </c>
      <c r="BC705" s="132" t="s">
        <v>373</v>
      </c>
      <c r="BD705" s="132" t="s">
        <v>178</v>
      </c>
      <c r="BE705" s="132" t="s">
        <v>178</v>
      </c>
      <c r="BF705" s="123"/>
      <c r="BG705" s="83">
        <v>1178700.0</v>
      </c>
      <c r="BH705" s="112"/>
      <c r="BI705" s="112">
        <v>3.0</v>
      </c>
      <c r="BJ705" s="98" t="s">
        <v>155</v>
      </c>
      <c r="BK705" s="99">
        <f t="shared" si="11"/>
        <v>0</v>
      </c>
      <c r="BL705" s="99">
        <f t="shared" si="12"/>
        <v>0</v>
      </c>
      <c r="BM705" s="99" t="str">
        <f>IFERROR(__xludf.DUMMYFUNCTION("IFERROR(VLOOKUP(BG705,IMPORTRANGE(""https://docs.google.com/spreadsheets/d/1juPI-Fb8LD0YtltB2mlGEnp_R3UVu1t3wSFPzgCyHXE/edit?gid=0#gid=0"",""GERAL!A2:C""),3,0),""-"")"),"CAMPO")</f>
        <v>CAMPO</v>
      </c>
    </row>
    <row r="706" ht="15.75" customHeight="1">
      <c r="A706" s="111" t="s">
        <v>796</v>
      </c>
      <c r="B706" s="83" t="s">
        <v>2234</v>
      </c>
      <c r="C706" s="83" t="s">
        <v>164</v>
      </c>
      <c r="D706" s="112">
        <v>1120990.0</v>
      </c>
      <c r="E706" s="83">
        <v>1178690.0</v>
      </c>
      <c r="F706" s="98">
        <v>2.949186E7</v>
      </c>
      <c r="G706" s="119" t="s">
        <v>3338</v>
      </c>
      <c r="H706" s="91" t="s">
        <v>3339</v>
      </c>
      <c r="I706" s="172" t="s">
        <v>3340</v>
      </c>
      <c r="J706" s="83" t="s">
        <v>568</v>
      </c>
      <c r="K706" s="83" t="s">
        <v>151</v>
      </c>
      <c r="L706" s="83" t="s">
        <v>169</v>
      </c>
      <c r="M706" s="82" t="str">
        <f>IFERROR(__xludf.DUMMYFUNCTION("IFERROR(VLOOKUP(D706,
IMPORTRANGE(""https://docs.google.com/spreadsheets/d/1MjHtlUikwobi2MaWJgy7tfLeBmhj1u-dRFRs_8GwSoA/edit#gid=0"",""Gestores Escolares!D7:J""),3,0),""VERIFICAR CÓD SEC"")"),"MARIA DO SOCORRO COSTA DOS SANTOS")</f>
        <v>MARIA DO SOCORRO COSTA DOS SANTOS</v>
      </c>
      <c r="N706" s="82" t="str">
        <f>IFERROR(__xludf.DUMMYFUNCTION("IFERROR(VLOOKUP(D706,
IMPORTRANGE(""https://docs.google.com/spreadsheets/d/1MjHtlUikwobi2MaWJgy7tfLeBmhj1u-dRFRs_8GwSoA/edit#gid=0"",""Gestores Escolares!D7:J""),4,0),""VERIFICAR CÓD SEC"")"),"(74) 9 8109-2046")</f>
        <v>(74) 9 8109-2046</v>
      </c>
      <c r="O706" s="82" t="str">
        <f>IFERROR(__xludf.DUMMYFUNCTION("IFERROR(VLOOKUP(D706,
IMPORTRANGE(""https://docs.google.com/spreadsheets/d/1MjHtlUikwobi2MaWJgy7tfLeBmhj1u-dRFRs_8GwSoA/edit#gid=0"",""Gestores Escolares!D7:J""),6,0),""VERIFICAR CÓD SEC"")"),"LISANDRAY NUNES DA SILVA ALMEIDA SANTOS")</f>
        <v>LISANDRAY NUNES DA SILVA ALMEIDA SANTOS</v>
      </c>
      <c r="P706" s="82" t="str">
        <f>IFERROR(__xludf.DUMMYFUNCTION("IFERROR(VLOOKUP(D706,
IMPORTRANGE(""https://docs.google.com/spreadsheets/d/1MjHtlUikwobi2MaWJgy7tfLeBmhj1u-dRFRs_8GwSoA/edit#gid=0"",""Gestores Escolares!D7:J""),7,0),""VERIFICAR CÓD SEC"")"),"(74) 9 8111-4741")</f>
        <v>(74) 9 8111-4741</v>
      </c>
      <c r="Q706" s="82" t="str">
        <f>IFERROR(__xludf.DUMMYFUNCTION("IFERROR(VLOOKUP(D706,
IMPORTRANGE(""https://docs.google.com/spreadsheets/d/1MjHtlUikwobi2MaWJgy7tfLeBmhj1u-dRFRs_8GwSoA/edit#gid=0"",""Gestores Escolares!D7:m""),9,0),""VERIFICAR CÓD SEC"")"),"")</f>
        <v/>
      </c>
      <c r="R706" s="82" t="str">
        <f>IFERROR(__xludf.DUMMYFUNCTION("IFERROR(VLOOKUP(D706,
IMPORTRANGE(""https://docs.google.com/spreadsheets/d/1MjHtlUikwobi2MaWJgy7tfLeBmhj1u-dRFRs_8GwSoA/edit#gid=0"",""Gestores Escolares!D7:m""),10,0),""VERIFICAR CÓD SEC"")"),"")</f>
        <v/>
      </c>
      <c r="S706" s="82"/>
      <c r="T706" s="138">
        <v>4.0</v>
      </c>
      <c r="U706" s="388">
        <v>3.0</v>
      </c>
      <c r="V706" s="106">
        <v>0.0</v>
      </c>
      <c r="W706" s="107">
        <v>0.0</v>
      </c>
      <c r="X706" s="107">
        <v>0.0</v>
      </c>
      <c r="Y706" s="107">
        <v>0.0</v>
      </c>
      <c r="Z706" s="80">
        <f t="shared" si="1"/>
        <v>0</v>
      </c>
      <c r="AA706" s="106">
        <v>0.0</v>
      </c>
      <c r="AB706" s="107">
        <v>0.0</v>
      </c>
      <c r="AC706" s="107">
        <v>0.0</v>
      </c>
      <c r="AD706" s="107">
        <v>0.0</v>
      </c>
      <c r="AE706" s="80">
        <f t="shared" si="2"/>
        <v>0</v>
      </c>
      <c r="AF706" s="140">
        <v>0.0</v>
      </c>
      <c r="AG706" s="109">
        <v>128.0</v>
      </c>
      <c r="AH706" s="109">
        <v>0.0</v>
      </c>
      <c r="AI706" s="141">
        <v>0.0</v>
      </c>
      <c r="AJ706" s="80">
        <f t="shared" si="3"/>
        <v>128</v>
      </c>
      <c r="AK706" s="140">
        <v>0.0</v>
      </c>
      <c r="AL706" s="109">
        <v>0.0</v>
      </c>
      <c r="AM706" s="141">
        <v>0.0</v>
      </c>
      <c r="AN706" s="80">
        <f t="shared" si="4"/>
        <v>0</v>
      </c>
      <c r="AO706" s="140">
        <v>0.0</v>
      </c>
      <c r="AP706" s="109">
        <v>0.0</v>
      </c>
      <c r="AQ706" s="109">
        <v>38.0</v>
      </c>
      <c r="AR706" s="80">
        <f t="shared" si="5"/>
        <v>38</v>
      </c>
      <c r="AS706" s="110">
        <v>0.0</v>
      </c>
      <c r="AT706" s="110">
        <v>0.0</v>
      </c>
      <c r="AU706" s="110">
        <v>0.0</v>
      </c>
      <c r="AV706" s="142">
        <v>0.0</v>
      </c>
      <c r="AW706" s="80">
        <f t="shared" si="6"/>
        <v>0</v>
      </c>
      <c r="AX706" s="113">
        <f t="shared" si="7"/>
        <v>166</v>
      </c>
      <c r="AY706" s="117">
        <f t="shared" si="8"/>
        <v>128</v>
      </c>
      <c r="AZ706" s="120">
        <f t="shared" si="9"/>
        <v>38</v>
      </c>
      <c r="BA706" s="115">
        <v>0.0</v>
      </c>
      <c r="BB706" s="89">
        <f t="shared" si="10"/>
        <v>166</v>
      </c>
      <c r="BC706" s="132" t="s">
        <v>373</v>
      </c>
      <c r="BD706" s="132" t="s">
        <v>178</v>
      </c>
      <c r="BE706" s="132" t="s">
        <v>178</v>
      </c>
      <c r="BF706" s="123"/>
      <c r="BG706" s="83">
        <v>1178690.0</v>
      </c>
      <c r="BH706" s="112"/>
      <c r="BI706" s="112">
        <v>3.0</v>
      </c>
      <c r="BJ706" s="98" t="s">
        <v>155</v>
      </c>
      <c r="BK706" s="99">
        <f t="shared" si="11"/>
        <v>0</v>
      </c>
      <c r="BL706" s="99">
        <f t="shared" si="12"/>
        <v>128</v>
      </c>
      <c r="BM706" s="99" t="str">
        <f>IFERROR(__xludf.DUMMYFUNCTION("IFERROR(VLOOKUP(BG706,IMPORTRANGE(""https://docs.google.com/spreadsheets/d/1juPI-Fb8LD0YtltB2mlGEnp_R3UVu1t3wSFPzgCyHXE/edit?gid=0#gid=0"",""GERAL!A2:C""),3,0),""-"")"),"CAMPO")</f>
        <v>CAMPO</v>
      </c>
    </row>
    <row r="707" ht="15.75" customHeight="1">
      <c r="A707" s="111" t="s">
        <v>796</v>
      </c>
      <c r="B707" s="83" t="s">
        <v>2234</v>
      </c>
      <c r="C707" s="83" t="s">
        <v>164</v>
      </c>
      <c r="D707" s="112">
        <v>1179111.0</v>
      </c>
      <c r="E707" s="98">
        <v>1179771.0</v>
      </c>
      <c r="F707" s="98">
        <v>2.9456509E7</v>
      </c>
      <c r="G707" s="119" t="s">
        <v>3341</v>
      </c>
      <c r="H707" s="108" t="s">
        <v>3342</v>
      </c>
      <c r="I707" s="229"/>
      <c r="J707" s="229"/>
      <c r="K707" s="98" t="s">
        <v>168</v>
      </c>
      <c r="L707" s="83"/>
      <c r="M707" s="82" t="str">
        <f>IFERROR(__xludf.DUMMYFUNCTION("IFERROR(VLOOKUP(D707,
IMPORTRANGE(""https://docs.google.com/spreadsheets/d/1MjHtlUikwobi2MaWJgy7tfLeBmhj1u-dRFRs_8GwSoA/edit#gid=0"",""Gestores Escolares!D7:J""),3,0),""VERIFICAR CÓD SEC"")"),"ADAILSON BARBOSA GOMES")</f>
        <v>ADAILSON BARBOSA GOMES</v>
      </c>
      <c r="N707" s="82" t="str">
        <f>IFERROR(__xludf.DUMMYFUNCTION("IFERROR(VLOOKUP(D707,
IMPORTRANGE(""https://docs.google.com/spreadsheets/d/1MjHtlUikwobi2MaWJgy7tfLeBmhj1u-dRFRs_8GwSoA/edit#gid=0"",""Gestores Escolares!D7:J""),4,0),""VERIFICAR CÓD SEC"")"),"(74) 9 8828-2249")</f>
        <v>(74) 9 8828-2249</v>
      </c>
      <c r="O707" s="82" t="str">
        <f>IFERROR(__xludf.DUMMYFUNCTION("IFERROR(VLOOKUP(D707,
IMPORTRANGE(""https://docs.google.com/spreadsheets/d/1MjHtlUikwobi2MaWJgy7tfLeBmhj1u-dRFRs_8GwSoA/edit#gid=0"",""Gestores Escolares!D7:J""),6,0),""VERIFICAR CÓD SEC"")"),"JOSE NELSON ALVES DA SILVA")</f>
        <v>JOSE NELSON ALVES DA SILVA</v>
      </c>
      <c r="P707" s="82" t="str">
        <f>IFERROR(__xludf.DUMMYFUNCTION("IFERROR(VLOOKUP(D707,
IMPORTRANGE(""https://docs.google.com/spreadsheets/d/1MjHtlUikwobi2MaWJgy7tfLeBmhj1u-dRFRs_8GwSoA/edit#gid=0"",""Gestores Escolares!D7:J""),7,0),""VERIFICAR CÓD SEC"")"),"(74) 9 8862-1210")</f>
        <v>(74) 9 8862-1210</v>
      </c>
      <c r="Q707" s="82" t="str">
        <f>IFERROR(__xludf.DUMMYFUNCTION("IFERROR(VLOOKUP(D707,
IMPORTRANGE(""https://docs.google.com/spreadsheets/d/1MjHtlUikwobi2MaWJgy7tfLeBmhj1u-dRFRs_8GwSoA/edit#gid=0"",""Gestores Escolares!D7:m""),9,0),""VERIFICAR CÓD SEC"")"),"JOSEMAR RODRIGUES SANTOS")</f>
        <v>JOSEMAR RODRIGUES SANTOS</v>
      </c>
      <c r="R707" s="82" t="str">
        <f>IFERROR(__xludf.DUMMYFUNCTION("IFERROR(VLOOKUP(D707,
IMPORTRANGE(""https://docs.google.com/spreadsheets/d/1MjHtlUikwobi2MaWJgy7tfLeBmhj1u-dRFRs_8GwSoA/edit#gid=0"",""Gestores Escolares!D7:m""),10,0),""VERIFICAR CÓD SEC"")"),"(74) 9 8832-3106")</f>
        <v>(74) 9 8832-3106</v>
      </c>
      <c r="S707" s="82"/>
      <c r="T707" s="138"/>
      <c r="U707" s="388">
        <v>1.0</v>
      </c>
      <c r="V707" s="106">
        <v>0.0</v>
      </c>
      <c r="W707" s="107">
        <v>0.0</v>
      </c>
      <c r="X707" s="107">
        <v>0.0</v>
      </c>
      <c r="Y707" s="107">
        <v>0.0</v>
      </c>
      <c r="Z707" s="80">
        <f t="shared" si="1"/>
        <v>0</v>
      </c>
      <c r="AA707" s="106">
        <v>0.0</v>
      </c>
      <c r="AB707" s="107">
        <v>0.0</v>
      </c>
      <c r="AC707" s="107">
        <v>0.0</v>
      </c>
      <c r="AD707" s="107">
        <v>0.0</v>
      </c>
      <c r="AE707" s="80">
        <f t="shared" si="2"/>
        <v>0</v>
      </c>
      <c r="AF707" s="225">
        <v>0.0</v>
      </c>
      <c r="AG707" s="226">
        <v>0.0</v>
      </c>
      <c r="AH707" s="226">
        <v>4.0</v>
      </c>
      <c r="AI707" s="227">
        <v>0.0</v>
      </c>
      <c r="AJ707" s="80">
        <f t="shared" si="3"/>
        <v>4</v>
      </c>
      <c r="AK707" s="140">
        <v>0.0</v>
      </c>
      <c r="AL707" s="109">
        <v>0.0</v>
      </c>
      <c r="AM707" s="141">
        <v>0.0</v>
      </c>
      <c r="AN707" s="80">
        <f t="shared" si="4"/>
        <v>0</v>
      </c>
      <c r="AO707" s="225">
        <v>0.0</v>
      </c>
      <c r="AP707" s="226">
        <v>0.0</v>
      </c>
      <c r="AQ707" s="226">
        <v>0.0</v>
      </c>
      <c r="AR707" s="80">
        <f t="shared" si="5"/>
        <v>0</v>
      </c>
      <c r="AS707" s="110">
        <v>0.0</v>
      </c>
      <c r="AT707" s="110">
        <v>0.0</v>
      </c>
      <c r="AU707" s="110">
        <v>0.0</v>
      </c>
      <c r="AV707" s="142">
        <v>0.0</v>
      </c>
      <c r="AW707" s="80">
        <f t="shared" si="6"/>
        <v>0</v>
      </c>
      <c r="AX707" s="113">
        <f t="shared" si="7"/>
        <v>4</v>
      </c>
      <c r="AY707" s="117">
        <f t="shared" si="8"/>
        <v>0</v>
      </c>
      <c r="AZ707" s="120">
        <f t="shared" si="9"/>
        <v>4</v>
      </c>
      <c r="BA707" s="115">
        <v>0.0</v>
      </c>
      <c r="BB707" s="89">
        <f t="shared" si="10"/>
        <v>4</v>
      </c>
      <c r="BC707" s="132"/>
      <c r="BD707" s="132" t="s">
        <v>227</v>
      </c>
      <c r="BE707" s="132"/>
      <c r="BF707" s="123"/>
      <c r="BG707" s="98">
        <v>1179771.0</v>
      </c>
      <c r="BH707" s="112"/>
      <c r="BI707" s="112"/>
      <c r="BJ707" s="98" t="s">
        <v>155</v>
      </c>
      <c r="BK707" s="99">
        <f t="shared" si="11"/>
        <v>0</v>
      </c>
      <c r="BL707" s="99">
        <f t="shared" si="12"/>
        <v>0</v>
      </c>
      <c r="BM707" s="99" t="str">
        <f>IFERROR(__xludf.DUMMYFUNCTION("IFERROR(VLOOKUP(BG707,IMPORTRANGE(""https://docs.google.com/spreadsheets/d/1juPI-Fb8LD0YtltB2mlGEnp_R3UVu1t3wSFPzgCyHXE/edit?gid=0#gid=0"",""GERAL!A2:C""),3,0),""-"")"),"-")</f>
        <v>-</v>
      </c>
    </row>
    <row r="708" ht="15.75" customHeight="1">
      <c r="A708" s="111" t="s">
        <v>796</v>
      </c>
      <c r="B708" s="83" t="s">
        <v>2234</v>
      </c>
      <c r="C708" s="83" t="s">
        <v>164</v>
      </c>
      <c r="D708" s="112">
        <v>1179111.0</v>
      </c>
      <c r="E708" s="83">
        <v>1178699.0</v>
      </c>
      <c r="F708" s="98">
        <v>2.9456509E7</v>
      </c>
      <c r="G708" s="114" t="s">
        <v>3343</v>
      </c>
      <c r="H708" s="91" t="s">
        <v>3344</v>
      </c>
      <c r="I708" s="172" t="s">
        <v>171</v>
      </c>
      <c r="J708" s="83" t="s">
        <v>3345</v>
      </c>
      <c r="K708" s="83" t="s">
        <v>151</v>
      </c>
      <c r="L708" s="83" t="s">
        <v>169</v>
      </c>
      <c r="M708" s="82" t="str">
        <f>IFERROR(__xludf.DUMMYFUNCTION("IFERROR(VLOOKUP(D708,
IMPORTRANGE(""https://docs.google.com/spreadsheets/d/1MjHtlUikwobi2MaWJgy7tfLeBmhj1u-dRFRs_8GwSoA/edit#gid=0"",""Gestores Escolares!D7:J""),3,0),""VERIFICAR CÓD SEC"")"),"ADAILSON BARBOSA GOMES")</f>
        <v>ADAILSON BARBOSA GOMES</v>
      </c>
      <c r="N708" s="82" t="str">
        <f>IFERROR(__xludf.DUMMYFUNCTION("IFERROR(VLOOKUP(D708,
IMPORTRANGE(""https://docs.google.com/spreadsheets/d/1MjHtlUikwobi2MaWJgy7tfLeBmhj1u-dRFRs_8GwSoA/edit#gid=0"",""Gestores Escolares!D7:J""),4,0),""VERIFICAR CÓD SEC"")"),"(74) 9 8828-2249")</f>
        <v>(74) 9 8828-2249</v>
      </c>
      <c r="O708" s="82" t="str">
        <f>IFERROR(__xludf.DUMMYFUNCTION("IFERROR(VLOOKUP(D708,
IMPORTRANGE(""https://docs.google.com/spreadsheets/d/1MjHtlUikwobi2MaWJgy7tfLeBmhj1u-dRFRs_8GwSoA/edit#gid=0"",""Gestores Escolares!D7:J""),6,0),""VERIFICAR CÓD SEC"")"),"JOSE NELSON ALVES DA SILVA")</f>
        <v>JOSE NELSON ALVES DA SILVA</v>
      </c>
      <c r="P708" s="82" t="str">
        <f>IFERROR(__xludf.DUMMYFUNCTION("IFERROR(VLOOKUP(D708,
IMPORTRANGE(""https://docs.google.com/spreadsheets/d/1MjHtlUikwobi2MaWJgy7tfLeBmhj1u-dRFRs_8GwSoA/edit#gid=0"",""Gestores Escolares!D7:J""),7,0),""VERIFICAR CÓD SEC"")"),"(74) 9 8862-1210")</f>
        <v>(74) 9 8862-1210</v>
      </c>
      <c r="Q708" s="82" t="str">
        <f>IFERROR(__xludf.DUMMYFUNCTION("IFERROR(VLOOKUP(D708,
IMPORTRANGE(""https://docs.google.com/spreadsheets/d/1MjHtlUikwobi2MaWJgy7tfLeBmhj1u-dRFRs_8GwSoA/edit#gid=0"",""Gestores Escolares!D7:m""),9,0),""VERIFICAR CÓD SEC"")"),"JOSEMAR RODRIGUES SANTOS")</f>
        <v>JOSEMAR RODRIGUES SANTOS</v>
      </c>
      <c r="R708" s="82" t="str">
        <f>IFERROR(__xludf.DUMMYFUNCTION("IFERROR(VLOOKUP(D708,
IMPORTRANGE(""https://docs.google.com/spreadsheets/d/1MjHtlUikwobi2MaWJgy7tfLeBmhj1u-dRFRs_8GwSoA/edit#gid=0"",""Gestores Escolares!D7:m""),10,0),""VERIFICAR CÓD SEC"")"),"(74) 9 8832-3106")</f>
        <v>(74) 9 8832-3106</v>
      </c>
      <c r="S708" s="82"/>
      <c r="T708" s="138">
        <v>1.0</v>
      </c>
      <c r="U708" s="416">
        <v>1.0</v>
      </c>
      <c r="V708" s="106">
        <v>0.0</v>
      </c>
      <c r="W708" s="107">
        <v>0.0</v>
      </c>
      <c r="X708" s="107">
        <v>0.0</v>
      </c>
      <c r="Y708" s="107">
        <v>0.0</v>
      </c>
      <c r="Z708" s="80">
        <f t="shared" si="1"/>
        <v>0</v>
      </c>
      <c r="AA708" s="106">
        <v>0.0</v>
      </c>
      <c r="AB708" s="107">
        <v>0.0</v>
      </c>
      <c r="AC708" s="107">
        <v>0.0</v>
      </c>
      <c r="AD708" s="107">
        <v>0.0</v>
      </c>
      <c r="AE708" s="80">
        <f t="shared" si="2"/>
        <v>0</v>
      </c>
      <c r="AF708" s="140">
        <v>11.0</v>
      </c>
      <c r="AG708" s="109">
        <v>11.0</v>
      </c>
      <c r="AH708" s="109">
        <v>10.0</v>
      </c>
      <c r="AI708" s="141">
        <v>0.0</v>
      </c>
      <c r="AJ708" s="80">
        <f t="shared" si="3"/>
        <v>32</v>
      </c>
      <c r="AK708" s="140">
        <v>0.0</v>
      </c>
      <c r="AL708" s="109">
        <v>0.0</v>
      </c>
      <c r="AM708" s="141">
        <v>0.0</v>
      </c>
      <c r="AN708" s="80">
        <f t="shared" si="4"/>
        <v>0</v>
      </c>
      <c r="AO708" s="140">
        <v>0.0</v>
      </c>
      <c r="AP708" s="109">
        <v>0.0</v>
      </c>
      <c r="AQ708" s="109">
        <v>0.0</v>
      </c>
      <c r="AR708" s="80">
        <f t="shared" si="5"/>
        <v>0</v>
      </c>
      <c r="AS708" s="110">
        <v>0.0</v>
      </c>
      <c r="AT708" s="110">
        <v>0.0</v>
      </c>
      <c r="AU708" s="110">
        <v>0.0</v>
      </c>
      <c r="AV708" s="142">
        <v>0.0</v>
      </c>
      <c r="AW708" s="80">
        <f t="shared" si="6"/>
        <v>0</v>
      </c>
      <c r="AX708" s="113">
        <f t="shared" si="7"/>
        <v>32</v>
      </c>
      <c r="AY708" s="117">
        <f t="shared" si="8"/>
        <v>22</v>
      </c>
      <c r="AZ708" s="120">
        <f t="shared" si="9"/>
        <v>10</v>
      </c>
      <c r="BA708" s="115">
        <v>0.0</v>
      </c>
      <c r="BB708" s="89">
        <f t="shared" si="10"/>
        <v>32</v>
      </c>
      <c r="BC708" s="132" t="s">
        <v>178</v>
      </c>
      <c r="BD708" s="143" t="s">
        <v>227</v>
      </c>
      <c r="BE708" s="132" t="s">
        <v>178</v>
      </c>
      <c r="BF708" s="123"/>
      <c r="BG708" s="83">
        <v>1178699.0</v>
      </c>
      <c r="BH708" s="112"/>
      <c r="BI708" s="112">
        <v>1.0</v>
      </c>
      <c r="BJ708" s="98" t="s">
        <v>155</v>
      </c>
      <c r="BK708" s="99">
        <f t="shared" si="11"/>
        <v>0</v>
      </c>
      <c r="BL708" s="99">
        <f t="shared" si="12"/>
        <v>22</v>
      </c>
      <c r="BM708" s="99" t="str">
        <f>IFERROR(__xludf.DUMMYFUNCTION("IFERROR(VLOOKUP(BG708,IMPORTRANGE(""https://docs.google.com/spreadsheets/d/1juPI-Fb8LD0YtltB2mlGEnp_R3UVu1t3wSFPzgCyHXE/edit?gid=0#gid=0"",""GERAL!A2:C""),3,0),""-"")"),"-")</f>
        <v>-</v>
      </c>
    </row>
    <row r="709" ht="15.75" customHeight="1">
      <c r="A709" s="111" t="s">
        <v>796</v>
      </c>
      <c r="B709" s="83" t="s">
        <v>2234</v>
      </c>
      <c r="C709" s="83" t="s">
        <v>164</v>
      </c>
      <c r="D709" s="112">
        <v>1179111.0</v>
      </c>
      <c r="E709" s="83">
        <v>1178697.0</v>
      </c>
      <c r="F709" s="98">
        <v>2.9456509E7</v>
      </c>
      <c r="G709" s="114" t="s">
        <v>3346</v>
      </c>
      <c r="H709" s="91" t="s">
        <v>3347</v>
      </c>
      <c r="I709" s="172" t="s">
        <v>171</v>
      </c>
      <c r="J709" s="83" t="s">
        <v>3025</v>
      </c>
      <c r="K709" s="83" t="s">
        <v>168</v>
      </c>
      <c r="L709" s="83" t="s">
        <v>169</v>
      </c>
      <c r="M709" s="82" t="str">
        <f>IFERROR(__xludf.DUMMYFUNCTION("IFERROR(VLOOKUP(D709,
IMPORTRANGE(""https://docs.google.com/spreadsheets/d/1MjHtlUikwobi2MaWJgy7tfLeBmhj1u-dRFRs_8GwSoA/edit#gid=0"",""Gestores Escolares!D7:J""),3,0),""VERIFICAR CÓD SEC"")"),"ADAILSON BARBOSA GOMES")</f>
        <v>ADAILSON BARBOSA GOMES</v>
      </c>
      <c r="N709" s="82" t="str">
        <f>IFERROR(__xludf.DUMMYFUNCTION("IFERROR(VLOOKUP(D709,
IMPORTRANGE(""https://docs.google.com/spreadsheets/d/1MjHtlUikwobi2MaWJgy7tfLeBmhj1u-dRFRs_8GwSoA/edit#gid=0"",""Gestores Escolares!D7:J""),4,0),""VERIFICAR CÓD SEC"")"),"(74) 9 8828-2249")</f>
        <v>(74) 9 8828-2249</v>
      </c>
      <c r="O709" s="82" t="str">
        <f>IFERROR(__xludf.DUMMYFUNCTION("IFERROR(VLOOKUP(D709,
IMPORTRANGE(""https://docs.google.com/spreadsheets/d/1MjHtlUikwobi2MaWJgy7tfLeBmhj1u-dRFRs_8GwSoA/edit#gid=0"",""Gestores Escolares!D7:J""),6,0),""VERIFICAR CÓD SEC"")"),"JOSE NELSON ALVES DA SILVA")</f>
        <v>JOSE NELSON ALVES DA SILVA</v>
      </c>
      <c r="P709" s="82" t="str">
        <f>IFERROR(__xludf.DUMMYFUNCTION("IFERROR(VLOOKUP(D709,
IMPORTRANGE(""https://docs.google.com/spreadsheets/d/1MjHtlUikwobi2MaWJgy7tfLeBmhj1u-dRFRs_8GwSoA/edit#gid=0"",""Gestores Escolares!D7:J""),7,0),""VERIFICAR CÓD SEC"")"),"(74) 9 8862-1210")</f>
        <v>(74) 9 8862-1210</v>
      </c>
      <c r="Q709" s="82" t="str">
        <f>IFERROR(__xludf.DUMMYFUNCTION("IFERROR(VLOOKUP(D709,
IMPORTRANGE(""https://docs.google.com/spreadsheets/d/1MjHtlUikwobi2MaWJgy7tfLeBmhj1u-dRFRs_8GwSoA/edit#gid=0"",""Gestores Escolares!D7:m""),9,0),""VERIFICAR CÓD SEC"")"),"JOSEMAR RODRIGUES SANTOS")</f>
        <v>JOSEMAR RODRIGUES SANTOS</v>
      </c>
      <c r="R709" s="82" t="str">
        <f>IFERROR(__xludf.DUMMYFUNCTION("IFERROR(VLOOKUP(D709,
IMPORTRANGE(""https://docs.google.com/spreadsheets/d/1MjHtlUikwobi2MaWJgy7tfLeBmhj1u-dRFRs_8GwSoA/edit#gid=0"",""Gestores Escolares!D7:m""),10,0),""VERIFICAR CÓD SEC"")"),"(74) 9 8832-3106")</f>
        <v>(74) 9 8832-3106</v>
      </c>
      <c r="S709" s="82"/>
      <c r="T709" s="138">
        <v>1.0</v>
      </c>
      <c r="U709" s="416">
        <v>1.0</v>
      </c>
      <c r="V709" s="106">
        <v>0.0</v>
      </c>
      <c r="W709" s="107">
        <v>0.0</v>
      </c>
      <c r="X709" s="107">
        <v>0.0</v>
      </c>
      <c r="Y709" s="107">
        <v>0.0</v>
      </c>
      <c r="Z709" s="80">
        <f t="shared" si="1"/>
        <v>0</v>
      </c>
      <c r="AA709" s="106">
        <v>0.0</v>
      </c>
      <c r="AB709" s="107">
        <v>0.0</v>
      </c>
      <c r="AC709" s="107">
        <v>0.0</v>
      </c>
      <c r="AD709" s="107">
        <v>0.0</v>
      </c>
      <c r="AE709" s="80">
        <f t="shared" si="2"/>
        <v>0</v>
      </c>
      <c r="AF709" s="140">
        <v>0.0</v>
      </c>
      <c r="AG709" s="109">
        <v>15.0</v>
      </c>
      <c r="AH709" s="109">
        <v>0.0</v>
      </c>
      <c r="AI709" s="141">
        <v>0.0</v>
      </c>
      <c r="AJ709" s="80">
        <f t="shared" si="3"/>
        <v>15</v>
      </c>
      <c r="AK709" s="140">
        <v>0.0</v>
      </c>
      <c r="AL709" s="109">
        <v>0.0</v>
      </c>
      <c r="AM709" s="141">
        <v>0.0</v>
      </c>
      <c r="AN709" s="80">
        <f t="shared" si="4"/>
        <v>0</v>
      </c>
      <c r="AO709" s="140">
        <v>0.0</v>
      </c>
      <c r="AP709" s="109">
        <v>0.0</v>
      </c>
      <c r="AQ709" s="109">
        <v>0.0</v>
      </c>
      <c r="AR709" s="80">
        <f t="shared" si="5"/>
        <v>0</v>
      </c>
      <c r="AS709" s="110">
        <v>0.0</v>
      </c>
      <c r="AT709" s="110">
        <v>0.0</v>
      </c>
      <c r="AU709" s="110">
        <v>0.0</v>
      </c>
      <c r="AV709" s="142">
        <v>0.0</v>
      </c>
      <c r="AW709" s="80">
        <f t="shared" si="6"/>
        <v>0</v>
      </c>
      <c r="AX709" s="113">
        <f t="shared" si="7"/>
        <v>15</v>
      </c>
      <c r="AY709" s="117">
        <f t="shared" si="8"/>
        <v>15</v>
      </c>
      <c r="AZ709" s="120">
        <f t="shared" si="9"/>
        <v>0</v>
      </c>
      <c r="BA709" s="115">
        <v>0.0</v>
      </c>
      <c r="BB709" s="89">
        <f t="shared" si="10"/>
        <v>15</v>
      </c>
      <c r="BC709" s="132" t="s">
        <v>178</v>
      </c>
      <c r="BD709" s="143" t="s">
        <v>227</v>
      </c>
      <c r="BE709" s="132" t="s">
        <v>178</v>
      </c>
      <c r="BF709" s="123"/>
      <c r="BG709" s="83">
        <v>1178697.0</v>
      </c>
      <c r="BH709" s="112"/>
      <c r="BI709" s="112">
        <v>1.0</v>
      </c>
      <c r="BJ709" s="98" t="s">
        <v>155</v>
      </c>
      <c r="BK709" s="99">
        <f t="shared" si="11"/>
        <v>0</v>
      </c>
      <c r="BL709" s="99">
        <f t="shared" si="12"/>
        <v>15</v>
      </c>
      <c r="BM709" s="99" t="str">
        <f>IFERROR(__xludf.DUMMYFUNCTION("IFERROR(VLOOKUP(BG709,IMPORTRANGE(""https://docs.google.com/spreadsheets/d/1juPI-Fb8LD0YtltB2mlGEnp_R3UVu1t3wSFPzgCyHXE/edit?gid=0#gid=0"",""GERAL!A2:C""),3,0),""-"")"),"-")</f>
        <v>-</v>
      </c>
    </row>
    <row r="710" ht="15.75" customHeight="1">
      <c r="A710" s="111" t="s">
        <v>796</v>
      </c>
      <c r="B710" s="83" t="s">
        <v>2234</v>
      </c>
      <c r="C710" s="83" t="s">
        <v>164</v>
      </c>
      <c r="D710" s="112">
        <v>1179111.0</v>
      </c>
      <c r="E710" s="83">
        <v>1178696.0</v>
      </c>
      <c r="F710" s="98">
        <v>2.9456509E7</v>
      </c>
      <c r="G710" s="114" t="s">
        <v>3348</v>
      </c>
      <c r="H710" s="91" t="s">
        <v>3349</v>
      </c>
      <c r="I710" s="172" t="s">
        <v>171</v>
      </c>
      <c r="J710" s="83" t="s">
        <v>3350</v>
      </c>
      <c r="K710" s="83" t="s">
        <v>168</v>
      </c>
      <c r="L710" s="83" t="s">
        <v>169</v>
      </c>
      <c r="M710" s="82" t="str">
        <f>IFERROR(__xludf.DUMMYFUNCTION("IFERROR(VLOOKUP(D710,
IMPORTRANGE(""https://docs.google.com/spreadsheets/d/1MjHtlUikwobi2MaWJgy7tfLeBmhj1u-dRFRs_8GwSoA/edit#gid=0"",""Gestores Escolares!D7:J""),3,0),""VERIFICAR CÓD SEC"")"),"ADAILSON BARBOSA GOMES")</f>
        <v>ADAILSON BARBOSA GOMES</v>
      </c>
      <c r="N710" s="82" t="str">
        <f>IFERROR(__xludf.DUMMYFUNCTION("IFERROR(VLOOKUP(D710,
IMPORTRANGE(""https://docs.google.com/spreadsheets/d/1MjHtlUikwobi2MaWJgy7tfLeBmhj1u-dRFRs_8GwSoA/edit#gid=0"",""Gestores Escolares!D7:J""),4,0),""VERIFICAR CÓD SEC"")"),"(74) 9 8828-2249")</f>
        <v>(74) 9 8828-2249</v>
      </c>
      <c r="O710" s="82" t="str">
        <f>IFERROR(__xludf.DUMMYFUNCTION("IFERROR(VLOOKUP(D710,
IMPORTRANGE(""https://docs.google.com/spreadsheets/d/1MjHtlUikwobi2MaWJgy7tfLeBmhj1u-dRFRs_8GwSoA/edit#gid=0"",""Gestores Escolares!D7:J""),6,0),""VERIFICAR CÓD SEC"")"),"JOSE NELSON ALVES DA SILVA")</f>
        <v>JOSE NELSON ALVES DA SILVA</v>
      </c>
      <c r="P710" s="82" t="str">
        <f>IFERROR(__xludf.DUMMYFUNCTION("IFERROR(VLOOKUP(D710,
IMPORTRANGE(""https://docs.google.com/spreadsheets/d/1MjHtlUikwobi2MaWJgy7tfLeBmhj1u-dRFRs_8GwSoA/edit#gid=0"",""Gestores Escolares!D7:J""),7,0),""VERIFICAR CÓD SEC"")"),"(74) 9 8862-1210")</f>
        <v>(74) 9 8862-1210</v>
      </c>
      <c r="Q710" s="82" t="str">
        <f>IFERROR(__xludf.DUMMYFUNCTION("IFERROR(VLOOKUP(D710,
IMPORTRANGE(""https://docs.google.com/spreadsheets/d/1MjHtlUikwobi2MaWJgy7tfLeBmhj1u-dRFRs_8GwSoA/edit#gid=0"",""Gestores Escolares!D7:m""),9,0),""VERIFICAR CÓD SEC"")"),"JOSEMAR RODRIGUES SANTOS")</f>
        <v>JOSEMAR RODRIGUES SANTOS</v>
      </c>
      <c r="R710" s="82" t="str">
        <f>IFERROR(__xludf.DUMMYFUNCTION("IFERROR(VLOOKUP(D710,
IMPORTRANGE(""https://docs.google.com/spreadsheets/d/1MjHtlUikwobi2MaWJgy7tfLeBmhj1u-dRFRs_8GwSoA/edit#gid=0"",""Gestores Escolares!D7:m""),10,0),""VERIFICAR CÓD SEC"")"),"(74) 9 8832-3106")</f>
        <v>(74) 9 8832-3106</v>
      </c>
      <c r="S710" s="82"/>
      <c r="T710" s="138">
        <v>2.0</v>
      </c>
      <c r="U710" s="139">
        <v>2.0</v>
      </c>
      <c r="V710" s="106">
        <v>0.0</v>
      </c>
      <c r="W710" s="107">
        <v>0.0</v>
      </c>
      <c r="X710" s="107">
        <v>0.0</v>
      </c>
      <c r="Y710" s="107">
        <v>0.0</v>
      </c>
      <c r="Z710" s="80">
        <f t="shared" si="1"/>
        <v>0</v>
      </c>
      <c r="AA710" s="106">
        <v>0.0</v>
      </c>
      <c r="AB710" s="107">
        <v>0.0</v>
      </c>
      <c r="AC710" s="107">
        <v>0.0</v>
      </c>
      <c r="AD710" s="107">
        <v>0.0</v>
      </c>
      <c r="AE710" s="80">
        <f t="shared" si="2"/>
        <v>0</v>
      </c>
      <c r="AF710" s="140">
        <v>6.0</v>
      </c>
      <c r="AG710" s="109">
        <v>5.0</v>
      </c>
      <c r="AH710" s="109">
        <v>6.0</v>
      </c>
      <c r="AI710" s="141">
        <v>0.0</v>
      </c>
      <c r="AJ710" s="80">
        <f t="shared" si="3"/>
        <v>17</v>
      </c>
      <c r="AK710" s="140">
        <v>0.0</v>
      </c>
      <c r="AL710" s="109">
        <v>0.0</v>
      </c>
      <c r="AM710" s="141">
        <v>0.0</v>
      </c>
      <c r="AN710" s="80">
        <f t="shared" si="4"/>
        <v>0</v>
      </c>
      <c r="AO710" s="140">
        <v>0.0</v>
      </c>
      <c r="AP710" s="109">
        <v>0.0</v>
      </c>
      <c r="AQ710" s="109">
        <v>0.0</v>
      </c>
      <c r="AR710" s="80">
        <f t="shared" si="5"/>
        <v>0</v>
      </c>
      <c r="AS710" s="110">
        <v>0.0</v>
      </c>
      <c r="AT710" s="110">
        <v>0.0</v>
      </c>
      <c r="AU710" s="110">
        <v>0.0</v>
      </c>
      <c r="AV710" s="142">
        <v>0.0</v>
      </c>
      <c r="AW710" s="80">
        <f t="shared" si="6"/>
        <v>0</v>
      </c>
      <c r="AX710" s="113">
        <f t="shared" si="7"/>
        <v>17</v>
      </c>
      <c r="AY710" s="117">
        <f t="shared" si="8"/>
        <v>11</v>
      </c>
      <c r="AZ710" s="120">
        <f t="shared" si="9"/>
        <v>6</v>
      </c>
      <c r="BA710" s="115">
        <v>0.0</v>
      </c>
      <c r="BB710" s="89">
        <f t="shared" si="10"/>
        <v>17</v>
      </c>
      <c r="BC710" s="132" t="s">
        <v>178</v>
      </c>
      <c r="BD710" s="143" t="s">
        <v>227</v>
      </c>
      <c r="BE710" s="132" t="s">
        <v>178</v>
      </c>
      <c r="BF710" s="123"/>
      <c r="BG710" s="83">
        <v>1178696.0</v>
      </c>
      <c r="BH710" s="112"/>
      <c r="BI710" s="112">
        <v>2.0</v>
      </c>
      <c r="BJ710" s="98" t="s">
        <v>155</v>
      </c>
      <c r="BK710" s="99">
        <f t="shared" si="11"/>
        <v>0</v>
      </c>
      <c r="BL710" s="99">
        <f t="shared" si="12"/>
        <v>11</v>
      </c>
      <c r="BM710" s="99" t="str">
        <f>IFERROR(__xludf.DUMMYFUNCTION("IFERROR(VLOOKUP(BG710,IMPORTRANGE(""https://docs.google.com/spreadsheets/d/1juPI-Fb8LD0YtltB2mlGEnp_R3UVu1t3wSFPzgCyHXE/edit?gid=0#gid=0"",""GERAL!A2:C""),3,0),""-"")"),"-")</f>
        <v>-</v>
      </c>
    </row>
    <row r="711" ht="15.75" customHeight="1">
      <c r="A711" s="111" t="s">
        <v>796</v>
      </c>
      <c r="B711" s="83" t="s">
        <v>2234</v>
      </c>
      <c r="C711" s="83" t="s">
        <v>164</v>
      </c>
      <c r="D711" s="112">
        <v>1179111.0</v>
      </c>
      <c r="E711" s="83">
        <v>1178694.0</v>
      </c>
      <c r="F711" s="98">
        <v>2.9456509E7</v>
      </c>
      <c r="G711" s="114" t="s">
        <v>3351</v>
      </c>
      <c r="H711" s="91" t="s">
        <v>3352</v>
      </c>
      <c r="I711" s="172" t="s">
        <v>171</v>
      </c>
      <c r="J711" s="83" t="s">
        <v>464</v>
      </c>
      <c r="K711" s="83" t="s">
        <v>168</v>
      </c>
      <c r="L711" s="83" t="s">
        <v>169</v>
      </c>
      <c r="M711" s="82" t="str">
        <f>IFERROR(__xludf.DUMMYFUNCTION("IFERROR(VLOOKUP(D711,
IMPORTRANGE(""https://docs.google.com/spreadsheets/d/1MjHtlUikwobi2MaWJgy7tfLeBmhj1u-dRFRs_8GwSoA/edit#gid=0"",""Gestores Escolares!D7:J""),3,0),""VERIFICAR CÓD SEC"")"),"ADAILSON BARBOSA GOMES")</f>
        <v>ADAILSON BARBOSA GOMES</v>
      </c>
      <c r="N711" s="82" t="str">
        <f>IFERROR(__xludf.DUMMYFUNCTION("IFERROR(VLOOKUP(D711,
IMPORTRANGE(""https://docs.google.com/spreadsheets/d/1MjHtlUikwobi2MaWJgy7tfLeBmhj1u-dRFRs_8GwSoA/edit#gid=0"",""Gestores Escolares!D7:J""),4,0),""VERIFICAR CÓD SEC"")"),"(74) 9 8828-2249")</f>
        <v>(74) 9 8828-2249</v>
      </c>
      <c r="O711" s="82" t="str">
        <f>IFERROR(__xludf.DUMMYFUNCTION("IFERROR(VLOOKUP(D711,
IMPORTRANGE(""https://docs.google.com/spreadsheets/d/1MjHtlUikwobi2MaWJgy7tfLeBmhj1u-dRFRs_8GwSoA/edit#gid=0"",""Gestores Escolares!D7:J""),6,0),""VERIFICAR CÓD SEC"")"),"JOSE NELSON ALVES DA SILVA")</f>
        <v>JOSE NELSON ALVES DA SILVA</v>
      </c>
      <c r="P711" s="82" t="str">
        <f>IFERROR(__xludf.DUMMYFUNCTION("IFERROR(VLOOKUP(D711,
IMPORTRANGE(""https://docs.google.com/spreadsheets/d/1MjHtlUikwobi2MaWJgy7tfLeBmhj1u-dRFRs_8GwSoA/edit#gid=0"",""Gestores Escolares!D7:J""),7,0),""VERIFICAR CÓD SEC"")"),"(74) 9 8862-1210")</f>
        <v>(74) 9 8862-1210</v>
      </c>
      <c r="Q711" s="82" t="str">
        <f>IFERROR(__xludf.DUMMYFUNCTION("IFERROR(VLOOKUP(D711,
IMPORTRANGE(""https://docs.google.com/spreadsheets/d/1MjHtlUikwobi2MaWJgy7tfLeBmhj1u-dRFRs_8GwSoA/edit#gid=0"",""Gestores Escolares!D7:m""),9,0),""VERIFICAR CÓD SEC"")"),"JOSEMAR RODRIGUES SANTOS")</f>
        <v>JOSEMAR RODRIGUES SANTOS</v>
      </c>
      <c r="R711" s="82" t="str">
        <f>IFERROR(__xludf.DUMMYFUNCTION("IFERROR(VLOOKUP(D711,
IMPORTRANGE(""https://docs.google.com/spreadsheets/d/1MjHtlUikwobi2MaWJgy7tfLeBmhj1u-dRFRs_8GwSoA/edit#gid=0"",""Gestores Escolares!D7:m""),10,0),""VERIFICAR CÓD SEC"")"),"(74) 9 8832-3106")</f>
        <v>(74) 9 8832-3106</v>
      </c>
      <c r="S711" s="82"/>
      <c r="T711" s="138">
        <v>1.0</v>
      </c>
      <c r="U711" s="139">
        <v>1.0</v>
      </c>
      <c r="V711" s="106">
        <v>0.0</v>
      </c>
      <c r="W711" s="107">
        <v>0.0</v>
      </c>
      <c r="X711" s="107">
        <v>0.0</v>
      </c>
      <c r="Y711" s="107">
        <v>0.0</v>
      </c>
      <c r="Z711" s="80">
        <f t="shared" si="1"/>
        <v>0</v>
      </c>
      <c r="AA711" s="106">
        <v>0.0</v>
      </c>
      <c r="AB711" s="107">
        <v>0.0</v>
      </c>
      <c r="AC711" s="107">
        <v>0.0</v>
      </c>
      <c r="AD711" s="107">
        <v>0.0</v>
      </c>
      <c r="AE711" s="80">
        <f t="shared" si="2"/>
        <v>0</v>
      </c>
      <c r="AF711" s="140">
        <v>11.0</v>
      </c>
      <c r="AG711" s="109">
        <v>10.0</v>
      </c>
      <c r="AH711" s="109">
        <v>12.0</v>
      </c>
      <c r="AI711" s="141">
        <v>0.0</v>
      </c>
      <c r="AJ711" s="80">
        <f t="shared" si="3"/>
        <v>33</v>
      </c>
      <c r="AK711" s="140">
        <v>0.0</v>
      </c>
      <c r="AL711" s="109">
        <v>0.0</v>
      </c>
      <c r="AM711" s="141">
        <v>0.0</v>
      </c>
      <c r="AN711" s="80">
        <f t="shared" si="4"/>
        <v>0</v>
      </c>
      <c r="AO711" s="140">
        <v>0.0</v>
      </c>
      <c r="AP711" s="109">
        <v>0.0</v>
      </c>
      <c r="AQ711" s="109">
        <v>0.0</v>
      </c>
      <c r="AR711" s="80">
        <f t="shared" si="5"/>
        <v>0</v>
      </c>
      <c r="AS711" s="110">
        <v>0.0</v>
      </c>
      <c r="AT711" s="110">
        <v>0.0</v>
      </c>
      <c r="AU711" s="110">
        <v>0.0</v>
      </c>
      <c r="AV711" s="142">
        <v>0.0</v>
      </c>
      <c r="AW711" s="80">
        <f t="shared" si="6"/>
        <v>0</v>
      </c>
      <c r="AX711" s="113">
        <f t="shared" si="7"/>
        <v>33</v>
      </c>
      <c r="AY711" s="117">
        <f t="shared" si="8"/>
        <v>21</v>
      </c>
      <c r="AZ711" s="120">
        <f t="shared" si="9"/>
        <v>12</v>
      </c>
      <c r="BA711" s="115">
        <v>0.0</v>
      </c>
      <c r="BB711" s="89">
        <f t="shared" si="10"/>
        <v>33</v>
      </c>
      <c r="BC711" s="132" t="s">
        <v>178</v>
      </c>
      <c r="BD711" s="143" t="s">
        <v>227</v>
      </c>
      <c r="BE711" s="132" t="s">
        <v>178</v>
      </c>
      <c r="BF711" s="123"/>
      <c r="BG711" s="83">
        <v>1178694.0</v>
      </c>
      <c r="BH711" s="112"/>
      <c r="BI711" s="112">
        <v>1.0</v>
      </c>
      <c r="BJ711" s="98" t="s">
        <v>155</v>
      </c>
      <c r="BK711" s="99">
        <f t="shared" si="11"/>
        <v>0</v>
      </c>
      <c r="BL711" s="99">
        <f t="shared" si="12"/>
        <v>21</v>
      </c>
      <c r="BM711" s="99" t="str">
        <f>IFERROR(__xludf.DUMMYFUNCTION("IFERROR(VLOOKUP(BG711,IMPORTRANGE(""https://docs.google.com/spreadsheets/d/1juPI-Fb8LD0YtltB2mlGEnp_R3UVu1t3wSFPzgCyHXE/edit?gid=0#gid=0"",""GERAL!A2:C""),3,0),""-"")"),"-")</f>
        <v>-</v>
      </c>
    </row>
    <row r="712" ht="15.75" customHeight="1">
      <c r="A712" s="111" t="s">
        <v>796</v>
      </c>
      <c r="B712" s="83" t="s">
        <v>2234</v>
      </c>
      <c r="C712" s="83" t="s">
        <v>164</v>
      </c>
      <c r="D712" s="112">
        <v>1179111.0</v>
      </c>
      <c r="E712" s="83">
        <v>1178693.0</v>
      </c>
      <c r="F712" s="98">
        <v>2.9456509E7</v>
      </c>
      <c r="G712" s="114" t="s">
        <v>3353</v>
      </c>
      <c r="H712" s="91" t="s">
        <v>3354</v>
      </c>
      <c r="I712" s="172" t="s">
        <v>171</v>
      </c>
      <c r="J712" s="83" t="s">
        <v>865</v>
      </c>
      <c r="K712" s="83" t="s">
        <v>168</v>
      </c>
      <c r="L712" s="83" t="s">
        <v>169</v>
      </c>
      <c r="M712" s="82" t="str">
        <f>IFERROR(__xludf.DUMMYFUNCTION("IFERROR(VLOOKUP(D712,
IMPORTRANGE(""https://docs.google.com/spreadsheets/d/1MjHtlUikwobi2MaWJgy7tfLeBmhj1u-dRFRs_8GwSoA/edit#gid=0"",""Gestores Escolares!D7:J""),3,0),""VERIFICAR CÓD SEC"")"),"ADAILSON BARBOSA GOMES")</f>
        <v>ADAILSON BARBOSA GOMES</v>
      </c>
      <c r="N712" s="82" t="str">
        <f>IFERROR(__xludf.DUMMYFUNCTION("IFERROR(VLOOKUP(D712,
IMPORTRANGE(""https://docs.google.com/spreadsheets/d/1MjHtlUikwobi2MaWJgy7tfLeBmhj1u-dRFRs_8GwSoA/edit#gid=0"",""Gestores Escolares!D7:J""),4,0),""VERIFICAR CÓD SEC"")"),"(74) 9 8828-2249")</f>
        <v>(74) 9 8828-2249</v>
      </c>
      <c r="O712" s="82" t="str">
        <f>IFERROR(__xludf.DUMMYFUNCTION("IFERROR(VLOOKUP(D712,
IMPORTRANGE(""https://docs.google.com/spreadsheets/d/1MjHtlUikwobi2MaWJgy7tfLeBmhj1u-dRFRs_8GwSoA/edit#gid=0"",""Gestores Escolares!D7:J""),6,0),""VERIFICAR CÓD SEC"")"),"JOSE NELSON ALVES DA SILVA")</f>
        <v>JOSE NELSON ALVES DA SILVA</v>
      </c>
      <c r="P712" s="82" t="str">
        <f>IFERROR(__xludf.DUMMYFUNCTION("IFERROR(VLOOKUP(D712,
IMPORTRANGE(""https://docs.google.com/spreadsheets/d/1MjHtlUikwobi2MaWJgy7tfLeBmhj1u-dRFRs_8GwSoA/edit#gid=0"",""Gestores Escolares!D7:J""),7,0),""VERIFICAR CÓD SEC"")"),"(74) 9 8862-1210")</f>
        <v>(74) 9 8862-1210</v>
      </c>
      <c r="Q712" s="82" t="str">
        <f>IFERROR(__xludf.DUMMYFUNCTION("IFERROR(VLOOKUP(D712,
IMPORTRANGE(""https://docs.google.com/spreadsheets/d/1MjHtlUikwobi2MaWJgy7tfLeBmhj1u-dRFRs_8GwSoA/edit#gid=0"",""Gestores Escolares!D7:m""),9,0),""VERIFICAR CÓD SEC"")"),"JOSEMAR RODRIGUES SANTOS")</f>
        <v>JOSEMAR RODRIGUES SANTOS</v>
      </c>
      <c r="R712" s="82" t="str">
        <f>IFERROR(__xludf.DUMMYFUNCTION("IFERROR(VLOOKUP(D712,
IMPORTRANGE(""https://docs.google.com/spreadsheets/d/1MjHtlUikwobi2MaWJgy7tfLeBmhj1u-dRFRs_8GwSoA/edit#gid=0"",""Gestores Escolares!D7:m""),10,0),""VERIFICAR CÓD SEC"")"),"(74) 9 8832-3106")</f>
        <v>(74) 9 8832-3106</v>
      </c>
      <c r="S712" s="82"/>
      <c r="T712" s="138">
        <v>1.0</v>
      </c>
      <c r="U712" s="139">
        <v>1.0</v>
      </c>
      <c r="V712" s="106">
        <v>0.0</v>
      </c>
      <c r="W712" s="107">
        <v>0.0</v>
      </c>
      <c r="X712" s="107">
        <v>0.0</v>
      </c>
      <c r="Y712" s="107">
        <v>0.0</v>
      </c>
      <c r="Z712" s="80">
        <f t="shared" si="1"/>
        <v>0</v>
      </c>
      <c r="AA712" s="106">
        <v>0.0</v>
      </c>
      <c r="AB712" s="107">
        <v>0.0</v>
      </c>
      <c r="AC712" s="107">
        <v>0.0</v>
      </c>
      <c r="AD712" s="107">
        <v>0.0</v>
      </c>
      <c r="AE712" s="80">
        <f t="shared" si="2"/>
        <v>0</v>
      </c>
      <c r="AF712" s="140">
        <v>16.0</v>
      </c>
      <c r="AG712" s="109">
        <v>21.0</v>
      </c>
      <c r="AH712" s="109">
        <v>14.0</v>
      </c>
      <c r="AI712" s="141">
        <v>0.0</v>
      </c>
      <c r="AJ712" s="80">
        <f t="shared" si="3"/>
        <v>51</v>
      </c>
      <c r="AK712" s="140">
        <v>0.0</v>
      </c>
      <c r="AL712" s="109">
        <v>0.0</v>
      </c>
      <c r="AM712" s="141">
        <v>0.0</v>
      </c>
      <c r="AN712" s="80">
        <f t="shared" si="4"/>
        <v>0</v>
      </c>
      <c r="AO712" s="140">
        <v>0.0</v>
      </c>
      <c r="AP712" s="109">
        <v>0.0</v>
      </c>
      <c r="AQ712" s="109">
        <v>0.0</v>
      </c>
      <c r="AR712" s="80">
        <f t="shared" si="5"/>
        <v>0</v>
      </c>
      <c r="AS712" s="110">
        <v>0.0</v>
      </c>
      <c r="AT712" s="110">
        <v>0.0</v>
      </c>
      <c r="AU712" s="110">
        <v>0.0</v>
      </c>
      <c r="AV712" s="142">
        <v>0.0</v>
      </c>
      <c r="AW712" s="80">
        <f t="shared" si="6"/>
        <v>0</v>
      </c>
      <c r="AX712" s="113">
        <f t="shared" si="7"/>
        <v>51</v>
      </c>
      <c r="AY712" s="117">
        <f t="shared" si="8"/>
        <v>37</v>
      </c>
      <c r="AZ712" s="120">
        <f t="shared" si="9"/>
        <v>14</v>
      </c>
      <c r="BA712" s="115">
        <v>0.0</v>
      </c>
      <c r="BB712" s="89">
        <f t="shared" si="10"/>
        <v>51</v>
      </c>
      <c r="BC712" s="132" t="s">
        <v>178</v>
      </c>
      <c r="BD712" s="143" t="s">
        <v>227</v>
      </c>
      <c r="BE712" s="132" t="s">
        <v>178</v>
      </c>
      <c r="BF712" s="123"/>
      <c r="BG712" s="83">
        <v>1178693.0</v>
      </c>
      <c r="BH712" s="112"/>
      <c r="BI712" s="112">
        <v>1.0</v>
      </c>
      <c r="BJ712" s="98" t="s">
        <v>155</v>
      </c>
      <c r="BK712" s="99">
        <f t="shared" si="11"/>
        <v>0</v>
      </c>
      <c r="BL712" s="99">
        <f t="shared" si="12"/>
        <v>37</v>
      </c>
      <c r="BM712" s="99" t="str">
        <f>IFERROR(__xludf.DUMMYFUNCTION("IFERROR(VLOOKUP(BG712,IMPORTRANGE(""https://docs.google.com/spreadsheets/d/1juPI-Fb8LD0YtltB2mlGEnp_R3UVu1t3wSFPzgCyHXE/edit?gid=0#gid=0"",""GERAL!A2:C""),3,0),""-"")"),"-")</f>
        <v>-</v>
      </c>
    </row>
    <row r="713" ht="15.75" customHeight="1">
      <c r="A713" s="111" t="s">
        <v>796</v>
      </c>
      <c r="B713" s="83" t="s">
        <v>2234</v>
      </c>
      <c r="C713" s="83" t="s">
        <v>164</v>
      </c>
      <c r="D713" s="112">
        <v>1179111.0</v>
      </c>
      <c r="E713" s="83">
        <v>1178698.0</v>
      </c>
      <c r="F713" s="98">
        <v>2.9456509E7</v>
      </c>
      <c r="G713" s="114" t="s">
        <v>3360</v>
      </c>
      <c r="H713" s="91" t="s">
        <v>3361</v>
      </c>
      <c r="I713" s="172" t="s">
        <v>171</v>
      </c>
      <c r="J713" s="83" t="s">
        <v>1870</v>
      </c>
      <c r="K713" s="83" t="s">
        <v>168</v>
      </c>
      <c r="L713" s="83" t="s">
        <v>169</v>
      </c>
      <c r="M713" s="82" t="str">
        <f>IFERROR(__xludf.DUMMYFUNCTION("IFERROR(VLOOKUP(D713,
IMPORTRANGE(""https://docs.google.com/spreadsheets/d/1MjHtlUikwobi2MaWJgy7tfLeBmhj1u-dRFRs_8GwSoA/edit#gid=0"",""Gestores Escolares!D7:J""),3,0),""VERIFICAR CÓD SEC"")"),"ADAILSON BARBOSA GOMES")</f>
        <v>ADAILSON BARBOSA GOMES</v>
      </c>
      <c r="N713" s="82" t="str">
        <f>IFERROR(__xludf.DUMMYFUNCTION("IFERROR(VLOOKUP(D713,
IMPORTRANGE(""https://docs.google.com/spreadsheets/d/1MjHtlUikwobi2MaWJgy7tfLeBmhj1u-dRFRs_8GwSoA/edit#gid=0"",""Gestores Escolares!D7:J""),4,0),""VERIFICAR CÓD SEC"")"),"(74) 9 8828-2249")</f>
        <v>(74) 9 8828-2249</v>
      </c>
      <c r="O713" s="82" t="str">
        <f>IFERROR(__xludf.DUMMYFUNCTION("IFERROR(VLOOKUP(D713,
IMPORTRANGE(""https://docs.google.com/spreadsheets/d/1MjHtlUikwobi2MaWJgy7tfLeBmhj1u-dRFRs_8GwSoA/edit#gid=0"",""Gestores Escolares!D7:J""),6,0),""VERIFICAR CÓD SEC"")"),"JOSE NELSON ALVES DA SILVA")</f>
        <v>JOSE NELSON ALVES DA SILVA</v>
      </c>
      <c r="P713" s="82" t="str">
        <f>IFERROR(__xludf.DUMMYFUNCTION("IFERROR(VLOOKUP(D713,
IMPORTRANGE(""https://docs.google.com/spreadsheets/d/1MjHtlUikwobi2MaWJgy7tfLeBmhj1u-dRFRs_8GwSoA/edit#gid=0"",""Gestores Escolares!D7:J""),7,0),""VERIFICAR CÓD SEC"")"),"(74) 9 8862-1210")</f>
        <v>(74) 9 8862-1210</v>
      </c>
      <c r="Q713" s="82" t="str">
        <f>IFERROR(__xludf.DUMMYFUNCTION("IFERROR(VLOOKUP(D713,
IMPORTRANGE(""https://docs.google.com/spreadsheets/d/1MjHtlUikwobi2MaWJgy7tfLeBmhj1u-dRFRs_8GwSoA/edit#gid=0"",""Gestores Escolares!D7:m""),9,0),""VERIFICAR CÓD SEC"")"),"JOSEMAR RODRIGUES SANTOS")</f>
        <v>JOSEMAR RODRIGUES SANTOS</v>
      </c>
      <c r="R713" s="82" t="str">
        <f>IFERROR(__xludf.DUMMYFUNCTION("IFERROR(VLOOKUP(D713,
IMPORTRANGE(""https://docs.google.com/spreadsheets/d/1MjHtlUikwobi2MaWJgy7tfLeBmhj1u-dRFRs_8GwSoA/edit#gid=0"",""Gestores Escolares!D7:m""),10,0),""VERIFICAR CÓD SEC"")"),"(74) 9 8832-3106")</f>
        <v>(74) 9 8832-3106</v>
      </c>
      <c r="S713" s="82"/>
      <c r="T713" s="138">
        <v>3.0</v>
      </c>
      <c r="U713" s="139">
        <v>3.0</v>
      </c>
      <c r="V713" s="106">
        <v>0.0</v>
      </c>
      <c r="W713" s="107">
        <v>0.0</v>
      </c>
      <c r="X713" s="107">
        <v>0.0</v>
      </c>
      <c r="Y713" s="107">
        <v>0.0</v>
      </c>
      <c r="Z713" s="80">
        <f t="shared" si="1"/>
        <v>0</v>
      </c>
      <c r="AA713" s="106">
        <v>0.0</v>
      </c>
      <c r="AB713" s="107">
        <v>0.0</v>
      </c>
      <c r="AC713" s="107">
        <v>0.0</v>
      </c>
      <c r="AD713" s="107">
        <v>0.0</v>
      </c>
      <c r="AE713" s="80">
        <f t="shared" si="2"/>
        <v>0</v>
      </c>
      <c r="AF713" s="140">
        <v>0.0</v>
      </c>
      <c r="AG713" s="109">
        <v>0.0</v>
      </c>
      <c r="AH713" s="109">
        <v>19.0</v>
      </c>
      <c r="AI713" s="141">
        <v>0.0</v>
      </c>
      <c r="AJ713" s="80">
        <f t="shared" si="3"/>
        <v>19</v>
      </c>
      <c r="AK713" s="140">
        <v>0.0</v>
      </c>
      <c r="AL713" s="109">
        <v>0.0</v>
      </c>
      <c r="AM713" s="141">
        <v>0.0</v>
      </c>
      <c r="AN713" s="80">
        <f t="shared" si="4"/>
        <v>0</v>
      </c>
      <c r="AO713" s="140">
        <v>0.0</v>
      </c>
      <c r="AP713" s="109">
        <v>0.0</v>
      </c>
      <c r="AQ713" s="109">
        <v>0.0</v>
      </c>
      <c r="AR713" s="80">
        <f t="shared" si="5"/>
        <v>0</v>
      </c>
      <c r="AS713" s="110">
        <v>0.0</v>
      </c>
      <c r="AT713" s="110">
        <v>0.0</v>
      </c>
      <c r="AU713" s="110">
        <v>0.0</v>
      </c>
      <c r="AV713" s="142">
        <v>0.0</v>
      </c>
      <c r="AW713" s="80">
        <f t="shared" si="6"/>
        <v>0</v>
      </c>
      <c r="AX713" s="113">
        <f t="shared" si="7"/>
        <v>19</v>
      </c>
      <c r="AY713" s="117">
        <f t="shared" si="8"/>
        <v>0</v>
      </c>
      <c r="AZ713" s="120">
        <f t="shared" si="9"/>
        <v>19</v>
      </c>
      <c r="BA713" s="115">
        <v>0.0</v>
      </c>
      <c r="BB713" s="89">
        <f t="shared" si="10"/>
        <v>19</v>
      </c>
      <c r="BC713" s="132" t="s">
        <v>178</v>
      </c>
      <c r="BD713" s="143" t="s">
        <v>227</v>
      </c>
      <c r="BE713" s="132" t="s">
        <v>178</v>
      </c>
      <c r="BF713" s="123"/>
      <c r="BG713" s="83">
        <v>1178698.0</v>
      </c>
      <c r="BH713" s="112"/>
      <c r="BI713" s="112">
        <v>3.0</v>
      </c>
      <c r="BJ713" s="98" t="s">
        <v>155</v>
      </c>
      <c r="BK713" s="99">
        <f t="shared" si="11"/>
        <v>0</v>
      </c>
      <c r="BL713" s="99">
        <f t="shared" si="12"/>
        <v>0</v>
      </c>
      <c r="BM713" s="99" t="str">
        <f>IFERROR(__xludf.DUMMYFUNCTION("IFERROR(VLOOKUP(BG713,IMPORTRANGE(""https://docs.google.com/spreadsheets/d/1juPI-Fb8LD0YtltB2mlGEnp_R3UVu1t3wSFPzgCyHXE/edit?gid=0#gid=0"",""GERAL!A2:C""),3,0),""-"")"),"-")</f>
        <v>-</v>
      </c>
    </row>
    <row r="714" ht="15.75" customHeight="1">
      <c r="A714" s="111" t="s">
        <v>796</v>
      </c>
      <c r="B714" s="83" t="s">
        <v>2234</v>
      </c>
      <c r="C714" s="83" t="s">
        <v>164</v>
      </c>
      <c r="D714" s="112">
        <v>1179111.0</v>
      </c>
      <c r="E714" s="83">
        <v>1178692.0</v>
      </c>
      <c r="F714" s="98">
        <v>2.9456509E7</v>
      </c>
      <c r="G714" s="114" t="s">
        <v>3362</v>
      </c>
      <c r="H714" s="91" t="s">
        <v>3363</v>
      </c>
      <c r="I714" s="172" t="s">
        <v>171</v>
      </c>
      <c r="J714" s="83" t="s">
        <v>315</v>
      </c>
      <c r="K714" s="83" t="s">
        <v>168</v>
      </c>
      <c r="L714" s="83" t="s">
        <v>169</v>
      </c>
      <c r="M714" s="82" t="str">
        <f>IFERROR(__xludf.DUMMYFUNCTION("IFERROR(VLOOKUP(D714,
IMPORTRANGE(""https://docs.google.com/spreadsheets/d/1MjHtlUikwobi2MaWJgy7tfLeBmhj1u-dRFRs_8GwSoA/edit#gid=0"",""Gestores Escolares!D7:J""),3,0),""VERIFICAR CÓD SEC"")"),"ADAILSON BARBOSA GOMES")</f>
        <v>ADAILSON BARBOSA GOMES</v>
      </c>
      <c r="N714" s="82" t="str">
        <f>IFERROR(__xludf.DUMMYFUNCTION("IFERROR(VLOOKUP(D714,
IMPORTRANGE(""https://docs.google.com/spreadsheets/d/1MjHtlUikwobi2MaWJgy7tfLeBmhj1u-dRFRs_8GwSoA/edit#gid=0"",""Gestores Escolares!D7:J""),4,0),""VERIFICAR CÓD SEC"")"),"(74) 9 8828-2249")</f>
        <v>(74) 9 8828-2249</v>
      </c>
      <c r="O714" s="82" t="str">
        <f>IFERROR(__xludf.DUMMYFUNCTION("IFERROR(VLOOKUP(D714,
IMPORTRANGE(""https://docs.google.com/spreadsheets/d/1MjHtlUikwobi2MaWJgy7tfLeBmhj1u-dRFRs_8GwSoA/edit#gid=0"",""Gestores Escolares!D7:J""),6,0),""VERIFICAR CÓD SEC"")"),"JOSE NELSON ALVES DA SILVA")</f>
        <v>JOSE NELSON ALVES DA SILVA</v>
      </c>
      <c r="P714" s="82" t="str">
        <f>IFERROR(__xludf.DUMMYFUNCTION("IFERROR(VLOOKUP(D714,
IMPORTRANGE(""https://docs.google.com/spreadsheets/d/1MjHtlUikwobi2MaWJgy7tfLeBmhj1u-dRFRs_8GwSoA/edit#gid=0"",""Gestores Escolares!D7:J""),7,0),""VERIFICAR CÓD SEC"")"),"(74) 9 8862-1210")</f>
        <v>(74) 9 8862-1210</v>
      </c>
      <c r="Q714" s="82" t="str">
        <f>IFERROR(__xludf.DUMMYFUNCTION("IFERROR(VLOOKUP(D714,
IMPORTRANGE(""https://docs.google.com/spreadsheets/d/1MjHtlUikwobi2MaWJgy7tfLeBmhj1u-dRFRs_8GwSoA/edit#gid=0"",""Gestores Escolares!D7:m""),9,0),""VERIFICAR CÓD SEC"")"),"JOSEMAR RODRIGUES SANTOS")</f>
        <v>JOSEMAR RODRIGUES SANTOS</v>
      </c>
      <c r="R714" s="82" t="str">
        <f>IFERROR(__xludf.DUMMYFUNCTION("IFERROR(VLOOKUP(D714,
IMPORTRANGE(""https://docs.google.com/spreadsheets/d/1MjHtlUikwobi2MaWJgy7tfLeBmhj1u-dRFRs_8GwSoA/edit#gid=0"",""Gestores Escolares!D7:m""),10,0),""VERIFICAR CÓD SEC"")"),"(74) 9 8832-3106")</f>
        <v>(74) 9 8832-3106</v>
      </c>
      <c r="S714" s="82"/>
      <c r="T714" s="138">
        <v>1.0</v>
      </c>
      <c r="U714" s="139">
        <v>1.0</v>
      </c>
      <c r="V714" s="106">
        <v>0.0</v>
      </c>
      <c r="W714" s="107">
        <v>0.0</v>
      </c>
      <c r="X714" s="107">
        <v>0.0</v>
      </c>
      <c r="Y714" s="107">
        <v>0.0</v>
      </c>
      <c r="Z714" s="80">
        <f t="shared" si="1"/>
        <v>0</v>
      </c>
      <c r="AA714" s="106">
        <v>0.0</v>
      </c>
      <c r="AB714" s="107">
        <v>0.0</v>
      </c>
      <c r="AC714" s="107">
        <v>0.0</v>
      </c>
      <c r="AD714" s="107">
        <v>0.0</v>
      </c>
      <c r="AE714" s="80">
        <f t="shared" si="2"/>
        <v>0</v>
      </c>
      <c r="AF714" s="140">
        <v>7.0</v>
      </c>
      <c r="AG714" s="109">
        <v>12.0</v>
      </c>
      <c r="AH714" s="109">
        <v>5.0</v>
      </c>
      <c r="AI714" s="141">
        <v>0.0</v>
      </c>
      <c r="AJ714" s="80">
        <f t="shared" si="3"/>
        <v>24</v>
      </c>
      <c r="AK714" s="140">
        <v>0.0</v>
      </c>
      <c r="AL714" s="109">
        <v>0.0</v>
      </c>
      <c r="AM714" s="141">
        <v>0.0</v>
      </c>
      <c r="AN714" s="80">
        <f t="shared" si="4"/>
        <v>0</v>
      </c>
      <c r="AO714" s="140">
        <v>0.0</v>
      </c>
      <c r="AP714" s="109">
        <v>0.0</v>
      </c>
      <c r="AQ714" s="109">
        <v>0.0</v>
      </c>
      <c r="AR714" s="80">
        <f t="shared" si="5"/>
        <v>0</v>
      </c>
      <c r="AS714" s="110">
        <v>0.0</v>
      </c>
      <c r="AT714" s="110">
        <v>0.0</v>
      </c>
      <c r="AU714" s="110">
        <v>0.0</v>
      </c>
      <c r="AV714" s="142">
        <v>0.0</v>
      </c>
      <c r="AW714" s="80">
        <f t="shared" si="6"/>
        <v>0</v>
      </c>
      <c r="AX714" s="113">
        <f t="shared" si="7"/>
        <v>24</v>
      </c>
      <c r="AY714" s="117">
        <f t="shared" si="8"/>
        <v>19</v>
      </c>
      <c r="AZ714" s="120">
        <f t="shared" si="9"/>
        <v>5</v>
      </c>
      <c r="BA714" s="115">
        <v>0.0</v>
      </c>
      <c r="BB714" s="89">
        <f t="shared" si="10"/>
        <v>24</v>
      </c>
      <c r="BC714" s="132" t="s">
        <v>178</v>
      </c>
      <c r="BD714" s="143" t="s">
        <v>227</v>
      </c>
      <c r="BE714" s="132" t="s">
        <v>178</v>
      </c>
      <c r="BF714" s="123"/>
      <c r="BG714" s="83">
        <v>1178692.0</v>
      </c>
      <c r="BH714" s="112"/>
      <c r="BI714" s="112">
        <v>1.0</v>
      </c>
      <c r="BJ714" s="98" t="s">
        <v>155</v>
      </c>
      <c r="BK714" s="99">
        <f t="shared" si="11"/>
        <v>0</v>
      </c>
      <c r="BL714" s="99">
        <f t="shared" si="12"/>
        <v>19</v>
      </c>
      <c r="BM714" s="99" t="str">
        <f>IFERROR(__xludf.DUMMYFUNCTION("IFERROR(VLOOKUP(BG714,IMPORTRANGE(""https://docs.google.com/spreadsheets/d/1juPI-Fb8LD0YtltB2mlGEnp_R3UVu1t3wSFPzgCyHXE/edit?gid=0#gid=0"",""GERAL!A2:C""),3,0),""-"")"),"-")</f>
        <v>-</v>
      </c>
    </row>
    <row r="715" ht="15.75" customHeight="1">
      <c r="A715" s="111" t="s">
        <v>796</v>
      </c>
      <c r="B715" s="83" t="s">
        <v>2234</v>
      </c>
      <c r="C715" s="83" t="s">
        <v>164</v>
      </c>
      <c r="D715" s="112">
        <v>1179111.0</v>
      </c>
      <c r="E715" s="83">
        <v>1179144.0</v>
      </c>
      <c r="F715" s="98">
        <v>2.9456509E7</v>
      </c>
      <c r="G715" s="114" t="s">
        <v>3364</v>
      </c>
      <c r="H715" s="91" t="s">
        <v>3365</v>
      </c>
      <c r="I715" s="172" t="s">
        <v>171</v>
      </c>
      <c r="J715" s="83" t="s">
        <v>252</v>
      </c>
      <c r="K715" s="83" t="s">
        <v>168</v>
      </c>
      <c r="L715" s="83" t="s">
        <v>169</v>
      </c>
      <c r="M715" s="82" t="str">
        <f>IFERROR(__xludf.DUMMYFUNCTION("IFERROR(VLOOKUP(D715,
IMPORTRANGE(""https://docs.google.com/spreadsheets/d/1MjHtlUikwobi2MaWJgy7tfLeBmhj1u-dRFRs_8GwSoA/edit#gid=0"",""Gestores Escolares!D7:J""),3,0),""VERIFICAR CÓD SEC"")"),"ADAILSON BARBOSA GOMES")</f>
        <v>ADAILSON BARBOSA GOMES</v>
      </c>
      <c r="N715" s="82" t="str">
        <f>IFERROR(__xludf.DUMMYFUNCTION("IFERROR(VLOOKUP(D715,
IMPORTRANGE(""https://docs.google.com/spreadsheets/d/1MjHtlUikwobi2MaWJgy7tfLeBmhj1u-dRFRs_8GwSoA/edit#gid=0"",""Gestores Escolares!D7:J""),4,0),""VERIFICAR CÓD SEC"")"),"(74) 9 8828-2249")</f>
        <v>(74) 9 8828-2249</v>
      </c>
      <c r="O715" s="82" t="str">
        <f>IFERROR(__xludf.DUMMYFUNCTION("IFERROR(VLOOKUP(D715,
IMPORTRANGE(""https://docs.google.com/spreadsheets/d/1MjHtlUikwobi2MaWJgy7tfLeBmhj1u-dRFRs_8GwSoA/edit#gid=0"",""Gestores Escolares!D7:J""),6,0),""VERIFICAR CÓD SEC"")"),"JOSE NELSON ALVES DA SILVA")</f>
        <v>JOSE NELSON ALVES DA SILVA</v>
      </c>
      <c r="P715" s="82" t="str">
        <f>IFERROR(__xludf.DUMMYFUNCTION("IFERROR(VLOOKUP(D715,
IMPORTRANGE(""https://docs.google.com/spreadsheets/d/1MjHtlUikwobi2MaWJgy7tfLeBmhj1u-dRFRs_8GwSoA/edit#gid=0"",""Gestores Escolares!D7:J""),7,0),""VERIFICAR CÓD SEC"")"),"(74) 9 8862-1210")</f>
        <v>(74) 9 8862-1210</v>
      </c>
      <c r="Q715" s="82" t="str">
        <f>IFERROR(__xludf.DUMMYFUNCTION("IFERROR(VLOOKUP(D715,
IMPORTRANGE(""https://docs.google.com/spreadsheets/d/1MjHtlUikwobi2MaWJgy7tfLeBmhj1u-dRFRs_8GwSoA/edit#gid=0"",""Gestores Escolares!D7:m""),9,0),""VERIFICAR CÓD SEC"")"),"JOSEMAR RODRIGUES SANTOS")</f>
        <v>JOSEMAR RODRIGUES SANTOS</v>
      </c>
      <c r="R715" s="82" t="str">
        <f>IFERROR(__xludf.DUMMYFUNCTION("IFERROR(VLOOKUP(D715,
IMPORTRANGE(""https://docs.google.com/spreadsheets/d/1MjHtlUikwobi2MaWJgy7tfLeBmhj1u-dRFRs_8GwSoA/edit#gid=0"",""Gestores Escolares!D7:m""),10,0),""VERIFICAR CÓD SEC"")"),"(74) 9 8832-3106")</f>
        <v>(74) 9 8832-3106</v>
      </c>
      <c r="S715" s="82"/>
      <c r="T715" s="138">
        <v>1.0</v>
      </c>
      <c r="U715" s="139">
        <v>1.0</v>
      </c>
      <c r="V715" s="106">
        <v>0.0</v>
      </c>
      <c r="W715" s="107">
        <v>0.0</v>
      </c>
      <c r="X715" s="107">
        <v>0.0</v>
      </c>
      <c r="Y715" s="107">
        <v>0.0</v>
      </c>
      <c r="Z715" s="80">
        <f t="shared" si="1"/>
        <v>0</v>
      </c>
      <c r="AA715" s="106">
        <v>0.0</v>
      </c>
      <c r="AB715" s="107">
        <v>0.0</v>
      </c>
      <c r="AC715" s="107">
        <v>0.0</v>
      </c>
      <c r="AD715" s="107">
        <v>0.0</v>
      </c>
      <c r="AE715" s="80">
        <f t="shared" si="2"/>
        <v>0</v>
      </c>
      <c r="AF715" s="140">
        <v>5.0</v>
      </c>
      <c r="AG715" s="109">
        <v>6.0</v>
      </c>
      <c r="AH715" s="109">
        <v>4.0</v>
      </c>
      <c r="AI715" s="141">
        <v>0.0</v>
      </c>
      <c r="AJ715" s="80">
        <f t="shared" si="3"/>
        <v>15</v>
      </c>
      <c r="AK715" s="140">
        <v>0.0</v>
      </c>
      <c r="AL715" s="109">
        <v>0.0</v>
      </c>
      <c r="AM715" s="141">
        <v>0.0</v>
      </c>
      <c r="AN715" s="80">
        <f t="shared" si="4"/>
        <v>0</v>
      </c>
      <c r="AO715" s="140">
        <v>0.0</v>
      </c>
      <c r="AP715" s="109">
        <v>0.0</v>
      </c>
      <c r="AQ715" s="109">
        <v>0.0</v>
      </c>
      <c r="AR715" s="80">
        <f t="shared" si="5"/>
        <v>0</v>
      </c>
      <c r="AS715" s="110">
        <v>0.0</v>
      </c>
      <c r="AT715" s="110">
        <v>0.0</v>
      </c>
      <c r="AU715" s="110">
        <v>0.0</v>
      </c>
      <c r="AV715" s="142">
        <v>0.0</v>
      </c>
      <c r="AW715" s="80">
        <f t="shared" si="6"/>
        <v>0</v>
      </c>
      <c r="AX715" s="113">
        <f t="shared" si="7"/>
        <v>15</v>
      </c>
      <c r="AY715" s="117">
        <f t="shared" si="8"/>
        <v>11</v>
      </c>
      <c r="AZ715" s="120">
        <f t="shared" si="9"/>
        <v>4</v>
      </c>
      <c r="BA715" s="115">
        <v>0.0</v>
      </c>
      <c r="BB715" s="89">
        <f t="shared" si="10"/>
        <v>15</v>
      </c>
      <c r="BC715" s="132" t="s">
        <v>178</v>
      </c>
      <c r="BD715" s="143" t="s">
        <v>227</v>
      </c>
      <c r="BE715" s="132" t="s">
        <v>178</v>
      </c>
      <c r="BF715" s="156"/>
      <c r="BG715" s="83">
        <v>1179144.0</v>
      </c>
      <c r="BH715" s="112"/>
      <c r="BI715" s="112">
        <v>1.0</v>
      </c>
      <c r="BJ715" s="98" t="s">
        <v>155</v>
      </c>
      <c r="BK715" s="99">
        <f t="shared" si="11"/>
        <v>0</v>
      </c>
      <c r="BL715" s="99">
        <f t="shared" si="12"/>
        <v>11</v>
      </c>
      <c r="BM715" s="99" t="str">
        <f>IFERROR(__xludf.DUMMYFUNCTION("IFERROR(VLOOKUP(BG715,IMPORTRANGE(""https://docs.google.com/spreadsheets/d/1juPI-Fb8LD0YtltB2mlGEnp_R3UVu1t3wSFPzgCyHXE/edit?gid=0#gid=0"",""GERAL!A2:C""),3,0),""-"")"),"-")</f>
        <v>-</v>
      </c>
    </row>
    <row r="716" ht="15.75" customHeight="1">
      <c r="A716" s="111" t="s">
        <v>796</v>
      </c>
      <c r="B716" s="83" t="s">
        <v>3366</v>
      </c>
      <c r="C716" s="83" t="s">
        <v>45</v>
      </c>
      <c r="D716" s="112">
        <v>1178380.0</v>
      </c>
      <c r="E716" s="83"/>
      <c r="F716" s="83">
        <v>2.9397731E7</v>
      </c>
      <c r="G716" s="114" t="s">
        <v>3367</v>
      </c>
      <c r="H716" s="91" t="s">
        <v>3368</v>
      </c>
      <c r="I716" s="229" t="s">
        <v>149</v>
      </c>
      <c r="J716" s="229" t="s">
        <v>1301</v>
      </c>
      <c r="K716" s="83" t="s">
        <v>171</v>
      </c>
      <c r="L716" s="83" t="s">
        <v>169</v>
      </c>
      <c r="M716" s="82" t="str">
        <f>IFERROR(__xludf.DUMMYFUNCTION("IFERROR(VLOOKUP(D716,
IMPORTRANGE(""https://docs.google.com/spreadsheets/d/1MjHtlUikwobi2MaWJgy7tfLeBmhj1u-dRFRs_8GwSoA/edit#gid=0"",""Gestores Escolares!D7:J""),3,0),""VERIFICAR CÓD SEC"")"),"BRUNO DOS SANTOS SILVA")</f>
        <v>BRUNO DOS SANTOS SILVA</v>
      </c>
      <c r="N716" s="82" t="str">
        <f>IFERROR(__xludf.DUMMYFUNCTION("IFERROR(VLOOKUP(D716,
IMPORTRANGE(""https://docs.google.com/spreadsheets/d/1MjHtlUikwobi2MaWJgy7tfLeBmhj1u-dRFRs_8GwSoA/edit#gid=0"",""Gestores Escolares!D7:J""),4,0),""VERIFICAR CÓD SEC"")"),"(74) 9 9113-0481")</f>
        <v>(74) 9 9113-0481</v>
      </c>
      <c r="O716" s="82" t="str">
        <f>IFERROR(__xludf.DUMMYFUNCTION("IFERROR(VLOOKUP(D716,
IMPORTRANGE(""https://docs.google.com/spreadsheets/d/1MjHtlUikwobi2MaWJgy7tfLeBmhj1u-dRFRs_8GwSoA/edit#gid=0"",""Gestores Escolares!D7:J""),6,0),""VERIFICAR CÓD SEC"")"),"")</f>
        <v/>
      </c>
      <c r="P716" s="82" t="str">
        <f>IFERROR(__xludf.DUMMYFUNCTION("IFERROR(VLOOKUP(D716,
IMPORTRANGE(""https://docs.google.com/spreadsheets/d/1MjHtlUikwobi2MaWJgy7tfLeBmhj1u-dRFRs_8GwSoA/edit#gid=0"",""Gestores Escolares!D7:J""),7,0),""VERIFICAR CÓD SEC"")"),"")</f>
        <v/>
      </c>
      <c r="Q716" s="82" t="str">
        <f>IFERROR(__xludf.DUMMYFUNCTION("IFERROR(VLOOKUP(D716,
IMPORTRANGE(""https://docs.google.com/spreadsheets/d/1MjHtlUikwobi2MaWJgy7tfLeBmhj1u-dRFRs_8GwSoA/edit#gid=0"",""Gestores Escolares!D7:m""),9,0),""VERIFICAR CÓD SEC"")"),"")</f>
        <v/>
      </c>
      <c r="R716" s="82" t="str">
        <f>IFERROR(__xludf.DUMMYFUNCTION("IFERROR(VLOOKUP(D716,
IMPORTRANGE(""https://docs.google.com/spreadsheets/d/1MjHtlUikwobi2MaWJgy7tfLeBmhj1u-dRFRs_8GwSoA/edit#gid=0"",""Gestores Escolares!D7:m""),10,0),""VERIFICAR CÓD SEC"")"),"")</f>
        <v/>
      </c>
      <c r="S716" s="82"/>
      <c r="T716" s="138">
        <v>10.0</v>
      </c>
      <c r="U716" s="145">
        <v>4.0</v>
      </c>
      <c r="V716" s="106">
        <v>0.0</v>
      </c>
      <c r="W716" s="107">
        <v>0.0</v>
      </c>
      <c r="X716" s="107">
        <v>0.0</v>
      </c>
      <c r="Y716" s="107">
        <v>0.0</v>
      </c>
      <c r="Z716" s="80">
        <f t="shared" si="1"/>
        <v>0</v>
      </c>
      <c r="AA716" s="106">
        <v>0.0</v>
      </c>
      <c r="AB716" s="107">
        <v>0.0</v>
      </c>
      <c r="AC716" s="107">
        <v>0.0</v>
      </c>
      <c r="AD716" s="107">
        <v>97.0</v>
      </c>
      <c r="AE716" s="80">
        <f t="shared" si="2"/>
        <v>97</v>
      </c>
      <c r="AF716" s="225">
        <v>0.0</v>
      </c>
      <c r="AG716" s="226">
        <v>0.0</v>
      </c>
      <c r="AH716" s="226">
        <v>0.0</v>
      </c>
      <c r="AI716" s="227">
        <v>152.0</v>
      </c>
      <c r="AJ716" s="80">
        <f t="shared" si="3"/>
        <v>152</v>
      </c>
      <c r="AK716" s="140">
        <v>0.0</v>
      </c>
      <c r="AL716" s="109">
        <v>0.0</v>
      </c>
      <c r="AM716" s="141">
        <v>0.0</v>
      </c>
      <c r="AN716" s="80">
        <f t="shared" si="4"/>
        <v>0</v>
      </c>
      <c r="AO716" s="225">
        <v>0.0</v>
      </c>
      <c r="AP716" s="226">
        <v>0.0</v>
      </c>
      <c r="AQ716" s="226">
        <v>0.0</v>
      </c>
      <c r="AR716" s="80">
        <f t="shared" si="5"/>
        <v>0</v>
      </c>
      <c r="AS716" s="110">
        <v>0.0</v>
      </c>
      <c r="AT716" s="110">
        <v>0.0</v>
      </c>
      <c r="AU716" s="110">
        <v>0.0</v>
      </c>
      <c r="AV716" s="142">
        <v>0.0</v>
      </c>
      <c r="AW716" s="80">
        <f t="shared" si="6"/>
        <v>0</v>
      </c>
      <c r="AX716" s="113">
        <f t="shared" si="7"/>
        <v>249</v>
      </c>
      <c r="AY716" s="117">
        <f t="shared" si="8"/>
        <v>249</v>
      </c>
      <c r="AZ716" s="120">
        <f t="shared" si="9"/>
        <v>0</v>
      </c>
      <c r="BA716" s="115">
        <v>0.0</v>
      </c>
      <c r="BB716" s="89">
        <f t="shared" si="10"/>
        <v>249</v>
      </c>
      <c r="BC716" s="132" t="s">
        <v>178</v>
      </c>
      <c r="BD716" s="132" t="s">
        <v>178</v>
      </c>
      <c r="BE716" s="132" t="s">
        <v>178</v>
      </c>
      <c r="BF716" s="123"/>
      <c r="BG716" s="83">
        <v>1178380.0</v>
      </c>
      <c r="BH716" s="112"/>
      <c r="BI716" s="112">
        <v>10.0</v>
      </c>
      <c r="BJ716" s="98" t="s">
        <v>155</v>
      </c>
      <c r="BK716" s="99">
        <f t="shared" si="11"/>
        <v>249</v>
      </c>
      <c r="BL716" s="99">
        <f t="shared" si="12"/>
        <v>0</v>
      </c>
      <c r="BM716" s="99" t="str">
        <f>IFERROR(__xludf.DUMMYFUNCTION("IFERROR(VLOOKUP(BG716,IMPORTRANGE(""https://docs.google.com/spreadsheets/d/1juPI-Fb8LD0YtltB2mlGEnp_R3UVu1t3wSFPzgCyHXE/edit?gid=0#gid=0"",""GERAL!A2:C""),3,0),""-"")"),"EFA")</f>
        <v>EFA</v>
      </c>
    </row>
    <row r="717" ht="15.75" customHeight="1">
      <c r="A717" s="111" t="s">
        <v>796</v>
      </c>
      <c r="B717" s="83" t="s">
        <v>3366</v>
      </c>
      <c r="C717" s="83" t="s">
        <v>68</v>
      </c>
      <c r="D717" s="112">
        <v>1120508.0</v>
      </c>
      <c r="E717" s="83"/>
      <c r="F717" s="83">
        <v>2.90323E7</v>
      </c>
      <c r="G717" s="114" t="s">
        <v>3376</v>
      </c>
      <c r="H717" s="91" t="s">
        <v>3377</v>
      </c>
      <c r="I717" s="83" t="s">
        <v>149</v>
      </c>
      <c r="J717" s="83" t="s">
        <v>150</v>
      </c>
      <c r="K717" s="83" t="s">
        <v>151</v>
      </c>
      <c r="L717" s="83" t="s">
        <v>152</v>
      </c>
      <c r="M717" s="82" t="str">
        <f>IFERROR(__xludf.DUMMYFUNCTION("IFERROR(VLOOKUP(D717,
IMPORTRANGE(""https://docs.google.com/spreadsheets/d/1MjHtlUikwobi2MaWJgy7tfLeBmhj1u-dRFRs_8GwSoA/edit#gid=0"",""Gestores Escolares!D7:J""),3,0),""VERIFICAR CÓD SEC"")"),"EVANYLMA SANTOS DE LUNA BRITTO")</f>
        <v>EVANYLMA SANTOS DE LUNA BRITTO</v>
      </c>
      <c r="N717" s="82" t="str">
        <f>IFERROR(__xludf.DUMMYFUNCTION("IFERROR(VLOOKUP(D717,
IMPORTRANGE(""https://docs.google.com/spreadsheets/d/1MjHtlUikwobi2MaWJgy7tfLeBmhj1u-dRFRs_8GwSoA/edit#gid=0"",""Gestores Escolares!D7:J""),4,0),""VERIFICAR CÓD SEC"")"),"(74) 9 8813-3454/ 9 8833-7338")</f>
        <v>(74) 9 8813-3454/ 9 8833-7338</v>
      </c>
      <c r="O717" s="82" t="str">
        <f>IFERROR(__xludf.DUMMYFUNCTION("IFERROR(VLOOKUP(D717,
IMPORTRANGE(""https://docs.google.com/spreadsheets/d/1MjHtlUikwobi2MaWJgy7tfLeBmhj1u-dRFRs_8GwSoA/edit#gid=0"",""Gestores Escolares!D7:J""),6,0),""VERIFICAR CÓD SEC"")"),"ADALCINA DE CARVALHO GONZAGA")</f>
        <v>ADALCINA DE CARVALHO GONZAGA</v>
      </c>
      <c r="P717" s="82" t="str">
        <f>IFERROR(__xludf.DUMMYFUNCTION("IFERROR(VLOOKUP(D717,
IMPORTRANGE(""https://docs.google.com/spreadsheets/d/1MjHtlUikwobi2MaWJgy7tfLeBmhj1u-dRFRs_8GwSoA/edit#gid=0"",""Gestores Escolares!D7:J""),7,0),""VERIFICAR CÓD SEC"")"),"(74)  9 8833-7338")</f>
        <v>(74)  9 8833-7338</v>
      </c>
      <c r="Q717" s="82" t="str">
        <f>IFERROR(__xludf.DUMMYFUNCTION("IFERROR(VLOOKUP(D717,
IMPORTRANGE(""https://docs.google.com/spreadsheets/d/1MjHtlUikwobi2MaWJgy7tfLeBmhj1u-dRFRs_8GwSoA/edit#gid=0"",""Gestores Escolares!D7:m""),9,0),""VERIFICAR CÓD SEC"")"),"")</f>
        <v/>
      </c>
      <c r="R717" s="82" t="str">
        <f>IFERROR(__xludf.DUMMYFUNCTION("IFERROR(VLOOKUP(D717,
IMPORTRANGE(""https://docs.google.com/spreadsheets/d/1MjHtlUikwobi2MaWJgy7tfLeBmhj1u-dRFRs_8GwSoA/edit#gid=0"",""Gestores Escolares!D7:m""),10,0),""VERIFICAR CÓD SEC"")"),"")</f>
        <v/>
      </c>
      <c r="S717" s="82"/>
      <c r="T717" s="138">
        <v>11.0</v>
      </c>
      <c r="U717" s="145" t="s">
        <v>10270</v>
      </c>
      <c r="V717" s="106">
        <v>0.0</v>
      </c>
      <c r="W717" s="107">
        <v>0.0</v>
      </c>
      <c r="X717" s="107">
        <v>0.0</v>
      </c>
      <c r="Y717" s="107">
        <v>0.0</v>
      </c>
      <c r="Z717" s="80">
        <f t="shared" si="1"/>
        <v>0</v>
      </c>
      <c r="AA717" s="106">
        <v>0.0</v>
      </c>
      <c r="AB717" s="107">
        <v>0.0</v>
      </c>
      <c r="AC717" s="107">
        <v>0.0</v>
      </c>
      <c r="AD717" s="107">
        <v>0.0</v>
      </c>
      <c r="AE717" s="80">
        <f t="shared" si="2"/>
        <v>0</v>
      </c>
      <c r="AF717" s="140">
        <v>0.0</v>
      </c>
      <c r="AG717" s="109">
        <v>0.0</v>
      </c>
      <c r="AH717" s="109">
        <v>0.0</v>
      </c>
      <c r="AI717" s="141">
        <v>59.0</v>
      </c>
      <c r="AJ717" s="80">
        <f t="shared" si="3"/>
        <v>59</v>
      </c>
      <c r="AK717" s="140">
        <v>0.0</v>
      </c>
      <c r="AL717" s="109">
        <v>0.0</v>
      </c>
      <c r="AM717" s="141">
        <v>0.0</v>
      </c>
      <c r="AN717" s="80">
        <f t="shared" si="4"/>
        <v>0</v>
      </c>
      <c r="AO717" s="140">
        <v>0.0</v>
      </c>
      <c r="AP717" s="109">
        <v>0.0</v>
      </c>
      <c r="AQ717" s="109">
        <v>37.0</v>
      </c>
      <c r="AR717" s="80">
        <f t="shared" si="5"/>
        <v>37</v>
      </c>
      <c r="AS717" s="110">
        <v>0.0</v>
      </c>
      <c r="AT717" s="110">
        <v>0.0</v>
      </c>
      <c r="AU717" s="110">
        <v>6.0</v>
      </c>
      <c r="AV717" s="142">
        <v>122.0</v>
      </c>
      <c r="AW717" s="80">
        <f t="shared" si="6"/>
        <v>128</v>
      </c>
      <c r="AX717" s="113">
        <f t="shared" si="7"/>
        <v>224</v>
      </c>
      <c r="AY717" s="117">
        <f t="shared" si="8"/>
        <v>181</v>
      </c>
      <c r="AZ717" s="120">
        <f t="shared" si="9"/>
        <v>43</v>
      </c>
      <c r="BA717" s="115">
        <v>0.0</v>
      </c>
      <c r="BB717" s="89">
        <f t="shared" si="10"/>
        <v>224</v>
      </c>
      <c r="BC717" s="132" t="s">
        <v>178</v>
      </c>
      <c r="BD717" s="132" t="s">
        <v>178</v>
      </c>
      <c r="BE717" s="132" t="s">
        <v>178</v>
      </c>
      <c r="BF717" s="123"/>
      <c r="BG717" s="83">
        <v>1120508.0</v>
      </c>
      <c r="BH717" s="112"/>
      <c r="BI717" s="112">
        <v>11.0</v>
      </c>
      <c r="BJ717" s="98" t="s">
        <v>155</v>
      </c>
      <c r="BK717" s="99">
        <f t="shared" si="11"/>
        <v>181</v>
      </c>
      <c r="BL717" s="99">
        <f t="shared" si="12"/>
        <v>0</v>
      </c>
      <c r="BM717" s="99" t="str">
        <f>IFERROR(__xludf.DUMMYFUNCTION("IFERROR(VLOOKUP(BG717,IMPORTRANGE(""https://docs.google.com/spreadsheets/d/1juPI-Fb8LD0YtltB2mlGEnp_R3UVu1t3wSFPzgCyHXE/edit?gid=0#gid=0"",""GERAL!A2:C""),3,0),""-"")"),"-")</f>
        <v>-</v>
      </c>
    </row>
    <row r="718" ht="15.75" customHeight="1">
      <c r="A718" s="111" t="s">
        <v>796</v>
      </c>
      <c r="B718" s="83" t="s">
        <v>3366</v>
      </c>
      <c r="C718" s="83" t="s">
        <v>68</v>
      </c>
      <c r="D718" s="112">
        <v>1120907.0</v>
      </c>
      <c r="E718" s="83"/>
      <c r="F718" s="83">
        <v>2.9032334E7</v>
      </c>
      <c r="G718" s="119" t="s">
        <v>3394</v>
      </c>
      <c r="H718" s="91" t="s">
        <v>3395</v>
      </c>
      <c r="I718" s="83" t="s">
        <v>149</v>
      </c>
      <c r="J718" s="83" t="s">
        <v>150</v>
      </c>
      <c r="K718" s="83" t="s">
        <v>151</v>
      </c>
      <c r="L718" s="83" t="s">
        <v>152</v>
      </c>
      <c r="M718" s="82" t="str">
        <f>IFERROR(__xludf.DUMMYFUNCTION("IFERROR(VLOOKUP(D718,
IMPORTRANGE(""https://docs.google.com/spreadsheets/d/1MjHtlUikwobi2MaWJgy7tfLeBmhj1u-dRFRs_8GwSoA/edit#gid=0"",""Gestores Escolares!D7:J""),3,0),""VERIFICAR CÓD SEC"")"),"EMANOEL IVO DE MENDONCA")</f>
        <v>EMANOEL IVO DE MENDONCA</v>
      </c>
      <c r="N718" s="82" t="str">
        <f>IFERROR(__xludf.DUMMYFUNCTION("IFERROR(VLOOKUP(D718,
IMPORTRANGE(""https://docs.google.com/spreadsheets/d/1MjHtlUikwobi2MaWJgy7tfLeBmhj1u-dRFRs_8GwSoA/edit#gid=0"",""Gestores Escolares!D7:J""),4,0),""VERIFICAR CÓD SEC"")"),"(74) 9 8801-5755")</f>
        <v>(74) 9 8801-5755</v>
      </c>
      <c r="O718" s="82" t="str">
        <f>IFERROR(__xludf.DUMMYFUNCTION("IFERROR(VLOOKUP(D718,
IMPORTRANGE(""https://docs.google.com/spreadsheets/d/1MjHtlUikwobi2MaWJgy7tfLeBmhj1u-dRFRs_8GwSoA/edit#gid=0"",""Gestores Escolares!D7:J""),6,0),""VERIFICAR CÓD SEC"")"),"MARIA APARECIDA DE LUNA SILVA")</f>
        <v>MARIA APARECIDA DE LUNA SILVA</v>
      </c>
      <c r="P718" s="82" t="str">
        <f>IFERROR(__xludf.DUMMYFUNCTION("IFERROR(VLOOKUP(D718,
IMPORTRANGE(""https://docs.google.com/spreadsheets/d/1MjHtlUikwobi2MaWJgy7tfLeBmhj1u-dRFRs_8GwSoA/edit#gid=0"",""Gestores Escolares!D7:J""),7,0),""VERIFICAR CÓD SEC"")"),"(74) 9 8841-1835")</f>
        <v>(74) 9 8841-1835</v>
      </c>
      <c r="Q718" s="82" t="str">
        <f>IFERROR(__xludf.DUMMYFUNCTION("IFERROR(VLOOKUP(D718,
IMPORTRANGE(""https://docs.google.com/spreadsheets/d/1MjHtlUikwobi2MaWJgy7tfLeBmhj1u-dRFRs_8GwSoA/edit#gid=0"",""Gestores Escolares!D7:m""),9,0),""VERIFICAR CÓD SEC"")"),"MAIKE MAGNO NUNES BARBOSA")</f>
        <v>MAIKE MAGNO NUNES BARBOSA</v>
      </c>
      <c r="R718" s="82" t="str">
        <f>IFERROR(__xludf.DUMMYFUNCTION("IFERROR(VLOOKUP(D718,
IMPORTRANGE(""https://docs.google.com/spreadsheets/d/1MjHtlUikwobi2MaWJgy7tfLeBmhj1u-dRFRs_8GwSoA/edit#gid=0"",""Gestores Escolares!D7:m""),10,0),""VERIFICAR CÓD SEC"")"),"(74) 9 8859-1493")</f>
        <v>(74) 9 8859-1493</v>
      </c>
      <c r="S718" s="82"/>
      <c r="T718" s="138">
        <v>12.0</v>
      </c>
      <c r="U718" s="145" t="s">
        <v>10279</v>
      </c>
      <c r="V718" s="106">
        <v>0.0</v>
      </c>
      <c r="W718" s="107">
        <v>0.0</v>
      </c>
      <c r="X718" s="107">
        <v>0.0</v>
      </c>
      <c r="Y718" s="107">
        <v>0.0</v>
      </c>
      <c r="Z718" s="80">
        <f t="shared" si="1"/>
        <v>0</v>
      </c>
      <c r="AA718" s="106">
        <v>0.0</v>
      </c>
      <c r="AB718" s="107">
        <v>0.0</v>
      </c>
      <c r="AC718" s="107">
        <v>0.0</v>
      </c>
      <c r="AD718" s="107">
        <v>0.0</v>
      </c>
      <c r="AE718" s="80">
        <f t="shared" si="2"/>
        <v>0</v>
      </c>
      <c r="AF718" s="140">
        <v>73.0</v>
      </c>
      <c r="AG718" s="109">
        <v>91.0</v>
      </c>
      <c r="AH718" s="109">
        <v>0.0</v>
      </c>
      <c r="AI718" s="141">
        <v>270.0</v>
      </c>
      <c r="AJ718" s="80">
        <f t="shared" si="3"/>
        <v>434</v>
      </c>
      <c r="AK718" s="140">
        <v>0.0</v>
      </c>
      <c r="AL718" s="109">
        <v>0.0</v>
      </c>
      <c r="AM718" s="141">
        <v>0.0</v>
      </c>
      <c r="AN718" s="80">
        <f t="shared" si="4"/>
        <v>0</v>
      </c>
      <c r="AO718" s="140">
        <v>0.0</v>
      </c>
      <c r="AP718" s="109">
        <v>0.0</v>
      </c>
      <c r="AQ718" s="109">
        <v>174.0</v>
      </c>
      <c r="AR718" s="80">
        <f t="shared" si="5"/>
        <v>174</v>
      </c>
      <c r="AS718" s="110">
        <v>0.0</v>
      </c>
      <c r="AT718" s="110">
        <v>0.0</v>
      </c>
      <c r="AU718" s="110">
        <v>0.0</v>
      </c>
      <c r="AV718" s="142">
        <v>0.0</v>
      </c>
      <c r="AW718" s="80">
        <f t="shared" si="6"/>
        <v>0</v>
      </c>
      <c r="AX718" s="113">
        <f t="shared" si="7"/>
        <v>608</v>
      </c>
      <c r="AY718" s="117">
        <f t="shared" si="8"/>
        <v>434</v>
      </c>
      <c r="AZ718" s="120">
        <f t="shared" si="9"/>
        <v>174</v>
      </c>
      <c r="BA718" s="115">
        <v>0.0</v>
      </c>
      <c r="BB718" s="89">
        <f t="shared" si="10"/>
        <v>608</v>
      </c>
      <c r="BC718" s="132" t="s">
        <v>178</v>
      </c>
      <c r="BD718" s="132" t="s">
        <v>178</v>
      </c>
      <c r="BE718" s="132" t="s">
        <v>178</v>
      </c>
      <c r="BF718" s="123"/>
      <c r="BG718" s="83">
        <v>1120907.0</v>
      </c>
      <c r="BH718" s="112"/>
      <c r="BI718" s="112">
        <v>9.0</v>
      </c>
      <c r="BJ718" s="98" t="s">
        <v>155</v>
      </c>
      <c r="BK718" s="99">
        <f t="shared" si="11"/>
        <v>270</v>
      </c>
      <c r="BL718" s="99">
        <f t="shared" si="12"/>
        <v>164</v>
      </c>
      <c r="BM718" s="99" t="str">
        <f>IFERROR(__xludf.DUMMYFUNCTION("IFERROR(VLOOKUP(BG718,IMPORTRANGE(""https://docs.google.com/spreadsheets/d/1juPI-Fb8LD0YtltB2mlGEnp_R3UVu1t3wSFPzgCyHXE/edit?gid=0#gid=0"",""GERAL!A2:C""),3,0),""-"")"),"-")</f>
        <v>-</v>
      </c>
    </row>
    <row r="719" ht="15.75" customHeight="1">
      <c r="A719" s="111" t="s">
        <v>796</v>
      </c>
      <c r="B719" s="83" t="s">
        <v>3366</v>
      </c>
      <c r="C719" s="83" t="s">
        <v>164</v>
      </c>
      <c r="D719" s="112">
        <v>1120907.0</v>
      </c>
      <c r="E719" s="83">
        <v>1179540.0</v>
      </c>
      <c r="F719" s="98">
        <v>2.9491533E7</v>
      </c>
      <c r="G719" s="119" t="s">
        <v>3399</v>
      </c>
      <c r="H719" s="91" t="s">
        <v>3401</v>
      </c>
      <c r="I719" s="172" t="s">
        <v>3402</v>
      </c>
      <c r="J719" s="172" t="s">
        <v>822</v>
      </c>
      <c r="K719" s="83" t="s">
        <v>151</v>
      </c>
      <c r="L719" s="83" t="s">
        <v>169</v>
      </c>
      <c r="M719" s="82" t="str">
        <f>IFERROR(__xludf.DUMMYFUNCTION("IFERROR(VLOOKUP(D719,
IMPORTRANGE(""https://docs.google.com/spreadsheets/d/1MjHtlUikwobi2MaWJgy7tfLeBmhj1u-dRFRs_8GwSoA/edit#gid=0"",""Gestores Escolares!D7:J""),3,0),""VERIFICAR CÓD SEC"")"),"EMANOEL IVO DE MENDONCA")</f>
        <v>EMANOEL IVO DE MENDONCA</v>
      </c>
      <c r="N719" s="82" t="str">
        <f>IFERROR(__xludf.DUMMYFUNCTION("IFERROR(VLOOKUP(D719,
IMPORTRANGE(""https://docs.google.com/spreadsheets/d/1MjHtlUikwobi2MaWJgy7tfLeBmhj1u-dRFRs_8GwSoA/edit#gid=0"",""Gestores Escolares!D7:J""),4,0),""VERIFICAR CÓD SEC"")"),"(74) 9 8801-5755")</f>
        <v>(74) 9 8801-5755</v>
      </c>
      <c r="O719" s="82" t="str">
        <f>IFERROR(__xludf.DUMMYFUNCTION("IFERROR(VLOOKUP(D719,
IMPORTRANGE(""https://docs.google.com/spreadsheets/d/1MjHtlUikwobi2MaWJgy7tfLeBmhj1u-dRFRs_8GwSoA/edit#gid=0"",""Gestores Escolares!D7:J""),6,0),""VERIFICAR CÓD SEC"")"),"MARIA APARECIDA DE LUNA SILVA")</f>
        <v>MARIA APARECIDA DE LUNA SILVA</v>
      </c>
      <c r="P719" s="82" t="str">
        <f>IFERROR(__xludf.DUMMYFUNCTION("IFERROR(VLOOKUP(D719,
IMPORTRANGE(""https://docs.google.com/spreadsheets/d/1MjHtlUikwobi2MaWJgy7tfLeBmhj1u-dRFRs_8GwSoA/edit#gid=0"",""Gestores Escolares!D7:J""),7,0),""VERIFICAR CÓD SEC"")"),"(74) 9 8841-1835")</f>
        <v>(74) 9 8841-1835</v>
      </c>
      <c r="Q719" s="82" t="str">
        <f>IFERROR(__xludf.DUMMYFUNCTION("IFERROR(VLOOKUP(D719,
IMPORTRANGE(""https://docs.google.com/spreadsheets/d/1MjHtlUikwobi2MaWJgy7tfLeBmhj1u-dRFRs_8GwSoA/edit#gid=0"",""Gestores Escolares!D7:m""),9,0),""VERIFICAR CÓD SEC"")"),"MAIKE MAGNO NUNES BARBOSA")</f>
        <v>MAIKE MAGNO NUNES BARBOSA</v>
      </c>
      <c r="R719" s="82" t="str">
        <f>IFERROR(__xludf.DUMMYFUNCTION("IFERROR(VLOOKUP(D719,
IMPORTRANGE(""https://docs.google.com/spreadsheets/d/1MjHtlUikwobi2MaWJgy7tfLeBmhj1u-dRFRs_8GwSoA/edit#gid=0"",""Gestores Escolares!D7:m""),10,0),""VERIFICAR CÓD SEC"")"),"(74) 9 8859-1493")</f>
        <v>(74) 9 8859-1493</v>
      </c>
      <c r="S719" s="82"/>
      <c r="T719" s="138">
        <v>5.0</v>
      </c>
      <c r="U719" s="139">
        <v>2.0</v>
      </c>
      <c r="V719" s="106">
        <v>0.0</v>
      </c>
      <c r="W719" s="107">
        <v>0.0</v>
      </c>
      <c r="X719" s="107">
        <v>0.0</v>
      </c>
      <c r="Y719" s="107">
        <v>0.0</v>
      </c>
      <c r="Z719" s="80">
        <f t="shared" si="1"/>
        <v>0</v>
      </c>
      <c r="AA719" s="106">
        <v>0.0</v>
      </c>
      <c r="AB719" s="107">
        <v>0.0</v>
      </c>
      <c r="AC719" s="107">
        <v>0.0</v>
      </c>
      <c r="AD719" s="107">
        <v>0.0</v>
      </c>
      <c r="AE719" s="80">
        <f t="shared" si="2"/>
        <v>0</v>
      </c>
      <c r="AF719" s="222">
        <v>0.0</v>
      </c>
      <c r="AG719" s="222">
        <v>0.0</v>
      </c>
      <c r="AH719" s="222">
        <v>0.0</v>
      </c>
      <c r="AI719" s="224">
        <v>0.0</v>
      </c>
      <c r="AJ719" s="80">
        <f t="shared" si="3"/>
        <v>0</v>
      </c>
      <c r="AK719" s="140">
        <v>0.0</v>
      </c>
      <c r="AL719" s="109">
        <v>0.0</v>
      </c>
      <c r="AM719" s="141">
        <v>0.0</v>
      </c>
      <c r="AN719" s="80">
        <f t="shared" si="4"/>
        <v>0</v>
      </c>
      <c r="AO719" s="222">
        <v>0.0</v>
      </c>
      <c r="AP719" s="222">
        <v>0.0</v>
      </c>
      <c r="AQ719" s="224">
        <v>0.0</v>
      </c>
      <c r="AR719" s="80">
        <f t="shared" si="5"/>
        <v>0</v>
      </c>
      <c r="AS719" s="110">
        <v>0.0</v>
      </c>
      <c r="AT719" s="110">
        <v>0.0</v>
      </c>
      <c r="AU719" s="110">
        <v>29.0</v>
      </c>
      <c r="AV719" s="142">
        <v>0.0</v>
      </c>
      <c r="AW719" s="80">
        <f t="shared" si="6"/>
        <v>29</v>
      </c>
      <c r="AX719" s="113">
        <f t="shared" si="7"/>
        <v>29</v>
      </c>
      <c r="AY719" s="117">
        <f t="shared" si="8"/>
        <v>0</v>
      </c>
      <c r="AZ719" s="120">
        <f t="shared" si="9"/>
        <v>29</v>
      </c>
      <c r="BA719" s="115">
        <v>0.0</v>
      </c>
      <c r="BB719" s="89">
        <f t="shared" si="10"/>
        <v>29</v>
      </c>
      <c r="BC719" s="132" t="s">
        <v>631</v>
      </c>
      <c r="BD719" s="132" t="s">
        <v>178</v>
      </c>
      <c r="BE719" s="132" t="s">
        <v>178</v>
      </c>
      <c r="BF719" s="156"/>
      <c r="BG719" s="83">
        <v>1179540.0</v>
      </c>
      <c r="BH719" s="112"/>
      <c r="BI719" s="112">
        <v>2.0</v>
      </c>
      <c r="BJ719" s="98" t="s">
        <v>155</v>
      </c>
      <c r="BK719" s="99">
        <f t="shared" si="11"/>
        <v>0</v>
      </c>
      <c r="BL719" s="99">
        <f t="shared" si="12"/>
        <v>0</v>
      </c>
      <c r="BM719" s="99" t="str">
        <f>IFERROR(__xludf.DUMMYFUNCTION("IFERROR(VLOOKUP(BG719,IMPORTRANGE(""https://docs.google.com/spreadsheets/d/1juPI-Fb8LD0YtltB2mlGEnp_R3UVu1t3wSFPzgCyHXE/edit?gid=0#gid=0"",""GERAL!A2:C""),3,0),""-"")"),"ASSENTAMENTOS")</f>
        <v>ASSENTAMENTOS</v>
      </c>
    </row>
    <row r="720" ht="15.75" customHeight="1">
      <c r="A720" s="111" t="s">
        <v>796</v>
      </c>
      <c r="B720" s="83" t="s">
        <v>3417</v>
      </c>
      <c r="C720" s="83" t="s">
        <v>68</v>
      </c>
      <c r="D720" s="112">
        <v>1121474.0</v>
      </c>
      <c r="E720" s="83"/>
      <c r="F720" s="83">
        <v>2.9124506E7</v>
      </c>
      <c r="G720" s="114" t="s">
        <v>3419</v>
      </c>
      <c r="H720" s="91" t="s">
        <v>3420</v>
      </c>
      <c r="I720" s="83" t="s">
        <v>149</v>
      </c>
      <c r="J720" s="83" t="s">
        <v>150</v>
      </c>
      <c r="K720" s="83" t="s">
        <v>151</v>
      </c>
      <c r="L720" s="83" t="s">
        <v>76</v>
      </c>
      <c r="M720" s="82" t="str">
        <f>IFERROR(__xludf.DUMMYFUNCTION("IFERROR(VLOOKUP(D720,
IMPORTRANGE(""https://docs.google.com/spreadsheets/d/1MjHtlUikwobi2MaWJgy7tfLeBmhj1u-dRFRs_8GwSoA/edit#gid=0"",""Gestores Escolares!D7:J""),3,0),""VERIFICAR CÓD SEC"")"),"MARIA DOS ANJOS BARBOZA OLIVEIRA TORRES")</f>
        <v>MARIA DOS ANJOS BARBOZA OLIVEIRA TORRES</v>
      </c>
      <c r="N720" s="82" t="str">
        <f>IFERROR(__xludf.DUMMYFUNCTION("IFERROR(VLOOKUP(D720,
IMPORTRANGE(""https://docs.google.com/spreadsheets/d/1MjHtlUikwobi2MaWJgy7tfLeBmhj1u-dRFRs_8GwSoA/edit#gid=0"",""Gestores Escolares!D7:J""),4,0),""VERIFICAR CÓD SEC"")"),"(74) 9 9934-1140")</f>
        <v>(74) 9 9934-1140</v>
      </c>
      <c r="O720" s="82" t="str">
        <f>IFERROR(__xludf.DUMMYFUNCTION("IFERROR(VLOOKUP(D720,
IMPORTRANGE(""https://docs.google.com/spreadsheets/d/1MjHtlUikwobi2MaWJgy7tfLeBmhj1u-dRFRs_8GwSoA/edit#gid=0"",""Gestores Escolares!D7:J""),6,0),""VERIFICAR CÓD SEC"")"),"NADJA CRISTINA RODRIGUES DA SILVA LOBO")</f>
        <v>NADJA CRISTINA RODRIGUES DA SILVA LOBO</v>
      </c>
      <c r="P720" s="82" t="str">
        <f>IFERROR(__xludf.DUMMYFUNCTION("IFERROR(VLOOKUP(D720,
IMPORTRANGE(""https://docs.google.com/spreadsheets/d/1MjHtlUikwobi2MaWJgy7tfLeBmhj1u-dRFRs_8GwSoA/edit#gid=0"",""Gestores Escolares!D7:J""),7,0),""VERIFICAR CÓD SEC"")"),"(74) 9 9970-2340")</f>
        <v>(74) 9 9970-2340</v>
      </c>
      <c r="Q720" s="82" t="str">
        <f>IFERROR(__xludf.DUMMYFUNCTION("IFERROR(VLOOKUP(D720,
IMPORTRANGE(""https://docs.google.com/spreadsheets/d/1MjHtlUikwobi2MaWJgy7tfLeBmhj1u-dRFRs_8GwSoA/edit#gid=0"",""Gestores Escolares!D7:m""),9,0),""VERIFICAR CÓD SEC"")"),"")</f>
        <v/>
      </c>
      <c r="R720" s="82" t="str">
        <f>IFERROR(__xludf.DUMMYFUNCTION("IFERROR(VLOOKUP(D720,
IMPORTRANGE(""https://docs.google.com/spreadsheets/d/1MjHtlUikwobi2MaWJgy7tfLeBmhj1u-dRFRs_8GwSoA/edit#gid=0"",""Gestores Escolares!D7:m""),10,0),""VERIFICAR CÓD SEC"")"),"")</f>
        <v/>
      </c>
      <c r="S720" s="82"/>
      <c r="T720" s="138">
        <v>12.0</v>
      </c>
      <c r="U720" s="217" t="s">
        <v>10302</v>
      </c>
      <c r="V720" s="106">
        <v>0.0</v>
      </c>
      <c r="W720" s="107">
        <v>0.0</v>
      </c>
      <c r="X720" s="107">
        <v>0.0</v>
      </c>
      <c r="Y720" s="107">
        <v>0.0</v>
      </c>
      <c r="Z720" s="80">
        <f t="shared" si="1"/>
        <v>0</v>
      </c>
      <c r="AA720" s="106">
        <v>0.0</v>
      </c>
      <c r="AB720" s="107">
        <v>0.0</v>
      </c>
      <c r="AC720" s="107">
        <v>0.0</v>
      </c>
      <c r="AD720" s="107">
        <v>0.0</v>
      </c>
      <c r="AE720" s="80">
        <f t="shared" si="2"/>
        <v>0</v>
      </c>
      <c r="AF720" s="222">
        <v>12.0</v>
      </c>
      <c r="AG720" s="222">
        <v>0.0</v>
      </c>
      <c r="AH720" s="222">
        <v>0.0</v>
      </c>
      <c r="AI720" s="224">
        <v>37.0</v>
      </c>
      <c r="AJ720" s="80">
        <f t="shared" si="3"/>
        <v>49</v>
      </c>
      <c r="AK720" s="140">
        <v>0.0</v>
      </c>
      <c r="AL720" s="109">
        <v>0.0</v>
      </c>
      <c r="AM720" s="141">
        <v>0.0</v>
      </c>
      <c r="AN720" s="80">
        <f t="shared" si="4"/>
        <v>0</v>
      </c>
      <c r="AO720" s="222">
        <v>0.0</v>
      </c>
      <c r="AP720" s="222">
        <v>0.0</v>
      </c>
      <c r="AQ720" s="224">
        <v>44.0</v>
      </c>
      <c r="AR720" s="80">
        <f t="shared" si="5"/>
        <v>44</v>
      </c>
      <c r="AS720" s="110">
        <v>0.0</v>
      </c>
      <c r="AT720" s="110">
        <v>0.0</v>
      </c>
      <c r="AU720" s="110">
        <v>0.0</v>
      </c>
      <c r="AV720" s="142">
        <v>0.0</v>
      </c>
      <c r="AW720" s="80">
        <f t="shared" si="6"/>
        <v>0</v>
      </c>
      <c r="AX720" s="113">
        <f t="shared" si="7"/>
        <v>93</v>
      </c>
      <c r="AY720" s="117">
        <f t="shared" si="8"/>
        <v>49</v>
      </c>
      <c r="AZ720" s="120">
        <f t="shared" si="9"/>
        <v>44</v>
      </c>
      <c r="BA720" s="115">
        <v>0.0</v>
      </c>
      <c r="BB720" s="89">
        <f t="shared" si="10"/>
        <v>93</v>
      </c>
      <c r="BC720" s="132" t="s">
        <v>178</v>
      </c>
      <c r="BD720" s="132" t="s">
        <v>178</v>
      </c>
      <c r="BE720" s="132" t="s">
        <v>178</v>
      </c>
      <c r="BF720" s="123"/>
      <c r="BG720" s="83">
        <v>1121474.0</v>
      </c>
      <c r="BH720" s="112"/>
      <c r="BI720" s="112">
        <v>10.0</v>
      </c>
      <c r="BJ720" s="98" t="s">
        <v>155</v>
      </c>
      <c r="BK720" s="99">
        <f t="shared" si="11"/>
        <v>37</v>
      </c>
      <c r="BL720" s="99">
        <f t="shared" si="12"/>
        <v>12</v>
      </c>
      <c r="BM720" s="99" t="str">
        <f>IFERROR(__xludf.DUMMYFUNCTION("IFERROR(VLOOKUP(BG720,IMPORTRANGE(""https://docs.google.com/spreadsheets/d/1juPI-Fb8LD0YtltB2mlGEnp_R3UVu1t3wSFPzgCyHXE/edit?gid=0#gid=0"",""GERAL!A2:C""),3,0),""-"")"),"-")</f>
        <v>-</v>
      </c>
    </row>
    <row r="721" ht="15.75" customHeight="1">
      <c r="A721" s="111" t="s">
        <v>796</v>
      </c>
      <c r="B721" s="83" t="s">
        <v>3417</v>
      </c>
      <c r="C721" s="83" t="s">
        <v>68</v>
      </c>
      <c r="D721" s="112">
        <v>1161271.0</v>
      </c>
      <c r="E721" s="83"/>
      <c r="F721" s="83">
        <v>2.9125537E7</v>
      </c>
      <c r="G721" s="114" t="s">
        <v>3426</v>
      </c>
      <c r="H721" s="91" t="s">
        <v>3427</v>
      </c>
      <c r="I721" s="83" t="s">
        <v>576</v>
      </c>
      <c r="J721" s="83" t="s">
        <v>767</v>
      </c>
      <c r="K721" s="83" t="s">
        <v>151</v>
      </c>
      <c r="L721" s="83" t="s">
        <v>169</v>
      </c>
      <c r="M721" s="82" t="str">
        <f>IFERROR(__xludf.DUMMYFUNCTION("IFERROR(VLOOKUP(D721,
IMPORTRANGE(""https://docs.google.com/spreadsheets/d/1MjHtlUikwobi2MaWJgy7tfLeBmhj1u-dRFRs_8GwSoA/edit#gid=0"",""Gestores Escolares!D7:J""),3,0),""VERIFICAR CÓD SEC"")"),"GEILVANNETTE ALVES BARRETO")</f>
        <v>GEILVANNETTE ALVES BARRETO</v>
      </c>
      <c r="N721" s="82" t="str">
        <f>IFERROR(__xludf.DUMMYFUNCTION("IFERROR(VLOOKUP(D721,
IMPORTRANGE(""https://docs.google.com/spreadsheets/d/1MjHtlUikwobi2MaWJgy7tfLeBmhj1u-dRFRs_8GwSoA/edit#gid=0"",""Gestores Escolares!D7:J""),4,0),""VERIFICAR CÓD SEC"")"),"(74) 9 9987-1458")</f>
        <v>(74) 9 9987-1458</v>
      </c>
      <c r="O721" s="82" t="str">
        <f>IFERROR(__xludf.DUMMYFUNCTION("IFERROR(VLOOKUP(D721,
IMPORTRANGE(""https://docs.google.com/spreadsheets/d/1MjHtlUikwobi2MaWJgy7tfLeBmhj1u-dRFRs_8GwSoA/edit#gid=0"",""Gestores Escolares!D7:J""),6,0),""VERIFICAR CÓD SEC"")"),"")</f>
        <v/>
      </c>
      <c r="P721" s="82" t="str">
        <f>IFERROR(__xludf.DUMMYFUNCTION("IFERROR(VLOOKUP(D721,
IMPORTRANGE(""https://docs.google.com/spreadsheets/d/1MjHtlUikwobi2MaWJgy7tfLeBmhj1u-dRFRs_8GwSoA/edit#gid=0"",""Gestores Escolares!D7:J""),7,0),""VERIFICAR CÓD SEC"")"),"")</f>
        <v/>
      </c>
      <c r="Q721" s="82" t="str">
        <f>IFERROR(__xludf.DUMMYFUNCTION("IFERROR(VLOOKUP(D721,
IMPORTRANGE(""https://docs.google.com/spreadsheets/d/1MjHtlUikwobi2MaWJgy7tfLeBmhj1u-dRFRs_8GwSoA/edit#gid=0"",""Gestores Escolares!D7:m""),9,0),""VERIFICAR CÓD SEC"")"),"")</f>
        <v/>
      </c>
      <c r="R721" s="82" t="str">
        <f>IFERROR(__xludf.DUMMYFUNCTION("IFERROR(VLOOKUP(D721,
IMPORTRANGE(""https://docs.google.com/spreadsheets/d/1MjHtlUikwobi2MaWJgy7tfLeBmhj1u-dRFRs_8GwSoA/edit#gid=0"",""Gestores Escolares!D7:m""),10,0),""VERIFICAR CÓD SEC"")"),"")</f>
        <v/>
      </c>
      <c r="S721" s="82"/>
      <c r="T721" s="138">
        <v>7.0</v>
      </c>
      <c r="U721" s="217" t="s">
        <v>10309</v>
      </c>
      <c r="V721" s="106">
        <v>0.0</v>
      </c>
      <c r="W721" s="107">
        <v>0.0</v>
      </c>
      <c r="X721" s="107">
        <v>0.0</v>
      </c>
      <c r="Y721" s="107">
        <v>0.0</v>
      </c>
      <c r="Z721" s="80">
        <f t="shared" si="1"/>
        <v>0</v>
      </c>
      <c r="AA721" s="106">
        <v>0.0</v>
      </c>
      <c r="AB721" s="107">
        <v>0.0</v>
      </c>
      <c r="AC721" s="107">
        <v>0.0</v>
      </c>
      <c r="AD721" s="107">
        <v>0.0</v>
      </c>
      <c r="AE721" s="80">
        <f t="shared" si="2"/>
        <v>0</v>
      </c>
      <c r="AF721" s="222">
        <v>18.0</v>
      </c>
      <c r="AG721" s="222">
        <v>0.0</v>
      </c>
      <c r="AH721" s="222">
        <v>0.0</v>
      </c>
      <c r="AI721" s="224">
        <v>40.0</v>
      </c>
      <c r="AJ721" s="80">
        <f t="shared" si="3"/>
        <v>58</v>
      </c>
      <c r="AK721" s="140">
        <v>0.0</v>
      </c>
      <c r="AL721" s="109">
        <v>0.0</v>
      </c>
      <c r="AM721" s="141">
        <v>0.0</v>
      </c>
      <c r="AN721" s="80">
        <f t="shared" si="4"/>
        <v>0</v>
      </c>
      <c r="AO721" s="222">
        <v>0.0</v>
      </c>
      <c r="AP721" s="222">
        <v>0.0</v>
      </c>
      <c r="AQ721" s="224">
        <v>8.0</v>
      </c>
      <c r="AR721" s="80">
        <f t="shared" si="5"/>
        <v>8</v>
      </c>
      <c r="AS721" s="110">
        <v>0.0</v>
      </c>
      <c r="AT721" s="110">
        <v>0.0</v>
      </c>
      <c r="AU721" s="110">
        <v>0.0</v>
      </c>
      <c r="AV721" s="142">
        <v>0.0</v>
      </c>
      <c r="AW721" s="80">
        <f t="shared" si="6"/>
        <v>0</v>
      </c>
      <c r="AX721" s="113">
        <f t="shared" si="7"/>
        <v>66</v>
      </c>
      <c r="AY721" s="117">
        <f t="shared" si="8"/>
        <v>58</v>
      </c>
      <c r="AZ721" s="120">
        <f t="shared" si="9"/>
        <v>8</v>
      </c>
      <c r="BA721" s="115">
        <v>0.0</v>
      </c>
      <c r="BB721" s="89">
        <f t="shared" si="10"/>
        <v>66</v>
      </c>
      <c r="BC721" s="132" t="s">
        <v>373</v>
      </c>
      <c r="BD721" s="132" t="s">
        <v>178</v>
      </c>
      <c r="BE721" s="132" t="s">
        <v>178</v>
      </c>
      <c r="BF721" s="156"/>
      <c r="BG721" s="83">
        <v>1161271.0</v>
      </c>
      <c r="BH721" s="112"/>
      <c r="BI721" s="112">
        <v>4.0</v>
      </c>
      <c r="BJ721" s="98" t="s">
        <v>155</v>
      </c>
      <c r="BK721" s="99">
        <f t="shared" si="11"/>
        <v>40</v>
      </c>
      <c r="BL721" s="99">
        <f t="shared" si="12"/>
        <v>18</v>
      </c>
      <c r="BM721" s="99" t="str">
        <f>IFERROR(__xludf.DUMMYFUNCTION("IFERROR(VLOOKUP(BG721,IMPORTRANGE(""https://docs.google.com/spreadsheets/d/1juPI-Fb8LD0YtltB2mlGEnp_R3UVu1t3wSFPzgCyHXE/edit?gid=0#gid=0"",""GERAL!A2:C""),3,0),""-"")"),"CAMPO")</f>
        <v>CAMPO</v>
      </c>
    </row>
    <row r="722" ht="15.75" customHeight="1">
      <c r="A722" s="111" t="s">
        <v>796</v>
      </c>
      <c r="B722" s="83" t="s">
        <v>3417</v>
      </c>
      <c r="C722" s="83" t="s">
        <v>68</v>
      </c>
      <c r="D722" s="112">
        <v>1121423.0</v>
      </c>
      <c r="E722" s="83"/>
      <c r="F722" s="83">
        <v>2.9124964E7</v>
      </c>
      <c r="G722" s="114" t="s">
        <v>3432</v>
      </c>
      <c r="H722" s="91" t="s">
        <v>3433</v>
      </c>
      <c r="I722" s="83" t="s">
        <v>576</v>
      </c>
      <c r="J722" s="83" t="s">
        <v>751</v>
      </c>
      <c r="K722" s="83" t="s">
        <v>151</v>
      </c>
      <c r="L722" s="98" t="s">
        <v>76</v>
      </c>
      <c r="M722" s="82" t="str">
        <f>IFERROR(__xludf.DUMMYFUNCTION("IFERROR(VLOOKUP(D722,
IMPORTRANGE(""https://docs.google.com/spreadsheets/d/1MjHtlUikwobi2MaWJgy7tfLeBmhj1u-dRFRs_8GwSoA/edit#gid=0"",""Gestores Escolares!D7:J""),3,0),""VERIFICAR CÓD SEC"")"),"MARIA JOZELICE DANTAS REIS DE ANDRADE")</f>
        <v>MARIA JOZELICE DANTAS REIS DE ANDRADE</v>
      </c>
      <c r="N722" s="82" t="str">
        <f>IFERROR(__xludf.DUMMYFUNCTION("IFERROR(VLOOKUP(D722,
IMPORTRANGE(""https://docs.google.com/spreadsheets/d/1MjHtlUikwobi2MaWJgy7tfLeBmhj1u-dRFRs_8GwSoA/edit#gid=0"",""Gestores Escolares!D7:J""),4,0),""VERIFICAR CÓD SEC"")"),"(75) 9 9940-1925")</f>
        <v>(75) 9 9940-1925</v>
      </c>
      <c r="O722" s="82" t="str">
        <f>IFERROR(__xludf.DUMMYFUNCTION("IFERROR(VLOOKUP(D722,
IMPORTRANGE(""https://docs.google.com/spreadsheets/d/1MjHtlUikwobi2MaWJgy7tfLeBmhj1u-dRFRs_8GwSoA/edit#gid=0"",""Gestores Escolares!D7:J""),6,0),""VERIFICAR CÓD SEC"")"),"MARIA DE LOURDES FERREIRA DE MORAIS")</f>
        <v>MARIA DE LOURDES FERREIRA DE MORAIS</v>
      </c>
      <c r="P722" s="82" t="str">
        <f>IFERROR(__xludf.DUMMYFUNCTION("IFERROR(VLOOKUP(D722,
IMPORTRANGE(""https://docs.google.com/spreadsheets/d/1MjHtlUikwobi2MaWJgy7tfLeBmhj1u-dRFRs_8GwSoA/edit#gid=0"",""Gestores Escolares!D7:J""),7,0),""VERIFICAR CÓD SEC"")"),"(74) 9 9969-5593")</f>
        <v>(74) 9 9969-5593</v>
      </c>
      <c r="Q722" s="82" t="str">
        <f>IFERROR(__xludf.DUMMYFUNCTION("IFERROR(VLOOKUP(D722,
IMPORTRANGE(""https://docs.google.com/spreadsheets/d/1MjHtlUikwobi2MaWJgy7tfLeBmhj1u-dRFRs_8GwSoA/edit#gid=0"",""Gestores Escolares!D7:m""),9,0),""VERIFICAR CÓD SEC"")"),"")</f>
        <v/>
      </c>
      <c r="R722" s="82" t="str">
        <f>IFERROR(__xludf.DUMMYFUNCTION("IFERROR(VLOOKUP(D722,
IMPORTRANGE(""https://docs.google.com/spreadsheets/d/1MjHtlUikwobi2MaWJgy7tfLeBmhj1u-dRFRs_8GwSoA/edit#gid=0"",""Gestores Escolares!D7:m""),10,0),""VERIFICAR CÓD SEC"")"),"")</f>
        <v/>
      </c>
      <c r="S722" s="82"/>
      <c r="T722" s="138">
        <v>7.0</v>
      </c>
      <c r="U722" s="217" t="s">
        <v>10312</v>
      </c>
      <c r="V722" s="106">
        <v>0.0</v>
      </c>
      <c r="W722" s="107">
        <v>0.0</v>
      </c>
      <c r="X722" s="107">
        <v>0.0</v>
      </c>
      <c r="Y722" s="107">
        <v>0.0</v>
      </c>
      <c r="Z722" s="80">
        <f t="shared" si="1"/>
        <v>0</v>
      </c>
      <c r="AA722" s="106">
        <v>0.0</v>
      </c>
      <c r="AB722" s="107">
        <v>0.0</v>
      </c>
      <c r="AC722" s="107">
        <v>0.0</v>
      </c>
      <c r="AD722" s="107">
        <v>0.0</v>
      </c>
      <c r="AE722" s="80">
        <f t="shared" si="2"/>
        <v>0</v>
      </c>
      <c r="AF722" s="222">
        <v>69.0</v>
      </c>
      <c r="AG722" s="222">
        <v>44.0</v>
      </c>
      <c r="AH722" s="222">
        <v>0.0</v>
      </c>
      <c r="AI722" s="224">
        <v>0.0</v>
      </c>
      <c r="AJ722" s="80">
        <f t="shared" si="3"/>
        <v>113</v>
      </c>
      <c r="AK722" s="140">
        <v>0.0</v>
      </c>
      <c r="AL722" s="109">
        <v>0.0</v>
      </c>
      <c r="AM722" s="141">
        <v>0.0</v>
      </c>
      <c r="AN722" s="80">
        <f t="shared" si="4"/>
        <v>0</v>
      </c>
      <c r="AO722" s="222">
        <v>0.0</v>
      </c>
      <c r="AP722" s="222">
        <v>0.0</v>
      </c>
      <c r="AQ722" s="224">
        <v>22.0</v>
      </c>
      <c r="AR722" s="80">
        <f t="shared" si="5"/>
        <v>22</v>
      </c>
      <c r="AS722" s="110">
        <v>16.0</v>
      </c>
      <c r="AT722" s="110">
        <v>0.0</v>
      </c>
      <c r="AU722" s="110">
        <v>12.0</v>
      </c>
      <c r="AV722" s="142">
        <v>0.0</v>
      </c>
      <c r="AW722" s="80">
        <f t="shared" si="6"/>
        <v>28</v>
      </c>
      <c r="AX722" s="113">
        <f t="shared" si="7"/>
        <v>163</v>
      </c>
      <c r="AY722" s="117">
        <f t="shared" si="8"/>
        <v>129</v>
      </c>
      <c r="AZ722" s="120">
        <f t="shared" si="9"/>
        <v>34</v>
      </c>
      <c r="BA722" s="115">
        <v>1.0</v>
      </c>
      <c r="BB722" s="89">
        <f t="shared" si="10"/>
        <v>164</v>
      </c>
      <c r="BC722" s="132" t="s">
        <v>373</v>
      </c>
      <c r="BD722" s="132" t="s">
        <v>178</v>
      </c>
      <c r="BE722" s="132" t="s">
        <v>178</v>
      </c>
      <c r="BF722" s="123"/>
      <c r="BG722" s="83">
        <v>1121423.0</v>
      </c>
      <c r="BH722" s="112"/>
      <c r="BI722" s="112">
        <v>4.0</v>
      </c>
      <c r="BJ722" s="98" t="s">
        <v>155</v>
      </c>
      <c r="BK722" s="99">
        <f t="shared" si="11"/>
        <v>0</v>
      </c>
      <c r="BL722" s="99">
        <f t="shared" si="12"/>
        <v>129</v>
      </c>
      <c r="BM722" s="99" t="str">
        <f>IFERROR(__xludf.DUMMYFUNCTION("IFERROR(VLOOKUP(BG722,IMPORTRANGE(""https://docs.google.com/spreadsheets/d/1juPI-Fb8LD0YtltB2mlGEnp_R3UVu1t3wSFPzgCyHXE/edit?gid=0#gid=0"",""GERAL!A2:C""),3,0),""-"")"),"CAMPO")</f>
        <v>CAMPO</v>
      </c>
    </row>
    <row r="723" ht="15.75" customHeight="1">
      <c r="A723" s="111" t="s">
        <v>796</v>
      </c>
      <c r="B723" s="83" t="s">
        <v>3417</v>
      </c>
      <c r="C723" s="83" t="s">
        <v>68</v>
      </c>
      <c r="D723" s="112">
        <v>1161336.0</v>
      </c>
      <c r="E723" s="83"/>
      <c r="F723" s="83">
        <v>2.9124484E7</v>
      </c>
      <c r="G723" s="219" t="s">
        <v>3445</v>
      </c>
      <c r="H723" s="108" t="s">
        <v>3446</v>
      </c>
      <c r="I723" s="83" t="s">
        <v>149</v>
      </c>
      <c r="J723" s="83" t="s">
        <v>150</v>
      </c>
      <c r="K723" s="83" t="s">
        <v>151</v>
      </c>
      <c r="L723" s="83" t="s">
        <v>230</v>
      </c>
      <c r="M723" s="82" t="str">
        <f>IFERROR(__xludf.DUMMYFUNCTION("IFERROR(VLOOKUP(D723,
IMPORTRANGE(""https://docs.google.com/spreadsheets/d/1MjHtlUikwobi2MaWJgy7tfLeBmhj1u-dRFRs_8GwSoA/edit#gid=0"",""Gestores Escolares!D7:J""),3,0),""VERIFICAR CÓD SEC"")"),"MARILUCE CARDOSO DOS SANTOS")</f>
        <v>MARILUCE CARDOSO DOS SANTOS</v>
      </c>
      <c r="N723" s="82" t="str">
        <f>IFERROR(__xludf.DUMMYFUNCTION("IFERROR(VLOOKUP(D723,
IMPORTRANGE(""https://docs.google.com/spreadsheets/d/1MjHtlUikwobi2MaWJgy7tfLeBmhj1u-dRFRs_8GwSoA/edit#gid=0"",""Gestores Escolares!D7:J""),4,0),""VERIFICAR CÓD SEC"")"),"(74) 9 9962-8882")</f>
        <v>(74) 9 9962-8882</v>
      </c>
      <c r="O723" s="82" t="str">
        <f>IFERROR(__xludf.DUMMYFUNCTION("IFERROR(VLOOKUP(D723,
IMPORTRANGE(""https://docs.google.com/spreadsheets/d/1MjHtlUikwobi2MaWJgy7tfLeBmhj1u-dRFRs_8GwSoA/edit#gid=0"",""Gestores Escolares!D7:J""),6,0),""VERIFICAR CÓD SEC"")"),"JESARELA ALMEIDA DE MOURA")</f>
        <v>JESARELA ALMEIDA DE MOURA</v>
      </c>
      <c r="P723" s="82" t="str">
        <f>IFERROR(__xludf.DUMMYFUNCTION("IFERROR(VLOOKUP(D723,
IMPORTRANGE(""https://docs.google.com/spreadsheets/d/1MjHtlUikwobi2MaWJgy7tfLeBmhj1u-dRFRs_8GwSoA/edit#gid=0"",""Gestores Escolares!D7:J""),7,0),""VERIFICAR CÓD SEC"")"),"(74) 9 9977-0231")</f>
        <v>(74) 9 9977-0231</v>
      </c>
      <c r="Q723" s="82" t="str">
        <f>IFERROR(__xludf.DUMMYFUNCTION("IFERROR(VLOOKUP(D723,
IMPORTRANGE(""https://docs.google.com/spreadsheets/d/1MjHtlUikwobi2MaWJgy7tfLeBmhj1u-dRFRs_8GwSoA/edit#gid=0"",""Gestores Escolares!D7:m""),9,0),""VERIFICAR CÓD SEC"")"),"MAIANE MOURAGOMES")</f>
        <v>MAIANE MOURAGOMES</v>
      </c>
      <c r="R723" s="82" t="str">
        <f>IFERROR(__xludf.DUMMYFUNCTION("IFERROR(VLOOKUP(D723,
IMPORTRANGE(""https://docs.google.com/spreadsheets/d/1MjHtlUikwobi2MaWJgy7tfLeBmhj1u-dRFRs_8GwSoA/edit#gid=0"",""Gestores Escolares!D7:m""),10,0),""VERIFICAR CÓD SEC"")"),"(75) 9 9979-2276/
(74) 9 9987-9214")</f>
        <v>(75) 9 9979-2276/
(74) 9 9987-9214</v>
      </c>
      <c r="S723" s="82"/>
      <c r="T723" s="138">
        <v>15.0</v>
      </c>
      <c r="U723" s="145" t="s">
        <v>10327</v>
      </c>
      <c r="V723" s="106">
        <v>0.0</v>
      </c>
      <c r="W723" s="107">
        <v>0.0</v>
      </c>
      <c r="X723" s="107">
        <v>0.0</v>
      </c>
      <c r="Y723" s="107">
        <v>0.0</v>
      </c>
      <c r="Z723" s="80">
        <f t="shared" si="1"/>
        <v>0</v>
      </c>
      <c r="AA723" s="106">
        <v>0.0</v>
      </c>
      <c r="AB723" s="107">
        <v>0.0</v>
      </c>
      <c r="AC723" s="107">
        <v>0.0</v>
      </c>
      <c r="AD723" s="107">
        <v>0.0</v>
      </c>
      <c r="AE723" s="80">
        <f t="shared" si="2"/>
        <v>0</v>
      </c>
      <c r="AF723" s="140">
        <v>0.0</v>
      </c>
      <c r="AG723" s="109">
        <v>0.0</v>
      </c>
      <c r="AH723" s="109">
        <v>0.0</v>
      </c>
      <c r="AI723" s="141">
        <v>0.0</v>
      </c>
      <c r="AJ723" s="80">
        <f t="shared" si="3"/>
        <v>0</v>
      </c>
      <c r="AK723" s="140">
        <v>0.0</v>
      </c>
      <c r="AL723" s="109">
        <v>0.0</v>
      </c>
      <c r="AM723" s="141">
        <v>0.0</v>
      </c>
      <c r="AN723" s="80">
        <f t="shared" si="4"/>
        <v>0</v>
      </c>
      <c r="AO723" s="140">
        <v>0.0</v>
      </c>
      <c r="AP723" s="109">
        <v>0.0</v>
      </c>
      <c r="AQ723" s="109">
        <v>0.0</v>
      </c>
      <c r="AR723" s="80">
        <f t="shared" si="5"/>
        <v>0</v>
      </c>
      <c r="AS723" s="110">
        <v>483.0</v>
      </c>
      <c r="AT723" s="110">
        <v>347.0</v>
      </c>
      <c r="AU723" s="110">
        <v>182.0</v>
      </c>
      <c r="AV723" s="142">
        <v>0.0</v>
      </c>
      <c r="AW723" s="80">
        <f t="shared" si="6"/>
        <v>1012</v>
      </c>
      <c r="AX723" s="113">
        <f t="shared" si="7"/>
        <v>1012</v>
      </c>
      <c r="AY723" s="117">
        <f t="shared" si="8"/>
        <v>830</v>
      </c>
      <c r="AZ723" s="120">
        <f t="shared" si="9"/>
        <v>182</v>
      </c>
      <c r="BA723" s="115">
        <v>1.0</v>
      </c>
      <c r="BB723" s="89">
        <f t="shared" si="10"/>
        <v>1013</v>
      </c>
      <c r="BC723" s="132" t="s">
        <v>178</v>
      </c>
      <c r="BD723" s="132" t="s">
        <v>522</v>
      </c>
      <c r="BE723" s="132" t="s">
        <v>178</v>
      </c>
      <c r="BF723" s="156"/>
      <c r="BG723" s="83">
        <v>1161336.0</v>
      </c>
      <c r="BH723" s="112"/>
      <c r="BI723" s="112">
        <v>12.0</v>
      </c>
      <c r="BJ723" s="98" t="s">
        <v>162</v>
      </c>
      <c r="BK723" s="99">
        <f t="shared" si="11"/>
        <v>0</v>
      </c>
      <c r="BL723" s="99">
        <f t="shared" si="12"/>
        <v>830</v>
      </c>
      <c r="BM723" s="99" t="str">
        <f>IFERROR(__xludf.DUMMYFUNCTION("IFERROR(VLOOKUP(BG723,IMPORTRANGE(""https://docs.google.com/spreadsheets/d/1juPI-Fb8LD0YtltB2mlGEnp_R3UVu1t3wSFPzgCyHXE/edit?gid=0#gid=0"",""GERAL!A2:C""),3,0),""-"")"),"-")</f>
        <v>-</v>
      </c>
    </row>
    <row r="724" ht="15.75" customHeight="1">
      <c r="A724" s="111" t="s">
        <v>796</v>
      </c>
      <c r="B724" s="83" t="s">
        <v>3417</v>
      </c>
      <c r="C724" s="83" t="s">
        <v>164</v>
      </c>
      <c r="D724" s="112">
        <v>1121423.0</v>
      </c>
      <c r="E724" s="83">
        <v>1179601.0</v>
      </c>
      <c r="F724" s="98">
        <v>2.949172E7</v>
      </c>
      <c r="G724" s="119" t="s">
        <v>3457</v>
      </c>
      <c r="H724" s="91" t="s">
        <v>3458</v>
      </c>
      <c r="I724" s="172" t="s">
        <v>3459</v>
      </c>
      <c r="J724" s="83" t="s">
        <v>252</v>
      </c>
      <c r="K724" s="83" t="s">
        <v>151</v>
      </c>
      <c r="L724" s="83" t="s">
        <v>169</v>
      </c>
      <c r="M724" s="82" t="str">
        <f>IFERROR(__xludf.DUMMYFUNCTION("IFERROR(VLOOKUP(D724,
IMPORTRANGE(""https://docs.google.com/spreadsheets/d/1MjHtlUikwobi2MaWJgy7tfLeBmhj1u-dRFRs_8GwSoA/edit#gid=0"",""Gestores Escolares!D7:J""),3,0),""VERIFICAR CÓD SEC"")"),"MARIA JOZELICE DANTAS REIS DE ANDRADE")</f>
        <v>MARIA JOZELICE DANTAS REIS DE ANDRADE</v>
      </c>
      <c r="N724" s="82" t="str">
        <f>IFERROR(__xludf.DUMMYFUNCTION("IFERROR(VLOOKUP(D724,
IMPORTRANGE(""https://docs.google.com/spreadsheets/d/1MjHtlUikwobi2MaWJgy7tfLeBmhj1u-dRFRs_8GwSoA/edit#gid=0"",""Gestores Escolares!D7:J""),4,0),""VERIFICAR CÓD SEC"")"),"(75) 9 9940-1925")</f>
        <v>(75) 9 9940-1925</v>
      </c>
      <c r="O724" s="82" t="str">
        <f>IFERROR(__xludf.DUMMYFUNCTION("IFERROR(VLOOKUP(D724,
IMPORTRANGE(""https://docs.google.com/spreadsheets/d/1MjHtlUikwobi2MaWJgy7tfLeBmhj1u-dRFRs_8GwSoA/edit#gid=0"",""Gestores Escolares!D7:J""),6,0),""VERIFICAR CÓD SEC"")"),"MARIA DE LOURDES FERREIRA DE MORAIS")</f>
        <v>MARIA DE LOURDES FERREIRA DE MORAIS</v>
      </c>
      <c r="P724" s="82" t="str">
        <f>IFERROR(__xludf.DUMMYFUNCTION("IFERROR(VLOOKUP(D724,
IMPORTRANGE(""https://docs.google.com/spreadsheets/d/1MjHtlUikwobi2MaWJgy7tfLeBmhj1u-dRFRs_8GwSoA/edit#gid=0"",""Gestores Escolares!D7:J""),7,0),""VERIFICAR CÓD SEC"")"),"(74) 9 9969-5593")</f>
        <v>(74) 9 9969-5593</v>
      </c>
      <c r="Q724" s="82" t="str">
        <f>IFERROR(__xludf.DUMMYFUNCTION("IFERROR(VLOOKUP(D724,
IMPORTRANGE(""https://docs.google.com/spreadsheets/d/1MjHtlUikwobi2MaWJgy7tfLeBmhj1u-dRFRs_8GwSoA/edit#gid=0"",""Gestores Escolares!D7:m""),9,0),""VERIFICAR CÓD SEC"")"),"")</f>
        <v/>
      </c>
      <c r="R724" s="82" t="str">
        <f>IFERROR(__xludf.DUMMYFUNCTION("IFERROR(VLOOKUP(D724,
IMPORTRANGE(""https://docs.google.com/spreadsheets/d/1MjHtlUikwobi2MaWJgy7tfLeBmhj1u-dRFRs_8GwSoA/edit#gid=0"",""Gestores Escolares!D7:m""),10,0),""VERIFICAR CÓD SEC"")"),"")</f>
        <v/>
      </c>
      <c r="S724" s="82"/>
      <c r="T724" s="138">
        <v>3.0</v>
      </c>
      <c r="U724" s="152">
        <v>3.0</v>
      </c>
      <c r="V724" s="106">
        <v>0.0</v>
      </c>
      <c r="W724" s="107">
        <v>0.0</v>
      </c>
      <c r="X724" s="107">
        <v>0.0</v>
      </c>
      <c r="Y724" s="107">
        <v>0.0</v>
      </c>
      <c r="Z724" s="80">
        <f t="shared" si="1"/>
        <v>0</v>
      </c>
      <c r="AA724" s="106">
        <v>0.0</v>
      </c>
      <c r="AB724" s="107">
        <v>0.0</v>
      </c>
      <c r="AC724" s="107">
        <v>0.0</v>
      </c>
      <c r="AD724" s="107">
        <v>0.0</v>
      </c>
      <c r="AE724" s="80">
        <f t="shared" si="2"/>
        <v>0</v>
      </c>
      <c r="AF724" s="140">
        <v>34.0</v>
      </c>
      <c r="AG724" s="109">
        <v>0.0</v>
      </c>
      <c r="AH724" s="109">
        <v>0.0</v>
      </c>
      <c r="AI724" s="141">
        <v>0.0</v>
      </c>
      <c r="AJ724" s="80">
        <f t="shared" si="3"/>
        <v>34</v>
      </c>
      <c r="AK724" s="140">
        <v>0.0</v>
      </c>
      <c r="AL724" s="109">
        <v>0.0</v>
      </c>
      <c r="AM724" s="141">
        <v>0.0</v>
      </c>
      <c r="AN724" s="80">
        <f t="shared" si="4"/>
        <v>0</v>
      </c>
      <c r="AO724" s="140">
        <v>0.0</v>
      </c>
      <c r="AP724" s="109">
        <v>0.0</v>
      </c>
      <c r="AQ724" s="109">
        <v>0.0</v>
      </c>
      <c r="AR724" s="80">
        <f t="shared" si="5"/>
        <v>0</v>
      </c>
      <c r="AS724" s="110">
        <v>0.0</v>
      </c>
      <c r="AT724" s="110">
        <v>0.0</v>
      </c>
      <c r="AU724" s="110">
        <v>0.0</v>
      </c>
      <c r="AV724" s="142">
        <v>0.0</v>
      </c>
      <c r="AW724" s="80">
        <f t="shared" si="6"/>
        <v>0</v>
      </c>
      <c r="AX724" s="113">
        <f t="shared" si="7"/>
        <v>34</v>
      </c>
      <c r="AY724" s="117">
        <f t="shared" si="8"/>
        <v>34</v>
      </c>
      <c r="AZ724" s="120">
        <f t="shared" si="9"/>
        <v>0</v>
      </c>
      <c r="BA724" s="115">
        <v>0.0</v>
      </c>
      <c r="BB724" s="89">
        <f t="shared" si="10"/>
        <v>34</v>
      </c>
      <c r="BC724" s="132" t="s">
        <v>178</v>
      </c>
      <c r="BD724" s="132" t="s">
        <v>178</v>
      </c>
      <c r="BE724" s="132" t="s">
        <v>178</v>
      </c>
      <c r="BF724" s="156"/>
      <c r="BG724" s="83">
        <v>1179601.0</v>
      </c>
      <c r="BH724" s="112"/>
      <c r="BI724" s="112">
        <v>3.0</v>
      </c>
      <c r="BJ724" s="98" t="s">
        <v>155</v>
      </c>
      <c r="BK724" s="99">
        <f t="shared" si="11"/>
        <v>0</v>
      </c>
      <c r="BL724" s="99">
        <f t="shared" si="12"/>
        <v>34</v>
      </c>
      <c r="BM724" s="99" t="str">
        <f>IFERROR(__xludf.DUMMYFUNCTION("IFERROR(VLOOKUP(BG724,IMPORTRANGE(""https://docs.google.com/spreadsheets/d/1juPI-Fb8LD0YtltB2mlGEnp_R3UVu1t3wSFPzgCyHXE/edit?gid=0#gid=0"",""GERAL!A2:C""),3,0),""-"")"),"-")</f>
        <v>-</v>
      </c>
    </row>
    <row r="725" ht="15.75" customHeight="1">
      <c r="A725" s="111" t="s">
        <v>796</v>
      </c>
      <c r="B725" s="83" t="s">
        <v>3417</v>
      </c>
      <c r="C725" s="83" t="s">
        <v>164</v>
      </c>
      <c r="D725" s="112">
        <v>1121423.0</v>
      </c>
      <c r="E725" s="83">
        <v>1179600.0</v>
      </c>
      <c r="F725" s="98">
        <v>2.9491711E7</v>
      </c>
      <c r="G725" s="119" t="s">
        <v>3460</v>
      </c>
      <c r="H725" s="91" t="s">
        <v>3461</v>
      </c>
      <c r="I725" s="172" t="s">
        <v>3462</v>
      </c>
      <c r="J725" s="83" t="s">
        <v>443</v>
      </c>
      <c r="K725" s="83" t="s">
        <v>151</v>
      </c>
      <c r="L725" s="83" t="s">
        <v>169</v>
      </c>
      <c r="M725" s="82" t="str">
        <f>IFERROR(__xludf.DUMMYFUNCTION("IFERROR(VLOOKUP(D725,
IMPORTRANGE(""https://docs.google.com/spreadsheets/d/1MjHtlUikwobi2MaWJgy7tfLeBmhj1u-dRFRs_8GwSoA/edit#gid=0"",""Gestores Escolares!D7:J""),3,0),""VERIFICAR CÓD SEC"")"),"MARIA JOZELICE DANTAS REIS DE ANDRADE")</f>
        <v>MARIA JOZELICE DANTAS REIS DE ANDRADE</v>
      </c>
      <c r="N725" s="82" t="str">
        <f>IFERROR(__xludf.DUMMYFUNCTION("IFERROR(VLOOKUP(D725,
IMPORTRANGE(""https://docs.google.com/spreadsheets/d/1MjHtlUikwobi2MaWJgy7tfLeBmhj1u-dRFRs_8GwSoA/edit#gid=0"",""Gestores Escolares!D7:J""),4,0),""VERIFICAR CÓD SEC"")"),"(75) 9 9940-1925")</f>
        <v>(75) 9 9940-1925</v>
      </c>
      <c r="O725" s="82" t="str">
        <f>IFERROR(__xludf.DUMMYFUNCTION("IFERROR(VLOOKUP(D725,
IMPORTRANGE(""https://docs.google.com/spreadsheets/d/1MjHtlUikwobi2MaWJgy7tfLeBmhj1u-dRFRs_8GwSoA/edit#gid=0"",""Gestores Escolares!D7:J""),6,0),""VERIFICAR CÓD SEC"")"),"MARIA DE LOURDES FERREIRA DE MORAIS")</f>
        <v>MARIA DE LOURDES FERREIRA DE MORAIS</v>
      </c>
      <c r="P725" s="82" t="str">
        <f>IFERROR(__xludf.DUMMYFUNCTION("IFERROR(VLOOKUP(D725,
IMPORTRANGE(""https://docs.google.com/spreadsheets/d/1MjHtlUikwobi2MaWJgy7tfLeBmhj1u-dRFRs_8GwSoA/edit#gid=0"",""Gestores Escolares!D7:J""),7,0),""VERIFICAR CÓD SEC"")"),"(74) 9 9969-5593")</f>
        <v>(74) 9 9969-5593</v>
      </c>
      <c r="Q725" s="82" t="str">
        <f>IFERROR(__xludf.DUMMYFUNCTION("IFERROR(VLOOKUP(D725,
IMPORTRANGE(""https://docs.google.com/spreadsheets/d/1MjHtlUikwobi2MaWJgy7tfLeBmhj1u-dRFRs_8GwSoA/edit#gid=0"",""Gestores Escolares!D7:m""),9,0),""VERIFICAR CÓD SEC"")"),"")</f>
        <v/>
      </c>
      <c r="R725" s="82" t="str">
        <f>IFERROR(__xludf.DUMMYFUNCTION("IFERROR(VLOOKUP(D725,
IMPORTRANGE(""https://docs.google.com/spreadsheets/d/1MjHtlUikwobi2MaWJgy7tfLeBmhj1u-dRFRs_8GwSoA/edit#gid=0"",""Gestores Escolares!D7:m""),10,0),""VERIFICAR CÓD SEC"")"),"")</f>
        <v/>
      </c>
      <c r="S725" s="82"/>
      <c r="T725" s="138">
        <v>4.0</v>
      </c>
      <c r="U725" s="152">
        <v>3.0</v>
      </c>
      <c r="V725" s="106">
        <v>0.0</v>
      </c>
      <c r="W725" s="107">
        <v>0.0</v>
      </c>
      <c r="X725" s="107">
        <v>0.0</v>
      </c>
      <c r="Y725" s="107">
        <v>0.0</v>
      </c>
      <c r="Z725" s="80">
        <f t="shared" si="1"/>
        <v>0</v>
      </c>
      <c r="AA725" s="106">
        <v>0.0</v>
      </c>
      <c r="AB725" s="107">
        <v>0.0</v>
      </c>
      <c r="AC725" s="107">
        <v>0.0</v>
      </c>
      <c r="AD725" s="107">
        <v>0.0</v>
      </c>
      <c r="AE725" s="80">
        <f t="shared" si="2"/>
        <v>0</v>
      </c>
      <c r="AF725" s="140">
        <v>40.0</v>
      </c>
      <c r="AG725" s="109">
        <v>0.0</v>
      </c>
      <c r="AH725" s="109">
        <v>0.0</v>
      </c>
      <c r="AI725" s="141">
        <v>0.0</v>
      </c>
      <c r="AJ725" s="80">
        <f t="shared" si="3"/>
        <v>40</v>
      </c>
      <c r="AK725" s="140">
        <v>0.0</v>
      </c>
      <c r="AL725" s="109">
        <v>0.0</v>
      </c>
      <c r="AM725" s="141">
        <v>0.0</v>
      </c>
      <c r="AN725" s="80">
        <f t="shared" si="4"/>
        <v>0</v>
      </c>
      <c r="AO725" s="140">
        <v>0.0</v>
      </c>
      <c r="AP725" s="109">
        <v>0.0</v>
      </c>
      <c r="AQ725" s="109">
        <v>0.0</v>
      </c>
      <c r="AR725" s="80">
        <f t="shared" si="5"/>
        <v>0</v>
      </c>
      <c r="AS725" s="110">
        <v>0.0</v>
      </c>
      <c r="AT725" s="110">
        <v>0.0</v>
      </c>
      <c r="AU725" s="110">
        <v>0.0</v>
      </c>
      <c r="AV725" s="142">
        <v>0.0</v>
      </c>
      <c r="AW725" s="80">
        <f t="shared" si="6"/>
        <v>0</v>
      </c>
      <c r="AX725" s="113">
        <f t="shared" si="7"/>
        <v>40</v>
      </c>
      <c r="AY725" s="117">
        <f t="shared" si="8"/>
        <v>40</v>
      </c>
      <c r="AZ725" s="120">
        <f t="shared" si="9"/>
        <v>0</v>
      </c>
      <c r="BA725" s="115">
        <v>0.0</v>
      </c>
      <c r="BB725" s="89">
        <f t="shared" si="10"/>
        <v>40</v>
      </c>
      <c r="BC725" s="132" t="s">
        <v>373</v>
      </c>
      <c r="BD725" s="132" t="s">
        <v>178</v>
      </c>
      <c r="BE725" s="132" t="s">
        <v>178</v>
      </c>
      <c r="BF725" s="156"/>
      <c r="BG725" s="83">
        <v>1179600.0</v>
      </c>
      <c r="BH725" s="112"/>
      <c r="BI725" s="112">
        <v>3.0</v>
      </c>
      <c r="BJ725" s="98" t="s">
        <v>155</v>
      </c>
      <c r="BK725" s="99">
        <f t="shared" si="11"/>
        <v>0</v>
      </c>
      <c r="BL725" s="99">
        <f t="shared" si="12"/>
        <v>40</v>
      </c>
      <c r="BM725" s="99" t="str">
        <f>IFERROR(__xludf.DUMMYFUNCTION("IFERROR(VLOOKUP(BG725,IMPORTRANGE(""https://docs.google.com/spreadsheets/d/1juPI-Fb8LD0YtltB2mlGEnp_R3UVu1t3wSFPzgCyHXE/edit?gid=0#gid=0"",""GERAL!A2:C""),3,0),""-"")"),"CAMPO")</f>
        <v>CAMPO</v>
      </c>
    </row>
    <row r="726" ht="15.75" customHeight="1">
      <c r="A726" s="111" t="s">
        <v>860</v>
      </c>
      <c r="B726" s="83" t="s">
        <v>3463</v>
      </c>
      <c r="C726" s="83" t="s">
        <v>45</v>
      </c>
      <c r="D726" s="112">
        <v>1178383.0</v>
      </c>
      <c r="E726" s="83"/>
      <c r="F726" s="83">
        <v>2.9376718E7</v>
      </c>
      <c r="G726" s="114" t="s">
        <v>3464</v>
      </c>
      <c r="H726" s="91" t="s">
        <v>3465</v>
      </c>
      <c r="I726" s="83" t="s">
        <v>149</v>
      </c>
      <c r="J726" s="83" t="s">
        <v>3466</v>
      </c>
      <c r="K726" s="83" t="s">
        <v>3467</v>
      </c>
      <c r="L726" s="83" t="s">
        <v>169</v>
      </c>
      <c r="M726" s="82" t="str">
        <f>IFERROR(__xludf.DUMMYFUNCTION("IFERROR(VLOOKUP(D726,
IMPORTRANGE(""https://docs.google.com/spreadsheets/d/1MjHtlUikwobi2MaWJgy7tfLeBmhj1u-dRFRs_8GwSoA/edit#gid=0"",""Gestores Escolares!D7:J""),3,0),""VERIFICAR CÓD SEC"")"),"JOSETE SANTOS DINIZ")</f>
        <v>JOSETE SANTOS DINIZ</v>
      </c>
      <c r="N726" s="82" t="str">
        <f>IFERROR(__xludf.DUMMYFUNCTION("IFERROR(VLOOKUP(D726,
IMPORTRANGE(""https://docs.google.com/spreadsheets/d/1MjHtlUikwobi2MaWJgy7tfLeBmhj1u-dRFRs_8GwSoA/edit#gid=0"",""Gestores Escolares!D7:J""),4,0),""VERIFICAR CÓD SEC"")"),"(77) 9 9933-3239")</f>
        <v>(77) 9 9933-3239</v>
      </c>
      <c r="O726" s="82" t="str">
        <f>IFERROR(__xludf.DUMMYFUNCTION("IFERROR(VLOOKUP(D726,
IMPORTRANGE(""https://docs.google.com/spreadsheets/d/1MjHtlUikwobi2MaWJgy7tfLeBmhj1u-dRFRs_8GwSoA/edit#gid=0"",""Gestores Escolares!D7:J""),6,0),""VERIFICAR CÓD SEC"")"),"")</f>
        <v/>
      </c>
      <c r="P726" s="82" t="str">
        <f>IFERROR(__xludf.DUMMYFUNCTION("IFERROR(VLOOKUP(D726,
IMPORTRANGE(""https://docs.google.com/spreadsheets/d/1MjHtlUikwobi2MaWJgy7tfLeBmhj1u-dRFRs_8GwSoA/edit#gid=0"",""Gestores Escolares!D7:J""),7,0),""VERIFICAR CÓD SEC"")"),"")</f>
        <v/>
      </c>
      <c r="Q726" s="82" t="str">
        <f>IFERROR(__xludf.DUMMYFUNCTION("IFERROR(VLOOKUP(D726,
IMPORTRANGE(""https://docs.google.com/spreadsheets/d/1MjHtlUikwobi2MaWJgy7tfLeBmhj1u-dRFRs_8GwSoA/edit#gid=0"",""Gestores Escolares!D7:m""),9,0),""VERIFICAR CÓD SEC"")"),"")</f>
        <v/>
      </c>
      <c r="R726" s="82" t="str">
        <f>IFERROR(__xludf.DUMMYFUNCTION("IFERROR(VLOOKUP(D726,
IMPORTRANGE(""https://docs.google.com/spreadsheets/d/1MjHtlUikwobi2MaWJgy7tfLeBmhj1u-dRFRs_8GwSoA/edit#gid=0"",""Gestores Escolares!D7:m""),10,0),""VERIFICAR CÓD SEC"")"),"")</f>
        <v/>
      </c>
      <c r="S726" s="82"/>
      <c r="T726" s="138">
        <v>5.0</v>
      </c>
      <c r="U726" s="145">
        <v>2.0</v>
      </c>
      <c r="V726" s="106">
        <v>0.0</v>
      </c>
      <c r="W726" s="107">
        <v>0.0</v>
      </c>
      <c r="X726" s="107">
        <v>0.0</v>
      </c>
      <c r="Y726" s="107">
        <v>0.0</v>
      </c>
      <c r="Z726" s="80">
        <f t="shared" si="1"/>
        <v>0</v>
      </c>
      <c r="AA726" s="106">
        <v>0.0</v>
      </c>
      <c r="AB726" s="107">
        <v>0.0</v>
      </c>
      <c r="AC726" s="107">
        <v>0.0</v>
      </c>
      <c r="AD726" s="107">
        <v>0.0</v>
      </c>
      <c r="AE726" s="80">
        <f t="shared" si="2"/>
        <v>0</v>
      </c>
      <c r="AF726" s="225">
        <v>0.0</v>
      </c>
      <c r="AG726" s="226">
        <v>0.0</v>
      </c>
      <c r="AH726" s="226">
        <v>0.0</v>
      </c>
      <c r="AI726" s="227">
        <v>189.0</v>
      </c>
      <c r="AJ726" s="80">
        <f t="shared" si="3"/>
        <v>189</v>
      </c>
      <c r="AK726" s="140">
        <v>0.0</v>
      </c>
      <c r="AL726" s="109">
        <v>0.0</v>
      </c>
      <c r="AM726" s="141">
        <v>0.0</v>
      </c>
      <c r="AN726" s="80">
        <f t="shared" si="4"/>
        <v>0</v>
      </c>
      <c r="AO726" s="225">
        <v>0.0</v>
      </c>
      <c r="AP726" s="226">
        <v>0.0</v>
      </c>
      <c r="AQ726" s="226">
        <v>0.0</v>
      </c>
      <c r="AR726" s="80">
        <f t="shared" si="5"/>
        <v>0</v>
      </c>
      <c r="AS726" s="110">
        <v>0.0</v>
      </c>
      <c r="AT726" s="110">
        <v>0.0</v>
      </c>
      <c r="AU726" s="110">
        <v>0.0</v>
      </c>
      <c r="AV726" s="142">
        <v>0.0</v>
      </c>
      <c r="AW726" s="80">
        <f t="shared" si="6"/>
        <v>0</v>
      </c>
      <c r="AX726" s="113">
        <f t="shared" si="7"/>
        <v>189</v>
      </c>
      <c r="AY726" s="117">
        <f t="shared" si="8"/>
        <v>189</v>
      </c>
      <c r="AZ726" s="120">
        <f t="shared" si="9"/>
        <v>0</v>
      </c>
      <c r="BA726" s="115">
        <v>0.0</v>
      </c>
      <c r="BB726" s="89">
        <f t="shared" si="10"/>
        <v>189</v>
      </c>
      <c r="BC726" s="132" t="s">
        <v>178</v>
      </c>
      <c r="BD726" s="132" t="s">
        <v>178</v>
      </c>
      <c r="BE726" s="132" t="s">
        <v>178</v>
      </c>
      <c r="BF726" s="123"/>
      <c r="BG726" s="83">
        <v>1178383.0</v>
      </c>
      <c r="BH726" s="144"/>
      <c r="BI726" s="112">
        <v>5.0</v>
      </c>
      <c r="BJ726" s="98" t="s">
        <v>155</v>
      </c>
      <c r="BK726" s="99">
        <f t="shared" si="11"/>
        <v>189</v>
      </c>
      <c r="BL726" s="99">
        <f t="shared" si="12"/>
        <v>0</v>
      </c>
      <c r="BM726" s="99" t="str">
        <f>IFERROR(__xludf.DUMMYFUNCTION("IFERROR(VLOOKUP(BG726,IMPORTRANGE(""https://docs.google.com/spreadsheets/d/1juPI-Fb8LD0YtltB2mlGEnp_R3UVu1t3wSFPzgCyHXE/edit?gid=0#gid=0"",""GERAL!A2:C""),3,0),""-"")"),"EFA")</f>
        <v>EFA</v>
      </c>
    </row>
    <row r="727" ht="15.75" customHeight="1">
      <c r="A727" s="111" t="s">
        <v>860</v>
      </c>
      <c r="B727" s="83" t="s">
        <v>3463</v>
      </c>
      <c r="C727" s="83" t="s">
        <v>68</v>
      </c>
      <c r="D727" s="112">
        <v>1129521.0</v>
      </c>
      <c r="E727" s="83"/>
      <c r="F727" s="83">
        <v>2.9005752E7</v>
      </c>
      <c r="G727" s="119" t="s">
        <v>3469</v>
      </c>
      <c r="H727" s="91" t="s">
        <v>3470</v>
      </c>
      <c r="I727" s="83" t="s">
        <v>149</v>
      </c>
      <c r="J727" s="83" t="s">
        <v>150</v>
      </c>
      <c r="K727" s="83" t="s">
        <v>151</v>
      </c>
      <c r="L727" s="98" t="s">
        <v>152</v>
      </c>
      <c r="M727" s="82" t="str">
        <f>IFERROR(__xludf.DUMMYFUNCTION("IFERROR(VLOOKUP(D727,
IMPORTRANGE(""https://docs.google.com/spreadsheets/d/1MjHtlUikwobi2MaWJgy7tfLeBmhj1u-dRFRs_8GwSoA/edit#gid=0"",""Gestores Escolares!D7:J""),3,0),""VERIFICAR CÓD SEC"")"),"ELYS REGINA CRUZ DE JESUS MATOS")</f>
        <v>ELYS REGINA CRUZ DE JESUS MATOS</v>
      </c>
      <c r="N727" s="82" t="str">
        <f>IFERROR(__xludf.DUMMYFUNCTION("IFERROR(VLOOKUP(D727,
IMPORTRANGE(""https://docs.google.com/spreadsheets/d/1MjHtlUikwobi2MaWJgy7tfLeBmhj1u-dRFRs_8GwSoA/edit#gid=0"",""Gestores Escolares!D7:J""),4,0),""VERIFICAR CÓD SEC"")"),"(77) 9 9908-9601")</f>
        <v>(77) 9 9908-9601</v>
      </c>
      <c r="O727" s="82" t="str">
        <f>IFERROR(__xludf.DUMMYFUNCTION("IFERROR(VLOOKUP(D727,
IMPORTRANGE(""https://docs.google.com/spreadsheets/d/1MjHtlUikwobi2MaWJgy7tfLeBmhj1u-dRFRs_8GwSoA/edit#gid=0"",""Gestores Escolares!D7:J""),6,0),""VERIFICAR CÓD SEC"")"),"DJALMA JAMES DANTAS GUIMARAES")</f>
        <v>DJALMA JAMES DANTAS GUIMARAES</v>
      </c>
      <c r="P727" s="82" t="str">
        <f>IFERROR(__xludf.DUMMYFUNCTION("IFERROR(VLOOKUP(D727,
IMPORTRANGE(""https://docs.google.com/spreadsheets/d/1MjHtlUikwobi2MaWJgy7tfLeBmhj1u-dRFRs_8GwSoA/edit#gid=0"",""Gestores Escolares!D7:J""),7,0),""VERIFICAR CÓD SEC"")"),"(77) 9 9953-0165")</f>
        <v>(77) 9 9953-0165</v>
      </c>
      <c r="Q727" s="82" t="str">
        <f>IFERROR(__xludf.DUMMYFUNCTION("IFERROR(VLOOKUP(D727,
IMPORTRANGE(""https://docs.google.com/spreadsheets/d/1MjHtlUikwobi2MaWJgy7tfLeBmhj1u-dRFRs_8GwSoA/edit#gid=0"",""Gestores Escolares!D7:m""),9,0),""VERIFICAR CÓD SEC"")"),"LUAN ELOY OLIVEIRA")</f>
        <v>LUAN ELOY OLIVEIRA</v>
      </c>
      <c r="R727" s="82" t="str">
        <f>IFERROR(__xludf.DUMMYFUNCTION("IFERROR(VLOOKUP(D727,
IMPORTRANGE(""https://docs.google.com/spreadsheets/d/1MjHtlUikwobi2MaWJgy7tfLeBmhj1u-dRFRs_8GwSoA/edit#gid=0"",""Gestores Escolares!D7:m""),10,0),""VERIFICAR CÓD SEC"")"),"(77) 9 8871-9603")</f>
        <v>(77) 9 8871-9603</v>
      </c>
      <c r="S727" s="82"/>
      <c r="T727" s="138">
        <v>6.0</v>
      </c>
      <c r="U727" s="145" t="s">
        <v>10356</v>
      </c>
      <c r="V727" s="106">
        <v>0.0</v>
      </c>
      <c r="W727" s="107">
        <v>0.0</v>
      </c>
      <c r="X727" s="107">
        <v>0.0</v>
      </c>
      <c r="Y727" s="107">
        <v>0.0</v>
      </c>
      <c r="Z727" s="80">
        <f t="shared" si="1"/>
        <v>0</v>
      </c>
      <c r="AA727" s="106">
        <v>0.0</v>
      </c>
      <c r="AB727" s="107">
        <v>0.0</v>
      </c>
      <c r="AC727" s="107">
        <v>0.0</v>
      </c>
      <c r="AD727" s="107">
        <v>0.0</v>
      </c>
      <c r="AE727" s="80">
        <f t="shared" si="2"/>
        <v>0</v>
      </c>
      <c r="AF727" s="140">
        <v>107.0</v>
      </c>
      <c r="AG727" s="109">
        <v>57.0</v>
      </c>
      <c r="AH727" s="109">
        <v>0.0</v>
      </c>
      <c r="AI727" s="141">
        <v>38.0</v>
      </c>
      <c r="AJ727" s="80">
        <f t="shared" si="3"/>
        <v>202</v>
      </c>
      <c r="AK727" s="140">
        <v>0.0</v>
      </c>
      <c r="AL727" s="109">
        <v>0.0</v>
      </c>
      <c r="AM727" s="141">
        <v>0.0</v>
      </c>
      <c r="AN727" s="80">
        <f t="shared" si="4"/>
        <v>0</v>
      </c>
      <c r="AO727" s="140">
        <v>0.0</v>
      </c>
      <c r="AP727" s="109">
        <v>0.0</v>
      </c>
      <c r="AQ727" s="109">
        <v>28.0</v>
      </c>
      <c r="AR727" s="80">
        <f t="shared" si="5"/>
        <v>28</v>
      </c>
      <c r="AS727" s="110">
        <v>0.0</v>
      </c>
      <c r="AT727" s="110">
        <v>0.0</v>
      </c>
      <c r="AU727" s="110">
        <v>8.0</v>
      </c>
      <c r="AV727" s="142">
        <v>46.0</v>
      </c>
      <c r="AW727" s="80">
        <f t="shared" si="6"/>
        <v>54</v>
      </c>
      <c r="AX727" s="113">
        <f t="shared" si="7"/>
        <v>284</v>
      </c>
      <c r="AY727" s="117">
        <f t="shared" si="8"/>
        <v>248</v>
      </c>
      <c r="AZ727" s="120">
        <f t="shared" si="9"/>
        <v>36</v>
      </c>
      <c r="BA727" s="115">
        <v>0.0</v>
      </c>
      <c r="BB727" s="89">
        <f t="shared" si="10"/>
        <v>284</v>
      </c>
      <c r="BC727" s="132" t="s">
        <v>178</v>
      </c>
      <c r="BD727" s="132" t="s">
        <v>178</v>
      </c>
      <c r="BE727" s="132" t="s">
        <v>178</v>
      </c>
      <c r="BF727" s="123"/>
      <c r="BG727" s="83">
        <v>1129521.0</v>
      </c>
      <c r="BH727" s="98" t="s">
        <v>10362</v>
      </c>
      <c r="BI727" s="112">
        <v>5.0</v>
      </c>
      <c r="BJ727" s="98" t="s">
        <v>176</v>
      </c>
      <c r="BK727" s="99">
        <f t="shared" si="11"/>
        <v>84</v>
      </c>
      <c r="BL727" s="99">
        <f t="shared" si="12"/>
        <v>164</v>
      </c>
      <c r="BM727" s="99" t="str">
        <f>IFERROR(__xludf.DUMMYFUNCTION("IFERROR(VLOOKUP(BG727,IMPORTRANGE(""https://docs.google.com/spreadsheets/d/1juPI-Fb8LD0YtltB2mlGEnp_R3UVu1t3wSFPzgCyHXE/edit?gid=0#gid=0"",""GERAL!A2:C""),3,0),""-"")"),"-")</f>
        <v>-</v>
      </c>
    </row>
    <row r="728" ht="15.75" customHeight="1">
      <c r="A728" s="111" t="s">
        <v>860</v>
      </c>
      <c r="B728" s="83" t="s">
        <v>3463</v>
      </c>
      <c r="C728" s="83" t="s">
        <v>164</v>
      </c>
      <c r="D728" s="112">
        <v>1129521.0</v>
      </c>
      <c r="E728" s="83">
        <v>1178866.0</v>
      </c>
      <c r="F728" s="98">
        <v>2.949017E7</v>
      </c>
      <c r="G728" s="114" t="s">
        <v>3475</v>
      </c>
      <c r="H728" s="91" t="s">
        <v>3476</v>
      </c>
      <c r="I728" s="83" t="s">
        <v>149</v>
      </c>
      <c r="J728" s="83" t="s">
        <v>315</v>
      </c>
      <c r="K728" s="83" t="s">
        <v>168</v>
      </c>
      <c r="L728" s="83" t="s">
        <v>169</v>
      </c>
      <c r="M728" s="82" t="str">
        <f>IFERROR(__xludf.DUMMYFUNCTION("IFERROR(VLOOKUP(D728,
IMPORTRANGE(""https://docs.google.com/spreadsheets/d/1MjHtlUikwobi2MaWJgy7tfLeBmhj1u-dRFRs_8GwSoA/edit#gid=0"",""Gestores Escolares!D7:J""),3,0),""VERIFICAR CÓD SEC"")"),"ELYS REGINA CRUZ DE JESUS MATOS")</f>
        <v>ELYS REGINA CRUZ DE JESUS MATOS</v>
      </c>
      <c r="N728" s="82" t="str">
        <f>IFERROR(__xludf.DUMMYFUNCTION("IFERROR(VLOOKUP(D728,
IMPORTRANGE(""https://docs.google.com/spreadsheets/d/1MjHtlUikwobi2MaWJgy7tfLeBmhj1u-dRFRs_8GwSoA/edit#gid=0"",""Gestores Escolares!D7:J""),4,0),""VERIFICAR CÓD SEC"")"),"(77) 9 9908-9601")</f>
        <v>(77) 9 9908-9601</v>
      </c>
      <c r="O728" s="82" t="str">
        <f>IFERROR(__xludf.DUMMYFUNCTION("IFERROR(VLOOKUP(D728,
IMPORTRANGE(""https://docs.google.com/spreadsheets/d/1MjHtlUikwobi2MaWJgy7tfLeBmhj1u-dRFRs_8GwSoA/edit#gid=0"",""Gestores Escolares!D7:J""),6,0),""VERIFICAR CÓD SEC"")"),"DJALMA JAMES DANTAS GUIMARAES")</f>
        <v>DJALMA JAMES DANTAS GUIMARAES</v>
      </c>
      <c r="P728" s="82" t="str">
        <f>IFERROR(__xludf.DUMMYFUNCTION("IFERROR(VLOOKUP(D728,
IMPORTRANGE(""https://docs.google.com/spreadsheets/d/1MjHtlUikwobi2MaWJgy7tfLeBmhj1u-dRFRs_8GwSoA/edit#gid=0"",""Gestores Escolares!D7:J""),7,0),""VERIFICAR CÓD SEC"")"),"(77) 9 9953-0165")</f>
        <v>(77) 9 9953-0165</v>
      </c>
      <c r="Q728" s="82" t="str">
        <f>IFERROR(__xludf.DUMMYFUNCTION("IFERROR(VLOOKUP(D728,
IMPORTRANGE(""https://docs.google.com/spreadsheets/d/1MjHtlUikwobi2MaWJgy7tfLeBmhj1u-dRFRs_8GwSoA/edit#gid=0"",""Gestores Escolares!D7:m""),9,0),""VERIFICAR CÓD SEC"")"),"LUAN ELOY OLIVEIRA")</f>
        <v>LUAN ELOY OLIVEIRA</v>
      </c>
      <c r="R728" s="82" t="str">
        <f>IFERROR(__xludf.DUMMYFUNCTION("IFERROR(VLOOKUP(D728,
IMPORTRANGE(""https://docs.google.com/spreadsheets/d/1MjHtlUikwobi2MaWJgy7tfLeBmhj1u-dRFRs_8GwSoA/edit#gid=0"",""Gestores Escolares!D7:m""),10,0),""VERIFICAR CÓD SEC"")"),"(77) 9 8871-9603")</f>
        <v>(77) 9 8871-9603</v>
      </c>
      <c r="S728" s="82"/>
      <c r="T728" s="138">
        <v>3.0</v>
      </c>
      <c r="U728" s="145">
        <v>6.0</v>
      </c>
      <c r="V728" s="106">
        <v>0.0</v>
      </c>
      <c r="W728" s="107">
        <v>0.0</v>
      </c>
      <c r="X728" s="107">
        <v>0.0</v>
      </c>
      <c r="Y728" s="107">
        <v>0.0</v>
      </c>
      <c r="Z728" s="80">
        <f t="shared" si="1"/>
        <v>0</v>
      </c>
      <c r="AA728" s="106">
        <v>0.0</v>
      </c>
      <c r="AB728" s="107">
        <v>0.0</v>
      </c>
      <c r="AC728" s="107">
        <v>0.0</v>
      </c>
      <c r="AD728" s="107">
        <v>0.0</v>
      </c>
      <c r="AE728" s="80">
        <f t="shared" si="2"/>
        <v>0</v>
      </c>
      <c r="AF728" s="140">
        <v>15.0</v>
      </c>
      <c r="AG728" s="109">
        <v>0.0</v>
      </c>
      <c r="AH728" s="109">
        <v>0.0</v>
      </c>
      <c r="AI728" s="141">
        <v>0.0</v>
      </c>
      <c r="AJ728" s="80">
        <f t="shared" si="3"/>
        <v>15</v>
      </c>
      <c r="AK728" s="140">
        <v>0.0</v>
      </c>
      <c r="AL728" s="109">
        <v>0.0</v>
      </c>
      <c r="AM728" s="141">
        <v>0.0</v>
      </c>
      <c r="AN728" s="80">
        <f t="shared" si="4"/>
        <v>0</v>
      </c>
      <c r="AO728" s="140">
        <v>0.0</v>
      </c>
      <c r="AP728" s="109">
        <v>0.0</v>
      </c>
      <c r="AQ728" s="109">
        <v>0.0</v>
      </c>
      <c r="AR728" s="80">
        <f t="shared" si="5"/>
        <v>0</v>
      </c>
      <c r="AS728" s="110">
        <v>0.0</v>
      </c>
      <c r="AT728" s="110">
        <v>0.0</v>
      </c>
      <c r="AU728" s="110">
        <v>0.0</v>
      </c>
      <c r="AV728" s="142">
        <v>0.0</v>
      </c>
      <c r="AW728" s="80">
        <f t="shared" si="6"/>
        <v>0</v>
      </c>
      <c r="AX728" s="113">
        <f t="shared" si="7"/>
        <v>15</v>
      </c>
      <c r="AY728" s="117">
        <f t="shared" si="8"/>
        <v>15</v>
      </c>
      <c r="AZ728" s="120">
        <f t="shared" si="9"/>
        <v>0</v>
      </c>
      <c r="BA728" s="115">
        <v>0.0</v>
      </c>
      <c r="BB728" s="89">
        <f t="shared" si="10"/>
        <v>15</v>
      </c>
      <c r="BC728" s="132" t="s">
        <v>373</v>
      </c>
      <c r="BD728" s="132" t="s">
        <v>178</v>
      </c>
      <c r="BE728" s="132" t="s">
        <v>178</v>
      </c>
      <c r="BF728" s="123"/>
      <c r="BG728" s="83">
        <v>1178866.0</v>
      </c>
      <c r="BH728" s="144"/>
      <c r="BI728" s="112">
        <v>3.0</v>
      </c>
      <c r="BJ728" s="98" t="s">
        <v>155</v>
      </c>
      <c r="BK728" s="99">
        <f t="shared" si="11"/>
        <v>0</v>
      </c>
      <c r="BL728" s="99">
        <f t="shared" si="12"/>
        <v>15</v>
      </c>
      <c r="BM728" s="99" t="str">
        <f>IFERROR(__xludf.DUMMYFUNCTION("IFERROR(VLOOKUP(BG728,IMPORTRANGE(""https://docs.google.com/spreadsheets/d/1juPI-Fb8LD0YtltB2mlGEnp_R3UVu1t3wSFPzgCyHXE/edit?gid=0#gid=0"",""GERAL!A2:C""),3,0),""-"")"),"CAMPO")</f>
        <v>CAMPO</v>
      </c>
    </row>
    <row r="729" ht="15.75" customHeight="1">
      <c r="A729" s="111" t="s">
        <v>860</v>
      </c>
      <c r="B729" s="83" t="s">
        <v>3463</v>
      </c>
      <c r="C729" s="83" t="s">
        <v>164</v>
      </c>
      <c r="D729" s="112">
        <v>1129521.0</v>
      </c>
      <c r="E729" s="83">
        <v>1178865.0</v>
      </c>
      <c r="F729" s="98">
        <v>2.9490162E7</v>
      </c>
      <c r="G729" s="119" t="s">
        <v>3480</v>
      </c>
      <c r="H729" s="91" t="s">
        <v>3481</v>
      </c>
      <c r="I729" s="83" t="s">
        <v>149</v>
      </c>
      <c r="J729" s="83" t="s">
        <v>467</v>
      </c>
      <c r="K729" s="83" t="s">
        <v>151</v>
      </c>
      <c r="L729" s="83" t="s">
        <v>169</v>
      </c>
      <c r="M729" s="82" t="str">
        <f>IFERROR(__xludf.DUMMYFUNCTION("IFERROR(VLOOKUP(D729,
IMPORTRANGE(""https://docs.google.com/spreadsheets/d/1MjHtlUikwobi2MaWJgy7tfLeBmhj1u-dRFRs_8GwSoA/edit#gid=0"",""Gestores Escolares!D7:J""),3,0),""VERIFICAR CÓD SEC"")"),"ELYS REGINA CRUZ DE JESUS MATOS")</f>
        <v>ELYS REGINA CRUZ DE JESUS MATOS</v>
      </c>
      <c r="N729" s="82" t="str">
        <f>IFERROR(__xludf.DUMMYFUNCTION("IFERROR(VLOOKUP(D729,
IMPORTRANGE(""https://docs.google.com/spreadsheets/d/1MjHtlUikwobi2MaWJgy7tfLeBmhj1u-dRFRs_8GwSoA/edit#gid=0"",""Gestores Escolares!D7:J""),4,0),""VERIFICAR CÓD SEC"")"),"(77) 9 9908-9601")</f>
        <v>(77) 9 9908-9601</v>
      </c>
      <c r="O729" s="82" t="str">
        <f>IFERROR(__xludf.DUMMYFUNCTION("IFERROR(VLOOKUP(D729,
IMPORTRANGE(""https://docs.google.com/spreadsheets/d/1MjHtlUikwobi2MaWJgy7tfLeBmhj1u-dRFRs_8GwSoA/edit#gid=0"",""Gestores Escolares!D7:J""),6,0),""VERIFICAR CÓD SEC"")"),"DJALMA JAMES DANTAS GUIMARAES")</f>
        <v>DJALMA JAMES DANTAS GUIMARAES</v>
      </c>
      <c r="P729" s="82" t="str">
        <f>IFERROR(__xludf.DUMMYFUNCTION("IFERROR(VLOOKUP(D729,
IMPORTRANGE(""https://docs.google.com/spreadsheets/d/1MjHtlUikwobi2MaWJgy7tfLeBmhj1u-dRFRs_8GwSoA/edit#gid=0"",""Gestores Escolares!D7:J""),7,0),""VERIFICAR CÓD SEC"")"),"(77) 9 9953-0165")</f>
        <v>(77) 9 9953-0165</v>
      </c>
      <c r="Q729" s="82" t="str">
        <f>IFERROR(__xludf.DUMMYFUNCTION("IFERROR(VLOOKUP(D729,
IMPORTRANGE(""https://docs.google.com/spreadsheets/d/1MjHtlUikwobi2MaWJgy7tfLeBmhj1u-dRFRs_8GwSoA/edit#gid=0"",""Gestores Escolares!D7:m""),9,0),""VERIFICAR CÓD SEC"")"),"LUAN ELOY OLIVEIRA")</f>
        <v>LUAN ELOY OLIVEIRA</v>
      </c>
      <c r="R729" s="82" t="str">
        <f>IFERROR(__xludf.DUMMYFUNCTION("IFERROR(VLOOKUP(D729,
IMPORTRANGE(""https://docs.google.com/spreadsheets/d/1MjHtlUikwobi2MaWJgy7tfLeBmhj1u-dRFRs_8GwSoA/edit#gid=0"",""Gestores Escolares!D7:m""),10,0),""VERIFICAR CÓD SEC"")"),"(77) 9 8871-9603")</f>
        <v>(77) 9 8871-9603</v>
      </c>
      <c r="S729" s="82"/>
      <c r="T729" s="138">
        <v>6.0</v>
      </c>
      <c r="U729" s="145" t="s">
        <v>10376</v>
      </c>
      <c r="V729" s="106">
        <v>0.0</v>
      </c>
      <c r="W729" s="107">
        <v>0.0</v>
      </c>
      <c r="X729" s="107">
        <v>0.0</v>
      </c>
      <c r="Y729" s="107">
        <v>0.0</v>
      </c>
      <c r="Z729" s="80">
        <f t="shared" si="1"/>
        <v>0</v>
      </c>
      <c r="AA729" s="106">
        <v>0.0</v>
      </c>
      <c r="AB729" s="107">
        <v>0.0</v>
      </c>
      <c r="AC729" s="107">
        <v>0.0</v>
      </c>
      <c r="AD729" s="107">
        <v>0.0</v>
      </c>
      <c r="AE729" s="80">
        <f t="shared" si="2"/>
        <v>0</v>
      </c>
      <c r="AF729" s="140">
        <v>0.0</v>
      </c>
      <c r="AG729" s="109">
        <v>129.0</v>
      </c>
      <c r="AH729" s="109">
        <v>0.0</v>
      </c>
      <c r="AI729" s="141">
        <v>0.0</v>
      </c>
      <c r="AJ729" s="80">
        <f t="shared" si="3"/>
        <v>129</v>
      </c>
      <c r="AK729" s="140">
        <v>0.0</v>
      </c>
      <c r="AL729" s="109">
        <v>0.0</v>
      </c>
      <c r="AM729" s="141">
        <v>0.0</v>
      </c>
      <c r="AN729" s="80">
        <f t="shared" si="4"/>
        <v>0</v>
      </c>
      <c r="AO729" s="140">
        <v>0.0</v>
      </c>
      <c r="AP729" s="109">
        <v>0.0</v>
      </c>
      <c r="AQ729" s="109">
        <v>25.0</v>
      </c>
      <c r="AR729" s="80">
        <f t="shared" si="5"/>
        <v>25</v>
      </c>
      <c r="AS729" s="110">
        <v>0.0</v>
      </c>
      <c r="AT729" s="110">
        <v>0.0</v>
      </c>
      <c r="AU729" s="110">
        <v>0.0</v>
      </c>
      <c r="AV729" s="142">
        <v>0.0</v>
      </c>
      <c r="AW729" s="80">
        <f t="shared" si="6"/>
        <v>0</v>
      </c>
      <c r="AX729" s="113">
        <f t="shared" si="7"/>
        <v>154</v>
      </c>
      <c r="AY729" s="117">
        <f t="shared" si="8"/>
        <v>129</v>
      </c>
      <c r="AZ729" s="120">
        <f t="shared" si="9"/>
        <v>25</v>
      </c>
      <c r="BA729" s="115">
        <v>0.0</v>
      </c>
      <c r="BB729" s="89">
        <f t="shared" si="10"/>
        <v>154</v>
      </c>
      <c r="BC729" s="132" t="s">
        <v>373</v>
      </c>
      <c r="BD729" s="132" t="s">
        <v>178</v>
      </c>
      <c r="BE729" s="132" t="s">
        <v>178</v>
      </c>
      <c r="BF729" s="123"/>
      <c r="BG729" s="83">
        <v>1178865.0</v>
      </c>
      <c r="BH729" s="171" t="s">
        <v>10362</v>
      </c>
      <c r="BI729" s="112">
        <v>8.0</v>
      </c>
      <c r="BJ729" s="98" t="s">
        <v>155</v>
      </c>
      <c r="BK729" s="99">
        <f t="shared" si="11"/>
        <v>0</v>
      </c>
      <c r="BL729" s="99">
        <f t="shared" si="12"/>
        <v>129</v>
      </c>
      <c r="BM729" s="99" t="str">
        <f>IFERROR(__xludf.DUMMYFUNCTION("IFERROR(VLOOKUP(BG729,IMPORTRANGE(""https://docs.google.com/spreadsheets/d/1juPI-Fb8LD0YtltB2mlGEnp_R3UVu1t3wSFPzgCyHXE/edit?gid=0#gid=0"",""GERAL!A2:C""),3,0),""-"")"),"CAMPO")</f>
        <v>CAMPO</v>
      </c>
    </row>
    <row r="730" ht="15.75" customHeight="1">
      <c r="A730" s="111" t="s">
        <v>860</v>
      </c>
      <c r="B730" s="83" t="s">
        <v>3486</v>
      </c>
      <c r="C730" s="83" t="s">
        <v>68</v>
      </c>
      <c r="D730" s="112">
        <v>1129637.0</v>
      </c>
      <c r="E730" s="83"/>
      <c r="F730" s="83">
        <v>2.9000599E7</v>
      </c>
      <c r="G730" s="119" t="s">
        <v>3487</v>
      </c>
      <c r="H730" s="91" t="s">
        <v>3488</v>
      </c>
      <c r="I730" s="172" t="s">
        <v>171</v>
      </c>
      <c r="J730" s="83" t="s">
        <v>150</v>
      </c>
      <c r="K730" s="83" t="s">
        <v>151</v>
      </c>
      <c r="L730" s="98" t="s">
        <v>152</v>
      </c>
      <c r="M730" s="82" t="str">
        <f>IFERROR(__xludf.DUMMYFUNCTION("IFERROR(VLOOKUP(D730,
IMPORTRANGE(""https://docs.google.com/spreadsheets/d/1MjHtlUikwobi2MaWJgy7tfLeBmhj1u-dRFRs_8GwSoA/edit#gid=0"",""Gestores Escolares!D7:J""),3,0),""VERIFICAR CÓD SEC"")"),"WELLINGTON FRANCISCO DA SILVA")</f>
        <v>WELLINGTON FRANCISCO DA SILVA</v>
      </c>
      <c r="N730" s="82" t="str">
        <f>IFERROR(__xludf.DUMMYFUNCTION("IFERROR(VLOOKUP(D730,
IMPORTRANGE(""https://docs.google.com/spreadsheets/d/1MjHtlUikwobi2MaWJgy7tfLeBmhj1u-dRFRs_8GwSoA/edit#gid=0"",""Gestores Escolares!D7:J""),4,0),""VERIFICAR CÓD SEC"")"),"(77) 9 9922-7030")</f>
        <v>(77) 9 9922-7030</v>
      </c>
      <c r="O730" s="82" t="str">
        <f>IFERROR(__xludf.DUMMYFUNCTION("IFERROR(VLOOKUP(D730,
IMPORTRANGE(""https://docs.google.com/spreadsheets/d/1MjHtlUikwobi2MaWJgy7tfLeBmhj1u-dRFRs_8GwSoA/edit#gid=0"",""Gestores Escolares!D7:J""),6,0),""VERIFICAR CÓD SEC"")"),"FREDSON PAULO DOS SANTOS")</f>
        <v>FREDSON PAULO DOS SANTOS</v>
      </c>
      <c r="P730" s="82" t="str">
        <f>IFERROR(__xludf.DUMMYFUNCTION("IFERROR(VLOOKUP(D730,
IMPORTRANGE(""https://docs.google.com/spreadsheets/d/1MjHtlUikwobi2MaWJgy7tfLeBmhj1u-dRFRs_8GwSoA/edit#gid=0"",""Gestores Escolares!D7:J""),7,0),""VERIFICAR CÓD SEC"")"),"(77) 9 9941-6151")</f>
        <v>(77) 9 9941-6151</v>
      </c>
      <c r="Q730" s="82" t="str">
        <f>IFERROR(__xludf.DUMMYFUNCTION("IFERROR(VLOOKUP(D730,
IMPORTRANGE(""https://docs.google.com/spreadsheets/d/1MjHtlUikwobi2MaWJgy7tfLeBmhj1u-dRFRs_8GwSoA/edit#gid=0"",""Gestores Escolares!D7:m""),9,0),""VERIFICAR CÓD SEC"")"),"")</f>
        <v/>
      </c>
      <c r="R730" s="82" t="str">
        <f>IFERROR(__xludf.DUMMYFUNCTION("IFERROR(VLOOKUP(D730,
IMPORTRANGE(""https://docs.google.com/spreadsheets/d/1MjHtlUikwobi2MaWJgy7tfLeBmhj1u-dRFRs_8GwSoA/edit#gid=0"",""Gestores Escolares!D7:m""),10,0),""VERIFICAR CÓD SEC"")"),"")</f>
        <v/>
      </c>
      <c r="S730" s="82"/>
      <c r="T730" s="138">
        <v>5.0</v>
      </c>
      <c r="U730" s="152">
        <v>5.0</v>
      </c>
      <c r="V730" s="106">
        <v>0.0</v>
      </c>
      <c r="W730" s="107">
        <v>0.0</v>
      </c>
      <c r="X730" s="107">
        <v>0.0</v>
      </c>
      <c r="Y730" s="107">
        <v>0.0</v>
      </c>
      <c r="Z730" s="80">
        <f t="shared" si="1"/>
        <v>0</v>
      </c>
      <c r="AA730" s="106">
        <v>0.0</v>
      </c>
      <c r="AB730" s="107">
        <v>0.0</v>
      </c>
      <c r="AC730" s="107">
        <v>0.0</v>
      </c>
      <c r="AD730" s="107">
        <v>0.0</v>
      </c>
      <c r="AE730" s="80">
        <f t="shared" si="2"/>
        <v>0</v>
      </c>
      <c r="AF730" s="140">
        <v>158.0</v>
      </c>
      <c r="AG730" s="109">
        <v>128.0</v>
      </c>
      <c r="AH730" s="109">
        <v>0.0</v>
      </c>
      <c r="AI730" s="141">
        <v>0.0</v>
      </c>
      <c r="AJ730" s="80">
        <f t="shared" si="3"/>
        <v>286</v>
      </c>
      <c r="AK730" s="140">
        <v>0.0</v>
      </c>
      <c r="AL730" s="109">
        <v>0.0</v>
      </c>
      <c r="AM730" s="141">
        <v>0.0</v>
      </c>
      <c r="AN730" s="80">
        <f t="shared" si="4"/>
        <v>0</v>
      </c>
      <c r="AO730" s="140">
        <v>0.0</v>
      </c>
      <c r="AP730" s="109">
        <v>0.0</v>
      </c>
      <c r="AQ730" s="109">
        <v>18.0</v>
      </c>
      <c r="AR730" s="80">
        <f t="shared" si="5"/>
        <v>18</v>
      </c>
      <c r="AS730" s="110">
        <v>0.0</v>
      </c>
      <c r="AT730" s="110">
        <v>0.0</v>
      </c>
      <c r="AU730" s="110">
        <v>0.0</v>
      </c>
      <c r="AV730" s="142">
        <v>0.0</v>
      </c>
      <c r="AW730" s="80">
        <f t="shared" si="6"/>
        <v>0</v>
      </c>
      <c r="AX730" s="113">
        <f t="shared" si="7"/>
        <v>304</v>
      </c>
      <c r="AY730" s="117">
        <f t="shared" si="8"/>
        <v>286</v>
      </c>
      <c r="AZ730" s="120">
        <f t="shared" si="9"/>
        <v>18</v>
      </c>
      <c r="BA730" s="115">
        <v>0.0</v>
      </c>
      <c r="BB730" s="89">
        <f t="shared" si="10"/>
        <v>304</v>
      </c>
      <c r="BC730" s="132" t="s">
        <v>178</v>
      </c>
      <c r="BD730" s="132" t="s">
        <v>178</v>
      </c>
      <c r="BE730" s="132" t="s">
        <v>178</v>
      </c>
      <c r="BF730" s="123"/>
      <c r="BG730" s="83">
        <v>1129637.0</v>
      </c>
      <c r="BH730" s="98" t="s">
        <v>3489</v>
      </c>
      <c r="BI730" s="112">
        <v>5.0</v>
      </c>
      <c r="BJ730" s="98" t="s">
        <v>155</v>
      </c>
      <c r="BK730" s="99">
        <f t="shared" si="11"/>
        <v>0</v>
      </c>
      <c r="BL730" s="99">
        <f t="shared" si="12"/>
        <v>286</v>
      </c>
      <c r="BM730" s="99" t="str">
        <f>IFERROR(__xludf.DUMMYFUNCTION("IFERROR(VLOOKUP(BG730,IMPORTRANGE(""https://docs.google.com/spreadsheets/d/1juPI-Fb8LD0YtltB2mlGEnp_R3UVu1t3wSFPzgCyHXE/edit?gid=0#gid=0"",""GERAL!A2:C""),3,0),""-"")"),"-")</f>
        <v>-</v>
      </c>
    </row>
    <row r="731" ht="15.75" customHeight="1">
      <c r="A731" s="111" t="s">
        <v>860</v>
      </c>
      <c r="B731" s="83" t="s">
        <v>3486</v>
      </c>
      <c r="C731" s="83" t="s">
        <v>68</v>
      </c>
      <c r="D731" s="112">
        <v>1179377.0</v>
      </c>
      <c r="E731" s="83"/>
      <c r="F731" s="83">
        <v>2.9464765E7</v>
      </c>
      <c r="G731" s="119" t="s">
        <v>3490</v>
      </c>
      <c r="H731" s="91" t="s">
        <v>3491</v>
      </c>
      <c r="I731" s="83" t="s">
        <v>3492</v>
      </c>
      <c r="J731" s="83" t="s">
        <v>331</v>
      </c>
      <c r="K731" s="83" t="s">
        <v>151</v>
      </c>
      <c r="L731" s="83" t="s">
        <v>169</v>
      </c>
      <c r="M731" s="82" t="str">
        <f>IFERROR(__xludf.DUMMYFUNCTION("IFERROR(VLOOKUP(D731,
IMPORTRANGE(""https://docs.google.com/spreadsheets/d/1MjHtlUikwobi2MaWJgy7tfLeBmhj1u-dRFRs_8GwSoA/edit#gid=0"",""Gestores Escolares!D7:J""),3,0),""VERIFICAR CÓD SEC"")"),"ADEIR SOARES DE SOUZA SILVA")</f>
        <v>ADEIR SOARES DE SOUZA SILVA</v>
      </c>
      <c r="N731" s="82" t="str">
        <f>IFERROR(__xludf.DUMMYFUNCTION("IFERROR(VLOOKUP(D731,
IMPORTRANGE(""https://docs.google.com/spreadsheets/d/1MjHtlUikwobi2MaWJgy7tfLeBmhj1u-dRFRs_8GwSoA/edit#gid=0"",""Gestores Escolares!D7:J""),4,0),""VERIFICAR CÓD SEC"")"),"(77) 9 9993-1126")</f>
        <v>(77) 9 9993-1126</v>
      </c>
      <c r="O731" s="82" t="str">
        <f>IFERROR(__xludf.DUMMYFUNCTION("IFERROR(VLOOKUP(D731,
IMPORTRANGE(""https://docs.google.com/spreadsheets/d/1MjHtlUikwobi2MaWJgy7tfLeBmhj1u-dRFRs_8GwSoA/edit#gid=0"",""Gestores Escolares!D7:J""),6,0),""VERIFICAR CÓD SEC"")"),"")</f>
        <v/>
      </c>
      <c r="P731" s="82" t="str">
        <f>IFERROR(__xludf.DUMMYFUNCTION("IFERROR(VLOOKUP(D731,
IMPORTRANGE(""https://docs.google.com/spreadsheets/d/1MjHtlUikwobi2MaWJgy7tfLeBmhj1u-dRFRs_8GwSoA/edit#gid=0"",""Gestores Escolares!D7:J""),7,0),""VERIFICAR CÓD SEC"")"),"")</f>
        <v/>
      </c>
      <c r="Q731" s="82" t="str">
        <f>IFERROR(__xludf.DUMMYFUNCTION("IFERROR(VLOOKUP(D731,
IMPORTRANGE(""https://docs.google.com/spreadsheets/d/1MjHtlUikwobi2MaWJgy7tfLeBmhj1u-dRFRs_8GwSoA/edit#gid=0"",""Gestores Escolares!D7:m""),9,0),""VERIFICAR CÓD SEC"")"),"")</f>
        <v/>
      </c>
      <c r="R731" s="82" t="str">
        <f>IFERROR(__xludf.DUMMYFUNCTION("IFERROR(VLOOKUP(D731,
IMPORTRANGE(""https://docs.google.com/spreadsheets/d/1MjHtlUikwobi2MaWJgy7tfLeBmhj1u-dRFRs_8GwSoA/edit#gid=0"",""Gestores Escolares!D7:m""),10,0),""VERIFICAR CÓD SEC"")"),"")</f>
        <v/>
      </c>
      <c r="S731" s="82"/>
      <c r="T731" s="138">
        <v>5.0</v>
      </c>
      <c r="U731" s="217">
        <v>4.0</v>
      </c>
      <c r="V731" s="106">
        <v>0.0</v>
      </c>
      <c r="W731" s="107">
        <v>0.0</v>
      </c>
      <c r="X731" s="107">
        <v>0.0</v>
      </c>
      <c r="Y731" s="107">
        <v>0.0</v>
      </c>
      <c r="Z731" s="80">
        <f t="shared" si="1"/>
        <v>0</v>
      </c>
      <c r="AA731" s="106">
        <v>0.0</v>
      </c>
      <c r="AB731" s="107">
        <v>0.0</v>
      </c>
      <c r="AC731" s="107">
        <v>0.0</v>
      </c>
      <c r="AD731" s="107">
        <v>0.0</v>
      </c>
      <c r="AE731" s="80">
        <f t="shared" si="2"/>
        <v>0</v>
      </c>
      <c r="AF731" s="222">
        <v>67.0</v>
      </c>
      <c r="AG731" s="222">
        <v>0.0</v>
      </c>
      <c r="AH731" s="222">
        <v>0.0</v>
      </c>
      <c r="AI731" s="224">
        <v>0.0</v>
      </c>
      <c r="AJ731" s="80">
        <f t="shared" si="3"/>
        <v>67</v>
      </c>
      <c r="AK731" s="140">
        <v>0.0</v>
      </c>
      <c r="AL731" s="109">
        <v>0.0</v>
      </c>
      <c r="AM731" s="141">
        <v>0.0</v>
      </c>
      <c r="AN731" s="80">
        <f t="shared" si="4"/>
        <v>0</v>
      </c>
      <c r="AO731" s="222">
        <v>0.0</v>
      </c>
      <c r="AP731" s="222">
        <v>0.0</v>
      </c>
      <c r="AQ731" s="224">
        <v>0.0</v>
      </c>
      <c r="AR731" s="80">
        <f t="shared" si="5"/>
        <v>0</v>
      </c>
      <c r="AS731" s="110">
        <v>0.0</v>
      </c>
      <c r="AT731" s="110">
        <v>16.0</v>
      </c>
      <c r="AU731" s="110">
        <v>0.0</v>
      </c>
      <c r="AV731" s="142">
        <v>63.0</v>
      </c>
      <c r="AW731" s="80">
        <f t="shared" si="6"/>
        <v>79</v>
      </c>
      <c r="AX731" s="113">
        <f t="shared" si="7"/>
        <v>146</v>
      </c>
      <c r="AY731" s="117">
        <f t="shared" si="8"/>
        <v>146</v>
      </c>
      <c r="AZ731" s="120">
        <f t="shared" si="9"/>
        <v>0</v>
      </c>
      <c r="BA731" s="115">
        <v>0.0</v>
      </c>
      <c r="BB731" s="89">
        <f t="shared" si="10"/>
        <v>146</v>
      </c>
      <c r="BC731" s="132" t="s">
        <v>373</v>
      </c>
      <c r="BD731" s="132" t="s">
        <v>178</v>
      </c>
      <c r="BE731" s="132" t="s">
        <v>178</v>
      </c>
      <c r="BF731" s="156"/>
      <c r="BG731" s="83">
        <v>1179377.0</v>
      </c>
      <c r="BH731" s="98" t="s">
        <v>3493</v>
      </c>
      <c r="BI731" s="112">
        <v>4.0</v>
      </c>
      <c r="BJ731" s="98" t="s">
        <v>155</v>
      </c>
      <c r="BK731" s="99">
        <f t="shared" si="11"/>
        <v>63</v>
      </c>
      <c r="BL731" s="99">
        <f t="shared" si="12"/>
        <v>83</v>
      </c>
      <c r="BM731" s="99" t="str">
        <f>IFERROR(__xludf.DUMMYFUNCTION("IFERROR(VLOOKUP(BG731,IMPORTRANGE(""https://docs.google.com/spreadsheets/d/1juPI-Fb8LD0YtltB2mlGEnp_R3UVu1t3wSFPzgCyHXE/edit?gid=0#gid=0"",""GERAL!A2:C""),3,0),""-"")"),"CAMPO")</f>
        <v>CAMPO</v>
      </c>
    </row>
    <row r="732" ht="15.75" customHeight="1">
      <c r="A732" s="111" t="s">
        <v>860</v>
      </c>
      <c r="B732" s="83" t="s">
        <v>3486</v>
      </c>
      <c r="C732" s="83" t="s">
        <v>164</v>
      </c>
      <c r="D732" s="112">
        <v>1129637.0</v>
      </c>
      <c r="E732" s="83">
        <v>1178867.0</v>
      </c>
      <c r="F732" s="98">
        <v>2.949284E7</v>
      </c>
      <c r="G732" s="114" t="s">
        <v>3494</v>
      </c>
      <c r="H732" s="91" t="s">
        <v>3495</v>
      </c>
      <c r="I732" s="83" t="s">
        <v>149</v>
      </c>
      <c r="J732" s="83" t="s">
        <v>240</v>
      </c>
      <c r="K732" s="83" t="s">
        <v>168</v>
      </c>
      <c r="L732" s="83" t="s">
        <v>169</v>
      </c>
      <c r="M732" s="82" t="str">
        <f>IFERROR(__xludf.DUMMYFUNCTION("IFERROR(VLOOKUP(D732,
IMPORTRANGE(""https://docs.google.com/spreadsheets/d/1MjHtlUikwobi2MaWJgy7tfLeBmhj1u-dRFRs_8GwSoA/edit#gid=0"",""Gestores Escolares!D7:J""),3,0),""VERIFICAR CÓD SEC"")"),"WELLINGTON FRANCISCO DA SILVA")</f>
        <v>WELLINGTON FRANCISCO DA SILVA</v>
      </c>
      <c r="N732" s="82" t="str">
        <f>IFERROR(__xludf.DUMMYFUNCTION("IFERROR(VLOOKUP(D732,
IMPORTRANGE(""https://docs.google.com/spreadsheets/d/1MjHtlUikwobi2MaWJgy7tfLeBmhj1u-dRFRs_8GwSoA/edit#gid=0"",""Gestores Escolares!D7:J""),4,0),""VERIFICAR CÓD SEC"")"),"(77) 9 9922-7030")</f>
        <v>(77) 9 9922-7030</v>
      </c>
      <c r="O732" s="82" t="str">
        <f>IFERROR(__xludf.DUMMYFUNCTION("IFERROR(VLOOKUP(D732,
IMPORTRANGE(""https://docs.google.com/spreadsheets/d/1MjHtlUikwobi2MaWJgy7tfLeBmhj1u-dRFRs_8GwSoA/edit#gid=0"",""Gestores Escolares!D7:J""),6,0),""VERIFICAR CÓD SEC"")"),"FREDSON PAULO DOS SANTOS")</f>
        <v>FREDSON PAULO DOS SANTOS</v>
      </c>
      <c r="P732" s="82" t="str">
        <f>IFERROR(__xludf.DUMMYFUNCTION("IFERROR(VLOOKUP(D732,
IMPORTRANGE(""https://docs.google.com/spreadsheets/d/1MjHtlUikwobi2MaWJgy7tfLeBmhj1u-dRFRs_8GwSoA/edit#gid=0"",""Gestores Escolares!D7:J""),7,0),""VERIFICAR CÓD SEC"")"),"(77) 9 9941-6151")</f>
        <v>(77) 9 9941-6151</v>
      </c>
      <c r="Q732" s="82" t="str">
        <f>IFERROR(__xludf.DUMMYFUNCTION("IFERROR(VLOOKUP(D732,
IMPORTRANGE(""https://docs.google.com/spreadsheets/d/1MjHtlUikwobi2MaWJgy7tfLeBmhj1u-dRFRs_8GwSoA/edit#gid=0"",""Gestores Escolares!D7:m""),9,0),""VERIFICAR CÓD SEC"")"),"")</f>
        <v/>
      </c>
      <c r="R732" s="82" t="str">
        <f>IFERROR(__xludf.DUMMYFUNCTION("IFERROR(VLOOKUP(D732,
IMPORTRANGE(""https://docs.google.com/spreadsheets/d/1MjHtlUikwobi2MaWJgy7tfLeBmhj1u-dRFRs_8GwSoA/edit#gid=0"",""Gestores Escolares!D7:m""),10,0),""VERIFICAR CÓD SEC"")"),"")</f>
        <v/>
      </c>
      <c r="S732" s="82"/>
      <c r="T732" s="138">
        <v>5.0</v>
      </c>
      <c r="U732" s="217">
        <v>5.0</v>
      </c>
      <c r="V732" s="106">
        <v>0.0</v>
      </c>
      <c r="W732" s="107">
        <v>0.0</v>
      </c>
      <c r="X732" s="107">
        <v>0.0</v>
      </c>
      <c r="Y732" s="107">
        <v>0.0</v>
      </c>
      <c r="Z732" s="80">
        <f t="shared" si="1"/>
        <v>0</v>
      </c>
      <c r="AA732" s="106">
        <v>0.0</v>
      </c>
      <c r="AB732" s="107">
        <v>0.0</v>
      </c>
      <c r="AC732" s="107">
        <v>0.0</v>
      </c>
      <c r="AD732" s="107">
        <v>0.0</v>
      </c>
      <c r="AE732" s="80">
        <f t="shared" si="2"/>
        <v>0</v>
      </c>
      <c r="AF732" s="140">
        <v>0.0</v>
      </c>
      <c r="AG732" s="109">
        <v>0.0</v>
      </c>
      <c r="AH732" s="109">
        <v>0.0</v>
      </c>
      <c r="AI732" s="141">
        <v>0.0</v>
      </c>
      <c r="AJ732" s="80">
        <f t="shared" si="3"/>
        <v>0</v>
      </c>
      <c r="AK732" s="140">
        <v>0.0</v>
      </c>
      <c r="AL732" s="109">
        <v>0.0</v>
      </c>
      <c r="AM732" s="141">
        <v>0.0</v>
      </c>
      <c r="AN732" s="80">
        <f t="shared" si="4"/>
        <v>0</v>
      </c>
      <c r="AO732" s="140">
        <v>0.0</v>
      </c>
      <c r="AP732" s="109">
        <v>0.0</v>
      </c>
      <c r="AQ732" s="109">
        <v>81.0</v>
      </c>
      <c r="AR732" s="80">
        <f t="shared" si="5"/>
        <v>81</v>
      </c>
      <c r="AS732" s="110">
        <v>0.0</v>
      </c>
      <c r="AT732" s="110">
        <v>0.0</v>
      </c>
      <c r="AU732" s="110">
        <v>0.0</v>
      </c>
      <c r="AV732" s="142">
        <v>0.0</v>
      </c>
      <c r="AW732" s="80">
        <f t="shared" si="6"/>
        <v>0</v>
      </c>
      <c r="AX732" s="113">
        <f t="shared" si="7"/>
        <v>81</v>
      </c>
      <c r="AY732" s="117">
        <f t="shared" si="8"/>
        <v>0</v>
      </c>
      <c r="AZ732" s="120">
        <f t="shared" si="9"/>
        <v>81</v>
      </c>
      <c r="BA732" s="115">
        <v>0.0</v>
      </c>
      <c r="BB732" s="89">
        <f t="shared" si="10"/>
        <v>81</v>
      </c>
      <c r="BC732" s="132" t="s">
        <v>373</v>
      </c>
      <c r="BD732" s="132" t="s">
        <v>178</v>
      </c>
      <c r="BE732" s="132" t="s">
        <v>178</v>
      </c>
      <c r="BF732" s="123"/>
      <c r="BG732" s="83">
        <v>1178867.0</v>
      </c>
      <c r="BH732" s="144"/>
      <c r="BI732" s="112">
        <v>5.0</v>
      </c>
      <c r="BJ732" s="98" t="s">
        <v>155</v>
      </c>
      <c r="BK732" s="99">
        <f t="shared" si="11"/>
        <v>0</v>
      </c>
      <c r="BL732" s="99">
        <f t="shared" si="12"/>
        <v>0</v>
      </c>
      <c r="BM732" s="99" t="str">
        <f>IFERROR(__xludf.DUMMYFUNCTION("IFERROR(VLOOKUP(BG732,IMPORTRANGE(""https://docs.google.com/spreadsheets/d/1juPI-Fb8LD0YtltB2mlGEnp_R3UVu1t3wSFPzgCyHXE/edit?gid=0#gid=0"",""GERAL!A2:C""),3,0),""-"")"),"CAMPO")</f>
        <v>CAMPO</v>
      </c>
    </row>
    <row r="733" ht="15.75" customHeight="1">
      <c r="A733" s="111" t="s">
        <v>860</v>
      </c>
      <c r="B733" s="83" t="s">
        <v>3497</v>
      </c>
      <c r="C733" s="83" t="s">
        <v>68</v>
      </c>
      <c r="D733" s="112">
        <v>1129858.0</v>
      </c>
      <c r="E733" s="83"/>
      <c r="F733" s="83">
        <v>2.9001773E7</v>
      </c>
      <c r="G733" s="119" t="s">
        <v>3498</v>
      </c>
      <c r="H733" s="91" t="s">
        <v>3499</v>
      </c>
      <c r="I733" s="136" t="s">
        <v>149</v>
      </c>
      <c r="J733" s="83" t="s">
        <v>150</v>
      </c>
      <c r="K733" s="83" t="s">
        <v>151</v>
      </c>
      <c r="L733" s="83" t="s">
        <v>76</v>
      </c>
      <c r="M733" s="82" t="str">
        <f>IFERROR(__xludf.DUMMYFUNCTION("IFERROR(VLOOKUP(D733,
IMPORTRANGE(""https://docs.google.com/spreadsheets/d/1MjHtlUikwobi2MaWJgy7tfLeBmhj1u-dRFRs_8GwSoA/edit#gid=0"",""Gestores Escolares!D7:J""),3,0),""VERIFICAR CÓD SEC"")"),"LIVIA DOS SANTOS RIBEIRO LAURINDO")</f>
        <v>LIVIA DOS SANTOS RIBEIRO LAURINDO</v>
      </c>
      <c r="N733" s="82" t="str">
        <f>IFERROR(__xludf.DUMMYFUNCTION("IFERROR(VLOOKUP(D733,
IMPORTRANGE(""https://docs.google.com/spreadsheets/d/1MjHtlUikwobi2MaWJgy7tfLeBmhj1u-dRFRs_8GwSoA/edit#gid=0"",""Gestores Escolares!D7:J""),4,0),""VERIFICAR CÓD SEC"")"),"(77) 9 9971-5250")</f>
        <v>(77) 9 9971-5250</v>
      </c>
      <c r="O733" s="82" t="str">
        <f>IFERROR(__xludf.DUMMYFUNCTION("IFERROR(VLOOKUP(D733,
IMPORTRANGE(""https://docs.google.com/spreadsheets/d/1MjHtlUikwobi2MaWJgy7tfLeBmhj1u-dRFRs_8GwSoA/edit#gid=0"",""Gestores Escolares!D7:J""),6,0),""VERIFICAR CÓD SEC"")")," MARCELO REGO VIANA")</f>
        <v> MARCELO REGO VIANA</v>
      </c>
      <c r="P733" s="82" t="str">
        <f>IFERROR(__xludf.DUMMYFUNCTION("IFERROR(VLOOKUP(D733,
IMPORTRANGE(""https://docs.google.com/spreadsheets/d/1MjHtlUikwobi2MaWJgy7tfLeBmhj1u-dRFRs_8GwSoA/edit#gid=0"",""Gestores Escolares!D7:J""),7,0),""VERIFICAR CÓD SEC"")"),"(77) 9 9929-9866")</f>
        <v>(77) 9 9929-9866</v>
      </c>
      <c r="Q733" s="82" t="str">
        <f>IFERROR(__xludf.DUMMYFUNCTION("IFERROR(VLOOKUP(D733,
IMPORTRANGE(""https://docs.google.com/spreadsheets/d/1MjHtlUikwobi2MaWJgy7tfLeBmhj1u-dRFRs_8GwSoA/edit#gid=0"",""Gestores Escolares!D7:m""),9,0),""VERIFICAR CÓD SEC"")"),"")</f>
        <v/>
      </c>
      <c r="R733" s="82" t="str">
        <f>IFERROR(__xludf.DUMMYFUNCTION("IFERROR(VLOOKUP(D733,
IMPORTRANGE(""https://docs.google.com/spreadsheets/d/1MjHtlUikwobi2MaWJgy7tfLeBmhj1u-dRFRs_8GwSoA/edit#gid=0"",""Gestores Escolares!D7:m""),10,0),""VERIFICAR CÓD SEC"")"),"")</f>
        <v/>
      </c>
      <c r="S733" s="82"/>
      <c r="T733" s="138">
        <v>8.0</v>
      </c>
      <c r="U733" s="369">
        <v>8.0</v>
      </c>
      <c r="V733" s="106">
        <v>0.0</v>
      </c>
      <c r="W733" s="107">
        <v>0.0</v>
      </c>
      <c r="X733" s="107">
        <v>0.0</v>
      </c>
      <c r="Y733" s="107">
        <v>0.0</v>
      </c>
      <c r="Z733" s="80">
        <f t="shared" si="1"/>
        <v>0</v>
      </c>
      <c r="AA733" s="106">
        <v>0.0</v>
      </c>
      <c r="AB733" s="107">
        <v>0.0</v>
      </c>
      <c r="AC733" s="107">
        <v>0.0</v>
      </c>
      <c r="AD733" s="107">
        <v>0.0</v>
      </c>
      <c r="AE733" s="80">
        <f t="shared" si="2"/>
        <v>0</v>
      </c>
      <c r="AF733" s="140">
        <v>210.0</v>
      </c>
      <c r="AG733" s="109">
        <v>0.0</v>
      </c>
      <c r="AH733" s="109">
        <v>0.0</v>
      </c>
      <c r="AI733" s="141">
        <v>0.0</v>
      </c>
      <c r="AJ733" s="80">
        <f t="shared" si="3"/>
        <v>210</v>
      </c>
      <c r="AK733" s="140">
        <v>0.0</v>
      </c>
      <c r="AL733" s="109">
        <v>0.0</v>
      </c>
      <c r="AM733" s="141">
        <v>0.0</v>
      </c>
      <c r="AN733" s="80">
        <f t="shared" si="4"/>
        <v>0</v>
      </c>
      <c r="AO733" s="140">
        <v>0.0</v>
      </c>
      <c r="AP733" s="109">
        <v>0.0</v>
      </c>
      <c r="AQ733" s="109">
        <v>80.0</v>
      </c>
      <c r="AR733" s="80">
        <f t="shared" si="5"/>
        <v>80</v>
      </c>
      <c r="AS733" s="110">
        <v>0.0</v>
      </c>
      <c r="AT733" s="110">
        <v>34.0</v>
      </c>
      <c r="AU733" s="110">
        <v>20.0</v>
      </c>
      <c r="AV733" s="142">
        <v>0.0</v>
      </c>
      <c r="AW733" s="80">
        <f t="shared" si="6"/>
        <v>54</v>
      </c>
      <c r="AX733" s="113">
        <f t="shared" si="7"/>
        <v>344</v>
      </c>
      <c r="AY733" s="117">
        <f t="shared" si="8"/>
        <v>244</v>
      </c>
      <c r="AZ733" s="120">
        <f t="shared" si="9"/>
        <v>100</v>
      </c>
      <c r="BA733" s="115">
        <v>0.0</v>
      </c>
      <c r="BB733" s="89">
        <f t="shared" si="10"/>
        <v>344</v>
      </c>
      <c r="BC733" s="132" t="s">
        <v>178</v>
      </c>
      <c r="BD733" s="132" t="s">
        <v>178</v>
      </c>
      <c r="BE733" s="132" t="s">
        <v>178</v>
      </c>
      <c r="BF733" s="123"/>
      <c r="BG733" s="83">
        <v>1129858.0</v>
      </c>
      <c r="BH733" s="112"/>
      <c r="BI733" s="112">
        <v>8.0</v>
      </c>
      <c r="BJ733" s="98" t="s">
        <v>155</v>
      </c>
      <c r="BK733" s="99">
        <f t="shared" si="11"/>
        <v>0</v>
      </c>
      <c r="BL733" s="99">
        <f t="shared" si="12"/>
        <v>244</v>
      </c>
      <c r="BM733" s="99" t="str">
        <f>IFERROR(__xludf.DUMMYFUNCTION("IFERROR(VLOOKUP(BG733,IMPORTRANGE(""https://docs.google.com/spreadsheets/d/1juPI-Fb8LD0YtltB2mlGEnp_R3UVu1t3wSFPzgCyHXE/edit?gid=0#gid=0"",""GERAL!A2:C""),3,0),""-"")"),"-")</f>
        <v>-</v>
      </c>
    </row>
    <row r="734" ht="15.75" customHeight="1">
      <c r="A734" s="111" t="s">
        <v>860</v>
      </c>
      <c r="B734" s="83" t="s">
        <v>3497</v>
      </c>
      <c r="C734" s="83" t="s">
        <v>68</v>
      </c>
      <c r="D734" s="112">
        <v>1129939.0</v>
      </c>
      <c r="E734" s="83"/>
      <c r="F734" s="83">
        <v>2.9383218E7</v>
      </c>
      <c r="G734" s="119" t="s">
        <v>3502</v>
      </c>
      <c r="H734" s="91" t="s">
        <v>3503</v>
      </c>
      <c r="I734" s="136" t="s">
        <v>149</v>
      </c>
      <c r="J734" s="83" t="s">
        <v>150</v>
      </c>
      <c r="K734" s="83" t="s">
        <v>151</v>
      </c>
      <c r="L734" s="83" t="s">
        <v>76</v>
      </c>
      <c r="M734" s="82" t="str">
        <f>IFERROR(__xludf.DUMMYFUNCTION("IFERROR(VLOOKUP(D734,
IMPORTRANGE(""https://docs.google.com/spreadsheets/d/1MjHtlUikwobi2MaWJgy7tfLeBmhj1u-dRFRs_8GwSoA/edit#gid=0"",""Gestores Escolares!D7:J""),3,0),""VERIFICAR CÓD SEC"")"),"AUDEMARA RODRIGUES VIEIRA DO NASCIMENTO")</f>
        <v>AUDEMARA RODRIGUES VIEIRA DO NASCIMENTO</v>
      </c>
      <c r="N734" s="82" t="str">
        <f>IFERROR(__xludf.DUMMYFUNCTION("IFERROR(VLOOKUP(D734,
IMPORTRANGE(""https://docs.google.com/spreadsheets/d/1MjHtlUikwobi2MaWJgy7tfLeBmhj1u-dRFRs_8GwSoA/edit#gid=0"",""Gestores Escolares!D7:J""),4,0),""VERIFICAR CÓD SEC"")"),"(77) 9 9971-8913")</f>
        <v>(77) 9 9971-8913</v>
      </c>
      <c r="O734" s="82" t="str">
        <f>IFERROR(__xludf.DUMMYFUNCTION("IFERROR(VLOOKUP(D734,
IMPORTRANGE(""https://docs.google.com/spreadsheets/d/1MjHtlUikwobi2MaWJgy7tfLeBmhj1u-dRFRs_8GwSoA/edit#gid=0"",""Gestores Escolares!D7:J""),6,0),""VERIFICAR CÓD SEC"")"),"MARCIA GORETE OLIVEIRA DOS SANTOS PORTO")</f>
        <v>MARCIA GORETE OLIVEIRA DOS SANTOS PORTO</v>
      </c>
      <c r="P734" s="82" t="str">
        <f>IFERROR(__xludf.DUMMYFUNCTION("IFERROR(VLOOKUP(D734,
IMPORTRANGE(""https://docs.google.com/spreadsheets/d/1MjHtlUikwobi2MaWJgy7tfLeBmhj1u-dRFRs_8GwSoA/edit#gid=0"",""Gestores Escolares!D7:J""),7,0),""VERIFICAR CÓD SEC"")"),"(77) 9 9982-2114")</f>
        <v>(77) 9 9982-2114</v>
      </c>
      <c r="Q734" s="82" t="str">
        <f>IFERROR(__xludf.DUMMYFUNCTION("IFERROR(VLOOKUP(D734,
IMPORTRANGE(""https://docs.google.com/spreadsheets/d/1MjHtlUikwobi2MaWJgy7tfLeBmhj1u-dRFRs_8GwSoA/edit#gid=0"",""Gestores Escolares!D7:m""),9,0),""VERIFICAR CÓD SEC"")"),"")</f>
        <v/>
      </c>
      <c r="R734" s="82" t="str">
        <f>IFERROR(__xludf.DUMMYFUNCTION("IFERROR(VLOOKUP(D734,
IMPORTRANGE(""https://docs.google.com/spreadsheets/d/1MjHtlUikwobi2MaWJgy7tfLeBmhj1u-dRFRs_8GwSoA/edit#gid=0"",""Gestores Escolares!D7:m""),10,0),""VERIFICAR CÓD SEC"")"),"")</f>
        <v/>
      </c>
      <c r="S734" s="82"/>
      <c r="T734" s="138">
        <v>10.0</v>
      </c>
      <c r="U734" s="369">
        <v>10.0</v>
      </c>
      <c r="V734" s="106">
        <v>0.0</v>
      </c>
      <c r="W734" s="107">
        <v>0.0</v>
      </c>
      <c r="X734" s="107">
        <v>0.0</v>
      </c>
      <c r="Y734" s="107">
        <v>0.0</v>
      </c>
      <c r="Z734" s="80">
        <f t="shared" si="1"/>
        <v>0</v>
      </c>
      <c r="AA734" s="106">
        <v>0.0</v>
      </c>
      <c r="AB734" s="107">
        <v>0.0</v>
      </c>
      <c r="AC734" s="107">
        <v>0.0</v>
      </c>
      <c r="AD734" s="107">
        <v>0.0</v>
      </c>
      <c r="AE734" s="80">
        <f t="shared" si="2"/>
        <v>0</v>
      </c>
      <c r="AF734" s="140">
        <v>319.0</v>
      </c>
      <c r="AG734" s="109">
        <v>228.0</v>
      </c>
      <c r="AH734" s="109">
        <v>0.0</v>
      </c>
      <c r="AI734" s="141">
        <v>0.0</v>
      </c>
      <c r="AJ734" s="80">
        <f t="shared" si="3"/>
        <v>547</v>
      </c>
      <c r="AK734" s="140">
        <v>0.0</v>
      </c>
      <c r="AL734" s="109">
        <v>0.0</v>
      </c>
      <c r="AM734" s="141">
        <v>0.0</v>
      </c>
      <c r="AN734" s="80">
        <f t="shared" si="4"/>
        <v>0</v>
      </c>
      <c r="AO734" s="140">
        <v>0.0</v>
      </c>
      <c r="AP734" s="109">
        <v>0.0</v>
      </c>
      <c r="AQ734" s="109">
        <v>0.0</v>
      </c>
      <c r="AR734" s="80">
        <f t="shared" si="5"/>
        <v>0</v>
      </c>
      <c r="AS734" s="110">
        <v>0.0</v>
      </c>
      <c r="AT734" s="110">
        <v>0.0</v>
      </c>
      <c r="AU734" s="110">
        <v>0.0</v>
      </c>
      <c r="AV734" s="142">
        <v>0.0</v>
      </c>
      <c r="AW734" s="80">
        <f t="shared" si="6"/>
        <v>0</v>
      </c>
      <c r="AX734" s="113">
        <f t="shared" si="7"/>
        <v>547</v>
      </c>
      <c r="AY734" s="117">
        <f t="shared" si="8"/>
        <v>547</v>
      </c>
      <c r="AZ734" s="120">
        <f t="shared" si="9"/>
        <v>0</v>
      </c>
      <c r="BA734" s="115">
        <v>0.0</v>
      </c>
      <c r="BB734" s="89">
        <f t="shared" si="10"/>
        <v>547</v>
      </c>
      <c r="BC734" s="132" t="s">
        <v>178</v>
      </c>
      <c r="BD734" s="132" t="s">
        <v>178</v>
      </c>
      <c r="BE734" s="132" t="s">
        <v>178</v>
      </c>
      <c r="BF734" s="123"/>
      <c r="BG734" s="83">
        <v>1129939.0</v>
      </c>
      <c r="BH734" s="112"/>
      <c r="BI734" s="112">
        <v>10.0</v>
      </c>
      <c r="BJ734" s="98" t="s">
        <v>155</v>
      </c>
      <c r="BK734" s="99">
        <f t="shared" si="11"/>
        <v>0</v>
      </c>
      <c r="BL734" s="99">
        <f t="shared" si="12"/>
        <v>547</v>
      </c>
      <c r="BM734" s="99" t="str">
        <f>IFERROR(__xludf.DUMMYFUNCTION("IFERROR(VLOOKUP(BG734,IMPORTRANGE(""https://docs.google.com/spreadsheets/d/1juPI-Fb8LD0YtltB2mlGEnp_R3UVu1t3wSFPzgCyHXE/edit?gid=0#gid=0"",""GERAL!A2:C""),3,0),""-"")"),"-")</f>
        <v>-</v>
      </c>
    </row>
    <row r="735" ht="15.75" customHeight="1">
      <c r="A735" s="111" t="s">
        <v>860</v>
      </c>
      <c r="B735" s="83" t="s">
        <v>3497</v>
      </c>
      <c r="C735" s="83" t="s">
        <v>68</v>
      </c>
      <c r="D735" s="112">
        <v>1129718.0</v>
      </c>
      <c r="E735" s="83"/>
      <c r="F735" s="83">
        <v>2.9336325E7</v>
      </c>
      <c r="G735" s="119" t="s">
        <v>3512</v>
      </c>
      <c r="H735" s="91" t="s">
        <v>3513</v>
      </c>
      <c r="I735" s="83" t="s">
        <v>3514</v>
      </c>
      <c r="J735" s="83" t="s">
        <v>150</v>
      </c>
      <c r="K735" s="83" t="s">
        <v>151</v>
      </c>
      <c r="L735" s="83" t="s">
        <v>152</v>
      </c>
      <c r="M735" s="82" t="str">
        <f>IFERROR(__xludf.DUMMYFUNCTION("IFERROR(VLOOKUP(D735,
IMPORTRANGE(""https://docs.google.com/spreadsheets/d/1MjHtlUikwobi2MaWJgy7tfLeBmhj1u-dRFRs_8GwSoA/edit#gid=0"",""Gestores Escolares!D7:J""),3,0),""VERIFICAR CÓD SEC"")"),"STEFANI LAIRA DUTRA FERREIRA")</f>
        <v>STEFANI LAIRA DUTRA FERREIRA</v>
      </c>
      <c r="N735" s="82" t="str">
        <f>IFERROR(__xludf.DUMMYFUNCTION("IFERROR(VLOOKUP(D735,
IMPORTRANGE(""https://docs.google.com/spreadsheets/d/1MjHtlUikwobi2MaWJgy7tfLeBmhj1u-dRFRs_8GwSoA/edit#gid=0"",""Gestores Escolares!D7:J""),4,0),""VERIFICAR CÓD SEC"")"),"(77) 9 9831-1436")</f>
        <v>(77) 9 9831-1436</v>
      </c>
      <c r="O735" s="82" t="str">
        <f>IFERROR(__xludf.DUMMYFUNCTION("IFERROR(VLOOKUP(D735,
IMPORTRANGE(""https://docs.google.com/spreadsheets/d/1MjHtlUikwobi2MaWJgy7tfLeBmhj1u-dRFRs_8GwSoA/edit#gid=0"",""Gestores Escolares!D7:J""),6,0),""VERIFICAR CÓD SEC"")"),"ROBERTA MARMORE E SILVA GALANTE")</f>
        <v>ROBERTA MARMORE E SILVA GALANTE</v>
      </c>
      <c r="P735" s="82" t="str">
        <f>IFERROR(__xludf.DUMMYFUNCTION("IFERROR(VLOOKUP(D735,
IMPORTRANGE(""https://docs.google.com/spreadsheets/d/1MjHtlUikwobi2MaWJgy7tfLeBmhj1u-dRFRs_8GwSoA/edit#gid=0"",""Gestores Escolares!D7:J""),7,0),""VERIFICAR CÓD SEC"")"),"(77) 9 9115-2108")</f>
        <v>(77) 9 9115-2108</v>
      </c>
      <c r="Q735" s="82" t="str">
        <f>IFERROR(__xludf.DUMMYFUNCTION("IFERROR(VLOOKUP(D735,
IMPORTRANGE(""https://docs.google.com/spreadsheets/d/1MjHtlUikwobi2MaWJgy7tfLeBmhj1u-dRFRs_8GwSoA/edit#gid=0"",""Gestores Escolares!D7:m""),9,0),""VERIFICAR CÓD SEC"")"),"ALINE GUEDES BARBOSA TEIXEIRA")</f>
        <v>ALINE GUEDES BARBOSA TEIXEIRA</v>
      </c>
      <c r="R735" s="82" t="str">
        <f>IFERROR(__xludf.DUMMYFUNCTION("IFERROR(VLOOKUP(D735,
IMPORTRANGE(""https://docs.google.com/spreadsheets/d/1MjHtlUikwobi2MaWJgy7tfLeBmhj1u-dRFRs_8GwSoA/edit#gid=0"",""Gestores Escolares!D7:m""),10,0),""VERIFICAR CÓD SEC"")"),"(77) 9 9988-3616")</f>
        <v>(77) 9 9988-3616</v>
      </c>
      <c r="S735" s="82"/>
      <c r="T735" s="138">
        <v>10.0</v>
      </c>
      <c r="U735" s="369" t="s">
        <v>10489</v>
      </c>
      <c r="V735" s="106">
        <v>0.0</v>
      </c>
      <c r="W735" s="107">
        <v>0.0</v>
      </c>
      <c r="X735" s="107">
        <v>0.0</v>
      </c>
      <c r="Y735" s="107">
        <v>0.0</v>
      </c>
      <c r="Z735" s="80">
        <f t="shared" si="1"/>
        <v>0</v>
      </c>
      <c r="AA735" s="106">
        <v>0.0</v>
      </c>
      <c r="AB735" s="107">
        <v>0.0</v>
      </c>
      <c r="AC735" s="107">
        <v>0.0</v>
      </c>
      <c r="AD735" s="107">
        <v>0.0</v>
      </c>
      <c r="AE735" s="80">
        <f t="shared" si="2"/>
        <v>0</v>
      </c>
      <c r="AF735" s="140">
        <v>232.0</v>
      </c>
      <c r="AG735" s="109">
        <v>100.0</v>
      </c>
      <c r="AH735" s="109">
        <v>0.0</v>
      </c>
      <c r="AI735" s="141">
        <v>29.0</v>
      </c>
      <c r="AJ735" s="80">
        <f t="shared" si="3"/>
        <v>361</v>
      </c>
      <c r="AK735" s="140">
        <v>0.0</v>
      </c>
      <c r="AL735" s="109">
        <v>0.0</v>
      </c>
      <c r="AM735" s="141">
        <v>0.0</v>
      </c>
      <c r="AN735" s="80">
        <f t="shared" si="4"/>
        <v>0</v>
      </c>
      <c r="AO735" s="140">
        <v>0.0</v>
      </c>
      <c r="AP735" s="109">
        <v>0.0</v>
      </c>
      <c r="AQ735" s="109">
        <v>286.0</v>
      </c>
      <c r="AR735" s="80">
        <f t="shared" si="5"/>
        <v>286</v>
      </c>
      <c r="AS735" s="110">
        <v>0.0</v>
      </c>
      <c r="AT735" s="110">
        <v>0.0</v>
      </c>
      <c r="AU735" s="110">
        <v>0.0</v>
      </c>
      <c r="AV735" s="142">
        <v>0.0</v>
      </c>
      <c r="AW735" s="80">
        <f t="shared" si="6"/>
        <v>0</v>
      </c>
      <c r="AX735" s="113">
        <f t="shared" si="7"/>
        <v>647</v>
      </c>
      <c r="AY735" s="117">
        <f t="shared" si="8"/>
        <v>361</v>
      </c>
      <c r="AZ735" s="120">
        <f t="shared" si="9"/>
        <v>286</v>
      </c>
      <c r="BA735" s="115">
        <v>0.0</v>
      </c>
      <c r="BB735" s="89">
        <f t="shared" si="10"/>
        <v>647</v>
      </c>
      <c r="BC735" s="132" t="s">
        <v>178</v>
      </c>
      <c r="BD735" s="132" t="s">
        <v>178</v>
      </c>
      <c r="BE735" s="132" t="s">
        <v>178</v>
      </c>
      <c r="BF735" s="123"/>
      <c r="BG735" s="83">
        <v>1129718.0</v>
      </c>
      <c r="BH735" s="112"/>
      <c r="BI735" s="112">
        <v>8.0</v>
      </c>
      <c r="BJ735" s="98" t="s">
        <v>155</v>
      </c>
      <c r="BK735" s="99">
        <f t="shared" si="11"/>
        <v>29</v>
      </c>
      <c r="BL735" s="99">
        <f t="shared" si="12"/>
        <v>332</v>
      </c>
      <c r="BM735" s="99" t="str">
        <f>IFERROR(__xludf.DUMMYFUNCTION("IFERROR(VLOOKUP(BG735,IMPORTRANGE(""https://docs.google.com/spreadsheets/d/1juPI-Fb8LD0YtltB2mlGEnp_R3UVu1t3wSFPzgCyHXE/edit?gid=0#gid=0"",""GERAL!A2:C""),3,0),""-"")"),"-")</f>
        <v>-</v>
      </c>
    </row>
    <row r="736" ht="15.75" customHeight="1">
      <c r="A736" s="111" t="s">
        <v>860</v>
      </c>
      <c r="B736" s="83" t="s">
        <v>3497</v>
      </c>
      <c r="C736" s="83" t="s">
        <v>68</v>
      </c>
      <c r="D736" s="112">
        <v>1178162.0</v>
      </c>
      <c r="E736" s="83"/>
      <c r="F736" s="83">
        <v>2.9437881E7</v>
      </c>
      <c r="G736" s="153" t="s">
        <v>3518</v>
      </c>
      <c r="H736" s="91" t="s">
        <v>3519</v>
      </c>
      <c r="I736" s="83" t="s">
        <v>3520</v>
      </c>
      <c r="J736" s="83" t="s">
        <v>150</v>
      </c>
      <c r="K736" s="83" t="s">
        <v>3521</v>
      </c>
      <c r="L736" s="83" t="s">
        <v>152</v>
      </c>
      <c r="M736" s="82" t="str">
        <f>IFERROR(__xludf.DUMMYFUNCTION("IFERROR(VLOOKUP(D736,
IMPORTRANGE(""https://docs.google.com/spreadsheets/d/1MjHtlUikwobi2MaWJgy7tfLeBmhj1u-dRFRs_8GwSoA/edit#gid=0"",""Gestores Escolares!D7:J""),3,0),""VERIFICAR CÓD SEC"")"),"WELLINGTON MATOS PEREIRA")</f>
        <v>WELLINGTON MATOS PEREIRA</v>
      </c>
      <c r="N736" s="82" t="str">
        <f>IFERROR(__xludf.DUMMYFUNCTION("IFERROR(VLOOKUP(D736,
IMPORTRANGE(""https://docs.google.com/spreadsheets/d/1MjHtlUikwobi2MaWJgy7tfLeBmhj1u-dRFRs_8GwSoA/edit#gid=0"",""Gestores Escolares!D7:J""),4,0),""VERIFICAR CÓD SEC"")"),"(77) 9 8152-6004")</f>
        <v>(77) 9 8152-6004</v>
      </c>
      <c r="O736" s="82" t="str">
        <f>IFERROR(__xludf.DUMMYFUNCTION("IFERROR(VLOOKUP(D736,
IMPORTRANGE(""https://docs.google.com/spreadsheets/d/1MjHtlUikwobi2MaWJgy7tfLeBmhj1u-dRFRs_8GwSoA/edit#gid=0"",""Gestores Escolares!D7:J""),6,0),""VERIFICAR CÓD SEC"")"),"LUCIETE SIMÕES LIRA DA SILVA")</f>
        <v>LUCIETE SIMÕES LIRA DA SILVA</v>
      </c>
      <c r="P736" s="82" t="str">
        <f>IFERROR(__xludf.DUMMYFUNCTION("IFERROR(VLOOKUP(D736,
IMPORTRANGE(""https://docs.google.com/spreadsheets/d/1MjHtlUikwobi2MaWJgy7tfLeBmhj1u-dRFRs_8GwSoA/edit#gid=0"",""Gestores Escolares!D7:J""),7,0),""VERIFICAR CÓD SEC"")"),"(77) 9 9945-0889")</f>
        <v>(77) 9 9945-0889</v>
      </c>
      <c r="Q736" s="82" t="str">
        <f>IFERROR(__xludf.DUMMYFUNCTION("IFERROR(VLOOKUP(D736,
IMPORTRANGE(""https://docs.google.com/spreadsheets/d/1MjHtlUikwobi2MaWJgy7tfLeBmhj1u-dRFRs_8GwSoA/edit#gid=0"",""Gestores Escolares!D7:m""),9,0),""VERIFICAR CÓD SEC"")"),"LEONARDO JOSE FERREIRA DOS SANTOS")</f>
        <v>LEONARDO JOSE FERREIRA DOS SANTOS</v>
      </c>
      <c r="R736" s="82" t="str">
        <f>IFERROR(__xludf.DUMMYFUNCTION("IFERROR(VLOOKUP(D736,
IMPORTRANGE(""https://docs.google.com/spreadsheets/d/1MjHtlUikwobi2MaWJgy7tfLeBmhj1u-dRFRs_8GwSoA/edit#gid=0"",""Gestores Escolares!D7:m""),10,0),""VERIFICAR CÓD SEC"")"),"")</f>
        <v/>
      </c>
      <c r="S736" s="82"/>
      <c r="T736" s="138">
        <v>8.0</v>
      </c>
      <c r="U736" s="369">
        <v>16.0</v>
      </c>
      <c r="V736" s="106">
        <v>0.0</v>
      </c>
      <c r="W736" s="107">
        <v>0.0</v>
      </c>
      <c r="X736" s="107">
        <v>0.0</v>
      </c>
      <c r="Y736" s="107">
        <v>0.0</v>
      </c>
      <c r="Z736" s="80">
        <f t="shared" si="1"/>
        <v>0</v>
      </c>
      <c r="AA736" s="106">
        <v>0.0</v>
      </c>
      <c r="AB736" s="107">
        <v>0.0</v>
      </c>
      <c r="AC736" s="107">
        <v>0.0</v>
      </c>
      <c r="AD736" s="107">
        <v>0.0</v>
      </c>
      <c r="AE736" s="80">
        <f t="shared" si="2"/>
        <v>0</v>
      </c>
      <c r="AF736" s="140">
        <v>18.0</v>
      </c>
      <c r="AG736" s="109">
        <v>0.0</v>
      </c>
      <c r="AH736" s="109">
        <v>0.0</v>
      </c>
      <c r="AI736" s="141">
        <v>362.0</v>
      </c>
      <c r="AJ736" s="80">
        <f t="shared" si="3"/>
        <v>380</v>
      </c>
      <c r="AK736" s="140">
        <v>0.0</v>
      </c>
      <c r="AL736" s="109">
        <v>0.0</v>
      </c>
      <c r="AM736" s="141">
        <v>0.0</v>
      </c>
      <c r="AN736" s="80">
        <f t="shared" si="4"/>
        <v>0</v>
      </c>
      <c r="AO736" s="140">
        <v>0.0</v>
      </c>
      <c r="AP736" s="109">
        <v>0.0</v>
      </c>
      <c r="AQ736" s="109">
        <v>32.0</v>
      </c>
      <c r="AR736" s="80">
        <f t="shared" si="5"/>
        <v>32</v>
      </c>
      <c r="AS736" s="110">
        <v>36.0</v>
      </c>
      <c r="AT736" s="110">
        <v>0.0</v>
      </c>
      <c r="AU736" s="110">
        <v>18.0</v>
      </c>
      <c r="AV736" s="142">
        <v>41.0</v>
      </c>
      <c r="AW736" s="80">
        <f t="shared" si="6"/>
        <v>95</v>
      </c>
      <c r="AX736" s="113">
        <f t="shared" si="7"/>
        <v>507</v>
      </c>
      <c r="AY736" s="117">
        <f t="shared" si="8"/>
        <v>457</v>
      </c>
      <c r="AZ736" s="120">
        <f t="shared" si="9"/>
        <v>50</v>
      </c>
      <c r="BA736" s="115">
        <v>0.0</v>
      </c>
      <c r="BB736" s="89">
        <f t="shared" si="10"/>
        <v>507</v>
      </c>
      <c r="BC736" s="132" t="s">
        <v>178</v>
      </c>
      <c r="BD736" s="132" t="s">
        <v>178</v>
      </c>
      <c r="BE736" s="132" t="s">
        <v>178</v>
      </c>
      <c r="BF736" s="123"/>
      <c r="BG736" s="83">
        <v>1178162.0</v>
      </c>
      <c r="BH736" s="112"/>
      <c r="BI736" s="112">
        <v>8.0</v>
      </c>
      <c r="BJ736" s="98" t="s">
        <v>162</v>
      </c>
      <c r="BK736" s="99">
        <f t="shared" si="11"/>
        <v>403</v>
      </c>
      <c r="BL736" s="99">
        <f t="shared" si="12"/>
        <v>54</v>
      </c>
      <c r="BM736" s="99" t="str">
        <f>IFERROR(__xludf.DUMMYFUNCTION("IFERROR(VLOOKUP(BG736,IMPORTRANGE(""https://docs.google.com/spreadsheets/d/1juPI-Fb8LD0YtltB2mlGEnp_R3UVu1t3wSFPzgCyHXE/edit?gid=0#gid=0"",""GERAL!A2:C""),3,0),""-"")"),"-")</f>
        <v>-</v>
      </c>
    </row>
    <row r="737" ht="15.75" customHeight="1">
      <c r="A737" s="111" t="s">
        <v>860</v>
      </c>
      <c r="B737" s="83" t="s">
        <v>3497</v>
      </c>
      <c r="C737" s="83" t="s">
        <v>68</v>
      </c>
      <c r="D737" s="112">
        <v>1129696.0</v>
      </c>
      <c r="E737" s="83"/>
      <c r="F737" s="83">
        <v>2.9001064E7</v>
      </c>
      <c r="G737" s="119" t="s">
        <v>3524</v>
      </c>
      <c r="H737" s="91" t="s">
        <v>3525</v>
      </c>
      <c r="I737" s="136" t="s">
        <v>149</v>
      </c>
      <c r="J737" s="83" t="s">
        <v>150</v>
      </c>
      <c r="K737" s="83" t="s">
        <v>151</v>
      </c>
      <c r="L737" s="83" t="s">
        <v>152</v>
      </c>
      <c r="M737" s="82" t="str">
        <f>IFERROR(__xludf.DUMMYFUNCTION("IFERROR(VLOOKUP(D737,
IMPORTRANGE(""https://docs.google.com/spreadsheets/d/1MjHtlUikwobi2MaWJgy7tfLeBmhj1u-dRFRs_8GwSoA/edit#gid=0"",""Gestores Escolares!D7:J""),3,0),""VERIFICAR CÓD SEC"")"),"GERCILENE DA SILVA DE SOUZA")</f>
        <v>GERCILENE DA SILVA DE SOUZA</v>
      </c>
      <c r="N737" s="82" t="str">
        <f>IFERROR(__xludf.DUMMYFUNCTION("IFERROR(VLOOKUP(D737,
IMPORTRANGE(""https://docs.google.com/spreadsheets/d/1MjHtlUikwobi2MaWJgy7tfLeBmhj1u-dRFRs_8GwSoA/edit#gid=0"",""Gestores Escolares!D7:J""),4,0),""VERIFICAR CÓD SEC"")"),"(77) 9 8118-8492")</f>
        <v>(77) 9 8118-8492</v>
      </c>
      <c r="O737" s="82" t="str">
        <f>IFERROR(__xludf.DUMMYFUNCTION("IFERROR(VLOOKUP(D737,
IMPORTRANGE(""https://docs.google.com/spreadsheets/d/1MjHtlUikwobi2MaWJgy7tfLeBmhj1u-dRFRs_8GwSoA/edit#gid=0"",""Gestores Escolares!D7:J""),6,0),""VERIFICAR CÓD SEC"")"),"LUCIAN DE PINA ALVES")</f>
        <v>LUCIAN DE PINA ALVES</v>
      </c>
      <c r="P737" s="82" t="str">
        <f>IFERROR(__xludf.DUMMYFUNCTION("IFERROR(VLOOKUP(D737,
IMPORTRANGE(""https://docs.google.com/spreadsheets/d/1MjHtlUikwobi2MaWJgy7tfLeBmhj1u-dRFRs_8GwSoA/edit#gid=0"",""Gestores Escolares!D7:J""),7,0),""VERIFICAR CÓD SEC"")"),"(77) 9 9155-4685")</f>
        <v>(77) 9 9155-4685</v>
      </c>
      <c r="Q737" s="82" t="str">
        <f>IFERROR(__xludf.DUMMYFUNCTION("IFERROR(VLOOKUP(D737,
IMPORTRANGE(""https://docs.google.com/spreadsheets/d/1MjHtlUikwobi2MaWJgy7tfLeBmhj1u-dRFRs_8GwSoA/edit#gid=0"",""Gestores Escolares!D7:m""),9,0),""VERIFICAR CÓD SEC"")"),"")</f>
        <v/>
      </c>
      <c r="R737" s="82" t="str">
        <f>IFERROR(__xludf.DUMMYFUNCTION("IFERROR(VLOOKUP(D737,
IMPORTRANGE(""https://docs.google.com/spreadsheets/d/1MjHtlUikwobi2MaWJgy7tfLeBmhj1u-dRFRs_8GwSoA/edit#gid=0"",""Gestores Escolares!D7:m""),10,0),""VERIFICAR CÓD SEC"")"),"")</f>
        <v/>
      </c>
      <c r="S737" s="82"/>
      <c r="T737" s="138">
        <v>8.0</v>
      </c>
      <c r="U737" s="369">
        <v>8.0</v>
      </c>
      <c r="V737" s="106">
        <v>0.0</v>
      </c>
      <c r="W737" s="107">
        <v>0.0</v>
      </c>
      <c r="X737" s="107">
        <v>0.0</v>
      </c>
      <c r="Y737" s="107">
        <v>0.0</v>
      </c>
      <c r="Z737" s="80">
        <f t="shared" si="1"/>
        <v>0</v>
      </c>
      <c r="AA737" s="106">
        <v>0.0</v>
      </c>
      <c r="AB737" s="107">
        <v>0.0</v>
      </c>
      <c r="AC737" s="107">
        <v>0.0</v>
      </c>
      <c r="AD737" s="107">
        <v>0.0</v>
      </c>
      <c r="AE737" s="80">
        <f t="shared" si="2"/>
        <v>0</v>
      </c>
      <c r="AF737" s="140">
        <v>281.0</v>
      </c>
      <c r="AG737" s="109">
        <v>103.0</v>
      </c>
      <c r="AH737" s="109">
        <v>0.0</v>
      </c>
      <c r="AI737" s="141">
        <v>0.0</v>
      </c>
      <c r="AJ737" s="80">
        <f t="shared" si="3"/>
        <v>384</v>
      </c>
      <c r="AK737" s="140">
        <v>0.0</v>
      </c>
      <c r="AL737" s="109">
        <v>0.0</v>
      </c>
      <c r="AM737" s="141">
        <v>0.0</v>
      </c>
      <c r="AN737" s="80">
        <f t="shared" si="4"/>
        <v>0</v>
      </c>
      <c r="AO737" s="140">
        <v>0.0</v>
      </c>
      <c r="AP737" s="109">
        <v>0.0</v>
      </c>
      <c r="AQ737" s="109">
        <v>90.0</v>
      </c>
      <c r="AR737" s="80">
        <f t="shared" si="5"/>
        <v>90</v>
      </c>
      <c r="AS737" s="110">
        <v>0.0</v>
      </c>
      <c r="AT737" s="110">
        <v>0.0</v>
      </c>
      <c r="AU737" s="110">
        <v>0.0</v>
      </c>
      <c r="AV737" s="142">
        <v>0.0</v>
      </c>
      <c r="AW737" s="80">
        <f t="shared" si="6"/>
        <v>0</v>
      </c>
      <c r="AX737" s="113">
        <f t="shared" si="7"/>
        <v>474</v>
      </c>
      <c r="AY737" s="117">
        <f t="shared" si="8"/>
        <v>384</v>
      </c>
      <c r="AZ737" s="120">
        <f t="shared" si="9"/>
        <v>90</v>
      </c>
      <c r="BA737" s="115">
        <v>0.0</v>
      </c>
      <c r="BB737" s="89">
        <f t="shared" si="10"/>
        <v>474</v>
      </c>
      <c r="BC737" s="132" t="s">
        <v>178</v>
      </c>
      <c r="BD737" s="132" t="s">
        <v>178</v>
      </c>
      <c r="BE737" s="132" t="s">
        <v>178</v>
      </c>
      <c r="BF737" s="123"/>
      <c r="BG737" s="83">
        <v>1129696.0</v>
      </c>
      <c r="BH737" s="112"/>
      <c r="BI737" s="112">
        <v>8.0</v>
      </c>
      <c r="BJ737" s="245" t="s">
        <v>155</v>
      </c>
      <c r="BK737" s="99">
        <f t="shared" si="11"/>
        <v>0</v>
      </c>
      <c r="BL737" s="99">
        <f t="shared" si="12"/>
        <v>384</v>
      </c>
      <c r="BM737" s="99" t="str">
        <f>IFERROR(__xludf.DUMMYFUNCTION("IFERROR(VLOOKUP(BG737,IMPORTRANGE(""https://docs.google.com/spreadsheets/d/1juPI-Fb8LD0YtltB2mlGEnp_R3UVu1t3wSFPzgCyHXE/edit?gid=0#gid=0"",""GERAL!A2:C""),3,0),""-"")"),"-")</f>
        <v>-</v>
      </c>
    </row>
    <row r="738" ht="15.75" customHeight="1">
      <c r="A738" s="111" t="s">
        <v>860</v>
      </c>
      <c r="B738" s="83" t="s">
        <v>3497</v>
      </c>
      <c r="C738" s="83" t="s">
        <v>68</v>
      </c>
      <c r="D738" s="112">
        <v>1139896.0</v>
      </c>
      <c r="E738" s="83"/>
      <c r="F738" s="83">
        <v>2.900084E7</v>
      </c>
      <c r="G738" s="119" t="s">
        <v>3527</v>
      </c>
      <c r="H738" s="91" t="s">
        <v>3528</v>
      </c>
      <c r="I738" s="136" t="s">
        <v>149</v>
      </c>
      <c r="J738" s="136" t="s">
        <v>150</v>
      </c>
      <c r="K738" s="136" t="s">
        <v>151</v>
      </c>
      <c r="L738" s="83" t="s">
        <v>230</v>
      </c>
      <c r="M738" s="82" t="str">
        <f>IFERROR(__xludf.DUMMYFUNCTION("IFERROR(VLOOKUP(D738,
IMPORTRANGE(""https://docs.google.com/spreadsheets/d/1MjHtlUikwobi2MaWJgy7tfLeBmhj1u-dRFRs_8GwSoA/edit#gid=0"",""Gestores Escolares!D7:J""),3,0),""VERIFICAR CÓD SEC"")"),"ALESSANDRA NERY OLIVEIRA SILVA GUEDES")</f>
        <v>ALESSANDRA NERY OLIVEIRA SILVA GUEDES</v>
      </c>
      <c r="N738" s="82" t="str">
        <f>IFERROR(__xludf.DUMMYFUNCTION("IFERROR(VLOOKUP(D738,
IMPORTRANGE(""https://docs.google.com/spreadsheets/d/1MjHtlUikwobi2MaWJgy7tfLeBmhj1u-dRFRs_8GwSoA/edit#gid=0"",""Gestores Escolares!D7:J""),4,0),""VERIFICAR CÓD SEC"")")," (77) 9 9700-2624")</f>
        <v> (77) 9 9700-2624</v>
      </c>
      <c r="O738" s="82" t="str">
        <f>IFERROR(__xludf.DUMMYFUNCTION("IFERROR(VLOOKUP(D738,
IMPORTRANGE(""https://docs.google.com/spreadsheets/d/1MjHtlUikwobi2MaWJgy7tfLeBmhj1u-dRFRs_8GwSoA/edit#gid=0"",""Gestores Escolares!D7:J""),6,0),""VERIFICAR CÓD SEC"")"),"FAGNE VASCO SARDEIRO")</f>
        <v>FAGNE VASCO SARDEIRO</v>
      </c>
      <c r="P738" s="82" t="str">
        <f>IFERROR(__xludf.DUMMYFUNCTION("IFERROR(VLOOKUP(D738,
IMPORTRANGE(""https://docs.google.com/spreadsheets/d/1MjHtlUikwobi2MaWJgy7tfLeBmhj1u-dRFRs_8GwSoA/edit#gid=0"",""Gestores Escolares!D7:J""),7,0),""VERIFICAR CÓD SEC"")"),"(77) 3612-2627")</f>
        <v>(77) 3612-2627</v>
      </c>
      <c r="Q738" s="82" t="str">
        <f>IFERROR(__xludf.DUMMYFUNCTION("IFERROR(VLOOKUP(D738,
IMPORTRANGE(""https://docs.google.com/spreadsheets/d/1MjHtlUikwobi2MaWJgy7tfLeBmhj1u-dRFRs_8GwSoA/edit#gid=0"",""Gestores Escolares!D7:m""),9,0),""VERIFICAR CÓD SEC"")"),"RONIVON PEREIRA RODRIGUES")</f>
        <v>RONIVON PEREIRA RODRIGUES</v>
      </c>
      <c r="R738" s="82" t="str">
        <f>IFERROR(__xludf.DUMMYFUNCTION("IFERROR(VLOOKUP(D738,
IMPORTRANGE(""https://docs.google.com/spreadsheets/d/1MjHtlUikwobi2MaWJgy7tfLeBmhj1u-dRFRs_8GwSoA/edit#gid=0"",""Gestores Escolares!D7:m""),10,0),""VERIFICAR CÓD SEC"")"),"(77) 9 9957-5567")</f>
        <v>(77) 9 9957-5567</v>
      </c>
      <c r="S738" s="82"/>
      <c r="T738" s="138">
        <v>15.0</v>
      </c>
      <c r="U738" s="369">
        <v>15.0</v>
      </c>
      <c r="V738" s="106">
        <v>0.0</v>
      </c>
      <c r="W738" s="107">
        <v>0.0</v>
      </c>
      <c r="X738" s="107">
        <v>0.0</v>
      </c>
      <c r="Y738" s="107">
        <v>0.0</v>
      </c>
      <c r="Z738" s="80">
        <f t="shared" si="1"/>
        <v>0</v>
      </c>
      <c r="AA738" s="106">
        <v>0.0</v>
      </c>
      <c r="AB738" s="107">
        <v>0.0</v>
      </c>
      <c r="AC738" s="107">
        <v>0.0</v>
      </c>
      <c r="AD738" s="107">
        <v>0.0</v>
      </c>
      <c r="AE738" s="80">
        <f t="shared" si="2"/>
        <v>0</v>
      </c>
      <c r="AF738" s="140">
        <v>516.0</v>
      </c>
      <c r="AG738" s="109">
        <v>205.0</v>
      </c>
      <c r="AH738" s="109">
        <v>0.0</v>
      </c>
      <c r="AI738" s="141">
        <v>25.0</v>
      </c>
      <c r="AJ738" s="80">
        <f t="shared" si="3"/>
        <v>746</v>
      </c>
      <c r="AK738" s="140">
        <v>0.0</v>
      </c>
      <c r="AL738" s="109">
        <v>0.0</v>
      </c>
      <c r="AM738" s="141">
        <v>0.0</v>
      </c>
      <c r="AN738" s="80">
        <f t="shared" si="4"/>
        <v>0</v>
      </c>
      <c r="AO738" s="140">
        <v>0.0</v>
      </c>
      <c r="AP738" s="109">
        <v>0.0</v>
      </c>
      <c r="AQ738" s="109">
        <v>166.0</v>
      </c>
      <c r="AR738" s="80">
        <f t="shared" si="5"/>
        <v>166</v>
      </c>
      <c r="AS738" s="110">
        <v>0.0</v>
      </c>
      <c r="AT738" s="110">
        <v>0.0</v>
      </c>
      <c r="AU738" s="110">
        <v>0.0</v>
      </c>
      <c r="AV738" s="142">
        <v>0.0</v>
      </c>
      <c r="AW738" s="80">
        <f t="shared" si="6"/>
        <v>0</v>
      </c>
      <c r="AX738" s="113">
        <f t="shared" si="7"/>
        <v>912</v>
      </c>
      <c r="AY738" s="117">
        <f t="shared" si="8"/>
        <v>746</v>
      </c>
      <c r="AZ738" s="120">
        <f t="shared" si="9"/>
        <v>166</v>
      </c>
      <c r="BA738" s="115">
        <v>0.0</v>
      </c>
      <c r="BB738" s="89">
        <f t="shared" si="10"/>
        <v>912</v>
      </c>
      <c r="BC738" s="132" t="s">
        <v>178</v>
      </c>
      <c r="BD738" s="132" t="s">
        <v>178</v>
      </c>
      <c r="BE738" s="132" t="s">
        <v>178</v>
      </c>
      <c r="BF738" s="156"/>
      <c r="BG738" s="83">
        <v>1139896.0</v>
      </c>
      <c r="BH738" s="112"/>
      <c r="BI738" s="112">
        <v>15.0</v>
      </c>
      <c r="BJ738" s="98" t="s">
        <v>155</v>
      </c>
      <c r="BK738" s="99">
        <f t="shared" si="11"/>
        <v>25</v>
      </c>
      <c r="BL738" s="99">
        <f t="shared" si="12"/>
        <v>721</v>
      </c>
      <c r="BM738" s="99" t="str">
        <f>IFERROR(__xludf.DUMMYFUNCTION("IFERROR(VLOOKUP(BG738,IMPORTRANGE(""https://docs.google.com/spreadsheets/d/1juPI-Fb8LD0YtltB2mlGEnp_R3UVu1t3wSFPzgCyHXE/edit?gid=0#gid=0"",""GERAL!A2:C""),3,0),""-"")"),"-")</f>
        <v>-</v>
      </c>
    </row>
    <row r="739" ht="15.75" customHeight="1">
      <c r="A739" s="111" t="s">
        <v>860</v>
      </c>
      <c r="B739" s="83" t="s">
        <v>3497</v>
      </c>
      <c r="C739" s="83" t="s">
        <v>68</v>
      </c>
      <c r="D739" s="112">
        <v>1165382.0</v>
      </c>
      <c r="E739" s="83"/>
      <c r="F739" s="83">
        <v>2.9000831E7</v>
      </c>
      <c r="G739" s="119" t="s">
        <v>3539</v>
      </c>
      <c r="H739" s="91" t="s">
        <v>3540</v>
      </c>
      <c r="I739" s="136" t="s">
        <v>149</v>
      </c>
      <c r="J739" s="136" t="s">
        <v>150</v>
      </c>
      <c r="K739" s="136" t="s">
        <v>151</v>
      </c>
      <c r="L739" s="83" t="s">
        <v>76</v>
      </c>
      <c r="M739" s="82" t="str">
        <f>IFERROR(__xludf.DUMMYFUNCTION("IFERROR(VLOOKUP(D739,
IMPORTRANGE(""https://docs.google.com/spreadsheets/d/1MjHtlUikwobi2MaWJgy7tfLeBmhj1u-dRFRs_8GwSoA/edit#gid=0"",""Gestores Escolares!D7:J""),3,0),""VERIFICAR CÓD SEC"")"),"MARIA ZILDA DE CARVALHO DA SILVA")</f>
        <v>MARIA ZILDA DE CARVALHO DA SILVA</v>
      </c>
      <c r="N739" s="82" t="str">
        <f>IFERROR(__xludf.DUMMYFUNCTION("IFERROR(VLOOKUP(D739,
IMPORTRANGE(""https://docs.google.com/spreadsheets/d/1MjHtlUikwobi2MaWJgy7tfLeBmhj1u-dRFRs_8GwSoA/edit#gid=0"",""Gestores Escolares!D7:J""),4,0),""VERIFICAR CÓD SEC"")"),"(77) 9 9838-9972")</f>
        <v>(77) 9 9838-9972</v>
      </c>
      <c r="O739" s="82" t="str">
        <f>IFERROR(__xludf.DUMMYFUNCTION("IFERROR(VLOOKUP(D739,
IMPORTRANGE(""https://docs.google.com/spreadsheets/d/1MjHtlUikwobi2MaWJgy7tfLeBmhj1u-dRFRs_8GwSoA/edit#gid=0"",""Gestores Escolares!D7:J""),6,0),""VERIFICAR CÓD SEC"")"),"HERMINSON PAULO FARIA SOUZA")</f>
        <v>HERMINSON PAULO FARIA SOUZA</v>
      </c>
      <c r="P739" s="82" t="str">
        <f>IFERROR(__xludf.DUMMYFUNCTION("IFERROR(VLOOKUP(D739,
IMPORTRANGE(""https://docs.google.com/spreadsheets/d/1MjHtlUikwobi2MaWJgy7tfLeBmhj1u-dRFRs_8GwSoA/edit#gid=0"",""Gestores Escolares!D7:J""),7,0),""VERIFICAR CÓD SEC"")"),"(77) 9 9810-2544")</f>
        <v>(77) 9 9810-2544</v>
      </c>
      <c r="Q739" s="82" t="str">
        <f>IFERROR(__xludf.DUMMYFUNCTION("IFERROR(VLOOKUP(D739,
IMPORTRANGE(""https://docs.google.com/spreadsheets/d/1MjHtlUikwobi2MaWJgy7tfLeBmhj1u-dRFRs_8GwSoA/edit#gid=0"",""Gestores Escolares!D7:m""),9,0),""VERIFICAR CÓD SEC"")"),"")</f>
        <v/>
      </c>
      <c r="R739" s="82" t="str">
        <f>IFERROR(__xludf.DUMMYFUNCTION("IFERROR(VLOOKUP(D739,
IMPORTRANGE(""https://docs.google.com/spreadsheets/d/1MjHtlUikwobi2MaWJgy7tfLeBmhj1u-dRFRs_8GwSoA/edit#gid=0"",""Gestores Escolares!D7:m""),10,0),""VERIFICAR CÓD SEC"")"),"")</f>
        <v/>
      </c>
      <c r="S739" s="82"/>
      <c r="T739" s="138">
        <v>11.0</v>
      </c>
      <c r="U739" s="369" t="s">
        <v>10544</v>
      </c>
      <c r="V739" s="106">
        <v>0.0</v>
      </c>
      <c r="W739" s="107">
        <v>0.0</v>
      </c>
      <c r="X739" s="107">
        <v>0.0</v>
      </c>
      <c r="Y739" s="107">
        <v>0.0</v>
      </c>
      <c r="Z739" s="80">
        <f t="shared" si="1"/>
        <v>0</v>
      </c>
      <c r="AA739" s="106">
        <v>0.0</v>
      </c>
      <c r="AB739" s="107">
        <v>0.0</v>
      </c>
      <c r="AC739" s="107">
        <v>0.0</v>
      </c>
      <c r="AD739" s="107">
        <v>0.0</v>
      </c>
      <c r="AE739" s="80">
        <f t="shared" si="2"/>
        <v>0</v>
      </c>
      <c r="AF739" s="140">
        <v>107.0</v>
      </c>
      <c r="AG739" s="109">
        <v>74.0</v>
      </c>
      <c r="AH739" s="109">
        <v>0.0</v>
      </c>
      <c r="AI739" s="141">
        <v>31.0</v>
      </c>
      <c r="AJ739" s="80">
        <f t="shared" si="3"/>
        <v>212</v>
      </c>
      <c r="AK739" s="140">
        <v>0.0</v>
      </c>
      <c r="AL739" s="109">
        <v>0.0</v>
      </c>
      <c r="AM739" s="141">
        <v>0.0</v>
      </c>
      <c r="AN739" s="80">
        <f t="shared" si="4"/>
        <v>0</v>
      </c>
      <c r="AO739" s="140">
        <v>0.0</v>
      </c>
      <c r="AP739" s="109">
        <v>0.0</v>
      </c>
      <c r="AQ739" s="109">
        <v>57.0</v>
      </c>
      <c r="AR739" s="80">
        <f t="shared" si="5"/>
        <v>57</v>
      </c>
      <c r="AS739" s="110">
        <v>0.0</v>
      </c>
      <c r="AT739" s="110">
        <v>0.0</v>
      </c>
      <c r="AU739" s="110">
        <v>0.0</v>
      </c>
      <c r="AV739" s="142">
        <v>0.0</v>
      </c>
      <c r="AW739" s="80">
        <f t="shared" si="6"/>
        <v>0</v>
      </c>
      <c r="AX739" s="113">
        <f t="shared" si="7"/>
        <v>269</v>
      </c>
      <c r="AY739" s="117">
        <f t="shared" si="8"/>
        <v>212</v>
      </c>
      <c r="AZ739" s="120">
        <f t="shared" si="9"/>
        <v>57</v>
      </c>
      <c r="BA739" s="115">
        <v>0.0</v>
      </c>
      <c r="BB739" s="89">
        <f t="shared" si="10"/>
        <v>269</v>
      </c>
      <c r="BC739" s="132" t="s">
        <v>178</v>
      </c>
      <c r="BD739" s="132" t="s">
        <v>178</v>
      </c>
      <c r="BE739" s="132" t="s">
        <v>178</v>
      </c>
      <c r="BF739" s="156"/>
      <c r="BG739" s="83">
        <v>1165382.0</v>
      </c>
      <c r="BH739" s="112"/>
      <c r="BI739" s="112">
        <v>8.0</v>
      </c>
      <c r="BJ739" s="98" t="s">
        <v>155</v>
      </c>
      <c r="BK739" s="99">
        <f t="shared" si="11"/>
        <v>31</v>
      </c>
      <c r="BL739" s="99">
        <f t="shared" si="12"/>
        <v>181</v>
      </c>
      <c r="BM739" s="99" t="str">
        <f>IFERROR(__xludf.DUMMYFUNCTION("IFERROR(VLOOKUP(BG739,IMPORTRANGE(""https://docs.google.com/spreadsheets/d/1juPI-Fb8LD0YtltB2mlGEnp_R3UVu1t3wSFPzgCyHXE/edit?gid=0#gid=0"",""GERAL!A2:C""),3,0),""-"")"),"-")</f>
        <v>-</v>
      </c>
    </row>
    <row r="740" ht="15.75" customHeight="1">
      <c r="A740" s="111" t="s">
        <v>860</v>
      </c>
      <c r="B740" s="83" t="s">
        <v>3497</v>
      </c>
      <c r="C740" s="83" t="s">
        <v>68</v>
      </c>
      <c r="D740" s="559">
        <v>1129831.0</v>
      </c>
      <c r="E740" s="560"/>
      <c r="F740" s="83">
        <v>2.9001498E7</v>
      </c>
      <c r="G740" s="147" t="s">
        <v>3550</v>
      </c>
      <c r="H740" s="91" t="s">
        <v>3551</v>
      </c>
      <c r="I740" s="136" t="s">
        <v>149</v>
      </c>
      <c r="J740" s="136" t="s">
        <v>150</v>
      </c>
      <c r="K740" s="136" t="s">
        <v>151</v>
      </c>
      <c r="L740" s="98" t="s">
        <v>152</v>
      </c>
      <c r="M740" s="82" t="str">
        <f>IFERROR(__xludf.DUMMYFUNCTION("IFERROR(VLOOKUP(D740,
IMPORTRANGE(""https://docs.google.com/spreadsheets/d/1MjHtlUikwobi2MaWJgy7tfLeBmhj1u-dRFRs_8GwSoA/edit#gid=0"",""Gestores Escolares!D7:J""),3,0),""VERIFICAR CÓD SEC"")"),"DIREÇÃO DE ESCOLA: CARLOS HENRIQUE DA SILVA NEIVA - (77) 9 9818-9854/ 9 9962-4169
DIREÇÃO DA UNIDADE PM: Tenente Coronel QOPM DEMÓCRITO PINTO DOS REIS - (71) 9 8370-4040
DIREÇÃO DO ADJUNTO: CAPITÃO ALÁDIO DORIA DOS SANTOS (77) 9 9808-3130")</f>
        <v>DIREÇÃO DE ESCOLA: CARLOS HENRIQUE DA SILVA NEIVA - (77) 9 9818-9854/ 9 9962-4169
DIREÇÃO DA UNIDADE PM: Tenente Coronel QOPM DEMÓCRITO PINTO DOS REIS - (71) 9 8370-4040
DIREÇÃO DO ADJUNTO: CAPITÃO ALÁDIO DORIA DOS SANTOS (77) 9 9808-3130</v>
      </c>
      <c r="N740" s="82" t="str">
        <f>IFERROR(__xludf.DUMMYFUNCTION("IFERROR(VLOOKUP(D740,
IMPORTRANGE(""https://docs.google.com/spreadsheets/d/1MjHtlUikwobi2MaWJgy7tfLeBmhj1u-dRFRs_8GwSoA/edit#gid=0"",""Gestores Escolares!D7:J""),4,0),""VERIFICAR CÓD SEC"")"),"-")</f>
        <v>-</v>
      </c>
      <c r="O740" s="82" t="str">
        <f>IFERROR(__xludf.DUMMYFUNCTION("IFERROR(VLOOKUP(D740,
IMPORTRANGE(""https://docs.google.com/spreadsheets/d/1MjHtlUikwobi2MaWJgy7tfLeBmhj1u-dRFRs_8GwSoA/edit#gid=0"",""Gestores Escolares!D7:J""),6,0),""VERIFICAR CÓD SEC"")"),"MATHEUS COSTA DE SOUZA")</f>
        <v>MATHEUS COSTA DE SOUZA</v>
      </c>
      <c r="P740" s="82" t="str">
        <f>IFERROR(__xludf.DUMMYFUNCTION("IFERROR(VLOOKUP(D740,
IMPORTRANGE(""https://docs.google.com/spreadsheets/d/1MjHtlUikwobi2MaWJgy7tfLeBmhj1u-dRFRs_8GwSoA/edit#gid=0"",""Gestores Escolares!D7:J""),7,0),""VERIFICAR CÓD SEC"")"),"(77) 9 9212-1172")</f>
        <v>(77) 9 9212-1172</v>
      </c>
      <c r="Q740" s="82" t="str">
        <f>IFERROR(__xludf.DUMMYFUNCTION("IFERROR(VLOOKUP(D740,
IMPORTRANGE(""https://docs.google.com/spreadsheets/d/1MjHtlUikwobi2MaWJgy7tfLeBmhj1u-dRFRs_8GwSoA/edit#gid=0"",""Gestores Escolares!D7:m""),9,0),""VERIFICAR CÓD SEC"")"),"")</f>
        <v/>
      </c>
      <c r="R740" s="82" t="str">
        <f>IFERROR(__xludf.DUMMYFUNCTION("IFERROR(VLOOKUP(D740,
IMPORTRANGE(""https://docs.google.com/spreadsheets/d/1MjHtlUikwobi2MaWJgy7tfLeBmhj1u-dRFRs_8GwSoA/edit#gid=0"",""Gestores Escolares!D7:m""),10,0),""VERIFICAR CÓD SEC"")"),"")</f>
        <v/>
      </c>
      <c r="S740" s="82"/>
      <c r="T740" s="138">
        <v>12.0</v>
      </c>
      <c r="U740" s="369">
        <v>17.0</v>
      </c>
      <c r="V740" s="106">
        <v>0.0</v>
      </c>
      <c r="W740" s="107">
        <v>0.0</v>
      </c>
      <c r="X740" s="107">
        <v>0.0</v>
      </c>
      <c r="Y740" s="107">
        <v>0.0</v>
      </c>
      <c r="Z740" s="80">
        <f t="shared" si="1"/>
        <v>0</v>
      </c>
      <c r="AA740" s="106">
        <v>0.0</v>
      </c>
      <c r="AB740" s="107">
        <v>481.0</v>
      </c>
      <c r="AC740" s="107">
        <v>0.0</v>
      </c>
      <c r="AD740" s="107">
        <v>0.0</v>
      </c>
      <c r="AE740" s="80">
        <f t="shared" si="2"/>
        <v>481</v>
      </c>
      <c r="AF740" s="140">
        <v>413.0</v>
      </c>
      <c r="AG740" s="109">
        <v>0.0</v>
      </c>
      <c r="AH740" s="109">
        <v>0.0</v>
      </c>
      <c r="AI740" s="141">
        <v>0.0</v>
      </c>
      <c r="AJ740" s="80">
        <f t="shared" si="3"/>
        <v>413</v>
      </c>
      <c r="AK740" s="140">
        <v>0.0</v>
      </c>
      <c r="AL740" s="109">
        <v>0.0</v>
      </c>
      <c r="AM740" s="141">
        <v>0.0</v>
      </c>
      <c r="AN740" s="80">
        <f t="shared" si="4"/>
        <v>0</v>
      </c>
      <c r="AO740" s="140">
        <v>0.0</v>
      </c>
      <c r="AP740" s="109">
        <v>0.0</v>
      </c>
      <c r="AQ740" s="109">
        <v>0.0</v>
      </c>
      <c r="AR740" s="80">
        <f t="shared" si="5"/>
        <v>0</v>
      </c>
      <c r="AS740" s="110">
        <v>0.0</v>
      </c>
      <c r="AT740" s="110">
        <v>0.0</v>
      </c>
      <c r="AU740" s="110">
        <v>0.0</v>
      </c>
      <c r="AV740" s="142">
        <v>0.0</v>
      </c>
      <c r="AW740" s="80">
        <f t="shared" si="6"/>
        <v>0</v>
      </c>
      <c r="AX740" s="113">
        <f t="shared" si="7"/>
        <v>894</v>
      </c>
      <c r="AY740" s="117">
        <f t="shared" si="8"/>
        <v>894</v>
      </c>
      <c r="AZ740" s="120">
        <f t="shared" si="9"/>
        <v>0</v>
      </c>
      <c r="BA740" s="115">
        <v>0.0</v>
      </c>
      <c r="BB740" s="89">
        <f t="shared" si="10"/>
        <v>894</v>
      </c>
      <c r="BC740" s="143" t="s">
        <v>1014</v>
      </c>
      <c r="BD740" s="132" t="s">
        <v>178</v>
      </c>
      <c r="BE740" s="132" t="s">
        <v>178</v>
      </c>
      <c r="BF740" s="123"/>
      <c r="BG740" s="83">
        <v>1129831.0</v>
      </c>
      <c r="BH740" s="112"/>
      <c r="BI740" s="112">
        <v>12.0</v>
      </c>
      <c r="BJ740" s="98" t="s">
        <v>176</v>
      </c>
      <c r="BK740" s="99">
        <f t="shared" si="11"/>
        <v>0</v>
      </c>
      <c r="BL740" s="99">
        <f t="shared" si="12"/>
        <v>894</v>
      </c>
      <c r="BM740" s="99" t="str">
        <f>IFERROR(__xludf.DUMMYFUNCTION("IFERROR(VLOOKUP(BG740,IMPORTRANGE(""https://docs.google.com/spreadsheets/d/1juPI-Fb8LD0YtltB2mlGEnp_R3UVu1t3wSFPzgCyHXE/edit?gid=0#gid=0"",""GERAL!A2:C""),3,0),""-"")"),"-")</f>
        <v>-</v>
      </c>
    </row>
    <row r="741" ht="15.75" customHeight="1">
      <c r="A741" s="111" t="s">
        <v>860</v>
      </c>
      <c r="B741" s="83" t="s">
        <v>3497</v>
      </c>
      <c r="C741" s="83" t="s">
        <v>68</v>
      </c>
      <c r="D741" s="112">
        <v>1129742.0</v>
      </c>
      <c r="E741" s="83"/>
      <c r="F741" s="83">
        <v>2.9000971E7</v>
      </c>
      <c r="G741" s="187" t="s">
        <v>3556</v>
      </c>
      <c r="H741" s="91" t="s">
        <v>3557</v>
      </c>
      <c r="I741" s="136" t="s">
        <v>149</v>
      </c>
      <c r="J741" s="136" t="s">
        <v>150</v>
      </c>
      <c r="K741" s="136" t="s">
        <v>151</v>
      </c>
      <c r="L741" s="83" t="s">
        <v>230</v>
      </c>
      <c r="M741" s="82" t="str">
        <f>IFERROR(__xludf.DUMMYFUNCTION("IFERROR(VLOOKUP(D741,
IMPORTRANGE(""https://docs.google.com/spreadsheets/d/1MjHtlUikwobi2MaWJgy7tfLeBmhj1u-dRFRs_8GwSoA/edit#gid=0"",""Gestores Escolares!D7:J""),3,0),""VERIFICAR CÓD SEC"")"),"JOACIR SILVA DO NASCIMENTO")</f>
        <v>JOACIR SILVA DO NASCIMENTO</v>
      </c>
      <c r="N741" s="82" t="str">
        <f>IFERROR(__xludf.DUMMYFUNCTION("IFERROR(VLOOKUP(D741,
IMPORTRANGE(""https://docs.google.com/spreadsheets/d/1MjHtlUikwobi2MaWJgy7tfLeBmhj1u-dRFRs_8GwSoA/edit#gid=0"",""Gestores Escolares!D7:J""),4,0),""VERIFICAR CÓD SEC"")"),"(77) 9 9975-7125")</f>
        <v>(77) 9 9975-7125</v>
      </c>
      <c r="O741" s="82" t="str">
        <f>IFERROR(__xludf.DUMMYFUNCTION("IFERROR(VLOOKUP(D741,
IMPORTRANGE(""https://docs.google.com/spreadsheets/d/1MjHtlUikwobi2MaWJgy7tfLeBmhj1u-dRFRs_8GwSoA/edit#gid=0"",""Gestores Escolares!D7:J""),6,0),""VERIFICAR CÓD SEC"")"),"JOSÉ CARLOS ROCHA MACHADO")</f>
        <v>JOSÉ CARLOS ROCHA MACHADO</v>
      </c>
      <c r="P741" s="82" t="str">
        <f>IFERROR(__xludf.DUMMYFUNCTION("IFERROR(VLOOKUP(D741,
IMPORTRANGE(""https://docs.google.com/spreadsheets/d/1MjHtlUikwobi2MaWJgy7tfLeBmhj1u-dRFRs_8GwSoA/edit#gid=0"",""Gestores Escolares!D7:J""),7,0),""VERIFICAR CÓD SEC"")"),"(77) 9 9906-6304")</f>
        <v>(77) 9 9906-6304</v>
      </c>
      <c r="Q741" s="82" t="str">
        <f>IFERROR(__xludf.DUMMYFUNCTION("IFERROR(VLOOKUP(D741,
IMPORTRANGE(""https://docs.google.com/spreadsheets/d/1MjHtlUikwobi2MaWJgy7tfLeBmhj1u-dRFRs_8GwSoA/edit#gid=0"",""Gestores Escolares!D7:m""),9,0),""VERIFICAR CÓD SEC"")"),"GUIOMAR MONTEIRO MOURA RIBEIRO (LICENÇA A GESTANTE PERIODO DE 22.05.26 A 17.11.26)")</f>
        <v>GUIOMAR MONTEIRO MOURA RIBEIRO (LICENÇA A GESTANTE PERIODO DE 22.05.26 A 17.11.26)</v>
      </c>
      <c r="R741" s="82" t="str">
        <f>IFERROR(__xludf.DUMMYFUNCTION("IFERROR(VLOOKUP(D741,
IMPORTRANGE(""https://docs.google.com/spreadsheets/d/1MjHtlUikwobi2MaWJgy7tfLeBmhj1u-dRFRs_8GwSoA/edit#gid=0"",""Gestores Escolares!D7:m""),10,0),""VERIFICAR CÓD SEC"")"),"(77) 9 9986-2523")</f>
        <v>(77) 9 9986-2523</v>
      </c>
      <c r="S741" s="82"/>
      <c r="T741" s="138">
        <v>16.0</v>
      </c>
      <c r="U741" s="369">
        <v>15.0</v>
      </c>
      <c r="V741" s="106">
        <v>0.0</v>
      </c>
      <c r="W741" s="107">
        <v>0.0</v>
      </c>
      <c r="X741" s="107">
        <v>0.0</v>
      </c>
      <c r="Y741" s="107">
        <v>0.0</v>
      </c>
      <c r="Z741" s="80">
        <f t="shared" si="1"/>
        <v>0</v>
      </c>
      <c r="AA741" s="106">
        <v>0.0</v>
      </c>
      <c r="AB741" s="107">
        <v>0.0</v>
      </c>
      <c r="AC741" s="107">
        <v>0.0</v>
      </c>
      <c r="AD741" s="107">
        <v>0.0</v>
      </c>
      <c r="AE741" s="80">
        <f t="shared" si="2"/>
        <v>0</v>
      </c>
      <c r="AF741" s="140">
        <v>0.0</v>
      </c>
      <c r="AG741" s="109">
        <v>0.0</v>
      </c>
      <c r="AH741" s="109">
        <v>0.0</v>
      </c>
      <c r="AI741" s="141">
        <v>0.0</v>
      </c>
      <c r="AJ741" s="80">
        <f t="shared" si="3"/>
        <v>0</v>
      </c>
      <c r="AK741" s="140">
        <v>0.0</v>
      </c>
      <c r="AL741" s="109">
        <v>0.0</v>
      </c>
      <c r="AM741" s="141">
        <v>0.0</v>
      </c>
      <c r="AN741" s="80">
        <f t="shared" si="4"/>
        <v>0</v>
      </c>
      <c r="AO741" s="140">
        <v>0.0</v>
      </c>
      <c r="AP741" s="109">
        <v>0.0</v>
      </c>
      <c r="AQ741" s="109">
        <v>0.0</v>
      </c>
      <c r="AR741" s="80">
        <f t="shared" si="5"/>
        <v>0</v>
      </c>
      <c r="AS741" s="110">
        <v>619.0</v>
      </c>
      <c r="AT741" s="110">
        <v>551.0</v>
      </c>
      <c r="AU741" s="110">
        <v>247.0</v>
      </c>
      <c r="AV741" s="142">
        <v>0.0</v>
      </c>
      <c r="AW741" s="80">
        <f t="shared" si="6"/>
        <v>1417</v>
      </c>
      <c r="AX741" s="113">
        <f t="shared" si="7"/>
        <v>1417</v>
      </c>
      <c r="AY741" s="117">
        <f t="shared" si="8"/>
        <v>1170</v>
      </c>
      <c r="AZ741" s="120">
        <f t="shared" si="9"/>
        <v>247</v>
      </c>
      <c r="BA741" s="115">
        <v>0.0</v>
      </c>
      <c r="BB741" s="89">
        <f t="shared" si="10"/>
        <v>1417</v>
      </c>
      <c r="BC741" s="132" t="s">
        <v>178</v>
      </c>
      <c r="BD741" s="132" t="s">
        <v>522</v>
      </c>
      <c r="BE741" s="132" t="s">
        <v>178</v>
      </c>
      <c r="BF741" s="123"/>
      <c r="BG741" s="83">
        <v>1129742.0</v>
      </c>
      <c r="BH741" s="112"/>
      <c r="BI741" s="112">
        <v>15.0</v>
      </c>
      <c r="BJ741" s="98" t="s">
        <v>155</v>
      </c>
      <c r="BK741" s="99">
        <f t="shared" si="11"/>
        <v>0</v>
      </c>
      <c r="BL741" s="99">
        <f t="shared" si="12"/>
        <v>1170</v>
      </c>
      <c r="BM741" s="99" t="str">
        <f>IFERROR(__xludf.DUMMYFUNCTION("IFERROR(VLOOKUP(BG741,IMPORTRANGE(""https://docs.google.com/spreadsheets/d/1juPI-Fb8LD0YtltB2mlGEnp_R3UVu1t3wSFPzgCyHXE/edit?gid=0#gid=0"",""GERAL!A2:C""),3,0),""-"")"),"-")</f>
        <v>-</v>
      </c>
    </row>
    <row r="742" ht="15.75" customHeight="1">
      <c r="A742" s="111" t="s">
        <v>860</v>
      </c>
      <c r="B742" s="83" t="s">
        <v>3497</v>
      </c>
      <c r="C742" s="83" t="s">
        <v>68</v>
      </c>
      <c r="D742" s="112">
        <v>1179339.0</v>
      </c>
      <c r="E742" s="83"/>
      <c r="F742" s="83">
        <v>2.946148E7</v>
      </c>
      <c r="G742" s="187" t="s">
        <v>3561</v>
      </c>
      <c r="H742" s="108" t="s">
        <v>3562</v>
      </c>
      <c r="I742" s="83" t="s">
        <v>149</v>
      </c>
      <c r="J742" s="136" t="s">
        <v>150</v>
      </c>
      <c r="K742" s="136" t="s">
        <v>151</v>
      </c>
      <c r="L742" s="136" t="s">
        <v>230</v>
      </c>
      <c r="M742" s="82" t="str">
        <f>IFERROR(__xludf.DUMMYFUNCTION("IFERROR(VLOOKUP(D742,
IMPORTRANGE(""https://docs.google.com/spreadsheets/d/1MjHtlUikwobi2MaWJgy7tfLeBmhj1u-dRFRs_8GwSoA/edit#gid=0"",""Gestores Escolares!D7:J""),3,0),""VERIFICAR CÓD SEC"")"),"SUELY PASSOS DE SOUZA")</f>
        <v>SUELY PASSOS DE SOUZA</v>
      </c>
      <c r="N742" s="82" t="str">
        <f>IFERROR(__xludf.DUMMYFUNCTION("IFERROR(VLOOKUP(D742,
IMPORTRANGE(""https://docs.google.com/spreadsheets/d/1MjHtlUikwobi2MaWJgy7tfLeBmhj1u-dRFRs_8GwSoA/edit#gid=0"",""Gestores Escolares!D7:J""),4,0),""VERIFICAR CÓD SEC"")"),"(77) 9 9913-6204")</f>
        <v>(77) 9 9913-6204</v>
      </c>
      <c r="O742" s="82" t="str">
        <f>IFERROR(__xludf.DUMMYFUNCTION("IFERROR(VLOOKUP(D742,
IMPORTRANGE(""https://docs.google.com/spreadsheets/d/1MjHtlUikwobi2MaWJgy7tfLeBmhj1u-dRFRs_8GwSoA/edit#gid=0"",""Gestores Escolares!D7:J""),6,0),""VERIFICAR CÓD SEC"")"),"MARCIO ALEXANDRE DE OLIVEIRA ANDRADA")</f>
        <v>MARCIO ALEXANDRE DE OLIVEIRA ANDRADA</v>
      </c>
      <c r="P742" s="82" t="str">
        <f>IFERROR(__xludf.DUMMYFUNCTION("IFERROR(VLOOKUP(D742,
IMPORTRANGE(""https://docs.google.com/spreadsheets/d/1MjHtlUikwobi2MaWJgy7tfLeBmhj1u-dRFRs_8GwSoA/edit#gid=0"",""Gestores Escolares!D7:J""),7,0),""VERIFICAR CÓD SEC"")"),"(71) 9 8554-1121")</f>
        <v>(71) 9 8554-1121</v>
      </c>
      <c r="Q742" s="82" t="str">
        <f>IFERROR(__xludf.DUMMYFUNCTION("IFERROR(VLOOKUP(D742,
IMPORTRANGE(""https://docs.google.com/spreadsheets/d/1MjHtlUikwobi2MaWJgy7tfLeBmhj1u-dRFRs_8GwSoA/edit#gid=0"",""Gestores Escolares!D7:m""),9,0),""VERIFICAR CÓD SEC"")"),"RODRIGO ARLINDO PORTO WANDERLEY MORENO")</f>
        <v>RODRIGO ARLINDO PORTO WANDERLEY MORENO</v>
      </c>
      <c r="R742" s="82" t="str">
        <f>IFERROR(__xludf.DUMMYFUNCTION("IFERROR(VLOOKUP(D742,
IMPORTRANGE(""https://docs.google.com/spreadsheets/d/1MjHtlUikwobi2MaWJgy7tfLeBmhj1u-dRFRs_8GwSoA/edit#gid=0"",""Gestores Escolares!D7:m""),10,0),""VERIFICAR CÓD SEC"")"),"(77) 9 9174-0395")</f>
        <v>(77) 9 9174-0395</v>
      </c>
      <c r="S742" s="82"/>
      <c r="T742" s="138" t="s">
        <v>171</v>
      </c>
      <c r="U742" s="369" t="s">
        <v>7589</v>
      </c>
      <c r="V742" s="106">
        <v>0.0</v>
      </c>
      <c r="W742" s="107">
        <v>0.0</v>
      </c>
      <c r="X742" s="107">
        <v>0.0</v>
      </c>
      <c r="Y742" s="107">
        <v>0.0</v>
      </c>
      <c r="Z742" s="80">
        <f t="shared" si="1"/>
        <v>0</v>
      </c>
      <c r="AA742" s="106">
        <v>0.0</v>
      </c>
      <c r="AB742" s="107">
        <v>0.0</v>
      </c>
      <c r="AC742" s="107">
        <v>0.0</v>
      </c>
      <c r="AD742" s="107">
        <v>0.0</v>
      </c>
      <c r="AE742" s="80">
        <f t="shared" si="2"/>
        <v>0</v>
      </c>
      <c r="AF742" s="140">
        <v>0.0</v>
      </c>
      <c r="AG742" s="109">
        <v>0.0</v>
      </c>
      <c r="AH742" s="109">
        <v>0.0</v>
      </c>
      <c r="AI742" s="141">
        <v>0.0</v>
      </c>
      <c r="AJ742" s="80">
        <f t="shared" si="3"/>
        <v>0</v>
      </c>
      <c r="AK742" s="140">
        <v>0.0</v>
      </c>
      <c r="AL742" s="109">
        <v>0.0</v>
      </c>
      <c r="AM742" s="141">
        <v>0.0</v>
      </c>
      <c r="AN742" s="80">
        <f t="shared" si="4"/>
        <v>0</v>
      </c>
      <c r="AO742" s="140">
        <v>0.0</v>
      </c>
      <c r="AP742" s="109">
        <v>0.0</v>
      </c>
      <c r="AQ742" s="109">
        <v>0.0</v>
      </c>
      <c r="AR742" s="80">
        <f t="shared" si="5"/>
        <v>0</v>
      </c>
      <c r="AS742" s="110">
        <v>0.0</v>
      </c>
      <c r="AT742" s="110">
        <v>0.0</v>
      </c>
      <c r="AU742" s="110">
        <v>0.0</v>
      </c>
      <c r="AV742" s="142">
        <v>0.0</v>
      </c>
      <c r="AW742" s="80">
        <f t="shared" si="6"/>
        <v>0</v>
      </c>
      <c r="AX742" s="113">
        <f t="shared" si="7"/>
        <v>0</v>
      </c>
      <c r="AY742" s="117">
        <f t="shared" si="8"/>
        <v>0</v>
      </c>
      <c r="AZ742" s="120">
        <f t="shared" si="9"/>
        <v>0</v>
      </c>
      <c r="BA742" s="115">
        <v>0.0</v>
      </c>
      <c r="BB742" s="89">
        <f t="shared" si="10"/>
        <v>0</v>
      </c>
      <c r="BC742" s="132" t="s">
        <v>178</v>
      </c>
      <c r="BD742" s="143" t="s">
        <v>227</v>
      </c>
      <c r="BE742" s="132" t="s">
        <v>178</v>
      </c>
      <c r="BF742" s="156" t="s">
        <v>534</v>
      </c>
      <c r="BG742" s="83">
        <v>1179339.0</v>
      </c>
      <c r="BH742" s="112"/>
      <c r="BI742" s="112">
        <v>0.0</v>
      </c>
      <c r="BJ742" s="98" t="s">
        <v>155</v>
      </c>
      <c r="BK742" s="99">
        <f t="shared" si="11"/>
        <v>0</v>
      </c>
      <c r="BL742" s="99">
        <f t="shared" si="12"/>
        <v>0</v>
      </c>
      <c r="BM742" s="99" t="str">
        <f>IFERROR(__xludf.DUMMYFUNCTION("IFERROR(VLOOKUP(BG742,IMPORTRANGE(""https://docs.google.com/spreadsheets/d/1juPI-Fb8LD0YtltB2mlGEnp_R3UVu1t3wSFPzgCyHXE/edit?gid=0#gid=0"",""GERAL!A2:C""),3,0),""-"")"),"-")</f>
        <v>-</v>
      </c>
    </row>
    <row r="743" ht="15.75" customHeight="1">
      <c r="A743" s="111" t="s">
        <v>860</v>
      </c>
      <c r="B743" s="83" t="s">
        <v>3497</v>
      </c>
      <c r="C743" s="83" t="s">
        <v>68</v>
      </c>
      <c r="D743" s="112">
        <v>1179458.0</v>
      </c>
      <c r="E743" s="83"/>
      <c r="F743" s="83">
        <v>2.9468396E7</v>
      </c>
      <c r="G743" s="187" t="s">
        <v>3564</v>
      </c>
      <c r="H743" s="91" t="s">
        <v>3565</v>
      </c>
      <c r="I743" s="136" t="s">
        <v>3566</v>
      </c>
      <c r="J743" s="136" t="s">
        <v>150</v>
      </c>
      <c r="K743" s="83" t="s">
        <v>151</v>
      </c>
      <c r="L743" s="136" t="s">
        <v>230</v>
      </c>
      <c r="M743" s="82" t="str">
        <f>IFERROR(__xludf.DUMMYFUNCTION("IFERROR(VLOOKUP(D743,
IMPORTRANGE(""https://docs.google.com/spreadsheets/d/1MjHtlUikwobi2MaWJgy7tfLeBmhj1u-dRFRs_8GwSoA/edit#gid=0"",""Gestores Escolares!D7:J""),3,0),""VERIFICAR CÓD SEC"")"),"ITALO ERATOSTENES CHAGAS DE CARVALHO")</f>
        <v>ITALO ERATOSTENES CHAGAS DE CARVALHO</v>
      </c>
      <c r="N743" s="82" t="str">
        <f>IFERROR(__xludf.DUMMYFUNCTION("IFERROR(VLOOKUP(D743,
IMPORTRANGE(""https://docs.google.com/spreadsheets/d/1MjHtlUikwobi2MaWJgy7tfLeBmhj1u-dRFRs_8GwSoA/edit#gid=0"",""Gestores Escolares!D7:J""),4,0),""VERIFICAR CÓD SEC"")"),"(77) 9 9802-8008")</f>
        <v>(77) 9 9802-8008</v>
      </c>
      <c r="O743" s="82" t="str">
        <f>IFERROR(__xludf.DUMMYFUNCTION("IFERROR(VLOOKUP(D743,
IMPORTRANGE(""https://docs.google.com/spreadsheets/d/1MjHtlUikwobi2MaWJgy7tfLeBmhj1u-dRFRs_8GwSoA/edit#gid=0"",""Gestores Escolares!D7:J""),6,0),""VERIFICAR CÓD SEC"")"),"ISA MARCIA DE SOUZA")</f>
        <v>ISA MARCIA DE SOUZA</v>
      </c>
      <c r="P743" s="82" t="str">
        <f>IFERROR(__xludf.DUMMYFUNCTION("IFERROR(VLOOKUP(D743,
IMPORTRANGE(""https://docs.google.com/spreadsheets/d/1MjHtlUikwobi2MaWJgy7tfLeBmhj1u-dRFRs_8GwSoA/edit#gid=0"",""Gestores Escolares!D7:J""),7,0),""VERIFICAR CÓD SEC"")"),"(77) 9 9999-2179")</f>
        <v>(77) 9 9999-2179</v>
      </c>
      <c r="Q743" s="82" t="str">
        <f>IFERROR(__xludf.DUMMYFUNCTION("IFERROR(VLOOKUP(D743,
IMPORTRANGE(""https://docs.google.com/spreadsheets/d/1MjHtlUikwobi2MaWJgy7tfLeBmhj1u-dRFRs_8GwSoA/edit#gid=0"",""Gestores Escolares!D7:m""),9,0),""VERIFICAR CÓD SEC"")"),"SIMONE DOURADO DA SILVA GIARETTON")</f>
        <v>SIMONE DOURADO DA SILVA GIARETTON</v>
      </c>
      <c r="R743" s="82" t="str">
        <f>IFERROR(__xludf.DUMMYFUNCTION("IFERROR(VLOOKUP(D743,
IMPORTRANGE(""https://docs.google.com/spreadsheets/d/1MjHtlUikwobi2MaWJgy7tfLeBmhj1u-dRFRs_8GwSoA/edit#gid=0"",""Gestores Escolares!D7:m""),10,0),""VERIFICAR CÓD SEC"")"),"(77) 9 9198-3902")</f>
        <v>(77) 9 9198-3902</v>
      </c>
      <c r="S743" s="82"/>
      <c r="T743" s="138" t="s">
        <v>171</v>
      </c>
      <c r="U743" s="369" t="s">
        <v>10605</v>
      </c>
      <c r="V743" s="106">
        <v>0.0</v>
      </c>
      <c r="W743" s="107">
        <v>0.0</v>
      </c>
      <c r="X743" s="107">
        <v>0.0</v>
      </c>
      <c r="Y743" s="107">
        <v>0.0</v>
      </c>
      <c r="Z743" s="80">
        <f t="shared" si="1"/>
        <v>0</v>
      </c>
      <c r="AA743" s="106">
        <v>0.0</v>
      </c>
      <c r="AB743" s="107">
        <v>0.0</v>
      </c>
      <c r="AC743" s="107">
        <v>0.0</v>
      </c>
      <c r="AD743" s="107">
        <v>0.0</v>
      </c>
      <c r="AE743" s="80">
        <f t="shared" si="2"/>
        <v>0</v>
      </c>
      <c r="AF743" s="140">
        <v>0.0</v>
      </c>
      <c r="AG743" s="109">
        <v>0.0</v>
      </c>
      <c r="AH743" s="109">
        <v>0.0</v>
      </c>
      <c r="AI743" s="141">
        <v>0.0</v>
      </c>
      <c r="AJ743" s="80">
        <f t="shared" si="3"/>
        <v>0</v>
      </c>
      <c r="AK743" s="140">
        <v>0.0</v>
      </c>
      <c r="AL743" s="109">
        <v>0.0</v>
      </c>
      <c r="AM743" s="141">
        <v>0.0</v>
      </c>
      <c r="AN743" s="80">
        <f t="shared" si="4"/>
        <v>0</v>
      </c>
      <c r="AO743" s="140">
        <v>0.0</v>
      </c>
      <c r="AP743" s="109">
        <v>0.0</v>
      </c>
      <c r="AQ743" s="109">
        <v>0.0</v>
      </c>
      <c r="AR743" s="80">
        <f t="shared" si="5"/>
        <v>0</v>
      </c>
      <c r="AS743" s="110">
        <v>0.0</v>
      </c>
      <c r="AT743" s="110">
        <v>0.0</v>
      </c>
      <c r="AU743" s="110">
        <v>0.0</v>
      </c>
      <c r="AV743" s="142">
        <v>0.0</v>
      </c>
      <c r="AW743" s="80">
        <f t="shared" si="6"/>
        <v>0</v>
      </c>
      <c r="AX743" s="113">
        <f t="shared" si="7"/>
        <v>0</v>
      </c>
      <c r="AY743" s="117">
        <f t="shared" si="8"/>
        <v>0</v>
      </c>
      <c r="AZ743" s="120">
        <f t="shared" si="9"/>
        <v>0</v>
      </c>
      <c r="BA743" s="168">
        <v>0.0</v>
      </c>
      <c r="BB743" s="89">
        <f t="shared" si="10"/>
        <v>0</v>
      </c>
      <c r="BC743" s="143" t="s">
        <v>547</v>
      </c>
      <c r="BD743" s="143" t="s">
        <v>547</v>
      </c>
      <c r="BE743" s="132" t="s">
        <v>178</v>
      </c>
      <c r="BF743" s="361"/>
      <c r="BG743" s="83">
        <v>1179458.0</v>
      </c>
      <c r="BH743" s="112"/>
      <c r="BI743" s="112">
        <v>7.0</v>
      </c>
      <c r="BJ743" s="98" t="s">
        <v>155</v>
      </c>
      <c r="BK743" s="99">
        <f t="shared" si="11"/>
        <v>0</v>
      </c>
      <c r="BL743" s="99">
        <f t="shared" si="12"/>
        <v>0</v>
      </c>
      <c r="BM743" s="99" t="str">
        <f>IFERROR(__xludf.DUMMYFUNCTION("IFERROR(VLOOKUP(BG743,IMPORTRANGE(""https://docs.google.com/spreadsheets/d/1juPI-Fb8LD0YtltB2mlGEnp_R3UVu1t3wSFPzgCyHXE/edit?gid=0#gid=0"",""GERAL!A2:C""),3,0),""-"")"),"-")</f>
        <v>-</v>
      </c>
    </row>
    <row r="744" ht="15.75" customHeight="1">
      <c r="A744" s="111" t="s">
        <v>860</v>
      </c>
      <c r="B744" s="83" t="s">
        <v>3497</v>
      </c>
      <c r="C744" s="83" t="s">
        <v>164</v>
      </c>
      <c r="D744" s="112">
        <v>1129858.0</v>
      </c>
      <c r="E744" s="98">
        <v>1179814.0</v>
      </c>
      <c r="F744" s="98">
        <v>2.9492866E7</v>
      </c>
      <c r="G744" s="119" t="s">
        <v>3570</v>
      </c>
      <c r="H744" s="108" t="s">
        <v>3571</v>
      </c>
      <c r="I744" s="83"/>
      <c r="J744" s="83"/>
      <c r="K744" s="83" t="s">
        <v>168</v>
      </c>
      <c r="L744" s="98" t="s">
        <v>512</v>
      </c>
      <c r="M744" s="82" t="str">
        <f>IFERROR(__xludf.DUMMYFUNCTION("IFERROR(VLOOKUP(D744,
IMPORTRANGE(""https://docs.google.com/spreadsheets/d/1MjHtlUikwobi2MaWJgy7tfLeBmhj1u-dRFRs_8GwSoA/edit#gid=0"",""Gestores Escolares!D7:J""),3,0),""VERIFICAR CÓD SEC"")"),"LIVIA DOS SANTOS RIBEIRO LAURINDO")</f>
        <v>LIVIA DOS SANTOS RIBEIRO LAURINDO</v>
      </c>
      <c r="N744" s="82" t="str">
        <f>IFERROR(__xludf.DUMMYFUNCTION("IFERROR(VLOOKUP(D744,
IMPORTRANGE(""https://docs.google.com/spreadsheets/d/1MjHtlUikwobi2MaWJgy7tfLeBmhj1u-dRFRs_8GwSoA/edit#gid=0"",""Gestores Escolares!D7:J""),4,0),""VERIFICAR CÓD SEC"")"),"(77) 9 9971-5250")</f>
        <v>(77) 9 9971-5250</v>
      </c>
      <c r="O744" s="82" t="str">
        <f>IFERROR(__xludf.DUMMYFUNCTION("IFERROR(VLOOKUP(D744,
IMPORTRANGE(""https://docs.google.com/spreadsheets/d/1MjHtlUikwobi2MaWJgy7tfLeBmhj1u-dRFRs_8GwSoA/edit#gid=0"",""Gestores Escolares!D7:J""),6,0),""VERIFICAR CÓD SEC"")")," MARCELO REGO VIANA")</f>
        <v> MARCELO REGO VIANA</v>
      </c>
      <c r="P744" s="82" t="str">
        <f>IFERROR(__xludf.DUMMYFUNCTION("IFERROR(VLOOKUP(D744,
IMPORTRANGE(""https://docs.google.com/spreadsheets/d/1MjHtlUikwobi2MaWJgy7tfLeBmhj1u-dRFRs_8GwSoA/edit#gid=0"",""Gestores Escolares!D7:J""),7,0),""VERIFICAR CÓD SEC"")"),"(77) 9 9929-9866")</f>
        <v>(77) 9 9929-9866</v>
      </c>
      <c r="Q744" s="82" t="str">
        <f>IFERROR(__xludf.DUMMYFUNCTION("IFERROR(VLOOKUP(D744,
IMPORTRANGE(""https://docs.google.com/spreadsheets/d/1MjHtlUikwobi2MaWJgy7tfLeBmhj1u-dRFRs_8GwSoA/edit#gid=0"",""Gestores Escolares!D7:m""),9,0),""VERIFICAR CÓD SEC"")"),"")</f>
        <v/>
      </c>
      <c r="R744" s="82" t="str">
        <f>IFERROR(__xludf.DUMMYFUNCTION("IFERROR(VLOOKUP(D744,
IMPORTRANGE(""https://docs.google.com/spreadsheets/d/1MjHtlUikwobi2MaWJgy7tfLeBmhj1u-dRFRs_8GwSoA/edit#gid=0"",""Gestores Escolares!D7:m""),10,0),""VERIFICAR CÓD SEC"")"),"")</f>
        <v/>
      </c>
      <c r="S744" s="82"/>
      <c r="T744" s="138"/>
      <c r="U744" s="561"/>
      <c r="V744" s="106">
        <v>0.0</v>
      </c>
      <c r="W744" s="107">
        <v>0.0</v>
      </c>
      <c r="X744" s="107">
        <v>0.0</v>
      </c>
      <c r="Y744" s="107">
        <v>0.0</v>
      </c>
      <c r="Z744" s="80">
        <f t="shared" si="1"/>
        <v>0</v>
      </c>
      <c r="AA744" s="106">
        <v>0.0</v>
      </c>
      <c r="AB744" s="107">
        <v>0.0</v>
      </c>
      <c r="AC744" s="107">
        <v>0.0</v>
      </c>
      <c r="AD744" s="107">
        <v>0.0</v>
      </c>
      <c r="AE744" s="80">
        <f t="shared" si="2"/>
        <v>0</v>
      </c>
      <c r="AF744" s="140">
        <v>0.0</v>
      </c>
      <c r="AG744" s="109">
        <v>0.0</v>
      </c>
      <c r="AH744" s="109">
        <v>0.0</v>
      </c>
      <c r="AI744" s="141">
        <v>0.0</v>
      </c>
      <c r="AJ744" s="80">
        <f t="shared" si="3"/>
        <v>0</v>
      </c>
      <c r="AK744" s="140">
        <v>0.0</v>
      </c>
      <c r="AL744" s="109">
        <v>0.0</v>
      </c>
      <c r="AM744" s="141">
        <v>0.0</v>
      </c>
      <c r="AN744" s="80">
        <f t="shared" si="4"/>
        <v>0</v>
      </c>
      <c r="AO744" s="140">
        <v>0.0</v>
      </c>
      <c r="AP744" s="109">
        <v>0.0</v>
      </c>
      <c r="AQ744" s="109">
        <v>66.0</v>
      </c>
      <c r="AR744" s="80">
        <f t="shared" si="5"/>
        <v>66</v>
      </c>
      <c r="AS744" s="110">
        <v>0.0</v>
      </c>
      <c r="AT744" s="110">
        <v>0.0</v>
      </c>
      <c r="AU744" s="110">
        <v>0.0</v>
      </c>
      <c r="AV744" s="142">
        <v>13.0</v>
      </c>
      <c r="AW744" s="80">
        <f t="shared" si="6"/>
        <v>13</v>
      </c>
      <c r="AX744" s="113">
        <f t="shared" si="7"/>
        <v>79</v>
      </c>
      <c r="AY744" s="117">
        <f t="shared" si="8"/>
        <v>13</v>
      </c>
      <c r="AZ744" s="120">
        <f t="shared" si="9"/>
        <v>66</v>
      </c>
      <c r="BA744" s="115">
        <v>0.0</v>
      </c>
      <c r="BB744" s="89">
        <f t="shared" si="10"/>
        <v>79</v>
      </c>
      <c r="BC744" s="132"/>
      <c r="BD744" s="132"/>
      <c r="BE744" s="132"/>
      <c r="BF744" s="156"/>
      <c r="BG744" s="98">
        <v>1179814.0</v>
      </c>
      <c r="BH744" s="112"/>
      <c r="BI744" s="112"/>
      <c r="BJ744" s="98"/>
      <c r="BK744" s="99">
        <f t="shared" si="11"/>
        <v>13</v>
      </c>
      <c r="BL744" s="99">
        <f t="shared" si="12"/>
        <v>0</v>
      </c>
      <c r="BM744" s="99" t="str">
        <f>IFERROR(__xludf.DUMMYFUNCTION("IFERROR(VLOOKUP(BG744,IMPORTRANGE(""https://docs.google.com/spreadsheets/d/1juPI-Fb8LD0YtltB2mlGEnp_R3UVu1t3wSFPzgCyHXE/edit?gid=0#gid=0"",""GERAL!A2:C""),3,0),""-"")"),"-")</f>
        <v>-</v>
      </c>
    </row>
    <row r="745" ht="15.75" customHeight="1">
      <c r="A745" s="111" t="s">
        <v>860</v>
      </c>
      <c r="B745" s="83" t="s">
        <v>3497</v>
      </c>
      <c r="C745" s="83" t="s">
        <v>164</v>
      </c>
      <c r="D745" s="112">
        <v>1129718.0</v>
      </c>
      <c r="E745" s="83">
        <v>1179673.0</v>
      </c>
      <c r="F745" s="98">
        <v>2.9491908E7</v>
      </c>
      <c r="G745" s="114" t="s">
        <v>3573</v>
      </c>
      <c r="H745" s="91" t="s">
        <v>3574</v>
      </c>
      <c r="I745" s="83" t="s">
        <v>149</v>
      </c>
      <c r="J745" s="83" t="s">
        <v>150</v>
      </c>
      <c r="K745" s="83" t="s">
        <v>168</v>
      </c>
      <c r="L745" s="83" t="s">
        <v>169</v>
      </c>
      <c r="M745" s="82" t="str">
        <f>IFERROR(__xludf.DUMMYFUNCTION("IFERROR(VLOOKUP(D745,
IMPORTRANGE(""https://docs.google.com/spreadsheets/d/1MjHtlUikwobi2MaWJgy7tfLeBmhj1u-dRFRs_8GwSoA/edit#gid=0"",""Gestores Escolares!D7:J""),3,0),""VERIFICAR CÓD SEC"")"),"STEFANI LAIRA DUTRA FERREIRA")</f>
        <v>STEFANI LAIRA DUTRA FERREIRA</v>
      </c>
      <c r="N745" s="82" t="str">
        <f>IFERROR(__xludf.DUMMYFUNCTION("IFERROR(VLOOKUP(D745,
IMPORTRANGE(""https://docs.google.com/spreadsheets/d/1MjHtlUikwobi2MaWJgy7tfLeBmhj1u-dRFRs_8GwSoA/edit#gid=0"",""Gestores Escolares!D7:J""),4,0),""VERIFICAR CÓD SEC"")"),"(77) 9 9831-1436")</f>
        <v>(77) 9 9831-1436</v>
      </c>
      <c r="O745" s="82" t="str">
        <f>IFERROR(__xludf.DUMMYFUNCTION("IFERROR(VLOOKUP(D745,
IMPORTRANGE(""https://docs.google.com/spreadsheets/d/1MjHtlUikwobi2MaWJgy7tfLeBmhj1u-dRFRs_8GwSoA/edit#gid=0"",""Gestores Escolares!D7:J""),6,0),""VERIFICAR CÓD SEC"")"),"ROBERTA MARMORE E SILVA GALANTE")</f>
        <v>ROBERTA MARMORE E SILVA GALANTE</v>
      </c>
      <c r="P745" s="82" t="str">
        <f>IFERROR(__xludf.DUMMYFUNCTION("IFERROR(VLOOKUP(D745,
IMPORTRANGE(""https://docs.google.com/spreadsheets/d/1MjHtlUikwobi2MaWJgy7tfLeBmhj1u-dRFRs_8GwSoA/edit#gid=0"",""Gestores Escolares!D7:J""),7,0),""VERIFICAR CÓD SEC"")"),"(77) 9 9115-2108")</f>
        <v>(77) 9 9115-2108</v>
      </c>
      <c r="Q745" s="82" t="str">
        <f>IFERROR(__xludf.DUMMYFUNCTION("IFERROR(VLOOKUP(D745,
IMPORTRANGE(""https://docs.google.com/spreadsheets/d/1MjHtlUikwobi2MaWJgy7tfLeBmhj1u-dRFRs_8GwSoA/edit#gid=0"",""Gestores Escolares!D7:m""),9,0),""VERIFICAR CÓD SEC"")"),"ALINE GUEDES BARBOSA TEIXEIRA")</f>
        <v>ALINE GUEDES BARBOSA TEIXEIRA</v>
      </c>
      <c r="R745" s="82" t="str">
        <f>IFERROR(__xludf.DUMMYFUNCTION("IFERROR(VLOOKUP(D745,
IMPORTRANGE(""https://docs.google.com/spreadsheets/d/1MjHtlUikwobi2MaWJgy7tfLeBmhj1u-dRFRs_8GwSoA/edit#gid=0"",""Gestores Escolares!D7:m""),10,0),""VERIFICAR CÓD SEC"")"),"(77) 9 9988-3616")</f>
        <v>(77) 9 9988-3616</v>
      </c>
      <c r="S745" s="82"/>
      <c r="T745" s="138">
        <v>6.0</v>
      </c>
      <c r="U745" s="561">
        <v>3.0</v>
      </c>
      <c r="V745" s="106">
        <v>0.0</v>
      </c>
      <c r="W745" s="107">
        <v>0.0</v>
      </c>
      <c r="X745" s="107">
        <v>0.0</v>
      </c>
      <c r="Y745" s="107">
        <v>0.0</v>
      </c>
      <c r="Z745" s="80">
        <f t="shared" si="1"/>
        <v>0</v>
      </c>
      <c r="AA745" s="106">
        <v>0.0</v>
      </c>
      <c r="AB745" s="107">
        <v>0.0</v>
      </c>
      <c r="AC745" s="107">
        <v>0.0</v>
      </c>
      <c r="AD745" s="107">
        <v>0.0</v>
      </c>
      <c r="AE745" s="80">
        <f t="shared" si="2"/>
        <v>0</v>
      </c>
      <c r="AF745" s="140">
        <v>0.0</v>
      </c>
      <c r="AG745" s="109">
        <v>0.0</v>
      </c>
      <c r="AH745" s="109">
        <v>0.0</v>
      </c>
      <c r="AI745" s="141">
        <v>0.0</v>
      </c>
      <c r="AJ745" s="80">
        <f t="shared" si="3"/>
        <v>0</v>
      </c>
      <c r="AK745" s="140">
        <v>38.0</v>
      </c>
      <c r="AL745" s="109">
        <v>41.0</v>
      </c>
      <c r="AM745" s="141">
        <v>35.0</v>
      </c>
      <c r="AN745" s="80">
        <f t="shared" si="4"/>
        <v>114</v>
      </c>
      <c r="AO745" s="140">
        <v>17.0</v>
      </c>
      <c r="AP745" s="109">
        <v>0.0</v>
      </c>
      <c r="AQ745" s="109">
        <v>45.0</v>
      </c>
      <c r="AR745" s="80">
        <f t="shared" si="5"/>
        <v>62</v>
      </c>
      <c r="AS745" s="110">
        <v>0.0</v>
      </c>
      <c r="AT745" s="110">
        <v>0.0</v>
      </c>
      <c r="AU745" s="110">
        <v>0.0</v>
      </c>
      <c r="AV745" s="142">
        <v>0.0</v>
      </c>
      <c r="AW745" s="80">
        <f t="shared" si="6"/>
        <v>0</v>
      </c>
      <c r="AX745" s="113">
        <f t="shared" si="7"/>
        <v>176</v>
      </c>
      <c r="AY745" s="117">
        <f t="shared" si="8"/>
        <v>96</v>
      </c>
      <c r="AZ745" s="120">
        <f t="shared" si="9"/>
        <v>80</v>
      </c>
      <c r="BA745" s="115">
        <v>0.0</v>
      </c>
      <c r="BB745" s="89">
        <f t="shared" si="10"/>
        <v>176</v>
      </c>
      <c r="BC745" s="132" t="s">
        <v>563</v>
      </c>
      <c r="BD745" s="132" t="s">
        <v>178</v>
      </c>
      <c r="BE745" s="132" t="s">
        <v>178</v>
      </c>
      <c r="BF745" s="156"/>
      <c r="BG745" s="83">
        <v>1179673.0</v>
      </c>
      <c r="BH745" s="112"/>
      <c r="BI745" s="112">
        <v>3.0</v>
      </c>
      <c r="BJ745" s="98" t="s">
        <v>155</v>
      </c>
      <c r="BK745" s="99">
        <f t="shared" si="11"/>
        <v>0</v>
      </c>
      <c r="BL745" s="99">
        <f t="shared" si="12"/>
        <v>96</v>
      </c>
      <c r="BM745" s="99" t="str">
        <f>IFERROR(__xludf.DUMMYFUNCTION("IFERROR(VLOOKUP(BG745,IMPORTRANGE(""https://docs.google.com/spreadsheets/d/1juPI-Fb8LD0YtltB2mlGEnp_R3UVu1t3wSFPzgCyHXE/edit?gid=0#gid=0"",""GERAL!A2:C""),3,0),""-"")"),"-")</f>
        <v>-</v>
      </c>
    </row>
    <row r="746" ht="15.75" customHeight="1">
      <c r="A746" s="111" t="s">
        <v>860</v>
      </c>
      <c r="B746" s="83" t="s">
        <v>3497</v>
      </c>
      <c r="C746" s="83" t="s">
        <v>164</v>
      </c>
      <c r="D746" s="112">
        <v>1179339.0</v>
      </c>
      <c r="E746" s="83">
        <v>1178869.0</v>
      </c>
      <c r="F746" s="98">
        <v>2.946148E7</v>
      </c>
      <c r="G746" s="114" t="s">
        <v>3576</v>
      </c>
      <c r="H746" s="91" t="s">
        <v>3577</v>
      </c>
      <c r="I746" s="83" t="s">
        <v>149</v>
      </c>
      <c r="J746" s="83" t="s">
        <v>568</v>
      </c>
      <c r="K746" s="83" t="s">
        <v>168</v>
      </c>
      <c r="L746" s="83" t="s">
        <v>169</v>
      </c>
      <c r="M746" s="82" t="str">
        <f>IFERROR(__xludf.DUMMYFUNCTION("IFERROR(VLOOKUP(D746,
IMPORTRANGE(""https://docs.google.com/spreadsheets/d/1MjHtlUikwobi2MaWJgy7tfLeBmhj1u-dRFRs_8GwSoA/edit#gid=0"",""Gestores Escolares!D7:J""),3,0),""VERIFICAR CÓD SEC"")"),"SUELY PASSOS DE SOUZA")</f>
        <v>SUELY PASSOS DE SOUZA</v>
      </c>
      <c r="N746" s="82" t="str">
        <f>IFERROR(__xludf.DUMMYFUNCTION("IFERROR(VLOOKUP(D746,
IMPORTRANGE(""https://docs.google.com/spreadsheets/d/1MjHtlUikwobi2MaWJgy7tfLeBmhj1u-dRFRs_8GwSoA/edit#gid=0"",""Gestores Escolares!D7:J""),4,0),""VERIFICAR CÓD SEC"")"),"(77) 9 9913-6204")</f>
        <v>(77) 9 9913-6204</v>
      </c>
      <c r="O746" s="82" t="str">
        <f>IFERROR(__xludf.DUMMYFUNCTION("IFERROR(VLOOKUP(D746,
IMPORTRANGE(""https://docs.google.com/spreadsheets/d/1MjHtlUikwobi2MaWJgy7tfLeBmhj1u-dRFRs_8GwSoA/edit#gid=0"",""Gestores Escolares!D7:J""),6,0),""VERIFICAR CÓD SEC"")"),"MARCIO ALEXANDRE DE OLIVEIRA ANDRADA")</f>
        <v>MARCIO ALEXANDRE DE OLIVEIRA ANDRADA</v>
      </c>
      <c r="P746" s="82" t="str">
        <f>IFERROR(__xludf.DUMMYFUNCTION("IFERROR(VLOOKUP(D746,
IMPORTRANGE(""https://docs.google.com/spreadsheets/d/1MjHtlUikwobi2MaWJgy7tfLeBmhj1u-dRFRs_8GwSoA/edit#gid=0"",""Gestores Escolares!D7:J""),7,0),""VERIFICAR CÓD SEC"")"),"(71) 9 8554-1121")</f>
        <v>(71) 9 8554-1121</v>
      </c>
      <c r="Q746" s="82" t="str">
        <f>IFERROR(__xludf.DUMMYFUNCTION("IFERROR(VLOOKUP(D746,
IMPORTRANGE(""https://docs.google.com/spreadsheets/d/1MjHtlUikwobi2MaWJgy7tfLeBmhj1u-dRFRs_8GwSoA/edit#gid=0"",""Gestores Escolares!D7:m""),9,0),""VERIFICAR CÓD SEC"")"),"RODRIGO ARLINDO PORTO WANDERLEY MORENO")</f>
        <v>RODRIGO ARLINDO PORTO WANDERLEY MORENO</v>
      </c>
      <c r="R746" s="82" t="str">
        <f>IFERROR(__xludf.DUMMYFUNCTION("IFERROR(VLOOKUP(D746,
IMPORTRANGE(""https://docs.google.com/spreadsheets/d/1MjHtlUikwobi2MaWJgy7tfLeBmhj1u-dRFRs_8GwSoA/edit#gid=0"",""Gestores Escolares!D7:m""),10,0),""VERIFICAR CÓD SEC"")"),"(77) 9 9174-0395")</f>
        <v>(77) 9 9174-0395</v>
      </c>
      <c r="S746" s="82"/>
      <c r="T746" s="138">
        <v>3.0</v>
      </c>
      <c r="U746" s="561">
        <v>3.0</v>
      </c>
      <c r="V746" s="106">
        <v>0.0</v>
      </c>
      <c r="W746" s="107">
        <v>0.0</v>
      </c>
      <c r="X746" s="107">
        <v>0.0</v>
      </c>
      <c r="Y746" s="107">
        <v>0.0</v>
      </c>
      <c r="Z746" s="80">
        <f t="shared" si="1"/>
        <v>0</v>
      </c>
      <c r="AA746" s="106">
        <v>0.0</v>
      </c>
      <c r="AB746" s="107">
        <v>0.0</v>
      </c>
      <c r="AC746" s="107">
        <v>0.0</v>
      </c>
      <c r="AD746" s="107">
        <v>0.0</v>
      </c>
      <c r="AE746" s="80">
        <f t="shared" si="2"/>
        <v>0</v>
      </c>
      <c r="AF746" s="140">
        <v>0.0</v>
      </c>
      <c r="AG746" s="109">
        <v>0.0</v>
      </c>
      <c r="AH746" s="109">
        <v>34.0</v>
      </c>
      <c r="AI746" s="141">
        <v>0.0</v>
      </c>
      <c r="AJ746" s="80">
        <f t="shared" si="3"/>
        <v>34</v>
      </c>
      <c r="AK746" s="140">
        <v>0.0</v>
      </c>
      <c r="AL746" s="109">
        <v>0.0</v>
      </c>
      <c r="AM746" s="141">
        <v>0.0</v>
      </c>
      <c r="AN746" s="80">
        <f t="shared" si="4"/>
        <v>0</v>
      </c>
      <c r="AO746" s="140">
        <v>0.0</v>
      </c>
      <c r="AP746" s="109">
        <v>0.0</v>
      </c>
      <c r="AQ746" s="109">
        <v>0.0</v>
      </c>
      <c r="AR746" s="80">
        <f t="shared" si="5"/>
        <v>0</v>
      </c>
      <c r="AS746" s="110">
        <v>0.0</v>
      </c>
      <c r="AT746" s="110">
        <v>0.0</v>
      </c>
      <c r="AU746" s="110">
        <v>0.0</v>
      </c>
      <c r="AV746" s="142">
        <v>0.0</v>
      </c>
      <c r="AW746" s="80">
        <f t="shared" si="6"/>
        <v>0</v>
      </c>
      <c r="AX746" s="113">
        <f t="shared" si="7"/>
        <v>34</v>
      </c>
      <c r="AY746" s="117">
        <f t="shared" si="8"/>
        <v>0</v>
      </c>
      <c r="AZ746" s="120">
        <f t="shared" si="9"/>
        <v>34</v>
      </c>
      <c r="BA746" s="115">
        <v>0.0</v>
      </c>
      <c r="BB746" s="89">
        <f t="shared" si="10"/>
        <v>34</v>
      </c>
      <c r="BC746" s="132" t="s">
        <v>178</v>
      </c>
      <c r="BD746" s="143" t="s">
        <v>227</v>
      </c>
      <c r="BE746" s="132" t="s">
        <v>178</v>
      </c>
      <c r="BF746" s="123"/>
      <c r="BG746" s="83">
        <v>1178869.0</v>
      </c>
      <c r="BH746" s="112"/>
      <c r="BI746" s="112">
        <v>3.0</v>
      </c>
      <c r="BJ746" s="98" t="s">
        <v>155</v>
      </c>
      <c r="BK746" s="99">
        <f t="shared" si="11"/>
        <v>0</v>
      </c>
      <c r="BL746" s="99">
        <f t="shared" si="12"/>
        <v>0</v>
      </c>
      <c r="BM746" s="99" t="str">
        <f>IFERROR(__xludf.DUMMYFUNCTION("IFERROR(VLOOKUP(BG746,IMPORTRANGE(""https://docs.google.com/spreadsheets/d/1juPI-Fb8LD0YtltB2mlGEnp_R3UVu1t3wSFPzgCyHXE/edit?gid=0#gid=0"",""GERAL!A2:C""),3,0),""-"")"),"-")</f>
        <v>-</v>
      </c>
    </row>
    <row r="747" ht="15.75" customHeight="1">
      <c r="A747" s="111" t="s">
        <v>860</v>
      </c>
      <c r="B747" s="83" t="s">
        <v>3497</v>
      </c>
      <c r="C747" s="83" t="s">
        <v>164</v>
      </c>
      <c r="D747" s="112">
        <v>1179339.0</v>
      </c>
      <c r="E747" s="83">
        <v>1179169.0</v>
      </c>
      <c r="F747" s="98">
        <v>2.946148E7</v>
      </c>
      <c r="G747" s="114" t="s">
        <v>3580</v>
      </c>
      <c r="H747" s="91" t="s">
        <v>3581</v>
      </c>
      <c r="I747" s="83" t="s">
        <v>149</v>
      </c>
      <c r="J747" s="83" t="s">
        <v>244</v>
      </c>
      <c r="K747" s="83" t="s">
        <v>168</v>
      </c>
      <c r="L747" s="83" t="s">
        <v>169</v>
      </c>
      <c r="M747" s="82" t="str">
        <f>IFERROR(__xludf.DUMMYFUNCTION("IFERROR(VLOOKUP(D747,
IMPORTRANGE(""https://docs.google.com/spreadsheets/d/1MjHtlUikwobi2MaWJgy7tfLeBmhj1u-dRFRs_8GwSoA/edit#gid=0"",""Gestores Escolares!D7:J""),3,0),""VERIFICAR CÓD SEC"")"),"SUELY PASSOS DE SOUZA")</f>
        <v>SUELY PASSOS DE SOUZA</v>
      </c>
      <c r="N747" s="82" t="str">
        <f>IFERROR(__xludf.DUMMYFUNCTION("IFERROR(VLOOKUP(D747,
IMPORTRANGE(""https://docs.google.com/spreadsheets/d/1MjHtlUikwobi2MaWJgy7tfLeBmhj1u-dRFRs_8GwSoA/edit#gid=0"",""Gestores Escolares!D7:J""),4,0),""VERIFICAR CÓD SEC"")"),"(77) 9 9913-6204")</f>
        <v>(77) 9 9913-6204</v>
      </c>
      <c r="O747" s="82" t="str">
        <f>IFERROR(__xludf.DUMMYFUNCTION("IFERROR(VLOOKUP(D747,
IMPORTRANGE(""https://docs.google.com/spreadsheets/d/1MjHtlUikwobi2MaWJgy7tfLeBmhj1u-dRFRs_8GwSoA/edit#gid=0"",""Gestores Escolares!D7:J""),6,0),""VERIFICAR CÓD SEC"")"),"MARCIO ALEXANDRE DE OLIVEIRA ANDRADA")</f>
        <v>MARCIO ALEXANDRE DE OLIVEIRA ANDRADA</v>
      </c>
      <c r="P747" s="82" t="str">
        <f>IFERROR(__xludf.DUMMYFUNCTION("IFERROR(VLOOKUP(D747,
IMPORTRANGE(""https://docs.google.com/spreadsheets/d/1MjHtlUikwobi2MaWJgy7tfLeBmhj1u-dRFRs_8GwSoA/edit#gid=0"",""Gestores Escolares!D7:J""),7,0),""VERIFICAR CÓD SEC"")"),"(71) 9 8554-1121")</f>
        <v>(71) 9 8554-1121</v>
      </c>
      <c r="Q747" s="82" t="str">
        <f>IFERROR(__xludf.DUMMYFUNCTION("IFERROR(VLOOKUP(D747,
IMPORTRANGE(""https://docs.google.com/spreadsheets/d/1MjHtlUikwobi2MaWJgy7tfLeBmhj1u-dRFRs_8GwSoA/edit#gid=0"",""Gestores Escolares!D7:m""),9,0),""VERIFICAR CÓD SEC"")"),"RODRIGO ARLINDO PORTO WANDERLEY MORENO")</f>
        <v>RODRIGO ARLINDO PORTO WANDERLEY MORENO</v>
      </c>
      <c r="R747" s="82" t="str">
        <f>IFERROR(__xludf.DUMMYFUNCTION("IFERROR(VLOOKUP(D747,
IMPORTRANGE(""https://docs.google.com/spreadsheets/d/1MjHtlUikwobi2MaWJgy7tfLeBmhj1u-dRFRs_8GwSoA/edit#gid=0"",""Gestores Escolares!D7:m""),10,0),""VERIFICAR CÓD SEC"")"),"(77) 9 9174-0395")</f>
        <v>(77) 9 9174-0395</v>
      </c>
      <c r="S747" s="82"/>
      <c r="T747" s="138">
        <v>1.0</v>
      </c>
      <c r="U747" s="561">
        <v>1.0</v>
      </c>
      <c r="V747" s="106">
        <v>0.0</v>
      </c>
      <c r="W747" s="107">
        <v>0.0</v>
      </c>
      <c r="X747" s="107">
        <v>0.0</v>
      </c>
      <c r="Y747" s="107">
        <v>0.0</v>
      </c>
      <c r="Z747" s="80">
        <f t="shared" si="1"/>
        <v>0</v>
      </c>
      <c r="AA747" s="106">
        <v>0.0</v>
      </c>
      <c r="AB747" s="107">
        <v>0.0</v>
      </c>
      <c r="AC747" s="107">
        <v>0.0</v>
      </c>
      <c r="AD747" s="107">
        <v>0.0</v>
      </c>
      <c r="AE747" s="80">
        <f t="shared" si="2"/>
        <v>0</v>
      </c>
      <c r="AF747" s="140">
        <v>26.0</v>
      </c>
      <c r="AG747" s="109">
        <v>0.0</v>
      </c>
      <c r="AH747" s="109">
        <v>11.0</v>
      </c>
      <c r="AI747" s="141">
        <v>0.0</v>
      </c>
      <c r="AJ747" s="80">
        <f t="shared" si="3"/>
        <v>37</v>
      </c>
      <c r="AK747" s="140">
        <v>0.0</v>
      </c>
      <c r="AL747" s="109">
        <v>0.0</v>
      </c>
      <c r="AM747" s="141">
        <v>0.0</v>
      </c>
      <c r="AN747" s="80">
        <f t="shared" si="4"/>
        <v>0</v>
      </c>
      <c r="AO747" s="140">
        <v>0.0</v>
      </c>
      <c r="AP747" s="109">
        <v>0.0</v>
      </c>
      <c r="AQ747" s="109">
        <v>0.0</v>
      </c>
      <c r="AR747" s="80">
        <f t="shared" si="5"/>
        <v>0</v>
      </c>
      <c r="AS747" s="110">
        <v>0.0</v>
      </c>
      <c r="AT747" s="110">
        <v>0.0</v>
      </c>
      <c r="AU747" s="110">
        <v>0.0</v>
      </c>
      <c r="AV747" s="142">
        <v>0.0</v>
      </c>
      <c r="AW747" s="80">
        <f t="shared" si="6"/>
        <v>0</v>
      </c>
      <c r="AX747" s="113">
        <f t="shared" si="7"/>
        <v>37</v>
      </c>
      <c r="AY747" s="117">
        <f t="shared" si="8"/>
        <v>26</v>
      </c>
      <c r="AZ747" s="120">
        <f t="shared" si="9"/>
        <v>11</v>
      </c>
      <c r="BA747" s="115">
        <v>0.0</v>
      </c>
      <c r="BB747" s="89">
        <f t="shared" si="10"/>
        <v>37</v>
      </c>
      <c r="BC747" s="132" t="s">
        <v>178</v>
      </c>
      <c r="BD747" s="143" t="s">
        <v>227</v>
      </c>
      <c r="BE747" s="132" t="s">
        <v>178</v>
      </c>
      <c r="BF747" s="123"/>
      <c r="BG747" s="83">
        <v>1179169.0</v>
      </c>
      <c r="BH747" s="112"/>
      <c r="BI747" s="112">
        <v>1.0</v>
      </c>
      <c r="BJ747" s="98" t="s">
        <v>155</v>
      </c>
      <c r="BK747" s="99">
        <f t="shared" si="11"/>
        <v>0</v>
      </c>
      <c r="BL747" s="99">
        <f t="shared" si="12"/>
        <v>26</v>
      </c>
      <c r="BM747" s="99" t="str">
        <f>IFERROR(__xludf.DUMMYFUNCTION("IFERROR(VLOOKUP(BG747,IMPORTRANGE(""https://docs.google.com/spreadsheets/d/1juPI-Fb8LD0YtltB2mlGEnp_R3UVu1t3wSFPzgCyHXE/edit?gid=0#gid=0"",""GERAL!A2:C""),3,0),""-"")"),"-")</f>
        <v>-</v>
      </c>
    </row>
    <row r="748" ht="15.75" customHeight="1">
      <c r="A748" s="111" t="s">
        <v>860</v>
      </c>
      <c r="B748" s="83" t="s">
        <v>3497</v>
      </c>
      <c r="C748" s="83" t="s">
        <v>164</v>
      </c>
      <c r="D748" s="112">
        <v>1179339.0</v>
      </c>
      <c r="E748" s="83">
        <v>1179265.0</v>
      </c>
      <c r="F748" s="98">
        <v>2.946148E7</v>
      </c>
      <c r="G748" s="114" t="s">
        <v>3584</v>
      </c>
      <c r="H748" s="91" t="s">
        <v>3585</v>
      </c>
      <c r="I748" s="83" t="s">
        <v>149</v>
      </c>
      <c r="J748" s="83" t="s">
        <v>694</v>
      </c>
      <c r="K748" s="83" t="s">
        <v>168</v>
      </c>
      <c r="L748" s="83" t="s">
        <v>169</v>
      </c>
      <c r="M748" s="82" t="str">
        <f>IFERROR(__xludf.DUMMYFUNCTION("IFERROR(VLOOKUP(D748,
IMPORTRANGE(""https://docs.google.com/spreadsheets/d/1MjHtlUikwobi2MaWJgy7tfLeBmhj1u-dRFRs_8GwSoA/edit#gid=0"",""Gestores Escolares!D7:J""),3,0),""VERIFICAR CÓD SEC"")"),"SUELY PASSOS DE SOUZA")</f>
        <v>SUELY PASSOS DE SOUZA</v>
      </c>
      <c r="N748" s="82" t="str">
        <f>IFERROR(__xludf.DUMMYFUNCTION("IFERROR(VLOOKUP(D748,
IMPORTRANGE(""https://docs.google.com/spreadsheets/d/1MjHtlUikwobi2MaWJgy7tfLeBmhj1u-dRFRs_8GwSoA/edit#gid=0"",""Gestores Escolares!D7:J""),4,0),""VERIFICAR CÓD SEC"")"),"(77) 9 9913-6204")</f>
        <v>(77) 9 9913-6204</v>
      </c>
      <c r="O748" s="82" t="str">
        <f>IFERROR(__xludf.DUMMYFUNCTION("IFERROR(VLOOKUP(D748,
IMPORTRANGE(""https://docs.google.com/spreadsheets/d/1MjHtlUikwobi2MaWJgy7tfLeBmhj1u-dRFRs_8GwSoA/edit#gid=0"",""Gestores Escolares!D7:J""),6,0),""VERIFICAR CÓD SEC"")"),"MARCIO ALEXANDRE DE OLIVEIRA ANDRADA")</f>
        <v>MARCIO ALEXANDRE DE OLIVEIRA ANDRADA</v>
      </c>
      <c r="P748" s="82" t="str">
        <f>IFERROR(__xludf.DUMMYFUNCTION("IFERROR(VLOOKUP(D748,
IMPORTRANGE(""https://docs.google.com/spreadsheets/d/1MjHtlUikwobi2MaWJgy7tfLeBmhj1u-dRFRs_8GwSoA/edit#gid=0"",""Gestores Escolares!D7:J""),7,0),""VERIFICAR CÓD SEC"")"),"(71) 9 8554-1121")</f>
        <v>(71) 9 8554-1121</v>
      </c>
      <c r="Q748" s="82" t="str">
        <f>IFERROR(__xludf.DUMMYFUNCTION("IFERROR(VLOOKUP(D748,
IMPORTRANGE(""https://docs.google.com/spreadsheets/d/1MjHtlUikwobi2MaWJgy7tfLeBmhj1u-dRFRs_8GwSoA/edit#gid=0"",""Gestores Escolares!D7:m""),9,0),""VERIFICAR CÓD SEC"")"),"RODRIGO ARLINDO PORTO WANDERLEY MORENO")</f>
        <v>RODRIGO ARLINDO PORTO WANDERLEY MORENO</v>
      </c>
      <c r="R748" s="82" t="str">
        <f>IFERROR(__xludf.DUMMYFUNCTION("IFERROR(VLOOKUP(D748,
IMPORTRANGE(""https://docs.google.com/spreadsheets/d/1MjHtlUikwobi2MaWJgy7tfLeBmhj1u-dRFRs_8GwSoA/edit#gid=0"",""Gestores Escolares!D7:m""),10,0),""VERIFICAR CÓD SEC"")"),"(77) 9 9174-0395")</f>
        <v>(77) 9 9174-0395</v>
      </c>
      <c r="S748" s="82"/>
      <c r="T748" s="138">
        <v>2.0</v>
      </c>
      <c r="U748" s="561">
        <v>2.0</v>
      </c>
      <c r="V748" s="106">
        <v>0.0</v>
      </c>
      <c r="W748" s="107">
        <v>0.0</v>
      </c>
      <c r="X748" s="107">
        <v>0.0</v>
      </c>
      <c r="Y748" s="107">
        <v>0.0</v>
      </c>
      <c r="Z748" s="80">
        <f t="shared" si="1"/>
        <v>0</v>
      </c>
      <c r="AA748" s="106">
        <v>0.0</v>
      </c>
      <c r="AB748" s="107">
        <v>0.0</v>
      </c>
      <c r="AC748" s="107">
        <v>0.0</v>
      </c>
      <c r="AD748" s="107">
        <v>0.0</v>
      </c>
      <c r="AE748" s="80">
        <f t="shared" si="2"/>
        <v>0</v>
      </c>
      <c r="AF748" s="140">
        <v>0.0</v>
      </c>
      <c r="AG748" s="109">
        <v>0.0</v>
      </c>
      <c r="AH748" s="109">
        <v>36.0</v>
      </c>
      <c r="AI748" s="141">
        <v>0.0</v>
      </c>
      <c r="AJ748" s="80">
        <f t="shared" si="3"/>
        <v>36</v>
      </c>
      <c r="AK748" s="140">
        <v>0.0</v>
      </c>
      <c r="AL748" s="109">
        <v>0.0</v>
      </c>
      <c r="AM748" s="141">
        <v>0.0</v>
      </c>
      <c r="AN748" s="80">
        <f t="shared" si="4"/>
        <v>0</v>
      </c>
      <c r="AO748" s="140">
        <v>0.0</v>
      </c>
      <c r="AP748" s="109">
        <v>0.0</v>
      </c>
      <c r="AQ748" s="109">
        <v>0.0</v>
      </c>
      <c r="AR748" s="80">
        <f t="shared" si="5"/>
        <v>0</v>
      </c>
      <c r="AS748" s="110">
        <v>0.0</v>
      </c>
      <c r="AT748" s="110">
        <v>0.0</v>
      </c>
      <c r="AU748" s="110">
        <v>0.0</v>
      </c>
      <c r="AV748" s="142">
        <v>0.0</v>
      </c>
      <c r="AW748" s="80">
        <f t="shared" si="6"/>
        <v>0</v>
      </c>
      <c r="AX748" s="113">
        <f t="shared" si="7"/>
        <v>36</v>
      </c>
      <c r="AY748" s="117">
        <f t="shared" si="8"/>
        <v>0</v>
      </c>
      <c r="AZ748" s="120">
        <f t="shared" si="9"/>
        <v>36</v>
      </c>
      <c r="BA748" s="115">
        <v>0.0</v>
      </c>
      <c r="BB748" s="89">
        <f t="shared" si="10"/>
        <v>36</v>
      </c>
      <c r="BC748" s="132" t="s">
        <v>178</v>
      </c>
      <c r="BD748" s="143" t="s">
        <v>227</v>
      </c>
      <c r="BE748" s="132" t="s">
        <v>178</v>
      </c>
      <c r="BF748" s="156"/>
      <c r="BG748" s="83">
        <v>1179265.0</v>
      </c>
      <c r="BH748" s="112"/>
      <c r="BI748" s="112">
        <v>2.0</v>
      </c>
      <c r="BJ748" s="98" t="s">
        <v>155</v>
      </c>
      <c r="BK748" s="99">
        <f t="shared" si="11"/>
        <v>0</v>
      </c>
      <c r="BL748" s="99">
        <f t="shared" si="12"/>
        <v>0</v>
      </c>
      <c r="BM748" s="99" t="str">
        <f>IFERROR(__xludf.DUMMYFUNCTION("IFERROR(VLOOKUP(BG748,IMPORTRANGE(""https://docs.google.com/spreadsheets/d/1juPI-Fb8LD0YtltB2mlGEnp_R3UVu1t3wSFPzgCyHXE/edit?gid=0#gid=0"",""GERAL!A2:C""),3,0),""-"")"),"-")</f>
        <v>-</v>
      </c>
    </row>
    <row r="749" ht="15.75" customHeight="1">
      <c r="A749" s="111" t="s">
        <v>860</v>
      </c>
      <c r="B749" s="83" t="s">
        <v>3591</v>
      </c>
      <c r="C749" s="83" t="s">
        <v>68</v>
      </c>
      <c r="D749" s="112">
        <v>1178003.0</v>
      </c>
      <c r="E749" s="83"/>
      <c r="F749" s="83">
        <v>2.941869E7</v>
      </c>
      <c r="G749" s="119" t="s">
        <v>3592</v>
      </c>
      <c r="H749" s="91" t="s">
        <v>3593</v>
      </c>
      <c r="I749" s="136" t="s">
        <v>149</v>
      </c>
      <c r="J749" s="83" t="s">
        <v>150</v>
      </c>
      <c r="K749" s="83" t="s">
        <v>151</v>
      </c>
      <c r="L749" s="98" t="s">
        <v>152</v>
      </c>
      <c r="M749" s="82" t="str">
        <f>IFERROR(__xludf.DUMMYFUNCTION("IFERROR(VLOOKUP(D749,
IMPORTRANGE(""https://docs.google.com/spreadsheets/d/1MjHtlUikwobi2MaWJgy7tfLeBmhj1u-dRFRs_8GwSoA/edit#gid=0"",""Gestores Escolares!D7:J""),3,0),""VERIFICAR CÓD SEC"")"),"ALIOMAR REIS DOS SANTOS FILHO")</f>
        <v>ALIOMAR REIS DOS SANTOS FILHO</v>
      </c>
      <c r="N749" s="82" t="str">
        <f>IFERROR(__xludf.DUMMYFUNCTION("IFERROR(VLOOKUP(D749,
IMPORTRANGE(""https://docs.google.com/spreadsheets/d/1MjHtlUikwobi2MaWJgy7tfLeBmhj1u-dRFRs_8GwSoA/edit#gid=0"",""Gestores Escolares!D7:J""),4,0),""VERIFICAR CÓD SEC"")"),"(77) 9 9982-7672")</f>
        <v>(77) 9 9982-7672</v>
      </c>
      <c r="O749" s="82" t="str">
        <f>IFERROR(__xludf.DUMMYFUNCTION("IFERROR(VLOOKUP(D749,
IMPORTRANGE(""https://docs.google.com/spreadsheets/d/1MjHtlUikwobi2MaWJgy7tfLeBmhj1u-dRFRs_8GwSoA/edit#gid=0"",""Gestores Escolares!D7:J""),6,0),""VERIFICAR CÓD SEC"")"),"IDENILCE MARIA DA COSTA SANTOS")</f>
        <v>IDENILCE MARIA DA COSTA SANTOS</v>
      </c>
      <c r="P749" s="82" t="str">
        <f>IFERROR(__xludf.DUMMYFUNCTION("IFERROR(VLOOKUP(D749,
IMPORTRANGE(""https://docs.google.com/spreadsheets/d/1MjHtlUikwobi2MaWJgy7tfLeBmhj1u-dRFRs_8GwSoA/edit#gid=0"",""Gestores Escolares!D7:J""),7,0),""VERIFICAR CÓD SEC"")"),"(77) 9 9925-8381")</f>
        <v>(77) 9 9925-8381</v>
      </c>
      <c r="Q749" s="82" t="str">
        <f>IFERROR(__xludf.DUMMYFUNCTION("IFERROR(VLOOKUP(D749,
IMPORTRANGE(""https://docs.google.com/spreadsheets/d/1MjHtlUikwobi2MaWJgy7tfLeBmhj1u-dRFRs_8GwSoA/edit#gid=0"",""Gestores Escolares!D7:m""),9,0),""VERIFICAR CÓD SEC"")"),"ELIANA PEREIRA DA COSTA")</f>
        <v>ELIANA PEREIRA DA COSTA</v>
      </c>
      <c r="R749" s="82" t="str">
        <f>IFERROR(__xludf.DUMMYFUNCTION("IFERROR(VLOOKUP(D749,
IMPORTRANGE(""https://docs.google.com/spreadsheets/d/1MjHtlUikwobi2MaWJgy7tfLeBmhj1u-dRFRs_8GwSoA/edit#gid=0"",""Gestores Escolares!D7:m""),10,0),""VERIFICAR CÓD SEC"")"),"(77) 9 9970-0730")</f>
        <v>(77) 9 9970-0730</v>
      </c>
      <c r="S749" s="82"/>
      <c r="T749" s="138">
        <v>9.0</v>
      </c>
      <c r="U749" s="388" t="s">
        <v>637</v>
      </c>
      <c r="V749" s="106">
        <v>0.0</v>
      </c>
      <c r="W749" s="107">
        <v>0.0</v>
      </c>
      <c r="X749" s="107">
        <v>0.0</v>
      </c>
      <c r="Y749" s="107">
        <v>0.0</v>
      </c>
      <c r="Z749" s="80">
        <f t="shared" si="1"/>
        <v>0</v>
      </c>
      <c r="AA749" s="106">
        <v>0.0</v>
      </c>
      <c r="AB749" s="107">
        <v>0.0</v>
      </c>
      <c r="AC749" s="107">
        <v>0.0</v>
      </c>
      <c r="AD749" s="107">
        <v>0.0</v>
      </c>
      <c r="AE749" s="80">
        <f t="shared" si="2"/>
        <v>0</v>
      </c>
      <c r="AF749" s="140">
        <v>252.0</v>
      </c>
      <c r="AG749" s="109">
        <v>131.0</v>
      </c>
      <c r="AH749" s="109">
        <v>0.0</v>
      </c>
      <c r="AI749" s="141">
        <v>73.0</v>
      </c>
      <c r="AJ749" s="80">
        <f t="shared" si="3"/>
        <v>456</v>
      </c>
      <c r="AK749" s="140">
        <v>0.0</v>
      </c>
      <c r="AL749" s="109">
        <v>0.0</v>
      </c>
      <c r="AM749" s="141">
        <v>0.0</v>
      </c>
      <c r="AN749" s="80">
        <f t="shared" si="4"/>
        <v>0</v>
      </c>
      <c r="AO749" s="140">
        <v>0.0</v>
      </c>
      <c r="AP749" s="109">
        <v>0.0</v>
      </c>
      <c r="AQ749" s="109">
        <v>62.0</v>
      </c>
      <c r="AR749" s="80">
        <f t="shared" si="5"/>
        <v>62</v>
      </c>
      <c r="AS749" s="110">
        <v>35.0</v>
      </c>
      <c r="AT749" s="110">
        <v>66.0</v>
      </c>
      <c r="AU749" s="110">
        <v>0.0</v>
      </c>
      <c r="AV749" s="142">
        <v>0.0</v>
      </c>
      <c r="AW749" s="80">
        <f t="shared" si="6"/>
        <v>101</v>
      </c>
      <c r="AX749" s="113">
        <f t="shared" si="7"/>
        <v>619</v>
      </c>
      <c r="AY749" s="117">
        <f t="shared" si="8"/>
        <v>557</v>
      </c>
      <c r="AZ749" s="120">
        <f t="shared" si="9"/>
        <v>62</v>
      </c>
      <c r="BA749" s="115">
        <v>0.0</v>
      </c>
      <c r="BB749" s="89">
        <f t="shared" si="10"/>
        <v>619</v>
      </c>
      <c r="BC749" s="132" t="s">
        <v>178</v>
      </c>
      <c r="BD749" s="132" t="s">
        <v>178</v>
      </c>
      <c r="BE749" s="132" t="s">
        <v>178</v>
      </c>
      <c r="BF749" s="156"/>
      <c r="BG749" s="83">
        <v>1178003.0</v>
      </c>
      <c r="BH749" s="112"/>
      <c r="BI749" s="112">
        <v>9.0</v>
      </c>
      <c r="BJ749" s="98" t="s">
        <v>155</v>
      </c>
      <c r="BK749" s="99">
        <f t="shared" si="11"/>
        <v>73</v>
      </c>
      <c r="BL749" s="99">
        <f t="shared" si="12"/>
        <v>484</v>
      </c>
      <c r="BM749" s="99" t="str">
        <f>IFERROR(__xludf.DUMMYFUNCTION("IFERROR(VLOOKUP(BG749,IMPORTRANGE(""https://docs.google.com/spreadsheets/d/1juPI-Fb8LD0YtltB2mlGEnp_R3UVu1t3wSFPzgCyHXE/edit?gid=0#gid=0"",""GERAL!A2:C""),3,0),""-"")"),"-")</f>
        <v>-</v>
      </c>
    </row>
    <row r="750" ht="15.75" customHeight="1">
      <c r="A750" s="111" t="s">
        <v>860</v>
      </c>
      <c r="B750" s="83" t="s">
        <v>3591</v>
      </c>
      <c r="C750" s="83" t="s">
        <v>164</v>
      </c>
      <c r="D750" s="112">
        <v>1179339.0</v>
      </c>
      <c r="E750" s="83">
        <v>1178823.0</v>
      </c>
      <c r="F750" s="98">
        <v>2.946148E7</v>
      </c>
      <c r="G750" s="114" t="s">
        <v>3595</v>
      </c>
      <c r="H750" s="91" t="s">
        <v>3596</v>
      </c>
      <c r="I750" s="83" t="s">
        <v>3597</v>
      </c>
      <c r="J750" s="83" t="s">
        <v>222</v>
      </c>
      <c r="K750" s="83" t="s">
        <v>168</v>
      </c>
      <c r="L750" s="83" t="s">
        <v>169</v>
      </c>
      <c r="M750" s="82" t="str">
        <f>IFERROR(__xludf.DUMMYFUNCTION("IFERROR(VLOOKUP(D750,
IMPORTRANGE(""https://docs.google.com/spreadsheets/d/1MjHtlUikwobi2MaWJgy7tfLeBmhj1u-dRFRs_8GwSoA/edit#gid=0"",""Gestores Escolares!D7:J""),3,0),""VERIFICAR CÓD SEC"")"),"SUELY PASSOS DE SOUZA")</f>
        <v>SUELY PASSOS DE SOUZA</v>
      </c>
      <c r="N750" s="82" t="str">
        <f>IFERROR(__xludf.DUMMYFUNCTION("IFERROR(VLOOKUP(D750,
IMPORTRANGE(""https://docs.google.com/spreadsheets/d/1MjHtlUikwobi2MaWJgy7tfLeBmhj1u-dRFRs_8GwSoA/edit#gid=0"",""Gestores Escolares!D7:J""),4,0),""VERIFICAR CÓD SEC"")"),"(77) 9 9913-6204")</f>
        <v>(77) 9 9913-6204</v>
      </c>
      <c r="O750" s="82" t="str">
        <f>IFERROR(__xludf.DUMMYFUNCTION("IFERROR(VLOOKUP(D750,
IMPORTRANGE(""https://docs.google.com/spreadsheets/d/1MjHtlUikwobi2MaWJgy7tfLeBmhj1u-dRFRs_8GwSoA/edit#gid=0"",""Gestores Escolares!D7:J""),6,0),""VERIFICAR CÓD SEC"")"),"MARCIO ALEXANDRE DE OLIVEIRA ANDRADA")</f>
        <v>MARCIO ALEXANDRE DE OLIVEIRA ANDRADA</v>
      </c>
      <c r="P750" s="82" t="str">
        <f>IFERROR(__xludf.DUMMYFUNCTION("IFERROR(VLOOKUP(D750,
IMPORTRANGE(""https://docs.google.com/spreadsheets/d/1MjHtlUikwobi2MaWJgy7tfLeBmhj1u-dRFRs_8GwSoA/edit#gid=0"",""Gestores Escolares!D7:J""),7,0),""VERIFICAR CÓD SEC"")"),"(71) 9 8554-1121")</f>
        <v>(71) 9 8554-1121</v>
      </c>
      <c r="Q750" s="82" t="str">
        <f>IFERROR(__xludf.DUMMYFUNCTION("IFERROR(VLOOKUP(D750,
IMPORTRANGE(""https://docs.google.com/spreadsheets/d/1MjHtlUikwobi2MaWJgy7tfLeBmhj1u-dRFRs_8GwSoA/edit#gid=0"",""Gestores Escolares!D7:m""),9,0),""VERIFICAR CÓD SEC"")"),"RODRIGO ARLINDO PORTO WANDERLEY MORENO")</f>
        <v>RODRIGO ARLINDO PORTO WANDERLEY MORENO</v>
      </c>
      <c r="R750" s="82" t="str">
        <f>IFERROR(__xludf.DUMMYFUNCTION("IFERROR(VLOOKUP(D750,
IMPORTRANGE(""https://docs.google.com/spreadsheets/d/1MjHtlUikwobi2MaWJgy7tfLeBmhj1u-dRFRs_8GwSoA/edit#gid=0"",""Gestores Escolares!D7:m""),10,0),""VERIFICAR CÓD SEC"")"),"(77) 9 9174-0395")</f>
        <v>(77) 9 9174-0395</v>
      </c>
      <c r="S750" s="82"/>
      <c r="T750" s="138">
        <v>1.0</v>
      </c>
      <c r="U750" s="416">
        <v>1.0</v>
      </c>
      <c r="V750" s="106">
        <v>0.0</v>
      </c>
      <c r="W750" s="107">
        <v>0.0</v>
      </c>
      <c r="X750" s="107">
        <v>0.0</v>
      </c>
      <c r="Y750" s="107">
        <v>0.0</v>
      </c>
      <c r="Z750" s="80">
        <f t="shared" si="1"/>
        <v>0</v>
      </c>
      <c r="AA750" s="106">
        <v>0.0</v>
      </c>
      <c r="AB750" s="107">
        <v>0.0</v>
      </c>
      <c r="AC750" s="107">
        <v>0.0</v>
      </c>
      <c r="AD750" s="107">
        <v>0.0</v>
      </c>
      <c r="AE750" s="80">
        <f t="shared" si="2"/>
        <v>0</v>
      </c>
      <c r="AF750" s="140">
        <v>15.0</v>
      </c>
      <c r="AG750" s="109">
        <v>17.0</v>
      </c>
      <c r="AH750" s="109">
        <v>15.0</v>
      </c>
      <c r="AI750" s="141">
        <v>0.0</v>
      </c>
      <c r="AJ750" s="80">
        <f t="shared" si="3"/>
        <v>47</v>
      </c>
      <c r="AK750" s="140">
        <v>0.0</v>
      </c>
      <c r="AL750" s="109">
        <v>0.0</v>
      </c>
      <c r="AM750" s="141">
        <v>0.0</v>
      </c>
      <c r="AN750" s="80">
        <f t="shared" si="4"/>
        <v>0</v>
      </c>
      <c r="AO750" s="140">
        <v>0.0</v>
      </c>
      <c r="AP750" s="109">
        <v>0.0</v>
      </c>
      <c r="AQ750" s="109">
        <v>0.0</v>
      </c>
      <c r="AR750" s="80">
        <f t="shared" si="5"/>
        <v>0</v>
      </c>
      <c r="AS750" s="110">
        <v>0.0</v>
      </c>
      <c r="AT750" s="110">
        <v>0.0</v>
      </c>
      <c r="AU750" s="110">
        <v>0.0</v>
      </c>
      <c r="AV750" s="142">
        <v>0.0</v>
      </c>
      <c r="AW750" s="80">
        <f t="shared" si="6"/>
        <v>0</v>
      </c>
      <c r="AX750" s="113">
        <f t="shared" si="7"/>
        <v>47</v>
      </c>
      <c r="AY750" s="117">
        <f t="shared" si="8"/>
        <v>32</v>
      </c>
      <c r="AZ750" s="120">
        <f t="shared" si="9"/>
        <v>15</v>
      </c>
      <c r="BA750" s="115">
        <v>0.0</v>
      </c>
      <c r="BB750" s="89">
        <f t="shared" si="10"/>
        <v>47</v>
      </c>
      <c r="BC750" s="132" t="s">
        <v>178</v>
      </c>
      <c r="BD750" s="143" t="s">
        <v>227</v>
      </c>
      <c r="BE750" s="132" t="s">
        <v>178</v>
      </c>
      <c r="BF750" s="123"/>
      <c r="BG750" s="83">
        <v>1178823.0</v>
      </c>
      <c r="BH750" s="112"/>
      <c r="BI750" s="112">
        <v>1.0</v>
      </c>
      <c r="BJ750" s="98" t="s">
        <v>155</v>
      </c>
      <c r="BK750" s="99">
        <f t="shared" si="11"/>
        <v>0</v>
      </c>
      <c r="BL750" s="99">
        <f t="shared" si="12"/>
        <v>32</v>
      </c>
      <c r="BM750" s="99" t="str">
        <f>IFERROR(__xludf.DUMMYFUNCTION("IFERROR(VLOOKUP(BG750,IMPORTRANGE(""https://docs.google.com/spreadsheets/d/1juPI-Fb8LD0YtltB2mlGEnp_R3UVu1t3wSFPzgCyHXE/edit?gid=0#gid=0"",""GERAL!A2:C""),3,0),""-"")"),"-")</f>
        <v>-</v>
      </c>
    </row>
    <row r="751" ht="15.75" customHeight="1">
      <c r="A751" s="111" t="s">
        <v>860</v>
      </c>
      <c r="B751" s="83" t="s">
        <v>3591</v>
      </c>
      <c r="C751" s="83" t="s">
        <v>164</v>
      </c>
      <c r="D751" s="112">
        <v>1179339.0</v>
      </c>
      <c r="E751" s="83">
        <v>1179334.0</v>
      </c>
      <c r="F751" s="98">
        <v>2.946148E7</v>
      </c>
      <c r="G751" s="114" t="s">
        <v>3598</v>
      </c>
      <c r="H751" s="91" t="s">
        <v>3599</v>
      </c>
      <c r="I751" s="136" t="s">
        <v>3600</v>
      </c>
      <c r="J751" s="83" t="s">
        <v>331</v>
      </c>
      <c r="K751" s="83" t="s">
        <v>168</v>
      </c>
      <c r="L751" s="83" t="s">
        <v>169</v>
      </c>
      <c r="M751" s="82" t="str">
        <f>IFERROR(__xludf.DUMMYFUNCTION("IFERROR(VLOOKUP(D751,
IMPORTRANGE(""https://docs.google.com/spreadsheets/d/1MjHtlUikwobi2MaWJgy7tfLeBmhj1u-dRFRs_8GwSoA/edit#gid=0"",""Gestores Escolares!D7:J""),3,0),""VERIFICAR CÓD SEC"")"),"SUELY PASSOS DE SOUZA")</f>
        <v>SUELY PASSOS DE SOUZA</v>
      </c>
      <c r="N751" s="82" t="str">
        <f>IFERROR(__xludf.DUMMYFUNCTION("IFERROR(VLOOKUP(D751,
IMPORTRANGE(""https://docs.google.com/spreadsheets/d/1MjHtlUikwobi2MaWJgy7tfLeBmhj1u-dRFRs_8GwSoA/edit#gid=0"",""Gestores Escolares!D7:J""),4,0),""VERIFICAR CÓD SEC"")"),"(77) 9 9913-6204")</f>
        <v>(77) 9 9913-6204</v>
      </c>
      <c r="O751" s="82" t="str">
        <f>IFERROR(__xludf.DUMMYFUNCTION("IFERROR(VLOOKUP(D751,
IMPORTRANGE(""https://docs.google.com/spreadsheets/d/1MjHtlUikwobi2MaWJgy7tfLeBmhj1u-dRFRs_8GwSoA/edit#gid=0"",""Gestores Escolares!D7:J""),6,0),""VERIFICAR CÓD SEC"")"),"MARCIO ALEXANDRE DE OLIVEIRA ANDRADA")</f>
        <v>MARCIO ALEXANDRE DE OLIVEIRA ANDRADA</v>
      </c>
      <c r="P751" s="82" t="str">
        <f>IFERROR(__xludf.DUMMYFUNCTION("IFERROR(VLOOKUP(D751,
IMPORTRANGE(""https://docs.google.com/spreadsheets/d/1MjHtlUikwobi2MaWJgy7tfLeBmhj1u-dRFRs_8GwSoA/edit#gid=0"",""Gestores Escolares!D7:J""),7,0),""VERIFICAR CÓD SEC"")"),"(71) 9 8554-1121")</f>
        <v>(71) 9 8554-1121</v>
      </c>
      <c r="Q751" s="82" t="str">
        <f>IFERROR(__xludf.DUMMYFUNCTION("IFERROR(VLOOKUP(D751,
IMPORTRANGE(""https://docs.google.com/spreadsheets/d/1MjHtlUikwobi2MaWJgy7tfLeBmhj1u-dRFRs_8GwSoA/edit#gid=0"",""Gestores Escolares!D7:m""),9,0),""VERIFICAR CÓD SEC"")"),"RODRIGO ARLINDO PORTO WANDERLEY MORENO")</f>
        <v>RODRIGO ARLINDO PORTO WANDERLEY MORENO</v>
      </c>
      <c r="R751" s="82" t="str">
        <f>IFERROR(__xludf.DUMMYFUNCTION("IFERROR(VLOOKUP(D751,
IMPORTRANGE(""https://docs.google.com/spreadsheets/d/1MjHtlUikwobi2MaWJgy7tfLeBmhj1u-dRFRs_8GwSoA/edit#gid=0"",""Gestores Escolares!D7:m""),10,0),""VERIFICAR CÓD SEC"")"),"(77) 9 9174-0395")</f>
        <v>(77) 9 9174-0395</v>
      </c>
      <c r="S751" s="82"/>
      <c r="T751" s="138">
        <v>1.0</v>
      </c>
      <c r="U751" s="416">
        <v>1.0</v>
      </c>
      <c r="V751" s="106">
        <v>0.0</v>
      </c>
      <c r="W751" s="107">
        <v>0.0</v>
      </c>
      <c r="X751" s="107">
        <v>0.0</v>
      </c>
      <c r="Y751" s="107">
        <v>0.0</v>
      </c>
      <c r="Z751" s="80">
        <f t="shared" si="1"/>
        <v>0</v>
      </c>
      <c r="AA751" s="106">
        <v>0.0</v>
      </c>
      <c r="AB751" s="107">
        <v>0.0</v>
      </c>
      <c r="AC751" s="107">
        <v>0.0</v>
      </c>
      <c r="AD751" s="107">
        <v>0.0</v>
      </c>
      <c r="AE751" s="80">
        <f t="shared" si="2"/>
        <v>0</v>
      </c>
      <c r="AF751" s="140">
        <v>17.0</v>
      </c>
      <c r="AG751" s="109">
        <v>10.0</v>
      </c>
      <c r="AH751" s="109">
        <v>0.0</v>
      </c>
      <c r="AI751" s="141">
        <v>0.0</v>
      </c>
      <c r="AJ751" s="80">
        <f t="shared" si="3"/>
        <v>27</v>
      </c>
      <c r="AK751" s="140">
        <v>0.0</v>
      </c>
      <c r="AL751" s="109">
        <v>0.0</v>
      </c>
      <c r="AM751" s="141">
        <v>0.0</v>
      </c>
      <c r="AN751" s="80">
        <f t="shared" si="4"/>
        <v>0</v>
      </c>
      <c r="AO751" s="140">
        <v>0.0</v>
      </c>
      <c r="AP751" s="109">
        <v>0.0</v>
      </c>
      <c r="AQ751" s="109">
        <v>0.0</v>
      </c>
      <c r="AR751" s="80">
        <f t="shared" si="5"/>
        <v>0</v>
      </c>
      <c r="AS751" s="110">
        <v>0.0</v>
      </c>
      <c r="AT751" s="110">
        <v>0.0</v>
      </c>
      <c r="AU751" s="110">
        <v>0.0</v>
      </c>
      <c r="AV751" s="142">
        <v>0.0</v>
      </c>
      <c r="AW751" s="80">
        <f t="shared" si="6"/>
        <v>0</v>
      </c>
      <c r="AX751" s="113">
        <f t="shared" si="7"/>
        <v>27</v>
      </c>
      <c r="AY751" s="117">
        <f t="shared" si="8"/>
        <v>27</v>
      </c>
      <c r="AZ751" s="120">
        <f t="shared" si="9"/>
        <v>0</v>
      </c>
      <c r="BA751" s="115">
        <v>0.0</v>
      </c>
      <c r="BB751" s="89">
        <f t="shared" si="10"/>
        <v>27</v>
      </c>
      <c r="BC751" s="132" t="s">
        <v>178</v>
      </c>
      <c r="BD751" s="143" t="s">
        <v>227</v>
      </c>
      <c r="BE751" s="132" t="s">
        <v>178</v>
      </c>
      <c r="BF751" s="156"/>
      <c r="BG751" s="83">
        <v>1179334.0</v>
      </c>
      <c r="BH751" s="112"/>
      <c r="BI751" s="112">
        <v>1.0</v>
      </c>
      <c r="BJ751" s="98" t="s">
        <v>155</v>
      </c>
      <c r="BK751" s="99">
        <f t="shared" si="11"/>
        <v>0</v>
      </c>
      <c r="BL751" s="99">
        <f t="shared" si="12"/>
        <v>27</v>
      </c>
      <c r="BM751" s="99" t="str">
        <f>IFERROR(__xludf.DUMMYFUNCTION("IFERROR(VLOOKUP(BG751,IMPORTRANGE(""https://docs.google.com/spreadsheets/d/1juPI-Fb8LD0YtltB2mlGEnp_R3UVu1t3wSFPzgCyHXE/edit?gid=0#gid=0"",""GERAL!A2:C""),3,0),""-"")"),"-")</f>
        <v>-</v>
      </c>
    </row>
    <row r="752" ht="15.75" customHeight="1">
      <c r="A752" s="111" t="s">
        <v>860</v>
      </c>
      <c r="B752" s="83" t="s">
        <v>3591</v>
      </c>
      <c r="C752" s="83" t="s">
        <v>164</v>
      </c>
      <c r="D752" s="112">
        <v>1179339.0</v>
      </c>
      <c r="E752" s="83">
        <v>1178826.0</v>
      </c>
      <c r="F752" s="98">
        <v>2.946148E7</v>
      </c>
      <c r="G752" s="114" t="s">
        <v>3601</v>
      </c>
      <c r="H752" s="91" t="s">
        <v>3602</v>
      </c>
      <c r="I752" s="83" t="s">
        <v>3603</v>
      </c>
      <c r="J752" s="83" t="s">
        <v>3227</v>
      </c>
      <c r="K752" s="83" t="s">
        <v>168</v>
      </c>
      <c r="L752" s="83" t="s">
        <v>169</v>
      </c>
      <c r="M752" s="82" t="str">
        <f>IFERROR(__xludf.DUMMYFUNCTION("IFERROR(VLOOKUP(D752,
IMPORTRANGE(""https://docs.google.com/spreadsheets/d/1MjHtlUikwobi2MaWJgy7tfLeBmhj1u-dRFRs_8GwSoA/edit#gid=0"",""Gestores Escolares!D7:J""),3,0),""VERIFICAR CÓD SEC"")"),"SUELY PASSOS DE SOUZA")</f>
        <v>SUELY PASSOS DE SOUZA</v>
      </c>
      <c r="N752" s="82" t="str">
        <f>IFERROR(__xludf.DUMMYFUNCTION("IFERROR(VLOOKUP(D752,
IMPORTRANGE(""https://docs.google.com/spreadsheets/d/1MjHtlUikwobi2MaWJgy7tfLeBmhj1u-dRFRs_8GwSoA/edit#gid=0"",""Gestores Escolares!D7:J""),4,0),""VERIFICAR CÓD SEC"")"),"(77) 9 9913-6204")</f>
        <v>(77) 9 9913-6204</v>
      </c>
      <c r="O752" s="82" t="str">
        <f>IFERROR(__xludf.DUMMYFUNCTION("IFERROR(VLOOKUP(D752,
IMPORTRANGE(""https://docs.google.com/spreadsheets/d/1MjHtlUikwobi2MaWJgy7tfLeBmhj1u-dRFRs_8GwSoA/edit#gid=0"",""Gestores Escolares!D7:J""),6,0),""VERIFICAR CÓD SEC"")"),"MARCIO ALEXANDRE DE OLIVEIRA ANDRADA")</f>
        <v>MARCIO ALEXANDRE DE OLIVEIRA ANDRADA</v>
      </c>
      <c r="P752" s="82" t="str">
        <f>IFERROR(__xludf.DUMMYFUNCTION("IFERROR(VLOOKUP(D752,
IMPORTRANGE(""https://docs.google.com/spreadsheets/d/1MjHtlUikwobi2MaWJgy7tfLeBmhj1u-dRFRs_8GwSoA/edit#gid=0"",""Gestores Escolares!D7:J""),7,0),""VERIFICAR CÓD SEC"")"),"(71) 9 8554-1121")</f>
        <v>(71) 9 8554-1121</v>
      </c>
      <c r="Q752" s="82" t="str">
        <f>IFERROR(__xludf.DUMMYFUNCTION("IFERROR(VLOOKUP(D752,
IMPORTRANGE(""https://docs.google.com/spreadsheets/d/1MjHtlUikwobi2MaWJgy7tfLeBmhj1u-dRFRs_8GwSoA/edit#gid=0"",""Gestores Escolares!D7:m""),9,0),""VERIFICAR CÓD SEC"")"),"RODRIGO ARLINDO PORTO WANDERLEY MORENO")</f>
        <v>RODRIGO ARLINDO PORTO WANDERLEY MORENO</v>
      </c>
      <c r="R752" s="82" t="str">
        <f>IFERROR(__xludf.DUMMYFUNCTION("IFERROR(VLOOKUP(D752,
IMPORTRANGE(""https://docs.google.com/spreadsheets/d/1MjHtlUikwobi2MaWJgy7tfLeBmhj1u-dRFRs_8GwSoA/edit#gid=0"",""Gestores Escolares!D7:m""),10,0),""VERIFICAR CÓD SEC"")"),"(77) 9 9174-0395")</f>
        <v>(77) 9 9174-0395</v>
      </c>
      <c r="S752" s="82"/>
      <c r="T752" s="138">
        <v>1.0</v>
      </c>
      <c r="U752" s="416">
        <v>1.0</v>
      </c>
      <c r="V752" s="106">
        <v>0.0</v>
      </c>
      <c r="W752" s="107">
        <v>0.0</v>
      </c>
      <c r="X752" s="107">
        <v>0.0</v>
      </c>
      <c r="Y752" s="107">
        <v>0.0</v>
      </c>
      <c r="Z752" s="80">
        <f t="shared" si="1"/>
        <v>0</v>
      </c>
      <c r="AA752" s="106">
        <v>0.0</v>
      </c>
      <c r="AB752" s="107">
        <v>0.0</v>
      </c>
      <c r="AC752" s="107">
        <v>0.0</v>
      </c>
      <c r="AD752" s="107">
        <v>0.0</v>
      </c>
      <c r="AE752" s="80">
        <f t="shared" si="2"/>
        <v>0</v>
      </c>
      <c r="AF752" s="140">
        <v>25.0</v>
      </c>
      <c r="AG752" s="109">
        <v>21.0</v>
      </c>
      <c r="AH752" s="109">
        <v>24.0</v>
      </c>
      <c r="AI752" s="141">
        <v>0.0</v>
      </c>
      <c r="AJ752" s="80">
        <f t="shared" si="3"/>
        <v>70</v>
      </c>
      <c r="AK752" s="140">
        <v>0.0</v>
      </c>
      <c r="AL752" s="109">
        <v>0.0</v>
      </c>
      <c r="AM752" s="141">
        <v>0.0</v>
      </c>
      <c r="AN752" s="80">
        <f t="shared" si="4"/>
        <v>0</v>
      </c>
      <c r="AO752" s="140">
        <v>0.0</v>
      </c>
      <c r="AP752" s="109">
        <v>0.0</v>
      </c>
      <c r="AQ752" s="109">
        <v>0.0</v>
      </c>
      <c r="AR752" s="80">
        <f t="shared" si="5"/>
        <v>0</v>
      </c>
      <c r="AS752" s="110">
        <v>0.0</v>
      </c>
      <c r="AT752" s="110">
        <v>0.0</v>
      </c>
      <c r="AU752" s="110">
        <v>0.0</v>
      </c>
      <c r="AV752" s="142">
        <v>0.0</v>
      </c>
      <c r="AW752" s="80">
        <f t="shared" si="6"/>
        <v>0</v>
      </c>
      <c r="AX752" s="113">
        <f t="shared" si="7"/>
        <v>70</v>
      </c>
      <c r="AY752" s="117">
        <f t="shared" si="8"/>
        <v>46</v>
      </c>
      <c r="AZ752" s="120">
        <f t="shared" si="9"/>
        <v>24</v>
      </c>
      <c r="BA752" s="115">
        <v>0.0</v>
      </c>
      <c r="BB752" s="89">
        <f t="shared" si="10"/>
        <v>70</v>
      </c>
      <c r="BC752" s="132" t="s">
        <v>178</v>
      </c>
      <c r="BD752" s="143" t="s">
        <v>227</v>
      </c>
      <c r="BE752" s="132" t="s">
        <v>178</v>
      </c>
      <c r="BF752" s="123"/>
      <c r="BG752" s="83">
        <v>1178826.0</v>
      </c>
      <c r="BH752" s="112"/>
      <c r="BI752" s="112">
        <v>1.0</v>
      </c>
      <c r="BJ752" s="98" t="s">
        <v>155</v>
      </c>
      <c r="BK752" s="99">
        <f t="shared" si="11"/>
        <v>0</v>
      </c>
      <c r="BL752" s="99">
        <f t="shared" si="12"/>
        <v>46</v>
      </c>
      <c r="BM752" s="99" t="str">
        <f>IFERROR(__xludf.DUMMYFUNCTION("IFERROR(VLOOKUP(BG752,IMPORTRANGE(""https://docs.google.com/spreadsheets/d/1juPI-Fb8LD0YtltB2mlGEnp_R3UVu1t3wSFPzgCyHXE/edit?gid=0#gid=0"",""GERAL!A2:C""),3,0),""-"")"),"-")</f>
        <v>-</v>
      </c>
    </row>
    <row r="753" ht="15.75" customHeight="1">
      <c r="A753" s="111" t="s">
        <v>860</v>
      </c>
      <c r="B753" s="83" t="s">
        <v>3591</v>
      </c>
      <c r="C753" s="83" t="s">
        <v>164</v>
      </c>
      <c r="D753" s="112">
        <v>1179339.0</v>
      </c>
      <c r="E753" s="83">
        <v>1178825.0</v>
      </c>
      <c r="F753" s="98">
        <v>2.946148E7</v>
      </c>
      <c r="G753" s="114" t="s">
        <v>3604</v>
      </c>
      <c r="H753" s="91" t="s">
        <v>3605</v>
      </c>
      <c r="I753" s="83" t="s">
        <v>3606</v>
      </c>
      <c r="J753" s="83" t="s">
        <v>315</v>
      </c>
      <c r="K753" s="83" t="s">
        <v>168</v>
      </c>
      <c r="L753" s="83" t="s">
        <v>169</v>
      </c>
      <c r="M753" s="82" t="str">
        <f>IFERROR(__xludf.DUMMYFUNCTION("IFERROR(VLOOKUP(D753,
IMPORTRANGE(""https://docs.google.com/spreadsheets/d/1MjHtlUikwobi2MaWJgy7tfLeBmhj1u-dRFRs_8GwSoA/edit#gid=0"",""Gestores Escolares!D7:J""),3,0),""VERIFICAR CÓD SEC"")"),"SUELY PASSOS DE SOUZA")</f>
        <v>SUELY PASSOS DE SOUZA</v>
      </c>
      <c r="N753" s="82" t="str">
        <f>IFERROR(__xludf.DUMMYFUNCTION("IFERROR(VLOOKUP(D753,
IMPORTRANGE(""https://docs.google.com/spreadsheets/d/1MjHtlUikwobi2MaWJgy7tfLeBmhj1u-dRFRs_8GwSoA/edit#gid=0"",""Gestores Escolares!D7:J""),4,0),""VERIFICAR CÓD SEC"")"),"(77) 9 9913-6204")</f>
        <v>(77) 9 9913-6204</v>
      </c>
      <c r="O753" s="82" t="str">
        <f>IFERROR(__xludf.DUMMYFUNCTION("IFERROR(VLOOKUP(D753,
IMPORTRANGE(""https://docs.google.com/spreadsheets/d/1MjHtlUikwobi2MaWJgy7tfLeBmhj1u-dRFRs_8GwSoA/edit#gid=0"",""Gestores Escolares!D7:J""),6,0),""VERIFICAR CÓD SEC"")"),"MARCIO ALEXANDRE DE OLIVEIRA ANDRADA")</f>
        <v>MARCIO ALEXANDRE DE OLIVEIRA ANDRADA</v>
      </c>
      <c r="P753" s="82" t="str">
        <f>IFERROR(__xludf.DUMMYFUNCTION("IFERROR(VLOOKUP(D753,
IMPORTRANGE(""https://docs.google.com/spreadsheets/d/1MjHtlUikwobi2MaWJgy7tfLeBmhj1u-dRFRs_8GwSoA/edit#gid=0"",""Gestores Escolares!D7:J""),7,0),""VERIFICAR CÓD SEC"")"),"(71) 9 8554-1121")</f>
        <v>(71) 9 8554-1121</v>
      </c>
      <c r="Q753" s="82" t="str">
        <f>IFERROR(__xludf.DUMMYFUNCTION("IFERROR(VLOOKUP(D753,
IMPORTRANGE(""https://docs.google.com/spreadsheets/d/1MjHtlUikwobi2MaWJgy7tfLeBmhj1u-dRFRs_8GwSoA/edit#gid=0"",""Gestores Escolares!D7:m""),9,0),""VERIFICAR CÓD SEC"")"),"RODRIGO ARLINDO PORTO WANDERLEY MORENO")</f>
        <v>RODRIGO ARLINDO PORTO WANDERLEY MORENO</v>
      </c>
      <c r="R753" s="82" t="str">
        <f>IFERROR(__xludf.DUMMYFUNCTION("IFERROR(VLOOKUP(D753,
IMPORTRANGE(""https://docs.google.com/spreadsheets/d/1MjHtlUikwobi2MaWJgy7tfLeBmhj1u-dRFRs_8GwSoA/edit#gid=0"",""Gestores Escolares!D7:m""),10,0),""VERIFICAR CÓD SEC"")"),"(77) 9 9174-0395")</f>
        <v>(77) 9 9174-0395</v>
      </c>
      <c r="S753" s="82"/>
      <c r="T753" s="138">
        <v>1.0</v>
      </c>
      <c r="U753" s="416">
        <v>1.0</v>
      </c>
      <c r="V753" s="106">
        <v>0.0</v>
      </c>
      <c r="W753" s="107">
        <v>0.0</v>
      </c>
      <c r="X753" s="107">
        <v>0.0</v>
      </c>
      <c r="Y753" s="107">
        <v>0.0</v>
      </c>
      <c r="Z753" s="80">
        <f t="shared" si="1"/>
        <v>0</v>
      </c>
      <c r="AA753" s="106">
        <v>0.0</v>
      </c>
      <c r="AB753" s="107">
        <v>0.0</v>
      </c>
      <c r="AC753" s="107">
        <v>0.0</v>
      </c>
      <c r="AD753" s="107">
        <v>0.0</v>
      </c>
      <c r="AE753" s="80">
        <f t="shared" si="2"/>
        <v>0</v>
      </c>
      <c r="AF753" s="140">
        <v>11.0</v>
      </c>
      <c r="AG753" s="109">
        <v>7.0</v>
      </c>
      <c r="AH753" s="109">
        <v>12.0</v>
      </c>
      <c r="AI753" s="141">
        <v>0.0</v>
      </c>
      <c r="AJ753" s="80">
        <f t="shared" si="3"/>
        <v>30</v>
      </c>
      <c r="AK753" s="140">
        <v>0.0</v>
      </c>
      <c r="AL753" s="109">
        <v>0.0</v>
      </c>
      <c r="AM753" s="141">
        <v>0.0</v>
      </c>
      <c r="AN753" s="80">
        <f t="shared" si="4"/>
        <v>0</v>
      </c>
      <c r="AO753" s="140">
        <v>0.0</v>
      </c>
      <c r="AP753" s="109">
        <v>0.0</v>
      </c>
      <c r="AQ753" s="109">
        <v>0.0</v>
      </c>
      <c r="AR753" s="80">
        <f t="shared" si="5"/>
        <v>0</v>
      </c>
      <c r="AS753" s="110">
        <v>0.0</v>
      </c>
      <c r="AT753" s="110">
        <v>0.0</v>
      </c>
      <c r="AU753" s="110">
        <v>0.0</v>
      </c>
      <c r="AV753" s="142">
        <v>0.0</v>
      </c>
      <c r="AW753" s="80">
        <f t="shared" si="6"/>
        <v>0</v>
      </c>
      <c r="AX753" s="113">
        <f t="shared" si="7"/>
        <v>30</v>
      </c>
      <c r="AY753" s="117">
        <f t="shared" si="8"/>
        <v>18</v>
      </c>
      <c r="AZ753" s="120">
        <f t="shared" si="9"/>
        <v>12</v>
      </c>
      <c r="BA753" s="115">
        <v>0.0</v>
      </c>
      <c r="BB753" s="89">
        <f t="shared" si="10"/>
        <v>30</v>
      </c>
      <c r="BC753" s="132" t="s">
        <v>178</v>
      </c>
      <c r="BD753" s="143" t="s">
        <v>227</v>
      </c>
      <c r="BE753" s="132" t="s">
        <v>178</v>
      </c>
      <c r="BF753" s="123"/>
      <c r="BG753" s="83">
        <v>1178825.0</v>
      </c>
      <c r="BH753" s="112"/>
      <c r="BI753" s="112">
        <v>1.0</v>
      </c>
      <c r="BJ753" s="98" t="s">
        <v>155</v>
      </c>
      <c r="BK753" s="99">
        <f t="shared" si="11"/>
        <v>0</v>
      </c>
      <c r="BL753" s="99">
        <f t="shared" si="12"/>
        <v>18</v>
      </c>
      <c r="BM753" s="99" t="str">
        <f>IFERROR(__xludf.DUMMYFUNCTION("IFERROR(VLOOKUP(BG753,IMPORTRANGE(""https://docs.google.com/spreadsheets/d/1juPI-Fb8LD0YtltB2mlGEnp_R3UVu1t3wSFPzgCyHXE/edit?gid=0#gid=0"",""GERAL!A2:C""),3,0),""-"")"),"-")</f>
        <v>-</v>
      </c>
    </row>
    <row r="754" ht="15.75" customHeight="1">
      <c r="A754" s="111" t="s">
        <v>860</v>
      </c>
      <c r="B754" s="83" t="s">
        <v>3591</v>
      </c>
      <c r="C754" s="83" t="s">
        <v>164</v>
      </c>
      <c r="D754" s="112">
        <v>1179339.0</v>
      </c>
      <c r="E754" s="83">
        <v>1178822.0</v>
      </c>
      <c r="F754" s="98">
        <v>2.946148E7</v>
      </c>
      <c r="G754" s="187" t="s">
        <v>3607</v>
      </c>
      <c r="H754" s="91" t="s">
        <v>3608</v>
      </c>
      <c r="I754" s="83" t="s">
        <v>3609</v>
      </c>
      <c r="J754" s="83" t="s">
        <v>331</v>
      </c>
      <c r="K754" s="83" t="s">
        <v>168</v>
      </c>
      <c r="L754" s="83" t="s">
        <v>169</v>
      </c>
      <c r="M754" s="82" t="str">
        <f>IFERROR(__xludf.DUMMYFUNCTION("IFERROR(VLOOKUP(D754,
IMPORTRANGE(""https://docs.google.com/spreadsheets/d/1MjHtlUikwobi2MaWJgy7tfLeBmhj1u-dRFRs_8GwSoA/edit#gid=0"",""Gestores Escolares!D7:J""),3,0),""VERIFICAR CÓD SEC"")"),"SUELY PASSOS DE SOUZA")</f>
        <v>SUELY PASSOS DE SOUZA</v>
      </c>
      <c r="N754" s="82" t="str">
        <f>IFERROR(__xludf.DUMMYFUNCTION("IFERROR(VLOOKUP(D754,
IMPORTRANGE(""https://docs.google.com/spreadsheets/d/1MjHtlUikwobi2MaWJgy7tfLeBmhj1u-dRFRs_8GwSoA/edit#gid=0"",""Gestores Escolares!D7:J""),4,0),""VERIFICAR CÓD SEC"")"),"(77) 9 9913-6204")</f>
        <v>(77) 9 9913-6204</v>
      </c>
      <c r="O754" s="82" t="str">
        <f>IFERROR(__xludf.DUMMYFUNCTION("IFERROR(VLOOKUP(D754,
IMPORTRANGE(""https://docs.google.com/spreadsheets/d/1MjHtlUikwobi2MaWJgy7tfLeBmhj1u-dRFRs_8GwSoA/edit#gid=0"",""Gestores Escolares!D7:J""),6,0),""VERIFICAR CÓD SEC"")"),"MARCIO ALEXANDRE DE OLIVEIRA ANDRADA")</f>
        <v>MARCIO ALEXANDRE DE OLIVEIRA ANDRADA</v>
      </c>
      <c r="P754" s="82" t="str">
        <f>IFERROR(__xludf.DUMMYFUNCTION("IFERROR(VLOOKUP(D754,
IMPORTRANGE(""https://docs.google.com/spreadsheets/d/1MjHtlUikwobi2MaWJgy7tfLeBmhj1u-dRFRs_8GwSoA/edit#gid=0"",""Gestores Escolares!D7:J""),7,0),""VERIFICAR CÓD SEC"")"),"(71) 9 8554-1121")</f>
        <v>(71) 9 8554-1121</v>
      </c>
      <c r="Q754" s="82" t="str">
        <f>IFERROR(__xludf.DUMMYFUNCTION("IFERROR(VLOOKUP(D754,
IMPORTRANGE(""https://docs.google.com/spreadsheets/d/1MjHtlUikwobi2MaWJgy7tfLeBmhj1u-dRFRs_8GwSoA/edit#gid=0"",""Gestores Escolares!D7:m""),9,0),""VERIFICAR CÓD SEC"")"),"RODRIGO ARLINDO PORTO WANDERLEY MORENO")</f>
        <v>RODRIGO ARLINDO PORTO WANDERLEY MORENO</v>
      </c>
      <c r="R754" s="82" t="str">
        <f>IFERROR(__xludf.DUMMYFUNCTION("IFERROR(VLOOKUP(D754,
IMPORTRANGE(""https://docs.google.com/spreadsheets/d/1MjHtlUikwobi2MaWJgy7tfLeBmhj1u-dRFRs_8GwSoA/edit#gid=0"",""Gestores Escolares!D7:m""),10,0),""VERIFICAR CÓD SEC"")"),"(77) 9 9174-0395")</f>
        <v>(77) 9 9174-0395</v>
      </c>
      <c r="S754" s="82"/>
      <c r="T754" s="138">
        <v>1.0</v>
      </c>
      <c r="U754" s="416">
        <v>1.0</v>
      </c>
      <c r="V754" s="106">
        <v>0.0</v>
      </c>
      <c r="W754" s="107">
        <v>0.0</v>
      </c>
      <c r="X754" s="107">
        <v>0.0</v>
      </c>
      <c r="Y754" s="107">
        <v>0.0</v>
      </c>
      <c r="Z754" s="80">
        <f t="shared" si="1"/>
        <v>0</v>
      </c>
      <c r="AA754" s="106">
        <v>0.0</v>
      </c>
      <c r="AB754" s="107">
        <v>0.0</v>
      </c>
      <c r="AC754" s="107">
        <v>0.0</v>
      </c>
      <c r="AD754" s="107">
        <v>0.0</v>
      </c>
      <c r="AE754" s="80">
        <f t="shared" si="2"/>
        <v>0</v>
      </c>
      <c r="AF754" s="140">
        <v>16.0</v>
      </c>
      <c r="AG754" s="109">
        <v>10.0</v>
      </c>
      <c r="AH754" s="109">
        <v>10.0</v>
      </c>
      <c r="AI754" s="141">
        <v>0.0</v>
      </c>
      <c r="AJ754" s="80">
        <f t="shared" si="3"/>
        <v>36</v>
      </c>
      <c r="AK754" s="140">
        <v>0.0</v>
      </c>
      <c r="AL754" s="109">
        <v>0.0</v>
      </c>
      <c r="AM754" s="141">
        <v>0.0</v>
      </c>
      <c r="AN754" s="80">
        <f t="shared" si="4"/>
        <v>0</v>
      </c>
      <c r="AO754" s="140">
        <v>0.0</v>
      </c>
      <c r="AP754" s="109">
        <v>0.0</v>
      </c>
      <c r="AQ754" s="109">
        <v>0.0</v>
      </c>
      <c r="AR754" s="80">
        <f t="shared" si="5"/>
        <v>0</v>
      </c>
      <c r="AS754" s="110">
        <v>0.0</v>
      </c>
      <c r="AT754" s="110">
        <v>0.0</v>
      </c>
      <c r="AU754" s="110">
        <v>0.0</v>
      </c>
      <c r="AV754" s="142">
        <v>0.0</v>
      </c>
      <c r="AW754" s="80">
        <f t="shared" si="6"/>
        <v>0</v>
      </c>
      <c r="AX754" s="113">
        <f t="shared" si="7"/>
        <v>36</v>
      </c>
      <c r="AY754" s="117">
        <f t="shared" si="8"/>
        <v>26</v>
      </c>
      <c r="AZ754" s="120">
        <f t="shared" si="9"/>
        <v>10</v>
      </c>
      <c r="BA754" s="115">
        <v>0.0</v>
      </c>
      <c r="BB754" s="89">
        <f t="shared" si="10"/>
        <v>36</v>
      </c>
      <c r="BC754" s="132" t="s">
        <v>178</v>
      </c>
      <c r="BD754" s="143" t="s">
        <v>227</v>
      </c>
      <c r="BE754" s="132" t="s">
        <v>178</v>
      </c>
      <c r="BF754" s="123"/>
      <c r="BG754" s="83">
        <v>1178822.0</v>
      </c>
      <c r="BH754" s="112"/>
      <c r="BI754" s="112">
        <v>1.0</v>
      </c>
      <c r="BJ754" s="98" t="s">
        <v>155</v>
      </c>
      <c r="BK754" s="99">
        <f t="shared" si="11"/>
        <v>0</v>
      </c>
      <c r="BL754" s="99">
        <f t="shared" si="12"/>
        <v>26</v>
      </c>
      <c r="BM754" s="99" t="str">
        <f>IFERROR(__xludf.DUMMYFUNCTION("IFERROR(VLOOKUP(BG754,IMPORTRANGE(""https://docs.google.com/spreadsheets/d/1juPI-Fb8LD0YtltB2mlGEnp_R3UVu1t3wSFPzgCyHXE/edit?gid=0#gid=0"",""GERAL!A2:C""),3,0),""-"")"),"-")</f>
        <v>-</v>
      </c>
    </row>
    <row r="755" ht="15.75" customHeight="1">
      <c r="A755" s="111" t="s">
        <v>860</v>
      </c>
      <c r="B755" s="83" t="s">
        <v>3591</v>
      </c>
      <c r="C755" s="83" t="s">
        <v>164</v>
      </c>
      <c r="D755" s="112">
        <v>1179339.0</v>
      </c>
      <c r="E755" s="83">
        <v>1178824.0</v>
      </c>
      <c r="F755" s="98">
        <v>2.946148E7</v>
      </c>
      <c r="G755" s="187" t="s">
        <v>3610</v>
      </c>
      <c r="H755" s="91" t="s">
        <v>3611</v>
      </c>
      <c r="I755" s="83" t="s">
        <v>3612</v>
      </c>
      <c r="J755" s="83" t="s">
        <v>485</v>
      </c>
      <c r="K755" s="83" t="s">
        <v>168</v>
      </c>
      <c r="L755" s="83" t="s">
        <v>169</v>
      </c>
      <c r="M755" s="82" t="str">
        <f>IFERROR(__xludf.DUMMYFUNCTION("IFERROR(VLOOKUP(D755,
IMPORTRANGE(""https://docs.google.com/spreadsheets/d/1MjHtlUikwobi2MaWJgy7tfLeBmhj1u-dRFRs_8GwSoA/edit#gid=0"",""Gestores Escolares!D7:J""),3,0),""VERIFICAR CÓD SEC"")"),"SUELY PASSOS DE SOUZA")</f>
        <v>SUELY PASSOS DE SOUZA</v>
      </c>
      <c r="N755" s="82" t="str">
        <f>IFERROR(__xludf.DUMMYFUNCTION("IFERROR(VLOOKUP(D755,
IMPORTRANGE(""https://docs.google.com/spreadsheets/d/1MjHtlUikwobi2MaWJgy7tfLeBmhj1u-dRFRs_8GwSoA/edit#gid=0"",""Gestores Escolares!D7:J""),4,0),""VERIFICAR CÓD SEC"")"),"(77) 9 9913-6204")</f>
        <v>(77) 9 9913-6204</v>
      </c>
      <c r="O755" s="82" t="str">
        <f>IFERROR(__xludf.DUMMYFUNCTION("IFERROR(VLOOKUP(D755,
IMPORTRANGE(""https://docs.google.com/spreadsheets/d/1MjHtlUikwobi2MaWJgy7tfLeBmhj1u-dRFRs_8GwSoA/edit#gid=0"",""Gestores Escolares!D7:J""),6,0),""VERIFICAR CÓD SEC"")"),"MARCIO ALEXANDRE DE OLIVEIRA ANDRADA")</f>
        <v>MARCIO ALEXANDRE DE OLIVEIRA ANDRADA</v>
      </c>
      <c r="P755" s="82" t="str">
        <f>IFERROR(__xludf.DUMMYFUNCTION("IFERROR(VLOOKUP(D755,
IMPORTRANGE(""https://docs.google.com/spreadsheets/d/1MjHtlUikwobi2MaWJgy7tfLeBmhj1u-dRFRs_8GwSoA/edit#gid=0"",""Gestores Escolares!D7:J""),7,0),""VERIFICAR CÓD SEC"")"),"(71) 9 8554-1121")</f>
        <v>(71) 9 8554-1121</v>
      </c>
      <c r="Q755" s="82" t="str">
        <f>IFERROR(__xludf.DUMMYFUNCTION("IFERROR(VLOOKUP(D755,
IMPORTRANGE(""https://docs.google.com/spreadsheets/d/1MjHtlUikwobi2MaWJgy7tfLeBmhj1u-dRFRs_8GwSoA/edit#gid=0"",""Gestores Escolares!D7:m""),9,0),""VERIFICAR CÓD SEC"")"),"RODRIGO ARLINDO PORTO WANDERLEY MORENO")</f>
        <v>RODRIGO ARLINDO PORTO WANDERLEY MORENO</v>
      </c>
      <c r="R755" s="82" t="str">
        <f>IFERROR(__xludf.DUMMYFUNCTION("IFERROR(VLOOKUP(D755,
IMPORTRANGE(""https://docs.google.com/spreadsheets/d/1MjHtlUikwobi2MaWJgy7tfLeBmhj1u-dRFRs_8GwSoA/edit#gid=0"",""Gestores Escolares!D7:m""),10,0),""VERIFICAR CÓD SEC"")"),"(77) 9 9174-0395")</f>
        <v>(77) 9 9174-0395</v>
      </c>
      <c r="S755" s="82"/>
      <c r="T755" s="138">
        <v>1.0</v>
      </c>
      <c r="U755" s="416">
        <v>1.0</v>
      </c>
      <c r="V755" s="106">
        <v>0.0</v>
      </c>
      <c r="W755" s="107">
        <v>0.0</v>
      </c>
      <c r="X755" s="107">
        <v>0.0</v>
      </c>
      <c r="Y755" s="107">
        <v>0.0</v>
      </c>
      <c r="Z755" s="80">
        <f t="shared" si="1"/>
        <v>0</v>
      </c>
      <c r="AA755" s="106">
        <v>0.0</v>
      </c>
      <c r="AB755" s="107">
        <v>0.0</v>
      </c>
      <c r="AC755" s="107">
        <v>0.0</v>
      </c>
      <c r="AD755" s="107">
        <v>0.0</v>
      </c>
      <c r="AE755" s="80">
        <f t="shared" si="2"/>
        <v>0</v>
      </c>
      <c r="AF755" s="140">
        <v>17.0</v>
      </c>
      <c r="AG755" s="109">
        <v>21.0</v>
      </c>
      <c r="AH755" s="109">
        <v>0.0</v>
      </c>
      <c r="AI755" s="141">
        <v>0.0</v>
      </c>
      <c r="AJ755" s="80">
        <f t="shared" si="3"/>
        <v>38</v>
      </c>
      <c r="AK755" s="140">
        <v>0.0</v>
      </c>
      <c r="AL755" s="109">
        <v>0.0</v>
      </c>
      <c r="AM755" s="141">
        <v>0.0</v>
      </c>
      <c r="AN755" s="80">
        <f t="shared" si="4"/>
        <v>0</v>
      </c>
      <c r="AO755" s="140">
        <v>0.0</v>
      </c>
      <c r="AP755" s="109">
        <v>0.0</v>
      </c>
      <c r="AQ755" s="109">
        <v>0.0</v>
      </c>
      <c r="AR755" s="80">
        <f t="shared" si="5"/>
        <v>0</v>
      </c>
      <c r="AS755" s="110">
        <v>0.0</v>
      </c>
      <c r="AT755" s="110">
        <v>0.0</v>
      </c>
      <c r="AU755" s="110">
        <v>0.0</v>
      </c>
      <c r="AV755" s="142">
        <v>0.0</v>
      </c>
      <c r="AW755" s="80">
        <f t="shared" si="6"/>
        <v>0</v>
      </c>
      <c r="AX755" s="113">
        <f t="shared" si="7"/>
        <v>38</v>
      </c>
      <c r="AY755" s="117">
        <f t="shared" si="8"/>
        <v>38</v>
      </c>
      <c r="AZ755" s="120">
        <f t="shared" si="9"/>
        <v>0</v>
      </c>
      <c r="BA755" s="115">
        <v>0.0</v>
      </c>
      <c r="BB755" s="89">
        <f t="shared" si="10"/>
        <v>38</v>
      </c>
      <c r="BC755" s="132" t="s">
        <v>178</v>
      </c>
      <c r="BD755" s="143" t="s">
        <v>227</v>
      </c>
      <c r="BE755" s="132" t="s">
        <v>178</v>
      </c>
      <c r="BF755" s="123"/>
      <c r="BG755" s="83">
        <v>1178824.0</v>
      </c>
      <c r="BH755" s="112"/>
      <c r="BI755" s="112">
        <v>1.0</v>
      </c>
      <c r="BJ755" s="98" t="s">
        <v>155</v>
      </c>
      <c r="BK755" s="99">
        <f t="shared" si="11"/>
        <v>0</v>
      </c>
      <c r="BL755" s="99">
        <f t="shared" si="12"/>
        <v>38</v>
      </c>
      <c r="BM755" s="99" t="str">
        <f>IFERROR(__xludf.DUMMYFUNCTION("IFERROR(VLOOKUP(BG755,IMPORTRANGE(""https://docs.google.com/spreadsheets/d/1juPI-Fb8LD0YtltB2mlGEnp_R3UVu1t3wSFPzgCyHXE/edit?gid=0#gid=0"",""GERAL!A2:C""),3,0),""-"")"),"-")</f>
        <v>-</v>
      </c>
    </row>
    <row r="756" ht="15.75" customHeight="1">
      <c r="A756" s="111" t="s">
        <v>860</v>
      </c>
      <c r="B756" s="83" t="s">
        <v>3591</v>
      </c>
      <c r="C756" s="83" t="s">
        <v>164</v>
      </c>
      <c r="D756" s="112">
        <v>1179339.0</v>
      </c>
      <c r="E756" s="83">
        <v>1179134.0</v>
      </c>
      <c r="F756" s="98">
        <v>2.946148E7</v>
      </c>
      <c r="G756" s="187" t="s">
        <v>3613</v>
      </c>
      <c r="H756" s="91" t="s">
        <v>3614</v>
      </c>
      <c r="I756" s="83" t="s">
        <v>3616</v>
      </c>
      <c r="J756" s="83" t="s">
        <v>2855</v>
      </c>
      <c r="K756" s="83" t="s">
        <v>168</v>
      </c>
      <c r="L756" s="83" t="s">
        <v>169</v>
      </c>
      <c r="M756" s="82" t="str">
        <f>IFERROR(__xludf.DUMMYFUNCTION("IFERROR(VLOOKUP(D756,
IMPORTRANGE(""https://docs.google.com/spreadsheets/d/1MjHtlUikwobi2MaWJgy7tfLeBmhj1u-dRFRs_8GwSoA/edit#gid=0"",""Gestores Escolares!D7:J""),3,0),""VERIFICAR CÓD SEC"")"),"SUELY PASSOS DE SOUZA")</f>
        <v>SUELY PASSOS DE SOUZA</v>
      </c>
      <c r="N756" s="82" t="str">
        <f>IFERROR(__xludf.DUMMYFUNCTION("IFERROR(VLOOKUP(D756,
IMPORTRANGE(""https://docs.google.com/spreadsheets/d/1MjHtlUikwobi2MaWJgy7tfLeBmhj1u-dRFRs_8GwSoA/edit#gid=0"",""Gestores Escolares!D7:J""),4,0),""VERIFICAR CÓD SEC"")"),"(77) 9 9913-6204")</f>
        <v>(77) 9 9913-6204</v>
      </c>
      <c r="O756" s="82" t="str">
        <f>IFERROR(__xludf.DUMMYFUNCTION("IFERROR(VLOOKUP(D756,
IMPORTRANGE(""https://docs.google.com/spreadsheets/d/1MjHtlUikwobi2MaWJgy7tfLeBmhj1u-dRFRs_8GwSoA/edit#gid=0"",""Gestores Escolares!D7:J""),6,0),""VERIFICAR CÓD SEC"")"),"MARCIO ALEXANDRE DE OLIVEIRA ANDRADA")</f>
        <v>MARCIO ALEXANDRE DE OLIVEIRA ANDRADA</v>
      </c>
      <c r="P756" s="82" t="str">
        <f>IFERROR(__xludf.DUMMYFUNCTION("IFERROR(VLOOKUP(D756,
IMPORTRANGE(""https://docs.google.com/spreadsheets/d/1MjHtlUikwobi2MaWJgy7tfLeBmhj1u-dRFRs_8GwSoA/edit#gid=0"",""Gestores Escolares!D7:J""),7,0),""VERIFICAR CÓD SEC"")"),"(71) 9 8554-1121")</f>
        <v>(71) 9 8554-1121</v>
      </c>
      <c r="Q756" s="82" t="str">
        <f>IFERROR(__xludf.DUMMYFUNCTION("IFERROR(VLOOKUP(D756,
IMPORTRANGE(""https://docs.google.com/spreadsheets/d/1MjHtlUikwobi2MaWJgy7tfLeBmhj1u-dRFRs_8GwSoA/edit#gid=0"",""Gestores Escolares!D7:m""),9,0),""VERIFICAR CÓD SEC"")"),"RODRIGO ARLINDO PORTO WANDERLEY MORENO")</f>
        <v>RODRIGO ARLINDO PORTO WANDERLEY MORENO</v>
      </c>
      <c r="R756" s="82" t="str">
        <f>IFERROR(__xludf.DUMMYFUNCTION("IFERROR(VLOOKUP(D756,
IMPORTRANGE(""https://docs.google.com/spreadsheets/d/1MjHtlUikwobi2MaWJgy7tfLeBmhj1u-dRFRs_8GwSoA/edit#gid=0"",""Gestores Escolares!D7:m""),10,0),""VERIFICAR CÓD SEC"")"),"(77) 9 9174-0395")</f>
        <v>(77) 9 9174-0395</v>
      </c>
      <c r="S756" s="82"/>
      <c r="T756" s="138">
        <v>1.0</v>
      </c>
      <c r="U756" s="416">
        <v>1.0</v>
      </c>
      <c r="V756" s="106">
        <v>0.0</v>
      </c>
      <c r="W756" s="107">
        <v>0.0</v>
      </c>
      <c r="X756" s="107">
        <v>0.0</v>
      </c>
      <c r="Y756" s="107">
        <v>0.0</v>
      </c>
      <c r="Z756" s="80">
        <f t="shared" si="1"/>
        <v>0</v>
      </c>
      <c r="AA756" s="106">
        <v>0.0</v>
      </c>
      <c r="AB756" s="107">
        <v>0.0</v>
      </c>
      <c r="AC756" s="107">
        <v>0.0</v>
      </c>
      <c r="AD756" s="107">
        <v>0.0</v>
      </c>
      <c r="AE756" s="80">
        <f t="shared" si="2"/>
        <v>0</v>
      </c>
      <c r="AF756" s="140">
        <v>4.0</v>
      </c>
      <c r="AG756" s="109">
        <v>17.0</v>
      </c>
      <c r="AH756" s="109">
        <v>0.0</v>
      </c>
      <c r="AI756" s="141">
        <v>0.0</v>
      </c>
      <c r="AJ756" s="80">
        <f t="shared" si="3"/>
        <v>21</v>
      </c>
      <c r="AK756" s="140">
        <v>0.0</v>
      </c>
      <c r="AL756" s="109">
        <v>0.0</v>
      </c>
      <c r="AM756" s="141">
        <v>0.0</v>
      </c>
      <c r="AN756" s="80">
        <f t="shared" si="4"/>
        <v>0</v>
      </c>
      <c r="AO756" s="140">
        <v>0.0</v>
      </c>
      <c r="AP756" s="109">
        <v>0.0</v>
      </c>
      <c r="AQ756" s="109">
        <v>0.0</v>
      </c>
      <c r="AR756" s="80">
        <f t="shared" si="5"/>
        <v>0</v>
      </c>
      <c r="AS756" s="110">
        <v>0.0</v>
      </c>
      <c r="AT756" s="110">
        <v>0.0</v>
      </c>
      <c r="AU756" s="110">
        <v>0.0</v>
      </c>
      <c r="AV756" s="142">
        <v>0.0</v>
      </c>
      <c r="AW756" s="80">
        <f t="shared" si="6"/>
        <v>0</v>
      </c>
      <c r="AX756" s="113">
        <f t="shared" si="7"/>
        <v>21</v>
      </c>
      <c r="AY756" s="117">
        <f t="shared" si="8"/>
        <v>21</v>
      </c>
      <c r="AZ756" s="120">
        <f t="shared" si="9"/>
        <v>0</v>
      </c>
      <c r="BA756" s="115">
        <v>0.0</v>
      </c>
      <c r="BB756" s="89">
        <f t="shared" si="10"/>
        <v>21</v>
      </c>
      <c r="BC756" s="132" t="s">
        <v>178</v>
      </c>
      <c r="BD756" s="143" t="s">
        <v>227</v>
      </c>
      <c r="BE756" s="132" t="s">
        <v>178</v>
      </c>
      <c r="BF756" s="123"/>
      <c r="BG756" s="83">
        <v>1179134.0</v>
      </c>
      <c r="BH756" s="112"/>
      <c r="BI756" s="112">
        <v>1.0</v>
      </c>
      <c r="BJ756" s="98" t="s">
        <v>155</v>
      </c>
      <c r="BK756" s="99">
        <f t="shared" si="11"/>
        <v>0</v>
      </c>
      <c r="BL756" s="99">
        <f t="shared" si="12"/>
        <v>21</v>
      </c>
      <c r="BM756" s="99" t="str">
        <f>IFERROR(__xludf.DUMMYFUNCTION("IFERROR(VLOOKUP(BG756,IMPORTRANGE(""https://docs.google.com/spreadsheets/d/1juPI-Fb8LD0YtltB2mlGEnp_R3UVu1t3wSFPzgCyHXE/edit?gid=0#gid=0"",""GERAL!A2:C""),3,0),""-"")"),"-")</f>
        <v>-</v>
      </c>
    </row>
    <row r="757" ht="15.75" customHeight="1">
      <c r="A757" s="111" t="s">
        <v>860</v>
      </c>
      <c r="B757" s="83" t="s">
        <v>3591</v>
      </c>
      <c r="C757" s="83" t="s">
        <v>164</v>
      </c>
      <c r="D757" s="112">
        <v>1179339.0</v>
      </c>
      <c r="E757" s="83">
        <v>1179317.0</v>
      </c>
      <c r="F757" s="98">
        <v>2.946148E7</v>
      </c>
      <c r="G757" s="187" t="s">
        <v>3622</v>
      </c>
      <c r="H757" s="91" t="s">
        <v>3623</v>
      </c>
      <c r="I757" s="83" t="s">
        <v>3624</v>
      </c>
      <c r="J757" s="83" t="s">
        <v>784</v>
      </c>
      <c r="K757" s="83" t="s">
        <v>168</v>
      </c>
      <c r="L757" s="83" t="s">
        <v>169</v>
      </c>
      <c r="M757" s="82" t="str">
        <f>IFERROR(__xludf.DUMMYFUNCTION("IFERROR(VLOOKUP(D757,
IMPORTRANGE(""https://docs.google.com/spreadsheets/d/1MjHtlUikwobi2MaWJgy7tfLeBmhj1u-dRFRs_8GwSoA/edit#gid=0"",""Gestores Escolares!D7:J""),3,0),""VERIFICAR CÓD SEC"")"),"SUELY PASSOS DE SOUZA")</f>
        <v>SUELY PASSOS DE SOUZA</v>
      </c>
      <c r="N757" s="82" t="str">
        <f>IFERROR(__xludf.DUMMYFUNCTION("IFERROR(VLOOKUP(D757,
IMPORTRANGE(""https://docs.google.com/spreadsheets/d/1MjHtlUikwobi2MaWJgy7tfLeBmhj1u-dRFRs_8GwSoA/edit#gid=0"",""Gestores Escolares!D7:J""),4,0),""VERIFICAR CÓD SEC"")"),"(77) 9 9913-6204")</f>
        <v>(77) 9 9913-6204</v>
      </c>
      <c r="O757" s="82" t="str">
        <f>IFERROR(__xludf.DUMMYFUNCTION("IFERROR(VLOOKUP(D757,
IMPORTRANGE(""https://docs.google.com/spreadsheets/d/1MjHtlUikwobi2MaWJgy7tfLeBmhj1u-dRFRs_8GwSoA/edit#gid=0"",""Gestores Escolares!D7:J""),6,0),""VERIFICAR CÓD SEC"")"),"MARCIO ALEXANDRE DE OLIVEIRA ANDRADA")</f>
        <v>MARCIO ALEXANDRE DE OLIVEIRA ANDRADA</v>
      </c>
      <c r="P757" s="82" t="str">
        <f>IFERROR(__xludf.DUMMYFUNCTION("IFERROR(VLOOKUP(D757,
IMPORTRANGE(""https://docs.google.com/spreadsheets/d/1MjHtlUikwobi2MaWJgy7tfLeBmhj1u-dRFRs_8GwSoA/edit#gid=0"",""Gestores Escolares!D7:J""),7,0),""VERIFICAR CÓD SEC"")"),"(71) 9 8554-1121")</f>
        <v>(71) 9 8554-1121</v>
      </c>
      <c r="Q757" s="82" t="str">
        <f>IFERROR(__xludf.DUMMYFUNCTION("IFERROR(VLOOKUP(D757,
IMPORTRANGE(""https://docs.google.com/spreadsheets/d/1MjHtlUikwobi2MaWJgy7tfLeBmhj1u-dRFRs_8GwSoA/edit#gid=0"",""Gestores Escolares!D7:m""),9,0),""VERIFICAR CÓD SEC"")"),"RODRIGO ARLINDO PORTO WANDERLEY MORENO")</f>
        <v>RODRIGO ARLINDO PORTO WANDERLEY MORENO</v>
      </c>
      <c r="R757" s="82" t="str">
        <f>IFERROR(__xludf.DUMMYFUNCTION("IFERROR(VLOOKUP(D757,
IMPORTRANGE(""https://docs.google.com/spreadsheets/d/1MjHtlUikwobi2MaWJgy7tfLeBmhj1u-dRFRs_8GwSoA/edit#gid=0"",""Gestores Escolares!D7:m""),10,0),""VERIFICAR CÓD SEC"")"),"(77) 9 9174-0395")</f>
        <v>(77) 9 9174-0395</v>
      </c>
      <c r="S757" s="82"/>
      <c r="T757" s="138">
        <v>1.0</v>
      </c>
      <c r="U757" s="416">
        <v>1.0</v>
      </c>
      <c r="V757" s="106">
        <v>0.0</v>
      </c>
      <c r="W757" s="107">
        <v>0.0</v>
      </c>
      <c r="X757" s="107">
        <v>0.0</v>
      </c>
      <c r="Y757" s="107">
        <v>0.0</v>
      </c>
      <c r="Z757" s="80">
        <f t="shared" si="1"/>
        <v>0</v>
      </c>
      <c r="AA757" s="106">
        <v>0.0</v>
      </c>
      <c r="AB757" s="107">
        <v>0.0</v>
      </c>
      <c r="AC757" s="107">
        <v>0.0</v>
      </c>
      <c r="AD757" s="107">
        <v>0.0</v>
      </c>
      <c r="AE757" s="80">
        <f t="shared" si="2"/>
        <v>0</v>
      </c>
      <c r="AF757" s="140">
        <v>17.0</v>
      </c>
      <c r="AG757" s="109">
        <v>12.0</v>
      </c>
      <c r="AH757" s="109">
        <v>18.0</v>
      </c>
      <c r="AI757" s="141">
        <v>0.0</v>
      </c>
      <c r="AJ757" s="80">
        <f t="shared" si="3"/>
        <v>47</v>
      </c>
      <c r="AK757" s="140">
        <v>0.0</v>
      </c>
      <c r="AL757" s="109">
        <v>0.0</v>
      </c>
      <c r="AM757" s="141">
        <v>0.0</v>
      </c>
      <c r="AN757" s="80">
        <f t="shared" si="4"/>
        <v>0</v>
      </c>
      <c r="AO757" s="140">
        <v>0.0</v>
      </c>
      <c r="AP757" s="109">
        <v>0.0</v>
      </c>
      <c r="AQ757" s="109">
        <v>0.0</v>
      </c>
      <c r="AR757" s="80">
        <f t="shared" si="5"/>
        <v>0</v>
      </c>
      <c r="AS757" s="110">
        <v>0.0</v>
      </c>
      <c r="AT757" s="110">
        <v>0.0</v>
      </c>
      <c r="AU757" s="110">
        <v>0.0</v>
      </c>
      <c r="AV757" s="142">
        <v>0.0</v>
      </c>
      <c r="AW757" s="80">
        <f t="shared" si="6"/>
        <v>0</v>
      </c>
      <c r="AX757" s="113">
        <f t="shared" si="7"/>
        <v>47</v>
      </c>
      <c r="AY757" s="117">
        <f t="shared" si="8"/>
        <v>29</v>
      </c>
      <c r="AZ757" s="120">
        <f t="shared" si="9"/>
        <v>18</v>
      </c>
      <c r="BA757" s="115">
        <v>0.0</v>
      </c>
      <c r="BB757" s="89">
        <f t="shared" si="10"/>
        <v>47</v>
      </c>
      <c r="BC757" s="132" t="s">
        <v>178</v>
      </c>
      <c r="BD757" s="143" t="s">
        <v>227</v>
      </c>
      <c r="BE757" s="132" t="s">
        <v>178</v>
      </c>
      <c r="BF757" s="156"/>
      <c r="BG757" s="83">
        <v>1179317.0</v>
      </c>
      <c r="BH757" s="112"/>
      <c r="BI757" s="112">
        <v>1.0</v>
      </c>
      <c r="BJ757" s="98" t="s">
        <v>155</v>
      </c>
      <c r="BK757" s="99">
        <f t="shared" si="11"/>
        <v>0</v>
      </c>
      <c r="BL757" s="99">
        <f t="shared" si="12"/>
        <v>29</v>
      </c>
      <c r="BM757" s="99" t="str">
        <f>IFERROR(__xludf.DUMMYFUNCTION("IFERROR(VLOOKUP(BG757,IMPORTRANGE(""https://docs.google.com/spreadsheets/d/1juPI-Fb8LD0YtltB2mlGEnp_R3UVu1t3wSFPzgCyHXE/edit?gid=0#gid=0"",""GERAL!A2:C""),3,0),""-"")"),"-")</f>
        <v>-</v>
      </c>
    </row>
    <row r="758" ht="15.75" customHeight="1">
      <c r="A758" s="111" t="s">
        <v>860</v>
      </c>
      <c r="B758" s="83" t="s">
        <v>3591</v>
      </c>
      <c r="C758" s="83" t="s">
        <v>164</v>
      </c>
      <c r="D758" s="112">
        <v>1179339.0</v>
      </c>
      <c r="E758" s="83">
        <v>1179316.0</v>
      </c>
      <c r="F758" s="98">
        <v>2.946148E7</v>
      </c>
      <c r="G758" s="187" t="s">
        <v>3626</v>
      </c>
      <c r="H758" s="91" t="s">
        <v>3627</v>
      </c>
      <c r="I758" s="83" t="s">
        <v>3628</v>
      </c>
      <c r="J758" s="83" t="s">
        <v>240</v>
      </c>
      <c r="K758" s="83" t="s">
        <v>168</v>
      </c>
      <c r="L758" s="83" t="s">
        <v>169</v>
      </c>
      <c r="M758" s="82" t="str">
        <f>IFERROR(__xludf.DUMMYFUNCTION("IFERROR(VLOOKUP(D758,
IMPORTRANGE(""https://docs.google.com/spreadsheets/d/1MjHtlUikwobi2MaWJgy7tfLeBmhj1u-dRFRs_8GwSoA/edit#gid=0"",""Gestores Escolares!D7:J""),3,0),""VERIFICAR CÓD SEC"")"),"SUELY PASSOS DE SOUZA")</f>
        <v>SUELY PASSOS DE SOUZA</v>
      </c>
      <c r="N758" s="82" t="str">
        <f>IFERROR(__xludf.DUMMYFUNCTION("IFERROR(VLOOKUP(D758,
IMPORTRANGE(""https://docs.google.com/spreadsheets/d/1MjHtlUikwobi2MaWJgy7tfLeBmhj1u-dRFRs_8GwSoA/edit#gid=0"",""Gestores Escolares!D7:J""),4,0),""VERIFICAR CÓD SEC"")"),"(77) 9 9913-6204")</f>
        <v>(77) 9 9913-6204</v>
      </c>
      <c r="O758" s="82" t="str">
        <f>IFERROR(__xludf.DUMMYFUNCTION("IFERROR(VLOOKUP(D758,
IMPORTRANGE(""https://docs.google.com/spreadsheets/d/1MjHtlUikwobi2MaWJgy7tfLeBmhj1u-dRFRs_8GwSoA/edit#gid=0"",""Gestores Escolares!D7:J""),6,0),""VERIFICAR CÓD SEC"")"),"MARCIO ALEXANDRE DE OLIVEIRA ANDRADA")</f>
        <v>MARCIO ALEXANDRE DE OLIVEIRA ANDRADA</v>
      </c>
      <c r="P758" s="82" t="str">
        <f>IFERROR(__xludf.DUMMYFUNCTION("IFERROR(VLOOKUP(D758,
IMPORTRANGE(""https://docs.google.com/spreadsheets/d/1MjHtlUikwobi2MaWJgy7tfLeBmhj1u-dRFRs_8GwSoA/edit#gid=0"",""Gestores Escolares!D7:J""),7,0),""VERIFICAR CÓD SEC"")"),"(71) 9 8554-1121")</f>
        <v>(71) 9 8554-1121</v>
      </c>
      <c r="Q758" s="82" t="str">
        <f>IFERROR(__xludf.DUMMYFUNCTION("IFERROR(VLOOKUP(D758,
IMPORTRANGE(""https://docs.google.com/spreadsheets/d/1MjHtlUikwobi2MaWJgy7tfLeBmhj1u-dRFRs_8GwSoA/edit#gid=0"",""Gestores Escolares!D7:m""),9,0),""VERIFICAR CÓD SEC"")"),"RODRIGO ARLINDO PORTO WANDERLEY MORENO")</f>
        <v>RODRIGO ARLINDO PORTO WANDERLEY MORENO</v>
      </c>
      <c r="R758" s="82" t="str">
        <f>IFERROR(__xludf.DUMMYFUNCTION("IFERROR(VLOOKUP(D758,
IMPORTRANGE(""https://docs.google.com/spreadsheets/d/1MjHtlUikwobi2MaWJgy7tfLeBmhj1u-dRFRs_8GwSoA/edit#gid=0"",""Gestores Escolares!D7:m""),10,0),""VERIFICAR CÓD SEC"")"),"(77) 9 9174-0395")</f>
        <v>(77) 9 9174-0395</v>
      </c>
      <c r="S758" s="82"/>
      <c r="T758" s="138">
        <v>1.0</v>
      </c>
      <c r="U758" s="416">
        <v>1.0</v>
      </c>
      <c r="V758" s="106">
        <v>0.0</v>
      </c>
      <c r="W758" s="107">
        <v>0.0</v>
      </c>
      <c r="X758" s="107">
        <v>0.0</v>
      </c>
      <c r="Y758" s="107">
        <v>0.0</v>
      </c>
      <c r="Z758" s="80">
        <f t="shared" si="1"/>
        <v>0</v>
      </c>
      <c r="AA758" s="106">
        <v>0.0</v>
      </c>
      <c r="AB758" s="107">
        <v>0.0</v>
      </c>
      <c r="AC758" s="107">
        <v>0.0</v>
      </c>
      <c r="AD758" s="107">
        <v>0.0</v>
      </c>
      <c r="AE758" s="80">
        <f t="shared" si="2"/>
        <v>0</v>
      </c>
      <c r="AF758" s="140">
        <v>16.0</v>
      </c>
      <c r="AG758" s="109">
        <v>28.0</v>
      </c>
      <c r="AH758" s="109">
        <v>24.0</v>
      </c>
      <c r="AI758" s="141">
        <v>0.0</v>
      </c>
      <c r="AJ758" s="80">
        <f t="shared" si="3"/>
        <v>68</v>
      </c>
      <c r="AK758" s="140">
        <v>0.0</v>
      </c>
      <c r="AL758" s="109">
        <v>0.0</v>
      </c>
      <c r="AM758" s="141">
        <v>0.0</v>
      </c>
      <c r="AN758" s="80">
        <f t="shared" si="4"/>
        <v>0</v>
      </c>
      <c r="AO758" s="140">
        <v>0.0</v>
      </c>
      <c r="AP758" s="109">
        <v>0.0</v>
      </c>
      <c r="AQ758" s="109">
        <v>0.0</v>
      </c>
      <c r="AR758" s="80">
        <f t="shared" si="5"/>
        <v>0</v>
      </c>
      <c r="AS758" s="110">
        <v>0.0</v>
      </c>
      <c r="AT758" s="110">
        <v>0.0</v>
      </c>
      <c r="AU758" s="110">
        <v>0.0</v>
      </c>
      <c r="AV758" s="142">
        <v>0.0</v>
      </c>
      <c r="AW758" s="80">
        <f t="shared" si="6"/>
        <v>0</v>
      </c>
      <c r="AX758" s="113">
        <f t="shared" si="7"/>
        <v>68</v>
      </c>
      <c r="AY758" s="117">
        <f t="shared" si="8"/>
        <v>44</v>
      </c>
      <c r="AZ758" s="120">
        <f t="shared" si="9"/>
        <v>24</v>
      </c>
      <c r="BA758" s="115">
        <v>0.0</v>
      </c>
      <c r="BB758" s="89">
        <f t="shared" si="10"/>
        <v>68</v>
      </c>
      <c r="BC758" s="132" t="s">
        <v>178</v>
      </c>
      <c r="BD758" s="143" t="s">
        <v>227</v>
      </c>
      <c r="BE758" s="132" t="s">
        <v>178</v>
      </c>
      <c r="BF758" s="156"/>
      <c r="BG758" s="83">
        <v>1179316.0</v>
      </c>
      <c r="BH758" s="112"/>
      <c r="BI758" s="112">
        <v>1.0</v>
      </c>
      <c r="BJ758" s="98" t="s">
        <v>155</v>
      </c>
      <c r="BK758" s="99">
        <f t="shared" si="11"/>
        <v>0</v>
      </c>
      <c r="BL758" s="99">
        <f t="shared" si="12"/>
        <v>44</v>
      </c>
      <c r="BM758" s="99" t="str">
        <f>IFERROR(__xludf.DUMMYFUNCTION("IFERROR(VLOOKUP(BG758,IMPORTRANGE(""https://docs.google.com/spreadsheets/d/1juPI-Fb8LD0YtltB2mlGEnp_R3UVu1t3wSFPzgCyHXE/edit?gid=0#gid=0"",""GERAL!A2:C""),3,0),""-"")"),"-")</f>
        <v>-</v>
      </c>
    </row>
    <row r="759" ht="15.75" customHeight="1">
      <c r="A759" s="111" t="s">
        <v>860</v>
      </c>
      <c r="B759" s="83" t="s">
        <v>3630</v>
      </c>
      <c r="C759" s="83" t="s">
        <v>68</v>
      </c>
      <c r="D759" s="112">
        <v>1129980.0</v>
      </c>
      <c r="E759" s="83"/>
      <c r="F759" s="83">
        <v>2.9002427E7</v>
      </c>
      <c r="G759" s="119" t="s">
        <v>3631</v>
      </c>
      <c r="H759" s="91" t="s">
        <v>3632</v>
      </c>
      <c r="I759" s="136" t="s">
        <v>149</v>
      </c>
      <c r="J759" s="83" t="s">
        <v>150</v>
      </c>
      <c r="K759" s="83" t="s">
        <v>151</v>
      </c>
      <c r="L759" s="83" t="s">
        <v>169</v>
      </c>
      <c r="M759" s="82" t="str">
        <f>IFERROR(__xludf.DUMMYFUNCTION("IFERROR(VLOOKUP(D759,
IMPORTRANGE(""https://docs.google.com/spreadsheets/d/1MjHtlUikwobi2MaWJgy7tfLeBmhj1u-dRFRs_8GwSoA/edit#gid=0"",""Gestores Escolares!D7:J""),3,0),""VERIFICAR CÓD SEC"")"),"KEILANE OLIVEIRA DE SOUZA")</f>
        <v>KEILANE OLIVEIRA DE SOUZA</v>
      </c>
      <c r="N759" s="82" t="str">
        <f>IFERROR(__xludf.DUMMYFUNCTION("IFERROR(VLOOKUP(D759,
IMPORTRANGE(""https://docs.google.com/spreadsheets/d/1MjHtlUikwobi2MaWJgy7tfLeBmhj1u-dRFRs_8GwSoA/edit#gid=0"",""Gestores Escolares!D7:J""),4,0),""VERIFICAR CÓD SEC"")"),"(77) 9 9949-3308")</f>
        <v>(77) 9 9949-3308</v>
      </c>
      <c r="O759" s="82" t="str">
        <f>IFERROR(__xludf.DUMMYFUNCTION("IFERROR(VLOOKUP(D759,
IMPORTRANGE(""https://docs.google.com/spreadsheets/d/1MjHtlUikwobi2MaWJgy7tfLeBmhj1u-dRFRs_8GwSoA/edit#gid=0"",""Gestores Escolares!D7:J""),6,0),""VERIFICAR CÓD SEC"")")," PAULO BESERRA DE ARAUJO JUNIOR")</f>
        <v> PAULO BESERRA DE ARAUJO JUNIOR</v>
      </c>
      <c r="P759" s="82" t="str">
        <f>IFERROR(__xludf.DUMMYFUNCTION("IFERROR(VLOOKUP(D759,
IMPORTRANGE(""https://docs.google.com/spreadsheets/d/1MjHtlUikwobi2MaWJgy7tfLeBmhj1u-dRFRs_8GwSoA/edit#gid=0"",""Gestores Escolares!D7:J""),7,0),""VERIFICAR CÓD SEC"")"),"(77) 9 9915-3544")</f>
        <v>(77) 9 9915-3544</v>
      </c>
      <c r="Q759" s="82" t="str">
        <f>IFERROR(__xludf.DUMMYFUNCTION("IFERROR(VLOOKUP(D759,
IMPORTRANGE(""https://docs.google.com/spreadsheets/d/1MjHtlUikwobi2MaWJgy7tfLeBmhj1u-dRFRs_8GwSoA/edit#gid=0"",""Gestores Escolares!D7:m""),9,0),""VERIFICAR CÓD SEC"")"),"")</f>
        <v/>
      </c>
      <c r="R759" s="82" t="str">
        <f>IFERROR(__xludf.DUMMYFUNCTION("IFERROR(VLOOKUP(D759,
IMPORTRANGE(""https://docs.google.com/spreadsheets/d/1MjHtlUikwobi2MaWJgy7tfLeBmhj1u-dRFRs_8GwSoA/edit#gid=0"",""Gestores Escolares!D7:m""),10,0),""VERIFICAR CÓD SEC"")"),"")</f>
        <v/>
      </c>
      <c r="S759" s="82"/>
      <c r="T759" s="138">
        <v>3.0</v>
      </c>
      <c r="U759" s="388" t="s">
        <v>10846</v>
      </c>
      <c r="V759" s="106">
        <v>0.0</v>
      </c>
      <c r="W759" s="107">
        <v>0.0</v>
      </c>
      <c r="X759" s="107">
        <v>0.0</v>
      </c>
      <c r="Y759" s="107">
        <v>0.0</v>
      </c>
      <c r="Z759" s="80">
        <f t="shared" si="1"/>
        <v>0</v>
      </c>
      <c r="AA759" s="106">
        <v>0.0</v>
      </c>
      <c r="AB759" s="107">
        <v>0.0</v>
      </c>
      <c r="AC759" s="107">
        <v>0.0</v>
      </c>
      <c r="AD759" s="107">
        <v>0.0</v>
      </c>
      <c r="AE759" s="80">
        <f t="shared" si="2"/>
        <v>0</v>
      </c>
      <c r="AF759" s="140">
        <v>0.0</v>
      </c>
      <c r="AG759" s="109">
        <v>0.0</v>
      </c>
      <c r="AH759" s="109">
        <v>0.0</v>
      </c>
      <c r="AI759" s="141">
        <v>75.0</v>
      </c>
      <c r="AJ759" s="80">
        <f t="shared" si="3"/>
        <v>75</v>
      </c>
      <c r="AK759" s="140">
        <v>0.0</v>
      </c>
      <c r="AL759" s="109">
        <v>0.0</v>
      </c>
      <c r="AM759" s="141">
        <v>0.0</v>
      </c>
      <c r="AN759" s="80">
        <f t="shared" si="4"/>
        <v>0</v>
      </c>
      <c r="AO759" s="140">
        <v>0.0</v>
      </c>
      <c r="AP759" s="109">
        <v>0.0</v>
      </c>
      <c r="AQ759" s="109">
        <v>0.0</v>
      </c>
      <c r="AR759" s="80">
        <f t="shared" si="5"/>
        <v>0</v>
      </c>
      <c r="AS759" s="110">
        <v>0.0</v>
      </c>
      <c r="AT759" s="110">
        <v>0.0</v>
      </c>
      <c r="AU759" s="110">
        <v>14.0</v>
      </c>
      <c r="AV759" s="142">
        <v>0.0</v>
      </c>
      <c r="AW759" s="80">
        <f t="shared" si="6"/>
        <v>14</v>
      </c>
      <c r="AX759" s="113">
        <f t="shared" si="7"/>
        <v>89</v>
      </c>
      <c r="AY759" s="117">
        <f t="shared" si="8"/>
        <v>75</v>
      </c>
      <c r="AZ759" s="120">
        <f t="shared" si="9"/>
        <v>14</v>
      </c>
      <c r="BA759" s="115">
        <v>0.0</v>
      </c>
      <c r="BB759" s="89">
        <f t="shared" si="10"/>
        <v>89</v>
      </c>
      <c r="BC759" s="132" t="s">
        <v>178</v>
      </c>
      <c r="BD759" s="132" t="s">
        <v>10848</v>
      </c>
      <c r="BE759" s="132" t="s">
        <v>178</v>
      </c>
      <c r="BF759" s="123"/>
      <c r="BG759" s="83">
        <v>1129980.0</v>
      </c>
      <c r="BH759" s="112"/>
      <c r="BI759" s="112">
        <v>6.0</v>
      </c>
      <c r="BJ759" s="98" t="s">
        <v>155</v>
      </c>
      <c r="BK759" s="99">
        <f t="shared" si="11"/>
        <v>75</v>
      </c>
      <c r="BL759" s="99">
        <f t="shared" si="12"/>
        <v>0</v>
      </c>
      <c r="BM759" s="99" t="str">
        <f>IFERROR(__xludf.DUMMYFUNCTION("IFERROR(VLOOKUP(BG759,IMPORTRANGE(""https://docs.google.com/spreadsheets/d/1juPI-Fb8LD0YtltB2mlGEnp_R3UVu1t3wSFPzgCyHXE/edit?gid=0#gid=0"",""GERAL!A2:C""),3,0),""-"")"),"-")</f>
        <v>-</v>
      </c>
    </row>
    <row r="760" ht="15.75" customHeight="1">
      <c r="A760" s="111" t="s">
        <v>860</v>
      </c>
      <c r="B760" s="83" t="s">
        <v>3630</v>
      </c>
      <c r="C760" s="83" t="s">
        <v>164</v>
      </c>
      <c r="D760" s="112">
        <v>1179339.0</v>
      </c>
      <c r="E760" s="83">
        <v>1178875.0</v>
      </c>
      <c r="F760" s="98">
        <v>2.946148E7</v>
      </c>
      <c r="G760" s="114" t="s">
        <v>3634</v>
      </c>
      <c r="H760" s="91" t="s">
        <v>3635</v>
      </c>
      <c r="I760" s="136" t="s">
        <v>3636</v>
      </c>
      <c r="J760" s="83" t="s">
        <v>822</v>
      </c>
      <c r="K760" s="83" t="s">
        <v>168</v>
      </c>
      <c r="L760" s="83" t="s">
        <v>169</v>
      </c>
      <c r="M760" s="82" t="str">
        <f>IFERROR(__xludf.DUMMYFUNCTION("IFERROR(VLOOKUP(D760,
IMPORTRANGE(""https://docs.google.com/spreadsheets/d/1MjHtlUikwobi2MaWJgy7tfLeBmhj1u-dRFRs_8GwSoA/edit#gid=0"",""Gestores Escolares!D7:J""),3,0),""VERIFICAR CÓD SEC"")"),"SUELY PASSOS DE SOUZA")</f>
        <v>SUELY PASSOS DE SOUZA</v>
      </c>
      <c r="N760" s="82" t="str">
        <f>IFERROR(__xludf.DUMMYFUNCTION("IFERROR(VLOOKUP(D760,
IMPORTRANGE(""https://docs.google.com/spreadsheets/d/1MjHtlUikwobi2MaWJgy7tfLeBmhj1u-dRFRs_8GwSoA/edit#gid=0"",""Gestores Escolares!D7:J""),4,0),""VERIFICAR CÓD SEC"")"),"(77) 9 9913-6204")</f>
        <v>(77) 9 9913-6204</v>
      </c>
      <c r="O760" s="82" t="str">
        <f>IFERROR(__xludf.DUMMYFUNCTION("IFERROR(VLOOKUP(D760,
IMPORTRANGE(""https://docs.google.com/spreadsheets/d/1MjHtlUikwobi2MaWJgy7tfLeBmhj1u-dRFRs_8GwSoA/edit#gid=0"",""Gestores Escolares!D7:J""),6,0),""VERIFICAR CÓD SEC"")"),"MARCIO ALEXANDRE DE OLIVEIRA ANDRADA")</f>
        <v>MARCIO ALEXANDRE DE OLIVEIRA ANDRADA</v>
      </c>
      <c r="P760" s="82" t="str">
        <f>IFERROR(__xludf.DUMMYFUNCTION("IFERROR(VLOOKUP(D760,
IMPORTRANGE(""https://docs.google.com/spreadsheets/d/1MjHtlUikwobi2MaWJgy7tfLeBmhj1u-dRFRs_8GwSoA/edit#gid=0"",""Gestores Escolares!D7:J""),7,0),""VERIFICAR CÓD SEC"")"),"(71) 9 8554-1121")</f>
        <v>(71) 9 8554-1121</v>
      </c>
      <c r="Q760" s="82" t="str">
        <f>IFERROR(__xludf.DUMMYFUNCTION("IFERROR(VLOOKUP(D760,
IMPORTRANGE(""https://docs.google.com/spreadsheets/d/1MjHtlUikwobi2MaWJgy7tfLeBmhj1u-dRFRs_8GwSoA/edit#gid=0"",""Gestores Escolares!D7:m""),9,0),""VERIFICAR CÓD SEC"")"),"RODRIGO ARLINDO PORTO WANDERLEY MORENO")</f>
        <v>RODRIGO ARLINDO PORTO WANDERLEY MORENO</v>
      </c>
      <c r="R760" s="82" t="str">
        <f>IFERROR(__xludf.DUMMYFUNCTION("IFERROR(VLOOKUP(D760,
IMPORTRANGE(""https://docs.google.com/spreadsheets/d/1MjHtlUikwobi2MaWJgy7tfLeBmhj1u-dRFRs_8GwSoA/edit#gid=0"",""Gestores Escolares!D7:m""),10,0),""VERIFICAR CÓD SEC"")"),"(77) 9 9174-0395")</f>
        <v>(77) 9 9174-0395</v>
      </c>
      <c r="S760" s="82"/>
      <c r="T760" s="138">
        <v>3.0</v>
      </c>
      <c r="U760" s="139">
        <v>3.0</v>
      </c>
      <c r="V760" s="106">
        <v>0.0</v>
      </c>
      <c r="W760" s="107">
        <v>0.0</v>
      </c>
      <c r="X760" s="107">
        <v>0.0</v>
      </c>
      <c r="Y760" s="107">
        <v>0.0</v>
      </c>
      <c r="Z760" s="80">
        <f t="shared" si="1"/>
        <v>0</v>
      </c>
      <c r="AA760" s="106">
        <v>0.0</v>
      </c>
      <c r="AB760" s="107">
        <v>0.0</v>
      </c>
      <c r="AC760" s="107">
        <v>0.0</v>
      </c>
      <c r="AD760" s="107">
        <v>0.0</v>
      </c>
      <c r="AE760" s="80">
        <f t="shared" si="2"/>
        <v>0</v>
      </c>
      <c r="AF760" s="140">
        <v>0.0</v>
      </c>
      <c r="AG760" s="109">
        <v>0.0</v>
      </c>
      <c r="AH760" s="109">
        <v>27.0</v>
      </c>
      <c r="AI760" s="141">
        <v>0.0</v>
      </c>
      <c r="AJ760" s="80">
        <f t="shared" si="3"/>
        <v>27</v>
      </c>
      <c r="AK760" s="140">
        <v>0.0</v>
      </c>
      <c r="AL760" s="109">
        <v>0.0</v>
      </c>
      <c r="AM760" s="141">
        <v>0.0</v>
      </c>
      <c r="AN760" s="80">
        <f t="shared" si="4"/>
        <v>0</v>
      </c>
      <c r="AO760" s="140">
        <v>0.0</v>
      </c>
      <c r="AP760" s="109">
        <v>0.0</v>
      </c>
      <c r="AQ760" s="109">
        <v>0.0</v>
      </c>
      <c r="AR760" s="80">
        <f t="shared" si="5"/>
        <v>0</v>
      </c>
      <c r="AS760" s="110">
        <v>0.0</v>
      </c>
      <c r="AT760" s="110">
        <v>0.0</v>
      </c>
      <c r="AU760" s="110">
        <v>0.0</v>
      </c>
      <c r="AV760" s="142">
        <v>0.0</v>
      </c>
      <c r="AW760" s="80">
        <f t="shared" si="6"/>
        <v>0</v>
      </c>
      <c r="AX760" s="113">
        <f t="shared" si="7"/>
        <v>27</v>
      </c>
      <c r="AY760" s="117">
        <f t="shared" si="8"/>
        <v>0</v>
      </c>
      <c r="AZ760" s="120">
        <f t="shared" si="9"/>
        <v>27</v>
      </c>
      <c r="BA760" s="115">
        <v>0.0</v>
      </c>
      <c r="BB760" s="89">
        <f t="shared" si="10"/>
        <v>27</v>
      </c>
      <c r="BC760" s="132" t="s">
        <v>178</v>
      </c>
      <c r="BD760" s="143" t="s">
        <v>227</v>
      </c>
      <c r="BE760" s="132" t="s">
        <v>178</v>
      </c>
      <c r="BF760" s="123"/>
      <c r="BG760" s="83">
        <v>1178875.0</v>
      </c>
      <c r="BH760" s="112"/>
      <c r="BI760" s="112">
        <v>3.0</v>
      </c>
      <c r="BJ760" s="98" t="s">
        <v>155</v>
      </c>
      <c r="BK760" s="99">
        <f t="shared" si="11"/>
        <v>0</v>
      </c>
      <c r="BL760" s="99">
        <f t="shared" si="12"/>
        <v>0</v>
      </c>
      <c r="BM760" s="99" t="str">
        <f>IFERROR(__xludf.DUMMYFUNCTION("IFERROR(VLOOKUP(BG760,IMPORTRANGE(""https://docs.google.com/spreadsheets/d/1juPI-Fb8LD0YtltB2mlGEnp_R3UVu1t3wSFPzgCyHXE/edit?gid=0#gid=0"",""GERAL!A2:C""),3,0),""-"")"),"-")</f>
        <v>-</v>
      </c>
    </row>
    <row r="761" ht="15.75" customHeight="1">
      <c r="A761" s="111" t="s">
        <v>860</v>
      </c>
      <c r="B761" s="83" t="s">
        <v>2218</v>
      </c>
      <c r="C761" s="83" t="s">
        <v>68</v>
      </c>
      <c r="D761" s="112">
        <v>1130260.0</v>
      </c>
      <c r="E761" s="83"/>
      <c r="F761" s="83">
        <v>2.90071E7</v>
      </c>
      <c r="G761" s="119" t="s">
        <v>3637</v>
      </c>
      <c r="H761" s="108" t="s">
        <v>3638</v>
      </c>
      <c r="I761" s="136" t="s">
        <v>149</v>
      </c>
      <c r="J761" s="83" t="s">
        <v>150</v>
      </c>
      <c r="K761" s="83" t="s">
        <v>151</v>
      </c>
      <c r="L761" s="83" t="s">
        <v>152</v>
      </c>
      <c r="M761" s="82" t="str">
        <f>IFERROR(__xludf.DUMMYFUNCTION("IFERROR(VLOOKUP(D761,
IMPORTRANGE(""https://docs.google.com/spreadsheets/d/1MjHtlUikwobi2MaWJgy7tfLeBmhj1u-dRFRs_8GwSoA/edit#gid=0"",""Gestores Escolares!D7:J""),3,0),""VERIFICAR CÓD SEC"")"),"VALDINEA MOREIRA NUNES")</f>
        <v>VALDINEA MOREIRA NUNES</v>
      </c>
      <c r="N761" s="82" t="str">
        <f>IFERROR(__xludf.DUMMYFUNCTION("IFERROR(VLOOKUP(D761,
IMPORTRANGE(""https://docs.google.com/spreadsheets/d/1MjHtlUikwobi2MaWJgy7tfLeBmhj1u-dRFRs_8GwSoA/edit#gid=0"",""Gestores Escolares!D7:J""),4,0),""VERIFICAR CÓD SEC"")"),"(77) 9 8805-3926")</f>
        <v>(77) 9 8805-3926</v>
      </c>
      <c r="O761" s="82" t="str">
        <f>IFERROR(__xludf.DUMMYFUNCTION("IFERROR(VLOOKUP(D761,
IMPORTRANGE(""https://docs.google.com/spreadsheets/d/1MjHtlUikwobi2MaWJgy7tfLeBmhj1u-dRFRs_8GwSoA/edit#gid=0"",""Gestores Escolares!D7:J""),6,0),""VERIFICAR CÓD SEC"")"),"BRUNA DE SOUSA PIRES")</f>
        <v>BRUNA DE SOUSA PIRES</v>
      </c>
      <c r="P761" s="82" t="str">
        <f>IFERROR(__xludf.DUMMYFUNCTION("IFERROR(VLOOKUP(D761,
IMPORTRANGE(""https://docs.google.com/spreadsheets/d/1MjHtlUikwobi2MaWJgy7tfLeBmhj1u-dRFRs_8GwSoA/edit#gid=0"",""Gestores Escolares!D7:J""),7,0),""VERIFICAR CÓD SEC"")")," (77) 9 9924-1651")</f>
        <v> (77) 9 9924-1651</v>
      </c>
      <c r="Q761" s="82" t="str">
        <f>IFERROR(__xludf.DUMMYFUNCTION("IFERROR(VLOOKUP(D761,
IMPORTRANGE(""https://docs.google.com/spreadsheets/d/1MjHtlUikwobi2MaWJgy7tfLeBmhj1u-dRFRs_8GwSoA/edit#gid=0"",""Gestores Escolares!D7:m""),9,0),""VERIFICAR CÓD SEC"")"),"")</f>
        <v/>
      </c>
      <c r="R761" s="82" t="str">
        <f>IFERROR(__xludf.DUMMYFUNCTION("IFERROR(VLOOKUP(D761,
IMPORTRANGE(""https://docs.google.com/spreadsheets/d/1MjHtlUikwobi2MaWJgy7tfLeBmhj1u-dRFRs_8GwSoA/edit#gid=0"",""Gestores Escolares!D7:m""),10,0),""VERIFICAR CÓD SEC"")"),"")</f>
        <v/>
      </c>
      <c r="S761" s="82"/>
      <c r="T761" s="138">
        <v>6.0</v>
      </c>
      <c r="U761" s="145">
        <v>12.0</v>
      </c>
      <c r="V761" s="106">
        <v>0.0</v>
      </c>
      <c r="W761" s="107">
        <v>0.0</v>
      </c>
      <c r="X761" s="107">
        <v>0.0</v>
      </c>
      <c r="Y761" s="107">
        <v>0.0</v>
      </c>
      <c r="Z761" s="80">
        <f t="shared" si="1"/>
        <v>0</v>
      </c>
      <c r="AA761" s="106">
        <v>0.0</v>
      </c>
      <c r="AB761" s="107">
        <v>0.0</v>
      </c>
      <c r="AC761" s="107">
        <v>0.0</v>
      </c>
      <c r="AD761" s="107">
        <v>0.0</v>
      </c>
      <c r="AE761" s="80">
        <f t="shared" si="2"/>
        <v>0</v>
      </c>
      <c r="AF761" s="140">
        <v>135.0</v>
      </c>
      <c r="AG761" s="109">
        <v>119.0</v>
      </c>
      <c r="AH761" s="109">
        <v>0.0</v>
      </c>
      <c r="AI761" s="141">
        <v>87.0</v>
      </c>
      <c r="AJ761" s="80">
        <f t="shared" si="3"/>
        <v>341</v>
      </c>
      <c r="AK761" s="140">
        <v>0.0</v>
      </c>
      <c r="AL761" s="109">
        <v>0.0</v>
      </c>
      <c r="AM761" s="141">
        <v>0.0</v>
      </c>
      <c r="AN761" s="80">
        <f t="shared" si="4"/>
        <v>0</v>
      </c>
      <c r="AO761" s="140">
        <v>0.0</v>
      </c>
      <c r="AP761" s="109">
        <v>0.0</v>
      </c>
      <c r="AQ761" s="109">
        <v>45.0</v>
      </c>
      <c r="AR761" s="80">
        <f t="shared" si="5"/>
        <v>45</v>
      </c>
      <c r="AS761" s="110">
        <v>0.0</v>
      </c>
      <c r="AT761" s="110">
        <v>0.0</v>
      </c>
      <c r="AU761" s="110">
        <v>35.0</v>
      </c>
      <c r="AV761" s="142">
        <v>0.0</v>
      </c>
      <c r="AW761" s="80">
        <f t="shared" si="6"/>
        <v>35</v>
      </c>
      <c r="AX761" s="113">
        <f t="shared" si="7"/>
        <v>421</v>
      </c>
      <c r="AY761" s="117">
        <f t="shared" si="8"/>
        <v>341</v>
      </c>
      <c r="AZ761" s="120">
        <f t="shared" si="9"/>
        <v>80</v>
      </c>
      <c r="BA761" s="115">
        <v>1.0</v>
      </c>
      <c r="BB761" s="89">
        <f t="shared" si="10"/>
        <v>422</v>
      </c>
      <c r="BC761" s="132" t="s">
        <v>178</v>
      </c>
      <c r="BD761" s="132" t="s">
        <v>178</v>
      </c>
      <c r="BE761" s="132" t="s">
        <v>178</v>
      </c>
      <c r="BF761" s="123"/>
      <c r="BG761" s="83">
        <v>1130260.0</v>
      </c>
      <c r="BH761" s="112"/>
      <c r="BI761" s="112">
        <v>7.0</v>
      </c>
      <c r="BJ761" s="98" t="s">
        <v>155</v>
      </c>
      <c r="BK761" s="99">
        <f t="shared" si="11"/>
        <v>87</v>
      </c>
      <c r="BL761" s="99">
        <f t="shared" si="12"/>
        <v>254</v>
      </c>
      <c r="BM761" s="99" t="str">
        <f>IFERROR(__xludf.DUMMYFUNCTION("IFERROR(VLOOKUP(BG761,IMPORTRANGE(""https://docs.google.com/spreadsheets/d/1juPI-Fb8LD0YtltB2mlGEnp_R3UVu1t3wSFPzgCyHXE/edit?gid=0#gid=0"",""GERAL!A2:C""),3,0),""-"")"),"-")</f>
        <v>-</v>
      </c>
    </row>
    <row r="762" ht="15.75" customHeight="1">
      <c r="A762" s="111" t="s">
        <v>860</v>
      </c>
      <c r="B762" s="83" t="s">
        <v>2218</v>
      </c>
      <c r="C762" s="83" t="s">
        <v>164</v>
      </c>
      <c r="D762" s="112">
        <v>1130260.0</v>
      </c>
      <c r="E762" s="83">
        <v>1178877.0</v>
      </c>
      <c r="F762" s="98">
        <v>2.94911E7</v>
      </c>
      <c r="G762" s="119" t="s">
        <v>3642</v>
      </c>
      <c r="H762" s="91" t="s">
        <v>3643</v>
      </c>
      <c r="I762" s="83" t="s">
        <v>3644</v>
      </c>
      <c r="J762" s="136" t="s">
        <v>3645</v>
      </c>
      <c r="K762" s="83" t="s">
        <v>168</v>
      </c>
      <c r="L762" s="83" t="s">
        <v>169</v>
      </c>
      <c r="M762" s="82" t="str">
        <f>IFERROR(__xludf.DUMMYFUNCTION("IFERROR(VLOOKUP(D762,
IMPORTRANGE(""https://docs.google.com/spreadsheets/d/1MjHtlUikwobi2MaWJgy7tfLeBmhj1u-dRFRs_8GwSoA/edit#gid=0"",""Gestores Escolares!D7:J""),3,0),""VERIFICAR CÓD SEC"")"),"VALDINEA MOREIRA NUNES")</f>
        <v>VALDINEA MOREIRA NUNES</v>
      </c>
      <c r="N762" s="82" t="str">
        <f>IFERROR(__xludf.DUMMYFUNCTION("IFERROR(VLOOKUP(D762,
IMPORTRANGE(""https://docs.google.com/spreadsheets/d/1MjHtlUikwobi2MaWJgy7tfLeBmhj1u-dRFRs_8GwSoA/edit#gid=0"",""Gestores Escolares!D7:J""),4,0),""VERIFICAR CÓD SEC"")"),"(77) 9 8805-3926")</f>
        <v>(77) 9 8805-3926</v>
      </c>
      <c r="O762" s="82" t="str">
        <f>IFERROR(__xludf.DUMMYFUNCTION("IFERROR(VLOOKUP(D762,
IMPORTRANGE(""https://docs.google.com/spreadsheets/d/1MjHtlUikwobi2MaWJgy7tfLeBmhj1u-dRFRs_8GwSoA/edit#gid=0"",""Gestores Escolares!D7:J""),6,0),""VERIFICAR CÓD SEC"")"),"BRUNA DE SOUSA PIRES")</f>
        <v>BRUNA DE SOUSA PIRES</v>
      </c>
      <c r="P762" s="82" t="str">
        <f>IFERROR(__xludf.DUMMYFUNCTION("IFERROR(VLOOKUP(D762,
IMPORTRANGE(""https://docs.google.com/spreadsheets/d/1MjHtlUikwobi2MaWJgy7tfLeBmhj1u-dRFRs_8GwSoA/edit#gid=0"",""Gestores Escolares!D7:J""),7,0),""VERIFICAR CÓD SEC"")")," (77) 9 9924-1651")</f>
        <v> (77) 9 9924-1651</v>
      </c>
      <c r="Q762" s="82" t="str">
        <f>IFERROR(__xludf.DUMMYFUNCTION("IFERROR(VLOOKUP(D762,
IMPORTRANGE(""https://docs.google.com/spreadsheets/d/1MjHtlUikwobi2MaWJgy7tfLeBmhj1u-dRFRs_8GwSoA/edit#gid=0"",""Gestores Escolares!D7:m""),9,0),""VERIFICAR CÓD SEC"")"),"")</f>
        <v/>
      </c>
      <c r="R762" s="82" t="str">
        <f>IFERROR(__xludf.DUMMYFUNCTION("IFERROR(VLOOKUP(D762,
IMPORTRANGE(""https://docs.google.com/spreadsheets/d/1MjHtlUikwobi2MaWJgy7tfLeBmhj1u-dRFRs_8GwSoA/edit#gid=0"",""Gestores Escolares!D7:m""),10,0),""VERIFICAR CÓD SEC"")"),"")</f>
        <v/>
      </c>
      <c r="S762" s="82"/>
      <c r="T762" s="138">
        <v>3.0</v>
      </c>
      <c r="U762" s="139">
        <v>3.0</v>
      </c>
      <c r="V762" s="106">
        <v>0.0</v>
      </c>
      <c r="W762" s="107">
        <v>0.0</v>
      </c>
      <c r="X762" s="107">
        <v>0.0</v>
      </c>
      <c r="Y762" s="107">
        <v>0.0</v>
      </c>
      <c r="Z762" s="80">
        <f t="shared" si="1"/>
        <v>0</v>
      </c>
      <c r="AA762" s="106">
        <v>0.0</v>
      </c>
      <c r="AB762" s="107">
        <v>0.0</v>
      </c>
      <c r="AC762" s="107">
        <v>0.0</v>
      </c>
      <c r="AD762" s="107">
        <v>0.0</v>
      </c>
      <c r="AE762" s="80">
        <f t="shared" si="2"/>
        <v>0</v>
      </c>
      <c r="AF762" s="140">
        <v>20.0</v>
      </c>
      <c r="AG762" s="109">
        <v>7.0</v>
      </c>
      <c r="AH762" s="109">
        <v>0.0</v>
      </c>
      <c r="AI762" s="141">
        <v>0.0</v>
      </c>
      <c r="AJ762" s="80">
        <f t="shared" si="3"/>
        <v>27</v>
      </c>
      <c r="AK762" s="140">
        <v>0.0</v>
      </c>
      <c r="AL762" s="109">
        <v>0.0</v>
      </c>
      <c r="AM762" s="141">
        <v>0.0</v>
      </c>
      <c r="AN762" s="80">
        <f t="shared" si="4"/>
        <v>0</v>
      </c>
      <c r="AO762" s="140">
        <v>0.0</v>
      </c>
      <c r="AP762" s="109">
        <v>0.0</v>
      </c>
      <c r="AQ762" s="109">
        <v>0.0</v>
      </c>
      <c r="AR762" s="80">
        <f t="shared" si="5"/>
        <v>0</v>
      </c>
      <c r="AS762" s="110">
        <v>0.0</v>
      </c>
      <c r="AT762" s="110">
        <v>0.0</v>
      </c>
      <c r="AU762" s="110">
        <v>0.0</v>
      </c>
      <c r="AV762" s="142">
        <v>0.0</v>
      </c>
      <c r="AW762" s="80">
        <f t="shared" si="6"/>
        <v>0</v>
      </c>
      <c r="AX762" s="113">
        <f t="shared" si="7"/>
        <v>27</v>
      </c>
      <c r="AY762" s="117">
        <f t="shared" si="8"/>
        <v>27</v>
      </c>
      <c r="AZ762" s="120">
        <f t="shared" si="9"/>
        <v>0</v>
      </c>
      <c r="BA762" s="115">
        <v>0.0</v>
      </c>
      <c r="BB762" s="89">
        <f t="shared" si="10"/>
        <v>27</v>
      </c>
      <c r="BC762" s="132" t="s">
        <v>373</v>
      </c>
      <c r="BD762" s="132" t="s">
        <v>178</v>
      </c>
      <c r="BE762" s="132" t="s">
        <v>178</v>
      </c>
      <c r="BF762" s="123"/>
      <c r="BG762" s="83">
        <v>1178877.0</v>
      </c>
      <c r="BH762" s="112"/>
      <c r="BI762" s="112">
        <v>3.0</v>
      </c>
      <c r="BJ762" s="98" t="s">
        <v>155</v>
      </c>
      <c r="BK762" s="99">
        <f t="shared" si="11"/>
        <v>0</v>
      </c>
      <c r="BL762" s="99">
        <f t="shared" si="12"/>
        <v>27</v>
      </c>
      <c r="BM762" s="99" t="str">
        <f>IFERROR(__xludf.DUMMYFUNCTION("IFERROR(VLOOKUP(BG762,IMPORTRANGE(""https://docs.google.com/spreadsheets/d/1juPI-Fb8LD0YtltB2mlGEnp_R3UVu1t3wSFPzgCyHXE/edit?gid=0#gid=0"",""GERAL!A2:C""),3,0),""-"")"),"CAMPO")</f>
        <v>CAMPO</v>
      </c>
    </row>
    <row r="763" ht="15.75" customHeight="1">
      <c r="A763" s="111" t="s">
        <v>860</v>
      </c>
      <c r="B763" s="83" t="s">
        <v>2218</v>
      </c>
      <c r="C763" s="83" t="s">
        <v>164</v>
      </c>
      <c r="D763" s="112">
        <v>1130260.0</v>
      </c>
      <c r="E763" s="83">
        <v>1179073.0</v>
      </c>
      <c r="F763" s="98">
        <v>2.9491096E7</v>
      </c>
      <c r="G763" s="119" t="s">
        <v>3647</v>
      </c>
      <c r="H763" s="91" t="s">
        <v>3648</v>
      </c>
      <c r="I763" s="83" t="s">
        <v>3649</v>
      </c>
      <c r="J763" s="83" t="s">
        <v>702</v>
      </c>
      <c r="K763" s="83" t="s">
        <v>168</v>
      </c>
      <c r="L763" s="83" t="s">
        <v>169</v>
      </c>
      <c r="M763" s="82" t="str">
        <f>IFERROR(__xludf.DUMMYFUNCTION("IFERROR(VLOOKUP(D763,
IMPORTRANGE(""https://docs.google.com/spreadsheets/d/1MjHtlUikwobi2MaWJgy7tfLeBmhj1u-dRFRs_8GwSoA/edit#gid=0"",""Gestores Escolares!D7:J""),3,0),""VERIFICAR CÓD SEC"")"),"VALDINEA MOREIRA NUNES")</f>
        <v>VALDINEA MOREIRA NUNES</v>
      </c>
      <c r="N763" s="82" t="str">
        <f>IFERROR(__xludf.DUMMYFUNCTION("IFERROR(VLOOKUP(D763,
IMPORTRANGE(""https://docs.google.com/spreadsheets/d/1MjHtlUikwobi2MaWJgy7tfLeBmhj1u-dRFRs_8GwSoA/edit#gid=0"",""Gestores Escolares!D7:J""),4,0),""VERIFICAR CÓD SEC"")"),"(77) 9 8805-3926")</f>
        <v>(77) 9 8805-3926</v>
      </c>
      <c r="O763" s="82" t="str">
        <f>IFERROR(__xludf.DUMMYFUNCTION("IFERROR(VLOOKUP(D763,
IMPORTRANGE(""https://docs.google.com/spreadsheets/d/1MjHtlUikwobi2MaWJgy7tfLeBmhj1u-dRFRs_8GwSoA/edit#gid=0"",""Gestores Escolares!D7:J""),6,0),""VERIFICAR CÓD SEC"")"),"BRUNA DE SOUSA PIRES")</f>
        <v>BRUNA DE SOUSA PIRES</v>
      </c>
      <c r="P763" s="82" t="str">
        <f>IFERROR(__xludf.DUMMYFUNCTION("IFERROR(VLOOKUP(D763,
IMPORTRANGE(""https://docs.google.com/spreadsheets/d/1MjHtlUikwobi2MaWJgy7tfLeBmhj1u-dRFRs_8GwSoA/edit#gid=0"",""Gestores Escolares!D7:J""),7,0),""VERIFICAR CÓD SEC"")")," (77) 9 9924-1651")</f>
        <v> (77) 9 9924-1651</v>
      </c>
      <c r="Q763" s="82" t="str">
        <f>IFERROR(__xludf.DUMMYFUNCTION("IFERROR(VLOOKUP(D763,
IMPORTRANGE(""https://docs.google.com/spreadsheets/d/1MjHtlUikwobi2MaWJgy7tfLeBmhj1u-dRFRs_8GwSoA/edit#gid=0"",""Gestores Escolares!D7:m""),9,0),""VERIFICAR CÓD SEC"")"),"")</f>
        <v/>
      </c>
      <c r="R763" s="82" t="str">
        <f>IFERROR(__xludf.DUMMYFUNCTION("IFERROR(VLOOKUP(D763,
IMPORTRANGE(""https://docs.google.com/spreadsheets/d/1MjHtlUikwobi2MaWJgy7tfLeBmhj1u-dRFRs_8GwSoA/edit#gid=0"",""Gestores Escolares!D7:m""),10,0),""VERIFICAR CÓD SEC"")"),"")</f>
        <v/>
      </c>
      <c r="S763" s="82"/>
      <c r="T763" s="138">
        <v>4.0</v>
      </c>
      <c r="U763" s="139">
        <v>3.0</v>
      </c>
      <c r="V763" s="106">
        <v>0.0</v>
      </c>
      <c r="W763" s="107">
        <v>0.0</v>
      </c>
      <c r="X763" s="107">
        <v>0.0</v>
      </c>
      <c r="Y763" s="107">
        <v>0.0</v>
      </c>
      <c r="Z763" s="80">
        <f t="shared" si="1"/>
        <v>0</v>
      </c>
      <c r="AA763" s="106">
        <v>0.0</v>
      </c>
      <c r="AB763" s="107">
        <v>0.0</v>
      </c>
      <c r="AC763" s="107">
        <v>0.0</v>
      </c>
      <c r="AD763" s="107">
        <v>0.0</v>
      </c>
      <c r="AE763" s="80">
        <f t="shared" si="2"/>
        <v>0</v>
      </c>
      <c r="AF763" s="140">
        <v>0.0</v>
      </c>
      <c r="AG763" s="109">
        <v>0.0</v>
      </c>
      <c r="AH763" s="109">
        <v>0.0</v>
      </c>
      <c r="AI763" s="141">
        <v>0.0</v>
      </c>
      <c r="AJ763" s="80">
        <f t="shared" si="3"/>
        <v>0</v>
      </c>
      <c r="AK763" s="140">
        <v>0.0</v>
      </c>
      <c r="AL763" s="109">
        <v>0.0</v>
      </c>
      <c r="AM763" s="141">
        <v>0.0</v>
      </c>
      <c r="AN763" s="80">
        <f t="shared" si="4"/>
        <v>0</v>
      </c>
      <c r="AO763" s="140">
        <v>0.0</v>
      </c>
      <c r="AP763" s="109">
        <v>0.0</v>
      </c>
      <c r="AQ763" s="109">
        <v>73.0</v>
      </c>
      <c r="AR763" s="80">
        <f t="shared" si="5"/>
        <v>73</v>
      </c>
      <c r="AS763" s="110">
        <v>0.0</v>
      </c>
      <c r="AT763" s="110">
        <v>0.0</v>
      </c>
      <c r="AU763" s="110">
        <v>0.0</v>
      </c>
      <c r="AV763" s="142">
        <v>0.0</v>
      </c>
      <c r="AW763" s="80">
        <f t="shared" si="6"/>
        <v>0</v>
      </c>
      <c r="AX763" s="113">
        <f t="shared" si="7"/>
        <v>73</v>
      </c>
      <c r="AY763" s="117">
        <f t="shared" si="8"/>
        <v>0</v>
      </c>
      <c r="AZ763" s="120">
        <f t="shared" si="9"/>
        <v>73</v>
      </c>
      <c r="BA763" s="115">
        <v>0.0</v>
      </c>
      <c r="BB763" s="89">
        <f t="shared" si="10"/>
        <v>73</v>
      </c>
      <c r="BC763" s="132" t="s">
        <v>373</v>
      </c>
      <c r="BD763" s="132" t="s">
        <v>178</v>
      </c>
      <c r="BE763" s="132" t="s">
        <v>178</v>
      </c>
      <c r="BF763" s="123"/>
      <c r="BG763" s="83">
        <v>1179073.0</v>
      </c>
      <c r="BH763" s="112"/>
      <c r="BI763" s="112">
        <v>3.0</v>
      </c>
      <c r="BJ763" s="98" t="s">
        <v>155</v>
      </c>
      <c r="BK763" s="99">
        <f t="shared" si="11"/>
        <v>0</v>
      </c>
      <c r="BL763" s="99">
        <f t="shared" si="12"/>
        <v>0</v>
      </c>
      <c r="BM763" s="99" t="str">
        <f>IFERROR(__xludf.DUMMYFUNCTION("IFERROR(VLOOKUP(BG763,IMPORTRANGE(""https://docs.google.com/spreadsheets/d/1juPI-Fb8LD0YtltB2mlGEnp_R3UVu1t3wSFPzgCyHXE/edit?gid=0#gid=0"",""GERAL!A2:C""),3,0),""-"")"),"CAMPO")</f>
        <v>CAMPO</v>
      </c>
    </row>
    <row r="764" ht="15.75" customHeight="1">
      <c r="A764" s="111" t="s">
        <v>860</v>
      </c>
      <c r="B764" s="83" t="s">
        <v>2218</v>
      </c>
      <c r="C764" s="83" t="s">
        <v>164</v>
      </c>
      <c r="D764" s="112">
        <v>1179339.0</v>
      </c>
      <c r="E764" s="83">
        <v>1178878.0</v>
      </c>
      <c r="F764" s="98">
        <v>2.946148E7</v>
      </c>
      <c r="G764" s="114" t="s">
        <v>3650</v>
      </c>
      <c r="H764" s="91" t="s">
        <v>3651</v>
      </c>
      <c r="I764" s="136" t="s">
        <v>149</v>
      </c>
      <c r="J764" s="83" t="s">
        <v>244</v>
      </c>
      <c r="K764" s="83" t="s">
        <v>168</v>
      </c>
      <c r="L764" s="83" t="s">
        <v>169</v>
      </c>
      <c r="M764" s="82" t="str">
        <f>IFERROR(__xludf.DUMMYFUNCTION("IFERROR(VLOOKUP(D764,
IMPORTRANGE(""https://docs.google.com/spreadsheets/d/1MjHtlUikwobi2MaWJgy7tfLeBmhj1u-dRFRs_8GwSoA/edit#gid=0"",""Gestores Escolares!D7:J""),3,0),""VERIFICAR CÓD SEC"")"),"SUELY PASSOS DE SOUZA")</f>
        <v>SUELY PASSOS DE SOUZA</v>
      </c>
      <c r="N764" s="82" t="str">
        <f>IFERROR(__xludf.DUMMYFUNCTION("IFERROR(VLOOKUP(D764,
IMPORTRANGE(""https://docs.google.com/spreadsheets/d/1MjHtlUikwobi2MaWJgy7tfLeBmhj1u-dRFRs_8GwSoA/edit#gid=0"",""Gestores Escolares!D7:J""),4,0),""VERIFICAR CÓD SEC"")"),"(77) 9 9913-6204")</f>
        <v>(77) 9 9913-6204</v>
      </c>
      <c r="O764" s="82" t="str">
        <f>IFERROR(__xludf.DUMMYFUNCTION("IFERROR(VLOOKUP(D764,
IMPORTRANGE(""https://docs.google.com/spreadsheets/d/1MjHtlUikwobi2MaWJgy7tfLeBmhj1u-dRFRs_8GwSoA/edit#gid=0"",""Gestores Escolares!D7:J""),6,0),""VERIFICAR CÓD SEC"")"),"MARCIO ALEXANDRE DE OLIVEIRA ANDRADA")</f>
        <v>MARCIO ALEXANDRE DE OLIVEIRA ANDRADA</v>
      </c>
      <c r="P764" s="82" t="str">
        <f>IFERROR(__xludf.DUMMYFUNCTION("IFERROR(VLOOKUP(D764,
IMPORTRANGE(""https://docs.google.com/spreadsheets/d/1MjHtlUikwobi2MaWJgy7tfLeBmhj1u-dRFRs_8GwSoA/edit#gid=0"",""Gestores Escolares!D7:J""),7,0),""VERIFICAR CÓD SEC"")"),"(71) 9 8554-1121")</f>
        <v>(71) 9 8554-1121</v>
      </c>
      <c r="Q764" s="82" t="str">
        <f>IFERROR(__xludf.DUMMYFUNCTION("IFERROR(VLOOKUP(D764,
IMPORTRANGE(""https://docs.google.com/spreadsheets/d/1MjHtlUikwobi2MaWJgy7tfLeBmhj1u-dRFRs_8GwSoA/edit#gid=0"",""Gestores Escolares!D7:m""),9,0),""VERIFICAR CÓD SEC"")"),"RODRIGO ARLINDO PORTO WANDERLEY MORENO")</f>
        <v>RODRIGO ARLINDO PORTO WANDERLEY MORENO</v>
      </c>
      <c r="R764" s="82" t="str">
        <f>IFERROR(__xludf.DUMMYFUNCTION("IFERROR(VLOOKUP(D764,
IMPORTRANGE(""https://docs.google.com/spreadsheets/d/1MjHtlUikwobi2MaWJgy7tfLeBmhj1u-dRFRs_8GwSoA/edit#gid=0"",""Gestores Escolares!D7:m""),10,0),""VERIFICAR CÓD SEC"")"),"(77) 9 9174-0395")</f>
        <v>(77) 9 9174-0395</v>
      </c>
      <c r="S764" s="82"/>
      <c r="T764" s="138">
        <v>3.0</v>
      </c>
      <c r="U764" s="145">
        <v>2.0</v>
      </c>
      <c r="V764" s="106">
        <v>0.0</v>
      </c>
      <c r="W764" s="107">
        <v>0.0</v>
      </c>
      <c r="X764" s="107">
        <v>0.0</v>
      </c>
      <c r="Y764" s="107">
        <v>0.0</v>
      </c>
      <c r="Z764" s="80">
        <f t="shared" si="1"/>
        <v>0</v>
      </c>
      <c r="AA764" s="106">
        <v>0.0</v>
      </c>
      <c r="AB764" s="107">
        <v>0.0</v>
      </c>
      <c r="AC764" s="107">
        <v>0.0</v>
      </c>
      <c r="AD764" s="107">
        <v>0.0</v>
      </c>
      <c r="AE764" s="80">
        <f t="shared" si="2"/>
        <v>0</v>
      </c>
      <c r="AF764" s="140">
        <v>28.0</v>
      </c>
      <c r="AG764" s="109">
        <v>0.0</v>
      </c>
      <c r="AH764" s="109">
        <v>0.0</v>
      </c>
      <c r="AI764" s="141">
        <v>0.0</v>
      </c>
      <c r="AJ764" s="80">
        <f t="shared" si="3"/>
        <v>28</v>
      </c>
      <c r="AK764" s="140">
        <v>0.0</v>
      </c>
      <c r="AL764" s="109">
        <v>0.0</v>
      </c>
      <c r="AM764" s="141">
        <v>0.0</v>
      </c>
      <c r="AN764" s="80">
        <f t="shared" si="4"/>
        <v>0</v>
      </c>
      <c r="AO764" s="140">
        <v>0.0</v>
      </c>
      <c r="AP764" s="109">
        <v>0.0</v>
      </c>
      <c r="AQ764" s="109">
        <v>0.0</v>
      </c>
      <c r="AR764" s="80">
        <f t="shared" si="5"/>
        <v>0</v>
      </c>
      <c r="AS764" s="110">
        <v>0.0</v>
      </c>
      <c r="AT764" s="110">
        <v>0.0</v>
      </c>
      <c r="AU764" s="110">
        <v>0.0</v>
      </c>
      <c r="AV764" s="142">
        <v>0.0</v>
      </c>
      <c r="AW764" s="80">
        <f t="shared" si="6"/>
        <v>0</v>
      </c>
      <c r="AX764" s="113">
        <f t="shared" si="7"/>
        <v>28</v>
      </c>
      <c r="AY764" s="117">
        <f t="shared" si="8"/>
        <v>28</v>
      </c>
      <c r="AZ764" s="120">
        <f t="shared" si="9"/>
        <v>0</v>
      </c>
      <c r="BA764" s="115">
        <v>0.0</v>
      </c>
      <c r="BB764" s="89">
        <f t="shared" si="10"/>
        <v>28</v>
      </c>
      <c r="BC764" s="132" t="s">
        <v>178</v>
      </c>
      <c r="BD764" s="143" t="s">
        <v>227</v>
      </c>
      <c r="BE764" s="132" t="s">
        <v>178</v>
      </c>
      <c r="BF764" s="123"/>
      <c r="BG764" s="83">
        <v>1178878.0</v>
      </c>
      <c r="BH764" s="112"/>
      <c r="BI764" s="112">
        <v>3.0</v>
      </c>
      <c r="BJ764" s="98" t="s">
        <v>155</v>
      </c>
      <c r="BK764" s="99">
        <f t="shared" si="11"/>
        <v>0</v>
      </c>
      <c r="BL764" s="99">
        <f t="shared" si="12"/>
        <v>28</v>
      </c>
      <c r="BM764" s="99" t="str">
        <f>IFERROR(__xludf.DUMMYFUNCTION("IFERROR(VLOOKUP(BG764,IMPORTRANGE(""https://docs.google.com/spreadsheets/d/1juPI-Fb8LD0YtltB2mlGEnp_R3UVu1t3wSFPzgCyHXE/edit?gid=0#gid=0"",""GERAL!A2:C""),3,0),""-"")"),"-")</f>
        <v>-</v>
      </c>
    </row>
    <row r="765" ht="15.75" customHeight="1">
      <c r="A765" s="111" t="s">
        <v>860</v>
      </c>
      <c r="B765" s="83" t="s">
        <v>2218</v>
      </c>
      <c r="C765" s="83" t="s">
        <v>164</v>
      </c>
      <c r="D765" s="112">
        <v>1179339.0</v>
      </c>
      <c r="E765" s="83">
        <v>1179444.0</v>
      </c>
      <c r="F765" s="98">
        <v>2.946148E7</v>
      </c>
      <c r="G765" s="114" t="s">
        <v>3653</v>
      </c>
      <c r="H765" s="91" t="s">
        <v>3654</v>
      </c>
      <c r="I765" s="136" t="s">
        <v>3655</v>
      </c>
      <c r="J765" s="83" t="s">
        <v>183</v>
      </c>
      <c r="K765" s="83" t="s">
        <v>168</v>
      </c>
      <c r="L765" s="83" t="s">
        <v>169</v>
      </c>
      <c r="M765" s="82" t="str">
        <f>IFERROR(__xludf.DUMMYFUNCTION("IFERROR(VLOOKUP(D765,
IMPORTRANGE(""https://docs.google.com/spreadsheets/d/1MjHtlUikwobi2MaWJgy7tfLeBmhj1u-dRFRs_8GwSoA/edit#gid=0"",""Gestores Escolares!D7:J""),3,0),""VERIFICAR CÓD SEC"")"),"SUELY PASSOS DE SOUZA")</f>
        <v>SUELY PASSOS DE SOUZA</v>
      </c>
      <c r="N765" s="82" t="str">
        <f>IFERROR(__xludf.DUMMYFUNCTION("IFERROR(VLOOKUP(D765,
IMPORTRANGE(""https://docs.google.com/spreadsheets/d/1MjHtlUikwobi2MaWJgy7tfLeBmhj1u-dRFRs_8GwSoA/edit#gid=0"",""Gestores Escolares!D7:J""),4,0),""VERIFICAR CÓD SEC"")"),"(77) 9 9913-6204")</f>
        <v>(77) 9 9913-6204</v>
      </c>
      <c r="O765" s="82" t="str">
        <f>IFERROR(__xludf.DUMMYFUNCTION("IFERROR(VLOOKUP(D765,
IMPORTRANGE(""https://docs.google.com/spreadsheets/d/1MjHtlUikwobi2MaWJgy7tfLeBmhj1u-dRFRs_8GwSoA/edit#gid=0"",""Gestores Escolares!D7:J""),6,0),""VERIFICAR CÓD SEC"")"),"MARCIO ALEXANDRE DE OLIVEIRA ANDRADA")</f>
        <v>MARCIO ALEXANDRE DE OLIVEIRA ANDRADA</v>
      </c>
      <c r="P765" s="82" t="str">
        <f>IFERROR(__xludf.DUMMYFUNCTION("IFERROR(VLOOKUP(D765,
IMPORTRANGE(""https://docs.google.com/spreadsheets/d/1MjHtlUikwobi2MaWJgy7tfLeBmhj1u-dRFRs_8GwSoA/edit#gid=0"",""Gestores Escolares!D7:J""),7,0),""VERIFICAR CÓD SEC"")"),"(71) 9 8554-1121")</f>
        <v>(71) 9 8554-1121</v>
      </c>
      <c r="Q765" s="82" t="str">
        <f>IFERROR(__xludf.DUMMYFUNCTION("IFERROR(VLOOKUP(D765,
IMPORTRANGE(""https://docs.google.com/spreadsheets/d/1MjHtlUikwobi2MaWJgy7tfLeBmhj1u-dRFRs_8GwSoA/edit#gid=0"",""Gestores Escolares!D7:m""),9,0),""VERIFICAR CÓD SEC"")"),"RODRIGO ARLINDO PORTO WANDERLEY MORENO")</f>
        <v>RODRIGO ARLINDO PORTO WANDERLEY MORENO</v>
      </c>
      <c r="R765" s="82" t="str">
        <f>IFERROR(__xludf.DUMMYFUNCTION("IFERROR(VLOOKUP(D765,
IMPORTRANGE(""https://docs.google.com/spreadsheets/d/1MjHtlUikwobi2MaWJgy7tfLeBmhj1u-dRFRs_8GwSoA/edit#gid=0"",""Gestores Escolares!D7:m""),10,0),""VERIFICAR CÓD SEC"")"),"(77) 9 9174-0395")</f>
        <v>(77) 9 9174-0395</v>
      </c>
      <c r="S765" s="82"/>
      <c r="T765" s="138">
        <v>2.0</v>
      </c>
      <c r="U765" s="145">
        <v>3.0</v>
      </c>
      <c r="V765" s="106">
        <v>0.0</v>
      </c>
      <c r="W765" s="107">
        <v>0.0</v>
      </c>
      <c r="X765" s="107">
        <v>0.0</v>
      </c>
      <c r="Y765" s="107">
        <v>0.0</v>
      </c>
      <c r="Z765" s="80">
        <f t="shared" si="1"/>
        <v>0</v>
      </c>
      <c r="AA765" s="106">
        <v>0.0</v>
      </c>
      <c r="AB765" s="107">
        <v>0.0</v>
      </c>
      <c r="AC765" s="107">
        <v>0.0</v>
      </c>
      <c r="AD765" s="107">
        <v>0.0</v>
      </c>
      <c r="AE765" s="80">
        <f t="shared" si="2"/>
        <v>0</v>
      </c>
      <c r="AF765" s="140">
        <v>0.0</v>
      </c>
      <c r="AG765" s="109">
        <v>0.0</v>
      </c>
      <c r="AH765" s="109">
        <v>9.0</v>
      </c>
      <c r="AI765" s="141">
        <v>0.0</v>
      </c>
      <c r="AJ765" s="80">
        <f t="shared" si="3"/>
        <v>9</v>
      </c>
      <c r="AK765" s="140">
        <v>0.0</v>
      </c>
      <c r="AL765" s="109">
        <v>0.0</v>
      </c>
      <c r="AM765" s="141">
        <v>0.0</v>
      </c>
      <c r="AN765" s="80">
        <f t="shared" si="4"/>
        <v>0</v>
      </c>
      <c r="AO765" s="140">
        <v>0.0</v>
      </c>
      <c r="AP765" s="109">
        <v>0.0</v>
      </c>
      <c r="AQ765" s="109">
        <v>0.0</v>
      </c>
      <c r="AR765" s="80">
        <f t="shared" si="5"/>
        <v>0</v>
      </c>
      <c r="AS765" s="110">
        <v>0.0</v>
      </c>
      <c r="AT765" s="110">
        <v>0.0</v>
      </c>
      <c r="AU765" s="110">
        <v>0.0</v>
      </c>
      <c r="AV765" s="142">
        <v>0.0</v>
      </c>
      <c r="AW765" s="80">
        <f t="shared" si="6"/>
        <v>0</v>
      </c>
      <c r="AX765" s="113">
        <f t="shared" si="7"/>
        <v>9</v>
      </c>
      <c r="AY765" s="117">
        <f t="shared" si="8"/>
        <v>0</v>
      </c>
      <c r="AZ765" s="120">
        <f t="shared" si="9"/>
        <v>9</v>
      </c>
      <c r="BA765" s="115">
        <v>0.0</v>
      </c>
      <c r="BB765" s="89">
        <f t="shared" si="10"/>
        <v>9</v>
      </c>
      <c r="BC765" s="132" t="s">
        <v>178</v>
      </c>
      <c r="BD765" s="143" t="s">
        <v>227</v>
      </c>
      <c r="BE765" s="132" t="s">
        <v>178</v>
      </c>
      <c r="BF765" s="156"/>
      <c r="BG765" s="83">
        <v>1179444.0</v>
      </c>
      <c r="BH765" s="112"/>
      <c r="BI765" s="112">
        <v>2.0</v>
      </c>
      <c r="BJ765" s="98" t="s">
        <v>155</v>
      </c>
      <c r="BK765" s="99">
        <f t="shared" si="11"/>
        <v>0</v>
      </c>
      <c r="BL765" s="99">
        <f t="shared" si="12"/>
        <v>0</v>
      </c>
      <c r="BM765" s="99" t="str">
        <f>IFERROR(__xludf.DUMMYFUNCTION("IFERROR(VLOOKUP(BG765,IMPORTRANGE(""https://docs.google.com/spreadsheets/d/1juPI-Fb8LD0YtltB2mlGEnp_R3UVu1t3wSFPzgCyHXE/edit?gid=0#gid=0"",""GERAL!A2:C""),3,0),""-"")"),"-")</f>
        <v>-</v>
      </c>
    </row>
    <row r="766" ht="15.75" customHeight="1">
      <c r="A766" s="111" t="s">
        <v>860</v>
      </c>
      <c r="B766" s="83" t="s">
        <v>2218</v>
      </c>
      <c r="C766" s="83" t="s">
        <v>164</v>
      </c>
      <c r="D766" s="112">
        <v>1179339.0</v>
      </c>
      <c r="E766" s="98">
        <v>1178876.0</v>
      </c>
      <c r="F766" s="98">
        <v>2.946148E7</v>
      </c>
      <c r="G766" s="119" t="s">
        <v>3656</v>
      </c>
      <c r="H766" s="108" t="s">
        <v>3657</v>
      </c>
      <c r="I766" s="136"/>
      <c r="J766" s="83"/>
      <c r="K766" s="83"/>
      <c r="L766" s="83"/>
      <c r="M766" s="82" t="str">
        <f>IFERROR(__xludf.DUMMYFUNCTION("IFERROR(VLOOKUP(D766,
IMPORTRANGE(""https://docs.google.com/spreadsheets/d/1MjHtlUikwobi2MaWJgy7tfLeBmhj1u-dRFRs_8GwSoA/edit#gid=0"",""Gestores Escolares!D7:J""),3,0),""VERIFICAR CÓD SEC"")"),"SUELY PASSOS DE SOUZA")</f>
        <v>SUELY PASSOS DE SOUZA</v>
      </c>
      <c r="N766" s="82" t="str">
        <f>IFERROR(__xludf.DUMMYFUNCTION("IFERROR(VLOOKUP(D766,
IMPORTRANGE(""https://docs.google.com/spreadsheets/d/1MjHtlUikwobi2MaWJgy7tfLeBmhj1u-dRFRs_8GwSoA/edit#gid=0"",""Gestores Escolares!D7:J""),4,0),""VERIFICAR CÓD SEC"")"),"(77) 9 9913-6204")</f>
        <v>(77) 9 9913-6204</v>
      </c>
      <c r="O766" s="82" t="str">
        <f>IFERROR(__xludf.DUMMYFUNCTION("IFERROR(VLOOKUP(D766,
IMPORTRANGE(""https://docs.google.com/spreadsheets/d/1MjHtlUikwobi2MaWJgy7tfLeBmhj1u-dRFRs_8GwSoA/edit#gid=0"",""Gestores Escolares!D7:J""),6,0),""VERIFICAR CÓD SEC"")"),"MARCIO ALEXANDRE DE OLIVEIRA ANDRADA")</f>
        <v>MARCIO ALEXANDRE DE OLIVEIRA ANDRADA</v>
      </c>
      <c r="P766" s="82" t="str">
        <f>IFERROR(__xludf.DUMMYFUNCTION("IFERROR(VLOOKUP(D766,
IMPORTRANGE(""https://docs.google.com/spreadsheets/d/1MjHtlUikwobi2MaWJgy7tfLeBmhj1u-dRFRs_8GwSoA/edit#gid=0"",""Gestores Escolares!D7:J""),7,0),""VERIFICAR CÓD SEC"")"),"(71) 9 8554-1121")</f>
        <v>(71) 9 8554-1121</v>
      </c>
      <c r="Q766" s="82" t="str">
        <f>IFERROR(__xludf.DUMMYFUNCTION("IFERROR(VLOOKUP(D766,
IMPORTRANGE(""https://docs.google.com/spreadsheets/d/1MjHtlUikwobi2MaWJgy7tfLeBmhj1u-dRFRs_8GwSoA/edit#gid=0"",""Gestores Escolares!D7:m""),9,0),""VERIFICAR CÓD SEC"")"),"RODRIGO ARLINDO PORTO WANDERLEY MORENO")</f>
        <v>RODRIGO ARLINDO PORTO WANDERLEY MORENO</v>
      </c>
      <c r="R766" s="82" t="str">
        <f>IFERROR(__xludf.DUMMYFUNCTION("IFERROR(VLOOKUP(D766,
IMPORTRANGE(""https://docs.google.com/spreadsheets/d/1MjHtlUikwobi2MaWJgy7tfLeBmhj1u-dRFRs_8GwSoA/edit#gid=0"",""Gestores Escolares!D7:m""),10,0),""VERIFICAR CÓD SEC"")"),"(77) 9 9174-0395")</f>
        <v>(77) 9 9174-0395</v>
      </c>
      <c r="S766" s="82"/>
      <c r="T766" s="138"/>
      <c r="U766" s="359"/>
      <c r="V766" s="106">
        <v>0.0</v>
      </c>
      <c r="W766" s="107">
        <v>0.0</v>
      </c>
      <c r="X766" s="107">
        <v>0.0</v>
      </c>
      <c r="Y766" s="107">
        <v>0.0</v>
      </c>
      <c r="Z766" s="80">
        <f t="shared" si="1"/>
        <v>0</v>
      </c>
      <c r="AA766" s="106">
        <v>0.0</v>
      </c>
      <c r="AB766" s="107">
        <v>0.0</v>
      </c>
      <c r="AC766" s="107">
        <v>0.0</v>
      </c>
      <c r="AD766" s="107">
        <v>0.0</v>
      </c>
      <c r="AE766" s="80">
        <f t="shared" si="2"/>
        <v>0</v>
      </c>
      <c r="AF766" s="140">
        <v>4.0</v>
      </c>
      <c r="AG766" s="109">
        <v>8.0</v>
      </c>
      <c r="AH766" s="109">
        <v>1.0</v>
      </c>
      <c r="AI766" s="141">
        <v>0.0</v>
      </c>
      <c r="AJ766" s="80">
        <f t="shared" si="3"/>
        <v>13</v>
      </c>
      <c r="AK766" s="140">
        <v>0.0</v>
      </c>
      <c r="AL766" s="109">
        <v>0.0</v>
      </c>
      <c r="AM766" s="141">
        <v>0.0</v>
      </c>
      <c r="AN766" s="80">
        <f t="shared" si="4"/>
        <v>0</v>
      </c>
      <c r="AO766" s="140">
        <v>0.0</v>
      </c>
      <c r="AP766" s="109">
        <v>0.0</v>
      </c>
      <c r="AQ766" s="109">
        <v>0.0</v>
      </c>
      <c r="AR766" s="80">
        <f t="shared" si="5"/>
        <v>0</v>
      </c>
      <c r="AS766" s="110">
        <v>0.0</v>
      </c>
      <c r="AT766" s="110">
        <v>0.0</v>
      </c>
      <c r="AU766" s="110">
        <v>0.0</v>
      </c>
      <c r="AV766" s="142">
        <v>0.0</v>
      </c>
      <c r="AW766" s="80">
        <f t="shared" si="6"/>
        <v>0</v>
      </c>
      <c r="AX766" s="113">
        <f t="shared" si="7"/>
        <v>13</v>
      </c>
      <c r="AY766" s="117">
        <f t="shared" si="8"/>
        <v>12</v>
      </c>
      <c r="AZ766" s="120">
        <f t="shared" si="9"/>
        <v>1</v>
      </c>
      <c r="BA766" s="115">
        <v>0.0</v>
      </c>
      <c r="BB766" s="89">
        <f t="shared" si="10"/>
        <v>13</v>
      </c>
      <c r="BC766" s="132" t="s">
        <v>178</v>
      </c>
      <c r="BD766" s="132" t="s">
        <v>227</v>
      </c>
      <c r="BE766" s="132" t="s">
        <v>178</v>
      </c>
      <c r="BF766" s="123"/>
      <c r="BG766" s="98">
        <v>1178876.0</v>
      </c>
      <c r="BH766" s="112"/>
      <c r="BI766" s="112"/>
      <c r="BJ766" s="98" t="s">
        <v>155</v>
      </c>
      <c r="BK766" s="99">
        <f t="shared" si="11"/>
        <v>0</v>
      </c>
      <c r="BL766" s="99">
        <f t="shared" si="12"/>
        <v>12</v>
      </c>
      <c r="BM766" s="99" t="str">
        <f>IFERROR(__xludf.DUMMYFUNCTION("IFERROR(VLOOKUP(BG766,IMPORTRANGE(""https://docs.google.com/spreadsheets/d/1juPI-Fb8LD0YtltB2mlGEnp_R3UVu1t3wSFPzgCyHXE/edit?gid=0#gid=0"",""GERAL!A2:C""),3,0),""-"")"),"-")</f>
        <v>-</v>
      </c>
    </row>
    <row r="767" ht="15.75" customHeight="1">
      <c r="A767" s="111" t="s">
        <v>860</v>
      </c>
      <c r="B767" s="83" t="s">
        <v>2218</v>
      </c>
      <c r="C767" s="83" t="s">
        <v>164</v>
      </c>
      <c r="D767" s="112">
        <v>1179339.0</v>
      </c>
      <c r="E767" s="146">
        <v>1179236.0</v>
      </c>
      <c r="F767" s="98">
        <v>2.946148E7</v>
      </c>
      <c r="G767" s="114" t="s">
        <v>3660</v>
      </c>
      <c r="H767" s="91" t="s">
        <v>3661</v>
      </c>
      <c r="I767" s="136" t="s">
        <v>149</v>
      </c>
      <c r="J767" s="83" t="s">
        <v>588</v>
      </c>
      <c r="K767" s="83" t="s">
        <v>168</v>
      </c>
      <c r="L767" s="83" t="s">
        <v>169</v>
      </c>
      <c r="M767" s="82" t="str">
        <f>IFERROR(__xludf.DUMMYFUNCTION("IFERROR(VLOOKUP(D767,
IMPORTRANGE(""https://docs.google.com/spreadsheets/d/1MjHtlUikwobi2MaWJgy7tfLeBmhj1u-dRFRs_8GwSoA/edit#gid=0"",""Gestores Escolares!D7:J""),3,0),""VERIFICAR CÓD SEC"")"),"SUELY PASSOS DE SOUZA")</f>
        <v>SUELY PASSOS DE SOUZA</v>
      </c>
      <c r="N767" s="82" t="str">
        <f>IFERROR(__xludf.DUMMYFUNCTION("IFERROR(VLOOKUP(D767,
IMPORTRANGE(""https://docs.google.com/spreadsheets/d/1MjHtlUikwobi2MaWJgy7tfLeBmhj1u-dRFRs_8GwSoA/edit#gid=0"",""Gestores Escolares!D7:J""),4,0),""VERIFICAR CÓD SEC"")"),"(77) 9 9913-6204")</f>
        <v>(77) 9 9913-6204</v>
      </c>
      <c r="O767" s="82" t="str">
        <f>IFERROR(__xludf.DUMMYFUNCTION("IFERROR(VLOOKUP(D767,
IMPORTRANGE(""https://docs.google.com/spreadsheets/d/1MjHtlUikwobi2MaWJgy7tfLeBmhj1u-dRFRs_8GwSoA/edit#gid=0"",""Gestores Escolares!D7:J""),6,0),""VERIFICAR CÓD SEC"")"),"MARCIO ALEXANDRE DE OLIVEIRA ANDRADA")</f>
        <v>MARCIO ALEXANDRE DE OLIVEIRA ANDRADA</v>
      </c>
      <c r="P767" s="82" t="str">
        <f>IFERROR(__xludf.DUMMYFUNCTION("IFERROR(VLOOKUP(D767,
IMPORTRANGE(""https://docs.google.com/spreadsheets/d/1MjHtlUikwobi2MaWJgy7tfLeBmhj1u-dRFRs_8GwSoA/edit#gid=0"",""Gestores Escolares!D7:J""),7,0),""VERIFICAR CÓD SEC"")"),"(71) 9 8554-1121")</f>
        <v>(71) 9 8554-1121</v>
      </c>
      <c r="Q767" s="82" t="str">
        <f>IFERROR(__xludf.DUMMYFUNCTION("IFERROR(VLOOKUP(D767,
IMPORTRANGE(""https://docs.google.com/spreadsheets/d/1MjHtlUikwobi2MaWJgy7tfLeBmhj1u-dRFRs_8GwSoA/edit#gid=0"",""Gestores Escolares!D7:m""),9,0),""VERIFICAR CÓD SEC"")"),"RODRIGO ARLINDO PORTO WANDERLEY MORENO")</f>
        <v>RODRIGO ARLINDO PORTO WANDERLEY MORENO</v>
      </c>
      <c r="R767" s="82" t="str">
        <f>IFERROR(__xludf.DUMMYFUNCTION("IFERROR(VLOOKUP(D767,
IMPORTRANGE(""https://docs.google.com/spreadsheets/d/1MjHtlUikwobi2MaWJgy7tfLeBmhj1u-dRFRs_8GwSoA/edit#gid=0"",""Gestores Escolares!D7:m""),10,0),""VERIFICAR CÓD SEC"")"),"(77) 9 9174-0395")</f>
        <v>(77) 9 9174-0395</v>
      </c>
      <c r="S767" s="82"/>
      <c r="T767" s="138">
        <v>3.0</v>
      </c>
      <c r="U767" s="139">
        <v>3.0</v>
      </c>
      <c r="V767" s="106">
        <v>0.0</v>
      </c>
      <c r="W767" s="107">
        <v>0.0</v>
      </c>
      <c r="X767" s="107">
        <v>0.0</v>
      </c>
      <c r="Y767" s="107">
        <v>0.0</v>
      </c>
      <c r="Z767" s="80">
        <f t="shared" si="1"/>
        <v>0</v>
      </c>
      <c r="AA767" s="106">
        <v>0.0</v>
      </c>
      <c r="AB767" s="107">
        <v>0.0</v>
      </c>
      <c r="AC767" s="107">
        <v>0.0</v>
      </c>
      <c r="AD767" s="107">
        <v>0.0</v>
      </c>
      <c r="AE767" s="80">
        <f t="shared" si="2"/>
        <v>0</v>
      </c>
      <c r="AF767" s="140">
        <v>0.0</v>
      </c>
      <c r="AG767" s="109">
        <v>0.0</v>
      </c>
      <c r="AH767" s="109">
        <v>20.0</v>
      </c>
      <c r="AI767" s="141">
        <v>0.0</v>
      </c>
      <c r="AJ767" s="80">
        <f t="shared" si="3"/>
        <v>20</v>
      </c>
      <c r="AK767" s="140">
        <v>0.0</v>
      </c>
      <c r="AL767" s="109">
        <v>0.0</v>
      </c>
      <c r="AM767" s="141">
        <v>0.0</v>
      </c>
      <c r="AN767" s="80">
        <f t="shared" si="4"/>
        <v>0</v>
      </c>
      <c r="AO767" s="140">
        <v>0.0</v>
      </c>
      <c r="AP767" s="109">
        <v>0.0</v>
      </c>
      <c r="AQ767" s="109">
        <v>0.0</v>
      </c>
      <c r="AR767" s="80">
        <f t="shared" si="5"/>
        <v>0</v>
      </c>
      <c r="AS767" s="110">
        <v>0.0</v>
      </c>
      <c r="AT767" s="110">
        <v>0.0</v>
      </c>
      <c r="AU767" s="110">
        <v>0.0</v>
      </c>
      <c r="AV767" s="142">
        <v>0.0</v>
      </c>
      <c r="AW767" s="80">
        <f t="shared" si="6"/>
        <v>0</v>
      </c>
      <c r="AX767" s="113">
        <f t="shared" si="7"/>
        <v>20</v>
      </c>
      <c r="AY767" s="117">
        <f t="shared" si="8"/>
        <v>0</v>
      </c>
      <c r="AZ767" s="120">
        <f t="shared" si="9"/>
        <v>20</v>
      </c>
      <c r="BA767" s="115">
        <v>0.0</v>
      </c>
      <c r="BB767" s="89">
        <f t="shared" si="10"/>
        <v>20</v>
      </c>
      <c r="BC767" s="132" t="s">
        <v>178</v>
      </c>
      <c r="BD767" s="143" t="s">
        <v>227</v>
      </c>
      <c r="BE767" s="132" t="s">
        <v>178</v>
      </c>
      <c r="BF767" s="123"/>
      <c r="BG767" s="83">
        <v>1179236.0</v>
      </c>
      <c r="BH767" s="112"/>
      <c r="BI767" s="112">
        <v>3.0</v>
      </c>
      <c r="BJ767" s="98" t="s">
        <v>155</v>
      </c>
      <c r="BK767" s="99">
        <f t="shared" si="11"/>
        <v>0</v>
      </c>
      <c r="BL767" s="99">
        <f t="shared" si="12"/>
        <v>0</v>
      </c>
      <c r="BM767" s="99" t="str">
        <f>IFERROR(__xludf.DUMMYFUNCTION("IFERROR(VLOOKUP(BG767,IMPORTRANGE(""https://docs.google.com/spreadsheets/d/1juPI-Fb8LD0YtltB2mlGEnp_R3UVu1t3wSFPzgCyHXE/edit?gid=0#gid=0"",""GERAL!A2:C""),3,0),""-"")"),"-")</f>
        <v>-</v>
      </c>
    </row>
    <row r="768" ht="15.75" customHeight="1">
      <c r="A768" s="111" t="s">
        <v>860</v>
      </c>
      <c r="B768" s="83" t="s">
        <v>2173</v>
      </c>
      <c r="C768" s="83" t="s">
        <v>68</v>
      </c>
      <c r="D768" s="112">
        <v>1169558.0</v>
      </c>
      <c r="E768" s="83"/>
      <c r="F768" s="83">
        <v>2.9007887E7</v>
      </c>
      <c r="G768" s="119" t="s">
        <v>3662</v>
      </c>
      <c r="H768" s="91" t="s">
        <v>3663</v>
      </c>
      <c r="I768" s="136" t="s">
        <v>149</v>
      </c>
      <c r="J768" s="83" t="s">
        <v>150</v>
      </c>
      <c r="K768" s="83" t="s">
        <v>151</v>
      </c>
      <c r="L768" s="98" t="s">
        <v>152</v>
      </c>
      <c r="M768" s="82" t="str">
        <f>IFERROR(__xludf.DUMMYFUNCTION("IFERROR(VLOOKUP(D768,
IMPORTRANGE(""https://docs.google.com/spreadsheets/d/1MjHtlUikwobi2MaWJgy7tfLeBmhj1u-dRFRs_8GwSoA/edit#gid=0"",""Gestores Escolares!D7:J""),3,0),""VERIFICAR CÓD SEC"")"),"TARCISIO ITALO OLIVEIRA DEFENSOR")</f>
        <v>TARCISIO ITALO OLIVEIRA DEFENSOR</v>
      </c>
      <c r="N768" s="82" t="str">
        <f>IFERROR(__xludf.DUMMYFUNCTION("IFERROR(VLOOKUP(D768,
IMPORTRANGE(""https://docs.google.com/spreadsheets/d/1MjHtlUikwobi2MaWJgy7tfLeBmhj1u-dRFRs_8GwSoA/edit#gid=0"",""Gestores Escolares!D7:J""),4,0),""VERIFICAR CÓD SEC"")"),"(77) 9 8119-1507")</f>
        <v>(77) 9 8119-1507</v>
      </c>
      <c r="O768" s="82" t="str">
        <f>IFERROR(__xludf.DUMMYFUNCTION("IFERROR(VLOOKUP(D768,
IMPORTRANGE(""https://docs.google.com/spreadsheets/d/1MjHtlUikwobi2MaWJgy7tfLeBmhj1u-dRFRs_8GwSoA/edit#gid=0"",""Gestores Escolares!D7:J""),6,0),""VERIFICAR CÓD SEC"")"),"RAQUEL MAIA ARAUJO")</f>
        <v>RAQUEL MAIA ARAUJO</v>
      </c>
      <c r="P768" s="82" t="str">
        <f>IFERROR(__xludf.DUMMYFUNCTION("IFERROR(VLOOKUP(D768,
IMPORTRANGE(""https://docs.google.com/spreadsheets/d/1MjHtlUikwobi2MaWJgy7tfLeBmhj1u-dRFRs_8GwSoA/edit#gid=0"",""Gestores Escolares!D7:J""),7,0),""VERIFICAR CÓD SEC"")"),"(77) 9 8143-6847")</f>
        <v>(77) 9 8143-6847</v>
      </c>
      <c r="Q768" s="82" t="str">
        <f>IFERROR(__xludf.DUMMYFUNCTION("IFERROR(VLOOKUP(D768,
IMPORTRANGE(""https://docs.google.com/spreadsheets/d/1MjHtlUikwobi2MaWJgy7tfLeBmhj1u-dRFRs_8GwSoA/edit#gid=0"",""Gestores Escolares!D7:m""),9,0),""VERIFICAR CÓD SEC"")"),"")</f>
        <v/>
      </c>
      <c r="R768" s="82" t="str">
        <f>IFERROR(__xludf.DUMMYFUNCTION("IFERROR(VLOOKUP(D768,
IMPORTRANGE(""https://docs.google.com/spreadsheets/d/1MjHtlUikwobi2MaWJgy7tfLeBmhj1u-dRFRs_8GwSoA/edit#gid=0"",""Gestores Escolares!D7:m""),10,0),""VERIFICAR CÓD SEC"")"),"")</f>
        <v/>
      </c>
      <c r="S768" s="82"/>
      <c r="T768" s="138">
        <v>5.0</v>
      </c>
      <c r="U768" s="145" t="s">
        <v>10947</v>
      </c>
      <c r="V768" s="106">
        <v>0.0</v>
      </c>
      <c r="W768" s="107">
        <v>0.0</v>
      </c>
      <c r="X768" s="107">
        <v>0.0</v>
      </c>
      <c r="Y768" s="107">
        <v>0.0</v>
      </c>
      <c r="Z768" s="80">
        <f t="shared" si="1"/>
        <v>0</v>
      </c>
      <c r="AA768" s="106">
        <v>0.0</v>
      </c>
      <c r="AB768" s="107">
        <v>0.0</v>
      </c>
      <c r="AC768" s="107">
        <v>0.0</v>
      </c>
      <c r="AD768" s="107">
        <v>0.0</v>
      </c>
      <c r="AE768" s="80">
        <f t="shared" si="2"/>
        <v>0</v>
      </c>
      <c r="AF768" s="140">
        <v>182.0</v>
      </c>
      <c r="AG768" s="109">
        <v>213.0</v>
      </c>
      <c r="AH768" s="109">
        <v>0.0</v>
      </c>
      <c r="AI768" s="141">
        <v>39.0</v>
      </c>
      <c r="AJ768" s="80">
        <f t="shared" si="3"/>
        <v>434</v>
      </c>
      <c r="AK768" s="140">
        <v>0.0</v>
      </c>
      <c r="AL768" s="109">
        <v>0.0</v>
      </c>
      <c r="AM768" s="141">
        <v>0.0</v>
      </c>
      <c r="AN768" s="80">
        <f t="shared" si="4"/>
        <v>0</v>
      </c>
      <c r="AO768" s="140">
        <v>0.0</v>
      </c>
      <c r="AP768" s="109">
        <v>0.0</v>
      </c>
      <c r="AQ768" s="109">
        <v>45.0</v>
      </c>
      <c r="AR768" s="80">
        <f t="shared" si="5"/>
        <v>45</v>
      </c>
      <c r="AS768" s="110">
        <v>12.0</v>
      </c>
      <c r="AT768" s="110">
        <v>0.0</v>
      </c>
      <c r="AU768" s="110">
        <v>15.0</v>
      </c>
      <c r="AV768" s="142">
        <v>0.0</v>
      </c>
      <c r="AW768" s="80">
        <f t="shared" si="6"/>
        <v>27</v>
      </c>
      <c r="AX768" s="113">
        <f t="shared" si="7"/>
        <v>506</v>
      </c>
      <c r="AY768" s="117">
        <f t="shared" si="8"/>
        <v>446</v>
      </c>
      <c r="AZ768" s="120">
        <f t="shared" si="9"/>
        <v>60</v>
      </c>
      <c r="BA768" s="115">
        <v>0.0</v>
      </c>
      <c r="BB768" s="89">
        <f t="shared" si="10"/>
        <v>506</v>
      </c>
      <c r="BC768" s="132" t="s">
        <v>178</v>
      </c>
      <c r="BD768" s="132" t="s">
        <v>178</v>
      </c>
      <c r="BE768" s="132" t="s">
        <v>178</v>
      </c>
      <c r="BF768" s="156"/>
      <c r="BG768" s="83">
        <v>1169558.0</v>
      </c>
      <c r="BH768" s="112"/>
      <c r="BI768" s="112">
        <v>5.0</v>
      </c>
      <c r="BJ768" s="98" t="s">
        <v>176</v>
      </c>
      <c r="BK768" s="99">
        <f t="shared" si="11"/>
        <v>39</v>
      </c>
      <c r="BL768" s="99">
        <f t="shared" si="12"/>
        <v>407</v>
      </c>
      <c r="BM768" s="99" t="str">
        <f>IFERROR(__xludf.DUMMYFUNCTION("IFERROR(VLOOKUP(BG768,IMPORTRANGE(""https://docs.google.com/spreadsheets/d/1juPI-Fb8LD0YtltB2mlGEnp_R3UVu1t3wSFPzgCyHXE/edit?gid=0#gid=0"",""GERAL!A2:C""),3,0),""-"")"),"-")</f>
        <v>-</v>
      </c>
    </row>
    <row r="769" ht="15.75" customHeight="1">
      <c r="A769" s="111" t="s">
        <v>860</v>
      </c>
      <c r="B769" s="83" t="s">
        <v>2030</v>
      </c>
      <c r="C769" s="83" t="s">
        <v>68</v>
      </c>
      <c r="D769" s="112">
        <v>1179662.0</v>
      </c>
      <c r="E769" s="83"/>
      <c r="F769" s="83">
        <v>2.9474914E7</v>
      </c>
      <c r="G769" s="153" t="s">
        <v>3665</v>
      </c>
      <c r="H769" s="108" t="s">
        <v>3666</v>
      </c>
      <c r="I769" s="83" t="s">
        <v>149</v>
      </c>
      <c r="J769" s="83" t="s">
        <v>150</v>
      </c>
      <c r="K769" s="83" t="s">
        <v>151</v>
      </c>
      <c r="L769" s="83" t="s">
        <v>230</v>
      </c>
      <c r="M769" s="82" t="str">
        <f>IFERROR(__xludf.DUMMYFUNCTION("IFERROR(VLOOKUP(D769,
IMPORTRANGE(""https://docs.google.com/spreadsheets/d/1MjHtlUikwobi2MaWJgy7tfLeBmhj1u-dRFRs_8GwSoA/edit#gid=0"",""Gestores Escolares!D7:J""),3,0),""VERIFICAR CÓD SEC"")"),"ENIVÂNIA SERPA DOS SANTOS")</f>
        <v>ENIVÂNIA SERPA DOS SANTOS</v>
      </c>
      <c r="N769" s="82" t="str">
        <f>IFERROR(__xludf.DUMMYFUNCTION("IFERROR(VLOOKUP(D769,
IMPORTRANGE(""https://docs.google.com/spreadsheets/d/1MjHtlUikwobi2MaWJgy7tfLeBmhj1u-dRFRs_8GwSoA/edit#gid=0"",""Gestores Escolares!D7:J""),4,0),""VERIFICAR CÓD SEC"")"),"(77) 9 9942-4108")</f>
        <v>(77) 9 9942-4108</v>
      </c>
      <c r="O769" s="82" t="str">
        <f>IFERROR(__xludf.DUMMYFUNCTION("IFERROR(VLOOKUP(D769,
IMPORTRANGE(""https://docs.google.com/spreadsheets/d/1MjHtlUikwobi2MaWJgy7tfLeBmhj1u-dRFRs_8GwSoA/edit#gid=0"",""Gestores Escolares!D7:J""),6,0),""VERIFICAR CÓD SEC"")"),"MERCYA KIELLY FERREIRA DE SOUZA SERPA")</f>
        <v>MERCYA KIELLY FERREIRA DE SOUZA SERPA</v>
      </c>
      <c r="P769" s="82" t="str">
        <f>IFERROR(__xludf.DUMMYFUNCTION("IFERROR(VLOOKUP(D769,
IMPORTRANGE(""https://docs.google.com/spreadsheets/d/1MjHtlUikwobi2MaWJgy7tfLeBmhj1u-dRFRs_8GwSoA/edit#gid=0"",""Gestores Escolares!D7:J""),7,0),""VERIFICAR CÓD SEC"")"),"(77) 9 9971-5372")</f>
        <v>(77) 9 9971-5372</v>
      </c>
      <c r="Q769" s="82" t="str">
        <f>IFERROR(__xludf.DUMMYFUNCTION("IFERROR(VLOOKUP(D769,
IMPORTRANGE(""https://docs.google.com/spreadsheets/d/1MjHtlUikwobi2MaWJgy7tfLeBmhj1u-dRFRs_8GwSoA/edit#gid=0"",""Gestores Escolares!D7:m""),9,0),""VERIFICAR CÓD SEC"")"),"CATARINA ALMEIDA DE BRITO")</f>
        <v>CATARINA ALMEIDA DE BRITO</v>
      </c>
      <c r="R769" s="82" t="str">
        <f>IFERROR(__xludf.DUMMYFUNCTION("IFERROR(VLOOKUP(D769,
IMPORTRANGE(""https://docs.google.com/spreadsheets/d/1MjHtlUikwobi2MaWJgy7tfLeBmhj1u-dRFRs_8GwSoA/edit#gid=0"",""Gestores Escolares!D7:m""),10,0),""VERIFICAR CÓD SEC"")"),"(77) 9 9870-9391")</f>
        <v>(77) 9 9870-9391</v>
      </c>
      <c r="S769" s="82"/>
      <c r="T769" s="138">
        <v>6.0</v>
      </c>
      <c r="U769" s="217">
        <v>34.0</v>
      </c>
      <c r="V769" s="106">
        <v>0.0</v>
      </c>
      <c r="W769" s="107">
        <v>0.0</v>
      </c>
      <c r="X769" s="107">
        <v>0.0</v>
      </c>
      <c r="Y769" s="107">
        <v>0.0</v>
      </c>
      <c r="Z769" s="80">
        <f t="shared" si="1"/>
        <v>0</v>
      </c>
      <c r="AA769" s="106">
        <v>0.0</v>
      </c>
      <c r="AB769" s="107">
        <v>0.0</v>
      </c>
      <c r="AC769" s="107">
        <v>0.0</v>
      </c>
      <c r="AD769" s="107">
        <v>0.0</v>
      </c>
      <c r="AE769" s="80">
        <f t="shared" si="2"/>
        <v>0</v>
      </c>
      <c r="AF769" s="140">
        <v>0.0</v>
      </c>
      <c r="AG769" s="109">
        <v>58.0</v>
      </c>
      <c r="AH769" s="109">
        <v>0.0</v>
      </c>
      <c r="AI769" s="141">
        <v>348.0</v>
      </c>
      <c r="AJ769" s="80">
        <f t="shared" si="3"/>
        <v>406</v>
      </c>
      <c r="AK769" s="140">
        <v>0.0</v>
      </c>
      <c r="AL769" s="109">
        <v>0.0</v>
      </c>
      <c r="AM769" s="141">
        <v>0.0</v>
      </c>
      <c r="AN769" s="80">
        <f t="shared" si="4"/>
        <v>0</v>
      </c>
      <c r="AO769" s="140">
        <v>0.0</v>
      </c>
      <c r="AP769" s="109">
        <v>0.0</v>
      </c>
      <c r="AQ769" s="109">
        <v>67.0</v>
      </c>
      <c r="AR769" s="80">
        <f t="shared" si="5"/>
        <v>67</v>
      </c>
      <c r="AS769" s="110">
        <v>203.0</v>
      </c>
      <c r="AT769" s="110">
        <v>398.0</v>
      </c>
      <c r="AU769" s="110">
        <v>164.0</v>
      </c>
      <c r="AV769" s="142">
        <v>84.0</v>
      </c>
      <c r="AW769" s="80">
        <f t="shared" si="6"/>
        <v>849</v>
      </c>
      <c r="AX769" s="113">
        <f t="shared" si="7"/>
        <v>1322</v>
      </c>
      <c r="AY769" s="117">
        <f t="shared" si="8"/>
        <v>1091</v>
      </c>
      <c r="AZ769" s="120">
        <f t="shared" si="9"/>
        <v>231</v>
      </c>
      <c r="BA769" s="115">
        <v>0.0</v>
      </c>
      <c r="BB769" s="89">
        <f t="shared" si="10"/>
        <v>1322</v>
      </c>
      <c r="BC769" s="132" t="s">
        <v>178</v>
      </c>
      <c r="BD769" s="132" t="s">
        <v>522</v>
      </c>
      <c r="BE769" s="132" t="s">
        <v>178</v>
      </c>
      <c r="BF769" s="156"/>
      <c r="BG769" s="83">
        <v>1179662.0</v>
      </c>
      <c r="BH769" s="112"/>
      <c r="BI769" s="112">
        <v>4.0</v>
      </c>
      <c r="BJ769" s="98" t="s">
        <v>162</v>
      </c>
      <c r="BK769" s="99">
        <f t="shared" si="11"/>
        <v>432</v>
      </c>
      <c r="BL769" s="99">
        <f t="shared" si="12"/>
        <v>659</v>
      </c>
      <c r="BM769" s="99" t="str">
        <f>IFERROR(__xludf.DUMMYFUNCTION("IFERROR(VLOOKUP(BG769,IMPORTRANGE(""https://docs.google.com/spreadsheets/d/1juPI-Fb8LD0YtltB2mlGEnp_R3UVu1t3wSFPzgCyHXE/edit?gid=0#gid=0"",""GERAL!A2:C""),3,0),""-"")"),"-")</f>
        <v>-</v>
      </c>
    </row>
    <row r="770" ht="15.75" customHeight="1">
      <c r="A770" s="111" t="s">
        <v>860</v>
      </c>
      <c r="B770" s="83" t="s">
        <v>2403</v>
      </c>
      <c r="C770" s="83" t="s">
        <v>68</v>
      </c>
      <c r="D770" s="112">
        <v>1171390.0</v>
      </c>
      <c r="E770" s="83"/>
      <c r="F770" s="83">
        <v>2.9379423E7</v>
      </c>
      <c r="G770" s="292" t="s">
        <v>3669</v>
      </c>
      <c r="H770" s="91" t="s">
        <v>3670</v>
      </c>
      <c r="I770" s="83" t="s">
        <v>149</v>
      </c>
      <c r="J770" s="83" t="s">
        <v>150</v>
      </c>
      <c r="K770" s="83" t="s">
        <v>151</v>
      </c>
      <c r="L770" s="83" t="s">
        <v>230</v>
      </c>
      <c r="M770" s="82" t="str">
        <f>IFERROR(__xludf.DUMMYFUNCTION("IFERROR(VLOOKUP(D770,
IMPORTRANGE(""https://docs.google.com/spreadsheets/d/1MjHtlUikwobi2MaWJgy7tfLeBmhj1u-dRFRs_8GwSoA/edit#gid=0"",""Gestores Escolares!D7:J""),3,0),""VERIFICAR CÓD SEC"")"),"ELIANA SOUZA DOS ANJOS")</f>
        <v>ELIANA SOUZA DOS ANJOS</v>
      </c>
      <c r="N770" s="82" t="str">
        <f>IFERROR(__xludf.DUMMYFUNCTION("IFERROR(VLOOKUP(D770,
IMPORTRANGE(""https://docs.google.com/spreadsheets/d/1MjHtlUikwobi2MaWJgy7tfLeBmhj1u-dRFRs_8GwSoA/edit#gid=0"",""Gestores Escolares!D7:J""),4,0),""VERIFICAR CÓD SEC"")"),"(71) 9 8178-9246")</f>
        <v>(71) 9 8178-9246</v>
      </c>
      <c r="O770" s="82" t="str">
        <f>IFERROR(__xludf.DUMMYFUNCTION("IFERROR(VLOOKUP(D770,
IMPORTRANGE(""https://docs.google.com/spreadsheets/d/1MjHtlUikwobi2MaWJgy7tfLeBmhj1u-dRFRs_8GwSoA/edit#gid=0"",""Gestores Escolares!D7:J""),6,0),""VERIFICAR CÓD SEC"")"),"	MARCOS FELIPE DE SOUZA SABEL")</f>
        <v>	MARCOS FELIPE DE SOUZA SABEL</v>
      </c>
      <c r="P770" s="82" t="str">
        <f>IFERROR(__xludf.DUMMYFUNCTION("IFERROR(VLOOKUP(D770,
IMPORTRANGE(""https://docs.google.com/spreadsheets/d/1MjHtlUikwobi2MaWJgy7tfLeBmhj1u-dRFRs_8GwSoA/edit#gid=0"",""Gestores Escolares!D7:J""),7,0),""VERIFICAR CÓD SEC"")"),"(77) 9 9912-3895")</f>
        <v>(77) 9 9912-3895</v>
      </c>
      <c r="Q770" s="82" t="str">
        <f>IFERROR(__xludf.DUMMYFUNCTION("IFERROR(VLOOKUP(D770,
IMPORTRANGE(""https://docs.google.com/spreadsheets/d/1MjHtlUikwobi2MaWJgy7tfLeBmhj1u-dRFRs_8GwSoA/edit#gid=0"",""Gestores Escolares!D7:m""),9,0),""VERIFICAR CÓD SEC"")"),"ANDERSON LUAN SOARES SOBRINHO")</f>
        <v>ANDERSON LUAN SOARES SOBRINHO</v>
      </c>
      <c r="R770" s="82" t="str">
        <f>IFERROR(__xludf.DUMMYFUNCTION("IFERROR(VLOOKUP(D770,
IMPORTRANGE(""https://docs.google.com/spreadsheets/d/1MjHtlUikwobi2MaWJgy7tfLeBmhj1u-dRFRs_8GwSoA/edit#gid=0"",""Gestores Escolares!D7:m""),10,0),""VERIFICAR CÓD SEC"")"),"(77) 9 9936-5563")</f>
        <v>(77) 9 9936-5563</v>
      </c>
      <c r="S770" s="82"/>
      <c r="T770" s="138">
        <v>13.0</v>
      </c>
      <c r="U770" s="145">
        <v>24.0</v>
      </c>
      <c r="V770" s="106">
        <v>0.0</v>
      </c>
      <c r="W770" s="107">
        <v>0.0</v>
      </c>
      <c r="X770" s="107">
        <v>0.0</v>
      </c>
      <c r="Y770" s="107">
        <v>0.0</v>
      </c>
      <c r="Z770" s="80">
        <f t="shared" si="1"/>
        <v>0</v>
      </c>
      <c r="AA770" s="106">
        <v>0.0</v>
      </c>
      <c r="AB770" s="107">
        <v>0.0</v>
      </c>
      <c r="AC770" s="107">
        <v>0.0</v>
      </c>
      <c r="AD770" s="107">
        <v>0.0</v>
      </c>
      <c r="AE770" s="80">
        <f t="shared" si="2"/>
        <v>0</v>
      </c>
      <c r="AF770" s="140">
        <v>668.0</v>
      </c>
      <c r="AG770" s="109">
        <v>361.0</v>
      </c>
      <c r="AH770" s="109">
        <v>0.0</v>
      </c>
      <c r="AI770" s="141">
        <v>23.0</v>
      </c>
      <c r="AJ770" s="80">
        <f t="shared" si="3"/>
        <v>1052</v>
      </c>
      <c r="AK770" s="140">
        <v>0.0</v>
      </c>
      <c r="AL770" s="109">
        <v>0.0</v>
      </c>
      <c r="AM770" s="141">
        <v>0.0</v>
      </c>
      <c r="AN770" s="80">
        <f t="shared" si="4"/>
        <v>0</v>
      </c>
      <c r="AO770" s="140">
        <v>0.0</v>
      </c>
      <c r="AP770" s="109">
        <v>0.0</v>
      </c>
      <c r="AQ770" s="109">
        <v>315.0</v>
      </c>
      <c r="AR770" s="80">
        <f t="shared" si="5"/>
        <v>315</v>
      </c>
      <c r="AS770" s="110">
        <v>0.0</v>
      </c>
      <c r="AT770" s="110">
        <v>0.0</v>
      </c>
      <c r="AU770" s="110">
        <v>0.0</v>
      </c>
      <c r="AV770" s="142">
        <v>123.0</v>
      </c>
      <c r="AW770" s="80">
        <f t="shared" si="6"/>
        <v>123</v>
      </c>
      <c r="AX770" s="113">
        <f t="shared" si="7"/>
        <v>1490</v>
      </c>
      <c r="AY770" s="117">
        <f t="shared" si="8"/>
        <v>1175</v>
      </c>
      <c r="AZ770" s="120">
        <f t="shared" si="9"/>
        <v>315</v>
      </c>
      <c r="BA770" s="115">
        <v>0.0</v>
      </c>
      <c r="BB770" s="89">
        <f t="shared" si="10"/>
        <v>1490</v>
      </c>
      <c r="BC770" s="132" t="s">
        <v>178</v>
      </c>
      <c r="BD770" s="132" t="s">
        <v>178</v>
      </c>
      <c r="BE770" s="132" t="s">
        <v>178</v>
      </c>
      <c r="BF770" s="156"/>
      <c r="BG770" s="83">
        <v>1171390.0</v>
      </c>
      <c r="BH770" s="112"/>
      <c r="BI770" s="112">
        <v>13.0</v>
      </c>
      <c r="BJ770" s="98" t="s">
        <v>162</v>
      </c>
      <c r="BK770" s="99">
        <f t="shared" si="11"/>
        <v>146</v>
      </c>
      <c r="BL770" s="99">
        <f t="shared" si="12"/>
        <v>1029</v>
      </c>
      <c r="BM770" s="99" t="str">
        <f>IFERROR(__xludf.DUMMYFUNCTION("IFERROR(VLOOKUP(BG770,IMPORTRANGE(""https://docs.google.com/spreadsheets/d/1juPI-Fb8LD0YtltB2mlGEnp_R3UVu1t3wSFPzgCyHXE/edit?gid=0#gid=0"",""GERAL!A2:C""),3,0),""-"")"),"-")</f>
        <v>-</v>
      </c>
    </row>
    <row r="771" ht="15.75" customHeight="1">
      <c r="A771" s="111" t="s">
        <v>860</v>
      </c>
      <c r="B771" s="83" t="s">
        <v>2403</v>
      </c>
      <c r="C771" s="83" t="s">
        <v>68</v>
      </c>
      <c r="D771" s="112">
        <v>1179440.0</v>
      </c>
      <c r="E771" s="83"/>
      <c r="F771" s="83">
        <v>2.9464773E7</v>
      </c>
      <c r="G771" s="590" t="s">
        <v>3673</v>
      </c>
      <c r="H771" s="108" t="s">
        <v>3674</v>
      </c>
      <c r="I771" s="83" t="s">
        <v>3675</v>
      </c>
      <c r="J771" s="83" t="s">
        <v>150</v>
      </c>
      <c r="K771" s="83" t="s">
        <v>151</v>
      </c>
      <c r="L771" s="83" t="s">
        <v>230</v>
      </c>
      <c r="M771" s="82" t="str">
        <f>IFERROR(__xludf.DUMMYFUNCTION("IFERROR(VLOOKUP(D771,
IMPORTRANGE(""https://docs.google.com/spreadsheets/d/1MjHtlUikwobi2MaWJgy7tfLeBmhj1u-dRFRs_8GwSoA/edit#gid=0"",""Gestores Escolares!D7:J""),3,0),""VERIFICAR CÓD SEC"")"),"LUZICLÉIA ARAÚJO SOUSA")</f>
        <v>LUZICLÉIA ARAÚJO SOUSA</v>
      </c>
      <c r="N771" s="82" t="str">
        <f>IFERROR(__xludf.DUMMYFUNCTION("IFERROR(VLOOKUP(D771,
IMPORTRANGE(""https://docs.google.com/spreadsheets/d/1MjHtlUikwobi2MaWJgy7tfLeBmhj1u-dRFRs_8GwSoA/edit#gid=0"",""Gestores Escolares!D7:J""),4,0),""VERIFICAR CÓD SEC"")"),"(77) 9 9829-7086")</f>
        <v>(77) 9 9829-7086</v>
      </c>
      <c r="O771" s="82" t="str">
        <f>IFERROR(__xludf.DUMMYFUNCTION("IFERROR(VLOOKUP(D771,
IMPORTRANGE(""https://docs.google.com/spreadsheets/d/1MjHtlUikwobi2MaWJgy7tfLeBmhj1u-dRFRs_8GwSoA/edit#gid=0"",""Gestores Escolares!D7:J""),6,0),""VERIFICAR CÓD SEC"")"),"SANDRA RAMOS DOURADO BASTOS")</f>
        <v>SANDRA RAMOS DOURADO BASTOS</v>
      </c>
      <c r="P771" s="82" t="str">
        <f>IFERROR(__xludf.DUMMYFUNCTION("IFERROR(VLOOKUP(D771,
IMPORTRANGE(""https://docs.google.com/spreadsheets/d/1MjHtlUikwobi2MaWJgy7tfLeBmhj1u-dRFRs_8GwSoA/edit#gid=0"",""Gestores Escolares!D7:J""),7,0),""VERIFICAR CÓD SEC"")"),"(74) 9 9981-0991")</f>
        <v>(74) 9 9981-0991</v>
      </c>
      <c r="Q771" s="82" t="str">
        <f>IFERROR(__xludf.DUMMYFUNCTION("IFERROR(VLOOKUP(D771,
IMPORTRANGE(""https://docs.google.com/spreadsheets/d/1MjHtlUikwobi2MaWJgy7tfLeBmhj1u-dRFRs_8GwSoA/edit#gid=0"",""Gestores Escolares!D7:m""),9,0),""VERIFICAR CÓD SEC"")"),"JOAO PEDRO SOUSA DE MENEZES SA")</f>
        <v>JOAO PEDRO SOUSA DE MENEZES SA</v>
      </c>
      <c r="R771" s="82" t="str">
        <f>IFERROR(__xludf.DUMMYFUNCTION("IFERROR(VLOOKUP(D771,
IMPORTRANGE(""https://docs.google.com/spreadsheets/d/1MjHtlUikwobi2MaWJgy7tfLeBmhj1u-dRFRs_8GwSoA/edit#gid=0"",""Gestores Escolares!D7:m""),10,0),""VERIFICAR CÓD SEC"")"),"(83) 9 9175-6767")</f>
        <v>(83) 9 9175-6767</v>
      </c>
      <c r="S771" s="82"/>
      <c r="T771" s="138">
        <v>11.0</v>
      </c>
      <c r="U771" s="145" t="s">
        <v>10970</v>
      </c>
      <c r="V771" s="106">
        <v>0.0</v>
      </c>
      <c r="W771" s="107">
        <v>0.0</v>
      </c>
      <c r="X771" s="107">
        <v>0.0</v>
      </c>
      <c r="Y771" s="107">
        <v>0.0</v>
      </c>
      <c r="Z771" s="80">
        <f t="shared" si="1"/>
        <v>0</v>
      </c>
      <c r="AA771" s="106">
        <v>0.0</v>
      </c>
      <c r="AB771" s="107">
        <v>0.0</v>
      </c>
      <c r="AC771" s="107">
        <v>0.0</v>
      </c>
      <c r="AD771" s="107">
        <v>0.0</v>
      </c>
      <c r="AE771" s="80">
        <f t="shared" si="2"/>
        <v>0</v>
      </c>
      <c r="AF771" s="140">
        <v>485.0</v>
      </c>
      <c r="AG771" s="109">
        <v>367.0</v>
      </c>
      <c r="AH771" s="109">
        <v>0.0</v>
      </c>
      <c r="AI771" s="141">
        <v>0.0</v>
      </c>
      <c r="AJ771" s="80">
        <f t="shared" si="3"/>
        <v>852</v>
      </c>
      <c r="AK771" s="140">
        <v>0.0</v>
      </c>
      <c r="AL771" s="109">
        <v>0.0</v>
      </c>
      <c r="AM771" s="141">
        <v>0.0</v>
      </c>
      <c r="AN771" s="80">
        <f t="shared" si="4"/>
        <v>0</v>
      </c>
      <c r="AO771" s="140">
        <v>0.0</v>
      </c>
      <c r="AP771" s="109">
        <v>0.0</v>
      </c>
      <c r="AQ771" s="109">
        <v>179.0</v>
      </c>
      <c r="AR771" s="80">
        <f t="shared" si="5"/>
        <v>179</v>
      </c>
      <c r="AS771" s="110">
        <v>64.0</v>
      </c>
      <c r="AT771" s="110">
        <v>20.0</v>
      </c>
      <c r="AU771" s="110">
        <v>11.0</v>
      </c>
      <c r="AV771" s="142">
        <v>49.0</v>
      </c>
      <c r="AW771" s="80">
        <f t="shared" si="6"/>
        <v>144</v>
      </c>
      <c r="AX771" s="113">
        <f t="shared" si="7"/>
        <v>1175</v>
      </c>
      <c r="AY771" s="117">
        <f t="shared" si="8"/>
        <v>985</v>
      </c>
      <c r="AZ771" s="120">
        <f t="shared" si="9"/>
        <v>190</v>
      </c>
      <c r="BA771" s="115">
        <v>0.0</v>
      </c>
      <c r="BB771" s="89">
        <f t="shared" si="10"/>
        <v>1175</v>
      </c>
      <c r="BC771" s="132" t="s">
        <v>178</v>
      </c>
      <c r="BD771" s="132" t="s">
        <v>178</v>
      </c>
      <c r="BE771" s="132" t="s">
        <v>178</v>
      </c>
      <c r="BF771" s="156"/>
      <c r="BG771" s="83">
        <v>1179440.0</v>
      </c>
      <c r="BH771" s="112"/>
      <c r="BI771" s="112">
        <v>10.0</v>
      </c>
      <c r="BJ771" s="98" t="s">
        <v>162</v>
      </c>
      <c r="BK771" s="99">
        <f t="shared" si="11"/>
        <v>49</v>
      </c>
      <c r="BL771" s="99">
        <f t="shared" si="12"/>
        <v>936</v>
      </c>
      <c r="BM771" s="99" t="str">
        <f>IFERROR(__xludf.DUMMYFUNCTION("IFERROR(VLOOKUP(BG771,IMPORTRANGE(""https://docs.google.com/spreadsheets/d/1juPI-Fb8LD0YtltB2mlGEnp_R3UVu1t3wSFPzgCyHXE/edit?gid=0#gid=0"",""GERAL!A2:C""),3,0),""-"")"),"-")</f>
        <v>-</v>
      </c>
    </row>
    <row r="772" ht="15.75" customHeight="1">
      <c r="A772" s="111" t="s">
        <v>860</v>
      </c>
      <c r="B772" s="83" t="s">
        <v>2403</v>
      </c>
      <c r="C772" s="83" t="s">
        <v>68</v>
      </c>
      <c r="D772" s="112">
        <v>1177102.0</v>
      </c>
      <c r="E772" s="83"/>
      <c r="F772" s="83">
        <v>2.942755E7</v>
      </c>
      <c r="G772" s="292" t="s">
        <v>3678</v>
      </c>
      <c r="H772" s="91" t="s">
        <v>3679</v>
      </c>
      <c r="I772" s="83" t="s">
        <v>149</v>
      </c>
      <c r="J772" s="83" t="s">
        <v>150</v>
      </c>
      <c r="K772" s="83" t="s">
        <v>151</v>
      </c>
      <c r="L772" s="83" t="s">
        <v>230</v>
      </c>
      <c r="M772" s="82" t="str">
        <f>IFERROR(__xludf.DUMMYFUNCTION("IFERROR(VLOOKUP(D772,
IMPORTRANGE(""https://docs.google.com/spreadsheets/d/1MjHtlUikwobi2MaWJgy7tfLeBmhj1u-dRFRs_8GwSoA/edit#gid=0"",""Gestores Escolares!D7:J""),3,0),""VERIFICAR CÓD SEC"")"),"ELAINE DE CASTRO MATTOS DEL REI HERMIDA")</f>
        <v>ELAINE DE CASTRO MATTOS DEL REI HERMIDA</v>
      </c>
      <c r="N772" s="82" t="str">
        <f>IFERROR(__xludf.DUMMYFUNCTION("IFERROR(VLOOKUP(D772,
IMPORTRANGE(""https://docs.google.com/spreadsheets/d/1MjHtlUikwobi2MaWJgy7tfLeBmhj1u-dRFRs_8GwSoA/edit#gid=0"",""Gestores Escolares!D7:J""),4,0),""VERIFICAR CÓD SEC"")"),"(75) 9 9207-9111")</f>
        <v>(75) 9 9207-9111</v>
      </c>
      <c r="O772" s="82" t="str">
        <f>IFERROR(__xludf.DUMMYFUNCTION("IFERROR(VLOOKUP(D772,
IMPORTRANGE(""https://docs.google.com/spreadsheets/d/1MjHtlUikwobi2MaWJgy7tfLeBmhj1u-dRFRs_8GwSoA/edit#gid=0"",""Gestores Escolares!D7:J""),6,0),""VERIFICAR CÓD SEC"")"),"MARCELO DA SILVA MOURA")</f>
        <v>MARCELO DA SILVA MOURA</v>
      </c>
      <c r="P772" s="82" t="str">
        <f>IFERROR(__xludf.DUMMYFUNCTION("IFERROR(VLOOKUP(D772,
IMPORTRANGE(""https://docs.google.com/spreadsheets/d/1MjHtlUikwobi2MaWJgy7tfLeBmhj1u-dRFRs_8GwSoA/edit#gid=0"",""Gestores Escolares!D7:J""),7,0),""VERIFICAR CÓD SEC"")"),"(77) 9 9837-9785")</f>
        <v>(77) 9 9837-9785</v>
      </c>
      <c r="Q772" s="82" t="str">
        <f>IFERROR(__xludf.DUMMYFUNCTION("IFERROR(VLOOKUP(D772,
IMPORTRANGE(""https://docs.google.com/spreadsheets/d/1MjHtlUikwobi2MaWJgy7tfLeBmhj1u-dRFRs_8GwSoA/edit#gid=0"",""Gestores Escolares!D7:m""),9,0),""VERIFICAR CÓD SEC"")"),"")</f>
        <v/>
      </c>
      <c r="R772" s="82" t="str">
        <f>IFERROR(__xludf.DUMMYFUNCTION("IFERROR(VLOOKUP(D772,
IMPORTRANGE(""https://docs.google.com/spreadsheets/d/1MjHtlUikwobi2MaWJgy7tfLeBmhj1u-dRFRs_8GwSoA/edit#gid=0"",""Gestores Escolares!D7:m""),10,0),""VERIFICAR CÓD SEC"")"),"")</f>
        <v/>
      </c>
      <c r="S772" s="82"/>
      <c r="T772" s="138">
        <v>14.0</v>
      </c>
      <c r="U772" s="145" t="s">
        <v>10983</v>
      </c>
      <c r="V772" s="106">
        <v>0.0</v>
      </c>
      <c r="W772" s="107">
        <v>0.0</v>
      </c>
      <c r="X772" s="107">
        <v>0.0</v>
      </c>
      <c r="Y772" s="107">
        <v>0.0</v>
      </c>
      <c r="Z772" s="80">
        <f t="shared" si="1"/>
        <v>0</v>
      </c>
      <c r="AA772" s="106">
        <v>0.0</v>
      </c>
      <c r="AB772" s="107">
        <v>0.0</v>
      </c>
      <c r="AC772" s="107">
        <v>0.0</v>
      </c>
      <c r="AD772" s="107">
        <v>0.0</v>
      </c>
      <c r="AE772" s="80">
        <f t="shared" si="2"/>
        <v>0</v>
      </c>
      <c r="AF772" s="140">
        <v>584.0</v>
      </c>
      <c r="AG772" s="109">
        <v>496.0</v>
      </c>
      <c r="AH772" s="109">
        <v>0.0</v>
      </c>
      <c r="AI772" s="141">
        <v>0.0</v>
      </c>
      <c r="AJ772" s="80">
        <f t="shared" si="3"/>
        <v>1080</v>
      </c>
      <c r="AK772" s="140">
        <v>0.0</v>
      </c>
      <c r="AL772" s="109">
        <v>0.0</v>
      </c>
      <c r="AM772" s="141">
        <v>0.0</v>
      </c>
      <c r="AN772" s="80">
        <f t="shared" si="4"/>
        <v>0</v>
      </c>
      <c r="AO772" s="140">
        <v>0.0</v>
      </c>
      <c r="AP772" s="109">
        <v>0.0</v>
      </c>
      <c r="AQ772" s="109">
        <v>370.0</v>
      </c>
      <c r="AR772" s="80">
        <f t="shared" si="5"/>
        <v>370</v>
      </c>
      <c r="AS772" s="110">
        <v>0.0</v>
      </c>
      <c r="AT772" s="110">
        <v>0.0</v>
      </c>
      <c r="AU772" s="110">
        <v>0.0</v>
      </c>
      <c r="AV772" s="142">
        <v>0.0</v>
      </c>
      <c r="AW772" s="80">
        <f t="shared" si="6"/>
        <v>0</v>
      </c>
      <c r="AX772" s="113">
        <f t="shared" si="7"/>
        <v>1450</v>
      </c>
      <c r="AY772" s="117">
        <f t="shared" si="8"/>
        <v>1080</v>
      </c>
      <c r="AZ772" s="120">
        <f t="shared" si="9"/>
        <v>370</v>
      </c>
      <c r="BA772" s="115">
        <v>0.0</v>
      </c>
      <c r="BB772" s="89">
        <f t="shared" si="10"/>
        <v>1450</v>
      </c>
      <c r="BC772" s="132" t="s">
        <v>178</v>
      </c>
      <c r="BD772" s="132" t="s">
        <v>178</v>
      </c>
      <c r="BE772" s="132" t="s">
        <v>178</v>
      </c>
      <c r="BF772" s="156"/>
      <c r="BG772" s="83">
        <v>1177102.0</v>
      </c>
      <c r="BH772" s="112"/>
      <c r="BI772" s="112">
        <v>15.0</v>
      </c>
      <c r="BJ772" s="98" t="s">
        <v>176</v>
      </c>
      <c r="BK772" s="99">
        <f t="shared" si="11"/>
        <v>0</v>
      </c>
      <c r="BL772" s="99">
        <f t="shared" si="12"/>
        <v>1080</v>
      </c>
      <c r="BM772" s="99" t="str">
        <f>IFERROR(__xludf.DUMMYFUNCTION("IFERROR(VLOOKUP(BG772,IMPORTRANGE(""https://docs.google.com/spreadsheets/d/1juPI-Fb8LD0YtltB2mlGEnp_R3UVu1t3wSFPzgCyHXE/edit?gid=0#gid=0"",""GERAL!A2:C""),3,0),""-"")"),"-")</f>
        <v>-</v>
      </c>
    </row>
    <row r="773" ht="15.75" customHeight="1">
      <c r="A773" s="111" t="s">
        <v>860</v>
      </c>
      <c r="B773" s="83" t="s">
        <v>2403</v>
      </c>
      <c r="C773" s="83" t="s">
        <v>164</v>
      </c>
      <c r="D773" s="84">
        <v>1179339.0</v>
      </c>
      <c r="E773" s="82">
        <v>1178885.0</v>
      </c>
      <c r="F773" s="98">
        <v>2.946148E7</v>
      </c>
      <c r="G773" s="91" t="s">
        <v>3688</v>
      </c>
      <c r="H773" s="91" t="s">
        <v>3689</v>
      </c>
      <c r="I773" s="136" t="s">
        <v>3690</v>
      </c>
      <c r="J773" s="83" t="s">
        <v>464</v>
      </c>
      <c r="K773" s="83" t="s">
        <v>168</v>
      </c>
      <c r="L773" s="83" t="s">
        <v>169</v>
      </c>
      <c r="M773" s="82" t="str">
        <f>IFERROR(__xludf.DUMMYFUNCTION("IFERROR(VLOOKUP(D773,
IMPORTRANGE(""https://docs.google.com/spreadsheets/d/1MjHtlUikwobi2MaWJgy7tfLeBmhj1u-dRFRs_8GwSoA/edit#gid=0"",""Gestores Escolares!D7:J""),3,0),""VERIFICAR CÓD SEC"")"),"SUELY PASSOS DE SOUZA")</f>
        <v>SUELY PASSOS DE SOUZA</v>
      </c>
      <c r="N773" s="82" t="str">
        <f>IFERROR(__xludf.DUMMYFUNCTION("IFERROR(VLOOKUP(D773,
IMPORTRANGE(""https://docs.google.com/spreadsheets/d/1MjHtlUikwobi2MaWJgy7tfLeBmhj1u-dRFRs_8GwSoA/edit#gid=0"",""Gestores Escolares!D7:J""),4,0),""VERIFICAR CÓD SEC"")"),"(77) 9 9913-6204")</f>
        <v>(77) 9 9913-6204</v>
      </c>
      <c r="O773" s="82" t="str">
        <f>IFERROR(__xludf.DUMMYFUNCTION("IFERROR(VLOOKUP(D773,
IMPORTRANGE(""https://docs.google.com/spreadsheets/d/1MjHtlUikwobi2MaWJgy7tfLeBmhj1u-dRFRs_8GwSoA/edit#gid=0"",""Gestores Escolares!D7:J""),6,0),""VERIFICAR CÓD SEC"")"),"MARCIO ALEXANDRE DE OLIVEIRA ANDRADA")</f>
        <v>MARCIO ALEXANDRE DE OLIVEIRA ANDRADA</v>
      </c>
      <c r="P773" s="82" t="str">
        <f>IFERROR(__xludf.DUMMYFUNCTION("IFERROR(VLOOKUP(D773,
IMPORTRANGE(""https://docs.google.com/spreadsheets/d/1MjHtlUikwobi2MaWJgy7tfLeBmhj1u-dRFRs_8GwSoA/edit#gid=0"",""Gestores Escolares!D7:J""),7,0),""VERIFICAR CÓD SEC"")"),"(71) 9 8554-1121")</f>
        <v>(71) 9 8554-1121</v>
      </c>
      <c r="Q773" s="82" t="str">
        <f>IFERROR(__xludf.DUMMYFUNCTION("IFERROR(VLOOKUP(D773,
IMPORTRANGE(""https://docs.google.com/spreadsheets/d/1MjHtlUikwobi2MaWJgy7tfLeBmhj1u-dRFRs_8GwSoA/edit#gid=0"",""Gestores Escolares!D7:m""),9,0),""VERIFICAR CÓD SEC"")"),"RODRIGO ARLINDO PORTO WANDERLEY MORENO")</f>
        <v>RODRIGO ARLINDO PORTO WANDERLEY MORENO</v>
      </c>
      <c r="R773" s="82" t="str">
        <f>IFERROR(__xludf.DUMMYFUNCTION("IFERROR(VLOOKUP(D773,
IMPORTRANGE(""https://docs.google.com/spreadsheets/d/1MjHtlUikwobi2MaWJgy7tfLeBmhj1u-dRFRs_8GwSoA/edit#gid=0"",""Gestores Escolares!D7:m""),10,0),""VERIFICAR CÓD SEC"")"),"(77) 9 9174-0395")</f>
        <v>(77) 9 9174-0395</v>
      </c>
      <c r="S773" s="82"/>
      <c r="T773" s="138">
        <v>3.0</v>
      </c>
      <c r="U773" s="139">
        <v>3.0</v>
      </c>
      <c r="V773" s="106">
        <v>0.0</v>
      </c>
      <c r="W773" s="107">
        <v>0.0</v>
      </c>
      <c r="X773" s="107">
        <v>0.0</v>
      </c>
      <c r="Y773" s="107">
        <v>0.0</v>
      </c>
      <c r="Z773" s="80">
        <f t="shared" si="1"/>
        <v>0</v>
      </c>
      <c r="AA773" s="106">
        <v>0.0</v>
      </c>
      <c r="AB773" s="107">
        <v>0.0</v>
      </c>
      <c r="AC773" s="107">
        <v>0.0</v>
      </c>
      <c r="AD773" s="107">
        <v>0.0</v>
      </c>
      <c r="AE773" s="80">
        <f t="shared" si="2"/>
        <v>0</v>
      </c>
      <c r="AF773" s="140">
        <v>0.0</v>
      </c>
      <c r="AG773" s="109">
        <v>0.0</v>
      </c>
      <c r="AH773" s="109">
        <v>25.0</v>
      </c>
      <c r="AI773" s="141">
        <v>0.0</v>
      </c>
      <c r="AJ773" s="80">
        <f t="shared" si="3"/>
        <v>25</v>
      </c>
      <c r="AK773" s="140">
        <v>0.0</v>
      </c>
      <c r="AL773" s="109">
        <v>0.0</v>
      </c>
      <c r="AM773" s="141">
        <v>0.0</v>
      </c>
      <c r="AN773" s="80">
        <f t="shared" si="4"/>
        <v>0</v>
      </c>
      <c r="AO773" s="140">
        <v>0.0</v>
      </c>
      <c r="AP773" s="109">
        <v>0.0</v>
      </c>
      <c r="AQ773" s="109">
        <v>0.0</v>
      </c>
      <c r="AR773" s="80">
        <f t="shared" si="5"/>
        <v>0</v>
      </c>
      <c r="AS773" s="110">
        <v>0.0</v>
      </c>
      <c r="AT773" s="110">
        <v>0.0</v>
      </c>
      <c r="AU773" s="110">
        <v>0.0</v>
      </c>
      <c r="AV773" s="142">
        <v>0.0</v>
      </c>
      <c r="AW773" s="80">
        <f t="shared" si="6"/>
        <v>0</v>
      </c>
      <c r="AX773" s="113">
        <f t="shared" si="7"/>
        <v>25</v>
      </c>
      <c r="AY773" s="117">
        <f t="shared" si="8"/>
        <v>0</v>
      </c>
      <c r="AZ773" s="120">
        <f t="shared" si="9"/>
        <v>25</v>
      </c>
      <c r="BA773" s="115">
        <v>0.0</v>
      </c>
      <c r="BB773" s="89">
        <f t="shared" si="10"/>
        <v>25</v>
      </c>
      <c r="BC773" s="132" t="s">
        <v>178</v>
      </c>
      <c r="BD773" s="143" t="s">
        <v>227</v>
      </c>
      <c r="BE773" s="132" t="s">
        <v>178</v>
      </c>
      <c r="BF773" s="123"/>
      <c r="BG773" s="83">
        <v>1178885.0</v>
      </c>
      <c r="BH773" s="112"/>
      <c r="BI773" s="112">
        <v>3.0</v>
      </c>
      <c r="BJ773" s="98" t="s">
        <v>155</v>
      </c>
      <c r="BK773" s="99">
        <f t="shared" si="11"/>
        <v>0</v>
      </c>
      <c r="BL773" s="99">
        <f t="shared" si="12"/>
        <v>0</v>
      </c>
      <c r="BM773" s="99" t="str">
        <f>IFERROR(__xludf.DUMMYFUNCTION("IFERROR(VLOOKUP(BG773,IMPORTRANGE(""https://docs.google.com/spreadsheets/d/1juPI-Fb8LD0YtltB2mlGEnp_R3UVu1t3wSFPzgCyHXE/edit?gid=0#gid=0"",""GERAL!A2:C""),3,0),""-"")"),"-")</f>
        <v>-</v>
      </c>
    </row>
    <row r="774" ht="15.75" customHeight="1">
      <c r="A774" s="111" t="s">
        <v>860</v>
      </c>
      <c r="B774" s="83" t="s">
        <v>2403</v>
      </c>
      <c r="C774" s="83" t="s">
        <v>164</v>
      </c>
      <c r="D774" s="112">
        <v>1179339.0</v>
      </c>
      <c r="E774" s="82">
        <v>1179335.0</v>
      </c>
      <c r="F774" s="98">
        <v>2.946148E7</v>
      </c>
      <c r="G774" s="91" t="s">
        <v>3691</v>
      </c>
      <c r="H774" s="91" t="s">
        <v>3692</v>
      </c>
      <c r="I774" s="136" t="s">
        <v>3693</v>
      </c>
      <c r="J774" s="83" t="s">
        <v>868</v>
      </c>
      <c r="K774" s="83" t="s">
        <v>168</v>
      </c>
      <c r="L774" s="83" t="s">
        <v>169</v>
      </c>
      <c r="M774" s="82" t="str">
        <f>IFERROR(__xludf.DUMMYFUNCTION("IFERROR(VLOOKUP(D774,
IMPORTRANGE(""https://docs.google.com/spreadsheets/d/1MjHtlUikwobi2MaWJgy7tfLeBmhj1u-dRFRs_8GwSoA/edit#gid=0"",""Gestores Escolares!D7:J""),3,0),""VERIFICAR CÓD SEC"")"),"SUELY PASSOS DE SOUZA")</f>
        <v>SUELY PASSOS DE SOUZA</v>
      </c>
      <c r="N774" s="82" t="str">
        <f>IFERROR(__xludf.DUMMYFUNCTION("IFERROR(VLOOKUP(D774,
IMPORTRANGE(""https://docs.google.com/spreadsheets/d/1MjHtlUikwobi2MaWJgy7tfLeBmhj1u-dRFRs_8GwSoA/edit#gid=0"",""Gestores Escolares!D7:J""),4,0),""VERIFICAR CÓD SEC"")"),"(77) 9 9913-6204")</f>
        <v>(77) 9 9913-6204</v>
      </c>
      <c r="O774" s="82" t="str">
        <f>IFERROR(__xludf.DUMMYFUNCTION("IFERROR(VLOOKUP(D774,
IMPORTRANGE(""https://docs.google.com/spreadsheets/d/1MjHtlUikwobi2MaWJgy7tfLeBmhj1u-dRFRs_8GwSoA/edit#gid=0"",""Gestores Escolares!D7:J""),6,0),""VERIFICAR CÓD SEC"")"),"MARCIO ALEXANDRE DE OLIVEIRA ANDRADA")</f>
        <v>MARCIO ALEXANDRE DE OLIVEIRA ANDRADA</v>
      </c>
      <c r="P774" s="82" t="str">
        <f>IFERROR(__xludf.DUMMYFUNCTION("IFERROR(VLOOKUP(D774,
IMPORTRANGE(""https://docs.google.com/spreadsheets/d/1MjHtlUikwobi2MaWJgy7tfLeBmhj1u-dRFRs_8GwSoA/edit#gid=0"",""Gestores Escolares!D7:J""),7,0),""VERIFICAR CÓD SEC"")"),"(71) 9 8554-1121")</f>
        <v>(71) 9 8554-1121</v>
      </c>
      <c r="Q774" s="82" t="str">
        <f>IFERROR(__xludf.DUMMYFUNCTION("IFERROR(VLOOKUP(D774,
IMPORTRANGE(""https://docs.google.com/spreadsheets/d/1MjHtlUikwobi2MaWJgy7tfLeBmhj1u-dRFRs_8GwSoA/edit#gid=0"",""Gestores Escolares!D7:m""),9,0),""VERIFICAR CÓD SEC"")"),"RODRIGO ARLINDO PORTO WANDERLEY MORENO")</f>
        <v>RODRIGO ARLINDO PORTO WANDERLEY MORENO</v>
      </c>
      <c r="R774" s="82" t="str">
        <f>IFERROR(__xludf.DUMMYFUNCTION("IFERROR(VLOOKUP(D774,
IMPORTRANGE(""https://docs.google.com/spreadsheets/d/1MjHtlUikwobi2MaWJgy7tfLeBmhj1u-dRFRs_8GwSoA/edit#gid=0"",""Gestores Escolares!D7:m""),10,0),""VERIFICAR CÓD SEC"")"),"(77) 9 9174-0395")</f>
        <v>(77) 9 9174-0395</v>
      </c>
      <c r="S774" s="82"/>
      <c r="T774" s="138">
        <v>2.0</v>
      </c>
      <c r="U774" s="145">
        <v>3.0</v>
      </c>
      <c r="V774" s="106">
        <v>0.0</v>
      </c>
      <c r="W774" s="107">
        <v>0.0</v>
      </c>
      <c r="X774" s="107">
        <v>0.0</v>
      </c>
      <c r="Y774" s="107">
        <v>0.0</v>
      </c>
      <c r="Z774" s="80">
        <f t="shared" si="1"/>
        <v>0</v>
      </c>
      <c r="AA774" s="106">
        <v>0.0</v>
      </c>
      <c r="AB774" s="107">
        <v>0.0</v>
      </c>
      <c r="AC774" s="107">
        <v>0.0</v>
      </c>
      <c r="AD774" s="107">
        <v>0.0</v>
      </c>
      <c r="AE774" s="80">
        <f t="shared" si="2"/>
        <v>0</v>
      </c>
      <c r="AF774" s="140">
        <v>0.0</v>
      </c>
      <c r="AG774" s="109">
        <v>0.0</v>
      </c>
      <c r="AH774" s="109">
        <v>53.0</v>
      </c>
      <c r="AI774" s="141">
        <v>0.0</v>
      </c>
      <c r="AJ774" s="80">
        <f t="shared" si="3"/>
        <v>53</v>
      </c>
      <c r="AK774" s="140">
        <v>0.0</v>
      </c>
      <c r="AL774" s="109">
        <v>0.0</v>
      </c>
      <c r="AM774" s="141">
        <v>0.0</v>
      </c>
      <c r="AN774" s="80">
        <f t="shared" si="4"/>
        <v>0</v>
      </c>
      <c r="AO774" s="140">
        <v>0.0</v>
      </c>
      <c r="AP774" s="109">
        <v>0.0</v>
      </c>
      <c r="AQ774" s="109">
        <v>0.0</v>
      </c>
      <c r="AR774" s="80">
        <f t="shared" si="5"/>
        <v>0</v>
      </c>
      <c r="AS774" s="110">
        <v>0.0</v>
      </c>
      <c r="AT774" s="110">
        <v>0.0</v>
      </c>
      <c r="AU774" s="110">
        <v>0.0</v>
      </c>
      <c r="AV774" s="142">
        <v>0.0</v>
      </c>
      <c r="AW774" s="80">
        <f t="shared" si="6"/>
        <v>0</v>
      </c>
      <c r="AX774" s="113">
        <f t="shared" si="7"/>
        <v>53</v>
      </c>
      <c r="AY774" s="117">
        <f t="shared" si="8"/>
        <v>0</v>
      </c>
      <c r="AZ774" s="120">
        <f t="shared" si="9"/>
        <v>53</v>
      </c>
      <c r="BA774" s="115">
        <v>0.0</v>
      </c>
      <c r="BB774" s="89">
        <f t="shared" si="10"/>
        <v>53</v>
      </c>
      <c r="BC774" s="132" t="s">
        <v>178</v>
      </c>
      <c r="BD774" s="143" t="s">
        <v>227</v>
      </c>
      <c r="BE774" s="132" t="s">
        <v>178</v>
      </c>
      <c r="BF774" s="156"/>
      <c r="BG774" s="83">
        <v>1179335.0</v>
      </c>
      <c r="BH774" s="112"/>
      <c r="BI774" s="112">
        <v>2.0</v>
      </c>
      <c r="BJ774" s="98" t="s">
        <v>155</v>
      </c>
      <c r="BK774" s="99">
        <f t="shared" si="11"/>
        <v>0</v>
      </c>
      <c r="BL774" s="99">
        <f t="shared" si="12"/>
        <v>0</v>
      </c>
      <c r="BM774" s="99" t="str">
        <f>IFERROR(__xludf.DUMMYFUNCTION("IFERROR(VLOOKUP(BG774,IMPORTRANGE(""https://docs.google.com/spreadsheets/d/1juPI-Fb8LD0YtltB2mlGEnp_R3UVu1t3wSFPzgCyHXE/edit?gid=0#gid=0"",""GERAL!A2:C""),3,0),""-"")"),"-")</f>
        <v>-</v>
      </c>
    </row>
    <row r="775" ht="15.75" customHeight="1">
      <c r="A775" s="111" t="s">
        <v>860</v>
      </c>
      <c r="B775" s="83" t="s">
        <v>2403</v>
      </c>
      <c r="C775" s="83" t="s">
        <v>164</v>
      </c>
      <c r="D775" s="112">
        <v>1179339.0</v>
      </c>
      <c r="E775" s="83">
        <v>1179238.0</v>
      </c>
      <c r="F775" s="98">
        <v>2.946148E7</v>
      </c>
      <c r="G775" s="114" t="s">
        <v>3699</v>
      </c>
      <c r="H775" s="91" t="s">
        <v>3700</v>
      </c>
      <c r="I775" s="136" t="s">
        <v>149</v>
      </c>
      <c r="J775" s="83" t="s">
        <v>183</v>
      </c>
      <c r="K775" s="83" t="s">
        <v>168</v>
      </c>
      <c r="L775" s="83" t="s">
        <v>169</v>
      </c>
      <c r="M775" s="82" t="str">
        <f>IFERROR(__xludf.DUMMYFUNCTION("IFERROR(VLOOKUP(D775,
IMPORTRANGE(""https://docs.google.com/spreadsheets/d/1MjHtlUikwobi2MaWJgy7tfLeBmhj1u-dRFRs_8GwSoA/edit#gid=0"",""Gestores Escolares!D7:J""),3,0),""VERIFICAR CÓD SEC"")"),"SUELY PASSOS DE SOUZA")</f>
        <v>SUELY PASSOS DE SOUZA</v>
      </c>
      <c r="N775" s="82" t="str">
        <f>IFERROR(__xludf.DUMMYFUNCTION("IFERROR(VLOOKUP(D775,
IMPORTRANGE(""https://docs.google.com/spreadsheets/d/1MjHtlUikwobi2MaWJgy7tfLeBmhj1u-dRFRs_8GwSoA/edit#gid=0"",""Gestores Escolares!D7:J""),4,0),""VERIFICAR CÓD SEC"")"),"(77) 9 9913-6204")</f>
        <v>(77) 9 9913-6204</v>
      </c>
      <c r="O775" s="82" t="str">
        <f>IFERROR(__xludf.DUMMYFUNCTION("IFERROR(VLOOKUP(D775,
IMPORTRANGE(""https://docs.google.com/spreadsheets/d/1MjHtlUikwobi2MaWJgy7tfLeBmhj1u-dRFRs_8GwSoA/edit#gid=0"",""Gestores Escolares!D7:J""),6,0),""VERIFICAR CÓD SEC"")"),"MARCIO ALEXANDRE DE OLIVEIRA ANDRADA")</f>
        <v>MARCIO ALEXANDRE DE OLIVEIRA ANDRADA</v>
      </c>
      <c r="P775" s="82" t="str">
        <f>IFERROR(__xludf.DUMMYFUNCTION("IFERROR(VLOOKUP(D775,
IMPORTRANGE(""https://docs.google.com/spreadsheets/d/1MjHtlUikwobi2MaWJgy7tfLeBmhj1u-dRFRs_8GwSoA/edit#gid=0"",""Gestores Escolares!D7:J""),7,0),""VERIFICAR CÓD SEC"")"),"(71) 9 8554-1121")</f>
        <v>(71) 9 8554-1121</v>
      </c>
      <c r="Q775" s="82" t="str">
        <f>IFERROR(__xludf.DUMMYFUNCTION("IFERROR(VLOOKUP(D775,
IMPORTRANGE(""https://docs.google.com/spreadsheets/d/1MjHtlUikwobi2MaWJgy7tfLeBmhj1u-dRFRs_8GwSoA/edit#gid=0"",""Gestores Escolares!D7:m""),9,0),""VERIFICAR CÓD SEC"")"),"RODRIGO ARLINDO PORTO WANDERLEY MORENO")</f>
        <v>RODRIGO ARLINDO PORTO WANDERLEY MORENO</v>
      </c>
      <c r="R775" s="82" t="str">
        <f>IFERROR(__xludf.DUMMYFUNCTION("IFERROR(VLOOKUP(D775,
IMPORTRANGE(""https://docs.google.com/spreadsheets/d/1MjHtlUikwobi2MaWJgy7tfLeBmhj1u-dRFRs_8GwSoA/edit#gid=0"",""Gestores Escolares!D7:m""),10,0),""VERIFICAR CÓD SEC"")"),"(77) 9 9174-0395")</f>
        <v>(77) 9 9174-0395</v>
      </c>
      <c r="S775" s="82"/>
      <c r="T775" s="138">
        <v>2.0</v>
      </c>
      <c r="U775" s="139">
        <v>2.0</v>
      </c>
      <c r="V775" s="106">
        <v>0.0</v>
      </c>
      <c r="W775" s="107">
        <v>0.0</v>
      </c>
      <c r="X775" s="107">
        <v>0.0</v>
      </c>
      <c r="Y775" s="107">
        <v>0.0</v>
      </c>
      <c r="Z775" s="80">
        <f t="shared" si="1"/>
        <v>0</v>
      </c>
      <c r="AA775" s="106">
        <v>0.0</v>
      </c>
      <c r="AB775" s="107">
        <v>0.0</v>
      </c>
      <c r="AC775" s="107">
        <v>0.0</v>
      </c>
      <c r="AD775" s="107">
        <v>0.0</v>
      </c>
      <c r="AE775" s="80">
        <f t="shared" si="2"/>
        <v>0</v>
      </c>
      <c r="AF775" s="140">
        <v>2.0</v>
      </c>
      <c r="AG775" s="109">
        <v>0.0</v>
      </c>
      <c r="AH775" s="109">
        <v>6.0</v>
      </c>
      <c r="AI775" s="141">
        <v>0.0</v>
      </c>
      <c r="AJ775" s="80">
        <f t="shared" si="3"/>
        <v>8</v>
      </c>
      <c r="AK775" s="140">
        <v>0.0</v>
      </c>
      <c r="AL775" s="109">
        <v>0.0</v>
      </c>
      <c r="AM775" s="141">
        <v>0.0</v>
      </c>
      <c r="AN775" s="80">
        <f t="shared" si="4"/>
        <v>0</v>
      </c>
      <c r="AO775" s="140">
        <v>0.0</v>
      </c>
      <c r="AP775" s="109">
        <v>0.0</v>
      </c>
      <c r="AQ775" s="109">
        <v>0.0</v>
      </c>
      <c r="AR775" s="80">
        <f t="shared" si="5"/>
        <v>0</v>
      </c>
      <c r="AS775" s="110">
        <v>0.0</v>
      </c>
      <c r="AT775" s="110">
        <v>0.0</v>
      </c>
      <c r="AU775" s="110">
        <v>0.0</v>
      </c>
      <c r="AV775" s="142">
        <v>0.0</v>
      </c>
      <c r="AW775" s="80">
        <f t="shared" si="6"/>
        <v>0</v>
      </c>
      <c r="AX775" s="113">
        <f t="shared" si="7"/>
        <v>8</v>
      </c>
      <c r="AY775" s="117">
        <f t="shared" si="8"/>
        <v>2</v>
      </c>
      <c r="AZ775" s="120">
        <f t="shared" si="9"/>
        <v>6</v>
      </c>
      <c r="BA775" s="115">
        <v>0.0</v>
      </c>
      <c r="BB775" s="89">
        <f t="shared" si="10"/>
        <v>8</v>
      </c>
      <c r="BC775" s="132" t="s">
        <v>178</v>
      </c>
      <c r="BD775" s="143" t="s">
        <v>227</v>
      </c>
      <c r="BE775" s="132" t="s">
        <v>178</v>
      </c>
      <c r="BF775" s="123"/>
      <c r="BG775" s="83">
        <v>1179238.0</v>
      </c>
      <c r="BH775" s="112"/>
      <c r="BI775" s="112">
        <v>2.0</v>
      </c>
      <c r="BJ775" s="98" t="s">
        <v>155</v>
      </c>
      <c r="BK775" s="99">
        <f t="shared" si="11"/>
        <v>0</v>
      </c>
      <c r="BL775" s="99">
        <f t="shared" si="12"/>
        <v>2</v>
      </c>
      <c r="BM775" s="99" t="str">
        <f>IFERROR(__xludf.DUMMYFUNCTION("IFERROR(VLOOKUP(BG775,IMPORTRANGE(""https://docs.google.com/spreadsheets/d/1juPI-Fb8LD0YtltB2mlGEnp_R3UVu1t3wSFPzgCyHXE/edit?gid=0#gid=0"",""GERAL!A2:C""),3,0),""-"")"),"-")</f>
        <v>-</v>
      </c>
    </row>
    <row r="776" ht="15.75" customHeight="1">
      <c r="A776" s="111" t="s">
        <v>860</v>
      </c>
      <c r="B776" s="83" t="s">
        <v>3701</v>
      </c>
      <c r="C776" s="83" t="s">
        <v>68</v>
      </c>
      <c r="D776" s="112">
        <v>1178086.0</v>
      </c>
      <c r="E776" s="83"/>
      <c r="F776" s="83">
        <v>2.9431662E7</v>
      </c>
      <c r="G776" s="184" t="s">
        <v>3702</v>
      </c>
      <c r="H776" s="91" t="s">
        <v>3703</v>
      </c>
      <c r="I776" s="83" t="s">
        <v>149</v>
      </c>
      <c r="J776" s="136" t="s">
        <v>150</v>
      </c>
      <c r="K776" s="83" t="s">
        <v>151</v>
      </c>
      <c r="L776" s="83" t="s">
        <v>152</v>
      </c>
      <c r="M776" s="82" t="str">
        <f>IFERROR(__xludf.DUMMYFUNCTION("IFERROR(VLOOKUP(D776,
IMPORTRANGE(""https://docs.google.com/spreadsheets/d/1MjHtlUikwobi2MaWJgy7tfLeBmhj1u-dRFRs_8GwSoA/edit#gid=0"",""Gestores Escolares!D7:J""),3,0),""VERIFICAR CÓD SEC"")"),"DAVI FRANCK GOMES MACHADO")</f>
        <v>DAVI FRANCK GOMES MACHADO</v>
      </c>
      <c r="N776" s="82" t="str">
        <f>IFERROR(__xludf.DUMMYFUNCTION("IFERROR(VLOOKUP(D776,
IMPORTRANGE(""https://docs.google.com/spreadsheets/d/1MjHtlUikwobi2MaWJgy7tfLeBmhj1u-dRFRs_8GwSoA/edit#gid=0"",""Gestores Escolares!D7:J""),4,0),""VERIFICAR CÓD SEC"")"),"(77) 9 9999-7271/ 
9 8110-8959")</f>
        <v>(77) 9 9999-7271/ 
9 8110-8959</v>
      </c>
      <c r="O776" s="82" t="str">
        <f>IFERROR(__xludf.DUMMYFUNCTION("IFERROR(VLOOKUP(D776,
IMPORTRANGE(""https://docs.google.com/spreadsheets/d/1MjHtlUikwobi2MaWJgy7tfLeBmhj1u-dRFRs_8GwSoA/edit#gid=0"",""Gestores Escolares!D7:J""),6,0),""VERIFICAR CÓD SEC"")"),"BALTAZAR DIAS DE OLIVEIRA ")</f>
        <v>BALTAZAR DIAS DE OLIVEIRA </v>
      </c>
      <c r="P776" s="82" t="str">
        <f>IFERROR(__xludf.DUMMYFUNCTION("IFERROR(VLOOKUP(D776,
IMPORTRANGE(""https://docs.google.com/spreadsheets/d/1MjHtlUikwobi2MaWJgy7tfLeBmhj1u-dRFRs_8GwSoA/edit#gid=0"",""Gestores Escolares!D7:J""),7,0),""VERIFICAR CÓD SEC"")"),"(77) 9 9992-0099")</f>
        <v>(77) 9 9992-0099</v>
      </c>
      <c r="Q776" s="82" t="str">
        <f>IFERROR(__xludf.DUMMYFUNCTION("IFERROR(VLOOKUP(D776,
IMPORTRANGE(""https://docs.google.com/spreadsheets/d/1MjHtlUikwobi2MaWJgy7tfLeBmhj1u-dRFRs_8GwSoA/edit#gid=0"",""Gestores Escolares!D7:m""),9,0),""VERIFICAR CÓD SEC"")"),"")</f>
        <v/>
      </c>
      <c r="R776" s="82" t="str">
        <f>IFERROR(__xludf.DUMMYFUNCTION("IFERROR(VLOOKUP(D776,
IMPORTRANGE(""https://docs.google.com/spreadsheets/d/1MjHtlUikwobi2MaWJgy7tfLeBmhj1u-dRFRs_8GwSoA/edit#gid=0"",""Gestores Escolares!D7:m""),10,0),""VERIFICAR CÓD SEC"")"),"")</f>
        <v/>
      </c>
      <c r="S776" s="82"/>
      <c r="T776" s="138">
        <v>8.0</v>
      </c>
      <c r="U776" s="145" t="s">
        <v>11015</v>
      </c>
      <c r="V776" s="106">
        <v>0.0</v>
      </c>
      <c r="W776" s="107">
        <v>0.0</v>
      </c>
      <c r="X776" s="107">
        <v>0.0</v>
      </c>
      <c r="Y776" s="107">
        <v>0.0</v>
      </c>
      <c r="Z776" s="80">
        <f t="shared" si="1"/>
        <v>0</v>
      </c>
      <c r="AA776" s="106">
        <v>0.0</v>
      </c>
      <c r="AB776" s="107">
        <v>0.0</v>
      </c>
      <c r="AC776" s="107">
        <v>0.0</v>
      </c>
      <c r="AD776" s="107">
        <v>0.0</v>
      </c>
      <c r="AE776" s="80">
        <f t="shared" si="2"/>
        <v>0</v>
      </c>
      <c r="AF776" s="140">
        <v>0.0</v>
      </c>
      <c r="AG776" s="109">
        <v>0.0</v>
      </c>
      <c r="AH776" s="109">
        <v>0.0</v>
      </c>
      <c r="AI776" s="141">
        <v>198.0</v>
      </c>
      <c r="AJ776" s="80">
        <f t="shared" si="3"/>
        <v>198</v>
      </c>
      <c r="AK776" s="140">
        <v>0.0</v>
      </c>
      <c r="AL776" s="109">
        <v>0.0</v>
      </c>
      <c r="AM776" s="141">
        <v>0.0</v>
      </c>
      <c r="AN776" s="80">
        <f t="shared" si="4"/>
        <v>0</v>
      </c>
      <c r="AO776" s="140">
        <v>0.0</v>
      </c>
      <c r="AP776" s="109">
        <v>0.0</v>
      </c>
      <c r="AQ776" s="109">
        <v>24.0</v>
      </c>
      <c r="AR776" s="80">
        <f t="shared" si="5"/>
        <v>24</v>
      </c>
      <c r="AS776" s="110">
        <v>0.0</v>
      </c>
      <c r="AT776" s="110">
        <v>0.0</v>
      </c>
      <c r="AU776" s="110">
        <v>0.0</v>
      </c>
      <c r="AV776" s="142">
        <v>25.0</v>
      </c>
      <c r="AW776" s="80">
        <f t="shared" si="6"/>
        <v>25</v>
      </c>
      <c r="AX776" s="113">
        <f t="shared" si="7"/>
        <v>247</v>
      </c>
      <c r="AY776" s="117">
        <f t="shared" si="8"/>
        <v>223</v>
      </c>
      <c r="AZ776" s="120">
        <f t="shared" si="9"/>
        <v>24</v>
      </c>
      <c r="BA776" s="115">
        <v>0.0</v>
      </c>
      <c r="BB776" s="89">
        <f t="shared" si="10"/>
        <v>247</v>
      </c>
      <c r="BC776" s="132" t="s">
        <v>178</v>
      </c>
      <c r="BD776" s="132" t="s">
        <v>178</v>
      </c>
      <c r="BE776" s="132" t="s">
        <v>178</v>
      </c>
      <c r="BF776" s="123"/>
      <c r="BG776" s="83">
        <v>1178086.0</v>
      </c>
      <c r="BH776" s="112"/>
      <c r="BI776" s="112">
        <v>8.0</v>
      </c>
      <c r="BJ776" s="98" t="s">
        <v>284</v>
      </c>
      <c r="BK776" s="99">
        <f t="shared" si="11"/>
        <v>223</v>
      </c>
      <c r="BL776" s="99">
        <f t="shared" si="12"/>
        <v>0</v>
      </c>
      <c r="BM776" s="99" t="str">
        <f>IFERROR(__xludf.DUMMYFUNCTION("IFERROR(VLOOKUP(BG776,IMPORTRANGE(""https://docs.google.com/spreadsheets/d/1juPI-Fb8LD0YtltB2mlGEnp_R3UVu1t3wSFPzgCyHXE/edit?gid=0#gid=0"",""GERAL!A2:C""),3,0),""-"")"),"-")</f>
        <v>-</v>
      </c>
    </row>
    <row r="777" ht="15.75" customHeight="1">
      <c r="A777" s="111" t="s">
        <v>860</v>
      </c>
      <c r="B777" s="83" t="s">
        <v>3701</v>
      </c>
      <c r="C777" s="83" t="s">
        <v>164</v>
      </c>
      <c r="D777" s="112">
        <v>1178086.0</v>
      </c>
      <c r="E777" s="83">
        <v>1178889.0</v>
      </c>
      <c r="F777" s="98">
        <v>2.9492971E7</v>
      </c>
      <c r="G777" s="184" t="s">
        <v>3711</v>
      </c>
      <c r="H777" s="91" t="s">
        <v>3712</v>
      </c>
      <c r="I777" s="83" t="s">
        <v>149</v>
      </c>
      <c r="J777" s="83" t="s">
        <v>187</v>
      </c>
      <c r="K777" s="83" t="s">
        <v>168</v>
      </c>
      <c r="L777" s="83" t="s">
        <v>169</v>
      </c>
      <c r="M777" s="82" t="str">
        <f>IFERROR(__xludf.DUMMYFUNCTION("IFERROR(VLOOKUP(D777,
IMPORTRANGE(""https://docs.google.com/spreadsheets/d/1MjHtlUikwobi2MaWJgy7tfLeBmhj1u-dRFRs_8GwSoA/edit#gid=0"",""Gestores Escolares!D7:J""),3,0),""VERIFICAR CÓD SEC"")"),"DAVI FRANCK GOMES MACHADO")</f>
        <v>DAVI FRANCK GOMES MACHADO</v>
      </c>
      <c r="N777" s="82" t="str">
        <f>IFERROR(__xludf.DUMMYFUNCTION("IFERROR(VLOOKUP(D777,
IMPORTRANGE(""https://docs.google.com/spreadsheets/d/1MjHtlUikwobi2MaWJgy7tfLeBmhj1u-dRFRs_8GwSoA/edit#gid=0"",""Gestores Escolares!D7:J""),4,0),""VERIFICAR CÓD SEC"")"),"(77) 9 9999-7271/ 
9 8110-8959")</f>
        <v>(77) 9 9999-7271/ 
9 8110-8959</v>
      </c>
      <c r="O777" s="82" t="str">
        <f>IFERROR(__xludf.DUMMYFUNCTION("IFERROR(VLOOKUP(D777,
IMPORTRANGE(""https://docs.google.com/spreadsheets/d/1MjHtlUikwobi2MaWJgy7tfLeBmhj1u-dRFRs_8GwSoA/edit#gid=0"",""Gestores Escolares!D7:J""),6,0),""VERIFICAR CÓD SEC"")"),"BALTAZAR DIAS DE OLIVEIRA ")</f>
        <v>BALTAZAR DIAS DE OLIVEIRA </v>
      </c>
      <c r="P777" s="82" t="str">
        <f>IFERROR(__xludf.DUMMYFUNCTION("IFERROR(VLOOKUP(D777,
IMPORTRANGE(""https://docs.google.com/spreadsheets/d/1MjHtlUikwobi2MaWJgy7tfLeBmhj1u-dRFRs_8GwSoA/edit#gid=0"",""Gestores Escolares!D7:J""),7,0),""VERIFICAR CÓD SEC"")"),"(77) 9 9992-0099")</f>
        <v>(77) 9 9992-0099</v>
      </c>
      <c r="Q777" s="82" t="str">
        <f>IFERROR(__xludf.DUMMYFUNCTION("IFERROR(VLOOKUP(D777,
IMPORTRANGE(""https://docs.google.com/spreadsheets/d/1MjHtlUikwobi2MaWJgy7tfLeBmhj1u-dRFRs_8GwSoA/edit#gid=0"",""Gestores Escolares!D7:m""),9,0),""VERIFICAR CÓD SEC"")"),"")</f>
        <v/>
      </c>
      <c r="R777" s="82" t="str">
        <f>IFERROR(__xludf.DUMMYFUNCTION("IFERROR(VLOOKUP(D777,
IMPORTRANGE(""https://docs.google.com/spreadsheets/d/1MjHtlUikwobi2MaWJgy7tfLeBmhj1u-dRFRs_8GwSoA/edit#gid=0"",""Gestores Escolares!D7:m""),10,0),""VERIFICAR CÓD SEC"")"),"")</f>
        <v/>
      </c>
      <c r="S777" s="82"/>
      <c r="T777" s="138">
        <v>3.0</v>
      </c>
      <c r="U777" s="139">
        <v>3.0</v>
      </c>
      <c r="V777" s="106">
        <v>0.0</v>
      </c>
      <c r="W777" s="107">
        <v>0.0</v>
      </c>
      <c r="X777" s="107">
        <v>0.0</v>
      </c>
      <c r="Y777" s="107">
        <v>0.0</v>
      </c>
      <c r="Z777" s="80">
        <f t="shared" si="1"/>
        <v>0</v>
      </c>
      <c r="AA777" s="106">
        <v>0.0</v>
      </c>
      <c r="AB777" s="107">
        <v>0.0</v>
      </c>
      <c r="AC777" s="107">
        <v>0.0</v>
      </c>
      <c r="AD777" s="107">
        <v>0.0</v>
      </c>
      <c r="AE777" s="80">
        <f t="shared" si="2"/>
        <v>0</v>
      </c>
      <c r="AF777" s="140">
        <v>0.0</v>
      </c>
      <c r="AG777" s="109">
        <v>0.0</v>
      </c>
      <c r="AH777" s="109">
        <v>0.0</v>
      </c>
      <c r="AI777" s="141">
        <v>0.0</v>
      </c>
      <c r="AJ777" s="80">
        <f t="shared" si="3"/>
        <v>0</v>
      </c>
      <c r="AK777" s="140">
        <v>0.0</v>
      </c>
      <c r="AL777" s="109">
        <v>0.0</v>
      </c>
      <c r="AM777" s="141">
        <v>0.0</v>
      </c>
      <c r="AN777" s="80">
        <f t="shared" si="4"/>
        <v>0</v>
      </c>
      <c r="AO777" s="140">
        <v>0.0</v>
      </c>
      <c r="AP777" s="109">
        <v>0.0</v>
      </c>
      <c r="AQ777" s="109">
        <v>41.0</v>
      </c>
      <c r="AR777" s="80">
        <f t="shared" si="5"/>
        <v>41</v>
      </c>
      <c r="AS777" s="110">
        <v>0.0</v>
      </c>
      <c r="AT777" s="110">
        <v>0.0</v>
      </c>
      <c r="AU777" s="110">
        <v>0.0</v>
      </c>
      <c r="AV777" s="142">
        <v>0.0</v>
      </c>
      <c r="AW777" s="80">
        <f t="shared" si="6"/>
        <v>0</v>
      </c>
      <c r="AX777" s="113">
        <f t="shared" si="7"/>
        <v>41</v>
      </c>
      <c r="AY777" s="117">
        <f t="shared" si="8"/>
        <v>0</v>
      </c>
      <c r="AZ777" s="120">
        <f t="shared" si="9"/>
        <v>41</v>
      </c>
      <c r="BA777" s="115">
        <v>0.0</v>
      </c>
      <c r="BB777" s="89">
        <f t="shared" si="10"/>
        <v>41</v>
      </c>
      <c r="BC777" s="132" t="s">
        <v>373</v>
      </c>
      <c r="BD777" s="132" t="s">
        <v>178</v>
      </c>
      <c r="BE777" s="132" t="s">
        <v>178</v>
      </c>
      <c r="BF777" s="123"/>
      <c r="BG777" s="83">
        <v>1178889.0</v>
      </c>
      <c r="BH777" s="112"/>
      <c r="BI777" s="112">
        <v>3.0</v>
      </c>
      <c r="BJ777" s="98" t="s">
        <v>155</v>
      </c>
      <c r="BK777" s="99">
        <f t="shared" si="11"/>
        <v>0</v>
      </c>
      <c r="BL777" s="99">
        <f t="shared" si="12"/>
        <v>0</v>
      </c>
      <c r="BM777" s="99" t="str">
        <f>IFERROR(__xludf.DUMMYFUNCTION("IFERROR(VLOOKUP(BG777,IMPORTRANGE(""https://docs.google.com/spreadsheets/d/1juPI-Fb8LD0YtltB2mlGEnp_R3UVu1t3wSFPzgCyHXE/edit?gid=0#gid=0"",""GERAL!A2:C""),3,0),""-"")"),"CAMPO")</f>
        <v>CAMPO</v>
      </c>
    </row>
    <row r="778" ht="15.75" customHeight="1">
      <c r="A778" s="111" t="s">
        <v>860</v>
      </c>
      <c r="B778" s="83" t="s">
        <v>3701</v>
      </c>
      <c r="C778" s="83" t="s">
        <v>164</v>
      </c>
      <c r="D778" s="112">
        <v>1178086.0</v>
      </c>
      <c r="E778" s="83">
        <v>1178888.0</v>
      </c>
      <c r="F778" s="98">
        <v>2.9492963E7</v>
      </c>
      <c r="G778" s="184" t="s">
        <v>3714</v>
      </c>
      <c r="H778" s="91" t="s">
        <v>3715</v>
      </c>
      <c r="I778" s="83" t="s">
        <v>149</v>
      </c>
      <c r="J778" s="136" t="s">
        <v>872</v>
      </c>
      <c r="K778" s="83" t="s">
        <v>168</v>
      </c>
      <c r="L778" s="83" t="s">
        <v>169</v>
      </c>
      <c r="M778" s="82" t="str">
        <f>IFERROR(__xludf.DUMMYFUNCTION("IFERROR(VLOOKUP(D778,
IMPORTRANGE(""https://docs.google.com/spreadsheets/d/1MjHtlUikwobi2MaWJgy7tfLeBmhj1u-dRFRs_8GwSoA/edit#gid=0"",""Gestores Escolares!D7:J""),3,0),""VERIFICAR CÓD SEC"")"),"DAVI FRANCK GOMES MACHADO")</f>
        <v>DAVI FRANCK GOMES MACHADO</v>
      </c>
      <c r="N778" s="82" t="str">
        <f>IFERROR(__xludf.DUMMYFUNCTION("IFERROR(VLOOKUP(D778,
IMPORTRANGE(""https://docs.google.com/spreadsheets/d/1MjHtlUikwobi2MaWJgy7tfLeBmhj1u-dRFRs_8GwSoA/edit#gid=0"",""Gestores Escolares!D7:J""),4,0),""VERIFICAR CÓD SEC"")"),"(77) 9 9999-7271/ 
9 8110-8959")</f>
        <v>(77) 9 9999-7271/ 
9 8110-8959</v>
      </c>
      <c r="O778" s="82" t="str">
        <f>IFERROR(__xludf.DUMMYFUNCTION("IFERROR(VLOOKUP(D778,
IMPORTRANGE(""https://docs.google.com/spreadsheets/d/1MjHtlUikwobi2MaWJgy7tfLeBmhj1u-dRFRs_8GwSoA/edit#gid=0"",""Gestores Escolares!D7:J""),6,0),""VERIFICAR CÓD SEC"")"),"BALTAZAR DIAS DE OLIVEIRA ")</f>
        <v>BALTAZAR DIAS DE OLIVEIRA </v>
      </c>
      <c r="P778" s="82" t="str">
        <f>IFERROR(__xludf.DUMMYFUNCTION("IFERROR(VLOOKUP(D778,
IMPORTRANGE(""https://docs.google.com/spreadsheets/d/1MjHtlUikwobi2MaWJgy7tfLeBmhj1u-dRFRs_8GwSoA/edit#gid=0"",""Gestores Escolares!D7:J""),7,0),""VERIFICAR CÓD SEC"")"),"(77) 9 9992-0099")</f>
        <v>(77) 9 9992-0099</v>
      </c>
      <c r="Q778" s="82" t="str">
        <f>IFERROR(__xludf.DUMMYFUNCTION("IFERROR(VLOOKUP(D778,
IMPORTRANGE(""https://docs.google.com/spreadsheets/d/1MjHtlUikwobi2MaWJgy7tfLeBmhj1u-dRFRs_8GwSoA/edit#gid=0"",""Gestores Escolares!D7:m""),9,0),""VERIFICAR CÓD SEC"")"),"")</f>
        <v/>
      </c>
      <c r="R778" s="82" t="str">
        <f>IFERROR(__xludf.DUMMYFUNCTION("IFERROR(VLOOKUP(D778,
IMPORTRANGE(""https://docs.google.com/spreadsheets/d/1MjHtlUikwobi2MaWJgy7tfLeBmhj1u-dRFRs_8GwSoA/edit#gid=0"",""Gestores Escolares!D7:m""),10,0),""VERIFICAR CÓD SEC"")"),"")</f>
        <v/>
      </c>
      <c r="S778" s="82"/>
      <c r="T778" s="138">
        <v>5.0</v>
      </c>
      <c r="U778" s="139">
        <v>7.0</v>
      </c>
      <c r="V778" s="106">
        <v>0.0</v>
      </c>
      <c r="W778" s="107">
        <v>0.0</v>
      </c>
      <c r="X778" s="107">
        <v>0.0</v>
      </c>
      <c r="Y778" s="107">
        <v>0.0</v>
      </c>
      <c r="Z778" s="80">
        <f t="shared" si="1"/>
        <v>0</v>
      </c>
      <c r="AA778" s="106">
        <v>0.0</v>
      </c>
      <c r="AB778" s="107">
        <v>0.0</v>
      </c>
      <c r="AC778" s="107">
        <v>0.0</v>
      </c>
      <c r="AD778" s="107">
        <v>0.0</v>
      </c>
      <c r="AE778" s="80">
        <f t="shared" si="2"/>
        <v>0</v>
      </c>
      <c r="AF778" s="140">
        <v>0.0</v>
      </c>
      <c r="AG778" s="109">
        <v>0.0</v>
      </c>
      <c r="AH778" s="109">
        <v>0.0</v>
      </c>
      <c r="AI778" s="141">
        <v>0.0</v>
      </c>
      <c r="AJ778" s="80">
        <f t="shared" si="3"/>
        <v>0</v>
      </c>
      <c r="AK778" s="140">
        <v>0.0</v>
      </c>
      <c r="AL778" s="109">
        <v>0.0</v>
      </c>
      <c r="AM778" s="141">
        <v>0.0</v>
      </c>
      <c r="AN778" s="80">
        <f t="shared" si="4"/>
        <v>0</v>
      </c>
      <c r="AO778" s="140">
        <v>0.0</v>
      </c>
      <c r="AP778" s="109">
        <v>0.0</v>
      </c>
      <c r="AQ778" s="109">
        <v>62.0</v>
      </c>
      <c r="AR778" s="80">
        <f t="shared" si="5"/>
        <v>62</v>
      </c>
      <c r="AS778" s="110">
        <v>0.0</v>
      </c>
      <c r="AT778" s="110">
        <v>0.0</v>
      </c>
      <c r="AU778" s="110">
        <v>0.0</v>
      </c>
      <c r="AV778" s="142">
        <v>0.0</v>
      </c>
      <c r="AW778" s="80">
        <f t="shared" si="6"/>
        <v>0</v>
      </c>
      <c r="AX778" s="113">
        <f t="shared" si="7"/>
        <v>62</v>
      </c>
      <c r="AY778" s="117">
        <f t="shared" si="8"/>
        <v>0</v>
      </c>
      <c r="AZ778" s="120">
        <f t="shared" si="9"/>
        <v>62</v>
      </c>
      <c r="BA778" s="115">
        <v>0.0</v>
      </c>
      <c r="BB778" s="89">
        <f t="shared" si="10"/>
        <v>62</v>
      </c>
      <c r="BC778" s="132" t="s">
        <v>373</v>
      </c>
      <c r="BD778" s="132" t="s">
        <v>178</v>
      </c>
      <c r="BE778" s="132" t="s">
        <v>178</v>
      </c>
      <c r="BF778" s="123"/>
      <c r="BG778" s="83">
        <v>1178888.0</v>
      </c>
      <c r="BH778" s="112"/>
      <c r="BI778" s="112">
        <v>7.0</v>
      </c>
      <c r="BJ778" s="98" t="s">
        <v>155</v>
      </c>
      <c r="BK778" s="99">
        <f t="shared" si="11"/>
        <v>0</v>
      </c>
      <c r="BL778" s="99">
        <f t="shared" si="12"/>
        <v>0</v>
      </c>
      <c r="BM778" s="99" t="str">
        <f>IFERROR(__xludf.DUMMYFUNCTION("IFERROR(VLOOKUP(BG778,IMPORTRANGE(""https://docs.google.com/spreadsheets/d/1juPI-Fb8LD0YtltB2mlGEnp_R3UVu1t3wSFPzgCyHXE/edit?gid=0#gid=0"",""GERAL!A2:C""),3,0),""-"")"),"CAMPO")</f>
        <v>CAMPO</v>
      </c>
    </row>
    <row r="779" ht="15.75" customHeight="1">
      <c r="A779" s="111" t="s">
        <v>860</v>
      </c>
      <c r="B779" s="83" t="s">
        <v>3701</v>
      </c>
      <c r="C779" s="83" t="s">
        <v>164</v>
      </c>
      <c r="D779" s="112">
        <v>1179339.0</v>
      </c>
      <c r="E779" s="83">
        <v>1179239.0</v>
      </c>
      <c r="F779" s="98">
        <v>2.946148E7</v>
      </c>
      <c r="G779" s="114" t="s">
        <v>3716</v>
      </c>
      <c r="H779" s="91" t="s">
        <v>3717</v>
      </c>
      <c r="I779" s="136" t="s">
        <v>149</v>
      </c>
      <c r="J779" s="136" t="s">
        <v>865</v>
      </c>
      <c r="K779" s="83" t="s">
        <v>168</v>
      </c>
      <c r="L779" s="83" t="s">
        <v>169</v>
      </c>
      <c r="M779" s="82" t="str">
        <f>IFERROR(__xludf.DUMMYFUNCTION("IFERROR(VLOOKUP(D779,
IMPORTRANGE(""https://docs.google.com/spreadsheets/d/1MjHtlUikwobi2MaWJgy7tfLeBmhj1u-dRFRs_8GwSoA/edit#gid=0"",""Gestores Escolares!D7:J""),3,0),""VERIFICAR CÓD SEC"")"),"SUELY PASSOS DE SOUZA")</f>
        <v>SUELY PASSOS DE SOUZA</v>
      </c>
      <c r="N779" s="82" t="str">
        <f>IFERROR(__xludf.DUMMYFUNCTION("IFERROR(VLOOKUP(D779,
IMPORTRANGE(""https://docs.google.com/spreadsheets/d/1MjHtlUikwobi2MaWJgy7tfLeBmhj1u-dRFRs_8GwSoA/edit#gid=0"",""Gestores Escolares!D7:J""),4,0),""VERIFICAR CÓD SEC"")"),"(77) 9 9913-6204")</f>
        <v>(77) 9 9913-6204</v>
      </c>
      <c r="O779" s="82" t="str">
        <f>IFERROR(__xludf.DUMMYFUNCTION("IFERROR(VLOOKUP(D779,
IMPORTRANGE(""https://docs.google.com/spreadsheets/d/1MjHtlUikwobi2MaWJgy7tfLeBmhj1u-dRFRs_8GwSoA/edit#gid=0"",""Gestores Escolares!D7:J""),6,0),""VERIFICAR CÓD SEC"")"),"MARCIO ALEXANDRE DE OLIVEIRA ANDRADA")</f>
        <v>MARCIO ALEXANDRE DE OLIVEIRA ANDRADA</v>
      </c>
      <c r="P779" s="82" t="str">
        <f>IFERROR(__xludf.DUMMYFUNCTION("IFERROR(VLOOKUP(D779,
IMPORTRANGE(""https://docs.google.com/spreadsheets/d/1MjHtlUikwobi2MaWJgy7tfLeBmhj1u-dRFRs_8GwSoA/edit#gid=0"",""Gestores Escolares!D7:J""),7,0),""VERIFICAR CÓD SEC"")"),"(71) 9 8554-1121")</f>
        <v>(71) 9 8554-1121</v>
      </c>
      <c r="Q779" s="82" t="str">
        <f>IFERROR(__xludf.DUMMYFUNCTION("IFERROR(VLOOKUP(D779,
IMPORTRANGE(""https://docs.google.com/spreadsheets/d/1MjHtlUikwobi2MaWJgy7tfLeBmhj1u-dRFRs_8GwSoA/edit#gid=0"",""Gestores Escolares!D7:m""),9,0),""VERIFICAR CÓD SEC"")"),"RODRIGO ARLINDO PORTO WANDERLEY MORENO")</f>
        <v>RODRIGO ARLINDO PORTO WANDERLEY MORENO</v>
      </c>
      <c r="R779" s="82" t="str">
        <f>IFERROR(__xludf.DUMMYFUNCTION("IFERROR(VLOOKUP(D779,
IMPORTRANGE(""https://docs.google.com/spreadsheets/d/1MjHtlUikwobi2MaWJgy7tfLeBmhj1u-dRFRs_8GwSoA/edit#gid=0"",""Gestores Escolares!D7:m""),10,0),""VERIFICAR CÓD SEC"")"),"(77) 9 9174-0395")</f>
        <v>(77) 9 9174-0395</v>
      </c>
      <c r="S779" s="82"/>
      <c r="T779" s="138">
        <v>2.0</v>
      </c>
      <c r="U779" s="139">
        <v>2.0</v>
      </c>
      <c r="V779" s="106">
        <v>0.0</v>
      </c>
      <c r="W779" s="107">
        <v>0.0</v>
      </c>
      <c r="X779" s="107">
        <v>0.0</v>
      </c>
      <c r="Y779" s="107">
        <v>0.0</v>
      </c>
      <c r="Z779" s="80">
        <f t="shared" si="1"/>
        <v>0</v>
      </c>
      <c r="AA779" s="106">
        <v>0.0</v>
      </c>
      <c r="AB779" s="107">
        <v>0.0</v>
      </c>
      <c r="AC779" s="107">
        <v>0.0</v>
      </c>
      <c r="AD779" s="107">
        <v>0.0</v>
      </c>
      <c r="AE779" s="80">
        <f t="shared" si="2"/>
        <v>0</v>
      </c>
      <c r="AF779" s="140">
        <v>8.0</v>
      </c>
      <c r="AG779" s="109">
        <v>27.0</v>
      </c>
      <c r="AH779" s="109">
        <v>0.0</v>
      </c>
      <c r="AI779" s="141">
        <v>0.0</v>
      </c>
      <c r="AJ779" s="80">
        <f t="shared" si="3"/>
        <v>35</v>
      </c>
      <c r="AK779" s="140">
        <v>0.0</v>
      </c>
      <c r="AL779" s="109">
        <v>0.0</v>
      </c>
      <c r="AM779" s="141">
        <v>0.0</v>
      </c>
      <c r="AN779" s="80">
        <f t="shared" si="4"/>
        <v>0</v>
      </c>
      <c r="AO779" s="140">
        <v>0.0</v>
      </c>
      <c r="AP779" s="109">
        <v>0.0</v>
      </c>
      <c r="AQ779" s="109">
        <v>0.0</v>
      </c>
      <c r="AR779" s="80">
        <f t="shared" si="5"/>
        <v>0</v>
      </c>
      <c r="AS779" s="110">
        <v>0.0</v>
      </c>
      <c r="AT779" s="110">
        <v>0.0</v>
      </c>
      <c r="AU779" s="110">
        <v>0.0</v>
      </c>
      <c r="AV779" s="142">
        <v>0.0</v>
      </c>
      <c r="AW779" s="80">
        <f t="shared" si="6"/>
        <v>0</v>
      </c>
      <c r="AX779" s="113">
        <f t="shared" si="7"/>
        <v>35</v>
      </c>
      <c r="AY779" s="117">
        <f t="shared" si="8"/>
        <v>35</v>
      </c>
      <c r="AZ779" s="120">
        <f t="shared" si="9"/>
        <v>0</v>
      </c>
      <c r="BA779" s="115">
        <v>0.0</v>
      </c>
      <c r="BB779" s="89">
        <f t="shared" si="10"/>
        <v>35</v>
      </c>
      <c r="BC779" s="132" t="s">
        <v>178</v>
      </c>
      <c r="BD779" s="143" t="s">
        <v>227</v>
      </c>
      <c r="BE779" s="132" t="s">
        <v>178</v>
      </c>
      <c r="BF779" s="123"/>
      <c r="BG779" s="83">
        <v>1179239.0</v>
      </c>
      <c r="BH779" s="112"/>
      <c r="BI779" s="112">
        <v>2.0</v>
      </c>
      <c r="BJ779" s="98" t="s">
        <v>155</v>
      </c>
      <c r="BK779" s="99">
        <f t="shared" si="11"/>
        <v>0</v>
      </c>
      <c r="BL779" s="99">
        <f t="shared" si="12"/>
        <v>35</v>
      </c>
      <c r="BM779" s="99" t="str">
        <f>IFERROR(__xludf.DUMMYFUNCTION("IFERROR(VLOOKUP(BG779,IMPORTRANGE(""https://docs.google.com/spreadsheets/d/1juPI-Fb8LD0YtltB2mlGEnp_R3UVu1t3wSFPzgCyHXE/edit?gid=0#gid=0"",""GERAL!A2:C""),3,0),""-"")"),"-")</f>
        <v>-</v>
      </c>
    </row>
    <row r="780" ht="15.75" customHeight="1">
      <c r="A780" s="111" t="s">
        <v>860</v>
      </c>
      <c r="B780" s="83" t="s">
        <v>3701</v>
      </c>
      <c r="C780" s="83" t="s">
        <v>164</v>
      </c>
      <c r="D780" s="112">
        <v>1178086.0</v>
      </c>
      <c r="E780" s="83">
        <v>1178890.0</v>
      </c>
      <c r="F780" s="98">
        <v>2.949298E7</v>
      </c>
      <c r="G780" s="184" t="s">
        <v>3718</v>
      </c>
      <c r="H780" s="91" t="s">
        <v>3719</v>
      </c>
      <c r="I780" s="83" t="s">
        <v>149</v>
      </c>
      <c r="J780" s="83" t="s">
        <v>694</v>
      </c>
      <c r="K780" s="83" t="s">
        <v>168</v>
      </c>
      <c r="L780" s="83" t="s">
        <v>169</v>
      </c>
      <c r="M780" s="82" t="str">
        <f>IFERROR(__xludf.DUMMYFUNCTION("IFERROR(VLOOKUP(D780,
IMPORTRANGE(""https://docs.google.com/spreadsheets/d/1MjHtlUikwobi2MaWJgy7tfLeBmhj1u-dRFRs_8GwSoA/edit#gid=0"",""Gestores Escolares!D7:J""),3,0),""VERIFICAR CÓD SEC"")"),"DAVI FRANCK GOMES MACHADO")</f>
        <v>DAVI FRANCK GOMES MACHADO</v>
      </c>
      <c r="N780" s="82" t="str">
        <f>IFERROR(__xludf.DUMMYFUNCTION("IFERROR(VLOOKUP(D780,
IMPORTRANGE(""https://docs.google.com/spreadsheets/d/1MjHtlUikwobi2MaWJgy7tfLeBmhj1u-dRFRs_8GwSoA/edit#gid=0"",""Gestores Escolares!D7:J""),4,0),""VERIFICAR CÓD SEC"")"),"(77) 9 9999-7271/ 
9 8110-8959")</f>
        <v>(77) 9 9999-7271/ 
9 8110-8959</v>
      </c>
      <c r="O780" s="82" t="str">
        <f>IFERROR(__xludf.DUMMYFUNCTION("IFERROR(VLOOKUP(D780,
IMPORTRANGE(""https://docs.google.com/spreadsheets/d/1MjHtlUikwobi2MaWJgy7tfLeBmhj1u-dRFRs_8GwSoA/edit#gid=0"",""Gestores Escolares!D7:J""),6,0),""VERIFICAR CÓD SEC"")"),"BALTAZAR DIAS DE OLIVEIRA ")</f>
        <v>BALTAZAR DIAS DE OLIVEIRA </v>
      </c>
      <c r="P780" s="82" t="str">
        <f>IFERROR(__xludf.DUMMYFUNCTION("IFERROR(VLOOKUP(D780,
IMPORTRANGE(""https://docs.google.com/spreadsheets/d/1MjHtlUikwobi2MaWJgy7tfLeBmhj1u-dRFRs_8GwSoA/edit#gid=0"",""Gestores Escolares!D7:J""),7,0),""VERIFICAR CÓD SEC"")"),"(77) 9 9992-0099")</f>
        <v>(77) 9 9992-0099</v>
      </c>
      <c r="Q780" s="82" t="str">
        <f>IFERROR(__xludf.DUMMYFUNCTION("IFERROR(VLOOKUP(D780,
IMPORTRANGE(""https://docs.google.com/spreadsheets/d/1MjHtlUikwobi2MaWJgy7tfLeBmhj1u-dRFRs_8GwSoA/edit#gid=0"",""Gestores Escolares!D7:m""),9,0),""VERIFICAR CÓD SEC"")"),"")</f>
        <v/>
      </c>
      <c r="R780" s="82" t="str">
        <f>IFERROR(__xludf.DUMMYFUNCTION("IFERROR(VLOOKUP(D780,
IMPORTRANGE(""https://docs.google.com/spreadsheets/d/1MjHtlUikwobi2MaWJgy7tfLeBmhj1u-dRFRs_8GwSoA/edit#gid=0"",""Gestores Escolares!D7:m""),10,0),""VERIFICAR CÓD SEC"")"),"")</f>
        <v/>
      </c>
      <c r="S780" s="82"/>
      <c r="T780" s="138">
        <v>3.0</v>
      </c>
      <c r="U780" s="139">
        <v>3.0</v>
      </c>
      <c r="V780" s="106">
        <v>0.0</v>
      </c>
      <c r="W780" s="107">
        <v>0.0</v>
      </c>
      <c r="X780" s="107">
        <v>0.0</v>
      </c>
      <c r="Y780" s="107">
        <v>0.0</v>
      </c>
      <c r="Z780" s="80">
        <f t="shared" si="1"/>
        <v>0</v>
      </c>
      <c r="AA780" s="106">
        <v>0.0</v>
      </c>
      <c r="AB780" s="107">
        <v>0.0</v>
      </c>
      <c r="AC780" s="107">
        <v>0.0</v>
      </c>
      <c r="AD780" s="107">
        <v>0.0</v>
      </c>
      <c r="AE780" s="80">
        <f t="shared" si="2"/>
        <v>0</v>
      </c>
      <c r="AF780" s="140">
        <v>0.0</v>
      </c>
      <c r="AG780" s="109">
        <v>0.0</v>
      </c>
      <c r="AH780" s="109">
        <v>0.0</v>
      </c>
      <c r="AI780" s="141">
        <v>0.0</v>
      </c>
      <c r="AJ780" s="80">
        <f t="shared" si="3"/>
        <v>0</v>
      </c>
      <c r="AK780" s="140">
        <v>0.0</v>
      </c>
      <c r="AL780" s="109">
        <v>0.0</v>
      </c>
      <c r="AM780" s="141">
        <v>0.0</v>
      </c>
      <c r="AN780" s="80">
        <f t="shared" si="4"/>
        <v>0</v>
      </c>
      <c r="AO780" s="140">
        <v>0.0</v>
      </c>
      <c r="AP780" s="109">
        <v>0.0</v>
      </c>
      <c r="AQ780" s="109">
        <v>29.0</v>
      </c>
      <c r="AR780" s="80">
        <f t="shared" si="5"/>
        <v>29</v>
      </c>
      <c r="AS780" s="110">
        <v>0.0</v>
      </c>
      <c r="AT780" s="110">
        <v>0.0</v>
      </c>
      <c r="AU780" s="110">
        <v>0.0</v>
      </c>
      <c r="AV780" s="142">
        <v>0.0</v>
      </c>
      <c r="AW780" s="80">
        <f t="shared" si="6"/>
        <v>0</v>
      </c>
      <c r="AX780" s="113">
        <f t="shared" si="7"/>
        <v>29</v>
      </c>
      <c r="AY780" s="117">
        <f t="shared" si="8"/>
        <v>0</v>
      </c>
      <c r="AZ780" s="120">
        <f t="shared" si="9"/>
        <v>29</v>
      </c>
      <c r="BA780" s="115">
        <v>0.0</v>
      </c>
      <c r="BB780" s="89">
        <f t="shared" si="10"/>
        <v>29</v>
      </c>
      <c r="BC780" s="132" t="s">
        <v>373</v>
      </c>
      <c r="BD780" s="132" t="s">
        <v>178</v>
      </c>
      <c r="BE780" s="132" t="s">
        <v>178</v>
      </c>
      <c r="BF780" s="123"/>
      <c r="BG780" s="83">
        <v>1178890.0</v>
      </c>
      <c r="BH780" s="112"/>
      <c r="BI780" s="112">
        <v>3.0</v>
      </c>
      <c r="BJ780" s="98" t="s">
        <v>155</v>
      </c>
      <c r="BK780" s="99">
        <f t="shared" si="11"/>
        <v>0</v>
      </c>
      <c r="BL780" s="99">
        <f t="shared" si="12"/>
        <v>0</v>
      </c>
      <c r="BM780" s="99" t="str">
        <f>IFERROR(__xludf.DUMMYFUNCTION("IFERROR(VLOOKUP(BG780,IMPORTRANGE(""https://docs.google.com/spreadsheets/d/1juPI-Fb8LD0YtltB2mlGEnp_R3UVu1t3wSFPzgCyHXE/edit?gid=0#gid=0"",""GERAL!A2:C""),3,0),""-"")"),"CAMPO")</f>
        <v>CAMPO</v>
      </c>
    </row>
    <row r="781" ht="15.75" customHeight="1">
      <c r="A781" s="111" t="s">
        <v>860</v>
      </c>
      <c r="B781" s="83" t="s">
        <v>2372</v>
      </c>
      <c r="C781" s="83" t="s">
        <v>68</v>
      </c>
      <c r="D781" s="112">
        <v>1130856.0</v>
      </c>
      <c r="E781" s="83"/>
      <c r="F781" s="83">
        <v>2.9343003E7</v>
      </c>
      <c r="G781" s="119" t="s">
        <v>3720</v>
      </c>
      <c r="H781" s="91" t="s">
        <v>3721</v>
      </c>
      <c r="I781" s="83" t="s">
        <v>149</v>
      </c>
      <c r="J781" s="83" t="s">
        <v>150</v>
      </c>
      <c r="K781" s="83" t="s">
        <v>151</v>
      </c>
      <c r="L781" s="83" t="s">
        <v>152</v>
      </c>
      <c r="M781" s="82" t="str">
        <f>IFERROR(__xludf.DUMMYFUNCTION("IFERROR(VLOOKUP(D781,
IMPORTRANGE(""https://docs.google.com/spreadsheets/d/1MjHtlUikwobi2MaWJgy7tfLeBmhj1u-dRFRs_8GwSoA/edit#gid=0"",""Gestores Escolares!D7:J""),3,0),""VERIFICAR CÓD SEC"")"),"HELENA JEANNE ARRUDA CARDOZO")</f>
        <v>HELENA JEANNE ARRUDA CARDOZO</v>
      </c>
      <c r="N781" s="82" t="str">
        <f>IFERROR(__xludf.DUMMYFUNCTION("IFERROR(VLOOKUP(D781,
IMPORTRANGE(""https://docs.google.com/spreadsheets/d/1MjHtlUikwobi2MaWJgy7tfLeBmhj1u-dRFRs_8GwSoA/edit#gid=0"",""Gestores Escolares!D7:J""),4,0),""VERIFICAR CÓD SEC"")"),"(77) 9 9963-6952")</f>
        <v>(77) 9 9963-6952</v>
      </c>
      <c r="O781" s="82" t="str">
        <f>IFERROR(__xludf.DUMMYFUNCTION("IFERROR(VLOOKUP(D781,
IMPORTRANGE(""https://docs.google.com/spreadsheets/d/1MjHtlUikwobi2MaWJgy7tfLeBmhj1u-dRFRs_8GwSoA/edit#gid=0"",""Gestores Escolares!D7:J""),6,0),""VERIFICAR CÓD SEC"")"),"NILVA SILVA DOS SANTOS")</f>
        <v>NILVA SILVA DOS SANTOS</v>
      </c>
      <c r="P781" s="82" t="str">
        <f>IFERROR(__xludf.DUMMYFUNCTION("IFERROR(VLOOKUP(D781,
IMPORTRANGE(""https://docs.google.com/spreadsheets/d/1MjHtlUikwobi2MaWJgy7tfLeBmhj1u-dRFRs_8GwSoA/edit#gid=0"",""Gestores Escolares!D7:J""),7,0),""VERIFICAR CÓD SEC"")"),"(77) 9 9996-0802")</f>
        <v>(77) 9 9996-0802</v>
      </c>
      <c r="Q781" s="82" t="str">
        <f>IFERROR(__xludf.DUMMYFUNCTION("IFERROR(VLOOKUP(D781,
IMPORTRANGE(""https://docs.google.com/spreadsheets/d/1MjHtlUikwobi2MaWJgy7tfLeBmhj1u-dRFRs_8GwSoA/edit#gid=0"",""Gestores Escolares!D7:m""),9,0),""VERIFICAR CÓD SEC"")"),"EVILAZIO MAGALHAES DOS SANTOS")</f>
        <v>EVILAZIO MAGALHAES DOS SANTOS</v>
      </c>
      <c r="R781" s="82" t="str">
        <f>IFERROR(__xludf.DUMMYFUNCTION("IFERROR(VLOOKUP(D781,
IMPORTRANGE(""https://docs.google.com/spreadsheets/d/1MjHtlUikwobi2MaWJgy7tfLeBmhj1u-dRFRs_8GwSoA/edit#gid=0"",""Gestores Escolares!D7:m""),10,0),""VERIFICAR CÓD SEC"")"),"(77) 9 9959-1822")</f>
        <v>(77) 9 9959-1822</v>
      </c>
      <c r="S781" s="82"/>
      <c r="T781" s="138">
        <v>6.0</v>
      </c>
      <c r="U781" s="145">
        <v>7.0</v>
      </c>
      <c r="V781" s="106">
        <v>0.0</v>
      </c>
      <c r="W781" s="107">
        <v>0.0</v>
      </c>
      <c r="X781" s="107">
        <v>0.0</v>
      </c>
      <c r="Y781" s="107">
        <v>0.0</v>
      </c>
      <c r="Z781" s="80">
        <f t="shared" si="1"/>
        <v>0</v>
      </c>
      <c r="AA781" s="106">
        <v>0.0</v>
      </c>
      <c r="AB781" s="107">
        <v>0.0</v>
      </c>
      <c r="AC781" s="107">
        <v>0.0</v>
      </c>
      <c r="AD781" s="107">
        <v>0.0</v>
      </c>
      <c r="AE781" s="80">
        <f t="shared" si="2"/>
        <v>0</v>
      </c>
      <c r="AF781" s="140">
        <v>122.0</v>
      </c>
      <c r="AG781" s="109">
        <v>72.0</v>
      </c>
      <c r="AH781" s="109">
        <v>0.0</v>
      </c>
      <c r="AI781" s="141">
        <v>101.0</v>
      </c>
      <c r="AJ781" s="80">
        <f t="shared" si="3"/>
        <v>295</v>
      </c>
      <c r="AK781" s="140">
        <v>0.0</v>
      </c>
      <c r="AL781" s="109">
        <v>0.0</v>
      </c>
      <c r="AM781" s="141">
        <v>0.0</v>
      </c>
      <c r="AN781" s="80">
        <f t="shared" si="4"/>
        <v>0</v>
      </c>
      <c r="AO781" s="140">
        <v>0.0</v>
      </c>
      <c r="AP781" s="109">
        <v>0.0</v>
      </c>
      <c r="AQ781" s="109">
        <v>84.0</v>
      </c>
      <c r="AR781" s="80">
        <f t="shared" si="5"/>
        <v>84</v>
      </c>
      <c r="AS781" s="110">
        <v>0.0</v>
      </c>
      <c r="AT781" s="110">
        <v>0.0</v>
      </c>
      <c r="AU781" s="110">
        <v>0.0</v>
      </c>
      <c r="AV781" s="142">
        <v>0.0</v>
      </c>
      <c r="AW781" s="80">
        <f t="shared" si="6"/>
        <v>0</v>
      </c>
      <c r="AX781" s="113">
        <f t="shared" si="7"/>
        <v>379</v>
      </c>
      <c r="AY781" s="117">
        <f t="shared" si="8"/>
        <v>295</v>
      </c>
      <c r="AZ781" s="120">
        <f t="shared" si="9"/>
        <v>84</v>
      </c>
      <c r="BA781" s="115">
        <v>0.0</v>
      </c>
      <c r="BB781" s="89">
        <f t="shared" si="10"/>
        <v>379</v>
      </c>
      <c r="BC781" s="132" t="s">
        <v>178</v>
      </c>
      <c r="BD781" s="132" t="s">
        <v>178</v>
      </c>
      <c r="BE781" s="132" t="s">
        <v>178</v>
      </c>
      <c r="BF781" s="123"/>
      <c r="BG781" s="83">
        <v>1130856.0</v>
      </c>
      <c r="BH781" s="112"/>
      <c r="BI781" s="112">
        <v>6.0</v>
      </c>
      <c r="BJ781" s="98" t="s">
        <v>155</v>
      </c>
      <c r="BK781" s="99">
        <f t="shared" si="11"/>
        <v>101</v>
      </c>
      <c r="BL781" s="99">
        <f t="shared" si="12"/>
        <v>194</v>
      </c>
      <c r="BM781" s="99" t="str">
        <f>IFERROR(__xludf.DUMMYFUNCTION("IFERROR(VLOOKUP(BG781,IMPORTRANGE(""https://docs.google.com/spreadsheets/d/1juPI-Fb8LD0YtltB2mlGEnp_R3UVu1t3wSFPzgCyHXE/edit?gid=0#gid=0"",""GERAL!A2:C""),3,0),""-"")"),"-")</f>
        <v>-</v>
      </c>
    </row>
    <row r="782" ht="15.75" customHeight="1">
      <c r="A782" s="111" t="s">
        <v>860</v>
      </c>
      <c r="B782" s="83" t="s">
        <v>2372</v>
      </c>
      <c r="C782" s="83" t="s">
        <v>68</v>
      </c>
      <c r="D782" s="112">
        <v>1178288.0</v>
      </c>
      <c r="E782" s="83"/>
      <c r="F782" s="83">
        <v>2.9526809E7</v>
      </c>
      <c r="G782" s="119" t="s">
        <v>3726</v>
      </c>
      <c r="H782" s="91" t="s">
        <v>3727</v>
      </c>
      <c r="I782" s="83" t="s">
        <v>149</v>
      </c>
      <c r="J782" s="83" t="s">
        <v>464</v>
      </c>
      <c r="K782" s="83" t="s">
        <v>168</v>
      </c>
      <c r="L782" s="83" t="s">
        <v>76</v>
      </c>
      <c r="M782" s="82" t="str">
        <f>IFERROR(__xludf.DUMMYFUNCTION("IFERROR(VLOOKUP(D782,
IMPORTRANGE(""https://docs.google.com/spreadsheets/d/1MjHtlUikwobi2MaWJgy7tfLeBmhj1u-dRFRs_8GwSoA/edit#gid=0"",""Gestores Escolares!D7:J""),3,0),""VERIFICAR CÓD SEC"")"),"DULCELICE ALCÂNTARA SANTOS BRITO")</f>
        <v>DULCELICE ALCÂNTARA SANTOS BRITO</v>
      </c>
      <c r="N782" s="82" t="str">
        <f>IFERROR(__xludf.DUMMYFUNCTION("IFERROR(VLOOKUP(D782,
IMPORTRANGE(""https://docs.google.com/spreadsheets/d/1MjHtlUikwobi2MaWJgy7tfLeBmhj1u-dRFRs_8GwSoA/edit#gid=0"",""Gestores Escolares!D7:J""),4,0),""VERIFICAR CÓD SEC"")"),"(77) 9 8823-2502")</f>
        <v>(77) 9 8823-2502</v>
      </c>
      <c r="O782" s="82" t="str">
        <f>IFERROR(__xludf.DUMMYFUNCTION("IFERROR(VLOOKUP(D782,
IMPORTRANGE(""https://docs.google.com/spreadsheets/d/1MjHtlUikwobi2MaWJgy7tfLeBmhj1u-dRFRs_8GwSoA/edit#gid=0"",""Gestores Escolares!D7:J""),6,0),""VERIFICAR CÓD SEC"")"),"")</f>
        <v/>
      </c>
      <c r="P782" s="82" t="str">
        <f>IFERROR(__xludf.DUMMYFUNCTION("IFERROR(VLOOKUP(D782,
IMPORTRANGE(""https://docs.google.com/spreadsheets/d/1MjHtlUikwobi2MaWJgy7tfLeBmhj1u-dRFRs_8GwSoA/edit#gid=0"",""Gestores Escolares!D7:J""),7,0),""VERIFICAR CÓD SEC"")"),"")</f>
        <v/>
      </c>
      <c r="Q782" s="82" t="str">
        <f>IFERROR(__xludf.DUMMYFUNCTION("IFERROR(VLOOKUP(D782,
IMPORTRANGE(""https://docs.google.com/spreadsheets/d/1MjHtlUikwobi2MaWJgy7tfLeBmhj1u-dRFRs_8GwSoA/edit#gid=0"",""Gestores Escolares!D7:m""),9,0),""VERIFICAR CÓD SEC"")"),"")</f>
        <v/>
      </c>
      <c r="R782" s="82" t="str">
        <f>IFERROR(__xludf.DUMMYFUNCTION("IFERROR(VLOOKUP(D782,
IMPORTRANGE(""https://docs.google.com/spreadsheets/d/1MjHtlUikwobi2MaWJgy7tfLeBmhj1u-dRFRs_8GwSoA/edit#gid=0"",""Gestores Escolares!D7:m""),10,0),""VERIFICAR CÓD SEC"")"),"")</f>
        <v/>
      </c>
      <c r="S782" s="82"/>
      <c r="T782" s="138">
        <v>5.0</v>
      </c>
      <c r="U782" s="139">
        <v>4.0</v>
      </c>
      <c r="V782" s="106">
        <v>0.0</v>
      </c>
      <c r="W782" s="107">
        <v>0.0</v>
      </c>
      <c r="X782" s="107">
        <v>0.0</v>
      </c>
      <c r="Y782" s="107">
        <v>0.0</v>
      </c>
      <c r="Z782" s="80">
        <f t="shared" si="1"/>
        <v>0</v>
      </c>
      <c r="AA782" s="106">
        <v>0.0</v>
      </c>
      <c r="AB782" s="107">
        <v>0.0</v>
      </c>
      <c r="AC782" s="107">
        <v>0.0</v>
      </c>
      <c r="AD782" s="107">
        <v>0.0</v>
      </c>
      <c r="AE782" s="80">
        <f t="shared" si="2"/>
        <v>0</v>
      </c>
      <c r="AF782" s="140">
        <v>0.0</v>
      </c>
      <c r="AG782" s="109">
        <v>86.0</v>
      </c>
      <c r="AH782" s="109">
        <v>0.0</v>
      </c>
      <c r="AI782" s="141">
        <v>0.0</v>
      </c>
      <c r="AJ782" s="80">
        <f t="shared" si="3"/>
        <v>86</v>
      </c>
      <c r="AK782" s="140">
        <v>0.0</v>
      </c>
      <c r="AL782" s="109">
        <v>0.0</v>
      </c>
      <c r="AM782" s="141">
        <v>0.0</v>
      </c>
      <c r="AN782" s="80">
        <f t="shared" si="4"/>
        <v>0</v>
      </c>
      <c r="AO782" s="140">
        <v>0.0</v>
      </c>
      <c r="AP782" s="109">
        <v>0.0</v>
      </c>
      <c r="AQ782" s="109">
        <v>44.0</v>
      </c>
      <c r="AR782" s="80">
        <f t="shared" si="5"/>
        <v>44</v>
      </c>
      <c r="AS782" s="110">
        <v>0.0</v>
      </c>
      <c r="AT782" s="110">
        <v>0.0</v>
      </c>
      <c r="AU782" s="110">
        <v>0.0</v>
      </c>
      <c r="AV782" s="142">
        <v>0.0</v>
      </c>
      <c r="AW782" s="80">
        <f t="shared" si="6"/>
        <v>0</v>
      </c>
      <c r="AX782" s="113">
        <f t="shared" si="7"/>
        <v>130</v>
      </c>
      <c r="AY782" s="117">
        <f t="shared" si="8"/>
        <v>86</v>
      </c>
      <c r="AZ782" s="120">
        <f t="shared" si="9"/>
        <v>44</v>
      </c>
      <c r="BA782" s="115">
        <v>0.0</v>
      </c>
      <c r="BB782" s="89">
        <f t="shared" si="10"/>
        <v>130</v>
      </c>
      <c r="BC782" s="132" t="s">
        <v>373</v>
      </c>
      <c r="BD782" s="132" t="s">
        <v>178</v>
      </c>
      <c r="BE782" s="132" t="s">
        <v>178</v>
      </c>
      <c r="BF782" s="123"/>
      <c r="BG782" s="83">
        <v>1178288.0</v>
      </c>
      <c r="BH782" s="112"/>
      <c r="BI782" s="112">
        <v>4.0</v>
      </c>
      <c r="BJ782" s="98" t="s">
        <v>155</v>
      </c>
      <c r="BK782" s="99">
        <f t="shared" si="11"/>
        <v>0</v>
      </c>
      <c r="BL782" s="99">
        <f t="shared" si="12"/>
        <v>86</v>
      </c>
      <c r="BM782" s="99" t="str">
        <f>IFERROR(__xludf.DUMMYFUNCTION("IFERROR(VLOOKUP(BG782,IMPORTRANGE(""https://docs.google.com/spreadsheets/d/1juPI-Fb8LD0YtltB2mlGEnp_R3UVu1t3wSFPzgCyHXE/edit?gid=0#gid=0"",""GERAL!A2:C""),3,0),""-"")"),"CAMPO")</f>
        <v>CAMPO</v>
      </c>
    </row>
    <row r="783" ht="15.75" customHeight="1">
      <c r="A783" s="111" t="s">
        <v>860</v>
      </c>
      <c r="B783" s="83" t="s">
        <v>2372</v>
      </c>
      <c r="C783" s="83" t="s">
        <v>164</v>
      </c>
      <c r="D783" s="112">
        <v>1178288.0</v>
      </c>
      <c r="E783" s="83">
        <v>1178892.0</v>
      </c>
      <c r="F783" s="98">
        <v>2.9493099E7</v>
      </c>
      <c r="G783" s="114" t="s">
        <v>3729</v>
      </c>
      <c r="H783" s="91" t="s">
        <v>3730</v>
      </c>
      <c r="I783" s="83" t="s">
        <v>149</v>
      </c>
      <c r="J783" s="83" t="s">
        <v>702</v>
      </c>
      <c r="K783" s="83" t="s">
        <v>168</v>
      </c>
      <c r="L783" s="83" t="s">
        <v>169</v>
      </c>
      <c r="M783" s="82" t="str">
        <f>IFERROR(__xludf.DUMMYFUNCTION("IFERROR(VLOOKUP(D783,
IMPORTRANGE(""https://docs.google.com/spreadsheets/d/1MjHtlUikwobi2MaWJgy7tfLeBmhj1u-dRFRs_8GwSoA/edit#gid=0"",""Gestores Escolares!D7:J""),3,0),""VERIFICAR CÓD SEC"")"),"DULCELICE ALCÂNTARA SANTOS BRITO")</f>
        <v>DULCELICE ALCÂNTARA SANTOS BRITO</v>
      </c>
      <c r="N783" s="82" t="str">
        <f>IFERROR(__xludf.DUMMYFUNCTION("IFERROR(VLOOKUP(D783,
IMPORTRANGE(""https://docs.google.com/spreadsheets/d/1MjHtlUikwobi2MaWJgy7tfLeBmhj1u-dRFRs_8GwSoA/edit#gid=0"",""Gestores Escolares!D7:J""),4,0),""VERIFICAR CÓD SEC"")"),"(77) 9 8823-2502")</f>
        <v>(77) 9 8823-2502</v>
      </c>
      <c r="O783" s="82" t="str">
        <f>IFERROR(__xludf.DUMMYFUNCTION("IFERROR(VLOOKUP(D783,
IMPORTRANGE(""https://docs.google.com/spreadsheets/d/1MjHtlUikwobi2MaWJgy7tfLeBmhj1u-dRFRs_8GwSoA/edit#gid=0"",""Gestores Escolares!D7:J""),6,0),""VERIFICAR CÓD SEC"")"),"")</f>
        <v/>
      </c>
      <c r="P783" s="82" t="str">
        <f>IFERROR(__xludf.DUMMYFUNCTION("IFERROR(VLOOKUP(D783,
IMPORTRANGE(""https://docs.google.com/spreadsheets/d/1MjHtlUikwobi2MaWJgy7tfLeBmhj1u-dRFRs_8GwSoA/edit#gid=0"",""Gestores Escolares!D7:J""),7,0),""VERIFICAR CÓD SEC"")"),"")</f>
        <v/>
      </c>
      <c r="Q783" s="82" t="str">
        <f>IFERROR(__xludf.DUMMYFUNCTION("IFERROR(VLOOKUP(D783,
IMPORTRANGE(""https://docs.google.com/spreadsheets/d/1MjHtlUikwobi2MaWJgy7tfLeBmhj1u-dRFRs_8GwSoA/edit#gid=0"",""Gestores Escolares!D7:m""),9,0),""VERIFICAR CÓD SEC"")"),"")</f>
        <v/>
      </c>
      <c r="R783" s="82" t="str">
        <f>IFERROR(__xludf.DUMMYFUNCTION("IFERROR(VLOOKUP(D783,
IMPORTRANGE(""https://docs.google.com/spreadsheets/d/1MjHtlUikwobi2MaWJgy7tfLeBmhj1u-dRFRs_8GwSoA/edit#gid=0"",""Gestores Escolares!D7:m""),10,0),""VERIFICAR CÓD SEC"")"),"")</f>
        <v/>
      </c>
      <c r="S783" s="82"/>
      <c r="T783" s="138">
        <v>4.0</v>
      </c>
      <c r="U783" s="145">
        <v>3.0</v>
      </c>
      <c r="V783" s="106">
        <v>0.0</v>
      </c>
      <c r="W783" s="107">
        <v>0.0</v>
      </c>
      <c r="X783" s="107">
        <v>0.0</v>
      </c>
      <c r="Y783" s="107">
        <v>0.0</v>
      </c>
      <c r="Z783" s="80">
        <f t="shared" si="1"/>
        <v>0</v>
      </c>
      <c r="AA783" s="106">
        <v>0.0</v>
      </c>
      <c r="AB783" s="107">
        <v>0.0</v>
      </c>
      <c r="AC783" s="107">
        <v>0.0</v>
      </c>
      <c r="AD783" s="107">
        <v>0.0</v>
      </c>
      <c r="AE783" s="80">
        <f t="shared" si="2"/>
        <v>0</v>
      </c>
      <c r="AF783" s="140">
        <v>0.0</v>
      </c>
      <c r="AG783" s="109">
        <v>0.0</v>
      </c>
      <c r="AH783" s="109">
        <v>0.0</v>
      </c>
      <c r="AI783" s="141">
        <v>0.0</v>
      </c>
      <c r="AJ783" s="80">
        <f t="shared" si="3"/>
        <v>0</v>
      </c>
      <c r="AK783" s="140">
        <v>0.0</v>
      </c>
      <c r="AL783" s="109">
        <v>0.0</v>
      </c>
      <c r="AM783" s="141">
        <v>0.0</v>
      </c>
      <c r="AN783" s="80">
        <f t="shared" si="4"/>
        <v>0</v>
      </c>
      <c r="AO783" s="140">
        <v>0.0</v>
      </c>
      <c r="AP783" s="109">
        <v>0.0</v>
      </c>
      <c r="AQ783" s="109">
        <v>64.0</v>
      </c>
      <c r="AR783" s="80">
        <f t="shared" si="5"/>
        <v>64</v>
      </c>
      <c r="AS783" s="110">
        <v>0.0</v>
      </c>
      <c r="AT783" s="110">
        <v>0.0</v>
      </c>
      <c r="AU783" s="110">
        <v>0.0</v>
      </c>
      <c r="AV783" s="142">
        <v>0.0</v>
      </c>
      <c r="AW783" s="80">
        <f t="shared" si="6"/>
        <v>0</v>
      </c>
      <c r="AX783" s="113">
        <f t="shared" si="7"/>
        <v>64</v>
      </c>
      <c r="AY783" s="117">
        <f t="shared" si="8"/>
        <v>0</v>
      </c>
      <c r="AZ783" s="120">
        <f t="shared" si="9"/>
        <v>64</v>
      </c>
      <c r="BA783" s="115">
        <v>0.0</v>
      </c>
      <c r="BB783" s="89">
        <f t="shared" si="10"/>
        <v>64</v>
      </c>
      <c r="BC783" s="132" t="s">
        <v>373</v>
      </c>
      <c r="BD783" s="132" t="s">
        <v>178</v>
      </c>
      <c r="BE783" s="132" t="s">
        <v>178</v>
      </c>
      <c r="BF783" s="123"/>
      <c r="BG783" s="83">
        <v>1178892.0</v>
      </c>
      <c r="BH783" s="112"/>
      <c r="BI783" s="112">
        <v>4.0</v>
      </c>
      <c r="BJ783" s="98" t="s">
        <v>155</v>
      </c>
      <c r="BK783" s="99">
        <f t="shared" si="11"/>
        <v>0</v>
      </c>
      <c r="BL783" s="99">
        <f t="shared" si="12"/>
        <v>0</v>
      </c>
      <c r="BM783" s="99" t="str">
        <f>IFERROR(__xludf.DUMMYFUNCTION("IFERROR(VLOOKUP(BG783,IMPORTRANGE(""https://docs.google.com/spreadsheets/d/1juPI-Fb8LD0YtltB2mlGEnp_R3UVu1t3wSFPzgCyHXE/edit?gid=0#gid=0"",""GERAL!A2:C""),3,0),""-"")"),"CAMPO")</f>
        <v>CAMPO</v>
      </c>
    </row>
    <row r="784" ht="15.75" customHeight="1">
      <c r="A784" s="111" t="s">
        <v>860</v>
      </c>
      <c r="B784" s="83" t="s">
        <v>2372</v>
      </c>
      <c r="C784" s="83" t="s">
        <v>164</v>
      </c>
      <c r="D784" s="112">
        <v>1178288.0</v>
      </c>
      <c r="E784" s="83">
        <v>1178893.0</v>
      </c>
      <c r="F784" s="98">
        <v>2.949308E7</v>
      </c>
      <c r="G784" s="114" t="s">
        <v>3737</v>
      </c>
      <c r="H784" s="91" t="s">
        <v>3738</v>
      </c>
      <c r="I784" s="83" t="s">
        <v>149</v>
      </c>
      <c r="J784" s="83" t="s">
        <v>252</v>
      </c>
      <c r="K784" s="83" t="s">
        <v>168</v>
      </c>
      <c r="L784" s="83" t="s">
        <v>169</v>
      </c>
      <c r="M784" s="82" t="str">
        <f>IFERROR(__xludf.DUMMYFUNCTION("IFERROR(VLOOKUP(D784,
IMPORTRANGE(""https://docs.google.com/spreadsheets/d/1MjHtlUikwobi2MaWJgy7tfLeBmhj1u-dRFRs_8GwSoA/edit#gid=0"",""Gestores Escolares!D7:J""),3,0),""VERIFICAR CÓD SEC"")"),"DULCELICE ALCÂNTARA SANTOS BRITO")</f>
        <v>DULCELICE ALCÂNTARA SANTOS BRITO</v>
      </c>
      <c r="N784" s="82" t="str">
        <f>IFERROR(__xludf.DUMMYFUNCTION("IFERROR(VLOOKUP(D784,
IMPORTRANGE(""https://docs.google.com/spreadsheets/d/1MjHtlUikwobi2MaWJgy7tfLeBmhj1u-dRFRs_8GwSoA/edit#gid=0"",""Gestores Escolares!D7:J""),4,0),""VERIFICAR CÓD SEC"")"),"(77) 9 8823-2502")</f>
        <v>(77) 9 8823-2502</v>
      </c>
      <c r="O784" s="82" t="str">
        <f>IFERROR(__xludf.DUMMYFUNCTION("IFERROR(VLOOKUP(D784,
IMPORTRANGE(""https://docs.google.com/spreadsheets/d/1MjHtlUikwobi2MaWJgy7tfLeBmhj1u-dRFRs_8GwSoA/edit#gid=0"",""Gestores Escolares!D7:J""),6,0),""VERIFICAR CÓD SEC"")"),"")</f>
        <v/>
      </c>
      <c r="P784" s="82" t="str">
        <f>IFERROR(__xludf.DUMMYFUNCTION("IFERROR(VLOOKUP(D784,
IMPORTRANGE(""https://docs.google.com/spreadsheets/d/1MjHtlUikwobi2MaWJgy7tfLeBmhj1u-dRFRs_8GwSoA/edit#gid=0"",""Gestores Escolares!D7:J""),7,0),""VERIFICAR CÓD SEC"")"),"")</f>
        <v/>
      </c>
      <c r="Q784" s="82" t="str">
        <f>IFERROR(__xludf.DUMMYFUNCTION("IFERROR(VLOOKUP(D784,
IMPORTRANGE(""https://docs.google.com/spreadsheets/d/1MjHtlUikwobi2MaWJgy7tfLeBmhj1u-dRFRs_8GwSoA/edit#gid=0"",""Gestores Escolares!D7:m""),9,0),""VERIFICAR CÓD SEC"")"),"")</f>
        <v/>
      </c>
      <c r="R784" s="82" t="str">
        <f>IFERROR(__xludf.DUMMYFUNCTION("IFERROR(VLOOKUP(D784,
IMPORTRANGE(""https://docs.google.com/spreadsheets/d/1MjHtlUikwobi2MaWJgy7tfLeBmhj1u-dRFRs_8GwSoA/edit#gid=0"",""Gestores Escolares!D7:m""),10,0),""VERIFICAR CÓD SEC"")"),"")</f>
        <v/>
      </c>
      <c r="S784" s="82"/>
      <c r="T784" s="138">
        <v>4.0</v>
      </c>
      <c r="U784" s="139">
        <v>4.0</v>
      </c>
      <c r="V784" s="106">
        <v>0.0</v>
      </c>
      <c r="W784" s="107">
        <v>0.0</v>
      </c>
      <c r="X784" s="107">
        <v>0.0</v>
      </c>
      <c r="Y784" s="107">
        <v>0.0</v>
      </c>
      <c r="Z784" s="80">
        <f t="shared" si="1"/>
        <v>0</v>
      </c>
      <c r="AA784" s="106">
        <v>0.0</v>
      </c>
      <c r="AB784" s="107">
        <v>0.0</v>
      </c>
      <c r="AC784" s="107">
        <v>0.0</v>
      </c>
      <c r="AD784" s="107">
        <v>0.0</v>
      </c>
      <c r="AE784" s="80">
        <f t="shared" si="2"/>
        <v>0</v>
      </c>
      <c r="AF784" s="140">
        <v>0.0</v>
      </c>
      <c r="AG784" s="109">
        <v>93.0</v>
      </c>
      <c r="AH784" s="109">
        <v>0.0</v>
      </c>
      <c r="AI784" s="141">
        <v>0.0</v>
      </c>
      <c r="AJ784" s="80">
        <f t="shared" si="3"/>
        <v>93</v>
      </c>
      <c r="AK784" s="140">
        <v>0.0</v>
      </c>
      <c r="AL784" s="109">
        <v>0.0</v>
      </c>
      <c r="AM784" s="141">
        <v>0.0</v>
      </c>
      <c r="AN784" s="80">
        <f t="shared" si="4"/>
        <v>0</v>
      </c>
      <c r="AO784" s="140">
        <v>0.0</v>
      </c>
      <c r="AP784" s="109">
        <v>0.0</v>
      </c>
      <c r="AQ784" s="109">
        <v>0.0</v>
      </c>
      <c r="AR784" s="80">
        <f t="shared" si="5"/>
        <v>0</v>
      </c>
      <c r="AS784" s="110">
        <v>0.0</v>
      </c>
      <c r="AT784" s="110">
        <v>0.0</v>
      </c>
      <c r="AU784" s="110">
        <v>0.0</v>
      </c>
      <c r="AV784" s="142">
        <v>0.0</v>
      </c>
      <c r="AW784" s="80">
        <f t="shared" si="6"/>
        <v>0</v>
      </c>
      <c r="AX784" s="113">
        <f t="shared" si="7"/>
        <v>93</v>
      </c>
      <c r="AY784" s="117">
        <f t="shared" si="8"/>
        <v>93</v>
      </c>
      <c r="AZ784" s="120">
        <f t="shared" si="9"/>
        <v>0</v>
      </c>
      <c r="BA784" s="115">
        <v>0.0</v>
      </c>
      <c r="BB784" s="89">
        <f t="shared" si="10"/>
        <v>93</v>
      </c>
      <c r="BC784" s="132" t="s">
        <v>373</v>
      </c>
      <c r="BD784" s="132" t="s">
        <v>178</v>
      </c>
      <c r="BE784" s="132" t="s">
        <v>178</v>
      </c>
      <c r="BF784" s="123"/>
      <c r="BG784" s="83">
        <v>1178893.0</v>
      </c>
      <c r="BH784" s="112"/>
      <c r="BI784" s="112">
        <v>4.0</v>
      </c>
      <c r="BJ784" s="98" t="s">
        <v>155</v>
      </c>
      <c r="BK784" s="99">
        <f t="shared" si="11"/>
        <v>0</v>
      </c>
      <c r="BL784" s="99">
        <f t="shared" si="12"/>
        <v>93</v>
      </c>
      <c r="BM784" s="99" t="str">
        <f>IFERROR(__xludf.DUMMYFUNCTION("IFERROR(VLOOKUP(BG784,IMPORTRANGE(""https://docs.google.com/spreadsheets/d/1juPI-Fb8LD0YtltB2mlGEnp_R3UVu1t3wSFPzgCyHXE/edit?gid=0#gid=0"",""GERAL!A2:C""),3,0),""-"")"),"CAMPO")</f>
        <v>CAMPO</v>
      </c>
    </row>
    <row r="785" ht="15.75" customHeight="1">
      <c r="A785" s="111" t="s">
        <v>860</v>
      </c>
      <c r="B785" s="83" t="s">
        <v>2372</v>
      </c>
      <c r="C785" s="83" t="s">
        <v>164</v>
      </c>
      <c r="D785" s="112">
        <v>1179339.0</v>
      </c>
      <c r="E785" s="83">
        <v>1179397.0</v>
      </c>
      <c r="F785" s="98">
        <v>2.946148E7</v>
      </c>
      <c r="G785" s="114" t="s">
        <v>3740</v>
      </c>
      <c r="H785" s="91" t="s">
        <v>3741</v>
      </c>
      <c r="I785" s="172" t="s">
        <v>3742</v>
      </c>
      <c r="J785" s="83" t="s">
        <v>3345</v>
      </c>
      <c r="K785" s="83" t="s">
        <v>168</v>
      </c>
      <c r="L785" s="83" t="s">
        <v>169</v>
      </c>
      <c r="M785" s="82" t="str">
        <f>IFERROR(__xludf.DUMMYFUNCTION("IFERROR(VLOOKUP(D785,
IMPORTRANGE(""https://docs.google.com/spreadsheets/d/1MjHtlUikwobi2MaWJgy7tfLeBmhj1u-dRFRs_8GwSoA/edit#gid=0"",""Gestores Escolares!D7:J""),3,0),""VERIFICAR CÓD SEC"")"),"SUELY PASSOS DE SOUZA")</f>
        <v>SUELY PASSOS DE SOUZA</v>
      </c>
      <c r="N785" s="82" t="str">
        <f>IFERROR(__xludf.DUMMYFUNCTION("IFERROR(VLOOKUP(D785,
IMPORTRANGE(""https://docs.google.com/spreadsheets/d/1MjHtlUikwobi2MaWJgy7tfLeBmhj1u-dRFRs_8GwSoA/edit#gid=0"",""Gestores Escolares!D7:J""),4,0),""VERIFICAR CÓD SEC"")"),"(77) 9 9913-6204")</f>
        <v>(77) 9 9913-6204</v>
      </c>
      <c r="O785" s="82" t="str">
        <f>IFERROR(__xludf.DUMMYFUNCTION("IFERROR(VLOOKUP(D785,
IMPORTRANGE(""https://docs.google.com/spreadsheets/d/1MjHtlUikwobi2MaWJgy7tfLeBmhj1u-dRFRs_8GwSoA/edit#gid=0"",""Gestores Escolares!D7:J""),6,0),""VERIFICAR CÓD SEC"")"),"MARCIO ALEXANDRE DE OLIVEIRA ANDRADA")</f>
        <v>MARCIO ALEXANDRE DE OLIVEIRA ANDRADA</v>
      </c>
      <c r="P785" s="82" t="str">
        <f>IFERROR(__xludf.DUMMYFUNCTION("IFERROR(VLOOKUP(D785,
IMPORTRANGE(""https://docs.google.com/spreadsheets/d/1MjHtlUikwobi2MaWJgy7tfLeBmhj1u-dRFRs_8GwSoA/edit#gid=0"",""Gestores Escolares!D7:J""),7,0),""VERIFICAR CÓD SEC"")"),"(71) 9 8554-1121")</f>
        <v>(71) 9 8554-1121</v>
      </c>
      <c r="Q785" s="82" t="str">
        <f>IFERROR(__xludf.DUMMYFUNCTION("IFERROR(VLOOKUP(D785,
IMPORTRANGE(""https://docs.google.com/spreadsheets/d/1MjHtlUikwobi2MaWJgy7tfLeBmhj1u-dRFRs_8GwSoA/edit#gid=0"",""Gestores Escolares!D7:m""),9,0),""VERIFICAR CÓD SEC"")"),"RODRIGO ARLINDO PORTO WANDERLEY MORENO")</f>
        <v>RODRIGO ARLINDO PORTO WANDERLEY MORENO</v>
      </c>
      <c r="R785" s="82" t="str">
        <f>IFERROR(__xludf.DUMMYFUNCTION("IFERROR(VLOOKUP(D785,
IMPORTRANGE(""https://docs.google.com/spreadsheets/d/1MjHtlUikwobi2MaWJgy7tfLeBmhj1u-dRFRs_8GwSoA/edit#gid=0"",""Gestores Escolares!D7:m""),10,0),""VERIFICAR CÓD SEC"")"),"(77) 9 9174-0395")</f>
        <v>(77) 9 9174-0395</v>
      </c>
      <c r="S785" s="82"/>
      <c r="T785" s="138">
        <v>1.0</v>
      </c>
      <c r="U785" s="145">
        <v>2.0</v>
      </c>
      <c r="V785" s="106">
        <v>0.0</v>
      </c>
      <c r="W785" s="107">
        <v>0.0</v>
      </c>
      <c r="X785" s="107">
        <v>0.0</v>
      </c>
      <c r="Y785" s="107">
        <v>0.0</v>
      </c>
      <c r="Z785" s="80">
        <f t="shared" si="1"/>
        <v>0</v>
      </c>
      <c r="AA785" s="106">
        <v>0.0</v>
      </c>
      <c r="AB785" s="107">
        <v>0.0</v>
      </c>
      <c r="AC785" s="107">
        <v>0.0</v>
      </c>
      <c r="AD785" s="107">
        <v>0.0</v>
      </c>
      <c r="AE785" s="80">
        <f t="shared" si="2"/>
        <v>0</v>
      </c>
      <c r="AF785" s="140">
        <v>12.0</v>
      </c>
      <c r="AG785" s="109">
        <v>8.0</v>
      </c>
      <c r="AH785" s="109">
        <v>13.0</v>
      </c>
      <c r="AI785" s="141">
        <v>0.0</v>
      </c>
      <c r="AJ785" s="80">
        <f t="shared" si="3"/>
        <v>33</v>
      </c>
      <c r="AK785" s="140">
        <v>0.0</v>
      </c>
      <c r="AL785" s="109">
        <v>0.0</v>
      </c>
      <c r="AM785" s="141">
        <v>0.0</v>
      </c>
      <c r="AN785" s="80">
        <f t="shared" si="4"/>
        <v>0</v>
      </c>
      <c r="AO785" s="140">
        <v>0.0</v>
      </c>
      <c r="AP785" s="109">
        <v>0.0</v>
      </c>
      <c r="AQ785" s="109">
        <v>0.0</v>
      </c>
      <c r="AR785" s="80">
        <f t="shared" si="5"/>
        <v>0</v>
      </c>
      <c r="AS785" s="110">
        <v>0.0</v>
      </c>
      <c r="AT785" s="110">
        <v>0.0</v>
      </c>
      <c r="AU785" s="110">
        <v>0.0</v>
      </c>
      <c r="AV785" s="142">
        <v>0.0</v>
      </c>
      <c r="AW785" s="80">
        <f t="shared" si="6"/>
        <v>0</v>
      </c>
      <c r="AX785" s="113">
        <f t="shared" si="7"/>
        <v>33</v>
      </c>
      <c r="AY785" s="117">
        <f t="shared" si="8"/>
        <v>20</v>
      </c>
      <c r="AZ785" s="120">
        <f t="shared" si="9"/>
        <v>13</v>
      </c>
      <c r="BA785" s="115">
        <v>0.0</v>
      </c>
      <c r="BB785" s="89">
        <f t="shared" si="10"/>
        <v>33</v>
      </c>
      <c r="BC785" s="132" t="s">
        <v>178</v>
      </c>
      <c r="BD785" s="143" t="s">
        <v>227</v>
      </c>
      <c r="BE785" s="132" t="s">
        <v>178</v>
      </c>
      <c r="BF785" s="156"/>
      <c r="BG785" s="83">
        <v>1179397.0</v>
      </c>
      <c r="BH785" s="112"/>
      <c r="BI785" s="112">
        <v>1.0</v>
      </c>
      <c r="BJ785" s="98" t="s">
        <v>155</v>
      </c>
      <c r="BK785" s="99">
        <f t="shared" si="11"/>
        <v>0</v>
      </c>
      <c r="BL785" s="99">
        <f t="shared" si="12"/>
        <v>20</v>
      </c>
      <c r="BM785" s="99" t="str">
        <f>IFERROR(__xludf.DUMMYFUNCTION("IFERROR(VLOOKUP(BG785,IMPORTRANGE(""https://docs.google.com/spreadsheets/d/1juPI-Fb8LD0YtltB2mlGEnp_R3UVu1t3wSFPzgCyHXE/edit?gid=0#gid=0"",""GERAL!A2:C""),3,0),""-"")"),"-")</f>
        <v>-</v>
      </c>
    </row>
    <row r="786" ht="15.75" customHeight="1">
      <c r="A786" s="111" t="s">
        <v>860</v>
      </c>
      <c r="B786" s="83" t="s">
        <v>2229</v>
      </c>
      <c r="C786" s="83" t="s">
        <v>68</v>
      </c>
      <c r="D786" s="112">
        <v>1130929.0</v>
      </c>
      <c r="E786" s="83"/>
      <c r="F786" s="83">
        <v>2.9009197E7</v>
      </c>
      <c r="G786" s="153" t="s">
        <v>3749</v>
      </c>
      <c r="H786" s="91" t="s">
        <v>3750</v>
      </c>
      <c r="I786" s="172" t="s">
        <v>149</v>
      </c>
      <c r="J786" s="83" t="s">
        <v>150</v>
      </c>
      <c r="K786" s="83" t="s">
        <v>151</v>
      </c>
      <c r="L786" s="83" t="s">
        <v>230</v>
      </c>
      <c r="M786" s="82" t="str">
        <f>IFERROR(__xludf.DUMMYFUNCTION("IFERROR(VLOOKUP(D786,
IMPORTRANGE(""https://docs.google.com/spreadsheets/d/1MjHtlUikwobi2MaWJgy7tfLeBmhj1u-dRFRs_8GwSoA/edit#gid=0"",""Gestores Escolares!D7:J""),3,0),""VERIFICAR CÓD SEC"")"),"GABRIELA ARAUJO DA SILVEIRA FERNANDES")</f>
        <v>GABRIELA ARAUJO DA SILVEIRA FERNANDES</v>
      </c>
      <c r="N786" s="82" t="str">
        <f>IFERROR(__xludf.DUMMYFUNCTION("IFERROR(VLOOKUP(D786,
IMPORTRANGE(""https://docs.google.com/spreadsheets/d/1MjHtlUikwobi2MaWJgy7tfLeBmhj1u-dRFRs_8GwSoA/edit#gid=0"",""Gestores Escolares!D7:J""),4,0),""VERIFICAR CÓD SEC"")"),"(77) 9 9977-0193")</f>
        <v>(77) 9 9977-0193</v>
      </c>
      <c r="O786" s="82" t="str">
        <f>IFERROR(__xludf.DUMMYFUNCTION("IFERROR(VLOOKUP(D786,
IMPORTRANGE(""https://docs.google.com/spreadsheets/d/1MjHtlUikwobi2MaWJgy7tfLeBmhj1u-dRFRs_8GwSoA/edit#gid=0"",""Gestores Escolares!D7:J""),6,0),""VERIFICAR CÓD SEC"")"),"PENNOA VIRGINIA DOS SANTOS BONFIM")</f>
        <v>PENNOA VIRGINIA DOS SANTOS BONFIM</v>
      </c>
      <c r="P786" s="82" t="str">
        <f>IFERROR(__xludf.DUMMYFUNCTION("IFERROR(VLOOKUP(D786,
IMPORTRANGE(""https://docs.google.com/spreadsheets/d/1MjHtlUikwobi2MaWJgy7tfLeBmhj1u-dRFRs_8GwSoA/edit#gid=0"",""Gestores Escolares!D7:J""),7,0),""VERIFICAR CÓD SEC"")")," (77) 9 9960-7541")</f>
        <v> (77) 9 9960-7541</v>
      </c>
      <c r="Q786" s="82" t="str">
        <f>IFERROR(__xludf.DUMMYFUNCTION("IFERROR(VLOOKUP(D786,
IMPORTRANGE(""https://docs.google.com/spreadsheets/d/1MjHtlUikwobi2MaWJgy7tfLeBmhj1u-dRFRs_8GwSoA/edit#gid=0"",""Gestores Escolares!D7:m""),9,0),""VERIFICAR CÓD SEC"")"),"")</f>
        <v/>
      </c>
      <c r="R786" s="82" t="str">
        <f>IFERROR(__xludf.DUMMYFUNCTION("IFERROR(VLOOKUP(D786,
IMPORTRANGE(""https://docs.google.com/spreadsheets/d/1MjHtlUikwobi2MaWJgy7tfLeBmhj1u-dRFRs_8GwSoA/edit#gid=0"",""Gestores Escolares!D7:m""),10,0),""VERIFICAR CÓD SEC"")"),"")</f>
        <v/>
      </c>
      <c r="S786" s="82"/>
      <c r="T786" s="138">
        <v>10.0</v>
      </c>
      <c r="U786" s="145">
        <v>7.0</v>
      </c>
      <c r="V786" s="106">
        <v>0.0</v>
      </c>
      <c r="W786" s="107">
        <v>0.0</v>
      </c>
      <c r="X786" s="107">
        <v>0.0</v>
      </c>
      <c r="Y786" s="107">
        <v>0.0</v>
      </c>
      <c r="Z786" s="80">
        <f t="shared" si="1"/>
        <v>0</v>
      </c>
      <c r="AA786" s="106">
        <v>0.0</v>
      </c>
      <c r="AB786" s="107">
        <v>0.0</v>
      </c>
      <c r="AC786" s="107">
        <v>0.0</v>
      </c>
      <c r="AD786" s="107">
        <v>0.0</v>
      </c>
      <c r="AE786" s="80">
        <f t="shared" si="2"/>
        <v>0</v>
      </c>
      <c r="AF786" s="140">
        <v>122.0</v>
      </c>
      <c r="AG786" s="109">
        <v>73.0</v>
      </c>
      <c r="AH786" s="109">
        <v>0.0</v>
      </c>
      <c r="AI786" s="141">
        <v>175.0</v>
      </c>
      <c r="AJ786" s="80">
        <f t="shared" si="3"/>
        <v>370</v>
      </c>
      <c r="AK786" s="140">
        <v>0.0</v>
      </c>
      <c r="AL786" s="109">
        <v>0.0</v>
      </c>
      <c r="AM786" s="141">
        <v>0.0</v>
      </c>
      <c r="AN786" s="80">
        <f t="shared" si="4"/>
        <v>0</v>
      </c>
      <c r="AO786" s="140">
        <v>0.0</v>
      </c>
      <c r="AP786" s="109">
        <v>0.0</v>
      </c>
      <c r="AQ786" s="109">
        <v>102.0</v>
      </c>
      <c r="AR786" s="80">
        <f t="shared" si="5"/>
        <v>102</v>
      </c>
      <c r="AS786" s="110">
        <v>206.0</v>
      </c>
      <c r="AT786" s="110">
        <v>338.0</v>
      </c>
      <c r="AU786" s="110">
        <v>325.0</v>
      </c>
      <c r="AV786" s="142">
        <v>163.0</v>
      </c>
      <c r="AW786" s="80">
        <f t="shared" si="6"/>
        <v>1032</v>
      </c>
      <c r="AX786" s="113">
        <f t="shared" si="7"/>
        <v>1504</v>
      </c>
      <c r="AY786" s="117">
        <f t="shared" si="8"/>
        <v>1077</v>
      </c>
      <c r="AZ786" s="120">
        <f t="shared" si="9"/>
        <v>427</v>
      </c>
      <c r="BA786" s="115">
        <v>1.0</v>
      </c>
      <c r="BB786" s="89">
        <f t="shared" si="10"/>
        <v>1505</v>
      </c>
      <c r="BC786" s="132" t="s">
        <v>178</v>
      </c>
      <c r="BD786" s="132" t="s">
        <v>522</v>
      </c>
      <c r="BE786" s="132" t="s">
        <v>178</v>
      </c>
      <c r="BF786" s="123"/>
      <c r="BG786" s="83">
        <v>1130929.0</v>
      </c>
      <c r="BH786" s="112"/>
      <c r="BI786" s="112">
        <v>5.0</v>
      </c>
      <c r="BJ786" s="98" t="s">
        <v>162</v>
      </c>
      <c r="BK786" s="99">
        <f t="shared" si="11"/>
        <v>338</v>
      </c>
      <c r="BL786" s="99">
        <f t="shared" si="12"/>
        <v>739</v>
      </c>
      <c r="BM786" s="99" t="str">
        <f>IFERROR(__xludf.DUMMYFUNCTION("IFERROR(VLOOKUP(BG786,IMPORTRANGE(""https://docs.google.com/spreadsheets/d/1juPI-Fb8LD0YtltB2mlGEnp_R3UVu1t3wSFPzgCyHXE/edit?gid=0#gid=0"",""GERAL!A2:C""),3,0),""-"")"),"-")</f>
        <v>-</v>
      </c>
    </row>
    <row r="787" ht="15.75" customHeight="1">
      <c r="A787" s="111" t="s">
        <v>860</v>
      </c>
      <c r="B787" s="83" t="s">
        <v>2229</v>
      </c>
      <c r="C787" s="83" t="s">
        <v>164</v>
      </c>
      <c r="D787" s="112">
        <v>1179339.0</v>
      </c>
      <c r="E787" s="83">
        <v>1179396.0</v>
      </c>
      <c r="F787" s="98">
        <v>2.946148E7</v>
      </c>
      <c r="G787" s="114" t="s">
        <v>3760</v>
      </c>
      <c r="H787" s="91" t="s">
        <v>3761</v>
      </c>
      <c r="I787" s="172" t="s">
        <v>3762</v>
      </c>
      <c r="J787" s="83" t="s">
        <v>191</v>
      </c>
      <c r="K787" s="83" t="s">
        <v>168</v>
      </c>
      <c r="L787" s="83" t="s">
        <v>169</v>
      </c>
      <c r="M787" s="82" t="str">
        <f>IFERROR(__xludf.DUMMYFUNCTION("IFERROR(VLOOKUP(D787,
IMPORTRANGE(""https://docs.google.com/spreadsheets/d/1MjHtlUikwobi2MaWJgy7tfLeBmhj1u-dRFRs_8GwSoA/edit#gid=0"",""Gestores Escolares!D7:J""),3,0),""VERIFICAR CÓD SEC"")"),"SUELY PASSOS DE SOUZA")</f>
        <v>SUELY PASSOS DE SOUZA</v>
      </c>
      <c r="N787" s="82" t="str">
        <f>IFERROR(__xludf.DUMMYFUNCTION("IFERROR(VLOOKUP(D787,
IMPORTRANGE(""https://docs.google.com/spreadsheets/d/1MjHtlUikwobi2MaWJgy7tfLeBmhj1u-dRFRs_8GwSoA/edit#gid=0"",""Gestores Escolares!D7:J""),4,0),""VERIFICAR CÓD SEC"")"),"(77) 9 9913-6204")</f>
        <v>(77) 9 9913-6204</v>
      </c>
      <c r="O787" s="82" t="str">
        <f>IFERROR(__xludf.DUMMYFUNCTION("IFERROR(VLOOKUP(D787,
IMPORTRANGE(""https://docs.google.com/spreadsheets/d/1MjHtlUikwobi2MaWJgy7tfLeBmhj1u-dRFRs_8GwSoA/edit#gid=0"",""Gestores Escolares!D7:J""),6,0),""VERIFICAR CÓD SEC"")"),"MARCIO ALEXANDRE DE OLIVEIRA ANDRADA")</f>
        <v>MARCIO ALEXANDRE DE OLIVEIRA ANDRADA</v>
      </c>
      <c r="P787" s="82" t="str">
        <f>IFERROR(__xludf.DUMMYFUNCTION("IFERROR(VLOOKUP(D787,
IMPORTRANGE(""https://docs.google.com/spreadsheets/d/1MjHtlUikwobi2MaWJgy7tfLeBmhj1u-dRFRs_8GwSoA/edit#gid=0"",""Gestores Escolares!D7:J""),7,0),""VERIFICAR CÓD SEC"")"),"(71) 9 8554-1121")</f>
        <v>(71) 9 8554-1121</v>
      </c>
      <c r="Q787" s="82" t="str">
        <f>IFERROR(__xludf.DUMMYFUNCTION("IFERROR(VLOOKUP(D787,
IMPORTRANGE(""https://docs.google.com/spreadsheets/d/1MjHtlUikwobi2MaWJgy7tfLeBmhj1u-dRFRs_8GwSoA/edit#gid=0"",""Gestores Escolares!D7:m""),9,0),""VERIFICAR CÓD SEC"")"),"RODRIGO ARLINDO PORTO WANDERLEY MORENO")</f>
        <v>RODRIGO ARLINDO PORTO WANDERLEY MORENO</v>
      </c>
      <c r="R787" s="82" t="str">
        <f>IFERROR(__xludf.DUMMYFUNCTION("IFERROR(VLOOKUP(D787,
IMPORTRANGE(""https://docs.google.com/spreadsheets/d/1MjHtlUikwobi2MaWJgy7tfLeBmhj1u-dRFRs_8GwSoA/edit#gid=0"",""Gestores Escolares!D7:m""),10,0),""VERIFICAR CÓD SEC"")"),"(77) 9 9174-0395")</f>
        <v>(77) 9 9174-0395</v>
      </c>
      <c r="S787" s="82"/>
      <c r="T787" s="138">
        <v>2.0</v>
      </c>
      <c r="U787" s="173">
        <v>2.0</v>
      </c>
      <c r="V787" s="106">
        <v>0.0</v>
      </c>
      <c r="W787" s="107">
        <v>0.0</v>
      </c>
      <c r="X787" s="107">
        <v>0.0</v>
      </c>
      <c r="Y787" s="107">
        <v>0.0</v>
      </c>
      <c r="Z787" s="80">
        <f t="shared" si="1"/>
        <v>0</v>
      </c>
      <c r="AA787" s="106">
        <v>0.0</v>
      </c>
      <c r="AB787" s="107">
        <v>0.0</v>
      </c>
      <c r="AC787" s="107">
        <v>0.0</v>
      </c>
      <c r="AD787" s="107">
        <v>0.0</v>
      </c>
      <c r="AE787" s="80">
        <f t="shared" si="2"/>
        <v>0</v>
      </c>
      <c r="AF787" s="140">
        <v>5.0</v>
      </c>
      <c r="AG787" s="109">
        <v>24.0</v>
      </c>
      <c r="AH787" s="109">
        <v>0.0</v>
      </c>
      <c r="AI787" s="141">
        <v>0.0</v>
      </c>
      <c r="AJ787" s="80">
        <f t="shared" si="3"/>
        <v>29</v>
      </c>
      <c r="AK787" s="140">
        <v>0.0</v>
      </c>
      <c r="AL787" s="109">
        <v>0.0</v>
      </c>
      <c r="AM787" s="141">
        <v>0.0</v>
      </c>
      <c r="AN787" s="80">
        <f t="shared" si="4"/>
        <v>0</v>
      </c>
      <c r="AO787" s="140">
        <v>0.0</v>
      </c>
      <c r="AP787" s="109">
        <v>0.0</v>
      </c>
      <c r="AQ787" s="109">
        <v>0.0</v>
      </c>
      <c r="AR787" s="80">
        <f t="shared" si="5"/>
        <v>0</v>
      </c>
      <c r="AS787" s="110">
        <v>0.0</v>
      </c>
      <c r="AT787" s="110">
        <v>0.0</v>
      </c>
      <c r="AU787" s="110">
        <v>0.0</v>
      </c>
      <c r="AV787" s="142">
        <v>0.0</v>
      </c>
      <c r="AW787" s="80">
        <f t="shared" si="6"/>
        <v>0</v>
      </c>
      <c r="AX787" s="113">
        <f t="shared" si="7"/>
        <v>29</v>
      </c>
      <c r="AY787" s="117">
        <f t="shared" si="8"/>
        <v>29</v>
      </c>
      <c r="AZ787" s="120">
        <f t="shared" si="9"/>
        <v>0</v>
      </c>
      <c r="BA787" s="115">
        <v>0.0</v>
      </c>
      <c r="BB787" s="89">
        <f t="shared" si="10"/>
        <v>29</v>
      </c>
      <c r="BC787" s="132" t="s">
        <v>178</v>
      </c>
      <c r="BD787" s="143" t="s">
        <v>227</v>
      </c>
      <c r="BE787" s="132" t="s">
        <v>178</v>
      </c>
      <c r="BF787" s="156"/>
      <c r="BG787" s="83">
        <v>1179396.0</v>
      </c>
      <c r="BH787" s="112"/>
      <c r="BI787" s="112">
        <v>2.0</v>
      </c>
      <c r="BJ787" s="98" t="s">
        <v>155</v>
      </c>
      <c r="BK787" s="99">
        <f t="shared" si="11"/>
        <v>0</v>
      </c>
      <c r="BL787" s="99">
        <f t="shared" si="12"/>
        <v>29</v>
      </c>
      <c r="BM787" s="99" t="str">
        <f>IFERROR(__xludf.DUMMYFUNCTION("IFERROR(VLOOKUP(BG787,IMPORTRANGE(""https://docs.google.com/spreadsheets/d/1juPI-Fb8LD0YtltB2mlGEnp_R3UVu1t3wSFPzgCyHXE/edit?gid=0#gid=0"",""GERAL!A2:C""),3,0),""-"")"),"-")</f>
        <v>-</v>
      </c>
    </row>
    <row r="788" ht="15.75" customHeight="1">
      <c r="A788" s="111" t="s">
        <v>860</v>
      </c>
      <c r="B788" s="83" t="s">
        <v>2229</v>
      </c>
      <c r="C788" s="83" t="s">
        <v>164</v>
      </c>
      <c r="D788" s="112">
        <v>1179339.0</v>
      </c>
      <c r="E788" s="83">
        <v>1179395.0</v>
      </c>
      <c r="F788" s="98">
        <v>2.946148E7</v>
      </c>
      <c r="G788" s="114" t="s">
        <v>3764</v>
      </c>
      <c r="H788" s="91" t="s">
        <v>3765</v>
      </c>
      <c r="I788" s="172" t="s">
        <v>3766</v>
      </c>
      <c r="J788" s="83" t="s">
        <v>244</v>
      </c>
      <c r="K788" s="83" t="s">
        <v>168</v>
      </c>
      <c r="L788" s="83" t="s">
        <v>169</v>
      </c>
      <c r="M788" s="82" t="str">
        <f>IFERROR(__xludf.DUMMYFUNCTION("IFERROR(VLOOKUP(D788,
IMPORTRANGE(""https://docs.google.com/spreadsheets/d/1MjHtlUikwobi2MaWJgy7tfLeBmhj1u-dRFRs_8GwSoA/edit#gid=0"",""Gestores Escolares!D7:J""),3,0),""VERIFICAR CÓD SEC"")"),"SUELY PASSOS DE SOUZA")</f>
        <v>SUELY PASSOS DE SOUZA</v>
      </c>
      <c r="N788" s="82" t="str">
        <f>IFERROR(__xludf.DUMMYFUNCTION("IFERROR(VLOOKUP(D788,
IMPORTRANGE(""https://docs.google.com/spreadsheets/d/1MjHtlUikwobi2MaWJgy7tfLeBmhj1u-dRFRs_8GwSoA/edit#gid=0"",""Gestores Escolares!D7:J""),4,0),""VERIFICAR CÓD SEC"")"),"(77) 9 9913-6204")</f>
        <v>(77) 9 9913-6204</v>
      </c>
      <c r="O788" s="82" t="str">
        <f>IFERROR(__xludf.DUMMYFUNCTION("IFERROR(VLOOKUP(D788,
IMPORTRANGE(""https://docs.google.com/spreadsheets/d/1MjHtlUikwobi2MaWJgy7tfLeBmhj1u-dRFRs_8GwSoA/edit#gid=0"",""Gestores Escolares!D7:J""),6,0),""VERIFICAR CÓD SEC"")"),"MARCIO ALEXANDRE DE OLIVEIRA ANDRADA")</f>
        <v>MARCIO ALEXANDRE DE OLIVEIRA ANDRADA</v>
      </c>
      <c r="P788" s="82" t="str">
        <f>IFERROR(__xludf.DUMMYFUNCTION("IFERROR(VLOOKUP(D788,
IMPORTRANGE(""https://docs.google.com/spreadsheets/d/1MjHtlUikwobi2MaWJgy7tfLeBmhj1u-dRFRs_8GwSoA/edit#gid=0"",""Gestores Escolares!D7:J""),7,0),""VERIFICAR CÓD SEC"")"),"(71) 9 8554-1121")</f>
        <v>(71) 9 8554-1121</v>
      </c>
      <c r="Q788" s="82" t="str">
        <f>IFERROR(__xludf.DUMMYFUNCTION("IFERROR(VLOOKUP(D788,
IMPORTRANGE(""https://docs.google.com/spreadsheets/d/1MjHtlUikwobi2MaWJgy7tfLeBmhj1u-dRFRs_8GwSoA/edit#gid=0"",""Gestores Escolares!D7:m""),9,0),""VERIFICAR CÓD SEC"")"),"RODRIGO ARLINDO PORTO WANDERLEY MORENO")</f>
        <v>RODRIGO ARLINDO PORTO WANDERLEY MORENO</v>
      </c>
      <c r="R788" s="82" t="str">
        <f>IFERROR(__xludf.DUMMYFUNCTION("IFERROR(VLOOKUP(D788,
IMPORTRANGE(""https://docs.google.com/spreadsheets/d/1MjHtlUikwobi2MaWJgy7tfLeBmhj1u-dRFRs_8GwSoA/edit#gid=0"",""Gestores Escolares!D7:m""),10,0),""VERIFICAR CÓD SEC"")"),"(77) 9 9174-0395")</f>
        <v>(77) 9 9174-0395</v>
      </c>
      <c r="S788" s="82"/>
      <c r="T788" s="138">
        <v>3.0</v>
      </c>
      <c r="U788" s="173">
        <v>3.0</v>
      </c>
      <c r="V788" s="106">
        <v>0.0</v>
      </c>
      <c r="W788" s="107">
        <v>0.0</v>
      </c>
      <c r="X788" s="107">
        <v>0.0</v>
      </c>
      <c r="Y788" s="107">
        <v>0.0</v>
      </c>
      <c r="Z788" s="80">
        <f t="shared" si="1"/>
        <v>0</v>
      </c>
      <c r="AA788" s="106">
        <v>0.0</v>
      </c>
      <c r="AB788" s="107">
        <v>0.0</v>
      </c>
      <c r="AC788" s="107">
        <v>0.0</v>
      </c>
      <c r="AD788" s="107">
        <v>0.0</v>
      </c>
      <c r="AE788" s="80">
        <f t="shared" si="2"/>
        <v>0</v>
      </c>
      <c r="AF788" s="140">
        <v>0.0</v>
      </c>
      <c r="AG788" s="109">
        <v>0.0</v>
      </c>
      <c r="AH788" s="109">
        <v>27.0</v>
      </c>
      <c r="AI788" s="141">
        <v>0.0</v>
      </c>
      <c r="AJ788" s="80">
        <f t="shared" si="3"/>
        <v>27</v>
      </c>
      <c r="AK788" s="140">
        <v>0.0</v>
      </c>
      <c r="AL788" s="109">
        <v>0.0</v>
      </c>
      <c r="AM788" s="141">
        <v>0.0</v>
      </c>
      <c r="AN788" s="80">
        <f t="shared" si="4"/>
        <v>0</v>
      </c>
      <c r="AO788" s="140">
        <v>0.0</v>
      </c>
      <c r="AP788" s="109">
        <v>0.0</v>
      </c>
      <c r="AQ788" s="109">
        <v>0.0</v>
      </c>
      <c r="AR788" s="80">
        <f t="shared" si="5"/>
        <v>0</v>
      </c>
      <c r="AS788" s="110">
        <v>0.0</v>
      </c>
      <c r="AT788" s="110">
        <v>0.0</v>
      </c>
      <c r="AU788" s="110">
        <v>0.0</v>
      </c>
      <c r="AV788" s="142">
        <v>0.0</v>
      </c>
      <c r="AW788" s="80">
        <f t="shared" si="6"/>
        <v>0</v>
      </c>
      <c r="AX788" s="113">
        <f t="shared" si="7"/>
        <v>27</v>
      </c>
      <c r="AY788" s="117">
        <f t="shared" si="8"/>
        <v>0</v>
      </c>
      <c r="AZ788" s="120">
        <f t="shared" si="9"/>
        <v>27</v>
      </c>
      <c r="BA788" s="115">
        <v>0.0</v>
      </c>
      <c r="BB788" s="89">
        <f t="shared" si="10"/>
        <v>27</v>
      </c>
      <c r="BC788" s="132" t="s">
        <v>178</v>
      </c>
      <c r="BD788" s="143" t="s">
        <v>227</v>
      </c>
      <c r="BE788" s="132" t="s">
        <v>178</v>
      </c>
      <c r="BF788" s="156"/>
      <c r="BG788" s="83">
        <v>1179395.0</v>
      </c>
      <c r="BH788" s="112"/>
      <c r="BI788" s="112">
        <v>3.0</v>
      </c>
      <c r="BJ788" s="98" t="s">
        <v>155</v>
      </c>
      <c r="BK788" s="99">
        <f t="shared" si="11"/>
        <v>0</v>
      </c>
      <c r="BL788" s="99">
        <f t="shared" si="12"/>
        <v>0</v>
      </c>
      <c r="BM788" s="99" t="str">
        <f>IFERROR(__xludf.DUMMYFUNCTION("IFERROR(VLOOKUP(BG788,IMPORTRANGE(""https://docs.google.com/spreadsheets/d/1juPI-Fb8LD0YtltB2mlGEnp_R3UVu1t3wSFPzgCyHXE/edit?gid=0#gid=0"",""GERAL!A2:C""),3,0),""-"")"),"-")</f>
        <v>-</v>
      </c>
    </row>
    <row r="789" ht="15.75" customHeight="1">
      <c r="A789" s="111" t="s">
        <v>860</v>
      </c>
      <c r="B789" s="83" t="s">
        <v>2229</v>
      </c>
      <c r="C789" s="83" t="s">
        <v>164</v>
      </c>
      <c r="D789" s="112">
        <v>1179339.0</v>
      </c>
      <c r="E789" s="83">
        <v>1179237.0</v>
      </c>
      <c r="F789" s="98">
        <v>2.946148E7</v>
      </c>
      <c r="G789" s="114" t="s">
        <v>3772</v>
      </c>
      <c r="H789" s="91" t="s">
        <v>3773</v>
      </c>
      <c r="I789" s="172" t="s">
        <v>3774</v>
      </c>
      <c r="J789" s="83" t="s">
        <v>890</v>
      </c>
      <c r="K789" s="83" t="s">
        <v>168</v>
      </c>
      <c r="L789" s="83" t="s">
        <v>169</v>
      </c>
      <c r="M789" s="82" t="str">
        <f>IFERROR(__xludf.DUMMYFUNCTION("IFERROR(VLOOKUP(D789,
IMPORTRANGE(""https://docs.google.com/spreadsheets/d/1MjHtlUikwobi2MaWJgy7tfLeBmhj1u-dRFRs_8GwSoA/edit#gid=0"",""Gestores Escolares!D7:J""),3,0),""VERIFICAR CÓD SEC"")"),"SUELY PASSOS DE SOUZA")</f>
        <v>SUELY PASSOS DE SOUZA</v>
      </c>
      <c r="N789" s="82" t="str">
        <f>IFERROR(__xludf.DUMMYFUNCTION("IFERROR(VLOOKUP(D789,
IMPORTRANGE(""https://docs.google.com/spreadsheets/d/1MjHtlUikwobi2MaWJgy7tfLeBmhj1u-dRFRs_8GwSoA/edit#gid=0"",""Gestores Escolares!D7:J""),4,0),""VERIFICAR CÓD SEC"")"),"(77) 9 9913-6204")</f>
        <v>(77) 9 9913-6204</v>
      </c>
      <c r="O789" s="82" t="str">
        <f>IFERROR(__xludf.DUMMYFUNCTION("IFERROR(VLOOKUP(D789,
IMPORTRANGE(""https://docs.google.com/spreadsheets/d/1MjHtlUikwobi2MaWJgy7tfLeBmhj1u-dRFRs_8GwSoA/edit#gid=0"",""Gestores Escolares!D7:J""),6,0),""VERIFICAR CÓD SEC"")"),"MARCIO ALEXANDRE DE OLIVEIRA ANDRADA")</f>
        <v>MARCIO ALEXANDRE DE OLIVEIRA ANDRADA</v>
      </c>
      <c r="P789" s="82" t="str">
        <f>IFERROR(__xludf.DUMMYFUNCTION("IFERROR(VLOOKUP(D789,
IMPORTRANGE(""https://docs.google.com/spreadsheets/d/1MjHtlUikwobi2MaWJgy7tfLeBmhj1u-dRFRs_8GwSoA/edit#gid=0"",""Gestores Escolares!D7:J""),7,0),""VERIFICAR CÓD SEC"")"),"(71) 9 8554-1121")</f>
        <v>(71) 9 8554-1121</v>
      </c>
      <c r="Q789" s="82" t="str">
        <f>IFERROR(__xludf.DUMMYFUNCTION("IFERROR(VLOOKUP(D789,
IMPORTRANGE(""https://docs.google.com/spreadsheets/d/1MjHtlUikwobi2MaWJgy7tfLeBmhj1u-dRFRs_8GwSoA/edit#gid=0"",""Gestores Escolares!D7:m""),9,0),""VERIFICAR CÓD SEC"")"),"RODRIGO ARLINDO PORTO WANDERLEY MORENO")</f>
        <v>RODRIGO ARLINDO PORTO WANDERLEY MORENO</v>
      </c>
      <c r="R789" s="82" t="str">
        <f>IFERROR(__xludf.DUMMYFUNCTION("IFERROR(VLOOKUP(D789,
IMPORTRANGE(""https://docs.google.com/spreadsheets/d/1MjHtlUikwobi2MaWJgy7tfLeBmhj1u-dRFRs_8GwSoA/edit#gid=0"",""Gestores Escolares!D7:m""),10,0),""VERIFICAR CÓD SEC"")"),"(77) 9 9174-0395")</f>
        <v>(77) 9 9174-0395</v>
      </c>
      <c r="S789" s="82"/>
      <c r="T789" s="138">
        <v>2.0</v>
      </c>
      <c r="U789" s="173">
        <v>2.0</v>
      </c>
      <c r="V789" s="106">
        <v>0.0</v>
      </c>
      <c r="W789" s="107">
        <v>0.0</v>
      </c>
      <c r="X789" s="107">
        <v>0.0</v>
      </c>
      <c r="Y789" s="107">
        <v>0.0</v>
      </c>
      <c r="Z789" s="80">
        <f t="shared" si="1"/>
        <v>0</v>
      </c>
      <c r="AA789" s="106">
        <v>0.0</v>
      </c>
      <c r="AB789" s="107">
        <v>0.0</v>
      </c>
      <c r="AC789" s="107">
        <v>0.0</v>
      </c>
      <c r="AD789" s="107">
        <v>0.0</v>
      </c>
      <c r="AE789" s="80">
        <f t="shared" si="2"/>
        <v>0</v>
      </c>
      <c r="AF789" s="140">
        <v>0.0</v>
      </c>
      <c r="AG789" s="109">
        <v>0.0</v>
      </c>
      <c r="AH789" s="109">
        <v>16.0</v>
      </c>
      <c r="AI789" s="141">
        <v>0.0</v>
      </c>
      <c r="AJ789" s="80">
        <f t="shared" si="3"/>
        <v>16</v>
      </c>
      <c r="AK789" s="140">
        <v>0.0</v>
      </c>
      <c r="AL789" s="109">
        <v>0.0</v>
      </c>
      <c r="AM789" s="141">
        <v>0.0</v>
      </c>
      <c r="AN789" s="80">
        <f t="shared" si="4"/>
        <v>0</v>
      </c>
      <c r="AO789" s="140">
        <v>0.0</v>
      </c>
      <c r="AP789" s="109">
        <v>0.0</v>
      </c>
      <c r="AQ789" s="109">
        <v>0.0</v>
      </c>
      <c r="AR789" s="80">
        <f t="shared" si="5"/>
        <v>0</v>
      </c>
      <c r="AS789" s="110">
        <v>0.0</v>
      </c>
      <c r="AT789" s="110">
        <v>0.0</v>
      </c>
      <c r="AU789" s="110">
        <v>0.0</v>
      </c>
      <c r="AV789" s="142">
        <v>0.0</v>
      </c>
      <c r="AW789" s="80">
        <f t="shared" si="6"/>
        <v>0</v>
      </c>
      <c r="AX789" s="113">
        <f t="shared" si="7"/>
        <v>16</v>
      </c>
      <c r="AY789" s="117">
        <f t="shared" si="8"/>
        <v>0</v>
      </c>
      <c r="AZ789" s="120">
        <f t="shared" si="9"/>
        <v>16</v>
      </c>
      <c r="BA789" s="115">
        <v>0.0</v>
      </c>
      <c r="BB789" s="89">
        <f t="shared" si="10"/>
        <v>16</v>
      </c>
      <c r="BC789" s="132" t="s">
        <v>178</v>
      </c>
      <c r="BD789" s="143" t="s">
        <v>227</v>
      </c>
      <c r="BE789" s="132" t="s">
        <v>178</v>
      </c>
      <c r="BF789" s="123"/>
      <c r="BG789" s="83">
        <v>1179237.0</v>
      </c>
      <c r="BH789" s="112"/>
      <c r="BI789" s="112">
        <v>2.0</v>
      </c>
      <c r="BJ789" s="98" t="s">
        <v>155</v>
      </c>
      <c r="BK789" s="99">
        <f t="shared" si="11"/>
        <v>0</v>
      </c>
      <c r="BL789" s="99">
        <f t="shared" si="12"/>
        <v>0</v>
      </c>
      <c r="BM789" s="99" t="str">
        <f>IFERROR(__xludf.DUMMYFUNCTION("IFERROR(VLOOKUP(BG789,IMPORTRANGE(""https://docs.google.com/spreadsheets/d/1juPI-Fb8LD0YtltB2mlGEnp_R3UVu1t3wSFPzgCyHXE/edit?gid=0#gid=0"",""GERAL!A2:C""),3,0),""-"")"),"-")</f>
        <v>-</v>
      </c>
    </row>
    <row r="790" ht="15.75" customHeight="1">
      <c r="A790" s="111" t="s">
        <v>860</v>
      </c>
      <c r="B790" s="83" t="s">
        <v>2229</v>
      </c>
      <c r="C790" s="83" t="s">
        <v>164</v>
      </c>
      <c r="D790" s="112">
        <v>1179339.0</v>
      </c>
      <c r="E790" s="83">
        <v>1178898.0</v>
      </c>
      <c r="F790" s="98">
        <v>2.946148E7</v>
      </c>
      <c r="G790" s="114" t="s">
        <v>3776</v>
      </c>
      <c r="H790" s="91" t="s">
        <v>3777</v>
      </c>
      <c r="I790" s="172" t="s">
        <v>3778</v>
      </c>
      <c r="J790" s="83" t="s">
        <v>641</v>
      </c>
      <c r="K790" s="83" t="s">
        <v>168</v>
      </c>
      <c r="L790" s="83" t="s">
        <v>169</v>
      </c>
      <c r="M790" s="82" t="str">
        <f>IFERROR(__xludf.DUMMYFUNCTION("IFERROR(VLOOKUP(D790,
IMPORTRANGE(""https://docs.google.com/spreadsheets/d/1MjHtlUikwobi2MaWJgy7tfLeBmhj1u-dRFRs_8GwSoA/edit#gid=0"",""Gestores Escolares!D7:J""),3,0),""VERIFICAR CÓD SEC"")"),"SUELY PASSOS DE SOUZA")</f>
        <v>SUELY PASSOS DE SOUZA</v>
      </c>
      <c r="N790" s="82" t="str">
        <f>IFERROR(__xludf.DUMMYFUNCTION("IFERROR(VLOOKUP(D790,
IMPORTRANGE(""https://docs.google.com/spreadsheets/d/1MjHtlUikwobi2MaWJgy7tfLeBmhj1u-dRFRs_8GwSoA/edit#gid=0"",""Gestores Escolares!D7:J""),4,0),""VERIFICAR CÓD SEC"")"),"(77) 9 9913-6204")</f>
        <v>(77) 9 9913-6204</v>
      </c>
      <c r="O790" s="82" t="str">
        <f>IFERROR(__xludf.DUMMYFUNCTION("IFERROR(VLOOKUP(D790,
IMPORTRANGE(""https://docs.google.com/spreadsheets/d/1MjHtlUikwobi2MaWJgy7tfLeBmhj1u-dRFRs_8GwSoA/edit#gid=0"",""Gestores Escolares!D7:J""),6,0),""VERIFICAR CÓD SEC"")"),"MARCIO ALEXANDRE DE OLIVEIRA ANDRADA")</f>
        <v>MARCIO ALEXANDRE DE OLIVEIRA ANDRADA</v>
      </c>
      <c r="P790" s="82" t="str">
        <f>IFERROR(__xludf.DUMMYFUNCTION("IFERROR(VLOOKUP(D790,
IMPORTRANGE(""https://docs.google.com/spreadsheets/d/1MjHtlUikwobi2MaWJgy7tfLeBmhj1u-dRFRs_8GwSoA/edit#gid=0"",""Gestores Escolares!D7:J""),7,0),""VERIFICAR CÓD SEC"")"),"(71) 9 8554-1121")</f>
        <v>(71) 9 8554-1121</v>
      </c>
      <c r="Q790" s="82" t="str">
        <f>IFERROR(__xludf.DUMMYFUNCTION("IFERROR(VLOOKUP(D790,
IMPORTRANGE(""https://docs.google.com/spreadsheets/d/1MjHtlUikwobi2MaWJgy7tfLeBmhj1u-dRFRs_8GwSoA/edit#gid=0"",""Gestores Escolares!D7:m""),9,0),""VERIFICAR CÓD SEC"")"),"RODRIGO ARLINDO PORTO WANDERLEY MORENO")</f>
        <v>RODRIGO ARLINDO PORTO WANDERLEY MORENO</v>
      </c>
      <c r="R790" s="82" t="str">
        <f>IFERROR(__xludf.DUMMYFUNCTION("IFERROR(VLOOKUP(D790,
IMPORTRANGE(""https://docs.google.com/spreadsheets/d/1MjHtlUikwobi2MaWJgy7tfLeBmhj1u-dRFRs_8GwSoA/edit#gid=0"",""Gestores Escolares!D7:m""),10,0),""VERIFICAR CÓD SEC"")"),"(77) 9 9174-0395")</f>
        <v>(77) 9 9174-0395</v>
      </c>
      <c r="S790" s="82"/>
      <c r="T790" s="138">
        <v>1.0</v>
      </c>
      <c r="U790" s="173">
        <v>1.0</v>
      </c>
      <c r="V790" s="106">
        <v>0.0</v>
      </c>
      <c r="W790" s="107">
        <v>0.0</v>
      </c>
      <c r="X790" s="107">
        <v>0.0</v>
      </c>
      <c r="Y790" s="107">
        <v>0.0</v>
      </c>
      <c r="Z790" s="80">
        <f t="shared" si="1"/>
        <v>0</v>
      </c>
      <c r="AA790" s="106">
        <v>0.0</v>
      </c>
      <c r="AB790" s="107">
        <v>0.0</v>
      </c>
      <c r="AC790" s="107">
        <v>0.0</v>
      </c>
      <c r="AD790" s="107">
        <v>0.0</v>
      </c>
      <c r="AE790" s="80">
        <f t="shared" si="2"/>
        <v>0</v>
      </c>
      <c r="AF790" s="140">
        <v>6.0</v>
      </c>
      <c r="AG790" s="109">
        <v>7.0</v>
      </c>
      <c r="AH790" s="109">
        <v>5.0</v>
      </c>
      <c r="AI790" s="141">
        <v>0.0</v>
      </c>
      <c r="AJ790" s="80">
        <f t="shared" si="3"/>
        <v>18</v>
      </c>
      <c r="AK790" s="140">
        <v>0.0</v>
      </c>
      <c r="AL790" s="109">
        <v>0.0</v>
      </c>
      <c r="AM790" s="141">
        <v>0.0</v>
      </c>
      <c r="AN790" s="80">
        <f t="shared" si="4"/>
        <v>0</v>
      </c>
      <c r="AO790" s="140">
        <v>0.0</v>
      </c>
      <c r="AP790" s="109">
        <v>0.0</v>
      </c>
      <c r="AQ790" s="109">
        <v>0.0</v>
      </c>
      <c r="AR790" s="80">
        <f t="shared" si="5"/>
        <v>0</v>
      </c>
      <c r="AS790" s="110">
        <v>0.0</v>
      </c>
      <c r="AT790" s="110">
        <v>0.0</v>
      </c>
      <c r="AU790" s="110">
        <v>0.0</v>
      </c>
      <c r="AV790" s="142">
        <v>0.0</v>
      </c>
      <c r="AW790" s="80">
        <f t="shared" si="6"/>
        <v>0</v>
      </c>
      <c r="AX790" s="113">
        <f t="shared" si="7"/>
        <v>18</v>
      </c>
      <c r="AY790" s="117">
        <f t="shared" si="8"/>
        <v>13</v>
      </c>
      <c r="AZ790" s="120">
        <f t="shared" si="9"/>
        <v>5</v>
      </c>
      <c r="BA790" s="115">
        <v>0.0</v>
      </c>
      <c r="BB790" s="89">
        <f t="shared" si="10"/>
        <v>18</v>
      </c>
      <c r="BC790" s="132" t="s">
        <v>178</v>
      </c>
      <c r="BD790" s="143" t="s">
        <v>227</v>
      </c>
      <c r="BE790" s="132" t="s">
        <v>178</v>
      </c>
      <c r="BF790" s="123"/>
      <c r="BG790" s="83">
        <v>1178898.0</v>
      </c>
      <c r="BH790" s="112"/>
      <c r="BI790" s="112">
        <v>1.0</v>
      </c>
      <c r="BJ790" s="98" t="s">
        <v>155</v>
      </c>
      <c r="BK790" s="99">
        <f t="shared" si="11"/>
        <v>0</v>
      </c>
      <c r="BL790" s="99">
        <f t="shared" si="12"/>
        <v>13</v>
      </c>
      <c r="BM790" s="99" t="str">
        <f>IFERROR(__xludf.DUMMYFUNCTION("IFERROR(VLOOKUP(BG790,IMPORTRANGE(""https://docs.google.com/spreadsheets/d/1juPI-Fb8LD0YtltB2mlGEnp_R3UVu1t3wSFPzgCyHXE/edit?gid=0#gid=0"",""GERAL!A2:C""),3,0),""-"")"),"-")</f>
        <v>-</v>
      </c>
    </row>
    <row r="791" ht="15.75" customHeight="1">
      <c r="A791" s="111" t="s">
        <v>860</v>
      </c>
      <c r="B791" s="83" t="s">
        <v>2229</v>
      </c>
      <c r="C791" s="83" t="s">
        <v>164</v>
      </c>
      <c r="D791" s="112">
        <v>1179339.0</v>
      </c>
      <c r="E791" s="83">
        <v>1178897.0</v>
      </c>
      <c r="F791" s="98">
        <v>2.946148E7</v>
      </c>
      <c r="G791" s="114" t="s">
        <v>3780</v>
      </c>
      <c r="H791" s="91" t="s">
        <v>3782</v>
      </c>
      <c r="I791" s="172" t="s">
        <v>3783</v>
      </c>
      <c r="J791" s="83" t="s">
        <v>3785</v>
      </c>
      <c r="K791" s="83" t="s">
        <v>168</v>
      </c>
      <c r="L791" s="83" t="s">
        <v>169</v>
      </c>
      <c r="M791" s="82" t="str">
        <f>IFERROR(__xludf.DUMMYFUNCTION("IFERROR(VLOOKUP(D791,
IMPORTRANGE(""https://docs.google.com/spreadsheets/d/1MjHtlUikwobi2MaWJgy7tfLeBmhj1u-dRFRs_8GwSoA/edit#gid=0"",""Gestores Escolares!D7:J""),3,0),""VERIFICAR CÓD SEC"")"),"SUELY PASSOS DE SOUZA")</f>
        <v>SUELY PASSOS DE SOUZA</v>
      </c>
      <c r="N791" s="82" t="str">
        <f>IFERROR(__xludf.DUMMYFUNCTION("IFERROR(VLOOKUP(D791,
IMPORTRANGE(""https://docs.google.com/spreadsheets/d/1MjHtlUikwobi2MaWJgy7tfLeBmhj1u-dRFRs_8GwSoA/edit#gid=0"",""Gestores Escolares!D7:J""),4,0),""VERIFICAR CÓD SEC"")"),"(77) 9 9913-6204")</f>
        <v>(77) 9 9913-6204</v>
      </c>
      <c r="O791" s="82" t="str">
        <f>IFERROR(__xludf.DUMMYFUNCTION("IFERROR(VLOOKUP(D791,
IMPORTRANGE(""https://docs.google.com/spreadsheets/d/1MjHtlUikwobi2MaWJgy7tfLeBmhj1u-dRFRs_8GwSoA/edit#gid=0"",""Gestores Escolares!D7:J""),6,0),""VERIFICAR CÓD SEC"")"),"MARCIO ALEXANDRE DE OLIVEIRA ANDRADA")</f>
        <v>MARCIO ALEXANDRE DE OLIVEIRA ANDRADA</v>
      </c>
      <c r="P791" s="82" t="str">
        <f>IFERROR(__xludf.DUMMYFUNCTION("IFERROR(VLOOKUP(D791,
IMPORTRANGE(""https://docs.google.com/spreadsheets/d/1MjHtlUikwobi2MaWJgy7tfLeBmhj1u-dRFRs_8GwSoA/edit#gid=0"",""Gestores Escolares!D7:J""),7,0),""VERIFICAR CÓD SEC"")"),"(71) 9 8554-1121")</f>
        <v>(71) 9 8554-1121</v>
      </c>
      <c r="Q791" s="82" t="str">
        <f>IFERROR(__xludf.DUMMYFUNCTION("IFERROR(VLOOKUP(D791,
IMPORTRANGE(""https://docs.google.com/spreadsheets/d/1MjHtlUikwobi2MaWJgy7tfLeBmhj1u-dRFRs_8GwSoA/edit#gid=0"",""Gestores Escolares!D7:m""),9,0),""VERIFICAR CÓD SEC"")"),"RODRIGO ARLINDO PORTO WANDERLEY MORENO")</f>
        <v>RODRIGO ARLINDO PORTO WANDERLEY MORENO</v>
      </c>
      <c r="R791" s="82" t="str">
        <f>IFERROR(__xludf.DUMMYFUNCTION("IFERROR(VLOOKUP(D791,
IMPORTRANGE(""https://docs.google.com/spreadsheets/d/1MjHtlUikwobi2MaWJgy7tfLeBmhj1u-dRFRs_8GwSoA/edit#gid=0"",""Gestores Escolares!D7:m""),10,0),""VERIFICAR CÓD SEC"")"),"(77) 9 9174-0395")</f>
        <v>(77) 9 9174-0395</v>
      </c>
      <c r="S791" s="82"/>
      <c r="T791" s="138">
        <v>3.0</v>
      </c>
      <c r="U791" s="173">
        <v>3.0</v>
      </c>
      <c r="V791" s="106">
        <v>0.0</v>
      </c>
      <c r="W791" s="107">
        <v>0.0</v>
      </c>
      <c r="X791" s="107">
        <v>0.0</v>
      </c>
      <c r="Y791" s="107">
        <v>0.0</v>
      </c>
      <c r="Z791" s="80">
        <f t="shared" si="1"/>
        <v>0</v>
      </c>
      <c r="AA791" s="106">
        <v>0.0</v>
      </c>
      <c r="AB791" s="107">
        <v>0.0</v>
      </c>
      <c r="AC791" s="107">
        <v>0.0</v>
      </c>
      <c r="AD791" s="107">
        <v>0.0</v>
      </c>
      <c r="AE791" s="80">
        <f t="shared" si="2"/>
        <v>0</v>
      </c>
      <c r="AF791" s="140">
        <v>0.0</v>
      </c>
      <c r="AG791" s="109">
        <v>0.0</v>
      </c>
      <c r="AH791" s="109">
        <v>29.0</v>
      </c>
      <c r="AI791" s="141">
        <v>0.0</v>
      </c>
      <c r="AJ791" s="80">
        <f t="shared" si="3"/>
        <v>29</v>
      </c>
      <c r="AK791" s="140">
        <v>0.0</v>
      </c>
      <c r="AL791" s="109">
        <v>0.0</v>
      </c>
      <c r="AM791" s="141">
        <v>0.0</v>
      </c>
      <c r="AN791" s="80">
        <f t="shared" si="4"/>
        <v>0</v>
      </c>
      <c r="AO791" s="140">
        <v>0.0</v>
      </c>
      <c r="AP791" s="109">
        <v>0.0</v>
      </c>
      <c r="AQ791" s="109">
        <v>0.0</v>
      </c>
      <c r="AR791" s="80">
        <f t="shared" si="5"/>
        <v>0</v>
      </c>
      <c r="AS791" s="110">
        <v>0.0</v>
      </c>
      <c r="AT791" s="110">
        <v>0.0</v>
      </c>
      <c r="AU791" s="110">
        <v>0.0</v>
      </c>
      <c r="AV791" s="142">
        <v>0.0</v>
      </c>
      <c r="AW791" s="80">
        <f t="shared" si="6"/>
        <v>0</v>
      </c>
      <c r="AX791" s="113">
        <f t="shared" si="7"/>
        <v>29</v>
      </c>
      <c r="AY791" s="117">
        <f t="shared" si="8"/>
        <v>0</v>
      </c>
      <c r="AZ791" s="120">
        <f t="shared" si="9"/>
        <v>29</v>
      </c>
      <c r="BA791" s="115">
        <v>0.0</v>
      </c>
      <c r="BB791" s="89">
        <f t="shared" si="10"/>
        <v>29</v>
      </c>
      <c r="BC791" s="132" t="s">
        <v>178</v>
      </c>
      <c r="BD791" s="143" t="s">
        <v>227</v>
      </c>
      <c r="BE791" s="132" t="s">
        <v>178</v>
      </c>
      <c r="BF791" s="123"/>
      <c r="BG791" s="83">
        <v>1178897.0</v>
      </c>
      <c r="BH791" s="112"/>
      <c r="BI791" s="112">
        <v>3.0</v>
      </c>
      <c r="BJ791" s="98" t="s">
        <v>155</v>
      </c>
      <c r="BK791" s="99">
        <f t="shared" si="11"/>
        <v>0</v>
      </c>
      <c r="BL791" s="99">
        <f t="shared" si="12"/>
        <v>0</v>
      </c>
      <c r="BM791" s="99" t="str">
        <f>IFERROR(__xludf.DUMMYFUNCTION("IFERROR(VLOOKUP(BG791,IMPORTRANGE(""https://docs.google.com/spreadsheets/d/1juPI-Fb8LD0YtltB2mlGEnp_R3UVu1t3wSFPzgCyHXE/edit?gid=0#gid=0"",""GERAL!A2:C""),3,0),""-"")"),"-")</f>
        <v>-</v>
      </c>
    </row>
    <row r="792" ht="15.75" customHeight="1">
      <c r="A792" s="111" t="s">
        <v>860</v>
      </c>
      <c r="B792" s="83" t="s">
        <v>2229</v>
      </c>
      <c r="C792" s="83" t="s">
        <v>164</v>
      </c>
      <c r="D792" s="112">
        <v>1179339.0</v>
      </c>
      <c r="E792" s="83">
        <v>1178896.0</v>
      </c>
      <c r="F792" s="98">
        <v>2.946148E7</v>
      </c>
      <c r="G792" s="114" t="s">
        <v>3788</v>
      </c>
      <c r="H792" s="91" t="s">
        <v>3789</v>
      </c>
      <c r="I792" s="172" t="s">
        <v>3790</v>
      </c>
      <c r="J792" s="83" t="s">
        <v>456</v>
      </c>
      <c r="K792" s="83" t="s">
        <v>151</v>
      </c>
      <c r="L792" s="83" t="s">
        <v>169</v>
      </c>
      <c r="M792" s="82" t="str">
        <f>IFERROR(__xludf.DUMMYFUNCTION("IFERROR(VLOOKUP(D792,
IMPORTRANGE(""https://docs.google.com/spreadsheets/d/1MjHtlUikwobi2MaWJgy7tfLeBmhj1u-dRFRs_8GwSoA/edit#gid=0"",""Gestores Escolares!D7:J""),3,0),""VERIFICAR CÓD SEC"")"),"SUELY PASSOS DE SOUZA")</f>
        <v>SUELY PASSOS DE SOUZA</v>
      </c>
      <c r="N792" s="82" t="str">
        <f>IFERROR(__xludf.DUMMYFUNCTION("IFERROR(VLOOKUP(D792,
IMPORTRANGE(""https://docs.google.com/spreadsheets/d/1MjHtlUikwobi2MaWJgy7tfLeBmhj1u-dRFRs_8GwSoA/edit#gid=0"",""Gestores Escolares!D7:J""),4,0),""VERIFICAR CÓD SEC"")"),"(77) 9 9913-6204")</f>
        <v>(77) 9 9913-6204</v>
      </c>
      <c r="O792" s="82" t="str">
        <f>IFERROR(__xludf.DUMMYFUNCTION("IFERROR(VLOOKUP(D792,
IMPORTRANGE(""https://docs.google.com/spreadsheets/d/1MjHtlUikwobi2MaWJgy7tfLeBmhj1u-dRFRs_8GwSoA/edit#gid=0"",""Gestores Escolares!D7:J""),6,0),""VERIFICAR CÓD SEC"")"),"MARCIO ALEXANDRE DE OLIVEIRA ANDRADA")</f>
        <v>MARCIO ALEXANDRE DE OLIVEIRA ANDRADA</v>
      </c>
      <c r="P792" s="82" t="str">
        <f>IFERROR(__xludf.DUMMYFUNCTION("IFERROR(VLOOKUP(D792,
IMPORTRANGE(""https://docs.google.com/spreadsheets/d/1MjHtlUikwobi2MaWJgy7tfLeBmhj1u-dRFRs_8GwSoA/edit#gid=0"",""Gestores Escolares!D7:J""),7,0),""VERIFICAR CÓD SEC"")"),"(71) 9 8554-1121")</f>
        <v>(71) 9 8554-1121</v>
      </c>
      <c r="Q792" s="82" t="str">
        <f>IFERROR(__xludf.DUMMYFUNCTION("IFERROR(VLOOKUP(D792,
IMPORTRANGE(""https://docs.google.com/spreadsheets/d/1MjHtlUikwobi2MaWJgy7tfLeBmhj1u-dRFRs_8GwSoA/edit#gid=0"",""Gestores Escolares!D7:m""),9,0),""VERIFICAR CÓD SEC"")"),"RODRIGO ARLINDO PORTO WANDERLEY MORENO")</f>
        <v>RODRIGO ARLINDO PORTO WANDERLEY MORENO</v>
      </c>
      <c r="R792" s="82" t="str">
        <f>IFERROR(__xludf.DUMMYFUNCTION("IFERROR(VLOOKUP(D792,
IMPORTRANGE(""https://docs.google.com/spreadsheets/d/1MjHtlUikwobi2MaWJgy7tfLeBmhj1u-dRFRs_8GwSoA/edit#gid=0"",""Gestores Escolares!D7:m""),10,0),""VERIFICAR CÓD SEC"")"),"(77) 9 9174-0395")</f>
        <v>(77) 9 9174-0395</v>
      </c>
      <c r="S792" s="82"/>
      <c r="T792" s="138">
        <v>3.0</v>
      </c>
      <c r="U792" s="148">
        <v>3.0</v>
      </c>
      <c r="V792" s="106">
        <v>0.0</v>
      </c>
      <c r="W792" s="107">
        <v>0.0</v>
      </c>
      <c r="X792" s="107">
        <v>0.0</v>
      </c>
      <c r="Y792" s="107">
        <v>0.0</v>
      </c>
      <c r="Z792" s="80">
        <f t="shared" si="1"/>
        <v>0</v>
      </c>
      <c r="AA792" s="106">
        <v>0.0</v>
      </c>
      <c r="AB792" s="107">
        <v>0.0</v>
      </c>
      <c r="AC792" s="107">
        <v>0.0</v>
      </c>
      <c r="AD792" s="107">
        <v>0.0</v>
      </c>
      <c r="AE792" s="80">
        <f t="shared" si="2"/>
        <v>0</v>
      </c>
      <c r="AF792" s="140">
        <v>0.0</v>
      </c>
      <c r="AG792" s="109">
        <v>0.0</v>
      </c>
      <c r="AH792" s="109">
        <v>20.0</v>
      </c>
      <c r="AI792" s="141">
        <v>0.0</v>
      </c>
      <c r="AJ792" s="80">
        <f t="shared" si="3"/>
        <v>20</v>
      </c>
      <c r="AK792" s="140">
        <v>0.0</v>
      </c>
      <c r="AL792" s="109">
        <v>0.0</v>
      </c>
      <c r="AM792" s="141">
        <v>0.0</v>
      </c>
      <c r="AN792" s="80">
        <f t="shared" si="4"/>
        <v>0</v>
      </c>
      <c r="AO792" s="140">
        <v>0.0</v>
      </c>
      <c r="AP792" s="109">
        <v>0.0</v>
      </c>
      <c r="AQ792" s="109">
        <v>0.0</v>
      </c>
      <c r="AR792" s="80">
        <f t="shared" si="5"/>
        <v>0</v>
      </c>
      <c r="AS792" s="110">
        <v>0.0</v>
      </c>
      <c r="AT792" s="110">
        <v>0.0</v>
      </c>
      <c r="AU792" s="110">
        <v>0.0</v>
      </c>
      <c r="AV792" s="142">
        <v>0.0</v>
      </c>
      <c r="AW792" s="80">
        <f t="shared" si="6"/>
        <v>0</v>
      </c>
      <c r="AX792" s="113">
        <f t="shared" si="7"/>
        <v>20</v>
      </c>
      <c r="AY792" s="117">
        <f t="shared" si="8"/>
        <v>0</v>
      </c>
      <c r="AZ792" s="120">
        <f t="shared" si="9"/>
        <v>20</v>
      </c>
      <c r="BA792" s="115">
        <v>0.0</v>
      </c>
      <c r="BB792" s="89">
        <f t="shared" si="10"/>
        <v>20</v>
      </c>
      <c r="BC792" s="132" t="s">
        <v>178</v>
      </c>
      <c r="BD792" s="143" t="s">
        <v>227</v>
      </c>
      <c r="BE792" s="132" t="s">
        <v>178</v>
      </c>
      <c r="BF792" s="123"/>
      <c r="BG792" s="83">
        <v>1178896.0</v>
      </c>
      <c r="BH792" s="112"/>
      <c r="BI792" s="112">
        <v>3.0</v>
      </c>
      <c r="BJ792" s="98" t="s">
        <v>155</v>
      </c>
      <c r="BK792" s="99">
        <f t="shared" si="11"/>
        <v>0</v>
      </c>
      <c r="BL792" s="99">
        <f t="shared" si="12"/>
        <v>0</v>
      </c>
      <c r="BM792" s="99" t="str">
        <f>IFERROR(__xludf.DUMMYFUNCTION("IFERROR(VLOOKUP(BG792,IMPORTRANGE(""https://docs.google.com/spreadsheets/d/1juPI-Fb8LD0YtltB2mlGEnp_R3UVu1t3wSFPzgCyHXE/edit?gid=0#gid=0"",""GERAL!A2:C""),3,0),""-"")"),"-")</f>
        <v>-</v>
      </c>
    </row>
    <row r="793" ht="15.75" customHeight="1">
      <c r="A793" s="111" t="s">
        <v>860</v>
      </c>
      <c r="B793" s="83" t="s">
        <v>2405</v>
      </c>
      <c r="C793" s="83" t="s">
        <v>68</v>
      </c>
      <c r="D793" s="112">
        <v>1179619.0</v>
      </c>
      <c r="E793" s="83"/>
      <c r="F793" s="83">
        <v>2.9470501E7</v>
      </c>
      <c r="G793" s="119" t="s">
        <v>3791</v>
      </c>
      <c r="H793" s="91" t="s">
        <v>495</v>
      </c>
      <c r="I793" s="172" t="s">
        <v>3792</v>
      </c>
      <c r="J793" s="83" t="s">
        <v>3793</v>
      </c>
      <c r="K793" s="83" t="s">
        <v>151</v>
      </c>
      <c r="L793" s="83" t="s">
        <v>169</v>
      </c>
      <c r="M793" s="82" t="str">
        <f>IFERROR(__xludf.DUMMYFUNCTION("IFERROR(VLOOKUP(D793,
IMPORTRANGE(""https://docs.google.com/spreadsheets/d/1MjHtlUikwobi2MaWJgy7tfLeBmhj1u-dRFRs_8GwSoA/edit#gid=0"",""Gestores Escolares!D7:J""),3,0),""VERIFICAR CÓD SEC"")"),"MARIA MUNIZ DA ROCHA")</f>
        <v>MARIA MUNIZ DA ROCHA</v>
      </c>
      <c r="N793" s="82" t="str">
        <f>IFERROR(__xludf.DUMMYFUNCTION("IFERROR(VLOOKUP(D793,
IMPORTRANGE(""https://docs.google.com/spreadsheets/d/1MjHtlUikwobi2MaWJgy7tfLeBmhj1u-dRFRs_8GwSoA/edit#gid=0"",""Gestores Escolares!D7:J""),4,0),""VERIFICAR CÓD SEC"")"),"(77) 9 9833-3623")</f>
        <v>(77) 9 9833-3623</v>
      </c>
      <c r="O793" s="82" t="str">
        <f>IFERROR(__xludf.DUMMYFUNCTION("IFERROR(VLOOKUP(D793,
IMPORTRANGE(""https://docs.google.com/spreadsheets/d/1MjHtlUikwobi2MaWJgy7tfLeBmhj1u-dRFRs_8GwSoA/edit#gid=0"",""Gestores Escolares!D7:J""),6,0),""VERIFICAR CÓD SEC"")"),"LUIZ GONZAGA DE SOUZA")</f>
        <v>LUIZ GONZAGA DE SOUZA</v>
      </c>
      <c r="P793" s="82" t="str">
        <f>IFERROR(__xludf.DUMMYFUNCTION("IFERROR(VLOOKUP(D793,
IMPORTRANGE(""https://docs.google.com/spreadsheets/d/1MjHtlUikwobi2MaWJgy7tfLeBmhj1u-dRFRs_8GwSoA/edit#gid=0"",""Gestores Escolares!D7:J""),7,0),""VERIFICAR CÓD SEC"")"),"(75) 9 8305-0200")</f>
        <v>(75) 9 8305-0200</v>
      </c>
      <c r="Q793" s="82" t="str">
        <f>IFERROR(__xludf.DUMMYFUNCTION("IFERROR(VLOOKUP(D793,
IMPORTRANGE(""https://docs.google.com/spreadsheets/d/1MjHtlUikwobi2MaWJgy7tfLeBmhj1u-dRFRs_8GwSoA/edit#gid=0"",""Gestores Escolares!D7:m""),9,0),""VERIFICAR CÓD SEC"")"),"")</f>
        <v/>
      </c>
      <c r="R793" s="82" t="str">
        <f>IFERROR(__xludf.DUMMYFUNCTION("IFERROR(VLOOKUP(D793,
IMPORTRANGE(""https://docs.google.com/spreadsheets/d/1MjHtlUikwobi2MaWJgy7tfLeBmhj1u-dRFRs_8GwSoA/edit#gid=0"",""Gestores Escolares!D7:m""),10,0),""VERIFICAR CÓD SEC"")"),"")</f>
        <v/>
      </c>
      <c r="S793" s="82"/>
      <c r="T793" s="138">
        <v>5.0</v>
      </c>
      <c r="U793" s="230">
        <v>4.0</v>
      </c>
      <c r="V793" s="106">
        <v>0.0</v>
      </c>
      <c r="W793" s="107">
        <v>0.0</v>
      </c>
      <c r="X793" s="107">
        <v>0.0</v>
      </c>
      <c r="Y793" s="107">
        <v>0.0</v>
      </c>
      <c r="Z793" s="80">
        <f t="shared" si="1"/>
        <v>0</v>
      </c>
      <c r="AA793" s="106">
        <v>0.0</v>
      </c>
      <c r="AB793" s="107">
        <v>0.0</v>
      </c>
      <c r="AC793" s="107">
        <v>0.0</v>
      </c>
      <c r="AD793" s="107">
        <v>0.0</v>
      </c>
      <c r="AE793" s="80">
        <f t="shared" si="2"/>
        <v>0</v>
      </c>
      <c r="AF793" s="140">
        <v>79.0</v>
      </c>
      <c r="AG793" s="109">
        <v>46.0</v>
      </c>
      <c r="AH793" s="109">
        <v>0.0</v>
      </c>
      <c r="AI793" s="141">
        <v>0.0</v>
      </c>
      <c r="AJ793" s="80">
        <f t="shared" si="3"/>
        <v>125</v>
      </c>
      <c r="AK793" s="140">
        <v>0.0</v>
      </c>
      <c r="AL793" s="109">
        <v>0.0</v>
      </c>
      <c r="AM793" s="141">
        <v>0.0</v>
      </c>
      <c r="AN793" s="80">
        <f t="shared" si="4"/>
        <v>0</v>
      </c>
      <c r="AO793" s="140">
        <v>0.0</v>
      </c>
      <c r="AP793" s="109">
        <v>0.0</v>
      </c>
      <c r="AQ793" s="109">
        <v>65.0</v>
      </c>
      <c r="AR793" s="80">
        <f t="shared" si="5"/>
        <v>65</v>
      </c>
      <c r="AS793" s="110">
        <v>93.0</v>
      </c>
      <c r="AT793" s="110">
        <v>65.0</v>
      </c>
      <c r="AU793" s="110">
        <v>11.0</v>
      </c>
      <c r="AV793" s="142">
        <v>0.0</v>
      </c>
      <c r="AW793" s="80">
        <f t="shared" si="6"/>
        <v>169</v>
      </c>
      <c r="AX793" s="113">
        <f t="shared" si="7"/>
        <v>359</v>
      </c>
      <c r="AY793" s="117">
        <f t="shared" si="8"/>
        <v>283</v>
      </c>
      <c r="AZ793" s="120">
        <f t="shared" si="9"/>
        <v>76</v>
      </c>
      <c r="BA793" s="115">
        <v>0.0</v>
      </c>
      <c r="BB793" s="89">
        <f t="shared" si="10"/>
        <v>359</v>
      </c>
      <c r="BC793" s="132" t="s">
        <v>373</v>
      </c>
      <c r="BD793" s="132" t="s">
        <v>178</v>
      </c>
      <c r="BE793" s="132" t="s">
        <v>178</v>
      </c>
      <c r="BF793" s="156"/>
      <c r="BG793" s="83">
        <v>1179619.0</v>
      </c>
      <c r="BH793" s="112"/>
      <c r="BI793" s="112">
        <v>4.0</v>
      </c>
      <c r="BJ793" s="98" t="s">
        <v>155</v>
      </c>
      <c r="BK793" s="99">
        <f t="shared" si="11"/>
        <v>0</v>
      </c>
      <c r="BL793" s="99">
        <f t="shared" si="12"/>
        <v>283</v>
      </c>
      <c r="BM793" s="99" t="str">
        <f>IFERROR(__xludf.DUMMYFUNCTION("IFERROR(VLOOKUP(BG793,IMPORTRANGE(""https://docs.google.com/spreadsheets/d/1juPI-Fb8LD0YtltB2mlGEnp_R3UVu1t3wSFPzgCyHXE/edit?gid=0#gid=0"",""GERAL!A2:C""),3,0),""-"")"),"CAMPO")</f>
        <v>CAMPO</v>
      </c>
    </row>
    <row r="794" ht="15.75" customHeight="1">
      <c r="A794" s="111" t="s">
        <v>860</v>
      </c>
      <c r="B794" s="83" t="s">
        <v>2405</v>
      </c>
      <c r="C794" s="83" t="s">
        <v>68</v>
      </c>
      <c r="D794" s="112">
        <v>1176129.0</v>
      </c>
      <c r="E794" s="83"/>
      <c r="F794" s="83">
        <v>2.9336082E7</v>
      </c>
      <c r="G794" s="119" t="s">
        <v>3795</v>
      </c>
      <c r="H794" s="108" t="s">
        <v>3796</v>
      </c>
      <c r="I794" s="98" t="s">
        <v>2157</v>
      </c>
      <c r="J794" s="83" t="s">
        <v>150</v>
      </c>
      <c r="K794" s="83" t="s">
        <v>151</v>
      </c>
      <c r="L794" s="98" t="s">
        <v>152</v>
      </c>
      <c r="M794" s="82" t="str">
        <f>IFERROR(__xludf.DUMMYFUNCTION("IFERROR(VLOOKUP(D794,
IMPORTRANGE(""https://docs.google.com/spreadsheets/d/1MjHtlUikwobi2MaWJgy7tfLeBmhj1u-dRFRs_8GwSoA/edit#gid=0"",""Gestores Escolares!D7:J""),3,0),""VERIFICAR CÓD SEC"")"),"	CLEIDIANE SANTOS DA CRUZ")</f>
        <v>	CLEIDIANE SANTOS DA CRUZ</v>
      </c>
      <c r="N794" s="82" t="str">
        <f>IFERROR(__xludf.DUMMYFUNCTION("IFERROR(VLOOKUP(D794,
IMPORTRANGE(""https://docs.google.com/spreadsheets/d/1MjHtlUikwobi2MaWJgy7tfLeBmhj1u-dRFRs_8GwSoA/edit#gid=0"",""Gestores Escolares!D7:J""),4,0),""VERIFICAR CÓD SEC"")"),"(77) 9 9924-0123")</f>
        <v>(77) 9 9924-0123</v>
      </c>
      <c r="O794" s="82" t="str">
        <f>IFERROR(__xludf.DUMMYFUNCTION("IFERROR(VLOOKUP(D794,
IMPORTRANGE(""https://docs.google.com/spreadsheets/d/1MjHtlUikwobi2MaWJgy7tfLeBmhj1u-dRFRs_8GwSoA/edit#gid=0"",""Gestores Escolares!D7:J""),6,0),""VERIFICAR CÓD SEC"")"),"REGINITA CEZAR DOS SANTOS DE JESUS")</f>
        <v>REGINITA CEZAR DOS SANTOS DE JESUS</v>
      </c>
      <c r="P794" s="82" t="str">
        <f>IFERROR(__xludf.DUMMYFUNCTION("IFERROR(VLOOKUP(D794,
IMPORTRANGE(""https://docs.google.com/spreadsheets/d/1MjHtlUikwobi2MaWJgy7tfLeBmhj1u-dRFRs_8GwSoA/edit#gid=0"",""Gestores Escolares!D7:J""),7,0),""VERIFICAR CÓD SEC"")"),"(77) 9 9917-0486")</f>
        <v>(77) 9 9917-0486</v>
      </c>
      <c r="Q794" s="82" t="str">
        <f>IFERROR(__xludf.DUMMYFUNCTION("IFERROR(VLOOKUP(D794,
IMPORTRANGE(""https://docs.google.com/spreadsheets/d/1MjHtlUikwobi2MaWJgy7tfLeBmhj1u-dRFRs_8GwSoA/edit#gid=0"",""Gestores Escolares!D7:m""),9,0),""VERIFICAR CÓD SEC"")"),"TAINE DO ROSARIO")</f>
        <v>TAINE DO ROSARIO</v>
      </c>
      <c r="R794" s="82" t="str">
        <f>IFERROR(__xludf.DUMMYFUNCTION("IFERROR(VLOOKUP(D794,
IMPORTRANGE(""https://docs.google.com/spreadsheets/d/1MjHtlUikwobi2MaWJgy7tfLeBmhj1u-dRFRs_8GwSoA/edit#gid=0"",""Gestores Escolares!D7:m""),10,0),""VERIFICAR CÓD SEC"")"),"(75) 9 8129-2567")</f>
        <v>(75) 9 8129-2567</v>
      </c>
      <c r="S794" s="82"/>
      <c r="T794" s="138">
        <v>4.0</v>
      </c>
      <c r="U794" s="230">
        <v>4.0</v>
      </c>
      <c r="V794" s="106">
        <v>0.0</v>
      </c>
      <c r="W794" s="107">
        <v>0.0</v>
      </c>
      <c r="X794" s="107">
        <v>0.0</v>
      </c>
      <c r="Y794" s="107">
        <v>0.0</v>
      </c>
      <c r="Z794" s="80">
        <f t="shared" si="1"/>
        <v>0</v>
      </c>
      <c r="AA794" s="106">
        <v>0.0</v>
      </c>
      <c r="AB794" s="107">
        <v>0.0</v>
      </c>
      <c r="AC794" s="107">
        <v>0.0</v>
      </c>
      <c r="AD794" s="107">
        <v>0.0</v>
      </c>
      <c r="AE794" s="80">
        <f t="shared" si="2"/>
        <v>0</v>
      </c>
      <c r="AF794" s="140">
        <v>407.0</v>
      </c>
      <c r="AG794" s="109">
        <v>285.0</v>
      </c>
      <c r="AH794" s="109">
        <v>0.0</v>
      </c>
      <c r="AI794" s="141">
        <v>0.0</v>
      </c>
      <c r="AJ794" s="80">
        <f t="shared" si="3"/>
        <v>692</v>
      </c>
      <c r="AK794" s="140">
        <v>0.0</v>
      </c>
      <c r="AL794" s="109">
        <v>0.0</v>
      </c>
      <c r="AM794" s="141">
        <v>0.0</v>
      </c>
      <c r="AN794" s="80">
        <f t="shared" si="4"/>
        <v>0</v>
      </c>
      <c r="AO794" s="140">
        <v>0.0</v>
      </c>
      <c r="AP794" s="109">
        <v>0.0</v>
      </c>
      <c r="AQ794" s="109">
        <v>138.0</v>
      </c>
      <c r="AR794" s="80">
        <f t="shared" si="5"/>
        <v>138</v>
      </c>
      <c r="AS794" s="110">
        <v>0.0</v>
      </c>
      <c r="AT794" s="110">
        <v>0.0</v>
      </c>
      <c r="AU794" s="110">
        <v>0.0</v>
      </c>
      <c r="AV794" s="142">
        <v>0.0</v>
      </c>
      <c r="AW794" s="80">
        <f t="shared" si="6"/>
        <v>0</v>
      </c>
      <c r="AX794" s="113">
        <f t="shared" si="7"/>
        <v>830</v>
      </c>
      <c r="AY794" s="117">
        <f t="shared" si="8"/>
        <v>692</v>
      </c>
      <c r="AZ794" s="120">
        <f t="shared" si="9"/>
        <v>138</v>
      </c>
      <c r="BA794" s="115">
        <v>0.0</v>
      </c>
      <c r="BB794" s="89">
        <f t="shared" si="10"/>
        <v>830</v>
      </c>
      <c r="BC794" s="132" t="s">
        <v>178</v>
      </c>
      <c r="BD794" s="132" t="s">
        <v>178</v>
      </c>
      <c r="BE794" s="132" t="s">
        <v>178</v>
      </c>
      <c r="BF794" s="156"/>
      <c r="BG794" s="83">
        <v>1176129.0</v>
      </c>
      <c r="BH794" s="112"/>
      <c r="BI794" s="112">
        <v>4.0</v>
      </c>
      <c r="BJ794" s="98" t="s">
        <v>155</v>
      </c>
      <c r="BK794" s="99">
        <f t="shared" si="11"/>
        <v>0</v>
      </c>
      <c r="BL794" s="99">
        <f t="shared" si="12"/>
        <v>692</v>
      </c>
      <c r="BM794" s="99" t="str">
        <f>IFERROR(__xludf.DUMMYFUNCTION("IFERROR(VLOOKUP(BG794,IMPORTRANGE(""https://docs.google.com/spreadsheets/d/1juPI-Fb8LD0YtltB2mlGEnp_R3UVu1t3wSFPzgCyHXE/edit?gid=0#gid=0"",""GERAL!A2:C""),3,0),""-"")"),"-")</f>
        <v>-</v>
      </c>
    </row>
    <row r="795" ht="15.75" customHeight="1">
      <c r="A795" s="111" t="s">
        <v>860</v>
      </c>
      <c r="B795" s="83" t="s">
        <v>2405</v>
      </c>
      <c r="C795" s="83" t="s">
        <v>164</v>
      </c>
      <c r="D795" s="112">
        <v>1176129.0</v>
      </c>
      <c r="E795" s="189">
        <v>1179720.0</v>
      </c>
      <c r="F795" s="98">
        <v>2.9490316E7</v>
      </c>
      <c r="G795" s="398" t="s">
        <v>3798</v>
      </c>
      <c r="H795" s="91" t="s">
        <v>3799</v>
      </c>
      <c r="I795" s="193" t="s">
        <v>171</v>
      </c>
      <c r="J795" s="373" t="s">
        <v>3800</v>
      </c>
      <c r="K795" s="83" t="s">
        <v>168</v>
      </c>
      <c r="L795" s="83" t="s">
        <v>512</v>
      </c>
      <c r="M795" s="82" t="str">
        <f>IFERROR(__xludf.DUMMYFUNCTION("IFERROR(VLOOKUP(D795,
IMPORTRANGE(""https://docs.google.com/spreadsheets/d/1MjHtlUikwobi2MaWJgy7tfLeBmhj1u-dRFRs_8GwSoA/edit#gid=0"",""Gestores Escolares!D7:J""),3,0),""VERIFICAR CÓD SEC"")"),"	CLEIDIANE SANTOS DA CRUZ")</f>
        <v>	CLEIDIANE SANTOS DA CRUZ</v>
      </c>
      <c r="N795" s="82" t="str">
        <f>IFERROR(__xludf.DUMMYFUNCTION("IFERROR(VLOOKUP(D795,
IMPORTRANGE(""https://docs.google.com/spreadsheets/d/1MjHtlUikwobi2MaWJgy7tfLeBmhj1u-dRFRs_8GwSoA/edit#gid=0"",""Gestores Escolares!D7:J""),4,0),""VERIFICAR CÓD SEC"")"),"(77) 9 9924-0123")</f>
        <v>(77) 9 9924-0123</v>
      </c>
      <c r="O795" s="82" t="str">
        <f>IFERROR(__xludf.DUMMYFUNCTION("IFERROR(VLOOKUP(D795,
IMPORTRANGE(""https://docs.google.com/spreadsheets/d/1MjHtlUikwobi2MaWJgy7tfLeBmhj1u-dRFRs_8GwSoA/edit#gid=0"",""Gestores Escolares!D7:J""),6,0),""VERIFICAR CÓD SEC"")"),"REGINITA CEZAR DOS SANTOS DE JESUS")</f>
        <v>REGINITA CEZAR DOS SANTOS DE JESUS</v>
      </c>
      <c r="P795" s="82" t="str">
        <f>IFERROR(__xludf.DUMMYFUNCTION("IFERROR(VLOOKUP(D795,
IMPORTRANGE(""https://docs.google.com/spreadsheets/d/1MjHtlUikwobi2MaWJgy7tfLeBmhj1u-dRFRs_8GwSoA/edit#gid=0"",""Gestores Escolares!D7:J""),7,0),""VERIFICAR CÓD SEC"")"),"(77) 9 9917-0486")</f>
        <v>(77) 9 9917-0486</v>
      </c>
      <c r="Q795" s="82" t="str">
        <f>IFERROR(__xludf.DUMMYFUNCTION("IFERROR(VLOOKUP(D795,
IMPORTRANGE(""https://docs.google.com/spreadsheets/d/1MjHtlUikwobi2MaWJgy7tfLeBmhj1u-dRFRs_8GwSoA/edit#gid=0"",""Gestores Escolares!D7:m""),9,0),""VERIFICAR CÓD SEC"")"),"TAINE DO ROSARIO")</f>
        <v>TAINE DO ROSARIO</v>
      </c>
      <c r="R795" s="82" t="str">
        <f>IFERROR(__xludf.DUMMYFUNCTION("IFERROR(VLOOKUP(D795,
IMPORTRANGE(""https://docs.google.com/spreadsheets/d/1MjHtlUikwobi2MaWJgy7tfLeBmhj1u-dRFRs_8GwSoA/edit#gid=0"",""Gestores Escolares!D7:m""),10,0),""VERIFICAR CÓD SEC"")"),"(75) 9 8129-2567")</f>
        <v>(75) 9 8129-2567</v>
      </c>
      <c r="S795" s="82"/>
      <c r="T795" s="138" t="s">
        <v>171</v>
      </c>
      <c r="U795" s="230">
        <v>2.0</v>
      </c>
      <c r="V795" s="106">
        <v>0.0</v>
      </c>
      <c r="W795" s="107">
        <v>0.0</v>
      </c>
      <c r="X795" s="107">
        <v>0.0</v>
      </c>
      <c r="Y795" s="107">
        <v>0.0</v>
      </c>
      <c r="Z795" s="80">
        <f t="shared" si="1"/>
        <v>0</v>
      </c>
      <c r="AA795" s="106">
        <v>0.0</v>
      </c>
      <c r="AB795" s="107">
        <v>0.0</v>
      </c>
      <c r="AC795" s="107">
        <v>0.0</v>
      </c>
      <c r="AD795" s="107">
        <v>0.0</v>
      </c>
      <c r="AE795" s="80">
        <f t="shared" si="2"/>
        <v>0</v>
      </c>
      <c r="AF795" s="140">
        <v>0.0</v>
      </c>
      <c r="AG795" s="109">
        <v>0.0</v>
      </c>
      <c r="AH795" s="109">
        <v>0.0</v>
      </c>
      <c r="AI795" s="141">
        <v>0.0</v>
      </c>
      <c r="AJ795" s="80">
        <f t="shared" si="3"/>
        <v>0</v>
      </c>
      <c r="AK795" s="140">
        <v>0.0</v>
      </c>
      <c r="AL795" s="109">
        <v>0.0</v>
      </c>
      <c r="AM795" s="141">
        <v>0.0</v>
      </c>
      <c r="AN795" s="80">
        <f t="shared" si="4"/>
        <v>0</v>
      </c>
      <c r="AO795" s="140">
        <v>0.0</v>
      </c>
      <c r="AP795" s="109">
        <v>0.0</v>
      </c>
      <c r="AQ795" s="109">
        <v>63.0</v>
      </c>
      <c r="AR795" s="80">
        <f t="shared" si="5"/>
        <v>63</v>
      </c>
      <c r="AS795" s="110">
        <v>0.0</v>
      </c>
      <c r="AT795" s="110">
        <v>0.0</v>
      </c>
      <c r="AU795" s="110">
        <v>0.0</v>
      </c>
      <c r="AV795" s="142">
        <v>0.0</v>
      </c>
      <c r="AW795" s="80">
        <f t="shared" si="6"/>
        <v>0</v>
      </c>
      <c r="AX795" s="113">
        <f t="shared" si="7"/>
        <v>63</v>
      </c>
      <c r="AY795" s="117">
        <f t="shared" si="8"/>
        <v>0</v>
      </c>
      <c r="AZ795" s="120">
        <f t="shared" si="9"/>
        <v>63</v>
      </c>
      <c r="BA795" s="115">
        <v>0.0</v>
      </c>
      <c r="BB795" s="89">
        <f t="shared" si="10"/>
        <v>63</v>
      </c>
      <c r="BC795" s="132" t="s">
        <v>178</v>
      </c>
      <c r="BD795" s="132" t="s">
        <v>178</v>
      </c>
      <c r="BE795" s="132" t="s">
        <v>178</v>
      </c>
      <c r="BF795" s="156"/>
      <c r="BG795" s="83">
        <v>1179720.0</v>
      </c>
      <c r="BH795" s="112"/>
      <c r="BI795" s="112">
        <v>0.0</v>
      </c>
      <c r="BJ795" s="98" t="s">
        <v>155</v>
      </c>
      <c r="BK795" s="99">
        <f t="shared" si="11"/>
        <v>0</v>
      </c>
      <c r="BL795" s="99">
        <f t="shared" si="12"/>
        <v>0</v>
      </c>
      <c r="BM795" s="99" t="str">
        <f>IFERROR(__xludf.DUMMYFUNCTION("IFERROR(VLOOKUP(BG795,IMPORTRANGE(""https://docs.google.com/spreadsheets/d/1juPI-Fb8LD0YtltB2mlGEnp_R3UVu1t3wSFPzgCyHXE/edit?gid=0#gid=0"",""GERAL!A2:C""),3,0),""-"")"),"-")</f>
        <v>-</v>
      </c>
    </row>
    <row r="796" ht="15.75" customHeight="1">
      <c r="A796" s="111" t="s">
        <v>860</v>
      </c>
      <c r="B796" s="83" t="s">
        <v>2405</v>
      </c>
      <c r="C796" s="83" t="s">
        <v>164</v>
      </c>
      <c r="D796" s="112">
        <v>1176129.0</v>
      </c>
      <c r="E796" s="83">
        <v>1179721.0</v>
      </c>
      <c r="F796" s="395">
        <v>2.9493463E7</v>
      </c>
      <c r="G796" s="147" t="s">
        <v>3808</v>
      </c>
      <c r="H796" s="91" t="s">
        <v>3810</v>
      </c>
      <c r="I796" s="372" t="s">
        <v>171</v>
      </c>
      <c r="J796" s="373" t="s">
        <v>3811</v>
      </c>
      <c r="K796" s="83" t="s">
        <v>168</v>
      </c>
      <c r="L796" s="83" t="s">
        <v>512</v>
      </c>
      <c r="M796" s="82" t="str">
        <f>IFERROR(__xludf.DUMMYFUNCTION("IFERROR(VLOOKUP(D796,
IMPORTRANGE(""https://docs.google.com/spreadsheets/d/1MjHtlUikwobi2MaWJgy7tfLeBmhj1u-dRFRs_8GwSoA/edit#gid=0"",""Gestores Escolares!D7:J""),3,0),""VERIFICAR CÓD SEC"")"),"	CLEIDIANE SANTOS DA CRUZ")</f>
        <v>	CLEIDIANE SANTOS DA CRUZ</v>
      </c>
      <c r="N796" s="82" t="str">
        <f>IFERROR(__xludf.DUMMYFUNCTION("IFERROR(VLOOKUP(D796,
IMPORTRANGE(""https://docs.google.com/spreadsheets/d/1MjHtlUikwobi2MaWJgy7tfLeBmhj1u-dRFRs_8GwSoA/edit#gid=0"",""Gestores Escolares!D7:J""),4,0),""VERIFICAR CÓD SEC"")"),"(77) 9 9924-0123")</f>
        <v>(77) 9 9924-0123</v>
      </c>
      <c r="O796" s="82" t="str">
        <f>IFERROR(__xludf.DUMMYFUNCTION("IFERROR(VLOOKUP(D796,
IMPORTRANGE(""https://docs.google.com/spreadsheets/d/1MjHtlUikwobi2MaWJgy7tfLeBmhj1u-dRFRs_8GwSoA/edit#gid=0"",""Gestores Escolares!D7:J""),6,0),""VERIFICAR CÓD SEC"")"),"REGINITA CEZAR DOS SANTOS DE JESUS")</f>
        <v>REGINITA CEZAR DOS SANTOS DE JESUS</v>
      </c>
      <c r="P796" s="82" t="str">
        <f>IFERROR(__xludf.DUMMYFUNCTION("IFERROR(VLOOKUP(D796,
IMPORTRANGE(""https://docs.google.com/spreadsheets/d/1MjHtlUikwobi2MaWJgy7tfLeBmhj1u-dRFRs_8GwSoA/edit#gid=0"",""Gestores Escolares!D7:J""),7,0),""VERIFICAR CÓD SEC"")"),"(77) 9 9917-0486")</f>
        <v>(77) 9 9917-0486</v>
      </c>
      <c r="Q796" s="82" t="str">
        <f>IFERROR(__xludf.DUMMYFUNCTION("IFERROR(VLOOKUP(D796,
IMPORTRANGE(""https://docs.google.com/spreadsheets/d/1MjHtlUikwobi2MaWJgy7tfLeBmhj1u-dRFRs_8GwSoA/edit#gid=0"",""Gestores Escolares!D7:m""),9,0),""VERIFICAR CÓD SEC"")"),"TAINE DO ROSARIO")</f>
        <v>TAINE DO ROSARIO</v>
      </c>
      <c r="R796" s="82" t="str">
        <f>IFERROR(__xludf.DUMMYFUNCTION("IFERROR(VLOOKUP(D796,
IMPORTRANGE(""https://docs.google.com/spreadsheets/d/1MjHtlUikwobi2MaWJgy7tfLeBmhj1u-dRFRs_8GwSoA/edit#gid=0"",""Gestores Escolares!D7:m""),10,0),""VERIFICAR CÓD SEC"")"),"(75) 9 8129-2567")</f>
        <v>(75) 9 8129-2567</v>
      </c>
      <c r="S796" s="82"/>
      <c r="T796" s="138" t="s">
        <v>171</v>
      </c>
      <c r="U796" s="230">
        <v>2.0</v>
      </c>
      <c r="V796" s="106">
        <v>0.0</v>
      </c>
      <c r="W796" s="107">
        <v>0.0</v>
      </c>
      <c r="X796" s="107">
        <v>0.0</v>
      </c>
      <c r="Y796" s="107">
        <v>0.0</v>
      </c>
      <c r="Z796" s="80">
        <f t="shared" si="1"/>
        <v>0</v>
      </c>
      <c r="AA796" s="106">
        <v>0.0</v>
      </c>
      <c r="AB796" s="107">
        <v>0.0</v>
      </c>
      <c r="AC796" s="107">
        <v>0.0</v>
      </c>
      <c r="AD796" s="107">
        <v>0.0</v>
      </c>
      <c r="AE796" s="80">
        <f t="shared" si="2"/>
        <v>0</v>
      </c>
      <c r="AF796" s="140">
        <v>0.0</v>
      </c>
      <c r="AG796" s="109">
        <v>0.0</v>
      </c>
      <c r="AH796" s="109">
        <v>0.0</v>
      </c>
      <c r="AI796" s="141">
        <v>0.0</v>
      </c>
      <c r="AJ796" s="80">
        <f t="shared" si="3"/>
        <v>0</v>
      </c>
      <c r="AK796" s="140">
        <v>0.0</v>
      </c>
      <c r="AL796" s="109">
        <v>0.0</v>
      </c>
      <c r="AM796" s="141">
        <v>0.0</v>
      </c>
      <c r="AN796" s="80">
        <f t="shared" si="4"/>
        <v>0</v>
      </c>
      <c r="AO796" s="140">
        <v>0.0</v>
      </c>
      <c r="AP796" s="109">
        <v>0.0</v>
      </c>
      <c r="AQ796" s="109">
        <v>45.0</v>
      </c>
      <c r="AR796" s="80">
        <f t="shared" si="5"/>
        <v>45</v>
      </c>
      <c r="AS796" s="110">
        <v>0.0</v>
      </c>
      <c r="AT796" s="110">
        <v>0.0</v>
      </c>
      <c r="AU796" s="110">
        <v>0.0</v>
      </c>
      <c r="AV796" s="142">
        <v>0.0</v>
      </c>
      <c r="AW796" s="80">
        <f t="shared" si="6"/>
        <v>0</v>
      </c>
      <c r="AX796" s="113">
        <f t="shared" si="7"/>
        <v>45</v>
      </c>
      <c r="AY796" s="117">
        <f t="shared" si="8"/>
        <v>0</v>
      </c>
      <c r="AZ796" s="120">
        <f t="shared" si="9"/>
        <v>45</v>
      </c>
      <c r="BA796" s="115">
        <v>0.0</v>
      </c>
      <c r="BB796" s="89">
        <f t="shared" si="10"/>
        <v>45</v>
      </c>
      <c r="BC796" s="132" t="s">
        <v>178</v>
      </c>
      <c r="BD796" s="132" t="s">
        <v>178</v>
      </c>
      <c r="BE796" s="132" t="s">
        <v>178</v>
      </c>
      <c r="BF796" s="156"/>
      <c r="BG796" s="83">
        <v>1179721.0</v>
      </c>
      <c r="BH796" s="112"/>
      <c r="BI796" s="112">
        <v>0.0</v>
      </c>
      <c r="BJ796" s="98" t="s">
        <v>155</v>
      </c>
      <c r="BK796" s="99">
        <f t="shared" si="11"/>
        <v>0</v>
      </c>
      <c r="BL796" s="99">
        <f t="shared" si="12"/>
        <v>0</v>
      </c>
      <c r="BM796" s="99" t="str">
        <f>IFERROR(__xludf.DUMMYFUNCTION("IFERROR(VLOOKUP(BG796,IMPORTRANGE(""https://docs.google.com/spreadsheets/d/1juPI-Fb8LD0YtltB2mlGEnp_R3UVu1t3wSFPzgCyHXE/edit?gid=0#gid=0"",""GERAL!A2:C""),3,0),""-"")"),"-")</f>
        <v>-</v>
      </c>
    </row>
    <row r="797" ht="15.75" customHeight="1">
      <c r="A797" s="111" t="s">
        <v>860</v>
      </c>
      <c r="B797" s="83" t="s">
        <v>2405</v>
      </c>
      <c r="C797" s="83" t="s">
        <v>164</v>
      </c>
      <c r="D797" s="112">
        <v>1176129.0</v>
      </c>
      <c r="E797" s="82">
        <v>1179718.0</v>
      </c>
      <c r="F797" s="98">
        <v>2.949348E7</v>
      </c>
      <c r="G797" s="402" t="s">
        <v>3816</v>
      </c>
      <c r="H797" s="108" t="s">
        <v>3818</v>
      </c>
      <c r="I797" s="193" t="s">
        <v>171</v>
      </c>
      <c r="J797" s="373" t="s">
        <v>3821</v>
      </c>
      <c r="K797" s="83" t="s">
        <v>168</v>
      </c>
      <c r="L797" s="83" t="s">
        <v>512</v>
      </c>
      <c r="M797" s="82" t="str">
        <f>IFERROR(__xludf.DUMMYFUNCTION("IFERROR(VLOOKUP(D797,
IMPORTRANGE(""https://docs.google.com/spreadsheets/d/1MjHtlUikwobi2MaWJgy7tfLeBmhj1u-dRFRs_8GwSoA/edit#gid=0"",""Gestores Escolares!D7:J""),3,0),""VERIFICAR CÓD SEC"")"),"	CLEIDIANE SANTOS DA CRUZ")</f>
        <v>	CLEIDIANE SANTOS DA CRUZ</v>
      </c>
      <c r="N797" s="82" t="str">
        <f>IFERROR(__xludf.DUMMYFUNCTION("IFERROR(VLOOKUP(D797,
IMPORTRANGE(""https://docs.google.com/spreadsheets/d/1MjHtlUikwobi2MaWJgy7tfLeBmhj1u-dRFRs_8GwSoA/edit#gid=0"",""Gestores Escolares!D7:J""),4,0),""VERIFICAR CÓD SEC"")"),"(77) 9 9924-0123")</f>
        <v>(77) 9 9924-0123</v>
      </c>
      <c r="O797" s="82" t="str">
        <f>IFERROR(__xludf.DUMMYFUNCTION("IFERROR(VLOOKUP(D797,
IMPORTRANGE(""https://docs.google.com/spreadsheets/d/1MjHtlUikwobi2MaWJgy7tfLeBmhj1u-dRFRs_8GwSoA/edit#gid=0"",""Gestores Escolares!D7:J""),6,0),""VERIFICAR CÓD SEC"")"),"REGINITA CEZAR DOS SANTOS DE JESUS")</f>
        <v>REGINITA CEZAR DOS SANTOS DE JESUS</v>
      </c>
      <c r="P797" s="82" t="str">
        <f>IFERROR(__xludf.DUMMYFUNCTION("IFERROR(VLOOKUP(D797,
IMPORTRANGE(""https://docs.google.com/spreadsheets/d/1MjHtlUikwobi2MaWJgy7tfLeBmhj1u-dRFRs_8GwSoA/edit#gid=0"",""Gestores Escolares!D7:J""),7,0),""VERIFICAR CÓD SEC"")"),"(77) 9 9917-0486")</f>
        <v>(77) 9 9917-0486</v>
      </c>
      <c r="Q797" s="82" t="str">
        <f>IFERROR(__xludf.DUMMYFUNCTION("IFERROR(VLOOKUP(D797,
IMPORTRANGE(""https://docs.google.com/spreadsheets/d/1MjHtlUikwobi2MaWJgy7tfLeBmhj1u-dRFRs_8GwSoA/edit#gid=0"",""Gestores Escolares!D7:m""),9,0),""VERIFICAR CÓD SEC"")"),"TAINE DO ROSARIO")</f>
        <v>TAINE DO ROSARIO</v>
      </c>
      <c r="R797" s="82" t="str">
        <f>IFERROR(__xludf.DUMMYFUNCTION("IFERROR(VLOOKUP(D797,
IMPORTRANGE(""https://docs.google.com/spreadsheets/d/1MjHtlUikwobi2MaWJgy7tfLeBmhj1u-dRFRs_8GwSoA/edit#gid=0"",""Gestores Escolares!D7:m""),10,0),""VERIFICAR CÓD SEC"")"),"(75) 9 8129-2567")</f>
        <v>(75) 9 8129-2567</v>
      </c>
      <c r="S797" s="82"/>
      <c r="T797" s="138" t="s">
        <v>171</v>
      </c>
      <c r="U797" s="230">
        <v>2.0</v>
      </c>
      <c r="V797" s="106">
        <v>0.0</v>
      </c>
      <c r="W797" s="107">
        <v>0.0</v>
      </c>
      <c r="X797" s="107">
        <v>0.0</v>
      </c>
      <c r="Y797" s="107">
        <v>0.0</v>
      </c>
      <c r="Z797" s="80">
        <f t="shared" si="1"/>
        <v>0</v>
      </c>
      <c r="AA797" s="106">
        <v>0.0</v>
      </c>
      <c r="AB797" s="107">
        <v>0.0</v>
      </c>
      <c r="AC797" s="107">
        <v>0.0</v>
      </c>
      <c r="AD797" s="107">
        <v>0.0</v>
      </c>
      <c r="AE797" s="80">
        <f t="shared" si="2"/>
        <v>0</v>
      </c>
      <c r="AF797" s="140">
        <v>0.0</v>
      </c>
      <c r="AG797" s="109">
        <v>0.0</v>
      </c>
      <c r="AH797" s="109">
        <v>0.0</v>
      </c>
      <c r="AI797" s="141">
        <v>0.0</v>
      </c>
      <c r="AJ797" s="80">
        <f t="shared" si="3"/>
        <v>0</v>
      </c>
      <c r="AK797" s="140">
        <v>0.0</v>
      </c>
      <c r="AL797" s="109">
        <v>0.0</v>
      </c>
      <c r="AM797" s="141">
        <v>0.0</v>
      </c>
      <c r="AN797" s="80">
        <f t="shared" si="4"/>
        <v>0</v>
      </c>
      <c r="AO797" s="140">
        <v>0.0</v>
      </c>
      <c r="AP797" s="109">
        <v>0.0</v>
      </c>
      <c r="AQ797" s="109">
        <v>59.0</v>
      </c>
      <c r="AR797" s="80">
        <f t="shared" si="5"/>
        <v>59</v>
      </c>
      <c r="AS797" s="110">
        <v>0.0</v>
      </c>
      <c r="AT797" s="110">
        <v>0.0</v>
      </c>
      <c r="AU797" s="110">
        <v>0.0</v>
      </c>
      <c r="AV797" s="142">
        <v>0.0</v>
      </c>
      <c r="AW797" s="80">
        <f t="shared" si="6"/>
        <v>0</v>
      </c>
      <c r="AX797" s="113">
        <f t="shared" si="7"/>
        <v>59</v>
      </c>
      <c r="AY797" s="117">
        <f t="shared" si="8"/>
        <v>0</v>
      </c>
      <c r="AZ797" s="120">
        <f t="shared" si="9"/>
        <v>59</v>
      </c>
      <c r="BA797" s="115">
        <v>0.0</v>
      </c>
      <c r="BB797" s="89">
        <f t="shared" si="10"/>
        <v>59</v>
      </c>
      <c r="BC797" s="132" t="s">
        <v>178</v>
      </c>
      <c r="BD797" s="132" t="s">
        <v>178</v>
      </c>
      <c r="BE797" s="132" t="s">
        <v>178</v>
      </c>
      <c r="BF797" s="156"/>
      <c r="BG797" s="83">
        <v>1179718.0</v>
      </c>
      <c r="BH797" s="112"/>
      <c r="BI797" s="112">
        <v>0.0</v>
      </c>
      <c r="BJ797" s="98" t="s">
        <v>155</v>
      </c>
      <c r="BK797" s="99">
        <f t="shared" si="11"/>
        <v>0</v>
      </c>
      <c r="BL797" s="99">
        <f t="shared" si="12"/>
        <v>0</v>
      </c>
      <c r="BM797" s="99" t="str">
        <f>IFERROR(__xludf.DUMMYFUNCTION("IFERROR(VLOOKUP(BG797,IMPORTRANGE(""https://docs.google.com/spreadsheets/d/1juPI-Fb8LD0YtltB2mlGEnp_R3UVu1t3wSFPzgCyHXE/edit?gid=0#gid=0"",""GERAL!A2:C""),3,0),""-"")"),"-")</f>
        <v>-</v>
      </c>
    </row>
    <row r="798" ht="15.75" customHeight="1">
      <c r="A798" s="111" t="s">
        <v>860</v>
      </c>
      <c r="B798" s="83" t="s">
        <v>3822</v>
      </c>
      <c r="C798" s="83" t="s">
        <v>68</v>
      </c>
      <c r="D798" s="112">
        <v>1165455.0</v>
      </c>
      <c r="E798" s="189"/>
      <c r="F798" s="189">
        <v>2.9010438E7</v>
      </c>
      <c r="G798" s="209" t="s">
        <v>3829</v>
      </c>
      <c r="H798" s="108" t="s">
        <v>3830</v>
      </c>
      <c r="I798" s="83" t="s">
        <v>149</v>
      </c>
      <c r="J798" s="83" t="s">
        <v>150</v>
      </c>
      <c r="K798" s="83" t="s">
        <v>151</v>
      </c>
      <c r="L798" s="98" t="s">
        <v>152</v>
      </c>
      <c r="M798" s="82" t="str">
        <f>IFERROR(__xludf.DUMMYFUNCTION("IFERROR(VLOOKUP(D798,
IMPORTRANGE(""https://docs.google.com/spreadsheets/d/1MjHtlUikwobi2MaWJgy7tfLeBmhj1u-dRFRs_8GwSoA/edit#gid=0"",""Gestores Escolares!D7:J""),3,0),""VERIFICAR CÓD SEC"")"),"TACIANA VANESSA SANTANA RIOS")</f>
        <v>TACIANA VANESSA SANTANA RIOS</v>
      </c>
      <c r="N798" s="82" t="str">
        <f>IFERROR(__xludf.DUMMYFUNCTION("IFERROR(VLOOKUP(D798,
IMPORTRANGE(""https://docs.google.com/spreadsheets/d/1MjHtlUikwobi2MaWJgy7tfLeBmhj1u-dRFRs_8GwSoA/edit#gid=0"",""Gestores Escolares!D7:J""),4,0),""VERIFICAR CÓD SEC"")"),"(77) 9 9701-9383")</f>
        <v>(77) 9 9701-9383</v>
      </c>
      <c r="O798" s="82" t="str">
        <f>IFERROR(__xludf.DUMMYFUNCTION("IFERROR(VLOOKUP(D798,
IMPORTRANGE(""https://docs.google.com/spreadsheets/d/1MjHtlUikwobi2MaWJgy7tfLeBmhj1u-dRFRs_8GwSoA/edit#gid=0"",""Gestores Escolares!D7:J""),6,0),""VERIFICAR CÓD SEC"")"),"THAISA DE SOUZA SANTOS")</f>
        <v>THAISA DE SOUZA SANTOS</v>
      </c>
      <c r="P798" s="82" t="str">
        <f>IFERROR(__xludf.DUMMYFUNCTION("IFERROR(VLOOKUP(D798,
IMPORTRANGE(""https://docs.google.com/spreadsheets/d/1MjHtlUikwobi2MaWJgy7tfLeBmhj1u-dRFRs_8GwSoA/edit#gid=0"",""Gestores Escolares!D7:J""),7,0),""VERIFICAR CÓD SEC"")"),"(77) 9 9928-4230")</f>
        <v>(77) 9 9928-4230</v>
      </c>
      <c r="Q798" s="82" t="str">
        <f>IFERROR(__xludf.DUMMYFUNCTION("IFERROR(VLOOKUP(D798,
IMPORTRANGE(""https://docs.google.com/spreadsheets/d/1MjHtlUikwobi2MaWJgy7tfLeBmhj1u-dRFRs_8GwSoA/edit#gid=0"",""Gestores Escolares!D7:m""),9,0),""VERIFICAR CÓD SEC"")"),"ALEX SANDRO RODRIGUES DE OLIVEIRA")</f>
        <v>ALEX SANDRO RODRIGUES DE OLIVEIRA</v>
      </c>
      <c r="R798" s="82" t="str">
        <f>IFERROR(__xludf.DUMMYFUNCTION("IFERROR(VLOOKUP(D798,
IMPORTRANGE(""https://docs.google.com/spreadsheets/d/1MjHtlUikwobi2MaWJgy7tfLeBmhj1u-dRFRs_8GwSoA/edit#gid=0"",""Gestores Escolares!D7:m""),10,0),""VERIFICAR CÓD SEC"")")," (77) 9 9975-7720")</f>
        <v> (77) 9 9975-7720</v>
      </c>
      <c r="S798" s="82"/>
      <c r="T798" s="138">
        <v>10.0</v>
      </c>
      <c r="U798" s="388">
        <v>12.0</v>
      </c>
      <c r="V798" s="106">
        <v>0.0</v>
      </c>
      <c r="W798" s="107">
        <v>0.0</v>
      </c>
      <c r="X798" s="107">
        <v>0.0</v>
      </c>
      <c r="Y798" s="107">
        <v>0.0</v>
      </c>
      <c r="Z798" s="80">
        <f t="shared" si="1"/>
        <v>0</v>
      </c>
      <c r="AA798" s="106">
        <v>0.0</v>
      </c>
      <c r="AB798" s="107">
        <v>0.0</v>
      </c>
      <c r="AC798" s="107">
        <v>0.0</v>
      </c>
      <c r="AD798" s="107">
        <v>0.0</v>
      </c>
      <c r="AE798" s="80">
        <f t="shared" si="2"/>
        <v>0</v>
      </c>
      <c r="AF798" s="140">
        <v>162.0</v>
      </c>
      <c r="AG798" s="109">
        <v>156.0</v>
      </c>
      <c r="AH798" s="109">
        <v>0.0</v>
      </c>
      <c r="AI798" s="141">
        <v>82.0</v>
      </c>
      <c r="AJ798" s="80">
        <f t="shared" si="3"/>
        <v>400</v>
      </c>
      <c r="AK798" s="140">
        <v>0.0</v>
      </c>
      <c r="AL798" s="109">
        <v>0.0</v>
      </c>
      <c r="AM798" s="141">
        <v>0.0</v>
      </c>
      <c r="AN798" s="80">
        <f t="shared" si="4"/>
        <v>0</v>
      </c>
      <c r="AO798" s="140">
        <v>0.0</v>
      </c>
      <c r="AP798" s="109">
        <v>0.0</v>
      </c>
      <c r="AQ798" s="109">
        <v>48.0</v>
      </c>
      <c r="AR798" s="80">
        <f t="shared" si="5"/>
        <v>48</v>
      </c>
      <c r="AS798" s="110">
        <v>0.0</v>
      </c>
      <c r="AT798" s="110">
        <v>0.0</v>
      </c>
      <c r="AU798" s="110">
        <v>6.0</v>
      </c>
      <c r="AV798" s="142">
        <v>0.0</v>
      </c>
      <c r="AW798" s="80">
        <f t="shared" si="6"/>
        <v>6</v>
      </c>
      <c r="AX798" s="113">
        <f t="shared" si="7"/>
        <v>454</v>
      </c>
      <c r="AY798" s="117">
        <f t="shared" si="8"/>
        <v>400</v>
      </c>
      <c r="AZ798" s="120">
        <f t="shared" si="9"/>
        <v>54</v>
      </c>
      <c r="BA798" s="115">
        <v>0.0</v>
      </c>
      <c r="BB798" s="89">
        <f t="shared" si="10"/>
        <v>454</v>
      </c>
      <c r="BC798" s="132" t="s">
        <v>178</v>
      </c>
      <c r="BD798" s="132" t="s">
        <v>178</v>
      </c>
      <c r="BE798" s="132" t="s">
        <v>178</v>
      </c>
      <c r="BF798" s="156"/>
      <c r="BG798" s="83">
        <v>1165455.0</v>
      </c>
      <c r="BH798" s="112"/>
      <c r="BI798" s="112">
        <v>7.0</v>
      </c>
      <c r="BJ798" s="98" t="s">
        <v>162</v>
      </c>
      <c r="BK798" s="99">
        <f t="shared" si="11"/>
        <v>82</v>
      </c>
      <c r="BL798" s="99">
        <f t="shared" si="12"/>
        <v>318</v>
      </c>
      <c r="BM798" s="99" t="str">
        <f>IFERROR(__xludf.DUMMYFUNCTION("IFERROR(VLOOKUP(BG798,IMPORTRANGE(""https://docs.google.com/spreadsheets/d/1juPI-Fb8LD0YtltB2mlGEnp_R3UVu1t3wSFPzgCyHXE/edit?gid=0#gid=0"",""GERAL!A2:C""),3,0),""-"")"),"-")</f>
        <v>-</v>
      </c>
    </row>
    <row r="799" ht="15.75" customHeight="1">
      <c r="A799" s="111" t="s">
        <v>860</v>
      </c>
      <c r="B799" s="83" t="s">
        <v>3822</v>
      </c>
      <c r="C799" s="191" t="s">
        <v>164</v>
      </c>
      <c r="D799" s="190">
        <v>1179339.0</v>
      </c>
      <c r="E799" s="83">
        <v>1179454.0</v>
      </c>
      <c r="F799" s="98">
        <v>2.946148E7</v>
      </c>
      <c r="G799" s="381" t="s">
        <v>3839</v>
      </c>
      <c r="H799" s="91" t="s">
        <v>3840</v>
      </c>
      <c r="I799" s="397" t="s">
        <v>3841</v>
      </c>
      <c r="J799" s="83" t="s">
        <v>464</v>
      </c>
      <c r="K799" s="83" t="s">
        <v>168</v>
      </c>
      <c r="L799" s="83" t="s">
        <v>169</v>
      </c>
      <c r="M799" s="82" t="str">
        <f>IFERROR(__xludf.DUMMYFUNCTION("IFERROR(VLOOKUP(D799,
IMPORTRANGE(""https://docs.google.com/spreadsheets/d/1MjHtlUikwobi2MaWJgy7tfLeBmhj1u-dRFRs_8GwSoA/edit#gid=0"",""Gestores Escolares!D7:J""),3,0),""VERIFICAR CÓD SEC"")"),"SUELY PASSOS DE SOUZA")</f>
        <v>SUELY PASSOS DE SOUZA</v>
      </c>
      <c r="N799" s="82" t="str">
        <f>IFERROR(__xludf.DUMMYFUNCTION("IFERROR(VLOOKUP(D799,
IMPORTRANGE(""https://docs.google.com/spreadsheets/d/1MjHtlUikwobi2MaWJgy7tfLeBmhj1u-dRFRs_8GwSoA/edit#gid=0"",""Gestores Escolares!D7:J""),4,0),""VERIFICAR CÓD SEC"")"),"(77) 9 9913-6204")</f>
        <v>(77) 9 9913-6204</v>
      </c>
      <c r="O799" s="82" t="str">
        <f>IFERROR(__xludf.DUMMYFUNCTION("IFERROR(VLOOKUP(D799,
IMPORTRANGE(""https://docs.google.com/spreadsheets/d/1MjHtlUikwobi2MaWJgy7tfLeBmhj1u-dRFRs_8GwSoA/edit#gid=0"",""Gestores Escolares!D7:J""),6,0),""VERIFICAR CÓD SEC"")"),"MARCIO ALEXANDRE DE OLIVEIRA ANDRADA")</f>
        <v>MARCIO ALEXANDRE DE OLIVEIRA ANDRADA</v>
      </c>
      <c r="P799" s="82" t="str">
        <f>IFERROR(__xludf.DUMMYFUNCTION("IFERROR(VLOOKUP(D799,
IMPORTRANGE(""https://docs.google.com/spreadsheets/d/1MjHtlUikwobi2MaWJgy7tfLeBmhj1u-dRFRs_8GwSoA/edit#gid=0"",""Gestores Escolares!D7:J""),7,0),""VERIFICAR CÓD SEC"")"),"(71) 9 8554-1121")</f>
        <v>(71) 9 8554-1121</v>
      </c>
      <c r="Q799" s="82" t="str">
        <f>IFERROR(__xludf.DUMMYFUNCTION("IFERROR(VLOOKUP(D799,
IMPORTRANGE(""https://docs.google.com/spreadsheets/d/1MjHtlUikwobi2MaWJgy7tfLeBmhj1u-dRFRs_8GwSoA/edit#gid=0"",""Gestores Escolares!D7:m""),9,0),""VERIFICAR CÓD SEC"")"),"RODRIGO ARLINDO PORTO WANDERLEY MORENO")</f>
        <v>RODRIGO ARLINDO PORTO WANDERLEY MORENO</v>
      </c>
      <c r="R799" s="82" t="str">
        <f>IFERROR(__xludf.DUMMYFUNCTION("IFERROR(VLOOKUP(D799,
IMPORTRANGE(""https://docs.google.com/spreadsheets/d/1MjHtlUikwobi2MaWJgy7tfLeBmhj1u-dRFRs_8GwSoA/edit#gid=0"",""Gestores Escolares!D7:m""),10,0),""VERIFICAR CÓD SEC"")"),"(77) 9 9174-0395")</f>
        <v>(77) 9 9174-0395</v>
      </c>
      <c r="S799" s="82"/>
      <c r="T799" s="138">
        <v>2.0</v>
      </c>
      <c r="U799" s="403">
        <v>2.0</v>
      </c>
      <c r="V799" s="106">
        <v>0.0</v>
      </c>
      <c r="W799" s="107">
        <v>0.0</v>
      </c>
      <c r="X799" s="107">
        <v>0.0</v>
      </c>
      <c r="Y799" s="107">
        <v>0.0</v>
      </c>
      <c r="Z799" s="80">
        <f t="shared" si="1"/>
        <v>0</v>
      </c>
      <c r="AA799" s="106">
        <v>0.0</v>
      </c>
      <c r="AB799" s="107">
        <v>0.0</v>
      </c>
      <c r="AC799" s="107">
        <v>0.0</v>
      </c>
      <c r="AD799" s="107">
        <v>0.0</v>
      </c>
      <c r="AE799" s="80">
        <f t="shared" si="2"/>
        <v>0</v>
      </c>
      <c r="AF799" s="140">
        <v>0.0</v>
      </c>
      <c r="AG799" s="109">
        <v>0.0</v>
      </c>
      <c r="AH799" s="109">
        <v>8.0</v>
      </c>
      <c r="AI799" s="141">
        <v>0.0</v>
      </c>
      <c r="AJ799" s="80">
        <f t="shared" si="3"/>
        <v>8</v>
      </c>
      <c r="AK799" s="140">
        <v>0.0</v>
      </c>
      <c r="AL799" s="109">
        <v>0.0</v>
      </c>
      <c r="AM799" s="141">
        <v>0.0</v>
      </c>
      <c r="AN799" s="80">
        <f t="shared" si="4"/>
        <v>0</v>
      </c>
      <c r="AO799" s="140">
        <v>0.0</v>
      </c>
      <c r="AP799" s="109">
        <v>0.0</v>
      </c>
      <c r="AQ799" s="109">
        <v>0.0</v>
      </c>
      <c r="AR799" s="80">
        <f t="shared" si="5"/>
        <v>0</v>
      </c>
      <c r="AS799" s="110">
        <v>0.0</v>
      </c>
      <c r="AT799" s="110">
        <v>0.0</v>
      </c>
      <c r="AU799" s="110">
        <v>0.0</v>
      </c>
      <c r="AV799" s="142">
        <v>0.0</v>
      </c>
      <c r="AW799" s="80">
        <f t="shared" si="6"/>
        <v>0</v>
      </c>
      <c r="AX799" s="113">
        <f t="shared" si="7"/>
        <v>8</v>
      </c>
      <c r="AY799" s="117">
        <f t="shared" si="8"/>
        <v>0</v>
      </c>
      <c r="AZ799" s="120">
        <f t="shared" si="9"/>
        <v>8</v>
      </c>
      <c r="BA799" s="115">
        <v>0.0</v>
      </c>
      <c r="BB799" s="89">
        <f t="shared" si="10"/>
        <v>8</v>
      </c>
      <c r="BC799" s="132" t="s">
        <v>178</v>
      </c>
      <c r="BD799" s="143" t="s">
        <v>227</v>
      </c>
      <c r="BE799" s="132" t="s">
        <v>178</v>
      </c>
      <c r="BF799" s="156"/>
      <c r="BG799" s="83">
        <v>1179454.0</v>
      </c>
      <c r="BH799" s="112"/>
      <c r="BI799" s="112">
        <v>2.0</v>
      </c>
      <c r="BJ799" s="98" t="s">
        <v>155</v>
      </c>
      <c r="BK799" s="99">
        <f t="shared" si="11"/>
        <v>0</v>
      </c>
      <c r="BL799" s="99">
        <f t="shared" si="12"/>
        <v>0</v>
      </c>
      <c r="BM799" s="99" t="str">
        <f>IFERROR(__xludf.DUMMYFUNCTION("IFERROR(VLOOKUP(BG799,IMPORTRANGE(""https://docs.google.com/spreadsheets/d/1juPI-Fb8LD0YtltB2mlGEnp_R3UVu1t3wSFPzgCyHXE/edit?gid=0#gid=0"",""GERAL!A2:C""),3,0),""-"")"),"-")</f>
        <v>-</v>
      </c>
    </row>
    <row r="800" ht="15.75" customHeight="1">
      <c r="A800" s="111" t="s">
        <v>860</v>
      </c>
      <c r="B800" s="83" t="s">
        <v>3822</v>
      </c>
      <c r="C800" s="83" t="s">
        <v>164</v>
      </c>
      <c r="D800" s="84">
        <v>1179339.0</v>
      </c>
      <c r="E800" s="82">
        <v>1178906.0</v>
      </c>
      <c r="F800" s="94">
        <v>2.946148E7</v>
      </c>
      <c r="G800" s="91" t="s">
        <v>3842</v>
      </c>
      <c r="H800" s="91" t="s">
        <v>3843</v>
      </c>
      <c r="I800" s="83" t="s">
        <v>149</v>
      </c>
      <c r="J800" s="83" t="s">
        <v>865</v>
      </c>
      <c r="K800" s="83" t="s">
        <v>168</v>
      </c>
      <c r="L800" s="83" t="s">
        <v>169</v>
      </c>
      <c r="M800" s="82" t="str">
        <f>IFERROR(__xludf.DUMMYFUNCTION("IFERROR(VLOOKUP(D800,
IMPORTRANGE(""https://docs.google.com/spreadsheets/d/1MjHtlUikwobi2MaWJgy7tfLeBmhj1u-dRFRs_8GwSoA/edit#gid=0"",""Gestores Escolares!D7:J""),3,0),""VERIFICAR CÓD SEC"")"),"SUELY PASSOS DE SOUZA")</f>
        <v>SUELY PASSOS DE SOUZA</v>
      </c>
      <c r="N800" s="82" t="str">
        <f>IFERROR(__xludf.DUMMYFUNCTION("IFERROR(VLOOKUP(D800,
IMPORTRANGE(""https://docs.google.com/spreadsheets/d/1MjHtlUikwobi2MaWJgy7tfLeBmhj1u-dRFRs_8GwSoA/edit#gid=0"",""Gestores Escolares!D7:J""),4,0),""VERIFICAR CÓD SEC"")"),"(77) 9 9913-6204")</f>
        <v>(77) 9 9913-6204</v>
      </c>
      <c r="O800" s="82" t="str">
        <f>IFERROR(__xludf.DUMMYFUNCTION("IFERROR(VLOOKUP(D800,
IMPORTRANGE(""https://docs.google.com/spreadsheets/d/1MjHtlUikwobi2MaWJgy7tfLeBmhj1u-dRFRs_8GwSoA/edit#gid=0"",""Gestores Escolares!D7:J""),6,0),""VERIFICAR CÓD SEC"")"),"MARCIO ALEXANDRE DE OLIVEIRA ANDRADA")</f>
        <v>MARCIO ALEXANDRE DE OLIVEIRA ANDRADA</v>
      </c>
      <c r="P800" s="82" t="str">
        <f>IFERROR(__xludf.DUMMYFUNCTION("IFERROR(VLOOKUP(D800,
IMPORTRANGE(""https://docs.google.com/spreadsheets/d/1MjHtlUikwobi2MaWJgy7tfLeBmhj1u-dRFRs_8GwSoA/edit#gid=0"",""Gestores Escolares!D7:J""),7,0),""VERIFICAR CÓD SEC"")"),"(71) 9 8554-1121")</f>
        <v>(71) 9 8554-1121</v>
      </c>
      <c r="Q800" s="82" t="str">
        <f>IFERROR(__xludf.DUMMYFUNCTION("IFERROR(VLOOKUP(D800,
IMPORTRANGE(""https://docs.google.com/spreadsheets/d/1MjHtlUikwobi2MaWJgy7tfLeBmhj1u-dRFRs_8GwSoA/edit#gid=0"",""Gestores Escolares!D7:m""),9,0),""VERIFICAR CÓD SEC"")"),"RODRIGO ARLINDO PORTO WANDERLEY MORENO")</f>
        <v>RODRIGO ARLINDO PORTO WANDERLEY MORENO</v>
      </c>
      <c r="R800" s="82" t="str">
        <f>IFERROR(__xludf.DUMMYFUNCTION("IFERROR(VLOOKUP(D800,
IMPORTRANGE(""https://docs.google.com/spreadsheets/d/1MjHtlUikwobi2MaWJgy7tfLeBmhj1u-dRFRs_8GwSoA/edit#gid=0"",""Gestores Escolares!D7:m""),10,0),""VERIFICAR CÓD SEC"")"),"(77) 9 9174-0395")</f>
        <v>(77) 9 9174-0395</v>
      </c>
      <c r="S800" s="82"/>
      <c r="T800" s="138">
        <v>3.0</v>
      </c>
      <c r="U800" s="403">
        <v>3.0</v>
      </c>
      <c r="V800" s="106">
        <v>0.0</v>
      </c>
      <c r="W800" s="107">
        <v>0.0</v>
      </c>
      <c r="X800" s="107">
        <v>0.0</v>
      </c>
      <c r="Y800" s="107">
        <v>0.0</v>
      </c>
      <c r="Z800" s="80">
        <f t="shared" si="1"/>
        <v>0</v>
      </c>
      <c r="AA800" s="106">
        <v>0.0</v>
      </c>
      <c r="AB800" s="107">
        <v>0.0</v>
      </c>
      <c r="AC800" s="107">
        <v>0.0</v>
      </c>
      <c r="AD800" s="107">
        <v>0.0</v>
      </c>
      <c r="AE800" s="80">
        <f t="shared" si="2"/>
        <v>0</v>
      </c>
      <c r="AF800" s="140">
        <v>0.0</v>
      </c>
      <c r="AG800" s="109">
        <v>53.0</v>
      </c>
      <c r="AH800" s="109">
        <v>0.0</v>
      </c>
      <c r="AI800" s="141">
        <v>0.0</v>
      </c>
      <c r="AJ800" s="80">
        <f t="shared" si="3"/>
        <v>53</v>
      </c>
      <c r="AK800" s="140">
        <v>0.0</v>
      </c>
      <c r="AL800" s="109">
        <v>0.0</v>
      </c>
      <c r="AM800" s="141">
        <v>0.0</v>
      </c>
      <c r="AN800" s="80">
        <f t="shared" si="4"/>
        <v>0</v>
      </c>
      <c r="AO800" s="140">
        <v>0.0</v>
      </c>
      <c r="AP800" s="109">
        <v>0.0</v>
      </c>
      <c r="AQ800" s="109">
        <v>0.0</v>
      </c>
      <c r="AR800" s="80">
        <f t="shared" si="5"/>
        <v>0</v>
      </c>
      <c r="AS800" s="110">
        <v>0.0</v>
      </c>
      <c r="AT800" s="110">
        <v>0.0</v>
      </c>
      <c r="AU800" s="110">
        <v>0.0</v>
      </c>
      <c r="AV800" s="142">
        <v>0.0</v>
      </c>
      <c r="AW800" s="80">
        <f t="shared" si="6"/>
        <v>0</v>
      </c>
      <c r="AX800" s="113">
        <f t="shared" si="7"/>
        <v>53</v>
      </c>
      <c r="AY800" s="117">
        <f t="shared" si="8"/>
        <v>53</v>
      </c>
      <c r="AZ800" s="120">
        <f t="shared" si="9"/>
        <v>0</v>
      </c>
      <c r="BA800" s="115">
        <v>0.0</v>
      </c>
      <c r="BB800" s="89">
        <f t="shared" si="10"/>
        <v>53</v>
      </c>
      <c r="BC800" s="132" t="s">
        <v>178</v>
      </c>
      <c r="BD800" s="143" t="s">
        <v>227</v>
      </c>
      <c r="BE800" s="132" t="s">
        <v>178</v>
      </c>
      <c r="BF800" s="123"/>
      <c r="BG800" s="83">
        <v>1178906.0</v>
      </c>
      <c r="BH800" s="112"/>
      <c r="BI800" s="112">
        <v>3.0</v>
      </c>
      <c r="BJ800" s="98" t="s">
        <v>155</v>
      </c>
      <c r="BK800" s="99">
        <f t="shared" si="11"/>
        <v>0</v>
      </c>
      <c r="BL800" s="99">
        <f t="shared" si="12"/>
        <v>53</v>
      </c>
      <c r="BM800" s="99" t="str">
        <f>IFERROR(__xludf.DUMMYFUNCTION("IFERROR(VLOOKUP(BG800,IMPORTRANGE(""https://docs.google.com/spreadsheets/d/1juPI-Fb8LD0YtltB2mlGEnp_R3UVu1t3wSFPzgCyHXE/edit?gid=0#gid=0"",""GERAL!A2:C""),3,0),""-"")"),"-")</f>
        <v>-</v>
      </c>
    </row>
    <row r="801" ht="15.75" customHeight="1">
      <c r="A801" s="111" t="s">
        <v>914</v>
      </c>
      <c r="B801" s="83" t="s">
        <v>3851</v>
      </c>
      <c r="C801" s="83" t="s">
        <v>45</v>
      </c>
      <c r="D801" s="112">
        <v>1178384.0</v>
      </c>
      <c r="E801" s="83"/>
      <c r="F801" s="83">
        <v>2.9203473E7</v>
      </c>
      <c r="G801" s="114" t="s">
        <v>3852</v>
      </c>
      <c r="H801" s="91" t="s">
        <v>3853</v>
      </c>
      <c r="I801" s="83" t="s">
        <v>149</v>
      </c>
      <c r="J801" s="115" t="s">
        <v>150</v>
      </c>
      <c r="K801" s="83" t="s">
        <v>171</v>
      </c>
      <c r="L801" s="83" t="s">
        <v>169</v>
      </c>
      <c r="M801" s="82" t="str">
        <f>IFERROR(__xludf.DUMMYFUNCTION("IFERROR(VLOOKUP(D801,
IMPORTRANGE(""https://docs.google.com/spreadsheets/d/1MjHtlUikwobi2MaWJgy7tfLeBmhj1u-dRFRs_8GwSoA/edit#gid=0"",""Gestores Escolares!D7:J""),3,0),""VERIFICAR CÓD SEC"")"),"SILVANA ROCHA OLIVEIRA CARDOSO")</f>
        <v>SILVANA ROCHA OLIVEIRA CARDOSO</v>
      </c>
      <c r="N801" s="82" t="str">
        <f>IFERROR(__xludf.DUMMYFUNCTION("IFERROR(VLOOKUP(D801,
IMPORTRANGE(""https://docs.google.com/spreadsheets/d/1MjHtlUikwobi2MaWJgy7tfLeBmhj1u-dRFRs_8GwSoA/edit#gid=0"",""Gestores Escolares!D7:J""),4,0),""VERIFICAR CÓD SEC"")"),"(77) 9 9987-9987")</f>
        <v>(77) 9 9987-9987</v>
      </c>
      <c r="O801" s="82" t="str">
        <f>IFERROR(__xludf.DUMMYFUNCTION("IFERROR(VLOOKUP(D801,
IMPORTRANGE(""https://docs.google.com/spreadsheets/d/1MjHtlUikwobi2MaWJgy7tfLeBmhj1u-dRFRs_8GwSoA/edit#gid=0"",""Gestores Escolares!D7:J""),6,0),""VERIFICAR CÓD SEC"")"),"")</f>
        <v/>
      </c>
      <c r="P801" s="82" t="str">
        <f>IFERROR(__xludf.DUMMYFUNCTION("IFERROR(VLOOKUP(D801,
IMPORTRANGE(""https://docs.google.com/spreadsheets/d/1MjHtlUikwobi2MaWJgy7tfLeBmhj1u-dRFRs_8GwSoA/edit#gid=0"",""Gestores Escolares!D7:J""),7,0),""VERIFICAR CÓD SEC"")"),"")</f>
        <v/>
      </c>
      <c r="Q801" s="82" t="str">
        <f>IFERROR(__xludf.DUMMYFUNCTION("IFERROR(VLOOKUP(D801,
IMPORTRANGE(""https://docs.google.com/spreadsheets/d/1MjHtlUikwobi2MaWJgy7tfLeBmhj1u-dRFRs_8GwSoA/edit#gid=0"",""Gestores Escolares!D7:m""),9,0),""VERIFICAR CÓD SEC"")"),"")</f>
        <v/>
      </c>
      <c r="R801" s="82" t="str">
        <f>IFERROR(__xludf.DUMMYFUNCTION("IFERROR(VLOOKUP(D801,
IMPORTRANGE(""https://docs.google.com/spreadsheets/d/1MjHtlUikwobi2MaWJgy7tfLeBmhj1u-dRFRs_8GwSoA/edit#gid=0"",""Gestores Escolares!D7:m""),10,0),""VERIFICAR CÓD SEC"")"),"")</f>
        <v/>
      </c>
      <c r="S801" s="82"/>
      <c r="T801" s="138">
        <v>9.0</v>
      </c>
      <c r="U801" s="388">
        <v>3.0</v>
      </c>
      <c r="V801" s="106">
        <v>0.0</v>
      </c>
      <c r="W801" s="107">
        <v>0.0</v>
      </c>
      <c r="X801" s="107">
        <v>0.0</v>
      </c>
      <c r="Y801" s="107">
        <v>0.0</v>
      </c>
      <c r="Z801" s="80">
        <f t="shared" si="1"/>
        <v>0</v>
      </c>
      <c r="AA801" s="106">
        <v>0.0</v>
      </c>
      <c r="AB801" s="107">
        <v>0.0</v>
      </c>
      <c r="AC801" s="107">
        <v>0.0</v>
      </c>
      <c r="AD801" s="107">
        <v>99.0</v>
      </c>
      <c r="AE801" s="80">
        <f t="shared" si="2"/>
        <v>99</v>
      </c>
      <c r="AF801" s="225">
        <v>0.0</v>
      </c>
      <c r="AG801" s="226">
        <v>0.0</v>
      </c>
      <c r="AH801" s="226">
        <v>0.0</v>
      </c>
      <c r="AI801" s="227">
        <v>84.0</v>
      </c>
      <c r="AJ801" s="80">
        <f t="shared" si="3"/>
        <v>84</v>
      </c>
      <c r="AK801" s="140">
        <v>0.0</v>
      </c>
      <c r="AL801" s="109">
        <v>0.0</v>
      </c>
      <c r="AM801" s="141">
        <v>0.0</v>
      </c>
      <c r="AN801" s="80">
        <f t="shared" si="4"/>
        <v>0</v>
      </c>
      <c r="AO801" s="225">
        <v>0.0</v>
      </c>
      <c r="AP801" s="226">
        <v>0.0</v>
      </c>
      <c r="AQ801" s="226">
        <v>0.0</v>
      </c>
      <c r="AR801" s="80">
        <f t="shared" si="5"/>
        <v>0</v>
      </c>
      <c r="AS801" s="110">
        <v>0.0</v>
      </c>
      <c r="AT801" s="110">
        <v>0.0</v>
      </c>
      <c r="AU801" s="110">
        <v>0.0</v>
      </c>
      <c r="AV801" s="142">
        <v>0.0</v>
      </c>
      <c r="AW801" s="80">
        <f t="shared" si="6"/>
        <v>0</v>
      </c>
      <c r="AX801" s="113">
        <f t="shared" si="7"/>
        <v>183</v>
      </c>
      <c r="AY801" s="117">
        <f t="shared" si="8"/>
        <v>183</v>
      </c>
      <c r="AZ801" s="120">
        <f t="shared" si="9"/>
        <v>0</v>
      </c>
      <c r="BA801" s="115">
        <v>0.0</v>
      </c>
      <c r="BB801" s="89">
        <f t="shared" si="10"/>
        <v>183</v>
      </c>
      <c r="BC801" s="132" t="s">
        <v>178</v>
      </c>
      <c r="BD801" s="132" t="s">
        <v>178</v>
      </c>
      <c r="BE801" s="132" t="s">
        <v>178</v>
      </c>
      <c r="BF801" s="123"/>
      <c r="BG801" s="83">
        <v>1178384.0</v>
      </c>
      <c r="BH801" s="112"/>
      <c r="BI801" s="112">
        <v>9.0</v>
      </c>
      <c r="BJ801" s="98" t="s">
        <v>155</v>
      </c>
      <c r="BK801" s="99">
        <f t="shared" si="11"/>
        <v>183</v>
      </c>
      <c r="BL801" s="99">
        <f t="shared" si="12"/>
        <v>0</v>
      </c>
      <c r="BM801" s="99" t="str">
        <f>IFERROR(__xludf.DUMMYFUNCTION("IFERROR(VLOOKUP(BG801,IMPORTRANGE(""https://docs.google.com/spreadsheets/d/1juPI-Fb8LD0YtltB2mlGEnp_R3UVu1t3wSFPzgCyHXE/edit?gid=0#gid=0"",""GERAL!A2:C""),3,0),""-"")"),"EFA")</f>
        <v>EFA</v>
      </c>
    </row>
    <row r="802" ht="15.75" customHeight="1">
      <c r="A802" s="111" t="s">
        <v>914</v>
      </c>
      <c r="B802" s="83" t="s">
        <v>3851</v>
      </c>
      <c r="C802" s="83" t="s">
        <v>68</v>
      </c>
      <c r="D802" s="112">
        <v>1176443.0</v>
      </c>
      <c r="E802" s="83"/>
      <c r="F802" s="83">
        <v>2.93844E7</v>
      </c>
      <c r="G802" s="119" t="s">
        <v>3855</v>
      </c>
      <c r="H802" s="91" t="s">
        <v>3856</v>
      </c>
      <c r="I802" s="83" t="s">
        <v>149</v>
      </c>
      <c r="J802" s="83" t="s">
        <v>150</v>
      </c>
      <c r="K802" s="83" t="s">
        <v>151</v>
      </c>
      <c r="L802" s="83" t="s">
        <v>152</v>
      </c>
      <c r="M802" s="82" t="str">
        <f>IFERROR(__xludf.DUMMYFUNCTION("IFERROR(VLOOKUP(D802,
IMPORTRANGE(""https://docs.google.com/spreadsheets/d/1MjHtlUikwobi2MaWJgy7tfLeBmhj1u-dRFRs_8GwSoA/edit#gid=0"",""Gestores Escolares!D7:J""),3,0),""VERIFICAR CÓD SEC"")"),"JANE ANGELICA APARECIDA XAVIER ")</f>
        <v>JANE ANGELICA APARECIDA XAVIER </v>
      </c>
      <c r="N802" s="82" t="str">
        <f>IFERROR(__xludf.DUMMYFUNCTION("IFERROR(VLOOKUP(D802,
IMPORTRANGE(""https://docs.google.com/spreadsheets/d/1MjHtlUikwobi2MaWJgy7tfLeBmhj1u-dRFRs_8GwSoA/edit#gid=0"",""Gestores Escolares!D7:J""),4,0),""VERIFICAR CÓD SEC"")"),"(77) 9 9966-9725")</f>
        <v>(77) 9 9966-9725</v>
      </c>
      <c r="O802" s="82" t="str">
        <f>IFERROR(__xludf.DUMMYFUNCTION("IFERROR(VLOOKUP(D802,
IMPORTRANGE(""https://docs.google.com/spreadsheets/d/1MjHtlUikwobi2MaWJgy7tfLeBmhj1u-dRFRs_8GwSoA/edit#gid=0"",""Gestores Escolares!D7:J""),6,0),""VERIFICAR CÓD SEC"")"),"ANDRE DA SILVA LIMA")</f>
        <v>ANDRE DA SILVA LIMA</v>
      </c>
      <c r="P802" s="82" t="str">
        <f>IFERROR(__xludf.DUMMYFUNCTION("IFERROR(VLOOKUP(D802,
IMPORTRANGE(""https://docs.google.com/spreadsheets/d/1MjHtlUikwobi2MaWJgy7tfLeBmhj1u-dRFRs_8GwSoA/edit#gid=0"",""Gestores Escolares!D7:J""),7,0),""VERIFICAR CÓD SEC"")"),"(77) 9 9965-6833")</f>
        <v>(77) 9 9965-6833</v>
      </c>
      <c r="Q802" s="82" t="str">
        <f>IFERROR(__xludf.DUMMYFUNCTION("IFERROR(VLOOKUP(D802,
IMPORTRANGE(""https://docs.google.com/spreadsheets/d/1MjHtlUikwobi2MaWJgy7tfLeBmhj1u-dRFRs_8GwSoA/edit#gid=0"",""Gestores Escolares!D7:m""),9,0),""VERIFICAR CÓD SEC"")"),"DORALICE LIMA SOARES SANTOS")</f>
        <v>DORALICE LIMA SOARES SANTOS</v>
      </c>
      <c r="R802" s="82" t="str">
        <f>IFERROR(__xludf.DUMMYFUNCTION("IFERROR(VLOOKUP(D802,
IMPORTRANGE(""https://docs.google.com/spreadsheets/d/1MjHtlUikwobi2MaWJgy7tfLeBmhj1u-dRFRs_8GwSoA/edit#gid=0"",""Gestores Escolares!D7:m""),10,0),""VERIFICAR CÓD SEC"")"),"(77) 9 9926-4422")</f>
        <v>(77) 9 9926-4422</v>
      </c>
      <c r="S802" s="82"/>
      <c r="T802" s="138">
        <v>10.0</v>
      </c>
      <c r="U802" s="139">
        <v>10.0</v>
      </c>
      <c r="V802" s="106">
        <v>0.0</v>
      </c>
      <c r="W802" s="107">
        <v>0.0</v>
      </c>
      <c r="X802" s="107">
        <v>0.0</v>
      </c>
      <c r="Y802" s="107">
        <v>0.0</v>
      </c>
      <c r="Z802" s="80">
        <f t="shared" si="1"/>
        <v>0</v>
      </c>
      <c r="AA802" s="106">
        <v>0.0</v>
      </c>
      <c r="AB802" s="107">
        <v>0.0</v>
      </c>
      <c r="AC802" s="107">
        <v>0.0</v>
      </c>
      <c r="AD802" s="107">
        <v>0.0</v>
      </c>
      <c r="AE802" s="80">
        <f t="shared" si="2"/>
        <v>0</v>
      </c>
      <c r="AF802" s="140">
        <v>352.0</v>
      </c>
      <c r="AG802" s="109">
        <v>112.0</v>
      </c>
      <c r="AH802" s="109">
        <v>0.0</v>
      </c>
      <c r="AI802" s="141">
        <v>16.0</v>
      </c>
      <c r="AJ802" s="80">
        <f t="shared" si="3"/>
        <v>480</v>
      </c>
      <c r="AK802" s="140">
        <v>0.0</v>
      </c>
      <c r="AL802" s="109">
        <v>0.0</v>
      </c>
      <c r="AM802" s="141">
        <v>0.0</v>
      </c>
      <c r="AN802" s="80">
        <f t="shared" si="4"/>
        <v>0</v>
      </c>
      <c r="AO802" s="140">
        <v>0.0</v>
      </c>
      <c r="AP802" s="109">
        <v>0.0</v>
      </c>
      <c r="AQ802" s="109">
        <v>7.0</v>
      </c>
      <c r="AR802" s="80">
        <f t="shared" si="5"/>
        <v>7</v>
      </c>
      <c r="AS802" s="110">
        <v>0.0</v>
      </c>
      <c r="AT802" s="110">
        <v>58.0</v>
      </c>
      <c r="AU802" s="110">
        <v>95.0</v>
      </c>
      <c r="AV802" s="142">
        <v>0.0</v>
      </c>
      <c r="AW802" s="80">
        <f t="shared" si="6"/>
        <v>153</v>
      </c>
      <c r="AX802" s="113">
        <f t="shared" si="7"/>
        <v>640</v>
      </c>
      <c r="AY802" s="117">
        <f t="shared" si="8"/>
        <v>538</v>
      </c>
      <c r="AZ802" s="120">
        <f t="shared" si="9"/>
        <v>102</v>
      </c>
      <c r="BA802" s="115">
        <v>0.0</v>
      </c>
      <c r="BB802" s="89">
        <f t="shared" si="10"/>
        <v>640</v>
      </c>
      <c r="BC802" s="132" t="s">
        <v>178</v>
      </c>
      <c r="BD802" s="132" t="s">
        <v>178</v>
      </c>
      <c r="BE802" s="132" t="s">
        <v>178</v>
      </c>
      <c r="BF802" s="156"/>
      <c r="BG802" s="83">
        <v>1176443.0</v>
      </c>
      <c r="BH802" s="112"/>
      <c r="BI802" s="112">
        <v>10.0</v>
      </c>
      <c r="BJ802" s="98" t="s">
        <v>155</v>
      </c>
      <c r="BK802" s="99">
        <f t="shared" si="11"/>
        <v>16</v>
      </c>
      <c r="BL802" s="99">
        <f t="shared" si="12"/>
        <v>522</v>
      </c>
      <c r="BM802" s="99" t="str">
        <f>IFERROR(__xludf.DUMMYFUNCTION("IFERROR(VLOOKUP(BG802,IMPORTRANGE(""https://docs.google.com/spreadsheets/d/1juPI-Fb8LD0YtltB2mlGEnp_R3UVu1t3wSFPzgCyHXE/edit?gid=0#gid=0"",""GERAL!A2:C""),3,0),""-"")"),"-")</f>
        <v>-</v>
      </c>
    </row>
    <row r="803" ht="15.75" customHeight="1">
      <c r="A803" s="111" t="s">
        <v>914</v>
      </c>
      <c r="B803" s="83" t="s">
        <v>3851</v>
      </c>
      <c r="C803" s="83" t="s">
        <v>164</v>
      </c>
      <c r="D803" s="112">
        <v>1179717.0</v>
      </c>
      <c r="E803" s="83">
        <v>1178844.0</v>
      </c>
      <c r="F803" s="98">
        <v>2.9483395E7</v>
      </c>
      <c r="G803" s="119" t="s">
        <v>3859</v>
      </c>
      <c r="H803" s="91" t="s">
        <v>3860</v>
      </c>
      <c r="I803" s="83" t="s">
        <v>149</v>
      </c>
      <c r="J803" s="83" t="s">
        <v>464</v>
      </c>
      <c r="K803" s="83" t="s">
        <v>168</v>
      </c>
      <c r="L803" s="83" t="s">
        <v>169</v>
      </c>
      <c r="M803" s="82" t="str">
        <f>IFERROR(__xludf.DUMMYFUNCTION("IFERROR(VLOOKUP(D803,
IMPORTRANGE(""https://docs.google.com/spreadsheets/d/1MjHtlUikwobi2MaWJgy7tfLeBmhj1u-dRFRs_8GwSoA/edit#gid=0"",""Gestores Escolares!D7:J""),3,0),""VERIFICAR CÓD SEC"")"),"LUIZ ANTONIO SANTOS XAVIER")</f>
        <v>LUIZ ANTONIO SANTOS XAVIER</v>
      </c>
      <c r="N803" s="82" t="str">
        <f>IFERROR(__xludf.DUMMYFUNCTION("IFERROR(VLOOKUP(D803,
IMPORTRANGE(""https://docs.google.com/spreadsheets/d/1MjHtlUikwobi2MaWJgy7tfLeBmhj1u-dRFRs_8GwSoA/edit#gid=0"",""Gestores Escolares!D7:J""),4,0),""VERIFICAR CÓD SEC"")"),"(77) 9 9988-7783")</f>
        <v>(77) 9 9988-7783</v>
      </c>
      <c r="O803" s="82" t="str">
        <f>IFERROR(__xludf.DUMMYFUNCTION("IFERROR(VLOOKUP(D803,
IMPORTRANGE(""https://docs.google.com/spreadsheets/d/1MjHtlUikwobi2MaWJgy7tfLeBmhj1u-dRFRs_8GwSoA/edit#gid=0"",""Gestores Escolares!D7:J""),6,0),""VERIFICAR CÓD SEC"")"),"")</f>
        <v/>
      </c>
      <c r="P803" s="82" t="str">
        <f>IFERROR(__xludf.DUMMYFUNCTION("IFERROR(VLOOKUP(D803,
IMPORTRANGE(""https://docs.google.com/spreadsheets/d/1MjHtlUikwobi2MaWJgy7tfLeBmhj1u-dRFRs_8GwSoA/edit#gid=0"",""Gestores Escolares!D7:J""),7,0),""VERIFICAR CÓD SEC"")"),"")</f>
        <v/>
      </c>
      <c r="Q803" s="82" t="str">
        <f>IFERROR(__xludf.DUMMYFUNCTION("IFERROR(VLOOKUP(D803,
IMPORTRANGE(""https://docs.google.com/spreadsheets/d/1MjHtlUikwobi2MaWJgy7tfLeBmhj1u-dRFRs_8GwSoA/edit#gid=0"",""Gestores Escolares!D7:m""),9,0),""VERIFICAR CÓD SEC"")"),"")</f>
        <v/>
      </c>
      <c r="R803" s="82" t="str">
        <f>IFERROR(__xludf.DUMMYFUNCTION("IFERROR(VLOOKUP(D803,
IMPORTRANGE(""https://docs.google.com/spreadsheets/d/1MjHtlUikwobi2MaWJgy7tfLeBmhj1u-dRFRs_8GwSoA/edit#gid=0"",""Gestores Escolares!D7:m""),10,0),""VERIFICAR CÓD SEC"")"),"")</f>
        <v/>
      </c>
      <c r="S803" s="82"/>
      <c r="T803" s="138">
        <v>3.0</v>
      </c>
      <c r="U803" s="139">
        <v>3.0</v>
      </c>
      <c r="V803" s="106">
        <v>0.0</v>
      </c>
      <c r="W803" s="107">
        <v>0.0</v>
      </c>
      <c r="X803" s="107">
        <v>0.0</v>
      </c>
      <c r="Y803" s="107">
        <v>0.0</v>
      </c>
      <c r="Z803" s="80">
        <f t="shared" si="1"/>
        <v>0</v>
      </c>
      <c r="AA803" s="106">
        <v>0.0</v>
      </c>
      <c r="AB803" s="107">
        <v>0.0</v>
      </c>
      <c r="AC803" s="107">
        <v>0.0</v>
      </c>
      <c r="AD803" s="107">
        <v>0.0</v>
      </c>
      <c r="AE803" s="80">
        <f t="shared" si="2"/>
        <v>0</v>
      </c>
      <c r="AF803" s="140">
        <v>0.0</v>
      </c>
      <c r="AG803" s="109">
        <v>0.0</v>
      </c>
      <c r="AH803" s="109">
        <v>42.0</v>
      </c>
      <c r="AI803" s="141">
        <v>0.0</v>
      </c>
      <c r="AJ803" s="80">
        <f t="shared" si="3"/>
        <v>42</v>
      </c>
      <c r="AK803" s="140">
        <v>0.0</v>
      </c>
      <c r="AL803" s="109">
        <v>0.0</v>
      </c>
      <c r="AM803" s="141">
        <v>0.0</v>
      </c>
      <c r="AN803" s="80">
        <f t="shared" si="4"/>
        <v>0</v>
      </c>
      <c r="AO803" s="140">
        <v>0.0</v>
      </c>
      <c r="AP803" s="109">
        <v>0.0</v>
      </c>
      <c r="AQ803" s="109">
        <v>0.0</v>
      </c>
      <c r="AR803" s="80">
        <f t="shared" si="5"/>
        <v>0</v>
      </c>
      <c r="AS803" s="110">
        <v>0.0</v>
      </c>
      <c r="AT803" s="110">
        <v>0.0</v>
      </c>
      <c r="AU803" s="110">
        <v>0.0</v>
      </c>
      <c r="AV803" s="142">
        <v>0.0</v>
      </c>
      <c r="AW803" s="80">
        <f t="shared" si="6"/>
        <v>0</v>
      </c>
      <c r="AX803" s="113">
        <f t="shared" si="7"/>
        <v>42</v>
      </c>
      <c r="AY803" s="117">
        <f t="shared" si="8"/>
        <v>0</v>
      </c>
      <c r="AZ803" s="120">
        <f t="shared" si="9"/>
        <v>42</v>
      </c>
      <c r="BA803" s="115">
        <v>0.0</v>
      </c>
      <c r="BB803" s="89">
        <f t="shared" si="10"/>
        <v>42</v>
      </c>
      <c r="BC803" s="132" t="s">
        <v>373</v>
      </c>
      <c r="BD803" s="143" t="s">
        <v>227</v>
      </c>
      <c r="BE803" s="132" t="s">
        <v>178</v>
      </c>
      <c r="BF803" s="123"/>
      <c r="BG803" s="83">
        <v>1178844.0</v>
      </c>
      <c r="BH803" s="112"/>
      <c r="BI803" s="112">
        <v>3.0</v>
      </c>
      <c r="BJ803" s="98" t="s">
        <v>155</v>
      </c>
      <c r="BK803" s="99">
        <f t="shared" si="11"/>
        <v>0</v>
      </c>
      <c r="BL803" s="99">
        <f t="shared" si="12"/>
        <v>0</v>
      </c>
      <c r="BM803" s="99" t="str">
        <f>IFERROR(__xludf.DUMMYFUNCTION("IFERROR(VLOOKUP(BG803,IMPORTRANGE(""https://docs.google.com/spreadsheets/d/1juPI-Fb8LD0YtltB2mlGEnp_R3UVu1t3wSFPzgCyHXE/edit?gid=0#gid=0"",""GERAL!A2:C""),3,0),""-"")"),"CAMPO")</f>
        <v>CAMPO</v>
      </c>
    </row>
    <row r="804" ht="15.75" customHeight="1">
      <c r="A804" s="111" t="s">
        <v>914</v>
      </c>
      <c r="B804" s="83" t="s">
        <v>3851</v>
      </c>
      <c r="C804" s="83" t="s">
        <v>164</v>
      </c>
      <c r="D804" s="112">
        <v>1179717.0</v>
      </c>
      <c r="E804" s="83">
        <v>1179434.0</v>
      </c>
      <c r="F804" s="98">
        <v>2.9483395E7</v>
      </c>
      <c r="G804" s="119" t="s">
        <v>3861</v>
      </c>
      <c r="H804" s="91" t="s">
        <v>3862</v>
      </c>
      <c r="I804" s="83" t="s">
        <v>3863</v>
      </c>
      <c r="J804" s="83" t="s">
        <v>331</v>
      </c>
      <c r="K804" s="83" t="s">
        <v>168</v>
      </c>
      <c r="L804" s="83" t="s">
        <v>169</v>
      </c>
      <c r="M804" s="82" t="str">
        <f>IFERROR(__xludf.DUMMYFUNCTION("IFERROR(VLOOKUP(D804,
IMPORTRANGE(""https://docs.google.com/spreadsheets/d/1MjHtlUikwobi2MaWJgy7tfLeBmhj1u-dRFRs_8GwSoA/edit#gid=0"",""Gestores Escolares!D7:J""),3,0),""VERIFICAR CÓD SEC"")"),"LUIZ ANTONIO SANTOS XAVIER")</f>
        <v>LUIZ ANTONIO SANTOS XAVIER</v>
      </c>
      <c r="N804" s="82" t="str">
        <f>IFERROR(__xludf.DUMMYFUNCTION("IFERROR(VLOOKUP(D804,
IMPORTRANGE(""https://docs.google.com/spreadsheets/d/1MjHtlUikwobi2MaWJgy7tfLeBmhj1u-dRFRs_8GwSoA/edit#gid=0"",""Gestores Escolares!D7:J""),4,0),""VERIFICAR CÓD SEC"")"),"(77) 9 9988-7783")</f>
        <v>(77) 9 9988-7783</v>
      </c>
      <c r="O804" s="82" t="str">
        <f>IFERROR(__xludf.DUMMYFUNCTION("IFERROR(VLOOKUP(D804,
IMPORTRANGE(""https://docs.google.com/spreadsheets/d/1MjHtlUikwobi2MaWJgy7tfLeBmhj1u-dRFRs_8GwSoA/edit#gid=0"",""Gestores Escolares!D7:J""),6,0),""VERIFICAR CÓD SEC"")"),"")</f>
        <v/>
      </c>
      <c r="P804" s="82" t="str">
        <f>IFERROR(__xludf.DUMMYFUNCTION("IFERROR(VLOOKUP(D804,
IMPORTRANGE(""https://docs.google.com/spreadsheets/d/1MjHtlUikwobi2MaWJgy7tfLeBmhj1u-dRFRs_8GwSoA/edit#gid=0"",""Gestores Escolares!D7:J""),7,0),""VERIFICAR CÓD SEC"")"),"")</f>
        <v/>
      </c>
      <c r="Q804" s="82" t="str">
        <f>IFERROR(__xludf.DUMMYFUNCTION("IFERROR(VLOOKUP(D804,
IMPORTRANGE(""https://docs.google.com/spreadsheets/d/1MjHtlUikwobi2MaWJgy7tfLeBmhj1u-dRFRs_8GwSoA/edit#gid=0"",""Gestores Escolares!D7:m""),9,0),""VERIFICAR CÓD SEC"")"),"")</f>
        <v/>
      </c>
      <c r="R804" s="82" t="str">
        <f>IFERROR(__xludf.DUMMYFUNCTION("IFERROR(VLOOKUP(D804,
IMPORTRANGE(""https://docs.google.com/spreadsheets/d/1MjHtlUikwobi2MaWJgy7tfLeBmhj1u-dRFRs_8GwSoA/edit#gid=0"",""Gestores Escolares!D7:m""),10,0),""VERIFICAR CÓD SEC"")"),"")</f>
        <v/>
      </c>
      <c r="S804" s="82"/>
      <c r="T804" s="138">
        <v>1.0</v>
      </c>
      <c r="U804" s="139">
        <v>3.0</v>
      </c>
      <c r="V804" s="106">
        <v>0.0</v>
      </c>
      <c r="W804" s="107">
        <v>0.0</v>
      </c>
      <c r="X804" s="107">
        <v>0.0</v>
      </c>
      <c r="Y804" s="107">
        <v>0.0</v>
      </c>
      <c r="Z804" s="80">
        <f t="shared" si="1"/>
        <v>0</v>
      </c>
      <c r="AA804" s="106">
        <v>0.0</v>
      </c>
      <c r="AB804" s="107">
        <v>0.0</v>
      </c>
      <c r="AC804" s="107">
        <v>0.0</v>
      </c>
      <c r="AD804" s="107">
        <v>0.0</v>
      </c>
      <c r="AE804" s="80">
        <f t="shared" si="2"/>
        <v>0</v>
      </c>
      <c r="AF804" s="140">
        <v>6.0</v>
      </c>
      <c r="AG804" s="109">
        <v>6.0</v>
      </c>
      <c r="AH804" s="109">
        <v>4.0</v>
      </c>
      <c r="AI804" s="141">
        <v>0.0</v>
      </c>
      <c r="AJ804" s="80">
        <f t="shared" si="3"/>
        <v>16</v>
      </c>
      <c r="AK804" s="140">
        <v>0.0</v>
      </c>
      <c r="AL804" s="109">
        <v>0.0</v>
      </c>
      <c r="AM804" s="141">
        <v>0.0</v>
      </c>
      <c r="AN804" s="80">
        <f t="shared" si="4"/>
        <v>0</v>
      </c>
      <c r="AO804" s="140">
        <v>0.0</v>
      </c>
      <c r="AP804" s="109">
        <v>0.0</v>
      </c>
      <c r="AQ804" s="109">
        <v>0.0</v>
      </c>
      <c r="AR804" s="80">
        <f t="shared" si="5"/>
        <v>0</v>
      </c>
      <c r="AS804" s="110">
        <v>0.0</v>
      </c>
      <c r="AT804" s="110">
        <v>0.0</v>
      </c>
      <c r="AU804" s="110">
        <v>0.0</v>
      </c>
      <c r="AV804" s="142">
        <v>0.0</v>
      </c>
      <c r="AW804" s="80">
        <f t="shared" si="6"/>
        <v>0</v>
      </c>
      <c r="AX804" s="113">
        <f t="shared" si="7"/>
        <v>16</v>
      </c>
      <c r="AY804" s="117">
        <f t="shared" si="8"/>
        <v>12</v>
      </c>
      <c r="AZ804" s="120">
        <f t="shared" si="9"/>
        <v>4</v>
      </c>
      <c r="BA804" s="115">
        <v>0.0</v>
      </c>
      <c r="BB804" s="89">
        <f t="shared" si="10"/>
        <v>16</v>
      </c>
      <c r="BC804" s="132" t="s">
        <v>373</v>
      </c>
      <c r="BD804" s="143" t="s">
        <v>227</v>
      </c>
      <c r="BE804" s="132" t="s">
        <v>178</v>
      </c>
      <c r="BF804" s="156"/>
      <c r="BG804" s="83">
        <v>1179434.0</v>
      </c>
      <c r="BH804" s="112"/>
      <c r="BI804" s="112">
        <v>3.0</v>
      </c>
      <c r="BJ804" s="98" t="s">
        <v>155</v>
      </c>
      <c r="BK804" s="99">
        <f t="shared" si="11"/>
        <v>0</v>
      </c>
      <c r="BL804" s="99">
        <f t="shared" si="12"/>
        <v>12</v>
      </c>
      <c r="BM804" s="99" t="str">
        <f>IFERROR(__xludf.DUMMYFUNCTION("IFERROR(VLOOKUP(BG804,IMPORTRANGE(""https://docs.google.com/spreadsheets/d/1juPI-Fb8LD0YtltB2mlGEnp_R3UVu1t3wSFPzgCyHXE/edit?gid=0#gid=0"",""GERAL!A2:C""),3,0),""-"")"),"CAMPO")</f>
        <v>CAMPO</v>
      </c>
    </row>
    <row r="805" ht="15.75" customHeight="1">
      <c r="A805" s="111" t="s">
        <v>914</v>
      </c>
      <c r="B805" s="83" t="s">
        <v>3851</v>
      </c>
      <c r="C805" s="83" t="s">
        <v>164</v>
      </c>
      <c r="D805" s="112">
        <v>1179717.0</v>
      </c>
      <c r="E805" s="83">
        <v>1179153.0</v>
      </c>
      <c r="F805" s="98">
        <v>2.9483395E7</v>
      </c>
      <c r="G805" s="119" t="s">
        <v>3864</v>
      </c>
      <c r="H805" s="91" t="s">
        <v>3865</v>
      </c>
      <c r="I805" s="83" t="s">
        <v>149</v>
      </c>
      <c r="J805" s="83" t="s">
        <v>183</v>
      </c>
      <c r="K805" s="83" t="s">
        <v>168</v>
      </c>
      <c r="L805" s="83" t="s">
        <v>169</v>
      </c>
      <c r="M805" s="82" t="str">
        <f>IFERROR(__xludf.DUMMYFUNCTION("IFERROR(VLOOKUP(D805,
IMPORTRANGE(""https://docs.google.com/spreadsheets/d/1MjHtlUikwobi2MaWJgy7tfLeBmhj1u-dRFRs_8GwSoA/edit#gid=0"",""Gestores Escolares!D7:J""),3,0),""VERIFICAR CÓD SEC"")"),"LUIZ ANTONIO SANTOS XAVIER")</f>
        <v>LUIZ ANTONIO SANTOS XAVIER</v>
      </c>
      <c r="N805" s="82" t="str">
        <f>IFERROR(__xludf.DUMMYFUNCTION("IFERROR(VLOOKUP(D805,
IMPORTRANGE(""https://docs.google.com/spreadsheets/d/1MjHtlUikwobi2MaWJgy7tfLeBmhj1u-dRFRs_8GwSoA/edit#gid=0"",""Gestores Escolares!D7:J""),4,0),""VERIFICAR CÓD SEC"")"),"(77) 9 9988-7783")</f>
        <v>(77) 9 9988-7783</v>
      </c>
      <c r="O805" s="82" t="str">
        <f>IFERROR(__xludf.DUMMYFUNCTION("IFERROR(VLOOKUP(D805,
IMPORTRANGE(""https://docs.google.com/spreadsheets/d/1MjHtlUikwobi2MaWJgy7tfLeBmhj1u-dRFRs_8GwSoA/edit#gid=0"",""Gestores Escolares!D7:J""),6,0),""VERIFICAR CÓD SEC"")"),"")</f>
        <v/>
      </c>
      <c r="P805" s="82" t="str">
        <f>IFERROR(__xludf.DUMMYFUNCTION("IFERROR(VLOOKUP(D805,
IMPORTRANGE(""https://docs.google.com/spreadsheets/d/1MjHtlUikwobi2MaWJgy7tfLeBmhj1u-dRFRs_8GwSoA/edit#gid=0"",""Gestores Escolares!D7:J""),7,0),""VERIFICAR CÓD SEC"")"),"")</f>
        <v/>
      </c>
      <c r="Q805" s="82" t="str">
        <f>IFERROR(__xludf.DUMMYFUNCTION("IFERROR(VLOOKUP(D805,
IMPORTRANGE(""https://docs.google.com/spreadsheets/d/1MjHtlUikwobi2MaWJgy7tfLeBmhj1u-dRFRs_8GwSoA/edit#gid=0"",""Gestores Escolares!D7:m""),9,0),""VERIFICAR CÓD SEC"")"),"")</f>
        <v/>
      </c>
      <c r="R805" s="82" t="str">
        <f>IFERROR(__xludf.DUMMYFUNCTION("IFERROR(VLOOKUP(D805,
IMPORTRANGE(""https://docs.google.com/spreadsheets/d/1MjHtlUikwobi2MaWJgy7tfLeBmhj1u-dRFRs_8GwSoA/edit#gid=0"",""Gestores Escolares!D7:m""),10,0),""VERIFICAR CÓD SEC"")"),"")</f>
        <v/>
      </c>
      <c r="S805" s="82"/>
      <c r="T805" s="138">
        <v>3.0</v>
      </c>
      <c r="U805" s="139">
        <v>3.0</v>
      </c>
      <c r="V805" s="106">
        <v>0.0</v>
      </c>
      <c r="W805" s="107">
        <v>0.0</v>
      </c>
      <c r="X805" s="107">
        <v>0.0</v>
      </c>
      <c r="Y805" s="107">
        <v>0.0</v>
      </c>
      <c r="Z805" s="80">
        <f t="shared" si="1"/>
        <v>0</v>
      </c>
      <c r="AA805" s="106">
        <v>0.0</v>
      </c>
      <c r="AB805" s="107">
        <v>0.0</v>
      </c>
      <c r="AC805" s="107">
        <v>0.0</v>
      </c>
      <c r="AD805" s="107">
        <v>0.0</v>
      </c>
      <c r="AE805" s="80">
        <f t="shared" si="2"/>
        <v>0</v>
      </c>
      <c r="AF805" s="140">
        <v>0.0</v>
      </c>
      <c r="AG805" s="109">
        <v>0.0</v>
      </c>
      <c r="AH805" s="109">
        <v>40.0</v>
      </c>
      <c r="AI805" s="141">
        <v>0.0</v>
      </c>
      <c r="AJ805" s="80">
        <f t="shared" si="3"/>
        <v>40</v>
      </c>
      <c r="AK805" s="140">
        <v>0.0</v>
      </c>
      <c r="AL805" s="109">
        <v>0.0</v>
      </c>
      <c r="AM805" s="141">
        <v>0.0</v>
      </c>
      <c r="AN805" s="80">
        <f t="shared" si="4"/>
        <v>0</v>
      </c>
      <c r="AO805" s="140">
        <v>0.0</v>
      </c>
      <c r="AP805" s="109">
        <v>0.0</v>
      </c>
      <c r="AQ805" s="109">
        <v>0.0</v>
      </c>
      <c r="AR805" s="80">
        <f t="shared" si="5"/>
        <v>0</v>
      </c>
      <c r="AS805" s="110">
        <v>0.0</v>
      </c>
      <c r="AT805" s="110">
        <v>0.0</v>
      </c>
      <c r="AU805" s="110">
        <v>0.0</v>
      </c>
      <c r="AV805" s="142">
        <v>0.0</v>
      </c>
      <c r="AW805" s="80">
        <f t="shared" si="6"/>
        <v>0</v>
      </c>
      <c r="AX805" s="113">
        <f t="shared" si="7"/>
        <v>40</v>
      </c>
      <c r="AY805" s="117">
        <f t="shared" si="8"/>
        <v>0</v>
      </c>
      <c r="AZ805" s="120">
        <f t="shared" si="9"/>
        <v>40</v>
      </c>
      <c r="BA805" s="115">
        <v>0.0</v>
      </c>
      <c r="BB805" s="89">
        <f t="shared" si="10"/>
        <v>40</v>
      </c>
      <c r="BC805" s="132" t="s">
        <v>373</v>
      </c>
      <c r="BD805" s="132" t="s">
        <v>178</v>
      </c>
      <c r="BE805" s="132" t="s">
        <v>178</v>
      </c>
      <c r="BF805" s="156"/>
      <c r="BG805" s="83">
        <v>1179153.0</v>
      </c>
      <c r="BH805" s="112"/>
      <c r="BI805" s="112">
        <v>3.0</v>
      </c>
      <c r="BJ805" s="98" t="s">
        <v>155</v>
      </c>
      <c r="BK805" s="99">
        <f t="shared" si="11"/>
        <v>0</v>
      </c>
      <c r="BL805" s="99">
        <f t="shared" si="12"/>
        <v>0</v>
      </c>
      <c r="BM805" s="99" t="str">
        <f>IFERROR(__xludf.DUMMYFUNCTION("IFERROR(VLOOKUP(BG805,IMPORTRANGE(""https://docs.google.com/spreadsheets/d/1juPI-Fb8LD0YtltB2mlGEnp_R3UVu1t3wSFPzgCyHXE/edit?gid=0#gid=0"",""GERAL!A2:C""),3,0),""-"")"),"CAMPO")</f>
        <v>CAMPO</v>
      </c>
    </row>
    <row r="806" ht="15.75" customHeight="1">
      <c r="A806" s="111" t="s">
        <v>914</v>
      </c>
      <c r="B806" s="83" t="s">
        <v>3866</v>
      </c>
      <c r="C806" s="83" t="s">
        <v>45</v>
      </c>
      <c r="D806" s="112">
        <v>1178392.0</v>
      </c>
      <c r="E806" s="83"/>
      <c r="F806" s="83">
        <v>2.9397723E7</v>
      </c>
      <c r="G806" s="114" t="s">
        <v>3867</v>
      </c>
      <c r="H806" s="91" t="s">
        <v>3868</v>
      </c>
      <c r="I806" s="83" t="s">
        <v>149</v>
      </c>
      <c r="J806" s="115" t="s">
        <v>150</v>
      </c>
      <c r="K806" s="83" t="s">
        <v>171</v>
      </c>
      <c r="L806" s="83" t="s">
        <v>169</v>
      </c>
      <c r="M806" s="82" t="str">
        <f>IFERROR(__xludf.DUMMYFUNCTION("IFERROR(VLOOKUP(D806,
IMPORTRANGE(""https://docs.google.com/spreadsheets/d/1MjHtlUikwobi2MaWJgy7tfLeBmhj1u-dRFRs_8GwSoA/edit#gid=0"",""Gestores Escolares!D7:J""),3,0),""VERIFICAR CÓD SEC"")"),"JOCASTA FERNANDES MAGALHÃES")</f>
        <v>JOCASTA FERNANDES MAGALHÃES</v>
      </c>
      <c r="N806" s="82" t="str">
        <f>IFERROR(__xludf.DUMMYFUNCTION("IFERROR(VLOOKUP(D806,
IMPORTRANGE(""https://docs.google.com/spreadsheets/d/1MjHtlUikwobi2MaWJgy7tfLeBmhj1u-dRFRs_8GwSoA/edit#gid=0"",""Gestores Escolares!D7:J""),4,0),""VERIFICAR CÓD SEC"")"),"(19) 9 8721-4077")</f>
        <v>(19) 9 8721-4077</v>
      </c>
      <c r="O806" s="82" t="str">
        <f>IFERROR(__xludf.DUMMYFUNCTION("IFERROR(VLOOKUP(D806,
IMPORTRANGE(""https://docs.google.com/spreadsheets/d/1MjHtlUikwobi2MaWJgy7tfLeBmhj1u-dRFRs_8GwSoA/edit#gid=0"",""Gestores Escolares!D7:J""),6,0),""VERIFICAR CÓD SEC"")"),"")</f>
        <v/>
      </c>
      <c r="P806" s="82" t="str">
        <f>IFERROR(__xludf.DUMMYFUNCTION("IFERROR(VLOOKUP(D806,
IMPORTRANGE(""https://docs.google.com/spreadsheets/d/1MjHtlUikwobi2MaWJgy7tfLeBmhj1u-dRFRs_8GwSoA/edit#gid=0"",""Gestores Escolares!D7:J""),7,0),""VERIFICAR CÓD SEC"")"),"")</f>
        <v/>
      </c>
      <c r="Q806" s="82" t="str">
        <f>IFERROR(__xludf.DUMMYFUNCTION("IFERROR(VLOOKUP(D806,
IMPORTRANGE(""https://docs.google.com/spreadsheets/d/1MjHtlUikwobi2MaWJgy7tfLeBmhj1u-dRFRs_8GwSoA/edit#gid=0"",""Gestores Escolares!D7:m""),9,0),""VERIFICAR CÓD SEC"")"),"")</f>
        <v/>
      </c>
      <c r="R806" s="82" t="str">
        <f>IFERROR(__xludf.DUMMYFUNCTION("IFERROR(VLOOKUP(D806,
IMPORTRANGE(""https://docs.google.com/spreadsheets/d/1MjHtlUikwobi2MaWJgy7tfLeBmhj1u-dRFRs_8GwSoA/edit#gid=0"",""Gestores Escolares!D7:m""),10,0),""VERIFICAR CÓD SEC"")"),"")</f>
        <v/>
      </c>
      <c r="S806" s="82"/>
      <c r="T806" s="138">
        <v>7.0</v>
      </c>
      <c r="U806" s="145">
        <v>4.0</v>
      </c>
      <c r="V806" s="106">
        <v>0.0</v>
      </c>
      <c r="W806" s="107">
        <v>0.0</v>
      </c>
      <c r="X806" s="107">
        <v>0.0</v>
      </c>
      <c r="Y806" s="107">
        <v>0.0</v>
      </c>
      <c r="Z806" s="80">
        <f t="shared" si="1"/>
        <v>0</v>
      </c>
      <c r="AA806" s="106">
        <v>0.0</v>
      </c>
      <c r="AB806" s="107">
        <v>0.0</v>
      </c>
      <c r="AC806" s="107">
        <v>0.0</v>
      </c>
      <c r="AD806" s="107">
        <v>43.0</v>
      </c>
      <c r="AE806" s="80">
        <f t="shared" si="2"/>
        <v>43</v>
      </c>
      <c r="AF806" s="225">
        <v>0.0</v>
      </c>
      <c r="AG806" s="226">
        <v>0.0</v>
      </c>
      <c r="AH806" s="226">
        <v>0.0</v>
      </c>
      <c r="AI806" s="227">
        <v>109.0</v>
      </c>
      <c r="AJ806" s="80">
        <f t="shared" si="3"/>
        <v>109</v>
      </c>
      <c r="AK806" s="140">
        <v>0.0</v>
      </c>
      <c r="AL806" s="109">
        <v>0.0</v>
      </c>
      <c r="AM806" s="141">
        <v>0.0</v>
      </c>
      <c r="AN806" s="80">
        <f t="shared" si="4"/>
        <v>0</v>
      </c>
      <c r="AO806" s="225">
        <v>0.0</v>
      </c>
      <c r="AP806" s="226">
        <v>0.0</v>
      </c>
      <c r="AQ806" s="226">
        <v>0.0</v>
      </c>
      <c r="AR806" s="80">
        <f t="shared" si="5"/>
        <v>0</v>
      </c>
      <c r="AS806" s="110">
        <v>0.0</v>
      </c>
      <c r="AT806" s="110">
        <v>0.0</v>
      </c>
      <c r="AU806" s="110">
        <v>0.0</v>
      </c>
      <c r="AV806" s="142">
        <v>0.0</v>
      </c>
      <c r="AW806" s="80">
        <f t="shared" si="6"/>
        <v>0</v>
      </c>
      <c r="AX806" s="113">
        <f t="shared" si="7"/>
        <v>152</v>
      </c>
      <c r="AY806" s="117">
        <f t="shared" si="8"/>
        <v>152</v>
      </c>
      <c r="AZ806" s="120">
        <f t="shared" si="9"/>
        <v>0</v>
      </c>
      <c r="BA806" s="115">
        <v>0.0</v>
      </c>
      <c r="BB806" s="89">
        <f t="shared" si="10"/>
        <v>152</v>
      </c>
      <c r="BC806" s="132" t="s">
        <v>178</v>
      </c>
      <c r="BD806" s="132" t="s">
        <v>178</v>
      </c>
      <c r="BE806" s="132" t="s">
        <v>178</v>
      </c>
      <c r="BF806" s="123"/>
      <c r="BG806" s="83">
        <v>1178392.0</v>
      </c>
      <c r="BH806" s="112"/>
      <c r="BI806" s="112">
        <v>7.0</v>
      </c>
      <c r="BJ806" s="98" t="s">
        <v>155</v>
      </c>
      <c r="BK806" s="99">
        <f t="shared" si="11"/>
        <v>152</v>
      </c>
      <c r="BL806" s="99">
        <f t="shared" si="12"/>
        <v>0</v>
      </c>
      <c r="BM806" s="99" t="str">
        <f>IFERROR(__xludf.DUMMYFUNCTION("IFERROR(VLOOKUP(BG806,IMPORTRANGE(""https://docs.google.com/spreadsheets/d/1juPI-Fb8LD0YtltB2mlGEnp_R3UVu1t3wSFPzgCyHXE/edit?gid=0#gid=0"",""GERAL!A2:C""),3,0),""-"")"),"EFA")</f>
        <v>EFA</v>
      </c>
    </row>
    <row r="807" ht="15.75" customHeight="1">
      <c r="A807" s="111" t="s">
        <v>914</v>
      </c>
      <c r="B807" s="136" t="s">
        <v>3866</v>
      </c>
      <c r="C807" s="83" t="s">
        <v>68</v>
      </c>
      <c r="D807" s="112">
        <v>1176458.0</v>
      </c>
      <c r="E807" s="83"/>
      <c r="F807" s="83">
        <v>2.9384389E7</v>
      </c>
      <c r="G807" s="147" t="s">
        <v>11374</v>
      </c>
      <c r="H807" s="91" t="s">
        <v>3871</v>
      </c>
      <c r="I807" s="83" t="s">
        <v>149</v>
      </c>
      <c r="J807" s="83" t="s">
        <v>150</v>
      </c>
      <c r="K807" s="83" t="s">
        <v>151</v>
      </c>
      <c r="L807" s="83" t="s">
        <v>152</v>
      </c>
      <c r="M807" s="82" t="str">
        <f>IFERROR(__xludf.DUMMYFUNCTION("IFERROR(VLOOKUP(D807,
IMPORTRANGE(""https://docs.google.com/spreadsheets/d/1MjHtlUikwobi2MaWJgy7tfLeBmhj1u-dRFRs_8GwSoA/edit#gid=0"",""Gestores Escolares!D7:J""),3,0),""VERIFICAR CÓD SEC"")"),"ALENE BONFIM QUEIROZ RIBEIRO")</f>
        <v>ALENE BONFIM QUEIROZ RIBEIRO</v>
      </c>
      <c r="N807" s="82" t="str">
        <f>IFERROR(__xludf.DUMMYFUNCTION("IFERROR(VLOOKUP(D807,
IMPORTRANGE(""https://docs.google.com/spreadsheets/d/1MjHtlUikwobi2MaWJgy7tfLeBmhj1u-dRFRs_8GwSoA/edit#gid=0"",""Gestores Escolares!D7:J""),4,0),""VERIFICAR CÓD SEC"")"),"(77) 9 9112-9361")</f>
        <v>(77) 9 9112-9361</v>
      </c>
      <c r="O807" s="82" t="str">
        <f>IFERROR(__xludf.DUMMYFUNCTION("IFERROR(VLOOKUP(D807,
IMPORTRANGE(""https://docs.google.com/spreadsheets/d/1MjHtlUikwobi2MaWJgy7tfLeBmhj1u-dRFRs_8GwSoA/edit#gid=0"",""Gestores Escolares!D7:J""),6,0),""VERIFICAR CÓD SEC"")"),"TATIANE NUNES LOIOLA VIEIRA")</f>
        <v>TATIANE NUNES LOIOLA VIEIRA</v>
      </c>
      <c r="P807" s="82" t="str">
        <f>IFERROR(__xludf.DUMMYFUNCTION("IFERROR(VLOOKUP(D807,
IMPORTRANGE(""https://docs.google.com/spreadsheets/d/1MjHtlUikwobi2MaWJgy7tfLeBmhj1u-dRFRs_8GwSoA/edit#gid=0"",""Gestores Escolares!D7:J""),7,0),""VERIFICAR CÓD SEC"")"),"(77) 9 9141-2232")</f>
        <v>(77) 9 9141-2232</v>
      </c>
      <c r="Q807" s="82" t="str">
        <f>IFERROR(__xludf.DUMMYFUNCTION("IFERROR(VLOOKUP(D807,
IMPORTRANGE(""https://docs.google.com/spreadsheets/d/1MjHtlUikwobi2MaWJgy7tfLeBmhj1u-dRFRs_8GwSoA/edit#gid=0"",""Gestores Escolares!D7:m""),9,0),""VERIFICAR CÓD SEC"")"),"JOSE APARECIDO FERREIRA DE ALMEIDA")</f>
        <v>JOSE APARECIDO FERREIRA DE ALMEIDA</v>
      </c>
      <c r="R807" s="82" t="str">
        <f>IFERROR(__xludf.DUMMYFUNCTION("IFERROR(VLOOKUP(D807,
IMPORTRANGE(""https://docs.google.com/spreadsheets/d/1MjHtlUikwobi2MaWJgy7tfLeBmhj1u-dRFRs_8GwSoA/edit#gid=0"",""Gestores Escolares!D7:m""),10,0),""VERIFICAR CÓD SEC"")"),"(77) 9 9113-4228")</f>
        <v>(77) 9 9113-4228</v>
      </c>
      <c r="S807" s="82"/>
      <c r="T807" s="138">
        <v>10.0</v>
      </c>
      <c r="U807" s="139">
        <v>10.0</v>
      </c>
      <c r="V807" s="106">
        <v>0.0</v>
      </c>
      <c r="W807" s="107">
        <v>0.0</v>
      </c>
      <c r="X807" s="107">
        <v>0.0</v>
      </c>
      <c r="Y807" s="107">
        <v>0.0</v>
      </c>
      <c r="Z807" s="80">
        <f t="shared" si="1"/>
        <v>0</v>
      </c>
      <c r="AA807" s="106">
        <v>0.0</v>
      </c>
      <c r="AB807" s="107">
        <v>0.0</v>
      </c>
      <c r="AC807" s="107">
        <v>0.0</v>
      </c>
      <c r="AD807" s="107">
        <v>0.0</v>
      </c>
      <c r="AE807" s="80">
        <f t="shared" si="2"/>
        <v>0</v>
      </c>
      <c r="AF807" s="140">
        <v>0.0</v>
      </c>
      <c r="AG807" s="109">
        <v>0.0</v>
      </c>
      <c r="AH807" s="109">
        <v>0.0</v>
      </c>
      <c r="AI807" s="141">
        <v>251.0</v>
      </c>
      <c r="AJ807" s="80">
        <f t="shared" si="3"/>
        <v>251</v>
      </c>
      <c r="AK807" s="140">
        <v>0.0</v>
      </c>
      <c r="AL807" s="109">
        <v>0.0</v>
      </c>
      <c r="AM807" s="141">
        <v>0.0</v>
      </c>
      <c r="AN807" s="80">
        <f t="shared" si="4"/>
        <v>0</v>
      </c>
      <c r="AO807" s="140">
        <v>0.0</v>
      </c>
      <c r="AP807" s="109">
        <v>0.0</v>
      </c>
      <c r="AQ807" s="109">
        <v>85.0</v>
      </c>
      <c r="AR807" s="80">
        <f t="shared" si="5"/>
        <v>85</v>
      </c>
      <c r="AS807" s="110">
        <v>0.0</v>
      </c>
      <c r="AT807" s="110">
        <v>0.0</v>
      </c>
      <c r="AU807" s="110">
        <v>0.0</v>
      </c>
      <c r="AV807" s="142">
        <v>29.0</v>
      </c>
      <c r="AW807" s="80">
        <f t="shared" si="6"/>
        <v>29</v>
      </c>
      <c r="AX807" s="113">
        <f t="shared" si="7"/>
        <v>365</v>
      </c>
      <c r="AY807" s="117">
        <f t="shared" si="8"/>
        <v>280</v>
      </c>
      <c r="AZ807" s="120">
        <f t="shared" si="9"/>
        <v>85</v>
      </c>
      <c r="BA807" s="115">
        <v>0.0</v>
      </c>
      <c r="BB807" s="89">
        <f t="shared" si="10"/>
        <v>365</v>
      </c>
      <c r="BC807" s="132" t="s">
        <v>373</v>
      </c>
      <c r="BD807" s="132" t="s">
        <v>178</v>
      </c>
      <c r="BE807" s="132" t="s">
        <v>178</v>
      </c>
      <c r="BF807" s="156"/>
      <c r="BG807" s="83">
        <v>1176458.0</v>
      </c>
      <c r="BH807" s="112"/>
      <c r="BI807" s="112">
        <v>10.0</v>
      </c>
      <c r="BJ807" s="98" t="s">
        <v>284</v>
      </c>
      <c r="BK807" s="99">
        <f t="shared" si="11"/>
        <v>280</v>
      </c>
      <c r="BL807" s="99">
        <f t="shared" si="12"/>
        <v>0</v>
      </c>
      <c r="BM807" s="99" t="str">
        <f>IFERROR(__xludf.DUMMYFUNCTION("IFERROR(VLOOKUP(BG807,IMPORTRANGE(""https://docs.google.com/spreadsheets/d/1juPI-Fb8LD0YtltB2mlGEnp_R3UVu1t3wSFPzgCyHXE/edit?gid=0#gid=0"",""GERAL!A2:C""),3,0),""-"")"),"CAMPO")</f>
        <v>CAMPO</v>
      </c>
    </row>
    <row r="808" ht="15.75" customHeight="1">
      <c r="A808" s="111" t="s">
        <v>914</v>
      </c>
      <c r="B808" s="83" t="s">
        <v>3873</v>
      </c>
      <c r="C808" s="83" t="s">
        <v>68</v>
      </c>
      <c r="D808" s="112">
        <v>1167709.0</v>
      </c>
      <c r="E808" s="83"/>
      <c r="F808" s="83">
        <v>2.9205387E7</v>
      </c>
      <c r="G808" s="119" t="s">
        <v>3874</v>
      </c>
      <c r="H808" s="91" t="s">
        <v>3875</v>
      </c>
      <c r="I808" s="136" t="s">
        <v>149</v>
      </c>
      <c r="J808" s="83" t="s">
        <v>150</v>
      </c>
      <c r="K808" s="83" t="s">
        <v>151</v>
      </c>
      <c r="L808" s="83" t="s">
        <v>3876</v>
      </c>
      <c r="M808" s="82" t="str">
        <f>IFERROR(__xludf.DUMMYFUNCTION("IFERROR(VLOOKUP(D808,
IMPORTRANGE(""https://docs.google.com/spreadsheets/d/1MjHtlUikwobi2MaWJgy7tfLeBmhj1u-dRFRs_8GwSoA/edit#gid=0"",""Gestores Escolares!D7:J""),3,0),""VERIFICAR CÓD SEC"")"),"LUCIENE BATISTA COSTA CARDOSO")</f>
        <v>LUCIENE BATISTA COSTA CARDOSO</v>
      </c>
      <c r="N808" s="82" t="str">
        <f>IFERROR(__xludf.DUMMYFUNCTION("IFERROR(VLOOKUP(D808,
IMPORTRANGE(""https://docs.google.com/spreadsheets/d/1MjHtlUikwobi2MaWJgy7tfLeBmhj1u-dRFRs_8GwSoA/edit#gid=0"",""Gestores Escolares!D7:J""),4,0),""VERIFICAR CÓD SEC"")")," (77) 9 9196-7671")</f>
        <v> (77) 9 9196-7671</v>
      </c>
      <c r="O808" s="82" t="str">
        <f>IFERROR(__xludf.DUMMYFUNCTION("IFERROR(VLOOKUP(D808,
IMPORTRANGE(""https://docs.google.com/spreadsheets/d/1MjHtlUikwobi2MaWJgy7tfLeBmhj1u-dRFRs_8GwSoA/edit#gid=0"",""Gestores Escolares!D7:J""),6,0),""VERIFICAR CÓD SEC"")"),"JOSIMAURA DE OLIVEIRA PEREIRA")</f>
        <v>JOSIMAURA DE OLIVEIRA PEREIRA</v>
      </c>
      <c r="P808" s="82" t="str">
        <f>IFERROR(__xludf.DUMMYFUNCTION("IFERROR(VLOOKUP(D808,
IMPORTRANGE(""https://docs.google.com/spreadsheets/d/1MjHtlUikwobi2MaWJgy7tfLeBmhj1u-dRFRs_8GwSoA/edit#gid=0"",""Gestores Escolares!D7:J""),7,0),""VERIFICAR CÓD SEC"")"),"(77) 9 9900-5893")</f>
        <v>(77) 9 9900-5893</v>
      </c>
      <c r="Q808" s="82" t="str">
        <f>IFERROR(__xludf.DUMMYFUNCTION("IFERROR(VLOOKUP(D808,
IMPORTRANGE(""https://docs.google.com/spreadsheets/d/1MjHtlUikwobi2MaWJgy7tfLeBmhj1u-dRFRs_8GwSoA/edit#gid=0"",""Gestores Escolares!D7:m""),9,0),""VERIFICAR CÓD SEC"")"),"")</f>
        <v/>
      </c>
      <c r="R808" s="82" t="str">
        <f>IFERROR(__xludf.DUMMYFUNCTION("IFERROR(VLOOKUP(D808,
IMPORTRANGE(""https://docs.google.com/spreadsheets/d/1MjHtlUikwobi2MaWJgy7tfLeBmhj1u-dRFRs_8GwSoA/edit#gid=0"",""Gestores Escolares!D7:m""),10,0),""VERIFICAR CÓD SEC"")"),"")</f>
        <v/>
      </c>
      <c r="S808" s="82"/>
      <c r="T808" s="138">
        <v>8.0</v>
      </c>
      <c r="U808" s="145" t="s">
        <v>11392</v>
      </c>
      <c r="V808" s="106">
        <v>0.0</v>
      </c>
      <c r="W808" s="107">
        <v>0.0</v>
      </c>
      <c r="X808" s="107">
        <v>0.0</v>
      </c>
      <c r="Y808" s="107">
        <v>0.0</v>
      </c>
      <c r="Z808" s="80">
        <f t="shared" si="1"/>
        <v>0</v>
      </c>
      <c r="AA808" s="106">
        <v>0.0</v>
      </c>
      <c r="AB808" s="107">
        <v>0.0</v>
      </c>
      <c r="AC808" s="107">
        <v>0.0</v>
      </c>
      <c r="AD808" s="107">
        <v>0.0</v>
      </c>
      <c r="AE808" s="80">
        <f t="shared" si="2"/>
        <v>0</v>
      </c>
      <c r="AF808" s="222">
        <v>0.0</v>
      </c>
      <c r="AG808" s="222">
        <v>0.0</v>
      </c>
      <c r="AH808" s="222">
        <v>0.0</v>
      </c>
      <c r="AI808" s="224">
        <v>161.0</v>
      </c>
      <c r="AJ808" s="80">
        <f t="shared" si="3"/>
        <v>161</v>
      </c>
      <c r="AK808" s="140">
        <v>0.0</v>
      </c>
      <c r="AL808" s="109">
        <v>0.0</v>
      </c>
      <c r="AM808" s="141">
        <v>0.0</v>
      </c>
      <c r="AN808" s="80">
        <f t="shared" si="4"/>
        <v>0</v>
      </c>
      <c r="AO808" s="222">
        <v>0.0</v>
      </c>
      <c r="AP808" s="222">
        <v>0.0</v>
      </c>
      <c r="AQ808" s="224">
        <v>37.0</v>
      </c>
      <c r="AR808" s="80">
        <f t="shared" si="5"/>
        <v>37</v>
      </c>
      <c r="AS808" s="110">
        <v>0.0</v>
      </c>
      <c r="AT808" s="110">
        <v>0.0</v>
      </c>
      <c r="AU808" s="110">
        <v>0.0</v>
      </c>
      <c r="AV808" s="142">
        <v>28.0</v>
      </c>
      <c r="AW808" s="80">
        <f t="shared" si="6"/>
        <v>28</v>
      </c>
      <c r="AX808" s="113">
        <f t="shared" si="7"/>
        <v>226</v>
      </c>
      <c r="AY808" s="117">
        <f t="shared" si="8"/>
        <v>189</v>
      </c>
      <c r="AZ808" s="120">
        <f t="shared" si="9"/>
        <v>37</v>
      </c>
      <c r="BA808" s="115">
        <v>0.0</v>
      </c>
      <c r="BB808" s="89">
        <f t="shared" si="10"/>
        <v>226</v>
      </c>
      <c r="BC808" s="132" t="s">
        <v>178</v>
      </c>
      <c r="BD808" s="132" t="s">
        <v>178</v>
      </c>
      <c r="BE808" s="132" t="s">
        <v>178</v>
      </c>
      <c r="BF808" s="156"/>
      <c r="BG808" s="83">
        <v>1167709.0</v>
      </c>
      <c r="BH808" s="112"/>
      <c r="BI808" s="112">
        <v>8.0</v>
      </c>
      <c r="BJ808" s="98" t="s">
        <v>155</v>
      </c>
      <c r="BK808" s="99">
        <f t="shared" si="11"/>
        <v>189</v>
      </c>
      <c r="BL808" s="99">
        <f t="shared" si="12"/>
        <v>0</v>
      </c>
      <c r="BM808" s="99" t="str">
        <f>IFERROR(__xludf.DUMMYFUNCTION("IFERROR(VLOOKUP(BG808,IMPORTRANGE(""https://docs.google.com/spreadsheets/d/1juPI-Fb8LD0YtltB2mlGEnp_R3UVu1t3wSFPzgCyHXE/edit?gid=0#gid=0"",""GERAL!A2:C""),3,0),""-"")"),"-")</f>
        <v>-</v>
      </c>
    </row>
    <row r="809" ht="15.75" customHeight="1">
      <c r="A809" s="111" t="s">
        <v>914</v>
      </c>
      <c r="B809" s="83" t="s">
        <v>3878</v>
      </c>
      <c r="C809" s="83" t="s">
        <v>68</v>
      </c>
      <c r="D809" s="112">
        <v>1165056.0</v>
      </c>
      <c r="E809" s="83"/>
      <c r="F809" s="83">
        <v>2.9236606E7</v>
      </c>
      <c r="G809" s="147" t="s">
        <v>3884</v>
      </c>
      <c r="H809" s="108" t="s">
        <v>3885</v>
      </c>
      <c r="I809" s="136" t="s">
        <v>149</v>
      </c>
      <c r="J809" s="83" t="s">
        <v>150</v>
      </c>
      <c r="K809" s="83" t="s">
        <v>151</v>
      </c>
      <c r="L809" s="83" t="s">
        <v>76</v>
      </c>
      <c r="M809" s="82" t="str">
        <f>IFERROR(__xludf.DUMMYFUNCTION("IFERROR(VLOOKUP(D809,
IMPORTRANGE(""https://docs.google.com/spreadsheets/d/1MjHtlUikwobi2MaWJgy7tfLeBmhj1u-dRFRs_8GwSoA/edit#gid=0"",""Gestores Escolares!D7:J""),3,0),""VERIFICAR CÓD SEC"")"),"ELIZANGELA APARECIDA ROCHA GUIMARAES AMARAL")</f>
        <v>ELIZANGELA APARECIDA ROCHA GUIMARAES AMARAL</v>
      </c>
      <c r="N809" s="82" t="str">
        <f>IFERROR(__xludf.DUMMYFUNCTION("IFERROR(VLOOKUP(D809,
IMPORTRANGE(""https://docs.google.com/spreadsheets/d/1MjHtlUikwobi2MaWJgy7tfLeBmhj1u-dRFRs_8GwSoA/edit#gid=0"",""Gestores Escolares!D7:J""),4,0),""VERIFICAR CÓD SEC"")"),"(77) 9 9901-9024")</f>
        <v>(77) 9 9901-9024</v>
      </c>
      <c r="O809" s="82" t="str">
        <f>IFERROR(__xludf.DUMMYFUNCTION("IFERROR(VLOOKUP(D809,
IMPORTRANGE(""https://docs.google.com/spreadsheets/d/1MjHtlUikwobi2MaWJgy7tfLeBmhj1u-dRFRs_8GwSoA/edit#gid=0"",""Gestores Escolares!D7:J""),6,0),""VERIFICAR CÓD SEC"")"),"ANDRE RODRIGUES DA SILVA")</f>
        <v>ANDRE RODRIGUES DA SILVA</v>
      </c>
      <c r="P809" s="82" t="str">
        <f>IFERROR(__xludf.DUMMYFUNCTION("IFERROR(VLOOKUP(D809,
IMPORTRANGE(""https://docs.google.com/spreadsheets/d/1MjHtlUikwobi2MaWJgy7tfLeBmhj1u-dRFRs_8GwSoA/edit#gid=0"",""Gestores Escolares!D7:J""),7,0),""VERIFICAR CÓD SEC"")"),"(77) 9 9108-5474")</f>
        <v>(77) 9 9108-5474</v>
      </c>
      <c r="Q809" s="82" t="str">
        <f>IFERROR(__xludf.DUMMYFUNCTION("IFERROR(VLOOKUP(D809,
IMPORTRANGE(""https://docs.google.com/spreadsheets/d/1MjHtlUikwobi2MaWJgy7tfLeBmhj1u-dRFRs_8GwSoA/edit#gid=0"",""Gestores Escolares!D7:m""),9,0),""VERIFICAR CÓD SEC"")"),"")</f>
        <v/>
      </c>
      <c r="R809" s="82" t="str">
        <f>IFERROR(__xludf.DUMMYFUNCTION("IFERROR(VLOOKUP(D809,
IMPORTRANGE(""https://docs.google.com/spreadsheets/d/1MjHtlUikwobi2MaWJgy7tfLeBmhj1u-dRFRs_8GwSoA/edit#gid=0"",""Gestores Escolares!D7:m""),10,0),""VERIFICAR CÓD SEC"")"),"")</f>
        <v/>
      </c>
      <c r="S809" s="82"/>
      <c r="T809" s="138">
        <v>7.0</v>
      </c>
      <c r="U809" s="145" t="s">
        <v>11406</v>
      </c>
      <c r="V809" s="106">
        <v>0.0</v>
      </c>
      <c r="W809" s="107">
        <v>0.0</v>
      </c>
      <c r="X809" s="107">
        <v>0.0</v>
      </c>
      <c r="Y809" s="107">
        <v>0.0</v>
      </c>
      <c r="Z809" s="80">
        <f t="shared" si="1"/>
        <v>0</v>
      </c>
      <c r="AA809" s="106">
        <v>0.0</v>
      </c>
      <c r="AB809" s="107">
        <v>0.0</v>
      </c>
      <c r="AC809" s="107">
        <v>0.0</v>
      </c>
      <c r="AD809" s="107">
        <v>0.0</v>
      </c>
      <c r="AE809" s="80">
        <f t="shared" si="2"/>
        <v>0</v>
      </c>
      <c r="AF809" s="140">
        <v>0.0</v>
      </c>
      <c r="AG809" s="109">
        <v>0.0</v>
      </c>
      <c r="AH809" s="109">
        <v>0.0</v>
      </c>
      <c r="AI809" s="141">
        <v>164.0</v>
      </c>
      <c r="AJ809" s="80">
        <f t="shared" si="3"/>
        <v>164</v>
      </c>
      <c r="AK809" s="140">
        <v>0.0</v>
      </c>
      <c r="AL809" s="109">
        <v>0.0</v>
      </c>
      <c r="AM809" s="141">
        <v>0.0</v>
      </c>
      <c r="AN809" s="80">
        <f t="shared" si="4"/>
        <v>0</v>
      </c>
      <c r="AO809" s="140">
        <v>0.0</v>
      </c>
      <c r="AP809" s="109">
        <v>0.0</v>
      </c>
      <c r="AQ809" s="109">
        <v>46.0</v>
      </c>
      <c r="AR809" s="80">
        <f t="shared" si="5"/>
        <v>46</v>
      </c>
      <c r="AS809" s="110">
        <v>0.0</v>
      </c>
      <c r="AT809" s="110">
        <v>0.0</v>
      </c>
      <c r="AU809" s="110">
        <v>28.0</v>
      </c>
      <c r="AV809" s="142">
        <v>63.0</v>
      </c>
      <c r="AW809" s="80">
        <f t="shared" si="6"/>
        <v>91</v>
      </c>
      <c r="AX809" s="113">
        <f t="shared" si="7"/>
        <v>301</v>
      </c>
      <c r="AY809" s="117">
        <f t="shared" si="8"/>
        <v>227</v>
      </c>
      <c r="AZ809" s="120">
        <f t="shared" si="9"/>
        <v>74</v>
      </c>
      <c r="BA809" s="115">
        <v>0.0</v>
      </c>
      <c r="BB809" s="89">
        <f t="shared" si="10"/>
        <v>301</v>
      </c>
      <c r="BC809" s="132" t="s">
        <v>178</v>
      </c>
      <c r="BD809" s="132" t="s">
        <v>178</v>
      </c>
      <c r="BE809" s="132" t="s">
        <v>178</v>
      </c>
      <c r="BF809" s="156"/>
      <c r="BG809" s="83">
        <v>1165056.0</v>
      </c>
      <c r="BH809" s="112"/>
      <c r="BI809" s="112">
        <v>6.0</v>
      </c>
      <c r="BJ809" s="98" t="s">
        <v>155</v>
      </c>
      <c r="BK809" s="99">
        <f t="shared" si="11"/>
        <v>227</v>
      </c>
      <c r="BL809" s="99">
        <f t="shared" si="12"/>
        <v>0</v>
      </c>
      <c r="BM809" s="99" t="str">
        <f>IFERROR(__xludf.DUMMYFUNCTION("IFERROR(VLOOKUP(BG809,IMPORTRANGE(""https://docs.google.com/spreadsheets/d/1juPI-Fb8LD0YtltB2mlGEnp_R3UVu1t3wSFPzgCyHXE/edit?gid=0#gid=0"",""GERAL!A2:C""),3,0),""-"")"),"-")</f>
        <v>-</v>
      </c>
    </row>
    <row r="810" ht="15.75" customHeight="1">
      <c r="A810" s="111" t="s">
        <v>914</v>
      </c>
      <c r="B810" s="83" t="s">
        <v>3878</v>
      </c>
      <c r="C810" s="83" t="s">
        <v>164</v>
      </c>
      <c r="D810" s="112">
        <v>1165056.0</v>
      </c>
      <c r="E810" s="83">
        <v>1178845.0</v>
      </c>
      <c r="F810" s="98">
        <v>2.9490707E7</v>
      </c>
      <c r="G810" s="119" t="s">
        <v>3889</v>
      </c>
      <c r="H810" s="91" t="s">
        <v>3890</v>
      </c>
      <c r="I810" s="136" t="s">
        <v>3891</v>
      </c>
      <c r="J810" s="83" t="s">
        <v>244</v>
      </c>
      <c r="K810" s="83" t="s">
        <v>168</v>
      </c>
      <c r="L810" s="83" t="s">
        <v>169</v>
      </c>
      <c r="M810" s="82" t="str">
        <f>IFERROR(__xludf.DUMMYFUNCTION("IFERROR(VLOOKUP(D810,
IMPORTRANGE(""https://docs.google.com/spreadsheets/d/1MjHtlUikwobi2MaWJgy7tfLeBmhj1u-dRFRs_8GwSoA/edit#gid=0"",""Gestores Escolares!D7:J""),3,0),""VERIFICAR CÓD SEC"")"),"ELIZANGELA APARECIDA ROCHA GUIMARAES AMARAL")</f>
        <v>ELIZANGELA APARECIDA ROCHA GUIMARAES AMARAL</v>
      </c>
      <c r="N810" s="82" t="str">
        <f>IFERROR(__xludf.DUMMYFUNCTION("IFERROR(VLOOKUP(D810,
IMPORTRANGE(""https://docs.google.com/spreadsheets/d/1MjHtlUikwobi2MaWJgy7tfLeBmhj1u-dRFRs_8GwSoA/edit#gid=0"",""Gestores Escolares!D7:J""),4,0),""VERIFICAR CÓD SEC"")"),"(77) 9 9901-9024")</f>
        <v>(77) 9 9901-9024</v>
      </c>
      <c r="O810" s="82" t="str">
        <f>IFERROR(__xludf.DUMMYFUNCTION("IFERROR(VLOOKUP(D810,
IMPORTRANGE(""https://docs.google.com/spreadsheets/d/1MjHtlUikwobi2MaWJgy7tfLeBmhj1u-dRFRs_8GwSoA/edit#gid=0"",""Gestores Escolares!D7:J""),6,0),""VERIFICAR CÓD SEC"")"),"ANDRE RODRIGUES DA SILVA")</f>
        <v>ANDRE RODRIGUES DA SILVA</v>
      </c>
      <c r="P810" s="82" t="str">
        <f>IFERROR(__xludf.DUMMYFUNCTION("IFERROR(VLOOKUP(D810,
IMPORTRANGE(""https://docs.google.com/spreadsheets/d/1MjHtlUikwobi2MaWJgy7tfLeBmhj1u-dRFRs_8GwSoA/edit#gid=0"",""Gestores Escolares!D7:J""),7,0),""VERIFICAR CÓD SEC"")"),"(77) 9 9108-5474")</f>
        <v>(77) 9 9108-5474</v>
      </c>
      <c r="Q810" s="82" t="str">
        <f>IFERROR(__xludf.DUMMYFUNCTION("IFERROR(VLOOKUP(D810,
IMPORTRANGE(""https://docs.google.com/spreadsheets/d/1MjHtlUikwobi2MaWJgy7tfLeBmhj1u-dRFRs_8GwSoA/edit#gid=0"",""Gestores Escolares!D7:m""),9,0),""VERIFICAR CÓD SEC"")"),"")</f>
        <v/>
      </c>
      <c r="R810" s="82" t="str">
        <f>IFERROR(__xludf.DUMMYFUNCTION("IFERROR(VLOOKUP(D810,
IMPORTRANGE(""https://docs.google.com/spreadsheets/d/1MjHtlUikwobi2MaWJgy7tfLeBmhj1u-dRFRs_8GwSoA/edit#gid=0"",""Gestores Escolares!D7:m""),10,0),""VERIFICAR CÓD SEC"")"),"")</f>
        <v/>
      </c>
      <c r="S810" s="82"/>
      <c r="T810" s="138">
        <v>3.0</v>
      </c>
      <c r="U810" s="145">
        <v>1.0</v>
      </c>
      <c r="V810" s="106">
        <v>0.0</v>
      </c>
      <c r="W810" s="107">
        <v>0.0</v>
      </c>
      <c r="X810" s="107">
        <v>0.0</v>
      </c>
      <c r="Y810" s="107">
        <v>0.0</v>
      </c>
      <c r="Z810" s="80">
        <f t="shared" si="1"/>
        <v>0</v>
      </c>
      <c r="AA810" s="106">
        <v>0.0</v>
      </c>
      <c r="AB810" s="107">
        <v>0.0</v>
      </c>
      <c r="AC810" s="107">
        <v>0.0</v>
      </c>
      <c r="AD810" s="107">
        <v>0.0</v>
      </c>
      <c r="AE810" s="80">
        <f t="shared" si="2"/>
        <v>0</v>
      </c>
      <c r="AF810" s="140">
        <v>0.0</v>
      </c>
      <c r="AG810" s="109">
        <v>73.0</v>
      </c>
      <c r="AH810" s="109">
        <v>0.0</v>
      </c>
      <c r="AI810" s="141">
        <v>0.0</v>
      </c>
      <c r="AJ810" s="80">
        <f t="shared" si="3"/>
        <v>73</v>
      </c>
      <c r="AK810" s="140">
        <v>0.0</v>
      </c>
      <c r="AL810" s="109">
        <v>0.0</v>
      </c>
      <c r="AM810" s="141">
        <v>0.0</v>
      </c>
      <c r="AN810" s="80">
        <f t="shared" si="4"/>
        <v>0</v>
      </c>
      <c r="AO810" s="140">
        <v>0.0</v>
      </c>
      <c r="AP810" s="109">
        <v>0.0</v>
      </c>
      <c r="AQ810" s="109">
        <v>0.0</v>
      </c>
      <c r="AR810" s="80">
        <f t="shared" si="5"/>
        <v>0</v>
      </c>
      <c r="AS810" s="110">
        <v>0.0</v>
      </c>
      <c r="AT810" s="110">
        <v>0.0</v>
      </c>
      <c r="AU810" s="110">
        <v>0.0</v>
      </c>
      <c r="AV810" s="142">
        <v>0.0</v>
      </c>
      <c r="AW810" s="80">
        <f t="shared" si="6"/>
        <v>0</v>
      </c>
      <c r="AX810" s="113">
        <f t="shared" si="7"/>
        <v>73</v>
      </c>
      <c r="AY810" s="117">
        <f t="shared" si="8"/>
        <v>73</v>
      </c>
      <c r="AZ810" s="120">
        <f t="shared" si="9"/>
        <v>0</v>
      </c>
      <c r="BA810" s="115">
        <v>0.0</v>
      </c>
      <c r="BB810" s="89">
        <f t="shared" si="10"/>
        <v>73</v>
      </c>
      <c r="BC810" s="132" t="s">
        <v>373</v>
      </c>
      <c r="BD810" s="132" t="s">
        <v>178</v>
      </c>
      <c r="BE810" s="132" t="s">
        <v>178</v>
      </c>
      <c r="BF810" s="123"/>
      <c r="BG810" s="83">
        <v>1178845.0</v>
      </c>
      <c r="BH810" s="112"/>
      <c r="BI810" s="112">
        <v>4.0</v>
      </c>
      <c r="BJ810" s="98" t="s">
        <v>155</v>
      </c>
      <c r="BK810" s="99">
        <f t="shared" si="11"/>
        <v>0</v>
      </c>
      <c r="BL810" s="99">
        <f t="shared" si="12"/>
        <v>73</v>
      </c>
      <c r="BM810" s="99" t="str">
        <f>IFERROR(__xludf.DUMMYFUNCTION("IFERROR(VLOOKUP(BG810,IMPORTRANGE(""https://docs.google.com/spreadsheets/d/1juPI-Fb8LD0YtltB2mlGEnp_R3UVu1t3wSFPzgCyHXE/edit?gid=0#gid=0"",""GERAL!A2:C""),3,0),""-"")"),"CAMPO")</f>
        <v>CAMPO</v>
      </c>
    </row>
    <row r="811" ht="15.75" customHeight="1">
      <c r="A811" s="111" t="s">
        <v>914</v>
      </c>
      <c r="B811" s="83" t="s">
        <v>3900</v>
      </c>
      <c r="C811" s="83" t="s">
        <v>68</v>
      </c>
      <c r="D811" s="112">
        <v>1127960.0</v>
      </c>
      <c r="E811" s="83"/>
      <c r="F811" s="83">
        <v>2.9206545E7</v>
      </c>
      <c r="G811" s="119" t="s">
        <v>3901</v>
      </c>
      <c r="H811" s="91" t="s">
        <v>3902</v>
      </c>
      <c r="I811" s="83" t="s">
        <v>149</v>
      </c>
      <c r="J811" s="83" t="s">
        <v>150</v>
      </c>
      <c r="K811" s="83" t="s">
        <v>151</v>
      </c>
      <c r="L811" s="83" t="s">
        <v>76</v>
      </c>
      <c r="M811" s="82" t="str">
        <f>IFERROR(__xludf.DUMMYFUNCTION("IFERROR(VLOOKUP(D811,
IMPORTRANGE(""https://docs.google.com/spreadsheets/d/1MjHtlUikwobi2MaWJgy7tfLeBmhj1u-dRFRs_8GwSoA/edit#gid=0"",""Gestores Escolares!D7:J""),3,0),""VERIFICAR CÓD SEC"")"),"LENILSON CHAVES DE ARAÚJO MIRANDA")</f>
        <v>LENILSON CHAVES DE ARAÚJO MIRANDA</v>
      </c>
      <c r="N811" s="82" t="str">
        <f>IFERROR(__xludf.DUMMYFUNCTION("IFERROR(VLOOKUP(D811,
IMPORTRANGE(""https://docs.google.com/spreadsheets/d/1MjHtlUikwobi2MaWJgy7tfLeBmhj1u-dRFRs_8GwSoA/edit#gid=0"",""Gestores Escolares!D7:J""),4,0),""VERIFICAR CÓD SEC"")"),"(77) 9 9136-9046")</f>
        <v>(77) 9 9136-9046</v>
      </c>
      <c r="O811" s="82" t="str">
        <f>IFERROR(__xludf.DUMMYFUNCTION("IFERROR(VLOOKUP(D811,
IMPORTRANGE(""https://docs.google.com/spreadsheets/d/1MjHtlUikwobi2MaWJgy7tfLeBmhj1u-dRFRs_8GwSoA/edit#gid=0"",""Gestores Escolares!D7:J""),6,0),""VERIFICAR CÓD SEC"")"),"RAMON VITOR OLIVEIRA")</f>
        <v>RAMON VITOR OLIVEIRA</v>
      </c>
      <c r="P811" s="82" t="str">
        <f>IFERROR(__xludf.DUMMYFUNCTION("IFERROR(VLOOKUP(D811,
IMPORTRANGE(""https://docs.google.com/spreadsheets/d/1MjHtlUikwobi2MaWJgy7tfLeBmhj1u-dRFRs_8GwSoA/edit#gid=0"",""Gestores Escolares!D7:J""),7,0),""VERIFICAR CÓD SEC"")"),"(77) 9 9115-4990")</f>
        <v>(77) 9 9115-4990</v>
      </c>
      <c r="Q811" s="82" t="str">
        <f>IFERROR(__xludf.DUMMYFUNCTION("IFERROR(VLOOKUP(D811,
IMPORTRANGE(""https://docs.google.com/spreadsheets/d/1MjHtlUikwobi2MaWJgy7tfLeBmhj1u-dRFRs_8GwSoA/edit#gid=0"",""Gestores Escolares!D7:m""),9,0),""VERIFICAR CÓD SEC"")"),"")</f>
        <v/>
      </c>
      <c r="R811" s="82" t="str">
        <f>IFERROR(__xludf.DUMMYFUNCTION("IFERROR(VLOOKUP(D811,
IMPORTRANGE(""https://docs.google.com/spreadsheets/d/1MjHtlUikwobi2MaWJgy7tfLeBmhj1u-dRFRs_8GwSoA/edit#gid=0"",""Gestores Escolares!D7:m""),10,0),""VERIFICAR CÓD SEC"")"),"")</f>
        <v/>
      </c>
      <c r="S811" s="82"/>
      <c r="T811" s="138">
        <v>6.0</v>
      </c>
      <c r="U811" s="145" t="s">
        <v>11431</v>
      </c>
      <c r="V811" s="106">
        <v>0.0</v>
      </c>
      <c r="W811" s="107">
        <v>0.0</v>
      </c>
      <c r="X811" s="107">
        <v>0.0</v>
      </c>
      <c r="Y811" s="107">
        <v>0.0</v>
      </c>
      <c r="Z811" s="80">
        <f t="shared" si="1"/>
        <v>0</v>
      </c>
      <c r="AA811" s="106">
        <v>0.0</v>
      </c>
      <c r="AB811" s="107">
        <v>0.0</v>
      </c>
      <c r="AC811" s="107">
        <v>0.0</v>
      </c>
      <c r="AD811" s="107">
        <v>0.0</v>
      </c>
      <c r="AE811" s="80">
        <f t="shared" si="2"/>
        <v>0</v>
      </c>
      <c r="AF811" s="140">
        <v>0.0</v>
      </c>
      <c r="AG811" s="109">
        <v>0.0</v>
      </c>
      <c r="AH811" s="109">
        <v>0.0</v>
      </c>
      <c r="AI811" s="141">
        <v>249.0</v>
      </c>
      <c r="AJ811" s="80">
        <f t="shared" si="3"/>
        <v>249</v>
      </c>
      <c r="AK811" s="140">
        <v>0.0</v>
      </c>
      <c r="AL811" s="109">
        <v>0.0</v>
      </c>
      <c r="AM811" s="141">
        <v>0.0</v>
      </c>
      <c r="AN811" s="80">
        <f t="shared" si="4"/>
        <v>0</v>
      </c>
      <c r="AO811" s="140">
        <v>0.0</v>
      </c>
      <c r="AP811" s="109">
        <v>0.0</v>
      </c>
      <c r="AQ811" s="109">
        <v>45.0</v>
      </c>
      <c r="AR811" s="80">
        <f t="shared" si="5"/>
        <v>45</v>
      </c>
      <c r="AS811" s="110">
        <v>0.0</v>
      </c>
      <c r="AT811" s="110">
        <v>0.0</v>
      </c>
      <c r="AU811" s="110">
        <v>0.0</v>
      </c>
      <c r="AV811" s="142">
        <v>42.0</v>
      </c>
      <c r="AW811" s="80">
        <f t="shared" si="6"/>
        <v>42</v>
      </c>
      <c r="AX811" s="113">
        <f t="shared" si="7"/>
        <v>336</v>
      </c>
      <c r="AY811" s="117">
        <f t="shared" si="8"/>
        <v>291</v>
      </c>
      <c r="AZ811" s="120">
        <f t="shared" si="9"/>
        <v>45</v>
      </c>
      <c r="BA811" s="115">
        <v>0.0</v>
      </c>
      <c r="BB811" s="89">
        <f t="shared" si="10"/>
        <v>336</v>
      </c>
      <c r="BC811" s="132" t="s">
        <v>373</v>
      </c>
      <c r="BD811" s="132" t="s">
        <v>178</v>
      </c>
      <c r="BE811" s="132" t="s">
        <v>178</v>
      </c>
      <c r="BF811" s="123"/>
      <c r="BG811" s="83">
        <v>1127960.0</v>
      </c>
      <c r="BH811" s="112"/>
      <c r="BI811" s="112">
        <v>6.0</v>
      </c>
      <c r="BJ811" s="98" t="s">
        <v>155</v>
      </c>
      <c r="BK811" s="99">
        <f t="shared" si="11"/>
        <v>291</v>
      </c>
      <c r="BL811" s="99">
        <f t="shared" si="12"/>
        <v>0</v>
      </c>
      <c r="BM811" s="99" t="str">
        <f>IFERROR(__xludf.DUMMYFUNCTION("IFERROR(VLOOKUP(BG811,IMPORTRANGE(""https://docs.google.com/spreadsheets/d/1juPI-Fb8LD0YtltB2mlGEnp_R3UVu1t3wSFPzgCyHXE/edit?gid=0#gid=0"",""GERAL!A2:C""),3,0),""-"")"),"CAMPO")</f>
        <v>CAMPO</v>
      </c>
    </row>
    <row r="812" ht="15.75" customHeight="1">
      <c r="A812" s="111" t="s">
        <v>914</v>
      </c>
      <c r="B812" s="83" t="s">
        <v>3900</v>
      </c>
      <c r="C812" s="83" t="s">
        <v>164</v>
      </c>
      <c r="D812" s="112">
        <v>1179717.0</v>
      </c>
      <c r="E812" s="83">
        <v>1178850.0</v>
      </c>
      <c r="F812" s="98">
        <v>2.9483395E7</v>
      </c>
      <c r="G812" s="119" t="s">
        <v>3904</v>
      </c>
      <c r="H812" s="91" t="s">
        <v>3905</v>
      </c>
      <c r="I812" s="83" t="s">
        <v>149</v>
      </c>
      <c r="J812" s="83" t="s">
        <v>222</v>
      </c>
      <c r="K812" s="83" t="s">
        <v>151</v>
      </c>
      <c r="L812" s="83" t="s">
        <v>169</v>
      </c>
      <c r="M812" s="82" t="str">
        <f>IFERROR(__xludf.DUMMYFUNCTION("IFERROR(VLOOKUP(D812,
IMPORTRANGE(""https://docs.google.com/spreadsheets/d/1MjHtlUikwobi2MaWJgy7tfLeBmhj1u-dRFRs_8GwSoA/edit#gid=0"",""Gestores Escolares!D7:J""),3,0),""VERIFICAR CÓD SEC"")"),"LUIZ ANTONIO SANTOS XAVIER")</f>
        <v>LUIZ ANTONIO SANTOS XAVIER</v>
      </c>
      <c r="N812" s="82" t="str">
        <f>IFERROR(__xludf.DUMMYFUNCTION("IFERROR(VLOOKUP(D812,
IMPORTRANGE(""https://docs.google.com/spreadsheets/d/1MjHtlUikwobi2MaWJgy7tfLeBmhj1u-dRFRs_8GwSoA/edit#gid=0"",""Gestores Escolares!D7:J""),4,0),""VERIFICAR CÓD SEC"")"),"(77) 9 9988-7783")</f>
        <v>(77) 9 9988-7783</v>
      </c>
      <c r="O812" s="82" t="str">
        <f>IFERROR(__xludf.DUMMYFUNCTION("IFERROR(VLOOKUP(D812,
IMPORTRANGE(""https://docs.google.com/spreadsheets/d/1MjHtlUikwobi2MaWJgy7tfLeBmhj1u-dRFRs_8GwSoA/edit#gid=0"",""Gestores Escolares!D7:J""),6,0),""VERIFICAR CÓD SEC"")"),"")</f>
        <v/>
      </c>
      <c r="P812" s="82" t="str">
        <f>IFERROR(__xludf.DUMMYFUNCTION("IFERROR(VLOOKUP(D812,
IMPORTRANGE(""https://docs.google.com/spreadsheets/d/1MjHtlUikwobi2MaWJgy7tfLeBmhj1u-dRFRs_8GwSoA/edit#gid=0"",""Gestores Escolares!D7:J""),7,0),""VERIFICAR CÓD SEC"")"),"")</f>
        <v/>
      </c>
      <c r="Q812" s="82" t="str">
        <f>IFERROR(__xludf.DUMMYFUNCTION("IFERROR(VLOOKUP(D812,
IMPORTRANGE(""https://docs.google.com/spreadsheets/d/1MjHtlUikwobi2MaWJgy7tfLeBmhj1u-dRFRs_8GwSoA/edit#gid=0"",""Gestores Escolares!D7:m""),9,0),""VERIFICAR CÓD SEC"")"),"")</f>
        <v/>
      </c>
      <c r="R812" s="82" t="str">
        <f>IFERROR(__xludf.DUMMYFUNCTION("IFERROR(VLOOKUP(D812,
IMPORTRANGE(""https://docs.google.com/spreadsheets/d/1MjHtlUikwobi2MaWJgy7tfLeBmhj1u-dRFRs_8GwSoA/edit#gid=0"",""Gestores Escolares!D7:m""),10,0),""VERIFICAR CÓD SEC"")"),"")</f>
        <v/>
      </c>
      <c r="S812" s="82"/>
      <c r="T812" s="138">
        <v>3.0</v>
      </c>
      <c r="U812" s="145">
        <v>3.0</v>
      </c>
      <c r="V812" s="106">
        <v>0.0</v>
      </c>
      <c r="W812" s="107">
        <v>0.0</v>
      </c>
      <c r="X812" s="107">
        <v>0.0</v>
      </c>
      <c r="Y812" s="107">
        <v>0.0</v>
      </c>
      <c r="Z812" s="80">
        <f t="shared" si="1"/>
        <v>0</v>
      </c>
      <c r="AA812" s="106">
        <v>0.0</v>
      </c>
      <c r="AB812" s="107">
        <v>0.0</v>
      </c>
      <c r="AC812" s="107">
        <v>0.0</v>
      </c>
      <c r="AD812" s="107">
        <v>0.0</v>
      </c>
      <c r="AE812" s="80">
        <f t="shared" si="2"/>
        <v>0</v>
      </c>
      <c r="AF812" s="140">
        <v>30.0</v>
      </c>
      <c r="AG812" s="109">
        <v>0.0</v>
      </c>
      <c r="AH812" s="109">
        <v>0.0</v>
      </c>
      <c r="AI812" s="141">
        <v>0.0</v>
      </c>
      <c r="AJ812" s="80">
        <f t="shared" si="3"/>
        <v>30</v>
      </c>
      <c r="AK812" s="140">
        <v>0.0</v>
      </c>
      <c r="AL812" s="109">
        <v>0.0</v>
      </c>
      <c r="AM812" s="141">
        <v>0.0</v>
      </c>
      <c r="AN812" s="80">
        <f t="shared" si="4"/>
        <v>0</v>
      </c>
      <c r="AO812" s="140">
        <v>0.0</v>
      </c>
      <c r="AP812" s="109">
        <v>0.0</v>
      </c>
      <c r="AQ812" s="109">
        <v>0.0</v>
      </c>
      <c r="AR812" s="80">
        <f t="shared" si="5"/>
        <v>0</v>
      </c>
      <c r="AS812" s="110">
        <v>0.0</v>
      </c>
      <c r="AT812" s="110">
        <v>0.0</v>
      </c>
      <c r="AU812" s="110">
        <v>0.0</v>
      </c>
      <c r="AV812" s="142">
        <v>0.0</v>
      </c>
      <c r="AW812" s="80">
        <f t="shared" si="6"/>
        <v>0</v>
      </c>
      <c r="AX812" s="113">
        <f t="shared" si="7"/>
        <v>30</v>
      </c>
      <c r="AY812" s="117">
        <f t="shared" si="8"/>
        <v>30</v>
      </c>
      <c r="AZ812" s="120">
        <f t="shared" si="9"/>
        <v>0</v>
      </c>
      <c r="BA812" s="115">
        <v>0.0</v>
      </c>
      <c r="BB812" s="89">
        <f t="shared" si="10"/>
        <v>30</v>
      </c>
      <c r="BC812" s="132" t="s">
        <v>373</v>
      </c>
      <c r="BD812" s="143" t="s">
        <v>227</v>
      </c>
      <c r="BE812" s="132" t="s">
        <v>178</v>
      </c>
      <c r="BF812" s="123"/>
      <c r="BG812" s="83">
        <v>1178850.0</v>
      </c>
      <c r="BH812" s="112"/>
      <c r="BI812" s="112">
        <v>2.0</v>
      </c>
      <c r="BJ812" s="98" t="s">
        <v>155</v>
      </c>
      <c r="BK812" s="99">
        <f t="shared" si="11"/>
        <v>0</v>
      </c>
      <c r="BL812" s="99">
        <f t="shared" si="12"/>
        <v>30</v>
      </c>
      <c r="BM812" s="99" t="str">
        <f>IFERROR(__xludf.DUMMYFUNCTION("IFERROR(VLOOKUP(BG812,IMPORTRANGE(""https://docs.google.com/spreadsheets/d/1juPI-Fb8LD0YtltB2mlGEnp_R3UVu1t3wSFPzgCyHXE/edit?gid=0#gid=0"",""GERAL!A2:C""),3,0),""-"")"),"CAMPO")</f>
        <v>CAMPO</v>
      </c>
    </row>
    <row r="813" ht="15.75" customHeight="1">
      <c r="A813" s="111" t="s">
        <v>914</v>
      </c>
      <c r="B813" s="83" t="s">
        <v>3900</v>
      </c>
      <c r="C813" s="83" t="s">
        <v>164</v>
      </c>
      <c r="D813" s="112">
        <v>1179717.0</v>
      </c>
      <c r="E813" s="83">
        <v>1178849.0</v>
      </c>
      <c r="F813" s="98">
        <v>2.9483395E7</v>
      </c>
      <c r="G813" s="119" t="s">
        <v>3906</v>
      </c>
      <c r="H813" s="91" t="s">
        <v>3907</v>
      </c>
      <c r="I813" s="83" t="s">
        <v>149</v>
      </c>
      <c r="J813" s="83" t="s">
        <v>822</v>
      </c>
      <c r="K813" s="83" t="s">
        <v>151</v>
      </c>
      <c r="L813" s="83" t="s">
        <v>169</v>
      </c>
      <c r="M813" s="82" t="str">
        <f>IFERROR(__xludf.DUMMYFUNCTION("IFERROR(VLOOKUP(D813,
IMPORTRANGE(""https://docs.google.com/spreadsheets/d/1MjHtlUikwobi2MaWJgy7tfLeBmhj1u-dRFRs_8GwSoA/edit#gid=0"",""Gestores Escolares!D7:J""),3,0),""VERIFICAR CÓD SEC"")"),"LUIZ ANTONIO SANTOS XAVIER")</f>
        <v>LUIZ ANTONIO SANTOS XAVIER</v>
      </c>
      <c r="N813" s="82" t="str">
        <f>IFERROR(__xludf.DUMMYFUNCTION("IFERROR(VLOOKUP(D813,
IMPORTRANGE(""https://docs.google.com/spreadsheets/d/1MjHtlUikwobi2MaWJgy7tfLeBmhj1u-dRFRs_8GwSoA/edit#gid=0"",""Gestores Escolares!D7:J""),4,0),""VERIFICAR CÓD SEC"")"),"(77) 9 9988-7783")</f>
        <v>(77) 9 9988-7783</v>
      </c>
      <c r="O813" s="82" t="str">
        <f>IFERROR(__xludf.DUMMYFUNCTION("IFERROR(VLOOKUP(D813,
IMPORTRANGE(""https://docs.google.com/spreadsheets/d/1MjHtlUikwobi2MaWJgy7tfLeBmhj1u-dRFRs_8GwSoA/edit#gid=0"",""Gestores Escolares!D7:J""),6,0),""VERIFICAR CÓD SEC"")"),"")</f>
        <v/>
      </c>
      <c r="P813" s="82" t="str">
        <f>IFERROR(__xludf.DUMMYFUNCTION("IFERROR(VLOOKUP(D813,
IMPORTRANGE(""https://docs.google.com/spreadsheets/d/1MjHtlUikwobi2MaWJgy7tfLeBmhj1u-dRFRs_8GwSoA/edit#gid=0"",""Gestores Escolares!D7:J""),7,0),""VERIFICAR CÓD SEC"")"),"")</f>
        <v/>
      </c>
      <c r="Q813" s="82" t="str">
        <f>IFERROR(__xludf.DUMMYFUNCTION("IFERROR(VLOOKUP(D813,
IMPORTRANGE(""https://docs.google.com/spreadsheets/d/1MjHtlUikwobi2MaWJgy7tfLeBmhj1u-dRFRs_8GwSoA/edit#gid=0"",""Gestores Escolares!D7:m""),9,0),""VERIFICAR CÓD SEC"")"),"")</f>
        <v/>
      </c>
      <c r="R813" s="82" t="str">
        <f>IFERROR(__xludf.DUMMYFUNCTION("IFERROR(VLOOKUP(D813,
IMPORTRANGE(""https://docs.google.com/spreadsheets/d/1MjHtlUikwobi2MaWJgy7tfLeBmhj1u-dRFRs_8GwSoA/edit#gid=0"",""Gestores Escolares!D7:m""),10,0),""VERIFICAR CÓD SEC"")"),"")</f>
        <v/>
      </c>
      <c r="S813" s="82"/>
      <c r="T813" s="138">
        <v>1.0</v>
      </c>
      <c r="U813" s="145">
        <v>1.0</v>
      </c>
      <c r="V813" s="106">
        <v>0.0</v>
      </c>
      <c r="W813" s="107">
        <v>0.0</v>
      </c>
      <c r="X813" s="107">
        <v>0.0</v>
      </c>
      <c r="Y813" s="107">
        <v>0.0</v>
      </c>
      <c r="Z813" s="80">
        <f t="shared" si="1"/>
        <v>0</v>
      </c>
      <c r="AA813" s="106">
        <v>0.0</v>
      </c>
      <c r="AB813" s="107">
        <v>0.0</v>
      </c>
      <c r="AC813" s="107">
        <v>0.0</v>
      </c>
      <c r="AD813" s="107">
        <v>0.0</v>
      </c>
      <c r="AE813" s="80">
        <f t="shared" si="2"/>
        <v>0</v>
      </c>
      <c r="AF813" s="222">
        <v>11.0</v>
      </c>
      <c r="AG813" s="222">
        <v>11.0</v>
      </c>
      <c r="AH813" s="222">
        <v>17.0</v>
      </c>
      <c r="AI813" s="224">
        <v>0.0</v>
      </c>
      <c r="AJ813" s="80">
        <f t="shared" si="3"/>
        <v>39</v>
      </c>
      <c r="AK813" s="140">
        <v>0.0</v>
      </c>
      <c r="AL813" s="109">
        <v>0.0</v>
      </c>
      <c r="AM813" s="141">
        <v>0.0</v>
      </c>
      <c r="AN813" s="80">
        <f t="shared" si="4"/>
        <v>0</v>
      </c>
      <c r="AO813" s="222">
        <v>0.0</v>
      </c>
      <c r="AP813" s="222">
        <v>0.0</v>
      </c>
      <c r="AQ813" s="224">
        <v>0.0</v>
      </c>
      <c r="AR813" s="80">
        <f t="shared" si="5"/>
        <v>0</v>
      </c>
      <c r="AS813" s="110">
        <v>0.0</v>
      </c>
      <c r="AT813" s="110">
        <v>0.0</v>
      </c>
      <c r="AU813" s="110">
        <v>0.0</v>
      </c>
      <c r="AV813" s="142">
        <v>0.0</v>
      </c>
      <c r="AW813" s="80">
        <f t="shared" si="6"/>
        <v>0</v>
      </c>
      <c r="AX813" s="113">
        <f t="shared" si="7"/>
        <v>39</v>
      </c>
      <c r="AY813" s="117">
        <f t="shared" si="8"/>
        <v>22</v>
      </c>
      <c r="AZ813" s="120">
        <f t="shared" si="9"/>
        <v>17</v>
      </c>
      <c r="BA813" s="115">
        <v>0.0</v>
      </c>
      <c r="BB813" s="89">
        <f t="shared" si="10"/>
        <v>39</v>
      </c>
      <c r="BC813" s="132" t="s">
        <v>373</v>
      </c>
      <c r="BD813" s="143" t="s">
        <v>227</v>
      </c>
      <c r="BE813" s="132" t="s">
        <v>178</v>
      </c>
      <c r="BF813" s="123"/>
      <c r="BG813" s="83">
        <v>1178849.0</v>
      </c>
      <c r="BH813" s="112"/>
      <c r="BI813" s="112">
        <v>2.0</v>
      </c>
      <c r="BJ813" s="98" t="s">
        <v>155</v>
      </c>
      <c r="BK813" s="99">
        <f t="shared" si="11"/>
        <v>0</v>
      </c>
      <c r="BL813" s="99">
        <f t="shared" si="12"/>
        <v>22</v>
      </c>
      <c r="BM813" s="99" t="str">
        <f>IFERROR(__xludf.DUMMYFUNCTION("IFERROR(VLOOKUP(BG813,IMPORTRANGE(""https://docs.google.com/spreadsheets/d/1juPI-Fb8LD0YtltB2mlGEnp_R3UVu1t3wSFPzgCyHXE/edit?gid=0#gid=0"",""GERAL!A2:C""),3,0),""-"")"),"CAMPO")</f>
        <v>CAMPO</v>
      </c>
    </row>
    <row r="814" ht="15.75" customHeight="1">
      <c r="A814" s="111" t="s">
        <v>914</v>
      </c>
      <c r="B814" s="83" t="s">
        <v>3900</v>
      </c>
      <c r="C814" s="83" t="s">
        <v>164</v>
      </c>
      <c r="D814" s="112">
        <v>1179717.0</v>
      </c>
      <c r="E814" s="83">
        <v>1178847.0</v>
      </c>
      <c r="F814" s="98">
        <v>2.9483395E7</v>
      </c>
      <c r="G814" s="119" t="s">
        <v>3914</v>
      </c>
      <c r="H814" s="91" t="s">
        <v>3915</v>
      </c>
      <c r="I814" s="83" t="s">
        <v>149</v>
      </c>
      <c r="J814" s="83" t="s">
        <v>244</v>
      </c>
      <c r="K814" s="83" t="s">
        <v>168</v>
      </c>
      <c r="L814" s="83" t="s">
        <v>169</v>
      </c>
      <c r="M814" s="82" t="str">
        <f>IFERROR(__xludf.DUMMYFUNCTION("IFERROR(VLOOKUP(D814,
IMPORTRANGE(""https://docs.google.com/spreadsheets/d/1MjHtlUikwobi2MaWJgy7tfLeBmhj1u-dRFRs_8GwSoA/edit#gid=0"",""Gestores Escolares!D7:J""),3,0),""VERIFICAR CÓD SEC"")"),"LUIZ ANTONIO SANTOS XAVIER")</f>
        <v>LUIZ ANTONIO SANTOS XAVIER</v>
      </c>
      <c r="N814" s="82" t="str">
        <f>IFERROR(__xludf.DUMMYFUNCTION("IFERROR(VLOOKUP(D814,
IMPORTRANGE(""https://docs.google.com/spreadsheets/d/1MjHtlUikwobi2MaWJgy7tfLeBmhj1u-dRFRs_8GwSoA/edit#gid=0"",""Gestores Escolares!D7:J""),4,0),""VERIFICAR CÓD SEC"")"),"(77) 9 9988-7783")</f>
        <v>(77) 9 9988-7783</v>
      </c>
      <c r="O814" s="82" t="str">
        <f>IFERROR(__xludf.DUMMYFUNCTION("IFERROR(VLOOKUP(D814,
IMPORTRANGE(""https://docs.google.com/spreadsheets/d/1MjHtlUikwobi2MaWJgy7tfLeBmhj1u-dRFRs_8GwSoA/edit#gid=0"",""Gestores Escolares!D7:J""),6,0),""VERIFICAR CÓD SEC"")"),"")</f>
        <v/>
      </c>
      <c r="P814" s="82" t="str">
        <f>IFERROR(__xludf.DUMMYFUNCTION("IFERROR(VLOOKUP(D814,
IMPORTRANGE(""https://docs.google.com/spreadsheets/d/1MjHtlUikwobi2MaWJgy7tfLeBmhj1u-dRFRs_8GwSoA/edit#gid=0"",""Gestores Escolares!D7:J""),7,0),""VERIFICAR CÓD SEC"")"),"")</f>
        <v/>
      </c>
      <c r="Q814" s="82" t="str">
        <f>IFERROR(__xludf.DUMMYFUNCTION("IFERROR(VLOOKUP(D814,
IMPORTRANGE(""https://docs.google.com/spreadsheets/d/1MjHtlUikwobi2MaWJgy7tfLeBmhj1u-dRFRs_8GwSoA/edit#gid=0"",""Gestores Escolares!D7:m""),9,0),""VERIFICAR CÓD SEC"")"),"")</f>
        <v/>
      </c>
      <c r="R814" s="82" t="str">
        <f>IFERROR(__xludf.DUMMYFUNCTION("IFERROR(VLOOKUP(D814,
IMPORTRANGE(""https://docs.google.com/spreadsheets/d/1MjHtlUikwobi2MaWJgy7tfLeBmhj1u-dRFRs_8GwSoA/edit#gid=0"",""Gestores Escolares!D7:m""),10,0),""VERIFICAR CÓD SEC"")"),"")</f>
        <v/>
      </c>
      <c r="S814" s="82"/>
      <c r="T814" s="138">
        <v>2.0</v>
      </c>
      <c r="U814" s="416">
        <v>2.0</v>
      </c>
      <c r="V814" s="106">
        <v>0.0</v>
      </c>
      <c r="W814" s="107">
        <v>0.0</v>
      </c>
      <c r="X814" s="107">
        <v>0.0</v>
      </c>
      <c r="Y814" s="107">
        <v>0.0</v>
      </c>
      <c r="Z814" s="80">
        <f t="shared" si="1"/>
        <v>0</v>
      </c>
      <c r="AA814" s="106">
        <v>0.0</v>
      </c>
      <c r="AB814" s="107">
        <v>0.0</v>
      </c>
      <c r="AC814" s="107">
        <v>0.0</v>
      </c>
      <c r="AD814" s="107">
        <v>0.0</v>
      </c>
      <c r="AE814" s="80">
        <f t="shared" si="2"/>
        <v>0</v>
      </c>
      <c r="AF814" s="140">
        <v>32.0</v>
      </c>
      <c r="AG814" s="109">
        <v>0.0</v>
      </c>
      <c r="AH814" s="109">
        <v>0.0</v>
      </c>
      <c r="AI814" s="141">
        <v>0.0</v>
      </c>
      <c r="AJ814" s="80">
        <f t="shared" si="3"/>
        <v>32</v>
      </c>
      <c r="AK814" s="140">
        <v>0.0</v>
      </c>
      <c r="AL814" s="109">
        <v>0.0</v>
      </c>
      <c r="AM814" s="141">
        <v>0.0</v>
      </c>
      <c r="AN814" s="80">
        <f t="shared" si="4"/>
        <v>0</v>
      </c>
      <c r="AO814" s="140">
        <v>0.0</v>
      </c>
      <c r="AP814" s="109">
        <v>0.0</v>
      </c>
      <c r="AQ814" s="109">
        <v>0.0</v>
      </c>
      <c r="AR814" s="80">
        <f t="shared" si="5"/>
        <v>0</v>
      </c>
      <c r="AS814" s="110">
        <v>0.0</v>
      </c>
      <c r="AT814" s="110">
        <v>0.0</v>
      </c>
      <c r="AU814" s="110">
        <v>0.0</v>
      </c>
      <c r="AV814" s="142">
        <v>0.0</v>
      </c>
      <c r="AW814" s="80">
        <f t="shared" si="6"/>
        <v>0</v>
      </c>
      <c r="AX814" s="113">
        <f t="shared" si="7"/>
        <v>32</v>
      </c>
      <c r="AY814" s="117">
        <f t="shared" si="8"/>
        <v>32</v>
      </c>
      <c r="AZ814" s="120">
        <f t="shared" si="9"/>
        <v>0</v>
      </c>
      <c r="BA814" s="115">
        <v>0.0</v>
      </c>
      <c r="BB814" s="89">
        <f t="shared" si="10"/>
        <v>32</v>
      </c>
      <c r="BC814" s="132" t="s">
        <v>373</v>
      </c>
      <c r="BD814" s="143" t="s">
        <v>227</v>
      </c>
      <c r="BE814" s="132" t="s">
        <v>178</v>
      </c>
      <c r="BF814" s="123"/>
      <c r="BG814" s="83">
        <v>1178847.0</v>
      </c>
      <c r="BH814" s="112"/>
      <c r="BI814" s="112">
        <v>2.0</v>
      </c>
      <c r="BJ814" s="98" t="s">
        <v>155</v>
      </c>
      <c r="BK814" s="99">
        <f t="shared" si="11"/>
        <v>0</v>
      </c>
      <c r="BL814" s="99">
        <f t="shared" si="12"/>
        <v>32</v>
      </c>
      <c r="BM814" s="99" t="str">
        <f>IFERROR(__xludf.DUMMYFUNCTION("IFERROR(VLOOKUP(BG814,IMPORTRANGE(""https://docs.google.com/spreadsheets/d/1juPI-Fb8LD0YtltB2mlGEnp_R3UVu1t3wSFPzgCyHXE/edit?gid=0#gid=0"",""GERAL!A2:C""),3,0),""-"")"),"CAMPO")</f>
        <v>CAMPO</v>
      </c>
    </row>
    <row r="815" ht="15.75" customHeight="1">
      <c r="A815" s="111" t="s">
        <v>914</v>
      </c>
      <c r="B815" s="83" t="s">
        <v>3900</v>
      </c>
      <c r="C815" s="83" t="s">
        <v>164</v>
      </c>
      <c r="D815" s="112">
        <v>1179717.0</v>
      </c>
      <c r="E815" s="83">
        <v>1178846.0</v>
      </c>
      <c r="F815" s="98">
        <v>2.9483395E7</v>
      </c>
      <c r="G815" s="119" t="s">
        <v>3916</v>
      </c>
      <c r="H815" s="91" t="s">
        <v>3917</v>
      </c>
      <c r="I815" s="83" t="s">
        <v>149</v>
      </c>
      <c r="J815" s="83" t="s">
        <v>240</v>
      </c>
      <c r="K815" s="83" t="s">
        <v>168</v>
      </c>
      <c r="L815" s="83" t="s">
        <v>169</v>
      </c>
      <c r="M815" s="82" t="str">
        <f>IFERROR(__xludf.DUMMYFUNCTION("IFERROR(VLOOKUP(D815,
IMPORTRANGE(""https://docs.google.com/spreadsheets/d/1MjHtlUikwobi2MaWJgy7tfLeBmhj1u-dRFRs_8GwSoA/edit#gid=0"",""Gestores Escolares!D7:J""),3,0),""VERIFICAR CÓD SEC"")"),"LUIZ ANTONIO SANTOS XAVIER")</f>
        <v>LUIZ ANTONIO SANTOS XAVIER</v>
      </c>
      <c r="N815" s="82" t="str">
        <f>IFERROR(__xludf.DUMMYFUNCTION("IFERROR(VLOOKUP(D815,
IMPORTRANGE(""https://docs.google.com/spreadsheets/d/1MjHtlUikwobi2MaWJgy7tfLeBmhj1u-dRFRs_8GwSoA/edit#gid=0"",""Gestores Escolares!D7:J""),4,0),""VERIFICAR CÓD SEC"")"),"(77) 9 9988-7783")</f>
        <v>(77) 9 9988-7783</v>
      </c>
      <c r="O815" s="82" t="str">
        <f>IFERROR(__xludf.DUMMYFUNCTION("IFERROR(VLOOKUP(D815,
IMPORTRANGE(""https://docs.google.com/spreadsheets/d/1MjHtlUikwobi2MaWJgy7tfLeBmhj1u-dRFRs_8GwSoA/edit#gid=0"",""Gestores Escolares!D7:J""),6,0),""VERIFICAR CÓD SEC"")"),"")</f>
        <v/>
      </c>
      <c r="P815" s="82" t="str">
        <f>IFERROR(__xludf.DUMMYFUNCTION("IFERROR(VLOOKUP(D815,
IMPORTRANGE(""https://docs.google.com/spreadsheets/d/1MjHtlUikwobi2MaWJgy7tfLeBmhj1u-dRFRs_8GwSoA/edit#gid=0"",""Gestores Escolares!D7:J""),7,0),""VERIFICAR CÓD SEC"")"),"")</f>
        <v/>
      </c>
      <c r="Q815" s="82" t="str">
        <f>IFERROR(__xludf.DUMMYFUNCTION("IFERROR(VLOOKUP(D815,
IMPORTRANGE(""https://docs.google.com/spreadsheets/d/1MjHtlUikwobi2MaWJgy7tfLeBmhj1u-dRFRs_8GwSoA/edit#gid=0"",""Gestores Escolares!D7:m""),9,0),""VERIFICAR CÓD SEC"")"),"")</f>
        <v/>
      </c>
      <c r="R815" s="82" t="str">
        <f>IFERROR(__xludf.DUMMYFUNCTION("IFERROR(VLOOKUP(D815,
IMPORTRANGE(""https://docs.google.com/spreadsheets/d/1MjHtlUikwobi2MaWJgy7tfLeBmhj1u-dRFRs_8GwSoA/edit#gid=0"",""Gestores Escolares!D7:m""),10,0),""VERIFICAR CÓD SEC"")"),"")</f>
        <v/>
      </c>
      <c r="S815" s="82"/>
      <c r="T815" s="138">
        <v>1.0</v>
      </c>
      <c r="U815" s="416">
        <v>1.0</v>
      </c>
      <c r="V815" s="106">
        <v>0.0</v>
      </c>
      <c r="W815" s="107">
        <v>0.0</v>
      </c>
      <c r="X815" s="107">
        <v>0.0</v>
      </c>
      <c r="Y815" s="107">
        <v>0.0</v>
      </c>
      <c r="Z815" s="80">
        <f t="shared" si="1"/>
        <v>0</v>
      </c>
      <c r="AA815" s="106">
        <v>0.0</v>
      </c>
      <c r="AB815" s="107">
        <v>0.0</v>
      </c>
      <c r="AC815" s="107">
        <v>0.0</v>
      </c>
      <c r="AD815" s="107">
        <v>0.0</v>
      </c>
      <c r="AE815" s="80">
        <f t="shared" si="2"/>
        <v>0</v>
      </c>
      <c r="AF815" s="140">
        <v>9.0</v>
      </c>
      <c r="AG815" s="109">
        <v>14.0</v>
      </c>
      <c r="AH815" s="109">
        <v>13.0</v>
      </c>
      <c r="AI815" s="141">
        <v>0.0</v>
      </c>
      <c r="AJ815" s="80">
        <f t="shared" si="3"/>
        <v>36</v>
      </c>
      <c r="AK815" s="140">
        <v>0.0</v>
      </c>
      <c r="AL815" s="109">
        <v>0.0</v>
      </c>
      <c r="AM815" s="141">
        <v>0.0</v>
      </c>
      <c r="AN815" s="80">
        <f t="shared" si="4"/>
        <v>0</v>
      </c>
      <c r="AO815" s="140">
        <v>0.0</v>
      </c>
      <c r="AP815" s="109">
        <v>0.0</v>
      </c>
      <c r="AQ815" s="109">
        <v>0.0</v>
      </c>
      <c r="AR815" s="80">
        <f t="shared" si="5"/>
        <v>0</v>
      </c>
      <c r="AS815" s="110">
        <v>0.0</v>
      </c>
      <c r="AT815" s="110">
        <v>0.0</v>
      </c>
      <c r="AU815" s="110">
        <v>0.0</v>
      </c>
      <c r="AV815" s="142">
        <v>0.0</v>
      </c>
      <c r="AW815" s="80">
        <f t="shared" si="6"/>
        <v>0</v>
      </c>
      <c r="AX815" s="113">
        <f t="shared" si="7"/>
        <v>36</v>
      </c>
      <c r="AY815" s="117">
        <f t="shared" si="8"/>
        <v>23</v>
      </c>
      <c r="AZ815" s="120">
        <f t="shared" si="9"/>
        <v>13</v>
      </c>
      <c r="BA815" s="115">
        <v>0.0</v>
      </c>
      <c r="BB815" s="89">
        <f t="shared" si="10"/>
        <v>36</v>
      </c>
      <c r="BC815" s="132" t="s">
        <v>265</v>
      </c>
      <c r="BD815" s="132" t="s">
        <v>178</v>
      </c>
      <c r="BE815" s="132" t="s">
        <v>178</v>
      </c>
      <c r="BF815" s="123"/>
      <c r="BG815" s="83">
        <v>1178846.0</v>
      </c>
      <c r="BH815" s="112"/>
      <c r="BI815" s="112">
        <v>1.0</v>
      </c>
      <c r="BJ815" s="98" t="s">
        <v>155</v>
      </c>
      <c r="BK815" s="99">
        <f t="shared" si="11"/>
        <v>0</v>
      </c>
      <c r="BL815" s="99">
        <f t="shared" si="12"/>
        <v>23</v>
      </c>
      <c r="BM815" s="99" t="str">
        <f>IFERROR(__xludf.DUMMYFUNCTION("IFERROR(VLOOKUP(BG815,IMPORTRANGE(""https://docs.google.com/spreadsheets/d/1juPI-Fb8LD0YtltB2mlGEnp_R3UVu1t3wSFPzgCyHXE/edit?gid=0#gid=0"",""GERAL!A2:C""),3,0),""-"")"),"QUILOMBOLAS")</f>
        <v>QUILOMBOLAS</v>
      </c>
    </row>
    <row r="816" ht="15.75" customHeight="1">
      <c r="A816" s="111" t="s">
        <v>914</v>
      </c>
      <c r="B816" s="83" t="s">
        <v>3900</v>
      </c>
      <c r="C816" s="83" t="s">
        <v>164</v>
      </c>
      <c r="D816" s="112">
        <v>1179717.0</v>
      </c>
      <c r="E816" s="83">
        <v>1178848.0</v>
      </c>
      <c r="F816" s="98">
        <v>2.9483395E7</v>
      </c>
      <c r="G816" s="119" t="s">
        <v>3922</v>
      </c>
      <c r="H816" s="91" t="s">
        <v>3923</v>
      </c>
      <c r="I816" s="83" t="s">
        <v>149</v>
      </c>
      <c r="J816" s="83" t="s">
        <v>222</v>
      </c>
      <c r="K816" s="83" t="s">
        <v>168</v>
      </c>
      <c r="L816" s="83" t="s">
        <v>169</v>
      </c>
      <c r="M816" s="82" t="str">
        <f>IFERROR(__xludf.DUMMYFUNCTION("IFERROR(VLOOKUP(D816,
IMPORTRANGE(""https://docs.google.com/spreadsheets/d/1MjHtlUikwobi2MaWJgy7tfLeBmhj1u-dRFRs_8GwSoA/edit#gid=0"",""Gestores Escolares!D7:J""),3,0),""VERIFICAR CÓD SEC"")"),"LUIZ ANTONIO SANTOS XAVIER")</f>
        <v>LUIZ ANTONIO SANTOS XAVIER</v>
      </c>
      <c r="N816" s="82" t="str">
        <f>IFERROR(__xludf.DUMMYFUNCTION("IFERROR(VLOOKUP(D816,
IMPORTRANGE(""https://docs.google.com/spreadsheets/d/1MjHtlUikwobi2MaWJgy7tfLeBmhj1u-dRFRs_8GwSoA/edit#gid=0"",""Gestores Escolares!D7:J""),4,0),""VERIFICAR CÓD SEC"")"),"(77) 9 9988-7783")</f>
        <v>(77) 9 9988-7783</v>
      </c>
      <c r="O816" s="82" t="str">
        <f>IFERROR(__xludf.DUMMYFUNCTION("IFERROR(VLOOKUP(D816,
IMPORTRANGE(""https://docs.google.com/spreadsheets/d/1MjHtlUikwobi2MaWJgy7tfLeBmhj1u-dRFRs_8GwSoA/edit#gid=0"",""Gestores Escolares!D7:J""),6,0),""VERIFICAR CÓD SEC"")"),"")</f>
        <v/>
      </c>
      <c r="P816" s="82" t="str">
        <f>IFERROR(__xludf.DUMMYFUNCTION("IFERROR(VLOOKUP(D816,
IMPORTRANGE(""https://docs.google.com/spreadsheets/d/1MjHtlUikwobi2MaWJgy7tfLeBmhj1u-dRFRs_8GwSoA/edit#gid=0"",""Gestores Escolares!D7:J""),7,0),""VERIFICAR CÓD SEC"")"),"")</f>
        <v/>
      </c>
      <c r="Q816" s="82" t="str">
        <f>IFERROR(__xludf.DUMMYFUNCTION("IFERROR(VLOOKUP(D816,
IMPORTRANGE(""https://docs.google.com/spreadsheets/d/1MjHtlUikwobi2MaWJgy7tfLeBmhj1u-dRFRs_8GwSoA/edit#gid=0"",""Gestores Escolares!D7:m""),9,0),""VERIFICAR CÓD SEC"")"),"")</f>
        <v/>
      </c>
      <c r="R816" s="82" t="str">
        <f>IFERROR(__xludf.DUMMYFUNCTION("IFERROR(VLOOKUP(D816,
IMPORTRANGE(""https://docs.google.com/spreadsheets/d/1MjHtlUikwobi2MaWJgy7tfLeBmhj1u-dRFRs_8GwSoA/edit#gid=0"",""Gestores Escolares!D7:m""),10,0),""VERIFICAR CÓD SEC"")"),"")</f>
        <v/>
      </c>
      <c r="S816" s="82"/>
      <c r="T816" s="138">
        <v>3.0</v>
      </c>
      <c r="U816" s="145">
        <v>3.0</v>
      </c>
      <c r="V816" s="106">
        <v>0.0</v>
      </c>
      <c r="W816" s="107">
        <v>0.0</v>
      </c>
      <c r="X816" s="107">
        <v>0.0</v>
      </c>
      <c r="Y816" s="107">
        <v>0.0</v>
      </c>
      <c r="Z816" s="80">
        <f t="shared" si="1"/>
        <v>0</v>
      </c>
      <c r="AA816" s="106">
        <v>0.0</v>
      </c>
      <c r="AB816" s="107">
        <v>0.0</v>
      </c>
      <c r="AC816" s="107">
        <v>0.0</v>
      </c>
      <c r="AD816" s="107">
        <v>0.0</v>
      </c>
      <c r="AE816" s="80">
        <f t="shared" si="2"/>
        <v>0</v>
      </c>
      <c r="AF816" s="140">
        <v>38.0</v>
      </c>
      <c r="AG816" s="109">
        <v>0.0</v>
      </c>
      <c r="AH816" s="109">
        <v>0.0</v>
      </c>
      <c r="AI816" s="141">
        <v>0.0</v>
      </c>
      <c r="AJ816" s="80">
        <f t="shared" si="3"/>
        <v>38</v>
      </c>
      <c r="AK816" s="140">
        <v>0.0</v>
      </c>
      <c r="AL816" s="109">
        <v>0.0</v>
      </c>
      <c r="AM816" s="141">
        <v>0.0</v>
      </c>
      <c r="AN816" s="80">
        <f t="shared" si="4"/>
        <v>0</v>
      </c>
      <c r="AO816" s="140">
        <v>0.0</v>
      </c>
      <c r="AP816" s="109">
        <v>0.0</v>
      </c>
      <c r="AQ816" s="109">
        <v>0.0</v>
      </c>
      <c r="AR816" s="80">
        <f t="shared" si="5"/>
        <v>0</v>
      </c>
      <c r="AS816" s="110">
        <v>0.0</v>
      </c>
      <c r="AT816" s="110">
        <v>0.0</v>
      </c>
      <c r="AU816" s="110">
        <v>0.0</v>
      </c>
      <c r="AV816" s="142">
        <v>0.0</v>
      </c>
      <c r="AW816" s="80">
        <f t="shared" si="6"/>
        <v>0</v>
      </c>
      <c r="AX816" s="113">
        <f t="shared" si="7"/>
        <v>38</v>
      </c>
      <c r="AY816" s="117">
        <f t="shared" si="8"/>
        <v>38</v>
      </c>
      <c r="AZ816" s="120">
        <f t="shared" si="9"/>
        <v>0</v>
      </c>
      <c r="BA816" s="115">
        <v>0.0</v>
      </c>
      <c r="BB816" s="89">
        <f t="shared" si="10"/>
        <v>38</v>
      </c>
      <c r="BC816" s="132" t="s">
        <v>373</v>
      </c>
      <c r="BD816" s="132" t="s">
        <v>178</v>
      </c>
      <c r="BE816" s="132" t="s">
        <v>178</v>
      </c>
      <c r="BF816" s="123"/>
      <c r="BG816" s="83">
        <v>1178848.0</v>
      </c>
      <c r="BH816" s="112"/>
      <c r="BI816" s="112">
        <v>2.0</v>
      </c>
      <c r="BJ816" s="98" t="s">
        <v>155</v>
      </c>
      <c r="BK816" s="99">
        <f t="shared" si="11"/>
        <v>0</v>
      </c>
      <c r="BL816" s="99">
        <f t="shared" si="12"/>
        <v>38</v>
      </c>
      <c r="BM816" s="99" t="str">
        <f>IFERROR(__xludf.DUMMYFUNCTION("IFERROR(VLOOKUP(BG816,IMPORTRANGE(""https://docs.google.com/spreadsheets/d/1juPI-Fb8LD0YtltB2mlGEnp_R3UVu1t3wSFPzgCyHXE/edit?gid=0#gid=0"",""GERAL!A2:C""),3,0),""-"")"),"CAMPO")</f>
        <v>CAMPO</v>
      </c>
    </row>
    <row r="817" ht="15.75" customHeight="1">
      <c r="A817" s="111" t="s">
        <v>914</v>
      </c>
      <c r="B817" s="83" t="s">
        <v>3924</v>
      </c>
      <c r="C817" s="83" t="s">
        <v>45</v>
      </c>
      <c r="D817" s="112">
        <v>1178390.0</v>
      </c>
      <c r="E817" s="83"/>
      <c r="F817" s="83">
        <v>2.9981727E7</v>
      </c>
      <c r="G817" s="241" t="s">
        <v>3925</v>
      </c>
      <c r="H817" s="91" t="s">
        <v>3927</v>
      </c>
      <c r="I817" s="83" t="s">
        <v>149</v>
      </c>
      <c r="J817" s="115" t="s">
        <v>150</v>
      </c>
      <c r="K817" s="83" t="s">
        <v>171</v>
      </c>
      <c r="L817" s="83" t="s">
        <v>169</v>
      </c>
      <c r="M817" s="82" t="str">
        <f>IFERROR(__xludf.DUMMYFUNCTION("IFERROR(VLOOKUP(D817,
IMPORTRANGE(""https://docs.google.com/spreadsheets/d/1MjHtlUikwobi2MaWJgy7tfLeBmhj1u-dRFRs_8GwSoA/edit#gid=0"",""Gestores Escolares!D7:J""),3,0),""VERIFICAR CÓD SEC"")")," ELIZETE COTRIM MEIRA ABREU")</f>
        <v> ELIZETE COTRIM MEIRA ABREU</v>
      </c>
      <c r="N817" s="82" t="str">
        <f>IFERROR(__xludf.DUMMYFUNCTION("IFERROR(VLOOKUP(D817,
IMPORTRANGE(""https://docs.google.com/spreadsheets/d/1MjHtlUikwobi2MaWJgy7tfLeBmhj1u-dRFRs_8GwSoA/edit#gid=0"",""Gestores Escolares!D7:J""),4,0),""VERIFICAR CÓD SEC"")"),"(77) 9 9951-2415")</f>
        <v>(77) 9 9951-2415</v>
      </c>
      <c r="O817" s="82" t="str">
        <f>IFERROR(__xludf.DUMMYFUNCTION("IFERROR(VLOOKUP(D817,
IMPORTRANGE(""https://docs.google.com/spreadsheets/d/1MjHtlUikwobi2MaWJgy7tfLeBmhj1u-dRFRs_8GwSoA/edit#gid=0"",""Gestores Escolares!D7:J""),6,0),""VERIFICAR CÓD SEC"")"),"")</f>
        <v/>
      </c>
      <c r="P817" s="82" t="str">
        <f>IFERROR(__xludf.DUMMYFUNCTION("IFERROR(VLOOKUP(D817,
IMPORTRANGE(""https://docs.google.com/spreadsheets/d/1MjHtlUikwobi2MaWJgy7tfLeBmhj1u-dRFRs_8GwSoA/edit#gid=0"",""Gestores Escolares!D7:J""),7,0),""VERIFICAR CÓD SEC"")"),"")</f>
        <v/>
      </c>
      <c r="Q817" s="82" t="str">
        <f>IFERROR(__xludf.DUMMYFUNCTION("IFERROR(VLOOKUP(D817,
IMPORTRANGE(""https://docs.google.com/spreadsheets/d/1MjHtlUikwobi2MaWJgy7tfLeBmhj1u-dRFRs_8GwSoA/edit#gid=0"",""Gestores Escolares!D7:m""),9,0),""VERIFICAR CÓD SEC"")"),"")</f>
        <v/>
      </c>
      <c r="R817" s="82" t="str">
        <f>IFERROR(__xludf.DUMMYFUNCTION("IFERROR(VLOOKUP(D817,
IMPORTRANGE(""https://docs.google.com/spreadsheets/d/1MjHtlUikwobi2MaWJgy7tfLeBmhj1u-dRFRs_8GwSoA/edit#gid=0"",""Gestores Escolares!D7:m""),10,0),""VERIFICAR CÓD SEC"")"),"")</f>
        <v/>
      </c>
      <c r="S817" s="82"/>
      <c r="T817" s="138">
        <v>4.0</v>
      </c>
      <c r="U817" s="145">
        <v>4.0</v>
      </c>
      <c r="V817" s="106">
        <v>0.0</v>
      </c>
      <c r="W817" s="107">
        <v>0.0</v>
      </c>
      <c r="X817" s="107">
        <v>0.0</v>
      </c>
      <c r="Y817" s="107">
        <v>0.0</v>
      </c>
      <c r="Z817" s="80">
        <f t="shared" si="1"/>
        <v>0</v>
      </c>
      <c r="AA817" s="106">
        <v>0.0</v>
      </c>
      <c r="AB817" s="107">
        <v>0.0</v>
      </c>
      <c r="AC817" s="107">
        <v>0.0</v>
      </c>
      <c r="AD817" s="107">
        <v>0.0</v>
      </c>
      <c r="AE817" s="80">
        <f t="shared" si="2"/>
        <v>0</v>
      </c>
      <c r="AF817" s="225">
        <v>0.0</v>
      </c>
      <c r="AG817" s="226">
        <v>0.0</v>
      </c>
      <c r="AH817" s="226">
        <v>0.0</v>
      </c>
      <c r="AI817" s="227">
        <v>90.0</v>
      </c>
      <c r="AJ817" s="80">
        <f t="shared" si="3"/>
        <v>90</v>
      </c>
      <c r="AK817" s="140">
        <v>0.0</v>
      </c>
      <c r="AL817" s="109">
        <v>0.0</v>
      </c>
      <c r="AM817" s="141">
        <v>0.0</v>
      </c>
      <c r="AN817" s="80">
        <f t="shared" si="4"/>
        <v>0</v>
      </c>
      <c r="AO817" s="225">
        <v>0.0</v>
      </c>
      <c r="AP817" s="226">
        <v>0.0</v>
      </c>
      <c r="AQ817" s="226">
        <v>0.0</v>
      </c>
      <c r="AR817" s="80">
        <f t="shared" si="5"/>
        <v>0</v>
      </c>
      <c r="AS817" s="110">
        <v>0.0</v>
      </c>
      <c r="AT817" s="110">
        <v>0.0</v>
      </c>
      <c r="AU817" s="110">
        <v>0.0</v>
      </c>
      <c r="AV817" s="142">
        <v>0.0</v>
      </c>
      <c r="AW817" s="80">
        <f t="shared" si="6"/>
        <v>0</v>
      </c>
      <c r="AX817" s="113">
        <f t="shared" si="7"/>
        <v>90</v>
      </c>
      <c r="AY817" s="117">
        <f t="shared" si="8"/>
        <v>90</v>
      </c>
      <c r="AZ817" s="120">
        <f t="shared" si="9"/>
        <v>0</v>
      </c>
      <c r="BA817" s="115">
        <v>0.0</v>
      </c>
      <c r="BB817" s="89">
        <f t="shared" si="10"/>
        <v>90</v>
      </c>
      <c r="BC817" s="132" t="s">
        <v>178</v>
      </c>
      <c r="BD817" s="132" t="s">
        <v>178</v>
      </c>
      <c r="BE817" s="132" t="s">
        <v>178</v>
      </c>
      <c r="BF817" s="123"/>
      <c r="BG817" s="83">
        <v>1178390.0</v>
      </c>
      <c r="BH817" s="112"/>
      <c r="BI817" s="112">
        <v>4.0</v>
      </c>
      <c r="BJ817" s="98" t="s">
        <v>155</v>
      </c>
      <c r="BK817" s="99">
        <f t="shared" si="11"/>
        <v>90</v>
      </c>
      <c r="BL817" s="99">
        <f t="shared" si="12"/>
        <v>0</v>
      </c>
      <c r="BM817" s="99" t="str">
        <f>IFERROR(__xludf.DUMMYFUNCTION("IFERROR(VLOOKUP(BG817,IMPORTRANGE(""https://docs.google.com/spreadsheets/d/1juPI-Fb8LD0YtltB2mlGEnp_R3UVu1t3wSFPzgCyHXE/edit?gid=0#gid=0"",""GERAL!A2:C""),3,0),""-"")"),"EFA")</f>
        <v>EFA</v>
      </c>
    </row>
    <row r="818" ht="15.75" customHeight="1">
      <c r="A818" s="111" t="s">
        <v>914</v>
      </c>
      <c r="B818" s="83" t="s">
        <v>3924</v>
      </c>
      <c r="C818" s="83" t="s">
        <v>68</v>
      </c>
      <c r="D818" s="112">
        <v>1128088.0</v>
      </c>
      <c r="E818" s="83"/>
      <c r="F818" s="83">
        <v>2.9209439E7</v>
      </c>
      <c r="G818" s="184" t="s">
        <v>3931</v>
      </c>
      <c r="H818" s="91" t="s">
        <v>3932</v>
      </c>
      <c r="I818" s="83" t="s">
        <v>149</v>
      </c>
      <c r="J818" s="83" t="s">
        <v>150</v>
      </c>
      <c r="K818" s="83" t="s">
        <v>151</v>
      </c>
      <c r="L818" s="83" t="s">
        <v>76</v>
      </c>
      <c r="M818" s="82" t="str">
        <f>IFERROR(__xludf.DUMMYFUNCTION("IFERROR(VLOOKUP(D818,
IMPORTRANGE(""https://docs.google.com/spreadsheets/d/1MjHtlUikwobi2MaWJgy7tfLeBmhj1u-dRFRs_8GwSoA/edit#gid=0"",""Gestores Escolares!D7:J""),3,0),""VERIFICAR CÓD SEC"")"),"ADRIANA PEREIRA OLIVEIRA")</f>
        <v>ADRIANA PEREIRA OLIVEIRA</v>
      </c>
      <c r="N818" s="82" t="str">
        <f>IFERROR(__xludf.DUMMYFUNCTION("IFERROR(VLOOKUP(D818,
IMPORTRANGE(""https://docs.google.com/spreadsheets/d/1MjHtlUikwobi2MaWJgy7tfLeBmhj1u-dRFRs_8GwSoA/edit#gid=0"",""Gestores Escolares!D7:J""),4,0),""VERIFICAR CÓD SEC"")"),"(77) 9 9963-6340")</f>
        <v>(77) 9 9963-6340</v>
      </c>
      <c r="O818" s="82" t="str">
        <f>IFERROR(__xludf.DUMMYFUNCTION("IFERROR(VLOOKUP(D818,
IMPORTRANGE(""https://docs.google.com/spreadsheets/d/1MjHtlUikwobi2MaWJgy7tfLeBmhj1u-dRFRs_8GwSoA/edit#gid=0"",""Gestores Escolares!D7:J""),6,0),""VERIFICAR CÓD SEC"")"),"")</f>
        <v/>
      </c>
      <c r="P818" s="82" t="str">
        <f>IFERROR(__xludf.DUMMYFUNCTION("IFERROR(VLOOKUP(D818,
IMPORTRANGE(""https://docs.google.com/spreadsheets/d/1MjHtlUikwobi2MaWJgy7tfLeBmhj1u-dRFRs_8GwSoA/edit#gid=0"",""Gestores Escolares!D7:J""),7,0),""VERIFICAR CÓD SEC"")"),"")</f>
        <v/>
      </c>
      <c r="Q818" s="82" t="str">
        <f>IFERROR(__xludf.DUMMYFUNCTION("IFERROR(VLOOKUP(D818,
IMPORTRANGE(""https://docs.google.com/spreadsheets/d/1MjHtlUikwobi2MaWJgy7tfLeBmhj1u-dRFRs_8GwSoA/edit#gid=0"",""Gestores Escolares!D7:m""),9,0),""VERIFICAR CÓD SEC"")"),"")</f>
        <v/>
      </c>
      <c r="R818" s="82" t="str">
        <f>IFERROR(__xludf.DUMMYFUNCTION("IFERROR(VLOOKUP(D818,
IMPORTRANGE(""https://docs.google.com/spreadsheets/d/1MjHtlUikwobi2MaWJgy7tfLeBmhj1u-dRFRs_8GwSoA/edit#gid=0"",""Gestores Escolares!D7:m""),10,0),""VERIFICAR CÓD SEC"")"),"")</f>
        <v/>
      </c>
      <c r="S818" s="82"/>
      <c r="T818" s="138">
        <v>7.0</v>
      </c>
      <c r="U818" s="139">
        <v>7.0</v>
      </c>
      <c r="V818" s="106">
        <v>0.0</v>
      </c>
      <c r="W818" s="107">
        <v>0.0</v>
      </c>
      <c r="X818" s="107">
        <v>0.0</v>
      </c>
      <c r="Y818" s="107">
        <v>0.0</v>
      </c>
      <c r="Z818" s="80">
        <f t="shared" si="1"/>
        <v>0</v>
      </c>
      <c r="AA818" s="106">
        <v>0.0</v>
      </c>
      <c r="AB818" s="107">
        <v>0.0</v>
      </c>
      <c r="AC818" s="107">
        <v>0.0</v>
      </c>
      <c r="AD818" s="107">
        <v>0.0</v>
      </c>
      <c r="AE818" s="80">
        <f t="shared" si="2"/>
        <v>0</v>
      </c>
      <c r="AF818" s="140">
        <v>123.0</v>
      </c>
      <c r="AG818" s="109">
        <v>0.0</v>
      </c>
      <c r="AH818" s="109">
        <v>0.0</v>
      </c>
      <c r="AI818" s="141">
        <v>58.0</v>
      </c>
      <c r="AJ818" s="80">
        <f t="shared" si="3"/>
        <v>181</v>
      </c>
      <c r="AK818" s="140">
        <v>0.0</v>
      </c>
      <c r="AL818" s="109">
        <v>0.0</v>
      </c>
      <c r="AM818" s="141">
        <v>0.0</v>
      </c>
      <c r="AN818" s="80">
        <f t="shared" si="4"/>
        <v>0</v>
      </c>
      <c r="AO818" s="140">
        <v>0.0</v>
      </c>
      <c r="AP818" s="109">
        <v>0.0</v>
      </c>
      <c r="AQ818" s="109">
        <v>0.0</v>
      </c>
      <c r="AR818" s="80">
        <f t="shared" si="5"/>
        <v>0</v>
      </c>
      <c r="AS818" s="110">
        <v>0.0</v>
      </c>
      <c r="AT818" s="110">
        <v>0.0</v>
      </c>
      <c r="AU818" s="110">
        <v>0.0</v>
      </c>
      <c r="AV818" s="142">
        <v>0.0</v>
      </c>
      <c r="AW818" s="80">
        <f t="shared" si="6"/>
        <v>0</v>
      </c>
      <c r="AX818" s="113">
        <f t="shared" si="7"/>
        <v>181</v>
      </c>
      <c r="AY818" s="117">
        <f t="shared" si="8"/>
        <v>181</v>
      </c>
      <c r="AZ818" s="120">
        <f t="shared" si="9"/>
        <v>0</v>
      </c>
      <c r="BA818" s="115">
        <v>0.0</v>
      </c>
      <c r="BB818" s="89">
        <f t="shared" si="10"/>
        <v>181</v>
      </c>
      <c r="BC818" s="132" t="s">
        <v>178</v>
      </c>
      <c r="BD818" s="132" t="s">
        <v>178</v>
      </c>
      <c r="BE818" s="132" t="s">
        <v>178</v>
      </c>
      <c r="BF818" s="123"/>
      <c r="BG818" s="83">
        <v>1128088.0</v>
      </c>
      <c r="BH818" s="112"/>
      <c r="BI818" s="112">
        <v>7.0</v>
      </c>
      <c r="BJ818" s="98" t="s">
        <v>155</v>
      </c>
      <c r="BK818" s="99">
        <f t="shared" si="11"/>
        <v>58</v>
      </c>
      <c r="BL818" s="99">
        <f t="shared" si="12"/>
        <v>123</v>
      </c>
      <c r="BM818" s="99" t="str">
        <f>IFERROR(__xludf.DUMMYFUNCTION("IFERROR(VLOOKUP(BG818,IMPORTRANGE(""https://docs.google.com/spreadsheets/d/1juPI-Fb8LD0YtltB2mlGEnp_R3UVu1t3wSFPzgCyHXE/edit?gid=0#gid=0"",""GERAL!A2:C""),3,0),""-"")"),"-")</f>
        <v>-</v>
      </c>
    </row>
    <row r="819" ht="15.75" customHeight="1">
      <c r="A819" s="375" t="s">
        <v>914</v>
      </c>
      <c r="B819" s="189" t="s">
        <v>3924</v>
      </c>
      <c r="C819" s="83" t="s">
        <v>68</v>
      </c>
      <c r="D819" s="208">
        <v>1128177.0</v>
      </c>
      <c r="E819" s="189"/>
      <c r="F819" s="189">
        <v>2.9208297E7</v>
      </c>
      <c r="G819" s="521" t="s">
        <v>3940</v>
      </c>
      <c r="H819" s="91" t="s">
        <v>3941</v>
      </c>
      <c r="I819" s="189" t="s">
        <v>149</v>
      </c>
      <c r="J819" s="189" t="s">
        <v>150</v>
      </c>
      <c r="K819" s="189" t="s">
        <v>151</v>
      </c>
      <c r="L819" s="189" t="s">
        <v>230</v>
      </c>
      <c r="M819" s="82" t="str">
        <f>IFERROR(__xludf.DUMMYFUNCTION("IFERROR(VLOOKUP(D819,
IMPORTRANGE(""https://docs.google.com/spreadsheets/d/1MjHtlUikwobi2MaWJgy7tfLeBmhj1u-dRFRs_8GwSoA/edit#gid=0"",""Gestores Escolares!D7:J""),3,0),""VERIFICAR CÓD SEC"")"),"ALAN JOSE ALCANTARA DE FIGUEIREDO")</f>
        <v>ALAN JOSE ALCANTARA DE FIGUEIREDO</v>
      </c>
      <c r="N819" s="82" t="str">
        <f>IFERROR(__xludf.DUMMYFUNCTION("IFERROR(VLOOKUP(D819,
IMPORTRANGE(""https://docs.google.com/spreadsheets/d/1MjHtlUikwobi2MaWJgy7tfLeBmhj1u-dRFRs_8GwSoA/edit#gid=0"",""Gestores Escolares!D7:J""),4,0),""VERIFICAR CÓD SEC"")"),"(77) 9 9951-1996")</f>
        <v>(77) 9 9951-1996</v>
      </c>
      <c r="O819" s="82" t="str">
        <f>IFERROR(__xludf.DUMMYFUNCTION("IFERROR(VLOOKUP(D819,
IMPORTRANGE(""https://docs.google.com/spreadsheets/d/1MjHtlUikwobi2MaWJgy7tfLeBmhj1u-dRFRs_8GwSoA/edit#gid=0"",""Gestores Escolares!D7:J""),6,0),""VERIFICAR CÓD SEC"")"),"ANTONIO SANTOS XAVIER")</f>
        <v>ANTONIO SANTOS XAVIER</v>
      </c>
      <c r="P819" s="82" t="str">
        <f>IFERROR(__xludf.DUMMYFUNCTION("IFERROR(VLOOKUP(D819,
IMPORTRANGE(""https://docs.google.com/spreadsheets/d/1MjHtlUikwobi2MaWJgy7tfLeBmhj1u-dRFRs_8GwSoA/edit#gid=0"",""Gestores Escolares!D7:J""),7,0),""VERIFICAR CÓD SEC"")")," (77) 9 9126-0099")</f>
        <v> (77) 9 9126-0099</v>
      </c>
      <c r="Q819" s="82" t="str">
        <f>IFERROR(__xludf.DUMMYFUNCTION("IFERROR(VLOOKUP(D819,
IMPORTRANGE(""https://docs.google.com/spreadsheets/d/1MjHtlUikwobi2MaWJgy7tfLeBmhj1u-dRFRs_8GwSoA/edit#gid=0"",""Gestores Escolares!D7:m""),9,0),""VERIFICAR CÓD SEC"")"),"AVANI FRANCISCA DE ARAUJO COSTA")</f>
        <v>AVANI FRANCISCA DE ARAUJO COSTA</v>
      </c>
      <c r="R819" s="82" t="str">
        <f>IFERROR(__xludf.DUMMYFUNCTION("IFERROR(VLOOKUP(D819,
IMPORTRANGE(""https://docs.google.com/spreadsheets/d/1MjHtlUikwobi2MaWJgy7tfLeBmhj1u-dRFRs_8GwSoA/edit#gid=0"",""Gestores Escolares!D7:m""),10,0),""VERIFICAR CÓD SEC"")"),"(77) 9 9977-9332")</f>
        <v>(77) 9 9977-9332</v>
      </c>
      <c r="S819" s="82"/>
      <c r="T819" s="321">
        <v>22.0</v>
      </c>
      <c r="U819" s="322">
        <v>25.0</v>
      </c>
      <c r="V819" s="106">
        <v>0.0</v>
      </c>
      <c r="W819" s="107">
        <v>0.0</v>
      </c>
      <c r="X819" s="107">
        <v>0.0</v>
      </c>
      <c r="Y819" s="107">
        <v>0.0</v>
      </c>
      <c r="Z819" s="80">
        <f t="shared" si="1"/>
        <v>0</v>
      </c>
      <c r="AA819" s="106">
        <v>0.0</v>
      </c>
      <c r="AB819" s="107">
        <v>0.0</v>
      </c>
      <c r="AC819" s="107">
        <v>0.0</v>
      </c>
      <c r="AD819" s="107">
        <v>0.0</v>
      </c>
      <c r="AE819" s="80">
        <f t="shared" si="2"/>
        <v>0</v>
      </c>
      <c r="AF819" s="324">
        <v>269.0</v>
      </c>
      <c r="AG819" s="325">
        <v>247.0</v>
      </c>
      <c r="AH819" s="325">
        <v>0.0</v>
      </c>
      <c r="AI819" s="326">
        <v>76.0</v>
      </c>
      <c r="AJ819" s="80">
        <f t="shared" si="3"/>
        <v>592</v>
      </c>
      <c r="AK819" s="324">
        <v>0.0</v>
      </c>
      <c r="AL819" s="325">
        <v>0.0</v>
      </c>
      <c r="AM819" s="326">
        <v>0.0</v>
      </c>
      <c r="AN819" s="80">
        <f t="shared" si="4"/>
        <v>0</v>
      </c>
      <c r="AO819" s="324">
        <v>0.0</v>
      </c>
      <c r="AP819" s="325">
        <v>0.0</v>
      </c>
      <c r="AQ819" s="325">
        <v>62.0</v>
      </c>
      <c r="AR819" s="80">
        <f t="shared" si="5"/>
        <v>62</v>
      </c>
      <c r="AS819" s="329">
        <v>283.0</v>
      </c>
      <c r="AT819" s="329">
        <v>161.0</v>
      </c>
      <c r="AU819" s="329">
        <v>74.0</v>
      </c>
      <c r="AV819" s="330">
        <v>0.0</v>
      </c>
      <c r="AW819" s="80">
        <f t="shared" si="6"/>
        <v>518</v>
      </c>
      <c r="AX819" s="113">
        <f t="shared" si="7"/>
        <v>1172</v>
      </c>
      <c r="AY819" s="117">
        <f t="shared" si="8"/>
        <v>1036</v>
      </c>
      <c r="AZ819" s="120">
        <f t="shared" si="9"/>
        <v>136</v>
      </c>
      <c r="BA819" s="593">
        <v>0.0</v>
      </c>
      <c r="BB819" s="89">
        <f t="shared" si="10"/>
        <v>1172</v>
      </c>
      <c r="BC819" s="132" t="s">
        <v>178</v>
      </c>
      <c r="BD819" s="132" t="s">
        <v>522</v>
      </c>
      <c r="BE819" s="132" t="s">
        <v>178</v>
      </c>
      <c r="BF819" s="503"/>
      <c r="BG819" s="83">
        <v>1128177.0</v>
      </c>
      <c r="BH819" s="98"/>
      <c r="BI819" s="98">
        <v>24.0</v>
      </c>
      <c r="BJ819" s="98" t="s">
        <v>284</v>
      </c>
      <c r="BK819" s="99">
        <f t="shared" si="11"/>
        <v>76</v>
      </c>
      <c r="BL819" s="99">
        <f t="shared" si="12"/>
        <v>960</v>
      </c>
      <c r="BM819" s="99" t="str">
        <f>IFERROR(__xludf.DUMMYFUNCTION("IFERROR(VLOOKUP(BG819,IMPORTRANGE(""https://docs.google.com/spreadsheets/d/1juPI-Fb8LD0YtltB2mlGEnp_R3UVu1t3wSFPzgCyHXE/edit?gid=0#gid=0"",""GERAL!A2:C""),3,0),""-"")"),"-")</f>
        <v>-</v>
      </c>
    </row>
    <row r="820" ht="15.75" customHeight="1">
      <c r="A820" s="111" t="s">
        <v>914</v>
      </c>
      <c r="B820" s="83" t="s">
        <v>3924</v>
      </c>
      <c r="C820" s="83" t="s">
        <v>68</v>
      </c>
      <c r="D820" s="112">
        <v>1179717.0</v>
      </c>
      <c r="E820" s="83"/>
      <c r="F820" s="83">
        <v>2.9483395E7</v>
      </c>
      <c r="G820" s="114" t="s">
        <v>3949</v>
      </c>
      <c r="H820" s="91" t="s">
        <v>3950</v>
      </c>
      <c r="I820" s="594" t="s">
        <v>149</v>
      </c>
      <c r="J820" s="98" t="s">
        <v>150</v>
      </c>
      <c r="K820" s="83" t="s">
        <v>151</v>
      </c>
      <c r="L820" s="189" t="s">
        <v>230</v>
      </c>
      <c r="M820" s="82" t="str">
        <f>IFERROR(__xludf.DUMMYFUNCTION("IFERROR(VLOOKUP(D820,
IMPORTRANGE(""https://docs.google.com/spreadsheets/d/1MjHtlUikwobi2MaWJgy7tfLeBmhj1u-dRFRs_8GwSoA/edit#gid=0"",""Gestores Escolares!D7:J""),3,0),""VERIFICAR CÓD SEC"")"),"LUIZ ANTONIO SANTOS XAVIER")</f>
        <v>LUIZ ANTONIO SANTOS XAVIER</v>
      </c>
      <c r="N820" s="82" t="str">
        <f>IFERROR(__xludf.DUMMYFUNCTION("IFERROR(VLOOKUP(D820,
IMPORTRANGE(""https://docs.google.com/spreadsheets/d/1MjHtlUikwobi2MaWJgy7tfLeBmhj1u-dRFRs_8GwSoA/edit#gid=0"",""Gestores Escolares!D7:J""),4,0),""VERIFICAR CÓD SEC"")"),"(77) 9 9988-7783")</f>
        <v>(77) 9 9988-7783</v>
      </c>
      <c r="O820" s="82" t="str">
        <f>IFERROR(__xludf.DUMMYFUNCTION("IFERROR(VLOOKUP(D820,
IMPORTRANGE(""https://docs.google.com/spreadsheets/d/1MjHtlUikwobi2MaWJgy7tfLeBmhj1u-dRFRs_8GwSoA/edit#gid=0"",""Gestores Escolares!D7:J""),6,0),""VERIFICAR CÓD SEC"")"),"")</f>
        <v/>
      </c>
      <c r="P820" s="82" t="str">
        <f>IFERROR(__xludf.DUMMYFUNCTION("IFERROR(VLOOKUP(D820,
IMPORTRANGE(""https://docs.google.com/spreadsheets/d/1MjHtlUikwobi2MaWJgy7tfLeBmhj1u-dRFRs_8GwSoA/edit#gid=0"",""Gestores Escolares!D7:J""),7,0),""VERIFICAR CÓD SEC"")"),"")</f>
        <v/>
      </c>
      <c r="Q820" s="82" t="str">
        <f>IFERROR(__xludf.DUMMYFUNCTION("IFERROR(VLOOKUP(D820,
IMPORTRANGE(""https://docs.google.com/spreadsheets/d/1MjHtlUikwobi2MaWJgy7tfLeBmhj1u-dRFRs_8GwSoA/edit#gid=0"",""Gestores Escolares!D7:m""),9,0),""VERIFICAR CÓD SEC"")"),"")</f>
        <v/>
      </c>
      <c r="R820" s="82" t="str">
        <f>IFERROR(__xludf.DUMMYFUNCTION("IFERROR(VLOOKUP(D820,
IMPORTRANGE(""https://docs.google.com/spreadsheets/d/1MjHtlUikwobi2MaWJgy7tfLeBmhj1u-dRFRs_8GwSoA/edit#gid=0"",""Gestores Escolares!D7:m""),10,0),""VERIFICAR CÓD SEC"")"),"")</f>
        <v/>
      </c>
      <c r="S820" s="82"/>
      <c r="T820" s="138"/>
      <c r="U820" s="145">
        <v>1.0</v>
      </c>
      <c r="V820" s="106">
        <v>0.0</v>
      </c>
      <c r="W820" s="107">
        <v>0.0</v>
      </c>
      <c r="X820" s="107">
        <v>0.0</v>
      </c>
      <c r="Y820" s="107">
        <v>0.0</v>
      </c>
      <c r="Z820" s="80">
        <f t="shared" si="1"/>
        <v>0</v>
      </c>
      <c r="AA820" s="106">
        <v>0.0</v>
      </c>
      <c r="AB820" s="107">
        <v>0.0</v>
      </c>
      <c r="AC820" s="107">
        <v>0.0</v>
      </c>
      <c r="AD820" s="107">
        <v>0.0</v>
      </c>
      <c r="AE820" s="80">
        <f t="shared" si="2"/>
        <v>0</v>
      </c>
      <c r="AF820" s="140">
        <v>0.0</v>
      </c>
      <c r="AG820" s="109">
        <v>0.0</v>
      </c>
      <c r="AH820" s="109">
        <v>0.0</v>
      </c>
      <c r="AI820" s="141">
        <v>0.0</v>
      </c>
      <c r="AJ820" s="80">
        <f t="shared" si="3"/>
        <v>0</v>
      </c>
      <c r="AK820" s="140">
        <v>0.0</v>
      </c>
      <c r="AL820" s="109">
        <v>0.0</v>
      </c>
      <c r="AM820" s="141">
        <v>0.0</v>
      </c>
      <c r="AN820" s="80">
        <f t="shared" si="4"/>
        <v>0</v>
      </c>
      <c r="AO820" s="140">
        <v>0.0</v>
      </c>
      <c r="AP820" s="109">
        <v>0.0</v>
      </c>
      <c r="AQ820" s="109">
        <v>0.0</v>
      </c>
      <c r="AR820" s="80">
        <f t="shared" si="5"/>
        <v>0</v>
      </c>
      <c r="AS820" s="110">
        <v>0.0</v>
      </c>
      <c r="AT820" s="110">
        <v>0.0</v>
      </c>
      <c r="AU820" s="110">
        <v>0.0</v>
      </c>
      <c r="AV820" s="142">
        <v>0.0</v>
      </c>
      <c r="AW820" s="80">
        <f t="shared" si="6"/>
        <v>0</v>
      </c>
      <c r="AX820" s="113">
        <f t="shared" si="7"/>
        <v>0</v>
      </c>
      <c r="AY820" s="117">
        <f t="shared" si="8"/>
        <v>0</v>
      </c>
      <c r="AZ820" s="120">
        <f t="shared" si="9"/>
        <v>0</v>
      </c>
      <c r="BA820" s="115">
        <v>0.0</v>
      </c>
      <c r="BB820" s="89">
        <f t="shared" si="10"/>
        <v>0</v>
      </c>
      <c r="BC820" s="132" t="s">
        <v>178</v>
      </c>
      <c r="BD820" s="143" t="s">
        <v>227</v>
      </c>
      <c r="BE820" s="132" t="s">
        <v>178</v>
      </c>
      <c r="BF820" s="156" t="s">
        <v>534</v>
      </c>
      <c r="BG820" s="83">
        <v>1179717.0</v>
      </c>
      <c r="BH820" s="98"/>
      <c r="BI820" s="98">
        <v>1.0</v>
      </c>
      <c r="BJ820" s="98" t="s">
        <v>155</v>
      </c>
      <c r="BK820" s="99">
        <f t="shared" si="11"/>
        <v>0</v>
      </c>
      <c r="BL820" s="99">
        <f t="shared" si="12"/>
        <v>0</v>
      </c>
      <c r="BM820" s="99" t="str">
        <f>IFERROR(__xludf.DUMMYFUNCTION("IFERROR(VLOOKUP(BG820,IMPORTRANGE(""https://docs.google.com/spreadsheets/d/1juPI-Fb8LD0YtltB2mlGEnp_R3UVu1t3wSFPzgCyHXE/edit?gid=0#gid=0"",""GERAL!A2:C""),3,0),""-"")"),"-")</f>
        <v>-</v>
      </c>
    </row>
    <row r="821" ht="15.75" customHeight="1">
      <c r="A821" s="81" t="s">
        <v>914</v>
      </c>
      <c r="B821" s="82" t="s">
        <v>3924</v>
      </c>
      <c r="C821" s="82" t="s">
        <v>164</v>
      </c>
      <c r="D821" s="112">
        <v>1179717.0</v>
      </c>
      <c r="E821" s="82">
        <v>1178853.0</v>
      </c>
      <c r="F821" s="94">
        <v>2.9483395E7</v>
      </c>
      <c r="G821" s="244" t="s">
        <v>3953</v>
      </c>
      <c r="H821" s="91" t="s">
        <v>3954</v>
      </c>
      <c r="I821" s="82" t="s">
        <v>149</v>
      </c>
      <c r="J821" s="82" t="s">
        <v>464</v>
      </c>
      <c r="K821" s="82" t="s">
        <v>168</v>
      </c>
      <c r="L821" s="82" t="s">
        <v>169</v>
      </c>
      <c r="M821" s="82" t="str">
        <f>IFERROR(__xludf.DUMMYFUNCTION("IFERROR(VLOOKUP(D821,
IMPORTRANGE(""https://docs.google.com/spreadsheets/d/1MjHtlUikwobi2MaWJgy7tfLeBmhj1u-dRFRs_8GwSoA/edit#gid=0"",""Gestores Escolares!D7:J""),3,0),""VERIFICAR CÓD SEC"")"),"LUIZ ANTONIO SANTOS XAVIER")</f>
        <v>LUIZ ANTONIO SANTOS XAVIER</v>
      </c>
      <c r="N821" s="82" t="str">
        <f>IFERROR(__xludf.DUMMYFUNCTION("IFERROR(VLOOKUP(D821,
IMPORTRANGE(""https://docs.google.com/spreadsheets/d/1MjHtlUikwobi2MaWJgy7tfLeBmhj1u-dRFRs_8GwSoA/edit#gid=0"",""Gestores Escolares!D7:J""),4,0),""VERIFICAR CÓD SEC"")"),"(77) 9 9988-7783")</f>
        <v>(77) 9 9988-7783</v>
      </c>
      <c r="O821" s="82" t="str">
        <f>IFERROR(__xludf.DUMMYFUNCTION("IFERROR(VLOOKUP(D821,
IMPORTRANGE(""https://docs.google.com/spreadsheets/d/1MjHtlUikwobi2MaWJgy7tfLeBmhj1u-dRFRs_8GwSoA/edit#gid=0"",""Gestores Escolares!D7:J""),6,0),""VERIFICAR CÓD SEC"")"),"")</f>
        <v/>
      </c>
      <c r="P821" s="82" t="str">
        <f>IFERROR(__xludf.DUMMYFUNCTION("IFERROR(VLOOKUP(D821,
IMPORTRANGE(""https://docs.google.com/spreadsheets/d/1MjHtlUikwobi2MaWJgy7tfLeBmhj1u-dRFRs_8GwSoA/edit#gid=0"",""Gestores Escolares!D7:J""),7,0),""VERIFICAR CÓD SEC"")"),"")</f>
        <v/>
      </c>
      <c r="Q821" s="82" t="str">
        <f>IFERROR(__xludf.DUMMYFUNCTION("IFERROR(VLOOKUP(D821,
IMPORTRANGE(""https://docs.google.com/spreadsheets/d/1MjHtlUikwobi2MaWJgy7tfLeBmhj1u-dRFRs_8GwSoA/edit#gid=0"",""Gestores Escolares!D7:m""),9,0),""VERIFICAR CÓD SEC"")"),"")</f>
        <v/>
      </c>
      <c r="R821" s="82" t="str">
        <f>IFERROR(__xludf.DUMMYFUNCTION("IFERROR(VLOOKUP(D821,
IMPORTRANGE(""https://docs.google.com/spreadsheets/d/1MjHtlUikwobi2MaWJgy7tfLeBmhj1u-dRFRs_8GwSoA/edit#gid=0"",""Gestores Escolares!D7:m""),10,0),""VERIFICAR CÓD SEC"")"),"")</f>
        <v/>
      </c>
      <c r="S821" s="82"/>
      <c r="T821" s="104">
        <v>1.0</v>
      </c>
      <c r="U821" s="130">
        <v>1.0</v>
      </c>
      <c r="V821" s="106">
        <v>0.0</v>
      </c>
      <c r="W821" s="107">
        <v>0.0</v>
      </c>
      <c r="X821" s="107">
        <v>0.0</v>
      </c>
      <c r="Y821" s="107">
        <v>0.0</v>
      </c>
      <c r="Z821" s="80">
        <f t="shared" si="1"/>
        <v>0</v>
      </c>
      <c r="AA821" s="106">
        <v>0.0</v>
      </c>
      <c r="AB821" s="107">
        <v>0.0</v>
      </c>
      <c r="AC821" s="107">
        <v>0.0</v>
      </c>
      <c r="AD821" s="107">
        <v>0.0</v>
      </c>
      <c r="AE821" s="80">
        <f t="shared" si="2"/>
        <v>0</v>
      </c>
      <c r="AF821" s="222">
        <v>13.0</v>
      </c>
      <c r="AG821" s="505">
        <v>7.0</v>
      </c>
      <c r="AH821" s="505">
        <v>8.0</v>
      </c>
      <c r="AI821" s="506">
        <v>0.0</v>
      </c>
      <c r="AJ821" s="80">
        <f t="shared" si="3"/>
        <v>28</v>
      </c>
      <c r="AK821" s="222">
        <v>0.0</v>
      </c>
      <c r="AL821" s="505">
        <v>0.0</v>
      </c>
      <c r="AM821" s="506">
        <v>0.0</v>
      </c>
      <c r="AN821" s="80">
        <f t="shared" si="4"/>
        <v>0</v>
      </c>
      <c r="AO821" s="222">
        <v>0.0</v>
      </c>
      <c r="AP821" s="505">
        <v>0.0</v>
      </c>
      <c r="AQ821" s="505">
        <v>0.0</v>
      </c>
      <c r="AR821" s="80">
        <f t="shared" si="5"/>
        <v>0</v>
      </c>
      <c r="AS821" s="507">
        <v>0.0</v>
      </c>
      <c r="AT821" s="507">
        <v>0.0</v>
      </c>
      <c r="AU821" s="507">
        <v>0.0</v>
      </c>
      <c r="AV821" s="508">
        <v>0.0</v>
      </c>
      <c r="AW821" s="80">
        <f t="shared" si="6"/>
        <v>0</v>
      </c>
      <c r="AX821" s="113">
        <f t="shared" si="7"/>
        <v>28</v>
      </c>
      <c r="AY821" s="117">
        <f t="shared" si="8"/>
        <v>20</v>
      </c>
      <c r="AZ821" s="120">
        <f t="shared" si="9"/>
        <v>8</v>
      </c>
      <c r="BA821" s="595">
        <v>0.0</v>
      </c>
      <c r="BB821" s="89">
        <f t="shared" si="10"/>
        <v>28</v>
      </c>
      <c r="BC821" s="132" t="s">
        <v>373</v>
      </c>
      <c r="BD821" s="132" t="s">
        <v>178</v>
      </c>
      <c r="BE821" s="132" t="s">
        <v>178</v>
      </c>
      <c r="BF821" s="133"/>
      <c r="BG821" s="83">
        <v>1178853.0</v>
      </c>
      <c r="BH821" s="98"/>
      <c r="BI821" s="98">
        <v>1.0</v>
      </c>
      <c r="BJ821" s="98" t="s">
        <v>155</v>
      </c>
      <c r="BK821" s="99">
        <f t="shared" si="11"/>
        <v>0</v>
      </c>
      <c r="BL821" s="99">
        <f t="shared" si="12"/>
        <v>20</v>
      </c>
      <c r="BM821" s="99" t="str">
        <f>IFERROR(__xludf.DUMMYFUNCTION("IFERROR(VLOOKUP(BG821,IMPORTRANGE(""https://docs.google.com/spreadsheets/d/1juPI-Fb8LD0YtltB2mlGEnp_R3UVu1t3wSFPzgCyHXE/edit?gid=0#gid=0"",""GERAL!A2:C""),3,0),""-"")"),"CAMPO")</f>
        <v>CAMPO</v>
      </c>
    </row>
    <row r="822" ht="15.75" customHeight="1">
      <c r="A822" s="111" t="s">
        <v>914</v>
      </c>
      <c r="B822" s="83" t="s">
        <v>3924</v>
      </c>
      <c r="C822" s="83" t="s">
        <v>164</v>
      </c>
      <c r="D822" s="112">
        <v>1179717.0</v>
      </c>
      <c r="E822" s="83">
        <v>1179149.0</v>
      </c>
      <c r="F822" s="98">
        <v>2.9483395E7</v>
      </c>
      <c r="G822" s="184" t="s">
        <v>3959</v>
      </c>
      <c r="H822" s="91" t="s">
        <v>3961</v>
      </c>
      <c r="I822" s="83" t="s">
        <v>149</v>
      </c>
      <c r="J822" s="83" t="s">
        <v>244</v>
      </c>
      <c r="K822" s="83" t="s">
        <v>168</v>
      </c>
      <c r="L822" s="83" t="s">
        <v>169</v>
      </c>
      <c r="M822" s="82" t="str">
        <f>IFERROR(__xludf.DUMMYFUNCTION("IFERROR(VLOOKUP(D822,
IMPORTRANGE(""https://docs.google.com/spreadsheets/d/1MjHtlUikwobi2MaWJgy7tfLeBmhj1u-dRFRs_8GwSoA/edit#gid=0"",""Gestores Escolares!D7:J""),3,0),""VERIFICAR CÓD SEC"")"),"LUIZ ANTONIO SANTOS XAVIER")</f>
        <v>LUIZ ANTONIO SANTOS XAVIER</v>
      </c>
      <c r="N822" s="82" t="str">
        <f>IFERROR(__xludf.DUMMYFUNCTION("IFERROR(VLOOKUP(D822,
IMPORTRANGE(""https://docs.google.com/spreadsheets/d/1MjHtlUikwobi2MaWJgy7tfLeBmhj1u-dRFRs_8GwSoA/edit#gid=0"",""Gestores Escolares!D7:J""),4,0),""VERIFICAR CÓD SEC"")"),"(77) 9 9988-7783")</f>
        <v>(77) 9 9988-7783</v>
      </c>
      <c r="O822" s="82" t="str">
        <f>IFERROR(__xludf.DUMMYFUNCTION("IFERROR(VLOOKUP(D822,
IMPORTRANGE(""https://docs.google.com/spreadsheets/d/1MjHtlUikwobi2MaWJgy7tfLeBmhj1u-dRFRs_8GwSoA/edit#gid=0"",""Gestores Escolares!D7:J""),6,0),""VERIFICAR CÓD SEC"")"),"")</f>
        <v/>
      </c>
      <c r="P822" s="82" t="str">
        <f>IFERROR(__xludf.DUMMYFUNCTION("IFERROR(VLOOKUP(D822,
IMPORTRANGE(""https://docs.google.com/spreadsheets/d/1MjHtlUikwobi2MaWJgy7tfLeBmhj1u-dRFRs_8GwSoA/edit#gid=0"",""Gestores Escolares!D7:J""),7,0),""VERIFICAR CÓD SEC"")"),"")</f>
        <v/>
      </c>
      <c r="Q822" s="82" t="str">
        <f>IFERROR(__xludf.DUMMYFUNCTION("IFERROR(VLOOKUP(D822,
IMPORTRANGE(""https://docs.google.com/spreadsheets/d/1MjHtlUikwobi2MaWJgy7tfLeBmhj1u-dRFRs_8GwSoA/edit#gid=0"",""Gestores Escolares!D7:m""),9,0),""VERIFICAR CÓD SEC"")"),"")</f>
        <v/>
      </c>
      <c r="R822" s="82" t="str">
        <f>IFERROR(__xludf.DUMMYFUNCTION("IFERROR(VLOOKUP(D822,
IMPORTRANGE(""https://docs.google.com/spreadsheets/d/1MjHtlUikwobi2MaWJgy7tfLeBmhj1u-dRFRs_8GwSoA/edit#gid=0"",""Gestores Escolares!D7:m""),10,0),""VERIFICAR CÓD SEC"")"),"")</f>
        <v/>
      </c>
      <c r="S822" s="82"/>
      <c r="T822" s="138">
        <v>2.0</v>
      </c>
      <c r="U822" s="145">
        <v>2.0</v>
      </c>
      <c r="V822" s="106">
        <v>0.0</v>
      </c>
      <c r="W822" s="107">
        <v>0.0</v>
      </c>
      <c r="X822" s="107">
        <v>0.0</v>
      </c>
      <c r="Y822" s="107">
        <v>0.0</v>
      </c>
      <c r="Z822" s="80">
        <f t="shared" si="1"/>
        <v>0</v>
      </c>
      <c r="AA822" s="106">
        <v>0.0</v>
      </c>
      <c r="AB822" s="107">
        <v>0.0</v>
      </c>
      <c r="AC822" s="107">
        <v>0.0</v>
      </c>
      <c r="AD822" s="107">
        <v>0.0</v>
      </c>
      <c r="AE822" s="80">
        <f t="shared" si="2"/>
        <v>0</v>
      </c>
      <c r="AF822" s="140">
        <v>68.0</v>
      </c>
      <c r="AG822" s="109">
        <v>21.0</v>
      </c>
      <c r="AH822" s="109">
        <v>0.0</v>
      </c>
      <c r="AI822" s="141">
        <v>0.0</v>
      </c>
      <c r="AJ822" s="80">
        <f t="shared" si="3"/>
        <v>89</v>
      </c>
      <c r="AK822" s="140">
        <v>0.0</v>
      </c>
      <c r="AL822" s="109">
        <v>0.0</v>
      </c>
      <c r="AM822" s="141">
        <v>0.0</v>
      </c>
      <c r="AN822" s="80">
        <f t="shared" si="4"/>
        <v>0</v>
      </c>
      <c r="AO822" s="140">
        <v>0.0</v>
      </c>
      <c r="AP822" s="109">
        <v>0.0</v>
      </c>
      <c r="AQ822" s="109">
        <v>0.0</v>
      </c>
      <c r="AR822" s="80">
        <f t="shared" si="5"/>
        <v>0</v>
      </c>
      <c r="AS822" s="110">
        <v>0.0</v>
      </c>
      <c r="AT822" s="110">
        <v>0.0</v>
      </c>
      <c r="AU822" s="110">
        <v>0.0</v>
      </c>
      <c r="AV822" s="142">
        <v>0.0</v>
      </c>
      <c r="AW822" s="80">
        <f t="shared" si="6"/>
        <v>0</v>
      </c>
      <c r="AX822" s="113">
        <f t="shared" si="7"/>
        <v>89</v>
      </c>
      <c r="AY822" s="117">
        <f t="shared" si="8"/>
        <v>89</v>
      </c>
      <c r="AZ822" s="120">
        <f t="shared" si="9"/>
        <v>0</v>
      </c>
      <c r="BA822" s="115">
        <v>0.0</v>
      </c>
      <c r="BB822" s="89">
        <f t="shared" si="10"/>
        <v>89</v>
      </c>
      <c r="BC822" s="132" t="s">
        <v>373</v>
      </c>
      <c r="BD822" s="143" t="s">
        <v>227</v>
      </c>
      <c r="BE822" s="132" t="s">
        <v>178</v>
      </c>
      <c r="BF822" s="156"/>
      <c r="BG822" s="83">
        <v>1179149.0</v>
      </c>
      <c r="BH822" s="98"/>
      <c r="BI822" s="98">
        <v>2.0</v>
      </c>
      <c r="BJ822" s="98" t="s">
        <v>155</v>
      </c>
      <c r="BK822" s="99">
        <f t="shared" si="11"/>
        <v>0</v>
      </c>
      <c r="BL822" s="99">
        <f t="shared" si="12"/>
        <v>89</v>
      </c>
      <c r="BM822" s="99" t="str">
        <f>IFERROR(__xludf.DUMMYFUNCTION("IFERROR(VLOOKUP(BG822,IMPORTRANGE(""https://docs.google.com/spreadsheets/d/1juPI-Fb8LD0YtltB2mlGEnp_R3UVu1t3wSFPzgCyHXE/edit?gid=0#gid=0"",""GERAL!A2:C""),3,0),""-"")"),"CAMPO")</f>
        <v>CAMPO</v>
      </c>
    </row>
    <row r="823" ht="15.75" customHeight="1">
      <c r="A823" s="111" t="s">
        <v>914</v>
      </c>
      <c r="B823" s="83" t="s">
        <v>3924</v>
      </c>
      <c r="C823" s="83" t="s">
        <v>164</v>
      </c>
      <c r="D823" s="112">
        <v>1179717.0</v>
      </c>
      <c r="E823" s="83">
        <v>1178851.0</v>
      </c>
      <c r="F823" s="98">
        <v>2.9483395E7</v>
      </c>
      <c r="G823" s="184" t="s">
        <v>3963</v>
      </c>
      <c r="H823" s="91" t="s">
        <v>3964</v>
      </c>
      <c r="I823" s="83" t="s">
        <v>149</v>
      </c>
      <c r="J823" s="83" t="s">
        <v>456</v>
      </c>
      <c r="K823" s="83" t="s">
        <v>168</v>
      </c>
      <c r="L823" s="83" t="s">
        <v>169</v>
      </c>
      <c r="M823" s="82" t="str">
        <f>IFERROR(__xludf.DUMMYFUNCTION("IFERROR(VLOOKUP(D823,
IMPORTRANGE(""https://docs.google.com/spreadsheets/d/1MjHtlUikwobi2MaWJgy7tfLeBmhj1u-dRFRs_8GwSoA/edit#gid=0"",""Gestores Escolares!D7:J""),3,0),""VERIFICAR CÓD SEC"")"),"LUIZ ANTONIO SANTOS XAVIER")</f>
        <v>LUIZ ANTONIO SANTOS XAVIER</v>
      </c>
      <c r="N823" s="82" t="str">
        <f>IFERROR(__xludf.DUMMYFUNCTION("IFERROR(VLOOKUP(D823,
IMPORTRANGE(""https://docs.google.com/spreadsheets/d/1MjHtlUikwobi2MaWJgy7tfLeBmhj1u-dRFRs_8GwSoA/edit#gid=0"",""Gestores Escolares!D7:J""),4,0),""VERIFICAR CÓD SEC"")"),"(77) 9 9988-7783")</f>
        <v>(77) 9 9988-7783</v>
      </c>
      <c r="O823" s="82" t="str">
        <f>IFERROR(__xludf.DUMMYFUNCTION("IFERROR(VLOOKUP(D823,
IMPORTRANGE(""https://docs.google.com/spreadsheets/d/1MjHtlUikwobi2MaWJgy7tfLeBmhj1u-dRFRs_8GwSoA/edit#gid=0"",""Gestores Escolares!D7:J""),6,0),""VERIFICAR CÓD SEC"")"),"")</f>
        <v/>
      </c>
      <c r="P823" s="82" t="str">
        <f>IFERROR(__xludf.DUMMYFUNCTION("IFERROR(VLOOKUP(D823,
IMPORTRANGE(""https://docs.google.com/spreadsheets/d/1MjHtlUikwobi2MaWJgy7tfLeBmhj1u-dRFRs_8GwSoA/edit#gid=0"",""Gestores Escolares!D7:J""),7,0),""VERIFICAR CÓD SEC"")"),"")</f>
        <v/>
      </c>
      <c r="Q823" s="82" t="str">
        <f>IFERROR(__xludf.DUMMYFUNCTION("IFERROR(VLOOKUP(D823,
IMPORTRANGE(""https://docs.google.com/spreadsheets/d/1MjHtlUikwobi2MaWJgy7tfLeBmhj1u-dRFRs_8GwSoA/edit#gid=0"",""Gestores Escolares!D7:m""),9,0),""VERIFICAR CÓD SEC"")"),"")</f>
        <v/>
      </c>
      <c r="R823" s="82" t="str">
        <f>IFERROR(__xludf.DUMMYFUNCTION("IFERROR(VLOOKUP(D823,
IMPORTRANGE(""https://docs.google.com/spreadsheets/d/1MjHtlUikwobi2MaWJgy7tfLeBmhj1u-dRFRs_8GwSoA/edit#gid=0"",""Gestores Escolares!D7:m""),10,0),""VERIFICAR CÓD SEC"")"),"")</f>
        <v/>
      </c>
      <c r="S823" s="82"/>
      <c r="T823" s="138">
        <v>1.0</v>
      </c>
      <c r="U823" s="145">
        <v>1.0</v>
      </c>
      <c r="V823" s="106">
        <v>0.0</v>
      </c>
      <c r="W823" s="107">
        <v>0.0</v>
      </c>
      <c r="X823" s="107">
        <v>0.0</v>
      </c>
      <c r="Y823" s="107">
        <v>0.0</v>
      </c>
      <c r="Z823" s="80">
        <f t="shared" si="1"/>
        <v>0</v>
      </c>
      <c r="AA823" s="106">
        <v>0.0</v>
      </c>
      <c r="AB823" s="107">
        <v>0.0</v>
      </c>
      <c r="AC823" s="107">
        <v>0.0</v>
      </c>
      <c r="AD823" s="107">
        <v>0.0</v>
      </c>
      <c r="AE823" s="80">
        <f t="shared" si="2"/>
        <v>0</v>
      </c>
      <c r="AF823" s="140">
        <v>6.0</v>
      </c>
      <c r="AG823" s="109">
        <v>0.0</v>
      </c>
      <c r="AH823" s="109">
        <v>6.0</v>
      </c>
      <c r="AI823" s="141">
        <v>0.0</v>
      </c>
      <c r="AJ823" s="80">
        <f t="shared" si="3"/>
        <v>12</v>
      </c>
      <c r="AK823" s="140">
        <v>0.0</v>
      </c>
      <c r="AL823" s="109">
        <v>0.0</v>
      </c>
      <c r="AM823" s="141">
        <v>0.0</v>
      </c>
      <c r="AN823" s="80">
        <f t="shared" si="4"/>
        <v>0</v>
      </c>
      <c r="AO823" s="140">
        <v>0.0</v>
      </c>
      <c r="AP823" s="109">
        <v>0.0</v>
      </c>
      <c r="AQ823" s="109">
        <v>0.0</v>
      </c>
      <c r="AR823" s="80">
        <f t="shared" si="5"/>
        <v>0</v>
      </c>
      <c r="AS823" s="110">
        <v>0.0</v>
      </c>
      <c r="AT823" s="110">
        <v>0.0</v>
      </c>
      <c r="AU823" s="110">
        <v>0.0</v>
      </c>
      <c r="AV823" s="142">
        <v>0.0</v>
      </c>
      <c r="AW823" s="80">
        <f t="shared" si="6"/>
        <v>0</v>
      </c>
      <c r="AX823" s="113">
        <f t="shared" si="7"/>
        <v>12</v>
      </c>
      <c r="AY823" s="117">
        <f t="shared" si="8"/>
        <v>6</v>
      </c>
      <c r="AZ823" s="120">
        <f t="shared" si="9"/>
        <v>6</v>
      </c>
      <c r="BA823" s="115">
        <v>0.0</v>
      </c>
      <c r="BB823" s="89">
        <f t="shared" si="10"/>
        <v>12</v>
      </c>
      <c r="BC823" s="132" t="s">
        <v>373</v>
      </c>
      <c r="BD823" s="143" t="s">
        <v>227</v>
      </c>
      <c r="BE823" s="132" t="s">
        <v>178</v>
      </c>
      <c r="BF823" s="123"/>
      <c r="BG823" s="83">
        <v>1178851.0</v>
      </c>
      <c r="BH823" s="98"/>
      <c r="BI823" s="98">
        <v>1.0</v>
      </c>
      <c r="BJ823" s="98" t="s">
        <v>155</v>
      </c>
      <c r="BK823" s="99">
        <f t="shared" si="11"/>
        <v>0</v>
      </c>
      <c r="BL823" s="99">
        <f t="shared" si="12"/>
        <v>6</v>
      </c>
      <c r="BM823" s="99" t="str">
        <f>IFERROR(__xludf.DUMMYFUNCTION("IFERROR(VLOOKUP(BG823,IMPORTRANGE(""https://docs.google.com/spreadsheets/d/1juPI-Fb8LD0YtltB2mlGEnp_R3UVu1t3wSFPzgCyHXE/edit?gid=0#gid=0"",""GERAL!A2:C""),3,0),""-"")"),"CAMPO")</f>
        <v>CAMPO</v>
      </c>
    </row>
    <row r="824" ht="15.75" customHeight="1">
      <c r="A824" s="111" t="s">
        <v>914</v>
      </c>
      <c r="B824" s="83" t="s">
        <v>3924</v>
      </c>
      <c r="C824" s="83" t="s">
        <v>164</v>
      </c>
      <c r="D824" s="112">
        <v>1179717.0</v>
      </c>
      <c r="E824" s="83">
        <v>1178852.0</v>
      </c>
      <c r="F824" s="98">
        <v>2.9483395E7</v>
      </c>
      <c r="G824" s="184" t="s">
        <v>3965</v>
      </c>
      <c r="H824" s="91" t="s">
        <v>3966</v>
      </c>
      <c r="I824" s="83" t="s">
        <v>149</v>
      </c>
      <c r="J824" s="83" t="s">
        <v>1074</v>
      </c>
      <c r="K824" s="83" t="s">
        <v>151</v>
      </c>
      <c r="L824" s="83" t="s">
        <v>169</v>
      </c>
      <c r="M824" s="82" t="str">
        <f>IFERROR(__xludf.DUMMYFUNCTION("IFERROR(VLOOKUP(D824,
IMPORTRANGE(""https://docs.google.com/spreadsheets/d/1MjHtlUikwobi2MaWJgy7tfLeBmhj1u-dRFRs_8GwSoA/edit#gid=0"",""Gestores Escolares!D7:J""),3,0),""VERIFICAR CÓD SEC"")"),"LUIZ ANTONIO SANTOS XAVIER")</f>
        <v>LUIZ ANTONIO SANTOS XAVIER</v>
      </c>
      <c r="N824" s="82" t="str">
        <f>IFERROR(__xludf.DUMMYFUNCTION("IFERROR(VLOOKUP(D824,
IMPORTRANGE(""https://docs.google.com/spreadsheets/d/1MjHtlUikwobi2MaWJgy7tfLeBmhj1u-dRFRs_8GwSoA/edit#gid=0"",""Gestores Escolares!D7:J""),4,0),""VERIFICAR CÓD SEC"")"),"(77) 9 9988-7783")</f>
        <v>(77) 9 9988-7783</v>
      </c>
      <c r="O824" s="82" t="str">
        <f>IFERROR(__xludf.DUMMYFUNCTION("IFERROR(VLOOKUP(D824,
IMPORTRANGE(""https://docs.google.com/spreadsheets/d/1MjHtlUikwobi2MaWJgy7tfLeBmhj1u-dRFRs_8GwSoA/edit#gid=0"",""Gestores Escolares!D7:J""),6,0),""VERIFICAR CÓD SEC"")"),"")</f>
        <v/>
      </c>
      <c r="P824" s="82" t="str">
        <f>IFERROR(__xludf.DUMMYFUNCTION("IFERROR(VLOOKUP(D824,
IMPORTRANGE(""https://docs.google.com/spreadsheets/d/1MjHtlUikwobi2MaWJgy7tfLeBmhj1u-dRFRs_8GwSoA/edit#gid=0"",""Gestores Escolares!D7:J""),7,0),""VERIFICAR CÓD SEC"")"),"")</f>
        <v/>
      </c>
      <c r="Q824" s="82" t="str">
        <f>IFERROR(__xludf.DUMMYFUNCTION("IFERROR(VLOOKUP(D824,
IMPORTRANGE(""https://docs.google.com/spreadsheets/d/1MjHtlUikwobi2MaWJgy7tfLeBmhj1u-dRFRs_8GwSoA/edit#gid=0"",""Gestores Escolares!D7:m""),9,0),""VERIFICAR CÓD SEC"")"),"")</f>
        <v/>
      </c>
      <c r="R824" s="82" t="str">
        <f>IFERROR(__xludf.DUMMYFUNCTION("IFERROR(VLOOKUP(D824,
IMPORTRANGE(""https://docs.google.com/spreadsheets/d/1MjHtlUikwobi2MaWJgy7tfLeBmhj1u-dRFRs_8GwSoA/edit#gid=0"",""Gestores Escolares!D7:m""),10,0),""VERIFICAR CÓD SEC"")"),"")</f>
        <v/>
      </c>
      <c r="S824" s="82"/>
      <c r="T824" s="138">
        <v>2.0</v>
      </c>
      <c r="U824" s="145">
        <v>2.0</v>
      </c>
      <c r="V824" s="106">
        <v>0.0</v>
      </c>
      <c r="W824" s="107">
        <v>0.0</v>
      </c>
      <c r="X824" s="107">
        <v>0.0</v>
      </c>
      <c r="Y824" s="107">
        <v>0.0</v>
      </c>
      <c r="Z824" s="80">
        <f t="shared" si="1"/>
        <v>0</v>
      </c>
      <c r="AA824" s="106">
        <v>0.0</v>
      </c>
      <c r="AB824" s="107">
        <v>0.0</v>
      </c>
      <c r="AC824" s="107">
        <v>0.0</v>
      </c>
      <c r="AD824" s="107">
        <v>0.0</v>
      </c>
      <c r="AE824" s="80">
        <f t="shared" si="2"/>
        <v>0</v>
      </c>
      <c r="AF824" s="222">
        <v>16.0</v>
      </c>
      <c r="AG824" s="222">
        <v>36.0</v>
      </c>
      <c r="AH824" s="222">
        <v>0.0</v>
      </c>
      <c r="AI824" s="224">
        <v>0.0</v>
      </c>
      <c r="AJ824" s="80">
        <f t="shared" si="3"/>
        <v>52</v>
      </c>
      <c r="AK824" s="140">
        <v>0.0</v>
      </c>
      <c r="AL824" s="109">
        <v>0.0</v>
      </c>
      <c r="AM824" s="141">
        <v>0.0</v>
      </c>
      <c r="AN824" s="80">
        <f t="shared" si="4"/>
        <v>0</v>
      </c>
      <c r="AO824" s="222">
        <v>0.0</v>
      </c>
      <c r="AP824" s="222">
        <v>0.0</v>
      </c>
      <c r="AQ824" s="224">
        <v>0.0</v>
      </c>
      <c r="AR824" s="80">
        <f t="shared" si="5"/>
        <v>0</v>
      </c>
      <c r="AS824" s="110">
        <v>0.0</v>
      </c>
      <c r="AT824" s="110">
        <v>0.0</v>
      </c>
      <c r="AU824" s="110">
        <v>0.0</v>
      </c>
      <c r="AV824" s="142">
        <v>0.0</v>
      </c>
      <c r="AW824" s="80">
        <f t="shared" si="6"/>
        <v>0</v>
      </c>
      <c r="AX824" s="113">
        <f t="shared" si="7"/>
        <v>52</v>
      </c>
      <c r="AY824" s="117">
        <f t="shared" si="8"/>
        <v>52</v>
      </c>
      <c r="AZ824" s="120">
        <f t="shared" si="9"/>
        <v>0</v>
      </c>
      <c r="BA824" s="115">
        <v>0.0</v>
      </c>
      <c r="BB824" s="89">
        <f t="shared" si="10"/>
        <v>52</v>
      </c>
      <c r="BC824" s="132" t="s">
        <v>373</v>
      </c>
      <c r="BD824" s="143" t="s">
        <v>227</v>
      </c>
      <c r="BE824" s="132" t="s">
        <v>178</v>
      </c>
      <c r="BF824" s="123"/>
      <c r="BG824" s="83">
        <v>1178852.0</v>
      </c>
      <c r="BH824" s="98"/>
      <c r="BI824" s="98">
        <v>2.0</v>
      </c>
      <c r="BJ824" s="98" t="s">
        <v>155</v>
      </c>
      <c r="BK824" s="99">
        <f t="shared" si="11"/>
        <v>0</v>
      </c>
      <c r="BL824" s="99">
        <f t="shared" si="12"/>
        <v>52</v>
      </c>
      <c r="BM824" s="99" t="str">
        <f>IFERROR(__xludf.DUMMYFUNCTION("IFERROR(VLOOKUP(BG824,IMPORTRANGE(""https://docs.google.com/spreadsheets/d/1juPI-Fb8LD0YtltB2mlGEnp_R3UVu1t3wSFPzgCyHXE/edit?gid=0#gid=0"",""GERAL!A2:C""),3,0),""-"")"),"CAMPO")</f>
        <v>CAMPO</v>
      </c>
    </row>
    <row r="825" ht="15.75" customHeight="1">
      <c r="A825" s="111" t="s">
        <v>914</v>
      </c>
      <c r="B825" s="83" t="s">
        <v>3968</v>
      </c>
      <c r="C825" s="83" t="s">
        <v>45</v>
      </c>
      <c r="D825" s="98">
        <v>1179762.0</v>
      </c>
      <c r="E825" s="83"/>
      <c r="F825" s="83">
        <v>2.9379938E7</v>
      </c>
      <c r="G825" s="241" t="s">
        <v>3976</v>
      </c>
      <c r="H825" s="91" t="s">
        <v>3977</v>
      </c>
      <c r="I825" s="83" t="s">
        <v>149</v>
      </c>
      <c r="J825" s="83" t="s">
        <v>150</v>
      </c>
      <c r="K825" s="83" t="s">
        <v>151</v>
      </c>
      <c r="L825" s="83" t="s">
        <v>152</v>
      </c>
      <c r="M825" s="82" t="str">
        <f>IFERROR(__xludf.DUMMYFUNCTION("IFERROR(VLOOKUP(D825,
IMPORTRANGE(""https://docs.google.com/spreadsheets/d/1MjHtlUikwobi2MaWJgy7tfLeBmhj1u-dRFRs_8GwSoA/edit#gid=0"",""Gestores Escolares!D7:J""),3,0),""VERIFICAR CÓD SEC"")"),"VERIFICAR CÓD SEC")</f>
        <v>VERIFICAR CÓD SEC</v>
      </c>
      <c r="N825" s="82" t="str">
        <f>IFERROR(__xludf.DUMMYFUNCTION("IFERROR(VLOOKUP(D825,
IMPORTRANGE(""https://docs.google.com/spreadsheets/d/1MjHtlUikwobi2MaWJgy7tfLeBmhj1u-dRFRs_8GwSoA/edit#gid=0"",""Gestores Escolares!D7:J""),4,0),""VERIFICAR CÓD SEC"")"),"VERIFICAR CÓD SEC")</f>
        <v>VERIFICAR CÓD SEC</v>
      </c>
      <c r="O825" s="82" t="str">
        <f>IFERROR(__xludf.DUMMYFUNCTION("IFERROR(VLOOKUP(D825,
IMPORTRANGE(""https://docs.google.com/spreadsheets/d/1MjHtlUikwobi2MaWJgy7tfLeBmhj1u-dRFRs_8GwSoA/edit#gid=0"",""Gestores Escolares!D7:J""),6,0),""VERIFICAR CÓD SEC"")"),"VERIFICAR CÓD SEC")</f>
        <v>VERIFICAR CÓD SEC</v>
      </c>
      <c r="P825" s="82" t="str">
        <f>IFERROR(__xludf.DUMMYFUNCTION("IFERROR(VLOOKUP(D825,
IMPORTRANGE(""https://docs.google.com/spreadsheets/d/1MjHtlUikwobi2MaWJgy7tfLeBmhj1u-dRFRs_8GwSoA/edit#gid=0"",""Gestores Escolares!D7:J""),7,0),""VERIFICAR CÓD SEC"")"),"VERIFICAR CÓD SEC")</f>
        <v>VERIFICAR CÓD SEC</v>
      </c>
      <c r="Q825" s="82" t="str">
        <f>IFERROR(__xludf.DUMMYFUNCTION("IFERROR(VLOOKUP(D825,
IMPORTRANGE(""https://docs.google.com/spreadsheets/d/1MjHtlUikwobi2MaWJgy7tfLeBmhj1u-dRFRs_8GwSoA/edit#gid=0"",""Gestores Escolares!D7:m""),9,0),""VERIFICAR CÓD SEC"")"),"VERIFICAR CÓD SEC")</f>
        <v>VERIFICAR CÓD SEC</v>
      </c>
      <c r="R825" s="82" t="str">
        <f>IFERROR(__xludf.DUMMYFUNCTION("IFERROR(VLOOKUP(D825,
IMPORTRANGE(""https://docs.google.com/spreadsheets/d/1MjHtlUikwobi2MaWJgy7tfLeBmhj1u-dRFRs_8GwSoA/edit#gid=0"",""Gestores Escolares!D7:m""),10,0),""VERIFICAR CÓD SEC"")"),"VERIFICAR CÓD SEC")</f>
        <v>VERIFICAR CÓD SEC</v>
      </c>
      <c r="S825" s="82"/>
      <c r="T825" s="138">
        <v>8.0</v>
      </c>
      <c r="U825" s="145">
        <v>7.0</v>
      </c>
      <c r="V825" s="106">
        <v>0.0</v>
      </c>
      <c r="W825" s="107">
        <v>0.0</v>
      </c>
      <c r="X825" s="107">
        <v>0.0</v>
      </c>
      <c r="Y825" s="107">
        <v>0.0</v>
      </c>
      <c r="Z825" s="80">
        <f t="shared" si="1"/>
        <v>0</v>
      </c>
      <c r="AA825" s="106">
        <v>0.0</v>
      </c>
      <c r="AB825" s="107">
        <v>0.0</v>
      </c>
      <c r="AC825" s="107">
        <v>0.0</v>
      </c>
      <c r="AD825" s="107">
        <v>40.0</v>
      </c>
      <c r="AE825" s="80">
        <f t="shared" si="2"/>
        <v>40</v>
      </c>
      <c r="AF825" s="225">
        <v>0.0</v>
      </c>
      <c r="AG825" s="226">
        <v>0.0</v>
      </c>
      <c r="AH825" s="226">
        <v>0.0</v>
      </c>
      <c r="AI825" s="227">
        <v>69.0</v>
      </c>
      <c r="AJ825" s="80">
        <f t="shared" si="3"/>
        <v>69</v>
      </c>
      <c r="AK825" s="140">
        <v>0.0</v>
      </c>
      <c r="AL825" s="109">
        <v>0.0</v>
      </c>
      <c r="AM825" s="141">
        <v>0.0</v>
      </c>
      <c r="AN825" s="80">
        <f t="shared" si="4"/>
        <v>0</v>
      </c>
      <c r="AO825" s="225">
        <v>0.0</v>
      </c>
      <c r="AP825" s="226">
        <v>0.0</v>
      </c>
      <c r="AQ825" s="226">
        <v>0.0</v>
      </c>
      <c r="AR825" s="80">
        <f t="shared" si="5"/>
        <v>0</v>
      </c>
      <c r="AS825" s="110">
        <v>0.0</v>
      </c>
      <c r="AT825" s="110">
        <v>0.0</v>
      </c>
      <c r="AU825" s="110">
        <v>0.0</v>
      </c>
      <c r="AV825" s="142">
        <v>0.0</v>
      </c>
      <c r="AW825" s="80">
        <f t="shared" si="6"/>
        <v>0</v>
      </c>
      <c r="AX825" s="113">
        <f t="shared" si="7"/>
        <v>109</v>
      </c>
      <c r="AY825" s="117">
        <f t="shared" si="8"/>
        <v>109</v>
      </c>
      <c r="AZ825" s="120">
        <f t="shared" si="9"/>
        <v>0</v>
      </c>
      <c r="BA825" s="115">
        <v>0.0</v>
      </c>
      <c r="BB825" s="89">
        <f t="shared" si="10"/>
        <v>109</v>
      </c>
      <c r="BC825" s="132" t="s">
        <v>178</v>
      </c>
      <c r="BD825" s="132" t="s">
        <v>178</v>
      </c>
      <c r="BE825" s="132" t="s">
        <v>178</v>
      </c>
      <c r="BF825" s="156"/>
      <c r="BG825" s="98">
        <v>1179762.0</v>
      </c>
      <c r="BH825" s="112"/>
      <c r="BI825" s="112">
        <v>8.0</v>
      </c>
      <c r="BJ825" s="98" t="s">
        <v>155</v>
      </c>
      <c r="BK825" s="99">
        <f t="shared" si="11"/>
        <v>109</v>
      </c>
      <c r="BL825" s="99">
        <f t="shared" si="12"/>
        <v>0</v>
      </c>
      <c r="BM825" s="99" t="str">
        <f>IFERROR(__xludf.DUMMYFUNCTION("IFERROR(VLOOKUP(BG825,IMPORTRANGE(""https://docs.google.com/spreadsheets/d/1juPI-Fb8LD0YtltB2mlGEnp_R3UVu1t3wSFPzgCyHXE/edit?gid=0#gid=0"",""GERAL!A2:C""),3,0),""-"")"),"EFA")</f>
        <v>EFA</v>
      </c>
    </row>
    <row r="826" ht="15.75" customHeight="1">
      <c r="A826" s="111" t="s">
        <v>914</v>
      </c>
      <c r="B826" s="83" t="s">
        <v>3968</v>
      </c>
      <c r="C826" s="83" t="s">
        <v>68</v>
      </c>
      <c r="D826" s="112">
        <v>1127731.0</v>
      </c>
      <c r="E826" s="83"/>
      <c r="F826" s="83">
        <v>2.9239354E7</v>
      </c>
      <c r="G826" s="292" t="s">
        <v>3980</v>
      </c>
      <c r="H826" s="91" t="s">
        <v>3981</v>
      </c>
      <c r="I826" s="83" t="s">
        <v>149</v>
      </c>
      <c r="J826" s="83" t="s">
        <v>150</v>
      </c>
      <c r="K826" s="83" t="s">
        <v>151</v>
      </c>
      <c r="L826" s="83" t="s">
        <v>152</v>
      </c>
      <c r="M826" s="82" t="str">
        <f>IFERROR(__xludf.DUMMYFUNCTION("IFERROR(VLOOKUP(D826,
IMPORTRANGE(""https://docs.google.com/spreadsheets/d/1MjHtlUikwobi2MaWJgy7tfLeBmhj1u-dRFRs_8GwSoA/edit#gid=0"",""Gestores Escolares!D7:J""),3,0),""VERIFICAR CÓD SEC"")"),"AGNALDO DUARTE DA SILVA")</f>
        <v>AGNALDO DUARTE DA SILVA</v>
      </c>
      <c r="N826" s="82" t="str">
        <f>IFERROR(__xludf.DUMMYFUNCTION("IFERROR(VLOOKUP(D826,
IMPORTRANGE(""https://docs.google.com/spreadsheets/d/1MjHtlUikwobi2MaWJgy7tfLeBmhj1u-dRFRs_8GwSoA/edit#gid=0"",""Gestores Escolares!D7:J""),4,0),""VERIFICAR CÓD SEC"")"),"(77) 9 9980-2117")</f>
        <v>(77) 9 9980-2117</v>
      </c>
      <c r="O826" s="82" t="str">
        <f>IFERROR(__xludf.DUMMYFUNCTION("IFERROR(VLOOKUP(D826,
IMPORTRANGE(""https://docs.google.com/spreadsheets/d/1MjHtlUikwobi2MaWJgy7tfLeBmhj1u-dRFRs_8GwSoA/edit#gid=0"",""Gestores Escolares!D7:J""),6,0),""VERIFICAR CÓD SEC"")"),"APARECIDA DA SILVA SOUZA")</f>
        <v>APARECIDA DA SILVA SOUZA</v>
      </c>
      <c r="P826" s="82" t="str">
        <f>IFERROR(__xludf.DUMMYFUNCTION("IFERROR(VLOOKUP(D826,
IMPORTRANGE(""https://docs.google.com/spreadsheets/d/1MjHtlUikwobi2MaWJgy7tfLeBmhj1u-dRFRs_8GwSoA/edit#gid=0"",""Gestores Escolares!D7:J""),7,0),""VERIFICAR CÓD SEC"")"),"(77) 9 9954-1975")</f>
        <v>(77) 9 9954-1975</v>
      </c>
      <c r="Q826" s="82" t="str">
        <f>IFERROR(__xludf.DUMMYFUNCTION("IFERROR(VLOOKUP(D826,
IMPORTRANGE(""https://docs.google.com/spreadsheets/d/1MjHtlUikwobi2MaWJgy7tfLeBmhj1u-dRFRs_8GwSoA/edit#gid=0"",""Gestores Escolares!D7:m""),9,0),""VERIFICAR CÓD SEC"")"),"APARECIDA DE FATIMA CASTRO DOMINGUES")</f>
        <v>APARECIDA DE FATIMA CASTRO DOMINGUES</v>
      </c>
      <c r="R826" s="82" t="str">
        <f>IFERROR(__xludf.DUMMYFUNCTION("IFERROR(VLOOKUP(D826,
IMPORTRANGE(""https://docs.google.com/spreadsheets/d/1MjHtlUikwobi2MaWJgy7tfLeBmhj1u-dRFRs_8GwSoA/edit#gid=0"",""Gestores Escolares!D7:m""),10,0),""VERIFICAR CÓD SEC"")"),"(77) 9 8846-2924")</f>
        <v>(77) 9 8846-2924</v>
      </c>
      <c r="S826" s="82"/>
      <c r="T826" s="138">
        <v>8.0</v>
      </c>
      <c r="U826" s="139">
        <v>7.0</v>
      </c>
      <c r="V826" s="106">
        <v>0.0</v>
      </c>
      <c r="W826" s="107">
        <v>0.0</v>
      </c>
      <c r="X826" s="107">
        <v>0.0</v>
      </c>
      <c r="Y826" s="107">
        <v>0.0</v>
      </c>
      <c r="Z826" s="80">
        <f t="shared" si="1"/>
        <v>0</v>
      </c>
      <c r="AA826" s="106">
        <v>0.0</v>
      </c>
      <c r="AB826" s="107">
        <v>0.0</v>
      </c>
      <c r="AC826" s="107">
        <v>0.0</v>
      </c>
      <c r="AD826" s="107">
        <v>0.0</v>
      </c>
      <c r="AE826" s="80">
        <f t="shared" si="2"/>
        <v>0</v>
      </c>
      <c r="AF826" s="140">
        <v>197.0</v>
      </c>
      <c r="AG826" s="109">
        <v>123.0</v>
      </c>
      <c r="AH826" s="109">
        <v>0.0</v>
      </c>
      <c r="AI826" s="141">
        <v>156.0</v>
      </c>
      <c r="AJ826" s="80">
        <f t="shared" si="3"/>
        <v>476</v>
      </c>
      <c r="AK826" s="140">
        <v>0.0</v>
      </c>
      <c r="AL826" s="109">
        <v>0.0</v>
      </c>
      <c r="AM826" s="141">
        <v>0.0</v>
      </c>
      <c r="AN826" s="80">
        <f t="shared" si="4"/>
        <v>0</v>
      </c>
      <c r="AO826" s="140">
        <v>0.0</v>
      </c>
      <c r="AP826" s="109">
        <v>0.0</v>
      </c>
      <c r="AQ826" s="109">
        <v>76.0</v>
      </c>
      <c r="AR826" s="80">
        <f t="shared" si="5"/>
        <v>76</v>
      </c>
      <c r="AS826" s="110">
        <v>0.0</v>
      </c>
      <c r="AT826" s="110">
        <v>0.0</v>
      </c>
      <c r="AU826" s="110">
        <v>11.0</v>
      </c>
      <c r="AV826" s="142">
        <v>0.0</v>
      </c>
      <c r="AW826" s="80">
        <f t="shared" si="6"/>
        <v>11</v>
      </c>
      <c r="AX826" s="113">
        <f t="shared" si="7"/>
        <v>563</v>
      </c>
      <c r="AY826" s="117">
        <f t="shared" si="8"/>
        <v>476</v>
      </c>
      <c r="AZ826" s="120">
        <f t="shared" si="9"/>
        <v>87</v>
      </c>
      <c r="BA826" s="115">
        <v>1.0</v>
      </c>
      <c r="BB826" s="89">
        <f t="shared" si="10"/>
        <v>564</v>
      </c>
      <c r="BC826" s="132" t="s">
        <v>178</v>
      </c>
      <c r="BD826" s="132" t="s">
        <v>178</v>
      </c>
      <c r="BE826" s="132" t="s">
        <v>178</v>
      </c>
      <c r="BF826" s="123"/>
      <c r="BG826" s="83">
        <v>1127731.0</v>
      </c>
      <c r="BH826" s="112"/>
      <c r="BI826" s="112">
        <v>7.0</v>
      </c>
      <c r="BJ826" s="98" t="s">
        <v>155</v>
      </c>
      <c r="BK826" s="99">
        <f t="shared" si="11"/>
        <v>156</v>
      </c>
      <c r="BL826" s="99">
        <f t="shared" si="12"/>
        <v>320</v>
      </c>
      <c r="BM826" s="99" t="str">
        <f>IFERROR(__xludf.DUMMYFUNCTION("IFERROR(VLOOKUP(BG826,IMPORTRANGE(""https://docs.google.com/spreadsheets/d/1juPI-Fb8LD0YtltB2mlGEnp_R3UVu1t3wSFPzgCyHXE/edit?gid=0#gid=0"",""GERAL!A2:C""),3,0),""-"")"),"-")</f>
        <v>-</v>
      </c>
    </row>
    <row r="827" ht="15.75" customHeight="1">
      <c r="A827" s="111" t="s">
        <v>914</v>
      </c>
      <c r="B827" s="83" t="s">
        <v>3968</v>
      </c>
      <c r="C827" s="83" t="s">
        <v>164</v>
      </c>
      <c r="D827" s="112">
        <v>1127731.0</v>
      </c>
      <c r="E827" s="83">
        <v>1178855.0</v>
      </c>
      <c r="F827" s="98">
        <v>2.9490545E7</v>
      </c>
      <c r="G827" s="292" t="s">
        <v>3991</v>
      </c>
      <c r="H827" s="91" t="s">
        <v>3992</v>
      </c>
      <c r="I827" s="83" t="s">
        <v>149</v>
      </c>
      <c r="J827" s="83" t="s">
        <v>209</v>
      </c>
      <c r="K827" s="83" t="s">
        <v>168</v>
      </c>
      <c r="L827" s="83" t="s">
        <v>169</v>
      </c>
      <c r="M827" s="82" t="str">
        <f>IFERROR(__xludf.DUMMYFUNCTION("IFERROR(VLOOKUP(D827,
IMPORTRANGE(""https://docs.google.com/spreadsheets/d/1MjHtlUikwobi2MaWJgy7tfLeBmhj1u-dRFRs_8GwSoA/edit#gid=0"",""Gestores Escolares!D7:J""),3,0),""VERIFICAR CÓD SEC"")"),"AGNALDO DUARTE DA SILVA")</f>
        <v>AGNALDO DUARTE DA SILVA</v>
      </c>
      <c r="N827" s="82" t="str">
        <f>IFERROR(__xludf.DUMMYFUNCTION("IFERROR(VLOOKUP(D827,
IMPORTRANGE(""https://docs.google.com/spreadsheets/d/1MjHtlUikwobi2MaWJgy7tfLeBmhj1u-dRFRs_8GwSoA/edit#gid=0"",""Gestores Escolares!D7:J""),4,0),""VERIFICAR CÓD SEC"")"),"(77) 9 9980-2117")</f>
        <v>(77) 9 9980-2117</v>
      </c>
      <c r="O827" s="82" t="str">
        <f>IFERROR(__xludf.DUMMYFUNCTION("IFERROR(VLOOKUP(D827,
IMPORTRANGE(""https://docs.google.com/spreadsheets/d/1MjHtlUikwobi2MaWJgy7tfLeBmhj1u-dRFRs_8GwSoA/edit#gid=0"",""Gestores Escolares!D7:J""),6,0),""VERIFICAR CÓD SEC"")"),"APARECIDA DA SILVA SOUZA")</f>
        <v>APARECIDA DA SILVA SOUZA</v>
      </c>
      <c r="P827" s="82" t="str">
        <f>IFERROR(__xludf.DUMMYFUNCTION("IFERROR(VLOOKUP(D827,
IMPORTRANGE(""https://docs.google.com/spreadsheets/d/1MjHtlUikwobi2MaWJgy7tfLeBmhj1u-dRFRs_8GwSoA/edit#gid=0"",""Gestores Escolares!D7:J""),7,0),""VERIFICAR CÓD SEC"")"),"(77) 9 9954-1975")</f>
        <v>(77) 9 9954-1975</v>
      </c>
      <c r="Q827" s="82" t="str">
        <f>IFERROR(__xludf.DUMMYFUNCTION("IFERROR(VLOOKUP(D827,
IMPORTRANGE(""https://docs.google.com/spreadsheets/d/1MjHtlUikwobi2MaWJgy7tfLeBmhj1u-dRFRs_8GwSoA/edit#gid=0"",""Gestores Escolares!D7:m""),9,0),""VERIFICAR CÓD SEC"")"),"APARECIDA DE FATIMA CASTRO DOMINGUES")</f>
        <v>APARECIDA DE FATIMA CASTRO DOMINGUES</v>
      </c>
      <c r="R827" s="82" t="str">
        <f>IFERROR(__xludf.DUMMYFUNCTION("IFERROR(VLOOKUP(D827,
IMPORTRANGE(""https://docs.google.com/spreadsheets/d/1MjHtlUikwobi2MaWJgy7tfLeBmhj1u-dRFRs_8GwSoA/edit#gid=0"",""Gestores Escolares!D7:m""),10,0),""VERIFICAR CÓD SEC"")"),"(77) 9 8846-2924")</f>
        <v>(77) 9 8846-2924</v>
      </c>
      <c r="S827" s="82"/>
      <c r="T827" s="138">
        <v>3.0</v>
      </c>
      <c r="U827" s="139">
        <v>3.0</v>
      </c>
      <c r="V827" s="106">
        <v>0.0</v>
      </c>
      <c r="W827" s="107">
        <v>0.0</v>
      </c>
      <c r="X827" s="107">
        <v>0.0</v>
      </c>
      <c r="Y827" s="107">
        <v>0.0</v>
      </c>
      <c r="Z827" s="80">
        <f t="shared" si="1"/>
        <v>0</v>
      </c>
      <c r="AA827" s="106">
        <v>0.0</v>
      </c>
      <c r="AB827" s="107">
        <v>0.0</v>
      </c>
      <c r="AC827" s="107">
        <v>0.0</v>
      </c>
      <c r="AD827" s="107">
        <v>0.0</v>
      </c>
      <c r="AE827" s="80">
        <f t="shared" si="2"/>
        <v>0</v>
      </c>
      <c r="AF827" s="140">
        <v>128.0</v>
      </c>
      <c r="AG827" s="109">
        <v>0.0</v>
      </c>
      <c r="AH827" s="109">
        <v>0.0</v>
      </c>
      <c r="AI827" s="141">
        <v>0.0</v>
      </c>
      <c r="AJ827" s="80">
        <f t="shared" si="3"/>
        <v>128</v>
      </c>
      <c r="AK827" s="140">
        <v>0.0</v>
      </c>
      <c r="AL827" s="109">
        <v>0.0</v>
      </c>
      <c r="AM827" s="141">
        <v>0.0</v>
      </c>
      <c r="AN827" s="80">
        <f t="shared" si="4"/>
        <v>0</v>
      </c>
      <c r="AO827" s="140">
        <v>0.0</v>
      </c>
      <c r="AP827" s="109">
        <v>0.0</v>
      </c>
      <c r="AQ827" s="109">
        <v>17.0</v>
      </c>
      <c r="AR827" s="80">
        <f t="shared" si="5"/>
        <v>17</v>
      </c>
      <c r="AS827" s="110">
        <v>0.0</v>
      </c>
      <c r="AT827" s="110">
        <v>0.0</v>
      </c>
      <c r="AU827" s="110">
        <v>0.0</v>
      </c>
      <c r="AV827" s="142">
        <v>0.0</v>
      </c>
      <c r="AW827" s="80">
        <f t="shared" si="6"/>
        <v>0</v>
      </c>
      <c r="AX827" s="113">
        <f t="shared" si="7"/>
        <v>145</v>
      </c>
      <c r="AY827" s="117">
        <f t="shared" si="8"/>
        <v>128</v>
      </c>
      <c r="AZ827" s="120">
        <f t="shared" si="9"/>
        <v>17</v>
      </c>
      <c r="BA827" s="115">
        <v>0.0</v>
      </c>
      <c r="BB827" s="89">
        <f t="shared" si="10"/>
        <v>145</v>
      </c>
      <c r="BC827" s="132" t="s">
        <v>373</v>
      </c>
      <c r="BD827" s="132" t="s">
        <v>178</v>
      </c>
      <c r="BE827" s="132" t="s">
        <v>178</v>
      </c>
      <c r="BF827" s="123"/>
      <c r="BG827" s="83">
        <v>1178855.0</v>
      </c>
      <c r="BH827" s="112"/>
      <c r="BI827" s="112">
        <v>3.0</v>
      </c>
      <c r="BJ827" s="98" t="s">
        <v>155</v>
      </c>
      <c r="BK827" s="99">
        <f t="shared" si="11"/>
        <v>0</v>
      </c>
      <c r="BL827" s="99">
        <f t="shared" si="12"/>
        <v>128</v>
      </c>
      <c r="BM827" s="99" t="str">
        <f>IFERROR(__xludf.DUMMYFUNCTION("IFERROR(VLOOKUP(BG827,IMPORTRANGE(""https://docs.google.com/spreadsheets/d/1juPI-Fb8LD0YtltB2mlGEnp_R3UVu1t3wSFPzgCyHXE/edit?gid=0#gid=0"",""GERAL!A2:C""),3,0),""-"")"),"CAMPO")</f>
        <v>CAMPO</v>
      </c>
    </row>
    <row r="828" ht="15.75" customHeight="1">
      <c r="A828" s="111" t="s">
        <v>914</v>
      </c>
      <c r="B828" s="83" t="s">
        <v>4001</v>
      </c>
      <c r="C828" s="83" t="s">
        <v>68</v>
      </c>
      <c r="D828" s="112">
        <v>1127707.0</v>
      </c>
      <c r="E828" s="83"/>
      <c r="F828" s="83">
        <v>2.9240131E7</v>
      </c>
      <c r="G828" s="119" t="s">
        <v>4002</v>
      </c>
      <c r="H828" s="91" t="s">
        <v>4003</v>
      </c>
      <c r="I828" s="136" t="s">
        <v>149</v>
      </c>
      <c r="J828" s="136" t="s">
        <v>150</v>
      </c>
      <c r="K828" s="83" t="s">
        <v>151</v>
      </c>
      <c r="L828" s="98" t="s">
        <v>76</v>
      </c>
      <c r="M828" s="82" t="str">
        <f>IFERROR(__xludf.DUMMYFUNCTION("IFERROR(VLOOKUP(D828,
IMPORTRANGE(""https://docs.google.com/spreadsheets/d/1MjHtlUikwobi2MaWJgy7tfLeBmhj1u-dRFRs_8GwSoA/edit#gid=0"",""Gestores Escolares!D7:J""),3,0),""VERIFICAR CÓD SEC"")"),"LIEGE DE CÁSSIA RAMOS SILVA")</f>
        <v>LIEGE DE CÁSSIA RAMOS SILVA</v>
      </c>
      <c r="N828" s="82" t="str">
        <f>IFERROR(__xludf.DUMMYFUNCTION("IFERROR(VLOOKUP(D828,
IMPORTRANGE(""https://docs.google.com/spreadsheets/d/1MjHtlUikwobi2MaWJgy7tfLeBmhj1u-dRFRs_8GwSoA/edit#gid=0"",""Gestores Escolares!D7:J""),4,0),""VERIFICAR CÓD SEC"")"),"(77) 9 9113-7377")</f>
        <v>(77) 9 9113-7377</v>
      </c>
      <c r="O828" s="82" t="str">
        <f>IFERROR(__xludf.DUMMYFUNCTION("IFERROR(VLOOKUP(D828,
IMPORTRANGE(""https://docs.google.com/spreadsheets/d/1MjHtlUikwobi2MaWJgy7tfLeBmhj1u-dRFRs_8GwSoA/edit#gid=0"",""Gestores Escolares!D7:J""),6,0),""VERIFICAR CÓD SEC"")"),"CARLOS ROBERTO SILVA")</f>
        <v>CARLOS ROBERTO SILVA</v>
      </c>
      <c r="P828" s="82" t="str">
        <f>IFERROR(__xludf.DUMMYFUNCTION("IFERROR(VLOOKUP(D828,
IMPORTRANGE(""https://docs.google.com/spreadsheets/d/1MjHtlUikwobi2MaWJgy7tfLeBmhj1u-dRFRs_8GwSoA/edit#gid=0"",""Gestores Escolares!D7:J""),7,0),""VERIFICAR CÓD SEC"")"),"(77) 9 9213-8873")</f>
        <v>(77) 9 9213-8873</v>
      </c>
      <c r="Q828" s="82" t="str">
        <f>IFERROR(__xludf.DUMMYFUNCTION("IFERROR(VLOOKUP(D828,
IMPORTRANGE(""https://docs.google.com/spreadsheets/d/1MjHtlUikwobi2MaWJgy7tfLeBmhj1u-dRFRs_8GwSoA/edit#gid=0"",""Gestores Escolares!D7:m""),9,0),""VERIFICAR CÓD SEC"")"),"")</f>
        <v/>
      </c>
      <c r="R828" s="82" t="str">
        <f>IFERROR(__xludf.DUMMYFUNCTION("IFERROR(VLOOKUP(D828,
IMPORTRANGE(""https://docs.google.com/spreadsheets/d/1MjHtlUikwobi2MaWJgy7tfLeBmhj1u-dRFRs_8GwSoA/edit#gid=0"",""Gestores Escolares!D7:m""),10,0),""VERIFICAR CÓD SEC"")"),"")</f>
        <v/>
      </c>
      <c r="S828" s="82"/>
      <c r="T828" s="138">
        <v>6.0</v>
      </c>
      <c r="U828" s="139">
        <v>7.0</v>
      </c>
      <c r="V828" s="106">
        <v>0.0</v>
      </c>
      <c r="W828" s="107">
        <v>0.0</v>
      </c>
      <c r="X828" s="107">
        <v>0.0</v>
      </c>
      <c r="Y828" s="107">
        <v>0.0</v>
      </c>
      <c r="Z828" s="80">
        <f t="shared" si="1"/>
        <v>0</v>
      </c>
      <c r="AA828" s="106">
        <v>0.0</v>
      </c>
      <c r="AB828" s="107">
        <v>0.0</v>
      </c>
      <c r="AC828" s="107">
        <v>0.0</v>
      </c>
      <c r="AD828" s="107">
        <v>0.0</v>
      </c>
      <c r="AE828" s="80">
        <f t="shared" si="2"/>
        <v>0</v>
      </c>
      <c r="AF828" s="140">
        <v>0.0</v>
      </c>
      <c r="AG828" s="109">
        <v>0.0</v>
      </c>
      <c r="AH828" s="109">
        <v>0.0</v>
      </c>
      <c r="AI828" s="141">
        <v>203.0</v>
      </c>
      <c r="AJ828" s="80">
        <f t="shared" si="3"/>
        <v>203</v>
      </c>
      <c r="AK828" s="140">
        <v>0.0</v>
      </c>
      <c r="AL828" s="109">
        <v>0.0</v>
      </c>
      <c r="AM828" s="141">
        <v>0.0</v>
      </c>
      <c r="AN828" s="80">
        <f t="shared" si="4"/>
        <v>0</v>
      </c>
      <c r="AO828" s="140">
        <v>0.0</v>
      </c>
      <c r="AP828" s="109">
        <v>0.0</v>
      </c>
      <c r="AQ828" s="109">
        <v>74.0</v>
      </c>
      <c r="AR828" s="80">
        <f t="shared" si="5"/>
        <v>74</v>
      </c>
      <c r="AS828" s="110">
        <v>0.0</v>
      </c>
      <c r="AT828" s="110">
        <v>0.0</v>
      </c>
      <c r="AU828" s="110">
        <v>0.0</v>
      </c>
      <c r="AV828" s="142">
        <v>62.0</v>
      </c>
      <c r="AW828" s="80">
        <f t="shared" si="6"/>
        <v>62</v>
      </c>
      <c r="AX828" s="113">
        <f t="shared" si="7"/>
        <v>339</v>
      </c>
      <c r="AY828" s="117">
        <f t="shared" si="8"/>
        <v>265</v>
      </c>
      <c r="AZ828" s="120">
        <f t="shared" si="9"/>
        <v>74</v>
      </c>
      <c r="BA828" s="115">
        <v>0.0</v>
      </c>
      <c r="BB828" s="89">
        <f t="shared" si="10"/>
        <v>339</v>
      </c>
      <c r="BC828" s="132" t="s">
        <v>178</v>
      </c>
      <c r="BD828" s="132" t="s">
        <v>178</v>
      </c>
      <c r="BE828" s="132" t="s">
        <v>178</v>
      </c>
      <c r="BF828" s="123"/>
      <c r="BG828" s="83">
        <v>1127707.0</v>
      </c>
      <c r="BH828" s="112"/>
      <c r="BI828" s="112">
        <v>7.0</v>
      </c>
      <c r="BJ828" s="98" t="s">
        <v>155</v>
      </c>
      <c r="BK828" s="99">
        <f t="shared" si="11"/>
        <v>265</v>
      </c>
      <c r="BL828" s="99">
        <f t="shared" si="12"/>
        <v>0</v>
      </c>
      <c r="BM828" s="99" t="str">
        <f>IFERROR(__xludf.DUMMYFUNCTION("IFERROR(VLOOKUP(BG828,IMPORTRANGE(""https://docs.google.com/spreadsheets/d/1juPI-Fb8LD0YtltB2mlGEnp_R3UVu1t3wSFPzgCyHXE/edit?gid=0#gid=0"",""GERAL!A2:C""),3,0),""-"")"),"-")</f>
        <v>-</v>
      </c>
    </row>
    <row r="829" ht="15.75" customHeight="1">
      <c r="A829" s="111" t="s">
        <v>914</v>
      </c>
      <c r="B829" s="83" t="s">
        <v>4001</v>
      </c>
      <c r="C829" s="83" t="s">
        <v>68</v>
      </c>
      <c r="D829" s="112">
        <v>1127634.0</v>
      </c>
      <c r="E829" s="83"/>
      <c r="F829" s="83">
        <v>2.924053E7</v>
      </c>
      <c r="G829" s="119" t="s">
        <v>4005</v>
      </c>
      <c r="H829" s="91" t="s">
        <v>4006</v>
      </c>
      <c r="I829" s="136" t="s">
        <v>149</v>
      </c>
      <c r="J829" s="136" t="s">
        <v>784</v>
      </c>
      <c r="K829" s="83" t="s">
        <v>151</v>
      </c>
      <c r="L829" s="83" t="s">
        <v>169</v>
      </c>
      <c r="M829" s="82" t="str">
        <f>IFERROR(__xludf.DUMMYFUNCTION("IFERROR(VLOOKUP(D829,
IMPORTRANGE(""https://docs.google.com/spreadsheets/d/1MjHtlUikwobi2MaWJgy7tfLeBmhj1u-dRFRs_8GwSoA/edit#gid=0"",""Gestores Escolares!D7:J""),3,0),""VERIFICAR CÓD SEC"")"),"WASHINGTON LUIZ DE ARAUJO ")</f>
        <v>WASHINGTON LUIZ DE ARAUJO </v>
      </c>
      <c r="N829" s="82" t="str">
        <f>IFERROR(__xludf.DUMMYFUNCTION("IFERROR(VLOOKUP(D829,
IMPORTRANGE(""https://docs.google.com/spreadsheets/d/1MjHtlUikwobi2MaWJgy7tfLeBmhj1u-dRFRs_8GwSoA/edit#gid=0"",""Gestores Escolares!D7:J""),4,0),""VERIFICAR CÓD SEC"")"),"(77) 9 9124-9726")</f>
        <v>(77) 9 9124-9726</v>
      </c>
      <c r="O829" s="82" t="str">
        <f>IFERROR(__xludf.DUMMYFUNCTION("IFERROR(VLOOKUP(D829,
IMPORTRANGE(""https://docs.google.com/spreadsheets/d/1MjHtlUikwobi2MaWJgy7tfLeBmhj1u-dRFRs_8GwSoA/edit#gid=0"",""Gestores Escolares!D7:J""),6,0),""VERIFICAR CÓD SEC"")"),"")</f>
        <v/>
      </c>
      <c r="P829" s="82" t="str">
        <f>IFERROR(__xludf.DUMMYFUNCTION("IFERROR(VLOOKUP(D829,
IMPORTRANGE(""https://docs.google.com/spreadsheets/d/1MjHtlUikwobi2MaWJgy7tfLeBmhj1u-dRFRs_8GwSoA/edit#gid=0"",""Gestores Escolares!D7:J""),7,0),""VERIFICAR CÓD SEC"")"),"")</f>
        <v/>
      </c>
      <c r="Q829" s="82" t="str">
        <f>IFERROR(__xludf.DUMMYFUNCTION("IFERROR(VLOOKUP(D829,
IMPORTRANGE(""https://docs.google.com/spreadsheets/d/1MjHtlUikwobi2MaWJgy7tfLeBmhj1u-dRFRs_8GwSoA/edit#gid=0"",""Gestores Escolares!D7:m""),9,0),""VERIFICAR CÓD SEC"")"),"")</f>
        <v/>
      </c>
      <c r="R829" s="82" t="str">
        <f>IFERROR(__xludf.DUMMYFUNCTION("IFERROR(VLOOKUP(D829,
IMPORTRANGE(""https://docs.google.com/spreadsheets/d/1MjHtlUikwobi2MaWJgy7tfLeBmhj1u-dRFRs_8GwSoA/edit#gid=0"",""Gestores Escolares!D7:m""),10,0),""VERIFICAR CÓD SEC"")"),"")</f>
        <v/>
      </c>
      <c r="S829" s="82"/>
      <c r="T829" s="138">
        <v>7.0</v>
      </c>
      <c r="U829" s="145">
        <v>7.0</v>
      </c>
      <c r="V829" s="106">
        <v>0.0</v>
      </c>
      <c r="W829" s="107">
        <v>0.0</v>
      </c>
      <c r="X829" s="107">
        <v>0.0</v>
      </c>
      <c r="Y829" s="107">
        <v>0.0</v>
      </c>
      <c r="Z829" s="80">
        <f t="shared" si="1"/>
        <v>0</v>
      </c>
      <c r="AA829" s="106">
        <v>0.0</v>
      </c>
      <c r="AB829" s="107">
        <v>54.0</v>
      </c>
      <c r="AC829" s="107">
        <v>0.0</v>
      </c>
      <c r="AD829" s="107">
        <v>14.0</v>
      </c>
      <c r="AE829" s="80">
        <f t="shared" si="2"/>
        <v>68</v>
      </c>
      <c r="AF829" s="140">
        <v>0.0</v>
      </c>
      <c r="AG829" s="109">
        <v>0.0</v>
      </c>
      <c r="AH829" s="109">
        <v>0.0</v>
      </c>
      <c r="AI829" s="141">
        <v>81.0</v>
      </c>
      <c r="AJ829" s="80">
        <f t="shared" si="3"/>
        <v>81</v>
      </c>
      <c r="AK829" s="140">
        <v>0.0</v>
      </c>
      <c r="AL829" s="109">
        <v>0.0</v>
      </c>
      <c r="AM829" s="141">
        <v>0.0</v>
      </c>
      <c r="AN829" s="80">
        <f t="shared" si="4"/>
        <v>0</v>
      </c>
      <c r="AO829" s="140">
        <v>0.0</v>
      </c>
      <c r="AP829" s="109">
        <v>0.0</v>
      </c>
      <c r="AQ829" s="109">
        <v>0.0</v>
      </c>
      <c r="AR829" s="80">
        <f t="shared" si="5"/>
        <v>0</v>
      </c>
      <c r="AS829" s="110">
        <v>0.0</v>
      </c>
      <c r="AT829" s="110">
        <v>0.0</v>
      </c>
      <c r="AU829" s="110">
        <v>0.0</v>
      </c>
      <c r="AV829" s="142">
        <v>0.0</v>
      </c>
      <c r="AW829" s="80">
        <f t="shared" si="6"/>
        <v>0</v>
      </c>
      <c r="AX829" s="113">
        <f t="shared" si="7"/>
        <v>149</v>
      </c>
      <c r="AY829" s="117">
        <f t="shared" si="8"/>
        <v>149</v>
      </c>
      <c r="AZ829" s="120">
        <f t="shared" si="9"/>
        <v>0</v>
      </c>
      <c r="BA829" s="115">
        <v>0.0</v>
      </c>
      <c r="BB829" s="89">
        <f t="shared" si="10"/>
        <v>149</v>
      </c>
      <c r="BC829" s="132" t="s">
        <v>373</v>
      </c>
      <c r="BD829" s="132" t="s">
        <v>178</v>
      </c>
      <c r="BE829" s="132" t="s">
        <v>178</v>
      </c>
      <c r="BF829" s="123"/>
      <c r="BG829" s="83">
        <v>1127634.0</v>
      </c>
      <c r="BH829" s="112"/>
      <c r="BI829" s="112">
        <v>7.0</v>
      </c>
      <c r="BJ829" s="98" t="s">
        <v>155</v>
      </c>
      <c r="BK829" s="99">
        <f t="shared" si="11"/>
        <v>95</v>
      </c>
      <c r="BL829" s="99">
        <f t="shared" si="12"/>
        <v>54</v>
      </c>
      <c r="BM829" s="99" t="str">
        <f>IFERROR(__xludf.DUMMYFUNCTION("IFERROR(VLOOKUP(BG829,IMPORTRANGE(""https://docs.google.com/spreadsheets/d/1juPI-Fb8LD0YtltB2mlGEnp_R3UVu1t3wSFPzgCyHXE/edit?gid=0#gid=0"",""GERAL!A2:C""),3,0),""-"")"),"CAMPO")</f>
        <v>CAMPO</v>
      </c>
    </row>
    <row r="830" ht="15.75" customHeight="1">
      <c r="A830" s="111" t="s">
        <v>914</v>
      </c>
      <c r="B830" s="83" t="s">
        <v>4001</v>
      </c>
      <c r="C830" s="83" t="s">
        <v>164</v>
      </c>
      <c r="D830" s="112">
        <v>1179717.0</v>
      </c>
      <c r="E830" s="83">
        <v>1178856.0</v>
      </c>
      <c r="F830" s="98">
        <v>2.9483395E7</v>
      </c>
      <c r="G830" s="119" t="s">
        <v>4008</v>
      </c>
      <c r="H830" s="91" t="s">
        <v>4009</v>
      </c>
      <c r="I830" s="136" t="s">
        <v>149</v>
      </c>
      <c r="J830" s="136" t="s">
        <v>315</v>
      </c>
      <c r="K830" s="83" t="s">
        <v>151</v>
      </c>
      <c r="L830" s="83" t="s">
        <v>169</v>
      </c>
      <c r="M830" s="82" t="str">
        <f>IFERROR(__xludf.DUMMYFUNCTION("IFERROR(VLOOKUP(D830,
IMPORTRANGE(""https://docs.google.com/spreadsheets/d/1MjHtlUikwobi2MaWJgy7tfLeBmhj1u-dRFRs_8GwSoA/edit#gid=0"",""Gestores Escolares!D7:J""),3,0),""VERIFICAR CÓD SEC"")"),"LUIZ ANTONIO SANTOS XAVIER")</f>
        <v>LUIZ ANTONIO SANTOS XAVIER</v>
      </c>
      <c r="N830" s="82" t="str">
        <f>IFERROR(__xludf.DUMMYFUNCTION("IFERROR(VLOOKUP(D830,
IMPORTRANGE(""https://docs.google.com/spreadsheets/d/1MjHtlUikwobi2MaWJgy7tfLeBmhj1u-dRFRs_8GwSoA/edit#gid=0"",""Gestores Escolares!D7:J""),4,0),""VERIFICAR CÓD SEC"")"),"(77) 9 9988-7783")</f>
        <v>(77) 9 9988-7783</v>
      </c>
      <c r="O830" s="82" t="str">
        <f>IFERROR(__xludf.DUMMYFUNCTION("IFERROR(VLOOKUP(D830,
IMPORTRANGE(""https://docs.google.com/spreadsheets/d/1MjHtlUikwobi2MaWJgy7tfLeBmhj1u-dRFRs_8GwSoA/edit#gid=0"",""Gestores Escolares!D7:J""),6,0),""VERIFICAR CÓD SEC"")"),"")</f>
        <v/>
      </c>
      <c r="P830" s="82" t="str">
        <f>IFERROR(__xludf.DUMMYFUNCTION("IFERROR(VLOOKUP(D830,
IMPORTRANGE(""https://docs.google.com/spreadsheets/d/1MjHtlUikwobi2MaWJgy7tfLeBmhj1u-dRFRs_8GwSoA/edit#gid=0"",""Gestores Escolares!D7:J""),7,0),""VERIFICAR CÓD SEC"")"),"")</f>
        <v/>
      </c>
      <c r="Q830" s="82" t="str">
        <f>IFERROR(__xludf.DUMMYFUNCTION("IFERROR(VLOOKUP(D830,
IMPORTRANGE(""https://docs.google.com/spreadsheets/d/1MjHtlUikwobi2MaWJgy7tfLeBmhj1u-dRFRs_8GwSoA/edit#gid=0"",""Gestores Escolares!D7:m""),9,0),""VERIFICAR CÓD SEC"")"),"")</f>
        <v/>
      </c>
      <c r="R830" s="82" t="str">
        <f>IFERROR(__xludf.DUMMYFUNCTION("IFERROR(VLOOKUP(D830,
IMPORTRANGE(""https://docs.google.com/spreadsheets/d/1MjHtlUikwobi2MaWJgy7tfLeBmhj1u-dRFRs_8GwSoA/edit#gid=0"",""Gestores Escolares!D7:m""),10,0),""VERIFICAR CÓD SEC"")"),"")</f>
        <v/>
      </c>
      <c r="S830" s="82"/>
      <c r="T830" s="138">
        <v>3.0</v>
      </c>
      <c r="U830" s="145">
        <v>3.0</v>
      </c>
      <c r="V830" s="106">
        <v>0.0</v>
      </c>
      <c r="W830" s="107">
        <v>0.0</v>
      </c>
      <c r="X830" s="107">
        <v>0.0</v>
      </c>
      <c r="Y830" s="107">
        <v>0.0</v>
      </c>
      <c r="Z830" s="80">
        <f t="shared" si="1"/>
        <v>0</v>
      </c>
      <c r="AA830" s="106">
        <v>0.0</v>
      </c>
      <c r="AB830" s="107">
        <v>0.0</v>
      </c>
      <c r="AC830" s="107">
        <v>0.0</v>
      </c>
      <c r="AD830" s="107">
        <v>0.0</v>
      </c>
      <c r="AE830" s="80">
        <f t="shared" si="2"/>
        <v>0</v>
      </c>
      <c r="AF830" s="140">
        <v>0.0</v>
      </c>
      <c r="AG830" s="109">
        <v>38.0</v>
      </c>
      <c r="AH830" s="109">
        <v>0.0</v>
      </c>
      <c r="AI830" s="141">
        <v>0.0</v>
      </c>
      <c r="AJ830" s="80">
        <f t="shared" si="3"/>
        <v>38</v>
      </c>
      <c r="AK830" s="140">
        <v>0.0</v>
      </c>
      <c r="AL830" s="109">
        <v>0.0</v>
      </c>
      <c r="AM830" s="141">
        <v>0.0</v>
      </c>
      <c r="AN830" s="80">
        <f t="shared" si="4"/>
        <v>0</v>
      </c>
      <c r="AO830" s="140">
        <v>0.0</v>
      </c>
      <c r="AP830" s="109">
        <v>0.0</v>
      </c>
      <c r="AQ830" s="109">
        <v>0.0</v>
      </c>
      <c r="AR830" s="80">
        <f t="shared" si="5"/>
        <v>0</v>
      </c>
      <c r="AS830" s="110">
        <v>0.0</v>
      </c>
      <c r="AT830" s="110">
        <v>0.0</v>
      </c>
      <c r="AU830" s="110">
        <v>0.0</v>
      </c>
      <c r="AV830" s="142">
        <v>0.0</v>
      </c>
      <c r="AW830" s="80">
        <f t="shared" si="6"/>
        <v>0</v>
      </c>
      <c r="AX830" s="113">
        <f t="shared" si="7"/>
        <v>38</v>
      </c>
      <c r="AY830" s="117">
        <f t="shared" si="8"/>
        <v>38</v>
      </c>
      <c r="AZ830" s="120">
        <f t="shared" si="9"/>
        <v>0</v>
      </c>
      <c r="BA830" s="115">
        <v>0.0</v>
      </c>
      <c r="BB830" s="89">
        <f t="shared" si="10"/>
        <v>38</v>
      </c>
      <c r="BC830" s="132" t="s">
        <v>373</v>
      </c>
      <c r="BD830" s="143" t="s">
        <v>227</v>
      </c>
      <c r="BE830" s="132" t="s">
        <v>178</v>
      </c>
      <c r="BF830" s="123"/>
      <c r="BG830" s="83">
        <v>1178856.0</v>
      </c>
      <c r="BH830" s="112"/>
      <c r="BI830" s="112">
        <v>3.0</v>
      </c>
      <c r="BJ830" s="98" t="s">
        <v>155</v>
      </c>
      <c r="BK830" s="99">
        <f t="shared" si="11"/>
        <v>0</v>
      </c>
      <c r="BL830" s="99">
        <f t="shared" si="12"/>
        <v>38</v>
      </c>
      <c r="BM830" s="99" t="str">
        <f>IFERROR(__xludf.DUMMYFUNCTION("IFERROR(VLOOKUP(BG830,IMPORTRANGE(""https://docs.google.com/spreadsheets/d/1juPI-Fb8LD0YtltB2mlGEnp_R3UVu1t3wSFPzgCyHXE/edit?gid=0#gid=0"",""GERAL!A2:C""),3,0),""-"")"),"CAMPO")</f>
        <v>CAMPO</v>
      </c>
    </row>
    <row r="831" ht="15.75" customHeight="1">
      <c r="A831" s="111" t="s">
        <v>914</v>
      </c>
      <c r="B831" s="83" t="s">
        <v>4001</v>
      </c>
      <c r="C831" s="83" t="s">
        <v>164</v>
      </c>
      <c r="D831" s="112">
        <v>1179717.0</v>
      </c>
      <c r="E831" s="83">
        <v>1179162.0</v>
      </c>
      <c r="F831" s="98">
        <v>2.9483395E7</v>
      </c>
      <c r="G831" s="119" t="s">
        <v>4010</v>
      </c>
      <c r="H831" s="91" t="s">
        <v>4011</v>
      </c>
      <c r="I831" s="136" t="s">
        <v>149</v>
      </c>
      <c r="J831" s="136" t="s">
        <v>183</v>
      </c>
      <c r="K831" s="83" t="s">
        <v>151</v>
      </c>
      <c r="L831" s="83" t="s">
        <v>169</v>
      </c>
      <c r="M831" s="82" t="str">
        <f>IFERROR(__xludf.DUMMYFUNCTION("IFERROR(VLOOKUP(D831,
IMPORTRANGE(""https://docs.google.com/spreadsheets/d/1MjHtlUikwobi2MaWJgy7tfLeBmhj1u-dRFRs_8GwSoA/edit#gid=0"",""Gestores Escolares!D7:J""),3,0),""VERIFICAR CÓD SEC"")"),"LUIZ ANTONIO SANTOS XAVIER")</f>
        <v>LUIZ ANTONIO SANTOS XAVIER</v>
      </c>
      <c r="N831" s="82" t="str">
        <f>IFERROR(__xludf.DUMMYFUNCTION("IFERROR(VLOOKUP(D831,
IMPORTRANGE(""https://docs.google.com/spreadsheets/d/1MjHtlUikwobi2MaWJgy7tfLeBmhj1u-dRFRs_8GwSoA/edit#gid=0"",""Gestores Escolares!D7:J""),4,0),""VERIFICAR CÓD SEC"")"),"(77) 9 9988-7783")</f>
        <v>(77) 9 9988-7783</v>
      </c>
      <c r="O831" s="82" t="str">
        <f>IFERROR(__xludf.DUMMYFUNCTION("IFERROR(VLOOKUP(D831,
IMPORTRANGE(""https://docs.google.com/spreadsheets/d/1MjHtlUikwobi2MaWJgy7tfLeBmhj1u-dRFRs_8GwSoA/edit#gid=0"",""Gestores Escolares!D7:J""),6,0),""VERIFICAR CÓD SEC"")"),"")</f>
        <v/>
      </c>
      <c r="P831" s="82" t="str">
        <f>IFERROR(__xludf.DUMMYFUNCTION("IFERROR(VLOOKUP(D831,
IMPORTRANGE(""https://docs.google.com/spreadsheets/d/1MjHtlUikwobi2MaWJgy7tfLeBmhj1u-dRFRs_8GwSoA/edit#gid=0"",""Gestores Escolares!D7:J""),7,0),""VERIFICAR CÓD SEC"")"),"")</f>
        <v/>
      </c>
      <c r="Q831" s="82" t="str">
        <f>IFERROR(__xludf.DUMMYFUNCTION("IFERROR(VLOOKUP(D831,
IMPORTRANGE(""https://docs.google.com/spreadsheets/d/1MjHtlUikwobi2MaWJgy7tfLeBmhj1u-dRFRs_8GwSoA/edit#gid=0"",""Gestores Escolares!D7:m""),9,0),""VERIFICAR CÓD SEC"")"),"")</f>
        <v/>
      </c>
      <c r="R831" s="82" t="str">
        <f>IFERROR(__xludf.DUMMYFUNCTION("IFERROR(VLOOKUP(D831,
IMPORTRANGE(""https://docs.google.com/spreadsheets/d/1MjHtlUikwobi2MaWJgy7tfLeBmhj1u-dRFRs_8GwSoA/edit#gid=0"",""Gestores Escolares!D7:m""),10,0),""VERIFICAR CÓD SEC"")"),"")</f>
        <v/>
      </c>
      <c r="S831" s="82"/>
      <c r="T831" s="138">
        <v>4.0</v>
      </c>
      <c r="U831" s="139">
        <v>3.0</v>
      </c>
      <c r="V831" s="106">
        <v>0.0</v>
      </c>
      <c r="W831" s="107">
        <v>0.0</v>
      </c>
      <c r="X831" s="107">
        <v>0.0</v>
      </c>
      <c r="Y831" s="107">
        <v>0.0</v>
      </c>
      <c r="Z831" s="80">
        <f t="shared" si="1"/>
        <v>0</v>
      </c>
      <c r="AA831" s="106">
        <v>0.0</v>
      </c>
      <c r="AB831" s="107">
        <v>0.0</v>
      </c>
      <c r="AC831" s="107">
        <v>0.0</v>
      </c>
      <c r="AD831" s="107">
        <v>0.0</v>
      </c>
      <c r="AE831" s="80">
        <f t="shared" si="2"/>
        <v>0</v>
      </c>
      <c r="AF831" s="140">
        <v>0.0</v>
      </c>
      <c r="AG831" s="109">
        <v>20.0</v>
      </c>
      <c r="AH831" s="109">
        <v>0.0</v>
      </c>
      <c r="AI831" s="141">
        <v>0.0</v>
      </c>
      <c r="AJ831" s="80">
        <f t="shared" si="3"/>
        <v>20</v>
      </c>
      <c r="AK831" s="140">
        <v>0.0</v>
      </c>
      <c r="AL831" s="109">
        <v>0.0</v>
      </c>
      <c r="AM831" s="141">
        <v>0.0</v>
      </c>
      <c r="AN831" s="80">
        <f t="shared" si="4"/>
        <v>0</v>
      </c>
      <c r="AO831" s="140">
        <v>0.0</v>
      </c>
      <c r="AP831" s="109">
        <v>0.0</v>
      </c>
      <c r="AQ831" s="109">
        <v>0.0</v>
      </c>
      <c r="AR831" s="80">
        <f t="shared" si="5"/>
        <v>0</v>
      </c>
      <c r="AS831" s="110">
        <v>0.0</v>
      </c>
      <c r="AT831" s="110">
        <v>0.0</v>
      </c>
      <c r="AU831" s="110">
        <v>0.0</v>
      </c>
      <c r="AV831" s="142">
        <v>0.0</v>
      </c>
      <c r="AW831" s="80">
        <f t="shared" si="6"/>
        <v>0</v>
      </c>
      <c r="AX831" s="113">
        <f t="shared" si="7"/>
        <v>20</v>
      </c>
      <c r="AY831" s="117">
        <f t="shared" si="8"/>
        <v>20</v>
      </c>
      <c r="AZ831" s="120">
        <f t="shared" si="9"/>
        <v>0</v>
      </c>
      <c r="BA831" s="115">
        <v>0.0</v>
      </c>
      <c r="BB831" s="89">
        <f t="shared" si="10"/>
        <v>20</v>
      </c>
      <c r="BC831" s="132" t="s">
        <v>373</v>
      </c>
      <c r="BD831" s="143" t="s">
        <v>227</v>
      </c>
      <c r="BE831" s="132" t="s">
        <v>178</v>
      </c>
      <c r="BF831" s="123"/>
      <c r="BG831" s="83">
        <v>1179162.0</v>
      </c>
      <c r="BH831" s="112"/>
      <c r="BI831" s="112">
        <v>3.0</v>
      </c>
      <c r="BJ831" s="98" t="s">
        <v>155</v>
      </c>
      <c r="BK831" s="99">
        <f t="shared" si="11"/>
        <v>0</v>
      </c>
      <c r="BL831" s="99">
        <f t="shared" si="12"/>
        <v>20</v>
      </c>
      <c r="BM831" s="99" t="str">
        <f>IFERROR(__xludf.DUMMYFUNCTION("IFERROR(VLOOKUP(BG831,IMPORTRANGE(""https://docs.google.com/spreadsheets/d/1juPI-Fb8LD0YtltB2mlGEnp_R3UVu1t3wSFPzgCyHXE/edit?gid=0#gid=0"",""GERAL!A2:C""),3,0),""-"")"),"CAMPO")</f>
        <v>CAMPO</v>
      </c>
    </row>
    <row r="832" ht="15.75" customHeight="1">
      <c r="A832" s="111" t="s">
        <v>973</v>
      </c>
      <c r="B832" s="83" t="s">
        <v>2038</v>
      </c>
      <c r="C832" s="83" t="s">
        <v>68</v>
      </c>
      <c r="D832" s="112">
        <v>1123817.0</v>
      </c>
      <c r="E832" s="83"/>
      <c r="F832" s="83">
        <v>2.9256089E7</v>
      </c>
      <c r="G832" s="153" t="s">
        <v>4012</v>
      </c>
      <c r="H832" s="108" t="s">
        <v>4013</v>
      </c>
      <c r="I832" s="136" t="s">
        <v>149</v>
      </c>
      <c r="J832" s="83" t="s">
        <v>150</v>
      </c>
      <c r="K832" s="83" t="s">
        <v>151</v>
      </c>
      <c r="L832" s="83" t="s">
        <v>230</v>
      </c>
      <c r="M832" s="82" t="str">
        <f>IFERROR(__xludf.DUMMYFUNCTION("IFERROR(VLOOKUP(D832,
IMPORTRANGE(""https://docs.google.com/spreadsheets/d/1MjHtlUikwobi2MaWJgy7tfLeBmhj1u-dRFRs_8GwSoA/edit#gid=0"",""Gestores Escolares!D7:J""),3,0),""VERIFICAR CÓD SEC"")"),"ALINE MARIA SILVA PEREIRA")</f>
        <v>ALINE MARIA SILVA PEREIRA</v>
      </c>
      <c r="N832" s="82" t="str">
        <f>IFERROR(__xludf.DUMMYFUNCTION("IFERROR(VLOOKUP(D832,
IMPORTRANGE(""https://docs.google.com/spreadsheets/d/1MjHtlUikwobi2MaWJgy7tfLeBmhj1u-dRFRs_8GwSoA/edit#gid=0"",""Gestores Escolares!D7:J""),4,0),""VERIFICAR CÓD SEC"")"),"(77) 9 9997-3747")</f>
        <v>(77) 9 9997-3747</v>
      </c>
      <c r="O832" s="82" t="str">
        <f>IFERROR(__xludf.DUMMYFUNCTION("IFERROR(VLOOKUP(D832,
IMPORTRANGE(""https://docs.google.com/spreadsheets/d/1MjHtlUikwobi2MaWJgy7tfLeBmhj1u-dRFRs_8GwSoA/edit#gid=0"",""Gestores Escolares!D7:J""),6,0),""VERIFICAR CÓD SEC"")"),"CRISTIANE VIEIRA COSTA ABREU")</f>
        <v>CRISTIANE VIEIRA COSTA ABREU</v>
      </c>
      <c r="P832" s="82" t="str">
        <f>IFERROR(__xludf.DUMMYFUNCTION("IFERROR(VLOOKUP(D832,
IMPORTRANGE(""https://docs.google.com/spreadsheets/d/1MjHtlUikwobi2MaWJgy7tfLeBmhj1u-dRFRs_8GwSoA/edit#gid=0"",""Gestores Escolares!D7:J""),7,0),""VERIFICAR CÓD SEC"")"),"(77) 9 9956-0531")</f>
        <v>(77) 9 9956-0531</v>
      </c>
      <c r="Q832" s="82" t="str">
        <f>IFERROR(__xludf.DUMMYFUNCTION("IFERROR(VLOOKUP(D832,
IMPORTRANGE(""https://docs.google.com/spreadsheets/d/1MjHtlUikwobi2MaWJgy7tfLeBmhj1u-dRFRs_8GwSoA/edit#gid=0"",""Gestores Escolares!D7:m""),9,0),""VERIFICAR CÓD SEC"")"),"CRISTIANE CRISTY LEITE FERNANDES")</f>
        <v>CRISTIANE CRISTY LEITE FERNANDES</v>
      </c>
      <c r="R832" s="82" t="str">
        <f>IFERROR(__xludf.DUMMYFUNCTION("IFERROR(VLOOKUP(D832,
IMPORTRANGE(""https://docs.google.com/spreadsheets/d/1MjHtlUikwobi2MaWJgy7tfLeBmhj1u-dRFRs_8GwSoA/edit#gid=0"",""Gestores Escolares!D7:m""),10,0),""VERIFICAR CÓD SEC"")"),"(77) 9 8146-8325")</f>
        <v>(77) 9 8146-8325</v>
      </c>
      <c r="S832" s="82"/>
      <c r="T832" s="138">
        <v>22.0</v>
      </c>
      <c r="U832" s="145">
        <v>24.0</v>
      </c>
      <c r="V832" s="106">
        <v>0.0</v>
      </c>
      <c r="W832" s="107">
        <v>0.0</v>
      </c>
      <c r="X832" s="107">
        <v>0.0</v>
      </c>
      <c r="Y832" s="107">
        <v>0.0</v>
      </c>
      <c r="Z832" s="80">
        <f t="shared" si="1"/>
        <v>0</v>
      </c>
      <c r="AA832" s="106">
        <v>0.0</v>
      </c>
      <c r="AB832" s="107">
        <v>0.0</v>
      </c>
      <c r="AC832" s="107">
        <v>0.0</v>
      </c>
      <c r="AD832" s="107">
        <v>0.0</v>
      </c>
      <c r="AE832" s="80">
        <f t="shared" si="2"/>
        <v>0</v>
      </c>
      <c r="AF832" s="222">
        <v>0.0</v>
      </c>
      <c r="AG832" s="222">
        <v>0.0</v>
      </c>
      <c r="AH832" s="222">
        <v>0.0</v>
      </c>
      <c r="AI832" s="224">
        <v>606.0</v>
      </c>
      <c r="AJ832" s="80">
        <f t="shared" si="3"/>
        <v>606</v>
      </c>
      <c r="AK832" s="140">
        <v>0.0</v>
      </c>
      <c r="AL832" s="109">
        <v>0.0</v>
      </c>
      <c r="AM832" s="141">
        <v>0.0</v>
      </c>
      <c r="AN832" s="80">
        <f t="shared" si="4"/>
        <v>0</v>
      </c>
      <c r="AO832" s="222">
        <v>0.0</v>
      </c>
      <c r="AP832" s="222">
        <v>0.0</v>
      </c>
      <c r="AQ832" s="224">
        <v>164.0</v>
      </c>
      <c r="AR832" s="80">
        <f t="shared" si="5"/>
        <v>164</v>
      </c>
      <c r="AS832" s="110">
        <v>0.0</v>
      </c>
      <c r="AT832" s="110">
        <v>0.0</v>
      </c>
      <c r="AU832" s="110">
        <v>0.0</v>
      </c>
      <c r="AV832" s="142">
        <v>0.0</v>
      </c>
      <c r="AW832" s="80">
        <f t="shared" si="6"/>
        <v>0</v>
      </c>
      <c r="AX832" s="113">
        <f t="shared" si="7"/>
        <v>770</v>
      </c>
      <c r="AY832" s="117">
        <f t="shared" si="8"/>
        <v>606</v>
      </c>
      <c r="AZ832" s="120">
        <f t="shared" si="9"/>
        <v>164</v>
      </c>
      <c r="BA832" s="115">
        <v>0.0</v>
      </c>
      <c r="BB832" s="89">
        <f t="shared" si="10"/>
        <v>770</v>
      </c>
      <c r="BC832" s="132" t="s">
        <v>178</v>
      </c>
      <c r="BD832" s="132" t="s">
        <v>178</v>
      </c>
      <c r="BE832" s="132" t="s">
        <v>178</v>
      </c>
      <c r="BF832" s="123"/>
      <c r="BG832" s="83">
        <v>1123817.0</v>
      </c>
      <c r="BH832" s="112"/>
      <c r="BI832" s="112">
        <v>21.0</v>
      </c>
      <c r="BJ832" s="98" t="s">
        <v>162</v>
      </c>
      <c r="BK832" s="99">
        <f t="shared" si="11"/>
        <v>606</v>
      </c>
      <c r="BL832" s="99">
        <f t="shared" si="12"/>
        <v>0</v>
      </c>
      <c r="BM832" s="99" t="str">
        <f>IFERROR(__xludf.DUMMYFUNCTION("IFERROR(VLOOKUP(BG832,IMPORTRANGE(""https://docs.google.com/spreadsheets/d/1juPI-Fb8LD0YtltB2mlGEnp_R3UVu1t3wSFPzgCyHXE/edit?gid=0#gid=0"",""GERAL!A2:C""),3,0),""-"")"),"-")</f>
        <v>-</v>
      </c>
    </row>
    <row r="833" ht="15.75" customHeight="1">
      <c r="A833" s="111" t="s">
        <v>973</v>
      </c>
      <c r="B833" s="83" t="s">
        <v>2038</v>
      </c>
      <c r="C833" s="83" t="s">
        <v>68</v>
      </c>
      <c r="D833" s="112">
        <v>1176430.0</v>
      </c>
      <c r="E833" s="83"/>
      <c r="F833" s="83">
        <v>2.9392365E7</v>
      </c>
      <c r="G833" s="114" t="s">
        <v>4023</v>
      </c>
      <c r="H833" s="91" t="s">
        <v>4024</v>
      </c>
      <c r="I833" s="136" t="s">
        <v>149</v>
      </c>
      <c r="J833" s="83" t="s">
        <v>150</v>
      </c>
      <c r="K833" s="83" t="s">
        <v>151</v>
      </c>
      <c r="L833" s="83" t="s">
        <v>230</v>
      </c>
      <c r="M833" s="82" t="str">
        <f>IFERROR(__xludf.DUMMYFUNCTION("IFERROR(VLOOKUP(D833,
IMPORTRANGE(""https://docs.google.com/spreadsheets/d/1MjHtlUikwobi2MaWJgy7tfLeBmhj1u-dRFRs_8GwSoA/edit#gid=0"",""Gestores Escolares!D7:J""),3,0),""VERIFICAR CÓD SEC"")")," EMANOELA DE SOUZA SILVA")</f>
        <v> EMANOELA DE SOUZA SILVA</v>
      </c>
      <c r="N833" s="82" t="str">
        <f>IFERROR(__xludf.DUMMYFUNCTION("IFERROR(VLOOKUP(D833,
IMPORTRANGE(""https://docs.google.com/spreadsheets/d/1MjHtlUikwobi2MaWJgy7tfLeBmhj1u-dRFRs_8GwSoA/edit#gid=0"",""Gestores Escolares!D7:J""),4,0),""VERIFICAR CÓD SEC"")"),"(77) 9 9997-1474")</f>
        <v>(77) 9 9997-1474</v>
      </c>
      <c r="O833" s="82" t="str">
        <f>IFERROR(__xludf.DUMMYFUNCTION("IFERROR(VLOOKUP(D833,
IMPORTRANGE(""https://docs.google.com/spreadsheets/d/1MjHtlUikwobi2MaWJgy7tfLeBmhj1u-dRFRs_8GwSoA/edit#gid=0"",""Gestores Escolares!D7:J""),6,0),""VERIFICAR CÓD SEC"")"),"SERGIANA ALVES CANGUSCU MIRANDA")</f>
        <v>SERGIANA ALVES CANGUSCU MIRANDA</v>
      </c>
      <c r="P833" s="82" t="str">
        <f>IFERROR(__xludf.DUMMYFUNCTION("IFERROR(VLOOKUP(D833,
IMPORTRANGE(""https://docs.google.com/spreadsheets/d/1MjHtlUikwobi2MaWJgy7tfLeBmhj1u-dRFRs_8GwSoA/edit#gid=0"",""Gestores Escolares!D7:J""),7,0),""VERIFICAR CÓD SEC"")")," (77) 9 9997-1661")</f>
        <v> (77) 9 9997-1661</v>
      </c>
      <c r="Q833" s="82" t="str">
        <f>IFERROR(__xludf.DUMMYFUNCTION("IFERROR(VLOOKUP(D833,
IMPORTRANGE(""https://docs.google.com/spreadsheets/d/1MjHtlUikwobi2MaWJgy7tfLeBmhj1u-dRFRs_8GwSoA/edit#gid=0"",""Gestores Escolares!D7:m""),9,0),""VERIFICAR CÓD SEC"")"),"SARA DA SILVA PIRES SANTOS")</f>
        <v>SARA DA SILVA PIRES SANTOS</v>
      </c>
      <c r="R833" s="82" t="str">
        <f>IFERROR(__xludf.DUMMYFUNCTION("IFERROR(VLOOKUP(D833,
IMPORTRANGE(""https://docs.google.com/spreadsheets/d/1MjHtlUikwobi2MaWJgy7tfLeBmhj1u-dRFRs_8GwSoA/edit#gid=0"",""Gestores Escolares!D7:m""),10,0),""VERIFICAR CÓD SEC"")"),"(77) 9 9917-5110")</f>
        <v>(77) 9 9917-5110</v>
      </c>
      <c r="S833" s="82"/>
      <c r="T833" s="138">
        <v>15.0</v>
      </c>
      <c r="U833" s="145" t="s">
        <v>11640</v>
      </c>
      <c r="V833" s="106">
        <v>0.0</v>
      </c>
      <c r="W833" s="107">
        <v>0.0</v>
      </c>
      <c r="X833" s="107">
        <v>0.0</v>
      </c>
      <c r="Y833" s="107">
        <v>0.0</v>
      </c>
      <c r="Z833" s="80">
        <f t="shared" si="1"/>
        <v>0</v>
      </c>
      <c r="AA833" s="106">
        <v>0.0</v>
      </c>
      <c r="AB833" s="107">
        <v>0.0</v>
      </c>
      <c r="AC833" s="107">
        <v>0.0</v>
      </c>
      <c r="AD833" s="107">
        <v>0.0</v>
      </c>
      <c r="AE833" s="80">
        <f t="shared" si="2"/>
        <v>0</v>
      </c>
      <c r="AF833" s="140">
        <v>0.0</v>
      </c>
      <c r="AG833" s="109">
        <v>0.0</v>
      </c>
      <c r="AH833" s="109">
        <v>0.0</v>
      </c>
      <c r="AI833" s="141">
        <v>0.0</v>
      </c>
      <c r="AJ833" s="80">
        <f t="shared" si="3"/>
        <v>0</v>
      </c>
      <c r="AK833" s="140">
        <v>0.0</v>
      </c>
      <c r="AL833" s="109">
        <v>0.0</v>
      </c>
      <c r="AM833" s="141">
        <v>0.0</v>
      </c>
      <c r="AN833" s="80">
        <f t="shared" si="4"/>
        <v>0</v>
      </c>
      <c r="AO833" s="140">
        <v>0.0</v>
      </c>
      <c r="AP833" s="109">
        <v>0.0</v>
      </c>
      <c r="AQ833" s="109">
        <v>0.0</v>
      </c>
      <c r="AR833" s="80">
        <f t="shared" si="5"/>
        <v>0</v>
      </c>
      <c r="AS833" s="110">
        <v>567.0</v>
      </c>
      <c r="AT833" s="110">
        <v>461.0</v>
      </c>
      <c r="AU833" s="110">
        <v>210.0</v>
      </c>
      <c r="AV833" s="142">
        <v>0.0</v>
      </c>
      <c r="AW833" s="80">
        <f t="shared" si="6"/>
        <v>1238</v>
      </c>
      <c r="AX833" s="113">
        <f t="shared" si="7"/>
        <v>1238</v>
      </c>
      <c r="AY833" s="117">
        <f t="shared" si="8"/>
        <v>1028</v>
      </c>
      <c r="AZ833" s="120">
        <f t="shared" si="9"/>
        <v>210</v>
      </c>
      <c r="BA833" s="115">
        <v>0.0</v>
      </c>
      <c r="BB833" s="89">
        <f t="shared" si="10"/>
        <v>1238</v>
      </c>
      <c r="BC833" s="132" t="s">
        <v>178</v>
      </c>
      <c r="BD833" s="132" t="s">
        <v>779</v>
      </c>
      <c r="BE833" s="132" t="s">
        <v>178</v>
      </c>
      <c r="BF833" s="156"/>
      <c r="BG833" s="83">
        <v>1176430.0</v>
      </c>
      <c r="BH833" s="112"/>
      <c r="BI833" s="112">
        <v>14.0</v>
      </c>
      <c r="BJ833" s="98" t="s">
        <v>155</v>
      </c>
      <c r="BK833" s="99">
        <f t="shared" si="11"/>
        <v>0</v>
      </c>
      <c r="BL833" s="99">
        <f t="shared" si="12"/>
        <v>1028</v>
      </c>
      <c r="BM833" s="99" t="str">
        <f>IFERROR(__xludf.DUMMYFUNCTION("IFERROR(VLOOKUP(BG833,IMPORTRANGE(""https://docs.google.com/spreadsheets/d/1juPI-Fb8LD0YtltB2mlGEnp_R3UVu1t3wSFPzgCyHXE/edit?gid=0#gid=0"",""GERAL!A2:C""),3,0),""-"")"),"-")</f>
        <v>-</v>
      </c>
    </row>
    <row r="834" ht="15.75" customHeight="1">
      <c r="A834" s="127" t="s">
        <v>973</v>
      </c>
      <c r="B834" s="98" t="s">
        <v>2038</v>
      </c>
      <c r="C834" s="98" t="s">
        <v>164</v>
      </c>
      <c r="D834" s="98">
        <v>1176430.0</v>
      </c>
      <c r="E834" s="98">
        <v>1179834.0</v>
      </c>
      <c r="F834" s="98">
        <v>2.9497116E7</v>
      </c>
      <c r="G834" s="147" t="s">
        <v>4028</v>
      </c>
      <c r="H834" s="108" t="s">
        <v>4029</v>
      </c>
      <c r="I834" s="83"/>
      <c r="J834" s="83"/>
      <c r="K834" s="98" t="s">
        <v>195</v>
      </c>
      <c r="L834" s="83" t="s">
        <v>512</v>
      </c>
      <c r="M834" s="82" t="str">
        <f>IFERROR(__xludf.DUMMYFUNCTION("IFERROR(VLOOKUP(D834,
IMPORTRANGE(""https://docs.google.com/spreadsheets/d/1MjHtlUikwobi2MaWJgy7tfLeBmhj1u-dRFRs_8GwSoA/edit#gid=0"",""Gestores Escolares!D7:J""),3,0),""VERIFICAR CÓD SEC"")")," EMANOELA DE SOUZA SILVA")</f>
        <v> EMANOELA DE SOUZA SILVA</v>
      </c>
      <c r="N834" s="82" t="str">
        <f>IFERROR(__xludf.DUMMYFUNCTION("IFERROR(VLOOKUP(D834,
IMPORTRANGE(""https://docs.google.com/spreadsheets/d/1MjHtlUikwobi2MaWJgy7tfLeBmhj1u-dRFRs_8GwSoA/edit#gid=0"",""Gestores Escolares!D7:J""),4,0),""VERIFICAR CÓD SEC"")"),"(77) 9 9997-1474")</f>
        <v>(77) 9 9997-1474</v>
      </c>
      <c r="O834" s="82" t="str">
        <f>IFERROR(__xludf.DUMMYFUNCTION("IFERROR(VLOOKUP(D834,
IMPORTRANGE(""https://docs.google.com/spreadsheets/d/1MjHtlUikwobi2MaWJgy7tfLeBmhj1u-dRFRs_8GwSoA/edit#gid=0"",""Gestores Escolares!D7:J""),6,0),""VERIFICAR CÓD SEC"")"),"SERGIANA ALVES CANGUSCU MIRANDA")</f>
        <v>SERGIANA ALVES CANGUSCU MIRANDA</v>
      </c>
      <c r="P834" s="82" t="str">
        <f>IFERROR(__xludf.DUMMYFUNCTION("IFERROR(VLOOKUP(D834,
IMPORTRANGE(""https://docs.google.com/spreadsheets/d/1MjHtlUikwobi2MaWJgy7tfLeBmhj1u-dRFRs_8GwSoA/edit#gid=0"",""Gestores Escolares!D7:J""),7,0),""VERIFICAR CÓD SEC"")")," (77) 9 9997-1661")</f>
        <v> (77) 9 9997-1661</v>
      </c>
      <c r="Q834" s="82" t="str">
        <f>IFERROR(__xludf.DUMMYFUNCTION("IFERROR(VLOOKUP(D834,
IMPORTRANGE(""https://docs.google.com/spreadsheets/d/1MjHtlUikwobi2MaWJgy7tfLeBmhj1u-dRFRs_8GwSoA/edit#gid=0"",""Gestores Escolares!D7:m""),9,0),""VERIFICAR CÓD SEC"")"),"SARA DA SILVA PIRES SANTOS")</f>
        <v>SARA DA SILVA PIRES SANTOS</v>
      </c>
      <c r="R834" s="82" t="str">
        <f>IFERROR(__xludf.DUMMYFUNCTION("IFERROR(VLOOKUP(D834,
IMPORTRANGE(""https://docs.google.com/spreadsheets/d/1MjHtlUikwobi2MaWJgy7tfLeBmhj1u-dRFRs_8GwSoA/edit#gid=0"",""Gestores Escolares!D7:m""),10,0),""VERIFICAR CÓD SEC"")"),"(77) 9 9917-5110")</f>
        <v>(77) 9 9917-5110</v>
      </c>
      <c r="S834" s="82"/>
      <c r="T834" s="138"/>
      <c r="U834" s="152"/>
      <c r="V834" s="106">
        <v>0.0</v>
      </c>
      <c r="W834" s="107">
        <v>0.0</v>
      </c>
      <c r="X834" s="107">
        <v>0.0</v>
      </c>
      <c r="Y834" s="107">
        <v>0.0</v>
      </c>
      <c r="Z834" s="80">
        <f t="shared" si="1"/>
        <v>0</v>
      </c>
      <c r="AA834" s="106">
        <v>0.0</v>
      </c>
      <c r="AB834" s="107">
        <v>0.0</v>
      </c>
      <c r="AC834" s="107">
        <v>0.0</v>
      </c>
      <c r="AD834" s="107">
        <v>0.0</v>
      </c>
      <c r="AE834" s="80">
        <f t="shared" si="2"/>
        <v>0</v>
      </c>
      <c r="AF834" s="140">
        <v>0.0</v>
      </c>
      <c r="AG834" s="109">
        <v>0.0</v>
      </c>
      <c r="AH834" s="109">
        <v>0.0</v>
      </c>
      <c r="AI834" s="141">
        <v>0.0</v>
      </c>
      <c r="AJ834" s="80">
        <f t="shared" si="3"/>
        <v>0</v>
      </c>
      <c r="AK834" s="140">
        <v>0.0</v>
      </c>
      <c r="AL834" s="109">
        <v>0.0</v>
      </c>
      <c r="AM834" s="141">
        <v>0.0</v>
      </c>
      <c r="AN834" s="80">
        <f t="shared" si="4"/>
        <v>0</v>
      </c>
      <c r="AO834" s="140">
        <v>0.0</v>
      </c>
      <c r="AP834" s="109">
        <v>0.0</v>
      </c>
      <c r="AQ834" s="109">
        <v>31.0</v>
      </c>
      <c r="AR834" s="80">
        <f t="shared" si="5"/>
        <v>31</v>
      </c>
      <c r="AS834" s="110">
        <v>0.0</v>
      </c>
      <c r="AT834" s="110">
        <v>0.0</v>
      </c>
      <c r="AU834" s="110">
        <v>25.0</v>
      </c>
      <c r="AV834" s="142">
        <v>0.0</v>
      </c>
      <c r="AW834" s="80">
        <f t="shared" si="6"/>
        <v>25</v>
      </c>
      <c r="AX834" s="113">
        <f t="shared" si="7"/>
        <v>56</v>
      </c>
      <c r="AY834" s="117">
        <f t="shared" si="8"/>
        <v>0</v>
      </c>
      <c r="AZ834" s="120">
        <f t="shared" si="9"/>
        <v>56</v>
      </c>
      <c r="BA834" s="115">
        <v>0.0</v>
      </c>
      <c r="BB834" s="89">
        <f t="shared" si="10"/>
        <v>56</v>
      </c>
      <c r="BC834" s="132" t="s">
        <v>178</v>
      </c>
      <c r="BD834" s="132" t="s">
        <v>178</v>
      </c>
      <c r="BE834" s="132" t="s">
        <v>178</v>
      </c>
      <c r="BF834" s="123"/>
      <c r="BG834" s="98">
        <v>1179834.0</v>
      </c>
      <c r="BH834" s="112"/>
      <c r="BI834" s="112"/>
      <c r="BJ834" s="98"/>
      <c r="BK834" s="99">
        <f t="shared" si="11"/>
        <v>0</v>
      </c>
      <c r="BL834" s="99">
        <f t="shared" si="12"/>
        <v>0</v>
      </c>
      <c r="BM834" s="99" t="str">
        <f>IFERROR(__xludf.DUMMYFUNCTION("IFERROR(VLOOKUP(BG834,IMPORTRANGE(""https://docs.google.com/spreadsheets/d/1juPI-Fb8LD0YtltB2mlGEnp_R3UVu1t3wSFPzgCyHXE/edit?gid=0#gid=0"",""GERAL!A2:C""),3,0),""-"")"),"-")</f>
        <v>-</v>
      </c>
    </row>
    <row r="835" ht="15.75" customHeight="1">
      <c r="A835" s="111" t="s">
        <v>973</v>
      </c>
      <c r="B835" s="83" t="s">
        <v>4035</v>
      </c>
      <c r="C835" s="83" t="s">
        <v>45</v>
      </c>
      <c r="D835" s="112">
        <v>1178396.0</v>
      </c>
      <c r="E835" s="83"/>
      <c r="F835" s="83">
        <v>2.9241065E7</v>
      </c>
      <c r="G835" s="114" t="s">
        <v>4038</v>
      </c>
      <c r="H835" s="91" t="s">
        <v>4039</v>
      </c>
      <c r="I835" s="83" t="s">
        <v>149</v>
      </c>
      <c r="J835" s="115" t="s">
        <v>4040</v>
      </c>
      <c r="K835" s="83" t="s">
        <v>171</v>
      </c>
      <c r="L835" s="83" t="s">
        <v>169</v>
      </c>
      <c r="M835" s="82" t="str">
        <f>IFERROR(__xludf.DUMMYFUNCTION("IFERROR(VLOOKUP(D835,
IMPORTRANGE(""https://docs.google.com/spreadsheets/d/1MjHtlUikwobi2MaWJgy7tfLeBmhj1u-dRFRs_8GwSoA/edit#gid=0"",""Gestores Escolares!D7:J""),3,0),""VERIFICAR CÓD SEC"")"),"JOAO WILIAN DIAS SILVA")</f>
        <v>JOAO WILIAN DIAS SILVA</v>
      </c>
      <c r="N835" s="82" t="str">
        <f>IFERROR(__xludf.DUMMYFUNCTION("IFERROR(VLOOKUP(D835,
IMPORTRANGE(""https://docs.google.com/spreadsheets/d/1MjHtlUikwobi2MaWJgy7tfLeBmhj1u-dRFRs_8GwSoA/edit#gid=0"",""Gestores Escolares!D7:J""),4,0),""VERIFICAR CÓD SEC"")"),"(77) 9 9911-5202")</f>
        <v>(77) 9 9911-5202</v>
      </c>
      <c r="O835" s="82" t="str">
        <f>IFERROR(__xludf.DUMMYFUNCTION("IFERROR(VLOOKUP(D835,
IMPORTRANGE(""https://docs.google.com/spreadsheets/d/1MjHtlUikwobi2MaWJgy7tfLeBmhj1u-dRFRs_8GwSoA/edit#gid=0"",""Gestores Escolares!D7:J""),6,0),""VERIFICAR CÓD SEC"")"),"")</f>
        <v/>
      </c>
      <c r="P835" s="82" t="str">
        <f>IFERROR(__xludf.DUMMYFUNCTION("IFERROR(VLOOKUP(D835,
IMPORTRANGE(""https://docs.google.com/spreadsheets/d/1MjHtlUikwobi2MaWJgy7tfLeBmhj1u-dRFRs_8GwSoA/edit#gid=0"",""Gestores Escolares!D7:J""),7,0),""VERIFICAR CÓD SEC"")"),"")</f>
        <v/>
      </c>
      <c r="Q835" s="82" t="str">
        <f>IFERROR(__xludf.DUMMYFUNCTION("IFERROR(VLOOKUP(D835,
IMPORTRANGE(""https://docs.google.com/spreadsheets/d/1MjHtlUikwobi2MaWJgy7tfLeBmhj1u-dRFRs_8GwSoA/edit#gid=0"",""Gestores Escolares!D7:m""),9,0),""VERIFICAR CÓD SEC"")"),"")</f>
        <v/>
      </c>
      <c r="R835" s="82" t="str">
        <f>IFERROR(__xludf.DUMMYFUNCTION("IFERROR(VLOOKUP(D835,
IMPORTRANGE(""https://docs.google.com/spreadsheets/d/1MjHtlUikwobi2MaWJgy7tfLeBmhj1u-dRFRs_8GwSoA/edit#gid=0"",""Gestores Escolares!D7:m""),10,0),""VERIFICAR CÓD SEC"")"),"")</f>
        <v/>
      </c>
      <c r="S835" s="82"/>
      <c r="T835" s="138">
        <v>5.0</v>
      </c>
      <c r="U835" s="217">
        <v>5.0</v>
      </c>
      <c r="V835" s="106">
        <v>0.0</v>
      </c>
      <c r="W835" s="107">
        <v>0.0</v>
      </c>
      <c r="X835" s="107">
        <v>0.0</v>
      </c>
      <c r="Y835" s="107">
        <v>0.0</v>
      </c>
      <c r="Z835" s="80">
        <f t="shared" si="1"/>
        <v>0</v>
      </c>
      <c r="AA835" s="106">
        <v>0.0</v>
      </c>
      <c r="AB835" s="107">
        <v>0.0</v>
      </c>
      <c r="AC835" s="107">
        <v>0.0</v>
      </c>
      <c r="AD835" s="107">
        <v>0.0</v>
      </c>
      <c r="AE835" s="80">
        <f t="shared" si="2"/>
        <v>0</v>
      </c>
      <c r="AF835" s="225">
        <v>0.0</v>
      </c>
      <c r="AG835" s="226">
        <v>0.0</v>
      </c>
      <c r="AH835" s="226">
        <v>0.0</v>
      </c>
      <c r="AI835" s="227">
        <v>146.0</v>
      </c>
      <c r="AJ835" s="80">
        <f t="shared" si="3"/>
        <v>146</v>
      </c>
      <c r="AK835" s="140">
        <v>0.0</v>
      </c>
      <c r="AL835" s="109">
        <v>0.0</v>
      </c>
      <c r="AM835" s="141">
        <v>0.0</v>
      </c>
      <c r="AN835" s="80">
        <f t="shared" si="4"/>
        <v>0</v>
      </c>
      <c r="AO835" s="225">
        <v>0.0</v>
      </c>
      <c r="AP835" s="226">
        <v>0.0</v>
      </c>
      <c r="AQ835" s="226">
        <v>0.0</v>
      </c>
      <c r="AR835" s="80">
        <f t="shared" si="5"/>
        <v>0</v>
      </c>
      <c r="AS835" s="110">
        <v>0.0</v>
      </c>
      <c r="AT835" s="110">
        <v>0.0</v>
      </c>
      <c r="AU835" s="110">
        <v>0.0</v>
      </c>
      <c r="AV835" s="142">
        <v>0.0</v>
      </c>
      <c r="AW835" s="80">
        <f t="shared" si="6"/>
        <v>0</v>
      </c>
      <c r="AX835" s="113">
        <f t="shared" si="7"/>
        <v>146</v>
      </c>
      <c r="AY835" s="117">
        <f t="shared" si="8"/>
        <v>146</v>
      </c>
      <c r="AZ835" s="120">
        <f t="shared" si="9"/>
        <v>0</v>
      </c>
      <c r="BA835" s="115">
        <v>0.0</v>
      </c>
      <c r="BB835" s="89">
        <f t="shared" si="10"/>
        <v>146</v>
      </c>
      <c r="BC835" s="132" t="s">
        <v>178</v>
      </c>
      <c r="BD835" s="132" t="s">
        <v>178</v>
      </c>
      <c r="BE835" s="132" t="s">
        <v>178</v>
      </c>
      <c r="BF835" s="123"/>
      <c r="BG835" s="83">
        <v>1178396.0</v>
      </c>
      <c r="BH835" s="112"/>
      <c r="BI835" s="112">
        <v>5.0</v>
      </c>
      <c r="BJ835" s="98" t="s">
        <v>155</v>
      </c>
      <c r="BK835" s="99">
        <f t="shared" si="11"/>
        <v>146</v>
      </c>
      <c r="BL835" s="99">
        <f t="shared" si="12"/>
        <v>0</v>
      </c>
      <c r="BM835" s="99" t="str">
        <f>IFERROR(__xludf.DUMMYFUNCTION("IFERROR(VLOOKUP(BG835,IMPORTRANGE(""https://docs.google.com/spreadsheets/d/1juPI-Fb8LD0YtltB2mlGEnp_R3UVu1t3wSFPzgCyHXE/edit?gid=0#gid=0"",""GERAL!A2:C""),3,0),""-"")"),"EFA")</f>
        <v>EFA</v>
      </c>
    </row>
    <row r="836" ht="15.75" customHeight="1">
      <c r="A836" s="111" t="s">
        <v>973</v>
      </c>
      <c r="B836" s="83" t="s">
        <v>4035</v>
      </c>
      <c r="C836" s="83" t="s">
        <v>68</v>
      </c>
      <c r="D836" s="112">
        <v>1128371.0</v>
      </c>
      <c r="E836" s="83"/>
      <c r="F836" s="83">
        <v>2.9240638E7</v>
      </c>
      <c r="G836" s="153" t="s">
        <v>4044</v>
      </c>
      <c r="H836" s="91" t="s">
        <v>4046</v>
      </c>
      <c r="I836" s="136" t="s">
        <v>149</v>
      </c>
      <c r="J836" s="83" t="s">
        <v>150</v>
      </c>
      <c r="K836" s="83" t="s">
        <v>151</v>
      </c>
      <c r="L836" s="83" t="s">
        <v>230</v>
      </c>
      <c r="M836" s="82" t="str">
        <f>IFERROR(__xludf.DUMMYFUNCTION("IFERROR(VLOOKUP(D836,
IMPORTRANGE(""https://docs.google.com/spreadsheets/d/1MjHtlUikwobi2MaWJgy7tfLeBmhj1u-dRFRs_8GwSoA/edit#gid=0"",""Gestores Escolares!D7:J""),3,0),""VERIFICAR CÓD SEC"")"),"EXPEDITO JOSE DOS SANTOS FILHO")</f>
        <v>EXPEDITO JOSE DOS SANTOS FILHO</v>
      </c>
      <c r="N836" s="82" t="str">
        <f>IFERROR(__xludf.DUMMYFUNCTION("IFERROR(VLOOKUP(D836,
IMPORTRANGE(""https://docs.google.com/spreadsheets/d/1MjHtlUikwobi2MaWJgy7tfLeBmhj1u-dRFRs_8GwSoA/edit#gid=0"",""Gestores Escolares!D7:J""),4,0),""VERIFICAR CÓD SEC"")"),"(77) 9 8142-6000")</f>
        <v>(77) 9 8142-6000</v>
      </c>
      <c r="O836" s="82" t="str">
        <f>IFERROR(__xludf.DUMMYFUNCTION("IFERROR(VLOOKUP(D836,
IMPORTRANGE(""https://docs.google.com/spreadsheets/d/1MjHtlUikwobi2MaWJgy7tfLeBmhj1u-dRFRs_8GwSoA/edit#gid=0"",""Gestores Escolares!D7:J""),6,0),""VERIFICAR CÓD SEC"")"),"CARLOS ALESSANDRO ALVES XAVIER")</f>
        <v>CARLOS ALESSANDRO ALVES XAVIER</v>
      </c>
      <c r="P836" s="82" t="str">
        <f>IFERROR(__xludf.DUMMYFUNCTION("IFERROR(VLOOKUP(D836,
IMPORTRANGE(""https://docs.google.com/spreadsheets/d/1MjHtlUikwobi2MaWJgy7tfLeBmhj1u-dRFRs_8GwSoA/edit#gid=0"",""Gestores Escolares!D7:J""),7,0),""VERIFICAR CÓD SEC"")"),"(77) 9 8117-5446")</f>
        <v>(77) 9 8117-5446</v>
      </c>
      <c r="Q836" s="82" t="str">
        <f>IFERROR(__xludf.DUMMYFUNCTION("IFERROR(VLOOKUP(D836,
IMPORTRANGE(""https://docs.google.com/spreadsheets/d/1MjHtlUikwobi2MaWJgy7tfLeBmhj1u-dRFRs_8GwSoA/edit#gid=0"",""Gestores Escolares!D7:m""),9,0),""VERIFICAR CÓD SEC"")"),"LUCAS CARVALHO BRITO")</f>
        <v>LUCAS CARVALHO BRITO</v>
      </c>
      <c r="R836" s="82" t="str">
        <f>IFERROR(__xludf.DUMMYFUNCTION("IFERROR(VLOOKUP(D836,
IMPORTRANGE(""https://docs.google.com/spreadsheets/d/1MjHtlUikwobi2MaWJgy7tfLeBmhj1u-dRFRs_8GwSoA/edit#gid=0"",""Gestores Escolares!D7:m""),10,0),""VERIFICAR CÓD SEC"")"),"(77) 9 8113-0635")</f>
        <v>(77) 9 8113-0635</v>
      </c>
      <c r="S836" s="82"/>
      <c r="T836" s="138">
        <v>16.0</v>
      </c>
      <c r="U836" s="145" t="s">
        <v>11658</v>
      </c>
      <c r="V836" s="106">
        <v>0.0</v>
      </c>
      <c r="W836" s="107">
        <v>0.0</v>
      </c>
      <c r="X836" s="107">
        <v>0.0</v>
      </c>
      <c r="Y836" s="107">
        <v>0.0</v>
      </c>
      <c r="Z836" s="80">
        <f t="shared" si="1"/>
        <v>0</v>
      </c>
      <c r="AA836" s="106">
        <v>0.0</v>
      </c>
      <c r="AB836" s="107">
        <v>0.0</v>
      </c>
      <c r="AC836" s="107">
        <v>0.0</v>
      </c>
      <c r="AD836" s="107">
        <v>0.0</v>
      </c>
      <c r="AE836" s="80">
        <f t="shared" si="2"/>
        <v>0</v>
      </c>
      <c r="AF836" s="140">
        <v>20.0</v>
      </c>
      <c r="AG836" s="109">
        <v>0.0</v>
      </c>
      <c r="AH836" s="109">
        <v>0.0</v>
      </c>
      <c r="AI836" s="141">
        <v>510.0</v>
      </c>
      <c r="AJ836" s="80">
        <f t="shared" si="3"/>
        <v>530</v>
      </c>
      <c r="AK836" s="140">
        <v>0.0</v>
      </c>
      <c r="AL836" s="109">
        <v>0.0</v>
      </c>
      <c r="AM836" s="141">
        <v>0.0</v>
      </c>
      <c r="AN836" s="80">
        <f t="shared" si="4"/>
        <v>0</v>
      </c>
      <c r="AO836" s="140">
        <v>0.0</v>
      </c>
      <c r="AP836" s="109">
        <v>0.0</v>
      </c>
      <c r="AQ836" s="109">
        <v>204.0</v>
      </c>
      <c r="AR836" s="80">
        <f t="shared" si="5"/>
        <v>204</v>
      </c>
      <c r="AS836" s="110">
        <v>0.0</v>
      </c>
      <c r="AT836" s="110">
        <v>0.0</v>
      </c>
      <c r="AU836" s="110">
        <v>37.0</v>
      </c>
      <c r="AV836" s="142">
        <v>0.0</v>
      </c>
      <c r="AW836" s="80">
        <f t="shared" si="6"/>
        <v>37</v>
      </c>
      <c r="AX836" s="113">
        <f t="shared" si="7"/>
        <v>771</v>
      </c>
      <c r="AY836" s="117">
        <f t="shared" si="8"/>
        <v>530</v>
      </c>
      <c r="AZ836" s="120">
        <f t="shared" si="9"/>
        <v>241</v>
      </c>
      <c r="BA836" s="115">
        <v>0.0</v>
      </c>
      <c r="BB836" s="89">
        <f t="shared" si="10"/>
        <v>771</v>
      </c>
      <c r="BC836" s="132" t="s">
        <v>178</v>
      </c>
      <c r="BD836" s="132" t="s">
        <v>178</v>
      </c>
      <c r="BE836" s="132" t="s">
        <v>178</v>
      </c>
      <c r="BF836" s="123"/>
      <c r="BG836" s="83">
        <v>1128371.0</v>
      </c>
      <c r="BH836" s="112"/>
      <c r="BI836" s="112">
        <v>20.0</v>
      </c>
      <c r="BJ836" s="98" t="s">
        <v>162</v>
      </c>
      <c r="BK836" s="99">
        <f t="shared" si="11"/>
        <v>510</v>
      </c>
      <c r="BL836" s="99">
        <f t="shared" si="12"/>
        <v>20</v>
      </c>
      <c r="BM836" s="99" t="str">
        <f>IFERROR(__xludf.DUMMYFUNCTION("IFERROR(VLOOKUP(BG836,IMPORTRANGE(""https://docs.google.com/spreadsheets/d/1juPI-Fb8LD0YtltB2mlGEnp_R3UVu1t3wSFPzgCyHXE/edit?gid=0#gid=0"",""GERAL!A2:C""),3,0),""-"")"),"-")</f>
        <v>-</v>
      </c>
    </row>
    <row r="837" ht="15.75" customHeight="1">
      <c r="A837" s="111" t="s">
        <v>973</v>
      </c>
      <c r="B837" s="83" t="s">
        <v>4035</v>
      </c>
      <c r="C837" s="83" t="s">
        <v>164</v>
      </c>
      <c r="D837" s="112">
        <v>1128371.0</v>
      </c>
      <c r="E837" s="83">
        <v>1178232.0</v>
      </c>
      <c r="F837" s="98">
        <v>2.9491142E7</v>
      </c>
      <c r="G837" s="119" t="s">
        <v>4051</v>
      </c>
      <c r="H837" s="91" t="s">
        <v>4052</v>
      </c>
      <c r="I837" s="136" t="s">
        <v>4053</v>
      </c>
      <c r="J837" s="136" t="s">
        <v>209</v>
      </c>
      <c r="K837" s="136" t="s">
        <v>168</v>
      </c>
      <c r="L837" s="136" t="s">
        <v>169</v>
      </c>
      <c r="M837" s="82" t="str">
        <f>IFERROR(__xludf.DUMMYFUNCTION("IFERROR(VLOOKUP(D837,
IMPORTRANGE(""https://docs.google.com/spreadsheets/d/1MjHtlUikwobi2MaWJgy7tfLeBmhj1u-dRFRs_8GwSoA/edit#gid=0"",""Gestores Escolares!D7:J""),3,0),""VERIFICAR CÓD SEC"")"),"EXPEDITO JOSE DOS SANTOS FILHO")</f>
        <v>EXPEDITO JOSE DOS SANTOS FILHO</v>
      </c>
      <c r="N837" s="82" t="str">
        <f>IFERROR(__xludf.DUMMYFUNCTION("IFERROR(VLOOKUP(D837,
IMPORTRANGE(""https://docs.google.com/spreadsheets/d/1MjHtlUikwobi2MaWJgy7tfLeBmhj1u-dRFRs_8GwSoA/edit#gid=0"",""Gestores Escolares!D7:J""),4,0),""VERIFICAR CÓD SEC"")"),"(77) 9 8142-6000")</f>
        <v>(77) 9 8142-6000</v>
      </c>
      <c r="O837" s="82" t="str">
        <f>IFERROR(__xludf.DUMMYFUNCTION("IFERROR(VLOOKUP(D837,
IMPORTRANGE(""https://docs.google.com/spreadsheets/d/1MjHtlUikwobi2MaWJgy7tfLeBmhj1u-dRFRs_8GwSoA/edit#gid=0"",""Gestores Escolares!D7:J""),6,0),""VERIFICAR CÓD SEC"")"),"CARLOS ALESSANDRO ALVES XAVIER")</f>
        <v>CARLOS ALESSANDRO ALVES XAVIER</v>
      </c>
      <c r="P837" s="82" t="str">
        <f>IFERROR(__xludf.DUMMYFUNCTION("IFERROR(VLOOKUP(D837,
IMPORTRANGE(""https://docs.google.com/spreadsheets/d/1MjHtlUikwobi2MaWJgy7tfLeBmhj1u-dRFRs_8GwSoA/edit#gid=0"",""Gestores Escolares!D7:J""),7,0),""VERIFICAR CÓD SEC"")"),"(77) 9 8117-5446")</f>
        <v>(77) 9 8117-5446</v>
      </c>
      <c r="Q837" s="82" t="str">
        <f>IFERROR(__xludf.DUMMYFUNCTION("IFERROR(VLOOKUP(D837,
IMPORTRANGE(""https://docs.google.com/spreadsheets/d/1MjHtlUikwobi2MaWJgy7tfLeBmhj1u-dRFRs_8GwSoA/edit#gid=0"",""Gestores Escolares!D7:m""),9,0),""VERIFICAR CÓD SEC"")"),"LUCAS CARVALHO BRITO")</f>
        <v>LUCAS CARVALHO BRITO</v>
      </c>
      <c r="R837" s="82" t="str">
        <f>IFERROR(__xludf.DUMMYFUNCTION("IFERROR(VLOOKUP(D837,
IMPORTRANGE(""https://docs.google.com/spreadsheets/d/1MjHtlUikwobi2MaWJgy7tfLeBmhj1u-dRFRs_8GwSoA/edit#gid=0"",""Gestores Escolares!D7:m""),10,0),""VERIFICAR CÓD SEC"")"),"(77) 9 8113-0635")</f>
        <v>(77) 9 8113-0635</v>
      </c>
      <c r="S837" s="82"/>
      <c r="T837" s="138">
        <v>5.0</v>
      </c>
      <c r="U837" s="152">
        <v>4.0</v>
      </c>
      <c r="V837" s="106">
        <v>0.0</v>
      </c>
      <c r="W837" s="107">
        <v>0.0</v>
      </c>
      <c r="X837" s="107">
        <v>0.0</v>
      </c>
      <c r="Y837" s="107">
        <v>0.0</v>
      </c>
      <c r="Z837" s="80">
        <f t="shared" si="1"/>
        <v>0</v>
      </c>
      <c r="AA837" s="106">
        <v>0.0</v>
      </c>
      <c r="AB837" s="107">
        <v>0.0</v>
      </c>
      <c r="AC837" s="107">
        <v>0.0</v>
      </c>
      <c r="AD837" s="107">
        <v>0.0</v>
      </c>
      <c r="AE837" s="80">
        <f t="shared" si="2"/>
        <v>0</v>
      </c>
      <c r="AF837" s="140">
        <v>58.0</v>
      </c>
      <c r="AG837" s="109">
        <v>0.0</v>
      </c>
      <c r="AH837" s="109">
        <v>0.0</v>
      </c>
      <c r="AI837" s="141">
        <v>0.0</v>
      </c>
      <c r="AJ837" s="80">
        <f t="shared" si="3"/>
        <v>58</v>
      </c>
      <c r="AK837" s="140">
        <v>0.0</v>
      </c>
      <c r="AL837" s="109">
        <v>0.0</v>
      </c>
      <c r="AM837" s="141">
        <v>0.0</v>
      </c>
      <c r="AN837" s="80">
        <f t="shared" si="4"/>
        <v>0</v>
      </c>
      <c r="AO837" s="140">
        <v>0.0</v>
      </c>
      <c r="AP837" s="109">
        <v>0.0</v>
      </c>
      <c r="AQ837" s="109">
        <v>59.0</v>
      </c>
      <c r="AR837" s="80">
        <f t="shared" si="5"/>
        <v>59</v>
      </c>
      <c r="AS837" s="110">
        <v>0.0</v>
      </c>
      <c r="AT837" s="110">
        <v>0.0</v>
      </c>
      <c r="AU837" s="110">
        <v>0.0</v>
      </c>
      <c r="AV837" s="142">
        <v>0.0</v>
      </c>
      <c r="AW837" s="80">
        <f t="shared" si="6"/>
        <v>0</v>
      </c>
      <c r="AX837" s="113">
        <f t="shared" si="7"/>
        <v>117</v>
      </c>
      <c r="AY837" s="117">
        <f t="shared" si="8"/>
        <v>58</v>
      </c>
      <c r="AZ837" s="120">
        <f t="shared" si="9"/>
        <v>59</v>
      </c>
      <c r="BA837" s="115">
        <v>0.0</v>
      </c>
      <c r="BB837" s="89">
        <f t="shared" si="10"/>
        <v>117</v>
      </c>
      <c r="BC837" s="132" t="s">
        <v>373</v>
      </c>
      <c r="BD837" s="132" t="s">
        <v>178</v>
      </c>
      <c r="BE837" s="132" t="s">
        <v>178</v>
      </c>
      <c r="BF837" s="123"/>
      <c r="BG837" s="83">
        <v>1178232.0</v>
      </c>
      <c r="BH837" s="112"/>
      <c r="BI837" s="112">
        <v>4.0</v>
      </c>
      <c r="BJ837" s="98" t="s">
        <v>155</v>
      </c>
      <c r="BK837" s="99">
        <f t="shared" si="11"/>
        <v>0</v>
      </c>
      <c r="BL837" s="99">
        <f t="shared" si="12"/>
        <v>58</v>
      </c>
      <c r="BM837" s="99" t="str">
        <f>IFERROR(__xludf.DUMMYFUNCTION("IFERROR(VLOOKUP(BG837,IMPORTRANGE(""https://docs.google.com/spreadsheets/d/1juPI-Fb8LD0YtltB2mlGEnp_R3UVu1t3wSFPzgCyHXE/edit?gid=0#gid=0"",""GERAL!A2:C""),3,0),""-"")"),"CAMPO")</f>
        <v>CAMPO</v>
      </c>
    </row>
    <row r="838" ht="15.75" customHeight="1">
      <c r="A838" s="111" t="s">
        <v>973</v>
      </c>
      <c r="B838" s="83" t="s">
        <v>4035</v>
      </c>
      <c r="C838" s="83" t="s">
        <v>164</v>
      </c>
      <c r="D838" s="112">
        <v>1128371.0</v>
      </c>
      <c r="E838" s="98">
        <v>1179842.0</v>
      </c>
      <c r="F838" s="98">
        <v>2.9240638E7</v>
      </c>
      <c r="G838" s="119" t="s">
        <v>4056</v>
      </c>
      <c r="H838" s="108"/>
      <c r="I838" s="115"/>
      <c r="J838" s="83"/>
      <c r="K838" s="136" t="s">
        <v>168</v>
      </c>
      <c r="L838" s="136" t="s">
        <v>169</v>
      </c>
      <c r="M838" s="82" t="str">
        <f>IFERROR(__xludf.DUMMYFUNCTION("IFERROR(VLOOKUP(D838,
IMPORTRANGE(""https://docs.google.com/spreadsheets/d/1MjHtlUikwobi2MaWJgy7tfLeBmhj1u-dRFRs_8GwSoA/edit#gid=0"",""Gestores Escolares!D7:J""),3,0),""VERIFICAR CÓD SEC"")"),"EXPEDITO JOSE DOS SANTOS FILHO")</f>
        <v>EXPEDITO JOSE DOS SANTOS FILHO</v>
      </c>
      <c r="N838" s="82" t="str">
        <f>IFERROR(__xludf.DUMMYFUNCTION("IFERROR(VLOOKUP(D838,
IMPORTRANGE(""https://docs.google.com/spreadsheets/d/1MjHtlUikwobi2MaWJgy7tfLeBmhj1u-dRFRs_8GwSoA/edit#gid=0"",""Gestores Escolares!D7:J""),4,0),""VERIFICAR CÓD SEC"")"),"(77) 9 8142-6000")</f>
        <v>(77) 9 8142-6000</v>
      </c>
      <c r="O838" s="82" t="str">
        <f>IFERROR(__xludf.DUMMYFUNCTION("IFERROR(VLOOKUP(D838,
IMPORTRANGE(""https://docs.google.com/spreadsheets/d/1MjHtlUikwobi2MaWJgy7tfLeBmhj1u-dRFRs_8GwSoA/edit#gid=0"",""Gestores Escolares!D7:J""),6,0),""VERIFICAR CÓD SEC"")"),"CARLOS ALESSANDRO ALVES XAVIER")</f>
        <v>CARLOS ALESSANDRO ALVES XAVIER</v>
      </c>
      <c r="P838" s="82" t="str">
        <f>IFERROR(__xludf.DUMMYFUNCTION("IFERROR(VLOOKUP(D838,
IMPORTRANGE(""https://docs.google.com/spreadsheets/d/1MjHtlUikwobi2MaWJgy7tfLeBmhj1u-dRFRs_8GwSoA/edit#gid=0"",""Gestores Escolares!D7:J""),7,0),""VERIFICAR CÓD SEC"")"),"(77) 9 8117-5446")</f>
        <v>(77) 9 8117-5446</v>
      </c>
      <c r="Q838" s="82" t="str">
        <f>IFERROR(__xludf.DUMMYFUNCTION("IFERROR(VLOOKUP(D838,
IMPORTRANGE(""https://docs.google.com/spreadsheets/d/1MjHtlUikwobi2MaWJgy7tfLeBmhj1u-dRFRs_8GwSoA/edit#gid=0"",""Gestores Escolares!D7:m""),9,0),""VERIFICAR CÓD SEC"")"),"LUCAS CARVALHO BRITO")</f>
        <v>LUCAS CARVALHO BRITO</v>
      </c>
      <c r="R838" s="82" t="str">
        <f>IFERROR(__xludf.DUMMYFUNCTION("IFERROR(VLOOKUP(D838,
IMPORTRANGE(""https://docs.google.com/spreadsheets/d/1MjHtlUikwobi2MaWJgy7tfLeBmhj1u-dRFRs_8GwSoA/edit#gid=0"",""Gestores Escolares!D7:m""),10,0),""VERIFICAR CÓD SEC"")"),"(77) 9 8113-0635")</f>
        <v>(77) 9 8113-0635</v>
      </c>
      <c r="S838" s="82"/>
      <c r="T838" s="234"/>
      <c r="U838" s="145"/>
      <c r="V838" s="106">
        <v>0.0</v>
      </c>
      <c r="W838" s="107">
        <v>0.0</v>
      </c>
      <c r="X838" s="107">
        <v>0.0</v>
      </c>
      <c r="Y838" s="107">
        <v>0.0</v>
      </c>
      <c r="Z838" s="80">
        <f t="shared" si="1"/>
        <v>0</v>
      </c>
      <c r="AA838" s="106">
        <v>0.0</v>
      </c>
      <c r="AB838" s="107">
        <v>0.0</v>
      </c>
      <c r="AC838" s="107">
        <v>0.0</v>
      </c>
      <c r="AD838" s="107">
        <v>0.0</v>
      </c>
      <c r="AE838" s="80">
        <f t="shared" si="2"/>
        <v>0</v>
      </c>
      <c r="AF838" s="140">
        <v>0.0</v>
      </c>
      <c r="AG838" s="109">
        <v>0.0</v>
      </c>
      <c r="AH838" s="109">
        <v>54.0</v>
      </c>
      <c r="AI838" s="141">
        <v>0.0</v>
      </c>
      <c r="AJ838" s="80">
        <f t="shared" si="3"/>
        <v>54</v>
      </c>
      <c r="AK838" s="140">
        <v>0.0</v>
      </c>
      <c r="AL838" s="109">
        <v>0.0</v>
      </c>
      <c r="AM838" s="141">
        <v>0.0</v>
      </c>
      <c r="AN838" s="80">
        <f t="shared" si="4"/>
        <v>0</v>
      </c>
      <c r="AO838" s="140">
        <v>0.0</v>
      </c>
      <c r="AP838" s="109">
        <v>0.0</v>
      </c>
      <c r="AQ838" s="109">
        <v>0.0</v>
      </c>
      <c r="AR838" s="80">
        <f t="shared" si="5"/>
        <v>0</v>
      </c>
      <c r="AS838" s="110">
        <v>0.0</v>
      </c>
      <c r="AT838" s="110">
        <v>0.0</v>
      </c>
      <c r="AU838" s="110">
        <v>0.0</v>
      </c>
      <c r="AV838" s="142">
        <v>0.0</v>
      </c>
      <c r="AW838" s="80">
        <f t="shared" si="6"/>
        <v>0</v>
      </c>
      <c r="AX838" s="113">
        <f t="shared" si="7"/>
        <v>54</v>
      </c>
      <c r="AY838" s="117">
        <f t="shared" si="8"/>
        <v>0</v>
      </c>
      <c r="AZ838" s="120">
        <f t="shared" si="9"/>
        <v>54</v>
      </c>
      <c r="BA838" s="115">
        <v>0.0</v>
      </c>
      <c r="BB838" s="89">
        <f t="shared" si="10"/>
        <v>54</v>
      </c>
      <c r="BC838" s="132" t="s">
        <v>178</v>
      </c>
      <c r="BD838" s="132" t="s">
        <v>178</v>
      </c>
      <c r="BE838" s="132" t="s">
        <v>178</v>
      </c>
      <c r="BF838" s="123"/>
      <c r="BG838" s="98">
        <v>1179842.0</v>
      </c>
      <c r="BH838" s="112"/>
      <c r="BI838" s="112"/>
      <c r="BJ838" s="98"/>
      <c r="BK838" s="99">
        <f t="shared" si="11"/>
        <v>0</v>
      </c>
      <c r="BL838" s="99">
        <f t="shared" si="12"/>
        <v>0</v>
      </c>
      <c r="BM838" s="99" t="str">
        <f>IFERROR(__xludf.DUMMYFUNCTION("IFERROR(VLOOKUP(BG838,IMPORTRANGE(""https://docs.google.com/spreadsheets/d/1juPI-Fb8LD0YtltB2mlGEnp_R3UVu1t3wSFPzgCyHXE/edit?gid=0#gid=0"",""GERAL!A2:C""),3,0),""-"")"),"-")</f>
        <v>-</v>
      </c>
    </row>
    <row r="839" ht="15.75" customHeight="1">
      <c r="A839" s="111" t="s">
        <v>973</v>
      </c>
      <c r="B839" s="83" t="s">
        <v>2170</v>
      </c>
      <c r="C839" s="83" t="s">
        <v>68</v>
      </c>
      <c r="D839" s="98">
        <v>1179778.0</v>
      </c>
      <c r="E839" s="83"/>
      <c r="F839" s="98">
        <v>2.9242231E7</v>
      </c>
      <c r="G839" s="147" t="s">
        <v>4057</v>
      </c>
      <c r="H839" s="108" t="s">
        <v>4058</v>
      </c>
      <c r="I839" s="115" t="s">
        <v>149</v>
      </c>
      <c r="J839" s="83"/>
      <c r="K839" s="98" t="s">
        <v>3467</v>
      </c>
      <c r="L839" s="98" t="s">
        <v>230</v>
      </c>
      <c r="M839" s="82" t="str">
        <f>IFERROR(__xludf.DUMMYFUNCTION("IFERROR(VLOOKUP(D839,
IMPORTRANGE(""https://docs.google.com/spreadsheets/d/1MjHtlUikwobi2MaWJgy7tfLeBmhj1u-dRFRs_8GwSoA/edit#gid=0"",""Gestores Escolares!D7:J""),3,0),""VERIFICAR CÓD SEC"")"),"CAMILA PAULA JUNQUEIRA")</f>
        <v>CAMILA PAULA JUNQUEIRA</v>
      </c>
      <c r="N839" s="82" t="str">
        <f>IFERROR(__xludf.DUMMYFUNCTION("IFERROR(VLOOKUP(D839,
IMPORTRANGE(""https://docs.google.com/spreadsheets/d/1MjHtlUikwobi2MaWJgy7tfLeBmhj1u-dRFRs_8GwSoA/edit#gid=0"",""Gestores Escolares!D7:J""),4,0),""VERIFICAR CÓD SEC"")"),"(77) 9 9968-3140")</f>
        <v>(77) 9 9968-3140</v>
      </c>
      <c r="O839" s="82" t="str">
        <f>IFERROR(__xludf.DUMMYFUNCTION("IFERROR(VLOOKUP(D839,
IMPORTRANGE(""https://docs.google.com/spreadsheets/d/1MjHtlUikwobi2MaWJgy7tfLeBmhj1u-dRFRs_8GwSoA/edit#gid=0"",""Gestores Escolares!D7:J""),6,0),""VERIFICAR CÓD SEC"")"),"ALEXANDRA VALERIA FLORA GAMA")</f>
        <v>ALEXANDRA VALERIA FLORA GAMA</v>
      </c>
      <c r="P839" s="82" t="str">
        <f>IFERROR(__xludf.DUMMYFUNCTION("IFERROR(VLOOKUP(D839,
IMPORTRANGE(""https://docs.google.com/spreadsheets/d/1MjHtlUikwobi2MaWJgy7tfLeBmhj1u-dRFRs_8GwSoA/edit#gid=0"",""Gestores Escolares!D7:J""),7,0),""VERIFICAR CÓD SEC"")"),"(77) 9 9994-3026")</f>
        <v>(77) 9 9994-3026</v>
      </c>
      <c r="Q839" s="82" t="str">
        <f>IFERROR(__xludf.DUMMYFUNCTION("IFERROR(VLOOKUP(D839,
IMPORTRANGE(""https://docs.google.com/spreadsheets/d/1MjHtlUikwobi2MaWJgy7tfLeBmhj1u-dRFRs_8GwSoA/edit#gid=0"",""Gestores Escolares!D7:m""),9,0),""VERIFICAR CÓD SEC"")"),"FRANK ALVES RODRIGUES")</f>
        <v>FRANK ALVES RODRIGUES</v>
      </c>
      <c r="R839" s="82" t="str">
        <f>IFERROR(__xludf.DUMMYFUNCTION("IFERROR(VLOOKUP(D839,
IMPORTRANGE(""https://docs.google.com/spreadsheets/d/1MjHtlUikwobi2MaWJgy7tfLeBmhj1u-dRFRs_8GwSoA/edit#gid=0"",""Gestores Escolares!D7:m""),10,0),""VERIFICAR CÓD SEC"")"),"(77) 9 9121-4130
")</f>
        <v>(77) 9 9121-4130
</v>
      </c>
      <c r="S839" s="82"/>
      <c r="T839" s="234">
        <v>16.0</v>
      </c>
      <c r="U839" s="145" t="s">
        <v>11697</v>
      </c>
      <c r="V839" s="106">
        <v>0.0</v>
      </c>
      <c r="W839" s="107">
        <v>0.0</v>
      </c>
      <c r="X839" s="107">
        <v>0.0</v>
      </c>
      <c r="Y839" s="107">
        <v>0.0</v>
      </c>
      <c r="Z839" s="80">
        <f t="shared" si="1"/>
        <v>0</v>
      </c>
      <c r="AA839" s="106">
        <v>116.0</v>
      </c>
      <c r="AB839" s="107">
        <v>60.0</v>
      </c>
      <c r="AC839" s="107">
        <v>0.0</v>
      </c>
      <c r="AD839" s="107">
        <v>285.0</v>
      </c>
      <c r="AE839" s="80">
        <f t="shared" si="2"/>
        <v>461</v>
      </c>
      <c r="AF839" s="140">
        <v>10.0</v>
      </c>
      <c r="AG839" s="109">
        <v>0.0</v>
      </c>
      <c r="AH839" s="109">
        <v>0.0</v>
      </c>
      <c r="AI839" s="141">
        <v>245.0</v>
      </c>
      <c r="AJ839" s="80">
        <f t="shared" si="3"/>
        <v>255</v>
      </c>
      <c r="AK839" s="140">
        <v>0.0</v>
      </c>
      <c r="AL839" s="109">
        <v>0.0</v>
      </c>
      <c r="AM839" s="141">
        <v>0.0</v>
      </c>
      <c r="AN839" s="80">
        <f t="shared" si="4"/>
        <v>0</v>
      </c>
      <c r="AO839" s="140">
        <v>0.0</v>
      </c>
      <c r="AP839" s="109">
        <v>0.0</v>
      </c>
      <c r="AQ839" s="109">
        <v>176.0</v>
      </c>
      <c r="AR839" s="80">
        <f t="shared" si="5"/>
        <v>176</v>
      </c>
      <c r="AS839" s="110">
        <v>373.0</v>
      </c>
      <c r="AT839" s="110">
        <v>143.0</v>
      </c>
      <c r="AU839" s="110">
        <v>258.0</v>
      </c>
      <c r="AV839" s="142">
        <v>327.0</v>
      </c>
      <c r="AW839" s="80">
        <f t="shared" si="6"/>
        <v>1101</v>
      </c>
      <c r="AX839" s="113">
        <f t="shared" si="7"/>
        <v>1993</v>
      </c>
      <c r="AY839" s="117">
        <f t="shared" si="8"/>
        <v>1559</v>
      </c>
      <c r="AZ839" s="120">
        <f t="shared" si="9"/>
        <v>434</v>
      </c>
      <c r="BA839" s="115">
        <v>33.0</v>
      </c>
      <c r="BB839" s="89">
        <f t="shared" si="10"/>
        <v>2026</v>
      </c>
      <c r="BC839" s="132" t="s">
        <v>178</v>
      </c>
      <c r="BD839" s="132" t="s">
        <v>5473</v>
      </c>
      <c r="BE839" s="132" t="s">
        <v>178</v>
      </c>
      <c r="BF839" s="123"/>
      <c r="BG839" s="98">
        <v>1179778.0</v>
      </c>
      <c r="BH839" s="112"/>
      <c r="BI839" s="112"/>
      <c r="BJ839" s="98" t="s">
        <v>284</v>
      </c>
      <c r="BK839" s="99">
        <f t="shared" si="11"/>
        <v>857</v>
      </c>
      <c r="BL839" s="99">
        <f t="shared" si="12"/>
        <v>702</v>
      </c>
      <c r="BM839" s="99" t="str">
        <f>IFERROR(__xludf.DUMMYFUNCTION("IFERROR(VLOOKUP(BG839,IMPORTRANGE(""https://docs.google.com/spreadsheets/d/1juPI-Fb8LD0YtltB2mlGEnp_R3UVu1t3wSFPzgCyHXE/edit?gid=0#gid=0"",""GERAL!A2:C""),3,0),""-"")"),"-")</f>
        <v>-</v>
      </c>
    </row>
    <row r="840" ht="15.75" customHeight="1">
      <c r="A840" s="111" t="s">
        <v>973</v>
      </c>
      <c r="B840" s="83" t="s">
        <v>2170</v>
      </c>
      <c r="C840" s="83" t="s">
        <v>68</v>
      </c>
      <c r="D840" s="112">
        <v>1178115.0</v>
      </c>
      <c r="E840" s="83"/>
      <c r="F840" s="83">
        <v>2.9433568E7</v>
      </c>
      <c r="G840" s="147" t="s">
        <v>4060</v>
      </c>
      <c r="H840" s="91" t="s">
        <v>4061</v>
      </c>
      <c r="I840" s="136" t="s">
        <v>149</v>
      </c>
      <c r="J840" s="83" t="s">
        <v>702</v>
      </c>
      <c r="K840" s="83" t="s">
        <v>151</v>
      </c>
      <c r="L840" s="83" t="s">
        <v>76</v>
      </c>
      <c r="M840" s="82" t="str">
        <f>IFERROR(__xludf.DUMMYFUNCTION("IFERROR(VLOOKUP(D840,
IMPORTRANGE(""https://docs.google.com/spreadsheets/d/1MjHtlUikwobi2MaWJgy7tfLeBmhj1u-dRFRs_8GwSoA/edit#gid=0"",""Gestores Escolares!D7:J""),3,0),""VERIFICAR CÓD SEC"")"),"JOSIANE RODRIGUES PEREIRA XAVIER")</f>
        <v>JOSIANE RODRIGUES PEREIRA XAVIER</v>
      </c>
      <c r="N840" s="82" t="str">
        <f>IFERROR(__xludf.DUMMYFUNCTION("IFERROR(VLOOKUP(D840,
IMPORTRANGE(""https://docs.google.com/spreadsheets/d/1MjHtlUikwobi2MaWJgy7tfLeBmhj1u-dRFRs_8GwSoA/edit#gid=0"",""Gestores Escolares!D7:J""),4,0),""VERIFICAR CÓD SEC"")"),"(77) 9 9964-6253")</f>
        <v>(77) 9 9964-6253</v>
      </c>
      <c r="O840" s="82" t="str">
        <f>IFERROR(__xludf.DUMMYFUNCTION("IFERROR(VLOOKUP(D840,
IMPORTRANGE(""https://docs.google.com/spreadsheets/d/1MjHtlUikwobi2MaWJgy7tfLeBmhj1u-dRFRs_8GwSoA/edit#gid=0"",""Gestores Escolares!D7:J""),6,0),""VERIFICAR CÓD SEC"")"),"HEYDHIRENA GOMES DE CARVALHO SILVA SANTOS")</f>
        <v>HEYDHIRENA GOMES DE CARVALHO SILVA SANTOS</v>
      </c>
      <c r="P840" s="82" t="str">
        <f>IFERROR(__xludf.DUMMYFUNCTION("IFERROR(VLOOKUP(D840,
IMPORTRANGE(""https://docs.google.com/spreadsheets/d/1MjHtlUikwobi2MaWJgy7tfLeBmhj1u-dRFRs_8GwSoA/edit#gid=0"",""Gestores Escolares!D7:J""),7,0),""VERIFICAR CÓD SEC"")")," (77) 9 9973-8281")</f>
        <v> (77) 9 9973-8281</v>
      </c>
      <c r="Q840" s="82" t="str">
        <f>IFERROR(__xludf.DUMMYFUNCTION("IFERROR(VLOOKUP(D840,
IMPORTRANGE(""https://docs.google.com/spreadsheets/d/1MjHtlUikwobi2MaWJgy7tfLeBmhj1u-dRFRs_8GwSoA/edit#gid=0"",""Gestores Escolares!D7:m""),9,0),""VERIFICAR CÓD SEC"")"),"")</f>
        <v/>
      </c>
      <c r="R840" s="82" t="str">
        <f>IFERROR(__xludf.DUMMYFUNCTION("IFERROR(VLOOKUP(D840,
IMPORTRANGE(""https://docs.google.com/spreadsheets/d/1MjHtlUikwobi2MaWJgy7tfLeBmhj1u-dRFRs_8GwSoA/edit#gid=0"",""Gestores Escolares!D7:m""),10,0),""VERIFICAR CÓD SEC"")"),"")</f>
        <v/>
      </c>
      <c r="S840" s="82"/>
      <c r="T840" s="138">
        <v>8.0</v>
      </c>
      <c r="U840" s="145">
        <v>8.0</v>
      </c>
      <c r="V840" s="106">
        <v>0.0</v>
      </c>
      <c r="W840" s="107">
        <v>0.0</v>
      </c>
      <c r="X840" s="107">
        <v>0.0</v>
      </c>
      <c r="Y840" s="107">
        <v>0.0</v>
      </c>
      <c r="Z840" s="80">
        <f t="shared" si="1"/>
        <v>0</v>
      </c>
      <c r="AA840" s="106">
        <v>0.0</v>
      </c>
      <c r="AB840" s="107">
        <v>0.0</v>
      </c>
      <c r="AC840" s="107">
        <v>0.0</v>
      </c>
      <c r="AD840" s="107">
        <v>0.0</v>
      </c>
      <c r="AE840" s="80">
        <f t="shared" si="2"/>
        <v>0</v>
      </c>
      <c r="AF840" s="140">
        <v>0.0</v>
      </c>
      <c r="AG840" s="109">
        <v>0.0</v>
      </c>
      <c r="AH840" s="109">
        <v>0.0</v>
      </c>
      <c r="AI840" s="141">
        <v>127.0</v>
      </c>
      <c r="AJ840" s="80">
        <f t="shared" si="3"/>
        <v>127</v>
      </c>
      <c r="AK840" s="140">
        <v>0.0</v>
      </c>
      <c r="AL840" s="109">
        <v>0.0</v>
      </c>
      <c r="AM840" s="141">
        <v>0.0</v>
      </c>
      <c r="AN840" s="80">
        <f t="shared" si="4"/>
        <v>0</v>
      </c>
      <c r="AO840" s="140">
        <v>0.0</v>
      </c>
      <c r="AP840" s="109">
        <v>0.0</v>
      </c>
      <c r="AQ840" s="109">
        <v>37.0</v>
      </c>
      <c r="AR840" s="80">
        <f t="shared" si="5"/>
        <v>37</v>
      </c>
      <c r="AS840" s="110">
        <v>0.0</v>
      </c>
      <c r="AT840" s="110">
        <v>0.0</v>
      </c>
      <c r="AU840" s="110">
        <v>27.0</v>
      </c>
      <c r="AV840" s="142">
        <v>43.0</v>
      </c>
      <c r="AW840" s="80">
        <f t="shared" si="6"/>
        <v>70</v>
      </c>
      <c r="AX840" s="113">
        <f t="shared" si="7"/>
        <v>234</v>
      </c>
      <c r="AY840" s="117">
        <f t="shared" si="8"/>
        <v>170</v>
      </c>
      <c r="AZ840" s="120">
        <f t="shared" si="9"/>
        <v>64</v>
      </c>
      <c r="BA840" s="115">
        <v>0.0</v>
      </c>
      <c r="BB840" s="89">
        <f t="shared" si="10"/>
        <v>234</v>
      </c>
      <c r="BC840" s="132" t="s">
        <v>373</v>
      </c>
      <c r="BD840" s="132" t="s">
        <v>178</v>
      </c>
      <c r="BE840" s="132" t="s">
        <v>178</v>
      </c>
      <c r="BF840" s="123"/>
      <c r="BG840" s="83">
        <v>1178115.0</v>
      </c>
      <c r="BH840" s="112"/>
      <c r="BI840" s="112">
        <v>8.0</v>
      </c>
      <c r="BJ840" s="98" t="s">
        <v>155</v>
      </c>
      <c r="BK840" s="99">
        <f t="shared" si="11"/>
        <v>170</v>
      </c>
      <c r="BL840" s="99">
        <f t="shared" si="12"/>
        <v>0</v>
      </c>
      <c r="BM840" s="99" t="str">
        <f>IFERROR(__xludf.DUMMYFUNCTION("IFERROR(VLOOKUP(BG840,IMPORTRANGE(""https://docs.google.com/spreadsheets/d/1juPI-Fb8LD0YtltB2mlGEnp_R3UVu1t3wSFPzgCyHXE/edit?gid=0#gid=0"",""GERAL!A2:C""),3,0),""-"")"),"CAMPO")</f>
        <v>CAMPO</v>
      </c>
    </row>
    <row r="841" ht="15.75" customHeight="1">
      <c r="A841" s="111" t="s">
        <v>973</v>
      </c>
      <c r="B841" s="83" t="s">
        <v>2170</v>
      </c>
      <c r="C841" s="83" t="s">
        <v>68</v>
      </c>
      <c r="D841" s="112">
        <v>1176710.0</v>
      </c>
      <c r="E841" s="83"/>
      <c r="F841" s="83">
        <v>2.9410134E7</v>
      </c>
      <c r="G841" s="114" t="s">
        <v>4063</v>
      </c>
      <c r="H841" s="91" t="s">
        <v>4064</v>
      </c>
      <c r="I841" s="83" t="s">
        <v>4065</v>
      </c>
      <c r="J841" s="83" t="s">
        <v>150</v>
      </c>
      <c r="K841" s="83" t="s">
        <v>151</v>
      </c>
      <c r="L841" s="83" t="s">
        <v>230</v>
      </c>
      <c r="M841" s="82" t="str">
        <f>IFERROR(__xludf.DUMMYFUNCTION("IFERROR(VLOOKUP(D841,
IMPORTRANGE(""https://docs.google.com/spreadsheets/d/1MjHtlUikwobi2MaWJgy7tfLeBmhj1u-dRFRs_8GwSoA/edit#gid=0"",""Gestores Escolares!D7:J""),3,0),""VERIFICAR CÓD SEC"")"),"FRANCELY DA SILVA OLIVEIRA")</f>
        <v>FRANCELY DA SILVA OLIVEIRA</v>
      </c>
      <c r="N841" s="82" t="str">
        <f>IFERROR(__xludf.DUMMYFUNCTION("IFERROR(VLOOKUP(D841,
IMPORTRANGE(""https://docs.google.com/spreadsheets/d/1MjHtlUikwobi2MaWJgy7tfLeBmhj1u-dRFRs_8GwSoA/edit#gid=0"",""Gestores Escolares!D7:J""),4,0),""VERIFICAR CÓD SEC"")"),"(77) 9 9941-9034")</f>
        <v>(77) 9 9941-9034</v>
      </c>
      <c r="O841" s="82" t="str">
        <f>IFERROR(__xludf.DUMMYFUNCTION("IFERROR(VLOOKUP(D841,
IMPORTRANGE(""https://docs.google.com/spreadsheets/d/1MjHtlUikwobi2MaWJgy7tfLeBmhj1u-dRFRs_8GwSoA/edit#gid=0"",""Gestores Escolares!D7:J""),6,0),""VERIFICAR CÓD SEC"")"),"CRISLAINE JUNQUEIRA AGUIAR SILVA")</f>
        <v>CRISLAINE JUNQUEIRA AGUIAR SILVA</v>
      </c>
      <c r="P841" s="82" t="str">
        <f>IFERROR(__xludf.DUMMYFUNCTION("IFERROR(VLOOKUP(D841,
IMPORTRANGE(""https://docs.google.com/spreadsheets/d/1MjHtlUikwobi2MaWJgy7tfLeBmhj1u-dRFRs_8GwSoA/edit#gid=0"",""Gestores Escolares!D7:J""),7,0),""VERIFICAR CÓD SEC"")"),"(77) 9 9962-4848")</f>
        <v>(77) 9 9962-4848</v>
      </c>
      <c r="Q841" s="82" t="str">
        <f>IFERROR(__xludf.DUMMYFUNCTION("IFERROR(VLOOKUP(D841,
IMPORTRANGE(""https://docs.google.com/spreadsheets/d/1MjHtlUikwobi2MaWJgy7tfLeBmhj1u-dRFRs_8GwSoA/edit#gid=0"",""Gestores Escolares!D7:m""),9,0),""VERIFICAR CÓD SEC"")"),"")</f>
        <v/>
      </c>
      <c r="R841" s="82" t="str">
        <f>IFERROR(__xludf.DUMMYFUNCTION("IFERROR(VLOOKUP(D841,
IMPORTRANGE(""https://docs.google.com/spreadsheets/d/1MjHtlUikwobi2MaWJgy7tfLeBmhj1u-dRFRs_8GwSoA/edit#gid=0"",""Gestores Escolares!D7:m""),10,0),""VERIFICAR CÓD SEC"")"),"")</f>
        <v/>
      </c>
      <c r="S841" s="82"/>
      <c r="T841" s="138">
        <v>24.0</v>
      </c>
      <c r="U841" s="145">
        <v>11.0</v>
      </c>
      <c r="V841" s="106">
        <v>0.0</v>
      </c>
      <c r="W841" s="107">
        <v>0.0</v>
      </c>
      <c r="X841" s="107">
        <v>0.0</v>
      </c>
      <c r="Y841" s="107">
        <v>0.0</v>
      </c>
      <c r="Z841" s="80">
        <f t="shared" si="1"/>
        <v>0</v>
      </c>
      <c r="AA841" s="106">
        <v>0.0</v>
      </c>
      <c r="AB841" s="107">
        <v>0.0</v>
      </c>
      <c r="AC841" s="107">
        <v>0.0</v>
      </c>
      <c r="AD841" s="107">
        <v>0.0</v>
      </c>
      <c r="AE841" s="80">
        <f t="shared" si="2"/>
        <v>0</v>
      </c>
      <c r="AF841" s="222">
        <v>0.0</v>
      </c>
      <c r="AG841" s="222">
        <v>0.0</v>
      </c>
      <c r="AH841" s="222">
        <v>0.0</v>
      </c>
      <c r="AI841" s="224">
        <v>0.0</v>
      </c>
      <c r="AJ841" s="80">
        <f t="shared" si="3"/>
        <v>0</v>
      </c>
      <c r="AK841" s="140">
        <v>0.0</v>
      </c>
      <c r="AL841" s="109">
        <v>0.0</v>
      </c>
      <c r="AM841" s="141">
        <v>0.0</v>
      </c>
      <c r="AN841" s="80">
        <f t="shared" si="4"/>
        <v>0</v>
      </c>
      <c r="AO841" s="222">
        <v>0.0</v>
      </c>
      <c r="AP841" s="222">
        <v>0.0</v>
      </c>
      <c r="AQ841" s="224">
        <v>0.0</v>
      </c>
      <c r="AR841" s="80">
        <f t="shared" si="5"/>
        <v>0</v>
      </c>
      <c r="AS841" s="110">
        <v>0.0</v>
      </c>
      <c r="AT841" s="110">
        <v>0.0</v>
      </c>
      <c r="AU841" s="110">
        <v>0.0</v>
      </c>
      <c r="AV841" s="142">
        <v>0.0</v>
      </c>
      <c r="AW841" s="80">
        <f t="shared" si="6"/>
        <v>0</v>
      </c>
      <c r="AX841" s="113">
        <f t="shared" si="7"/>
        <v>0</v>
      </c>
      <c r="AY841" s="117">
        <f t="shared" si="8"/>
        <v>0</v>
      </c>
      <c r="AZ841" s="120">
        <f t="shared" si="9"/>
        <v>0</v>
      </c>
      <c r="BA841" s="168">
        <v>1.0</v>
      </c>
      <c r="BB841" s="89">
        <f t="shared" si="10"/>
        <v>1</v>
      </c>
      <c r="BC841" s="132" t="s">
        <v>553</v>
      </c>
      <c r="BD841" s="132" t="s">
        <v>554</v>
      </c>
      <c r="BE841" s="132" t="s">
        <v>178</v>
      </c>
      <c r="BF841" s="156"/>
      <c r="BG841" s="83">
        <v>1176710.0</v>
      </c>
      <c r="BH841" s="112"/>
      <c r="BI841" s="112">
        <v>11.0</v>
      </c>
      <c r="BJ841" s="98" t="s">
        <v>155</v>
      </c>
      <c r="BK841" s="99">
        <f t="shared" si="11"/>
        <v>0</v>
      </c>
      <c r="BL841" s="99">
        <f t="shared" si="12"/>
        <v>0</v>
      </c>
      <c r="BM841" s="99" t="str">
        <f>IFERROR(__xludf.DUMMYFUNCTION("IFERROR(VLOOKUP(BG841,IMPORTRANGE(""https://docs.google.com/spreadsheets/d/1juPI-Fb8LD0YtltB2mlGEnp_R3UVu1t3wSFPzgCyHXE/edit?gid=0#gid=0"",""GERAL!A2:C""),3,0),""-"")"),"-")</f>
        <v>-</v>
      </c>
    </row>
    <row r="842" ht="15.75" customHeight="1">
      <c r="A842" s="111" t="s">
        <v>973</v>
      </c>
      <c r="B842" s="83" t="s">
        <v>2170</v>
      </c>
      <c r="C842" s="83" t="s">
        <v>164</v>
      </c>
      <c r="D842" s="98">
        <v>1179778.0</v>
      </c>
      <c r="E842" s="83">
        <v>1178859.0</v>
      </c>
      <c r="F842" s="98">
        <v>2.9493641E7</v>
      </c>
      <c r="G842" s="147" t="s">
        <v>4066</v>
      </c>
      <c r="H842" s="91" t="s">
        <v>4067</v>
      </c>
      <c r="I842" s="136" t="s">
        <v>4068</v>
      </c>
      <c r="J842" s="83" t="s">
        <v>187</v>
      </c>
      <c r="K842" s="83" t="s">
        <v>168</v>
      </c>
      <c r="L842" s="83" t="s">
        <v>169</v>
      </c>
      <c r="M842" s="82" t="str">
        <f>IFERROR(__xludf.DUMMYFUNCTION("IFERROR(VLOOKUP(D842,
IMPORTRANGE(""https://docs.google.com/spreadsheets/d/1MjHtlUikwobi2MaWJgy7tfLeBmhj1u-dRFRs_8GwSoA/edit#gid=0"",""Gestores Escolares!D7:J""),3,0),""VERIFICAR CÓD SEC"")"),"CAMILA PAULA JUNQUEIRA")</f>
        <v>CAMILA PAULA JUNQUEIRA</v>
      </c>
      <c r="N842" s="82" t="str">
        <f>IFERROR(__xludf.DUMMYFUNCTION("IFERROR(VLOOKUP(D842,
IMPORTRANGE(""https://docs.google.com/spreadsheets/d/1MjHtlUikwobi2MaWJgy7tfLeBmhj1u-dRFRs_8GwSoA/edit#gid=0"",""Gestores Escolares!D7:J""),4,0),""VERIFICAR CÓD SEC"")"),"(77) 9 9968-3140")</f>
        <v>(77) 9 9968-3140</v>
      </c>
      <c r="O842" s="82" t="str">
        <f>IFERROR(__xludf.DUMMYFUNCTION("IFERROR(VLOOKUP(D842,
IMPORTRANGE(""https://docs.google.com/spreadsheets/d/1MjHtlUikwobi2MaWJgy7tfLeBmhj1u-dRFRs_8GwSoA/edit#gid=0"",""Gestores Escolares!D7:J""),6,0),""VERIFICAR CÓD SEC"")"),"ALEXANDRA VALERIA FLORA GAMA")</f>
        <v>ALEXANDRA VALERIA FLORA GAMA</v>
      </c>
      <c r="P842" s="82" t="str">
        <f>IFERROR(__xludf.DUMMYFUNCTION("IFERROR(VLOOKUP(D842,
IMPORTRANGE(""https://docs.google.com/spreadsheets/d/1MjHtlUikwobi2MaWJgy7tfLeBmhj1u-dRFRs_8GwSoA/edit#gid=0"",""Gestores Escolares!D7:J""),7,0),""VERIFICAR CÓD SEC"")"),"(77) 9 9994-3026")</f>
        <v>(77) 9 9994-3026</v>
      </c>
      <c r="Q842" s="82" t="str">
        <f>IFERROR(__xludf.DUMMYFUNCTION("IFERROR(VLOOKUP(D842,
IMPORTRANGE(""https://docs.google.com/spreadsheets/d/1MjHtlUikwobi2MaWJgy7tfLeBmhj1u-dRFRs_8GwSoA/edit#gid=0"",""Gestores Escolares!D7:m""),9,0),""VERIFICAR CÓD SEC"")"),"FRANK ALVES RODRIGUES")</f>
        <v>FRANK ALVES RODRIGUES</v>
      </c>
      <c r="R842" s="82" t="str">
        <f>IFERROR(__xludf.DUMMYFUNCTION("IFERROR(VLOOKUP(D842,
IMPORTRANGE(""https://docs.google.com/spreadsheets/d/1MjHtlUikwobi2MaWJgy7tfLeBmhj1u-dRFRs_8GwSoA/edit#gid=0"",""Gestores Escolares!D7:m""),10,0),""VERIFICAR CÓD SEC"")"),"(77) 9 9121-4130
")</f>
        <v>(77) 9 9121-4130
</v>
      </c>
      <c r="S842" s="82"/>
      <c r="T842" s="138">
        <v>6.0</v>
      </c>
      <c r="U842" s="145">
        <v>4.0</v>
      </c>
      <c r="V842" s="106">
        <v>0.0</v>
      </c>
      <c r="W842" s="107">
        <v>0.0</v>
      </c>
      <c r="X842" s="107">
        <v>0.0</v>
      </c>
      <c r="Y842" s="107">
        <v>0.0</v>
      </c>
      <c r="Z842" s="80">
        <f t="shared" si="1"/>
        <v>0</v>
      </c>
      <c r="AA842" s="106">
        <v>0.0</v>
      </c>
      <c r="AB842" s="107">
        <v>0.0</v>
      </c>
      <c r="AC842" s="107">
        <v>0.0</v>
      </c>
      <c r="AD842" s="107">
        <v>0.0</v>
      </c>
      <c r="AE842" s="80">
        <f t="shared" si="2"/>
        <v>0</v>
      </c>
      <c r="AF842" s="140">
        <v>0.0</v>
      </c>
      <c r="AG842" s="109">
        <v>0.0</v>
      </c>
      <c r="AH842" s="109">
        <v>0.0</v>
      </c>
      <c r="AI842" s="141">
        <v>0.0</v>
      </c>
      <c r="AJ842" s="80">
        <f t="shared" si="3"/>
        <v>0</v>
      </c>
      <c r="AK842" s="140">
        <v>0.0</v>
      </c>
      <c r="AL842" s="109">
        <v>0.0</v>
      </c>
      <c r="AM842" s="141">
        <v>0.0</v>
      </c>
      <c r="AN842" s="80">
        <f t="shared" si="4"/>
        <v>0</v>
      </c>
      <c r="AO842" s="140">
        <v>0.0</v>
      </c>
      <c r="AP842" s="109">
        <v>0.0</v>
      </c>
      <c r="AQ842" s="109">
        <v>45.0</v>
      </c>
      <c r="AR842" s="80">
        <f t="shared" si="5"/>
        <v>45</v>
      </c>
      <c r="AS842" s="110">
        <v>0.0</v>
      </c>
      <c r="AT842" s="110">
        <v>0.0</v>
      </c>
      <c r="AU842" s="110">
        <v>19.0</v>
      </c>
      <c r="AV842" s="142">
        <v>0.0</v>
      </c>
      <c r="AW842" s="80">
        <f t="shared" si="6"/>
        <v>19</v>
      </c>
      <c r="AX842" s="113">
        <f t="shared" si="7"/>
        <v>64</v>
      </c>
      <c r="AY842" s="117">
        <f t="shared" si="8"/>
        <v>0</v>
      </c>
      <c r="AZ842" s="120">
        <f t="shared" si="9"/>
        <v>64</v>
      </c>
      <c r="BA842" s="115">
        <v>0.0</v>
      </c>
      <c r="BB842" s="89">
        <f t="shared" si="10"/>
        <v>64</v>
      </c>
      <c r="BC842" s="132" t="s">
        <v>373</v>
      </c>
      <c r="BD842" s="132" t="s">
        <v>178</v>
      </c>
      <c r="BE842" s="132" t="s">
        <v>178</v>
      </c>
      <c r="BF842" s="123"/>
      <c r="BG842" s="83">
        <v>1178859.0</v>
      </c>
      <c r="BH842" s="112"/>
      <c r="BI842" s="112">
        <v>4.0</v>
      </c>
      <c r="BJ842" s="98" t="s">
        <v>155</v>
      </c>
      <c r="BK842" s="99">
        <f t="shared" si="11"/>
        <v>0</v>
      </c>
      <c r="BL842" s="99">
        <f t="shared" si="12"/>
        <v>0</v>
      </c>
      <c r="BM842" s="99" t="str">
        <f>IFERROR(__xludf.DUMMYFUNCTION("IFERROR(VLOOKUP(BG842,IMPORTRANGE(""https://docs.google.com/spreadsheets/d/1juPI-Fb8LD0YtltB2mlGEnp_R3UVu1t3wSFPzgCyHXE/edit?gid=0#gid=0"",""GERAL!A2:C""),3,0),""-"")"),"CAMPO")</f>
        <v>CAMPO</v>
      </c>
    </row>
    <row r="843" ht="15.75" customHeight="1">
      <c r="A843" s="111" t="s">
        <v>973</v>
      </c>
      <c r="B843" s="83" t="s">
        <v>4069</v>
      </c>
      <c r="C843" s="83" t="s">
        <v>68</v>
      </c>
      <c r="D843" s="112">
        <v>1170866.0</v>
      </c>
      <c r="E843" s="83"/>
      <c r="F843" s="83">
        <v>2.9243882E7</v>
      </c>
      <c r="G843" s="119" t="s">
        <v>4071</v>
      </c>
      <c r="H843" s="91" t="s">
        <v>4072</v>
      </c>
      <c r="I843" s="83" t="s">
        <v>149</v>
      </c>
      <c r="J843" s="83" t="s">
        <v>150</v>
      </c>
      <c r="K843" s="83" t="s">
        <v>151</v>
      </c>
      <c r="L843" s="83" t="s">
        <v>152</v>
      </c>
      <c r="M843" s="82" t="str">
        <f>IFERROR(__xludf.DUMMYFUNCTION("IFERROR(VLOOKUP(D843,
IMPORTRANGE(""https://docs.google.com/spreadsheets/d/1MjHtlUikwobi2MaWJgy7tfLeBmhj1u-dRFRs_8GwSoA/edit#gid=0"",""Gestores Escolares!D7:J""),3,0),""VERIFICAR CÓD SEC"")"),"VALDIMIR PEREIRA REIS")</f>
        <v>VALDIMIR PEREIRA REIS</v>
      </c>
      <c r="N843" s="82" t="str">
        <f>IFERROR(__xludf.DUMMYFUNCTION("IFERROR(VLOOKUP(D843,
IMPORTRANGE(""https://docs.google.com/spreadsheets/d/1MjHtlUikwobi2MaWJgy7tfLeBmhj1u-dRFRs_8GwSoA/edit#gid=0"",""Gestores Escolares!D7:J""),4,0),""VERIFICAR CÓD SEC"")"),"(77) 9 8140-4513")</f>
        <v>(77) 9 8140-4513</v>
      </c>
      <c r="O843" s="82" t="str">
        <f>IFERROR(__xludf.DUMMYFUNCTION("IFERROR(VLOOKUP(D843,
IMPORTRANGE(""https://docs.google.com/spreadsheets/d/1MjHtlUikwobi2MaWJgy7tfLeBmhj1u-dRFRs_8GwSoA/edit#gid=0"",""Gestores Escolares!D7:J""),6,0),""VERIFICAR CÓD SEC"")"),"MARIA DO AMPARO OLIVEIRA BRITO")</f>
        <v>MARIA DO AMPARO OLIVEIRA BRITO</v>
      </c>
      <c r="P843" s="82" t="str">
        <f>IFERROR(__xludf.DUMMYFUNCTION("IFERROR(VLOOKUP(D843,
IMPORTRANGE(""https://docs.google.com/spreadsheets/d/1MjHtlUikwobi2MaWJgy7tfLeBmhj1u-dRFRs_8GwSoA/edit#gid=0"",""Gestores Escolares!D7:J""),7,0),""VERIFICAR CÓD SEC"")"),"(77) 9 8115-4741")</f>
        <v>(77) 9 8115-4741</v>
      </c>
      <c r="Q843" s="82" t="str">
        <f>IFERROR(__xludf.DUMMYFUNCTION("IFERROR(VLOOKUP(D843,
IMPORTRANGE(""https://docs.google.com/spreadsheets/d/1MjHtlUikwobi2MaWJgy7tfLeBmhj1u-dRFRs_8GwSoA/edit#gid=0"",""Gestores Escolares!D7:m""),9,0),""VERIFICAR CÓD SEC"")"),"MARIA CECILIA DA SILVA DOMINGUES")</f>
        <v>MARIA CECILIA DA SILVA DOMINGUES</v>
      </c>
      <c r="R843" s="82" t="str">
        <f>IFERROR(__xludf.DUMMYFUNCTION("IFERROR(VLOOKUP(D843,
IMPORTRANGE(""https://docs.google.com/spreadsheets/d/1MjHtlUikwobi2MaWJgy7tfLeBmhj1u-dRFRs_8GwSoA/edit#gid=0"",""Gestores Escolares!D7:m""),10,0),""VERIFICAR CÓD SEC"")"),"(77) 9 8142-8140")</f>
        <v>(77) 9 8142-8140</v>
      </c>
      <c r="S843" s="82"/>
      <c r="T843" s="138">
        <v>12.0</v>
      </c>
      <c r="U843" s="145" t="s">
        <v>11719</v>
      </c>
      <c r="V843" s="106">
        <v>0.0</v>
      </c>
      <c r="W843" s="107">
        <v>0.0</v>
      </c>
      <c r="X843" s="107">
        <v>0.0</v>
      </c>
      <c r="Y843" s="107">
        <v>0.0</v>
      </c>
      <c r="Z843" s="80">
        <f t="shared" si="1"/>
        <v>0</v>
      </c>
      <c r="AA843" s="106">
        <v>0.0</v>
      </c>
      <c r="AB843" s="107">
        <v>0.0</v>
      </c>
      <c r="AC843" s="107">
        <v>0.0</v>
      </c>
      <c r="AD843" s="107">
        <v>0.0</v>
      </c>
      <c r="AE843" s="80">
        <f t="shared" si="2"/>
        <v>0</v>
      </c>
      <c r="AF843" s="140">
        <v>0.0</v>
      </c>
      <c r="AG843" s="109">
        <v>0.0</v>
      </c>
      <c r="AH843" s="109">
        <v>0.0</v>
      </c>
      <c r="AI843" s="141">
        <v>418.0</v>
      </c>
      <c r="AJ843" s="80">
        <f t="shared" si="3"/>
        <v>418</v>
      </c>
      <c r="AK843" s="140">
        <v>0.0</v>
      </c>
      <c r="AL843" s="109">
        <v>0.0</v>
      </c>
      <c r="AM843" s="141">
        <v>0.0</v>
      </c>
      <c r="AN843" s="80">
        <f t="shared" si="4"/>
        <v>0</v>
      </c>
      <c r="AO843" s="140">
        <v>0.0</v>
      </c>
      <c r="AP843" s="109">
        <v>0.0</v>
      </c>
      <c r="AQ843" s="109">
        <v>46.0</v>
      </c>
      <c r="AR843" s="80">
        <f t="shared" si="5"/>
        <v>46</v>
      </c>
      <c r="AS843" s="110">
        <v>0.0</v>
      </c>
      <c r="AT843" s="110">
        <v>0.0</v>
      </c>
      <c r="AU843" s="110">
        <v>27.0</v>
      </c>
      <c r="AV843" s="142">
        <v>0.0</v>
      </c>
      <c r="AW843" s="80">
        <f t="shared" si="6"/>
        <v>27</v>
      </c>
      <c r="AX843" s="113">
        <f t="shared" si="7"/>
        <v>491</v>
      </c>
      <c r="AY843" s="117">
        <f t="shared" si="8"/>
        <v>418</v>
      </c>
      <c r="AZ843" s="120">
        <f t="shared" si="9"/>
        <v>73</v>
      </c>
      <c r="BA843" s="115">
        <v>0.0</v>
      </c>
      <c r="BB843" s="89">
        <f t="shared" si="10"/>
        <v>491</v>
      </c>
      <c r="BC843" s="132" t="s">
        <v>178</v>
      </c>
      <c r="BD843" s="132" t="s">
        <v>178</v>
      </c>
      <c r="BE843" s="132" t="s">
        <v>178</v>
      </c>
      <c r="BF843" s="156"/>
      <c r="BG843" s="83">
        <v>1170866.0</v>
      </c>
      <c r="BH843" s="112"/>
      <c r="BI843" s="112">
        <v>12.0</v>
      </c>
      <c r="BJ843" s="98" t="s">
        <v>155</v>
      </c>
      <c r="BK843" s="99">
        <f t="shared" si="11"/>
        <v>418</v>
      </c>
      <c r="BL843" s="99">
        <f t="shared" si="12"/>
        <v>0</v>
      </c>
      <c r="BM843" s="99" t="str">
        <f>IFERROR(__xludf.DUMMYFUNCTION("IFERROR(VLOOKUP(BG843,IMPORTRANGE(""https://docs.google.com/spreadsheets/d/1juPI-Fb8LD0YtltB2mlGEnp_R3UVu1t3wSFPzgCyHXE/edit?gid=0#gid=0"",""GERAL!A2:C""),3,0),""-"")"),"-")</f>
        <v>-</v>
      </c>
    </row>
    <row r="844" ht="15.75" customHeight="1">
      <c r="A844" s="111" t="s">
        <v>973</v>
      </c>
      <c r="B844" s="136" t="s">
        <v>4080</v>
      </c>
      <c r="C844" s="83" t="s">
        <v>68</v>
      </c>
      <c r="D844" s="112">
        <v>1124163.0</v>
      </c>
      <c r="E844" s="83"/>
      <c r="F844" s="83">
        <v>2.9214866E7</v>
      </c>
      <c r="G844" s="119" t="s">
        <v>4081</v>
      </c>
      <c r="H844" s="91" t="s">
        <v>4082</v>
      </c>
      <c r="I844" s="136" t="s">
        <v>149</v>
      </c>
      <c r="J844" s="83" t="s">
        <v>150</v>
      </c>
      <c r="K844" s="83" t="s">
        <v>151</v>
      </c>
      <c r="L844" s="83" t="s">
        <v>169</v>
      </c>
      <c r="M844" s="82" t="str">
        <f>IFERROR(__xludf.DUMMYFUNCTION("IFERROR(VLOOKUP(D844,
IMPORTRANGE(""https://docs.google.com/spreadsheets/d/1MjHtlUikwobi2MaWJgy7tfLeBmhj1u-dRFRs_8GwSoA/edit#gid=0"",""Gestores Escolares!D7:J""),3,0),""VERIFICAR CÓD SEC"")"),"JOCELMO SILVA SANTOS")</f>
        <v>JOCELMO SILVA SANTOS</v>
      </c>
      <c r="N844" s="82" t="str">
        <f>IFERROR(__xludf.DUMMYFUNCTION("IFERROR(VLOOKUP(D844,
IMPORTRANGE(""https://docs.google.com/spreadsheets/d/1MjHtlUikwobi2MaWJgy7tfLeBmhj1u-dRFRs_8GwSoA/edit#gid=0"",""Gestores Escolares!D7:J""),4,0),""VERIFICAR CÓD SEC"")"),"(77) 9 9136-9187")</f>
        <v>(77) 9 9136-9187</v>
      </c>
      <c r="O844" s="82" t="str">
        <f>IFERROR(__xludf.DUMMYFUNCTION("IFERROR(VLOOKUP(D844,
IMPORTRANGE(""https://docs.google.com/spreadsheets/d/1MjHtlUikwobi2MaWJgy7tfLeBmhj1u-dRFRs_8GwSoA/edit#gid=0"",""Gestores Escolares!D7:J""),6,0),""VERIFICAR CÓD SEC"")"),"ALMIR DE SOUZA ELOY")</f>
        <v>ALMIR DE SOUZA ELOY</v>
      </c>
      <c r="P844" s="82" t="str">
        <f>IFERROR(__xludf.DUMMYFUNCTION("IFERROR(VLOOKUP(D844,
IMPORTRANGE(""https://docs.google.com/spreadsheets/d/1MjHtlUikwobi2MaWJgy7tfLeBmhj1u-dRFRs_8GwSoA/edit#gid=0"",""Gestores Escolares!D7:J""),7,0),""VERIFICAR CÓD SEC"")"),"(71) 9 9125-9077")</f>
        <v>(71) 9 9125-9077</v>
      </c>
      <c r="Q844" s="82" t="str">
        <f>IFERROR(__xludf.DUMMYFUNCTION("IFERROR(VLOOKUP(D844,
IMPORTRANGE(""https://docs.google.com/spreadsheets/d/1MjHtlUikwobi2MaWJgy7tfLeBmhj1u-dRFRs_8GwSoA/edit#gid=0"",""Gestores Escolares!D7:m""),9,0),""VERIFICAR CÓD SEC"")"),"")</f>
        <v/>
      </c>
      <c r="R844" s="82" t="str">
        <f>IFERROR(__xludf.DUMMYFUNCTION("IFERROR(VLOOKUP(D844,
IMPORTRANGE(""https://docs.google.com/spreadsheets/d/1MjHtlUikwobi2MaWJgy7tfLeBmhj1u-dRFRs_8GwSoA/edit#gid=0"",""Gestores Escolares!D7:m""),10,0),""VERIFICAR CÓD SEC"")"),"")</f>
        <v/>
      </c>
      <c r="S844" s="82"/>
      <c r="T844" s="138">
        <v>4.0</v>
      </c>
      <c r="U844" s="596">
        <v>12.0</v>
      </c>
      <c r="V844" s="106">
        <v>0.0</v>
      </c>
      <c r="W844" s="107">
        <v>0.0</v>
      </c>
      <c r="X844" s="107">
        <v>0.0</v>
      </c>
      <c r="Y844" s="107">
        <v>0.0</v>
      </c>
      <c r="Z844" s="80">
        <f t="shared" si="1"/>
        <v>0</v>
      </c>
      <c r="AA844" s="106">
        <v>0.0</v>
      </c>
      <c r="AB844" s="107">
        <v>0.0</v>
      </c>
      <c r="AC844" s="107">
        <v>0.0</v>
      </c>
      <c r="AD844" s="107">
        <v>0.0</v>
      </c>
      <c r="AE844" s="80">
        <f t="shared" si="2"/>
        <v>0</v>
      </c>
      <c r="AF844" s="140">
        <v>62.0</v>
      </c>
      <c r="AG844" s="109">
        <v>28.0</v>
      </c>
      <c r="AH844" s="109">
        <v>0.0</v>
      </c>
      <c r="AI844" s="141">
        <v>17.0</v>
      </c>
      <c r="AJ844" s="80">
        <f t="shared" si="3"/>
        <v>107</v>
      </c>
      <c r="AK844" s="140">
        <v>0.0</v>
      </c>
      <c r="AL844" s="109">
        <v>0.0</v>
      </c>
      <c r="AM844" s="141">
        <v>0.0</v>
      </c>
      <c r="AN844" s="80">
        <f t="shared" si="4"/>
        <v>0</v>
      </c>
      <c r="AO844" s="140">
        <v>0.0</v>
      </c>
      <c r="AP844" s="109">
        <v>0.0</v>
      </c>
      <c r="AQ844" s="109">
        <v>28.0</v>
      </c>
      <c r="AR844" s="80">
        <f t="shared" si="5"/>
        <v>28</v>
      </c>
      <c r="AS844" s="110">
        <v>0.0</v>
      </c>
      <c r="AT844" s="110">
        <v>0.0</v>
      </c>
      <c r="AU844" s="110">
        <v>0.0</v>
      </c>
      <c r="AV844" s="142">
        <v>29.0</v>
      </c>
      <c r="AW844" s="80">
        <f t="shared" si="6"/>
        <v>29</v>
      </c>
      <c r="AX844" s="113">
        <f t="shared" si="7"/>
        <v>164</v>
      </c>
      <c r="AY844" s="117">
        <f t="shared" si="8"/>
        <v>136</v>
      </c>
      <c r="AZ844" s="120">
        <f t="shared" si="9"/>
        <v>28</v>
      </c>
      <c r="BA844" s="115">
        <v>0.0</v>
      </c>
      <c r="BB844" s="89">
        <f t="shared" si="10"/>
        <v>164</v>
      </c>
      <c r="BC844" s="132" t="s">
        <v>178</v>
      </c>
      <c r="BD844" s="132" t="s">
        <v>178</v>
      </c>
      <c r="BE844" s="132" t="s">
        <v>178</v>
      </c>
      <c r="BF844" s="123"/>
      <c r="BG844" s="83">
        <v>1124163.0</v>
      </c>
      <c r="BH844" s="112"/>
      <c r="BI844" s="112">
        <v>3.0</v>
      </c>
      <c r="BJ844" s="98" t="s">
        <v>162</v>
      </c>
      <c r="BK844" s="99">
        <f t="shared" si="11"/>
        <v>46</v>
      </c>
      <c r="BL844" s="99">
        <f t="shared" si="12"/>
        <v>90</v>
      </c>
      <c r="BM844" s="99" t="str">
        <f>IFERROR(__xludf.DUMMYFUNCTION("IFERROR(VLOOKUP(BG844,IMPORTRANGE(""https://docs.google.com/spreadsheets/d/1juPI-Fb8LD0YtltB2mlGEnp_R3UVu1t3wSFPzgCyHXE/edit?gid=0#gid=0"",""GERAL!A2:C""),3,0),""-"")"),"-")</f>
        <v>-</v>
      </c>
    </row>
    <row r="845" ht="15.75" customHeight="1">
      <c r="A845" s="111" t="s">
        <v>973</v>
      </c>
      <c r="B845" s="83" t="s">
        <v>4086</v>
      </c>
      <c r="C845" s="83" t="s">
        <v>68</v>
      </c>
      <c r="D845" s="112">
        <v>1124287.0</v>
      </c>
      <c r="E845" s="83"/>
      <c r="F845" s="83">
        <v>2.9237629E7</v>
      </c>
      <c r="G845" s="153" t="s">
        <v>4091</v>
      </c>
      <c r="H845" s="91" t="s">
        <v>4092</v>
      </c>
      <c r="I845" s="83" t="s">
        <v>171</v>
      </c>
      <c r="J845" s="83" t="s">
        <v>150</v>
      </c>
      <c r="K845" s="83" t="s">
        <v>151</v>
      </c>
      <c r="L845" s="83" t="s">
        <v>230</v>
      </c>
      <c r="M845" s="82" t="str">
        <f>IFERROR(__xludf.DUMMYFUNCTION("IFERROR(VLOOKUP(D845,
IMPORTRANGE(""https://docs.google.com/spreadsheets/d/1MjHtlUikwobi2MaWJgy7tfLeBmhj1u-dRFRs_8GwSoA/edit#gid=0"",""Gestores Escolares!D7:J""),3,0),""VERIFICAR CÓD SEC"")"),"ALISSON FLORES CAIRES")</f>
        <v>ALISSON FLORES CAIRES</v>
      </c>
      <c r="N845" s="82" t="str">
        <f>IFERROR(__xludf.DUMMYFUNCTION("IFERROR(VLOOKUP(D845,
IMPORTRANGE(""https://docs.google.com/spreadsheets/d/1MjHtlUikwobi2MaWJgy7tfLeBmhj1u-dRFRs_8GwSoA/edit#gid=0"",""Gestores Escolares!D7:J""),4,0),""VERIFICAR CÓD SEC"")"),"(77) 9 9118-0459")</f>
        <v>(77) 9 9118-0459</v>
      </c>
      <c r="O845" s="82" t="str">
        <f>IFERROR(__xludf.DUMMYFUNCTION("IFERROR(VLOOKUP(D845,
IMPORTRANGE(""https://docs.google.com/spreadsheets/d/1MjHtlUikwobi2MaWJgy7tfLeBmhj1u-dRFRs_8GwSoA/edit#gid=0"",""Gestores Escolares!D7:J""),6,0),""VERIFICAR CÓD SEC"")"),"ARNOLDO MAGALHAES MATTOS NETO")</f>
        <v>ARNOLDO MAGALHAES MATTOS NETO</v>
      </c>
      <c r="P845" s="82" t="str">
        <f>IFERROR(__xludf.DUMMYFUNCTION("IFERROR(VLOOKUP(D845,
IMPORTRANGE(""https://docs.google.com/spreadsheets/d/1MjHtlUikwobi2MaWJgy7tfLeBmhj1u-dRFRs_8GwSoA/edit#gid=0"",""Gestores Escolares!D7:J""),7,0),""VERIFICAR CÓD SEC"")"),"(77) 9 8838-4724")</f>
        <v>(77) 9 8838-4724</v>
      </c>
      <c r="Q845" s="82" t="str">
        <f>IFERROR(__xludf.DUMMYFUNCTION("IFERROR(VLOOKUP(D845,
IMPORTRANGE(""https://docs.google.com/spreadsheets/d/1MjHtlUikwobi2MaWJgy7tfLeBmhj1u-dRFRs_8GwSoA/edit#gid=0"",""Gestores Escolares!D7:m""),9,0),""VERIFICAR CÓD SEC"")"),"")</f>
        <v/>
      </c>
      <c r="R845" s="82" t="str">
        <f>IFERROR(__xludf.DUMMYFUNCTION("IFERROR(VLOOKUP(D845,
IMPORTRANGE(""https://docs.google.com/spreadsheets/d/1MjHtlUikwobi2MaWJgy7tfLeBmhj1u-dRFRs_8GwSoA/edit#gid=0"",""Gestores Escolares!D7:m""),10,0),""VERIFICAR CÓD SEC"")"),"")</f>
        <v/>
      </c>
      <c r="S845" s="82"/>
      <c r="T845" s="138">
        <v>10.0</v>
      </c>
      <c r="U845" s="217">
        <v>12.0</v>
      </c>
      <c r="V845" s="106">
        <v>0.0</v>
      </c>
      <c r="W845" s="107">
        <v>0.0</v>
      </c>
      <c r="X845" s="107">
        <v>0.0</v>
      </c>
      <c r="Y845" s="107">
        <v>0.0</v>
      </c>
      <c r="Z845" s="80">
        <f t="shared" si="1"/>
        <v>0</v>
      </c>
      <c r="AA845" s="106">
        <v>0.0</v>
      </c>
      <c r="AB845" s="107">
        <v>0.0</v>
      </c>
      <c r="AC845" s="107">
        <v>0.0</v>
      </c>
      <c r="AD845" s="107">
        <v>0.0</v>
      </c>
      <c r="AE845" s="80">
        <f t="shared" si="2"/>
        <v>0</v>
      </c>
      <c r="AF845" s="140">
        <v>0.0</v>
      </c>
      <c r="AG845" s="109">
        <v>0.0</v>
      </c>
      <c r="AH845" s="109">
        <v>0.0</v>
      </c>
      <c r="AI845" s="141">
        <v>282.0</v>
      </c>
      <c r="AJ845" s="80">
        <f t="shared" si="3"/>
        <v>282</v>
      </c>
      <c r="AK845" s="140">
        <v>0.0</v>
      </c>
      <c r="AL845" s="109">
        <v>0.0</v>
      </c>
      <c r="AM845" s="141">
        <v>0.0</v>
      </c>
      <c r="AN845" s="80">
        <f t="shared" si="4"/>
        <v>0</v>
      </c>
      <c r="AO845" s="140">
        <v>0.0</v>
      </c>
      <c r="AP845" s="109">
        <v>0.0</v>
      </c>
      <c r="AQ845" s="109">
        <v>71.0</v>
      </c>
      <c r="AR845" s="80">
        <f t="shared" si="5"/>
        <v>71</v>
      </c>
      <c r="AS845" s="110">
        <v>55.0</v>
      </c>
      <c r="AT845" s="110">
        <v>0.0</v>
      </c>
      <c r="AU845" s="110">
        <v>0.0</v>
      </c>
      <c r="AV845" s="142">
        <v>0.0</v>
      </c>
      <c r="AW845" s="80">
        <f t="shared" si="6"/>
        <v>55</v>
      </c>
      <c r="AX845" s="113">
        <f t="shared" si="7"/>
        <v>408</v>
      </c>
      <c r="AY845" s="117">
        <f t="shared" si="8"/>
        <v>337</v>
      </c>
      <c r="AZ845" s="120">
        <f t="shared" si="9"/>
        <v>71</v>
      </c>
      <c r="BA845" s="115">
        <v>0.0</v>
      </c>
      <c r="BB845" s="89">
        <f t="shared" si="10"/>
        <v>408</v>
      </c>
      <c r="BC845" s="132" t="s">
        <v>178</v>
      </c>
      <c r="BD845" s="132" t="s">
        <v>178</v>
      </c>
      <c r="BE845" s="132" t="s">
        <v>178</v>
      </c>
      <c r="BF845" s="123"/>
      <c r="BG845" s="83">
        <v>1124287.0</v>
      </c>
      <c r="BH845" s="112"/>
      <c r="BI845" s="112">
        <v>6.0</v>
      </c>
      <c r="BJ845" s="98" t="s">
        <v>162</v>
      </c>
      <c r="BK845" s="99">
        <f t="shared" si="11"/>
        <v>282</v>
      </c>
      <c r="BL845" s="99">
        <f t="shared" si="12"/>
        <v>55</v>
      </c>
      <c r="BM845" s="99" t="str">
        <f>IFERROR(__xludf.DUMMYFUNCTION("IFERROR(VLOOKUP(BG845,IMPORTRANGE(""https://docs.google.com/spreadsheets/d/1juPI-Fb8LD0YtltB2mlGEnp_R3UVu1t3wSFPzgCyHXE/edit?gid=0#gid=0"",""GERAL!A2:C""),3,0),""-"")"),"-")</f>
        <v>-</v>
      </c>
    </row>
    <row r="846" ht="15.75" customHeight="1">
      <c r="A846" s="111" t="s">
        <v>973</v>
      </c>
      <c r="B846" s="83" t="s">
        <v>4108</v>
      </c>
      <c r="C846" s="83" t="s">
        <v>68</v>
      </c>
      <c r="D846" s="112">
        <v>1128606.0</v>
      </c>
      <c r="E846" s="83"/>
      <c r="F846" s="83">
        <v>2.9243947E7</v>
      </c>
      <c r="G846" s="119" t="s">
        <v>4109</v>
      </c>
      <c r="H846" s="91" t="s">
        <v>4110</v>
      </c>
      <c r="I846" s="136" t="s">
        <v>149</v>
      </c>
      <c r="J846" s="83" t="s">
        <v>150</v>
      </c>
      <c r="K846" s="83" t="s">
        <v>151</v>
      </c>
      <c r="L846" s="83" t="s">
        <v>230</v>
      </c>
      <c r="M846" s="82" t="str">
        <f>IFERROR(__xludf.DUMMYFUNCTION("IFERROR(VLOOKUP(D846,
IMPORTRANGE(""https://docs.google.com/spreadsheets/d/1MjHtlUikwobi2MaWJgy7tfLeBmhj1u-dRFRs_8GwSoA/edit#gid=0"",""Gestores Escolares!D7:J""),3,0),""VERIFICAR CÓD SEC"")"),"IOLANDA CARLOS NOGUEIRA MEIRA")</f>
        <v>IOLANDA CARLOS NOGUEIRA MEIRA</v>
      </c>
      <c r="N846" s="82" t="str">
        <f>IFERROR(__xludf.DUMMYFUNCTION("IFERROR(VLOOKUP(D846,
IMPORTRANGE(""https://docs.google.com/spreadsheets/d/1MjHtlUikwobi2MaWJgy7tfLeBmhj1u-dRFRs_8GwSoA/edit#gid=0"",""Gestores Escolares!D7:J""),4,0),""VERIFICAR CÓD SEC"")"),"(77) 9 9986-1955")</f>
        <v>(77) 9 9986-1955</v>
      </c>
      <c r="O846" s="82" t="str">
        <f>IFERROR(__xludf.DUMMYFUNCTION("IFERROR(VLOOKUP(D846,
IMPORTRANGE(""https://docs.google.com/spreadsheets/d/1MjHtlUikwobi2MaWJgy7tfLeBmhj1u-dRFRs_8GwSoA/edit#gid=0"",""Gestores Escolares!D7:J""),6,0),""VERIFICAR CÓD SEC"")"),"CLERIA ROZANE MONTALVAO SANTOS")</f>
        <v>CLERIA ROZANE MONTALVAO SANTOS</v>
      </c>
      <c r="P846" s="82" t="str">
        <f>IFERROR(__xludf.DUMMYFUNCTION("IFERROR(VLOOKUP(D846,
IMPORTRANGE(""https://docs.google.com/spreadsheets/d/1MjHtlUikwobi2MaWJgy7tfLeBmhj1u-dRFRs_8GwSoA/edit#gid=0"",""Gestores Escolares!D7:J""),7,0),""VERIFICAR CÓD SEC"")"),"(77) 9 9130-9194")</f>
        <v>(77) 9 9130-9194</v>
      </c>
      <c r="Q846" s="82" t="str">
        <f>IFERROR(__xludf.DUMMYFUNCTION("IFERROR(VLOOKUP(D846,
IMPORTRANGE(""https://docs.google.com/spreadsheets/d/1MjHtlUikwobi2MaWJgy7tfLeBmhj1u-dRFRs_8GwSoA/edit#gid=0"",""Gestores Escolares!D7:m""),9,0),""VERIFICAR CÓD SEC"")"),"IRENICE DE OLIVEIRA SILVA SANTOS")</f>
        <v>IRENICE DE OLIVEIRA SILVA SANTOS</v>
      </c>
      <c r="R846" s="82" t="str">
        <f>IFERROR(__xludf.DUMMYFUNCTION("IFERROR(VLOOKUP(D846,
IMPORTRANGE(""https://docs.google.com/spreadsheets/d/1MjHtlUikwobi2MaWJgy7tfLeBmhj1u-dRFRs_8GwSoA/edit#gid=0"",""Gestores Escolares!D7:m""),10,0),""VERIFICAR CÓD SEC"")"),"(77) 9 9173-5532")</f>
        <v>(77) 9 9173-5532</v>
      </c>
      <c r="S846" s="82"/>
      <c r="T846" s="138">
        <v>18.0</v>
      </c>
      <c r="U846" s="470" t="s">
        <v>11737</v>
      </c>
      <c r="V846" s="106">
        <v>0.0</v>
      </c>
      <c r="W846" s="107">
        <v>0.0</v>
      </c>
      <c r="X846" s="107">
        <v>0.0</v>
      </c>
      <c r="Y846" s="107">
        <v>0.0</v>
      </c>
      <c r="Z846" s="80">
        <f t="shared" si="1"/>
        <v>0</v>
      </c>
      <c r="AA846" s="106">
        <v>0.0</v>
      </c>
      <c r="AB846" s="107">
        <v>0.0</v>
      </c>
      <c r="AC846" s="107">
        <v>0.0</v>
      </c>
      <c r="AD846" s="107">
        <v>0.0</v>
      </c>
      <c r="AE846" s="80">
        <f t="shared" si="2"/>
        <v>0</v>
      </c>
      <c r="AF846" s="140">
        <v>137.0</v>
      </c>
      <c r="AG846" s="109">
        <v>106.0</v>
      </c>
      <c r="AH846" s="109">
        <v>0.0</v>
      </c>
      <c r="AI846" s="141">
        <v>60.0</v>
      </c>
      <c r="AJ846" s="80">
        <f t="shared" si="3"/>
        <v>303</v>
      </c>
      <c r="AK846" s="140">
        <v>0.0</v>
      </c>
      <c r="AL846" s="109">
        <v>0.0</v>
      </c>
      <c r="AM846" s="141">
        <v>0.0</v>
      </c>
      <c r="AN846" s="80">
        <f t="shared" si="4"/>
        <v>0</v>
      </c>
      <c r="AO846" s="140">
        <v>0.0</v>
      </c>
      <c r="AP846" s="109">
        <v>0.0</v>
      </c>
      <c r="AQ846" s="109">
        <v>378.0</v>
      </c>
      <c r="AR846" s="80">
        <f t="shared" si="5"/>
        <v>378</v>
      </c>
      <c r="AS846" s="110">
        <v>37.0</v>
      </c>
      <c r="AT846" s="110">
        <v>0.0</v>
      </c>
      <c r="AU846" s="110">
        <v>46.0</v>
      </c>
      <c r="AV846" s="142">
        <v>0.0</v>
      </c>
      <c r="AW846" s="80">
        <f t="shared" si="6"/>
        <v>83</v>
      </c>
      <c r="AX846" s="113">
        <f t="shared" si="7"/>
        <v>764</v>
      </c>
      <c r="AY846" s="117">
        <f t="shared" si="8"/>
        <v>340</v>
      </c>
      <c r="AZ846" s="120">
        <f t="shared" si="9"/>
        <v>424</v>
      </c>
      <c r="BA846" s="115">
        <v>0.0</v>
      </c>
      <c r="BB846" s="89">
        <f t="shared" si="10"/>
        <v>764</v>
      </c>
      <c r="BC846" s="132" t="s">
        <v>178</v>
      </c>
      <c r="BD846" s="132" t="s">
        <v>178</v>
      </c>
      <c r="BE846" s="132" t="s">
        <v>178</v>
      </c>
      <c r="BF846" s="123"/>
      <c r="BG846" s="83">
        <v>1128606.0</v>
      </c>
      <c r="BH846" s="112"/>
      <c r="BI846" s="112">
        <v>17.0</v>
      </c>
      <c r="BJ846" s="98" t="s">
        <v>155</v>
      </c>
      <c r="BK846" s="99">
        <f t="shared" si="11"/>
        <v>60</v>
      </c>
      <c r="BL846" s="99">
        <f t="shared" si="12"/>
        <v>280</v>
      </c>
      <c r="BM846" s="99" t="str">
        <f>IFERROR(__xludf.DUMMYFUNCTION("IFERROR(VLOOKUP(BG846,IMPORTRANGE(""https://docs.google.com/spreadsheets/d/1juPI-Fb8LD0YtltB2mlGEnp_R3UVu1t3wSFPzgCyHXE/edit?gid=0#gid=0"",""GERAL!A2:C""),3,0),""-"")"),"-")</f>
        <v>-</v>
      </c>
    </row>
    <row r="847" ht="15.75" customHeight="1">
      <c r="A847" s="111" t="s">
        <v>973</v>
      </c>
      <c r="B847" s="83" t="s">
        <v>4108</v>
      </c>
      <c r="C847" s="83" t="s">
        <v>68</v>
      </c>
      <c r="D847" s="112">
        <v>1178149.0</v>
      </c>
      <c r="E847" s="83"/>
      <c r="F847" s="83">
        <v>2.9437814E7</v>
      </c>
      <c r="G847" s="119" t="s">
        <v>4122</v>
      </c>
      <c r="H847" s="91" t="s">
        <v>4123</v>
      </c>
      <c r="I847" s="136" t="s">
        <v>4124</v>
      </c>
      <c r="J847" s="83" t="s">
        <v>191</v>
      </c>
      <c r="K847" s="83" t="s">
        <v>151</v>
      </c>
      <c r="L847" s="83" t="s">
        <v>169</v>
      </c>
      <c r="M847" s="82" t="str">
        <f>IFERROR(__xludf.DUMMYFUNCTION("IFERROR(VLOOKUP(D847,
IMPORTRANGE(""https://docs.google.com/spreadsheets/d/1MjHtlUikwobi2MaWJgy7tfLeBmhj1u-dRFRs_8GwSoA/edit#gid=0"",""Gestores Escolares!D7:J""),3,0),""VERIFICAR CÓD SEC"")"),"EDIVALDA DA SILVA DOMINGUES LOPES")</f>
        <v>EDIVALDA DA SILVA DOMINGUES LOPES</v>
      </c>
      <c r="N847" s="82" t="str">
        <f>IFERROR(__xludf.DUMMYFUNCTION("IFERROR(VLOOKUP(D847,
IMPORTRANGE(""https://docs.google.com/spreadsheets/d/1MjHtlUikwobi2MaWJgy7tfLeBmhj1u-dRFRs_8GwSoA/edit#gid=0"",""Gestores Escolares!D7:J""),4,0),""VERIFICAR CÓD SEC"")"),"(77) 9 9944-3788")</f>
        <v>(77) 9 9944-3788</v>
      </c>
      <c r="O847" s="82" t="str">
        <f>IFERROR(__xludf.DUMMYFUNCTION("IFERROR(VLOOKUP(D847,
IMPORTRANGE(""https://docs.google.com/spreadsheets/d/1MjHtlUikwobi2MaWJgy7tfLeBmhj1u-dRFRs_8GwSoA/edit#gid=0"",""Gestores Escolares!D7:J""),6,0),""VERIFICAR CÓD SEC"")")," FABIO DOS SANTOS TEIXEIRA")</f>
        <v> FABIO DOS SANTOS TEIXEIRA</v>
      </c>
      <c r="P847" s="82" t="str">
        <f>IFERROR(__xludf.DUMMYFUNCTION("IFERROR(VLOOKUP(D847,
IMPORTRANGE(""https://docs.google.com/spreadsheets/d/1MjHtlUikwobi2MaWJgy7tfLeBmhj1u-dRFRs_8GwSoA/edit#gid=0"",""Gestores Escolares!D7:J""),7,0),""VERIFICAR CÓD SEC"")"),"(77) 9 9152-5309")</f>
        <v>(77) 9 9152-5309</v>
      </c>
      <c r="Q847" s="82" t="str">
        <f>IFERROR(__xludf.DUMMYFUNCTION("IFERROR(VLOOKUP(D847,
IMPORTRANGE(""https://docs.google.com/spreadsheets/d/1MjHtlUikwobi2MaWJgy7tfLeBmhj1u-dRFRs_8GwSoA/edit#gid=0"",""Gestores Escolares!D7:m""),9,0),""VERIFICAR CÓD SEC"")"),"")</f>
        <v/>
      </c>
      <c r="R847" s="82" t="str">
        <f>IFERROR(__xludf.DUMMYFUNCTION("IFERROR(VLOOKUP(D847,
IMPORTRANGE(""https://docs.google.com/spreadsheets/d/1MjHtlUikwobi2MaWJgy7tfLeBmhj1u-dRFRs_8GwSoA/edit#gid=0"",""Gestores Escolares!D7:m""),10,0),""VERIFICAR CÓD SEC"")"),"")</f>
        <v/>
      </c>
      <c r="S847" s="82"/>
      <c r="T847" s="138">
        <v>5.0</v>
      </c>
      <c r="U847" s="470">
        <v>6.0</v>
      </c>
      <c r="V847" s="106">
        <v>0.0</v>
      </c>
      <c r="W847" s="107">
        <v>0.0</v>
      </c>
      <c r="X847" s="107">
        <v>0.0</v>
      </c>
      <c r="Y847" s="107">
        <v>0.0</v>
      </c>
      <c r="Z847" s="80">
        <f t="shared" si="1"/>
        <v>0</v>
      </c>
      <c r="AA847" s="106">
        <v>0.0</v>
      </c>
      <c r="AB847" s="107">
        <v>0.0</v>
      </c>
      <c r="AC847" s="107">
        <v>0.0</v>
      </c>
      <c r="AD847" s="107">
        <v>0.0</v>
      </c>
      <c r="AE847" s="80">
        <f t="shared" si="2"/>
        <v>0</v>
      </c>
      <c r="AF847" s="140">
        <v>0.0</v>
      </c>
      <c r="AG847" s="109">
        <v>48.0</v>
      </c>
      <c r="AH847" s="109">
        <v>0.0</v>
      </c>
      <c r="AI847" s="141">
        <v>47.0</v>
      </c>
      <c r="AJ847" s="80">
        <f t="shared" si="3"/>
        <v>95</v>
      </c>
      <c r="AK847" s="140">
        <v>0.0</v>
      </c>
      <c r="AL847" s="109">
        <v>0.0</v>
      </c>
      <c r="AM847" s="141">
        <v>0.0</v>
      </c>
      <c r="AN847" s="80">
        <f t="shared" si="4"/>
        <v>0</v>
      </c>
      <c r="AO847" s="140">
        <v>0.0</v>
      </c>
      <c r="AP847" s="109">
        <v>0.0</v>
      </c>
      <c r="AQ847" s="109">
        <v>21.0</v>
      </c>
      <c r="AR847" s="80">
        <f t="shared" si="5"/>
        <v>21</v>
      </c>
      <c r="AS847" s="110">
        <v>0.0</v>
      </c>
      <c r="AT847" s="110">
        <v>0.0</v>
      </c>
      <c r="AU847" s="110">
        <v>42.0</v>
      </c>
      <c r="AV847" s="142">
        <v>58.0</v>
      </c>
      <c r="AW847" s="80">
        <f t="shared" si="6"/>
        <v>100</v>
      </c>
      <c r="AX847" s="113">
        <f t="shared" si="7"/>
        <v>216</v>
      </c>
      <c r="AY847" s="117">
        <f t="shared" si="8"/>
        <v>153</v>
      </c>
      <c r="AZ847" s="120">
        <f t="shared" si="9"/>
        <v>63</v>
      </c>
      <c r="BA847" s="115">
        <v>0.0</v>
      </c>
      <c r="BB847" s="89">
        <f t="shared" si="10"/>
        <v>216</v>
      </c>
      <c r="BC847" s="132" t="s">
        <v>373</v>
      </c>
      <c r="BD847" s="132" t="s">
        <v>178</v>
      </c>
      <c r="BE847" s="132" t="s">
        <v>178</v>
      </c>
      <c r="BF847" s="123"/>
      <c r="BG847" s="83">
        <v>1178149.0</v>
      </c>
      <c r="BH847" s="112"/>
      <c r="BI847" s="112">
        <v>5.0</v>
      </c>
      <c r="BJ847" s="98" t="s">
        <v>155</v>
      </c>
      <c r="BK847" s="99">
        <f t="shared" si="11"/>
        <v>105</v>
      </c>
      <c r="BL847" s="99">
        <f t="shared" si="12"/>
        <v>48</v>
      </c>
      <c r="BM847" s="99" t="str">
        <f>IFERROR(__xludf.DUMMYFUNCTION("IFERROR(VLOOKUP(BG847,IMPORTRANGE(""https://docs.google.com/spreadsheets/d/1juPI-Fb8LD0YtltB2mlGEnp_R3UVu1t3wSFPzgCyHXE/edit?gid=0#gid=0"",""GERAL!A2:C""),3,0),""-"")"),"CAMPO")</f>
        <v>CAMPO</v>
      </c>
    </row>
    <row r="848" ht="15.75" customHeight="1">
      <c r="A848" s="111" t="s">
        <v>973</v>
      </c>
      <c r="B848" s="83" t="s">
        <v>4108</v>
      </c>
      <c r="C848" s="83" t="s">
        <v>68</v>
      </c>
      <c r="D848" s="112">
        <v>1176438.0</v>
      </c>
      <c r="E848" s="83"/>
      <c r="F848" s="83">
        <v>2.9394414E7</v>
      </c>
      <c r="G848" s="119" t="s">
        <v>4130</v>
      </c>
      <c r="H848" s="91" t="s">
        <v>4131</v>
      </c>
      <c r="I848" s="83" t="s">
        <v>149</v>
      </c>
      <c r="J848" s="83" t="s">
        <v>150</v>
      </c>
      <c r="K848" s="83" t="s">
        <v>151</v>
      </c>
      <c r="L848" s="83" t="s">
        <v>230</v>
      </c>
      <c r="M848" s="82" t="str">
        <f>IFERROR(__xludf.DUMMYFUNCTION("IFERROR(VLOOKUP(D848,
IMPORTRANGE(""https://docs.google.com/spreadsheets/d/1MjHtlUikwobi2MaWJgy7tfLeBmhj1u-dRFRs_8GwSoA/edit#gid=0"",""Gestores Escolares!D7:J""),3,0),""VERIFICAR CÓD SEC"")"),"ROSELI DE CARVALHO MAGALHAES ROCHA")</f>
        <v>ROSELI DE CARVALHO MAGALHAES ROCHA</v>
      </c>
      <c r="N848" s="82" t="str">
        <f>IFERROR(__xludf.DUMMYFUNCTION("IFERROR(VLOOKUP(D848,
IMPORTRANGE(""https://docs.google.com/spreadsheets/d/1MjHtlUikwobi2MaWJgy7tfLeBmhj1u-dRFRs_8GwSoA/edit#gid=0"",""Gestores Escolares!D7:J""),4,0),""VERIFICAR CÓD SEC"")"),"(77) 9 8808-4233/9 9174-4578")</f>
        <v>(77) 9 8808-4233/9 9174-4578</v>
      </c>
      <c r="O848" s="82" t="str">
        <f>IFERROR(__xludf.DUMMYFUNCTION("IFERROR(VLOOKUP(D848,
IMPORTRANGE(""https://docs.google.com/spreadsheets/d/1MjHtlUikwobi2MaWJgy7tfLeBmhj1u-dRFRs_8GwSoA/edit#gid=0"",""Gestores Escolares!D7:J""),6,0),""VERIFICAR CÓD SEC"")"),"ERISMAR LUIS DA SILVA SOUZA")</f>
        <v>ERISMAR LUIS DA SILVA SOUZA</v>
      </c>
      <c r="P848" s="82" t="str">
        <f>IFERROR(__xludf.DUMMYFUNCTION("IFERROR(VLOOKUP(D848,
IMPORTRANGE(""https://docs.google.com/spreadsheets/d/1MjHtlUikwobi2MaWJgy7tfLeBmhj1u-dRFRs_8GwSoA/edit#gid=0"",""Gestores Escolares!D7:J""),7,0),""VERIFICAR CÓD SEC"")"),"(77) 9 9805-1311")</f>
        <v>(77) 9 9805-1311</v>
      </c>
      <c r="Q848" s="82" t="str">
        <f>IFERROR(__xludf.DUMMYFUNCTION("IFERROR(VLOOKUP(D848,
IMPORTRANGE(""https://docs.google.com/spreadsheets/d/1MjHtlUikwobi2MaWJgy7tfLeBmhj1u-dRFRs_8GwSoA/edit#gid=0"",""Gestores Escolares!D7:m""),9,0),""VERIFICAR CÓD SEC"")"),"")</f>
        <v/>
      </c>
      <c r="R848" s="82" t="str">
        <f>IFERROR(__xludf.DUMMYFUNCTION("IFERROR(VLOOKUP(D848,
IMPORTRANGE(""https://docs.google.com/spreadsheets/d/1MjHtlUikwobi2MaWJgy7tfLeBmhj1u-dRFRs_8GwSoA/edit#gid=0"",""Gestores Escolares!D7:m""),10,0),""VERIFICAR CÓD SEC"")"),"")</f>
        <v/>
      </c>
      <c r="S848" s="82"/>
      <c r="T848" s="138">
        <v>17.0</v>
      </c>
      <c r="U848" s="416">
        <v>16.0</v>
      </c>
      <c r="V848" s="106">
        <v>0.0</v>
      </c>
      <c r="W848" s="107">
        <v>0.0</v>
      </c>
      <c r="X848" s="107">
        <v>0.0</v>
      </c>
      <c r="Y848" s="107">
        <v>0.0</v>
      </c>
      <c r="Z848" s="80">
        <f t="shared" si="1"/>
        <v>0</v>
      </c>
      <c r="AA848" s="106">
        <v>0.0</v>
      </c>
      <c r="AB848" s="107">
        <v>0.0</v>
      </c>
      <c r="AC848" s="107">
        <v>0.0</v>
      </c>
      <c r="AD848" s="107">
        <v>0.0</v>
      </c>
      <c r="AE848" s="80">
        <f t="shared" si="2"/>
        <v>0</v>
      </c>
      <c r="AF848" s="140">
        <v>556.0</v>
      </c>
      <c r="AG848" s="109">
        <v>335.0</v>
      </c>
      <c r="AH848" s="109">
        <v>0.0</v>
      </c>
      <c r="AI848" s="141">
        <v>63.0</v>
      </c>
      <c r="AJ848" s="80">
        <f t="shared" si="3"/>
        <v>954</v>
      </c>
      <c r="AK848" s="140">
        <v>0.0</v>
      </c>
      <c r="AL848" s="109">
        <v>0.0</v>
      </c>
      <c r="AM848" s="141">
        <v>0.0</v>
      </c>
      <c r="AN848" s="80">
        <f t="shared" si="4"/>
        <v>0</v>
      </c>
      <c r="AO848" s="140">
        <v>0.0</v>
      </c>
      <c r="AP848" s="109">
        <v>0.0</v>
      </c>
      <c r="AQ848" s="109">
        <v>0.0</v>
      </c>
      <c r="AR848" s="80">
        <f t="shared" si="5"/>
        <v>0</v>
      </c>
      <c r="AS848" s="110">
        <v>0.0</v>
      </c>
      <c r="AT848" s="110">
        <v>0.0</v>
      </c>
      <c r="AU848" s="110">
        <v>0.0</v>
      </c>
      <c r="AV848" s="142">
        <v>0.0</v>
      </c>
      <c r="AW848" s="80">
        <f t="shared" si="6"/>
        <v>0</v>
      </c>
      <c r="AX848" s="113">
        <f t="shared" si="7"/>
        <v>954</v>
      </c>
      <c r="AY848" s="117">
        <f t="shared" si="8"/>
        <v>954</v>
      </c>
      <c r="AZ848" s="120">
        <f t="shared" si="9"/>
        <v>0</v>
      </c>
      <c r="BA848" s="115">
        <v>0.0</v>
      </c>
      <c r="BB848" s="89">
        <f t="shared" si="10"/>
        <v>954</v>
      </c>
      <c r="BC848" s="132" t="s">
        <v>178</v>
      </c>
      <c r="BD848" s="132" t="s">
        <v>178</v>
      </c>
      <c r="BE848" s="132" t="s">
        <v>178</v>
      </c>
      <c r="BF848" s="156"/>
      <c r="BG848" s="83">
        <v>1176438.0</v>
      </c>
      <c r="BH848" s="112"/>
      <c r="BI848" s="112">
        <v>16.0</v>
      </c>
      <c r="BJ848" s="98" t="s">
        <v>155</v>
      </c>
      <c r="BK848" s="99">
        <f t="shared" si="11"/>
        <v>63</v>
      </c>
      <c r="BL848" s="99">
        <f t="shared" si="12"/>
        <v>891</v>
      </c>
      <c r="BM848" s="99" t="str">
        <f>IFERROR(__xludf.DUMMYFUNCTION("IFERROR(VLOOKUP(BG848,IMPORTRANGE(""https://docs.google.com/spreadsheets/d/1juPI-Fb8LD0YtltB2mlGEnp_R3UVu1t3wSFPzgCyHXE/edit?gid=0#gid=0"",""GERAL!A2:C""),3,0),""-"")"),"-")</f>
        <v>-</v>
      </c>
    </row>
    <row r="849" ht="15.75" customHeight="1">
      <c r="A849" s="111" t="s">
        <v>973</v>
      </c>
      <c r="B849" s="83" t="s">
        <v>4108</v>
      </c>
      <c r="C849" s="83" t="s">
        <v>68</v>
      </c>
      <c r="D849" s="112">
        <v>1129319.0</v>
      </c>
      <c r="E849" s="83"/>
      <c r="F849" s="83">
        <v>2.924392E7</v>
      </c>
      <c r="G849" s="114" t="s">
        <v>4134</v>
      </c>
      <c r="H849" s="91" t="s">
        <v>4135</v>
      </c>
      <c r="I849" s="136" t="s">
        <v>149</v>
      </c>
      <c r="J849" s="83" t="s">
        <v>150</v>
      </c>
      <c r="K849" s="83" t="s">
        <v>151</v>
      </c>
      <c r="L849" s="83" t="s">
        <v>230</v>
      </c>
      <c r="M849" s="82" t="str">
        <f>IFERROR(__xludf.DUMMYFUNCTION("IFERROR(VLOOKUP(D849,
IMPORTRANGE(""https://docs.google.com/spreadsheets/d/1MjHtlUikwobi2MaWJgy7tfLeBmhj1u-dRFRs_8GwSoA/edit#gid=0"",""Gestores Escolares!D7:J""),3,0),""VERIFICAR CÓD SEC"")"),"CLAUDIANA LIMA TEIXEIRA")</f>
        <v>CLAUDIANA LIMA TEIXEIRA</v>
      </c>
      <c r="N849" s="82" t="str">
        <f>IFERROR(__xludf.DUMMYFUNCTION("IFERROR(VLOOKUP(D849,
IMPORTRANGE(""https://docs.google.com/spreadsheets/d/1MjHtlUikwobi2MaWJgy7tfLeBmhj1u-dRFRs_8GwSoA/edit#gid=0"",""Gestores Escolares!D7:J""),4,0),""VERIFICAR CÓD SEC"")"),"(77) 9 9103-4508")</f>
        <v>(77) 9 9103-4508</v>
      </c>
      <c r="O849" s="82" t="str">
        <f>IFERROR(__xludf.DUMMYFUNCTION("IFERROR(VLOOKUP(D849,
IMPORTRANGE(""https://docs.google.com/spreadsheets/d/1MjHtlUikwobi2MaWJgy7tfLeBmhj1u-dRFRs_8GwSoA/edit#gid=0"",""Gestores Escolares!D7:J""),6,0),""VERIFICAR CÓD SEC"")"),"EDENICE DA SILVA TORRES")</f>
        <v>EDENICE DA SILVA TORRES</v>
      </c>
      <c r="P849" s="82" t="str">
        <f>IFERROR(__xludf.DUMMYFUNCTION("IFERROR(VLOOKUP(D849,
IMPORTRANGE(""https://docs.google.com/spreadsheets/d/1MjHtlUikwobi2MaWJgy7tfLeBmhj1u-dRFRs_8GwSoA/edit#gid=0"",""Gestores Escolares!D7:J""),7,0),""VERIFICAR CÓD SEC"")"),"(77) 9 9136-6042")</f>
        <v>(77) 9 9136-6042</v>
      </c>
      <c r="Q849" s="82" t="str">
        <f>IFERROR(__xludf.DUMMYFUNCTION("IFERROR(VLOOKUP(D849,
IMPORTRANGE(""https://docs.google.com/spreadsheets/d/1MjHtlUikwobi2MaWJgy7tfLeBmhj1u-dRFRs_8GwSoA/edit#gid=0"",""Gestores Escolares!D7:m""),9,0),""VERIFICAR CÓD SEC"")"),"DEYSE LARA VIEIRA MALHEIRO ")</f>
        <v>DEYSE LARA VIEIRA MALHEIRO </v>
      </c>
      <c r="R849" s="82" t="str">
        <f>IFERROR(__xludf.DUMMYFUNCTION("IFERROR(VLOOKUP(D849,
IMPORTRANGE(""https://docs.google.com/spreadsheets/d/1MjHtlUikwobi2MaWJgy7tfLeBmhj1u-dRFRs_8GwSoA/edit#gid=0"",""Gestores Escolares!D7:m""),10,0),""VERIFICAR CÓD SEC"")"),"(77) 9 8143-8838")</f>
        <v>(77) 9 8143-8838</v>
      </c>
      <c r="S849" s="82"/>
      <c r="T849" s="138">
        <v>20.0</v>
      </c>
      <c r="U849" s="145" t="s">
        <v>11762</v>
      </c>
      <c r="V849" s="106">
        <v>0.0</v>
      </c>
      <c r="W849" s="107">
        <v>0.0</v>
      </c>
      <c r="X849" s="107">
        <v>0.0</v>
      </c>
      <c r="Y849" s="107">
        <v>0.0</v>
      </c>
      <c r="Z849" s="80">
        <f t="shared" si="1"/>
        <v>0</v>
      </c>
      <c r="AA849" s="106">
        <v>0.0</v>
      </c>
      <c r="AB849" s="107">
        <v>0.0</v>
      </c>
      <c r="AC849" s="107">
        <v>0.0</v>
      </c>
      <c r="AD849" s="107">
        <v>0.0</v>
      </c>
      <c r="AE849" s="80">
        <f t="shared" si="2"/>
        <v>0</v>
      </c>
      <c r="AF849" s="140">
        <v>0.0</v>
      </c>
      <c r="AG849" s="109">
        <v>0.0</v>
      </c>
      <c r="AH849" s="109">
        <v>0.0</v>
      </c>
      <c r="AI849" s="141">
        <v>0.0</v>
      </c>
      <c r="AJ849" s="80">
        <f t="shared" si="3"/>
        <v>0</v>
      </c>
      <c r="AK849" s="140">
        <v>0.0</v>
      </c>
      <c r="AL849" s="109">
        <v>0.0</v>
      </c>
      <c r="AM849" s="141">
        <v>0.0</v>
      </c>
      <c r="AN849" s="80">
        <f t="shared" si="4"/>
        <v>0</v>
      </c>
      <c r="AO849" s="140">
        <v>0.0</v>
      </c>
      <c r="AP849" s="109">
        <v>0.0</v>
      </c>
      <c r="AQ849" s="109">
        <v>0.0</v>
      </c>
      <c r="AR849" s="80">
        <f t="shared" si="5"/>
        <v>0</v>
      </c>
      <c r="AS849" s="110">
        <v>796.0</v>
      </c>
      <c r="AT849" s="110">
        <v>587.0</v>
      </c>
      <c r="AU849" s="110">
        <v>413.0</v>
      </c>
      <c r="AV849" s="142">
        <v>0.0</v>
      </c>
      <c r="AW849" s="80">
        <f t="shared" si="6"/>
        <v>1796</v>
      </c>
      <c r="AX849" s="113">
        <f t="shared" si="7"/>
        <v>1796</v>
      </c>
      <c r="AY849" s="117">
        <f t="shared" si="8"/>
        <v>1383</v>
      </c>
      <c r="AZ849" s="120">
        <f t="shared" si="9"/>
        <v>413</v>
      </c>
      <c r="BA849" s="115">
        <v>10.0</v>
      </c>
      <c r="BB849" s="89">
        <f t="shared" si="10"/>
        <v>1806</v>
      </c>
      <c r="BC849" s="132" t="s">
        <v>178</v>
      </c>
      <c r="BD849" s="132" t="s">
        <v>779</v>
      </c>
      <c r="BE849" s="132" t="s">
        <v>178</v>
      </c>
      <c r="BF849" s="123"/>
      <c r="BG849" s="83">
        <v>1129319.0</v>
      </c>
      <c r="BH849" s="112"/>
      <c r="BI849" s="112">
        <v>25.0</v>
      </c>
      <c r="BJ849" s="98" t="s">
        <v>176</v>
      </c>
      <c r="BK849" s="99">
        <f t="shared" si="11"/>
        <v>0</v>
      </c>
      <c r="BL849" s="99">
        <f t="shared" si="12"/>
        <v>1383</v>
      </c>
      <c r="BM849" s="99" t="str">
        <f>IFERROR(__xludf.DUMMYFUNCTION("IFERROR(VLOOKUP(BG849,IMPORTRANGE(""https://docs.google.com/spreadsheets/d/1juPI-Fb8LD0YtltB2mlGEnp_R3UVu1t3wSFPzgCyHXE/edit?gid=0#gid=0"",""GERAL!A2:C""),3,0),""-"")"),"-")</f>
        <v>-</v>
      </c>
    </row>
    <row r="850" ht="15.75" customHeight="1">
      <c r="A850" s="111" t="s">
        <v>973</v>
      </c>
      <c r="B850" s="83" t="s">
        <v>4140</v>
      </c>
      <c r="C850" s="83" t="s">
        <v>68</v>
      </c>
      <c r="D850" s="112">
        <v>1178031.0</v>
      </c>
      <c r="E850" s="83"/>
      <c r="F850" s="83">
        <v>2.9424348E7</v>
      </c>
      <c r="G850" s="119" t="s">
        <v>4141</v>
      </c>
      <c r="H850" s="91" t="s">
        <v>4142</v>
      </c>
      <c r="I850" s="136" t="s">
        <v>149</v>
      </c>
      <c r="J850" s="83" t="s">
        <v>150</v>
      </c>
      <c r="K850" s="83" t="s">
        <v>151</v>
      </c>
      <c r="L850" s="83" t="s">
        <v>152</v>
      </c>
      <c r="M850" s="82" t="str">
        <f>IFERROR(__xludf.DUMMYFUNCTION("IFERROR(VLOOKUP(D850,
IMPORTRANGE(""https://docs.google.com/spreadsheets/d/1MjHtlUikwobi2MaWJgy7tfLeBmhj1u-dRFRs_8GwSoA/edit#gid=0"",""Gestores Escolares!D7:J""),3,0),""VERIFICAR CÓD SEC"")"),"FERNANDA ILARIA BRITO COSTA")</f>
        <v>FERNANDA ILARIA BRITO COSTA</v>
      </c>
      <c r="N850" s="82" t="str">
        <f>IFERROR(__xludf.DUMMYFUNCTION("IFERROR(VLOOKUP(D850,
IMPORTRANGE(""https://docs.google.com/spreadsheets/d/1MjHtlUikwobi2MaWJgy7tfLeBmhj1u-dRFRs_8GwSoA/edit#gid=0"",""Gestores Escolares!D7:J""),4,0),""VERIFICAR CÓD SEC"")"),"(77) 9 9196-6070")</f>
        <v>(77) 9 9196-6070</v>
      </c>
      <c r="O850" s="82" t="str">
        <f>IFERROR(__xludf.DUMMYFUNCTION("IFERROR(VLOOKUP(D850,
IMPORTRANGE(""https://docs.google.com/spreadsheets/d/1MjHtlUikwobi2MaWJgy7tfLeBmhj1u-dRFRs_8GwSoA/edit#gid=0"",""Gestores Escolares!D7:J""),6,0),""VERIFICAR CÓD SEC"")"),"CLEONICE MARIA GOMES ANDRADE")</f>
        <v>CLEONICE MARIA GOMES ANDRADE</v>
      </c>
      <c r="P850" s="82" t="str">
        <f>IFERROR(__xludf.DUMMYFUNCTION("IFERROR(VLOOKUP(D850,
IMPORTRANGE(""https://docs.google.com/spreadsheets/d/1MjHtlUikwobi2MaWJgy7tfLeBmhj1u-dRFRs_8GwSoA/edit#gid=0"",""Gestores Escolares!D7:J""),7,0),""VERIFICAR CÓD SEC"")"),"(77) 9 9138-6228")</f>
        <v>(77) 9 9138-6228</v>
      </c>
      <c r="Q850" s="82" t="str">
        <f>IFERROR(__xludf.DUMMYFUNCTION("IFERROR(VLOOKUP(D850,
IMPORTRANGE(""https://docs.google.com/spreadsheets/d/1MjHtlUikwobi2MaWJgy7tfLeBmhj1u-dRFRs_8GwSoA/edit#gid=0"",""Gestores Escolares!D7:m""),9,0),""VERIFICAR CÓD SEC"")"),"GEISE GRASIELE OLIVIERA ALMEIDA FREITAS")</f>
        <v>GEISE GRASIELE OLIVIERA ALMEIDA FREITAS</v>
      </c>
      <c r="R850" s="82" t="str">
        <f>IFERROR(__xludf.DUMMYFUNCTION("IFERROR(VLOOKUP(D850,
IMPORTRANGE(""https://docs.google.com/spreadsheets/d/1MjHtlUikwobi2MaWJgy7tfLeBmhj1u-dRFRs_8GwSoA/edit#gid=0"",""Gestores Escolares!D7:m""),10,0),""VERIFICAR CÓD SEC"")"),"(77) 9 8155-5559")</f>
        <v>(77) 9 8155-5559</v>
      </c>
      <c r="S850" s="82"/>
      <c r="T850" s="138">
        <v>8.0</v>
      </c>
      <c r="U850" s="388" t="s">
        <v>11764</v>
      </c>
      <c r="V850" s="106">
        <v>0.0</v>
      </c>
      <c r="W850" s="107">
        <v>0.0</v>
      </c>
      <c r="X850" s="107">
        <v>0.0</v>
      </c>
      <c r="Y850" s="107">
        <v>0.0</v>
      </c>
      <c r="Z850" s="80">
        <f t="shared" si="1"/>
        <v>0</v>
      </c>
      <c r="AA850" s="106">
        <v>0.0</v>
      </c>
      <c r="AB850" s="107">
        <v>0.0</v>
      </c>
      <c r="AC850" s="107">
        <v>0.0</v>
      </c>
      <c r="AD850" s="107">
        <v>0.0</v>
      </c>
      <c r="AE850" s="80">
        <f t="shared" si="2"/>
        <v>0</v>
      </c>
      <c r="AF850" s="140">
        <v>0.0</v>
      </c>
      <c r="AG850" s="109">
        <v>0.0</v>
      </c>
      <c r="AH850" s="109">
        <v>0.0</v>
      </c>
      <c r="AI850" s="141">
        <v>234.0</v>
      </c>
      <c r="AJ850" s="80">
        <f t="shared" si="3"/>
        <v>234</v>
      </c>
      <c r="AK850" s="140">
        <v>0.0</v>
      </c>
      <c r="AL850" s="109">
        <v>0.0</v>
      </c>
      <c r="AM850" s="141">
        <v>0.0</v>
      </c>
      <c r="AN850" s="80">
        <f t="shared" si="4"/>
        <v>0</v>
      </c>
      <c r="AO850" s="140">
        <v>0.0</v>
      </c>
      <c r="AP850" s="109">
        <v>0.0</v>
      </c>
      <c r="AQ850" s="109">
        <v>79.0</v>
      </c>
      <c r="AR850" s="80">
        <f t="shared" si="5"/>
        <v>79</v>
      </c>
      <c r="AS850" s="110">
        <v>0.0</v>
      </c>
      <c r="AT850" s="110">
        <v>0.0</v>
      </c>
      <c r="AU850" s="110">
        <v>0.0</v>
      </c>
      <c r="AV850" s="142">
        <v>46.0</v>
      </c>
      <c r="AW850" s="80">
        <f t="shared" si="6"/>
        <v>46</v>
      </c>
      <c r="AX850" s="113">
        <f t="shared" si="7"/>
        <v>359</v>
      </c>
      <c r="AY850" s="117">
        <f t="shared" si="8"/>
        <v>280</v>
      </c>
      <c r="AZ850" s="120">
        <f t="shared" si="9"/>
        <v>79</v>
      </c>
      <c r="BA850" s="115">
        <v>0.0</v>
      </c>
      <c r="BB850" s="89">
        <f t="shared" si="10"/>
        <v>359</v>
      </c>
      <c r="BC850" s="132" t="s">
        <v>178</v>
      </c>
      <c r="BD850" s="132" t="s">
        <v>178</v>
      </c>
      <c r="BE850" s="132" t="s">
        <v>178</v>
      </c>
      <c r="BF850" s="123"/>
      <c r="BG850" s="83">
        <v>1178031.0</v>
      </c>
      <c r="BH850" s="112"/>
      <c r="BI850" s="112">
        <v>8.0</v>
      </c>
      <c r="BJ850" s="98" t="s">
        <v>155</v>
      </c>
      <c r="BK850" s="99">
        <f t="shared" si="11"/>
        <v>280</v>
      </c>
      <c r="BL850" s="99">
        <f t="shared" si="12"/>
        <v>0</v>
      </c>
      <c r="BM850" s="99" t="str">
        <f>IFERROR(__xludf.DUMMYFUNCTION("IFERROR(VLOOKUP(BG850,IMPORTRANGE(""https://docs.google.com/spreadsheets/d/1juPI-Fb8LD0YtltB2mlGEnp_R3UVu1t3wSFPzgCyHXE/edit?gid=0#gid=0"",""GERAL!A2:C""),3,0),""-"")"),"-")</f>
        <v>-</v>
      </c>
    </row>
    <row r="851" ht="15.75" customHeight="1">
      <c r="A851" s="111" t="s">
        <v>973</v>
      </c>
      <c r="B851" s="83" t="s">
        <v>4144</v>
      </c>
      <c r="C851" s="191" t="s">
        <v>68</v>
      </c>
      <c r="D851" s="112">
        <v>1168039.0</v>
      </c>
      <c r="E851" s="189"/>
      <c r="F851" s="237">
        <v>2.9260256E7</v>
      </c>
      <c r="G851" s="597" t="s">
        <v>4149</v>
      </c>
      <c r="H851" s="91" t="s">
        <v>4150</v>
      </c>
      <c r="I851" s="238" t="s">
        <v>149</v>
      </c>
      <c r="J851" s="83" t="s">
        <v>150</v>
      </c>
      <c r="K851" s="83" t="s">
        <v>151</v>
      </c>
      <c r="L851" s="83" t="s">
        <v>230</v>
      </c>
      <c r="M851" s="82" t="str">
        <f>IFERROR(__xludf.DUMMYFUNCTION("IFERROR(VLOOKUP(D851,
IMPORTRANGE(""https://docs.google.com/spreadsheets/d/1MjHtlUikwobi2MaWJgy7tfLeBmhj1u-dRFRs_8GwSoA/edit#gid=0"",""Gestores Escolares!D7:J""),3,0),""VERIFICAR CÓD SEC"")"),"MARIA CARMEM COSTA BRITO")</f>
        <v>MARIA CARMEM COSTA BRITO</v>
      </c>
      <c r="N851" s="82" t="str">
        <f>IFERROR(__xludf.DUMMYFUNCTION("IFERROR(VLOOKUP(D851,
IMPORTRANGE(""https://docs.google.com/spreadsheets/d/1MjHtlUikwobi2MaWJgy7tfLeBmhj1u-dRFRs_8GwSoA/edit#gid=0"",""Gestores Escolares!D7:J""),4,0),""VERIFICAR CÓD SEC"")"),"(77) 9 8109-4450")</f>
        <v>(77) 9 8109-4450</v>
      </c>
      <c r="O851" s="82" t="str">
        <f>IFERROR(__xludf.DUMMYFUNCTION("IFERROR(VLOOKUP(D851,
IMPORTRANGE(""https://docs.google.com/spreadsheets/d/1MjHtlUikwobi2MaWJgy7tfLeBmhj1u-dRFRs_8GwSoA/edit#gid=0"",""Gestores Escolares!D7:J""),6,0),""VERIFICAR CÓD SEC"")"),"MARIA LUIZA SANTOS AGUIAR")</f>
        <v>MARIA LUIZA SANTOS AGUIAR</v>
      </c>
      <c r="P851" s="82" t="str">
        <f>IFERROR(__xludf.DUMMYFUNCTION("IFERROR(VLOOKUP(D851,
IMPORTRANGE(""https://docs.google.com/spreadsheets/d/1MjHtlUikwobi2MaWJgy7tfLeBmhj1u-dRFRs_8GwSoA/edit#gid=0"",""Gestores Escolares!D7:J""),7,0),""VERIFICAR CÓD SEC"")"),"(77) 9 8846-5290")</f>
        <v>(77) 9 8846-5290</v>
      </c>
      <c r="Q851" s="82" t="str">
        <f>IFERROR(__xludf.DUMMYFUNCTION("IFERROR(VLOOKUP(D851,
IMPORTRANGE(""https://docs.google.com/spreadsheets/d/1MjHtlUikwobi2MaWJgy7tfLeBmhj1u-dRFRs_8GwSoA/edit#gid=0"",""Gestores Escolares!D7:m""),9,0),""VERIFICAR CÓD SEC"")"),"HILDA ANJOS MACHADO")</f>
        <v>HILDA ANJOS MACHADO</v>
      </c>
      <c r="R851" s="82" t="str">
        <f>IFERROR(__xludf.DUMMYFUNCTION("IFERROR(VLOOKUP(D851,
IMPORTRANGE(""https://docs.google.com/spreadsheets/d/1MjHtlUikwobi2MaWJgy7tfLeBmhj1u-dRFRs_8GwSoA/edit#gid=0"",""Gestores Escolares!D7:m""),10,0),""VERIFICAR CÓD SEC"")"),"(77) 9 8166-2397")</f>
        <v>(77) 9 8166-2397</v>
      </c>
      <c r="S851" s="82"/>
      <c r="T851" s="138">
        <v>10.0</v>
      </c>
      <c r="U851" s="388" t="s">
        <v>11776</v>
      </c>
      <c r="V851" s="106">
        <v>0.0</v>
      </c>
      <c r="W851" s="107">
        <v>0.0</v>
      </c>
      <c r="X851" s="107">
        <v>0.0</v>
      </c>
      <c r="Y851" s="107">
        <v>0.0</v>
      </c>
      <c r="Z851" s="80">
        <f t="shared" si="1"/>
        <v>0</v>
      </c>
      <c r="AA851" s="106">
        <v>0.0</v>
      </c>
      <c r="AB851" s="107">
        <v>0.0</v>
      </c>
      <c r="AC851" s="107">
        <v>0.0</v>
      </c>
      <c r="AD851" s="107">
        <v>0.0</v>
      </c>
      <c r="AE851" s="80">
        <f t="shared" si="2"/>
        <v>0</v>
      </c>
      <c r="AF851" s="140">
        <v>31.0</v>
      </c>
      <c r="AG851" s="109">
        <v>95.0</v>
      </c>
      <c r="AH851" s="109">
        <v>0.0</v>
      </c>
      <c r="AI851" s="141">
        <v>198.0</v>
      </c>
      <c r="AJ851" s="80">
        <f t="shared" si="3"/>
        <v>324</v>
      </c>
      <c r="AK851" s="140">
        <v>0.0</v>
      </c>
      <c r="AL851" s="109">
        <v>0.0</v>
      </c>
      <c r="AM851" s="141">
        <v>0.0</v>
      </c>
      <c r="AN851" s="80">
        <f t="shared" si="4"/>
        <v>0</v>
      </c>
      <c r="AO851" s="140">
        <v>0.0</v>
      </c>
      <c r="AP851" s="109">
        <v>0.0</v>
      </c>
      <c r="AQ851" s="109">
        <v>47.0</v>
      </c>
      <c r="AR851" s="80">
        <f t="shared" si="5"/>
        <v>47</v>
      </c>
      <c r="AS851" s="110">
        <v>0.0</v>
      </c>
      <c r="AT851" s="110">
        <v>0.0</v>
      </c>
      <c r="AU851" s="110">
        <v>28.0</v>
      </c>
      <c r="AV851" s="142">
        <v>68.0</v>
      </c>
      <c r="AW851" s="80">
        <f t="shared" si="6"/>
        <v>96</v>
      </c>
      <c r="AX851" s="113">
        <f t="shared" si="7"/>
        <v>467</v>
      </c>
      <c r="AY851" s="117">
        <f t="shared" si="8"/>
        <v>392</v>
      </c>
      <c r="AZ851" s="120">
        <f t="shared" si="9"/>
        <v>75</v>
      </c>
      <c r="BA851" s="115">
        <v>0.0</v>
      </c>
      <c r="BB851" s="89">
        <f t="shared" si="10"/>
        <v>467</v>
      </c>
      <c r="BC851" s="132" t="s">
        <v>178</v>
      </c>
      <c r="BD851" s="132" t="s">
        <v>178</v>
      </c>
      <c r="BE851" s="132" t="s">
        <v>178</v>
      </c>
      <c r="BF851" s="156"/>
      <c r="BG851" s="83">
        <v>1168039.0</v>
      </c>
      <c r="BH851" s="98"/>
      <c r="BI851" s="98">
        <v>9.0</v>
      </c>
      <c r="BJ851" s="98" t="s">
        <v>162</v>
      </c>
      <c r="BK851" s="99">
        <f t="shared" si="11"/>
        <v>266</v>
      </c>
      <c r="BL851" s="99">
        <f t="shared" si="12"/>
        <v>126</v>
      </c>
      <c r="BM851" s="99" t="str">
        <f>IFERROR(__xludf.DUMMYFUNCTION("IFERROR(VLOOKUP(BG851,IMPORTRANGE(""https://docs.google.com/spreadsheets/d/1juPI-Fb8LD0YtltB2mlGEnp_R3UVu1t3wSFPzgCyHXE/edit?gid=0#gid=0"",""GERAL!A2:C""),3,0),""-"")"),"-")</f>
        <v>-</v>
      </c>
    </row>
    <row r="852" ht="15.75" customHeight="1">
      <c r="A852" s="111" t="s">
        <v>973</v>
      </c>
      <c r="B852" s="83" t="s">
        <v>4144</v>
      </c>
      <c r="C852" s="83" t="s">
        <v>164</v>
      </c>
      <c r="D852" s="112">
        <v>1168039.0</v>
      </c>
      <c r="E852" s="83">
        <v>1179338.0</v>
      </c>
      <c r="F852" s="98">
        <v>2.9490634E7</v>
      </c>
      <c r="G852" s="184" t="s">
        <v>4152</v>
      </c>
      <c r="H852" s="91" t="s">
        <v>4154</v>
      </c>
      <c r="I852" s="172" t="s">
        <v>149</v>
      </c>
      <c r="J852" s="83" t="s">
        <v>767</v>
      </c>
      <c r="K852" s="83" t="s">
        <v>168</v>
      </c>
      <c r="L852" s="83" t="s">
        <v>169</v>
      </c>
      <c r="M852" s="82" t="str">
        <f>IFERROR(__xludf.DUMMYFUNCTION("IFERROR(VLOOKUP(D852,
IMPORTRANGE(""https://docs.google.com/spreadsheets/d/1MjHtlUikwobi2MaWJgy7tfLeBmhj1u-dRFRs_8GwSoA/edit#gid=0"",""Gestores Escolares!D7:J""),3,0),""VERIFICAR CÓD SEC"")"),"MARIA CARMEM COSTA BRITO")</f>
        <v>MARIA CARMEM COSTA BRITO</v>
      </c>
      <c r="N852" s="82" t="str">
        <f>IFERROR(__xludf.DUMMYFUNCTION("IFERROR(VLOOKUP(D852,
IMPORTRANGE(""https://docs.google.com/spreadsheets/d/1MjHtlUikwobi2MaWJgy7tfLeBmhj1u-dRFRs_8GwSoA/edit#gid=0"",""Gestores Escolares!D7:J""),4,0),""VERIFICAR CÓD SEC"")"),"(77) 9 8109-4450")</f>
        <v>(77) 9 8109-4450</v>
      </c>
      <c r="O852" s="82" t="str">
        <f>IFERROR(__xludf.DUMMYFUNCTION("IFERROR(VLOOKUP(D852,
IMPORTRANGE(""https://docs.google.com/spreadsheets/d/1MjHtlUikwobi2MaWJgy7tfLeBmhj1u-dRFRs_8GwSoA/edit#gid=0"",""Gestores Escolares!D7:J""),6,0),""VERIFICAR CÓD SEC"")"),"MARIA LUIZA SANTOS AGUIAR")</f>
        <v>MARIA LUIZA SANTOS AGUIAR</v>
      </c>
      <c r="P852" s="82" t="str">
        <f>IFERROR(__xludf.DUMMYFUNCTION("IFERROR(VLOOKUP(D852,
IMPORTRANGE(""https://docs.google.com/spreadsheets/d/1MjHtlUikwobi2MaWJgy7tfLeBmhj1u-dRFRs_8GwSoA/edit#gid=0"",""Gestores Escolares!D7:J""),7,0),""VERIFICAR CÓD SEC"")"),"(77) 9 8846-5290")</f>
        <v>(77) 9 8846-5290</v>
      </c>
      <c r="Q852" s="82" t="str">
        <f>IFERROR(__xludf.DUMMYFUNCTION("IFERROR(VLOOKUP(D852,
IMPORTRANGE(""https://docs.google.com/spreadsheets/d/1MjHtlUikwobi2MaWJgy7tfLeBmhj1u-dRFRs_8GwSoA/edit#gid=0"",""Gestores Escolares!D7:m""),9,0),""VERIFICAR CÓD SEC"")"),"HILDA ANJOS MACHADO")</f>
        <v>HILDA ANJOS MACHADO</v>
      </c>
      <c r="R852" s="82" t="str">
        <f>IFERROR(__xludf.DUMMYFUNCTION("IFERROR(VLOOKUP(D852,
IMPORTRANGE(""https://docs.google.com/spreadsheets/d/1MjHtlUikwobi2MaWJgy7tfLeBmhj1u-dRFRs_8GwSoA/edit#gid=0"",""Gestores Escolares!D7:m""),10,0),""VERIFICAR CÓD SEC"")"),"(77) 9 8166-2397")</f>
        <v>(77) 9 8166-2397</v>
      </c>
      <c r="S852" s="82"/>
      <c r="T852" s="138">
        <v>4.0</v>
      </c>
      <c r="U852" s="145">
        <v>4.0</v>
      </c>
      <c r="V852" s="106">
        <v>0.0</v>
      </c>
      <c r="W852" s="107">
        <v>0.0</v>
      </c>
      <c r="X852" s="107">
        <v>0.0</v>
      </c>
      <c r="Y852" s="107">
        <v>0.0</v>
      </c>
      <c r="Z852" s="80">
        <f t="shared" si="1"/>
        <v>0</v>
      </c>
      <c r="AA852" s="106">
        <v>0.0</v>
      </c>
      <c r="AB852" s="107">
        <v>0.0</v>
      </c>
      <c r="AC852" s="107">
        <v>0.0</v>
      </c>
      <c r="AD852" s="107">
        <v>0.0</v>
      </c>
      <c r="AE852" s="80">
        <f t="shared" si="2"/>
        <v>0</v>
      </c>
      <c r="AF852" s="140">
        <v>0.0</v>
      </c>
      <c r="AG852" s="109">
        <v>0.0</v>
      </c>
      <c r="AH852" s="109">
        <v>0.0</v>
      </c>
      <c r="AI852" s="141">
        <v>0.0</v>
      </c>
      <c r="AJ852" s="80">
        <f t="shared" si="3"/>
        <v>0</v>
      </c>
      <c r="AK852" s="140">
        <v>0.0</v>
      </c>
      <c r="AL852" s="109">
        <v>0.0</v>
      </c>
      <c r="AM852" s="141">
        <v>0.0</v>
      </c>
      <c r="AN852" s="80">
        <f t="shared" si="4"/>
        <v>0</v>
      </c>
      <c r="AO852" s="140">
        <v>0.0</v>
      </c>
      <c r="AP852" s="109">
        <v>0.0</v>
      </c>
      <c r="AQ852" s="109">
        <v>52.0</v>
      </c>
      <c r="AR852" s="80">
        <f t="shared" si="5"/>
        <v>52</v>
      </c>
      <c r="AS852" s="110">
        <v>0.0</v>
      </c>
      <c r="AT852" s="110">
        <v>0.0</v>
      </c>
      <c r="AU852" s="110">
        <v>0.0</v>
      </c>
      <c r="AV852" s="142">
        <v>0.0</v>
      </c>
      <c r="AW852" s="80">
        <f t="shared" si="6"/>
        <v>0</v>
      </c>
      <c r="AX852" s="113">
        <f t="shared" si="7"/>
        <v>52</v>
      </c>
      <c r="AY852" s="117">
        <f t="shared" si="8"/>
        <v>0</v>
      </c>
      <c r="AZ852" s="120">
        <f t="shared" si="9"/>
        <v>52</v>
      </c>
      <c r="BA852" s="115">
        <v>0.0</v>
      </c>
      <c r="BB852" s="89">
        <f t="shared" si="10"/>
        <v>52</v>
      </c>
      <c r="BC852" s="132" t="s">
        <v>373</v>
      </c>
      <c r="BD852" s="132" t="s">
        <v>178</v>
      </c>
      <c r="BE852" s="132" t="s">
        <v>178</v>
      </c>
      <c r="BF852" s="156"/>
      <c r="BG852" s="83">
        <v>1179338.0</v>
      </c>
      <c r="BH852" s="112"/>
      <c r="BI852" s="112">
        <v>4.0</v>
      </c>
      <c r="BJ852" s="98" t="s">
        <v>155</v>
      </c>
      <c r="BK852" s="99">
        <f t="shared" si="11"/>
        <v>0</v>
      </c>
      <c r="BL852" s="99">
        <f t="shared" si="12"/>
        <v>0</v>
      </c>
      <c r="BM852" s="99" t="str">
        <f>IFERROR(__xludf.DUMMYFUNCTION("IFERROR(VLOOKUP(BG852,IMPORTRANGE(""https://docs.google.com/spreadsheets/d/1juPI-Fb8LD0YtltB2mlGEnp_R3UVu1t3wSFPzgCyHXE/edit?gid=0#gid=0"",""GERAL!A2:C""),3,0),""-"")"),"CAMPO")</f>
        <v>CAMPO</v>
      </c>
    </row>
    <row r="853" ht="15.75" customHeight="1">
      <c r="A853" s="111" t="s">
        <v>973</v>
      </c>
      <c r="B853" s="83" t="s">
        <v>4144</v>
      </c>
      <c r="C853" s="83" t="s">
        <v>164</v>
      </c>
      <c r="D853" s="112">
        <v>1168039.0</v>
      </c>
      <c r="E853" s="83">
        <v>1178754.0</v>
      </c>
      <c r="F853" s="98">
        <v>2.9490626E7</v>
      </c>
      <c r="G853" s="184" t="s">
        <v>4162</v>
      </c>
      <c r="H853" s="91" t="s">
        <v>4163</v>
      </c>
      <c r="I853" s="172" t="s">
        <v>4164</v>
      </c>
      <c r="J853" s="83" t="s">
        <v>705</v>
      </c>
      <c r="K853" s="83" t="s">
        <v>168</v>
      </c>
      <c r="L853" s="83" t="s">
        <v>169</v>
      </c>
      <c r="M853" s="82" t="str">
        <f>IFERROR(__xludf.DUMMYFUNCTION("IFERROR(VLOOKUP(D853,
IMPORTRANGE(""https://docs.google.com/spreadsheets/d/1MjHtlUikwobi2MaWJgy7tfLeBmhj1u-dRFRs_8GwSoA/edit#gid=0"",""Gestores Escolares!D7:J""),3,0),""VERIFICAR CÓD SEC"")"),"MARIA CARMEM COSTA BRITO")</f>
        <v>MARIA CARMEM COSTA BRITO</v>
      </c>
      <c r="N853" s="82" t="str">
        <f>IFERROR(__xludf.DUMMYFUNCTION("IFERROR(VLOOKUP(D853,
IMPORTRANGE(""https://docs.google.com/spreadsheets/d/1MjHtlUikwobi2MaWJgy7tfLeBmhj1u-dRFRs_8GwSoA/edit#gid=0"",""Gestores Escolares!D7:J""),4,0),""VERIFICAR CÓD SEC"")"),"(77) 9 8109-4450")</f>
        <v>(77) 9 8109-4450</v>
      </c>
      <c r="O853" s="82" t="str">
        <f>IFERROR(__xludf.DUMMYFUNCTION("IFERROR(VLOOKUP(D853,
IMPORTRANGE(""https://docs.google.com/spreadsheets/d/1MjHtlUikwobi2MaWJgy7tfLeBmhj1u-dRFRs_8GwSoA/edit#gid=0"",""Gestores Escolares!D7:J""),6,0),""VERIFICAR CÓD SEC"")"),"MARIA LUIZA SANTOS AGUIAR")</f>
        <v>MARIA LUIZA SANTOS AGUIAR</v>
      </c>
      <c r="P853" s="82" t="str">
        <f>IFERROR(__xludf.DUMMYFUNCTION("IFERROR(VLOOKUP(D853,
IMPORTRANGE(""https://docs.google.com/spreadsheets/d/1MjHtlUikwobi2MaWJgy7tfLeBmhj1u-dRFRs_8GwSoA/edit#gid=0"",""Gestores Escolares!D7:J""),7,0),""VERIFICAR CÓD SEC"")"),"(77) 9 8846-5290")</f>
        <v>(77) 9 8846-5290</v>
      </c>
      <c r="Q853" s="82" t="str">
        <f>IFERROR(__xludf.DUMMYFUNCTION("IFERROR(VLOOKUP(D853,
IMPORTRANGE(""https://docs.google.com/spreadsheets/d/1MjHtlUikwobi2MaWJgy7tfLeBmhj1u-dRFRs_8GwSoA/edit#gid=0"",""Gestores Escolares!D7:m""),9,0),""VERIFICAR CÓD SEC"")"),"HILDA ANJOS MACHADO")</f>
        <v>HILDA ANJOS MACHADO</v>
      </c>
      <c r="R853" s="82" t="str">
        <f>IFERROR(__xludf.DUMMYFUNCTION("IFERROR(VLOOKUP(D853,
IMPORTRANGE(""https://docs.google.com/spreadsheets/d/1MjHtlUikwobi2MaWJgy7tfLeBmhj1u-dRFRs_8GwSoA/edit#gid=0"",""Gestores Escolares!D7:m""),10,0),""VERIFICAR CÓD SEC"")"),"(77) 9 8166-2397")</f>
        <v>(77) 9 8166-2397</v>
      </c>
      <c r="S853" s="82"/>
      <c r="T853" s="138">
        <v>4.0</v>
      </c>
      <c r="U853" s="145">
        <v>4.0</v>
      </c>
      <c r="V853" s="106">
        <v>0.0</v>
      </c>
      <c r="W853" s="107">
        <v>0.0</v>
      </c>
      <c r="X853" s="107">
        <v>0.0</v>
      </c>
      <c r="Y853" s="107">
        <v>0.0</v>
      </c>
      <c r="Z853" s="80">
        <f t="shared" si="1"/>
        <v>0</v>
      </c>
      <c r="AA853" s="106">
        <v>0.0</v>
      </c>
      <c r="AB853" s="107">
        <v>0.0</v>
      </c>
      <c r="AC853" s="107">
        <v>0.0</v>
      </c>
      <c r="AD853" s="107">
        <v>0.0</v>
      </c>
      <c r="AE853" s="80">
        <f t="shared" si="2"/>
        <v>0</v>
      </c>
      <c r="AF853" s="140">
        <v>0.0</v>
      </c>
      <c r="AG853" s="109">
        <v>60.0</v>
      </c>
      <c r="AH853" s="109">
        <v>0.0</v>
      </c>
      <c r="AI853" s="141">
        <v>0.0</v>
      </c>
      <c r="AJ853" s="80">
        <f t="shared" si="3"/>
        <v>60</v>
      </c>
      <c r="AK853" s="140">
        <v>0.0</v>
      </c>
      <c r="AL853" s="109">
        <v>0.0</v>
      </c>
      <c r="AM853" s="141">
        <v>0.0</v>
      </c>
      <c r="AN853" s="80">
        <f t="shared" si="4"/>
        <v>0</v>
      </c>
      <c r="AO853" s="140">
        <v>0.0</v>
      </c>
      <c r="AP853" s="109">
        <v>0.0</v>
      </c>
      <c r="AQ853" s="109">
        <v>0.0</v>
      </c>
      <c r="AR853" s="80">
        <f t="shared" si="5"/>
        <v>0</v>
      </c>
      <c r="AS853" s="110">
        <v>0.0</v>
      </c>
      <c r="AT853" s="110">
        <v>0.0</v>
      </c>
      <c r="AU853" s="110">
        <v>0.0</v>
      </c>
      <c r="AV853" s="142">
        <v>0.0</v>
      </c>
      <c r="AW853" s="80">
        <f t="shared" si="6"/>
        <v>0</v>
      </c>
      <c r="AX853" s="113">
        <f t="shared" si="7"/>
        <v>60</v>
      </c>
      <c r="AY853" s="117">
        <f t="shared" si="8"/>
        <v>60</v>
      </c>
      <c r="AZ853" s="120">
        <f t="shared" si="9"/>
        <v>0</v>
      </c>
      <c r="BA853" s="115">
        <v>0.0</v>
      </c>
      <c r="BB853" s="89">
        <f t="shared" si="10"/>
        <v>60</v>
      </c>
      <c r="BC853" s="132" t="s">
        <v>373</v>
      </c>
      <c r="BD853" s="132" t="s">
        <v>178</v>
      </c>
      <c r="BE853" s="132" t="s">
        <v>178</v>
      </c>
      <c r="BF853" s="123"/>
      <c r="BG853" s="83">
        <v>1178754.0</v>
      </c>
      <c r="BH853" s="112"/>
      <c r="BI853" s="112">
        <v>4.0</v>
      </c>
      <c r="BJ853" s="98" t="s">
        <v>155</v>
      </c>
      <c r="BK853" s="99">
        <f t="shared" si="11"/>
        <v>0</v>
      </c>
      <c r="BL853" s="99">
        <f t="shared" si="12"/>
        <v>60</v>
      </c>
      <c r="BM853" s="99" t="str">
        <f>IFERROR(__xludf.DUMMYFUNCTION("IFERROR(VLOOKUP(BG853,IMPORTRANGE(""https://docs.google.com/spreadsheets/d/1juPI-Fb8LD0YtltB2mlGEnp_R3UVu1t3wSFPzgCyHXE/edit?gid=0#gid=0"",""GERAL!A2:C""),3,0),""-"")"),"CAMPO")</f>
        <v>CAMPO</v>
      </c>
    </row>
    <row r="854" ht="15.75" customHeight="1">
      <c r="A854" s="111" t="s">
        <v>973</v>
      </c>
      <c r="B854" s="83" t="s">
        <v>4144</v>
      </c>
      <c r="C854" s="83" t="s">
        <v>164</v>
      </c>
      <c r="D854" s="112">
        <v>1168039.0</v>
      </c>
      <c r="E854" s="83">
        <v>1178753.0</v>
      </c>
      <c r="F854" s="98">
        <v>2.9490618E7</v>
      </c>
      <c r="G854" s="184" t="s">
        <v>4165</v>
      </c>
      <c r="H854" s="91" t="s">
        <v>4166</v>
      </c>
      <c r="I854" s="172" t="s">
        <v>4167</v>
      </c>
      <c r="J854" s="83" t="s">
        <v>222</v>
      </c>
      <c r="K854" s="83" t="s">
        <v>168</v>
      </c>
      <c r="L854" s="83" t="s">
        <v>169</v>
      </c>
      <c r="M854" s="82" t="str">
        <f>IFERROR(__xludf.DUMMYFUNCTION("IFERROR(VLOOKUP(D854,
IMPORTRANGE(""https://docs.google.com/spreadsheets/d/1MjHtlUikwobi2MaWJgy7tfLeBmhj1u-dRFRs_8GwSoA/edit#gid=0"",""Gestores Escolares!D7:J""),3,0),""VERIFICAR CÓD SEC"")"),"MARIA CARMEM COSTA BRITO")</f>
        <v>MARIA CARMEM COSTA BRITO</v>
      </c>
      <c r="N854" s="82" t="str">
        <f>IFERROR(__xludf.DUMMYFUNCTION("IFERROR(VLOOKUP(D854,
IMPORTRANGE(""https://docs.google.com/spreadsheets/d/1MjHtlUikwobi2MaWJgy7tfLeBmhj1u-dRFRs_8GwSoA/edit#gid=0"",""Gestores Escolares!D7:J""),4,0),""VERIFICAR CÓD SEC"")"),"(77) 9 8109-4450")</f>
        <v>(77) 9 8109-4450</v>
      </c>
      <c r="O854" s="82" t="str">
        <f>IFERROR(__xludf.DUMMYFUNCTION("IFERROR(VLOOKUP(D854,
IMPORTRANGE(""https://docs.google.com/spreadsheets/d/1MjHtlUikwobi2MaWJgy7tfLeBmhj1u-dRFRs_8GwSoA/edit#gid=0"",""Gestores Escolares!D7:J""),6,0),""VERIFICAR CÓD SEC"")"),"MARIA LUIZA SANTOS AGUIAR")</f>
        <v>MARIA LUIZA SANTOS AGUIAR</v>
      </c>
      <c r="P854" s="82" t="str">
        <f>IFERROR(__xludf.DUMMYFUNCTION("IFERROR(VLOOKUP(D854,
IMPORTRANGE(""https://docs.google.com/spreadsheets/d/1MjHtlUikwobi2MaWJgy7tfLeBmhj1u-dRFRs_8GwSoA/edit#gid=0"",""Gestores Escolares!D7:J""),7,0),""VERIFICAR CÓD SEC"")"),"(77) 9 8846-5290")</f>
        <v>(77) 9 8846-5290</v>
      </c>
      <c r="Q854" s="82" t="str">
        <f>IFERROR(__xludf.DUMMYFUNCTION("IFERROR(VLOOKUP(D854,
IMPORTRANGE(""https://docs.google.com/spreadsheets/d/1MjHtlUikwobi2MaWJgy7tfLeBmhj1u-dRFRs_8GwSoA/edit#gid=0"",""Gestores Escolares!D7:m""),9,0),""VERIFICAR CÓD SEC"")"),"HILDA ANJOS MACHADO")</f>
        <v>HILDA ANJOS MACHADO</v>
      </c>
      <c r="R854" s="82" t="str">
        <f>IFERROR(__xludf.DUMMYFUNCTION("IFERROR(VLOOKUP(D854,
IMPORTRANGE(""https://docs.google.com/spreadsheets/d/1MjHtlUikwobi2MaWJgy7tfLeBmhj1u-dRFRs_8GwSoA/edit#gid=0"",""Gestores Escolares!D7:m""),10,0),""VERIFICAR CÓD SEC"")"),"(77) 9 8166-2397")</f>
        <v>(77) 9 8166-2397</v>
      </c>
      <c r="S854" s="82"/>
      <c r="T854" s="138">
        <v>5.0</v>
      </c>
      <c r="U854" s="145">
        <v>5.0</v>
      </c>
      <c r="V854" s="106">
        <v>0.0</v>
      </c>
      <c r="W854" s="107">
        <v>0.0</v>
      </c>
      <c r="X854" s="107">
        <v>0.0</v>
      </c>
      <c r="Y854" s="107">
        <v>0.0</v>
      </c>
      <c r="Z854" s="80">
        <f t="shared" si="1"/>
        <v>0</v>
      </c>
      <c r="AA854" s="106">
        <v>0.0</v>
      </c>
      <c r="AB854" s="107">
        <v>0.0</v>
      </c>
      <c r="AC854" s="107">
        <v>0.0</v>
      </c>
      <c r="AD854" s="107">
        <v>0.0</v>
      </c>
      <c r="AE854" s="80">
        <f t="shared" si="2"/>
        <v>0</v>
      </c>
      <c r="AF854" s="140">
        <v>0.0</v>
      </c>
      <c r="AG854" s="109">
        <v>76.0</v>
      </c>
      <c r="AH854" s="109">
        <v>0.0</v>
      </c>
      <c r="AI854" s="141">
        <v>0.0</v>
      </c>
      <c r="AJ854" s="80">
        <f t="shared" si="3"/>
        <v>76</v>
      </c>
      <c r="AK854" s="140">
        <v>0.0</v>
      </c>
      <c r="AL854" s="109">
        <v>0.0</v>
      </c>
      <c r="AM854" s="141">
        <v>0.0</v>
      </c>
      <c r="AN854" s="80">
        <f t="shared" si="4"/>
        <v>0</v>
      </c>
      <c r="AO854" s="140">
        <v>0.0</v>
      </c>
      <c r="AP854" s="109">
        <v>0.0</v>
      </c>
      <c r="AQ854" s="109">
        <v>0.0</v>
      </c>
      <c r="AR854" s="80">
        <f t="shared" si="5"/>
        <v>0</v>
      </c>
      <c r="AS854" s="110">
        <v>0.0</v>
      </c>
      <c r="AT854" s="110">
        <v>0.0</v>
      </c>
      <c r="AU854" s="110">
        <v>0.0</v>
      </c>
      <c r="AV854" s="142">
        <v>0.0</v>
      </c>
      <c r="AW854" s="80">
        <f t="shared" si="6"/>
        <v>0</v>
      </c>
      <c r="AX854" s="113">
        <f t="shared" si="7"/>
        <v>76</v>
      </c>
      <c r="AY854" s="117">
        <f t="shared" si="8"/>
        <v>76</v>
      </c>
      <c r="AZ854" s="120">
        <f t="shared" si="9"/>
        <v>0</v>
      </c>
      <c r="BA854" s="115">
        <v>0.0</v>
      </c>
      <c r="BB854" s="89">
        <f t="shared" si="10"/>
        <v>76</v>
      </c>
      <c r="BC854" s="132" t="s">
        <v>373</v>
      </c>
      <c r="BD854" s="132" t="s">
        <v>178</v>
      </c>
      <c r="BE854" s="132" t="s">
        <v>178</v>
      </c>
      <c r="BF854" s="123"/>
      <c r="BG854" s="83">
        <v>1178753.0</v>
      </c>
      <c r="BH854" s="112"/>
      <c r="BI854" s="112">
        <v>5.0</v>
      </c>
      <c r="BJ854" s="98" t="s">
        <v>155</v>
      </c>
      <c r="BK854" s="99">
        <f t="shared" si="11"/>
        <v>0</v>
      </c>
      <c r="BL854" s="99">
        <f t="shared" si="12"/>
        <v>76</v>
      </c>
      <c r="BM854" s="99" t="str">
        <f>IFERROR(__xludf.DUMMYFUNCTION("IFERROR(VLOOKUP(BG854,IMPORTRANGE(""https://docs.google.com/spreadsheets/d/1juPI-Fb8LD0YtltB2mlGEnp_R3UVu1t3wSFPzgCyHXE/edit?gid=0#gid=0"",""GERAL!A2:C""),3,0),""-"")"),"CAMPO")</f>
        <v>CAMPO</v>
      </c>
    </row>
    <row r="855" ht="15.75" customHeight="1">
      <c r="A855" s="111" t="s">
        <v>973</v>
      </c>
      <c r="B855" s="83" t="s">
        <v>4168</v>
      </c>
      <c r="C855" s="83" t="s">
        <v>68</v>
      </c>
      <c r="D855" s="112">
        <v>1178218.0</v>
      </c>
      <c r="E855" s="83"/>
      <c r="F855" s="83">
        <v>2.9443334E7</v>
      </c>
      <c r="G855" s="119" t="s">
        <v>4169</v>
      </c>
      <c r="H855" s="91" t="s">
        <v>4170</v>
      </c>
      <c r="I855" s="172" t="s">
        <v>4171</v>
      </c>
      <c r="J855" s="83" t="s">
        <v>150</v>
      </c>
      <c r="K855" s="83" t="s">
        <v>151</v>
      </c>
      <c r="L855" s="83" t="s">
        <v>76</v>
      </c>
      <c r="M855" s="82" t="str">
        <f>IFERROR(__xludf.DUMMYFUNCTION("IFERROR(VLOOKUP(D855,
IMPORTRANGE(""https://docs.google.com/spreadsheets/d/1MjHtlUikwobi2MaWJgy7tfLeBmhj1u-dRFRs_8GwSoA/edit#gid=0"",""Gestores Escolares!D7:J""),3,0),""VERIFICAR CÓD SEC"")"),"ANDREIA PEREIRA ROCHA")</f>
        <v>ANDREIA PEREIRA ROCHA</v>
      </c>
      <c r="N855" s="82" t="str">
        <f>IFERROR(__xludf.DUMMYFUNCTION("IFERROR(VLOOKUP(D855,
IMPORTRANGE(""https://docs.google.com/spreadsheets/d/1MjHtlUikwobi2MaWJgy7tfLeBmhj1u-dRFRs_8GwSoA/edit#gid=0"",""Gestores Escolares!D7:J""),4,0),""VERIFICAR CÓD SEC"")"),"(77) 9 9134-7076")</f>
        <v>(77) 9 9134-7076</v>
      </c>
      <c r="O855" s="82" t="str">
        <f>IFERROR(__xludf.DUMMYFUNCTION("IFERROR(VLOOKUP(D855,
IMPORTRANGE(""https://docs.google.com/spreadsheets/d/1MjHtlUikwobi2MaWJgy7tfLeBmhj1u-dRFRs_8GwSoA/edit#gid=0"",""Gestores Escolares!D7:J""),6,0),""VERIFICAR CÓD SEC"")"),"KARINA RODRIGUES BOTELHO")</f>
        <v>KARINA RODRIGUES BOTELHO</v>
      </c>
      <c r="P855" s="82" t="str">
        <f>IFERROR(__xludf.DUMMYFUNCTION("IFERROR(VLOOKUP(D855,
IMPORTRANGE(""https://docs.google.com/spreadsheets/d/1MjHtlUikwobi2MaWJgy7tfLeBmhj1u-dRFRs_8GwSoA/edit#gid=0"",""Gestores Escolares!D7:J""),7,0),""VERIFICAR CÓD SEC"")"),"(77) 9 9128-6429
(77) 9 9115-5526")</f>
        <v>(77) 9 9128-6429
(77) 9 9115-5526</v>
      </c>
      <c r="Q855" s="82" t="str">
        <f>IFERROR(__xludf.DUMMYFUNCTION("IFERROR(VLOOKUP(D855,
IMPORTRANGE(""https://docs.google.com/spreadsheets/d/1MjHtlUikwobi2MaWJgy7tfLeBmhj1u-dRFRs_8GwSoA/edit#gid=0"",""Gestores Escolares!D7:m""),9,0),""VERIFICAR CÓD SEC"")"),"")</f>
        <v/>
      </c>
      <c r="R855" s="82" t="str">
        <f>IFERROR(__xludf.DUMMYFUNCTION("IFERROR(VLOOKUP(D855,
IMPORTRANGE(""https://docs.google.com/spreadsheets/d/1MjHtlUikwobi2MaWJgy7tfLeBmhj1u-dRFRs_8GwSoA/edit#gid=0"",""Gestores Escolares!D7:m""),10,0),""VERIFICAR CÓD SEC"")"),"")</f>
        <v/>
      </c>
      <c r="S855" s="82"/>
      <c r="T855" s="138">
        <v>7.0</v>
      </c>
      <c r="U855" s="145" t="s">
        <v>11800</v>
      </c>
      <c r="V855" s="106">
        <v>0.0</v>
      </c>
      <c r="W855" s="107">
        <v>0.0</v>
      </c>
      <c r="X855" s="107">
        <v>0.0</v>
      </c>
      <c r="Y855" s="107">
        <v>0.0</v>
      </c>
      <c r="Z855" s="80">
        <f t="shared" si="1"/>
        <v>0</v>
      </c>
      <c r="AA855" s="106">
        <v>0.0</v>
      </c>
      <c r="AB855" s="107">
        <v>0.0</v>
      </c>
      <c r="AC855" s="107">
        <v>0.0</v>
      </c>
      <c r="AD855" s="107">
        <v>0.0</v>
      </c>
      <c r="AE855" s="80">
        <f t="shared" si="2"/>
        <v>0</v>
      </c>
      <c r="AF855" s="140">
        <v>34.0</v>
      </c>
      <c r="AG855" s="109">
        <v>37.0</v>
      </c>
      <c r="AH855" s="109">
        <v>0.0</v>
      </c>
      <c r="AI855" s="141">
        <v>172.0</v>
      </c>
      <c r="AJ855" s="80">
        <f t="shared" si="3"/>
        <v>243</v>
      </c>
      <c r="AK855" s="140">
        <v>0.0</v>
      </c>
      <c r="AL855" s="109">
        <v>0.0</v>
      </c>
      <c r="AM855" s="141">
        <v>0.0</v>
      </c>
      <c r="AN855" s="80">
        <f t="shared" si="4"/>
        <v>0</v>
      </c>
      <c r="AO855" s="140">
        <v>0.0</v>
      </c>
      <c r="AP855" s="109">
        <v>0.0</v>
      </c>
      <c r="AQ855" s="109">
        <v>51.0</v>
      </c>
      <c r="AR855" s="80">
        <f t="shared" si="5"/>
        <v>51</v>
      </c>
      <c r="AS855" s="110">
        <v>0.0</v>
      </c>
      <c r="AT855" s="110">
        <v>82.0</v>
      </c>
      <c r="AU855" s="110">
        <v>0.0</v>
      </c>
      <c r="AV855" s="142">
        <v>0.0</v>
      </c>
      <c r="AW855" s="80">
        <f t="shared" si="6"/>
        <v>82</v>
      </c>
      <c r="AX855" s="113">
        <f t="shared" si="7"/>
        <v>376</v>
      </c>
      <c r="AY855" s="117">
        <f t="shared" si="8"/>
        <v>325</v>
      </c>
      <c r="AZ855" s="120">
        <f t="shared" si="9"/>
        <v>51</v>
      </c>
      <c r="BA855" s="115">
        <v>0.0</v>
      </c>
      <c r="BB855" s="89">
        <f t="shared" si="10"/>
        <v>376</v>
      </c>
      <c r="BC855" s="132" t="s">
        <v>178</v>
      </c>
      <c r="BD855" s="132" t="s">
        <v>178</v>
      </c>
      <c r="BE855" s="132" t="s">
        <v>178</v>
      </c>
      <c r="BF855" s="123"/>
      <c r="BG855" s="83">
        <v>1178218.0</v>
      </c>
      <c r="BH855" s="112"/>
      <c r="BI855" s="112">
        <v>7.0</v>
      </c>
      <c r="BJ855" s="98" t="s">
        <v>176</v>
      </c>
      <c r="BK855" s="99">
        <f t="shared" si="11"/>
        <v>172</v>
      </c>
      <c r="BL855" s="99">
        <f t="shared" si="12"/>
        <v>153</v>
      </c>
      <c r="BM855" s="99" t="str">
        <f>IFERROR(__xludf.DUMMYFUNCTION("IFERROR(VLOOKUP(BG855,IMPORTRANGE(""https://docs.google.com/spreadsheets/d/1juPI-Fb8LD0YtltB2mlGEnp_R3UVu1t3wSFPzgCyHXE/edit?gid=0#gid=0"",""GERAL!A2:C""),3,0),""-"")"),"-")</f>
        <v>-</v>
      </c>
    </row>
    <row r="856" ht="15.75" customHeight="1">
      <c r="A856" s="111" t="s">
        <v>973</v>
      </c>
      <c r="B856" s="83" t="s">
        <v>4173</v>
      </c>
      <c r="C856" s="83" t="s">
        <v>68</v>
      </c>
      <c r="D856" s="112">
        <v>1140606.0</v>
      </c>
      <c r="E856" s="83"/>
      <c r="F856" s="83">
        <v>2.9248132E7</v>
      </c>
      <c r="G856" s="147" t="s">
        <v>4177</v>
      </c>
      <c r="H856" s="91" t="s">
        <v>4179</v>
      </c>
      <c r="I856" s="136" t="s">
        <v>149</v>
      </c>
      <c r="J856" s="136" t="s">
        <v>150</v>
      </c>
      <c r="K856" s="83" t="s">
        <v>151</v>
      </c>
      <c r="L856" s="83" t="s">
        <v>152</v>
      </c>
      <c r="M856" s="82" t="str">
        <f>IFERROR(__xludf.DUMMYFUNCTION("IFERROR(VLOOKUP(D856,
IMPORTRANGE(""https://docs.google.com/spreadsheets/d/1MjHtlUikwobi2MaWJgy7tfLeBmhj1u-dRFRs_8GwSoA/edit#gid=0"",""Gestores Escolares!D7:J""),3,0),""VERIFICAR CÓD SEC"")"),"LUIZ PEREIRA DOS SANTOS")</f>
        <v>LUIZ PEREIRA DOS SANTOS</v>
      </c>
      <c r="N856" s="82" t="str">
        <f>IFERROR(__xludf.DUMMYFUNCTION("IFERROR(VLOOKUP(D856,
IMPORTRANGE(""https://docs.google.com/spreadsheets/d/1MjHtlUikwobi2MaWJgy7tfLeBmhj1u-dRFRs_8GwSoA/edit#gid=0"",""Gestores Escolares!D7:J""),4,0),""VERIFICAR CÓD SEC"")"),"(77) 9 9111-8207")</f>
        <v>(77) 9 9111-8207</v>
      </c>
      <c r="O856" s="82" t="str">
        <f>IFERROR(__xludf.DUMMYFUNCTION("IFERROR(VLOOKUP(D856,
IMPORTRANGE(""https://docs.google.com/spreadsheets/d/1MjHtlUikwobi2MaWJgy7tfLeBmhj1u-dRFRs_8GwSoA/edit#gid=0"",""Gestores Escolares!D7:J""),6,0),""VERIFICAR CÓD SEC"")"),"INA TELMA FERNANDES MOREIRA SILVA")</f>
        <v>INA TELMA FERNANDES MOREIRA SILVA</v>
      </c>
      <c r="P856" s="82" t="str">
        <f>IFERROR(__xludf.DUMMYFUNCTION("IFERROR(VLOOKUP(D856,
IMPORTRANGE(""https://docs.google.com/spreadsheets/d/1MjHtlUikwobi2MaWJgy7tfLeBmhj1u-dRFRs_8GwSoA/edit#gid=0"",""Gestores Escolares!D7:J""),7,0),""VERIFICAR CÓD SEC"")"),"(77) 9 9123-7976")</f>
        <v>(77) 9 9123-7976</v>
      </c>
      <c r="Q856" s="82" t="str">
        <f>IFERROR(__xludf.DUMMYFUNCTION("IFERROR(VLOOKUP(D856,
IMPORTRANGE(""https://docs.google.com/spreadsheets/d/1MjHtlUikwobi2MaWJgy7tfLeBmhj1u-dRFRs_8GwSoA/edit#gid=0"",""Gestores Escolares!D7:m""),9,0),""VERIFICAR CÓD SEC"")"),"")</f>
        <v/>
      </c>
      <c r="R856" s="82" t="str">
        <f>IFERROR(__xludf.DUMMYFUNCTION("IFERROR(VLOOKUP(D856,
IMPORTRANGE(""https://docs.google.com/spreadsheets/d/1MjHtlUikwobi2MaWJgy7tfLeBmhj1u-dRFRs_8GwSoA/edit#gid=0"",""Gestores Escolares!D7:m""),10,0),""VERIFICAR CÓD SEC"")"),"")</f>
        <v/>
      </c>
      <c r="S856" s="82"/>
      <c r="T856" s="138">
        <v>8.0</v>
      </c>
      <c r="U856" s="470" t="s">
        <v>11809</v>
      </c>
      <c r="V856" s="106">
        <v>0.0</v>
      </c>
      <c r="W856" s="107">
        <v>0.0</v>
      </c>
      <c r="X856" s="107">
        <v>0.0</v>
      </c>
      <c r="Y856" s="107">
        <v>0.0</v>
      </c>
      <c r="Z856" s="80">
        <f t="shared" si="1"/>
        <v>0</v>
      </c>
      <c r="AA856" s="106">
        <v>0.0</v>
      </c>
      <c r="AB856" s="107">
        <v>0.0</v>
      </c>
      <c r="AC856" s="107">
        <v>0.0</v>
      </c>
      <c r="AD856" s="107">
        <v>0.0</v>
      </c>
      <c r="AE856" s="80">
        <f t="shared" si="2"/>
        <v>0</v>
      </c>
      <c r="AF856" s="140">
        <v>28.0</v>
      </c>
      <c r="AG856" s="109">
        <v>176.0</v>
      </c>
      <c r="AH856" s="109">
        <v>0.0</v>
      </c>
      <c r="AI856" s="141">
        <v>85.0</v>
      </c>
      <c r="AJ856" s="80">
        <f t="shared" si="3"/>
        <v>289</v>
      </c>
      <c r="AK856" s="140">
        <v>0.0</v>
      </c>
      <c r="AL856" s="109">
        <v>0.0</v>
      </c>
      <c r="AM856" s="141">
        <v>0.0</v>
      </c>
      <c r="AN856" s="80">
        <f t="shared" si="4"/>
        <v>0</v>
      </c>
      <c r="AO856" s="140">
        <v>0.0</v>
      </c>
      <c r="AP856" s="109">
        <v>0.0</v>
      </c>
      <c r="AQ856" s="109">
        <v>76.0</v>
      </c>
      <c r="AR856" s="80">
        <f t="shared" si="5"/>
        <v>76</v>
      </c>
      <c r="AS856" s="110">
        <v>19.0</v>
      </c>
      <c r="AT856" s="110">
        <v>0.0</v>
      </c>
      <c r="AU856" s="110">
        <v>0.0</v>
      </c>
      <c r="AV856" s="142">
        <v>29.0</v>
      </c>
      <c r="AW856" s="80">
        <f t="shared" si="6"/>
        <v>48</v>
      </c>
      <c r="AX856" s="113">
        <f t="shared" si="7"/>
        <v>413</v>
      </c>
      <c r="AY856" s="117">
        <f t="shared" si="8"/>
        <v>337</v>
      </c>
      <c r="AZ856" s="120">
        <f t="shared" si="9"/>
        <v>76</v>
      </c>
      <c r="BA856" s="115">
        <v>0.0</v>
      </c>
      <c r="BB856" s="89">
        <f t="shared" si="10"/>
        <v>413</v>
      </c>
      <c r="BC856" s="132" t="s">
        <v>178</v>
      </c>
      <c r="BD856" s="132" t="s">
        <v>178</v>
      </c>
      <c r="BE856" s="132" t="s">
        <v>178</v>
      </c>
      <c r="BF856" s="156"/>
      <c r="BG856" s="83">
        <v>1140606.0</v>
      </c>
      <c r="BH856" s="112"/>
      <c r="BI856" s="112">
        <v>8.0</v>
      </c>
      <c r="BJ856" s="98" t="s">
        <v>155</v>
      </c>
      <c r="BK856" s="99">
        <f t="shared" si="11"/>
        <v>114</v>
      </c>
      <c r="BL856" s="99">
        <f t="shared" si="12"/>
        <v>223</v>
      </c>
      <c r="BM856" s="99" t="str">
        <f>IFERROR(__xludf.DUMMYFUNCTION("IFERROR(VLOOKUP(BG856,IMPORTRANGE(""https://docs.google.com/spreadsheets/d/1juPI-Fb8LD0YtltB2mlGEnp_R3UVu1t3wSFPzgCyHXE/edit?gid=0#gid=0"",""GERAL!A2:C""),3,0),""-"")"),"-")</f>
        <v>-</v>
      </c>
    </row>
    <row r="857" ht="15.75" customHeight="1">
      <c r="A857" s="111" t="s">
        <v>973</v>
      </c>
      <c r="B857" s="83" t="s">
        <v>4188</v>
      </c>
      <c r="C857" s="83" t="s">
        <v>68</v>
      </c>
      <c r="D857" s="112">
        <v>1173130.0</v>
      </c>
      <c r="E857" s="83"/>
      <c r="F857" s="83">
        <v>2.9237645E7</v>
      </c>
      <c r="G857" s="598" t="s">
        <v>4189</v>
      </c>
      <c r="H857" s="91" t="s">
        <v>4190</v>
      </c>
      <c r="I857" s="83" t="s">
        <v>149</v>
      </c>
      <c r="J857" s="83" t="s">
        <v>150</v>
      </c>
      <c r="K857" s="83" t="s">
        <v>151</v>
      </c>
      <c r="L857" s="83" t="s">
        <v>230</v>
      </c>
      <c r="M857" s="82" t="str">
        <f>IFERROR(__xludf.DUMMYFUNCTION("IFERROR(VLOOKUP(D857,
IMPORTRANGE(""https://docs.google.com/spreadsheets/d/1MjHtlUikwobi2MaWJgy7tfLeBmhj1u-dRFRs_8GwSoA/edit#gid=0"",""Gestores Escolares!D7:J""),3,0),""VERIFICAR CÓD SEC"")"),"THIAGO AMARAL MARTINS")</f>
        <v>THIAGO AMARAL MARTINS</v>
      </c>
      <c r="N857" s="82" t="str">
        <f>IFERROR(__xludf.DUMMYFUNCTION("IFERROR(VLOOKUP(D857,
IMPORTRANGE(""https://docs.google.com/spreadsheets/d/1MjHtlUikwobi2MaWJgy7tfLeBmhj1u-dRFRs_8GwSoA/edit#gid=0"",""Gestores Escolares!D7:J""),4,0),""VERIFICAR CÓD SEC"")"),"(77) 9 9955-7474")</f>
        <v>(77) 9 9955-7474</v>
      </c>
      <c r="O857" s="82" t="str">
        <f>IFERROR(__xludf.DUMMYFUNCTION("IFERROR(VLOOKUP(D857,
IMPORTRANGE(""https://docs.google.com/spreadsheets/d/1MjHtlUikwobi2MaWJgy7tfLeBmhj1u-dRFRs_8GwSoA/edit#gid=0"",""Gestores Escolares!D7:J""),6,0),""VERIFICAR CÓD SEC"")"),"MATEUS ARAUJO DA SILVA")</f>
        <v>MATEUS ARAUJO DA SILVA</v>
      </c>
      <c r="P857" s="82" t="str">
        <f>IFERROR(__xludf.DUMMYFUNCTION("IFERROR(VLOOKUP(D857,
IMPORTRANGE(""https://docs.google.com/spreadsheets/d/1MjHtlUikwobi2MaWJgy7tfLeBmhj1u-dRFRs_8GwSoA/edit#gid=0"",""Gestores Escolares!D7:J""),7,0),""VERIFICAR CÓD SEC"")"),"(77) 9 9122-0709")</f>
        <v>(77) 9 9122-0709</v>
      </c>
      <c r="Q857" s="82" t="str">
        <f>IFERROR(__xludf.DUMMYFUNCTION("IFERROR(VLOOKUP(D857,
IMPORTRANGE(""https://docs.google.com/spreadsheets/d/1MjHtlUikwobi2MaWJgy7tfLeBmhj1u-dRFRs_8GwSoA/edit#gid=0"",""Gestores Escolares!D7:m""),9,0),""VERIFICAR CÓD SEC"")"),"CAIO CESAR SILVA ROCHA")</f>
        <v>CAIO CESAR SILVA ROCHA</v>
      </c>
      <c r="R857" s="82" t="str">
        <f>IFERROR(__xludf.DUMMYFUNCTION("IFERROR(VLOOKUP(D857,
IMPORTRANGE(""https://docs.google.com/spreadsheets/d/1MjHtlUikwobi2MaWJgy7tfLeBmhj1u-dRFRs_8GwSoA/edit#gid=0"",""Gestores Escolares!D7:m""),10,0),""VERIFICAR CÓD SEC"")"),"(77) 9 9204-7751")</f>
        <v>(77) 9 9204-7751</v>
      </c>
      <c r="S857" s="82"/>
      <c r="T857" s="138">
        <v>14.0</v>
      </c>
      <c r="U857" s="416">
        <v>14.0</v>
      </c>
      <c r="V857" s="106">
        <v>0.0</v>
      </c>
      <c r="W857" s="107">
        <v>0.0</v>
      </c>
      <c r="X857" s="107">
        <v>0.0</v>
      </c>
      <c r="Y857" s="107">
        <v>0.0</v>
      </c>
      <c r="Z857" s="80">
        <f t="shared" si="1"/>
        <v>0</v>
      </c>
      <c r="AA857" s="106">
        <v>0.0</v>
      </c>
      <c r="AB857" s="107">
        <v>0.0</v>
      </c>
      <c r="AC857" s="107">
        <v>0.0</v>
      </c>
      <c r="AD857" s="107">
        <v>0.0</v>
      </c>
      <c r="AE857" s="80">
        <f t="shared" si="2"/>
        <v>0</v>
      </c>
      <c r="AF857" s="140">
        <v>304.0</v>
      </c>
      <c r="AG857" s="109">
        <v>255.0</v>
      </c>
      <c r="AH857" s="109">
        <v>0.0</v>
      </c>
      <c r="AI857" s="141">
        <v>232.0</v>
      </c>
      <c r="AJ857" s="80">
        <f t="shared" si="3"/>
        <v>791</v>
      </c>
      <c r="AK857" s="140">
        <v>0.0</v>
      </c>
      <c r="AL857" s="109">
        <v>0.0</v>
      </c>
      <c r="AM857" s="141">
        <v>0.0</v>
      </c>
      <c r="AN857" s="80">
        <f t="shared" si="4"/>
        <v>0</v>
      </c>
      <c r="AO857" s="140">
        <v>0.0</v>
      </c>
      <c r="AP857" s="109">
        <v>0.0</v>
      </c>
      <c r="AQ857" s="109">
        <v>173.0</v>
      </c>
      <c r="AR857" s="80">
        <f t="shared" si="5"/>
        <v>173</v>
      </c>
      <c r="AS857" s="110">
        <v>0.0</v>
      </c>
      <c r="AT857" s="110">
        <v>0.0</v>
      </c>
      <c r="AU857" s="110">
        <v>25.0</v>
      </c>
      <c r="AV857" s="142">
        <v>72.0</v>
      </c>
      <c r="AW857" s="80">
        <f t="shared" si="6"/>
        <v>97</v>
      </c>
      <c r="AX857" s="113">
        <f t="shared" si="7"/>
        <v>1061</v>
      </c>
      <c r="AY857" s="117">
        <f t="shared" si="8"/>
        <v>863</v>
      </c>
      <c r="AZ857" s="120">
        <f t="shared" si="9"/>
        <v>198</v>
      </c>
      <c r="BA857" s="115">
        <v>0.0</v>
      </c>
      <c r="BB857" s="89">
        <f t="shared" si="10"/>
        <v>1061</v>
      </c>
      <c r="BC857" s="132" t="s">
        <v>178</v>
      </c>
      <c r="BD857" s="132" t="s">
        <v>178</v>
      </c>
      <c r="BE857" s="132" t="s">
        <v>178</v>
      </c>
      <c r="BF857" s="156"/>
      <c r="BG857" s="83">
        <v>1173130.0</v>
      </c>
      <c r="BH857" s="112"/>
      <c r="BI857" s="112">
        <v>14.0</v>
      </c>
      <c r="BJ857" s="98" t="s">
        <v>155</v>
      </c>
      <c r="BK857" s="99">
        <f t="shared" si="11"/>
        <v>304</v>
      </c>
      <c r="BL857" s="99">
        <f t="shared" si="12"/>
        <v>559</v>
      </c>
      <c r="BM857" s="99" t="str">
        <f>IFERROR(__xludf.DUMMYFUNCTION("IFERROR(VLOOKUP(BG857,IMPORTRANGE(""https://docs.google.com/spreadsheets/d/1juPI-Fb8LD0YtltB2mlGEnp_R3UVu1t3wSFPzgCyHXE/edit?gid=0#gid=0"",""GERAL!A2:C""),3,0),""-"")"),"-")</f>
        <v>-</v>
      </c>
    </row>
    <row r="858" ht="15.75" customHeight="1">
      <c r="A858" s="111" t="s">
        <v>973</v>
      </c>
      <c r="B858" s="83" t="s">
        <v>4188</v>
      </c>
      <c r="C858" s="83" t="s">
        <v>164</v>
      </c>
      <c r="D858" s="112">
        <v>1173130.0</v>
      </c>
      <c r="E858" s="83">
        <v>1178758.0</v>
      </c>
      <c r="F858" s="98">
        <v>2.949107E7</v>
      </c>
      <c r="G858" s="184" t="s">
        <v>4193</v>
      </c>
      <c r="H858" s="91" t="s">
        <v>4194</v>
      </c>
      <c r="I858" s="172" t="s">
        <v>4195</v>
      </c>
      <c r="J858" s="83" t="s">
        <v>1074</v>
      </c>
      <c r="K858" s="83" t="s">
        <v>168</v>
      </c>
      <c r="L858" s="83" t="s">
        <v>169</v>
      </c>
      <c r="M858" s="82" t="str">
        <f>IFERROR(__xludf.DUMMYFUNCTION("IFERROR(VLOOKUP(D858,
IMPORTRANGE(""https://docs.google.com/spreadsheets/d/1MjHtlUikwobi2MaWJgy7tfLeBmhj1u-dRFRs_8GwSoA/edit#gid=0"",""Gestores Escolares!D7:J""),3,0),""VERIFICAR CÓD SEC"")"),"THIAGO AMARAL MARTINS")</f>
        <v>THIAGO AMARAL MARTINS</v>
      </c>
      <c r="N858" s="82" t="str">
        <f>IFERROR(__xludf.DUMMYFUNCTION("IFERROR(VLOOKUP(D858,
IMPORTRANGE(""https://docs.google.com/spreadsheets/d/1MjHtlUikwobi2MaWJgy7tfLeBmhj1u-dRFRs_8GwSoA/edit#gid=0"",""Gestores Escolares!D7:J""),4,0),""VERIFICAR CÓD SEC"")"),"(77) 9 9955-7474")</f>
        <v>(77) 9 9955-7474</v>
      </c>
      <c r="O858" s="82" t="str">
        <f>IFERROR(__xludf.DUMMYFUNCTION("IFERROR(VLOOKUP(D858,
IMPORTRANGE(""https://docs.google.com/spreadsheets/d/1MjHtlUikwobi2MaWJgy7tfLeBmhj1u-dRFRs_8GwSoA/edit#gid=0"",""Gestores Escolares!D7:J""),6,0),""VERIFICAR CÓD SEC"")"),"MATEUS ARAUJO DA SILVA")</f>
        <v>MATEUS ARAUJO DA SILVA</v>
      </c>
      <c r="P858" s="82" t="str">
        <f>IFERROR(__xludf.DUMMYFUNCTION("IFERROR(VLOOKUP(D858,
IMPORTRANGE(""https://docs.google.com/spreadsheets/d/1MjHtlUikwobi2MaWJgy7tfLeBmhj1u-dRFRs_8GwSoA/edit#gid=0"",""Gestores Escolares!D7:J""),7,0),""VERIFICAR CÓD SEC"")"),"(77) 9 9122-0709")</f>
        <v>(77) 9 9122-0709</v>
      </c>
      <c r="Q858" s="82" t="str">
        <f>IFERROR(__xludf.DUMMYFUNCTION("IFERROR(VLOOKUP(D858,
IMPORTRANGE(""https://docs.google.com/spreadsheets/d/1MjHtlUikwobi2MaWJgy7tfLeBmhj1u-dRFRs_8GwSoA/edit#gid=0"",""Gestores Escolares!D7:m""),9,0),""VERIFICAR CÓD SEC"")"),"CAIO CESAR SILVA ROCHA")</f>
        <v>CAIO CESAR SILVA ROCHA</v>
      </c>
      <c r="R858" s="82" t="str">
        <f>IFERROR(__xludf.DUMMYFUNCTION("IFERROR(VLOOKUP(D858,
IMPORTRANGE(""https://docs.google.com/spreadsheets/d/1MjHtlUikwobi2MaWJgy7tfLeBmhj1u-dRFRs_8GwSoA/edit#gid=0"",""Gestores Escolares!D7:m""),10,0),""VERIFICAR CÓD SEC"")"),"(77) 9 9204-7751")</f>
        <v>(77) 9 9204-7751</v>
      </c>
      <c r="S858" s="82"/>
      <c r="T858" s="138">
        <v>3.0</v>
      </c>
      <c r="U858" s="416">
        <v>3.0</v>
      </c>
      <c r="V858" s="106">
        <v>0.0</v>
      </c>
      <c r="W858" s="107">
        <v>0.0</v>
      </c>
      <c r="X858" s="107">
        <v>0.0</v>
      </c>
      <c r="Y858" s="107">
        <v>0.0</v>
      </c>
      <c r="Z858" s="80">
        <f t="shared" si="1"/>
        <v>0</v>
      </c>
      <c r="AA858" s="106">
        <v>0.0</v>
      </c>
      <c r="AB858" s="107">
        <v>0.0</v>
      </c>
      <c r="AC858" s="107">
        <v>0.0</v>
      </c>
      <c r="AD858" s="107">
        <v>0.0</v>
      </c>
      <c r="AE858" s="80">
        <f t="shared" si="2"/>
        <v>0</v>
      </c>
      <c r="AF858" s="140">
        <v>0.0</v>
      </c>
      <c r="AG858" s="109">
        <v>72.0</v>
      </c>
      <c r="AH858" s="109">
        <v>0.0</v>
      </c>
      <c r="AI858" s="141">
        <v>0.0</v>
      </c>
      <c r="AJ858" s="80">
        <f t="shared" si="3"/>
        <v>72</v>
      </c>
      <c r="AK858" s="140">
        <v>0.0</v>
      </c>
      <c r="AL858" s="109">
        <v>0.0</v>
      </c>
      <c r="AM858" s="141">
        <v>0.0</v>
      </c>
      <c r="AN858" s="80">
        <f t="shared" si="4"/>
        <v>0</v>
      </c>
      <c r="AO858" s="140">
        <v>0.0</v>
      </c>
      <c r="AP858" s="109">
        <v>0.0</v>
      </c>
      <c r="AQ858" s="109">
        <v>0.0</v>
      </c>
      <c r="AR858" s="80">
        <f t="shared" si="5"/>
        <v>0</v>
      </c>
      <c r="AS858" s="110">
        <v>0.0</v>
      </c>
      <c r="AT858" s="110">
        <v>0.0</v>
      </c>
      <c r="AU858" s="110">
        <v>0.0</v>
      </c>
      <c r="AV858" s="142">
        <v>0.0</v>
      </c>
      <c r="AW858" s="80">
        <f t="shared" si="6"/>
        <v>0</v>
      </c>
      <c r="AX858" s="113">
        <f t="shared" si="7"/>
        <v>72</v>
      </c>
      <c r="AY858" s="117">
        <f t="shared" si="8"/>
        <v>72</v>
      </c>
      <c r="AZ858" s="120">
        <f t="shared" si="9"/>
        <v>0</v>
      </c>
      <c r="BA858" s="115">
        <v>0.0</v>
      </c>
      <c r="BB858" s="89">
        <f t="shared" si="10"/>
        <v>72</v>
      </c>
      <c r="BC858" s="132" t="s">
        <v>373</v>
      </c>
      <c r="BD858" s="132" t="s">
        <v>178</v>
      </c>
      <c r="BE858" s="132" t="s">
        <v>178</v>
      </c>
      <c r="BF858" s="123"/>
      <c r="BG858" s="83">
        <v>1178758.0</v>
      </c>
      <c r="BH858" s="112"/>
      <c r="BI858" s="112">
        <v>3.0</v>
      </c>
      <c r="BJ858" s="98" t="s">
        <v>155</v>
      </c>
      <c r="BK858" s="99">
        <f t="shared" si="11"/>
        <v>0</v>
      </c>
      <c r="BL858" s="99">
        <f t="shared" si="12"/>
        <v>72</v>
      </c>
      <c r="BM858" s="99" t="str">
        <f>IFERROR(__xludf.DUMMYFUNCTION("IFERROR(VLOOKUP(BG858,IMPORTRANGE(""https://docs.google.com/spreadsheets/d/1juPI-Fb8LD0YtltB2mlGEnp_R3UVu1t3wSFPzgCyHXE/edit?gid=0#gid=0"",""GERAL!A2:C""),3,0),""-"")"),"CAMPO")</f>
        <v>CAMPO</v>
      </c>
    </row>
    <row r="859" ht="15.75" customHeight="1">
      <c r="A859" s="111" t="s">
        <v>973</v>
      </c>
      <c r="B859" s="83" t="s">
        <v>4188</v>
      </c>
      <c r="C859" s="83" t="s">
        <v>164</v>
      </c>
      <c r="D859" s="112">
        <v>1173130.0</v>
      </c>
      <c r="E859" s="83">
        <v>1178757.0</v>
      </c>
      <c r="F859" s="98">
        <v>2.9491061E7</v>
      </c>
      <c r="G859" s="184" t="s">
        <v>4198</v>
      </c>
      <c r="H859" s="91" t="s">
        <v>4199</v>
      </c>
      <c r="I859" s="83" t="s">
        <v>4201</v>
      </c>
      <c r="J859" s="83" t="s">
        <v>784</v>
      </c>
      <c r="K859" s="83" t="s">
        <v>168</v>
      </c>
      <c r="L859" s="83" t="s">
        <v>169</v>
      </c>
      <c r="M859" s="82" t="str">
        <f>IFERROR(__xludf.DUMMYFUNCTION("IFERROR(VLOOKUP(D859,
IMPORTRANGE(""https://docs.google.com/spreadsheets/d/1MjHtlUikwobi2MaWJgy7tfLeBmhj1u-dRFRs_8GwSoA/edit#gid=0"",""Gestores Escolares!D7:J""),3,0),""VERIFICAR CÓD SEC"")"),"THIAGO AMARAL MARTINS")</f>
        <v>THIAGO AMARAL MARTINS</v>
      </c>
      <c r="N859" s="82" t="str">
        <f>IFERROR(__xludf.DUMMYFUNCTION("IFERROR(VLOOKUP(D859,
IMPORTRANGE(""https://docs.google.com/spreadsheets/d/1MjHtlUikwobi2MaWJgy7tfLeBmhj1u-dRFRs_8GwSoA/edit#gid=0"",""Gestores Escolares!D7:J""),4,0),""VERIFICAR CÓD SEC"")"),"(77) 9 9955-7474")</f>
        <v>(77) 9 9955-7474</v>
      </c>
      <c r="O859" s="82" t="str">
        <f>IFERROR(__xludf.DUMMYFUNCTION("IFERROR(VLOOKUP(D859,
IMPORTRANGE(""https://docs.google.com/spreadsheets/d/1MjHtlUikwobi2MaWJgy7tfLeBmhj1u-dRFRs_8GwSoA/edit#gid=0"",""Gestores Escolares!D7:J""),6,0),""VERIFICAR CÓD SEC"")"),"MATEUS ARAUJO DA SILVA")</f>
        <v>MATEUS ARAUJO DA SILVA</v>
      </c>
      <c r="P859" s="82" t="str">
        <f>IFERROR(__xludf.DUMMYFUNCTION("IFERROR(VLOOKUP(D859,
IMPORTRANGE(""https://docs.google.com/spreadsheets/d/1MjHtlUikwobi2MaWJgy7tfLeBmhj1u-dRFRs_8GwSoA/edit#gid=0"",""Gestores Escolares!D7:J""),7,0),""VERIFICAR CÓD SEC"")"),"(77) 9 9122-0709")</f>
        <v>(77) 9 9122-0709</v>
      </c>
      <c r="Q859" s="82" t="str">
        <f>IFERROR(__xludf.DUMMYFUNCTION("IFERROR(VLOOKUP(D859,
IMPORTRANGE(""https://docs.google.com/spreadsheets/d/1MjHtlUikwobi2MaWJgy7tfLeBmhj1u-dRFRs_8GwSoA/edit#gid=0"",""Gestores Escolares!D7:m""),9,0),""VERIFICAR CÓD SEC"")"),"CAIO CESAR SILVA ROCHA")</f>
        <v>CAIO CESAR SILVA ROCHA</v>
      </c>
      <c r="R859" s="82" t="str">
        <f>IFERROR(__xludf.DUMMYFUNCTION("IFERROR(VLOOKUP(D859,
IMPORTRANGE(""https://docs.google.com/spreadsheets/d/1MjHtlUikwobi2MaWJgy7tfLeBmhj1u-dRFRs_8GwSoA/edit#gid=0"",""Gestores Escolares!D7:m""),10,0),""VERIFICAR CÓD SEC"")"),"(77) 9 9204-7751")</f>
        <v>(77) 9 9204-7751</v>
      </c>
      <c r="S859" s="82"/>
      <c r="T859" s="138">
        <v>3.0</v>
      </c>
      <c r="U859" s="139">
        <v>3.0</v>
      </c>
      <c r="V859" s="106">
        <v>0.0</v>
      </c>
      <c r="W859" s="107">
        <v>0.0</v>
      </c>
      <c r="X859" s="107">
        <v>0.0</v>
      </c>
      <c r="Y859" s="107">
        <v>0.0</v>
      </c>
      <c r="Z859" s="80">
        <f t="shared" si="1"/>
        <v>0</v>
      </c>
      <c r="AA859" s="106">
        <v>0.0</v>
      </c>
      <c r="AB859" s="107">
        <v>0.0</v>
      </c>
      <c r="AC859" s="107">
        <v>0.0</v>
      </c>
      <c r="AD859" s="107">
        <v>0.0</v>
      </c>
      <c r="AE859" s="80">
        <f t="shared" si="2"/>
        <v>0</v>
      </c>
      <c r="AF859" s="140">
        <v>62.0</v>
      </c>
      <c r="AG859" s="109">
        <v>50.0</v>
      </c>
      <c r="AH859" s="109">
        <v>0.0</v>
      </c>
      <c r="AI859" s="141">
        <v>0.0</v>
      </c>
      <c r="AJ859" s="80">
        <f t="shared" si="3"/>
        <v>112</v>
      </c>
      <c r="AK859" s="140">
        <v>0.0</v>
      </c>
      <c r="AL859" s="109">
        <v>0.0</v>
      </c>
      <c r="AM859" s="141">
        <v>0.0</v>
      </c>
      <c r="AN859" s="80">
        <f t="shared" si="4"/>
        <v>0</v>
      </c>
      <c r="AO859" s="140">
        <v>0.0</v>
      </c>
      <c r="AP859" s="109">
        <v>0.0</v>
      </c>
      <c r="AQ859" s="109">
        <v>0.0</v>
      </c>
      <c r="AR859" s="80">
        <f t="shared" si="5"/>
        <v>0</v>
      </c>
      <c r="AS859" s="110">
        <v>0.0</v>
      </c>
      <c r="AT859" s="110">
        <v>0.0</v>
      </c>
      <c r="AU859" s="110">
        <v>0.0</v>
      </c>
      <c r="AV859" s="142">
        <v>0.0</v>
      </c>
      <c r="AW859" s="80">
        <f t="shared" si="6"/>
        <v>0</v>
      </c>
      <c r="AX859" s="113">
        <f t="shared" si="7"/>
        <v>112</v>
      </c>
      <c r="AY859" s="117">
        <f t="shared" si="8"/>
        <v>112</v>
      </c>
      <c r="AZ859" s="120">
        <f t="shared" si="9"/>
        <v>0</v>
      </c>
      <c r="BA859" s="115">
        <v>0.0</v>
      </c>
      <c r="BB859" s="89">
        <f t="shared" si="10"/>
        <v>112</v>
      </c>
      <c r="BC859" s="132" t="s">
        <v>373</v>
      </c>
      <c r="BD859" s="132" t="s">
        <v>178</v>
      </c>
      <c r="BE859" s="132" t="s">
        <v>178</v>
      </c>
      <c r="BF859" s="123"/>
      <c r="BG859" s="83">
        <v>1178757.0</v>
      </c>
      <c r="BH859" s="112"/>
      <c r="BI859" s="112">
        <v>3.0</v>
      </c>
      <c r="BJ859" s="98" t="s">
        <v>155</v>
      </c>
      <c r="BK859" s="99">
        <f t="shared" si="11"/>
        <v>0</v>
      </c>
      <c r="BL859" s="99">
        <f t="shared" si="12"/>
        <v>112</v>
      </c>
      <c r="BM859" s="99" t="str">
        <f>IFERROR(__xludf.DUMMYFUNCTION("IFERROR(VLOOKUP(BG859,IMPORTRANGE(""https://docs.google.com/spreadsheets/d/1juPI-Fb8LD0YtltB2mlGEnp_R3UVu1t3wSFPzgCyHXE/edit?gid=0#gid=0"",""GERAL!A2:C""),3,0),""-"")"),"CAMPO")</f>
        <v>CAMPO</v>
      </c>
    </row>
    <row r="860" ht="15.75" customHeight="1">
      <c r="A860" s="111" t="s">
        <v>973</v>
      </c>
      <c r="B860" s="83" t="s">
        <v>4188</v>
      </c>
      <c r="C860" s="83" t="s">
        <v>164</v>
      </c>
      <c r="D860" s="112">
        <v>1173130.0</v>
      </c>
      <c r="E860" s="83">
        <v>1178756.0</v>
      </c>
      <c r="F860" s="98">
        <v>2.9491053E7</v>
      </c>
      <c r="G860" s="279" t="s">
        <v>4202</v>
      </c>
      <c r="H860" s="91" t="s">
        <v>4203</v>
      </c>
      <c r="I860" s="83" t="s">
        <v>4205</v>
      </c>
      <c r="J860" s="83" t="s">
        <v>3227</v>
      </c>
      <c r="K860" s="83" t="s">
        <v>168</v>
      </c>
      <c r="L860" s="83" t="s">
        <v>169</v>
      </c>
      <c r="M860" s="82" t="str">
        <f>IFERROR(__xludf.DUMMYFUNCTION("IFERROR(VLOOKUP(D860,
IMPORTRANGE(""https://docs.google.com/spreadsheets/d/1MjHtlUikwobi2MaWJgy7tfLeBmhj1u-dRFRs_8GwSoA/edit#gid=0"",""Gestores Escolares!D7:J""),3,0),""VERIFICAR CÓD SEC"")"),"THIAGO AMARAL MARTINS")</f>
        <v>THIAGO AMARAL MARTINS</v>
      </c>
      <c r="N860" s="82" t="str">
        <f>IFERROR(__xludf.DUMMYFUNCTION("IFERROR(VLOOKUP(D860,
IMPORTRANGE(""https://docs.google.com/spreadsheets/d/1MjHtlUikwobi2MaWJgy7tfLeBmhj1u-dRFRs_8GwSoA/edit#gid=0"",""Gestores Escolares!D7:J""),4,0),""VERIFICAR CÓD SEC"")"),"(77) 9 9955-7474")</f>
        <v>(77) 9 9955-7474</v>
      </c>
      <c r="O860" s="82" t="str">
        <f>IFERROR(__xludf.DUMMYFUNCTION("IFERROR(VLOOKUP(D860,
IMPORTRANGE(""https://docs.google.com/spreadsheets/d/1MjHtlUikwobi2MaWJgy7tfLeBmhj1u-dRFRs_8GwSoA/edit#gid=0"",""Gestores Escolares!D7:J""),6,0),""VERIFICAR CÓD SEC"")"),"MATEUS ARAUJO DA SILVA")</f>
        <v>MATEUS ARAUJO DA SILVA</v>
      </c>
      <c r="P860" s="82" t="str">
        <f>IFERROR(__xludf.DUMMYFUNCTION("IFERROR(VLOOKUP(D860,
IMPORTRANGE(""https://docs.google.com/spreadsheets/d/1MjHtlUikwobi2MaWJgy7tfLeBmhj1u-dRFRs_8GwSoA/edit#gid=0"",""Gestores Escolares!D7:J""),7,0),""VERIFICAR CÓD SEC"")"),"(77) 9 9122-0709")</f>
        <v>(77) 9 9122-0709</v>
      </c>
      <c r="Q860" s="82" t="str">
        <f>IFERROR(__xludf.DUMMYFUNCTION("IFERROR(VLOOKUP(D860,
IMPORTRANGE(""https://docs.google.com/spreadsheets/d/1MjHtlUikwobi2MaWJgy7tfLeBmhj1u-dRFRs_8GwSoA/edit#gid=0"",""Gestores Escolares!D7:m""),9,0),""VERIFICAR CÓD SEC"")"),"CAIO CESAR SILVA ROCHA")</f>
        <v>CAIO CESAR SILVA ROCHA</v>
      </c>
      <c r="R860" s="82" t="str">
        <f>IFERROR(__xludf.DUMMYFUNCTION("IFERROR(VLOOKUP(D860,
IMPORTRANGE(""https://docs.google.com/spreadsheets/d/1MjHtlUikwobi2MaWJgy7tfLeBmhj1u-dRFRs_8GwSoA/edit#gid=0"",""Gestores Escolares!D7:m""),10,0),""VERIFICAR CÓD SEC"")"),"(77) 9 9204-7751")</f>
        <v>(77) 9 9204-7751</v>
      </c>
      <c r="S860" s="82"/>
      <c r="T860" s="138">
        <v>6.0</v>
      </c>
      <c r="U860" s="139">
        <v>5.0</v>
      </c>
      <c r="V860" s="106">
        <v>0.0</v>
      </c>
      <c r="W860" s="107">
        <v>0.0</v>
      </c>
      <c r="X860" s="107">
        <v>0.0</v>
      </c>
      <c r="Y860" s="107">
        <v>0.0</v>
      </c>
      <c r="Z860" s="80">
        <f t="shared" si="1"/>
        <v>0</v>
      </c>
      <c r="AA860" s="106">
        <v>0.0</v>
      </c>
      <c r="AB860" s="107">
        <v>0.0</v>
      </c>
      <c r="AC860" s="107">
        <v>0.0</v>
      </c>
      <c r="AD860" s="107">
        <v>0.0</v>
      </c>
      <c r="AE860" s="80">
        <f t="shared" si="2"/>
        <v>0</v>
      </c>
      <c r="AF860" s="140">
        <v>58.0</v>
      </c>
      <c r="AG860" s="109">
        <v>55.0</v>
      </c>
      <c r="AH860" s="109">
        <v>98.0</v>
      </c>
      <c r="AI860" s="141">
        <v>0.0</v>
      </c>
      <c r="AJ860" s="80">
        <f t="shared" si="3"/>
        <v>211</v>
      </c>
      <c r="AK860" s="140">
        <v>0.0</v>
      </c>
      <c r="AL860" s="109">
        <v>0.0</v>
      </c>
      <c r="AM860" s="141">
        <v>0.0</v>
      </c>
      <c r="AN860" s="80">
        <f t="shared" si="4"/>
        <v>0</v>
      </c>
      <c r="AO860" s="140">
        <v>0.0</v>
      </c>
      <c r="AP860" s="109">
        <v>0.0</v>
      </c>
      <c r="AQ860" s="109">
        <v>0.0</v>
      </c>
      <c r="AR860" s="80">
        <f t="shared" si="5"/>
        <v>0</v>
      </c>
      <c r="AS860" s="110">
        <v>0.0</v>
      </c>
      <c r="AT860" s="110">
        <v>0.0</v>
      </c>
      <c r="AU860" s="110">
        <v>0.0</v>
      </c>
      <c r="AV860" s="142">
        <v>0.0</v>
      </c>
      <c r="AW860" s="80">
        <f t="shared" si="6"/>
        <v>0</v>
      </c>
      <c r="AX860" s="113">
        <f t="shared" si="7"/>
        <v>211</v>
      </c>
      <c r="AY860" s="117">
        <f t="shared" si="8"/>
        <v>113</v>
      </c>
      <c r="AZ860" s="120">
        <f t="shared" si="9"/>
        <v>98</v>
      </c>
      <c r="BA860" s="115">
        <v>0.0</v>
      </c>
      <c r="BB860" s="89">
        <f t="shared" si="10"/>
        <v>211</v>
      </c>
      <c r="BC860" s="132" t="s">
        <v>373</v>
      </c>
      <c r="BD860" s="132" t="s">
        <v>178</v>
      </c>
      <c r="BE860" s="132" t="s">
        <v>178</v>
      </c>
      <c r="BF860" s="123"/>
      <c r="BG860" s="83">
        <v>1178756.0</v>
      </c>
      <c r="BH860" s="112"/>
      <c r="BI860" s="112">
        <v>5.0</v>
      </c>
      <c r="BJ860" s="98" t="s">
        <v>155</v>
      </c>
      <c r="BK860" s="99">
        <f t="shared" si="11"/>
        <v>0</v>
      </c>
      <c r="BL860" s="99">
        <f t="shared" si="12"/>
        <v>113</v>
      </c>
      <c r="BM860" s="99" t="str">
        <f>IFERROR(__xludf.DUMMYFUNCTION("IFERROR(VLOOKUP(BG860,IMPORTRANGE(""https://docs.google.com/spreadsheets/d/1juPI-Fb8LD0YtltB2mlGEnp_R3UVu1t3wSFPzgCyHXE/edit?gid=0#gid=0"",""GERAL!A2:C""),3,0),""-"")"),"CAMPO")</f>
        <v>CAMPO</v>
      </c>
    </row>
    <row r="861" ht="15.75" customHeight="1">
      <c r="A861" s="111" t="s">
        <v>973</v>
      </c>
      <c r="B861" s="83" t="s">
        <v>4188</v>
      </c>
      <c r="C861" s="83" t="s">
        <v>164</v>
      </c>
      <c r="D861" s="112">
        <v>1173130.0</v>
      </c>
      <c r="E861" s="83">
        <v>1179194.0</v>
      </c>
      <c r="F861" s="98">
        <v>2.9491088E7</v>
      </c>
      <c r="G861" s="184" t="s">
        <v>4213</v>
      </c>
      <c r="H861" s="91" t="s">
        <v>4214</v>
      </c>
      <c r="I861" s="172" t="s">
        <v>4215</v>
      </c>
      <c r="J861" s="83" t="s">
        <v>694</v>
      </c>
      <c r="K861" s="83" t="s">
        <v>168</v>
      </c>
      <c r="L861" s="83" t="s">
        <v>169</v>
      </c>
      <c r="M861" s="82" t="str">
        <f>IFERROR(__xludf.DUMMYFUNCTION("IFERROR(VLOOKUP(D861,
IMPORTRANGE(""https://docs.google.com/spreadsheets/d/1MjHtlUikwobi2MaWJgy7tfLeBmhj1u-dRFRs_8GwSoA/edit#gid=0"",""Gestores Escolares!D7:J""),3,0),""VERIFICAR CÓD SEC"")"),"THIAGO AMARAL MARTINS")</f>
        <v>THIAGO AMARAL MARTINS</v>
      </c>
      <c r="N861" s="82" t="str">
        <f>IFERROR(__xludf.DUMMYFUNCTION("IFERROR(VLOOKUP(D861,
IMPORTRANGE(""https://docs.google.com/spreadsheets/d/1MjHtlUikwobi2MaWJgy7tfLeBmhj1u-dRFRs_8GwSoA/edit#gid=0"",""Gestores Escolares!D7:J""),4,0),""VERIFICAR CÓD SEC"")"),"(77) 9 9955-7474")</f>
        <v>(77) 9 9955-7474</v>
      </c>
      <c r="O861" s="82" t="str">
        <f>IFERROR(__xludf.DUMMYFUNCTION("IFERROR(VLOOKUP(D861,
IMPORTRANGE(""https://docs.google.com/spreadsheets/d/1MjHtlUikwobi2MaWJgy7tfLeBmhj1u-dRFRs_8GwSoA/edit#gid=0"",""Gestores Escolares!D7:J""),6,0),""VERIFICAR CÓD SEC"")"),"MATEUS ARAUJO DA SILVA")</f>
        <v>MATEUS ARAUJO DA SILVA</v>
      </c>
      <c r="P861" s="82" t="str">
        <f>IFERROR(__xludf.DUMMYFUNCTION("IFERROR(VLOOKUP(D861,
IMPORTRANGE(""https://docs.google.com/spreadsheets/d/1MjHtlUikwobi2MaWJgy7tfLeBmhj1u-dRFRs_8GwSoA/edit#gid=0"",""Gestores Escolares!D7:J""),7,0),""VERIFICAR CÓD SEC"")"),"(77) 9 9122-0709")</f>
        <v>(77) 9 9122-0709</v>
      </c>
      <c r="Q861" s="82" t="str">
        <f>IFERROR(__xludf.DUMMYFUNCTION("IFERROR(VLOOKUP(D861,
IMPORTRANGE(""https://docs.google.com/spreadsheets/d/1MjHtlUikwobi2MaWJgy7tfLeBmhj1u-dRFRs_8GwSoA/edit#gid=0"",""Gestores Escolares!D7:m""),9,0),""VERIFICAR CÓD SEC"")"),"CAIO CESAR SILVA ROCHA")</f>
        <v>CAIO CESAR SILVA ROCHA</v>
      </c>
      <c r="R861" s="82" t="str">
        <f>IFERROR(__xludf.DUMMYFUNCTION("IFERROR(VLOOKUP(D861,
IMPORTRANGE(""https://docs.google.com/spreadsheets/d/1MjHtlUikwobi2MaWJgy7tfLeBmhj1u-dRFRs_8GwSoA/edit#gid=0"",""Gestores Escolares!D7:m""),10,0),""VERIFICAR CÓD SEC"")"),"(77) 9 9204-7751")</f>
        <v>(77) 9 9204-7751</v>
      </c>
      <c r="S861" s="82"/>
      <c r="T861" s="138">
        <v>3.0</v>
      </c>
      <c r="U861" s="139">
        <v>2.0</v>
      </c>
      <c r="V861" s="106">
        <v>0.0</v>
      </c>
      <c r="W861" s="107">
        <v>0.0</v>
      </c>
      <c r="X861" s="107">
        <v>0.0</v>
      </c>
      <c r="Y861" s="107">
        <v>0.0</v>
      </c>
      <c r="Z861" s="80">
        <f t="shared" si="1"/>
        <v>0</v>
      </c>
      <c r="AA861" s="106">
        <v>0.0</v>
      </c>
      <c r="AB861" s="107">
        <v>0.0</v>
      </c>
      <c r="AC861" s="107">
        <v>0.0</v>
      </c>
      <c r="AD861" s="107">
        <v>0.0</v>
      </c>
      <c r="AE861" s="80">
        <f t="shared" si="2"/>
        <v>0</v>
      </c>
      <c r="AF861" s="140">
        <v>29.0</v>
      </c>
      <c r="AG861" s="109">
        <v>8.0</v>
      </c>
      <c r="AH861" s="109">
        <v>0.0</v>
      </c>
      <c r="AI861" s="141">
        <v>0.0</v>
      </c>
      <c r="AJ861" s="80">
        <f t="shared" si="3"/>
        <v>37</v>
      </c>
      <c r="AK861" s="140">
        <v>0.0</v>
      </c>
      <c r="AL861" s="109">
        <v>0.0</v>
      </c>
      <c r="AM861" s="141">
        <v>0.0</v>
      </c>
      <c r="AN861" s="80">
        <f t="shared" si="4"/>
        <v>0</v>
      </c>
      <c r="AO861" s="140">
        <v>0.0</v>
      </c>
      <c r="AP861" s="109">
        <v>0.0</v>
      </c>
      <c r="AQ861" s="109">
        <v>0.0</v>
      </c>
      <c r="AR861" s="80">
        <f t="shared" si="5"/>
        <v>0</v>
      </c>
      <c r="AS861" s="110">
        <v>0.0</v>
      </c>
      <c r="AT861" s="110">
        <v>0.0</v>
      </c>
      <c r="AU861" s="110">
        <v>0.0</v>
      </c>
      <c r="AV861" s="142">
        <v>0.0</v>
      </c>
      <c r="AW861" s="80">
        <f t="shared" si="6"/>
        <v>0</v>
      </c>
      <c r="AX861" s="113">
        <f t="shared" si="7"/>
        <v>37</v>
      </c>
      <c r="AY861" s="117">
        <f t="shared" si="8"/>
        <v>37</v>
      </c>
      <c r="AZ861" s="120">
        <f t="shared" si="9"/>
        <v>0</v>
      </c>
      <c r="BA861" s="115">
        <v>0.0</v>
      </c>
      <c r="BB861" s="89">
        <f t="shared" si="10"/>
        <v>37</v>
      </c>
      <c r="BC861" s="132" t="s">
        <v>265</v>
      </c>
      <c r="BD861" s="132" t="s">
        <v>178</v>
      </c>
      <c r="BE861" s="132" t="s">
        <v>178</v>
      </c>
      <c r="BF861" s="123"/>
      <c r="BG861" s="83">
        <v>1179194.0</v>
      </c>
      <c r="BH861" s="112"/>
      <c r="BI861" s="112">
        <v>2.0</v>
      </c>
      <c r="BJ861" s="98" t="s">
        <v>155</v>
      </c>
      <c r="BK861" s="99">
        <f t="shared" si="11"/>
        <v>0</v>
      </c>
      <c r="BL861" s="99">
        <f t="shared" si="12"/>
        <v>37</v>
      </c>
      <c r="BM861" s="99" t="str">
        <f>IFERROR(__xludf.DUMMYFUNCTION("IFERROR(VLOOKUP(BG861,IMPORTRANGE(""https://docs.google.com/spreadsheets/d/1juPI-Fb8LD0YtltB2mlGEnp_R3UVu1t3wSFPzgCyHXE/edit?gid=0#gid=0"",""GERAL!A2:C""),3,0),""-"")"),"QUILOMBOLAS")</f>
        <v>QUILOMBOLAS</v>
      </c>
    </row>
    <row r="862" ht="15.75" customHeight="1">
      <c r="A862" s="111" t="s">
        <v>973</v>
      </c>
      <c r="B862" s="83" t="s">
        <v>4216</v>
      </c>
      <c r="C862" s="83" t="s">
        <v>68</v>
      </c>
      <c r="D862" s="112">
        <v>1124635.0</v>
      </c>
      <c r="E862" s="83"/>
      <c r="F862" s="83">
        <v>2.926166E7</v>
      </c>
      <c r="G862" s="147" t="s">
        <v>4218</v>
      </c>
      <c r="H862" s="108" t="s">
        <v>4219</v>
      </c>
      <c r="I862" s="229" t="s">
        <v>4220</v>
      </c>
      <c r="J862" s="83" t="s">
        <v>150</v>
      </c>
      <c r="K862" s="83" t="s">
        <v>151</v>
      </c>
      <c r="L862" s="83" t="s">
        <v>76</v>
      </c>
      <c r="M862" s="82" t="str">
        <f>IFERROR(__xludf.DUMMYFUNCTION("IFERROR(VLOOKUP(D862,
IMPORTRANGE(""https://docs.google.com/spreadsheets/d/1MjHtlUikwobi2MaWJgy7tfLeBmhj1u-dRFRs_8GwSoA/edit#gid=0"",""Gestores Escolares!D7:J""),3,0),""VERIFICAR CÓD SEC"")"),"FABIO GUIMARAES DE CASTRO")</f>
        <v>FABIO GUIMARAES DE CASTRO</v>
      </c>
      <c r="N862" s="82" t="str">
        <f>IFERROR(__xludf.DUMMYFUNCTION("IFERROR(VLOOKUP(D862,
IMPORTRANGE(""https://docs.google.com/spreadsheets/d/1MjHtlUikwobi2MaWJgy7tfLeBmhj1u-dRFRs_8GwSoA/edit#gid=0"",""Gestores Escolares!D7:J""),4,0),""VERIFICAR CÓD SEC"")"),"(77) 9 9877-6309")</f>
        <v>(77) 9 9877-6309</v>
      </c>
      <c r="O862" s="82" t="str">
        <f>IFERROR(__xludf.DUMMYFUNCTION("IFERROR(VLOOKUP(D862,
IMPORTRANGE(""https://docs.google.com/spreadsheets/d/1MjHtlUikwobi2MaWJgy7tfLeBmhj1u-dRFRs_8GwSoA/edit#gid=0"",""Gestores Escolares!D7:J""),6,0),""VERIFICAR CÓD SEC"")"),"")</f>
        <v/>
      </c>
      <c r="P862" s="82" t="str">
        <f>IFERROR(__xludf.DUMMYFUNCTION("IFERROR(VLOOKUP(D862,
IMPORTRANGE(""https://docs.google.com/spreadsheets/d/1MjHtlUikwobi2MaWJgy7tfLeBmhj1u-dRFRs_8GwSoA/edit#gid=0"",""Gestores Escolares!D7:J""),7,0),""VERIFICAR CÓD SEC"")"),"")</f>
        <v/>
      </c>
      <c r="Q862" s="82" t="str">
        <f>IFERROR(__xludf.DUMMYFUNCTION("IFERROR(VLOOKUP(D862,
IMPORTRANGE(""https://docs.google.com/spreadsheets/d/1MjHtlUikwobi2MaWJgy7tfLeBmhj1u-dRFRs_8GwSoA/edit#gid=0"",""Gestores Escolares!D7:m""),9,0),""VERIFICAR CÓD SEC"")"),"")</f>
        <v/>
      </c>
      <c r="R862" s="82" t="str">
        <f>IFERROR(__xludf.DUMMYFUNCTION("IFERROR(VLOOKUP(D862,
IMPORTRANGE(""https://docs.google.com/spreadsheets/d/1MjHtlUikwobi2MaWJgy7tfLeBmhj1u-dRFRs_8GwSoA/edit#gid=0"",""Gestores Escolares!D7:m""),10,0),""VERIFICAR CÓD SEC"")"),"")</f>
        <v/>
      </c>
      <c r="S862" s="82"/>
      <c r="T862" s="138">
        <v>12.0</v>
      </c>
      <c r="U862" s="217" t="s">
        <v>11877</v>
      </c>
      <c r="V862" s="106">
        <v>0.0</v>
      </c>
      <c r="W862" s="107">
        <v>0.0</v>
      </c>
      <c r="X862" s="107">
        <v>0.0</v>
      </c>
      <c r="Y862" s="107">
        <v>0.0</v>
      </c>
      <c r="Z862" s="80">
        <f t="shared" si="1"/>
        <v>0</v>
      </c>
      <c r="AA862" s="106">
        <v>0.0</v>
      </c>
      <c r="AB862" s="107">
        <v>0.0</v>
      </c>
      <c r="AC862" s="107">
        <v>0.0</v>
      </c>
      <c r="AD862" s="107">
        <v>0.0</v>
      </c>
      <c r="AE862" s="80">
        <f t="shared" si="2"/>
        <v>0</v>
      </c>
      <c r="AF862" s="140">
        <v>0.0</v>
      </c>
      <c r="AG862" s="109">
        <v>0.0</v>
      </c>
      <c r="AH862" s="109">
        <v>0.0</v>
      </c>
      <c r="AI862" s="141">
        <v>180.0</v>
      </c>
      <c r="AJ862" s="80">
        <f t="shared" si="3"/>
        <v>180</v>
      </c>
      <c r="AK862" s="140">
        <v>0.0</v>
      </c>
      <c r="AL862" s="109">
        <v>0.0</v>
      </c>
      <c r="AM862" s="141">
        <v>0.0</v>
      </c>
      <c r="AN862" s="80">
        <f t="shared" si="4"/>
        <v>0</v>
      </c>
      <c r="AO862" s="140">
        <v>0.0</v>
      </c>
      <c r="AP862" s="109">
        <v>0.0</v>
      </c>
      <c r="AQ862" s="109">
        <v>102.0</v>
      </c>
      <c r="AR862" s="80">
        <f t="shared" si="5"/>
        <v>102</v>
      </c>
      <c r="AS862" s="110">
        <v>0.0</v>
      </c>
      <c r="AT862" s="110">
        <v>90.0</v>
      </c>
      <c r="AU862" s="110">
        <v>41.0</v>
      </c>
      <c r="AV862" s="142">
        <v>0.0</v>
      </c>
      <c r="AW862" s="80">
        <f t="shared" si="6"/>
        <v>131</v>
      </c>
      <c r="AX862" s="113">
        <f t="shared" si="7"/>
        <v>413</v>
      </c>
      <c r="AY862" s="117">
        <f t="shared" si="8"/>
        <v>270</v>
      </c>
      <c r="AZ862" s="120">
        <f t="shared" si="9"/>
        <v>143</v>
      </c>
      <c r="BA862" s="115">
        <v>0.0</v>
      </c>
      <c r="BB862" s="89">
        <f t="shared" si="10"/>
        <v>413</v>
      </c>
      <c r="BC862" s="132" t="s">
        <v>178</v>
      </c>
      <c r="BD862" s="132" t="s">
        <v>178</v>
      </c>
      <c r="BE862" s="132" t="s">
        <v>178</v>
      </c>
      <c r="BF862" s="123"/>
      <c r="BG862" s="83">
        <v>1124635.0</v>
      </c>
      <c r="BH862" s="112"/>
      <c r="BI862" s="112">
        <v>7.0</v>
      </c>
      <c r="BJ862" s="98" t="s">
        <v>155</v>
      </c>
      <c r="BK862" s="99">
        <f t="shared" si="11"/>
        <v>180</v>
      </c>
      <c r="BL862" s="99">
        <f t="shared" si="12"/>
        <v>90</v>
      </c>
      <c r="BM862" s="99" t="str">
        <f>IFERROR(__xludf.DUMMYFUNCTION("IFERROR(VLOOKUP(BG862,IMPORTRANGE(""https://docs.google.com/spreadsheets/d/1juPI-Fb8LD0YtltB2mlGEnp_R3UVu1t3wSFPzgCyHXE/edit?gid=0#gid=0"",""GERAL!A2:C""),3,0),""-"")"),"-")</f>
        <v>-</v>
      </c>
    </row>
    <row r="863" ht="15.75" customHeight="1">
      <c r="A863" s="111" t="s">
        <v>973</v>
      </c>
      <c r="B863" s="83" t="s">
        <v>4227</v>
      </c>
      <c r="C863" s="83" t="s">
        <v>68</v>
      </c>
      <c r="D863" s="112">
        <v>1129130.0</v>
      </c>
      <c r="E863" s="83"/>
      <c r="F863" s="83">
        <v>2.9251648E7</v>
      </c>
      <c r="G863" s="184" t="s">
        <v>4228</v>
      </c>
      <c r="H863" s="91" t="s">
        <v>4229</v>
      </c>
      <c r="I863" s="83" t="s">
        <v>149</v>
      </c>
      <c r="J863" s="83" t="s">
        <v>150</v>
      </c>
      <c r="K863" s="83" t="s">
        <v>151</v>
      </c>
      <c r="L863" s="83" t="s">
        <v>152</v>
      </c>
      <c r="M863" s="82" t="str">
        <f>IFERROR(__xludf.DUMMYFUNCTION("IFERROR(VLOOKUP(D863,
IMPORTRANGE(""https://docs.google.com/spreadsheets/d/1MjHtlUikwobi2MaWJgy7tfLeBmhj1u-dRFRs_8GwSoA/edit#gid=0"",""Gestores Escolares!D7:J""),3,0),""VERIFICAR CÓD SEC"")"),"ANDRE MOREIRA BRANDAO SILVA")</f>
        <v>ANDRE MOREIRA BRANDAO SILVA</v>
      </c>
      <c r="N863" s="82" t="str">
        <f>IFERROR(__xludf.DUMMYFUNCTION("IFERROR(VLOOKUP(D863,
IMPORTRANGE(""https://docs.google.com/spreadsheets/d/1MjHtlUikwobi2MaWJgy7tfLeBmhj1u-dRFRs_8GwSoA/edit#gid=0"",""Gestores Escolares!D7:J""),4,0),""VERIFICAR CÓD SEC"")"),"(77) 9 9988-5504")</f>
        <v>(77) 9 9988-5504</v>
      </c>
      <c r="O863" s="82" t="str">
        <f>IFERROR(__xludf.DUMMYFUNCTION("IFERROR(VLOOKUP(D863,
IMPORTRANGE(""https://docs.google.com/spreadsheets/d/1MjHtlUikwobi2MaWJgy7tfLeBmhj1u-dRFRs_8GwSoA/edit#gid=0"",""Gestores Escolares!D7:J""),6,0),""VERIFICAR CÓD SEC"")"),"GERCIVALDA PORTO REGO LARANJEIRA ROCHA")</f>
        <v>GERCIVALDA PORTO REGO LARANJEIRA ROCHA</v>
      </c>
      <c r="P863" s="82" t="str">
        <f>IFERROR(__xludf.DUMMYFUNCTION("IFERROR(VLOOKUP(D863,
IMPORTRANGE(""https://docs.google.com/spreadsheets/d/1MjHtlUikwobi2MaWJgy7tfLeBmhj1u-dRFRs_8GwSoA/edit#gid=0"",""Gestores Escolares!D7:J""),7,0),""VERIFICAR CÓD SEC"")"),"(77) 9 9973-3679")</f>
        <v>(77) 9 9973-3679</v>
      </c>
      <c r="Q863" s="82" t="str">
        <f>IFERROR(__xludf.DUMMYFUNCTION("IFERROR(VLOOKUP(D863,
IMPORTRANGE(""https://docs.google.com/spreadsheets/d/1MjHtlUikwobi2MaWJgy7tfLeBmhj1u-dRFRs_8GwSoA/edit#gid=0"",""Gestores Escolares!D7:m""),9,0),""VERIFICAR CÓD SEC"")"),"MARLI ARAUJO TEIXEIRA")</f>
        <v>MARLI ARAUJO TEIXEIRA</v>
      </c>
      <c r="R863" s="82" t="str">
        <f>IFERROR(__xludf.DUMMYFUNCTION("IFERROR(VLOOKUP(D863,
IMPORTRANGE(""https://docs.google.com/spreadsheets/d/1MjHtlUikwobi2MaWJgy7tfLeBmhj1u-dRFRs_8GwSoA/edit#gid=0"",""Gestores Escolares!D7:m""),10,0),""VERIFICAR CÓD SEC"")")," (77) 9 9854-5263")</f>
        <v> (77) 9 9854-5263</v>
      </c>
      <c r="S863" s="82"/>
      <c r="T863" s="138">
        <v>11.0</v>
      </c>
      <c r="U863" s="217" t="s">
        <v>9230</v>
      </c>
      <c r="V863" s="106">
        <v>0.0</v>
      </c>
      <c r="W863" s="107">
        <v>0.0</v>
      </c>
      <c r="X863" s="107">
        <v>0.0</v>
      </c>
      <c r="Y863" s="107">
        <v>0.0</v>
      </c>
      <c r="Z863" s="80">
        <f t="shared" si="1"/>
        <v>0</v>
      </c>
      <c r="AA863" s="106">
        <v>0.0</v>
      </c>
      <c r="AB863" s="107">
        <v>0.0</v>
      </c>
      <c r="AC863" s="107">
        <v>0.0</v>
      </c>
      <c r="AD863" s="107">
        <v>0.0</v>
      </c>
      <c r="AE863" s="80">
        <f t="shared" si="2"/>
        <v>0</v>
      </c>
      <c r="AF863" s="140">
        <v>105.0</v>
      </c>
      <c r="AG863" s="109">
        <v>156.0</v>
      </c>
      <c r="AH863" s="109">
        <v>0.0</v>
      </c>
      <c r="AI863" s="141">
        <v>215.0</v>
      </c>
      <c r="AJ863" s="80">
        <f t="shared" si="3"/>
        <v>476</v>
      </c>
      <c r="AK863" s="140">
        <v>0.0</v>
      </c>
      <c r="AL863" s="109">
        <v>0.0</v>
      </c>
      <c r="AM863" s="141">
        <v>0.0</v>
      </c>
      <c r="AN863" s="80">
        <f t="shared" si="4"/>
        <v>0</v>
      </c>
      <c r="AO863" s="140">
        <v>0.0</v>
      </c>
      <c r="AP863" s="109">
        <v>0.0</v>
      </c>
      <c r="AQ863" s="109">
        <v>105.0</v>
      </c>
      <c r="AR863" s="80">
        <f t="shared" si="5"/>
        <v>105</v>
      </c>
      <c r="AS863" s="110">
        <v>17.0</v>
      </c>
      <c r="AT863" s="110">
        <v>22.0</v>
      </c>
      <c r="AU863" s="110">
        <v>0.0</v>
      </c>
      <c r="AV863" s="142">
        <v>0.0</v>
      </c>
      <c r="AW863" s="80">
        <f t="shared" si="6"/>
        <v>39</v>
      </c>
      <c r="AX863" s="113">
        <f t="shared" si="7"/>
        <v>620</v>
      </c>
      <c r="AY863" s="117">
        <f t="shared" si="8"/>
        <v>515</v>
      </c>
      <c r="AZ863" s="120">
        <f t="shared" si="9"/>
        <v>105</v>
      </c>
      <c r="BA863" s="115">
        <v>0.0</v>
      </c>
      <c r="BB863" s="89">
        <f t="shared" si="10"/>
        <v>620</v>
      </c>
      <c r="BC863" s="132" t="s">
        <v>178</v>
      </c>
      <c r="BD863" s="132" t="s">
        <v>178</v>
      </c>
      <c r="BE863" s="132" t="s">
        <v>178</v>
      </c>
      <c r="BF863" s="123"/>
      <c r="BG863" s="83">
        <v>1129130.0</v>
      </c>
      <c r="BH863" s="112"/>
      <c r="BI863" s="112">
        <v>6.0</v>
      </c>
      <c r="BJ863" s="98" t="s">
        <v>155</v>
      </c>
      <c r="BK863" s="99">
        <f t="shared" si="11"/>
        <v>215</v>
      </c>
      <c r="BL863" s="99">
        <f t="shared" si="12"/>
        <v>300</v>
      </c>
      <c r="BM863" s="99" t="str">
        <f>IFERROR(__xludf.DUMMYFUNCTION("IFERROR(VLOOKUP(BG863,IMPORTRANGE(""https://docs.google.com/spreadsheets/d/1juPI-Fb8LD0YtltB2mlGEnp_R3UVu1t3wSFPzgCyHXE/edit?gid=0#gid=0"",""GERAL!A2:C""),3,0),""-"")"),"-")</f>
        <v>-</v>
      </c>
    </row>
    <row r="864" ht="15.75" customHeight="1">
      <c r="A864" s="111" t="s">
        <v>973</v>
      </c>
      <c r="B864" s="83" t="s">
        <v>4227</v>
      </c>
      <c r="C864" s="83" t="s">
        <v>164</v>
      </c>
      <c r="D864" s="112">
        <v>1129130.0</v>
      </c>
      <c r="E864" s="83">
        <v>1179021.0</v>
      </c>
      <c r="F864" s="98">
        <v>2.949065E7</v>
      </c>
      <c r="G864" s="184" t="s">
        <v>4233</v>
      </c>
      <c r="H864" s="91" t="s">
        <v>4234</v>
      </c>
      <c r="I864" s="83" t="s">
        <v>149</v>
      </c>
      <c r="J864" s="83" t="s">
        <v>244</v>
      </c>
      <c r="K864" s="83" t="s">
        <v>168</v>
      </c>
      <c r="L864" s="83" t="s">
        <v>169</v>
      </c>
      <c r="M864" s="82" t="str">
        <f>IFERROR(__xludf.DUMMYFUNCTION("IFERROR(VLOOKUP(D864,
IMPORTRANGE(""https://docs.google.com/spreadsheets/d/1MjHtlUikwobi2MaWJgy7tfLeBmhj1u-dRFRs_8GwSoA/edit#gid=0"",""Gestores Escolares!D7:J""),3,0),""VERIFICAR CÓD SEC"")"),"ANDRE MOREIRA BRANDAO SILVA")</f>
        <v>ANDRE MOREIRA BRANDAO SILVA</v>
      </c>
      <c r="N864" s="82" t="str">
        <f>IFERROR(__xludf.DUMMYFUNCTION("IFERROR(VLOOKUP(D864,
IMPORTRANGE(""https://docs.google.com/spreadsheets/d/1MjHtlUikwobi2MaWJgy7tfLeBmhj1u-dRFRs_8GwSoA/edit#gid=0"",""Gestores Escolares!D7:J""),4,0),""VERIFICAR CÓD SEC"")"),"(77) 9 9988-5504")</f>
        <v>(77) 9 9988-5504</v>
      </c>
      <c r="O864" s="82" t="str">
        <f>IFERROR(__xludf.DUMMYFUNCTION("IFERROR(VLOOKUP(D864,
IMPORTRANGE(""https://docs.google.com/spreadsheets/d/1MjHtlUikwobi2MaWJgy7tfLeBmhj1u-dRFRs_8GwSoA/edit#gid=0"",""Gestores Escolares!D7:J""),6,0),""VERIFICAR CÓD SEC"")"),"GERCIVALDA PORTO REGO LARANJEIRA ROCHA")</f>
        <v>GERCIVALDA PORTO REGO LARANJEIRA ROCHA</v>
      </c>
      <c r="P864" s="82" t="str">
        <f>IFERROR(__xludf.DUMMYFUNCTION("IFERROR(VLOOKUP(D864,
IMPORTRANGE(""https://docs.google.com/spreadsheets/d/1MjHtlUikwobi2MaWJgy7tfLeBmhj1u-dRFRs_8GwSoA/edit#gid=0"",""Gestores Escolares!D7:J""),7,0),""VERIFICAR CÓD SEC"")"),"(77) 9 9973-3679")</f>
        <v>(77) 9 9973-3679</v>
      </c>
      <c r="Q864" s="82" t="str">
        <f>IFERROR(__xludf.DUMMYFUNCTION("IFERROR(VLOOKUP(D864,
IMPORTRANGE(""https://docs.google.com/spreadsheets/d/1MjHtlUikwobi2MaWJgy7tfLeBmhj1u-dRFRs_8GwSoA/edit#gid=0"",""Gestores Escolares!D7:m""),9,0),""VERIFICAR CÓD SEC"")"),"MARLI ARAUJO TEIXEIRA")</f>
        <v>MARLI ARAUJO TEIXEIRA</v>
      </c>
      <c r="R864" s="82" t="str">
        <f>IFERROR(__xludf.DUMMYFUNCTION("IFERROR(VLOOKUP(D864,
IMPORTRANGE(""https://docs.google.com/spreadsheets/d/1MjHtlUikwobi2MaWJgy7tfLeBmhj1u-dRFRs_8GwSoA/edit#gid=0"",""Gestores Escolares!D7:m""),10,0),""VERIFICAR CÓD SEC"")")," (77) 9 9854-5263")</f>
        <v> (77) 9 9854-5263</v>
      </c>
      <c r="S864" s="82"/>
      <c r="T864" s="138">
        <v>3.0</v>
      </c>
      <c r="U864" s="403">
        <v>3.0</v>
      </c>
      <c r="V864" s="106">
        <v>0.0</v>
      </c>
      <c r="W864" s="107">
        <v>0.0</v>
      </c>
      <c r="X864" s="107">
        <v>0.0</v>
      </c>
      <c r="Y864" s="107">
        <v>0.0</v>
      </c>
      <c r="Z864" s="80">
        <f t="shared" si="1"/>
        <v>0</v>
      </c>
      <c r="AA864" s="106">
        <v>0.0</v>
      </c>
      <c r="AB864" s="107">
        <v>0.0</v>
      </c>
      <c r="AC864" s="107">
        <v>0.0</v>
      </c>
      <c r="AD864" s="107">
        <v>0.0</v>
      </c>
      <c r="AE864" s="80">
        <f t="shared" si="2"/>
        <v>0</v>
      </c>
      <c r="AF864" s="140">
        <v>0.0</v>
      </c>
      <c r="AG864" s="109">
        <v>0.0</v>
      </c>
      <c r="AH864" s="109">
        <v>0.0</v>
      </c>
      <c r="AI864" s="141">
        <v>0.0</v>
      </c>
      <c r="AJ864" s="80">
        <f t="shared" si="3"/>
        <v>0</v>
      </c>
      <c r="AK864" s="140">
        <v>0.0</v>
      </c>
      <c r="AL864" s="109">
        <v>0.0</v>
      </c>
      <c r="AM864" s="141">
        <v>0.0</v>
      </c>
      <c r="AN864" s="80">
        <f t="shared" si="4"/>
        <v>0</v>
      </c>
      <c r="AO864" s="140">
        <v>0.0</v>
      </c>
      <c r="AP864" s="109">
        <v>0.0</v>
      </c>
      <c r="AQ864" s="109">
        <v>59.0</v>
      </c>
      <c r="AR864" s="80">
        <f t="shared" si="5"/>
        <v>59</v>
      </c>
      <c r="AS864" s="110">
        <v>0.0</v>
      </c>
      <c r="AT864" s="110">
        <v>0.0</v>
      </c>
      <c r="AU864" s="110">
        <v>0.0</v>
      </c>
      <c r="AV864" s="142">
        <v>0.0</v>
      </c>
      <c r="AW864" s="80">
        <f t="shared" si="6"/>
        <v>0</v>
      </c>
      <c r="AX864" s="113">
        <f t="shared" si="7"/>
        <v>59</v>
      </c>
      <c r="AY864" s="117">
        <f t="shared" si="8"/>
        <v>0</v>
      </c>
      <c r="AZ864" s="120">
        <f t="shared" si="9"/>
        <v>59</v>
      </c>
      <c r="BA864" s="115">
        <v>0.0</v>
      </c>
      <c r="BB864" s="89">
        <f t="shared" si="10"/>
        <v>59</v>
      </c>
      <c r="BC864" s="132" t="s">
        <v>373</v>
      </c>
      <c r="BD864" s="132" t="s">
        <v>178</v>
      </c>
      <c r="BE864" s="132" t="s">
        <v>178</v>
      </c>
      <c r="BF864" s="123"/>
      <c r="BG864" s="83">
        <v>1179021.0</v>
      </c>
      <c r="BH864" s="112"/>
      <c r="BI864" s="112">
        <v>3.0</v>
      </c>
      <c r="BJ864" s="98" t="s">
        <v>155</v>
      </c>
      <c r="BK864" s="99">
        <f t="shared" si="11"/>
        <v>0</v>
      </c>
      <c r="BL864" s="99">
        <f t="shared" si="12"/>
        <v>0</v>
      </c>
      <c r="BM864" s="99" t="str">
        <f>IFERROR(__xludf.DUMMYFUNCTION("IFERROR(VLOOKUP(BG864,IMPORTRANGE(""https://docs.google.com/spreadsheets/d/1juPI-Fb8LD0YtltB2mlGEnp_R3UVu1t3wSFPzgCyHXE/edit?gid=0#gid=0"",""GERAL!A2:C""),3,0),""-"")"),"CAMPO")</f>
        <v>CAMPO</v>
      </c>
    </row>
    <row r="865" ht="15.75" customHeight="1">
      <c r="A865" s="111" t="s">
        <v>973</v>
      </c>
      <c r="B865" s="83" t="s">
        <v>4235</v>
      </c>
      <c r="C865" s="83" t="s">
        <v>68</v>
      </c>
      <c r="D865" s="112">
        <v>1176379.0</v>
      </c>
      <c r="E865" s="83"/>
      <c r="F865" s="83">
        <v>2.9359805E7</v>
      </c>
      <c r="G865" s="487" t="s">
        <v>4236</v>
      </c>
      <c r="H865" s="108" t="s">
        <v>4237</v>
      </c>
      <c r="I865" s="98" t="s">
        <v>4238</v>
      </c>
      <c r="J865" s="83" t="s">
        <v>150</v>
      </c>
      <c r="K865" s="83" t="s">
        <v>151</v>
      </c>
      <c r="L865" s="83" t="s">
        <v>230</v>
      </c>
      <c r="M865" s="82" t="str">
        <f>IFERROR(__xludf.DUMMYFUNCTION("IFERROR(VLOOKUP(D865,
IMPORTRANGE(""https://docs.google.com/spreadsheets/d/1MjHtlUikwobi2MaWJgy7tfLeBmhj1u-dRFRs_8GwSoA/edit#gid=0"",""Gestores Escolares!D7:J""),3,0),""VERIFICAR CÓD SEC"")"),"MARIVONE MARTINHO DA SILVA")</f>
        <v>MARIVONE MARTINHO DA SILVA</v>
      </c>
      <c r="N865" s="82" t="str">
        <f>IFERROR(__xludf.DUMMYFUNCTION("IFERROR(VLOOKUP(D865,
IMPORTRANGE(""https://docs.google.com/spreadsheets/d/1MjHtlUikwobi2MaWJgy7tfLeBmhj1u-dRFRs_8GwSoA/edit#gid=0"",""Gestores Escolares!D7:J""),4,0),""VERIFICAR CÓD SEC"")"),"(77) 9 9102-7273")</f>
        <v>(77) 9 9102-7273</v>
      </c>
      <c r="O865" s="82" t="str">
        <f>IFERROR(__xludf.DUMMYFUNCTION("IFERROR(VLOOKUP(D865,
IMPORTRANGE(""https://docs.google.com/spreadsheets/d/1MjHtlUikwobi2MaWJgy7tfLeBmhj1u-dRFRs_8GwSoA/edit#gid=0"",""Gestores Escolares!D7:J""),6,0),""VERIFICAR CÓD SEC"")"),"RENATA VANDILENE GOMES PEREIRA")</f>
        <v>RENATA VANDILENE GOMES PEREIRA</v>
      </c>
      <c r="P865" s="82" t="str">
        <f>IFERROR(__xludf.DUMMYFUNCTION("IFERROR(VLOOKUP(D865,
IMPORTRANGE(""https://docs.google.com/spreadsheets/d/1MjHtlUikwobi2MaWJgy7tfLeBmhj1u-dRFRs_8GwSoA/edit#gid=0"",""Gestores Escolares!D7:J""),7,0),""VERIFICAR CÓD SEC"")"),"(38) 9 9130-5795")</f>
        <v>(38) 9 9130-5795</v>
      </c>
      <c r="Q865" s="82" t="str">
        <f>IFERROR(__xludf.DUMMYFUNCTION("IFERROR(VLOOKUP(D865,
IMPORTRANGE(""https://docs.google.com/spreadsheets/d/1MjHtlUikwobi2MaWJgy7tfLeBmhj1u-dRFRs_8GwSoA/edit#gid=0"",""Gestores Escolares!D7:m""),9,0),""VERIFICAR CÓD SEC"")"),"ROSANE MADALENA LADEIA PEREIRA PRADO")</f>
        <v>ROSANE MADALENA LADEIA PEREIRA PRADO</v>
      </c>
      <c r="R865" s="82" t="str">
        <f>IFERROR(__xludf.DUMMYFUNCTION("IFERROR(VLOOKUP(D865,
IMPORTRANGE(""https://docs.google.com/spreadsheets/d/1MjHtlUikwobi2MaWJgy7tfLeBmhj1u-dRFRs_8GwSoA/edit#gid=0"",""Gestores Escolares!D7:m""),10,0),""VERIFICAR CÓD SEC"")"),"(77) 9 9195-6908")</f>
        <v>(77) 9 9195-6908</v>
      </c>
      <c r="S865" s="82"/>
      <c r="T865" s="138">
        <v>6.0</v>
      </c>
      <c r="U865" s="599">
        <v>12.0</v>
      </c>
      <c r="V865" s="106">
        <v>0.0</v>
      </c>
      <c r="W865" s="107">
        <v>0.0</v>
      </c>
      <c r="X865" s="107">
        <v>0.0</v>
      </c>
      <c r="Y865" s="107">
        <v>0.0</v>
      </c>
      <c r="Z865" s="80">
        <f t="shared" si="1"/>
        <v>0</v>
      </c>
      <c r="AA865" s="106">
        <v>0.0</v>
      </c>
      <c r="AB865" s="107">
        <v>0.0</v>
      </c>
      <c r="AC865" s="107">
        <v>0.0</v>
      </c>
      <c r="AD865" s="107">
        <v>0.0</v>
      </c>
      <c r="AE865" s="80">
        <f t="shared" si="2"/>
        <v>0</v>
      </c>
      <c r="AF865" s="140">
        <v>0.0</v>
      </c>
      <c r="AG865" s="109">
        <v>0.0</v>
      </c>
      <c r="AH865" s="109">
        <v>0.0</v>
      </c>
      <c r="AI865" s="141">
        <v>280.0</v>
      </c>
      <c r="AJ865" s="80">
        <f t="shared" si="3"/>
        <v>280</v>
      </c>
      <c r="AK865" s="140">
        <v>0.0</v>
      </c>
      <c r="AL865" s="109">
        <v>0.0</v>
      </c>
      <c r="AM865" s="141">
        <v>0.0</v>
      </c>
      <c r="AN865" s="80">
        <f t="shared" si="4"/>
        <v>0</v>
      </c>
      <c r="AO865" s="140">
        <v>0.0</v>
      </c>
      <c r="AP865" s="109">
        <v>0.0</v>
      </c>
      <c r="AQ865" s="109">
        <v>72.0</v>
      </c>
      <c r="AR865" s="80">
        <f t="shared" si="5"/>
        <v>72</v>
      </c>
      <c r="AS865" s="110">
        <v>0.0</v>
      </c>
      <c r="AT865" s="110">
        <v>0.0</v>
      </c>
      <c r="AU865" s="110">
        <v>0.0</v>
      </c>
      <c r="AV865" s="142">
        <v>42.0</v>
      </c>
      <c r="AW865" s="80">
        <f t="shared" si="6"/>
        <v>42</v>
      </c>
      <c r="AX865" s="113">
        <f t="shared" si="7"/>
        <v>394</v>
      </c>
      <c r="AY865" s="117">
        <f t="shared" si="8"/>
        <v>322</v>
      </c>
      <c r="AZ865" s="120">
        <f t="shared" si="9"/>
        <v>72</v>
      </c>
      <c r="BA865" s="115">
        <v>0.0</v>
      </c>
      <c r="BB865" s="89">
        <f t="shared" si="10"/>
        <v>394</v>
      </c>
      <c r="BC865" s="132" t="s">
        <v>178</v>
      </c>
      <c r="BD865" s="132" t="s">
        <v>178</v>
      </c>
      <c r="BE865" s="132" t="s">
        <v>178</v>
      </c>
      <c r="BF865" s="156"/>
      <c r="BG865" s="83">
        <v>1176379.0</v>
      </c>
      <c r="BH865" s="98"/>
      <c r="BI865" s="98">
        <v>12.0</v>
      </c>
      <c r="BJ865" s="98" t="s">
        <v>162</v>
      </c>
      <c r="BK865" s="99">
        <f t="shared" si="11"/>
        <v>322</v>
      </c>
      <c r="BL865" s="99">
        <f t="shared" si="12"/>
        <v>0</v>
      </c>
      <c r="BM865" s="99" t="str">
        <f>IFERROR(__xludf.DUMMYFUNCTION("IFERROR(VLOOKUP(BG865,IMPORTRANGE(""https://docs.google.com/spreadsheets/d/1juPI-Fb8LD0YtltB2mlGEnp_R3UVu1t3wSFPzgCyHXE/edit?gid=0#gid=0"",""GERAL!A2:C""),3,0),""-"")"),"-")</f>
        <v>-</v>
      </c>
    </row>
    <row r="866" ht="15.75" customHeight="1">
      <c r="A866" s="111" t="s">
        <v>973</v>
      </c>
      <c r="B866" s="83" t="s">
        <v>4235</v>
      </c>
      <c r="C866" s="83" t="s">
        <v>164</v>
      </c>
      <c r="D866" s="112">
        <v>1176379.0</v>
      </c>
      <c r="E866" s="83">
        <v>1179022.0</v>
      </c>
      <c r="F866" s="98">
        <v>2.9491258E7</v>
      </c>
      <c r="G866" s="184" t="s">
        <v>4242</v>
      </c>
      <c r="H866" s="91" t="s">
        <v>4243</v>
      </c>
      <c r="I866" s="83" t="s">
        <v>149</v>
      </c>
      <c r="J866" s="83" t="s">
        <v>240</v>
      </c>
      <c r="K866" s="83" t="s">
        <v>168</v>
      </c>
      <c r="L866" s="83" t="s">
        <v>169</v>
      </c>
      <c r="M866" s="82" t="str">
        <f>IFERROR(__xludf.DUMMYFUNCTION("IFERROR(VLOOKUP(D866,
IMPORTRANGE(""https://docs.google.com/spreadsheets/d/1MjHtlUikwobi2MaWJgy7tfLeBmhj1u-dRFRs_8GwSoA/edit#gid=0"",""Gestores Escolares!D7:J""),3,0),""VERIFICAR CÓD SEC"")"),"MARIVONE MARTINHO DA SILVA")</f>
        <v>MARIVONE MARTINHO DA SILVA</v>
      </c>
      <c r="N866" s="82" t="str">
        <f>IFERROR(__xludf.DUMMYFUNCTION("IFERROR(VLOOKUP(D866,
IMPORTRANGE(""https://docs.google.com/spreadsheets/d/1MjHtlUikwobi2MaWJgy7tfLeBmhj1u-dRFRs_8GwSoA/edit#gid=0"",""Gestores Escolares!D7:J""),4,0),""VERIFICAR CÓD SEC"")"),"(77) 9 9102-7273")</f>
        <v>(77) 9 9102-7273</v>
      </c>
      <c r="O866" s="82" t="str">
        <f>IFERROR(__xludf.DUMMYFUNCTION("IFERROR(VLOOKUP(D866,
IMPORTRANGE(""https://docs.google.com/spreadsheets/d/1MjHtlUikwobi2MaWJgy7tfLeBmhj1u-dRFRs_8GwSoA/edit#gid=0"",""Gestores Escolares!D7:J""),6,0),""VERIFICAR CÓD SEC"")"),"RENATA VANDILENE GOMES PEREIRA")</f>
        <v>RENATA VANDILENE GOMES PEREIRA</v>
      </c>
      <c r="P866" s="82" t="str">
        <f>IFERROR(__xludf.DUMMYFUNCTION("IFERROR(VLOOKUP(D866,
IMPORTRANGE(""https://docs.google.com/spreadsheets/d/1MjHtlUikwobi2MaWJgy7tfLeBmhj1u-dRFRs_8GwSoA/edit#gid=0"",""Gestores Escolares!D7:J""),7,0),""VERIFICAR CÓD SEC"")"),"(38) 9 9130-5795")</f>
        <v>(38) 9 9130-5795</v>
      </c>
      <c r="Q866" s="82" t="str">
        <f>IFERROR(__xludf.DUMMYFUNCTION("IFERROR(VLOOKUP(D866,
IMPORTRANGE(""https://docs.google.com/spreadsheets/d/1MjHtlUikwobi2MaWJgy7tfLeBmhj1u-dRFRs_8GwSoA/edit#gid=0"",""Gestores Escolares!D7:m""),9,0),""VERIFICAR CÓD SEC"")"),"ROSANE MADALENA LADEIA PEREIRA PRADO")</f>
        <v>ROSANE MADALENA LADEIA PEREIRA PRADO</v>
      </c>
      <c r="R866" s="82" t="str">
        <f>IFERROR(__xludf.DUMMYFUNCTION("IFERROR(VLOOKUP(D866,
IMPORTRANGE(""https://docs.google.com/spreadsheets/d/1MjHtlUikwobi2MaWJgy7tfLeBmhj1u-dRFRs_8GwSoA/edit#gid=0"",""Gestores Escolares!D7:m""),10,0),""VERIFICAR CÓD SEC"")"),"(77) 9 9195-6908")</f>
        <v>(77) 9 9195-6908</v>
      </c>
      <c r="S866" s="82"/>
      <c r="T866" s="138">
        <v>4.0</v>
      </c>
      <c r="U866" s="600">
        <v>2.0</v>
      </c>
      <c r="V866" s="106">
        <v>0.0</v>
      </c>
      <c r="W866" s="107">
        <v>0.0</v>
      </c>
      <c r="X866" s="107">
        <v>0.0</v>
      </c>
      <c r="Y866" s="107">
        <v>0.0</v>
      </c>
      <c r="Z866" s="80">
        <f t="shared" si="1"/>
        <v>0</v>
      </c>
      <c r="AA866" s="106">
        <v>0.0</v>
      </c>
      <c r="AB866" s="107">
        <v>0.0</v>
      </c>
      <c r="AC866" s="107">
        <v>0.0</v>
      </c>
      <c r="AD866" s="107">
        <v>0.0</v>
      </c>
      <c r="AE866" s="80">
        <f t="shared" si="2"/>
        <v>0</v>
      </c>
      <c r="AF866" s="140">
        <v>0.0</v>
      </c>
      <c r="AG866" s="109">
        <v>0.0</v>
      </c>
      <c r="AH866" s="109">
        <v>62.0</v>
      </c>
      <c r="AI866" s="141">
        <v>0.0</v>
      </c>
      <c r="AJ866" s="80">
        <f t="shared" si="3"/>
        <v>62</v>
      </c>
      <c r="AK866" s="140">
        <v>0.0</v>
      </c>
      <c r="AL866" s="109">
        <v>0.0</v>
      </c>
      <c r="AM866" s="141">
        <v>0.0</v>
      </c>
      <c r="AN866" s="80">
        <f t="shared" si="4"/>
        <v>0</v>
      </c>
      <c r="AO866" s="140">
        <v>0.0</v>
      </c>
      <c r="AP866" s="109">
        <v>0.0</v>
      </c>
      <c r="AQ866" s="109">
        <v>0.0</v>
      </c>
      <c r="AR866" s="80">
        <f t="shared" si="5"/>
        <v>0</v>
      </c>
      <c r="AS866" s="110">
        <v>0.0</v>
      </c>
      <c r="AT866" s="110">
        <v>0.0</v>
      </c>
      <c r="AU866" s="110">
        <v>0.0</v>
      </c>
      <c r="AV866" s="142">
        <v>0.0</v>
      </c>
      <c r="AW866" s="80">
        <f t="shared" si="6"/>
        <v>0</v>
      </c>
      <c r="AX866" s="113">
        <f t="shared" si="7"/>
        <v>62</v>
      </c>
      <c r="AY866" s="117">
        <f t="shared" si="8"/>
        <v>0</v>
      </c>
      <c r="AZ866" s="120">
        <f t="shared" si="9"/>
        <v>62</v>
      </c>
      <c r="BA866" s="115">
        <v>0.0</v>
      </c>
      <c r="BB866" s="89">
        <f t="shared" si="10"/>
        <v>62</v>
      </c>
      <c r="BC866" s="132" t="s">
        <v>373</v>
      </c>
      <c r="BD866" s="132" t="s">
        <v>178</v>
      </c>
      <c r="BE866" s="132" t="s">
        <v>178</v>
      </c>
      <c r="BF866" s="123"/>
      <c r="BG866" s="83">
        <v>1179022.0</v>
      </c>
      <c r="BH866" s="112"/>
      <c r="BI866" s="112">
        <v>2.0</v>
      </c>
      <c r="BJ866" s="98" t="s">
        <v>155</v>
      </c>
      <c r="BK866" s="99">
        <f t="shared" si="11"/>
        <v>0</v>
      </c>
      <c r="BL866" s="99">
        <f t="shared" si="12"/>
        <v>0</v>
      </c>
      <c r="BM866" s="99" t="str">
        <f>IFERROR(__xludf.DUMMYFUNCTION("IFERROR(VLOOKUP(BG866,IMPORTRANGE(""https://docs.google.com/spreadsheets/d/1juPI-Fb8LD0YtltB2mlGEnp_R3UVu1t3wSFPzgCyHXE/edit?gid=0#gid=0"",""GERAL!A2:C""),3,0),""-"")"),"CAMPO")</f>
        <v>CAMPO</v>
      </c>
    </row>
    <row r="867" ht="15.75" customHeight="1">
      <c r="A867" s="111" t="s">
        <v>973</v>
      </c>
      <c r="B867" s="83" t="s">
        <v>4251</v>
      </c>
      <c r="C867" s="83" t="s">
        <v>68</v>
      </c>
      <c r="D867" s="112">
        <v>1129416.0</v>
      </c>
      <c r="E867" s="83"/>
      <c r="F867" s="83">
        <v>2.9264049E7</v>
      </c>
      <c r="G867" s="220" t="s">
        <v>4252</v>
      </c>
      <c r="H867" s="91" t="s">
        <v>4253</v>
      </c>
      <c r="I867" s="136" t="s">
        <v>4254</v>
      </c>
      <c r="J867" s="136" t="s">
        <v>310</v>
      </c>
      <c r="K867" s="83" t="s">
        <v>151</v>
      </c>
      <c r="L867" s="83" t="s">
        <v>76</v>
      </c>
      <c r="M867" s="82" t="str">
        <f>IFERROR(__xludf.DUMMYFUNCTION("IFERROR(VLOOKUP(D867,
IMPORTRANGE(""https://docs.google.com/spreadsheets/d/1MjHtlUikwobi2MaWJgy7tfLeBmhj1u-dRFRs_8GwSoA/edit#gid=0"",""Gestores Escolares!D7:J""),3,0),""VERIFICAR CÓD SEC"")"),"MARIA ELIENE SILVA CORREIA")</f>
        <v>MARIA ELIENE SILVA CORREIA</v>
      </c>
      <c r="N867" s="82" t="str">
        <f>IFERROR(__xludf.DUMMYFUNCTION("IFERROR(VLOOKUP(D867,
IMPORTRANGE(""https://docs.google.com/spreadsheets/d/1MjHtlUikwobi2MaWJgy7tfLeBmhj1u-dRFRs_8GwSoA/edit#gid=0"",""Gestores Escolares!D7:J""),4,0),""VERIFICAR CÓD SEC"")"),"(77) 9 8811-2788")</f>
        <v>(77) 9 8811-2788</v>
      </c>
      <c r="O867" s="82" t="str">
        <f>IFERROR(__xludf.DUMMYFUNCTION("IFERROR(VLOOKUP(D867,
IMPORTRANGE(""https://docs.google.com/spreadsheets/d/1MjHtlUikwobi2MaWJgy7tfLeBmhj1u-dRFRs_8GwSoA/edit#gid=0"",""Gestores Escolares!D7:J""),6,0),""VERIFICAR CÓD SEC"")"),"MARIA SALETE MATOS NEVES")</f>
        <v>MARIA SALETE MATOS NEVES</v>
      </c>
      <c r="P867" s="82" t="str">
        <f>IFERROR(__xludf.DUMMYFUNCTION("IFERROR(VLOOKUP(D867,
IMPORTRANGE(""https://docs.google.com/spreadsheets/d/1MjHtlUikwobi2MaWJgy7tfLeBmhj1u-dRFRs_8GwSoA/edit#gid=0"",""Gestores Escolares!D7:J""),7,0),""VERIFICAR CÓD SEC"")"),"(77) 9 8836-7303")</f>
        <v>(77) 9 8836-7303</v>
      </c>
      <c r="Q867" s="82" t="str">
        <f>IFERROR(__xludf.DUMMYFUNCTION("IFERROR(VLOOKUP(D867,
IMPORTRANGE(""https://docs.google.com/spreadsheets/d/1MjHtlUikwobi2MaWJgy7tfLeBmhj1u-dRFRs_8GwSoA/edit#gid=0"",""Gestores Escolares!D7:m""),9,0),""VERIFICAR CÓD SEC"")"),"")</f>
        <v/>
      </c>
      <c r="R867" s="82" t="str">
        <f>IFERROR(__xludf.DUMMYFUNCTION("IFERROR(VLOOKUP(D867,
IMPORTRANGE(""https://docs.google.com/spreadsheets/d/1MjHtlUikwobi2MaWJgy7tfLeBmhj1u-dRFRs_8GwSoA/edit#gid=0"",""Gestores Escolares!D7:m""),10,0),""VERIFICAR CÓD SEC"")"),"")</f>
        <v/>
      </c>
      <c r="S867" s="82"/>
      <c r="T867" s="138">
        <v>8.0</v>
      </c>
      <c r="U867" s="145">
        <v>8.0</v>
      </c>
      <c r="V867" s="106">
        <v>0.0</v>
      </c>
      <c r="W867" s="107">
        <v>0.0</v>
      </c>
      <c r="X867" s="107">
        <v>0.0</v>
      </c>
      <c r="Y867" s="107">
        <v>0.0</v>
      </c>
      <c r="Z867" s="80">
        <f t="shared" si="1"/>
        <v>0</v>
      </c>
      <c r="AA867" s="106">
        <v>0.0</v>
      </c>
      <c r="AB867" s="107">
        <v>0.0</v>
      </c>
      <c r="AC867" s="107">
        <v>0.0</v>
      </c>
      <c r="AD867" s="107">
        <v>0.0</v>
      </c>
      <c r="AE867" s="80">
        <f t="shared" si="2"/>
        <v>0</v>
      </c>
      <c r="AF867" s="140">
        <v>0.0</v>
      </c>
      <c r="AG867" s="109">
        <v>0.0</v>
      </c>
      <c r="AH867" s="109">
        <v>0.0</v>
      </c>
      <c r="AI867" s="141">
        <v>125.0</v>
      </c>
      <c r="AJ867" s="80">
        <f t="shared" si="3"/>
        <v>125</v>
      </c>
      <c r="AK867" s="140">
        <v>0.0</v>
      </c>
      <c r="AL867" s="109">
        <v>0.0</v>
      </c>
      <c r="AM867" s="141">
        <v>0.0</v>
      </c>
      <c r="AN867" s="80">
        <f t="shared" si="4"/>
        <v>0</v>
      </c>
      <c r="AO867" s="140">
        <v>0.0</v>
      </c>
      <c r="AP867" s="109">
        <v>0.0</v>
      </c>
      <c r="AQ867" s="109">
        <v>81.0</v>
      </c>
      <c r="AR867" s="80">
        <f t="shared" si="5"/>
        <v>81</v>
      </c>
      <c r="AS867" s="110">
        <v>0.0</v>
      </c>
      <c r="AT867" s="110">
        <v>0.0</v>
      </c>
      <c r="AU867" s="110">
        <v>0.0</v>
      </c>
      <c r="AV867" s="142">
        <v>49.0</v>
      </c>
      <c r="AW867" s="80">
        <f t="shared" si="6"/>
        <v>49</v>
      </c>
      <c r="AX867" s="113">
        <f t="shared" si="7"/>
        <v>255</v>
      </c>
      <c r="AY867" s="117">
        <f t="shared" si="8"/>
        <v>174</v>
      </c>
      <c r="AZ867" s="120">
        <f t="shared" si="9"/>
        <v>81</v>
      </c>
      <c r="BA867" s="115">
        <v>0.0</v>
      </c>
      <c r="BB867" s="89">
        <f t="shared" si="10"/>
        <v>255</v>
      </c>
      <c r="BC867" s="132" t="s">
        <v>178</v>
      </c>
      <c r="BD867" s="132" t="s">
        <v>178</v>
      </c>
      <c r="BE867" s="132" t="s">
        <v>178</v>
      </c>
      <c r="BF867" s="123"/>
      <c r="BG867" s="83">
        <v>1129416.0</v>
      </c>
      <c r="BH867" s="112"/>
      <c r="BI867" s="112">
        <v>8.0</v>
      </c>
      <c r="BJ867" s="98" t="s">
        <v>162</v>
      </c>
      <c r="BK867" s="99">
        <f t="shared" si="11"/>
        <v>174</v>
      </c>
      <c r="BL867" s="99">
        <f t="shared" si="12"/>
        <v>0</v>
      </c>
      <c r="BM867" s="99" t="str">
        <f>IFERROR(__xludf.DUMMYFUNCTION("IFERROR(VLOOKUP(BG867,IMPORTRANGE(""https://docs.google.com/spreadsheets/d/1juPI-Fb8LD0YtltB2mlGEnp_R3UVu1t3wSFPzgCyHXE/edit?gid=0#gid=0"",""GERAL!A2:C""),3,0),""-"")"),"-")</f>
        <v>-</v>
      </c>
    </row>
    <row r="868" ht="15.75" customHeight="1">
      <c r="A868" s="111" t="s">
        <v>973</v>
      </c>
      <c r="B868" s="83" t="s">
        <v>4251</v>
      </c>
      <c r="C868" s="83" t="s">
        <v>68</v>
      </c>
      <c r="D868" s="112">
        <v>1176197.0</v>
      </c>
      <c r="E868" s="83"/>
      <c r="F868" s="83">
        <v>2.9263972E7</v>
      </c>
      <c r="G868" s="119" t="s">
        <v>4258</v>
      </c>
      <c r="H868" s="108" t="s">
        <v>4260</v>
      </c>
      <c r="I868" s="115" t="s">
        <v>4262</v>
      </c>
      <c r="J868" s="136" t="s">
        <v>150</v>
      </c>
      <c r="K868" s="83" t="s">
        <v>151</v>
      </c>
      <c r="L868" s="83" t="s">
        <v>169</v>
      </c>
      <c r="M868" s="82" t="str">
        <f>IFERROR(__xludf.DUMMYFUNCTION("IFERROR(VLOOKUP(D868,
IMPORTRANGE(""https://docs.google.com/spreadsheets/d/1MjHtlUikwobi2MaWJgy7tfLeBmhj1u-dRFRs_8GwSoA/edit#gid=0"",""Gestores Escolares!D7:J""),3,0),""VERIFICAR CÓD SEC"")"),"CLEBER CLEITON SILVEIRA TEIXEIRA")</f>
        <v>CLEBER CLEITON SILVEIRA TEIXEIRA</v>
      </c>
      <c r="N868" s="82" t="str">
        <f>IFERROR(__xludf.DUMMYFUNCTION("IFERROR(VLOOKUP(D868,
IMPORTRANGE(""https://docs.google.com/spreadsheets/d/1MjHtlUikwobi2MaWJgy7tfLeBmhj1u-dRFRs_8GwSoA/edit#gid=0"",""Gestores Escolares!D7:J""),4,0),""VERIFICAR CÓD SEC"")"),"(77) 9 8803-7531")</f>
        <v>(77) 9 8803-7531</v>
      </c>
      <c r="O868" s="82" t="str">
        <f>IFERROR(__xludf.DUMMYFUNCTION("IFERROR(VLOOKUP(D868,
IMPORTRANGE(""https://docs.google.com/spreadsheets/d/1MjHtlUikwobi2MaWJgy7tfLeBmhj1u-dRFRs_8GwSoA/edit#gid=0"",""Gestores Escolares!D7:J""),6,0),""VERIFICAR CÓD SEC"")"),"NATHALIA GUEDES DIAS GALICCHIO")</f>
        <v>NATHALIA GUEDES DIAS GALICCHIO</v>
      </c>
      <c r="P868" s="82" t="str">
        <f>IFERROR(__xludf.DUMMYFUNCTION("IFERROR(VLOOKUP(D868,
IMPORTRANGE(""https://docs.google.com/spreadsheets/d/1MjHtlUikwobi2MaWJgy7tfLeBmhj1u-dRFRs_8GwSoA/edit#gid=0"",""Gestores Escolares!D7:J""),7,0),""VERIFICAR CÓD SEC"")"),"(77) 9 8127-4342")</f>
        <v>(77) 9 8127-4342</v>
      </c>
      <c r="Q868" s="82" t="str">
        <f>IFERROR(__xludf.DUMMYFUNCTION("IFERROR(VLOOKUP(D868,
IMPORTRANGE(""https://docs.google.com/spreadsheets/d/1MjHtlUikwobi2MaWJgy7tfLeBmhj1u-dRFRs_8GwSoA/edit#gid=0"",""Gestores Escolares!D7:m""),9,0),""VERIFICAR CÓD SEC"")"),"")</f>
        <v/>
      </c>
      <c r="R868" s="82" t="str">
        <f>IFERROR(__xludf.DUMMYFUNCTION("IFERROR(VLOOKUP(D868,
IMPORTRANGE(""https://docs.google.com/spreadsheets/d/1MjHtlUikwobi2MaWJgy7tfLeBmhj1u-dRFRs_8GwSoA/edit#gid=0"",""Gestores Escolares!D7:m""),10,0),""VERIFICAR CÓD SEC"")"),"")</f>
        <v/>
      </c>
      <c r="S868" s="82"/>
      <c r="T868" s="138">
        <v>6.0</v>
      </c>
      <c r="U868" s="145" t="s">
        <v>11914</v>
      </c>
      <c r="V868" s="106">
        <v>0.0</v>
      </c>
      <c r="W868" s="107">
        <v>0.0</v>
      </c>
      <c r="X868" s="107">
        <v>0.0</v>
      </c>
      <c r="Y868" s="107">
        <v>0.0</v>
      </c>
      <c r="Z868" s="80">
        <f t="shared" si="1"/>
        <v>0</v>
      </c>
      <c r="AA868" s="106">
        <v>0.0</v>
      </c>
      <c r="AB868" s="107">
        <v>0.0</v>
      </c>
      <c r="AC868" s="107">
        <v>0.0</v>
      </c>
      <c r="AD868" s="107">
        <v>0.0</v>
      </c>
      <c r="AE868" s="80">
        <f t="shared" si="2"/>
        <v>0</v>
      </c>
      <c r="AF868" s="140">
        <v>42.0</v>
      </c>
      <c r="AG868" s="109">
        <v>0.0</v>
      </c>
      <c r="AH868" s="109">
        <v>0.0</v>
      </c>
      <c r="AI868" s="141">
        <v>155.0</v>
      </c>
      <c r="AJ868" s="80">
        <f t="shared" si="3"/>
        <v>197</v>
      </c>
      <c r="AK868" s="140">
        <v>0.0</v>
      </c>
      <c r="AL868" s="109">
        <v>0.0</v>
      </c>
      <c r="AM868" s="141">
        <v>0.0</v>
      </c>
      <c r="AN868" s="80">
        <f t="shared" si="4"/>
        <v>0</v>
      </c>
      <c r="AO868" s="140">
        <v>0.0</v>
      </c>
      <c r="AP868" s="109">
        <v>0.0</v>
      </c>
      <c r="AQ868" s="109">
        <v>0.0</v>
      </c>
      <c r="AR868" s="80">
        <f t="shared" si="5"/>
        <v>0</v>
      </c>
      <c r="AS868" s="110">
        <v>0.0</v>
      </c>
      <c r="AT868" s="110">
        <v>0.0</v>
      </c>
      <c r="AU868" s="110">
        <v>0.0</v>
      </c>
      <c r="AV868" s="142">
        <v>0.0</v>
      </c>
      <c r="AW868" s="80">
        <f t="shared" si="6"/>
        <v>0</v>
      </c>
      <c r="AX868" s="113">
        <f t="shared" si="7"/>
        <v>197</v>
      </c>
      <c r="AY868" s="117">
        <f t="shared" si="8"/>
        <v>197</v>
      </c>
      <c r="AZ868" s="120">
        <f t="shared" si="9"/>
        <v>0</v>
      </c>
      <c r="BA868" s="115">
        <v>0.0</v>
      </c>
      <c r="BB868" s="89">
        <f t="shared" si="10"/>
        <v>197</v>
      </c>
      <c r="BC868" s="132" t="s">
        <v>178</v>
      </c>
      <c r="BD868" s="132" t="s">
        <v>178</v>
      </c>
      <c r="BE868" s="132" t="s">
        <v>178</v>
      </c>
      <c r="BF868" s="156"/>
      <c r="BG868" s="83">
        <v>1176197.0</v>
      </c>
      <c r="BH868" s="112"/>
      <c r="BI868" s="112">
        <v>6.0</v>
      </c>
      <c r="BJ868" s="98" t="s">
        <v>155</v>
      </c>
      <c r="BK868" s="99">
        <f t="shared" si="11"/>
        <v>155</v>
      </c>
      <c r="BL868" s="99">
        <f t="shared" si="12"/>
        <v>42</v>
      </c>
      <c r="BM868" s="99" t="str">
        <f>IFERROR(__xludf.DUMMYFUNCTION("IFERROR(VLOOKUP(BG868,IMPORTRANGE(""https://docs.google.com/spreadsheets/d/1juPI-Fb8LD0YtltB2mlGEnp_R3UVu1t3wSFPzgCyHXE/edit?gid=0#gid=0"",""GERAL!A2:C""),3,0),""-"")"),"-")</f>
        <v>-</v>
      </c>
    </row>
    <row r="869" ht="15.75" customHeight="1">
      <c r="A869" s="111" t="s">
        <v>973</v>
      </c>
      <c r="B869" s="136" t="s">
        <v>4267</v>
      </c>
      <c r="C869" s="83" t="s">
        <v>68</v>
      </c>
      <c r="D869" s="195">
        <v>1129432.0</v>
      </c>
      <c r="E869" s="136"/>
      <c r="F869" s="136">
        <v>2.9254396E7</v>
      </c>
      <c r="G869" s="147" t="s">
        <v>4268</v>
      </c>
      <c r="H869" s="91" t="s">
        <v>4269</v>
      </c>
      <c r="I869" s="136" t="s">
        <v>149</v>
      </c>
      <c r="J869" s="83" t="s">
        <v>150</v>
      </c>
      <c r="K869" s="83" t="s">
        <v>151</v>
      </c>
      <c r="L869" s="83" t="s">
        <v>76</v>
      </c>
      <c r="M869" s="82" t="str">
        <f>IFERROR(__xludf.DUMMYFUNCTION("IFERROR(VLOOKUP(D869,
IMPORTRANGE(""https://docs.google.com/spreadsheets/d/1MjHtlUikwobi2MaWJgy7tfLeBmhj1u-dRFRs_8GwSoA/edit#gid=0"",""Gestores Escolares!D7:J""),3,0),""VERIFICAR CÓD SEC"")"),"ELIVÂNIA DE OLIVEIRA SILVA MACEDO")</f>
        <v>ELIVÂNIA DE OLIVEIRA SILVA MACEDO</v>
      </c>
      <c r="N869" s="82" t="str">
        <f>IFERROR(__xludf.DUMMYFUNCTION("IFERROR(VLOOKUP(D869,
IMPORTRANGE(""https://docs.google.com/spreadsheets/d/1MjHtlUikwobi2MaWJgy7tfLeBmhj1u-dRFRs_8GwSoA/edit#gid=0"",""Gestores Escolares!D7:J""),4,0),""VERIFICAR CÓD SEC"")"),"(77) 9 9199-5841")</f>
        <v>(77) 9 9199-5841</v>
      </c>
      <c r="O869" s="82" t="str">
        <f>IFERROR(__xludf.DUMMYFUNCTION("IFERROR(VLOOKUP(D869,
IMPORTRANGE(""https://docs.google.com/spreadsheets/d/1MjHtlUikwobi2MaWJgy7tfLeBmhj1u-dRFRs_8GwSoA/edit#gid=0"",""Gestores Escolares!D7:J""),6,0),""VERIFICAR CÓD SEC"")"),"KELLYNAY LIMA SOUZA")</f>
        <v>KELLYNAY LIMA SOUZA</v>
      </c>
      <c r="P869" s="82" t="str">
        <f>IFERROR(__xludf.DUMMYFUNCTION("IFERROR(VLOOKUP(D869,
IMPORTRANGE(""https://docs.google.com/spreadsheets/d/1MjHtlUikwobi2MaWJgy7tfLeBmhj1u-dRFRs_8GwSoA/edit#gid=0"",""Gestores Escolares!D7:J""),7,0),""VERIFICAR CÓD SEC"")"),"(77) 9 9109-9551")</f>
        <v>(77) 9 9109-9551</v>
      </c>
      <c r="Q869" s="82" t="str">
        <f>IFERROR(__xludf.DUMMYFUNCTION("IFERROR(VLOOKUP(D869,
IMPORTRANGE(""https://docs.google.com/spreadsheets/d/1MjHtlUikwobi2MaWJgy7tfLeBmhj1u-dRFRs_8GwSoA/edit#gid=0"",""Gestores Escolares!D7:m""),9,0),""VERIFICAR CÓD SEC"")"),"")</f>
        <v/>
      </c>
      <c r="R869" s="82" t="str">
        <f>IFERROR(__xludf.DUMMYFUNCTION("IFERROR(VLOOKUP(D869,
IMPORTRANGE(""https://docs.google.com/spreadsheets/d/1MjHtlUikwobi2MaWJgy7tfLeBmhj1u-dRFRs_8GwSoA/edit#gid=0"",""Gestores Escolares!D7:m""),10,0),""VERIFICAR CÓD SEC"")"),"")</f>
        <v/>
      </c>
      <c r="S869" s="82"/>
      <c r="T869" s="138">
        <v>6.0</v>
      </c>
      <c r="U869" s="145" t="s">
        <v>699</v>
      </c>
      <c r="V869" s="106">
        <v>0.0</v>
      </c>
      <c r="W869" s="107">
        <v>0.0</v>
      </c>
      <c r="X869" s="107">
        <v>0.0</v>
      </c>
      <c r="Y869" s="107">
        <v>0.0</v>
      </c>
      <c r="Z869" s="80">
        <f t="shared" si="1"/>
        <v>0</v>
      </c>
      <c r="AA869" s="106">
        <v>0.0</v>
      </c>
      <c r="AB869" s="107">
        <v>0.0</v>
      </c>
      <c r="AC869" s="107">
        <v>0.0</v>
      </c>
      <c r="AD869" s="107">
        <v>0.0</v>
      </c>
      <c r="AE869" s="80">
        <f t="shared" si="2"/>
        <v>0</v>
      </c>
      <c r="AF869" s="140">
        <v>63.0</v>
      </c>
      <c r="AG869" s="109">
        <v>20.0</v>
      </c>
      <c r="AH869" s="109">
        <v>0.0</v>
      </c>
      <c r="AI869" s="141">
        <v>67.0</v>
      </c>
      <c r="AJ869" s="80">
        <f t="shared" si="3"/>
        <v>150</v>
      </c>
      <c r="AK869" s="140">
        <v>0.0</v>
      </c>
      <c r="AL869" s="109">
        <v>0.0</v>
      </c>
      <c r="AM869" s="141">
        <v>0.0</v>
      </c>
      <c r="AN869" s="80">
        <f t="shared" si="4"/>
        <v>0</v>
      </c>
      <c r="AO869" s="140">
        <v>0.0</v>
      </c>
      <c r="AP869" s="109">
        <v>0.0</v>
      </c>
      <c r="AQ869" s="109">
        <v>29.0</v>
      </c>
      <c r="AR869" s="80">
        <f t="shared" si="5"/>
        <v>29</v>
      </c>
      <c r="AS869" s="110">
        <v>78.0</v>
      </c>
      <c r="AT869" s="110">
        <v>0.0</v>
      </c>
      <c r="AU869" s="110">
        <v>0.0</v>
      </c>
      <c r="AV869" s="142">
        <v>0.0</v>
      </c>
      <c r="AW869" s="80">
        <f t="shared" si="6"/>
        <v>78</v>
      </c>
      <c r="AX869" s="113">
        <f t="shared" si="7"/>
        <v>257</v>
      </c>
      <c r="AY869" s="117">
        <f t="shared" si="8"/>
        <v>228</v>
      </c>
      <c r="AZ869" s="120">
        <f t="shared" si="9"/>
        <v>29</v>
      </c>
      <c r="BA869" s="115">
        <v>0.0</v>
      </c>
      <c r="BB869" s="89">
        <f t="shared" si="10"/>
        <v>257</v>
      </c>
      <c r="BC869" s="132" t="s">
        <v>178</v>
      </c>
      <c r="BD869" s="132" t="s">
        <v>178</v>
      </c>
      <c r="BE869" s="132" t="s">
        <v>178</v>
      </c>
      <c r="BF869" s="123"/>
      <c r="BG869" s="136">
        <v>1129432.0</v>
      </c>
      <c r="BH869" s="112"/>
      <c r="BI869" s="112">
        <v>6.0</v>
      </c>
      <c r="BJ869" s="98" t="s">
        <v>155</v>
      </c>
      <c r="BK869" s="99">
        <f t="shared" si="11"/>
        <v>67</v>
      </c>
      <c r="BL869" s="99">
        <f t="shared" si="12"/>
        <v>161</v>
      </c>
      <c r="BM869" s="99" t="str">
        <f>IFERROR(__xludf.DUMMYFUNCTION("IFERROR(VLOOKUP(BG869,IMPORTRANGE(""https://docs.google.com/spreadsheets/d/1juPI-Fb8LD0YtltB2mlGEnp_R3UVu1t3wSFPzgCyHXE/edit?gid=0#gid=0"",""GERAL!A2:C""),3,0),""-"")"),"-")</f>
        <v>-</v>
      </c>
    </row>
    <row r="870" ht="15.75" customHeight="1">
      <c r="A870" s="111" t="s">
        <v>973</v>
      </c>
      <c r="B870" s="83" t="s">
        <v>4278</v>
      </c>
      <c r="C870" s="83" t="s">
        <v>68</v>
      </c>
      <c r="D870" s="112">
        <v>1178173.0</v>
      </c>
      <c r="E870" s="83"/>
      <c r="F870" s="83">
        <v>2.9442095E7</v>
      </c>
      <c r="G870" s="119" t="s">
        <v>4281</v>
      </c>
      <c r="H870" s="91" t="s">
        <v>4282</v>
      </c>
      <c r="I870" s="172" t="s">
        <v>4283</v>
      </c>
      <c r="J870" s="83" t="s">
        <v>767</v>
      </c>
      <c r="K870" s="83" t="s">
        <v>151</v>
      </c>
      <c r="L870" s="83" t="s">
        <v>169</v>
      </c>
      <c r="M870" s="82" t="str">
        <f>IFERROR(__xludf.DUMMYFUNCTION("IFERROR(VLOOKUP(D870,
IMPORTRANGE(""https://docs.google.com/spreadsheets/d/1MjHtlUikwobi2MaWJgy7tfLeBmhj1u-dRFRs_8GwSoA/edit#gid=0"",""Gestores Escolares!D7:J""),3,0),""VERIFICAR CÓD SEC"")"),"LEANDRA PIRES FERREIRA")</f>
        <v>LEANDRA PIRES FERREIRA</v>
      </c>
      <c r="N870" s="82" t="str">
        <f>IFERROR(__xludf.DUMMYFUNCTION("IFERROR(VLOOKUP(D870,
IMPORTRANGE(""https://docs.google.com/spreadsheets/d/1MjHtlUikwobi2MaWJgy7tfLeBmhj1u-dRFRs_8GwSoA/edit#gid=0"",""Gestores Escolares!D7:J""),4,0),""VERIFICAR CÓD SEC"")"),"(77) 9 9956-9782")</f>
        <v>(77) 9 9956-9782</v>
      </c>
      <c r="O870" s="82" t="str">
        <f>IFERROR(__xludf.DUMMYFUNCTION("IFERROR(VLOOKUP(D870,
IMPORTRANGE(""https://docs.google.com/spreadsheets/d/1MjHtlUikwobi2MaWJgy7tfLeBmhj1u-dRFRs_8GwSoA/edit#gid=0"",""Gestores Escolares!D7:J""),6,0),""VERIFICAR CÓD SEC"")"),"LÚCIO FLÁVIO FREIRE LIMA")</f>
        <v>LÚCIO FLÁVIO FREIRE LIMA</v>
      </c>
      <c r="P870" s="82" t="str">
        <f>IFERROR(__xludf.DUMMYFUNCTION("IFERROR(VLOOKUP(D870,
IMPORTRANGE(""https://docs.google.com/spreadsheets/d/1MjHtlUikwobi2MaWJgy7tfLeBmhj1u-dRFRs_8GwSoA/edit#gid=0"",""Gestores Escolares!D7:J""),7,0),""VERIFICAR CÓD SEC"")"),"(77) 9 9856-0689")</f>
        <v>(77) 9 9856-0689</v>
      </c>
      <c r="Q870" s="82" t="str">
        <f>IFERROR(__xludf.DUMMYFUNCTION("IFERROR(VLOOKUP(D870,
IMPORTRANGE(""https://docs.google.com/spreadsheets/d/1MjHtlUikwobi2MaWJgy7tfLeBmhj1u-dRFRs_8GwSoA/edit#gid=0"",""Gestores Escolares!D7:m""),9,0),""VERIFICAR CÓD SEC"")"),"")</f>
        <v/>
      </c>
      <c r="R870" s="82" t="str">
        <f>IFERROR(__xludf.DUMMYFUNCTION("IFERROR(VLOOKUP(D870,
IMPORTRANGE(""https://docs.google.com/spreadsheets/d/1MjHtlUikwobi2MaWJgy7tfLeBmhj1u-dRFRs_8GwSoA/edit#gid=0"",""Gestores Escolares!D7:m""),10,0),""VERIFICAR CÓD SEC"")"),"")</f>
        <v/>
      </c>
      <c r="S870" s="82"/>
      <c r="T870" s="138">
        <v>7.0</v>
      </c>
      <c r="U870" s="145">
        <v>7.0</v>
      </c>
      <c r="V870" s="106">
        <v>0.0</v>
      </c>
      <c r="W870" s="107">
        <v>0.0</v>
      </c>
      <c r="X870" s="107">
        <v>0.0</v>
      </c>
      <c r="Y870" s="107">
        <v>0.0</v>
      </c>
      <c r="Z870" s="80">
        <f t="shared" si="1"/>
        <v>0</v>
      </c>
      <c r="AA870" s="106">
        <v>0.0</v>
      </c>
      <c r="AB870" s="107">
        <v>0.0</v>
      </c>
      <c r="AC870" s="107">
        <v>0.0</v>
      </c>
      <c r="AD870" s="107">
        <v>0.0</v>
      </c>
      <c r="AE870" s="80">
        <f t="shared" si="2"/>
        <v>0</v>
      </c>
      <c r="AF870" s="140">
        <v>68.0</v>
      </c>
      <c r="AG870" s="109">
        <v>121.0</v>
      </c>
      <c r="AH870" s="109">
        <v>0.0</v>
      </c>
      <c r="AI870" s="141">
        <v>23.0</v>
      </c>
      <c r="AJ870" s="80">
        <f t="shared" si="3"/>
        <v>212</v>
      </c>
      <c r="AK870" s="140">
        <v>0.0</v>
      </c>
      <c r="AL870" s="109">
        <v>0.0</v>
      </c>
      <c r="AM870" s="141">
        <v>0.0</v>
      </c>
      <c r="AN870" s="80">
        <f t="shared" si="4"/>
        <v>0</v>
      </c>
      <c r="AO870" s="140">
        <v>0.0</v>
      </c>
      <c r="AP870" s="109">
        <v>0.0</v>
      </c>
      <c r="AQ870" s="109">
        <v>21.0</v>
      </c>
      <c r="AR870" s="80">
        <f t="shared" si="5"/>
        <v>21</v>
      </c>
      <c r="AS870" s="110">
        <v>0.0</v>
      </c>
      <c r="AT870" s="110">
        <v>17.0</v>
      </c>
      <c r="AU870" s="110">
        <v>0.0</v>
      </c>
      <c r="AV870" s="142">
        <v>0.0</v>
      </c>
      <c r="AW870" s="80">
        <f t="shared" si="6"/>
        <v>17</v>
      </c>
      <c r="AX870" s="113">
        <f t="shared" si="7"/>
        <v>250</v>
      </c>
      <c r="AY870" s="117">
        <f t="shared" si="8"/>
        <v>229</v>
      </c>
      <c r="AZ870" s="120">
        <f t="shared" si="9"/>
        <v>21</v>
      </c>
      <c r="BA870" s="115">
        <v>0.0</v>
      </c>
      <c r="BB870" s="89">
        <f t="shared" si="10"/>
        <v>250</v>
      </c>
      <c r="BC870" s="132" t="s">
        <v>373</v>
      </c>
      <c r="BD870" s="132" t="s">
        <v>178</v>
      </c>
      <c r="BE870" s="132" t="s">
        <v>178</v>
      </c>
      <c r="BF870" s="123"/>
      <c r="BG870" s="83">
        <v>1178173.0</v>
      </c>
      <c r="BH870" s="112"/>
      <c r="BI870" s="112">
        <v>6.0</v>
      </c>
      <c r="BJ870" s="98" t="s">
        <v>155</v>
      </c>
      <c r="BK870" s="99">
        <f t="shared" si="11"/>
        <v>23</v>
      </c>
      <c r="BL870" s="99">
        <f t="shared" si="12"/>
        <v>206</v>
      </c>
      <c r="BM870" s="99" t="str">
        <f>IFERROR(__xludf.DUMMYFUNCTION("IFERROR(VLOOKUP(BG870,IMPORTRANGE(""https://docs.google.com/spreadsheets/d/1juPI-Fb8LD0YtltB2mlGEnp_R3UVu1t3wSFPzgCyHXE/edit?gid=0#gid=0"",""GERAL!A2:C""),3,0),""-"")"),"CAMPO")</f>
        <v>CAMPO</v>
      </c>
    </row>
    <row r="871" ht="15.75" customHeight="1">
      <c r="A871" s="111" t="s">
        <v>973</v>
      </c>
      <c r="B871" s="83" t="s">
        <v>4278</v>
      </c>
      <c r="C871" s="83" t="s">
        <v>68</v>
      </c>
      <c r="D871" s="112">
        <v>1177101.0</v>
      </c>
      <c r="E871" s="83"/>
      <c r="F871" s="83">
        <v>2.9422167E7</v>
      </c>
      <c r="G871" s="289" t="s">
        <v>4286</v>
      </c>
      <c r="H871" s="91" t="s">
        <v>4287</v>
      </c>
      <c r="I871" s="172" t="s">
        <v>149</v>
      </c>
      <c r="J871" s="83" t="s">
        <v>150</v>
      </c>
      <c r="K871" s="83" t="s">
        <v>151</v>
      </c>
      <c r="L871" s="83" t="s">
        <v>152</v>
      </c>
      <c r="M871" s="82" t="str">
        <f>IFERROR(__xludf.DUMMYFUNCTION("IFERROR(VLOOKUP(D871,
IMPORTRANGE(""https://docs.google.com/spreadsheets/d/1MjHtlUikwobi2MaWJgy7tfLeBmhj1u-dRFRs_8GwSoA/edit#gid=0"",""Gestores Escolares!D7:J""),3,0),""VERIFICAR CÓD SEC"")"),"ADEANE BONFIM SANTANA BRITTO")</f>
        <v>ADEANE BONFIM SANTANA BRITTO</v>
      </c>
      <c r="N871" s="82" t="str">
        <f>IFERROR(__xludf.DUMMYFUNCTION("IFERROR(VLOOKUP(D871,
IMPORTRANGE(""https://docs.google.com/spreadsheets/d/1MjHtlUikwobi2MaWJgy7tfLeBmhj1u-dRFRs_8GwSoA/edit#gid=0"",""Gestores Escolares!D7:J""),4,0),""VERIFICAR CÓD SEC"")"),"(77) 9 9995-4104")</f>
        <v>(77) 9 9995-4104</v>
      </c>
      <c r="O871" s="82" t="str">
        <f>IFERROR(__xludf.DUMMYFUNCTION("IFERROR(VLOOKUP(D871,
IMPORTRANGE(""https://docs.google.com/spreadsheets/d/1MjHtlUikwobi2MaWJgy7tfLeBmhj1u-dRFRs_8GwSoA/edit#gid=0"",""Gestores Escolares!D7:J""),6,0),""VERIFICAR CÓD SEC"")"),"LUCIANA DE CARVALHO ALVES")</f>
        <v>LUCIANA DE CARVALHO ALVES</v>
      </c>
      <c r="P871" s="82" t="str">
        <f>IFERROR(__xludf.DUMMYFUNCTION("IFERROR(VLOOKUP(D871,
IMPORTRANGE(""https://docs.google.com/spreadsheets/d/1MjHtlUikwobi2MaWJgy7tfLeBmhj1u-dRFRs_8GwSoA/edit#gid=0"",""Gestores Escolares!D7:J""),7,0),""VERIFICAR CÓD SEC"")"),"(77) 9 9997-3468")</f>
        <v>(77) 9 9997-3468</v>
      </c>
      <c r="Q871" s="82" t="str">
        <f>IFERROR(__xludf.DUMMYFUNCTION("IFERROR(VLOOKUP(D871,
IMPORTRANGE(""https://docs.google.com/spreadsheets/d/1MjHtlUikwobi2MaWJgy7tfLeBmhj1u-dRFRs_8GwSoA/edit#gid=0"",""Gestores Escolares!D7:m""),9,0),""VERIFICAR CÓD SEC"")"),"")</f>
        <v/>
      </c>
      <c r="R871" s="82" t="str">
        <f>IFERROR(__xludf.DUMMYFUNCTION("IFERROR(VLOOKUP(D871,
IMPORTRANGE(""https://docs.google.com/spreadsheets/d/1MjHtlUikwobi2MaWJgy7tfLeBmhj1u-dRFRs_8GwSoA/edit#gid=0"",""Gestores Escolares!D7:m""),10,0),""VERIFICAR CÓD SEC"")"),"")</f>
        <v/>
      </c>
      <c r="S871" s="82"/>
      <c r="T871" s="138">
        <v>11.0</v>
      </c>
      <c r="U871" s="145">
        <v>15.0</v>
      </c>
      <c r="V871" s="106">
        <v>0.0</v>
      </c>
      <c r="W871" s="107">
        <v>0.0</v>
      </c>
      <c r="X871" s="107">
        <v>0.0</v>
      </c>
      <c r="Y871" s="107">
        <v>0.0</v>
      </c>
      <c r="Z871" s="80">
        <f t="shared" si="1"/>
        <v>0</v>
      </c>
      <c r="AA871" s="106">
        <v>0.0</v>
      </c>
      <c r="AB871" s="107">
        <v>0.0</v>
      </c>
      <c r="AC871" s="107">
        <v>0.0</v>
      </c>
      <c r="AD871" s="107">
        <v>0.0</v>
      </c>
      <c r="AE871" s="80">
        <f t="shared" si="2"/>
        <v>0</v>
      </c>
      <c r="AF871" s="140">
        <v>0.0</v>
      </c>
      <c r="AG871" s="109">
        <v>166.0</v>
      </c>
      <c r="AH871" s="109">
        <v>0.0</v>
      </c>
      <c r="AI871" s="141">
        <v>95.0</v>
      </c>
      <c r="AJ871" s="80">
        <f t="shared" si="3"/>
        <v>261</v>
      </c>
      <c r="AK871" s="140">
        <v>0.0</v>
      </c>
      <c r="AL871" s="109">
        <v>0.0</v>
      </c>
      <c r="AM871" s="141">
        <v>0.0</v>
      </c>
      <c r="AN871" s="80">
        <f t="shared" si="4"/>
        <v>0</v>
      </c>
      <c r="AO871" s="140">
        <v>0.0</v>
      </c>
      <c r="AP871" s="109">
        <v>0.0</v>
      </c>
      <c r="AQ871" s="109">
        <v>47.0</v>
      </c>
      <c r="AR871" s="80">
        <f t="shared" si="5"/>
        <v>47</v>
      </c>
      <c r="AS871" s="110">
        <v>0.0</v>
      </c>
      <c r="AT871" s="110">
        <v>0.0</v>
      </c>
      <c r="AU871" s="110">
        <v>56.0</v>
      </c>
      <c r="AV871" s="142">
        <v>80.0</v>
      </c>
      <c r="AW871" s="80">
        <f t="shared" si="6"/>
        <v>136</v>
      </c>
      <c r="AX871" s="113">
        <f t="shared" si="7"/>
        <v>444</v>
      </c>
      <c r="AY871" s="117">
        <f t="shared" si="8"/>
        <v>341</v>
      </c>
      <c r="AZ871" s="120">
        <f t="shared" si="9"/>
        <v>103</v>
      </c>
      <c r="BA871" s="115">
        <v>0.0</v>
      </c>
      <c r="BB871" s="89">
        <f t="shared" si="10"/>
        <v>444</v>
      </c>
      <c r="BC871" s="132" t="s">
        <v>178</v>
      </c>
      <c r="BD871" s="132" t="s">
        <v>178</v>
      </c>
      <c r="BE871" s="132" t="s">
        <v>178</v>
      </c>
      <c r="BF871" s="156"/>
      <c r="BG871" s="83">
        <v>1177101.0</v>
      </c>
      <c r="BH871" s="112"/>
      <c r="BI871" s="112">
        <v>10.0</v>
      </c>
      <c r="BJ871" s="98" t="s">
        <v>176</v>
      </c>
      <c r="BK871" s="99">
        <f t="shared" si="11"/>
        <v>175</v>
      </c>
      <c r="BL871" s="99">
        <f t="shared" si="12"/>
        <v>166</v>
      </c>
      <c r="BM871" s="99" t="str">
        <f>IFERROR(__xludf.DUMMYFUNCTION("IFERROR(VLOOKUP(BG871,IMPORTRANGE(""https://docs.google.com/spreadsheets/d/1juPI-Fb8LD0YtltB2mlGEnp_R3UVu1t3wSFPzgCyHXE/edit?gid=0#gid=0"",""GERAL!A2:C""),3,0),""-"")"),"-")</f>
        <v>-</v>
      </c>
    </row>
    <row r="872" ht="15.75" customHeight="1">
      <c r="A872" s="111" t="s">
        <v>973</v>
      </c>
      <c r="B872" s="83" t="s">
        <v>4296</v>
      </c>
      <c r="C872" s="83" t="s">
        <v>45</v>
      </c>
      <c r="D872" s="112">
        <v>1178389.0</v>
      </c>
      <c r="E872" s="83"/>
      <c r="F872" s="83">
        <v>2.9210976E7</v>
      </c>
      <c r="G872" s="114" t="s">
        <v>4297</v>
      </c>
      <c r="H872" s="91" t="s">
        <v>4298</v>
      </c>
      <c r="I872" s="83" t="s">
        <v>149</v>
      </c>
      <c r="J872" s="115" t="s">
        <v>4299</v>
      </c>
      <c r="K872" s="83" t="s">
        <v>171</v>
      </c>
      <c r="L872" s="83" t="s">
        <v>169</v>
      </c>
      <c r="M872" s="82" t="str">
        <f>IFERROR(__xludf.DUMMYFUNCTION("IFERROR(VLOOKUP(D872,
IMPORTRANGE(""https://docs.google.com/spreadsheets/d/1MjHtlUikwobi2MaWJgy7tfLeBmhj1u-dRFRs_8GwSoA/edit#gid=0"",""Gestores Escolares!D7:J""),3,0),""VERIFICAR CÓD SEC"")"),"EDILSON SILVA")</f>
        <v>EDILSON SILVA</v>
      </c>
      <c r="N872" s="82" t="str">
        <f>IFERROR(__xludf.DUMMYFUNCTION("IFERROR(VLOOKUP(D872,
IMPORTRANGE(""https://docs.google.com/spreadsheets/d/1MjHtlUikwobi2MaWJgy7tfLeBmhj1u-dRFRs_8GwSoA/edit#gid=0"",""Gestores Escolares!D7:J""),4,0),""VERIFICAR CÓD SEC"")"),"(77) 9 8803-1853")</f>
        <v>(77) 9 8803-1853</v>
      </c>
      <c r="O872" s="82" t="str">
        <f>IFERROR(__xludf.DUMMYFUNCTION("IFERROR(VLOOKUP(D872,
IMPORTRANGE(""https://docs.google.com/spreadsheets/d/1MjHtlUikwobi2MaWJgy7tfLeBmhj1u-dRFRs_8GwSoA/edit#gid=0"",""Gestores Escolares!D7:J""),6,0),""VERIFICAR CÓD SEC"")"),"")</f>
        <v/>
      </c>
      <c r="P872" s="82" t="str">
        <f>IFERROR(__xludf.DUMMYFUNCTION("IFERROR(VLOOKUP(D872,
IMPORTRANGE(""https://docs.google.com/spreadsheets/d/1MjHtlUikwobi2MaWJgy7tfLeBmhj1u-dRFRs_8GwSoA/edit#gid=0"",""Gestores Escolares!D7:J""),7,0),""VERIFICAR CÓD SEC"")"),"")</f>
        <v/>
      </c>
      <c r="Q872" s="82" t="str">
        <f>IFERROR(__xludf.DUMMYFUNCTION("IFERROR(VLOOKUP(D872,
IMPORTRANGE(""https://docs.google.com/spreadsheets/d/1MjHtlUikwobi2MaWJgy7tfLeBmhj1u-dRFRs_8GwSoA/edit#gid=0"",""Gestores Escolares!D7:m""),9,0),""VERIFICAR CÓD SEC"")"),"")</f>
        <v/>
      </c>
      <c r="R872" s="82" t="str">
        <f>IFERROR(__xludf.DUMMYFUNCTION("IFERROR(VLOOKUP(D872,
IMPORTRANGE(""https://docs.google.com/spreadsheets/d/1MjHtlUikwobi2MaWJgy7tfLeBmhj1u-dRFRs_8GwSoA/edit#gid=0"",""Gestores Escolares!D7:m""),10,0),""VERIFICAR CÓD SEC"")"),"")</f>
        <v/>
      </c>
      <c r="S872" s="82"/>
      <c r="T872" s="138">
        <v>4.0</v>
      </c>
      <c r="U872" s="152" t="s">
        <v>171</v>
      </c>
      <c r="V872" s="106">
        <v>0.0</v>
      </c>
      <c r="W872" s="107">
        <v>0.0</v>
      </c>
      <c r="X872" s="107">
        <v>0.0</v>
      </c>
      <c r="Y872" s="107">
        <v>0.0</v>
      </c>
      <c r="Z872" s="80">
        <f t="shared" si="1"/>
        <v>0</v>
      </c>
      <c r="AA872" s="106">
        <v>0.0</v>
      </c>
      <c r="AB872" s="107">
        <v>0.0</v>
      </c>
      <c r="AC872" s="107">
        <v>0.0</v>
      </c>
      <c r="AD872" s="107">
        <v>81.0</v>
      </c>
      <c r="AE872" s="80">
        <f t="shared" si="2"/>
        <v>81</v>
      </c>
      <c r="AF872" s="225">
        <v>0.0</v>
      </c>
      <c r="AG872" s="226">
        <v>0.0</v>
      </c>
      <c r="AH872" s="226">
        <v>0.0</v>
      </c>
      <c r="AI872" s="227">
        <v>54.0</v>
      </c>
      <c r="AJ872" s="80">
        <f t="shared" si="3"/>
        <v>54</v>
      </c>
      <c r="AK872" s="140">
        <v>0.0</v>
      </c>
      <c r="AL872" s="109">
        <v>0.0</v>
      </c>
      <c r="AM872" s="141">
        <v>0.0</v>
      </c>
      <c r="AN872" s="80">
        <f t="shared" si="4"/>
        <v>0</v>
      </c>
      <c r="AO872" s="225">
        <v>0.0</v>
      </c>
      <c r="AP872" s="226">
        <v>0.0</v>
      </c>
      <c r="AQ872" s="226">
        <v>0.0</v>
      </c>
      <c r="AR872" s="80">
        <f t="shared" si="5"/>
        <v>0</v>
      </c>
      <c r="AS872" s="110">
        <v>0.0</v>
      </c>
      <c r="AT872" s="110">
        <v>0.0</v>
      </c>
      <c r="AU872" s="110">
        <v>0.0</v>
      </c>
      <c r="AV872" s="142">
        <v>0.0</v>
      </c>
      <c r="AW872" s="80">
        <f t="shared" si="6"/>
        <v>0</v>
      </c>
      <c r="AX872" s="113">
        <f t="shared" si="7"/>
        <v>135</v>
      </c>
      <c r="AY872" s="117">
        <f t="shared" si="8"/>
        <v>135</v>
      </c>
      <c r="AZ872" s="120">
        <f t="shared" si="9"/>
        <v>0</v>
      </c>
      <c r="BA872" s="115">
        <v>0.0</v>
      </c>
      <c r="BB872" s="89">
        <f t="shared" si="10"/>
        <v>135</v>
      </c>
      <c r="BC872" s="132" t="s">
        <v>178</v>
      </c>
      <c r="BD872" s="132" t="s">
        <v>178</v>
      </c>
      <c r="BE872" s="132" t="s">
        <v>178</v>
      </c>
      <c r="BF872" s="123"/>
      <c r="BG872" s="83">
        <v>1178389.0</v>
      </c>
      <c r="BH872" s="112"/>
      <c r="BI872" s="112">
        <v>4.0</v>
      </c>
      <c r="BJ872" s="98" t="s">
        <v>155</v>
      </c>
      <c r="BK872" s="99">
        <f t="shared" si="11"/>
        <v>135</v>
      </c>
      <c r="BL872" s="99">
        <f t="shared" si="12"/>
        <v>0</v>
      </c>
      <c r="BM872" s="99" t="str">
        <f>IFERROR(__xludf.DUMMYFUNCTION("IFERROR(VLOOKUP(BG872,IMPORTRANGE(""https://docs.google.com/spreadsheets/d/1juPI-Fb8LD0YtltB2mlGEnp_R3UVu1t3wSFPzgCyHXE/edit?gid=0#gid=0"",""GERAL!A2:C""),3,0),""-"")"),"EFA")</f>
        <v>EFA</v>
      </c>
    </row>
    <row r="873" ht="15.75" customHeight="1">
      <c r="A873" s="111" t="s">
        <v>973</v>
      </c>
      <c r="B873" s="83" t="s">
        <v>4296</v>
      </c>
      <c r="C873" s="83" t="s">
        <v>68</v>
      </c>
      <c r="D873" s="112">
        <v>1127910.0</v>
      </c>
      <c r="E873" s="83"/>
      <c r="F873" s="83">
        <v>2.921095E7</v>
      </c>
      <c r="G873" s="119" t="s">
        <v>4301</v>
      </c>
      <c r="H873" s="108" t="s">
        <v>4302</v>
      </c>
      <c r="I873" s="229" t="s">
        <v>4303</v>
      </c>
      <c r="J873" s="136" t="s">
        <v>150</v>
      </c>
      <c r="K873" s="83" t="s">
        <v>151</v>
      </c>
      <c r="L873" s="98" t="s">
        <v>230</v>
      </c>
      <c r="M873" s="82" t="str">
        <f>IFERROR(__xludf.DUMMYFUNCTION("IFERROR(VLOOKUP(D873,
IMPORTRANGE(""https://docs.google.com/spreadsheets/d/1MjHtlUikwobi2MaWJgy7tfLeBmhj1u-dRFRs_8GwSoA/edit#gid=0"",""Gestores Escolares!D7:J""),3,0),""VERIFICAR CÓD SEC"")"),"ALEXANDRO SOUSA CRUZ")</f>
        <v>ALEXANDRO SOUSA CRUZ</v>
      </c>
      <c r="N873" s="82" t="str">
        <f>IFERROR(__xludf.DUMMYFUNCTION("IFERROR(VLOOKUP(D873,
IMPORTRANGE(""https://docs.google.com/spreadsheets/d/1MjHtlUikwobi2MaWJgy7tfLeBmhj1u-dRFRs_8GwSoA/edit#gid=0"",""Gestores Escolares!D7:J""),4,0),""VERIFICAR CÓD SEC"")"),"(77) 9 8835-9292")</f>
        <v>(77) 9 8835-9292</v>
      </c>
      <c r="O873" s="82" t="str">
        <f>IFERROR(__xludf.DUMMYFUNCTION("IFERROR(VLOOKUP(D873,
IMPORTRANGE(""https://docs.google.com/spreadsheets/d/1MjHtlUikwobi2MaWJgy7tfLeBmhj1u-dRFRs_8GwSoA/edit#gid=0"",""Gestores Escolares!D7:J""),6,0),""VERIFICAR CÓD SEC"")"),"FABIANA SOUSA GOMES")</f>
        <v>FABIANA SOUSA GOMES</v>
      </c>
      <c r="P873" s="82" t="str">
        <f>IFERROR(__xludf.DUMMYFUNCTION("IFERROR(VLOOKUP(D873,
IMPORTRANGE(""https://docs.google.com/spreadsheets/d/1MjHtlUikwobi2MaWJgy7tfLeBmhj1u-dRFRs_8GwSoA/edit#gid=0"",""Gestores Escolares!D7:J""),7,0),""VERIFICAR CÓD SEC"")"),"(77) 9 8804-8406")</f>
        <v>(77) 9 8804-8406</v>
      </c>
      <c r="Q873" s="82" t="str">
        <f>IFERROR(__xludf.DUMMYFUNCTION("IFERROR(VLOOKUP(D873,
IMPORTRANGE(""https://docs.google.com/spreadsheets/d/1MjHtlUikwobi2MaWJgy7tfLeBmhj1u-dRFRs_8GwSoA/edit#gid=0"",""Gestores Escolares!D7:m""),9,0),""VERIFICAR CÓD SEC"")"),"MONICA DE JESUS DIAS")</f>
        <v>MONICA DE JESUS DIAS</v>
      </c>
      <c r="R873" s="82" t="str">
        <f>IFERROR(__xludf.DUMMYFUNCTION("IFERROR(VLOOKUP(D873,
IMPORTRANGE(""https://docs.google.com/spreadsheets/d/1MjHtlUikwobi2MaWJgy7tfLeBmhj1u-dRFRs_8GwSoA/edit#gid=0"",""Gestores Escolares!D7:m""),10,0),""VERIFICAR CÓD SEC"")")," (77) 9 9812-8240")</f>
        <v> (77) 9 9812-8240</v>
      </c>
      <c r="S873" s="82"/>
      <c r="T873" s="138">
        <v>10.0</v>
      </c>
      <c r="U873" s="145">
        <v>17.0</v>
      </c>
      <c r="V873" s="106">
        <v>0.0</v>
      </c>
      <c r="W873" s="107">
        <v>0.0</v>
      </c>
      <c r="X873" s="107">
        <v>0.0</v>
      </c>
      <c r="Y873" s="107">
        <v>0.0</v>
      </c>
      <c r="Z873" s="80">
        <f t="shared" si="1"/>
        <v>0</v>
      </c>
      <c r="AA873" s="106">
        <v>0.0</v>
      </c>
      <c r="AB873" s="107">
        <v>0.0</v>
      </c>
      <c r="AC873" s="107">
        <v>0.0</v>
      </c>
      <c r="AD873" s="107">
        <v>0.0</v>
      </c>
      <c r="AE873" s="80">
        <f t="shared" si="2"/>
        <v>0</v>
      </c>
      <c r="AF873" s="140">
        <v>0.0</v>
      </c>
      <c r="AG873" s="109">
        <v>0.0</v>
      </c>
      <c r="AH873" s="109">
        <v>0.0</v>
      </c>
      <c r="AI873" s="141">
        <v>500.0</v>
      </c>
      <c r="AJ873" s="80">
        <f t="shared" si="3"/>
        <v>500</v>
      </c>
      <c r="AK873" s="140">
        <v>0.0</v>
      </c>
      <c r="AL873" s="109">
        <v>0.0</v>
      </c>
      <c r="AM873" s="141">
        <v>0.0</v>
      </c>
      <c r="AN873" s="80">
        <f t="shared" si="4"/>
        <v>0</v>
      </c>
      <c r="AO873" s="140">
        <v>0.0</v>
      </c>
      <c r="AP873" s="109">
        <v>0.0</v>
      </c>
      <c r="AQ873" s="109">
        <v>114.0</v>
      </c>
      <c r="AR873" s="80">
        <f t="shared" si="5"/>
        <v>114</v>
      </c>
      <c r="AS873" s="110">
        <v>0.0</v>
      </c>
      <c r="AT873" s="110">
        <v>0.0</v>
      </c>
      <c r="AU873" s="110">
        <v>0.0</v>
      </c>
      <c r="AV873" s="142">
        <v>33.0</v>
      </c>
      <c r="AW873" s="80">
        <f t="shared" si="6"/>
        <v>33</v>
      </c>
      <c r="AX873" s="113">
        <f t="shared" si="7"/>
        <v>647</v>
      </c>
      <c r="AY873" s="117">
        <f t="shared" si="8"/>
        <v>533</v>
      </c>
      <c r="AZ873" s="120">
        <f t="shared" si="9"/>
        <v>114</v>
      </c>
      <c r="BA873" s="115">
        <v>0.0</v>
      </c>
      <c r="BB873" s="89">
        <f t="shared" si="10"/>
        <v>647</v>
      </c>
      <c r="BC873" s="132" t="s">
        <v>178</v>
      </c>
      <c r="BD873" s="132" t="s">
        <v>178</v>
      </c>
      <c r="BE873" s="132" t="s">
        <v>178</v>
      </c>
      <c r="BF873" s="123"/>
      <c r="BG873" s="83">
        <v>1127910.0</v>
      </c>
      <c r="BH873" s="112"/>
      <c r="BI873" s="112">
        <v>10.0</v>
      </c>
      <c r="BJ873" s="98" t="s">
        <v>162</v>
      </c>
      <c r="BK873" s="99">
        <f t="shared" si="11"/>
        <v>533</v>
      </c>
      <c r="BL873" s="99">
        <f t="shared" si="12"/>
        <v>0</v>
      </c>
      <c r="BM873" s="99" t="str">
        <f>IFERROR(__xludf.DUMMYFUNCTION("IFERROR(VLOOKUP(BG873,IMPORTRANGE(""https://docs.google.com/spreadsheets/d/1juPI-Fb8LD0YtltB2mlGEnp_R3UVu1t3wSFPzgCyHXE/edit?gid=0#gid=0"",""GERAL!A2:C""),3,0),""-"")"),"-")</f>
        <v>-</v>
      </c>
    </row>
    <row r="874" ht="15.75" customHeight="1">
      <c r="A874" s="111" t="s">
        <v>973</v>
      </c>
      <c r="B874" s="83" t="s">
        <v>4306</v>
      </c>
      <c r="C874" s="83" t="s">
        <v>68</v>
      </c>
      <c r="D874" s="112">
        <v>1137346.0</v>
      </c>
      <c r="E874" s="83"/>
      <c r="F874" s="83">
        <v>2.9254426E7</v>
      </c>
      <c r="G874" s="119" t="s">
        <v>4307</v>
      </c>
      <c r="H874" s="108" t="s">
        <v>4308</v>
      </c>
      <c r="I874" s="229" t="s">
        <v>4309</v>
      </c>
      <c r="J874" s="83" t="s">
        <v>150</v>
      </c>
      <c r="K874" s="83" t="s">
        <v>151</v>
      </c>
      <c r="L874" s="83" t="s">
        <v>152</v>
      </c>
      <c r="M874" s="82" t="str">
        <f>IFERROR(__xludf.DUMMYFUNCTION("IFERROR(VLOOKUP(D874,
IMPORTRANGE(""https://docs.google.com/spreadsheets/d/1MjHtlUikwobi2MaWJgy7tfLeBmhj1u-dRFRs_8GwSoA/edit#gid=0"",""Gestores Escolares!D7:J""),3,0),""VERIFICAR CÓD SEC"")"),"JOSE MILTON SOUZA PINTO")</f>
        <v>JOSE MILTON SOUZA PINTO</v>
      </c>
      <c r="N874" s="82" t="str">
        <f>IFERROR(__xludf.DUMMYFUNCTION("IFERROR(VLOOKUP(D874,
IMPORTRANGE(""https://docs.google.com/spreadsheets/d/1MjHtlUikwobi2MaWJgy7tfLeBmhj1u-dRFRs_8GwSoA/edit#gid=0"",""Gestores Escolares!D7:J""),4,0),""VERIFICAR CÓD SEC"")"),"(77) 9 9117-8868")</f>
        <v>(77) 9 9117-8868</v>
      </c>
      <c r="O874" s="82" t="str">
        <f>IFERROR(__xludf.DUMMYFUNCTION("IFERROR(VLOOKUP(D874,
IMPORTRANGE(""https://docs.google.com/spreadsheets/d/1MjHtlUikwobi2MaWJgy7tfLeBmhj1u-dRFRs_8GwSoA/edit#gid=0"",""Gestores Escolares!D7:J""),6,0),""VERIFICAR CÓD SEC"")"),"MARIA MEIRE ATAÍDE BRANDÃO")</f>
        <v>MARIA MEIRE ATAÍDE BRANDÃO</v>
      </c>
      <c r="P874" s="82" t="str">
        <f>IFERROR(__xludf.DUMMYFUNCTION("IFERROR(VLOOKUP(D874,
IMPORTRANGE(""https://docs.google.com/spreadsheets/d/1MjHtlUikwobi2MaWJgy7tfLeBmhj1u-dRFRs_8GwSoA/edit#gid=0"",""Gestores Escolares!D7:J""),7,0),""VERIFICAR CÓD SEC"")"),"(77) 9 9144-4250")</f>
        <v>(77) 9 9144-4250</v>
      </c>
      <c r="Q874" s="82" t="str">
        <f>IFERROR(__xludf.DUMMYFUNCTION("IFERROR(VLOOKUP(D874,
IMPORTRANGE(""https://docs.google.com/spreadsheets/d/1MjHtlUikwobi2MaWJgy7tfLeBmhj1u-dRFRs_8GwSoA/edit#gid=0"",""Gestores Escolares!D7:m""),9,0),""VERIFICAR CÓD SEC"")"),"MARINALVA SOUZA NASCIMENTO LEAO")</f>
        <v>MARINALVA SOUZA NASCIMENTO LEAO</v>
      </c>
      <c r="R874" s="82" t="str">
        <f>IFERROR(__xludf.DUMMYFUNCTION("IFERROR(VLOOKUP(D874,
IMPORTRANGE(""https://docs.google.com/spreadsheets/d/1MjHtlUikwobi2MaWJgy7tfLeBmhj1u-dRFRs_8GwSoA/edit#gid=0"",""Gestores Escolares!D7:m""),10,0),""VERIFICAR CÓD SEC"")"),"(77) 9 9110-0862")</f>
        <v>(77) 9 9110-0862</v>
      </c>
      <c r="S874" s="82"/>
      <c r="T874" s="138">
        <v>12.0</v>
      </c>
      <c r="U874" s="421">
        <v>12.0</v>
      </c>
      <c r="V874" s="106">
        <v>0.0</v>
      </c>
      <c r="W874" s="107">
        <v>0.0</v>
      </c>
      <c r="X874" s="107">
        <v>0.0</v>
      </c>
      <c r="Y874" s="107">
        <v>0.0</v>
      </c>
      <c r="Z874" s="80">
        <f t="shared" si="1"/>
        <v>0</v>
      </c>
      <c r="AA874" s="106">
        <v>0.0</v>
      </c>
      <c r="AB874" s="107">
        <v>0.0</v>
      </c>
      <c r="AC874" s="107">
        <v>0.0</v>
      </c>
      <c r="AD874" s="107">
        <v>0.0</v>
      </c>
      <c r="AE874" s="80">
        <f t="shared" si="2"/>
        <v>0</v>
      </c>
      <c r="AF874" s="140">
        <v>0.0</v>
      </c>
      <c r="AG874" s="109">
        <v>0.0</v>
      </c>
      <c r="AH874" s="109">
        <v>0.0</v>
      </c>
      <c r="AI874" s="141">
        <v>386.0</v>
      </c>
      <c r="AJ874" s="80">
        <f t="shared" si="3"/>
        <v>386</v>
      </c>
      <c r="AK874" s="140">
        <v>0.0</v>
      </c>
      <c r="AL874" s="109">
        <v>0.0</v>
      </c>
      <c r="AM874" s="141">
        <v>0.0</v>
      </c>
      <c r="AN874" s="80">
        <f t="shared" si="4"/>
        <v>0</v>
      </c>
      <c r="AO874" s="140">
        <v>0.0</v>
      </c>
      <c r="AP874" s="109">
        <v>0.0</v>
      </c>
      <c r="AQ874" s="109">
        <v>90.0</v>
      </c>
      <c r="AR874" s="80">
        <f t="shared" si="5"/>
        <v>90</v>
      </c>
      <c r="AS874" s="110">
        <v>0.0</v>
      </c>
      <c r="AT874" s="110">
        <v>0.0</v>
      </c>
      <c r="AU874" s="110">
        <v>23.0</v>
      </c>
      <c r="AV874" s="142">
        <v>68.0</v>
      </c>
      <c r="AW874" s="80">
        <f t="shared" si="6"/>
        <v>91</v>
      </c>
      <c r="AX874" s="113">
        <f t="shared" si="7"/>
        <v>567</v>
      </c>
      <c r="AY874" s="117">
        <f t="shared" si="8"/>
        <v>454</v>
      </c>
      <c r="AZ874" s="120">
        <f t="shared" si="9"/>
        <v>113</v>
      </c>
      <c r="BA874" s="115">
        <v>0.0</v>
      </c>
      <c r="BB874" s="89">
        <f t="shared" si="10"/>
        <v>567</v>
      </c>
      <c r="BC874" s="132" t="s">
        <v>178</v>
      </c>
      <c r="BD874" s="132" t="s">
        <v>178</v>
      </c>
      <c r="BE874" s="132" t="s">
        <v>178</v>
      </c>
      <c r="BF874" s="156"/>
      <c r="BG874" s="83">
        <v>1137346.0</v>
      </c>
      <c r="BH874" s="112"/>
      <c r="BI874" s="112">
        <v>13.0</v>
      </c>
      <c r="BJ874" s="98" t="s">
        <v>155</v>
      </c>
      <c r="BK874" s="99">
        <f t="shared" si="11"/>
        <v>454</v>
      </c>
      <c r="BL874" s="99">
        <f t="shared" si="12"/>
        <v>0</v>
      </c>
      <c r="BM874" s="99" t="str">
        <f>IFERROR(__xludf.DUMMYFUNCTION("IFERROR(VLOOKUP(BG874,IMPORTRANGE(""https://docs.google.com/spreadsheets/d/1juPI-Fb8LD0YtltB2mlGEnp_R3UVu1t3wSFPzgCyHXE/edit?gid=0#gid=0"",""GERAL!A2:C""),3,0),""-"")"),"-")</f>
        <v>-</v>
      </c>
    </row>
    <row r="875" ht="15.75" customHeight="1">
      <c r="A875" s="111" t="s">
        <v>1027</v>
      </c>
      <c r="B875" s="83" t="s">
        <v>4311</v>
      </c>
      <c r="C875" s="83" t="s">
        <v>68</v>
      </c>
      <c r="D875" s="112">
        <v>1123183.0</v>
      </c>
      <c r="E875" s="83"/>
      <c r="F875" s="83">
        <v>2.9081815E7</v>
      </c>
      <c r="G875" s="119" t="s">
        <v>4312</v>
      </c>
      <c r="H875" s="91" t="s">
        <v>4313</v>
      </c>
      <c r="I875" s="136" t="s">
        <v>4314</v>
      </c>
      <c r="J875" s="83" t="s">
        <v>519</v>
      </c>
      <c r="K875" s="83" t="s">
        <v>1685</v>
      </c>
      <c r="L875" s="83" t="s">
        <v>169</v>
      </c>
      <c r="M875" s="82" t="str">
        <f>IFERROR(__xludf.DUMMYFUNCTION("IFERROR(VLOOKUP(D875,
IMPORTRANGE(""https://docs.google.com/spreadsheets/d/1MjHtlUikwobi2MaWJgy7tfLeBmhj1u-dRFRs_8GwSoA/edit#gid=0"",""Gestores Escolares!D7:J""),3,0),""VERIFICAR CÓD SEC"")"),"GILMAR SOUZA BRITO")</f>
        <v>GILMAR SOUZA BRITO</v>
      </c>
      <c r="N875" s="82" t="str">
        <f>IFERROR(__xludf.DUMMYFUNCTION("IFERROR(VLOOKUP(D875,
IMPORTRANGE(""https://docs.google.com/spreadsheets/d/1MjHtlUikwobi2MaWJgy7tfLeBmhj1u-dRFRs_8GwSoA/edit#gid=0"",""Gestores Escolares!D7:J""),4,0),""VERIFICAR CÓD SEC"")"),"(75) 9 9905-0589")</f>
        <v>(75) 9 9905-0589</v>
      </c>
      <c r="O875" s="82" t="str">
        <f>IFERROR(__xludf.DUMMYFUNCTION("IFERROR(VLOOKUP(D875,
IMPORTRANGE(""https://docs.google.com/spreadsheets/d/1MjHtlUikwobi2MaWJgy7tfLeBmhj1u-dRFRs_8GwSoA/edit#gid=0"",""Gestores Escolares!D7:J""),6,0),""VERIFICAR CÓD SEC"")"),"")</f>
        <v/>
      </c>
      <c r="P875" s="82" t="str">
        <f>IFERROR(__xludf.DUMMYFUNCTION("IFERROR(VLOOKUP(D875,
IMPORTRANGE(""https://docs.google.com/spreadsheets/d/1MjHtlUikwobi2MaWJgy7tfLeBmhj1u-dRFRs_8GwSoA/edit#gid=0"",""Gestores Escolares!D7:J""),7,0),""VERIFICAR CÓD SEC"")"),"")</f>
        <v/>
      </c>
      <c r="Q875" s="82" t="str">
        <f>IFERROR(__xludf.DUMMYFUNCTION("IFERROR(VLOOKUP(D875,
IMPORTRANGE(""https://docs.google.com/spreadsheets/d/1MjHtlUikwobi2MaWJgy7tfLeBmhj1u-dRFRs_8GwSoA/edit#gid=0"",""Gestores Escolares!D7:m""),9,0),""VERIFICAR CÓD SEC"")"),"")</f>
        <v/>
      </c>
      <c r="R875" s="82" t="str">
        <f>IFERROR(__xludf.DUMMYFUNCTION("IFERROR(VLOOKUP(D875,
IMPORTRANGE(""https://docs.google.com/spreadsheets/d/1MjHtlUikwobi2MaWJgy7tfLeBmhj1u-dRFRs_8GwSoA/edit#gid=0"",""Gestores Escolares!D7:m""),10,0),""VERIFICAR CÓD SEC"")"),"")</f>
        <v/>
      </c>
      <c r="S875" s="82"/>
      <c r="T875" s="138">
        <v>4.0</v>
      </c>
      <c r="U875" s="145" t="s">
        <v>11976</v>
      </c>
      <c r="V875" s="106">
        <v>0.0</v>
      </c>
      <c r="W875" s="107">
        <v>0.0</v>
      </c>
      <c r="X875" s="107">
        <v>0.0</v>
      </c>
      <c r="Y875" s="107">
        <v>0.0</v>
      </c>
      <c r="Z875" s="80">
        <f t="shared" si="1"/>
        <v>0</v>
      </c>
      <c r="AA875" s="106">
        <v>0.0</v>
      </c>
      <c r="AB875" s="107">
        <v>0.0</v>
      </c>
      <c r="AC875" s="107">
        <v>0.0</v>
      </c>
      <c r="AD875" s="107">
        <v>0.0</v>
      </c>
      <c r="AE875" s="80">
        <f t="shared" si="2"/>
        <v>0</v>
      </c>
      <c r="AF875" s="140">
        <v>57.0</v>
      </c>
      <c r="AG875" s="109">
        <v>44.0</v>
      </c>
      <c r="AH875" s="109">
        <v>0.0</v>
      </c>
      <c r="AI875" s="141">
        <v>0.0</v>
      </c>
      <c r="AJ875" s="80">
        <f t="shared" si="3"/>
        <v>101</v>
      </c>
      <c r="AK875" s="140">
        <v>0.0</v>
      </c>
      <c r="AL875" s="109">
        <v>0.0</v>
      </c>
      <c r="AM875" s="141">
        <v>0.0</v>
      </c>
      <c r="AN875" s="80">
        <f t="shared" si="4"/>
        <v>0</v>
      </c>
      <c r="AO875" s="140">
        <v>0.0</v>
      </c>
      <c r="AP875" s="109">
        <v>0.0</v>
      </c>
      <c r="AQ875" s="109">
        <v>0.0</v>
      </c>
      <c r="AR875" s="80">
        <f t="shared" si="5"/>
        <v>0</v>
      </c>
      <c r="AS875" s="110">
        <v>0.0</v>
      </c>
      <c r="AT875" s="110">
        <v>0.0</v>
      </c>
      <c r="AU875" s="110">
        <v>0.0</v>
      </c>
      <c r="AV875" s="142">
        <v>0.0</v>
      </c>
      <c r="AW875" s="80">
        <f t="shared" si="6"/>
        <v>0</v>
      </c>
      <c r="AX875" s="113">
        <f t="shared" si="7"/>
        <v>101</v>
      </c>
      <c r="AY875" s="117">
        <f t="shared" si="8"/>
        <v>101</v>
      </c>
      <c r="AZ875" s="120">
        <f t="shared" si="9"/>
        <v>0</v>
      </c>
      <c r="BA875" s="115">
        <v>0.0</v>
      </c>
      <c r="BB875" s="89">
        <f t="shared" si="10"/>
        <v>101</v>
      </c>
      <c r="BC875" s="132" t="s">
        <v>373</v>
      </c>
      <c r="BD875" s="132" t="s">
        <v>178</v>
      </c>
      <c r="BE875" s="132" t="s">
        <v>178</v>
      </c>
      <c r="BF875" s="123"/>
      <c r="BG875" s="83">
        <v>1123183.0</v>
      </c>
      <c r="BH875" s="112"/>
      <c r="BI875" s="112">
        <v>3.0</v>
      </c>
      <c r="BJ875" s="98" t="s">
        <v>155</v>
      </c>
      <c r="BK875" s="99">
        <f t="shared" si="11"/>
        <v>0</v>
      </c>
      <c r="BL875" s="99">
        <f t="shared" si="12"/>
        <v>101</v>
      </c>
      <c r="BM875" s="99" t="str">
        <f>IFERROR(__xludf.DUMMYFUNCTION("IFERROR(VLOOKUP(BG875,IMPORTRANGE(""https://docs.google.com/spreadsheets/d/1juPI-Fb8LD0YtltB2mlGEnp_R3UVu1t3wSFPzgCyHXE/edit?gid=0#gid=0"",""GERAL!A2:C""),3,0),""-"")"),"CAMPO")</f>
        <v>CAMPO</v>
      </c>
    </row>
    <row r="876" ht="15.75" customHeight="1">
      <c r="A876" s="111" t="s">
        <v>1027</v>
      </c>
      <c r="B876" s="83" t="s">
        <v>4311</v>
      </c>
      <c r="C876" s="83" t="s">
        <v>68</v>
      </c>
      <c r="D876" s="112">
        <v>1164351.0</v>
      </c>
      <c r="E876" s="83"/>
      <c r="F876" s="83">
        <v>2.908144E7</v>
      </c>
      <c r="G876" s="119" t="s">
        <v>4316</v>
      </c>
      <c r="H876" s="91" t="s">
        <v>4317</v>
      </c>
      <c r="I876" s="136" t="s">
        <v>4318</v>
      </c>
      <c r="J876" s="83" t="s">
        <v>4319</v>
      </c>
      <c r="K876" s="83" t="s">
        <v>151</v>
      </c>
      <c r="L876" s="83" t="s">
        <v>169</v>
      </c>
      <c r="M876" s="82" t="str">
        <f>IFERROR(__xludf.DUMMYFUNCTION("IFERROR(VLOOKUP(D876,
IMPORTRANGE(""https://docs.google.com/spreadsheets/d/1MjHtlUikwobi2MaWJgy7tfLeBmhj1u-dRFRs_8GwSoA/edit#gid=0"",""Gestores Escolares!D7:J""),3,0),""VERIFICAR CÓD SEC"")"),"MARTINA EMILLE RIBEIRO CERQUEIRA")</f>
        <v>MARTINA EMILLE RIBEIRO CERQUEIRA</v>
      </c>
      <c r="N876" s="82" t="str">
        <f>IFERROR(__xludf.DUMMYFUNCTION("IFERROR(VLOOKUP(D876,
IMPORTRANGE(""https://docs.google.com/spreadsheets/d/1MjHtlUikwobi2MaWJgy7tfLeBmhj1u-dRFRs_8GwSoA/edit#gid=0"",""Gestores Escolares!D7:J""),4,0),""VERIFICAR CÓD SEC"")"),"(75) 9 9183-6383")</f>
        <v>(75) 9 9183-6383</v>
      </c>
      <c r="O876" s="82" t="str">
        <f>IFERROR(__xludf.DUMMYFUNCTION("IFERROR(VLOOKUP(D876,
IMPORTRANGE(""https://docs.google.com/spreadsheets/d/1MjHtlUikwobi2MaWJgy7tfLeBmhj1u-dRFRs_8GwSoA/edit#gid=0"",""Gestores Escolares!D7:J""),6,0),""VERIFICAR CÓD SEC"")"),"")</f>
        <v/>
      </c>
      <c r="P876" s="82" t="str">
        <f>IFERROR(__xludf.DUMMYFUNCTION("IFERROR(VLOOKUP(D876,
IMPORTRANGE(""https://docs.google.com/spreadsheets/d/1MjHtlUikwobi2MaWJgy7tfLeBmhj1u-dRFRs_8GwSoA/edit#gid=0"",""Gestores Escolares!D7:J""),7,0),""VERIFICAR CÓD SEC"")"),"")</f>
        <v/>
      </c>
      <c r="Q876" s="82" t="str">
        <f>IFERROR(__xludf.DUMMYFUNCTION("IFERROR(VLOOKUP(D876,
IMPORTRANGE(""https://docs.google.com/spreadsheets/d/1MjHtlUikwobi2MaWJgy7tfLeBmhj1u-dRFRs_8GwSoA/edit#gid=0"",""Gestores Escolares!D7:m""),9,0),""VERIFICAR CÓD SEC"")"),"")</f>
        <v/>
      </c>
      <c r="R876" s="82" t="str">
        <f>IFERROR(__xludf.DUMMYFUNCTION("IFERROR(VLOOKUP(D876,
IMPORTRANGE(""https://docs.google.com/spreadsheets/d/1MjHtlUikwobi2MaWJgy7tfLeBmhj1u-dRFRs_8GwSoA/edit#gid=0"",""Gestores Escolares!D7:m""),10,0),""VERIFICAR CÓD SEC"")"),"")</f>
        <v/>
      </c>
      <c r="S876" s="82"/>
      <c r="T876" s="138">
        <v>5.0</v>
      </c>
      <c r="U876" s="145" t="s">
        <v>11989</v>
      </c>
      <c r="V876" s="106">
        <v>0.0</v>
      </c>
      <c r="W876" s="107">
        <v>0.0</v>
      </c>
      <c r="X876" s="107">
        <v>0.0</v>
      </c>
      <c r="Y876" s="107">
        <v>0.0</v>
      </c>
      <c r="Z876" s="80">
        <f t="shared" si="1"/>
        <v>0</v>
      </c>
      <c r="AA876" s="106">
        <v>0.0</v>
      </c>
      <c r="AB876" s="107">
        <v>0.0</v>
      </c>
      <c r="AC876" s="107">
        <v>0.0</v>
      </c>
      <c r="AD876" s="107">
        <v>0.0</v>
      </c>
      <c r="AE876" s="80">
        <f t="shared" si="2"/>
        <v>0</v>
      </c>
      <c r="AF876" s="140">
        <v>5.0</v>
      </c>
      <c r="AG876" s="109">
        <v>54.0</v>
      </c>
      <c r="AH876" s="109">
        <v>0.0</v>
      </c>
      <c r="AI876" s="141">
        <v>0.0</v>
      </c>
      <c r="AJ876" s="80">
        <f t="shared" si="3"/>
        <v>59</v>
      </c>
      <c r="AK876" s="140">
        <v>0.0</v>
      </c>
      <c r="AL876" s="109">
        <v>0.0</v>
      </c>
      <c r="AM876" s="141">
        <v>0.0</v>
      </c>
      <c r="AN876" s="80">
        <f t="shared" si="4"/>
        <v>0</v>
      </c>
      <c r="AO876" s="140">
        <v>0.0</v>
      </c>
      <c r="AP876" s="109">
        <v>0.0</v>
      </c>
      <c r="AQ876" s="109">
        <v>0.0</v>
      </c>
      <c r="AR876" s="80">
        <f t="shared" si="5"/>
        <v>0</v>
      </c>
      <c r="AS876" s="110">
        <v>0.0</v>
      </c>
      <c r="AT876" s="110">
        <v>0.0</v>
      </c>
      <c r="AU876" s="110">
        <v>0.0</v>
      </c>
      <c r="AV876" s="142">
        <v>0.0</v>
      </c>
      <c r="AW876" s="80">
        <f t="shared" si="6"/>
        <v>0</v>
      </c>
      <c r="AX876" s="113">
        <f t="shared" si="7"/>
        <v>59</v>
      </c>
      <c r="AY876" s="117">
        <f t="shared" si="8"/>
        <v>59</v>
      </c>
      <c r="AZ876" s="120">
        <f t="shared" si="9"/>
        <v>0</v>
      </c>
      <c r="BA876" s="115">
        <v>0.0</v>
      </c>
      <c r="BB876" s="89">
        <f t="shared" si="10"/>
        <v>59</v>
      </c>
      <c r="BC876" s="132" t="s">
        <v>373</v>
      </c>
      <c r="BD876" s="132" t="s">
        <v>178</v>
      </c>
      <c r="BE876" s="132" t="s">
        <v>178</v>
      </c>
      <c r="BF876" s="156"/>
      <c r="BG876" s="83">
        <v>1164351.0</v>
      </c>
      <c r="BH876" s="112"/>
      <c r="BI876" s="112">
        <v>4.0</v>
      </c>
      <c r="BJ876" s="98" t="s">
        <v>155</v>
      </c>
      <c r="BK876" s="99">
        <f t="shared" si="11"/>
        <v>0</v>
      </c>
      <c r="BL876" s="99">
        <f t="shared" si="12"/>
        <v>59</v>
      </c>
      <c r="BM876" s="99" t="str">
        <f>IFERROR(__xludf.DUMMYFUNCTION("IFERROR(VLOOKUP(BG876,IMPORTRANGE(""https://docs.google.com/spreadsheets/d/1juPI-Fb8LD0YtltB2mlGEnp_R3UVu1t3wSFPzgCyHXE/edit?gid=0#gid=0"",""GERAL!A2:C""),3,0),""-"")"),"CAMPO")</f>
        <v>CAMPO</v>
      </c>
    </row>
    <row r="877" ht="15.75" customHeight="1">
      <c r="A877" s="111" t="s">
        <v>1027</v>
      </c>
      <c r="B877" s="83" t="s">
        <v>4311</v>
      </c>
      <c r="C877" s="83" t="s">
        <v>68</v>
      </c>
      <c r="D877" s="112">
        <v>1179112.0</v>
      </c>
      <c r="E877" s="83"/>
      <c r="F877" s="83">
        <v>2.9450837E7</v>
      </c>
      <c r="G877" s="119" t="s">
        <v>4321</v>
      </c>
      <c r="H877" s="91" t="s">
        <v>4322</v>
      </c>
      <c r="I877" s="83" t="s">
        <v>4323</v>
      </c>
      <c r="J877" s="83" t="s">
        <v>4324</v>
      </c>
      <c r="K877" s="83" t="s">
        <v>151</v>
      </c>
      <c r="L877" s="83" t="s">
        <v>169</v>
      </c>
      <c r="M877" s="82" t="str">
        <f>IFERROR(__xludf.DUMMYFUNCTION("IFERROR(VLOOKUP(D877,
IMPORTRANGE(""https://docs.google.com/spreadsheets/d/1MjHtlUikwobi2MaWJgy7tfLeBmhj1u-dRFRs_8GwSoA/edit#gid=0"",""Gestores Escolares!D7:J""),3,0),""VERIFICAR CÓD SEC"")"),"LENILDO BISPO DOS SANTOS")</f>
        <v>LENILDO BISPO DOS SANTOS</v>
      </c>
      <c r="N877" s="82" t="str">
        <f>IFERROR(__xludf.DUMMYFUNCTION("IFERROR(VLOOKUP(D877,
IMPORTRANGE(""https://docs.google.com/spreadsheets/d/1MjHtlUikwobi2MaWJgy7tfLeBmhj1u-dRFRs_8GwSoA/edit#gid=0"",""Gestores Escolares!D7:J""),4,0),""VERIFICAR CÓD SEC"")"),"(75) 9 9177-1310")</f>
        <v>(75) 9 9177-1310</v>
      </c>
      <c r="O877" s="82" t="str">
        <f>IFERROR(__xludf.DUMMYFUNCTION("IFERROR(VLOOKUP(D877,
IMPORTRANGE(""https://docs.google.com/spreadsheets/d/1MjHtlUikwobi2MaWJgy7tfLeBmhj1u-dRFRs_8GwSoA/edit#gid=0"",""Gestores Escolares!D7:J""),6,0),""VERIFICAR CÓD SEC"")"),"")</f>
        <v/>
      </c>
      <c r="P877" s="82" t="str">
        <f>IFERROR(__xludf.DUMMYFUNCTION("IFERROR(VLOOKUP(D877,
IMPORTRANGE(""https://docs.google.com/spreadsheets/d/1MjHtlUikwobi2MaWJgy7tfLeBmhj1u-dRFRs_8GwSoA/edit#gid=0"",""Gestores Escolares!D7:J""),7,0),""VERIFICAR CÓD SEC"")"),"")</f>
        <v/>
      </c>
      <c r="Q877" s="82" t="str">
        <f>IFERROR(__xludf.DUMMYFUNCTION("IFERROR(VLOOKUP(D877,
IMPORTRANGE(""https://docs.google.com/spreadsheets/d/1MjHtlUikwobi2MaWJgy7tfLeBmhj1u-dRFRs_8GwSoA/edit#gid=0"",""Gestores Escolares!D7:m""),9,0),""VERIFICAR CÓD SEC"")"),"        OLGAILDES MASCARENHAS OLIVEIRA (SECRETÁRIA ESCOLAR)")</f>
        <v>        OLGAILDES MASCARENHAS OLIVEIRA (SECRETÁRIA ESCOLAR)</v>
      </c>
      <c r="R877" s="82" t="str">
        <f>IFERROR(__xludf.DUMMYFUNCTION("IFERROR(VLOOKUP(D877,
IMPORTRANGE(""https://docs.google.com/spreadsheets/d/1MjHtlUikwobi2MaWJgy7tfLeBmhj1u-dRFRs_8GwSoA/edit#gid=0"",""Gestores Escolares!D7:m""),10,0),""VERIFICAR CÓD SEC"")"),"(75) 9 8821-5285")</f>
        <v>(75) 9 8821-5285</v>
      </c>
      <c r="S877" s="82"/>
      <c r="T877" s="138">
        <v>2.0</v>
      </c>
      <c r="U877" s="139">
        <v>2.0</v>
      </c>
      <c r="V877" s="106">
        <v>0.0</v>
      </c>
      <c r="W877" s="107">
        <v>0.0</v>
      </c>
      <c r="X877" s="107">
        <v>0.0</v>
      </c>
      <c r="Y877" s="107">
        <v>0.0</v>
      </c>
      <c r="Z877" s="80">
        <f t="shared" si="1"/>
        <v>0</v>
      </c>
      <c r="AA877" s="106">
        <v>0.0</v>
      </c>
      <c r="AB877" s="107">
        <v>0.0</v>
      </c>
      <c r="AC877" s="107">
        <v>0.0</v>
      </c>
      <c r="AD877" s="107">
        <v>0.0</v>
      </c>
      <c r="AE877" s="80">
        <f t="shared" si="2"/>
        <v>0</v>
      </c>
      <c r="AF877" s="140">
        <v>37.0</v>
      </c>
      <c r="AG877" s="109">
        <v>17.0</v>
      </c>
      <c r="AH877" s="109">
        <v>0.0</v>
      </c>
      <c r="AI877" s="141">
        <v>0.0</v>
      </c>
      <c r="AJ877" s="80">
        <f t="shared" si="3"/>
        <v>54</v>
      </c>
      <c r="AK877" s="140">
        <v>0.0</v>
      </c>
      <c r="AL877" s="109">
        <v>0.0</v>
      </c>
      <c r="AM877" s="141">
        <v>0.0</v>
      </c>
      <c r="AN877" s="80">
        <f t="shared" si="4"/>
        <v>0</v>
      </c>
      <c r="AO877" s="140">
        <v>0.0</v>
      </c>
      <c r="AP877" s="109">
        <v>0.0</v>
      </c>
      <c r="AQ877" s="109">
        <v>6.0</v>
      </c>
      <c r="AR877" s="80">
        <f t="shared" si="5"/>
        <v>6</v>
      </c>
      <c r="AS877" s="110">
        <v>0.0</v>
      </c>
      <c r="AT877" s="110">
        <v>0.0</v>
      </c>
      <c r="AU877" s="110">
        <v>0.0</v>
      </c>
      <c r="AV877" s="142">
        <v>0.0</v>
      </c>
      <c r="AW877" s="80">
        <f t="shared" si="6"/>
        <v>0</v>
      </c>
      <c r="AX877" s="113">
        <f t="shared" si="7"/>
        <v>60</v>
      </c>
      <c r="AY877" s="117">
        <f t="shared" si="8"/>
        <v>54</v>
      </c>
      <c r="AZ877" s="120">
        <f t="shared" si="9"/>
        <v>6</v>
      </c>
      <c r="BA877" s="115">
        <v>0.0</v>
      </c>
      <c r="BB877" s="89">
        <f t="shared" si="10"/>
        <v>60</v>
      </c>
      <c r="BC877" s="132" t="s">
        <v>631</v>
      </c>
      <c r="BD877" s="132" t="s">
        <v>178</v>
      </c>
      <c r="BE877" s="132" t="s">
        <v>178</v>
      </c>
      <c r="BF877" s="156"/>
      <c r="BG877" s="83">
        <v>1179112.0</v>
      </c>
      <c r="BH877" s="112"/>
      <c r="BI877" s="112">
        <v>2.0</v>
      </c>
      <c r="BJ877" s="98" t="s">
        <v>155</v>
      </c>
      <c r="BK877" s="99">
        <f t="shared" si="11"/>
        <v>0</v>
      </c>
      <c r="BL877" s="99">
        <f t="shared" si="12"/>
        <v>54</v>
      </c>
      <c r="BM877" s="99" t="str">
        <f>IFERROR(__xludf.DUMMYFUNCTION("IFERROR(VLOOKUP(BG877,IMPORTRANGE(""https://docs.google.com/spreadsheets/d/1juPI-Fb8LD0YtltB2mlGEnp_R3UVu1t3wSFPzgCyHXE/edit?gid=0#gid=0"",""GERAL!A2:C""),3,0),""-"")"),"ASSENTAMENTOS")</f>
        <v>ASSENTAMENTOS</v>
      </c>
    </row>
    <row r="878" ht="15.75" customHeight="1">
      <c r="A878" s="111" t="s">
        <v>1027</v>
      </c>
      <c r="B878" s="83" t="s">
        <v>4311</v>
      </c>
      <c r="C878" s="83" t="s">
        <v>68</v>
      </c>
      <c r="D878" s="112">
        <v>1123159.0</v>
      </c>
      <c r="E878" s="83"/>
      <c r="F878" s="83">
        <v>2.9081319E7</v>
      </c>
      <c r="G878" s="119" t="s">
        <v>4326</v>
      </c>
      <c r="H878" s="91" t="s">
        <v>4327</v>
      </c>
      <c r="I878" s="83" t="s">
        <v>149</v>
      </c>
      <c r="J878" s="83" t="s">
        <v>150</v>
      </c>
      <c r="K878" s="83" t="s">
        <v>151</v>
      </c>
      <c r="L878" s="98" t="s">
        <v>1421</v>
      </c>
      <c r="M878" s="82" t="str">
        <f>IFERROR(__xludf.DUMMYFUNCTION("IFERROR(VLOOKUP(D878,
IMPORTRANGE(""https://docs.google.com/spreadsheets/d/1MjHtlUikwobi2MaWJgy7tfLeBmhj1u-dRFRs_8GwSoA/edit#gid=0"",""Gestores Escolares!D7:J""),3,0),""VERIFICAR CÓD SEC"")"),"ROBERTO MACEDO DA SILVA")</f>
        <v>ROBERTO MACEDO DA SILVA</v>
      </c>
      <c r="N878" s="82" t="str">
        <f>IFERROR(__xludf.DUMMYFUNCTION("IFERROR(VLOOKUP(D878,
IMPORTRANGE(""https://docs.google.com/spreadsheets/d/1MjHtlUikwobi2MaWJgy7tfLeBmhj1u-dRFRs_8GwSoA/edit#gid=0"",""Gestores Escolares!D7:J""),4,0),""VERIFICAR CÓD SEC"")"),"(75) 9 9231-9153")</f>
        <v>(75) 9 9231-9153</v>
      </c>
      <c r="O878" s="82" t="str">
        <f>IFERROR(__xludf.DUMMYFUNCTION("IFERROR(VLOOKUP(D878,
IMPORTRANGE(""https://docs.google.com/spreadsheets/d/1MjHtlUikwobi2MaWJgy7tfLeBmhj1u-dRFRs_8GwSoA/edit#gid=0"",""Gestores Escolares!D7:J""),6,0),""VERIFICAR CÓD SEC"")"),"AUDO MASCARENHAS RAFAEL BARROS")</f>
        <v>AUDO MASCARENHAS RAFAEL BARROS</v>
      </c>
      <c r="P878" s="82" t="str">
        <f>IFERROR(__xludf.DUMMYFUNCTION("IFERROR(VLOOKUP(D878,
IMPORTRANGE(""https://docs.google.com/spreadsheets/d/1MjHtlUikwobi2MaWJgy7tfLeBmhj1u-dRFRs_8GwSoA/edit#gid=0"",""Gestores Escolares!D7:J""),7,0),""VERIFICAR CÓD SEC"")"),"(75) 9 8835-7571")</f>
        <v>(75) 9 8835-7571</v>
      </c>
      <c r="Q878" s="82" t="str">
        <f>IFERROR(__xludf.DUMMYFUNCTION("IFERROR(VLOOKUP(D878,
IMPORTRANGE(""https://docs.google.com/spreadsheets/d/1MjHtlUikwobi2MaWJgy7tfLeBmhj1u-dRFRs_8GwSoA/edit#gid=0"",""Gestores Escolares!D7:m""),9,0),""VERIFICAR CÓD SEC"")"),"")</f>
        <v/>
      </c>
      <c r="R878" s="82" t="str">
        <f>IFERROR(__xludf.DUMMYFUNCTION("IFERROR(VLOOKUP(D878,
IMPORTRANGE(""https://docs.google.com/spreadsheets/d/1MjHtlUikwobi2MaWJgy7tfLeBmhj1u-dRFRs_8GwSoA/edit#gid=0"",""Gestores Escolares!D7:m""),10,0),""VERIFICAR CÓD SEC"")"),"")</f>
        <v/>
      </c>
      <c r="S878" s="82"/>
      <c r="T878" s="138">
        <v>10.0</v>
      </c>
      <c r="U878" s="139">
        <v>9.0</v>
      </c>
      <c r="V878" s="106">
        <v>0.0</v>
      </c>
      <c r="W878" s="107">
        <v>0.0</v>
      </c>
      <c r="X878" s="107">
        <v>0.0</v>
      </c>
      <c r="Y878" s="107">
        <v>0.0</v>
      </c>
      <c r="Z878" s="80">
        <f t="shared" si="1"/>
        <v>0</v>
      </c>
      <c r="AA878" s="106">
        <v>0.0</v>
      </c>
      <c r="AB878" s="107">
        <v>0.0</v>
      </c>
      <c r="AC878" s="107">
        <v>0.0</v>
      </c>
      <c r="AD878" s="107">
        <v>0.0</v>
      </c>
      <c r="AE878" s="80">
        <f t="shared" si="2"/>
        <v>0</v>
      </c>
      <c r="AF878" s="222">
        <v>158.0</v>
      </c>
      <c r="AG878" s="222">
        <v>69.0</v>
      </c>
      <c r="AH878" s="222">
        <v>0.0</v>
      </c>
      <c r="AI878" s="224">
        <v>90.0</v>
      </c>
      <c r="AJ878" s="80">
        <f t="shared" si="3"/>
        <v>317</v>
      </c>
      <c r="AK878" s="140">
        <v>0.0</v>
      </c>
      <c r="AL878" s="109">
        <v>0.0</v>
      </c>
      <c r="AM878" s="141">
        <v>0.0</v>
      </c>
      <c r="AN878" s="80">
        <f t="shared" si="4"/>
        <v>0</v>
      </c>
      <c r="AO878" s="222">
        <v>0.0</v>
      </c>
      <c r="AP878" s="222">
        <v>0.0</v>
      </c>
      <c r="AQ878" s="224">
        <v>57.0</v>
      </c>
      <c r="AR878" s="80">
        <f t="shared" si="5"/>
        <v>57</v>
      </c>
      <c r="AS878" s="110">
        <v>0.0</v>
      </c>
      <c r="AT878" s="110">
        <v>0.0</v>
      </c>
      <c r="AU878" s="110">
        <v>44.0</v>
      </c>
      <c r="AV878" s="142">
        <v>57.0</v>
      </c>
      <c r="AW878" s="80">
        <f t="shared" si="6"/>
        <v>101</v>
      </c>
      <c r="AX878" s="113">
        <f t="shared" si="7"/>
        <v>475</v>
      </c>
      <c r="AY878" s="117">
        <f t="shared" si="8"/>
        <v>374</v>
      </c>
      <c r="AZ878" s="120">
        <f t="shared" si="9"/>
        <v>101</v>
      </c>
      <c r="BA878" s="115">
        <v>0.0</v>
      </c>
      <c r="BB878" s="89">
        <f t="shared" si="10"/>
        <v>475</v>
      </c>
      <c r="BC878" s="132" t="s">
        <v>178</v>
      </c>
      <c r="BD878" s="132" t="s">
        <v>178</v>
      </c>
      <c r="BE878" s="132" t="s">
        <v>178</v>
      </c>
      <c r="BF878" s="123"/>
      <c r="BG878" s="83">
        <v>1123159.0</v>
      </c>
      <c r="BH878" s="112"/>
      <c r="BI878" s="112">
        <v>9.0</v>
      </c>
      <c r="BJ878" s="98" t="s">
        <v>155</v>
      </c>
      <c r="BK878" s="99">
        <f t="shared" si="11"/>
        <v>147</v>
      </c>
      <c r="BL878" s="99">
        <f t="shared" si="12"/>
        <v>227</v>
      </c>
      <c r="BM878" s="99" t="str">
        <f>IFERROR(__xludf.DUMMYFUNCTION("IFERROR(VLOOKUP(BG878,IMPORTRANGE(""https://docs.google.com/spreadsheets/d/1juPI-Fb8LD0YtltB2mlGEnp_R3UVu1t3wSFPzgCyHXE/edit?gid=0#gid=0"",""GERAL!A2:C""),3,0),""-"")"),"-")</f>
        <v>-</v>
      </c>
    </row>
    <row r="879" ht="15.75" customHeight="1">
      <c r="A879" s="111" t="s">
        <v>1027</v>
      </c>
      <c r="B879" s="83" t="s">
        <v>4311</v>
      </c>
      <c r="C879" s="83" t="s">
        <v>164</v>
      </c>
      <c r="D879" s="112">
        <v>1179112.0</v>
      </c>
      <c r="E879" s="83">
        <v>1179187.0</v>
      </c>
      <c r="F879" s="98">
        <v>2.9491568E7</v>
      </c>
      <c r="G879" s="119" t="s">
        <v>4336</v>
      </c>
      <c r="H879" s="91" t="s">
        <v>4337</v>
      </c>
      <c r="I879" s="83" t="s">
        <v>4338</v>
      </c>
      <c r="J879" s="83" t="s">
        <v>467</v>
      </c>
      <c r="K879" s="83" t="s">
        <v>168</v>
      </c>
      <c r="L879" s="83" t="s">
        <v>169</v>
      </c>
      <c r="M879" s="82" t="str">
        <f>IFERROR(__xludf.DUMMYFUNCTION("IFERROR(VLOOKUP(D879,
IMPORTRANGE(""https://docs.google.com/spreadsheets/d/1MjHtlUikwobi2MaWJgy7tfLeBmhj1u-dRFRs_8GwSoA/edit#gid=0"",""Gestores Escolares!D7:J""),3,0),""VERIFICAR CÓD SEC"")"),"LENILDO BISPO DOS SANTOS")</f>
        <v>LENILDO BISPO DOS SANTOS</v>
      </c>
      <c r="N879" s="82" t="str">
        <f>IFERROR(__xludf.DUMMYFUNCTION("IFERROR(VLOOKUP(D879,
IMPORTRANGE(""https://docs.google.com/spreadsheets/d/1MjHtlUikwobi2MaWJgy7tfLeBmhj1u-dRFRs_8GwSoA/edit#gid=0"",""Gestores Escolares!D7:J""),4,0),""VERIFICAR CÓD SEC"")"),"(75) 9 9177-1310")</f>
        <v>(75) 9 9177-1310</v>
      </c>
      <c r="O879" s="82" t="str">
        <f>IFERROR(__xludf.DUMMYFUNCTION("IFERROR(VLOOKUP(D879,
IMPORTRANGE(""https://docs.google.com/spreadsheets/d/1MjHtlUikwobi2MaWJgy7tfLeBmhj1u-dRFRs_8GwSoA/edit#gid=0"",""Gestores Escolares!D7:J""),6,0),""VERIFICAR CÓD SEC"")"),"")</f>
        <v/>
      </c>
      <c r="P879" s="82" t="str">
        <f>IFERROR(__xludf.DUMMYFUNCTION("IFERROR(VLOOKUP(D879,
IMPORTRANGE(""https://docs.google.com/spreadsheets/d/1MjHtlUikwobi2MaWJgy7tfLeBmhj1u-dRFRs_8GwSoA/edit#gid=0"",""Gestores Escolares!D7:J""),7,0),""VERIFICAR CÓD SEC"")"),"")</f>
        <v/>
      </c>
      <c r="Q879" s="82" t="str">
        <f>IFERROR(__xludf.DUMMYFUNCTION("IFERROR(VLOOKUP(D879,
IMPORTRANGE(""https://docs.google.com/spreadsheets/d/1MjHtlUikwobi2MaWJgy7tfLeBmhj1u-dRFRs_8GwSoA/edit#gid=0"",""Gestores Escolares!D7:m""),9,0),""VERIFICAR CÓD SEC"")"),"        OLGAILDES MASCARENHAS OLIVEIRA (SECRETÁRIA ESCOLAR)")</f>
        <v>        OLGAILDES MASCARENHAS OLIVEIRA (SECRETÁRIA ESCOLAR)</v>
      </c>
      <c r="R879" s="82" t="str">
        <f>IFERROR(__xludf.DUMMYFUNCTION("IFERROR(VLOOKUP(D879,
IMPORTRANGE(""https://docs.google.com/spreadsheets/d/1MjHtlUikwobi2MaWJgy7tfLeBmhj1u-dRFRs_8GwSoA/edit#gid=0"",""Gestores Escolares!D7:m""),10,0),""VERIFICAR CÓD SEC"")"),"(75) 9 8821-5285")</f>
        <v>(75) 9 8821-5285</v>
      </c>
      <c r="S879" s="82"/>
      <c r="T879" s="138">
        <v>3.0</v>
      </c>
      <c r="U879" s="139">
        <v>3.0</v>
      </c>
      <c r="V879" s="106">
        <v>0.0</v>
      </c>
      <c r="W879" s="107">
        <v>0.0</v>
      </c>
      <c r="X879" s="107">
        <v>0.0</v>
      </c>
      <c r="Y879" s="107">
        <v>0.0</v>
      </c>
      <c r="Z879" s="80">
        <f t="shared" si="1"/>
        <v>0</v>
      </c>
      <c r="AA879" s="106">
        <v>0.0</v>
      </c>
      <c r="AB879" s="107">
        <v>0.0</v>
      </c>
      <c r="AC879" s="107">
        <v>0.0</v>
      </c>
      <c r="AD879" s="107">
        <v>0.0</v>
      </c>
      <c r="AE879" s="80">
        <f t="shared" si="2"/>
        <v>0</v>
      </c>
      <c r="AF879" s="140">
        <v>0.0</v>
      </c>
      <c r="AG879" s="109">
        <v>0.0</v>
      </c>
      <c r="AH879" s="109">
        <v>0.0</v>
      </c>
      <c r="AI879" s="141">
        <v>0.0</v>
      </c>
      <c r="AJ879" s="80">
        <f t="shared" si="3"/>
        <v>0</v>
      </c>
      <c r="AK879" s="140">
        <v>0.0</v>
      </c>
      <c r="AL879" s="109">
        <v>0.0</v>
      </c>
      <c r="AM879" s="141">
        <v>0.0</v>
      </c>
      <c r="AN879" s="80">
        <f t="shared" si="4"/>
        <v>0</v>
      </c>
      <c r="AO879" s="140">
        <v>0.0</v>
      </c>
      <c r="AP879" s="109">
        <v>0.0</v>
      </c>
      <c r="AQ879" s="109">
        <v>20.0</v>
      </c>
      <c r="AR879" s="80">
        <f t="shared" si="5"/>
        <v>20</v>
      </c>
      <c r="AS879" s="110">
        <v>0.0</v>
      </c>
      <c r="AT879" s="110">
        <v>0.0</v>
      </c>
      <c r="AU879" s="110">
        <v>0.0</v>
      </c>
      <c r="AV879" s="142">
        <v>0.0</v>
      </c>
      <c r="AW879" s="80">
        <f t="shared" si="6"/>
        <v>0</v>
      </c>
      <c r="AX879" s="113">
        <f t="shared" si="7"/>
        <v>20</v>
      </c>
      <c r="AY879" s="117">
        <f t="shared" si="8"/>
        <v>0</v>
      </c>
      <c r="AZ879" s="120">
        <f t="shared" si="9"/>
        <v>20</v>
      </c>
      <c r="BA879" s="115">
        <v>0.0</v>
      </c>
      <c r="BB879" s="89">
        <f t="shared" si="10"/>
        <v>20</v>
      </c>
      <c r="BC879" s="132" t="s">
        <v>631</v>
      </c>
      <c r="BD879" s="132" t="s">
        <v>178</v>
      </c>
      <c r="BE879" s="132" t="s">
        <v>178</v>
      </c>
      <c r="BF879" s="123"/>
      <c r="BG879" s="83">
        <v>1179187.0</v>
      </c>
      <c r="BH879" s="112"/>
      <c r="BI879" s="112">
        <v>3.0</v>
      </c>
      <c r="BJ879" s="98" t="s">
        <v>155</v>
      </c>
      <c r="BK879" s="99">
        <f t="shared" si="11"/>
        <v>0</v>
      </c>
      <c r="BL879" s="99">
        <f t="shared" si="12"/>
        <v>0</v>
      </c>
      <c r="BM879" s="99" t="str">
        <f>IFERROR(__xludf.DUMMYFUNCTION("IFERROR(VLOOKUP(BG879,IMPORTRANGE(""https://docs.google.com/spreadsheets/d/1juPI-Fb8LD0YtltB2mlGEnp_R3UVu1t3wSFPzgCyHXE/edit?gid=0#gid=0"",""GERAL!A2:C""),3,0),""-"")"),"ASSENTAMENTOS")</f>
        <v>ASSENTAMENTOS</v>
      </c>
    </row>
    <row r="880" ht="15.75" customHeight="1">
      <c r="A880" s="111" t="s">
        <v>1027</v>
      </c>
      <c r="B880" s="83" t="s">
        <v>4344</v>
      </c>
      <c r="C880" s="83" t="s">
        <v>68</v>
      </c>
      <c r="D880" s="112">
        <v>1123310.0</v>
      </c>
      <c r="E880" s="83"/>
      <c r="F880" s="83">
        <v>2.9082234E7</v>
      </c>
      <c r="G880" s="119" t="s">
        <v>4347</v>
      </c>
      <c r="H880" s="91" t="s">
        <v>4348</v>
      </c>
      <c r="I880" s="136" t="s">
        <v>149</v>
      </c>
      <c r="J880" s="83" t="s">
        <v>150</v>
      </c>
      <c r="K880" s="83" t="s">
        <v>151</v>
      </c>
      <c r="L880" s="83" t="s">
        <v>230</v>
      </c>
      <c r="M880" s="82" t="str">
        <f>IFERROR(__xludf.DUMMYFUNCTION("IFERROR(VLOOKUP(D880,
IMPORTRANGE(""https://docs.google.com/spreadsheets/d/1MjHtlUikwobi2MaWJgy7tfLeBmhj1u-dRFRs_8GwSoA/edit#gid=0"",""Gestores Escolares!D7:J""),3,0),""VERIFICAR CÓD SEC"")"),"LILIAN RAFAELLA CASTELHANO DIAS")</f>
        <v>LILIAN RAFAELLA CASTELHANO DIAS</v>
      </c>
      <c r="N880" s="82" t="str">
        <f>IFERROR(__xludf.DUMMYFUNCTION("IFERROR(VLOOKUP(D880,
IMPORTRANGE(""https://docs.google.com/spreadsheets/d/1MjHtlUikwobi2MaWJgy7tfLeBmhj1u-dRFRs_8GwSoA/edit#gid=0"",""Gestores Escolares!D7:J""),4,0),""VERIFICAR CÓD SEC"")"),"(75) 9 8161-7552")</f>
        <v>(75) 9 8161-7552</v>
      </c>
      <c r="O880" s="82" t="str">
        <f>IFERROR(__xludf.DUMMYFUNCTION("IFERROR(VLOOKUP(D880,
IMPORTRANGE(""https://docs.google.com/spreadsheets/d/1MjHtlUikwobi2MaWJgy7tfLeBmhj1u-dRFRs_8GwSoA/edit#gid=0"",""Gestores Escolares!D7:J""),6,0),""VERIFICAR CÓD SEC"")"),"JEANNE COUTO RIBEIRO")</f>
        <v>JEANNE COUTO RIBEIRO</v>
      </c>
      <c r="P880" s="82" t="str">
        <f>IFERROR(__xludf.DUMMYFUNCTION("IFERROR(VLOOKUP(D880,
IMPORTRANGE(""https://docs.google.com/spreadsheets/d/1MjHtlUikwobi2MaWJgy7tfLeBmhj1u-dRFRs_8GwSoA/edit#gid=0"",""Gestores Escolares!D7:J""),7,0),""VERIFICAR CÓD SEC"")"),"(75) 9 9161-8311")</f>
        <v>(75) 9 9161-8311</v>
      </c>
      <c r="Q880" s="82" t="str">
        <f>IFERROR(__xludf.DUMMYFUNCTION("IFERROR(VLOOKUP(D880,
IMPORTRANGE(""https://docs.google.com/spreadsheets/d/1MjHtlUikwobi2MaWJgy7tfLeBmhj1u-dRFRs_8GwSoA/edit#gid=0"",""Gestores Escolares!D7:m""),9,0),""VERIFICAR CÓD SEC"")"),"MEIRIVALDO OLIVEIRA DA SILVA")</f>
        <v>MEIRIVALDO OLIVEIRA DA SILVA</v>
      </c>
      <c r="R880" s="82" t="str">
        <f>IFERROR(__xludf.DUMMYFUNCTION("IFERROR(VLOOKUP(D880,
IMPORTRANGE(""https://docs.google.com/spreadsheets/d/1MjHtlUikwobi2MaWJgy7tfLeBmhj1u-dRFRs_8GwSoA/edit#gid=0"",""Gestores Escolares!D7:m""),10,0),""VERIFICAR CÓD SEC"")"),"(75) 9 8283-3732")</f>
        <v>(75) 9 8283-3732</v>
      </c>
      <c r="S880" s="82"/>
      <c r="T880" s="138">
        <v>14.0</v>
      </c>
      <c r="U880" s="152">
        <v>16.0</v>
      </c>
      <c r="V880" s="106">
        <v>0.0</v>
      </c>
      <c r="W880" s="107">
        <v>0.0</v>
      </c>
      <c r="X880" s="107">
        <v>0.0</v>
      </c>
      <c r="Y880" s="107">
        <v>0.0</v>
      </c>
      <c r="Z880" s="80">
        <f t="shared" si="1"/>
        <v>0</v>
      </c>
      <c r="AA880" s="106">
        <v>0.0</v>
      </c>
      <c r="AB880" s="107">
        <v>0.0</v>
      </c>
      <c r="AC880" s="107">
        <v>0.0</v>
      </c>
      <c r="AD880" s="107">
        <v>0.0</v>
      </c>
      <c r="AE880" s="80">
        <f t="shared" si="2"/>
        <v>0</v>
      </c>
      <c r="AF880" s="140">
        <v>160.0</v>
      </c>
      <c r="AG880" s="109">
        <v>77.0</v>
      </c>
      <c r="AH880" s="109">
        <v>0.0</v>
      </c>
      <c r="AI880" s="141">
        <v>208.0</v>
      </c>
      <c r="AJ880" s="80">
        <f t="shared" si="3"/>
        <v>445</v>
      </c>
      <c r="AK880" s="140">
        <v>0.0</v>
      </c>
      <c r="AL880" s="109">
        <v>0.0</v>
      </c>
      <c r="AM880" s="141">
        <v>0.0</v>
      </c>
      <c r="AN880" s="80">
        <f t="shared" si="4"/>
        <v>0</v>
      </c>
      <c r="AO880" s="140">
        <v>0.0</v>
      </c>
      <c r="AP880" s="109">
        <v>0.0</v>
      </c>
      <c r="AQ880" s="109">
        <v>221.0</v>
      </c>
      <c r="AR880" s="80">
        <f t="shared" si="5"/>
        <v>221</v>
      </c>
      <c r="AS880" s="110">
        <v>0.0</v>
      </c>
      <c r="AT880" s="110">
        <v>57.0</v>
      </c>
      <c r="AU880" s="110">
        <v>0.0</v>
      </c>
      <c r="AV880" s="142">
        <v>35.0</v>
      </c>
      <c r="AW880" s="80">
        <f t="shared" si="6"/>
        <v>92</v>
      </c>
      <c r="AX880" s="113">
        <f t="shared" si="7"/>
        <v>758</v>
      </c>
      <c r="AY880" s="117">
        <f t="shared" si="8"/>
        <v>537</v>
      </c>
      <c r="AZ880" s="120">
        <f t="shared" si="9"/>
        <v>221</v>
      </c>
      <c r="BA880" s="115">
        <v>0.0</v>
      </c>
      <c r="BB880" s="89">
        <f t="shared" si="10"/>
        <v>758</v>
      </c>
      <c r="BC880" s="132" t="s">
        <v>178</v>
      </c>
      <c r="BD880" s="132" t="s">
        <v>178</v>
      </c>
      <c r="BE880" s="132" t="s">
        <v>178</v>
      </c>
      <c r="BF880" s="123"/>
      <c r="BG880" s="83">
        <v>1123310.0</v>
      </c>
      <c r="BH880" s="112"/>
      <c r="BI880" s="112">
        <v>16.0</v>
      </c>
      <c r="BJ880" s="98" t="s">
        <v>155</v>
      </c>
      <c r="BK880" s="99">
        <f t="shared" si="11"/>
        <v>243</v>
      </c>
      <c r="BL880" s="99">
        <f t="shared" si="12"/>
        <v>294</v>
      </c>
      <c r="BM880" s="99" t="str">
        <f>IFERROR(__xludf.DUMMYFUNCTION("IFERROR(VLOOKUP(BG880,IMPORTRANGE(""https://docs.google.com/spreadsheets/d/1juPI-Fb8LD0YtltB2mlGEnp_R3UVu1t3wSFPzgCyHXE/edit?gid=0#gid=0"",""GERAL!A2:C""),3,0),""-"")"),"-")</f>
        <v>-</v>
      </c>
    </row>
    <row r="881" ht="15.75" customHeight="1">
      <c r="A881" s="111" t="s">
        <v>1027</v>
      </c>
      <c r="B881" s="83" t="s">
        <v>4344</v>
      </c>
      <c r="C881" s="83" t="s">
        <v>164</v>
      </c>
      <c r="D881" s="112">
        <v>1123310.0</v>
      </c>
      <c r="E881" s="83">
        <v>1178736.0</v>
      </c>
      <c r="F881" s="98">
        <v>2.949261E7</v>
      </c>
      <c r="G881" s="119" t="s">
        <v>4350</v>
      </c>
      <c r="H881" s="91" t="s">
        <v>4351</v>
      </c>
      <c r="I881" s="136" t="s">
        <v>4352</v>
      </c>
      <c r="J881" s="83" t="s">
        <v>4353</v>
      </c>
      <c r="K881" s="83" t="s">
        <v>168</v>
      </c>
      <c r="L881" s="83" t="s">
        <v>169</v>
      </c>
      <c r="M881" s="82" t="str">
        <f>IFERROR(__xludf.DUMMYFUNCTION("IFERROR(VLOOKUP(D881,
IMPORTRANGE(""https://docs.google.com/spreadsheets/d/1MjHtlUikwobi2MaWJgy7tfLeBmhj1u-dRFRs_8GwSoA/edit#gid=0"",""Gestores Escolares!D7:J""),3,0),""VERIFICAR CÓD SEC"")"),"LILIAN RAFAELLA CASTELHANO DIAS")</f>
        <v>LILIAN RAFAELLA CASTELHANO DIAS</v>
      </c>
      <c r="N881" s="82" t="str">
        <f>IFERROR(__xludf.DUMMYFUNCTION("IFERROR(VLOOKUP(D881,
IMPORTRANGE(""https://docs.google.com/spreadsheets/d/1MjHtlUikwobi2MaWJgy7tfLeBmhj1u-dRFRs_8GwSoA/edit#gid=0"",""Gestores Escolares!D7:J""),4,0),""VERIFICAR CÓD SEC"")"),"(75) 9 8161-7552")</f>
        <v>(75) 9 8161-7552</v>
      </c>
      <c r="O881" s="82" t="str">
        <f>IFERROR(__xludf.DUMMYFUNCTION("IFERROR(VLOOKUP(D881,
IMPORTRANGE(""https://docs.google.com/spreadsheets/d/1MjHtlUikwobi2MaWJgy7tfLeBmhj1u-dRFRs_8GwSoA/edit#gid=0"",""Gestores Escolares!D7:J""),6,0),""VERIFICAR CÓD SEC"")"),"JEANNE COUTO RIBEIRO")</f>
        <v>JEANNE COUTO RIBEIRO</v>
      </c>
      <c r="P881" s="82" t="str">
        <f>IFERROR(__xludf.DUMMYFUNCTION("IFERROR(VLOOKUP(D881,
IMPORTRANGE(""https://docs.google.com/spreadsheets/d/1MjHtlUikwobi2MaWJgy7tfLeBmhj1u-dRFRs_8GwSoA/edit#gid=0"",""Gestores Escolares!D7:J""),7,0),""VERIFICAR CÓD SEC"")"),"(75) 9 9161-8311")</f>
        <v>(75) 9 9161-8311</v>
      </c>
      <c r="Q881" s="82" t="str">
        <f>IFERROR(__xludf.DUMMYFUNCTION("IFERROR(VLOOKUP(D881,
IMPORTRANGE(""https://docs.google.com/spreadsheets/d/1MjHtlUikwobi2MaWJgy7tfLeBmhj1u-dRFRs_8GwSoA/edit#gid=0"",""Gestores Escolares!D7:m""),9,0),""VERIFICAR CÓD SEC"")"),"MEIRIVALDO OLIVEIRA DA SILVA")</f>
        <v>MEIRIVALDO OLIVEIRA DA SILVA</v>
      </c>
      <c r="R881" s="82" t="str">
        <f>IFERROR(__xludf.DUMMYFUNCTION("IFERROR(VLOOKUP(D881,
IMPORTRANGE(""https://docs.google.com/spreadsheets/d/1MjHtlUikwobi2MaWJgy7tfLeBmhj1u-dRFRs_8GwSoA/edit#gid=0"",""Gestores Escolares!D7:m""),10,0),""VERIFICAR CÓD SEC"")"),"(75) 9 8283-3732")</f>
        <v>(75) 9 8283-3732</v>
      </c>
      <c r="S881" s="82"/>
      <c r="T881" s="138">
        <v>3.0</v>
      </c>
      <c r="U881" s="152">
        <v>3.0</v>
      </c>
      <c r="V881" s="106">
        <v>0.0</v>
      </c>
      <c r="W881" s="107">
        <v>0.0</v>
      </c>
      <c r="X881" s="107">
        <v>0.0</v>
      </c>
      <c r="Y881" s="107">
        <v>0.0</v>
      </c>
      <c r="Z881" s="80">
        <f t="shared" si="1"/>
        <v>0</v>
      </c>
      <c r="AA881" s="106">
        <v>0.0</v>
      </c>
      <c r="AB881" s="107">
        <v>0.0</v>
      </c>
      <c r="AC881" s="107">
        <v>0.0</v>
      </c>
      <c r="AD881" s="107">
        <v>0.0</v>
      </c>
      <c r="AE881" s="80">
        <f t="shared" si="2"/>
        <v>0</v>
      </c>
      <c r="AF881" s="140">
        <v>97.0</v>
      </c>
      <c r="AG881" s="109">
        <v>69.0</v>
      </c>
      <c r="AH881" s="109">
        <v>0.0</v>
      </c>
      <c r="AI881" s="141">
        <v>0.0</v>
      </c>
      <c r="AJ881" s="80">
        <f t="shared" si="3"/>
        <v>166</v>
      </c>
      <c r="AK881" s="140">
        <v>0.0</v>
      </c>
      <c r="AL881" s="109">
        <v>0.0</v>
      </c>
      <c r="AM881" s="141">
        <v>0.0</v>
      </c>
      <c r="AN881" s="80">
        <f t="shared" si="4"/>
        <v>0</v>
      </c>
      <c r="AO881" s="140">
        <v>0.0</v>
      </c>
      <c r="AP881" s="109">
        <v>0.0</v>
      </c>
      <c r="AQ881" s="109">
        <v>66.0</v>
      </c>
      <c r="AR881" s="80">
        <f t="shared" si="5"/>
        <v>66</v>
      </c>
      <c r="AS881" s="110">
        <v>0.0</v>
      </c>
      <c r="AT881" s="110">
        <v>0.0</v>
      </c>
      <c r="AU881" s="110">
        <v>0.0</v>
      </c>
      <c r="AV881" s="142">
        <v>0.0</v>
      </c>
      <c r="AW881" s="80">
        <f t="shared" si="6"/>
        <v>0</v>
      </c>
      <c r="AX881" s="113">
        <f t="shared" si="7"/>
        <v>232</v>
      </c>
      <c r="AY881" s="117">
        <f t="shared" si="8"/>
        <v>166</v>
      </c>
      <c r="AZ881" s="120">
        <f t="shared" si="9"/>
        <v>66</v>
      </c>
      <c r="BA881" s="115">
        <v>0.0</v>
      </c>
      <c r="BB881" s="89">
        <f t="shared" si="10"/>
        <v>232</v>
      </c>
      <c r="BC881" s="132" t="s">
        <v>373</v>
      </c>
      <c r="BD881" s="132" t="s">
        <v>178</v>
      </c>
      <c r="BE881" s="132" t="s">
        <v>178</v>
      </c>
      <c r="BF881" s="123"/>
      <c r="BG881" s="83">
        <v>1178736.0</v>
      </c>
      <c r="BH881" s="112"/>
      <c r="BI881" s="112">
        <v>3.0</v>
      </c>
      <c r="BJ881" s="98" t="s">
        <v>155</v>
      </c>
      <c r="BK881" s="99">
        <f t="shared" si="11"/>
        <v>0</v>
      </c>
      <c r="BL881" s="99">
        <f t="shared" si="12"/>
        <v>166</v>
      </c>
      <c r="BM881" s="99" t="str">
        <f>IFERROR(__xludf.DUMMYFUNCTION("IFERROR(VLOOKUP(BG881,IMPORTRANGE(""https://docs.google.com/spreadsheets/d/1juPI-Fb8LD0YtltB2mlGEnp_R3UVu1t3wSFPzgCyHXE/edit?gid=0#gid=0"",""GERAL!A2:C""),3,0),""-"")"),"CAMPO")</f>
        <v>CAMPO</v>
      </c>
    </row>
    <row r="882" ht="15.75" customHeight="1">
      <c r="A882" s="111" t="s">
        <v>1027</v>
      </c>
      <c r="B882" s="83" t="s">
        <v>4358</v>
      </c>
      <c r="C882" s="83" t="s">
        <v>68</v>
      </c>
      <c r="D882" s="112">
        <v>1164343.0</v>
      </c>
      <c r="E882" s="83"/>
      <c r="F882" s="83">
        <v>2.9083044E7</v>
      </c>
      <c r="G882" s="119" t="s">
        <v>4359</v>
      </c>
      <c r="H882" s="91" t="s">
        <v>4360</v>
      </c>
      <c r="I882" s="83" t="s">
        <v>149</v>
      </c>
      <c r="J882" s="83" t="s">
        <v>150</v>
      </c>
      <c r="K882" s="83" t="s">
        <v>151</v>
      </c>
      <c r="L882" s="98" t="s">
        <v>76</v>
      </c>
      <c r="M882" s="82" t="str">
        <f>IFERROR(__xludf.DUMMYFUNCTION("IFERROR(VLOOKUP(D882,
IMPORTRANGE(""https://docs.google.com/spreadsheets/d/1MjHtlUikwobi2MaWJgy7tfLeBmhj1u-dRFRs_8GwSoA/edit#gid=0"",""Gestores Escolares!D7:J""),3,0),""VERIFICAR CÓD SEC"")"),"ALANA CATARINA SILVA DE SOUZA TANAN")</f>
        <v>ALANA CATARINA SILVA DE SOUZA TANAN</v>
      </c>
      <c r="N882" s="82" t="str">
        <f>IFERROR(__xludf.DUMMYFUNCTION("IFERROR(VLOOKUP(D882,
IMPORTRANGE(""https://docs.google.com/spreadsheets/d/1MjHtlUikwobi2MaWJgy7tfLeBmhj1u-dRFRs_8GwSoA/edit#gid=0"",""Gestores Escolares!D7:J""),4,0),""VERIFICAR CÓD SEC"")"),"(75) 9 8897-7389")</f>
        <v>(75) 9 8897-7389</v>
      </c>
      <c r="O882" s="82" t="str">
        <f>IFERROR(__xludf.DUMMYFUNCTION("IFERROR(VLOOKUP(D882,
IMPORTRANGE(""https://docs.google.com/spreadsheets/d/1MjHtlUikwobi2MaWJgy7tfLeBmhj1u-dRFRs_8GwSoA/edit#gid=0"",""Gestores Escolares!D7:J""),6,0),""VERIFICAR CÓD SEC"")"),"")</f>
        <v/>
      </c>
      <c r="P882" s="82" t="str">
        <f>IFERROR(__xludf.DUMMYFUNCTION("IFERROR(VLOOKUP(D882,
IMPORTRANGE(""https://docs.google.com/spreadsheets/d/1MjHtlUikwobi2MaWJgy7tfLeBmhj1u-dRFRs_8GwSoA/edit#gid=0"",""Gestores Escolares!D7:J""),7,0),""VERIFICAR CÓD SEC"")"),"")</f>
        <v/>
      </c>
      <c r="Q882" s="82" t="str">
        <f>IFERROR(__xludf.DUMMYFUNCTION("IFERROR(VLOOKUP(D882,
IMPORTRANGE(""https://docs.google.com/spreadsheets/d/1MjHtlUikwobi2MaWJgy7tfLeBmhj1u-dRFRs_8GwSoA/edit#gid=0"",""Gestores Escolares!D7:m""),9,0),""VERIFICAR CÓD SEC"")"),"")</f>
        <v/>
      </c>
      <c r="R882" s="82" t="str">
        <f>IFERROR(__xludf.DUMMYFUNCTION("IFERROR(VLOOKUP(D882,
IMPORTRANGE(""https://docs.google.com/spreadsheets/d/1MjHtlUikwobi2MaWJgy7tfLeBmhj1u-dRFRs_8GwSoA/edit#gid=0"",""Gestores Escolares!D7:m""),10,0),""VERIFICAR CÓD SEC"")"),"")</f>
        <v/>
      </c>
      <c r="S882" s="82"/>
      <c r="T882" s="138">
        <v>7.0</v>
      </c>
      <c r="U882" s="403" t="s">
        <v>12036</v>
      </c>
      <c r="V882" s="106">
        <v>0.0</v>
      </c>
      <c r="W882" s="107">
        <v>0.0</v>
      </c>
      <c r="X882" s="107">
        <v>0.0</v>
      </c>
      <c r="Y882" s="107">
        <v>0.0</v>
      </c>
      <c r="Z882" s="80">
        <f t="shared" si="1"/>
        <v>0</v>
      </c>
      <c r="AA882" s="106">
        <v>0.0</v>
      </c>
      <c r="AB882" s="107">
        <v>0.0</v>
      </c>
      <c r="AC882" s="107">
        <v>0.0</v>
      </c>
      <c r="AD882" s="107">
        <v>0.0</v>
      </c>
      <c r="AE882" s="80">
        <f t="shared" si="2"/>
        <v>0</v>
      </c>
      <c r="AF882" s="140">
        <v>0.0</v>
      </c>
      <c r="AG882" s="109">
        <v>0.0</v>
      </c>
      <c r="AH882" s="109">
        <v>0.0</v>
      </c>
      <c r="AI882" s="141">
        <v>168.0</v>
      </c>
      <c r="AJ882" s="80">
        <f t="shared" si="3"/>
        <v>168</v>
      </c>
      <c r="AK882" s="140">
        <v>0.0</v>
      </c>
      <c r="AL882" s="109">
        <v>0.0</v>
      </c>
      <c r="AM882" s="141">
        <v>0.0</v>
      </c>
      <c r="AN882" s="80">
        <f t="shared" si="4"/>
        <v>0</v>
      </c>
      <c r="AO882" s="140">
        <v>0.0</v>
      </c>
      <c r="AP882" s="109">
        <v>0.0</v>
      </c>
      <c r="AQ882" s="109">
        <v>48.0</v>
      </c>
      <c r="AR882" s="80">
        <f t="shared" si="5"/>
        <v>48</v>
      </c>
      <c r="AS882" s="110">
        <v>0.0</v>
      </c>
      <c r="AT882" s="110">
        <v>0.0</v>
      </c>
      <c r="AU882" s="110">
        <v>12.0</v>
      </c>
      <c r="AV882" s="142">
        <v>0.0</v>
      </c>
      <c r="AW882" s="80">
        <f t="shared" si="6"/>
        <v>12</v>
      </c>
      <c r="AX882" s="113">
        <f t="shared" si="7"/>
        <v>228</v>
      </c>
      <c r="AY882" s="117">
        <f t="shared" si="8"/>
        <v>168</v>
      </c>
      <c r="AZ882" s="120">
        <f t="shared" si="9"/>
        <v>60</v>
      </c>
      <c r="BA882" s="115">
        <v>0.0</v>
      </c>
      <c r="BB882" s="89">
        <f t="shared" si="10"/>
        <v>228</v>
      </c>
      <c r="BC882" s="132" t="s">
        <v>178</v>
      </c>
      <c r="BD882" s="132" t="s">
        <v>178</v>
      </c>
      <c r="BE882" s="132" t="s">
        <v>178</v>
      </c>
      <c r="BF882" s="156"/>
      <c r="BG882" s="83">
        <v>1164343.0</v>
      </c>
      <c r="BH882" s="112"/>
      <c r="BI882" s="112">
        <v>4.0</v>
      </c>
      <c r="BJ882" s="98" t="s">
        <v>155</v>
      </c>
      <c r="BK882" s="99">
        <f t="shared" si="11"/>
        <v>168</v>
      </c>
      <c r="BL882" s="99">
        <f t="shared" si="12"/>
        <v>0</v>
      </c>
      <c r="BM882" s="99" t="str">
        <f>IFERROR(__xludf.DUMMYFUNCTION("IFERROR(VLOOKUP(BG882,IMPORTRANGE(""https://docs.google.com/spreadsheets/d/1juPI-Fb8LD0YtltB2mlGEnp_R3UVu1t3wSFPzgCyHXE/edit?gid=0#gid=0"",""GERAL!A2:C""),3,0),""-"")"),"-")</f>
        <v>-</v>
      </c>
    </row>
    <row r="883" ht="15.75" customHeight="1">
      <c r="A883" s="111" t="s">
        <v>1027</v>
      </c>
      <c r="B883" s="83" t="s">
        <v>2536</v>
      </c>
      <c r="C883" s="83" t="s">
        <v>68</v>
      </c>
      <c r="D883" s="112">
        <v>1176429.0</v>
      </c>
      <c r="E883" s="83"/>
      <c r="F883" s="83">
        <v>2.9393949E7</v>
      </c>
      <c r="G883" s="218" t="s">
        <v>12049</v>
      </c>
      <c r="H883" s="91" t="s">
        <v>4371</v>
      </c>
      <c r="I883" s="172" t="s">
        <v>4373</v>
      </c>
      <c r="J883" s="83" t="s">
        <v>150</v>
      </c>
      <c r="K883" s="83" t="s">
        <v>151</v>
      </c>
      <c r="L883" s="83" t="s">
        <v>230</v>
      </c>
      <c r="M883" s="82" t="str">
        <f>IFERROR(__xludf.DUMMYFUNCTION("IFERROR(VLOOKUP(D883,
IMPORTRANGE(""https://docs.google.com/spreadsheets/d/1MjHtlUikwobi2MaWJgy7tfLeBmhj1u-dRFRs_8GwSoA/edit#gid=0"",""Gestores Escolares!D7:J""),3,0),""VERIFICAR CÓD SEC"")"),"GIDEON DOS SANTOS MIRANDA")</f>
        <v>GIDEON DOS SANTOS MIRANDA</v>
      </c>
      <c r="N883" s="82" t="str">
        <f>IFERROR(__xludf.DUMMYFUNCTION("IFERROR(VLOOKUP(D883,
IMPORTRANGE(""https://docs.google.com/spreadsheets/d/1MjHtlUikwobi2MaWJgy7tfLeBmhj1u-dRFRs_8GwSoA/edit#gid=0"",""Gestores Escolares!D7:J""),4,0),""VERIFICAR CÓD SEC"")"),"(75) 9 9136-8373")</f>
        <v>(75) 9 9136-8373</v>
      </c>
      <c r="O883" s="82" t="str">
        <f>IFERROR(__xludf.DUMMYFUNCTION("IFERROR(VLOOKUP(D883,
IMPORTRANGE(""https://docs.google.com/spreadsheets/d/1MjHtlUikwobi2MaWJgy7tfLeBmhj1u-dRFRs_8GwSoA/edit#gid=0"",""Gestores Escolares!D7:J""),6,0),""VERIFICAR CÓD SEC"")"),"CINELANDIA SANTOS VIEIRA RIBEIRO")</f>
        <v>CINELANDIA SANTOS VIEIRA RIBEIRO</v>
      </c>
      <c r="P883" s="82" t="str">
        <f>IFERROR(__xludf.DUMMYFUNCTION("IFERROR(VLOOKUP(D883,
IMPORTRANGE(""https://docs.google.com/spreadsheets/d/1MjHtlUikwobi2MaWJgy7tfLeBmhj1u-dRFRs_8GwSoA/edit#gid=0"",""Gestores Escolares!D7:J""),7,0),""VERIFICAR CÓD SEC"")"),"(75) 9 9231-1371")</f>
        <v>(75) 9 9231-1371</v>
      </c>
      <c r="Q883" s="82" t="str">
        <f>IFERROR(__xludf.DUMMYFUNCTION("IFERROR(VLOOKUP(D883,
IMPORTRANGE(""https://docs.google.com/spreadsheets/d/1MjHtlUikwobi2MaWJgy7tfLeBmhj1u-dRFRs_8GwSoA/edit#gid=0"",""Gestores Escolares!D7:m""),9,0),""VERIFICAR CÓD SEC"")"),"")</f>
        <v/>
      </c>
      <c r="R883" s="82" t="str">
        <f>IFERROR(__xludf.DUMMYFUNCTION("IFERROR(VLOOKUP(D883,
IMPORTRANGE(""https://docs.google.com/spreadsheets/d/1MjHtlUikwobi2MaWJgy7tfLeBmhj1u-dRFRs_8GwSoA/edit#gid=0"",""Gestores Escolares!D7:m""),10,0),""VERIFICAR CÓD SEC"")"),"")</f>
        <v/>
      </c>
      <c r="S883" s="82"/>
      <c r="T883" s="138">
        <v>19.0</v>
      </c>
      <c r="U883" s="145" t="s">
        <v>12055</v>
      </c>
      <c r="V883" s="106">
        <v>0.0</v>
      </c>
      <c r="W883" s="107">
        <v>0.0</v>
      </c>
      <c r="X883" s="107">
        <v>0.0</v>
      </c>
      <c r="Y883" s="107">
        <v>0.0</v>
      </c>
      <c r="Z883" s="80">
        <f t="shared" si="1"/>
        <v>0</v>
      </c>
      <c r="AA883" s="106">
        <v>0.0</v>
      </c>
      <c r="AB883" s="107">
        <v>0.0</v>
      </c>
      <c r="AC883" s="107">
        <v>0.0</v>
      </c>
      <c r="AD883" s="107">
        <v>0.0</v>
      </c>
      <c r="AE883" s="80">
        <f t="shared" si="2"/>
        <v>0</v>
      </c>
      <c r="AF883" s="140">
        <v>180.0</v>
      </c>
      <c r="AG883" s="109">
        <v>227.0</v>
      </c>
      <c r="AH883" s="109">
        <v>0.0</v>
      </c>
      <c r="AI883" s="141">
        <v>714.0</v>
      </c>
      <c r="AJ883" s="80">
        <f t="shared" si="3"/>
        <v>1121</v>
      </c>
      <c r="AK883" s="140">
        <v>0.0</v>
      </c>
      <c r="AL883" s="109">
        <v>0.0</v>
      </c>
      <c r="AM883" s="141">
        <v>0.0</v>
      </c>
      <c r="AN883" s="80">
        <f t="shared" si="4"/>
        <v>0</v>
      </c>
      <c r="AO883" s="140">
        <v>0.0</v>
      </c>
      <c r="AP883" s="109">
        <v>0.0</v>
      </c>
      <c r="AQ883" s="109">
        <v>389.0</v>
      </c>
      <c r="AR883" s="80">
        <f t="shared" si="5"/>
        <v>389</v>
      </c>
      <c r="AS883" s="110">
        <v>0.0</v>
      </c>
      <c r="AT883" s="110">
        <v>0.0</v>
      </c>
      <c r="AU883" s="110">
        <v>0.0</v>
      </c>
      <c r="AV883" s="142">
        <v>0.0</v>
      </c>
      <c r="AW883" s="80">
        <f t="shared" si="6"/>
        <v>0</v>
      </c>
      <c r="AX883" s="113">
        <f t="shared" si="7"/>
        <v>1510</v>
      </c>
      <c r="AY883" s="117">
        <f t="shared" si="8"/>
        <v>1121</v>
      </c>
      <c r="AZ883" s="120">
        <f t="shared" si="9"/>
        <v>389</v>
      </c>
      <c r="BA883" s="115">
        <v>0.0</v>
      </c>
      <c r="BB883" s="89">
        <f t="shared" si="10"/>
        <v>1510</v>
      </c>
      <c r="BC883" s="132" t="s">
        <v>178</v>
      </c>
      <c r="BD883" s="132" t="s">
        <v>178</v>
      </c>
      <c r="BE883" s="132" t="s">
        <v>178</v>
      </c>
      <c r="BF883" s="156"/>
      <c r="BG883" s="83">
        <v>1176429.0</v>
      </c>
      <c r="BH883" s="112"/>
      <c r="BI883" s="112">
        <v>19.0</v>
      </c>
      <c r="BJ883" s="98" t="s">
        <v>176</v>
      </c>
      <c r="BK883" s="99">
        <f t="shared" si="11"/>
        <v>714</v>
      </c>
      <c r="BL883" s="99">
        <f t="shared" si="12"/>
        <v>407</v>
      </c>
      <c r="BM883" s="99" t="str">
        <f>IFERROR(__xludf.DUMMYFUNCTION("IFERROR(VLOOKUP(BG883,IMPORTRANGE(""https://docs.google.com/spreadsheets/d/1juPI-Fb8LD0YtltB2mlGEnp_R3UVu1t3wSFPzgCyHXE/edit?gid=0#gid=0"",""GERAL!A2:C""),3,0),""-"")"),"-")</f>
        <v>-</v>
      </c>
    </row>
    <row r="884" ht="15.75" customHeight="1">
      <c r="A884" s="111" t="s">
        <v>1027</v>
      </c>
      <c r="B884" s="83" t="s">
        <v>2536</v>
      </c>
      <c r="C884" s="83" t="s">
        <v>68</v>
      </c>
      <c r="D884" s="112">
        <v>1123485.0</v>
      </c>
      <c r="E884" s="83"/>
      <c r="F884" s="83">
        <v>2.9084202E7</v>
      </c>
      <c r="G884" s="184" t="s">
        <v>4382</v>
      </c>
      <c r="H884" s="91" t="s">
        <v>4383</v>
      </c>
      <c r="I884" s="83" t="s">
        <v>4384</v>
      </c>
      <c r="J884" s="83" t="s">
        <v>150</v>
      </c>
      <c r="K884" s="83" t="s">
        <v>151</v>
      </c>
      <c r="L884" s="83" t="s">
        <v>152</v>
      </c>
      <c r="M884" s="82" t="str">
        <f>IFERROR(__xludf.DUMMYFUNCTION("IFERROR(VLOOKUP(D884,
IMPORTRANGE(""https://docs.google.com/spreadsheets/d/1MjHtlUikwobi2MaWJgy7tfLeBmhj1u-dRFRs_8GwSoA/edit#gid=0"",""Gestores Escolares!D7:J""),3,0),""VERIFICAR CÓD SEC"")"),"DAIANE DA CRUZ SILVA")</f>
        <v>DAIANE DA CRUZ SILVA</v>
      </c>
      <c r="N884" s="82" t="str">
        <f>IFERROR(__xludf.DUMMYFUNCTION("IFERROR(VLOOKUP(D884,
IMPORTRANGE(""https://docs.google.com/spreadsheets/d/1MjHtlUikwobi2MaWJgy7tfLeBmhj1u-dRFRs_8GwSoA/edit#gid=0"",""Gestores Escolares!D7:J""),4,0),""VERIFICAR CÓD SEC"")"),"(75) 9 9231-3445")</f>
        <v>(75) 9 9231-3445</v>
      </c>
      <c r="O884" s="82" t="str">
        <f>IFERROR(__xludf.DUMMYFUNCTION("IFERROR(VLOOKUP(D884,
IMPORTRANGE(""https://docs.google.com/spreadsheets/d/1MjHtlUikwobi2MaWJgy7tfLeBmhj1u-dRFRs_8GwSoA/edit#gid=0"",""Gestores Escolares!D7:J""),6,0),""VERIFICAR CÓD SEC"")"),"SERGIO AUGUSTO MARTINS MASCARENHAS")</f>
        <v>SERGIO AUGUSTO MARTINS MASCARENHAS</v>
      </c>
      <c r="P884" s="82" t="str">
        <f>IFERROR(__xludf.DUMMYFUNCTION("IFERROR(VLOOKUP(D884,
IMPORTRANGE(""https://docs.google.com/spreadsheets/d/1MjHtlUikwobi2MaWJgy7tfLeBmhj1u-dRFRs_8GwSoA/edit#gid=0"",""Gestores Escolares!D7:J""),7,0),""VERIFICAR CÓD SEC"")"),"(71) 9 9121-4258")</f>
        <v>(71) 9 9121-4258</v>
      </c>
      <c r="Q884" s="82" t="str">
        <f>IFERROR(__xludf.DUMMYFUNCTION("IFERROR(VLOOKUP(D884,
IMPORTRANGE(""https://docs.google.com/spreadsheets/d/1MjHtlUikwobi2MaWJgy7tfLeBmhj1u-dRFRs_8GwSoA/edit#gid=0"",""Gestores Escolares!D7:m""),9,0),""VERIFICAR CÓD SEC"")"),"")</f>
        <v/>
      </c>
      <c r="R884" s="82" t="str">
        <f>IFERROR(__xludf.DUMMYFUNCTION("IFERROR(VLOOKUP(D884,
IMPORTRANGE(""https://docs.google.com/spreadsheets/d/1MjHtlUikwobi2MaWJgy7tfLeBmhj1u-dRFRs_8GwSoA/edit#gid=0"",""Gestores Escolares!D7:m""),10,0),""VERIFICAR CÓD SEC"")"),"")</f>
        <v/>
      </c>
      <c r="S884" s="82"/>
      <c r="T884" s="138">
        <v>9.0</v>
      </c>
      <c r="U884" s="145">
        <v>8.0</v>
      </c>
      <c r="V884" s="106">
        <v>0.0</v>
      </c>
      <c r="W884" s="107">
        <v>0.0</v>
      </c>
      <c r="X884" s="107">
        <v>0.0</v>
      </c>
      <c r="Y884" s="107">
        <v>0.0</v>
      </c>
      <c r="Z884" s="80">
        <f t="shared" si="1"/>
        <v>0</v>
      </c>
      <c r="AA884" s="106">
        <v>0.0</v>
      </c>
      <c r="AB884" s="107">
        <v>0.0</v>
      </c>
      <c r="AC884" s="107">
        <v>0.0</v>
      </c>
      <c r="AD884" s="107">
        <v>0.0</v>
      </c>
      <c r="AE884" s="80">
        <f t="shared" si="2"/>
        <v>0</v>
      </c>
      <c r="AF884" s="140">
        <v>0.0</v>
      </c>
      <c r="AG884" s="109">
        <v>0.0</v>
      </c>
      <c r="AH884" s="109">
        <v>0.0</v>
      </c>
      <c r="AI884" s="141">
        <v>148.0</v>
      </c>
      <c r="AJ884" s="80">
        <f t="shared" si="3"/>
        <v>148</v>
      </c>
      <c r="AK884" s="140">
        <v>0.0</v>
      </c>
      <c r="AL884" s="109">
        <v>0.0</v>
      </c>
      <c r="AM884" s="141">
        <v>0.0</v>
      </c>
      <c r="AN884" s="80">
        <f t="shared" si="4"/>
        <v>0</v>
      </c>
      <c r="AO884" s="140">
        <v>0.0</v>
      </c>
      <c r="AP884" s="109">
        <v>0.0</v>
      </c>
      <c r="AQ884" s="109">
        <v>187.0</v>
      </c>
      <c r="AR884" s="80">
        <f t="shared" si="5"/>
        <v>187</v>
      </c>
      <c r="AS884" s="110">
        <v>0.0</v>
      </c>
      <c r="AT884" s="110">
        <v>0.0</v>
      </c>
      <c r="AU884" s="110">
        <v>0.0</v>
      </c>
      <c r="AV884" s="142">
        <v>0.0</v>
      </c>
      <c r="AW884" s="80">
        <f t="shared" si="6"/>
        <v>0</v>
      </c>
      <c r="AX884" s="113">
        <f t="shared" si="7"/>
        <v>335</v>
      </c>
      <c r="AY884" s="117">
        <f t="shared" si="8"/>
        <v>148</v>
      </c>
      <c r="AZ884" s="120">
        <f t="shared" si="9"/>
        <v>187</v>
      </c>
      <c r="BA884" s="115">
        <v>0.0</v>
      </c>
      <c r="BB884" s="89">
        <f t="shared" si="10"/>
        <v>335</v>
      </c>
      <c r="BC884" s="132" t="s">
        <v>178</v>
      </c>
      <c r="BD884" s="132" t="s">
        <v>178</v>
      </c>
      <c r="BE884" s="132" t="s">
        <v>178</v>
      </c>
      <c r="BF884" s="123"/>
      <c r="BG884" s="83">
        <v>1123485.0</v>
      </c>
      <c r="BH884" s="112"/>
      <c r="BI884" s="112">
        <v>7.0</v>
      </c>
      <c r="BJ884" s="98" t="s">
        <v>155</v>
      </c>
      <c r="BK884" s="99">
        <f t="shared" si="11"/>
        <v>148</v>
      </c>
      <c r="BL884" s="99">
        <f t="shared" si="12"/>
        <v>0</v>
      </c>
      <c r="BM884" s="99" t="str">
        <f>IFERROR(__xludf.DUMMYFUNCTION("IFERROR(VLOOKUP(BG884,IMPORTRANGE(""https://docs.google.com/spreadsheets/d/1juPI-Fb8LD0YtltB2mlGEnp_R3UVu1t3wSFPzgCyHXE/edit?gid=0#gid=0"",""GERAL!A2:C""),3,0),""-"")"),"-")</f>
        <v>-</v>
      </c>
    </row>
    <row r="885" ht="15.75" customHeight="1">
      <c r="A885" s="111" t="s">
        <v>1027</v>
      </c>
      <c r="B885" s="83" t="s">
        <v>2536</v>
      </c>
      <c r="C885" s="83" t="s">
        <v>68</v>
      </c>
      <c r="D885" s="112">
        <v>1123434.0</v>
      </c>
      <c r="E885" s="83"/>
      <c r="F885" s="83">
        <v>2.9083354E7</v>
      </c>
      <c r="G885" s="185" t="s">
        <v>4392</v>
      </c>
      <c r="H885" s="91" t="s">
        <v>4393</v>
      </c>
      <c r="I885" s="136" t="s">
        <v>149</v>
      </c>
      <c r="J885" s="83" t="s">
        <v>150</v>
      </c>
      <c r="K885" s="83" t="s">
        <v>151</v>
      </c>
      <c r="L885" s="83" t="s">
        <v>230</v>
      </c>
      <c r="M885" s="82" t="str">
        <f>IFERROR(__xludf.DUMMYFUNCTION("IFERROR(VLOOKUP(D885,
IMPORTRANGE(""https://docs.google.com/spreadsheets/d/1MjHtlUikwobi2MaWJgy7tfLeBmhj1u-dRFRs_8GwSoA/edit#gid=0"",""Gestores Escolares!D7:J""),3,0),""VERIFICAR CÓD SEC"")"),"JUVENAL MORAIS SILVA JUNIOR")</f>
        <v>JUVENAL MORAIS SILVA JUNIOR</v>
      </c>
      <c r="N885" s="82" t="str">
        <f>IFERROR(__xludf.DUMMYFUNCTION("IFERROR(VLOOKUP(D885,
IMPORTRANGE(""https://docs.google.com/spreadsheets/d/1MjHtlUikwobi2MaWJgy7tfLeBmhj1u-dRFRs_8GwSoA/edit#gid=0"",""Gestores Escolares!D7:J""),4,0),""VERIFICAR CÓD SEC"")"),"(75) 9 9136-6969")</f>
        <v>(75) 9 9136-6969</v>
      </c>
      <c r="O885" s="82" t="str">
        <f>IFERROR(__xludf.DUMMYFUNCTION("IFERROR(VLOOKUP(D885,
IMPORTRANGE(""https://docs.google.com/spreadsheets/d/1MjHtlUikwobi2MaWJgy7tfLeBmhj1u-dRFRs_8GwSoA/edit#gid=0"",""Gestores Escolares!D7:J""),6,0),""VERIFICAR CÓD SEC"")"),"MIRES SOUZA SANTOS")</f>
        <v>MIRES SOUZA SANTOS</v>
      </c>
      <c r="P885" s="82" t="str">
        <f>IFERROR(__xludf.DUMMYFUNCTION("IFERROR(VLOOKUP(D885,
IMPORTRANGE(""https://docs.google.com/spreadsheets/d/1MjHtlUikwobi2MaWJgy7tfLeBmhj1u-dRFRs_8GwSoA/edit#gid=0"",""Gestores Escolares!D7:J""),7,0),""VERIFICAR CÓD SEC"")"),"(75) 9 9215-6922")</f>
        <v>(75) 9 9215-6922</v>
      </c>
      <c r="Q885" s="82" t="str">
        <f>IFERROR(__xludf.DUMMYFUNCTION("IFERROR(VLOOKUP(D885,
IMPORTRANGE(""https://docs.google.com/spreadsheets/d/1MjHtlUikwobi2MaWJgy7tfLeBmhj1u-dRFRs_8GwSoA/edit#gid=0"",""Gestores Escolares!D7:m""),9,0),""VERIFICAR CÓD SEC"")"),"BRUNO FREITAS BILITARIO")</f>
        <v>BRUNO FREITAS BILITARIO</v>
      </c>
      <c r="R885" s="82" t="str">
        <f>IFERROR(__xludf.DUMMYFUNCTION("IFERROR(VLOOKUP(D885,
IMPORTRANGE(""https://docs.google.com/spreadsheets/d/1MjHtlUikwobi2MaWJgy7tfLeBmhj1u-dRFRs_8GwSoA/edit#gid=0"",""Gestores Escolares!D7:m""),10,0),""VERIFICAR CÓD SEC"")"),"(73) 9 9142-0030")</f>
        <v>(73) 9 9142-0030</v>
      </c>
      <c r="S885" s="82"/>
      <c r="T885" s="138">
        <v>20.0</v>
      </c>
      <c r="U885" s="145" t="s">
        <v>12092</v>
      </c>
      <c r="V885" s="106">
        <v>0.0</v>
      </c>
      <c r="W885" s="107">
        <v>0.0</v>
      </c>
      <c r="X885" s="107">
        <v>0.0</v>
      </c>
      <c r="Y885" s="107">
        <v>0.0</v>
      </c>
      <c r="Z885" s="80">
        <f t="shared" si="1"/>
        <v>0</v>
      </c>
      <c r="AA885" s="106">
        <v>0.0</v>
      </c>
      <c r="AB885" s="107">
        <v>0.0</v>
      </c>
      <c r="AC885" s="107">
        <v>0.0</v>
      </c>
      <c r="AD885" s="107">
        <v>0.0</v>
      </c>
      <c r="AE885" s="80">
        <f t="shared" si="2"/>
        <v>0</v>
      </c>
      <c r="AF885" s="140">
        <v>0.0</v>
      </c>
      <c r="AG885" s="109">
        <v>0.0</v>
      </c>
      <c r="AH885" s="109">
        <v>0.0</v>
      </c>
      <c r="AI885" s="141">
        <v>0.0</v>
      </c>
      <c r="AJ885" s="80">
        <f t="shared" si="3"/>
        <v>0</v>
      </c>
      <c r="AK885" s="140">
        <v>0.0</v>
      </c>
      <c r="AL885" s="109">
        <v>0.0</v>
      </c>
      <c r="AM885" s="141">
        <v>0.0</v>
      </c>
      <c r="AN885" s="80">
        <f t="shared" si="4"/>
        <v>0</v>
      </c>
      <c r="AO885" s="140">
        <v>0.0</v>
      </c>
      <c r="AP885" s="109">
        <v>0.0</v>
      </c>
      <c r="AQ885" s="109">
        <v>0.0</v>
      </c>
      <c r="AR885" s="80">
        <f t="shared" si="5"/>
        <v>0</v>
      </c>
      <c r="AS885" s="110">
        <v>468.0</v>
      </c>
      <c r="AT885" s="110">
        <v>358.0</v>
      </c>
      <c r="AU885" s="110">
        <v>267.0</v>
      </c>
      <c r="AV885" s="142">
        <v>0.0</v>
      </c>
      <c r="AW885" s="80">
        <f t="shared" si="6"/>
        <v>1093</v>
      </c>
      <c r="AX885" s="113">
        <f t="shared" si="7"/>
        <v>1093</v>
      </c>
      <c r="AY885" s="117">
        <f t="shared" si="8"/>
        <v>826</v>
      </c>
      <c r="AZ885" s="120">
        <f t="shared" si="9"/>
        <v>267</v>
      </c>
      <c r="BA885" s="115">
        <v>0.0</v>
      </c>
      <c r="BB885" s="89">
        <f t="shared" si="10"/>
        <v>1093</v>
      </c>
      <c r="BC885" s="132" t="s">
        <v>178</v>
      </c>
      <c r="BD885" s="132" t="s">
        <v>522</v>
      </c>
      <c r="BE885" s="132" t="s">
        <v>178</v>
      </c>
      <c r="BF885" s="123"/>
      <c r="BG885" s="83">
        <v>1123434.0</v>
      </c>
      <c r="BH885" s="112"/>
      <c r="BI885" s="112">
        <v>18.0</v>
      </c>
      <c r="BJ885" s="98" t="s">
        <v>284</v>
      </c>
      <c r="BK885" s="99">
        <f t="shared" si="11"/>
        <v>0</v>
      </c>
      <c r="BL885" s="99">
        <f t="shared" si="12"/>
        <v>826</v>
      </c>
      <c r="BM885" s="99" t="str">
        <f>IFERROR(__xludf.DUMMYFUNCTION("IFERROR(VLOOKUP(BG885,IMPORTRANGE(""https://docs.google.com/spreadsheets/d/1juPI-Fb8LD0YtltB2mlGEnp_R3UVu1t3wSFPzgCyHXE/edit?gid=0#gid=0"",""GERAL!A2:C""),3,0),""-"")"),"-")</f>
        <v>-</v>
      </c>
    </row>
    <row r="886" ht="15.75" customHeight="1">
      <c r="A886" s="111" t="s">
        <v>1027</v>
      </c>
      <c r="B886" s="83" t="s">
        <v>4411</v>
      </c>
      <c r="C886" s="83" t="s">
        <v>68</v>
      </c>
      <c r="D886" s="112">
        <v>1178268.0</v>
      </c>
      <c r="E886" s="83"/>
      <c r="F886" s="83">
        <v>2.9581605E7</v>
      </c>
      <c r="G886" s="119" t="s">
        <v>4412</v>
      </c>
      <c r="H886" s="91" t="s">
        <v>4413</v>
      </c>
      <c r="I886" s="83" t="s">
        <v>149</v>
      </c>
      <c r="J886" s="83" t="s">
        <v>150</v>
      </c>
      <c r="K886" s="83" t="s">
        <v>151</v>
      </c>
      <c r="L886" s="83" t="s">
        <v>230</v>
      </c>
      <c r="M886" s="82" t="str">
        <f>IFERROR(__xludf.DUMMYFUNCTION("IFERROR(VLOOKUP(D886,
IMPORTRANGE(""https://docs.google.com/spreadsheets/d/1MjHtlUikwobi2MaWJgy7tfLeBmhj1u-dRFRs_8GwSoA/edit#gid=0"",""Gestores Escolares!D7:J""),3,0),""VERIFICAR CÓD SEC"")"),"TIAGO ALVES BARBOSA")</f>
        <v>TIAGO ALVES BARBOSA</v>
      </c>
      <c r="N886" s="82" t="str">
        <f>IFERROR(__xludf.DUMMYFUNCTION("IFERROR(VLOOKUP(D886,
IMPORTRANGE(""https://docs.google.com/spreadsheets/d/1MjHtlUikwobi2MaWJgy7tfLeBmhj1u-dRFRs_8GwSoA/edit#gid=0"",""Gestores Escolares!D7:J""),4,0),""VERIFICAR CÓD SEC"")"),"(75) 9 8334-5078
")</f>
        <v>(75) 9 8334-5078
</v>
      </c>
      <c r="O886" s="82" t="str">
        <f>IFERROR(__xludf.DUMMYFUNCTION("IFERROR(VLOOKUP(D886,
IMPORTRANGE(""https://docs.google.com/spreadsheets/d/1MjHtlUikwobi2MaWJgy7tfLeBmhj1u-dRFRs_8GwSoA/edit#gid=0"",""Gestores Escolares!D7:J""),6,0),""VERIFICAR CÓD SEC"")"),"RONALDO SANTOS QUEIROZ")</f>
        <v>RONALDO SANTOS QUEIROZ</v>
      </c>
      <c r="P886" s="82" t="str">
        <f>IFERROR(__xludf.DUMMYFUNCTION("IFERROR(VLOOKUP(D886,
IMPORTRANGE(""https://docs.google.com/spreadsheets/d/1MjHtlUikwobi2MaWJgy7tfLeBmhj1u-dRFRs_8GwSoA/edit#gid=0"",""Gestores Escolares!D7:J""),7,0),""VERIFICAR CÓD SEC"")"),"(75) 9 9158-4421")</f>
        <v>(75) 9 9158-4421</v>
      </c>
      <c r="Q886" s="82" t="str">
        <f>IFERROR(__xludf.DUMMYFUNCTION("IFERROR(VLOOKUP(D886,
IMPORTRANGE(""https://docs.google.com/spreadsheets/d/1MjHtlUikwobi2MaWJgy7tfLeBmhj1u-dRFRs_8GwSoA/edit#gid=0"",""Gestores Escolares!D7:m""),9,0),""VERIFICAR CÓD SEC"")"),"ANA PAULA SOUZA NOGUEIRA CARDOSO")</f>
        <v>ANA PAULA SOUZA NOGUEIRA CARDOSO</v>
      </c>
      <c r="R886" s="82" t="str">
        <f>IFERROR(__xludf.DUMMYFUNCTION("IFERROR(VLOOKUP(D886,
IMPORTRANGE(""https://docs.google.com/spreadsheets/d/1MjHtlUikwobi2MaWJgy7tfLeBmhj1u-dRFRs_8GwSoA/edit#gid=0"",""Gestores Escolares!D7:m""),10,0),""VERIFICAR CÓD SEC"")"),"(75) 9 8201-4660")</f>
        <v>(75) 9 8201-4660</v>
      </c>
      <c r="S886" s="82"/>
      <c r="T886" s="138">
        <v>14.0</v>
      </c>
      <c r="U886" s="145">
        <v>24.0</v>
      </c>
      <c r="V886" s="106">
        <v>0.0</v>
      </c>
      <c r="W886" s="107">
        <v>0.0</v>
      </c>
      <c r="X886" s="107">
        <v>0.0</v>
      </c>
      <c r="Y886" s="107">
        <v>0.0</v>
      </c>
      <c r="Z886" s="80">
        <f t="shared" si="1"/>
        <v>0</v>
      </c>
      <c r="AA886" s="106">
        <v>0.0</v>
      </c>
      <c r="AB886" s="107">
        <v>0.0</v>
      </c>
      <c r="AC886" s="107">
        <v>0.0</v>
      </c>
      <c r="AD886" s="107">
        <v>0.0</v>
      </c>
      <c r="AE886" s="80">
        <f t="shared" si="2"/>
        <v>0</v>
      </c>
      <c r="AF886" s="140">
        <v>160.0</v>
      </c>
      <c r="AG886" s="109">
        <v>78.0</v>
      </c>
      <c r="AH886" s="109">
        <v>0.0</v>
      </c>
      <c r="AI886" s="141">
        <v>470.0</v>
      </c>
      <c r="AJ886" s="80">
        <f t="shared" si="3"/>
        <v>708</v>
      </c>
      <c r="AK886" s="140">
        <v>0.0</v>
      </c>
      <c r="AL886" s="109">
        <v>0.0</v>
      </c>
      <c r="AM886" s="141">
        <v>0.0</v>
      </c>
      <c r="AN886" s="80">
        <f t="shared" si="4"/>
        <v>0</v>
      </c>
      <c r="AO886" s="140">
        <v>0.0</v>
      </c>
      <c r="AP886" s="109">
        <v>0.0</v>
      </c>
      <c r="AQ886" s="109">
        <v>113.0</v>
      </c>
      <c r="AR886" s="80">
        <f t="shared" si="5"/>
        <v>113</v>
      </c>
      <c r="AS886" s="110">
        <v>0.0</v>
      </c>
      <c r="AT886" s="110">
        <v>0.0</v>
      </c>
      <c r="AU886" s="110">
        <v>0.0</v>
      </c>
      <c r="AV886" s="142">
        <v>97.0</v>
      </c>
      <c r="AW886" s="80">
        <f t="shared" si="6"/>
        <v>97</v>
      </c>
      <c r="AX886" s="113">
        <f t="shared" si="7"/>
        <v>918</v>
      </c>
      <c r="AY886" s="117">
        <f t="shared" si="8"/>
        <v>805</v>
      </c>
      <c r="AZ886" s="120">
        <f t="shared" si="9"/>
        <v>113</v>
      </c>
      <c r="BA886" s="115">
        <v>0.0</v>
      </c>
      <c r="BB886" s="89">
        <f t="shared" si="10"/>
        <v>918</v>
      </c>
      <c r="BC886" s="132" t="s">
        <v>178</v>
      </c>
      <c r="BD886" s="132" t="s">
        <v>178</v>
      </c>
      <c r="BE886" s="132" t="s">
        <v>178</v>
      </c>
      <c r="BF886" s="123"/>
      <c r="BG886" s="83">
        <v>1178268.0</v>
      </c>
      <c r="BH886" s="112"/>
      <c r="BI886" s="112">
        <v>14.0</v>
      </c>
      <c r="BJ886" s="98" t="s">
        <v>155</v>
      </c>
      <c r="BK886" s="99">
        <f t="shared" si="11"/>
        <v>567</v>
      </c>
      <c r="BL886" s="99">
        <f t="shared" si="12"/>
        <v>238</v>
      </c>
      <c r="BM886" s="99" t="str">
        <f>IFERROR(__xludf.DUMMYFUNCTION("IFERROR(VLOOKUP(BG886,IMPORTRANGE(""https://docs.google.com/spreadsheets/d/1juPI-Fb8LD0YtltB2mlGEnp_R3UVu1t3wSFPzgCyHXE/edit?gid=0#gid=0"",""GERAL!A2:C""),3,0),""-"")"),"-")</f>
        <v>-</v>
      </c>
    </row>
    <row r="887" ht="15.75" customHeight="1">
      <c r="A887" s="111" t="s">
        <v>1027</v>
      </c>
      <c r="B887" s="83" t="s">
        <v>4424</v>
      </c>
      <c r="C887" s="83" t="s">
        <v>68</v>
      </c>
      <c r="D887" s="112">
        <v>1123531.0</v>
      </c>
      <c r="E887" s="83"/>
      <c r="F887" s="83">
        <v>2.9084784E7</v>
      </c>
      <c r="G887" s="220" t="s">
        <v>4425</v>
      </c>
      <c r="H887" s="91" t="s">
        <v>4426</v>
      </c>
      <c r="I887" s="83" t="s">
        <v>149</v>
      </c>
      <c r="J887" s="83" t="s">
        <v>150</v>
      </c>
      <c r="K887" s="83" t="s">
        <v>151</v>
      </c>
      <c r="L887" s="98" t="s">
        <v>59</v>
      </c>
      <c r="M887" s="82" t="str">
        <f>IFERROR(__xludf.DUMMYFUNCTION("IFERROR(VLOOKUP(D887,
IMPORTRANGE(""https://docs.google.com/spreadsheets/d/1MjHtlUikwobi2MaWJgy7tfLeBmhj1u-dRFRs_8GwSoA/edit#gid=0"",""Gestores Escolares!D7:J""),3,0),""VERIFICAR CÓD SEC"")")," ELIENE NUNES MAIA")</f>
        <v> ELIENE NUNES MAIA</v>
      </c>
      <c r="N887" s="82" t="str">
        <f>IFERROR(__xludf.DUMMYFUNCTION("IFERROR(VLOOKUP(D887,
IMPORTRANGE(""https://docs.google.com/spreadsheets/d/1MjHtlUikwobi2MaWJgy7tfLeBmhj1u-dRFRs_8GwSoA/edit#gid=0"",""Gestores Escolares!D7:J""),4,0),""VERIFICAR CÓD SEC"")"),"(75) 9 9136-2120")</f>
        <v>(75) 9 9136-2120</v>
      </c>
      <c r="O887" s="82" t="str">
        <f>IFERROR(__xludf.DUMMYFUNCTION("IFERROR(VLOOKUP(D887,
IMPORTRANGE(""https://docs.google.com/spreadsheets/d/1MjHtlUikwobi2MaWJgy7tfLeBmhj1u-dRFRs_8GwSoA/edit#gid=0"",""Gestores Escolares!D7:J""),6,0),""VERIFICAR CÓD SEC"")"),"")</f>
        <v/>
      </c>
      <c r="P887" s="82" t="str">
        <f>IFERROR(__xludf.DUMMYFUNCTION("IFERROR(VLOOKUP(D887,
IMPORTRANGE(""https://docs.google.com/spreadsheets/d/1MjHtlUikwobi2MaWJgy7tfLeBmhj1u-dRFRs_8GwSoA/edit#gid=0"",""Gestores Escolares!D7:J""),7,0),""VERIFICAR CÓD SEC"")"),"")</f>
        <v/>
      </c>
      <c r="Q887" s="82" t="str">
        <f>IFERROR(__xludf.DUMMYFUNCTION("IFERROR(VLOOKUP(D887,
IMPORTRANGE(""https://docs.google.com/spreadsheets/d/1MjHtlUikwobi2MaWJgy7tfLeBmhj1u-dRFRs_8GwSoA/edit#gid=0"",""Gestores Escolares!D7:m""),9,0),""VERIFICAR CÓD SEC"")"),"")</f>
        <v/>
      </c>
      <c r="R887" s="82" t="str">
        <f>IFERROR(__xludf.DUMMYFUNCTION("IFERROR(VLOOKUP(D887,
IMPORTRANGE(""https://docs.google.com/spreadsheets/d/1MjHtlUikwobi2MaWJgy7tfLeBmhj1u-dRFRs_8GwSoA/edit#gid=0"",""Gestores Escolares!D7:m""),10,0),""VERIFICAR CÓD SEC"")"),"")</f>
        <v/>
      </c>
      <c r="S887" s="82"/>
      <c r="T887" s="138">
        <v>6.0</v>
      </c>
      <c r="U887" s="173">
        <v>6.0</v>
      </c>
      <c r="V887" s="106">
        <v>0.0</v>
      </c>
      <c r="W887" s="107">
        <v>0.0</v>
      </c>
      <c r="X887" s="107">
        <v>0.0</v>
      </c>
      <c r="Y887" s="107">
        <v>0.0</v>
      </c>
      <c r="Z887" s="80">
        <f t="shared" si="1"/>
        <v>0</v>
      </c>
      <c r="AA887" s="106">
        <v>0.0</v>
      </c>
      <c r="AB887" s="107">
        <v>0.0</v>
      </c>
      <c r="AC887" s="107">
        <v>0.0</v>
      </c>
      <c r="AD887" s="107">
        <v>0.0</v>
      </c>
      <c r="AE887" s="80">
        <f t="shared" si="2"/>
        <v>0</v>
      </c>
      <c r="AF887" s="140">
        <v>0.0</v>
      </c>
      <c r="AG887" s="109">
        <v>0.0</v>
      </c>
      <c r="AH887" s="109">
        <v>0.0</v>
      </c>
      <c r="AI887" s="141">
        <v>63.0</v>
      </c>
      <c r="AJ887" s="80">
        <f t="shared" si="3"/>
        <v>63</v>
      </c>
      <c r="AK887" s="140">
        <v>0.0</v>
      </c>
      <c r="AL887" s="109">
        <v>0.0</v>
      </c>
      <c r="AM887" s="141">
        <v>0.0</v>
      </c>
      <c r="AN887" s="80">
        <f t="shared" si="4"/>
        <v>0</v>
      </c>
      <c r="AO887" s="140">
        <v>0.0</v>
      </c>
      <c r="AP887" s="109">
        <v>0.0</v>
      </c>
      <c r="AQ887" s="109">
        <v>20.0</v>
      </c>
      <c r="AR887" s="80">
        <f t="shared" si="5"/>
        <v>20</v>
      </c>
      <c r="AS887" s="110">
        <v>0.0</v>
      </c>
      <c r="AT887" s="110">
        <v>0.0</v>
      </c>
      <c r="AU887" s="110">
        <v>0.0</v>
      </c>
      <c r="AV887" s="142">
        <v>53.0</v>
      </c>
      <c r="AW887" s="80">
        <f t="shared" si="6"/>
        <v>53</v>
      </c>
      <c r="AX887" s="113">
        <f t="shared" si="7"/>
        <v>136</v>
      </c>
      <c r="AY887" s="117">
        <f t="shared" si="8"/>
        <v>116</v>
      </c>
      <c r="AZ887" s="120">
        <f t="shared" si="9"/>
        <v>20</v>
      </c>
      <c r="BA887" s="115">
        <v>0.0</v>
      </c>
      <c r="BB887" s="89">
        <f t="shared" si="10"/>
        <v>136</v>
      </c>
      <c r="BC887" s="132" t="s">
        <v>178</v>
      </c>
      <c r="BD887" s="132" t="s">
        <v>178</v>
      </c>
      <c r="BE887" s="132" t="s">
        <v>178</v>
      </c>
      <c r="BF887" s="123"/>
      <c r="BG887" s="83">
        <v>1123531.0</v>
      </c>
      <c r="BH887" s="112"/>
      <c r="BI887" s="112">
        <v>4.0</v>
      </c>
      <c r="BJ887" s="98" t="s">
        <v>162</v>
      </c>
      <c r="BK887" s="99">
        <f t="shared" si="11"/>
        <v>116</v>
      </c>
      <c r="BL887" s="99">
        <f t="shared" si="12"/>
        <v>0</v>
      </c>
      <c r="BM887" s="99" t="str">
        <f>IFERROR(__xludf.DUMMYFUNCTION("IFERROR(VLOOKUP(BG887,IMPORTRANGE(""https://docs.google.com/spreadsheets/d/1juPI-Fb8LD0YtltB2mlGEnp_R3UVu1t3wSFPzgCyHXE/edit?gid=0#gid=0"",""GERAL!A2:C""),3,0),""-"")"),"-")</f>
        <v>-</v>
      </c>
    </row>
    <row r="888" ht="15.75" customHeight="1">
      <c r="A888" s="111" t="s">
        <v>1027</v>
      </c>
      <c r="B888" s="83" t="s">
        <v>4428</v>
      </c>
      <c r="C888" s="83" t="s">
        <v>68</v>
      </c>
      <c r="D888" s="112">
        <v>1178398.0</v>
      </c>
      <c r="E888" s="83"/>
      <c r="F888" s="83">
        <v>2.998072E7</v>
      </c>
      <c r="G888" s="119" t="s">
        <v>4430</v>
      </c>
      <c r="H888" s="91" t="s">
        <v>4431</v>
      </c>
      <c r="I888" s="83" t="s">
        <v>149</v>
      </c>
      <c r="J888" s="83" t="s">
        <v>150</v>
      </c>
      <c r="K888" s="83" t="s">
        <v>151</v>
      </c>
      <c r="L888" s="98" t="s">
        <v>152</v>
      </c>
      <c r="M888" s="82" t="str">
        <f>IFERROR(__xludf.DUMMYFUNCTION("IFERROR(VLOOKUP(D888,
IMPORTRANGE(""https://docs.google.com/spreadsheets/d/1MjHtlUikwobi2MaWJgy7tfLeBmhj1u-dRFRs_8GwSoA/edit#gid=0"",""Gestores Escolares!D7:J""),3,0),""VERIFICAR CÓD SEC"")"),"RENAN MACEDO DA SILVA")</f>
        <v>RENAN MACEDO DA SILVA</v>
      </c>
      <c r="N888" s="82" t="str">
        <f>IFERROR(__xludf.DUMMYFUNCTION("IFERROR(VLOOKUP(D888,
IMPORTRANGE(""https://docs.google.com/spreadsheets/d/1MjHtlUikwobi2MaWJgy7tfLeBmhj1u-dRFRs_8GwSoA/edit#gid=0"",""Gestores Escolares!D7:J""),4,0),""VERIFICAR CÓD SEC"")"),"(75) 9 9848-5243")</f>
        <v>(75) 9 9848-5243</v>
      </c>
      <c r="O888" s="82" t="str">
        <f>IFERROR(__xludf.DUMMYFUNCTION("IFERROR(VLOOKUP(D888,
IMPORTRANGE(""https://docs.google.com/spreadsheets/d/1MjHtlUikwobi2MaWJgy7tfLeBmhj1u-dRFRs_8GwSoA/edit#gid=0"",""Gestores Escolares!D7:J""),6,0),""VERIFICAR CÓD SEC"")"),"HELDER HENRIQUE MAGALHAES ANDRADE")</f>
        <v>HELDER HENRIQUE MAGALHAES ANDRADE</v>
      </c>
      <c r="P888" s="82" t="str">
        <f>IFERROR(__xludf.DUMMYFUNCTION("IFERROR(VLOOKUP(D888,
IMPORTRANGE(""https://docs.google.com/spreadsheets/d/1MjHtlUikwobi2MaWJgy7tfLeBmhj1u-dRFRs_8GwSoA/edit#gid=0"",""Gestores Escolares!D7:J""),7,0),""VERIFICAR CÓD SEC"")"),"(71) 9 9357-6062")</f>
        <v>(71) 9 9357-6062</v>
      </c>
      <c r="Q888" s="82" t="str">
        <f>IFERROR(__xludf.DUMMYFUNCTION("IFERROR(VLOOKUP(D888,
IMPORTRANGE(""https://docs.google.com/spreadsheets/d/1MjHtlUikwobi2MaWJgy7tfLeBmhj1u-dRFRs_8GwSoA/edit#gid=0"",""Gestores Escolares!D7:m""),9,0),""VERIFICAR CÓD SEC"")"),"")</f>
        <v/>
      </c>
      <c r="R888" s="82" t="str">
        <f>IFERROR(__xludf.DUMMYFUNCTION("IFERROR(VLOOKUP(D888,
IMPORTRANGE(""https://docs.google.com/spreadsheets/d/1MjHtlUikwobi2MaWJgy7tfLeBmhj1u-dRFRs_8GwSoA/edit#gid=0"",""Gestores Escolares!D7:m""),10,0),""VERIFICAR CÓD SEC"")"),"")</f>
        <v/>
      </c>
      <c r="S888" s="82"/>
      <c r="T888" s="138">
        <v>9.0</v>
      </c>
      <c r="U888" s="404" t="s">
        <v>12124</v>
      </c>
      <c r="V888" s="106">
        <v>0.0</v>
      </c>
      <c r="W888" s="107">
        <v>0.0</v>
      </c>
      <c r="X888" s="107">
        <v>0.0</v>
      </c>
      <c r="Y888" s="107">
        <v>0.0</v>
      </c>
      <c r="Z888" s="80">
        <f t="shared" si="1"/>
        <v>0</v>
      </c>
      <c r="AA888" s="106">
        <v>0.0</v>
      </c>
      <c r="AB888" s="107">
        <v>0.0</v>
      </c>
      <c r="AC888" s="107">
        <v>0.0</v>
      </c>
      <c r="AD888" s="107">
        <v>0.0</v>
      </c>
      <c r="AE888" s="80">
        <f t="shared" si="2"/>
        <v>0</v>
      </c>
      <c r="AF888" s="140">
        <v>59.0</v>
      </c>
      <c r="AG888" s="109">
        <v>19.0</v>
      </c>
      <c r="AH888" s="109">
        <v>0.0</v>
      </c>
      <c r="AI888" s="141">
        <v>60.0</v>
      </c>
      <c r="AJ888" s="80">
        <f t="shared" si="3"/>
        <v>138</v>
      </c>
      <c r="AK888" s="140">
        <v>0.0</v>
      </c>
      <c r="AL888" s="109">
        <v>0.0</v>
      </c>
      <c r="AM888" s="141">
        <v>0.0</v>
      </c>
      <c r="AN888" s="80">
        <f t="shared" si="4"/>
        <v>0</v>
      </c>
      <c r="AO888" s="140">
        <v>0.0</v>
      </c>
      <c r="AP888" s="109">
        <v>0.0</v>
      </c>
      <c r="AQ888" s="109">
        <v>133.0</v>
      </c>
      <c r="AR888" s="80">
        <f t="shared" si="5"/>
        <v>133</v>
      </c>
      <c r="AS888" s="110">
        <v>89.0</v>
      </c>
      <c r="AT888" s="110">
        <v>79.0</v>
      </c>
      <c r="AU888" s="110">
        <v>41.0</v>
      </c>
      <c r="AV888" s="142">
        <v>99.0</v>
      </c>
      <c r="AW888" s="80">
        <f t="shared" si="6"/>
        <v>308</v>
      </c>
      <c r="AX888" s="113">
        <f t="shared" si="7"/>
        <v>579</v>
      </c>
      <c r="AY888" s="117">
        <f t="shared" si="8"/>
        <v>405</v>
      </c>
      <c r="AZ888" s="120">
        <f t="shared" si="9"/>
        <v>174</v>
      </c>
      <c r="BA888" s="115">
        <v>0.0</v>
      </c>
      <c r="BB888" s="89">
        <f t="shared" si="10"/>
        <v>579</v>
      </c>
      <c r="BC888" s="132" t="s">
        <v>178</v>
      </c>
      <c r="BD888" s="132" t="s">
        <v>178</v>
      </c>
      <c r="BE888" s="132" t="s">
        <v>178</v>
      </c>
      <c r="BF888" s="123"/>
      <c r="BG888" s="83">
        <v>1178398.0</v>
      </c>
      <c r="BH888" s="112"/>
      <c r="BI888" s="112">
        <v>11.0</v>
      </c>
      <c r="BJ888" s="98" t="s">
        <v>155</v>
      </c>
      <c r="BK888" s="99">
        <f t="shared" si="11"/>
        <v>159</v>
      </c>
      <c r="BL888" s="99">
        <f t="shared" si="12"/>
        <v>246</v>
      </c>
      <c r="BM888" s="99" t="str">
        <f>IFERROR(__xludf.DUMMYFUNCTION("IFERROR(VLOOKUP(BG888,IMPORTRANGE(""https://docs.google.com/spreadsheets/d/1juPI-Fb8LD0YtltB2mlGEnp_R3UVu1t3wSFPzgCyHXE/edit?gid=0#gid=0"",""GERAL!A2:C""),3,0),""-"")"),"-")</f>
        <v>-</v>
      </c>
    </row>
    <row r="889" ht="15.75" customHeight="1">
      <c r="A889" s="111" t="s">
        <v>1027</v>
      </c>
      <c r="B889" s="83" t="s">
        <v>2276</v>
      </c>
      <c r="C889" s="83" t="s">
        <v>45</v>
      </c>
      <c r="D889" s="112">
        <v>1178442.0</v>
      </c>
      <c r="E889" s="83"/>
      <c r="F889" s="83">
        <v>2.9891736E7</v>
      </c>
      <c r="G889" s="241" t="s">
        <v>4438</v>
      </c>
      <c r="H889" s="91" t="s">
        <v>4439</v>
      </c>
      <c r="I889" s="83" t="s">
        <v>4440</v>
      </c>
      <c r="J889" s="115" t="s">
        <v>222</v>
      </c>
      <c r="K889" s="136" t="s">
        <v>171</v>
      </c>
      <c r="L889" s="83" t="s">
        <v>512</v>
      </c>
      <c r="M889" s="82" t="str">
        <f>IFERROR(__xludf.DUMMYFUNCTION("IFERROR(VLOOKUP(D889,
IMPORTRANGE(""https://docs.google.com/spreadsheets/d/1MjHtlUikwobi2MaWJgy7tfLeBmhj1u-dRFRs_8GwSoA/edit#gid=0"",""Gestores Escolares!D7:J""),3,0),""VERIFICAR CÓD SEC"")"),"RICARDO DOS SANTOS CARVALHO")</f>
        <v>RICARDO DOS SANTOS CARVALHO</v>
      </c>
      <c r="N889" s="82" t="str">
        <f>IFERROR(__xludf.DUMMYFUNCTION("IFERROR(VLOOKUP(D889,
IMPORTRANGE(""https://docs.google.com/spreadsheets/d/1MjHtlUikwobi2MaWJgy7tfLeBmhj1u-dRFRs_8GwSoA/edit#gid=0"",""Gestores Escolares!D7:J""),4,0),""VERIFICAR CÓD SEC"")"),"(74) 9 9994-9346")</f>
        <v>(74) 9 9994-9346</v>
      </c>
      <c r="O889" s="82" t="str">
        <f>IFERROR(__xludf.DUMMYFUNCTION("IFERROR(VLOOKUP(D889,
IMPORTRANGE(""https://docs.google.com/spreadsheets/d/1MjHtlUikwobi2MaWJgy7tfLeBmhj1u-dRFRs_8GwSoA/edit#gid=0"",""Gestores Escolares!D7:J""),6,0),""VERIFICAR CÓD SEC"")"),"")</f>
        <v/>
      </c>
      <c r="P889" s="82" t="str">
        <f>IFERROR(__xludf.DUMMYFUNCTION("IFERROR(VLOOKUP(D889,
IMPORTRANGE(""https://docs.google.com/spreadsheets/d/1MjHtlUikwobi2MaWJgy7tfLeBmhj1u-dRFRs_8GwSoA/edit#gid=0"",""Gestores Escolares!D7:J""),7,0),""VERIFICAR CÓD SEC"")"),"")</f>
        <v/>
      </c>
      <c r="Q889" s="82" t="str">
        <f>IFERROR(__xludf.DUMMYFUNCTION("IFERROR(VLOOKUP(D889,
IMPORTRANGE(""https://docs.google.com/spreadsheets/d/1MjHtlUikwobi2MaWJgy7tfLeBmhj1u-dRFRs_8GwSoA/edit#gid=0"",""Gestores Escolares!D7:m""),9,0),""VERIFICAR CÓD SEC"")"),"")</f>
        <v/>
      </c>
      <c r="R889" s="82" t="str">
        <f>IFERROR(__xludf.DUMMYFUNCTION("IFERROR(VLOOKUP(D889,
IMPORTRANGE(""https://docs.google.com/spreadsheets/d/1MjHtlUikwobi2MaWJgy7tfLeBmhj1u-dRFRs_8GwSoA/edit#gid=0"",""Gestores Escolares!D7:m""),10,0),""VERIFICAR CÓD SEC"")"),"")</f>
        <v/>
      </c>
      <c r="S889" s="82"/>
      <c r="T889" s="138">
        <v>5.0</v>
      </c>
      <c r="U889" s="403" t="s">
        <v>171</v>
      </c>
      <c r="V889" s="106">
        <v>0.0</v>
      </c>
      <c r="W889" s="107">
        <v>0.0</v>
      </c>
      <c r="X889" s="107">
        <v>0.0</v>
      </c>
      <c r="Y889" s="107">
        <v>0.0</v>
      </c>
      <c r="Z889" s="80">
        <f t="shared" si="1"/>
        <v>0</v>
      </c>
      <c r="AA889" s="106">
        <v>0.0</v>
      </c>
      <c r="AB889" s="107">
        <v>0.0</v>
      </c>
      <c r="AC889" s="107">
        <v>0.0</v>
      </c>
      <c r="AD889" s="107">
        <v>0.0</v>
      </c>
      <c r="AE889" s="80">
        <f t="shared" si="2"/>
        <v>0</v>
      </c>
      <c r="AF889" s="225">
        <v>0.0</v>
      </c>
      <c r="AG889" s="226">
        <v>0.0</v>
      </c>
      <c r="AH889" s="226">
        <v>0.0</v>
      </c>
      <c r="AI889" s="227">
        <v>91.0</v>
      </c>
      <c r="AJ889" s="80">
        <f t="shared" si="3"/>
        <v>91</v>
      </c>
      <c r="AK889" s="140">
        <v>0.0</v>
      </c>
      <c r="AL889" s="109">
        <v>0.0</v>
      </c>
      <c r="AM889" s="141">
        <v>0.0</v>
      </c>
      <c r="AN889" s="80">
        <f t="shared" si="4"/>
        <v>0</v>
      </c>
      <c r="AO889" s="225">
        <v>0.0</v>
      </c>
      <c r="AP889" s="226">
        <v>0.0</v>
      </c>
      <c r="AQ889" s="226">
        <v>0.0</v>
      </c>
      <c r="AR889" s="80">
        <f t="shared" si="5"/>
        <v>0</v>
      </c>
      <c r="AS889" s="110">
        <v>0.0</v>
      </c>
      <c r="AT889" s="110">
        <v>0.0</v>
      </c>
      <c r="AU889" s="110">
        <v>0.0</v>
      </c>
      <c r="AV889" s="142">
        <v>0.0</v>
      </c>
      <c r="AW889" s="80">
        <f t="shared" si="6"/>
        <v>0</v>
      </c>
      <c r="AX889" s="113">
        <f t="shared" si="7"/>
        <v>91</v>
      </c>
      <c r="AY889" s="117">
        <f t="shared" si="8"/>
        <v>91</v>
      </c>
      <c r="AZ889" s="120">
        <f t="shared" si="9"/>
        <v>0</v>
      </c>
      <c r="BA889" s="115">
        <v>0.0</v>
      </c>
      <c r="BB889" s="89">
        <f t="shared" si="10"/>
        <v>91</v>
      </c>
      <c r="BC889" s="132" t="s">
        <v>178</v>
      </c>
      <c r="BD889" s="132" t="s">
        <v>178</v>
      </c>
      <c r="BE889" s="132" t="s">
        <v>178</v>
      </c>
      <c r="BF889" s="123"/>
      <c r="BG889" s="83">
        <v>1178442.0</v>
      </c>
      <c r="BH889" s="112"/>
      <c r="BI889" s="112">
        <v>5.0</v>
      </c>
      <c r="BJ889" s="98" t="s">
        <v>155</v>
      </c>
      <c r="BK889" s="99">
        <f t="shared" si="11"/>
        <v>91</v>
      </c>
      <c r="BL889" s="99">
        <f t="shared" si="12"/>
        <v>0</v>
      </c>
      <c r="BM889" s="99" t="str">
        <f>IFERROR(__xludf.DUMMYFUNCTION("IFERROR(VLOOKUP(BG889,IMPORTRANGE(""https://docs.google.com/spreadsheets/d/1juPI-Fb8LD0YtltB2mlGEnp_R3UVu1t3wSFPzgCyHXE/edit?gid=0#gid=0"",""GERAL!A2:C""),3,0),""-"")"),"EFA")</f>
        <v>EFA</v>
      </c>
    </row>
    <row r="890" ht="15.75" customHeight="1">
      <c r="A890" s="111" t="s">
        <v>1027</v>
      </c>
      <c r="B890" s="83" t="s">
        <v>2276</v>
      </c>
      <c r="C890" s="83" t="s">
        <v>68</v>
      </c>
      <c r="D890" s="112">
        <v>1123000.0</v>
      </c>
      <c r="E890" s="83"/>
      <c r="F890" s="83">
        <v>2.9086914E7</v>
      </c>
      <c r="G890" s="241" t="s">
        <v>4442</v>
      </c>
      <c r="H890" s="91" t="s">
        <v>4443</v>
      </c>
      <c r="I890" s="83" t="s">
        <v>149</v>
      </c>
      <c r="J890" s="136" t="s">
        <v>150</v>
      </c>
      <c r="K890" s="136" t="s">
        <v>151</v>
      </c>
      <c r="L890" s="83" t="s">
        <v>230</v>
      </c>
      <c r="M890" s="82" t="str">
        <f>IFERROR(__xludf.DUMMYFUNCTION("IFERROR(VLOOKUP(D890,
IMPORTRANGE(""https://docs.google.com/spreadsheets/d/1MjHtlUikwobi2MaWJgy7tfLeBmhj1u-dRFRs_8GwSoA/edit#gid=0"",""Gestores Escolares!D7:J""),3,0),""VERIFICAR CÓD SEC"")"),"CAMILA ALMEIDA ALVES")</f>
        <v>CAMILA ALMEIDA ALVES</v>
      </c>
      <c r="N890" s="82" t="str">
        <f>IFERROR(__xludf.DUMMYFUNCTION("IFERROR(VLOOKUP(D890,
IMPORTRANGE(""https://docs.google.com/spreadsheets/d/1MjHtlUikwobi2MaWJgy7tfLeBmhj1u-dRFRs_8GwSoA/edit#gid=0"",""Gestores Escolares!D7:J""),4,0),""VERIFICAR CÓD SEC"")"),"(74) 9 9978-3859")</f>
        <v>(74) 9 9978-3859</v>
      </c>
      <c r="O890" s="82" t="str">
        <f>IFERROR(__xludf.DUMMYFUNCTION("IFERROR(VLOOKUP(D890,
IMPORTRANGE(""https://docs.google.com/spreadsheets/d/1MjHtlUikwobi2MaWJgy7tfLeBmhj1u-dRFRs_8GwSoA/edit#gid=0"",""Gestores Escolares!D7:J""),6,0),""VERIFICAR CÓD SEC"")"),"FLORIVA MOURA DE OLIVEIRA")</f>
        <v>FLORIVA MOURA DE OLIVEIRA</v>
      </c>
      <c r="P890" s="82" t="str">
        <f>IFERROR(__xludf.DUMMYFUNCTION("IFERROR(VLOOKUP(D890,
IMPORTRANGE(""https://docs.google.com/spreadsheets/d/1MjHtlUikwobi2MaWJgy7tfLeBmhj1u-dRFRs_8GwSoA/edit#gid=0"",""Gestores Escolares!D7:J""),7,0),""VERIFICAR CÓD SEC"")"),"(74) 9 9961-9196")</f>
        <v>(74) 9 9961-9196</v>
      </c>
      <c r="Q890" s="82" t="str">
        <f>IFERROR(__xludf.DUMMYFUNCTION("IFERROR(VLOOKUP(D890,
IMPORTRANGE(""https://docs.google.com/spreadsheets/d/1MjHtlUikwobi2MaWJgy7tfLeBmhj1u-dRFRs_8GwSoA/edit#gid=0"",""Gestores Escolares!D7:m""),9,0),""VERIFICAR CÓD SEC"")"),"EDUARDA CRISTINA SOUZA ARAUJO")</f>
        <v>EDUARDA CRISTINA SOUZA ARAUJO</v>
      </c>
      <c r="R890" s="82" t="str">
        <f>IFERROR(__xludf.DUMMYFUNCTION("IFERROR(VLOOKUP(D890,
IMPORTRANGE(""https://docs.google.com/spreadsheets/d/1MjHtlUikwobi2MaWJgy7tfLeBmhj1u-dRFRs_8GwSoA/edit#gid=0"",""Gestores Escolares!D7:m""),10,0),""VERIFICAR CÓD SEC"")"),"(74) 9 9987-0345")</f>
        <v>(74) 9 9987-0345</v>
      </c>
      <c r="S890" s="82"/>
      <c r="T890" s="138">
        <v>16.0</v>
      </c>
      <c r="U890" s="152" t="s">
        <v>12148</v>
      </c>
      <c r="V890" s="106">
        <v>0.0</v>
      </c>
      <c r="W890" s="107">
        <v>0.0</v>
      </c>
      <c r="X890" s="107">
        <v>0.0</v>
      </c>
      <c r="Y890" s="107">
        <v>0.0</v>
      </c>
      <c r="Z890" s="80">
        <f t="shared" si="1"/>
        <v>0</v>
      </c>
      <c r="AA890" s="106">
        <v>0.0</v>
      </c>
      <c r="AB890" s="107">
        <v>0.0</v>
      </c>
      <c r="AC890" s="107">
        <v>0.0</v>
      </c>
      <c r="AD890" s="107">
        <v>0.0</v>
      </c>
      <c r="AE890" s="80">
        <f t="shared" si="2"/>
        <v>0</v>
      </c>
      <c r="AF890" s="140">
        <v>17.0</v>
      </c>
      <c r="AG890" s="109">
        <v>17.0</v>
      </c>
      <c r="AH890" s="109">
        <v>0.0</v>
      </c>
      <c r="AI890" s="141">
        <v>33.0</v>
      </c>
      <c r="AJ890" s="80">
        <f t="shared" si="3"/>
        <v>67</v>
      </c>
      <c r="AK890" s="140">
        <v>0.0</v>
      </c>
      <c r="AL890" s="109">
        <v>0.0</v>
      </c>
      <c r="AM890" s="141">
        <v>0.0</v>
      </c>
      <c r="AN890" s="80">
        <f t="shared" si="4"/>
        <v>0</v>
      </c>
      <c r="AO890" s="140">
        <v>0.0</v>
      </c>
      <c r="AP890" s="109">
        <v>0.0</v>
      </c>
      <c r="AQ890" s="109">
        <v>88.0</v>
      </c>
      <c r="AR890" s="80">
        <f t="shared" si="5"/>
        <v>88</v>
      </c>
      <c r="AS890" s="110">
        <v>151.0</v>
      </c>
      <c r="AT890" s="110">
        <v>107.0</v>
      </c>
      <c r="AU890" s="110">
        <v>106.0</v>
      </c>
      <c r="AV890" s="142">
        <v>152.0</v>
      </c>
      <c r="AW890" s="80">
        <f t="shared" si="6"/>
        <v>516</v>
      </c>
      <c r="AX890" s="113">
        <f t="shared" si="7"/>
        <v>671</v>
      </c>
      <c r="AY890" s="117">
        <f t="shared" si="8"/>
        <v>477</v>
      </c>
      <c r="AZ890" s="120">
        <f t="shared" si="9"/>
        <v>194</v>
      </c>
      <c r="BA890" s="115">
        <v>0.0</v>
      </c>
      <c r="BB890" s="89">
        <f t="shared" si="10"/>
        <v>671</v>
      </c>
      <c r="BC890" s="132" t="s">
        <v>178</v>
      </c>
      <c r="BD890" s="132" t="s">
        <v>522</v>
      </c>
      <c r="BE890" s="132" t="s">
        <v>178</v>
      </c>
      <c r="BF890" s="123"/>
      <c r="BG890" s="83">
        <v>1123000.0</v>
      </c>
      <c r="BH890" s="112"/>
      <c r="BI890" s="112">
        <v>12.0</v>
      </c>
      <c r="BJ890" s="98" t="s">
        <v>155</v>
      </c>
      <c r="BK890" s="99">
        <f t="shared" si="11"/>
        <v>185</v>
      </c>
      <c r="BL890" s="99">
        <f t="shared" si="12"/>
        <v>292</v>
      </c>
      <c r="BM890" s="99" t="str">
        <f>IFERROR(__xludf.DUMMYFUNCTION("IFERROR(VLOOKUP(BG890,IMPORTRANGE(""https://docs.google.com/spreadsheets/d/1juPI-Fb8LD0YtltB2mlGEnp_R3UVu1t3wSFPzgCyHXE/edit?gid=0#gid=0"",""GERAL!A2:C""),3,0),""-"")"),"-")</f>
        <v>-</v>
      </c>
    </row>
    <row r="891" ht="15.75" customHeight="1">
      <c r="A891" s="111" t="s">
        <v>1027</v>
      </c>
      <c r="B891" s="83" t="s">
        <v>2276</v>
      </c>
      <c r="C891" s="83" t="s">
        <v>164</v>
      </c>
      <c r="D891" s="112">
        <v>1123000.0</v>
      </c>
      <c r="E891" s="83">
        <v>1178727.0</v>
      </c>
      <c r="F891" s="98">
        <v>2.9489997E7</v>
      </c>
      <c r="G891" s="605" t="s">
        <v>12157</v>
      </c>
      <c r="H891" s="108" t="s">
        <v>12158</v>
      </c>
      <c r="I891" s="172" t="s">
        <v>149</v>
      </c>
      <c r="J891" s="136" t="s">
        <v>183</v>
      </c>
      <c r="K891" s="136" t="s">
        <v>168</v>
      </c>
      <c r="L891" s="83" t="s">
        <v>169</v>
      </c>
      <c r="M891" s="82" t="str">
        <f>IFERROR(__xludf.DUMMYFUNCTION("IFERROR(VLOOKUP(D891,
IMPORTRANGE(""https://docs.google.com/spreadsheets/d/1MjHtlUikwobi2MaWJgy7tfLeBmhj1u-dRFRs_8GwSoA/edit#gid=0"",""Gestores Escolares!D7:J""),3,0),""VERIFICAR CÓD SEC"")"),"CAMILA ALMEIDA ALVES")</f>
        <v>CAMILA ALMEIDA ALVES</v>
      </c>
      <c r="N891" s="82" t="str">
        <f>IFERROR(__xludf.DUMMYFUNCTION("IFERROR(VLOOKUP(D891,
IMPORTRANGE(""https://docs.google.com/spreadsheets/d/1MjHtlUikwobi2MaWJgy7tfLeBmhj1u-dRFRs_8GwSoA/edit#gid=0"",""Gestores Escolares!D7:J""),4,0),""VERIFICAR CÓD SEC"")"),"(74) 9 9978-3859")</f>
        <v>(74) 9 9978-3859</v>
      </c>
      <c r="O891" s="82" t="str">
        <f>IFERROR(__xludf.DUMMYFUNCTION("IFERROR(VLOOKUP(D891,
IMPORTRANGE(""https://docs.google.com/spreadsheets/d/1MjHtlUikwobi2MaWJgy7tfLeBmhj1u-dRFRs_8GwSoA/edit#gid=0"",""Gestores Escolares!D7:J""),6,0),""VERIFICAR CÓD SEC"")"),"FLORIVA MOURA DE OLIVEIRA")</f>
        <v>FLORIVA MOURA DE OLIVEIRA</v>
      </c>
      <c r="P891" s="82" t="str">
        <f>IFERROR(__xludf.DUMMYFUNCTION("IFERROR(VLOOKUP(D891,
IMPORTRANGE(""https://docs.google.com/spreadsheets/d/1MjHtlUikwobi2MaWJgy7tfLeBmhj1u-dRFRs_8GwSoA/edit#gid=0"",""Gestores Escolares!D7:J""),7,0),""VERIFICAR CÓD SEC"")"),"(74) 9 9961-9196")</f>
        <v>(74) 9 9961-9196</v>
      </c>
      <c r="Q891" s="82" t="str">
        <f>IFERROR(__xludf.DUMMYFUNCTION("IFERROR(VLOOKUP(D891,
IMPORTRANGE(""https://docs.google.com/spreadsheets/d/1MjHtlUikwobi2MaWJgy7tfLeBmhj1u-dRFRs_8GwSoA/edit#gid=0"",""Gestores Escolares!D7:m""),9,0),""VERIFICAR CÓD SEC"")"),"EDUARDA CRISTINA SOUZA ARAUJO")</f>
        <v>EDUARDA CRISTINA SOUZA ARAUJO</v>
      </c>
      <c r="R891" s="82" t="str">
        <f>IFERROR(__xludf.DUMMYFUNCTION("IFERROR(VLOOKUP(D891,
IMPORTRANGE(""https://docs.google.com/spreadsheets/d/1MjHtlUikwobi2MaWJgy7tfLeBmhj1u-dRFRs_8GwSoA/edit#gid=0"",""Gestores Escolares!D7:m""),10,0),""VERIFICAR CÓD SEC"")"),"(74) 9 9987-0345")</f>
        <v>(74) 9 9987-0345</v>
      </c>
      <c r="S891" s="82"/>
      <c r="T891" s="138">
        <v>5.0</v>
      </c>
      <c r="U891" s="152">
        <v>5.0</v>
      </c>
      <c r="V891" s="106">
        <v>0.0</v>
      </c>
      <c r="W891" s="107">
        <v>0.0</v>
      </c>
      <c r="X891" s="107">
        <v>0.0</v>
      </c>
      <c r="Y891" s="107">
        <v>0.0</v>
      </c>
      <c r="Z891" s="80">
        <f t="shared" si="1"/>
        <v>0</v>
      </c>
      <c r="AA891" s="106">
        <v>0.0</v>
      </c>
      <c r="AB891" s="107">
        <v>0.0</v>
      </c>
      <c r="AC891" s="107">
        <v>0.0</v>
      </c>
      <c r="AD891" s="107">
        <v>0.0</v>
      </c>
      <c r="AE891" s="80">
        <f t="shared" si="2"/>
        <v>0</v>
      </c>
      <c r="AF891" s="140">
        <v>0.0</v>
      </c>
      <c r="AG891" s="109">
        <v>66.0</v>
      </c>
      <c r="AH891" s="109">
        <v>56.0</v>
      </c>
      <c r="AI891" s="141">
        <v>0.0</v>
      </c>
      <c r="AJ891" s="80">
        <f t="shared" si="3"/>
        <v>122</v>
      </c>
      <c r="AK891" s="140">
        <v>0.0</v>
      </c>
      <c r="AL891" s="109">
        <v>0.0</v>
      </c>
      <c r="AM891" s="141">
        <v>0.0</v>
      </c>
      <c r="AN891" s="80">
        <f t="shared" si="4"/>
        <v>0</v>
      </c>
      <c r="AO891" s="140">
        <v>0.0</v>
      </c>
      <c r="AP891" s="109">
        <v>0.0</v>
      </c>
      <c r="AQ891" s="109">
        <v>0.0</v>
      </c>
      <c r="AR891" s="80">
        <f t="shared" si="5"/>
        <v>0</v>
      </c>
      <c r="AS891" s="110">
        <v>0.0</v>
      </c>
      <c r="AT891" s="110">
        <v>0.0</v>
      </c>
      <c r="AU891" s="110">
        <v>0.0</v>
      </c>
      <c r="AV891" s="142">
        <v>0.0</v>
      </c>
      <c r="AW891" s="80">
        <f t="shared" si="6"/>
        <v>0</v>
      </c>
      <c r="AX891" s="113">
        <f t="shared" si="7"/>
        <v>122</v>
      </c>
      <c r="AY891" s="117">
        <f t="shared" si="8"/>
        <v>66</v>
      </c>
      <c r="AZ891" s="120">
        <f t="shared" si="9"/>
        <v>56</v>
      </c>
      <c r="BA891" s="115">
        <v>0.0</v>
      </c>
      <c r="BB891" s="89">
        <f t="shared" si="10"/>
        <v>122</v>
      </c>
      <c r="BC891" s="132" t="s">
        <v>373</v>
      </c>
      <c r="BD891" s="132" t="s">
        <v>178</v>
      </c>
      <c r="BE891" s="132" t="s">
        <v>178</v>
      </c>
      <c r="BF891" s="123"/>
      <c r="BG891" s="83">
        <v>1178727.0</v>
      </c>
      <c r="BH891" s="112"/>
      <c r="BI891" s="112">
        <v>5.0</v>
      </c>
      <c r="BJ891" s="98" t="s">
        <v>155</v>
      </c>
      <c r="BK891" s="99">
        <f t="shared" si="11"/>
        <v>0</v>
      </c>
      <c r="BL891" s="99">
        <f t="shared" si="12"/>
        <v>66</v>
      </c>
      <c r="BM891" s="99" t="str">
        <f>IFERROR(__xludf.DUMMYFUNCTION("IFERROR(VLOOKUP(BG891,IMPORTRANGE(""https://docs.google.com/spreadsheets/d/1juPI-Fb8LD0YtltB2mlGEnp_R3UVu1t3wSFPzgCyHXE/edit?gid=0#gid=0"",""GERAL!A2:C""),3,0),""-"")"),"CAMPO")</f>
        <v>CAMPO</v>
      </c>
    </row>
    <row r="892" ht="15.75" customHeight="1">
      <c r="A892" s="111" t="s">
        <v>1027</v>
      </c>
      <c r="B892" s="83" t="s">
        <v>2276</v>
      </c>
      <c r="C892" s="83" t="s">
        <v>164</v>
      </c>
      <c r="D892" s="112">
        <v>1123000.0</v>
      </c>
      <c r="E892" s="83">
        <v>1179240.0</v>
      </c>
      <c r="F892" s="98">
        <v>2.9490006E7</v>
      </c>
      <c r="G892" s="292" t="s">
        <v>12175</v>
      </c>
      <c r="H892" s="91" t="s">
        <v>4453</v>
      </c>
      <c r="I892" s="83" t="s">
        <v>149</v>
      </c>
      <c r="J892" s="136" t="s">
        <v>187</v>
      </c>
      <c r="K892" s="136" t="s">
        <v>168</v>
      </c>
      <c r="L892" s="83" t="s">
        <v>169</v>
      </c>
      <c r="M892" s="82" t="str">
        <f>IFERROR(__xludf.DUMMYFUNCTION("IFERROR(VLOOKUP(D892,
IMPORTRANGE(""https://docs.google.com/spreadsheets/d/1MjHtlUikwobi2MaWJgy7tfLeBmhj1u-dRFRs_8GwSoA/edit#gid=0"",""Gestores Escolares!D7:J""),3,0),""VERIFICAR CÓD SEC"")"),"CAMILA ALMEIDA ALVES")</f>
        <v>CAMILA ALMEIDA ALVES</v>
      </c>
      <c r="N892" s="82" t="str">
        <f>IFERROR(__xludf.DUMMYFUNCTION("IFERROR(VLOOKUP(D892,
IMPORTRANGE(""https://docs.google.com/spreadsheets/d/1MjHtlUikwobi2MaWJgy7tfLeBmhj1u-dRFRs_8GwSoA/edit#gid=0"",""Gestores Escolares!D7:J""),4,0),""VERIFICAR CÓD SEC"")"),"(74) 9 9978-3859")</f>
        <v>(74) 9 9978-3859</v>
      </c>
      <c r="O892" s="82" t="str">
        <f>IFERROR(__xludf.DUMMYFUNCTION("IFERROR(VLOOKUP(D892,
IMPORTRANGE(""https://docs.google.com/spreadsheets/d/1MjHtlUikwobi2MaWJgy7tfLeBmhj1u-dRFRs_8GwSoA/edit#gid=0"",""Gestores Escolares!D7:J""),6,0),""VERIFICAR CÓD SEC"")"),"FLORIVA MOURA DE OLIVEIRA")</f>
        <v>FLORIVA MOURA DE OLIVEIRA</v>
      </c>
      <c r="P892" s="82" t="str">
        <f>IFERROR(__xludf.DUMMYFUNCTION("IFERROR(VLOOKUP(D892,
IMPORTRANGE(""https://docs.google.com/spreadsheets/d/1MjHtlUikwobi2MaWJgy7tfLeBmhj1u-dRFRs_8GwSoA/edit#gid=0"",""Gestores Escolares!D7:J""),7,0),""VERIFICAR CÓD SEC"")"),"(74) 9 9961-9196")</f>
        <v>(74) 9 9961-9196</v>
      </c>
      <c r="Q892" s="82" t="str">
        <f>IFERROR(__xludf.DUMMYFUNCTION("IFERROR(VLOOKUP(D892,
IMPORTRANGE(""https://docs.google.com/spreadsheets/d/1MjHtlUikwobi2MaWJgy7tfLeBmhj1u-dRFRs_8GwSoA/edit#gid=0"",""Gestores Escolares!D7:m""),9,0),""VERIFICAR CÓD SEC"")"),"EDUARDA CRISTINA SOUZA ARAUJO")</f>
        <v>EDUARDA CRISTINA SOUZA ARAUJO</v>
      </c>
      <c r="R892" s="82" t="str">
        <f>IFERROR(__xludf.DUMMYFUNCTION("IFERROR(VLOOKUP(D892,
IMPORTRANGE(""https://docs.google.com/spreadsheets/d/1MjHtlUikwobi2MaWJgy7tfLeBmhj1u-dRFRs_8GwSoA/edit#gid=0"",""Gestores Escolares!D7:m""),10,0),""VERIFICAR CÓD SEC"")"),"(74) 9 9987-0345")</f>
        <v>(74) 9 9987-0345</v>
      </c>
      <c r="S892" s="82"/>
      <c r="T892" s="138">
        <v>4.0</v>
      </c>
      <c r="U892" s="152">
        <v>3.0</v>
      </c>
      <c r="V892" s="106">
        <v>0.0</v>
      </c>
      <c r="W892" s="107">
        <v>0.0</v>
      </c>
      <c r="X892" s="107">
        <v>0.0</v>
      </c>
      <c r="Y892" s="107">
        <v>0.0</v>
      </c>
      <c r="Z892" s="80">
        <f t="shared" si="1"/>
        <v>0</v>
      </c>
      <c r="AA892" s="106">
        <v>0.0</v>
      </c>
      <c r="AB892" s="107">
        <v>0.0</v>
      </c>
      <c r="AC892" s="107">
        <v>0.0</v>
      </c>
      <c r="AD892" s="107">
        <v>0.0</v>
      </c>
      <c r="AE892" s="80">
        <f t="shared" si="2"/>
        <v>0</v>
      </c>
      <c r="AF892" s="140">
        <v>0.0</v>
      </c>
      <c r="AG892" s="109">
        <v>13.0</v>
      </c>
      <c r="AH892" s="109">
        <v>49.0</v>
      </c>
      <c r="AI892" s="141">
        <v>0.0</v>
      </c>
      <c r="AJ892" s="80">
        <f t="shared" si="3"/>
        <v>62</v>
      </c>
      <c r="AK892" s="140">
        <v>0.0</v>
      </c>
      <c r="AL892" s="109">
        <v>0.0</v>
      </c>
      <c r="AM892" s="141">
        <v>0.0</v>
      </c>
      <c r="AN892" s="80">
        <f t="shared" si="4"/>
        <v>0</v>
      </c>
      <c r="AO892" s="140">
        <v>0.0</v>
      </c>
      <c r="AP892" s="109">
        <v>0.0</v>
      </c>
      <c r="AQ892" s="109">
        <v>0.0</v>
      </c>
      <c r="AR892" s="80">
        <f t="shared" si="5"/>
        <v>0</v>
      </c>
      <c r="AS892" s="110">
        <v>0.0</v>
      </c>
      <c r="AT892" s="110">
        <v>0.0</v>
      </c>
      <c r="AU892" s="110">
        <v>0.0</v>
      </c>
      <c r="AV892" s="142">
        <v>0.0</v>
      </c>
      <c r="AW892" s="80">
        <f t="shared" si="6"/>
        <v>0</v>
      </c>
      <c r="AX892" s="113">
        <f t="shared" si="7"/>
        <v>62</v>
      </c>
      <c r="AY892" s="117">
        <f t="shared" si="8"/>
        <v>13</v>
      </c>
      <c r="AZ892" s="120">
        <f t="shared" si="9"/>
        <v>49</v>
      </c>
      <c r="BA892" s="115">
        <v>0.0</v>
      </c>
      <c r="BB892" s="89">
        <f t="shared" si="10"/>
        <v>62</v>
      </c>
      <c r="BC892" s="132" t="s">
        <v>373</v>
      </c>
      <c r="BD892" s="132" t="s">
        <v>178</v>
      </c>
      <c r="BE892" s="132" t="s">
        <v>178</v>
      </c>
      <c r="BF892" s="123"/>
      <c r="BG892" s="83">
        <v>1179240.0</v>
      </c>
      <c r="BH892" s="112"/>
      <c r="BI892" s="112">
        <v>3.0</v>
      </c>
      <c r="BJ892" s="98" t="s">
        <v>155</v>
      </c>
      <c r="BK892" s="99">
        <f t="shared" si="11"/>
        <v>0</v>
      </c>
      <c r="BL892" s="99">
        <f t="shared" si="12"/>
        <v>13</v>
      </c>
      <c r="BM892" s="99" t="str">
        <f>IFERROR(__xludf.DUMMYFUNCTION("IFERROR(VLOOKUP(BG892,IMPORTRANGE(""https://docs.google.com/spreadsheets/d/1juPI-Fb8LD0YtltB2mlGEnp_R3UVu1t3wSFPzgCyHXE/edit?gid=0#gid=0"",""GERAL!A2:C""),3,0),""-"")"),"CAMPO")</f>
        <v>CAMPO</v>
      </c>
    </row>
    <row r="893" ht="15.75" customHeight="1">
      <c r="A893" s="111" t="s">
        <v>1027</v>
      </c>
      <c r="B893" s="83" t="s">
        <v>4459</v>
      </c>
      <c r="C893" s="83" t="s">
        <v>68</v>
      </c>
      <c r="D893" s="112">
        <v>1178016.0</v>
      </c>
      <c r="E893" s="83"/>
      <c r="F893" s="83">
        <v>2.942696E7</v>
      </c>
      <c r="G893" s="119" t="s">
        <v>4461</v>
      </c>
      <c r="H893" s="91" t="s">
        <v>4462</v>
      </c>
      <c r="I893" s="83" t="s">
        <v>149</v>
      </c>
      <c r="J893" s="83" t="s">
        <v>150</v>
      </c>
      <c r="K893" s="83" t="s">
        <v>151</v>
      </c>
      <c r="L893" s="83" t="s">
        <v>152</v>
      </c>
      <c r="M893" s="82" t="str">
        <f>IFERROR(__xludf.DUMMYFUNCTION("IFERROR(VLOOKUP(D893,
IMPORTRANGE(""https://docs.google.com/spreadsheets/d/1MjHtlUikwobi2MaWJgy7tfLeBmhj1u-dRFRs_8GwSoA/edit#gid=0"",""Gestores Escolares!D7:J""),3,0),""VERIFICAR CÓD SEC"")"),"EDSON SANTOS DE SOUZA")</f>
        <v>EDSON SANTOS DE SOUZA</v>
      </c>
      <c r="N893" s="82" t="str">
        <f>IFERROR(__xludf.DUMMYFUNCTION("IFERROR(VLOOKUP(D893,
IMPORTRANGE(""https://docs.google.com/spreadsheets/d/1MjHtlUikwobi2MaWJgy7tfLeBmhj1u-dRFRs_8GwSoA/edit#gid=0"",""Gestores Escolares!D7:J""),4,0),""VERIFICAR CÓD SEC"")"),"(74) 9 9950-9933")</f>
        <v>(74) 9 9950-9933</v>
      </c>
      <c r="O893" s="82" t="str">
        <f>IFERROR(__xludf.DUMMYFUNCTION("IFERROR(VLOOKUP(D893,
IMPORTRANGE(""https://docs.google.com/spreadsheets/d/1MjHtlUikwobi2MaWJgy7tfLeBmhj1u-dRFRs_8GwSoA/edit#gid=0"",""Gestores Escolares!D7:J""),6,0),""VERIFICAR CÓD SEC"")"),"VIVIANE MARIA SOUZA BARRETO")</f>
        <v>VIVIANE MARIA SOUZA BARRETO</v>
      </c>
      <c r="P893" s="82" t="str">
        <f>IFERROR(__xludf.DUMMYFUNCTION("IFERROR(VLOOKUP(D893,
IMPORTRANGE(""https://docs.google.com/spreadsheets/d/1MjHtlUikwobi2MaWJgy7tfLeBmhj1u-dRFRs_8GwSoA/edit#gid=0"",""Gestores Escolares!D7:J""),7,0),""VERIFICAR CÓD SEC"")"),"(74)  9 9913-5116")</f>
        <v>(74)  9 9913-5116</v>
      </c>
      <c r="Q893" s="82" t="str">
        <f>IFERROR(__xludf.DUMMYFUNCTION("IFERROR(VLOOKUP(D893,
IMPORTRANGE(""https://docs.google.com/spreadsheets/d/1MjHtlUikwobi2MaWJgy7tfLeBmhj1u-dRFRs_8GwSoA/edit#gid=0"",""Gestores Escolares!D7:m""),9,0),""VERIFICAR CÓD SEC"")"),"GEORGE NERES GUIMARAES")</f>
        <v>GEORGE NERES GUIMARAES</v>
      </c>
      <c r="R893" s="82" t="str">
        <f>IFERROR(__xludf.DUMMYFUNCTION("IFERROR(VLOOKUP(D893,
IMPORTRANGE(""https://docs.google.com/spreadsheets/d/1MjHtlUikwobi2MaWJgy7tfLeBmhj1u-dRFRs_8GwSoA/edit#gid=0"",""Gestores Escolares!D7:m""),10,0),""VERIFICAR CÓD SEC"")"),"(74) 9 9978-5250")</f>
        <v>(74) 9 9978-5250</v>
      </c>
      <c r="S893" s="82"/>
      <c r="T893" s="138">
        <v>10.0</v>
      </c>
      <c r="U893" s="145">
        <v>10.0</v>
      </c>
      <c r="V893" s="106">
        <v>0.0</v>
      </c>
      <c r="W893" s="107">
        <v>0.0</v>
      </c>
      <c r="X893" s="107">
        <v>0.0</v>
      </c>
      <c r="Y893" s="107">
        <v>0.0</v>
      </c>
      <c r="Z893" s="80">
        <f t="shared" si="1"/>
        <v>0</v>
      </c>
      <c r="AA893" s="106">
        <v>0.0</v>
      </c>
      <c r="AB893" s="107">
        <v>0.0</v>
      </c>
      <c r="AC893" s="107">
        <v>0.0</v>
      </c>
      <c r="AD893" s="107">
        <v>0.0</v>
      </c>
      <c r="AE893" s="80">
        <f t="shared" si="2"/>
        <v>0</v>
      </c>
      <c r="AF893" s="140">
        <v>196.0</v>
      </c>
      <c r="AG893" s="109">
        <v>180.0</v>
      </c>
      <c r="AH893" s="109">
        <v>0.0</v>
      </c>
      <c r="AI893" s="141">
        <v>0.0</v>
      </c>
      <c r="AJ893" s="80">
        <f t="shared" si="3"/>
        <v>376</v>
      </c>
      <c r="AK893" s="140">
        <v>0.0</v>
      </c>
      <c r="AL893" s="109">
        <v>0.0</v>
      </c>
      <c r="AM893" s="141">
        <v>0.0</v>
      </c>
      <c r="AN893" s="80">
        <f t="shared" si="4"/>
        <v>0</v>
      </c>
      <c r="AO893" s="140">
        <v>0.0</v>
      </c>
      <c r="AP893" s="109">
        <v>0.0</v>
      </c>
      <c r="AQ893" s="109">
        <v>41.0</v>
      </c>
      <c r="AR893" s="80">
        <f t="shared" si="5"/>
        <v>41</v>
      </c>
      <c r="AS893" s="110">
        <v>188.0</v>
      </c>
      <c r="AT893" s="110">
        <v>45.0</v>
      </c>
      <c r="AU893" s="110">
        <v>35.0</v>
      </c>
      <c r="AV893" s="142">
        <v>0.0</v>
      </c>
      <c r="AW893" s="80">
        <f t="shared" si="6"/>
        <v>268</v>
      </c>
      <c r="AX893" s="113">
        <f t="shared" si="7"/>
        <v>685</v>
      </c>
      <c r="AY893" s="117">
        <f t="shared" si="8"/>
        <v>609</v>
      </c>
      <c r="AZ893" s="120">
        <f t="shared" si="9"/>
        <v>76</v>
      </c>
      <c r="BA893" s="115">
        <v>0.0</v>
      </c>
      <c r="BB893" s="89">
        <f t="shared" si="10"/>
        <v>685</v>
      </c>
      <c r="BC893" s="132" t="s">
        <v>178</v>
      </c>
      <c r="BD893" s="132" t="s">
        <v>178</v>
      </c>
      <c r="BE893" s="132" t="s">
        <v>178</v>
      </c>
      <c r="BF893" s="123"/>
      <c r="BG893" s="83">
        <v>1178016.0</v>
      </c>
      <c r="BH893" s="112"/>
      <c r="BI893" s="112">
        <v>8.0</v>
      </c>
      <c r="BJ893" s="98" t="s">
        <v>155</v>
      </c>
      <c r="BK893" s="99">
        <f t="shared" si="11"/>
        <v>0</v>
      </c>
      <c r="BL893" s="99">
        <f t="shared" si="12"/>
        <v>609</v>
      </c>
      <c r="BM893" s="99" t="str">
        <f>IFERROR(__xludf.DUMMYFUNCTION("IFERROR(VLOOKUP(BG893,IMPORTRANGE(""https://docs.google.com/spreadsheets/d/1juPI-Fb8LD0YtltB2mlGEnp_R3UVu1t3wSFPzgCyHXE/edit?gid=0#gid=0"",""GERAL!A2:C""),3,0),""-"")"),"-")</f>
        <v>-</v>
      </c>
    </row>
    <row r="894" ht="15.75" customHeight="1">
      <c r="A894" s="111" t="s">
        <v>1027</v>
      </c>
      <c r="B894" s="136" t="s">
        <v>4464</v>
      </c>
      <c r="C894" s="83" t="s">
        <v>68</v>
      </c>
      <c r="D894" s="112">
        <v>1178426.0</v>
      </c>
      <c r="E894" s="83"/>
      <c r="F894" s="83">
        <v>2.9441919E7</v>
      </c>
      <c r="G894" s="147" t="s">
        <v>4466</v>
      </c>
      <c r="H894" s="91" t="s">
        <v>4467</v>
      </c>
      <c r="I894" s="83" t="s">
        <v>149</v>
      </c>
      <c r="J894" s="136" t="s">
        <v>767</v>
      </c>
      <c r="K894" s="83" t="s">
        <v>151</v>
      </c>
      <c r="L894" s="83" t="s">
        <v>76</v>
      </c>
      <c r="M894" s="82" t="str">
        <f>IFERROR(__xludf.DUMMYFUNCTION("IFERROR(VLOOKUP(D894,
IMPORTRANGE(""https://docs.google.com/spreadsheets/d/1MjHtlUikwobi2MaWJgy7tfLeBmhj1u-dRFRs_8GwSoA/edit#gid=0"",""Gestores Escolares!D7:J""),3,0),""VERIFICAR CÓD SEC"")"),"SIDIANE DOS SANTOS SOUZA")</f>
        <v>SIDIANE DOS SANTOS SOUZA</v>
      </c>
      <c r="N894" s="82" t="str">
        <f>IFERROR(__xludf.DUMMYFUNCTION("IFERROR(VLOOKUP(D894,
IMPORTRANGE(""https://docs.google.com/spreadsheets/d/1MjHtlUikwobi2MaWJgy7tfLeBmhj1u-dRFRs_8GwSoA/edit#gid=0"",""Gestores Escolares!D7:J""),4,0),""VERIFICAR CÓD SEC"")"),"(75) 9 8818-4055")</f>
        <v>(75) 9 8818-4055</v>
      </c>
      <c r="O894" s="82" t="str">
        <f>IFERROR(__xludf.DUMMYFUNCTION("IFERROR(VLOOKUP(D894,
IMPORTRANGE(""https://docs.google.com/spreadsheets/d/1MjHtlUikwobi2MaWJgy7tfLeBmhj1u-dRFRs_8GwSoA/edit#gid=0"",""Gestores Escolares!D7:J""),6,0),""VERIFICAR CÓD SEC"")"),"BRUNA COSTA CERQUEIRA")</f>
        <v>BRUNA COSTA CERQUEIRA</v>
      </c>
      <c r="P894" s="82" t="str">
        <f>IFERROR(__xludf.DUMMYFUNCTION("IFERROR(VLOOKUP(D894,
IMPORTRANGE(""https://docs.google.com/spreadsheets/d/1MjHtlUikwobi2MaWJgy7tfLeBmhj1u-dRFRs_8GwSoA/edit#gid=0"",""Gestores Escolares!D7:J""),7,0),""VERIFICAR CÓD SEC"")"),"(71) 9 8719-5358")</f>
        <v>(71) 9 8719-5358</v>
      </c>
      <c r="Q894" s="82" t="str">
        <f>IFERROR(__xludf.DUMMYFUNCTION("IFERROR(VLOOKUP(D894,
IMPORTRANGE(""https://docs.google.com/spreadsheets/d/1MjHtlUikwobi2MaWJgy7tfLeBmhj1u-dRFRs_8GwSoA/edit#gid=0"",""Gestores Escolares!D7:m""),9,0),""VERIFICAR CÓD SEC"")"),"")</f>
        <v/>
      </c>
      <c r="R894" s="82" t="str">
        <f>IFERROR(__xludf.DUMMYFUNCTION("IFERROR(VLOOKUP(D894,
IMPORTRANGE(""https://docs.google.com/spreadsheets/d/1MjHtlUikwobi2MaWJgy7tfLeBmhj1u-dRFRs_8GwSoA/edit#gid=0"",""Gestores Escolares!D7:m""),10,0),""VERIFICAR CÓD SEC"")"),"")</f>
        <v/>
      </c>
      <c r="S894" s="82"/>
      <c r="T894" s="138">
        <v>7.0</v>
      </c>
      <c r="U894" s="217" t="s">
        <v>9149</v>
      </c>
      <c r="V894" s="106">
        <v>0.0</v>
      </c>
      <c r="W894" s="107">
        <v>0.0</v>
      </c>
      <c r="X894" s="107">
        <v>0.0</v>
      </c>
      <c r="Y894" s="107">
        <v>0.0</v>
      </c>
      <c r="Z894" s="80">
        <f t="shared" si="1"/>
        <v>0</v>
      </c>
      <c r="AA894" s="106">
        <v>0.0</v>
      </c>
      <c r="AB894" s="107">
        <v>0.0</v>
      </c>
      <c r="AC894" s="107">
        <v>0.0</v>
      </c>
      <c r="AD894" s="107">
        <v>0.0</v>
      </c>
      <c r="AE894" s="80">
        <f t="shared" si="2"/>
        <v>0</v>
      </c>
      <c r="AF894" s="222">
        <v>223.0</v>
      </c>
      <c r="AG894" s="222">
        <v>166.0</v>
      </c>
      <c r="AH894" s="222">
        <v>0.0</v>
      </c>
      <c r="AI894" s="224">
        <v>0.0</v>
      </c>
      <c r="AJ894" s="80">
        <f t="shared" si="3"/>
        <v>389</v>
      </c>
      <c r="AK894" s="140">
        <v>0.0</v>
      </c>
      <c r="AL894" s="109">
        <v>0.0</v>
      </c>
      <c r="AM894" s="141">
        <v>0.0</v>
      </c>
      <c r="AN894" s="80">
        <f t="shared" si="4"/>
        <v>0</v>
      </c>
      <c r="AO894" s="222">
        <v>0.0</v>
      </c>
      <c r="AP894" s="222">
        <v>0.0</v>
      </c>
      <c r="AQ894" s="224">
        <v>22.0</v>
      </c>
      <c r="AR894" s="80">
        <f t="shared" si="5"/>
        <v>22</v>
      </c>
      <c r="AS894" s="110">
        <v>0.0</v>
      </c>
      <c r="AT894" s="110">
        <v>0.0</v>
      </c>
      <c r="AU894" s="110">
        <v>0.0</v>
      </c>
      <c r="AV894" s="142">
        <v>0.0</v>
      </c>
      <c r="AW894" s="80">
        <f t="shared" si="6"/>
        <v>0</v>
      </c>
      <c r="AX894" s="113">
        <f t="shared" si="7"/>
        <v>411</v>
      </c>
      <c r="AY894" s="117">
        <f t="shared" si="8"/>
        <v>389</v>
      </c>
      <c r="AZ894" s="120">
        <f t="shared" si="9"/>
        <v>22</v>
      </c>
      <c r="BA894" s="115">
        <v>0.0</v>
      </c>
      <c r="BB894" s="89">
        <f t="shared" si="10"/>
        <v>411</v>
      </c>
      <c r="BC894" s="132" t="s">
        <v>373</v>
      </c>
      <c r="BD894" s="132" t="s">
        <v>178</v>
      </c>
      <c r="BE894" s="132" t="s">
        <v>178</v>
      </c>
      <c r="BF894" s="123"/>
      <c r="BG894" s="83">
        <v>1178426.0</v>
      </c>
      <c r="BH894" s="112"/>
      <c r="BI894" s="112">
        <v>7.0</v>
      </c>
      <c r="BJ894" s="98" t="s">
        <v>155</v>
      </c>
      <c r="BK894" s="99">
        <f t="shared" si="11"/>
        <v>0</v>
      </c>
      <c r="BL894" s="99">
        <f t="shared" si="12"/>
        <v>389</v>
      </c>
      <c r="BM894" s="99" t="str">
        <f>IFERROR(__xludf.DUMMYFUNCTION("IFERROR(VLOOKUP(BG894,IMPORTRANGE(""https://docs.google.com/spreadsheets/d/1juPI-Fb8LD0YtltB2mlGEnp_R3UVu1t3wSFPzgCyHXE/edit?gid=0#gid=0"",""GERAL!A2:C""),3,0),""-"")"),"CAMPO")</f>
        <v>CAMPO</v>
      </c>
    </row>
    <row r="895" ht="15.75" customHeight="1">
      <c r="A895" s="111" t="s">
        <v>1027</v>
      </c>
      <c r="B895" s="136" t="s">
        <v>4464</v>
      </c>
      <c r="C895" s="83" t="s">
        <v>68</v>
      </c>
      <c r="D895" s="112">
        <v>1178044.0</v>
      </c>
      <c r="E895" s="83"/>
      <c r="F895" s="83">
        <v>2.9424038E7</v>
      </c>
      <c r="G895" s="147" t="s">
        <v>4474</v>
      </c>
      <c r="H895" s="91" t="s">
        <v>4475</v>
      </c>
      <c r="I895" s="83" t="s">
        <v>149</v>
      </c>
      <c r="J895" s="136" t="s">
        <v>150</v>
      </c>
      <c r="K895" s="83" t="s">
        <v>151</v>
      </c>
      <c r="L895" s="83" t="s">
        <v>76</v>
      </c>
      <c r="M895" s="82" t="str">
        <f>IFERROR(__xludf.DUMMYFUNCTION("IFERROR(VLOOKUP(D895,
IMPORTRANGE(""https://docs.google.com/spreadsheets/d/1MjHtlUikwobi2MaWJgy7tfLeBmhj1u-dRFRs_8GwSoA/edit#gid=0"",""Gestores Escolares!D7:J""),3,0),""VERIFICAR CÓD SEC"")"),"MÁRIO SÉRGIO DE JESUS ARAÚJO")</f>
        <v>MÁRIO SÉRGIO DE JESUS ARAÚJO</v>
      </c>
      <c r="N895" s="82" t="str">
        <f>IFERROR(__xludf.DUMMYFUNCTION("IFERROR(VLOOKUP(D895,
IMPORTRANGE(""https://docs.google.com/spreadsheets/d/1MjHtlUikwobi2MaWJgy7tfLeBmhj1u-dRFRs_8GwSoA/edit#gid=0"",""Gestores Escolares!D7:J""),4,0),""VERIFICAR CÓD SEC"")"),"(75) 9 9924-2798")</f>
        <v>(75) 9 9924-2798</v>
      </c>
      <c r="O895" s="82" t="str">
        <f>IFERROR(__xludf.DUMMYFUNCTION("IFERROR(VLOOKUP(D895,
IMPORTRANGE(""https://docs.google.com/spreadsheets/d/1MjHtlUikwobi2MaWJgy7tfLeBmhj1u-dRFRs_8GwSoA/edit#gid=0"",""Gestores Escolares!D7:J""),6,0),""VERIFICAR CÓD SEC"")"),"")</f>
        <v/>
      </c>
      <c r="P895" s="82" t="str">
        <f>IFERROR(__xludf.DUMMYFUNCTION("IFERROR(VLOOKUP(D895,
IMPORTRANGE(""https://docs.google.com/spreadsheets/d/1MjHtlUikwobi2MaWJgy7tfLeBmhj1u-dRFRs_8GwSoA/edit#gid=0"",""Gestores Escolares!D7:J""),7,0),""VERIFICAR CÓD SEC"")"),"")</f>
        <v/>
      </c>
      <c r="Q895" s="82" t="str">
        <f>IFERROR(__xludf.DUMMYFUNCTION("IFERROR(VLOOKUP(D895,
IMPORTRANGE(""https://docs.google.com/spreadsheets/d/1MjHtlUikwobi2MaWJgy7tfLeBmhj1u-dRFRs_8GwSoA/edit#gid=0"",""Gestores Escolares!D7:m""),9,0),""VERIFICAR CÓD SEC"")"),"")</f>
        <v/>
      </c>
      <c r="R895" s="82" t="str">
        <f>IFERROR(__xludf.DUMMYFUNCTION("IFERROR(VLOOKUP(D895,
IMPORTRANGE(""https://docs.google.com/spreadsheets/d/1MjHtlUikwobi2MaWJgy7tfLeBmhj1u-dRFRs_8GwSoA/edit#gid=0"",""Gestores Escolares!D7:m""),10,0),""VERIFICAR CÓD SEC"")"),"")</f>
        <v/>
      </c>
      <c r="S895" s="82"/>
      <c r="T895" s="138">
        <v>7.0</v>
      </c>
      <c r="U895" s="152">
        <v>6.0</v>
      </c>
      <c r="V895" s="106">
        <v>0.0</v>
      </c>
      <c r="W895" s="107">
        <v>0.0</v>
      </c>
      <c r="X895" s="107">
        <v>0.0</v>
      </c>
      <c r="Y895" s="107">
        <v>0.0</v>
      </c>
      <c r="Z895" s="80">
        <f t="shared" si="1"/>
        <v>0</v>
      </c>
      <c r="AA895" s="106">
        <v>0.0</v>
      </c>
      <c r="AB895" s="107">
        <v>0.0</v>
      </c>
      <c r="AC895" s="107">
        <v>0.0</v>
      </c>
      <c r="AD895" s="107">
        <v>0.0</v>
      </c>
      <c r="AE895" s="80">
        <f t="shared" si="2"/>
        <v>0</v>
      </c>
      <c r="AF895" s="140">
        <v>226.0</v>
      </c>
      <c r="AG895" s="109">
        <v>109.0</v>
      </c>
      <c r="AH895" s="109">
        <v>0.0</v>
      </c>
      <c r="AI895" s="141">
        <v>0.0</v>
      </c>
      <c r="AJ895" s="80">
        <f t="shared" si="3"/>
        <v>335</v>
      </c>
      <c r="AK895" s="140">
        <v>0.0</v>
      </c>
      <c r="AL895" s="109">
        <v>0.0</v>
      </c>
      <c r="AM895" s="141">
        <v>0.0</v>
      </c>
      <c r="AN895" s="80">
        <f t="shared" si="4"/>
        <v>0</v>
      </c>
      <c r="AO895" s="140">
        <v>0.0</v>
      </c>
      <c r="AP895" s="109">
        <v>0.0</v>
      </c>
      <c r="AQ895" s="109">
        <v>38.0</v>
      </c>
      <c r="AR895" s="80">
        <f t="shared" si="5"/>
        <v>38</v>
      </c>
      <c r="AS895" s="110">
        <v>0.0</v>
      </c>
      <c r="AT895" s="110">
        <v>21.0</v>
      </c>
      <c r="AU895" s="110">
        <v>0.0</v>
      </c>
      <c r="AV895" s="142">
        <v>0.0</v>
      </c>
      <c r="AW895" s="80">
        <f t="shared" si="6"/>
        <v>21</v>
      </c>
      <c r="AX895" s="113">
        <f t="shared" si="7"/>
        <v>394</v>
      </c>
      <c r="AY895" s="117">
        <f t="shared" si="8"/>
        <v>356</v>
      </c>
      <c r="AZ895" s="120">
        <f t="shared" si="9"/>
        <v>38</v>
      </c>
      <c r="BA895" s="115">
        <v>0.0</v>
      </c>
      <c r="BB895" s="89">
        <f t="shared" si="10"/>
        <v>394</v>
      </c>
      <c r="BC895" s="132" t="s">
        <v>178</v>
      </c>
      <c r="BD895" s="132" t="s">
        <v>178</v>
      </c>
      <c r="BE895" s="132" t="s">
        <v>178</v>
      </c>
      <c r="BF895" s="123"/>
      <c r="BG895" s="83">
        <v>1178044.0</v>
      </c>
      <c r="BH895" s="112"/>
      <c r="BI895" s="112">
        <v>6.0</v>
      </c>
      <c r="BJ895" s="98" t="s">
        <v>155</v>
      </c>
      <c r="BK895" s="99">
        <f t="shared" si="11"/>
        <v>0</v>
      </c>
      <c r="BL895" s="99">
        <f t="shared" si="12"/>
        <v>356</v>
      </c>
      <c r="BM895" s="99" t="str">
        <f>IFERROR(__xludf.DUMMYFUNCTION("IFERROR(VLOOKUP(BG895,IMPORTRANGE(""https://docs.google.com/spreadsheets/d/1juPI-Fb8LD0YtltB2mlGEnp_R3UVu1t3wSFPzgCyHXE/edit?gid=0#gid=0"",""GERAL!A2:C""),3,0),""-"")"),"-")</f>
        <v>-</v>
      </c>
    </row>
    <row r="896" ht="15.75" customHeight="1">
      <c r="A896" s="111" t="s">
        <v>1027</v>
      </c>
      <c r="B896" s="83" t="s">
        <v>4478</v>
      </c>
      <c r="C896" s="83" t="s">
        <v>45</v>
      </c>
      <c r="D896" s="112">
        <v>1178387.0</v>
      </c>
      <c r="E896" s="83"/>
      <c r="F896" s="83">
        <v>2.936082E7</v>
      </c>
      <c r="G896" s="114" t="s">
        <v>4484</v>
      </c>
      <c r="H896" s="91" t="s">
        <v>4485</v>
      </c>
      <c r="I896" s="83" t="s">
        <v>149</v>
      </c>
      <c r="J896" s="115" t="s">
        <v>150</v>
      </c>
      <c r="K896" s="136" t="s">
        <v>171</v>
      </c>
      <c r="L896" s="83" t="s">
        <v>169</v>
      </c>
      <c r="M896" s="82" t="str">
        <f>IFERROR(__xludf.DUMMYFUNCTION("IFERROR(VLOOKUP(D896,
IMPORTRANGE(""https://docs.google.com/spreadsheets/d/1MjHtlUikwobi2MaWJgy7tfLeBmhj1u-dRFRs_8GwSoA/edit#gid=0"",""Gestores Escolares!D7:J""),3,0),""VERIFICAR CÓD SEC"")"),"JEANE SILVA DOS SANTOS")</f>
        <v>JEANE SILVA DOS SANTOS</v>
      </c>
      <c r="N896" s="82" t="str">
        <f>IFERROR(__xludf.DUMMYFUNCTION("IFERROR(VLOOKUP(D896,
IMPORTRANGE(""https://docs.google.com/spreadsheets/d/1MjHtlUikwobi2MaWJgy7tfLeBmhj1u-dRFRs_8GwSoA/edit#gid=0"",""Gestores Escolares!D7:J""),4,0),""VERIFICAR CÓD SEC"")"),"(75) 9 9924-8028")</f>
        <v>(75) 9 9924-8028</v>
      </c>
      <c r="O896" s="82" t="str">
        <f>IFERROR(__xludf.DUMMYFUNCTION("IFERROR(VLOOKUP(D896,
IMPORTRANGE(""https://docs.google.com/spreadsheets/d/1MjHtlUikwobi2MaWJgy7tfLeBmhj1u-dRFRs_8GwSoA/edit#gid=0"",""Gestores Escolares!D7:J""),6,0),""VERIFICAR CÓD SEC"")"),"")</f>
        <v/>
      </c>
      <c r="P896" s="82" t="str">
        <f>IFERROR(__xludf.DUMMYFUNCTION("IFERROR(VLOOKUP(D896,
IMPORTRANGE(""https://docs.google.com/spreadsheets/d/1MjHtlUikwobi2MaWJgy7tfLeBmhj1u-dRFRs_8GwSoA/edit#gid=0"",""Gestores Escolares!D7:J""),7,0),""VERIFICAR CÓD SEC"")"),"")</f>
        <v/>
      </c>
      <c r="Q896" s="82" t="str">
        <f>IFERROR(__xludf.DUMMYFUNCTION("IFERROR(VLOOKUP(D896,
IMPORTRANGE(""https://docs.google.com/spreadsheets/d/1MjHtlUikwobi2MaWJgy7tfLeBmhj1u-dRFRs_8GwSoA/edit#gid=0"",""Gestores Escolares!D7:m""),9,0),""VERIFICAR CÓD SEC"")"),"")</f>
        <v/>
      </c>
      <c r="R896" s="82" t="str">
        <f>IFERROR(__xludf.DUMMYFUNCTION("IFERROR(VLOOKUP(D896,
IMPORTRANGE(""https://docs.google.com/spreadsheets/d/1MjHtlUikwobi2MaWJgy7tfLeBmhj1u-dRFRs_8GwSoA/edit#gid=0"",""Gestores Escolares!D7:m""),10,0),""VERIFICAR CÓD SEC"")"),"")</f>
        <v/>
      </c>
      <c r="S896" s="82"/>
      <c r="T896" s="138">
        <v>7.0</v>
      </c>
      <c r="U896" s="217">
        <v>7.0</v>
      </c>
      <c r="V896" s="106">
        <v>0.0</v>
      </c>
      <c r="W896" s="107">
        <v>0.0</v>
      </c>
      <c r="X896" s="107">
        <v>0.0</v>
      </c>
      <c r="Y896" s="107">
        <v>0.0</v>
      </c>
      <c r="Z896" s="80">
        <f t="shared" si="1"/>
        <v>0</v>
      </c>
      <c r="AA896" s="106">
        <v>0.0</v>
      </c>
      <c r="AB896" s="107">
        <v>0.0</v>
      </c>
      <c r="AC896" s="107">
        <v>0.0</v>
      </c>
      <c r="AD896" s="107">
        <v>0.0</v>
      </c>
      <c r="AE896" s="80">
        <f t="shared" si="2"/>
        <v>0</v>
      </c>
      <c r="AF896" s="225">
        <v>0.0</v>
      </c>
      <c r="AG896" s="226">
        <v>0.0</v>
      </c>
      <c r="AH896" s="226">
        <v>0.0</v>
      </c>
      <c r="AI896" s="227">
        <v>208.0</v>
      </c>
      <c r="AJ896" s="80">
        <f t="shared" si="3"/>
        <v>208</v>
      </c>
      <c r="AK896" s="140">
        <v>0.0</v>
      </c>
      <c r="AL896" s="109">
        <v>0.0</v>
      </c>
      <c r="AM896" s="141">
        <v>0.0</v>
      </c>
      <c r="AN896" s="80">
        <f t="shared" si="4"/>
        <v>0</v>
      </c>
      <c r="AO896" s="225">
        <v>0.0</v>
      </c>
      <c r="AP896" s="226">
        <v>0.0</v>
      </c>
      <c r="AQ896" s="226">
        <v>0.0</v>
      </c>
      <c r="AR896" s="80">
        <f t="shared" si="5"/>
        <v>0</v>
      </c>
      <c r="AS896" s="110">
        <v>0.0</v>
      </c>
      <c r="AT896" s="110">
        <v>0.0</v>
      </c>
      <c r="AU896" s="110">
        <v>0.0</v>
      </c>
      <c r="AV896" s="142">
        <v>0.0</v>
      </c>
      <c r="AW896" s="80">
        <f t="shared" si="6"/>
        <v>0</v>
      </c>
      <c r="AX896" s="113">
        <f t="shared" si="7"/>
        <v>208</v>
      </c>
      <c r="AY896" s="117">
        <f t="shared" si="8"/>
        <v>208</v>
      </c>
      <c r="AZ896" s="120">
        <f t="shared" si="9"/>
        <v>0</v>
      </c>
      <c r="BA896" s="115">
        <v>0.0</v>
      </c>
      <c r="BB896" s="89">
        <f t="shared" si="10"/>
        <v>208</v>
      </c>
      <c r="BC896" s="132" t="s">
        <v>178</v>
      </c>
      <c r="BD896" s="132" t="s">
        <v>178</v>
      </c>
      <c r="BE896" s="132" t="s">
        <v>178</v>
      </c>
      <c r="BF896" s="123"/>
      <c r="BG896" s="83">
        <v>1178387.0</v>
      </c>
      <c r="BH896" s="112"/>
      <c r="BI896" s="112">
        <v>7.0</v>
      </c>
      <c r="BJ896" s="98" t="s">
        <v>155</v>
      </c>
      <c r="BK896" s="99">
        <f t="shared" si="11"/>
        <v>208</v>
      </c>
      <c r="BL896" s="99">
        <f t="shared" si="12"/>
        <v>0</v>
      </c>
      <c r="BM896" s="99" t="str">
        <f>IFERROR(__xludf.DUMMYFUNCTION("IFERROR(VLOOKUP(BG896,IMPORTRANGE(""https://docs.google.com/spreadsheets/d/1juPI-Fb8LD0YtltB2mlGEnp_R3UVu1t3wSFPzgCyHXE/edit?gid=0#gid=0"",""GERAL!A2:C""),3,0),""-"")"),"EFA")</f>
        <v>EFA</v>
      </c>
    </row>
    <row r="897" ht="15.75" customHeight="1">
      <c r="A897" s="111" t="s">
        <v>1027</v>
      </c>
      <c r="B897" s="83" t="s">
        <v>4478</v>
      </c>
      <c r="C897" s="83" t="s">
        <v>68</v>
      </c>
      <c r="D897" s="112">
        <v>1123957.0</v>
      </c>
      <c r="E897" s="83"/>
      <c r="F897" s="83">
        <v>2.9087236E7</v>
      </c>
      <c r="G897" s="119" t="s">
        <v>4488</v>
      </c>
      <c r="H897" s="91" t="s">
        <v>4489</v>
      </c>
      <c r="I897" s="136" t="s">
        <v>4490</v>
      </c>
      <c r="J897" s="136" t="s">
        <v>150</v>
      </c>
      <c r="K897" s="136" t="s">
        <v>151</v>
      </c>
      <c r="L897" s="83" t="s">
        <v>230</v>
      </c>
      <c r="M897" s="82" t="str">
        <f>IFERROR(__xludf.DUMMYFUNCTION("IFERROR(VLOOKUP(D897,
IMPORTRANGE(""https://docs.google.com/spreadsheets/d/1MjHtlUikwobi2MaWJgy7tfLeBmhj1u-dRFRs_8GwSoA/edit#gid=0"",""Gestores Escolares!D7:J""),3,0),""VERIFICAR CÓD SEC"")"),"MARIA AUXILIADORA MAGALHAES DE ARAUJO")</f>
        <v>MARIA AUXILIADORA MAGALHAES DE ARAUJO</v>
      </c>
      <c r="N897" s="82" t="str">
        <f>IFERROR(__xludf.DUMMYFUNCTION("IFERROR(VLOOKUP(D897,
IMPORTRANGE(""https://docs.google.com/spreadsheets/d/1MjHtlUikwobi2MaWJgy7tfLeBmhj1u-dRFRs_8GwSoA/edit#gid=0"",""Gestores Escolares!D7:J""),4,0),""VERIFICAR CÓD SEC"")"),"(75) 9 9996-0211")</f>
        <v>(75) 9 9996-0211</v>
      </c>
      <c r="O897" s="82" t="str">
        <f>IFERROR(__xludf.DUMMYFUNCTION("IFERROR(VLOOKUP(D897,
IMPORTRANGE(""https://docs.google.com/spreadsheets/d/1MjHtlUikwobi2MaWJgy7tfLeBmhj1u-dRFRs_8GwSoA/edit#gid=0"",""Gestores Escolares!D7:J""),6,0),""VERIFICAR CÓD SEC"")"),"ANA LUCIA DE MIRANDA SANTOS COIMBRA")</f>
        <v>ANA LUCIA DE MIRANDA SANTOS COIMBRA</v>
      </c>
      <c r="P897" s="82" t="str">
        <f>IFERROR(__xludf.DUMMYFUNCTION("IFERROR(VLOOKUP(D897,
IMPORTRANGE(""https://docs.google.com/spreadsheets/d/1MjHtlUikwobi2MaWJgy7tfLeBmhj1u-dRFRs_8GwSoA/edit#gid=0"",""Gestores Escolares!D7:J""),7,0),""VERIFICAR CÓD SEC"")"),"(75) 9 9953-3391")</f>
        <v>(75) 9 9953-3391</v>
      </c>
      <c r="Q897" s="82" t="str">
        <f>IFERROR(__xludf.DUMMYFUNCTION("IFERROR(VLOOKUP(D897,
IMPORTRANGE(""https://docs.google.com/spreadsheets/d/1MjHtlUikwobi2MaWJgy7tfLeBmhj1u-dRFRs_8GwSoA/edit#gid=0"",""Gestores Escolares!D7:m""),9,0),""VERIFICAR CÓD SEC"")"),"BRUNO FREITAS MATOS ALVIM")</f>
        <v>BRUNO FREITAS MATOS ALVIM</v>
      </c>
      <c r="R897" s="82" t="str">
        <f>IFERROR(__xludf.DUMMYFUNCTION("IFERROR(VLOOKUP(D897,
IMPORTRANGE(""https://docs.google.com/spreadsheets/d/1MjHtlUikwobi2MaWJgy7tfLeBmhj1u-dRFRs_8GwSoA/edit#gid=0"",""Gestores Escolares!D7:m""),10,0),""VERIFICAR CÓD SEC"")"),"(75) 9 9126-7207")</f>
        <v>(75) 9 9126-7207</v>
      </c>
      <c r="S897" s="82"/>
      <c r="T897" s="138">
        <v>15.0</v>
      </c>
      <c r="U897" s="217" t="s">
        <v>12225</v>
      </c>
      <c r="V897" s="106">
        <v>0.0</v>
      </c>
      <c r="W897" s="107">
        <v>0.0</v>
      </c>
      <c r="X897" s="107">
        <v>0.0</v>
      </c>
      <c r="Y897" s="107">
        <v>0.0</v>
      </c>
      <c r="Z897" s="80">
        <f t="shared" si="1"/>
        <v>0</v>
      </c>
      <c r="AA897" s="106">
        <v>0.0</v>
      </c>
      <c r="AB897" s="107">
        <v>0.0</v>
      </c>
      <c r="AC897" s="107">
        <v>0.0</v>
      </c>
      <c r="AD897" s="107">
        <v>0.0</v>
      </c>
      <c r="AE897" s="80">
        <f t="shared" si="2"/>
        <v>0</v>
      </c>
      <c r="AF897" s="140">
        <v>0.0</v>
      </c>
      <c r="AG897" s="109">
        <v>0.0</v>
      </c>
      <c r="AH897" s="109">
        <v>0.0</v>
      </c>
      <c r="AI897" s="141">
        <v>452.0</v>
      </c>
      <c r="AJ897" s="80">
        <f t="shared" si="3"/>
        <v>452</v>
      </c>
      <c r="AK897" s="140">
        <v>0.0</v>
      </c>
      <c r="AL897" s="109">
        <v>0.0</v>
      </c>
      <c r="AM897" s="141">
        <v>0.0</v>
      </c>
      <c r="AN897" s="80">
        <f t="shared" si="4"/>
        <v>0</v>
      </c>
      <c r="AO897" s="140">
        <v>0.0</v>
      </c>
      <c r="AP897" s="109">
        <v>0.0</v>
      </c>
      <c r="AQ897" s="109">
        <v>208.0</v>
      </c>
      <c r="AR897" s="80">
        <f t="shared" si="5"/>
        <v>208</v>
      </c>
      <c r="AS897" s="110">
        <v>83.0</v>
      </c>
      <c r="AT897" s="110">
        <v>0.0</v>
      </c>
      <c r="AU897" s="110">
        <v>0.0</v>
      </c>
      <c r="AV897" s="142">
        <v>179.0</v>
      </c>
      <c r="AW897" s="80">
        <f t="shared" si="6"/>
        <v>262</v>
      </c>
      <c r="AX897" s="113">
        <f t="shared" si="7"/>
        <v>922</v>
      </c>
      <c r="AY897" s="117">
        <f t="shared" si="8"/>
        <v>714</v>
      </c>
      <c r="AZ897" s="120">
        <f t="shared" si="9"/>
        <v>208</v>
      </c>
      <c r="BA897" s="115">
        <v>0.0</v>
      </c>
      <c r="BB897" s="89">
        <f t="shared" si="10"/>
        <v>922</v>
      </c>
      <c r="BC897" s="132" t="s">
        <v>178</v>
      </c>
      <c r="BD897" s="132" t="s">
        <v>178</v>
      </c>
      <c r="BE897" s="132" t="s">
        <v>178</v>
      </c>
      <c r="BF897" s="123"/>
      <c r="BG897" s="83">
        <v>1123957.0</v>
      </c>
      <c r="BH897" s="112"/>
      <c r="BI897" s="112">
        <v>15.0</v>
      </c>
      <c r="BJ897" s="98" t="s">
        <v>155</v>
      </c>
      <c r="BK897" s="99">
        <f t="shared" si="11"/>
        <v>631</v>
      </c>
      <c r="BL897" s="99">
        <f t="shared" si="12"/>
        <v>83</v>
      </c>
      <c r="BM897" s="99" t="str">
        <f>IFERROR(__xludf.DUMMYFUNCTION("IFERROR(VLOOKUP(BG897,IMPORTRANGE(""https://docs.google.com/spreadsheets/d/1juPI-Fb8LD0YtltB2mlGEnp_R3UVu1t3wSFPzgCyHXE/edit?gid=0#gid=0"",""GERAL!A2:C""),3,0),""-"")"),"-")</f>
        <v>-</v>
      </c>
    </row>
    <row r="898" ht="15.75" customHeight="1">
      <c r="A898" s="111" t="s">
        <v>1027</v>
      </c>
      <c r="B898" s="83" t="s">
        <v>4478</v>
      </c>
      <c r="C898" s="83" t="s">
        <v>164</v>
      </c>
      <c r="D898" s="112">
        <v>1123957.0</v>
      </c>
      <c r="E898" s="83">
        <v>1178742.0</v>
      </c>
      <c r="F898" s="98">
        <v>2.9491312E7</v>
      </c>
      <c r="G898" s="119" t="s">
        <v>4498</v>
      </c>
      <c r="H898" s="91" t="s">
        <v>4499</v>
      </c>
      <c r="I898" s="136" t="s">
        <v>4500</v>
      </c>
      <c r="J898" s="136" t="s">
        <v>464</v>
      </c>
      <c r="K898" s="136" t="s">
        <v>168</v>
      </c>
      <c r="L898" s="83" t="s">
        <v>169</v>
      </c>
      <c r="M898" s="82" t="str">
        <f>IFERROR(__xludf.DUMMYFUNCTION("IFERROR(VLOOKUP(D898,
IMPORTRANGE(""https://docs.google.com/spreadsheets/d/1MjHtlUikwobi2MaWJgy7tfLeBmhj1u-dRFRs_8GwSoA/edit#gid=0"",""Gestores Escolares!D7:J""),3,0),""VERIFICAR CÓD SEC"")"),"MARIA AUXILIADORA MAGALHAES DE ARAUJO")</f>
        <v>MARIA AUXILIADORA MAGALHAES DE ARAUJO</v>
      </c>
      <c r="N898" s="82" t="str">
        <f>IFERROR(__xludf.DUMMYFUNCTION("IFERROR(VLOOKUP(D898,
IMPORTRANGE(""https://docs.google.com/spreadsheets/d/1MjHtlUikwobi2MaWJgy7tfLeBmhj1u-dRFRs_8GwSoA/edit#gid=0"",""Gestores Escolares!D7:J""),4,0),""VERIFICAR CÓD SEC"")"),"(75) 9 9996-0211")</f>
        <v>(75) 9 9996-0211</v>
      </c>
      <c r="O898" s="82" t="str">
        <f>IFERROR(__xludf.DUMMYFUNCTION("IFERROR(VLOOKUP(D898,
IMPORTRANGE(""https://docs.google.com/spreadsheets/d/1MjHtlUikwobi2MaWJgy7tfLeBmhj1u-dRFRs_8GwSoA/edit#gid=0"",""Gestores Escolares!D7:J""),6,0),""VERIFICAR CÓD SEC"")"),"ANA LUCIA DE MIRANDA SANTOS COIMBRA")</f>
        <v>ANA LUCIA DE MIRANDA SANTOS COIMBRA</v>
      </c>
      <c r="P898" s="82" t="str">
        <f>IFERROR(__xludf.DUMMYFUNCTION("IFERROR(VLOOKUP(D898,
IMPORTRANGE(""https://docs.google.com/spreadsheets/d/1MjHtlUikwobi2MaWJgy7tfLeBmhj1u-dRFRs_8GwSoA/edit#gid=0"",""Gestores Escolares!D7:J""),7,0),""VERIFICAR CÓD SEC"")"),"(75) 9 9953-3391")</f>
        <v>(75) 9 9953-3391</v>
      </c>
      <c r="Q898" s="82" t="str">
        <f>IFERROR(__xludf.DUMMYFUNCTION("IFERROR(VLOOKUP(D898,
IMPORTRANGE(""https://docs.google.com/spreadsheets/d/1MjHtlUikwobi2MaWJgy7tfLeBmhj1u-dRFRs_8GwSoA/edit#gid=0"",""Gestores Escolares!D7:m""),9,0),""VERIFICAR CÓD SEC"")"),"BRUNO FREITAS MATOS ALVIM")</f>
        <v>BRUNO FREITAS MATOS ALVIM</v>
      </c>
      <c r="R898" s="82" t="str">
        <f>IFERROR(__xludf.DUMMYFUNCTION("IFERROR(VLOOKUP(D898,
IMPORTRANGE(""https://docs.google.com/spreadsheets/d/1MjHtlUikwobi2MaWJgy7tfLeBmhj1u-dRFRs_8GwSoA/edit#gid=0"",""Gestores Escolares!D7:m""),10,0),""VERIFICAR CÓD SEC"")"),"(75) 9 9126-7207")</f>
        <v>(75) 9 9126-7207</v>
      </c>
      <c r="S898" s="82"/>
      <c r="T898" s="138">
        <v>4.0</v>
      </c>
      <c r="U898" s="152">
        <v>3.0</v>
      </c>
      <c r="V898" s="106">
        <v>0.0</v>
      </c>
      <c r="W898" s="107">
        <v>0.0</v>
      </c>
      <c r="X898" s="107">
        <v>0.0</v>
      </c>
      <c r="Y898" s="107">
        <v>0.0</v>
      </c>
      <c r="Z898" s="80">
        <f t="shared" si="1"/>
        <v>0</v>
      </c>
      <c r="AA898" s="106">
        <v>0.0</v>
      </c>
      <c r="AB898" s="107">
        <v>0.0</v>
      </c>
      <c r="AC898" s="107">
        <v>0.0</v>
      </c>
      <c r="AD898" s="107">
        <v>0.0</v>
      </c>
      <c r="AE898" s="80">
        <f t="shared" si="2"/>
        <v>0</v>
      </c>
      <c r="AF898" s="140">
        <v>0.0</v>
      </c>
      <c r="AG898" s="109">
        <v>63.0</v>
      </c>
      <c r="AH898" s="109">
        <v>0.0</v>
      </c>
      <c r="AI898" s="141">
        <v>0.0</v>
      </c>
      <c r="AJ898" s="80">
        <f t="shared" si="3"/>
        <v>63</v>
      </c>
      <c r="AK898" s="140">
        <v>0.0</v>
      </c>
      <c r="AL898" s="109">
        <v>0.0</v>
      </c>
      <c r="AM898" s="141">
        <v>0.0</v>
      </c>
      <c r="AN898" s="80">
        <f t="shared" si="4"/>
        <v>0</v>
      </c>
      <c r="AO898" s="140">
        <v>0.0</v>
      </c>
      <c r="AP898" s="109">
        <v>0.0</v>
      </c>
      <c r="AQ898" s="109">
        <v>0.0</v>
      </c>
      <c r="AR898" s="80">
        <f t="shared" si="5"/>
        <v>0</v>
      </c>
      <c r="AS898" s="110">
        <v>0.0</v>
      </c>
      <c r="AT898" s="110">
        <v>0.0</v>
      </c>
      <c r="AU898" s="110">
        <v>0.0</v>
      </c>
      <c r="AV898" s="142">
        <v>0.0</v>
      </c>
      <c r="AW898" s="80">
        <f t="shared" si="6"/>
        <v>0</v>
      </c>
      <c r="AX898" s="113">
        <f t="shared" si="7"/>
        <v>63</v>
      </c>
      <c r="AY898" s="117">
        <f t="shared" si="8"/>
        <v>63</v>
      </c>
      <c r="AZ898" s="120">
        <f t="shared" si="9"/>
        <v>0</v>
      </c>
      <c r="BA898" s="115">
        <v>0.0</v>
      </c>
      <c r="BB898" s="89">
        <f t="shared" si="10"/>
        <v>63</v>
      </c>
      <c r="BC898" s="132" t="s">
        <v>373</v>
      </c>
      <c r="BD898" s="132" t="s">
        <v>178</v>
      </c>
      <c r="BE898" s="132" t="s">
        <v>178</v>
      </c>
      <c r="BF898" s="123"/>
      <c r="BG898" s="83">
        <v>1178742.0</v>
      </c>
      <c r="BH898" s="112"/>
      <c r="BI898" s="112">
        <v>3.0</v>
      </c>
      <c r="BJ898" s="98" t="s">
        <v>155</v>
      </c>
      <c r="BK898" s="99">
        <f t="shared" si="11"/>
        <v>0</v>
      </c>
      <c r="BL898" s="99">
        <f t="shared" si="12"/>
        <v>63</v>
      </c>
      <c r="BM898" s="99" t="str">
        <f>IFERROR(__xludf.DUMMYFUNCTION("IFERROR(VLOOKUP(BG898,IMPORTRANGE(""https://docs.google.com/spreadsheets/d/1juPI-Fb8LD0YtltB2mlGEnp_R3UVu1t3wSFPzgCyHXE/edit?gid=0#gid=0"",""GERAL!A2:C""),3,0),""-"")"),"CAMPO")</f>
        <v>CAMPO</v>
      </c>
    </row>
    <row r="899" ht="15.75" customHeight="1">
      <c r="A899" s="111" t="s">
        <v>1027</v>
      </c>
      <c r="B899" s="83" t="s">
        <v>4478</v>
      </c>
      <c r="C899" s="83" t="s">
        <v>164</v>
      </c>
      <c r="D899" s="112">
        <v>1123957.0</v>
      </c>
      <c r="E899" s="83">
        <v>1178741.0</v>
      </c>
      <c r="F899" s="98">
        <v>2.9491304E7</v>
      </c>
      <c r="G899" s="119" t="s">
        <v>4505</v>
      </c>
      <c r="H899" s="91" t="s">
        <v>4506</v>
      </c>
      <c r="I899" s="136" t="s">
        <v>4507</v>
      </c>
      <c r="J899" s="136" t="s">
        <v>183</v>
      </c>
      <c r="K899" s="136" t="s">
        <v>168</v>
      </c>
      <c r="L899" s="83" t="s">
        <v>169</v>
      </c>
      <c r="M899" s="82" t="str">
        <f>IFERROR(__xludf.DUMMYFUNCTION("IFERROR(VLOOKUP(D899,
IMPORTRANGE(""https://docs.google.com/spreadsheets/d/1MjHtlUikwobi2MaWJgy7tfLeBmhj1u-dRFRs_8GwSoA/edit#gid=0"",""Gestores Escolares!D7:J""),3,0),""VERIFICAR CÓD SEC"")"),"MARIA AUXILIADORA MAGALHAES DE ARAUJO")</f>
        <v>MARIA AUXILIADORA MAGALHAES DE ARAUJO</v>
      </c>
      <c r="N899" s="82" t="str">
        <f>IFERROR(__xludf.DUMMYFUNCTION("IFERROR(VLOOKUP(D899,
IMPORTRANGE(""https://docs.google.com/spreadsheets/d/1MjHtlUikwobi2MaWJgy7tfLeBmhj1u-dRFRs_8GwSoA/edit#gid=0"",""Gestores Escolares!D7:J""),4,0),""VERIFICAR CÓD SEC"")"),"(75) 9 9996-0211")</f>
        <v>(75) 9 9996-0211</v>
      </c>
      <c r="O899" s="82" t="str">
        <f>IFERROR(__xludf.DUMMYFUNCTION("IFERROR(VLOOKUP(D899,
IMPORTRANGE(""https://docs.google.com/spreadsheets/d/1MjHtlUikwobi2MaWJgy7tfLeBmhj1u-dRFRs_8GwSoA/edit#gid=0"",""Gestores Escolares!D7:J""),6,0),""VERIFICAR CÓD SEC"")"),"ANA LUCIA DE MIRANDA SANTOS COIMBRA")</f>
        <v>ANA LUCIA DE MIRANDA SANTOS COIMBRA</v>
      </c>
      <c r="P899" s="82" t="str">
        <f>IFERROR(__xludf.DUMMYFUNCTION("IFERROR(VLOOKUP(D899,
IMPORTRANGE(""https://docs.google.com/spreadsheets/d/1MjHtlUikwobi2MaWJgy7tfLeBmhj1u-dRFRs_8GwSoA/edit#gid=0"",""Gestores Escolares!D7:J""),7,0),""VERIFICAR CÓD SEC"")"),"(75) 9 9953-3391")</f>
        <v>(75) 9 9953-3391</v>
      </c>
      <c r="Q899" s="82" t="str">
        <f>IFERROR(__xludf.DUMMYFUNCTION("IFERROR(VLOOKUP(D899,
IMPORTRANGE(""https://docs.google.com/spreadsheets/d/1MjHtlUikwobi2MaWJgy7tfLeBmhj1u-dRFRs_8GwSoA/edit#gid=0"",""Gestores Escolares!D7:m""),9,0),""VERIFICAR CÓD SEC"")"),"BRUNO FREITAS MATOS ALVIM")</f>
        <v>BRUNO FREITAS MATOS ALVIM</v>
      </c>
      <c r="R899" s="82" t="str">
        <f>IFERROR(__xludf.DUMMYFUNCTION("IFERROR(VLOOKUP(D899,
IMPORTRANGE(""https://docs.google.com/spreadsheets/d/1MjHtlUikwobi2MaWJgy7tfLeBmhj1u-dRFRs_8GwSoA/edit#gid=0"",""Gestores Escolares!D7:m""),10,0),""VERIFICAR CÓD SEC"")"),"(75) 9 9126-7207")</f>
        <v>(75) 9 9126-7207</v>
      </c>
      <c r="S899" s="82"/>
      <c r="T899" s="138">
        <v>2.0</v>
      </c>
      <c r="U899" s="152">
        <v>1.0</v>
      </c>
      <c r="V899" s="106">
        <v>0.0</v>
      </c>
      <c r="W899" s="107">
        <v>0.0</v>
      </c>
      <c r="X899" s="107">
        <v>0.0</v>
      </c>
      <c r="Y899" s="107">
        <v>0.0</v>
      </c>
      <c r="Z899" s="80">
        <f t="shared" si="1"/>
        <v>0</v>
      </c>
      <c r="AA899" s="106">
        <v>0.0</v>
      </c>
      <c r="AB899" s="107">
        <v>0.0</v>
      </c>
      <c r="AC899" s="107">
        <v>0.0</v>
      </c>
      <c r="AD899" s="107">
        <v>0.0</v>
      </c>
      <c r="AE899" s="80">
        <f t="shared" si="2"/>
        <v>0</v>
      </c>
      <c r="AF899" s="140">
        <v>15.0</v>
      </c>
      <c r="AG899" s="109">
        <v>23.0</v>
      </c>
      <c r="AH899" s="109">
        <v>20.0</v>
      </c>
      <c r="AI899" s="141">
        <v>0.0</v>
      </c>
      <c r="AJ899" s="80">
        <f t="shared" si="3"/>
        <v>58</v>
      </c>
      <c r="AK899" s="140">
        <v>0.0</v>
      </c>
      <c r="AL899" s="109">
        <v>0.0</v>
      </c>
      <c r="AM899" s="141">
        <v>0.0</v>
      </c>
      <c r="AN899" s="80">
        <f t="shared" si="4"/>
        <v>0</v>
      </c>
      <c r="AO899" s="140">
        <v>0.0</v>
      </c>
      <c r="AP899" s="109">
        <v>0.0</v>
      </c>
      <c r="AQ899" s="109">
        <v>0.0</v>
      </c>
      <c r="AR899" s="80">
        <f t="shared" si="5"/>
        <v>0</v>
      </c>
      <c r="AS899" s="110">
        <v>0.0</v>
      </c>
      <c r="AT899" s="110">
        <v>0.0</v>
      </c>
      <c r="AU899" s="110">
        <v>0.0</v>
      </c>
      <c r="AV899" s="142">
        <v>0.0</v>
      </c>
      <c r="AW899" s="80">
        <f t="shared" si="6"/>
        <v>0</v>
      </c>
      <c r="AX899" s="113">
        <f t="shared" si="7"/>
        <v>58</v>
      </c>
      <c r="AY899" s="117">
        <f t="shared" si="8"/>
        <v>38</v>
      </c>
      <c r="AZ899" s="120">
        <f t="shared" si="9"/>
        <v>20</v>
      </c>
      <c r="BA899" s="115">
        <v>0.0</v>
      </c>
      <c r="BB899" s="89">
        <f t="shared" si="10"/>
        <v>58</v>
      </c>
      <c r="BC899" s="132" t="s">
        <v>373</v>
      </c>
      <c r="BD899" s="132" t="s">
        <v>178</v>
      </c>
      <c r="BE899" s="132" t="s">
        <v>178</v>
      </c>
      <c r="BF899" s="123"/>
      <c r="BG899" s="83">
        <v>1178741.0</v>
      </c>
      <c r="BH899" s="112"/>
      <c r="BI899" s="112">
        <v>1.0</v>
      </c>
      <c r="BJ899" s="98" t="s">
        <v>155</v>
      </c>
      <c r="BK899" s="99">
        <f t="shared" si="11"/>
        <v>0</v>
      </c>
      <c r="BL899" s="99">
        <f t="shared" si="12"/>
        <v>38</v>
      </c>
      <c r="BM899" s="99" t="str">
        <f>IFERROR(__xludf.DUMMYFUNCTION("IFERROR(VLOOKUP(BG899,IMPORTRANGE(""https://docs.google.com/spreadsheets/d/1juPI-Fb8LD0YtltB2mlGEnp_R3UVu1t3wSFPzgCyHXE/edit?gid=0#gid=0"",""GERAL!A2:C""),3,0),""-"")"),"CAMPO")</f>
        <v>CAMPO</v>
      </c>
    </row>
    <row r="900" ht="15.75" customHeight="1">
      <c r="A900" s="111" t="s">
        <v>1027</v>
      </c>
      <c r="B900" s="83" t="s">
        <v>4513</v>
      </c>
      <c r="C900" s="83" t="s">
        <v>68</v>
      </c>
      <c r="D900" s="112">
        <v>1178106.0</v>
      </c>
      <c r="E900" s="83"/>
      <c r="F900" s="83">
        <v>2.9443113E7</v>
      </c>
      <c r="G900" s="289" t="s">
        <v>2277</v>
      </c>
      <c r="H900" s="91" t="s">
        <v>4514</v>
      </c>
      <c r="I900" s="83" t="s">
        <v>149</v>
      </c>
      <c r="J900" s="83" t="s">
        <v>150</v>
      </c>
      <c r="K900" s="83" t="s">
        <v>151</v>
      </c>
      <c r="L900" s="98" t="s">
        <v>1421</v>
      </c>
      <c r="M900" s="82" t="str">
        <f>IFERROR(__xludf.DUMMYFUNCTION("IFERROR(VLOOKUP(D900,
IMPORTRANGE(""https://docs.google.com/spreadsheets/d/1MjHtlUikwobi2MaWJgy7tfLeBmhj1u-dRFRs_8GwSoA/edit#gid=0"",""Gestores Escolares!D7:J""),3,0),""VERIFICAR CÓD SEC"")"),"EMILIA CLAUDIA SOUZA ALCANTARA LOBO")</f>
        <v>EMILIA CLAUDIA SOUZA ALCANTARA LOBO</v>
      </c>
      <c r="N900" s="82" t="str">
        <f>IFERROR(__xludf.DUMMYFUNCTION("IFERROR(VLOOKUP(D900,
IMPORTRANGE(""https://docs.google.com/spreadsheets/d/1MjHtlUikwobi2MaWJgy7tfLeBmhj1u-dRFRs_8GwSoA/edit#gid=0"",""Gestores Escolares!D7:J""),4,0),""VERIFICAR CÓD SEC"")"),"(75) 9 8108-2055/
(71) 9 9605-7594")</f>
        <v>(75) 9 8108-2055/
(71) 9 9605-7594</v>
      </c>
      <c r="O900" s="82" t="str">
        <f>IFERROR(__xludf.DUMMYFUNCTION("IFERROR(VLOOKUP(D900,
IMPORTRANGE(""https://docs.google.com/spreadsheets/d/1MjHtlUikwobi2MaWJgy7tfLeBmhj1u-dRFRs_8GwSoA/edit#gid=0"",""Gestores Escolares!D7:J""),6,0),""VERIFICAR CÓD SEC"")"),"LEANDRO NOVAES DOS SANTOS")</f>
        <v>LEANDRO NOVAES DOS SANTOS</v>
      </c>
      <c r="P900" s="82" t="str">
        <f>IFERROR(__xludf.DUMMYFUNCTION("IFERROR(VLOOKUP(D900,
IMPORTRANGE(""https://docs.google.com/spreadsheets/d/1MjHtlUikwobi2MaWJgy7tfLeBmhj1u-dRFRs_8GwSoA/edit#gid=0"",""Gestores Escolares!D7:J""),7,0),""VERIFICAR CÓD SEC"")"),"(75) 9 9853-9345")</f>
        <v>(75) 9 9853-9345</v>
      </c>
      <c r="Q900" s="82" t="str">
        <f>IFERROR(__xludf.DUMMYFUNCTION("IFERROR(VLOOKUP(D900,
IMPORTRANGE(""https://docs.google.com/spreadsheets/d/1MjHtlUikwobi2MaWJgy7tfLeBmhj1u-dRFRs_8GwSoA/edit#gid=0"",""Gestores Escolares!D7:m""),9,0),""VERIFICAR CÓD SEC"")"),"")</f>
        <v/>
      </c>
      <c r="R900" s="82" t="str">
        <f>IFERROR(__xludf.DUMMYFUNCTION("IFERROR(VLOOKUP(D900,
IMPORTRANGE(""https://docs.google.com/spreadsheets/d/1MjHtlUikwobi2MaWJgy7tfLeBmhj1u-dRFRs_8GwSoA/edit#gid=0"",""Gestores Escolares!D7:m""),10,0),""VERIFICAR CÓD SEC"")"),"")</f>
        <v/>
      </c>
      <c r="S900" s="82"/>
      <c r="T900" s="138">
        <v>11.0</v>
      </c>
      <c r="U900" s="152">
        <v>9.0</v>
      </c>
      <c r="V900" s="106">
        <v>0.0</v>
      </c>
      <c r="W900" s="107">
        <v>0.0</v>
      </c>
      <c r="X900" s="107">
        <v>0.0</v>
      </c>
      <c r="Y900" s="107">
        <v>0.0</v>
      </c>
      <c r="Z900" s="80">
        <f t="shared" si="1"/>
        <v>0</v>
      </c>
      <c r="AA900" s="106">
        <v>0.0</v>
      </c>
      <c r="AB900" s="107">
        <v>0.0</v>
      </c>
      <c r="AC900" s="107">
        <v>0.0</v>
      </c>
      <c r="AD900" s="107">
        <v>0.0</v>
      </c>
      <c r="AE900" s="80">
        <f t="shared" si="2"/>
        <v>0</v>
      </c>
      <c r="AF900" s="140">
        <v>193.0</v>
      </c>
      <c r="AG900" s="109">
        <v>159.0</v>
      </c>
      <c r="AH900" s="109">
        <v>0.0</v>
      </c>
      <c r="AI900" s="141">
        <v>79.0</v>
      </c>
      <c r="AJ900" s="80">
        <f t="shared" si="3"/>
        <v>431</v>
      </c>
      <c r="AK900" s="140">
        <v>0.0</v>
      </c>
      <c r="AL900" s="109">
        <v>0.0</v>
      </c>
      <c r="AM900" s="141">
        <v>0.0</v>
      </c>
      <c r="AN900" s="80">
        <f t="shared" si="4"/>
        <v>0</v>
      </c>
      <c r="AO900" s="140">
        <v>0.0</v>
      </c>
      <c r="AP900" s="109">
        <v>0.0</v>
      </c>
      <c r="AQ900" s="109">
        <v>49.0</v>
      </c>
      <c r="AR900" s="80">
        <f t="shared" si="5"/>
        <v>49</v>
      </c>
      <c r="AS900" s="110">
        <v>16.0</v>
      </c>
      <c r="AT900" s="110">
        <v>0.0</v>
      </c>
      <c r="AU900" s="110">
        <v>0.0</v>
      </c>
      <c r="AV900" s="142">
        <v>30.0</v>
      </c>
      <c r="AW900" s="80">
        <f t="shared" si="6"/>
        <v>46</v>
      </c>
      <c r="AX900" s="113">
        <f t="shared" si="7"/>
        <v>526</v>
      </c>
      <c r="AY900" s="117">
        <f t="shared" si="8"/>
        <v>477</v>
      </c>
      <c r="AZ900" s="120">
        <f t="shared" si="9"/>
        <v>49</v>
      </c>
      <c r="BA900" s="115">
        <v>0.0</v>
      </c>
      <c r="BB900" s="89">
        <f t="shared" si="10"/>
        <v>526</v>
      </c>
      <c r="BC900" s="132" t="s">
        <v>178</v>
      </c>
      <c r="BD900" s="132" t="s">
        <v>178</v>
      </c>
      <c r="BE900" s="132" t="s">
        <v>178</v>
      </c>
      <c r="BF900" s="123"/>
      <c r="BG900" s="83">
        <v>1178106.0</v>
      </c>
      <c r="BH900" s="112"/>
      <c r="BI900" s="112">
        <v>9.0</v>
      </c>
      <c r="BJ900" s="98" t="s">
        <v>155</v>
      </c>
      <c r="BK900" s="99">
        <f t="shared" si="11"/>
        <v>109</v>
      </c>
      <c r="BL900" s="99">
        <f t="shared" si="12"/>
        <v>368</v>
      </c>
      <c r="BM900" s="99" t="str">
        <f>IFERROR(__xludf.DUMMYFUNCTION("IFERROR(VLOOKUP(BG900,IMPORTRANGE(""https://docs.google.com/spreadsheets/d/1juPI-Fb8LD0YtltB2mlGEnp_R3UVu1t3wSFPzgCyHXE/edit?gid=0#gid=0"",""GERAL!A2:C""),3,0),""-"")"),"-")</f>
        <v>-</v>
      </c>
    </row>
    <row r="901" ht="15.75" customHeight="1">
      <c r="A901" s="111" t="s">
        <v>1027</v>
      </c>
      <c r="B901" s="83" t="s">
        <v>4525</v>
      </c>
      <c r="C901" s="83" t="s">
        <v>68</v>
      </c>
      <c r="D901" s="112">
        <v>1123043.0</v>
      </c>
      <c r="E901" s="83"/>
      <c r="F901" s="83">
        <v>2.908824E7</v>
      </c>
      <c r="G901" s="119" t="s">
        <v>4526</v>
      </c>
      <c r="H901" s="108" t="s">
        <v>4527</v>
      </c>
      <c r="I901" s="98" t="s">
        <v>4528</v>
      </c>
      <c r="J901" s="83" t="s">
        <v>150</v>
      </c>
      <c r="K901" s="83" t="s">
        <v>151</v>
      </c>
      <c r="L901" s="83" t="s">
        <v>152</v>
      </c>
      <c r="M901" s="82" t="str">
        <f>IFERROR(__xludf.DUMMYFUNCTION("IFERROR(VLOOKUP(D901,
IMPORTRANGE(""https://docs.google.com/spreadsheets/d/1MjHtlUikwobi2MaWJgy7tfLeBmhj1u-dRFRs_8GwSoA/edit#gid=0"",""Gestores Escolares!D7:J""),3,0),""VERIFICAR CÓD SEC"")"),"LUCIANA SENA LIMA")</f>
        <v>LUCIANA SENA LIMA</v>
      </c>
      <c r="N901" s="82" t="str">
        <f>IFERROR(__xludf.DUMMYFUNCTION("IFERROR(VLOOKUP(D901,
IMPORTRANGE(""https://docs.google.com/spreadsheets/d/1MjHtlUikwobi2MaWJgy7tfLeBmhj1u-dRFRs_8GwSoA/edit#gid=0"",""Gestores Escolares!D7:J""),4,0),""VERIFICAR CÓD SEC"")"),"(74) 9 8823-4348")</f>
        <v>(74) 9 8823-4348</v>
      </c>
      <c r="O901" s="82" t="str">
        <f>IFERROR(__xludf.DUMMYFUNCTION("IFERROR(VLOOKUP(D901,
IMPORTRANGE(""https://docs.google.com/spreadsheets/d/1MjHtlUikwobi2MaWJgy7tfLeBmhj1u-dRFRs_8GwSoA/edit#gid=0"",""Gestores Escolares!D7:J""),6,0),""VERIFICAR CÓD SEC"")"),"NORBERTA TORRES DE QUEIROZ")</f>
        <v>NORBERTA TORRES DE QUEIROZ</v>
      </c>
      <c r="P901" s="82" t="str">
        <f>IFERROR(__xludf.DUMMYFUNCTION("IFERROR(VLOOKUP(D901,
IMPORTRANGE(""https://docs.google.com/spreadsheets/d/1MjHtlUikwobi2MaWJgy7tfLeBmhj1u-dRFRs_8GwSoA/edit#gid=0"",""Gestores Escolares!D7:J""),7,0),""VERIFICAR CÓD SEC"")"),"(74) 7400-9650")</f>
        <v>(74) 7400-9650</v>
      </c>
      <c r="Q901" s="82" t="str">
        <f>IFERROR(__xludf.DUMMYFUNCTION("IFERROR(VLOOKUP(D901,
IMPORTRANGE(""https://docs.google.com/spreadsheets/d/1MjHtlUikwobi2MaWJgy7tfLeBmhj1u-dRFRs_8GwSoA/edit#gid=0"",""Gestores Escolares!D7:m""),9,0),""VERIFICAR CÓD SEC"")"),"JOSE NILTON DE OLIVEIRA")</f>
        <v>JOSE NILTON DE OLIVEIRA</v>
      </c>
      <c r="R901" s="82" t="str">
        <f>IFERROR(__xludf.DUMMYFUNCTION("IFERROR(VLOOKUP(D901,
IMPORTRANGE(""https://docs.google.com/spreadsheets/d/1MjHtlUikwobi2MaWJgy7tfLeBmhj1u-dRFRs_8GwSoA/edit#gid=0"",""Gestores Escolares!D7:m""),10,0),""VERIFICAR CÓD SEC"")"),"(77) 9 9823-4250")</f>
        <v>(77) 9 9823-4250</v>
      </c>
      <c r="S901" s="82"/>
      <c r="T901" s="138">
        <v>10.0</v>
      </c>
      <c r="U901" s="145">
        <v>9.0</v>
      </c>
      <c r="V901" s="106">
        <v>0.0</v>
      </c>
      <c r="W901" s="107">
        <v>0.0</v>
      </c>
      <c r="X901" s="107">
        <v>0.0</v>
      </c>
      <c r="Y901" s="107">
        <v>0.0</v>
      </c>
      <c r="Z901" s="80">
        <f t="shared" si="1"/>
        <v>0</v>
      </c>
      <c r="AA901" s="106">
        <v>0.0</v>
      </c>
      <c r="AB901" s="107">
        <v>0.0</v>
      </c>
      <c r="AC901" s="107">
        <v>0.0</v>
      </c>
      <c r="AD901" s="107">
        <v>0.0</v>
      </c>
      <c r="AE901" s="80">
        <f t="shared" si="2"/>
        <v>0</v>
      </c>
      <c r="AF901" s="140">
        <v>212.0</v>
      </c>
      <c r="AG901" s="109">
        <v>197.0</v>
      </c>
      <c r="AH901" s="109">
        <v>0.0</v>
      </c>
      <c r="AI901" s="141">
        <v>64.0</v>
      </c>
      <c r="AJ901" s="80">
        <f t="shared" si="3"/>
        <v>473</v>
      </c>
      <c r="AK901" s="140">
        <v>0.0</v>
      </c>
      <c r="AL901" s="109">
        <v>0.0</v>
      </c>
      <c r="AM901" s="141">
        <v>0.0</v>
      </c>
      <c r="AN901" s="80">
        <f t="shared" si="4"/>
        <v>0</v>
      </c>
      <c r="AO901" s="140">
        <v>0.0</v>
      </c>
      <c r="AP901" s="109">
        <v>0.0</v>
      </c>
      <c r="AQ901" s="109">
        <v>145.0</v>
      </c>
      <c r="AR901" s="80">
        <f t="shared" si="5"/>
        <v>145</v>
      </c>
      <c r="AS901" s="110">
        <v>0.0</v>
      </c>
      <c r="AT901" s="110">
        <v>63.0</v>
      </c>
      <c r="AU901" s="110">
        <v>46.0</v>
      </c>
      <c r="AV901" s="142">
        <v>38.0</v>
      </c>
      <c r="AW901" s="80">
        <f t="shared" si="6"/>
        <v>147</v>
      </c>
      <c r="AX901" s="113">
        <f t="shared" si="7"/>
        <v>765</v>
      </c>
      <c r="AY901" s="117">
        <f t="shared" si="8"/>
        <v>574</v>
      </c>
      <c r="AZ901" s="120">
        <f t="shared" si="9"/>
        <v>191</v>
      </c>
      <c r="BA901" s="115">
        <v>0.0</v>
      </c>
      <c r="BB901" s="89">
        <f t="shared" si="10"/>
        <v>765</v>
      </c>
      <c r="BC901" s="132" t="s">
        <v>178</v>
      </c>
      <c r="BD901" s="132" t="s">
        <v>178</v>
      </c>
      <c r="BE901" s="132" t="s">
        <v>178</v>
      </c>
      <c r="BF901" s="123"/>
      <c r="BG901" s="83">
        <v>1123043.0</v>
      </c>
      <c r="BH901" s="112"/>
      <c r="BI901" s="112">
        <v>8.0</v>
      </c>
      <c r="BJ901" s="98" t="s">
        <v>155</v>
      </c>
      <c r="BK901" s="99">
        <f t="shared" si="11"/>
        <v>102</v>
      </c>
      <c r="BL901" s="99">
        <f t="shared" si="12"/>
        <v>472</v>
      </c>
      <c r="BM901" s="99" t="str">
        <f>IFERROR(__xludf.DUMMYFUNCTION("IFERROR(VLOOKUP(BG901,IMPORTRANGE(""https://docs.google.com/spreadsheets/d/1juPI-Fb8LD0YtltB2mlGEnp_R3UVu1t3wSFPzgCyHXE/edit?gid=0#gid=0"",""GERAL!A2:C""),3,0),""-"")"),"-")</f>
        <v>-</v>
      </c>
    </row>
    <row r="902" ht="15.75" customHeight="1">
      <c r="A902" s="111" t="s">
        <v>1090</v>
      </c>
      <c r="B902" s="83" t="s">
        <v>4530</v>
      </c>
      <c r="C902" s="83" t="s">
        <v>68</v>
      </c>
      <c r="D902" s="112">
        <v>1122730.0</v>
      </c>
      <c r="E902" s="83"/>
      <c r="F902" s="83">
        <v>2.9080533E7</v>
      </c>
      <c r="G902" s="119" t="s">
        <v>4531</v>
      </c>
      <c r="H902" s="108" t="s">
        <v>4532</v>
      </c>
      <c r="I902" s="229" t="s">
        <v>4533</v>
      </c>
      <c r="J902" s="83" t="s">
        <v>150</v>
      </c>
      <c r="K902" s="83" t="s">
        <v>1685</v>
      </c>
      <c r="L902" s="83" t="s">
        <v>230</v>
      </c>
      <c r="M902" s="82" t="str">
        <f>IFERROR(__xludf.DUMMYFUNCTION("IFERROR(VLOOKUP(D902,
IMPORTRANGE(""https://docs.google.com/spreadsheets/d/1MjHtlUikwobi2MaWJgy7tfLeBmhj1u-dRFRs_8GwSoA/edit#gid=0"",""Gestores Escolares!D7:J""),3,0),""VERIFICAR CÓD SEC"")"),"MARIA DO CARMO PEREIRA BISPO")</f>
        <v>MARIA DO CARMO PEREIRA BISPO</v>
      </c>
      <c r="N902" s="82" t="str">
        <f>IFERROR(__xludf.DUMMYFUNCTION("IFERROR(VLOOKUP(D902,
IMPORTRANGE(""https://docs.google.com/spreadsheets/d/1MjHtlUikwobi2MaWJgy7tfLeBmhj1u-dRFRs_8GwSoA/edit#gid=0"",""Gestores Escolares!D7:J""),4,0),""VERIFICAR CÓD SEC"")"),"(74) 9 9946-2782")</f>
        <v>(74) 9 9946-2782</v>
      </c>
      <c r="O902" s="82" t="str">
        <f>IFERROR(__xludf.DUMMYFUNCTION("IFERROR(VLOOKUP(D902,
IMPORTRANGE(""https://docs.google.com/spreadsheets/d/1MjHtlUikwobi2MaWJgy7tfLeBmhj1u-dRFRs_8GwSoA/edit#gid=0"",""Gestores Escolares!D7:J""),6,0),""VERIFICAR CÓD SEC"")"),"JUSCIMEIRE OLIVEIRA ALVES PAMPONET")</f>
        <v>JUSCIMEIRE OLIVEIRA ALVES PAMPONET</v>
      </c>
      <c r="P902" s="82" t="str">
        <f>IFERROR(__xludf.DUMMYFUNCTION("IFERROR(VLOOKUP(D902,
IMPORTRANGE(""https://docs.google.com/spreadsheets/d/1MjHtlUikwobi2MaWJgy7tfLeBmhj1u-dRFRs_8GwSoA/edit#gid=0"",""Gestores Escolares!D7:J""),7,0),""VERIFICAR CÓD SEC"")"),"(74) 9 9997-6216")</f>
        <v>(74) 9 9997-6216</v>
      </c>
      <c r="Q902" s="82" t="str">
        <f>IFERROR(__xludf.DUMMYFUNCTION("IFERROR(VLOOKUP(D902,
IMPORTRANGE(""https://docs.google.com/spreadsheets/d/1MjHtlUikwobi2MaWJgy7tfLeBmhj1u-dRFRs_8GwSoA/edit#gid=0"",""Gestores Escolares!D7:m""),9,0),""VERIFICAR CÓD SEC"")"),"DALILA DUMAS TEIXEIRA GONCALVES")</f>
        <v>DALILA DUMAS TEIXEIRA GONCALVES</v>
      </c>
      <c r="R902" s="82" t="str">
        <f>IFERROR(__xludf.DUMMYFUNCTION("IFERROR(VLOOKUP(D902,
IMPORTRANGE(""https://docs.google.com/spreadsheets/d/1MjHtlUikwobi2MaWJgy7tfLeBmhj1u-dRFRs_8GwSoA/edit#gid=0"",""Gestores Escolares!D7:m""),10,0),""VERIFICAR CÓD SEC"")"),"(74) 9 9981-4722")</f>
        <v>(74) 9 9981-4722</v>
      </c>
      <c r="S902" s="82"/>
      <c r="T902" s="138">
        <v>14.0</v>
      </c>
      <c r="U902" s="145" t="s">
        <v>12287</v>
      </c>
      <c r="V902" s="106">
        <v>0.0</v>
      </c>
      <c r="W902" s="107">
        <v>0.0</v>
      </c>
      <c r="X902" s="107">
        <v>0.0</v>
      </c>
      <c r="Y902" s="107">
        <v>0.0</v>
      </c>
      <c r="Z902" s="80">
        <f t="shared" si="1"/>
        <v>0</v>
      </c>
      <c r="AA902" s="106">
        <v>0.0</v>
      </c>
      <c r="AB902" s="107">
        <v>0.0</v>
      </c>
      <c r="AC902" s="107">
        <v>0.0</v>
      </c>
      <c r="AD902" s="107">
        <v>0.0</v>
      </c>
      <c r="AE902" s="80">
        <f t="shared" si="2"/>
        <v>0</v>
      </c>
      <c r="AF902" s="222">
        <v>29.0</v>
      </c>
      <c r="AG902" s="222">
        <v>0.0</v>
      </c>
      <c r="AH902" s="222">
        <v>0.0</v>
      </c>
      <c r="AI902" s="224">
        <v>631.0</v>
      </c>
      <c r="AJ902" s="80">
        <f t="shared" si="3"/>
        <v>660</v>
      </c>
      <c r="AK902" s="140">
        <v>0.0</v>
      </c>
      <c r="AL902" s="109">
        <v>0.0</v>
      </c>
      <c r="AM902" s="141">
        <v>0.0</v>
      </c>
      <c r="AN902" s="80">
        <f t="shared" si="4"/>
        <v>0</v>
      </c>
      <c r="AO902" s="222">
        <v>0.0</v>
      </c>
      <c r="AP902" s="222">
        <v>0.0</v>
      </c>
      <c r="AQ902" s="224">
        <v>143.0</v>
      </c>
      <c r="AR902" s="80">
        <f t="shared" si="5"/>
        <v>143</v>
      </c>
      <c r="AS902" s="110">
        <v>0.0</v>
      </c>
      <c r="AT902" s="110">
        <v>0.0</v>
      </c>
      <c r="AU902" s="110">
        <v>102.0</v>
      </c>
      <c r="AV902" s="142">
        <v>0.0</v>
      </c>
      <c r="AW902" s="80">
        <f t="shared" si="6"/>
        <v>102</v>
      </c>
      <c r="AX902" s="113">
        <f t="shared" si="7"/>
        <v>905</v>
      </c>
      <c r="AY902" s="117">
        <f t="shared" si="8"/>
        <v>660</v>
      </c>
      <c r="AZ902" s="120">
        <f t="shared" si="9"/>
        <v>245</v>
      </c>
      <c r="BA902" s="115">
        <v>0.0</v>
      </c>
      <c r="BB902" s="89">
        <f t="shared" si="10"/>
        <v>905</v>
      </c>
      <c r="BC902" s="132" t="s">
        <v>178</v>
      </c>
      <c r="BD902" s="132" t="s">
        <v>178</v>
      </c>
      <c r="BE902" s="132" t="s">
        <v>178</v>
      </c>
      <c r="BF902" s="123"/>
      <c r="BG902" s="83">
        <v>1122730.0</v>
      </c>
      <c r="BH902" s="98" t="s">
        <v>4534</v>
      </c>
      <c r="BI902" s="112">
        <v>14.0</v>
      </c>
      <c r="BJ902" s="98" t="s">
        <v>155</v>
      </c>
      <c r="BK902" s="99">
        <f t="shared" si="11"/>
        <v>631</v>
      </c>
      <c r="BL902" s="99">
        <f t="shared" si="12"/>
        <v>29</v>
      </c>
      <c r="BM902" s="99" t="str">
        <f>IFERROR(__xludf.DUMMYFUNCTION("IFERROR(VLOOKUP(BG902,IMPORTRANGE(""https://docs.google.com/spreadsheets/d/1juPI-Fb8LD0YtltB2mlGEnp_R3UVu1t3wSFPzgCyHXE/edit?gid=0#gid=0"",""GERAL!A2:C""),3,0),""-"")"),"-")</f>
        <v>-</v>
      </c>
    </row>
    <row r="903" ht="15.75" customHeight="1">
      <c r="A903" s="111" t="s">
        <v>1090</v>
      </c>
      <c r="B903" s="83" t="s">
        <v>4536</v>
      </c>
      <c r="C903" s="83" t="s">
        <v>68</v>
      </c>
      <c r="D903" s="112">
        <v>1179030.0</v>
      </c>
      <c r="E903" s="83"/>
      <c r="F903" s="83">
        <v>2.9398282E7</v>
      </c>
      <c r="G903" s="119" t="s">
        <v>4537</v>
      </c>
      <c r="H903" s="91" t="s">
        <v>4538</v>
      </c>
      <c r="I903" s="83" t="s">
        <v>149</v>
      </c>
      <c r="J903" s="83" t="s">
        <v>150</v>
      </c>
      <c r="K903" s="83" t="s">
        <v>1685</v>
      </c>
      <c r="L903" s="98" t="s">
        <v>152</v>
      </c>
      <c r="M903" s="82" t="str">
        <f>IFERROR(__xludf.DUMMYFUNCTION("IFERROR(VLOOKUP(D903,
IMPORTRANGE(""https://docs.google.com/spreadsheets/d/1MjHtlUikwobi2MaWJgy7tfLeBmhj1u-dRFRs_8GwSoA/edit#gid=0"",""Gestores Escolares!D7:J""),3,0),""VERIFICAR CÓD SEC"")"),"LUCELIA MARINHO DA PAIXAO")</f>
        <v>LUCELIA MARINHO DA PAIXAO</v>
      </c>
      <c r="N903" s="82" t="str">
        <f>IFERROR(__xludf.DUMMYFUNCTION("IFERROR(VLOOKUP(D903,
IMPORTRANGE(""https://docs.google.com/spreadsheets/d/1MjHtlUikwobi2MaWJgy7tfLeBmhj1u-dRFRs_8GwSoA/edit#gid=0"",""Gestores Escolares!D7:J""),4,0),""VERIFICAR CÓD SEC"")"),"(75) 9 8217-6720")</f>
        <v>(75) 9 8217-6720</v>
      </c>
      <c r="O903" s="82" t="str">
        <f>IFERROR(__xludf.DUMMYFUNCTION("IFERROR(VLOOKUP(D903,
IMPORTRANGE(""https://docs.google.com/spreadsheets/d/1MjHtlUikwobi2MaWJgy7tfLeBmhj1u-dRFRs_8GwSoA/edit#gid=0"",""Gestores Escolares!D7:J""),6,0),""VERIFICAR CÓD SEC"")"),"MARISTELA NUNES DE LIMA")</f>
        <v>MARISTELA NUNES DE LIMA</v>
      </c>
      <c r="P903" s="82" t="str">
        <f>IFERROR(__xludf.DUMMYFUNCTION("IFERROR(VLOOKUP(D903,
IMPORTRANGE(""https://docs.google.com/spreadsheets/d/1MjHtlUikwobi2MaWJgy7tfLeBmhj1u-dRFRs_8GwSoA/edit#gid=0"",""Gestores Escolares!D7:J""),7,0),""VERIFICAR CÓD SEC"")"),"(75) 9 8212-7111")</f>
        <v>(75) 9 8212-7111</v>
      </c>
      <c r="Q903" s="82" t="str">
        <f>IFERROR(__xludf.DUMMYFUNCTION("IFERROR(VLOOKUP(D903,
IMPORTRANGE(""https://docs.google.com/spreadsheets/d/1MjHtlUikwobi2MaWJgy7tfLeBmhj1u-dRFRs_8GwSoA/edit#gid=0"",""Gestores Escolares!D7:m""),9,0),""VERIFICAR CÓD SEC"")"),"")</f>
        <v/>
      </c>
      <c r="R903" s="82" t="str">
        <f>IFERROR(__xludf.DUMMYFUNCTION("IFERROR(VLOOKUP(D903,
IMPORTRANGE(""https://docs.google.com/spreadsheets/d/1MjHtlUikwobi2MaWJgy7tfLeBmhj1u-dRFRs_8GwSoA/edit#gid=0"",""Gestores Escolares!D7:m""),10,0),""VERIFICAR CÓD SEC"")"),"")</f>
        <v/>
      </c>
      <c r="S903" s="82"/>
      <c r="T903" s="138">
        <v>9.0</v>
      </c>
      <c r="U903" s="145">
        <v>9.0</v>
      </c>
      <c r="V903" s="106">
        <v>0.0</v>
      </c>
      <c r="W903" s="107">
        <v>0.0</v>
      </c>
      <c r="X903" s="107">
        <v>0.0</v>
      </c>
      <c r="Y903" s="107">
        <v>0.0</v>
      </c>
      <c r="Z903" s="80">
        <f t="shared" si="1"/>
        <v>0</v>
      </c>
      <c r="AA903" s="106">
        <v>0.0</v>
      </c>
      <c r="AB903" s="107">
        <v>0.0</v>
      </c>
      <c r="AC903" s="107">
        <v>0.0</v>
      </c>
      <c r="AD903" s="107">
        <v>0.0</v>
      </c>
      <c r="AE903" s="80">
        <f t="shared" si="2"/>
        <v>0</v>
      </c>
      <c r="AF903" s="140">
        <v>0.0</v>
      </c>
      <c r="AG903" s="109">
        <v>0.0</v>
      </c>
      <c r="AH903" s="109">
        <v>0.0</v>
      </c>
      <c r="AI903" s="141">
        <v>227.0</v>
      </c>
      <c r="AJ903" s="80">
        <f t="shared" si="3"/>
        <v>227</v>
      </c>
      <c r="AK903" s="140">
        <v>0.0</v>
      </c>
      <c r="AL903" s="109">
        <v>0.0</v>
      </c>
      <c r="AM903" s="141">
        <v>0.0</v>
      </c>
      <c r="AN903" s="80">
        <f t="shared" si="4"/>
        <v>0</v>
      </c>
      <c r="AO903" s="140">
        <v>0.0</v>
      </c>
      <c r="AP903" s="109">
        <v>0.0</v>
      </c>
      <c r="AQ903" s="109">
        <v>70.0</v>
      </c>
      <c r="AR903" s="80">
        <f t="shared" si="5"/>
        <v>70</v>
      </c>
      <c r="AS903" s="110">
        <v>0.0</v>
      </c>
      <c r="AT903" s="110">
        <v>0.0</v>
      </c>
      <c r="AU903" s="110">
        <v>0.0</v>
      </c>
      <c r="AV903" s="142">
        <v>39.0</v>
      </c>
      <c r="AW903" s="80">
        <f t="shared" si="6"/>
        <v>39</v>
      </c>
      <c r="AX903" s="113">
        <f t="shared" si="7"/>
        <v>336</v>
      </c>
      <c r="AY903" s="117">
        <f t="shared" si="8"/>
        <v>266</v>
      </c>
      <c r="AZ903" s="120">
        <f t="shared" si="9"/>
        <v>70</v>
      </c>
      <c r="BA903" s="115">
        <v>0.0</v>
      </c>
      <c r="BB903" s="89">
        <f t="shared" si="10"/>
        <v>336</v>
      </c>
      <c r="BC903" s="132" t="s">
        <v>178</v>
      </c>
      <c r="BD903" s="132" t="s">
        <v>178</v>
      </c>
      <c r="BE903" s="132" t="s">
        <v>178</v>
      </c>
      <c r="BF903" s="123"/>
      <c r="BG903" s="83">
        <v>1179030.0</v>
      </c>
      <c r="BH903" s="98"/>
      <c r="BI903" s="98">
        <v>8.0</v>
      </c>
      <c r="BJ903" s="98" t="s">
        <v>284</v>
      </c>
      <c r="BK903" s="99">
        <f t="shared" si="11"/>
        <v>266</v>
      </c>
      <c r="BL903" s="99">
        <f t="shared" si="12"/>
        <v>0</v>
      </c>
      <c r="BM903" s="99" t="str">
        <f>IFERROR(__xludf.DUMMYFUNCTION("IFERROR(VLOOKUP(BG903,IMPORTRANGE(""https://docs.google.com/spreadsheets/d/1juPI-Fb8LD0YtltB2mlGEnp_R3UVu1t3wSFPzgCyHXE/edit?gid=0#gid=0"",""GERAL!A2:C""),3,0),""-"")"),"-")</f>
        <v>-</v>
      </c>
    </row>
    <row r="904" ht="15.75" customHeight="1">
      <c r="A904" s="111" t="s">
        <v>1090</v>
      </c>
      <c r="B904" s="83" t="s">
        <v>2332</v>
      </c>
      <c r="C904" s="83" t="s">
        <v>68</v>
      </c>
      <c r="D904" s="98">
        <v>1179806.0</v>
      </c>
      <c r="E904" s="83"/>
      <c r="F904" s="98">
        <v>2.9488656E7</v>
      </c>
      <c r="G904" s="147" t="s">
        <v>4540</v>
      </c>
      <c r="H904" s="91"/>
      <c r="I904" s="83"/>
      <c r="J904" s="83"/>
      <c r="K904" s="98" t="s">
        <v>132</v>
      </c>
      <c r="L904" s="83" t="s">
        <v>169</v>
      </c>
      <c r="M904" s="82" t="str">
        <f>IFERROR(__xludf.DUMMYFUNCTION("IFERROR(VLOOKUP(D904,
IMPORTRANGE(""https://docs.google.com/spreadsheets/d/1MjHtlUikwobi2MaWJgy7tfLeBmhj1u-dRFRs_8GwSoA/edit#gid=0"",""Gestores Escolares!D7:J""),3,0),""VERIFICAR CÓD SEC"")"),"RICARDO MAGNO MACEDO ARGOLO")</f>
        <v>RICARDO MAGNO MACEDO ARGOLO</v>
      </c>
      <c r="N904" s="82" t="str">
        <f>IFERROR(__xludf.DUMMYFUNCTION("IFERROR(VLOOKUP(D904,
IMPORTRANGE(""https://docs.google.com/spreadsheets/d/1MjHtlUikwobi2MaWJgy7tfLeBmhj1u-dRFRs_8GwSoA/edit#gid=0"",""Gestores Escolares!D7:J""),4,0),""VERIFICAR CÓD SEC"")"),"(75) 9 9262-5824")</f>
        <v>(75) 9 9262-5824</v>
      </c>
      <c r="O904" s="82" t="str">
        <f>IFERROR(__xludf.DUMMYFUNCTION("IFERROR(VLOOKUP(D904,
IMPORTRANGE(""https://docs.google.com/spreadsheets/d/1MjHtlUikwobi2MaWJgy7tfLeBmhj1u-dRFRs_8GwSoA/edit#gid=0"",""Gestores Escolares!D7:J""),6,0),""VERIFICAR CÓD SEC"")"),"ANTONIO CARLOS BISPO DE OLIVEIRA")</f>
        <v>ANTONIO CARLOS BISPO DE OLIVEIRA</v>
      </c>
      <c r="P904" s="82" t="str">
        <f>IFERROR(__xludf.DUMMYFUNCTION("IFERROR(VLOOKUP(D904,
IMPORTRANGE(""https://docs.google.com/spreadsheets/d/1MjHtlUikwobi2MaWJgy7tfLeBmhj1u-dRFRs_8GwSoA/edit#gid=0"",""Gestores Escolares!D7:J""),7,0),""VERIFICAR CÓD SEC"")"),"(74) 9 8117-9543")</f>
        <v>(74) 9 8117-9543</v>
      </c>
      <c r="Q904" s="82" t="str">
        <f>IFERROR(__xludf.DUMMYFUNCTION("IFERROR(VLOOKUP(D904,
IMPORTRANGE(""https://docs.google.com/spreadsheets/d/1MjHtlUikwobi2MaWJgy7tfLeBmhj1u-dRFRs_8GwSoA/edit#gid=0"",""Gestores Escolares!D7:m""),9,0),""VERIFICAR CÓD SEC"")"),"")</f>
        <v/>
      </c>
      <c r="R904" s="82" t="str">
        <f>IFERROR(__xludf.DUMMYFUNCTION("IFERROR(VLOOKUP(D904,
IMPORTRANGE(""https://docs.google.com/spreadsheets/d/1MjHtlUikwobi2MaWJgy7tfLeBmhj1u-dRFRs_8GwSoA/edit#gid=0"",""Gestores Escolares!D7:m""),10,0),""VERIFICAR CÓD SEC"")"),"")</f>
        <v/>
      </c>
      <c r="S904" s="82"/>
      <c r="T904" s="138"/>
      <c r="U904" s="145">
        <v>6.0</v>
      </c>
      <c r="V904" s="106">
        <v>0.0</v>
      </c>
      <c r="W904" s="107">
        <v>0.0</v>
      </c>
      <c r="X904" s="107">
        <v>0.0</v>
      </c>
      <c r="Y904" s="107">
        <v>0.0</v>
      </c>
      <c r="Z904" s="80">
        <f t="shared" si="1"/>
        <v>0</v>
      </c>
      <c r="AA904" s="106">
        <v>0.0</v>
      </c>
      <c r="AB904" s="107">
        <v>0.0</v>
      </c>
      <c r="AC904" s="107">
        <v>0.0</v>
      </c>
      <c r="AD904" s="107">
        <v>0.0</v>
      </c>
      <c r="AE904" s="80">
        <f t="shared" si="2"/>
        <v>0</v>
      </c>
      <c r="AF904" s="140">
        <v>0.0</v>
      </c>
      <c r="AG904" s="109">
        <v>103.0</v>
      </c>
      <c r="AH904" s="109">
        <v>0.0</v>
      </c>
      <c r="AI904" s="141">
        <v>0.0</v>
      </c>
      <c r="AJ904" s="80">
        <f t="shared" si="3"/>
        <v>103</v>
      </c>
      <c r="AK904" s="140">
        <v>0.0</v>
      </c>
      <c r="AL904" s="109">
        <v>0.0</v>
      </c>
      <c r="AM904" s="141">
        <v>0.0</v>
      </c>
      <c r="AN904" s="80">
        <f t="shared" si="4"/>
        <v>0</v>
      </c>
      <c r="AO904" s="140">
        <v>0.0</v>
      </c>
      <c r="AP904" s="109">
        <v>0.0</v>
      </c>
      <c r="AQ904" s="109">
        <v>28.0</v>
      </c>
      <c r="AR904" s="80">
        <f t="shared" si="5"/>
        <v>28</v>
      </c>
      <c r="AS904" s="110">
        <v>0.0</v>
      </c>
      <c r="AT904" s="110">
        <v>0.0</v>
      </c>
      <c r="AU904" s="110">
        <v>0.0</v>
      </c>
      <c r="AV904" s="142">
        <v>0.0</v>
      </c>
      <c r="AW904" s="80">
        <f t="shared" si="6"/>
        <v>0</v>
      </c>
      <c r="AX904" s="113">
        <f t="shared" si="7"/>
        <v>131</v>
      </c>
      <c r="AY904" s="117">
        <f t="shared" si="8"/>
        <v>103</v>
      </c>
      <c r="AZ904" s="120">
        <f t="shared" si="9"/>
        <v>28</v>
      </c>
      <c r="BA904" s="115">
        <v>0.0</v>
      </c>
      <c r="BB904" s="89">
        <f t="shared" si="10"/>
        <v>131</v>
      </c>
      <c r="BC904" s="132"/>
      <c r="BD904" s="132"/>
      <c r="BE904" s="132"/>
      <c r="BF904" s="123"/>
      <c r="BG904" s="98">
        <v>1179806.0</v>
      </c>
      <c r="BH904" s="112"/>
      <c r="BI904" s="112"/>
      <c r="BJ904" s="98"/>
      <c r="BK904" s="99">
        <f t="shared" si="11"/>
        <v>0</v>
      </c>
      <c r="BL904" s="99">
        <f t="shared" si="12"/>
        <v>103</v>
      </c>
      <c r="BM904" s="99" t="str">
        <f>IFERROR(__xludf.DUMMYFUNCTION("IFERROR(VLOOKUP(BG904,IMPORTRANGE(""https://docs.google.com/spreadsheets/d/1juPI-Fb8LD0YtltB2mlGEnp_R3UVu1t3wSFPzgCyHXE/edit?gid=0#gid=0"",""GERAL!A2:C""),3,0),""-"")"),"CAMPO")</f>
        <v>CAMPO</v>
      </c>
    </row>
    <row r="905" ht="15.75" customHeight="1">
      <c r="A905" s="111" t="s">
        <v>1090</v>
      </c>
      <c r="B905" s="83" t="s">
        <v>2332</v>
      </c>
      <c r="C905" s="83" t="s">
        <v>68</v>
      </c>
      <c r="D905" s="112">
        <v>1162243.0</v>
      </c>
      <c r="E905" s="83"/>
      <c r="F905" s="83">
        <v>2.906958E7</v>
      </c>
      <c r="G905" s="384" t="s">
        <v>4543</v>
      </c>
      <c r="H905" s="91" t="s">
        <v>4544</v>
      </c>
      <c r="I905" s="83" t="s">
        <v>149</v>
      </c>
      <c r="J905" s="83" t="s">
        <v>150</v>
      </c>
      <c r="K905" s="83" t="s">
        <v>1685</v>
      </c>
      <c r="L905" s="83" t="s">
        <v>230</v>
      </c>
      <c r="M905" s="82" t="str">
        <f>IFERROR(__xludf.DUMMYFUNCTION("IFERROR(VLOOKUP(D905,
IMPORTRANGE(""https://docs.google.com/spreadsheets/d/1MjHtlUikwobi2MaWJgy7tfLeBmhj1u-dRFRs_8GwSoA/edit#gid=0"",""Gestores Escolares!D7:J""),3,0),""VERIFICAR CÓD SEC"")"),"RENATA DOS SANTOS LOULA ALVES")</f>
        <v>RENATA DOS SANTOS LOULA ALVES</v>
      </c>
      <c r="N905" s="82" t="str">
        <f>IFERROR(__xludf.DUMMYFUNCTION("IFERROR(VLOOKUP(D905,
IMPORTRANGE(""https://docs.google.com/spreadsheets/d/1MjHtlUikwobi2MaWJgy7tfLeBmhj1u-dRFRs_8GwSoA/edit#gid=0"",""Gestores Escolares!D7:J""),4,0),""VERIFICAR CÓD SEC"")"),"(74) 9 9197-6988/ 
9 8113-9310")</f>
        <v>(74) 9 9197-6988/ 
9 8113-9310</v>
      </c>
      <c r="O905" s="82" t="str">
        <f>IFERROR(__xludf.DUMMYFUNCTION("IFERROR(VLOOKUP(D905,
IMPORTRANGE(""https://docs.google.com/spreadsheets/d/1MjHtlUikwobi2MaWJgy7tfLeBmhj1u-dRFRs_8GwSoA/edit#gid=0"",""Gestores Escolares!D7:J""),6,0),""VERIFICAR CÓD SEC"")"),"DANIEL DE OLIVEIRA SOUZA FREITAS")</f>
        <v>DANIEL DE OLIVEIRA SOUZA FREITAS</v>
      </c>
      <c r="P905" s="82" t="str">
        <f>IFERROR(__xludf.DUMMYFUNCTION("IFERROR(VLOOKUP(D905,
IMPORTRANGE(""https://docs.google.com/spreadsheets/d/1MjHtlUikwobi2MaWJgy7tfLeBmhj1u-dRFRs_8GwSoA/edit#gid=0"",""Gestores Escolares!D7:J""),7,0),""VERIFICAR CÓD SEC"")"),"")</f>
        <v/>
      </c>
      <c r="Q905" s="82" t="str">
        <f>IFERROR(__xludf.DUMMYFUNCTION("IFERROR(VLOOKUP(D905,
IMPORTRANGE(""https://docs.google.com/spreadsheets/d/1MjHtlUikwobi2MaWJgy7tfLeBmhj1u-dRFRs_8GwSoA/edit#gid=0"",""Gestores Escolares!D7:m""),9,0),""VERIFICAR CÓD SEC"")"),"JAILMA DA SILVA OLIVEIRA")</f>
        <v>JAILMA DA SILVA OLIVEIRA</v>
      </c>
      <c r="R905" s="82" t="str">
        <f>IFERROR(__xludf.DUMMYFUNCTION("IFERROR(VLOOKUP(D905,
IMPORTRANGE(""https://docs.google.com/spreadsheets/d/1MjHtlUikwobi2MaWJgy7tfLeBmhj1u-dRFRs_8GwSoA/edit#gid=0"",""Gestores Escolares!D7:m""),10,0),""VERIFICAR CÓD SEC"")"),"(74) 9 8140-5645")</f>
        <v>(74) 9 8140-5645</v>
      </c>
      <c r="S905" s="82"/>
      <c r="T905" s="138">
        <v>14.0</v>
      </c>
      <c r="U905" s="145" t="s">
        <v>12331</v>
      </c>
      <c r="V905" s="106">
        <v>0.0</v>
      </c>
      <c r="W905" s="107">
        <v>0.0</v>
      </c>
      <c r="X905" s="107">
        <v>0.0</v>
      </c>
      <c r="Y905" s="107">
        <v>0.0</v>
      </c>
      <c r="Z905" s="80">
        <f t="shared" si="1"/>
        <v>0</v>
      </c>
      <c r="AA905" s="106">
        <v>0.0</v>
      </c>
      <c r="AB905" s="107">
        <v>0.0</v>
      </c>
      <c r="AC905" s="107">
        <v>0.0</v>
      </c>
      <c r="AD905" s="107">
        <v>0.0</v>
      </c>
      <c r="AE905" s="80">
        <f t="shared" si="2"/>
        <v>0</v>
      </c>
      <c r="AF905" s="140">
        <v>0.0</v>
      </c>
      <c r="AG905" s="109">
        <v>113.0</v>
      </c>
      <c r="AH905" s="109">
        <v>0.0</v>
      </c>
      <c r="AI905" s="141">
        <v>275.0</v>
      </c>
      <c r="AJ905" s="80">
        <f t="shared" si="3"/>
        <v>388</v>
      </c>
      <c r="AK905" s="140">
        <v>0.0</v>
      </c>
      <c r="AL905" s="109">
        <v>0.0</v>
      </c>
      <c r="AM905" s="141">
        <v>0.0</v>
      </c>
      <c r="AN905" s="80">
        <f t="shared" si="4"/>
        <v>0</v>
      </c>
      <c r="AO905" s="140">
        <v>0.0</v>
      </c>
      <c r="AP905" s="109">
        <v>0.0</v>
      </c>
      <c r="AQ905" s="109">
        <v>352.0</v>
      </c>
      <c r="AR905" s="80">
        <f t="shared" si="5"/>
        <v>352</v>
      </c>
      <c r="AS905" s="110">
        <v>529.0</v>
      </c>
      <c r="AT905" s="110">
        <v>192.0</v>
      </c>
      <c r="AU905" s="110">
        <v>124.0</v>
      </c>
      <c r="AV905" s="142">
        <v>0.0</v>
      </c>
      <c r="AW905" s="80">
        <f t="shared" si="6"/>
        <v>845</v>
      </c>
      <c r="AX905" s="113">
        <f t="shared" si="7"/>
        <v>1585</v>
      </c>
      <c r="AY905" s="117">
        <f t="shared" si="8"/>
        <v>1109</v>
      </c>
      <c r="AZ905" s="120">
        <f t="shared" si="9"/>
        <v>476</v>
      </c>
      <c r="BA905" s="115">
        <v>0.0</v>
      </c>
      <c r="BB905" s="89">
        <f t="shared" si="10"/>
        <v>1585</v>
      </c>
      <c r="BC905" s="132" t="s">
        <v>178</v>
      </c>
      <c r="BD905" s="132" t="s">
        <v>522</v>
      </c>
      <c r="BE905" s="132" t="s">
        <v>178</v>
      </c>
      <c r="BF905" s="156"/>
      <c r="BG905" s="83">
        <v>1162243.0</v>
      </c>
      <c r="BH905" s="112"/>
      <c r="BI905" s="112">
        <v>24.0</v>
      </c>
      <c r="BJ905" s="98" t="s">
        <v>162</v>
      </c>
      <c r="BK905" s="99">
        <f t="shared" si="11"/>
        <v>275</v>
      </c>
      <c r="BL905" s="99">
        <f t="shared" si="12"/>
        <v>834</v>
      </c>
      <c r="BM905" s="99" t="str">
        <f>IFERROR(__xludf.DUMMYFUNCTION("IFERROR(VLOOKUP(BG905,IMPORTRANGE(""https://docs.google.com/spreadsheets/d/1juPI-Fb8LD0YtltB2mlGEnp_R3UVu1t3wSFPzgCyHXE/edit?gid=0#gid=0"",""GERAL!A2:C""),3,0),""-"")"),"-")</f>
        <v>-</v>
      </c>
    </row>
    <row r="906">
      <c r="A906" s="111" t="s">
        <v>1090</v>
      </c>
      <c r="B906" s="83" t="s">
        <v>4553</v>
      </c>
      <c r="C906" s="83" t="s">
        <v>68</v>
      </c>
      <c r="D906" s="112">
        <v>1106904.0</v>
      </c>
      <c r="E906" s="83"/>
      <c r="F906" s="83">
        <v>2.9139368E7</v>
      </c>
      <c r="G906" s="119" t="s">
        <v>4554</v>
      </c>
      <c r="H906" s="91" t="s">
        <v>4555</v>
      </c>
      <c r="I906" s="83" t="s">
        <v>149</v>
      </c>
      <c r="J906" s="83" t="s">
        <v>150</v>
      </c>
      <c r="K906" s="83" t="s">
        <v>1685</v>
      </c>
      <c r="L906" s="83" t="s">
        <v>169</v>
      </c>
      <c r="M906" s="82" t="str">
        <f>IFERROR(__xludf.DUMMYFUNCTION("IFERROR(VLOOKUP(D906,
IMPORTRANGE(""https://docs.google.com/spreadsheets/d/1MjHtlUikwobi2MaWJgy7tfLeBmhj1u-dRFRs_8GwSoA/edit#gid=0"",""Gestores Escolares!D7:J""),3,0),""VERIFICAR CÓD SEC"")"),"ANTONIO FLAVIO DA COSTA")</f>
        <v>ANTONIO FLAVIO DA COSTA</v>
      </c>
      <c r="N906" s="82" t="str">
        <f>IFERROR(__xludf.DUMMYFUNCTION("IFERROR(VLOOKUP(D906,
IMPORTRANGE(""https://docs.google.com/spreadsheets/d/1MjHtlUikwobi2MaWJgy7tfLeBmhj1u-dRFRs_8GwSoA/edit#gid=0"",""Gestores Escolares!D7:J""),4,0),""VERIFICAR CÓD SEC"")"),"(75) 9 8143-7234")</f>
        <v>(75) 9 8143-7234</v>
      </c>
      <c r="O906" s="82" t="str">
        <f>IFERROR(__xludf.DUMMYFUNCTION("IFERROR(VLOOKUP(D906,
IMPORTRANGE(""https://docs.google.com/spreadsheets/d/1MjHtlUikwobi2MaWJgy7tfLeBmhj1u-dRFRs_8GwSoA/edit#gid=0"",""Gestores Escolares!D7:J""),6,0),""VERIFICAR CÓD SEC"")"),"NATALINA SOUZA SILVA")</f>
        <v>NATALINA SOUZA SILVA</v>
      </c>
      <c r="P906" s="82" t="str">
        <f>IFERROR(__xludf.DUMMYFUNCTION("IFERROR(VLOOKUP(D906,
IMPORTRANGE(""https://docs.google.com/spreadsheets/d/1MjHtlUikwobi2MaWJgy7tfLeBmhj1u-dRFRs_8GwSoA/edit#gid=0"",""Gestores Escolares!D7:J""),7,0),""VERIFICAR CÓD SEC"")"),"(75) 9 9189-9087")</f>
        <v>(75) 9 9189-9087</v>
      </c>
      <c r="Q906" s="82" t="str">
        <f>IFERROR(__xludf.DUMMYFUNCTION("IFERROR(VLOOKUP(D906,
IMPORTRANGE(""https://docs.google.com/spreadsheets/d/1MjHtlUikwobi2MaWJgy7tfLeBmhj1u-dRFRs_8GwSoA/edit#gid=0"",""Gestores Escolares!D7:m""),9,0),""VERIFICAR CÓD SEC"")"),"REINALDA QUEIROZ DE LIMA ARAUJO")</f>
        <v>REINALDA QUEIROZ DE LIMA ARAUJO</v>
      </c>
      <c r="R906" s="82" t="str">
        <f>IFERROR(__xludf.DUMMYFUNCTION("IFERROR(VLOOKUP(D906,
IMPORTRANGE(""https://docs.google.com/spreadsheets/d/1MjHtlUikwobi2MaWJgy7tfLeBmhj1u-dRFRs_8GwSoA/edit#gid=0"",""Gestores Escolares!D7:m""),10,0),""VERIFICAR CÓD SEC"")"),"(75) 9 9851-1303")</f>
        <v>(75) 9 9851-1303</v>
      </c>
      <c r="S906" s="82"/>
      <c r="T906" s="138">
        <v>6.0</v>
      </c>
      <c r="U906" s="145" t="s">
        <v>12342</v>
      </c>
      <c r="V906" s="106">
        <v>0.0</v>
      </c>
      <c r="W906" s="107">
        <v>0.0</v>
      </c>
      <c r="X906" s="107">
        <v>0.0</v>
      </c>
      <c r="Y906" s="107">
        <v>0.0</v>
      </c>
      <c r="Z906" s="80">
        <f t="shared" si="1"/>
        <v>0</v>
      </c>
      <c r="AA906" s="106">
        <v>0.0</v>
      </c>
      <c r="AB906" s="107">
        <v>0.0</v>
      </c>
      <c r="AC906" s="107">
        <v>0.0</v>
      </c>
      <c r="AD906" s="107">
        <v>0.0</v>
      </c>
      <c r="AE906" s="80">
        <f t="shared" si="2"/>
        <v>0</v>
      </c>
      <c r="AF906" s="140">
        <v>42.0</v>
      </c>
      <c r="AG906" s="109">
        <v>10.0</v>
      </c>
      <c r="AH906" s="109">
        <v>0.0</v>
      </c>
      <c r="AI906" s="141">
        <v>39.0</v>
      </c>
      <c r="AJ906" s="80">
        <f t="shared" si="3"/>
        <v>91</v>
      </c>
      <c r="AK906" s="140">
        <v>0.0</v>
      </c>
      <c r="AL906" s="109">
        <v>0.0</v>
      </c>
      <c r="AM906" s="141">
        <v>0.0</v>
      </c>
      <c r="AN906" s="80">
        <f t="shared" si="4"/>
        <v>0</v>
      </c>
      <c r="AO906" s="140">
        <v>0.0</v>
      </c>
      <c r="AP906" s="109">
        <v>0.0</v>
      </c>
      <c r="AQ906" s="109">
        <v>38.0</v>
      </c>
      <c r="AR906" s="80">
        <f t="shared" si="5"/>
        <v>38</v>
      </c>
      <c r="AS906" s="110">
        <v>0.0</v>
      </c>
      <c r="AT906" s="110">
        <v>11.0</v>
      </c>
      <c r="AU906" s="110">
        <v>26.0</v>
      </c>
      <c r="AV906" s="142">
        <v>0.0</v>
      </c>
      <c r="AW906" s="80">
        <f t="shared" si="6"/>
        <v>37</v>
      </c>
      <c r="AX906" s="113">
        <f t="shared" si="7"/>
        <v>166</v>
      </c>
      <c r="AY906" s="117">
        <f t="shared" si="8"/>
        <v>102</v>
      </c>
      <c r="AZ906" s="120">
        <f t="shared" si="9"/>
        <v>64</v>
      </c>
      <c r="BA906" s="115">
        <v>0.0</v>
      </c>
      <c r="BB906" s="89">
        <f t="shared" si="10"/>
        <v>166</v>
      </c>
      <c r="BC906" s="132" t="s">
        <v>178</v>
      </c>
      <c r="BD906" s="132" t="s">
        <v>178</v>
      </c>
      <c r="BE906" s="132" t="s">
        <v>178</v>
      </c>
      <c r="BF906" s="123"/>
      <c r="BG906" s="83">
        <v>1106904.0</v>
      </c>
      <c r="BH906" s="112"/>
      <c r="BI906" s="112">
        <v>4.0</v>
      </c>
      <c r="BJ906" s="98" t="s">
        <v>155</v>
      </c>
      <c r="BK906" s="99">
        <f t="shared" si="11"/>
        <v>39</v>
      </c>
      <c r="BL906" s="99">
        <f t="shared" si="12"/>
        <v>63</v>
      </c>
      <c r="BM906" s="99" t="str">
        <f>IFERROR(__xludf.DUMMYFUNCTION("IFERROR(VLOOKUP(BG906,IMPORTRANGE(""https://docs.google.com/spreadsheets/d/1juPI-Fb8LD0YtltB2mlGEnp_R3UVu1t3wSFPzgCyHXE/edit?gid=0#gid=0"",""GERAL!A2:C""),3,0),""-"")"),"-")</f>
        <v>-</v>
      </c>
    </row>
    <row r="907" ht="15.75" customHeight="1">
      <c r="A907" s="111" t="s">
        <v>1090</v>
      </c>
      <c r="B907" s="83" t="s">
        <v>2261</v>
      </c>
      <c r="C907" s="83" t="s">
        <v>68</v>
      </c>
      <c r="D907" s="112">
        <v>1160445.0</v>
      </c>
      <c r="E907" s="83"/>
      <c r="F907" s="83">
        <v>2.9101719E7</v>
      </c>
      <c r="G907" s="184" t="s">
        <v>4562</v>
      </c>
      <c r="H907" s="91" t="s">
        <v>4563</v>
      </c>
      <c r="I907" s="83" t="s">
        <v>4564</v>
      </c>
      <c r="J907" s="83" t="s">
        <v>150</v>
      </c>
      <c r="K907" s="83" t="s">
        <v>1685</v>
      </c>
      <c r="L907" s="83" t="s">
        <v>230</v>
      </c>
      <c r="M907" s="82" t="str">
        <f>IFERROR(__xludf.DUMMYFUNCTION("IFERROR(VLOOKUP(D907,
IMPORTRANGE(""https://docs.google.com/spreadsheets/d/1MjHtlUikwobi2MaWJgy7tfLeBmhj1u-dRFRs_8GwSoA/edit#gid=0"",""Gestores Escolares!D7:J""),3,0),""VERIFICAR CÓD SEC"")"),"LIANA MACEDO DE MACEDO")</f>
        <v>LIANA MACEDO DE MACEDO</v>
      </c>
      <c r="N907" s="82" t="str">
        <f>IFERROR(__xludf.DUMMYFUNCTION("IFERROR(VLOOKUP(D907,
IMPORTRANGE(""https://docs.google.com/spreadsheets/d/1MjHtlUikwobi2MaWJgy7tfLeBmhj1u-dRFRs_8GwSoA/edit#gid=0"",""Gestores Escolares!D7:J""),4,0),""VERIFICAR CÓD SEC"")"),"(75) 9 9180-3288")</f>
        <v>(75) 9 9180-3288</v>
      </c>
      <c r="O907" s="82" t="str">
        <f>IFERROR(__xludf.DUMMYFUNCTION("IFERROR(VLOOKUP(D907,
IMPORTRANGE(""https://docs.google.com/spreadsheets/d/1MjHtlUikwobi2MaWJgy7tfLeBmhj1u-dRFRs_8GwSoA/edit#gid=0"",""Gestores Escolares!D7:J""),6,0),""VERIFICAR CÓD SEC"")"),"INALDA ALMEIDA SERRA PASSOS")</f>
        <v>INALDA ALMEIDA SERRA PASSOS</v>
      </c>
      <c r="P907" s="82" t="str">
        <f>IFERROR(__xludf.DUMMYFUNCTION("IFERROR(VLOOKUP(D907,
IMPORTRANGE(""https://docs.google.com/spreadsheets/d/1MjHtlUikwobi2MaWJgy7tfLeBmhj1u-dRFRs_8GwSoA/edit#gid=0"",""Gestores Escolares!D7:J""),7,0),""VERIFICAR CÓD SEC"")"),"(75) 9 9162-3553")</f>
        <v>(75) 9 9162-3553</v>
      </c>
      <c r="Q907" s="82" t="str">
        <f>IFERROR(__xludf.DUMMYFUNCTION("IFERROR(VLOOKUP(D907,
IMPORTRANGE(""https://docs.google.com/spreadsheets/d/1MjHtlUikwobi2MaWJgy7tfLeBmhj1u-dRFRs_8GwSoA/edit#gid=0"",""Gestores Escolares!D7:m""),9,0),""VERIFICAR CÓD SEC"")")," VALDIRA GOMES PEREIRA")</f>
        <v> VALDIRA GOMES PEREIRA</v>
      </c>
      <c r="R907" s="82" t="str">
        <f>IFERROR(__xludf.DUMMYFUNCTION("IFERROR(VLOOKUP(D907,
IMPORTRANGE(""https://docs.google.com/spreadsheets/d/1MjHtlUikwobi2MaWJgy7tfLeBmhj1u-dRFRs_8GwSoA/edit#gid=0"",""Gestores Escolares!D7:m""),10,0),""VERIFICAR CÓD SEC"")"),"(75) 9 9126-6798")</f>
        <v>(75) 9 9126-6798</v>
      </c>
      <c r="S907" s="82"/>
      <c r="T907" s="138">
        <v>8.0</v>
      </c>
      <c r="U907" s="145">
        <v>20.0</v>
      </c>
      <c r="V907" s="106">
        <v>0.0</v>
      </c>
      <c r="W907" s="107">
        <v>0.0</v>
      </c>
      <c r="X907" s="107">
        <v>0.0</v>
      </c>
      <c r="Y907" s="107">
        <v>0.0</v>
      </c>
      <c r="Z907" s="80">
        <f t="shared" si="1"/>
        <v>0</v>
      </c>
      <c r="AA907" s="106">
        <v>0.0</v>
      </c>
      <c r="AB907" s="107">
        <v>0.0</v>
      </c>
      <c r="AC907" s="107">
        <v>0.0</v>
      </c>
      <c r="AD907" s="107">
        <v>0.0</v>
      </c>
      <c r="AE907" s="80">
        <f t="shared" si="2"/>
        <v>0</v>
      </c>
      <c r="AF907" s="140">
        <v>222.0</v>
      </c>
      <c r="AG907" s="109">
        <v>106.0</v>
      </c>
      <c r="AH907" s="109">
        <v>0.0</v>
      </c>
      <c r="AI907" s="141">
        <v>479.0</v>
      </c>
      <c r="AJ907" s="80">
        <f t="shared" si="3"/>
        <v>807</v>
      </c>
      <c r="AK907" s="140">
        <v>0.0</v>
      </c>
      <c r="AL907" s="109">
        <v>0.0</v>
      </c>
      <c r="AM907" s="141">
        <v>0.0</v>
      </c>
      <c r="AN907" s="80">
        <f t="shared" si="4"/>
        <v>0</v>
      </c>
      <c r="AO907" s="140">
        <v>0.0</v>
      </c>
      <c r="AP907" s="109">
        <v>0.0</v>
      </c>
      <c r="AQ907" s="109">
        <v>192.0</v>
      </c>
      <c r="AR907" s="80">
        <f t="shared" si="5"/>
        <v>192</v>
      </c>
      <c r="AS907" s="110">
        <v>0.0</v>
      </c>
      <c r="AT907" s="110">
        <v>0.0</v>
      </c>
      <c r="AU907" s="110">
        <v>0.0</v>
      </c>
      <c r="AV907" s="142">
        <v>0.0</v>
      </c>
      <c r="AW907" s="80">
        <f t="shared" si="6"/>
        <v>0</v>
      </c>
      <c r="AX907" s="113">
        <f t="shared" si="7"/>
        <v>999</v>
      </c>
      <c r="AY907" s="117">
        <f t="shared" si="8"/>
        <v>807</v>
      </c>
      <c r="AZ907" s="120">
        <f t="shared" si="9"/>
        <v>192</v>
      </c>
      <c r="BA907" s="115">
        <v>0.0</v>
      </c>
      <c r="BB907" s="89">
        <f t="shared" si="10"/>
        <v>999</v>
      </c>
      <c r="BC907" s="132" t="s">
        <v>178</v>
      </c>
      <c r="BD907" s="132" t="s">
        <v>178</v>
      </c>
      <c r="BE907" s="132" t="s">
        <v>178</v>
      </c>
      <c r="BF907" s="156"/>
      <c r="BG907" s="83">
        <v>1160445.0</v>
      </c>
      <c r="BH907" s="112"/>
      <c r="BI907" s="112">
        <v>8.0</v>
      </c>
      <c r="BJ907" s="98" t="s">
        <v>162</v>
      </c>
      <c r="BK907" s="99">
        <f t="shared" si="11"/>
        <v>479</v>
      </c>
      <c r="BL907" s="99">
        <f t="shared" si="12"/>
        <v>328</v>
      </c>
      <c r="BM907" s="99" t="str">
        <f>IFERROR(__xludf.DUMMYFUNCTION("IFERROR(VLOOKUP(BG907,IMPORTRANGE(""https://docs.google.com/spreadsheets/d/1juPI-Fb8LD0YtltB2mlGEnp_R3UVu1t3wSFPzgCyHXE/edit?gid=0#gid=0"",""GERAL!A2:C""),3,0),""-"")"),"-")</f>
        <v>-</v>
      </c>
    </row>
    <row r="908" ht="15.75" customHeight="1">
      <c r="A908" s="111" t="s">
        <v>1090</v>
      </c>
      <c r="B908" s="83" t="s">
        <v>2261</v>
      </c>
      <c r="C908" s="83" t="s">
        <v>68</v>
      </c>
      <c r="D908" s="112">
        <v>1107323.0</v>
      </c>
      <c r="E908" s="83"/>
      <c r="F908" s="83">
        <v>2.9101484E7</v>
      </c>
      <c r="G908" s="185" t="s">
        <v>4569</v>
      </c>
      <c r="H908" s="91" t="s">
        <v>4570</v>
      </c>
      <c r="I908" s="83" t="s">
        <v>149</v>
      </c>
      <c r="J908" s="83" t="s">
        <v>150</v>
      </c>
      <c r="K908" s="83" t="s">
        <v>1685</v>
      </c>
      <c r="L908" s="83" t="s">
        <v>230</v>
      </c>
      <c r="M908" s="82" t="str">
        <f>IFERROR(__xludf.DUMMYFUNCTION("IFERROR(VLOOKUP(D908,
IMPORTRANGE(""https://docs.google.com/spreadsheets/d/1MjHtlUikwobi2MaWJgy7tfLeBmhj1u-dRFRs_8GwSoA/edit#gid=0"",""Gestores Escolares!D7:J""),3,0),""VERIFICAR CÓD SEC"")"),"GILDA MATOS DE OLIVEIRA")</f>
        <v>GILDA MATOS DE OLIVEIRA</v>
      </c>
      <c r="N908" s="82" t="str">
        <f>IFERROR(__xludf.DUMMYFUNCTION("IFERROR(VLOOKUP(D908,
IMPORTRANGE(""https://docs.google.com/spreadsheets/d/1MjHtlUikwobi2MaWJgy7tfLeBmhj1u-dRFRs_8GwSoA/edit#gid=0"",""Gestores Escolares!D7:J""),4,0),""VERIFICAR CÓD SEC"")"),"(71) 9 9293-9749")</f>
        <v>(71) 9 9293-9749</v>
      </c>
      <c r="O908" s="82" t="str">
        <f>IFERROR(__xludf.DUMMYFUNCTION("IFERROR(VLOOKUP(D908,
IMPORTRANGE(""https://docs.google.com/spreadsheets/d/1MjHtlUikwobi2MaWJgy7tfLeBmhj1u-dRFRs_8GwSoA/edit#gid=0"",""Gestores Escolares!D7:J""),6,0),""VERIFICAR CÓD SEC"")"),"GILDASIO DE JESUS CARVALHO")</f>
        <v>GILDASIO DE JESUS CARVALHO</v>
      </c>
      <c r="P908" s="82" t="str">
        <f>IFERROR(__xludf.DUMMYFUNCTION("IFERROR(VLOOKUP(D908,
IMPORTRANGE(""https://docs.google.com/spreadsheets/d/1MjHtlUikwobi2MaWJgy7tfLeBmhj1u-dRFRs_8GwSoA/edit#gid=0"",""Gestores Escolares!D7:J""),7,0),""VERIFICAR CÓD SEC"")"),"(75) 9 9105-1566")</f>
        <v>(75) 9 9105-1566</v>
      </c>
      <c r="Q908" s="82" t="str">
        <f>IFERROR(__xludf.DUMMYFUNCTION("IFERROR(VLOOKUP(D908,
IMPORTRANGE(""https://docs.google.com/spreadsheets/d/1MjHtlUikwobi2MaWJgy7tfLeBmhj1u-dRFRs_8GwSoA/edit#gid=0"",""Gestores Escolares!D7:m""),9,0),""VERIFICAR CÓD SEC"")"),"ADALBERIO SANTOS FREITAS")</f>
        <v>ADALBERIO SANTOS FREITAS</v>
      </c>
      <c r="R908" s="82" t="str">
        <f>IFERROR(__xludf.DUMMYFUNCTION("IFERROR(VLOOKUP(D908,
IMPORTRANGE(""https://docs.google.com/spreadsheets/d/1MjHtlUikwobi2MaWJgy7tfLeBmhj1u-dRFRs_8GwSoA/edit#gid=0"",""Gestores Escolares!D7:m""),10,0),""VERIFICAR CÓD SEC"")"),"(71) 9 9245-2518")</f>
        <v>(71) 9 9245-2518</v>
      </c>
      <c r="S908" s="82"/>
      <c r="T908" s="138">
        <v>17.0</v>
      </c>
      <c r="U908" s="145" t="s">
        <v>12367</v>
      </c>
      <c r="V908" s="106">
        <v>0.0</v>
      </c>
      <c r="W908" s="107">
        <v>0.0</v>
      </c>
      <c r="X908" s="107">
        <v>0.0</v>
      </c>
      <c r="Y908" s="107">
        <v>0.0</v>
      </c>
      <c r="Z908" s="80">
        <f t="shared" si="1"/>
        <v>0</v>
      </c>
      <c r="AA908" s="106">
        <v>0.0</v>
      </c>
      <c r="AB908" s="107">
        <v>0.0</v>
      </c>
      <c r="AC908" s="107">
        <v>0.0</v>
      </c>
      <c r="AD908" s="107">
        <v>0.0</v>
      </c>
      <c r="AE908" s="80">
        <f t="shared" si="2"/>
        <v>0</v>
      </c>
      <c r="AF908" s="140">
        <v>0.0</v>
      </c>
      <c r="AG908" s="109">
        <v>0.0</v>
      </c>
      <c r="AH908" s="109">
        <v>0.0</v>
      </c>
      <c r="AI908" s="141">
        <v>0.0</v>
      </c>
      <c r="AJ908" s="80">
        <f t="shared" si="3"/>
        <v>0</v>
      </c>
      <c r="AK908" s="140">
        <v>0.0</v>
      </c>
      <c r="AL908" s="109">
        <v>0.0</v>
      </c>
      <c r="AM908" s="141">
        <v>0.0</v>
      </c>
      <c r="AN908" s="80">
        <f t="shared" si="4"/>
        <v>0</v>
      </c>
      <c r="AO908" s="140">
        <v>0.0</v>
      </c>
      <c r="AP908" s="109">
        <v>0.0</v>
      </c>
      <c r="AQ908" s="109">
        <v>0.0</v>
      </c>
      <c r="AR908" s="80">
        <f t="shared" si="5"/>
        <v>0</v>
      </c>
      <c r="AS908" s="110">
        <v>328.0</v>
      </c>
      <c r="AT908" s="110">
        <v>425.0</v>
      </c>
      <c r="AU908" s="110">
        <v>247.0</v>
      </c>
      <c r="AV908" s="142">
        <v>0.0</v>
      </c>
      <c r="AW908" s="80">
        <f t="shared" si="6"/>
        <v>1000</v>
      </c>
      <c r="AX908" s="113">
        <f t="shared" si="7"/>
        <v>1000</v>
      </c>
      <c r="AY908" s="117">
        <f t="shared" si="8"/>
        <v>753</v>
      </c>
      <c r="AZ908" s="120">
        <f t="shared" si="9"/>
        <v>247</v>
      </c>
      <c r="BA908" s="115">
        <v>0.0</v>
      </c>
      <c r="BB908" s="89">
        <f t="shared" si="10"/>
        <v>1000</v>
      </c>
      <c r="BC908" s="132" t="s">
        <v>178</v>
      </c>
      <c r="BD908" s="132" t="s">
        <v>522</v>
      </c>
      <c r="BE908" s="132" t="s">
        <v>178</v>
      </c>
      <c r="BF908" s="123"/>
      <c r="BG908" s="83">
        <v>1107323.0</v>
      </c>
      <c r="BH908" s="112"/>
      <c r="BI908" s="112">
        <v>12.0</v>
      </c>
      <c r="BJ908" s="98" t="s">
        <v>284</v>
      </c>
      <c r="BK908" s="99">
        <f t="shared" si="11"/>
        <v>0</v>
      </c>
      <c r="BL908" s="99">
        <f t="shared" si="12"/>
        <v>753</v>
      </c>
      <c r="BM908" s="99" t="str">
        <f>IFERROR(__xludf.DUMMYFUNCTION("IFERROR(VLOOKUP(BG908,IMPORTRANGE(""https://docs.google.com/spreadsheets/d/1juPI-Fb8LD0YtltB2mlGEnp_R3UVu1t3wSFPzgCyHXE/edit?gid=0#gid=0"",""GERAL!A2:C""),3,0),""-"")"),"-")</f>
        <v>-</v>
      </c>
    </row>
    <row r="909" ht="15.75" customHeight="1">
      <c r="A909" s="111" t="s">
        <v>1090</v>
      </c>
      <c r="B909" s="83" t="s">
        <v>2261</v>
      </c>
      <c r="C909" s="83" t="s">
        <v>68</v>
      </c>
      <c r="D909" s="98">
        <v>1179812.0</v>
      </c>
      <c r="E909" s="83"/>
      <c r="F909" s="98">
        <v>2.9488575E7</v>
      </c>
      <c r="G909" s="184" t="s">
        <v>4581</v>
      </c>
      <c r="H909" s="108" t="s">
        <v>4582</v>
      </c>
      <c r="I909" s="98" t="s">
        <v>4583</v>
      </c>
      <c r="J909" s="83"/>
      <c r="K909" s="83" t="s">
        <v>1685</v>
      </c>
      <c r="L909" s="83" t="s">
        <v>230</v>
      </c>
      <c r="M909" s="82" t="str">
        <f>IFERROR(__xludf.DUMMYFUNCTION("IFERROR(VLOOKUP(D909,
IMPORTRANGE(""https://docs.google.com/spreadsheets/d/1MjHtlUikwobi2MaWJgy7tfLeBmhj1u-dRFRs_8GwSoA/edit#gid=0"",""Gestores Escolares!D7:J""),3,0),""VERIFICAR CÓD SEC"")"),"CASSIO DE CERQUEIRA OLIVEIRA")</f>
        <v>CASSIO DE CERQUEIRA OLIVEIRA</v>
      </c>
      <c r="N909" s="82" t="str">
        <f>IFERROR(__xludf.DUMMYFUNCTION("IFERROR(VLOOKUP(D909,
IMPORTRANGE(""https://docs.google.com/spreadsheets/d/1MjHtlUikwobi2MaWJgy7tfLeBmhj1u-dRFRs_8GwSoA/edit#gid=0"",""Gestores Escolares!D7:J""),4,0),""VERIFICAR CÓD SEC"")"),"(74) 9 8808-3804")</f>
        <v>(74) 9 8808-3804</v>
      </c>
      <c r="O909" s="82" t="str">
        <f>IFERROR(__xludf.DUMMYFUNCTION("IFERROR(VLOOKUP(D909,
IMPORTRANGE(""https://docs.google.com/spreadsheets/d/1MjHtlUikwobi2MaWJgy7tfLeBmhj1u-dRFRs_8GwSoA/edit#gid=0"",""Gestores Escolares!D7:J""),6,0),""VERIFICAR CÓD SEC"")"),"JOILSON SANTOS LIMA")</f>
        <v>JOILSON SANTOS LIMA</v>
      </c>
      <c r="P909" s="82" t="str">
        <f>IFERROR(__xludf.DUMMYFUNCTION("IFERROR(VLOOKUP(D909,
IMPORTRANGE(""https://docs.google.com/spreadsheets/d/1MjHtlUikwobi2MaWJgy7tfLeBmhj1u-dRFRs_8GwSoA/edit#gid=0"",""Gestores Escolares!D7:J""),7,0),""VERIFICAR CÓD SEC"")"),"(75) 9 9198-7092
")</f>
        <v>(75) 9 9198-7092
</v>
      </c>
      <c r="Q909" s="82" t="str">
        <f>IFERROR(__xludf.DUMMYFUNCTION("IFERROR(VLOOKUP(D909,
IMPORTRANGE(""https://docs.google.com/spreadsheets/d/1MjHtlUikwobi2MaWJgy7tfLeBmhj1u-dRFRs_8GwSoA/edit#gid=0"",""Gestores Escolares!D7:m""),9,0),""VERIFICAR CÓD SEC"")")," LUDIMILA SILVA EVANGELISTA MACHADO")</f>
        <v> LUDIMILA SILVA EVANGELISTA MACHADO</v>
      </c>
      <c r="R909" s="82" t="str">
        <f>IFERROR(__xludf.DUMMYFUNCTION("IFERROR(VLOOKUP(D909,
IMPORTRANGE(""https://docs.google.com/spreadsheets/d/1MjHtlUikwobi2MaWJgy7tfLeBmhj1u-dRFRs_8GwSoA/edit#gid=0"",""Gestores Escolares!D7:m""),10,0),""VERIFICAR CÓD SEC"")"),"(75) 9 9155-3187")</f>
        <v>(75) 9 9155-3187</v>
      </c>
      <c r="S909" s="82"/>
      <c r="T909" s="138"/>
      <c r="U909" s="152" t="s">
        <v>171</v>
      </c>
      <c r="V909" s="106">
        <v>0.0</v>
      </c>
      <c r="W909" s="107">
        <v>0.0</v>
      </c>
      <c r="X909" s="107">
        <v>0.0</v>
      </c>
      <c r="Y909" s="107">
        <v>0.0</v>
      </c>
      <c r="Z909" s="80">
        <f t="shared" si="1"/>
        <v>0</v>
      </c>
      <c r="AA909" s="106">
        <v>0.0</v>
      </c>
      <c r="AB909" s="107">
        <v>0.0</v>
      </c>
      <c r="AC909" s="107">
        <v>0.0</v>
      </c>
      <c r="AD909" s="107">
        <v>0.0</v>
      </c>
      <c r="AE909" s="80">
        <f t="shared" si="2"/>
        <v>0</v>
      </c>
      <c r="AF909" s="140">
        <v>0.0</v>
      </c>
      <c r="AG909" s="109">
        <v>0.0</v>
      </c>
      <c r="AH909" s="109">
        <v>0.0</v>
      </c>
      <c r="AI909" s="141">
        <v>0.0</v>
      </c>
      <c r="AJ909" s="80">
        <f t="shared" si="3"/>
        <v>0</v>
      </c>
      <c r="AK909" s="140">
        <v>0.0</v>
      </c>
      <c r="AL909" s="109">
        <v>0.0</v>
      </c>
      <c r="AM909" s="141">
        <v>0.0</v>
      </c>
      <c r="AN909" s="80">
        <f t="shared" si="4"/>
        <v>0</v>
      </c>
      <c r="AO909" s="140">
        <v>0.0</v>
      </c>
      <c r="AP909" s="109">
        <v>0.0</v>
      </c>
      <c r="AQ909" s="109">
        <v>0.0</v>
      </c>
      <c r="AR909" s="80">
        <f t="shared" si="5"/>
        <v>0</v>
      </c>
      <c r="AS909" s="110">
        <v>0.0</v>
      </c>
      <c r="AT909" s="110">
        <v>0.0</v>
      </c>
      <c r="AU909" s="110">
        <v>0.0</v>
      </c>
      <c r="AV909" s="142">
        <v>0.0</v>
      </c>
      <c r="AW909" s="80">
        <f t="shared" si="6"/>
        <v>0</v>
      </c>
      <c r="AX909" s="113">
        <f t="shared" si="7"/>
        <v>0</v>
      </c>
      <c r="AY909" s="117">
        <f t="shared" si="8"/>
        <v>0</v>
      </c>
      <c r="AZ909" s="120">
        <f t="shared" si="9"/>
        <v>0</v>
      </c>
      <c r="BA909" s="115">
        <v>0.0</v>
      </c>
      <c r="BB909" s="89">
        <f t="shared" si="10"/>
        <v>0</v>
      </c>
      <c r="BC909" s="132"/>
      <c r="BD909" s="132" t="s">
        <v>227</v>
      </c>
      <c r="BE909" s="132"/>
      <c r="BF909" s="123"/>
      <c r="BG909" s="98">
        <v>1179812.0</v>
      </c>
      <c r="BH909" s="112"/>
      <c r="BI909" s="112"/>
      <c r="BJ909" s="98"/>
      <c r="BK909" s="99">
        <f t="shared" si="11"/>
        <v>0</v>
      </c>
      <c r="BL909" s="99">
        <f t="shared" si="12"/>
        <v>0</v>
      </c>
      <c r="BM909" s="99" t="str">
        <f>IFERROR(__xludf.DUMMYFUNCTION("IFERROR(VLOOKUP(BG909,IMPORTRANGE(""https://docs.google.com/spreadsheets/d/1juPI-Fb8LD0YtltB2mlGEnp_R3UVu1t3wSFPzgCyHXE/edit?gid=0#gid=0"",""GERAL!A2:C""),3,0),""-"")"),"-")</f>
        <v>-</v>
      </c>
    </row>
    <row r="910" ht="15.75" customHeight="1">
      <c r="A910" s="111" t="s">
        <v>1090</v>
      </c>
      <c r="B910" s="83" t="s">
        <v>2261</v>
      </c>
      <c r="C910" s="83" t="s">
        <v>164</v>
      </c>
      <c r="D910" s="98">
        <v>1179812.0</v>
      </c>
      <c r="E910" s="83">
        <v>1178455.0</v>
      </c>
      <c r="F910" s="98">
        <v>2.9488575E7</v>
      </c>
      <c r="G910" s="184" t="s">
        <v>4588</v>
      </c>
      <c r="H910" s="91" t="s">
        <v>4589</v>
      </c>
      <c r="I910" s="83" t="s">
        <v>149</v>
      </c>
      <c r="J910" s="83" t="s">
        <v>992</v>
      </c>
      <c r="K910" s="83" t="s">
        <v>1685</v>
      </c>
      <c r="L910" s="83" t="s">
        <v>169</v>
      </c>
      <c r="M910" s="82" t="str">
        <f>IFERROR(__xludf.DUMMYFUNCTION("IFERROR(VLOOKUP(D910,
IMPORTRANGE(""https://docs.google.com/spreadsheets/d/1MjHtlUikwobi2MaWJgy7tfLeBmhj1u-dRFRs_8GwSoA/edit#gid=0"",""Gestores Escolares!D7:J""),3,0),""VERIFICAR CÓD SEC"")"),"CASSIO DE CERQUEIRA OLIVEIRA")</f>
        <v>CASSIO DE CERQUEIRA OLIVEIRA</v>
      </c>
      <c r="N910" s="82" t="str">
        <f>IFERROR(__xludf.DUMMYFUNCTION("IFERROR(VLOOKUP(D910,
IMPORTRANGE(""https://docs.google.com/spreadsheets/d/1MjHtlUikwobi2MaWJgy7tfLeBmhj1u-dRFRs_8GwSoA/edit#gid=0"",""Gestores Escolares!D7:J""),4,0),""VERIFICAR CÓD SEC"")"),"(74) 9 8808-3804")</f>
        <v>(74) 9 8808-3804</v>
      </c>
      <c r="O910" s="82" t="str">
        <f>IFERROR(__xludf.DUMMYFUNCTION("IFERROR(VLOOKUP(D910,
IMPORTRANGE(""https://docs.google.com/spreadsheets/d/1MjHtlUikwobi2MaWJgy7tfLeBmhj1u-dRFRs_8GwSoA/edit#gid=0"",""Gestores Escolares!D7:J""),6,0),""VERIFICAR CÓD SEC"")"),"JOILSON SANTOS LIMA")</f>
        <v>JOILSON SANTOS LIMA</v>
      </c>
      <c r="P910" s="82" t="str">
        <f>IFERROR(__xludf.DUMMYFUNCTION("IFERROR(VLOOKUP(D910,
IMPORTRANGE(""https://docs.google.com/spreadsheets/d/1MjHtlUikwobi2MaWJgy7tfLeBmhj1u-dRFRs_8GwSoA/edit#gid=0"",""Gestores Escolares!D7:J""),7,0),""VERIFICAR CÓD SEC"")"),"(75) 9 9198-7092
")</f>
        <v>(75) 9 9198-7092
</v>
      </c>
      <c r="Q910" s="82" t="str">
        <f>IFERROR(__xludf.DUMMYFUNCTION("IFERROR(VLOOKUP(D910,
IMPORTRANGE(""https://docs.google.com/spreadsheets/d/1MjHtlUikwobi2MaWJgy7tfLeBmhj1u-dRFRs_8GwSoA/edit#gid=0"",""Gestores Escolares!D7:m""),9,0),""VERIFICAR CÓD SEC"")")," LUDIMILA SILVA EVANGELISTA MACHADO")</f>
        <v> LUDIMILA SILVA EVANGELISTA MACHADO</v>
      </c>
      <c r="R910" s="82" t="str">
        <f>IFERROR(__xludf.DUMMYFUNCTION("IFERROR(VLOOKUP(D910,
IMPORTRANGE(""https://docs.google.com/spreadsheets/d/1MjHtlUikwobi2MaWJgy7tfLeBmhj1u-dRFRs_8GwSoA/edit#gid=0"",""Gestores Escolares!D7:m""),10,0),""VERIFICAR CÓD SEC"")"),"(75) 9 9155-3187")</f>
        <v>(75) 9 9155-3187</v>
      </c>
      <c r="S910" s="82"/>
      <c r="T910" s="138">
        <v>2.0</v>
      </c>
      <c r="U910" s="139">
        <v>2.0</v>
      </c>
      <c r="V910" s="106">
        <v>0.0</v>
      </c>
      <c r="W910" s="107">
        <v>0.0</v>
      </c>
      <c r="X910" s="107">
        <v>0.0</v>
      </c>
      <c r="Y910" s="107">
        <v>0.0</v>
      </c>
      <c r="Z910" s="80">
        <f t="shared" si="1"/>
        <v>0</v>
      </c>
      <c r="AA910" s="106">
        <v>0.0</v>
      </c>
      <c r="AB910" s="107">
        <v>0.0</v>
      </c>
      <c r="AC910" s="107">
        <v>0.0</v>
      </c>
      <c r="AD910" s="107">
        <v>0.0</v>
      </c>
      <c r="AE910" s="80">
        <f t="shared" si="2"/>
        <v>0</v>
      </c>
      <c r="AF910" s="140">
        <v>21.0</v>
      </c>
      <c r="AG910" s="109">
        <v>29.0</v>
      </c>
      <c r="AH910" s="109">
        <v>0.0</v>
      </c>
      <c r="AI910" s="141">
        <v>0.0</v>
      </c>
      <c r="AJ910" s="80">
        <f t="shared" si="3"/>
        <v>50</v>
      </c>
      <c r="AK910" s="140">
        <v>0.0</v>
      </c>
      <c r="AL910" s="109">
        <v>0.0</v>
      </c>
      <c r="AM910" s="141">
        <v>0.0</v>
      </c>
      <c r="AN910" s="80">
        <f t="shared" si="4"/>
        <v>0</v>
      </c>
      <c r="AO910" s="140">
        <v>0.0</v>
      </c>
      <c r="AP910" s="109">
        <v>0.0</v>
      </c>
      <c r="AQ910" s="109">
        <v>0.0</v>
      </c>
      <c r="AR910" s="80">
        <f t="shared" si="5"/>
        <v>0</v>
      </c>
      <c r="AS910" s="110">
        <v>0.0</v>
      </c>
      <c r="AT910" s="110">
        <v>0.0</v>
      </c>
      <c r="AU910" s="110">
        <v>0.0</v>
      </c>
      <c r="AV910" s="142">
        <v>0.0</v>
      </c>
      <c r="AW910" s="80">
        <f t="shared" si="6"/>
        <v>0</v>
      </c>
      <c r="AX910" s="113">
        <f t="shared" si="7"/>
        <v>50</v>
      </c>
      <c r="AY910" s="117">
        <f t="shared" si="8"/>
        <v>50</v>
      </c>
      <c r="AZ910" s="120">
        <f t="shared" si="9"/>
        <v>0</v>
      </c>
      <c r="BA910" s="115">
        <v>0.0</v>
      </c>
      <c r="BB910" s="89">
        <f t="shared" si="10"/>
        <v>50</v>
      </c>
      <c r="BC910" s="132" t="s">
        <v>373</v>
      </c>
      <c r="BD910" s="132" t="s">
        <v>227</v>
      </c>
      <c r="BE910" s="132" t="s">
        <v>178</v>
      </c>
      <c r="BF910" s="123"/>
      <c r="BG910" s="83">
        <v>1178455.0</v>
      </c>
      <c r="BH910" s="112"/>
      <c r="BI910" s="112">
        <v>2.0</v>
      </c>
      <c r="BJ910" s="98" t="s">
        <v>155</v>
      </c>
      <c r="BK910" s="99">
        <f t="shared" si="11"/>
        <v>0</v>
      </c>
      <c r="BL910" s="99">
        <f t="shared" si="12"/>
        <v>50</v>
      </c>
      <c r="BM910" s="99" t="str">
        <f>IFERROR(__xludf.DUMMYFUNCTION("IFERROR(VLOOKUP(BG910,IMPORTRANGE(""https://docs.google.com/spreadsheets/d/1juPI-Fb8LD0YtltB2mlGEnp_R3UVu1t3wSFPzgCyHXE/edit?gid=0#gid=0"",""GERAL!A2:C""),3,0),""-"")"),"CAMPO")</f>
        <v>CAMPO</v>
      </c>
    </row>
    <row r="911" ht="15.75" customHeight="1">
      <c r="A911" s="111" t="s">
        <v>1090</v>
      </c>
      <c r="B911" s="83" t="s">
        <v>2261</v>
      </c>
      <c r="C911" s="83" t="s">
        <v>164</v>
      </c>
      <c r="D911" s="98">
        <v>1179812.0</v>
      </c>
      <c r="E911" s="83">
        <v>1178454.0</v>
      </c>
      <c r="F911" s="98">
        <v>2.9488575E7</v>
      </c>
      <c r="G911" s="184" t="s">
        <v>4592</v>
      </c>
      <c r="H911" s="91" t="s">
        <v>4593</v>
      </c>
      <c r="I911" s="83" t="s">
        <v>149</v>
      </c>
      <c r="J911" s="83" t="s">
        <v>1460</v>
      </c>
      <c r="K911" s="83" t="s">
        <v>1022</v>
      </c>
      <c r="L911" s="83" t="s">
        <v>169</v>
      </c>
      <c r="M911" s="82" t="str">
        <f>IFERROR(__xludf.DUMMYFUNCTION("IFERROR(VLOOKUP(D911,
IMPORTRANGE(""https://docs.google.com/spreadsheets/d/1MjHtlUikwobi2MaWJgy7tfLeBmhj1u-dRFRs_8GwSoA/edit#gid=0"",""Gestores Escolares!D7:J""),3,0),""VERIFICAR CÓD SEC"")"),"CASSIO DE CERQUEIRA OLIVEIRA")</f>
        <v>CASSIO DE CERQUEIRA OLIVEIRA</v>
      </c>
      <c r="N911" s="82" t="str">
        <f>IFERROR(__xludf.DUMMYFUNCTION("IFERROR(VLOOKUP(D911,
IMPORTRANGE(""https://docs.google.com/spreadsheets/d/1MjHtlUikwobi2MaWJgy7tfLeBmhj1u-dRFRs_8GwSoA/edit#gid=0"",""Gestores Escolares!D7:J""),4,0),""VERIFICAR CÓD SEC"")"),"(74) 9 8808-3804")</f>
        <v>(74) 9 8808-3804</v>
      </c>
      <c r="O911" s="82" t="str">
        <f>IFERROR(__xludf.DUMMYFUNCTION("IFERROR(VLOOKUP(D911,
IMPORTRANGE(""https://docs.google.com/spreadsheets/d/1MjHtlUikwobi2MaWJgy7tfLeBmhj1u-dRFRs_8GwSoA/edit#gid=0"",""Gestores Escolares!D7:J""),6,0),""VERIFICAR CÓD SEC"")"),"JOILSON SANTOS LIMA")</f>
        <v>JOILSON SANTOS LIMA</v>
      </c>
      <c r="P911" s="82" t="str">
        <f>IFERROR(__xludf.DUMMYFUNCTION("IFERROR(VLOOKUP(D911,
IMPORTRANGE(""https://docs.google.com/spreadsheets/d/1MjHtlUikwobi2MaWJgy7tfLeBmhj1u-dRFRs_8GwSoA/edit#gid=0"",""Gestores Escolares!D7:J""),7,0),""VERIFICAR CÓD SEC"")"),"(75) 9 9198-7092
")</f>
        <v>(75) 9 9198-7092
</v>
      </c>
      <c r="Q911" s="82" t="str">
        <f>IFERROR(__xludf.DUMMYFUNCTION("IFERROR(VLOOKUP(D911,
IMPORTRANGE(""https://docs.google.com/spreadsheets/d/1MjHtlUikwobi2MaWJgy7tfLeBmhj1u-dRFRs_8GwSoA/edit#gid=0"",""Gestores Escolares!D7:m""),9,0),""VERIFICAR CÓD SEC"")")," LUDIMILA SILVA EVANGELISTA MACHADO")</f>
        <v> LUDIMILA SILVA EVANGELISTA MACHADO</v>
      </c>
      <c r="R911" s="82" t="str">
        <f>IFERROR(__xludf.DUMMYFUNCTION("IFERROR(VLOOKUP(D911,
IMPORTRANGE(""https://docs.google.com/spreadsheets/d/1MjHtlUikwobi2MaWJgy7tfLeBmhj1u-dRFRs_8GwSoA/edit#gid=0"",""Gestores Escolares!D7:m""),10,0),""VERIFICAR CÓD SEC"")"),"(75) 9 9155-3187")</f>
        <v>(75) 9 9155-3187</v>
      </c>
      <c r="S911" s="82"/>
      <c r="T911" s="138">
        <v>2.0</v>
      </c>
      <c r="U911" s="139">
        <v>2.0</v>
      </c>
      <c r="V911" s="106">
        <v>0.0</v>
      </c>
      <c r="W911" s="107">
        <v>0.0</v>
      </c>
      <c r="X911" s="107">
        <v>0.0</v>
      </c>
      <c r="Y911" s="107">
        <v>0.0</v>
      </c>
      <c r="Z911" s="80">
        <f t="shared" si="1"/>
        <v>0</v>
      </c>
      <c r="AA911" s="106">
        <v>0.0</v>
      </c>
      <c r="AB911" s="107">
        <v>0.0</v>
      </c>
      <c r="AC911" s="107">
        <v>0.0</v>
      </c>
      <c r="AD911" s="107">
        <v>0.0</v>
      </c>
      <c r="AE911" s="80">
        <f t="shared" si="2"/>
        <v>0</v>
      </c>
      <c r="AF911" s="140">
        <v>0.0</v>
      </c>
      <c r="AG911" s="109">
        <v>0.0</v>
      </c>
      <c r="AH911" s="109">
        <v>44.0</v>
      </c>
      <c r="AI911" s="141">
        <v>0.0</v>
      </c>
      <c r="AJ911" s="80">
        <f t="shared" si="3"/>
        <v>44</v>
      </c>
      <c r="AK911" s="140">
        <v>0.0</v>
      </c>
      <c r="AL911" s="109">
        <v>0.0</v>
      </c>
      <c r="AM911" s="141">
        <v>0.0</v>
      </c>
      <c r="AN911" s="80">
        <f t="shared" si="4"/>
        <v>0</v>
      </c>
      <c r="AO911" s="140">
        <v>0.0</v>
      </c>
      <c r="AP911" s="109">
        <v>0.0</v>
      </c>
      <c r="AQ911" s="109">
        <v>0.0</v>
      </c>
      <c r="AR911" s="80">
        <f t="shared" si="5"/>
        <v>0</v>
      </c>
      <c r="AS911" s="110">
        <v>0.0</v>
      </c>
      <c r="AT911" s="110">
        <v>0.0</v>
      </c>
      <c r="AU911" s="110">
        <v>0.0</v>
      </c>
      <c r="AV911" s="142">
        <v>0.0</v>
      </c>
      <c r="AW911" s="80">
        <f t="shared" si="6"/>
        <v>0</v>
      </c>
      <c r="AX911" s="113">
        <f t="shared" si="7"/>
        <v>44</v>
      </c>
      <c r="AY911" s="117">
        <f t="shared" si="8"/>
        <v>0</v>
      </c>
      <c r="AZ911" s="120">
        <f t="shared" si="9"/>
        <v>44</v>
      </c>
      <c r="BA911" s="115">
        <v>0.0</v>
      </c>
      <c r="BB911" s="89">
        <f t="shared" si="10"/>
        <v>44</v>
      </c>
      <c r="BC911" s="132" t="s">
        <v>373</v>
      </c>
      <c r="BD911" s="132" t="s">
        <v>227</v>
      </c>
      <c r="BE911" s="132" t="s">
        <v>178</v>
      </c>
      <c r="BF911" s="123"/>
      <c r="BG911" s="83">
        <v>1178454.0</v>
      </c>
      <c r="BH911" s="112"/>
      <c r="BI911" s="112">
        <v>2.0</v>
      </c>
      <c r="BJ911" s="98" t="s">
        <v>155</v>
      </c>
      <c r="BK911" s="99">
        <f t="shared" si="11"/>
        <v>0</v>
      </c>
      <c r="BL911" s="99">
        <f t="shared" si="12"/>
        <v>0</v>
      </c>
      <c r="BM911" s="99" t="str">
        <f>IFERROR(__xludf.DUMMYFUNCTION("IFERROR(VLOOKUP(BG911,IMPORTRANGE(""https://docs.google.com/spreadsheets/d/1juPI-Fb8LD0YtltB2mlGEnp_R3UVu1t3wSFPzgCyHXE/edit?gid=0#gid=0"",""GERAL!A2:C""),3,0),""-"")"),"CAMPO")</f>
        <v>CAMPO</v>
      </c>
    </row>
    <row r="912" ht="15.75" customHeight="1">
      <c r="A912" s="111" t="s">
        <v>1090</v>
      </c>
      <c r="B912" s="83" t="s">
        <v>2261</v>
      </c>
      <c r="C912" s="83" t="s">
        <v>164</v>
      </c>
      <c r="D912" s="98">
        <v>1179812.0</v>
      </c>
      <c r="E912" s="83">
        <v>1178451.0</v>
      </c>
      <c r="F912" s="83">
        <v>2.9101719E7</v>
      </c>
      <c r="G912" s="292" t="s">
        <v>4599</v>
      </c>
      <c r="H912" s="91" t="s">
        <v>4600</v>
      </c>
      <c r="I912" s="186" t="s">
        <v>171</v>
      </c>
      <c r="J912" s="193"/>
      <c r="K912" s="83" t="s">
        <v>1022</v>
      </c>
      <c r="L912" s="98" t="s">
        <v>512</v>
      </c>
      <c r="M912" s="82" t="str">
        <f>IFERROR(__xludf.DUMMYFUNCTION("IFERROR(VLOOKUP(D912,
IMPORTRANGE(""https://docs.google.com/spreadsheets/d/1MjHtlUikwobi2MaWJgy7tfLeBmhj1u-dRFRs_8GwSoA/edit#gid=0"",""Gestores Escolares!D7:J""),3,0),""VERIFICAR CÓD SEC"")"),"CASSIO DE CERQUEIRA OLIVEIRA")</f>
        <v>CASSIO DE CERQUEIRA OLIVEIRA</v>
      </c>
      <c r="N912" s="82" t="str">
        <f>IFERROR(__xludf.DUMMYFUNCTION("IFERROR(VLOOKUP(D912,
IMPORTRANGE(""https://docs.google.com/spreadsheets/d/1MjHtlUikwobi2MaWJgy7tfLeBmhj1u-dRFRs_8GwSoA/edit#gid=0"",""Gestores Escolares!D7:J""),4,0),""VERIFICAR CÓD SEC"")"),"(74) 9 8808-3804")</f>
        <v>(74) 9 8808-3804</v>
      </c>
      <c r="O912" s="82" t="str">
        <f>IFERROR(__xludf.DUMMYFUNCTION("IFERROR(VLOOKUP(D912,
IMPORTRANGE(""https://docs.google.com/spreadsheets/d/1MjHtlUikwobi2MaWJgy7tfLeBmhj1u-dRFRs_8GwSoA/edit#gid=0"",""Gestores Escolares!D7:J""),6,0),""VERIFICAR CÓD SEC"")"),"JOILSON SANTOS LIMA")</f>
        <v>JOILSON SANTOS LIMA</v>
      </c>
      <c r="P912" s="82" t="str">
        <f>IFERROR(__xludf.DUMMYFUNCTION("IFERROR(VLOOKUP(D912,
IMPORTRANGE(""https://docs.google.com/spreadsheets/d/1MjHtlUikwobi2MaWJgy7tfLeBmhj1u-dRFRs_8GwSoA/edit#gid=0"",""Gestores Escolares!D7:J""),7,0),""VERIFICAR CÓD SEC"")"),"(75) 9 9198-7092
")</f>
        <v>(75) 9 9198-7092
</v>
      </c>
      <c r="Q912" s="82" t="str">
        <f>IFERROR(__xludf.DUMMYFUNCTION("IFERROR(VLOOKUP(D912,
IMPORTRANGE(""https://docs.google.com/spreadsheets/d/1MjHtlUikwobi2MaWJgy7tfLeBmhj1u-dRFRs_8GwSoA/edit#gid=0"",""Gestores Escolares!D7:m""),9,0),""VERIFICAR CÓD SEC"")")," LUDIMILA SILVA EVANGELISTA MACHADO")</f>
        <v> LUDIMILA SILVA EVANGELISTA MACHADO</v>
      </c>
      <c r="R912" s="82" t="str">
        <f>IFERROR(__xludf.DUMMYFUNCTION("IFERROR(VLOOKUP(D912,
IMPORTRANGE(""https://docs.google.com/spreadsheets/d/1MjHtlUikwobi2MaWJgy7tfLeBmhj1u-dRFRs_8GwSoA/edit#gid=0"",""Gestores Escolares!D7:m""),10,0),""VERIFICAR CÓD SEC"")"),"(75) 9 9155-3187")</f>
        <v>(75) 9 9155-3187</v>
      </c>
      <c r="S912" s="82"/>
      <c r="T912" s="138"/>
      <c r="U912" s="145">
        <v>1.0</v>
      </c>
      <c r="V912" s="106">
        <v>0.0</v>
      </c>
      <c r="W912" s="107">
        <v>0.0</v>
      </c>
      <c r="X912" s="107">
        <v>0.0</v>
      </c>
      <c r="Y912" s="107">
        <v>0.0</v>
      </c>
      <c r="Z912" s="80">
        <f t="shared" si="1"/>
        <v>0</v>
      </c>
      <c r="AA912" s="106">
        <v>0.0</v>
      </c>
      <c r="AB912" s="107">
        <v>0.0</v>
      </c>
      <c r="AC912" s="107">
        <v>0.0</v>
      </c>
      <c r="AD912" s="107">
        <v>0.0</v>
      </c>
      <c r="AE912" s="80">
        <f t="shared" si="2"/>
        <v>0</v>
      </c>
      <c r="AF912" s="140">
        <v>0.0</v>
      </c>
      <c r="AG912" s="109">
        <v>0.0</v>
      </c>
      <c r="AH912" s="109">
        <v>26.0</v>
      </c>
      <c r="AI912" s="141">
        <v>0.0</v>
      </c>
      <c r="AJ912" s="80">
        <f t="shared" si="3"/>
        <v>26</v>
      </c>
      <c r="AK912" s="140">
        <v>0.0</v>
      </c>
      <c r="AL912" s="109">
        <v>0.0</v>
      </c>
      <c r="AM912" s="141">
        <v>0.0</v>
      </c>
      <c r="AN912" s="80">
        <f t="shared" si="4"/>
        <v>0</v>
      </c>
      <c r="AO912" s="140">
        <v>0.0</v>
      </c>
      <c r="AP912" s="109">
        <v>0.0</v>
      </c>
      <c r="AQ912" s="109">
        <v>0.0</v>
      </c>
      <c r="AR912" s="80">
        <f t="shared" si="5"/>
        <v>0</v>
      </c>
      <c r="AS912" s="110">
        <v>0.0</v>
      </c>
      <c r="AT912" s="110">
        <v>0.0</v>
      </c>
      <c r="AU912" s="110">
        <v>0.0</v>
      </c>
      <c r="AV912" s="142">
        <v>0.0</v>
      </c>
      <c r="AW912" s="80">
        <f t="shared" si="6"/>
        <v>0</v>
      </c>
      <c r="AX912" s="113">
        <f t="shared" si="7"/>
        <v>26</v>
      </c>
      <c r="AY912" s="117">
        <f t="shared" si="8"/>
        <v>0</v>
      </c>
      <c r="AZ912" s="120">
        <f t="shared" si="9"/>
        <v>26</v>
      </c>
      <c r="BA912" s="115">
        <v>0.0</v>
      </c>
      <c r="BB912" s="89">
        <f t="shared" si="10"/>
        <v>26</v>
      </c>
      <c r="BC912" s="132" t="s">
        <v>178</v>
      </c>
      <c r="BD912" s="132" t="s">
        <v>227</v>
      </c>
      <c r="BE912" s="132" t="s">
        <v>178</v>
      </c>
      <c r="BF912" s="156"/>
      <c r="BG912" s="83">
        <v>1178451.0</v>
      </c>
      <c r="BH912" s="112"/>
      <c r="BI912" s="112">
        <v>1.0</v>
      </c>
      <c r="BJ912" s="98" t="s">
        <v>155</v>
      </c>
      <c r="BK912" s="99">
        <f t="shared" si="11"/>
        <v>0</v>
      </c>
      <c r="BL912" s="99">
        <f t="shared" si="12"/>
        <v>0</v>
      </c>
      <c r="BM912" s="99" t="str">
        <f>IFERROR(__xludf.DUMMYFUNCTION("IFERROR(VLOOKUP(BG912,IMPORTRANGE(""https://docs.google.com/spreadsheets/d/1juPI-Fb8LD0YtltB2mlGEnp_R3UVu1t3wSFPzgCyHXE/edit?gid=0#gid=0"",""GERAL!A2:C""),3,0),""-"")"),"CAMPO")</f>
        <v>CAMPO</v>
      </c>
    </row>
    <row r="913" ht="15.75" customHeight="1">
      <c r="A913" s="111" t="s">
        <v>1090</v>
      </c>
      <c r="B913" s="83" t="s">
        <v>2261</v>
      </c>
      <c r="C913" s="83" t="s">
        <v>164</v>
      </c>
      <c r="D913" s="98">
        <v>1179812.0</v>
      </c>
      <c r="E913" s="83">
        <v>1178453.0</v>
      </c>
      <c r="F913" s="98">
        <v>2.9488575E7</v>
      </c>
      <c r="G913" s="184" t="s">
        <v>4607</v>
      </c>
      <c r="H913" s="91" t="s">
        <v>4608</v>
      </c>
      <c r="I913" s="83" t="s">
        <v>149</v>
      </c>
      <c r="J913" s="83" t="s">
        <v>209</v>
      </c>
      <c r="K913" s="83" t="s">
        <v>1685</v>
      </c>
      <c r="L913" s="83" t="s">
        <v>169</v>
      </c>
      <c r="M913" s="82" t="str">
        <f>IFERROR(__xludf.DUMMYFUNCTION("IFERROR(VLOOKUP(D913,
IMPORTRANGE(""https://docs.google.com/spreadsheets/d/1MjHtlUikwobi2MaWJgy7tfLeBmhj1u-dRFRs_8GwSoA/edit#gid=0"",""Gestores Escolares!D7:J""),3,0),""VERIFICAR CÓD SEC"")"),"CASSIO DE CERQUEIRA OLIVEIRA")</f>
        <v>CASSIO DE CERQUEIRA OLIVEIRA</v>
      </c>
      <c r="N913" s="82" t="str">
        <f>IFERROR(__xludf.DUMMYFUNCTION("IFERROR(VLOOKUP(D913,
IMPORTRANGE(""https://docs.google.com/spreadsheets/d/1MjHtlUikwobi2MaWJgy7tfLeBmhj1u-dRFRs_8GwSoA/edit#gid=0"",""Gestores Escolares!D7:J""),4,0),""VERIFICAR CÓD SEC"")"),"(74) 9 8808-3804")</f>
        <v>(74) 9 8808-3804</v>
      </c>
      <c r="O913" s="82" t="str">
        <f>IFERROR(__xludf.DUMMYFUNCTION("IFERROR(VLOOKUP(D913,
IMPORTRANGE(""https://docs.google.com/spreadsheets/d/1MjHtlUikwobi2MaWJgy7tfLeBmhj1u-dRFRs_8GwSoA/edit#gid=0"",""Gestores Escolares!D7:J""),6,0),""VERIFICAR CÓD SEC"")"),"JOILSON SANTOS LIMA")</f>
        <v>JOILSON SANTOS LIMA</v>
      </c>
      <c r="P913" s="82" t="str">
        <f>IFERROR(__xludf.DUMMYFUNCTION("IFERROR(VLOOKUP(D913,
IMPORTRANGE(""https://docs.google.com/spreadsheets/d/1MjHtlUikwobi2MaWJgy7tfLeBmhj1u-dRFRs_8GwSoA/edit#gid=0"",""Gestores Escolares!D7:J""),7,0),""VERIFICAR CÓD SEC"")"),"(75) 9 9198-7092
")</f>
        <v>(75) 9 9198-7092
</v>
      </c>
      <c r="Q913" s="82" t="str">
        <f>IFERROR(__xludf.DUMMYFUNCTION("IFERROR(VLOOKUP(D913,
IMPORTRANGE(""https://docs.google.com/spreadsheets/d/1MjHtlUikwobi2MaWJgy7tfLeBmhj1u-dRFRs_8GwSoA/edit#gid=0"",""Gestores Escolares!D7:m""),9,0),""VERIFICAR CÓD SEC"")")," LUDIMILA SILVA EVANGELISTA MACHADO")</f>
        <v> LUDIMILA SILVA EVANGELISTA MACHADO</v>
      </c>
      <c r="R913" s="82" t="str">
        <f>IFERROR(__xludf.DUMMYFUNCTION("IFERROR(VLOOKUP(D913,
IMPORTRANGE(""https://docs.google.com/spreadsheets/d/1MjHtlUikwobi2MaWJgy7tfLeBmhj1u-dRFRs_8GwSoA/edit#gid=0"",""Gestores Escolares!D7:m""),10,0),""VERIFICAR CÓD SEC"")"),"(75) 9 9155-3187")</f>
        <v>(75) 9 9155-3187</v>
      </c>
      <c r="S913" s="82"/>
      <c r="T913" s="138">
        <v>2.0</v>
      </c>
      <c r="U913" s="145">
        <v>2.0</v>
      </c>
      <c r="V913" s="106">
        <v>0.0</v>
      </c>
      <c r="W913" s="107">
        <v>0.0</v>
      </c>
      <c r="X913" s="107">
        <v>0.0</v>
      </c>
      <c r="Y913" s="107">
        <v>0.0</v>
      </c>
      <c r="Z913" s="80">
        <f t="shared" si="1"/>
        <v>0</v>
      </c>
      <c r="AA913" s="106">
        <v>0.0</v>
      </c>
      <c r="AB913" s="107">
        <v>0.0</v>
      </c>
      <c r="AC913" s="107">
        <v>0.0</v>
      </c>
      <c r="AD913" s="107">
        <v>0.0</v>
      </c>
      <c r="AE913" s="80">
        <f t="shared" si="2"/>
        <v>0</v>
      </c>
      <c r="AF913" s="140">
        <v>27.0</v>
      </c>
      <c r="AG913" s="109">
        <v>0.0</v>
      </c>
      <c r="AH913" s="109">
        <v>20.0</v>
      </c>
      <c r="AI913" s="141">
        <v>0.0</v>
      </c>
      <c r="AJ913" s="80">
        <f t="shared" si="3"/>
        <v>47</v>
      </c>
      <c r="AK913" s="140">
        <v>0.0</v>
      </c>
      <c r="AL913" s="109">
        <v>0.0</v>
      </c>
      <c r="AM913" s="141">
        <v>0.0</v>
      </c>
      <c r="AN913" s="80">
        <f t="shared" si="4"/>
        <v>0</v>
      </c>
      <c r="AO913" s="140">
        <v>0.0</v>
      </c>
      <c r="AP913" s="109">
        <v>0.0</v>
      </c>
      <c r="AQ913" s="109">
        <v>0.0</v>
      </c>
      <c r="AR913" s="80">
        <f t="shared" si="5"/>
        <v>0</v>
      </c>
      <c r="AS913" s="110">
        <v>0.0</v>
      </c>
      <c r="AT913" s="110">
        <v>0.0</v>
      </c>
      <c r="AU913" s="110">
        <v>0.0</v>
      </c>
      <c r="AV913" s="142">
        <v>0.0</v>
      </c>
      <c r="AW913" s="80">
        <f t="shared" si="6"/>
        <v>0</v>
      </c>
      <c r="AX913" s="113">
        <f t="shared" si="7"/>
        <v>47</v>
      </c>
      <c r="AY913" s="117">
        <f t="shared" si="8"/>
        <v>27</v>
      </c>
      <c r="AZ913" s="120">
        <f t="shared" si="9"/>
        <v>20</v>
      </c>
      <c r="BA913" s="115">
        <v>0.0</v>
      </c>
      <c r="BB913" s="89">
        <f t="shared" si="10"/>
        <v>47</v>
      </c>
      <c r="BC913" s="132" t="s">
        <v>373</v>
      </c>
      <c r="BD913" s="132" t="s">
        <v>227</v>
      </c>
      <c r="BE913" s="132" t="s">
        <v>178</v>
      </c>
      <c r="BF913" s="123"/>
      <c r="BG913" s="83">
        <v>1178453.0</v>
      </c>
      <c r="BH913" s="112"/>
      <c r="BI913" s="112">
        <v>2.0</v>
      </c>
      <c r="BJ913" s="98" t="s">
        <v>155</v>
      </c>
      <c r="BK913" s="99">
        <f t="shared" si="11"/>
        <v>0</v>
      </c>
      <c r="BL913" s="99">
        <f t="shared" si="12"/>
        <v>27</v>
      </c>
      <c r="BM913" s="99" t="str">
        <f>IFERROR(__xludf.DUMMYFUNCTION("IFERROR(VLOOKUP(BG913,IMPORTRANGE(""https://docs.google.com/spreadsheets/d/1juPI-Fb8LD0YtltB2mlGEnp_R3UVu1t3wSFPzgCyHXE/edit?gid=0#gid=0"",""GERAL!A2:C""),3,0),""-"")"),"CAMPO")</f>
        <v>CAMPO</v>
      </c>
    </row>
    <row r="914" ht="15.75" customHeight="1">
      <c r="A914" s="111" t="s">
        <v>1090</v>
      </c>
      <c r="B914" s="83" t="s">
        <v>2261</v>
      </c>
      <c r="C914" s="83" t="s">
        <v>164</v>
      </c>
      <c r="D914" s="98">
        <v>1179812.0</v>
      </c>
      <c r="E914" s="98">
        <v>1178452.0</v>
      </c>
      <c r="F914" s="98">
        <v>2.9488575E7</v>
      </c>
      <c r="G914" s="481" t="s">
        <v>4616</v>
      </c>
      <c r="H914" s="392" t="s">
        <v>4617</v>
      </c>
      <c r="I914" s="193"/>
      <c r="J914" s="193"/>
      <c r="K914" s="186" t="s">
        <v>168</v>
      </c>
      <c r="L914" s="186" t="s">
        <v>169</v>
      </c>
      <c r="M914" s="609" t="str">
        <f>IFERROR(__xludf.DUMMYFUNCTION("IFERROR(VLOOKUP(D914,
IMPORTRANGE(""https://docs.google.com/spreadsheets/d/1MjHtlUikwobi2MaWJgy7tfLeBmhj1u-dRFRs_8GwSoA/edit#gid=0"",""Gestores Escolares!D7:J""),3,0),""VERIFICAR CÓD SEC"")"),"CASSIO DE CERQUEIRA OLIVEIRA")</f>
        <v>CASSIO DE CERQUEIRA OLIVEIRA</v>
      </c>
      <c r="N914" s="609" t="str">
        <f>IFERROR(__xludf.DUMMYFUNCTION("IFERROR(VLOOKUP(D914,
IMPORTRANGE(""https://docs.google.com/spreadsheets/d/1MjHtlUikwobi2MaWJgy7tfLeBmhj1u-dRFRs_8GwSoA/edit#gid=0"",""Gestores Escolares!D7:J""),4,0),""VERIFICAR CÓD SEC"")"),"(74) 9 8808-3804")</f>
        <v>(74) 9 8808-3804</v>
      </c>
      <c r="O914" s="82" t="str">
        <f>IFERROR(__xludf.DUMMYFUNCTION("IFERROR(VLOOKUP(D914,
IMPORTRANGE(""https://docs.google.com/spreadsheets/d/1MjHtlUikwobi2MaWJgy7tfLeBmhj1u-dRFRs_8GwSoA/edit#gid=0"",""Gestores Escolares!D7:J""),6,0),""VERIFICAR CÓD SEC"")"),"JOILSON SANTOS LIMA")</f>
        <v>JOILSON SANTOS LIMA</v>
      </c>
      <c r="P914" s="82" t="str">
        <f>IFERROR(__xludf.DUMMYFUNCTION("IFERROR(VLOOKUP(D914,
IMPORTRANGE(""https://docs.google.com/spreadsheets/d/1MjHtlUikwobi2MaWJgy7tfLeBmhj1u-dRFRs_8GwSoA/edit#gid=0"",""Gestores Escolares!D7:J""),7,0),""VERIFICAR CÓD SEC"")"),"(75) 9 9198-7092
")</f>
        <v>(75) 9 9198-7092
</v>
      </c>
      <c r="Q914" s="82" t="str">
        <f>IFERROR(__xludf.DUMMYFUNCTION("IFERROR(VLOOKUP(D914,
IMPORTRANGE(""https://docs.google.com/spreadsheets/d/1MjHtlUikwobi2MaWJgy7tfLeBmhj1u-dRFRs_8GwSoA/edit#gid=0"",""Gestores Escolares!D7:m""),9,0),""VERIFICAR CÓD SEC"")")," LUDIMILA SILVA EVANGELISTA MACHADO")</f>
        <v> LUDIMILA SILVA EVANGELISTA MACHADO</v>
      </c>
      <c r="R914" s="82" t="str">
        <f>IFERROR(__xludf.DUMMYFUNCTION("IFERROR(VLOOKUP(D914,
IMPORTRANGE(""https://docs.google.com/spreadsheets/d/1MjHtlUikwobi2MaWJgy7tfLeBmhj1u-dRFRs_8GwSoA/edit#gid=0"",""Gestores Escolares!D7:m""),10,0),""VERIFICAR CÓD SEC"")"),"(75) 9 9155-3187")</f>
        <v>(75) 9 9155-3187</v>
      </c>
      <c r="S914" s="609"/>
      <c r="T914" s="562"/>
      <c r="U914" s="145"/>
      <c r="V914" s="106">
        <v>0.0</v>
      </c>
      <c r="W914" s="107">
        <v>0.0</v>
      </c>
      <c r="X914" s="107">
        <v>0.0</v>
      </c>
      <c r="Y914" s="107">
        <v>0.0</v>
      </c>
      <c r="Z914" s="80">
        <f t="shared" si="1"/>
        <v>0</v>
      </c>
      <c r="AA914" s="106">
        <v>0.0</v>
      </c>
      <c r="AB914" s="107">
        <v>0.0</v>
      </c>
      <c r="AC914" s="107">
        <v>0.0</v>
      </c>
      <c r="AD914" s="107">
        <v>0.0</v>
      </c>
      <c r="AE914" s="80">
        <f t="shared" si="2"/>
        <v>0</v>
      </c>
      <c r="AF914" s="140">
        <v>0.0</v>
      </c>
      <c r="AG914" s="109">
        <v>0.0</v>
      </c>
      <c r="AH914" s="109">
        <v>39.0</v>
      </c>
      <c r="AI914" s="141">
        <v>0.0</v>
      </c>
      <c r="AJ914" s="80">
        <f t="shared" si="3"/>
        <v>39</v>
      </c>
      <c r="AK914" s="140">
        <v>0.0</v>
      </c>
      <c r="AL914" s="109">
        <v>0.0</v>
      </c>
      <c r="AM914" s="141">
        <v>0.0</v>
      </c>
      <c r="AN914" s="80">
        <f t="shared" si="4"/>
        <v>0</v>
      </c>
      <c r="AO914" s="140">
        <v>0.0</v>
      </c>
      <c r="AP914" s="109">
        <v>0.0</v>
      </c>
      <c r="AQ914" s="109">
        <v>0.0</v>
      </c>
      <c r="AR914" s="80">
        <f t="shared" si="5"/>
        <v>0</v>
      </c>
      <c r="AS914" s="110">
        <v>0.0</v>
      </c>
      <c r="AT914" s="110">
        <v>0.0</v>
      </c>
      <c r="AU914" s="110">
        <v>0.0</v>
      </c>
      <c r="AV914" s="142">
        <v>0.0</v>
      </c>
      <c r="AW914" s="80">
        <f t="shared" si="6"/>
        <v>0</v>
      </c>
      <c r="AX914" s="113">
        <f t="shared" si="7"/>
        <v>39</v>
      </c>
      <c r="AY914" s="117">
        <f t="shared" si="8"/>
        <v>0</v>
      </c>
      <c r="AZ914" s="120">
        <f t="shared" si="9"/>
        <v>39</v>
      </c>
      <c r="BA914" s="115">
        <v>0.0</v>
      </c>
      <c r="BB914" s="89">
        <f t="shared" si="10"/>
        <v>39</v>
      </c>
      <c r="BC914" s="132" t="s">
        <v>178</v>
      </c>
      <c r="BD914" s="132" t="s">
        <v>227</v>
      </c>
      <c r="BE914" s="132" t="s">
        <v>178</v>
      </c>
      <c r="BF914" s="123"/>
      <c r="BG914" s="98">
        <v>1178452.0</v>
      </c>
      <c r="BH914" s="112"/>
      <c r="BI914" s="112"/>
      <c r="BJ914" s="98" t="s">
        <v>155</v>
      </c>
      <c r="BK914" s="99">
        <f t="shared" si="11"/>
        <v>0</v>
      </c>
      <c r="BL914" s="99">
        <f t="shared" si="12"/>
        <v>0</v>
      </c>
      <c r="BM914" s="99" t="str">
        <f>IFERROR(__xludf.DUMMYFUNCTION("IFERROR(VLOOKUP(BG914,IMPORTRANGE(""https://docs.google.com/spreadsheets/d/1juPI-Fb8LD0YtltB2mlGEnp_R3UVu1t3wSFPzgCyHXE/edit?gid=0#gid=0"",""GERAL!A2:C""),3,0),""-"")"),"-")</f>
        <v>-</v>
      </c>
    </row>
    <row r="915" ht="15.75" customHeight="1">
      <c r="A915" s="111" t="s">
        <v>1090</v>
      </c>
      <c r="B915" s="83" t="s">
        <v>4619</v>
      </c>
      <c r="C915" s="83" t="s">
        <v>68</v>
      </c>
      <c r="D915" s="112">
        <v>1122861.0</v>
      </c>
      <c r="E915" s="83"/>
      <c r="F915" s="83">
        <v>2.90855E7</v>
      </c>
      <c r="G915" s="147" t="s">
        <v>4620</v>
      </c>
      <c r="H915" s="91" t="s">
        <v>4621</v>
      </c>
      <c r="I915" s="172" t="s">
        <v>149</v>
      </c>
      <c r="J915" s="83" t="s">
        <v>150</v>
      </c>
      <c r="K915" s="83" t="s">
        <v>1685</v>
      </c>
      <c r="L915" s="83" t="s">
        <v>152</v>
      </c>
      <c r="M915" s="82" t="str">
        <f>IFERROR(__xludf.DUMMYFUNCTION("IFERROR(VLOOKUP(D915,
IMPORTRANGE(""https://docs.google.com/spreadsheets/d/1MjHtlUikwobi2MaWJgy7tfLeBmhj1u-dRFRs_8GwSoA/edit#gid=0"",""Gestores Escolares!D7:J""),3,0),""VERIFICAR CÓD SEC"")"),"SARA SILVA SOUZA")</f>
        <v>SARA SILVA SOUZA</v>
      </c>
      <c r="N915" s="82" t="str">
        <f>IFERROR(__xludf.DUMMYFUNCTION("IFERROR(VLOOKUP(D915,
IMPORTRANGE(""https://docs.google.com/spreadsheets/d/1MjHtlUikwobi2MaWJgy7tfLeBmhj1u-dRFRs_8GwSoA/edit#gid=0"",""Gestores Escolares!D7:J""),4,0),""VERIFICAR CÓD SEC"")"),"(74) 9 9978-3497")</f>
        <v>(74) 9 9978-3497</v>
      </c>
      <c r="O915" s="82" t="str">
        <f>IFERROR(__xludf.DUMMYFUNCTION("IFERROR(VLOOKUP(D915,
IMPORTRANGE(""https://docs.google.com/spreadsheets/d/1MjHtlUikwobi2MaWJgy7tfLeBmhj1u-dRFRs_8GwSoA/edit#gid=0"",""Gestores Escolares!D7:J""),6,0),""VERIFICAR CÓD SEC"")"),"SUSANETE LIMA OLIVEIRA")</f>
        <v>SUSANETE LIMA OLIVEIRA</v>
      </c>
      <c r="P915" s="82" t="str">
        <f>IFERROR(__xludf.DUMMYFUNCTION("IFERROR(VLOOKUP(D915,
IMPORTRANGE(""https://docs.google.com/spreadsheets/d/1MjHtlUikwobi2MaWJgy7tfLeBmhj1u-dRFRs_8GwSoA/edit#gid=0"",""Gestores Escolares!D7:J""),7,0),""VERIFICAR CÓD SEC"")"),"(74) 9 9975-6679")</f>
        <v>(74) 9 9975-6679</v>
      </c>
      <c r="Q915" s="82" t="str">
        <f>IFERROR(__xludf.DUMMYFUNCTION("IFERROR(VLOOKUP(D915,
IMPORTRANGE(""https://docs.google.com/spreadsheets/d/1MjHtlUikwobi2MaWJgy7tfLeBmhj1u-dRFRs_8GwSoA/edit#gid=0"",""Gestores Escolares!D7:m""),9,0),""VERIFICAR CÓD SEC"")"),"DAYANE OLIVEIRA DE ALMEIDA")</f>
        <v>DAYANE OLIVEIRA DE ALMEIDA</v>
      </c>
      <c r="R915" s="82" t="str">
        <f>IFERROR(__xludf.DUMMYFUNCTION("IFERROR(VLOOKUP(D915,
IMPORTRANGE(""https://docs.google.com/spreadsheets/d/1MjHtlUikwobi2MaWJgy7tfLeBmhj1u-dRFRs_8GwSoA/edit#gid=0"",""Gestores Escolares!D7:m""),10,0),""VERIFICAR CÓD SEC"")"),"(74) 9 8122-5669")</f>
        <v>(74) 9 8122-5669</v>
      </c>
      <c r="S915" s="82"/>
      <c r="T915" s="138">
        <v>10.0</v>
      </c>
      <c r="U915" s="145">
        <v>12.0</v>
      </c>
      <c r="V915" s="106">
        <v>0.0</v>
      </c>
      <c r="W915" s="107">
        <v>0.0</v>
      </c>
      <c r="X915" s="107">
        <v>0.0</v>
      </c>
      <c r="Y915" s="107">
        <v>0.0</v>
      </c>
      <c r="Z915" s="80">
        <f t="shared" si="1"/>
        <v>0</v>
      </c>
      <c r="AA915" s="106">
        <v>0.0</v>
      </c>
      <c r="AB915" s="107">
        <v>0.0</v>
      </c>
      <c r="AC915" s="107">
        <v>0.0</v>
      </c>
      <c r="AD915" s="107">
        <v>0.0</v>
      </c>
      <c r="AE915" s="80">
        <f t="shared" si="2"/>
        <v>0</v>
      </c>
      <c r="AF915" s="140">
        <v>66.0</v>
      </c>
      <c r="AG915" s="109">
        <v>54.0</v>
      </c>
      <c r="AH915" s="109">
        <v>0.0</v>
      </c>
      <c r="AI915" s="141">
        <v>362.0</v>
      </c>
      <c r="AJ915" s="80">
        <f t="shared" si="3"/>
        <v>482</v>
      </c>
      <c r="AK915" s="140">
        <v>0.0</v>
      </c>
      <c r="AL915" s="109">
        <v>0.0</v>
      </c>
      <c r="AM915" s="141">
        <v>0.0</v>
      </c>
      <c r="AN915" s="80">
        <f t="shared" si="4"/>
        <v>0</v>
      </c>
      <c r="AO915" s="140">
        <v>0.0</v>
      </c>
      <c r="AP915" s="109">
        <v>0.0</v>
      </c>
      <c r="AQ915" s="109">
        <v>84.0</v>
      </c>
      <c r="AR915" s="80">
        <f t="shared" si="5"/>
        <v>84</v>
      </c>
      <c r="AS915" s="110">
        <v>0.0</v>
      </c>
      <c r="AT915" s="110">
        <v>25.0</v>
      </c>
      <c r="AU915" s="110">
        <v>82.0</v>
      </c>
      <c r="AV915" s="142">
        <v>38.0</v>
      </c>
      <c r="AW915" s="80">
        <f t="shared" si="6"/>
        <v>145</v>
      </c>
      <c r="AX915" s="113">
        <f t="shared" si="7"/>
        <v>711</v>
      </c>
      <c r="AY915" s="117">
        <f t="shared" si="8"/>
        <v>545</v>
      </c>
      <c r="AZ915" s="120">
        <f t="shared" si="9"/>
        <v>166</v>
      </c>
      <c r="BA915" s="115">
        <v>0.0</v>
      </c>
      <c r="BB915" s="89">
        <f t="shared" si="10"/>
        <v>711</v>
      </c>
      <c r="BC915" s="132" t="s">
        <v>178</v>
      </c>
      <c r="BD915" s="132" t="s">
        <v>178</v>
      </c>
      <c r="BE915" s="132" t="s">
        <v>178</v>
      </c>
      <c r="BF915" s="123"/>
      <c r="BG915" s="83">
        <v>1122861.0</v>
      </c>
      <c r="BH915" s="112"/>
      <c r="BI915" s="112">
        <v>9.0</v>
      </c>
      <c r="BJ915" s="98" t="s">
        <v>155</v>
      </c>
      <c r="BK915" s="99">
        <f t="shared" si="11"/>
        <v>400</v>
      </c>
      <c r="BL915" s="99">
        <f t="shared" si="12"/>
        <v>145</v>
      </c>
      <c r="BM915" s="99" t="str">
        <f>IFERROR(__xludf.DUMMYFUNCTION("IFERROR(VLOOKUP(BG915,IMPORTRANGE(""https://docs.google.com/spreadsheets/d/1juPI-Fb8LD0YtltB2mlGEnp_R3UVu1t3wSFPzgCyHXE/edit?gid=0#gid=0"",""GERAL!A2:C""),3,0),""-"")"),"-")</f>
        <v>-</v>
      </c>
    </row>
    <row r="916" ht="15.75" customHeight="1">
      <c r="A916" s="111" t="s">
        <v>1090</v>
      </c>
      <c r="B916" s="83" t="s">
        <v>4625</v>
      </c>
      <c r="C916" s="83" t="s">
        <v>68</v>
      </c>
      <c r="D916" s="112">
        <v>1160771.0</v>
      </c>
      <c r="E916" s="83"/>
      <c r="F916" s="83">
        <v>2.9140633E7</v>
      </c>
      <c r="G916" s="119" t="s">
        <v>4627</v>
      </c>
      <c r="H916" s="91" t="s">
        <v>4628</v>
      </c>
      <c r="I916" s="136" t="s">
        <v>149</v>
      </c>
      <c r="J916" s="136" t="s">
        <v>150</v>
      </c>
      <c r="K916" s="136" t="s">
        <v>1685</v>
      </c>
      <c r="L916" s="83" t="s">
        <v>152</v>
      </c>
      <c r="M916" s="82" t="str">
        <f>IFERROR(__xludf.DUMMYFUNCTION("IFERROR(VLOOKUP(D916,
IMPORTRANGE(""https://docs.google.com/spreadsheets/d/1MjHtlUikwobi2MaWJgy7tfLeBmhj1u-dRFRs_8GwSoA/edit#gid=0"",""Gestores Escolares!D7:J""),3,0),""VERIFICAR CÓD SEC"")"),"MARIANA CARNEIRO SANTANA")</f>
        <v>MARIANA CARNEIRO SANTANA</v>
      </c>
      <c r="N916" s="82" t="str">
        <f>IFERROR(__xludf.DUMMYFUNCTION("IFERROR(VLOOKUP(D916,
IMPORTRANGE(""https://docs.google.com/spreadsheets/d/1MjHtlUikwobi2MaWJgy7tfLeBmhj1u-dRFRs_8GwSoA/edit#gid=0"",""Gestores Escolares!D7:J""),4,0),""VERIFICAR CÓD SEC"")"),"(75) 9 8233-4202")</f>
        <v>(75) 9 8233-4202</v>
      </c>
      <c r="O916" s="82" t="str">
        <f>IFERROR(__xludf.DUMMYFUNCTION("IFERROR(VLOOKUP(D916,
IMPORTRANGE(""https://docs.google.com/spreadsheets/d/1MjHtlUikwobi2MaWJgy7tfLeBmhj1u-dRFRs_8GwSoA/edit#gid=0"",""Gestores Escolares!D7:J""),6,0),""VERIFICAR CÓD SEC"")"),"RENILDA CARNEIRO OLIVEIRA")</f>
        <v>RENILDA CARNEIRO OLIVEIRA</v>
      </c>
      <c r="P916" s="82" t="str">
        <f>IFERROR(__xludf.DUMMYFUNCTION("IFERROR(VLOOKUP(D916,
IMPORTRANGE(""https://docs.google.com/spreadsheets/d/1MjHtlUikwobi2MaWJgy7tfLeBmhj1u-dRFRs_8GwSoA/edit#gid=0"",""Gestores Escolares!D7:J""),7,0),""VERIFICAR CÓD SEC"")"),"(75) 9 8206-5228")</f>
        <v>(75) 9 8206-5228</v>
      </c>
      <c r="Q916" s="82" t="str">
        <f>IFERROR(__xludf.DUMMYFUNCTION("IFERROR(VLOOKUP(D916,
IMPORTRANGE(""https://docs.google.com/spreadsheets/d/1MjHtlUikwobi2MaWJgy7tfLeBmhj1u-dRFRs_8GwSoA/edit#gid=0"",""Gestores Escolares!D7:m""),9,0),""VERIFICAR CÓD SEC"")"),"ANA CARULINA OLIVEIRA DE JESUS DA SILVA")</f>
        <v>ANA CARULINA OLIVEIRA DE JESUS DA SILVA</v>
      </c>
      <c r="R916" s="82" t="str">
        <f>IFERROR(__xludf.DUMMYFUNCTION("IFERROR(VLOOKUP(D916,
IMPORTRANGE(""https://docs.google.com/spreadsheets/d/1MjHtlUikwobi2MaWJgy7tfLeBmhj1u-dRFRs_8GwSoA/edit#gid=0"",""Gestores Escolares!D7:m""),10,0),""VERIFICAR CÓD SEC"")"),"(75) 9 8297-0570")</f>
        <v>(75) 9 8297-0570</v>
      </c>
      <c r="S916" s="82"/>
      <c r="T916" s="138">
        <v>7.0</v>
      </c>
      <c r="U916" s="145">
        <v>7.0</v>
      </c>
      <c r="V916" s="106">
        <v>0.0</v>
      </c>
      <c r="W916" s="107">
        <v>0.0</v>
      </c>
      <c r="X916" s="107">
        <v>0.0</v>
      </c>
      <c r="Y916" s="107">
        <v>0.0</v>
      </c>
      <c r="Z916" s="80">
        <f t="shared" si="1"/>
        <v>0</v>
      </c>
      <c r="AA916" s="106">
        <v>0.0</v>
      </c>
      <c r="AB916" s="107">
        <v>0.0</v>
      </c>
      <c r="AC916" s="107">
        <v>0.0</v>
      </c>
      <c r="AD916" s="107">
        <v>0.0</v>
      </c>
      <c r="AE916" s="80">
        <f t="shared" si="2"/>
        <v>0</v>
      </c>
      <c r="AF916" s="140">
        <v>0.0</v>
      </c>
      <c r="AG916" s="109">
        <v>0.0</v>
      </c>
      <c r="AH916" s="109">
        <v>0.0</v>
      </c>
      <c r="AI916" s="141">
        <v>173.0</v>
      </c>
      <c r="AJ916" s="80">
        <f t="shared" si="3"/>
        <v>173</v>
      </c>
      <c r="AK916" s="140">
        <v>0.0</v>
      </c>
      <c r="AL916" s="109">
        <v>0.0</v>
      </c>
      <c r="AM916" s="141">
        <v>0.0</v>
      </c>
      <c r="AN916" s="80">
        <f t="shared" si="4"/>
        <v>0</v>
      </c>
      <c r="AO916" s="140">
        <v>0.0</v>
      </c>
      <c r="AP916" s="109">
        <v>0.0</v>
      </c>
      <c r="AQ916" s="109">
        <v>44.0</v>
      </c>
      <c r="AR916" s="80">
        <f t="shared" si="5"/>
        <v>44</v>
      </c>
      <c r="AS916" s="110">
        <v>0.0</v>
      </c>
      <c r="AT916" s="110">
        <v>0.0</v>
      </c>
      <c r="AU916" s="110">
        <v>0.0</v>
      </c>
      <c r="AV916" s="142">
        <v>57.0</v>
      </c>
      <c r="AW916" s="80">
        <f t="shared" si="6"/>
        <v>57</v>
      </c>
      <c r="AX916" s="113">
        <f t="shared" si="7"/>
        <v>274</v>
      </c>
      <c r="AY916" s="117">
        <f t="shared" si="8"/>
        <v>230</v>
      </c>
      <c r="AZ916" s="120">
        <f t="shared" si="9"/>
        <v>44</v>
      </c>
      <c r="BA916" s="115">
        <v>0.0</v>
      </c>
      <c r="BB916" s="89">
        <f t="shared" si="10"/>
        <v>274</v>
      </c>
      <c r="BC916" s="132" t="s">
        <v>178</v>
      </c>
      <c r="BD916" s="132" t="s">
        <v>178</v>
      </c>
      <c r="BE916" s="132" t="s">
        <v>178</v>
      </c>
      <c r="BF916" s="156"/>
      <c r="BG916" s="83">
        <v>1160771.0</v>
      </c>
      <c r="BH916" s="112"/>
      <c r="BI916" s="112">
        <v>7.0</v>
      </c>
      <c r="BJ916" s="98" t="s">
        <v>155</v>
      </c>
      <c r="BK916" s="99">
        <f t="shared" si="11"/>
        <v>230</v>
      </c>
      <c r="BL916" s="99">
        <f t="shared" si="12"/>
        <v>0</v>
      </c>
      <c r="BM916" s="99" t="str">
        <f>IFERROR(__xludf.DUMMYFUNCTION("IFERROR(VLOOKUP(BG916,IMPORTRANGE(""https://docs.google.com/spreadsheets/d/1juPI-Fb8LD0YtltB2mlGEnp_R3UVu1t3wSFPzgCyHXE/edit?gid=0#gid=0"",""GERAL!A2:C""),3,0),""-"")"),"-")</f>
        <v>-</v>
      </c>
    </row>
    <row r="917" ht="15.75" customHeight="1">
      <c r="A917" s="111" t="s">
        <v>1090</v>
      </c>
      <c r="B917" s="83" t="s">
        <v>4630</v>
      </c>
      <c r="C917" s="83" t="s">
        <v>68</v>
      </c>
      <c r="D917" s="112">
        <v>1106840.0</v>
      </c>
      <c r="E917" s="83"/>
      <c r="F917" s="83">
        <v>2.9141044E7</v>
      </c>
      <c r="G917" s="119" t="s">
        <v>4631</v>
      </c>
      <c r="H917" s="108" t="s">
        <v>4632</v>
      </c>
      <c r="I917" s="83" t="s">
        <v>149</v>
      </c>
      <c r="J917" s="83" t="s">
        <v>150</v>
      </c>
      <c r="K917" s="83" t="s">
        <v>1685</v>
      </c>
      <c r="L917" s="83" t="s">
        <v>152</v>
      </c>
      <c r="M917" s="82" t="str">
        <f>IFERROR(__xludf.DUMMYFUNCTION("IFERROR(VLOOKUP(D917,
IMPORTRANGE(""https://docs.google.com/spreadsheets/d/1MjHtlUikwobi2MaWJgy7tfLeBmhj1u-dRFRs_8GwSoA/edit#gid=0"",""Gestores Escolares!D7:J""),3,0),""VERIFICAR CÓD SEC"")"),"MIGUEL ANGELO DA SILVA OLIVEIRA")</f>
        <v>MIGUEL ANGELO DA SILVA OLIVEIRA</v>
      </c>
      <c r="N917" s="82" t="str">
        <f>IFERROR(__xludf.DUMMYFUNCTION("IFERROR(VLOOKUP(D917,
IMPORTRANGE(""https://docs.google.com/spreadsheets/d/1MjHtlUikwobi2MaWJgy7tfLeBmhj1u-dRFRs_8GwSoA/edit#gid=0"",""Gestores Escolares!D7:J""),4,0),""VERIFICAR CÓD SEC"")"),"(75) 9 9199-2654")</f>
        <v>(75) 9 9199-2654</v>
      </c>
      <c r="O917" s="82" t="str">
        <f>IFERROR(__xludf.DUMMYFUNCTION("IFERROR(VLOOKUP(D917,
IMPORTRANGE(""https://docs.google.com/spreadsheets/d/1MjHtlUikwobi2MaWJgy7tfLeBmhj1u-dRFRs_8GwSoA/edit#gid=0"",""Gestores Escolares!D7:J""),6,0),""VERIFICAR CÓD SEC"")"),"LUDMILLA ALMEIDA SANTANA")</f>
        <v>LUDMILLA ALMEIDA SANTANA</v>
      </c>
      <c r="P917" s="82" t="str">
        <f>IFERROR(__xludf.DUMMYFUNCTION("IFERROR(VLOOKUP(D917,
IMPORTRANGE(""https://docs.google.com/spreadsheets/d/1MjHtlUikwobi2MaWJgy7tfLeBmhj1u-dRFRs_8GwSoA/edit#gid=0"",""Gestores Escolares!D7:J""),7,0),""VERIFICAR CÓD SEC"")"),"(75) 9 8123-5188")</f>
        <v>(75) 9 8123-5188</v>
      </c>
      <c r="Q917" s="82" t="str">
        <f>IFERROR(__xludf.DUMMYFUNCTION("IFERROR(VLOOKUP(D917,
IMPORTRANGE(""https://docs.google.com/spreadsheets/d/1MjHtlUikwobi2MaWJgy7tfLeBmhj1u-dRFRs_8GwSoA/edit#gid=0"",""Gestores Escolares!D7:m""),9,0),""VERIFICAR CÓD SEC"")"),"ROSA VIRGINIA RIOS DE OLIVEIRA")</f>
        <v>ROSA VIRGINIA RIOS DE OLIVEIRA</v>
      </c>
      <c r="R917" s="82" t="str">
        <f>IFERROR(__xludf.DUMMYFUNCTION("IFERROR(VLOOKUP(D917,
IMPORTRANGE(""https://docs.google.com/spreadsheets/d/1MjHtlUikwobi2MaWJgy7tfLeBmhj1u-dRFRs_8GwSoA/edit#gid=0"",""Gestores Escolares!D7:m""),10,0),""VERIFICAR CÓD SEC"")"),"(75) 98101-6505")</f>
        <v>(75) 98101-6505</v>
      </c>
      <c r="S917" s="82"/>
      <c r="T917" s="138">
        <v>13.0</v>
      </c>
      <c r="U917" s="145">
        <v>12.0</v>
      </c>
      <c r="V917" s="106">
        <v>0.0</v>
      </c>
      <c r="W917" s="107">
        <v>0.0</v>
      </c>
      <c r="X917" s="107">
        <v>0.0</v>
      </c>
      <c r="Y917" s="107">
        <v>0.0</v>
      </c>
      <c r="Z917" s="80">
        <f t="shared" si="1"/>
        <v>0</v>
      </c>
      <c r="AA917" s="106">
        <v>0.0</v>
      </c>
      <c r="AB917" s="107">
        <v>0.0</v>
      </c>
      <c r="AC917" s="107">
        <v>0.0</v>
      </c>
      <c r="AD917" s="107">
        <v>0.0</v>
      </c>
      <c r="AE917" s="80">
        <f t="shared" si="2"/>
        <v>0</v>
      </c>
      <c r="AF917" s="140">
        <v>0.0</v>
      </c>
      <c r="AG917" s="109">
        <v>0.0</v>
      </c>
      <c r="AH917" s="109">
        <v>0.0</v>
      </c>
      <c r="AI917" s="141">
        <v>456.0</v>
      </c>
      <c r="AJ917" s="80">
        <f t="shared" si="3"/>
        <v>456</v>
      </c>
      <c r="AK917" s="140">
        <v>0.0</v>
      </c>
      <c r="AL917" s="109">
        <v>0.0</v>
      </c>
      <c r="AM917" s="141">
        <v>0.0</v>
      </c>
      <c r="AN917" s="80">
        <f t="shared" si="4"/>
        <v>0</v>
      </c>
      <c r="AO917" s="140">
        <v>0.0</v>
      </c>
      <c r="AP917" s="109">
        <v>0.0</v>
      </c>
      <c r="AQ917" s="109">
        <v>129.0</v>
      </c>
      <c r="AR917" s="80">
        <f t="shared" si="5"/>
        <v>129</v>
      </c>
      <c r="AS917" s="110">
        <v>0.0</v>
      </c>
      <c r="AT917" s="110">
        <v>0.0</v>
      </c>
      <c r="AU917" s="110">
        <v>0.0</v>
      </c>
      <c r="AV917" s="142">
        <v>26.0</v>
      </c>
      <c r="AW917" s="80">
        <f t="shared" si="6"/>
        <v>26</v>
      </c>
      <c r="AX917" s="113">
        <f t="shared" si="7"/>
        <v>611</v>
      </c>
      <c r="AY917" s="117">
        <f t="shared" si="8"/>
        <v>482</v>
      </c>
      <c r="AZ917" s="120">
        <f t="shared" si="9"/>
        <v>129</v>
      </c>
      <c r="BA917" s="115">
        <v>0.0</v>
      </c>
      <c r="BB917" s="89">
        <f t="shared" si="10"/>
        <v>611</v>
      </c>
      <c r="BC917" s="132" t="s">
        <v>178</v>
      </c>
      <c r="BD917" s="132" t="s">
        <v>178</v>
      </c>
      <c r="BE917" s="132" t="s">
        <v>178</v>
      </c>
      <c r="BF917" s="123"/>
      <c r="BG917" s="83">
        <v>1106840.0</v>
      </c>
      <c r="BH917" s="112"/>
      <c r="BI917" s="112">
        <v>10.0</v>
      </c>
      <c r="BJ917" s="98" t="s">
        <v>155</v>
      </c>
      <c r="BK917" s="99">
        <f t="shared" si="11"/>
        <v>482</v>
      </c>
      <c r="BL917" s="99">
        <f t="shared" si="12"/>
        <v>0</v>
      </c>
      <c r="BM917" s="99" t="str">
        <f>IFERROR(__xludf.DUMMYFUNCTION("IFERROR(VLOOKUP(BG917,IMPORTRANGE(""https://docs.google.com/spreadsheets/d/1juPI-Fb8LD0YtltB2mlGEnp_R3UVu1t3wSFPzgCyHXE/edit?gid=0#gid=0"",""GERAL!A2:C""),3,0),""-"")"),"-")</f>
        <v>-</v>
      </c>
    </row>
    <row r="918" ht="15.75" customHeight="1">
      <c r="A918" s="111" t="s">
        <v>1090</v>
      </c>
      <c r="B918" s="83" t="s">
        <v>4640</v>
      </c>
      <c r="C918" s="83" t="s">
        <v>68</v>
      </c>
      <c r="D918" s="112">
        <v>1107234.0</v>
      </c>
      <c r="E918" s="83"/>
      <c r="F918" s="83">
        <v>2.9105684E7</v>
      </c>
      <c r="G918" s="119" t="s">
        <v>4641</v>
      </c>
      <c r="H918" s="91" t="s">
        <v>4642</v>
      </c>
      <c r="I918" s="83" t="s">
        <v>149</v>
      </c>
      <c r="J918" s="83" t="s">
        <v>150</v>
      </c>
      <c r="K918" s="83" t="s">
        <v>1685</v>
      </c>
      <c r="L918" s="83" t="s">
        <v>152</v>
      </c>
      <c r="M918" s="82" t="str">
        <f>IFERROR(__xludf.DUMMYFUNCTION("IFERROR(VLOOKUP(D918,
IMPORTRANGE(""https://docs.google.com/spreadsheets/d/1MjHtlUikwobi2MaWJgy7tfLeBmhj1u-dRFRs_8GwSoA/edit#gid=0"",""Gestores Escolares!D7:J""),3,0),""VERIFICAR CÓD SEC"")"),"MARIA NILZA NUNES DE ALMEIDA")</f>
        <v>MARIA NILZA NUNES DE ALMEIDA</v>
      </c>
      <c r="N918" s="82" t="str">
        <f>IFERROR(__xludf.DUMMYFUNCTION("IFERROR(VLOOKUP(D918,
IMPORTRANGE(""https://docs.google.com/spreadsheets/d/1MjHtlUikwobi2MaWJgy7tfLeBmhj1u-dRFRs_8GwSoA/edit#gid=0"",""Gestores Escolares!D7:J""),4,0),""VERIFICAR CÓD SEC"")"),"(75) 9 8298-3984")</f>
        <v>(75) 9 8298-3984</v>
      </c>
      <c r="O918" s="82" t="str">
        <f>IFERROR(__xludf.DUMMYFUNCTION("IFERROR(VLOOKUP(D918,
IMPORTRANGE(""https://docs.google.com/spreadsheets/d/1MjHtlUikwobi2MaWJgy7tfLeBmhj1u-dRFRs_8GwSoA/edit#gid=0"",""Gestores Escolares!D7:J""),6,0),""VERIFICAR CÓD SEC"")"),"ELIEIDE LIMA SANTOS DE JESUS")</f>
        <v>ELIEIDE LIMA SANTOS DE JESUS</v>
      </c>
      <c r="P918" s="82" t="str">
        <f>IFERROR(__xludf.DUMMYFUNCTION("IFERROR(VLOOKUP(D918,
IMPORTRANGE(""https://docs.google.com/spreadsheets/d/1MjHtlUikwobi2MaWJgy7tfLeBmhj1u-dRFRs_8GwSoA/edit#gid=0"",""Gestores Escolares!D7:J""),7,0),""VERIFICAR CÓD SEC"")"),"(75) 9 8142-5654")</f>
        <v>(75) 9 8142-5654</v>
      </c>
      <c r="Q918" s="82" t="str">
        <f>IFERROR(__xludf.DUMMYFUNCTION("IFERROR(VLOOKUP(D918,
IMPORTRANGE(""https://docs.google.com/spreadsheets/d/1MjHtlUikwobi2MaWJgy7tfLeBmhj1u-dRFRs_8GwSoA/edit#gid=0"",""Gestores Escolares!D7:m""),9,0),""VERIFICAR CÓD SEC"")"),"NATALINA SOUZA SILVA")</f>
        <v>NATALINA SOUZA SILVA</v>
      </c>
      <c r="R918" s="82" t="str">
        <f>IFERROR(__xludf.DUMMYFUNCTION("IFERROR(VLOOKUP(D918,
IMPORTRANGE(""https://docs.google.com/spreadsheets/d/1MjHtlUikwobi2MaWJgy7tfLeBmhj1u-dRFRs_8GwSoA/edit#gid=0"",""Gestores Escolares!D7:m""),10,0),""VERIFICAR CÓD SEC"")"),"(75) 9 9189-9087")</f>
        <v>(75) 9 9189-9087</v>
      </c>
      <c r="S918" s="82"/>
      <c r="T918" s="138">
        <v>10.0</v>
      </c>
      <c r="U918" s="145">
        <v>12.0</v>
      </c>
      <c r="V918" s="106">
        <v>0.0</v>
      </c>
      <c r="W918" s="107">
        <v>0.0</v>
      </c>
      <c r="X918" s="107">
        <v>0.0</v>
      </c>
      <c r="Y918" s="107">
        <v>0.0</v>
      </c>
      <c r="Z918" s="80">
        <f t="shared" si="1"/>
        <v>0</v>
      </c>
      <c r="AA918" s="106">
        <v>0.0</v>
      </c>
      <c r="AB918" s="107">
        <v>0.0</v>
      </c>
      <c r="AC918" s="107">
        <v>0.0</v>
      </c>
      <c r="AD918" s="107">
        <v>0.0</v>
      </c>
      <c r="AE918" s="80">
        <f t="shared" si="2"/>
        <v>0</v>
      </c>
      <c r="AF918" s="140">
        <v>0.0</v>
      </c>
      <c r="AG918" s="109">
        <v>0.0</v>
      </c>
      <c r="AH918" s="109">
        <v>16.0</v>
      </c>
      <c r="AI918" s="141">
        <v>254.0</v>
      </c>
      <c r="AJ918" s="80">
        <f t="shared" si="3"/>
        <v>270</v>
      </c>
      <c r="AK918" s="140">
        <v>0.0</v>
      </c>
      <c r="AL918" s="109">
        <v>0.0</v>
      </c>
      <c r="AM918" s="141">
        <v>0.0</v>
      </c>
      <c r="AN918" s="80">
        <f t="shared" si="4"/>
        <v>0</v>
      </c>
      <c r="AO918" s="140">
        <v>0.0</v>
      </c>
      <c r="AP918" s="109">
        <v>0.0</v>
      </c>
      <c r="AQ918" s="109">
        <v>33.0</v>
      </c>
      <c r="AR918" s="80">
        <f t="shared" si="5"/>
        <v>33</v>
      </c>
      <c r="AS918" s="110">
        <v>0.0</v>
      </c>
      <c r="AT918" s="110">
        <v>0.0</v>
      </c>
      <c r="AU918" s="110">
        <v>0.0</v>
      </c>
      <c r="AV918" s="142">
        <v>43.0</v>
      </c>
      <c r="AW918" s="80">
        <f t="shared" si="6"/>
        <v>43</v>
      </c>
      <c r="AX918" s="113">
        <f t="shared" si="7"/>
        <v>346</v>
      </c>
      <c r="AY918" s="117">
        <f t="shared" si="8"/>
        <v>297</v>
      </c>
      <c r="AZ918" s="120">
        <f t="shared" si="9"/>
        <v>49</v>
      </c>
      <c r="BA918" s="115">
        <v>0.0</v>
      </c>
      <c r="BB918" s="89">
        <f t="shared" si="10"/>
        <v>346</v>
      </c>
      <c r="BC918" s="132" t="s">
        <v>178</v>
      </c>
      <c r="BD918" s="132" t="s">
        <v>178</v>
      </c>
      <c r="BE918" s="132" t="s">
        <v>178</v>
      </c>
      <c r="BF918" s="123"/>
      <c r="BG918" s="83">
        <v>1107234.0</v>
      </c>
      <c r="BH918" s="98"/>
      <c r="BI918" s="98">
        <v>10.0</v>
      </c>
      <c r="BJ918" s="98" t="s">
        <v>155</v>
      </c>
      <c r="BK918" s="99">
        <f t="shared" si="11"/>
        <v>297</v>
      </c>
      <c r="BL918" s="99">
        <f t="shared" si="12"/>
        <v>0</v>
      </c>
      <c r="BM918" s="99" t="str">
        <f>IFERROR(__xludf.DUMMYFUNCTION("IFERROR(VLOOKUP(BG918,IMPORTRANGE(""https://docs.google.com/spreadsheets/d/1juPI-Fb8LD0YtltB2mlGEnp_R3UVu1t3wSFPzgCyHXE/edit?gid=0#gid=0"",""GERAL!A2:C""),3,0),""-"")"),"-")</f>
        <v>-</v>
      </c>
    </row>
    <row r="919" ht="15.75" customHeight="1">
      <c r="A919" s="111" t="s">
        <v>1090</v>
      </c>
      <c r="B919" s="83" t="s">
        <v>4652</v>
      </c>
      <c r="C919" s="83" t="s">
        <v>45</v>
      </c>
      <c r="D919" s="112">
        <v>1178385.0</v>
      </c>
      <c r="E919" s="83"/>
      <c r="F919" s="83">
        <v>2.9367263E7</v>
      </c>
      <c r="G919" s="114" t="s">
        <v>4653</v>
      </c>
      <c r="H919" s="91" t="s">
        <v>4654</v>
      </c>
      <c r="I919" s="83" t="s">
        <v>4655</v>
      </c>
      <c r="J919" s="229" t="s">
        <v>327</v>
      </c>
      <c r="K919" s="83" t="s">
        <v>171</v>
      </c>
      <c r="L919" s="98" t="s">
        <v>76</v>
      </c>
      <c r="M919" s="82" t="str">
        <f>IFERROR(__xludf.DUMMYFUNCTION("IFERROR(VLOOKUP(D919,
IMPORTRANGE(""https://docs.google.com/spreadsheets/d/1MjHtlUikwobi2MaWJgy7tfLeBmhj1u-dRFRs_8GwSoA/edit#gid=0"",""Gestores Escolares!D7:J""),3,0),""VERIFICAR CÓD SEC"")"),"IRACEMA LIMA DOS SANTOS")</f>
        <v>IRACEMA LIMA DOS SANTOS</v>
      </c>
      <c r="N919" s="82" t="str">
        <f>IFERROR(__xludf.DUMMYFUNCTION("IFERROR(VLOOKUP(D919,
IMPORTRANGE(""https://docs.google.com/spreadsheets/d/1MjHtlUikwobi2MaWJgy7tfLeBmhj1u-dRFRs_8GwSoA/edit#gid=0"",""Gestores Escolares!D7:J""),4,0),""VERIFICAR CÓD SEC"")"),"(74) 9 9115-4561")</f>
        <v>(74) 9 9115-4561</v>
      </c>
      <c r="O919" s="82" t="str">
        <f>IFERROR(__xludf.DUMMYFUNCTION("IFERROR(VLOOKUP(D919,
IMPORTRANGE(""https://docs.google.com/spreadsheets/d/1MjHtlUikwobi2MaWJgy7tfLeBmhj1u-dRFRs_8GwSoA/edit#gid=0"",""Gestores Escolares!D7:J""),6,0),""VERIFICAR CÓD SEC"")"),"")</f>
        <v/>
      </c>
      <c r="P919" s="82" t="str">
        <f>IFERROR(__xludf.DUMMYFUNCTION("IFERROR(VLOOKUP(D919,
IMPORTRANGE(""https://docs.google.com/spreadsheets/d/1MjHtlUikwobi2MaWJgy7tfLeBmhj1u-dRFRs_8GwSoA/edit#gid=0"",""Gestores Escolares!D7:J""),7,0),""VERIFICAR CÓD SEC"")"),"")</f>
        <v/>
      </c>
      <c r="Q919" s="82" t="str">
        <f>IFERROR(__xludf.DUMMYFUNCTION("IFERROR(VLOOKUP(D919,
IMPORTRANGE(""https://docs.google.com/spreadsheets/d/1MjHtlUikwobi2MaWJgy7tfLeBmhj1u-dRFRs_8GwSoA/edit#gid=0"",""Gestores Escolares!D7:m""),9,0),""VERIFICAR CÓD SEC"")"),"")</f>
        <v/>
      </c>
      <c r="R919" s="82" t="str">
        <f>IFERROR(__xludf.DUMMYFUNCTION("IFERROR(VLOOKUP(D919,
IMPORTRANGE(""https://docs.google.com/spreadsheets/d/1MjHtlUikwobi2MaWJgy7tfLeBmhj1u-dRFRs_8GwSoA/edit#gid=0"",""Gestores Escolares!D7:m""),10,0),""VERIFICAR CÓD SEC"")"),"")</f>
        <v/>
      </c>
      <c r="S919" s="82"/>
      <c r="T919" s="138">
        <v>7.0</v>
      </c>
      <c r="U919" s="145">
        <v>4.0</v>
      </c>
      <c r="V919" s="106">
        <v>0.0</v>
      </c>
      <c r="W919" s="107">
        <v>0.0</v>
      </c>
      <c r="X919" s="107">
        <v>0.0</v>
      </c>
      <c r="Y919" s="107">
        <v>0.0</v>
      </c>
      <c r="Z919" s="80">
        <f t="shared" si="1"/>
        <v>0</v>
      </c>
      <c r="AA919" s="106">
        <v>0.0</v>
      </c>
      <c r="AB919" s="107">
        <v>0.0</v>
      </c>
      <c r="AC919" s="107">
        <v>0.0</v>
      </c>
      <c r="AD919" s="107">
        <v>51.0</v>
      </c>
      <c r="AE919" s="80">
        <f t="shared" si="2"/>
        <v>51</v>
      </c>
      <c r="AF919" s="225">
        <v>0.0</v>
      </c>
      <c r="AG919" s="226">
        <v>0.0</v>
      </c>
      <c r="AH919" s="226">
        <v>0.0</v>
      </c>
      <c r="AI919" s="227">
        <v>166.0</v>
      </c>
      <c r="AJ919" s="80">
        <f t="shared" si="3"/>
        <v>166</v>
      </c>
      <c r="AK919" s="140">
        <v>0.0</v>
      </c>
      <c r="AL919" s="109">
        <v>0.0</v>
      </c>
      <c r="AM919" s="141">
        <v>0.0</v>
      </c>
      <c r="AN919" s="80">
        <f t="shared" si="4"/>
        <v>0</v>
      </c>
      <c r="AO919" s="225">
        <v>0.0</v>
      </c>
      <c r="AP919" s="226">
        <v>0.0</v>
      </c>
      <c r="AQ919" s="226">
        <v>0.0</v>
      </c>
      <c r="AR919" s="80">
        <f t="shared" si="5"/>
        <v>0</v>
      </c>
      <c r="AS919" s="110">
        <v>0.0</v>
      </c>
      <c r="AT919" s="110">
        <v>0.0</v>
      </c>
      <c r="AU919" s="110">
        <v>0.0</v>
      </c>
      <c r="AV919" s="142">
        <v>0.0</v>
      </c>
      <c r="AW919" s="80">
        <f t="shared" si="6"/>
        <v>0</v>
      </c>
      <c r="AX919" s="113">
        <f t="shared" si="7"/>
        <v>217</v>
      </c>
      <c r="AY919" s="117">
        <f t="shared" si="8"/>
        <v>217</v>
      </c>
      <c r="AZ919" s="120">
        <f t="shared" si="9"/>
        <v>0</v>
      </c>
      <c r="BA919" s="115">
        <v>0.0</v>
      </c>
      <c r="BB919" s="89">
        <f t="shared" si="10"/>
        <v>217</v>
      </c>
      <c r="BC919" s="132" t="s">
        <v>178</v>
      </c>
      <c r="BD919" s="132" t="s">
        <v>178</v>
      </c>
      <c r="BE919" s="132" t="s">
        <v>178</v>
      </c>
      <c r="BF919" s="123"/>
      <c r="BG919" s="83">
        <v>1178385.0</v>
      </c>
      <c r="BH919" s="112"/>
      <c r="BI919" s="112">
        <v>7.0</v>
      </c>
      <c r="BJ919" s="98" t="s">
        <v>155</v>
      </c>
      <c r="BK919" s="99">
        <f t="shared" si="11"/>
        <v>217</v>
      </c>
      <c r="BL919" s="99">
        <f t="shared" si="12"/>
        <v>0</v>
      </c>
      <c r="BM919" s="99" t="str">
        <f>IFERROR(__xludf.DUMMYFUNCTION("IFERROR(VLOOKUP(BG919,IMPORTRANGE(""https://docs.google.com/spreadsheets/d/1juPI-Fb8LD0YtltB2mlGEnp_R3UVu1t3wSFPzgCyHXE/edit?gid=0#gid=0"",""GERAL!A2:C""),3,0),""-"")"),"EFA")</f>
        <v>EFA</v>
      </c>
    </row>
    <row r="920" ht="15.75" customHeight="1">
      <c r="A920" s="111" t="s">
        <v>1090</v>
      </c>
      <c r="B920" s="83" t="s">
        <v>4652</v>
      </c>
      <c r="C920" s="83" t="s">
        <v>68</v>
      </c>
      <c r="D920" s="112">
        <v>1122705.0</v>
      </c>
      <c r="E920" s="83"/>
      <c r="F920" s="83">
        <v>2.907754E7</v>
      </c>
      <c r="G920" s="610" t="s">
        <v>4657</v>
      </c>
      <c r="H920" s="91" t="s">
        <v>4658</v>
      </c>
      <c r="I920" s="83" t="s">
        <v>149</v>
      </c>
      <c r="J920" s="136" t="s">
        <v>150</v>
      </c>
      <c r="K920" s="83" t="s">
        <v>1685</v>
      </c>
      <c r="L920" s="83" t="s">
        <v>152</v>
      </c>
      <c r="M920" s="82" t="str">
        <f>IFERROR(__xludf.DUMMYFUNCTION("IFERROR(VLOOKUP(D920,
IMPORTRANGE(""https://docs.google.com/spreadsheets/d/1MjHtlUikwobi2MaWJgy7tfLeBmhj1u-dRFRs_8GwSoA/edit#gid=0"",""Gestores Escolares!D7:J""),3,0),""VERIFICAR CÓD SEC"")"),"LUÍZA EXDRA CARNEIRO")</f>
        <v>LUÍZA EXDRA CARNEIRO</v>
      </c>
      <c r="N920" s="82" t="str">
        <f>IFERROR(__xludf.DUMMYFUNCTION("IFERROR(VLOOKUP(D920,
IMPORTRANGE(""https://docs.google.com/spreadsheets/d/1MjHtlUikwobi2MaWJgy7tfLeBmhj1u-dRFRs_8GwSoA/edit#gid=0"",""Gestores Escolares!D7:J""),4,0),""VERIFICAR CÓD SEC"")"),"(74) 9 9143-3318/ 9 9923-2877")</f>
        <v>(74) 9 9143-3318/ 9 9923-2877</v>
      </c>
      <c r="O920" s="82" t="str">
        <f>IFERROR(__xludf.DUMMYFUNCTION("IFERROR(VLOOKUP(D920,
IMPORTRANGE(""https://docs.google.com/spreadsheets/d/1MjHtlUikwobi2MaWJgy7tfLeBmhj1u-dRFRs_8GwSoA/edit#gid=0"",""Gestores Escolares!D7:J""),6,0),""VERIFICAR CÓD SEC"")"),"IRIS VANESSA DE SOUSA SILVA")</f>
        <v>IRIS VANESSA DE SOUSA SILVA</v>
      </c>
      <c r="P920" s="82" t="str">
        <f>IFERROR(__xludf.DUMMYFUNCTION("IFERROR(VLOOKUP(D920,
IMPORTRANGE(""https://docs.google.com/spreadsheets/d/1MjHtlUikwobi2MaWJgy7tfLeBmhj1u-dRFRs_8GwSoA/edit#gid=0"",""Gestores Escolares!D7:J""),7,0),""VERIFICAR CÓD SEC"")"),"(74) 9 8106-6696")</f>
        <v>(74) 9 8106-6696</v>
      </c>
      <c r="Q920" s="82" t="str">
        <f>IFERROR(__xludf.DUMMYFUNCTION("IFERROR(VLOOKUP(D920,
IMPORTRANGE(""https://docs.google.com/spreadsheets/d/1MjHtlUikwobi2MaWJgy7tfLeBmhj1u-dRFRs_8GwSoA/edit#gid=0"",""Gestores Escolares!D7:m""),9,0),""VERIFICAR CÓD SEC"")"),"FLORICEA SILVA OLIVEIRA")</f>
        <v>FLORICEA SILVA OLIVEIRA</v>
      </c>
      <c r="R920" s="82" t="str">
        <f>IFERROR(__xludf.DUMMYFUNCTION("IFERROR(VLOOKUP(D920,
IMPORTRANGE(""https://docs.google.com/spreadsheets/d/1MjHtlUikwobi2MaWJgy7tfLeBmhj1u-dRFRs_8GwSoA/edit#gid=0"",""Gestores Escolares!D7:m""),10,0),""VERIFICAR CÓD SEC"")"),"(74) 9 9814-2786")</f>
        <v>(74) 9 9814-2786</v>
      </c>
      <c r="S920" s="82"/>
      <c r="T920" s="138">
        <v>9.0</v>
      </c>
      <c r="U920" s="145" t="s">
        <v>12549</v>
      </c>
      <c r="V920" s="106">
        <v>0.0</v>
      </c>
      <c r="W920" s="107">
        <v>0.0</v>
      </c>
      <c r="X920" s="107">
        <v>0.0</v>
      </c>
      <c r="Y920" s="107">
        <v>0.0</v>
      </c>
      <c r="Z920" s="80">
        <f t="shared" si="1"/>
        <v>0</v>
      </c>
      <c r="AA920" s="106">
        <v>0.0</v>
      </c>
      <c r="AB920" s="107">
        <v>0.0</v>
      </c>
      <c r="AC920" s="107">
        <v>0.0</v>
      </c>
      <c r="AD920" s="107">
        <v>0.0</v>
      </c>
      <c r="AE920" s="80">
        <f t="shared" si="2"/>
        <v>0</v>
      </c>
      <c r="AF920" s="140">
        <v>0.0</v>
      </c>
      <c r="AG920" s="109">
        <v>135.0</v>
      </c>
      <c r="AH920" s="109">
        <v>0.0</v>
      </c>
      <c r="AI920" s="141">
        <v>75.0</v>
      </c>
      <c r="AJ920" s="80">
        <f t="shared" si="3"/>
        <v>210</v>
      </c>
      <c r="AK920" s="140">
        <v>0.0</v>
      </c>
      <c r="AL920" s="109">
        <v>0.0</v>
      </c>
      <c r="AM920" s="141">
        <v>0.0</v>
      </c>
      <c r="AN920" s="80">
        <f t="shared" si="4"/>
        <v>0</v>
      </c>
      <c r="AO920" s="140">
        <v>0.0</v>
      </c>
      <c r="AP920" s="109">
        <v>0.0</v>
      </c>
      <c r="AQ920" s="109">
        <v>84.0</v>
      </c>
      <c r="AR920" s="80">
        <f t="shared" si="5"/>
        <v>84</v>
      </c>
      <c r="AS920" s="110">
        <v>0.0</v>
      </c>
      <c r="AT920" s="110">
        <v>0.0</v>
      </c>
      <c r="AU920" s="110">
        <v>0.0</v>
      </c>
      <c r="AV920" s="142">
        <v>75.0</v>
      </c>
      <c r="AW920" s="80">
        <f t="shared" si="6"/>
        <v>75</v>
      </c>
      <c r="AX920" s="113">
        <f t="shared" si="7"/>
        <v>369</v>
      </c>
      <c r="AY920" s="117">
        <f t="shared" si="8"/>
        <v>285</v>
      </c>
      <c r="AZ920" s="120">
        <f t="shared" si="9"/>
        <v>84</v>
      </c>
      <c r="BA920" s="115">
        <v>2.0</v>
      </c>
      <c r="BB920" s="89">
        <f t="shared" si="10"/>
        <v>371</v>
      </c>
      <c r="BC920" s="132" t="s">
        <v>178</v>
      </c>
      <c r="BD920" s="132" t="s">
        <v>178</v>
      </c>
      <c r="BE920" s="132" t="s">
        <v>178</v>
      </c>
      <c r="BF920" s="123"/>
      <c r="BG920" s="83">
        <v>1122705.0</v>
      </c>
      <c r="BH920" s="112"/>
      <c r="BI920" s="112">
        <v>8.0</v>
      </c>
      <c r="BJ920" s="98" t="s">
        <v>155</v>
      </c>
      <c r="BK920" s="99">
        <f t="shared" si="11"/>
        <v>150</v>
      </c>
      <c r="BL920" s="99">
        <f t="shared" si="12"/>
        <v>135</v>
      </c>
      <c r="BM920" s="99" t="str">
        <f>IFERROR(__xludf.DUMMYFUNCTION("IFERROR(VLOOKUP(BG920,IMPORTRANGE(""https://docs.google.com/spreadsheets/d/1juPI-Fb8LD0YtltB2mlGEnp_R3UVu1t3wSFPzgCyHXE/edit?gid=0#gid=0"",""GERAL!A2:C""),3,0),""-"")"),"-")</f>
        <v>-</v>
      </c>
    </row>
    <row r="921" ht="15.75" customHeight="1">
      <c r="A921" s="111" t="s">
        <v>1090</v>
      </c>
      <c r="B921" s="83" t="s">
        <v>4667</v>
      </c>
      <c r="C921" s="83" t="s">
        <v>68</v>
      </c>
      <c r="D921" s="112">
        <v>1160828.0</v>
      </c>
      <c r="E921" s="83"/>
      <c r="F921" s="83">
        <v>2.9143942E7</v>
      </c>
      <c r="G921" s="114" t="s">
        <v>4668</v>
      </c>
      <c r="H921" s="91" t="s">
        <v>4669</v>
      </c>
      <c r="I921" s="83" t="s">
        <v>149</v>
      </c>
      <c r="J921" s="83" t="s">
        <v>1460</v>
      </c>
      <c r="K921" s="83" t="s">
        <v>1685</v>
      </c>
      <c r="L921" s="83" t="s">
        <v>169</v>
      </c>
      <c r="M921" s="82" t="str">
        <f>IFERROR(__xludf.DUMMYFUNCTION("IFERROR(VLOOKUP(D921,
IMPORTRANGE(""https://docs.google.com/spreadsheets/d/1MjHtlUikwobi2MaWJgy7tfLeBmhj1u-dRFRs_8GwSoA/edit#gid=0"",""Gestores Escolares!D7:J""),3,0),""VERIFICAR CÓD SEC"")"),"MARIA LUIZA SILVA LIMA")</f>
        <v>MARIA LUIZA SILVA LIMA</v>
      </c>
      <c r="N921" s="82" t="str">
        <f>IFERROR(__xludf.DUMMYFUNCTION("IFERROR(VLOOKUP(D921,
IMPORTRANGE(""https://docs.google.com/spreadsheets/d/1MjHtlUikwobi2MaWJgy7tfLeBmhj1u-dRFRs_8GwSoA/edit#gid=0"",""Gestores Escolares!D7:J""),4,0),""VERIFICAR CÓD SEC"")"),"(75) 9 9194-3492")</f>
        <v>(75) 9 9194-3492</v>
      </c>
      <c r="O921" s="82" t="str">
        <f>IFERROR(__xludf.DUMMYFUNCTION("IFERROR(VLOOKUP(D921,
IMPORTRANGE(""https://docs.google.com/spreadsheets/d/1MjHtlUikwobi2MaWJgy7tfLeBmhj1u-dRFRs_8GwSoA/edit#gid=0"",""Gestores Escolares!D7:J""),6,0),""VERIFICAR CÓD SEC"")"),"ESTELITA DE FATIMA CARNEIRO")</f>
        <v>ESTELITA DE FATIMA CARNEIRO</v>
      </c>
      <c r="P921" s="82" t="str">
        <f>IFERROR(__xludf.DUMMYFUNCTION("IFERROR(VLOOKUP(D921,
IMPORTRANGE(""https://docs.google.com/spreadsheets/d/1MjHtlUikwobi2MaWJgy7tfLeBmhj1u-dRFRs_8GwSoA/edit#gid=0"",""Gestores Escolares!D7:J""),7,0),""VERIFICAR CÓD SEC"")"),"(75) 9 8372-7566")</f>
        <v>(75) 9 8372-7566</v>
      </c>
      <c r="Q921" s="82" t="str">
        <f>IFERROR(__xludf.DUMMYFUNCTION("IFERROR(VLOOKUP(D921,
IMPORTRANGE(""https://docs.google.com/spreadsheets/d/1MjHtlUikwobi2MaWJgy7tfLeBmhj1u-dRFRs_8GwSoA/edit#gid=0"",""Gestores Escolares!D7:m""),9,0),""VERIFICAR CÓD SEC"")"),"")</f>
        <v/>
      </c>
      <c r="R921" s="82" t="str">
        <f>IFERROR(__xludf.DUMMYFUNCTION("IFERROR(VLOOKUP(D921,
IMPORTRANGE(""https://docs.google.com/spreadsheets/d/1MjHtlUikwobi2MaWJgy7tfLeBmhj1u-dRFRs_8GwSoA/edit#gid=0"",""Gestores Escolares!D7:m""),10,0),""VERIFICAR CÓD SEC"")"),"")</f>
        <v/>
      </c>
      <c r="S921" s="82"/>
      <c r="T921" s="138">
        <v>5.0</v>
      </c>
      <c r="U921" s="611" t="s">
        <v>12570</v>
      </c>
      <c r="V921" s="106">
        <v>0.0</v>
      </c>
      <c r="W921" s="107">
        <v>0.0</v>
      </c>
      <c r="X921" s="107">
        <v>0.0</v>
      </c>
      <c r="Y921" s="107">
        <v>0.0</v>
      </c>
      <c r="Z921" s="80">
        <f t="shared" si="1"/>
        <v>0</v>
      </c>
      <c r="AA921" s="106">
        <v>0.0</v>
      </c>
      <c r="AB921" s="107">
        <v>0.0</v>
      </c>
      <c r="AC921" s="107">
        <v>0.0</v>
      </c>
      <c r="AD921" s="107">
        <v>0.0</v>
      </c>
      <c r="AE921" s="80">
        <f t="shared" si="2"/>
        <v>0</v>
      </c>
      <c r="AF921" s="140">
        <v>0.0</v>
      </c>
      <c r="AG921" s="109">
        <v>0.0</v>
      </c>
      <c r="AH921" s="109">
        <v>0.0</v>
      </c>
      <c r="AI921" s="141">
        <v>45.0</v>
      </c>
      <c r="AJ921" s="80">
        <f t="shared" si="3"/>
        <v>45</v>
      </c>
      <c r="AK921" s="140">
        <v>0.0</v>
      </c>
      <c r="AL921" s="109">
        <v>0.0</v>
      </c>
      <c r="AM921" s="141">
        <v>15.0</v>
      </c>
      <c r="AN921" s="80">
        <f t="shared" si="4"/>
        <v>15</v>
      </c>
      <c r="AO921" s="140">
        <v>0.0</v>
      </c>
      <c r="AP921" s="109">
        <v>0.0</v>
      </c>
      <c r="AQ921" s="109">
        <v>45.0</v>
      </c>
      <c r="AR921" s="80">
        <f t="shared" si="5"/>
        <v>45</v>
      </c>
      <c r="AS921" s="110">
        <v>0.0</v>
      </c>
      <c r="AT921" s="110">
        <v>0.0</v>
      </c>
      <c r="AU921" s="110">
        <v>0.0</v>
      </c>
      <c r="AV921" s="142">
        <v>0.0</v>
      </c>
      <c r="AW921" s="80">
        <f t="shared" si="6"/>
        <v>0</v>
      </c>
      <c r="AX921" s="113">
        <f t="shared" si="7"/>
        <v>105</v>
      </c>
      <c r="AY921" s="117">
        <f t="shared" si="8"/>
        <v>45</v>
      </c>
      <c r="AZ921" s="120">
        <f t="shared" si="9"/>
        <v>60</v>
      </c>
      <c r="BA921" s="115">
        <v>0.0</v>
      </c>
      <c r="BB921" s="89">
        <f t="shared" si="10"/>
        <v>105</v>
      </c>
      <c r="BC921" s="132" t="s">
        <v>373</v>
      </c>
      <c r="BD921" s="132" t="s">
        <v>178</v>
      </c>
      <c r="BE921" s="132" t="s">
        <v>178</v>
      </c>
      <c r="BF921" s="156"/>
      <c r="BG921" s="83">
        <v>1160828.0</v>
      </c>
      <c r="BH921" s="112"/>
      <c r="BI921" s="112">
        <v>4.0</v>
      </c>
      <c r="BJ921" s="98" t="s">
        <v>155</v>
      </c>
      <c r="BK921" s="99">
        <f t="shared" si="11"/>
        <v>45</v>
      </c>
      <c r="BL921" s="99">
        <f t="shared" si="12"/>
        <v>0</v>
      </c>
      <c r="BM921" s="99" t="str">
        <f>IFERROR(__xludf.DUMMYFUNCTION("IFERROR(VLOOKUP(BG921,IMPORTRANGE(""https://docs.google.com/spreadsheets/d/1juPI-Fb8LD0YtltB2mlGEnp_R3UVu1t3wSFPzgCyHXE/edit?gid=0#gid=0"",""GERAL!A2:C""),3,0),""-"")"),"CAMPO")</f>
        <v>CAMPO</v>
      </c>
    </row>
    <row r="922" ht="15.75" customHeight="1">
      <c r="A922" s="111" t="s">
        <v>1090</v>
      </c>
      <c r="B922" s="83" t="s">
        <v>4667</v>
      </c>
      <c r="C922" s="83" t="s">
        <v>68</v>
      </c>
      <c r="D922" s="112">
        <v>1138245.0</v>
      </c>
      <c r="E922" s="83"/>
      <c r="F922" s="83">
        <v>2.9143365E7</v>
      </c>
      <c r="G922" s="114" t="s">
        <v>4678</v>
      </c>
      <c r="H922" s="91" t="s">
        <v>4679</v>
      </c>
      <c r="I922" s="83" t="s">
        <v>149</v>
      </c>
      <c r="J922" s="83" t="s">
        <v>331</v>
      </c>
      <c r="K922" s="83" t="s">
        <v>1685</v>
      </c>
      <c r="L922" s="83" t="s">
        <v>169</v>
      </c>
      <c r="M922" s="82" t="str">
        <f>IFERROR(__xludf.DUMMYFUNCTION("IFERROR(VLOOKUP(D922,
IMPORTRANGE(""https://docs.google.com/spreadsheets/d/1MjHtlUikwobi2MaWJgy7tfLeBmhj1u-dRFRs_8GwSoA/edit#gid=0"",""Gestores Escolares!D7:J""),3,0),""VERIFICAR CÓD SEC"")"),"EDCARLOS RIOS DE OLIVEIRA")</f>
        <v>EDCARLOS RIOS DE OLIVEIRA</v>
      </c>
      <c r="N922" s="82" t="str">
        <f>IFERROR(__xludf.DUMMYFUNCTION("IFERROR(VLOOKUP(D922,
IMPORTRANGE(""https://docs.google.com/spreadsheets/d/1MjHtlUikwobi2MaWJgy7tfLeBmhj1u-dRFRs_8GwSoA/edit#gid=0"",""Gestores Escolares!D7:J""),4,0),""VERIFICAR CÓD SEC"")"),"(75) 9 8186-0638")</f>
        <v>(75) 9 8186-0638</v>
      </c>
      <c r="O922" s="82" t="str">
        <f>IFERROR(__xludf.DUMMYFUNCTION("IFERROR(VLOOKUP(D922,
IMPORTRANGE(""https://docs.google.com/spreadsheets/d/1MjHtlUikwobi2MaWJgy7tfLeBmhj1u-dRFRs_8GwSoA/edit#gid=0"",""Gestores Escolares!D7:J""),6,0),""VERIFICAR CÓD SEC"")"),"EPITÁCIO DE OLIVEIRA SILVA")</f>
        <v>EPITÁCIO DE OLIVEIRA SILVA</v>
      </c>
      <c r="P922" s="82" t="str">
        <f>IFERROR(__xludf.DUMMYFUNCTION("IFERROR(VLOOKUP(D922,
IMPORTRANGE(""https://docs.google.com/spreadsheets/d/1MjHtlUikwobi2MaWJgy7tfLeBmhj1u-dRFRs_8GwSoA/edit#gid=0"",""Gestores Escolares!D7:J""),7,0),""VERIFICAR CÓD SEC"")"),"(75) 999695374")</f>
        <v>(75) 999695374</v>
      </c>
      <c r="Q922" s="82" t="str">
        <f>IFERROR(__xludf.DUMMYFUNCTION("IFERROR(VLOOKUP(D922,
IMPORTRANGE(""https://docs.google.com/spreadsheets/d/1MjHtlUikwobi2MaWJgy7tfLeBmhj1u-dRFRs_8GwSoA/edit#gid=0"",""Gestores Escolares!D7:m""),9,0),""VERIFICAR CÓD SEC"")"),"")</f>
        <v/>
      </c>
      <c r="R922" s="82" t="str">
        <f>IFERROR(__xludf.DUMMYFUNCTION("IFERROR(VLOOKUP(D922,
IMPORTRANGE(""https://docs.google.com/spreadsheets/d/1MjHtlUikwobi2MaWJgy7tfLeBmhj1u-dRFRs_8GwSoA/edit#gid=0"",""Gestores Escolares!D7:m""),10,0),""VERIFICAR CÓD SEC"")"),"")</f>
        <v/>
      </c>
      <c r="S922" s="82"/>
      <c r="T922" s="138">
        <v>6.0</v>
      </c>
      <c r="U922" s="145" t="s">
        <v>12587</v>
      </c>
      <c r="V922" s="106">
        <v>0.0</v>
      </c>
      <c r="W922" s="107">
        <v>0.0</v>
      </c>
      <c r="X922" s="107">
        <v>0.0</v>
      </c>
      <c r="Y922" s="107">
        <v>0.0</v>
      </c>
      <c r="Z922" s="80">
        <f t="shared" si="1"/>
        <v>0</v>
      </c>
      <c r="AA922" s="106">
        <v>0.0</v>
      </c>
      <c r="AB922" s="107">
        <v>0.0</v>
      </c>
      <c r="AC922" s="107">
        <v>0.0</v>
      </c>
      <c r="AD922" s="107">
        <v>0.0</v>
      </c>
      <c r="AE922" s="80">
        <f t="shared" si="2"/>
        <v>0</v>
      </c>
      <c r="AF922" s="140">
        <v>0.0</v>
      </c>
      <c r="AG922" s="109">
        <v>0.0</v>
      </c>
      <c r="AH922" s="109">
        <v>0.0</v>
      </c>
      <c r="AI922" s="141">
        <v>64.0</v>
      </c>
      <c r="AJ922" s="80">
        <f t="shared" si="3"/>
        <v>64</v>
      </c>
      <c r="AK922" s="140">
        <v>0.0</v>
      </c>
      <c r="AL922" s="109">
        <v>0.0</v>
      </c>
      <c r="AM922" s="141">
        <v>6.0</v>
      </c>
      <c r="AN922" s="80">
        <f t="shared" si="4"/>
        <v>6</v>
      </c>
      <c r="AO922" s="140">
        <v>0.0</v>
      </c>
      <c r="AP922" s="109">
        <v>0.0</v>
      </c>
      <c r="AQ922" s="109">
        <v>36.0</v>
      </c>
      <c r="AR922" s="80">
        <f t="shared" si="5"/>
        <v>36</v>
      </c>
      <c r="AS922" s="110">
        <v>17.0</v>
      </c>
      <c r="AT922" s="110">
        <v>0.0</v>
      </c>
      <c r="AU922" s="110">
        <v>27.0</v>
      </c>
      <c r="AV922" s="142">
        <v>14.0</v>
      </c>
      <c r="AW922" s="80">
        <f t="shared" si="6"/>
        <v>58</v>
      </c>
      <c r="AX922" s="113">
        <f t="shared" si="7"/>
        <v>164</v>
      </c>
      <c r="AY922" s="117">
        <f t="shared" si="8"/>
        <v>95</v>
      </c>
      <c r="AZ922" s="120">
        <f t="shared" si="9"/>
        <v>69</v>
      </c>
      <c r="BA922" s="115">
        <v>0.0</v>
      </c>
      <c r="BB922" s="89">
        <f t="shared" si="10"/>
        <v>164</v>
      </c>
      <c r="BC922" s="132" t="s">
        <v>373</v>
      </c>
      <c r="BD922" s="132" t="s">
        <v>178</v>
      </c>
      <c r="BE922" s="132" t="s">
        <v>178</v>
      </c>
      <c r="BF922" s="156"/>
      <c r="BG922" s="83">
        <v>1138245.0</v>
      </c>
      <c r="BH922" s="112"/>
      <c r="BI922" s="112">
        <v>5.0</v>
      </c>
      <c r="BJ922" s="98" t="s">
        <v>155</v>
      </c>
      <c r="BK922" s="99">
        <f t="shared" si="11"/>
        <v>78</v>
      </c>
      <c r="BL922" s="99">
        <f t="shared" si="12"/>
        <v>17</v>
      </c>
      <c r="BM922" s="99" t="str">
        <f>IFERROR(__xludf.DUMMYFUNCTION("IFERROR(VLOOKUP(BG922,IMPORTRANGE(""https://docs.google.com/spreadsheets/d/1juPI-Fb8LD0YtltB2mlGEnp_R3UVu1t3wSFPzgCyHXE/edit?gid=0#gid=0"",""GERAL!A2:C""),3,0),""-"")"),"CAMPO")</f>
        <v>CAMPO</v>
      </c>
    </row>
    <row r="923" ht="15.75" customHeight="1">
      <c r="A923" s="111" t="s">
        <v>1090</v>
      </c>
      <c r="B923" s="83" t="s">
        <v>4667</v>
      </c>
      <c r="C923" s="83" t="s">
        <v>68</v>
      </c>
      <c r="D923" s="112">
        <v>1137982.0</v>
      </c>
      <c r="E923" s="83"/>
      <c r="F923" s="83">
        <v>2.9142997E7</v>
      </c>
      <c r="G923" s="119" t="s">
        <v>4689</v>
      </c>
      <c r="H923" s="91" t="s">
        <v>4690</v>
      </c>
      <c r="I923" s="83" t="s">
        <v>149</v>
      </c>
      <c r="J923" s="83" t="s">
        <v>150</v>
      </c>
      <c r="K923" s="83" t="s">
        <v>1685</v>
      </c>
      <c r="L923" s="83" t="s">
        <v>152</v>
      </c>
      <c r="M923" s="82" t="str">
        <f>IFERROR(__xludf.DUMMYFUNCTION("IFERROR(VLOOKUP(D923,
IMPORTRANGE(""https://docs.google.com/spreadsheets/d/1MjHtlUikwobi2MaWJgy7tfLeBmhj1u-dRFRs_8GwSoA/edit#gid=0"",""Gestores Escolares!D7:J""),3,0),""VERIFICAR CÓD SEC"")"),"LUIZ ALBERICO RIOS CARNEIRO")</f>
        <v>LUIZ ALBERICO RIOS CARNEIRO</v>
      </c>
      <c r="N923" s="82" t="str">
        <f>IFERROR(__xludf.DUMMYFUNCTION("IFERROR(VLOOKUP(D923,
IMPORTRANGE(""https://docs.google.com/spreadsheets/d/1MjHtlUikwobi2MaWJgy7tfLeBmhj1u-dRFRs_8GwSoA/edit#gid=0"",""Gestores Escolares!D7:J""),4,0),""VERIFICAR CÓD SEC"")"),"(75) 9 9871-3917")</f>
        <v>(75) 9 9871-3917</v>
      </c>
      <c r="O923" s="82" t="str">
        <f>IFERROR(__xludf.DUMMYFUNCTION("IFERROR(VLOOKUP(D923,
IMPORTRANGE(""https://docs.google.com/spreadsheets/d/1MjHtlUikwobi2MaWJgy7tfLeBmhj1u-dRFRs_8GwSoA/edit#gid=0"",""Gestores Escolares!D7:J""),6,0),""VERIFICAR CÓD SEC"")"),"BARBARA THAIS GUIMARAES SAO PAULO LIMA")</f>
        <v>BARBARA THAIS GUIMARAES SAO PAULO LIMA</v>
      </c>
      <c r="P923" s="82" t="str">
        <f>IFERROR(__xludf.DUMMYFUNCTION("IFERROR(VLOOKUP(D923,
IMPORTRANGE(""https://docs.google.com/spreadsheets/d/1MjHtlUikwobi2MaWJgy7tfLeBmhj1u-dRFRs_8GwSoA/edit#gid=0"",""Gestores Escolares!D7:J""),7,0),""VERIFICAR CÓD SEC"")"),"(75) 9 9139-5592")</f>
        <v>(75) 9 9139-5592</v>
      </c>
      <c r="Q923" s="82" t="str">
        <f>IFERROR(__xludf.DUMMYFUNCTION("IFERROR(VLOOKUP(D923,
IMPORTRANGE(""https://docs.google.com/spreadsheets/d/1MjHtlUikwobi2MaWJgy7tfLeBmhj1u-dRFRs_8GwSoA/edit#gid=0"",""Gestores Escolares!D7:m""),9,0),""VERIFICAR CÓD SEC"")"),"ALDEMIR DE SOUZA SILVA")</f>
        <v>ALDEMIR DE SOUZA SILVA</v>
      </c>
      <c r="R923" s="82" t="str">
        <f>IFERROR(__xludf.DUMMYFUNCTION("IFERROR(VLOOKUP(D923,
IMPORTRANGE(""https://docs.google.com/spreadsheets/d/1MjHtlUikwobi2MaWJgy7tfLeBmhj1u-dRFRs_8GwSoA/edit#gid=0"",""Gestores Escolares!D7:m""),10,0),""VERIFICAR CÓD SEC"")"),"(75) 9 9882-7311")</f>
        <v>(75) 9 9882-7311</v>
      </c>
      <c r="S923" s="82"/>
      <c r="T923" s="138">
        <v>14.0</v>
      </c>
      <c r="U923" s="145" t="s">
        <v>12606</v>
      </c>
      <c r="V923" s="106">
        <v>0.0</v>
      </c>
      <c r="W923" s="107">
        <v>0.0</v>
      </c>
      <c r="X923" s="107">
        <v>0.0</v>
      </c>
      <c r="Y923" s="107">
        <v>0.0</v>
      </c>
      <c r="Z923" s="80">
        <f t="shared" si="1"/>
        <v>0</v>
      </c>
      <c r="AA923" s="106">
        <v>0.0</v>
      </c>
      <c r="AB923" s="107">
        <v>0.0</v>
      </c>
      <c r="AC923" s="107">
        <v>0.0</v>
      </c>
      <c r="AD923" s="107">
        <v>0.0</v>
      </c>
      <c r="AE923" s="80">
        <f t="shared" si="2"/>
        <v>0</v>
      </c>
      <c r="AF923" s="140">
        <v>216.0</v>
      </c>
      <c r="AG923" s="109">
        <v>0.0</v>
      </c>
      <c r="AH923" s="109">
        <v>0.0</v>
      </c>
      <c r="AI923" s="141">
        <v>240.0</v>
      </c>
      <c r="AJ923" s="80">
        <f t="shared" si="3"/>
        <v>456</v>
      </c>
      <c r="AK923" s="140">
        <v>0.0</v>
      </c>
      <c r="AL923" s="109">
        <v>0.0</v>
      </c>
      <c r="AM923" s="141">
        <v>0.0</v>
      </c>
      <c r="AN923" s="80">
        <f t="shared" si="4"/>
        <v>0</v>
      </c>
      <c r="AO923" s="140">
        <v>0.0</v>
      </c>
      <c r="AP923" s="109">
        <v>0.0</v>
      </c>
      <c r="AQ923" s="109">
        <v>122.0</v>
      </c>
      <c r="AR923" s="80">
        <f t="shared" si="5"/>
        <v>122</v>
      </c>
      <c r="AS923" s="110">
        <v>0.0</v>
      </c>
      <c r="AT923" s="110">
        <v>0.0</v>
      </c>
      <c r="AU923" s="110">
        <v>0.0</v>
      </c>
      <c r="AV923" s="142">
        <v>0.0</v>
      </c>
      <c r="AW923" s="80">
        <f t="shared" si="6"/>
        <v>0</v>
      </c>
      <c r="AX923" s="113">
        <f t="shared" si="7"/>
        <v>578</v>
      </c>
      <c r="AY923" s="117">
        <f t="shared" si="8"/>
        <v>456</v>
      </c>
      <c r="AZ923" s="120">
        <f t="shared" si="9"/>
        <v>122</v>
      </c>
      <c r="BA923" s="115">
        <v>0.0</v>
      </c>
      <c r="BB923" s="89">
        <f t="shared" si="10"/>
        <v>578</v>
      </c>
      <c r="BC923" s="132" t="s">
        <v>178</v>
      </c>
      <c r="BD923" s="132" t="s">
        <v>178</v>
      </c>
      <c r="BE923" s="132" t="s">
        <v>178</v>
      </c>
      <c r="BF923" s="156"/>
      <c r="BG923" s="83">
        <v>1137982.0</v>
      </c>
      <c r="BH923" s="112"/>
      <c r="BI923" s="112">
        <v>14.0</v>
      </c>
      <c r="BJ923" s="98" t="s">
        <v>284</v>
      </c>
      <c r="BK923" s="99">
        <f t="shared" si="11"/>
        <v>240</v>
      </c>
      <c r="BL923" s="99">
        <f t="shared" si="12"/>
        <v>216</v>
      </c>
      <c r="BM923" s="99" t="str">
        <f>IFERROR(__xludf.DUMMYFUNCTION("IFERROR(VLOOKUP(BG923,IMPORTRANGE(""https://docs.google.com/spreadsheets/d/1juPI-Fb8LD0YtltB2mlGEnp_R3UVu1t3wSFPzgCyHXE/edit?gid=0#gid=0"",""GERAL!A2:C""),3,0),""-"")"),"-")</f>
        <v>-</v>
      </c>
    </row>
    <row r="924" ht="15.75" customHeight="1">
      <c r="A924" s="111" t="s">
        <v>1090</v>
      </c>
      <c r="B924" s="83" t="s">
        <v>4667</v>
      </c>
      <c r="C924" s="83" t="s">
        <v>68</v>
      </c>
      <c r="D924" s="112">
        <v>1138172.0</v>
      </c>
      <c r="E924" s="83"/>
      <c r="F924" s="83">
        <v>2.9142709E7</v>
      </c>
      <c r="G924" s="114" t="s">
        <v>4701</v>
      </c>
      <c r="H924" s="91" t="s">
        <v>4702</v>
      </c>
      <c r="I924" s="136" t="s">
        <v>149</v>
      </c>
      <c r="J924" s="136" t="s">
        <v>150</v>
      </c>
      <c r="K924" s="83" t="s">
        <v>4703</v>
      </c>
      <c r="L924" s="83" t="s">
        <v>230</v>
      </c>
      <c r="M924" s="82" t="str">
        <f>IFERROR(__xludf.DUMMYFUNCTION("IFERROR(VLOOKUP(D924,
IMPORTRANGE(""https://docs.google.com/spreadsheets/d/1MjHtlUikwobi2MaWJgy7tfLeBmhj1u-dRFRs_8GwSoA/edit#gid=0"",""Gestores Escolares!D7:J""),3,0),""VERIFICAR CÓD SEC"")"),"INGRIDH ARAPIRACA OLIVEIRA")</f>
        <v>INGRIDH ARAPIRACA OLIVEIRA</v>
      </c>
      <c r="N924" s="82" t="str">
        <f>IFERROR(__xludf.DUMMYFUNCTION("IFERROR(VLOOKUP(D924,
IMPORTRANGE(""https://docs.google.com/spreadsheets/d/1MjHtlUikwobi2MaWJgy7tfLeBmhj1u-dRFRs_8GwSoA/edit#gid=0"",""Gestores Escolares!D7:J""),4,0),""VERIFICAR CÓD SEC"")"),"(75) 9 9183-4610")</f>
        <v>(75) 9 9183-4610</v>
      </c>
      <c r="O924" s="82" t="str">
        <f>IFERROR(__xludf.DUMMYFUNCTION("IFERROR(VLOOKUP(D924,
IMPORTRANGE(""https://docs.google.com/spreadsheets/d/1MjHtlUikwobi2MaWJgy7tfLeBmhj1u-dRFRs_8GwSoA/edit#gid=0"",""Gestores Escolares!D7:J""),6,0),""VERIFICAR CÓD SEC"")"),"JULIANA REGINA TOSTA SOBRAL")</f>
        <v>JULIANA REGINA TOSTA SOBRAL</v>
      </c>
      <c r="P924" s="82" t="str">
        <f>IFERROR(__xludf.DUMMYFUNCTION("IFERROR(VLOOKUP(D924,
IMPORTRANGE(""https://docs.google.com/spreadsheets/d/1MjHtlUikwobi2MaWJgy7tfLeBmhj1u-dRFRs_8GwSoA/edit#gid=0"",""Gestores Escolares!D7:J""),7,0),""VERIFICAR CÓD SEC"")"),"(71) 99160-7653")</f>
        <v>(71) 99160-7653</v>
      </c>
      <c r="Q924" s="82" t="str">
        <f>IFERROR(__xludf.DUMMYFUNCTION("IFERROR(VLOOKUP(D924,
IMPORTRANGE(""https://docs.google.com/spreadsheets/d/1MjHtlUikwobi2MaWJgy7tfLeBmhj1u-dRFRs_8GwSoA/edit#gid=0"",""Gestores Escolares!D7:m""),9,0),""VERIFICAR CÓD SEC"")"),"RICARDO THADEU GUIMARAES SOUZA")</f>
        <v>RICARDO THADEU GUIMARAES SOUZA</v>
      </c>
      <c r="R924" s="82" t="str">
        <f>IFERROR(__xludf.DUMMYFUNCTION("IFERROR(VLOOKUP(D924,
IMPORTRANGE(""https://docs.google.com/spreadsheets/d/1MjHtlUikwobi2MaWJgy7tfLeBmhj1u-dRFRs_8GwSoA/edit#gid=0"",""Gestores Escolares!D7:m""),10,0),""VERIFICAR CÓD SEC"")"),"(75) 9 9188-8384")</f>
        <v>(75) 9 9188-8384</v>
      </c>
      <c r="S924" s="82"/>
      <c r="T924" s="138">
        <v>13.0</v>
      </c>
      <c r="U924" s="145">
        <v>12.0</v>
      </c>
      <c r="V924" s="106">
        <v>0.0</v>
      </c>
      <c r="W924" s="107">
        <v>0.0</v>
      </c>
      <c r="X924" s="107">
        <v>0.0</v>
      </c>
      <c r="Y924" s="107">
        <v>0.0</v>
      </c>
      <c r="Z924" s="80">
        <f t="shared" si="1"/>
        <v>0</v>
      </c>
      <c r="AA924" s="106">
        <v>0.0</v>
      </c>
      <c r="AB924" s="107">
        <v>0.0</v>
      </c>
      <c r="AC924" s="107">
        <v>0.0</v>
      </c>
      <c r="AD924" s="107">
        <v>0.0</v>
      </c>
      <c r="AE924" s="80">
        <f t="shared" si="2"/>
        <v>0</v>
      </c>
      <c r="AF924" s="140">
        <v>0.0</v>
      </c>
      <c r="AG924" s="109">
        <v>0.0</v>
      </c>
      <c r="AH924" s="109">
        <v>0.0</v>
      </c>
      <c r="AI924" s="141">
        <v>0.0</v>
      </c>
      <c r="AJ924" s="80">
        <f t="shared" si="3"/>
        <v>0</v>
      </c>
      <c r="AK924" s="140">
        <v>0.0</v>
      </c>
      <c r="AL924" s="109">
        <v>0.0</v>
      </c>
      <c r="AM924" s="141">
        <v>0.0</v>
      </c>
      <c r="AN924" s="80">
        <f t="shared" si="4"/>
        <v>0</v>
      </c>
      <c r="AO924" s="140">
        <v>0.0</v>
      </c>
      <c r="AP924" s="109">
        <v>0.0</v>
      </c>
      <c r="AQ924" s="109">
        <v>0.0</v>
      </c>
      <c r="AR924" s="80">
        <f t="shared" si="5"/>
        <v>0</v>
      </c>
      <c r="AS924" s="110">
        <v>243.0</v>
      </c>
      <c r="AT924" s="110">
        <v>0.0</v>
      </c>
      <c r="AU924" s="110">
        <v>162.0</v>
      </c>
      <c r="AV924" s="142">
        <v>58.0</v>
      </c>
      <c r="AW924" s="80">
        <f t="shared" si="6"/>
        <v>463</v>
      </c>
      <c r="AX924" s="113">
        <f t="shared" si="7"/>
        <v>463</v>
      </c>
      <c r="AY924" s="117">
        <f t="shared" si="8"/>
        <v>301</v>
      </c>
      <c r="AZ924" s="120">
        <f t="shared" si="9"/>
        <v>162</v>
      </c>
      <c r="BA924" s="115">
        <v>0.0</v>
      </c>
      <c r="BB924" s="89">
        <f t="shared" si="10"/>
        <v>463</v>
      </c>
      <c r="BC924" s="132" t="s">
        <v>178</v>
      </c>
      <c r="BD924" s="132" t="s">
        <v>522</v>
      </c>
      <c r="BE924" s="132" t="s">
        <v>178</v>
      </c>
      <c r="BF924" s="156"/>
      <c r="BG924" s="83">
        <v>1138172.0</v>
      </c>
      <c r="BH924" s="112"/>
      <c r="BI924" s="112">
        <v>12.0</v>
      </c>
      <c r="BJ924" s="98" t="s">
        <v>155</v>
      </c>
      <c r="BK924" s="99">
        <f t="shared" si="11"/>
        <v>58</v>
      </c>
      <c r="BL924" s="99">
        <f t="shared" si="12"/>
        <v>243</v>
      </c>
      <c r="BM924" s="99" t="str">
        <f>IFERROR(__xludf.DUMMYFUNCTION("IFERROR(VLOOKUP(BG924,IMPORTRANGE(""https://docs.google.com/spreadsheets/d/1juPI-Fb8LD0YtltB2mlGEnp_R3UVu1t3wSFPzgCyHXE/edit?gid=0#gid=0"",""GERAL!A2:C""),3,0),""-"")"),"-")</f>
        <v>-</v>
      </c>
    </row>
    <row r="925" ht="15.75" customHeight="1">
      <c r="A925" s="111" t="s">
        <v>1090</v>
      </c>
      <c r="B925" s="83" t="s">
        <v>2239</v>
      </c>
      <c r="C925" s="98" t="s">
        <v>68</v>
      </c>
      <c r="D925" s="98">
        <v>1179792.0</v>
      </c>
      <c r="E925" s="83"/>
      <c r="F925" s="98">
        <v>2.9488192E7</v>
      </c>
      <c r="G925" s="147" t="s">
        <v>2242</v>
      </c>
      <c r="H925" s="91" t="s">
        <v>4714</v>
      </c>
      <c r="I925" s="83" t="s">
        <v>149</v>
      </c>
      <c r="J925" s="83" t="s">
        <v>222</v>
      </c>
      <c r="K925" s="83" t="s">
        <v>1685</v>
      </c>
      <c r="L925" s="98" t="s">
        <v>76</v>
      </c>
      <c r="M925" s="82" t="str">
        <f>IFERROR(__xludf.DUMMYFUNCTION("IFERROR(VLOOKUP(D925,
IMPORTRANGE(""https://docs.google.com/spreadsheets/d/1MjHtlUikwobi2MaWJgy7tfLeBmhj1u-dRFRs_8GwSoA/edit#gid=0"",""Gestores Escolares!D7:J""),3,0),""VERIFICAR CÓD SEC"")"),"ANDREIA PEIXOTO DOS SANTOS")</f>
        <v>ANDREIA PEIXOTO DOS SANTOS</v>
      </c>
      <c r="N925" s="82" t="str">
        <f>IFERROR(__xludf.DUMMYFUNCTION("IFERROR(VLOOKUP(D925,
IMPORTRANGE(""https://docs.google.com/spreadsheets/d/1MjHtlUikwobi2MaWJgy7tfLeBmhj1u-dRFRs_8GwSoA/edit#gid=0"",""Gestores Escolares!D7:J""),4,0),""VERIFICAR CÓD SEC"")")," (74) 9 9803-0091")</f>
        <v> (74) 9 9803-0091</v>
      </c>
      <c r="O925" s="82" t="str">
        <f>IFERROR(__xludf.DUMMYFUNCTION("IFERROR(VLOOKUP(D925,
IMPORTRANGE(""https://docs.google.com/spreadsheets/d/1MjHtlUikwobi2MaWJgy7tfLeBmhj1u-dRFRs_8GwSoA/edit#gid=0"",""Gestores Escolares!D7:J""),6,0),""VERIFICAR CÓD SEC"")"),"JAMILE STEPHANE DOS SANTOS SOUZA")</f>
        <v>JAMILE STEPHANE DOS SANTOS SOUZA</v>
      </c>
      <c r="P925" s="82" t="str">
        <f>IFERROR(__xludf.DUMMYFUNCTION("IFERROR(VLOOKUP(D925,
IMPORTRANGE(""https://docs.google.com/spreadsheets/d/1MjHtlUikwobi2MaWJgy7tfLeBmhj1u-dRFRs_8GwSoA/edit#gid=0"",""Gestores Escolares!D7:J""),7,0),""VERIFICAR CÓD SEC"")"),"(73) 9 9901-7360")</f>
        <v>(73) 9 9901-7360</v>
      </c>
      <c r="Q925" s="82" t="str">
        <f>IFERROR(__xludf.DUMMYFUNCTION("IFERROR(VLOOKUP(D925,
IMPORTRANGE(""https://docs.google.com/spreadsheets/d/1MjHtlUikwobi2MaWJgy7tfLeBmhj1u-dRFRs_8GwSoA/edit#gid=0"",""Gestores Escolares!D7:m""),9,0),""VERIFICAR CÓD SEC"")"),"")</f>
        <v/>
      </c>
      <c r="R925" s="82" t="str">
        <f>IFERROR(__xludf.DUMMYFUNCTION("IFERROR(VLOOKUP(D925,
IMPORTRANGE(""https://docs.google.com/spreadsheets/d/1MjHtlUikwobi2MaWJgy7tfLeBmhj1u-dRFRs_8GwSoA/edit#gid=0"",""Gestores Escolares!D7:m""),10,0),""VERIFICAR CÓD SEC"")"),"")</f>
        <v/>
      </c>
      <c r="S925" s="82"/>
      <c r="T925" s="138">
        <v>5.0</v>
      </c>
      <c r="U925" s="139">
        <v>5.0</v>
      </c>
      <c r="V925" s="106">
        <v>0.0</v>
      </c>
      <c r="W925" s="107">
        <v>0.0</v>
      </c>
      <c r="X925" s="107">
        <v>0.0</v>
      </c>
      <c r="Y925" s="107">
        <v>0.0</v>
      </c>
      <c r="Z925" s="80">
        <f t="shared" si="1"/>
        <v>0</v>
      </c>
      <c r="AA925" s="106">
        <v>0.0</v>
      </c>
      <c r="AB925" s="107">
        <v>0.0</v>
      </c>
      <c r="AC925" s="107">
        <v>0.0</v>
      </c>
      <c r="AD925" s="107">
        <v>0.0</v>
      </c>
      <c r="AE925" s="80">
        <f t="shared" si="2"/>
        <v>0</v>
      </c>
      <c r="AF925" s="222">
        <v>26.0</v>
      </c>
      <c r="AG925" s="222">
        <v>27.0</v>
      </c>
      <c r="AH925" s="222">
        <v>0.0</v>
      </c>
      <c r="AI925" s="224">
        <v>64.0</v>
      </c>
      <c r="AJ925" s="80">
        <f t="shared" si="3"/>
        <v>117</v>
      </c>
      <c r="AK925" s="140">
        <v>0.0</v>
      </c>
      <c r="AL925" s="109">
        <v>0.0</v>
      </c>
      <c r="AM925" s="141">
        <v>0.0</v>
      </c>
      <c r="AN925" s="80">
        <f t="shared" si="4"/>
        <v>0</v>
      </c>
      <c r="AO925" s="222">
        <v>0.0</v>
      </c>
      <c r="AP925" s="222">
        <v>0.0</v>
      </c>
      <c r="AQ925" s="224">
        <v>100.0</v>
      </c>
      <c r="AR925" s="80">
        <f t="shared" si="5"/>
        <v>100</v>
      </c>
      <c r="AS925" s="110">
        <v>0.0</v>
      </c>
      <c r="AT925" s="110">
        <v>0.0</v>
      </c>
      <c r="AU925" s="110">
        <v>12.0</v>
      </c>
      <c r="AV925" s="142">
        <v>63.0</v>
      </c>
      <c r="AW925" s="80">
        <f t="shared" si="6"/>
        <v>75</v>
      </c>
      <c r="AX925" s="113">
        <f t="shared" si="7"/>
        <v>292</v>
      </c>
      <c r="AY925" s="117">
        <f t="shared" si="8"/>
        <v>180</v>
      </c>
      <c r="AZ925" s="120">
        <f t="shared" si="9"/>
        <v>112</v>
      </c>
      <c r="BA925" s="115">
        <v>0.0</v>
      </c>
      <c r="BB925" s="89">
        <f t="shared" si="10"/>
        <v>292</v>
      </c>
      <c r="BC925" s="132" t="s">
        <v>373</v>
      </c>
      <c r="BD925" s="132" t="s">
        <v>178</v>
      </c>
      <c r="BE925" s="132" t="s">
        <v>178</v>
      </c>
      <c r="BF925" s="123"/>
      <c r="BG925" s="98">
        <v>1179792.0</v>
      </c>
      <c r="BH925" s="112"/>
      <c r="BI925" s="112">
        <v>5.0</v>
      </c>
      <c r="BJ925" s="98" t="s">
        <v>162</v>
      </c>
      <c r="BK925" s="99">
        <f t="shared" si="11"/>
        <v>127</v>
      </c>
      <c r="BL925" s="99">
        <f t="shared" si="12"/>
        <v>53</v>
      </c>
      <c r="BM925" s="99" t="str">
        <f>IFERROR(__xludf.DUMMYFUNCTION("IFERROR(VLOOKUP(BG925,IMPORTRANGE(""https://docs.google.com/spreadsheets/d/1juPI-Fb8LD0YtltB2mlGEnp_R3UVu1t3wSFPzgCyHXE/edit?gid=0#gid=0"",""GERAL!A2:C""),3,0),""-"")"),"CAMPO")</f>
        <v>CAMPO</v>
      </c>
    </row>
    <row r="926" ht="15.75" customHeight="1">
      <c r="A926" s="111" t="s">
        <v>1090</v>
      </c>
      <c r="B926" s="83" t="s">
        <v>2239</v>
      </c>
      <c r="C926" s="83" t="s">
        <v>68</v>
      </c>
      <c r="D926" s="112">
        <v>1176125.0</v>
      </c>
      <c r="E926" s="83"/>
      <c r="F926" s="83">
        <v>2.9354943E7</v>
      </c>
      <c r="G926" s="119" t="s">
        <v>4722</v>
      </c>
      <c r="H926" s="91" t="s">
        <v>4723</v>
      </c>
      <c r="I926" s="83" t="s">
        <v>149</v>
      </c>
      <c r="J926" s="83" t="s">
        <v>150</v>
      </c>
      <c r="K926" s="83" t="s">
        <v>1685</v>
      </c>
      <c r="L926" s="83" t="s">
        <v>152</v>
      </c>
      <c r="M926" s="82" t="str">
        <f>IFERROR(__xludf.DUMMYFUNCTION("IFERROR(VLOOKUP(D926,
IMPORTRANGE(""https://docs.google.com/spreadsheets/d/1MjHtlUikwobi2MaWJgy7tfLeBmhj1u-dRFRs_8GwSoA/edit#gid=0"",""Gestores Escolares!D7:J""),3,0),""VERIFICAR CÓD SEC"")"),"NUBIA OLIVEIRA DA SILVA")</f>
        <v>NUBIA OLIVEIRA DA SILVA</v>
      </c>
      <c r="N926" s="82" t="str">
        <f>IFERROR(__xludf.DUMMYFUNCTION("IFERROR(VLOOKUP(D926,
IMPORTRANGE(""https://docs.google.com/spreadsheets/d/1MjHtlUikwobi2MaWJgy7tfLeBmhj1u-dRFRs_8GwSoA/edit#gid=0"",""Gestores Escolares!D7:J""),4,0),""VERIFICAR CÓD SEC"")"),"(74) 9 9977-8058/ 
9 9922-9622")</f>
        <v>(74) 9 9977-8058/ 
9 9922-9622</v>
      </c>
      <c r="O926" s="82" t="str">
        <f>IFERROR(__xludf.DUMMYFUNCTION("IFERROR(VLOOKUP(D926,
IMPORTRANGE(""https://docs.google.com/spreadsheets/d/1MjHtlUikwobi2MaWJgy7tfLeBmhj1u-dRFRs_8GwSoA/edit#gid=0"",""Gestores Escolares!D7:J""),6,0),""VERIFICAR CÓD SEC"")"),"DOURIVAL MEDEIROS JUNIOR")</f>
        <v>DOURIVAL MEDEIROS JUNIOR</v>
      </c>
      <c r="P926" s="82" t="str">
        <f>IFERROR(__xludf.DUMMYFUNCTION("IFERROR(VLOOKUP(D926,
IMPORTRANGE(""https://docs.google.com/spreadsheets/d/1MjHtlUikwobi2MaWJgy7tfLeBmhj1u-dRFRs_8GwSoA/edit#gid=0"",""Gestores Escolares!D7:J""),7,0),""VERIFICAR CÓD SEC"")"),"(74) 9 9962-9595")</f>
        <v>(74) 9 9962-9595</v>
      </c>
      <c r="Q926" s="82" t="str">
        <f>IFERROR(__xludf.DUMMYFUNCTION("IFERROR(VLOOKUP(D926,
IMPORTRANGE(""https://docs.google.com/spreadsheets/d/1MjHtlUikwobi2MaWJgy7tfLeBmhj1u-dRFRs_8GwSoA/edit#gid=0"",""Gestores Escolares!D7:m""),9,0),""VERIFICAR CÓD SEC"")"),"KILVIA MAIA GADELHA")</f>
        <v>KILVIA MAIA GADELHA</v>
      </c>
      <c r="R926" s="82" t="str">
        <f>IFERROR(__xludf.DUMMYFUNCTION("IFERROR(VLOOKUP(D926,
IMPORTRANGE(""https://docs.google.com/spreadsheets/d/1MjHtlUikwobi2MaWJgy7tfLeBmhj1u-dRFRs_8GwSoA/edit#gid=0"",""Gestores Escolares!D7:m""),10,0),""VERIFICAR CÓD SEC"")"),"(74) 9 9817-6408")</f>
        <v>(74) 9 9817-6408</v>
      </c>
      <c r="S926" s="82"/>
      <c r="T926" s="138">
        <v>6.0</v>
      </c>
      <c r="U926" s="145" t="s">
        <v>12663</v>
      </c>
      <c r="V926" s="106">
        <v>0.0</v>
      </c>
      <c r="W926" s="107">
        <v>0.0</v>
      </c>
      <c r="X926" s="107">
        <v>0.0</v>
      </c>
      <c r="Y926" s="107">
        <v>0.0</v>
      </c>
      <c r="Z926" s="80">
        <f t="shared" si="1"/>
        <v>0</v>
      </c>
      <c r="AA926" s="106">
        <v>0.0</v>
      </c>
      <c r="AB926" s="107">
        <v>0.0</v>
      </c>
      <c r="AC926" s="107">
        <v>0.0</v>
      </c>
      <c r="AD926" s="107">
        <v>0.0</v>
      </c>
      <c r="AE926" s="80">
        <f t="shared" si="2"/>
        <v>0</v>
      </c>
      <c r="AF926" s="140">
        <v>0.0</v>
      </c>
      <c r="AG926" s="109">
        <v>0.0</v>
      </c>
      <c r="AH926" s="109">
        <v>0.0</v>
      </c>
      <c r="AI926" s="141">
        <v>179.0</v>
      </c>
      <c r="AJ926" s="80">
        <f t="shared" si="3"/>
        <v>179</v>
      </c>
      <c r="AK926" s="140">
        <v>0.0</v>
      </c>
      <c r="AL926" s="109">
        <v>0.0</v>
      </c>
      <c r="AM926" s="141">
        <v>0.0</v>
      </c>
      <c r="AN926" s="80">
        <f t="shared" si="4"/>
        <v>0</v>
      </c>
      <c r="AO926" s="140">
        <v>0.0</v>
      </c>
      <c r="AP926" s="109">
        <v>0.0</v>
      </c>
      <c r="AQ926" s="109">
        <v>87.0</v>
      </c>
      <c r="AR926" s="80">
        <f t="shared" si="5"/>
        <v>87</v>
      </c>
      <c r="AS926" s="110">
        <v>0.0</v>
      </c>
      <c r="AT926" s="110">
        <v>0.0</v>
      </c>
      <c r="AU926" s="110">
        <v>0.0</v>
      </c>
      <c r="AV926" s="142">
        <v>0.0</v>
      </c>
      <c r="AW926" s="80">
        <f t="shared" si="6"/>
        <v>0</v>
      </c>
      <c r="AX926" s="113">
        <f t="shared" si="7"/>
        <v>266</v>
      </c>
      <c r="AY926" s="117">
        <f t="shared" si="8"/>
        <v>179</v>
      </c>
      <c r="AZ926" s="120">
        <f t="shared" si="9"/>
        <v>87</v>
      </c>
      <c r="BA926" s="115">
        <v>0.0</v>
      </c>
      <c r="BB926" s="89">
        <f t="shared" si="10"/>
        <v>266</v>
      </c>
      <c r="BC926" s="132" t="s">
        <v>178</v>
      </c>
      <c r="BD926" s="132" t="s">
        <v>178</v>
      </c>
      <c r="BE926" s="132" t="s">
        <v>178</v>
      </c>
      <c r="BF926" s="156"/>
      <c r="BG926" s="83">
        <v>1176125.0</v>
      </c>
      <c r="BH926" s="112"/>
      <c r="BI926" s="112">
        <v>6.0</v>
      </c>
      <c r="BJ926" s="98" t="s">
        <v>155</v>
      </c>
      <c r="BK926" s="99">
        <f t="shared" si="11"/>
        <v>179</v>
      </c>
      <c r="BL926" s="99">
        <f t="shared" si="12"/>
        <v>0</v>
      </c>
      <c r="BM926" s="99" t="str">
        <f>IFERROR(__xludf.DUMMYFUNCTION("IFERROR(VLOOKUP(BG926,IMPORTRANGE(""https://docs.google.com/spreadsheets/d/1juPI-Fb8LD0YtltB2mlGEnp_R3UVu1t3wSFPzgCyHXE/edit?gid=0#gid=0"",""GERAL!A2:C""),3,0),""-"")"),"-")</f>
        <v>-</v>
      </c>
    </row>
    <row r="927" ht="15.75" customHeight="1">
      <c r="A927" s="111" t="s">
        <v>1090</v>
      </c>
      <c r="B927" s="83" t="s">
        <v>4725</v>
      </c>
      <c r="C927" s="83" t="s">
        <v>68</v>
      </c>
      <c r="D927" s="112">
        <v>1107650.0</v>
      </c>
      <c r="E927" s="83"/>
      <c r="F927" s="83">
        <v>2.9111285E7</v>
      </c>
      <c r="G927" s="114" t="s">
        <v>4728</v>
      </c>
      <c r="H927" s="91" t="s">
        <v>4730</v>
      </c>
      <c r="I927" s="83" t="s">
        <v>149</v>
      </c>
      <c r="J927" s="83" t="s">
        <v>2642</v>
      </c>
      <c r="K927" s="83" t="s">
        <v>1685</v>
      </c>
      <c r="L927" s="83" t="s">
        <v>169</v>
      </c>
      <c r="M927" s="82" t="str">
        <f>IFERROR(__xludf.DUMMYFUNCTION("IFERROR(VLOOKUP(D927,
IMPORTRANGE(""https://docs.google.com/spreadsheets/d/1MjHtlUikwobi2MaWJgy7tfLeBmhj1u-dRFRs_8GwSoA/edit#gid=0"",""Gestores Escolares!D7:J""),3,0),""VERIFICAR CÓD SEC"")"),"ALMIRO CERQUEIRA BATISTA")</f>
        <v>ALMIRO CERQUEIRA BATISTA</v>
      </c>
      <c r="N927" s="82" t="str">
        <f>IFERROR(__xludf.DUMMYFUNCTION("IFERROR(VLOOKUP(D927,
IMPORTRANGE(""https://docs.google.com/spreadsheets/d/1MjHtlUikwobi2MaWJgy7tfLeBmhj1u-dRFRs_8GwSoA/edit#gid=0"",""Gestores Escolares!D7:J""),4,0),""VERIFICAR CÓD SEC"")"),"(75) 9 8147-6945")</f>
        <v>(75) 9 8147-6945</v>
      </c>
      <c r="O927" s="82" t="str">
        <f>IFERROR(__xludf.DUMMYFUNCTION("IFERROR(VLOOKUP(D927,
IMPORTRANGE(""https://docs.google.com/spreadsheets/d/1MjHtlUikwobi2MaWJgy7tfLeBmhj1u-dRFRs_8GwSoA/edit#gid=0"",""Gestores Escolares!D7:J""),6,0),""VERIFICAR CÓD SEC"")"),"MARCELO CUNHA OLIVEIRA")</f>
        <v>MARCELO CUNHA OLIVEIRA</v>
      </c>
      <c r="P927" s="82" t="str">
        <f>IFERROR(__xludf.DUMMYFUNCTION("IFERROR(VLOOKUP(D927,
IMPORTRANGE(""https://docs.google.com/spreadsheets/d/1MjHtlUikwobi2MaWJgy7tfLeBmhj1u-dRFRs_8GwSoA/edit#gid=0"",""Gestores Escolares!D7:J""),7,0),""VERIFICAR CÓD SEC"")"),"(75) 98221-1367")</f>
        <v>(75) 98221-1367</v>
      </c>
      <c r="Q927" s="82" t="str">
        <f>IFERROR(__xludf.DUMMYFUNCTION("IFERROR(VLOOKUP(D927,
IMPORTRANGE(""https://docs.google.com/spreadsheets/d/1MjHtlUikwobi2MaWJgy7tfLeBmhj1u-dRFRs_8GwSoA/edit#gid=0"",""Gestores Escolares!D7:m""),9,0),""VERIFICAR CÓD SEC"")"),"")</f>
        <v/>
      </c>
      <c r="R927" s="82" t="str">
        <f>IFERROR(__xludf.DUMMYFUNCTION("IFERROR(VLOOKUP(D927,
IMPORTRANGE(""https://docs.google.com/spreadsheets/d/1MjHtlUikwobi2MaWJgy7tfLeBmhj1u-dRFRs_8GwSoA/edit#gid=0"",""Gestores Escolares!D7:m""),10,0),""VERIFICAR CÓD SEC"")"),"")</f>
        <v/>
      </c>
      <c r="S927" s="82"/>
      <c r="T927" s="138">
        <v>9.0</v>
      </c>
      <c r="U927" s="145" t="s">
        <v>12677</v>
      </c>
      <c r="V927" s="106">
        <v>0.0</v>
      </c>
      <c r="W927" s="107">
        <v>0.0</v>
      </c>
      <c r="X927" s="107">
        <v>0.0</v>
      </c>
      <c r="Y927" s="107">
        <v>0.0</v>
      </c>
      <c r="Z927" s="80">
        <f t="shared" si="1"/>
        <v>0</v>
      </c>
      <c r="AA927" s="106">
        <v>0.0</v>
      </c>
      <c r="AB927" s="107">
        <v>0.0</v>
      </c>
      <c r="AC927" s="107">
        <v>0.0</v>
      </c>
      <c r="AD927" s="107">
        <v>0.0</v>
      </c>
      <c r="AE927" s="80">
        <f t="shared" si="2"/>
        <v>0</v>
      </c>
      <c r="AF927" s="140">
        <v>86.0</v>
      </c>
      <c r="AG927" s="109">
        <v>44.0</v>
      </c>
      <c r="AH927" s="109">
        <v>0.0</v>
      </c>
      <c r="AI927" s="141">
        <v>57.0</v>
      </c>
      <c r="AJ927" s="80">
        <f t="shared" si="3"/>
        <v>187</v>
      </c>
      <c r="AK927" s="140">
        <v>0.0</v>
      </c>
      <c r="AL927" s="109">
        <v>0.0</v>
      </c>
      <c r="AM927" s="141">
        <v>0.0</v>
      </c>
      <c r="AN927" s="80">
        <f t="shared" si="4"/>
        <v>0</v>
      </c>
      <c r="AO927" s="140">
        <v>0.0</v>
      </c>
      <c r="AP927" s="109">
        <v>0.0</v>
      </c>
      <c r="AQ927" s="109">
        <v>38.0</v>
      </c>
      <c r="AR927" s="80">
        <f t="shared" si="5"/>
        <v>38</v>
      </c>
      <c r="AS927" s="110">
        <v>0.0</v>
      </c>
      <c r="AT927" s="110">
        <v>0.0</v>
      </c>
      <c r="AU927" s="110">
        <v>0.0</v>
      </c>
      <c r="AV927" s="142">
        <v>0.0</v>
      </c>
      <c r="AW927" s="80">
        <f t="shared" si="6"/>
        <v>0</v>
      </c>
      <c r="AX927" s="113">
        <f t="shared" si="7"/>
        <v>225</v>
      </c>
      <c r="AY927" s="117">
        <f t="shared" si="8"/>
        <v>187</v>
      </c>
      <c r="AZ927" s="120">
        <f t="shared" si="9"/>
        <v>38</v>
      </c>
      <c r="BA927" s="115">
        <v>0.0</v>
      </c>
      <c r="BB927" s="89">
        <f t="shared" si="10"/>
        <v>225</v>
      </c>
      <c r="BC927" s="132" t="s">
        <v>373</v>
      </c>
      <c r="BD927" s="132" t="s">
        <v>178</v>
      </c>
      <c r="BE927" s="132" t="s">
        <v>178</v>
      </c>
      <c r="BF927" s="123"/>
      <c r="BG927" s="83">
        <v>1107650.0</v>
      </c>
      <c r="BH927" s="112"/>
      <c r="BI927" s="112">
        <v>8.0</v>
      </c>
      <c r="BJ927" s="98" t="s">
        <v>155</v>
      </c>
      <c r="BK927" s="99">
        <f t="shared" si="11"/>
        <v>57</v>
      </c>
      <c r="BL927" s="99">
        <f t="shared" si="12"/>
        <v>130</v>
      </c>
      <c r="BM927" s="99" t="str">
        <f>IFERROR(__xludf.DUMMYFUNCTION("IFERROR(VLOOKUP(BG927,IMPORTRANGE(""https://docs.google.com/spreadsheets/d/1juPI-Fb8LD0YtltB2mlGEnp_R3UVu1t3wSFPzgCyHXE/edit?gid=0#gid=0"",""GERAL!A2:C""),3,0),""-"")"),"CAMPO")</f>
        <v>CAMPO</v>
      </c>
    </row>
    <row r="928" ht="15.75" customHeight="1">
      <c r="A928" s="111" t="s">
        <v>1090</v>
      </c>
      <c r="B928" s="83" t="s">
        <v>4725</v>
      </c>
      <c r="C928" s="83" t="s">
        <v>68</v>
      </c>
      <c r="D928" s="112">
        <v>1107684.0</v>
      </c>
      <c r="E928" s="83"/>
      <c r="F928" s="83">
        <v>2.9110866E7</v>
      </c>
      <c r="G928" s="119" t="s">
        <v>4743</v>
      </c>
      <c r="H928" s="91" t="s">
        <v>4744</v>
      </c>
      <c r="I928" s="83" t="s">
        <v>149</v>
      </c>
      <c r="J928" s="83" t="s">
        <v>240</v>
      </c>
      <c r="K928" s="83" t="s">
        <v>1685</v>
      </c>
      <c r="L928" s="83" t="s">
        <v>152</v>
      </c>
      <c r="M928" s="82" t="str">
        <f>IFERROR(__xludf.DUMMYFUNCTION("IFERROR(VLOOKUP(D928,
IMPORTRANGE(""https://docs.google.com/spreadsheets/d/1MjHtlUikwobi2MaWJgy7tfLeBmhj1u-dRFRs_8GwSoA/edit#gid=0"",""Gestores Escolares!D7:J""),3,0),""VERIFICAR CÓD SEC"")"),"KARINE RIBEIRO MOREIRA")</f>
        <v>KARINE RIBEIRO MOREIRA</v>
      </c>
      <c r="N928" s="82" t="str">
        <f>IFERROR(__xludf.DUMMYFUNCTION("IFERROR(VLOOKUP(D928,
IMPORTRANGE(""https://docs.google.com/spreadsheets/d/1MjHtlUikwobi2MaWJgy7tfLeBmhj1u-dRFRs_8GwSoA/edit#gid=0"",""Gestores Escolares!D7:J""),4,0),""VERIFICAR CÓD SEC"")"),"(75) 9 8354-1001")</f>
        <v>(75) 9 8354-1001</v>
      </c>
      <c r="O928" s="82" t="str">
        <f>IFERROR(__xludf.DUMMYFUNCTION("IFERROR(VLOOKUP(D928,
IMPORTRANGE(""https://docs.google.com/spreadsheets/d/1MjHtlUikwobi2MaWJgy7tfLeBmhj1u-dRFRs_8GwSoA/edit#gid=0"",""Gestores Escolares!D7:J""),6,0),""VERIFICAR CÓD SEC"")"),"LUCINEIDE SILVA DE ARAUJO RIBEIRO")</f>
        <v>LUCINEIDE SILVA DE ARAUJO RIBEIRO</v>
      </c>
      <c r="P928" s="82" t="str">
        <f>IFERROR(__xludf.DUMMYFUNCTION("IFERROR(VLOOKUP(D928,
IMPORTRANGE(""https://docs.google.com/spreadsheets/d/1MjHtlUikwobi2MaWJgy7tfLeBmhj1u-dRFRs_8GwSoA/edit#gid=0"",""Gestores Escolares!D7:J""),7,0),""VERIFICAR CÓD SEC"")"),"(75) 9 9210-9567")</f>
        <v>(75) 9 9210-9567</v>
      </c>
      <c r="Q928" s="82" t="str">
        <f>IFERROR(__xludf.DUMMYFUNCTION("IFERROR(VLOOKUP(D928,
IMPORTRANGE(""https://docs.google.com/spreadsheets/d/1MjHtlUikwobi2MaWJgy7tfLeBmhj1u-dRFRs_8GwSoA/edit#gid=0"",""Gestores Escolares!D7:m""),9,0),""VERIFICAR CÓD SEC"")"),"BRUNO MENDES GOES")</f>
        <v>BRUNO MENDES GOES</v>
      </c>
      <c r="R928" s="82" t="str">
        <f>IFERROR(__xludf.DUMMYFUNCTION("IFERROR(VLOOKUP(D928,
IMPORTRANGE(""https://docs.google.com/spreadsheets/d/1MjHtlUikwobi2MaWJgy7tfLeBmhj1u-dRFRs_8GwSoA/edit#gid=0"",""Gestores Escolares!D7:m""),10,0),""VERIFICAR CÓD SEC"")"),"(75) 9 9113-9594")</f>
        <v>(75) 9 9113-9594</v>
      </c>
      <c r="S928" s="82"/>
      <c r="T928" s="138">
        <v>12.0</v>
      </c>
      <c r="U928" s="145">
        <v>16.0</v>
      </c>
      <c r="V928" s="106">
        <v>0.0</v>
      </c>
      <c r="W928" s="107">
        <v>0.0</v>
      </c>
      <c r="X928" s="107">
        <v>0.0</v>
      </c>
      <c r="Y928" s="107">
        <v>0.0</v>
      </c>
      <c r="Z928" s="80">
        <f t="shared" si="1"/>
        <v>0</v>
      </c>
      <c r="AA928" s="106">
        <v>0.0</v>
      </c>
      <c r="AB928" s="107">
        <v>0.0</v>
      </c>
      <c r="AC928" s="107">
        <v>0.0</v>
      </c>
      <c r="AD928" s="107">
        <v>0.0</v>
      </c>
      <c r="AE928" s="80">
        <f t="shared" si="2"/>
        <v>0</v>
      </c>
      <c r="AF928" s="140">
        <v>0.0</v>
      </c>
      <c r="AG928" s="109">
        <v>0.0</v>
      </c>
      <c r="AH928" s="109">
        <v>0.0</v>
      </c>
      <c r="AI928" s="141">
        <v>278.0</v>
      </c>
      <c r="AJ928" s="80">
        <f t="shared" si="3"/>
        <v>278</v>
      </c>
      <c r="AK928" s="140">
        <v>0.0</v>
      </c>
      <c r="AL928" s="109">
        <v>0.0</v>
      </c>
      <c r="AM928" s="141">
        <v>0.0</v>
      </c>
      <c r="AN928" s="80">
        <f t="shared" si="4"/>
        <v>0</v>
      </c>
      <c r="AO928" s="140">
        <v>0.0</v>
      </c>
      <c r="AP928" s="109">
        <v>0.0</v>
      </c>
      <c r="AQ928" s="109">
        <v>76.0</v>
      </c>
      <c r="AR928" s="80">
        <f t="shared" si="5"/>
        <v>76</v>
      </c>
      <c r="AS928" s="110">
        <v>0.0</v>
      </c>
      <c r="AT928" s="110">
        <v>0.0</v>
      </c>
      <c r="AU928" s="110">
        <v>0.0</v>
      </c>
      <c r="AV928" s="142">
        <v>60.0</v>
      </c>
      <c r="AW928" s="80">
        <f t="shared" si="6"/>
        <v>60</v>
      </c>
      <c r="AX928" s="113">
        <f t="shared" si="7"/>
        <v>414</v>
      </c>
      <c r="AY928" s="117">
        <f t="shared" si="8"/>
        <v>338</v>
      </c>
      <c r="AZ928" s="120">
        <f t="shared" si="9"/>
        <v>76</v>
      </c>
      <c r="BA928" s="115">
        <v>0.0</v>
      </c>
      <c r="BB928" s="89">
        <f t="shared" si="10"/>
        <v>414</v>
      </c>
      <c r="BC928" s="132" t="s">
        <v>373</v>
      </c>
      <c r="BD928" s="132" t="s">
        <v>178</v>
      </c>
      <c r="BE928" s="132" t="s">
        <v>178</v>
      </c>
      <c r="BF928" s="123"/>
      <c r="BG928" s="83">
        <v>1107684.0</v>
      </c>
      <c r="BH928" s="112"/>
      <c r="BI928" s="112">
        <v>9.0</v>
      </c>
      <c r="BJ928" s="98" t="s">
        <v>155</v>
      </c>
      <c r="BK928" s="99">
        <f t="shared" si="11"/>
        <v>338</v>
      </c>
      <c r="BL928" s="99">
        <f t="shared" si="12"/>
        <v>0</v>
      </c>
      <c r="BM928" s="99" t="str">
        <f>IFERROR(__xludf.DUMMYFUNCTION("IFERROR(VLOOKUP(BG928,IMPORTRANGE(""https://docs.google.com/spreadsheets/d/1juPI-Fb8LD0YtltB2mlGEnp_R3UVu1t3wSFPzgCyHXE/edit?gid=0#gid=0"",""GERAL!A2:C""),3,0),""-"")"),"CAMPO")</f>
        <v>CAMPO</v>
      </c>
    </row>
    <row r="929" ht="15.75" customHeight="1">
      <c r="A929" s="111" t="s">
        <v>1090</v>
      </c>
      <c r="B929" s="83" t="s">
        <v>4754</v>
      </c>
      <c r="C929" s="83" t="s">
        <v>68</v>
      </c>
      <c r="D929" s="112">
        <v>1176069.0</v>
      </c>
      <c r="E929" s="83"/>
      <c r="F929" s="83">
        <v>2.9088623E7</v>
      </c>
      <c r="G929" s="119" t="s">
        <v>4755</v>
      </c>
      <c r="H929" s="91" t="s">
        <v>4756</v>
      </c>
      <c r="I929" s="172" t="s">
        <v>149</v>
      </c>
      <c r="J929" s="83" t="s">
        <v>150</v>
      </c>
      <c r="K929" s="83" t="s">
        <v>1685</v>
      </c>
      <c r="L929" s="83" t="s">
        <v>76</v>
      </c>
      <c r="M929" s="82" t="str">
        <f>IFERROR(__xludf.DUMMYFUNCTION("IFERROR(VLOOKUP(D929,
IMPORTRANGE(""https://docs.google.com/spreadsheets/d/1MjHtlUikwobi2MaWJgy7tfLeBmhj1u-dRFRs_8GwSoA/edit#gid=0"",""Gestores Escolares!D7:J""),3,0),""VERIFICAR CÓD SEC"")"),"AMANDA DA SILVA RIOS")</f>
        <v>AMANDA DA SILVA RIOS</v>
      </c>
      <c r="N929" s="82" t="str">
        <f>IFERROR(__xludf.DUMMYFUNCTION("IFERROR(VLOOKUP(D929,
IMPORTRANGE(""https://docs.google.com/spreadsheets/d/1MjHtlUikwobi2MaWJgy7tfLeBmhj1u-dRFRs_8GwSoA/edit#gid=0"",""Gestores Escolares!D7:J""),4,0),""VERIFICAR CÓD SEC"")"),"(74) 9 8802-4306")</f>
        <v>(74) 9 8802-4306</v>
      </c>
      <c r="O929" s="82" t="str">
        <f>IFERROR(__xludf.DUMMYFUNCTION("IFERROR(VLOOKUP(D929,
IMPORTRANGE(""https://docs.google.com/spreadsheets/d/1MjHtlUikwobi2MaWJgy7tfLeBmhj1u-dRFRs_8GwSoA/edit#gid=0"",""Gestores Escolares!D7:J""),6,0),""VERIFICAR CÓD SEC"")"),"ELISON DA SILVA BARRETO")</f>
        <v>ELISON DA SILVA BARRETO</v>
      </c>
      <c r="P929" s="82" t="str">
        <f>IFERROR(__xludf.DUMMYFUNCTION("IFERROR(VLOOKUP(D929,
IMPORTRANGE(""https://docs.google.com/spreadsheets/d/1MjHtlUikwobi2MaWJgy7tfLeBmhj1u-dRFRs_8GwSoA/edit#gid=0"",""Gestores Escolares!D7:J""),7,0),""VERIFICAR CÓD SEC"")"),"(74) 9 8801-7645")</f>
        <v>(74) 9 8801-7645</v>
      </c>
      <c r="Q929" s="82" t="str">
        <f>IFERROR(__xludf.DUMMYFUNCTION("IFERROR(VLOOKUP(D929,
IMPORTRANGE(""https://docs.google.com/spreadsheets/d/1MjHtlUikwobi2MaWJgy7tfLeBmhj1u-dRFRs_8GwSoA/edit#gid=0"",""Gestores Escolares!D7:m""),9,0),""VERIFICAR CÓD SEC"")"),"")</f>
        <v/>
      </c>
      <c r="R929" s="82" t="str">
        <f>IFERROR(__xludf.DUMMYFUNCTION("IFERROR(VLOOKUP(D929,
IMPORTRANGE(""https://docs.google.com/spreadsheets/d/1MjHtlUikwobi2MaWJgy7tfLeBmhj1u-dRFRs_8GwSoA/edit#gid=0"",""Gestores Escolares!D7:m""),10,0),""VERIFICAR CÓD SEC"")"),"")</f>
        <v/>
      </c>
      <c r="S929" s="82"/>
      <c r="T929" s="138">
        <v>12.0</v>
      </c>
      <c r="U929" s="145" t="s">
        <v>12700</v>
      </c>
      <c r="V929" s="106">
        <v>0.0</v>
      </c>
      <c r="W929" s="107">
        <v>0.0</v>
      </c>
      <c r="X929" s="107">
        <v>0.0</v>
      </c>
      <c r="Y929" s="107">
        <v>0.0</v>
      </c>
      <c r="Z929" s="80">
        <f t="shared" si="1"/>
        <v>0</v>
      </c>
      <c r="AA929" s="106">
        <v>0.0</v>
      </c>
      <c r="AB929" s="107">
        <v>0.0</v>
      </c>
      <c r="AC929" s="107">
        <v>0.0</v>
      </c>
      <c r="AD929" s="107">
        <v>0.0</v>
      </c>
      <c r="AE929" s="80">
        <f t="shared" si="2"/>
        <v>0</v>
      </c>
      <c r="AF929" s="140">
        <v>0.0</v>
      </c>
      <c r="AG929" s="109">
        <v>204.0</v>
      </c>
      <c r="AH929" s="109">
        <v>0.0</v>
      </c>
      <c r="AI929" s="141">
        <v>117.0</v>
      </c>
      <c r="AJ929" s="80">
        <f t="shared" si="3"/>
        <v>321</v>
      </c>
      <c r="AK929" s="140">
        <v>0.0</v>
      </c>
      <c r="AL929" s="109">
        <v>0.0</v>
      </c>
      <c r="AM929" s="141">
        <v>0.0</v>
      </c>
      <c r="AN929" s="80">
        <f t="shared" si="4"/>
        <v>0</v>
      </c>
      <c r="AO929" s="140">
        <v>0.0</v>
      </c>
      <c r="AP929" s="109">
        <v>0.0</v>
      </c>
      <c r="AQ929" s="109">
        <v>49.0</v>
      </c>
      <c r="AR929" s="80">
        <f t="shared" si="5"/>
        <v>49</v>
      </c>
      <c r="AS929" s="110">
        <v>0.0</v>
      </c>
      <c r="AT929" s="110">
        <v>0.0</v>
      </c>
      <c r="AU929" s="110">
        <v>0.0</v>
      </c>
      <c r="AV929" s="142">
        <v>17.0</v>
      </c>
      <c r="AW929" s="80">
        <f t="shared" si="6"/>
        <v>17</v>
      </c>
      <c r="AX929" s="113">
        <f t="shared" si="7"/>
        <v>387</v>
      </c>
      <c r="AY929" s="117">
        <f t="shared" si="8"/>
        <v>338</v>
      </c>
      <c r="AZ929" s="120">
        <f t="shared" si="9"/>
        <v>49</v>
      </c>
      <c r="BA929" s="115">
        <v>0.0</v>
      </c>
      <c r="BB929" s="89">
        <f t="shared" si="10"/>
        <v>387</v>
      </c>
      <c r="BC929" s="132" t="s">
        <v>178</v>
      </c>
      <c r="BD929" s="132" t="s">
        <v>178</v>
      </c>
      <c r="BE929" s="132" t="s">
        <v>178</v>
      </c>
      <c r="BF929" s="156"/>
      <c r="BG929" s="83">
        <v>1176069.0</v>
      </c>
      <c r="BH929" s="112"/>
      <c r="BI929" s="112">
        <v>8.0</v>
      </c>
      <c r="BJ929" s="98" t="s">
        <v>155</v>
      </c>
      <c r="BK929" s="99">
        <f t="shared" si="11"/>
        <v>134</v>
      </c>
      <c r="BL929" s="99">
        <f t="shared" si="12"/>
        <v>204</v>
      </c>
      <c r="BM929" s="99" t="str">
        <f>IFERROR(__xludf.DUMMYFUNCTION("IFERROR(VLOOKUP(BG929,IMPORTRANGE(""https://docs.google.com/spreadsheets/d/1juPI-Fb8LD0YtltB2mlGEnp_R3UVu1t3wSFPzgCyHXE/edit?gid=0#gid=0"",""GERAL!A2:C""),3,0),""-"")"),"-")</f>
        <v>-</v>
      </c>
    </row>
    <row r="930" ht="15.75" customHeight="1">
      <c r="A930" s="111" t="s">
        <v>1090</v>
      </c>
      <c r="B930" s="83" t="s">
        <v>4765</v>
      </c>
      <c r="C930" s="83" t="s">
        <v>68</v>
      </c>
      <c r="D930" s="112">
        <v>1122306.0</v>
      </c>
      <c r="E930" s="83"/>
      <c r="F930" s="83">
        <v>2.9079934E7</v>
      </c>
      <c r="G930" s="119" t="s">
        <v>4766</v>
      </c>
      <c r="H930" s="91" t="s">
        <v>4767</v>
      </c>
      <c r="I930" s="172" t="s">
        <v>149</v>
      </c>
      <c r="J930" s="83" t="s">
        <v>150</v>
      </c>
      <c r="K930" s="83" t="s">
        <v>1685</v>
      </c>
      <c r="L930" s="83" t="s">
        <v>76</v>
      </c>
      <c r="M930" s="82" t="str">
        <f>IFERROR(__xludf.DUMMYFUNCTION("IFERROR(VLOOKUP(D930,
IMPORTRANGE(""https://docs.google.com/spreadsheets/d/1MjHtlUikwobi2MaWJgy7tfLeBmhj1u-dRFRs_8GwSoA/edit#gid=0"",""Gestores Escolares!D7:J""),3,0),""VERIFICAR CÓD SEC"")")," ELIEL DOS SANTOS GOMES")</f>
        <v> ELIEL DOS SANTOS GOMES</v>
      </c>
      <c r="N930" s="82" t="str">
        <f>IFERROR(__xludf.DUMMYFUNCTION("IFERROR(VLOOKUP(D930,
IMPORTRANGE(""https://docs.google.com/spreadsheets/d/1MjHtlUikwobi2MaWJgy7tfLeBmhj1u-dRFRs_8GwSoA/edit#gid=0"",""Gestores Escolares!D7:J""),4,0),""VERIFICAR CÓD SEC"")"),"(74) 9 9970-2120")</f>
        <v>(74) 9 9970-2120</v>
      </c>
      <c r="O930" s="82" t="str">
        <f>IFERROR(__xludf.DUMMYFUNCTION("IFERROR(VLOOKUP(D930,
IMPORTRANGE(""https://docs.google.com/spreadsheets/d/1MjHtlUikwobi2MaWJgy7tfLeBmhj1u-dRFRs_8GwSoA/edit#gid=0"",""Gestores Escolares!D7:J""),6,0),""VERIFICAR CÓD SEC"")"),"IONARA AQUINO RIOS")</f>
        <v>IONARA AQUINO RIOS</v>
      </c>
      <c r="P930" s="82" t="str">
        <f>IFERROR(__xludf.DUMMYFUNCTION("IFERROR(VLOOKUP(D930,
IMPORTRANGE(""https://docs.google.com/spreadsheets/d/1MjHtlUikwobi2MaWJgy7tfLeBmhj1u-dRFRs_8GwSoA/edit#gid=0"",""Gestores Escolares!D7:J""),7,0),""VERIFICAR CÓD SEC"")"),"(75) 9 9202-6885/
(74) 9 8139-3678")</f>
        <v>(75) 9 9202-6885/
(74) 9 8139-3678</v>
      </c>
      <c r="Q930" s="82" t="str">
        <f>IFERROR(__xludf.DUMMYFUNCTION("IFERROR(VLOOKUP(D930,
IMPORTRANGE(""https://docs.google.com/spreadsheets/d/1MjHtlUikwobi2MaWJgy7tfLeBmhj1u-dRFRs_8GwSoA/edit#gid=0"",""Gestores Escolares!D7:m""),9,0),""VERIFICAR CÓD SEC"")"),"GENAILDE (COORDENADORA PEDAGÓGICA - (74) 9 9965-5893")</f>
        <v>GENAILDE (COORDENADORA PEDAGÓGICA - (74) 9 9965-5893</v>
      </c>
      <c r="R930" s="82" t="str">
        <f>IFERROR(__xludf.DUMMYFUNCTION("IFERROR(VLOOKUP(D930,
IMPORTRANGE(""https://docs.google.com/spreadsheets/d/1MjHtlUikwobi2MaWJgy7tfLeBmhj1u-dRFRs_8GwSoA/edit#gid=0"",""Gestores Escolares!D7:m""),10,0),""VERIFICAR CÓD SEC"")"),"")</f>
        <v/>
      </c>
      <c r="S930" s="82"/>
      <c r="T930" s="138">
        <v>7.0</v>
      </c>
      <c r="U930" s="217">
        <v>6.0</v>
      </c>
      <c r="V930" s="106">
        <v>0.0</v>
      </c>
      <c r="W930" s="107">
        <v>0.0</v>
      </c>
      <c r="X930" s="107">
        <v>0.0</v>
      </c>
      <c r="Y930" s="107">
        <v>0.0</v>
      </c>
      <c r="Z930" s="80">
        <f t="shared" si="1"/>
        <v>0</v>
      </c>
      <c r="AA930" s="106">
        <v>0.0</v>
      </c>
      <c r="AB930" s="107">
        <v>0.0</v>
      </c>
      <c r="AC930" s="107">
        <v>0.0</v>
      </c>
      <c r="AD930" s="107">
        <v>0.0</v>
      </c>
      <c r="AE930" s="80">
        <f t="shared" si="2"/>
        <v>0</v>
      </c>
      <c r="AF930" s="140">
        <v>0.0</v>
      </c>
      <c r="AG930" s="109">
        <v>62.0</v>
      </c>
      <c r="AH930" s="109">
        <v>0.0</v>
      </c>
      <c r="AI930" s="141">
        <v>93.0</v>
      </c>
      <c r="AJ930" s="80">
        <f t="shared" si="3"/>
        <v>155</v>
      </c>
      <c r="AK930" s="140">
        <v>0.0</v>
      </c>
      <c r="AL930" s="109">
        <v>0.0</v>
      </c>
      <c r="AM930" s="141">
        <v>0.0</v>
      </c>
      <c r="AN930" s="80">
        <f t="shared" si="4"/>
        <v>0</v>
      </c>
      <c r="AO930" s="140">
        <v>0.0</v>
      </c>
      <c r="AP930" s="109">
        <v>0.0</v>
      </c>
      <c r="AQ930" s="109">
        <v>49.0</v>
      </c>
      <c r="AR930" s="80">
        <f t="shared" si="5"/>
        <v>49</v>
      </c>
      <c r="AS930" s="110">
        <v>0.0</v>
      </c>
      <c r="AT930" s="110">
        <v>0.0</v>
      </c>
      <c r="AU930" s="110">
        <v>0.0</v>
      </c>
      <c r="AV930" s="142">
        <v>69.0</v>
      </c>
      <c r="AW930" s="80">
        <f t="shared" si="6"/>
        <v>69</v>
      </c>
      <c r="AX930" s="113">
        <f t="shared" si="7"/>
        <v>273</v>
      </c>
      <c r="AY930" s="117">
        <f t="shared" si="8"/>
        <v>224</v>
      </c>
      <c r="AZ930" s="120">
        <f t="shared" si="9"/>
        <v>49</v>
      </c>
      <c r="BA930" s="115">
        <v>0.0</v>
      </c>
      <c r="BB930" s="89">
        <f t="shared" si="10"/>
        <v>273</v>
      </c>
      <c r="BC930" s="132" t="s">
        <v>178</v>
      </c>
      <c r="BD930" s="132" t="s">
        <v>178</v>
      </c>
      <c r="BE930" s="132" t="s">
        <v>178</v>
      </c>
      <c r="BF930" s="123"/>
      <c r="BG930" s="83">
        <v>1122306.0</v>
      </c>
      <c r="BH930" s="112"/>
      <c r="BI930" s="112">
        <v>6.0</v>
      </c>
      <c r="BJ930" s="98" t="s">
        <v>155</v>
      </c>
      <c r="BK930" s="99">
        <f t="shared" si="11"/>
        <v>162</v>
      </c>
      <c r="BL930" s="99">
        <f t="shared" si="12"/>
        <v>62</v>
      </c>
      <c r="BM930" s="99" t="str">
        <f>IFERROR(__xludf.DUMMYFUNCTION("IFERROR(VLOOKUP(BG930,IMPORTRANGE(""https://docs.google.com/spreadsheets/d/1juPI-Fb8LD0YtltB2mlGEnp_R3UVu1t3wSFPzgCyHXE/edit?gid=0#gid=0"",""GERAL!A2:C""),3,0),""-"")"),"-")</f>
        <v>-</v>
      </c>
    </row>
    <row r="931" ht="15.75" customHeight="1">
      <c r="A931" s="111" t="s">
        <v>1161</v>
      </c>
      <c r="B931" s="83" t="s">
        <v>4771</v>
      </c>
      <c r="C931" s="83" t="s">
        <v>68</v>
      </c>
      <c r="D931" s="112">
        <v>1178027.0</v>
      </c>
      <c r="E931" s="83"/>
      <c r="F931" s="83">
        <v>2.906832E7</v>
      </c>
      <c r="G931" s="119" t="s">
        <v>4772</v>
      </c>
      <c r="H931" s="91" t="s">
        <v>4774</v>
      </c>
      <c r="I931" s="136" t="s">
        <v>149</v>
      </c>
      <c r="J931" s="83" t="s">
        <v>150</v>
      </c>
      <c r="K931" s="83" t="s">
        <v>151</v>
      </c>
      <c r="L931" s="83" t="s">
        <v>152</v>
      </c>
      <c r="M931" s="82" t="str">
        <f>IFERROR(__xludf.DUMMYFUNCTION("IFERROR(VLOOKUP(D931,
IMPORTRANGE(""https://docs.google.com/spreadsheets/d/1MjHtlUikwobi2MaWJgy7tfLeBmhj1u-dRFRs_8GwSoA/edit#gid=0"",""Gestores Escolares!D7:J""),3,0),""VERIFICAR CÓD SEC"")"),"ADRIANA COSTA SILVA OLIVEIRA")</f>
        <v>ADRIANA COSTA SILVA OLIVEIRA</v>
      </c>
      <c r="N931" s="82" t="str">
        <f>IFERROR(__xludf.DUMMYFUNCTION("IFERROR(VLOOKUP(D931,
IMPORTRANGE(""https://docs.google.com/spreadsheets/d/1MjHtlUikwobi2MaWJgy7tfLeBmhj1u-dRFRs_8GwSoA/edit#gid=0"",""Gestores Escolares!D7:J""),4,0),""VERIFICAR CÓD SEC"")"),"(74) 9 8108-5053")</f>
        <v>(74) 9 8108-5053</v>
      </c>
      <c r="O931" s="82" t="str">
        <f>IFERROR(__xludf.DUMMYFUNCTION("IFERROR(VLOOKUP(D931,
IMPORTRANGE(""https://docs.google.com/spreadsheets/d/1MjHtlUikwobi2MaWJgy7tfLeBmhj1u-dRFRs_8GwSoA/edit#gid=0"",""Gestores Escolares!D7:J""),6,0),""VERIFICAR CÓD SEC"")"),"LENIVALTER PEREIRA LOPES")</f>
        <v>LENIVALTER PEREIRA LOPES</v>
      </c>
      <c r="P931" s="82" t="str">
        <f>IFERROR(__xludf.DUMMYFUNCTION("IFERROR(VLOOKUP(D931,
IMPORTRANGE(""https://docs.google.com/spreadsheets/d/1MjHtlUikwobi2MaWJgy7tfLeBmhj1u-dRFRs_8GwSoA/edit#gid=0"",""Gestores Escolares!D7:J""),7,0),""VERIFICAR CÓD SEC"")"),"(74) 9 8109-8485")</f>
        <v>(74) 9 8109-8485</v>
      </c>
      <c r="Q931" s="82" t="str">
        <f>IFERROR(__xludf.DUMMYFUNCTION("IFERROR(VLOOKUP(D931,
IMPORTRANGE(""https://docs.google.com/spreadsheets/d/1MjHtlUikwobi2MaWJgy7tfLeBmhj1u-dRFRs_8GwSoA/edit#gid=0"",""Gestores Escolares!D7:m""),9,0),""VERIFICAR CÓD SEC"")"),"LUCILEIDE OLIVEIRA SILVA RIBEIRO")</f>
        <v>LUCILEIDE OLIVEIRA SILVA RIBEIRO</v>
      </c>
      <c r="R931" s="82" t="str">
        <f>IFERROR(__xludf.DUMMYFUNCTION("IFERROR(VLOOKUP(D931,
IMPORTRANGE(""https://docs.google.com/spreadsheets/d/1MjHtlUikwobi2MaWJgy7tfLeBmhj1u-dRFRs_8GwSoA/edit#gid=0"",""Gestores Escolares!D7:m""),10,0),""VERIFICAR CÓD SEC"")")," (74) 9 9113-9762")</f>
        <v> (74) 9 9113-9762</v>
      </c>
      <c r="S931" s="82"/>
      <c r="T931" s="138">
        <v>6.0</v>
      </c>
      <c r="U931" s="217" t="s">
        <v>12737</v>
      </c>
      <c r="V931" s="106">
        <v>0.0</v>
      </c>
      <c r="W931" s="107">
        <v>0.0</v>
      </c>
      <c r="X931" s="107">
        <v>0.0</v>
      </c>
      <c r="Y931" s="107">
        <v>0.0</v>
      </c>
      <c r="Z931" s="80">
        <f t="shared" si="1"/>
        <v>0</v>
      </c>
      <c r="AA931" s="106">
        <v>0.0</v>
      </c>
      <c r="AB931" s="107">
        <v>0.0</v>
      </c>
      <c r="AC931" s="107">
        <v>0.0</v>
      </c>
      <c r="AD931" s="107">
        <v>0.0</v>
      </c>
      <c r="AE931" s="80">
        <f t="shared" si="2"/>
        <v>0</v>
      </c>
      <c r="AF931" s="140">
        <v>0.0</v>
      </c>
      <c r="AG931" s="109">
        <v>0.0</v>
      </c>
      <c r="AH931" s="109">
        <v>0.0</v>
      </c>
      <c r="AI931" s="141">
        <v>105.0</v>
      </c>
      <c r="AJ931" s="80">
        <f t="shared" si="3"/>
        <v>105</v>
      </c>
      <c r="AK931" s="140">
        <v>0.0</v>
      </c>
      <c r="AL931" s="109">
        <v>0.0</v>
      </c>
      <c r="AM931" s="141">
        <v>0.0</v>
      </c>
      <c r="AN931" s="80">
        <f t="shared" si="4"/>
        <v>0</v>
      </c>
      <c r="AO931" s="140">
        <v>0.0</v>
      </c>
      <c r="AP931" s="109">
        <v>0.0</v>
      </c>
      <c r="AQ931" s="109">
        <v>51.0</v>
      </c>
      <c r="AR931" s="80">
        <f t="shared" si="5"/>
        <v>51</v>
      </c>
      <c r="AS931" s="110">
        <v>0.0</v>
      </c>
      <c r="AT931" s="110">
        <v>0.0</v>
      </c>
      <c r="AU931" s="110">
        <v>0.0</v>
      </c>
      <c r="AV931" s="142">
        <v>62.0</v>
      </c>
      <c r="AW931" s="80">
        <f t="shared" si="6"/>
        <v>62</v>
      </c>
      <c r="AX931" s="113">
        <f t="shared" si="7"/>
        <v>218</v>
      </c>
      <c r="AY931" s="117">
        <f t="shared" si="8"/>
        <v>167</v>
      </c>
      <c r="AZ931" s="120">
        <f t="shared" si="9"/>
        <v>51</v>
      </c>
      <c r="BA931" s="115">
        <v>0.0</v>
      </c>
      <c r="BB931" s="89">
        <f t="shared" si="10"/>
        <v>218</v>
      </c>
      <c r="BC931" s="132" t="s">
        <v>178</v>
      </c>
      <c r="BD931" s="132" t="s">
        <v>178</v>
      </c>
      <c r="BE931" s="132" t="s">
        <v>178</v>
      </c>
      <c r="BF931" s="123"/>
      <c r="BG931" s="83">
        <v>1178027.0</v>
      </c>
      <c r="BH931" s="112"/>
      <c r="BI931" s="112">
        <v>6.0</v>
      </c>
      <c r="BJ931" s="98" t="s">
        <v>162</v>
      </c>
      <c r="BK931" s="99">
        <f t="shared" si="11"/>
        <v>167</v>
      </c>
      <c r="BL931" s="99">
        <f t="shared" si="12"/>
        <v>0</v>
      </c>
      <c r="BM931" s="99" t="str">
        <f>IFERROR(__xludf.DUMMYFUNCTION("IFERROR(VLOOKUP(BG931,IMPORTRANGE(""https://docs.google.com/spreadsheets/d/1juPI-Fb8LD0YtltB2mlGEnp_R3UVu1t3wSFPzgCyHXE/edit?gid=0#gid=0"",""GERAL!A2:C""),3,0),""-"")"),"-")</f>
        <v>-</v>
      </c>
    </row>
    <row r="932" ht="15.75" customHeight="1">
      <c r="A932" s="111" t="s">
        <v>1161</v>
      </c>
      <c r="B932" s="83" t="s">
        <v>4771</v>
      </c>
      <c r="C932" s="83" t="s">
        <v>164</v>
      </c>
      <c r="D932" s="112">
        <v>1178027.0</v>
      </c>
      <c r="E932" s="83">
        <v>1178707.0</v>
      </c>
      <c r="F932" s="98">
        <v>2.9490189E7</v>
      </c>
      <c r="G932" s="114" t="s">
        <v>4781</v>
      </c>
      <c r="H932" s="91" t="s">
        <v>4782</v>
      </c>
      <c r="I932" s="136" t="s">
        <v>4783</v>
      </c>
      <c r="J932" s="83" t="s">
        <v>244</v>
      </c>
      <c r="K932" s="83" t="s">
        <v>168</v>
      </c>
      <c r="L932" s="83" t="s">
        <v>169</v>
      </c>
      <c r="M932" s="82" t="str">
        <f>IFERROR(__xludf.DUMMYFUNCTION("IFERROR(VLOOKUP(D932,
IMPORTRANGE(""https://docs.google.com/spreadsheets/d/1MjHtlUikwobi2MaWJgy7tfLeBmhj1u-dRFRs_8GwSoA/edit#gid=0"",""Gestores Escolares!D7:J""),3,0),""VERIFICAR CÓD SEC"")"),"ADRIANA COSTA SILVA OLIVEIRA")</f>
        <v>ADRIANA COSTA SILVA OLIVEIRA</v>
      </c>
      <c r="N932" s="82" t="str">
        <f>IFERROR(__xludf.DUMMYFUNCTION("IFERROR(VLOOKUP(D932,
IMPORTRANGE(""https://docs.google.com/spreadsheets/d/1MjHtlUikwobi2MaWJgy7tfLeBmhj1u-dRFRs_8GwSoA/edit#gid=0"",""Gestores Escolares!D7:J""),4,0),""VERIFICAR CÓD SEC"")"),"(74) 9 8108-5053")</f>
        <v>(74) 9 8108-5053</v>
      </c>
      <c r="O932" s="82" t="str">
        <f>IFERROR(__xludf.DUMMYFUNCTION("IFERROR(VLOOKUP(D932,
IMPORTRANGE(""https://docs.google.com/spreadsheets/d/1MjHtlUikwobi2MaWJgy7tfLeBmhj1u-dRFRs_8GwSoA/edit#gid=0"",""Gestores Escolares!D7:J""),6,0),""VERIFICAR CÓD SEC"")"),"LENIVALTER PEREIRA LOPES")</f>
        <v>LENIVALTER PEREIRA LOPES</v>
      </c>
      <c r="P932" s="82" t="str">
        <f>IFERROR(__xludf.DUMMYFUNCTION("IFERROR(VLOOKUP(D932,
IMPORTRANGE(""https://docs.google.com/spreadsheets/d/1MjHtlUikwobi2MaWJgy7tfLeBmhj1u-dRFRs_8GwSoA/edit#gid=0"",""Gestores Escolares!D7:J""),7,0),""VERIFICAR CÓD SEC"")"),"(74) 9 8109-8485")</f>
        <v>(74) 9 8109-8485</v>
      </c>
      <c r="Q932" s="82" t="str">
        <f>IFERROR(__xludf.DUMMYFUNCTION("IFERROR(VLOOKUP(D932,
IMPORTRANGE(""https://docs.google.com/spreadsheets/d/1MjHtlUikwobi2MaWJgy7tfLeBmhj1u-dRFRs_8GwSoA/edit#gid=0"",""Gestores Escolares!D7:m""),9,0),""VERIFICAR CÓD SEC"")"),"LUCILEIDE OLIVEIRA SILVA RIBEIRO")</f>
        <v>LUCILEIDE OLIVEIRA SILVA RIBEIRO</v>
      </c>
      <c r="R932" s="82" t="str">
        <f>IFERROR(__xludf.DUMMYFUNCTION("IFERROR(VLOOKUP(D932,
IMPORTRANGE(""https://docs.google.com/spreadsheets/d/1MjHtlUikwobi2MaWJgy7tfLeBmhj1u-dRFRs_8GwSoA/edit#gid=0"",""Gestores Escolares!D7:m""),10,0),""VERIFICAR CÓD SEC"")")," (74) 9 9113-9762")</f>
        <v> (74) 9 9113-9762</v>
      </c>
      <c r="S932" s="82"/>
      <c r="T932" s="138">
        <v>4.0</v>
      </c>
      <c r="U932" s="217">
        <v>4.0</v>
      </c>
      <c r="V932" s="106">
        <v>0.0</v>
      </c>
      <c r="W932" s="107">
        <v>0.0</v>
      </c>
      <c r="X932" s="107">
        <v>0.0</v>
      </c>
      <c r="Y932" s="107">
        <v>0.0</v>
      </c>
      <c r="Z932" s="80">
        <f t="shared" si="1"/>
        <v>0</v>
      </c>
      <c r="AA932" s="106">
        <v>0.0</v>
      </c>
      <c r="AB932" s="107">
        <v>0.0</v>
      </c>
      <c r="AC932" s="107">
        <v>0.0</v>
      </c>
      <c r="AD932" s="107">
        <v>0.0</v>
      </c>
      <c r="AE932" s="80">
        <f t="shared" si="2"/>
        <v>0</v>
      </c>
      <c r="AF932" s="140">
        <v>68.0</v>
      </c>
      <c r="AG932" s="109">
        <v>63.0</v>
      </c>
      <c r="AH932" s="109">
        <v>0.0</v>
      </c>
      <c r="AI932" s="141">
        <v>0.0</v>
      </c>
      <c r="AJ932" s="80">
        <f t="shared" si="3"/>
        <v>131</v>
      </c>
      <c r="AK932" s="140">
        <v>0.0</v>
      </c>
      <c r="AL932" s="109">
        <v>0.0</v>
      </c>
      <c r="AM932" s="141">
        <v>0.0</v>
      </c>
      <c r="AN932" s="80">
        <f t="shared" si="4"/>
        <v>0</v>
      </c>
      <c r="AO932" s="140">
        <v>0.0</v>
      </c>
      <c r="AP932" s="109">
        <v>0.0</v>
      </c>
      <c r="AQ932" s="109">
        <v>0.0</v>
      </c>
      <c r="AR932" s="80">
        <f t="shared" si="5"/>
        <v>0</v>
      </c>
      <c r="AS932" s="110">
        <v>0.0</v>
      </c>
      <c r="AT932" s="110">
        <v>0.0</v>
      </c>
      <c r="AU932" s="110">
        <v>0.0</v>
      </c>
      <c r="AV932" s="142">
        <v>0.0</v>
      </c>
      <c r="AW932" s="80">
        <f t="shared" si="6"/>
        <v>0</v>
      </c>
      <c r="AX932" s="113">
        <f t="shared" si="7"/>
        <v>131</v>
      </c>
      <c r="AY932" s="117">
        <f t="shared" si="8"/>
        <v>131</v>
      </c>
      <c r="AZ932" s="120">
        <f t="shared" si="9"/>
        <v>0</v>
      </c>
      <c r="BA932" s="115">
        <v>0.0</v>
      </c>
      <c r="BB932" s="89">
        <f t="shared" si="10"/>
        <v>131</v>
      </c>
      <c r="BC932" s="132" t="s">
        <v>373</v>
      </c>
      <c r="BD932" s="132" t="s">
        <v>178</v>
      </c>
      <c r="BE932" s="132" t="s">
        <v>178</v>
      </c>
      <c r="BF932" s="123"/>
      <c r="BG932" s="83">
        <v>1178707.0</v>
      </c>
      <c r="BH932" s="112"/>
      <c r="BI932" s="112">
        <v>4.0</v>
      </c>
      <c r="BJ932" s="98" t="s">
        <v>155</v>
      </c>
      <c r="BK932" s="99">
        <f t="shared" si="11"/>
        <v>0</v>
      </c>
      <c r="BL932" s="99">
        <f t="shared" si="12"/>
        <v>131</v>
      </c>
      <c r="BM932" s="99" t="str">
        <f>IFERROR(__xludf.DUMMYFUNCTION("IFERROR(VLOOKUP(BG932,IMPORTRANGE(""https://docs.google.com/spreadsheets/d/1juPI-Fb8LD0YtltB2mlGEnp_R3UVu1t3wSFPzgCyHXE/edit?gid=0#gid=0"",""GERAL!A2:C""),3,0),""-"")"),"CAMPO")</f>
        <v>CAMPO</v>
      </c>
    </row>
    <row r="933" ht="15.75" customHeight="1">
      <c r="A933" s="111" t="s">
        <v>1161</v>
      </c>
      <c r="B933" s="83" t="s">
        <v>2175</v>
      </c>
      <c r="C933" s="83" t="s">
        <v>68</v>
      </c>
      <c r="D933" s="98">
        <v>1179765.0</v>
      </c>
      <c r="E933" s="83"/>
      <c r="F933" s="98">
        <v>2.9486327E7</v>
      </c>
      <c r="G933" s="184" t="s">
        <v>4784</v>
      </c>
      <c r="H933" s="108" t="s">
        <v>4785</v>
      </c>
      <c r="I933" s="172"/>
      <c r="J933" s="83"/>
      <c r="K933" s="83" t="s">
        <v>151</v>
      </c>
      <c r="L933" s="98" t="s">
        <v>169</v>
      </c>
      <c r="M933" s="82" t="str">
        <f>IFERROR(__xludf.DUMMYFUNCTION("IFERROR(VLOOKUP(D933,
IMPORTRANGE(""https://docs.google.com/spreadsheets/d/1MjHtlUikwobi2MaWJgy7tfLeBmhj1u-dRFRs_8GwSoA/edit#gid=0"",""Gestores Escolares!D7:J""),3,0),""VERIFICAR CÓD SEC"")"),"CRISTINA RAMOS DA SILVA CARVALHO")</f>
        <v>CRISTINA RAMOS DA SILVA CARVALHO</v>
      </c>
      <c r="N933" s="82" t="str">
        <f>IFERROR(__xludf.DUMMYFUNCTION("IFERROR(VLOOKUP(D933,
IMPORTRANGE(""https://docs.google.com/spreadsheets/d/1MjHtlUikwobi2MaWJgy7tfLeBmhj1u-dRFRs_8GwSoA/edit#gid=0"",""Gestores Escolares!D7:J""),4,0),""VERIFICAR CÓD SEC"")"),"(74) 9 8102-0218")</f>
        <v>(74) 9 8102-0218</v>
      </c>
      <c r="O933" s="82" t="str">
        <f>IFERROR(__xludf.DUMMYFUNCTION("IFERROR(VLOOKUP(D933,
IMPORTRANGE(""https://docs.google.com/spreadsheets/d/1MjHtlUikwobi2MaWJgy7tfLeBmhj1u-dRFRs_8GwSoA/edit#gid=0"",""Gestores Escolares!D7:J""),6,0),""VERIFICAR CÓD SEC"")"),"THASSIA DE SA SAMPAIO SAAR")</f>
        <v>THASSIA DE SA SAMPAIO SAAR</v>
      </c>
      <c r="P933" s="82" t="str">
        <f>IFERROR(__xludf.DUMMYFUNCTION("IFERROR(VLOOKUP(D933,
IMPORTRANGE(""https://docs.google.com/spreadsheets/d/1MjHtlUikwobi2MaWJgy7tfLeBmhj1u-dRFRs_8GwSoA/edit#gid=0"",""Gestores Escolares!D7:J""),7,0),""VERIFICAR CÓD SEC"")"),"(74) 7400-8299")</f>
        <v>(74) 7400-8299</v>
      </c>
      <c r="Q933" s="82" t="str">
        <f>IFERROR(__xludf.DUMMYFUNCTION("IFERROR(VLOOKUP(D933,
IMPORTRANGE(""https://docs.google.com/spreadsheets/d/1MjHtlUikwobi2MaWJgy7tfLeBmhj1u-dRFRs_8GwSoA/edit#gid=0"",""Gestores Escolares!D7:m""),9,0),""VERIFICAR CÓD SEC"")"),"")</f>
        <v/>
      </c>
      <c r="R933" s="82" t="str">
        <f>IFERROR(__xludf.DUMMYFUNCTION("IFERROR(VLOOKUP(D933,
IMPORTRANGE(""https://docs.google.com/spreadsheets/d/1MjHtlUikwobi2MaWJgy7tfLeBmhj1u-dRFRs_8GwSoA/edit#gid=0"",""Gestores Escolares!D7:m""),10,0),""VERIFICAR CÓD SEC"")"),"")</f>
        <v/>
      </c>
      <c r="S933" s="82"/>
      <c r="T933" s="138"/>
      <c r="U933" s="217">
        <v>5.0</v>
      </c>
      <c r="V933" s="106">
        <v>0.0</v>
      </c>
      <c r="W933" s="107">
        <v>0.0</v>
      </c>
      <c r="X933" s="107">
        <v>0.0</v>
      </c>
      <c r="Y933" s="107">
        <v>0.0</v>
      </c>
      <c r="Z933" s="80">
        <f t="shared" si="1"/>
        <v>0</v>
      </c>
      <c r="AA933" s="106">
        <v>0.0</v>
      </c>
      <c r="AB933" s="107">
        <v>0.0</v>
      </c>
      <c r="AC933" s="107">
        <v>0.0</v>
      </c>
      <c r="AD933" s="107">
        <v>0.0</v>
      </c>
      <c r="AE933" s="80">
        <f t="shared" si="2"/>
        <v>0</v>
      </c>
      <c r="AF933" s="140">
        <v>63.0</v>
      </c>
      <c r="AG933" s="109">
        <v>55.0</v>
      </c>
      <c r="AH933" s="109">
        <v>0.0</v>
      </c>
      <c r="AI933" s="141">
        <v>42.0</v>
      </c>
      <c r="AJ933" s="80">
        <f t="shared" si="3"/>
        <v>160</v>
      </c>
      <c r="AK933" s="140">
        <v>0.0</v>
      </c>
      <c r="AL933" s="109">
        <v>0.0</v>
      </c>
      <c r="AM933" s="141">
        <v>0.0</v>
      </c>
      <c r="AN933" s="80">
        <f t="shared" si="4"/>
        <v>0</v>
      </c>
      <c r="AO933" s="140">
        <v>0.0</v>
      </c>
      <c r="AP933" s="109">
        <v>0.0</v>
      </c>
      <c r="AQ933" s="109">
        <v>52.0</v>
      </c>
      <c r="AR933" s="80">
        <f t="shared" si="5"/>
        <v>52</v>
      </c>
      <c r="AS933" s="110">
        <v>0.0</v>
      </c>
      <c r="AT933" s="110">
        <v>0.0</v>
      </c>
      <c r="AU933" s="110">
        <v>0.0</v>
      </c>
      <c r="AV933" s="142">
        <v>0.0</v>
      </c>
      <c r="AW933" s="80">
        <f t="shared" si="6"/>
        <v>0</v>
      </c>
      <c r="AX933" s="113">
        <f t="shared" si="7"/>
        <v>212</v>
      </c>
      <c r="AY933" s="117">
        <f t="shared" si="8"/>
        <v>160</v>
      </c>
      <c r="AZ933" s="120">
        <f t="shared" si="9"/>
        <v>52</v>
      </c>
      <c r="BA933" s="115">
        <v>0.0</v>
      </c>
      <c r="BB933" s="89">
        <f t="shared" si="10"/>
        <v>212</v>
      </c>
      <c r="BC933" s="132"/>
      <c r="BD933" s="132"/>
      <c r="BE933" s="132"/>
      <c r="BF933" s="156"/>
      <c r="BG933" s="98">
        <v>1179765.0</v>
      </c>
      <c r="BH933" s="112"/>
      <c r="BI933" s="112"/>
      <c r="BJ933" s="98" t="s">
        <v>155</v>
      </c>
      <c r="BK933" s="99">
        <f t="shared" si="11"/>
        <v>42</v>
      </c>
      <c r="BL933" s="99">
        <f t="shared" si="12"/>
        <v>118</v>
      </c>
      <c r="BM933" s="99" t="str">
        <f>IFERROR(__xludf.DUMMYFUNCTION("IFERROR(VLOOKUP(BG933,IMPORTRANGE(""https://docs.google.com/spreadsheets/d/1juPI-Fb8LD0YtltB2mlGEnp_R3UVu1t3wSFPzgCyHXE/edit?gid=0#gid=0"",""GERAL!A2:C""),3,0),""-"")"),"CAMPO")</f>
        <v>CAMPO</v>
      </c>
    </row>
    <row r="934" ht="15.75" customHeight="1">
      <c r="A934" s="111" t="s">
        <v>1161</v>
      </c>
      <c r="B934" s="83" t="s">
        <v>2175</v>
      </c>
      <c r="C934" s="83" t="s">
        <v>68</v>
      </c>
      <c r="D934" s="98">
        <v>1179840.0</v>
      </c>
      <c r="E934" s="83"/>
      <c r="F934" s="98">
        <v>2.9497299E7</v>
      </c>
      <c r="G934" s="119" t="s">
        <v>4787</v>
      </c>
      <c r="H934" s="108" t="s">
        <v>4788</v>
      </c>
      <c r="I934" s="172" t="s">
        <v>4789</v>
      </c>
      <c r="J934" s="83"/>
      <c r="K934" s="136" t="s">
        <v>151</v>
      </c>
      <c r="L934" s="83" t="s">
        <v>169</v>
      </c>
      <c r="M934" s="82" t="str">
        <f>IFERROR(__xludf.DUMMYFUNCTION("IFERROR(VLOOKUP(D934,
IMPORTRANGE(""https://docs.google.com/spreadsheets/d/1MjHtlUikwobi2MaWJgy7tfLeBmhj1u-dRFRs_8GwSoA/edit#gid=0"",""Gestores Escolares!D7:J""),3,0),""VERIFICAR CÓD SEC"")"),"SEM DIREÇÃO - EM TRÂMITES PARA INDICAÇÃO DE UM GESTOR, ATÉ ENTAO A DIREÇÃO DO NTE RESPONDE PELA ESCOLA")</f>
        <v>SEM DIREÇÃO - EM TRÂMITES PARA INDICAÇÃO DE UM GESTOR, ATÉ ENTAO A DIREÇÃO DO NTE RESPONDE PELA ESCOLA</v>
      </c>
      <c r="N934" s="82" t="str">
        <f>IFERROR(__xludf.DUMMYFUNCTION("IFERROR(VLOOKUP(D934,
IMPORTRANGE(""https://docs.google.com/spreadsheets/d/1MjHtlUikwobi2MaWJgy7tfLeBmhj1u-dRFRs_8GwSoA/edit#gid=0"",""Gestores Escolares!D7:J""),4,0),""VERIFICAR CÓD SEC"")"),"")</f>
        <v/>
      </c>
      <c r="O934" s="82" t="str">
        <f>IFERROR(__xludf.DUMMYFUNCTION("IFERROR(VLOOKUP(D934,
IMPORTRANGE(""https://docs.google.com/spreadsheets/d/1MjHtlUikwobi2MaWJgy7tfLeBmhj1u-dRFRs_8GwSoA/edit#gid=0"",""Gestores Escolares!D7:J""),6,0),""VERIFICAR CÓD SEC"")"),"")</f>
        <v/>
      </c>
      <c r="P934" s="82" t="str">
        <f>IFERROR(__xludf.DUMMYFUNCTION("IFERROR(VLOOKUP(D934,
IMPORTRANGE(""https://docs.google.com/spreadsheets/d/1MjHtlUikwobi2MaWJgy7tfLeBmhj1u-dRFRs_8GwSoA/edit#gid=0"",""Gestores Escolares!D7:J""),7,0),""VERIFICAR CÓD SEC"")"),"")</f>
        <v/>
      </c>
      <c r="Q934" s="82" t="str">
        <f>IFERROR(__xludf.DUMMYFUNCTION("IFERROR(VLOOKUP(D934,
IMPORTRANGE(""https://docs.google.com/spreadsheets/d/1MjHtlUikwobi2MaWJgy7tfLeBmhj1u-dRFRs_8GwSoA/edit#gid=0"",""Gestores Escolares!D7:m""),9,0),""VERIFICAR CÓD SEC"")"),"")</f>
        <v/>
      </c>
      <c r="R934" s="82" t="str">
        <f>IFERROR(__xludf.DUMMYFUNCTION("IFERROR(VLOOKUP(D934,
IMPORTRANGE(""https://docs.google.com/spreadsheets/d/1MjHtlUikwobi2MaWJgy7tfLeBmhj1u-dRFRs_8GwSoA/edit#gid=0"",""Gestores Escolares!D7:m""),10,0),""VERIFICAR CÓD SEC"")"),"")</f>
        <v/>
      </c>
      <c r="S934" s="82"/>
      <c r="T934" s="138"/>
      <c r="U934" s="152"/>
      <c r="V934" s="106">
        <v>0.0</v>
      </c>
      <c r="W934" s="107">
        <v>0.0</v>
      </c>
      <c r="X934" s="107">
        <v>0.0</v>
      </c>
      <c r="Y934" s="107">
        <v>0.0</v>
      </c>
      <c r="Z934" s="80">
        <f t="shared" si="1"/>
        <v>0</v>
      </c>
      <c r="AA934" s="106">
        <v>0.0</v>
      </c>
      <c r="AB934" s="107">
        <v>0.0</v>
      </c>
      <c r="AC934" s="107">
        <v>0.0</v>
      </c>
      <c r="AD934" s="107">
        <v>0.0</v>
      </c>
      <c r="AE934" s="80">
        <f t="shared" si="2"/>
        <v>0</v>
      </c>
      <c r="AF934" s="140">
        <v>107.0</v>
      </c>
      <c r="AG934" s="109">
        <v>70.0</v>
      </c>
      <c r="AH934" s="109">
        <v>0.0</v>
      </c>
      <c r="AI934" s="141">
        <v>0.0</v>
      </c>
      <c r="AJ934" s="80">
        <f t="shared" si="3"/>
        <v>177</v>
      </c>
      <c r="AK934" s="140">
        <v>0.0</v>
      </c>
      <c r="AL934" s="109">
        <v>0.0</v>
      </c>
      <c r="AM934" s="141">
        <v>0.0</v>
      </c>
      <c r="AN934" s="80">
        <f t="shared" si="4"/>
        <v>0</v>
      </c>
      <c r="AO934" s="140">
        <v>0.0</v>
      </c>
      <c r="AP934" s="109">
        <v>0.0</v>
      </c>
      <c r="AQ934" s="109">
        <v>0.0</v>
      </c>
      <c r="AR934" s="80">
        <f t="shared" si="5"/>
        <v>0</v>
      </c>
      <c r="AS934" s="110">
        <v>0.0</v>
      </c>
      <c r="AT934" s="110">
        <v>0.0</v>
      </c>
      <c r="AU934" s="110">
        <v>0.0</v>
      </c>
      <c r="AV934" s="142">
        <v>0.0</v>
      </c>
      <c r="AW934" s="80">
        <f t="shared" si="6"/>
        <v>0</v>
      </c>
      <c r="AX934" s="113">
        <f t="shared" si="7"/>
        <v>177</v>
      </c>
      <c r="AY934" s="117">
        <f t="shared" si="8"/>
        <v>177</v>
      </c>
      <c r="AZ934" s="120">
        <f t="shared" si="9"/>
        <v>0</v>
      </c>
      <c r="BA934" s="115">
        <v>0.0</v>
      </c>
      <c r="BB934" s="89">
        <f t="shared" si="10"/>
        <v>177</v>
      </c>
      <c r="BC934" s="132" t="s">
        <v>373</v>
      </c>
      <c r="BD934" s="132" t="s">
        <v>178</v>
      </c>
      <c r="BE934" s="132" t="s">
        <v>178</v>
      </c>
      <c r="BF934" s="123"/>
      <c r="BG934" s="98">
        <v>1179840.0</v>
      </c>
      <c r="BH934" s="112"/>
      <c r="BI934" s="112"/>
      <c r="BJ934" s="98"/>
      <c r="BK934" s="99">
        <f t="shared" si="11"/>
        <v>0</v>
      </c>
      <c r="BL934" s="99">
        <f t="shared" si="12"/>
        <v>177</v>
      </c>
      <c r="BM934" s="99" t="str">
        <f>IFERROR(__xludf.DUMMYFUNCTION("IFERROR(VLOOKUP(BG934,IMPORTRANGE(""https://docs.google.com/spreadsheets/d/1juPI-Fb8LD0YtltB2mlGEnp_R3UVu1t3wSFPzgCyHXE/edit?gid=0#gid=0"",""GERAL!A2:C""),3,0),""-"")"),"CAMPO")</f>
        <v>CAMPO</v>
      </c>
    </row>
    <row r="935" ht="15.75" customHeight="1">
      <c r="A935" s="111" t="s">
        <v>1161</v>
      </c>
      <c r="B935" s="83" t="s">
        <v>2175</v>
      </c>
      <c r="C935" s="83" t="s">
        <v>68</v>
      </c>
      <c r="D935" s="112">
        <v>1121962.0</v>
      </c>
      <c r="E935" s="83"/>
      <c r="F935" s="83">
        <v>2.907035E7</v>
      </c>
      <c r="G935" s="184" t="s">
        <v>4798</v>
      </c>
      <c r="H935" s="91" t="s">
        <v>4799</v>
      </c>
      <c r="I935" s="172" t="s">
        <v>4800</v>
      </c>
      <c r="J935" s="83" t="s">
        <v>150</v>
      </c>
      <c r="K935" s="83" t="s">
        <v>151</v>
      </c>
      <c r="L935" s="83" t="s">
        <v>230</v>
      </c>
      <c r="M935" s="82" t="str">
        <f>IFERROR(__xludf.DUMMYFUNCTION("IFERROR(VLOOKUP(D935,
IMPORTRANGE(""https://docs.google.com/spreadsheets/d/1MjHtlUikwobi2MaWJgy7tfLeBmhj1u-dRFRs_8GwSoA/edit#gid=0"",""Gestores Escolares!D7:J""),3,0),""VERIFICAR CÓD SEC"")"),"MAGNA CRISTINA MARIA MAIA")</f>
        <v>MAGNA CRISTINA MARIA MAIA</v>
      </c>
      <c r="N935" s="82" t="str">
        <f>IFERROR(__xludf.DUMMYFUNCTION("IFERROR(VLOOKUP(D935,
IMPORTRANGE(""https://docs.google.com/spreadsheets/d/1MjHtlUikwobi2MaWJgy7tfLeBmhj1u-dRFRs_8GwSoA/edit#gid=0"",""Gestores Escolares!D7:J""),4,0),""VERIFICAR CÓD SEC"")"),"(74) 9 9100-4219")</f>
        <v>(74) 9 9100-4219</v>
      </c>
      <c r="O935" s="82" t="str">
        <f>IFERROR(__xludf.DUMMYFUNCTION("IFERROR(VLOOKUP(D935,
IMPORTRANGE(""https://docs.google.com/spreadsheets/d/1MjHtlUikwobi2MaWJgy7tfLeBmhj1u-dRFRs_8GwSoA/edit#gid=0"",""Gestores Escolares!D7:J""),6,0),""VERIFICAR CÓD SEC"")"),"NELSON LINHARES MAIA FILHO")</f>
        <v>NELSON LINHARES MAIA FILHO</v>
      </c>
      <c r="P935" s="82" t="str">
        <f>IFERROR(__xludf.DUMMYFUNCTION("IFERROR(VLOOKUP(D935,
IMPORTRANGE(""https://docs.google.com/spreadsheets/d/1MjHtlUikwobi2MaWJgy7tfLeBmhj1u-dRFRs_8GwSoA/edit#gid=0"",""Gestores Escolares!D7:J""),7,0),""VERIFICAR CÓD SEC"")"),"(74) 9 8853-8873")</f>
        <v>(74) 9 8853-8873</v>
      </c>
      <c r="Q935" s="82" t="str">
        <f>IFERROR(__xludf.DUMMYFUNCTION("IFERROR(VLOOKUP(D935,
IMPORTRANGE(""https://docs.google.com/spreadsheets/d/1MjHtlUikwobi2MaWJgy7tfLeBmhj1u-dRFRs_8GwSoA/edit#gid=0"",""Gestores Escolares!D7:m""),9,0),""VERIFICAR CÓD SEC"")"),"FRANCILENE RAMOS NOVAIS SAMPAIO")</f>
        <v>FRANCILENE RAMOS NOVAIS SAMPAIO</v>
      </c>
      <c r="R935" s="82" t="str">
        <f>IFERROR(__xludf.DUMMYFUNCTION("IFERROR(VLOOKUP(D935,
IMPORTRANGE(""https://docs.google.com/spreadsheets/d/1MjHtlUikwobi2MaWJgy7tfLeBmhj1u-dRFRs_8GwSoA/edit#gid=0"",""Gestores Escolares!D7:m""),10,0),""VERIFICAR CÓD SEC"")"),"(74) 9 9104-1567")</f>
        <v>(74) 9 9104-1567</v>
      </c>
      <c r="S935" s="82"/>
      <c r="T935" s="138">
        <v>23.0</v>
      </c>
      <c r="U935" s="217" t="s">
        <v>12792</v>
      </c>
      <c r="V935" s="106">
        <v>0.0</v>
      </c>
      <c r="W935" s="107">
        <v>0.0</v>
      </c>
      <c r="X935" s="107">
        <v>0.0</v>
      </c>
      <c r="Y935" s="107">
        <v>0.0</v>
      </c>
      <c r="Z935" s="80">
        <f t="shared" si="1"/>
        <v>0</v>
      </c>
      <c r="AA935" s="106">
        <v>0.0</v>
      </c>
      <c r="AB935" s="107">
        <v>0.0</v>
      </c>
      <c r="AC935" s="107">
        <v>0.0</v>
      </c>
      <c r="AD935" s="107">
        <v>0.0</v>
      </c>
      <c r="AE935" s="80">
        <f t="shared" si="2"/>
        <v>0</v>
      </c>
      <c r="AF935" s="140">
        <v>33.0</v>
      </c>
      <c r="AG935" s="109">
        <v>0.0</v>
      </c>
      <c r="AH935" s="109">
        <v>0.0</v>
      </c>
      <c r="AI935" s="141">
        <v>758.0</v>
      </c>
      <c r="AJ935" s="80">
        <f t="shared" si="3"/>
        <v>791</v>
      </c>
      <c r="AK935" s="140">
        <v>0.0</v>
      </c>
      <c r="AL935" s="109">
        <v>0.0</v>
      </c>
      <c r="AM935" s="141">
        <v>0.0</v>
      </c>
      <c r="AN935" s="80">
        <f t="shared" si="4"/>
        <v>0</v>
      </c>
      <c r="AO935" s="140">
        <v>0.0</v>
      </c>
      <c r="AP935" s="109">
        <v>0.0</v>
      </c>
      <c r="AQ935" s="109">
        <v>318.0</v>
      </c>
      <c r="AR935" s="80">
        <f t="shared" si="5"/>
        <v>318</v>
      </c>
      <c r="AS935" s="110">
        <v>0.0</v>
      </c>
      <c r="AT935" s="110">
        <v>0.0</v>
      </c>
      <c r="AU935" s="110">
        <v>0.0</v>
      </c>
      <c r="AV935" s="142">
        <v>0.0</v>
      </c>
      <c r="AW935" s="80">
        <f t="shared" si="6"/>
        <v>0</v>
      </c>
      <c r="AX935" s="113">
        <f t="shared" si="7"/>
        <v>1109</v>
      </c>
      <c r="AY935" s="117">
        <f t="shared" si="8"/>
        <v>791</v>
      </c>
      <c r="AZ935" s="120">
        <f t="shared" si="9"/>
        <v>318</v>
      </c>
      <c r="BA935" s="115">
        <v>0.0</v>
      </c>
      <c r="BB935" s="89">
        <f t="shared" si="10"/>
        <v>1109</v>
      </c>
      <c r="BC935" s="132" t="s">
        <v>178</v>
      </c>
      <c r="BD935" s="132" t="s">
        <v>178</v>
      </c>
      <c r="BE935" s="132" t="s">
        <v>178</v>
      </c>
      <c r="BF935" s="123"/>
      <c r="BG935" s="83">
        <v>1121962.0</v>
      </c>
      <c r="BH935" s="112"/>
      <c r="BI935" s="112">
        <v>22.0</v>
      </c>
      <c r="BJ935" s="98" t="s">
        <v>284</v>
      </c>
      <c r="BK935" s="99">
        <f t="shared" si="11"/>
        <v>758</v>
      </c>
      <c r="BL935" s="99">
        <f t="shared" si="12"/>
        <v>33</v>
      </c>
      <c r="BM935" s="99" t="str">
        <f>IFERROR(__xludf.DUMMYFUNCTION("IFERROR(VLOOKUP(BG935,IMPORTRANGE(""https://docs.google.com/spreadsheets/d/1juPI-Fb8LD0YtltB2mlGEnp_R3UVu1t3wSFPzgCyHXE/edit?gid=0#gid=0"",""GERAL!A2:C""),3,0),""-"")"),"-")</f>
        <v>-</v>
      </c>
    </row>
    <row r="936" ht="15.75" customHeight="1">
      <c r="A936" s="111" t="s">
        <v>1161</v>
      </c>
      <c r="B936" s="83" t="s">
        <v>2175</v>
      </c>
      <c r="C936" s="83" t="s">
        <v>68</v>
      </c>
      <c r="D936" s="112">
        <v>1158157.0</v>
      </c>
      <c r="E936" s="83"/>
      <c r="F936" s="83">
        <v>2.9071275E7</v>
      </c>
      <c r="G936" s="185" t="s">
        <v>4810</v>
      </c>
      <c r="H936" s="91" t="s">
        <v>4811</v>
      </c>
      <c r="I936" s="172" t="s">
        <v>4812</v>
      </c>
      <c r="J936" s="83" t="s">
        <v>471</v>
      </c>
      <c r="K936" s="83" t="s">
        <v>151</v>
      </c>
      <c r="L936" s="83" t="s">
        <v>76</v>
      </c>
      <c r="M936" s="82" t="str">
        <f>IFERROR(__xludf.DUMMYFUNCTION("IFERROR(VLOOKUP(D936,
IMPORTRANGE(""https://docs.google.com/spreadsheets/d/1MjHtlUikwobi2MaWJgy7tfLeBmhj1u-dRFRs_8GwSoA/edit#gid=0"",""Gestores Escolares!D7:J""),3,0),""VERIFICAR CÓD SEC"")"),"PRISCILA DE OLIVEIRA SANTANA")</f>
        <v>PRISCILA DE OLIVEIRA SANTANA</v>
      </c>
      <c r="N936" s="82" t="str">
        <f>IFERROR(__xludf.DUMMYFUNCTION("IFERROR(VLOOKUP(D936,
IMPORTRANGE(""https://docs.google.com/spreadsheets/d/1MjHtlUikwobi2MaWJgy7tfLeBmhj1u-dRFRs_8GwSoA/edit#gid=0"",""Gestores Escolares!D7:J""),4,0),""VERIFICAR CÓD SEC"")"),"(74) 9 9908-6541")</f>
        <v>(74) 9 9908-6541</v>
      </c>
      <c r="O936" s="82" t="str">
        <f>IFERROR(__xludf.DUMMYFUNCTION("IFERROR(VLOOKUP(D936,
IMPORTRANGE(""https://docs.google.com/spreadsheets/d/1MjHtlUikwobi2MaWJgy7tfLeBmhj1u-dRFRs_8GwSoA/edit#gid=0"",""Gestores Escolares!D7:J""),6,0),""VERIFICAR CÓD SEC"")"),"EDSON RIBEIRO DE JESUS")</f>
        <v>EDSON RIBEIRO DE JESUS</v>
      </c>
      <c r="P936" s="82" t="str">
        <f>IFERROR(__xludf.DUMMYFUNCTION("IFERROR(VLOOKUP(D936,
IMPORTRANGE(""https://docs.google.com/spreadsheets/d/1MjHtlUikwobi2MaWJgy7tfLeBmhj1u-dRFRs_8GwSoA/edit#gid=0"",""Gestores Escolares!D7:J""),7,0),""VERIFICAR CÓD SEC"")"),"(74) 9 9949-8861")</f>
        <v>(74) 9 9949-8861</v>
      </c>
      <c r="Q936" s="82" t="str">
        <f>IFERROR(__xludf.DUMMYFUNCTION("IFERROR(VLOOKUP(D936,
IMPORTRANGE(""https://docs.google.com/spreadsheets/d/1MjHtlUikwobi2MaWJgy7tfLeBmhj1u-dRFRs_8GwSoA/edit#gid=0"",""Gestores Escolares!D7:m""),9,0),""VERIFICAR CÓD SEC"")"),"")</f>
        <v/>
      </c>
      <c r="R936" s="82" t="str">
        <f>IFERROR(__xludf.DUMMYFUNCTION("IFERROR(VLOOKUP(D936,
IMPORTRANGE(""https://docs.google.com/spreadsheets/d/1MjHtlUikwobi2MaWJgy7tfLeBmhj1u-dRFRs_8GwSoA/edit#gid=0"",""Gestores Escolares!D7:m""),10,0),""VERIFICAR CÓD SEC"")"),"")</f>
        <v/>
      </c>
      <c r="S936" s="82"/>
      <c r="T936" s="138">
        <v>6.0</v>
      </c>
      <c r="U936" s="217" t="s">
        <v>4615</v>
      </c>
      <c r="V936" s="106">
        <v>0.0</v>
      </c>
      <c r="W936" s="107">
        <v>0.0</v>
      </c>
      <c r="X936" s="107">
        <v>0.0</v>
      </c>
      <c r="Y936" s="107">
        <v>0.0</v>
      </c>
      <c r="Z936" s="80">
        <f t="shared" si="1"/>
        <v>0</v>
      </c>
      <c r="AA936" s="106">
        <v>0.0</v>
      </c>
      <c r="AB936" s="107">
        <v>0.0</v>
      </c>
      <c r="AC936" s="107">
        <v>0.0</v>
      </c>
      <c r="AD936" s="107">
        <v>0.0</v>
      </c>
      <c r="AE936" s="80">
        <f t="shared" si="2"/>
        <v>0</v>
      </c>
      <c r="AF936" s="140">
        <v>0.0</v>
      </c>
      <c r="AG936" s="109">
        <v>16.0</v>
      </c>
      <c r="AH936" s="109">
        <v>0.0</v>
      </c>
      <c r="AI936" s="141">
        <v>138.0</v>
      </c>
      <c r="AJ936" s="80">
        <f t="shared" si="3"/>
        <v>154</v>
      </c>
      <c r="AK936" s="140">
        <v>0.0</v>
      </c>
      <c r="AL936" s="109">
        <v>0.0</v>
      </c>
      <c r="AM936" s="141">
        <v>0.0</v>
      </c>
      <c r="AN936" s="80">
        <f t="shared" si="4"/>
        <v>0</v>
      </c>
      <c r="AO936" s="140">
        <v>0.0</v>
      </c>
      <c r="AP936" s="109">
        <v>0.0</v>
      </c>
      <c r="AQ936" s="109">
        <v>60.0</v>
      </c>
      <c r="AR936" s="80">
        <f t="shared" si="5"/>
        <v>60</v>
      </c>
      <c r="AS936" s="110">
        <v>0.0</v>
      </c>
      <c r="AT936" s="110">
        <v>0.0</v>
      </c>
      <c r="AU936" s="110">
        <v>0.0</v>
      </c>
      <c r="AV936" s="142">
        <v>0.0</v>
      </c>
      <c r="AW936" s="80">
        <f t="shared" si="6"/>
        <v>0</v>
      </c>
      <c r="AX936" s="113">
        <f t="shared" si="7"/>
        <v>214</v>
      </c>
      <c r="AY936" s="117">
        <f t="shared" si="8"/>
        <v>154</v>
      </c>
      <c r="AZ936" s="120">
        <f t="shared" si="9"/>
        <v>60</v>
      </c>
      <c r="BA936" s="115">
        <v>0.0</v>
      </c>
      <c r="BB936" s="89">
        <f t="shared" si="10"/>
        <v>214</v>
      </c>
      <c r="BC936" s="132" t="s">
        <v>373</v>
      </c>
      <c r="BD936" s="132" t="s">
        <v>178</v>
      </c>
      <c r="BE936" s="132" t="s">
        <v>178</v>
      </c>
      <c r="BF936" s="156"/>
      <c r="BG936" s="83">
        <v>1158157.0</v>
      </c>
      <c r="BH936" s="112"/>
      <c r="BI936" s="112">
        <v>6.0</v>
      </c>
      <c r="BJ936" s="98" t="s">
        <v>155</v>
      </c>
      <c r="BK936" s="99">
        <f t="shared" si="11"/>
        <v>138</v>
      </c>
      <c r="BL936" s="99">
        <f t="shared" si="12"/>
        <v>16</v>
      </c>
      <c r="BM936" s="99" t="str">
        <f>IFERROR(__xludf.DUMMYFUNCTION("IFERROR(VLOOKUP(BG936,IMPORTRANGE(""https://docs.google.com/spreadsheets/d/1juPI-Fb8LD0YtltB2mlGEnp_R3UVu1t3wSFPzgCyHXE/edit?gid=0#gid=0"",""GERAL!A2:C""),3,0),""-"")"),"CAMPO")</f>
        <v>CAMPO</v>
      </c>
    </row>
    <row r="937" ht="15.75" customHeight="1">
      <c r="A937" s="111" t="s">
        <v>1161</v>
      </c>
      <c r="B937" s="83" t="s">
        <v>2175</v>
      </c>
      <c r="C937" s="83" t="s">
        <v>68</v>
      </c>
      <c r="D937" s="112">
        <v>1176100.0</v>
      </c>
      <c r="E937" s="83"/>
      <c r="F937" s="83">
        <v>2.9344247E7</v>
      </c>
      <c r="G937" s="185" t="s">
        <v>4826</v>
      </c>
      <c r="H937" s="91" t="s">
        <v>4827</v>
      </c>
      <c r="I937" s="172" t="s">
        <v>4828</v>
      </c>
      <c r="J937" s="83" t="s">
        <v>150</v>
      </c>
      <c r="K937" s="83" t="s">
        <v>151</v>
      </c>
      <c r="L937" s="83" t="s">
        <v>230</v>
      </c>
      <c r="M937" s="82" t="str">
        <f>IFERROR(__xludf.DUMMYFUNCTION("IFERROR(VLOOKUP(D937,
IMPORTRANGE(""https://docs.google.com/spreadsheets/d/1MjHtlUikwobi2MaWJgy7tfLeBmhj1u-dRFRs_8GwSoA/edit#gid=0"",""Gestores Escolares!D7:J""),3,0),""VERIFICAR CÓD SEC"")"),"JEISSINALDO DE CARVALHO MACEDO")</f>
        <v>JEISSINALDO DE CARVALHO MACEDO</v>
      </c>
      <c r="N937" s="82" t="str">
        <f>IFERROR(__xludf.DUMMYFUNCTION("IFERROR(VLOOKUP(D937,
IMPORTRANGE(""https://docs.google.com/spreadsheets/d/1MjHtlUikwobi2MaWJgy7tfLeBmhj1u-dRFRs_8GwSoA/edit#gid=0"",""Gestores Escolares!D7:J""),4,0),""VERIFICAR CÓD SEC"")"),"(74) 9 8821-8815")</f>
        <v>(74) 9 8821-8815</v>
      </c>
      <c r="O937" s="82" t="str">
        <f>IFERROR(__xludf.DUMMYFUNCTION("IFERROR(VLOOKUP(D937,
IMPORTRANGE(""https://docs.google.com/spreadsheets/d/1MjHtlUikwobi2MaWJgy7tfLeBmhj1u-dRFRs_8GwSoA/edit#gid=0"",""Gestores Escolares!D7:J""),6,0),""VERIFICAR CÓD SEC"")"),"JUCIMARA JUNQUEIRA DOS SANTOS SANTANA")</f>
        <v>JUCIMARA JUNQUEIRA DOS SANTOS SANTANA</v>
      </c>
      <c r="P937" s="82" t="str">
        <f>IFERROR(__xludf.DUMMYFUNCTION("IFERROR(VLOOKUP(D937,
IMPORTRANGE(""https://docs.google.com/spreadsheets/d/1MjHtlUikwobi2MaWJgy7tfLeBmhj1u-dRFRs_8GwSoA/edit#gid=0"",""Gestores Escolares!D7:J""),7,0),""VERIFICAR CÓD SEC"")"),"(74) 9 8804-9171")</f>
        <v>(74) 9 8804-9171</v>
      </c>
      <c r="Q937" s="82" t="str">
        <f>IFERROR(__xludf.DUMMYFUNCTION("IFERROR(VLOOKUP(D937,
IMPORTRANGE(""https://docs.google.com/spreadsheets/d/1MjHtlUikwobi2MaWJgy7tfLeBmhj1u-dRFRs_8GwSoA/edit#gid=0"",""Gestores Escolares!D7:m""),9,0),""VERIFICAR CÓD SEC"")"),"JOCELMO DE MORAIS FRANCA")</f>
        <v>JOCELMO DE MORAIS FRANCA</v>
      </c>
      <c r="R937" s="82" t="str">
        <f>IFERROR(__xludf.DUMMYFUNCTION("IFERROR(VLOOKUP(D937,
IMPORTRANGE(""https://docs.google.com/spreadsheets/d/1MjHtlUikwobi2MaWJgy7tfLeBmhj1u-dRFRs_8GwSoA/edit#gid=0"",""Gestores Escolares!D7:m""),10,0),""VERIFICAR CÓD SEC"")"),"(82) 9 9932-9840")</f>
        <v>(82) 9 9932-9840</v>
      </c>
      <c r="S937" s="82"/>
      <c r="T937" s="138">
        <v>19.0</v>
      </c>
      <c r="U937" s="152">
        <v>17.0</v>
      </c>
      <c r="V937" s="106">
        <v>0.0</v>
      </c>
      <c r="W937" s="107">
        <v>0.0</v>
      </c>
      <c r="X937" s="107">
        <v>0.0</v>
      </c>
      <c r="Y937" s="107">
        <v>0.0</v>
      </c>
      <c r="Z937" s="80">
        <f t="shared" si="1"/>
        <v>0</v>
      </c>
      <c r="AA937" s="106">
        <v>0.0</v>
      </c>
      <c r="AB937" s="107">
        <v>0.0</v>
      </c>
      <c r="AC937" s="107">
        <v>0.0</v>
      </c>
      <c r="AD937" s="107">
        <v>0.0</v>
      </c>
      <c r="AE937" s="80">
        <f t="shared" si="2"/>
        <v>0</v>
      </c>
      <c r="AF937" s="140">
        <v>0.0</v>
      </c>
      <c r="AG937" s="109">
        <v>0.0</v>
      </c>
      <c r="AH937" s="109">
        <v>0.0</v>
      </c>
      <c r="AI937" s="141">
        <v>0.0</v>
      </c>
      <c r="AJ937" s="80">
        <f t="shared" si="3"/>
        <v>0</v>
      </c>
      <c r="AK937" s="140">
        <v>0.0</v>
      </c>
      <c r="AL937" s="109">
        <v>0.0</v>
      </c>
      <c r="AM937" s="141">
        <v>0.0</v>
      </c>
      <c r="AN937" s="80">
        <f t="shared" si="4"/>
        <v>0</v>
      </c>
      <c r="AO937" s="140">
        <v>0.0</v>
      </c>
      <c r="AP937" s="109">
        <v>0.0</v>
      </c>
      <c r="AQ937" s="109">
        <v>0.0</v>
      </c>
      <c r="AR937" s="80">
        <f t="shared" si="5"/>
        <v>0</v>
      </c>
      <c r="AS937" s="110">
        <v>505.0</v>
      </c>
      <c r="AT937" s="110">
        <v>462.0</v>
      </c>
      <c r="AU937" s="110">
        <v>196.0</v>
      </c>
      <c r="AV937" s="142">
        <v>0.0</v>
      </c>
      <c r="AW937" s="80">
        <f t="shared" si="6"/>
        <v>1163</v>
      </c>
      <c r="AX937" s="113">
        <f t="shared" si="7"/>
        <v>1163</v>
      </c>
      <c r="AY937" s="117">
        <f t="shared" si="8"/>
        <v>967</v>
      </c>
      <c r="AZ937" s="120">
        <f t="shared" si="9"/>
        <v>196</v>
      </c>
      <c r="BA937" s="115">
        <v>0.0</v>
      </c>
      <c r="BB937" s="89">
        <f t="shared" si="10"/>
        <v>1163</v>
      </c>
      <c r="BC937" s="132" t="s">
        <v>178</v>
      </c>
      <c r="BD937" s="132" t="s">
        <v>522</v>
      </c>
      <c r="BE937" s="132" t="s">
        <v>178</v>
      </c>
      <c r="BF937" s="156"/>
      <c r="BG937" s="83">
        <v>1176100.0</v>
      </c>
      <c r="BH937" s="112"/>
      <c r="BI937" s="112">
        <v>17.0</v>
      </c>
      <c r="BJ937" s="98" t="s">
        <v>155</v>
      </c>
      <c r="BK937" s="99">
        <f t="shared" si="11"/>
        <v>0</v>
      </c>
      <c r="BL937" s="99">
        <f t="shared" si="12"/>
        <v>967</v>
      </c>
      <c r="BM937" s="99" t="str">
        <f>IFERROR(__xludf.DUMMYFUNCTION("IFERROR(VLOOKUP(BG937,IMPORTRANGE(""https://docs.google.com/spreadsheets/d/1juPI-Fb8LD0YtltB2mlGEnp_R3UVu1t3wSFPzgCyHXE/edit?gid=0#gid=0"",""GERAL!A2:C""),3,0),""-"")"),"-")</f>
        <v>-</v>
      </c>
    </row>
    <row r="938" ht="15.75" customHeight="1">
      <c r="A938" s="111" t="s">
        <v>1161</v>
      </c>
      <c r="B938" s="83" t="s">
        <v>2175</v>
      </c>
      <c r="C938" s="83" t="s">
        <v>164</v>
      </c>
      <c r="D938" s="98">
        <v>1179840.0</v>
      </c>
      <c r="E938" s="83">
        <v>1178712.0</v>
      </c>
      <c r="F938" s="98">
        <v>2.9493749E7</v>
      </c>
      <c r="G938" s="184" t="s">
        <v>4850</v>
      </c>
      <c r="H938" s="91" t="s">
        <v>4851</v>
      </c>
      <c r="I938" s="172" t="s">
        <v>4852</v>
      </c>
      <c r="J938" s="83" t="s">
        <v>822</v>
      </c>
      <c r="K938" s="83" t="s">
        <v>168</v>
      </c>
      <c r="L938" s="83" t="s">
        <v>169</v>
      </c>
      <c r="M938" s="82" t="str">
        <f>IFERROR(__xludf.DUMMYFUNCTION("IFERROR(VLOOKUP(D938,
IMPORTRANGE(""https://docs.google.com/spreadsheets/d/1MjHtlUikwobi2MaWJgy7tfLeBmhj1u-dRFRs_8GwSoA/edit#gid=0"",""Gestores Escolares!D7:J""),3,0),""VERIFICAR CÓD SEC"")"),"SEM DIREÇÃO - EM TRÂMITES PARA INDICAÇÃO DE UM GESTOR, ATÉ ENTAO A DIREÇÃO DO NTE RESPONDE PELA ESCOLA")</f>
        <v>SEM DIREÇÃO - EM TRÂMITES PARA INDICAÇÃO DE UM GESTOR, ATÉ ENTAO A DIREÇÃO DO NTE RESPONDE PELA ESCOLA</v>
      </c>
      <c r="N938" s="82" t="str">
        <f>IFERROR(__xludf.DUMMYFUNCTION("IFERROR(VLOOKUP(D938,
IMPORTRANGE(""https://docs.google.com/spreadsheets/d/1MjHtlUikwobi2MaWJgy7tfLeBmhj1u-dRFRs_8GwSoA/edit#gid=0"",""Gestores Escolares!D7:J""),4,0),""VERIFICAR CÓD SEC"")"),"")</f>
        <v/>
      </c>
      <c r="O938" s="82" t="str">
        <f>IFERROR(__xludf.DUMMYFUNCTION("IFERROR(VLOOKUP(D938,
IMPORTRANGE(""https://docs.google.com/spreadsheets/d/1MjHtlUikwobi2MaWJgy7tfLeBmhj1u-dRFRs_8GwSoA/edit#gid=0"",""Gestores Escolares!D7:J""),6,0),""VERIFICAR CÓD SEC"")"),"")</f>
        <v/>
      </c>
      <c r="P938" s="82" t="str">
        <f>IFERROR(__xludf.DUMMYFUNCTION("IFERROR(VLOOKUP(D938,
IMPORTRANGE(""https://docs.google.com/spreadsheets/d/1MjHtlUikwobi2MaWJgy7tfLeBmhj1u-dRFRs_8GwSoA/edit#gid=0"",""Gestores Escolares!D7:J""),7,0),""VERIFICAR CÓD SEC"")"),"")</f>
        <v/>
      </c>
      <c r="Q938" s="82" t="str">
        <f>IFERROR(__xludf.DUMMYFUNCTION("IFERROR(VLOOKUP(D938,
IMPORTRANGE(""https://docs.google.com/spreadsheets/d/1MjHtlUikwobi2MaWJgy7tfLeBmhj1u-dRFRs_8GwSoA/edit#gid=0"",""Gestores Escolares!D7:m""),9,0),""VERIFICAR CÓD SEC"")"),"")</f>
        <v/>
      </c>
      <c r="R938" s="82" t="str">
        <f>IFERROR(__xludf.DUMMYFUNCTION("IFERROR(VLOOKUP(D938,
IMPORTRANGE(""https://docs.google.com/spreadsheets/d/1MjHtlUikwobi2MaWJgy7tfLeBmhj1u-dRFRs_8GwSoA/edit#gid=0"",""Gestores Escolares!D7:m""),10,0),""VERIFICAR CÓD SEC"")"),"")</f>
        <v/>
      </c>
      <c r="S938" s="82"/>
      <c r="T938" s="138">
        <v>3.0</v>
      </c>
      <c r="U938" s="152">
        <v>3.0</v>
      </c>
      <c r="V938" s="106">
        <v>0.0</v>
      </c>
      <c r="W938" s="107">
        <v>0.0</v>
      </c>
      <c r="X938" s="107">
        <v>0.0</v>
      </c>
      <c r="Y938" s="107">
        <v>0.0</v>
      </c>
      <c r="Z938" s="80">
        <f t="shared" si="1"/>
        <v>0</v>
      </c>
      <c r="AA938" s="106">
        <v>0.0</v>
      </c>
      <c r="AB938" s="107">
        <v>0.0</v>
      </c>
      <c r="AC938" s="107">
        <v>0.0</v>
      </c>
      <c r="AD938" s="107">
        <v>0.0</v>
      </c>
      <c r="AE938" s="80">
        <f t="shared" si="2"/>
        <v>0</v>
      </c>
      <c r="AF938" s="140">
        <v>0.0</v>
      </c>
      <c r="AG938" s="109">
        <v>0.0</v>
      </c>
      <c r="AH938" s="109">
        <v>62.0</v>
      </c>
      <c r="AI938" s="141">
        <v>0.0</v>
      </c>
      <c r="AJ938" s="80">
        <f t="shared" si="3"/>
        <v>62</v>
      </c>
      <c r="AK938" s="140">
        <v>0.0</v>
      </c>
      <c r="AL938" s="109">
        <v>0.0</v>
      </c>
      <c r="AM938" s="141">
        <v>0.0</v>
      </c>
      <c r="AN938" s="80">
        <f t="shared" si="4"/>
        <v>0</v>
      </c>
      <c r="AO938" s="140">
        <v>0.0</v>
      </c>
      <c r="AP938" s="109">
        <v>0.0</v>
      </c>
      <c r="AQ938" s="109">
        <v>0.0</v>
      </c>
      <c r="AR938" s="80">
        <f t="shared" si="5"/>
        <v>0</v>
      </c>
      <c r="AS938" s="110">
        <v>0.0</v>
      </c>
      <c r="AT938" s="110">
        <v>0.0</v>
      </c>
      <c r="AU938" s="110">
        <v>0.0</v>
      </c>
      <c r="AV938" s="142">
        <v>0.0</v>
      </c>
      <c r="AW938" s="80">
        <f t="shared" si="6"/>
        <v>0</v>
      </c>
      <c r="AX938" s="113">
        <f t="shared" si="7"/>
        <v>62</v>
      </c>
      <c r="AY938" s="117">
        <f t="shared" si="8"/>
        <v>0</v>
      </c>
      <c r="AZ938" s="120">
        <f t="shared" si="9"/>
        <v>62</v>
      </c>
      <c r="BA938" s="115">
        <v>0.0</v>
      </c>
      <c r="BB938" s="89">
        <f t="shared" si="10"/>
        <v>62</v>
      </c>
      <c r="BC938" s="132" t="s">
        <v>265</v>
      </c>
      <c r="BD938" s="132" t="s">
        <v>178</v>
      </c>
      <c r="BE938" s="132" t="s">
        <v>178</v>
      </c>
      <c r="BF938" s="123"/>
      <c r="BG938" s="83">
        <v>1178712.0</v>
      </c>
      <c r="BH938" s="112"/>
      <c r="BI938" s="112">
        <v>3.0</v>
      </c>
      <c r="BJ938" s="98" t="s">
        <v>155</v>
      </c>
      <c r="BK938" s="99">
        <f t="shared" si="11"/>
        <v>0</v>
      </c>
      <c r="BL938" s="99">
        <f t="shared" si="12"/>
        <v>0</v>
      </c>
      <c r="BM938" s="99" t="str">
        <f>IFERROR(__xludf.DUMMYFUNCTION("IFERROR(VLOOKUP(BG938,IMPORTRANGE(""https://docs.google.com/spreadsheets/d/1juPI-Fb8LD0YtltB2mlGEnp_R3UVu1t3wSFPzgCyHXE/edit?gid=0#gid=0"",""GERAL!A2:C""),3,0),""-"")"),"QUILOMBOLAS")</f>
        <v>QUILOMBOLAS</v>
      </c>
    </row>
    <row r="939" ht="15.75" customHeight="1">
      <c r="A939" s="111" t="s">
        <v>1161</v>
      </c>
      <c r="B939" s="83" t="s">
        <v>2175</v>
      </c>
      <c r="C939" s="83" t="s">
        <v>164</v>
      </c>
      <c r="D939" s="112">
        <v>1158157.0</v>
      </c>
      <c r="E939" s="83">
        <v>1178713.0</v>
      </c>
      <c r="F939" s="98">
        <v>2.9493757E7</v>
      </c>
      <c r="G939" s="184" t="s">
        <v>4840</v>
      </c>
      <c r="H939" s="91" t="s">
        <v>4841</v>
      </c>
      <c r="I939" s="83" t="s">
        <v>149</v>
      </c>
      <c r="J939" s="83" t="s">
        <v>464</v>
      </c>
      <c r="K939" s="83" t="s">
        <v>168</v>
      </c>
      <c r="L939" s="83" t="s">
        <v>169</v>
      </c>
      <c r="M939" s="82" t="str">
        <f>IFERROR(__xludf.DUMMYFUNCTION("IFERROR(VLOOKUP(D939,
IMPORTRANGE(""https://docs.google.com/spreadsheets/d/1MjHtlUikwobi2MaWJgy7tfLeBmhj1u-dRFRs_8GwSoA/edit#gid=0"",""Gestores Escolares!D7:J""),3,0),""VERIFICAR CÓD SEC"")"),"PRISCILA DE OLIVEIRA SANTANA")</f>
        <v>PRISCILA DE OLIVEIRA SANTANA</v>
      </c>
      <c r="N939" s="82" t="str">
        <f>IFERROR(__xludf.DUMMYFUNCTION("IFERROR(VLOOKUP(D939,
IMPORTRANGE(""https://docs.google.com/spreadsheets/d/1MjHtlUikwobi2MaWJgy7tfLeBmhj1u-dRFRs_8GwSoA/edit#gid=0"",""Gestores Escolares!D7:J""),4,0),""VERIFICAR CÓD SEC"")"),"(74) 9 9908-6541")</f>
        <v>(74) 9 9908-6541</v>
      </c>
      <c r="O939" s="82" t="str">
        <f>IFERROR(__xludf.DUMMYFUNCTION("IFERROR(VLOOKUP(D939,
IMPORTRANGE(""https://docs.google.com/spreadsheets/d/1MjHtlUikwobi2MaWJgy7tfLeBmhj1u-dRFRs_8GwSoA/edit#gid=0"",""Gestores Escolares!D7:J""),6,0),""VERIFICAR CÓD SEC"")"),"EDSON RIBEIRO DE JESUS")</f>
        <v>EDSON RIBEIRO DE JESUS</v>
      </c>
      <c r="P939" s="82" t="str">
        <f>IFERROR(__xludf.DUMMYFUNCTION("IFERROR(VLOOKUP(D939,
IMPORTRANGE(""https://docs.google.com/spreadsheets/d/1MjHtlUikwobi2MaWJgy7tfLeBmhj1u-dRFRs_8GwSoA/edit#gid=0"",""Gestores Escolares!D7:J""),7,0),""VERIFICAR CÓD SEC"")"),"(74) 9 9949-8861")</f>
        <v>(74) 9 9949-8861</v>
      </c>
      <c r="Q939" s="82" t="str">
        <f>IFERROR(__xludf.DUMMYFUNCTION("IFERROR(VLOOKUP(D939,
IMPORTRANGE(""https://docs.google.com/spreadsheets/d/1MjHtlUikwobi2MaWJgy7tfLeBmhj1u-dRFRs_8GwSoA/edit#gid=0"",""Gestores Escolares!D7:m""),9,0),""VERIFICAR CÓD SEC"")"),"")</f>
        <v/>
      </c>
      <c r="R939" s="82" t="str">
        <f>IFERROR(__xludf.DUMMYFUNCTION("IFERROR(VLOOKUP(D939,
IMPORTRANGE(""https://docs.google.com/spreadsheets/d/1MjHtlUikwobi2MaWJgy7tfLeBmhj1u-dRFRs_8GwSoA/edit#gid=0"",""Gestores Escolares!D7:m""),10,0),""VERIFICAR CÓD SEC"")"),"")</f>
        <v/>
      </c>
      <c r="S939" s="82"/>
      <c r="T939" s="138">
        <v>3.0</v>
      </c>
      <c r="U939" s="152">
        <v>3.0</v>
      </c>
      <c r="V939" s="106">
        <v>0.0</v>
      </c>
      <c r="W939" s="107">
        <v>0.0</v>
      </c>
      <c r="X939" s="107">
        <v>0.0</v>
      </c>
      <c r="Y939" s="107">
        <v>0.0</v>
      </c>
      <c r="Z939" s="80">
        <f t="shared" si="1"/>
        <v>0</v>
      </c>
      <c r="AA939" s="106">
        <v>0.0</v>
      </c>
      <c r="AB939" s="107">
        <v>0.0</v>
      </c>
      <c r="AC939" s="107">
        <v>0.0</v>
      </c>
      <c r="AD939" s="107">
        <v>0.0</v>
      </c>
      <c r="AE939" s="80">
        <f t="shared" si="2"/>
        <v>0</v>
      </c>
      <c r="AF939" s="140">
        <v>0.0</v>
      </c>
      <c r="AG939" s="109">
        <v>0.0</v>
      </c>
      <c r="AH939" s="109">
        <v>26.0</v>
      </c>
      <c r="AI939" s="141">
        <v>0.0</v>
      </c>
      <c r="AJ939" s="80">
        <f t="shared" si="3"/>
        <v>26</v>
      </c>
      <c r="AK939" s="140">
        <v>0.0</v>
      </c>
      <c r="AL939" s="109">
        <v>0.0</v>
      </c>
      <c r="AM939" s="141">
        <v>0.0</v>
      </c>
      <c r="AN939" s="80">
        <f t="shared" si="4"/>
        <v>0</v>
      </c>
      <c r="AO939" s="140">
        <v>0.0</v>
      </c>
      <c r="AP939" s="109">
        <v>0.0</v>
      </c>
      <c r="AQ939" s="109">
        <v>0.0</v>
      </c>
      <c r="AR939" s="80">
        <f t="shared" si="5"/>
        <v>0</v>
      </c>
      <c r="AS939" s="110">
        <v>0.0</v>
      </c>
      <c r="AT939" s="110">
        <v>0.0</v>
      </c>
      <c r="AU939" s="110">
        <v>0.0</v>
      </c>
      <c r="AV939" s="142">
        <v>0.0</v>
      </c>
      <c r="AW939" s="80">
        <f t="shared" si="6"/>
        <v>0</v>
      </c>
      <c r="AX939" s="113">
        <f t="shared" si="7"/>
        <v>26</v>
      </c>
      <c r="AY939" s="117">
        <f t="shared" si="8"/>
        <v>0</v>
      </c>
      <c r="AZ939" s="120">
        <f t="shared" si="9"/>
        <v>26</v>
      </c>
      <c r="BA939" s="115">
        <v>0.0</v>
      </c>
      <c r="BB939" s="89">
        <f t="shared" si="10"/>
        <v>26</v>
      </c>
      <c r="BC939" s="132" t="s">
        <v>373</v>
      </c>
      <c r="BD939" s="132" t="s">
        <v>178</v>
      </c>
      <c r="BE939" s="132" t="s">
        <v>178</v>
      </c>
      <c r="BF939" s="123"/>
      <c r="BG939" s="83">
        <v>1178713.0</v>
      </c>
      <c r="BH939" s="112"/>
      <c r="BI939" s="112">
        <v>3.0</v>
      </c>
      <c r="BJ939" s="98" t="s">
        <v>155</v>
      </c>
      <c r="BK939" s="99">
        <f t="shared" si="11"/>
        <v>0</v>
      </c>
      <c r="BL939" s="99">
        <f t="shared" si="12"/>
        <v>0</v>
      </c>
      <c r="BM939" s="99" t="str">
        <f>IFERROR(__xludf.DUMMYFUNCTION("IFERROR(VLOOKUP(BG939,IMPORTRANGE(""https://docs.google.com/spreadsheets/d/1juPI-Fb8LD0YtltB2mlGEnp_R3UVu1t3wSFPzgCyHXE/edit?gid=0#gid=0"",""GERAL!A2:C""),3,0),""-"")"),"CAMPO")</f>
        <v>CAMPO</v>
      </c>
    </row>
    <row r="940" ht="15.75" customHeight="1">
      <c r="A940" s="111" t="s">
        <v>1161</v>
      </c>
      <c r="B940" s="83" t="s">
        <v>4859</v>
      </c>
      <c r="C940" s="83" t="s">
        <v>68</v>
      </c>
      <c r="D940" s="112">
        <v>1178026.0</v>
      </c>
      <c r="E940" s="83"/>
      <c r="F940" s="83">
        <v>2.942553E7</v>
      </c>
      <c r="G940" s="119" t="s">
        <v>4861</v>
      </c>
      <c r="H940" s="91" t="s">
        <v>4862</v>
      </c>
      <c r="I940" s="172" t="s">
        <v>149</v>
      </c>
      <c r="J940" s="83" t="s">
        <v>150</v>
      </c>
      <c r="K940" s="83" t="s">
        <v>151</v>
      </c>
      <c r="L940" s="83" t="s">
        <v>152</v>
      </c>
      <c r="M940" s="82" t="str">
        <f>IFERROR(__xludf.DUMMYFUNCTION("IFERROR(VLOOKUP(D940,
IMPORTRANGE(""https://docs.google.com/spreadsheets/d/1MjHtlUikwobi2MaWJgy7tfLeBmhj1u-dRFRs_8GwSoA/edit#gid=0"",""Gestores Escolares!D7:J""),3,0),""VERIFICAR CÓD SEC"")"),"CRISTINA SOARES DE SOUZA")</f>
        <v>CRISTINA SOARES DE SOUZA</v>
      </c>
      <c r="N940" s="82" t="str">
        <f>IFERROR(__xludf.DUMMYFUNCTION("IFERROR(VLOOKUP(D940,
IMPORTRANGE(""https://docs.google.com/spreadsheets/d/1MjHtlUikwobi2MaWJgy7tfLeBmhj1u-dRFRs_8GwSoA/edit#gid=0"",""Gestores Escolares!D7:J""),4,0),""VERIFICAR CÓD SEC"")"),"(74) 9 9962-9759")</f>
        <v>(74) 9 9962-9759</v>
      </c>
      <c r="O940" s="82" t="str">
        <f>IFERROR(__xludf.DUMMYFUNCTION("IFERROR(VLOOKUP(D940,
IMPORTRANGE(""https://docs.google.com/spreadsheets/d/1MjHtlUikwobi2MaWJgy7tfLeBmhj1u-dRFRs_8GwSoA/edit#gid=0"",""Gestores Escolares!D7:J""),6,0),""VERIFICAR CÓD SEC"")"),"MARCELO ALVES DIAS")</f>
        <v>MARCELO ALVES DIAS</v>
      </c>
      <c r="P940" s="82" t="str">
        <f>IFERROR(__xludf.DUMMYFUNCTION("IFERROR(VLOOKUP(D940,
IMPORTRANGE(""https://docs.google.com/spreadsheets/d/1MjHtlUikwobi2MaWJgy7tfLeBmhj1u-dRFRs_8GwSoA/edit#gid=0"",""Gestores Escolares!D7:J""),7,0),""VERIFICAR CÓD SEC"")"),"(71) 9 9957-8159")</f>
        <v>(71) 9 9957-8159</v>
      </c>
      <c r="Q940" s="82" t="str">
        <f>IFERROR(__xludf.DUMMYFUNCTION("IFERROR(VLOOKUP(D940,
IMPORTRANGE(""https://docs.google.com/spreadsheets/d/1MjHtlUikwobi2MaWJgy7tfLeBmhj1u-dRFRs_8GwSoA/edit#gid=0"",""Gestores Escolares!D7:m""),9,0),""VERIFICAR CÓD SEC"")"),"CLAUDIA AMELIA COSTA DO NASCIMENTO")</f>
        <v>CLAUDIA AMELIA COSTA DO NASCIMENTO</v>
      </c>
      <c r="R940" s="82" t="str">
        <f>IFERROR(__xludf.DUMMYFUNCTION("IFERROR(VLOOKUP(D940,
IMPORTRANGE(""https://docs.google.com/spreadsheets/d/1MjHtlUikwobi2MaWJgy7tfLeBmhj1u-dRFRs_8GwSoA/edit#gid=0"",""Gestores Escolares!D7:m""),10,0),""VERIFICAR CÓD SEC"")"),"(74) 9 9971-5577")</f>
        <v>(74) 9 9971-5577</v>
      </c>
      <c r="S940" s="82"/>
      <c r="T940" s="138">
        <v>13.0</v>
      </c>
      <c r="U940" s="148" t="s">
        <v>12856</v>
      </c>
      <c r="V940" s="106">
        <v>0.0</v>
      </c>
      <c r="W940" s="107">
        <v>0.0</v>
      </c>
      <c r="X940" s="107">
        <v>0.0</v>
      </c>
      <c r="Y940" s="107">
        <v>0.0</v>
      </c>
      <c r="Z940" s="80">
        <f t="shared" si="1"/>
        <v>0</v>
      </c>
      <c r="AA940" s="106">
        <v>0.0</v>
      </c>
      <c r="AB940" s="107">
        <v>0.0</v>
      </c>
      <c r="AC940" s="107">
        <v>0.0</v>
      </c>
      <c r="AD940" s="107">
        <v>0.0</v>
      </c>
      <c r="AE940" s="80">
        <f t="shared" si="2"/>
        <v>0</v>
      </c>
      <c r="AF940" s="140">
        <v>0.0</v>
      </c>
      <c r="AG940" s="109">
        <v>0.0</v>
      </c>
      <c r="AH940" s="109">
        <v>0.0</v>
      </c>
      <c r="AI940" s="141">
        <v>366.0</v>
      </c>
      <c r="AJ940" s="80">
        <f t="shared" si="3"/>
        <v>366</v>
      </c>
      <c r="AK940" s="140">
        <v>0.0</v>
      </c>
      <c r="AL940" s="109">
        <v>0.0</v>
      </c>
      <c r="AM940" s="141">
        <v>0.0</v>
      </c>
      <c r="AN940" s="80">
        <f t="shared" si="4"/>
        <v>0</v>
      </c>
      <c r="AO940" s="140">
        <v>0.0</v>
      </c>
      <c r="AP940" s="109">
        <v>0.0</v>
      </c>
      <c r="AQ940" s="109">
        <v>0.0</v>
      </c>
      <c r="AR940" s="80">
        <f t="shared" si="5"/>
        <v>0</v>
      </c>
      <c r="AS940" s="110">
        <v>0.0</v>
      </c>
      <c r="AT940" s="110">
        <v>0.0</v>
      </c>
      <c r="AU940" s="110">
        <v>37.0</v>
      </c>
      <c r="AV940" s="142">
        <v>59.0</v>
      </c>
      <c r="AW940" s="80">
        <f t="shared" si="6"/>
        <v>96</v>
      </c>
      <c r="AX940" s="113">
        <f t="shared" si="7"/>
        <v>462</v>
      </c>
      <c r="AY940" s="117">
        <f t="shared" si="8"/>
        <v>425</v>
      </c>
      <c r="AZ940" s="120">
        <f t="shared" si="9"/>
        <v>37</v>
      </c>
      <c r="BA940" s="115">
        <v>0.0</v>
      </c>
      <c r="BB940" s="89">
        <f t="shared" si="10"/>
        <v>462</v>
      </c>
      <c r="BC940" s="132" t="s">
        <v>178</v>
      </c>
      <c r="BD940" s="132" t="s">
        <v>178</v>
      </c>
      <c r="BE940" s="132" t="s">
        <v>178</v>
      </c>
      <c r="BF940" s="123"/>
      <c r="BG940" s="83">
        <v>1178026.0</v>
      </c>
      <c r="BH940" s="112"/>
      <c r="BI940" s="112">
        <v>10.0</v>
      </c>
      <c r="BJ940" s="98" t="s">
        <v>155</v>
      </c>
      <c r="BK940" s="99">
        <f t="shared" si="11"/>
        <v>425</v>
      </c>
      <c r="BL940" s="99">
        <f t="shared" si="12"/>
        <v>0</v>
      </c>
      <c r="BM940" s="99" t="str">
        <f>IFERROR(__xludf.DUMMYFUNCTION("IFERROR(VLOOKUP(BG940,IMPORTRANGE(""https://docs.google.com/spreadsheets/d/1juPI-Fb8LD0YtltB2mlGEnp_R3UVu1t3wSFPzgCyHXE/edit?gid=0#gid=0"",""GERAL!A2:C""),3,0),""-"")"),"-")</f>
        <v>-</v>
      </c>
    </row>
    <row r="941" ht="15.75" customHeight="1">
      <c r="A941" s="111" t="s">
        <v>1161</v>
      </c>
      <c r="B941" s="83" t="s">
        <v>4859</v>
      </c>
      <c r="C941" s="83" t="s">
        <v>68</v>
      </c>
      <c r="D941" s="112">
        <v>1122144.0</v>
      </c>
      <c r="E941" s="83"/>
      <c r="F941" s="83">
        <v>2.9073014E7</v>
      </c>
      <c r="G941" s="147" t="s">
        <v>4876</v>
      </c>
      <c r="H941" s="91" t="s">
        <v>4877</v>
      </c>
      <c r="I941" s="136" t="s">
        <v>149</v>
      </c>
      <c r="J941" s="136" t="s">
        <v>150</v>
      </c>
      <c r="K941" s="136" t="s">
        <v>151</v>
      </c>
      <c r="L941" s="136" t="s">
        <v>152</v>
      </c>
      <c r="M941" s="82" t="str">
        <f>IFERROR(__xludf.DUMMYFUNCTION("IFERROR(VLOOKUP(D941,
IMPORTRANGE(""https://docs.google.com/spreadsheets/d/1MjHtlUikwobi2MaWJgy7tfLeBmhj1u-dRFRs_8GwSoA/edit#gid=0"",""Gestores Escolares!D7:J""),3,0),""VERIFICAR CÓD SEC"")"),"CUSTODIO BELITARDO COUTINHO")</f>
        <v>CUSTODIO BELITARDO COUTINHO</v>
      </c>
      <c r="N941" s="82" t="str">
        <f>IFERROR(__xludf.DUMMYFUNCTION("IFERROR(VLOOKUP(D941,
IMPORTRANGE(""https://docs.google.com/spreadsheets/d/1MjHtlUikwobi2MaWJgy7tfLeBmhj1u-dRFRs_8GwSoA/edit#gid=0"",""Gestores Escolares!D7:J""),4,0),""VERIFICAR CÓD SEC"")"),"(74) 9 9991-2140")</f>
        <v>(74) 9 9991-2140</v>
      </c>
      <c r="O941" s="82" t="str">
        <f>IFERROR(__xludf.DUMMYFUNCTION("IFERROR(VLOOKUP(D941,
IMPORTRANGE(""https://docs.google.com/spreadsheets/d/1MjHtlUikwobi2MaWJgy7tfLeBmhj1u-dRFRs_8GwSoA/edit#gid=0"",""Gestores Escolares!D7:J""),6,0),""VERIFICAR CÓD SEC"")"),"FABIANA OLIVEIRA DA SILVA")</f>
        <v>FABIANA OLIVEIRA DA SILVA</v>
      </c>
      <c r="P941" s="82" t="str">
        <f>IFERROR(__xludf.DUMMYFUNCTION("IFERROR(VLOOKUP(D941,
IMPORTRANGE(""https://docs.google.com/spreadsheets/d/1MjHtlUikwobi2MaWJgy7tfLeBmhj1u-dRFRs_8GwSoA/edit#gid=0"",""Gestores Escolares!D7:J""),7,0),""VERIFICAR CÓD SEC"")"),"(74) 9 9956-4238")</f>
        <v>(74) 9 9956-4238</v>
      </c>
      <c r="Q941" s="82" t="str">
        <f>IFERROR(__xludf.DUMMYFUNCTION("IFERROR(VLOOKUP(D941,
IMPORTRANGE(""https://docs.google.com/spreadsheets/d/1MjHtlUikwobi2MaWJgy7tfLeBmhj1u-dRFRs_8GwSoA/edit#gid=0"",""Gestores Escolares!D7:m""),9,0),""VERIFICAR CÓD SEC"")"),"FABIANA SANTOS DA SILVA")</f>
        <v>FABIANA SANTOS DA SILVA</v>
      </c>
      <c r="R941" s="82" t="str">
        <f>IFERROR(__xludf.DUMMYFUNCTION("IFERROR(VLOOKUP(D941,
IMPORTRANGE(""https://docs.google.com/spreadsheets/d/1MjHtlUikwobi2MaWJgy7tfLeBmhj1u-dRFRs_8GwSoA/edit#gid=0"",""Gestores Escolares!D7:m""),10,0),""VERIFICAR CÓD SEC"")"),"(74) 9 9956-4238")</f>
        <v>(74) 9 9956-4238</v>
      </c>
      <c r="S941" s="82"/>
      <c r="T941" s="138">
        <v>14.0</v>
      </c>
      <c r="U941" s="145" t="s">
        <v>12872</v>
      </c>
      <c r="V941" s="106">
        <v>0.0</v>
      </c>
      <c r="W941" s="107">
        <v>0.0</v>
      </c>
      <c r="X941" s="107">
        <v>0.0</v>
      </c>
      <c r="Y941" s="107">
        <v>0.0</v>
      </c>
      <c r="Z941" s="80">
        <f t="shared" si="1"/>
        <v>0</v>
      </c>
      <c r="AA941" s="106">
        <v>0.0</v>
      </c>
      <c r="AB941" s="107">
        <v>0.0</v>
      </c>
      <c r="AC941" s="107">
        <v>0.0</v>
      </c>
      <c r="AD941" s="107">
        <v>0.0</v>
      </c>
      <c r="AE941" s="80">
        <f t="shared" si="2"/>
        <v>0</v>
      </c>
      <c r="AF941" s="140">
        <v>0.0</v>
      </c>
      <c r="AG941" s="109">
        <v>0.0</v>
      </c>
      <c r="AH941" s="109">
        <v>0.0</v>
      </c>
      <c r="AI941" s="141">
        <v>208.0</v>
      </c>
      <c r="AJ941" s="80">
        <f t="shared" si="3"/>
        <v>208</v>
      </c>
      <c r="AK941" s="140">
        <v>0.0</v>
      </c>
      <c r="AL941" s="109">
        <v>0.0</v>
      </c>
      <c r="AM941" s="141">
        <v>0.0</v>
      </c>
      <c r="AN941" s="80">
        <f t="shared" si="4"/>
        <v>0</v>
      </c>
      <c r="AO941" s="140">
        <v>0.0</v>
      </c>
      <c r="AP941" s="109">
        <v>0.0</v>
      </c>
      <c r="AQ941" s="109">
        <v>163.0</v>
      </c>
      <c r="AR941" s="80">
        <f t="shared" si="5"/>
        <v>163</v>
      </c>
      <c r="AS941" s="110">
        <v>0.0</v>
      </c>
      <c r="AT941" s="110">
        <v>0.0</v>
      </c>
      <c r="AU941" s="110">
        <v>0.0</v>
      </c>
      <c r="AV941" s="142">
        <v>0.0</v>
      </c>
      <c r="AW941" s="80">
        <f t="shared" si="6"/>
        <v>0</v>
      </c>
      <c r="AX941" s="113">
        <f t="shared" si="7"/>
        <v>371</v>
      </c>
      <c r="AY941" s="117">
        <f t="shared" si="8"/>
        <v>208</v>
      </c>
      <c r="AZ941" s="120">
        <f t="shared" si="9"/>
        <v>163</v>
      </c>
      <c r="BA941" s="115">
        <v>0.0</v>
      </c>
      <c r="BB941" s="89">
        <f t="shared" si="10"/>
        <v>371</v>
      </c>
      <c r="BC941" s="132" t="s">
        <v>178</v>
      </c>
      <c r="BD941" s="132" t="s">
        <v>178</v>
      </c>
      <c r="BE941" s="132" t="s">
        <v>178</v>
      </c>
      <c r="BF941" s="123"/>
      <c r="BG941" s="83">
        <v>1122144.0</v>
      </c>
      <c r="BH941" s="112"/>
      <c r="BI941" s="112">
        <v>12.0</v>
      </c>
      <c r="BJ941" s="98" t="s">
        <v>176</v>
      </c>
      <c r="BK941" s="99">
        <f t="shared" si="11"/>
        <v>208</v>
      </c>
      <c r="BL941" s="99">
        <f t="shared" si="12"/>
        <v>0</v>
      </c>
      <c r="BM941" s="99" t="str">
        <f>IFERROR(__xludf.DUMMYFUNCTION("IFERROR(VLOOKUP(BG941,IMPORTRANGE(""https://docs.google.com/spreadsheets/d/1juPI-Fb8LD0YtltB2mlGEnp_R3UVu1t3wSFPzgCyHXE/edit?gid=0#gid=0"",""GERAL!A2:C""),3,0),""-"")"),"-")</f>
        <v>-</v>
      </c>
    </row>
    <row r="942" ht="15.75" customHeight="1">
      <c r="A942" s="111" t="s">
        <v>1161</v>
      </c>
      <c r="B942" s="83" t="s">
        <v>4859</v>
      </c>
      <c r="C942" s="83" t="s">
        <v>164</v>
      </c>
      <c r="D942" s="112">
        <v>1178026.0</v>
      </c>
      <c r="E942" s="83">
        <v>1178714.0</v>
      </c>
      <c r="F942" s="98">
        <v>2.9492823E7</v>
      </c>
      <c r="G942" s="114" t="s">
        <v>4889</v>
      </c>
      <c r="H942" s="91" t="s">
        <v>4890</v>
      </c>
      <c r="I942" s="172" t="s">
        <v>149</v>
      </c>
      <c r="J942" s="83" t="s">
        <v>187</v>
      </c>
      <c r="K942" s="83" t="s">
        <v>168</v>
      </c>
      <c r="L942" s="83" t="s">
        <v>169</v>
      </c>
      <c r="M942" s="82" t="str">
        <f>IFERROR(__xludf.DUMMYFUNCTION("IFERROR(VLOOKUP(D942,
IMPORTRANGE(""https://docs.google.com/spreadsheets/d/1MjHtlUikwobi2MaWJgy7tfLeBmhj1u-dRFRs_8GwSoA/edit#gid=0"",""Gestores Escolares!D7:J""),3,0),""VERIFICAR CÓD SEC"")"),"CRISTINA SOARES DE SOUZA")</f>
        <v>CRISTINA SOARES DE SOUZA</v>
      </c>
      <c r="N942" s="82" t="str">
        <f>IFERROR(__xludf.DUMMYFUNCTION("IFERROR(VLOOKUP(D942,
IMPORTRANGE(""https://docs.google.com/spreadsheets/d/1MjHtlUikwobi2MaWJgy7tfLeBmhj1u-dRFRs_8GwSoA/edit#gid=0"",""Gestores Escolares!D7:J""),4,0),""VERIFICAR CÓD SEC"")"),"(74) 9 9962-9759")</f>
        <v>(74) 9 9962-9759</v>
      </c>
      <c r="O942" s="82" t="str">
        <f>IFERROR(__xludf.DUMMYFUNCTION("IFERROR(VLOOKUP(D942,
IMPORTRANGE(""https://docs.google.com/spreadsheets/d/1MjHtlUikwobi2MaWJgy7tfLeBmhj1u-dRFRs_8GwSoA/edit#gid=0"",""Gestores Escolares!D7:J""),6,0),""VERIFICAR CÓD SEC"")"),"MARCELO ALVES DIAS")</f>
        <v>MARCELO ALVES DIAS</v>
      </c>
      <c r="P942" s="82" t="str">
        <f>IFERROR(__xludf.DUMMYFUNCTION("IFERROR(VLOOKUP(D942,
IMPORTRANGE(""https://docs.google.com/spreadsheets/d/1MjHtlUikwobi2MaWJgy7tfLeBmhj1u-dRFRs_8GwSoA/edit#gid=0"",""Gestores Escolares!D7:J""),7,0),""VERIFICAR CÓD SEC"")"),"(71) 9 9957-8159")</f>
        <v>(71) 9 9957-8159</v>
      </c>
      <c r="Q942" s="82" t="str">
        <f>IFERROR(__xludf.DUMMYFUNCTION("IFERROR(VLOOKUP(D942,
IMPORTRANGE(""https://docs.google.com/spreadsheets/d/1MjHtlUikwobi2MaWJgy7tfLeBmhj1u-dRFRs_8GwSoA/edit#gid=0"",""Gestores Escolares!D7:m""),9,0),""VERIFICAR CÓD SEC"")"),"CLAUDIA AMELIA COSTA DO NASCIMENTO")</f>
        <v>CLAUDIA AMELIA COSTA DO NASCIMENTO</v>
      </c>
      <c r="R942" s="82" t="str">
        <f>IFERROR(__xludf.DUMMYFUNCTION("IFERROR(VLOOKUP(D942,
IMPORTRANGE(""https://docs.google.com/spreadsheets/d/1MjHtlUikwobi2MaWJgy7tfLeBmhj1u-dRFRs_8GwSoA/edit#gid=0"",""Gestores Escolares!D7:m""),10,0),""VERIFICAR CÓD SEC"")"),"(74) 9 9971-5577")</f>
        <v>(74) 9 9971-5577</v>
      </c>
      <c r="S942" s="82"/>
      <c r="T942" s="138">
        <v>3.0</v>
      </c>
      <c r="U942" s="145">
        <v>3.0</v>
      </c>
      <c r="V942" s="106">
        <v>0.0</v>
      </c>
      <c r="W942" s="107">
        <v>0.0</v>
      </c>
      <c r="X942" s="107">
        <v>0.0</v>
      </c>
      <c r="Y942" s="107">
        <v>0.0</v>
      </c>
      <c r="Z942" s="80">
        <f t="shared" si="1"/>
        <v>0</v>
      </c>
      <c r="AA942" s="106">
        <v>0.0</v>
      </c>
      <c r="AB942" s="107">
        <v>0.0</v>
      </c>
      <c r="AC942" s="107">
        <v>0.0</v>
      </c>
      <c r="AD942" s="107">
        <v>0.0</v>
      </c>
      <c r="AE942" s="80">
        <f t="shared" si="2"/>
        <v>0</v>
      </c>
      <c r="AF942" s="140">
        <v>0.0</v>
      </c>
      <c r="AG942" s="109">
        <v>52.0</v>
      </c>
      <c r="AH942" s="109">
        <v>0.0</v>
      </c>
      <c r="AI942" s="141">
        <v>0.0</v>
      </c>
      <c r="AJ942" s="80">
        <f t="shared" si="3"/>
        <v>52</v>
      </c>
      <c r="AK942" s="140">
        <v>0.0</v>
      </c>
      <c r="AL942" s="109">
        <v>0.0</v>
      </c>
      <c r="AM942" s="141">
        <v>0.0</v>
      </c>
      <c r="AN942" s="80">
        <f t="shared" si="4"/>
        <v>0</v>
      </c>
      <c r="AO942" s="140">
        <v>0.0</v>
      </c>
      <c r="AP942" s="109">
        <v>0.0</v>
      </c>
      <c r="AQ942" s="109">
        <v>0.0</v>
      </c>
      <c r="AR942" s="80">
        <f t="shared" si="5"/>
        <v>0</v>
      </c>
      <c r="AS942" s="110">
        <v>0.0</v>
      </c>
      <c r="AT942" s="110">
        <v>0.0</v>
      </c>
      <c r="AU942" s="110">
        <v>0.0</v>
      </c>
      <c r="AV942" s="142">
        <v>0.0</v>
      </c>
      <c r="AW942" s="80">
        <f t="shared" si="6"/>
        <v>0</v>
      </c>
      <c r="AX942" s="113">
        <f t="shared" si="7"/>
        <v>52</v>
      </c>
      <c r="AY942" s="117">
        <f t="shared" si="8"/>
        <v>52</v>
      </c>
      <c r="AZ942" s="120">
        <f t="shared" si="9"/>
        <v>0</v>
      </c>
      <c r="BA942" s="115">
        <v>0.0</v>
      </c>
      <c r="BB942" s="89">
        <f t="shared" si="10"/>
        <v>52</v>
      </c>
      <c r="BC942" s="132" t="s">
        <v>373</v>
      </c>
      <c r="BD942" s="132" t="s">
        <v>178</v>
      </c>
      <c r="BE942" s="132" t="s">
        <v>178</v>
      </c>
      <c r="BF942" s="123"/>
      <c r="BG942" s="83">
        <v>1178714.0</v>
      </c>
      <c r="BH942" s="112"/>
      <c r="BI942" s="112">
        <v>3.0</v>
      </c>
      <c r="BJ942" s="98" t="s">
        <v>155</v>
      </c>
      <c r="BK942" s="99">
        <f t="shared" si="11"/>
        <v>0</v>
      </c>
      <c r="BL942" s="99">
        <f t="shared" si="12"/>
        <v>52</v>
      </c>
      <c r="BM942" s="99" t="str">
        <f>IFERROR(__xludf.DUMMYFUNCTION("IFERROR(VLOOKUP(BG942,IMPORTRANGE(""https://docs.google.com/spreadsheets/d/1juPI-Fb8LD0YtltB2mlGEnp_R3UVu1t3wSFPzgCyHXE/edit?gid=0#gid=0"",""GERAL!A2:C""),3,0),""-"")"),"CAMPO")</f>
        <v>CAMPO</v>
      </c>
    </row>
    <row r="943" ht="15.75" customHeight="1">
      <c r="A943" s="111" t="s">
        <v>1161</v>
      </c>
      <c r="B943" s="83" t="s">
        <v>4895</v>
      </c>
      <c r="C943" s="83" t="s">
        <v>68</v>
      </c>
      <c r="D943" s="112">
        <v>1122365.0</v>
      </c>
      <c r="E943" s="83"/>
      <c r="F943" s="83">
        <v>2.9073324E7</v>
      </c>
      <c r="G943" s="184" t="s">
        <v>4896</v>
      </c>
      <c r="H943" s="91" t="s">
        <v>4897</v>
      </c>
      <c r="I943" s="83" t="s">
        <v>149</v>
      </c>
      <c r="J943" s="83" t="s">
        <v>150</v>
      </c>
      <c r="K943" s="83" t="s">
        <v>151</v>
      </c>
      <c r="L943" s="83" t="s">
        <v>152</v>
      </c>
      <c r="M943" s="82" t="str">
        <f>IFERROR(__xludf.DUMMYFUNCTION("IFERROR(VLOOKUP(D943,
IMPORTRANGE(""https://docs.google.com/spreadsheets/d/1MjHtlUikwobi2MaWJgy7tfLeBmhj1u-dRFRs_8GwSoA/edit#gid=0"",""Gestores Escolares!D7:J""),3,0),""VERIFICAR CÓD SEC"")"),"EDSON MENDES RIBEIRO")</f>
        <v>EDSON MENDES RIBEIRO</v>
      </c>
      <c r="N943" s="82" t="str">
        <f>IFERROR(__xludf.DUMMYFUNCTION("IFERROR(VLOOKUP(D943,
IMPORTRANGE(""https://docs.google.com/spreadsheets/d/1MjHtlUikwobi2MaWJgy7tfLeBmhj1u-dRFRs_8GwSoA/edit#gid=0"",""Gestores Escolares!D7:J""),4,0),""VERIFICAR CÓD SEC"")"),"(74) 9 8105-5290")</f>
        <v>(74) 9 8105-5290</v>
      </c>
      <c r="O943" s="82" t="str">
        <f>IFERROR(__xludf.DUMMYFUNCTION("IFERROR(VLOOKUP(D943,
IMPORTRANGE(""https://docs.google.com/spreadsheets/d/1MjHtlUikwobi2MaWJgy7tfLeBmhj1u-dRFRs_8GwSoA/edit#gid=0"",""Gestores Escolares!D7:J""),6,0),""VERIFICAR CÓD SEC"")"),"TEREZINHA FERREIRA DOS SANTOS ALBUQUERQUE")</f>
        <v>TEREZINHA FERREIRA DOS SANTOS ALBUQUERQUE</v>
      </c>
      <c r="P943" s="82" t="str">
        <f>IFERROR(__xludf.DUMMYFUNCTION("IFERROR(VLOOKUP(D943,
IMPORTRANGE(""https://docs.google.com/spreadsheets/d/1MjHtlUikwobi2MaWJgy7tfLeBmhj1u-dRFRs_8GwSoA/edit#gid=0"",""Gestores Escolares!D7:J""),7,0),""VERIFICAR CÓD SEC"")"),"(74) 9 9188-5859")</f>
        <v>(74) 9 9188-5859</v>
      </c>
      <c r="Q943" s="82" t="str">
        <f>IFERROR(__xludf.DUMMYFUNCTION("IFERROR(VLOOKUP(D943,
IMPORTRANGE(""https://docs.google.com/spreadsheets/d/1MjHtlUikwobi2MaWJgy7tfLeBmhj1u-dRFRs_8GwSoA/edit#gid=0"",""Gestores Escolares!D7:m""),9,0),""VERIFICAR CÓD SEC"")"),"GEDSON SILVA DE MENEZES")</f>
        <v>GEDSON SILVA DE MENEZES</v>
      </c>
      <c r="R943" s="82" t="str">
        <f>IFERROR(__xludf.DUMMYFUNCTION("IFERROR(VLOOKUP(D943,
IMPORTRANGE(""https://docs.google.com/spreadsheets/d/1MjHtlUikwobi2MaWJgy7tfLeBmhj1u-dRFRs_8GwSoA/edit#gid=0"",""Gestores Escolares!D7:m""),10,0),""VERIFICAR CÓD SEC"")"),"(74) 9 8108-9548")</f>
        <v>(74) 9 8108-9548</v>
      </c>
      <c r="S943" s="82"/>
      <c r="T943" s="138">
        <v>6.0</v>
      </c>
      <c r="U943" s="145" t="s">
        <v>12897</v>
      </c>
      <c r="V943" s="106">
        <v>0.0</v>
      </c>
      <c r="W943" s="107">
        <v>0.0</v>
      </c>
      <c r="X943" s="107">
        <v>0.0</v>
      </c>
      <c r="Y943" s="107">
        <v>0.0</v>
      </c>
      <c r="Z943" s="80">
        <f t="shared" si="1"/>
        <v>0</v>
      </c>
      <c r="AA943" s="106">
        <v>0.0</v>
      </c>
      <c r="AB943" s="107">
        <v>0.0</v>
      </c>
      <c r="AC943" s="107">
        <v>0.0</v>
      </c>
      <c r="AD943" s="107">
        <v>0.0</v>
      </c>
      <c r="AE943" s="80">
        <f t="shared" si="2"/>
        <v>0</v>
      </c>
      <c r="AF943" s="140">
        <v>60.0</v>
      </c>
      <c r="AG943" s="109">
        <v>57.0</v>
      </c>
      <c r="AH943" s="109">
        <v>0.0</v>
      </c>
      <c r="AI943" s="141">
        <v>69.0</v>
      </c>
      <c r="AJ943" s="80">
        <f t="shared" si="3"/>
        <v>186</v>
      </c>
      <c r="AK943" s="140">
        <v>0.0</v>
      </c>
      <c r="AL943" s="109">
        <v>0.0</v>
      </c>
      <c r="AM943" s="141">
        <v>0.0</v>
      </c>
      <c r="AN943" s="80">
        <f t="shared" si="4"/>
        <v>0</v>
      </c>
      <c r="AO943" s="140">
        <v>0.0</v>
      </c>
      <c r="AP943" s="109">
        <v>0.0</v>
      </c>
      <c r="AQ943" s="109">
        <v>46.0</v>
      </c>
      <c r="AR943" s="80">
        <f t="shared" si="5"/>
        <v>46</v>
      </c>
      <c r="AS943" s="110">
        <v>0.0</v>
      </c>
      <c r="AT943" s="110">
        <v>0.0</v>
      </c>
      <c r="AU943" s="110">
        <v>15.0</v>
      </c>
      <c r="AV943" s="142">
        <v>99.0</v>
      </c>
      <c r="AW943" s="80">
        <f t="shared" si="6"/>
        <v>114</v>
      </c>
      <c r="AX943" s="113">
        <f t="shared" si="7"/>
        <v>346</v>
      </c>
      <c r="AY943" s="117">
        <f t="shared" si="8"/>
        <v>285</v>
      </c>
      <c r="AZ943" s="120">
        <f t="shared" si="9"/>
        <v>61</v>
      </c>
      <c r="BA943" s="115">
        <v>0.0</v>
      </c>
      <c r="BB943" s="89">
        <f t="shared" si="10"/>
        <v>346</v>
      </c>
      <c r="BC943" s="132" t="s">
        <v>178</v>
      </c>
      <c r="BD943" s="132" t="s">
        <v>178</v>
      </c>
      <c r="BE943" s="132" t="s">
        <v>178</v>
      </c>
      <c r="BF943" s="123"/>
      <c r="BG943" s="83">
        <v>1122365.0</v>
      </c>
      <c r="BH943" s="112"/>
      <c r="BI943" s="112">
        <v>6.0</v>
      </c>
      <c r="BJ943" s="98" t="s">
        <v>155</v>
      </c>
      <c r="BK943" s="99">
        <f t="shared" si="11"/>
        <v>168</v>
      </c>
      <c r="BL943" s="99">
        <f t="shared" si="12"/>
        <v>117</v>
      </c>
      <c r="BM943" s="99" t="str">
        <f>IFERROR(__xludf.DUMMYFUNCTION("IFERROR(VLOOKUP(BG943,IMPORTRANGE(""https://docs.google.com/spreadsheets/d/1juPI-Fb8LD0YtltB2mlGEnp_R3UVu1t3wSFPzgCyHXE/edit?gid=0#gid=0"",""GERAL!A2:C""),3,0),""-"")"),"-")</f>
        <v>-</v>
      </c>
    </row>
    <row r="944" ht="15.75" customHeight="1">
      <c r="A944" s="111" t="s">
        <v>1161</v>
      </c>
      <c r="B944" s="83" t="s">
        <v>4895</v>
      </c>
      <c r="C944" s="83" t="s">
        <v>164</v>
      </c>
      <c r="D944" s="112">
        <v>1122365.0</v>
      </c>
      <c r="E944" s="83">
        <v>1178715.0</v>
      </c>
      <c r="F944" s="83">
        <v>2.9073324E7</v>
      </c>
      <c r="G944" s="184" t="s">
        <v>4910</v>
      </c>
      <c r="H944" s="91" t="s">
        <v>4911</v>
      </c>
      <c r="I944" s="83" t="s">
        <v>4916</v>
      </c>
      <c r="J944" s="83" t="s">
        <v>240</v>
      </c>
      <c r="K944" s="83" t="s">
        <v>151</v>
      </c>
      <c r="L944" s="83" t="s">
        <v>169</v>
      </c>
      <c r="M944" s="82" t="str">
        <f>IFERROR(__xludf.DUMMYFUNCTION("IFERROR(VLOOKUP(D944,
IMPORTRANGE(""https://docs.google.com/spreadsheets/d/1MjHtlUikwobi2MaWJgy7tfLeBmhj1u-dRFRs_8GwSoA/edit#gid=0"",""Gestores Escolares!D7:J""),3,0),""VERIFICAR CÓD SEC"")"),"EDSON MENDES RIBEIRO")</f>
        <v>EDSON MENDES RIBEIRO</v>
      </c>
      <c r="N944" s="82" t="str">
        <f>IFERROR(__xludf.DUMMYFUNCTION("IFERROR(VLOOKUP(D944,
IMPORTRANGE(""https://docs.google.com/spreadsheets/d/1MjHtlUikwobi2MaWJgy7tfLeBmhj1u-dRFRs_8GwSoA/edit#gid=0"",""Gestores Escolares!D7:J""),4,0),""VERIFICAR CÓD SEC"")"),"(74) 9 8105-5290")</f>
        <v>(74) 9 8105-5290</v>
      </c>
      <c r="O944" s="82" t="str">
        <f>IFERROR(__xludf.DUMMYFUNCTION("IFERROR(VLOOKUP(D944,
IMPORTRANGE(""https://docs.google.com/spreadsheets/d/1MjHtlUikwobi2MaWJgy7tfLeBmhj1u-dRFRs_8GwSoA/edit#gid=0"",""Gestores Escolares!D7:J""),6,0),""VERIFICAR CÓD SEC"")"),"TEREZINHA FERREIRA DOS SANTOS ALBUQUERQUE")</f>
        <v>TEREZINHA FERREIRA DOS SANTOS ALBUQUERQUE</v>
      </c>
      <c r="P944" s="82" t="str">
        <f>IFERROR(__xludf.DUMMYFUNCTION("IFERROR(VLOOKUP(D944,
IMPORTRANGE(""https://docs.google.com/spreadsheets/d/1MjHtlUikwobi2MaWJgy7tfLeBmhj1u-dRFRs_8GwSoA/edit#gid=0"",""Gestores Escolares!D7:J""),7,0),""VERIFICAR CÓD SEC"")"),"(74) 9 9188-5859")</f>
        <v>(74) 9 9188-5859</v>
      </c>
      <c r="Q944" s="82" t="str">
        <f>IFERROR(__xludf.DUMMYFUNCTION("IFERROR(VLOOKUP(D944,
IMPORTRANGE(""https://docs.google.com/spreadsheets/d/1MjHtlUikwobi2MaWJgy7tfLeBmhj1u-dRFRs_8GwSoA/edit#gid=0"",""Gestores Escolares!D7:m""),9,0),""VERIFICAR CÓD SEC"")"),"GEDSON SILVA DE MENEZES")</f>
        <v>GEDSON SILVA DE MENEZES</v>
      </c>
      <c r="R944" s="82" t="str">
        <f>IFERROR(__xludf.DUMMYFUNCTION("IFERROR(VLOOKUP(D944,
IMPORTRANGE(""https://docs.google.com/spreadsheets/d/1MjHtlUikwobi2MaWJgy7tfLeBmhj1u-dRFRs_8GwSoA/edit#gid=0"",""Gestores Escolares!D7:m""),10,0),""VERIFICAR CÓD SEC"")"),"(74) 9 8108-9548")</f>
        <v>(74) 9 8108-9548</v>
      </c>
      <c r="S944" s="82"/>
      <c r="T944" s="138">
        <v>3.0</v>
      </c>
      <c r="U944" s="139">
        <v>3.0</v>
      </c>
      <c r="V944" s="106">
        <v>0.0</v>
      </c>
      <c r="W944" s="107">
        <v>0.0</v>
      </c>
      <c r="X944" s="107">
        <v>0.0</v>
      </c>
      <c r="Y944" s="107">
        <v>0.0</v>
      </c>
      <c r="Z944" s="80">
        <f t="shared" si="1"/>
        <v>0</v>
      </c>
      <c r="AA944" s="106">
        <v>0.0</v>
      </c>
      <c r="AB944" s="107">
        <v>0.0</v>
      </c>
      <c r="AC944" s="107">
        <v>0.0</v>
      </c>
      <c r="AD944" s="107">
        <v>0.0</v>
      </c>
      <c r="AE944" s="80">
        <f t="shared" si="2"/>
        <v>0</v>
      </c>
      <c r="AF944" s="140">
        <v>0.0</v>
      </c>
      <c r="AG944" s="109">
        <v>94.0</v>
      </c>
      <c r="AH944" s="141">
        <v>0.0</v>
      </c>
      <c r="AI944" s="141">
        <v>0.0</v>
      </c>
      <c r="AJ944" s="80">
        <f t="shared" si="3"/>
        <v>94</v>
      </c>
      <c r="AK944" s="140">
        <v>0.0</v>
      </c>
      <c r="AL944" s="109">
        <v>0.0</v>
      </c>
      <c r="AM944" s="141">
        <v>0.0</v>
      </c>
      <c r="AN944" s="80">
        <f t="shared" si="4"/>
        <v>0</v>
      </c>
      <c r="AO944" s="140">
        <v>0.0</v>
      </c>
      <c r="AP944" s="109">
        <v>0.0</v>
      </c>
      <c r="AQ944" s="109">
        <v>0.0</v>
      </c>
      <c r="AR944" s="80">
        <f t="shared" si="5"/>
        <v>0</v>
      </c>
      <c r="AS944" s="110">
        <v>0.0</v>
      </c>
      <c r="AT944" s="110">
        <v>0.0</v>
      </c>
      <c r="AU944" s="110">
        <v>0.0</v>
      </c>
      <c r="AV944" s="142">
        <v>0.0</v>
      </c>
      <c r="AW944" s="80">
        <f t="shared" si="6"/>
        <v>0</v>
      </c>
      <c r="AX944" s="113">
        <f t="shared" si="7"/>
        <v>94</v>
      </c>
      <c r="AY944" s="117">
        <f t="shared" si="8"/>
        <v>94</v>
      </c>
      <c r="AZ944" s="120">
        <f t="shared" si="9"/>
        <v>0</v>
      </c>
      <c r="BA944" s="115">
        <v>0.0</v>
      </c>
      <c r="BB944" s="89">
        <f t="shared" si="10"/>
        <v>94</v>
      </c>
      <c r="BC944" s="132" t="s">
        <v>373</v>
      </c>
      <c r="BD944" s="132" t="s">
        <v>178</v>
      </c>
      <c r="BE944" s="132" t="s">
        <v>178</v>
      </c>
      <c r="BF944" s="123"/>
      <c r="BG944" s="83">
        <v>1178715.0</v>
      </c>
      <c r="BH944" s="112"/>
      <c r="BI944" s="112">
        <v>3.0</v>
      </c>
      <c r="BJ944" s="98" t="s">
        <v>155</v>
      </c>
      <c r="BK944" s="99">
        <f t="shared" si="11"/>
        <v>0</v>
      </c>
      <c r="BL944" s="99">
        <f t="shared" si="12"/>
        <v>94</v>
      </c>
      <c r="BM944" s="99" t="str">
        <f>IFERROR(__xludf.DUMMYFUNCTION("IFERROR(VLOOKUP(BG944,IMPORTRANGE(""https://docs.google.com/spreadsheets/d/1juPI-Fb8LD0YtltB2mlGEnp_R3UVu1t3wSFPzgCyHXE/edit?gid=0#gid=0"",""GERAL!A2:C""),3,0),""-"")"),"CAMPO")</f>
        <v>CAMPO</v>
      </c>
    </row>
    <row r="945" ht="15.75" customHeight="1">
      <c r="A945" s="111" t="s">
        <v>1161</v>
      </c>
      <c r="B945" s="83" t="s">
        <v>4895</v>
      </c>
      <c r="C945" s="83" t="s">
        <v>164</v>
      </c>
      <c r="D945" s="112">
        <v>1122365.0</v>
      </c>
      <c r="E945" s="83">
        <v>1179473.0</v>
      </c>
      <c r="F945" s="83">
        <v>2.9073324E7</v>
      </c>
      <c r="G945" s="184" t="s">
        <v>4919</v>
      </c>
      <c r="H945" s="91" t="s">
        <v>4922</v>
      </c>
      <c r="I945" s="83" t="s">
        <v>4283</v>
      </c>
      <c r="J945" s="83" t="s">
        <v>2492</v>
      </c>
      <c r="K945" s="83" t="s">
        <v>168</v>
      </c>
      <c r="L945" s="83" t="s">
        <v>169</v>
      </c>
      <c r="M945" s="82" t="str">
        <f>IFERROR(__xludf.DUMMYFUNCTION("IFERROR(VLOOKUP(D945,
IMPORTRANGE(""https://docs.google.com/spreadsheets/d/1MjHtlUikwobi2MaWJgy7tfLeBmhj1u-dRFRs_8GwSoA/edit#gid=0"",""Gestores Escolares!D7:J""),3,0),""VERIFICAR CÓD SEC"")"),"EDSON MENDES RIBEIRO")</f>
        <v>EDSON MENDES RIBEIRO</v>
      </c>
      <c r="N945" s="82" t="str">
        <f>IFERROR(__xludf.DUMMYFUNCTION("IFERROR(VLOOKUP(D945,
IMPORTRANGE(""https://docs.google.com/spreadsheets/d/1MjHtlUikwobi2MaWJgy7tfLeBmhj1u-dRFRs_8GwSoA/edit#gid=0"",""Gestores Escolares!D7:J""),4,0),""VERIFICAR CÓD SEC"")"),"(74) 9 8105-5290")</f>
        <v>(74) 9 8105-5290</v>
      </c>
      <c r="O945" s="82" t="str">
        <f>IFERROR(__xludf.DUMMYFUNCTION("IFERROR(VLOOKUP(D945,
IMPORTRANGE(""https://docs.google.com/spreadsheets/d/1MjHtlUikwobi2MaWJgy7tfLeBmhj1u-dRFRs_8GwSoA/edit#gid=0"",""Gestores Escolares!D7:J""),6,0),""VERIFICAR CÓD SEC"")"),"TEREZINHA FERREIRA DOS SANTOS ALBUQUERQUE")</f>
        <v>TEREZINHA FERREIRA DOS SANTOS ALBUQUERQUE</v>
      </c>
      <c r="P945" s="82" t="str">
        <f>IFERROR(__xludf.DUMMYFUNCTION("IFERROR(VLOOKUP(D945,
IMPORTRANGE(""https://docs.google.com/spreadsheets/d/1MjHtlUikwobi2MaWJgy7tfLeBmhj1u-dRFRs_8GwSoA/edit#gid=0"",""Gestores Escolares!D7:J""),7,0),""VERIFICAR CÓD SEC"")"),"(74) 9 9188-5859")</f>
        <v>(74) 9 9188-5859</v>
      </c>
      <c r="Q945" s="82" t="str">
        <f>IFERROR(__xludf.DUMMYFUNCTION("IFERROR(VLOOKUP(D945,
IMPORTRANGE(""https://docs.google.com/spreadsheets/d/1MjHtlUikwobi2MaWJgy7tfLeBmhj1u-dRFRs_8GwSoA/edit#gid=0"",""Gestores Escolares!D7:m""),9,0),""VERIFICAR CÓD SEC"")"),"GEDSON SILVA DE MENEZES")</f>
        <v>GEDSON SILVA DE MENEZES</v>
      </c>
      <c r="R945" s="82" t="str">
        <f>IFERROR(__xludf.DUMMYFUNCTION("IFERROR(VLOOKUP(D945,
IMPORTRANGE(""https://docs.google.com/spreadsheets/d/1MjHtlUikwobi2MaWJgy7tfLeBmhj1u-dRFRs_8GwSoA/edit#gid=0"",""Gestores Escolares!D7:m""),10,0),""VERIFICAR CÓD SEC"")"),"(74) 9 8108-9548")</f>
        <v>(74) 9 8108-9548</v>
      </c>
      <c r="S945" s="82"/>
      <c r="T945" s="138">
        <v>1.0</v>
      </c>
      <c r="U945" s="145">
        <v>2.0</v>
      </c>
      <c r="V945" s="106">
        <v>0.0</v>
      </c>
      <c r="W945" s="107">
        <v>0.0</v>
      </c>
      <c r="X945" s="107">
        <v>0.0</v>
      </c>
      <c r="Y945" s="107">
        <v>0.0</v>
      </c>
      <c r="Z945" s="80">
        <f t="shared" si="1"/>
        <v>0</v>
      </c>
      <c r="AA945" s="106">
        <v>0.0</v>
      </c>
      <c r="AB945" s="107">
        <v>0.0</v>
      </c>
      <c r="AC945" s="107">
        <v>0.0</v>
      </c>
      <c r="AD945" s="107">
        <v>0.0</v>
      </c>
      <c r="AE945" s="80">
        <f t="shared" si="2"/>
        <v>0</v>
      </c>
      <c r="AF945" s="140">
        <v>0.0</v>
      </c>
      <c r="AG945" s="109">
        <v>0.0</v>
      </c>
      <c r="AH945" s="109">
        <v>22.0</v>
      </c>
      <c r="AI945" s="141">
        <v>0.0</v>
      </c>
      <c r="AJ945" s="80">
        <f t="shared" si="3"/>
        <v>22</v>
      </c>
      <c r="AK945" s="140">
        <v>0.0</v>
      </c>
      <c r="AL945" s="109">
        <v>0.0</v>
      </c>
      <c r="AM945" s="141">
        <v>0.0</v>
      </c>
      <c r="AN945" s="80">
        <f t="shared" si="4"/>
        <v>0</v>
      </c>
      <c r="AO945" s="140">
        <v>0.0</v>
      </c>
      <c r="AP945" s="109">
        <v>0.0</v>
      </c>
      <c r="AQ945" s="109">
        <v>0.0</v>
      </c>
      <c r="AR945" s="80">
        <f t="shared" si="5"/>
        <v>0</v>
      </c>
      <c r="AS945" s="110">
        <v>0.0</v>
      </c>
      <c r="AT945" s="110">
        <v>0.0</v>
      </c>
      <c r="AU945" s="110">
        <v>0.0</v>
      </c>
      <c r="AV945" s="142">
        <v>0.0</v>
      </c>
      <c r="AW945" s="80">
        <f t="shared" si="6"/>
        <v>0</v>
      </c>
      <c r="AX945" s="113">
        <f t="shared" si="7"/>
        <v>22</v>
      </c>
      <c r="AY945" s="117">
        <f t="shared" si="8"/>
        <v>0</v>
      </c>
      <c r="AZ945" s="120">
        <f t="shared" si="9"/>
        <v>22</v>
      </c>
      <c r="BA945" s="115">
        <v>0.0</v>
      </c>
      <c r="BB945" s="89">
        <f t="shared" si="10"/>
        <v>22</v>
      </c>
      <c r="BC945" s="132" t="s">
        <v>373</v>
      </c>
      <c r="BD945" s="132" t="s">
        <v>178</v>
      </c>
      <c r="BE945" s="132" t="s">
        <v>178</v>
      </c>
      <c r="BF945" s="156"/>
      <c r="BG945" s="83">
        <v>1179473.0</v>
      </c>
      <c r="BH945" s="112"/>
      <c r="BI945" s="112">
        <v>2.0</v>
      </c>
      <c r="BJ945" s="98" t="s">
        <v>155</v>
      </c>
      <c r="BK945" s="99">
        <f t="shared" si="11"/>
        <v>0</v>
      </c>
      <c r="BL945" s="99">
        <f t="shared" si="12"/>
        <v>0</v>
      </c>
      <c r="BM945" s="99" t="str">
        <f>IFERROR(__xludf.DUMMYFUNCTION("IFERROR(VLOOKUP(BG945,IMPORTRANGE(""https://docs.google.com/spreadsheets/d/1juPI-Fb8LD0YtltB2mlGEnp_R3UVu1t3wSFPzgCyHXE/edit?gid=0#gid=0"",""GERAL!A2:C""),3,0),""-"")"),"CAMPO")</f>
        <v>CAMPO</v>
      </c>
    </row>
    <row r="946" ht="15.75" customHeight="1">
      <c r="A946" s="111" t="s">
        <v>1161</v>
      </c>
      <c r="B946" s="83" t="s">
        <v>4895</v>
      </c>
      <c r="C946" s="83" t="s">
        <v>164</v>
      </c>
      <c r="D946" s="112">
        <v>1122365.0</v>
      </c>
      <c r="E946" s="83">
        <v>1179278.0</v>
      </c>
      <c r="F946" s="83">
        <v>2.9073324E7</v>
      </c>
      <c r="G946" s="184" t="s">
        <v>4931</v>
      </c>
      <c r="H946" s="91" t="s">
        <v>4932</v>
      </c>
      <c r="I946" s="83" t="s">
        <v>4933</v>
      </c>
      <c r="J946" s="83" t="s">
        <v>209</v>
      </c>
      <c r="K946" s="83" t="s">
        <v>168</v>
      </c>
      <c r="L946" s="83" t="s">
        <v>169</v>
      </c>
      <c r="M946" s="82" t="str">
        <f>IFERROR(__xludf.DUMMYFUNCTION("IFERROR(VLOOKUP(D946,
IMPORTRANGE(""https://docs.google.com/spreadsheets/d/1MjHtlUikwobi2MaWJgy7tfLeBmhj1u-dRFRs_8GwSoA/edit#gid=0"",""Gestores Escolares!D7:J""),3,0),""VERIFICAR CÓD SEC"")"),"EDSON MENDES RIBEIRO")</f>
        <v>EDSON MENDES RIBEIRO</v>
      </c>
      <c r="N946" s="82" t="str">
        <f>IFERROR(__xludf.DUMMYFUNCTION("IFERROR(VLOOKUP(D946,
IMPORTRANGE(""https://docs.google.com/spreadsheets/d/1MjHtlUikwobi2MaWJgy7tfLeBmhj1u-dRFRs_8GwSoA/edit#gid=0"",""Gestores Escolares!D7:J""),4,0),""VERIFICAR CÓD SEC"")"),"(74) 9 8105-5290")</f>
        <v>(74) 9 8105-5290</v>
      </c>
      <c r="O946" s="82" t="str">
        <f>IFERROR(__xludf.DUMMYFUNCTION("IFERROR(VLOOKUP(D946,
IMPORTRANGE(""https://docs.google.com/spreadsheets/d/1MjHtlUikwobi2MaWJgy7tfLeBmhj1u-dRFRs_8GwSoA/edit#gid=0"",""Gestores Escolares!D7:J""),6,0),""VERIFICAR CÓD SEC"")"),"TEREZINHA FERREIRA DOS SANTOS ALBUQUERQUE")</f>
        <v>TEREZINHA FERREIRA DOS SANTOS ALBUQUERQUE</v>
      </c>
      <c r="P946" s="82" t="str">
        <f>IFERROR(__xludf.DUMMYFUNCTION("IFERROR(VLOOKUP(D946,
IMPORTRANGE(""https://docs.google.com/spreadsheets/d/1MjHtlUikwobi2MaWJgy7tfLeBmhj1u-dRFRs_8GwSoA/edit#gid=0"",""Gestores Escolares!D7:J""),7,0),""VERIFICAR CÓD SEC"")"),"(74) 9 9188-5859")</f>
        <v>(74) 9 9188-5859</v>
      </c>
      <c r="Q946" s="82" t="str">
        <f>IFERROR(__xludf.DUMMYFUNCTION("IFERROR(VLOOKUP(D946,
IMPORTRANGE(""https://docs.google.com/spreadsheets/d/1MjHtlUikwobi2MaWJgy7tfLeBmhj1u-dRFRs_8GwSoA/edit#gid=0"",""Gestores Escolares!D7:m""),9,0),""VERIFICAR CÓD SEC"")"),"GEDSON SILVA DE MENEZES")</f>
        <v>GEDSON SILVA DE MENEZES</v>
      </c>
      <c r="R946" s="82" t="str">
        <f>IFERROR(__xludf.DUMMYFUNCTION("IFERROR(VLOOKUP(D946,
IMPORTRANGE(""https://docs.google.com/spreadsheets/d/1MjHtlUikwobi2MaWJgy7tfLeBmhj1u-dRFRs_8GwSoA/edit#gid=0"",""Gestores Escolares!D7:m""),10,0),""VERIFICAR CÓD SEC"")"),"(74) 9 8108-9548")</f>
        <v>(74) 9 8108-9548</v>
      </c>
      <c r="S946" s="82"/>
      <c r="T946" s="138">
        <v>3.0</v>
      </c>
      <c r="U946" s="139">
        <v>3.0</v>
      </c>
      <c r="V946" s="106">
        <v>0.0</v>
      </c>
      <c r="W946" s="107">
        <v>0.0</v>
      </c>
      <c r="X946" s="107">
        <v>0.0</v>
      </c>
      <c r="Y946" s="107">
        <v>0.0</v>
      </c>
      <c r="Z946" s="80">
        <f t="shared" si="1"/>
        <v>0</v>
      </c>
      <c r="AA946" s="106">
        <v>0.0</v>
      </c>
      <c r="AB946" s="107">
        <v>0.0</v>
      </c>
      <c r="AC946" s="107">
        <v>0.0</v>
      </c>
      <c r="AD946" s="107">
        <v>0.0</v>
      </c>
      <c r="AE946" s="80">
        <f t="shared" si="2"/>
        <v>0</v>
      </c>
      <c r="AF946" s="140">
        <v>0.0</v>
      </c>
      <c r="AG946" s="109">
        <v>0.0</v>
      </c>
      <c r="AH946" s="109">
        <v>26.0</v>
      </c>
      <c r="AI946" s="141">
        <v>0.0</v>
      </c>
      <c r="AJ946" s="80">
        <f t="shared" si="3"/>
        <v>26</v>
      </c>
      <c r="AK946" s="140">
        <v>0.0</v>
      </c>
      <c r="AL946" s="109">
        <v>0.0</v>
      </c>
      <c r="AM946" s="141">
        <v>0.0</v>
      </c>
      <c r="AN946" s="80">
        <f t="shared" si="4"/>
        <v>0</v>
      </c>
      <c r="AO946" s="140">
        <v>0.0</v>
      </c>
      <c r="AP946" s="109">
        <v>0.0</v>
      </c>
      <c r="AQ946" s="109">
        <v>0.0</v>
      </c>
      <c r="AR946" s="80">
        <f t="shared" si="5"/>
        <v>0</v>
      </c>
      <c r="AS946" s="110">
        <v>0.0</v>
      </c>
      <c r="AT946" s="110">
        <v>0.0</v>
      </c>
      <c r="AU946" s="110">
        <v>0.0</v>
      </c>
      <c r="AV946" s="142">
        <v>0.0</v>
      </c>
      <c r="AW946" s="80">
        <f t="shared" si="6"/>
        <v>0</v>
      </c>
      <c r="AX946" s="113">
        <f t="shared" si="7"/>
        <v>26</v>
      </c>
      <c r="AY946" s="117">
        <f t="shared" si="8"/>
        <v>0</v>
      </c>
      <c r="AZ946" s="120">
        <f t="shared" si="9"/>
        <v>26</v>
      </c>
      <c r="BA946" s="115">
        <v>0.0</v>
      </c>
      <c r="BB946" s="89">
        <f t="shared" si="10"/>
        <v>26</v>
      </c>
      <c r="BC946" s="132" t="s">
        <v>265</v>
      </c>
      <c r="BD946" s="132" t="s">
        <v>178</v>
      </c>
      <c r="BE946" s="132" t="s">
        <v>178</v>
      </c>
      <c r="BF946" s="156"/>
      <c r="BG946" s="83">
        <v>1179278.0</v>
      </c>
      <c r="BH946" s="112"/>
      <c r="BI946" s="112">
        <v>3.0</v>
      </c>
      <c r="BJ946" s="98" t="s">
        <v>155</v>
      </c>
      <c r="BK946" s="99">
        <f t="shared" si="11"/>
        <v>0</v>
      </c>
      <c r="BL946" s="99">
        <f t="shared" si="12"/>
        <v>0</v>
      </c>
      <c r="BM946" s="99" t="str">
        <f>IFERROR(__xludf.DUMMYFUNCTION("IFERROR(VLOOKUP(BG946,IMPORTRANGE(""https://docs.google.com/spreadsheets/d/1juPI-Fb8LD0YtltB2mlGEnp_R3UVu1t3wSFPzgCyHXE/edit?gid=0#gid=0"",""GERAL!A2:C""),3,0),""-"")"),"QUILOMBOLAS")</f>
        <v>QUILOMBOLAS</v>
      </c>
    </row>
    <row r="947" ht="15.75" customHeight="1">
      <c r="A947" s="111" t="s">
        <v>1161</v>
      </c>
      <c r="B947" s="83" t="s">
        <v>4895</v>
      </c>
      <c r="C947" s="83" t="s">
        <v>164</v>
      </c>
      <c r="D947" s="112">
        <v>1122365.0</v>
      </c>
      <c r="E947" s="83">
        <v>1179472.0</v>
      </c>
      <c r="F947" s="98">
        <v>2.9073324E7</v>
      </c>
      <c r="G947" s="119" t="s">
        <v>4941</v>
      </c>
      <c r="H947" s="108" t="s">
        <v>4942</v>
      </c>
      <c r="I947" s="98" t="s">
        <v>4943</v>
      </c>
      <c r="J947" s="83"/>
      <c r="K947" s="83" t="s">
        <v>168</v>
      </c>
      <c r="L947" s="83" t="s">
        <v>169</v>
      </c>
      <c r="M947" s="82" t="str">
        <f>IFERROR(__xludf.DUMMYFUNCTION("IFERROR(VLOOKUP(D947,
IMPORTRANGE(""https://docs.google.com/spreadsheets/d/1MjHtlUikwobi2MaWJgy7tfLeBmhj1u-dRFRs_8GwSoA/edit#gid=0"",""Gestores Escolares!D7:J""),3,0),""VERIFICAR CÓD SEC"")"),"EDSON MENDES RIBEIRO")</f>
        <v>EDSON MENDES RIBEIRO</v>
      </c>
      <c r="N947" s="82" t="str">
        <f>IFERROR(__xludf.DUMMYFUNCTION("IFERROR(VLOOKUP(D947,
IMPORTRANGE(""https://docs.google.com/spreadsheets/d/1MjHtlUikwobi2MaWJgy7tfLeBmhj1u-dRFRs_8GwSoA/edit#gid=0"",""Gestores Escolares!D7:J""),4,0),""VERIFICAR CÓD SEC"")"),"(74) 9 8105-5290")</f>
        <v>(74) 9 8105-5290</v>
      </c>
      <c r="O947" s="82" t="str">
        <f>IFERROR(__xludf.DUMMYFUNCTION("IFERROR(VLOOKUP(D947,
IMPORTRANGE(""https://docs.google.com/spreadsheets/d/1MjHtlUikwobi2MaWJgy7tfLeBmhj1u-dRFRs_8GwSoA/edit#gid=0"",""Gestores Escolares!D7:J""),6,0),""VERIFICAR CÓD SEC"")"),"TEREZINHA FERREIRA DOS SANTOS ALBUQUERQUE")</f>
        <v>TEREZINHA FERREIRA DOS SANTOS ALBUQUERQUE</v>
      </c>
      <c r="P947" s="82" t="str">
        <f>IFERROR(__xludf.DUMMYFUNCTION("IFERROR(VLOOKUP(D947,
IMPORTRANGE(""https://docs.google.com/spreadsheets/d/1MjHtlUikwobi2MaWJgy7tfLeBmhj1u-dRFRs_8GwSoA/edit#gid=0"",""Gestores Escolares!D7:J""),7,0),""VERIFICAR CÓD SEC"")"),"(74) 9 9188-5859")</f>
        <v>(74) 9 9188-5859</v>
      </c>
      <c r="Q947" s="82" t="str">
        <f>IFERROR(__xludf.DUMMYFUNCTION("IFERROR(VLOOKUP(D947,
IMPORTRANGE(""https://docs.google.com/spreadsheets/d/1MjHtlUikwobi2MaWJgy7tfLeBmhj1u-dRFRs_8GwSoA/edit#gid=0"",""Gestores Escolares!D7:m""),9,0),""VERIFICAR CÓD SEC"")"),"GEDSON SILVA DE MENEZES")</f>
        <v>GEDSON SILVA DE MENEZES</v>
      </c>
      <c r="R947" s="82" t="str">
        <f>IFERROR(__xludf.DUMMYFUNCTION("IFERROR(VLOOKUP(D947,
IMPORTRANGE(""https://docs.google.com/spreadsheets/d/1MjHtlUikwobi2MaWJgy7tfLeBmhj1u-dRFRs_8GwSoA/edit#gid=0"",""Gestores Escolares!D7:m""),10,0),""VERIFICAR CÓD SEC"")"),"(74) 9 8108-9548")</f>
        <v>(74) 9 8108-9548</v>
      </c>
      <c r="S947" s="82"/>
      <c r="T947" s="138"/>
      <c r="U947" s="145"/>
      <c r="V947" s="106">
        <v>0.0</v>
      </c>
      <c r="W947" s="107">
        <v>0.0</v>
      </c>
      <c r="X947" s="107">
        <v>0.0</v>
      </c>
      <c r="Y947" s="107">
        <v>0.0</v>
      </c>
      <c r="Z947" s="80">
        <f t="shared" si="1"/>
        <v>0</v>
      </c>
      <c r="AA947" s="106">
        <v>0.0</v>
      </c>
      <c r="AB947" s="107">
        <v>0.0</v>
      </c>
      <c r="AC947" s="107">
        <v>0.0</v>
      </c>
      <c r="AD947" s="107">
        <v>0.0</v>
      </c>
      <c r="AE947" s="80">
        <f t="shared" si="2"/>
        <v>0</v>
      </c>
      <c r="AF947" s="140">
        <v>0.0</v>
      </c>
      <c r="AG947" s="109">
        <v>0.0</v>
      </c>
      <c r="AH947" s="109">
        <v>20.0</v>
      </c>
      <c r="AI947" s="141">
        <v>0.0</v>
      </c>
      <c r="AJ947" s="80">
        <f t="shared" si="3"/>
        <v>20</v>
      </c>
      <c r="AK947" s="140">
        <v>0.0</v>
      </c>
      <c r="AL947" s="109">
        <v>0.0</v>
      </c>
      <c r="AM947" s="141">
        <v>0.0</v>
      </c>
      <c r="AN947" s="80">
        <f t="shared" si="4"/>
        <v>0</v>
      </c>
      <c r="AO947" s="140">
        <v>0.0</v>
      </c>
      <c r="AP947" s="109">
        <v>0.0</v>
      </c>
      <c r="AQ947" s="109">
        <v>0.0</v>
      </c>
      <c r="AR947" s="80">
        <f t="shared" si="5"/>
        <v>0</v>
      </c>
      <c r="AS947" s="110">
        <v>0.0</v>
      </c>
      <c r="AT947" s="110">
        <v>0.0</v>
      </c>
      <c r="AU947" s="110">
        <v>0.0</v>
      </c>
      <c r="AV947" s="142">
        <v>0.0</v>
      </c>
      <c r="AW947" s="80">
        <f t="shared" si="6"/>
        <v>0</v>
      </c>
      <c r="AX947" s="113">
        <f t="shared" si="7"/>
        <v>20</v>
      </c>
      <c r="AY947" s="117">
        <f t="shared" si="8"/>
        <v>0</v>
      </c>
      <c r="AZ947" s="120">
        <f t="shared" si="9"/>
        <v>20</v>
      </c>
      <c r="BA947" s="115">
        <v>0.0</v>
      </c>
      <c r="BB947" s="89">
        <f t="shared" si="10"/>
        <v>20</v>
      </c>
      <c r="BC947" s="132"/>
      <c r="BD947" s="132"/>
      <c r="BE947" s="132"/>
      <c r="BF947" s="123"/>
      <c r="BG947" s="98">
        <v>1179472.0</v>
      </c>
      <c r="BH947" s="112"/>
      <c r="BI947" s="112"/>
      <c r="BJ947" s="98"/>
      <c r="BK947" s="99">
        <f t="shared" si="11"/>
        <v>0</v>
      </c>
      <c r="BL947" s="99">
        <f t="shared" si="12"/>
        <v>0</v>
      </c>
      <c r="BM947" s="99" t="str">
        <f>IFERROR(__xludf.DUMMYFUNCTION("IFERROR(VLOOKUP(BG947,IMPORTRANGE(""https://docs.google.com/spreadsheets/d/1juPI-Fb8LD0YtltB2mlGEnp_R3UVu1t3wSFPzgCyHXE/edit?gid=0#gid=0"",""GERAL!A2:C""),3,0),""-"")"),"-")</f>
        <v>-</v>
      </c>
    </row>
    <row r="948" ht="15.75" customHeight="1">
      <c r="A948" s="111" t="s">
        <v>1161</v>
      </c>
      <c r="B948" s="83" t="s">
        <v>2347</v>
      </c>
      <c r="C948" s="83" t="s">
        <v>68</v>
      </c>
      <c r="D948" s="98">
        <v>1179811.0</v>
      </c>
      <c r="E948" s="83"/>
      <c r="F948" s="98">
        <v>2.9489563E7</v>
      </c>
      <c r="G948" s="119" t="s">
        <v>4954</v>
      </c>
      <c r="H948" s="108" t="s">
        <v>4955</v>
      </c>
      <c r="I948" s="83"/>
      <c r="J948" s="83"/>
      <c r="K948" s="83" t="s">
        <v>151</v>
      </c>
      <c r="L948" s="83" t="s">
        <v>169</v>
      </c>
      <c r="M948" s="82" t="str">
        <f>IFERROR(__xludf.DUMMYFUNCTION("IFERROR(VLOOKUP(D948,
IMPORTRANGE(""https://docs.google.com/spreadsheets/d/1MjHtlUikwobi2MaWJgy7tfLeBmhj1u-dRFRs_8GwSoA/edit#gid=0"",""Gestores Escolares!D7:J""),3,0),""VERIFICAR CÓD SEC"")"),"HELTON SOUZA CAVALCANTE GAMA")</f>
        <v>HELTON SOUZA CAVALCANTE GAMA</v>
      </c>
      <c r="N948" s="82" t="str">
        <f>IFERROR(__xludf.DUMMYFUNCTION("IFERROR(VLOOKUP(D948,
IMPORTRANGE(""https://docs.google.com/spreadsheets/d/1MjHtlUikwobi2MaWJgy7tfLeBmhj1u-dRFRs_8GwSoA/edit#gid=0"",""Gestores Escolares!D7:J""),4,0),""VERIFICAR CÓD SEC"")"),"(74) 9 9114-0460")</f>
        <v>(74) 9 9114-0460</v>
      </c>
      <c r="O948" s="82" t="str">
        <f>IFERROR(__xludf.DUMMYFUNCTION("IFERROR(VLOOKUP(D948,
IMPORTRANGE(""https://docs.google.com/spreadsheets/d/1MjHtlUikwobi2MaWJgy7tfLeBmhj1u-dRFRs_8GwSoA/edit#gid=0"",""Gestores Escolares!D7:J""),6,0),""VERIFICAR CÓD SEC"")"),"GEVESON SANTANA SANTOS")</f>
        <v>GEVESON SANTANA SANTOS</v>
      </c>
      <c r="P948" s="82" t="str">
        <f>IFERROR(__xludf.DUMMYFUNCTION("IFERROR(VLOOKUP(D948,
IMPORTRANGE(""https://docs.google.com/spreadsheets/d/1MjHtlUikwobi2MaWJgy7tfLeBmhj1u-dRFRs_8GwSoA/edit#gid=0"",""Gestores Escolares!D7:J""),7,0),""VERIFICAR CÓD SEC"")"),"(75) 9 9865-8370")</f>
        <v>(75) 9 9865-8370</v>
      </c>
      <c r="Q948" s="82" t="str">
        <f>IFERROR(__xludf.DUMMYFUNCTION("IFERROR(VLOOKUP(D948,
IMPORTRANGE(""https://docs.google.com/spreadsheets/d/1MjHtlUikwobi2MaWJgy7tfLeBmhj1u-dRFRs_8GwSoA/edit#gid=0"",""Gestores Escolares!D7:m""),9,0),""VERIFICAR CÓD SEC"")"),"")</f>
        <v/>
      </c>
      <c r="R948" s="82" t="str">
        <f>IFERROR(__xludf.DUMMYFUNCTION("IFERROR(VLOOKUP(D948,
IMPORTRANGE(""https://docs.google.com/spreadsheets/d/1MjHtlUikwobi2MaWJgy7tfLeBmhj1u-dRFRs_8GwSoA/edit#gid=0"",""Gestores Escolares!D7:m""),10,0),""VERIFICAR CÓD SEC"")"),"")</f>
        <v/>
      </c>
      <c r="S948" s="82"/>
      <c r="T948" s="138"/>
      <c r="U948" s="145">
        <v>3.0</v>
      </c>
      <c r="V948" s="106">
        <v>0.0</v>
      </c>
      <c r="W948" s="107">
        <v>0.0</v>
      </c>
      <c r="X948" s="107">
        <v>0.0</v>
      </c>
      <c r="Y948" s="107">
        <v>0.0</v>
      </c>
      <c r="Z948" s="80">
        <f t="shared" si="1"/>
        <v>0</v>
      </c>
      <c r="AA948" s="106">
        <v>0.0</v>
      </c>
      <c r="AB948" s="107">
        <v>0.0</v>
      </c>
      <c r="AC948" s="107">
        <v>0.0</v>
      </c>
      <c r="AD948" s="107">
        <v>0.0</v>
      </c>
      <c r="AE948" s="80">
        <f t="shared" si="2"/>
        <v>0</v>
      </c>
      <c r="AF948" s="140">
        <v>110.0</v>
      </c>
      <c r="AG948" s="109">
        <v>91.0</v>
      </c>
      <c r="AH948" s="109">
        <v>0.0</v>
      </c>
      <c r="AI948" s="141">
        <v>0.0</v>
      </c>
      <c r="AJ948" s="80">
        <f t="shared" si="3"/>
        <v>201</v>
      </c>
      <c r="AK948" s="140">
        <v>0.0</v>
      </c>
      <c r="AL948" s="109">
        <v>0.0</v>
      </c>
      <c r="AM948" s="141">
        <v>0.0</v>
      </c>
      <c r="AN948" s="80">
        <f t="shared" si="4"/>
        <v>0</v>
      </c>
      <c r="AO948" s="140">
        <v>0.0</v>
      </c>
      <c r="AP948" s="109">
        <v>0.0</v>
      </c>
      <c r="AQ948" s="109">
        <v>22.0</v>
      </c>
      <c r="AR948" s="80">
        <f t="shared" si="5"/>
        <v>22</v>
      </c>
      <c r="AS948" s="110">
        <v>0.0</v>
      </c>
      <c r="AT948" s="110">
        <v>0.0</v>
      </c>
      <c r="AU948" s="110">
        <v>0.0</v>
      </c>
      <c r="AV948" s="142">
        <v>0.0</v>
      </c>
      <c r="AW948" s="80">
        <f t="shared" si="6"/>
        <v>0</v>
      </c>
      <c r="AX948" s="113">
        <f t="shared" si="7"/>
        <v>223</v>
      </c>
      <c r="AY948" s="117">
        <f t="shared" si="8"/>
        <v>201</v>
      </c>
      <c r="AZ948" s="120">
        <f t="shared" si="9"/>
        <v>22</v>
      </c>
      <c r="BA948" s="115">
        <v>0.0</v>
      </c>
      <c r="BB948" s="89">
        <f t="shared" si="10"/>
        <v>223</v>
      </c>
      <c r="BC948" s="132"/>
      <c r="BD948" s="132"/>
      <c r="BE948" s="132"/>
      <c r="BF948" s="123"/>
      <c r="BG948" s="98">
        <v>1179811.0</v>
      </c>
      <c r="BH948" s="112"/>
      <c r="BI948" s="112"/>
      <c r="BJ948" s="98"/>
      <c r="BK948" s="99">
        <f t="shared" si="11"/>
        <v>0</v>
      </c>
      <c r="BL948" s="99">
        <f t="shared" si="12"/>
        <v>201</v>
      </c>
      <c r="BM948" s="99" t="str">
        <f>IFERROR(__xludf.DUMMYFUNCTION("IFERROR(VLOOKUP(BG948,IMPORTRANGE(""https://docs.google.com/spreadsheets/d/1juPI-Fb8LD0YtltB2mlGEnp_R3UVu1t3wSFPzgCyHXE/edit?gid=0#gid=0"",""GERAL!A2:C""),3,0),""-"")"),"-")</f>
        <v>-</v>
      </c>
    </row>
    <row r="949" ht="15.75" customHeight="1">
      <c r="A949" s="111" t="s">
        <v>1161</v>
      </c>
      <c r="B949" s="83" t="s">
        <v>2347</v>
      </c>
      <c r="C949" s="83" t="s">
        <v>68</v>
      </c>
      <c r="D949" s="112">
        <v>1172419.0</v>
      </c>
      <c r="E949" s="83"/>
      <c r="F949" s="83">
        <v>2.9075874E7</v>
      </c>
      <c r="G949" s="119" t="s">
        <v>4957</v>
      </c>
      <c r="H949" s="91" t="s">
        <v>4958</v>
      </c>
      <c r="I949" s="83" t="s">
        <v>149</v>
      </c>
      <c r="J949" s="83" t="s">
        <v>150</v>
      </c>
      <c r="K949" s="83" t="s">
        <v>151</v>
      </c>
      <c r="L949" s="98" t="s">
        <v>230</v>
      </c>
      <c r="M949" s="82" t="str">
        <f>IFERROR(__xludf.DUMMYFUNCTION("IFERROR(VLOOKUP(D949,
IMPORTRANGE(""https://docs.google.com/spreadsheets/d/1MjHtlUikwobi2MaWJgy7tfLeBmhj1u-dRFRs_8GwSoA/edit#gid=0"",""Gestores Escolares!D7:J""),3,0),""VERIFICAR CÓD SEC"")")," EDILENE FREIRE PEREIRA")</f>
        <v> EDILENE FREIRE PEREIRA</v>
      </c>
      <c r="N949" s="82" t="str">
        <f>IFERROR(__xludf.DUMMYFUNCTION("IFERROR(VLOOKUP(D949,
IMPORTRANGE(""https://docs.google.com/spreadsheets/d/1MjHtlUikwobi2MaWJgy7tfLeBmhj1u-dRFRs_8GwSoA/edit#gid=0"",""Gestores Escolares!D7:J""),4,0),""VERIFICAR CÓD SEC"")"),"(74) 9 8113-4550")</f>
        <v>(74) 9 8113-4550</v>
      </c>
      <c r="O949" s="82" t="str">
        <f>IFERROR(__xludf.DUMMYFUNCTION("IFERROR(VLOOKUP(D949,
IMPORTRANGE(""https://docs.google.com/spreadsheets/d/1MjHtlUikwobi2MaWJgy7tfLeBmhj1u-dRFRs_8GwSoA/edit#gid=0"",""Gestores Escolares!D7:J""),6,0),""VERIFICAR CÓD SEC"")")," VINICIUS CHRISTIAN PINHO CORREIA")</f>
        <v> VINICIUS CHRISTIAN PINHO CORREIA</v>
      </c>
      <c r="P949" s="82" t="str">
        <f>IFERROR(__xludf.DUMMYFUNCTION("IFERROR(VLOOKUP(D949,
IMPORTRANGE(""https://docs.google.com/spreadsheets/d/1MjHtlUikwobi2MaWJgy7tfLeBmhj1u-dRFRs_8GwSoA/edit#gid=0"",""Gestores Escolares!D7:J""),7,0),""VERIFICAR CÓD SEC"")"),"(74) 9 8109-3111")</f>
        <v>(74) 9 8109-3111</v>
      </c>
      <c r="Q949" s="82" t="str">
        <f>IFERROR(__xludf.DUMMYFUNCTION("IFERROR(VLOOKUP(D949,
IMPORTRANGE(""https://docs.google.com/spreadsheets/d/1MjHtlUikwobi2MaWJgy7tfLeBmhj1u-dRFRs_8GwSoA/edit#gid=0"",""Gestores Escolares!D7:m""),9,0),""VERIFICAR CÓD SEC"")")," DEBORA FONSECA MARTINS SOUZA")</f>
        <v> DEBORA FONSECA MARTINS SOUZA</v>
      </c>
      <c r="R949" s="82" t="str">
        <f>IFERROR(__xludf.DUMMYFUNCTION("IFERROR(VLOOKUP(D949,
IMPORTRANGE(""https://docs.google.com/spreadsheets/d/1MjHtlUikwobi2MaWJgy7tfLeBmhj1u-dRFRs_8GwSoA/edit#gid=0"",""Gestores Escolares!D7:m""),10,0),""VERIFICAR CÓD SEC"")"),"(74) 9 8839-0136")</f>
        <v>(74) 9 8839-0136</v>
      </c>
      <c r="S949" s="82"/>
      <c r="T949" s="138">
        <v>8.0</v>
      </c>
      <c r="U949" s="145" t="s">
        <v>12980</v>
      </c>
      <c r="V949" s="106">
        <v>0.0</v>
      </c>
      <c r="W949" s="107">
        <v>0.0</v>
      </c>
      <c r="X949" s="107">
        <v>0.0</v>
      </c>
      <c r="Y949" s="107">
        <v>0.0</v>
      </c>
      <c r="Z949" s="80">
        <f t="shared" si="1"/>
        <v>0</v>
      </c>
      <c r="AA949" s="106">
        <v>0.0</v>
      </c>
      <c r="AB949" s="107">
        <v>0.0</v>
      </c>
      <c r="AC949" s="107">
        <v>0.0</v>
      </c>
      <c r="AD949" s="107">
        <v>0.0</v>
      </c>
      <c r="AE949" s="80">
        <f t="shared" si="2"/>
        <v>0</v>
      </c>
      <c r="AF949" s="140">
        <v>0.0</v>
      </c>
      <c r="AG949" s="109">
        <v>0.0</v>
      </c>
      <c r="AH949" s="109">
        <v>0.0</v>
      </c>
      <c r="AI949" s="141">
        <v>260.0</v>
      </c>
      <c r="AJ949" s="80">
        <f t="shared" si="3"/>
        <v>260</v>
      </c>
      <c r="AK949" s="140">
        <v>0.0</v>
      </c>
      <c r="AL949" s="109">
        <v>0.0</v>
      </c>
      <c r="AM949" s="141">
        <v>0.0</v>
      </c>
      <c r="AN949" s="80">
        <f t="shared" si="4"/>
        <v>0</v>
      </c>
      <c r="AO949" s="140">
        <v>0.0</v>
      </c>
      <c r="AP949" s="109">
        <v>0.0</v>
      </c>
      <c r="AQ949" s="109">
        <v>71.0</v>
      </c>
      <c r="AR949" s="80">
        <f t="shared" si="5"/>
        <v>71</v>
      </c>
      <c r="AS949" s="110">
        <v>0.0</v>
      </c>
      <c r="AT949" s="110">
        <v>0.0</v>
      </c>
      <c r="AU949" s="110">
        <v>28.0</v>
      </c>
      <c r="AV949" s="142">
        <v>70.0</v>
      </c>
      <c r="AW949" s="80">
        <f t="shared" si="6"/>
        <v>98</v>
      </c>
      <c r="AX949" s="113">
        <f t="shared" si="7"/>
        <v>429</v>
      </c>
      <c r="AY949" s="117">
        <f t="shared" si="8"/>
        <v>330</v>
      </c>
      <c r="AZ949" s="120">
        <f t="shared" si="9"/>
        <v>99</v>
      </c>
      <c r="BA949" s="115">
        <v>0.0</v>
      </c>
      <c r="BB949" s="89">
        <f t="shared" si="10"/>
        <v>429</v>
      </c>
      <c r="BC949" s="132" t="s">
        <v>178</v>
      </c>
      <c r="BD949" s="132" t="s">
        <v>178</v>
      </c>
      <c r="BE949" s="132" t="s">
        <v>178</v>
      </c>
      <c r="BF949" s="156"/>
      <c r="BG949" s="83">
        <v>1172419.0</v>
      </c>
      <c r="BH949" s="112"/>
      <c r="BI949" s="112">
        <v>8.0</v>
      </c>
      <c r="BJ949" s="98" t="s">
        <v>155</v>
      </c>
      <c r="BK949" s="99">
        <f t="shared" si="11"/>
        <v>330</v>
      </c>
      <c r="BL949" s="99">
        <f t="shared" si="12"/>
        <v>0</v>
      </c>
      <c r="BM949" s="99" t="str">
        <f>IFERROR(__xludf.DUMMYFUNCTION("IFERROR(VLOOKUP(BG949,IMPORTRANGE(""https://docs.google.com/spreadsheets/d/1juPI-Fb8LD0YtltB2mlGEnp_R3UVu1t3wSFPzgCyHXE/edit?gid=0#gid=0"",""GERAL!A2:C""),3,0),""-"")"),"-")</f>
        <v>-</v>
      </c>
    </row>
    <row r="950" ht="15.75" customHeight="1">
      <c r="A950" s="111" t="s">
        <v>1161</v>
      </c>
      <c r="B950" s="83" t="s">
        <v>4960</v>
      </c>
      <c r="C950" s="83" t="s">
        <v>68</v>
      </c>
      <c r="D950" s="112">
        <v>1122233.0</v>
      </c>
      <c r="E950" s="83"/>
      <c r="F950" s="83">
        <v>2.9079004E7</v>
      </c>
      <c r="G950" s="119" t="s">
        <v>4961</v>
      </c>
      <c r="H950" s="91" t="s">
        <v>4962</v>
      </c>
      <c r="I950" s="83" t="s">
        <v>149</v>
      </c>
      <c r="J950" s="83" t="s">
        <v>150</v>
      </c>
      <c r="K950" s="83" t="s">
        <v>151</v>
      </c>
      <c r="L950" s="83" t="s">
        <v>152</v>
      </c>
      <c r="M950" s="82" t="str">
        <f>IFERROR(__xludf.DUMMYFUNCTION("IFERROR(VLOOKUP(D950,
IMPORTRANGE(""https://docs.google.com/spreadsheets/d/1MjHtlUikwobi2MaWJgy7tfLeBmhj1u-dRFRs_8GwSoA/edit#gid=0"",""Gestores Escolares!D7:J""),3,0),""VERIFICAR CÓD SEC"")"),"MOEMA FREITAS DE ALENCAR WANDERLEY ")</f>
        <v>MOEMA FREITAS DE ALENCAR WANDERLEY </v>
      </c>
      <c r="N950" s="82" t="str">
        <f>IFERROR(__xludf.DUMMYFUNCTION("IFERROR(VLOOKUP(D950,
IMPORTRANGE(""https://docs.google.com/spreadsheets/d/1MjHtlUikwobi2MaWJgy7tfLeBmhj1u-dRFRs_8GwSoA/edit#gid=0"",""Gestores Escolares!D7:J""),4,0),""VERIFICAR CÓD SEC"")"),"(74) 9 8802-7212")</f>
        <v>(74) 9 8802-7212</v>
      </c>
      <c r="O950" s="82" t="str">
        <f>IFERROR(__xludf.DUMMYFUNCTION("IFERROR(VLOOKUP(D950,
IMPORTRANGE(""https://docs.google.com/spreadsheets/d/1MjHtlUikwobi2MaWJgy7tfLeBmhj1u-dRFRs_8GwSoA/edit#gid=0"",""Gestores Escolares!D7:J""),6,0),""VERIFICAR CÓD SEC"")"),"BENEDITA CORREIA DOS SANTOS FELIX")</f>
        <v>BENEDITA CORREIA DOS SANTOS FELIX</v>
      </c>
      <c r="P950" s="82" t="str">
        <f>IFERROR(__xludf.DUMMYFUNCTION("IFERROR(VLOOKUP(D950,
IMPORTRANGE(""https://docs.google.com/spreadsheets/d/1MjHtlUikwobi2MaWJgy7tfLeBmhj1u-dRFRs_8GwSoA/edit#gid=0"",""Gestores Escolares!D7:J""),7,0),""VERIFICAR CÓD SEC"")"),"(74) 9 8147-6179/ 9 8804-3306")</f>
        <v>(74) 9 8147-6179/ 9 8804-3306</v>
      </c>
      <c r="Q950" s="82" t="str">
        <f>IFERROR(__xludf.DUMMYFUNCTION("IFERROR(VLOOKUP(D950,
IMPORTRANGE(""https://docs.google.com/spreadsheets/d/1MjHtlUikwobi2MaWJgy7tfLeBmhj1u-dRFRs_8GwSoA/edit#gid=0"",""Gestores Escolares!D7:m""),9,0),""VERIFICAR CÓD SEC"")"),"")</f>
        <v/>
      </c>
      <c r="R950" s="82" t="str">
        <f>IFERROR(__xludf.DUMMYFUNCTION("IFERROR(VLOOKUP(D950,
IMPORTRANGE(""https://docs.google.com/spreadsheets/d/1MjHtlUikwobi2MaWJgy7tfLeBmhj1u-dRFRs_8GwSoA/edit#gid=0"",""Gestores Escolares!D7:m""),10,0),""VERIFICAR CÓD SEC"")"),"")</f>
        <v/>
      </c>
      <c r="S950" s="82"/>
      <c r="T950" s="138">
        <v>8.0</v>
      </c>
      <c r="U950" s="217" t="s">
        <v>12997</v>
      </c>
      <c r="V950" s="106">
        <v>0.0</v>
      </c>
      <c r="W950" s="107">
        <v>0.0</v>
      </c>
      <c r="X950" s="107">
        <v>0.0</v>
      </c>
      <c r="Y950" s="107">
        <v>0.0</v>
      </c>
      <c r="Z950" s="80">
        <f t="shared" si="1"/>
        <v>0</v>
      </c>
      <c r="AA950" s="106">
        <v>0.0</v>
      </c>
      <c r="AB950" s="107">
        <v>0.0</v>
      </c>
      <c r="AC950" s="107">
        <v>0.0</v>
      </c>
      <c r="AD950" s="107">
        <v>0.0</v>
      </c>
      <c r="AE950" s="80">
        <f t="shared" si="2"/>
        <v>0</v>
      </c>
      <c r="AF950" s="140">
        <v>0.0</v>
      </c>
      <c r="AG950" s="109">
        <v>0.0</v>
      </c>
      <c r="AH950" s="109">
        <v>0.0</v>
      </c>
      <c r="AI950" s="141">
        <v>135.0</v>
      </c>
      <c r="AJ950" s="80">
        <f t="shared" si="3"/>
        <v>135</v>
      </c>
      <c r="AK950" s="140">
        <v>0.0</v>
      </c>
      <c r="AL950" s="109">
        <v>0.0</v>
      </c>
      <c r="AM950" s="141">
        <v>0.0</v>
      </c>
      <c r="AN950" s="80">
        <f t="shared" si="4"/>
        <v>0</v>
      </c>
      <c r="AO950" s="140">
        <v>0.0</v>
      </c>
      <c r="AP950" s="109">
        <v>0.0</v>
      </c>
      <c r="AQ950" s="109">
        <v>66.0</v>
      </c>
      <c r="AR950" s="80">
        <f t="shared" si="5"/>
        <v>66</v>
      </c>
      <c r="AS950" s="110">
        <v>142.0</v>
      </c>
      <c r="AT950" s="110">
        <v>63.0</v>
      </c>
      <c r="AU950" s="110">
        <v>36.0</v>
      </c>
      <c r="AV950" s="142">
        <v>0.0</v>
      </c>
      <c r="AW950" s="80">
        <f t="shared" si="6"/>
        <v>241</v>
      </c>
      <c r="AX950" s="113">
        <f t="shared" si="7"/>
        <v>442</v>
      </c>
      <c r="AY950" s="117">
        <f t="shared" si="8"/>
        <v>340</v>
      </c>
      <c r="AZ950" s="120">
        <f t="shared" si="9"/>
        <v>102</v>
      </c>
      <c r="BA950" s="115">
        <v>0.0</v>
      </c>
      <c r="BB950" s="89">
        <f t="shared" si="10"/>
        <v>442</v>
      </c>
      <c r="BC950" s="132" t="s">
        <v>178</v>
      </c>
      <c r="BD950" s="132" t="s">
        <v>178</v>
      </c>
      <c r="BE950" s="132" t="s">
        <v>178</v>
      </c>
      <c r="BF950" s="123"/>
      <c r="BG950" s="83">
        <v>1122233.0</v>
      </c>
      <c r="BH950" s="112"/>
      <c r="BI950" s="112">
        <v>8.0</v>
      </c>
      <c r="BJ950" s="98" t="s">
        <v>284</v>
      </c>
      <c r="BK950" s="99">
        <f t="shared" si="11"/>
        <v>135</v>
      </c>
      <c r="BL950" s="99">
        <f t="shared" si="12"/>
        <v>205</v>
      </c>
      <c r="BM950" s="99" t="str">
        <f>IFERROR(__xludf.DUMMYFUNCTION("IFERROR(VLOOKUP(BG950,IMPORTRANGE(""https://docs.google.com/spreadsheets/d/1juPI-Fb8LD0YtltB2mlGEnp_R3UVu1t3wSFPzgCyHXE/edit?gid=0#gid=0"",""GERAL!A2:C""),3,0),""-"")"),"-")</f>
        <v>-</v>
      </c>
    </row>
    <row r="951" ht="15.75" customHeight="1">
      <c r="A951" s="111" t="s">
        <v>1161</v>
      </c>
      <c r="B951" s="83" t="s">
        <v>4973</v>
      </c>
      <c r="C951" s="83" t="s">
        <v>68</v>
      </c>
      <c r="D951" s="112">
        <v>1161794.0</v>
      </c>
      <c r="E951" s="83"/>
      <c r="F951" s="83">
        <v>2.9079055E7</v>
      </c>
      <c r="G951" s="153" t="s">
        <v>4974</v>
      </c>
      <c r="H951" s="108" t="s">
        <v>4975</v>
      </c>
      <c r="I951" s="172" t="s">
        <v>149</v>
      </c>
      <c r="J951" s="83" t="s">
        <v>150</v>
      </c>
      <c r="K951" s="83" t="s">
        <v>151</v>
      </c>
      <c r="L951" s="83" t="s">
        <v>230</v>
      </c>
      <c r="M951" s="82" t="str">
        <f>IFERROR(__xludf.DUMMYFUNCTION("IFERROR(VLOOKUP(D951,
IMPORTRANGE(""https://docs.google.com/spreadsheets/d/1MjHtlUikwobi2MaWJgy7tfLeBmhj1u-dRFRs_8GwSoA/edit#gid=0"",""Gestores Escolares!D7:J""),3,0),""VERIFICAR CÓD SEC"")"),"ALLANTHEVSON DE SA SAMPAIO")</f>
        <v>ALLANTHEVSON DE SA SAMPAIO</v>
      </c>
      <c r="N951" s="82" t="str">
        <f>IFERROR(__xludf.DUMMYFUNCTION("IFERROR(VLOOKUP(D951,
IMPORTRANGE(""https://docs.google.com/spreadsheets/d/1MjHtlUikwobi2MaWJgy7tfLeBmhj1u-dRFRs_8GwSoA/edit#gid=0"",""Gestores Escolares!D7:J""),4,0),""VERIFICAR CÓD SEC"")"),"(74) 9 8126-0122")</f>
        <v>(74) 9 8126-0122</v>
      </c>
      <c r="O951" s="82" t="str">
        <f>IFERROR(__xludf.DUMMYFUNCTION("IFERROR(VLOOKUP(D951,
IMPORTRANGE(""https://docs.google.com/spreadsheets/d/1MjHtlUikwobi2MaWJgy7tfLeBmhj1u-dRFRs_8GwSoA/edit#gid=0"",""Gestores Escolares!D7:J""),6,0),""VERIFICAR CÓD SEC"")"),"FILEMOM LOPES DE ALMEIDA")</f>
        <v>FILEMOM LOPES DE ALMEIDA</v>
      </c>
      <c r="P951" s="82" t="str">
        <f>IFERROR(__xludf.DUMMYFUNCTION("IFERROR(VLOOKUP(D951,
IMPORTRANGE(""https://docs.google.com/spreadsheets/d/1MjHtlUikwobi2MaWJgy7tfLeBmhj1u-dRFRs_8GwSoA/edit#gid=0"",""Gestores Escolares!D7:J""),7,0),""VERIFICAR CÓD SEC"")"),"(74) 9 9915-0084")</f>
        <v>(74) 9 9915-0084</v>
      </c>
      <c r="Q951" s="82" t="str">
        <f>IFERROR(__xludf.DUMMYFUNCTION("IFERROR(VLOOKUP(D951,
IMPORTRANGE(""https://docs.google.com/spreadsheets/d/1MjHtlUikwobi2MaWJgy7tfLeBmhj1u-dRFRs_8GwSoA/edit#gid=0"",""Gestores Escolares!D7:m""),9,0),""VERIFICAR CÓD SEC"")"),"ILAUANNA TELES SILVA")</f>
        <v>ILAUANNA TELES SILVA</v>
      </c>
      <c r="R951" s="82" t="str">
        <f>IFERROR(__xludf.DUMMYFUNCTION("IFERROR(VLOOKUP(D951,
IMPORTRANGE(""https://docs.google.com/spreadsheets/d/1MjHtlUikwobi2MaWJgy7tfLeBmhj1u-dRFRs_8GwSoA/edit#gid=0"",""Gestores Escolares!D7:m""),10,0),""VERIFICAR CÓD SEC"")"),"(74) 9 8143-2875")</f>
        <v>(74) 9 8143-2875</v>
      </c>
      <c r="S951" s="82"/>
      <c r="T951" s="138">
        <v>11.0</v>
      </c>
      <c r="U951" s="217" t="s">
        <v>13012</v>
      </c>
      <c r="V951" s="106">
        <v>0.0</v>
      </c>
      <c r="W951" s="107">
        <v>0.0</v>
      </c>
      <c r="X951" s="107">
        <v>0.0</v>
      </c>
      <c r="Y951" s="107">
        <v>0.0</v>
      </c>
      <c r="Z951" s="80">
        <f t="shared" si="1"/>
        <v>0</v>
      </c>
      <c r="AA951" s="106">
        <v>0.0</v>
      </c>
      <c r="AB951" s="107">
        <v>0.0</v>
      </c>
      <c r="AC951" s="107">
        <v>0.0</v>
      </c>
      <c r="AD951" s="107">
        <v>0.0</v>
      </c>
      <c r="AE951" s="80">
        <f t="shared" si="2"/>
        <v>0</v>
      </c>
      <c r="AF951" s="140">
        <v>0.0</v>
      </c>
      <c r="AG951" s="109">
        <v>0.0</v>
      </c>
      <c r="AH951" s="109">
        <v>0.0</v>
      </c>
      <c r="AI951" s="141">
        <v>206.0</v>
      </c>
      <c r="AJ951" s="80">
        <f t="shared" si="3"/>
        <v>206</v>
      </c>
      <c r="AK951" s="140">
        <v>0.0</v>
      </c>
      <c r="AL951" s="109">
        <v>0.0</v>
      </c>
      <c r="AM951" s="141">
        <v>0.0</v>
      </c>
      <c r="AN951" s="80">
        <f t="shared" si="4"/>
        <v>0</v>
      </c>
      <c r="AO951" s="140">
        <v>0.0</v>
      </c>
      <c r="AP951" s="109">
        <v>0.0</v>
      </c>
      <c r="AQ951" s="109">
        <v>128.0</v>
      </c>
      <c r="AR951" s="80">
        <f t="shared" si="5"/>
        <v>128</v>
      </c>
      <c r="AS951" s="110">
        <v>95.0</v>
      </c>
      <c r="AT951" s="110">
        <v>82.0</v>
      </c>
      <c r="AU951" s="110">
        <v>0.0</v>
      </c>
      <c r="AV951" s="142">
        <v>0.0</v>
      </c>
      <c r="AW951" s="80">
        <f t="shared" si="6"/>
        <v>177</v>
      </c>
      <c r="AX951" s="113">
        <f t="shared" si="7"/>
        <v>511</v>
      </c>
      <c r="AY951" s="117">
        <f t="shared" si="8"/>
        <v>383</v>
      </c>
      <c r="AZ951" s="120">
        <f t="shared" si="9"/>
        <v>128</v>
      </c>
      <c r="BA951" s="115">
        <v>0.0</v>
      </c>
      <c r="BB951" s="89">
        <f t="shared" si="10"/>
        <v>511</v>
      </c>
      <c r="BC951" s="132" t="s">
        <v>178</v>
      </c>
      <c r="BD951" s="132" t="s">
        <v>178</v>
      </c>
      <c r="BE951" s="132" t="s">
        <v>178</v>
      </c>
      <c r="BF951" s="156"/>
      <c r="BG951" s="83">
        <v>1161794.0</v>
      </c>
      <c r="BH951" s="112"/>
      <c r="BI951" s="112">
        <v>9.0</v>
      </c>
      <c r="BJ951" s="98" t="s">
        <v>162</v>
      </c>
      <c r="BK951" s="99">
        <f t="shared" si="11"/>
        <v>206</v>
      </c>
      <c r="BL951" s="99">
        <f t="shared" si="12"/>
        <v>177</v>
      </c>
      <c r="BM951" s="99" t="str">
        <f>IFERROR(__xludf.DUMMYFUNCTION("IFERROR(VLOOKUP(BG951,IMPORTRANGE(""https://docs.google.com/spreadsheets/d/1juPI-Fb8LD0YtltB2mlGEnp_R3UVu1t3wSFPzgCyHXE/edit?gid=0#gid=0"",""GERAL!A2:C""),3,0),""-"")"),"-")</f>
        <v>-</v>
      </c>
    </row>
    <row r="952" ht="15.75" customHeight="1">
      <c r="A952" s="111" t="s">
        <v>1161</v>
      </c>
      <c r="B952" s="83" t="s">
        <v>4978</v>
      </c>
      <c r="C952" s="83" t="s">
        <v>68</v>
      </c>
      <c r="D952" s="112">
        <v>1179205.0</v>
      </c>
      <c r="E952" s="83"/>
      <c r="F952" s="83">
        <v>2.9441609E7</v>
      </c>
      <c r="G952" s="119" t="s">
        <v>4979</v>
      </c>
      <c r="H952" s="91" t="s">
        <v>4980</v>
      </c>
      <c r="I952" s="83" t="s">
        <v>149</v>
      </c>
      <c r="J952" s="83" t="s">
        <v>150</v>
      </c>
      <c r="K952" s="83" t="s">
        <v>151</v>
      </c>
      <c r="L952" s="83" t="s">
        <v>152</v>
      </c>
      <c r="M952" s="82" t="str">
        <f>IFERROR(__xludf.DUMMYFUNCTION("IFERROR(VLOOKUP(D952,
IMPORTRANGE(""https://docs.google.com/spreadsheets/d/1MjHtlUikwobi2MaWJgy7tfLeBmhj1u-dRFRs_8GwSoA/edit#gid=0"",""Gestores Escolares!D7:J""),3,0),""VERIFICAR CÓD SEC"")"),"LEILA LOPES DE ALMEIDA MATOS")</f>
        <v>LEILA LOPES DE ALMEIDA MATOS</v>
      </c>
      <c r="N952" s="82" t="str">
        <f>IFERROR(__xludf.DUMMYFUNCTION("IFERROR(VLOOKUP(D952,
IMPORTRANGE(""https://docs.google.com/spreadsheets/d/1MjHtlUikwobi2MaWJgy7tfLeBmhj1u-dRFRs_8GwSoA/edit#gid=0"",""Gestores Escolares!D7:J""),4,0),""VERIFICAR CÓD SEC"")"),"(74) 9 9942-8062")</f>
        <v>(74) 9 9942-8062</v>
      </c>
      <c r="O952" s="82" t="str">
        <f>IFERROR(__xludf.DUMMYFUNCTION("IFERROR(VLOOKUP(D952,
IMPORTRANGE(""https://docs.google.com/spreadsheets/d/1MjHtlUikwobi2MaWJgy7tfLeBmhj1u-dRFRs_8GwSoA/edit#gid=0"",""Gestores Escolares!D7:J""),6,0),""VERIFICAR CÓD SEC"")"),"NOELDES FERREIRA ANDRADE")</f>
        <v>NOELDES FERREIRA ANDRADE</v>
      </c>
      <c r="P952" s="82" t="str">
        <f>IFERROR(__xludf.DUMMYFUNCTION("IFERROR(VLOOKUP(D952,
IMPORTRANGE(""https://docs.google.com/spreadsheets/d/1MjHtlUikwobi2MaWJgy7tfLeBmhj1u-dRFRs_8GwSoA/edit#gid=0"",""Gestores Escolares!D7:J""),7,0),""VERIFICAR CÓD SEC"")")," (74) 9 8832-2825")</f>
        <v> (74) 9 8832-2825</v>
      </c>
      <c r="Q952" s="82" t="str">
        <f>IFERROR(__xludf.DUMMYFUNCTION("IFERROR(VLOOKUP(D952,
IMPORTRANGE(""https://docs.google.com/spreadsheets/d/1MjHtlUikwobi2MaWJgy7tfLeBmhj1u-dRFRs_8GwSoA/edit#gid=0"",""Gestores Escolares!D7:m""),9,0),""VERIFICAR CÓD SEC"")"),"ELIZANEA ALVES FREIRE BRUNO")</f>
        <v>ELIZANEA ALVES FREIRE BRUNO</v>
      </c>
      <c r="R952" s="82" t="str">
        <f>IFERROR(__xludf.DUMMYFUNCTION("IFERROR(VLOOKUP(D952,
IMPORTRANGE(""https://docs.google.com/spreadsheets/d/1MjHtlUikwobi2MaWJgy7tfLeBmhj1u-dRFRs_8GwSoA/edit#gid=0"",""Gestores Escolares!D7:m""),10,0),""VERIFICAR CÓD SEC"")"),"(74) 9 8832-9196")</f>
        <v>(74) 9 8832-9196</v>
      </c>
      <c r="S952" s="82"/>
      <c r="T952" s="138">
        <v>8.0</v>
      </c>
      <c r="U952" s="145" t="s">
        <v>7115</v>
      </c>
      <c r="V952" s="106">
        <v>0.0</v>
      </c>
      <c r="W952" s="107">
        <v>0.0</v>
      </c>
      <c r="X952" s="107">
        <v>0.0</v>
      </c>
      <c r="Y952" s="107">
        <v>0.0</v>
      </c>
      <c r="Z952" s="80">
        <f t="shared" si="1"/>
        <v>0</v>
      </c>
      <c r="AA952" s="106">
        <v>0.0</v>
      </c>
      <c r="AB952" s="107">
        <v>0.0</v>
      </c>
      <c r="AC952" s="107">
        <v>0.0</v>
      </c>
      <c r="AD952" s="107">
        <v>0.0</v>
      </c>
      <c r="AE952" s="80">
        <f t="shared" si="2"/>
        <v>0</v>
      </c>
      <c r="AF952" s="140">
        <v>0.0</v>
      </c>
      <c r="AG952" s="109">
        <v>0.0</v>
      </c>
      <c r="AH952" s="109">
        <v>0.0</v>
      </c>
      <c r="AI952" s="141">
        <v>231.0</v>
      </c>
      <c r="AJ952" s="80">
        <f t="shared" si="3"/>
        <v>231</v>
      </c>
      <c r="AK952" s="140">
        <v>0.0</v>
      </c>
      <c r="AL952" s="109">
        <v>0.0</v>
      </c>
      <c r="AM952" s="141">
        <v>0.0</v>
      </c>
      <c r="AN952" s="80">
        <f t="shared" si="4"/>
        <v>0</v>
      </c>
      <c r="AO952" s="140">
        <v>0.0</v>
      </c>
      <c r="AP952" s="109">
        <v>0.0</v>
      </c>
      <c r="AQ952" s="109">
        <v>104.0</v>
      </c>
      <c r="AR952" s="80">
        <f t="shared" si="5"/>
        <v>104</v>
      </c>
      <c r="AS952" s="110">
        <v>0.0</v>
      </c>
      <c r="AT952" s="110">
        <v>0.0</v>
      </c>
      <c r="AU952" s="110">
        <v>0.0</v>
      </c>
      <c r="AV952" s="142">
        <v>85.0</v>
      </c>
      <c r="AW952" s="80">
        <f t="shared" si="6"/>
        <v>85</v>
      </c>
      <c r="AX952" s="113">
        <f t="shared" si="7"/>
        <v>420</v>
      </c>
      <c r="AY952" s="117">
        <f t="shared" si="8"/>
        <v>316</v>
      </c>
      <c r="AZ952" s="120">
        <f t="shared" si="9"/>
        <v>104</v>
      </c>
      <c r="BA952" s="115">
        <v>0.0</v>
      </c>
      <c r="BB952" s="89">
        <f t="shared" si="10"/>
        <v>420</v>
      </c>
      <c r="BC952" s="132" t="s">
        <v>178</v>
      </c>
      <c r="BD952" s="132" t="s">
        <v>178</v>
      </c>
      <c r="BE952" s="132" t="s">
        <v>178</v>
      </c>
      <c r="BF952" s="123"/>
      <c r="BG952" s="83">
        <v>1179205.0</v>
      </c>
      <c r="BH952" s="112"/>
      <c r="BI952" s="112">
        <v>8.0</v>
      </c>
      <c r="BJ952" s="98" t="s">
        <v>155</v>
      </c>
      <c r="BK952" s="99">
        <f t="shared" si="11"/>
        <v>316</v>
      </c>
      <c r="BL952" s="99">
        <f t="shared" si="12"/>
        <v>0</v>
      </c>
      <c r="BM952" s="99" t="str">
        <f>IFERROR(__xludf.DUMMYFUNCTION("IFERROR(VLOOKUP(BG952,IMPORTRANGE(""https://docs.google.com/spreadsheets/d/1juPI-Fb8LD0YtltB2mlGEnp_R3UVu1t3wSFPzgCyHXE/edit?gid=0#gid=0"",""GERAL!A2:C""),3,0),""-"")"),"-")</f>
        <v>-</v>
      </c>
    </row>
    <row r="953" ht="57.0" customHeight="1">
      <c r="A953" s="111" t="s">
        <v>1161</v>
      </c>
      <c r="B953" s="83" t="s">
        <v>4978</v>
      </c>
      <c r="C953" s="83" t="s">
        <v>164</v>
      </c>
      <c r="D953" s="112">
        <v>1179205.0</v>
      </c>
      <c r="E953" s="83">
        <v>1178724.0</v>
      </c>
      <c r="F953" s="98">
        <v>2.9492998E7</v>
      </c>
      <c r="G953" s="119" t="s">
        <v>4983</v>
      </c>
      <c r="H953" s="91" t="s">
        <v>4984</v>
      </c>
      <c r="I953" s="83" t="s">
        <v>149</v>
      </c>
      <c r="J953" s="83" t="s">
        <v>464</v>
      </c>
      <c r="K953" s="83" t="s">
        <v>168</v>
      </c>
      <c r="L953" s="83" t="s">
        <v>169</v>
      </c>
      <c r="M953" s="82" t="str">
        <f>IFERROR(__xludf.DUMMYFUNCTION("IFERROR(VLOOKUP(D953,
IMPORTRANGE(""https://docs.google.com/spreadsheets/d/1MjHtlUikwobi2MaWJgy7tfLeBmhj1u-dRFRs_8GwSoA/edit#gid=0"",""Gestores Escolares!D7:J""),3,0),""VERIFICAR CÓD SEC"")"),"LEILA LOPES DE ALMEIDA MATOS")</f>
        <v>LEILA LOPES DE ALMEIDA MATOS</v>
      </c>
      <c r="N953" s="82" t="str">
        <f>IFERROR(__xludf.DUMMYFUNCTION("IFERROR(VLOOKUP(D953,
IMPORTRANGE(""https://docs.google.com/spreadsheets/d/1MjHtlUikwobi2MaWJgy7tfLeBmhj1u-dRFRs_8GwSoA/edit#gid=0"",""Gestores Escolares!D7:J""),4,0),""VERIFICAR CÓD SEC"")"),"(74) 9 9942-8062")</f>
        <v>(74) 9 9942-8062</v>
      </c>
      <c r="O953" s="82" t="str">
        <f>IFERROR(__xludf.DUMMYFUNCTION("IFERROR(VLOOKUP(D953,
IMPORTRANGE(""https://docs.google.com/spreadsheets/d/1MjHtlUikwobi2MaWJgy7tfLeBmhj1u-dRFRs_8GwSoA/edit#gid=0"",""Gestores Escolares!D7:J""),6,0),""VERIFICAR CÓD SEC"")"),"NOELDES FERREIRA ANDRADE")</f>
        <v>NOELDES FERREIRA ANDRADE</v>
      </c>
      <c r="P953" s="82" t="str">
        <f>IFERROR(__xludf.DUMMYFUNCTION("IFERROR(VLOOKUP(D953,
IMPORTRANGE(""https://docs.google.com/spreadsheets/d/1MjHtlUikwobi2MaWJgy7tfLeBmhj1u-dRFRs_8GwSoA/edit#gid=0"",""Gestores Escolares!D7:J""),7,0),""VERIFICAR CÓD SEC"")")," (74) 9 8832-2825")</f>
        <v> (74) 9 8832-2825</v>
      </c>
      <c r="Q953" s="82" t="str">
        <f>IFERROR(__xludf.DUMMYFUNCTION("IFERROR(VLOOKUP(D953,
IMPORTRANGE(""https://docs.google.com/spreadsheets/d/1MjHtlUikwobi2MaWJgy7tfLeBmhj1u-dRFRs_8GwSoA/edit#gid=0"",""Gestores Escolares!D7:m""),9,0),""VERIFICAR CÓD SEC"")"),"ELIZANEA ALVES FREIRE BRUNO")</f>
        <v>ELIZANEA ALVES FREIRE BRUNO</v>
      </c>
      <c r="R953" s="82" t="str">
        <f>IFERROR(__xludf.DUMMYFUNCTION("IFERROR(VLOOKUP(D953,
IMPORTRANGE(""https://docs.google.com/spreadsheets/d/1MjHtlUikwobi2MaWJgy7tfLeBmhj1u-dRFRs_8GwSoA/edit#gid=0"",""Gestores Escolares!D7:m""),10,0),""VERIFICAR CÓD SEC"")"),"(74) 9 8832-9196")</f>
        <v>(74) 9 8832-9196</v>
      </c>
      <c r="S953" s="82"/>
      <c r="T953" s="138">
        <v>3.0</v>
      </c>
      <c r="U953" s="139">
        <v>3.0</v>
      </c>
      <c r="V953" s="106">
        <v>0.0</v>
      </c>
      <c r="W953" s="107">
        <v>0.0</v>
      </c>
      <c r="X953" s="107">
        <v>0.0</v>
      </c>
      <c r="Y953" s="107">
        <v>0.0</v>
      </c>
      <c r="Z953" s="80">
        <f t="shared" si="1"/>
        <v>0</v>
      </c>
      <c r="AA953" s="106">
        <v>0.0</v>
      </c>
      <c r="AB953" s="107">
        <v>0.0</v>
      </c>
      <c r="AC953" s="107">
        <v>0.0</v>
      </c>
      <c r="AD953" s="107">
        <v>0.0</v>
      </c>
      <c r="AE953" s="80">
        <f t="shared" si="2"/>
        <v>0</v>
      </c>
      <c r="AF953" s="140">
        <v>0.0</v>
      </c>
      <c r="AG953" s="109">
        <v>58.0</v>
      </c>
      <c r="AH953" s="109">
        <v>0.0</v>
      </c>
      <c r="AI953" s="141">
        <v>0.0</v>
      </c>
      <c r="AJ953" s="80">
        <f t="shared" si="3"/>
        <v>58</v>
      </c>
      <c r="AK953" s="140">
        <v>0.0</v>
      </c>
      <c r="AL953" s="109">
        <v>0.0</v>
      </c>
      <c r="AM953" s="141">
        <v>0.0</v>
      </c>
      <c r="AN953" s="80">
        <f t="shared" si="4"/>
        <v>0</v>
      </c>
      <c r="AO953" s="140">
        <v>0.0</v>
      </c>
      <c r="AP953" s="109">
        <v>0.0</v>
      </c>
      <c r="AQ953" s="109">
        <v>21.0</v>
      </c>
      <c r="AR953" s="80">
        <f t="shared" si="5"/>
        <v>21</v>
      </c>
      <c r="AS953" s="110">
        <v>0.0</v>
      </c>
      <c r="AT953" s="110">
        <v>0.0</v>
      </c>
      <c r="AU953" s="110">
        <v>0.0</v>
      </c>
      <c r="AV953" s="142">
        <v>0.0</v>
      </c>
      <c r="AW953" s="80">
        <f t="shared" si="6"/>
        <v>0</v>
      </c>
      <c r="AX953" s="113">
        <f t="shared" si="7"/>
        <v>79</v>
      </c>
      <c r="AY953" s="117">
        <f t="shared" si="8"/>
        <v>58</v>
      </c>
      <c r="AZ953" s="120">
        <f t="shared" si="9"/>
        <v>21</v>
      </c>
      <c r="BA953" s="115">
        <v>0.0</v>
      </c>
      <c r="BB953" s="89">
        <f t="shared" si="10"/>
        <v>79</v>
      </c>
      <c r="BC953" s="132" t="s">
        <v>373</v>
      </c>
      <c r="BD953" s="132" t="s">
        <v>178</v>
      </c>
      <c r="BE953" s="132" t="s">
        <v>178</v>
      </c>
      <c r="BF953" s="123"/>
      <c r="BG953" s="83">
        <v>1178724.0</v>
      </c>
      <c r="BH953" s="112"/>
      <c r="BI953" s="112">
        <v>3.0</v>
      </c>
      <c r="BJ953" s="98" t="s">
        <v>155</v>
      </c>
      <c r="BK953" s="99">
        <f t="shared" si="11"/>
        <v>0</v>
      </c>
      <c r="BL953" s="99">
        <f t="shared" si="12"/>
        <v>58</v>
      </c>
      <c r="BM953" s="99" t="str">
        <f>IFERROR(__xludf.DUMMYFUNCTION("IFERROR(VLOOKUP(BG953,IMPORTRANGE(""https://docs.google.com/spreadsheets/d/1juPI-Fb8LD0YtltB2mlGEnp_R3UVu1t3wSFPzgCyHXE/edit?gid=0#gid=0"",""GERAL!A2:C""),3,0),""-"")"),"CAMPO")</f>
        <v>CAMPO</v>
      </c>
    </row>
    <row r="954" ht="15.75" customHeight="1">
      <c r="A954" s="111" t="s">
        <v>1161</v>
      </c>
      <c r="B954" s="83" t="s">
        <v>4992</v>
      </c>
      <c r="C954" s="83" t="s">
        <v>68</v>
      </c>
      <c r="D954" s="208">
        <v>1176123.0</v>
      </c>
      <c r="E954" s="189"/>
      <c r="F954" s="83">
        <v>2.934033E7</v>
      </c>
      <c r="G954" s="119" t="s">
        <v>4993</v>
      </c>
      <c r="H954" s="114" t="s">
        <v>4994</v>
      </c>
      <c r="I954" s="83" t="s">
        <v>149</v>
      </c>
      <c r="J954" s="83" t="s">
        <v>150</v>
      </c>
      <c r="K954" s="83" t="s">
        <v>151</v>
      </c>
      <c r="L954" s="83" t="s">
        <v>152</v>
      </c>
      <c r="M954" s="82" t="str">
        <f>IFERROR(__xludf.DUMMYFUNCTION("IFERROR(VLOOKUP(D954,
IMPORTRANGE(""https://docs.google.com/spreadsheets/d/1MjHtlUikwobi2MaWJgy7tfLeBmhj1u-dRFRs_8GwSoA/edit#gid=0"",""Gestores Escolares!D7:J""),3,0),""VERIFICAR CÓD SEC"")"),"NILMA CARNEIRO DE SOUZA")</f>
        <v>NILMA CARNEIRO DE SOUZA</v>
      </c>
      <c r="N954" s="82" t="str">
        <f>IFERROR(__xludf.DUMMYFUNCTION("IFERROR(VLOOKUP(D954,
IMPORTRANGE(""https://docs.google.com/spreadsheets/d/1MjHtlUikwobi2MaWJgy7tfLeBmhj1u-dRFRs_8GwSoA/edit#gid=0"",""Gestores Escolares!D7:J""),4,0),""VERIFICAR CÓD SEC"")"),"(74) 9 8821-9914")</f>
        <v>(74) 9 8821-9914</v>
      </c>
      <c r="O954" s="82" t="str">
        <f>IFERROR(__xludf.DUMMYFUNCTION("IFERROR(VLOOKUP(D954,
IMPORTRANGE(""https://docs.google.com/spreadsheets/d/1MjHtlUikwobi2MaWJgy7tfLeBmhj1u-dRFRs_8GwSoA/edit#gid=0"",""Gestores Escolares!D7:J""),6,0),""VERIFICAR CÓD SEC"")"),"ILMA BATISTA DE ALCANTARA ")</f>
        <v>ILMA BATISTA DE ALCANTARA </v>
      </c>
      <c r="P954" s="82" t="str">
        <f>IFERROR(__xludf.DUMMYFUNCTION("IFERROR(VLOOKUP(D954,
IMPORTRANGE(""https://docs.google.com/spreadsheets/d/1MjHtlUikwobi2MaWJgy7tfLeBmhj1u-dRFRs_8GwSoA/edit#gid=0"",""Gestores Escolares!D7:J""),7,0),""VERIFICAR CÓD SEC"")"),"(74) 9 8803-5025")</f>
        <v>(74) 9 8803-5025</v>
      </c>
      <c r="Q954" s="82" t="str">
        <f>IFERROR(__xludf.DUMMYFUNCTION("IFERROR(VLOOKUP(D954,
IMPORTRANGE(""https://docs.google.com/spreadsheets/d/1MjHtlUikwobi2MaWJgy7tfLeBmhj1u-dRFRs_8GwSoA/edit#gid=0"",""Gestores Escolares!D7:m""),9,0),""VERIFICAR CÓD SEC"")"),"")</f>
        <v/>
      </c>
      <c r="R954" s="82" t="str">
        <f>IFERROR(__xludf.DUMMYFUNCTION("IFERROR(VLOOKUP(D954,
IMPORTRANGE(""https://docs.google.com/spreadsheets/d/1MjHtlUikwobi2MaWJgy7tfLeBmhj1u-dRFRs_8GwSoA/edit#gid=0"",""Gestores Escolares!D7:m""),10,0),""VERIFICAR CÓD SEC"")"),"")</f>
        <v/>
      </c>
      <c r="S954" s="82"/>
      <c r="T954" s="138">
        <v>6.0</v>
      </c>
      <c r="U954" s="152">
        <v>6.0</v>
      </c>
      <c r="V954" s="106">
        <v>0.0</v>
      </c>
      <c r="W954" s="107">
        <v>0.0</v>
      </c>
      <c r="X954" s="107">
        <v>0.0</v>
      </c>
      <c r="Y954" s="107">
        <v>0.0</v>
      </c>
      <c r="Z954" s="80">
        <f t="shared" si="1"/>
        <v>0</v>
      </c>
      <c r="AA954" s="106">
        <v>0.0</v>
      </c>
      <c r="AB954" s="107">
        <v>0.0</v>
      </c>
      <c r="AC954" s="107">
        <v>0.0</v>
      </c>
      <c r="AD954" s="107">
        <v>0.0</v>
      </c>
      <c r="AE954" s="80">
        <f t="shared" si="2"/>
        <v>0</v>
      </c>
      <c r="AF954" s="140">
        <v>117.0</v>
      </c>
      <c r="AG954" s="109">
        <v>94.0</v>
      </c>
      <c r="AH954" s="109">
        <v>0.0</v>
      </c>
      <c r="AI954" s="141">
        <v>157.0</v>
      </c>
      <c r="AJ954" s="80">
        <f t="shared" si="3"/>
        <v>368</v>
      </c>
      <c r="AK954" s="140">
        <v>0.0</v>
      </c>
      <c r="AL954" s="109">
        <v>0.0</v>
      </c>
      <c r="AM954" s="141">
        <v>0.0</v>
      </c>
      <c r="AN954" s="80">
        <f t="shared" si="4"/>
        <v>0</v>
      </c>
      <c r="AO954" s="140">
        <v>0.0</v>
      </c>
      <c r="AP954" s="109">
        <v>0.0</v>
      </c>
      <c r="AQ954" s="109">
        <v>100.0</v>
      </c>
      <c r="AR954" s="80">
        <f t="shared" si="5"/>
        <v>100</v>
      </c>
      <c r="AS954" s="110">
        <v>0.0</v>
      </c>
      <c r="AT954" s="110">
        <v>0.0</v>
      </c>
      <c r="AU954" s="110">
        <v>14.0</v>
      </c>
      <c r="AV954" s="142">
        <v>40.0</v>
      </c>
      <c r="AW954" s="80">
        <f t="shared" si="6"/>
        <v>54</v>
      </c>
      <c r="AX954" s="113">
        <f t="shared" si="7"/>
        <v>522</v>
      </c>
      <c r="AY954" s="117">
        <f t="shared" si="8"/>
        <v>408</v>
      </c>
      <c r="AZ954" s="120">
        <f t="shared" si="9"/>
        <v>114</v>
      </c>
      <c r="BA954" s="115">
        <v>0.0</v>
      </c>
      <c r="BB954" s="89">
        <f t="shared" si="10"/>
        <v>522</v>
      </c>
      <c r="BC954" s="132" t="s">
        <v>178</v>
      </c>
      <c r="BD954" s="132" t="s">
        <v>178</v>
      </c>
      <c r="BE954" s="132" t="s">
        <v>178</v>
      </c>
      <c r="BF954" s="156"/>
      <c r="BG954" s="83">
        <v>1176123.0</v>
      </c>
      <c r="BH954" s="112"/>
      <c r="BI954" s="112">
        <v>6.0</v>
      </c>
      <c r="BJ954" s="98" t="s">
        <v>155</v>
      </c>
      <c r="BK954" s="99">
        <f t="shared" si="11"/>
        <v>197</v>
      </c>
      <c r="BL954" s="99">
        <f t="shared" si="12"/>
        <v>211</v>
      </c>
      <c r="BM954" s="99" t="str">
        <f>IFERROR(__xludf.DUMMYFUNCTION("IFERROR(VLOOKUP(BG954,IMPORTRANGE(""https://docs.google.com/spreadsheets/d/1juPI-Fb8LD0YtltB2mlGEnp_R3UVu1t3wSFPzgCyHXE/edit?gid=0#gid=0"",""GERAL!A2:C""),3,0),""-"")"),"-")</f>
        <v>-</v>
      </c>
    </row>
    <row r="955" ht="15.75" customHeight="1">
      <c r="A955" s="111" t="s">
        <v>1224</v>
      </c>
      <c r="B955" s="83" t="s">
        <v>5004</v>
      </c>
      <c r="C955" s="83" t="s">
        <v>68</v>
      </c>
      <c r="D955" s="112">
        <v>1165846.0</v>
      </c>
      <c r="E955" s="248"/>
      <c r="F955" s="248">
        <v>2.9125898E7</v>
      </c>
      <c r="G955" s="209" t="s">
        <v>5006</v>
      </c>
      <c r="H955" s="91" t="s">
        <v>5007</v>
      </c>
      <c r="I955" s="136" t="s">
        <v>149</v>
      </c>
      <c r="J955" s="83" t="s">
        <v>150</v>
      </c>
      <c r="K955" s="83" t="s">
        <v>151</v>
      </c>
      <c r="L955" s="83" t="s">
        <v>152</v>
      </c>
      <c r="M955" s="82" t="str">
        <f>IFERROR(__xludf.DUMMYFUNCTION("IFERROR(VLOOKUP(D955,
IMPORTRANGE(""https://docs.google.com/spreadsheets/d/1MjHtlUikwobi2MaWJgy7tfLeBmhj1u-dRFRs_8GwSoA/edit#gid=0"",""Gestores Escolares!D7:J""),3,0),""VERIFICAR CÓD SEC"")"),"JULIANA CARVALHO MATOS")</f>
        <v>JULIANA CARVALHO MATOS</v>
      </c>
      <c r="N955" s="82" t="str">
        <f>IFERROR(__xludf.DUMMYFUNCTION("IFERROR(VLOOKUP(D955,
IMPORTRANGE(""https://docs.google.com/spreadsheets/d/1MjHtlUikwobi2MaWJgy7tfLeBmhj1u-dRFRs_8GwSoA/edit#gid=0"",""Gestores Escolares!D7:J""),4,0),""VERIFICAR CÓD SEC"")"),"(75) 9 9986-9915")</f>
        <v>(75) 9 9986-9915</v>
      </c>
      <c r="O955" s="82" t="str">
        <f>IFERROR(__xludf.DUMMYFUNCTION("IFERROR(VLOOKUP(D955,
IMPORTRANGE(""https://docs.google.com/spreadsheets/d/1MjHtlUikwobi2MaWJgy7tfLeBmhj1u-dRFRs_8GwSoA/edit#gid=0"",""Gestores Escolares!D7:J""),6,0),""VERIFICAR CÓD SEC"")"),"GILMAR FERREIRA")</f>
        <v>GILMAR FERREIRA</v>
      </c>
      <c r="P955" s="82" t="str">
        <f>IFERROR(__xludf.DUMMYFUNCTION("IFERROR(VLOOKUP(D955,
IMPORTRANGE(""https://docs.google.com/spreadsheets/d/1MjHtlUikwobi2MaWJgy7tfLeBmhj1u-dRFRs_8GwSoA/edit#gid=0"",""Gestores Escolares!D7:J""),7,0),""VERIFICAR CÓD SEC"")"),"(79) 9 9997-1200")</f>
        <v>(79) 9 9997-1200</v>
      </c>
      <c r="Q955" s="82" t="str">
        <f>IFERROR(__xludf.DUMMYFUNCTION("IFERROR(VLOOKUP(D955,
IMPORTRANGE(""https://docs.google.com/spreadsheets/d/1MjHtlUikwobi2MaWJgy7tfLeBmhj1u-dRFRs_8GwSoA/edit#gid=0"",""Gestores Escolares!D7:m""),9,0),""VERIFICAR CÓD SEC"")"),"ROBERTO LUIZ VASCONCELOS PEREIRA")</f>
        <v>ROBERTO LUIZ VASCONCELOS PEREIRA</v>
      </c>
      <c r="R955" s="82" t="str">
        <f>IFERROR(__xludf.DUMMYFUNCTION("IFERROR(VLOOKUP(D955,
IMPORTRANGE(""https://docs.google.com/spreadsheets/d/1MjHtlUikwobi2MaWJgy7tfLeBmhj1u-dRFRs_8GwSoA/edit#gid=0"",""Gestores Escolares!D7:m""),10,0),""VERIFICAR CÓD SEC"")"),"(75) 9 9871-9575")</f>
        <v>(75) 9 9871-9575</v>
      </c>
      <c r="S955" s="82"/>
      <c r="T955" s="138">
        <v>11.0</v>
      </c>
      <c r="U955" s="145" t="s">
        <v>13080</v>
      </c>
      <c r="V955" s="106">
        <v>0.0</v>
      </c>
      <c r="W955" s="107">
        <v>0.0</v>
      </c>
      <c r="X955" s="107">
        <v>0.0</v>
      </c>
      <c r="Y955" s="107">
        <v>0.0</v>
      </c>
      <c r="Z955" s="80">
        <f t="shared" si="1"/>
        <v>0</v>
      </c>
      <c r="AA955" s="106">
        <v>0.0</v>
      </c>
      <c r="AB955" s="107">
        <v>0.0</v>
      </c>
      <c r="AC955" s="107">
        <v>0.0</v>
      </c>
      <c r="AD955" s="107">
        <v>0.0</v>
      </c>
      <c r="AE955" s="80">
        <f t="shared" si="2"/>
        <v>0</v>
      </c>
      <c r="AF955" s="140">
        <v>0.0</v>
      </c>
      <c r="AG955" s="109">
        <v>0.0</v>
      </c>
      <c r="AH955" s="109">
        <v>0.0</v>
      </c>
      <c r="AI955" s="141">
        <v>281.0</v>
      </c>
      <c r="AJ955" s="80">
        <f t="shared" si="3"/>
        <v>281</v>
      </c>
      <c r="AK955" s="140">
        <v>0.0</v>
      </c>
      <c r="AL955" s="109">
        <v>0.0</v>
      </c>
      <c r="AM955" s="141">
        <v>0.0</v>
      </c>
      <c r="AN955" s="80">
        <f t="shared" si="4"/>
        <v>0</v>
      </c>
      <c r="AO955" s="140">
        <v>0.0</v>
      </c>
      <c r="AP955" s="109">
        <v>0.0</v>
      </c>
      <c r="AQ955" s="109">
        <v>71.0</v>
      </c>
      <c r="AR955" s="80">
        <f t="shared" si="5"/>
        <v>71</v>
      </c>
      <c r="AS955" s="110">
        <v>0.0</v>
      </c>
      <c r="AT955" s="110">
        <v>13.0</v>
      </c>
      <c r="AU955" s="110">
        <v>90.0</v>
      </c>
      <c r="AV955" s="142">
        <v>68.0</v>
      </c>
      <c r="AW955" s="80">
        <f t="shared" si="6"/>
        <v>171</v>
      </c>
      <c r="AX955" s="113">
        <f t="shared" si="7"/>
        <v>523</v>
      </c>
      <c r="AY955" s="117">
        <f t="shared" si="8"/>
        <v>362</v>
      </c>
      <c r="AZ955" s="120">
        <f t="shared" si="9"/>
        <v>161</v>
      </c>
      <c r="BA955" s="115">
        <v>0.0</v>
      </c>
      <c r="BB955" s="89">
        <f t="shared" si="10"/>
        <v>523</v>
      </c>
      <c r="BC955" s="132" t="s">
        <v>178</v>
      </c>
      <c r="BD955" s="132" t="s">
        <v>178</v>
      </c>
      <c r="BE955" s="132" t="s">
        <v>178</v>
      </c>
      <c r="BF955" s="156"/>
      <c r="BG955" s="83">
        <v>1165846.0</v>
      </c>
      <c r="BH955" s="98" t="s">
        <v>5014</v>
      </c>
      <c r="BI955" s="112">
        <v>8.0</v>
      </c>
      <c r="BJ955" s="98" t="s">
        <v>155</v>
      </c>
      <c r="BK955" s="99">
        <f t="shared" si="11"/>
        <v>349</v>
      </c>
      <c r="BL955" s="99">
        <f t="shared" si="12"/>
        <v>13</v>
      </c>
      <c r="BM955" s="99" t="str">
        <f>IFERROR(__xludf.DUMMYFUNCTION("IFERROR(VLOOKUP(BG955,IMPORTRANGE(""https://docs.google.com/spreadsheets/d/1juPI-Fb8LD0YtltB2mlGEnp_R3UVu1t3wSFPzgCyHXE/edit?gid=0#gid=0"",""GERAL!A2:C""),3,0),""-"")"),"-")</f>
        <v>-</v>
      </c>
    </row>
    <row r="956" ht="15.75" customHeight="1">
      <c r="A956" s="111" t="s">
        <v>1224</v>
      </c>
      <c r="B956" s="83" t="s">
        <v>5015</v>
      </c>
      <c r="C956" s="191" t="s">
        <v>68</v>
      </c>
      <c r="D956" s="112">
        <v>1114893.0</v>
      </c>
      <c r="E956" s="83"/>
      <c r="F956" s="237">
        <v>2.9126126E7</v>
      </c>
      <c r="G956" s="153" t="s">
        <v>5016</v>
      </c>
      <c r="H956" s="91" t="s">
        <v>5017</v>
      </c>
      <c r="I956" s="214" t="s">
        <v>149</v>
      </c>
      <c r="J956" s="83" t="s">
        <v>150</v>
      </c>
      <c r="K956" s="83" t="s">
        <v>151</v>
      </c>
      <c r="L956" s="83" t="s">
        <v>152</v>
      </c>
      <c r="M956" s="82" t="str">
        <f>IFERROR(__xludf.DUMMYFUNCTION("IFERROR(VLOOKUP(D956,
IMPORTRANGE(""https://docs.google.com/spreadsheets/d/1MjHtlUikwobi2MaWJgy7tfLeBmhj1u-dRFRs_8GwSoA/edit#gid=0"",""Gestores Escolares!D7:J""),3,0),""VERIFICAR CÓD SEC"")"),"CARLA MARIA CARVALHO SILVA DE SANTANA")</f>
        <v>CARLA MARIA CARVALHO SILVA DE SANTANA</v>
      </c>
      <c r="N956" s="82" t="str">
        <f>IFERROR(__xludf.DUMMYFUNCTION("IFERROR(VLOOKUP(D956,
IMPORTRANGE(""https://docs.google.com/spreadsheets/d/1MjHtlUikwobi2MaWJgy7tfLeBmhj1u-dRFRs_8GwSoA/edit#gid=0"",""Gestores Escolares!D7:J""),4,0),""VERIFICAR CÓD SEC"")"),"(75) 9 9999-2074")</f>
        <v>(75) 9 9999-2074</v>
      </c>
      <c r="O956" s="82" t="str">
        <f>IFERROR(__xludf.DUMMYFUNCTION("IFERROR(VLOOKUP(D956,
IMPORTRANGE(""https://docs.google.com/spreadsheets/d/1MjHtlUikwobi2MaWJgy7tfLeBmhj1u-dRFRs_8GwSoA/edit#gid=0"",""Gestores Escolares!D7:J""),6,0),""VERIFICAR CÓD SEC"")"),"JOSE FABIO RAMOS REIS")</f>
        <v>JOSE FABIO RAMOS REIS</v>
      </c>
      <c r="P956" s="82" t="str">
        <f>IFERROR(__xludf.DUMMYFUNCTION("IFERROR(VLOOKUP(D956,
IMPORTRANGE(""https://docs.google.com/spreadsheets/d/1MjHtlUikwobi2MaWJgy7tfLeBmhj1u-dRFRs_8GwSoA/edit#gid=0"",""Gestores Escolares!D7:J""),7,0),""VERIFICAR CÓD SEC"")"),"(75) 9 9840-6062")</f>
        <v>(75) 9 9840-6062</v>
      </c>
      <c r="Q956" s="82" t="str">
        <f>IFERROR(__xludf.DUMMYFUNCTION("IFERROR(VLOOKUP(D956,
IMPORTRANGE(""https://docs.google.com/spreadsheets/d/1MjHtlUikwobi2MaWJgy7tfLeBmhj1u-dRFRs_8GwSoA/edit#gid=0"",""Gestores Escolares!D7:m""),9,0),""VERIFICAR CÓD SEC"")"),"")</f>
        <v/>
      </c>
      <c r="R956" s="82" t="str">
        <f>IFERROR(__xludf.DUMMYFUNCTION("IFERROR(VLOOKUP(D956,
IMPORTRANGE(""https://docs.google.com/spreadsheets/d/1MjHtlUikwobi2MaWJgy7tfLeBmhj1u-dRFRs_8GwSoA/edit#gid=0"",""Gestores Escolares!D7:m""),10,0),""VERIFICAR CÓD SEC"")"),"")</f>
        <v/>
      </c>
      <c r="S956" s="82"/>
      <c r="T956" s="138">
        <v>8.0</v>
      </c>
      <c r="U956" s="145">
        <v>12.0</v>
      </c>
      <c r="V956" s="106">
        <v>0.0</v>
      </c>
      <c r="W956" s="107">
        <v>0.0</v>
      </c>
      <c r="X956" s="107">
        <v>0.0</v>
      </c>
      <c r="Y956" s="107">
        <v>0.0</v>
      </c>
      <c r="Z956" s="80">
        <f t="shared" si="1"/>
        <v>0</v>
      </c>
      <c r="AA956" s="106">
        <v>0.0</v>
      </c>
      <c r="AB956" s="107">
        <v>0.0</v>
      </c>
      <c r="AC956" s="107">
        <v>0.0</v>
      </c>
      <c r="AD956" s="107">
        <v>0.0</v>
      </c>
      <c r="AE956" s="80">
        <f t="shared" si="2"/>
        <v>0</v>
      </c>
      <c r="AF956" s="140">
        <v>0.0</v>
      </c>
      <c r="AG956" s="109">
        <v>74.0</v>
      </c>
      <c r="AH956" s="109">
        <v>0.0</v>
      </c>
      <c r="AI956" s="141">
        <v>182.0</v>
      </c>
      <c r="AJ956" s="80">
        <f t="shared" si="3"/>
        <v>256</v>
      </c>
      <c r="AK956" s="140">
        <v>0.0</v>
      </c>
      <c r="AL956" s="109">
        <v>0.0</v>
      </c>
      <c r="AM956" s="141">
        <v>0.0</v>
      </c>
      <c r="AN956" s="80">
        <f t="shared" si="4"/>
        <v>0</v>
      </c>
      <c r="AO956" s="140">
        <v>0.0</v>
      </c>
      <c r="AP956" s="109">
        <v>0.0</v>
      </c>
      <c r="AQ956" s="109">
        <v>78.0</v>
      </c>
      <c r="AR956" s="80">
        <f t="shared" si="5"/>
        <v>78</v>
      </c>
      <c r="AS956" s="110">
        <v>0.0</v>
      </c>
      <c r="AT956" s="110">
        <v>0.0</v>
      </c>
      <c r="AU956" s="110">
        <v>0.0</v>
      </c>
      <c r="AV956" s="142">
        <v>45.0</v>
      </c>
      <c r="AW956" s="80">
        <f t="shared" si="6"/>
        <v>45</v>
      </c>
      <c r="AX956" s="113">
        <f t="shared" si="7"/>
        <v>379</v>
      </c>
      <c r="AY956" s="117">
        <f t="shared" si="8"/>
        <v>301</v>
      </c>
      <c r="AZ956" s="120">
        <f t="shared" si="9"/>
        <v>78</v>
      </c>
      <c r="BA956" s="115">
        <v>0.0</v>
      </c>
      <c r="BB956" s="89">
        <f t="shared" si="10"/>
        <v>379</v>
      </c>
      <c r="BC956" s="132" t="s">
        <v>178</v>
      </c>
      <c r="BD956" s="132" t="s">
        <v>178</v>
      </c>
      <c r="BE956" s="132" t="s">
        <v>178</v>
      </c>
      <c r="BF956" s="123"/>
      <c r="BG956" s="83">
        <v>1114893.0</v>
      </c>
      <c r="BH956" s="98" t="s">
        <v>5018</v>
      </c>
      <c r="BI956" s="112">
        <v>7.0</v>
      </c>
      <c r="BJ956" s="98" t="s">
        <v>155</v>
      </c>
      <c r="BK956" s="99">
        <f t="shared" si="11"/>
        <v>227</v>
      </c>
      <c r="BL956" s="99">
        <f t="shared" si="12"/>
        <v>74</v>
      </c>
      <c r="BM956" s="99" t="str">
        <f>IFERROR(__xludf.DUMMYFUNCTION("IFERROR(VLOOKUP(BG956,IMPORTRANGE(""https://docs.google.com/spreadsheets/d/1juPI-Fb8LD0YtltB2mlGEnp_R3UVu1t3wSFPzgCyHXE/edit?gid=0#gid=0"",""GERAL!A2:C""),3,0),""-"")"),"-")</f>
        <v>-</v>
      </c>
    </row>
    <row r="957" ht="15.75" customHeight="1">
      <c r="A957" s="111" t="s">
        <v>1224</v>
      </c>
      <c r="B957" s="83" t="s">
        <v>5024</v>
      </c>
      <c r="C957" s="83" t="s">
        <v>68</v>
      </c>
      <c r="D957" s="84">
        <v>1178443.0</v>
      </c>
      <c r="E957" s="82"/>
      <c r="F957" s="237">
        <v>2.944934E7</v>
      </c>
      <c r="G957" s="108" t="s">
        <v>5025</v>
      </c>
      <c r="H957" s="91" t="s">
        <v>5026</v>
      </c>
      <c r="I957" s="248" t="s">
        <v>5027</v>
      </c>
      <c r="J957" s="83" t="s">
        <v>890</v>
      </c>
      <c r="K957" s="83" t="s">
        <v>168</v>
      </c>
      <c r="L957" s="83" t="s">
        <v>169</v>
      </c>
      <c r="M957" s="82" t="str">
        <f>IFERROR(__xludf.DUMMYFUNCTION("IFERROR(VLOOKUP(D957,
IMPORTRANGE(""https://docs.google.com/spreadsheets/d/1MjHtlUikwobi2MaWJgy7tfLeBmhj1u-dRFRs_8GwSoA/edit#gid=0"",""Gestores Escolares!D7:J""),3,0),""VERIFICAR CÓD SEC"")"),"MARCOS SILVA DOS SANTOS")</f>
        <v>MARCOS SILVA DOS SANTOS</v>
      </c>
      <c r="N957" s="82" t="str">
        <f>IFERROR(__xludf.DUMMYFUNCTION("IFERROR(VLOOKUP(D957,
IMPORTRANGE(""https://docs.google.com/spreadsheets/d/1MjHtlUikwobi2MaWJgy7tfLeBmhj1u-dRFRs_8GwSoA/edit#gid=0"",""Gestores Escolares!D7:J""),4,0),""VERIFICAR CÓD SEC"")"),"(75) 9 9705-6627")</f>
        <v>(75) 9 9705-6627</v>
      </c>
      <c r="O957" s="82" t="str">
        <f>IFERROR(__xludf.DUMMYFUNCTION("IFERROR(VLOOKUP(D957,
IMPORTRANGE(""https://docs.google.com/spreadsheets/d/1MjHtlUikwobi2MaWJgy7tfLeBmhj1u-dRFRs_8GwSoA/edit#gid=0"",""Gestores Escolares!D7:J""),6,0),""VERIFICAR CÓD SEC"")"),"")</f>
        <v/>
      </c>
      <c r="P957" s="82" t="str">
        <f>IFERROR(__xludf.DUMMYFUNCTION("IFERROR(VLOOKUP(D957,
IMPORTRANGE(""https://docs.google.com/spreadsheets/d/1MjHtlUikwobi2MaWJgy7tfLeBmhj1u-dRFRs_8GwSoA/edit#gid=0"",""Gestores Escolares!D7:J""),7,0),""VERIFICAR CÓD SEC"")"),"")</f>
        <v/>
      </c>
      <c r="Q957" s="82" t="str">
        <f>IFERROR(__xludf.DUMMYFUNCTION("IFERROR(VLOOKUP(D957,
IMPORTRANGE(""https://docs.google.com/spreadsheets/d/1MjHtlUikwobi2MaWJgy7tfLeBmhj1u-dRFRs_8GwSoA/edit#gid=0"",""Gestores Escolares!D7:m""),9,0),""VERIFICAR CÓD SEC"")"),"")</f>
        <v/>
      </c>
      <c r="R957" s="82" t="str">
        <f>IFERROR(__xludf.DUMMYFUNCTION("IFERROR(VLOOKUP(D957,
IMPORTRANGE(""https://docs.google.com/spreadsheets/d/1MjHtlUikwobi2MaWJgy7tfLeBmhj1u-dRFRs_8GwSoA/edit#gid=0"",""Gestores Escolares!D7:m""),10,0),""VERIFICAR CÓD SEC"")"),"")</f>
        <v/>
      </c>
      <c r="S957" s="82"/>
      <c r="T957" s="138">
        <v>8.0</v>
      </c>
      <c r="U957" s="145">
        <v>8.0</v>
      </c>
      <c r="V957" s="106">
        <v>5.0</v>
      </c>
      <c r="W957" s="107">
        <v>0.0</v>
      </c>
      <c r="X957" s="107">
        <v>0.0</v>
      </c>
      <c r="Y957" s="107">
        <v>0.0</v>
      </c>
      <c r="Z957" s="80">
        <f t="shared" si="1"/>
        <v>5</v>
      </c>
      <c r="AA957" s="106">
        <v>34.0</v>
      </c>
      <c r="AB957" s="107">
        <v>56.0</v>
      </c>
      <c r="AC957" s="107">
        <v>0.0</v>
      </c>
      <c r="AD957" s="107">
        <v>0.0</v>
      </c>
      <c r="AE957" s="80">
        <f t="shared" si="2"/>
        <v>90</v>
      </c>
      <c r="AF957" s="140">
        <v>0.0</v>
      </c>
      <c r="AG957" s="109">
        <v>47.0</v>
      </c>
      <c r="AH957" s="109">
        <v>0.0</v>
      </c>
      <c r="AI957" s="141">
        <v>0.0</v>
      </c>
      <c r="AJ957" s="80">
        <f t="shared" si="3"/>
        <v>47</v>
      </c>
      <c r="AK957" s="140">
        <v>0.0</v>
      </c>
      <c r="AL957" s="109">
        <v>0.0</v>
      </c>
      <c r="AM957" s="141">
        <v>76.0</v>
      </c>
      <c r="AN957" s="80">
        <f t="shared" si="4"/>
        <v>76</v>
      </c>
      <c r="AO957" s="140">
        <v>0.0</v>
      </c>
      <c r="AP957" s="109">
        <v>0.0</v>
      </c>
      <c r="AQ957" s="109">
        <v>68.0</v>
      </c>
      <c r="AR957" s="80">
        <f t="shared" si="5"/>
        <v>68</v>
      </c>
      <c r="AS957" s="110">
        <v>0.0</v>
      </c>
      <c r="AT957" s="110">
        <v>0.0</v>
      </c>
      <c r="AU957" s="110">
        <v>0.0</v>
      </c>
      <c r="AV957" s="142">
        <v>0.0</v>
      </c>
      <c r="AW957" s="80">
        <f t="shared" si="6"/>
        <v>0</v>
      </c>
      <c r="AX957" s="113">
        <f t="shared" si="7"/>
        <v>286</v>
      </c>
      <c r="AY957" s="117">
        <f t="shared" si="8"/>
        <v>142</v>
      </c>
      <c r="AZ957" s="120">
        <f t="shared" si="9"/>
        <v>144</v>
      </c>
      <c r="BA957" s="115">
        <v>0.0</v>
      </c>
      <c r="BB957" s="89">
        <f t="shared" si="10"/>
        <v>286</v>
      </c>
      <c r="BC957" s="143" t="s">
        <v>1294</v>
      </c>
      <c r="BD957" s="132" t="s">
        <v>178</v>
      </c>
      <c r="BE957" s="132" t="s">
        <v>178</v>
      </c>
      <c r="BF957" s="123"/>
      <c r="BG957" s="83">
        <v>1178443.0</v>
      </c>
      <c r="BH957" s="144"/>
      <c r="BI957" s="112">
        <v>8.0</v>
      </c>
      <c r="BJ957" s="98" t="s">
        <v>155</v>
      </c>
      <c r="BK957" s="99">
        <f t="shared" si="11"/>
        <v>0</v>
      </c>
      <c r="BL957" s="99">
        <f t="shared" si="12"/>
        <v>142</v>
      </c>
      <c r="BM957" s="99" t="str">
        <f>IFERROR(__xludf.DUMMYFUNCTION("IFERROR(VLOOKUP(BG957,IMPORTRANGE(""https://docs.google.com/spreadsheets/d/1juPI-Fb8LD0YtltB2mlGEnp_R3UVu1t3wSFPzgCyHXE/edit?gid=0#gid=0"",""GERAL!A2:C""),3,0),""-"")"),"INDÍGENAS")</f>
        <v>INDÍGENAS</v>
      </c>
    </row>
    <row r="958" ht="15.75" customHeight="1">
      <c r="A958" s="111" t="s">
        <v>1224</v>
      </c>
      <c r="B958" s="83" t="s">
        <v>5024</v>
      </c>
      <c r="C958" s="83" t="s">
        <v>68</v>
      </c>
      <c r="D958" s="84">
        <v>1179131.0</v>
      </c>
      <c r="E958" s="82"/>
      <c r="F958" s="237">
        <v>2.946398E7</v>
      </c>
      <c r="G958" s="108" t="s">
        <v>5029</v>
      </c>
      <c r="H958" s="91" t="s">
        <v>5030</v>
      </c>
      <c r="I958" s="613" t="s">
        <v>5031</v>
      </c>
      <c r="J958" s="83" t="s">
        <v>822</v>
      </c>
      <c r="K958" s="83" t="s">
        <v>151</v>
      </c>
      <c r="L958" s="83" t="s">
        <v>169</v>
      </c>
      <c r="M958" s="82" t="str">
        <f>IFERROR(__xludf.DUMMYFUNCTION("IFERROR(VLOOKUP(D958,
IMPORTRANGE(""https://docs.google.com/spreadsheets/d/1MjHtlUikwobi2MaWJgy7tfLeBmhj1u-dRFRs_8GwSoA/edit#gid=0"",""Gestores Escolares!D7:J""),3,0),""VERIFICAR CÓD SEC"")"),"JEOVAN DE JESUS SOUZA  ")</f>
        <v>JEOVAN DE JESUS SOUZA  </v>
      </c>
      <c r="N958" s="82" t="str">
        <f>IFERROR(__xludf.DUMMYFUNCTION("IFERROR(VLOOKUP(D958,
IMPORTRANGE(""https://docs.google.com/spreadsheets/d/1MjHtlUikwobi2MaWJgy7tfLeBmhj1u-dRFRs_8GwSoA/edit#gid=0"",""Gestores Escolares!D7:J""),4,0),""VERIFICAR CÓD SEC"")"),"(75) 9 9892-6343")</f>
        <v>(75) 9 9892-6343</v>
      </c>
      <c r="O958" s="82" t="str">
        <f>IFERROR(__xludf.DUMMYFUNCTION("IFERROR(VLOOKUP(D958,
IMPORTRANGE(""https://docs.google.com/spreadsheets/d/1MjHtlUikwobi2MaWJgy7tfLeBmhj1u-dRFRs_8GwSoA/edit#gid=0"",""Gestores Escolares!D7:J""),6,0),""VERIFICAR CÓD SEC"")"),"")</f>
        <v/>
      </c>
      <c r="P958" s="82" t="str">
        <f>IFERROR(__xludf.DUMMYFUNCTION("IFERROR(VLOOKUP(D958,
IMPORTRANGE(""https://docs.google.com/spreadsheets/d/1MjHtlUikwobi2MaWJgy7tfLeBmhj1u-dRFRs_8GwSoA/edit#gid=0"",""Gestores Escolares!D7:J""),7,0),""VERIFICAR CÓD SEC"")"),"")</f>
        <v/>
      </c>
      <c r="Q958" s="82" t="str">
        <f>IFERROR(__xludf.DUMMYFUNCTION("IFERROR(VLOOKUP(D958,
IMPORTRANGE(""https://docs.google.com/spreadsheets/d/1MjHtlUikwobi2MaWJgy7tfLeBmhj1u-dRFRs_8GwSoA/edit#gid=0"",""Gestores Escolares!D7:m""),9,0),""VERIFICAR CÓD SEC"")"),"")</f>
        <v/>
      </c>
      <c r="R958" s="82" t="str">
        <f>IFERROR(__xludf.DUMMYFUNCTION("IFERROR(VLOOKUP(D958,
IMPORTRANGE(""https://docs.google.com/spreadsheets/d/1MjHtlUikwobi2MaWJgy7tfLeBmhj1u-dRFRs_8GwSoA/edit#gid=0"",""Gestores Escolares!D7:m""),10,0),""VERIFICAR CÓD SEC"")"),"")</f>
        <v/>
      </c>
      <c r="S958" s="82"/>
      <c r="T958" s="138">
        <v>8.0</v>
      </c>
      <c r="U958" s="145">
        <v>8.0</v>
      </c>
      <c r="V958" s="106">
        <v>19.0</v>
      </c>
      <c r="W958" s="107">
        <v>0.0</v>
      </c>
      <c r="X958" s="107">
        <v>0.0</v>
      </c>
      <c r="Y958" s="107">
        <v>0.0</v>
      </c>
      <c r="Z958" s="80">
        <f t="shared" si="1"/>
        <v>19</v>
      </c>
      <c r="AA958" s="106">
        <v>57.0</v>
      </c>
      <c r="AB958" s="107">
        <v>58.0</v>
      </c>
      <c r="AC958" s="107">
        <v>0.0</v>
      </c>
      <c r="AD958" s="107">
        <v>0.0</v>
      </c>
      <c r="AE958" s="80">
        <f t="shared" si="2"/>
        <v>115</v>
      </c>
      <c r="AF958" s="140">
        <v>0.0</v>
      </c>
      <c r="AG958" s="109">
        <v>9.0</v>
      </c>
      <c r="AH958" s="109">
        <v>12.0</v>
      </c>
      <c r="AI958" s="141">
        <v>0.0</v>
      </c>
      <c r="AJ958" s="80">
        <f t="shared" si="3"/>
        <v>21</v>
      </c>
      <c r="AK958" s="140">
        <v>0.0</v>
      </c>
      <c r="AL958" s="109">
        <v>0.0</v>
      </c>
      <c r="AM958" s="141">
        <v>11.0</v>
      </c>
      <c r="AN958" s="80">
        <f t="shared" si="4"/>
        <v>11</v>
      </c>
      <c r="AO958" s="140">
        <v>0.0</v>
      </c>
      <c r="AP958" s="109">
        <v>0.0</v>
      </c>
      <c r="AQ958" s="109">
        <v>28.0</v>
      </c>
      <c r="AR958" s="80">
        <f t="shared" si="5"/>
        <v>28</v>
      </c>
      <c r="AS958" s="110">
        <v>0.0</v>
      </c>
      <c r="AT958" s="110">
        <v>0.0</v>
      </c>
      <c r="AU958" s="110">
        <v>0.0</v>
      </c>
      <c r="AV958" s="142">
        <v>0.0</v>
      </c>
      <c r="AW958" s="80">
        <f t="shared" si="6"/>
        <v>0</v>
      </c>
      <c r="AX958" s="113">
        <f t="shared" si="7"/>
        <v>194</v>
      </c>
      <c r="AY958" s="117">
        <f t="shared" si="8"/>
        <v>143</v>
      </c>
      <c r="AZ958" s="120">
        <f t="shared" si="9"/>
        <v>51</v>
      </c>
      <c r="BA958" s="115">
        <v>0.0</v>
      </c>
      <c r="BB958" s="89">
        <f t="shared" si="10"/>
        <v>194</v>
      </c>
      <c r="BC958" s="143" t="s">
        <v>1294</v>
      </c>
      <c r="BD958" s="132" t="s">
        <v>178</v>
      </c>
      <c r="BE958" s="132" t="s">
        <v>178</v>
      </c>
      <c r="BF958" s="123"/>
      <c r="BG958" s="83">
        <v>1179131.0</v>
      </c>
      <c r="BH958" s="98" t="s">
        <v>5032</v>
      </c>
      <c r="BI958" s="112">
        <v>8.0</v>
      </c>
      <c r="BJ958" s="98" t="s">
        <v>155</v>
      </c>
      <c r="BK958" s="99">
        <f t="shared" si="11"/>
        <v>0</v>
      </c>
      <c r="BL958" s="99">
        <f t="shared" si="12"/>
        <v>143</v>
      </c>
      <c r="BM958" s="99" t="str">
        <f>IFERROR(__xludf.DUMMYFUNCTION("IFERROR(VLOOKUP(BG958,IMPORTRANGE(""https://docs.google.com/spreadsheets/d/1juPI-Fb8LD0YtltB2mlGEnp_R3UVu1t3wSFPzgCyHXE/edit?gid=0#gid=0"",""GERAL!A2:C""),3,0),""-"")"),"INDÍGENAS")</f>
        <v>INDÍGENAS</v>
      </c>
    </row>
    <row r="959" ht="15.75" customHeight="1">
      <c r="A959" s="111" t="s">
        <v>1224</v>
      </c>
      <c r="B959" s="83" t="s">
        <v>5024</v>
      </c>
      <c r="C959" s="83" t="s">
        <v>68</v>
      </c>
      <c r="D959" s="112">
        <v>1178319.0</v>
      </c>
      <c r="E959" s="83"/>
      <c r="F959" s="83">
        <v>2.9599601E7</v>
      </c>
      <c r="G959" s="119" t="s">
        <v>5038</v>
      </c>
      <c r="H959" s="91" t="s">
        <v>5039</v>
      </c>
      <c r="I959" s="136" t="s">
        <v>5040</v>
      </c>
      <c r="J959" s="83" t="s">
        <v>1347</v>
      </c>
      <c r="K959" s="83" t="s">
        <v>151</v>
      </c>
      <c r="L959" s="83" t="s">
        <v>76</v>
      </c>
      <c r="M959" s="82" t="str">
        <f>IFERROR(__xludf.DUMMYFUNCTION("IFERROR(VLOOKUP(D959,
IMPORTRANGE(""https://docs.google.com/spreadsheets/d/1MjHtlUikwobi2MaWJgy7tfLeBmhj1u-dRFRs_8GwSoA/edit#gid=0"",""Gestores Escolares!D7:J""),3,0),""VERIFICAR CÓD SEC"")"),"ANDREIA DA CRUZ BATISTA")</f>
        <v>ANDREIA DA CRUZ BATISTA</v>
      </c>
      <c r="N959" s="82" t="str">
        <f>IFERROR(__xludf.DUMMYFUNCTION("IFERROR(VLOOKUP(D959,
IMPORTRANGE(""https://docs.google.com/spreadsheets/d/1MjHtlUikwobi2MaWJgy7tfLeBmhj1u-dRFRs_8GwSoA/edit#gid=0"",""Gestores Escolares!D7:J""),4,0),""VERIFICAR CÓD SEC"")"),"(75) 9 9966-2677")</f>
        <v>(75) 9 9966-2677</v>
      </c>
      <c r="O959" s="82" t="str">
        <f>IFERROR(__xludf.DUMMYFUNCTION("IFERROR(VLOOKUP(D959,
IMPORTRANGE(""https://docs.google.com/spreadsheets/d/1MjHtlUikwobi2MaWJgy7tfLeBmhj1u-dRFRs_8GwSoA/edit#gid=0"",""Gestores Escolares!D7:J""),6,0),""VERIFICAR CÓD SEC"")"),"")</f>
        <v/>
      </c>
      <c r="P959" s="82" t="str">
        <f>IFERROR(__xludf.DUMMYFUNCTION("IFERROR(VLOOKUP(D959,
IMPORTRANGE(""https://docs.google.com/spreadsheets/d/1MjHtlUikwobi2MaWJgy7tfLeBmhj1u-dRFRs_8GwSoA/edit#gid=0"",""Gestores Escolares!D7:J""),7,0),""VERIFICAR CÓD SEC"")"),"")</f>
        <v/>
      </c>
      <c r="Q959" s="82" t="str">
        <f>IFERROR(__xludf.DUMMYFUNCTION("IFERROR(VLOOKUP(D959,
IMPORTRANGE(""https://docs.google.com/spreadsheets/d/1MjHtlUikwobi2MaWJgy7tfLeBmhj1u-dRFRs_8GwSoA/edit#gid=0"",""Gestores Escolares!D7:m""),9,0),""VERIFICAR CÓD SEC"")"),"")</f>
        <v/>
      </c>
      <c r="R959" s="82" t="str">
        <f>IFERROR(__xludf.DUMMYFUNCTION("IFERROR(VLOOKUP(D959,
IMPORTRANGE(""https://docs.google.com/spreadsheets/d/1MjHtlUikwobi2MaWJgy7tfLeBmhj1u-dRFRs_8GwSoA/edit#gid=0"",""Gestores Escolares!D7:m""),10,0),""VERIFICAR CÓD SEC"")"),"")</f>
        <v/>
      </c>
      <c r="S959" s="82"/>
      <c r="T959" s="138">
        <v>8.0</v>
      </c>
      <c r="U959" s="145" t="s">
        <v>699</v>
      </c>
      <c r="V959" s="106">
        <v>21.0</v>
      </c>
      <c r="W959" s="107">
        <v>0.0</v>
      </c>
      <c r="X959" s="107">
        <v>0.0</v>
      </c>
      <c r="Y959" s="107">
        <v>0.0</v>
      </c>
      <c r="Z959" s="80">
        <f t="shared" si="1"/>
        <v>21</v>
      </c>
      <c r="AA959" s="106">
        <v>44.0</v>
      </c>
      <c r="AB959" s="107">
        <v>112.0</v>
      </c>
      <c r="AC959" s="107">
        <v>0.0</v>
      </c>
      <c r="AD959" s="107">
        <v>0.0</v>
      </c>
      <c r="AE959" s="80">
        <f t="shared" si="2"/>
        <v>156</v>
      </c>
      <c r="AF959" s="140">
        <v>0.0</v>
      </c>
      <c r="AG959" s="109">
        <v>0.0</v>
      </c>
      <c r="AH959" s="109">
        <v>47.0</v>
      </c>
      <c r="AI959" s="141">
        <v>0.0</v>
      </c>
      <c r="AJ959" s="80">
        <f t="shared" si="3"/>
        <v>47</v>
      </c>
      <c r="AK959" s="140">
        <v>0.0</v>
      </c>
      <c r="AL959" s="109">
        <v>0.0</v>
      </c>
      <c r="AM959" s="141">
        <v>4.0</v>
      </c>
      <c r="AN959" s="80">
        <f t="shared" si="4"/>
        <v>4</v>
      </c>
      <c r="AO959" s="140">
        <v>0.0</v>
      </c>
      <c r="AP959" s="109">
        <v>0.0</v>
      </c>
      <c r="AQ959" s="109">
        <v>21.0</v>
      </c>
      <c r="AR959" s="80">
        <f t="shared" si="5"/>
        <v>21</v>
      </c>
      <c r="AS959" s="110">
        <v>0.0</v>
      </c>
      <c r="AT959" s="110">
        <v>0.0</v>
      </c>
      <c r="AU959" s="110">
        <v>0.0</v>
      </c>
      <c r="AV959" s="142">
        <v>0.0</v>
      </c>
      <c r="AW959" s="80">
        <f t="shared" si="6"/>
        <v>0</v>
      </c>
      <c r="AX959" s="113">
        <f t="shared" si="7"/>
        <v>249</v>
      </c>
      <c r="AY959" s="117">
        <f t="shared" si="8"/>
        <v>177</v>
      </c>
      <c r="AZ959" s="120">
        <f t="shared" si="9"/>
        <v>72</v>
      </c>
      <c r="BA959" s="115">
        <v>0.0</v>
      </c>
      <c r="BB959" s="89">
        <f t="shared" si="10"/>
        <v>249</v>
      </c>
      <c r="BC959" s="143" t="s">
        <v>1294</v>
      </c>
      <c r="BD959" s="132" t="s">
        <v>178</v>
      </c>
      <c r="BE959" s="132" t="s">
        <v>178</v>
      </c>
      <c r="BF959" s="123"/>
      <c r="BG959" s="83">
        <v>1178319.0</v>
      </c>
      <c r="BH959" s="98" t="s">
        <v>13132</v>
      </c>
      <c r="BI959" s="112">
        <v>8.0</v>
      </c>
      <c r="BJ959" s="98" t="s">
        <v>155</v>
      </c>
      <c r="BK959" s="99">
        <f t="shared" si="11"/>
        <v>0</v>
      </c>
      <c r="BL959" s="99">
        <f t="shared" si="12"/>
        <v>177</v>
      </c>
      <c r="BM959" s="99" t="str">
        <f>IFERROR(__xludf.DUMMYFUNCTION("IFERROR(VLOOKUP(BG959,IMPORTRANGE(""https://docs.google.com/spreadsheets/d/1juPI-Fb8LD0YtltB2mlGEnp_R3UVu1t3wSFPzgCyHXE/edit?gid=0#gid=0"",""GERAL!A2:C""),3,0),""-"")"),"INDÍGENAS")</f>
        <v>INDÍGENAS</v>
      </c>
    </row>
    <row r="960" ht="15.75" customHeight="1">
      <c r="A960" s="111" t="s">
        <v>1224</v>
      </c>
      <c r="B960" s="83" t="s">
        <v>5024</v>
      </c>
      <c r="C960" s="83" t="s">
        <v>68</v>
      </c>
      <c r="D960" s="112">
        <v>1179128.0</v>
      </c>
      <c r="E960" s="83"/>
      <c r="F960" s="83">
        <v>2.912655E7</v>
      </c>
      <c r="G960" s="119" t="s">
        <v>5042</v>
      </c>
      <c r="H960" s="91" t="s">
        <v>5043</v>
      </c>
      <c r="I960" s="136" t="s">
        <v>5044</v>
      </c>
      <c r="J960" s="83" t="s">
        <v>1386</v>
      </c>
      <c r="K960" s="83" t="s">
        <v>168</v>
      </c>
      <c r="L960" s="83" t="s">
        <v>169</v>
      </c>
      <c r="M960" s="82" t="str">
        <f>IFERROR(__xludf.DUMMYFUNCTION("IFERROR(VLOOKUP(D960,
IMPORTRANGE(""https://docs.google.com/spreadsheets/d/1MjHtlUikwobi2MaWJgy7tfLeBmhj1u-dRFRs_8GwSoA/edit#gid=0"",""Gestores Escolares!D7:J""),3,0),""VERIFICAR CÓD SEC"")"),"JOZILENE ANDRADE DE SOUZA")</f>
        <v>JOZILENE ANDRADE DE SOUZA</v>
      </c>
      <c r="N960" s="82" t="str">
        <f>IFERROR(__xludf.DUMMYFUNCTION("IFERROR(VLOOKUP(D960,
IMPORTRANGE(""https://docs.google.com/spreadsheets/d/1MjHtlUikwobi2MaWJgy7tfLeBmhj1u-dRFRs_8GwSoA/edit#gid=0"",""Gestores Escolares!D7:J""),4,0),""VERIFICAR CÓD SEC"")"),"(75) 9 9963-1975")</f>
        <v>(75) 9 9963-1975</v>
      </c>
      <c r="O960" s="82" t="str">
        <f>IFERROR(__xludf.DUMMYFUNCTION("IFERROR(VLOOKUP(D960,
IMPORTRANGE(""https://docs.google.com/spreadsheets/d/1MjHtlUikwobi2MaWJgy7tfLeBmhj1u-dRFRs_8GwSoA/edit#gid=0"",""Gestores Escolares!D7:J""),6,0),""VERIFICAR CÓD SEC"")"),"")</f>
        <v/>
      </c>
      <c r="P960" s="82" t="str">
        <f>IFERROR(__xludf.DUMMYFUNCTION("IFERROR(VLOOKUP(D960,
IMPORTRANGE(""https://docs.google.com/spreadsheets/d/1MjHtlUikwobi2MaWJgy7tfLeBmhj1u-dRFRs_8GwSoA/edit#gid=0"",""Gestores Escolares!D7:J""),7,0),""VERIFICAR CÓD SEC"")"),"")</f>
        <v/>
      </c>
      <c r="Q960" s="82" t="str">
        <f>IFERROR(__xludf.DUMMYFUNCTION("IFERROR(VLOOKUP(D960,
IMPORTRANGE(""https://docs.google.com/spreadsheets/d/1MjHtlUikwobi2MaWJgy7tfLeBmhj1u-dRFRs_8GwSoA/edit#gid=0"",""Gestores Escolares!D7:m""),9,0),""VERIFICAR CÓD SEC"")"),"")</f>
        <v/>
      </c>
      <c r="R960" s="82" t="str">
        <f>IFERROR(__xludf.DUMMYFUNCTION("IFERROR(VLOOKUP(D960,
IMPORTRANGE(""https://docs.google.com/spreadsheets/d/1MjHtlUikwobi2MaWJgy7tfLeBmhj1u-dRFRs_8GwSoA/edit#gid=0"",""Gestores Escolares!D7:m""),10,0),""VERIFICAR CÓD SEC"")"),"")</f>
        <v/>
      </c>
      <c r="S960" s="82"/>
      <c r="T960" s="138">
        <v>8.0</v>
      </c>
      <c r="U960" s="145" t="s">
        <v>13143</v>
      </c>
      <c r="V960" s="106">
        <v>22.0</v>
      </c>
      <c r="W960" s="107">
        <v>0.0</v>
      </c>
      <c r="X960" s="107">
        <v>0.0</v>
      </c>
      <c r="Y960" s="107">
        <v>0.0</v>
      </c>
      <c r="Z960" s="80">
        <f t="shared" si="1"/>
        <v>22</v>
      </c>
      <c r="AA960" s="106">
        <v>50.0</v>
      </c>
      <c r="AB960" s="107">
        <v>81.0</v>
      </c>
      <c r="AC960" s="107">
        <v>0.0</v>
      </c>
      <c r="AD960" s="107">
        <v>0.0</v>
      </c>
      <c r="AE960" s="80">
        <f t="shared" si="2"/>
        <v>131</v>
      </c>
      <c r="AF960" s="140">
        <v>0.0</v>
      </c>
      <c r="AG960" s="109">
        <v>38.0</v>
      </c>
      <c r="AH960" s="109">
        <v>0.0</v>
      </c>
      <c r="AI960" s="141">
        <v>0.0</v>
      </c>
      <c r="AJ960" s="80">
        <f t="shared" si="3"/>
        <v>38</v>
      </c>
      <c r="AK960" s="140">
        <v>0.0</v>
      </c>
      <c r="AL960" s="109">
        <v>0.0</v>
      </c>
      <c r="AM960" s="141">
        <v>11.0</v>
      </c>
      <c r="AN960" s="80">
        <f t="shared" si="4"/>
        <v>11</v>
      </c>
      <c r="AO960" s="140">
        <v>0.0</v>
      </c>
      <c r="AP960" s="109">
        <v>0.0</v>
      </c>
      <c r="AQ960" s="109">
        <v>16.0</v>
      </c>
      <c r="AR960" s="80">
        <f t="shared" si="5"/>
        <v>16</v>
      </c>
      <c r="AS960" s="110">
        <v>0.0</v>
      </c>
      <c r="AT960" s="110">
        <v>0.0</v>
      </c>
      <c r="AU960" s="110">
        <v>0.0</v>
      </c>
      <c r="AV960" s="142">
        <v>0.0</v>
      </c>
      <c r="AW960" s="80">
        <f t="shared" si="6"/>
        <v>0</v>
      </c>
      <c r="AX960" s="113">
        <f t="shared" si="7"/>
        <v>218</v>
      </c>
      <c r="AY960" s="117">
        <f t="shared" si="8"/>
        <v>191</v>
      </c>
      <c r="AZ960" s="120">
        <f t="shared" si="9"/>
        <v>27</v>
      </c>
      <c r="BA960" s="115">
        <v>0.0</v>
      </c>
      <c r="BB960" s="89">
        <f t="shared" si="10"/>
        <v>218</v>
      </c>
      <c r="BC960" s="143" t="s">
        <v>1294</v>
      </c>
      <c r="BD960" s="132" t="s">
        <v>178</v>
      </c>
      <c r="BE960" s="132" t="s">
        <v>178</v>
      </c>
      <c r="BF960" s="123"/>
      <c r="BG960" s="83">
        <v>1179128.0</v>
      </c>
      <c r="BH960" s="98" t="s">
        <v>13147</v>
      </c>
      <c r="BI960" s="112">
        <v>8.0</v>
      </c>
      <c r="BJ960" s="98" t="s">
        <v>155</v>
      </c>
      <c r="BK960" s="99">
        <f t="shared" si="11"/>
        <v>0</v>
      </c>
      <c r="BL960" s="99">
        <f t="shared" si="12"/>
        <v>191</v>
      </c>
      <c r="BM960" s="99" t="str">
        <f>IFERROR(__xludf.DUMMYFUNCTION("IFERROR(VLOOKUP(BG960,IMPORTRANGE(""https://docs.google.com/spreadsheets/d/1juPI-Fb8LD0YtltB2mlGEnp_R3UVu1t3wSFPzgCyHXE/edit?gid=0#gid=0"",""GERAL!A2:C""),3,0),""-"")"),"INDÍGENAS")</f>
        <v>INDÍGENAS</v>
      </c>
    </row>
    <row r="961" ht="15.75" customHeight="1">
      <c r="A961" s="111" t="s">
        <v>1224</v>
      </c>
      <c r="B961" s="83" t="s">
        <v>5024</v>
      </c>
      <c r="C961" s="83" t="s">
        <v>68</v>
      </c>
      <c r="D961" s="112">
        <v>1178096.0</v>
      </c>
      <c r="E961" s="83"/>
      <c r="F961" s="83">
        <v>2.9429889E7</v>
      </c>
      <c r="G961" s="119" t="s">
        <v>5046</v>
      </c>
      <c r="H961" s="91" t="s">
        <v>5047</v>
      </c>
      <c r="I961" s="136" t="s">
        <v>149</v>
      </c>
      <c r="J961" s="83" t="s">
        <v>150</v>
      </c>
      <c r="K961" s="83" t="s">
        <v>151</v>
      </c>
      <c r="L961" s="83" t="s">
        <v>76</v>
      </c>
      <c r="M961" s="82" t="str">
        <f>IFERROR(__xludf.DUMMYFUNCTION("IFERROR(VLOOKUP(D961,
IMPORTRANGE(""https://docs.google.com/spreadsheets/d/1MjHtlUikwobi2MaWJgy7tfLeBmhj1u-dRFRs_8GwSoA/edit#gid=0"",""Gestores Escolares!D7:J""),3,0),""VERIFICAR CÓD SEC"")"),"ANDRESON PEREIRA DOS SANTOS")</f>
        <v>ANDRESON PEREIRA DOS SANTOS</v>
      </c>
      <c r="N961" s="82" t="str">
        <f>IFERROR(__xludf.DUMMYFUNCTION("IFERROR(VLOOKUP(D961,
IMPORTRANGE(""https://docs.google.com/spreadsheets/d/1MjHtlUikwobi2MaWJgy7tfLeBmhj1u-dRFRs_8GwSoA/edit#gid=0"",""Gestores Escolares!D7:J""),4,0),""VERIFICAR CÓD SEC"")"),"(75) 9 9830-2719")</f>
        <v>(75) 9 9830-2719</v>
      </c>
      <c r="O961" s="82" t="str">
        <f>IFERROR(__xludf.DUMMYFUNCTION("IFERROR(VLOOKUP(D961,
IMPORTRANGE(""https://docs.google.com/spreadsheets/d/1MjHtlUikwobi2MaWJgy7tfLeBmhj1u-dRFRs_8GwSoA/edit#gid=0"",""Gestores Escolares!D7:J""),6,0),""VERIFICAR CÓD SEC"")"),"ROBSON MATOS")</f>
        <v>ROBSON MATOS</v>
      </c>
      <c r="P961" s="82" t="str">
        <f>IFERROR(__xludf.DUMMYFUNCTION("IFERROR(VLOOKUP(D961,
IMPORTRANGE(""https://docs.google.com/spreadsheets/d/1MjHtlUikwobi2MaWJgy7tfLeBmhj1u-dRFRs_8GwSoA/edit#gid=0"",""Gestores Escolares!D7:J""),7,0),""VERIFICAR CÓD SEC"")"),"(75) 9 9868-2044")</f>
        <v>(75) 9 9868-2044</v>
      </c>
      <c r="Q961" s="82" t="str">
        <f>IFERROR(__xludf.DUMMYFUNCTION("IFERROR(VLOOKUP(D961,
IMPORTRANGE(""https://docs.google.com/spreadsheets/d/1MjHtlUikwobi2MaWJgy7tfLeBmhj1u-dRFRs_8GwSoA/edit#gid=0"",""Gestores Escolares!D7:m""),9,0),""VERIFICAR CÓD SEC"")"),"")</f>
        <v/>
      </c>
      <c r="R961" s="82" t="str">
        <f>IFERROR(__xludf.DUMMYFUNCTION("IFERROR(VLOOKUP(D961,
IMPORTRANGE(""https://docs.google.com/spreadsheets/d/1MjHtlUikwobi2MaWJgy7tfLeBmhj1u-dRFRs_8GwSoA/edit#gid=0"",""Gestores Escolares!D7:m""),10,0),""VERIFICAR CÓD SEC"")"),"")</f>
        <v/>
      </c>
      <c r="S961" s="82"/>
      <c r="T961" s="138">
        <v>7.0</v>
      </c>
      <c r="U961" s="145">
        <v>6.0</v>
      </c>
      <c r="V961" s="106">
        <v>0.0</v>
      </c>
      <c r="W961" s="107">
        <v>0.0</v>
      </c>
      <c r="X961" s="107">
        <v>0.0</v>
      </c>
      <c r="Y961" s="107">
        <v>0.0</v>
      </c>
      <c r="Z961" s="80">
        <f t="shared" si="1"/>
        <v>0</v>
      </c>
      <c r="AA961" s="106">
        <v>0.0</v>
      </c>
      <c r="AB961" s="107">
        <v>0.0</v>
      </c>
      <c r="AC961" s="107">
        <v>0.0</v>
      </c>
      <c r="AD961" s="107">
        <v>0.0</v>
      </c>
      <c r="AE961" s="80">
        <f t="shared" si="2"/>
        <v>0</v>
      </c>
      <c r="AF961" s="140">
        <v>163.0</v>
      </c>
      <c r="AG961" s="109">
        <v>116.0</v>
      </c>
      <c r="AH961" s="109">
        <v>0.0</v>
      </c>
      <c r="AI961" s="141">
        <v>0.0</v>
      </c>
      <c r="AJ961" s="80">
        <f t="shared" si="3"/>
        <v>279</v>
      </c>
      <c r="AK961" s="140">
        <v>0.0</v>
      </c>
      <c r="AL961" s="109">
        <v>0.0</v>
      </c>
      <c r="AM961" s="141">
        <v>0.0</v>
      </c>
      <c r="AN961" s="80">
        <f t="shared" si="4"/>
        <v>0</v>
      </c>
      <c r="AO961" s="140">
        <v>0.0</v>
      </c>
      <c r="AP961" s="109">
        <v>0.0</v>
      </c>
      <c r="AQ961" s="109">
        <v>20.0</v>
      </c>
      <c r="AR961" s="80">
        <f t="shared" si="5"/>
        <v>20</v>
      </c>
      <c r="AS961" s="110">
        <v>0.0</v>
      </c>
      <c r="AT961" s="110">
        <v>27.0</v>
      </c>
      <c r="AU961" s="110">
        <v>45.0</v>
      </c>
      <c r="AV961" s="142">
        <v>57.0</v>
      </c>
      <c r="AW961" s="80">
        <f t="shared" si="6"/>
        <v>129</v>
      </c>
      <c r="AX961" s="113">
        <f t="shared" si="7"/>
        <v>428</v>
      </c>
      <c r="AY961" s="117">
        <f t="shared" si="8"/>
        <v>363</v>
      </c>
      <c r="AZ961" s="120">
        <f t="shared" si="9"/>
        <v>65</v>
      </c>
      <c r="BA961" s="115">
        <v>0.0</v>
      </c>
      <c r="BB961" s="89">
        <f t="shared" si="10"/>
        <v>428</v>
      </c>
      <c r="BC961" s="132" t="s">
        <v>178</v>
      </c>
      <c r="BD961" s="132" t="s">
        <v>178</v>
      </c>
      <c r="BE961" s="132" t="s">
        <v>178</v>
      </c>
      <c r="BF961" s="123"/>
      <c r="BG961" s="83">
        <v>1178096.0</v>
      </c>
      <c r="BH961" s="112"/>
      <c r="BI961" s="112">
        <v>6.0</v>
      </c>
      <c r="BJ961" s="98" t="s">
        <v>155</v>
      </c>
      <c r="BK961" s="99">
        <f t="shared" si="11"/>
        <v>57</v>
      </c>
      <c r="BL961" s="99">
        <f t="shared" si="12"/>
        <v>306</v>
      </c>
      <c r="BM961" s="99" t="str">
        <f>IFERROR(__xludf.DUMMYFUNCTION("IFERROR(VLOOKUP(BG961,IMPORTRANGE(""https://docs.google.com/spreadsheets/d/1juPI-Fb8LD0YtltB2mlGEnp_R3UVu1t3wSFPzgCyHXE/edit?gid=0#gid=0"",""GERAL!A2:C""),3,0),""-"")"),"-")</f>
        <v>-</v>
      </c>
    </row>
    <row r="962" ht="15.75" customHeight="1">
      <c r="A962" s="111" t="s">
        <v>1224</v>
      </c>
      <c r="B962" s="83" t="s">
        <v>5024</v>
      </c>
      <c r="C962" s="83" t="s">
        <v>164</v>
      </c>
      <c r="D962" s="112">
        <v>1178319.0</v>
      </c>
      <c r="E962" s="83">
        <v>1178587.0</v>
      </c>
      <c r="F962" s="98">
        <v>2.9492165E7</v>
      </c>
      <c r="G962" s="119" t="s">
        <v>5056</v>
      </c>
      <c r="H962" s="91" t="s">
        <v>5057</v>
      </c>
      <c r="I962" s="136" t="s">
        <v>5058</v>
      </c>
      <c r="J962" s="83" t="s">
        <v>4299</v>
      </c>
      <c r="K962" s="83" t="s">
        <v>151</v>
      </c>
      <c r="L962" s="83" t="s">
        <v>169</v>
      </c>
      <c r="M962" s="82" t="str">
        <f>IFERROR(__xludf.DUMMYFUNCTION("IFERROR(VLOOKUP(D962,
IMPORTRANGE(""https://docs.google.com/spreadsheets/d/1MjHtlUikwobi2MaWJgy7tfLeBmhj1u-dRFRs_8GwSoA/edit#gid=0"",""Gestores Escolares!D7:J""),3,0),""VERIFICAR CÓD SEC"")"),"ANDREIA DA CRUZ BATISTA")</f>
        <v>ANDREIA DA CRUZ BATISTA</v>
      </c>
      <c r="N962" s="82" t="str">
        <f>IFERROR(__xludf.DUMMYFUNCTION("IFERROR(VLOOKUP(D962,
IMPORTRANGE(""https://docs.google.com/spreadsheets/d/1MjHtlUikwobi2MaWJgy7tfLeBmhj1u-dRFRs_8GwSoA/edit#gid=0"",""Gestores Escolares!D7:J""),4,0),""VERIFICAR CÓD SEC"")"),"(75) 9 9966-2677")</f>
        <v>(75) 9 9966-2677</v>
      </c>
      <c r="O962" s="82" t="str">
        <f>IFERROR(__xludf.DUMMYFUNCTION("IFERROR(VLOOKUP(D962,
IMPORTRANGE(""https://docs.google.com/spreadsheets/d/1MjHtlUikwobi2MaWJgy7tfLeBmhj1u-dRFRs_8GwSoA/edit#gid=0"",""Gestores Escolares!D7:J""),6,0),""VERIFICAR CÓD SEC"")"),"")</f>
        <v/>
      </c>
      <c r="P962" s="82" t="str">
        <f>IFERROR(__xludf.DUMMYFUNCTION("IFERROR(VLOOKUP(D962,
IMPORTRANGE(""https://docs.google.com/spreadsheets/d/1MjHtlUikwobi2MaWJgy7tfLeBmhj1u-dRFRs_8GwSoA/edit#gid=0"",""Gestores Escolares!D7:J""),7,0),""VERIFICAR CÓD SEC"")"),"")</f>
        <v/>
      </c>
      <c r="Q962" s="82" t="str">
        <f>IFERROR(__xludf.DUMMYFUNCTION("IFERROR(VLOOKUP(D962,
IMPORTRANGE(""https://docs.google.com/spreadsheets/d/1MjHtlUikwobi2MaWJgy7tfLeBmhj1u-dRFRs_8GwSoA/edit#gid=0"",""Gestores Escolares!D7:m""),9,0),""VERIFICAR CÓD SEC"")"),"")</f>
        <v/>
      </c>
      <c r="R962" s="82" t="str">
        <f>IFERROR(__xludf.DUMMYFUNCTION("IFERROR(VLOOKUP(D962,
IMPORTRANGE(""https://docs.google.com/spreadsheets/d/1MjHtlUikwobi2MaWJgy7tfLeBmhj1u-dRFRs_8GwSoA/edit#gid=0"",""Gestores Escolares!D7:m""),10,0),""VERIFICAR CÓD SEC"")"),"")</f>
        <v/>
      </c>
      <c r="S962" s="82"/>
      <c r="T962" s="138">
        <v>4.0</v>
      </c>
      <c r="U962" s="145">
        <v>2.0</v>
      </c>
      <c r="V962" s="106">
        <v>0.0</v>
      </c>
      <c r="W962" s="107">
        <v>0.0</v>
      </c>
      <c r="X962" s="107">
        <v>0.0</v>
      </c>
      <c r="Y962" s="107">
        <v>0.0</v>
      </c>
      <c r="Z962" s="80">
        <f t="shared" si="1"/>
        <v>0</v>
      </c>
      <c r="AA962" s="106">
        <v>12.0</v>
      </c>
      <c r="AB962" s="107">
        <v>0.0</v>
      </c>
      <c r="AC962" s="107">
        <v>0.0</v>
      </c>
      <c r="AD962" s="107">
        <v>0.0</v>
      </c>
      <c r="AE962" s="80">
        <f t="shared" si="2"/>
        <v>12</v>
      </c>
      <c r="AF962" s="140">
        <v>0.0</v>
      </c>
      <c r="AG962" s="109">
        <v>0.0</v>
      </c>
      <c r="AH962" s="109">
        <v>0.0</v>
      </c>
      <c r="AI962" s="141">
        <v>0.0</v>
      </c>
      <c r="AJ962" s="80">
        <f t="shared" si="3"/>
        <v>0</v>
      </c>
      <c r="AK962" s="140">
        <v>0.0</v>
      </c>
      <c r="AL962" s="109">
        <v>0.0</v>
      </c>
      <c r="AM962" s="141">
        <v>0.0</v>
      </c>
      <c r="AN962" s="80">
        <f t="shared" si="4"/>
        <v>0</v>
      </c>
      <c r="AO962" s="140">
        <v>0.0</v>
      </c>
      <c r="AP962" s="109">
        <v>0.0</v>
      </c>
      <c r="AQ962" s="109">
        <v>0.0</v>
      </c>
      <c r="AR962" s="80">
        <f t="shared" si="5"/>
        <v>0</v>
      </c>
      <c r="AS962" s="110">
        <v>0.0</v>
      </c>
      <c r="AT962" s="110">
        <v>0.0</v>
      </c>
      <c r="AU962" s="110">
        <v>0.0</v>
      </c>
      <c r="AV962" s="142">
        <v>0.0</v>
      </c>
      <c r="AW962" s="80">
        <f t="shared" si="6"/>
        <v>0</v>
      </c>
      <c r="AX962" s="113">
        <f t="shared" si="7"/>
        <v>12</v>
      </c>
      <c r="AY962" s="117">
        <f t="shared" si="8"/>
        <v>12</v>
      </c>
      <c r="AZ962" s="120">
        <f t="shared" si="9"/>
        <v>0</v>
      </c>
      <c r="BA962" s="115">
        <v>0.0</v>
      </c>
      <c r="BB962" s="89">
        <f t="shared" si="10"/>
        <v>12</v>
      </c>
      <c r="BC962" s="143" t="s">
        <v>1294</v>
      </c>
      <c r="BD962" s="132" t="s">
        <v>178</v>
      </c>
      <c r="BE962" s="132" t="s">
        <v>178</v>
      </c>
      <c r="BF962" s="123"/>
      <c r="BG962" s="83">
        <v>1178587.0</v>
      </c>
      <c r="BH962" s="112"/>
      <c r="BI962" s="112">
        <v>2.0</v>
      </c>
      <c r="BJ962" s="98" t="s">
        <v>155</v>
      </c>
      <c r="BK962" s="99">
        <f t="shared" si="11"/>
        <v>0</v>
      </c>
      <c r="BL962" s="99">
        <f t="shared" si="12"/>
        <v>12</v>
      </c>
      <c r="BM962" s="99" t="str">
        <f>IFERROR(__xludf.DUMMYFUNCTION("IFERROR(VLOOKUP(BG962,IMPORTRANGE(""https://docs.google.com/spreadsheets/d/1juPI-Fb8LD0YtltB2mlGEnp_R3UVu1t3wSFPzgCyHXE/edit?gid=0#gid=0"",""GERAL!A2:C""),3,0),""-"")"),"INDÍGENAS")</f>
        <v>INDÍGENAS</v>
      </c>
    </row>
    <row r="963" ht="15.75" customHeight="1">
      <c r="A963" s="111" t="s">
        <v>1224</v>
      </c>
      <c r="B963" s="83" t="s">
        <v>5024</v>
      </c>
      <c r="C963" s="83" t="s">
        <v>164</v>
      </c>
      <c r="D963" s="112">
        <v>1178319.0</v>
      </c>
      <c r="E963" s="83">
        <v>1178588.0</v>
      </c>
      <c r="F963" s="98">
        <v>2.9492181E7</v>
      </c>
      <c r="G963" s="114" t="s">
        <v>5059</v>
      </c>
      <c r="H963" s="91" t="s">
        <v>5060</v>
      </c>
      <c r="I963" s="136" t="s">
        <v>5060</v>
      </c>
      <c r="J963" s="83" t="s">
        <v>1012</v>
      </c>
      <c r="K963" s="83" t="s">
        <v>151</v>
      </c>
      <c r="L963" s="83" t="s">
        <v>169</v>
      </c>
      <c r="M963" s="82" t="str">
        <f>IFERROR(__xludf.DUMMYFUNCTION("IFERROR(VLOOKUP(D963,
IMPORTRANGE(""https://docs.google.com/spreadsheets/d/1MjHtlUikwobi2MaWJgy7tfLeBmhj1u-dRFRs_8GwSoA/edit#gid=0"",""Gestores Escolares!D7:J""),3,0),""VERIFICAR CÓD SEC"")"),"ANDREIA DA CRUZ BATISTA")</f>
        <v>ANDREIA DA CRUZ BATISTA</v>
      </c>
      <c r="N963" s="82" t="str">
        <f>IFERROR(__xludf.DUMMYFUNCTION("IFERROR(VLOOKUP(D963,
IMPORTRANGE(""https://docs.google.com/spreadsheets/d/1MjHtlUikwobi2MaWJgy7tfLeBmhj1u-dRFRs_8GwSoA/edit#gid=0"",""Gestores Escolares!D7:J""),4,0),""VERIFICAR CÓD SEC"")"),"(75) 9 9966-2677")</f>
        <v>(75) 9 9966-2677</v>
      </c>
      <c r="O963" s="82" t="str">
        <f>IFERROR(__xludf.DUMMYFUNCTION("IFERROR(VLOOKUP(D963,
IMPORTRANGE(""https://docs.google.com/spreadsheets/d/1MjHtlUikwobi2MaWJgy7tfLeBmhj1u-dRFRs_8GwSoA/edit#gid=0"",""Gestores Escolares!D7:J""),6,0),""VERIFICAR CÓD SEC"")"),"")</f>
        <v/>
      </c>
      <c r="P963" s="82" t="str">
        <f>IFERROR(__xludf.DUMMYFUNCTION("IFERROR(VLOOKUP(D963,
IMPORTRANGE(""https://docs.google.com/spreadsheets/d/1MjHtlUikwobi2MaWJgy7tfLeBmhj1u-dRFRs_8GwSoA/edit#gid=0"",""Gestores Escolares!D7:J""),7,0),""VERIFICAR CÓD SEC"")"),"")</f>
        <v/>
      </c>
      <c r="Q963" s="82" t="str">
        <f>IFERROR(__xludf.DUMMYFUNCTION("IFERROR(VLOOKUP(D963,
IMPORTRANGE(""https://docs.google.com/spreadsheets/d/1MjHtlUikwobi2MaWJgy7tfLeBmhj1u-dRFRs_8GwSoA/edit#gid=0"",""Gestores Escolares!D7:m""),9,0),""VERIFICAR CÓD SEC"")"),"")</f>
        <v/>
      </c>
      <c r="R963" s="82" t="str">
        <f>IFERROR(__xludf.DUMMYFUNCTION("IFERROR(VLOOKUP(D963,
IMPORTRANGE(""https://docs.google.com/spreadsheets/d/1MjHtlUikwobi2MaWJgy7tfLeBmhj1u-dRFRs_8GwSoA/edit#gid=0"",""Gestores Escolares!D7:m""),10,0),""VERIFICAR CÓD SEC"")"),"")</f>
        <v/>
      </c>
      <c r="S963" s="82"/>
      <c r="T963" s="138">
        <v>3.0</v>
      </c>
      <c r="U963" s="145">
        <v>3.0</v>
      </c>
      <c r="V963" s="106">
        <v>12.0</v>
      </c>
      <c r="W963" s="107">
        <v>13.0</v>
      </c>
      <c r="X963" s="107">
        <v>0.0</v>
      </c>
      <c r="Y963" s="107">
        <v>0.0</v>
      </c>
      <c r="Z963" s="80">
        <f t="shared" si="1"/>
        <v>25</v>
      </c>
      <c r="AA963" s="106">
        <v>14.0</v>
      </c>
      <c r="AB963" s="107">
        <v>18.0</v>
      </c>
      <c r="AC963" s="107">
        <v>0.0</v>
      </c>
      <c r="AD963" s="107">
        <v>0.0</v>
      </c>
      <c r="AE963" s="80">
        <f t="shared" si="2"/>
        <v>32</v>
      </c>
      <c r="AF963" s="140">
        <v>0.0</v>
      </c>
      <c r="AG963" s="109">
        <v>0.0</v>
      </c>
      <c r="AH963" s="109">
        <v>0.0</v>
      </c>
      <c r="AI963" s="141">
        <v>0.0</v>
      </c>
      <c r="AJ963" s="80">
        <f t="shared" si="3"/>
        <v>0</v>
      </c>
      <c r="AK963" s="140">
        <v>0.0</v>
      </c>
      <c r="AL963" s="109">
        <v>0.0</v>
      </c>
      <c r="AM963" s="141">
        <v>0.0</v>
      </c>
      <c r="AN963" s="80">
        <f t="shared" si="4"/>
        <v>0</v>
      </c>
      <c r="AO963" s="140">
        <v>0.0</v>
      </c>
      <c r="AP963" s="109">
        <v>0.0</v>
      </c>
      <c r="AQ963" s="109">
        <v>0.0</v>
      </c>
      <c r="AR963" s="80">
        <f t="shared" si="5"/>
        <v>0</v>
      </c>
      <c r="AS963" s="110">
        <v>0.0</v>
      </c>
      <c r="AT963" s="110">
        <v>0.0</v>
      </c>
      <c r="AU963" s="110">
        <v>0.0</v>
      </c>
      <c r="AV963" s="142">
        <v>0.0</v>
      </c>
      <c r="AW963" s="80">
        <f t="shared" si="6"/>
        <v>0</v>
      </c>
      <c r="AX963" s="113">
        <f t="shared" si="7"/>
        <v>57</v>
      </c>
      <c r="AY963" s="117">
        <f t="shared" si="8"/>
        <v>57</v>
      </c>
      <c r="AZ963" s="120">
        <f t="shared" si="9"/>
        <v>0</v>
      </c>
      <c r="BA963" s="115">
        <v>0.0</v>
      </c>
      <c r="BB963" s="89">
        <f t="shared" si="10"/>
        <v>57</v>
      </c>
      <c r="BC963" s="143" t="s">
        <v>1294</v>
      </c>
      <c r="BD963" s="132" t="s">
        <v>178</v>
      </c>
      <c r="BE963" s="132" t="s">
        <v>178</v>
      </c>
      <c r="BF963" s="123"/>
      <c r="BG963" s="83">
        <v>1178588.0</v>
      </c>
      <c r="BH963" s="112"/>
      <c r="BI963" s="112">
        <v>3.0</v>
      </c>
      <c r="BJ963" s="98" t="s">
        <v>155</v>
      </c>
      <c r="BK963" s="99">
        <f t="shared" si="11"/>
        <v>0</v>
      </c>
      <c r="BL963" s="99">
        <f t="shared" si="12"/>
        <v>57</v>
      </c>
      <c r="BM963" s="99" t="str">
        <f>IFERROR(__xludf.DUMMYFUNCTION("IFERROR(VLOOKUP(BG963,IMPORTRANGE(""https://docs.google.com/spreadsheets/d/1juPI-Fb8LD0YtltB2mlGEnp_R3UVu1t3wSFPzgCyHXE/edit?gid=0#gid=0"",""GERAL!A2:C""),3,0),""-"")"),"INDÍGENAS")</f>
        <v>INDÍGENAS</v>
      </c>
    </row>
    <row r="964" ht="15.75" customHeight="1">
      <c r="A964" s="111" t="s">
        <v>1224</v>
      </c>
      <c r="B964" s="83" t="s">
        <v>5024</v>
      </c>
      <c r="C964" s="83" t="s">
        <v>164</v>
      </c>
      <c r="D964" s="112">
        <v>1178319.0</v>
      </c>
      <c r="E964" s="83">
        <v>1178589.0</v>
      </c>
      <c r="F964" s="98">
        <v>2.9492173E7</v>
      </c>
      <c r="G964" s="114" t="s">
        <v>5062</v>
      </c>
      <c r="H964" s="91" t="s">
        <v>5063</v>
      </c>
      <c r="I964" s="136" t="s">
        <v>5064</v>
      </c>
      <c r="J964" s="83" t="s">
        <v>1741</v>
      </c>
      <c r="K964" s="83" t="s">
        <v>151</v>
      </c>
      <c r="L964" s="83" t="s">
        <v>169</v>
      </c>
      <c r="M964" s="82" t="str">
        <f>IFERROR(__xludf.DUMMYFUNCTION("IFERROR(VLOOKUP(D964,
IMPORTRANGE(""https://docs.google.com/spreadsheets/d/1MjHtlUikwobi2MaWJgy7tfLeBmhj1u-dRFRs_8GwSoA/edit#gid=0"",""Gestores Escolares!D7:J""),3,0),""VERIFICAR CÓD SEC"")"),"ANDREIA DA CRUZ BATISTA")</f>
        <v>ANDREIA DA CRUZ BATISTA</v>
      </c>
      <c r="N964" s="82" t="str">
        <f>IFERROR(__xludf.DUMMYFUNCTION("IFERROR(VLOOKUP(D964,
IMPORTRANGE(""https://docs.google.com/spreadsheets/d/1MjHtlUikwobi2MaWJgy7tfLeBmhj1u-dRFRs_8GwSoA/edit#gid=0"",""Gestores Escolares!D7:J""),4,0),""VERIFICAR CÓD SEC"")"),"(75) 9 9966-2677")</f>
        <v>(75) 9 9966-2677</v>
      </c>
      <c r="O964" s="82" t="str">
        <f>IFERROR(__xludf.DUMMYFUNCTION("IFERROR(VLOOKUP(D964,
IMPORTRANGE(""https://docs.google.com/spreadsheets/d/1MjHtlUikwobi2MaWJgy7tfLeBmhj1u-dRFRs_8GwSoA/edit#gid=0"",""Gestores Escolares!D7:J""),6,0),""VERIFICAR CÓD SEC"")"),"")</f>
        <v/>
      </c>
      <c r="P964" s="82" t="str">
        <f>IFERROR(__xludf.DUMMYFUNCTION("IFERROR(VLOOKUP(D964,
IMPORTRANGE(""https://docs.google.com/spreadsheets/d/1MjHtlUikwobi2MaWJgy7tfLeBmhj1u-dRFRs_8GwSoA/edit#gid=0"",""Gestores Escolares!D7:J""),7,0),""VERIFICAR CÓD SEC"")"),"")</f>
        <v/>
      </c>
      <c r="Q964" s="82" t="str">
        <f>IFERROR(__xludf.DUMMYFUNCTION("IFERROR(VLOOKUP(D964,
IMPORTRANGE(""https://docs.google.com/spreadsheets/d/1MjHtlUikwobi2MaWJgy7tfLeBmhj1u-dRFRs_8GwSoA/edit#gid=0"",""Gestores Escolares!D7:m""),9,0),""VERIFICAR CÓD SEC"")"),"")</f>
        <v/>
      </c>
      <c r="R964" s="82" t="str">
        <f>IFERROR(__xludf.DUMMYFUNCTION("IFERROR(VLOOKUP(D964,
IMPORTRANGE(""https://docs.google.com/spreadsheets/d/1MjHtlUikwobi2MaWJgy7tfLeBmhj1u-dRFRs_8GwSoA/edit#gid=0"",""Gestores Escolares!D7:m""),10,0),""VERIFICAR CÓD SEC"")"),"")</f>
        <v/>
      </c>
      <c r="S964" s="82"/>
      <c r="T964" s="138">
        <v>5.0</v>
      </c>
      <c r="U964" s="145">
        <v>8.0</v>
      </c>
      <c r="V964" s="106">
        <v>27.0</v>
      </c>
      <c r="W964" s="107">
        <v>0.0</v>
      </c>
      <c r="X964" s="107">
        <v>0.0</v>
      </c>
      <c r="Y964" s="107">
        <v>0.0</v>
      </c>
      <c r="Z964" s="80">
        <f t="shared" si="1"/>
        <v>27</v>
      </c>
      <c r="AA964" s="106">
        <v>30.0</v>
      </c>
      <c r="AB964" s="107">
        <v>58.0</v>
      </c>
      <c r="AC964" s="107">
        <v>0.0</v>
      </c>
      <c r="AD964" s="107">
        <v>0.0</v>
      </c>
      <c r="AE964" s="80">
        <f t="shared" si="2"/>
        <v>88</v>
      </c>
      <c r="AF964" s="140">
        <v>0.0</v>
      </c>
      <c r="AG964" s="109">
        <v>0.0</v>
      </c>
      <c r="AH964" s="109">
        <v>0.0</v>
      </c>
      <c r="AI964" s="141">
        <v>0.0</v>
      </c>
      <c r="AJ964" s="80">
        <f t="shared" si="3"/>
        <v>0</v>
      </c>
      <c r="AK964" s="140">
        <v>0.0</v>
      </c>
      <c r="AL964" s="109">
        <v>0.0</v>
      </c>
      <c r="AM964" s="141">
        <v>5.0</v>
      </c>
      <c r="AN964" s="80">
        <f t="shared" si="4"/>
        <v>5</v>
      </c>
      <c r="AO964" s="140">
        <v>0.0</v>
      </c>
      <c r="AP964" s="109">
        <v>0.0</v>
      </c>
      <c r="AQ964" s="109">
        <v>0.0</v>
      </c>
      <c r="AR964" s="80">
        <f t="shared" si="5"/>
        <v>0</v>
      </c>
      <c r="AS964" s="110">
        <v>0.0</v>
      </c>
      <c r="AT964" s="110">
        <v>0.0</v>
      </c>
      <c r="AU964" s="110">
        <v>0.0</v>
      </c>
      <c r="AV964" s="142">
        <v>0.0</v>
      </c>
      <c r="AW964" s="80">
        <f t="shared" si="6"/>
        <v>0</v>
      </c>
      <c r="AX964" s="113">
        <f t="shared" si="7"/>
        <v>120</v>
      </c>
      <c r="AY964" s="117">
        <f t="shared" si="8"/>
        <v>115</v>
      </c>
      <c r="AZ964" s="120">
        <f t="shared" si="9"/>
        <v>5</v>
      </c>
      <c r="BA964" s="115">
        <v>0.0</v>
      </c>
      <c r="BB964" s="89">
        <f t="shared" si="10"/>
        <v>120</v>
      </c>
      <c r="BC964" s="143" t="s">
        <v>1294</v>
      </c>
      <c r="BD964" s="132" t="s">
        <v>178</v>
      </c>
      <c r="BE964" s="132" t="s">
        <v>178</v>
      </c>
      <c r="BF964" s="123"/>
      <c r="BG964" s="83">
        <v>1178589.0</v>
      </c>
      <c r="BH964" s="112"/>
      <c r="BI964" s="112">
        <v>8.0</v>
      </c>
      <c r="BJ964" s="98" t="s">
        <v>155</v>
      </c>
      <c r="BK964" s="99">
        <f t="shared" si="11"/>
        <v>0</v>
      </c>
      <c r="BL964" s="99">
        <f t="shared" si="12"/>
        <v>115</v>
      </c>
      <c r="BM964" s="99" t="str">
        <f>IFERROR(__xludf.DUMMYFUNCTION("IFERROR(VLOOKUP(BG964,IMPORTRANGE(""https://docs.google.com/spreadsheets/d/1juPI-Fb8LD0YtltB2mlGEnp_R3UVu1t3wSFPzgCyHXE/edit?gid=0#gid=0"",""GERAL!A2:C""),3,0),""-"")"),"INDÍGENAS")</f>
        <v>INDÍGENAS</v>
      </c>
    </row>
    <row r="965" ht="15.75" customHeight="1">
      <c r="A965" s="111" t="s">
        <v>1224</v>
      </c>
      <c r="B965" s="83" t="s">
        <v>5024</v>
      </c>
      <c r="C965" s="83" t="s">
        <v>164</v>
      </c>
      <c r="D965" s="112">
        <v>1179128.0</v>
      </c>
      <c r="E965" s="83">
        <v>1179133.0</v>
      </c>
      <c r="F965" s="98">
        <v>2.9492149E7</v>
      </c>
      <c r="G965" s="114" t="s">
        <v>5072</v>
      </c>
      <c r="H965" s="91" t="s">
        <v>5073</v>
      </c>
      <c r="I965" s="83" t="s">
        <v>5074</v>
      </c>
      <c r="J965" s="83" t="s">
        <v>822</v>
      </c>
      <c r="K965" s="83" t="s">
        <v>168</v>
      </c>
      <c r="L965" s="83" t="s">
        <v>169</v>
      </c>
      <c r="M965" s="82" t="str">
        <f>IFERROR(__xludf.DUMMYFUNCTION("IFERROR(VLOOKUP(D965,
IMPORTRANGE(""https://docs.google.com/spreadsheets/d/1MjHtlUikwobi2MaWJgy7tfLeBmhj1u-dRFRs_8GwSoA/edit#gid=0"",""Gestores Escolares!D7:J""),3,0),""VERIFICAR CÓD SEC"")"),"JOZILENE ANDRADE DE SOUZA")</f>
        <v>JOZILENE ANDRADE DE SOUZA</v>
      </c>
      <c r="N965" s="82" t="str">
        <f>IFERROR(__xludf.DUMMYFUNCTION("IFERROR(VLOOKUP(D965,
IMPORTRANGE(""https://docs.google.com/spreadsheets/d/1MjHtlUikwobi2MaWJgy7tfLeBmhj1u-dRFRs_8GwSoA/edit#gid=0"",""Gestores Escolares!D7:J""),4,0),""VERIFICAR CÓD SEC"")"),"(75) 9 9963-1975")</f>
        <v>(75) 9 9963-1975</v>
      </c>
      <c r="O965" s="82" t="str">
        <f>IFERROR(__xludf.DUMMYFUNCTION("IFERROR(VLOOKUP(D965,
IMPORTRANGE(""https://docs.google.com/spreadsheets/d/1MjHtlUikwobi2MaWJgy7tfLeBmhj1u-dRFRs_8GwSoA/edit#gid=0"",""Gestores Escolares!D7:J""),6,0),""VERIFICAR CÓD SEC"")"),"")</f>
        <v/>
      </c>
      <c r="P965" s="82" t="str">
        <f>IFERROR(__xludf.DUMMYFUNCTION("IFERROR(VLOOKUP(D965,
IMPORTRANGE(""https://docs.google.com/spreadsheets/d/1MjHtlUikwobi2MaWJgy7tfLeBmhj1u-dRFRs_8GwSoA/edit#gid=0"",""Gestores Escolares!D7:J""),7,0),""VERIFICAR CÓD SEC"")"),"")</f>
        <v/>
      </c>
      <c r="Q965" s="82" t="str">
        <f>IFERROR(__xludf.DUMMYFUNCTION("IFERROR(VLOOKUP(D965,
IMPORTRANGE(""https://docs.google.com/spreadsheets/d/1MjHtlUikwobi2MaWJgy7tfLeBmhj1u-dRFRs_8GwSoA/edit#gid=0"",""Gestores Escolares!D7:m""),9,0),""VERIFICAR CÓD SEC"")"),"")</f>
        <v/>
      </c>
      <c r="R965" s="82" t="str">
        <f>IFERROR(__xludf.DUMMYFUNCTION("IFERROR(VLOOKUP(D965,
IMPORTRANGE(""https://docs.google.com/spreadsheets/d/1MjHtlUikwobi2MaWJgy7tfLeBmhj1u-dRFRs_8GwSoA/edit#gid=0"",""Gestores Escolares!D7:m""),10,0),""VERIFICAR CÓD SEC"")"),"")</f>
        <v/>
      </c>
      <c r="S965" s="82"/>
      <c r="T965" s="138">
        <v>2.0</v>
      </c>
      <c r="U965" s="145">
        <v>2.0</v>
      </c>
      <c r="V965" s="106">
        <v>2.0</v>
      </c>
      <c r="W965" s="107">
        <v>0.0</v>
      </c>
      <c r="X965" s="107">
        <v>0.0</v>
      </c>
      <c r="Y965" s="107">
        <v>0.0</v>
      </c>
      <c r="Z965" s="80">
        <f t="shared" si="1"/>
        <v>2</v>
      </c>
      <c r="AA965" s="106">
        <v>5.0</v>
      </c>
      <c r="AB965" s="107">
        <v>7.0</v>
      </c>
      <c r="AC965" s="107">
        <v>0.0</v>
      </c>
      <c r="AD965" s="107">
        <v>0.0</v>
      </c>
      <c r="AE965" s="80">
        <f t="shared" si="2"/>
        <v>12</v>
      </c>
      <c r="AF965" s="140">
        <v>0.0</v>
      </c>
      <c r="AG965" s="109">
        <v>0.0</v>
      </c>
      <c r="AH965" s="109">
        <v>0.0</v>
      </c>
      <c r="AI965" s="141">
        <v>0.0</v>
      </c>
      <c r="AJ965" s="80">
        <f t="shared" si="3"/>
        <v>0</v>
      </c>
      <c r="AK965" s="140">
        <v>0.0</v>
      </c>
      <c r="AL965" s="109">
        <v>0.0</v>
      </c>
      <c r="AM965" s="141">
        <v>0.0</v>
      </c>
      <c r="AN965" s="80">
        <f t="shared" si="4"/>
        <v>0</v>
      </c>
      <c r="AO965" s="140">
        <v>0.0</v>
      </c>
      <c r="AP965" s="109">
        <v>0.0</v>
      </c>
      <c r="AQ965" s="109">
        <v>0.0</v>
      </c>
      <c r="AR965" s="80">
        <f t="shared" si="5"/>
        <v>0</v>
      </c>
      <c r="AS965" s="110">
        <v>0.0</v>
      </c>
      <c r="AT965" s="110">
        <v>0.0</v>
      </c>
      <c r="AU965" s="110">
        <v>0.0</v>
      </c>
      <c r="AV965" s="142">
        <v>0.0</v>
      </c>
      <c r="AW965" s="80">
        <f t="shared" si="6"/>
        <v>0</v>
      </c>
      <c r="AX965" s="113">
        <f t="shared" si="7"/>
        <v>14</v>
      </c>
      <c r="AY965" s="117">
        <f t="shared" si="8"/>
        <v>14</v>
      </c>
      <c r="AZ965" s="120">
        <f t="shared" si="9"/>
        <v>0</v>
      </c>
      <c r="BA965" s="115">
        <v>0.0</v>
      </c>
      <c r="BB965" s="89">
        <f t="shared" si="10"/>
        <v>14</v>
      </c>
      <c r="BC965" s="143" t="s">
        <v>1294</v>
      </c>
      <c r="BD965" s="132" t="s">
        <v>178</v>
      </c>
      <c r="BE965" s="132" t="s">
        <v>178</v>
      </c>
      <c r="BF965" s="123"/>
      <c r="BG965" s="83">
        <v>1179133.0</v>
      </c>
      <c r="BH965" s="112"/>
      <c r="BI965" s="112">
        <v>2.0</v>
      </c>
      <c r="BJ965" s="98" t="s">
        <v>155</v>
      </c>
      <c r="BK965" s="99">
        <f t="shared" si="11"/>
        <v>0</v>
      </c>
      <c r="BL965" s="99">
        <f t="shared" si="12"/>
        <v>14</v>
      </c>
      <c r="BM965" s="99" t="str">
        <f>IFERROR(__xludf.DUMMYFUNCTION("IFERROR(VLOOKUP(BG965,IMPORTRANGE(""https://docs.google.com/spreadsheets/d/1juPI-Fb8LD0YtltB2mlGEnp_R3UVu1t3wSFPzgCyHXE/edit?gid=0#gid=0"",""GERAL!A2:C""),3,0),""-"")"),"INDÍGENAS")</f>
        <v>INDÍGENAS</v>
      </c>
    </row>
    <row r="966" ht="15.75" customHeight="1">
      <c r="A966" s="111" t="s">
        <v>1224</v>
      </c>
      <c r="B966" s="83" t="s">
        <v>5024</v>
      </c>
      <c r="C966" s="83" t="s">
        <v>164</v>
      </c>
      <c r="D966" s="112">
        <v>1179128.0</v>
      </c>
      <c r="E966" s="83">
        <v>1179130.0</v>
      </c>
      <c r="F966" s="98">
        <v>2.949213E7</v>
      </c>
      <c r="G966" s="114" t="s">
        <v>5075</v>
      </c>
      <c r="H966" s="91" t="s">
        <v>5076</v>
      </c>
      <c r="I966" s="83" t="s">
        <v>5077</v>
      </c>
      <c r="J966" s="83" t="s">
        <v>1321</v>
      </c>
      <c r="K966" s="83" t="s">
        <v>168</v>
      </c>
      <c r="L966" s="83" t="s">
        <v>169</v>
      </c>
      <c r="M966" s="82" t="str">
        <f>IFERROR(__xludf.DUMMYFUNCTION("IFERROR(VLOOKUP(D966,
IMPORTRANGE(""https://docs.google.com/spreadsheets/d/1MjHtlUikwobi2MaWJgy7tfLeBmhj1u-dRFRs_8GwSoA/edit#gid=0"",""Gestores Escolares!D7:J""),3,0),""VERIFICAR CÓD SEC"")"),"JOZILENE ANDRADE DE SOUZA")</f>
        <v>JOZILENE ANDRADE DE SOUZA</v>
      </c>
      <c r="N966" s="82" t="str">
        <f>IFERROR(__xludf.DUMMYFUNCTION("IFERROR(VLOOKUP(D966,
IMPORTRANGE(""https://docs.google.com/spreadsheets/d/1MjHtlUikwobi2MaWJgy7tfLeBmhj1u-dRFRs_8GwSoA/edit#gid=0"",""Gestores Escolares!D7:J""),4,0),""VERIFICAR CÓD SEC"")"),"(75) 9 9963-1975")</f>
        <v>(75) 9 9963-1975</v>
      </c>
      <c r="O966" s="82" t="str">
        <f>IFERROR(__xludf.DUMMYFUNCTION("IFERROR(VLOOKUP(D966,
IMPORTRANGE(""https://docs.google.com/spreadsheets/d/1MjHtlUikwobi2MaWJgy7tfLeBmhj1u-dRFRs_8GwSoA/edit#gid=0"",""Gestores Escolares!D7:J""),6,0),""VERIFICAR CÓD SEC"")"),"")</f>
        <v/>
      </c>
      <c r="P966" s="82" t="str">
        <f>IFERROR(__xludf.DUMMYFUNCTION("IFERROR(VLOOKUP(D966,
IMPORTRANGE(""https://docs.google.com/spreadsheets/d/1MjHtlUikwobi2MaWJgy7tfLeBmhj1u-dRFRs_8GwSoA/edit#gid=0"",""Gestores Escolares!D7:J""),7,0),""VERIFICAR CÓD SEC"")"),"")</f>
        <v/>
      </c>
      <c r="Q966" s="82" t="str">
        <f>IFERROR(__xludf.DUMMYFUNCTION("IFERROR(VLOOKUP(D966,
IMPORTRANGE(""https://docs.google.com/spreadsheets/d/1MjHtlUikwobi2MaWJgy7tfLeBmhj1u-dRFRs_8GwSoA/edit#gid=0"",""Gestores Escolares!D7:m""),9,0),""VERIFICAR CÓD SEC"")"),"")</f>
        <v/>
      </c>
      <c r="R966" s="82" t="str">
        <f>IFERROR(__xludf.DUMMYFUNCTION("IFERROR(VLOOKUP(D966,
IMPORTRANGE(""https://docs.google.com/spreadsheets/d/1MjHtlUikwobi2MaWJgy7tfLeBmhj1u-dRFRs_8GwSoA/edit#gid=0"",""Gestores Escolares!D7:m""),10,0),""VERIFICAR CÓD SEC"")"),"")</f>
        <v/>
      </c>
      <c r="S966" s="82"/>
      <c r="T966" s="138">
        <v>1.0</v>
      </c>
      <c r="U966" s="145">
        <v>1.0</v>
      </c>
      <c r="V966" s="106">
        <v>5.0</v>
      </c>
      <c r="W966" s="107">
        <v>0.0</v>
      </c>
      <c r="X966" s="107">
        <v>0.0</v>
      </c>
      <c r="Y966" s="107">
        <v>0.0</v>
      </c>
      <c r="Z966" s="80">
        <f t="shared" si="1"/>
        <v>5</v>
      </c>
      <c r="AA966" s="106">
        <v>2.0</v>
      </c>
      <c r="AB966" s="107">
        <v>7.0</v>
      </c>
      <c r="AC966" s="107">
        <v>0.0</v>
      </c>
      <c r="AD966" s="107">
        <v>0.0</v>
      </c>
      <c r="AE966" s="80">
        <f t="shared" si="2"/>
        <v>9</v>
      </c>
      <c r="AF966" s="140">
        <v>0.0</v>
      </c>
      <c r="AG966" s="109">
        <v>0.0</v>
      </c>
      <c r="AH966" s="109">
        <v>0.0</v>
      </c>
      <c r="AI966" s="141">
        <v>0.0</v>
      </c>
      <c r="AJ966" s="80">
        <f t="shared" si="3"/>
        <v>0</v>
      </c>
      <c r="AK966" s="140">
        <v>0.0</v>
      </c>
      <c r="AL966" s="109">
        <v>0.0</v>
      </c>
      <c r="AM966" s="141">
        <v>0.0</v>
      </c>
      <c r="AN966" s="80">
        <f t="shared" si="4"/>
        <v>0</v>
      </c>
      <c r="AO966" s="140">
        <v>0.0</v>
      </c>
      <c r="AP966" s="109">
        <v>0.0</v>
      </c>
      <c r="AQ966" s="109">
        <v>0.0</v>
      </c>
      <c r="AR966" s="80">
        <f t="shared" si="5"/>
        <v>0</v>
      </c>
      <c r="AS966" s="110">
        <v>0.0</v>
      </c>
      <c r="AT966" s="110">
        <v>0.0</v>
      </c>
      <c r="AU966" s="110">
        <v>0.0</v>
      </c>
      <c r="AV966" s="142">
        <v>0.0</v>
      </c>
      <c r="AW966" s="80">
        <f t="shared" si="6"/>
        <v>0</v>
      </c>
      <c r="AX966" s="113">
        <f t="shared" si="7"/>
        <v>14</v>
      </c>
      <c r="AY966" s="117">
        <f t="shared" si="8"/>
        <v>14</v>
      </c>
      <c r="AZ966" s="120">
        <f t="shared" si="9"/>
        <v>0</v>
      </c>
      <c r="BA966" s="115">
        <v>0.0</v>
      </c>
      <c r="BB966" s="89">
        <f t="shared" si="10"/>
        <v>14</v>
      </c>
      <c r="BC966" s="143" t="s">
        <v>1294</v>
      </c>
      <c r="BD966" s="132" t="s">
        <v>178</v>
      </c>
      <c r="BE966" s="132" t="s">
        <v>178</v>
      </c>
      <c r="BF966" s="123"/>
      <c r="BG966" s="83">
        <v>1179130.0</v>
      </c>
      <c r="BH966" s="112"/>
      <c r="BI966" s="112">
        <v>1.0</v>
      </c>
      <c r="BJ966" s="98" t="s">
        <v>155</v>
      </c>
      <c r="BK966" s="99">
        <f t="shared" si="11"/>
        <v>0</v>
      </c>
      <c r="BL966" s="99">
        <f t="shared" si="12"/>
        <v>14</v>
      </c>
      <c r="BM966" s="99" t="str">
        <f>IFERROR(__xludf.DUMMYFUNCTION("IFERROR(VLOOKUP(BG966,IMPORTRANGE(""https://docs.google.com/spreadsheets/d/1juPI-Fb8LD0YtltB2mlGEnp_R3UVu1t3wSFPzgCyHXE/edit?gid=0#gid=0"",""GERAL!A2:C""),3,0),""-"")"),"INDÍGENAS")</f>
        <v>INDÍGENAS</v>
      </c>
    </row>
    <row r="967" ht="15.75" customHeight="1">
      <c r="A967" s="111" t="s">
        <v>1224</v>
      </c>
      <c r="B967" s="83" t="s">
        <v>5024</v>
      </c>
      <c r="C967" s="83" t="s">
        <v>164</v>
      </c>
      <c r="D967" s="112">
        <v>1179131.0</v>
      </c>
      <c r="E967" s="83">
        <v>1179531.0</v>
      </c>
      <c r="F967" s="98">
        <v>2.9492262E7</v>
      </c>
      <c r="G967" s="119" t="s">
        <v>5078</v>
      </c>
      <c r="H967" s="91" t="s">
        <v>5079</v>
      </c>
      <c r="I967" s="233" t="s">
        <v>5080</v>
      </c>
      <c r="J967" s="83" t="s">
        <v>1301</v>
      </c>
      <c r="K967" s="83" t="s">
        <v>168</v>
      </c>
      <c r="L967" s="83" t="s">
        <v>169</v>
      </c>
      <c r="M967" s="82" t="str">
        <f>IFERROR(__xludf.DUMMYFUNCTION("IFERROR(VLOOKUP(D967,
IMPORTRANGE(""https://docs.google.com/spreadsheets/d/1MjHtlUikwobi2MaWJgy7tfLeBmhj1u-dRFRs_8GwSoA/edit#gid=0"",""Gestores Escolares!D7:J""),3,0),""VERIFICAR CÓD SEC"")"),"JEOVAN DE JESUS SOUZA  ")</f>
        <v>JEOVAN DE JESUS SOUZA  </v>
      </c>
      <c r="N967" s="82" t="str">
        <f>IFERROR(__xludf.DUMMYFUNCTION("IFERROR(VLOOKUP(D967,
IMPORTRANGE(""https://docs.google.com/spreadsheets/d/1MjHtlUikwobi2MaWJgy7tfLeBmhj1u-dRFRs_8GwSoA/edit#gid=0"",""Gestores Escolares!D7:J""),4,0),""VERIFICAR CÓD SEC"")"),"(75) 9 9892-6343")</f>
        <v>(75) 9 9892-6343</v>
      </c>
      <c r="O967" s="82" t="str">
        <f>IFERROR(__xludf.DUMMYFUNCTION("IFERROR(VLOOKUP(D967,
IMPORTRANGE(""https://docs.google.com/spreadsheets/d/1MjHtlUikwobi2MaWJgy7tfLeBmhj1u-dRFRs_8GwSoA/edit#gid=0"",""Gestores Escolares!D7:J""),6,0),""VERIFICAR CÓD SEC"")"),"")</f>
        <v/>
      </c>
      <c r="P967" s="82" t="str">
        <f>IFERROR(__xludf.DUMMYFUNCTION("IFERROR(VLOOKUP(D967,
IMPORTRANGE(""https://docs.google.com/spreadsheets/d/1MjHtlUikwobi2MaWJgy7tfLeBmhj1u-dRFRs_8GwSoA/edit#gid=0"",""Gestores Escolares!D7:J""),7,0),""VERIFICAR CÓD SEC"")"),"")</f>
        <v/>
      </c>
      <c r="Q967" s="82" t="str">
        <f>IFERROR(__xludf.DUMMYFUNCTION("IFERROR(VLOOKUP(D967,
IMPORTRANGE(""https://docs.google.com/spreadsheets/d/1MjHtlUikwobi2MaWJgy7tfLeBmhj1u-dRFRs_8GwSoA/edit#gid=0"",""Gestores Escolares!D7:m""),9,0),""VERIFICAR CÓD SEC"")"),"")</f>
        <v/>
      </c>
      <c r="R967" s="82" t="str">
        <f>IFERROR(__xludf.DUMMYFUNCTION("IFERROR(VLOOKUP(D967,
IMPORTRANGE(""https://docs.google.com/spreadsheets/d/1MjHtlUikwobi2MaWJgy7tfLeBmhj1u-dRFRs_8GwSoA/edit#gid=0"",""Gestores Escolares!D7:m""),10,0),""VERIFICAR CÓD SEC"")"),"")</f>
        <v/>
      </c>
      <c r="S967" s="82"/>
      <c r="T967" s="138">
        <v>3.0</v>
      </c>
      <c r="U967" s="145">
        <v>2.0</v>
      </c>
      <c r="V967" s="106">
        <v>6.0</v>
      </c>
      <c r="W967" s="107">
        <v>0.0</v>
      </c>
      <c r="X967" s="107">
        <v>0.0</v>
      </c>
      <c r="Y967" s="107">
        <v>0.0</v>
      </c>
      <c r="Z967" s="80">
        <f t="shared" si="1"/>
        <v>6</v>
      </c>
      <c r="AA967" s="106">
        <v>2.0</v>
      </c>
      <c r="AB967" s="107">
        <v>13.0</v>
      </c>
      <c r="AC967" s="107">
        <v>0.0</v>
      </c>
      <c r="AD967" s="107">
        <v>0.0</v>
      </c>
      <c r="AE967" s="80">
        <f t="shared" si="2"/>
        <v>15</v>
      </c>
      <c r="AF967" s="140">
        <v>0.0</v>
      </c>
      <c r="AG967" s="109">
        <v>0.0</v>
      </c>
      <c r="AH967" s="109">
        <v>0.0</v>
      </c>
      <c r="AI967" s="141">
        <v>0.0</v>
      </c>
      <c r="AJ967" s="80">
        <f t="shared" si="3"/>
        <v>0</v>
      </c>
      <c r="AK967" s="140">
        <v>0.0</v>
      </c>
      <c r="AL967" s="109">
        <v>0.0</v>
      </c>
      <c r="AM967" s="141">
        <v>0.0</v>
      </c>
      <c r="AN967" s="80">
        <f t="shared" si="4"/>
        <v>0</v>
      </c>
      <c r="AO967" s="140">
        <v>0.0</v>
      </c>
      <c r="AP967" s="109">
        <v>0.0</v>
      </c>
      <c r="AQ967" s="109">
        <v>0.0</v>
      </c>
      <c r="AR967" s="80">
        <f t="shared" si="5"/>
        <v>0</v>
      </c>
      <c r="AS967" s="110">
        <v>0.0</v>
      </c>
      <c r="AT967" s="110">
        <v>0.0</v>
      </c>
      <c r="AU967" s="110">
        <v>0.0</v>
      </c>
      <c r="AV967" s="142">
        <v>0.0</v>
      </c>
      <c r="AW967" s="80">
        <f t="shared" si="6"/>
        <v>0</v>
      </c>
      <c r="AX967" s="113">
        <f t="shared" si="7"/>
        <v>21</v>
      </c>
      <c r="AY967" s="117">
        <f t="shared" si="8"/>
        <v>21</v>
      </c>
      <c r="AZ967" s="120">
        <f t="shared" si="9"/>
        <v>0</v>
      </c>
      <c r="BA967" s="115">
        <v>0.0</v>
      </c>
      <c r="BB967" s="89">
        <f t="shared" si="10"/>
        <v>21</v>
      </c>
      <c r="BC967" s="143" t="s">
        <v>1294</v>
      </c>
      <c r="BD967" s="132" t="s">
        <v>178</v>
      </c>
      <c r="BE967" s="132" t="s">
        <v>178</v>
      </c>
      <c r="BF967" s="156"/>
      <c r="BG967" s="83">
        <v>1179531.0</v>
      </c>
      <c r="BH967" s="112"/>
      <c r="BI967" s="112">
        <v>2.0</v>
      </c>
      <c r="BJ967" s="98" t="s">
        <v>155</v>
      </c>
      <c r="BK967" s="99">
        <f t="shared" si="11"/>
        <v>0</v>
      </c>
      <c r="BL967" s="99">
        <f t="shared" si="12"/>
        <v>21</v>
      </c>
      <c r="BM967" s="99" t="str">
        <f>IFERROR(__xludf.DUMMYFUNCTION("IFERROR(VLOOKUP(BG967,IMPORTRANGE(""https://docs.google.com/spreadsheets/d/1juPI-Fb8LD0YtltB2mlGEnp_R3UVu1t3wSFPzgCyHXE/edit?gid=0#gid=0"",""GERAL!A2:C""),3,0),""-"")"),"INDÍGENAS")</f>
        <v>INDÍGENAS</v>
      </c>
    </row>
    <row r="968" ht="15.75" customHeight="1">
      <c r="A968" s="111" t="s">
        <v>1224</v>
      </c>
      <c r="B968" s="83" t="s">
        <v>5024</v>
      </c>
      <c r="C968" s="83" t="s">
        <v>164</v>
      </c>
      <c r="D968" s="112">
        <v>1179131.0</v>
      </c>
      <c r="E968" s="83">
        <v>1179710.0</v>
      </c>
      <c r="F968" s="98">
        <v>2.9492289E7</v>
      </c>
      <c r="G968" s="187" t="s">
        <v>5086</v>
      </c>
      <c r="H968" s="160" t="s">
        <v>5087</v>
      </c>
      <c r="I968" s="136" t="s">
        <v>5088</v>
      </c>
      <c r="J968" s="98" t="s">
        <v>327</v>
      </c>
      <c r="K968" s="83" t="s">
        <v>168</v>
      </c>
      <c r="L968" s="83" t="s">
        <v>512</v>
      </c>
      <c r="M968" s="82" t="str">
        <f>IFERROR(__xludf.DUMMYFUNCTION("IFERROR(VLOOKUP(D968,
IMPORTRANGE(""https://docs.google.com/spreadsheets/d/1MjHtlUikwobi2MaWJgy7tfLeBmhj1u-dRFRs_8GwSoA/edit#gid=0"",""Gestores Escolares!D7:J""),3,0),""VERIFICAR CÓD SEC"")"),"JEOVAN DE JESUS SOUZA  ")</f>
        <v>JEOVAN DE JESUS SOUZA  </v>
      </c>
      <c r="N968" s="82" t="str">
        <f>IFERROR(__xludf.DUMMYFUNCTION("IFERROR(VLOOKUP(D968,
IMPORTRANGE(""https://docs.google.com/spreadsheets/d/1MjHtlUikwobi2MaWJgy7tfLeBmhj1u-dRFRs_8GwSoA/edit#gid=0"",""Gestores Escolares!D7:J""),4,0),""VERIFICAR CÓD SEC"")"),"(75) 9 9892-6343")</f>
        <v>(75) 9 9892-6343</v>
      </c>
      <c r="O968" s="82" t="str">
        <f>IFERROR(__xludf.DUMMYFUNCTION("IFERROR(VLOOKUP(D968,
IMPORTRANGE(""https://docs.google.com/spreadsheets/d/1MjHtlUikwobi2MaWJgy7tfLeBmhj1u-dRFRs_8GwSoA/edit#gid=0"",""Gestores Escolares!D7:J""),6,0),""VERIFICAR CÓD SEC"")"),"")</f>
        <v/>
      </c>
      <c r="P968" s="82" t="str">
        <f>IFERROR(__xludf.DUMMYFUNCTION("IFERROR(VLOOKUP(D968,
IMPORTRANGE(""https://docs.google.com/spreadsheets/d/1MjHtlUikwobi2MaWJgy7tfLeBmhj1u-dRFRs_8GwSoA/edit#gid=0"",""Gestores Escolares!D7:J""),7,0),""VERIFICAR CÓD SEC"")"),"")</f>
        <v/>
      </c>
      <c r="Q968" s="82" t="str">
        <f>IFERROR(__xludf.DUMMYFUNCTION("IFERROR(VLOOKUP(D968,
IMPORTRANGE(""https://docs.google.com/spreadsheets/d/1MjHtlUikwobi2MaWJgy7tfLeBmhj1u-dRFRs_8GwSoA/edit#gid=0"",""Gestores Escolares!D7:m""),9,0),""VERIFICAR CÓD SEC"")"),"")</f>
        <v/>
      </c>
      <c r="R968" s="82" t="str">
        <f>IFERROR(__xludf.DUMMYFUNCTION("IFERROR(VLOOKUP(D968,
IMPORTRANGE(""https://docs.google.com/spreadsheets/d/1MjHtlUikwobi2MaWJgy7tfLeBmhj1u-dRFRs_8GwSoA/edit#gid=0"",""Gestores Escolares!D7:m""),10,0),""VERIFICAR CÓD SEC"")"),"")</f>
        <v/>
      </c>
      <c r="S968" s="82"/>
      <c r="T968" s="138" t="s">
        <v>171</v>
      </c>
      <c r="U968" s="145">
        <v>1.0</v>
      </c>
      <c r="V968" s="106">
        <v>8.0</v>
      </c>
      <c r="W968" s="107">
        <v>0.0</v>
      </c>
      <c r="X968" s="107">
        <v>0.0</v>
      </c>
      <c r="Y968" s="107">
        <v>0.0</v>
      </c>
      <c r="Z968" s="80">
        <f t="shared" si="1"/>
        <v>8</v>
      </c>
      <c r="AA968" s="106">
        <v>4.0</v>
      </c>
      <c r="AB968" s="107">
        <v>14.0</v>
      </c>
      <c r="AC968" s="107">
        <v>0.0</v>
      </c>
      <c r="AD968" s="107">
        <v>0.0</v>
      </c>
      <c r="AE968" s="80">
        <f t="shared" si="2"/>
        <v>18</v>
      </c>
      <c r="AF968" s="140">
        <v>0.0</v>
      </c>
      <c r="AG968" s="109">
        <v>0.0</v>
      </c>
      <c r="AH968" s="109">
        <v>0.0</v>
      </c>
      <c r="AI968" s="141">
        <v>0.0</v>
      </c>
      <c r="AJ968" s="80">
        <f t="shared" si="3"/>
        <v>0</v>
      </c>
      <c r="AK968" s="140">
        <v>0.0</v>
      </c>
      <c r="AL968" s="109">
        <v>0.0</v>
      </c>
      <c r="AM968" s="141">
        <v>2.0</v>
      </c>
      <c r="AN968" s="80">
        <f t="shared" si="4"/>
        <v>2</v>
      </c>
      <c r="AO968" s="140">
        <v>0.0</v>
      </c>
      <c r="AP968" s="109">
        <v>0.0</v>
      </c>
      <c r="AQ968" s="109">
        <v>0.0</v>
      </c>
      <c r="AR968" s="80">
        <f t="shared" si="5"/>
        <v>0</v>
      </c>
      <c r="AS968" s="110">
        <v>0.0</v>
      </c>
      <c r="AT968" s="110">
        <v>0.0</v>
      </c>
      <c r="AU968" s="110">
        <v>0.0</v>
      </c>
      <c r="AV968" s="142">
        <v>0.0</v>
      </c>
      <c r="AW968" s="80">
        <f t="shared" si="6"/>
        <v>0</v>
      </c>
      <c r="AX968" s="113">
        <f t="shared" si="7"/>
        <v>28</v>
      </c>
      <c r="AY968" s="117">
        <f t="shared" si="8"/>
        <v>26</v>
      </c>
      <c r="AZ968" s="120">
        <f t="shared" si="9"/>
        <v>2</v>
      </c>
      <c r="BA968" s="115">
        <v>0.0</v>
      </c>
      <c r="BB968" s="89">
        <f t="shared" si="10"/>
        <v>28</v>
      </c>
      <c r="BC968" s="143" t="s">
        <v>1294</v>
      </c>
      <c r="BD968" s="132" t="s">
        <v>178</v>
      </c>
      <c r="BE968" s="132" t="s">
        <v>178</v>
      </c>
      <c r="BF968" s="156" t="s">
        <v>632</v>
      </c>
      <c r="BG968" s="83">
        <v>1179710.0</v>
      </c>
      <c r="BH968" s="112"/>
      <c r="BI968" s="112">
        <v>0.0</v>
      </c>
      <c r="BJ968" s="98" t="s">
        <v>155</v>
      </c>
      <c r="BK968" s="99">
        <f t="shared" si="11"/>
        <v>0</v>
      </c>
      <c r="BL968" s="99">
        <f t="shared" si="12"/>
        <v>26</v>
      </c>
      <c r="BM968" s="99" t="str">
        <f>IFERROR(__xludf.DUMMYFUNCTION("IFERROR(VLOOKUP(BG968,IMPORTRANGE(""https://docs.google.com/spreadsheets/d/1juPI-Fb8LD0YtltB2mlGEnp_R3UVu1t3wSFPzgCyHXE/edit?gid=0#gid=0"",""GERAL!A2:C""),3,0),""-"")"),"INDÍGENAS")</f>
        <v>INDÍGENAS</v>
      </c>
    </row>
    <row r="969" ht="15.75" customHeight="1">
      <c r="A969" s="111" t="s">
        <v>1224</v>
      </c>
      <c r="B969" s="83" t="s">
        <v>5024</v>
      </c>
      <c r="C969" s="83" t="s">
        <v>164</v>
      </c>
      <c r="D969" s="112">
        <v>1179128.0</v>
      </c>
      <c r="E969" s="83">
        <v>1179529.0</v>
      </c>
      <c r="F969" s="98">
        <v>2.9492157E7</v>
      </c>
      <c r="G969" s="119" t="s">
        <v>5089</v>
      </c>
      <c r="H969" s="91" t="s">
        <v>5090</v>
      </c>
      <c r="I969" s="136" t="s">
        <v>5091</v>
      </c>
      <c r="J969" s="83" t="s">
        <v>1012</v>
      </c>
      <c r="K969" s="83" t="s">
        <v>168</v>
      </c>
      <c r="L969" s="83" t="s">
        <v>169</v>
      </c>
      <c r="M969" s="82" t="str">
        <f>IFERROR(__xludf.DUMMYFUNCTION("IFERROR(VLOOKUP(D969,
IMPORTRANGE(""https://docs.google.com/spreadsheets/d/1MjHtlUikwobi2MaWJgy7tfLeBmhj1u-dRFRs_8GwSoA/edit#gid=0"",""Gestores Escolares!D7:J""),3,0),""VERIFICAR CÓD SEC"")"),"JOZILENE ANDRADE DE SOUZA")</f>
        <v>JOZILENE ANDRADE DE SOUZA</v>
      </c>
      <c r="N969" s="82" t="str">
        <f>IFERROR(__xludf.DUMMYFUNCTION("IFERROR(VLOOKUP(D969,
IMPORTRANGE(""https://docs.google.com/spreadsheets/d/1MjHtlUikwobi2MaWJgy7tfLeBmhj1u-dRFRs_8GwSoA/edit#gid=0"",""Gestores Escolares!D7:J""),4,0),""VERIFICAR CÓD SEC"")"),"(75) 9 9963-1975")</f>
        <v>(75) 9 9963-1975</v>
      </c>
      <c r="O969" s="82" t="str">
        <f>IFERROR(__xludf.DUMMYFUNCTION("IFERROR(VLOOKUP(D969,
IMPORTRANGE(""https://docs.google.com/spreadsheets/d/1MjHtlUikwobi2MaWJgy7tfLeBmhj1u-dRFRs_8GwSoA/edit#gid=0"",""Gestores Escolares!D7:J""),6,0),""VERIFICAR CÓD SEC"")"),"")</f>
        <v/>
      </c>
      <c r="P969" s="82" t="str">
        <f>IFERROR(__xludf.DUMMYFUNCTION("IFERROR(VLOOKUP(D969,
IMPORTRANGE(""https://docs.google.com/spreadsheets/d/1MjHtlUikwobi2MaWJgy7tfLeBmhj1u-dRFRs_8GwSoA/edit#gid=0"",""Gestores Escolares!D7:J""),7,0),""VERIFICAR CÓD SEC"")"),"")</f>
        <v/>
      </c>
      <c r="Q969" s="82" t="str">
        <f>IFERROR(__xludf.DUMMYFUNCTION("IFERROR(VLOOKUP(D969,
IMPORTRANGE(""https://docs.google.com/spreadsheets/d/1MjHtlUikwobi2MaWJgy7tfLeBmhj1u-dRFRs_8GwSoA/edit#gid=0"",""Gestores Escolares!D7:m""),9,0),""VERIFICAR CÓD SEC"")"),"")</f>
        <v/>
      </c>
      <c r="R969" s="82" t="str">
        <f>IFERROR(__xludf.DUMMYFUNCTION("IFERROR(VLOOKUP(D969,
IMPORTRANGE(""https://docs.google.com/spreadsheets/d/1MjHtlUikwobi2MaWJgy7tfLeBmhj1u-dRFRs_8GwSoA/edit#gid=0"",""Gestores Escolares!D7:m""),10,0),""VERIFICAR CÓD SEC"")"),"")</f>
        <v/>
      </c>
      <c r="S969" s="82"/>
      <c r="T969" s="138">
        <v>2.0</v>
      </c>
      <c r="U969" s="145">
        <v>2.0</v>
      </c>
      <c r="V969" s="106">
        <v>4.0</v>
      </c>
      <c r="W969" s="107">
        <v>0.0</v>
      </c>
      <c r="X969" s="107">
        <v>0.0</v>
      </c>
      <c r="Y969" s="107">
        <v>0.0</v>
      </c>
      <c r="Z969" s="80">
        <f t="shared" si="1"/>
        <v>4</v>
      </c>
      <c r="AA969" s="106">
        <v>7.0</v>
      </c>
      <c r="AB969" s="107">
        <v>6.0</v>
      </c>
      <c r="AC969" s="107">
        <v>0.0</v>
      </c>
      <c r="AD969" s="107">
        <v>0.0</v>
      </c>
      <c r="AE969" s="80">
        <f t="shared" si="2"/>
        <v>13</v>
      </c>
      <c r="AF969" s="140">
        <v>0.0</v>
      </c>
      <c r="AG969" s="109">
        <v>0.0</v>
      </c>
      <c r="AH969" s="109">
        <v>0.0</v>
      </c>
      <c r="AI969" s="141">
        <v>0.0</v>
      </c>
      <c r="AJ969" s="80">
        <f t="shared" si="3"/>
        <v>0</v>
      </c>
      <c r="AK969" s="140">
        <v>0.0</v>
      </c>
      <c r="AL969" s="109">
        <v>0.0</v>
      </c>
      <c r="AM969" s="141">
        <v>0.0</v>
      </c>
      <c r="AN969" s="80">
        <f t="shared" si="4"/>
        <v>0</v>
      </c>
      <c r="AO969" s="140">
        <v>0.0</v>
      </c>
      <c r="AP969" s="109">
        <v>0.0</v>
      </c>
      <c r="AQ969" s="109">
        <v>0.0</v>
      </c>
      <c r="AR969" s="80">
        <f t="shared" si="5"/>
        <v>0</v>
      </c>
      <c r="AS969" s="110">
        <v>0.0</v>
      </c>
      <c r="AT969" s="110">
        <v>0.0</v>
      </c>
      <c r="AU969" s="110">
        <v>0.0</v>
      </c>
      <c r="AV969" s="142">
        <v>0.0</v>
      </c>
      <c r="AW969" s="80">
        <f t="shared" si="6"/>
        <v>0</v>
      </c>
      <c r="AX969" s="113">
        <f t="shared" si="7"/>
        <v>17</v>
      </c>
      <c r="AY969" s="117">
        <f t="shared" si="8"/>
        <v>17</v>
      </c>
      <c r="AZ969" s="120">
        <f t="shared" si="9"/>
        <v>0</v>
      </c>
      <c r="BA969" s="115">
        <v>0.0</v>
      </c>
      <c r="BB969" s="89">
        <f t="shared" si="10"/>
        <v>17</v>
      </c>
      <c r="BC969" s="143" t="s">
        <v>1294</v>
      </c>
      <c r="BD969" s="132" t="s">
        <v>178</v>
      </c>
      <c r="BE969" s="132" t="s">
        <v>178</v>
      </c>
      <c r="BF969" s="417"/>
      <c r="BG969" s="83">
        <v>1179529.0</v>
      </c>
      <c r="BH969" s="112"/>
      <c r="BI969" s="112">
        <v>2.0</v>
      </c>
      <c r="BJ969" s="98" t="s">
        <v>155</v>
      </c>
      <c r="BK969" s="99">
        <f t="shared" si="11"/>
        <v>0</v>
      </c>
      <c r="BL969" s="99">
        <f t="shared" si="12"/>
        <v>17</v>
      </c>
      <c r="BM969" s="99" t="str">
        <f>IFERROR(__xludf.DUMMYFUNCTION("IFERROR(VLOOKUP(BG969,IMPORTRANGE(""https://docs.google.com/spreadsheets/d/1juPI-Fb8LD0YtltB2mlGEnp_R3UVu1t3wSFPzgCyHXE/edit?gid=0#gid=0"",""GERAL!A2:C""),3,0),""-"")"),"INDÍGENAS")</f>
        <v>INDÍGENAS</v>
      </c>
    </row>
    <row r="970" ht="15.75" customHeight="1">
      <c r="A970" s="111" t="s">
        <v>1224</v>
      </c>
      <c r="B970" s="83" t="s">
        <v>5024</v>
      </c>
      <c r="C970" s="83" t="s">
        <v>164</v>
      </c>
      <c r="D970" s="112">
        <v>1179131.0</v>
      </c>
      <c r="E970" s="83">
        <v>1179132.0</v>
      </c>
      <c r="F970" s="98">
        <v>2.949227E7</v>
      </c>
      <c r="G970" s="119" t="s">
        <v>5097</v>
      </c>
      <c r="H970" s="91" t="s">
        <v>5098</v>
      </c>
      <c r="I970" s="233" t="s">
        <v>5091</v>
      </c>
      <c r="J970" s="83" t="s">
        <v>5099</v>
      </c>
      <c r="K970" s="83" t="s">
        <v>151</v>
      </c>
      <c r="L970" s="83" t="s">
        <v>169</v>
      </c>
      <c r="M970" s="82" t="str">
        <f>IFERROR(__xludf.DUMMYFUNCTION("IFERROR(VLOOKUP(D970,
IMPORTRANGE(""https://docs.google.com/spreadsheets/d/1MjHtlUikwobi2MaWJgy7tfLeBmhj1u-dRFRs_8GwSoA/edit#gid=0"",""Gestores Escolares!D7:J""),3,0),""VERIFICAR CÓD SEC"")"),"JEOVAN DE JESUS SOUZA  ")</f>
        <v>JEOVAN DE JESUS SOUZA  </v>
      </c>
      <c r="N970" s="82" t="str">
        <f>IFERROR(__xludf.DUMMYFUNCTION("IFERROR(VLOOKUP(D970,
IMPORTRANGE(""https://docs.google.com/spreadsheets/d/1MjHtlUikwobi2MaWJgy7tfLeBmhj1u-dRFRs_8GwSoA/edit#gid=0"",""Gestores Escolares!D7:J""),4,0),""VERIFICAR CÓD SEC"")"),"(75) 9 9892-6343")</f>
        <v>(75) 9 9892-6343</v>
      </c>
      <c r="O970" s="82" t="str">
        <f>IFERROR(__xludf.DUMMYFUNCTION("IFERROR(VLOOKUP(D970,
IMPORTRANGE(""https://docs.google.com/spreadsheets/d/1MjHtlUikwobi2MaWJgy7tfLeBmhj1u-dRFRs_8GwSoA/edit#gid=0"",""Gestores Escolares!D7:J""),6,0),""VERIFICAR CÓD SEC"")"),"")</f>
        <v/>
      </c>
      <c r="P970" s="82" t="str">
        <f>IFERROR(__xludf.DUMMYFUNCTION("IFERROR(VLOOKUP(D970,
IMPORTRANGE(""https://docs.google.com/spreadsheets/d/1MjHtlUikwobi2MaWJgy7tfLeBmhj1u-dRFRs_8GwSoA/edit#gid=0"",""Gestores Escolares!D7:J""),7,0),""VERIFICAR CÓD SEC"")"),"")</f>
        <v/>
      </c>
      <c r="Q970" s="82" t="str">
        <f>IFERROR(__xludf.DUMMYFUNCTION("IFERROR(VLOOKUP(D970,
IMPORTRANGE(""https://docs.google.com/spreadsheets/d/1MjHtlUikwobi2MaWJgy7tfLeBmhj1u-dRFRs_8GwSoA/edit#gid=0"",""Gestores Escolares!D7:m""),9,0),""VERIFICAR CÓD SEC"")"),"")</f>
        <v/>
      </c>
      <c r="R970" s="82" t="str">
        <f>IFERROR(__xludf.DUMMYFUNCTION("IFERROR(VLOOKUP(D970,
IMPORTRANGE(""https://docs.google.com/spreadsheets/d/1MjHtlUikwobi2MaWJgy7tfLeBmhj1u-dRFRs_8GwSoA/edit#gid=0"",""Gestores Escolares!D7:m""),10,0),""VERIFICAR CÓD SEC"")"),"")</f>
        <v/>
      </c>
      <c r="S970" s="82"/>
      <c r="T970" s="138">
        <v>2.0</v>
      </c>
      <c r="U970" s="145">
        <v>2.0</v>
      </c>
      <c r="V970" s="106">
        <v>5.0</v>
      </c>
      <c r="W970" s="107">
        <v>1.0</v>
      </c>
      <c r="X970" s="107">
        <v>0.0</v>
      </c>
      <c r="Y970" s="107">
        <v>0.0</v>
      </c>
      <c r="Z970" s="80">
        <f t="shared" si="1"/>
        <v>6</v>
      </c>
      <c r="AA970" s="106">
        <v>4.0</v>
      </c>
      <c r="AB970" s="107">
        <v>2.0</v>
      </c>
      <c r="AC970" s="107">
        <v>0.0</v>
      </c>
      <c r="AD970" s="107">
        <v>0.0</v>
      </c>
      <c r="AE970" s="80">
        <f t="shared" si="2"/>
        <v>6</v>
      </c>
      <c r="AF970" s="140">
        <v>0.0</v>
      </c>
      <c r="AG970" s="109">
        <v>0.0</v>
      </c>
      <c r="AH970" s="109">
        <v>0.0</v>
      </c>
      <c r="AI970" s="141">
        <v>0.0</v>
      </c>
      <c r="AJ970" s="80">
        <f t="shared" si="3"/>
        <v>0</v>
      </c>
      <c r="AK970" s="140">
        <v>0.0</v>
      </c>
      <c r="AL970" s="109">
        <v>0.0</v>
      </c>
      <c r="AM970" s="141">
        <v>0.0</v>
      </c>
      <c r="AN970" s="80">
        <f t="shared" si="4"/>
        <v>0</v>
      </c>
      <c r="AO970" s="140">
        <v>0.0</v>
      </c>
      <c r="AP970" s="109">
        <v>0.0</v>
      </c>
      <c r="AQ970" s="109">
        <v>0.0</v>
      </c>
      <c r="AR970" s="80">
        <f t="shared" si="5"/>
        <v>0</v>
      </c>
      <c r="AS970" s="110">
        <v>0.0</v>
      </c>
      <c r="AT970" s="110">
        <v>0.0</v>
      </c>
      <c r="AU970" s="110">
        <v>0.0</v>
      </c>
      <c r="AV970" s="142">
        <v>0.0</v>
      </c>
      <c r="AW970" s="80">
        <f t="shared" si="6"/>
        <v>0</v>
      </c>
      <c r="AX970" s="113">
        <f t="shared" si="7"/>
        <v>12</v>
      </c>
      <c r="AY970" s="117">
        <f t="shared" si="8"/>
        <v>12</v>
      </c>
      <c r="AZ970" s="120">
        <f t="shared" si="9"/>
        <v>0</v>
      </c>
      <c r="BA970" s="115">
        <v>0.0</v>
      </c>
      <c r="BB970" s="89">
        <f t="shared" si="10"/>
        <v>12</v>
      </c>
      <c r="BC970" s="143" t="s">
        <v>1294</v>
      </c>
      <c r="BD970" s="132" t="s">
        <v>178</v>
      </c>
      <c r="BE970" s="132" t="s">
        <v>178</v>
      </c>
      <c r="BF970" s="123"/>
      <c r="BG970" s="83">
        <v>1179132.0</v>
      </c>
      <c r="BH970" s="112"/>
      <c r="BI970" s="112">
        <v>2.0</v>
      </c>
      <c r="BJ970" s="98" t="s">
        <v>155</v>
      </c>
      <c r="BK970" s="99">
        <f t="shared" si="11"/>
        <v>0</v>
      </c>
      <c r="BL970" s="99">
        <f t="shared" si="12"/>
        <v>12</v>
      </c>
      <c r="BM970" s="99" t="str">
        <f>IFERROR(__xludf.DUMMYFUNCTION("IFERROR(VLOOKUP(BG970,IMPORTRANGE(""https://docs.google.com/spreadsheets/d/1juPI-Fb8LD0YtltB2mlGEnp_R3UVu1t3wSFPzgCyHXE/edit?gid=0#gid=0"",""GERAL!A2:C""),3,0),""-"")"),"INDÍGENAS")</f>
        <v>INDÍGENAS</v>
      </c>
    </row>
    <row r="971" ht="15.75" customHeight="1">
      <c r="A971" s="111" t="s">
        <v>1224</v>
      </c>
      <c r="B971" s="83" t="s">
        <v>5101</v>
      </c>
      <c r="C971" s="83" t="s">
        <v>68</v>
      </c>
      <c r="D971" s="112">
        <v>1114729.0</v>
      </c>
      <c r="E971" s="83"/>
      <c r="F971" s="83">
        <v>2.9126991E7</v>
      </c>
      <c r="G971" s="114" t="s">
        <v>5106</v>
      </c>
      <c r="H971" s="91" t="s">
        <v>5107</v>
      </c>
      <c r="I971" s="136" t="s">
        <v>149</v>
      </c>
      <c r="J971" s="83" t="s">
        <v>150</v>
      </c>
      <c r="K971" s="83" t="s">
        <v>151</v>
      </c>
      <c r="L971" s="83" t="s">
        <v>76</v>
      </c>
      <c r="M971" s="82" t="str">
        <f>IFERROR(__xludf.DUMMYFUNCTION("IFERROR(VLOOKUP(D971,
IMPORTRANGE(""https://docs.google.com/spreadsheets/d/1MjHtlUikwobi2MaWJgy7tfLeBmhj1u-dRFRs_8GwSoA/edit#gid=0"",""Gestores Escolares!D7:J""),3,0),""VERIFICAR CÓD SEC"")"),"MARIA SALETE DA SILVA")</f>
        <v>MARIA SALETE DA SILVA</v>
      </c>
      <c r="N971" s="82" t="str">
        <f>IFERROR(__xludf.DUMMYFUNCTION("IFERROR(VLOOKUP(D971,
IMPORTRANGE(""https://docs.google.com/spreadsheets/d/1MjHtlUikwobi2MaWJgy7tfLeBmhj1u-dRFRs_8GwSoA/edit#gid=0"",""Gestores Escolares!D7:J""),4,0),""VERIFICAR CÓD SEC"")"),"(75) 9 9982 - 2102")</f>
        <v>(75) 9 9982 - 2102</v>
      </c>
      <c r="O971" s="82" t="str">
        <f>IFERROR(__xludf.DUMMYFUNCTION("IFERROR(VLOOKUP(D971,
IMPORTRANGE(""https://docs.google.com/spreadsheets/d/1MjHtlUikwobi2MaWJgy7tfLeBmhj1u-dRFRs_8GwSoA/edit#gid=0"",""Gestores Escolares!D7:J""),6,0),""VERIFICAR CÓD SEC"")"),"CLAUDIA CARVALHO SILVA")</f>
        <v>CLAUDIA CARVALHO SILVA</v>
      </c>
      <c r="P971" s="82" t="str">
        <f>IFERROR(__xludf.DUMMYFUNCTION("IFERROR(VLOOKUP(D971,
IMPORTRANGE(""https://docs.google.com/spreadsheets/d/1MjHtlUikwobi2MaWJgy7tfLeBmhj1u-dRFRs_8GwSoA/edit#gid=0"",""Gestores Escolares!D7:J""),7,0),""VERIFICAR CÓD SEC"")"),"(75) 9 9957-2065")</f>
        <v>(75) 9 9957-2065</v>
      </c>
      <c r="Q971" s="82" t="str">
        <f>IFERROR(__xludf.DUMMYFUNCTION("IFERROR(VLOOKUP(D971,
IMPORTRANGE(""https://docs.google.com/spreadsheets/d/1MjHtlUikwobi2MaWJgy7tfLeBmhj1u-dRFRs_8GwSoA/edit#gid=0"",""Gestores Escolares!D7:m""),9,0),""VERIFICAR CÓD SEC"")"),"")</f>
        <v/>
      </c>
      <c r="R971" s="82" t="str">
        <f>IFERROR(__xludf.DUMMYFUNCTION("IFERROR(VLOOKUP(D971,
IMPORTRANGE(""https://docs.google.com/spreadsheets/d/1MjHtlUikwobi2MaWJgy7tfLeBmhj1u-dRFRs_8GwSoA/edit#gid=0"",""Gestores Escolares!D7:m""),10,0),""VERIFICAR CÓD SEC"")"),"")</f>
        <v/>
      </c>
      <c r="S971" s="82"/>
      <c r="T971" s="138">
        <v>10.0</v>
      </c>
      <c r="U971" s="145" t="s">
        <v>13281</v>
      </c>
      <c r="V971" s="106">
        <v>0.0</v>
      </c>
      <c r="W971" s="107">
        <v>0.0</v>
      </c>
      <c r="X971" s="107">
        <v>0.0</v>
      </c>
      <c r="Y971" s="107">
        <v>0.0</v>
      </c>
      <c r="Z971" s="80">
        <f t="shared" si="1"/>
        <v>0</v>
      </c>
      <c r="AA971" s="106">
        <v>0.0</v>
      </c>
      <c r="AB971" s="107">
        <v>0.0</v>
      </c>
      <c r="AC971" s="107">
        <v>0.0</v>
      </c>
      <c r="AD971" s="107">
        <v>0.0</v>
      </c>
      <c r="AE971" s="80">
        <f t="shared" si="2"/>
        <v>0</v>
      </c>
      <c r="AF971" s="140">
        <v>159.0</v>
      </c>
      <c r="AG971" s="109">
        <v>55.0</v>
      </c>
      <c r="AH971" s="109">
        <v>0.0</v>
      </c>
      <c r="AI971" s="141">
        <v>0.0</v>
      </c>
      <c r="AJ971" s="80">
        <f t="shared" si="3"/>
        <v>214</v>
      </c>
      <c r="AK971" s="140">
        <v>0.0</v>
      </c>
      <c r="AL971" s="109">
        <v>0.0</v>
      </c>
      <c r="AM971" s="141">
        <v>0.0</v>
      </c>
      <c r="AN971" s="80">
        <f t="shared" si="4"/>
        <v>0</v>
      </c>
      <c r="AO971" s="140">
        <v>0.0</v>
      </c>
      <c r="AP971" s="109">
        <v>0.0</v>
      </c>
      <c r="AQ971" s="109">
        <v>34.0</v>
      </c>
      <c r="AR971" s="80">
        <f t="shared" si="5"/>
        <v>34</v>
      </c>
      <c r="AS971" s="110">
        <v>0.0</v>
      </c>
      <c r="AT971" s="110">
        <v>0.0</v>
      </c>
      <c r="AU971" s="110">
        <v>0.0</v>
      </c>
      <c r="AV971" s="142">
        <v>0.0</v>
      </c>
      <c r="AW971" s="80">
        <f t="shared" si="6"/>
        <v>0</v>
      </c>
      <c r="AX971" s="113">
        <f t="shared" si="7"/>
        <v>248</v>
      </c>
      <c r="AY971" s="117">
        <f t="shared" si="8"/>
        <v>214</v>
      </c>
      <c r="AZ971" s="120">
        <f t="shared" si="9"/>
        <v>34</v>
      </c>
      <c r="BA971" s="115">
        <v>0.0</v>
      </c>
      <c r="BB971" s="89">
        <f t="shared" si="10"/>
        <v>248</v>
      </c>
      <c r="BC971" s="132" t="s">
        <v>178</v>
      </c>
      <c r="BD971" s="132" t="s">
        <v>178</v>
      </c>
      <c r="BE971" s="132" t="s">
        <v>178</v>
      </c>
      <c r="BF971" s="123"/>
      <c r="BG971" s="83">
        <v>1114729.0</v>
      </c>
      <c r="BH971" s="112"/>
      <c r="BI971" s="112">
        <v>7.0</v>
      </c>
      <c r="BJ971" s="98" t="s">
        <v>155</v>
      </c>
      <c r="BK971" s="99">
        <f t="shared" si="11"/>
        <v>0</v>
      </c>
      <c r="BL971" s="99">
        <f t="shared" si="12"/>
        <v>214</v>
      </c>
      <c r="BM971" s="99" t="str">
        <f>IFERROR(__xludf.DUMMYFUNCTION("IFERROR(VLOOKUP(BG971,IMPORTRANGE(""https://docs.google.com/spreadsheets/d/1juPI-Fb8LD0YtltB2mlGEnp_R3UVu1t3wSFPzgCyHXE/edit?gid=0#gid=0"",""GERAL!A2:C""),3,0),""-"")"),"-")</f>
        <v>-</v>
      </c>
    </row>
    <row r="972" ht="15.75" customHeight="1">
      <c r="A972" s="111" t="s">
        <v>1224</v>
      </c>
      <c r="B972" s="83" t="s">
        <v>5101</v>
      </c>
      <c r="C972" s="83" t="s">
        <v>68</v>
      </c>
      <c r="D972" s="112">
        <v>1178254.0</v>
      </c>
      <c r="E972" s="83"/>
      <c r="F972" s="83">
        <v>2.9468E7</v>
      </c>
      <c r="G972" s="114" t="s">
        <v>5112</v>
      </c>
      <c r="H972" s="91" t="s">
        <v>5114</v>
      </c>
      <c r="I972" s="136" t="s">
        <v>149</v>
      </c>
      <c r="J972" s="83" t="s">
        <v>150</v>
      </c>
      <c r="K972" s="83" t="s">
        <v>151</v>
      </c>
      <c r="L972" s="83" t="s">
        <v>230</v>
      </c>
      <c r="M972" s="82" t="str">
        <f>IFERROR(__xludf.DUMMYFUNCTION("IFERROR(VLOOKUP(D972,
IMPORTRANGE(""https://docs.google.com/spreadsheets/d/1MjHtlUikwobi2MaWJgy7tfLeBmhj1u-dRFRs_8GwSoA/edit#gid=0"",""Gestores Escolares!D7:J""),3,0),""VERIFICAR CÓD SEC"")"),"SANDRA CONCEICAO LIRA DE ALMEIDA")</f>
        <v>SANDRA CONCEICAO LIRA DE ALMEIDA</v>
      </c>
      <c r="N972" s="82" t="str">
        <f>IFERROR(__xludf.DUMMYFUNCTION("IFERROR(VLOOKUP(D972,
IMPORTRANGE(""https://docs.google.com/spreadsheets/d/1MjHtlUikwobi2MaWJgy7tfLeBmhj1u-dRFRs_8GwSoA/edit#gid=0"",""Gestores Escolares!D7:J""),4,0),""VERIFICAR CÓD SEC"")"),"(75) 9 9923-1878")</f>
        <v>(75) 9 9923-1878</v>
      </c>
      <c r="O972" s="82" t="str">
        <f>IFERROR(__xludf.DUMMYFUNCTION("IFERROR(VLOOKUP(D972,
IMPORTRANGE(""https://docs.google.com/spreadsheets/d/1MjHtlUikwobi2MaWJgy7tfLeBmhj1u-dRFRs_8GwSoA/edit#gid=0"",""Gestores Escolares!D7:J""),6,0),""VERIFICAR CÓD SEC"")"),"JOÃO PAULO OLIVEIRA TEIXEIRA")</f>
        <v>JOÃO PAULO OLIVEIRA TEIXEIRA</v>
      </c>
      <c r="P972" s="82" t="str">
        <f>IFERROR(__xludf.DUMMYFUNCTION("IFERROR(VLOOKUP(D972,
IMPORTRANGE(""https://docs.google.com/spreadsheets/d/1MjHtlUikwobi2MaWJgy7tfLeBmhj1u-dRFRs_8GwSoA/edit#gid=0"",""Gestores Escolares!D7:J""),7,0),""VERIFICAR CÓD SEC"")"),"(75) 9 9999-0711")</f>
        <v>(75) 9 9999-0711</v>
      </c>
      <c r="Q972" s="82" t="str">
        <f>IFERROR(__xludf.DUMMYFUNCTION("IFERROR(VLOOKUP(D972,
IMPORTRANGE(""https://docs.google.com/spreadsheets/d/1MjHtlUikwobi2MaWJgy7tfLeBmhj1u-dRFRs_8GwSoA/edit#gid=0"",""Gestores Escolares!D7:m""),9,0),""VERIFICAR CÓD SEC"")"),"GENIVALDO FERREIRA SA")</f>
        <v>GENIVALDO FERREIRA SA</v>
      </c>
      <c r="R972" s="82" t="str">
        <f>IFERROR(__xludf.DUMMYFUNCTION("IFERROR(VLOOKUP(D972,
IMPORTRANGE(""https://docs.google.com/spreadsheets/d/1MjHtlUikwobi2MaWJgy7tfLeBmhj1u-dRFRs_8GwSoA/edit#gid=0"",""Gestores Escolares!D7:m""),10,0),""VERIFICAR CÓD SEC"")"),"(75) 9 9928-4696")</f>
        <v>(75) 9 9928-4696</v>
      </c>
      <c r="S972" s="82"/>
      <c r="T972" s="138">
        <v>15.0</v>
      </c>
      <c r="U972" s="145" t="s">
        <v>13300</v>
      </c>
      <c r="V972" s="106">
        <v>0.0</v>
      </c>
      <c r="W972" s="107">
        <v>0.0</v>
      </c>
      <c r="X972" s="107">
        <v>0.0</v>
      </c>
      <c r="Y972" s="107">
        <v>0.0</v>
      </c>
      <c r="Z972" s="80">
        <f t="shared" si="1"/>
        <v>0</v>
      </c>
      <c r="AA972" s="106">
        <v>0.0</v>
      </c>
      <c r="AB972" s="107">
        <v>0.0</v>
      </c>
      <c r="AC972" s="107">
        <v>0.0</v>
      </c>
      <c r="AD972" s="107">
        <v>0.0</v>
      </c>
      <c r="AE972" s="80">
        <f t="shared" si="2"/>
        <v>0</v>
      </c>
      <c r="AF972" s="140">
        <v>0.0</v>
      </c>
      <c r="AG972" s="109">
        <v>0.0</v>
      </c>
      <c r="AH972" s="109">
        <v>0.0</v>
      </c>
      <c r="AI972" s="141">
        <v>0.0</v>
      </c>
      <c r="AJ972" s="80">
        <f t="shared" si="3"/>
        <v>0</v>
      </c>
      <c r="AK972" s="140">
        <v>0.0</v>
      </c>
      <c r="AL972" s="109">
        <v>0.0</v>
      </c>
      <c r="AM972" s="141">
        <v>0.0</v>
      </c>
      <c r="AN972" s="80">
        <f t="shared" si="4"/>
        <v>0</v>
      </c>
      <c r="AO972" s="140">
        <v>0.0</v>
      </c>
      <c r="AP972" s="109">
        <v>0.0</v>
      </c>
      <c r="AQ972" s="109">
        <v>0.0</v>
      </c>
      <c r="AR972" s="80">
        <f t="shared" si="5"/>
        <v>0</v>
      </c>
      <c r="AS972" s="110">
        <v>445.0</v>
      </c>
      <c r="AT972" s="110">
        <v>340.0</v>
      </c>
      <c r="AU972" s="110">
        <v>123.0</v>
      </c>
      <c r="AV972" s="142">
        <v>0.0</v>
      </c>
      <c r="AW972" s="80">
        <f t="shared" si="6"/>
        <v>908</v>
      </c>
      <c r="AX972" s="113">
        <f t="shared" si="7"/>
        <v>908</v>
      </c>
      <c r="AY972" s="117">
        <f t="shared" si="8"/>
        <v>785</v>
      </c>
      <c r="AZ972" s="120">
        <f t="shared" si="9"/>
        <v>123</v>
      </c>
      <c r="BA972" s="115">
        <v>0.0</v>
      </c>
      <c r="BB972" s="89">
        <f t="shared" si="10"/>
        <v>908</v>
      </c>
      <c r="BC972" s="132" t="s">
        <v>178</v>
      </c>
      <c r="BD972" s="132" t="s">
        <v>779</v>
      </c>
      <c r="BE972" s="132" t="s">
        <v>178</v>
      </c>
      <c r="BF972" s="123"/>
      <c r="BG972" s="83">
        <v>1178254.0</v>
      </c>
      <c r="BH972" s="112"/>
      <c r="BI972" s="112">
        <v>12.0</v>
      </c>
      <c r="BJ972" s="98" t="s">
        <v>155</v>
      </c>
      <c r="BK972" s="99">
        <f t="shared" si="11"/>
        <v>0</v>
      </c>
      <c r="BL972" s="99">
        <f t="shared" si="12"/>
        <v>785</v>
      </c>
      <c r="BM972" s="99" t="str">
        <f>IFERROR(__xludf.DUMMYFUNCTION("IFERROR(VLOOKUP(BG972,IMPORTRANGE(""https://docs.google.com/spreadsheets/d/1juPI-Fb8LD0YtltB2mlGEnp_R3UVu1t3wSFPzgCyHXE/edit?gid=0#gid=0"",""GERAL!A2:C""),3,0),""-"")"),"-")</f>
        <v>-</v>
      </c>
    </row>
    <row r="973" ht="15.75" customHeight="1">
      <c r="A973" s="111" t="s">
        <v>1224</v>
      </c>
      <c r="B973" s="83" t="s">
        <v>5101</v>
      </c>
      <c r="C973" s="83" t="s">
        <v>164</v>
      </c>
      <c r="D973" s="112">
        <v>1114729.0</v>
      </c>
      <c r="E973" s="83">
        <v>1178590.0</v>
      </c>
      <c r="F973" s="98">
        <v>2.9493064E7</v>
      </c>
      <c r="G973" s="114" t="s">
        <v>5121</v>
      </c>
      <c r="H973" s="91" t="s">
        <v>5122</v>
      </c>
      <c r="I973" s="136" t="s">
        <v>149</v>
      </c>
      <c r="J973" s="83" t="s">
        <v>464</v>
      </c>
      <c r="K973" s="83" t="s">
        <v>168</v>
      </c>
      <c r="L973" s="83" t="s">
        <v>169</v>
      </c>
      <c r="M973" s="82" t="str">
        <f>IFERROR(__xludf.DUMMYFUNCTION("IFERROR(VLOOKUP(D973,
IMPORTRANGE(""https://docs.google.com/spreadsheets/d/1MjHtlUikwobi2MaWJgy7tfLeBmhj1u-dRFRs_8GwSoA/edit#gid=0"",""Gestores Escolares!D7:J""),3,0),""VERIFICAR CÓD SEC"")"),"MARIA SALETE DA SILVA")</f>
        <v>MARIA SALETE DA SILVA</v>
      </c>
      <c r="N973" s="82" t="str">
        <f>IFERROR(__xludf.DUMMYFUNCTION("IFERROR(VLOOKUP(D973,
IMPORTRANGE(""https://docs.google.com/spreadsheets/d/1MjHtlUikwobi2MaWJgy7tfLeBmhj1u-dRFRs_8GwSoA/edit#gid=0"",""Gestores Escolares!D7:J""),4,0),""VERIFICAR CÓD SEC"")"),"(75) 9 9982 - 2102")</f>
        <v>(75) 9 9982 - 2102</v>
      </c>
      <c r="O973" s="82" t="str">
        <f>IFERROR(__xludf.DUMMYFUNCTION("IFERROR(VLOOKUP(D973,
IMPORTRANGE(""https://docs.google.com/spreadsheets/d/1MjHtlUikwobi2MaWJgy7tfLeBmhj1u-dRFRs_8GwSoA/edit#gid=0"",""Gestores Escolares!D7:J""),6,0),""VERIFICAR CÓD SEC"")"),"CLAUDIA CARVALHO SILVA")</f>
        <v>CLAUDIA CARVALHO SILVA</v>
      </c>
      <c r="P973" s="82" t="str">
        <f>IFERROR(__xludf.DUMMYFUNCTION("IFERROR(VLOOKUP(D973,
IMPORTRANGE(""https://docs.google.com/spreadsheets/d/1MjHtlUikwobi2MaWJgy7tfLeBmhj1u-dRFRs_8GwSoA/edit#gid=0"",""Gestores Escolares!D7:J""),7,0),""VERIFICAR CÓD SEC"")"),"(75) 9 9957-2065")</f>
        <v>(75) 9 9957-2065</v>
      </c>
      <c r="Q973" s="82" t="str">
        <f>IFERROR(__xludf.DUMMYFUNCTION("IFERROR(VLOOKUP(D973,
IMPORTRANGE(""https://docs.google.com/spreadsheets/d/1MjHtlUikwobi2MaWJgy7tfLeBmhj1u-dRFRs_8GwSoA/edit#gid=0"",""Gestores Escolares!D7:m""),9,0),""VERIFICAR CÓD SEC"")"),"")</f>
        <v/>
      </c>
      <c r="R973" s="82" t="str">
        <f>IFERROR(__xludf.DUMMYFUNCTION("IFERROR(VLOOKUP(D973,
IMPORTRANGE(""https://docs.google.com/spreadsheets/d/1MjHtlUikwobi2MaWJgy7tfLeBmhj1u-dRFRs_8GwSoA/edit#gid=0"",""Gestores Escolares!D7:m""),10,0),""VERIFICAR CÓD SEC"")"),"")</f>
        <v/>
      </c>
      <c r="S973" s="82"/>
      <c r="T973" s="138">
        <v>2.0</v>
      </c>
      <c r="U973" s="139">
        <v>2.0</v>
      </c>
      <c r="V973" s="106">
        <v>0.0</v>
      </c>
      <c r="W973" s="107">
        <v>0.0</v>
      </c>
      <c r="X973" s="107">
        <v>0.0</v>
      </c>
      <c r="Y973" s="107">
        <v>0.0</v>
      </c>
      <c r="Z973" s="80">
        <f t="shared" si="1"/>
        <v>0</v>
      </c>
      <c r="AA973" s="106">
        <v>0.0</v>
      </c>
      <c r="AB973" s="107">
        <v>0.0</v>
      </c>
      <c r="AC973" s="107">
        <v>0.0</v>
      </c>
      <c r="AD973" s="107">
        <v>0.0</v>
      </c>
      <c r="AE973" s="80">
        <f t="shared" si="2"/>
        <v>0</v>
      </c>
      <c r="AF973" s="140">
        <v>0.0</v>
      </c>
      <c r="AG973" s="109">
        <v>0.0</v>
      </c>
      <c r="AH973" s="109">
        <v>32.0</v>
      </c>
      <c r="AI973" s="141">
        <v>0.0</v>
      </c>
      <c r="AJ973" s="80">
        <f t="shared" si="3"/>
        <v>32</v>
      </c>
      <c r="AK973" s="140">
        <v>0.0</v>
      </c>
      <c r="AL973" s="109">
        <v>0.0</v>
      </c>
      <c r="AM973" s="141">
        <v>0.0</v>
      </c>
      <c r="AN973" s="80">
        <f t="shared" si="4"/>
        <v>0</v>
      </c>
      <c r="AO973" s="140">
        <v>0.0</v>
      </c>
      <c r="AP973" s="109">
        <v>0.0</v>
      </c>
      <c r="AQ973" s="109">
        <v>0.0</v>
      </c>
      <c r="AR973" s="80">
        <f t="shared" si="5"/>
        <v>0</v>
      </c>
      <c r="AS973" s="110">
        <v>0.0</v>
      </c>
      <c r="AT973" s="110">
        <v>0.0</v>
      </c>
      <c r="AU973" s="110">
        <v>0.0</v>
      </c>
      <c r="AV973" s="142">
        <v>0.0</v>
      </c>
      <c r="AW973" s="80">
        <f t="shared" si="6"/>
        <v>0</v>
      </c>
      <c r="AX973" s="113">
        <f t="shared" si="7"/>
        <v>32</v>
      </c>
      <c r="AY973" s="117">
        <f t="shared" si="8"/>
        <v>0</v>
      </c>
      <c r="AZ973" s="120">
        <f t="shared" si="9"/>
        <v>32</v>
      </c>
      <c r="BA973" s="115">
        <v>0.0</v>
      </c>
      <c r="BB973" s="89">
        <f t="shared" si="10"/>
        <v>32</v>
      </c>
      <c r="BC973" s="132" t="s">
        <v>373</v>
      </c>
      <c r="BD973" s="132" t="s">
        <v>178</v>
      </c>
      <c r="BE973" s="132" t="s">
        <v>178</v>
      </c>
      <c r="BF973" s="123"/>
      <c r="BG973" s="83">
        <v>1178590.0</v>
      </c>
      <c r="BH973" s="112"/>
      <c r="BI973" s="112">
        <v>2.0</v>
      </c>
      <c r="BJ973" s="98" t="s">
        <v>155</v>
      </c>
      <c r="BK973" s="99">
        <f t="shared" si="11"/>
        <v>0</v>
      </c>
      <c r="BL973" s="99">
        <f t="shared" si="12"/>
        <v>0</v>
      </c>
      <c r="BM973" s="99" t="str">
        <f>IFERROR(__xludf.DUMMYFUNCTION("IFERROR(VLOOKUP(BG973,IMPORTRANGE(""https://docs.google.com/spreadsheets/d/1juPI-Fb8LD0YtltB2mlGEnp_R3UVu1t3wSFPzgCyHXE/edit?gid=0#gid=0"",""GERAL!A2:C""),3,0),""-"")"),"CAMPO")</f>
        <v>CAMPO</v>
      </c>
    </row>
    <row r="974" ht="15.75" customHeight="1">
      <c r="A974" s="111" t="s">
        <v>1224</v>
      </c>
      <c r="B974" s="83" t="s">
        <v>5101</v>
      </c>
      <c r="C974" s="83" t="s">
        <v>164</v>
      </c>
      <c r="D974" s="112">
        <v>1114729.0</v>
      </c>
      <c r="E974" s="83">
        <v>1178592.0</v>
      </c>
      <c r="F974" s="98">
        <v>2.9493072E7</v>
      </c>
      <c r="G974" s="119" t="s">
        <v>5128</v>
      </c>
      <c r="H974" s="91" t="s">
        <v>5129</v>
      </c>
      <c r="I974" s="83" t="s">
        <v>149</v>
      </c>
      <c r="J974" s="83" t="s">
        <v>252</v>
      </c>
      <c r="K974" s="83" t="s">
        <v>168</v>
      </c>
      <c r="L974" s="83" t="s">
        <v>169</v>
      </c>
      <c r="M974" s="82" t="str">
        <f>IFERROR(__xludf.DUMMYFUNCTION("IFERROR(VLOOKUP(D974,
IMPORTRANGE(""https://docs.google.com/spreadsheets/d/1MjHtlUikwobi2MaWJgy7tfLeBmhj1u-dRFRs_8GwSoA/edit#gid=0"",""Gestores Escolares!D7:J""),3,0),""VERIFICAR CÓD SEC"")"),"MARIA SALETE DA SILVA")</f>
        <v>MARIA SALETE DA SILVA</v>
      </c>
      <c r="N974" s="82" t="str">
        <f>IFERROR(__xludf.DUMMYFUNCTION("IFERROR(VLOOKUP(D974,
IMPORTRANGE(""https://docs.google.com/spreadsheets/d/1MjHtlUikwobi2MaWJgy7tfLeBmhj1u-dRFRs_8GwSoA/edit#gid=0"",""Gestores Escolares!D7:J""),4,0),""VERIFICAR CÓD SEC"")"),"(75) 9 9982 - 2102")</f>
        <v>(75) 9 9982 - 2102</v>
      </c>
      <c r="O974" s="82" t="str">
        <f>IFERROR(__xludf.DUMMYFUNCTION("IFERROR(VLOOKUP(D974,
IMPORTRANGE(""https://docs.google.com/spreadsheets/d/1MjHtlUikwobi2MaWJgy7tfLeBmhj1u-dRFRs_8GwSoA/edit#gid=0"",""Gestores Escolares!D7:J""),6,0),""VERIFICAR CÓD SEC"")"),"CLAUDIA CARVALHO SILVA")</f>
        <v>CLAUDIA CARVALHO SILVA</v>
      </c>
      <c r="P974" s="82" t="str">
        <f>IFERROR(__xludf.DUMMYFUNCTION("IFERROR(VLOOKUP(D974,
IMPORTRANGE(""https://docs.google.com/spreadsheets/d/1MjHtlUikwobi2MaWJgy7tfLeBmhj1u-dRFRs_8GwSoA/edit#gid=0"",""Gestores Escolares!D7:J""),7,0),""VERIFICAR CÓD SEC"")"),"(75) 9 9957-2065")</f>
        <v>(75) 9 9957-2065</v>
      </c>
      <c r="Q974" s="82" t="str">
        <f>IFERROR(__xludf.DUMMYFUNCTION("IFERROR(VLOOKUP(D974,
IMPORTRANGE(""https://docs.google.com/spreadsheets/d/1MjHtlUikwobi2MaWJgy7tfLeBmhj1u-dRFRs_8GwSoA/edit#gid=0"",""Gestores Escolares!D7:m""),9,0),""VERIFICAR CÓD SEC"")"),"")</f>
        <v/>
      </c>
      <c r="R974" s="82" t="str">
        <f>IFERROR(__xludf.DUMMYFUNCTION("IFERROR(VLOOKUP(D974,
IMPORTRANGE(""https://docs.google.com/spreadsheets/d/1MjHtlUikwobi2MaWJgy7tfLeBmhj1u-dRFRs_8GwSoA/edit#gid=0"",""Gestores Escolares!D7:m""),10,0),""VERIFICAR CÓD SEC"")"),"")</f>
        <v/>
      </c>
      <c r="S974" s="82"/>
      <c r="T974" s="138">
        <v>3.0</v>
      </c>
      <c r="U974" s="139">
        <v>3.0</v>
      </c>
      <c r="V974" s="106">
        <v>0.0</v>
      </c>
      <c r="W974" s="107">
        <v>0.0</v>
      </c>
      <c r="X974" s="107">
        <v>0.0</v>
      </c>
      <c r="Y974" s="107">
        <v>0.0</v>
      </c>
      <c r="Z974" s="80">
        <f t="shared" si="1"/>
        <v>0</v>
      </c>
      <c r="AA974" s="106">
        <v>0.0</v>
      </c>
      <c r="AB974" s="107">
        <v>0.0</v>
      </c>
      <c r="AC974" s="107">
        <v>0.0</v>
      </c>
      <c r="AD974" s="107">
        <v>0.0</v>
      </c>
      <c r="AE974" s="80">
        <f t="shared" si="2"/>
        <v>0</v>
      </c>
      <c r="AF974" s="140">
        <v>0.0</v>
      </c>
      <c r="AG974" s="109">
        <v>0.0</v>
      </c>
      <c r="AH974" s="109">
        <v>78.0</v>
      </c>
      <c r="AI974" s="141">
        <v>0.0</v>
      </c>
      <c r="AJ974" s="80">
        <f t="shared" si="3"/>
        <v>78</v>
      </c>
      <c r="AK974" s="140">
        <v>0.0</v>
      </c>
      <c r="AL974" s="109">
        <v>0.0</v>
      </c>
      <c r="AM974" s="141">
        <v>0.0</v>
      </c>
      <c r="AN974" s="80">
        <f t="shared" si="4"/>
        <v>0</v>
      </c>
      <c r="AO974" s="140">
        <v>0.0</v>
      </c>
      <c r="AP974" s="109">
        <v>0.0</v>
      </c>
      <c r="AQ974" s="109">
        <v>0.0</v>
      </c>
      <c r="AR974" s="80">
        <f t="shared" si="5"/>
        <v>0</v>
      </c>
      <c r="AS974" s="110">
        <v>0.0</v>
      </c>
      <c r="AT974" s="110">
        <v>0.0</v>
      </c>
      <c r="AU974" s="110">
        <v>0.0</v>
      </c>
      <c r="AV974" s="142">
        <v>0.0</v>
      </c>
      <c r="AW974" s="80">
        <f t="shared" si="6"/>
        <v>0</v>
      </c>
      <c r="AX974" s="113">
        <f t="shared" si="7"/>
        <v>78</v>
      </c>
      <c r="AY974" s="117">
        <f t="shared" si="8"/>
        <v>0</v>
      </c>
      <c r="AZ974" s="120">
        <f t="shared" si="9"/>
        <v>78</v>
      </c>
      <c r="BA974" s="115">
        <v>0.0</v>
      </c>
      <c r="BB974" s="89">
        <f t="shared" si="10"/>
        <v>78</v>
      </c>
      <c r="BC974" s="132" t="s">
        <v>373</v>
      </c>
      <c r="BD974" s="132" t="s">
        <v>178</v>
      </c>
      <c r="BE974" s="132" t="s">
        <v>178</v>
      </c>
      <c r="BF974" s="123"/>
      <c r="BG974" s="83">
        <v>1178592.0</v>
      </c>
      <c r="BH974" s="112"/>
      <c r="BI974" s="112">
        <v>3.0</v>
      </c>
      <c r="BJ974" s="98" t="s">
        <v>155</v>
      </c>
      <c r="BK974" s="99">
        <f t="shared" si="11"/>
        <v>0</v>
      </c>
      <c r="BL974" s="99">
        <f t="shared" si="12"/>
        <v>0</v>
      </c>
      <c r="BM974" s="99" t="str">
        <f>IFERROR(__xludf.DUMMYFUNCTION("IFERROR(VLOOKUP(BG974,IMPORTRANGE(""https://docs.google.com/spreadsheets/d/1juPI-Fb8LD0YtltB2mlGEnp_R3UVu1t3wSFPzgCyHXE/edit?gid=0#gid=0"",""GERAL!A2:C""),3,0),""-"")"),"CAMPO")</f>
        <v>CAMPO</v>
      </c>
    </row>
    <row r="975" ht="15.75" customHeight="1">
      <c r="A975" s="111" t="s">
        <v>1224</v>
      </c>
      <c r="B975" s="83" t="s">
        <v>2005</v>
      </c>
      <c r="C975" s="83" t="s">
        <v>68</v>
      </c>
      <c r="D975" s="98">
        <v>1178322.0</v>
      </c>
      <c r="E975" s="83"/>
      <c r="F975" s="98">
        <v>2.9850843E7</v>
      </c>
      <c r="G975" s="153" t="s">
        <v>5136</v>
      </c>
      <c r="H975" s="108" t="s">
        <v>5137</v>
      </c>
      <c r="I975" s="115" t="s">
        <v>171</v>
      </c>
      <c r="J975" s="83" t="s">
        <v>150</v>
      </c>
      <c r="K975" s="83" t="s">
        <v>151</v>
      </c>
      <c r="L975" s="83" t="s">
        <v>230</v>
      </c>
      <c r="M975" s="82" t="str">
        <f>IFERROR(__xludf.DUMMYFUNCTION("IFERROR(VLOOKUP(D975,
IMPORTRANGE(""https://docs.google.com/spreadsheets/d/1MjHtlUikwobi2MaWJgy7tfLeBmhj1u-dRFRs_8GwSoA/edit#gid=0"",""Gestores Escolares!D7:J""),3,0),""VERIFICAR CÓD SEC"")"),"DILANNY QUINSY SANTOS BORGES")</f>
        <v>DILANNY QUINSY SANTOS BORGES</v>
      </c>
      <c r="N975" s="82" t="str">
        <f>IFERROR(__xludf.DUMMYFUNCTION("IFERROR(VLOOKUP(D975,
IMPORTRANGE(""https://docs.google.com/spreadsheets/d/1MjHtlUikwobi2MaWJgy7tfLeBmhj1u-dRFRs_8GwSoA/edit#gid=0"",""Gestores Escolares!D7:J""),4,0),""VERIFICAR CÓD SEC"")"),"(75) 9 8116-0190")</f>
        <v>(75) 9 8116-0190</v>
      </c>
      <c r="O975" s="82" t="str">
        <f>IFERROR(__xludf.DUMMYFUNCTION("IFERROR(VLOOKUP(D975,
IMPORTRANGE(""https://docs.google.com/spreadsheets/d/1MjHtlUikwobi2MaWJgy7tfLeBmhj1u-dRFRs_8GwSoA/edit#gid=0"",""Gestores Escolares!D7:J""),6,0),""VERIFICAR CÓD SEC"")"),"")</f>
        <v/>
      </c>
      <c r="P975" s="82" t="str">
        <f>IFERROR(__xludf.DUMMYFUNCTION("IFERROR(VLOOKUP(D975,
IMPORTRANGE(""https://docs.google.com/spreadsheets/d/1MjHtlUikwobi2MaWJgy7tfLeBmhj1u-dRFRs_8GwSoA/edit#gid=0"",""Gestores Escolares!D7:J""),7,0),""VERIFICAR CÓD SEC"")"),"")</f>
        <v/>
      </c>
      <c r="Q975" s="82" t="str">
        <f>IFERROR(__xludf.DUMMYFUNCTION("IFERROR(VLOOKUP(D975,
IMPORTRANGE(""https://docs.google.com/spreadsheets/d/1MjHtlUikwobi2MaWJgy7tfLeBmhj1u-dRFRs_8GwSoA/edit#gid=0"",""Gestores Escolares!D7:m""),9,0),""VERIFICAR CÓD SEC"")"),"MARIZETE SILVA SOARES DE OLIVEIRA")</f>
        <v>MARIZETE SILVA SOARES DE OLIVEIRA</v>
      </c>
      <c r="R975" s="82" t="str">
        <f>IFERROR(__xludf.DUMMYFUNCTION("IFERROR(VLOOKUP(D975,
IMPORTRANGE(""https://docs.google.com/spreadsheets/d/1MjHtlUikwobi2MaWJgy7tfLeBmhj1u-dRFRs_8GwSoA/edit#gid=0"",""Gestores Escolares!D7:m""),10,0),""VERIFICAR CÓD SEC"")"),"(75) 9 9201-2545")</f>
        <v>(75) 9 9201-2545</v>
      </c>
      <c r="S975" s="82"/>
      <c r="T975" s="138">
        <v>6.0</v>
      </c>
      <c r="U975" s="145" t="s">
        <v>1323</v>
      </c>
      <c r="V975" s="106">
        <v>0.0</v>
      </c>
      <c r="W975" s="107">
        <v>0.0</v>
      </c>
      <c r="X975" s="107">
        <v>0.0</v>
      </c>
      <c r="Y975" s="107">
        <v>0.0</v>
      </c>
      <c r="Z975" s="80">
        <f t="shared" si="1"/>
        <v>0</v>
      </c>
      <c r="AA975" s="106">
        <v>0.0</v>
      </c>
      <c r="AB975" s="107">
        <v>0.0</v>
      </c>
      <c r="AC975" s="107">
        <v>0.0</v>
      </c>
      <c r="AD975" s="107">
        <v>0.0</v>
      </c>
      <c r="AE975" s="80">
        <f t="shared" si="2"/>
        <v>0</v>
      </c>
      <c r="AF975" s="140">
        <v>0.0</v>
      </c>
      <c r="AG975" s="109">
        <v>0.0</v>
      </c>
      <c r="AH975" s="109">
        <v>0.0</v>
      </c>
      <c r="AI975" s="141">
        <v>481.0</v>
      </c>
      <c r="AJ975" s="80">
        <f t="shared" si="3"/>
        <v>481</v>
      </c>
      <c r="AK975" s="140">
        <v>0.0</v>
      </c>
      <c r="AL975" s="109">
        <v>0.0</v>
      </c>
      <c r="AM975" s="141">
        <v>0.0</v>
      </c>
      <c r="AN975" s="80">
        <f t="shared" si="4"/>
        <v>0</v>
      </c>
      <c r="AO975" s="140">
        <v>0.0</v>
      </c>
      <c r="AP975" s="109">
        <v>0.0</v>
      </c>
      <c r="AQ975" s="109">
        <v>245.0</v>
      </c>
      <c r="AR975" s="80">
        <f t="shared" si="5"/>
        <v>245</v>
      </c>
      <c r="AS975" s="110">
        <v>0.0</v>
      </c>
      <c r="AT975" s="110">
        <v>0.0</v>
      </c>
      <c r="AU975" s="110">
        <v>0.0</v>
      </c>
      <c r="AV975" s="142">
        <v>65.0</v>
      </c>
      <c r="AW975" s="80">
        <f t="shared" si="6"/>
        <v>65</v>
      </c>
      <c r="AX975" s="113">
        <f t="shared" si="7"/>
        <v>791</v>
      </c>
      <c r="AY975" s="117">
        <f t="shared" si="8"/>
        <v>546</v>
      </c>
      <c r="AZ975" s="120">
        <f t="shared" si="9"/>
        <v>245</v>
      </c>
      <c r="BA975" s="168">
        <v>0.0</v>
      </c>
      <c r="BB975" s="89">
        <f t="shared" si="10"/>
        <v>791</v>
      </c>
      <c r="BC975" s="132" t="s">
        <v>178</v>
      </c>
      <c r="BD975" s="132" t="s">
        <v>178</v>
      </c>
      <c r="BE975" s="132" t="s">
        <v>178</v>
      </c>
      <c r="BF975" s="156" t="s">
        <v>9878</v>
      </c>
      <c r="BG975" s="98">
        <v>1178322.0</v>
      </c>
      <c r="BH975" s="112"/>
      <c r="BI975" s="112">
        <v>12.0</v>
      </c>
      <c r="BJ975" s="98" t="s">
        <v>162</v>
      </c>
      <c r="BK975" s="99">
        <f t="shared" si="11"/>
        <v>546</v>
      </c>
      <c r="BL975" s="99">
        <f t="shared" si="12"/>
        <v>0</v>
      </c>
      <c r="BM975" s="99" t="str">
        <f>IFERROR(__xludf.DUMMYFUNCTION("IFERROR(VLOOKUP(BG975,IMPORTRANGE(""https://docs.google.com/spreadsheets/d/1juPI-Fb8LD0YtltB2mlGEnp_R3UVu1t3wSFPzgCyHXE/edit?gid=0#gid=0"",""GERAL!A2:C""),3,0),""-"")"),"-")</f>
        <v>-</v>
      </c>
    </row>
    <row r="976" ht="15.75" customHeight="1">
      <c r="A976" s="111" t="s">
        <v>1224</v>
      </c>
      <c r="B976" s="83" t="s">
        <v>5148</v>
      </c>
      <c r="C976" s="83" t="s">
        <v>68</v>
      </c>
      <c r="D976" s="112">
        <v>1178049.0</v>
      </c>
      <c r="E976" s="83"/>
      <c r="F976" s="83">
        <v>2.9423805E7</v>
      </c>
      <c r="G976" s="147" t="s">
        <v>5155</v>
      </c>
      <c r="H976" s="91" t="s">
        <v>5156</v>
      </c>
      <c r="I976" s="136" t="s">
        <v>149</v>
      </c>
      <c r="J976" s="83" t="s">
        <v>150</v>
      </c>
      <c r="K976" s="83" t="s">
        <v>151</v>
      </c>
      <c r="L976" s="83" t="s">
        <v>152</v>
      </c>
      <c r="M976" s="82" t="str">
        <f>IFERROR(__xludf.DUMMYFUNCTION("IFERROR(VLOOKUP(D976,
IMPORTRANGE(""https://docs.google.com/spreadsheets/d/1MjHtlUikwobi2MaWJgy7tfLeBmhj1u-dRFRs_8GwSoA/edit#gid=0"",""Gestores Escolares!D7:J""),3,0),""VERIFICAR CÓD SEC"")"),"MARIA HILDA CARVALHO ANDRADE")</f>
        <v>MARIA HILDA CARVALHO ANDRADE</v>
      </c>
      <c r="N976" s="82" t="str">
        <f>IFERROR(__xludf.DUMMYFUNCTION("IFERROR(VLOOKUP(D976,
IMPORTRANGE(""https://docs.google.com/spreadsheets/d/1MjHtlUikwobi2MaWJgy7tfLeBmhj1u-dRFRs_8GwSoA/edit#gid=0"",""Gestores Escolares!D7:J""),4,0),""VERIFICAR CÓD SEC"")"),"(79) 9 9955-8637")</f>
        <v>(79) 9 9955-8637</v>
      </c>
      <c r="O976" s="82" t="str">
        <f>IFERROR(__xludf.DUMMYFUNCTION("IFERROR(VLOOKUP(D976,
IMPORTRANGE(""https://docs.google.com/spreadsheets/d/1MjHtlUikwobi2MaWJgy7tfLeBmhj1u-dRFRs_8GwSoA/edit#gid=0"",""Gestores Escolares!D7:J""),6,0),""VERIFICAR CÓD SEC"")"),"")</f>
        <v/>
      </c>
      <c r="P976" s="82" t="str">
        <f>IFERROR(__xludf.DUMMYFUNCTION("IFERROR(VLOOKUP(D976,
IMPORTRANGE(""https://docs.google.com/spreadsheets/d/1MjHtlUikwobi2MaWJgy7tfLeBmhj1u-dRFRs_8GwSoA/edit#gid=0"",""Gestores Escolares!D7:J""),7,0),""VERIFICAR CÓD SEC"")"),"")</f>
        <v/>
      </c>
      <c r="Q976" s="82" t="str">
        <f>IFERROR(__xludf.DUMMYFUNCTION("IFERROR(VLOOKUP(D976,
IMPORTRANGE(""https://docs.google.com/spreadsheets/d/1MjHtlUikwobi2MaWJgy7tfLeBmhj1u-dRFRs_8GwSoA/edit#gid=0"",""Gestores Escolares!D7:m""),9,0),""VERIFICAR CÓD SEC"")"),"")</f>
        <v/>
      </c>
      <c r="R976" s="82" t="str">
        <f>IFERROR(__xludf.DUMMYFUNCTION("IFERROR(VLOOKUP(D976,
IMPORTRANGE(""https://docs.google.com/spreadsheets/d/1MjHtlUikwobi2MaWJgy7tfLeBmhj1u-dRFRs_8GwSoA/edit#gid=0"",""Gestores Escolares!D7:m""),10,0),""VERIFICAR CÓD SEC"")"),"")</f>
        <v/>
      </c>
      <c r="S976" s="82"/>
      <c r="T976" s="138">
        <v>8.0</v>
      </c>
      <c r="U976" s="217" t="s">
        <v>13354</v>
      </c>
      <c r="V976" s="106">
        <v>0.0</v>
      </c>
      <c r="W976" s="107">
        <v>0.0</v>
      </c>
      <c r="X976" s="107">
        <v>0.0</v>
      </c>
      <c r="Y976" s="107">
        <v>0.0</v>
      </c>
      <c r="Z976" s="80">
        <f t="shared" si="1"/>
        <v>0</v>
      </c>
      <c r="AA976" s="106">
        <v>0.0</v>
      </c>
      <c r="AB976" s="107">
        <v>0.0</v>
      </c>
      <c r="AC976" s="107">
        <v>0.0</v>
      </c>
      <c r="AD976" s="107">
        <v>0.0</v>
      </c>
      <c r="AE976" s="80">
        <f t="shared" si="2"/>
        <v>0</v>
      </c>
      <c r="AF976" s="140">
        <v>110.0</v>
      </c>
      <c r="AG976" s="109">
        <v>86.0</v>
      </c>
      <c r="AH976" s="109">
        <v>0.0</v>
      </c>
      <c r="AI976" s="141">
        <v>311.0</v>
      </c>
      <c r="AJ976" s="80">
        <f t="shared" si="3"/>
        <v>507</v>
      </c>
      <c r="AK976" s="140">
        <v>0.0</v>
      </c>
      <c r="AL976" s="109">
        <v>0.0</v>
      </c>
      <c r="AM976" s="141">
        <v>0.0</v>
      </c>
      <c r="AN976" s="80">
        <f t="shared" si="4"/>
        <v>0</v>
      </c>
      <c r="AO976" s="140">
        <v>0.0</v>
      </c>
      <c r="AP976" s="109">
        <v>0.0</v>
      </c>
      <c r="AQ976" s="109">
        <v>115.0</v>
      </c>
      <c r="AR976" s="80">
        <f t="shared" si="5"/>
        <v>115</v>
      </c>
      <c r="AS976" s="110">
        <v>0.0</v>
      </c>
      <c r="AT976" s="110">
        <v>0.0</v>
      </c>
      <c r="AU976" s="110">
        <v>0.0</v>
      </c>
      <c r="AV976" s="142">
        <v>64.0</v>
      </c>
      <c r="AW976" s="80">
        <f t="shared" si="6"/>
        <v>64</v>
      </c>
      <c r="AX976" s="113">
        <f t="shared" si="7"/>
        <v>686</v>
      </c>
      <c r="AY976" s="117">
        <f t="shared" si="8"/>
        <v>571</v>
      </c>
      <c r="AZ976" s="120">
        <f t="shared" si="9"/>
        <v>115</v>
      </c>
      <c r="BA976" s="115">
        <v>0.0</v>
      </c>
      <c r="BB976" s="89">
        <f t="shared" si="10"/>
        <v>686</v>
      </c>
      <c r="BC976" s="132" t="s">
        <v>178</v>
      </c>
      <c r="BD976" s="132" t="s">
        <v>178</v>
      </c>
      <c r="BE976" s="132" t="s">
        <v>178</v>
      </c>
      <c r="BF976" s="123"/>
      <c r="BG976" s="83">
        <v>1178049.0</v>
      </c>
      <c r="BH976" s="112"/>
      <c r="BI976" s="112">
        <v>7.0</v>
      </c>
      <c r="BJ976" s="98" t="s">
        <v>176</v>
      </c>
      <c r="BK976" s="99">
        <f t="shared" si="11"/>
        <v>375</v>
      </c>
      <c r="BL976" s="99">
        <f t="shared" si="12"/>
        <v>196</v>
      </c>
      <c r="BM976" s="99" t="str">
        <f>IFERROR(__xludf.DUMMYFUNCTION("IFERROR(VLOOKUP(BG976,IMPORTRANGE(""https://docs.google.com/spreadsheets/d/1juPI-Fb8LD0YtltB2mlGEnp_R3UVu1t3wSFPzgCyHXE/edit?gid=0#gid=0"",""GERAL!A2:C""),3,0),""-"")"),"-")</f>
        <v>-</v>
      </c>
    </row>
    <row r="977" ht="15.75" customHeight="1">
      <c r="A977" s="111" t="s">
        <v>1224</v>
      </c>
      <c r="B977" s="83" t="s">
        <v>2000</v>
      </c>
      <c r="C977" s="83" t="s">
        <v>68</v>
      </c>
      <c r="D977" s="112">
        <v>1179120.0</v>
      </c>
      <c r="E977" s="83"/>
      <c r="F977" s="83">
        <v>2.9117194E7</v>
      </c>
      <c r="G977" s="119" t="s">
        <v>5171</v>
      </c>
      <c r="H977" s="91" t="s">
        <v>5173</v>
      </c>
      <c r="I977" s="136" t="s">
        <v>5175</v>
      </c>
      <c r="J977" s="83" t="s">
        <v>839</v>
      </c>
      <c r="K977" s="83" t="s">
        <v>168</v>
      </c>
      <c r="L977" s="83" t="s">
        <v>76</v>
      </c>
      <c r="M977" s="82" t="str">
        <f>IFERROR(__xludf.DUMMYFUNCTION("IFERROR(VLOOKUP(D977,
IMPORTRANGE(""https://docs.google.com/spreadsheets/d/1MjHtlUikwobi2MaWJgy7tfLeBmhj1u-dRFRs_8GwSoA/edit#gid=0"",""Gestores Escolares!D7:J""),3,0),""VERIFICAR CÓD SEC"")"),"MARIA DE FATIMA FERREIRA DE CARVALHO")</f>
        <v>MARIA DE FATIMA FERREIRA DE CARVALHO</v>
      </c>
      <c r="N977" s="82" t="str">
        <f>IFERROR(__xludf.DUMMYFUNCTION("IFERROR(VLOOKUP(D977,
IMPORTRANGE(""https://docs.google.com/spreadsheets/d/1MjHtlUikwobi2MaWJgy7tfLeBmhj1u-dRFRs_8GwSoA/edit#gid=0"",""Gestores Escolares!D7:J""),4,0),""VERIFICAR CÓD SEC"")"),"(75) 9 9895-7725")</f>
        <v>(75) 9 9895-7725</v>
      </c>
      <c r="O977" s="82" t="str">
        <f>IFERROR(__xludf.DUMMYFUNCTION("IFERROR(VLOOKUP(D977,
IMPORTRANGE(""https://docs.google.com/spreadsheets/d/1MjHtlUikwobi2MaWJgy7tfLeBmhj1u-dRFRs_8GwSoA/edit#gid=0"",""Gestores Escolares!D7:J""),6,0),""VERIFICAR CÓD SEC"")"),"IRAJANE FERREIRA DA SILVA")</f>
        <v>IRAJANE FERREIRA DA SILVA</v>
      </c>
      <c r="P977" s="82" t="str">
        <f>IFERROR(__xludf.DUMMYFUNCTION("IFERROR(VLOOKUP(D977,
IMPORTRANGE(""https://docs.google.com/spreadsheets/d/1MjHtlUikwobi2MaWJgy7tfLeBmhj1u-dRFRs_8GwSoA/edit#gid=0"",""Gestores Escolares!D7:J""),7,0),""VERIFICAR CÓD SEC"")"),"(75) 9 9902-1282")</f>
        <v>(75) 9 9902-1282</v>
      </c>
      <c r="Q977" s="82" t="str">
        <f>IFERROR(__xludf.DUMMYFUNCTION("IFERROR(VLOOKUP(D977,
IMPORTRANGE(""https://docs.google.com/spreadsheets/d/1MjHtlUikwobi2MaWJgy7tfLeBmhj1u-dRFRs_8GwSoA/edit#gid=0"",""Gestores Escolares!D7:m""),9,0),""VERIFICAR CÓD SEC"")"),"")</f>
        <v/>
      </c>
      <c r="R977" s="82" t="str">
        <f>IFERROR(__xludf.DUMMYFUNCTION("IFERROR(VLOOKUP(D977,
IMPORTRANGE(""https://docs.google.com/spreadsheets/d/1MjHtlUikwobi2MaWJgy7tfLeBmhj1u-dRFRs_8GwSoA/edit#gid=0"",""Gestores Escolares!D7:m""),10,0),""VERIFICAR CÓD SEC"")"),"")</f>
        <v/>
      </c>
      <c r="S977" s="82"/>
      <c r="T977" s="138">
        <v>8.0</v>
      </c>
      <c r="U977" s="139">
        <v>7.0</v>
      </c>
      <c r="V977" s="106">
        <v>28.0</v>
      </c>
      <c r="W977" s="107">
        <v>0.0</v>
      </c>
      <c r="X977" s="107">
        <v>0.0</v>
      </c>
      <c r="Y977" s="107">
        <v>0.0</v>
      </c>
      <c r="Z977" s="80">
        <f t="shared" si="1"/>
        <v>28</v>
      </c>
      <c r="AA977" s="106">
        <v>75.0</v>
      </c>
      <c r="AB977" s="107">
        <v>86.0</v>
      </c>
      <c r="AC977" s="107">
        <v>0.0</v>
      </c>
      <c r="AD977" s="107">
        <v>0.0</v>
      </c>
      <c r="AE977" s="80">
        <f t="shared" si="2"/>
        <v>161</v>
      </c>
      <c r="AF977" s="140">
        <v>0.0</v>
      </c>
      <c r="AG977" s="109">
        <v>14.0</v>
      </c>
      <c r="AH977" s="109">
        <v>43.0</v>
      </c>
      <c r="AI977" s="141">
        <v>0.0</v>
      </c>
      <c r="AJ977" s="80">
        <f t="shared" si="3"/>
        <v>57</v>
      </c>
      <c r="AK977" s="140">
        <v>0.0</v>
      </c>
      <c r="AL977" s="109">
        <v>0.0</v>
      </c>
      <c r="AM977" s="141">
        <v>47.0</v>
      </c>
      <c r="AN977" s="80">
        <f t="shared" si="4"/>
        <v>47</v>
      </c>
      <c r="AO977" s="140">
        <v>0.0</v>
      </c>
      <c r="AP977" s="109">
        <v>0.0</v>
      </c>
      <c r="AQ977" s="109">
        <v>66.0</v>
      </c>
      <c r="AR977" s="80">
        <f t="shared" si="5"/>
        <v>66</v>
      </c>
      <c r="AS977" s="110">
        <v>0.0</v>
      </c>
      <c r="AT977" s="110">
        <v>0.0</v>
      </c>
      <c r="AU977" s="110">
        <v>18.0</v>
      </c>
      <c r="AV977" s="142">
        <v>0.0</v>
      </c>
      <c r="AW977" s="80">
        <f t="shared" si="6"/>
        <v>18</v>
      </c>
      <c r="AX977" s="113">
        <f t="shared" si="7"/>
        <v>377</v>
      </c>
      <c r="AY977" s="117">
        <f t="shared" si="8"/>
        <v>203</v>
      </c>
      <c r="AZ977" s="120">
        <f t="shared" si="9"/>
        <v>174</v>
      </c>
      <c r="BA977" s="115">
        <v>0.0</v>
      </c>
      <c r="BB977" s="89">
        <f t="shared" si="10"/>
        <v>377</v>
      </c>
      <c r="BC977" s="143" t="s">
        <v>1294</v>
      </c>
      <c r="BD977" s="132" t="s">
        <v>178</v>
      </c>
      <c r="BE977" s="132" t="s">
        <v>178</v>
      </c>
      <c r="BF977" s="156"/>
      <c r="BG977" s="83">
        <v>1179120.0</v>
      </c>
      <c r="BH977" s="112"/>
      <c r="BI977" s="112">
        <v>7.0</v>
      </c>
      <c r="BJ977" s="98" t="s">
        <v>155</v>
      </c>
      <c r="BK977" s="99">
        <f t="shared" si="11"/>
        <v>0</v>
      </c>
      <c r="BL977" s="99">
        <f t="shared" si="12"/>
        <v>203</v>
      </c>
      <c r="BM977" s="99" t="str">
        <f>IFERROR(__xludf.DUMMYFUNCTION("IFERROR(VLOOKUP(BG977,IMPORTRANGE(""https://docs.google.com/spreadsheets/d/1juPI-Fb8LD0YtltB2mlGEnp_R3UVu1t3wSFPzgCyHXE/edit?gid=0#gid=0"",""GERAL!A2:C""),3,0),""-"")"),"INDÍGENAS")</f>
        <v>INDÍGENAS</v>
      </c>
    </row>
    <row r="978" ht="15.75" customHeight="1">
      <c r="A978" s="111" t="s">
        <v>1224</v>
      </c>
      <c r="B978" s="83" t="s">
        <v>2000</v>
      </c>
      <c r="C978" s="83" t="s">
        <v>68</v>
      </c>
      <c r="D978" s="112">
        <v>1114680.0</v>
      </c>
      <c r="E978" s="83"/>
      <c r="F978" s="83">
        <v>2.911724E7</v>
      </c>
      <c r="G978" s="119" t="s">
        <v>5178</v>
      </c>
      <c r="H978" s="91" t="s">
        <v>5179</v>
      </c>
      <c r="I978" s="83" t="s">
        <v>149</v>
      </c>
      <c r="J978" s="83" t="s">
        <v>150</v>
      </c>
      <c r="K978" s="83" t="s">
        <v>168</v>
      </c>
      <c r="L978" s="83" t="s">
        <v>230</v>
      </c>
      <c r="M978" s="82" t="str">
        <f>IFERROR(__xludf.DUMMYFUNCTION("IFERROR(VLOOKUP(D978,
IMPORTRANGE(""https://docs.google.com/spreadsheets/d/1MjHtlUikwobi2MaWJgy7tfLeBmhj1u-dRFRs_8GwSoA/edit#gid=0"",""Gestores Escolares!D7:J""),3,0),""VERIFICAR CÓD SEC"")"),"ONIRAM SOARES DO NASCIMENTO")</f>
        <v>ONIRAM SOARES DO NASCIMENTO</v>
      </c>
      <c r="N978" s="82" t="str">
        <f>IFERROR(__xludf.DUMMYFUNCTION("IFERROR(VLOOKUP(D978,
IMPORTRANGE(""https://docs.google.com/spreadsheets/d/1MjHtlUikwobi2MaWJgy7tfLeBmhj1u-dRFRs_8GwSoA/edit#gid=0"",""Gestores Escolares!D7:J""),4,0),""VERIFICAR CÓD SEC"")"),"(75) 9 9986-0648")</f>
        <v>(75) 9 9986-0648</v>
      </c>
      <c r="O978" s="82" t="str">
        <f>IFERROR(__xludf.DUMMYFUNCTION("IFERROR(VLOOKUP(D978,
IMPORTRANGE(""https://docs.google.com/spreadsheets/d/1MjHtlUikwobi2MaWJgy7tfLeBmhj1u-dRFRs_8GwSoA/edit#gid=0"",""Gestores Escolares!D7:J""),6,0),""VERIFICAR CÓD SEC"")"),"ERIDAM DE SANTANA COSTA")</f>
        <v>ERIDAM DE SANTANA COSTA</v>
      </c>
      <c r="P978" s="82" t="str">
        <f>IFERROR(__xludf.DUMMYFUNCTION("IFERROR(VLOOKUP(D978,
IMPORTRANGE(""https://docs.google.com/spreadsheets/d/1MjHtlUikwobi2MaWJgy7tfLeBmhj1u-dRFRs_8GwSoA/edit#gid=0"",""Gestores Escolares!D7:J""),7,0),""VERIFICAR CÓD SEC"")"),"(75) 9 9827-5290")</f>
        <v>(75) 9 9827-5290</v>
      </c>
      <c r="Q978" s="82" t="str">
        <f>IFERROR(__xludf.DUMMYFUNCTION("IFERROR(VLOOKUP(D978,
IMPORTRANGE(""https://docs.google.com/spreadsheets/d/1MjHtlUikwobi2MaWJgy7tfLeBmhj1u-dRFRs_8GwSoA/edit#gid=0"",""Gestores Escolares!D7:m""),9,0),""VERIFICAR CÓD SEC"")"),"EDVANIO PEREIRA DOS SANTOS")</f>
        <v>EDVANIO PEREIRA DOS SANTOS</v>
      </c>
      <c r="R978" s="82" t="str">
        <f>IFERROR(__xludf.DUMMYFUNCTION("IFERROR(VLOOKUP(D978,
IMPORTRANGE(""https://docs.google.com/spreadsheets/d/1MjHtlUikwobi2MaWJgy7tfLeBmhj1u-dRFRs_8GwSoA/edit#gid=0"",""Gestores Escolares!D7:m""),10,0),""VERIFICAR CÓD SEC"")"),"(75) 9 9997-0967")</f>
        <v>(75) 9 9997-0967</v>
      </c>
      <c r="S978" s="82"/>
      <c r="T978" s="138">
        <v>17.0</v>
      </c>
      <c r="U978" s="145" t="s">
        <v>13383</v>
      </c>
      <c r="V978" s="106">
        <v>0.0</v>
      </c>
      <c r="W978" s="107">
        <v>0.0</v>
      </c>
      <c r="X978" s="107">
        <v>0.0</v>
      </c>
      <c r="Y978" s="107">
        <v>0.0</v>
      </c>
      <c r="Z978" s="80">
        <f t="shared" si="1"/>
        <v>0</v>
      </c>
      <c r="AA978" s="106">
        <v>0.0</v>
      </c>
      <c r="AB978" s="107">
        <v>0.0</v>
      </c>
      <c r="AC978" s="107">
        <v>0.0</v>
      </c>
      <c r="AD978" s="107">
        <v>0.0</v>
      </c>
      <c r="AE978" s="80">
        <f t="shared" si="2"/>
        <v>0</v>
      </c>
      <c r="AF978" s="140">
        <v>362.0</v>
      </c>
      <c r="AG978" s="109">
        <v>267.0</v>
      </c>
      <c r="AH978" s="109">
        <v>0.0</v>
      </c>
      <c r="AI978" s="141">
        <v>52.0</v>
      </c>
      <c r="AJ978" s="80">
        <f t="shared" si="3"/>
        <v>681</v>
      </c>
      <c r="AK978" s="140">
        <v>0.0</v>
      </c>
      <c r="AL978" s="109">
        <v>0.0</v>
      </c>
      <c r="AM978" s="141">
        <v>0.0</v>
      </c>
      <c r="AN978" s="80">
        <f t="shared" si="4"/>
        <v>0</v>
      </c>
      <c r="AO978" s="140">
        <v>0.0</v>
      </c>
      <c r="AP978" s="109">
        <v>0.0</v>
      </c>
      <c r="AQ978" s="109">
        <v>190.0</v>
      </c>
      <c r="AR978" s="80">
        <f t="shared" si="5"/>
        <v>190</v>
      </c>
      <c r="AS978" s="110">
        <v>0.0</v>
      </c>
      <c r="AT978" s="110">
        <v>0.0</v>
      </c>
      <c r="AU978" s="110">
        <v>0.0</v>
      </c>
      <c r="AV978" s="142">
        <v>0.0</v>
      </c>
      <c r="AW978" s="80">
        <f t="shared" si="6"/>
        <v>0</v>
      </c>
      <c r="AX978" s="113">
        <f t="shared" si="7"/>
        <v>871</v>
      </c>
      <c r="AY978" s="117">
        <f t="shared" si="8"/>
        <v>681</v>
      </c>
      <c r="AZ978" s="120">
        <f t="shared" si="9"/>
        <v>190</v>
      </c>
      <c r="BA978" s="115">
        <v>0.0</v>
      </c>
      <c r="BB978" s="89">
        <f t="shared" si="10"/>
        <v>871</v>
      </c>
      <c r="BC978" s="132" t="s">
        <v>178</v>
      </c>
      <c r="BD978" s="132" t="s">
        <v>178</v>
      </c>
      <c r="BE978" s="132" t="s">
        <v>178</v>
      </c>
      <c r="BF978" s="123"/>
      <c r="BG978" s="83">
        <v>1114680.0</v>
      </c>
      <c r="BH978" s="112"/>
      <c r="BI978" s="112">
        <v>17.0</v>
      </c>
      <c r="BJ978" s="98" t="s">
        <v>176</v>
      </c>
      <c r="BK978" s="99">
        <f t="shared" si="11"/>
        <v>52</v>
      </c>
      <c r="BL978" s="99">
        <f t="shared" si="12"/>
        <v>629</v>
      </c>
      <c r="BM978" s="99" t="str">
        <f>IFERROR(__xludf.DUMMYFUNCTION("IFERROR(VLOOKUP(BG978,IMPORTRANGE(""https://docs.google.com/spreadsheets/d/1juPI-Fb8LD0YtltB2mlGEnp_R3UVu1t3wSFPzgCyHXE/edit?gid=0#gid=0"",""GERAL!A2:C""),3,0),""-"")"),"-")</f>
        <v>-</v>
      </c>
    </row>
    <row r="979" ht="15.75" customHeight="1">
      <c r="A979" s="167" t="s">
        <v>1224</v>
      </c>
      <c r="B979" s="136" t="s">
        <v>2000</v>
      </c>
      <c r="C979" s="83" t="s">
        <v>68</v>
      </c>
      <c r="D979" s="115">
        <v>1114559.0</v>
      </c>
      <c r="E979" s="115"/>
      <c r="F979" s="136">
        <v>2.9117666E7</v>
      </c>
      <c r="G979" s="153" t="s">
        <v>5183</v>
      </c>
      <c r="H979" s="402" t="s">
        <v>5184</v>
      </c>
      <c r="I979" s="136" t="s">
        <v>149</v>
      </c>
      <c r="J979" s="136" t="s">
        <v>150</v>
      </c>
      <c r="K979" s="136" t="s">
        <v>151</v>
      </c>
      <c r="L979" s="136" t="s">
        <v>230</v>
      </c>
      <c r="M979" s="196" t="str">
        <f>IFERROR(__xludf.DUMMYFUNCTION("IFERROR(VLOOKUP(D979,
IMPORTRANGE(""https://docs.google.com/spreadsheets/d/1MjHtlUikwobi2MaWJgy7tfLeBmhj1u-dRFRs_8GwSoA/edit#gid=0"",""Gestores Escolares!D7:J""),3,0),""VERIFICAR CÓD SEC"")"),"JOSEFA NEUMA ROCHA DA SILVA")</f>
        <v>JOSEFA NEUMA ROCHA DA SILVA</v>
      </c>
      <c r="N979" s="196" t="str">
        <f>IFERROR(__xludf.DUMMYFUNCTION("IFERROR(VLOOKUP(D979,
IMPORTRANGE(""https://docs.google.com/spreadsheets/d/1MjHtlUikwobi2MaWJgy7tfLeBmhj1u-dRFRs_8GwSoA/edit#gid=0"",""Gestores Escolares!D7:J""),4,0),""VERIFICAR CÓD SEC"")"),"(75) 9 9821 - 7608/ 
9 9156 - 5640 ZAP")</f>
        <v>(75) 9 9821 - 7608/ 
9 9156 - 5640 ZAP</v>
      </c>
      <c r="O979" s="82" t="str">
        <f>IFERROR(__xludf.DUMMYFUNCTION("IFERROR(VLOOKUP(D979,
IMPORTRANGE(""https://docs.google.com/spreadsheets/d/1MjHtlUikwobi2MaWJgy7tfLeBmhj1u-dRFRs_8GwSoA/edit#gid=0"",""Gestores Escolares!D7:J""),6,0),""VERIFICAR CÓD SEC"")"),"MARCKELSON SANTANA DA SILVA")</f>
        <v>MARCKELSON SANTANA DA SILVA</v>
      </c>
      <c r="P979" s="82" t="str">
        <f>IFERROR(__xludf.DUMMYFUNCTION("IFERROR(VLOOKUP(D979,
IMPORTRANGE(""https://docs.google.com/spreadsheets/d/1MjHtlUikwobi2MaWJgy7tfLeBmhj1u-dRFRs_8GwSoA/edit#gid=0"",""Gestores Escolares!D7:J""),7,0),""VERIFICAR CÓD SEC"")"),"(75) 9 9189-4141")</f>
        <v>(75) 9 9189-4141</v>
      </c>
      <c r="Q979" s="82" t="str">
        <f>IFERROR(__xludf.DUMMYFUNCTION("IFERROR(VLOOKUP(D979,
IMPORTRANGE(""https://docs.google.com/spreadsheets/d/1MjHtlUikwobi2MaWJgy7tfLeBmhj1u-dRFRs_8GwSoA/edit#gid=0"",""Gestores Escolares!D7:m""),9,0),""VERIFICAR CÓD SEC"")"),"MARIA CELESTE LIMA ALVES")</f>
        <v>MARIA CELESTE LIMA ALVES</v>
      </c>
      <c r="R979" s="82" t="str">
        <f>IFERROR(__xludf.DUMMYFUNCTION("IFERROR(VLOOKUP(D979,
IMPORTRANGE(""https://docs.google.com/spreadsheets/d/1MjHtlUikwobi2MaWJgy7tfLeBmhj1u-dRFRs_8GwSoA/edit#gid=0"",""Gestores Escolares!D7:m""),10,0),""VERIFICAR CÓD SEC"")")," (75) 9 9916-5489")</f>
        <v> (75) 9 9916-5489</v>
      </c>
      <c r="S979" s="196"/>
      <c r="T979" s="138"/>
      <c r="U979" s="145">
        <v>24.0</v>
      </c>
      <c r="V979" s="106">
        <v>0.0</v>
      </c>
      <c r="W979" s="107">
        <v>0.0</v>
      </c>
      <c r="X979" s="107">
        <v>0.0</v>
      </c>
      <c r="Y979" s="107">
        <v>0.0</v>
      </c>
      <c r="Z979" s="80">
        <f t="shared" si="1"/>
        <v>0</v>
      </c>
      <c r="AA979" s="106">
        <v>0.0</v>
      </c>
      <c r="AB979" s="107">
        <v>0.0</v>
      </c>
      <c r="AC979" s="107">
        <v>0.0</v>
      </c>
      <c r="AD979" s="107">
        <v>0.0</v>
      </c>
      <c r="AE979" s="80">
        <f t="shared" si="2"/>
        <v>0</v>
      </c>
      <c r="AF979" s="200">
        <v>0.0</v>
      </c>
      <c r="AG979" s="201">
        <v>0.0</v>
      </c>
      <c r="AH979" s="201">
        <v>0.0</v>
      </c>
      <c r="AI979" s="202">
        <v>102.0</v>
      </c>
      <c r="AJ979" s="80">
        <f t="shared" si="3"/>
        <v>102</v>
      </c>
      <c r="AK979" s="200">
        <v>0.0</v>
      </c>
      <c r="AL979" s="201">
        <v>0.0</v>
      </c>
      <c r="AM979" s="202">
        <v>0.0</v>
      </c>
      <c r="AN979" s="80">
        <f t="shared" si="4"/>
        <v>0</v>
      </c>
      <c r="AO979" s="200">
        <v>0.0</v>
      </c>
      <c r="AP979" s="201">
        <v>0.0</v>
      </c>
      <c r="AQ979" s="201">
        <v>41.0</v>
      </c>
      <c r="AR979" s="80">
        <f t="shared" si="5"/>
        <v>41</v>
      </c>
      <c r="AS979" s="201">
        <v>460.0</v>
      </c>
      <c r="AT979" s="201">
        <v>380.0</v>
      </c>
      <c r="AU979" s="201">
        <v>201.0</v>
      </c>
      <c r="AV979" s="203">
        <v>57.0</v>
      </c>
      <c r="AW979" s="80">
        <f t="shared" si="6"/>
        <v>1098</v>
      </c>
      <c r="AX979" s="113">
        <f t="shared" si="7"/>
        <v>1241</v>
      </c>
      <c r="AY979" s="117">
        <f t="shared" si="8"/>
        <v>999</v>
      </c>
      <c r="AZ979" s="120">
        <f t="shared" si="9"/>
        <v>242</v>
      </c>
      <c r="BA979" s="115">
        <v>1.0</v>
      </c>
      <c r="BB979" s="89">
        <f t="shared" si="10"/>
        <v>1242</v>
      </c>
      <c r="BC979" s="205" t="s">
        <v>178</v>
      </c>
      <c r="BD979" s="205" t="s">
        <v>522</v>
      </c>
      <c r="BE979" s="205" t="s">
        <v>178</v>
      </c>
      <c r="BF979" s="206"/>
      <c r="BG979" s="136">
        <v>1114559.0</v>
      </c>
      <c r="BH979" s="112"/>
      <c r="BI979" s="112">
        <v>17.0</v>
      </c>
      <c r="BJ979" s="98" t="s">
        <v>162</v>
      </c>
      <c r="BK979" s="99">
        <f t="shared" si="11"/>
        <v>159</v>
      </c>
      <c r="BL979" s="99">
        <f t="shared" si="12"/>
        <v>840</v>
      </c>
      <c r="BM979" s="99" t="str">
        <f>IFERROR(__xludf.DUMMYFUNCTION("IFERROR(VLOOKUP(BG979,IMPORTRANGE(""https://docs.google.com/spreadsheets/d/1juPI-Fb8LD0YtltB2mlGEnp_R3UVu1t3wSFPzgCyHXE/edit?gid=0#gid=0"",""GERAL!A2:C""),3,0),""-"")"),"-")</f>
        <v>-</v>
      </c>
    </row>
    <row r="980" ht="15.75" customHeight="1">
      <c r="A980" s="111" t="s">
        <v>1224</v>
      </c>
      <c r="B980" s="83" t="s">
        <v>2097</v>
      </c>
      <c r="C980" s="83" t="s">
        <v>68</v>
      </c>
      <c r="D980" s="112">
        <v>1114478.0</v>
      </c>
      <c r="E980" s="83"/>
      <c r="F980" s="83">
        <v>2.9128366E7</v>
      </c>
      <c r="G980" s="153" t="s">
        <v>5187</v>
      </c>
      <c r="H980" s="108" t="s">
        <v>5188</v>
      </c>
      <c r="I980" s="83" t="s">
        <v>149</v>
      </c>
      <c r="J980" s="83" t="s">
        <v>150</v>
      </c>
      <c r="K980" s="83" t="s">
        <v>151</v>
      </c>
      <c r="L980" s="83" t="s">
        <v>230</v>
      </c>
      <c r="M980" s="82" t="str">
        <f>IFERROR(__xludf.DUMMYFUNCTION("IFERROR(VLOOKUP(D980,
IMPORTRANGE(""https://docs.google.com/spreadsheets/d/1MjHtlUikwobi2MaWJgy7tfLeBmhj1u-dRFRs_8GwSoA/edit#gid=0"",""Gestores Escolares!D7:J""),3,0),""VERIFICAR CÓD SEC"")"),"LEOMARCOS REIS ALMEIDA")</f>
        <v>LEOMARCOS REIS ALMEIDA</v>
      </c>
      <c r="N980" s="82" t="str">
        <f>IFERROR(__xludf.DUMMYFUNCTION("IFERROR(VLOOKUP(D980,
IMPORTRANGE(""https://docs.google.com/spreadsheets/d/1MjHtlUikwobi2MaWJgy7tfLeBmhj1u-dRFRs_8GwSoA/edit#gid=0"",""Gestores Escolares!D7:J""),4,0),""VERIFICAR CÓD SEC"")"),"(79) 9 9864-0788")</f>
        <v>(79) 9 9864-0788</v>
      </c>
      <c r="O980" s="82" t="str">
        <f>IFERROR(__xludf.DUMMYFUNCTION("IFERROR(VLOOKUP(D980,
IMPORTRANGE(""https://docs.google.com/spreadsheets/d/1MjHtlUikwobi2MaWJgy7tfLeBmhj1u-dRFRs_8GwSoA/edit#gid=0"",""Gestores Escolares!D7:J""),6,0),""VERIFICAR CÓD SEC"")"),"MARIA JEANE FERREIRA")</f>
        <v>MARIA JEANE FERREIRA</v>
      </c>
      <c r="P980" s="82" t="str">
        <f>IFERROR(__xludf.DUMMYFUNCTION("IFERROR(VLOOKUP(D980,
IMPORTRANGE(""https://docs.google.com/spreadsheets/d/1MjHtlUikwobi2MaWJgy7tfLeBmhj1u-dRFRs_8GwSoA/edit#gid=0"",""Gestores Escolares!D7:J""),7,0),""VERIFICAR CÓD SEC"")"),"(79) 9 9904-0936")</f>
        <v>(79) 9 9904-0936</v>
      </c>
      <c r="Q980" s="82" t="str">
        <f>IFERROR(__xludf.DUMMYFUNCTION("IFERROR(VLOOKUP(D980,
IMPORTRANGE(""https://docs.google.com/spreadsheets/d/1MjHtlUikwobi2MaWJgy7tfLeBmhj1u-dRFRs_8GwSoA/edit#gid=0"",""Gestores Escolares!D7:m""),9,0),""VERIFICAR CÓD SEC"")"),"ALDAIR DE OLIVEIRA BARBOSA")</f>
        <v>ALDAIR DE OLIVEIRA BARBOSA</v>
      </c>
      <c r="R980" s="82" t="str">
        <f>IFERROR(__xludf.DUMMYFUNCTION("IFERROR(VLOOKUP(D980,
IMPORTRANGE(""https://docs.google.com/spreadsheets/d/1MjHtlUikwobi2MaWJgy7tfLeBmhj1u-dRFRs_8GwSoA/edit#gid=0"",""Gestores Escolares!D7:m""),10,0),""VERIFICAR CÓD SEC"")"),"(75) 9 9896-9024")</f>
        <v>(75) 9 9896-9024</v>
      </c>
      <c r="S980" s="82"/>
      <c r="T980" s="138">
        <v>5.0</v>
      </c>
      <c r="U980" s="145" t="s">
        <v>1323</v>
      </c>
      <c r="V980" s="106">
        <v>0.0</v>
      </c>
      <c r="W980" s="107">
        <v>0.0</v>
      </c>
      <c r="X980" s="107">
        <v>0.0</v>
      </c>
      <c r="Y980" s="107">
        <v>0.0</v>
      </c>
      <c r="Z980" s="80">
        <f t="shared" si="1"/>
        <v>0</v>
      </c>
      <c r="AA980" s="106">
        <v>0.0</v>
      </c>
      <c r="AB980" s="107">
        <v>0.0</v>
      </c>
      <c r="AC980" s="107">
        <v>0.0</v>
      </c>
      <c r="AD980" s="107">
        <v>0.0</v>
      </c>
      <c r="AE980" s="80">
        <f t="shared" si="2"/>
        <v>0</v>
      </c>
      <c r="AF980" s="140">
        <v>0.0</v>
      </c>
      <c r="AG980" s="109">
        <v>0.0</v>
      </c>
      <c r="AH980" s="109">
        <v>0.0</v>
      </c>
      <c r="AI980" s="141">
        <v>434.0</v>
      </c>
      <c r="AJ980" s="80">
        <f t="shared" si="3"/>
        <v>434</v>
      </c>
      <c r="AK980" s="140">
        <v>0.0</v>
      </c>
      <c r="AL980" s="109">
        <v>0.0</v>
      </c>
      <c r="AM980" s="141">
        <v>0.0</v>
      </c>
      <c r="AN980" s="80">
        <f t="shared" si="4"/>
        <v>0</v>
      </c>
      <c r="AO980" s="140">
        <v>0.0</v>
      </c>
      <c r="AP980" s="109">
        <v>0.0</v>
      </c>
      <c r="AQ980" s="109">
        <v>146.0</v>
      </c>
      <c r="AR980" s="80">
        <f t="shared" si="5"/>
        <v>146</v>
      </c>
      <c r="AS980" s="110">
        <v>0.0</v>
      </c>
      <c r="AT980" s="110">
        <v>0.0</v>
      </c>
      <c r="AU980" s="110">
        <v>0.0</v>
      </c>
      <c r="AV980" s="142">
        <v>57.0</v>
      </c>
      <c r="AW980" s="80">
        <f t="shared" si="6"/>
        <v>57</v>
      </c>
      <c r="AX980" s="113">
        <f t="shared" si="7"/>
        <v>637</v>
      </c>
      <c r="AY980" s="117">
        <f t="shared" si="8"/>
        <v>491</v>
      </c>
      <c r="AZ980" s="120">
        <f t="shared" si="9"/>
        <v>146</v>
      </c>
      <c r="BA980" s="115">
        <v>0.0</v>
      </c>
      <c r="BB980" s="89">
        <f t="shared" si="10"/>
        <v>637</v>
      </c>
      <c r="BC980" s="132" t="s">
        <v>178</v>
      </c>
      <c r="BD980" s="132" t="s">
        <v>178</v>
      </c>
      <c r="BE980" s="132" t="s">
        <v>178</v>
      </c>
      <c r="BF980" s="123"/>
      <c r="BG980" s="83">
        <v>1114478.0</v>
      </c>
      <c r="BH980" s="112"/>
      <c r="BI980" s="112">
        <v>5.0</v>
      </c>
      <c r="BJ980" s="98" t="s">
        <v>162</v>
      </c>
      <c r="BK980" s="99">
        <f t="shared" si="11"/>
        <v>491</v>
      </c>
      <c r="BL980" s="99">
        <f t="shared" si="12"/>
        <v>0</v>
      </c>
      <c r="BM980" s="99" t="str">
        <f>IFERROR(__xludf.DUMMYFUNCTION("IFERROR(VLOOKUP(BG980,IMPORTRANGE(""https://docs.google.com/spreadsheets/d/1juPI-Fb8LD0YtltB2mlGEnp_R3UVu1t3wSFPzgCyHXE/edit?gid=0#gid=0"",""GERAL!A2:C""),3,0),""-"")"),"-")</f>
        <v>-</v>
      </c>
    </row>
    <row r="981" ht="15.75" customHeight="1">
      <c r="A981" s="111" t="s">
        <v>1224</v>
      </c>
      <c r="B981" s="83" t="s">
        <v>5190</v>
      </c>
      <c r="C981" s="83" t="s">
        <v>68</v>
      </c>
      <c r="D981" s="112">
        <v>1178118.0</v>
      </c>
      <c r="E981" s="83"/>
      <c r="F981" s="83">
        <v>2.943453E7</v>
      </c>
      <c r="G981" s="119" t="s">
        <v>5191</v>
      </c>
      <c r="H981" s="91" t="s">
        <v>5192</v>
      </c>
      <c r="I981" s="136" t="s">
        <v>149</v>
      </c>
      <c r="J981" s="83" t="s">
        <v>150</v>
      </c>
      <c r="K981" s="83" t="s">
        <v>151</v>
      </c>
      <c r="L981" s="83" t="s">
        <v>152</v>
      </c>
      <c r="M981" s="82" t="str">
        <f>IFERROR(__xludf.DUMMYFUNCTION("IFERROR(VLOOKUP(D981,
IMPORTRANGE(""https://docs.google.com/spreadsheets/d/1MjHtlUikwobi2MaWJgy7tfLeBmhj1u-dRFRs_8GwSoA/edit#gid=0"",""Gestores Escolares!D7:J""),3,0),""VERIFICAR CÓD SEC"")"),"GILBERTO JACO CARVALHO SANTOS")</f>
        <v>GILBERTO JACO CARVALHO SANTOS</v>
      </c>
      <c r="N981" s="82" t="str">
        <f>IFERROR(__xludf.DUMMYFUNCTION("IFERROR(VLOOKUP(D981,
IMPORTRANGE(""https://docs.google.com/spreadsheets/d/1MjHtlUikwobi2MaWJgy7tfLeBmhj1u-dRFRs_8GwSoA/edit#gid=0"",""Gestores Escolares!D7:J""),4,0),""VERIFICAR CÓD SEC"")"),"(71) 9 9999-6879/ (75) 9 8118-1253")</f>
        <v>(71) 9 9999-6879/ (75) 9 8118-1253</v>
      </c>
      <c r="O981" s="82" t="str">
        <f>IFERROR(__xludf.DUMMYFUNCTION("IFERROR(VLOOKUP(D981,
IMPORTRANGE(""https://docs.google.com/spreadsheets/d/1MjHtlUikwobi2MaWJgy7tfLeBmhj1u-dRFRs_8GwSoA/edit#gid=0"",""Gestores Escolares!D7:J""),6,0),""VERIFICAR CÓD SEC"")"),"ALAN VINICIUS ROCHA VIANA")</f>
        <v>ALAN VINICIUS ROCHA VIANA</v>
      </c>
      <c r="P981" s="82" t="str">
        <f>IFERROR(__xludf.DUMMYFUNCTION("IFERROR(VLOOKUP(D981,
IMPORTRANGE(""https://docs.google.com/spreadsheets/d/1MjHtlUikwobi2MaWJgy7tfLeBmhj1u-dRFRs_8GwSoA/edit#gid=0"",""Gestores Escolares!D7:J""),7,0),""VERIFICAR CÓD SEC"")"),"(79) 9 9974-5351")</f>
        <v>(79) 9 9974-5351</v>
      </c>
      <c r="Q981" s="82" t="str">
        <f>IFERROR(__xludf.DUMMYFUNCTION("IFERROR(VLOOKUP(D981,
IMPORTRANGE(""https://docs.google.com/spreadsheets/d/1MjHtlUikwobi2MaWJgy7tfLeBmhj1u-dRFRs_8GwSoA/edit#gid=0"",""Gestores Escolares!D7:m""),9,0),""VERIFICAR CÓD SEC"")"),"FRANCIS FONSECA OLIVEIRA")</f>
        <v>FRANCIS FONSECA OLIVEIRA</v>
      </c>
      <c r="R981" s="82" t="str">
        <f>IFERROR(__xludf.DUMMYFUNCTION("IFERROR(VLOOKUP(D981,
IMPORTRANGE(""https://docs.google.com/spreadsheets/d/1MjHtlUikwobi2MaWJgy7tfLeBmhj1u-dRFRs_8GwSoA/edit#gid=0"",""Gestores Escolares!D7:m""),10,0),""VERIFICAR CÓD SEC"")")," (79) 9 9926-1125")</f>
        <v> (79) 9 9926-1125</v>
      </c>
      <c r="S981" s="82"/>
      <c r="T981" s="138">
        <v>14.0</v>
      </c>
      <c r="U981" s="616">
        <v>11.0</v>
      </c>
      <c r="V981" s="106">
        <v>0.0</v>
      </c>
      <c r="W981" s="107">
        <v>0.0</v>
      </c>
      <c r="X981" s="107">
        <v>0.0</v>
      </c>
      <c r="Y981" s="107">
        <v>0.0</v>
      </c>
      <c r="Z981" s="80">
        <f t="shared" si="1"/>
        <v>0</v>
      </c>
      <c r="AA981" s="106">
        <v>0.0</v>
      </c>
      <c r="AB981" s="107">
        <v>0.0</v>
      </c>
      <c r="AC981" s="107">
        <v>0.0</v>
      </c>
      <c r="AD981" s="107">
        <v>0.0</v>
      </c>
      <c r="AE981" s="80">
        <f t="shared" si="2"/>
        <v>0</v>
      </c>
      <c r="AF981" s="140">
        <v>0.0</v>
      </c>
      <c r="AG981" s="109">
        <v>0.0</v>
      </c>
      <c r="AH981" s="109">
        <v>0.0</v>
      </c>
      <c r="AI981" s="141">
        <v>314.0</v>
      </c>
      <c r="AJ981" s="80">
        <f t="shared" si="3"/>
        <v>314</v>
      </c>
      <c r="AK981" s="140">
        <v>0.0</v>
      </c>
      <c r="AL981" s="109">
        <v>0.0</v>
      </c>
      <c r="AM981" s="141">
        <v>0.0</v>
      </c>
      <c r="AN981" s="80">
        <f t="shared" si="4"/>
        <v>0</v>
      </c>
      <c r="AO981" s="140">
        <v>0.0</v>
      </c>
      <c r="AP981" s="109">
        <v>57.0</v>
      </c>
      <c r="AQ981" s="109">
        <v>29.0</v>
      </c>
      <c r="AR981" s="80">
        <f t="shared" si="5"/>
        <v>86</v>
      </c>
      <c r="AS981" s="110">
        <v>30.0</v>
      </c>
      <c r="AT981" s="110">
        <v>0.0</v>
      </c>
      <c r="AU981" s="110">
        <v>53.0</v>
      </c>
      <c r="AV981" s="142">
        <v>22.0</v>
      </c>
      <c r="AW981" s="80">
        <f t="shared" si="6"/>
        <v>105</v>
      </c>
      <c r="AX981" s="113">
        <f t="shared" si="7"/>
        <v>505</v>
      </c>
      <c r="AY981" s="117">
        <f t="shared" si="8"/>
        <v>423</v>
      </c>
      <c r="AZ981" s="120">
        <f t="shared" si="9"/>
        <v>82</v>
      </c>
      <c r="BA981" s="115">
        <v>0.0</v>
      </c>
      <c r="BB981" s="89">
        <f t="shared" si="10"/>
        <v>505</v>
      </c>
      <c r="BC981" s="132" t="s">
        <v>178</v>
      </c>
      <c r="BD981" s="132" t="s">
        <v>178</v>
      </c>
      <c r="BE981" s="132" t="s">
        <v>178</v>
      </c>
      <c r="BF981" s="123"/>
      <c r="BG981" s="83">
        <v>1178118.0</v>
      </c>
      <c r="BH981" s="112"/>
      <c r="BI981" s="112">
        <v>6.0</v>
      </c>
      <c r="BJ981" s="98" t="s">
        <v>176</v>
      </c>
      <c r="BK981" s="99">
        <f t="shared" si="11"/>
        <v>336</v>
      </c>
      <c r="BL981" s="99">
        <f t="shared" si="12"/>
        <v>87</v>
      </c>
      <c r="BM981" s="99" t="str">
        <f>IFERROR(__xludf.DUMMYFUNCTION("IFERROR(VLOOKUP(BG981,IMPORTRANGE(""https://docs.google.com/spreadsheets/d/1juPI-Fb8LD0YtltB2mlGEnp_R3UVu1t3wSFPzgCyHXE/edit?gid=0#gid=0"",""GERAL!A2:C""),3,0),""-"")"),"-")</f>
        <v>-</v>
      </c>
    </row>
    <row r="982" ht="15.75" customHeight="1">
      <c r="A982" s="111" t="s">
        <v>1224</v>
      </c>
      <c r="B982" s="83" t="s">
        <v>2223</v>
      </c>
      <c r="C982" s="83" t="s">
        <v>68</v>
      </c>
      <c r="D982" s="112">
        <v>1178136.0</v>
      </c>
      <c r="E982" s="83"/>
      <c r="F982" s="83">
        <v>2.9436931E7</v>
      </c>
      <c r="G982" s="184" t="s">
        <v>5194</v>
      </c>
      <c r="H982" s="108" t="s">
        <v>5195</v>
      </c>
      <c r="I982" s="83" t="s">
        <v>149</v>
      </c>
      <c r="J982" s="83" t="s">
        <v>209</v>
      </c>
      <c r="K982" s="83" t="s">
        <v>151</v>
      </c>
      <c r="L982" s="83" t="s">
        <v>230</v>
      </c>
      <c r="M982" s="82" t="str">
        <f>IFERROR(__xludf.DUMMYFUNCTION("IFERROR(VLOOKUP(D982,
IMPORTRANGE(""https://docs.google.com/spreadsheets/d/1MjHtlUikwobi2MaWJgy7tfLeBmhj1u-dRFRs_8GwSoA/edit#gid=0"",""Gestores Escolares!D7:J""),3,0),""VERIFICAR CÓD SEC"")"),"MAXIMILIANO JOSE CARVALHO VARJAO")</f>
        <v>MAXIMILIANO JOSE CARVALHO VARJAO</v>
      </c>
      <c r="N982" s="82" t="str">
        <f>IFERROR(__xludf.DUMMYFUNCTION("IFERROR(VLOOKUP(D982,
IMPORTRANGE(""https://docs.google.com/spreadsheets/d/1MjHtlUikwobi2MaWJgy7tfLeBmhj1u-dRFRs_8GwSoA/edit#gid=0"",""Gestores Escolares!D7:J""),4,0),""VERIFICAR CÓD SEC"")"),"(71) 9 9174-9440")</f>
        <v>(71) 9 9174-9440</v>
      </c>
      <c r="O982" s="82" t="str">
        <f>IFERROR(__xludf.DUMMYFUNCTION("IFERROR(VLOOKUP(D982,
IMPORTRANGE(""https://docs.google.com/spreadsheets/d/1MjHtlUikwobi2MaWJgy7tfLeBmhj1u-dRFRs_8GwSoA/edit#gid=0"",""Gestores Escolares!D7:J""),6,0),""VERIFICAR CÓD SEC"")"),"JILMARA SANDRA DO NASCIMENTO SANTOS")</f>
        <v>JILMARA SANDRA DO NASCIMENTO SANTOS</v>
      </c>
      <c r="P982" s="82" t="str">
        <f>IFERROR(__xludf.DUMMYFUNCTION("IFERROR(VLOOKUP(D982,
IMPORTRANGE(""https://docs.google.com/spreadsheets/d/1MjHtlUikwobi2MaWJgy7tfLeBmhj1u-dRFRs_8GwSoA/edit#gid=0"",""Gestores Escolares!D7:J""),7,0),""VERIFICAR CÓD SEC"")"),"(75) 9 9810-6868 (zap)")</f>
        <v>(75) 9 9810-6868 (zap)</v>
      </c>
      <c r="Q982" s="82" t="str">
        <f>IFERROR(__xludf.DUMMYFUNCTION("IFERROR(VLOOKUP(D982,
IMPORTRANGE(""https://docs.google.com/spreadsheets/d/1MjHtlUikwobi2MaWJgy7tfLeBmhj1u-dRFRs_8GwSoA/edit#gid=0"",""Gestores Escolares!D7:m""),9,0),""VERIFICAR CÓD SEC"")"),"HUMBERTO CARVALHO SILVA JUNIOR")</f>
        <v>HUMBERTO CARVALHO SILVA JUNIOR</v>
      </c>
      <c r="R982" s="82" t="str">
        <f>IFERROR(__xludf.DUMMYFUNCTION("IFERROR(VLOOKUP(D982,
IMPORTRANGE(""https://docs.google.com/spreadsheets/d/1MjHtlUikwobi2MaWJgy7tfLeBmhj1u-dRFRs_8GwSoA/edit#gid=0"",""Gestores Escolares!D7:m""),10,0),""VERIFICAR CÓD SEC"")")," (75) 9 9997-7702")</f>
        <v> (75) 9 9997-7702</v>
      </c>
      <c r="S982" s="82"/>
      <c r="T982" s="138">
        <v>7.0</v>
      </c>
      <c r="U982" s="145">
        <v>32.0</v>
      </c>
      <c r="V982" s="106">
        <v>0.0</v>
      </c>
      <c r="W982" s="107">
        <v>0.0</v>
      </c>
      <c r="X982" s="107">
        <v>0.0</v>
      </c>
      <c r="Y982" s="107">
        <v>0.0</v>
      </c>
      <c r="Z982" s="80">
        <f t="shared" si="1"/>
        <v>0</v>
      </c>
      <c r="AA982" s="106">
        <v>0.0</v>
      </c>
      <c r="AB982" s="107">
        <v>0.0</v>
      </c>
      <c r="AC982" s="107">
        <v>0.0</v>
      </c>
      <c r="AD982" s="107">
        <v>0.0</v>
      </c>
      <c r="AE982" s="80">
        <f t="shared" si="2"/>
        <v>0</v>
      </c>
      <c r="AF982" s="140">
        <v>220.0</v>
      </c>
      <c r="AG982" s="109">
        <v>121.0</v>
      </c>
      <c r="AH982" s="109">
        <v>0.0</v>
      </c>
      <c r="AI982" s="141">
        <v>393.0</v>
      </c>
      <c r="AJ982" s="80">
        <f t="shared" si="3"/>
        <v>734</v>
      </c>
      <c r="AK982" s="140">
        <v>0.0</v>
      </c>
      <c r="AL982" s="109">
        <v>0.0</v>
      </c>
      <c r="AM982" s="141">
        <v>0.0</v>
      </c>
      <c r="AN982" s="80">
        <f t="shared" si="4"/>
        <v>0</v>
      </c>
      <c r="AO982" s="140">
        <v>0.0</v>
      </c>
      <c r="AP982" s="109">
        <v>0.0</v>
      </c>
      <c r="AQ982" s="109">
        <v>144.0</v>
      </c>
      <c r="AR982" s="80">
        <f t="shared" si="5"/>
        <v>144</v>
      </c>
      <c r="AS982" s="110">
        <v>117.0</v>
      </c>
      <c r="AT982" s="110">
        <v>0.0</v>
      </c>
      <c r="AU982" s="110">
        <v>246.0</v>
      </c>
      <c r="AV982" s="142">
        <v>267.0</v>
      </c>
      <c r="AW982" s="80">
        <f t="shared" si="6"/>
        <v>630</v>
      </c>
      <c r="AX982" s="113">
        <f t="shared" si="7"/>
        <v>1508</v>
      </c>
      <c r="AY982" s="117">
        <f t="shared" si="8"/>
        <v>1118</v>
      </c>
      <c r="AZ982" s="120">
        <f t="shared" si="9"/>
        <v>390</v>
      </c>
      <c r="BA982" s="115">
        <v>0.0</v>
      </c>
      <c r="BB982" s="89">
        <f t="shared" si="10"/>
        <v>1508</v>
      </c>
      <c r="BC982" s="132" t="s">
        <v>178</v>
      </c>
      <c r="BD982" s="132" t="s">
        <v>522</v>
      </c>
      <c r="BE982" s="132" t="s">
        <v>178</v>
      </c>
      <c r="BF982" s="123"/>
      <c r="BG982" s="83">
        <v>1178136.0</v>
      </c>
      <c r="BH982" s="112"/>
      <c r="BI982" s="112">
        <v>8.0</v>
      </c>
      <c r="BJ982" s="98" t="s">
        <v>162</v>
      </c>
      <c r="BK982" s="99">
        <f t="shared" si="11"/>
        <v>660</v>
      </c>
      <c r="BL982" s="99">
        <f t="shared" si="12"/>
        <v>458</v>
      </c>
      <c r="BM982" s="99" t="str">
        <f>IFERROR(__xludf.DUMMYFUNCTION("IFERROR(VLOOKUP(BG982,IMPORTRANGE(""https://docs.google.com/spreadsheets/d/1juPI-Fb8LD0YtltB2mlGEnp_R3UVu1t3wSFPzgCyHXE/edit?gid=0#gid=0"",""GERAL!A2:C""),3,0),""-"")"),"-")</f>
        <v>-</v>
      </c>
    </row>
    <row r="983" ht="15.75" customHeight="1">
      <c r="A983" s="111" t="s">
        <v>1224</v>
      </c>
      <c r="B983" s="83" t="s">
        <v>2223</v>
      </c>
      <c r="C983" s="83" t="s">
        <v>164</v>
      </c>
      <c r="D983" s="112">
        <v>1178136.0</v>
      </c>
      <c r="E983" s="83">
        <v>1178581.0</v>
      </c>
      <c r="F983" s="98">
        <v>2.9489962E7</v>
      </c>
      <c r="G983" s="184" t="s">
        <v>5197</v>
      </c>
      <c r="H983" s="91" t="s">
        <v>5198</v>
      </c>
      <c r="I983" s="83" t="s">
        <v>149</v>
      </c>
      <c r="J983" s="83" t="s">
        <v>252</v>
      </c>
      <c r="K983" s="83" t="s">
        <v>168</v>
      </c>
      <c r="L983" s="83" t="s">
        <v>169</v>
      </c>
      <c r="M983" s="82" t="str">
        <f>IFERROR(__xludf.DUMMYFUNCTION("IFERROR(VLOOKUP(D983,
IMPORTRANGE(""https://docs.google.com/spreadsheets/d/1MjHtlUikwobi2MaWJgy7tfLeBmhj1u-dRFRs_8GwSoA/edit#gid=0"",""Gestores Escolares!D7:J""),3,0),""VERIFICAR CÓD SEC"")"),"MAXIMILIANO JOSE CARVALHO VARJAO")</f>
        <v>MAXIMILIANO JOSE CARVALHO VARJAO</v>
      </c>
      <c r="N983" s="82" t="str">
        <f>IFERROR(__xludf.DUMMYFUNCTION("IFERROR(VLOOKUP(D983,
IMPORTRANGE(""https://docs.google.com/spreadsheets/d/1MjHtlUikwobi2MaWJgy7tfLeBmhj1u-dRFRs_8GwSoA/edit#gid=0"",""Gestores Escolares!D7:J""),4,0),""VERIFICAR CÓD SEC"")"),"(71) 9 9174-9440")</f>
        <v>(71) 9 9174-9440</v>
      </c>
      <c r="O983" s="82" t="str">
        <f>IFERROR(__xludf.DUMMYFUNCTION("IFERROR(VLOOKUP(D983,
IMPORTRANGE(""https://docs.google.com/spreadsheets/d/1MjHtlUikwobi2MaWJgy7tfLeBmhj1u-dRFRs_8GwSoA/edit#gid=0"",""Gestores Escolares!D7:J""),6,0),""VERIFICAR CÓD SEC"")"),"JILMARA SANDRA DO NASCIMENTO SANTOS")</f>
        <v>JILMARA SANDRA DO NASCIMENTO SANTOS</v>
      </c>
      <c r="P983" s="82" t="str">
        <f>IFERROR(__xludf.DUMMYFUNCTION("IFERROR(VLOOKUP(D983,
IMPORTRANGE(""https://docs.google.com/spreadsheets/d/1MjHtlUikwobi2MaWJgy7tfLeBmhj1u-dRFRs_8GwSoA/edit#gid=0"",""Gestores Escolares!D7:J""),7,0),""VERIFICAR CÓD SEC"")"),"(75) 9 9810-6868 (zap)")</f>
        <v>(75) 9 9810-6868 (zap)</v>
      </c>
      <c r="Q983" s="82" t="str">
        <f>IFERROR(__xludf.DUMMYFUNCTION("IFERROR(VLOOKUP(D983,
IMPORTRANGE(""https://docs.google.com/spreadsheets/d/1MjHtlUikwobi2MaWJgy7tfLeBmhj1u-dRFRs_8GwSoA/edit#gid=0"",""Gestores Escolares!D7:m""),9,0),""VERIFICAR CÓD SEC"")"),"HUMBERTO CARVALHO SILVA JUNIOR")</f>
        <v>HUMBERTO CARVALHO SILVA JUNIOR</v>
      </c>
      <c r="R983" s="82" t="str">
        <f>IFERROR(__xludf.DUMMYFUNCTION("IFERROR(VLOOKUP(D983,
IMPORTRANGE(""https://docs.google.com/spreadsheets/d/1MjHtlUikwobi2MaWJgy7tfLeBmhj1u-dRFRs_8GwSoA/edit#gid=0"",""Gestores Escolares!D7:m""),10,0),""VERIFICAR CÓD SEC"")")," (75) 9 9997-7702")</f>
        <v> (75) 9 9997-7702</v>
      </c>
      <c r="S983" s="82"/>
      <c r="T983" s="138">
        <v>4.0</v>
      </c>
      <c r="U983" s="145">
        <v>3.0</v>
      </c>
      <c r="V983" s="106">
        <v>0.0</v>
      </c>
      <c r="W983" s="107">
        <v>0.0</v>
      </c>
      <c r="X983" s="107">
        <v>0.0</v>
      </c>
      <c r="Y983" s="107">
        <v>0.0</v>
      </c>
      <c r="Z983" s="80">
        <f t="shared" si="1"/>
        <v>0</v>
      </c>
      <c r="AA983" s="106">
        <v>0.0</v>
      </c>
      <c r="AB983" s="107">
        <v>0.0</v>
      </c>
      <c r="AC983" s="107">
        <v>0.0</v>
      </c>
      <c r="AD983" s="107">
        <v>0.0</v>
      </c>
      <c r="AE983" s="80">
        <f t="shared" si="2"/>
        <v>0</v>
      </c>
      <c r="AF983" s="140">
        <v>0.0</v>
      </c>
      <c r="AG983" s="109">
        <v>0.0</v>
      </c>
      <c r="AH983" s="109">
        <v>73.0</v>
      </c>
      <c r="AI983" s="141">
        <v>0.0</v>
      </c>
      <c r="AJ983" s="80">
        <f t="shared" si="3"/>
        <v>73</v>
      </c>
      <c r="AK983" s="140">
        <v>0.0</v>
      </c>
      <c r="AL983" s="109">
        <v>0.0</v>
      </c>
      <c r="AM983" s="141">
        <v>0.0</v>
      </c>
      <c r="AN983" s="80">
        <f t="shared" si="4"/>
        <v>0</v>
      </c>
      <c r="AO983" s="140">
        <v>0.0</v>
      </c>
      <c r="AP983" s="109">
        <v>0.0</v>
      </c>
      <c r="AQ983" s="109">
        <v>0.0</v>
      </c>
      <c r="AR983" s="80">
        <f t="shared" si="5"/>
        <v>0</v>
      </c>
      <c r="AS983" s="110">
        <v>0.0</v>
      </c>
      <c r="AT983" s="110">
        <v>0.0</v>
      </c>
      <c r="AU983" s="110">
        <v>0.0</v>
      </c>
      <c r="AV983" s="142">
        <v>0.0</v>
      </c>
      <c r="AW983" s="80">
        <f t="shared" si="6"/>
        <v>0</v>
      </c>
      <c r="AX983" s="113">
        <f t="shared" si="7"/>
        <v>73</v>
      </c>
      <c r="AY983" s="117">
        <f t="shared" si="8"/>
        <v>0</v>
      </c>
      <c r="AZ983" s="120">
        <f t="shared" si="9"/>
        <v>73</v>
      </c>
      <c r="BA983" s="115">
        <v>0.0</v>
      </c>
      <c r="BB983" s="89">
        <f t="shared" si="10"/>
        <v>73</v>
      </c>
      <c r="BC983" s="132" t="s">
        <v>373</v>
      </c>
      <c r="BD983" s="132" t="s">
        <v>178</v>
      </c>
      <c r="BE983" s="132" t="s">
        <v>178</v>
      </c>
      <c r="BF983" s="123"/>
      <c r="BG983" s="83">
        <v>1178581.0</v>
      </c>
      <c r="BH983" s="112"/>
      <c r="BI983" s="112">
        <v>4.0</v>
      </c>
      <c r="BJ983" s="98" t="s">
        <v>155</v>
      </c>
      <c r="BK983" s="99">
        <f t="shared" si="11"/>
        <v>0</v>
      </c>
      <c r="BL983" s="99">
        <f t="shared" si="12"/>
        <v>0</v>
      </c>
      <c r="BM983" s="99" t="str">
        <f>IFERROR(__xludf.DUMMYFUNCTION("IFERROR(VLOOKUP(BG983,IMPORTRANGE(""https://docs.google.com/spreadsheets/d/1juPI-Fb8LD0YtltB2mlGEnp_R3UVu1t3wSFPzgCyHXE/edit?gid=0#gid=0"",""GERAL!A2:C""),3,0),""-"")"),"CAMPO")</f>
        <v>CAMPO</v>
      </c>
    </row>
    <row r="984" ht="15.75" customHeight="1">
      <c r="A984" s="111" t="s">
        <v>1224</v>
      </c>
      <c r="B984" s="83" t="s">
        <v>5199</v>
      </c>
      <c r="C984" s="83" t="s">
        <v>68</v>
      </c>
      <c r="D984" s="112">
        <v>1177006.0</v>
      </c>
      <c r="E984" s="83"/>
      <c r="F984" s="83">
        <v>2.9407834E7</v>
      </c>
      <c r="G984" s="153" t="s">
        <v>5200</v>
      </c>
      <c r="H984" s="108" t="s">
        <v>5201</v>
      </c>
      <c r="I984" s="83" t="s">
        <v>5202</v>
      </c>
      <c r="J984" s="83" t="s">
        <v>150</v>
      </c>
      <c r="K984" s="83" t="s">
        <v>151</v>
      </c>
      <c r="L984" s="98" t="s">
        <v>230</v>
      </c>
      <c r="M984" s="82" t="str">
        <f>IFERROR(__xludf.DUMMYFUNCTION("IFERROR(VLOOKUP(D984,
IMPORTRANGE(""https://docs.google.com/spreadsheets/d/1MjHtlUikwobi2MaWJgy7tfLeBmhj1u-dRFRs_8GwSoA/edit#gid=0"",""Gestores Escolares!D7:J""),3,0),""VERIFICAR CÓD SEC"")"),"JUCELINO MOREIRA DE CARVALHO")</f>
        <v>JUCELINO MOREIRA DE CARVALHO</v>
      </c>
      <c r="N984" s="82" t="str">
        <f>IFERROR(__xludf.DUMMYFUNCTION("IFERROR(VLOOKUP(D984,
IMPORTRANGE(""https://docs.google.com/spreadsheets/d/1MjHtlUikwobi2MaWJgy7tfLeBmhj1u-dRFRs_8GwSoA/edit#gid=0"",""Gestores Escolares!D7:J""),4,0),""VERIFICAR CÓD SEC"")"),"(75) 9 9851- 3376")</f>
        <v>(75) 9 9851- 3376</v>
      </c>
      <c r="O984" s="82" t="str">
        <f>IFERROR(__xludf.DUMMYFUNCTION("IFERROR(VLOOKUP(D984,
IMPORTRANGE(""https://docs.google.com/spreadsheets/d/1MjHtlUikwobi2MaWJgy7tfLeBmhj1u-dRFRs_8GwSoA/edit#gid=0"",""Gestores Escolares!D7:J""),6,0),""VERIFICAR CÓD SEC"")"),"TARCIZIO VITORIO DE SOUZA")</f>
        <v>TARCIZIO VITORIO DE SOUZA</v>
      </c>
      <c r="P984" s="82" t="str">
        <f>IFERROR(__xludf.DUMMYFUNCTION("IFERROR(VLOOKUP(D984,
IMPORTRANGE(""https://docs.google.com/spreadsheets/d/1MjHtlUikwobi2MaWJgy7tfLeBmhj1u-dRFRs_8GwSoA/edit#gid=0"",""Gestores Escolares!D7:J""),7,0),""VERIFICAR CÓD SEC"")"),"(75) 9 9932-1269")</f>
        <v>(75) 9 9932-1269</v>
      </c>
      <c r="Q984" s="82" t="str">
        <f>IFERROR(__xludf.DUMMYFUNCTION("IFERROR(VLOOKUP(D984,
IMPORTRANGE(""https://docs.google.com/spreadsheets/d/1MjHtlUikwobi2MaWJgy7tfLeBmhj1u-dRFRs_8GwSoA/edit#gid=0"",""Gestores Escolares!D7:m""),9,0),""VERIFICAR CÓD SEC"")"),"FLAVIO COSTA DA CRUZ")</f>
        <v>FLAVIO COSTA DA CRUZ</v>
      </c>
      <c r="R984" s="82" t="str">
        <f>IFERROR(__xludf.DUMMYFUNCTION("IFERROR(VLOOKUP(D984,
IMPORTRANGE(""https://docs.google.com/spreadsheets/d/1MjHtlUikwobi2MaWJgy7tfLeBmhj1u-dRFRs_8GwSoA/edit#gid=0"",""Gestores Escolares!D7:m""),10,0),""VERIFICAR CÓD SEC"")"),"(75) 9 9956-7585")</f>
        <v>(75) 9 9956-7585</v>
      </c>
      <c r="S984" s="82"/>
      <c r="T984" s="138">
        <v>8.0</v>
      </c>
      <c r="U984" s="145">
        <v>24.0</v>
      </c>
      <c r="V984" s="106">
        <v>0.0</v>
      </c>
      <c r="W984" s="107">
        <v>0.0</v>
      </c>
      <c r="X984" s="107">
        <v>0.0</v>
      </c>
      <c r="Y984" s="107">
        <v>0.0</v>
      </c>
      <c r="Z984" s="80">
        <f t="shared" si="1"/>
        <v>0</v>
      </c>
      <c r="AA984" s="106">
        <v>0.0</v>
      </c>
      <c r="AB984" s="107">
        <v>0.0</v>
      </c>
      <c r="AC984" s="107">
        <v>0.0</v>
      </c>
      <c r="AD984" s="107">
        <v>0.0</v>
      </c>
      <c r="AE984" s="80">
        <f t="shared" si="2"/>
        <v>0</v>
      </c>
      <c r="AF984" s="140">
        <v>0.0</v>
      </c>
      <c r="AG984" s="109">
        <v>0.0</v>
      </c>
      <c r="AH984" s="109">
        <v>0.0</v>
      </c>
      <c r="AI984" s="141">
        <v>559.0</v>
      </c>
      <c r="AJ984" s="80">
        <f t="shared" si="3"/>
        <v>559</v>
      </c>
      <c r="AK984" s="140">
        <v>0.0</v>
      </c>
      <c r="AL984" s="109">
        <v>0.0</v>
      </c>
      <c r="AM984" s="141">
        <v>0.0</v>
      </c>
      <c r="AN984" s="80">
        <f t="shared" si="4"/>
        <v>0</v>
      </c>
      <c r="AO984" s="140">
        <v>0.0</v>
      </c>
      <c r="AP984" s="109">
        <v>0.0</v>
      </c>
      <c r="AQ984" s="109">
        <v>264.0</v>
      </c>
      <c r="AR984" s="80">
        <f t="shared" si="5"/>
        <v>264</v>
      </c>
      <c r="AS984" s="110">
        <v>20.0</v>
      </c>
      <c r="AT984" s="110">
        <v>0.0</v>
      </c>
      <c r="AU984" s="110">
        <v>87.0</v>
      </c>
      <c r="AV984" s="142">
        <v>123.0</v>
      </c>
      <c r="AW984" s="80">
        <f t="shared" si="6"/>
        <v>230</v>
      </c>
      <c r="AX984" s="113">
        <f t="shared" si="7"/>
        <v>1053</v>
      </c>
      <c r="AY984" s="117">
        <f t="shared" si="8"/>
        <v>702</v>
      </c>
      <c r="AZ984" s="120">
        <f t="shared" si="9"/>
        <v>351</v>
      </c>
      <c r="BA984" s="115">
        <v>0.0</v>
      </c>
      <c r="BB984" s="89">
        <f t="shared" si="10"/>
        <v>1053</v>
      </c>
      <c r="BC984" s="132" t="s">
        <v>178</v>
      </c>
      <c r="BD984" s="132" t="s">
        <v>178</v>
      </c>
      <c r="BE984" s="132" t="s">
        <v>178</v>
      </c>
      <c r="BF984" s="156"/>
      <c r="BG984" s="83">
        <v>1177006.0</v>
      </c>
      <c r="BH984" s="112"/>
      <c r="BI984" s="112">
        <v>8.0</v>
      </c>
      <c r="BJ984" s="98" t="s">
        <v>162</v>
      </c>
      <c r="BK984" s="99">
        <f t="shared" si="11"/>
        <v>682</v>
      </c>
      <c r="BL984" s="99">
        <f t="shared" si="12"/>
        <v>20</v>
      </c>
      <c r="BM984" s="99" t="str">
        <f>IFERROR(__xludf.DUMMYFUNCTION("IFERROR(VLOOKUP(BG984,IMPORTRANGE(""https://docs.google.com/spreadsheets/d/1juPI-Fb8LD0YtltB2mlGEnp_R3UVu1t3wSFPzgCyHXE/edit?gid=0#gid=0"",""GERAL!A2:C""),3,0),""-"")"),"-")</f>
        <v>-</v>
      </c>
    </row>
    <row r="985" ht="15.75" customHeight="1">
      <c r="A985" s="111" t="s">
        <v>1224</v>
      </c>
      <c r="B985" s="83" t="s">
        <v>5205</v>
      </c>
      <c r="C985" s="83" t="s">
        <v>68</v>
      </c>
      <c r="D985" s="112">
        <v>1166133.0</v>
      </c>
      <c r="E985" s="83"/>
      <c r="F985" s="83">
        <v>2.9131383E7</v>
      </c>
      <c r="G985" s="220" t="s">
        <v>5206</v>
      </c>
      <c r="H985" s="91" t="s">
        <v>5207</v>
      </c>
      <c r="I985" s="83" t="s">
        <v>149</v>
      </c>
      <c r="J985" s="83" t="s">
        <v>150</v>
      </c>
      <c r="K985" s="83" t="s">
        <v>151</v>
      </c>
      <c r="L985" s="83" t="s">
        <v>152</v>
      </c>
      <c r="M985" s="82" t="str">
        <f>IFERROR(__xludf.DUMMYFUNCTION("IFERROR(VLOOKUP(D985,
IMPORTRANGE(""https://docs.google.com/spreadsheets/d/1MjHtlUikwobi2MaWJgy7tfLeBmhj1u-dRFRs_8GwSoA/edit#gid=0"",""Gestores Escolares!D7:J""),3,0),""VERIFICAR CÓD SEC"")"),"	GLEDSON OLIVEIRA GUERRA")</f>
        <v>	GLEDSON OLIVEIRA GUERRA</v>
      </c>
      <c r="N985" s="82" t="str">
        <f>IFERROR(__xludf.DUMMYFUNCTION("IFERROR(VLOOKUP(D985,
IMPORTRANGE(""https://docs.google.com/spreadsheets/d/1MjHtlUikwobi2MaWJgy7tfLeBmhj1u-dRFRs_8GwSoA/edit#gid=0"",""Gestores Escolares!D7:J""),4,0),""VERIFICAR CÓD SEC"")"),"(75) 9 9935-5303")</f>
        <v>(75) 9 9935-5303</v>
      </c>
      <c r="O985" s="82" t="str">
        <f>IFERROR(__xludf.DUMMYFUNCTION("IFERROR(VLOOKUP(D985,
IMPORTRANGE(""https://docs.google.com/spreadsheets/d/1MjHtlUikwobi2MaWJgy7tfLeBmhj1u-dRFRs_8GwSoA/edit#gid=0"",""Gestores Escolares!D7:J""),6,0),""VERIFICAR CÓD SEC"")"),"MARINA LEITE SUZART")</f>
        <v>MARINA LEITE SUZART</v>
      </c>
      <c r="P985" s="82" t="str">
        <f>IFERROR(__xludf.DUMMYFUNCTION("IFERROR(VLOOKUP(D985,
IMPORTRANGE(""https://docs.google.com/spreadsheets/d/1MjHtlUikwobi2MaWJgy7tfLeBmhj1u-dRFRs_8GwSoA/edit#gid=0"",""Gestores Escolares!D7:J""),7,0),""VERIFICAR CÓD SEC"")"),"(79) 9 9139-7507")</f>
        <v>(79) 9 9139-7507</v>
      </c>
      <c r="Q985" s="82" t="str">
        <f>IFERROR(__xludf.DUMMYFUNCTION("IFERROR(VLOOKUP(D985,
IMPORTRANGE(""https://docs.google.com/spreadsheets/d/1MjHtlUikwobi2MaWJgy7tfLeBmhj1u-dRFRs_8GwSoA/edit#gid=0"",""Gestores Escolares!D7:m""),9,0),""VERIFICAR CÓD SEC"")"),"ISRAEL DANTAS DE HUNGRIA")</f>
        <v>ISRAEL DANTAS DE HUNGRIA</v>
      </c>
      <c r="R985" s="82" t="str">
        <f>IFERROR(__xludf.DUMMYFUNCTION("IFERROR(VLOOKUP(D985,
IMPORTRANGE(""https://docs.google.com/spreadsheets/d/1MjHtlUikwobi2MaWJgy7tfLeBmhj1u-dRFRs_8GwSoA/edit#gid=0"",""Gestores Escolares!D7:m""),10,0),""VERIFICAR CÓD SEC"")"),"(75) 9 9858-1522")</f>
        <v>(75) 9 9858-1522</v>
      </c>
      <c r="S985" s="82"/>
      <c r="T985" s="138">
        <v>6.0</v>
      </c>
      <c r="U985" s="139">
        <v>8.0</v>
      </c>
      <c r="V985" s="106">
        <v>0.0</v>
      </c>
      <c r="W985" s="107">
        <v>0.0</v>
      </c>
      <c r="X985" s="107">
        <v>0.0</v>
      </c>
      <c r="Y985" s="107">
        <v>0.0</v>
      </c>
      <c r="Z985" s="80">
        <f t="shared" si="1"/>
        <v>0</v>
      </c>
      <c r="AA985" s="106">
        <v>0.0</v>
      </c>
      <c r="AB985" s="107">
        <v>0.0</v>
      </c>
      <c r="AC985" s="107">
        <v>0.0</v>
      </c>
      <c r="AD985" s="107">
        <v>0.0</v>
      </c>
      <c r="AE985" s="80">
        <f t="shared" si="2"/>
        <v>0</v>
      </c>
      <c r="AF985" s="140">
        <v>0.0</v>
      </c>
      <c r="AG985" s="109">
        <v>0.0</v>
      </c>
      <c r="AH985" s="109">
        <v>0.0</v>
      </c>
      <c r="AI985" s="141">
        <v>255.0</v>
      </c>
      <c r="AJ985" s="80">
        <f t="shared" si="3"/>
        <v>255</v>
      </c>
      <c r="AK985" s="140">
        <v>0.0</v>
      </c>
      <c r="AL985" s="109">
        <v>0.0</v>
      </c>
      <c r="AM985" s="141">
        <v>0.0</v>
      </c>
      <c r="AN985" s="80">
        <f t="shared" si="4"/>
        <v>0</v>
      </c>
      <c r="AO985" s="140">
        <v>0.0</v>
      </c>
      <c r="AP985" s="109">
        <v>0.0</v>
      </c>
      <c r="AQ985" s="109">
        <v>60.0</v>
      </c>
      <c r="AR985" s="80">
        <f t="shared" si="5"/>
        <v>60</v>
      </c>
      <c r="AS985" s="110">
        <v>0.0</v>
      </c>
      <c r="AT985" s="110">
        <v>13.0</v>
      </c>
      <c r="AU985" s="110">
        <v>26.0</v>
      </c>
      <c r="AV985" s="142">
        <v>44.0</v>
      </c>
      <c r="AW985" s="80">
        <f t="shared" si="6"/>
        <v>83</v>
      </c>
      <c r="AX985" s="113">
        <f t="shared" si="7"/>
        <v>398</v>
      </c>
      <c r="AY985" s="117">
        <f t="shared" si="8"/>
        <v>312</v>
      </c>
      <c r="AZ985" s="120">
        <f t="shared" si="9"/>
        <v>86</v>
      </c>
      <c r="BA985" s="115">
        <v>0.0</v>
      </c>
      <c r="BB985" s="89">
        <f t="shared" si="10"/>
        <v>398</v>
      </c>
      <c r="BC985" s="132" t="s">
        <v>178</v>
      </c>
      <c r="BD985" s="132" t="s">
        <v>178</v>
      </c>
      <c r="BE985" s="132" t="s">
        <v>178</v>
      </c>
      <c r="BF985" s="156"/>
      <c r="BG985" s="83">
        <v>1166133.0</v>
      </c>
      <c r="BH985" s="112"/>
      <c r="BI985" s="112">
        <v>8.0</v>
      </c>
      <c r="BJ985" s="98" t="s">
        <v>162</v>
      </c>
      <c r="BK985" s="99">
        <f t="shared" si="11"/>
        <v>299</v>
      </c>
      <c r="BL985" s="99">
        <f t="shared" si="12"/>
        <v>13</v>
      </c>
      <c r="BM985" s="99" t="str">
        <f>IFERROR(__xludf.DUMMYFUNCTION("IFERROR(VLOOKUP(BG985,IMPORTRANGE(""https://docs.google.com/spreadsheets/d/1juPI-Fb8LD0YtltB2mlGEnp_R3UVu1t3wSFPzgCyHXE/edit?gid=0#gid=0"",""GERAL!A2:C""),3,0),""-"")"),"-")</f>
        <v>-</v>
      </c>
    </row>
    <row r="986" ht="15.75" customHeight="1">
      <c r="A986" s="111" t="s">
        <v>1224</v>
      </c>
      <c r="B986" s="83" t="s">
        <v>5210</v>
      </c>
      <c r="C986" s="83" t="s">
        <v>68</v>
      </c>
      <c r="D986" s="112">
        <v>1115091.0</v>
      </c>
      <c r="E986" s="83"/>
      <c r="F986" s="83">
        <v>2.9132045E7</v>
      </c>
      <c r="G986" s="119" t="s">
        <v>5211</v>
      </c>
      <c r="H986" s="108" t="s">
        <v>5212</v>
      </c>
      <c r="I986" s="98" t="s">
        <v>5213</v>
      </c>
      <c r="J986" s="83" t="s">
        <v>150</v>
      </c>
      <c r="K986" s="83" t="s">
        <v>151</v>
      </c>
      <c r="L986" s="83" t="s">
        <v>152</v>
      </c>
      <c r="M986" s="82" t="str">
        <f>IFERROR(__xludf.DUMMYFUNCTION("IFERROR(VLOOKUP(D986,
IMPORTRANGE(""https://docs.google.com/spreadsheets/d/1MjHtlUikwobi2MaWJgy7tfLeBmhj1u-dRFRs_8GwSoA/edit#gid=0"",""Gestores Escolares!D7:J""),3,0),""VERIFICAR CÓD SEC"")"),"JOSE BARBOSA SANTANA")</f>
        <v>JOSE BARBOSA SANTANA</v>
      </c>
      <c r="N986" s="82" t="str">
        <f>IFERROR(__xludf.DUMMYFUNCTION("IFERROR(VLOOKUP(D986,
IMPORTRANGE(""https://docs.google.com/spreadsheets/d/1MjHtlUikwobi2MaWJgy7tfLeBmhj1u-dRFRs_8GwSoA/edit#gid=0"",""Gestores Escolares!D7:J""),4,0),""VERIFICAR CÓD SEC"")"),"(75) 9 9931-4416")</f>
        <v>(75) 9 9931-4416</v>
      </c>
      <c r="O986" s="82" t="str">
        <f>IFERROR(__xludf.DUMMYFUNCTION("IFERROR(VLOOKUP(D986,
IMPORTRANGE(""https://docs.google.com/spreadsheets/d/1MjHtlUikwobi2MaWJgy7tfLeBmhj1u-dRFRs_8GwSoA/edit#gid=0"",""Gestores Escolares!D7:J""),6,0),""VERIFICAR CÓD SEC"")"),"ALINE SANTOS SOUZA")</f>
        <v>ALINE SANTOS SOUZA</v>
      </c>
      <c r="P986" s="82" t="str">
        <f>IFERROR(__xludf.DUMMYFUNCTION("IFERROR(VLOOKUP(D986,
IMPORTRANGE(""https://docs.google.com/spreadsheets/d/1MjHtlUikwobi2MaWJgy7tfLeBmhj1u-dRFRs_8GwSoA/edit#gid=0"",""Gestores Escolares!D7:J""),7,0),""VERIFICAR CÓD SEC"")"),"(75) 9 9712-9277")</f>
        <v>(75) 9 9712-9277</v>
      </c>
      <c r="Q986" s="82" t="str">
        <f>IFERROR(__xludf.DUMMYFUNCTION("IFERROR(VLOOKUP(D986,
IMPORTRANGE(""https://docs.google.com/spreadsheets/d/1MjHtlUikwobi2MaWJgy7tfLeBmhj1u-dRFRs_8GwSoA/edit#gid=0"",""Gestores Escolares!D7:m""),9,0),""VERIFICAR CÓD SEC"")"),"KATIA MIRELLE OLIVEIRA CARVALHO")</f>
        <v>KATIA MIRELLE OLIVEIRA CARVALHO</v>
      </c>
      <c r="R986" s="82" t="str">
        <f>IFERROR(__xludf.DUMMYFUNCTION("IFERROR(VLOOKUP(D986,
IMPORTRANGE(""https://docs.google.com/spreadsheets/d/1MjHtlUikwobi2MaWJgy7tfLeBmhj1u-dRFRs_8GwSoA/edit#gid=0"",""Gestores Escolares!D7:m""),10,0),""VERIFICAR CÓD SEC"")"),"(79) 9 9881-8184")</f>
        <v>(79) 9 9881-8184</v>
      </c>
      <c r="S986" s="82"/>
      <c r="T986" s="138">
        <v>11.0</v>
      </c>
      <c r="U986" s="217" t="s">
        <v>13451</v>
      </c>
      <c r="V986" s="106">
        <v>0.0</v>
      </c>
      <c r="W986" s="107">
        <v>0.0</v>
      </c>
      <c r="X986" s="107">
        <v>0.0</v>
      </c>
      <c r="Y986" s="107">
        <v>0.0</v>
      </c>
      <c r="Z986" s="80">
        <f t="shared" si="1"/>
        <v>0</v>
      </c>
      <c r="AA986" s="106">
        <v>0.0</v>
      </c>
      <c r="AB986" s="107">
        <v>0.0</v>
      </c>
      <c r="AC986" s="107">
        <v>0.0</v>
      </c>
      <c r="AD986" s="107">
        <v>0.0</v>
      </c>
      <c r="AE986" s="80">
        <f t="shared" si="2"/>
        <v>0</v>
      </c>
      <c r="AF986" s="140">
        <v>312.0</v>
      </c>
      <c r="AG986" s="109">
        <v>311.0</v>
      </c>
      <c r="AH986" s="109">
        <v>0.0</v>
      </c>
      <c r="AI986" s="141">
        <v>34.0</v>
      </c>
      <c r="AJ986" s="80">
        <f t="shared" si="3"/>
        <v>657</v>
      </c>
      <c r="AK986" s="140">
        <v>0.0</v>
      </c>
      <c r="AL986" s="109">
        <v>0.0</v>
      </c>
      <c r="AM986" s="141">
        <v>0.0</v>
      </c>
      <c r="AN986" s="80">
        <f t="shared" si="4"/>
        <v>0</v>
      </c>
      <c r="AO986" s="140">
        <v>0.0</v>
      </c>
      <c r="AP986" s="109">
        <v>0.0</v>
      </c>
      <c r="AQ986" s="109">
        <v>95.0</v>
      </c>
      <c r="AR986" s="80">
        <f t="shared" si="5"/>
        <v>95</v>
      </c>
      <c r="AS986" s="110">
        <v>135.0</v>
      </c>
      <c r="AT986" s="110">
        <v>99.0</v>
      </c>
      <c r="AU986" s="110">
        <v>29.0</v>
      </c>
      <c r="AV986" s="142">
        <v>0.0</v>
      </c>
      <c r="AW986" s="80">
        <f t="shared" si="6"/>
        <v>263</v>
      </c>
      <c r="AX986" s="113">
        <f t="shared" si="7"/>
        <v>1015</v>
      </c>
      <c r="AY986" s="117">
        <f t="shared" si="8"/>
        <v>891</v>
      </c>
      <c r="AZ986" s="120">
        <f t="shared" si="9"/>
        <v>124</v>
      </c>
      <c r="BA986" s="115">
        <v>0.0</v>
      </c>
      <c r="BB986" s="89">
        <f t="shared" si="10"/>
        <v>1015</v>
      </c>
      <c r="BC986" s="132" t="s">
        <v>178</v>
      </c>
      <c r="BD986" s="132" t="s">
        <v>178</v>
      </c>
      <c r="BE986" s="132" t="s">
        <v>178</v>
      </c>
      <c r="BF986" s="123"/>
      <c r="BG986" s="83">
        <v>1115091.0</v>
      </c>
      <c r="BH986" s="112"/>
      <c r="BI986" s="112">
        <v>11.0</v>
      </c>
      <c r="BJ986" s="98" t="s">
        <v>155</v>
      </c>
      <c r="BK986" s="99">
        <f t="shared" si="11"/>
        <v>34</v>
      </c>
      <c r="BL986" s="99">
        <f t="shared" si="12"/>
        <v>857</v>
      </c>
      <c r="BM986" s="99" t="str">
        <f>IFERROR(__xludf.DUMMYFUNCTION("IFERROR(VLOOKUP(BG986,IMPORTRANGE(""https://docs.google.com/spreadsheets/d/1juPI-Fb8LD0YtltB2mlGEnp_R3UVu1t3wSFPzgCyHXE/edit?gid=0#gid=0"",""GERAL!A2:C""),3,0),""-"")"),"-")</f>
        <v>-</v>
      </c>
    </row>
    <row r="987" ht="15.75" customHeight="1">
      <c r="A987" s="111" t="s">
        <v>1224</v>
      </c>
      <c r="B987" s="83" t="s">
        <v>5210</v>
      </c>
      <c r="C987" s="83" t="s">
        <v>164</v>
      </c>
      <c r="D987" s="112">
        <v>1115091.0</v>
      </c>
      <c r="E987" s="115">
        <v>1179801.0</v>
      </c>
      <c r="F987" s="115">
        <v>2.9491851E7</v>
      </c>
      <c r="G987" s="292" t="s">
        <v>5216</v>
      </c>
      <c r="H987" s="91"/>
      <c r="I987" s="136"/>
      <c r="J987" s="136"/>
      <c r="K987" s="83" t="s">
        <v>168</v>
      </c>
      <c r="L987" s="136"/>
      <c r="M987" s="82" t="str">
        <f>IFERROR(__xludf.DUMMYFUNCTION("IFERROR(VLOOKUP(D987,
IMPORTRANGE(""https://docs.google.com/spreadsheets/d/1MjHtlUikwobi2MaWJgy7tfLeBmhj1u-dRFRs_8GwSoA/edit#gid=0"",""Gestores Escolares!D7:J""),3,0),""VERIFICAR CÓD SEC"")"),"JOSE BARBOSA SANTANA")</f>
        <v>JOSE BARBOSA SANTANA</v>
      </c>
      <c r="N987" s="82" t="str">
        <f>IFERROR(__xludf.DUMMYFUNCTION("IFERROR(VLOOKUP(D987,
IMPORTRANGE(""https://docs.google.com/spreadsheets/d/1MjHtlUikwobi2MaWJgy7tfLeBmhj1u-dRFRs_8GwSoA/edit#gid=0"",""Gestores Escolares!D7:J""),4,0),""VERIFICAR CÓD SEC"")"),"(75) 9 9931-4416")</f>
        <v>(75) 9 9931-4416</v>
      </c>
      <c r="O987" s="82" t="str">
        <f>IFERROR(__xludf.DUMMYFUNCTION("IFERROR(VLOOKUP(D987,
IMPORTRANGE(""https://docs.google.com/spreadsheets/d/1MjHtlUikwobi2MaWJgy7tfLeBmhj1u-dRFRs_8GwSoA/edit#gid=0"",""Gestores Escolares!D7:J""),6,0),""VERIFICAR CÓD SEC"")"),"ALINE SANTOS SOUZA")</f>
        <v>ALINE SANTOS SOUZA</v>
      </c>
      <c r="P987" s="82" t="str">
        <f>IFERROR(__xludf.DUMMYFUNCTION("IFERROR(VLOOKUP(D987,
IMPORTRANGE(""https://docs.google.com/spreadsheets/d/1MjHtlUikwobi2MaWJgy7tfLeBmhj1u-dRFRs_8GwSoA/edit#gid=0"",""Gestores Escolares!D7:J""),7,0),""VERIFICAR CÓD SEC"")"),"(75) 9 9712-9277")</f>
        <v>(75) 9 9712-9277</v>
      </c>
      <c r="Q987" s="82" t="str">
        <f>IFERROR(__xludf.DUMMYFUNCTION("IFERROR(VLOOKUP(D987,
IMPORTRANGE(""https://docs.google.com/spreadsheets/d/1MjHtlUikwobi2MaWJgy7tfLeBmhj1u-dRFRs_8GwSoA/edit#gid=0"",""Gestores Escolares!D7:m""),9,0),""VERIFICAR CÓD SEC"")"),"KATIA MIRELLE OLIVEIRA CARVALHO")</f>
        <v>KATIA MIRELLE OLIVEIRA CARVALHO</v>
      </c>
      <c r="R987" s="82" t="str">
        <f>IFERROR(__xludf.DUMMYFUNCTION("IFERROR(VLOOKUP(D987,
IMPORTRANGE(""https://docs.google.com/spreadsheets/d/1MjHtlUikwobi2MaWJgy7tfLeBmhj1u-dRFRs_8GwSoA/edit#gid=0"",""Gestores Escolares!D7:m""),10,0),""VERIFICAR CÓD SEC"")"),"(79) 9 9881-8184")</f>
        <v>(79) 9 9881-8184</v>
      </c>
      <c r="S987" s="82"/>
      <c r="T987" s="138"/>
      <c r="U987" s="152"/>
      <c r="V987" s="106">
        <v>0.0</v>
      </c>
      <c r="W987" s="107">
        <v>0.0</v>
      </c>
      <c r="X987" s="107">
        <v>0.0</v>
      </c>
      <c r="Y987" s="107">
        <v>0.0</v>
      </c>
      <c r="Z987" s="80">
        <f t="shared" si="1"/>
        <v>0</v>
      </c>
      <c r="AA987" s="106">
        <v>0.0</v>
      </c>
      <c r="AB987" s="107">
        <v>0.0</v>
      </c>
      <c r="AC987" s="107">
        <v>0.0</v>
      </c>
      <c r="AD987" s="107">
        <v>0.0</v>
      </c>
      <c r="AE987" s="80">
        <f t="shared" si="2"/>
        <v>0</v>
      </c>
      <c r="AF987" s="140">
        <v>0.0</v>
      </c>
      <c r="AG987" s="109">
        <v>0.0</v>
      </c>
      <c r="AH987" s="109">
        <v>0.0</v>
      </c>
      <c r="AI987" s="141">
        <v>0.0</v>
      </c>
      <c r="AJ987" s="80">
        <f t="shared" si="3"/>
        <v>0</v>
      </c>
      <c r="AK987" s="140">
        <v>0.0</v>
      </c>
      <c r="AL987" s="109">
        <v>0.0</v>
      </c>
      <c r="AM987" s="141">
        <v>0.0</v>
      </c>
      <c r="AN987" s="80">
        <f t="shared" si="4"/>
        <v>0</v>
      </c>
      <c r="AO987" s="140">
        <v>0.0</v>
      </c>
      <c r="AP987" s="109">
        <v>0.0</v>
      </c>
      <c r="AQ987" s="109">
        <v>0.0</v>
      </c>
      <c r="AR987" s="80">
        <f t="shared" si="5"/>
        <v>0</v>
      </c>
      <c r="AS987" s="110">
        <v>0.0</v>
      </c>
      <c r="AT987" s="110">
        <v>0.0</v>
      </c>
      <c r="AU987" s="110">
        <v>0.0</v>
      </c>
      <c r="AV987" s="142">
        <v>28.0</v>
      </c>
      <c r="AW987" s="80">
        <f t="shared" si="6"/>
        <v>28</v>
      </c>
      <c r="AX987" s="113">
        <f t="shared" si="7"/>
        <v>28</v>
      </c>
      <c r="AY987" s="117">
        <f t="shared" si="8"/>
        <v>28</v>
      </c>
      <c r="AZ987" s="120">
        <f t="shared" si="9"/>
        <v>0</v>
      </c>
      <c r="BA987" s="115">
        <v>0.0</v>
      </c>
      <c r="BB987" s="89">
        <f t="shared" si="10"/>
        <v>28</v>
      </c>
      <c r="BC987" s="132"/>
      <c r="BD987" s="132"/>
      <c r="BE987" s="132"/>
      <c r="BF987" s="417"/>
      <c r="BG987" s="115">
        <v>1179801.0</v>
      </c>
      <c r="BH987" s="112"/>
      <c r="BI987" s="112"/>
      <c r="BJ987" s="98"/>
      <c r="BK987" s="99">
        <f t="shared" si="11"/>
        <v>28</v>
      </c>
      <c r="BL987" s="99">
        <f t="shared" si="12"/>
        <v>0</v>
      </c>
      <c r="BM987" s="99" t="str">
        <f>IFERROR(__xludf.DUMMYFUNCTION("IFERROR(VLOOKUP(BG987,IMPORTRANGE(""https://docs.google.com/spreadsheets/d/1juPI-Fb8LD0YtltB2mlGEnp_R3UVu1t3wSFPzgCyHXE/edit?gid=0#gid=0"",""GERAL!A2:C""),3,0),""-"")"),"-")</f>
        <v>-</v>
      </c>
    </row>
    <row r="988" ht="15.75" customHeight="1">
      <c r="A988" s="111" t="s">
        <v>1224</v>
      </c>
      <c r="B988" s="83" t="s">
        <v>5210</v>
      </c>
      <c r="C988" s="83" t="s">
        <v>164</v>
      </c>
      <c r="D988" s="112">
        <v>1115091.0</v>
      </c>
      <c r="E988" s="115">
        <v>1179802.0</v>
      </c>
      <c r="F988" s="115">
        <v>2.9491843E7</v>
      </c>
      <c r="G988" s="292" t="s">
        <v>5218</v>
      </c>
      <c r="H988" s="91"/>
      <c r="I988" s="136"/>
      <c r="J988" s="136"/>
      <c r="K988" s="83" t="s">
        <v>168</v>
      </c>
      <c r="L988" s="136"/>
      <c r="M988" s="82" t="str">
        <f>IFERROR(__xludf.DUMMYFUNCTION("IFERROR(VLOOKUP(D988,
IMPORTRANGE(""https://docs.google.com/spreadsheets/d/1MjHtlUikwobi2MaWJgy7tfLeBmhj1u-dRFRs_8GwSoA/edit#gid=0"",""Gestores Escolares!D7:J""),3,0),""VERIFICAR CÓD SEC"")"),"JOSE BARBOSA SANTANA")</f>
        <v>JOSE BARBOSA SANTANA</v>
      </c>
      <c r="N988" s="82" t="str">
        <f>IFERROR(__xludf.DUMMYFUNCTION("IFERROR(VLOOKUP(D988,
IMPORTRANGE(""https://docs.google.com/spreadsheets/d/1MjHtlUikwobi2MaWJgy7tfLeBmhj1u-dRFRs_8GwSoA/edit#gid=0"",""Gestores Escolares!D7:J""),4,0),""VERIFICAR CÓD SEC"")"),"(75) 9 9931-4416")</f>
        <v>(75) 9 9931-4416</v>
      </c>
      <c r="O988" s="82" t="str">
        <f>IFERROR(__xludf.DUMMYFUNCTION("IFERROR(VLOOKUP(D988,
IMPORTRANGE(""https://docs.google.com/spreadsheets/d/1MjHtlUikwobi2MaWJgy7tfLeBmhj1u-dRFRs_8GwSoA/edit#gid=0"",""Gestores Escolares!D7:J""),6,0),""VERIFICAR CÓD SEC"")"),"ALINE SANTOS SOUZA")</f>
        <v>ALINE SANTOS SOUZA</v>
      </c>
      <c r="P988" s="82" t="str">
        <f>IFERROR(__xludf.DUMMYFUNCTION("IFERROR(VLOOKUP(D988,
IMPORTRANGE(""https://docs.google.com/spreadsheets/d/1MjHtlUikwobi2MaWJgy7tfLeBmhj1u-dRFRs_8GwSoA/edit#gid=0"",""Gestores Escolares!D7:J""),7,0),""VERIFICAR CÓD SEC"")"),"(75) 9 9712-9277")</f>
        <v>(75) 9 9712-9277</v>
      </c>
      <c r="Q988" s="82" t="str">
        <f>IFERROR(__xludf.DUMMYFUNCTION("IFERROR(VLOOKUP(D988,
IMPORTRANGE(""https://docs.google.com/spreadsheets/d/1MjHtlUikwobi2MaWJgy7tfLeBmhj1u-dRFRs_8GwSoA/edit#gid=0"",""Gestores Escolares!D7:m""),9,0),""VERIFICAR CÓD SEC"")"),"KATIA MIRELLE OLIVEIRA CARVALHO")</f>
        <v>KATIA MIRELLE OLIVEIRA CARVALHO</v>
      </c>
      <c r="R988" s="82" t="str">
        <f>IFERROR(__xludf.DUMMYFUNCTION("IFERROR(VLOOKUP(D988,
IMPORTRANGE(""https://docs.google.com/spreadsheets/d/1MjHtlUikwobi2MaWJgy7tfLeBmhj1u-dRFRs_8GwSoA/edit#gid=0"",""Gestores Escolares!D7:m""),10,0),""VERIFICAR CÓD SEC"")"),"(79) 9 9881-8184")</f>
        <v>(79) 9 9881-8184</v>
      </c>
      <c r="S988" s="82"/>
      <c r="T988" s="138"/>
      <c r="U988" s="152"/>
      <c r="V988" s="106">
        <v>0.0</v>
      </c>
      <c r="W988" s="107">
        <v>0.0</v>
      </c>
      <c r="X988" s="107">
        <v>0.0</v>
      </c>
      <c r="Y988" s="107">
        <v>0.0</v>
      </c>
      <c r="Z988" s="80">
        <f t="shared" si="1"/>
        <v>0</v>
      </c>
      <c r="AA988" s="106">
        <v>0.0</v>
      </c>
      <c r="AB988" s="107">
        <v>0.0</v>
      </c>
      <c r="AC988" s="107">
        <v>0.0</v>
      </c>
      <c r="AD988" s="107">
        <v>0.0</v>
      </c>
      <c r="AE988" s="80">
        <f t="shared" si="2"/>
        <v>0</v>
      </c>
      <c r="AF988" s="140">
        <v>0.0</v>
      </c>
      <c r="AG988" s="109">
        <v>0.0</v>
      </c>
      <c r="AH988" s="109">
        <v>0.0</v>
      </c>
      <c r="AI988" s="141">
        <v>0.0</v>
      </c>
      <c r="AJ988" s="80">
        <f t="shared" si="3"/>
        <v>0</v>
      </c>
      <c r="AK988" s="140">
        <v>0.0</v>
      </c>
      <c r="AL988" s="109">
        <v>0.0</v>
      </c>
      <c r="AM988" s="141">
        <v>0.0</v>
      </c>
      <c r="AN988" s="80">
        <f t="shared" si="4"/>
        <v>0</v>
      </c>
      <c r="AO988" s="140">
        <v>0.0</v>
      </c>
      <c r="AP988" s="109">
        <v>0.0</v>
      </c>
      <c r="AQ988" s="109">
        <v>0.0</v>
      </c>
      <c r="AR988" s="80">
        <f t="shared" si="5"/>
        <v>0</v>
      </c>
      <c r="AS988" s="110">
        <v>0.0</v>
      </c>
      <c r="AT988" s="110">
        <v>0.0</v>
      </c>
      <c r="AU988" s="110">
        <v>0.0</v>
      </c>
      <c r="AV988" s="142">
        <v>21.0</v>
      </c>
      <c r="AW988" s="80">
        <f t="shared" si="6"/>
        <v>21</v>
      </c>
      <c r="AX988" s="113">
        <f t="shared" si="7"/>
        <v>21</v>
      </c>
      <c r="AY988" s="117">
        <f t="shared" si="8"/>
        <v>21</v>
      </c>
      <c r="AZ988" s="120">
        <f t="shared" si="9"/>
        <v>0</v>
      </c>
      <c r="BA988" s="115">
        <v>0.0</v>
      </c>
      <c r="BB988" s="89">
        <f t="shared" si="10"/>
        <v>21</v>
      </c>
      <c r="BC988" s="132"/>
      <c r="BD988" s="132"/>
      <c r="BE988" s="132"/>
      <c r="BF988" s="417"/>
      <c r="BG988" s="115">
        <v>1179802.0</v>
      </c>
      <c r="BH988" s="112"/>
      <c r="BI988" s="112"/>
      <c r="BJ988" s="98"/>
      <c r="BK988" s="99">
        <f t="shared" si="11"/>
        <v>21</v>
      </c>
      <c r="BL988" s="99">
        <f t="shared" si="12"/>
        <v>0</v>
      </c>
      <c r="BM988" s="99" t="str">
        <f>IFERROR(__xludf.DUMMYFUNCTION("IFERROR(VLOOKUP(BG988,IMPORTRANGE(""https://docs.google.com/spreadsheets/d/1juPI-Fb8LD0YtltB2mlGEnp_R3UVu1t3wSFPzgCyHXE/edit?gid=0#gid=0"",""GERAL!A2:C""),3,0),""-"")"),"-")</f>
        <v>-</v>
      </c>
    </row>
    <row r="989" ht="15.75" customHeight="1">
      <c r="A989" s="111" t="s">
        <v>1224</v>
      </c>
      <c r="B989" s="83" t="s">
        <v>5210</v>
      </c>
      <c r="C989" s="83" t="s">
        <v>164</v>
      </c>
      <c r="D989" s="112">
        <v>1115091.0</v>
      </c>
      <c r="E989" s="83">
        <v>1179101.0</v>
      </c>
      <c r="F989" s="98">
        <v>2.9491835E7</v>
      </c>
      <c r="G989" s="147" t="s">
        <v>5219</v>
      </c>
      <c r="H989" s="91" t="s">
        <v>5220</v>
      </c>
      <c r="I989" s="83" t="s">
        <v>149</v>
      </c>
      <c r="J989" s="83" t="s">
        <v>471</v>
      </c>
      <c r="K989" s="83" t="s">
        <v>168</v>
      </c>
      <c r="L989" s="83" t="s">
        <v>169</v>
      </c>
      <c r="M989" s="82" t="str">
        <f>IFERROR(__xludf.DUMMYFUNCTION("IFERROR(VLOOKUP(D989,
IMPORTRANGE(""https://docs.google.com/spreadsheets/d/1MjHtlUikwobi2MaWJgy7tfLeBmhj1u-dRFRs_8GwSoA/edit#gid=0"",""Gestores Escolares!D7:J""),3,0),""VERIFICAR CÓD SEC"")"),"JOSE BARBOSA SANTANA")</f>
        <v>JOSE BARBOSA SANTANA</v>
      </c>
      <c r="N989" s="82" t="str">
        <f>IFERROR(__xludf.DUMMYFUNCTION("IFERROR(VLOOKUP(D989,
IMPORTRANGE(""https://docs.google.com/spreadsheets/d/1MjHtlUikwobi2MaWJgy7tfLeBmhj1u-dRFRs_8GwSoA/edit#gid=0"",""Gestores Escolares!D7:J""),4,0),""VERIFICAR CÓD SEC"")"),"(75) 9 9931-4416")</f>
        <v>(75) 9 9931-4416</v>
      </c>
      <c r="O989" s="82" t="str">
        <f>IFERROR(__xludf.DUMMYFUNCTION("IFERROR(VLOOKUP(D989,
IMPORTRANGE(""https://docs.google.com/spreadsheets/d/1MjHtlUikwobi2MaWJgy7tfLeBmhj1u-dRFRs_8GwSoA/edit#gid=0"",""Gestores Escolares!D7:J""),6,0),""VERIFICAR CÓD SEC"")"),"ALINE SANTOS SOUZA")</f>
        <v>ALINE SANTOS SOUZA</v>
      </c>
      <c r="P989" s="82" t="str">
        <f>IFERROR(__xludf.DUMMYFUNCTION("IFERROR(VLOOKUP(D989,
IMPORTRANGE(""https://docs.google.com/spreadsheets/d/1MjHtlUikwobi2MaWJgy7tfLeBmhj1u-dRFRs_8GwSoA/edit#gid=0"",""Gestores Escolares!D7:J""),7,0),""VERIFICAR CÓD SEC"")"),"(75) 9 9712-9277")</f>
        <v>(75) 9 9712-9277</v>
      </c>
      <c r="Q989" s="82" t="str">
        <f>IFERROR(__xludf.DUMMYFUNCTION("IFERROR(VLOOKUP(D989,
IMPORTRANGE(""https://docs.google.com/spreadsheets/d/1MjHtlUikwobi2MaWJgy7tfLeBmhj1u-dRFRs_8GwSoA/edit#gid=0"",""Gestores Escolares!D7:m""),9,0),""VERIFICAR CÓD SEC"")"),"KATIA MIRELLE OLIVEIRA CARVALHO")</f>
        <v>KATIA MIRELLE OLIVEIRA CARVALHO</v>
      </c>
      <c r="R989" s="82" t="str">
        <f>IFERROR(__xludf.DUMMYFUNCTION("IFERROR(VLOOKUP(D989,
IMPORTRANGE(""https://docs.google.com/spreadsheets/d/1MjHtlUikwobi2MaWJgy7tfLeBmhj1u-dRFRs_8GwSoA/edit#gid=0"",""Gestores Escolares!D7:m""),10,0),""VERIFICAR CÓD SEC"")"),"(79) 9 9881-8184")</f>
        <v>(79) 9 9881-8184</v>
      </c>
      <c r="S989" s="82"/>
      <c r="T989" s="138">
        <v>3.0</v>
      </c>
      <c r="U989" s="152">
        <v>3.0</v>
      </c>
      <c r="V989" s="106">
        <v>0.0</v>
      </c>
      <c r="W989" s="107">
        <v>0.0</v>
      </c>
      <c r="X989" s="107">
        <v>0.0</v>
      </c>
      <c r="Y989" s="107">
        <v>0.0</v>
      </c>
      <c r="Z989" s="80">
        <f t="shared" si="1"/>
        <v>0</v>
      </c>
      <c r="AA989" s="106">
        <v>0.0</v>
      </c>
      <c r="AB989" s="107">
        <v>0.0</v>
      </c>
      <c r="AC989" s="107">
        <v>0.0</v>
      </c>
      <c r="AD989" s="107">
        <v>0.0</v>
      </c>
      <c r="AE989" s="80">
        <f t="shared" si="2"/>
        <v>0</v>
      </c>
      <c r="AF989" s="140">
        <v>0.0</v>
      </c>
      <c r="AG989" s="109">
        <v>60.0</v>
      </c>
      <c r="AH989" s="109">
        <v>0.0</v>
      </c>
      <c r="AI989" s="141">
        <v>0.0</v>
      </c>
      <c r="AJ989" s="80">
        <f t="shared" si="3"/>
        <v>60</v>
      </c>
      <c r="AK989" s="140">
        <v>0.0</v>
      </c>
      <c r="AL989" s="109">
        <v>0.0</v>
      </c>
      <c r="AM989" s="141">
        <v>0.0</v>
      </c>
      <c r="AN989" s="80">
        <f t="shared" si="4"/>
        <v>0</v>
      </c>
      <c r="AO989" s="140">
        <v>0.0</v>
      </c>
      <c r="AP989" s="109">
        <v>0.0</v>
      </c>
      <c r="AQ989" s="109">
        <v>0.0</v>
      </c>
      <c r="AR989" s="80">
        <f t="shared" si="5"/>
        <v>0</v>
      </c>
      <c r="AS989" s="110">
        <v>0.0</v>
      </c>
      <c r="AT989" s="110">
        <v>0.0</v>
      </c>
      <c r="AU989" s="110">
        <v>0.0</v>
      </c>
      <c r="AV989" s="142">
        <v>0.0</v>
      </c>
      <c r="AW989" s="80">
        <f t="shared" si="6"/>
        <v>0</v>
      </c>
      <c r="AX989" s="113">
        <f t="shared" si="7"/>
        <v>60</v>
      </c>
      <c r="AY989" s="117">
        <f t="shared" si="8"/>
        <v>60</v>
      </c>
      <c r="AZ989" s="120">
        <f t="shared" si="9"/>
        <v>0</v>
      </c>
      <c r="BA989" s="115">
        <v>0.0</v>
      </c>
      <c r="BB989" s="89">
        <f t="shared" si="10"/>
        <v>60</v>
      </c>
      <c r="BC989" s="132" t="s">
        <v>373</v>
      </c>
      <c r="BD989" s="132" t="s">
        <v>178</v>
      </c>
      <c r="BE989" s="132" t="s">
        <v>178</v>
      </c>
      <c r="BF989" s="156"/>
      <c r="BG989" s="83">
        <v>1179101.0</v>
      </c>
      <c r="BH989" s="112"/>
      <c r="BI989" s="112">
        <v>3.0</v>
      </c>
      <c r="BJ989" s="98" t="s">
        <v>155</v>
      </c>
      <c r="BK989" s="99">
        <f t="shared" si="11"/>
        <v>0</v>
      </c>
      <c r="BL989" s="99">
        <f t="shared" si="12"/>
        <v>60</v>
      </c>
      <c r="BM989" s="99" t="str">
        <f>IFERROR(__xludf.DUMMYFUNCTION("IFERROR(VLOOKUP(BG989,IMPORTRANGE(""https://docs.google.com/spreadsheets/d/1juPI-Fb8LD0YtltB2mlGEnp_R3UVu1t3wSFPzgCyHXE/edit?gid=0#gid=0"",""GERAL!A2:C""),3,0),""-"")"),"CAMPO")</f>
        <v>CAMPO</v>
      </c>
    </row>
    <row r="990" ht="15.75" customHeight="1">
      <c r="A990" s="111" t="s">
        <v>1224</v>
      </c>
      <c r="B990" s="83" t="s">
        <v>5221</v>
      </c>
      <c r="C990" s="83" t="s">
        <v>68</v>
      </c>
      <c r="D990" s="112">
        <v>1138539.0</v>
      </c>
      <c r="E990" s="83"/>
      <c r="F990" s="83">
        <v>2.9113881E7</v>
      </c>
      <c r="G990" s="98" t="s">
        <v>13501</v>
      </c>
      <c r="H990" s="91" t="s">
        <v>5223</v>
      </c>
      <c r="I990" s="172" t="s">
        <v>5224</v>
      </c>
      <c r="J990" s="83" t="s">
        <v>150</v>
      </c>
      <c r="K990" s="83" t="s">
        <v>151</v>
      </c>
      <c r="L990" s="83" t="s">
        <v>152</v>
      </c>
      <c r="M990" s="82" t="str">
        <f>IFERROR(__xludf.DUMMYFUNCTION("IFERROR(VLOOKUP(D990,
IMPORTRANGE(""https://docs.google.com/spreadsheets/d/1MjHtlUikwobi2MaWJgy7tfLeBmhj1u-dRFRs_8GwSoA/edit#gid=0"",""Gestores Escolares!D7:J""),3,0),""VERIFICAR CÓD SEC"")"),"JOAO MILTON BRITO JUNIOR")</f>
        <v>JOAO MILTON BRITO JUNIOR</v>
      </c>
      <c r="N990" s="82" t="str">
        <f>IFERROR(__xludf.DUMMYFUNCTION("IFERROR(VLOOKUP(D990,
IMPORTRANGE(""https://docs.google.com/spreadsheets/d/1MjHtlUikwobi2MaWJgy7tfLeBmhj1u-dRFRs_8GwSoA/edit#gid=0"",""Gestores Escolares!D7:J""),4,0),""VERIFICAR CÓD SEC"")"),"(75) 9 8821-4457")</f>
        <v>(75) 9 8821-4457</v>
      </c>
      <c r="O990" s="82" t="str">
        <f>IFERROR(__xludf.DUMMYFUNCTION("IFERROR(VLOOKUP(D990,
IMPORTRANGE(""https://docs.google.com/spreadsheets/d/1MjHtlUikwobi2MaWJgy7tfLeBmhj1u-dRFRs_8GwSoA/edit#gid=0"",""Gestores Escolares!D7:J""),6,0),""VERIFICAR CÓD SEC"")"),"ANTONIO CARLOS PINTO OLIVEIRA")</f>
        <v>ANTONIO CARLOS PINTO OLIVEIRA</v>
      </c>
      <c r="P990" s="82" t="str">
        <f>IFERROR(__xludf.DUMMYFUNCTION("IFERROR(VLOOKUP(D990,
IMPORTRANGE(""https://docs.google.com/spreadsheets/d/1MjHtlUikwobi2MaWJgy7tfLeBmhj1u-dRFRs_8GwSoA/edit#gid=0"",""Gestores Escolares!D7:J""),7,0),""VERIFICAR CÓD SEC"")"),"(79) 9 9834-3636")</f>
        <v>(79) 9 9834-3636</v>
      </c>
      <c r="Q990" s="82" t="str">
        <f>IFERROR(__xludf.DUMMYFUNCTION("IFERROR(VLOOKUP(D990,
IMPORTRANGE(""https://docs.google.com/spreadsheets/d/1MjHtlUikwobi2MaWJgy7tfLeBmhj1u-dRFRs_8GwSoA/edit#gid=0"",""Gestores Escolares!D7:m""),9,0),""VERIFICAR CÓD SEC"")"),"DENISSON PEREIRA DA SILVA")</f>
        <v>DENISSON PEREIRA DA SILVA</v>
      </c>
      <c r="R990" s="82" t="str">
        <f>IFERROR(__xludf.DUMMYFUNCTION("IFERROR(VLOOKUP(D990,
IMPORTRANGE(""https://docs.google.com/spreadsheets/d/1MjHtlUikwobi2MaWJgy7tfLeBmhj1u-dRFRs_8GwSoA/edit#gid=0"",""Gestores Escolares!D7:m""),10,0),""VERIFICAR CÓD SEC"")"),"(79) 9 8852-2996")</f>
        <v>(79) 9 8852-2996</v>
      </c>
      <c r="S990" s="82"/>
      <c r="T990" s="138">
        <v>8.0</v>
      </c>
      <c r="U990" s="145" t="s">
        <v>3763</v>
      </c>
      <c r="V990" s="106">
        <v>0.0</v>
      </c>
      <c r="W990" s="107">
        <v>0.0</v>
      </c>
      <c r="X990" s="107">
        <v>0.0</v>
      </c>
      <c r="Y990" s="107">
        <v>0.0</v>
      </c>
      <c r="Z990" s="80">
        <f t="shared" si="1"/>
        <v>0</v>
      </c>
      <c r="AA990" s="106">
        <v>0.0</v>
      </c>
      <c r="AB990" s="107">
        <v>0.0</v>
      </c>
      <c r="AC990" s="107">
        <v>0.0</v>
      </c>
      <c r="AD990" s="107">
        <v>0.0</v>
      </c>
      <c r="AE990" s="80">
        <f t="shared" si="2"/>
        <v>0</v>
      </c>
      <c r="AF990" s="140">
        <v>51.0</v>
      </c>
      <c r="AG990" s="109">
        <v>63.0</v>
      </c>
      <c r="AH990" s="109">
        <v>0.0</v>
      </c>
      <c r="AI990" s="141">
        <v>113.0</v>
      </c>
      <c r="AJ990" s="80">
        <f t="shared" si="3"/>
        <v>227</v>
      </c>
      <c r="AK990" s="140">
        <v>0.0</v>
      </c>
      <c r="AL990" s="109">
        <v>0.0</v>
      </c>
      <c r="AM990" s="141">
        <v>0.0</v>
      </c>
      <c r="AN990" s="80">
        <f t="shared" si="4"/>
        <v>0</v>
      </c>
      <c r="AO990" s="140">
        <v>0.0</v>
      </c>
      <c r="AP990" s="109">
        <v>0.0</v>
      </c>
      <c r="AQ990" s="109">
        <v>46.0</v>
      </c>
      <c r="AR990" s="80">
        <f t="shared" si="5"/>
        <v>46</v>
      </c>
      <c r="AS990" s="110">
        <v>57.0</v>
      </c>
      <c r="AT990" s="110">
        <v>132.0</v>
      </c>
      <c r="AU990" s="110">
        <v>63.0</v>
      </c>
      <c r="AV990" s="142">
        <v>35.0</v>
      </c>
      <c r="AW990" s="80">
        <f t="shared" si="6"/>
        <v>287</v>
      </c>
      <c r="AX990" s="113">
        <f t="shared" si="7"/>
        <v>560</v>
      </c>
      <c r="AY990" s="117">
        <f t="shared" si="8"/>
        <v>451</v>
      </c>
      <c r="AZ990" s="120">
        <f t="shared" si="9"/>
        <v>109</v>
      </c>
      <c r="BA990" s="115">
        <v>0.0</v>
      </c>
      <c r="BB990" s="89">
        <f t="shared" si="10"/>
        <v>560</v>
      </c>
      <c r="BC990" s="132" t="s">
        <v>178</v>
      </c>
      <c r="BD990" s="132" t="s">
        <v>178</v>
      </c>
      <c r="BE990" s="132" t="s">
        <v>178</v>
      </c>
      <c r="BF990" s="156"/>
      <c r="BG990" s="83">
        <v>1138539.0</v>
      </c>
      <c r="BH990" s="112"/>
      <c r="BI990" s="112">
        <v>7.0</v>
      </c>
      <c r="BJ990" s="98" t="s">
        <v>155</v>
      </c>
      <c r="BK990" s="99">
        <f t="shared" si="11"/>
        <v>148</v>
      </c>
      <c r="BL990" s="99">
        <f t="shared" si="12"/>
        <v>303</v>
      </c>
      <c r="BM990" s="99" t="str">
        <f>IFERROR(__xludf.DUMMYFUNCTION("IFERROR(VLOOKUP(BG990,IMPORTRANGE(""https://docs.google.com/spreadsheets/d/1juPI-Fb8LD0YtltB2mlGEnp_R3UVu1t3wSFPzgCyHXE/edit?gid=0#gid=0"",""GERAL!A2:C""),3,0),""-"")"),"-")</f>
        <v>-</v>
      </c>
    </row>
    <row r="991" ht="15.75" customHeight="1">
      <c r="A991" s="111" t="s">
        <v>1224</v>
      </c>
      <c r="B991" s="83" t="s">
        <v>5226</v>
      </c>
      <c r="C991" s="83" t="s">
        <v>68</v>
      </c>
      <c r="D991" s="112">
        <v>1115342.0</v>
      </c>
      <c r="E991" s="83"/>
      <c r="F991" s="83">
        <v>2.9132711E7</v>
      </c>
      <c r="G991" s="114" t="s">
        <v>5227</v>
      </c>
      <c r="H991" s="91" t="s">
        <v>5228</v>
      </c>
      <c r="I991" s="136" t="s">
        <v>149</v>
      </c>
      <c r="J991" s="136" t="s">
        <v>150</v>
      </c>
      <c r="K991" s="83" t="s">
        <v>151</v>
      </c>
      <c r="L991" s="83" t="s">
        <v>76</v>
      </c>
      <c r="M991" s="82" t="str">
        <f>IFERROR(__xludf.DUMMYFUNCTION("IFERROR(VLOOKUP(D991,
IMPORTRANGE(""https://docs.google.com/spreadsheets/d/1MjHtlUikwobi2MaWJgy7tfLeBmhj1u-dRFRs_8GwSoA/edit#gid=0"",""Gestores Escolares!D7:J""),3,0),""VERIFICAR CÓD SEC"")"),"BRUNO CESAR RODRIGUES CARDOSO")</f>
        <v>BRUNO CESAR RODRIGUES CARDOSO</v>
      </c>
      <c r="N991" s="82" t="str">
        <f>IFERROR(__xludf.DUMMYFUNCTION("IFERROR(VLOOKUP(D991,
IMPORTRANGE(""https://docs.google.com/spreadsheets/d/1MjHtlUikwobi2MaWJgy7tfLeBmhj1u-dRFRs_8GwSoA/edit#gid=0"",""Gestores Escolares!D7:J""),4,0),""VERIFICAR CÓD SEC"")"),"(75) 9 9915-0423")</f>
        <v>(75) 9 9915-0423</v>
      </c>
      <c r="O991" s="82" t="str">
        <f>IFERROR(__xludf.DUMMYFUNCTION("IFERROR(VLOOKUP(D991,
IMPORTRANGE(""https://docs.google.com/spreadsheets/d/1MjHtlUikwobi2MaWJgy7tfLeBmhj1u-dRFRs_8GwSoA/edit#gid=0"",""Gestores Escolares!D7:J""),6,0),""VERIFICAR CÓD SEC"")"),"EDINANDO BARRETO DOS SANTOS")</f>
        <v>EDINANDO BARRETO DOS SANTOS</v>
      </c>
      <c r="P991" s="82" t="str">
        <f>IFERROR(__xludf.DUMMYFUNCTION("IFERROR(VLOOKUP(D991,
IMPORTRANGE(""https://docs.google.com/spreadsheets/d/1MjHtlUikwobi2MaWJgy7tfLeBmhj1u-dRFRs_8GwSoA/edit#gid=0"",""Gestores Escolares!D7:J""),7,0),""VERIFICAR CÓD SEC"")"),"(79) 9 9845-3789 / 79 9838-3879")</f>
        <v>(79) 9 9845-3789 / 79 9838-3879</v>
      </c>
      <c r="Q991" s="82" t="str">
        <f>IFERROR(__xludf.DUMMYFUNCTION("IFERROR(VLOOKUP(D991,
IMPORTRANGE(""https://docs.google.com/spreadsheets/d/1MjHtlUikwobi2MaWJgy7tfLeBmhj1u-dRFRs_8GwSoA/edit#gid=0"",""Gestores Escolares!D7:m""),9,0),""VERIFICAR CÓD SEC"")"),"")</f>
        <v/>
      </c>
      <c r="R991" s="82" t="str">
        <f>IFERROR(__xludf.DUMMYFUNCTION("IFERROR(VLOOKUP(D991,
IMPORTRANGE(""https://docs.google.com/spreadsheets/d/1MjHtlUikwobi2MaWJgy7tfLeBmhj1u-dRFRs_8GwSoA/edit#gid=0"",""Gestores Escolares!D7:m""),10,0),""VERIFICAR CÓD SEC"")"),"")</f>
        <v/>
      </c>
      <c r="S991" s="82"/>
      <c r="T991" s="138">
        <v>7.0</v>
      </c>
      <c r="U991" s="139">
        <v>6.0</v>
      </c>
      <c r="V991" s="106">
        <v>0.0</v>
      </c>
      <c r="W991" s="107">
        <v>0.0</v>
      </c>
      <c r="X991" s="107">
        <v>0.0</v>
      </c>
      <c r="Y991" s="107">
        <v>0.0</v>
      </c>
      <c r="Z991" s="80">
        <f t="shared" si="1"/>
        <v>0</v>
      </c>
      <c r="AA991" s="106">
        <v>0.0</v>
      </c>
      <c r="AB991" s="107">
        <v>0.0</v>
      </c>
      <c r="AC991" s="107">
        <v>0.0</v>
      </c>
      <c r="AD991" s="107">
        <v>0.0</v>
      </c>
      <c r="AE991" s="80">
        <f t="shared" si="2"/>
        <v>0</v>
      </c>
      <c r="AF991" s="140">
        <v>224.0</v>
      </c>
      <c r="AG991" s="109">
        <v>128.0</v>
      </c>
      <c r="AH991" s="109">
        <v>0.0</v>
      </c>
      <c r="AI991" s="141">
        <v>0.0</v>
      </c>
      <c r="AJ991" s="80">
        <f t="shared" si="3"/>
        <v>352</v>
      </c>
      <c r="AK991" s="140">
        <v>0.0</v>
      </c>
      <c r="AL991" s="109">
        <v>0.0</v>
      </c>
      <c r="AM991" s="141">
        <v>0.0</v>
      </c>
      <c r="AN991" s="80">
        <f t="shared" si="4"/>
        <v>0</v>
      </c>
      <c r="AO991" s="140">
        <v>0.0</v>
      </c>
      <c r="AP991" s="109">
        <v>0.0</v>
      </c>
      <c r="AQ991" s="109">
        <v>89.0</v>
      </c>
      <c r="AR991" s="80">
        <f t="shared" si="5"/>
        <v>89</v>
      </c>
      <c r="AS991" s="110">
        <v>0.0</v>
      </c>
      <c r="AT991" s="110">
        <v>58.0</v>
      </c>
      <c r="AU991" s="110">
        <v>0.0</v>
      </c>
      <c r="AV991" s="142">
        <v>0.0</v>
      </c>
      <c r="AW991" s="80">
        <f t="shared" si="6"/>
        <v>58</v>
      </c>
      <c r="AX991" s="113">
        <f t="shared" si="7"/>
        <v>499</v>
      </c>
      <c r="AY991" s="117">
        <f t="shared" si="8"/>
        <v>410</v>
      </c>
      <c r="AZ991" s="120">
        <f t="shared" si="9"/>
        <v>89</v>
      </c>
      <c r="BA991" s="115">
        <v>0.0</v>
      </c>
      <c r="BB991" s="89">
        <f t="shared" si="10"/>
        <v>499</v>
      </c>
      <c r="BC991" s="132" t="s">
        <v>178</v>
      </c>
      <c r="BD991" s="132" t="s">
        <v>178</v>
      </c>
      <c r="BE991" s="132" t="s">
        <v>178</v>
      </c>
      <c r="BF991" s="123"/>
      <c r="BG991" s="83">
        <v>1115342.0</v>
      </c>
      <c r="BH991" s="112"/>
      <c r="BI991" s="112">
        <v>7.0</v>
      </c>
      <c r="BJ991" s="98" t="s">
        <v>155</v>
      </c>
      <c r="BK991" s="99">
        <f t="shared" si="11"/>
        <v>0</v>
      </c>
      <c r="BL991" s="99">
        <f t="shared" si="12"/>
        <v>410</v>
      </c>
      <c r="BM991" s="99" t="str">
        <f>IFERROR(__xludf.DUMMYFUNCTION("IFERROR(VLOOKUP(BG991,IMPORTRANGE(""https://docs.google.com/spreadsheets/d/1juPI-Fb8LD0YtltB2mlGEnp_R3UVu1t3wSFPzgCyHXE/edit?gid=0#gid=0"",""GERAL!A2:C""),3,0),""-"")"),"-")</f>
        <v>-</v>
      </c>
    </row>
    <row r="992" ht="15.75" customHeight="1">
      <c r="A992" s="111" t="s">
        <v>1224</v>
      </c>
      <c r="B992" s="83" t="s">
        <v>5230</v>
      </c>
      <c r="C992" s="83" t="s">
        <v>45</v>
      </c>
      <c r="D992" s="112">
        <v>1178393.0</v>
      </c>
      <c r="E992" s="83"/>
      <c r="F992" s="83">
        <v>2.937572E7</v>
      </c>
      <c r="G992" s="114" t="s">
        <v>5231</v>
      </c>
      <c r="H992" s="91" t="s">
        <v>5232</v>
      </c>
      <c r="I992" s="136" t="s">
        <v>149</v>
      </c>
      <c r="J992" s="115" t="s">
        <v>694</v>
      </c>
      <c r="K992" s="83" t="s">
        <v>171</v>
      </c>
      <c r="L992" s="83" t="s">
        <v>169</v>
      </c>
      <c r="M992" s="82" t="str">
        <f>IFERROR(__xludf.DUMMYFUNCTION("IFERROR(VLOOKUP(D992,
IMPORTRANGE(""https://docs.google.com/spreadsheets/d/1MjHtlUikwobi2MaWJgy7tfLeBmhj1u-dRFRs_8GwSoA/edit#gid=0"",""Gestores Escolares!D7:J""),3,0),""VERIFICAR CÓD SEC"")"),"EDMILSON MENEZES DE SOUZA RODRIGUES")</f>
        <v>EDMILSON MENEZES DE SOUZA RODRIGUES</v>
      </c>
      <c r="N992" s="82" t="str">
        <f>IFERROR(__xludf.DUMMYFUNCTION("IFERROR(VLOOKUP(D992,
IMPORTRANGE(""https://docs.google.com/spreadsheets/d/1MjHtlUikwobi2MaWJgy7tfLeBmhj1u-dRFRs_8GwSoA/edit#gid=0"",""Gestores Escolares!D7:J""),4,0),""VERIFICAR CÓD SEC"")"),"(75) 9 9992-2990")</f>
        <v>(75) 9 9992-2990</v>
      </c>
      <c r="O992" s="82" t="str">
        <f>IFERROR(__xludf.DUMMYFUNCTION("IFERROR(VLOOKUP(D992,
IMPORTRANGE(""https://docs.google.com/spreadsheets/d/1MjHtlUikwobi2MaWJgy7tfLeBmhj1u-dRFRs_8GwSoA/edit#gid=0"",""Gestores Escolares!D7:J""),6,0),""VERIFICAR CÓD SEC"")"),"")</f>
        <v/>
      </c>
      <c r="P992" s="82" t="str">
        <f>IFERROR(__xludf.DUMMYFUNCTION("IFERROR(VLOOKUP(D992,
IMPORTRANGE(""https://docs.google.com/spreadsheets/d/1MjHtlUikwobi2MaWJgy7tfLeBmhj1u-dRFRs_8GwSoA/edit#gid=0"",""Gestores Escolares!D7:J""),7,0),""VERIFICAR CÓD SEC"")"),"")</f>
        <v/>
      </c>
      <c r="Q992" s="82" t="str">
        <f>IFERROR(__xludf.DUMMYFUNCTION("IFERROR(VLOOKUP(D992,
IMPORTRANGE(""https://docs.google.com/spreadsheets/d/1MjHtlUikwobi2MaWJgy7tfLeBmhj1u-dRFRs_8GwSoA/edit#gid=0"",""Gestores Escolares!D7:m""),9,0),""VERIFICAR CÓD SEC"")"),"")</f>
        <v/>
      </c>
      <c r="R992" s="82" t="str">
        <f>IFERROR(__xludf.DUMMYFUNCTION("IFERROR(VLOOKUP(D992,
IMPORTRANGE(""https://docs.google.com/spreadsheets/d/1MjHtlUikwobi2MaWJgy7tfLeBmhj1u-dRFRs_8GwSoA/edit#gid=0"",""Gestores Escolares!D7:m""),10,0),""VERIFICAR CÓD SEC"")"),"")</f>
        <v/>
      </c>
      <c r="S992" s="82"/>
      <c r="T992" s="138">
        <v>9.0</v>
      </c>
      <c r="U992" s="145">
        <v>4.0</v>
      </c>
      <c r="V992" s="106">
        <v>0.0</v>
      </c>
      <c r="W992" s="107">
        <v>0.0</v>
      </c>
      <c r="X992" s="107">
        <v>0.0</v>
      </c>
      <c r="Y992" s="107">
        <v>0.0</v>
      </c>
      <c r="Z992" s="80">
        <f t="shared" si="1"/>
        <v>0</v>
      </c>
      <c r="AA992" s="106">
        <v>0.0</v>
      </c>
      <c r="AB992" s="107">
        <v>0.0</v>
      </c>
      <c r="AC992" s="107">
        <v>0.0</v>
      </c>
      <c r="AD992" s="107">
        <v>130.0</v>
      </c>
      <c r="AE992" s="80">
        <f t="shared" si="2"/>
        <v>130</v>
      </c>
      <c r="AF992" s="225">
        <v>0.0</v>
      </c>
      <c r="AG992" s="226">
        <v>0.0</v>
      </c>
      <c r="AH992" s="226">
        <v>0.0</v>
      </c>
      <c r="AI992" s="227">
        <v>84.0</v>
      </c>
      <c r="AJ992" s="80">
        <f t="shared" si="3"/>
        <v>84</v>
      </c>
      <c r="AK992" s="140">
        <v>0.0</v>
      </c>
      <c r="AL992" s="109">
        <v>0.0</v>
      </c>
      <c r="AM992" s="141">
        <v>0.0</v>
      </c>
      <c r="AN992" s="80">
        <f t="shared" si="4"/>
        <v>0</v>
      </c>
      <c r="AO992" s="225">
        <v>0.0</v>
      </c>
      <c r="AP992" s="226">
        <v>0.0</v>
      </c>
      <c r="AQ992" s="226">
        <v>0.0</v>
      </c>
      <c r="AR992" s="80">
        <f t="shared" si="5"/>
        <v>0</v>
      </c>
      <c r="AS992" s="110">
        <v>0.0</v>
      </c>
      <c r="AT992" s="110">
        <v>0.0</v>
      </c>
      <c r="AU992" s="110">
        <v>0.0</v>
      </c>
      <c r="AV992" s="142">
        <v>0.0</v>
      </c>
      <c r="AW992" s="80">
        <f t="shared" si="6"/>
        <v>0</v>
      </c>
      <c r="AX992" s="113">
        <f t="shared" si="7"/>
        <v>214</v>
      </c>
      <c r="AY992" s="117">
        <f t="shared" si="8"/>
        <v>214</v>
      </c>
      <c r="AZ992" s="120">
        <f t="shared" si="9"/>
        <v>0</v>
      </c>
      <c r="BA992" s="115">
        <v>0.0</v>
      </c>
      <c r="BB992" s="89">
        <f t="shared" si="10"/>
        <v>214</v>
      </c>
      <c r="BC992" s="132" t="s">
        <v>178</v>
      </c>
      <c r="BD992" s="132" t="s">
        <v>178</v>
      </c>
      <c r="BE992" s="132" t="s">
        <v>178</v>
      </c>
      <c r="BF992" s="123"/>
      <c r="BG992" s="83">
        <v>1178393.0</v>
      </c>
      <c r="BH992" s="112"/>
      <c r="BI992" s="112">
        <v>9.0</v>
      </c>
      <c r="BJ992" s="98" t="s">
        <v>155</v>
      </c>
      <c r="BK992" s="99">
        <f t="shared" si="11"/>
        <v>214</v>
      </c>
      <c r="BL992" s="99">
        <f t="shared" si="12"/>
        <v>0</v>
      </c>
      <c r="BM992" s="99" t="str">
        <f>IFERROR(__xludf.DUMMYFUNCTION("IFERROR(VLOOKUP(BG992,IMPORTRANGE(""https://docs.google.com/spreadsheets/d/1juPI-Fb8LD0YtltB2mlGEnp_R3UVu1t3wSFPzgCyHXE/edit?gid=0#gid=0"",""GERAL!A2:C""),3,0),""-"")"),"EFA")</f>
        <v>EFA</v>
      </c>
    </row>
    <row r="993" ht="15.75" customHeight="1">
      <c r="A993" s="111" t="s">
        <v>1224</v>
      </c>
      <c r="B993" s="83" t="s">
        <v>5230</v>
      </c>
      <c r="C993" s="83" t="s">
        <v>68</v>
      </c>
      <c r="D993" s="112">
        <v>1178429.0</v>
      </c>
      <c r="E993" s="83"/>
      <c r="F993" s="83">
        <v>2.939894E7</v>
      </c>
      <c r="G993" s="108" t="s">
        <v>5235</v>
      </c>
      <c r="H993" s="108" t="s">
        <v>5236</v>
      </c>
      <c r="I993" s="136" t="s">
        <v>149</v>
      </c>
      <c r="J993" s="136" t="s">
        <v>240</v>
      </c>
      <c r="K993" s="83" t="s">
        <v>151</v>
      </c>
      <c r="L993" s="83" t="s">
        <v>169</v>
      </c>
      <c r="M993" s="82" t="str">
        <f>IFERROR(__xludf.DUMMYFUNCTION("IFERROR(VLOOKUP(D993,
IMPORTRANGE(""https://docs.google.com/spreadsheets/d/1MjHtlUikwobi2MaWJgy7tfLeBmhj1u-dRFRs_8GwSoA/edit#gid=0"",""Gestores Escolares!D7:J""),3,0),""VERIFICAR CÓD SEC"")"),"CHRISTIANE BRITO ACCIOLY BORGES")</f>
        <v>CHRISTIANE BRITO ACCIOLY BORGES</v>
      </c>
      <c r="N993" s="82" t="str">
        <f>IFERROR(__xludf.DUMMYFUNCTION("IFERROR(VLOOKUP(D993,
IMPORTRANGE(""https://docs.google.com/spreadsheets/d/1MjHtlUikwobi2MaWJgy7tfLeBmhj1u-dRFRs_8GwSoA/edit#gid=0"",""Gestores Escolares!D7:J""),4,0),""VERIFICAR CÓD SEC"")"),"(75) 9 9998-8924")</f>
        <v>(75) 9 9998-8924</v>
      </c>
      <c r="O993" s="82" t="str">
        <f>IFERROR(__xludf.DUMMYFUNCTION("IFERROR(VLOOKUP(D993,
IMPORTRANGE(""https://docs.google.com/spreadsheets/d/1MjHtlUikwobi2MaWJgy7tfLeBmhj1u-dRFRs_8GwSoA/edit#gid=0"",""Gestores Escolares!D7:J""),6,0),""VERIFICAR CÓD SEC"")"),"")</f>
        <v/>
      </c>
      <c r="P993" s="82" t="str">
        <f>IFERROR(__xludf.DUMMYFUNCTION("IFERROR(VLOOKUP(D993,
IMPORTRANGE(""https://docs.google.com/spreadsheets/d/1MjHtlUikwobi2MaWJgy7tfLeBmhj1u-dRFRs_8GwSoA/edit#gid=0"",""Gestores Escolares!D7:J""),7,0),""VERIFICAR CÓD SEC"")"),"")</f>
        <v/>
      </c>
      <c r="Q993" s="82" t="str">
        <f>IFERROR(__xludf.DUMMYFUNCTION("IFERROR(VLOOKUP(D993,
IMPORTRANGE(""https://docs.google.com/spreadsheets/d/1MjHtlUikwobi2MaWJgy7tfLeBmhj1u-dRFRs_8GwSoA/edit#gid=0"",""Gestores Escolares!D7:m""),9,0),""VERIFICAR CÓD SEC"")"),"")</f>
        <v/>
      </c>
      <c r="R993" s="82" t="str">
        <f>IFERROR(__xludf.DUMMYFUNCTION("IFERROR(VLOOKUP(D993,
IMPORTRANGE(""https://docs.google.com/spreadsheets/d/1MjHtlUikwobi2MaWJgy7tfLeBmhj1u-dRFRs_8GwSoA/edit#gid=0"",""Gestores Escolares!D7:m""),10,0),""VERIFICAR CÓD SEC"")"),"")</f>
        <v/>
      </c>
      <c r="S993" s="82"/>
      <c r="T993" s="138">
        <v>6.0</v>
      </c>
      <c r="U993" s="145">
        <v>7.0</v>
      </c>
      <c r="V993" s="106">
        <v>0.0</v>
      </c>
      <c r="W993" s="107">
        <v>0.0</v>
      </c>
      <c r="X993" s="107">
        <v>0.0</v>
      </c>
      <c r="Y993" s="107">
        <v>0.0</v>
      </c>
      <c r="Z993" s="80">
        <f t="shared" si="1"/>
        <v>0</v>
      </c>
      <c r="AA993" s="106">
        <v>0.0</v>
      </c>
      <c r="AB993" s="107">
        <v>0.0</v>
      </c>
      <c r="AC993" s="107">
        <v>0.0</v>
      </c>
      <c r="AD993" s="107">
        <v>0.0</v>
      </c>
      <c r="AE993" s="80">
        <f t="shared" si="2"/>
        <v>0</v>
      </c>
      <c r="AF993" s="140">
        <v>49.0</v>
      </c>
      <c r="AG993" s="109">
        <v>68.0</v>
      </c>
      <c r="AH993" s="109">
        <v>0.0</v>
      </c>
      <c r="AI993" s="141">
        <v>19.0</v>
      </c>
      <c r="AJ993" s="80">
        <f t="shared" si="3"/>
        <v>136</v>
      </c>
      <c r="AK993" s="140">
        <v>0.0</v>
      </c>
      <c r="AL993" s="109">
        <v>0.0</v>
      </c>
      <c r="AM993" s="141">
        <v>0.0</v>
      </c>
      <c r="AN993" s="80">
        <f t="shared" si="4"/>
        <v>0</v>
      </c>
      <c r="AO993" s="140">
        <v>0.0</v>
      </c>
      <c r="AP993" s="109">
        <v>0.0</v>
      </c>
      <c r="AQ993" s="109">
        <v>65.0</v>
      </c>
      <c r="AR993" s="80">
        <f t="shared" si="5"/>
        <v>65</v>
      </c>
      <c r="AS993" s="110">
        <v>0.0</v>
      </c>
      <c r="AT993" s="110">
        <v>23.0</v>
      </c>
      <c r="AU993" s="110">
        <v>32.0</v>
      </c>
      <c r="AV993" s="142">
        <v>21.0</v>
      </c>
      <c r="AW993" s="80">
        <f t="shared" si="6"/>
        <v>76</v>
      </c>
      <c r="AX993" s="113">
        <f t="shared" si="7"/>
        <v>277</v>
      </c>
      <c r="AY993" s="117">
        <f t="shared" si="8"/>
        <v>180</v>
      </c>
      <c r="AZ993" s="120">
        <f t="shared" si="9"/>
        <v>97</v>
      </c>
      <c r="BA993" s="115">
        <v>0.0</v>
      </c>
      <c r="BB993" s="89">
        <f t="shared" si="10"/>
        <v>277</v>
      </c>
      <c r="BC993" s="132" t="s">
        <v>373</v>
      </c>
      <c r="BD993" s="132" t="s">
        <v>178</v>
      </c>
      <c r="BE993" s="132" t="s">
        <v>178</v>
      </c>
      <c r="BF993" s="123"/>
      <c r="BG993" s="83">
        <v>1178429.0</v>
      </c>
      <c r="BH993" s="112"/>
      <c r="BI993" s="112">
        <v>6.0</v>
      </c>
      <c r="BJ993" s="98" t="s">
        <v>155</v>
      </c>
      <c r="BK993" s="99">
        <f t="shared" si="11"/>
        <v>40</v>
      </c>
      <c r="BL993" s="99">
        <f t="shared" si="12"/>
        <v>140</v>
      </c>
      <c r="BM993" s="99" t="str">
        <f>IFERROR(__xludf.DUMMYFUNCTION("IFERROR(VLOOKUP(BG993,IMPORTRANGE(""https://docs.google.com/spreadsheets/d/1juPI-Fb8LD0YtltB2mlGEnp_R3UVu1t3wSFPzgCyHXE/edit?gid=0#gid=0"",""GERAL!A2:C""),3,0),""-"")"),"CAMPO")</f>
        <v>CAMPO</v>
      </c>
    </row>
    <row r="994" ht="15.75" customHeight="1">
      <c r="A994" s="111" t="s">
        <v>1224</v>
      </c>
      <c r="B994" s="83" t="s">
        <v>5230</v>
      </c>
      <c r="C994" s="83" t="s">
        <v>68</v>
      </c>
      <c r="D994" s="112">
        <v>1178084.0</v>
      </c>
      <c r="E994" s="83"/>
      <c r="F994" s="83">
        <v>2.942853E7</v>
      </c>
      <c r="G994" s="353" t="s">
        <v>13554</v>
      </c>
      <c r="H994" s="108" t="s">
        <v>13555</v>
      </c>
      <c r="I994" s="136" t="s">
        <v>149</v>
      </c>
      <c r="J994" s="136" t="s">
        <v>150</v>
      </c>
      <c r="K994" s="83" t="s">
        <v>151</v>
      </c>
      <c r="L994" s="83" t="s">
        <v>152</v>
      </c>
      <c r="M994" s="82" t="str">
        <f>IFERROR(__xludf.DUMMYFUNCTION("IFERROR(VLOOKUP(D994,
IMPORTRANGE(""https://docs.google.com/spreadsheets/d/1MjHtlUikwobi2MaWJgy7tfLeBmhj1u-dRFRs_8GwSoA/edit#gid=0"",""Gestores Escolares!D7:J""),3,0),""VERIFICAR CÓD SEC"")"),"MARINEIDE DAMACENA CRISTO")</f>
        <v>MARINEIDE DAMACENA CRISTO</v>
      </c>
      <c r="N994" s="82" t="str">
        <f>IFERROR(__xludf.DUMMYFUNCTION("IFERROR(VLOOKUP(D994,
IMPORTRANGE(""https://docs.google.com/spreadsheets/d/1MjHtlUikwobi2MaWJgy7tfLeBmhj1u-dRFRs_8GwSoA/edit#gid=0"",""Gestores Escolares!D7:J""),4,0),""VERIFICAR CÓD SEC"")"),"(75) 9 8875-4186")</f>
        <v>(75) 9 8875-4186</v>
      </c>
      <c r="O994" s="82" t="str">
        <f>IFERROR(__xludf.DUMMYFUNCTION("IFERROR(VLOOKUP(D994,
IMPORTRANGE(""https://docs.google.com/spreadsheets/d/1MjHtlUikwobi2MaWJgy7tfLeBmhj1u-dRFRs_8GwSoA/edit#gid=0"",""Gestores Escolares!D7:J""),6,0),""VERIFICAR CÓD SEC"")"),"FRANCISCO DE ASSIS CEZAR")</f>
        <v>FRANCISCO DE ASSIS CEZAR</v>
      </c>
      <c r="P994" s="82" t="str">
        <f>IFERROR(__xludf.DUMMYFUNCTION("IFERROR(VLOOKUP(D994,
IMPORTRANGE(""https://docs.google.com/spreadsheets/d/1MjHtlUikwobi2MaWJgy7tfLeBmhj1u-dRFRs_8GwSoA/edit#gid=0"",""Gestores Escolares!D7:J""),7,0),""VERIFICAR CÓD SEC"")"),"(75) 9 9866-3720")</f>
        <v>(75) 9 9866-3720</v>
      </c>
      <c r="Q994" s="82" t="str">
        <f>IFERROR(__xludf.DUMMYFUNCTION("IFERROR(VLOOKUP(D994,
IMPORTRANGE(""https://docs.google.com/spreadsheets/d/1MjHtlUikwobi2MaWJgy7tfLeBmhj1u-dRFRs_8GwSoA/edit#gid=0"",""Gestores Escolares!D7:m""),9,0),""VERIFICAR CÓD SEC"")"),"")</f>
        <v/>
      </c>
      <c r="R994" s="82" t="str">
        <f>IFERROR(__xludf.DUMMYFUNCTION("IFERROR(VLOOKUP(D994,
IMPORTRANGE(""https://docs.google.com/spreadsheets/d/1MjHtlUikwobi2MaWJgy7tfLeBmhj1u-dRFRs_8GwSoA/edit#gid=0"",""Gestores Escolares!D7:m""),10,0),""VERIFICAR CÓD SEC"")"),"")</f>
        <v/>
      </c>
      <c r="S994" s="82"/>
      <c r="T994" s="138">
        <v>8.0</v>
      </c>
      <c r="U994" s="145" t="s">
        <v>13556</v>
      </c>
      <c r="V994" s="106">
        <v>0.0</v>
      </c>
      <c r="W994" s="107">
        <v>0.0</v>
      </c>
      <c r="X994" s="107">
        <v>0.0</v>
      </c>
      <c r="Y994" s="107">
        <v>0.0</v>
      </c>
      <c r="Z994" s="80">
        <f t="shared" si="1"/>
        <v>0</v>
      </c>
      <c r="AA994" s="106">
        <v>0.0</v>
      </c>
      <c r="AB994" s="107">
        <v>0.0</v>
      </c>
      <c r="AC994" s="107">
        <v>0.0</v>
      </c>
      <c r="AD994" s="107">
        <v>0.0</v>
      </c>
      <c r="AE994" s="80">
        <f t="shared" si="2"/>
        <v>0</v>
      </c>
      <c r="AF994" s="140">
        <v>299.0</v>
      </c>
      <c r="AG994" s="109">
        <v>209.0</v>
      </c>
      <c r="AH994" s="109">
        <v>0.0</v>
      </c>
      <c r="AI994" s="141">
        <v>0.0</v>
      </c>
      <c r="AJ994" s="80">
        <f t="shared" si="3"/>
        <v>508</v>
      </c>
      <c r="AK994" s="140">
        <v>0.0</v>
      </c>
      <c r="AL994" s="109">
        <v>0.0</v>
      </c>
      <c r="AM994" s="141">
        <v>0.0</v>
      </c>
      <c r="AN994" s="80">
        <f t="shared" si="4"/>
        <v>0</v>
      </c>
      <c r="AO994" s="140">
        <v>0.0</v>
      </c>
      <c r="AP994" s="109">
        <v>0.0</v>
      </c>
      <c r="AQ994" s="109">
        <v>66.0</v>
      </c>
      <c r="AR994" s="80">
        <f t="shared" si="5"/>
        <v>66</v>
      </c>
      <c r="AS994" s="110">
        <v>0.0</v>
      </c>
      <c r="AT994" s="110">
        <v>0.0</v>
      </c>
      <c r="AU994" s="110">
        <v>0.0</v>
      </c>
      <c r="AV994" s="142">
        <v>0.0</v>
      </c>
      <c r="AW994" s="80">
        <f t="shared" si="6"/>
        <v>0</v>
      </c>
      <c r="AX994" s="113">
        <f t="shared" si="7"/>
        <v>574</v>
      </c>
      <c r="AY994" s="117">
        <f t="shared" si="8"/>
        <v>508</v>
      </c>
      <c r="AZ994" s="120">
        <f t="shared" si="9"/>
        <v>66</v>
      </c>
      <c r="BA994" s="115">
        <v>0.0</v>
      </c>
      <c r="BB994" s="89">
        <f t="shared" si="10"/>
        <v>574</v>
      </c>
      <c r="BC994" s="132" t="s">
        <v>178</v>
      </c>
      <c r="BD994" s="132" t="s">
        <v>178</v>
      </c>
      <c r="BE994" s="132" t="s">
        <v>178</v>
      </c>
      <c r="BF994" s="123"/>
      <c r="BG994" s="83">
        <v>1178084.0</v>
      </c>
      <c r="BH994" s="112"/>
      <c r="BI994" s="112">
        <v>8.0</v>
      </c>
      <c r="BJ994" s="98" t="s">
        <v>155</v>
      </c>
      <c r="BK994" s="99">
        <f t="shared" si="11"/>
        <v>0</v>
      </c>
      <c r="BL994" s="99">
        <f t="shared" si="12"/>
        <v>508</v>
      </c>
      <c r="BM994" s="99" t="str">
        <f>IFERROR(__xludf.DUMMYFUNCTION("IFERROR(VLOOKUP(BG994,IMPORTRANGE(""https://docs.google.com/spreadsheets/d/1juPI-Fb8LD0YtltB2mlGEnp_R3UVu1t3wSFPzgCyHXE/edit?gid=0#gid=0"",""GERAL!A2:C""),3,0),""-"")"),"-")</f>
        <v>-</v>
      </c>
    </row>
    <row r="995" ht="15.75" customHeight="1">
      <c r="A995" s="111" t="s">
        <v>1224</v>
      </c>
      <c r="B995" s="83" t="s">
        <v>5230</v>
      </c>
      <c r="C995" s="83" t="s">
        <v>68</v>
      </c>
      <c r="D995" s="112">
        <v>1115393.0</v>
      </c>
      <c r="E995" s="83"/>
      <c r="F995" s="83">
        <v>2.9133955E7</v>
      </c>
      <c r="G995" s="119" t="s">
        <v>5239</v>
      </c>
      <c r="H995" s="91" t="s">
        <v>5240</v>
      </c>
      <c r="I995" s="136" t="s">
        <v>149</v>
      </c>
      <c r="J995" s="136" t="s">
        <v>150</v>
      </c>
      <c r="K995" s="83" t="s">
        <v>151</v>
      </c>
      <c r="L995" s="83" t="s">
        <v>152</v>
      </c>
      <c r="M995" s="82" t="str">
        <f>IFERROR(__xludf.DUMMYFUNCTION("IFERROR(VLOOKUP(D995,
IMPORTRANGE(""https://docs.google.com/spreadsheets/d/1MjHtlUikwobi2MaWJgy7tfLeBmhj1u-dRFRs_8GwSoA/edit#gid=0"",""Gestores Escolares!D7:J""),3,0),""VERIFICAR CÓD SEC"")"),"DAMIAO SANTANA CARDOSO")</f>
        <v>DAMIAO SANTANA CARDOSO</v>
      </c>
      <c r="N995" s="82" t="str">
        <f>IFERROR(__xludf.DUMMYFUNCTION("IFERROR(VLOOKUP(D995,
IMPORTRANGE(""https://docs.google.com/spreadsheets/d/1MjHtlUikwobi2MaWJgy7tfLeBmhj1u-dRFRs_8GwSoA/edit#gid=0"",""Gestores Escolares!D7:J""),4,0),""VERIFICAR CÓD SEC"")"),"(75) 9 9956-1017")</f>
        <v>(75) 9 9956-1017</v>
      </c>
      <c r="O995" s="82" t="str">
        <f>IFERROR(__xludf.DUMMYFUNCTION("IFERROR(VLOOKUP(D995,
IMPORTRANGE(""https://docs.google.com/spreadsheets/d/1MjHtlUikwobi2MaWJgy7tfLeBmhj1u-dRFRs_8GwSoA/edit#gid=0"",""Gestores Escolares!D7:J""),6,0),""VERIFICAR CÓD SEC"")"),"EDICLEIA ANDRADE DE MATOS")</f>
        <v>EDICLEIA ANDRADE DE MATOS</v>
      </c>
      <c r="P995" s="82" t="str">
        <f>IFERROR(__xludf.DUMMYFUNCTION("IFERROR(VLOOKUP(D995,
IMPORTRANGE(""https://docs.google.com/spreadsheets/d/1MjHtlUikwobi2MaWJgy7tfLeBmhj1u-dRFRs_8GwSoA/edit#gid=0"",""Gestores Escolares!D7:J""),7,0),""VERIFICAR CÓD SEC"")"),"(75) 9 9988-1211")</f>
        <v>(75) 9 9988-1211</v>
      </c>
      <c r="Q995" s="82" t="str">
        <f>IFERROR(__xludf.DUMMYFUNCTION("IFERROR(VLOOKUP(D995,
IMPORTRANGE(""https://docs.google.com/spreadsheets/d/1MjHtlUikwobi2MaWJgy7tfLeBmhj1u-dRFRs_8GwSoA/edit#gid=0"",""Gestores Escolares!D7:m""),9,0),""VERIFICAR CÓD SEC"")"),"")</f>
        <v/>
      </c>
      <c r="R995" s="82" t="str">
        <f>IFERROR(__xludf.DUMMYFUNCTION("IFERROR(VLOOKUP(D995,
IMPORTRANGE(""https://docs.google.com/spreadsheets/d/1MjHtlUikwobi2MaWJgy7tfLeBmhj1u-dRFRs_8GwSoA/edit#gid=0"",""Gestores Escolares!D7:m""),10,0),""VERIFICAR CÓD SEC"")"),"")</f>
        <v/>
      </c>
      <c r="S995" s="82"/>
      <c r="T995" s="138">
        <v>13.0</v>
      </c>
      <c r="U995" s="145" t="s">
        <v>13558</v>
      </c>
      <c r="V995" s="106">
        <v>0.0</v>
      </c>
      <c r="W995" s="107">
        <v>0.0</v>
      </c>
      <c r="X995" s="107">
        <v>0.0</v>
      </c>
      <c r="Y995" s="107">
        <v>0.0</v>
      </c>
      <c r="Z995" s="80">
        <f t="shared" si="1"/>
        <v>0</v>
      </c>
      <c r="AA995" s="106">
        <v>0.0</v>
      </c>
      <c r="AB995" s="107">
        <v>0.0</v>
      </c>
      <c r="AC995" s="107">
        <v>0.0</v>
      </c>
      <c r="AD995" s="107">
        <v>0.0</v>
      </c>
      <c r="AE995" s="80">
        <f t="shared" si="2"/>
        <v>0</v>
      </c>
      <c r="AF995" s="140">
        <v>123.0</v>
      </c>
      <c r="AG995" s="109">
        <v>194.0</v>
      </c>
      <c r="AH995" s="109">
        <v>0.0</v>
      </c>
      <c r="AI995" s="141">
        <v>20.0</v>
      </c>
      <c r="AJ995" s="80">
        <f t="shared" si="3"/>
        <v>337</v>
      </c>
      <c r="AK995" s="140">
        <v>0.0</v>
      </c>
      <c r="AL995" s="109">
        <v>0.0</v>
      </c>
      <c r="AM995" s="141">
        <v>0.0</v>
      </c>
      <c r="AN995" s="80">
        <f t="shared" si="4"/>
        <v>0</v>
      </c>
      <c r="AO995" s="140">
        <v>0.0</v>
      </c>
      <c r="AP995" s="109">
        <v>0.0</v>
      </c>
      <c r="AQ995" s="109">
        <v>163.0</v>
      </c>
      <c r="AR995" s="80">
        <f t="shared" si="5"/>
        <v>163</v>
      </c>
      <c r="AS995" s="110">
        <v>0.0</v>
      </c>
      <c r="AT995" s="110">
        <v>0.0</v>
      </c>
      <c r="AU995" s="110">
        <v>0.0</v>
      </c>
      <c r="AV995" s="142">
        <v>0.0</v>
      </c>
      <c r="AW995" s="80">
        <f t="shared" si="6"/>
        <v>0</v>
      </c>
      <c r="AX995" s="113">
        <f t="shared" si="7"/>
        <v>500</v>
      </c>
      <c r="AY995" s="117">
        <f t="shared" si="8"/>
        <v>337</v>
      </c>
      <c r="AZ995" s="120">
        <f t="shared" si="9"/>
        <v>163</v>
      </c>
      <c r="BA995" s="115">
        <v>0.0</v>
      </c>
      <c r="BB995" s="89">
        <f t="shared" si="10"/>
        <v>500</v>
      </c>
      <c r="BC995" s="132" t="s">
        <v>178</v>
      </c>
      <c r="BD995" s="132" t="s">
        <v>178</v>
      </c>
      <c r="BE995" s="132" t="s">
        <v>178</v>
      </c>
      <c r="BF995" s="123"/>
      <c r="BG995" s="83">
        <v>1115393.0</v>
      </c>
      <c r="BH995" s="112"/>
      <c r="BI995" s="112">
        <v>6.0</v>
      </c>
      <c r="BJ995" s="98" t="s">
        <v>155</v>
      </c>
      <c r="BK995" s="99">
        <f t="shared" si="11"/>
        <v>20</v>
      </c>
      <c r="BL995" s="99">
        <f t="shared" si="12"/>
        <v>317</v>
      </c>
      <c r="BM995" s="99" t="str">
        <f>IFERROR(__xludf.DUMMYFUNCTION("IFERROR(VLOOKUP(BG995,IMPORTRANGE(""https://docs.google.com/spreadsheets/d/1juPI-Fb8LD0YtltB2mlGEnp_R3UVu1t3wSFPzgCyHXE/edit?gid=0#gid=0"",""GERAL!A2:C""),3,0),""-"")"),"-")</f>
        <v>-</v>
      </c>
    </row>
    <row r="996" ht="15.75" customHeight="1">
      <c r="A996" s="111" t="s">
        <v>1224</v>
      </c>
      <c r="B996" s="83" t="s">
        <v>5230</v>
      </c>
      <c r="C996" s="83" t="s">
        <v>68</v>
      </c>
      <c r="D996" s="112">
        <v>1115326.0</v>
      </c>
      <c r="E996" s="83"/>
      <c r="F996" s="83">
        <v>2.913313E7</v>
      </c>
      <c r="G996" s="119" t="s">
        <v>5246</v>
      </c>
      <c r="H996" s="91" t="s">
        <v>5247</v>
      </c>
      <c r="I996" s="136" t="s">
        <v>149</v>
      </c>
      <c r="J996" s="136" t="s">
        <v>150</v>
      </c>
      <c r="K996" s="83" t="s">
        <v>151</v>
      </c>
      <c r="L996" s="83" t="s">
        <v>230</v>
      </c>
      <c r="M996" s="82" t="str">
        <f>IFERROR(__xludf.DUMMYFUNCTION("IFERROR(VLOOKUP(D996,
IMPORTRANGE(""https://docs.google.com/spreadsheets/d/1MjHtlUikwobi2MaWJgy7tfLeBmhj1u-dRFRs_8GwSoA/edit#gid=0"",""Gestores Escolares!D7:J""),3,0),""VERIFICAR CÓD SEC"")"),"HELOISA BOAVENTURA GUIMARAES")</f>
        <v>HELOISA BOAVENTURA GUIMARAES</v>
      </c>
      <c r="N996" s="82" t="str">
        <f>IFERROR(__xludf.DUMMYFUNCTION("IFERROR(VLOOKUP(D996,
IMPORTRANGE(""https://docs.google.com/spreadsheets/d/1MjHtlUikwobi2MaWJgy7tfLeBmhj1u-dRFRs_8GwSoA/edit#gid=0"",""Gestores Escolares!D7:J""),4,0),""VERIFICAR CÓD SEC"")"),"(75) 9 9936-9718/  9 8137-1670")</f>
        <v>(75) 9 9936-9718/  9 8137-1670</v>
      </c>
      <c r="O996" s="82" t="str">
        <f>IFERROR(__xludf.DUMMYFUNCTION("IFERROR(VLOOKUP(D996,
IMPORTRANGE(""https://docs.google.com/spreadsheets/d/1MjHtlUikwobi2MaWJgy7tfLeBmhj1u-dRFRs_8GwSoA/edit#gid=0"",""Gestores Escolares!D7:J""),6,0),""VERIFICAR CÓD SEC"")"),"HELDA ALVES MARTINS SILVA")</f>
        <v>HELDA ALVES MARTINS SILVA</v>
      </c>
      <c r="P996" s="82" t="str">
        <f>IFERROR(__xludf.DUMMYFUNCTION("IFERROR(VLOOKUP(D996,
IMPORTRANGE(""https://docs.google.com/spreadsheets/d/1MjHtlUikwobi2MaWJgy7tfLeBmhj1u-dRFRs_8GwSoA/edit#gid=0"",""Gestores Escolares!D7:J""),7,0),""VERIFICAR CÓD SEC"")"),"(75) 9 9924-2995")</f>
        <v>(75) 9 9924-2995</v>
      </c>
      <c r="Q996" s="82" t="str">
        <f>IFERROR(__xludf.DUMMYFUNCTION("IFERROR(VLOOKUP(D996,
IMPORTRANGE(""https://docs.google.com/spreadsheets/d/1MjHtlUikwobi2MaWJgy7tfLeBmhj1u-dRFRs_8GwSoA/edit#gid=0"",""Gestores Escolares!D7:m""),9,0),""VERIFICAR CÓD SEC"")"),"")</f>
        <v/>
      </c>
      <c r="R996" s="82" t="str">
        <f>IFERROR(__xludf.DUMMYFUNCTION("IFERROR(VLOOKUP(D996,
IMPORTRANGE(""https://docs.google.com/spreadsheets/d/1MjHtlUikwobi2MaWJgy7tfLeBmhj1u-dRFRs_8GwSoA/edit#gid=0"",""Gestores Escolares!D7:m""),10,0),""VERIFICAR CÓD SEC"")"),"")</f>
        <v/>
      </c>
      <c r="S996" s="82"/>
      <c r="T996" s="138">
        <v>14.0</v>
      </c>
      <c r="U996" s="145">
        <v>15.0</v>
      </c>
      <c r="V996" s="106">
        <v>0.0</v>
      </c>
      <c r="W996" s="107">
        <v>0.0</v>
      </c>
      <c r="X996" s="107">
        <v>0.0</v>
      </c>
      <c r="Y996" s="107">
        <v>0.0</v>
      </c>
      <c r="Z996" s="80">
        <f t="shared" si="1"/>
        <v>0</v>
      </c>
      <c r="AA996" s="106">
        <v>0.0</v>
      </c>
      <c r="AB996" s="107">
        <v>0.0</v>
      </c>
      <c r="AC996" s="107">
        <v>0.0</v>
      </c>
      <c r="AD996" s="107">
        <v>0.0</v>
      </c>
      <c r="AE996" s="80">
        <f t="shared" si="2"/>
        <v>0</v>
      </c>
      <c r="AF996" s="140">
        <v>0.0</v>
      </c>
      <c r="AG996" s="109">
        <v>0.0</v>
      </c>
      <c r="AH996" s="109">
        <v>0.0</v>
      </c>
      <c r="AI996" s="141">
        <v>0.0</v>
      </c>
      <c r="AJ996" s="80">
        <f t="shared" si="3"/>
        <v>0</v>
      </c>
      <c r="AK996" s="140">
        <v>0.0</v>
      </c>
      <c r="AL996" s="109">
        <v>0.0</v>
      </c>
      <c r="AM996" s="141">
        <v>0.0</v>
      </c>
      <c r="AN996" s="80">
        <f t="shared" si="4"/>
        <v>0</v>
      </c>
      <c r="AO996" s="140">
        <v>0.0</v>
      </c>
      <c r="AP996" s="109">
        <v>0.0</v>
      </c>
      <c r="AQ996" s="109">
        <v>0.0</v>
      </c>
      <c r="AR996" s="80">
        <f t="shared" si="5"/>
        <v>0</v>
      </c>
      <c r="AS996" s="110">
        <v>439.0</v>
      </c>
      <c r="AT996" s="110">
        <v>407.0</v>
      </c>
      <c r="AU996" s="110">
        <v>316.0</v>
      </c>
      <c r="AV996" s="142">
        <v>67.0</v>
      </c>
      <c r="AW996" s="80">
        <f t="shared" si="6"/>
        <v>1229</v>
      </c>
      <c r="AX996" s="113">
        <f t="shared" si="7"/>
        <v>1229</v>
      </c>
      <c r="AY996" s="117">
        <f t="shared" si="8"/>
        <v>913</v>
      </c>
      <c r="AZ996" s="120">
        <f t="shared" si="9"/>
        <v>316</v>
      </c>
      <c r="BA996" s="115">
        <v>1.0</v>
      </c>
      <c r="BB996" s="89">
        <f t="shared" si="10"/>
        <v>1230</v>
      </c>
      <c r="BC996" s="132" t="s">
        <v>178</v>
      </c>
      <c r="BD996" s="132" t="s">
        <v>522</v>
      </c>
      <c r="BE996" s="132" t="s">
        <v>178</v>
      </c>
      <c r="BF996" s="123"/>
      <c r="BG996" s="83">
        <v>1115326.0</v>
      </c>
      <c r="BH996" s="112"/>
      <c r="BI996" s="112">
        <v>13.0</v>
      </c>
      <c r="BJ996" s="98" t="s">
        <v>176</v>
      </c>
      <c r="BK996" s="99">
        <f t="shared" si="11"/>
        <v>67</v>
      </c>
      <c r="BL996" s="99">
        <f t="shared" si="12"/>
        <v>846</v>
      </c>
      <c r="BM996" s="99" t="str">
        <f>IFERROR(__xludf.DUMMYFUNCTION("IFERROR(VLOOKUP(BG996,IMPORTRANGE(""https://docs.google.com/spreadsheets/d/1juPI-Fb8LD0YtltB2mlGEnp_R3UVu1t3wSFPzgCyHXE/edit?gid=0#gid=0"",""GERAL!A2:C""),3,0),""-"")"),"-")</f>
        <v>-</v>
      </c>
    </row>
    <row r="997" ht="15.75" customHeight="1">
      <c r="A997" s="111" t="s">
        <v>1224</v>
      </c>
      <c r="B997" s="83" t="s">
        <v>5251</v>
      </c>
      <c r="C997" s="83" t="s">
        <v>68</v>
      </c>
      <c r="D997" s="195">
        <v>1114303.0</v>
      </c>
      <c r="E997" s="136"/>
      <c r="F997" s="136">
        <v>2.91145E7</v>
      </c>
      <c r="G997" s="147" t="s">
        <v>5255</v>
      </c>
      <c r="H997" s="91" t="s">
        <v>5257</v>
      </c>
      <c r="I997" s="136" t="s">
        <v>149</v>
      </c>
      <c r="J997" s="83" t="s">
        <v>150</v>
      </c>
      <c r="K997" s="83" t="s">
        <v>151</v>
      </c>
      <c r="L997" s="83" t="s">
        <v>152</v>
      </c>
      <c r="M997" s="82" t="str">
        <f>IFERROR(__xludf.DUMMYFUNCTION("IFERROR(VLOOKUP(D997,
IMPORTRANGE(""https://docs.google.com/spreadsheets/d/1MjHtlUikwobi2MaWJgy7tfLeBmhj1u-dRFRs_8GwSoA/edit#gid=0"",""Gestores Escolares!D7:J""),3,0),""VERIFICAR CÓD SEC"")"),"JOSE ANTONIO DO NASCIMENTO ALVES DE OLIVEIRA")</f>
        <v>JOSE ANTONIO DO NASCIMENTO ALVES DE OLIVEIRA</v>
      </c>
      <c r="N997" s="82" t="str">
        <f>IFERROR(__xludf.DUMMYFUNCTION("IFERROR(VLOOKUP(D997,
IMPORTRANGE(""https://docs.google.com/spreadsheets/d/1MjHtlUikwobi2MaWJgy7tfLeBmhj1u-dRFRs_8GwSoA/edit#gid=0"",""Gestores Escolares!D7:J""),4,0),""VERIFICAR CÓD SEC"")"),"(75) 9 8817-3404 /
9 8172-0360")</f>
        <v>(75) 9 8817-3404 /
9 8172-0360</v>
      </c>
      <c r="O997" s="82" t="str">
        <f>IFERROR(__xludf.DUMMYFUNCTION("IFERROR(VLOOKUP(D997,
IMPORTRANGE(""https://docs.google.com/spreadsheets/d/1MjHtlUikwobi2MaWJgy7tfLeBmhj1u-dRFRs_8GwSoA/edit#gid=0"",""Gestores Escolares!D7:J""),6,0),""VERIFICAR CÓD SEC"")"),"THIAGO BEZERRA GOMES")</f>
        <v>THIAGO BEZERRA GOMES</v>
      </c>
      <c r="P997" s="82" t="str">
        <f>IFERROR(__xludf.DUMMYFUNCTION("IFERROR(VLOOKUP(D997,
IMPORTRANGE(""https://docs.google.com/spreadsheets/d/1MjHtlUikwobi2MaWJgy7tfLeBmhj1u-dRFRs_8GwSoA/edit#gid=0"",""Gestores Escolares!D7:J""),7,0),""VERIFICAR CÓD SEC"")"),"(75) 9 8837-8968")</f>
        <v>(75) 9 8837-8968</v>
      </c>
      <c r="Q997" s="82" t="str">
        <f>IFERROR(__xludf.DUMMYFUNCTION("IFERROR(VLOOKUP(D997,
IMPORTRANGE(""https://docs.google.com/spreadsheets/d/1MjHtlUikwobi2MaWJgy7tfLeBmhj1u-dRFRs_8GwSoA/edit#gid=0"",""Gestores Escolares!D7:m""),9,0),""VERIFICAR CÓD SEC"")"),"LUIZ ANDRADE DE SA NETO")</f>
        <v>LUIZ ANDRADE DE SA NETO</v>
      </c>
      <c r="R997" s="82" t="str">
        <f>IFERROR(__xludf.DUMMYFUNCTION("IFERROR(VLOOKUP(D997,
IMPORTRANGE(""https://docs.google.com/spreadsheets/d/1MjHtlUikwobi2MaWJgy7tfLeBmhj1u-dRFRs_8GwSoA/edit#gid=0"",""Gestores Escolares!D7:m""),10,0),""VERIFICAR CÓD SEC"")"),"")</f>
        <v/>
      </c>
      <c r="S997" s="82"/>
      <c r="T997" s="138"/>
      <c r="U997" s="145">
        <v>13.0</v>
      </c>
      <c r="V997" s="106">
        <v>0.0</v>
      </c>
      <c r="W997" s="107">
        <v>0.0</v>
      </c>
      <c r="X997" s="107">
        <v>0.0</v>
      </c>
      <c r="Y997" s="107">
        <v>0.0</v>
      </c>
      <c r="Z997" s="80">
        <f t="shared" si="1"/>
        <v>0</v>
      </c>
      <c r="AA997" s="106">
        <v>0.0</v>
      </c>
      <c r="AB997" s="107">
        <v>0.0</v>
      </c>
      <c r="AC997" s="107">
        <v>0.0</v>
      </c>
      <c r="AD997" s="107">
        <v>0.0</v>
      </c>
      <c r="AE997" s="80">
        <f t="shared" si="2"/>
        <v>0</v>
      </c>
      <c r="AF997" s="140">
        <v>97.0</v>
      </c>
      <c r="AG997" s="109">
        <v>84.0</v>
      </c>
      <c r="AH997" s="109">
        <v>0.0</v>
      </c>
      <c r="AI997" s="141">
        <v>74.0</v>
      </c>
      <c r="AJ997" s="80">
        <f t="shared" si="3"/>
        <v>255</v>
      </c>
      <c r="AK997" s="140">
        <v>0.0</v>
      </c>
      <c r="AL997" s="109">
        <v>0.0</v>
      </c>
      <c r="AM997" s="141">
        <v>0.0</v>
      </c>
      <c r="AN997" s="80">
        <f t="shared" si="4"/>
        <v>0</v>
      </c>
      <c r="AO997" s="140">
        <v>0.0</v>
      </c>
      <c r="AP997" s="109">
        <v>0.0</v>
      </c>
      <c r="AQ997" s="109">
        <v>78.0</v>
      </c>
      <c r="AR997" s="80">
        <f t="shared" si="5"/>
        <v>78</v>
      </c>
      <c r="AS997" s="110">
        <v>94.0</v>
      </c>
      <c r="AT997" s="110">
        <v>0.0</v>
      </c>
      <c r="AU997" s="110">
        <v>0.0</v>
      </c>
      <c r="AV997" s="142">
        <v>79.0</v>
      </c>
      <c r="AW997" s="80">
        <f t="shared" si="6"/>
        <v>173</v>
      </c>
      <c r="AX997" s="113">
        <f t="shared" si="7"/>
        <v>506</v>
      </c>
      <c r="AY997" s="117">
        <f t="shared" si="8"/>
        <v>428</v>
      </c>
      <c r="AZ997" s="120">
        <f t="shared" si="9"/>
        <v>78</v>
      </c>
      <c r="BA997" s="115">
        <v>0.0</v>
      </c>
      <c r="BB997" s="89">
        <f t="shared" si="10"/>
        <v>506</v>
      </c>
      <c r="BC997" s="132" t="s">
        <v>178</v>
      </c>
      <c r="BD997" s="132" t="s">
        <v>178</v>
      </c>
      <c r="BE997" s="132" t="s">
        <v>178</v>
      </c>
      <c r="BF997" s="123"/>
      <c r="BG997" s="136">
        <v>1114303.0</v>
      </c>
      <c r="BH997" s="112"/>
      <c r="BI997" s="112">
        <v>11.0</v>
      </c>
      <c r="BJ997" s="98" t="s">
        <v>176</v>
      </c>
      <c r="BK997" s="99">
        <f t="shared" si="11"/>
        <v>153</v>
      </c>
      <c r="BL997" s="99">
        <f t="shared" si="12"/>
        <v>275</v>
      </c>
      <c r="BM997" s="99" t="str">
        <f>IFERROR(__xludf.DUMMYFUNCTION("IFERROR(VLOOKUP(BG997,IMPORTRANGE(""https://docs.google.com/spreadsheets/d/1juPI-Fb8LD0YtltB2mlGEnp_R3UVu1t3wSFPzgCyHXE/edit?gid=0#gid=0"",""GERAL!A2:C""),3,0),""-"")"),"-")</f>
        <v>-</v>
      </c>
    </row>
    <row r="998" ht="15.75" customHeight="1">
      <c r="A998" s="111" t="s">
        <v>1224</v>
      </c>
      <c r="B998" s="83" t="s">
        <v>5263</v>
      </c>
      <c r="C998" s="83" t="s">
        <v>68</v>
      </c>
      <c r="D998" s="112">
        <v>1171196.0</v>
      </c>
      <c r="E998" s="83"/>
      <c r="F998" s="83">
        <v>2.9115396E7</v>
      </c>
      <c r="G998" s="153" t="s">
        <v>5264</v>
      </c>
      <c r="H998" s="108" t="s">
        <v>5265</v>
      </c>
      <c r="I998" s="172" t="s">
        <v>149</v>
      </c>
      <c r="J998" s="83" t="s">
        <v>150</v>
      </c>
      <c r="K998" s="83" t="s">
        <v>151</v>
      </c>
      <c r="L998" s="83" t="s">
        <v>230</v>
      </c>
      <c r="M998" s="82" t="str">
        <f>IFERROR(__xludf.DUMMYFUNCTION("IFERROR(VLOOKUP(D998,
IMPORTRANGE(""https://docs.google.com/spreadsheets/d/1MjHtlUikwobi2MaWJgy7tfLeBmhj1u-dRFRs_8GwSoA/edit#gid=0"",""Gestores Escolares!D7:J""),3,0),""VERIFICAR CÓD SEC"")"),"VALDIRENE PEREIRA DOS SANTOS ")</f>
        <v>VALDIRENE PEREIRA DOS SANTOS </v>
      </c>
      <c r="N998" s="82" t="str">
        <f>IFERROR(__xludf.DUMMYFUNCTION("IFERROR(VLOOKUP(D998,
IMPORTRANGE(""https://docs.google.com/spreadsheets/d/1MjHtlUikwobi2MaWJgy7tfLeBmhj1u-dRFRs_8GwSoA/edit#gid=0"",""Gestores Escolares!D7:J""),4,0),""VERIFICAR CÓD SEC"")"),"(75) 9 9973-2520 ZAP GESTORA/ 
9 9970-3277 ZAP DA ESCOLA")</f>
        <v>(75) 9 9973-2520 ZAP GESTORA/ 
9 9970-3277 ZAP DA ESCOLA</v>
      </c>
      <c r="O998" s="82" t="str">
        <f>IFERROR(__xludf.DUMMYFUNCTION("IFERROR(VLOOKUP(D998,
IMPORTRANGE(""https://docs.google.com/spreadsheets/d/1MjHtlUikwobi2MaWJgy7tfLeBmhj1u-dRFRs_8GwSoA/edit#gid=0"",""Gestores Escolares!D7:J""),6,0),""VERIFICAR CÓD SEC"")"),"JAQUELINE DOS ANJOS ALMEIDA")</f>
        <v>JAQUELINE DOS ANJOS ALMEIDA</v>
      </c>
      <c r="P998" s="82" t="str">
        <f>IFERROR(__xludf.DUMMYFUNCTION("IFERROR(VLOOKUP(D998,
IMPORTRANGE(""https://docs.google.com/spreadsheets/d/1MjHtlUikwobi2MaWJgy7tfLeBmhj1u-dRFRs_8GwSoA/edit#gid=0"",""Gestores Escolares!D7:J""),7,0),""VERIFICAR CÓD SEC"")"),"(71) 9 8819-9838")</f>
        <v>(71) 9 8819-9838</v>
      </c>
      <c r="Q998" s="82" t="str">
        <f>IFERROR(__xludf.DUMMYFUNCTION("IFERROR(VLOOKUP(D998,
IMPORTRANGE(""https://docs.google.com/spreadsheets/d/1MjHtlUikwobi2MaWJgy7tfLeBmhj1u-dRFRs_8GwSoA/edit#gid=0"",""Gestores Escolares!D7:m""),9,0),""VERIFICAR CÓD SEC"")"),"RICARDO FALCAO TETI JUNIOR")</f>
        <v>RICARDO FALCAO TETI JUNIOR</v>
      </c>
      <c r="R998" s="82" t="str">
        <f>IFERROR(__xludf.DUMMYFUNCTION("IFERROR(VLOOKUP(D998,
IMPORTRANGE(""https://docs.google.com/spreadsheets/d/1MjHtlUikwobi2MaWJgy7tfLeBmhj1u-dRFRs_8GwSoA/edit#gid=0"",""Gestores Escolares!D7:m""),10,0),""VERIFICAR CÓD SEC"")"),"(75) 9 9910-1123")</f>
        <v>(75) 9 9910-1123</v>
      </c>
      <c r="S998" s="82"/>
      <c r="T998" s="138">
        <v>7.0</v>
      </c>
      <c r="U998" s="217" t="s">
        <v>13601</v>
      </c>
      <c r="V998" s="106">
        <v>0.0</v>
      </c>
      <c r="W998" s="107">
        <v>0.0</v>
      </c>
      <c r="X998" s="107">
        <v>0.0</v>
      </c>
      <c r="Y998" s="107">
        <v>0.0</v>
      </c>
      <c r="Z998" s="80">
        <f t="shared" si="1"/>
        <v>0</v>
      </c>
      <c r="AA998" s="106">
        <v>0.0</v>
      </c>
      <c r="AB998" s="107">
        <v>0.0</v>
      </c>
      <c r="AC998" s="107">
        <v>0.0</v>
      </c>
      <c r="AD998" s="107">
        <v>0.0</v>
      </c>
      <c r="AE998" s="80">
        <f t="shared" si="2"/>
        <v>0</v>
      </c>
      <c r="AF998" s="140">
        <v>0.0</v>
      </c>
      <c r="AG998" s="109">
        <v>0.0</v>
      </c>
      <c r="AH998" s="109">
        <v>0.0</v>
      </c>
      <c r="AI998" s="141">
        <v>148.0</v>
      </c>
      <c r="AJ998" s="80">
        <f t="shared" si="3"/>
        <v>148</v>
      </c>
      <c r="AK998" s="140">
        <v>0.0</v>
      </c>
      <c r="AL998" s="109">
        <v>0.0</v>
      </c>
      <c r="AM998" s="141">
        <v>0.0</v>
      </c>
      <c r="AN998" s="80">
        <f t="shared" si="4"/>
        <v>0</v>
      </c>
      <c r="AO998" s="140">
        <v>0.0</v>
      </c>
      <c r="AP998" s="109">
        <v>0.0</v>
      </c>
      <c r="AQ998" s="109">
        <v>154.0</v>
      </c>
      <c r="AR998" s="80">
        <f t="shared" si="5"/>
        <v>154</v>
      </c>
      <c r="AS998" s="110">
        <v>0.0</v>
      </c>
      <c r="AT998" s="110">
        <v>0.0</v>
      </c>
      <c r="AU998" s="110">
        <v>27.0</v>
      </c>
      <c r="AV998" s="142">
        <v>191.0</v>
      </c>
      <c r="AW998" s="80">
        <f t="shared" si="6"/>
        <v>218</v>
      </c>
      <c r="AX998" s="113">
        <f t="shared" si="7"/>
        <v>520</v>
      </c>
      <c r="AY998" s="117">
        <f t="shared" si="8"/>
        <v>339</v>
      </c>
      <c r="AZ998" s="120">
        <f t="shared" si="9"/>
        <v>181</v>
      </c>
      <c r="BA998" s="115">
        <v>0.0</v>
      </c>
      <c r="BB998" s="89">
        <f t="shared" si="10"/>
        <v>520</v>
      </c>
      <c r="BC998" s="132" t="s">
        <v>178</v>
      </c>
      <c r="BD998" s="132" t="s">
        <v>178</v>
      </c>
      <c r="BE998" s="132" t="s">
        <v>178</v>
      </c>
      <c r="BF998" s="156"/>
      <c r="BG998" s="83">
        <v>1171196.0</v>
      </c>
      <c r="BH998" s="112"/>
      <c r="BI998" s="112">
        <v>6.0</v>
      </c>
      <c r="BJ998" s="98" t="s">
        <v>162</v>
      </c>
      <c r="BK998" s="99">
        <f t="shared" si="11"/>
        <v>339</v>
      </c>
      <c r="BL998" s="99">
        <f t="shared" si="12"/>
        <v>0</v>
      </c>
      <c r="BM998" s="99" t="str">
        <f>IFERROR(__xludf.DUMMYFUNCTION("IFERROR(VLOOKUP(BG998,IMPORTRANGE(""https://docs.google.com/spreadsheets/d/1juPI-Fb8LD0YtltB2mlGEnp_R3UVu1t3wSFPzgCyHXE/edit?gid=0#gid=0"",""GERAL!A2:C""),3,0),""-"")"),"-")</f>
        <v>-</v>
      </c>
    </row>
    <row r="999" ht="15.75" customHeight="1">
      <c r="A999" s="111" t="s">
        <v>1281</v>
      </c>
      <c r="B999" s="83" t="s">
        <v>5277</v>
      </c>
      <c r="C999" s="83" t="s">
        <v>68</v>
      </c>
      <c r="D999" s="112">
        <v>1178221.0</v>
      </c>
      <c r="E999" s="83"/>
      <c r="F999" s="83">
        <v>2.944674E7</v>
      </c>
      <c r="G999" s="114" t="s">
        <v>5281</v>
      </c>
      <c r="H999" s="91" t="s">
        <v>5283</v>
      </c>
      <c r="I999" s="83" t="s">
        <v>149</v>
      </c>
      <c r="J999" s="83" t="s">
        <v>150</v>
      </c>
      <c r="K999" s="83" t="s">
        <v>151</v>
      </c>
      <c r="L999" s="83" t="s">
        <v>152</v>
      </c>
      <c r="M999" s="82" t="str">
        <f>IFERROR(__xludf.DUMMYFUNCTION("IFERROR(VLOOKUP(D999,
IMPORTRANGE(""https://docs.google.com/spreadsheets/d/1MjHtlUikwobi2MaWJgy7tfLeBmhj1u-dRFRs_8GwSoA/edit#gid=0"",""Gestores Escolares!D7:J""),3,0),""VERIFICAR CÓD SEC"")"),"ANA LUCIA DE SOUZA ANDRADE")</f>
        <v>ANA LUCIA DE SOUZA ANDRADE</v>
      </c>
      <c r="N999" s="82" t="str">
        <f>IFERROR(__xludf.DUMMYFUNCTION("IFERROR(VLOOKUP(D999,
IMPORTRANGE(""https://docs.google.com/spreadsheets/d/1MjHtlUikwobi2MaWJgy7tfLeBmhj1u-dRFRs_8GwSoA/edit#gid=0"",""Gestores Escolares!D7:J""),4,0),""VERIFICAR CÓD SEC"")"),"(71) 9 9713-2314")</f>
        <v>(71) 9 9713-2314</v>
      </c>
      <c r="O999" s="82" t="str">
        <f>IFERROR(__xludf.DUMMYFUNCTION("IFERROR(VLOOKUP(D999,
IMPORTRANGE(""https://docs.google.com/spreadsheets/d/1MjHtlUikwobi2MaWJgy7tfLeBmhj1u-dRFRs_8GwSoA/edit#gid=0"",""Gestores Escolares!D7:J""),6,0),""VERIFICAR CÓD SEC"")"),"ROMULO DOS SANTOS BATISTA")</f>
        <v>ROMULO DOS SANTOS BATISTA</v>
      </c>
      <c r="P999" s="82" t="str">
        <f>IFERROR(__xludf.DUMMYFUNCTION("IFERROR(VLOOKUP(D999,
IMPORTRANGE(""https://docs.google.com/spreadsheets/d/1MjHtlUikwobi2MaWJgy7tfLeBmhj1u-dRFRs_8GwSoA/edit#gid=0"",""Gestores Escolares!D7:J""),7,0),""VERIFICAR CÓD SEC"")"),"(75) 9 9813-0922")</f>
        <v>(75) 9 9813-0922</v>
      </c>
      <c r="Q999" s="82" t="str">
        <f>IFERROR(__xludf.DUMMYFUNCTION("IFERROR(VLOOKUP(D999,
IMPORTRANGE(""https://docs.google.com/spreadsheets/d/1MjHtlUikwobi2MaWJgy7tfLeBmhj1u-dRFRs_8GwSoA/edit#gid=0"",""Gestores Escolares!D7:m""),9,0),""VERIFICAR CÓD SEC"")"),"MARIA JOSIANA DA COSTA ALMEIDA ARAUJO")</f>
        <v>MARIA JOSIANA DA COSTA ALMEIDA ARAUJO</v>
      </c>
      <c r="R999" s="82" t="str">
        <f>IFERROR(__xludf.DUMMYFUNCTION("IFERROR(VLOOKUP(D999,
IMPORTRANGE(""https://docs.google.com/spreadsheets/d/1MjHtlUikwobi2MaWJgy7tfLeBmhj1u-dRFRs_8GwSoA/edit#gid=0"",""Gestores Escolares!D7:m""),10,0),""VERIFICAR CÓD SEC"")"),"(75) 9 9908-7721")</f>
        <v>(75) 9 9908-7721</v>
      </c>
      <c r="S999" s="82"/>
      <c r="T999" s="138">
        <v>9.0</v>
      </c>
      <c r="U999" s="145">
        <v>17.0</v>
      </c>
      <c r="V999" s="106">
        <v>0.0</v>
      </c>
      <c r="W999" s="107">
        <v>0.0</v>
      </c>
      <c r="X999" s="107">
        <v>0.0</v>
      </c>
      <c r="Y999" s="107">
        <v>0.0</v>
      </c>
      <c r="Z999" s="80">
        <f t="shared" si="1"/>
        <v>0</v>
      </c>
      <c r="AA999" s="106">
        <v>0.0</v>
      </c>
      <c r="AB999" s="107">
        <v>0.0</v>
      </c>
      <c r="AC999" s="107">
        <v>0.0</v>
      </c>
      <c r="AD999" s="107">
        <v>0.0</v>
      </c>
      <c r="AE999" s="80">
        <f t="shared" si="2"/>
        <v>0</v>
      </c>
      <c r="AF999" s="140">
        <v>115.0</v>
      </c>
      <c r="AG999" s="109">
        <v>86.0</v>
      </c>
      <c r="AH999" s="109">
        <v>0.0</v>
      </c>
      <c r="AI999" s="141">
        <v>300.0</v>
      </c>
      <c r="AJ999" s="80">
        <f t="shared" si="3"/>
        <v>501</v>
      </c>
      <c r="AK999" s="140">
        <v>0.0</v>
      </c>
      <c r="AL999" s="109">
        <v>0.0</v>
      </c>
      <c r="AM999" s="141">
        <v>0.0</v>
      </c>
      <c r="AN999" s="80">
        <f t="shared" si="4"/>
        <v>0</v>
      </c>
      <c r="AO999" s="140">
        <v>0.0</v>
      </c>
      <c r="AP999" s="109">
        <v>0.0</v>
      </c>
      <c r="AQ999" s="109">
        <v>157.0</v>
      </c>
      <c r="AR999" s="80">
        <f t="shared" si="5"/>
        <v>157</v>
      </c>
      <c r="AS999" s="110">
        <v>0.0</v>
      </c>
      <c r="AT999" s="110">
        <v>0.0</v>
      </c>
      <c r="AU999" s="110">
        <v>22.0</v>
      </c>
      <c r="AV999" s="142">
        <v>0.0</v>
      </c>
      <c r="AW999" s="80">
        <f t="shared" si="6"/>
        <v>22</v>
      </c>
      <c r="AX999" s="113">
        <f t="shared" si="7"/>
        <v>680</v>
      </c>
      <c r="AY999" s="117">
        <f t="shared" si="8"/>
        <v>501</v>
      </c>
      <c r="AZ999" s="120">
        <f t="shared" si="9"/>
        <v>179</v>
      </c>
      <c r="BA999" s="115">
        <v>0.0</v>
      </c>
      <c r="BB999" s="89">
        <f t="shared" si="10"/>
        <v>680</v>
      </c>
      <c r="BC999" s="132" t="s">
        <v>178</v>
      </c>
      <c r="BD999" s="132" t="s">
        <v>178</v>
      </c>
      <c r="BE999" s="132" t="s">
        <v>178</v>
      </c>
      <c r="BF999" s="123"/>
      <c r="BG999" s="83">
        <v>1178221.0</v>
      </c>
      <c r="BH999" s="98" t="s">
        <v>5287</v>
      </c>
      <c r="BI999" s="112">
        <v>7.0</v>
      </c>
      <c r="BJ999" s="98" t="s">
        <v>176</v>
      </c>
      <c r="BK999" s="99">
        <f t="shared" si="11"/>
        <v>300</v>
      </c>
      <c r="BL999" s="99">
        <f t="shared" si="12"/>
        <v>201</v>
      </c>
      <c r="BM999" s="99" t="str">
        <f>IFERROR(__xludf.DUMMYFUNCTION("IFERROR(VLOOKUP(BG999,IMPORTRANGE(""https://docs.google.com/spreadsheets/d/1juPI-Fb8LD0YtltB2mlGEnp_R3UVu1t3wSFPzgCyHXE/edit?gid=0#gid=0"",""GERAL!A2:C""),3,0),""-"")"),"-")</f>
        <v>-</v>
      </c>
    </row>
    <row r="1000" ht="15.75" customHeight="1">
      <c r="A1000" s="111" t="s">
        <v>1281</v>
      </c>
      <c r="B1000" s="83" t="s">
        <v>2476</v>
      </c>
      <c r="C1000" s="83" t="s">
        <v>68</v>
      </c>
      <c r="D1000" s="112">
        <v>1107862.0</v>
      </c>
      <c r="E1000" s="83"/>
      <c r="F1000" s="83">
        <v>2.915059E7</v>
      </c>
      <c r="G1000" s="114" t="s">
        <v>5288</v>
      </c>
      <c r="H1000" s="91" t="s">
        <v>5289</v>
      </c>
      <c r="I1000" s="83" t="s">
        <v>5290</v>
      </c>
      <c r="J1000" s="83" t="s">
        <v>150</v>
      </c>
      <c r="K1000" s="83" t="s">
        <v>151</v>
      </c>
      <c r="L1000" s="83" t="s">
        <v>169</v>
      </c>
      <c r="M1000" s="82" t="str">
        <f>IFERROR(__xludf.DUMMYFUNCTION("IFERROR(VLOOKUP(D1000,
IMPORTRANGE(""https://docs.google.com/spreadsheets/d/1MjHtlUikwobi2MaWJgy7tfLeBmhj1u-dRFRs_8GwSoA/edit#gid=0"",""Gestores Escolares!D7:J""),3,0),""VERIFICAR CÓD SEC"")"),"CARLOS AUGUSTO DOS SANTOS")</f>
        <v>CARLOS AUGUSTO DOS SANTOS</v>
      </c>
      <c r="N1000" s="82" t="str">
        <f>IFERROR(__xludf.DUMMYFUNCTION("IFERROR(VLOOKUP(D1000,
IMPORTRANGE(""https://docs.google.com/spreadsheets/d/1MjHtlUikwobi2MaWJgy7tfLeBmhj1u-dRFRs_8GwSoA/edit#gid=0"",""Gestores Escolares!D7:J""),4,0),""VERIFICAR CÓD SEC"")"),"(75) 9 9942-9016")</f>
        <v>(75) 9 9942-9016</v>
      </c>
      <c r="O1000" s="82" t="str">
        <f>IFERROR(__xludf.DUMMYFUNCTION("IFERROR(VLOOKUP(D1000,
IMPORTRANGE(""https://docs.google.com/spreadsheets/d/1MjHtlUikwobi2MaWJgy7tfLeBmhj1u-dRFRs_8GwSoA/edit#gid=0"",""Gestores Escolares!D7:J""),6,0),""VERIFICAR CÓD SEC"")"),"")</f>
        <v/>
      </c>
      <c r="P1000" s="82" t="str">
        <f>IFERROR(__xludf.DUMMYFUNCTION("IFERROR(VLOOKUP(D1000,
IMPORTRANGE(""https://docs.google.com/spreadsheets/d/1MjHtlUikwobi2MaWJgy7tfLeBmhj1u-dRFRs_8GwSoA/edit#gid=0"",""Gestores Escolares!D7:J""),7,0),""VERIFICAR CÓD SEC"")"),"")</f>
        <v/>
      </c>
      <c r="Q1000" s="82" t="str">
        <f>IFERROR(__xludf.DUMMYFUNCTION("IFERROR(VLOOKUP(D1000,
IMPORTRANGE(""https://docs.google.com/spreadsheets/d/1MjHtlUikwobi2MaWJgy7tfLeBmhj1u-dRFRs_8GwSoA/edit#gid=0"",""Gestores Escolares!D7:m""),9,0),""VERIFICAR CÓD SEC"")"),"")</f>
        <v/>
      </c>
      <c r="R1000" s="82" t="str">
        <f>IFERROR(__xludf.DUMMYFUNCTION("IFERROR(VLOOKUP(D1000,
IMPORTRANGE(""https://docs.google.com/spreadsheets/d/1MjHtlUikwobi2MaWJgy7tfLeBmhj1u-dRFRs_8GwSoA/edit#gid=0"",""Gestores Escolares!D7:m""),10,0),""VERIFICAR CÓD SEC"")"),"")</f>
        <v/>
      </c>
      <c r="S1000" s="82"/>
      <c r="T1000" s="138">
        <v>4.0</v>
      </c>
      <c r="U1000" s="148">
        <v>4.0</v>
      </c>
      <c r="V1000" s="106">
        <v>0.0</v>
      </c>
      <c r="W1000" s="107">
        <v>0.0</v>
      </c>
      <c r="X1000" s="107">
        <v>0.0</v>
      </c>
      <c r="Y1000" s="107">
        <v>0.0</v>
      </c>
      <c r="Z1000" s="80">
        <f t="shared" si="1"/>
        <v>0</v>
      </c>
      <c r="AA1000" s="106">
        <v>109.0</v>
      </c>
      <c r="AB1000" s="107">
        <v>97.0</v>
      </c>
      <c r="AC1000" s="107">
        <v>0.0</v>
      </c>
      <c r="AD1000" s="107">
        <v>0.0</v>
      </c>
      <c r="AE1000" s="80">
        <f t="shared" si="2"/>
        <v>206</v>
      </c>
      <c r="AF1000" s="140">
        <v>0.0</v>
      </c>
      <c r="AG1000" s="109">
        <v>0.0</v>
      </c>
      <c r="AH1000" s="109">
        <v>0.0</v>
      </c>
      <c r="AI1000" s="141">
        <v>0.0</v>
      </c>
      <c r="AJ1000" s="80">
        <f t="shared" si="3"/>
        <v>0</v>
      </c>
      <c r="AK1000" s="140">
        <v>0.0</v>
      </c>
      <c r="AL1000" s="109">
        <v>0.0</v>
      </c>
      <c r="AM1000" s="141">
        <v>0.0</v>
      </c>
      <c r="AN1000" s="80">
        <f t="shared" si="4"/>
        <v>0</v>
      </c>
      <c r="AO1000" s="140">
        <v>0.0</v>
      </c>
      <c r="AP1000" s="109">
        <v>0.0</v>
      </c>
      <c r="AQ1000" s="109">
        <v>0.0</v>
      </c>
      <c r="AR1000" s="80">
        <f t="shared" si="5"/>
        <v>0</v>
      </c>
      <c r="AS1000" s="110">
        <v>0.0</v>
      </c>
      <c r="AT1000" s="110">
        <v>0.0</v>
      </c>
      <c r="AU1000" s="110">
        <v>0.0</v>
      </c>
      <c r="AV1000" s="142">
        <v>0.0</v>
      </c>
      <c r="AW1000" s="80">
        <f t="shared" si="6"/>
        <v>0</v>
      </c>
      <c r="AX1000" s="113">
        <f t="shared" si="7"/>
        <v>206</v>
      </c>
      <c r="AY1000" s="117">
        <f t="shared" si="8"/>
        <v>206</v>
      </c>
      <c r="AZ1000" s="120">
        <f t="shared" si="9"/>
        <v>0</v>
      </c>
      <c r="BA1000" s="115">
        <v>0.0</v>
      </c>
      <c r="BB1000" s="89">
        <f t="shared" si="10"/>
        <v>206</v>
      </c>
      <c r="BC1000" s="132" t="s">
        <v>178</v>
      </c>
      <c r="BD1000" s="132" t="s">
        <v>178</v>
      </c>
      <c r="BE1000" s="132" t="s">
        <v>178</v>
      </c>
      <c r="BF1000" s="123"/>
      <c r="BG1000" s="83">
        <v>1107862.0</v>
      </c>
      <c r="BH1000" s="115" t="s">
        <v>5291</v>
      </c>
      <c r="BI1000" s="112">
        <v>4.0</v>
      </c>
      <c r="BJ1000" s="98" t="s">
        <v>155</v>
      </c>
      <c r="BK1000" s="99">
        <f t="shared" si="11"/>
        <v>0</v>
      </c>
      <c r="BL1000" s="99">
        <f t="shared" si="12"/>
        <v>206</v>
      </c>
      <c r="BM1000" s="99" t="str">
        <f>IFERROR(__xludf.DUMMYFUNCTION("IFERROR(VLOOKUP(BG1000,IMPORTRANGE(""https://docs.google.com/spreadsheets/d/1juPI-Fb8LD0YtltB2mlGEnp_R3UVu1t3wSFPzgCyHXE/edit?gid=0#gid=0"",""GERAL!A2:C""),3,0),""-"")"),"-")</f>
        <v>-</v>
      </c>
    </row>
    <row r="1001" ht="15.75" customHeight="1">
      <c r="A1001" s="111" t="s">
        <v>1281</v>
      </c>
      <c r="B1001" s="83" t="s">
        <v>2476</v>
      </c>
      <c r="C1001" s="83" t="s">
        <v>68</v>
      </c>
      <c r="D1001" s="112">
        <v>1107960.0</v>
      </c>
      <c r="E1001" s="83"/>
      <c r="F1001" s="83">
        <v>2.9150191E7</v>
      </c>
      <c r="G1001" s="114" t="s">
        <v>5301</v>
      </c>
      <c r="H1001" s="91" t="s">
        <v>5302</v>
      </c>
      <c r="I1001" s="83" t="s">
        <v>149</v>
      </c>
      <c r="J1001" s="83" t="s">
        <v>150</v>
      </c>
      <c r="K1001" s="83" t="s">
        <v>151</v>
      </c>
      <c r="L1001" s="83" t="s">
        <v>76</v>
      </c>
      <c r="M1001" s="82" t="str">
        <f>IFERROR(__xludf.DUMMYFUNCTION("IFERROR(VLOOKUP(D1001,
IMPORTRANGE(""https://docs.google.com/spreadsheets/d/1MjHtlUikwobi2MaWJgy7tfLeBmhj1u-dRFRs_8GwSoA/edit#gid=0"",""Gestores Escolares!D7:J""),3,0),""VERIFICAR CÓD SEC"")"),"SIMONE DEOLINA SANTANA")</f>
        <v>SIMONE DEOLINA SANTANA</v>
      </c>
      <c r="N1001" s="82" t="str">
        <f>IFERROR(__xludf.DUMMYFUNCTION("IFERROR(VLOOKUP(D1001,
IMPORTRANGE(""https://docs.google.com/spreadsheets/d/1MjHtlUikwobi2MaWJgy7tfLeBmhj1u-dRFRs_8GwSoA/edit#gid=0"",""Gestores Escolares!D7:J""),4,0),""VERIFICAR CÓD SEC"")"),"(75) 9 9920-1396")</f>
        <v>(75) 9 9920-1396</v>
      </c>
      <c r="O1001" s="82" t="str">
        <f>IFERROR(__xludf.DUMMYFUNCTION("IFERROR(VLOOKUP(D1001,
IMPORTRANGE(""https://docs.google.com/spreadsheets/d/1MjHtlUikwobi2MaWJgy7tfLeBmhj1u-dRFRs_8GwSoA/edit#gid=0"",""Gestores Escolares!D7:J""),6,0),""VERIFICAR CÓD SEC"")"),"")</f>
        <v/>
      </c>
      <c r="P1001" s="82" t="str">
        <f>IFERROR(__xludf.DUMMYFUNCTION("IFERROR(VLOOKUP(D1001,
IMPORTRANGE(""https://docs.google.com/spreadsheets/d/1MjHtlUikwobi2MaWJgy7tfLeBmhj1u-dRFRs_8GwSoA/edit#gid=0"",""Gestores Escolares!D7:J""),7,0),""VERIFICAR CÓD SEC"")"),"")</f>
        <v/>
      </c>
      <c r="Q1001" s="82" t="str">
        <f>IFERROR(__xludf.DUMMYFUNCTION("IFERROR(VLOOKUP(D1001,
IMPORTRANGE(""https://docs.google.com/spreadsheets/d/1MjHtlUikwobi2MaWJgy7tfLeBmhj1u-dRFRs_8GwSoA/edit#gid=0"",""Gestores Escolares!D7:m""),9,0),""VERIFICAR CÓD SEC"")"),"")</f>
        <v/>
      </c>
      <c r="R1001" s="82" t="str">
        <f>IFERROR(__xludf.DUMMYFUNCTION("IFERROR(VLOOKUP(D1001,
IMPORTRANGE(""https://docs.google.com/spreadsheets/d/1MjHtlUikwobi2MaWJgy7tfLeBmhj1u-dRFRs_8GwSoA/edit#gid=0"",""Gestores Escolares!D7:m""),10,0),""VERIFICAR CÓD SEC"")"),"")</f>
        <v/>
      </c>
      <c r="S1001" s="82"/>
      <c r="T1001" s="138">
        <v>8.0</v>
      </c>
      <c r="U1001" s="148" t="s">
        <v>6491</v>
      </c>
      <c r="V1001" s="106">
        <v>0.0</v>
      </c>
      <c r="W1001" s="107">
        <v>0.0</v>
      </c>
      <c r="X1001" s="107">
        <v>0.0</v>
      </c>
      <c r="Y1001" s="107">
        <v>0.0</v>
      </c>
      <c r="Z1001" s="80">
        <f t="shared" si="1"/>
        <v>0</v>
      </c>
      <c r="AA1001" s="106">
        <v>230.0</v>
      </c>
      <c r="AB1001" s="107">
        <v>186.0</v>
      </c>
      <c r="AC1001" s="107">
        <v>0.0</v>
      </c>
      <c r="AD1001" s="107">
        <v>0.0</v>
      </c>
      <c r="AE1001" s="80">
        <f t="shared" si="2"/>
        <v>416</v>
      </c>
      <c r="AF1001" s="140">
        <v>0.0</v>
      </c>
      <c r="AG1001" s="109">
        <v>0.0</v>
      </c>
      <c r="AH1001" s="109">
        <v>0.0</v>
      </c>
      <c r="AI1001" s="141">
        <v>0.0</v>
      </c>
      <c r="AJ1001" s="80">
        <f t="shared" si="3"/>
        <v>0</v>
      </c>
      <c r="AK1001" s="140">
        <v>0.0</v>
      </c>
      <c r="AL1001" s="109">
        <v>0.0</v>
      </c>
      <c r="AM1001" s="141">
        <v>0.0</v>
      </c>
      <c r="AN1001" s="80">
        <f t="shared" si="4"/>
        <v>0</v>
      </c>
      <c r="AO1001" s="140">
        <v>0.0</v>
      </c>
      <c r="AP1001" s="109">
        <v>0.0</v>
      </c>
      <c r="AQ1001" s="109">
        <v>0.0</v>
      </c>
      <c r="AR1001" s="80">
        <f t="shared" si="5"/>
        <v>0</v>
      </c>
      <c r="AS1001" s="110">
        <v>0.0</v>
      </c>
      <c r="AT1001" s="110">
        <v>0.0</v>
      </c>
      <c r="AU1001" s="110">
        <v>0.0</v>
      </c>
      <c r="AV1001" s="142">
        <v>0.0</v>
      </c>
      <c r="AW1001" s="80">
        <f t="shared" si="6"/>
        <v>0</v>
      </c>
      <c r="AX1001" s="113">
        <f t="shared" si="7"/>
        <v>416</v>
      </c>
      <c r="AY1001" s="117">
        <f t="shared" si="8"/>
        <v>416</v>
      </c>
      <c r="AZ1001" s="120">
        <f t="shared" si="9"/>
        <v>0</v>
      </c>
      <c r="BA1001" s="115">
        <v>0.0</v>
      </c>
      <c r="BB1001" s="89">
        <f t="shared" si="10"/>
        <v>416</v>
      </c>
      <c r="BC1001" s="132" t="s">
        <v>178</v>
      </c>
      <c r="BD1001" s="132" t="s">
        <v>178</v>
      </c>
      <c r="BE1001" s="132" t="s">
        <v>178</v>
      </c>
      <c r="BF1001" s="123"/>
      <c r="BG1001" s="83">
        <v>1107960.0</v>
      </c>
      <c r="BH1001" s="98" t="s">
        <v>5303</v>
      </c>
      <c r="BI1001" s="112">
        <v>8.0</v>
      </c>
      <c r="BJ1001" s="98" t="s">
        <v>155</v>
      </c>
      <c r="BK1001" s="99">
        <f t="shared" si="11"/>
        <v>0</v>
      </c>
      <c r="BL1001" s="99">
        <f t="shared" si="12"/>
        <v>416</v>
      </c>
      <c r="BM1001" s="99" t="str">
        <f>IFERROR(__xludf.DUMMYFUNCTION("IFERROR(VLOOKUP(BG1001,IMPORTRANGE(""https://docs.google.com/spreadsheets/d/1juPI-Fb8LD0YtltB2mlGEnp_R3UVu1t3wSFPzgCyHXE/edit?gid=0#gid=0"",""GERAL!A2:C""),3,0),""-"")"),"-")</f>
        <v>-</v>
      </c>
    </row>
    <row r="1002" ht="15.75" customHeight="1">
      <c r="A1002" s="111" t="s">
        <v>1281</v>
      </c>
      <c r="B1002" s="83" t="s">
        <v>2476</v>
      </c>
      <c r="C1002" s="83" t="s">
        <v>68</v>
      </c>
      <c r="D1002" s="112">
        <v>1105207.0</v>
      </c>
      <c r="E1002" s="83"/>
      <c r="F1002" s="83">
        <v>2.915037E7</v>
      </c>
      <c r="G1002" s="114" t="s">
        <v>5313</v>
      </c>
      <c r="H1002" s="91" t="s">
        <v>5314</v>
      </c>
      <c r="I1002" s="83" t="s">
        <v>5315</v>
      </c>
      <c r="J1002" s="83" t="s">
        <v>150</v>
      </c>
      <c r="K1002" s="83" t="s">
        <v>151</v>
      </c>
      <c r="L1002" s="83" t="s">
        <v>76</v>
      </c>
      <c r="M1002" s="82" t="str">
        <f>IFERROR(__xludf.DUMMYFUNCTION("IFERROR(VLOOKUP(D1002,
IMPORTRANGE(""https://docs.google.com/spreadsheets/d/1MjHtlUikwobi2MaWJgy7tfLeBmhj1u-dRFRs_8GwSoA/edit#gid=0"",""Gestores Escolares!D7:J""),3,0),""VERIFICAR CÓD SEC"")"),"VIRGINIA MARIA BRITO SANTOS")</f>
        <v>VIRGINIA MARIA BRITO SANTOS</v>
      </c>
      <c r="N1002" s="82" t="str">
        <f>IFERROR(__xludf.DUMMYFUNCTION("IFERROR(VLOOKUP(D1002,
IMPORTRANGE(""https://docs.google.com/spreadsheets/d/1MjHtlUikwobi2MaWJgy7tfLeBmhj1u-dRFRs_8GwSoA/edit#gid=0"",""Gestores Escolares!D7:J""),4,0),""VERIFICAR CÓD SEC"")"),"(75) 9 9113-1115")</f>
        <v>(75) 9 9113-1115</v>
      </c>
      <c r="O1002" s="82" t="str">
        <f>IFERROR(__xludf.DUMMYFUNCTION("IFERROR(VLOOKUP(D1002,
IMPORTRANGE(""https://docs.google.com/spreadsheets/d/1MjHtlUikwobi2MaWJgy7tfLeBmhj1u-dRFRs_8GwSoA/edit#gid=0"",""Gestores Escolares!D7:J""),6,0),""VERIFICAR CÓD SEC"")"),"SIMONE PEIXOTO BASTOS DE ARAÚJO")</f>
        <v>SIMONE PEIXOTO BASTOS DE ARAÚJO</v>
      </c>
      <c r="P1002" s="82" t="str">
        <f>IFERROR(__xludf.DUMMYFUNCTION("IFERROR(VLOOKUP(D1002,
IMPORTRANGE(""https://docs.google.com/spreadsheets/d/1MjHtlUikwobi2MaWJgy7tfLeBmhj1u-dRFRs_8GwSoA/edit#gid=0"",""Gestores Escolares!D7:J""),7,0),""VERIFICAR CÓD SEC"")"),"(75) 9 9971-7060")</f>
        <v>(75) 9 9971-7060</v>
      </c>
      <c r="Q1002" s="82" t="str">
        <f>IFERROR(__xludf.DUMMYFUNCTION("IFERROR(VLOOKUP(D1002,
IMPORTRANGE(""https://docs.google.com/spreadsheets/d/1MjHtlUikwobi2MaWJgy7tfLeBmhj1u-dRFRs_8GwSoA/edit#gid=0"",""Gestores Escolares!D7:m""),9,0),""VERIFICAR CÓD SEC"")"),"")</f>
        <v/>
      </c>
      <c r="R1002" s="82" t="str">
        <f>IFERROR(__xludf.DUMMYFUNCTION("IFERROR(VLOOKUP(D1002,
IMPORTRANGE(""https://docs.google.com/spreadsheets/d/1MjHtlUikwobi2MaWJgy7tfLeBmhj1u-dRFRs_8GwSoA/edit#gid=0"",""Gestores Escolares!D7:m""),10,0),""VERIFICAR CÓD SEC"")"),"")</f>
        <v/>
      </c>
      <c r="S1002" s="82"/>
      <c r="T1002" s="138">
        <v>8.0</v>
      </c>
      <c r="U1002" s="148">
        <v>8.0</v>
      </c>
      <c r="V1002" s="106">
        <v>0.0</v>
      </c>
      <c r="W1002" s="107">
        <v>0.0</v>
      </c>
      <c r="X1002" s="107">
        <v>0.0</v>
      </c>
      <c r="Y1002" s="107">
        <v>0.0</v>
      </c>
      <c r="Z1002" s="80">
        <f t="shared" si="1"/>
        <v>0</v>
      </c>
      <c r="AA1002" s="106">
        <v>284.0</v>
      </c>
      <c r="AB1002" s="107">
        <v>266.0</v>
      </c>
      <c r="AC1002" s="107">
        <v>0.0</v>
      </c>
      <c r="AD1002" s="107">
        <v>0.0</v>
      </c>
      <c r="AE1002" s="80">
        <f t="shared" si="2"/>
        <v>550</v>
      </c>
      <c r="AF1002" s="140">
        <v>0.0</v>
      </c>
      <c r="AG1002" s="109">
        <v>0.0</v>
      </c>
      <c r="AH1002" s="109">
        <v>0.0</v>
      </c>
      <c r="AI1002" s="141">
        <v>0.0</v>
      </c>
      <c r="AJ1002" s="80">
        <f t="shared" si="3"/>
        <v>0</v>
      </c>
      <c r="AK1002" s="140">
        <v>0.0</v>
      </c>
      <c r="AL1002" s="109">
        <v>0.0</v>
      </c>
      <c r="AM1002" s="141">
        <v>0.0</v>
      </c>
      <c r="AN1002" s="80">
        <f t="shared" si="4"/>
        <v>0</v>
      </c>
      <c r="AO1002" s="140">
        <v>0.0</v>
      </c>
      <c r="AP1002" s="109">
        <v>0.0</v>
      </c>
      <c r="AQ1002" s="109">
        <v>0.0</v>
      </c>
      <c r="AR1002" s="80">
        <f t="shared" si="5"/>
        <v>0</v>
      </c>
      <c r="AS1002" s="110">
        <v>0.0</v>
      </c>
      <c r="AT1002" s="110">
        <v>0.0</v>
      </c>
      <c r="AU1002" s="110">
        <v>0.0</v>
      </c>
      <c r="AV1002" s="142">
        <v>0.0</v>
      </c>
      <c r="AW1002" s="80">
        <f t="shared" si="6"/>
        <v>0</v>
      </c>
      <c r="AX1002" s="113">
        <f t="shared" si="7"/>
        <v>550</v>
      </c>
      <c r="AY1002" s="117">
        <f t="shared" si="8"/>
        <v>550</v>
      </c>
      <c r="AZ1002" s="120">
        <f t="shared" si="9"/>
        <v>0</v>
      </c>
      <c r="BA1002" s="115">
        <v>0.0</v>
      </c>
      <c r="BB1002" s="89">
        <f t="shared" si="10"/>
        <v>550</v>
      </c>
      <c r="BC1002" s="132" t="s">
        <v>178</v>
      </c>
      <c r="BD1002" s="132" t="s">
        <v>178</v>
      </c>
      <c r="BE1002" s="132" t="s">
        <v>178</v>
      </c>
      <c r="BF1002" s="123"/>
      <c r="BG1002" s="83">
        <v>1105207.0</v>
      </c>
      <c r="BH1002" s="98" t="s">
        <v>5316</v>
      </c>
      <c r="BI1002" s="112">
        <v>8.0</v>
      </c>
      <c r="BJ1002" s="98" t="s">
        <v>155</v>
      </c>
      <c r="BK1002" s="99">
        <f t="shared" si="11"/>
        <v>0</v>
      </c>
      <c r="BL1002" s="99">
        <f t="shared" si="12"/>
        <v>550</v>
      </c>
      <c r="BM1002" s="99" t="str">
        <f>IFERROR(__xludf.DUMMYFUNCTION("IFERROR(VLOOKUP(BG1002,IMPORTRANGE(""https://docs.google.com/spreadsheets/d/1juPI-Fb8LD0YtltB2mlGEnp_R3UVu1t3wSFPzgCyHXE/edit?gid=0#gid=0"",""GERAL!A2:C""),3,0),""-"")"),"-")</f>
        <v>-</v>
      </c>
    </row>
    <row r="1003" ht="15.75" customHeight="1">
      <c r="A1003" s="111" t="s">
        <v>1281</v>
      </c>
      <c r="B1003" s="83" t="s">
        <v>2476</v>
      </c>
      <c r="C1003" s="83" t="s">
        <v>68</v>
      </c>
      <c r="D1003" s="112">
        <v>1177089.0</v>
      </c>
      <c r="E1003" s="83"/>
      <c r="F1003" s="83">
        <v>2.9417163E7</v>
      </c>
      <c r="G1003" s="365" t="s">
        <v>3069</v>
      </c>
      <c r="H1003" s="91" t="s">
        <v>5328</v>
      </c>
      <c r="I1003" s="83" t="s">
        <v>149</v>
      </c>
      <c r="J1003" s="83" t="s">
        <v>150</v>
      </c>
      <c r="K1003" s="83" t="s">
        <v>151</v>
      </c>
      <c r="L1003" s="83" t="s">
        <v>152</v>
      </c>
      <c r="M1003" s="82" t="str">
        <f>IFERROR(__xludf.DUMMYFUNCTION("IFERROR(VLOOKUP(D1003,
IMPORTRANGE(""https://docs.google.com/spreadsheets/d/1MjHtlUikwobi2MaWJgy7tfLeBmhj1u-dRFRs_8GwSoA/edit#gid=0"",""Gestores Escolares!D7:J""),3,0),""VERIFICAR CÓD SEC"")")," ISIS SOUZA MAIA")</f>
        <v> ISIS SOUZA MAIA</v>
      </c>
      <c r="N1003" s="82" t="str">
        <f>IFERROR(__xludf.DUMMYFUNCTION("IFERROR(VLOOKUP(D1003,
IMPORTRANGE(""https://docs.google.com/spreadsheets/d/1MjHtlUikwobi2MaWJgy7tfLeBmhj1u-dRFRs_8GwSoA/edit#gid=0"",""Gestores Escolares!D7:J""),4,0),""VERIFICAR CÓD SEC"")"),"(75) 9 9115-8927")</f>
        <v>(75) 9 9115-8927</v>
      </c>
      <c r="O1003" s="82" t="str">
        <f>IFERROR(__xludf.DUMMYFUNCTION("IFERROR(VLOOKUP(D1003,
IMPORTRANGE(""https://docs.google.com/spreadsheets/d/1MjHtlUikwobi2MaWJgy7tfLeBmhj1u-dRFRs_8GwSoA/edit#gid=0"",""Gestores Escolares!D7:J""),6,0),""VERIFICAR CÓD SEC"")"),"MARILENE BISPO DE CRISTO SOUZA")</f>
        <v>MARILENE BISPO DE CRISTO SOUZA</v>
      </c>
      <c r="P1003" s="82" t="str">
        <f>IFERROR(__xludf.DUMMYFUNCTION("IFERROR(VLOOKUP(D1003,
IMPORTRANGE(""https://docs.google.com/spreadsheets/d/1MjHtlUikwobi2MaWJgy7tfLeBmhj1u-dRFRs_8GwSoA/edit#gid=0"",""Gestores Escolares!D7:J""),7,0),""VERIFICAR CÓD SEC"")"),"(75) 9 8163-8530")</f>
        <v>(75) 9 8163-8530</v>
      </c>
      <c r="Q1003" s="82" t="str">
        <f>IFERROR(__xludf.DUMMYFUNCTION("IFERROR(VLOOKUP(D1003,
IMPORTRANGE(""https://docs.google.com/spreadsheets/d/1MjHtlUikwobi2MaWJgy7tfLeBmhj1u-dRFRs_8GwSoA/edit#gid=0"",""Gestores Escolares!D7:m""),9,0),""VERIFICAR CÓD SEC"")"),"")</f>
        <v/>
      </c>
      <c r="R1003" s="82" t="str">
        <f>IFERROR(__xludf.DUMMYFUNCTION("IFERROR(VLOOKUP(D1003,
IMPORTRANGE(""https://docs.google.com/spreadsheets/d/1MjHtlUikwobi2MaWJgy7tfLeBmhj1u-dRFRs_8GwSoA/edit#gid=0"",""Gestores Escolares!D7:m""),10,0),""VERIFICAR CÓD SEC"")"),"")</f>
        <v/>
      </c>
      <c r="S1003" s="82"/>
      <c r="T1003" s="138">
        <v>16.0</v>
      </c>
      <c r="U1003" s="148" t="s">
        <v>13665</v>
      </c>
      <c r="V1003" s="106">
        <v>0.0</v>
      </c>
      <c r="W1003" s="107">
        <v>0.0</v>
      </c>
      <c r="X1003" s="107">
        <v>0.0</v>
      </c>
      <c r="Y1003" s="107">
        <v>0.0</v>
      </c>
      <c r="Z1003" s="80">
        <f t="shared" si="1"/>
        <v>0</v>
      </c>
      <c r="AA1003" s="106">
        <v>0.0</v>
      </c>
      <c r="AB1003" s="107">
        <v>0.0</v>
      </c>
      <c r="AC1003" s="107">
        <v>0.0</v>
      </c>
      <c r="AD1003" s="107">
        <v>0.0</v>
      </c>
      <c r="AE1003" s="80">
        <f t="shared" si="2"/>
        <v>0</v>
      </c>
      <c r="AF1003" s="140">
        <v>445.0</v>
      </c>
      <c r="AG1003" s="109">
        <v>475.0</v>
      </c>
      <c r="AH1003" s="109">
        <v>0.0</v>
      </c>
      <c r="AI1003" s="141">
        <v>0.0</v>
      </c>
      <c r="AJ1003" s="80">
        <f t="shared" si="3"/>
        <v>920</v>
      </c>
      <c r="AK1003" s="140">
        <v>0.0</v>
      </c>
      <c r="AL1003" s="109">
        <v>0.0</v>
      </c>
      <c r="AM1003" s="141">
        <v>0.0</v>
      </c>
      <c r="AN1003" s="80">
        <f t="shared" si="4"/>
        <v>0</v>
      </c>
      <c r="AO1003" s="140">
        <v>0.0</v>
      </c>
      <c r="AP1003" s="109">
        <v>0.0</v>
      </c>
      <c r="AQ1003" s="109">
        <v>0.0</v>
      </c>
      <c r="AR1003" s="80">
        <f t="shared" si="5"/>
        <v>0</v>
      </c>
      <c r="AS1003" s="110">
        <v>0.0</v>
      </c>
      <c r="AT1003" s="110">
        <v>0.0</v>
      </c>
      <c r="AU1003" s="110">
        <v>0.0</v>
      </c>
      <c r="AV1003" s="142">
        <v>27.0</v>
      </c>
      <c r="AW1003" s="80">
        <f t="shared" si="6"/>
        <v>27</v>
      </c>
      <c r="AX1003" s="113">
        <f t="shared" si="7"/>
        <v>947</v>
      </c>
      <c r="AY1003" s="117">
        <f t="shared" si="8"/>
        <v>947</v>
      </c>
      <c r="AZ1003" s="120">
        <f t="shared" si="9"/>
        <v>0</v>
      </c>
      <c r="BA1003" s="115">
        <v>0.0</v>
      </c>
      <c r="BB1003" s="89">
        <f t="shared" si="10"/>
        <v>947</v>
      </c>
      <c r="BC1003" s="132" t="s">
        <v>178</v>
      </c>
      <c r="BD1003" s="132" t="s">
        <v>178</v>
      </c>
      <c r="BE1003" s="132" t="s">
        <v>178</v>
      </c>
      <c r="BF1003" s="156"/>
      <c r="BG1003" s="83">
        <v>1177089.0</v>
      </c>
      <c r="BH1003" s="98" t="s">
        <v>5329</v>
      </c>
      <c r="BI1003" s="98">
        <v>12.0</v>
      </c>
      <c r="BJ1003" s="98" t="s">
        <v>284</v>
      </c>
      <c r="BK1003" s="99">
        <f t="shared" si="11"/>
        <v>27</v>
      </c>
      <c r="BL1003" s="99">
        <f t="shared" si="12"/>
        <v>920</v>
      </c>
      <c r="BM1003" s="99" t="str">
        <f>IFERROR(__xludf.DUMMYFUNCTION("IFERROR(VLOOKUP(BG1003,IMPORTRANGE(""https://docs.google.com/spreadsheets/d/1juPI-Fb8LD0YtltB2mlGEnp_R3UVu1t3wSFPzgCyHXE/edit?gid=0#gid=0"",""GERAL!A2:C""),3,0),""-"")"),"-")</f>
        <v>-</v>
      </c>
    </row>
    <row r="1004" ht="15.75" customHeight="1">
      <c r="A1004" s="111" t="s">
        <v>1281</v>
      </c>
      <c r="B1004" s="83" t="s">
        <v>2476</v>
      </c>
      <c r="C1004" s="83" t="s">
        <v>68</v>
      </c>
      <c r="D1004" s="112">
        <v>1108028.0</v>
      </c>
      <c r="E1004" s="83"/>
      <c r="F1004" s="83">
        <v>2.9150663E7</v>
      </c>
      <c r="G1004" s="119" t="s">
        <v>5337</v>
      </c>
      <c r="H1004" s="91" t="s">
        <v>5338</v>
      </c>
      <c r="I1004" s="83" t="s">
        <v>5339</v>
      </c>
      <c r="J1004" s="83" t="s">
        <v>150</v>
      </c>
      <c r="K1004" s="83" t="s">
        <v>151</v>
      </c>
      <c r="L1004" s="83" t="s">
        <v>152</v>
      </c>
      <c r="M1004" s="82" t="str">
        <f>IFERROR(__xludf.DUMMYFUNCTION("IFERROR(VLOOKUP(D1004,
IMPORTRANGE(""https://docs.google.com/spreadsheets/d/1MjHtlUikwobi2MaWJgy7tfLeBmhj1u-dRFRs_8GwSoA/edit#gid=0"",""Gestores Escolares!D7:J""),3,0),""VERIFICAR CÓD SEC"")"),"SANDRA SANTOS CONCEIÇÃO")</f>
        <v>SANDRA SANTOS CONCEIÇÃO</v>
      </c>
      <c r="N1004" s="82" t="str">
        <f>IFERROR(__xludf.DUMMYFUNCTION("IFERROR(VLOOKUP(D1004,
IMPORTRANGE(""https://docs.google.com/spreadsheets/d/1MjHtlUikwobi2MaWJgy7tfLeBmhj1u-dRFRs_8GwSoA/edit#gid=0"",""Gestores Escolares!D7:J""),4,0),""VERIFICAR CÓD SEC"")"),"(75) 9 9937-8795")</f>
        <v>(75) 9 9937-8795</v>
      </c>
      <c r="O1004" s="82" t="str">
        <f>IFERROR(__xludf.DUMMYFUNCTION("IFERROR(VLOOKUP(D1004,
IMPORTRANGE(""https://docs.google.com/spreadsheets/d/1MjHtlUikwobi2MaWJgy7tfLeBmhj1u-dRFRs_8GwSoA/edit#gid=0"",""Gestores Escolares!D7:J""),6,0),""VERIFICAR CÓD SEC"")"),"CELIA MARIA CHAGAS DA SILVA")</f>
        <v>CELIA MARIA CHAGAS DA SILVA</v>
      </c>
      <c r="P1004" s="82" t="str">
        <f>IFERROR(__xludf.DUMMYFUNCTION("IFERROR(VLOOKUP(D1004,
IMPORTRANGE(""https://docs.google.com/spreadsheets/d/1MjHtlUikwobi2MaWJgy7tfLeBmhj1u-dRFRs_8GwSoA/edit#gid=0"",""Gestores Escolares!D7:J""),7,0),""VERIFICAR CÓD SEC"")"),"(75) 9 8804-1801")</f>
        <v>(75) 9 8804-1801</v>
      </c>
      <c r="Q1004" s="82" t="str">
        <f>IFERROR(__xludf.DUMMYFUNCTION("IFERROR(VLOOKUP(D1004,
IMPORTRANGE(""https://docs.google.com/spreadsheets/d/1MjHtlUikwobi2MaWJgy7tfLeBmhj1u-dRFRs_8GwSoA/edit#gid=0"",""Gestores Escolares!D7:m""),9,0),""VERIFICAR CÓD SEC"")"),"")</f>
        <v/>
      </c>
      <c r="R1004" s="82" t="str">
        <f>IFERROR(__xludf.DUMMYFUNCTION("IFERROR(VLOOKUP(D1004,
IMPORTRANGE(""https://docs.google.com/spreadsheets/d/1MjHtlUikwobi2MaWJgy7tfLeBmhj1u-dRFRs_8GwSoA/edit#gid=0"",""Gestores Escolares!D7:m""),10,0),""VERIFICAR CÓD SEC"")"),"")</f>
        <v/>
      </c>
      <c r="S1004" s="82"/>
      <c r="T1004" s="138">
        <v>12.0</v>
      </c>
      <c r="U1004" s="148">
        <v>12.0</v>
      </c>
      <c r="V1004" s="106">
        <v>0.0</v>
      </c>
      <c r="W1004" s="107">
        <v>0.0</v>
      </c>
      <c r="X1004" s="107">
        <v>0.0</v>
      </c>
      <c r="Y1004" s="107">
        <v>0.0</v>
      </c>
      <c r="Z1004" s="80">
        <f t="shared" si="1"/>
        <v>0</v>
      </c>
      <c r="AA1004" s="106">
        <v>420.0</v>
      </c>
      <c r="AB1004" s="107">
        <v>406.0</v>
      </c>
      <c r="AC1004" s="107">
        <v>0.0</v>
      </c>
      <c r="AD1004" s="107">
        <v>0.0</v>
      </c>
      <c r="AE1004" s="80">
        <f t="shared" si="2"/>
        <v>826</v>
      </c>
      <c r="AF1004" s="140">
        <v>0.0</v>
      </c>
      <c r="AG1004" s="109">
        <v>0.0</v>
      </c>
      <c r="AH1004" s="109">
        <v>0.0</v>
      </c>
      <c r="AI1004" s="141">
        <v>0.0</v>
      </c>
      <c r="AJ1004" s="80">
        <f t="shared" si="3"/>
        <v>0</v>
      </c>
      <c r="AK1004" s="140">
        <v>0.0</v>
      </c>
      <c r="AL1004" s="109">
        <v>0.0</v>
      </c>
      <c r="AM1004" s="141">
        <v>0.0</v>
      </c>
      <c r="AN1004" s="80">
        <f t="shared" si="4"/>
        <v>0</v>
      </c>
      <c r="AO1004" s="140">
        <v>0.0</v>
      </c>
      <c r="AP1004" s="109">
        <v>0.0</v>
      </c>
      <c r="AQ1004" s="109">
        <v>0.0</v>
      </c>
      <c r="AR1004" s="80">
        <f t="shared" si="5"/>
        <v>0</v>
      </c>
      <c r="AS1004" s="110">
        <v>0.0</v>
      </c>
      <c r="AT1004" s="110">
        <v>0.0</v>
      </c>
      <c r="AU1004" s="110">
        <v>0.0</v>
      </c>
      <c r="AV1004" s="142">
        <v>0.0</v>
      </c>
      <c r="AW1004" s="80">
        <f t="shared" si="6"/>
        <v>0</v>
      </c>
      <c r="AX1004" s="113">
        <f t="shared" si="7"/>
        <v>826</v>
      </c>
      <c r="AY1004" s="117">
        <f t="shared" si="8"/>
        <v>826</v>
      </c>
      <c r="AZ1004" s="120">
        <f t="shared" si="9"/>
        <v>0</v>
      </c>
      <c r="BA1004" s="115">
        <v>0.0</v>
      </c>
      <c r="BB1004" s="89">
        <f t="shared" si="10"/>
        <v>826</v>
      </c>
      <c r="BC1004" s="132" t="s">
        <v>178</v>
      </c>
      <c r="BD1004" s="132" t="s">
        <v>178</v>
      </c>
      <c r="BE1004" s="132" t="s">
        <v>178</v>
      </c>
      <c r="BF1004" s="123"/>
      <c r="BG1004" s="83">
        <v>1108028.0</v>
      </c>
      <c r="BH1004" s="98" t="s">
        <v>5340</v>
      </c>
      <c r="BI1004" s="112">
        <v>12.0</v>
      </c>
      <c r="BJ1004" s="98" t="s">
        <v>155</v>
      </c>
      <c r="BK1004" s="99">
        <f t="shared" si="11"/>
        <v>0</v>
      </c>
      <c r="BL1004" s="99">
        <f t="shared" si="12"/>
        <v>826</v>
      </c>
      <c r="BM1004" s="99" t="str">
        <f>IFERROR(__xludf.DUMMYFUNCTION("IFERROR(VLOOKUP(BG1004,IMPORTRANGE(""https://docs.google.com/spreadsheets/d/1juPI-Fb8LD0YtltB2mlGEnp_R3UVu1t3wSFPzgCyHXE/edit?gid=0#gid=0"",""GERAL!A2:C""),3,0),""-"")"),"-")</f>
        <v>-</v>
      </c>
    </row>
    <row r="1005" ht="15.75" customHeight="1">
      <c r="A1005" s="111" t="s">
        <v>1281</v>
      </c>
      <c r="B1005" s="83" t="s">
        <v>2476</v>
      </c>
      <c r="C1005" s="83" t="s">
        <v>68</v>
      </c>
      <c r="D1005" s="112">
        <v>1178077.0</v>
      </c>
      <c r="E1005" s="83"/>
      <c r="F1005" s="83">
        <v>2.943153E7</v>
      </c>
      <c r="G1005" s="119" t="s">
        <v>5350</v>
      </c>
      <c r="H1005" s="91" t="s">
        <v>5351</v>
      </c>
      <c r="I1005" s="83" t="s">
        <v>149</v>
      </c>
      <c r="J1005" s="83" t="s">
        <v>150</v>
      </c>
      <c r="K1005" s="83" t="s">
        <v>151</v>
      </c>
      <c r="L1005" s="83" t="s">
        <v>230</v>
      </c>
      <c r="M1005" s="82" t="str">
        <f>IFERROR(__xludf.DUMMYFUNCTION("IFERROR(VLOOKUP(D1005,
IMPORTRANGE(""https://docs.google.com/spreadsheets/d/1MjHtlUikwobi2MaWJgy7tfLeBmhj1u-dRFRs_8GwSoA/edit#gid=0"",""Gestores Escolares!D7:J""),3,0),""VERIFICAR CÓD SEC"")"),"JOCELIA NOVAES GONCALVES")</f>
        <v>JOCELIA NOVAES GONCALVES</v>
      </c>
      <c r="N1005" s="82" t="str">
        <f>IFERROR(__xludf.DUMMYFUNCTION("IFERROR(VLOOKUP(D1005,
IMPORTRANGE(""https://docs.google.com/spreadsheets/d/1MjHtlUikwobi2MaWJgy7tfLeBmhj1u-dRFRs_8GwSoA/edit#gid=0"",""Gestores Escolares!D7:J""),4,0),""VERIFICAR CÓD SEC"")"),"(75) 9 9971-4252")</f>
        <v>(75) 9 9971-4252</v>
      </c>
      <c r="O1005" s="82" t="str">
        <f>IFERROR(__xludf.DUMMYFUNCTION("IFERROR(VLOOKUP(D1005,
IMPORTRANGE(""https://docs.google.com/spreadsheets/d/1MjHtlUikwobi2MaWJgy7tfLeBmhj1u-dRFRs_8GwSoA/edit#gid=0"",""Gestores Escolares!D7:J""),6,0),""VERIFICAR CÓD SEC"")"),"NIELSON DOS SANTOS BISPO")</f>
        <v>NIELSON DOS SANTOS BISPO</v>
      </c>
      <c r="P1005" s="82" t="str">
        <f>IFERROR(__xludf.DUMMYFUNCTION("IFERROR(VLOOKUP(D1005,
IMPORTRANGE(""https://docs.google.com/spreadsheets/d/1MjHtlUikwobi2MaWJgy7tfLeBmhj1u-dRFRs_8GwSoA/edit#gid=0"",""Gestores Escolares!D7:J""),7,0),""VERIFICAR CÓD SEC"")"),"(75) 9 9949-8486")</f>
        <v>(75) 9 9949-8486</v>
      </c>
      <c r="Q1005" s="82" t="str">
        <f>IFERROR(__xludf.DUMMYFUNCTION("IFERROR(VLOOKUP(D1005,
IMPORTRANGE(""https://docs.google.com/spreadsheets/d/1MjHtlUikwobi2MaWJgy7tfLeBmhj1u-dRFRs_8GwSoA/edit#gid=0"",""Gestores Escolares!D7:m""),9,0),""VERIFICAR CÓD SEC"")"),"MARLEIDE LIMA DE BRITO SOUSA")</f>
        <v>MARLEIDE LIMA DE BRITO SOUSA</v>
      </c>
      <c r="R1005" s="82" t="str">
        <f>IFERROR(__xludf.DUMMYFUNCTION("IFERROR(VLOOKUP(D1005,
IMPORTRANGE(""https://docs.google.com/spreadsheets/d/1MjHtlUikwobi2MaWJgy7tfLeBmhj1u-dRFRs_8GwSoA/edit#gid=0"",""Gestores Escolares!D7:m""),10,0),""VERIFICAR CÓD SEC"")"),"(75) 9 9974-3130")</f>
        <v>(75) 9 9974-3130</v>
      </c>
      <c r="S1005" s="82"/>
      <c r="T1005" s="138">
        <v>20.0</v>
      </c>
      <c r="U1005" s="148" t="s">
        <v>13688</v>
      </c>
      <c r="V1005" s="106">
        <v>0.0</v>
      </c>
      <c r="W1005" s="107">
        <v>0.0</v>
      </c>
      <c r="X1005" s="107">
        <v>0.0</v>
      </c>
      <c r="Y1005" s="107">
        <v>0.0</v>
      </c>
      <c r="Z1005" s="80">
        <f t="shared" si="1"/>
        <v>0</v>
      </c>
      <c r="AA1005" s="106">
        <v>0.0</v>
      </c>
      <c r="AB1005" s="107">
        <v>0.0</v>
      </c>
      <c r="AC1005" s="107">
        <v>0.0</v>
      </c>
      <c r="AD1005" s="107">
        <v>0.0</v>
      </c>
      <c r="AE1005" s="80">
        <f t="shared" si="2"/>
        <v>0</v>
      </c>
      <c r="AF1005" s="140">
        <v>62.0</v>
      </c>
      <c r="AG1005" s="109">
        <v>20.0</v>
      </c>
      <c r="AH1005" s="109">
        <v>0.0</v>
      </c>
      <c r="AI1005" s="141">
        <v>58.0</v>
      </c>
      <c r="AJ1005" s="80">
        <f t="shared" si="3"/>
        <v>140</v>
      </c>
      <c r="AK1005" s="140">
        <v>0.0</v>
      </c>
      <c r="AL1005" s="109">
        <v>0.0</v>
      </c>
      <c r="AM1005" s="141">
        <v>0.0</v>
      </c>
      <c r="AN1005" s="80">
        <f t="shared" si="4"/>
        <v>0</v>
      </c>
      <c r="AO1005" s="140">
        <v>0.0</v>
      </c>
      <c r="AP1005" s="109">
        <v>0.0</v>
      </c>
      <c r="AQ1005" s="109">
        <v>118.0</v>
      </c>
      <c r="AR1005" s="80">
        <f t="shared" si="5"/>
        <v>118</v>
      </c>
      <c r="AS1005" s="110">
        <v>0.0</v>
      </c>
      <c r="AT1005" s="110">
        <v>0.0</v>
      </c>
      <c r="AU1005" s="110">
        <v>91.0</v>
      </c>
      <c r="AV1005" s="142">
        <v>63.0</v>
      </c>
      <c r="AW1005" s="80">
        <f t="shared" si="6"/>
        <v>154</v>
      </c>
      <c r="AX1005" s="113">
        <f t="shared" si="7"/>
        <v>412</v>
      </c>
      <c r="AY1005" s="117">
        <f t="shared" si="8"/>
        <v>203</v>
      </c>
      <c r="AZ1005" s="120">
        <f t="shared" si="9"/>
        <v>209</v>
      </c>
      <c r="BA1005" s="115">
        <v>0.0</v>
      </c>
      <c r="BB1005" s="89">
        <f t="shared" si="10"/>
        <v>412</v>
      </c>
      <c r="BC1005" s="132" t="s">
        <v>178</v>
      </c>
      <c r="BD1005" s="132" t="s">
        <v>178</v>
      </c>
      <c r="BE1005" s="132" t="s">
        <v>178</v>
      </c>
      <c r="BF1005" s="123"/>
      <c r="BG1005" s="83">
        <v>1178077.0</v>
      </c>
      <c r="BH1005" s="98" t="s">
        <v>5352</v>
      </c>
      <c r="BI1005" s="98">
        <v>11.0</v>
      </c>
      <c r="BJ1005" s="98" t="s">
        <v>155</v>
      </c>
      <c r="BK1005" s="99">
        <f t="shared" si="11"/>
        <v>121</v>
      </c>
      <c r="BL1005" s="99">
        <f t="shared" si="12"/>
        <v>82</v>
      </c>
      <c r="BM1005" s="99" t="str">
        <f>IFERROR(__xludf.DUMMYFUNCTION("IFERROR(VLOOKUP(BG1005,IMPORTRANGE(""https://docs.google.com/spreadsheets/d/1juPI-Fb8LD0YtltB2mlGEnp_R3UVu1t3wSFPzgCyHXE/edit?gid=0#gid=0"",""GERAL!A2:C""),3,0),""-"")"),"-")</f>
        <v>-</v>
      </c>
    </row>
    <row r="1006" ht="15.75" customHeight="1">
      <c r="A1006" s="111" t="s">
        <v>1281</v>
      </c>
      <c r="B1006" s="83" t="s">
        <v>2476</v>
      </c>
      <c r="C1006" s="83" t="s">
        <v>68</v>
      </c>
      <c r="D1006" s="112">
        <v>1178440.0</v>
      </c>
      <c r="E1006" s="83"/>
      <c r="F1006" s="83">
        <v>2.9999812E7</v>
      </c>
      <c r="G1006" s="119" t="s">
        <v>5356</v>
      </c>
      <c r="H1006" s="91" t="s">
        <v>5358</v>
      </c>
      <c r="I1006" s="233" t="s">
        <v>5360</v>
      </c>
      <c r="J1006" s="83" t="s">
        <v>1301</v>
      </c>
      <c r="K1006" s="83" t="s">
        <v>151</v>
      </c>
      <c r="L1006" s="83" t="s">
        <v>169</v>
      </c>
      <c r="M1006" s="82" t="str">
        <f>IFERROR(__xludf.DUMMYFUNCTION("IFERROR(VLOOKUP(D1006,
IMPORTRANGE(""https://docs.google.com/spreadsheets/d/1MjHtlUikwobi2MaWJgy7tfLeBmhj1u-dRFRs_8GwSoA/edit#gid=0"",""Gestores Escolares!D7:J""),3,0),""VERIFICAR CÓD SEC"")"),"GENILZA MARIA DA C. REIS DOS SANTOS")</f>
        <v>GENILZA MARIA DA C. REIS DOS SANTOS</v>
      </c>
      <c r="N1006" s="82" t="str">
        <f>IFERROR(__xludf.DUMMYFUNCTION("IFERROR(VLOOKUP(D1006,
IMPORTRANGE(""https://docs.google.com/spreadsheets/d/1MjHtlUikwobi2MaWJgy7tfLeBmhj1u-dRFRs_8GwSoA/edit#gid=0"",""Gestores Escolares!D7:J""),4,0),""VERIFICAR CÓD SEC"")"),"(71) 9 9954-5625")</f>
        <v>(71) 9 9954-5625</v>
      </c>
      <c r="O1006" s="82" t="str">
        <f>IFERROR(__xludf.DUMMYFUNCTION("IFERROR(VLOOKUP(D1006,
IMPORTRANGE(""https://docs.google.com/spreadsheets/d/1MjHtlUikwobi2MaWJgy7tfLeBmhj1u-dRFRs_8GwSoA/edit#gid=0"",""Gestores Escolares!D7:J""),6,0),""VERIFICAR CÓD SEC"")"),"LEONILDA PAIVA EVANGELISTA ALVES")</f>
        <v>LEONILDA PAIVA EVANGELISTA ALVES</v>
      </c>
      <c r="P1006" s="82" t="str">
        <f>IFERROR(__xludf.DUMMYFUNCTION("IFERROR(VLOOKUP(D1006,
IMPORTRANGE(""https://docs.google.com/spreadsheets/d/1MjHtlUikwobi2MaWJgy7tfLeBmhj1u-dRFRs_8GwSoA/edit#gid=0"",""Gestores Escolares!D7:J""),7,0),""VERIFICAR CÓD SEC"")"),"(75) 9 9278-8557")</f>
        <v>(75) 9 9278-8557</v>
      </c>
      <c r="Q1006" s="82" t="str">
        <f>IFERROR(__xludf.DUMMYFUNCTION("IFERROR(VLOOKUP(D1006,
IMPORTRANGE(""https://docs.google.com/spreadsheets/d/1MjHtlUikwobi2MaWJgy7tfLeBmhj1u-dRFRs_8GwSoA/edit#gid=0"",""Gestores Escolares!D7:m""),9,0),""VERIFICAR CÓD SEC"")"),"")</f>
        <v/>
      </c>
      <c r="R1006" s="82" t="str">
        <f>IFERROR(__xludf.DUMMYFUNCTION("IFERROR(VLOOKUP(D1006,
IMPORTRANGE(""https://docs.google.com/spreadsheets/d/1MjHtlUikwobi2MaWJgy7tfLeBmhj1u-dRFRs_8GwSoA/edit#gid=0"",""Gestores Escolares!D7:m""),10,0),""VERIFICAR CÓD SEC"")"),"")</f>
        <v/>
      </c>
      <c r="S1006" s="82"/>
      <c r="T1006" s="138">
        <v>6.0</v>
      </c>
      <c r="U1006" s="148" t="s">
        <v>13695</v>
      </c>
      <c r="V1006" s="106">
        <v>0.0</v>
      </c>
      <c r="W1006" s="107">
        <v>0.0</v>
      </c>
      <c r="X1006" s="107">
        <v>0.0</v>
      </c>
      <c r="Y1006" s="107">
        <v>0.0</v>
      </c>
      <c r="Z1006" s="80">
        <f t="shared" si="1"/>
        <v>0</v>
      </c>
      <c r="AA1006" s="106">
        <v>134.0</v>
      </c>
      <c r="AB1006" s="107">
        <v>41.0</v>
      </c>
      <c r="AC1006" s="107">
        <v>0.0</v>
      </c>
      <c r="AD1006" s="107">
        <v>0.0</v>
      </c>
      <c r="AE1006" s="80">
        <f t="shared" si="2"/>
        <v>175</v>
      </c>
      <c r="AF1006" s="140">
        <v>0.0</v>
      </c>
      <c r="AG1006" s="109">
        <v>13.0</v>
      </c>
      <c r="AH1006" s="109">
        <v>0.0</v>
      </c>
      <c r="AI1006" s="141">
        <v>0.0</v>
      </c>
      <c r="AJ1006" s="80">
        <f t="shared" si="3"/>
        <v>13</v>
      </c>
      <c r="AK1006" s="140">
        <v>0.0</v>
      </c>
      <c r="AL1006" s="109">
        <v>0.0</v>
      </c>
      <c r="AM1006" s="141">
        <v>0.0</v>
      </c>
      <c r="AN1006" s="80">
        <f t="shared" si="4"/>
        <v>0</v>
      </c>
      <c r="AO1006" s="140">
        <v>0.0</v>
      </c>
      <c r="AP1006" s="109">
        <v>0.0</v>
      </c>
      <c r="AQ1006" s="109">
        <v>0.0</v>
      </c>
      <c r="AR1006" s="80">
        <f t="shared" si="5"/>
        <v>0</v>
      </c>
      <c r="AS1006" s="110">
        <v>0.0</v>
      </c>
      <c r="AT1006" s="110">
        <v>48.0</v>
      </c>
      <c r="AU1006" s="110">
        <v>0.0</v>
      </c>
      <c r="AV1006" s="142">
        <v>0.0</v>
      </c>
      <c r="AW1006" s="80">
        <f t="shared" si="6"/>
        <v>48</v>
      </c>
      <c r="AX1006" s="113">
        <f t="shared" si="7"/>
        <v>236</v>
      </c>
      <c r="AY1006" s="117">
        <f t="shared" si="8"/>
        <v>236</v>
      </c>
      <c r="AZ1006" s="120">
        <f t="shared" si="9"/>
        <v>0</v>
      </c>
      <c r="BA1006" s="115">
        <v>0.0</v>
      </c>
      <c r="BB1006" s="89">
        <f t="shared" si="10"/>
        <v>236</v>
      </c>
      <c r="BC1006" s="132" t="s">
        <v>373</v>
      </c>
      <c r="BD1006" s="132" t="s">
        <v>178</v>
      </c>
      <c r="BE1006" s="132" t="s">
        <v>178</v>
      </c>
      <c r="BF1006" s="123"/>
      <c r="BG1006" s="83">
        <v>1178440.0</v>
      </c>
      <c r="BH1006" s="98" t="s">
        <v>5340</v>
      </c>
      <c r="BI1006" s="98">
        <v>6.0</v>
      </c>
      <c r="BJ1006" s="98" t="s">
        <v>155</v>
      </c>
      <c r="BK1006" s="99">
        <f t="shared" si="11"/>
        <v>0</v>
      </c>
      <c r="BL1006" s="99">
        <f t="shared" si="12"/>
        <v>236</v>
      </c>
      <c r="BM1006" s="99" t="str">
        <f>IFERROR(__xludf.DUMMYFUNCTION("IFERROR(VLOOKUP(BG1006,IMPORTRANGE(""https://docs.google.com/spreadsheets/d/1juPI-Fb8LD0YtltB2mlGEnp_R3UVu1t3wSFPzgCyHXE/edit?gid=0#gid=0"",""GERAL!A2:C""),3,0),""-"")"),"CAMPO")</f>
        <v>CAMPO</v>
      </c>
    </row>
    <row r="1007" ht="15.75" customHeight="1">
      <c r="A1007" s="111" t="s">
        <v>1281</v>
      </c>
      <c r="B1007" s="83" t="s">
        <v>2476</v>
      </c>
      <c r="C1007" s="83" t="s">
        <v>68</v>
      </c>
      <c r="D1007" s="112">
        <v>1178266.0</v>
      </c>
      <c r="E1007" s="83"/>
      <c r="F1007" s="83">
        <v>2.94568E7</v>
      </c>
      <c r="G1007" s="119" t="s">
        <v>5371</v>
      </c>
      <c r="H1007" s="91" t="s">
        <v>5372</v>
      </c>
      <c r="I1007" s="83" t="s">
        <v>5373</v>
      </c>
      <c r="J1007" s="83" t="s">
        <v>702</v>
      </c>
      <c r="K1007" s="83" t="s">
        <v>5374</v>
      </c>
      <c r="L1007" s="83" t="s">
        <v>76</v>
      </c>
      <c r="M1007" s="82" t="str">
        <f>IFERROR(__xludf.DUMMYFUNCTION("IFERROR(VLOOKUP(D1007,
IMPORTRANGE(""https://docs.google.com/spreadsheets/d/1MjHtlUikwobi2MaWJgy7tfLeBmhj1u-dRFRs_8GwSoA/edit#gid=0"",""Gestores Escolares!D7:J""),3,0),""VERIFICAR CÓD SEC"")")," ZENAIDE BATISTA DE SOUZA")</f>
        <v> ZENAIDE BATISTA DE SOUZA</v>
      </c>
      <c r="N1007" s="82" t="str">
        <f>IFERROR(__xludf.DUMMYFUNCTION("IFERROR(VLOOKUP(D1007,
IMPORTRANGE(""https://docs.google.com/spreadsheets/d/1MjHtlUikwobi2MaWJgy7tfLeBmhj1u-dRFRs_8GwSoA/edit#gid=0"",""Gestores Escolares!D7:J""),4,0),""VERIFICAR CÓD SEC"")"),"(75) 9 8181-0618")</f>
        <v>(75) 9 8181-0618</v>
      </c>
      <c r="O1007" s="82" t="str">
        <f>IFERROR(__xludf.DUMMYFUNCTION("IFERROR(VLOOKUP(D1007,
IMPORTRANGE(""https://docs.google.com/spreadsheets/d/1MjHtlUikwobi2MaWJgy7tfLeBmhj1u-dRFRs_8GwSoA/edit#gid=0"",""Gestores Escolares!D7:J""),6,0),""VERIFICAR CÓD SEC"")"),"MARILIA DE BRITO IMPROTA")</f>
        <v>MARILIA DE BRITO IMPROTA</v>
      </c>
      <c r="P1007" s="82" t="str">
        <f>IFERROR(__xludf.DUMMYFUNCTION("IFERROR(VLOOKUP(D1007,
IMPORTRANGE(""https://docs.google.com/spreadsheets/d/1MjHtlUikwobi2MaWJgy7tfLeBmhj1u-dRFRs_8GwSoA/edit#gid=0"",""Gestores Escolares!D7:J""),7,0),""VERIFICAR CÓD SEC"")"),"(71) 9 9631-9020")</f>
        <v>(71) 9 9631-9020</v>
      </c>
      <c r="Q1007" s="82" t="str">
        <f>IFERROR(__xludf.DUMMYFUNCTION("IFERROR(VLOOKUP(D1007,
IMPORTRANGE(""https://docs.google.com/spreadsheets/d/1MjHtlUikwobi2MaWJgy7tfLeBmhj1u-dRFRs_8GwSoA/edit#gid=0"",""Gestores Escolares!D7:m""),9,0),""VERIFICAR CÓD SEC"")"),"")</f>
        <v/>
      </c>
      <c r="R1007" s="82" t="str">
        <f>IFERROR(__xludf.DUMMYFUNCTION("IFERROR(VLOOKUP(D1007,
IMPORTRANGE(""https://docs.google.com/spreadsheets/d/1MjHtlUikwobi2MaWJgy7tfLeBmhj1u-dRFRs_8GwSoA/edit#gid=0"",""Gestores Escolares!D7:m""),10,0),""VERIFICAR CÓD SEC"")"),"")</f>
        <v/>
      </c>
      <c r="S1007" s="82"/>
      <c r="T1007" s="138">
        <v>7.0</v>
      </c>
      <c r="U1007" s="148" t="s">
        <v>13706</v>
      </c>
      <c r="V1007" s="106">
        <v>0.0</v>
      </c>
      <c r="W1007" s="107">
        <v>0.0</v>
      </c>
      <c r="X1007" s="107">
        <v>0.0</v>
      </c>
      <c r="Y1007" s="107">
        <v>0.0</v>
      </c>
      <c r="Z1007" s="80">
        <f t="shared" si="1"/>
        <v>0</v>
      </c>
      <c r="AA1007" s="106">
        <v>0.0</v>
      </c>
      <c r="AB1007" s="107">
        <v>0.0</v>
      </c>
      <c r="AC1007" s="107">
        <v>0.0</v>
      </c>
      <c r="AD1007" s="107">
        <v>0.0</v>
      </c>
      <c r="AE1007" s="80">
        <f t="shared" si="2"/>
        <v>0</v>
      </c>
      <c r="AF1007" s="140">
        <v>0.0</v>
      </c>
      <c r="AG1007" s="109">
        <v>0.0</v>
      </c>
      <c r="AH1007" s="109">
        <v>0.0</v>
      </c>
      <c r="AI1007" s="141">
        <v>145.0</v>
      </c>
      <c r="AJ1007" s="80">
        <f t="shared" si="3"/>
        <v>145</v>
      </c>
      <c r="AK1007" s="140">
        <v>0.0</v>
      </c>
      <c r="AL1007" s="109">
        <v>0.0</v>
      </c>
      <c r="AM1007" s="141">
        <v>0.0</v>
      </c>
      <c r="AN1007" s="80">
        <f t="shared" si="4"/>
        <v>0</v>
      </c>
      <c r="AO1007" s="140">
        <v>0.0</v>
      </c>
      <c r="AP1007" s="109">
        <v>0.0</v>
      </c>
      <c r="AQ1007" s="109">
        <v>37.0</v>
      </c>
      <c r="AR1007" s="80">
        <f t="shared" si="5"/>
        <v>37</v>
      </c>
      <c r="AS1007" s="110">
        <v>0.0</v>
      </c>
      <c r="AT1007" s="110">
        <v>0.0</v>
      </c>
      <c r="AU1007" s="110">
        <v>0.0</v>
      </c>
      <c r="AV1007" s="142">
        <v>0.0</v>
      </c>
      <c r="AW1007" s="80">
        <f t="shared" si="6"/>
        <v>0</v>
      </c>
      <c r="AX1007" s="113">
        <f t="shared" si="7"/>
        <v>182</v>
      </c>
      <c r="AY1007" s="117">
        <f t="shared" si="8"/>
        <v>145</v>
      </c>
      <c r="AZ1007" s="120">
        <f t="shared" si="9"/>
        <v>37</v>
      </c>
      <c r="BA1007" s="115">
        <v>0.0</v>
      </c>
      <c r="BB1007" s="89">
        <f t="shared" si="10"/>
        <v>182</v>
      </c>
      <c r="BC1007" s="132" t="s">
        <v>373</v>
      </c>
      <c r="BD1007" s="132" t="s">
        <v>178</v>
      </c>
      <c r="BE1007" s="132" t="s">
        <v>178</v>
      </c>
      <c r="BF1007" s="123"/>
      <c r="BG1007" s="83">
        <v>1178266.0</v>
      </c>
      <c r="BH1007" s="144"/>
      <c r="BI1007" s="112">
        <v>6.0</v>
      </c>
      <c r="BJ1007" s="98" t="s">
        <v>155</v>
      </c>
      <c r="BK1007" s="99">
        <f t="shared" si="11"/>
        <v>145</v>
      </c>
      <c r="BL1007" s="99">
        <f t="shared" si="12"/>
        <v>0</v>
      </c>
      <c r="BM1007" s="99" t="str">
        <f>IFERROR(__xludf.DUMMYFUNCTION("IFERROR(VLOOKUP(BG1007,IMPORTRANGE(""https://docs.google.com/spreadsheets/d/1juPI-Fb8LD0YtltB2mlGEnp_R3UVu1t3wSFPzgCyHXE/edit?gid=0#gid=0"",""GERAL!A2:C""),3,0),""-"")"),"CAMPO")</f>
        <v>CAMPO</v>
      </c>
    </row>
    <row r="1008" ht="15.75" customHeight="1">
      <c r="A1008" s="111" t="s">
        <v>1281</v>
      </c>
      <c r="B1008" s="83" t="s">
        <v>2476</v>
      </c>
      <c r="C1008" s="83" t="s">
        <v>68</v>
      </c>
      <c r="D1008" s="112">
        <v>1176465.0</v>
      </c>
      <c r="E1008" s="83"/>
      <c r="F1008" s="83">
        <v>2.9395712E7</v>
      </c>
      <c r="G1008" s="289" t="s">
        <v>5378</v>
      </c>
      <c r="H1008" s="91" t="s">
        <v>5379</v>
      </c>
      <c r="I1008" s="83" t="s">
        <v>5380</v>
      </c>
      <c r="J1008" s="83" t="s">
        <v>150</v>
      </c>
      <c r="K1008" s="83" t="s">
        <v>151</v>
      </c>
      <c r="L1008" s="83" t="s">
        <v>76</v>
      </c>
      <c r="M1008" s="82" t="str">
        <f>IFERROR(__xludf.DUMMYFUNCTION("IFERROR(VLOOKUP(D1008,
IMPORTRANGE(""https://docs.google.com/spreadsheets/d/1MjHtlUikwobi2MaWJgy7tfLeBmhj1u-dRFRs_8GwSoA/edit#gid=0"",""Gestores Escolares!D7:J""),3,0),""VERIFICAR CÓD SEC"")"),"ADRIANA CARLA DA SILVA NASCIMENTO")</f>
        <v>ADRIANA CARLA DA SILVA NASCIMENTO</v>
      </c>
      <c r="N1008" s="82" t="str">
        <f>IFERROR(__xludf.DUMMYFUNCTION("IFERROR(VLOOKUP(D1008,
IMPORTRANGE(""https://docs.google.com/spreadsheets/d/1MjHtlUikwobi2MaWJgy7tfLeBmhj1u-dRFRs_8GwSoA/edit#gid=0"",""Gestores Escolares!D7:J""),4,0),""VERIFICAR CÓD SEC"")"),"(75) 9 9900-5656")</f>
        <v>(75) 9 9900-5656</v>
      </c>
      <c r="O1008" s="82" t="str">
        <f>IFERROR(__xludf.DUMMYFUNCTION("IFERROR(VLOOKUP(D1008,
IMPORTRANGE(""https://docs.google.com/spreadsheets/d/1MjHtlUikwobi2MaWJgy7tfLeBmhj1u-dRFRs_8GwSoA/edit#gid=0"",""Gestores Escolares!D7:J""),6,0),""VERIFICAR CÓD SEC"")"),"JECILENE DO NASCIMENTO REZENDE")</f>
        <v>JECILENE DO NASCIMENTO REZENDE</v>
      </c>
      <c r="P1008" s="82" t="str">
        <f>IFERROR(__xludf.DUMMYFUNCTION("IFERROR(VLOOKUP(D1008,
IMPORTRANGE(""https://docs.google.com/spreadsheets/d/1MjHtlUikwobi2MaWJgy7tfLeBmhj1u-dRFRs_8GwSoA/edit#gid=0"",""Gestores Escolares!D7:J""),7,0),""VERIFICAR CÓD SEC"")"),"(75) 9 9903-4193")</f>
        <v>(75) 9 9903-4193</v>
      </c>
      <c r="Q1008" s="82" t="str">
        <f>IFERROR(__xludf.DUMMYFUNCTION("IFERROR(VLOOKUP(D1008,
IMPORTRANGE(""https://docs.google.com/spreadsheets/d/1MjHtlUikwobi2MaWJgy7tfLeBmhj1u-dRFRs_8GwSoA/edit#gid=0"",""Gestores Escolares!D7:m""),9,0),""VERIFICAR CÓD SEC"")"),"")</f>
        <v/>
      </c>
      <c r="R1008" s="82" t="str">
        <f>IFERROR(__xludf.DUMMYFUNCTION("IFERROR(VLOOKUP(D1008,
IMPORTRANGE(""https://docs.google.com/spreadsheets/d/1MjHtlUikwobi2MaWJgy7tfLeBmhj1u-dRFRs_8GwSoA/edit#gid=0"",""Gestores Escolares!D7:m""),10,0),""VERIFICAR CÓD SEC"")"),"")</f>
        <v/>
      </c>
      <c r="S1008" s="82"/>
      <c r="T1008" s="138">
        <v>11.0</v>
      </c>
      <c r="U1008" s="148">
        <v>9.0</v>
      </c>
      <c r="V1008" s="106">
        <v>0.0</v>
      </c>
      <c r="W1008" s="107">
        <v>0.0</v>
      </c>
      <c r="X1008" s="107">
        <v>0.0</v>
      </c>
      <c r="Y1008" s="107">
        <v>0.0</v>
      </c>
      <c r="Z1008" s="80">
        <f t="shared" si="1"/>
        <v>0</v>
      </c>
      <c r="AA1008" s="106">
        <v>0.0</v>
      </c>
      <c r="AB1008" s="107">
        <v>0.0</v>
      </c>
      <c r="AC1008" s="107">
        <v>0.0</v>
      </c>
      <c r="AD1008" s="107">
        <v>0.0</v>
      </c>
      <c r="AE1008" s="80">
        <f t="shared" si="2"/>
        <v>0</v>
      </c>
      <c r="AF1008" s="140">
        <v>0.0</v>
      </c>
      <c r="AG1008" s="109">
        <v>0.0</v>
      </c>
      <c r="AH1008" s="109">
        <v>0.0</v>
      </c>
      <c r="AI1008" s="141">
        <v>0.0</v>
      </c>
      <c r="AJ1008" s="80">
        <f t="shared" si="3"/>
        <v>0</v>
      </c>
      <c r="AK1008" s="140">
        <v>0.0</v>
      </c>
      <c r="AL1008" s="109">
        <v>0.0</v>
      </c>
      <c r="AM1008" s="141">
        <v>0.0</v>
      </c>
      <c r="AN1008" s="80">
        <f t="shared" si="4"/>
        <v>0</v>
      </c>
      <c r="AO1008" s="140">
        <v>0.0</v>
      </c>
      <c r="AP1008" s="109">
        <v>0.0</v>
      </c>
      <c r="AQ1008" s="109">
        <v>0.0</v>
      </c>
      <c r="AR1008" s="80">
        <f t="shared" si="5"/>
        <v>0</v>
      </c>
      <c r="AS1008" s="110">
        <v>236.0</v>
      </c>
      <c r="AT1008" s="110">
        <v>137.0</v>
      </c>
      <c r="AU1008" s="110">
        <v>126.0</v>
      </c>
      <c r="AV1008" s="142">
        <v>0.0</v>
      </c>
      <c r="AW1008" s="80">
        <f t="shared" si="6"/>
        <v>499</v>
      </c>
      <c r="AX1008" s="113">
        <f t="shared" si="7"/>
        <v>499</v>
      </c>
      <c r="AY1008" s="117">
        <f t="shared" si="8"/>
        <v>373</v>
      </c>
      <c r="AZ1008" s="120">
        <f t="shared" si="9"/>
        <v>126</v>
      </c>
      <c r="BA1008" s="115">
        <v>1.0</v>
      </c>
      <c r="BB1008" s="89">
        <f t="shared" si="10"/>
        <v>500</v>
      </c>
      <c r="BC1008" s="132" t="s">
        <v>178</v>
      </c>
      <c r="BD1008" s="132" t="s">
        <v>178</v>
      </c>
      <c r="BE1008" s="132" t="s">
        <v>178</v>
      </c>
      <c r="BF1008" s="156"/>
      <c r="BG1008" s="83">
        <v>1176465.0</v>
      </c>
      <c r="BH1008" s="98" t="s">
        <v>5381</v>
      </c>
      <c r="BI1008" s="112">
        <v>10.0</v>
      </c>
      <c r="BJ1008" s="98" t="s">
        <v>155</v>
      </c>
      <c r="BK1008" s="99">
        <f t="shared" si="11"/>
        <v>0</v>
      </c>
      <c r="BL1008" s="99">
        <f t="shared" si="12"/>
        <v>373</v>
      </c>
      <c r="BM1008" s="99" t="str">
        <f>IFERROR(__xludf.DUMMYFUNCTION("IFERROR(VLOOKUP(BG1008,IMPORTRANGE(""https://docs.google.com/spreadsheets/d/1juPI-Fb8LD0YtltB2mlGEnp_R3UVu1t3wSFPzgCyHXE/edit?gid=0#gid=0"",""GERAL!A2:C""),3,0),""-"")"),"-")</f>
        <v>-</v>
      </c>
    </row>
    <row r="1009" ht="15.75" customHeight="1">
      <c r="A1009" s="111" t="s">
        <v>1281</v>
      </c>
      <c r="B1009" s="83" t="s">
        <v>2476</v>
      </c>
      <c r="C1009" s="83" t="s">
        <v>68</v>
      </c>
      <c r="D1009" s="112">
        <v>1169809.0</v>
      </c>
      <c r="E1009" s="83"/>
      <c r="F1009" s="83">
        <v>2.9150442E7</v>
      </c>
      <c r="G1009" s="119" t="s">
        <v>5387</v>
      </c>
      <c r="H1009" s="91" t="s">
        <v>5388</v>
      </c>
      <c r="I1009" s="146" t="s">
        <v>149</v>
      </c>
      <c r="J1009" s="83" t="s">
        <v>150</v>
      </c>
      <c r="K1009" s="83" t="s">
        <v>151</v>
      </c>
      <c r="L1009" s="83" t="s">
        <v>152</v>
      </c>
      <c r="M1009" s="82" t="str">
        <f>IFERROR(__xludf.DUMMYFUNCTION("IFERROR(VLOOKUP(D1009,
IMPORTRANGE(""https://docs.google.com/spreadsheets/d/1MjHtlUikwobi2MaWJgy7tfLeBmhj1u-dRFRs_8GwSoA/edit#gid=0"",""Gestores Escolares!D7:J""),3,0),""VERIFICAR CÓD SEC"")"),"MARCIA RITA SILVA SOUZA")</f>
        <v>MARCIA RITA SILVA SOUZA</v>
      </c>
      <c r="N1009" s="82" t="str">
        <f>IFERROR(__xludf.DUMMYFUNCTION("IFERROR(VLOOKUP(D1009,
IMPORTRANGE(""https://docs.google.com/spreadsheets/d/1MjHtlUikwobi2MaWJgy7tfLeBmhj1u-dRFRs_8GwSoA/edit#gid=0"",""Gestores Escolares!D7:J""),4,0),""VERIFICAR CÓD SEC"")"),"(75) 9 8170-5773")</f>
        <v>(75) 9 8170-5773</v>
      </c>
      <c r="O1009" s="82" t="str">
        <f>IFERROR(__xludf.DUMMYFUNCTION("IFERROR(VLOOKUP(D1009,
IMPORTRANGE(""https://docs.google.com/spreadsheets/d/1MjHtlUikwobi2MaWJgy7tfLeBmhj1u-dRFRs_8GwSoA/edit#gid=0"",""Gestores Escolares!D7:J""),6,0),""VERIFICAR CÓD SEC"")"),"PATRICIA DE JESUS MEDEIROS COSTA")</f>
        <v>PATRICIA DE JESUS MEDEIROS COSTA</v>
      </c>
      <c r="P1009" s="82" t="str">
        <f>IFERROR(__xludf.DUMMYFUNCTION("IFERROR(VLOOKUP(D1009,
IMPORTRANGE(""https://docs.google.com/spreadsheets/d/1MjHtlUikwobi2MaWJgy7tfLeBmhj1u-dRFRs_8GwSoA/edit#gid=0"",""Gestores Escolares!D7:J""),7,0),""VERIFICAR CÓD SEC"")"),"(75) 9 9989-2775")</f>
        <v>(75) 9 9989-2775</v>
      </c>
      <c r="Q1009" s="82" t="str">
        <f>IFERROR(__xludf.DUMMYFUNCTION("IFERROR(VLOOKUP(D1009,
IMPORTRANGE(""https://docs.google.com/spreadsheets/d/1MjHtlUikwobi2MaWJgy7tfLeBmhj1u-dRFRs_8GwSoA/edit#gid=0"",""Gestores Escolares!D7:m""),9,0),""VERIFICAR CÓD SEC"")"),"MILENA DE SOUZA MELO")</f>
        <v>MILENA DE SOUZA MELO</v>
      </c>
      <c r="R1009" s="82" t="str">
        <f>IFERROR(__xludf.DUMMYFUNCTION("IFERROR(VLOOKUP(D1009,
IMPORTRANGE(""https://docs.google.com/spreadsheets/d/1MjHtlUikwobi2MaWJgy7tfLeBmhj1u-dRFRs_8GwSoA/edit#gid=0"",""Gestores Escolares!D7:m""),10,0),""VERIFICAR CÓD SEC"")"),"(75) 9 9981-0013")</f>
        <v>(75) 9 9981-0013</v>
      </c>
      <c r="S1009" s="82"/>
      <c r="T1009" s="138">
        <v>11.0</v>
      </c>
      <c r="U1009" s="148">
        <v>11.0</v>
      </c>
      <c r="V1009" s="106">
        <v>0.0</v>
      </c>
      <c r="W1009" s="107">
        <v>0.0</v>
      </c>
      <c r="X1009" s="107">
        <v>0.0</v>
      </c>
      <c r="Y1009" s="107">
        <v>0.0</v>
      </c>
      <c r="Z1009" s="80">
        <f t="shared" si="1"/>
        <v>0</v>
      </c>
      <c r="AA1009" s="106">
        <v>121.0</v>
      </c>
      <c r="AB1009" s="107">
        <v>313.0</v>
      </c>
      <c r="AC1009" s="107">
        <v>0.0</v>
      </c>
      <c r="AD1009" s="107">
        <v>0.0</v>
      </c>
      <c r="AE1009" s="80">
        <f t="shared" si="2"/>
        <v>434</v>
      </c>
      <c r="AF1009" s="140">
        <v>259.0</v>
      </c>
      <c r="AG1009" s="109">
        <v>0.0</v>
      </c>
      <c r="AH1009" s="109">
        <v>0.0</v>
      </c>
      <c r="AI1009" s="141">
        <v>0.0</v>
      </c>
      <c r="AJ1009" s="80">
        <f t="shared" si="3"/>
        <v>259</v>
      </c>
      <c r="AK1009" s="140">
        <v>0.0</v>
      </c>
      <c r="AL1009" s="109">
        <v>0.0</v>
      </c>
      <c r="AM1009" s="141">
        <v>0.0</v>
      </c>
      <c r="AN1009" s="80">
        <f t="shared" si="4"/>
        <v>0</v>
      </c>
      <c r="AO1009" s="140">
        <v>0.0</v>
      </c>
      <c r="AP1009" s="109">
        <v>0.0</v>
      </c>
      <c r="AQ1009" s="109">
        <v>109.0</v>
      </c>
      <c r="AR1009" s="80">
        <f t="shared" si="5"/>
        <v>109</v>
      </c>
      <c r="AS1009" s="110">
        <v>0.0</v>
      </c>
      <c r="AT1009" s="110">
        <v>0.0</v>
      </c>
      <c r="AU1009" s="110">
        <v>0.0</v>
      </c>
      <c r="AV1009" s="142">
        <v>0.0</v>
      </c>
      <c r="AW1009" s="80">
        <f t="shared" si="6"/>
        <v>0</v>
      </c>
      <c r="AX1009" s="113">
        <f t="shared" si="7"/>
        <v>802</v>
      </c>
      <c r="AY1009" s="117">
        <f t="shared" si="8"/>
        <v>693</v>
      </c>
      <c r="AZ1009" s="120">
        <f t="shared" si="9"/>
        <v>109</v>
      </c>
      <c r="BA1009" s="115">
        <v>0.0</v>
      </c>
      <c r="BB1009" s="89">
        <f t="shared" si="10"/>
        <v>802</v>
      </c>
      <c r="BC1009" s="132" t="s">
        <v>178</v>
      </c>
      <c r="BD1009" s="132" t="s">
        <v>178</v>
      </c>
      <c r="BE1009" s="132" t="s">
        <v>178</v>
      </c>
      <c r="BF1009" s="156"/>
      <c r="BG1009" s="83">
        <v>1169809.0</v>
      </c>
      <c r="BH1009" s="98" t="s">
        <v>5390</v>
      </c>
      <c r="BI1009" s="112">
        <v>11.0</v>
      </c>
      <c r="BJ1009" s="98" t="s">
        <v>155</v>
      </c>
      <c r="BK1009" s="99">
        <f t="shared" si="11"/>
        <v>0</v>
      </c>
      <c r="BL1009" s="99">
        <f t="shared" si="12"/>
        <v>693</v>
      </c>
      <c r="BM1009" s="99" t="str">
        <f>IFERROR(__xludf.DUMMYFUNCTION("IFERROR(VLOOKUP(BG1009,IMPORTRANGE(""https://docs.google.com/spreadsheets/d/1juPI-Fb8LD0YtltB2mlGEnp_R3UVu1t3wSFPzgCyHXE/edit?gid=0#gid=0"",""GERAL!A2:C""),3,0),""-"")"),"-")</f>
        <v>-</v>
      </c>
    </row>
    <row r="1010" ht="15.75" customHeight="1">
      <c r="A1010" s="111" t="s">
        <v>1281</v>
      </c>
      <c r="B1010" s="83" t="s">
        <v>2476</v>
      </c>
      <c r="C1010" s="83" t="s">
        <v>68</v>
      </c>
      <c r="D1010" s="112">
        <v>1135637.0</v>
      </c>
      <c r="E1010" s="83"/>
      <c r="F1010" s="83">
        <v>2.9150418E7</v>
      </c>
      <c r="G1010" s="119" t="s">
        <v>5399</v>
      </c>
      <c r="H1010" s="91" t="s">
        <v>5400</v>
      </c>
      <c r="I1010" s="83" t="s">
        <v>149</v>
      </c>
      <c r="J1010" s="83" t="s">
        <v>150</v>
      </c>
      <c r="K1010" s="83" t="s">
        <v>151</v>
      </c>
      <c r="L1010" s="83" t="s">
        <v>152</v>
      </c>
      <c r="M1010" s="82" t="str">
        <f>IFERROR(__xludf.DUMMYFUNCTION("IFERROR(VLOOKUP(D1010,
IMPORTRANGE(""https://docs.google.com/spreadsheets/d/1MjHtlUikwobi2MaWJgy7tfLeBmhj1u-dRFRs_8GwSoA/edit#gid=0"",""Gestores Escolares!D7:J""),3,0),""VERIFICAR CÓD SEC"")"),"ANA PAULA SANTANA SOUZA")</f>
        <v>ANA PAULA SANTANA SOUZA</v>
      </c>
      <c r="N1010" s="82" t="str">
        <f>IFERROR(__xludf.DUMMYFUNCTION("IFERROR(VLOOKUP(D1010,
IMPORTRANGE(""https://docs.google.com/spreadsheets/d/1MjHtlUikwobi2MaWJgy7tfLeBmhj1u-dRFRs_8GwSoA/edit#gid=0"",""Gestores Escolares!D7:J""),4,0),""VERIFICAR CÓD SEC"")"),"(75) 9 9927-1330 ")</f>
        <v>(75) 9 9927-1330 </v>
      </c>
      <c r="O1010" s="82" t="str">
        <f>IFERROR(__xludf.DUMMYFUNCTION("IFERROR(VLOOKUP(D1010,
IMPORTRANGE(""https://docs.google.com/spreadsheets/d/1MjHtlUikwobi2MaWJgy7tfLeBmhj1u-dRFRs_8GwSoA/edit#gid=0"",""Gestores Escolares!D7:J""),6,0),""VERIFICAR CÓD SEC"")"),"RAIMUNDA OLIVEIRA DOS SANTOS")</f>
        <v>RAIMUNDA OLIVEIRA DOS SANTOS</v>
      </c>
      <c r="P1010" s="82" t="str">
        <f>IFERROR(__xludf.DUMMYFUNCTION("IFERROR(VLOOKUP(D1010,
IMPORTRANGE(""https://docs.google.com/spreadsheets/d/1MjHtlUikwobi2MaWJgy7tfLeBmhj1u-dRFRs_8GwSoA/edit#gid=0"",""Gestores Escolares!D7:J""),7,0),""VERIFICAR CÓD SEC"")"),"(71) 9 9969-1716")</f>
        <v>(71) 9 9969-1716</v>
      </c>
      <c r="Q1010" s="82" t="str">
        <f>IFERROR(__xludf.DUMMYFUNCTION("IFERROR(VLOOKUP(D1010,
IMPORTRANGE(""https://docs.google.com/spreadsheets/d/1MjHtlUikwobi2MaWJgy7tfLeBmhj1u-dRFRs_8GwSoA/edit#gid=0"",""Gestores Escolares!D7:m""),9,0),""VERIFICAR CÓD SEC"")"),"ANTONIVAL TEIXEIRA DOS SANTOS")</f>
        <v>ANTONIVAL TEIXEIRA DOS SANTOS</v>
      </c>
      <c r="R1010" s="82" t="str">
        <f>IFERROR(__xludf.DUMMYFUNCTION("IFERROR(VLOOKUP(D1010,
IMPORTRANGE(""https://docs.google.com/spreadsheets/d/1MjHtlUikwobi2MaWJgy7tfLeBmhj1u-dRFRs_8GwSoA/edit#gid=0"",""Gestores Escolares!D7:m""),10,0),""VERIFICAR CÓD SEC"")"),"(75) 9 9858-4450")</f>
        <v>(75) 9 9858-4450</v>
      </c>
      <c r="S1010" s="82"/>
      <c r="T1010" s="138">
        <v>8.0</v>
      </c>
      <c r="U1010" s="148">
        <v>8.0</v>
      </c>
      <c r="V1010" s="106">
        <v>0.0</v>
      </c>
      <c r="W1010" s="107">
        <v>0.0</v>
      </c>
      <c r="X1010" s="107">
        <v>0.0</v>
      </c>
      <c r="Y1010" s="107">
        <v>0.0</v>
      </c>
      <c r="Z1010" s="80">
        <f t="shared" si="1"/>
        <v>0</v>
      </c>
      <c r="AA1010" s="106">
        <v>0.0</v>
      </c>
      <c r="AB1010" s="107">
        <v>0.0</v>
      </c>
      <c r="AC1010" s="107">
        <v>0.0</v>
      </c>
      <c r="AD1010" s="107">
        <v>0.0</v>
      </c>
      <c r="AE1010" s="80">
        <f t="shared" si="2"/>
        <v>0</v>
      </c>
      <c r="AF1010" s="140">
        <v>0.0</v>
      </c>
      <c r="AG1010" s="109">
        <v>0.0</v>
      </c>
      <c r="AH1010" s="109">
        <v>0.0</v>
      </c>
      <c r="AI1010" s="141">
        <v>0.0</v>
      </c>
      <c r="AJ1010" s="80">
        <f t="shared" si="3"/>
        <v>0</v>
      </c>
      <c r="AK1010" s="140">
        <v>105.0</v>
      </c>
      <c r="AL1010" s="109">
        <v>79.0</v>
      </c>
      <c r="AM1010" s="141">
        <v>121.0</v>
      </c>
      <c r="AN1010" s="80">
        <f t="shared" si="4"/>
        <v>305</v>
      </c>
      <c r="AO1010" s="140">
        <v>90.0</v>
      </c>
      <c r="AP1010" s="109">
        <v>83.0</v>
      </c>
      <c r="AQ1010" s="109">
        <v>145.0</v>
      </c>
      <c r="AR1010" s="80">
        <f t="shared" si="5"/>
        <v>318</v>
      </c>
      <c r="AS1010" s="110">
        <v>0.0</v>
      </c>
      <c r="AT1010" s="110">
        <v>0.0</v>
      </c>
      <c r="AU1010" s="110">
        <v>0.0</v>
      </c>
      <c r="AV1010" s="142">
        <v>0.0</v>
      </c>
      <c r="AW1010" s="80">
        <f t="shared" si="6"/>
        <v>0</v>
      </c>
      <c r="AX1010" s="113">
        <f t="shared" si="7"/>
        <v>623</v>
      </c>
      <c r="AY1010" s="117">
        <f t="shared" si="8"/>
        <v>357</v>
      </c>
      <c r="AZ1010" s="120">
        <f t="shared" si="9"/>
        <v>266</v>
      </c>
      <c r="BA1010" s="115">
        <v>0.0</v>
      </c>
      <c r="BB1010" s="89">
        <f t="shared" si="10"/>
        <v>623</v>
      </c>
      <c r="BC1010" s="132" t="s">
        <v>178</v>
      </c>
      <c r="BD1010" s="132" t="s">
        <v>178</v>
      </c>
      <c r="BE1010" s="132" t="s">
        <v>178</v>
      </c>
      <c r="BF1010" s="156"/>
      <c r="BG1010" s="83">
        <v>1135637.0</v>
      </c>
      <c r="BH1010" s="98" t="s">
        <v>5401</v>
      </c>
      <c r="BI1010" s="112">
        <v>8.0</v>
      </c>
      <c r="BJ1010" s="98" t="s">
        <v>155</v>
      </c>
      <c r="BK1010" s="99">
        <f t="shared" si="11"/>
        <v>0</v>
      </c>
      <c r="BL1010" s="99">
        <f t="shared" si="12"/>
        <v>357</v>
      </c>
      <c r="BM1010" s="99" t="str">
        <f>IFERROR(__xludf.DUMMYFUNCTION("IFERROR(VLOOKUP(BG1010,IMPORTRANGE(""https://docs.google.com/spreadsheets/d/1juPI-Fb8LD0YtltB2mlGEnp_R3UVu1t3wSFPzgCyHXE/edit?gid=0#gid=0"",""GERAL!A2:C""),3,0),""-"")"),"-")</f>
        <v>-</v>
      </c>
    </row>
    <row r="1011" ht="15.75" customHeight="1">
      <c r="A1011" s="111" t="s">
        <v>1281</v>
      </c>
      <c r="B1011" s="83" t="s">
        <v>2476</v>
      </c>
      <c r="C1011" s="83" t="s">
        <v>68</v>
      </c>
      <c r="D1011" s="112">
        <v>1107773.0</v>
      </c>
      <c r="E1011" s="83"/>
      <c r="F1011" s="83">
        <v>2.915031E7</v>
      </c>
      <c r="G1011" s="119" t="s">
        <v>5409</v>
      </c>
      <c r="H1011" s="91" t="s">
        <v>5410</v>
      </c>
      <c r="I1011" s="83" t="s">
        <v>149</v>
      </c>
      <c r="J1011" s="83" t="s">
        <v>150</v>
      </c>
      <c r="K1011" s="83" t="s">
        <v>151</v>
      </c>
      <c r="L1011" s="83" t="s">
        <v>230</v>
      </c>
      <c r="M1011" s="82" t="str">
        <f>IFERROR(__xludf.DUMMYFUNCTION("IFERROR(VLOOKUP(D1011,
IMPORTRANGE(""https://docs.google.com/spreadsheets/d/1MjHtlUikwobi2MaWJgy7tfLeBmhj1u-dRFRs_8GwSoA/edit#gid=0"",""Gestores Escolares!D7:J""),3,0),""VERIFICAR CÓD SEC"")"),"TANIA LÚCIA MORAIS SILVA")</f>
        <v>TANIA LÚCIA MORAIS SILVA</v>
      </c>
      <c r="N1011" s="82" t="str">
        <f>IFERROR(__xludf.DUMMYFUNCTION("IFERROR(VLOOKUP(D1011,
IMPORTRANGE(""https://docs.google.com/spreadsheets/d/1MjHtlUikwobi2MaWJgy7tfLeBmhj1u-dRFRs_8GwSoA/edit#gid=0"",""Gestores Escolares!D7:J""),4,0),""VERIFICAR CÓD SEC"")"),"(75) 9 9969-4205 / 9 8139-5444")</f>
        <v>(75) 9 9969-4205 / 9 8139-5444</v>
      </c>
      <c r="O1011" s="82" t="str">
        <f>IFERROR(__xludf.DUMMYFUNCTION("IFERROR(VLOOKUP(D1011,
IMPORTRANGE(""https://docs.google.com/spreadsheets/d/1MjHtlUikwobi2MaWJgy7tfLeBmhj1u-dRFRs_8GwSoA/edit#gid=0"",""Gestores Escolares!D7:J""),6,0),""VERIFICAR CÓD SEC"")"),"FRANCISCA RUFINO PARANHOS")</f>
        <v>FRANCISCA RUFINO PARANHOS</v>
      </c>
      <c r="P1011" s="82" t="str">
        <f>IFERROR(__xludf.DUMMYFUNCTION("IFERROR(VLOOKUP(D1011,
IMPORTRANGE(""https://docs.google.com/spreadsheets/d/1MjHtlUikwobi2MaWJgy7tfLeBmhj1u-dRFRs_8GwSoA/edit#gid=0"",""Gestores Escolares!D7:J""),7,0),""VERIFICAR CÓD SEC"")"),"(75) 9 9941-1154")</f>
        <v>(75) 9 9941-1154</v>
      </c>
      <c r="Q1011" s="82" t="str">
        <f>IFERROR(__xludf.DUMMYFUNCTION("IFERROR(VLOOKUP(D1011,
IMPORTRANGE(""https://docs.google.com/spreadsheets/d/1MjHtlUikwobi2MaWJgy7tfLeBmhj1u-dRFRs_8GwSoA/edit#gid=0"",""Gestores Escolares!D7:m""),9,0),""VERIFICAR CÓD SEC"")"),"LUCIANA DA CRUZ AZEVEDO FRANÇA")</f>
        <v>LUCIANA DA CRUZ AZEVEDO FRANÇA</v>
      </c>
      <c r="R1011" s="82" t="str">
        <f>IFERROR(__xludf.DUMMYFUNCTION("IFERROR(VLOOKUP(D1011,
IMPORTRANGE(""https://docs.google.com/spreadsheets/d/1MjHtlUikwobi2MaWJgy7tfLeBmhj1u-dRFRs_8GwSoA/edit#gid=0"",""Gestores Escolares!D7:m""),10,0),""VERIFICAR CÓD SEC"")"),"(75) 9 9937-2204")</f>
        <v>(75) 9 9937-2204</v>
      </c>
      <c r="S1011" s="82"/>
      <c r="T1011" s="138">
        <v>17.0</v>
      </c>
      <c r="U1011" s="468" t="s">
        <v>13731</v>
      </c>
      <c r="V1011" s="106">
        <v>0.0</v>
      </c>
      <c r="W1011" s="107">
        <v>0.0</v>
      </c>
      <c r="X1011" s="107">
        <v>0.0</v>
      </c>
      <c r="Y1011" s="107">
        <v>0.0</v>
      </c>
      <c r="Z1011" s="80">
        <f t="shared" si="1"/>
        <v>0</v>
      </c>
      <c r="AA1011" s="106">
        <v>305.0</v>
      </c>
      <c r="AB1011" s="107">
        <v>262.0</v>
      </c>
      <c r="AC1011" s="107">
        <v>0.0</v>
      </c>
      <c r="AD1011" s="107">
        <v>0.0</v>
      </c>
      <c r="AE1011" s="80">
        <f t="shared" si="2"/>
        <v>567</v>
      </c>
      <c r="AF1011" s="140">
        <v>291.0</v>
      </c>
      <c r="AG1011" s="109">
        <v>143.0</v>
      </c>
      <c r="AH1011" s="109">
        <v>0.0</v>
      </c>
      <c r="AI1011" s="141">
        <v>0.0</v>
      </c>
      <c r="AJ1011" s="80">
        <f t="shared" si="3"/>
        <v>434</v>
      </c>
      <c r="AK1011" s="140">
        <v>0.0</v>
      </c>
      <c r="AL1011" s="109">
        <v>0.0</v>
      </c>
      <c r="AM1011" s="141">
        <v>0.0</v>
      </c>
      <c r="AN1011" s="80">
        <f t="shared" si="4"/>
        <v>0</v>
      </c>
      <c r="AO1011" s="140">
        <v>0.0</v>
      </c>
      <c r="AP1011" s="109">
        <v>0.0</v>
      </c>
      <c r="AQ1011" s="109">
        <v>58.0</v>
      </c>
      <c r="AR1011" s="80">
        <f t="shared" si="5"/>
        <v>58</v>
      </c>
      <c r="AS1011" s="110">
        <v>0.0</v>
      </c>
      <c r="AT1011" s="110">
        <v>0.0</v>
      </c>
      <c r="AU1011" s="110">
        <v>0.0</v>
      </c>
      <c r="AV1011" s="142">
        <v>0.0</v>
      </c>
      <c r="AW1011" s="80">
        <f t="shared" si="6"/>
        <v>0</v>
      </c>
      <c r="AX1011" s="113">
        <f t="shared" si="7"/>
        <v>1059</v>
      </c>
      <c r="AY1011" s="117">
        <f t="shared" si="8"/>
        <v>1001</v>
      </c>
      <c r="AZ1011" s="120">
        <f t="shared" si="9"/>
        <v>58</v>
      </c>
      <c r="BA1011" s="115">
        <v>0.0</v>
      </c>
      <c r="BB1011" s="89">
        <f t="shared" si="10"/>
        <v>1059</v>
      </c>
      <c r="BC1011" s="132" t="s">
        <v>178</v>
      </c>
      <c r="BD1011" s="132" t="s">
        <v>178</v>
      </c>
      <c r="BE1011" s="132" t="s">
        <v>178</v>
      </c>
      <c r="BF1011" s="123"/>
      <c r="BG1011" s="83">
        <v>1107773.0</v>
      </c>
      <c r="BH1011" s="98" t="s">
        <v>5411</v>
      </c>
      <c r="BI1011" s="112">
        <v>16.0</v>
      </c>
      <c r="BJ1011" s="98" t="s">
        <v>155</v>
      </c>
      <c r="BK1011" s="99">
        <f t="shared" si="11"/>
        <v>0</v>
      </c>
      <c r="BL1011" s="99">
        <f t="shared" si="12"/>
        <v>1001</v>
      </c>
      <c r="BM1011" s="99" t="str">
        <f>IFERROR(__xludf.DUMMYFUNCTION("IFERROR(VLOOKUP(BG1011,IMPORTRANGE(""https://docs.google.com/spreadsheets/d/1juPI-Fb8LD0YtltB2mlGEnp_R3UVu1t3wSFPzgCyHXE/edit?gid=0#gid=0"",""GERAL!A2:C""),3,0),""-"")"),"-")</f>
        <v>-</v>
      </c>
    </row>
    <row r="1012" ht="15.75" customHeight="1">
      <c r="A1012" s="111" t="s">
        <v>1281</v>
      </c>
      <c r="B1012" s="83" t="s">
        <v>2476</v>
      </c>
      <c r="C1012" s="83" t="s">
        <v>68</v>
      </c>
      <c r="D1012" s="112">
        <v>1176092.0</v>
      </c>
      <c r="E1012" s="83"/>
      <c r="F1012" s="83">
        <v>2.915045E7</v>
      </c>
      <c r="G1012" s="119" t="s">
        <v>5414</v>
      </c>
      <c r="H1012" s="91" t="s">
        <v>5415</v>
      </c>
      <c r="I1012" s="83" t="s">
        <v>5339</v>
      </c>
      <c r="J1012" s="83" t="s">
        <v>150</v>
      </c>
      <c r="K1012" s="83" t="s">
        <v>151</v>
      </c>
      <c r="L1012" s="83" t="s">
        <v>152</v>
      </c>
      <c r="M1012" s="82" t="str">
        <f>IFERROR(__xludf.DUMMYFUNCTION("IFERROR(VLOOKUP(D1012,
IMPORTRANGE(""https://docs.google.com/spreadsheets/d/1MjHtlUikwobi2MaWJgy7tfLeBmhj1u-dRFRs_8GwSoA/edit#gid=0"",""Gestores Escolares!D7:J""),3,0),""VERIFICAR CÓD SEC"")"),"DIREÇÃO DA ESCOLA: SANDRA REGINA LIMA NASCIMENTO - (75) 9 9945-0099             
DIREÇÃO DA UNIDADE PM: TENENTE CORONEL MAURÍCIO SODRÉ SANTANA - 
(71) 9 8187-6012
DIREÇÃO DE ADJUNTO: Major QOPM RENILCE DE SOUZA KLINGER- 
(75) 9 8841-3530")</f>
        <v>DIREÇÃO DA ESCOLA: SANDRA REGINA LIMA NASCIMENTO - (75) 9 9945-0099             
DIREÇÃO DA UNIDADE PM: TENENTE CORONEL MAURÍCIO SODRÉ SANTANA - 
(71) 9 8187-6012
DIREÇÃO DE ADJUNTO: Major QOPM RENILCE DE SOUZA KLINGER- 
(75) 9 8841-3530</v>
      </c>
      <c r="N1012" s="82" t="str">
        <f>IFERROR(__xludf.DUMMYFUNCTION("IFERROR(VLOOKUP(D1012,
IMPORTRANGE(""https://docs.google.com/spreadsheets/d/1MjHtlUikwobi2MaWJgy7tfLeBmhj1u-dRFRs_8GwSoA/edit#gid=0"",""Gestores Escolares!D7:J""),4,0),""VERIFICAR CÓD SEC"")"),"-")</f>
        <v>-</v>
      </c>
      <c r="O1012" s="82" t="str">
        <f>IFERROR(__xludf.DUMMYFUNCTION("IFERROR(VLOOKUP(D1012,
IMPORTRANGE(""https://docs.google.com/spreadsheets/d/1MjHtlUikwobi2MaWJgy7tfLeBmhj1u-dRFRs_8GwSoA/edit#gid=0"",""Gestores Escolares!D7:J""),6,0),""VERIFICAR CÓD SEC"")"),"JEANNE MAGALI LEAL DANTAS")</f>
        <v>JEANNE MAGALI LEAL DANTAS</v>
      </c>
      <c r="P1012" s="82" t="str">
        <f>IFERROR(__xludf.DUMMYFUNCTION("IFERROR(VLOOKUP(D1012,
IMPORTRANGE(""https://docs.google.com/spreadsheets/d/1MjHtlUikwobi2MaWJgy7tfLeBmhj1u-dRFRs_8GwSoA/edit#gid=0"",""Gestores Escolares!D7:J""),7,0),""VERIFICAR CÓD SEC"")"),"(75) 9 9971-4739")</f>
        <v>(75) 9 9971-4739</v>
      </c>
      <c r="Q1012" s="82" t="str">
        <f>IFERROR(__xludf.DUMMYFUNCTION("IFERROR(VLOOKUP(D1012,
IMPORTRANGE(""https://docs.google.com/spreadsheets/d/1MjHtlUikwobi2MaWJgy7tfLeBmhj1u-dRFRs_8GwSoA/edit#gid=0"",""Gestores Escolares!D7:m""),9,0),""VERIFICAR CÓD SEC"")"),"")</f>
        <v/>
      </c>
      <c r="R1012" s="82" t="str">
        <f>IFERROR(__xludf.DUMMYFUNCTION("IFERROR(VLOOKUP(D1012,
IMPORTRANGE(""https://docs.google.com/spreadsheets/d/1MjHtlUikwobi2MaWJgy7tfLeBmhj1u-dRFRs_8GwSoA/edit#gid=0"",""Gestores Escolares!D7:m""),10,0),""VERIFICAR CÓD SEC"")"),"")</f>
        <v/>
      </c>
      <c r="S1012" s="82"/>
      <c r="T1012" s="138">
        <v>19.0</v>
      </c>
      <c r="U1012" s="468" t="s">
        <v>13740</v>
      </c>
      <c r="V1012" s="106">
        <v>0.0</v>
      </c>
      <c r="W1012" s="107">
        <v>0.0</v>
      </c>
      <c r="X1012" s="107">
        <v>0.0</v>
      </c>
      <c r="Y1012" s="107">
        <v>0.0</v>
      </c>
      <c r="Z1012" s="80">
        <f t="shared" si="1"/>
        <v>0</v>
      </c>
      <c r="AA1012" s="106">
        <v>185.0</v>
      </c>
      <c r="AB1012" s="107">
        <v>575.0</v>
      </c>
      <c r="AC1012" s="107">
        <v>0.0</v>
      </c>
      <c r="AD1012" s="107">
        <v>0.0</v>
      </c>
      <c r="AE1012" s="80">
        <f t="shared" si="2"/>
        <v>760</v>
      </c>
      <c r="AF1012" s="140">
        <v>452.0</v>
      </c>
      <c r="AG1012" s="109">
        <v>0.0</v>
      </c>
      <c r="AH1012" s="109">
        <v>0.0</v>
      </c>
      <c r="AI1012" s="141">
        <v>0.0</v>
      </c>
      <c r="AJ1012" s="80">
        <f t="shared" si="3"/>
        <v>452</v>
      </c>
      <c r="AK1012" s="140">
        <v>0.0</v>
      </c>
      <c r="AL1012" s="109">
        <v>0.0</v>
      </c>
      <c r="AM1012" s="141">
        <v>0.0</v>
      </c>
      <c r="AN1012" s="80">
        <f t="shared" si="4"/>
        <v>0</v>
      </c>
      <c r="AO1012" s="140">
        <v>0.0</v>
      </c>
      <c r="AP1012" s="109">
        <v>0.0</v>
      </c>
      <c r="AQ1012" s="109">
        <v>0.0</v>
      </c>
      <c r="AR1012" s="80">
        <f t="shared" si="5"/>
        <v>0</v>
      </c>
      <c r="AS1012" s="110">
        <v>0.0</v>
      </c>
      <c r="AT1012" s="110">
        <v>0.0</v>
      </c>
      <c r="AU1012" s="110">
        <v>0.0</v>
      </c>
      <c r="AV1012" s="142">
        <v>0.0</v>
      </c>
      <c r="AW1012" s="80">
        <f t="shared" si="6"/>
        <v>0</v>
      </c>
      <c r="AX1012" s="113">
        <f t="shared" si="7"/>
        <v>1212</v>
      </c>
      <c r="AY1012" s="117">
        <f t="shared" si="8"/>
        <v>1212</v>
      </c>
      <c r="AZ1012" s="120">
        <f t="shared" si="9"/>
        <v>0</v>
      </c>
      <c r="BA1012" s="115">
        <v>0.0</v>
      </c>
      <c r="BB1012" s="89">
        <f t="shared" si="10"/>
        <v>1212</v>
      </c>
      <c r="BC1012" s="143" t="s">
        <v>1014</v>
      </c>
      <c r="BD1012" s="132" t="s">
        <v>178</v>
      </c>
      <c r="BE1012" s="132" t="s">
        <v>178</v>
      </c>
      <c r="BF1012" s="156"/>
      <c r="BG1012" s="83">
        <v>1176092.0</v>
      </c>
      <c r="BH1012" s="98" t="s">
        <v>5416</v>
      </c>
      <c r="BI1012" s="98">
        <v>23.0</v>
      </c>
      <c r="BJ1012" s="98" t="s">
        <v>155</v>
      </c>
      <c r="BK1012" s="99">
        <f t="shared" si="11"/>
        <v>0</v>
      </c>
      <c r="BL1012" s="99">
        <f t="shared" si="12"/>
        <v>1212</v>
      </c>
      <c r="BM1012" s="99" t="str">
        <f>IFERROR(__xludf.DUMMYFUNCTION("IFERROR(VLOOKUP(BG1012,IMPORTRANGE(""https://docs.google.com/spreadsheets/d/1juPI-Fb8LD0YtltB2mlGEnp_R3UVu1t3wSFPzgCyHXE/edit?gid=0#gid=0"",""GERAL!A2:C""),3,0),""-"")"),"-")</f>
        <v>-</v>
      </c>
    </row>
    <row r="1013" ht="15.75" customHeight="1">
      <c r="A1013" s="111" t="s">
        <v>1281</v>
      </c>
      <c r="B1013" s="83" t="s">
        <v>2476</v>
      </c>
      <c r="C1013" s="83" t="s">
        <v>68</v>
      </c>
      <c r="D1013" s="112">
        <v>1107927.0</v>
      </c>
      <c r="E1013" s="83"/>
      <c r="F1013" s="83">
        <v>2.9149835E7</v>
      </c>
      <c r="G1013" s="114" t="s">
        <v>5427</v>
      </c>
      <c r="H1013" s="91" t="s">
        <v>5429</v>
      </c>
      <c r="I1013" s="83" t="s">
        <v>149</v>
      </c>
      <c r="J1013" s="83" t="s">
        <v>150</v>
      </c>
      <c r="K1013" s="83" t="s">
        <v>151</v>
      </c>
      <c r="L1013" s="83" t="s">
        <v>230</v>
      </c>
      <c r="M1013" s="82" t="str">
        <f>IFERROR(__xludf.DUMMYFUNCTION("IFERROR(VLOOKUP(D1013,
IMPORTRANGE(""https://docs.google.com/spreadsheets/d/1MjHtlUikwobi2MaWJgy7tfLeBmhj1u-dRFRs_8GwSoA/edit#gid=0"",""Gestores Escolares!D7:J""),3,0),""VERIFICAR CÓD SEC"")"),"ROUSE MARIA DE SANTANA SANTOS")</f>
        <v>ROUSE MARIA DE SANTANA SANTOS</v>
      </c>
      <c r="N1013" s="82" t="str">
        <f>IFERROR(__xludf.DUMMYFUNCTION("IFERROR(VLOOKUP(D1013,
IMPORTRANGE(""https://docs.google.com/spreadsheets/d/1MjHtlUikwobi2MaWJgy7tfLeBmhj1u-dRFRs_8GwSoA/edit#gid=0"",""Gestores Escolares!D7:J""),4,0),""VERIFICAR CÓD SEC"")"),"(75) 9 8138-1116")</f>
        <v>(75) 9 8138-1116</v>
      </c>
      <c r="O1013" s="82" t="str">
        <f>IFERROR(__xludf.DUMMYFUNCTION("IFERROR(VLOOKUP(D1013,
IMPORTRANGE(""https://docs.google.com/spreadsheets/d/1MjHtlUikwobi2MaWJgy7tfLeBmhj1u-dRFRs_8GwSoA/edit#gid=0"",""Gestores Escolares!D7:J""),6,0),""VERIFICAR CÓD SEC"")"),"CRISTIANE SANTANA SODRE")</f>
        <v>CRISTIANE SANTANA SODRE</v>
      </c>
      <c r="P1013" s="82" t="str">
        <f>IFERROR(__xludf.DUMMYFUNCTION("IFERROR(VLOOKUP(D1013,
IMPORTRANGE(""https://docs.google.com/spreadsheets/d/1MjHtlUikwobi2MaWJgy7tfLeBmhj1u-dRFRs_8GwSoA/edit#gid=0"",""Gestores Escolares!D7:J""),7,0),""VERIFICAR CÓD SEC"")"),"(75) 9 9905-5968")</f>
        <v>(75) 9 9905-5968</v>
      </c>
      <c r="Q1013" s="82" t="str">
        <f>IFERROR(__xludf.DUMMYFUNCTION("IFERROR(VLOOKUP(D1013,
IMPORTRANGE(""https://docs.google.com/spreadsheets/d/1MjHtlUikwobi2MaWJgy7tfLeBmhj1u-dRFRs_8GwSoA/edit#gid=0"",""Gestores Escolares!D7:m""),9,0),""VERIFICAR CÓD SEC"")"),"ECRISTIO RAISLAN BISPO DOS SANTOS")</f>
        <v>ECRISTIO RAISLAN BISPO DOS SANTOS</v>
      </c>
      <c r="R1013" s="82" t="str">
        <f>IFERROR(__xludf.DUMMYFUNCTION("IFERROR(VLOOKUP(D1013,
IMPORTRANGE(""https://docs.google.com/spreadsheets/d/1MjHtlUikwobi2MaWJgy7tfLeBmhj1u-dRFRs_8GwSoA/edit#gid=0"",""Gestores Escolares!D7:m""),10,0),""VERIFICAR CÓD SEC"")"),"(75) 9 9995-5095")</f>
        <v>(75) 9 9995-5095</v>
      </c>
      <c r="S1013" s="82"/>
      <c r="T1013" s="138">
        <v>38.0</v>
      </c>
      <c r="U1013" s="468">
        <v>29.0</v>
      </c>
      <c r="V1013" s="106">
        <v>0.0</v>
      </c>
      <c r="W1013" s="107">
        <v>0.0</v>
      </c>
      <c r="X1013" s="107">
        <v>0.0</v>
      </c>
      <c r="Y1013" s="107">
        <v>0.0</v>
      </c>
      <c r="Z1013" s="80">
        <f t="shared" si="1"/>
        <v>0</v>
      </c>
      <c r="AA1013" s="106">
        <v>0.0</v>
      </c>
      <c r="AB1013" s="107">
        <v>0.0</v>
      </c>
      <c r="AC1013" s="107">
        <v>0.0</v>
      </c>
      <c r="AD1013" s="107">
        <v>0.0</v>
      </c>
      <c r="AE1013" s="80">
        <f t="shared" si="2"/>
        <v>0</v>
      </c>
      <c r="AF1013" s="140">
        <v>0.0</v>
      </c>
      <c r="AG1013" s="109">
        <v>0.0</v>
      </c>
      <c r="AH1013" s="109">
        <v>0.0</v>
      </c>
      <c r="AI1013" s="141">
        <v>0.0</v>
      </c>
      <c r="AJ1013" s="80">
        <f t="shared" si="3"/>
        <v>0</v>
      </c>
      <c r="AK1013" s="140">
        <v>0.0</v>
      </c>
      <c r="AL1013" s="109">
        <v>0.0</v>
      </c>
      <c r="AM1013" s="141">
        <v>0.0</v>
      </c>
      <c r="AN1013" s="80">
        <f t="shared" si="4"/>
        <v>0</v>
      </c>
      <c r="AO1013" s="140">
        <v>0.0</v>
      </c>
      <c r="AP1013" s="109">
        <v>0.0</v>
      </c>
      <c r="AQ1013" s="109">
        <v>0.0</v>
      </c>
      <c r="AR1013" s="80">
        <f t="shared" si="5"/>
        <v>0</v>
      </c>
      <c r="AS1013" s="110">
        <v>894.0</v>
      </c>
      <c r="AT1013" s="110">
        <v>307.0</v>
      </c>
      <c r="AU1013" s="110">
        <v>389.0</v>
      </c>
      <c r="AV1013" s="142">
        <v>0.0</v>
      </c>
      <c r="AW1013" s="80">
        <f t="shared" si="6"/>
        <v>1590</v>
      </c>
      <c r="AX1013" s="113">
        <f t="shared" si="7"/>
        <v>1590</v>
      </c>
      <c r="AY1013" s="117">
        <f t="shared" si="8"/>
        <v>1201</v>
      </c>
      <c r="AZ1013" s="120">
        <f t="shared" si="9"/>
        <v>389</v>
      </c>
      <c r="BA1013" s="115">
        <v>0.0</v>
      </c>
      <c r="BB1013" s="89">
        <f t="shared" si="10"/>
        <v>1590</v>
      </c>
      <c r="BC1013" s="132" t="s">
        <v>178</v>
      </c>
      <c r="BD1013" s="132" t="s">
        <v>522</v>
      </c>
      <c r="BE1013" s="132" t="s">
        <v>178</v>
      </c>
      <c r="BF1013" s="123"/>
      <c r="BG1013" s="83">
        <v>1107927.0</v>
      </c>
      <c r="BH1013" s="98" t="s">
        <v>13741</v>
      </c>
      <c r="BI1013" s="112">
        <v>30.0</v>
      </c>
      <c r="BJ1013" s="98" t="s">
        <v>155</v>
      </c>
      <c r="BK1013" s="99">
        <f t="shared" si="11"/>
        <v>0</v>
      </c>
      <c r="BL1013" s="99">
        <f t="shared" si="12"/>
        <v>1201</v>
      </c>
      <c r="BM1013" s="99" t="str">
        <f>IFERROR(__xludf.DUMMYFUNCTION("IFERROR(VLOOKUP(BG1013,IMPORTRANGE(""https://docs.google.com/spreadsheets/d/1juPI-Fb8LD0YtltB2mlGEnp_R3UVu1t3wSFPzgCyHXE/edit?gid=0#gid=0"",""GERAL!A2:C""),3,0),""-"")"),"-")</f>
        <v>-</v>
      </c>
    </row>
    <row r="1014" ht="15.75" customHeight="1">
      <c r="A1014" s="111" t="s">
        <v>1281</v>
      </c>
      <c r="B1014" s="83" t="s">
        <v>2476</v>
      </c>
      <c r="C1014" s="83" t="s">
        <v>164</v>
      </c>
      <c r="D1014" s="112">
        <v>1107773.0</v>
      </c>
      <c r="E1014" s="83">
        <v>1178463.0</v>
      </c>
      <c r="F1014" s="98">
        <v>2.9490324E7</v>
      </c>
      <c r="G1014" s="119" t="s">
        <v>5444</v>
      </c>
      <c r="H1014" s="91" t="s">
        <v>5445</v>
      </c>
      <c r="I1014" s="233" t="s">
        <v>5446</v>
      </c>
      <c r="J1014" s="83" t="s">
        <v>762</v>
      </c>
      <c r="K1014" s="83" t="s">
        <v>168</v>
      </c>
      <c r="L1014" s="83" t="s">
        <v>169</v>
      </c>
      <c r="M1014" s="82" t="str">
        <f>IFERROR(__xludf.DUMMYFUNCTION("IFERROR(VLOOKUP(D1014,
IMPORTRANGE(""https://docs.google.com/spreadsheets/d/1MjHtlUikwobi2MaWJgy7tfLeBmhj1u-dRFRs_8GwSoA/edit#gid=0"",""Gestores Escolares!D7:J""),3,0),""VERIFICAR CÓD SEC"")"),"TANIA LÚCIA MORAIS SILVA")</f>
        <v>TANIA LÚCIA MORAIS SILVA</v>
      </c>
      <c r="N1014" s="82" t="str">
        <f>IFERROR(__xludf.DUMMYFUNCTION("IFERROR(VLOOKUP(D1014,
IMPORTRANGE(""https://docs.google.com/spreadsheets/d/1MjHtlUikwobi2MaWJgy7tfLeBmhj1u-dRFRs_8GwSoA/edit#gid=0"",""Gestores Escolares!D7:J""),4,0),""VERIFICAR CÓD SEC"")"),"(75) 9 9969-4205 / 9 8139-5444")</f>
        <v>(75) 9 9969-4205 / 9 8139-5444</v>
      </c>
      <c r="O1014" s="82" t="str">
        <f>IFERROR(__xludf.DUMMYFUNCTION("IFERROR(VLOOKUP(D1014,
IMPORTRANGE(""https://docs.google.com/spreadsheets/d/1MjHtlUikwobi2MaWJgy7tfLeBmhj1u-dRFRs_8GwSoA/edit#gid=0"",""Gestores Escolares!D7:J""),6,0),""VERIFICAR CÓD SEC"")"),"FRANCISCA RUFINO PARANHOS")</f>
        <v>FRANCISCA RUFINO PARANHOS</v>
      </c>
      <c r="P1014" s="82" t="str">
        <f>IFERROR(__xludf.DUMMYFUNCTION("IFERROR(VLOOKUP(D1014,
IMPORTRANGE(""https://docs.google.com/spreadsheets/d/1MjHtlUikwobi2MaWJgy7tfLeBmhj1u-dRFRs_8GwSoA/edit#gid=0"",""Gestores Escolares!D7:J""),7,0),""VERIFICAR CÓD SEC"")"),"(75) 9 9941-1154")</f>
        <v>(75) 9 9941-1154</v>
      </c>
      <c r="Q1014" s="82" t="str">
        <f>IFERROR(__xludf.DUMMYFUNCTION("IFERROR(VLOOKUP(D1014,
IMPORTRANGE(""https://docs.google.com/spreadsheets/d/1MjHtlUikwobi2MaWJgy7tfLeBmhj1u-dRFRs_8GwSoA/edit#gid=0"",""Gestores Escolares!D7:m""),9,0),""VERIFICAR CÓD SEC"")"),"LUCIANA DA CRUZ AZEVEDO FRANÇA")</f>
        <v>LUCIANA DA CRUZ AZEVEDO FRANÇA</v>
      </c>
      <c r="R1014" s="82" t="str">
        <f>IFERROR(__xludf.DUMMYFUNCTION("IFERROR(VLOOKUP(D1014,
IMPORTRANGE(""https://docs.google.com/spreadsheets/d/1MjHtlUikwobi2MaWJgy7tfLeBmhj1u-dRFRs_8GwSoA/edit#gid=0"",""Gestores Escolares!D7:m""),10,0),""VERIFICAR CÓD SEC"")"),"(75) 9 9937-2204")</f>
        <v>(75) 9 9937-2204</v>
      </c>
      <c r="S1014" s="82"/>
      <c r="T1014" s="138">
        <v>5.0</v>
      </c>
      <c r="U1014" s="468">
        <v>5.0</v>
      </c>
      <c r="V1014" s="106">
        <v>0.0</v>
      </c>
      <c r="W1014" s="107">
        <v>0.0</v>
      </c>
      <c r="X1014" s="107">
        <v>0.0</v>
      </c>
      <c r="Y1014" s="107">
        <v>0.0</v>
      </c>
      <c r="Z1014" s="80">
        <f t="shared" si="1"/>
        <v>0</v>
      </c>
      <c r="AA1014" s="106">
        <v>0.0</v>
      </c>
      <c r="AB1014" s="107">
        <v>0.0</v>
      </c>
      <c r="AC1014" s="107">
        <v>0.0</v>
      </c>
      <c r="AD1014" s="107">
        <v>0.0</v>
      </c>
      <c r="AE1014" s="80">
        <f t="shared" si="2"/>
        <v>0</v>
      </c>
      <c r="AF1014" s="140">
        <v>0.0</v>
      </c>
      <c r="AG1014" s="109">
        <v>0.0</v>
      </c>
      <c r="AH1014" s="109">
        <v>0.0</v>
      </c>
      <c r="AI1014" s="141">
        <v>0.0</v>
      </c>
      <c r="AJ1014" s="80">
        <f t="shared" si="3"/>
        <v>0</v>
      </c>
      <c r="AK1014" s="140">
        <v>0.0</v>
      </c>
      <c r="AL1014" s="109">
        <v>0.0</v>
      </c>
      <c r="AM1014" s="141">
        <v>0.0</v>
      </c>
      <c r="AN1014" s="80">
        <f t="shared" si="4"/>
        <v>0</v>
      </c>
      <c r="AO1014" s="140">
        <v>0.0</v>
      </c>
      <c r="AP1014" s="109">
        <v>0.0</v>
      </c>
      <c r="AQ1014" s="109">
        <v>46.0</v>
      </c>
      <c r="AR1014" s="80">
        <f t="shared" si="5"/>
        <v>46</v>
      </c>
      <c r="AS1014" s="110">
        <v>0.0</v>
      </c>
      <c r="AT1014" s="110">
        <v>0.0</v>
      </c>
      <c r="AU1014" s="110">
        <v>0.0</v>
      </c>
      <c r="AV1014" s="142">
        <v>0.0</v>
      </c>
      <c r="AW1014" s="80">
        <f t="shared" si="6"/>
        <v>0</v>
      </c>
      <c r="AX1014" s="113">
        <f t="shared" si="7"/>
        <v>46</v>
      </c>
      <c r="AY1014" s="117">
        <f t="shared" si="8"/>
        <v>0</v>
      </c>
      <c r="AZ1014" s="120">
        <f t="shared" si="9"/>
        <v>46</v>
      </c>
      <c r="BA1014" s="115">
        <v>0.0</v>
      </c>
      <c r="BB1014" s="89">
        <f t="shared" si="10"/>
        <v>46</v>
      </c>
      <c r="BC1014" s="132" t="s">
        <v>265</v>
      </c>
      <c r="BD1014" s="132" t="s">
        <v>178</v>
      </c>
      <c r="BE1014" s="132" t="s">
        <v>178</v>
      </c>
      <c r="BF1014" s="123"/>
      <c r="BG1014" s="83">
        <v>1178463.0</v>
      </c>
      <c r="BH1014" s="144"/>
      <c r="BI1014" s="112">
        <v>5.0</v>
      </c>
      <c r="BJ1014" s="98" t="s">
        <v>155</v>
      </c>
      <c r="BK1014" s="99">
        <f t="shared" si="11"/>
        <v>0</v>
      </c>
      <c r="BL1014" s="99">
        <f t="shared" si="12"/>
        <v>0</v>
      </c>
      <c r="BM1014" s="99" t="str">
        <f>IFERROR(__xludf.DUMMYFUNCTION("IFERROR(VLOOKUP(BG1014,IMPORTRANGE(""https://docs.google.com/spreadsheets/d/1juPI-Fb8LD0YtltB2mlGEnp_R3UVu1t3wSFPzgCyHXE/edit?gid=0#gid=0"",""GERAL!A2:C""),3,0),""-"")"),"QUILOMBOLAS")</f>
        <v>QUILOMBOLAS</v>
      </c>
    </row>
    <row r="1015" ht="15.75" customHeight="1">
      <c r="A1015" s="111" t="s">
        <v>1281</v>
      </c>
      <c r="B1015" s="83" t="s">
        <v>5447</v>
      </c>
      <c r="C1015" s="83" t="s">
        <v>68</v>
      </c>
      <c r="D1015" s="112">
        <v>1107749.0</v>
      </c>
      <c r="E1015" s="83"/>
      <c r="F1015" s="83">
        <v>2.9151554E7</v>
      </c>
      <c r="G1015" s="153" t="s">
        <v>5448</v>
      </c>
      <c r="H1015" s="108" t="s">
        <v>5449</v>
      </c>
      <c r="I1015" s="83" t="s">
        <v>149</v>
      </c>
      <c r="J1015" s="83" t="s">
        <v>150</v>
      </c>
      <c r="K1015" s="83" t="s">
        <v>151</v>
      </c>
      <c r="L1015" s="83" t="s">
        <v>230</v>
      </c>
      <c r="M1015" s="82" t="str">
        <f>IFERROR(__xludf.DUMMYFUNCTION("IFERROR(VLOOKUP(D1015,
IMPORTRANGE(""https://docs.google.com/spreadsheets/d/1MjHtlUikwobi2MaWJgy7tfLeBmhj1u-dRFRs_8GwSoA/edit#gid=0"",""Gestores Escolares!D7:J""),3,0),""VERIFICAR CÓD SEC"")"),"CLÉA DANTAS GOUVEIA")</f>
        <v>CLÉA DANTAS GOUVEIA</v>
      </c>
      <c r="N1015" s="82" t="str">
        <f>IFERROR(__xludf.DUMMYFUNCTION("IFERROR(VLOOKUP(D1015,
IMPORTRANGE(""https://docs.google.com/spreadsheets/d/1MjHtlUikwobi2MaWJgy7tfLeBmhj1u-dRFRs_8GwSoA/edit#gid=0"",""Gestores Escolares!D7:J""),4,0),""VERIFICAR CÓD SEC"")"),"(75) 9 9900-8466")</f>
        <v>(75) 9 9900-8466</v>
      </c>
      <c r="O1015" s="82" t="str">
        <f>IFERROR(__xludf.DUMMYFUNCTION("IFERROR(VLOOKUP(D1015,
IMPORTRANGE(""https://docs.google.com/spreadsheets/d/1MjHtlUikwobi2MaWJgy7tfLeBmhj1u-dRFRs_8GwSoA/edit#gid=0"",""Gestores Escolares!D7:J""),6,0),""VERIFICAR CÓD SEC"")"),"JANE EUGENIA DA SILVA NEGREIROS")</f>
        <v>JANE EUGENIA DA SILVA NEGREIROS</v>
      </c>
      <c r="P1015" s="82" t="str">
        <f>IFERROR(__xludf.DUMMYFUNCTION("IFERROR(VLOOKUP(D1015,
IMPORTRANGE(""https://docs.google.com/spreadsheets/d/1MjHtlUikwobi2MaWJgy7tfLeBmhj1u-dRFRs_8GwSoA/edit#gid=0"",""Gestores Escolares!D7:J""),7,0),""VERIFICAR CÓD SEC"")"),"(75) 9 9809-8989")</f>
        <v>(75) 9 9809-8989</v>
      </c>
      <c r="Q1015" s="82" t="str">
        <f>IFERROR(__xludf.DUMMYFUNCTION("IFERROR(VLOOKUP(D1015,
IMPORTRANGE(""https://docs.google.com/spreadsheets/d/1MjHtlUikwobi2MaWJgy7tfLeBmhj1u-dRFRs_8GwSoA/edit#gid=0"",""Gestores Escolares!D7:m""),9,0),""VERIFICAR CÓD SEC"")")," JAMILE PRISCILA ESCOBAR BASTOS")</f>
        <v> JAMILE PRISCILA ESCOBAR BASTOS</v>
      </c>
      <c r="R1015" s="82" t="str">
        <f>IFERROR(__xludf.DUMMYFUNCTION("IFERROR(VLOOKUP(D1015,
IMPORTRANGE(""https://docs.google.com/spreadsheets/d/1MjHtlUikwobi2MaWJgy7tfLeBmhj1u-dRFRs_8GwSoA/edit#gid=0"",""Gestores Escolares!D7:m""),10,0),""VERIFICAR CÓD SEC"")"),"(75) 9 9849-2498")</f>
        <v>(75) 9 9849-2498</v>
      </c>
      <c r="S1015" s="82"/>
      <c r="T1015" s="138">
        <v>5.0</v>
      </c>
      <c r="U1015" s="388">
        <v>12.0</v>
      </c>
      <c r="V1015" s="106">
        <v>0.0</v>
      </c>
      <c r="W1015" s="107">
        <v>0.0</v>
      </c>
      <c r="X1015" s="107">
        <v>0.0</v>
      </c>
      <c r="Y1015" s="107">
        <v>0.0</v>
      </c>
      <c r="Z1015" s="80">
        <f t="shared" si="1"/>
        <v>0</v>
      </c>
      <c r="AA1015" s="106">
        <v>0.0</v>
      </c>
      <c r="AB1015" s="107">
        <v>0.0</v>
      </c>
      <c r="AC1015" s="107">
        <v>0.0</v>
      </c>
      <c r="AD1015" s="107">
        <v>0.0</v>
      </c>
      <c r="AE1015" s="80">
        <f t="shared" si="2"/>
        <v>0</v>
      </c>
      <c r="AF1015" s="140">
        <v>0.0</v>
      </c>
      <c r="AG1015" s="109">
        <v>0.0</v>
      </c>
      <c r="AH1015" s="109">
        <v>0.0</v>
      </c>
      <c r="AI1015" s="141">
        <v>132.0</v>
      </c>
      <c r="AJ1015" s="80">
        <f t="shared" si="3"/>
        <v>132</v>
      </c>
      <c r="AK1015" s="140">
        <v>0.0</v>
      </c>
      <c r="AL1015" s="109">
        <v>0.0</v>
      </c>
      <c r="AM1015" s="141">
        <v>0.0</v>
      </c>
      <c r="AN1015" s="80">
        <f t="shared" si="4"/>
        <v>0</v>
      </c>
      <c r="AO1015" s="140">
        <v>0.0</v>
      </c>
      <c r="AP1015" s="109">
        <v>0.0</v>
      </c>
      <c r="AQ1015" s="109">
        <v>66.0</v>
      </c>
      <c r="AR1015" s="80">
        <f t="shared" si="5"/>
        <v>66</v>
      </c>
      <c r="AS1015" s="110">
        <v>0.0</v>
      </c>
      <c r="AT1015" s="110">
        <v>60.0</v>
      </c>
      <c r="AU1015" s="110">
        <v>0.0</v>
      </c>
      <c r="AV1015" s="142">
        <v>33.0</v>
      </c>
      <c r="AW1015" s="80">
        <f t="shared" si="6"/>
        <v>93</v>
      </c>
      <c r="AX1015" s="113">
        <f t="shared" si="7"/>
        <v>291</v>
      </c>
      <c r="AY1015" s="117">
        <f t="shared" si="8"/>
        <v>225</v>
      </c>
      <c r="AZ1015" s="120">
        <f t="shared" si="9"/>
        <v>66</v>
      </c>
      <c r="BA1015" s="115">
        <v>0.0</v>
      </c>
      <c r="BB1015" s="89">
        <f t="shared" si="10"/>
        <v>291</v>
      </c>
      <c r="BC1015" s="132" t="s">
        <v>178</v>
      </c>
      <c r="BD1015" s="132" t="s">
        <v>178</v>
      </c>
      <c r="BE1015" s="132" t="s">
        <v>178</v>
      </c>
      <c r="BF1015" s="123"/>
      <c r="BG1015" s="83">
        <v>1107749.0</v>
      </c>
      <c r="BH1015" s="98" t="s">
        <v>5450</v>
      </c>
      <c r="BI1015" s="112">
        <v>12.0</v>
      </c>
      <c r="BJ1015" s="98" t="s">
        <v>162</v>
      </c>
      <c r="BK1015" s="99">
        <f t="shared" si="11"/>
        <v>165</v>
      </c>
      <c r="BL1015" s="99">
        <f t="shared" si="12"/>
        <v>60</v>
      </c>
      <c r="BM1015" s="99" t="str">
        <f>IFERROR(__xludf.DUMMYFUNCTION("IFERROR(VLOOKUP(BG1015,IMPORTRANGE(""https://docs.google.com/spreadsheets/d/1juPI-Fb8LD0YtltB2mlGEnp_R3UVu1t3wSFPzgCyHXE/edit?gid=0#gid=0"",""GERAL!A2:C""),3,0),""-"")"),"-")</f>
        <v>-</v>
      </c>
    </row>
    <row r="1016" ht="15.75" customHeight="1">
      <c r="A1016" s="111" t="s">
        <v>1281</v>
      </c>
      <c r="B1016" s="83" t="s">
        <v>5447</v>
      </c>
      <c r="C1016" s="83" t="s">
        <v>68</v>
      </c>
      <c r="D1016" s="112">
        <v>1107730.0</v>
      </c>
      <c r="E1016" s="83"/>
      <c r="F1016" s="83">
        <v>2.9151651E7</v>
      </c>
      <c r="G1016" s="220" t="s">
        <v>5456</v>
      </c>
      <c r="H1016" s="91" t="s">
        <v>5457</v>
      </c>
      <c r="I1016" s="136" t="s">
        <v>5458</v>
      </c>
      <c r="J1016" s="83" t="s">
        <v>240</v>
      </c>
      <c r="K1016" s="83" t="s">
        <v>151</v>
      </c>
      <c r="L1016" s="83" t="s">
        <v>230</v>
      </c>
      <c r="M1016" s="82" t="str">
        <f>IFERROR(__xludf.DUMMYFUNCTION("IFERROR(VLOOKUP(D1016,
IMPORTRANGE(""https://docs.google.com/spreadsheets/d/1MjHtlUikwobi2MaWJgy7tfLeBmhj1u-dRFRs_8GwSoA/edit#gid=0"",""Gestores Escolares!D7:J""),3,0),""VERIFICAR CÓD SEC"")"),"JOSAIR MOURA OLIVEIRA")</f>
        <v>JOSAIR MOURA OLIVEIRA</v>
      </c>
      <c r="N1016" s="82" t="str">
        <f>IFERROR(__xludf.DUMMYFUNCTION("IFERROR(VLOOKUP(D1016,
IMPORTRANGE(""https://docs.google.com/spreadsheets/d/1MjHtlUikwobi2MaWJgy7tfLeBmhj1u-dRFRs_8GwSoA/edit#gid=0"",""Gestores Escolares!D7:J""),4,0),""VERIFICAR CÓD SEC"")"),"(75) 9 9953-2815")</f>
        <v>(75) 9 9953-2815</v>
      </c>
      <c r="O1016" s="82" t="str">
        <f>IFERROR(__xludf.DUMMYFUNCTION("IFERROR(VLOOKUP(D1016,
IMPORTRANGE(""https://docs.google.com/spreadsheets/d/1MjHtlUikwobi2MaWJgy7tfLeBmhj1u-dRFRs_8GwSoA/edit#gid=0"",""Gestores Escolares!D7:J""),6,0),""VERIFICAR CÓD SEC"")"),"SONIA MARIA LIMA")</f>
        <v>SONIA MARIA LIMA</v>
      </c>
      <c r="P1016" s="82" t="str">
        <f>IFERROR(__xludf.DUMMYFUNCTION("IFERROR(VLOOKUP(D1016,
IMPORTRANGE(""https://docs.google.com/spreadsheets/d/1MjHtlUikwobi2MaWJgy7tfLeBmhj1u-dRFRs_8GwSoA/edit#gid=0"",""Gestores Escolares!D7:J""),7,0),""VERIFICAR CÓD SEC"")"),"(75) 9 9891 - 2084")</f>
        <v>(75) 9 9891 - 2084</v>
      </c>
      <c r="Q1016" s="82" t="str">
        <f>IFERROR(__xludf.DUMMYFUNCTION("IFERROR(VLOOKUP(D1016,
IMPORTRANGE(""https://docs.google.com/spreadsheets/d/1MjHtlUikwobi2MaWJgy7tfLeBmhj1u-dRFRs_8GwSoA/edit#gid=0"",""Gestores Escolares!D7:m""),9,0),""VERIFICAR CÓD SEC"")"),"ANIELLE ANDRADE DE SOUSA")</f>
        <v>ANIELLE ANDRADE DE SOUSA</v>
      </c>
      <c r="R1016" s="82" t="str">
        <f>IFERROR(__xludf.DUMMYFUNCTION("IFERROR(VLOOKUP(D1016,
IMPORTRANGE(""https://docs.google.com/spreadsheets/d/1MjHtlUikwobi2MaWJgy7tfLeBmhj1u-dRFRs_8GwSoA/edit#gid=0"",""Gestores Escolares!D7:m""),10,0),""VERIFICAR CÓD SEC"")"),"(75) 9 9232-3121")</f>
        <v>(75) 9 9232-3121</v>
      </c>
      <c r="S1016" s="82"/>
      <c r="T1016" s="138">
        <v>12.0</v>
      </c>
      <c r="U1016" s="416">
        <v>12.0</v>
      </c>
      <c r="V1016" s="106">
        <v>0.0</v>
      </c>
      <c r="W1016" s="107">
        <v>0.0</v>
      </c>
      <c r="X1016" s="107">
        <v>0.0</v>
      </c>
      <c r="Y1016" s="107">
        <v>0.0</v>
      </c>
      <c r="Z1016" s="80">
        <f t="shared" si="1"/>
        <v>0</v>
      </c>
      <c r="AA1016" s="106">
        <v>0.0</v>
      </c>
      <c r="AB1016" s="107">
        <v>0.0</v>
      </c>
      <c r="AC1016" s="107">
        <v>0.0</v>
      </c>
      <c r="AD1016" s="107">
        <v>0.0</v>
      </c>
      <c r="AE1016" s="80">
        <f t="shared" si="2"/>
        <v>0</v>
      </c>
      <c r="AF1016" s="140">
        <v>25.0</v>
      </c>
      <c r="AG1016" s="109">
        <v>0.0</v>
      </c>
      <c r="AH1016" s="109">
        <v>0.0</v>
      </c>
      <c r="AI1016" s="141">
        <v>225.0</v>
      </c>
      <c r="AJ1016" s="80">
        <f t="shared" si="3"/>
        <v>250</v>
      </c>
      <c r="AK1016" s="140">
        <v>0.0</v>
      </c>
      <c r="AL1016" s="109">
        <v>0.0</v>
      </c>
      <c r="AM1016" s="141">
        <v>0.0</v>
      </c>
      <c r="AN1016" s="80">
        <f t="shared" si="4"/>
        <v>0</v>
      </c>
      <c r="AO1016" s="140">
        <v>0.0</v>
      </c>
      <c r="AP1016" s="109">
        <v>0.0</v>
      </c>
      <c r="AQ1016" s="109">
        <v>103.0</v>
      </c>
      <c r="AR1016" s="80">
        <f t="shared" si="5"/>
        <v>103</v>
      </c>
      <c r="AS1016" s="110">
        <v>0.0</v>
      </c>
      <c r="AT1016" s="110">
        <v>0.0</v>
      </c>
      <c r="AU1016" s="110">
        <v>0.0</v>
      </c>
      <c r="AV1016" s="142">
        <v>33.0</v>
      </c>
      <c r="AW1016" s="80">
        <f t="shared" si="6"/>
        <v>33</v>
      </c>
      <c r="AX1016" s="113">
        <f t="shared" si="7"/>
        <v>386</v>
      </c>
      <c r="AY1016" s="117">
        <f t="shared" si="8"/>
        <v>283</v>
      </c>
      <c r="AZ1016" s="120">
        <f t="shared" si="9"/>
        <v>103</v>
      </c>
      <c r="BA1016" s="115">
        <v>0.0</v>
      </c>
      <c r="BB1016" s="89">
        <f t="shared" si="10"/>
        <v>386</v>
      </c>
      <c r="BC1016" s="132" t="s">
        <v>373</v>
      </c>
      <c r="BD1016" s="132" t="s">
        <v>178</v>
      </c>
      <c r="BE1016" s="132" t="s">
        <v>178</v>
      </c>
      <c r="BF1016" s="123"/>
      <c r="BG1016" s="83">
        <v>1107730.0</v>
      </c>
      <c r="BH1016" s="98" t="s">
        <v>13776</v>
      </c>
      <c r="BI1016" s="112">
        <v>12.0</v>
      </c>
      <c r="BJ1016" s="98" t="s">
        <v>162</v>
      </c>
      <c r="BK1016" s="99">
        <f t="shared" si="11"/>
        <v>258</v>
      </c>
      <c r="BL1016" s="99">
        <f t="shared" si="12"/>
        <v>25</v>
      </c>
      <c r="BM1016" s="99" t="str">
        <f>IFERROR(__xludf.DUMMYFUNCTION("IFERROR(VLOOKUP(BG1016,IMPORTRANGE(""https://docs.google.com/spreadsheets/d/1juPI-Fb8LD0YtltB2mlGEnp_R3UVu1t3wSFPzgCyHXE/edit?gid=0#gid=0"",""GERAL!A2:C""),3,0),""-"")"),"CAMPO")</f>
        <v>CAMPO</v>
      </c>
    </row>
    <row r="1017" ht="72.75" customHeight="1">
      <c r="A1017" s="111" t="s">
        <v>1281</v>
      </c>
      <c r="B1017" s="172" t="s">
        <v>5044</v>
      </c>
      <c r="C1017" s="83" t="s">
        <v>68</v>
      </c>
      <c r="D1017" s="112">
        <v>1179312.0</v>
      </c>
      <c r="E1017" s="83"/>
      <c r="F1017" s="83">
        <v>2.9461464E7</v>
      </c>
      <c r="G1017" s="220" t="s">
        <v>5461</v>
      </c>
      <c r="H1017" s="91" t="s">
        <v>5462</v>
      </c>
      <c r="I1017" s="83" t="s">
        <v>149</v>
      </c>
      <c r="J1017" s="83" t="s">
        <v>150</v>
      </c>
      <c r="K1017" s="83" t="s">
        <v>151</v>
      </c>
      <c r="L1017" s="83" t="s">
        <v>230</v>
      </c>
      <c r="M1017" s="82" t="str">
        <f>IFERROR(__xludf.DUMMYFUNCTION("IFERROR(VLOOKUP(D1017,
IMPORTRANGE(""https://docs.google.com/spreadsheets/d/1MjHtlUikwobi2MaWJgy7tfLeBmhj1u-dRFRs_8GwSoA/edit#gid=0"",""Gestores Escolares!D7:J""),3,0),""VERIFICAR CÓD SEC"")"),"NIVEA BISPO DE SANTANA")</f>
        <v>NIVEA BISPO DE SANTANA</v>
      </c>
      <c r="N1017" s="82" t="str">
        <f>IFERROR(__xludf.DUMMYFUNCTION("IFERROR(VLOOKUP(D1017,
IMPORTRANGE(""https://docs.google.com/spreadsheets/d/1MjHtlUikwobi2MaWJgy7tfLeBmhj1u-dRFRs_8GwSoA/edit#gid=0"",""Gestores Escolares!D7:J""),4,0),""VERIFICAR CÓD SEC"")"),"(75) 9 9944 - 5629")</f>
        <v>(75) 9 9944 - 5629</v>
      </c>
      <c r="O1017" s="82" t="str">
        <f>IFERROR(__xludf.DUMMYFUNCTION("IFERROR(VLOOKUP(D1017,
IMPORTRANGE(""https://docs.google.com/spreadsheets/d/1MjHtlUikwobi2MaWJgy7tfLeBmhj1u-dRFRs_8GwSoA/edit#gid=0"",""Gestores Escolares!D7:J""),6,0),""VERIFICAR CÓD SEC"")"),"ADRIANA CARDOSO DOS SANTOS")</f>
        <v>ADRIANA CARDOSO DOS SANTOS</v>
      </c>
      <c r="P1017" s="82" t="str">
        <f>IFERROR(__xludf.DUMMYFUNCTION("IFERROR(VLOOKUP(D1017,
IMPORTRANGE(""https://docs.google.com/spreadsheets/d/1MjHtlUikwobi2MaWJgy7tfLeBmhj1u-dRFRs_8GwSoA/edit#gid=0"",""Gestores Escolares!D7:J""),7,0),""VERIFICAR CÓD SEC"")"),"(75) 9 9819-1563")</f>
        <v>(75) 9 9819-1563</v>
      </c>
      <c r="Q1017" s="82" t="str">
        <f>IFERROR(__xludf.DUMMYFUNCTION("IFERROR(VLOOKUP(D1017,
IMPORTRANGE(""https://docs.google.com/spreadsheets/d/1MjHtlUikwobi2MaWJgy7tfLeBmhj1u-dRFRs_8GwSoA/edit#gid=0"",""Gestores Escolares!D7:m""),9,0),""VERIFICAR CÓD SEC"")"),"")</f>
        <v/>
      </c>
      <c r="R1017" s="82" t="str">
        <f>IFERROR(__xludf.DUMMYFUNCTION("IFERROR(VLOOKUP(D1017,
IMPORTRANGE(""https://docs.google.com/spreadsheets/d/1MjHtlUikwobi2MaWJgy7tfLeBmhj1u-dRFRs_8GwSoA/edit#gid=0"",""Gestores Escolares!D7:m""),10,0),""VERIFICAR CÓD SEC"")"),"")</f>
        <v/>
      </c>
      <c r="S1017" s="82"/>
      <c r="T1017" s="138">
        <v>8.0</v>
      </c>
      <c r="U1017" s="388" t="s">
        <v>13786</v>
      </c>
      <c r="V1017" s="106">
        <v>0.0</v>
      </c>
      <c r="W1017" s="107">
        <v>0.0</v>
      </c>
      <c r="X1017" s="107">
        <v>0.0</v>
      </c>
      <c r="Y1017" s="107">
        <v>0.0</v>
      </c>
      <c r="Z1017" s="80">
        <f t="shared" si="1"/>
        <v>0</v>
      </c>
      <c r="AA1017" s="106">
        <v>0.0</v>
      </c>
      <c r="AB1017" s="107">
        <v>0.0</v>
      </c>
      <c r="AC1017" s="107">
        <v>0.0</v>
      </c>
      <c r="AD1017" s="107">
        <v>0.0</v>
      </c>
      <c r="AE1017" s="80">
        <f t="shared" si="2"/>
        <v>0</v>
      </c>
      <c r="AF1017" s="140">
        <v>0.0</v>
      </c>
      <c r="AG1017" s="109">
        <v>0.0</v>
      </c>
      <c r="AH1017" s="109">
        <v>0.0</v>
      </c>
      <c r="AI1017" s="141">
        <v>163.0</v>
      </c>
      <c r="AJ1017" s="80">
        <f t="shared" si="3"/>
        <v>163</v>
      </c>
      <c r="AK1017" s="140">
        <v>0.0</v>
      </c>
      <c r="AL1017" s="109">
        <v>0.0</v>
      </c>
      <c r="AM1017" s="141">
        <v>0.0</v>
      </c>
      <c r="AN1017" s="80">
        <f t="shared" si="4"/>
        <v>0</v>
      </c>
      <c r="AO1017" s="140">
        <v>0.0</v>
      </c>
      <c r="AP1017" s="109">
        <v>0.0</v>
      </c>
      <c r="AQ1017" s="109">
        <v>121.0</v>
      </c>
      <c r="AR1017" s="80">
        <f t="shared" si="5"/>
        <v>121</v>
      </c>
      <c r="AS1017" s="110">
        <v>103.0</v>
      </c>
      <c r="AT1017" s="110">
        <v>202.0</v>
      </c>
      <c r="AU1017" s="110">
        <v>0.0</v>
      </c>
      <c r="AV1017" s="142">
        <v>0.0</v>
      </c>
      <c r="AW1017" s="80">
        <f t="shared" si="6"/>
        <v>305</v>
      </c>
      <c r="AX1017" s="113">
        <f t="shared" si="7"/>
        <v>589</v>
      </c>
      <c r="AY1017" s="117">
        <f t="shared" si="8"/>
        <v>468</v>
      </c>
      <c r="AZ1017" s="120">
        <f t="shared" si="9"/>
        <v>121</v>
      </c>
      <c r="BA1017" s="115">
        <v>0.0</v>
      </c>
      <c r="BB1017" s="89">
        <f t="shared" si="10"/>
        <v>589</v>
      </c>
      <c r="BC1017" s="132" t="s">
        <v>178</v>
      </c>
      <c r="BD1017" s="132" t="s">
        <v>178</v>
      </c>
      <c r="BE1017" s="132" t="s">
        <v>178</v>
      </c>
      <c r="BF1017" s="83"/>
      <c r="BG1017" s="83">
        <v>1179312.0</v>
      </c>
      <c r="BH1017" s="98" t="s">
        <v>5463</v>
      </c>
      <c r="BI1017" s="112">
        <v>10.0</v>
      </c>
      <c r="BJ1017" s="98" t="s">
        <v>162</v>
      </c>
      <c r="BK1017" s="99">
        <f t="shared" si="11"/>
        <v>163</v>
      </c>
      <c r="BL1017" s="99">
        <f t="shared" si="12"/>
        <v>305</v>
      </c>
      <c r="BM1017" s="99" t="str">
        <f>IFERROR(__xludf.DUMMYFUNCTION("IFERROR(VLOOKUP(BG1017,IMPORTRANGE(""https://docs.google.com/spreadsheets/d/1juPI-Fb8LD0YtltB2mlGEnp_R3UVu1t3wSFPzgCyHXE/edit?gid=0#gid=0"",""GERAL!A2:C""),3,0),""-"")"),"-")</f>
        <v>-</v>
      </c>
    </row>
    <row r="1018" ht="15.75" customHeight="1">
      <c r="A1018" s="111" t="s">
        <v>1281</v>
      </c>
      <c r="B1018" s="83" t="s">
        <v>5464</v>
      </c>
      <c r="C1018" s="83" t="s">
        <v>68</v>
      </c>
      <c r="D1018" s="112">
        <v>1179439.0</v>
      </c>
      <c r="E1018" s="83"/>
      <c r="F1018" s="83">
        <v>2.94654E7</v>
      </c>
      <c r="G1018" s="153" t="s">
        <v>5465</v>
      </c>
      <c r="H1018" s="91" t="s">
        <v>5466</v>
      </c>
      <c r="I1018" s="83" t="s">
        <v>149</v>
      </c>
      <c r="J1018" s="83" t="s">
        <v>150</v>
      </c>
      <c r="K1018" s="83" t="s">
        <v>151</v>
      </c>
      <c r="L1018" s="83" t="s">
        <v>230</v>
      </c>
      <c r="M1018" s="82" t="str">
        <f>IFERROR(__xludf.DUMMYFUNCTION("IFERROR(VLOOKUP(D1018,
IMPORTRANGE(""https://docs.google.com/spreadsheets/d/1MjHtlUikwobi2MaWJgy7tfLeBmhj1u-dRFRs_8GwSoA/edit#gid=0"",""Gestores Escolares!D7:J""),3,0),""VERIFICAR CÓD SEC"")"),"DELSON JOSE SANTOS NETO")</f>
        <v>DELSON JOSE SANTOS NETO</v>
      </c>
      <c r="N1018" s="82" t="str">
        <f>IFERROR(__xludf.DUMMYFUNCTION("IFERROR(VLOOKUP(D1018,
IMPORTRANGE(""https://docs.google.com/spreadsheets/d/1MjHtlUikwobi2MaWJgy7tfLeBmhj1u-dRFRs_8GwSoA/edit#gid=0"",""Gestores Escolares!D7:J""),4,0),""VERIFICAR CÓD SEC"")"),"(75) 9 9174-5375")</f>
        <v>(75) 9 9174-5375</v>
      </c>
      <c r="O1018" s="82" t="str">
        <f>IFERROR(__xludf.DUMMYFUNCTION("IFERROR(VLOOKUP(D1018,
IMPORTRANGE(""https://docs.google.com/spreadsheets/d/1MjHtlUikwobi2MaWJgy7tfLeBmhj1u-dRFRs_8GwSoA/edit#gid=0"",""Gestores Escolares!D7:J""),6,0),""VERIFICAR CÓD SEC"")"),"PATRICIA LIMA SANTOS SILVA ")</f>
        <v>PATRICIA LIMA SANTOS SILVA </v>
      </c>
      <c r="P1018" s="82" t="str">
        <f>IFERROR(__xludf.DUMMYFUNCTION("IFERROR(VLOOKUP(D1018,
IMPORTRANGE(""https://docs.google.com/spreadsheets/d/1MjHtlUikwobi2MaWJgy7tfLeBmhj1u-dRFRs_8GwSoA/edit#gid=0"",""Gestores Escolares!D7:J""),7,0),""VERIFICAR CÓD SEC"")"),"(75) 9 9908-4324")</f>
        <v>(75) 9 9908-4324</v>
      </c>
      <c r="Q1018" s="82" t="str">
        <f>IFERROR(__xludf.DUMMYFUNCTION("IFERROR(VLOOKUP(D1018,
IMPORTRANGE(""https://docs.google.com/spreadsheets/d/1MjHtlUikwobi2MaWJgy7tfLeBmhj1u-dRFRs_8GwSoA/edit#gid=0"",""Gestores Escolares!D7:m""),9,0),""VERIFICAR CÓD SEC"")"),"JOCELIO DE OLIVEIRA SOBRINHO JUNIOR")</f>
        <v>JOCELIO DE OLIVEIRA SOBRINHO JUNIOR</v>
      </c>
      <c r="R1018" s="82" t="str">
        <f>IFERROR(__xludf.DUMMYFUNCTION("IFERROR(VLOOKUP(D1018,
IMPORTRANGE(""https://docs.google.com/spreadsheets/d/1MjHtlUikwobi2MaWJgy7tfLeBmhj1u-dRFRs_8GwSoA/edit#gid=0"",""Gestores Escolares!D7:m""),10,0),""VERIFICAR CÓD SEC"")")," (75) 9 9907-3016")</f>
        <v> (75) 9 9907-3016</v>
      </c>
      <c r="S1018" s="82"/>
      <c r="T1018" s="138">
        <v>11.0</v>
      </c>
      <c r="U1018" s="388">
        <v>10.0</v>
      </c>
      <c r="V1018" s="106">
        <v>0.0</v>
      </c>
      <c r="W1018" s="107">
        <v>0.0</v>
      </c>
      <c r="X1018" s="107">
        <v>0.0</v>
      </c>
      <c r="Y1018" s="107">
        <v>0.0</v>
      </c>
      <c r="Z1018" s="80">
        <f t="shared" si="1"/>
        <v>0</v>
      </c>
      <c r="AA1018" s="106">
        <v>0.0</v>
      </c>
      <c r="AB1018" s="107">
        <v>0.0</v>
      </c>
      <c r="AC1018" s="107">
        <v>0.0</v>
      </c>
      <c r="AD1018" s="107">
        <v>0.0</v>
      </c>
      <c r="AE1018" s="80">
        <f t="shared" si="2"/>
        <v>0</v>
      </c>
      <c r="AF1018" s="140">
        <v>0.0</v>
      </c>
      <c r="AG1018" s="109">
        <v>0.0</v>
      </c>
      <c r="AH1018" s="109">
        <v>0.0</v>
      </c>
      <c r="AI1018" s="141">
        <v>182.0</v>
      </c>
      <c r="AJ1018" s="80">
        <f t="shared" si="3"/>
        <v>182</v>
      </c>
      <c r="AK1018" s="140">
        <v>0.0</v>
      </c>
      <c r="AL1018" s="109">
        <v>0.0</v>
      </c>
      <c r="AM1018" s="141">
        <v>0.0</v>
      </c>
      <c r="AN1018" s="80">
        <f t="shared" si="4"/>
        <v>0</v>
      </c>
      <c r="AO1018" s="140">
        <v>0.0</v>
      </c>
      <c r="AP1018" s="109">
        <v>0.0</v>
      </c>
      <c r="AQ1018" s="109">
        <v>74.0</v>
      </c>
      <c r="AR1018" s="80">
        <f t="shared" si="5"/>
        <v>74</v>
      </c>
      <c r="AS1018" s="110">
        <v>0.0</v>
      </c>
      <c r="AT1018" s="110">
        <v>0.0</v>
      </c>
      <c r="AU1018" s="110">
        <v>165.0</v>
      </c>
      <c r="AV1018" s="142">
        <v>112.0</v>
      </c>
      <c r="AW1018" s="80">
        <f t="shared" si="6"/>
        <v>277</v>
      </c>
      <c r="AX1018" s="113">
        <f t="shared" si="7"/>
        <v>533</v>
      </c>
      <c r="AY1018" s="117">
        <f t="shared" si="8"/>
        <v>294</v>
      </c>
      <c r="AZ1018" s="120">
        <f t="shared" si="9"/>
        <v>239</v>
      </c>
      <c r="BA1018" s="115">
        <v>1.0</v>
      </c>
      <c r="BB1018" s="89">
        <f t="shared" si="10"/>
        <v>534</v>
      </c>
      <c r="BC1018" s="132" t="s">
        <v>178</v>
      </c>
      <c r="BD1018" s="132" t="s">
        <v>178</v>
      </c>
      <c r="BE1018" s="132" t="s">
        <v>178</v>
      </c>
      <c r="BF1018" s="156"/>
      <c r="BG1018" s="83">
        <v>1179439.0</v>
      </c>
      <c r="BH1018" s="98" t="s">
        <v>5467</v>
      </c>
      <c r="BI1018" s="112">
        <v>9.0</v>
      </c>
      <c r="BJ1018" s="98" t="s">
        <v>162</v>
      </c>
      <c r="BK1018" s="99">
        <f t="shared" si="11"/>
        <v>294</v>
      </c>
      <c r="BL1018" s="99">
        <f t="shared" si="12"/>
        <v>0</v>
      </c>
      <c r="BM1018" s="99" t="str">
        <f>IFERROR(__xludf.DUMMYFUNCTION("IFERROR(VLOOKUP(BG1018,IMPORTRANGE(""https://docs.google.com/spreadsheets/d/1juPI-Fb8LD0YtltB2mlGEnp_R3UVu1t3wSFPzgCyHXE/edit?gid=0#gid=0"",""GERAL!A2:C""),3,0),""-"")"),"-")</f>
        <v>-</v>
      </c>
    </row>
    <row r="1019" ht="15.75" customHeight="1">
      <c r="A1019" s="111" t="s">
        <v>1281</v>
      </c>
      <c r="B1019" s="83" t="s">
        <v>5476</v>
      </c>
      <c r="C1019" s="83" t="s">
        <v>68</v>
      </c>
      <c r="D1019" s="112">
        <v>1108656.0</v>
      </c>
      <c r="E1019" s="83"/>
      <c r="F1019" s="83">
        <v>2.9155401E7</v>
      </c>
      <c r="G1019" s="119" t="s">
        <v>5482</v>
      </c>
      <c r="H1019" s="91" t="s">
        <v>5484</v>
      </c>
      <c r="I1019" s="83" t="s">
        <v>149</v>
      </c>
      <c r="J1019" s="83" t="s">
        <v>150</v>
      </c>
      <c r="K1019" s="83" t="s">
        <v>151</v>
      </c>
      <c r="L1019" s="83" t="s">
        <v>152</v>
      </c>
      <c r="M1019" s="82" t="str">
        <f>IFERROR(__xludf.DUMMYFUNCTION("IFERROR(VLOOKUP(D1019,
IMPORTRANGE(""https://docs.google.com/spreadsheets/d/1MjHtlUikwobi2MaWJgy7tfLeBmhj1u-dRFRs_8GwSoA/edit#gid=0"",""Gestores Escolares!D7:J""),3,0),""VERIFICAR CÓD SEC"")"),"MATHEUS GOMES DA SILVA")</f>
        <v>MATHEUS GOMES DA SILVA</v>
      </c>
      <c r="N1019" s="82" t="str">
        <f>IFERROR(__xludf.DUMMYFUNCTION("IFERROR(VLOOKUP(D1019,
IMPORTRANGE(""https://docs.google.com/spreadsheets/d/1MjHtlUikwobi2MaWJgy7tfLeBmhj1u-dRFRs_8GwSoA/edit#gid=0"",""Gestores Escolares!D7:J""),4,0),""VERIFICAR CÓD SEC"")"),"(75) 9 8159-2607")</f>
        <v>(75) 9 8159-2607</v>
      </c>
      <c r="O1019" s="82" t="str">
        <f>IFERROR(__xludf.DUMMYFUNCTION("IFERROR(VLOOKUP(D1019,
IMPORTRANGE(""https://docs.google.com/spreadsheets/d/1MjHtlUikwobi2MaWJgy7tfLeBmhj1u-dRFRs_8GwSoA/edit#gid=0"",""Gestores Escolares!D7:J""),6,0),""VERIFICAR CÓD SEC"")"),"ANDREA LIMA DE ARGOLO")</f>
        <v>ANDREA LIMA DE ARGOLO</v>
      </c>
      <c r="P1019" s="82" t="str">
        <f>IFERROR(__xludf.DUMMYFUNCTION("IFERROR(VLOOKUP(D1019,
IMPORTRANGE(""https://docs.google.com/spreadsheets/d/1MjHtlUikwobi2MaWJgy7tfLeBmhj1u-dRFRs_8GwSoA/edit#gid=0"",""Gestores Escolares!D7:J""),7,0),""VERIFICAR CÓD SEC"")"),"(75) 9 9995-6829")</f>
        <v>(75) 9 9995-6829</v>
      </c>
      <c r="Q1019" s="82" t="str">
        <f>IFERROR(__xludf.DUMMYFUNCTION("IFERROR(VLOOKUP(D1019,
IMPORTRANGE(""https://docs.google.com/spreadsheets/d/1MjHtlUikwobi2MaWJgy7tfLeBmhj1u-dRFRs_8GwSoA/edit#gid=0"",""Gestores Escolares!D7:m""),9,0),""VERIFICAR CÓD SEC"")"),"")</f>
        <v/>
      </c>
      <c r="R1019" s="82" t="str">
        <f>IFERROR(__xludf.DUMMYFUNCTION("IFERROR(VLOOKUP(D1019,
IMPORTRANGE(""https://docs.google.com/spreadsheets/d/1MjHtlUikwobi2MaWJgy7tfLeBmhj1u-dRFRs_8GwSoA/edit#gid=0"",""Gestores Escolares!D7:m""),10,0),""VERIFICAR CÓD SEC"")"),"")</f>
        <v/>
      </c>
      <c r="S1019" s="82"/>
      <c r="T1019" s="138">
        <v>12.0</v>
      </c>
      <c r="U1019" s="388">
        <v>12.0</v>
      </c>
      <c r="V1019" s="106">
        <v>0.0</v>
      </c>
      <c r="W1019" s="107">
        <v>0.0</v>
      </c>
      <c r="X1019" s="107">
        <v>0.0</v>
      </c>
      <c r="Y1019" s="107">
        <v>0.0</v>
      </c>
      <c r="Z1019" s="80">
        <f t="shared" si="1"/>
        <v>0</v>
      </c>
      <c r="AA1019" s="106">
        <v>0.0</v>
      </c>
      <c r="AB1019" s="107">
        <v>0.0</v>
      </c>
      <c r="AC1019" s="107">
        <v>0.0</v>
      </c>
      <c r="AD1019" s="107">
        <v>0.0</v>
      </c>
      <c r="AE1019" s="80">
        <f t="shared" si="2"/>
        <v>0</v>
      </c>
      <c r="AF1019" s="140">
        <v>28.0</v>
      </c>
      <c r="AG1019" s="109">
        <v>0.0</v>
      </c>
      <c r="AH1019" s="109">
        <v>0.0</v>
      </c>
      <c r="AI1019" s="141">
        <v>147.0</v>
      </c>
      <c r="AJ1019" s="80">
        <f t="shared" si="3"/>
        <v>175</v>
      </c>
      <c r="AK1019" s="140">
        <v>0.0</v>
      </c>
      <c r="AL1019" s="109">
        <v>0.0</v>
      </c>
      <c r="AM1019" s="141">
        <v>0.0</v>
      </c>
      <c r="AN1019" s="80">
        <f t="shared" si="4"/>
        <v>0</v>
      </c>
      <c r="AO1019" s="140">
        <v>0.0</v>
      </c>
      <c r="AP1019" s="109">
        <v>0.0</v>
      </c>
      <c r="AQ1019" s="109">
        <v>146.0</v>
      </c>
      <c r="AR1019" s="80">
        <f t="shared" si="5"/>
        <v>146</v>
      </c>
      <c r="AS1019" s="110">
        <v>0.0</v>
      </c>
      <c r="AT1019" s="110">
        <v>0.0</v>
      </c>
      <c r="AU1019" s="110">
        <v>31.0</v>
      </c>
      <c r="AV1019" s="142">
        <v>174.0</v>
      </c>
      <c r="AW1019" s="80">
        <f t="shared" si="6"/>
        <v>205</v>
      </c>
      <c r="AX1019" s="113">
        <f t="shared" si="7"/>
        <v>526</v>
      </c>
      <c r="AY1019" s="117">
        <f t="shared" si="8"/>
        <v>349</v>
      </c>
      <c r="AZ1019" s="120">
        <f t="shared" si="9"/>
        <v>177</v>
      </c>
      <c r="BA1019" s="115">
        <v>0.0</v>
      </c>
      <c r="BB1019" s="89">
        <f t="shared" si="10"/>
        <v>526</v>
      </c>
      <c r="BC1019" s="132" t="s">
        <v>178</v>
      </c>
      <c r="BD1019" s="132" t="s">
        <v>178</v>
      </c>
      <c r="BE1019" s="132" t="s">
        <v>178</v>
      </c>
      <c r="BF1019" s="123"/>
      <c r="BG1019" s="83">
        <v>1108656.0</v>
      </c>
      <c r="BH1019" s="112"/>
      <c r="BI1019" s="112">
        <v>8.0</v>
      </c>
      <c r="BJ1019" s="98" t="s">
        <v>155</v>
      </c>
      <c r="BK1019" s="99">
        <f t="shared" si="11"/>
        <v>321</v>
      </c>
      <c r="BL1019" s="99">
        <f t="shared" si="12"/>
        <v>28</v>
      </c>
      <c r="BM1019" s="99" t="str">
        <f>IFERROR(__xludf.DUMMYFUNCTION("IFERROR(VLOOKUP(BG1019,IMPORTRANGE(""https://docs.google.com/spreadsheets/d/1juPI-Fb8LD0YtltB2mlGEnp_R3UVu1t3wSFPzgCyHXE/edit?gid=0#gid=0"",""GERAL!A2:C""),3,0),""-"")"),"CAMPO")</f>
        <v>CAMPO</v>
      </c>
    </row>
    <row r="1020" ht="15.75" customHeight="1">
      <c r="A1020" s="111" t="s">
        <v>1281</v>
      </c>
      <c r="B1020" s="83" t="s">
        <v>2307</v>
      </c>
      <c r="C1020" s="83" t="s">
        <v>68</v>
      </c>
      <c r="D1020" s="112">
        <v>1108729.0</v>
      </c>
      <c r="E1020" s="83"/>
      <c r="F1020" s="83">
        <v>2.915885E7</v>
      </c>
      <c r="G1020" s="289" t="s">
        <v>5491</v>
      </c>
      <c r="H1020" s="91" t="s">
        <v>5492</v>
      </c>
      <c r="I1020" s="136" t="s">
        <v>149</v>
      </c>
      <c r="J1020" s="83" t="s">
        <v>2642</v>
      </c>
      <c r="K1020" s="83" t="s">
        <v>151</v>
      </c>
      <c r="L1020" s="83" t="s">
        <v>169</v>
      </c>
      <c r="M1020" s="82" t="str">
        <f>IFERROR(__xludf.DUMMYFUNCTION("IFERROR(VLOOKUP(D1020,
IMPORTRANGE(""https://docs.google.com/spreadsheets/d/1MjHtlUikwobi2MaWJgy7tfLeBmhj1u-dRFRs_8GwSoA/edit#gid=0"",""Gestores Escolares!D7:J""),3,0),""VERIFICAR CÓD SEC"")"),"GILBERTO DE MELO FILHO")</f>
        <v>GILBERTO DE MELO FILHO</v>
      </c>
      <c r="N1020" s="82" t="str">
        <f>IFERROR(__xludf.DUMMYFUNCTION("IFERROR(VLOOKUP(D1020,
IMPORTRANGE(""https://docs.google.com/spreadsheets/d/1MjHtlUikwobi2MaWJgy7tfLeBmhj1u-dRFRs_8GwSoA/edit#gid=0"",""Gestores Escolares!D7:J""),4,0),""VERIFICAR CÓD SEC"")"),"(71) 9 9906-5029")</f>
        <v>(71) 9 9906-5029</v>
      </c>
      <c r="O1020" s="82" t="str">
        <f>IFERROR(__xludf.DUMMYFUNCTION("IFERROR(VLOOKUP(D1020,
IMPORTRANGE(""https://docs.google.com/spreadsheets/d/1MjHtlUikwobi2MaWJgy7tfLeBmhj1u-dRFRs_8GwSoA/edit#gid=0"",""Gestores Escolares!D7:J""),6,0),""VERIFICAR CÓD SEC"")"),"TELMA SANTOS NUNES")</f>
        <v>TELMA SANTOS NUNES</v>
      </c>
      <c r="P1020" s="82" t="str">
        <f>IFERROR(__xludf.DUMMYFUNCTION("IFERROR(VLOOKUP(D1020,
IMPORTRANGE(""https://docs.google.com/spreadsheets/d/1MjHtlUikwobi2MaWJgy7tfLeBmhj1u-dRFRs_8GwSoA/edit#gid=0"",""Gestores Escolares!D7:J""),7,0),""VERIFICAR CÓD SEC"")"),"(75) 9 9983-3632")</f>
        <v>(75) 9 9983-3632</v>
      </c>
      <c r="Q1020" s="82" t="str">
        <f>IFERROR(__xludf.DUMMYFUNCTION("IFERROR(VLOOKUP(D1020,
IMPORTRANGE(""https://docs.google.com/spreadsheets/d/1MjHtlUikwobi2MaWJgy7tfLeBmhj1u-dRFRs_8GwSoA/edit#gid=0"",""Gestores Escolares!D7:m""),9,0),""VERIFICAR CÓD SEC"")"),"")</f>
        <v/>
      </c>
      <c r="R1020" s="82" t="str">
        <f>IFERROR(__xludf.DUMMYFUNCTION("IFERROR(VLOOKUP(D1020,
IMPORTRANGE(""https://docs.google.com/spreadsheets/d/1MjHtlUikwobi2MaWJgy7tfLeBmhj1u-dRFRs_8GwSoA/edit#gid=0"",""Gestores Escolares!D7:m""),10,0),""VERIFICAR CÓD SEC"")"),"")</f>
        <v/>
      </c>
      <c r="S1020" s="82"/>
      <c r="T1020" s="138">
        <v>6.0</v>
      </c>
      <c r="U1020" s="388" t="s">
        <v>13798</v>
      </c>
      <c r="V1020" s="106">
        <v>0.0</v>
      </c>
      <c r="W1020" s="107">
        <v>0.0</v>
      </c>
      <c r="X1020" s="107">
        <v>0.0</v>
      </c>
      <c r="Y1020" s="107">
        <v>0.0</v>
      </c>
      <c r="Z1020" s="80">
        <f t="shared" si="1"/>
        <v>0</v>
      </c>
      <c r="AA1020" s="106">
        <v>0.0</v>
      </c>
      <c r="AB1020" s="107">
        <v>0.0</v>
      </c>
      <c r="AC1020" s="107">
        <v>0.0</v>
      </c>
      <c r="AD1020" s="107">
        <v>0.0</v>
      </c>
      <c r="AE1020" s="80">
        <f t="shared" si="2"/>
        <v>0</v>
      </c>
      <c r="AF1020" s="140">
        <v>0.0</v>
      </c>
      <c r="AG1020" s="109">
        <v>0.0</v>
      </c>
      <c r="AH1020" s="109">
        <v>0.0</v>
      </c>
      <c r="AI1020" s="141">
        <v>64.0</v>
      </c>
      <c r="AJ1020" s="80">
        <f t="shared" si="3"/>
        <v>64</v>
      </c>
      <c r="AK1020" s="140">
        <v>0.0</v>
      </c>
      <c r="AL1020" s="109">
        <v>0.0</v>
      </c>
      <c r="AM1020" s="141">
        <v>0.0</v>
      </c>
      <c r="AN1020" s="80">
        <f t="shared" si="4"/>
        <v>0</v>
      </c>
      <c r="AO1020" s="140">
        <v>0.0</v>
      </c>
      <c r="AP1020" s="109">
        <v>0.0</v>
      </c>
      <c r="AQ1020" s="109">
        <v>64.0</v>
      </c>
      <c r="AR1020" s="80">
        <f t="shared" si="5"/>
        <v>64</v>
      </c>
      <c r="AS1020" s="110">
        <v>0.0</v>
      </c>
      <c r="AT1020" s="110">
        <v>0.0</v>
      </c>
      <c r="AU1020" s="110">
        <v>51.0</v>
      </c>
      <c r="AV1020" s="142">
        <v>0.0</v>
      </c>
      <c r="AW1020" s="80">
        <f t="shared" si="6"/>
        <v>51</v>
      </c>
      <c r="AX1020" s="113">
        <f t="shared" si="7"/>
        <v>179</v>
      </c>
      <c r="AY1020" s="117">
        <f t="shared" si="8"/>
        <v>64</v>
      </c>
      <c r="AZ1020" s="120">
        <f t="shared" si="9"/>
        <v>115</v>
      </c>
      <c r="BA1020" s="115">
        <v>0.0</v>
      </c>
      <c r="BB1020" s="89">
        <f t="shared" si="10"/>
        <v>179</v>
      </c>
      <c r="BC1020" s="132" t="s">
        <v>373</v>
      </c>
      <c r="BD1020" s="132" t="s">
        <v>178</v>
      </c>
      <c r="BE1020" s="132" t="s">
        <v>178</v>
      </c>
      <c r="BF1020" s="123"/>
      <c r="BG1020" s="83">
        <v>1108729.0</v>
      </c>
      <c r="BH1020" s="112"/>
      <c r="BI1020" s="112">
        <v>4.0</v>
      </c>
      <c r="BJ1020" s="98" t="s">
        <v>155</v>
      </c>
      <c r="BK1020" s="99">
        <f t="shared" si="11"/>
        <v>64</v>
      </c>
      <c r="BL1020" s="99">
        <f t="shared" si="12"/>
        <v>0</v>
      </c>
      <c r="BM1020" s="99" t="str">
        <f>IFERROR(__xludf.DUMMYFUNCTION("IFERROR(VLOOKUP(BG1020,IMPORTRANGE(""https://docs.google.com/spreadsheets/d/1juPI-Fb8LD0YtltB2mlGEnp_R3UVu1t3wSFPzgCyHXE/edit?gid=0#gid=0"",""GERAL!A2:C""),3,0),""-"")"),"CAMPO")</f>
        <v>CAMPO</v>
      </c>
    </row>
    <row r="1021" ht="15.75" customHeight="1">
      <c r="A1021" s="111" t="s">
        <v>1281</v>
      </c>
      <c r="B1021" s="83" t="s">
        <v>2307</v>
      </c>
      <c r="C1021" s="83" t="s">
        <v>68</v>
      </c>
      <c r="D1021" s="112">
        <v>1108591.0</v>
      </c>
      <c r="E1021" s="83"/>
      <c r="F1021" s="83">
        <v>2.9158893E7</v>
      </c>
      <c r="G1021" s="119" t="s">
        <v>5501</v>
      </c>
      <c r="H1021" s="91" t="s">
        <v>5502</v>
      </c>
      <c r="I1021" s="83" t="s">
        <v>5503</v>
      </c>
      <c r="J1021" s="83" t="s">
        <v>150</v>
      </c>
      <c r="K1021" s="83" t="s">
        <v>151</v>
      </c>
      <c r="L1021" s="98" t="s">
        <v>152</v>
      </c>
      <c r="M1021" s="82" t="str">
        <f>IFERROR(__xludf.DUMMYFUNCTION("IFERROR(VLOOKUP(D1021,
IMPORTRANGE(""https://docs.google.com/spreadsheets/d/1MjHtlUikwobi2MaWJgy7tfLeBmhj1u-dRFRs_8GwSoA/edit#gid=0"",""Gestores Escolares!D7:J""),3,0),""VERIFICAR CÓD SEC"")"),"APOENA JULIO DA SILVA ARAUJO")</f>
        <v>APOENA JULIO DA SILVA ARAUJO</v>
      </c>
      <c r="N1021" s="82" t="str">
        <f>IFERROR(__xludf.DUMMYFUNCTION("IFERROR(VLOOKUP(D1021,
IMPORTRANGE(""https://docs.google.com/spreadsheets/d/1MjHtlUikwobi2MaWJgy7tfLeBmhj1u-dRFRs_8GwSoA/edit#gid=0"",""Gestores Escolares!D7:J""),4,0),""VERIFICAR CÓD SEC"")"),"(71) 9 9961-6652
")</f>
        <v>(71) 9 9961-6652
</v>
      </c>
      <c r="O1021" s="82" t="str">
        <f>IFERROR(__xludf.DUMMYFUNCTION("IFERROR(VLOOKUP(D1021,
IMPORTRANGE(""https://docs.google.com/spreadsheets/d/1MjHtlUikwobi2MaWJgy7tfLeBmhj1u-dRFRs_8GwSoA/edit#gid=0"",""Gestores Escolares!D7:J""),6,0),""VERIFICAR CÓD SEC"")"),"JEANE RIOS CHIAN FIGUEREDO")</f>
        <v>JEANE RIOS CHIAN FIGUEREDO</v>
      </c>
      <c r="P1021" s="82" t="str">
        <f>IFERROR(__xludf.DUMMYFUNCTION("IFERROR(VLOOKUP(D1021,
IMPORTRANGE(""https://docs.google.com/spreadsheets/d/1MjHtlUikwobi2MaWJgy7tfLeBmhj1u-dRFRs_8GwSoA/edit#gid=0"",""Gestores Escolares!D7:J""),7,0),""VERIFICAR CÓD SEC"")"),"(71) 9 9915-6142
")</f>
        <v>(71) 9 9915-6142
</v>
      </c>
      <c r="Q1021" s="82" t="str">
        <f>IFERROR(__xludf.DUMMYFUNCTION("IFERROR(VLOOKUP(D1021,
IMPORTRANGE(""https://docs.google.com/spreadsheets/d/1MjHtlUikwobi2MaWJgy7tfLeBmhj1u-dRFRs_8GwSoA/edit#gid=0"",""Gestores Escolares!D7:m""),9,0),""VERIFICAR CÓD SEC"")"),"CLEOPATRA GUARANI ALVES SANTANA")</f>
        <v>CLEOPATRA GUARANI ALVES SANTANA</v>
      </c>
      <c r="R1021" s="82" t="str">
        <f>IFERROR(__xludf.DUMMYFUNCTION("IFERROR(VLOOKUP(D1021,
IMPORTRANGE(""https://docs.google.com/spreadsheets/d/1MjHtlUikwobi2MaWJgy7tfLeBmhj1u-dRFRs_8GwSoA/edit#gid=0"",""Gestores Escolares!D7:m""),10,0),""VERIFICAR CÓD SEC"")"),"(71) 9 9975-7796")</f>
        <v>(71) 9 9975-7796</v>
      </c>
      <c r="S1021" s="82"/>
      <c r="T1021" s="138">
        <v>11.0</v>
      </c>
      <c r="U1021" s="388">
        <v>12.0</v>
      </c>
      <c r="V1021" s="106">
        <v>0.0</v>
      </c>
      <c r="W1021" s="107">
        <v>0.0</v>
      </c>
      <c r="X1021" s="107">
        <v>0.0</v>
      </c>
      <c r="Y1021" s="107">
        <v>0.0</v>
      </c>
      <c r="Z1021" s="80">
        <f t="shared" si="1"/>
        <v>0</v>
      </c>
      <c r="AA1021" s="106">
        <v>0.0</v>
      </c>
      <c r="AB1021" s="107">
        <v>0.0</v>
      </c>
      <c r="AC1021" s="107">
        <v>0.0</v>
      </c>
      <c r="AD1021" s="107">
        <v>0.0</v>
      </c>
      <c r="AE1021" s="80">
        <f t="shared" si="2"/>
        <v>0</v>
      </c>
      <c r="AF1021" s="140">
        <v>170.0</v>
      </c>
      <c r="AG1021" s="109">
        <v>105.0</v>
      </c>
      <c r="AH1021" s="109">
        <v>0.0</v>
      </c>
      <c r="AI1021" s="141">
        <v>277.0</v>
      </c>
      <c r="AJ1021" s="80">
        <f t="shared" si="3"/>
        <v>552</v>
      </c>
      <c r="AK1021" s="140">
        <v>0.0</v>
      </c>
      <c r="AL1021" s="109">
        <v>0.0</v>
      </c>
      <c r="AM1021" s="141">
        <v>0.0</v>
      </c>
      <c r="AN1021" s="80">
        <f t="shared" si="4"/>
        <v>0</v>
      </c>
      <c r="AO1021" s="140">
        <v>0.0</v>
      </c>
      <c r="AP1021" s="109">
        <v>0.0</v>
      </c>
      <c r="AQ1021" s="109">
        <v>260.0</v>
      </c>
      <c r="AR1021" s="80">
        <f t="shared" si="5"/>
        <v>260</v>
      </c>
      <c r="AS1021" s="110">
        <v>0.0</v>
      </c>
      <c r="AT1021" s="110">
        <v>0.0</v>
      </c>
      <c r="AU1021" s="110">
        <v>0.0</v>
      </c>
      <c r="AV1021" s="142">
        <v>0.0</v>
      </c>
      <c r="AW1021" s="80">
        <f t="shared" si="6"/>
        <v>0</v>
      </c>
      <c r="AX1021" s="113">
        <f t="shared" si="7"/>
        <v>812</v>
      </c>
      <c r="AY1021" s="117">
        <f t="shared" si="8"/>
        <v>552</v>
      </c>
      <c r="AZ1021" s="120">
        <f t="shared" si="9"/>
        <v>260</v>
      </c>
      <c r="BA1021" s="115">
        <v>0.0</v>
      </c>
      <c r="BB1021" s="89">
        <f t="shared" si="10"/>
        <v>812</v>
      </c>
      <c r="BC1021" s="132" t="s">
        <v>178</v>
      </c>
      <c r="BD1021" s="132" t="s">
        <v>178</v>
      </c>
      <c r="BE1021" s="132" t="s">
        <v>178</v>
      </c>
      <c r="BF1021" s="123"/>
      <c r="BG1021" s="83">
        <v>1108591.0</v>
      </c>
      <c r="BH1021" s="112"/>
      <c r="BI1021" s="112">
        <v>8.0</v>
      </c>
      <c r="BJ1021" s="98" t="s">
        <v>155</v>
      </c>
      <c r="BK1021" s="99">
        <f t="shared" si="11"/>
        <v>277</v>
      </c>
      <c r="BL1021" s="99">
        <f t="shared" si="12"/>
        <v>275</v>
      </c>
      <c r="BM1021" s="99" t="str">
        <f>IFERROR(__xludf.DUMMYFUNCTION("IFERROR(VLOOKUP(BG1021,IMPORTRANGE(""https://docs.google.com/spreadsheets/d/1juPI-Fb8LD0YtltB2mlGEnp_R3UVu1t3wSFPzgCyHXE/edit?gid=0#gid=0"",""GERAL!A2:C""),3,0),""-"")"),"-")</f>
        <v>-</v>
      </c>
    </row>
    <row r="1022" ht="15.75" customHeight="1">
      <c r="A1022" s="111" t="s">
        <v>1281</v>
      </c>
      <c r="B1022" s="83" t="s">
        <v>2307</v>
      </c>
      <c r="C1022" s="83" t="s">
        <v>68</v>
      </c>
      <c r="D1022" s="112">
        <v>1108648.0</v>
      </c>
      <c r="E1022" s="83"/>
      <c r="F1022" s="83">
        <v>2.9158605E7</v>
      </c>
      <c r="G1022" s="114" t="s">
        <v>5512</v>
      </c>
      <c r="H1022" s="91" t="s">
        <v>5513</v>
      </c>
      <c r="I1022" s="83" t="s">
        <v>149</v>
      </c>
      <c r="J1022" s="83" t="s">
        <v>150</v>
      </c>
      <c r="K1022" s="83" t="s">
        <v>151</v>
      </c>
      <c r="L1022" s="83" t="s">
        <v>230</v>
      </c>
      <c r="M1022" s="82" t="str">
        <f>IFERROR(__xludf.DUMMYFUNCTION("IFERROR(VLOOKUP(D1022,
IMPORTRANGE(""https://docs.google.com/spreadsheets/d/1MjHtlUikwobi2MaWJgy7tfLeBmhj1u-dRFRs_8GwSoA/edit#gid=0"",""Gestores Escolares!D7:J""),3,0),""VERIFICAR CÓD SEC"")"),"RICARDO ARAUJO MIRANDA")</f>
        <v>RICARDO ARAUJO MIRANDA</v>
      </c>
      <c r="N1022" s="82" t="str">
        <f>IFERROR(__xludf.DUMMYFUNCTION("IFERROR(VLOOKUP(D1022,
IMPORTRANGE(""https://docs.google.com/spreadsheets/d/1MjHtlUikwobi2MaWJgy7tfLeBmhj1u-dRFRs_8GwSoA/edit#gid=0"",""Gestores Escolares!D7:J""),4,0),""VERIFICAR CÓD SEC"")"),"(71) 9 9699-4032")</f>
        <v>(71) 9 9699-4032</v>
      </c>
      <c r="O1022" s="82" t="str">
        <f>IFERROR(__xludf.DUMMYFUNCTION("IFERROR(VLOOKUP(D1022,
IMPORTRANGE(""https://docs.google.com/spreadsheets/d/1MjHtlUikwobi2MaWJgy7tfLeBmhj1u-dRFRs_8GwSoA/edit#gid=0"",""Gestores Escolares!D7:J""),6,0),""VERIFICAR CÓD SEC"")"),"SANDRA REGINA PEREIRA LOPES")</f>
        <v>SANDRA REGINA PEREIRA LOPES</v>
      </c>
      <c r="P1022" s="82" t="str">
        <f>IFERROR(__xludf.DUMMYFUNCTION("IFERROR(VLOOKUP(D1022,
IMPORTRANGE(""https://docs.google.com/spreadsheets/d/1MjHtlUikwobi2MaWJgy7tfLeBmhj1u-dRFRs_8GwSoA/edit#gid=0"",""Gestores Escolares!D7:J""),7,0),""VERIFICAR CÓD SEC"")"),"(71) 9 9638-2929")</f>
        <v>(71) 9 9638-2929</v>
      </c>
      <c r="Q1022" s="82" t="str">
        <f>IFERROR(__xludf.DUMMYFUNCTION("IFERROR(VLOOKUP(D1022,
IMPORTRANGE(""https://docs.google.com/spreadsheets/d/1MjHtlUikwobi2MaWJgy7tfLeBmhj1u-dRFRs_8GwSoA/edit#gid=0"",""Gestores Escolares!D7:m""),9,0),""VERIFICAR CÓD SEC"")"),"EDCLEIDE VALENÇA SANTOS")</f>
        <v>EDCLEIDE VALENÇA SANTOS</v>
      </c>
      <c r="R1022" s="82" t="str">
        <f>IFERROR(__xludf.DUMMYFUNCTION("IFERROR(VLOOKUP(D1022,
IMPORTRANGE(""https://docs.google.com/spreadsheets/d/1MjHtlUikwobi2MaWJgy7tfLeBmhj1u-dRFRs_8GwSoA/edit#gid=0"",""Gestores Escolares!D7:m""),10,0),""VERIFICAR CÓD SEC"")"),"(71) 9 9917-5659")</f>
        <v>(71) 9 9917-5659</v>
      </c>
      <c r="S1022" s="82"/>
      <c r="T1022" s="138">
        <v>18.0</v>
      </c>
      <c r="U1022" s="388" t="s">
        <v>13805</v>
      </c>
      <c r="V1022" s="106">
        <v>0.0</v>
      </c>
      <c r="W1022" s="107">
        <v>0.0</v>
      </c>
      <c r="X1022" s="107">
        <v>0.0</v>
      </c>
      <c r="Y1022" s="107">
        <v>0.0</v>
      </c>
      <c r="Z1022" s="80">
        <f t="shared" si="1"/>
        <v>0</v>
      </c>
      <c r="AA1022" s="106">
        <v>0.0</v>
      </c>
      <c r="AB1022" s="107">
        <v>0.0</v>
      </c>
      <c r="AC1022" s="107">
        <v>0.0</v>
      </c>
      <c r="AD1022" s="107">
        <v>0.0</v>
      </c>
      <c r="AE1022" s="80">
        <f t="shared" si="2"/>
        <v>0</v>
      </c>
      <c r="AF1022" s="140">
        <v>0.0</v>
      </c>
      <c r="AG1022" s="109">
        <v>0.0</v>
      </c>
      <c r="AH1022" s="109">
        <v>0.0</v>
      </c>
      <c r="AI1022" s="141">
        <v>0.0</v>
      </c>
      <c r="AJ1022" s="80">
        <f t="shared" si="3"/>
        <v>0</v>
      </c>
      <c r="AK1022" s="140">
        <v>0.0</v>
      </c>
      <c r="AL1022" s="109">
        <v>0.0</v>
      </c>
      <c r="AM1022" s="141">
        <v>0.0</v>
      </c>
      <c r="AN1022" s="80">
        <f t="shared" si="4"/>
        <v>0</v>
      </c>
      <c r="AO1022" s="140">
        <v>0.0</v>
      </c>
      <c r="AP1022" s="109">
        <v>0.0</v>
      </c>
      <c r="AQ1022" s="109">
        <v>0.0</v>
      </c>
      <c r="AR1022" s="80">
        <f t="shared" si="5"/>
        <v>0</v>
      </c>
      <c r="AS1022" s="110">
        <v>667.0</v>
      </c>
      <c r="AT1022" s="110">
        <v>357.0</v>
      </c>
      <c r="AU1022" s="110">
        <v>593.0</v>
      </c>
      <c r="AV1022" s="142">
        <v>0.0</v>
      </c>
      <c r="AW1022" s="80">
        <f t="shared" si="6"/>
        <v>1617</v>
      </c>
      <c r="AX1022" s="113">
        <f t="shared" si="7"/>
        <v>1617</v>
      </c>
      <c r="AY1022" s="117">
        <f t="shared" si="8"/>
        <v>1024</v>
      </c>
      <c r="AZ1022" s="120">
        <f t="shared" si="9"/>
        <v>593</v>
      </c>
      <c r="BA1022" s="115">
        <v>0.0</v>
      </c>
      <c r="BB1022" s="89">
        <f t="shared" si="10"/>
        <v>1617</v>
      </c>
      <c r="BC1022" s="132" t="s">
        <v>178</v>
      </c>
      <c r="BD1022" s="132" t="s">
        <v>779</v>
      </c>
      <c r="BE1022" s="132" t="s">
        <v>178</v>
      </c>
      <c r="BF1022" s="123"/>
      <c r="BG1022" s="83">
        <v>1108648.0</v>
      </c>
      <c r="BH1022" s="112"/>
      <c r="BI1022" s="112">
        <v>18.0</v>
      </c>
      <c r="BJ1022" s="98" t="s">
        <v>155</v>
      </c>
      <c r="BK1022" s="99">
        <f t="shared" si="11"/>
        <v>0</v>
      </c>
      <c r="BL1022" s="99">
        <f t="shared" si="12"/>
        <v>1024</v>
      </c>
      <c r="BM1022" s="99" t="str">
        <f>IFERROR(__xludf.DUMMYFUNCTION("IFERROR(VLOOKUP(BG1022,IMPORTRANGE(""https://docs.google.com/spreadsheets/d/1juPI-Fb8LD0YtltB2mlGEnp_R3UVu1t3wSFPzgCyHXE/edit?gid=0#gid=0"",""GERAL!A2:C""),3,0),""-"")"),"-")</f>
        <v>-</v>
      </c>
    </row>
    <row r="1023" ht="15.75" customHeight="1">
      <c r="A1023" s="111" t="s">
        <v>1281</v>
      </c>
      <c r="B1023" s="83" t="s">
        <v>5517</v>
      </c>
      <c r="C1023" s="83" t="s">
        <v>68</v>
      </c>
      <c r="D1023" s="112">
        <v>1108524.0</v>
      </c>
      <c r="E1023" s="83"/>
      <c r="F1023" s="83">
        <v>2.9155673E7</v>
      </c>
      <c r="G1023" s="119" t="s">
        <v>5522</v>
      </c>
      <c r="H1023" s="91" t="s">
        <v>5524</v>
      </c>
      <c r="I1023" s="136" t="s">
        <v>149</v>
      </c>
      <c r="J1023" s="83" t="s">
        <v>150</v>
      </c>
      <c r="K1023" s="83" t="s">
        <v>151</v>
      </c>
      <c r="L1023" s="83" t="s">
        <v>152</v>
      </c>
      <c r="M1023" s="82" t="str">
        <f>IFERROR(__xludf.DUMMYFUNCTION("IFERROR(VLOOKUP(D1023,
IMPORTRANGE(""https://docs.google.com/spreadsheets/d/1MjHtlUikwobi2MaWJgy7tfLeBmhj1u-dRFRs_8GwSoA/edit#gid=0"",""Gestores Escolares!D7:J""),3,0),""VERIFICAR CÓD SEC"")")," EMILEIDY MARIA DOS SANTOS NEVES")</f>
        <v> EMILEIDY MARIA DOS SANTOS NEVES</v>
      </c>
      <c r="N1023" s="82" t="str">
        <f>IFERROR(__xludf.DUMMYFUNCTION("IFERROR(VLOOKUP(D1023,
IMPORTRANGE(""https://docs.google.com/spreadsheets/d/1MjHtlUikwobi2MaWJgy7tfLeBmhj1u-dRFRs_8GwSoA/edit#gid=0"",""Gestores Escolares!D7:J""),4,0),""VERIFICAR CÓD SEC"")"),"(75) 9 9855-9175 ")</f>
        <v>(75) 9 9855-9175 </v>
      </c>
      <c r="O1023" s="82" t="str">
        <f>IFERROR(__xludf.DUMMYFUNCTION("IFERROR(VLOOKUP(D1023,
IMPORTRANGE(""https://docs.google.com/spreadsheets/d/1MjHtlUikwobi2MaWJgy7tfLeBmhj1u-dRFRs_8GwSoA/edit#gid=0"",""Gestores Escolares!D7:J""),6,0),""VERIFICAR CÓD SEC"")"),"MARIA DO CARMO SOUZA BLANCO")</f>
        <v>MARIA DO CARMO SOUZA BLANCO</v>
      </c>
      <c r="P1023" s="82" t="str">
        <f>IFERROR(__xludf.DUMMYFUNCTION("IFERROR(VLOOKUP(D1023,
IMPORTRANGE(""https://docs.google.com/spreadsheets/d/1MjHtlUikwobi2MaWJgy7tfLeBmhj1u-dRFRs_8GwSoA/edit#gid=0"",""Gestores Escolares!D7:J""),7,0),""VERIFICAR CÓD SEC"")"),"(71) 9 8175-8225
(75) 9 8207-4324")</f>
        <v>(71) 9 8175-8225
(75) 9 8207-4324</v>
      </c>
      <c r="Q1023" s="82" t="str">
        <f>IFERROR(__xludf.DUMMYFUNCTION("IFERROR(VLOOKUP(D1023,
IMPORTRANGE(""https://docs.google.com/spreadsheets/d/1MjHtlUikwobi2MaWJgy7tfLeBmhj1u-dRFRs_8GwSoA/edit#gid=0"",""Gestores Escolares!D7:m""),9,0),""VERIFICAR CÓD SEC"")"),"")</f>
        <v/>
      </c>
      <c r="R1023" s="82" t="str">
        <f>IFERROR(__xludf.DUMMYFUNCTION("IFERROR(VLOOKUP(D1023,
IMPORTRANGE(""https://docs.google.com/spreadsheets/d/1MjHtlUikwobi2MaWJgy7tfLeBmhj1u-dRFRs_8GwSoA/edit#gid=0"",""Gestores Escolares!D7:m""),10,0),""VERIFICAR CÓD SEC"")"),"")</f>
        <v/>
      </c>
      <c r="S1023" s="82"/>
      <c r="T1023" s="138">
        <v>14.0</v>
      </c>
      <c r="U1023" s="388" t="s">
        <v>13806</v>
      </c>
      <c r="V1023" s="106">
        <v>0.0</v>
      </c>
      <c r="W1023" s="107">
        <v>0.0</v>
      </c>
      <c r="X1023" s="107">
        <v>0.0</v>
      </c>
      <c r="Y1023" s="107">
        <v>0.0</v>
      </c>
      <c r="Z1023" s="80">
        <f t="shared" si="1"/>
        <v>0</v>
      </c>
      <c r="AA1023" s="106">
        <v>0.0</v>
      </c>
      <c r="AB1023" s="107">
        <v>0.0</v>
      </c>
      <c r="AC1023" s="107">
        <v>0.0</v>
      </c>
      <c r="AD1023" s="107">
        <v>0.0</v>
      </c>
      <c r="AE1023" s="80">
        <f t="shared" si="2"/>
        <v>0</v>
      </c>
      <c r="AF1023" s="140">
        <v>303.0</v>
      </c>
      <c r="AG1023" s="109">
        <v>183.0</v>
      </c>
      <c r="AH1023" s="109">
        <v>0.0</v>
      </c>
      <c r="AI1023" s="141">
        <v>138.0</v>
      </c>
      <c r="AJ1023" s="80">
        <f t="shared" si="3"/>
        <v>624</v>
      </c>
      <c r="AK1023" s="140">
        <v>0.0</v>
      </c>
      <c r="AL1023" s="109">
        <v>0.0</v>
      </c>
      <c r="AM1023" s="141">
        <v>0.0</v>
      </c>
      <c r="AN1023" s="80">
        <f t="shared" si="4"/>
        <v>0</v>
      </c>
      <c r="AO1023" s="140">
        <v>0.0</v>
      </c>
      <c r="AP1023" s="109">
        <v>0.0</v>
      </c>
      <c r="AQ1023" s="109">
        <v>174.0</v>
      </c>
      <c r="AR1023" s="80">
        <f t="shared" si="5"/>
        <v>174</v>
      </c>
      <c r="AS1023" s="110">
        <v>0.0</v>
      </c>
      <c r="AT1023" s="110">
        <v>0.0</v>
      </c>
      <c r="AU1023" s="110">
        <v>0.0</v>
      </c>
      <c r="AV1023" s="142">
        <v>0.0</v>
      </c>
      <c r="AW1023" s="80">
        <f t="shared" si="6"/>
        <v>0</v>
      </c>
      <c r="AX1023" s="113">
        <f t="shared" si="7"/>
        <v>798</v>
      </c>
      <c r="AY1023" s="117">
        <f t="shared" si="8"/>
        <v>624</v>
      </c>
      <c r="AZ1023" s="120">
        <f t="shared" si="9"/>
        <v>174</v>
      </c>
      <c r="BA1023" s="115">
        <v>0.0</v>
      </c>
      <c r="BB1023" s="89">
        <f t="shared" si="10"/>
        <v>798</v>
      </c>
      <c r="BC1023" s="132" t="s">
        <v>178</v>
      </c>
      <c r="BD1023" s="132" t="s">
        <v>178</v>
      </c>
      <c r="BE1023" s="132" t="s">
        <v>178</v>
      </c>
      <c r="BF1023" s="123"/>
      <c r="BG1023" s="83">
        <v>1108524.0</v>
      </c>
      <c r="BH1023" s="112"/>
      <c r="BI1023" s="112">
        <v>12.0</v>
      </c>
      <c r="BJ1023" s="98" t="s">
        <v>155</v>
      </c>
      <c r="BK1023" s="99">
        <f t="shared" si="11"/>
        <v>138</v>
      </c>
      <c r="BL1023" s="99">
        <f t="shared" si="12"/>
        <v>486</v>
      </c>
      <c r="BM1023" s="99" t="str">
        <f>IFERROR(__xludf.DUMMYFUNCTION("IFERROR(VLOOKUP(BG1023,IMPORTRANGE(""https://docs.google.com/spreadsheets/d/1juPI-Fb8LD0YtltB2mlGEnp_R3UVu1t3wSFPzgCyHXE/edit?gid=0#gid=0"",""GERAL!A2:C""),3,0),""-"")"),"-")</f>
        <v>-</v>
      </c>
    </row>
    <row r="1024" ht="15.75" customHeight="1">
      <c r="A1024" s="111" t="s">
        <v>1281</v>
      </c>
      <c r="B1024" s="83" t="s">
        <v>5517</v>
      </c>
      <c r="C1024" s="83" t="s">
        <v>68</v>
      </c>
      <c r="D1024" s="112">
        <v>1108532.0</v>
      </c>
      <c r="E1024" s="83"/>
      <c r="F1024" s="83">
        <v>2.9155894E7</v>
      </c>
      <c r="G1024" s="119" t="s">
        <v>5539</v>
      </c>
      <c r="H1024" s="91" t="s">
        <v>5540</v>
      </c>
      <c r="I1024" s="136" t="s">
        <v>149</v>
      </c>
      <c r="J1024" s="83" t="s">
        <v>150</v>
      </c>
      <c r="K1024" s="83" t="s">
        <v>151</v>
      </c>
      <c r="L1024" s="98" t="s">
        <v>76</v>
      </c>
      <c r="M1024" s="82" t="str">
        <f>IFERROR(__xludf.DUMMYFUNCTION("IFERROR(VLOOKUP(D1024,
IMPORTRANGE(""https://docs.google.com/spreadsheets/d/1MjHtlUikwobi2MaWJgy7tfLeBmhj1u-dRFRs_8GwSoA/edit#gid=0"",""Gestores Escolares!D7:J""),3,0),""VERIFICAR CÓD SEC"")"),"JHONATAN CRUZ TEIXEIRA")</f>
        <v>JHONATAN CRUZ TEIXEIRA</v>
      </c>
      <c r="N1024" s="82" t="str">
        <f>IFERROR(__xludf.DUMMYFUNCTION("IFERROR(VLOOKUP(D1024,
IMPORTRANGE(""https://docs.google.com/spreadsheets/d/1MjHtlUikwobi2MaWJgy7tfLeBmhj1u-dRFRs_8GwSoA/edit#gid=0"",""Gestores Escolares!D7:J""),4,0),""VERIFICAR CÓD SEC"")"),"(79) 9 9919-6049")</f>
        <v>(79) 9 9919-6049</v>
      </c>
      <c r="O1024" s="82" t="str">
        <f>IFERROR(__xludf.DUMMYFUNCTION("IFERROR(VLOOKUP(D1024,
IMPORTRANGE(""https://docs.google.com/spreadsheets/d/1MjHtlUikwobi2MaWJgy7tfLeBmhj1u-dRFRs_8GwSoA/edit#gid=0"",""Gestores Escolares!D7:J""),6,0),""VERIFICAR CÓD SEC"")"),"")</f>
        <v/>
      </c>
      <c r="P1024" s="82" t="str">
        <f>IFERROR(__xludf.DUMMYFUNCTION("IFERROR(VLOOKUP(D1024,
IMPORTRANGE(""https://docs.google.com/spreadsheets/d/1MjHtlUikwobi2MaWJgy7tfLeBmhj1u-dRFRs_8GwSoA/edit#gid=0"",""Gestores Escolares!D7:J""),7,0),""VERIFICAR CÓD SEC"")"),"")</f>
        <v/>
      </c>
      <c r="Q1024" s="82" t="str">
        <f>IFERROR(__xludf.DUMMYFUNCTION("IFERROR(VLOOKUP(D1024,
IMPORTRANGE(""https://docs.google.com/spreadsheets/d/1MjHtlUikwobi2MaWJgy7tfLeBmhj1u-dRFRs_8GwSoA/edit#gid=0"",""Gestores Escolares!D7:m""),9,0),""VERIFICAR CÓD SEC"")"),"")</f>
        <v/>
      </c>
      <c r="R1024" s="82" t="str">
        <f>IFERROR(__xludf.DUMMYFUNCTION("IFERROR(VLOOKUP(D1024,
IMPORTRANGE(""https://docs.google.com/spreadsheets/d/1MjHtlUikwobi2MaWJgy7tfLeBmhj1u-dRFRs_8GwSoA/edit#gid=0"",""Gestores Escolares!D7:m""),10,0),""VERIFICAR CÓD SEC"")"),"")</f>
        <v/>
      </c>
      <c r="S1024" s="82"/>
      <c r="T1024" s="138">
        <v>8.0</v>
      </c>
      <c r="U1024" s="388" t="s">
        <v>13807</v>
      </c>
      <c r="V1024" s="106">
        <v>0.0</v>
      </c>
      <c r="W1024" s="107">
        <v>0.0</v>
      </c>
      <c r="X1024" s="107">
        <v>0.0</v>
      </c>
      <c r="Y1024" s="107">
        <v>0.0</v>
      </c>
      <c r="Z1024" s="80">
        <f t="shared" si="1"/>
        <v>0</v>
      </c>
      <c r="AA1024" s="106">
        <v>0.0</v>
      </c>
      <c r="AB1024" s="107">
        <v>0.0</v>
      </c>
      <c r="AC1024" s="107">
        <v>0.0</v>
      </c>
      <c r="AD1024" s="107">
        <v>0.0</v>
      </c>
      <c r="AE1024" s="80">
        <f t="shared" si="2"/>
        <v>0</v>
      </c>
      <c r="AF1024" s="140">
        <v>0.0</v>
      </c>
      <c r="AG1024" s="109">
        <v>0.0</v>
      </c>
      <c r="AH1024" s="109">
        <v>0.0</v>
      </c>
      <c r="AI1024" s="141">
        <v>15.0</v>
      </c>
      <c r="AJ1024" s="80">
        <f t="shared" si="3"/>
        <v>15</v>
      </c>
      <c r="AK1024" s="140">
        <v>0.0</v>
      </c>
      <c r="AL1024" s="109">
        <v>0.0</v>
      </c>
      <c r="AM1024" s="141">
        <v>0.0</v>
      </c>
      <c r="AN1024" s="80">
        <f t="shared" si="4"/>
        <v>0</v>
      </c>
      <c r="AO1024" s="140">
        <v>0.0</v>
      </c>
      <c r="AP1024" s="109">
        <v>0.0</v>
      </c>
      <c r="AQ1024" s="109">
        <v>78.0</v>
      </c>
      <c r="AR1024" s="80">
        <f t="shared" si="5"/>
        <v>78</v>
      </c>
      <c r="AS1024" s="110">
        <v>0.0</v>
      </c>
      <c r="AT1024" s="110">
        <v>0.0</v>
      </c>
      <c r="AU1024" s="110">
        <v>22.0</v>
      </c>
      <c r="AV1024" s="142">
        <v>85.0</v>
      </c>
      <c r="AW1024" s="80">
        <f t="shared" si="6"/>
        <v>107</v>
      </c>
      <c r="AX1024" s="113">
        <f t="shared" si="7"/>
        <v>200</v>
      </c>
      <c r="AY1024" s="117">
        <f t="shared" si="8"/>
        <v>100</v>
      </c>
      <c r="AZ1024" s="120">
        <f t="shared" si="9"/>
        <v>100</v>
      </c>
      <c r="BA1024" s="115">
        <v>0.0</v>
      </c>
      <c r="BB1024" s="89">
        <f t="shared" si="10"/>
        <v>200</v>
      </c>
      <c r="BC1024" s="132" t="s">
        <v>178</v>
      </c>
      <c r="BD1024" s="132" t="s">
        <v>178</v>
      </c>
      <c r="BE1024" s="132" t="s">
        <v>178</v>
      </c>
      <c r="BF1024" s="123"/>
      <c r="BG1024" s="83">
        <v>1108532.0</v>
      </c>
      <c r="BH1024" s="112"/>
      <c r="BI1024" s="112">
        <v>7.0</v>
      </c>
      <c r="BJ1024" s="98" t="s">
        <v>155</v>
      </c>
      <c r="BK1024" s="99">
        <f t="shared" si="11"/>
        <v>100</v>
      </c>
      <c r="BL1024" s="99">
        <f t="shared" si="12"/>
        <v>0</v>
      </c>
      <c r="BM1024" s="99" t="str">
        <f>IFERROR(__xludf.DUMMYFUNCTION("IFERROR(VLOOKUP(BG1024,IMPORTRANGE(""https://docs.google.com/spreadsheets/d/1juPI-Fb8LD0YtltB2mlGEnp_R3UVu1t3wSFPzgCyHXE/edit?gid=0#gid=0"",""GERAL!A2:C""),3,0),""-"")"),"-")</f>
        <v>-</v>
      </c>
    </row>
    <row r="1025" ht="15.75" customHeight="1">
      <c r="A1025" s="111" t="s">
        <v>1281</v>
      </c>
      <c r="B1025" s="83" t="s">
        <v>5517</v>
      </c>
      <c r="C1025" s="83" t="s">
        <v>164</v>
      </c>
      <c r="D1025" s="98">
        <v>1179754.0</v>
      </c>
      <c r="E1025" s="83">
        <v>1178466.0</v>
      </c>
      <c r="F1025" s="98">
        <v>2.94879E7</v>
      </c>
      <c r="G1025" s="119" t="s">
        <v>5543</v>
      </c>
      <c r="H1025" s="91" t="s">
        <v>5544</v>
      </c>
      <c r="I1025" s="136" t="s">
        <v>5545</v>
      </c>
      <c r="J1025" s="83" t="s">
        <v>209</v>
      </c>
      <c r="K1025" s="83" t="s">
        <v>168</v>
      </c>
      <c r="L1025" s="83" t="s">
        <v>230</v>
      </c>
      <c r="M1025" s="82" t="str">
        <f>IFERROR(__xludf.DUMMYFUNCTION("IFERROR(VLOOKUP(D1025,
IMPORTRANGE(""https://docs.google.com/spreadsheets/d/1MjHtlUikwobi2MaWJgy7tfLeBmhj1u-dRFRs_8GwSoA/edit#gid=0"",""Gestores Escolares!D7:J""),3,0),""VERIFICAR CÓD SEC"")"),"MARIA DA CONCEICAO SOUSA PEREIRA")</f>
        <v>MARIA DA CONCEICAO SOUSA PEREIRA</v>
      </c>
      <c r="N1025" s="82" t="str">
        <f>IFERROR(__xludf.DUMMYFUNCTION("IFERROR(VLOOKUP(D1025,
IMPORTRANGE(""https://docs.google.com/spreadsheets/d/1MjHtlUikwobi2MaWJgy7tfLeBmhj1u-dRFRs_8GwSoA/edit#gid=0"",""Gestores Escolares!D7:J""),4,0),""VERIFICAR CÓD SEC"")"),"(75) 9 9805-9500")</f>
        <v>(75) 9 9805-9500</v>
      </c>
      <c r="O1025" s="82" t="str">
        <f>IFERROR(__xludf.DUMMYFUNCTION("IFERROR(VLOOKUP(D1025,
IMPORTRANGE(""https://docs.google.com/spreadsheets/d/1MjHtlUikwobi2MaWJgy7tfLeBmhj1u-dRFRs_8GwSoA/edit#gid=0"",""Gestores Escolares!D7:J""),6,0),""VERIFICAR CÓD SEC"")"),"ALISSON CRISTIAN SANTOS CHAGAS")</f>
        <v>ALISSON CRISTIAN SANTOS CHAGAS</v>
      </c>
      <c r="P1025" s="82" t="str">
        <f>IFERROR(__xludf.DUMMYFUNCTION("IFERROR(VLOOKUP(D1025,
IMPORTRANGE(""https://docs.google.com/spreadsheets/d/1MjHtlUikwobi2MaWJgy7tfLeBmhj1u-dRFRs_8GwSoA/edit#gid=0"",""Gestores Escolares!D7:J""),7,0),""VERIFICAR CÓD SEC"")"),"(75) 9 8170-9580")</f>
        <v>(75) 9 8170-9580</v>
      </c>
      <c r="Q1025" s="82" t="str">
        <f>IFERROR(__xludf.DUMMYFUNCTION("IFERROR(VLOOKUP(D1025,
IMPORTRANGE(""https://docs.google.com/spreadsheets/d/1MjHtlUikwobi2MaWJgy7tfLeBmhj1u-dRFRs_8GwSoA/edit#gid=0"",""Gestores Escolares!D7:m""),9,0),""VERIFICAR CÓD SEC"")"),"")</f>
        <v/>
      </c>
      <c r="R1025" s="82" t="str">
        <f>IFERROR(__xludf.DUMMYFUNCTION("IFERROR(VLOOKUP(D1025,
IMPORTRANGE(""https://docs.google.com/spreadsheets/d/1MjHtlUikwobi2MaWJgy7tfLeBmhj1u-dRFRs_8GwSoA/edit#gid=0"",""Gestores Escolares!D7:m""),10,0),""VERIFICAR CÓD SEC"")"),"")</f>
        <v/>
      </c>
      <c r="S1025" s="82"/>
      <c r="T1025" s="138">
        <v>3.0</v>
      </c>
      <c r="U1025" s="174">
        <v>3.0</v>
      </c>
      <c r="V1025" s="106">
        <v>0.0</v>
      </c>
      <c r="W1025" s="107">
        <v>0.0</v>
      </c>
      <c r="X1025" s="107">
        <v>0.0</v>
      </c>
      <c r="Y1025" s="107">
        <v>0.0</v>
      </c>
      <c r="Z1025" s="80">
        <f t="shared" si="1"/>
        <v>0</v>
      </c>
      <c r="AA1025" s="106">
        <v>0.0</v>
      </c>
      <c r="AB1025" s="107">
        <v>0.0</v>
      </c>
      <c r="AC1025" s="107">
        <v>0.0</v>
      </c>
      <c r="AD1025" s="107">
        <v>0.0</v>
      </c>
      <c r="AE1025" s="80">
        <f t="shared" si="2"/>
        <v>0</v>
      </c>
      <c r="AF1025" s="140">
        <v>0.0</v>
      </c>
      <c r="AG1025" s="109">
        <v>0.0</v>
      </c>
      <c r="AH1025" s="109">
        <v>61.0</v>
      </c>
      <c r="AI1025" s="141">
        <v>0.0</v>
      </c>
      <c r="AJ1025" s="80">
        <f t="shared" si="3"/>
        <v>61</v>
      </c>
      <c r="AK1025" s="140">
        <v>0.0</v>
      </c>
      <c r="AL1025" s="109">
        <v>0.0</v>
      </c>
      <c r="AM1025" s="141">
        <v>0.0</v>
      </c>
      <c r="AN1025" s="80">
        <f t="shared" si="4"/>
        <v>0</v>
      </c>
      <c r="AO1025" s="140">
        <v>0.0</v>
      </c>
      <c r="AP1025" s="109">
        <v>0.0</v>
      </c>
      <c r="AQ1025" s="109">
        <v>0.0</v>
      </c>
      <c r="AR1025" s="80">
        <f t="shared" si="5"/>
        <v>0</v>
      </c>
      <c r="AS1025" s="110">
        <v>0.0</v>
      </c>
      <c r="AT1025" s="110">
        <v>0.0</v>
      </c>
      <c r="AU1025" s="110">
        <v>0.0</v>
      </c>
      <c r="AV1025" s="142">
        <v>0.0</v>
      </c>
      <c r="AW1025" s="80">
        <f t="shared" si="6"/>
        <v>0</v>
      </c>
      <c r="AX1025" s="113">
        <f t="shared" si="7"/>
        <v>61</v>
      </c>
      <c r="AY1025" s="117">
        <f t="shared" si="8"/>
        <v>0</v>
      </c>
      <c r="AZ1025" s="120">
        <f t="shared" si="9"/>
        <v>61</v>
      </c>
      <c r="BA1025" s="115">
        <v>0.0</v>
      </c>
      <c r="BB1025" s="89">
        <f t="shared" si="10"/>
        <v>61</v>
      </c>
      <c r="BC1025" s="132" t="s">
        <v>373</v>
      </c>
      <c r="BD1025" s="132" t="s">
        <v>227</v>
      </c>
      <c r="BE1025" s="132" t="s">
        <v>178</v>
      </c>
      <c r="BF1025" s="123"/>
      <c r="BG1025" s="83">
        <v>1178466.0</v>
      </c>
      <c r="BH1025" s="112"/>
      <c r="BI1025" s="112">
        <v>3.0</v>
      </c>
      <c r="BJ1025" s="98" t="s">
        <v>155</v>
      </c>
      <c r="BK1025" s="99">
        <f t="shared" si="11"/>
        <v>0</v>
      </c>
      <c r="BL1025" s="99">
        <f t="shared" si="12"/>
        <v>0</v>
      </c>
      <c r="BM1025" s="99" t="str">
        <f>IFERROR(__xludf.DUMMYFUNCTION("IFERROR(VLOOKUP(BG1025,IMPORTRANGE(""https://docs.google.com/spreadsheets/d/1juPI-Fb8LD0YtltB2mlGEnp_R3UVu1t3wSFPzgCyHXE/edit?gid=0#gid=0"",""GERAL!A2:C""),3,0),""-"")"),"CAMPO")</f>
        <v>CAMPO</v>
      </c>
    </row>
    <row r="1026" ht="15.75" customHeight="1">
      <c r="A1026" s="111" t="s">
        <v>1281</v>
      </c>
      <c r="B1026" s="83" t="s">
        <v>5517</v>
      </c>
      <c r="C1026" s="83" t="s">
        <v>164</v>
      </c>
      <c r="D1026" s="98">
        <v>1179754.0</v>
      </c>
      <c r="E1026" s="83">
        <v>1178465.0</v>
      </c>
      <c r="F1026" s="98">
        <v>2.94879E7</v>
      </c>
      <c r="G1026" s="119" t="s">
        <v>5547</v>
      </c>
      <c r="H1026" s="91" t="s">
        <v>5548</v>
      </c>
      <c r="I1026" s="136" t="s">
        <v>5549</v>
      </c>
      <c r="J1026" s="83" t="s">
        <v>471</v>
      </c>
      <c r="K1026" s="83" t="s">
        <v>151</v>
      </c>
      <c r="L1026" s="83" t="s">
        <v>169</v>
      </c>
      <c r="M1026" s="82" t="str">
        <f>IFERROR(__xludf.DUMMYFUNCTION("IFERROR(VLOOKUP(D1026,
IMPORTRANGE(""https://docs.google.com/spreadsheets/d/1MjHtlUikwobi2MaWJgy7tfLeBmhj1u-dRFRs_8GwSoA/edit#gid=0"",""Gestores Escolares!D7:J""),3,0),""VERIFICAR CÓD SEC"")"),"MARIA DA CONCEICAO SOUSA PEREIRA")</f>
        <v>MARIA DA CONCEICAO SOUSA PEREIRA</v>
      </c>
      <c r="N1026" s="82" t="str">
        <f>IFERROR(__xludf.DUMMYFUNCTION("IFERROR(VLOOKUP(D1026,
IMPORTRANGE(""https://docs.google.com/spreadsheets/d/1MjHtlUikwobi2MaWJgy7tfLeBmhj1u-dRFRs_8GwSoA/edit#gid=0"",""Gestores Escolares!D7:J""),4,0),""VERIFICAR CÓD SEC"")"),"(75) 9 9805-9500")</f>
        <v>(75) 9 9805-9500</v>
      </c>
      <c r="O1026" s="82" t="str">
        <f>IFERROR(__xludf.DUMMYFUNCTION("IFERROR(VLOOKUP(D1026,
IMPORTRANGE(""https://docs.google.com/spreadsheets/d/1MjHtlUikwobi2MaWJgy7tfLeBmhj1u-dRFRs_8GwSoA/edit#gid=0"",""Gestores Escolares!D7:J""),6,0),""VERIFICAR CÓD SEC"")"),"ALISSON CRISTIAN SANTOS CHAGAS")</f>
        <v>ALISSON CRISTIAN SANTOS CHAGAS</v>
      </c>
      <c r="P1026" s="82" t="str">
        <f>IFERROR(__xludf.DUMMYFUNCTION("IFERROR(VLOOKUP(D1026,
IMPORTRANGE(""https://docs.google.com/spreadsheets/d/1MjHtlUikwobi2MaWJgy7tfLeBmhj1u-dRFRs_8GwSoA/edit#gid=0"",""Gestores Escolares!D7:J""),7,0),""VERIFICAR CÓD SEC"")"),"(75) 9 8170-9580")</f>
        <v>(75) 9 8170-9580</v>
      </c>
      <c r="Q1026" s="82" t="str">
        <f>IFERROR(__xludf.DUMMYFUNCTION("IFERROR(VLOOKUP(D1026,
IMPORTRANGE(""https://docs.google.com/spreadsheets/d/1MjHtlUikwobi2MaWJgy7tfLeBmhj1u-dRFRs_8GwSoA/edit#gid=0"",""Gestores Escolares!D7:m""),9,0),""VERIFICAR CÓD SEC"")"),"")</f>
        <v/>
      </c>
      <c r="R1026" s="82" t="str">
        <f>IFERROR(__xludf.DUMMYFUNCTION("IFERROR(VLOOKUP(D1026,
IMPORTRANGE(""https://docs.google.com/spreadsheets/d/1MjHtlUikwobi2MaWJgy7tfLeBmhj1u-dRFRs_8GwSoA/edit#gid=0"",""Gestores Escolares!D7:m""),10,0),""VERIFICAR CÓD SEC"")"),"")</f>
        <v/>
      </c>
      <c r="S1026" s="82"/>
      <c r="T1026" s="138">
        <v>2.0</v>
      </c>
      <c r="U1026" s="173">
        <v>3.0</v>
      </c>
      <c r="V1026" s="106">
        <v>0.0</v>
      </c>
      <c r="W1026" s="107">
        <v>0.0</v>
      </c>
      <c r="X1026" s="107">
        <v>0.0</v>
      </c>
      <c r="Y1026" s="107">
        <v>0.0</v>
      </c>
      <c r="Z1026" s="80">
        <f t="shared" si="1"/>
        <v>0</v>
      </c>
      <c r="AA1026" s="106">
        <v>0.0</v>
      </c>
      <c r="AB1026" s="107">
        <v>0.0</v>
      </c>
      <c r="AC1026" s="107">
        <v>0.0</v>
      </c>
      <c r="AD1026" s="107">
        <v>0.0</v>
      </c>
      <c r="AE1026" s="80">
        <f t="shared" si="2"/>
        <v>0</v>
      </c>
      <c r="AF1026" s="140">
        <v>0.0</v>
      </c>
      <c r="AG1026" s="109">
        <v>27.0</v>
      </c>
      <c r="AH1026" s="109">
        <v>12.0</v>
      </c>
      <c r="AI1026" s="141">
        <v>0.0</v>
      </c>
      <c r="AJ1026" s="80">
        <f t="shared" si="3"/>
        <v>39</v>
      </c>
      <c r="AK1026" s="140">
        <v>0.0</v>
      </c>
      <c r="AL1026" s="109">
        <v>0.0</v>
      </c>
      <c r="AM1026" s="141">
        <v>0.0</v>
      </c>
      <c r="AN1026" s="80">
        <f t="shared" si="4"/>
        <v>0</v>
      </c>
      <c r="AO1026" s="140">
        <v>0.0</v>
      </c>
      <c r="AP1026" s="109">
        <v>0.0</v>
      </c>
      <c r="AQ1026" s="109">
        <v>0.0</v>
      </c>
      <c r="AR1026" s="80">
        <f t="shared" si="5"/>
        <v>0</v>
      </c>
      <c r="AS1026" s="110">
        <v>0.0</v>
      </c>
      <c r="AT1026" s="110">
        <v>0.0</v>
      </c>
      <c r="AU1026" s="110">
        <v>0.0</v>
      </c>
      <c r="AV1026" s="142">
        <v>0.0</v>
      </c>
      <c r="AW1026" s="80">
        <f t="shared" si="6"/>
        <v>0</v>
      </c>
      <c r="AX1026" s="113">
        <f t="shared" si="7"/>
        <v>39</v>
      </c>
      <c r="AY1026" s="117">
        <f t="shared" si="8"/>
        <v>27</v>
      </c>
      <c r="AZ1026" s="120">
        <f t="shared" si="9"/>
        <v>12</v>
      </c>
      <c r="BA1026" s="115">
        <v>0.0</v>
      </c>
      <c r="BB1026" s="89">
        <f t="shared" si="10"/>
        <v>39</v>
      </c>
      <c r="BC1026" s="132" t="s">
        <v>373</v>
      </c>
      <c r="BD1026" s="132" t="s">
        <v>227</v>
      </c>
      <c r="BE1026" s="132" t="s">
        <v>178</v>
      </c>
      <c r="BF1026" s="123"/>
      <c r="BG1026" s="83">
        <v>1178465.0</v>
      </c>
      <c r="BH1026" s="112"/>
      <c r="BI1026" s="112">
        <v>3.0</v>
      </c>
      <c r="BJ1026" s="98" t="s">
        <v>155</v>
      </c>
      <c r="BK1026" s="99">
        <f t="shared" si="11"/>
        <v>0</v>
      </c>
      <c r="BL1026" s="99">
        <f t="shared" si="12"/>
        <v>27</v>
      </c>
      <c r="BM1026" s="99" t="str">
        <f>IFERROR(__xludf.DUMMYFUNCTION("IFERROR(VLOOKUP(BG1026,IMPORTRANGE(""https://docs.google.com/spreadsheets/d/1juPI-Fb8LD0YtltB2mlGEnp_R3UVu1t3wSFPzgCyHXE/edit?gid=0#gid=0"",""GERAL!A2:C""),3,0),""-"")"),"CAMPO")</f>
        <v>CAMPO</v>
      </c>
    </row>
    <row r="1027" ht="15.75" customHeight="1">
      <c r="A1027" s="111" t="s">
        <v>1281</v>
      </c>
      <c r="B1027" s="83" t="s">
        <v>2328</v>
      </c>
      <c r="C1027" s="83" t="s">
        <v>68</v>
      </c>
      <c r="D1027" s="112">
        <v>1114613.0</v>
      </c>
      <c r="E1027" s="83"/>
      <c r="F1027" s="83">
        <v>2.915319E7</v>
      </c>
      <c r="G1027" s="153" t="s">
        <v>5550</v>
      </c>
      <c r="H1027" s="402" t="s">
        <v>5551</v>
      </c>
      <c r="I1027" s="136" t="s">
        <v>149</v>
      </c>
      <c r="J1027" s="83" t="s">
        <v>150</v>
      </c>
      <c r="K1027" s="83" t="s">
        <v>151</v>
      </c>
      <c r="L1027" s="83" t="s">
        <v>230</v>
      </c>
      <c r="M1027" s="82" t="str">
        <f>IFERROR(__xludf.DUMMYFUNCTION("IFERROR(VLOOKUP(D1027,
IMPORTRANGE(""https://docs.google.com/spreadsheets/d/1MjHtlUikwobi2MaWJgy7tfLeBmhj1u-dRFRs_8GwSoA/edit#gid=0"",""Gestores Escolares!D7:J""),3,0),""VERIFICAR CÓD SEC"")"),"LUCIO SILVA DOS SANTOS")</f>
        <v>LUCIO SILVA DOS SANTOS</v>
      </c>
      <c r="N1027" s="82" t="str">
        <f>IFERROR(__xludf.DUMMYFUNCTION("IFERROR(VLOOKUP(D1027,
IMPORTRANGE(""https://docs.google.com/spreadsheets/d/1MjHtlUikwobi2MaWJgy7tfLeBmhj1u-dRFRs_8GwSoA/edit#gid=0"",""Gestores Escolares!D7:J""),4,0),""VERIFICAR CÓD SEC"")"),"(75) 9 9982-8666")</f>
        <v>(75) 9 9982-8666</v>
      </c>
      <c r="O1027" s="82" t="str">
        <f>IFERROR(__xludf.DUMMYFUNCTION("IFERROR(VLOOKUP(D1027,
IMPORTRANGE(""https://docs.google.com/spreadsheets/d/1MjHtlUikwobi2MaWJgy7tfLeBmhj1u-dRFRs_8GwSoA/edit#gid=0"",""Gestores Escolares!D7:J""),6,0),""VERIFICAR CÓD SEC"")"),"MONICA GUALBERTO SALDANHA")</f>
        <v>MONICA GUALBERTO SALDANHA</v>
      </c>
      <c r="P1027" s="82" t="str">
        <f>IFERROR(__xludf.DUMMYFUNCTION("IFERROR(VLOOKUP(D1027,
IMPORTRANGE(""https://docs.google.com/spreadsheets/d/1MjHtlUikwobi2MaWJgy7tfLeBmhj1u-dRFRs_8GwSoA/edit#gid=0"",""Gestores Escolares!D7:J""),7,0),""VERIFICAR CÓD SEC"")"),"(75) 9 9986-7525")</f>
        <v>(75) 9 9986-7525</v>
      </c>
      <c r="Q1027" s="82" t="str">
        <f>IFERROR(__xludf.DUMMYFUNCTION("IFERROR(VLOOKUP(D1027,
IMPORTRANGE(""https://docs.google.com/spreadsheets/d/1MjHtlUikwobi2MaWJgy7tfLeBmhj1u-dRFRs_8GwSoA/edit#gid=0"",""Gestores Escolares!D7:m""),9,0),""VERIFICAR CÓD SEC"")"),"")</f>
        <v/>
      </c>
      <c r="R1027" s="82" t="str">
        <f>IFERROR(__xludf.DUMMYFUNCTION("IFERROR(VLOOKUP(D1027,
IMPORTRANGE(""https://docs.google.com/spreadsheets/d/1MjHtlUikwobi2MaWJgy7tfLeBmhj1u-dRFRs_8GwSoA/edit#gid=0"",""Gestores Escolares!D7:m""),10,0),""VERIFICAR CÓD SEC"")"),"")</f>
        <v/>
      </c>
      <c r="S1027" s="82"/>
      <c r="T1027" s="138">
        <v>10.0</v>
      </c>
      <c r="U1027" s="145" t="s">
        <v>13808</v>
      </c>
      <c r="V1027" s="106">
        <v>0.0</v>
      </c>
      <c r="W1027" s="107">
        <v>0.0</v>
      </c>
      <c r="X1027" s="107">
        <v>0.0</v>
      </c>
      <c r="Y1027" s="107">
        <v>0.0</v>
      </c>
      <c r="Z1027" s="80">
        <f t="shared" si="1"/>
        <v>0</v>
      </c>
      <c r="AA1027" s="106">
        <v>0.0</v>
      </c>
      <c r="AB1027" s="107">
        <v>0.0</v>
      </c>
      <c r="AC1027" s="107">
        <v>0.0</v>
      </c>
      <c r="AD1027" s="107">
        <v>0.0</v>
      </c>
      <c r="AE1027" s="80">
        <f t="shared" si="2"/>
        <v>0</v>
      </c>
      <c r="AF1027" s="140">
        <v>23.0</v>
      </c>
      <c r="AG1027" s="109">
        <v>34.0</v>
      </c>
      <c r="AH1027" s="109">
        <v>0.0</v>
      </c>
      <c r="AI1027" s="141">
        <v>477.0</v>
      </c>
      <c r="AJ1027" s="80">
        <f t="shared" si="3"/>
        <v>534</v>
      </c>
      <c r="AK1027" s="140">
        <v>0.0</v>
      </c>
      <c r="AL1027" s="109">
        <v>0.0</v>
      </c>
      <c r="AM1027" s="141">
        <v>0.0</v>
      </c>
      <c r="AN1027" s="80">
        <f t="shared" si="4"/>
        <v>0</v>
      </c>
      <c r="AO1027" s="140">
        <v>0.0</v>
      </c>
      <c r="AP1027" s="109">
        <v>0.0</v>
      </c>
      <c r="AQ1027" s="109">
        <v>103.0</v>
      </c>
      <c r="AR1027" s="80">
        <f t="shared" si="5"/>
        <v>103</v>
      </c>
      <c r="AS1027" s="110">
        <v>132.0</v>
      </c>
      <c r="AT1027" s="110">
        <v>26.0</v>
      </c>
      <c r="AU1027" s="110">
        <v>24.0</v>
      </c>
      <c r="AV1027" s="142">
        <v>0.0</v>
      </c>
      <c r="AW1027" s="80">
        <f t="shared" si="6"/>
        <v>182</v>
      </c>
      <c r="AX1027" s="113">
        <f t="shared" si="7"/>
        <v>819</v>
      </c>
      <c r="AY1027" s="117">
        <f t="shared" si="8"/>
        <v>692</v>
      </c>
      <c r="AZ1027" s="120">
        <f t="shared" si="9"/>
        <v>127</v>
      </c>
      <c r="BA1027" s="115">
        <v>0.0</v>
      </c>
      <c r="BB1027" s="89">
        <f t="shared" si="10"/>
        <v>819</v>
      </c>
      <c r="BC1027" s="132" t="s">
        <v>178</v>
      </c>
      <c r="BD1027" s="132" t="s">
        <v>178</v>
      </c>
      <c r="BE1027" s="132" t="s">
        <v>178</v>
      </c>
      <c r="BF1027" s="123"/>
      <c r="BG1027" s="83">
        <v>1114613.0</v>
      </c>
      <c r="BH1027" s="98"/>
      <c r="BI1027" s="98">
        <v>17.0</v>
      </c>
      <c r="BJ1027" s="98" t="s">
        <v>162</v>
      </c>
      <c r="BK1027" s="99">
        <f t="shared" si="11"/>
        <v>477</v>
      </c>
      <c r="BL1027" s="99">
        <f t="shared" si="12"/>
        <v>215</v>
      </c>
      <c r="BM1027" s="99" t="str">
        <f>IFERROR(__xludf.DUMMYFUNCTION("IFERROR(VLOOKUP(BG1027,IMPORTRANGE(""https://docs.google.com/spreadsheets/d/1juPI-Fb8LD0YtltB2mlGEnp_R3UVu1t3wSFPzgCyHXE/edit?gid=0#gid=0"",""GERAL!A2:C""),3,0),""-"")"),"-")</f>
        <v>-</v>
      </c>
    </row>
    <row r="1028" ht="15.75" customHeight="1">
      <c r="A1028" s="111" t="s">
        <v>1281</v>
      </c>
      <c r="B1028" s="83" t="s">
        <v>2148</v>
      </c>
      <c r="C1028" s="83" t="s">
        <v>68</v>
      </c>
      <c r="D1028" s="112">
        <v>1179222.0</v>
      </c>
      <c r="E1028" s="83"/>
      <c r="F1028" s="83">
        <v>2.9456495E7</v>
      </c>
      <c r="G1028" s="119" t="s">
        <v>5554</v>
      </c>
      <c r="H1028" s="91" t="s">
        <v>5555</v>
      </c>
      <c r="I1028" s="136" t="s">
        <v>149</v>
      </c>
      <c r="J1028" s="83" t="s">
        <v>672</v>
      </c>
      <c r="K1028" s="83" t="s">
        <v>151</v>
      </c>
      <c r="L1028" s="98" t="s">
        <v>152</v>
      </c>
      <c r="M1028" s="82" t="str">
        <f>IFERROR(__xludf.DUMMYFUNCTION("IFERROR(VLOOKUP(D1028,
IMPORTRANGE(""https://docs.google.com/spreadsheets/d/1MjHtlUikwobi2MaWJgy7tfLeBmhj1u-dRFRs_8GwSoA/edit#gid=0"",""Gestores Escolares!D7:J""),3,0),""VERIFICAR CÓD SEC"")"),"CLAUDIA DANTAS SCHRAMM")</f>
        <v>CLAUDIA DANTAS SCHRAMM</v>
      </c>
      <c r="N1028" s="82" t="str">
        <f>IFERROR(__xludf.DUMMYFUNCTION("IFERROR(VLOOKUP(D1028,
IMPORTRANGE(""https://docs.google.com/spreadsheets/d/1MjHtlUikwobi2MaWJgy7tfLeBmhj1u-dRFRs_8GwSoA/edit#gid=0"",""Gestores Escolares!D7:J""),4,0),""VERIFICAR CÓD SEC"")"),"(75) 9 9878-0444")</f>
        <v>(75) 9 9878-0444</v>
      </c>
      <c r="O1028" s="82" t="str">
        <f>IFERROR(__xludf.DUMMYFUNCTION("IFERROR(VLOOKUP(D1028,
IMPORTRANGE(""https://docs.google.com/spreadsheets/d/1MjHtlUikwobi2MaWJgy7tfLeBmhj1u-dRFRs_8GwSoA/edit#gid=0"",""Gestores Escolares!D7:J""),6,0),""VERIFICAR CÓD SEC"")"),"CRISTOVAO MELO GALVAO")</f>
        <v>CRISTOVAO MELO GALVAO</v>
      </c>
      <c r="P1028" s="82" t="str">
        <f>IFERROR(__xludf.DUMMYFUNCTION("IFERROR(VLOOKUP(D1028,
IMPORTRANGE(""https://docs.google.com/spreadsheets/d/1MjHtlUikwobi2MaWJgy7tfLeBmhj1u-dRFRs_8GwSoA/edit#gid=0"",""Gestores Escolares!D7:J""),7,0),""VERIFICAR CÓD SEC"")"),"(71) 9 9994-0233")</f>
        <v>(71) 9 9994-0233</v>
      </c>
      <c r="Q1028" s="82" t="str">
        <f>IFERROR(__xludf.DUMMYFUNCTION("IFERROR(VLOOKUP(D1028,
IMPORTRANGE(""https://docs.google.com/spreadsheets/d/1MjHtlUikwobi2MaWJgy7tfLeBmhj1u-dRFRs_8GwSoA/edit#gid=0"",""Gestores Escolares!D7:m""),9,0),""VERIFICAR CÓD SEC"")"),"JOSE TADEU VIEIRA LEITE")</f>
        <v>JOSE TADEU VIEIRA LEITE</v>
      </c>
      <c r="R1028" s="82" t="str">
        <f>IFERROR(__xludf.DUMMYFUNCTION("IFERROR(VLOOKUP(D1028,
IMPORTRANGE(""https://docs.google.com/spreadsheets/d/1MjHtlUikwobi2MaWJgy7tfLeBmhj1u-dRFRs_8GwSoA/edit#gid=0"",""Gestores Escolares!D7:m""),10,0),""VERIFICAR CÓD SEC"")"),"(71) 9 9664-3604")</f>
        <v>(71) 9 9664-3604</v>
      </c>
      <c r="S1028" s="82"/>
      <c r="T1028" s="138">
        <v>9.0</v>
      </c>
      <c r="U1028" s="145" t="s">
        <v>10489</v>
      </c>
      <c r="V1028" s="106">
        <v>0.0</v>
      </c>
      <c r="W1028" s="107">
        <v>0.0</v>
      </c>
      <c r="X1028" s="107">
        <v>0.0</v>
      </c>
      <c r="Y1028" s="107">
        <v>0.0</v>
      </c>
      <c r="Z1028" s="80">
        <f t="shared" si="1"/>
        <v>0</v>
      </c>
      <c r="AA1028" s="106">
        <v>0.0</v>
      </c>
      <c r="AB1028" s="107">
        <v>0.0</v>
      </c>
      <c r="AC1028" s="107">
        <v>0.0</v>
      </c>
      <c r="AD1028" s="107">
        <v>0.0</v>
      </c>
      <c r="AE1028" s="80">
        <f t="shared" si="2"/>
        <v>0</v>
      </c>
      <c r="AF1028" s="140">
        <v>149.0</v>
      </c>
      <c r="AG1028" s="109">
        <v>42.0</v>
      </c>
      <c r="AH1028" s="109">
        <v>0.0</v>
      </c>
      <c r="AI1028" s="141">
        <v>156.0</v>
      </c>
      <c r="AJ1028" s="80">
        <f t="shared" si="3"/>
        <v>347</v>
      </c>
      <c r="AK1028" s="140">
        <v>0.0</v>
      </c>
      <c r="AL1028" s="109">
        <v>0.0</v>
      </c>
      <c r="AM1028" s="141">
        <v>0.0</v>
      </c>
      <c r="AN1028" s="80">
        <f t="shared" si="4"/>
        <v>0</v>
      </c>
      <c r="AO1028" s="140">
        <v>0.0</v>
      </c>
      <c r="AP1028" s="109">
        <v>0.0</v>
      </c>
      <c r="AQ1028" s="109">
        <v>68.0</v>
      </c>
      <c r="AR1028" s="80">
        <f t="shared" si="5"/>
        <v>68</v>
      </c>
      <c r="AS1028" s="110">
        <v>0.0</v>
      </c>
      <c r="AT1028" s="110">
        <v>0.0</v>
      </c>
      <c r="AU1028" s="110">
        <v>0.0</v>
      </c>
      <c r="AV1028" s="142">
        <v>0.0</v>
      </c>
      <c r="AW1028" s="80">
        <f t="shared" si="6"/>
        <v>0</v>
      </c>
      <c r="AX1028" s="113">
        <f t="shared" si="7"/>
        <v>415</v>
      </c>
      <c r="AY1028" s="117">
        <f t="shared" si="8"/>
        <v>347</v>
      </c>
      <c r="AZ1028" s="120">
        <f t="shared" si="9"/>
        <v>68</v>
      </c>
      <c r="BA1028" s="115">
        <v>0.0</v>
      </c>
      <c r="BB1028" s="89">
        <f t="shared" si="10"/>
        <v>415</v>
      </c>
      <c r="BC1028" s="132" t="s">
        <v>373</v>
      </c>
      <c r="BD1028" s="132" t="s">
        <v>178</v>
      </c>
      <c r="BE1028" s="132" t="s">
        <v>178</v>
      </c>
      <c r="BF1028" s="123"/>
      <c r="BG1028" s="83">
        <v>1179222.0</v>
      </c>
      <c r="BH1028" s="112"/>
      <c r="BI1028" s="112">
        <v>9.0</v>
      </c>
      <c r="BJ1028" s="98" t="s">
        <v>155</v>
      </c>
      <c r="BK1028" s="99">
        <f t="shared" si="11"/>
        <v>156</v>
      </c>
      <c r="BL1028" s="99">
        <f t="shared" si="12"/>
        <v>191</v>
      </c>
      <c r="BM1028" s="99" t="str">
        <f>IFERROR(__xludf.DUMMYFUNCTION("IFERROR(VLOOKUP(BG1028,IMPORTRANGE(""https://docs.google.com/spreadsheets/d/1juPI-Fb8LD0YtltB2mlGEnp_R3UVu1t3wSFPzgCyHXE/edit?gid=0#gid=0"",""GERAL!A2:C""),3,0),""-"")"),"CAMPO")</f>
        <v>CAMPO</v>
      </c>
    </row>
    <row r="1029" ht="15.75" customHeight="1">
      <c r="A1029" s="111" t="s">
        <v>1281</v>
      </c>
      <c r="B1029" s="83" t="s">
        <v>2148</v>
      </c>
      <c r="C1029" s="83" t="s">
        <v>68</v>
      </c>
      <c r="D1029" s="112">
        <v>1108753.0</v>
      </c>
      <c r="E1029" s="83"/>
      <c r="F1029" s="83">
        <v>2.9156211E7</v>
      </c>
      <c r="G1029" s="119" t="s">
        <v>5563</v>
      </c>
      <c r="H1029" s="91" t="s">
        <v>5564</v>
      </c>
      <c r="I1029" s="136" t="s">
        <v>149</v>
      </c>
      <c r="J1029" s="83" t="s">
        <v>150</v>
      </c>
      <c r="K1029" s="83" t="s">
        <v>151</v>
      </c>
      <c r="L1029" s="98" t="s">
        <v>230</v>
      </c>
      <c r="M1029" s="82" t="str">
        <f>IFERROR(__xludf.DUMMYFUNCTION("IFERROR(VLOOKUP(D1029,
IMPORTRANGE(""https://docs.google.com/spreadsheets/d/1MjHtlUikwobi2MaWJgy7tfLeBmhj1u-dRFRs_8GwSoA/edit#gid=0"",""Gestores Escolares!D7:J""),3,0),""VERIFICAR CÓD SEC"")"),"	MAGDA MARIA DA CONCEICAO LIMA SILVA")</f>
        <v>	MAGDA MARIA DA CONCEICAO LIMA SILVA</v>
      </c>
      <c r="N1029" s="82" t="str">
        <f>IFERROR(__xludf.DUMMYFUNCTION("IFERROR(VLOOKUP(D1029,
IMPORTRANGE(""https://docs.google.com/spreadsheets/d/1MjHtlUikwobi2MaWJgy7tfLeBmhj1u-dRFRs_8GwSoA/edit#gid=0"",""Gestores Escolares!D7:J""),4,0),""VERIFICAR CÓD SEC"")"),"(75) 9 9936-4129")</f>
        <v>(75) 9 9936-4129</v>
      </c>
      <c r="O1029" s="82" t="str">
        <f>IFERROR(__xludf.DUMMYFUNCTION("IFERROR(VLOOKUP(D1029,
IMPORTRANGE(""https://docs.google.com/spreadsheets/d/1MjHtlUikwobi2MaWJgy7tfLeBmhj1u-dRFRs_8GwSoA/edit#gid=0"",""Gestores Escolares!D7:J""),6,0),""VERIFICAR CÓD SEC"")"),"MARIA DE LOURDES BIZERRA")</f>
        <v>MARIA DE LOURDES BIZERRA</v>
      </c>
      <c r="P1029" s="82" t="str">
        <f>IFERROR(__xludf.DUMMYFUNCTION("IFERROR(VLOOKUP(D1029,
IMPORTRANGE(""https://docs.google.com/spreadsheets/d/1MjHtlUikwobi2MaWJgy7tfLeBmhj1u-dRFRs_8GwSoA/edit#gid=0"",""Gestores Escolares!D7:J""),7,0),""VERIFICAR CÓD SEC"")"),"(75) 9 9997-1598")</f>
        <v>(75) 9 9997-1598</v>
      </c>
      <c r="Q1029" s="82" t="str">
        <f>IFERROR(__xludf.DUMMYFUNCTION("IFERROR(VLOOKUP(D1029,
IMPORTRANGE(""https://docs.google.com/spreadsheets/d/1MjHtlUikwobi2MaWJgy7tfLeBmhj1u-dRFRs_8GwSoA/edit#gid=0"",""Gestores Escolares!D7:m""),9,0),""VERIFICAR CÓD SEC"")"),"")</f>
        <v/>
      </c>
      <c r="R1029" s="82" t="str">
        <f>IFERROR(__xludf.DUMMYFUNCTION("IFERROR(VLOOKUP(D1029,
IMPORTRANGE(""https://docs.google.com/spreadsheets/d/1MjHtlUikwobi2MaWJgy7tfLeBmhj1u-dRFRs_8GwSoA/edit#gid=0"",""Gestores Escolares!D7:m""),10,0),""VERIFICAR CÓD SEC"")"),"")</f>
        <v/>
      </c>
      <c r="S1029" s="82"/>
      <c r="T1029" s="138">
        <v>18.0</v>
      </c>
      <c r="U1029" s="145" t="s">
        <v>13809</v>
      </c>
      <c r="V1029" s="106">
        <v>0.0</v>
      </c>
      <c r="W1029" s="107">
        <v>0.0</v>
      </c>
      <c r="X1029" s="107">
        <v>0.0</v>
      </c>
      <c r="Y1029" s="107">
        <v>0.0</v>
      </c>
      <c r="Z1029" s="80">
        <f t="shared" si="1"/>
        <v>0</v>
      </c>
      <c r="AA1029" s="106">
        <v>0.0</v>
      </c>
      <c r="AB1029" s="107">
        <v>0.0</v>
      </c>
      <c r="AC1029" s="107">
        <v>0.0</v>
      </c>
      <c r="AD1029" s="107">
        <v>0.0</v>
      </c>
      <c r="AE1029" s="80">
        <f t="shared" si="2"/>
        <v>0</v>
      </c>
      <c r="AF1029" s="140">
        <v>0.0</v>
      </c>
      <c r="AG1029" s="109">
        <v>0.0</v>
      </c>
      <c r="AH1029" s="109">
        <v>0.0</v>
      </c>
      <c r="AI1029" s="141">
        <v>245.0</v>
      </c>
      <c r="AJ1029" s="80">
        <f t="shared" si="3"/>
        <v>245</v>
      </c>
      <c r="AK1029" s="140">
        <v>0.0</v>
      </c>
      <c r="AL1029" s="109">
        <v>0.0</v>
      </c>
      <c r="AM1029" s="141">
        <v>0.0</v>
      </c>
      <c r="AN1029" s="80">
        <f t="shared" si="4"/>
        <v>0</v>
      </c>
      <c r="AO1029" s="140">
        <v>0.0</v>
      </c>
      <c r="AP1029" s="109">
        <v>0.0</v>
      </c>
      <c r="AQ1029" s="109">
        <v>202.0</v>
      </c>
      <c r="AR1029" s="80">
        <f t="shared" si="5"/>
        <v>202</v>
      </c>
      <c r="AS1029" s="110">
        <v>243.0</v>
      </c>
      <c r="AT1029" s="110">
        <v>257.0</v>
      </c>
      <c r="AU1029" s="110">
        <v>0.0</v>
      </c>
      <c r="AV1029" s="142">
        <v>0.0</v>
      </c>
      <c r="AW1029" s="80">
        <f t="shared" si="6"/>
        <v>500</v>
      </c>
      <c r="AX1029" s="113">
        <f t="shared" si="7"/>
        <v>947</v>
      </c>
      <c r="AY1029" s="117">
        <f t="shared" si="8"/>
        <v>745</v>
      </c>
      <c r="AZ1029" s="120">
        <f t="shared" si="9"/>
        <v>202</v>
      </c>
      <c r="BA1029" s="115">
        <v>0.0</v>
      </c>
      <c r="BB1029" s="89">
        <f t="shared" si="10"/>
        <v>947</v>
      </c>
      <c r="BC1029" s="132" t="s">
        <v>178</v>
      </c>
      <c r="BD1029" s="132" t="s">
        <v>178</v>
      </c>
      <c r="BE1029" s="132" t="s">
        <v>178</v>
      </c>
      <c r="BF1029" s="123"/>
      <c r="BG1029" s="83">
        <v>1108753.0</v>
      </c>
      <c r="BH1029" s="112"/>
      <c r="BI1029" s="112">
        <v>15.0</v>
      </c>
      <c r="BJ1029" s="98" t="s">
        <v>176</v>
      </c>
      <c r="BK1029" s="99">
        <f t="shared" si="11"/>
        <v>245</v>
      </c>
      <c r="BL1029" s="99">
        <f t="shared" si="12"/>
        <v>500</v>
      </c>
      <c r="BM1029" s="99" t="str">
        <f>IFERROR(__xludf.DUMMYFUNCTION("IFERROR(VLOOKUP(BG1029,IMPORTRANGE(""https://docs.google.com/spreadsheets/d/1juPI-Fb8LD0YtltB2mlGEnp_R3UVu1t3wSFPzgCyHXE/edit?gid=0#gid=0"",""GERAL!A2:C""),3,0),""-"")"),"-")</f>
        <v>-</v>
      </c>
    </row>
    <row r="1030" ht="15.75" customHeight="1">
      <c r="A1030" s="111" t="s">
        <v>1281</v>
      </c>
      <c r="B1030" s="83" t="s">
        <v>2148</v>
      </c>
      <c r="C1030" s="83" t="s">
        <v>164</v>
      </c>
      <c r="D1030" s="112">
        <v>1108508.0</v>
      </c>
      <c r="E1030" s="83">
        <v>1178468.0</v>
      </c>
      <c r="F1030" s="98">
        <v>2.94879E7</v>
      </c>
      <c r="G1030" s="119" t="s">
        <v>5573</v>
      </c>
      <c r="H1030" s="91" t="s">
        <v>5574</v>
      </c>
      <c r="I1030" s="136" t="s">
        <v>5575</v>
      </c>
      <c r="J1030" s="83" t="s">
        <v>1502</v>
      </c>
      <c r="K1030" s="83" t="s">
        <v>168</v>
      </c>
      <c r="L1030" s="83" t="s">
        <v>169</v>
      </c>
      <c r="M1030" s="82" t="str">
        <f>IFERROR(__xludf.DUMMYFUNCTION("IFERROR(VLOOKUP(D1030,
IMPORTRANGE(""https://docs.google.com/spreadsheets/d/1MjHtlUikwobi2MaWJgy7tfLeBmhj1u-dRFRs_8GwSoA/edit#gid=0"",""Gestores Escolares!D7:J""),3,0),""VERIFICAR CÓD SEC"")"),"VERIFICAR CÓD SEC")</f>
        <v>VERIFICAR CÓD SEC</v>
      </c>
      <c r="N1030" s="82" t="str">
        <f>IFERROR(__xludf.DUMMYFUNCTION("IFERROR(VLOOKUP(D1030,
IMPORTRANGE(""https://docs.google.com/spreadsheets/d/1MjHtlUikwobi2MaWJgy7tfLeBmhj1u-dRFRs_8GwSoA/edit#gid=0"",""Gestores Escolares!D7:J""),4,0),""VERIFICAR CÓD SEC"")"),"VERIFICAR CÓD SEC")</f>
        <v>VERIFICAR CÓD SEC</v>
      </c>
      <c r="O1030" s="82" t="str">
        <f>IFERROR(__xludf.DUMMYFUNCTION("IFERROR(VLOOKUP(D1030,
IMPORTRANGE(""https://docs.google.com/spreadsheets/d/1MjHtlUikwobi2MaWJgy7tfLeBmhj1u-dRFRs_8GwSoA/edit#gid=0"",""Gestores Escolares!D7:J""),6,0),""VERIFICAR CÓD SEC"")"),"VERIFICAR CÓD SEC")</f>
        <v>VERIFICAR CÓD SEC</v>
      </c>
      <c r="P1030" s="82" t="str">
        <f>IFERROR(__xludf.DUMMYFUNCTION("IFERROR(VLOOKUP(D1030,
IMPORTRANGE(""https://docs.google.com/spreadsheets/d/1MjHtlUikwobi2MaWJgy7tfLeBmhj1u-dRFRs_8GwSoA/edit#gid=0"",""Gestores Escolares!D7:J""),7,0),""VERIFICAR CÓD SEC"")"),"VERIFICAR CÓD SEC")</f>
        <v>VERIFICAR CÓD SEC</v>
      </c>
      <c r="Q1030" s="82" t="str">
        <f>IFERROR(__xludf.DUMMYFUNCTION("IFERROR(VLOOKUP(D1030,
IMPORTRANGE(""https://docs.google.com/spreadsheets/d/1MjHtlUikwobi2MaWJgy7tfLeBmhj1u-dRFRs_8GwSoA/edit#gid=0"",""Gestores Escolares!D7:m""),9,0),""VERIFICAR CÓD SEC"")"),"VERIFICAR CÓD SEC")</f>
        <v>VERIFICAR CÓD SEC</v>
      </c>
      <c r="R1030" s="82" t="str">
        <f>IFERROR(__xludf.DUMMYFUNCTION("IFERROR(VLOOKUP(D1030,
IMPORTRANGE(""https://docs.google.com/spreadsheets/d/1MjHtlUikwobi2MaWJgy7tfLeBmhj1u-dRFRs_8GwSoA/edit#gid=0"",""Gestores Escolares!D7:m""),10,0),""VERIFICAR CÓD SEC"")"),"VERIFICAR CÓD SEC")</f>
        <v>VERIFICAR CÓD SEC</v>
      </c>
      <c r="S1030" s="82"/>
      <c r="T1030" s="138">
        <v>3.0</v>
      </c>
      <c r="U1030" s="139">
        <v>3.0</v>
      </c>
      <c r="V1030" s="106">
        <v>0.0</v>
      </c>
      <c r="W1030" s="107">
        <v>0.0</v>
      </c>
      <c r="X1030" s="107">
        <v>0.0</v>
      </c>
      <c r="Y1030" s="107">
        <v>0.0</v>
      </c>
      <c r="Z1030" s="80">
        <f t="shared" si="1"/>
        <v>0</v>
      </c>
      <c r="AA1030" s="106">
        <v>0.0</v>
      </c>
      <c r="AB1030" s="107">
        <v>0.0</v>
      </c>
      <c r="AC1030" s="107">
        <v>0.0</v>
      </c>
      <c r="AD1030" s="107">
        <v>0.0</v>
      </c>
      <c r="AE1030" s="80">
        <f t="shared" si="2"/>
        <v>0</v>
      </c>
      <c r="AF1030" s="140">
        <v>0.0</v>
      </c>
      <c r="AG1030" s="109">
        <v>0.0</v>
      </c>
      <c r="AH1030" s="109">
        <v>25.0</v>
      </c>
      <c r="AI1030" s="141">
        <v>0.0</v>
      </c>
      <c r="AJ1030" s="80">
        <f t="shared" si="3"/>
        <v>25</v>
      </c>
      <c r="AK1030" s="140">
        <v>0.0</v>
      </c>
      <c r="AL1030" s="109">
        <v>0.0</v>
      </c>
      <c r="AM1030" s="141">
        <v>0.0</v>
      </c>
      <c r="AN1030" s="80">
        <f t="shared" si="4"/>
        <v>0</v>
      </c>
      <c r="AO1030" s="140">
        <v>0.0</v>
      </c>
      <c r="AP1030" s="109">
        <v>0.0</v>
      </c>
      <c r="AQ1030" s="109">
        <v>0.0</v>
      </c>
      <c r="AR1030" s="80">
        <f t="shared" si="5"/>
        <v>0</v>
      </c>
      <c r="AS1030" s="110">
        <v>0.0</v>
      </c>
      <c r="AT1030" s="110">
        <v>0.0</v>
      </c>
      <c r="AU1030" s="110">
        <v>0.0</v>
      </c>
      <c r="AV1030" s="142">
        <v>0.0</v>
      </c>
      <c r="AW1030" s="80">
        <f t="shared" si="6"/>
        <v>0</v>
      </c>
      <c r="AX1030" s="113">
        <f t="shared" si="7"/>
        <v>25</v>
      </c>
      <c r="AY1030" s="117">
        <f t="shared" si="8"/>
        <v>0</v>
      </c>
      <c r="AZ1030" s="120">
        <f t="shared" si="9"/>
        <v>25</v>
      </c>
      <c r="BA1030" s="115">
        <v>0.0</v>
      </c>
      <c r="BB1030" s="89">
        <f t="shared" si="10"/>
        <v>25</v>
      </c>
      <c r="BC1030" s="132" t="s">
        <v>373</v>
      </c>
      <c r="BD1030" s="132" t="s">
        <v>178</v>
      </c>
      <c r="BE1030" s="132" t="s">
        <v>178</v>
      </c>
      <c r="BF1030" s="123"/>
      <c r="BG1030" s="83">
        <v>1178468.0</v>
      </c>
      <c r="BH1030" s="112"/>
      <c r="BI1030" s="112">
        <v>3.0</v>
      </c>
      <c r="BJ1030" s="98" t="s">
        <v>155</v>
      </c>
      <c r="BK1030" s="99">
        <f t="shared" si="11"/>
        <v>0</v>
      </c>
      <c r="BL1030" s="99">
        <f t="shared" si="12"/>
        <v>0</v>
      </c>
      <c r="BM1030" s="99" t="str">
        <f>IFERROR(__xludf.DUMMYFUNCTION("IFERROR(VLOOKUP(BG1030,IMPORTRANGE(""https://docs.google.com/spreadsheets/d/1juPI-Fb8LD0YtltB2mlGEnp_R3UVu1t3wSFPzgCyHXE/edit?gid=0#gid=0"",""GERAL!A2:C""),3,0),""-"")"),"CAMPO")</f>
        <v>CAMPO</v>
      </c>
    </row>
    <row r="1031" ht="15.75" customHeight="1">
      <c r="A1031" s="111" t="s">
        <v>1281</v>
      </c>
      <c r="B1031" s="83" t="s">
        <v>2148</v>
      </c>
      <c r="C1031" s="83" t="s">
        <v>164</v>
      </c>
      <c r="D1031" s="98">
        <v>1179754.0</v>
      </c>
      <c r="E1031" s="83">
        <v>1178469.0</v>
      </c>
      <c r="F1031" s="98">
        <v>2.94879E7</v>
      </c>
      <c r="G1031" s="119" t="s">
        <v>5578</v>
      </c>
      <c r="H1031" s="114" t="s">
        <v>5580</v>
      </c>
      <c r="I1031" s="136" t="s">
        <v>5581</v>
      </c>
      <c r="J1031" s="83" t="s">
        <v>568</v>
      </c>
      <c r="K1031" s="83" t="s">
        <v>168</v>
      </c>
      <c r="L1031" s="83" t="s">
        <v>169</v>
      </c>
      <c r="M1031" s="82" t="str">
        <f>IFERROR(__xludf.DUMMYFUNCTION("IFERROR(VLOOKUP(D1031,
IMPORTRANGE(""https://docs.google.com/spreadsheets/d/1MjHtlUikwobi2MaWJgy7tfLeBmhj1u-dRFRs_8GwSoA/edit#gid=0"",""Gestores Escolares!D7:J""),3,0),""VERIFICAR CÓD SEC"")"),"MARIA DA CONCEICAO SOUSA PEREIRA")</f>
        <v>MARIA DA CONCEICAO SOUSA PEREIRA</v>
      </c>
      <c r="N1031" s="82" t="str">
        <f>IFERROR(__xludf.DUMMYFUNCTION("IFERROR(VLOOKUP(D1031,
IMPORTRANGE(""https://docs.google.com/spreadsheets/d/1MjHtlUikwobi2MaWJgy7tfLeBmhj1u-dRFRs_8GwSoA/edit#gid=0"",""Gestores Escolares!D7:J""),4,0),""VERIFICAR CÓD SEC"")"),"(75) 9 9805-9500")</f>
        <v>(75) 9 9805-9500</v>
      </c>
      <c r="O1031" s="82" t="str">
        <f>IFERROR(__xludf.DUMMYFUNCTION("IFERROR(VLOOKUP(D1031,
IMPORTRANGE(""https://docs.google.com/spreadsheets/d/1MjHtlUikwobi2MaWJgy7tfLeBmhj1u-dRFRs_8GwSoA/edit#gid=0"",""Gestores Escolares!D7:J""),6,0),""VERIFICAR CÓD SEC"")"),"ALISSON CRISTIAN SANTOS CHAGAS")</f>
        <v>ALISSON CRISTIAN SANTOS CHAGAS</v>
      </c>
      <c r="P1031" s="82" t="str">
        <f>IFERROR(__xludf.DUMMYFUNCTION("IFERROR(VLOOKUP(D1031,
IMPORTRANGE(""https://docs.google.com/spreadsheets/d/1MjHtlUikwobi2MaWJgy7tfLeBmhj1u-dRFRs_8GwSoA/edit#gid=0"",""Gestores Escolares!D7:J""),7,0),""VERIFICAR CÓD SEC"")"),"(75) 9 8170-9580")</f>
        <v>(75) 9 8170-9580</v>
      </c>
      <c r="Q1031" s="82" t="str">
        <f>IFERROR(__xludf.DUMMYFUNCTION("IFERROR(VLOOKUP(D1031,
IMPORTRANGE(""https://docs.google.com/spreadsheets/d/1MjHtlUikwobi2MaWJgy7tfLeBmhj1u-dRFRs_8GwSoA/edit#gid=0"",""Gestores Escolares!D7:m""),9,0),""VERIFICAR CÓD SEC"")"),"")</f>
        <v/>
      </c>
      <c r="R1031" s="82" t="str">
        <f>IFERROR(__xludf.DUMMYFUNCTION("IFERROR(VLOOKUP(D1031,
IMPORTRANGE(""https://docs.google.com/spreadsheets/d/1MjHtlUikwobi2MaWJgy7tfLeBmhj1u-dRFRs_8GwSoA/edit#gid=0"",""Gestores Escolares!D7:m""),10,0),""VERIFICAR CÓD SEC"")"),"")</f>
        <v/>
      </c>
      <c r="S1031" s="82"/>
      <c r="T1031" s="138">
        <v>3.0</v>
      </c>
      <c r="U1031" s="139">
        <v>3.0</v>
      </c>
      <c r="V1031" s="106">
        <v>0.0</v>
      </c>
      <c r="W1031" s="107">
        <v>0.0</v>
      </c>
      <c r="X1031" s="107">
        <v>0.0</v>
      </c>
      <c r="Y1031" s="107">
        <v>0.0</v>
      </c>
      <c r="Z1031" s="80">
        <f t="shared" si="1"/>
        <v>0</v>
      </c>
      <c r="AA1031" s="106">
        <v>0.0</v>
      </c>
      <c r="AB1031" s="107">
        <v>0.0</v>
      </c>
      <c r="AC1031" s="107">
        <v>0.0</v>
      </c>
      <c r="AD1031" s="107">
        <v>0.0</v>
      </c>
      <c r="AE1031" s="80">
        <f t="shared" si="2"/>
        <v>0</v>
      </c>
      <c r="AF1031" s="140">
        <v>0.0</v>
      </c>
      <c r="AG1031" s="109">
        <v>0.0</v>
      </c>
      <c r="AH1031" s="109">
        <v>44.0</v>
      </c>
      <c r="AI1031" s="141">
        <v>0.0</v>
      </c>
      <c r="AJ1031" s="80">
        <f t="shared" si="3"/>
        <v>44</v>
      </c>
      <c r="AK1031" s="140">
        <v>0.0</v>
      </c>
      <c r="AL1031" s="109">
        <v>0.0</v>
      </c>
      <c r="AM1031" s="141">
        <v>0.0</v>
      </c>
      <c r="AN1031" s="80">
        <f t="shared" si="4"/>
        <v>0</v>
      </c>
      <c r="AO1031" s="140">
        <v>0.0</v>
      </c>
      <c r="AP1031" s="109">
        <v>0.0</v>
      </c>
      <c r="AQ1031" s="109">
        <v>0.0</v>
      </c>
      <c r="AR1031" s="80">
        <f t="shared" si="5"/>
        <v>0</v>
      </c>
      <c r="AS1031" s="110">
        <v>0.0</v>
      </c>
      <c r="AT1031" s="110">
        <v>0.0</v>
      </c>
      <c r="AU1031" s="110">
        <v>0.0</v>
      </c>
      <c r="AV1031" s="142">
        <v>0.0</v>
      </c>
      <c r="AW1031" s="80">
        <f t="shared" si="6"/>
        <v>0</v>
      </c>
      <c r="AX1031" s="113">
        <f t="shared" si="7"/>
        <v>44</v>
      </c>
      <c r="AY1031" s="117">
        <f t="shared" si="8"/>
        <v>0</v>
      </c>
      <c r="AZ1031" s="120">
        <f t="shared" si="9"/>
        <v>44</v>
      </c>
      <c r="BA1031" s="115">
        <v>0.0</v>
      </c>
      <c r="BB1031" s="89">
        <f t="shared" si="10"/>
        <v>44</v>
      </c>
      <c r="BC1031" s="132" t="s">
        <v>373</v>
      </c>
      <c r="BD1031" s="132" t="s">
        <v>227</v>
      </c>
      <c r="BE1031" s="132" t="s">
        <v>178</v>
      </c>
      <c r="BF1031" s="123"/>
      <c r="BG1031" s="83">
        <v>1178469.0</v>
      </c>
      <c r="BH1031" s="112"/>
      <c r="BI1031" s="112">
        <v>3.0</v>
      </c>
      <c r="BJ1031" s="98" t="s">
        <v>155</v>
      </c>
      <c r="BK1031" s="99">
        <f t="shared" si="11"/>
        <v>0</v>
      </c>
      <c r="BL1031" s="99">
        <f t="shared" si="12"/>
        <v>0</v>
      </c>
      <c r="BM1031" s="99" t="str">
        <f>IFERROR(__xludf.DUMMYFUNCTION("IFERROR(VLOOKUP(BG1031,IMPORTRANGE(""https://docs.google.com/spreadsheets/d/1juPI-Fb8LD0YtltB2mlGEnp_R3UVu1t3wSFPzgCyHXE/edit?gid=0#gid=0"",""GERAL!A2:C""),3,0),""-"")"),"CAMPO")</f>
        <v>CAMPO</v>
      </c>
    </row>
    <row r="1032" ht="15.75" customHeight="1">
      <c r="A1032" s="111" t="s">
        <v>1281</v>
      </c>
      <c r="B1032" s="83" t="s">
        <v>5587</v>
      </c>
      <c r="C1032" s="83" t="s">
        <v>68</v>
      </c>
      <c r="D1032" s="112">
        <v>1176401.0</v>
      </c>
      <c r="E1032" s="83"/>
      <c r="F1032" s="83">
        <v>2.937328E7</v>
      </c>
      <c r="G1032" s="153" t="s">
        <v>5588</v>
      </c>
      <c r="H1032" s="91" t="s">
        <v>5589</v>
      </c>
      <c r="I1032" s="136" t="s">
        <v>149</v>
      </c>
      <c r="J1032" s="83" t="s">
        <v>150</v>
      </c>
      <c r="K1032" s="83" t="s">
        <v>151</v>
      </c>
      <c r="L1032" s="83" t="s">
        <v>230</v>
      </c>
      <c r="M1032" s="82" t="str">
        <f>IFERROR(__xludf.DUMMYFUNCTION("IFERROR(VLOOKUP(D1032,
IMPORTRANGE(""https://docs.google.com/spreadsheets/d/1MjHtlUikwobi2MaWJgy7tfLeBmhj1u-dRFRs_8GwSoA/edit#gid=0"",""Gestores Escolares!D7:J""),3,0),""VERIFICAR CÓD SEC"")"),"TERESA CRISTINA SILVA CAVALCANTE DOS SANTOS")</f>
        <v>TERESA CRISTINA SILVA CAVALCANTE DOS SANTOS</v>
      </c>
      <c r="N1032" s="82" t="str">
        <f>IFERROR(__xludf.DUMMYFUNCTION("IFERROR(VLOOKUP(D1032,
IMPORTRANGE(""https://docs.google.com/spreadsheets/d/1MjHtlUikwobi2MaWJgy7tfLeBmhj1u-dRFRs_8GwSoA/edit#gid=0"",""Gestores Escolares!D7:J""),4,0),""VERIFICAR CÓD SEC"")"),"(75) 9 9869-5732")</f>
        <v>(75) 9 9869-5732</v>
      </c>
      <c r="O1032" s="82" t="str">
        <f>IFERROR(__xludf.DUMMYFUNCTION("IFERROR(VLOOKUP(D1032,
IMPORTRANGE(""https://docs.google.com/spreadsheets/d/1MjHtlUikwobi2MaWJgy7tfLeBmhj1u-dRFRs_8GwSoA/edit#gid=0"",""Gestores Escolares!D7:J""),6,0),""VERIFICAR CÓD SEC"")"),"JACQUEZ SANTOS DE SANTANA")</f>
        <v>JACQUEZ SANTOS DE SANTANA</v>
      </c>
      <c r="P1032" s="82" t="str">
        <f>IFERROR(__xludf.DUMMYFUNCTION("IFERROR(VLOOKUP(D1032,
IMPORTRANGE(""https://docs.google.com/spreadsheets/d/1MjHtlUikwobi2MaWJgy7tfLeBmhj1u-dRFRs_8GwSoA/edit#gid=0"",""Gestores Escolares!D7:J""),7,0),""VERIFICAR CÓD SEC"")"),"(75) 9 9902-0167")</f>
        <v>(75) 9 9902-0167</v>
      </c>
      <c r="Q1032" s="82" t="str">
        <f>IFERROR(__xludf.DUMMYFUNCTION("IFERROR(VLOOKUP(D1032,
IMPORTRANGE(""https://docs.google.com/spreadsheets/d/1MjHtlUikwobi2MaWJgy7tfLeBmhj1u-dRFRs_8GwSoA/edit#gid=0"",""Gestores Escolares!D7:m""),9,0),""VERIFICAR CÓD SEC"")"),"NAIARA SILVA DOS SANTOS")</f>
        <v>NAIARA SILVA DOS SANTOS</v>
      </c>
      <c r="R1032" s="82" t="str">
        <f>IFERROR(__xludf.DUMMYFUNCTION("IFERROR(VLOOKUP(D1032,
IMPORTRANGE(""https://docs.google.com/spreadsheets/d/1MjHtlUikwobi2MaWJgy7tfLeBmhj1u-dRFRs_8GwSoA/edit#gid=0"",""Gestores Escolares!D7:m""),10,0),""VERIFICAR CÓD SEC"")"),"(75) 9 9936-6913")</f>
        <v>(75) 9 9936-6913</v>
      </c>
      <c r="S1032" s="82"/>
      <c r="T1032" s="138">
        <v>12.0</v>
      </c>
      <c r="U1032" s="145" t="s">
        <v>13810</v>
      </c>
      <c r="V1032" s="106">
        <v>0.0</v>
      </c>
      <c r="W1032" s="107">
        <v>0.0</v>
      </c>
      <c r="X1032" s="107">
        <v>0.0</v>
      </c>
      <c r="Y1032" s="107">
        <v>0.0</v>
      </c>
      <c r="Z1032" s="80">
        <f t="shared" si="1"/>
        <v>0</v>
      </c>
      <c r="AA1032" s="106">
        <v>0.0</v>
      </c>
      <c r="AB1032" s="107">
        <v>0.0</v>
      </c>
      <c r="AC1032" s="107">
        <v>0.0</v>
      </c>
      <c r="AD1032" s="107">
        <v>0.0</v>
      </c>
      <c r="AE1032" s="80">
        <f t="shared" si="2"/>
        <v>0</v>
      </c>
      <c r="AF1032" s="140">
        <v>0.0</v>
      </c>
      <c r="AG1032" s="109">
        <v>25.0</v>
      </c>
      <c r="AH1032" s="109">
        <v>0.0</v>
      </c>
      <c r="AI1032" s="141">
        <v>405.0</v>
      </c>
      <c r="AJ1032" s="80">
        <f t="shared" si="3"/>
        <v>430</v>
      </c>
      <c r="AK1032" s="140">
        <v>0.0</v>
      </c>
      <c r="AL1032" s="109">
        <v>0.0</v>
      </c>
      <c r="AM1032" s="141">
        <v>0.0</v>
      </c>
      <c r="AN1032" s="80">
        <f t="shared" si="4"/>
        <v>0</v>
      </c>
      <c r="AO1032" s="140">
        <v>0.0</v>
      </c>
      <c r="AP1032" s="109">
        <v>0.0</v>
      </c>
      <c r="AQ1032" s="109">
        <v>239.0</v>
      </c>
      <c r="AR1032" s="80">
        <f t="shared" si="5"/>
        <v>239</v>
      </c>
      <c r="AS1032" s="110">
        <v>216.0</v>
      </c>
      <c r="AT1032" s="110">
        <v>61.0</v>
      </c>
      <c r="AU1032" s="110">
        <v>0.0</v>
      </c>
      <c r="AV1032" s="142">
        <v>0.0</v>
      </c>
      <c r="AW1032" s="80">
        <f t="shared" si="6"/>
        <v>277</v>
      </c>
      <c r="AX1032" s="113">
        <f t="shared" si="7"/>
        <v>946</v>
      </c>
      <c r="AY1032" s="117">
        <f t="shared" si="8"/>
        <v>707</v>
      </c>
      <c r="AZ1032" s="120">
        <f t="shared" si="9"/>
        <v>239</v>
      </c>
      <c r="BA1032" s="115">
        <v>0.0</v>
      </c>
      <c r="BB1032" s="89">
        <f t="shared" si="10"/>
        <v>946</v>
      </c>
      <c r="BC1032" s="132" t="s">
        <v>178</v>
      </c>
      <c r="BD1032" s="132" t="s">
        <v>178</v>
      </c>
      <c r="BE1032" s="132" t="s">
        <v>178</v>
      </c>
      <c r="BF1032" s="156"/>
      <c r="BG1032" s="83">
        <v>1176401.0</v>
      </c>
      <c r="BH1032" s="112"/>
      <c r="BI1032" s="112">
        <v>12.0</v>
      </c>
      <c r="BJ1032" s="98" t="s">
        <v>162</v>
      </c>
      <c r="BK1032" s="99">
        <f t="shared" si="11"/>
        <v>405</v>
      </c>
      <c r="BL1032" s="99">
        <f t="shared" si="12"/>
        <v>302</v>
      </c>
      <c r="BM1032" s="99" t="str">
        <f>IFERROR(__xludf.DUMMYFUNCTION("IFERROR(VLOOKUP(BG1032,IMPORTRANGE(""https://docs.google.com/spreadsheets/d/1juPI-Fb8LD0YtltB2mlGEnp_R3UVu1t3wSFPzgCyHXE/edit?gid=0#gid=0"",""GERAL!A2:C""),3,0),""-"")"),"-")</f>
        <v>-</v>
      </c>
    </row>
    <row r="1033" ht="15.75" customHeight="1">
      <c r="A1033" s="111" t="s">
        <v>1281</v>
      </c>
      <c r="B1033" s="83" t="s">
        <v>5587</v>
      </c>
      <c r="C1033" s="83" t="s">
        <v>164</v>
      </c>
      <c r="D1033" s="98">
        <v>1179754.0</v>
      </c>
      <c r="E1033" s="83">
        <v>1178471.0</v>
      </c>
      <c r="F1033" s="98">
        <v>2.94879E7</v>
      </c>
      <c r="G1033" s="119" t="s">
        <v>5596</v>
      </c>
      <c r="H1033" s="91" t="s">
        <v>5597</v>
      </c>
      <c r="I1033" s="136" t="s">
        <v>149</v>
      </c>
      <c r="J1033" s="83" t="s">
        <v>1806</v>
      </c>
      <c r="K1033" s="83" t="s">
        <v>168</v>
      </c>
      <c r="L1033" s="83" t="s">
        <v>169</v>
      </c>
      <c r="M1033" s="82" t="str">
        <f>IFERROR(__xludf.DUMMYFUNCTION("IFERROR(VLOOKUP(D1033,
IMPORTRANGE(""https://docs.google.com/spreadsheets/d/1MjHtlUikwobi2MaWJgy7tfLeBmhj1u-dRFRs_8GwSoA/edit#gid=0"",""Gestores Escolares!D7:J""),3,0),""VERIFICAR CÓD SEC"")"),"MARIA DA CONCEICAO SOUSA PEREIRA")</f>
        <v>MARIA DA CONCEICAO SOUSA PEREIRA</v>
      </c>
      <c r="N1033" s="82" t="str">
        <f>IFERROR(__xludf.DUMMYFUNCTION("IFERROR(VLOOKUP(D1033,
IMPORTRANGE(""https://docs.google.com/spreadsheets/d/1MjHtlUikwobi2MaWJgy7tfLeBmhj1u-dRFRs_8GwSoA/edit#gid=0"",""Gestores Escolares!D7:J""),4,0),""VERIFICAR CÓD SEC"")"),"(75) 9 9805-9500")</f>
        <v>(75) 9 9805-9500</v>
      </c>
      <c r="O1033" s="82" t="str">
        <f>IFERROR(__xludf.DUMMYFUNCTION("IFERROR(VLOOKUP(D1033,
IMPORTRANGE(""https://docs.google.com/spreadsheets/d/1MjHtlUikwobi2MaWJgy7tfLeBmhj1u-dRFRs_8GwSoA/edit#gid=0"",""Gestores Escolares!D7:J""),6,0),""VERIFICAR CÓD SEC"")"),"ALISSON CRISTIAN SANTOS CHAGAS")</f>
        <v>ALISSON CRISTIAN SANTOS CHAGAS</v>
      </c>
      <c r="P1033" s="82" t="str">
        <f>IFERROR(__xludf.DUMMYFUNCTION("IFERROR(VLOOKUP(D1033,
IMPORTRANGE(""https://docs.google.com/spreadsheets/d/1MjHtlUikwobi2MaWJgy7tfLeBmhj1u-dRFRs_8GwSoA/edit#gid=0"",""Gestores Escolares!D7:J""),7,0),""VERIFICAR CÓD SEC"")"),"(75) 9 8170-9580")</f>
        <v>(75) 9 8170-9580</v>
      </c>
      <c r="Q1033" s="82" t="str">
        <f>IFERROR(__xludf.DUMMYFUNCTION("IFERROR(VLOOKUP(D1033,
IMPORTRANGE(""https://docs.google.com/spreadsheets/d/1MjHtlUikwobi2MaWJgy7tfLeBmhj1u-dRFRs_8GwSoA/edit#gid=0"",""Gestores Escolares!D7:m""),9,0),""VERIFICAR CÓD SEC"")"),"")</f>
        <v/>
      </c>
      <c r="R1033" s="82" t="str">
        <f>IFERROR(__xludf.DUMMYFUNCTION("IFERROR(VLOOKUP(D1033,
IMPORTRANGE(""https://docs.google.com/spreadsheets/d/1MjHtlUikwobi2MaWJgy7tfLeBmhj1u-dRFRs_8GwSoA/edit#gid=0"",""Gestores Escolares!D7:m""),10,0),""VERIFICAR CÓD SEC"")"),"")</f>
        <v/>
      </c>
      <c r="S1033" s="82"/>
      <c r="T1033" s="138">
        <v>3.0</v>
      </c>
      <c r="U1033" s="139">
        <v>3.0</v>
      </c>
      <c r="V1033" s="106">
        <v>0.0</v>
      </c>
      <c r="W1033" s="107">
        <v>0.0</v>
      </c>
      <c r="X1033" s="107">
        <v>0.0</v>
      </c>
      <c r="Y1033" s="107">
        <v>0.0</v>
      </c>
      <c r="Z1033" s="80">
        <f t="shared" si="1"/>
        <v>0</v>
      </c>
      <c r="AA1033" s="106">
        <v>0.0</v>
      </c>
      <c r="AB1033" s="107">
        <v>0.0</v>
      </c>
      <c r="AC1033" s="107">
        <v>0.0</v>
      </c>
      <c r="AD1033" s="107">
        <v>0.0</v>
      </c>
      <c r="AE1033" s="80">
        <f t="shared" si="2"/>
        <v>0</v>
      </c>
      <c r="AF1033" s="140">
        <v>0.0</v>
      </c>
      <c r="AG1033" s="109">
        <v>29.0</v>
      </c>
      <c r="AH1033" s="109">
        <v>51.0</v>
      </c>
      <c r="AI1033" s="141">
        <v>0.0</v>
      </c>
      <c r="AJ1033" s="80">
        <f t="shared" si="3"/>
        <v>80</v>
      </c>
      <c r="AK1033" s="140">
        <v>0.0</v>
      </c>
      <c r="AL1033" s="109">
        <v>0.0</v>
      </c>
      <c r="AM1033" s="141">
        <v>0.0</v>
      </c>
      <c r="AN1033" s="80">
        <f t="shared" si="4"/>
        <v>0</v>
      </c>
      <c r="AO1033" s="140">
        <v>0.0</v>
      </c>
      <c r="AP1033" s="109">
        <v>0.0</v>
      </c>
      <c r="AQ1033" s="109">
        <v>0.0</v>
      </c>
      <c r="AR1033" s="80">
        <f t="shared" si="5"/>
        <v>0</v>
      </c>
      <c r="AS1033" s="110">
        <v>0.0</v>
      </c>
      <c r="AT1033" s="110">
        <v>0.0</v>
      </c>
      <c r="AU1033" s="110">
        <v>0.0</v>
      </c>
      <c r="AV1033" s="142">
        <v>0.0</v>
      </c>
      <c r="AW1033" s="80">
        <f t="shared" si="6"/>
        <v>0</v>
      </c>
      <c r="AX1033" s="113">
        <f t="shared" si="7"/>
        <v>80</v>
      </c>
      <c r="AY1033" s="117">
        <f t="shared" si="8"/>
        <v>29</v>
      </c>
      <c r="AZ1033" s="120">
        <f t="shared" si="9"/>
        <v>51</v>
      </c>
      <c r="BA1033" s="115">
        <v>0.0</v>
      </c>
      <c r="BB1033" s="89">
        <f t="shared" si="10"/>
        <v>80</v>
      </c>
      <c r="BC1033" s="132" t="s">
        <v>373</v>
      </c>
      <c r="BD1033" s="132" t="s">
        <v>227</v>
      </c>
      <c r="BE1033" s="132" t="s">
        <v>178</v>
      </c>
      <c r="BF1033" s="123"/>
      <c r="BG1033" s="83">
        <v>1178471.0</v>
      </c>
      <c r="BH1033" s="112"/>
      <c r="BI1033" s="112">
        <v>3.0</v>
      </c>
      <c r="BJ1033" s="98" t="s">
        <v>155</v>
      </c>
      <c r="BK1033" s="99">
        <f t="shared" si="11"/>
        <v>0</v>
      </c>
      <c r="BL1033" s="99">
        <f t="shared" si="12"/>
        <v>29</v>
      </c>
      <c r="BM1033" s="99" t="str">
        <f>IFERROR(__xludf.DUMMYFUNCTION("IFERROR(VLOOKUP(BG1033,IMPORTRANGE(""https://docs.google.com/spreadsheets/d/1juPI-Fb8LD0YtltB2mlGEnp_R3UVu1t3wSFPzgCyHXE/edit?gid=0#gid=0"",""GERAL!A2:C""),3,0),""-"")"),"CAMPO")</f>
        <v>CAMPO</v>
      </c>
    </row>
    <row r="1034" ht="15.75" customHeight="1">
      <c r="A1034" s="111" t="s">
        <v>1281</v>
      </c>
      <c r="B1034" s="83" t="s">
        <v>5587</v>
      </c>
      <c r="C1034" s="83" t="s">
        <v>164</v>
      </c>
      <c r="D1034" s="98">
        <v>1179754.0</v>
      </c>
      <c r="E1034" s="83">
        <v>1178470.0</v>
      </c>
      <c r="F1034" s="98">
        <v>2.94879E7</v>
      </c>
      <c r="G1034" s="119" t="s">
        <v>5603</v>
      </c>
      <c r="H1034" s="91" t="s">
        <v>5604</v>
      </c>
      <c r="I1034" s="136" t="s">
        <v>149</v>
      </c>
      <c r="J1034" s="83" t="s">
        <v>5605</v>
      </c>
      <c r="K1034" s="83" t="s">
        <v>168</v>
      </c>
      <c r="L1034" s="83" t="s">
        <v>169</v>
      </c>
      <c r="M1034" s="82" t="str">
        <f>IFERROR(__xludf.DUMMYFUNCTION("IFERROR(VLOOKUP(D1034,
IMPORTRANGE(""https://docs.google.com/spreadsheets/d/1MjHtlUikwobi2MaWJgy7tfLeBmhj1u-dRFRs_8GwSoA/edit#gid=0"",""Gestores Escolares!D7:J""),3,0),""VERIFICAR CÓD SEC"")"),"MARIA DA CONCEICAO SOUSA PEREIRA")</f>
        <v>MARIA DA CONCEICAO SOUSA PEREIRA</v>
      </c>
      <c r="N1034" s="82" t="str">
        <f>IFERROR(__xludf.DUMMYFUNCTION("IFERROR(VLOOKUP(D1034,
IMPORTRANGE(""https://docs.google.com/spreadsheets/d/1MjHtlUikwobi2MaWJgy7tfLeBmhj1u-dRFRs_8GwSoA/edit#gid=0"",""Gestores Escolares!D7:J""),4,0),""VERIFICAR CÓD SEC"")"),"(75) 9 9805-9500")</f>
        <v>(75) 9 9805-9500</v>
      </c>
      <c r="O1034" s="82" t="str">
        <f>IFERROR(__xludf.DUMMYFUNCTION("IFERROR(VLOOKUP(D1034,
IMPORTRANGE(""https://docs.google.com/spreadsheets/d/1MjHtlUikwobi2MaWJgy7tfLeBmhj1u-dRFRs_8GwSoA/edit#gid=0"",""Gestores Escolares!D7:J""),6,0),""VERIFICAR CÓD SEC"")"),"ALISSON CRISTIAN SANTOS CHAGAS")</f>
        <v>ALISSON CRISTIAN SANTOS CHAGAS</v>
      </c>
      <c r="P1034" s="82" t="str">
        <f>IFERROR(__xludf.DUMMYFUNCTION("IFERROR(VLOOKUP(D1034,
IMPORTRANGE(""https://docs.google.com/spreadsheets/d/1MjHtlUikwobi2MaWJgy7tfLeBmhj1u-dRFRs_8GwSoA/edit#gid=0"",""Gestores Escolares!D7:J""),7,0),""VERIFICAR CÓD SEC"")"),"(75) 9 8170-9580")</f>
        <v>(75) 9 8170-9580</v>
      </c>
      <c r="Q1034" s="82" t="str">
        <f>IFERROR(__xludf.DUMMYFUNCTION("IFERROR(VLOOKUP(D1034,
IMPORTRANGE(""https://docs.google.com/spreadsheets/d/1MjHtlUikwobi2MaWJgy7tfLeBmhj1u-dRFRs_8GwSoA/edit#gid=0"",""Gestores Escolares!D7:m""),9,0),""VERIFICAR CÓD SEC"")"),"")</f>
        <v/>
      </c>
      <c r="R1034" s="82" t="str">
        <f>IFERROR(__xludf.DUMMYFUNCTION("IFERROR(VLOOKUP(D1034,
IMPORTRANGE(""https://docs.google.com/spreadsheets/d/1MjHtlUikwobi2MaWJgy7tfLeBmhj1u-dRFRs_8GwSoA/edit#gid=0"",""Gestores Escolares!D7:m""),10,0),""VERIFICAR CÓD SEC"")"),"")</f>
        <v/>
      </c>
      <c r="S1034" s="82"/>
      <c r="T1034" s="138">
        <v>3.0</v>
      </c>
      <c r="U1034" s="139">
        <v>4.0</v>
      </c>
      <c r="V1034" s="106">
        <v>0.0</v>
      </c>
      <c r="W1034" s="107">
        <v>0.0</v>
      </c>
      <c r="X1034" s="107">
        <v>0.0</v>
      </c>
      <c r="Y1034" s="107">
        <v>0.0</v>
      </c>
      <c r="Z1034" s="80">
        <f t="shared" si="1"/>
        <v>0</v>
      </c>
      <c r="AA1034" s="106">
        <v>0.0</v>
      </c>
      <c r="AB1034" s="107">
        <v>0.0</v>
      </c>
      <c r="AC1034" s="107">
        <v>0.0</v>
      </c>
      <c r="AD1034" s="107">
        <v>0.0</v>
      </c>
      <c r="AE1034" s="80">
        <f t="shared" si="2"/>
        <v>0</v>
      </c>
      <c r="AF1034" s="140">
        <v>33.0</v>
      </c>
      <c r="AG1034" s="109">
        <v>41.0</v>
      </c>
      <c r="AH1034" s="109">
        <v>80.0</v>
      </c>
      <c r="AI1034" s="141">
        <v>0.0</v>
      </c>
      <c r="AJ1034" s="80">
        <f t="shared" si="3"/>
        <v>154</v>
      </c>
      <c r="AK1034" s="140">
        <v>0.0</v>
      </c>
      <c r="AL1034" s="109">
        <v>0.0</v>
      </c>
      <c r="AM1034" s="141">
        <v>0.0</v>
      </c>
      <c r="AN1034" s="80">
        <f t="shared" si="4"/>
        <v>0</v>
      </c>
      <c r="AO1034" s="140">
        <v>0.0</v>
      </c>
      <c r="AP1034" s="109">
        <v>0.0</v>
      </c>
      <c r="AQ1034" s="109">
        <v>0.0</v>
      </c>
      <c r="AR1034" s="80">
        <f t="shared" si="5"/>
        <v>0</v>
      </c>
      <c r="AS1034" s="110">
        <v>0.0</v>
      </c>
      <c r="AT1034" s="110">
        <v>0.0</v>
      </c>
      <c r="AU1034" s="110">
        <v>0.0</v>
      </c>
      <c r="AV1034" s="142">
        <v>0.0</v>
      </c>
      <c r="AW1034" s="80">
        <f t="shared" si="6"/>
        <v>0</v>
      </c>
      <c r="AX1034" s="113">
        <f t="shared" si="7"/>
        <v>154</v>
      </c>
      <c r="AY1034" s="117">
        <f t="shared" si="8"/>
        <v>74</v>
      </c>
      <c r="AZ1034" s="120">
        <f t="shared" si="9"/>
        <v>80</v>
      </c>
      <c r="BA1034" s="115">
        <v>0.0</v>
      </c>
      <c r="BB1034" s="89">
        <f t="shared" si="10"/>
        <v>154</v>
      </c>
      <c r="BC1034" s="132" t="s">
        <v>373</v>
      </c>
      <c r="BD1034" s="132" t="s">
        <v>227</v>
      </c>
      <c r="BE1034" s="132" t="s">
        <v>178</v>
      </c>
      <c r="BF1034" s="123"/>
      <c r="BG1034" s="83">
        <v>1178470.0</v>
      </c>
      <c r="BH1034" s="112"/>
      <c r="BI1034" s="112">
        <v>4.0</v>
      </c>
      <c r="BJ1034" s="98" t="s">
        <v>155</v>
      </c>
      <c r="BK1034" s="99">
        <f t="shared" si="11"/>
        <v>0</v>
      </c>
      <c r="BL1034" s="99">
        <f t="shared" si="12"/>
        <v>74</v>
      </c>
      <c r="BM1034" s="99" t="str">
        <f>IFERROR(__xludf.DUMMYFUNCTION("IFERROR(VLOOKUP(BG1034,IMPORTRANGE(""https://docs.google.com/spreadsheets/d/1juPI-Fb8LD0YtltB2mlGEnp_R3UVu1t3wSFPzgCyHXE/edit?gid=0#gid=0"",""GERAL!A2:C""),3,0),""-"")"),"CAMPO")</f>
        <v>CAMPO</v>
      </c>
    </row>
    <row r="1035" ht="15.75" customHeight="1">
      <c r="A1035" s="111" t="s">
        <v>1281</v>
      </c>
      <c r="B1035" s="83" t="s">
        <v>5606</v>
      </c>
      <c r="C1035" s="83" t="s">
        <v>45</v>
      </c>
      <c r="D1035" s="112">
        <v>1178394.0</v>
      </c>
      <c r="E1035" s="83"/>
      <c r="F1035" s="83">
        <v>2.9432928E7</v>
      </c>
      <c r="G1035" s="114" t="s">
        <v>5607</v>
      </c>
      <c r="H1035" s="91" t="s">
        <v>5608</v>
      </c>
      <c r="I1035" s="83" t="s">
        <v>149</v>
      </c>
      <c r="J1035" s="115" t="s">
        <v>767</v>
      </c>
      <c r="K1035" s="83" t="s">
        <v>171</v>
      </c>
      <c r="L1035" s="83" t="s">
        <v>169</v>
      </c>
      <c r="M1035" s="82" t="str">
        <f>IFERROR(__xludf.DUMMYFUNCTION("IFERROR(VLOOKUP(D1035,
IMPORTRANGE(""https://docs.google.com/spreadsheets/d/1MjHtlUikwobi2MaWJgy7tfLeBmhj1u-dRFRs_8GwSoA/edit#gid=0"",""Gestores Escolares!D7:J""),3,0),""VERIFICAR CÓD SEC"")"),"GLAUCILENE LIMA DE SANTANA")</f>
        <v>GLAUCILENE LIMA DE SANTANA</v>
      </c>
      <c r="N1035" s="82" t="str">
        <f>IFERROR(__xludf.DUMMYFUNCTION("IFERROR(VLOOKUP(D1035,
IMPORTRANGE(""https://docs.google.com/spreadsheets/d/1MjHtlUikwobi2MaWJgy7tfLeBmhj1u-dRFRs_8GwSoA/edit#gid=0"",""Gestores Escolares!D7:J""),4,0),""VERIFICAR CÓD SEC"")"),"(75) 9 8179-8468  (INSTITUCIONAL)
(75) 9 8241 9916 (PESSOAL)")</f>
        <v>(75) 9 8179-8468  (INSTITUCIONAL)
(75) 9 8241 9916 (PESSOAL)</v>
      </c>
      <c r="O1035" s="82" t="str">
        <f>IFERROR(__xludf.DUMMYFUNCTION("IFERROR(VLOOKUP(D1035,
IMPORTRANGE(""https://docs.google.com/spreadsheets/d/1MjHtlUikwobi2MaWJgy7tfLeBmhj1u-dRFRs_8GwSoA/edit#gid=0"",""Gestores Escolares!D7:J""),6,0),""VERIFICAR CÓD SEC"")"),"")</f>
        <v/>
      </c>
      <c r="P1035" s="82" t="str">
        <f>IFERROR(__xludf.DUMMYFUNCTION("IFERROR(VLOOKUP(D1035,
IMPORTRANGE(""https://docs.google.com/spreadsheets/d/1MjHtlUikwobi2MaWJgy7tfLeBmhj1u-dRFRs_8GwSoA/edit#gid=0"",""Gestores Escolares!D7:J""),7,0),""VERIFICAR CÓD SEC"")"),"")</f>
        <v/>
      </c>
      <c r="Q1035" s="82" t="str">
        <f>IFERROR(__xludf.DUMMYFUNCTION("IFERROR(VLOOKUP(D1035,
IMPORTRANGE(""https://docs.google.com/spreadsheets/d/1MjHtlUikwobi2MaWJgy7tfLeBmhj1u-dRFRs_8GwSoA/edit#gid=0"",""Gestores Escolares!D7:m""),9,0),""VERIFICAR CÓD SEC"")"),"")</f>
        <v/>
      </c>
      <c r="R1035" s="82" t="str">
        <f>IFERROR(__xludf.DUMMYFUNCTION("IFERROR(VLOOKUP(D1035,
IMPORTRANGE(""https://docs.google.com/spreadsheets/d/1MjHtlUikwobi2MaWJgy7tfLeBmhj1u-dRFRs_8GwSoA/edit#gid=0"",""Gestores Escolares!D7:m""),10,0),""VERIFICAR CÓD SEC"")"),"")</f>
        <v/>
      </c>
      <c r="S1035" s="82"/>
      <c r="T1035" s="138">
        <v>4.0</v>
      </c>
      <c r="U1035" s="145">
        <v>4.0</v>
      </c>
      <c r="V1035" s="106">
        <v>0.0</v>
      </c>
      <c r="W1035" s="107">
        <v>0.0</v>
      </c>
      <c r="X1035" s="107">
        <v>0.0</v>
      </c>
      <c r="Y1035" s="107">
        <v>0.0</v>
      </c>
      <c r="Z1035" s="80">
        <f t="shared" si="1"/>
        <v>0</v>
      </c>
      <c r="AA1035" s="106">
        <v>0.0</v>
      </c>
      <c r="AB1035" s="107">
        <v>0.0</v>
      </c>
      <c r="AC1035" s="107">
        <v>0.0</v>
      </c>
      <c r="AD1035" s="107">
        <v>0.0</v>
      </c>
      <c r="AE1035" s="80">
        <f t="shared" si="2"/>
        <v>0</v>
      </c>
      <c r="AF1035" s="225">
        <v>0.0</v>
      </c>
      <c r="AG1035" s="226">
        <v>0.0</v>
      </c>
      <c r="AH1035" s="226">
        <v>0.0</v>
      </c>
      <c r="AI1035" s="227">
        <v>122.0</v>
      </c>
      <c r="AJ1035" s="80">
        <f t="shared" si="3"/>
        <v>122</v>
      </c>
      <c r="AK1035" s="140">
        <v>0.0</v>
      </c>
      <c r="AL1035" s="109">
        <v>0.0</v>
      </c>
      <c r="AM1035" s="141">
        <v>0.0</v>
      </c>
      <c r="AN1035" s="80">
        <f t="shared" si="4"/>
        <v>0</v>
      </c>
      <c r="AO1035" s="225">
        <v>0.0</v>
      </c>
      <c r="AP1035" s="226">
        <v>0.0</v>
      </c>
      <c r="AQ1035" s="226">
        <v>0.0</v>
      </c>
      <c r="AR1035" s="80">
        <f t="shared" si="5"/>
        <v>0</v>
      </c>
      <c r="AS1035" s="110">
        <v>0.0</v>
      </c>
      <c r="AT1035" s="110">
        <v>0.0</v>
      </c>
      <c r="AU1035" s="110">
        <v>0.0</v>
      </c>
      <c r="AV1035" s="142">
        <v>0.0</v>
      </c>
      <c r="AW1035" s="80">
        <f t="shared" si="6"/>
        <v>0</v>
      </c>
      <c r="AX1035" s="113">
        <f t="shared" si="7"/>
        <v>122</v>
      </c>
      <c r="AY1035" s="117">
        <f t="shared" si="8"/>
        <v>122</v>
      </c>
      <c r="AZ1035" s="120">
        <f t="shared" si="9"/>
        <v>0</v>
      </c>
      <c r="BA1035" s="115">
        <v>0.0</v>
      </c>
      <c r="BB1035" s="89">
        <f t="shared" si="10"/>
        <v>122</v>
      </c>
      <c r="BC1035" s="132" t="s">
        <v>178</v>
      </c>
      <c r="BD1035" s="132" t="s">
        <v>178</v>
      </c>
      <c r="BE1035" s="132" t="s">
        <v>178</v>
      </c>
      <c r="BF1035" s="123"/>
      <c r="BG1035" s="83">
        <v>1178394.0</v>
      </c>
      <c r="BH1035" s="112"/>
      <c r="BI1035" s="112">
        <v>0.0</v>
      </c>
      <c r="BJ1035" s="98" t="s">
        <v>155</v>
      </c>
      <c r="BK1035" s="99">
        <f t="shared" si="11"/>
        <v>122</v>
      </c>
      <c r="BL1035" s="99">
        <f t="shared" si="12"/>
        <v>0</v>
      </c>
      <c r="BM1035" s="99" t="str">
        <f>IFERROR(__xludf.DUMMYFUNCTION("IFERROR(VLOOKUP(BG1035,IMPORTRANGE(""https://docs.google.com/spreadsheets/d/1juPI-Fb8LD0YtltB2mlGEnp_R3UVu1t3wSFPzgCyHXE/edit?gid=0#gid=0"",""GERAL!A2:C""),3,0),""-"")"),"EFA")</f>
        <v>EFA</v>
      </c>
    </row>
    <row r="1036" ht="15.75" customHeight="1">
      <c r="A1036" s="111" t="s">
        <v>1281</v>
      </c>
      <c r="B1036" s="83" t="s">
        <v>5606</v>
      </c>
      <c r="C1036" s="83" t="s">
        <v>68</v>
      </c>
      <c r="D1036" s="112">
        <v>1178251.0</v>
      </c>
      <c r="E1036" s="83"/>
      <c r="F1036" s="83">
        <v>2.9456606E7</v>
      </c>
      <c r="G1036" s="119" t="s">
        <v>5610</v>
      </c>
      <c r="H1036" s="91" t="s">
        <v>5611</v>
      </c>
      <c r="I1036" s="136" t="s">
        <v>149</v>
      </c>
      <c r="J1036" s="83" t="s">
        <v>467</v>
      </c>
      <c r="K1036" s="83" t="s">
        <v>151</v>
      </c>
      <c r="L1036" s="83" t="s">
        <v>169</v>
      </c>
      <c r="M1036" s="82" t="str">
        <f>IFERROR(__xludf.DUMMYFUNCTION("IFERROR(VLOOKUP(D1036,
IMPORTRANGE(""https://docs.google.com/spreadsheets/d/1MjHtlUikwobi2MaWJgy7tfLeBmhj1u-dRFRs_8GwSoA/edit#gid=0"",""Gestores Escolares!D7:J""),3,0),""VERIFICAR CÓD SEC"")"),"ANA CATIA DE JESUS")</f>
        <v>ANA CATIA DE JESUS</v>
      </c>
      <c r="N1036" s="82" t="str">
        <f>IFERROR(__xludf.DUMMYFUNCTION("IFERROR(VLOOKUP(D1036,
IMPORTRANGE(""https://docs.google.com/spreadsheets/d/1MjHtlUikwobi2MaWJgy7tfLeBmhj1u-dRFRs_8GwSoA/edit#gid=0"",""Gestores Escolares!D7:J""),4,0),""VERIFICAR CÓD SEC"")"),"(75) 9 9913-3026")</f>
        <v>(75) 9 9913-3026</v>
      </c>
      <c r="O1036" s="82" t="str">
        <f>IFERROR(__xludf.DUMMYFUNCTION("IFERROR(VLOOKUP(D1036,
IMPORTRANGE(""https://docs.google.com/spreadsheets/d/1MjHtlUikwobi2MaWJgy7tfLeBmhj1u-dRFRs_8GwSoA/edit#gid=0"",""Gestores Escolares!D7:J""),6,0),""VERIFICAR CÓD SEC"")"),"")</f>
        <v/>
      </c>
      <c r="P1036" s="82" t="str">
        <f>IFERROR(__xludf.DUMMYFUNCTION("IFERROR(VLOOKUP(D1036,
IMPORTRANGE(""https://docs.google.com/spreadsheets/d/1MjHtlUikwobi2MaWJgy7tfLeBmhj1u-dRFRs_8GwSoA/edit#gid=0"",""Gestores Escolares!D7:J""),7,0),""VERIFICAR CÓD SEC"")"),"")</f>
        <v/>
      </c>
      <c r="Q1036" s="82" t="str">
        <f>IFERROR(__xludf.DUMMYFUNCTION("IFERROR(VLOOKUP(D1036,
IMPORTRANGE(""https://docs.google.com/spreadsheets/d/1MjHtlUikwobi2MaWJgy7tfLeBmhj1u-dRFRs_8GwSoA/edit#gid=0"",""Gestores Escolares!D7:m""),9,0),""VERIFICAR CÓD SEC"")"),"")</f>
        <v/>
      </c>
      <c r="R1036" s="82" t="str">
        <f>IFERROR(__xludf.DUMMYFUNCTION("IFERROR(VLOOKUP(D1036,
IMPORTRANGE(""https://docs.google.com/spreadsheets/d/1MjHtlUikwobi2MaWJgy7tfLeBmhj1u-dRFRs_8GwSoA/edit#gid=0"",""Gestores Escolares!D7:m""),10,0),""VERIFICAR CÓD SEC"")"),"")</f>
        <v/>
      </c>
      <c r="S1036" s="82"/>
      <c r="T1036" s="138">
        <v>3.0</v>
      </c>
      <c r="U1036" s="139">
        <v>4.0</v>
      </c>
      <c r="V1036" s="106">
        <v>0.0</v>
      </c>
      <c r="W1036" s="107">
        <v>0.0</v>
      </c>
      <c r="X1036" s="107">
        <v>0.0</v>
      </c>
      <c r="Y1036" s="107">
        <v>0.0</v>
      </c>
      <c r="Z1036" s="80">
        <f t="shared" si="1"/>
        <v>0</v>
      </c>
      <c r="AA1036" s="106">
        <v>0.0</v>
      </c>
      <c r="AB1036" s="107">
        <v>0.0</v>
      </c>
      <c r="AC1036" s="107">
        <v>0.0</v>
      </c>
      <c r="AD1036" s="107">
        <v>0.0</v>
      </c>
      <c r="AE1036" s="80">
        <f t="shared" si="2"/>
        <v>0</v>
      </c>
      <c r="AF1036" s="140">
        <v>51.0</v>
      </c>
      <c r="AG1036" s="109">
        <v>43.0</v>
      </c>
      <c r="AH1036" s="109">
        <v>55.0</v>
      </c>
      <c r="AI1036" s="141">
        <v>0.0</v>
      </c>
      <c r="AJ1036" s="80">
        <f t="shared" si="3"/>
        <v>149</v>
      </c>
      <c r="AK1036" s="140">
        <v>0.0</v>
      </c>
      <c r="AL1036" s="109">
        <v>0.0</v>
      </c>
      <c r="AM1036" s="141">
        <v>0.0</v>
      </c>
      <c r="AN1036" s="80">
        <f t="shared" si="4"/>
        <v>0</v>
      </c>
      <c r="AO1036" s="140">
        <v>0.0</v>
      </c>
      <c r="AP1036" s="109">
        <v>0.0</v>
      </c>
      <c r="AQ1036" s="109">
        <v>0.0</v>
      </c>
      <c r="AR1036" s="80">
        <f t="shared" si="5"/>
        <v>0</v>
      </c>
      <c r="AS1036" s="110">
        <v>0.0</v>
      </c>
      <c r="AT1036" s="110">
        <v>0.0</v>
      </c>
      <c r="AU1036" s="110">
        <v>0.0</v>
      </c>
      <c r="AV1036" s="142">
        <v>0.0</v>
      </c>
      <c r="AW1036" s="80">
        <f t="shared" si="6"/>
        <v>0</v>
      </c>
      <c r="AX1036" s="113">
        <f t="shared" si="7"/>
        <v>149</v>
      </c>
      <c r="AY1036" s="117">
        <f t="shared" si="8"/>
        <v>94</v>
      </c>
      <c r="AZ1036" s="120">
        <f t="shared" si="9"/>
        <v>55</v>
      </c>
      <c r="BA1036" s="115">
        <v>0.0</v>
      </c>
      <c r="BB1036" s="89">
        <f t="shared" si="10"/>
        <v>149</v>
      </c>
      <c r="BC1036" s="132" t="s">
        <v>373</v>
      </c>
      <c r="BD1036" s="132" t="s">
        <v>178</v>
      </c>
      <c r="BE1036" s="132" t="s">
        <v>178</v>
      </c>
      <c r="BF1036" s="123"/>
      <c r="BG1036" s="83">
        <v>1178251.0</v>
      </c>
      <c r="BH1036" s="112"/>
      <c r="BI1036" s="112">
        <v>4.0</v>
      </c>
      <c r="BJ1036" s="98" t="s">
        <v>155</v>
      </c>
      <c r="BK1036" s="99">
        <f t="shared" si="11"/>
        <v>0</v>
      </c>
      <c r="BL1036" s="99">
        <f t="shared" si="12"/>
        <v>94</v>
      </c>
      <c r="BM1036" s="99" t="str">
        <f>IFERROR(__xludf.DUMMYFUNCTION("IFERROR(VLOOKUP(BG1036,IMPORTRANGE(""https://docs.google.com/spreadsheets/d/1juPI-Fb8LD0YtltB2mlGEnp_R3UVu1t3wSFPzgCyHXE/edit?gid=0#gid=0"",""GERAL!A2:C""),3,0),""-"")"),"CAMPO")</f>
        <v>CAMPO</v>
      </c>
    </row>
    <row r="1037" ht="15.75" customHeight="1">
      <c r="A1037" s="111" t="s">
        <v>1281</v>
      </c>
      <c r="B1037" s="83" t="s">
        <v>5606</v>
      </c>
      <c r="C1037" s="83" t="s">
        <v>68</v>
      </c>
      <c r="D1037" s="112">
        <v>1178078.0</v>
      </c>
      <c r="E1037" s="83"/>
      <c r="F1037" s="83">
        <v>2.9430305E7</v>
      </c>
      <c r="G1037" s="119" t="s">
        <v>5613</v>
      </c>
      <c r="H1037" s="91" t="s">
        <v>5614</v>
      </c>
      <c r="I1037" s="83" t="s">
        <v>149</v>
      </c>
      <c r="J1037" s="83" t="s">
        <v>150</v>
      </c>
      <c r="K1037" s="83" t="s">
        <v>151</v>
      </c>
      <c r="L1037" s="83" t="s">
        <v>230</v>
      </c>
      <c r="M1037" s="82" t="str">
        <f>IFERROR(__xludf.DUMMYFUNCTION("IFERROR(VLOOKUP(D1037,
IMPORTRANGE(""https://docs.google.com/spreadsheets/d/1MjHtlUikwobi2MaWJgy7tfLeBmhj1u-dRFRs_8GwSoA/edit#gid=0"",""Gestores Escolares!D7:J""),3,0),""VERIFICAR CÓD SEC"")"),"FRANCISCO DA SILVA OLIVEIRA")</f>
        <v>FRANCISCO DA SILVA OLIVEIRA</v>
      </c>
      <c r="N1037" s="82" t="str">
        <f>IFERROR(__xludf.DUMMYFUNCTION("IFERROR(VLOOKUP(D1037,
IMPORTRANGE(""https://docs.google.com/spreadsheets/d/1MjHtlUikwobi2MaWJgy7tfLeBmhj1u-dRFRs_8GwSoA/edit#gid=0"",""Gestores Escolares!D7:J""),4,0),""VERIFICAR CÓD SEC"")"),"(75) 9 9944-4433")</f>
        <v>(75) 9 9944-4433</v>
      </c>
      <c r="O1037" s="82" t="str">
        <f>IFERROR(__xludf.DUMMYFUNCTION("IFERROR(VLOOKUP(D1037,
IMPORTRANGE(""https://docs.google.com/spreadsheets/d/1MjHtlUikwobi2MaWJgy7tfLeBmhj1u-dRFRs_8GwSoA/edit#gid=0"",""Gestores Escolares!D7:J""),6,0),""VERIFICAR CÓD SEC"")"),"LICIA SAYONARA SANTOS COSTA SENA")</f>
        <v>LICIA SAYONARA SANTOS COSTA SENA</v>
      </c>
      <c r="P1037" s="82" t="str">
        <f>IFERROR(__xludf.DUMMYFUNCTION("IFERROR(VLOOKUP(D1037,
IMPORTRANGE(""https://docs.google.com/spreadsheets/d/1MjHtlUikwobi2MaWJgy7tfLeBmhj1u-dRFRs_8GwSoA/edit#gid=0"",""Gestores Escolares!D7:J""),7,0),""VERIFICAR CÓD SEC"")"),"(75) 9 9989-7215")</f>
        <v>(75) 9 9989-7215</v>
      </c>
      <c r="Q1037" s="82" t="str">
        <f>IFERROR(__xludf.DUMMYFUNCTION("IFERROR(VLOOKUP(D1037,
IMPORTRANGE(""https://docs.google.com/spreadsheets/d/1MjHtlUikwobi2MaWJgy7tfLeBmhj1u-dRFRs_8GwSoA/edit#gid=0"",""Gestores Escolares!D7:m""),9,0),""VERIFICAR CÓD SEC"")"),"TATIANA SILVA NOBRE CHAGAS")</f>
        <v>TATIANA SILVA NOBRE CHAGAS</v>
      </c>
      <c r="R1037" s="82" t="str">
        <f>IFERROR(__xludf.DUMMYFUNCTION("IFERROR(VLOOKUP(D1037,
IMPORTRANGE(""https://docs.google.com/spreadsheets/d/1MjHtlUikwobi2MaWJgy7tfLeBmhj1u-dRFRs_8GwSoA/edit#gid=0"",""Gestores Escolares!D7:m""),10,0),""VERIFICAR CÓD SEC"")"),"(71) 9 9652-1949")</f>
        <v>(71) 9 9652-1949</v>
      </c>
      <c r="S1037" s="82"/>
      <c r="T1037" s="138">
        <v>12.0</v>
      </c>
      <c r="U1037" s="388" t="s">
        <v>13811</v>
      </c>
      <c r="V1037" s="106">
        <v>0.0</v>
      </c>
      <c r="W1037" s="107">
        <v>0.0</v>
      </c>
      <c r="X1037" s="107">
        <v>0.0</v>
      </c>
      <c r="Y1037" s="107">
        <v>0.0</v>
      </c>
      <c r="Z1037" s="80">
        <f t="shared" si="1"/>
        <v>0</v>
      </c>
      <c r="AA1037" s="106">
        <v>0.0</v>
      </c>
      <c r="AB1037" s="107">
        <v>0.0</v>
      </c>
      <c r="AC1037" s="107">
        <v>0.0</v>
      </c>
      <c r="AD1037" s="107">
        <v>0.0</v>
      </c>
      <c r="AE1037" s="80">
        <f t="shared" si="2"/>
        <v>0</v>
      </c>
      <c r="AF1037" s="140">
        <v>168.0</v>
      </c>
      <c r="AG1037" s="109">
        <v>130.0</v>
      </c>
      <c r="AH1037" s="109">
        <v>0.0</v>
      </c>
      <c r="AI1037" s="141">
        <v>510.0</v>
      </c>
      <c r="AJ1037" s="80">
        <f t="shared" si="3"/>
        <v>808</v>
      </c>
      <c r="AK1037" s="140">
        <v>0.0</v>
      </c>
      <c r="AL1037" s="109">
        <v>0.0</v>
      </c>
      <c r="AM1037" s="141">
        <v>0.0</v>
      </c>
      <c r="AN1037" s="80">
        <f t="shared" si="4"/>
        <v>0</v>
      </c>
      <c r="AO1037" s="140">
        <v>0.0</v>
      </c>
      <c r="AP1037" s="109">
        <v>0.0</v>
      </c>
      <c r="AQ1037" s="109">
        <v>190.0</v>
      </c>
      <c r="AR1037" s="80">
        <f t="shared" si="5"/>
        <v>190</v>
      </c>
      <c r="AS1037" s="110">
        <v>0.0</v>
      </c>
      <c r="AT1037" s="110">
        <v>22.0</v>
      </c>
      <c r="AU1037" s="110">
        <v>0.0</v>
      </c>
      <c r="AV1037" s="142">
        <v>26.0</v>
      </c>
      <c r="AW1037" s="80">
        <f t="shared" si="6"/>
        <v>48</v>
      </c>
      <c r="AX1037" s="113">
        <f t="shared" si="7"/>
        <v>1046</v>
      </c>
      <c r="AY1037" s="117">
        <f t="shared" si="8"/>
        <v>856</v>
      </c>
      <c r="AZ1037" s="120">
        <f t="shared" si="9"/>
        <v>190</v>
      </c>
      <c r="BA1037" s="115">
        <v>0.0</v>
      </c>
      <c r="BB1037" s="89">
        <f t="shared" si="10"/>
        <v>1046</v>
      </c>
      <c r="BC1037" s="132" t="s">
        <v>178</v>
      </c>
      <c r="BD1037" s="132" t="s">
        <v>178</v>
      </c>
      <c r="BE1037" s="132" t="s">
        <v>178</v>
      </c>
      <c r="BF1037" s="123"/>
      <c r="BG1037" s="83">
        <v>1178078.0</v>
      </c>
      <c r="BH1037" s="112"/>
      <c r="BI1037" s="112">
        <v>12.0</v>
      </c>
      <c r="BJ1037" s="98" t="s">
        <v>155</v>
      </c>
      <c r="BK1037" s="99">
        <f t="shared" si="11"/>
        <v>536</v>
      </c>
      <c r="BL1037" s="99">
        <f t="shared" si="12"/>
        <v>320</v>
      </c>
      <c r="BM1037" s="99" t="str">
        <f>IFERROR(__xludf.DUMMYFUNCTION("IFERROR(VLOOKUP(BG1037,IMPORTRANGE(""https://docs.google.com/spreadsheets/d/1juPI-Fb8LD0YtltB2mlGEnp_R3UVu1t3wSFPzgCyHXE/edit?gid=0#gid=0"",""GERAL!A2:C""),3,0),""-"")"),"-")</f>
        <v>-</v>
      </c>
    </row>
    <row r="1038" ht="15.75" customHeight="1">
      <c r="A1038" s="111" t="s">
        <v>1281</v>
      </c>
      <c r="B1038" s="98" t="s">
        <v>5606</v>
      </c>
      <c r="C1038" s="83" t="s">
        <v>68</v>
      </c>
      <c r="D1038" s="98">
        <v>1179754.0</v>
      </c>
      <c r="E1038" s="83"/>
      <c r="F1038" s="98">
        <v>2.94879E7</v>
      </c>
      <c r="G1038" s="119" t="s">
        <v>5616</v>
      </c>
      <c r="H1038" s="108" t="s">
        <v>5617</v>
      </c>
      <c r="I1038" s="83"/>
      <c r="J1038" s="83"/>
      <c r="K1038" s="83"/>
      <c r="L1038" s="83"/>
      <c r="M1038" s="82" t="str">
        <f>IFERROR(__xludf.DUMMYFUNCTION("IFERROR(VLOOKUP(D1038,
IMPORTRANGE(""https://docs.google.com/spreadsheets/d/1MjHtlUikwobi2MaWJgy7tfLeBmhj1u-dRFRs_8GwSoA/edit#gid=0"",""Gestores Escolares!D7:J""),3,0),""VERIFICAR CÓD SEC"")"),"MARIA DA CONCEICAO SOUSA PEREIRA")</f>
        <v>MARIA DA CONCEICAO SOUSA PEREIRA</v>
      </c>
      <c r="N1038" s="82" t="str">
        <f>IFERROR(__xludf.DUMMYFUNCTION("IFERROR(VLOOKUP(D1038,
IMPORTRANGE(""https://docs.google.com/spreadsheets/d/1MjHtlUikwobi2MaWJgy7tfLeBmhj1u-dRFRs_8GwSoA/edit#gid=0"",""Gestores Escolares!D7:J""),4,0),""VERIFICAR CÓD SEC"")"),"(75) 9 9805-9500")</f>
        <v>(75) 9 9805-9500</v>
      </c>
      <c r="O1038" s="82" t="str">
        <f>IFERROR(__xludf.DUMMYFUNCTION("IFERROR(VLOOKUP(D1038,
IMPORTRANGE(""https://docs.google.com/spreadsheets/d/1MjHtlUikwobi2MaWJgy7tfLeBmhj1u-dRFRs_8GwSoA/edit#gid=0"",""Gestores Escolares!D7:J""),6,0),""VERIFICAR CÓD SEC"")"),"ALISSON CRISTIAN SANTOS CHAGAS")</f>
        <v>ALISSON CRISTIAN SANTOS CHAGAS</v>
      </c>
      <c r="P1038" s="82" t="str">
        <f>IFERROR(__xludf.DUMMYFUNCTION("IFERROR(VLOOKUP(D1038,
IMPORTRANGE(""https://docs.google.com/spreadsheets/d/1MjHtlUikwobi2MaWJgy7tfLeBmhj1u-dRFRs_8GwSoA/edit#gid=0"",""Gestores Escolares!D7:J""),7,0),""VERIFICAR CÓD SEC"")"),"(75) 9 8170-9580")</f>
        <v>(75) 9 8170-9580</v>
      </c>
      <c r="Q1038" s="82" t="str">
        <f>IFERROR(__xludf.DUMMYFUNCTION("IFERROR(VLOOKUP(D1038,
IMPORTRANGE(""https://docs.google.com/spreadsheets/d/1MjHtlUikwobi2MaWJgy7tfLeBmhj1u-dRFRs_8GwSoA/edit#gid=0"",""Gestores Escolares!D7:m""),9,0),""VERIFICAR CÓD SEC"")"),"")</f>
        <v/>
      </c>
      <c r="R1038" s="82" t="str">
        <f>IFERROR(__xludf.DUMMYFUNCTION("IFERROR(VLOOKUP(D1038,
IMPORTRANGE(""https://docs.google.com/spreadsheets/d/1MjHtlUikwobi2MaWJgy7tfLeBmhj1u-dRFRs_8GwSoA/edit#gid=0"",""Gestores Escolares!D7:m""),10,0),""VERIFICAR CÓD SEC"")"),"")</f>
        <v/>
      </c>
      <c r="S1038" s="82"/>
      <c r="T1038" s="138"/>
      <c r="U1038" s="388" t="s">
        <v>171</v>
      </c>
      <c r="V1038" s="106">
        <v>0.0</v>
      </c>
      <c r="W1038" s="107">
        <v>0.0</v>
      </c>
      <c r="X1038" s="107">
        <v>0.0</v>
      </c>
      <c r="Y1038" s="107">
        <v>0.0</v>
      </c>
      <c r="Z1038" s="80">
        <f t="shared" si="1"/>
        <v>0</v>
      </c>
      <c r="AA1038" s="106">
        <v>0.0</v>
      </c>
      <c r="AB1038" s="107">
        <v>0.0</v>
      </c>
      <c r="AC1038" s="107">
        <v>0.0</v>
      </c>
      <c r="AD1038" s="107">
        <v>0.0</v>
      </c>
      <c r="AE1038" s="80">
        <f t="shared" si="2"/>
        <v>0</v>
      </c>
      <c r="AF1038" s="140">
        <v>0.0</v>
      </c>
      <c r="AG1038" s="109">
        <v>0.0</v>
      </c>
      <c r="AH1038" s="109">
        <v>0.0</v>
      </c>
      <c r="AI1038" s="141">
        <v>0.0</v>
      </c>
      <c r="AJ1038" s="80">
        <f t="shared" si="3"/>
        <v>0</v>
      </c>
      <c r="AK1038" s="140">
        <v>0.0</v>
      </c>
      <c r="AL1038" s="109">
        <v>0.0</v>
      </c>
      <c r="AM1038" s="141">
        <v>0.0</v>
      </c>
      <c r="AN1038" s="80">
        <f t="shared" si="4"/>
        <v>0</v>
      </c>
      <c r="AO1038" s="140">
        <v>0.0</v>
      </c>
      <c r="AP1038" s="109">
        <v>0.0</v>
      </c>
      <c r="AQ1038" s="109">
        <v>0.0</v>
      </c>
      <c r="AR1038" s="80">
        <f t="shared" si="5"/>
        <v>0</v>
      </c>
      <c r="AS1038" s="110">
        <v>0.0</v>
      </c>
      <c r="AT1038" s="110">
        <v>0.0</v>
      </c>
      <c r="AU1038" s="110">
        <v>0.0</v>
      </c>
      <c r="AV1038" s="142">
        <v>0.0</v>
      </c>
      <c r="AW1038" s="80">
        <f t="shared" si="6"/>
        <v>0</v>
      </c>
      <c r="AX1038" s="113">
        <f t="shared" si="7"/>
        <v>0</v>
      </c>
      <c r="AY1038" s="117">
        <f t="shared" si="8"/>
        <v>0</v>
      </c>
      <c r="AZ1038" s="120">
        <f t="shared" si="9"/>
        <v>0</v>
      </c>
      <c r="BA1038" s="115">
        <v>0.0</v>
      </c>
      <c r="BB1038" s="89">
        <f t="shared" si="10"/>
        <v>0</v>
      </c>
      <c r="BC1038" s="132"/>
      <c r="BD1038" s="132" t="s">
        <v>227</v>
      </c>
      <c r="BE1038" s="132"/>
      <c r="BF1038" s="123"/>
      <c r="BG1038" s="98">
        <v>1179754.0</v>
      </c>
      <c r="BH1038" s="112"/>
      <c r="BI1038" s="112"/>
      <c r="BJ1038" s="98" t="s">
        <v>155</v>
      </c>
      <c r="BK1038" s="99">
        <f t="shared" si="11"/>
        <v>0</v>
      </c>
      <c r="BL1038" s="99">
        <f t="shared" si="12"/>
        <v>0</v>
      </c>
      <c r="BM1038" s="99" t="str">
        <f>IFERROR(__xludf.DUMMYFUNCTION("IFERROR(VLOOKUP(BG1038,IMPORTRANGE(""https://docs.google.com/spreadsheets/d/1juPI-Fb8LD0YtltB2mlGEnp_R3UVu1t3wSFPzgCyHXE/edit?gid=0#gid=0"",""GERAL!A2:C""),3,0),""-"")"),"-")</f>
        <v>-</v>
      </c>
    </row>
    <row r="1039" ht="15.75" customHeight="1">
      <c r="A1039" s="111" t="s">
        <v>1281</v>
      </c>
      <c r="B1039" s="83" t="s">
        <v>5606</v>
      </c>
      <c r="C1039" s="83" t="s">
        <v>164</v>
      </c>
      <c r="D1039" s="98">
        <v>1179754.0</v>
      </c>
      <c r="E1039" s="83">
        <v>1178256.0</v>
      </c>
      <c r="F1039" s="98">
        <v>2.94879E7</v>
      </c>
      <c r="G1039" s="119" t="s">
        <v>5620</v>
      </c>
      <c r="H1039" s="91" t="s">
        <v>5621</v>
      </c>
      <c r="I1039" s="136" t="s">
        <v>5622</v>
      </c>
      <c r="J1039" s="83" t="s">
        <v>240</v>
      </c>
      <c r="K1039" s="83" t="s">
        <v>168</v>
      </c>
      <c r="L1039" s="83" t="s">
        <v>169</v>
      </c>
      <c r="M1039" s="82" t="str">
        <f>IFERROR(__xludf.DUMMYFUNCTION("IFERROR(VLOOKUP(D1039,
IMPORTRANGE(""https://docs.google.com/spreadsheets/d/1MjHtlUikwobi2MaWJgy7tfLeBmhj1u-dRFRs_8GwSoA/edit#gid=0"",""Gestores Escolares!D7:J""),3,0),""VERIFICAR CÓD SEC"")"),"MARIA DA CONCEICAO SOUSA PEREIRA")</f>
        <v>MARIA DA CONCEICAO SOUSA PEREIRA</v>
      </c>
      <c r="N1039" s="82" t="str">
        <f>IFERROR(__xludf.DUMMYFUNCTION("IFERROR(VLOOKUP(D1039,
IMPORTRANGE(""https://docs.google.com/spreadsheets/d/1MjHtlUikwobi2MaWJgy7tfLeBmhj1u-dRFRs_8GwSoA/edit#gid=0"",""Gestores Escolares!D7:J""),4,0),""VERIFICAR CÓD SEC"")"),"(75) 9 9805-9500")</f>
        <v>(75) 9 9805-9500</v>
      </c>
      <c r="O1039" s="82" t="str">
        <f>IFERROR(__xludf.DUMMYFUNCTION("IFERROR(VLOOKUP(D1039,
IMPORTRANGE(""https://docs.google.com/spreadsheets/d/1MjHtlUikwobi2MaWJgy7tfLeBmhj1u-dRFRs_8GwSoA/edit#gid=0"",""Gestores Escolares!D7:J""),6,0),""VERIFICAR CÓD SEC"")"),"ALISSON CRISTIAN SANTOS CHAGAS")</f>
        <v>ALISSON CRISTIAN SANTOS CHAGAS</v>
      </c>
      <c r="P1039" s="82" t="str">
        <f>IFERROR(__xludf.DUMMYFUNCTION("IFERROR(VLOOKUP(D1039,
IMPORTRANGE(""https://docs.google.com/spreadsheets/d/1MjHtlUikwobi2MaWJgy7tfLeBmhj1u-dRFRs_8GwSoA/edit#gid=0"",""Gestores Escolares!D7:J""),7,0),""VERIFICAR CÓD SEC"")"),"(75) 9 8170-9580")</f>
        <v>(75) 9 8170-9580</v>
      </c>
      <c r="Q1039" s="82" t="str">
        <f>IFERROR(__xludf.DUMMYFUNCTION("IFERROR(VLOOKUP(D1039,
IMPORTRANGE(""https://docs.google.com/spreadsheets/d/1MjHtlUikwobi2MaWJgy7tfLeBmhj1u-dRFRs_8GwSoA/edit#gid=0"",""Gestores Escolares!D7:m""),9,0),""VERIFICAR CÓD SEC"")"),"")</f>
        <v/>
      </c>
      <c r="R1039" s="82" t="str">
        <f>IFERROR(__xludf.DUMMYFUNCTION("IFERROR(VLOOKUP(D1039,
IMPORTRANGE(""https://docs.google.com/spreadsheets/d/1MjHtlUikwobi2MaWJgy7tfLeBmhj1u-dRFRs_8GwSoA/edit#gid=0"",""Gestores Escolares!D7:m""),10,0),""VERIFICAR CÓD SEC"")"),"")</f>
        <v/>
      </c>
      <c r="S1039" s="82"/>
      <c r="T1039" s="138">
        <v>3.0</v>
      </c>
      <c r="U1039" s="139">
        <v>3.0</v>
      </c>
      <c r="V1039" s="106">
        <v>0.0</v>
      </c>
      <c r="W1039" s="107">
        <v>0.0</v>
      </c>
      <c r="X1039" s="107">
        <v>0.0</v>
      </c>
      <c r="Y1039" s="107">
        <v>0.0</v>
      </c>
      <c r="Z1039" s="80">
        <f t="shared" si="1"/>
        <v>0</v>
      </c>
      <c r="AA1039" s="106">
        <v>0.0</v>
      </c>
      <c r="AB1039" s="107">
        <v>0.0</v>
      </c>
      <c r="AC1039" s="107">
        <v>0.0</v>
      </c>
      <c r="AD1039" s="107">
        <v>0.0</v>
      </c>
      <c r="AE1039" s="80">
        <f t="shared" si="2"/>
        <v>0</v>
      </c>
      <c r="AF1039" s="140">
        <v>0.0</v>
      </c>
      <c r="AG1039" s="109">
        <v>0.0</v>
      </c>
      <c r="AH1039" s="109">
        <v>66.0</v>
      </c>
      <c r="AI1039" s="141">
        <v>0.0</v>
      </c>
      <c r="AJ1039" s="80">
        <f t="shared" si="3"/>
        <v>66</v>
      </c>
      <c r="AK1039" s="140">
        <v>0.0</v>
      </c>
      <c r="AL1039" s="109">
        <v>0.0</v>
      </c>
      <c r="AM1039" s="141">
        <v>0.0</v>
      </c>
      <c r="AN1039" s="80">
        <f t="shared" si="4"/>
        <v>0</v>
      </c>
      <c r="AO1039" s="140">
        <v>0.0</v>
      </c>
      <c r="AP1039" s="109">
        <v>0.0</v>
      </c>
      <c r="AQ1039" s="109">
        <v>0.0</v>
      </c>
      <c r="AR1039" s="80">
        <f t="shared" si="5"/>
        <v>0</v>
      </c>
      <c r="AS1039" s="110">
        <v>0.0</v>
      </c>
      <c r="AT1039" s="110">
        <v>0.0</v>
      </c>
      <c r="AU1039" s="110">
        <v>0.0</v>
      </c>
      <c r="AV1039" s="142">
        <v>0.0</v>
      </c>
      <c r="AW1039" s="80">
        <f t="shared" si="6"/>
        <v>0</v>
      </c>
      <c r="AX1039" s="113">
        <f t="shared" si="7"/>
        <v>66</v>
      </c>
      <c r="AY1039" s="117">
        <f t="shared" si="8"/>
        <v>0</v>
      </c>
      <c r="AZ1039" s="120">
        <f t="shared" si="9"/>
        <v>66</v>
      </c>
      <c r="BA1039" s="115">
        <v>0.0</v>
      </c>
      <c r="BB1039" s="89">
        <f t="shared" si="10"/>
        <v>66</v>
      </c>
      <c r="BC1039" s="132" t="s">
        <v>373</v>
      </c>
      <c r="BD1039" s="132" t="s">
        <v>227</v>
      </c>
      <c r="BE1039" s="132" t="s">
        <v>178</v>
      </c>
      <c r="BF1039" s="123"/>
      <c r="BG1039" s="83">
        <v>1178256.0</v>
      </c>
      <c r="BH1039" s="112"/>
      <c r="BI1039" s="112">
        <v>3.0</v>
      </c>
      <c r="BJ1039" s="98" t="s">
        <v>155</v>
      </c>
      <c r="BK1039" s="99">
        <f t="shared" si="11"/>
        <v>0</v>
      </c>
      <c r="BL1039" s="99">
        <f t="shared" si="12"/>
        <v>0</v>
      </c>
      <c r="BM1039" s="99" t="str">
        <f>IFERROR(__xludf.DUMMYFUNCTION("IFERROR(VLOOKUP(BG1039,IMPORTRANGE(""https://docs.google.com/spreadsheets/d/1juPI-Fb8LD0YtltB2mlGEnp_R3UVu1t3wSFPzgCyHXE/edit?gid=0#gid=0"",""GERAL!A2:C""),3,0),""-"")"),"CAMPO")</f>
        <v>CAMPO</v>
      </c>
    </row>
    <row r="1040" ht="15.75" customHeight="1">
      <c r="A1040" s="111" t="s">
        <v>1281</v>
      </c>
      <c r="B1040" s="83" t="s">
        <v>5606</v>
      </c>
      <c r="C1040" s="83" t="s">
        <v>164</v>
      </c>
      <c r="D1040" s="98">
        <v>1179754.0</v>
      </c>
      <c r="E1040" s="83">
        <v>1178472.0</v>
      </c>
      <c r="F1040" s="98">
        <v>2.94879E7</v>
      </c>
      <c r="G1040" s="119" t="s">
        <v>5628</v>
      </c>
      <c r="H1040" s="91" t="s">
        <v>5629</v>
      </c>
      <c r="I1040" s="83" t="s">
        <v>149</v>
      </c>
      <c r="J1040" s="83" t="s">
        <v>240</v>
      </c>
      <c r="K1040" s="83" t="s">
        <v>168</v>
      </c>
      <c r="L1040" s="83" t="s">
        <v>169</v>
      </c>
      <c r="M1040" s="82" t="str">
        <f>IFERROR(__xludf.DUMMYFUNCTION("IFERROR(VLOOKUP(D1040,
IMPORTRANGE(""https://docs.google.com/spreadsheets/d/1MjHtlUikwobi2MaWJgy7tfLeBmhj1u-dRFRs_8GwSoA/edit#gid=0"",""Gestores Escolares!D7:J""),3,0),""VERIFICAR CÓD SEC"")"),"MARIA DA CONCEICAO SOUSA PEREIRA")</f>
        <v>MARIA DA CONCEICAO SOUSA PEREIRA</v>
      </c>
      <c r="N1040" s="82" t="str">
        <f>IFERROR(__xludf.DUMMYFUNCTION("IFERROR(VLOOKUP(D1040,
IMPORTRANGE(""https://docs.google.com/spreadsheets/d/1MjHtlUikwobi2MaWJgy7tfLeBmhj1u-dRFRs_8GwSoA/edit#gid=0"",""Gestores Escolares!D7:J""),4,0),""VERIFICAR CÓD SEC"")"),"(75) 9 9805-9500")</f>
        <v>(75) 9 9805-9500</v>
      </c>
      <c r="O1040" s="82" t="str">
        <f>IFERROR(__xludf.DUMMYFUNCTION("IFERROR(VLOOKUP(D1040,
IMPORTRANGE(""https://docs.google.com/spreadsheets/d/1MjHtlUikwobi2MaWJgy7tfLeBmhj1u-dRFRs_8GwSoA/edit#gid=0"",""Gestores Escolares!D7:J""),6,0),""VERIFICAR CÓD SEC"")"),"ALISSON CRISTIAN SANTOS CHAGAS")</f>
        <v>ALISSON CRISTIAN SANTOS CHAGAS</v>
      </c>
      <c r="P1040" s="82" t="str">
        <f>IFERROR(__xludf.DUMMYFUNCTION("IFERROR(VLOOKUP(D1040,
IMPORTRANGE(""https://docs.google.com/spreadsheets/d/1MjHtlUikwobi2MaWJgy7tfLeBmhj1u-dRFRs_8GwSoA/edit#gid=0"",""Gestores Escolares!D7:J""),7,0),""VERIFICAR CÓD SEC"")"),"(75) 9 8170-9580")</f>
        <v>(75) 9 8170-9580</v>
      </c>
      <c r="Q1040" s="82" t="str">
        <f>IFERROR(__xludf.DUMMYFUNCTION("IFERROR(VLOOKUP(D1040,
IMPORTRANGE(""https://docs.google.com/spreadsheets/d/1MjHtlUikwobi2MaWJgy7tfLeBmhj1u-dRFRs_8GwSoA/edit#gid=0"",""Gestores Escolares!D7:m""),9,0),""VERIFICAR CÓD SEC"")"),"")</f>
        <v/>
      </c>
      <c r="R1040" s="82" t="str">
        <f>IFERROR(__xludf.DUMMYFUNCTION("IFERROR(VLOOKUP(D1040,
IMPORTRANGE(""https://docs.google.com/spreadsheets/d/1MjHtlUikwobi2MaWJgy7tfLeBmhj1u-dRFRs_8GwSoA/edit#gid=0"",""Gestores Escolares!D7:m""),10,0),""VERIFICAR CÓD SEC"")"),"")</f>
        <v/>
      </c>
      <c r="S1040" s="82"/>
      <c r="T1040" s="138">
        <v>3.0</v>
      </c>
      <c r="U1040" s="139">
        <v>3.0</v>
      </c>
      <c r="V1040" s="106">
        <v>0.0</v>
      </c>
      <c r="W1040" s="107">
        <v>0.0</v>
      </c>
      <c r="X1040" s="107">
        <v>0.0</v>
      </c>
      <c r="Y1040" s="107">
        <v>0.0</v>
      </c>
      <c r="Z1040" s="80">
        <f t="shared" si="1"/>
        <v>0</v>
      </c>
      <c r="AA1040" s="106">
        <v>0.0</v>
      </c>
      <c r="AB1040" s="107">
        <v>0.0</v>
      </c>
      <c r="AC1040" s="107">
        <v>0.0</v>
      </c>
      <c r="AD1040" s="107">
        <v>0.0</v>
      </c>
      <c r="AE1040" s="80">
        <f t="shared" si="2"/>
        <v>0</v>
      </c>
      <c r="AF1040" s="222">
        <v>0.0</v>
      </c>
      <c r="AG1040" s="222">
        <v>0.0</v>
      </c>
      <c r="AH1040" s="222">
        <v>52.0</v>
      </c>
      <c r="AI1040" s="224">
        <v>0.0</v>
      </c>
      <c r="AJ1040" s="80">
        <f t="shared" si="3"/>
        <v>52</v>
      </c>
      <c r="AK1040" s="140">
        <v>0.0</v>
      </c>
      <c r="AL1040" s="109">
        <v>0.0</v>
      </c>
      <c r="AM1040" s="141">
        <v>0.0</v>
      </c>
      <c r="AN1040" s="80">
        <f t="shared" si="4"/>
        <v>0</v>
      </c>
      <c r="AO1040" s="222">
        <v>0.0</v>
      </c>
      <c r="AP1040" s="222">
        <v>0.0</v>
      </c>
      <c r="AQ1040" s="224">
        <v>0.0</v>
      </c>
      <c r="AR1040" s="80">
        <f t="shared" si="5"/>
        <v>0</v>
      </c>
      <c r="AS1040" s="110">
        <v>0.0</v>
      </c>
      <c r="AT1040" s="110">
        <v>0.0</v>
      </c>
      <c r="AU1040" s="110">
        <v>0.0</v>
      </c>
      <c r="AV1040" s="142">
        <v>0.0</v>
      </c>
      <c r="AW1040" s="80">
        <f t="shared" si="6"/>
        <v>0</v>
      </c>
      <c r="AX1040" s="113">
        <f t="shared" si="7"/>
        <v>52</v>
      </c>
      <c r="AY1040" s="117">
        <f t="shared" si="8"/>
        <v>0</v>
      </c>
      <c r="AZ1040" s="120">
        <f t="shared" si="9"/>
        <v>52</v>
      </c>
      <c r="BA1040" s="115">
        <v>0.0</v>
      </c>
      <c r="BB1040" s="89">
        <f t="shared" si="10"/>
        <v>52</v>
      </c>
      <c r="BC1040" s="132" t="s">
        <v>373</v>
      </c>
      <c r="BD1040" s="132" t="s">
        <v>227</v>
      </c>
      <c r="BE1040" s="132" t="s">
        <v>178</v>
      </c>
      <c r="BF1040" s="123"/>
      <c r="BG1040" s="83">
        <v>1178472.0</v>
      </c>
      <c r="BH1040" s="112"/>
      <c r="BI1040" s="112">
        <v>3.0</v>
      </c>
      <c r="BJ1040" s="98" t="s">
        <v>155</v>
      </c>
      <c r="BK1040" s="99">
        <f t="shared" si="11"/>
        <v>0</v>
      </c>
      <c r="BL1040" s="99">
        <f t="shared" si="12"/>
        <v>0</v>
      </c>
      <c r="BM1040" s="99" t="str">
        <f>IFERROR(__xludf.DUMMYFUNCTION("IFERROR(VLOOKUP(BG1040,IMPORTRANGE(""https://docs.google.com/spreadsheets/d/1juPI-Fb8LD0YtltB2mlGEnp_R3UVu1t3wSFPzgCyHXE/edit?gid=0#gid=0"",""GERAL!A2:C""),3,0),""-"")"),"CAMPO")</f>
        <v>CAMPO</v>
      </c>
    </row>
    <row r="1041" ht="15.75" customHeight="1">
      <c r="A1041" s="111" t="s">
        <v>1281</v>
      </c>
      <c r="B1041" s="83" t="s">
        <v>5606</v>
      </c>
      <c r="C1041" s="83" t="s">
        <v>164</v>
      </c>
      <c r="D1041" s="98">
        <v>1179754.0</v>
      </c>
      <c r="E1041" s="83">
        <v>1178246.0</v>
      </c>
      <c r="F1041" s="98">
        <v>2.94879E7</v>
      </c>
      <c r="G1041" s="119" t="s">
        <v>5630</v>
      </c>
      <c r="H1041" s="91" t="s">
        <v>5631</v>
      </c>
      <c r="I1041" s="83" t="s">
        <v>149</v>
      </c>
      <c r="J1041" s="83" t="s">
        <v>209</v>
      </c>
      <c r="K1041" s="83" t="s">
        <v>168</v>
      </c>
      <c r="L1041" s="83" t="s">
        <v>169</v>
      </c>
      <c r="M1041" s="82" t="str">
        <f>IFERROR(__xludf.DUMMYFUNCTION("IFERROR(VLOOKUP(D1041,
IMPORTRANGE(""https://docs.google.com/spreadsheets/d/1MjHtlUikwobi2MaWJgy7tfLeBmhj1u-dRFRs_8GwSoA/edit#gid=0"",""Gestores Escolares!D7:J""),3,0),""VERIFICAR CÓD SEC"")"),"MARIA DA CONCEICAO SOUSA PEREIRA")</f>
        <v>MARIA DA CONCEICAO SOUSA PEREIRA</v>
      </c>
      <c r="N1041" s="82" t="str">
        <f>IFERROR(__xludf.DUMMYFUNCTION("IFERROR(VLOOKUP(D1041,
IMPORTRANGE(""https://docs.google.com/spreadsheets/d/1MjHtlUikwobi2MaWJgy7tfLeBmhj1u-dRFRs_8GwSoA/edit#gid=0"",""Gestores Escolares!D7:J""),4,0),""VERIFICAR CÓD SEC"")"),"(75) 9 9805-9500")</f>
        <v>(75) 9 9805-9500</v>
      </c>
      <c r="O1041" s="82" t="str">
        <f>IFERROR(__xludf.DUMMYFUNCTION("IFERROR(VLOOKUP(D1041,
IMPORTRANGE(""https://docs.google.com/spreadsheets/d/1MjHtlUikwobi2MaWJgy7tfLeBmhj1u-dRFRs_8GwSoA/edit#gid=0"",""Gestores Escolares!D7:J""),6,0),""VERIFICAR CÓD SEC"")"),"ALISSON CRISTIAN SANTOS CHAGAS")</f>
        <v>ALISSON CRISTIAN SANTOS CHAGAS</v>
      </c>
      <c r="P1041" s="82" t="str">
        <f>IFERROR(__xludf.DUMMYFUNCTION("IFERROR(VLOOKUP(D1041,
IMPORTRANGE(""https://docs.google.com/spreadsheets/d/1MjHtlUikwobi2MaWJgy7tfLeBmhj1u-dRFRs_8GwSoA/edit#gid=0"",""Gestores Escolares!D7:J""),7,0),""VERIFICAR CÓD SEC"")"),"(75) 9 8170-9580")</f>
        <v>(75) 9 8170-9580</v>
      </c>
      <c r="Q1041" s="82" t="str">
        <f>IFERROR(__xludf.DUMMYFUNCTION("IFERROR(VLOOKUP(D1041,
IMPORTRANGE(""https://docs.google.com/spreadsheets/d/1MjHtlUikwobi2MaWJgy7tfLeBmhj1u-dRFRs_8GwSoA/edit#gid=0"",""Gestores Escolares!D7:m""),9,0),""VERIFICAR CÓD SEC"")"),"")</f>
        <v/>
      </c>
      <c r="R1041" s="82" t="str">
        <f>IFERROR(__xludf.DUMMYFUNCTION("IFERROR(VLOOKUP(D1041,
IMPORTRANGE(""https://docs.google.com/spreadsheets/d/1MjHtlUikwobi2MaWJgy7tfLeBmhj1u-dRFRs_8GwSoA/edit#gid=0"",""Gestores Escolares!D7:m""),10,0),""VERIFICAR CÓD SEC"")"),"")</f>
        <v/>
      </c>
      <c r="S1041" s="82"/>
      <c r="T1041" s="138">
        <v>3.0</v>
      </c>
      <c r="U1041" s="139">
        <v>3.0</v>
      </c>
      <c r="V1041" s="106">
        <v>0.0</v>
      </c>
      <c r="W1041" s="107">
        <v>0.0</v>
      </c>
      <c r="X1041" s="107">
        <v>0.0</v>
      </c>
      <c r="Y1041" s="107">
        <v>0.0</v>
      </c>
      <c r="Z1041" s="80">
        <f t="shared" si="1"/>
        <v>0</v>
      </c>
      <c r="AA1041" s="106">
        <v>0.0</v>
      </c>
      <c r="AB1041" s="107">
        <v>0.0</v>
      </c>
      <c r="AC1041" s="107">
        <v>0.0</v>
      </c>
      <c r="AD1041" s="107">
        <v>0.0</v>
      </c>
      <c r="AE1041" s="80">
        <f t="shared" si="2"/>
        <v>0</v>
      </c>
      <c r="AF1041" s="140">
        <v>0.0</v>
      </c>
      <c r="AG1041" s="109">
        <v>0.0</v>
      </c>
      <c r="AH1041" s="109">
        <v>91.0</v>
      </c>
      <c r="AI1041" s="141">
        <v>0.0</v>
      </c>
      <c r="AJ1041" s="80">
        <f t="shared" si="3"/>
        <v>91</v>
      </c>
      <c r="AK1041" s="140">
        <v>0.0</v>
      </c>
      <c r="AL1041" s="109">
        <v>0.0</v>
      </c>
      <c r="AM1041" s="141">
        <v>0.0</v>
      </c>
      <c r="AN1041" s="80">
        <f t="shared" si="4"/>
        <v>0</v>
      </c>
      <c r="AO1041" s="140">
        <v>0.0</v>
      </c>
      <c r="AP1041" s="109">
        <v>0.0</v>
      </c>
      <c r="AQ1041" s="109">
        <v>0.0</v>
      </c>
      <c r="AR1041" s="80">
        <f t="shared" si="5"/>
        <v>0</v>
      </c>
      <c r="AS1041" s="110">
        <v>0.0</v>
      </c>
      <c r="AT1041" s="110">
        <v>0.0</v>
      </c>
      <c r="AU1041" s="110">
        <v>0.0</v>
      </c>
      <c r="AV1041" s="142">
        <v>0.0</v>
      </c>
      <c r="AW1041" s="80">
        <f t="shared" si="6"/>
        <v>0</v>
      </c>
      <c r="AX1041" s="113">
        <f t="shared" si="7"/>
        <v>91</v>
      </c>
      <c r="AY1041" s="117">
        <f t="shared" si="8"/>
        <v>0</v>
      </c>
      <c r="AZ1041" s="120">
        <f t="shared" si="9"/>
        <v>91</v>
      </c>
      <c r="BA1041" s="115">
        <v>0.0</v>
      </c>
      <c r="BB1041" s="89">
        <f t="shared" si="10"/>
        <v>91</v>
      </c>
      <c r="BC1041" s="132" t="s">
        <v>373</v>
      </c>
      <c r="BD1041" s="132" t="s">
        <v>227</v>
      </c>
      <c r="BE1041" s="132" t="s">
        <v>178</v>
      </c>
      <c r="BF1041" s="123"/>
      <c r="BG1041" s="83">
        <v>1178246.0</v>
      </c>
      <c r="BH1041" s="112"/>
      <c r="BI1041" s="112">
        <v>3.0</v>
      </c>
      <c r="BJ1041" s="98" t="s">
        <v>155</v>
      </c>
      <c r="BK1041" s="99">
        <f t="shared" si="11"/>
        <v>0</v>
      </c>
      <c r="BL1041" s="99">
        <f t="shared" si="12"/>
        <v>0</v>
      </c>
      <c r="BM1041" s="99" t="str">
        <f>IFERROR(__xludf.DUMMYFUNCTION("IFERROR(VLOOKUP(BG1041,IMPORTRANGE(""https://docs.google.com/spreadsheets/d/1juPI-Fb8LD0YtltB2mlGEnp_R3UVu1t3wSFPzgCyHXE/edit?gid=0#gid=0"",""GERAL!A2:C""),3,0),""-"")"),"CAMPO")</f>
        <v>CAMPO</v>
      </c>
    </row>
    <row r="1042" ht="15.75" customHeight="1">
      <c r="A1042" s="111" t="s">
        <v>1281</v>
      </c>
      <c r="B1042" s="83" t="s">
        <v>5632</v>
      </c>
      <c r="C1042" s="83" t="s">
        <v>68</v>
      </c>
      <c r="D1042" s="112">
        <v>1133936.0</v>
      </c>
      <c r="E1042" s="83"/>
      <c r="F1042" s="83">
        <v>2.9159318E7</v>
      </c>
      <c r="G1042" s="119" t="s">
        <v>5633</v>
      </c>
      <c r="H1042" s="91" t="s">
        <v>5634</v>
      </c>
      <c r="I1042" s="83" t="s">
        <v>149</v>
      </c>
      <c r="J1042" s="83" t="s">
        <v>150</v>
      </c>
      <c r="K1042" s="83" t="s">
        <v>151</v>
      </c>
      <c r="L1042" s="83" t="s">
        <v>152</v>
      </c>
      <c r="M1042" s="82" t="str">
        <f>IFERROR(__xludf.DUMMYFUNCTION("IFERROR(VLOOKUP(D1042,
IMPORTRANGE(""https://docs.google.com/spreadsheets/d/1MjHtlUikwobi2MaWJgy7tfLeBmhj1u-dRFRs_8GwSoA/edit#gid=0"",""Gestores Escolares!D7:J""),3,0),""VERIFICAR CÓD SEC"")"),"FLAVIA RODRIGUES DE ARAÚJO")</f>
        <v>FLAVIA RODRIGUES DE ARAÚJO</v>
      </c>
      <c r="N1042" s="82" t="str">
        <f>IFERROR(__xludf.DUMMYFUNCTION("IFERROR(VLOOKUP(D1042,
IMPORTRANGE(""https://docs.google.com/spreadsheets/d/1MjHtlUikwobi2MaWJgy7tfLeBmhj1u-dRFRs_8GwSoA/edit#gid=0"",""Gestores Escolares!D7:J""),4,0),""VERIFICAR CÓD SEC"")"),"(71) 9 9964-8332")</f>
        <v>(71) 9 9964-8332</v>
      </c>
      <c r="O1042" s="82" t="str">
        <f>IFERROR(__xludf.DUMMYFUNCTION("IFERROR(VLOOKUP(D1042,
IMPORTRANGE(""https://docs.google.com/spreadsheets/d/1MjHtlUikwobi2MaWJgy7tfLeBmhj1u-dRFRs_8GwSoA/edit#gid=0"",""Gestores Escolares!D7:J""),6,0),""VERIFICAR CÓD SEC"")"),"JOSE NILTON RODRIGUES DOS SANTOS")</f>
        <v>JOSE NILTON RODRIGUES DOS SANTOS</v>
      </c>
      <c r="P1042" s="82" t="str">
        <f>IFERROR(__xludf.DUMMYFUNCTION("IFERROR(VLOOKUP(D1042,
IMPORTRANGE(""https://docs.google.com/spreadsheets/d/1MjHtlUikwobi2MaWJgy7tfLeBmhj1u-dRFRs_8GwSoA/edit#gid=0"",""Gestores Escolares!D7:J""),7,0),""VERIFICAR CÓD SEC"")"),"(75) 9 8212-2397")</f>
        <v>(75) 9 8212-2397</v>
      </c>
      <c r="Q1042" s="82" t="str">
        <f>IFERROR(__xludf.DUMMYFUNCTION("IFERROR(VLOOKUP(D1042,
IMPORTRANGE(""https://docs.google.com/spreadsheets/d/1MjHtlUikwobi2MaWJgy7tfLeBmhj1u-dRFRs_8GwSoA/edit#gid=0"",""Gestores Escolares!D7:m""),9,0),""VERIFICAR CÓD SEC"")"),"")</f>
        <v/>
      </c>
      <c r="R1042" s="82" t="str">
        <f>IFERROR(__xludf.DUMMYFUNCTION("IFERROR(VLOOKUP(D1042,
IMPORTRANGE(""https://docs.google.com/spreadsheets/d/1MjHtlUikwobi2MaWJgy7tfLeBmhj1u-dRFRs_8GwSoA/edit#gid=0"",""Gestores Escolares!D7:m""),10,0),""VERIFICAR CÓD SEC"")"),"")</f>
        <v/>
      </c>
      <c r="S1042" s="82"/>
      <c r="T1042" s="138">
        <v>8.0</v>
      </c>
      <c r="U1042" s="145">
        <v>8.0</v>
      </c>
      <c r="V1042" s="106">
        <v>0.0</v>
      </c>
      <c r="W1042" s="107">
        <v>0.0</v>
      </c>
      <c r="X1042" s="107">
        <v>0.0</v>
      </c>
      <c r="Y1042" s="107">
        <v>0.0</v>
      </c>
      <c r="Z1042" s="80">
        <f t="shared" si="1"/>
        <v>0</v>
      </c>
      <c r="AA1042" s="106">
        <v>0.0</v>
      </c>
      <c r="AB1042" s="107">
        <v>0.0</v>
      </c>
      <c r="AC1042" s="107">
        <v>0.0</v>
      </c>
      <c r="AD1042" s="107">
        <v>0.0</v>
      </c>
      <c r="AE1042" s="80">
        <f t="shared" si="2"/>
        <v>0</v>
      </c>
      <c r="AF1042" s="140">
        <v>0.0</v>
      </c>
      <c r="AG1042" s="109">
        <v>0.0</v>
      </c>
      <c r="AH1042" s="109">
        <v>0.0</v>
      </c>
      <c r="AI1042" s="141">
        <v>169.0</v>
      </c>
      <c r="AJ1042" s="80">
        <f t="shared" si="3"/>
        <v>169</v>
      </c>
      <c r="AK1042" s="140">
        <v>0.0</v>
      </c>
      <c r="AL1042" s="109">
        <v>0.0</v>
      </c>
      <c r="AM1042" s="141">
        <v>0.0</v>
      </c>
      <c r="AN1042" s="80">
        <f t="shared" si="4"/>
        <v>0</v>
      </c>
      <c r="AO1042" s="140">
        <v>0.0</v>
      </c>
      <c r="AP1042" s="109">
        <v>0.0</v>
      </c>
      <c r="AQ1042" s="109">
        <v>91.0</v>
      </c>
      <c r="AR1042" s="80">
        <f t="shared" si="5"/>
        <v>91</v>
      </c>
      <c r="AS1042" s="110">
        <v>0.0</v>
      </c>
      <c r="AT1042" s="110">
        <v>0.0</v>
      </c>
      <c r="AU1042" s="110">
        <v>0.0</v>
      </c>
      <c r="AV1042" s="142">
        <v>63.0</v>
      </c>
      <c r="AW1042" s="80">
        <f t="shared" si="6"/>
        <v>63</v>
      </c>
      <c r="AX1042" s="113">
        <f t="shared" si="7"/>
        <v>323</v>
      </c>
      <c r="AY1042" s="117">
        <f t="shared" si="8"/>
        <v>232</v>
      </c>
      <c r="AZ1042" s="120">
        <f t="shared" si="9"/>
        <v>91</v>
      </c>
      <c r="BA1042" s="115">
        <v>0.0</v>
      </c>
      <c r="BB1042" s="89">
        <f t="shared" si="10"/>
        <v>323</v>
      </c>
      <c r="BC1042" s="132" t="s">
        <v>178</v>
      </c>
      <c r="BD1042" s="132" t="s">
        <v>178</v>
      </c>
      <c r="BE1042" s="132" t="s">
        <v>178</v>
      </c>
      <c r="BF1042" s="156"/>
      <c r="BG1042" s="83">
        <v>1133936.0</v>
      </c>
      <c r="BH1042" s="112"/>
      <c r="BI1042" s="112">
        <v>8.0</v>
      </c>
      <c r="BJ1042" s="98" t="s">
        <v>155</v>
      </c>
      <c r="BK1042" s="99">
        <f t="shared" si="11"/>
        <v>232</v>
      </c>
      <c r="BL1042" s="99">
        <f t="shared" si="12"/>
        <v>0</v>
      </c>
      <c r="BM1042" s="99" t="str">
        <f>IFERROR(__xludf.DUMMYFUNCTION("IFERROR(VLOOKUP(BG1042,IMPORTRANGE(""https://docs.google.com/spreadsheets/d/1juPI-Fb8LD0YtltB2mlGEnp_R3UVu1t3wSFPzgCyHXE/edit?gid=0#gid=0"",""GERAL!A2:C""),3,0),""-"")"),"-")</f>
        <v>-</v>
      </c>
    </row>
    <row r="1043" ht="15.75" customHeight="1">
      <c r="A1043" s="111" t="s">
        <v>1281</v>
      </c>
      <c r="B1043" s="83" t="s">
        <v>5636</v>
      </c>
      <c r="C1043" s="83" t="s">
        <v>68</v>
      </c>
      <c r="D1043" s="112">
        <v>1179315.0</v>
      </c>
      <c r="E1043" s="83"/>
      <c r="F1043" s="83">
        <v>2.9459915E7</v>
      </c>
      <c r="G1043" s="184" t="s">
        <v>5637</v>
      </c>
      <c r="H1043" s="91" t="s">
        <v>5638</v>
      </c>
      <c r="I1043" s="172" t="s">
        <v>5639</v>
      </c>
      <c r="J1043" s="83" t="s">
        <v>315</v>
      </c>
      <c r="K1043" s="83" t="s">
        <v>151</v>
      </c>
      <c r="L1043" s="83" t="s">
        <v>152</v>
      </c>
      <c r="M1043" s="82" t="str">
        <f>IFERROR(__xludf.DUMMYFUNCTION("IFERROR(VLOOKUP(D1043,
IMPORTRANGE(""https://docs.google.com/spreadsheets/d/1MjHtlUikwobi2MaWJgy7tfLeBmhj1u-dRFRs_8GwSoA/edit#gid=0"",""Gestores Escolares!D7:J""),3,0),""VERIFICAR CÓD SEC"")"),"PAULO ANDRE DAS NEVES MATOS NASCIMENTO")</f>
        <v>PAULO ANDRE DAS NEVES MATOS NASCIMENTO</v>
      </c>
      <c r="N1043" s="82" t="str">
        <f>IFERROR(__xludf.DUMMYFUNCTION("IFERROR(VLOOKUP(D1043,
IMPORTRANGE(""https://docs.google.com/spreadsheets/d/1MjHtlUikwobi2MaWJgy7tfLeBmhj1u-dRFRs_8GwSoA/edit#gid=0"",""Gestores Escolares!D7:J""),4,0),""VERIFICAR CÓD SEC"")"),"(79) 9 9670-7873")</f>
        <v>(79) 9 9670-7873</v>
      </c>
      <c r="O1043" s="82" t="str">
        <f>IFERROR(__xludf.DUMMYFUNCTION("IFERROR(VLOOKUP(D1043,
IMPORTRANGE(""https://docs.google.com/spreadsheets/d/1MjHtlUikwobi2MaWJgy7tfLeBmhj1u-dRFRs_8GwSoA/edit#gid=0"",""Gestores Escolares!D7:J""),6,0),""VERIFICAR CÓD SEC"")"),"MARCIO ARLINDO PIMENTA ANDRADE")</f>
        <v>MARCIO ARLINDO PIMENTA ANDRADE</v>
      </c>
      <c r="P1043" s="82" t="str">
        <f>IFERROR(__xludf.DUMMYFUNCTION("IFERROR(VLOOKUP(D1043,
IMPORTRANGE(""https://docs.google.com/spreadsheets/d/1MjHtlUikwobi2MaWJgy7tfLeBmhj1u-dRFRs_8GwSoA/edit#gid=0"",""Gestores Escolares!D7:J""),7,0),""VERIFICAR CÓD SEC"")"),"(71) 9 9153-0394")</f>
        <v>(71) 9 9153-0394</v>
      </c>
      <c r="Q1043" s="82" t="str">
        <f>IFERROR(__xludf.DUMMYFUNCTION("IFERROR(VLOOKUP(D1043,
IMPORTRANGE(""https://docs.google.com/spreadsheets/d/1MjHtlUikwobi2MaWJgy7tfLeBmhj1u-dRFRs_8GwSoA/edit#gid=0"",""Gestores Escolares!D7:m""),9,0),""VERIFICAR CÓD SEC"")"),"JADSON NASCIMENTO DE JESUS")</f>
        <v>JADSON NASCIMENTO DE JESUS</v>
      </c>
      <c r="R1043" s="82" t="str">
        <f>IFERROR(__xludf.DUMMYFUNCTION("IFERROR(VLOOKUP(D1043,
IMPORTRANGE(""https://docs.google.com/spreadsheets/d/1MjHtlUikwobi2MaWJgy7tfLeBmhj1u-dRFRs_8GwSoA/edit#gid=0"",""Gestores Escolares!D7:m""),10,0),""VERIFICAR CÓD SEC"")"),"(79) 9 8829-4904")</f>
        <v>(79) 9 8829-4904</v>
      </c>
      <c r="S1043" s="82"/>
      <c r="T1043" s="138">
        <v>7.0</v>
      </c>
      <c r="U1043" s="619" t="s">
        <v>699</v>
      </c>
      <c r="V1043" s="106">
        <v>0.0</v>
      </c>
      <c r="W1043" s="107">
        <v>0.0</v>
      </c>
      <c r="X1043" s="107">
        <v>0.0</v>
      </c>
      <c r="Y1043" s="107">
        <v>0.0</v>
      </c>
      <c r="Z1043" s="80">
        <f t="shared" si="1"/>
        <v>0</v>
      </c>
      <c r="AA1043" s="106">
        <v>0.0</v>
      </c>
      <c r="AB1043" s="107">
        <v>0.0</v>
      </c>
      <c r="AC1043" s="107">
        <v>0.0</v>
      </c>
      <c r="AD1043" s="107">
        <v>0.0</v>
      </c>
      <c r="AE1043" s="80">
        <f t="shared" si="2"/>
        <v>0</v>
      </c>
      <c r="AF1043" s="140">
        <v>267.0</v>
      </c>
      <c r="AG1043" s="109">
        <v>213.0</v>
      </c>
      <c r="AH1043" s="109">
        <v>0.0</v>
      </c>
      <c r="AI1043" s="141">
        <v>0.0</v>
      </c>
      <c r="AJ1043" s="80">
        <f t="shared" si="3"/>
        <v>480</v>
      </c>
      <c r="AK1043" s="140">
        <v>0.0</v>
      </c>
      <c r="AL1043" s="109">
        <v>0.0</v>
      </c>
      <c r="AM1043" s="141">
        <v>0.0</v>
      </c>
      <c r="AN1043" s="80">
        <f t="shared" si="4"/>
        <v>0</v>
      </c>
      <c r="AO1043" s="140">
        <v>0.0</v>
      </c>
      <c r="AP1043" s="109">
        <v>0.0</v>
      </c>
      <c r="AQ1043" s="109">
        <v>261.0</v>
      </c>
      <c r="AR1043" s="80">
        <f t="shared" si="5"/>
        <v>261</v>
      </c>
      <c r="AS1043" s="110">
        <v>0.0</v>
      </c>
      <c r="AT1043" s="110">
        <v>0.0</v>
      </c>
      <c r="AU1043" s="110">
        <v>37.0</v>
      </c>
      <c r="AV1043" s="142">
        <v>0.0</v>
      </c>
      <c r="AW1043" s="80">
        <f t="shared" si="6"/>
        <v>37</v>
      </c>
      <c r="AX1043" s="113">
        <f t="shared" si="7"/>
        <v>778</v>
      </c>
      <c r="AY1043" s="117">
        <f t="shared" si="8"/>
        <v>480</v>
      </c>
      <c r="AZ1043" s="120">
        <f t="shared" si="9"/>
        <v>298</v>
      </c>
      <c r="BA1043" s="115">
        <v>0.0</v>
      </c>
      <c r="BB1043" s="89">
        <f t="shared" si="10"/>
        <v>778</v>
      </c>
      <c r="BC1043" s="132" t="s">
        <v>373</v>
      </c>
      <c r="BD1043" s="132" t="s">
        <v>178</v>
      </c>
      <c r="BE1043" s="132" t="s">
        <v>178</v>
      </c>
      <c r="BF1043" s="156"/>
      <c r="BG1043" s="83">
        <v>1179315.0</v>
      </c>
      <c r="BH1043" s="112"/>
      <c r="BI1043" s="112">
        <v>7.0</v>
      </c>
      <c r="BJ1043" s="98" t="s">
        <v>155</v>
      </c>
      <c r="BK1043" s="99">
        <f t="shared" si="11"/>
        <v>0</v>
      </c>
      <c r="BL1043" s="99">
        <f t="shared" si="12"/>
        <v>480</v>
      </c>
      <c r="BM1043" s="99" t="str">
        <f>IFERROR(__xludf.DUMMYFUNCTION("IFERROR(VLOOKUP(BG1043,IMPORTRANGE(""https://docs.google.com/spreadsheets/d/1juPI-Fb8LD0YtltB2mlGEnp_R3UVu1t3wSFPzgCyHXE/edit?gid=0#gid=0"",""GERAL!A2:C""),3,0),""-"")"),"CAMPO")</f>
        <v>CAMPO</v>
      </c>
    </row>
    <row r="1044" ht="15.75" customHeight="1">
      <c r="A1044" s="111" t="s">
        <v>1281</v>
      </c>
      <c r="B1044" s="83" t="s">
        <v>5636</v>
      </c>
      <c r="C1044" s="83" t="s">
        <v>68</v>
      </c>
      <c r="D1044" s="112">
        <v>1143494.0</v>
      </c>
      <c r="E1044" s="83"/>
      <c r="F1044" s="83">
        <v>2.9129435E7</v>
      </c>
      <c r="G1044" s="184" t="s">
        <v>5642</v>
      </c>
      <c r="H1044" s="91" t="s">
        <v>1656</v>
      </c>
      <c r="I1044" s="83" t="s">
        <v>149</v>
      </c>
      <c r="J1044" s="83" t="s">
        <v>150</v>
      </c>
      <c r="K1044" s="83" t="s">
        <v>151</v>
      </c>
      <c r="L1044" s="83" t="s">
        <v>76</v>
      </c>
      <c r="M1044" s="82" t="str">
        <f>IFERROR(__xludf.DUMMYFUNCTION("IFERROR(VLOOKUP(D1044,
IMPORTRANGE(""https://docs.google.com/spreadsheets/d/1MjHtlUikwobi2MaWJgy7tfLeBmhj1u-dRFRs_8GwSoA/edit#gid=0"",""Gestores Escolares!D7:J""),3,0),""VERIFICAR CÓD SEC"")"),"ANDREA OLIVEIRA DE SANTANA CAYRES")</f>
        <v>ANDREA OLIVEIRA DE SANTANA CAYRES</v>
      </c>
      <c r="N1044" s="82" t="str">
        <f>IFERROR(__xludf.DUMMYFUNCTION("IFERROR(VLOOKUP(D1044,
IMPORTRANGE(""https://docs.google.com/spreadsheets/d/1MjHtlUikwobi2MaWJgy7tfLeBmhj1u-dRFRs_8GwSoA/edit#gid=0"",""Gestores Escolares!D7:J""),4,0),""VERIFICAR CÓD SEC"")"),"(75) 9 9921-8352")</f>
        <v>(75) 9 9921-8352</v>
      </c>
      <c r="O1044" s="82" t="str">
        <f>IFERROR(__xludf.DUMMYFUNCTION("IFERROR(VLOOKUP(D1044,
IMPORTRANGE(""https://docs.google.com/spreadsheets/d/1MjHtlUikwobi2MaWJgy7tfLeBmhj1u-dRFRs_8GwSoA/edit#gid=0"",""Gestores Escolares!D7:J""),6,0),""VERIFICAR CÓD SEC"")"),"MYKAEL MORAIS VIANA")</f>
        <v>MYKAEL MORAIS VIANA</v>
      </c>
      <c r="P1044" s="82" t="str">
        <f>IFERROR(__xludf.DUMMYFUNCTION("IFERROR(VLOOKUP(D1044,
IMPORTRANGE(""https://docs.google.com/spreadsheets/d/1MjHtlUikwobi2MaWJgy7tfLeBmhj1u-dRFRs_8GwSoA/edit#gid=0"",""Gestores Escolares!D7:J""),7,0),""VERIFICAR CÓD SEC"")"),"(79) 9 9907-1351")</f>
        <v>(79) 9 9907-1351</v>
      </c>
      <c r="Q1044" s="82" t="str">
        <f>IFERROR(__xludf.DUMMYFUNCTION("IFERROR(VLOOKUP(D1044,
IMPORTRANGE(""https://docs.google.com/spreadsheets/d/1MjHtlUikwobi2MaWJgy7tfLeBmhj1u-dRFRs_8GwSoA/edit#gid=0"",""Gestores Escolares!D7:m""),9,0),""VERIFICAR CÓD SEC"")"),"")</f>
        <v/>
      </c>
      <c r="R1044" s="82" t="str">
        <f>IFERROR(__xludf.DUMMYFUNCTION("IFERROR(VLOOKUP(D1044,
IMPORTRANGE(""https://docs.google.com/spreadsheets/d/1MjHtlUikwobi2MaWJgy7tfLeBmhj1u-dRFRs_8GwSoA/edit#gid=0"",""Gestores Escolares!D7:m""),10,0),""VERIFICAR CÓD SEC"")"),"")</f>
        <v/>
      </c>
      <c r="S1044" s="82"/>
      <c r="T1044" s="138">
        <v>8.0</v>
      </c>
      <c r="U1044" s="619">
        <v>8.0</v>
      </c>
      <c r="V1044" s="106">
        <v>0.0</v>
      </c>
      <c r="W1044" s="107">
        <v>0.0</v>
      </c>
      <c r="X1044" s="107">
        <v>0.0</v>
      </c>
      <c r="Y1044" s="107">
        <v>0.0</v>
      </c>
      <c r="Z1044" s="80">
        <f t="shared" si="1"/>
        <v>0</v>
      </c>
      <c r="AA1044" s="106">
        <v>0.0</v>
      </c>
      <c r="AB1044" s="107">
        <v>0.0</v>
      </c>
      <c r="AC1044" s="107">
        <v>0.0</v>
      </c>
      <c r="AD1044" s="107">
        <v>0.0</v>
      </c>
      <c r="AE1044" s="80">
        <f t="shared" si="2"/>
        <v>0</v>
      </c>
      <c r="AF1044" s="140">
        <v>278.0</v>
      </c>
      <c r="AG1044" s="109">
        <v>207.0</v>
      </c>
      <c r="AH1044" s="109">
        <v>0.0</v>
      </c>
      <c r="AI1044" s="141">
        <v>0.0</v>
      </c>
      <c r="AJ1044" s="80">
        <f t="shared" si="3"/>
        <v>485</v>
      </c>
      <c r="AK1044" s="140">
        <v>0.0</v>
      </c>
      <c r="AL1044" s="109">
        <v>0.0</v>
      </c>
      <c r="AM1044" s="141">
        <v>0.0</v>
      </c>
      <c r="AN1044" s="80">
        <f t="shared" si="4"/>
        <v>0</v>
      </c>
      <c r="AO1044" s="140">
        <v>0.0</v>
      </c>
      <c r="AP1044" s="109">
        <v>0.0</v>
      </c>
      <c r="AQ1044" s="109">
        <v>80.0</v>
      </c>
      <c r="AR1044" s="80">
        <f t="shared" si="5"/>
        <v>80</v>
      </c>
      <c r="AS1044" s="110">
        <v>0.0</v>
      </c>
      <c r="AT1044" s="110">
        <v>0.0</v>
      </c>
      <c r="AU1044" s="110">
        <v>0.0</v>
      </c>
      <c r="AV1044" s="142">
        <v>0.0</v>
      </c>
      <c r="AW1044" s="80">
        <f t="shared" si="6"/>
        <v>0</v>
      </c>
      <c r="AX1044" s="113">
        <f t="shared" si="7"/>
        <v>565</v>
      </c>
      <c r="AY1044" s="117">
        <f t="shared" si="8"/>
        <v>485</v>
      </c>
      <c r="AZ1044" s="120">
        <f t="shared" si="9"/>
        <v>80</v>
      </c>
      <c r="BA1044" s="115">
        <v>0.0</v>
      </c>
      <c r="BB1044" s="89">
        <f t="shared" si="10"/>
        <v>565</v>
      </c>
      <c r="BC1044" s="132" t="s">
        <v>178</v>
      </c>
      <c r="BD1044" s="132" t="s">
        <v>178</v>
      </c>
      <c r="BE1044" s="132" t="s">
        <v>178</v>
      </c>
      <c r="BF1044" s="156"/>
      <c r="BG1044" s="83">
        <v>1143494.0</v>
      </c>
      <c r="BH1044" s="112"/>
      <c r="BI1044" s="112">
        <v>7.0</v>
      </c>
      <c r="BJ1044" s="98" t="s">
        <v>155</v>
      </c>
      <c r="BK1044" s="99">
        <f t="shared" si="11"/>
        <v>0</v>
      </c>
      <c r="BL1044" s="99">
        <f t="shared" si="12"/>
        <v>485</v>
      </c>
      <c r="BM1044" s="99" t="str">
        <f>IFERROR(__xludf.DUMMYFUNCTION("IFERROR(VLOOKUP(BG1044,IMPORTRANGE(""https://docs.google.com/spreadsheets/d/1juPI-Fb8LD0YtltB2mlGEnp_R3UVu1t3wSFPzgCyHXE/edit?gid=0#gid=0"",""GERAL!A2:C""),3,0),""-"")"),"-")</f>
        <v>-</v>
      </c>
    </row>
    <row r="1045" ht="15.75" customHeight="1">
      <c r="A1045" s="111" t="s">
        <v>1281</v>
      </c>
      <c r="B1045" s="83" t="s">
        <v>5651</v>
      </c>
      <c r="C1045" s="83" t="s">
        <v>68</v>
      </c>
      <c r="D1045" s="112">
        <v>1108141.0</v>
      </c>
      <c r="E1045" s="83"/>
      <c r="F1045" s="83">
        <v>2.9157536E7</v>
      </c>
      <c r="G1045" s="184" t="s">
        <v>5652</v>
      </c>
      <c r="H1045" s="91" t="s">
        <v>5653</v>
      </c>
      <c r="I1045" s="83" t="s">
        <v>149</v>
      </c>
      <c r="J1045" s="83" t="s">
        <v>150</v>
      </c>
      <c r="K1045" s="83" t="s">
        <v>151</v>
      </c>
      <c r="L1045" s="83" t="s">
        <v>76</v>
      </c>
      <c r="M1045" s="82" t="str">
        <f>IFERROR(__xludf.DUMMYFUNCTION("IFERROR(VLOOKUP(D1045,
IMPORTRANGE(""https://docs.google.com/spreadsheets/d/1MjHtlUikwobi2MaWJgy7tfLeBmhj1u-dRFRs_8GwSoA/edit#gid=0"",""Gestores Escolares!D7:J""),3,0),""VERIFICAR CÓD SEC"")"),"ROBSON LUIZ DE CAMPOS VAQUEIRO")</f>
        <v>ROBSON LUIZ DE CAMPOS VAQUEIRO</v>
      </c>
      <c r="N1045" s="82" t="str">
        <f>IFERROR(__xludf.DUMMYFUNCTION("IFERROR(VLOOKUP(D1045,
IMPORTRANGE(""https://docs.google.com/spreadsheets/d/1MjHtlUikwobi2MaWJgy7tfLeBmhj1u-dRFRs_8GwSoA/edit#gid=0"",""Gestores Escolares!D7:J""),4,0),""VERIFICAR CÓD SEC"")"),"(79) 9 9945-2107")</f>
        <v>(79) 9 9945-2107</v>
      </c>
      <c r="O1045" s="82" t="str">
        <f>IFERROR(__xludf.DUMMYFUNCTION("IFERROR(VLOOKUP(D1045,
IMPORTRANGE(""https://docs.google.com/spreadsheets/d/1MjHtlUikwobi2MaWJgy7tfLeBmhj1u-dRFRs_8GwSoA/edit#gid=0"",""Gestores Escolares!D7:J""),6,0),""VERIFICAR CÓD SEC"")"),"CAROLLINE STEFANI DA LUZ QUEIROZ")</f>
        <v>CAROLLINE STEFANI DA LUZ QUEIROZ</v>
      </c>
      <c r="P1045" s="82" t="str">
        <f>IFERROR(__xludf.DUMMYFUNCTION("IFERROR(VLOOKUP(D1045,
IMPORTRANGE(""https://docs.google.com/spreadsheets/d/1MjHtlUikwobi2MaWJgy7tfLeBmhj1u-dRFRs_8GwSoA/edit#gid=0"",""Gestores Escolares!D7:J""),7,0),""VERIFICAR CÓD SEC"")"),"(71) 9 9922-8075")</f>
        <v>(71) 9 9922-8075</v>
      </c>
      <c r="Q1045" s="82" t="str">
        <f>IFERROR(__xludf.DUMMYFUNCTION("IFERROR(VLOOKUP(D1045,
IMPORTRANGE(""https://docs.google.com/spreadsheets/d/1MjHtlUikwobi2MaWJgy7tfLeBmhj1u-dRFRs_8GwSoA/edit#gid=0"",""Gestores Escolares!D7:m""),9,0),""VERIFICAR CÓD SEC"")"),"")</f>
        <v/>
      </c>
      <c r="R1045" s="82" t="str">
        <f>IFERROR(__xludf.DUMMYFUNCTION("IFERROR(VLOOKUP(D1045,
IMPORTRANGE(""https://docs.google.com/spreadsheets/d/1MjHtlUikwobi2MaWJgy7tfLeBmhj1u-dRFRs_8GwSoA/edit#gid=0"",""Gestores Escolares!D7:m""),10,0),""VERIFICAR CÓD SEC"")"),"")</f>
        <v/>
      </c>
      <c r="S1045" s="82"/>
      <c r="T1045" s="138">
        <v>5.0</v>
      </c>
      <c r="U1045" s="145">
        <v>4.0</v>
      </c>
      <c r="V1045" s="106">
        <v>0.0</v>
      </c>
      <c r="W1045" s="107">
        <v>0.0</v>
      </c>
      <c r="X1045" s="107">
        <v>0.0</v>
      </c>
      <c r="Y1045" s="107">
        <v>0.0</v>
      </c>
      <c r="Z1045" s="80">
        <f t="shared" si="1"/>
        <v>0</v>
      </c>
      <c r="AA1045" s="106">
        <v>0.0</v>
      </c>
      <c r="AB1045" s="107">
        <v>0.0</v>
      </c>
      <c r="AC1045" s="107">
        <v>0.0</v>
      </c>
      <c r="AD1045" s="107">
        <v>0.0</v>
      </c>
      <c r="AE1045" s="80">
        <f t="shared" si="2"/>
        <v>0</v>
      </c>
      <c r="AF1045" s="140">
        <v>33.0</v>
      </c>
      <c r="AG1045" s="109">
        <v>89.0</v>
      </c>
      <c r="AH1045" s="109">
        <v>0.0</v>
      </c>
      <c r="AI1045" s="141">
        <v>0.0</v>
      </c>
      <c r="AJ1045" s="80">
        <f t="shared" si="3"/>
        <v>122</v>
      </c>
      <c r="AK1045" s="140">
        <v>0.0</v>
      </c>
      <c r="AL1045" s="109">
        <v>0.0</v>
      </c>
      <c r="AM1045" s="141">
        <v>0.0</v>
      </c>
      <c r="AN1045" s="80">
        <f t="shared" si="4"/>
        <v>0</v>
      </c>
      <c r="AO1045" s="140">
        <v>0.0</v>
      </c>
      <c r="AP1045" s="109">
        <v>0.0</v>
      </c>
      <c r="AQ1045" s="109">
        <v>63.0</v>
      </c>
      <c r="AR1045" s="80">
        <f t="shared" si="5"/>
        <v>63</v>
      </c>
      <c r="AS1045" s="110">
        <v>72.0</v>
      </c>
      <c r="AT1045" s="110">
        <v>0.0</v>
      </c>
      <c r="AU1045" s="110">
        <v>11.0</v>
      </c>
      <c r="AV1045" s="142">
        <v>0.0</v>
      </c>
      <c r="AW1045" s="80">
        <f t="shared" si="6"/>
        <v>83</v>
      </c>
      <c r="AX1045" s="113">
        <f t="shared" si="7"/>
        <v>268</v>
      </c>
      <c r="AY1045" s="117">
        <f t="shared" si="8"/>
        <v>194</v>
      </c>
      <c r="AZ1045" s="120">
        <f t="shared" si="9"/>
        <v>74</v>
      </c>
      <c r="BA1045" s="115">
        <v>0.0</v>
      </c>
      <c r="BB1045" s="89">
        <f t="shared" si="10"/>
        <v>268</v>
      </c>
      <c r="BC1045" s="132" t="s">
        <v>178</v>
      </c>
      <c r="BD1045" s="132" t="s">
        <v>178</v>
      </c>
      <c r="BE1045" s="132" t="s">
        <v>178</v>
      </c>
      <c r="BF1045" s="123"/>
      <c r="BG1045" s="83">
        <v>1108141.0</v>
      </c>
      <c r="BH1045" s="112"/>
      <c r="BI1045" s="112">
        <v>5.0</v>
      </c>
      <c r="BJ1045" s="98" t="s">
        <v>155</v>
      </c>
      <c r="BK1045" s="99">
        <f t="shared" si="11"/>
        <v>0</v>
      </c>
      <c r="BL1045" s="99">
        <f t="shared" si="12"/>
        <v>194</v>
      </c>
      <c r="BM1045" s="99" t="str">
        <f>IFERROR(__xludf.DUMMYFUNCTION("IFERROR(VLOOKUP(BG1045,IMPORTRANGE(""https://docs.google.com/spreadsheets/d/1juPI-Fb8LD0YtltB2mlGEnp_R3UVu1t3wSFPzgCyHXE/edit?gid=0#gid=0"",""GERAL!A2:C""),3,0),""-"")"),"-")</f>
        <v>-</v>
      </c>
    </row>
    <row r="1046" ht="15.75" customHeight="1">
      <c r="A1046" s="111" t="s">
        <v>1281</v>
      </c>
      <c r="B1046" s="83" t="s">
        <v>5651</v>
      </c>
      <c r="C1046" s="83" t="s">
        <v>164</v>
      </c>
      <c r="D1046" s="98">
        <v>1179754.0</v>
      </c>
      <c r="E1046" s="83">
        <v>1179384.0</v>
      </c>
      <c r="F1046" s="98">
        <v>2.94879E7</v>
      </c>
      <c r="G1046" s="184" t="s">
        <v>5657</v>
      </c>
      <c r="H1046" s="91" t="s">
        <v>5653</v>
      </c>
      <c r="I1046" s="83" t="s">
        <v>149</v>
      </c>
      <c r="J1046" s="83" t="s">
        <v>3645</v>
      </c>
      <c r="K1046" s="83" t="s">
        <v>168</v>
      </c>
      <c r="L1046" s="83" t="s">
        <v>169</v>
      </c>
      <c r="M1046" s="82" t="str">
        <f>IFERROR(__xludf.DUMMYFUNCTION("IFERROR(VLOOKUP(D1046,
IMPORTRANGE(""https://docs.google.com/spreadsheets/d/1MjHtlUikwobi2MaWJgy7tfLeBmhj1u-dRFRs_8GwSoA/edit#gid=0"",""Gestores Escolares!D7:J""),3,0),""VERIFICAR CÓD SEC"")"),"MARIA DA CONCEICAO SOUSA PEREIRA")</f>
        <v>MARIA DA CONCEICAO SOUSA PEREIRA</v>
      </c>
      <c r="N1046" s="82" t="str">
        <f>IFERROR(__xludf.DUMMYFUNCTION("IFERROR(VLOOKUP(D1046,
IMPORTRANGE(""https://docs.google.com/spreadsheets/d/1MjHtlUikwobi2MaWJgy7tfLeBmhj1u-dRFRs_8GwSoA/edit#gid=0"",""Gestores Escolares!D7:J""),4,0),""VERIFICAR CÓD SEC"")"),"(75) 9 9805-9500")</f>
        <v>(75) 9 9805-9500</v>
      </c>
      <c r="O1046" s="82" t="str">
        <f>IFERROR(__xludf.DUMMYFUNCTION("IFERROR(VLOOKUP(D1046,
IMPORTRANGE(""https://docs.google.com/spreadsheets/d/1MjHtlUikwobi2MaWJgy7tfLeBmhj1u-dRFRs_8GwSoA/edit#gid=0"",""Gestores Escolares!D7:J""),6,0),""VERIFICAR CÓD SEC"")"),"ALISSON CRISTIAN SANTOS CHAGAS")</f>
        <v>ALISSON CRISTIAN SANTOS CHAGAS</v>
      </c>
      <c r="P1046" s="82" t="str">
        <f>IFERROR(__xludf.DUMMYFUNCTION("IFERROR(VLOOKUP(D1046,
IMPORTRANGE(""https://docs.google.com/spreadsheets/d/1MjHtlUikwobi2MaWJgy7tfLeBmhj1u-dRFRs_8GwSoA/edit#gid=0"",""Gestores Escolares!D7:J""),7,0),""VERIFICAR CÓD SEC"")"),"(75) 9 8170-9580")</f>
        <v>(75) 9 8170-9580</v>
      </c>
      <c r="Q1046" s="82" t="str">
        <f>IFERROR(__xludf.DUMMYFUNCTION("IFERROR(VLOOKUP(D1046,
IMPORTRANGE(""https://docs.google.com/spreadsheets/d/1MjHtlUikwobi2MaWJgy7tfLeBmhj1u-dRFRs_8GwSoA/edit#gid=0"",""Gestores Escolares!D7:m""),9,0),""VERIFICAR CÓD SEC"")"),"")</f>
        <v/>
      </c>
      <c r="R1046" s="82" t="str">
        <f>IFERROR(__xludf.DUMMYFUNCTION("IFERROR(VLOOKUP(D1046,
IMPORTRANGE(""https://docs.google.com/spreadsheets/d/1MjHtlUikwobi2MaWJgy7tfLeBmhj1u-dRFRs_8GwSoA/edit#gid=0"",""Gestores Escolares!D7:m""),10,0),""VERIFICAR CÓD SEC"")"),"")</f>
        <v/>
      </c>
      <c r="S1046" s="82"/>
      <c r="T1046" s="138">
        <v>2.0</v>
      </c>
      <c r="U1046" s="139">
        <v>2.0</v>
      </c>
      <c r="V1046" s="106">
        <v>0.0</v>
      </c>
      <c r="W1046" s="107">
        <v>0.0</v>
      </c>
      <c r="X1046" s="107">
        <v>0.0</v>
      </c>
      <c r="Y1046" s="107">
        <v>0.0</v>
      </c>
      <c r="Z1046" s="80">
        <f t="shared" si="1"/>
        <v>0</v>
      </c>
      <c r="AA1046" s="106">
        <v>0.0</v>
      </c>
      <c r="AB1046" s="107">
        <v>0.0</v>
      </c>
      <c r="AC1046" s="107">
        <v>0.0</v>
      </c>
      <c r="AD1046" s="107">
        <v>0.0</v>
      </c>
      <c r="AE1046" s="80">
        <f t="shared" si="2"/>
        <v>0</v>
      </c>
      <c r="AF1046" s="140">
        <v>0.0</v>
      </c>
      <c r="AG1046" s="109">
        <v>0.0</v>
      </c>
      <c r="AH1046" s="109">
        <v>25.0</v>
      </c>
      <c r="AI1046" s="141">
        <v>0.0</v>
      </c>
      <c r="AJ1046" s="80">
        <f t="shared" si="3"/>
        <v>25</v>
      </c>
      <c r="AK1046" s="140">
        <v>0.0</v>
      </c>
      <c r="AL1046" s="109">
        <v>0.0</v>
      </c>
      <c r="AM1046" s="141">
        <v>0.0</v>
      </c>
      <c r="AN1046" s="80">
        <f t="shared" si="4"/>
        <v>0</v>
      </c>
      <c r="AO1046" s="140">
        <v>0.0</v>
      </c>
      <c r="AP1046" s="109">
        <v>0.0</v>
      </c>
      <c r="AQ1046" s="109">
        <v>0.0</v>
      </c>
      <c r="AR1046" s="80">
        <f t="shared" si="5"/>
        <v>0</v>
      </c>
      <c r="AS1046" s="110">
        <v>0.0</v>
      </c>
      <c r="AT1046" s="110">
        <v>0.0</v>
      </c>
      <c r="AU1046" s="110">
        <v>0.0</v>
      </c>
      <c r="AV1046" s="142">
        <v>0.0</v>
      </c>
      <c r="AW1046" s="80">
        <f t="shared" si="6"/>
        <v>0</v>
      </c>
      <c r="AX1046" s="113">
        <f t="shared" si="7"/>
        <v>25</v>
      </c>
      <c r="AY1046" s="117">
        <f t="shared" si="8"/>
        <v>0</v>
      </c>
      <c r="AZ1046" s="120">
        <f t="shared" si="9"/>
        <v>25</v>
      </c>
      <c r="BA1046" s="115">
        <v>0.0</v>
      </c>
      <c r="BB1046" s="89">
        <f t="shared" si="10"/>
        <v>25</v>
      </c>
      <c r="BC1046" s="132" t="s">
        <v>373</v>
      </c>
      <c r="BD1046" s="132" t="s">
        <v>227</v>
      </c>
      <c r="BE1046" s="132" t="s">
        <v>178</v>
      </c>
      <c r="BF1046" s="156"/>
      <c r="BG1046" s="83">
        <v>1179384.0</v>
      </c>
      <c r="BH1046" s="112"/>
      <c r="BI1046" s="112">
        <v>2.0</v>
      </c>
      <c r="BJ1046" s="98" t="s">
        <v>155</v>
      </c>
      <c r="BK1046" s="99">
        <f t="shared" si="11"/>
        <v>0</v>
      </c>
      <c r="BL1046" s="99">
        <f t="shared" si="12"/>
        <v>0</v>
      </c>
      <c r="BM1046" s="99" t="str">
        <f>IFERROR(__xludf.DUMMYFUNCTION("IFERROR(VLOOKUP(BG1046,IMPORTRANGE(""https://docs.google.com/spreadsheets/d/1juPI-Fb8LD0YtltB2mlGEnp_R3UVu1t3wSFPzgCyHXE/edit?gid=0#gid=0"",""GERAL!A2:C""),3,0),""-"")"),"CAMPO")</f>
        <v>CAMPO</v>
      </c>
    </row>
    <row r="1047" ht="15.75" customHeight="1">
      <c r="A1047" s="111" t="s">
        <v>1281</v>
      </c>
      <c r="B1047" s="83" t="s">
        <v>5651</v>
      </c>
      <c r="C1047" s="83" t="s">
        <v>164</v>
      </c>
      <c r="D1047" s="98">
        <v>1179754.0</v>
      </c>
      <c r="E1047" s="83">
        <v>1178475.0</v>
      </c>
      <c r="F1047" s="98">
        <v>2.94879E7</v>
      </c>
      <c r="G1047" s="184" t="s">
        <v>5665</v>
      </c>
      <c r="H1047" s="91" t="s">
        <v>5666</v>
      </c>
      <c r="I1047" s="172" t="s">
        <v>5667</v>
      </c>
      <c r="J1047" s="83" t="s">
        <v>1946</v>
      </c>
      <c r="K1047" s="83" t="s">
        <v>151</v>
      </c>
      <c r="L1047" s="83" t="s">
        <v>169</v>
      </c>
      <c r="M1047" s="82" t="str">
        <f>IFERROR(__xludf.DUMMYFUNCTION("IFERROR(VLOOKUP(D1047,
IMPORTRANGE(""https://docs.google.com/spreadsheets/d/1MjHtlUikwobi2MaWJgy7tfLeBmhj1u-dRFRs_8GwSoA/edit#gid=0"",""Gestores Escolares!D7:J""),3,0),""VERIFICAR CÓD SEC"")"),"MARIA DA CONCEICAO SOUSA PEREIRA")</f>
        <v>MARIA DA CONCEICAO SOUSA PEREIRA</v>
      </c>
      <c r="N1047" s="82" t="str">
        <f>IFERROR(__xludf.DUMMYFUNCTION("IFERROR(VLOOKUP(D1047,
IMPORTRANGE(""https://docs.google.com/spreadsheets/d/1MjHtlUikwobi2MaWJgy7tfLeBmhj1u-dRFRs_8GwSoA/edit#gid=0"",""Gestores Escolares!D7:J""),4,0),""VERIFICAR CÓD SEC"")"),"(75) 9 9805-9500")</f>
        <v>(75) 9 9805-9500</v>
      </c>
      <c r="O1047" s="82" t="str">
        <f>IFERROR(__xludf.DUMMYFUNCTION("IFERROR(VLOOKUP(D1047,
IMPORTRANGE(""https://docs.google.com/spreadsheets/d/1MjHtlUikwobi2MaWJgy7tfLeBmhj1u-dRFRs_8GwSoA/edit#gid=0"",""Gestores Escolares!D7:J""),6,0),""VERIFICAR CÓD SEC"")"),"ALISSON CRISTIAN SANTOS CHAGAS")</f>
        <v>ALISSON CRISTIAN SANTOS CHAGAS</v>
      </c>
      <c r="P1047" s="82" t="str">
        <f>IFERROR(__xludf.DUMMYFUNCTION("IFERROR(VLOOKUP(D1047,
IMPORTRANGE(""https://docs.google.com/spreadsheets/d/1MjHtlUikwobi2MaWJgy7tfLeBmhj1u-dRFRs_8GwSoA/edit#gid=0"",""Gestores Escolares!D7:J""),7,0),""VERIFICAR CÓD SEC"")"),"(75) 9 8170-9580")</f>
        <v>(75) 9 8170-9580</v>
      </c>
      <c r="Q1047" s="82" t="str">
        <f>IFERROR(__xludf.DUMMYFUNCTION("IFERROR(VLOOKUP(D1047,
IMPORTRANGE(""https://docs.google.com/spreadsheets/d/1MjHtlUikwobi2MaWJgy7tfLeBmhj1u-dRFRs_8GwSoA/edit#gid=0"",""Gestores Escolares!D7:m""),9,0),""VERIFICAR CÓD SEC"")"),"")</f>
        <v/>
      </c>
      <c r="R1047" s="82" t="str">
        <f>IFERROR(__xludf.DUMMYFUNCTION("IFERROR(VLOOKUP(D1047,
IMPORTRANGE(""https://docs.google.com/spreadsheets/d/1MjHtlUikwobi2MaWJgy7tfLeBmhj1u-dRFRs_8GwSoA/edit#gid=0"",""Gestores Escolares!D7:m""),10,0),""VERIFICAR CÓD SEC"")"),"")</f>
        <v/>
      </c>
      <c r="S1047" s="82"/>
      <c r="T1047" s="138">
        <v>3.0</v>
      </c>
      <c r="U1047" s="139">
        <v>3.0</v>
      </c>
      <c r="V1047" s="106">
        <v>0.0</v>
      </c>
      <c r="W1047" s="107">
        <v>0.0</v>
      </c>
      <c r="X1047" s="107">
        <v>0.0</v>
      </c>
      <c r="Y1047" s="107">
        <v>0.0</v>
      </c>
      <c r="Z1047" s="80">
        <f t="shared" si="1"/>
        <v>0</v>
      </c>
      <c r="AA1047" s="106">
        <v>0.0</v>
      </c>
      <c r="AB1047" s="107">
        <v>0.0</v>
      </c>
      <c r="AC1047" s="107">
        <v>0.0</v>
      </c>
      <c r="AD1047" s="107">
        <v>0.0</v>
      </c>
      <c r="AE1047" s="80">
        <f t="shared" si="2"/>
        <v>0</v>
      </c>
      <c r="AF1047" s="140">
        <v>0.0</v>
      </c>
      <c r="AG1047" s="109">
        <v>0.0</v>
      </c>
      <c r="AH1047" s="109">
        <v>47.0</v>
      </c>
      <c r="AI1047" s="141">
        <v>0.0</v>
      </c>
      <c r="AJ1047" s="80">
        <f t="shared" si="3"/>
        <v>47</v>
      </c>
      <c r="AK1047" s="140">
        <v>0.0</v>
      </c>
      <c r="AL1047" s="109">
        <v>0.0</v>
      </c>
      <c r="AM1047" s="141">
        <v>0.0</v>
      </c>
      <c r="AN1047" s="80">
        <f t="shared" si="4"/>
        <v>0</v>
      </c>
      <c r="AO1047" s="140">
        <v>0.0</v>
      </c>
      <c r="AP1047" s="109">
        <v>0.0</v>
      </c>
      <c r="AQ1047" s="109">
        <v>0.0</v>
      </c>
      <c r="AR1047" s="80">
        <f t="shared" si="5"/>
        <v>0</v>
      </c>
      <c r="AS1047" s="110">
        <v>0.0</v>
      </c>
      <c r="AT1047" s="110">
        <v>0.0</v>
      </c>
      <c r="AU1047" s="110">
        <v>0.0</v>
      </c>
      <c r="AV1047" s="142">
        <v>0.0</v>
      </c>
      <c r="AW1047" s="80">
        <f t="shared" si="6"/>
        <v>0</v>
      </c>
      <c r="AX1047" s="113">
        <f t="shared" si="7"/>
        <v>47</v>
      </c>
      <c r="AY1047" s="117">
        <f t="shared" si="8"/>
        <v>0</v>
      </c>
      <c r="AZ1047" s="120">
        <f t="shared" si="9"/>
        <v>47</v>
      </c>
      <c r="BA1047" s="115">
        <v>0.0</v>
      </c>
      <c r="BB1047" s="89">
        <f t="shared" si="10"/>
        <v>47</v>
      </c>
      <c r="BC1047" s="132" t="s">
        <v>373</v>
      </c>
      <c r="BD1047" s="132" t="s">
        <v>227</v>
      </c>
      <c r="BE1047" s="132" t="s">
        <v>178</v>
      </c>
      <c r="BF1047" s="123"/>
      <c r="BG1047" s="83">
        <v>1178475.0</v>
      </c>
      <c r="BH1047" s="112"/>
      <c r="BI1047" s="112">
        <v>3.0</v>
      </c>
      <c r="BJ1047" s="98" t="s">
        <v>155</v>
      </c>
      <c r="BK1047" s="99">
        <f t="shared" si="11"/>
        <v>0</v>
      </c>
      <c r="BL1047" s="99">
        <f t="shared" si="12"/>
        <v>0</v>
      </c>
      <c r="BM1047" s="99" t="str">
        <f>IFERROR(__xludf.DUMMYFUNCTION("IFERROR(VLOOKUP(BG1047,IMPORTRANGE(""https://docs.google.com/spreadsheets/d/1juPI-Fb8LD0YtltB2mlGEnp_R3UVu1t3wSFPzgCyHXE/edit?gid=0#gid=0"",""GERAL!A2:C""),3,0),""-"")"),"CAMPO")</f>
        <v>CAMPO</v>
      </c>
    </row>
    <row r="1048" ht="15.75" customHeight="1">
      <c r="A1048" s="111" t="s">
        <v>1281</v>
      </c>
      <c r="B1048" s="83" t="s">
        <v>5651</v>
      </c>
      <c r="C1048" s="83" t="s">
        <v>164</v>
      </c>
      <c r="D1048" s="98">
        <v>1179754.0</v>
      </c>
      <c r="E1048" s="83">
        <v>1178474.0</v>
      </c>
      <c r="F1048" s="98">
        <v>2.94879E7</v>
      </c>
      <c r="G1048" s="184" t="s">
        <v>5668</v>
      </c>
      <c r="H1048" s="91" t="s">
        <v>5669</v>
      </c>
      <c r="I1048" s="83" t="s">
        <v>5670</v>
      </c>
      <c r="J1048" s="83" t="s">
        <v>305</v>
      </c>
      <c r="K1048" s="83" t="s">
        <v>168</v>
      </c>
      <c r="L1048" s="83" t="s">
        <v>169</v>
      </c>
      <c r="M1048" s="82" t="str">
        <f>IFERROR(__xludf.DUMMYFUNCTION("IFERROR(VLOOKUP(D1048,
IMPORTRANGE(""https://docs.google.com/spreadsheets/d/1MjHtlUikwobi2MaWJgy7tfLeBmhj1u-dRFRs_8GwSoA/edit#gid=0"",""Gestores Escolares!D7:J""),3,0),""VERIFICAR CÓD SEC"")"),"MARIA DA CONCEICAO SOUSA PEREIRA")</f>
        <v>MARIA DA CONCEICAO SOUSA PEREIRA</v>
      </c>
      <c r="N1048" s="82" t="str">
        <f>IFERROR(__xludf.DUMMYFUNCTION("IFERROR(VLOOKUP(D1048,
IMPORTRANGE(""https://docs.google.com/spreadsheets/d/1MjHtlUikwobi2MaWJgy7tfLeBmhj1u-dRFRs_8GwSoA/edit#gid=0"",""Gestores Escolares!D7:J""),4,0),""VERIFICAR CÓD SEC"")"),"(75) 9 9805-9500")</f>
        <v>(75) 9 9805-9500</v>
      </c>
      <c r="O1048" s="82" t="str">
        <f>IFERROR(__xludf.DUMMYFUNCTION("IFERROR(VLOOKUP(D1048,
IMPORTRANGE(""https://docs.google.com/spreadsheets/d/1MjHtlUikwobi2MaWJgy7tfLeBmhj1u-dRFRs_8GwSoA/edit#gid=0"",""Gestores Escolares!D7:J""),6,0),""VERIFICAR CÓD SEC"")"),"ALISSON CRISTIAN SANTOS CHAGAS")</f>
        <v>ALISSON CRISTIAN SANTOS CHAGAS</v>
      </c>
      <c r="P1048" s="82" t="str">
        <f>IFERROR(__xludf.DUMMYFUNCTION("IFERROR(VLOOKUP(D1048,
IMPORTRANGE(""https://docs.google.com/spreadsheets/d/1MjHtlUikwobi2MaWJgy7tfLeBmhj1u-dRFRs_8GwSoA/edit#gid=0"",""Gestores Escolares!D7:J""),7,0),""VERIFICAR CÓD SEC"")"),"(75) 9 8170-9580")</f>
        <v>(75) 9 8170-9580</v>
      </c>
      <c r="Q1048" s="82" t="str">
        <f>IFERROR(__xludf.DUMMYFUNCTION("IFERROR(VLOOKUP(D1048,
IMPORTRANGE(""https://docs.google.com/spreadsheets/d/1MjHtlUikwobi2MaWJgy7tfLeBmhj1u-dRFRs_8GwSoA/edit#gid=0"",""Gestores Escolares!D7:m""),9,0),""VERIFICAR CÓD SEC"")"),"")</f>
        <v/>
      </c>
      <c r="R1048" s="82" t="str">
        <f>IFERROR(__xludf.DUMMYFUNCTION("IFERROR(VLOOKUP(D1048,
IMPORTRANGE(""https://docs.google.com/spreadsheets/d/1MjHtlUikwobi2MaWJgy7tfLeBmhj1u-dRFRs_8GwSoA/edit#gid=0"",""Gestores Escolares!D7:m""),10,0),""VERIFICAR CÓD SEC"")"),"")</f>
        <v/>
      </c>
      <c r="S1048" s="82"/>
      <c r="T1048" s="138">
        <v>3.0</v>
      </c>
      <c r="U1048" s="139">
        <v>3.0</v>
      </c>
      <c r="V1048" s="106">
        <v>0.0</v>
      </c>
      <c r="W1048" s="107">
        <v>0.0</v>
      </c>
      <c r="X1048" s="107">
        <v>0.0</v>
      </c>
      <c r="Y1048" s="107">
        <v>0.0</v>
      </c>
      <c r="Z1048" s="80">
        <f t="shared" si="1"/>
        <v>0</v>
      </c>
      <c r="AA1048" s="106">
        <v>0.0</v>
      </c>
      <c r="AB1048" s="107">
        <v>0.0</v>
      </c>
      <c r="AC1048" s="107">
        <v>0.0</v>
      </c>
      <c r="AD1048" s="107">
        <v>0.0</v>
      </c>
      <c r="AE1048" s="80">
        <f t="shared" si="2"/>
        <v>0</v>
      </c>
      <c r="AF1048" s="140">
        <v>0.0</v>
      </c>
      <c r="AG1048" s="109">
        <v>0.0</v>
      </c>
      <c r="AH1048" s="109">
        <v>41.0</v>
      </c>
      <c r="AI1048" s="141">
        <v>0.0</v>
      </c>
      <c r="AJ1048" s="80">
        <f t="shared" si="3"/>
        <v>41</v>
      </c>
      <c r="AK1048" s="140">
        <v>0.0</v>
      </c>
      <c r="AL1048" s="109">
        <v>0.0</v>
      </c>
      <c r="AM1048" s="141">
        <v>0.0</v>
      </c>
      <c r="AN1048" s="80">
        <f t="shared" si="4"/>
        <v>0</v>
      </c>
      <c r="AO1048" s="140">
        <v>0.0</v>
      </c>
      <c r="AP1048" s="109">
        <v>0.0</v>
      </c>
      <c r="AQ1048" s="109">
        <v>0.0</v>
      </c>
      <c r="AR1048" s="80">
        <f t="shared" si="5"/>
        <v>0</v>
      </c>
      <c r="AS1048" s="110">
        <v>0.0</v>
      </c>
      <c r="AT1048" s="110">
        <v>0.0</v>
      </c>
      <c r="AU1048" s="110">
        <v>0.0</v>
      </c>
      <c r="AV1048" s="142">
        <v>0.0</v>
      </c>
      <c r="AW1048" s="80">
        <f t="shared" si="6"/>
        <v>0</v>
      </c>
      <c r="AX1048" s="113">
        <f t="shared" si="7"/>
        <v>41</v>
      </c>
      <c r="AY1048" s="117">
        <f t="shared" si="8"/>
        <v>0</v>
      </c>
      <c r="AZ1048" s="120">
        <f t="shared" si="9"/>
        <v>41</v>
      </c>
      <c r="BA1048" s="115">
        <v>0.0</v>
      </c>
      <c r="BB1048" s="89">
        <f t="shared" si="10"/>
        <v>41</v>
      </c>
      <c r="BC1048" s="132" t="s">
        <v>373</v>
      </c>
      <c r="BD1048" s="132" t="s">
        <v>227</v>
      </c>
      <c r="BE1048" s="132" t="s">
        <v>178</v>
      </c>
      <c r="BF1048" s="123"/>
      <c r="BG1048" s="83">
        <v>1178474.0</v>
      </c>
      <c r="BH1048" s="112"/>
      <c r="BI1048" s="112">
        <v>3.0</v>
      </c>
      <c r="BJ1048" s="98" t="s">
        <v>155</v>
      </c>
      <c r="BK1048" s="99">
        <f t="shared" si="11"/>
        <v>0</v>
      </c>
      <c r="BL1048" s="99">
        <f t="shared" si="12"/>
        <v>0</v>
      </c>
      <c r="BM1048" s="99" t="str">
        <f>IFERROR(__xludf.DUMMYFUNCTION("IFERROR(VLOOKUP(BG1048,IMPORTRANGE(""https://docs.google.com/spreadsheets/d/1juPI-Fb8LD0YtltB2mlGEnp_R3UVu1t3wSFPzgCyHXE/edit?gid=0#gid=0"",""GERAL!A2:C""),3,0),""-"")"),"CAMPO")</f>
        <v>CAMPO</v>
      </c>
    </row>
    <row r="1049" ht="15.75" customHeight="1">
      <c r="A1049" s="111" t="s">
        <v>1281</v>
      </c>
      <c r="B1049" s="83" t="s">
        <v>5651</v>
      </c>
      <c r="C1049" s="83" t="s">
        <v>164</v>
      </c>
      <c r="D1049" s="98">
        <v>1179754.0</v>
      </c>
      <c r="E1049" s="83">
        <v>1179049.0</v>
      </c>
      <c r="F1049" s="98">
        <v>2.94879E7</v>
      </c>
      <c r="G1049" s="184" t="s">
        <v>5677</v>
      </c>
      <c r="H1049" s="91" t="s">
        <v>5678</v>
      </c>
      <c r="I1049" s="83" t="s">
        <v>149</v>
      </c>
      <c r="J1049" s="83" t="s">
        <v>467</v>
      </c>
      <c r="K1049" s="83" t="s">
        <v>151</v>
      </c>
      <c r="L1049" s="83" t="s">
        <v>169</v>
      </c>
      <c r="M1049" s="82" t="str">
        <f>IFERROR(__xludf.DUMMYFUNCTION("IFERROR(VLOOKUP(D1049,
IMPORTRANGE(""https://docs.google.com/spreadsheets/d/1MjHtlUikwobi2MaWJgy7tfLeBmhj1u-dRFRs_8GwSoA/edit#gid=0"",""Gestores Escolares!D7:J""),3,0),""VERIFICAR CÓD SEC"")"),"MARIA DA CONCEICAO SOUSA PEREIRA")</f>
        <v>MARIA DA CONCEICAO SOUSA PEREIRA</v>
      </c>
      <c r="N1049" s="82" t="str">
        <f>IFERROR(__xludf.DUMMYFUNCTION("IFERROR(VLOOKUP(D1049,
IMPORTRANGE(""https://docs.google.com/spreadsheets/d/1MjHtlUikwobi2MaWJgy7tfLeBmhj1u-dRFRs_8GwSoA/edit#gid=0"",""Gestores Escolares!D7:J""),4,0),""VERIFICAR CÓD SEC"")"),"(75) 9 9805-9500")</f>
        <v>(75) 9 9805-9500</v>
      </c>
      <c r="O1049" s="82" t="str">
        <f>IFERROR(__xludf.DUMMYFUNCTION("IFERROR(VLOOKUP(D1049,
IMPORTRANGE(""https://docs.google.com/spreadsheets/d/1MjHtlUikwobi2MaWJgy7tfLeBmhj1u-dRFRs_8GwSoA/edit#gid=0"",""Gestores Escolares!D7:J""),6,0),""VERIFICAR CÓD SEC"")"),"ALISSON CRISTIAN SANTOS CHAGAS")</f>
        <v>ALISSON CRISTIAN SANTOS CHAGAS</v>
      </c>
      <c r="P1049" s="82" t="str">
        <f>IFERROR(__xludf.DUMMYFUNCTION("IFERROR(VLOOKUP(D1049,
IMPORTRANGE(""https://docs.google.com/spreadsheets/d/1MjHtlUikwobi2MaWJgy7tfLeBmhj1u-dRFRs_8GwSoA/edit#gid=0"",""Gestores Escolares!D7:J""),7,0),""VERIFICAR CÓD SEC"")"),"(75) 9 8170-9580")</f>
        <v>(75) 9 8170-9580</v>
      </c>
      <c r="Q1049" s="82" t="str">
        <f>IFERROR(__xludf.DUMMYFUNCTION("IFERROR(VLOOKUP(D1049,
IMPORTRANGE(""https://docs.google.com/spreadsheets/d/1MjHtlUikwobi2MaWJgy7tfLeBmhj1u-dRFRs_8GwSoA/edit#gid=0"",""Gestores Escolares!D7:m""),9,0),""VERIFICAR CÓD SEC"")"),"")</f>
        <v/>
      </c>
      <c r="R1049" s="82" t="str">
        <f>IFERROR(__xludf.DUMMYFUNCTION("IFERROR(VLOOKUP(D1049,
IMPORTRANGE(""https://docs.google.com/spreadsheets/d/1MjHtlUikwobi2MaWJgy7tfLeBmhj1u-dRFRs_8GwSoA/edit#gid=0"",""Gestores Escolares!D7:m""),10,0),""VERIFICAR CÓD SEC"")"),"")</f>
        <v/>
      </c>
      <c r="S1049" s="82"/>
      <c r="T1049" s="138">
        <v>3.0</v>
      </c>
      <c r="U1049" s="139">
        <v>3.0</v>
      </c>
      <c r="V1049" s="106">
        <v>0.0</v>
      </c>
      <c r="W1049" s="107">
        <v>0.0</v>
      </c>
      <c r="X1049" s="107">
        <v>0.0</v>
      </c>
      <c r="Y1049" s="107">
        <v>0.0</v>
      </c>
      <c r="Z1049" s="80">
        <f t="shared" si="1"/>
        <v>0</v>
      </c>
      <c r="AA1049" s="106">
        <v>0.0</v>
      </c>
      <c r="AB1049" s="107">
        <v>0.0</v>
      </c>
      <c r="AC1049" s="107">
        <v>0.0</v>
      </c>
      <c r="AD1049" s="107">
        <v>0.0</v>
      </c>
      <c r="AE1049" s="80">
        <f t="shared" si="2"/>
        <v>0</v>
      </c>
      <c r="AF1049" s="140">
        <v>0.0</v>
      </c>
      <c r="AG1049" s="109">
        <v>0.0</v>
      </c>
      <c r="AH1049" s="109">
        <v>69.0</v>
      </c>
      <c r="AI1049" s="141">
        <v>0.0</v>
      </c>
      <c r="AJ1049" s="80">
        <f t="shared" si="3"/>
        <v>69</v>
      </c>
      <c r="AK1049" s="140">
        <v>0.0</v>
      </c>
      <c r="AL1049" s="109">
        <v>0.0</v>
      </c>
      <c r="AM1049" s="141">
        <v>0.0</v>
      </c>
      <c r="AN1049" s="80">
        <f t="shared" si="4"/>
        <v>0</v>
      </c>
      <c r="AO1049" s="140">
        <v>0.0</v>
      </c>
      <c r="AP1049" s="109">
        <v>0.0</v>
      </c>
      <c r="AQ1049" s="109">
        <v>0.0</v>
      </c>
      <c r="AR1049" s="80">
        <f t="shared" si="5"/>
        <v>0</v>
      </c>
      <c r="AS1049" s="110">
        <v>0.0</v>
      </c>
      <c r="AT1049" s="110">
        <v>0.0</v>
      </c>
      <c r="AU1049" s="110">
        <v>0.0</v>
      </c>
      <c r="AV1049" s="142">
        <v>0.0</v>
      </c>
      <c r="AW1049" s="80">
        <f t="shared" si="6"/>
        <v>0</v>
      </c>
      <c r="AX1049" s="113">
        <f t="shared" si="7"/>
        <v>69</v>
      </c>
      <c r="AY1049" s="117">
        <f t="shared" si="8"/>
        <v>0</v>
      </c>
      <c r="AZ1049" s="120">
        <f t="shared" si="9"/>
        <v>69</v>
      </c>
      <c r="BA1049" s="115">
        <v>0.0</v>
      </c>
      <c r="BB1049" s="89">
        <f t="shared" si="10"/>
        <v>69</v>
      </c>
      <c r="BC1049" s="132" t="s">
        <v>373</v>
      </c>
      <c r="BD1049" s="132" t="s">
        <v>227</v>
      </c>
      <c r="BE1049" s="132" t="s">
        <v>178</v>
      </c>
      <c r="BF1049" s="123"/>
      <c r="BG1049" s="83">
        <v>1179049.0</v>
      </c>
      <c r="BH1049" s="112"/>
      <c r="BI1049" s="112">
        <v>3.0</v>
      </c>
      <c r="BJ1049" s="98" t="s">
        <v>155</v>
      </c>
      <c r="BK1049" s="99">
        <f t="shared" si="11"/>
        <v>0</v>
      </c>
      <c r="BL1049" s="99">
        <f t="shared" si="12"/>
        <v>0</v>
      </c>
      <c r="BM1049" s="99" t="str">
        <f>IFERROR(__xludf.DUMMYFUNCTION("IFERROR(VLOOKUP(BG1049,IMPORTRANGE(""https://docs.google.com/spreadsheets/d/1juPI-Fb8LD0YtltB2mlGEnp_R3UVu1t3wSFPzgCyHXE/edit?gid=0#gid=0"",""GERAL!A2:C""),3,0),""-"")"),"CAMPO")</f>
        <v>CAMPO</v>
      </c>
    </row>
    <row r="1050" ht="15.75" customHeight="1">
      <c r="A1050" s="111" t="s">
        <v>1281</v>
      </c>
      <c r="B1050" s="83" t="s">
        <v>2287</v>
      </c>
      <c r="C1050" s="83" t="s">
        <v>68</v>
      </c>
      <c r="D1050" s="112">
        <v>1115229.0</v>
      </c>
      <c r="E1050" s="83"/>
      <c r="F1050" s="83">
        <v>2.9131553E7</v>
      </c>
      <c r="G1050" s="119" t="s">
        <v>5679</v>
      </c>
      <c r="H1050" s="91" t="s">
        <v>5680</v>
      </c>
      <c r="I1050" s="83" t="s">
        <v>149</v>
      </c>
      <c r="J1050" s="83" t="s">
        <v>150</v>
      </c>
      <c r="K1050" s="83" t="s">
        <v>151</v>
      </c>
      <c r="L1050" s="83" t="s">
        <v>230</v>
      </c>
      <c r="M1050" s="82" t="str">
        <f>IFERROR(__xludf.DUMMYFUNCTION("IFERROR(VLOOKUP(D1050,
IMPORTRANGE(""https://docs.google.com/spreadsheets/d/1MjHtlUikwobi2MaWJgy7tfLeBmhj1u-dRFRs_8GwSoA/edit#gid=0"",""Gestores Escolares!D7:J""),3,0),""VERIFICAR CÓD SEC"")"),"JOSEFA ROSA DOS SANTOS BORGES")</f>
        <v>JOSEFA ROSA DOS SANTOS BORGES</v>
      </c>
      <c r="N1050" s="82" t="str">
        <f>IFERROR(__xludf.DUMMYFUNCTION("IFERROR(VLOOKUP(D1050,
IMPORTRANGE(""https://docs.google.com/spreadsheets/d/1MjHtlUikwobi2MaWJgy7tfLeBmhj1u-dRFRs_8GwSoA/edit#gid=0"",""Gestores Escolares!D7:J""),4,0),""VERIFICAR CÓD SEC"")"),"(75) 9 9974-6051")</f>
        <v>(75) 9 9974-6051</v>
      </c>
      <c r="O1050" s="82" t="str">
        <f>IFERROR(__xludf.DUMMYFUNCTION("IFERROR(VLOOKUP(D1050,
IMPORTRANGE(""https://docs.google.com/spreadsheets/d/1MjHtlUikwobi2MaWJgy7tfLeBmhj1u-dRFRs_8GwSoA/edit#gid=0"",""Gestores Escolares!D7:J""),6,0),""VERIFICAR CÓD SEC"")"),"ADROALDO JOSE CRUZ DA ROCHA")</f>
        <v>ADROALDO JOSE CRUZ DA ROCHA</v>
      </c>
      <c r="P1050" s="82" t="str">
        <f>IFERROR(__xludf.DUMMYFUNCTION("IFERROR(VLOOKUP(D1050,
IMPORTRANGE(""https://docs.google.com/spreadsheets/d/1MjHtlUikwobi2MaWJgy7tfLeBmhj1u-dRFRs_8GwSoA/edit#gid=0"",""Gestores Escolares!D7:J""),7,0),""VERIFICAR CÓD SEC"")"),"(75) 9 9907-4125")</f>
        <v>(75) 9 9907-4125</v>
      </c>
      <c r="Q1050" s="82" t="str">
        <f>IFERROR(__xludf.DUMMYFUNCTION("IFERROR(VLOOKUP(D1050,
IMPORTRANGE(""https://docs.google.com/spreadsheets/d/1MjHtlUikwobi2MaWJgy7tfLeBmhj1u-dRFRs_8GwSoA/edit#gid=0"",""Gestores Escolares!D7:m""),9,0),""VERIFICAR CÓD SEC"")"),"RONIVALDO SANTOS DE JESUS")</f>
        <v>RONIVALDO SANTOS DE JESUS</v>
      </c>
      <c r="R1050" s="82" t="str">
        <f>IFERROR(__xludf.DUMMYFUNCTION("IFERROR(VLOOKUP(D1050,
IMPORTRANGE(""https://docs.google.com/spreadsheets/d/1MjHtlUikwobi2MaWJgy7tfLeBmhj1u-dRFRs_8GwSoA/edit#gid=0"",""Gestores Escolares!D7:m""),10,0),""VERIFICAR CÓD SEC"")"),"(75) 9 9809-5869")</f>
        <v>(75) 9 9809-5869</v>
      </c>
      <c r="S1050" s="82"/>
      <c r="T1050" s="138">
        <v>11.0</v>
      </c>
      <c r="U1050" s="145" t="s">
        <v>13812</v>
      </c>
      <c r="V1050" s="106">
        <v>0.0</v>
      </c>
      <c r="W1050" s="107">
        <v>0.0</v>
      </c>
      <c r="X1050" s="107">
        <v>0.0</v>
      </c>
      <c r="Y1050" s="107">
        <v>0.0</v>
      </c>
      <c r="Z1050" s="80">
        <f t="shared" si="1"/>
        <v>0</v>
      </c>
      <c r="AA1050" s="106">
        <v>0.0</v>
      </c>
      <c r="AB1050" s="107">
        <v>0.0</v>
      </c>
      <c r="AC1050" s="107">
        <v>0.0</v>
      </c>
      <c r="AD1050" s="107">
        <v>0.0</v>
      </c>
      <c r="AE1050" s="80">
        <f t="shared" si="2"/>
        <v>0</v>
      </c>
      <c r="AF1050" s="140">
        <v>0.0</v>
      </c>
      <c r="AG1050" s="109">
        <v>0.0</v>
      </c>
      <c r="AH1050" s="109">
        <v>0.0</v>
      </c>
      <c r="AI1050" s="141">
        <v>322.0</v>
      </c>
      <c r="AJ1050" s="80">
        <f t="shared" si="3"/>
        <v>322</v>
      </c>
      <c r="AK1050" s="140">
        <v>0.0</v>
      </c>
      <c r="AL1050" s="109">
        <v>0.0</v>
      </c>
      <c r="AM1050" s="141">
        <v>0.0</v>
      </c>
      <c r="AN1050" s="80">
        <f t="shared" si="4"/>
        <v>0</v>
      </c>
      <c r="AO1050" s="140">
        <v>0.0</v>
      </c>
      <c r="AP1050" s="109">
        <v>0.0</v>
      </c>
      <c r="AQ1050" s="109">
        <v>117.0</v>
      </c>
      <c r="AR1050" s="80">
        <f t="shared" si="5"/>
        <v>117</v>
      </c>
      <c r="AS1050" s="110">
        <v>0.0</v>
      </c>
      <c r="AT1050" s="110">
        <v>0.0</v>
      </c>
      <c r="AU1050" s="110">
        <v>82.0</v>
      </c>
      <c r="AV1050" s="142">
        <v>322.0</v>
      </c>
      <c r="AW1050" s="80">
        <f t="shared" si="6"/>
        <v>404</v>
      </c>
      <c r="AX1050" s="113">
        <f t="shared" si="7"/>
        <v>843</v>
      </c>
      <c r="AY1050" s="117">
        <f t="shared" si="8"/>
        <v>644</v>
      </c>
      <c r="AZ1050" s="120">
        <f t="shared" si="9"/>
        <v>199</v>
      </c>
      <c r="BA1050" s="115">
        <v>0.0</v>
      </c>
      <c r="BB1050" s="89">
        <f t="shared" si="10"/>
        <v>843</v>
      </c>
      <c r="BC1050" s="132" t="s">
        <v>373</v>
      </c>
      <c r="BD1050" s="132" t="s">
        <v>178</v>
      </c>
      <c r="BE1050" s="132" t="s">
        <v>178</v>
      </c>
      <c r="BF1050" s="123"/>
      <c r="BG1050" s="83">
        <v>1115229.0</v>
      </c>
      <c r="BH1050" s="112"/>
      <c r="BI1050" s="112">
        <v>11.0</v>
      </c>
      <c r="BJ1050" s="98" t="s">
        <v>5682</v>
      </c>
      <c r="BK1050" s="99">
        <f t="shared" si="11"/>
        <v>644</v>
      </c>
      <c r="BL1050" s="99">
        <f t="shared" si="12"/>
        <v>0</v>
      </c>
      <c r="BM1050" s="99" t="str">
        <f>IFERROR(__xludf.DUMMYFUNCTION("IFERROR(VLOOKUP(BG1050,IMPORTRANGE(""https://docs.google.com/spreadsheets/d/1juPI-Fb8LD0YtltB2mlGEnp_R3UVu1t3wSFPzgCyHXE/edit?gid=0#gid=0"",""GERAL!A2:C""),3,0),""-"")"),"CAMPO")</f>
        <v>CAMPO</v>
      </c>
    </row>
    <row r="1051" ht="15.75" customHeight="1">
      <c r="A1051" s="111" t="s">
        <v>1281</v>
      </c>
      <c r="B1051" s="83" t="s">
        <v>2287</v>
      </c>
      <c r="C1051" s="83" t="s">
        <v>68</v>
      </c>
      <c r="D1051" s="112">
        <v>1178259.0</v>
      </c>
      <c r="E1051" s="83"/>
      <c r="F1051" s="83">
        <v>2.9848873E7</v>
      </c>
      <c r="G1051" s="119" t="s">
        <v>5684</v>
      </c>
      <c r="H1051" s="91" t="s">
        <v>5685</v>
      </c>
      <c r="I1051" s="83" t="s">
        <v>149</v>
      </c>
      <c r="J1051" s="83" t="s">
        <v>1347</v>
      </c>
      <c r="K1051" s="83" t="s">
        <v>151</v>
      </c>
      <c r="L1051" s="83" t="s">
        <v>169</v>
      </c>
      <c r="M1051" s="82" t="str">
        <f>IFERROR(__xludf.DUMMYFUNCTION("IFERROR(VLOOKUP(D1051,
IMPORTRANGE(""https://docs.google.com/spreadsheets/d/1MjHtlUikwobi2MaWJgy7tfLeBmhj1u-dRFRs_8GwSoA/edit#gid=0"",""Gestores Escolares!D7:J""),3,0),""VERIFICAR CÓD SEC"")"),"GABRIELE SOUZA DE CARVALHO")</f>
        <v>GABRIELE SOUZA DE CARVALHO</v>
      </c>
      <c r="N1051" s="82" t="str">
        <f>IFERROR(__xludf.DUMMYFUNCTION("IFERROR(VLOOKUP(D1051,
IMPORTRANGE(""https://docs.google.com/spreadsheets/d/1MjHtlUikwobi2MaWJgy7tfLeBmhj1u-dRFRs_8GwSoA/edit#gid=0"",""Gestores Escolares!D7:J""),4,0),""VERIFICAR CÓD SEC"")"),"(75) 9 9826-6021")</f>
        <v>(75) 9 9826-6021</v>
      </c>
      <c r="O1051" s="82" t="str">
        <f>IFERROR(__xludf.DUMMYFUNCTION("IFERROR(VLOOKUP(D1051,
IMPORTRANGE(""https://docs.google.com/spreadsheets/d/1MjHtlUikwobi2MaWJgy7tfLeBmhj1u-dRFRs_8GwSoA/edit#gid=0"",""Gestores Escolares!D7:J""),6,0),""VERIFICAR CÓD SEC"")"),"")</f>
        <v/>
      </c>
      <c r="P1051" s="82" t="str">
        <f>IFERROR(__xludf.DUMMYFUNCTION("IFERROR(VLOOKUP(D1051,
IMPORTRANGE(""https://docs.google.com/spreadsheets/d/1MjHtlUikwobi2MaWJgy7tfLeBmhj1u-dRFRs_8GwSoA/edit#gid=0"",""Gestores Escolares!D7:J""),7,0),""VERIFICAR CÓD SEC"")"),"")</f>
        <v/>
      </c>
      <c r="Q1051" s="82" t="str">
        <f>IFERROR(__xludf.DUMMYFUNCTION("IFERROR(VLOOKUP(D1051,
IMPORTRANGE(""https://docs.google.com/spreadsheets/d/1MjHtlUikwobi2MaWJgy7tfLeBmhj1u-dRFRs_8GwSoA/edit#gid=0"",""Gestores Escolares!D7:m""),9,0),""VERIFICAR CÓD SEC"")")," MARIA IRACILDA RABELO LIMA (SECRETÁRIA) - (75) 9 9844-2801
 JULIANA NASCIMENTO SANTOS (COORDENADORA PEDAGÓGICA DA UEE) -  (75) 9 9938-8909")</f>
        <v> MARIA IRACILDA RABELO LIMA (SECRETÁRIA) - (75) 9 9844-2801
 JULIANA NASCIMENTO SANTOS (COORDENADORA PEDAGÓGICA DA UEE) -  (75) 9 9938-8909</v>
      </c>
      <c r="R1051" s="82" t="str">
        <f>IFERROR(__xludf.DUMMYFUNCTION("IFERROR(VLOOKUP(D1051,
IMPORTRANGE(""https://docs.google.com/spreadsheets/d/1MjHtlUikwobi2MaWJgy7tfLeBmhj1u-dRFRs_8GwSoA/edit#gid=0"",""Gestores Escolares!D7:m""),10,0),""VERIFICAR CÓD SEC"")"),"")</f>
        <v/>
      </c>
      <c r="S1051" s="82"/>
      <c r="T1051" s="138">
        <v>8.0</v>
      </c>
      <c r="U1051" s="145">
        <v>8.0</v>
      </c>
      <c r="V1051" s="106">
        <v>0.0</v>
      </c>
      <c r="W1051" s="107">
        <v>0.0</v>
      </c>
      <c r="X1051" s="107">
        <v>0.0</v>
      </c>
      <c r="Y1051" s="107">
        <v>0.0</v>
      </c>
      <c r="Z1051" s="80">
        <f t="shared" si="1"/>
        <v>0</v>
      </c>
      <c r="AA1051" s="106">
        <v>0.0</v>
      </c>
      <c r="AB1051" s="107">
        <v>0.0</v>
      </c>
      <c r="AC1051" s="107">
        <v>0.0</v>
      </c>
      <c r="AD1051" s="107">
        <v>0.0</v>
      </c>
      <c r="AE1051" s="80">
        <f t="shared" si="2"/>
        <v>0</v>
      </c>
      <c r="AF1051" s="140">
        <v>0.0</v>
      </c>
      <c r="AG1051" s="109">
        <v>35.0</v>
      </c>
      <c r="AH1051" s="109">
        <v>0.0</v>
      </c>
      <c r="AI1051" s="141">
        <v>54.0</v>
      </c>
      <c r="AJ1051" s="80">
        <f t="shared" si="3"/>
        <v>89</v>
      </c>
      <c r="AK1051" s="140">
        <v>0.0</v>
      </c>
      <c r="AL1051" s="109">
        <v>0.0</v>
      </c>
      <c r="AM1051" s="141">
        <v>0.0</v>
      </c>
      <c r="AN1051" s="80">
        <f t="shared" si="4"/>
        <v>0</v>
      </c>
      <c r="AO1051" s="140">
        <v>0.0</v>
      </c>
      <c r="AP1051" s="109">
        <v>0.0</v>
      </c>
      <c r="AQ1051" s="109">
        <v>39.0</v>
      </c>
      <c r="AR1051" s="80">
        <f t="shared" si="5"/>
        <v>39</v>
      </c>
      <c r="AS1051" s="110">
        <v>0.0</v>
      </c>
      <c r="AT1051" s="110">
        <v>0.0</v>
      </c>
      <c r="AU1051" s="110">
        <v>18.0</v>
      </c>
      <c r="AV1051" s="142">
        <v>54.0</v>
      </c>
      <c r="AW1051" s="80">
        <f t="shared" si="6"/>
        <v>72</v>
      </c>
      <c r="AX1051" s="113">
        <f t="shared" si="7"/>
        <v>200</v>
      </c>
      <c r="AY1051" s="117">
        <f t="shared" si="8"/>
        <v>143</v>
      </c>
      <c r="AZ1051" s="120">
        <f t="shared" si="9"/>
        <v>57</v>
      </c>
      <c r="BA1051" s="115">
        <v>0.0</v>
      </c>
      <c r="BB1051" s="89">
        <f t="shared" si="10"/>
        <v>200</v>
      </c>
      <c r="BC1051" s="132" t="s">
        <v>373</v>
      </c>
      <c r="BD1051" s="132" t="s">
        <v>178</v>
      </c>
      <c r="BE1051" s="132" t="s">
        <v>178</v>
      </c>
      <c r="BF1051" s="123"/>
      <c r="BG1051" s="83">
        <v>1178259.0</v>
      </c>
      <c r="BH1051" s="112"/>
      <c r="BI1051" s="112">
        <v>7.0</v>
      </c>
      <c r="BJ1051" s="98" t="s">
        <v>155</v>
      </c>
      <c r="BK1051" s="99">
        <f t="shared" si="11"/>
        <v>108</v>
      </c>
      <c r="BL1051" s="99">
        <f t="shared" si="12"/>
        <v>35</v>
      </c>
      <c r="BM1051" s="99" t="str">
        <f>IFERROR(__xludf.DUMMYFUNCTION("IFERROR(VLOOKUP(BG1051,IMPORTRANGE(""https://docs.google.com/spreadsheets/d/1juPI-Fb8LD0YtltB2mlGEnp_R3UVu1t3wSFPzgCyHXE/edit?gid=0#gid=0"",""GERAL!A2:C""),3,0),""-"")"),"CAMPO")</f>
        <v>CAMPO</v>
      </c>
    </row>
    <row r="1052" ht="15.75" customHeight="1">
      <c r="A1052" s="111" t="s">
        <v>1281</v>
      </c>
      <c r="B1052" s="83" t="s">
        <v>5688</v>
      </c>
      <c r="C1052" s="83" t="s">
        <v>68</v>
      </c>
      <c r="D1052" s="112">
        <v>1160186.0</v>
      </c>
      <c r="E1052" s="83"/>
      <c r="F1052" s="83">
        <v>2.9104505E7</v>
      </c>
      <c r="G1052" s="153" t="s">
        <v>5689</v>
      </c>
      <c r="H1052" s="91" t="s">
        <v>5690</v>
      </c>
      <c r="I1052" s="83" t="s">
        <v>149</v>
      </c>
      <c r="J1052" s="83" t="s">
        <v>150</v>
      </c>
      <c r="K1052" s="98" t="s">
        <v>230</v>
      </c>
      <c r="L1052" s="83" t="s">
        <v>152</v>
      </c>
      <c r="M1052" s="82" t="str">
        <f>IFERROR(__xludf.DUMMYFUNCTION("IFERROR(VLOOKUP(D1052,
IMPORTRANGE(""https://docs.google.com/spreadsheets/d/1MjHtlUikwobi2MaWJgy7tfLeBmhj1u-dRFRs_8GwSoA/edit#gid=0"",""Gestores Escolares!D7:J""),3,0),""VERIFICAR CÓD SEC"")"),"SORAIA DE CRISTO SANTOS")</f>
        <v>SORAIA DE CRISTO SANTOS</v>
      </c>
      <c r="N1052" s="82" t="str">
        <f>IFERROR(__xludf.DUMMYFUNCTION("IFERROR(VLOOKUP(D1052,
IMPORTRANGE(""https://docs.google.com/spreadsheets/d/1MjHtlUikwobi2MaWJgy7tfLeBmhj1u-dRFRs_8GwSoA/edit#gid=0"",""Gestores Escolares!D7:J""),4,0),""VERIFICAR CÓD SEC"")"),"(75) 9 8205-6361
")</f>
        <v>(75) 9 8205-6361
</v>
      </c>
      <c r="O1052" s="82" t="str">
        <f>IFERROR(__xludf.DUMMYFUNCTION("IFERROR(VLOOKUP(D1052,
IMPORTRANGE(""https://docs.google.com/spreadsheets/d/1MjHtlUikwobi2MaWJgy7tfLeBmhj1u-dRFRs_8GwSoA/edit#gid=0"",""Gestores Escolares!D7:J""),6,0),""VERIFICAR CÓD SEC"")"),"")</f>
        <v/>
      </c>
      <c r="P1052" s="82" t="str">
        <f>IFERROR(__xludf.DUMMYFUNCTION("IFERROR(VLOOKUP(D1052,
IMPORTRANGE(""https://docs.google.com/spreadsheets/d/1MjHtlUikwobi2MaWJgy7tfLeBmhj1u-dRFRs_8GwSoA/edit#gid=0"",""Gestores Escolares!D7:J""),7,0),""VERIFICAR CÓD SEC"")"),"")</f>
        <v/>
      </c>
      <c r="Q1052" s="82" t="str">
        <f>IFERROR(__xludf.DUMMYFUNCTION("IFERROR(VLOOKUP(D1052,
IMPORTRANGE(""https://docs.google.com/spreadsheets/d/1MjHtlUikwobi2MaWJgy7tfLeBmhj1u-dRFRs_8GwSoA/edit#gid=0"",""Gestores Escolares!D7:m""),9,0),""VERIFICAR CÓD SEC"")"),"")</f>
        <v/>
      </c>
      <c r="R1052" s="82" t="str">
        <f>IFERROR(__xludf.DUMMYFUNCTION("IFERROR(VLOOKUP(D1052,
IMPORTRANGE(""https://docs.google.com/spreadsheets/d/1MjHtlUikwobi2MaWJgy7tfLeBmhj1u-dRFRs_8GwSoA/edit#gid=0"",""Gestores Escolares!D7:m""),10,0),""VERIFICAR CÓD SEC"")"),"")</f>
        <v/>
      </c>
      <c r="S1052" s="82"/>
      <c r="T1052" s="138">
        <v>6.0</v>
      </c>
      <c r="U1052" s="145">
        <v>6.0</v>
      </c>
      <c r="V1052" s="106">
        <v>0.0</v>
      </c>
      <c r="W1052" s="107">
        <v>0.0</v>
      </c>
      <c r="X1052" s="107">
        <v>0.0</v>
      </c>
      <c r="Y1052" s="107">
        <v>0.0</v>
      </c>
      <c r="Z1052" s="80">
        <f t="shared" si="1"/>
        <v>0</v>
      </c>
      <c r="AA1052" s="106">
        <v>0.0</v>
      </c>
      <c r="AB1052" s="107">
        <v>0.0</v>
      </c>
      <c r="AC1052" s="107">
        <v>0.0</v>
      </c>
      <c r="AD1052" s="107">
        <v>0.0</v>
      </c>
      <c r="AE1052" s="80">
        <f t="shared" si="2"/>
        <v>0</v>
      </c>
      <c r="AF1052" s="140">
        <v>0.0</v>
      </c>
      <c r="AG1052" s="109">
        <v>0.0</v>
      </c>
      <c r="AH1052" s="109">
        <v>0.0</v>
      </c>
      <c r="AI1052" s="141">
        <v>106.0</v>
      </c>
      <c r="AJ1052" s="80">
        <f t="shared" si="3"/>
        <v>106</v>
      </c>
      <c r="AK1052" s="140">
        <v>0.0</v>
      </c>
      <c r="AL1052" s="109">
        <v>0.0</v>
      </c>
      <c r="AM1052" s="141">
        <v>0.0</v>
      </c>
      <c r="AN1052" s="80">
        <f t="shared" si="4"/>
        <v>0</v>
      </c>
      <c r="AO1052" s="140">
        <v>0.0</v>
      </c>
      <c r="AP1052" s="109">
        <v>0.0</v>
      </c>
      <c r="AQ1052" s="109">
        <v>69.0</v>
      </c>
      <c r="AR1052" s="80">
        <f t="shared" si="5"/>
        <v>69</v>
      </c>
      <c r="AS1052" s="110">
        <v>0.0</v>
      </c>
      <c r="AT1052" s="110">
        <v>0.0</v>
      </c>
      <c r="AU1052" s="110">
        <v>13.0</v>
      </c>
      <c r="AV1052" s="142">
        <v>101.0</v>
      </c>
      <c r="AW1052" s="80">
        <f t="shared" si="6"/>
        <v>114</v>
      </c>
      <c r="AX1052" s="113">
        <f t="shared" si="7"/>
        <v>289</v>
      </c>
      <c r="AY1052" s="117">
        <f t="shared" si="8"/>
        <v>207</v>
      </c>
      <c r="AZ1052" s="120">
        <f t="shared" si="9"/>
        <v>82</v>
      </c>
      <c r="BA1052" s="115">
        <v>0.0</v>
      </c>
      <c r="BB1052" s="89">
        <f t="shared" si="10"/>
        <v>289</v>
      </c>
      <c r="BC1052" s="132" t="s">
        <v>373</v>
      </c>
      <c r="BD1052" s="132" t="s">
        <v>178</v>
      </c>
      <c r="BE1052" s="132" t="s">
        <v>178</v>
      </c>
      <c r="BF1052" s="156"/>
      <c r="BG1052" s="83">
        <v>1160186.0</v>
      </c>
      <c r="BH1052" s="112"/>
      <c r="BI1052" s="112">
        <v>6.0</v>
      </c>
      <c r="BJ1052" s="98" t="s">
        <v>162</v>
      </c>
      <c r="BK1052" s="99">
        <f t="shared" si="11"/>
        <v>207</v>
      </c>
      <c r="BL1052" s="99">
        <f t="shared" si="12"/>
        <v>0</v>
      </c>
      <c r="BM1052" s="99" t="str">
        <f>IFERROR(__xludf.DUMMYFUNCTION("IFERROR(VLOOKUP(BG1052,IMPORTRANGE(""https://docs.google.com/spreadsheets/d/1juPI-Fb8LD0YtltB2mlGEnp_R3UVu1t3wSFPzgCyHXE/edit?gid=0#gid=0"",""GERAL!A2:C""),3,0),""-"")"),"CAMPO")</f>
        <v>CAMPO</v>
      </c>
    </row>
    <row r="1053" ht="15.75" customHeight="1">
      <c r="A1053" s="111" t="s">
        <v>1281</v>
      </c>
      <c r="B1053" s="83" t="s">
        <v>5693</v>
      </c>
      <c r="C1053" s="83" t="s">
        <v>68</v>
      </c>
      <c r="D1053" s="112">
        <v>1108222.0</v>
      </c>
      <c r="E1053" s="83"/>
      <c r="F1053" s="83">
        <v>2.910458E7</v>
      </c>
      <c r="G1053" s="119" t="s">
        <v>5694</v>
      </c>
      <c r="H1053" s="91" t="s">
        <v>5695</v>
      </c>
      <c r="I1053" s="83" t="s">
        <v>149</v>
      </c>
      <c r="J1053" s="83" t="s">
        <v>150</v>
      </c>
      <c r="K1053" s="83" t="s">
        <v>151</v>
      </c>
      <c r="L1053" s="83" t="s">
        <v>76</v>
      </c>
      <c r="M1053" s="82" t="str">
        <f>IFERROR(__xludf.DUMMYFUNCTION("IFERROR(VLOOKUP(D1053,
IMPORTRANGE(""https://docs.google.com/spreadsheets/d/1MjHtlUikwobi2MaWJgy7tfLeBmhj1u-dRFRs_8GwSoA/edit#gid=0"",""Gestores Escolares!D7:J""),3,0),""VERIFICAR CÓD SEC"")"),"VERA LUCIA DE ARAUJO SANTOS")</f>
        <v>VERA LUCIA DE ARAUJO SANTOS</v>
      </c>
      <c r="N1053" s="82" t="str">
        <f>IFERROR(__xludf.DUMMYFUNCTION("IFERROR(VLOOKUP(D1053,
IMPORTRANGE(""https://docs.google.com/spreadsheets/d/1MjHtlUikwobi2MaWJgy7tfLeBmhj1u-dRFRs_8GwSoA/edit#gid=0"",""Gestores Escolares!D7:J""),4,0),""VERIFICAR CÓD SEC"")"),"(75) 9 8184-0360")</f>
        <v>(75) 9 8184-0360</v>
      </c>
      <c r="O1053" s="82" t="str">
        <f>IFERROR(__xludf.DUMMYFUNCTION("IFERROR(VLOOKUP(D1053,
IMPORTRANGE(""https://docs.google.com/spreadsheets/d/1MjHtlUikwobi2MaWJgy7tfLeBmhj1u-dRFRs_8GwSoA/edit#gid=0"",""Gestores Escolares!D7:J""),6,0),""VERIFICAR CÓD SEC"")"),"")</f>
        <v/>
      </c>
      <c r="P1053" s="82" t="str">
        <f>IFERROR(__xludf.DUMMYFUNCTION("IFERROR(VLOOKUP(D1053,
IMPORTRANGE(""https://docs.google.com/spreadsheets/d/1MjHtlUikwobi2MaWJgy7tfLeBmhj1u-dRFRs_8GwSoA/edit#gid=0"",""Gestores Escolares!D7:J""),7,0),""VERIFICAR CÓD SEC"")"),"")</f>
        <v/>
      </c>
      <c r="Q1053" s="82" t="str">
        <f>IFERROR(__xludf.DUMMYFUNCTION("IFERROR(VLOOKUP(D1053,
IMPORTRANGE(""https://docs.google.com/spreadsheets/d/1MjHtlUikwobi2MaWJgy7tfLeBmhj1u-dRFRs_8GwSoA/edit#gid=0"",""Gestores Escolares!D7:m""),9,0),""VERIFICAR CÓD SEC"")"),"")</f>
        <v/>
      </c>
      <c r="R1053" s="82" t="str">
        <f>IFERROR(__xludf.DUMMYFUNCTION("IFERROR(VLOOKUP(D1053,
IMPORTRANGE(""https://docs.google.com/spreadsheets/d/1MjHtlUikwobi2MaWJgy7tfLeBmhj1u-dRFRs_8GwSoA/edit#gid=0"",""Gestores Escolares!D7:m""),10,0),""VERIFICAR CÓD SEC"")"),"")</f>
        <v/>
      </c>
      <c r="S1053" s="82"/>
      <c r="T1053" s="138">
        <v>5.0</v>
      </c>
      <c r="U1053" s="217" t="s">
        <v>13813</v>
      </c>
      <c r="V1053" s="106">
        <v>0.0</v>
      </c>
      <c r="W1053" s="107">
        <v>0.0</v>
      </c>
      <c r="X1053" s="107">
        <v>0.0</v>
      </c>
      <c r="Y1053" s="107">
        <v>0.0</v>
      </c>
      <c r="Z1053" s="80">
        <f t="shared" si="1"/>
        <v>0</v>
      </c>
      <c r="AA1053" s="106">
        <v>0.0</v>
      </c>
      <c r="AB1053" s="107">
        <v>0.0</v>
      </c>
      <c r="AC1053" s="107">
        <v>0.0</v>
      </c>
      <c r="AD1053" s="107">
        <v>0.0</v>
      </c>
      <c r="AE1053" s="80">
        <f t="shared" si="2"/>
        <v>0</v>
      </c>
      <c r="AF1053" s="140">
        <v>0.0</v>
      </c>
      <c r="AG1053" s="109">
        <v>0.0</v>
      </c>
      <c r="AH1053" s="109">
        <v>0.0</v>
      </c>
      <c r="AI1053" s="141">
        <v>57.0</v>
      </c>
      <c r="AJ1053" s="80">
        <f t="shared" si="3"/>
        <v>57</v>
      </c>
      <c r="AK1053" s="140">
        <v>0.0</v>
      </c>
      <c r="AL1053" s="109">
        <v>0.0</v>
      </c>
      <c r="AM1053" s="141">
        <v>0.0</v>
      </c>
      <c r="AN1053" s="80">
        <f t="shared" si="4"/>
        <v>0</v>
      </c>
      <c r="AO1053" s="140">
        <v>0.0</v>
      </c>
      <c r="AP1053" s="109">
        <v>0.0</v>
      </c>
      <c r="AQ1053" s="109">
        <v>44.0</v>
      </c>
      <c r="AR1053" s="80">
        <f t="shared" si="5"/>
        <v>44</v>
      </c>
      <c r="AS1053" s="110">
        <v>19.0</v>
      </c>
      <c r="AT1053" s="110">
        <v>14.0</v>
      </c>
      <c r="AU1053" s="110">
        <v>16.0</v>
      </c>
      <c r="AV1053" s="142">
        <v>62.0</v>
      </c>
      <c r="AW1053" s="80">
        <f t="shared" si="6"/>
        <v>111</v>
      </c>
      <c r="AX1053" s="113">
        <f t="shared" si="7"/>
        <v>212</v>
      </c>
      <c r="AY1053" s="117">
        <f t="shared" si="8"/>
        <v>152</v>
      </c>
      <c r="AZ1053" s="120">
        <f t="shared" si="9"/>
        <v>60</v>
      </c>
      <c r="BA1053" s="115">
        <v>0.0</v>
      </c>
      <c r="BB1053" s="89">
        <f t="shared" si="10"/>
        <v>212</v>
      </c>
      <c r="BC1053" s="132" t="s">
        <v>178</v>
      </c>
      <c r="BD1053" s="132" t="s">
        <v>178</v>
      </c>
      <c r="BE1053" s="132" t="s">
        <v>178</v>
      </c>
      <c r="BF1053" s="123"/>
      <c r="BG1053" s="83">
        <v>1108222.0</v>
      </c>
      <c r="BH1053" s="112"/>
      <c r="BI1053" s="112">
        <v>9.0</v>
      </c>
      <c r="BJ1053" s="98" t="s">
        <v>155</v>
      </c>
      <c r="BK1053" s="99">
        <f t="shared" si="11"/>
        <v>119</v>
      </c>
      <c r="BL1053" s="99">
        <f t="shared" si="12"/>
        <v>33</v>
      </c>
      <c r="BM1053" s="99" t="str">
        <f>IFERROR(__xludf.DUMMYFUNCTION("IFERROR(VLOOKUP(BG1053,IMPORTRANGE(""https://docs.google.com/spreadsheets/d/1juPI-Fb8LD0YtltB2mlGEnp_R3UVu1t3wSFPzgCyHXE/edit?gid=0#gid=0"",""GERAL!A2:C""),3,0),""-"")"),"-")</f>
        <v>-</v>
      </c>
    </row>
    <row r="1054" ht="15.75" customHeight="1">
      <c r="A1054" s="111" t="s">
        <v>1281</v>
      </c>
      <c r="B1054" s="83" t="s">
        <v>2518</v>
      </c>
      <c r="C1054" s="83" t="s">
        <v>45</v>
      </c>
      <c r="D1054" s="112">
        <v>1178395.0</v>
      </c>
      <c r="E1054" s="83"/>
      <c r="F1054" s="83">
        <v>2.9529026E7</v>
      </c>
      <c r="G1054" s="298" t="s">
        <v>5698</v>
      </c>
      <c r="H1054" s="91" t="s">
        <v>5699</v>
      </c>
      <c r="I1054" s="83" t="s">
        <v>5700</v>
      </c>
      <c r="J1054" s="115" t="s">
        <v>694</v>
      </c>
      <c r="K1054" s="83" t="s">
        <v>171</v>
      </c>
      <c r="L1054" s="83" t="s">
        <v>169</v>
      </c>
      <c r="M1054" s="82" t="str">
        <f>IFERROR(__xludf.DUMMYFUNCTION("IFERROR(VLOOKUP(D1054,
IMPORTRANGE(""https://docs.google.com/spreadsheets/d/1MjHtlUikwobi2MaWJgy7tfLeBmhj1u-dRFRs_8GwSoA/edit#gid=0"",""Gestores Escolares!D7:J""),3,0),""VERIFICAR CÓD SEC"")"),"OSMAR PEREIRA DE SOUZA")</f>
        <v>OSMAR PEREIRA DE SOUZA</v>
      </c>
      <c r="N1054" s="82" t="str">
        <f>IFERROR(__xludf.DUMMYFUNCTION("IFERROR(VLOOKUP(D1054,
IMPORTRANGE(""https://docs.google.com/spreadsheets/d/1MjHtlUikwobi2MaWJgy7tfLeBmhj1u-dRFRs_8GwSoA/edit#gid=0"",""Gestores Escolares!D7:J""),4,0),""VERIFICAR CÓD SEC"")"),"(75) 9 9900-2857")</f>
        <v>(75) 9 9900-2857</v>
      </c>
      <c r="O1054" s="82" t="str">
        <f>IFERROR(__xludf.DUMMYFUNCTION("IFERROR(VLOOKUP(D1054,
IMPORTRANGE(""https://docs.google.com/spreadsheets/d/1MjHtlUikwobi2MaWJgy7tfLeBmhj1u-dRFRs_8GwSoA/edit#gid=0"",""Gestores Escolares!D7:J""),6,0),""VERIFICAR CÓD SEC"")"),"")</f>
        <v/>
      </c>
      <c r="P1054" s="82" t="str">
        <f>IFERROR(__xludf.DUMMYFUNCTION("IFERROR(VLOOKUP(D1054,
IMPORTRANGE(""https://docs.google.com/spreadsheets/d/1MjHtlUikwobi2MaWJgy7tfLeBmhj1u-dRFRs_8GwSoA/edit#gid=0"",""Gestores Escolares!D7:J""),7,0),""VERIFICAR CÓD SEC"")"),"")</f>
        <v/>
      </c>
      <c r="Q1054" s="82" t="str">
        <f>IFERROR(__xludf.DUMMYFUNCTION("IFERROR(VLOOKUP(D1054,
IMPORTRANGE(""https://docs.google.com/spreadsheets/d/1MjHtlUikwobi2MaWJgy7tfLeBmhj1u-dRFRs_8GwSoA/edit#gid=0"",""Gestores Escolares!D7:m""),9,0),""VERIFICAR CÓD SEC"")"),"")</f>
        <v/>
      </c>
      <c r="R1054" s="82" t="str">
        <f>IFERROR(__xludf.DUMMYFUNCTION("IFERROR(VLOOKUP(D1054,
IMPORTRANGE(""https://docs.google.com/spreadsheets/d/1MjHtlUikwobi2MaWJgy7tfLeBmhj1u-dRFRs_8GwSoA/edit#gid=0"",""Gestores Escolares!D7:m""),10,0),""VERIFICAR CÓD SEC"")"),"")</f>
        <v/>
      </c>
      <c r="S1054" s="82"/>
      <c r="T1054" s="138">
        <v>4.0</v>
      </c>
      <c r="U1054" s="145">
        <v>3.0</v>
      </c>
      <c r="V1054" s="106">
        <v>0.0</v>
      </c>
      <c r="W1054" s="107">
        <v>0.0</v>
      </c>
      <c r="X1054" s="107">
        <v>0.0</v>
      </c>
      <c r="Y1054" s="107">
        <v>0.0</v>
      </c>
      <c r="Z1054" s="80">
        <f t="shared" si="1"/>
        <v>0</v>
      </c>
      <c r="AA1054" s="106">
        <v>0.0</v>
      </c>
      <c r="AB1054" s="107">
        <v>0.0</v>
      </c>
      <c r="AC1054" s="107">
        <v>0.0</v>
      </c>
      <c r="AD1054" s="107">
        <v>0.0</v>
      </c>
      <c r="AE1054" s="80">
        <f t="shared" si="2"/>
        <v>0</v>
      </c>
      <c r="AF1054" s="225">
        <v>0.0</v>
      </c>
      <c r="AG1054" s="226">
        <v>0.0</v>
      </c>
      <c r="AH1054" s="226">
        <v>0.0</v>
      </c>
      <c r="AI1054" s="227">
        <v>63.0</v>
      </c>
      <c r="AJ1054" s="80">
        <f t="shared" si="3"/>
        <v>63</v>
      </c>
      <c r="AK1054" s="140">
        <v>0.0</v>
      </c>
      <c r="AL1054" s="109">
        <v>0.0</v>
      </c>
      <c r="AM1054" s="141">
        <v>0.0</v>
      </c>
      <c r="AN1054" s="80">
        <f t="shared" si="4"/>
        <v>0</v>
      </c>
      <c r="AO1054" s="225">
        <v>0.0</v>
      </c>
      <c r="AP1054" s="226">
        <v>0.0</v>
      </c>
      <c r="AQ1054" s="226">
        <v>0.0</v>
      </c>
      <c r="AR1054" s="80">
        <f t="shared" si="5"/>
        <v>0</v>
      </c>
      <c r="AS1054" s="110">
        <v>0.0</v>
      </c>
      <c r="AT1054" s="110">
        <v>0.0</v>
      </c>
      <c r="AU1054" s="110">
        <v>0.0</v>
      </c>
      <c r="AV1054" s="142">
        <v>0.0</v>
      </c>
      <c r="AW1054" s="80">
        <f t="shared" si="6"/>
        <v>0</v>
      </c>
      <c r="AX1054" s="113">
        <f t="shared" si="7"/>
        <v>63</v>
      </c>
      <c r="AY1054" s="117">
        <f t="shared" si="8"/>
        <v>63</v>
      </c>
      <c r="AZ1054" s="120">
        <f t="shared" si="9"/>
        <v>0</v>
      </c>
      <c r="BA1054" s="115">
        <v>0.0</v>
      </c>
      <c r="BB1054" s="89">
        <f t="shared" si="10"/>
        <v>63</v>
      </c>
      <c r="BC1054" s="132" t="s">
        <v>178</v>
      </c>
      <c r="BD1054" s="132" t="s">
        <v>178</v>
      </c>
      <c r="BE1054" s="132" t="s">
        <v>178</v>
      </c>
      <c r="BF1054" s="123"/>
      <c r="BG1054" s="83">
        <v>1178395.0</v>
      </c>
      <c r="BH1054" s="112"/>
      <c r="BI1054" s="112">
        <v>4.0</v>
      </c>
      <c r="BJ1054" s="98" t="s">
        <v>155</v>
      </c>
      <c r="BK1054" s="99">
        <f t="shared" si="11"/>
        <v>63</v>
      </c>
      <c r="BL1054" s="99">
        <f t="shared" si="12"/>
        <v>0</v>
      </c>
      <c r="BM1054" s="99" t="str">
        <f>IFERROR(__xludf.DUMMYFUNCTION("IFERROR(VLOOKUP(BG1054,IMPORTRANGE(""https://docs.google.com/spreadsheets/d/1juPI-Fb8LD0YtltB2mlGEnp_R3UVu1t3wSFPzgCyHXE/edit?gid=0#gid=0"",""GERAL!A2:C""),3,0),""-"")"),"EFA")</f>
        <v>EFA</v>
      </c>
    </row>
    <row r="1055" ht="15.75" customHeight="1">
      <c r="A1055" s="111" t="s">
        <v>1281</v>
      </c>
      <c r="B1055" s="83" t="s">
        <v>2518</v>
      </c>
      <c r="C1055" s="83" t="s">
        <v>68</v>
      </c>
      <c r="D1055" s="98">
        <v>1179837.0</v>
      </c>
      <c r="E1055" s="83"/>
      <c r="F1055" s="98">
        <v>2.9154618E7</v>
      </c>
      <c r="G1055" s="119" t="s">
        <v>5703</v>
      </c>
      <c r="H1055" s="108" t="s">
        <v>5704</v>
      </c>
      <c r="I1055" s="98" t="s">
        <v>5705</v>
      </c>
      <c r="J1055" s="83" t="s">
        <v>150</v>
      </c>
      <c r="K1055" s="83" t="s">
        <v>151</v>
      </c>
      <c r="L1055" s="98" t="s">
        <v>230</v>
      </c>
      <c r="M1055" s="82" t="str">
        <f>IFERROR(__xludf.DUMMYFUNCTION("IFERROR(VLOOKUP(D1055,
IMPORTRANGE(""https://docs.google.com/spreadsheets/d/1MjHtlUikwobi2MaWJgy7tfLeBmhj1u-dRFRs_8GwSoA/edit#gid=0"",""Gestores Escolares!D7:J""),3,0),""VERIFICAR CÓD SEC"")"),"MARIA DE FATIMA SANTANA DE OLIVEIRA BASTOS")</f>
        <v>MARIA DE FATIMA SANTANA DE OLIVEIRA BASTOS</v>
      </c>
      <c r="N1055" s="82" t="str">
        <f>IFERROR(__xludf.DUMMYFUNCTION("IFERROR(VLOOKUP(D1055,
IMPORTRANGE(""https://docs.google.com/spreadsheets/d/1MjHtlUikwobi2MaWJgy7tfLeBmhj1u-dRFRs_8GwSoA/edit#gid=0"",""Gestores Escolares!D7:J""),4,0),""VERIFICAR CÓD SEC"")"),"(75) 9 8844-8809")</f>
        <v>(75) 9 8844-8809</v>
      </c>
      <c r="O1055" s="82" t="str">
        <f>IFERROR(__xludf.DUMMYFUNCTION("IFERROR(VLOOKUP(D1055,
IMPORTRANGE(""https://docs.google.com/spreadsheets/d/1MjHtlUikwobi2MaWJgy7tfLeBmhj1u-dRFRs_8GwSoA/edit#gid=0"",""Gestores Escolares!D7:J""),6,0),""VERIFICAR CÓD SEC"")"),"ANDRE LUIZ NASCIMENTO DOS ANJOS")</f>
        <v>ANDRE LUIZ NASCIMENTO DOS ANJOS</v>
      </c>
      <c r="P1055" s="82" t="str">
        <f>IFERROR(__xludf.DUMMYFUNCTION("IFERROR(VLOOKUP(D1055,
IMPORTRANGE(""https://docs.google.com/spreadsheets/d/1MjHtlUikwobi2MaWJgy7tfLeBmhj1u-dRFRs_8GwSoA/edit#gid=0"",""Gestores Escolares!D7:J""),7,0),""VERIFICAR CÓD SEC"")"),"(75) 9 9955-9661")</f>
        <v>(75) 9 9955-9661</v>
      </c>
      <c r="Q1055" s="82" t="str">
        <f>IFERROR(__xludf.DUMMYFUNCTION("IFERROR(VLOOKUP(D1055,
IMPORTRANGE(""https://docs.google.com/spreadsheets/d/1MjHtlUikwobi2MaWJgy7tfLeBmhj1u-dRFRs_8GwSoA/edit#gid=0"",""Gestores Escolares!D7:m""),9,0),""VERIFICAR CÓD SEC"")"),"CRISTIANA CARDOSO FERNANDES DOS SANTOS")</f>
        <v>CRISTIANA CARDOSO FERNANDES DOS SANTOS</v>
      </c>
      <c r="R1055" s="82" t="str">
        <f>IFERROR(__xludf.DUMMYFUNCTION("IFERROR(VLOOKUP(D1055,
IMPORTRANGE(""https://docs.google.com/spreadsheets/d/1MjHtlUikwobi2MaWJgy7tfLeBmhj1u-dRFRs_8GwSoA/edit#gid=0"",""Gestores Escolares!D7:m""),10,0),""VERIFICAR CÓD SEC"")"),"(71) 9 9916-0462")</f>
        <v>(71) 9 9916-0462</v>
      </c>
      <c r="S1055" s="82"/>
      <c r="T1055" s="138"/>
      <c r="U1055" s="145"/>
      <c r="V1055" s="106">
        <v>0.0</v>
      </c>
      <c r="W1055" s="107">
        <v>0.0</v>
      </c>
      <c r="X1055" s="107">
        <v>0.0</v>
      </c>
      <c r="Y1055" s="107">
        <v>0.0</v>
      </c>
      <c r="Z1055" s="80">
        <f t="shared" si="1"/>
        <v>0</v>
      </c>
      <c r="AA1055" s="106">
        <v>0.0</v>
      </c>
      <c r="AB1055" s="107">
        <v>0.0</v>
      </c>
      <c r="AC1055" s="107">
        <v>0.0</v>
      </c>
      <c r="AD1055" s="107">
        <v>0.0</v>
      </c>
      <c r="AE1055" s="80">
        <f t="shared" si="2"/>
        <v>0</v>
      </c>
      <c r="AF1055" s="140">
        <v>547.0</v>
      </c>
      <c r="AG1055" s="109">
        <v>412.0</v>
      </c>
      <c r="AH1055" s="109">
        <v>0.0</v>
      </c>
      <c r="AI1055" s="141">
        <v>79.0</v>
      </c>
      <c r="AJ1055" s="80">
        <f t="shared" si="3"/>
        <v>1038</v>
      </c>
      <c r="AK1055" s="140">
        <v>0.0</v>
      </c>
      <c r="AL1055" s="109">
        <v>0.0</v>
      </c>
      <c r="AM1055" s="141">
        <v>0.0</v>
      </c>
      <c r="AN1055" s="80">
        <f t="shared" si="4"/>
        <v>0</v>
      </c>
      <c r="AO1055" s="140">
        <v>0.0</v>
      </c>
      <c r="AP1055" s="109">
        <v>0.0</v>
      </c>
      <c r="AQ1055" s="109">
        <v>208.0</v>
      </c>
      <c r="AR1055" s="80">
        <f t="shared" si="5"/>
        <v>208</v>
      </c>
      <c r="AS1055" s="110">
        <v>132.0</v>
      </c>
      <c r="AT1055" s="110">
        <v>0.0</v>
      </c>
      <c r="AU1055" s="110">
        <v>0.0</v>
      </c>
      <c r="AV1055" s="142">
        <v>0.0</v>
      </c>
      <c r="AW1055" s="80">
        <f t="shared" si="6"/>
        <v>132</v>
      </c>
      <c r="AX1055" s="113">
        <f t="shared" si="7"/>
        <v>1378</v>
      </c>
      <c r="AY1055" s="117">
        <f t="shared" si="8"/>
        <v>1170</v>
      </c>
      <c r="AZ1055" s="120">
        <f t="shared" si="9"/>
        <v>208</v>
      </c>
      <c r="BA1055" s="115">
        <v>0.0</v>
      </c>
      <c r="BB1055" s="89">
        <f t="shared" si="10"/>
        <v>1378</v>
      </c>
      <c r="BC1055" s="132" t="s">
        <v>178</v>
      </c>
      <c r="BD1055" s="132" t="s">
        <v>178</v>
      </c>
      <c r="BE1055" s="132" t="s">
        <v>178</v>
      </c>
      <c r="BF1055" s="156"/>
      <c r="BG1055" s="98">
        <v>1179837.0</v>
      </c>
      <c r="BH1055" s="112"/>
      <c r="BI1055" s="112"/>
      <c r="BJ1055" s="98"/>
      <c r="BK1055" s="99">
        <f t="shared" si="11"/>
        <v>79</v>
      </c>
      <c r="BL1055" s="99">
        <f t="shared" si="12"/>
        <v>1091</v>
      </c>
      <c r="BM1055" s="99" t="str">
        <f>IFERROR(__xludf.DUMMYFUNCTION("IFERROR(VLOOKUP(BG1055,IMPORTRANGE(""https://docs.google.com/spreadsheets/d/1juPI-Fb8LD0YtltB2mlGEnp_R3UVu1t3wSFPzgCyHXE/edit?gid=0#gid=0"",""GERAL!A2:C""),3,0),""-"")"),"-")</f>
        <v>-</v>
      </c>
    </row>
    <row r="1056" ht="15.75" customHeight="1">
      <c r="A1056" s="111" t="s">
        <v>1281</v>
      </c>
      <c r="B1056" s="83" t="s">
        <v>2524</v>
      </c>
      <c r="C1056" s="83" t="s">
        <v>68</v>
      </c>
      <c r="D1056" s="112">
        <v>1108273.0</v>
      </c>
      <c r="E1056" s="83"/>
      <c r="F1056" s="83">
        <v>2.9154707E7</v>
      </c>
      <c r="G1056" s="119" t="s">
        <v>5707</v>
      </c>
      <c r="H1056" s="91" t="s">
        <v>5708</v>
      </c>
      <c r="I1056" s="83" t="s">
        <v>149</v>
      </c>
      <c r="J1056" s="83" t="s">
        <v>150</v>
      </c>
      <c r="K1056" s="83" t="s">
        <v>151</v>
      </c>
      <c r="L1056" s="83" t="s">
        <v>152</v>
      </c>
      <c r="M1056" s="82" t="str">
        <f>IFERROR(__xludf.DUMMYFUNCTION("IFERROR(VLOOKUP(D1056,
IMPORTRANGE(""https://docs.google.com/spreadsheets/d/1MjHtlUikwobi2MaWJgy7tfLeBmhj1u-dRFRs_8GwSoA/edit#gid=0"",""Gestores Escolares!D7:J""),3,0),""VERIFICAR CÓD SEC"")"),"MAGNA PIRES SOUZA")</f>
        <v>MAGNA PIRES SOUZA</v>
      </c>
      <c r="N1056" s="82" t="str">
        <f>IFERROR(__xludf.DUMMYFUNCTION("IFERROR(VLOOKUP(D1056,
IMPORTRANGE(""https://docs.google.com/spreadsheets/d/1MjHtlUikwobi2MaWJgy7tfLeBmhj1u-dRFRs_8GwSoA/edit#gid=0"",""Gestores Escolares!D7:J""),4,0),""VERIFICAR CÓD SEC"")"),"(75) 9 9165-8257")</f>
        <v>(75) 9 9165-8257</v>
      </c>
      <c r="O1056" s="82" t="str">
        <f>IFERROR(__xludf.DUMMYFUNCTION("IFERROR(VLOOKUP(D1056,
IMPORTRANGE(""https://docs.google.com/spreadsheets/d/1MjHtlUikwobi2MaWJgy7tfLeBmhj1u-dRFRs_8GwSoA/edit#gid=0"",""Gestores Escolares!D7:J""),6,0),""VERIFICAR CÓD SEC"")"),"CAMILLA CONCEICAO SANTANA DE CARVALHO")</f>
        <v>CAMILLA CONCEICAO SANTANA DE CARVALHO</v>
      </c>
      <c r="P1056" s="82" t="str">
        <f>IFERROR(__xludf.DUMMYFUNCTION("IFERROR(VLOOKUP(D1056,
IMPORTRANGE(""https://docs.google.com/spreadsheets/d/1MjHtlUikwobi2MaWJgy7tfLeBmhj1u-dRFRs_8GwSoA/edit#gid=0"",""Gestores Escolares!D7:J""),7,0),""VERIFICAR CÓD SEC"")"),"(75) 9 9128-3776")</f>
        <v>(75) 9 9128-3776</v>
      </c>
      <c r="Q1056" s="82" t="str">
        <f>IFERROR(__xludf.DUMMYFUNCTION("IFERROR(VLOOKUP(D1056,
IMPORTRANGE(""https://docs.google.com/spreadsheets/d/1MjHtlUikwobi2MaWJgy7tfLeBmhj1u-dRFRs_8GwSoA/edit#gid=0"",""Gestores Escolares!D7:m""),9,0),""VERIFICAR CÓD SEC"")"),"EVANILDO PALMA DE ALMEIDA")</f>
        <v>EVANILDO PALMA DE ALMEIDA</v>
      </c>
      <c r="R1056" s="82" t="str">
        <f>IFERROR(__xludf.DUMMYFUNCTION("IFERROR(VLOOKUP(D1056,
IMPORTRANGE(""https://docs.google.com/spreadsheets/d/1MjHtlUikwobi2MaWJgy7tfLeBmhj1u-dRFRs_8GwSoA/edit#gid=0"",""Gestores Escolares!D7:m""),10,0),""VERIFICAR CÓD SEC"")"),"(71) 9 9907-2091")</f>
        <v>(71) 9 9907-2091</v>
      </c>
      <c r="S1056" s="82"/>
      <c r="T1056" s="138">
        <v>6.0</v>
      </c>
      <c r="U1056" s="139">
        <v>6.0</v>
      </c>
      <c r="V1056" s="106">
        <v>0.0</v>
      </c>
      <c r="W1056" s="107">
        <v>0.0</v>
      </c>
      <c r="X1056" s="107">
        <v>0.0</v>
      </c>
      <c r="Y1056" s="107">
        <v>0.0</v>
      </c>
      <c r="Z1056" s="80">
        <f t="shared" si="1"/>
        <v>0</v>
      </c>
      <c r="AA1056" s="106">
        <v>0.0</v>
      </c>
      <c r="AB1056" s="107">
        <v>0.0</v>
      </c>
      <c r="AC1056" s="107">
        <v>0.0</v>
      </c>
      <c r="AD1056" s="107">
        <v>0.0</v>
      </c>
      <c r="AE1056" s="80">
        <f t="shared" si="2"/>
        <v>0</v>
      </c>
      <c r="AF1056" s="140">
        <v>38.0</v>
      </c>
      <c r="AG1056" s="109">
        <v>0.0</v>
      </c>
      <c r="AH1056" s="109">
        <v>0.0</v>
      </c>
      <c r="AI1056" s="141">
        <v>180.0</v>
      </c>
      <c r="AJ1056" s="80">
        <f t="shared" si="3"/>
        <v>218</v>
      </c>
      <c r="AK1056" s="140">
        <v>0.0</v>
      </c>
      <c r="AL1056" s="109">
        <v>0.0</v>
      </c>
      <c r="AM1056" s="141">
        <v>0.0</v>
      </c>
      <c r="AN1056" s="80">
        <f t="shared" si="4"/>
        <v>0</v>
      </c>
      <c r="AO1056" s="140">
        <v>0.0</v>
      </c>
      <c r="AP1056" s="109">
        <v>0.0</v>
      </c>
      <c r="AQ1056" s="109">
        <v>272.0</v>
      </c>
      <c r="AR1056" s="80">
        <f t="shared" si="5"/>
        <v>272</v>
      </c>
      <c r="AS1056" s="110">
        <v>0.0</v>
      </c>
      <c r="AT1056" s="110">
        <v>0.0</v>
      </c>
      <c r="AU1056" s="110">
        <v>0.0</v>
      </c>
      <c r="AV1056" s="142">
        <v>137.0</v>
      </c>
      <c r="AW1056" s="80">
        <f t="shared" si="6"/>
        <v>137</v>
      </c>
      <c r="AX1056" s="113">
        <f t="shared" si="7"/>
        <v>627</v>
      </c>
      <c r="AY1056" s="117">
        <f t="shared" si="8"/>
        <v>355</v>
      </c>
      <c r="AZ1056" s="120">
        <f t="shared" si="9"/>
        <v>272</v>
      </c>
      <c r="BA1056" s="115">
        <v>0.0</v>
      </c>
      <c r="BB1056" s="89">
        <f t="shared" si="10"/>
        <v>627</v>
      </c>
      <c r="BC1056" s="132" t="s">
        <v>178</v>
      </c>
      <c r="BD1056" s="132" t="s">
        <v>178</v>
      </c>
      <c r="BE1056" s="132" t="s">
        <v>178</v>
      </c>
      <c r="BF1056" s="123"/>
      <c r="BG1056" s="83">
        <v>1108273.0</v>
      </c>
      <c r="BH1056" s="112"/>
      <c r="BI1056" s="112">
        <v>6.0</v>
      </c>
      <c r="BJ1056" s="98" t="s">
        <v>155</v>
      </c>
      <c r="BK1056" s="99">
        <f t="shared" si="11"/>
        <v>317</v>
      </c>
      <c r="BL1056" s="99">
        <f t="shared" si="12"/>
        <v>38</v>
      </c>
      <c r="BM1056" s="99" t="str">
        <f>IFERROR(__xludf.DUMMYFUNCTION("IFERROR(VLOOKUP(BG1056,IMPORTRANGE(""https://docs.google.com/spreadsheets/d/1juPI-Fb8LD0YtltB2mlGEnp_R3UVu1t3wSFPzgCyHXE/edit?gid=0#gid=0"",""GERAL!A2:C""),3,0),""-"")"),"-")</f>
        <v>-</v>
      </c>
    </row>
    <row r="1057" ht="15.75" customHeight="1">
      <c r="A1057" s="111" t="s">
        <v>1335</v>
      </c>
      <c r="B1057" s="83" t="s">
        <v>5710</v>
      </c>
      <c r="C1057" s="83" t="s">
        <v>68</v>
      </c>
      <c r="D1057" s="112">
        <v>1105320.0</v>
      </c>
      <c r="E1057" s="83"/>
      <c r="F1057" s="83">
        <v>2.9089115E7</v>
      </c>
      <c r="G1057" s="187" t="s">
        <v>5711</v>
      </c>
      <c r="H1057" s="91" t="s">
        <v>5712</v>
      </c>
      <c r="I1057" s="136" t="s">
        <v>149</v>
      </c>
      <c r="J1057" s="136" t="s">
        <v>150</v>
      </c>
      <c r="K1057" s="136" t="s">
        <v>151</v>
      </c>
      <c r="L1057" s="83" t="s">
        <v>152</v>
      </c>
      <c r="M1057" s="82" t="str">
        <f>IFERROR(__xludf.DUMMYFUNCTION("IFERROR(VLOOKUP(D1057,
IMPORTRANGE(""https://docs.google.com/spreadsheets/d/1MjHtlUikwobi2MaWJgy7tfLeBmhj1u-dRFRs_8GwSoA/edit#gid=0"",""Gestores Escolares!D7:J""),3,0),""VERIFICAR CÓD SEC"")"),"CELIANE MASCARENHAS SILVA")</f>
        <v>CELIANE MASCARENHAS SILVA</v>
      </c>
      <c r="N1057" s="82" t="str">
        <f>IFERROR(__xludf.DUMMYFUNCTION("IFERROR(VLOOKUP(D1057,
IMPORTRANGE(""https://docs.google.com/spreadsheets/d/1MjHtlUikwobi2MaWJgy7tfLeBmhj1u-dRFRs_8GwSoA/edit#gid=0"",""Gestores Escolares!D7:J""),4,0),""VERIFICAR CÓD SEC"")"),"(75) 9 8134-0334")</f>
        <v>(75) 9 8134-0334</v>
      </c>
      <c r="O1057" s="82" t="str">
        <f>IFERROR(__xludf.DUMMYFUNCTION("IFERROR(VLOOKUP(D1057,
IMPORTRANGE(""https://docs.google.com/spreadsheets/d/1MjHtlUikwobi2MaWJgy7tfLeBmhj1u-dRFRs_8GwSoA/edit#gid=0"",""Gestores Escolares!D7:J""),6,0),""VERIFICAR CÓD SEC"")"),"ANTONIO LAERTE ALVES CERQUEIRA")</f>
        <v>ANTONIO LAERTE ALVES CERQUEIRA</v>
      </c>
      <c r="P1057" s="82" t="str">
        <f>IFERROR(__xludf.DUMMYFUNCTION("IFERROR(VLOOKUP(D1057,
IMPORTRANGE(""https://docs.google.com/spreadsheets/d/1MjHtlUikwobi2MaWJgy7tfLeBmhj1u-dRFRs_8GwSoA/edit#gid=0"",""Gestores Escolares!D7:J""),7,0),""VERIFICAR CÓD SEC"")"),"(75) 9 9141-6579")</f>
        <v>(75) 9 9141-6579</v>
      </c>
      <c r="Q1057" s="82" t="str">
        <f>IFERROR(__xludf.DUMMYFUNCTION("IFERROR(VLOOKUP(D1057,
IMPORTRANGE(""https://docs.google.com/spreadsheets/d/1MjHtlUikwobi2MaWJgy7tfLeBmhj1u-dRFRs_8GwSoA/edit#gid=0"",""Gestores Escolares!D7:m""),9,0),""VERIFICAR CÓD SEC"")"),"")</f>
        <v/>
      </c>
      <c r="R1057" s="82" t="str">
        <f>IFERROR(__xludf.DUMMYFUNCTION("IFERROR(VLOOKUP(D1057,
IMPORTRANGE(""https://docs.google.com/spreadsheets/d/1MjHtlUikwobi2MaWJgy7tfLeBmhj1u-dRFRs_8GwSoA/edit#gid=0"",""Gestores Escolares!D7:m""),10,0),""VERIFICAR CÓD SEC"")"),"")</f>
        <v/>
      </c>
      <c r="S1057" s="82"/>
      <c r="T1057" s="138">
        <v>6.0</v>
      </c>
      <c r="U1057" s="145" t="s">
        <v>13814</v>
      </c>
      <c r="V1057" s="106">
        <v>0.0</v>
      </c>
      <c r="W1057" s="107">
        <v>0.0</v>
      </c>
      <c r="X1057" s="107">
        <v>0.0</v>
      </c>
      <c r="Y1057" s="107">
        <v>0.0</v>
      </c>
      <c r="Z1057" s="80">
        <f t="shared" si="1"/>
        <v>0</v>
      </c>
      <c r="AA1057" s="106">
        <v>0.0</v>
      </c>
      <c r="AB1057" s="107">
        <v>0.0</v>
      </c>
      <c r="AC1057" s="107">
        <v>0.0</v>
      </c>
      <c r="AD1057" s="107">
        <v>0.0</v>
      </c>
      <c r="AE1057" s="80">
        <f t="shared" si="2"/>
        <v>0</v>
      </c>
      <c r="AF1057" s="140">
        <v>77.0</v>
      </c>
      <c r="AG1057" s="109">
        <v>71.0</v>
      </c>
      <c r="AH1057" s="109">
        <v>0.0</v>
      </c>
      <c r="AI1057" s="141">
        <v>100.0</v>
      </c>
      <c r="AJ1057" s="80">
        <f t="shared" si="3"/>
        <v>248</v>
      </c>
      <c r="AK1057" s="140">
        <v>0.0</v>
      </c>
      <c r="AL1057" s="109">
        <v>0.0</v>
      </c>
      <c r="AM1057" s="141">
        <v>0.0</v>
      </c>
      <c r="AN1057" s="80">
        <f t="shared" si="4"/>
        <v>0</v>
      </c>
      <c r="AO1057" s="140">
        <v>0.0</v>
      </c>
      <c r="AP1057" s="109">
        <v>0.0</v>
      </c>
      <c r="AQ1057" s="109">
        <v>62.0</v>
      </c>
      <c r="AR1057" s="80">
        <f t="shared" si="5"/>
        <v>62</v>
      </c>
      <c r="AS1057" s="110">
        <v>34.0</v>
      </c>
      <c r="AT1057" s="110">
        <v>0.0</v>
      </c>
      <c r="AU1057" s="110">
        <v>22.0</v>
      </c>
      <c r="AV1057" s="142">
        <v>0.0</v>
      </c>
      <c r="AW1057" s="80">
        <f t="shared" si="6"/>
        <v>56</v>
      </c>
      <c r="AX1057" s="113">
        <f t="shared" si="7"/>
        <v>366</v>
      </c>
      <c r="AY1057" s="117">
        <f t="shared" si="8"/>
        <v>282</v>
      </c>
      <c r="AZ1057" s="120">
        <f t="shared" si="9"/>
        <v>84</v>
      </c>
      <c r="BA1057" s="115">
        <v>0.0</v>
      </c>
      <c r="BB1057" s="89">
        <f t="shared" si="10"/>
        <v>366</v>
      </c>
      <c r="BC1057" s="132" t="s">
        <v>178</v>
      </c>
      <c r="BD1057" s="132" t="s">
        <v>178</v>
      </c>
      <c r="BE1057" s="132" t="s">
        <v>178</v>
      </c>
      <c r="BF1057" s="123"/>
      <c r="BG1057" s="83">
        <v>1105320.0</v>
      </c>
      <c r="BH1057" s="98" t="s">
        <v>5713</v>
      </c>
      <c r="BI1057" s="112">
        <v>6.0</v>
      </c>
      <c r="BJ1057" s="98" t="s">
        <v>155</v>
      </c>
      <c r="BK1057" s="99">
        <f t="shared" si="11"/>
        <v>100</v>
      </c>
      <c r="BL1057" s="99">
        <f t="shared" si="12"/>
        <v>182</v>
      </c>
      <c r="BM1057" s="99" t="str">
        <f>IFERROR(__xludf.DUMMYFUNCTION("IFERROR(VLOOKUP(BG1057,IMPORTRANGE(""https://docs.google.com/spreadsheets/d/1juPI-Fb8LD0YtltB2mlGEnp_R3UVu1t3wSFPzgCyHXE/edit?gid=0#gid=0"",""GERAL!A2:C""),3,0),""-"")"),"-")</f>
        <v>-</v>
      </c>
    </row>
    <row r="1058" ht="15.75" customHeight="1">
      <c r="A1058" s="111" t="s">
        <v>1335</v>
      </c>
      <c r="B1058" s="83" t="s">
        <v>5710</v>
      </c>
      <c r="C1058" s="83" t="s">
        <v>164</v>
      </c>
      <c r="D1058" s="112">
        <v>1105320.0</v>
      </c>
      <c r="E1058" s="83">
        <v>1178598.0</v>
      </c>
      <c r="F1058" s="98">
        <v>2.9490456E7</v>
      </c>
      <c r="G1058" s="114" t="s">
        <v>5714</v>
      </c>
      <c r="H1058" s="91" t="s">
        <v>5715</v>
      </c>
      <c r="I1058" s="83" t="s">
        <v>149</v>
      </c>
      <c r="J1058" s="83" t="s">
        <v>2574</v>
      </c>
      <c r="K1058" s="83" t="s">
        <v>151</v>
      </c>
      <c r="L1058" s="83" t="s">
        <v>169</v>
      </c>
      <c r="M1058" s="82" t="str">
        <f>IFERROR(__xludf.DUMMYFUNCTION("IFERROR(VLOOKUP(D1058,
IMPORTRANGE(""https://docs.google.com/spreadsheets/d/1MjHtlUikwobi2MaWJgy7tfLeBmhj1u-dRFRs_8GwSoA/edit#gid=0"",""Gestores Escolares!D7:J""),3,0),""VERIFICAR CÓD SEC"")"),"CELIANE MASCARENHAS SILVA")</f>
        <v>CELIANE MASCARENHAS SILVA</v>
      </c>
      <c r="N1058" s="82" t="str">
        <f>IFERROR(__xludf.DUMMYFUNCTION("IFERROR(VLOOKUP(D1058,
IMPORTRANGE(""https://docs.google.com/spreadsheets/d/1MjHtlUikwobi2MaWJgy7tfLeBmhj1u-dRFRs_8GwSoA/edit#gid=0"",""Gestores Escolares!D7:J""),4,0),""VERIFICAR CÓD SEC"")"),"(75) 9 8134-0334")</f>
        <v>(75) 9 8134-0334</v>
      </c>
      <c r="O1058" s="82" t="str">
        <f>IFERROR(__xludf.DUMMYFUNCTION("IFERROR(VLOOKUP(D1058,
IMPORTRANGE(""https://docs.google.com/spreadsheets/d/1MjHtlUikwobi2MaWJgy7tfLeBmhj1u-dRFRs_8GwSoA/edit#gid=0"",""Gestores Escolares!D7:J""),6,0),""VERIFICAR CÓD SEC"")"),"ANTONIO LAERTE ALVES CERQUEIRA")</f>
        <v>ANTONIO LAERTE ALVES CERQUEIRA</v>
      </c>
      <c r="P1058" s="82" t="str">
        <f>IFERROR(__xludf.DUMMYFUNCTION("IFERROR(VLOOKUP(D1058,
IMPORTRANGE(""https://docs.google.com/spreadsheets/d/1MjHtlUikwobi2MaWJgy7tfLeBmhj1u-dRFRs_8GwSoA/edit#gid=0"",""Gestores Escolares!D7:J""),7,0),""VERIFICAR CÓD SEC"")"),"(75) 9 9141-6579")</f>
        <v>(75) 9 9141-6579</v>
      </c>
      <c r="Q1058" s="82" t="str">
        <f>IFERROR(__xludf.DUMMYFUNCTION("IFERROR(VLOOKUP(D1058,
IMPORTRANGE(""https://docs.google.com/spreadsheets/d/1MjHtlUikwobi2MaWJgy7tfLeBmhj1u-dRFRs_8GwSoA/edit#gid=0"",""Gestores Escolares!D7:m""),9,0),""VERIFICAR CÓD SEC"")"),"")</f>
        <v/>
      </c>
      <c r="R1058" s="82" t="str">
        <f>IFERROR(__xludf.DUMMYFUNCTION("IFERROR(VLOOKUP(D1058,
IMPORTRANGE(""https://docs.google.com/spreadsheets/d/1MjHtlUikwobi2MaWJgy7tfLeBmhj1u-dRFRs_8GwSoA/edit#gid=0"",""Gestores Escolares!D7:m""),10,0),""VERIFICAR CÓD SEC"")"),"")</f>
        <v/>
      </c>
      <c r="S1058" s="82"/>
      <c r="T1058" s="138">
        <v>4.0</v>
      </c>
      <c r="U1058" s="139">
        <v>4.0</v>
      </c>
      <c r="V1058" s="106">
        <v>0.0</v>
      </c>
      <c r="W1058" s="107">
        <v>0.0</v>
      </c>
      <c r="X1058" s="107">
        <v>0.0</v>
      </c>
      <c r="Y1058" s="107">
        <v>0.0</v>
      </c>
      <c r="Z1058" s="80">
        <f t="shared" si="1"/>
        <v>0</v>
      </c>
      <c r="AA1058" s="106">
        <v>0.0</v>
      </c>
      <c r="AB1058" s="107">
        <v>0.0</v>
      </c>
      <c r="AC1058" s="107">
        <v>0.0</v>
      </c>
      <c r="AD1058" s="107">
        <v>0.0</v>
      </c>
      <c r="AE1058" s="80">
        <f t="shared" si="2"/>
        <v>0</v>
      </c>
      <c r="AF1058" s="140">
        <v>16.0</v>
      </c>
      <c r="AG1058" s="109">
        <v>77.0</v>
      </c>
      <c r="AH1058" s="109">
        <v>0.0</v>
      </c>
      <c r="AI1058" s="141">
        <v>19.0</v>
      </c>
      <c r="AJ1058" s="80">
        <f t="shared" si="3"/>
        <v>112</v>
      </c>
      <c r="AK1058" s="140">
        <v>0.0</v>
      </c>
      <c r="AL1058" s="109">
        <v>0.0</v>
      </c>
      <c r="AM1058" s="141">
        <v>0.0</v>
      </c>
      <c r="AN1058" s="80">
        <f t="shared" si="4"/>
        <v>0</v>
      </c>
      <c r="AO1058" s="140">
        <v>0.0</v>
      </c>
      <c r="AP1058" s="109">
        <v>0.0</v>
      </c>
      <c r="AQ1058" s="109">
        <v>46.0</v>
      </c>
      <c r="AR1058" s="80">
        <f t="shared" si="5"/>
        <v>46</v>
      </c>
      <c r="AS1058" s="110">
        <v>0.0</v>
      </c>
      <c r="AT1058" s="110">
        <v>0.0</v>
      </c>
      <c r="AU1058" s="110">
        <v>0.0</v>
      </c>
      <c r="AV1058" s="142">
        <v>0.0</v>
      </c>
      <c r="AW1058" s="80">
        <f t="shared" si="6"/>
        <v>0</v>
      </c>
      <c r="AX1058" s="113">
        <f t="shared" si="7"/>
        <v>158</v>
      </c>
      <c r="AY1058" s="117">
        <f t="shared" si="8"/>
        <v>112</v>
      </c>
      <c r="AZ1058" s="120">
        <f t="shared" si="9"/>
        <v>46</v>
      </c>
      <c r="BA1058" s="115">
        <v>0.0</v>
      </c>
      <c r="BB1058" s="89">
        <f t="shared" si="10"/>
        <v>158</v>
      </c>
      <c r="BC1058" s="132" t="s">
        <v>373</v>
      </c>
      <c r="BD1058" s="132" t="s">
        <v>178</v>
      </c>
      <c r="BE1058" s="132" t="s">
        <v>178</v>
      </c>
      <c r="BF1058" s="123"/>
      <c r="BG1058" s="83">
        <v>1178598.0</v>
      </c>
      <c r="BH1058" s="98" t="s">
        <v>5713</v>
      </c>
      <c r="BI1058" s="112">
        <v>4.0</v>
      </c>
      <c r="BJ1058" s="98" t="s">
        <v>155</v>
      </c>
      <c r="BK1058" s="99">
        <f t="shared" si="11"/>
        <v>19</v>
      </c>
      <c r="BL1058" s="99">
        <f t="shared" si="12"/>
        <v>93</v>
      </c>
      <c r="BM1058" s="99" t="str">
        <f>IFERROR(__xludf.DUMMYFUNCTION("IFERROR(VLOOKUP(BG1058,IMPORTRANGE(""https://docs.google.com/spreadsheets/d/1juPI-Fb8LD0YtltB2mlGEnp_R3UVu1t3wSFPzgCyHXE/edit?gid=0#gid=0"",""GERAL!A2:C""),3,0),""-"")"),"CAMPO")</f>
        <v>CAMPO</v>
      </c>
    </row>
    <row r="1059" ht="15.75" customHeight="1">
      <c r="A1059" s="111" t="s">
        <v>1335</v>
      </c>
      <c r="B1059" s="83" t="s">
        <v>5717</v>
      </c>
      <c r="C1059" s="83" t="s">
        <v>68</v>
      </c>
      <c r="D1059" s="112">
        <v>1105436.0</v>
      </c>
      <c r="E1059" s="83"/>
      <c r="F1059" s="83">
        <v>2.9157803E7</v>
      </c>
      <c r="G1059" s="153" t="s">
        <v>5722</v>
      </c>
      <c r="H1059" s="91" t="s">
        <v>5723</v>
      </c>
      <c r="I1059" s="83" t="s">
        <v>149</v>
      </c>
      <c r="J1059" s="83" t="s">
        <v>150</v>
      </c>
      <c r="K1059" s="83" t="s">
        <v>151</v>
      </c>
      <c r="L1059" s="83" t="s">
        <v>230</v>
      </c>
      <c r="M1059" s="82" t="str">
        <f>IFERROR(__xludf.DUMMYFUNCTION("IFERROR(VLOOKUP(D1059,
IMPORTRANGE(""https://docs.google.com/spreadsheets/d/1MjHtlUikwobi2MaWJgy7tfLeBmhj1u-dRFRs_8GwSoA/edit#gid=0"",""Gestores Escolares!D7:J""),3,0),""VERIFICAR CÓD SEC"")"),"LUCIDALVA DE OLIVEIRA BOAVENTURA")</f>
        <v>LUCIDALVA DE OLIVEIRA BOAVENTURA</v>
      </c>
      <c r="N1059" s="82" t="str">
        <f>IFERROR(__xludf.DUMMYFUNCTION("IFERROR(VLOOKUP(D1059,
IMPORTRANGE(""https://docs.google.com/spreadsheets/d/1MjHtlUikwobi2MaWJgy7tfLeBmhj1u-dRFRs_8GwSoA/edit#gid=0"",""Gestores Escolares!D7:J""),4,0),""VERIFICAR CÓD SEC"")"),"(75) 9 9231-6899")</f>
        <v>(75) 9 9231-6899</v>
      </c>
      <c r="O1059" s="82" t="str">
        <f>IFERROR(__xludf.DUMMYFUNCTION("IFERROR(VLOOKUP(D1059,
IMPORTRANGE(""https://docs.google.com/spreadsheets/d/1MjHtlUikwobi2MaWJgy7tfLeBmhj1u-dRFRs_8GwSoA/edit#gid=0"",""Gestores Escolares!D7:J""),6,0),""VERIFICAR CÓD SEC"")"),"PEROLINA DA COSTA PINTO SILVA NETA")</f>
        <v>PEROLINA DA COSTA PINTO SILVA NETA</v>
      </c>
      <c r="P1059" s="82" t="str">
        <f>IFERROR(__xludf.DUMMYFUNCTION("IFERROR(VLOOKUP(D1059,
IMPORTRANGE(""https://docs.google.com/spreadsheets/d/1MjHtlUikwobi2MaWJgy7tfLeBmhj1u-dRFRs_8GwSoA/edit#gid=0"",""Gestores Escolares!D7:J""),7,0),""VERIFICAR CÓD SEC"")"),"(75) 9 8127-8637")</f>
        <v>(75) 9 8127-8637</v>
      </c>
      <c r="Q1059" s="82" t="str">
        <f>IFERROR(__xludf.DUMMYFUNCTION("IFERROR(VLOOKUP(D1059,
IMPORTRANGE(""https://docs.google.com/spreadsheets/d/1MjHtlUikwobi2MaWJgy7tfLeBmhj1u-dRFRs_8GwSoA/edit#gid=0"",""Gestores Escolares!D7:m""),9,0),""VERIFICAR CÓD SEC"")"),"CRISCELY DE JESUS DAMASCENO")</f>
        <v>CRISCELY DE JESUS DAMASCENO</v>
      </c>
      <c r="R1059" s="82" t="str">
        <f>IFERROR(__xludf.DUMMYFUNCTION("IFERROR(VLOOKUP(D1059,
IMPORTRANGE(""https://docs.google.com/spreadsheets/d/1MjHtlUikwobi2MaWJgy7tfLeBmhj1u-dRFRs_8GwSoA/edit#gid=0"",""Gestores Escolares!D7:m""),10,0),""VERIFICAR CÓD SEC"")"),"(75) 9 8222-3914")</f>
        <v>(75) 9 8222-3914</v>
      </c>
      <c r="S1059" s="82"/>
      <c r="T1059" s="138">
        <v>12.0</v>
      </c>
      <c r="U1059" s="145" t="s">
        <v>13815</v>
      </c>
      <c r="V1059" s="106">
        <v>0.0</v>
      </c>
      <c r="W1059" s="107">
        <v>0.0</v>
      </c>
      <c r="X1059" s="107">
        <v>0.0</v>
      </c>
      <c r="Y1059" s="107">
        <v>0.0</v>
      </c>
      <c r="Z1059" s="80">
        <f t="shared" si="1"/>
        <v>0</v>
      </c>
      <c r="AA1059" s="106">
        <v>0.0</v>
      </c>
      <c r="AB1059" s="107">
        <v>0.0</v>
      </c>
      <c r="AC1059" s="107">
        <v>0.0</v>
      </c>
      <c r="AD1059" s="107">
        <v>0.0</v>
      </c>
      <c r="AE1059" s="80">
        <f t="shared" si="2"/>
        <v>0</v>
      </c>
      <c r="AF1059" s="140">
        <v>0.0</v>
      </c>
      <c r="AG1059" s="109">
        <v>66.0</v>
      </c>
      <c r="AH1059" s="109">
        <v>0.0</v>
      </c>
      <c r="AI1059" s="141">
        <v>459.0</v>
      </c>
      <c r="AJ1059" s="80">
        <f t="shared" si="3"/>
        <v>525</v>
      </c>
      <c r="AK1059" s="140">
        <v>0.0</v>
      </c>
      <c r="AL1059" s="109">
        <v>0.0</v>
      </c>
      <c r="AM1059" s="141">
        <v>0.0</v>
      </c>
      <c r="AN1059" s="80">
        <f t="shared" si="4"/>
        <v>0</v>
      </c>
      <c r="AO1059" s="140">
        <v>0.0</v>
      </c>
      <c r="AP1059" s="109">
        <v>0.0</v>
      </c>
      <c r="AQ1059" s="109">
        <v>108.0</v>
      </c>
      <c r="AR1059" s="80">
        <f t="shared" si="5"/>
        <v>108</v>
      </c>
      <c r="AS1059" s="110">
        <v>188.0</v>
      </c>
      <c r="AT1059" s="110">
        <v>0.0</v>
      </c>
      <c r="AU1059" s="110">
        <v>117.0</v>
      </c>
      <c r="AV1059" s="142">
        <v>101.0</v>
      </c>
      <c r="AW1059" s="80">
        <f t="shared" si="6"/>
        <v>406</v>
      </c>
      <c r="AX1059" s="113">
        <f t="shared" si="7"/>
        <v>1039</v>
      </c>
      <c r="AY1059" s="117">
        <f t="shared" si="8"/>
        <v>814</v>
      </c>
      <c r="AZ1059" s="120">
        <f t="shared" si="9"/>
        <v>225</v>
      </c>
      <c r="BA1059" s="115">
        <v>0.0</v>
      </c>
      <c r="BB1059" s="89">
        <f t="shared" si="10"/>
        <v>1039</v>
      </c>
      <c r="BC1059" s="132" t="s">
        <v>178</v>
      </c>
      <c r="BD1059" s="132" t="s">
        <v>178</v>
      </c>
      <c r="BE1059" s="132" t="s">
        <v>178</v>
      </c>
      <c r="BF1059" s="123"/>
      <c r="BG1059" s="83">
        <v>1105436.0</v>
      </c>
      <c r="BH1059" s="98" t="s">
        <v>5726</v>
      </c>
      <c r="BI1059" s="112">
        <v>24.0</v>
      </c>
      <c r="BJ1059" s="98" t="s">
        <v>162</v>
      </c>
      <c r="BK1059" s="99">
        <f t="shared" si="11"/>
        <v>560</v>
      </c>
      <c r="BL1059" s="99">
        <f t="shared" si="12"/>
        <v>254</v>
      </c>
      <c r="BM1059" s="99" t="str">
        <f>IFERROR(__xludf.DUMMYFUNCTION("IFERROR(VLOOKUP(BG1059,IMPORTRANGE(""https://docs.google.com/spreadsheets/d/1juPI-Fb8LD0YtltB2mlGEnp_R3UVu1t3wSFPzgCyHXE/edit?gid=0#gid=0"",""GERAL!A2:C""),3,0),""-"")"),"-")</f>
        <v>-</v>
      </c>
    </row>
    <row r="1060" ht="15.75" customHeight="1">
      <c r="A1060" s="111" t="s">
        <v>1335</v>
      </c>
      <c r="B1060" s="83" t="s">
        <v>5728</v>
      </c>
      <c r="C1060" s="83" t="s">
        <v>68</v>
      </c>
      <c r="D1060" s="112">
        <v>1105584.0</v>
      </c>
      <c r="E1060" s="83"/>
      <c r="F1060" s="83">
        <v>2.9089964E7</v>
      </c>
      <c r="G1060" s="153" t="s">
        <v>5729</v>
      </c>
      <c r="H1060" s="91" t="s">
        <v>5730</v>
      </c>
      <c r="I1060" s="83" t="s">
        <v>149</v>
      </c>
      <c r="J1060" s="83" t="s">
        <v>150</v>
      </c>
      <c r="K1060" s="83" t="s">
        <v>151</v>
      </c>
      <c r="L1060" s="98" t="s">
        <v>152</v>
      </c>
      <c r="M1060" s="82" t="str">
        <f>IFERROR(__xludf.DUMMYFUNCTION("IFERROR(VLOOKUP(D1060,
IMPORTRANGE(""https://docs.google.com/spreadsheets/d/1MjHtlUikwobi2MaWJgy7tfLeBmhj1u-dRFRs_8GwSoA/edit#gid=0"",""Gestores Escolares!D7:J""),3,0),""VERIFICAR CÓD SEC"")"),"REIJANE OLIVEIRA LIMA")</f>
        <v>REIJANE OLIVEIRA LIMA</v>
      </c>
      <c r="N1060" s="82" t="str">
        <f>IFERROR(__xludf.DUMMYFUNCTION("IFERROR(VLOOKUP(D1060,
IMPORTRANGE(""https://docs.google.com/spreadsheets/d/1MjHtlUikwobi2MaWJgy7tfLeBmhj1u-dRFRs_8GwSoA/edit#gid=0"",""Gestores Escolares!D7:J""),4,0),""VERIFICAR CÓD SEC"")"),"(75) 9 8196-5151")</f>
        <v>(75) 9 8196-5151</v>
      </c>
      <c r="O1060" s="82" t="str">
        <f>IFERROR(__xludf.DUMMYFUNCTION("IFERROR(VLOOKUP(D1060,
IMPORTRANGE(""https://docs.google.com/spreadsheets/d/1MjHtlUikwobi2MaWJgy7tfLeBmhj1u-dRFRs_8GwSoA/edit#gid=0"",""Gestores Escolares!D7:J""),6,0),""VERIFICAR CÓD SEC"")"),"MARCELIA SOUZA NASCIMENTO CIDREIRA")</f>
        <v>MARCELIA SOUZA NASCIMENTO CIDREIRA</v>
      </c>
      <c r="P1060" s="82" t="str">
        <f>IFERROR(__xludf.DUMMYFUNCTION("IFERROR(VLOOKUP(D1060,
IMPORTRANGE(""https://docs.google.com/spreadsheets/d/1MjHtlUikwobi2MaWJgy7tfLeBmhj1u-dRFRs_8GwSoA/edit#gid=0"",""Gestores Escolares!D7:J""),7,0),""VERIFICAR CÓD SEC"")"),"(75) 9 9162-0866")</f>
        <v>(75) 9 9162-0866</v>
      </c>
      <c r="Q1060" s="82" t="str">
        <f>IFERROR(__xludf.DUMMYFUNCTION("IFERROR(VLOOKUP(D1060,
IMPORTRANGE(""https://docs.google.com/spreadsheets/d/1MjHtlUikwobi2MaWJgy7tfLeBmhj1u-dRFRs_8GwSoA/edit#gid=0"",""Gestores Escolares!D7:m""),9,0),""VERIFICAR CÓD SEC"")"),"")</f>
        <v/>
      </c>
      <c r="R1060" s="82" t="str">
        <f>IFERROR(__xludf.DUMMYFUNCTION("IFERROR(VLOOKUP(D1060,
IMPORTRANGE(""https://docs.google.com/spreadsheets/d/1MjHtlUikwobi2MaWJgy7tfLeBmhj1u-dRFRs_8GwSoA/edit#gid=0"",""Gestores Escolares!D7:m""),10,0),""VERIFICAR CÓD SEC"")"),"")</f>
        <v/>
      </c>
      <c r="S1060" s="82"/>
      <c r="T1060" s="138">
        <v>9.0</v>
      </c>
      <c r="U1060" s="217" t="s">
        <v>13816</v>
      </c>
      <c r="V1060" s="106">
        <v>0.0</v>
      </c>
      <c r="W1060" s="107">
        <v>0.0</v>
      </c>
      <c r="X1060" s="107">
        <v>0.0</v>
      </c>
      <c r="Y1060" s="107">
        <v>0.0</v>
      </c>
      <c r="Z1060" s="80">
        <f t="shared" si="1"/>
        <v>0</v>
      </c>
      <c r="AA1060" s="106">
        <v>0.0</v>
      </c>
      <c r="AB1060" s="107">
        <v>0.0</v>
      </c>
      <c r="AC1060" s="107">
        <v>0.0</v>
      </c>
      <c r="AD1060" s="107">
        <v>0.0</v>
      </c>
      <c r="AE1060" s="80">
        <f t="shared" si="2"/>
        <v>0</v>
      </c>
      <c r="AF1060" s="222">
        <v>0.0</v>
      </c>
      <c r="AG1060" s="222">
        <v>41.0</v>
      </c>
      <c r="AH1060" s="222">
        <v>0.0</v>
      </c>
      <c r="AI1060" s="224">
        <v>281.0</v>
      </c>
      <c r="AJ1060" s="80">
        <f t="shared" si="3"/>
        <v>322</v>
      </c>
      <c r="AK1060" s="140">
        <v>0.0</v>
      </c>
      <c r="AL1060" s="109">
        <v>0.0</v>
      </c>
      <c r="AM1060" s="141">
        <v>0.0</v>
      </c>
      <c r="AN1060" s="80">
        <f t="shared" si="4"/>
        <v>0</v>
      </c>
      <c r="AO1060" s="222">
        <v>0.0</v>
      </c>
      <c r="AP1060" s="222">
        <v>0.0</v>
      </c>
      <c r="AQ1060" s="224">
        <v>49.0</v>
      </c>
      <c r="AR1060" s="80">
        <f t="shared" si="5"/>
        <v>49</v>
      </c>
      <c r="AS1060" s="110">
        <v>62.0</v>
      </c>
      <c r="AT1060" s="110">
        <v>0.0</v>
      </c>
      <c r="AU1060" s="110">
        <v>9.0</v>
      </c>
      <c r="AV1060" s="142">
        <v>0.0</v>
      </c>
      <c r="AW1060" s="80">
        <f t="shared" si="6"/>
        <v>71</v>
      </c>
      <c r="AX1060" s="113">
        <f t="shared" si="7"/>
        <v>442</v>
      </c>
      <c r="AY1060" s="117">
        <f t="shared" si="8"/>
        <v>384</v>
      </c>
      <c r="AZ1060" s="120">
        <f t="shared" si="9"/>
        <v>58</v>
      </c>
      <c r="BA1060" s="115">
        <v>0.0</v>
      </c>
      <c r="BB1060" s="89">
        <f t="shared" si="10"/>
        <v>442</v>
      </c>
      <c r="BC1060" s="132" t="s">
        <v>178</v>
      </c>
      <c r="BD1060" s="132" t="s">
        <v>178</v>
      </c>
      <c r="BE1060" s="132" t="s">
        <v>178</v>
      </c>
      <c r="BF1060" s="123"/>
      <c r="BG1060" s="83">
        <v>1105584.0</v>
      </c>
      <c r="BH1060" s="137" t="s">
        <v>5731</v>
      </c>
      <c r="BI1060" s="112">
        <v>9.0</v>
      </c>
      <c r="BJ1060" s="98" t="s">
        <v>155</v>
      </c>
      <c r="BK1060" s="99">
        <f t="shared" si="11"/>
        <v>281</v>
      </c>
      <c r="BL1060" s="99">
        <f t="shared" si="12"/>
        <v>103</v>
      </c>
      <c r="BM1060" s="99" t="str">
        <f>IFERROR(__xludf.DUMMYFUNCTION("IFERROR(VLOOKUP(BG1060,IMPORTRANGE(""https://docs.google.com/spreadsheets/d/1juPI-Fb8LD0YtltB2mlGEnp_R3UVu1t3wSFPzgCyHXE/edit?gid=0#gid=0"",""GERAL!A2:C""),3,0),""-"")"),"-")</f>
        <v>-</v>
      </c>
    </row>
    <row r="1061" ht="15.75" customHeight="1">
      <c r="A1061" s="111" t="s">
        <v>1335</v>
      </c>
      <c r="B1061" s="172" t="s">
        <v>5732</v>
      </c>
      <c r="C1061" s="83" t="s">
        <v>68</v>
      </c>
      <c r="D1061" s="112">
        <v>1105460.0</v>
      </c>
      <c r="E1061" s="83"/>
      <c r="F1061" s="83">
        <v>2.909035E7</v>
      </c>
      <c r="G1061" s="153" t="s">
        <v>5733</v>
      </c>
      <c r="H1061" s="108" t="s">
        <v>5734</v>
      </c>
      <c r="I1061" s="83" t="s">
        <v>149</v>
      </c>
      <c r="J1061" s="83" t="s">
        <v>150</v>
      </c>
      <c r="K1061" s="83" t="s">
        <v>151</v>
      </c>
      <c r="L1061" s="98" t="s">
        <v>76</v>
      </c>
      <c r="M1061" s="82" t="str">
        <f>IFERROR(__xludf.DUMMYFUNCTION("IFERROR(VLOOKUP(D1061,
IMPORTRANGE(""https://docs.google.com/spreadsheets/d/1MjHtlUikwobi2MaWJgy7tfLeBmhj1u-dRFRs_8GwSoA/edit#gid=0"",""Gestores Escolares!D7:J""),3,0),""VERIFICAR CÓD SEC"")"),"SANDRO AUGUSTO DA SILVA CERQUEIRA JUNIOR")</f>
        <v>SANDRO AUGUSTO DA SILVA CERQUEIRA JUNIOR</v>
      </c>
      <c r="N1061" s="82" t="str">
        <f>IFERROR(__xludf.DUMMYFUNCTION("IFERROR(VLOOKUP(D1061,
IMPORTRANGE(""https://docs.google.com/spreadsheets/d/1MjHtlUikwobi2MaWJgy7tfLeBmhj1u-dRFRs_8GwSoA/edit#gid=0"",""Gestores Escolares!D7:J""),4,0),""VERIFICAR CÓD SEC"")"),"(77) 9 8159-0648")</f>
        <v>(77) 9 8159-0648</v>
      </c>
      <c r="O1061" s="82" t="str">
        <f>IFERROR(__xludf.DUMMYFUNCTION("IFERROR(VLOOKUP(D1061,
IMPORTRANGE(""https://docs.google.com/spreadsheets/d/1MjHtlUikwobi2MaWJgy7tfLeBmhj1u-dRFRs_8GwSoA/edit#gid=0"",""Gestores Escolares!D7:J""),6,0),""VERIFICAR CÓD SEC"")"),"JACIENE DE ANDRADE SANTOS")</f>
        <v>JACIENE DE ANDRADE SANTOS</v>
      </c>
      <c r="P1061" s="82" t="str">
        <f>IFERROR(__xludf.DUMMYFUNCTION("IFERROR(VLOOKUP(D1061,
IMPORTRANGE(""https://docs.google.com/spreadsheets/d/1MjHtlUikwobi2MaWJgy7tfLeBmhj1u-dRFRs_8GwSoA/edit#gid=0"",""Gestores Escolares!D7:J""),7,0),""VERIFICAR CÓD SEC"")"),"(75) 9 9157-2431")</f>
        <v>(75) 9 9157-2431</v>
      </c>
      <c r="Q1061" s="82" t="str">
        <f>IFERROR(__xludf.DUMMYFUNCTION("IFERROR(VLOOKUP(D1061,
IMPORTRANGE(""https://docs.google.com/spreadsheets/d/1MjHtlUikwobi2MaWJgy7tfLeBmhj1u-dRFRs_8GwSoA/edit#gid=0"",""Gestores Escolares!D7:m""),9,0),""VERIFICAR CÓD SEC"")"),"")</f>
        <v/>
      </c>
      <c r="R1061" s="82" t="str">
        <f>IFERROR(__xludf.DUMMYFUNCTION("IFERROR(VLOOKUP(D1061,
IMPORTRANGE(""https://docs.google.com/spreadsheets/d/1MjHtlUikwobi2MaWJgy7tfLeBmhj1u-dRFRs_8GwSoA/edit#gid=0"",""Gestores Escolares!D7:m""),10,0),""VERIFICAR CÓD SEC"")"),"")</f>
        <v/>
      </c>
      <c r="S1061" s="82"/>
      <c r="T1061" s="138">
        <v>9.0</v>
      </c>
      <c r="U1061" s="145" t="s">
        <v>13817</v>
      </c>
      <c r="V1061" s="106">
        <v>0.0</v>
      </c>
      <c r="W1061" s="107">
        <v>0.0</v>
      </c>
      <c r="X1061" s="107">
        <v>0.0</v>
      </c>
      <c r="Y1061" s="107">
        <v>0.0</v>
      </c>
      <c r="Z1061" s="80">
        <f t="shared" si="1"/>
        <v>0</v>
      </c>
      <c r="AA1061" s="106">
        <v>0.0</v>
      </c>
      <c r="AB1061" s="107">
        <v>0.0</v>
      </c>
      <c r="AC1061" s="107">
        <v>0.0</v>
      </c>
      <c r="AD1061" s="107">
        <v>0.0</v>
      </c>
      <c r="AE1061" s="80">
        <f t="shared" si="2"/>
        <v>0</v>
      </c>
      <c r="AF1061" s="222">
        <v>86.0</v>
      </c>
      <c r="AG1061" s="222">
        <v>64.0</v>
      </c>
      <c r="AH1061" s="222">
        <v>0.0</v>
      </c>
      <c r="AI1061" s="224">
        <v>46.0</v>
      </c>
      <c r="AJ1061" s="80">
        <f t="shared" si="3"/>
        <v>196</v>
      </c>
      <c r="AK1061" s="140">
        <v>0.0</v>
      </c>
      <c r="AL1061" s="109">
        <v>0.0</v>
      </c>
      <c r="AM1061" s="141">
        <v>0.0</v>
      </c>
      <c r="AN1061" s="80">
        <f t="shared" si="4"/>
        <v>0</v>
      </c>
      <c r="AO1061" s="222">
        <v>0.0</v>
      </c>
      <c r="AP1061" s="222">
        <v>0.0</v>
      </c>
      <c r="AQ1061" s="224">
        <v>0.0</v>
      </c>
      <c r="AR1061" s="80">
        <f t="shared" si="5"/>
        <v>0</v>
      </c>
      <c r="AS1061" s="110">
        <v>0.0</v>
      </c>
      <c r="AT1061" s="110">
        <v>0.0</v>
      </c>
      <c r="AU1061" s="110">
        <v>0.0</v>
      </c>
      <c r="AV1061" s="142">
        <v>102.0</v>
      </c>
      <c r="AW1061" s="80">
        <f t="shared" si="6"/>
        <v>102</v>
      </c>
      <c r="AX1061" s="113">
        <f t="shared" si="7"/>
        <v>298</v>
      </c>
      <c r="AY1061" s="117">
        <f t="shared" si="8"/>
        <v>298</v>
      </c>
      <c r="AZ1061" s="120">
        <f t="shared" si="9"/>
        <v>0</v>
      </c>
      <c r="BA1061" s="115">
        <v>0.0</v>
      </c>
      <c r="BB1061" s="89">
        <f t="shared" si="10"/>
        <v>298</v>
      </c>
      <c r="BC1061" s="132" t="s">
        <v>373</v>
      </c>
      <c r="BD1061" s="132" t="s">
        <v>178</v>
      </c>
      <c r="BE1061" s="132" t="s">
        <v>178</v>
      </c>
      <c r="BF1061" s="123"/>
      <c r="BG1061" s="83">
        <v>1105460.0</v>
      </c>
      <c r="BH1061" s="98" t="s">
        <v>13818</v>
      </c>
      <c r="BI1061" s="112">
        <v>11.0</v>
      </c>
      <c r="BJ1061" s="98" t="s">
        <v>162</v>
      </c>
      <c r="BK1061" s="99">
        <f t="shared" si="11"/>
        <v>148</v>
      </c>
      <c r="BL1061" s="99">
        <f t="shared" si="12"/>
        <v>150</v>
      </c>
      <c r="BM1061" s="99" t="str">
        <f>IFERROR(__xludf.DUMMYFUNCTION("IFERROR(VLOOKUP(BG1061,IMPORTRANGE(""https://docs.google.com/spreadsheets/d/1juPI-Fb8LD0YtltB2mlGEnp_R3UVu1t3wSFPzgCyHXE/edit?gid=0#gid=0"",""GERAL!A2:C""),3,0),""-"")"),"CAMPO")</f>
        <v>CAMPO</v>
      </c>
    </row>
    <row r="1062" ht="15.75" customHeight="1">
      <c r="A1062" s="111" t="s">
        <v>1335</v>
      </c>
      <c r="B1062" s="83" t="s">
        <v>5736</v>
      </c>
      <c r="C1062" s="83" t="s">
        <v>68</v>
      </c>
      <c r="D1062" s="112">
        <v>1105568.0</v>
      </c>
      <c r="E1062" s="83"/>
      <c r="F1062" s="83">
        <v>2.9090865E7</v>
      </c>
      <c r="G1062" s="119" t="s">
        <v>5737</v>
      </c>
      <c r="H1062" s="91" t="s">
        <v>5738</v>
      </c>
      <c r="I1062" s="136" t="s">
        <v>149</v>
      </c>
      <c r="J1062" s="83" t="s">
        <v>150</v>
      </c>
      <c r="K1062" s="83" t="s">
        <v>151</v>
      </c>
      <c r="L1062" s="83" t="s">
        <v>152</v>
      </c>
      <c r="M1062" s="82" t="str">
        <f>IFERROR(__xludf.DUMMYFUNCTION("IFERROR(VLOOKUP(D1062,
IMPORTRANGE(""https://docs.google.com/spreadsheets/d/1MjHtlUikwobi2MaWJgy7tfLeBmhj1u-dRFRs_8GwSoA/edit#gid=0"",""Gestores Escolares!D7:J""),3,0),""VERIFICAR CÓD SEC"")"),"ANA CRISTINA PEREIRA CASTELO")</f>
        <v>ANA CRISTINA PEREIRA CASTELO</v>
      </c>
      <c r="N1062" s="82" t="str">
        <f>IFERROR(__xludf.DUMMYFUNCTION("IFERROR(VLOOKUP(D1062,
IMPORTRANGE(""https://docs.google.com/spreadsheets/d/1MjHtlUikwobi2MaWJgy7tfLeBmhj1u-dRFRs_8GwSoA/edit#gid=0"",""Gestores Escolares!D7:J""),4,0),""VERIFICAR CÓD SEC"")"),"(75) 9 8108-4869")</f>
        <v>(75) 9 8108-4869</v>
      </c>
      <c r="O1062" s="82" t="str">
        <f>IFERROR(__xludf.DUMMYFUNCTION("IFERROR(VLOOKUP(D1062,
IMPORTRANGE(""https://docs.google.com/spreadsheets/d/1MjHtlUikwobi2MaWJgy7tfLeBmhj1u-dRFRs_8GwSoA/edit#gid=0"",""Gestores Escolares!D7:J""),6,0),""VERIFICAR CÓD SEC"")"),"MARISANGELA CONCEICAO DOS ANJOS")</f>
        <v>MARISANGELA CONCEICAO DOS ANJOS</v>
      </c>
      <c r="P1062" s="82" t="str">
        <f>IFERROR(__xludf.DUMMYFUNCTION("IFERROR(VLOOKUP(D1062,
IMPORTRANGE(""https://docs.google.com/spreadsheets/d/1MjHtlUikwobi2MaWJgy7tfLeBmhj1u-dRFRs_8GwSoA/edit#gid=0"",""Gestores Escolares!D7:J""),7,0),""VERIFICAR CÓD SEC"")"),"(75) 9 9191-5185")</f>
        <v>(75) 9 9191-5185</v>
      </c>
      <c r="Q1062" s="82" t="str">
        <f>IFERROR(__xludf.DUMMYFUNCTION("IFERROR(VLOOKUP(D1062,
IMPORTRANGE(""https://docs.google.com/spreadsheets/d/1MjHtlUikwobi2MaWJgy7tfLeBmhj1u-dRFRs_8GwSoA/edit#gid=0"",""Gestores Escolares!D7:m""),9,0),""VERIFICAR CÓD SEC"")"),"DEBORA REGINA DA HORA FERREIRA CASAES")</f>
        <v>DEBORA REGINA DA HORA FERREIRA CASAES</v>
      </c>
      <c r="R1062" s="82" t="str">
        <f>IFERROR(__xludf.DUMMYFUNCTION("IFERROR(VLOOKUP(D1062,
IMPORTRANGE(""https://docs.google.com/spreadsheets/d/1MjHtlUikwobi2MaWJgy7tfLeBmhj1u-dRFRs_8GwSoA/edit#gid=0"",""Gestores Escolares!D7:m""),10,0),""VERIFICAR CÓD SEC"")"),"(75) 9 9909-8087")</f>
        <v>(75) 9 9909-8087</v>
      </c>
      <c r="S1062" s="82"/>
      <c r="T1062" s="138">
        <v>11.0</v>
      </c>
      <c r="U1062" s="421" t="s">
        <v>13819</v>
      </c>
      <c r="V1062" s="106">
        <v>0.0</v>
      </c>
      <c r="W1062" s="107">
        <v>0.0</v>
      </c>
      <c r="X1062" s="107">
        <v>0.0</v>
      </c>
      <c r="Y1062" s="107">
        <v>0.0</v>
      </c>
      <c r="Z1062" s="80">
        <f t="shared" si="1"/>
        <v>0</v>
      </c>
      <c r="AA1062" s="106">
        <v>0.0</v>
      </c>
      <c r="AB1062" s="107">
        <v>0.0</v>
      </c>
      <c r="AC1062" s="107">
        <v>0.0</v>
      </c>
      <c r="AD1062" s="107">
        <v>0.0</v>
      </c>
      <c r="AE1062" s="80">
        <f t="shared" si="2"/>
        <v>0</v>
      </c>
      <c r="AF1062" s="140">
        <v>144.0</v>
      </c>
      <c r="AG1062" s="109">
        <v>197.0</v>
      </c>
      <c r="AH1062" s="109">
        <v>0.0</v>
      </c>
      <c r="AI1062" s="141">
        <v>251.0</v>
      </c>
      <c r="AJ1062" s="80">
        <f t="shared" si="3"/>
        <v>592</v>
      </c>
      <c r="AK1062" s="140">
        <v>0.0</v>
      </c>
      <c r="AL1062" s="109">
        <v>0.0</v>
      </c>
      <c r="AM1062" s="141">
        <v>0.0</v>
      </c>
      <c r="AN1062" s="80">
        <f t="shared" si="4"/>
        <v>0</v>
      </c>
      <c r="AO1062" s="140">
        <v>0.0</v>
      </c>
      <c r="AP1062" s="109">
        <v>0.0</v>
      </c>
      <c r="AQ1062" s="109">
        <v>102.0</v>
      </c>
      <c r="AR1062" s="80">
        <f t="shared" si="5"/>
        <v>102</v>
      </c>
      <c r="AS1062" s="110">
        <v>139.0</v>
      </c>
      <c r="AT1062" s="110">
        <v>25.0</v>
      </c>
      <c r="AU1062" s="110">
        <v>9.0</v>
      </c>
      <c r="AV1062" s="142">
        <v>0.0</v>
      </c>
      <c r="AW1062" s="80">
        <f t="shared" si="6"/>
        <v>173</v>
      </c>
      <c r="AX1062" s="113">
        <f t="shared" si="7"/>
        <v>867</v>
      </c>
      <c r="AY1062" s="117">
        <f t="shared" si="8"/>
        <v>756</v>
      </c>
      <c r="AZ1062" s="120">
        <f t="shared" si="9"/>
        <v>111</v>
      </c>
      <c r="BA1062" s="115">
        <v>0.0</v>
      </c>
      <c r="BB1062" s="89">
        <f t="shared" si="10"/>
        <v>867</v>
      </c>
      <c r="BC1062" s="132" t="s">
        <v>178</v>
      </c>
      <c r="BD1062" s="132" t="s">
        <v>178</v>
      </c>
      <c r="BE1062" s="132" t="s">
        <v>178</v>
      </c>
      <c r="BF1062" s="123"/>
      <c r="BG1062" s="83">
        <v>1105568.0</v>
      </c>
      <c r="BH1062" s="112"/>
      <c r="BI1062" s="112">
        <v>21.0</v>
      </c>
      <c r="BJ1062" s="98" t="s">
        <v>176</v>
      </c>
      <c r="BK1062" s="99">
        <f t="shared" si="11"/>
        <v>251</v>
      </c>
      <c r="BL1062" s="99">
        <f t="shared" si="12"/>
        <v>505</v>
      </c>
      <c r="BM1062" s="99" t="str">
        <f>IFERROR(__xludf.DUMMYFUNCTION("IFERROR(VLOOKUP(BG1062,IMPORTRANGE(""https://docs.google.com/spreadsheets/d/1juPI-Fb8LD0YtltB2mlGEnp_R3UVu1t3wSFPzgCyHXE/edit?gid=0#gid=0"",""GERAL!A2:C""),3,0),""-"")"),"-")</f>
        <v>-</v>
      </c>
    </row>
    <row r="1063" ht="15.75" customHeight="1">
      <c r="A1063" s="111" t="s">
        <v>1335</v>
      </c>
      <c r="B1063" s="83" t="s">
        <v>2113</v>
      </c>
      <c r="C1063" s="83" t="s">
        <v>68</v>
      </c>
      <c r="D1063" s="112">
        <v>1105266.0</v>
      </c>
      <c r="E1063" s="83"/>
      <c r="F1063" s="83">
        <v>2.909147E7</v>
      </c>
      <c r="G1063" s="153" t="s">
        <v>5740</v>
      </c>
      <c r="H1063" s="91" t="s">
        <v>5741</v>
      </c>
      <c r="I1063" s="136" t="s">
        <v>149</v>
      </c>
      <c r="J1063" s="83" t="s">
        <v>150</v>
      </c>
      <c r="K1063" s="83" t="s">
        <v>151</v>
      </c>
      <c r="L1063" s="83" t="s">
        <v>230</v>
      </c>
      <c r="M1063" s="82" t="str">
        <f>IFERROR(__xludf.DUMMYFUNCTION("IFERROR(VLOOKUP(D1063,
IMPORTRANGE(""https://docs.google.com/spreadsheets/d/1MjHtlUikwobi2MaWJgy7tfLeBmhj1u-dRFRs_8GwSoA/edit#gid=0"",""Gestores Escolares!D7:J""),3,0),""VERIFICAR CÓD SEC"")"),"JOSOEL PEREIRA DA SILVA")</f>
        <v>JOSOEL PEREIRA DA SILVA</v>
      </c>
      <c r="N1063" s="82" t="str">
        <f>IFERROR(__xludf.DUMMYFUNCTION("IFERROR(VLOOKUP(D1063,
IMPORTRANGE(""https://docs.google.com/spreadsheets/d/1MjHtlUikwobi2MaWJgy7tfLeBmhj1u-dRFRs_8GwSoA/edit#gid=0"",""Gestores Escolares!D7:J""),4,0),""VERIFICAR CÓD SEC"")"),"(75) 9 9118-7844 ZAP/ 9 8104-2162")</f>
        <v>(75) 9 9118-7844 ZAP/ 9 8104-2162</v>
      </c>
      <c r="O1063" s="82" t="str">
        <f>IFERROR(__xludf.DUMMYFUNCTION("IFERROR(VLOOKUP(D1063,
IMPORTRANGE(""https://docs.google.com/spreadsheets/d/1MjHtlUikwobi2MaWJgy7tfLeBmhj1u-dRFRs_8GwSoA/edit#gid=0"",""Gestores Escolares!D7:J""),6,0),""VERIFICAR CÓD SEC"")"),"EVILA DIAS DE JESUS")</f>
        <v>EVILA DIAS DE JESUS</v>
      </c>
      <c r="P1063" s="82" t="str">
        <f>IFERROR(__xludf.DUMMYFUNCTION("IFERROR(VLOOKUP(D1063,
IMPORTRANGE(""https://docs.google.com/spreadsheets/d/1MjHtlUikwobi2MaWJgy7tfLeBmhj1u-dRFRs_8GwSoA/edit#gid=0"",""Gestores Escolares!D7:J""),7,0),""VERIFICAR CÓD SEC"")"),"(75) 9 9937-7429")</f>
        <v>(75) 9 9937-7429</v>
      </c>
      <c r="Q1063" s="82" t="str">
        <f>IFERROR(__xludf.DUMMYFUNCTION("IFERROR(VLOOKUP(D1063,
IMPORTRANGE(""https://docs.google.com/spreadsheets/d/1MjHtlUikwobi2MaWJgy7tfLeBmhj1u-dRFRs_8GwSoA/edit#gid=0"",""Gestores Escolares!D7:m""),9,0),""VERIFICAR CÓD SEC"")"),"NUBIA LETICIA SANTOS DE SOUZA")</f>
        <v>NUBIA LETICIA SANTOS DE SOUZA</v>
      </c>
      <c r="R1063" s="82" t="str">
        <f>IFERROR(__xludf.DUMMYFUNCTION("IFERROR(VLOOKUP(D1063,
IMPORTRANGE(""https://docs.google.com/spreadsheets/d/1MjHtlUikwobi2MaWJgy7tfLeBmhj1u-dRFRs_8GwSoA/edit#gid=0"",""Gestores Escolares!D7:m""),10,0),""VERIFICAR CÓD SEC"")"),"(75) 9 9138-0488")</f>
        <v>(75) 9 9138-0488</v>
      </c>
      <c r="S1063" s="82"/>
      <c r="T1063" s="138">
        <v>17.0</v>
      </c>
      <c r="U1063" s="145" t="s">
        <v>13820</v>
      </c>
      <c r="V1063" s="106">
        <v>0.0</v>
      </c>
      <c r="W1063" s="107">
        <v>0.0</v>
      </c>
      <c r="X1063" s="107">
        <v>0.0</v>
      </c>
      <c r="Y1063" s="107">
        <v>0.0</v>
      </c>
      <c r="Z1063" s="80">
        <f t="shared" si="1"/>
        <v>0</v>
      </c>
      <c r="AA1063" s="106">
        <v>0.0</v>
      </c>
      <c r="AB1063" s="107">
        <v>0.0</v>
      </c>
      <c r="AC1063" s="107">
        <v>0.0</v>
      </c>
      <c r="AD1063" s="107">
        <v>0.0</v>
      </c>
      <c r="AE1063" s="80">
        <f t="shared" si="2"/>
        <v>0</v>
      </c>
      <c r="AF1063" s="140">
        <v>0.0</v>
      </c>
      <c r="AG1063" s="109">
        <v>52.0</v>
      </c>
      <c r="AH1063" s="109">
        <v>0.0</v>
      </c>
      <c r="AI1063" s="141">
        <v>507.0</v>
      </c>
      <c r="AJ1063" s="80">
        <f t="shared" si="3"/>
        <v>559</v>
      </c>
      <c r="AK1063" s="140">
        <v>0.0</v>
      </c>
      <c r="AL1063" s="109">
        <v>0.0</v>
      </c>
      <c r="AM1063" s="141">
        <v>0.0</v>
      </c>
      <c r="AN1063" s="80">
        <f t="shared" si="4"/>
        <v>0</v>
      </c>
      <c r="AO1063" s="140">
        <v>0.0</v>
      </c>
      <c r="AP1063" s="109">
        <v>0.0</v>
      </c>
      <c r="AQ1063" s="109">
        <v>292.0</v>
      </c>
      <c r="AR1063" s="80">
        <f t="shared" si="5"/>
        <v>292</v>
      </c>
      <c r="AS1063" s="110">
        <v>0.0</v>
      </c>
      <c r="AT1063" s="110">
        <v>3.0</v>
      </c>
      <c r="AU1063" s="110">
        <v>128.0</v>
      </c>
      <c r="AV1063" s="142">
        <v>515.0</v>
      </c>
      <c r="AW1063" s="80">
        <f t="shared" si="6"/>
        <v>646</v>
      </c>
      <c r="AX1063" s="113">
        <f t="shared" si="7"/>
        <v>1497</v>
      </c>
      <c r="AY1063" s="117">
        <f t="shared" si="8"/>
        <v>1077</v>
      </c>
      <c r="AZ1063" s="120">
        <f t="shared" si="9"/>
        <v>420</v>
      </c>
      <c r="BA1063" s="115">
        <v>0.0</v>
      </c>
      <c r="BB1063" s="89">
        <f t="shared" si="10"/>
        <v>1497</v>
      </c>
      <c r="BC1063" s="132" t="s">
        <v>178</v>
      </c>
      <c r="BD1063" s="132" t="s">
        <v>178</v>
      </c>
      <c r="BE1063" s="132" t="s">
        <v>178</v>
      </c>
      <c r="BF1063" s="123"/>
      <c r="BG1063" s="83">
        <v>1105266.0</v>
      </c>
      <c r="BH1063" s="112"/>
      <c r="BI1063" s="112">
        <v>17.0</v>
      </c>
      <c r="BJ1063" s="98" t="s">
        <v>162</v>
      </c>
      <c r="BK1063" s="99">
        <f t="shared" si="11"/>
        <v>1022</v>
      </c>
      <c r="BL1063" s="99">
        <f t="shared" si="12"/>
        <v>55</v>
      </c>
      <c r="BM1063" s="99" t="str">
        <f>IFERROR(__xludf.DUMMYFUNCTION("IFERROR(VLOOKUP(BG1063,IMPORTRANGE(""https://docs.google.com/spreadsheets/d/1juPI-Fb8LD0YtltB2mlGEnp_R3UVu1t3wSFPzgCyHXE/edit?gid=0#gid=0"",""GERAL!A2:C""),3,0),""-"")"),"-")</f>
        <v>-</v>
      </c>
    </row>
    <row r="1064" ht="15.75" customHeight="1">
      <c r="A1064" s="111" t="s">
        <v>1335</v>
      </c>
      <c r="B1064" s="83" t="s">
        <v>5743</v>
      </c>
      <c r="C1064" s="83" t="s">
        <v>68</v>
      </c>
      <c r="D1064" s="112">
        <v>1105100.0</v>
      </c>
      <c r="E1064" s="83"/>
      <c r="F1064" s="83">
        <v>2.9092213E7</v>
      </c>
      <c r="G1064" s="119" t="s">
        <v>5744</v>
      </c>
      <c r="H1064" s="91" t="s">
        <v>5745</v>
      </c>
      <c r="I1064" s="136" t="s">
        <v>5746</v>
      </c>
      <c r="J1064" s="83" t="s">
        <v>2574</v>
      </c>
      <c r="K1064" s="83" t="s">
        <v>151</v>
      </c>
      <c r="L1064" s="83" t="s">
        <v>76</v>
      </c>
      <c r="M1064" s="82" t="str">
        <f>IFERROR(__xludf.DUMMYFUNCTION("IFERROR(VLOOKUP(D1064,
IMPORTRANGE(""https://docs.google.com/spreadsheets/d/1MjHtlUikwobi2MaWJgy7tfLeBmhj1u-dRFRs_8GwSoA/edit#gid=0"",""Gestores Escolares!D7:J""),3,0),""VERIFICAR CÓD SEC"")"),"MARIA GORETTI DE JESUS BORGES")</f>
        <v>MARIA GORETTI DE JESUS BORGES</v>
      </c>
      <c r="N1064" s="82" t="str">
        <f>IFERROR(__xludf.DUMMYFUNCTION("IFERROR(VLOOKUP(D1064,
IMPORTRANGE(""https://docs.google.com/spreadsheets/d/1MjHtlUikwobi2MaWJgy7tfLeBmhj1u-dRFRs_8GwSoA/edit#gid=0"",""Gestores Escolares!D7:J""),4,0),""VERIFICAR CÓD SEC"")"),"(75) 9 9113-2851")</f>
        <v>(75) 9 9113-2851</v>
      </c>
      <c r="O1064" s="82" t="str">
        <f>IFERROR(__xludf.DUMMYFUNCTION("IFERROR(VLOOKUP(D1064,
IMPORTRANGE(""https://docs.google.com/spreadsheets/d/1MjHtlUikwobi2MaWJgy7tfLeBmhj1u-dRFRs_8GwSoA/edit#gid=0"",""Gestores Escolares!D7:J""),6,0),""VERIFICAR CÓD SEC"")"),"MARCELO DE OLIVEIRA SANTANA")</f>
        <v>MARCELO DE OLIVEIRA SANTANA</v>
      </c>
      <c r="P1064" s="82" t="str">
        <f>IFERROR(__xludf.DUMMYFUNCTION("IFERROR(VLOOKUP(D1064,
IMPORTRANGE(""https://docs.google.com/spreadsheets/d/1MjHtlUikwobi2MaWJgy7tfLeBmhj1u-dRFRs_8GwSoA/edit#gid=0"",""Gestores Escolares!D7:J""),7,0),""VERIFICAR CÓD SEC"")"),"(71) 9 8249-2075")</f>
        <v>(71) 9 8249-2075</v>
      </c>
      <c r="Q1064" s="82" t="str">
        <f>IFERROR(__xludf.DUMMYFUNCTION("IFERROR(VLOOKUP(D1064,
IMPORTRANGE(""https://docs.google.com/spreadsheets/d/1MjHtlUikwobi2MaWJgy7tfLeBmhj1u-dRFRs_8GwSoA/edit#gid=0"",""Gestores Escolares!D7:m""),9,0),""VERIFICAR CÓD SEC"")"),"")</f>
        <v/>
      </c>
      <c r="R1064" s="82" t="str">
        <f>IFERROR(__xludf.DUMMYFUNCTION("IFERROR(VLOOKUP(D1064,
IMPORTRANGE(""https://docs.google.com/spreadsheets/d/1MjHtlUikwobi2MaWJgy7tfLeBmhj1u-dRFRs_8GwSoA/edit#gid=0"",""Gestores Escolares!D7:m""),10,0),""VERIFICAR CÓD SEC"")"),"")</f>
        <v/>
      </c>
      <c r="S1064" s="82"/>
      <c r="T1064" s="138">
        <v>9.0</v>
      </c>
      <c r="U1064" s="468" t="s">
        <v>13821</v>
      </c>
      <c r="V1064" s="106">
        <v>0.0</v>
      </c>
      <c r="W1064" s="107">
        <v>0.0</v>
      </c>
      <c r="X1064" s="107">
        <v>0.0</v>
      </c>
      <c r="Y1064" s="107">
        <v>0.0</v>
      </c>
      <c r="Z1064" s="80">
        <f t="shared" si="1"/>
        <v>0</v>
      </c>
      <c r="AA1064" s="106">
        <v>0.0</v>
      </c>
      <c r="AB1064" s="107">
        <v>0.0</v>
      </c>
      <c r="AC1064" s="107">
        <v>0.0</v>
      </c>
      <c r="AD1064" s="107">
        <v>0.0</v>
      </c>
      <c r="AE1064" s="80">
        <f t="shared" si="2"/>
        <v>0</v>
      </c>
      <c r="AF1064" s="140">
        <v>106.0</v>
      </c>
      <c r="AG1064" s="109">
        <v>106.0</v>
      </c>
      <c r="AH1064" s="109">
        <v>0.0</v>
      </c>
      <c r="AI1064" s="141">
        <v>48.0</v>
      </c>
      <c r="AJ1064" s="80">
        <f t="shared" si="3"/>
        <v>260</v>
      </c>
      <c r="AK1064" s="140">
        <v>0.0</v>
      </c>
      <c r="AL1064" s="109">
        <v>0.0</v>
      </c>
      <c r="AM1064" s="141">
        <v>32.0</v>
      </c>
      <c r="AN1064" s="80">
        <f t="shared" si="4"/>
        <v>32</v>
      </c>
      <c r="AO1064" s="140">
        <v>0.0</v>
      </c>
      <c r="AP1064" s="109">
        <v>0.0</v>
      </c>
      <c r="AQ1064" s="109">
        <v>85.0</v>
      </c>
      <c r="AR1064" s="80">
        <f t="shared" si="5"/>
        <v>85</v>
      </c>
      <c r="AS1064" s="110">
        <v>0.0</v>
      </c>
      <c r="AT1064" s="110">
        <v>0.0</v>
      </c>
      <c r="AU1064" s="110">
        <v>0.0</v>
      </c>
      <c r="AV1064" s="142">
        <v>0.0</v>
      </c>
      <c r="AW1064" s="80">
        <f t="shared" si="6"/>
        <v>0</v>
      </c>
      <c r="AX1064" s="113">
        <f t="shared" si="7"/>
        <v>377</v>
      </c>
      <c r="AY1064" s="117">
        <f t="shared" si="8"/>
        <v>260</v>
      </c>
      <c r="AZ1064" s="120">
        <f t="shared" si="9"/>
        <v>117</v>
      </c>
      <c r="BA1064" s="115">
        <v>0.0</v>
      </c>
      <c r="BB1064" s="89">
        <f t="shared" si="10"/>
        <v>377</v>
      </c>
      <c r="BC1064" s="132" t="s">
        <v>373</v>
      </c>
      <c r="BD1064" s="132" t="s">
        <v>178</v>
      </c>
      <c r="BE1064" s="132" t="s">
        <v>178</v>
      </c>
      <c r="BF1064" s="123"/>
      <c r="BG1064" s="83">
        <v>1105100.0</v>
      </c>
      <c r="BH1064" s="112"/>
      <c r="BI1064" s="112">
        <v>7.0</v>
      </c>
      <c r="BJ1064" s="98" t="s">
        <v>155</v>
      </c>
      <c r="BK1064" s="99">
        <f t="shared" si="11"/>
        <v>48</v>
      </c>
      <c r="BL1064" s="99">
        <f t="shared" si="12"/>
        <v>212</v>
      </c>
      <c r="BM1064" s="99" t="str">
        <f>IFERROR(__xludf.DUMMYFUNCTION("IFERROR(VLOOKUP(BG1064,IMPORTRANGE(""https://docs.google.com/spreadsheets/d/1juPI-Fb8LD0YtltB2mlGEnp_R3UVu1t3wSFPzgCyHXE/edit?gid=0#gid=0"",""GERAL!A2:C""),3,0),""-"")"),"CAMPO")</f>
        <v>CAMPO</v>
      </c>
    </row>
    <row r="1065" ht="15.75" customHeight="1">
      <c r="A1065" s="111" t="s">
        <v>1335</v>
      </c>
      <c r="B1065" s="83" t="s">
        <v>5743</v>
      </c>
      <c r="C1065" s="83" t="s">
        <v>68</v>
      </c>
      <c r="D1065" s="112">
        <v>1105169.0</v>
      </c>
      <c r="E1065" s="83"/>
      <c r="F1065" s="83">
        <v>2.9092191E7</v>
      </c>
      <c r="G1065" s="119" t="s">
        <v>5755</v>
      </c>
      <c r="H1065" s="91" t="s">
        <v>5756</v>
      </c>
      <c r="I1065" s="136" t="s">
        <v>149</v>
      </c>
      <c r="J1065" s="83" t="s">
        <v>150</v>
      </c>
      <c r="K1065" s="83" t="s">
        <v>151</v>
      </c>
      <c r="L1065" s="83" t="s">
        <v>230</v>
      </c>
      <c r="M1065" s="82" t="str">
        <f>IFERROR(__xludf.DUMMYFUNCTION("IFERROR(VLOOKUP(D1065,
IMPORTRANGE(""https://docs.google.com/spreadsheets/d/1MjHtlUikwobi2MaWJgy7tfLeBmhj1u-dRFRs_8GwSoA/edit#gid=0"",""Gestores Escolares!D7:J""),3,0),""VERIFICAR CÓD SEC"")"),"LUCIANY VIEIRA RIBEIRO DE CERQUEIRA")</f>
        <v>LUCIANY VIEIRA RIBEIRO DE CERQUEIRA</v>
      </c>
      <c r="N1065" s="82" t="str">
        <f>IFERROR(__xludf.DUMMYFUNCTION("IFERROR(VLOOKUP(D1065,
IMPORTRANGE(""https://docs.google.com/spreadsheets/d/1MjHtlUikwobi2MaWJgy7tfLeBmhj1u-dRFRs_8GwSoA/edit#gid=0"",""Gestores Escolares!D7:J""),4,0),""VERIFICAR CÓD SEC"")"),"(75) 9 9151-1319")</f>
        <v>(75) 9 9151-1319</v>
      </c>
      <c r="O1065" s="82" t="str">
        <f>IFERROR(__xludf.DUMMYFUNCTION("IFERROR(VLOOKUP(D1065,
IMPORTRANGE(""https://docs.google.com/spreadsheets/d/1MjHtlUikwobi2MaWJgy7tfLeBmhj1u-dRFRs_8GwSoA/edit#gid=0"",""Gestores Escolares!D7:J""),6,0),""VERIFICAR CÓD SEC"")"),"JOSELANE DA ROCHA BRANDAO")</f>
        <v>JOSELANE DA ROCHA BRANDAO</v>
      </c>
      <c r="P1065" s="82" t="str">
        <f>IFERROR(__xludf.DUMMYFUNCTION("IFERROR(VLOOKUP(D1065,
IMPORTRANGE(""https://docs.google.com/spreadsheets/d/1MjHtlUikwobi2MaWJgy7tfLeBmhj1u-dRFRs_8GwSoA/edit#gid=0"",""Gestores Escolares!D7:J""),7,0),""VERIFICAR CÓD SEC"")"),"(75) 9 8116-3478")</f>
        <v>(75) 9 8116-3478</v>
      </c>
      <c r="Q1065" s="82" t="str">
        <f>IFERROR(__xludf.DUMMYFUNCTION("IFERROR(VLOOKUP(D1065,
IMPORTRANGE(""https://docs.google.com/spreadsheets/d/1MjHtlUikwobi2MaWJgy7tfLeBmhj1u-dRFRs_8GwSoA/edit#gid=0"",""Gestores Escolares!D7:m""),9,0),""VERIFICAR CÓD SEC"")"),"")</f>
        <v/>
      </c>
      <c r="R1065" s="82" t="str">
        <f>IFERROR(__xludf.DUMMYFUNCTION("IFERROR(VLOOKUP(D1065,
IMPORTRANGE(""https://docs.google.com/spreadsheets/d/1MjHtlUikwobi2MaWJgy7tfLeBmhj1u-dRFRs_8GwSoA/edit#gid=0"",""Gestores Escolares!D7:m""),10,0),""VERIFICAR CÓD SEC"")"),"")</f>
        <v/>
      </c>
      <c r="S1065" s="82"/>
      <c r="T1065" s="138">
        <v>16.0</v>
      </c>
      <c r="U1065" s="145" t="s">
        <v>13822</v>
      </c>
      <c r="V1065" s="106">
        <v>0.0</v>
      </c>
      <c r="W1065" s="107">
        <v>0.0</v>
      </c>
      <c r="X1065" s="107">
        <v>0.0</v>
      </c>
      <c r="Y1065" s="107">
        <v>0.0</v>
      </c>
      <c r="Z1065" s="80">
        <f t="shared" si="1"/>
        <v>0</v>
      </c>
      <c r="AA1065" s="106">
        <v>0.0</v>
      </c>
      <c r="AB1065" s="107">
        <v>0.0</v>
      </c>
      <c r="AC1065" s="107">
        <v>0.0</v>
      </c>
      <c r="AD1065" s="107">
        <v>0.0</v>
      </c>
      <c r="AE1065" s="80">
        <f t="shared" si="2"/>
        <v>0</v>
      </c>
      <c r="AF1065" s="140">
        <v>33.0</v>
      </c>
      <c r="AG1065" s="109">
        <v>0.0</v>
      </c>
      <c r="AH1065" s="109">
        <v>0.0</v>
      </c>
      <c r="AI1065" s="141">
        <v>568.0</v>
      </c>
      <c r="AJ1065" s="80">
        <f t="shared" si="3"/>
        <v>601</v>
      </c>
      <c r="AK1065" s="140">
        <v>0.0</v>
      </c>
      <c r="AL1065" s="109">
        <v>0.0</v>
      </c>
      <c r="AM1065" s="141">
        <v>0.0</v>
      </c>
      <c r="AN1065" s="80">
        <f t="shared" si="4"/>
        <v>0</v>
      </c>
      <c r="AO1065" s="140">
        <v>0.0</v>
      </c>
      <c r="AP1065" s="109">
        <v>0.0</v>
      </c>
      <c r="AQ1065" s="109">
        <v>152.0</v>
      </c>
      <c r="AR1065" s="80">
        <f t="shared" si="5"/>
        <v>152</v>
      </c>
      <c r="AS1065" s="110">
        <v>0.0</v>
      </c>
      <c r="AT1065" s="110">
        <v>0.0</v>
      </c>
      <c r="AU1065" s="110">
        <v>190.0</v>
      </c>
      <c r="AV1065" s="142">
        <v>30.0</v>
      </c>
      <c r="AW1065" s="80">
        <f t="shared" si="6"/>
        <v>220</v>
      </c>
      <c r="AX1065" s="113">
        <f t="shared" si="7"/>
        <v>973</v>
      </c>
      <c r="AY1065" s="117">
        <f t="shared" si="8"/>
        <v>631</v>
      </c>
      <c r="AZ1065" s="120">
        <f t="shared" si="9"/>
        <v>342</v>
      </c>
      <c r="BA1065" s="115">
        <v>0.0</v>
      </c>
      <c r="BB1065" s="89">
        <f t="shared" si="10"/>
        <v>973</v>
      </c>
      <c r="BC1065" s="132" t="s">
        <v>178</v>
      </c>
      <c r="BD1065" s="132" t="s">
        <v>178</v>
      </c>
      <c r="BE1065" s="132" t="s">
        <v>178</v>
      </c>
      <c r="BF1065" s="123"/>
      <c r="BG1065" s="83">
        <v>1105169.0</v>
      </c>
      <c r="BH1065" s="112"/>
      <c r="BI1065" s="112">
        <v>14.0</v>
      </c>
      <c r="BJ1065" s="98" t="s">
        <v>176</v>
      </c>
      <c r="BK1065" s="99">
        <f t="shared" si="11"/>
        <v>598</v>
      </c>
      <c r="BL1065" s="99">
        <f t="shared" si="12"/>
        <v>33</v>
      </c>
      <c r="BM1065" s="99" t="str">
        <f>IFERROR(__xludf.DUMMYFUNCTION("IFERROR(VLOOKUP(BG1065,IMPORTRANGE(""https://docs.google.com/spreadsheets/d/1juPI-Fb8LD0YtltB2mlGEnp_R3UVu1t3wSFPzgCyHXE/edit?gid=0#gid=0"",""GERAL!A2:C""),3,0),""-"")"),"-")</f>
        <v>-</v>
      </c>
    </row>
    <row r="1066" ht="15.75" customHeight="1">
      <c r="A1066" s="111" t="s">
        <v>1335</v>
      </c>
      <c r="B1066" s="83" t="s">
        <v>2050</v>
      </c>
      <c r="C1066" s="83" t="s">
        <v>68</v>
      </c>
      <c r="D1066" s="112">
        <v>1105959.0</v>
      </c>
      <c r="E1066" s="83"/>
      <c r="F1066" s="83">
        <v>2.9096243E7</v>
      </c>
      <c r="G1066" s="119" t="s">
        <v>5758</v>
      </c>
      <c r="H1066" s="91" t="s">
        <v>5759</v>
      </c>
      <c r="I1066" s="83" t="s">
        <v>149</v>
      </c>
      <c r="J1066" s="83" t="s">
        <v>150</v>
      </c>
      <c r="K1066" s="83" t="s">
        <v>151</v>
      </c>
      <c r="L1066" s="83" t="s">
        <v>230</v>
      </c>
      <c r="M1066" s="82" t="str">
        <f>IFERROR(__xludf.DUMMYFUNCTION("IFERROR(VLOOKUP(D1066,
IMPORTRANGE(""https://docs.google.com/spreadsheets/d/1MjHtlUikwobi2MaWJgy7tfLeBmhj1u-dRFRs_8GwSoA/edit#gid=0"",""Gestores Escolares!D7:J""),3,0),""VERIFICAR CÓD SEC"")"),"LEANDRO MACIEL SOUZA")</f>
        <v>LEANDRO MACIEL SOUZA</v>
      </c>
      <c r="N1066" s="82" t="str">
        <f>IFERROR(__xludf.DUMMYFUNCTION("IFERROR(VLOOKUP(D1066,
IMPORTRANGE(""https://docs.google.com/spreadsheets/d/1MjHtlUikwobi2MaWJgy7tfLeBmhj1u-dRFRs_8GwSoA/edit#gid=0"",""Gestores Escolares!D7:J""),4,0),""VERIFICAR CÓD SEC"")"),"(75) 9 9116-6058")</f>
        <v>(75) 9 9116-6058</v>
      </c>
      <c r="O1066" s="82" t="str">
        <f>IFERROR(__xludf.DUMMYFUNCTION("IFERROR(VLOOKUP(D1066,
IMPORTRANGE(""https://docs.google.com/spreadsheets/d/1MjHtlUikwobi2MaWJgy7tfLeBmhj1u-dRFRs_8GwSoA/edit#gid=0"",""Gestores Escolares!D7:J""),6,0),""VERIFICAR CÓD SEC"")"),"ACMAR FELIZ DOS SANTOS DE SANTANA ")</f>
        <v>ACMAR FELIZ DOS SANTOS DE SANTANA </v>
      </c>
      <c r="P1066" s="82" t="str">
        <f>IFERROR(__xludf.DUMMYFUNCTION("IFERROR(VLOOKUP(D1066,
IMPORTRANGE(""https://docs.google.com/spreadsheets/d/1MjHtlUikwobi2MaWJgy7tfLeBmhj1u-dRFRs_8GwSoA/edit#gid=0"",""Gestores Escolares!D7:J""),7,0),""VERIFICAR CÓD SEC"")"),"(75) 9 9118-1911")</f>
        <v>(75) 9 9118-1911</v>
      </c>
      <c r="Q1066" s="82" t="str">
        <f>IFERROR(__xludf.DUMMYFUNCTION("IFERROR(VLOOKUP(D1066,
IMPORTRANGE(""https://docs.google.com/spreadsheets/d/1MjHtlUikwobi2MaWJgy7tfLeBmhj1u-dRFRs_8GwSoA/edit#gid=0"",""Gestores Escolares!D7:m""),9,0),""VERIFICAR CÓD SEC"")"),"ERICA SANTOS DE ALMEIDA")</f>
        <v>ERICA SANTOS DE ALMEIDA</v>
      </c>
      <c r="R1066" s="82" t="str">
        <f>IFERROR(__xludf.DUMMYFUNCTION("IFERROR(VLOOKUP(D1066,
IMPORTRANGE(""https://docs.google.com/spreadsheets/d/1MjHtlUikwobi2MaWJgy7tfLeBmhj1u-dRFRs_8GwSoA/edit#gid=0"",""Gestores Escolares!D7:m""),10,0),""VERIFICAR CÓD SEC"")"),"(75) 9 9179-7536")</f>
        <v>(75) 9 9179-7536</v>
      </c>
      <c r="S1066" s="82"/>
      <c r="T1066" s="138">
        <v>34.0</v>
      </c>
      <c r="U1066" s="145">
        <v>29.0</v>
      </c>
      <c r="V1066" s="106">
        <v>0.0</v>
      </c>
      <c r="W1066" s="107">
        <v>0.0</v>
      </c>
      <c r="X1066" s="107">
        <v>0.0</v>
      </c>
      <c r="Y1066" s="107">
        <v>0.0</v>
      </c>
      <c r="Z1066" s="80">
        <f t="shared" si="1"/>
        <v>0</v>
      </c>
      <c r="AA1066" s="106">
        <v>0.0</v>
      </c>
      <c r="AB1066" s="107">
        <v>0.0</v>
      </c>
      <c r="AC1066" s="107">
        <v>0.0</v>
      </c>
      <c r="AD1066" s="107">
        <v>374.0</v>
      </c>
      <c r="AE1066" s="80">
        <f t="shared" si="2"/>
        <v>374</v>
      </c>
      <c r="AF1066" s="140">
        <v>0.0</v>
      </c>
      <c r="AG1066" s="109">
        <v>0.0</v>
      </c>
      <c r="AH1066" s="109">
        <v>0.0</v>
      </c>
      <c r="AI1066" s="141">
        <v>743.0</v>
      </c>
      <c r="AJ1066" s="80">
        <f t="shared" si="3"/>
        <v>743</v>
      </c>
      <c r="AK1066" s="140">
        <v>0.0</v>
      </c>
      <c r="AL1066" s="109">
        <v>0.0</v>
      </c>
      <c r="AM1066" s="141">
        <v>0.0</v>
      </c>
      <c r="AN1066" s="80">
        <f t="shared" si="4"/>
        <v>0</v>
      </c>
      <c r="AO1066" s="140">
        <v>0.0</v>
      </c>
      <c r="AP1066" s="109">
        <v>0.0</v>
      </c>
      <c r="AQ1066" s="109">
        <v>0.0</v>
      </c>
      <c r="AR1066" s="80">
        <f t="shared" si="5"/>
        <v>0</v>
      </c>
      <c r="AS1066" s="110">
        <v>0.0</v>
      </c>
      <c r="AT1066" s="110">
        <v>0.0</v>
      </c>
      <c r="AU1066" s="110">
        <v>0.0</v>
      </c>
      <c r="AV1066" s="142">
        <v>0.0</v>
      </c>
      <c r="AW1066" s="80">
        <f t="shared" si="6"/>
        <v>0</v>
      </c>
      <c r="AX1066" s="113">
        <f t="shared" si="7"/>
        <v>1117</v>
      </c>
      <c r="AY1066" s="117">
        <f t="shared" si="8"/>
        <v>1117</v>
      </c>
      <c r="AZ1066" s="120">
        <f t="shared" si="9"/>
        <v>0</v>
      </c>
      <c r="BA1066" s="115">
        <v>0.0</v>
      </c>
      <c r="BB1066" s="89">
        <f t="shared" si="10"/>
        <v>1117</v>
      </c>
      <c r="BC1066" s="132" t="s">
        <v>178</v>
      </c>
      <c r="BD1066" s="132" t="s">
        <v>178</v>
      </c>
      <c r="BE1066" s="132" t="s">
        <v>178</v>
      </c>
      <c r="BF1066" s="123"/>
      <c r="BG1066" s="83">
        <v>1105959.0</v>
      </c>
      <c r="BH1066" s="98"/>
      <c r="BI1066" s="98">
        <v>34.0</v>
      </c>
      <c r="BJ1066" s="98" t="s">
        <v>284</v>
      </c>
      <c r="BK1066" s="99">
        <f t="shared" si="11"/>
        <v>1117</v>
      </c>
      <c r="BL1066" s="99">
        <f t="shared" si="12"/>
        <v>0</v>
      </c>
      <c r="BM1066" s="99" t="str">
        <f>IFERROR(__xludf.DUMMYFUNCTION("IFERROR(VLOOKUP(BG1066,IMPORTRANGE(""https://docs.google.com/spreadsheets/d/1juPI-Fb8LD0YtltB2mlGEnp_R3UVu1t3wSFPzgCyHXE/edit?gid=0#gid=0"",""GERAL!A2:C""),3,0),""-"")"),"-")</f>
        <v>-</v>
      </c>
    </row>
    <row r="1067" ht="15.75" customHeight="1">
      <c r="A1067" s="111" t="s">
        <v>1335</v>
      </c>
      <c r="B1067" s="83" t="s">
        <v>2050</v>
      </c>
      <c r="C1067" s="83" t="s">
        <v>68</v>
      </c>
      <c r="D1067" s="112">
        <v>1176423.0</v>
      </c>
      <c r="E1067" s="83"/>
      <c r="F1067" s="83">
        <v>2.9387736E7</v>
      </c>
      <c r="G1067" s="289" t="s">
        <v>1536</v>
      </c>
      <c r="H1067" s="91" t="s">
        <v>5762</v>
      </c>
      <c r="I1067" s="83" t="s">
        <v>149</v>
      </c>
      <c r="J1067" s="83" t="s">
        <v>150</v>
      </c>
      <c r="K1067" s="83" t="s">
        <v>151</v>
      </c>
      <c r="L1067" s="83" t="s">
        <v>230</v>
      </c>
      <c r="M1067" s="82" t="str">
        <f>IFERROR(__xludf.DUMMYFUNCTION("IFERROR(VLOOKUP(D1067,
IMPORTRANGE(""https://docs.google.com/spreadsheets/d/1MjHtlUikwobi2MaWJgy7tfLeBmhj1u-dRFRs_8GwSoA/edit#gid=0"",""Gestores Escolares!D7:J""),3,0),""VERIFICAR CÓD SEC"")"),"EDVAN PEDREIRA DE OLIVEIRA")</f>
        <v>EDVAN PEDREIRA DE OLIVEIRA</v>
      </c>
      <c r="N1067" s="82" t="str">
        <f>IFERROR(__xludf.DUMMYFUNCTION("IFERROR(VLOOKUP(D1067,
IMPORTRANGE(""https://docs.google.com/spreadsheets/d/1MjHtlUikwobi2MaWJgy7tfLeBmhj1u-dRFRs_8GwSoA/edit#gid=0"",""Gestores Escolares!D7:J""),4,0),""VERIFICAR CÓD SEC"")"),"(75) 9 8287-1581/9 9131-8398")</f>
        <v>(75) 9 8287-1581/9 9131-8398</v>
      </c>
      <c r="O1067" s="82" t="str">
        <f>IFERROR(__xludf.DUMMYFUNCTION("IFERROR(VLOOKUP(D1067,
IMPORTRANGE(""https://docs.google.com/spreadsheets/d/1MjHtlUikwobi2MaWJgy7tfLeBmhj1u-dRFRs_8GwSoA/edit#gid=0"",""Gestores Escolares!D7:J""),6,0),""VERIFICAR CÓD SEC"")"),"DAGMAR RIBEIRO DUARTE")</f>
        <v>DAGMAR RIBEIRO DUARTE</v>
      </c>
      <c r="P1067" s="82" t="str">
        <f>IFERROR(__xludf.DUMMYFUNCTION("IFERROR(VLOOKUP(D1067,
IMPORTRANGE(""https://docs.google.com/spreadsheets/d/1MjHtlUikwobi2MaWJgy7tfLeBmhj1u-dRFRs_8GwSoA/edit#gid=0"",""Gestores Escolares!D7:J""),7,0),""VERIFICAR CÓD SEC"")"),"(75) 9 8846-0047")</f>
        <v>(75) 9 8846-0047</v>
      </c>
      <c r="Q1067" s="82" t="str">
        <f>IFERROR(__xludf.DUMMYFUNCTION("IFERROR(VLOOKUP(D1067,
IMPORTRANGE(""https://docs.google.com/spreadsheets/d/1MjHtlUikwobi2MaWJgy7tfLeBmhj1u-dRFRs_8GwSoA/edit#gid=0"",""Gestores Escolares!D7:m""),9,0),""VERIFICAR CÓD SEC"")"),"ROSANE BOAVENTURA DE ALMEIDA")</f>
        <v>ROSANE BOAVENTURA DE ALMEIDA</v>
      </c>
      <c r="R1067" s="82" t="str">
        <f>IFERROR(__xludf.DUMMYFUNCTION("IFERROR(VLOOKUP(D1067,
IMPORTRANGE(""https://docs.google.com/spreadsheets/d/1MjHtlUikwobi2MaWJgy7tfLeBmhj1u-dRFRs_8GwSoA/edit#gid=0"",""Gestores Escolares!D7:m""),10,0),""VERIFICAR CÓD SEC"")"),"(75) 9 9199-6607")</f>
        <v>(75) 9 9199-6607</v>
      </c>
      <c r="S1067" s="82"/>
      <c r="T1067" s="138">
        <v>22.0</v>
      </c>
      <c r="U1067" s="145">
        <v>22.0</v>
      </c>
      <c r="V1067" s="106">
        <v>0.0</v>
      </c>
      <c r="W1067" s="107">
        <v>0.0</v>
      </c>
      <c r="X1067" s="107">
        <v>0.0</v>
      </c>
      <c r="Y1067" s="107">
        <v>0.0</v>
      </c>
      <c r="Z1067" s="80">
        <f t="shared" si="1"/>
        <v>0</v>
      </c>
      <c r="AA1067" s="106">
        <v>0.0</v>
      </c>
      <c r="AB1067" s="107">
        <v>0.0</v>
      </c>
      <c r="AC1067" s="107">
        <v>0.0</v>
      </c>
      <c r="AD1067" s="107">
        <v>0.0</v>
      </c>
      <c r="AE1067" s="80">
        <f t="shared" si="2"/>
        <v>0</v>
      </c>
      <c r="AF1067" s="505">
        <v>0.0</v>
      </c>
      <c r="AG1067" s="222">
        <v>0.0</v>
      </c>
      <c r="AH1067" s="222">
        <v>0.0</v>
      </c>
      <c r="AI1067" s="222">
        <v>518.0</v>
      </c>
      <c r="AJ1067" s="80">
        <f t="shared" si="3"/>
        <v>518</v>
      </c>
      <c r="AK1067" s="505">
        <v>0.0</v>
      </c>
      <c r="AL1067" s="222">
        <v>0.0</v>
      </c>
      <c r="AM1067" s="222">
        <v>0.0</v>
      </c>
      <c r="AN1067" s="80">
        <f t="shared" si="4"/>
        <v>0</v>
      </c>
      <c r="AO1067" s="505">
        <v>0.0</v>
      </c>
      <c r="AP1067" s="222">
        <v>0.0</v>
      </c>
      <c r="AQ1067" s="222">
        <v>125.0</v>
      </c>
      <c r="AR1067" s="80">
        <f t="shared" si="5"/>
        <v>125</v>
      </c>
      <c r="AS1067" s="620">
        <v>0.0</v>
      </c>
      <c r="AT1067" s="621">
        <v>0.0</v>
      </c>
      <c r="AU1067" s="621">
        <v>337.0</v>
      </c>
      <c r="AV1067" s="621">
        <v>21.0</v>
      </c>
      <c r="AW1067" s="80">
        <f t="shared" si="6"/>
        <v>358</v>
      </c>
      <c r="AX1067" s="113">
        <f t="shared" si="7"/>
        <v>1001</v>
      </c>
      <c r="AY1067" s="117">
        <f t="shared" si="8"/>
        <v>539</v>
      </c>
      <c r="AZ1067" s="120">
        <f t="shared" si="9"/>
        <v>462</v>
      </c>
      <c r="BA1067" s="115">
        <v>0.0</v>
      </c>
      <c r="BB1067" s="89">
        <f t="shared" si="10"/>
        <v>1001</v>
      </c>
      <c r="BC1067" s="132" t="s">
        <v>178</v>
      </c>
      <c r="BD1067" s="132" t="s">
        <v>178</v>
      </c>
      <c r="BE1067" s="132" t="s">
        <v>178</v>
      </c>
      <c r="BF1067" s="156"/>
      <c r="BG1067" s="83">
        <v>1176423.0</v>
      </c>
      <c r="BH1067" s="98"/>
      <c r="BI1067" s="98">
        <v>22.0</v>
      </c>
      <c r="BJ1067" s="98" t="s">
        <v>155</v>
      </c>
      <c r="BK1067" s="99">
        <f t="shared" si="11"/>
        <v>539</v>
      </c>
      <c r="BL1067" s="99">
        <f t="shared" si="12"/>
        <v>0</v>
      </c>
      <c r="BM1067" s="99" t="str">
        <f>IFERROR(__xludf.DUMMYFUNCTION("IFERROR(VLOOKUP(BG1067,IMPORTRANGE(""https://docs.google.com/spreadsheets/d/1juPI-Fb8LD0YtltB2mlGEnp_R3UVu1t3wSFPzgCyHXE/edit?gid=0#gid=0"",""GERAL!A2:C""),3,0),""-"")"),"-")</f>
        <v>-</v>
      </c>
    </row>
    <row r="1068" ht="15.75" customHeight="1">
      <c r="A1068" s="111" t="s">
        <v>1335</v>
      </c>
      <c r="B1068" s="83" t="s">
        <v>2050</v>
      </c>
      <c r="C1068" s="83" t="s">
        <v>68</v>
      </c>
      <c r="D1068" s="112">
        <v>1106084.0</v>
      </c>
      <c r="E1068" s="83"/>
      <c r="F1068" s="83">
        <v>2.909519E7</v>
      </c>
      <c r="G1068" s="114" t="s">
        <v>5764</v>
      </c>
      <c r="H1068" s="91" t="s">
        <v>5765</v>
      </c>
      <c r="I1068" s="83" t="s">
        <v>5766</v>
      </c>
      <c r="J1068" s="83" t="s">
        <v>150</v>
      </c>
      <c r="K1068" s="83" t="s">
        <v>5767</v>
      </c>
      <c r="L1068" s="83" t="s">
        <v>152</v>
      </c>
      <c r="M1068" s="82" t="str">
        <f>IFERROR(__xludf.DUMMYFUNCTION("IFERROR(VLOOKUP(D1068,
IMPORTRANGE(""https://docs.google.com/spreadsheets/d/1MjHtlUikwobi2MaWJgy7tfLeBmhj1u-dRFRs_8GwSoA/edit#gid=0"",""Gestores Escolares!D7:J""),3,0),""VERIFICAR CÓD SEC"")"),"JOAO PEDRO DE OLIVEIRA FILHO")</f>
        <v>JOAO PEDRO DE OLIVEIRA FILHO</v>
      </c>
      <c r="N1068" s="82" t="str">
        <f>IFERROR(__xludf.DUMMYFUNCTION("IFERROR(VLOOKUP(D1068,
IMPORTRANGE(""https://docs.google.com/spreadsheets/d/1MjHtlUikwobi2MaWJgy7tfLeBmhj1u-dRFRs_8GwSoA/edit#gid=0"",""Gestores Escolares!D7:J""),4,0),""VERIFICAR CÓD SEC"")"),"(75) 9 9124-5964")</f>
        <v>(75) 9 9124-5964</v>
      </c>
      <c r="O1068" s="82" t="str">
        <f>IFERROR(__xludf.DUMMYFUNCTION("IFERROR(VLOOKUP(D1068,
IMPORTRANGE(""https://docs.google.com/spreadsheets/d/1MjHtlUikwobi2MaWJgy7tfLeBmhj1u-dRFRs_8GwSoA/edit#gid=0"",""Gestores Escolares!D7:J""),6,0),""VERIFICAR CÓD SEC"")"),"SILVIA DE SANTANA BORGES")</f>
        <v>SILVIA DE SANTANA BORGES</v>
      </c>
      <c r="P1068" s="82" t="str">
        <f>IFERROR(__xludf.DUMMYFUNCTION("IFERROR(VLOOKUP(D1068,
IMPORTRANGE(""https://docs.google.com/spreadsheets/d/1MjHtlUikwobi2MaWJgy7tfLeBmhj1u-dRFRs_8GwSoA/edit#gid=0"",""Gestores Escolares!D7:J""),7,0),""VERIFICAR CÓD SEC"")"),"(75) 9 8880-1890")</f>
        <v>(75) 9 8880-1890</v>
      </c>
      <c r="Q1068" s="82" t="str">
        <f>IFERROR(__xludf.DUMMYFUNCTION("IFERROR(VLOOKUP(D1068,
IMPORTRANGE(""https://docs.google.com/spreadsheets/d/1MjHtlUikwobi2MaWJgy7tfLeBmhj1u-dRFRs_8GwSoA/edit#gid=0"",""Gestores Escolares!D7:m""),9,0),""VERIFICAR CÓD SEC"")"),"ANTONIO MATHEUS CARVALHO ARAUJO")</f>
        <v>ANTONIO MATHEUS CARVALHO ARAUJO</v>
      </c>
      <c r="R1068" s="82" t="str">
        <f>IFERROR(__xludf.DUMMYFUNCTION("IFERROR(VLOOKUP(D1068,
IMPORTRANGE(""https://docs.google.com/spreadsheets/d/1MjHtlUikwobi2MaWJgy7tfLeBmhj1u-dRFRs_8GwSoA/edit#gid=0"",""Gestores Escolares!D7:m""),10,0),""VERIFICAR CÓD SEC"")"),"(75) 9 8337-1771")</f>
        <v>(75) 9 8337-1771</v>
      </c>
      <c r="S1068" s="82"/>
      <c r="T1068" s="138">
        <v>12.0</v>
      </c>
      <c r="U1068" s="145">
        <v>12.0</v>
      </c>
      <c r="V1068" s="106">
        <v>0.0</v>
      </c>
      <c r="W1068" s="107">
        <v>0.0</v>
      </c>
      <c r="X1068" s="107">
        <v>0.0</v>
      </c>
      <c r="Y1068" s="107">
        <v>0.0</v>
      </c>
      <c r="Z1068" s="80">
        <f t="shared" si="1"/>
        <v>0</v>
      </c>
      <c r="AA1068" s="106">
        <v>0.0</v>
      </c>
      <c r="AB1068" s="107">
        <v>154.0</v>
      </c>
      <c r="AC1068" s="107">
        <v>0.0</v>
      </c>
      <c r="AD1068" s="107">
        <v>0.0</v>
      </c>
      <c r="AE1068" s="80">
        <f t="shared" si="2"/>
        <v>154</v>
      </c>
      <c r="AF1068" s="140">
        <v>237.0</v>
      </c>
      <c r="AG1068" s="109">
        <v>112.0</v>
      </c>
      <c r="AH1068" s="109">
        <v>0.0</v>
      </c>
      <c r="AI1068" s="141">
        <v>0.0</v>
      </c>
      <c r="AJ1068" s="80">
        <f t="shared" si="3"/>
        <v>349</v>
      </c>
      <c r="AK1068" s="140">
        <v>0.0</v>
      </c>
      <c r="AL1068" s="109">
        <v>0.0</v>
      </c>
      <c r="AM1068" s="141">
        <v>0.0</v>
      </c>
      <c r="AN1068" s="80">
        <f t="shared" si="4"/>
        <v>0</v>
      </c>
      <c r="AO1068" s="140">
        <v>0.0</v>
      </c>
      <c r="AP1068" s="109">
        <v>0.0</v>
      </c>
      <c r="AQ1068" s="109">
        <v>78.0</v>
      </c>
      <c r="AR1068" s="80">
        <f t="shared" si="5"/>
        <v>78</v>
      </c>
      <c r="AS1068" s="110">
        <v>22.0</v>
      </c>
      <c r="AT1068" s="110">
        <v>0.0</v>
      </c>
      <c r="AU1068" s="110">
        <v>59.0</v>
      </c>
      <c r="AV1068" s="142">
        <v>0.0</v>
      </c>
      <c r="AW1068" s="80">
        <f t="shared" si="6"/>
        <v>81</v>
      </c>
      <c r="AX1068" s="113">
        <f t="shared" si="7"/>
        <v>662</v>
      </c>
      <c r="AY1068" s="117">
        <f t="shared" si="8"/>
        <v>525</v>
      </c>
      <c r="AZ1068" s="120">
        <f t="shared" si="9"/>
        <v>137</v>
      </c>
      <c r="BA1068" s="115">
        <v>0.0</v>
      </c>
      <c r="BB1068" s="89">
        <f t="shared" si="10"/>
        <v>662</v>
      </c>
      <c r="BC1068" s="132" t="s">
        <v>178</v>
      </c>
      <c r="BD1068" s="132" t="s">
        <v>178</v>
      </c>
      <c r="BE1068" s="132" t="s">
        <v>178</v>
      </c>
      <c r="BF1068" s="123"/>
      <c r="BG1068" s="83">
        <v>1106084.0</v>
      </c>
      <c r="BH1068" s="98"/>
      <c r="BI1068" s="98">
        <v>12.0</v>
      </c>
      <c r="BJ1068" s="98" t="s">
        <v>155</v>
      </c>
      <c r="BK1068" s="99">
        <f t="shared" si="11"/>
        <v>0</v>
      </c>
      <c r="BL1068" s="99">
        <f t="shared" si="12"/>
        <v>525</v>
      </c>
      <c r="BM1068" s="99" t="str">
        <f>IFERROR(__xludf.DUMMYFUNCTION("IFERROR(VLOOKUP(BG1068,IMPORTRANGE(""https://docs.google.com/spreadsheets/d/1juPI-Fb8LD0YtltB2mlGEnp_R3UVu1t3wSFPzgCyHXE/edit?gid=0#gid=0"",""GERAL!A2:C""),3,0),""-"")"),"-")</f>
        <v>-</v>
      </c>
    </row>
    <row r="1069" ht="15.75" customHeight="1">
      <c r="A1069" s="111" t="s">
        <v>1335</v>
      </c>
      <c r="B1069" s="83" t="s">
        <v>2050</v>
      </c>
      <c r="C1069" s="83" t="s">
        <v>68</v>
      </c>
      <c r="D1069" s="112">
        <v>1142242.0</v>
      </c>
      <c r="E1069" s="83"/>
      <c r="F1069" s="83">
        <v>2.9097665E7</v>
      </c>
      <c r="G1069" s="114" t="s">
        <v>5770</v>
      </c>
      <c r="H1069" s="91" t="s">
        <v>5771</v>
      </c>
      <c r="I1069" s="83" t="s">
        <v>5772</v>
      </c>
      <c r="J1069" s="83" t="s">
        <v>150</v>
      </c>
      <c r="K1069" s="83" t="s">
        <v>151</v>
      </c>
      <c r="L1069" s="83" t="s">
        <v>230</v>
      </c>
      <c r="M1069" s="82" t="str">
        <f>IFERROR(__xludf.DUMMYFUNCTION("IFERROR(VLOOKUP(D1069,
IMPORTRANGE(""https://docs.google.com/spreadsheets/d/1MjHtlUikwobi2MaWJgy7tfLeBmhj1u-dRFRs_8GwSoA/edit#gid=0"",""Gestores Escolares!D7:J""),3,0),""VERIFICAR CÓD SEC"")"),"RAFAELA GIOVANA LIMA SANTANA DE ARAUJO")</f>
        <v>RAFAELA GIOVANA LIMA SANTANA DE ARAUJO</v>
      </c>
      <c r="N1069" s="82" t="str">
        <f>IFERROR(__xludf.DUMMYFUNCTION("IFERROR(VLOOKUP(D1069,
IMPORTRANGE(""https://docs.google.com/spreadsheets/d/1MjHtlUikwobi2MaWJgy7tfLeBmhj1u-dRFRs_8GwSoA/edit#gid=0"",""Gestores Escolares!D7:J""),4,0),""VERIFICAR CÓD SEC"")")," (75) 9 9135-9145")</f>
        <v> (75) 9 9135-9145</v>
      </c>
      <c r="O1069" s="82" t="str">
        <f>IFERROR(__xludf.DUMMYFUNCTION("IFERROR(VLOOKUP(D1069,
IMPORTRANGE(""https://docs.google.com/spreadsheets/d/1MjHtlUikwobi2MaWJgy7tfLeBmhj1u-dRFRs_8GwSoA/edit#gid=0"",""Gestores Escolares!D7:J""),6,0),""VERIFICAR CÓD SEC"")"),"FABIANA SANTOS DE JESUS")</f>
        <v>FABIANA SANTOS DE JESUS</v>
      </c>
      <c r="P1069" s="82" t="str">
        <f>IFERROR(__xludf.DUMMYFUNCTION("IFERROR(VLOOKUP(D1069,
IMPORTRANGE(""https://docs.google.com/spreadsheets/d/1MjHtlUikwobi2MaWJgy7tfLeBmhj1u-dRFRs_8GwSoA/edit#gid=0"",""Gestores Escolares!D7:J""),7,0),""VERIFICAR CÓD SEC"")"),"(75) 9 9144-4416")</f>
        <v>(75) 9 9144-4416</v>
      </c>
      <c r="Q1069" s="82" t="str">
        <f>IFERROR(__xludf.DUMMYFUNCTION("IFERROR(VLOOKUP(D1069,
IMPORTRANGE(""https://docs.google.com/spreadsheets/d/1MjHtlUikwobi2MaWJgy7tfLeBmhj1u-dRFRs_8GwSoA/edit#gid=0"",""Gestores Escolares!D7:m""),9,0),""VERIFICAR CÓD SEC"")")," LUCIANA DE MACEDO MACARIO")</f>
        <v> LUCIANA DE MACEDO MACARIO</v>
      </c>
      <c r="R1069" s="82" t="str">
        <f>IFERROR(__xludf.DUMMYFUNCTION("IFERROR(VLOOKUP(D1069,
IMPORTRANGE(""https://docs.google.com/spreadsheets/d/1MjHtlUikwobi2MaWJgy7tfLeBmhj1u-dRFRs_8GwSoA/edit#gid=0"",""Gestores Escolares!D7:m""),10,0),""VERIFICAR CÓD SEC"")"),"(75) 9 9299-1766")</f>
        <v>(75) 9 9299-1766</v>
      </c>
      <c r="S1069" s="82"/>
      <c r="T1069" s="138">
        <v>16.0</v>
      </c>
      <c r="U1069" s="145">
        <v>16.0</v>
      </c>
      <c r="V1069" s="106">
        <v>0.0</v>
      </c>
      <c r="W1069" s="107">
        <v>0.0</v>
      </c>
      <c r="X1069" s="107">
        <v>0.0</v>
      </c>
      <c r="Y1069" s="107">
        <v>0.0</v>
      </c>
      <c r="Z1069" s="80">
        <f t="shared" si="1"/>
        <v>0</v>
      </c>
      <c r="AA1069" s="106">
        <v>0.0</v>
      </c>
      <c r="AB1069" s="107">
        <v>36.0</v>
      </c>
      <c r="AC1069" s="107">
        <v>0.0</v>
      </c>
      <c r="AD1069" s="107">
        <v>0.0</v>
      </c>
      <c r="AE1069" s="80">
        <f t="shared" si="2"/>
        <v>36</v>
      </c>
      <c r="AF1069" s="140">
        <v>0.0</v>
      </c>
      <c r="AG1069" s="109">
        <v>0.0</v>
      </c>
      <c r="AH1069" s="109">
        <v>0.0</v>
      </c>
      <c r="AI1069" s="141">
        <v>406.0</v>
      </c>
      <c r="AJ1069" s="80">
        <f t="shared" si="3"/>
        <v>406</v>
      </c>
      <c r="AK1069" s="140">
        <v>0.0</v>
      </c>
      <c r="AL1069" s="109">
        <v>0.0</v>
      </c>
      <c r="AM1069" s="141">
        <v>0.0</v>
      </c>
      <c r="AN1069" s="80">
        <f t="shared" si="4"/>
        <v>0</v>
      </c>
      <c r="AO1069" s="140">
        <v>0.0</v>
      </c>
      <c r="AP1069" s="109">
        <v>0.0</v>
      </c>
      <c r="AQ1069" s="109">
        <v>112.0</v>
      </c>
      <c r="AR1069" s="80">
        <f t="shared" si="5"/>
        <v>112</v>
      </c>
      <c r="AS1069" s="110">
        <v>59.0</v>
      </c>
      <c r="AT1069" s="110">
        <v>0.0</v>
      </c>
      <c r="AU1069" s="110">
        <v>91.0</v>
      </c>
      <c r="AV1069" s="142">
        <v>0.0</v>
      </c>
      <c r="AW1069" s="80">
        <f t="shared" si="6"/>
        <v>150</v>
      </c>
      <c r="AX1069" s="113">
        <f t="shared" si="7"/>
        <v>704</v>
      </c>
      <c r="AY1069" s="117">
        <f t="shared" si="8"/>
        <v>501</v>
      </c>
      <c r="AZ1069" s="120">
        <f t="shared" si="9"/>
        <v>203</v>
      </c>
      <c r="BA1069" s="115">
        <v>0.0</v>
      </c>
      <c r="BB1069" s="89">
        <f t="shared" si="10"/>
        <v>704</v>
      </c>
      <c r="BC1069" s="132" t="s">
        <v>178</v>
      </c>
      <c r="BD1069" s="132" t="s">
        <v>178</v>
      </c>
      <c r="BE1069" s="132" t="s">
        <v>178</v>
      </c>
      <c r="BF1069" s="156"/>
      <c r="BG1069" s="83">
        <v>1142242.0</v>
      </c>
      <c r="BH1069" s="112"/>
      <c r="BI1069" s="112">
        <v>16.0</v>
      </c>
      <c r="BJ1069" s="98" t="s">
        <v>155</v>
      </c>
      <c r="BK1069" s="99">
        <f t="shared" si="11"/>
        <v>406</v>
      </c>
      <c r="BL1069" s="99">
        <f t="shared" si="12"/>
        <v>95</v>
      </c>
      <c r="BM1069" s="99" t="str">
        <f>IFERROR(__xludf.DUMMYFUNCTION("IFERROR(VLOOKUP(BG1069,IMPORTRANGE(""https://docs.google.com/spreadsheets/d/1juPI-Fb8LD0YtltB2mlGEnp_R3UVu1t3wSFPzgCyHXE/edit?gid=0#gid=0"",""GERAL!A2:C""),3,0),""-"")"),"-")</f>
        <v>-</v>
      </c>
    </row>
    <row r="1070" ht="15.75" customHeight="1">
      <c r="A1070" s="111" t="s">
        <v>1335</v>
      </c>
      <c r="B1070" s="83" t="s">
        <v>2050</v>
      </c>
      <c r="C1070" s="83" t="s">
        <v>68</v>
      </c>
      <c r="D1070" s="112">
        <v>1106220.0</v>
      </c>
      <c r="E1070" s="83"/>
      <c r="F1070" s="83">
        <v>2.9094216E7</v>
      </c>
      <c r="G1070" s="114" t="s">
        <v>5781</v>
      </c>
      <c r="H1070" s="108" t="s">
        <v>13823</v>
      </c>
      <c r="I1070" s="98" t="s">
        <v>13824</v>
      </c>
      <c r="J1070" s="83" t="s">
        <v>150</v>
      </c>
      <c r="K1070" s="98" t="s">
        <v>151</v>
      </c>
      <c r="L1070" s="83" t="s">
        <v>152</v>
      </c>
      <c r="M1070" s="82" t="str">
        <f>IFERROR(__xludf.DUMMYFUNCTION("IFERROR(VLOOKUP(D1070,
IMPORTRANGE(""https://docs.google.com/spreadsheets/d/1MjHtlUikwobi2MaWJgy7tfLeBmhj1u-dRFRs_8GwSoA/edit#gid=0"",""Gestores Escolares!D7:J""),3,0),""VERIFICAR CÓD SEC"")"),"ANA CLAUDIA SILVA DE OLIVEIRA")</f>
        <v>ANA CLAUDIA SILVA DE OLIVEIRA</v>
      </c>
      <c r="N1070" s="82" t="str">
        <f>IFERROR(__xludf.DUMMYFUNCTION("IFERROR(VLOOKUP(D1070,
IMPORTRANGE(""https://docs.google.com/spreadsheets/d/1MjHtlUikwobi2MaWJgy7tfLeBmhj1u-dRFRs_8GwSoA/edit#gid=0"",""Gestores Escolares!D7:J""),4,0),""VERIFICAR CÓD SEC"")"),"(75) 9 8348-3848")</f>
        <v>(75) 9 8348-3848</v>
      </c>
      <c r="O1070" s="82" t="str">
        <f>IFERROR(__xludf.DUMMYFUNCTION("IFERROR(VLOOKUP(D1070,
IMPORTRANGE(""https://docs.google.com/spreadsheets/d/1MjHtlUikwobi2MaWJgy7tfLeBmhj1u-dRFRs_8GwSoA/edit#gid=0"",""Gestores Escolares!D7:J""),6,0),""VERIFICAR CÓD SEC"")"),"FABIO SANTOS DE OLIVEIRA ")</f>
        <v>FABIO SANTOS DE OLIVEIRA </v>
      </c>
      <c r="P1070" s="82" t="str">
        <f>IFERROR(__xludf.DUMMYFUNCTION("IFERROR(VLOOKUP(D1070,
IMPORTRANGE(""https://docs.google.com/spreadsheets/d/1MjHtlUikwobi2MaWJgy7tfLeBmhj1u-dRFRs_8GwSoA/edit#gid=0"",""Gestores Escolares!D7:J""),7,0),""VERIFICAR CÓD SEC"")"),"(75) 9 8818-7240")</f>
        <v>(75) 9 8818-7240</v>
      </c>
      <c r="Q1070" s="82" t="str">
        <f>IFERROR(__xludf.DUMMYFUNCTION("IFERROR(VLOOKUP(D1070,
IMPORTRANGE(""https://docs.google.com/spreadsheets/d/1MjHtlUikwobi2MaWJgy7tfLeBmhj1u-dRFRs_8GwSoA/edit#gid=0"",""Gestores Escolares!D7:m""),9,0),""VERIFICAR CÓD SEC"")"),"SIMONE CARVALHO DE ARAUJO")</f>
        <v>SIMONE CARVALHO DE ARAUJO</v>
      </c>
      <c r="R1070" s="82" t="str">
        <f>IFERROR(__xludf.DUMMYFUNCTION("IFERROR(VLOOKUP(D1070,
IMPORTRANGE(""https://docs.google.com/spreadsheets/d/1MjHtlUikwobi2MaWJgy7tfLeBmhj1u-dRFRs_8GwSoA/edit#gid=0"",""Gestores Escolares!D7:m""),10,0),""VERIFICAR CÓD SEC"")"),"(75) 9 8884-2210")</f>
        <v>(75) 9 8884-2210</v>
      </c>
      <c r="S1070" s="82"/>
      <c r="T1070" s="138">
        <v>15.0</v>
      </c>
      <c r="U1070" s="388">
        <v>15.0</v>
      </c>
      <c r="V1070" s="106">
        <v>0.0</v>
      </c>
      <c r="W1070" s="107">
        <v>0.0</v>
      </c>
      <c r="X1070" s="107">
        <v>0.0</v>
      </c>
      <c r="Y1070" s="107">
        <v>0.0</v>
      </c>
      <c r="Z1070" s="80">
        <f t="shared" si="1"/>
        <v>0</v>
      </c>
      <c r="AA1070" s="106">
        <v>158.0</v>
      </c>
      <c r="AB1070" s="107">
        <v>138.0</v>
      </c>
      <c r="AC1070" s="107">
        <v>0.0</v>
      </c>
      <c r="AD1070" s="107">
        <v>0.0</v>
      </c>
      <c r="AE1070" s="80">
        <f t="shared" si="2"/>
        <v>296</v>
      </c>
      <c r="AF1070" s="140">
        <v>233.0</v>
      </c>
      <c r="AG1070" s="109">
        <v>136.0</v>
      </c>
      <c r="AH1070" s="109">
        <v>0.0</v>
      </c>
      <c r="AI1070" s="141">
        <v>0.0</v>
      </c>
      <c r="AJ1070" s="80">
        <f t="shared" si="3"/>
        <v>369</v>
      </c>
      <c r="AK1070" s="140">
        <v>0.0</v>
      </c>
      <c r="AL1070" s="109">
        <v>0.0</v>
      </c>
      <c r="AM1070" s="141">
        <v>0.0</v>
      </c>
      <c r="AN1070" s="80">
        <f t="shared" si="4"/>
        <v>0</v>
      </c>
      <c r="AO1070" s="140">
        <v>0.0</v>
      </c>
      <c r="AP1070" s="109">
        <v>0.0</v>
      </c>
      <c r="AQ1070" s="109">
        <v>35.0</v>
      </c>
      <c r="AR1070" s="80">
        <f t="shared" si="5"/>
        <v>35</v>
      </c>
      <c r="AS1070" s="110">
        <v>82.0</v>
      </c>
      <c r="AT1070" s="110">
        <v>16.0</v>
      </c>
      <c r="AU1070" s="110">
        <v>100.0</v>
      </c>
      <c r="AV1070" s="142">
        <v>0.0</v>
      </c>
      <c r="AW1070" s="80">
        <f t="shared" si="6"/>
        <v>198</v>
      </c>
      <c r="AX1070" s="113">
        <f t="shared" si="7"/>
        <v>898</v>
      </c>
      <c r="AY1070" s="117">
        <f t="shared" si="8"/>
        <v>763</v>
      </c>
      <c r="AZ1070" s="120">
        <f t="shared" si="9"/>
        <v>135</v>
      </c>
      <c r="BA1070" s="115">
        <v>0.0</v>
      </c>
      <c r="BB1070" s="89">
        <f t="shared" si="10"/>
        <v>898</v>
      </c>
      <c r="BC1070" s="132" t="s">
        <v>178</v>
      </c>
      <c r="BD1070" s="132" t="s">
        <v>178</v>
      </c>
      <c r="BE1070" s="132" t="s">
        <v>178</v>
      </c>
      <c r="BF1070" s="123"/>
      <c r="BG1070" s="83">
        <v>1106220.0</v>
      </c>
      <c r="BH1070" s="112"/>
      <c r="BI1070" s="112">
        <v>15.0</v>
      </c>
      <c r="BJ1070" s="98" t="s">
        <v>155</v>
      </c>
      <c r="BK1070" s="99">
        <f t="shared" si="11"/>
        <v>0</v>
      </c>
      <c r="BL1070" s="99">
        <f t="shared" si="12"/>
        <v>763</v>
      </c>
      <c r="BM1070" s="99" t="str">
        <f>IFERROR(__xludf.DUMMYFUNCTION("IFERROR(VLOOKUP(BG1070,IMPORTRANGE(""https://docs.google.com/spreadsheets/d/1juPI-Fb8LD0YtltB2mlGEnp_R3UVu1t3wSFPzgCyHXE/edit?gid=0#gid=0"",""GERAL!A2:C""),3,0),""-"")"),"-")</f>
        <v>-</v>
      </c>
    </row>
    <row r="1071" ht="15.75" customHeight="1">
      <c r="A1071" s="111" t="s">
        <v>1335</v>
      </c>
      <c r="B1071" s="83" t="s">
        <v>2050</v>
      </c>
      <c r="C1071" s="83" t="s">
        <v>68</v>
      </c>
      <c r="D1071" s="112">
        <v>1106556.0</v>
      </c>
      <c r="E1071" s="83"/>
      <c r="F1071" s="83">
        <v>2.9094798E7</v>
      </c>
      <c r="G1071" s="114" t="s">
        <v>5786</v>
      </c>
      <c r="H1071" s="91" t="s">
        <v>5788</v>
      </c>
      <c r="I1071" s="83" t="s">
        <v>5783</v>
      </c>
      <c r="J1071" s="83" t="s">
        <v>150</v>
      </c>
      <c r="K1071" s="83" t="s">
        <v>5791</v>
      </c>
      <c r="L1071" s="83" t="s">
        <v>76</v>
      </c>
      <c r="M1071" s="82" t="str">
        <f>IFERROR(__xludf.DUMMYFUNCTION("IFERROR(VLOOKUP(D1071,
IMPORTRANGE(""https://docs.google.com/spreadsheets/d/1MjHtlUikwobi2MaWJgy7tfLeBmhj1u-dRFRs_8GwSoA/edit#gid=0"",""Gestores Escolares!D7:J""),3,0),""VERIFICAR CÓD SEC"")"),"ADAUTO DAMIAO DOS SANTOS")</f>
        <v>ADAUTO DAMIAO DOS SANTOS</v>
      </c>
      <c r="N1071" s="82" t="str">
        <f>IFERROR(__xludf.DUMMYFUNCTION("IFERROR(VLOOKUP(D1071,
IMPORTRANGE(""https://docs.google.com/spreadsheets/d/1MjHtlUikwobi2MaWJgy7tfLeBmhj1u-dRFRs_8GwSoA/edit#gid=0"",""Gestores Escolares!D7:J""),4,0),""VERIFICAR CÓD SEC"")"),"(75) 9 8887-2604")</f>
        <v>(75) 9 8887-2604</v>
      </c>
      <c r="O1071" s="82" t="str">
        <f>IFERROR(__xludf.DUMMYFUNCTION("IFERROR(VLOOKUP(D1071,
IMPORTRANGE(""https://docs.google.com/spreadsheets/d/1MjHtlUikwobi2MaWJgy7tfLeBmhj1u-dRFRs_8GwSoA/edit#gid=0"",""Gestores Escolares!D7:J""),6,0),""VERIFICAR CÓD SEC"")"),"GLEICE KELI BARBOSA SOUZA")</f>
        <v>GLEICE KELI BARBOSA SOUZA</v>
      </c>
      <c r="P1071" s="82" t="str">
        <f>IFERROR(__xludf.DUMMYFUNCTION("IFERROR(VLOOKUP(D1071,
IMPORTRANGE(""https://docs.google.com/spreadsheets/d/1MjHtlUikwobi2MaWJgy7tfLeBmhj1u-dRFRs_8GwSoA/edit#gid=0"",""Gestores Escolares!D7:J""),7,0),""VERIFICAR CÓD SEC"")"),"(75) 9 8109-7581")</f>
        <v>(75) 9 8109-7581</v>
      </c>
      <c r="Q1071" s="82" t="str">
        <f>IFERROR(__xludf.DUMMYFUNCTION("IFERROR(VLOOKUP(D1071,
IMPORTRANGE(""https://docs.google.com/spreadsheets/d/1MjHtlUikwobi2MaWJgy7tfLeBmhj1u-dRFRs_8GwSoA/edit#gid=0"",""Gestores Escolares!D7:m""),9,0),""VERIFICAR CÓD SEC"")"),"")</f>
        <v/>
      </c>
      <c r="R1071" s="82" t="str">
        <f>IFERROR(__xludf.DUMMYFUNCTION("IFERROR(VLOOKUP(D1071,
IMPORTRANGE(""https://docs.google.com/spreadsheets/d/1MjHtlUikwobi2MaWJgy7tfLeBmhj1u-dRFRs_8GwSoA/edit#gid=0"",""Gestores Escolares!D7:m""),10,0),""VERIFICAR CÓD SEC"")"),"")</f>
        <v/>
      </c>
      <c r="S1071" s="82"/>
      <c r="T1071" s="138">
        <v>7.0</v>
      </c>
      <c r="U1071" s="145">
        <v>7.0</v>
      </c>
      <c r="V1071" s="106">
        <v>0.0</v>
      </c>
      <c r="W1071" s="107">
        <v>0.0</v>
      </c>
      <c r="X1071" s="107">
        <v>0.0</v>
      </c>
      <c r="Y1071" s="107">
        <v>0.0</v>
      </c>
      <c r="Z1071" s="80">
        <f t="shared" si="1"/>
        <v>0</v>
      </c>
      <c r="AA1071" s="106">
        <v>0.0</v>
      </c>
      <c r="AB1071" s="107">
        <v>0.0</v>
      </c>
      <c r="AC1071" s="107">
        <v>0.0</v>
      </c>
      <c r="AD1071" s="107">
        <v>0.0</v>
      </c>
      <c r="AE1071" s="80">
        <f t="shared" si="2"/>
        <v>0</v>
      </c>
      <c r="AF1071" s="140">
        <v>273.0</v>
      </c>
      <c r="AG1071" s="109">
        <v>259.0</v>
      </c>
      <c r="AH1071" s="109">
        <v>0.0</v>
      </c>
      <c r="AI1071" s="141">
        <v>0.0</v>
      </c>
      <c r="AJ1071" s="80">
        <f t="shared" si="3"/>
        <v>532</v>
      </c>
      <c r="AK1071" s="140">
        <v>0.0</v>
      </c>
      <c r="AL1071" s="109">
        <v>0.0</v>
      </c>
      <c r="AM1071" s="141">
        <v>0.0</v>
      </c>
      <c r="AN1071" s="80">
        <f t="shared" si="4"/>
        <v>0</v>
      </c>
      <c r="AO1071" s="140">
        <v>0.0</v>
      </c>
      <c r="AP1071" s="109">
        <v>0.0</v>
      </c>
      <c r="AQ1071" s="109">
        <v>0.0</v>
      </c>
      <c r="AR1071" s="80">
        <f t="shared" si="5"/>
        <v>0</v>
      </c>
      <c r="AS1071" s="110">
        <v>0.0</v>
      </c>
      <c r="AT1071" s="110">
        <v>0.0</v>
      </c>
      <c r="AU1071" s="110">
        <v>0.0</v>
      </c>
      <c r="AV1071" s="142">
        <v>0.0</v>
      </c>
      <c r="AW1071" s="80">
        <f t="shared" si="6"/>
        <v>0</v>
      </c>
      <c r="AX1071" s="113">
        <f t="shared" si="7"/>
        <v>532</v>
      </c>
      <c r="AY1071" s="117">
        <f t="shared" si="8"/>
        <v>532</v>
      </c>
      <c r="AZ1071" s="120">
        <f t="shared" si="9"/>
        <v>0</v>
      </c>
      <c r="BA1071" s="115">
        <v>0.0</v>
      </c>
      <c r="BB1071" s="89">
        <f t="shared" si="10"/>
        <v>532</v>
      </c>
      <c r="BC1071" s="132" t="s">
        <v>178</v>
      </c>
      <c r="BD1071" s="132" t="s">
        <v>178</v>
      </c>
      <c r="BE1071" s="132" t="s">
        <v>178</v>
      </c>
      <c r="BF1071" s="123"/>
      <c r="BG1071" s="83">
        <v>1106556.0</v>
      </c>
      <c r="BH1071" s="112"/>
      <c r="BI1071" s="112">
        <v>7.0</v>
      </c>
      <c r="BJ1071" s="98" t="s">
        <v>155</v>
      </c>
      <c r="BK1071" s="99">
        <f t="shared" si="11"/>
        <v>0</v>
      </c>
      <c r="BL1071" s="99">
        <f t="shared" si="12"/>
        <v>532</v>
      </c>
      <c r="BM1071" s="99" t="str">
        <f>IFERROR(__xludf.DUMMYFUNCTION("IFERROR(VLOOKUP(BG1071,IMPORTRANGE(""https://docs.google.com/spreadsheets/d/1juPI-Fb8LD0YtltB2mlGEnp_R3UVu1t3wSFPzgCyHXE/edit?gid=0#gid=0"",""GERAL!A2:C""),3,0),""-"")"),"-")</f>
        <v>-</v>
      </c>
    </row>
    <row r="1072" ht="15.75" customHeight="1">
      <c r="A1072" s="111" t="s">
        <v>1335</v>
      </c>
      <c r="B1072" s="83" t="s">
        <v>2050</v>
      </c>
      <c r="C1072" s="83" t="s">
        <v>68</v>
      </c>
      <c r="D1072" s="98">
        <v>1179826.0</v>
      </c>
      <c r="E1072" s="83"/>
      <c r="F1072" s="98">
        <v>2.9496926E7</v>
      </c>
      <c r="G1072" s="114" t="s">
        <v>5799</v>
      </c>
      <c r="H1072" s="108" t="s">
        <v>5801</v>
      </c>
      <c r="I1072" s="98" t="s">
        <v>5803</v>
      </c>
      <c r="J1072" s="83"/>
      <c r="K1072" s="83" t="s">
        <v>151</v>
      </c>
      <c r="L1072" s="98" t="s">
        <v>169</v>
      </c>
      <c r="M1072" s="82" t="str">
        <f>IFERROR(__xludf.DUMMYFUNCTION("IFERROR(VLOOKUP(D1072,
IMPORTRANGE(""https://docs.google.com/spreadsheets/d/1MjHtlUikwobi2MaWJgy7tfLeBmhj1u-dRFRs_8GwSoA/edit#gid=0"",""Gestores Escolares!D7:J""),3,0),""VERIFICAR CÓD SEC"")"),"RITALI VITORIA RABELO")</f>
        <v>RITALI VITORIA RABELO</v>
      </c>
      <c r="N1072" s="82" t="str">
        <f>IFERROR(__xludf.DUMMYFUNCTION("IFERROR(VLOOKUP(D1072,
IMPORTRANGE(""https://docs.google.com/spreadsheets/d/1MjHtlUikwobi2MaWJgy7tfLeBmhj1u-dRFRs_8GwSoA/edit#gid=0"",""Gestores Escolares!D7:J""),4,0),""VERIFICAR CÓD SEC"")"),"(75) 9 8116-5611")</f>
        <v>(75) 9 8116-5611</v>
      </c>
      <c r="O1072" s="82" t="str">
        <f>IFERROR(__xludf.DUMMYFUNCTION("IFERROR(VLOOKUP(D1072,
IMPORTRANGE(""https://docs.google.com/spreadsheets/d/1MjHtlUikwobi2MaWJgy7tfLeBmhj1u-dRFRs_8GwSoA/edit#gid=0"",""Gestores Escolares!D7:J""),6,0),""VERIFICAR CÓD SEC"")"),"LAIS FONSECA LIMA")</f>
        <v>LAIS FONSECA LIMA</v>
      </c>
      <c r="P1072" s="82" t="str">
        <f>IFERROR(__xludf.DUMMYFUNCTION("IFERROR(VLOOKUP(D1072,
IMPORTRANGE(""https://docs.google.com/spreadsheets/d/1MjHtlUikwobi2MaWJgy7tfLeBmhj1u-dRFRs_8GwSoA/edit#gid=0"",""Gestores Escolares!D7:J""),7,0),""VERIFICAR CÓD SEC"")"),"(75) 9 9910-4492")</f>
        <v>(75) 9 9910-4492</v>
      </c>
      <c r="Q1072" s="82" t="str">
        <f>IFERROR(__xludf.DUMMYFUNCTION("IFERROR(VLOOKUP(D1072,
IMPORTRANGE(""https://docs.google.com/spreadsheets/d/1MjHtlUikwobi2MaWJgy7tfLeBmhj1u-dRFRs_8GwSoA/edit#gid=0"",""Gestores Escolares!D7:m""),9,0),""VERIFICAR CÓD SEC"")"),"")</f>
        <v/>
      </c>
      <c r="R1072" s="82" t="str">
        <f>IFERROR(__xludf.DUMMYFUNCTION("IFERROR(VLOOKUP(D1072,
IMPORTRANGE(""https://docs.google.com/spreadsheets/d/1MjHtlUikwobi2MaWJgy7tfLeBmhj1u-dRFRs_8GwSoA/edit#gid=0"",""Gestores Escolares!D7:m""),10,0),""VERIFICAR CÓD SEC"")"),"")</f>
        <v/>
      </c>
      <c r="S1072" s="82"/>
      <c r="T1072" s="138"/>
      <c r="U1072" s="145"/>
      <c r="V1072" s="106">
        <v>0.0</v>
      </c>
      <c r="W1072" s="107">
        <v>0.0</v>
      </c>
      <c r="X1072" s="107">
        <v>0.0</v>
      </c>
      <c r="Y1072" s="107">
        <v>0.0</v>
      </c>
      <c r="Z1072" s="80">
        <f t="shared" si="1"/>
        <v>0</v>
      </c>
      <c r="AA1072" s="106">
        <v>0.0</v>
      </c>
      <c r="AB1072" s="107">
        <v>0.0</v>
      </c>
      <c r="AC1072" s="107">
        <v>0.0</v>
      </c>
      <c r="AD1072" s="107">
        <v>0.0</v>
      </c>
      <c r="AE1072" s="80">
        <f t="shared" si="2"/>
        <v>0</v>
      </c>
      <c r="AF1072" s="618">
        <v>113.0</v>
      </c>
      <c r="AG1072" s="216">
        <v>0.0</v>
      </c>
      <c r="AH1072" s="216">
        <v>0.0</v>
      </c>
      <c r="AI1072" s="622">
        <v>0.0</v>
      </c>
      <c r="AJ1072" s="80">
        <f t="shared" si="3"/>
        <v>113</v>
      </c>
      <c r="AK1072" s="618">
        <v>0.0</v>
      </c>
      <c r="AL1072" s="216">
        <v>0.0</v>
      </c>
      <c r="AM1072" s="622">
        <v>0.0</v>
      </c>
      <c r="AN1072" s="80">
        <f t="shared" si="4"/>
        <v>0</v>
      </c>
      <c r="AO1072" s="618">
        <v>0.0</v>
      </c>
      <c r="AP1072" s="216">
        <v>0.0</v>
      </c>
      <c r="AQ1072" s="216">
        <v>0.0</v>
      </c>
      <c r="AR1072" s="80">
        <f t="shared" si="5"/>
        <v>0</v>
      </c>
      <c r="AS1072" s="216">
        <v>0.0</v>
      </c>
      <c r="AT1072" s="216">
        <v>0.0</v>
      </c>
      <c r="AU1072" s="216">
        <v>14.0</v>
      </c>
      <c r="AV1072" s="623">
        <v>42.0</v>
      </c>
      <c r="AW1072" s="80">
        <f t="shared" si="6"/>
        <v>56</v>
      </c>
      <c r="AX1072" s="113">
        <f t="shared" si="7"/>
        <v>169</v>
      </c>
      <c r="AY1072" s="117">
        <f t="shared" si="8"/>
        <v>155</v>
      </c>
      <c r="AZ1072" s="120">
        <f t="shared" si="9"/>
        <v>14</v>
      </c>
      <c r="BA1072" s="115">
        <v>0.0</v>
      </c>
      <c r="BB1072" s="89">
        <f t="shared" si="10"/>
        <v>169</v>
      </c>
      <c r="BC1072" s="132"/>
      <c r="BD1072" s="132"/>
      <c r="BE1072" s="132"/>
      <c r="BF1072" s="123"/>
      <c r="BG1072" s="98">
        <v>1179826.0</v>
      </c>
      <c r="BH1072" s="98"/>
      <c r="BI1072" s="98"/>
      <c r="BJ1072" s="98"/>
      <c r="BK1072" s="99">
        <f t="shared" si="11"/>
        <v>42</v>
      </c>
      <c r="BL1072" s="99">
        <f t="shared" si="12"/>
        <v>113</v>
      </c>
      <c r="BM1072" s="99" t="str">
        <f>IFERROR(__xludf.DUMMYFUNCTION("IFERROR(VLOOKUP(BG1072,IMPORTRANGE(""https://docs.google.com/spreadsheets/d/1juPI-Fb8LD0YtltB2mlGEnp_R3UVu1t3wSFPzgCyHXE/edit?gid=0#gid=0"",""GERAL!A2:C""),3,0),""-"")"),"QUILOMBOLAS")</f>
        <v>QUILOMBOLAS</v>
      </c>
    </row>
    <row r="1073" ht="15.75" customHeight="1">
      <c r="A1073" s="111" t="s">
        <v>1335</v>
      </c>
      <c r="B1073" s="83" t="s">
        <v>2050</v>
      </c>
      <c r="C1073" s="83" t="s">
        <v>68</v>
      </c>
      <c r="D1073" s="112">
        <v>1106637.0</v>
      </c>
      <c r="E1073" s="83"/>
      <c r="F1073" s="83">
        <v>2.9095999E7</v>
      </c>
      <c r="G1073" s="119" t="s">
        <v>5807</v>
      </c>
      <c r="H1073" s="91" t="s">
        <v>5808</v>
      </c>
      <c r="I1073" s="83" t="s">
        <v>156</v>
      </c>
      <c r="J1073" s="83" t="s">
        <v>150</v>
      </c>
      <c r="K1073" s="83" t="s">
        <v>5791</v>
      </c>
      <c r="L1073" s="83" t="s">
        <v>76</v>
      </c>
      <c r="M1073" s="82" t="str">
        <f>IFERROR(__xludf.DUMMYFUNCTION("IFERROR(VLOOKUP(D1073,
IMPORTRANGE(""https://docs.google.com/spreadsheets/d/1MjHtlUikwobi2MaWJgy7tfLeBmhj1u-dRFRs_8GwSoA/edit#gid=0"",""Gestores Escolares!D7:J""),3,0),""VERIFICAR CÓD SEC"")"),"DEBORA FALCAO BATISTA DE OLIVEIRA")</f>
        <v>DEBORA FALCAO BATISTA DE OLIVEIRA</v>
      </c>
      <c r="N1073" s="82" t="str">
        <f>IFERROR(__xludf.DUMMYFUNCTION("IFERROR(VLOOKUP(D1073,
IMPORTRANGE(""https://docs.google.com/spreadsheets/d/1MjHtlUikwobi2MaWJgy7tfLeBmhj1u-dRFRs_8GwSoA/edit#gid=0"",""Gestores Escolares!D7:J""),4,0),""VERIFICAR CÓD SEC"")"),"(75) 9 8803-7083")</f>
        <v>(75) 9 8803-7083</v>
      </c>
      <c r="O1073" s="82" t="str">
        <f>IFERROR(__xludf.DUMMYFUNCTION("IFERROR(VLOOKUP(D1073,
IMPORTRANGE(""https://docs.google.com/spreadsheets/d/1MjHtlUikwobi2MaWJgy7tfLeBmhj1u-dRFRs_8GwSoA/edit#gid=0"",""Gestores Escolares!D7:J""),6,0),""VERIFICAR CÓD SEC"")"),"MARIA VALDECI DAS MERCES CARNEIRO")</f>
        <v>MARIA VALDECI DAS MERCES CARNEIRO</v>
      </c>
      <c r="P1073" s="82" t="str">
        <f>IFERROR(__xludf.DUMMYFUNCTION("IFERROR(VLOOKUP(D1073,
IMPORTRANGE(""https://docs.google.com/spreadsheets/d/1MjHtlUikwobi2MaWJgy7tfLeBmhj1u-dRFRs_8GwSoA/edit#gid=0"",""Gestores Escolares!D7:J""),7,0),""VERIFICAR CÓD SEC"")"),"(75) 9 8161-7320")</f>
        <v>(75) 9 8161-7320</v>
      </c>
      <c r="Q1073" s="82" t="str">
        <f>IFERROR(__xludf.DUMMYFUNCTION("IFERROR(VLOOKUP(D1073,
IMPORTRANGE(""https://docs.google.com/spreadsheets/d/1MjHtlUikwobi2MaWJgy7tfLeBmhj1u-dRFRs_8GwSoA/edit#gid=0"",""Gestores Escolares!D7:m""),9,0),""VERIFICAR CÓD SEC"")"),"")</f>
        <v/>
      </c>
      <c r="R1073" s="82" t="str">
        <f>IFERROR(__xludf.DUMMYFUNCTION("IFERROR(VLOOKUP(D1073,
IMPORTRANGE(""https://docs.google.com/spreadsheets/d/1MjHtlUikwobi2MaWJgy7tfLeBmhj1u-dRFRs_8GwSoA/edit#gid=0"",""Gestores Escolares!D7:m""),10,0),""VERIFICAR CÓD SEC"")"),"")</f>
        <v/>
      </c>
      <c r="S1073" s="82"/>
      <c r="T1073" s="138">
        <v>10.0</v>
      </c>
      <c r="U1073" s="145">
        <v>10.0</v>
      </c>
      <c r="V1073" s="106">
        <v>0.0</v>
      </c>
      <c r="W1073" s="107">
        <v>0.0</v>
      </c>
      <c r="X1073" s="107">
        <v>0.0</v>
      </c>
      <c r="Y1073" s="107">
        <v>0.0</v>
      </c>
      <c r="Z1073" s="80">
        <f t="shared" si="1"/>
        <v>0</v>
      </c>
      <c r="AA1073" s="106">
        <v>0.0</v>
      </c>
      <c r="AB1073" s="107">
        <v>0.0</v>
      </c>
      <c r="AC1073" s="107">
        <v>0.0</v>
      </c>
      <c r="AD1073" s="107">
        <v>0.0</v>
      </c>
      <c r="AE1073" s="80">
        <f t="shared" si="2"/>
        <v>0</v>
      </c>
      <c r="AF1073" s="140">
        <v>341.0</v>
      </c>
      <c r="AG1073" s="109">
        <v>85.0</v>
      </c>
      <c r="AH1073" s="109">
        <v>0.0</v>
      </c>
      <c r="AI1073" s="141">
        <v>0.0</v>
      </c>
      <c r="AJ1073" s="80">
        <f t="shared" si="3"/>
        <v>426</v>
      </c>
      <c r="AK1073" s="140">
        <v>0.0</v>
      </c>
      <c r="AL1073" s="109">
        <v>0.0</v>
      </c>
      <c r="AM1073" s="141">
        <v>0.0</v>
      </c>
      <c r="AN1073" s="80">
        <f t="shared" si="4"/>
        <v>0</v>
      </c>
      <c r="AO1073" s="140">
        <v>0.0</v>
      </c>
      <c r="AP1073" s="109">
        <v>0.0</v>
      </c>
      <c r="AQ1073" s="109">
        <v>0.0</v>
      </c>
      <c r="AR1073" s="80">
        <f t="shared" si="5"/>
        <v>0</v>
      </c>
      <c r="AS1073" s="110">
        <v>0.0</v>
      </c>
      <c r="AT1073" s="110">
        <v>0.0</v>
      </c>
      <c r="AU1073" s="110">
        <v>0.0</v>
      </c>
      <c r="AV1073" s="142">
        <v>0.0</v>
      </c>
      <c r="AW1073" s="80">
        <f t="shared" si="6"/>
        <v>0</v>
      </c>
      <c r="AX1073" s="113">
        <f t="shared" si="7"/>
        <v>426</v>
      </c>
      <c r="AY1073" s="117">
        <f t="shared" si="8"/>
        <v>426</v>
      </c>
      <c r="AZ1073" s="120">
        <f t="shared" si="9"/>
        <v>0</v>
      </c>
      <c r="BA1073" s="115">
        <v>0.0</v>
      </c>
      <c r="BB1073" s="89">
        <f t="shared" si="10"/>
        <v>426</v>
      </c>
      <c r="BC1073" s="132" t="s">
        <v>178</v>
      </c>
      <c r="BD1073" s="132" t="s">
        <v>178</v>
      </c>
      <c r="BE1073" s="132" t="s">
        <v>178</v>
      </c>
      <c r="BF1073" s="123"/>
      <c r="BG1073" s="83">
        <v>1106637.0</v>
      </c>
      <c r="BH1073" s="98"/>
      <c r="BI1073" s="98">
        <v>10.0</v>
      </c>
      <c r="BJ1073" s="98" t="s">
        <v>155</v>
      </c>
      <c r="BK1073" s="99">
        <f t="shared" si="11"/>
        <v>0</v>
      </c>
      <c r="BL1073" s="99">
        <f t="shared" si="12"/>
        <v>426</v>
      </c>
      <c r="BM1073" s="99" t="str">
        <f>IFERROR(__xludf.DUMMYFUNCTION("IFERROR(VLOOKUP(BG1073,IMPORTRANGE(""https://docs.google.com/spreadsheets/d/1juPI-Fb8LD0YtltB2mlGEnp_R3UVu1t3wSFPzgCyHXE/edit?gid=0#gid=0"",""GERAL!A2:C""),3,0),""-"")"),"-")</f>
        <v>-</v>
      </c>
    </row>
    <row r="1074" ht="15.75" customHeight="1">
      <c r="A1074" s="111" t="s">
        <v>1335</v>
      </c>
      <c r="B1074" s="83" t="s">
        <v>2050</v>
      </c>
      <c r="C1074" s="83" t="s">
        <v>68</v>
      </c>
      <c r="D1074" s="112">
        <v>1106289.0</v>
      </c>
      <c r="E1074" s="83"/>
      <c r="F1074" s="83">
        <v>2.909335E7</v>
      </c>
      <c r="G1074" s="114" t="s">
        <v>5815</v>
      </c>
      <c r="H1074" s="91" t="s">
        <v>5816</v>
      </c>
      <c r="I1074" s="83" t="s">
        <v>5817</v>
      </c>
      <c r="J1074" s="83" t="s">
        <v>150</v>
      </c>
      <c r="K1074" s="83" t="s">
        <v>151</v>
      </c>
      <c r="L1074" s="83" t="s">
        <v>152</v>
      </c>
      <c r="M1074" s="82" t="str">
        <f>IFERROR(__xludf.DUMMYFUNCTION("IFERROR(VLOOKUP(D1074,
IMPORTRANGE(""https://docs.google.com/spreadsheets/d/1MjHtlUikwobi2MaWJgy7tfLeBmhj1u-dRFRs_8GwSoA/edit#gid=0"",""Gestores Escolares!D7:J""),3,0),""VERIFICAR CÓD SEC"")"),"SHEILA CRISTINA TORRES SANTOS")</f>
        <v>SHEILA CRISTINA TORRES SANTOS</v>
      </c>
      <c r="N1074" s="82" t="str">
        <f>IFERROR(__xludf.DUMMYFUNCTION("IFERROR(VLOOKUP(D1074,
IMPORTRANGE(""https://docs.google.com/spreadsheets/d/1MjHtlUikwobi2MaWJgy7tfLeBmhj1u-dRFRs_8GwSoA/edit#gid=0"",""Gestores Escolares!D7:J""),4,0),""VERIFICAR CÓD SEC"")"),"(75) 9 9198-1026")</f>
        <v>(75) 9 9198-1026</v>
      </c>
      <c r="O1074" s="82" t="str">
        <f>IFERROR(__xludf.DUMMYFUNCTION("IFERROR(VLOOKUP(D1074,
IMPORTRANGE(""https://docs.google.com/spreadsheets/d/1MjHtlUikwobi2MaWJgy7tfLeBmhj1u-dRFRs_8GwSoA/edit#gid=0"",""Gestores Escolares!D7:J""),6,0),""VERIFICAR CÓD SEC"")"),"ANDRE LUIZ DE QUEIROZ CARVALHO")</f>
        <v>ANDRE LUIZ DE QUEIROZ CARVALHO</v>
      </c>
      <c r="P1074" s="82" t="str">
        <f>IFERROR(__xludf.DUMMYFUNCTION("IFERROR(VLOOKUP(D1074,
IMPORTRANGE(""https://docs.google.com/spreadsheets/d/1MjHtlUikwobi2MaWJgy7tfLeBmhj1u-dRFRs_8GwSoA/edit#gid=0"",""Gestores Escolares!D7:J""),7,0),""VERIFICAR CÓD SEC"")")," (75) 9 9977-6677")</f>
        <v> (75) 9 9977-6677</v>
      </c>
      <c r="Q1074" s="82" t="str">
        <f>IFERROR(__xludf.DUMMYFUNCTION("IFERROR(VLOOKUP(D1074,
IMPORTRANGE(""https://docs.google.com/spreadsheets/d/1MjHtlUikwobi2MaWJgy7tfLeBmhj1u-dRFRs_8GwSoA/edit#gid=0"",""Gestores Escolares!D7:m""),9,0),""VERIFICAR CÓD SEC"")"),"CACILDA SANTANA DE LIMA")</f>
        <v>CACILDA SANTANA DE LIMA</v>
      </c>
      <c r="R1074" s="82" t="str">
        <f>IFERROR(__xludf.DUMMYFUNCTION("IFERROR(VLOOKUP(D1074,
IMPORTRANGE(""https://docs.google.com/spreadsheets/d/1MjHtlUikwobi2MaWJgy7tfLeBmhj1u-dRFRs_8GwSoA/edit#gid=0"",""Gestores Escolares!D7:m""),10,0),""VERIFICAR CÓD SEC"")"),"(75) 9 9206-6840")</f>
        <v>(75) 9 9206-6840</v>
      </c>
      <c r="S1074" s="82"/>
      <c r="T1074" s="138">
        <v>15.0</v>
      </c>
      <c r="U1074" s="388">
        <v>15.0</v>
      </c>
      <c r="V1074" s="106">
        <v>0.0</v>
      </c>
      <c r="W1074" s="107">
        <v>0.0</v>
      </c>
      <c r="X1074" s="107">
        <v>0.0</v>
      </c>
      <c r="Y1074" s="107">
        <v>0.0</v>
      </c>
      <c r="Z1074" s="80">
        <f t="shared" si="1"/>
        <v>0</v>
      </c>
      <c r="AA1074" s="106">
        <v>43.0</v>
      </c>
      <c r="AB1074" s="107">
        <v>69.0</v>
      </c>
      <c r="AC1074" s="107">
        <v>0.0</v>
      </c>
      <c r="AD1074" s="107">
        <v>0.0</v>
      </c>
      <c r="AE1074" s="80">
        <f t="shared" si="2"/>
        <v>112</v>
      </c>
      <c r="AF1074" s="140">
        <v>368.0</v>
      </c>
      <c r="AG1074" s="109">
        <v>213.0</v>
      </c>
      <c r="AH1074" s="109">
        <v>0.0</v>
      </c>
      <c r="AI1074" s="141">
        <v>6.0</v>
      </c>
      <c r="AJ1074" s="80">
        <f t="shared" si="3"/>
        <v>587</v>
      </c>
      <c r="AK1074" s="140">
        <v>0.0</v>
      </c>
      <c r="AL1074" s="109">
        <v>0.0</v>
      </c>
      <c r="AM1074" s="141">
        <v>0.0</v>
      </c>
      <c r="AN1074" s="80">
        <f t="shared" si="4"/>
        <v>0</v>
      </c>
      <c r="AO1074" s="140">
        <v>0.0</v>
      </c>
      <c r="AP1074" s="109">
        <v>0.0</v>
      </c>
      <c r="AQ1074" s="109">
        <v>95.0</v>
      </c>
      <c r="AR1074" s="80">
        <f t="shared" si="5"/>
        <v>95</v>
      </c>
      <c r="AS1074" s="110">
        <v>0.0</v>
      </c>
      <c r="AT1074" s="110">
        <v>0.0</v>
      </c>
      <c r="AU1074" s="110">
        <v>0.0</v>
      </c>
      <c r="AV1074" s="142">
        <v>0.0</v>
      </c>
      <c r="AW1074" s="80">
        <f t="shared" si="6"/>
        <v>0</v>
      </c>
      <c r="AX1074" s="113">
        <f t="shared" si="7"/>
        <v>794</v>
      </c>
      <c r="AY1074" s="117">
        <f t="shared" si="8"/>
        <v>699</v>
      </c>
      <c r="AZ1074" s="120">
        <f t="shared" si="9"/>
        <v>95</v>
      </c>
      <c r="BA1074" s="115">
        <v>0.0</v>
      </c>
      <c r="BB1074" s="89">
        <f t="shared" si="10"/>
        <v>794</v>
      </c>
      <c r="BC1074" s="132" t="s">
        <v>178</v>
      </c>
      <c r="BD1074" s="132" t="s">
        <v>178</v>
      </c>
      <c r="BE1074" s="132" t="s">
        <v>178</v>
      </c>
      <c r="BF1074" s="123"/>
      <c r="BG1074" s="83">
        <v>1106289.0</v>
      </c>
      <c r="BH1074" s="98"/>
      <c r="BI1074" s="98">
        <v>15.0</v>
      </c>
      <c r="BJ1074" s="98" t="s">
        <v>155</v>
      </c>
      <c r="BK1074" s="99">
        <f t="shared" si="11"/>
        <v>6</v>
      </c>
      <c r="BL1074" s="99">
        <f t="shared" si="12"/>
        <v>693</v>
      </c>
      <c r="BM1074" s="99" t="str">
        <f>IFERROR(__xludf.DUMMYFUNCTION("IFERROR(VLOOKUP(BG1074,IMPORTRANGE(""https://docs.google.com/spreadsheets/d/1juPI-Fb8LD0YtltB2mlGEnp_R3UVu1t3wSFPzgCyHXE/edit?gid=0#gid=0"",""GERAL!A2:C""),3,0),""-"")"),"-")</f>
        <v>-</v>
      </c>
    </row>
    <row r="1075" ht="15.75" customHeight="1">
      <c r="A1075" s="111" t="s">
        <v>1335</v>
      </c>
      <c r="B1075" s="83" t="s">
        <v>2050</v>
      </c>
      <c r="C1075" s="83" t="s">
        <v>68</v>
      </c>
      <c r="D1075" s="112">
        <v>1176068.0</v>
      </c>
      <c r="E1075" s="83"/>
      <c r="F1075" s="83">
        <v>2.9093473E7</v>
      </c>
      <c r="G1075" s="384" t="s">
        <v>5824</v>
      </c>
      <c r="H1075" s="91" t="s">
        <v>5825</v>
      </c>
      <c r="I1075" s="83" t="s">
        <v>149</v>
      </c>
      <c r="J1075" s="83" t="s">
        <v>150</v>
      </c>
      <c r="K1075" s="83" t="s">
        <v>151</v>
      </c>
      <c r="L1075" s="83" t="s">
        <v>152</v>
      </c>
      <c r="M1075" s="82" t="str">
        <f>IFERROR(__xludf.DUMMYFUNCTION("IFERROR(VLOOKUP(D1075,
IMPORTRANGE(""https://docs.google.com/spreadsheets/d/1MjHtlUikwobi2MaWJgy7tfLeBmhj1u-dRFRs_8GwSoA/edit#gid=0"",""Gestores Escolares!D7:J""),3,0),""VERIFICAR CÓD SEC"")"),"NEUMA CRISTINA PEREIRA PORTUGAL")</f>
        <v>NEUMA CRISTINA PEREIRA PORTUGAL</v>
      </c>
      <c r="N1075" s="82" t="str">
        <f>IFERROR(__xludf.DUMMYFUNCTION("IFERROR(VLOOKUP(D1075,
IMPORTRANGE(""https://docs.google.com/spreadsheets/d/1MjHtlUikwobi2MaWJgy7tfLeBmhj1u-dRFRs_8GwSoA/edit#gid=0"",""Gestores Escolares!D7:J""),4,0),""VERIFICAR CÓD SEC"")"),"(75) 9 9961-4316")</f>
        <v>(75) 9 9961-4316</v>
      </c>
      <c r="O1075" s="82" t="str">
        <f>IFERROR(__xludf.DUMMYFUNCTION("IFERROR(VLOOKUP(D1075,
IMPORTRANGE(""https://docs.google.com/spreadsheets/d/1MjHtlUikwobi2MaWJgy7tfLeBmhj1u-dRFRs_8GwSoA/edit#gid=0"",""Gestores Escolares!D7:J""),6,0),""VERIFICAR CÓD SEC"")"),"THIAGO DE CARVALHO CUNHA")</f>
        <v>THIAGO DE CARVALHO CUNHA</v>
      </c>
      <c r="P1075" s="82" t="str">
        <f>IFERROR(__xludf.DUMMYFUNCTION("IFERROR(VLOOKUP(D1075,
IMPORTRANGE(""https://docs.google.com/spreadsheets/d/1MjHtlUikwobi2MaWJgy7tfLeBmhj1u-dRFRs_8GwSoA/edit#gid=0"",""Gestores Escolares!D7:J""),7,0),""VERIFICAR CÓD SEC"")"),"(75) 9 9177-0959")</f>
        <v>(75) 9 9177-0959</v>
      </c>
      <c r="Q1075" s="82" t="str">
        <f>IFERROR(__xludf.DUMMYFUNCTION("IFERROR(VLOOKUP(D1075,
IMPORTRANGE(""https://docs.google.com/spreadsheets/d/1MjHtlUikwobi2MaWJgy7tfLeBmhj1u-dRFRs_8GwSoA/edit#gid=0"",""Gestores Escolares!D7:m""),9,0),""VERIFICAR CÓD SEC"")"),"GLEICIANE SANTOS DE JESUS")</f>
        <v>GLEICIANE SANTOS DE JESUS</v>
      </c>
      <c r="R1075" s="82" t="str">
        <f>IFERROR(__xludf.DUMMYFUNCTION("IFERROR(VLOOKUP(D1075,
IMPORTRANGE(""https://docs.google.com/spreadsheets/d/1MjHtlUikwobi2MaWJgy7tfLeBmhj1u-dRFRs_8GwSoA/edit#gid=0"",""Gestores Escolares!D7:m""),10,0),""VERIFICAR CÓD SEC"")"),"(75) 9 9800-5395")</f>
        <v>(75) 9 9800-5395</v>
      </c>
      <c r="S1075" s="82"/>
      <c r="T1075" s="138">
        <v>9.0</v>
      </c>
      <c r="U1075" s="388">
        <v>9.0</v>
      </c>
      <c r="V1075" s="106">
        <v>0.0</v>
      </c>
      <c r="W1075" s="107">
        <v>0.0</v>
      </c>
      <c r="X1075" s="107">
        <v>0.0</v>
      </c>
      <c r="Y1075" s="107">
        <v>0.0</v>
      </c>
      <c r="Z1075" s="80">
        <f t="shared" si="1"/>
        <v>0</v>
      </c>
      <c r="AA1075" s="106">
        <v>29.0</v>
      </c>
      <c r="AB1075" s="107">
        <v>25.0</v>
      </c>
      <c r="AC1075" s="107">
        <v>0.0</v>
      </c>
      <c r="AD1075" s="107">
        <v>70.0</v>
      </c>
      <c r="AE1075" s="80">
        <f t="shared" si="2"/>
        <v>124</v>
      </c>
      <c r="AF1075" s="140">
        <v>0.0</v>
      </c>
      <c r="AG1075" s="109">
        <v>0.0</v>
      </c>
      <c r="AH1075" s="109">
        <v>0.0</v>
      </c>
      <c r="AI1075" s="141">
        <v>75.0</v>
      </c>
      <c r="AJ1075" s="80">
        <f t="shared" si="3"/>
        <v>75</v>
      </c>
      <c r="AK1075" s="140">
        <v>0.0</v>
      </c>
      <c r="AL1075" s="109">
        <v>0.0</v>
      </c>
      <c r="AM1075" s="141">
        <v>0.0</v>
      </c>
      <c r="AN1075" s="80">
        <f t="shared" si="4"/>
        <v>0</v>
      </c>
      <c r="AO1075" s="140">
        <v>0.0</v>
      </c>
      <c r="AP1075" s="109">
        <v>0.0</v>
      </c>
      <c r="AQ1075" s="109">
        <v>141.0</v>
      </c>
      <c r="AR1075" s="80">
        <f t="shared" si="5"/>
        <v>141</v>
      </c>
      <c r="AS1075" s="110">
        <v>32.0</v>
      </c>
      <c r="AT1075" s="110">
        <v>21.0</v>
      </c>
      <c r="AU1075" s="110">
        <v>4.0</v>
      </c>
      <c r="AV1075" s="142">
        <v>17.0</v>
      </c>
      <c r="AW1075" s="80">
        <f t="shared" si="6"/>
        <v>74</v>
      </c>
      <c r="AX1075" s="113">
        <f t="shared" si="7"/>
        <v>414</v>
      </c>
      <c r="AY1075" s="117">
        <f t="shared" si="8"/>
        <v>269</v>
      </c>
      <c r="AZ1075" s="120">
        <f t="shared" si="9"/>
        <v>145</v>
      </c>
      <c r="BA1075" s="115">
        <v>0.0</v>
      </c>
      <c r="BB1075" s="89">
        <f t="shared" si="10"/>
        <v>414</v>
      </c>
      <c r="BC1075" s="132" t="s">
        <v>178</v>
      </c>
      <c r="BD1075" s="132" t="s">
        <v>178</v>
      </c>
      <c r="BE1075" s="132" t="s">
        <v>178</v>
      </c>
      <c r="BF1075" s="156"/>
      <c r="BG1075" s="83">
        <v>1176068.0</v>
      </c>
      <c r="BH1075" s="112"/>
      <c r="BI1075" s="112">
        <v>9.0</v>
      </c>
      <c r="BJ1075" s="98" t="s">
        <v>162</v>
      </c>
      <c r="BK1075" s="99">
        <f t="shared" si="11"/>
        <v>162</v>
      </c>
      <c r="BL1075" s="99">
        <f t="shared" si="12"/>
        <v>107</v>
      </c>
      <c r="BM1075" s="99" t="str">
        <f>IFERROR(__xludf.DUMMYFUNCTION("IFERROR(VLOOKUP(BG1075,IMPORTRANGE(""https://docs.google.com/spreadsheets/d/1juPI-Fb8LD0YtltB2mlGEnp_R3UVu1t3wSFPzgCyHXE/edit?gid=0#gid=0"",""GERAL!A2:C""),3,0),""-"")"),"-")</f>
        <v>-</v>
      </c>
    </row>
    <row r="1076" ht="15.75" customHeight="1">
      <c r="A1076" s="111" t="s">
        <v>1335</v>
      </c>
      <c r="B1076" s="83" t="s">
        <v>2050</v>
      </c>
      <c r="C1076" s="83" t="s">
        <v>68</v>
      </c>
      <c r="D1076" s="112">
        <v>1106491.0</v>
      </c>
      <c r="E1076" s="83"/>
      <c r="F1076" s="83">
        <v>2.9093554E7</v>
      </c>
      <c r="G1076" s="114" t="s">
        <v>5828</v>
      </c>
      <c r="H1076" s="91" t="s">
        <v>5829</v>
      </c>
      <c r="I1076" s="83" t="s">
        <v>4373</v>
      </c>
      <c r="J1076" s="83" t="s">
        <v>150</v>
      </c>
      <c r="K1076" s="83" t="s">
        <v>151</v>
      </c>
      <c r="L1076" s="83" t="s">
        <v>152</v>
      </c>
      <c r="M1076" s="82" t="str">
        <f>IFERROR(__xludf.DUMMYFUNCTION("IFERROR(VLOOKUP(D1076,
IMPORTRANGE(""https://docs.google.com/spreadsheets/d/1MjHtlUikwobi2MaWJgy7tfLeBmhj1u-dRFRs_8GwSoA/edit#gid=0"",""Gestores Escolares!D7:J""),3,0),""VERIFICAR CÓD SEC"")"),"FLAVIA ALMEIDA DE ARAUJO")</f>
        <v>FLAVIA ALMEIDA DE ARAUJO</v>
      </c>
      <c r="N1076" s="82" t="str">
        <f>IFERROR(__xludf.DUMMYFUNCTION("IFERROR(VLOOKUP(D1076,
IMPORTRANGE(""https://docs.google.com/spreadsheets/d/1MjHtlUikwobi2MaWJgy7tfLeBmhj1u-dRFRs_8GwSoA/edit#gid=0"",""Gestores Escolares!D7:J""),4,0),""VERIFICAR CÓD SEC"")"),"(75) 9 9139-2495")</f>
        <v>(75) 9 9139-2495</v>
      </c>
      <c r="O1076" s="82" t="str">
        <f>IFERROR(__xludf.DUMMYFUNCTION("IFERROR(VLOOKUP(D1076,
IMPORTRANGE(""https://docs.google.com/spreadsheets/d/1MjHtlUikwobi2MaWJgy7tfLeBmhj1u-dRFRs_8GwSoA/edit#gid=0"",""Gestores Escolares!D7:J""),6,0),""VERIFICAR CÓD SEC"")"),"FELLIPE FREIRE DE ABREU")</f>
        <v>FELLIPE FREIRE DE ABREU</v>
      </c>
      <c r="P1076" s="82" t="str">
        <f>IFERROR(__xludf.DUMMYFUNCTION("IFERROR(VLOOKUP(D1076,
IMPORTRANGE(""https://docs.google.com/spreadsheets/d/1MjHtlUikwobi2MaWJgy7tfLeBmhj1u-dRFRs_8GwSoA/edit#gid=0"",""Gestores Escolares!D7:J""),7,0),""VERIFICAR CÓD SEC"")"),"(75) 9 9128-9254")</f>
        <v>(75) 9 9128-9254</v>
      </c>
      <c r="Q1076" s="82" t="str">
        <f>IFERROR(__xludf.DUMMYFUNCTION("IFERROR(VLOOKUP(D1076,
IMPORTRANGE(""https://docs.google.com/spreadsheets/d/1MjHtlUikwobi2MaWJgy7tfLeBmhj1u-dRFRs_8GwSoA/edit#gid=0"",""Gestores Escolares!D7:m""),9,0),""VERIFICAR CÓD SEC"")"),"")</f>
        <v/>
      </c>
      <c r="R1076" s="82" t="str">
        <f>IFERROR(__xludf.DUMMYFUNCTION("IFERROR(VLOOKUP(D1076,
IMPORTRANGE(""https://docs.google.com/spreadsheets/d/1MjHtlUikwobi2MaWJgy7tfLeBmhj1u-dRFRs_8GwSoA/edit#gid=0"",""Gestores Escolares!D7:m""),10,0),""VERIFICAR CÓD SEC"")"),"")</f>
        <v/>
      </c>
      <c r="S1076" s="82"/>
      <c r="T1076" s="138">
        <v>16.0</v>
      </c>
      <c r="U1076" s="388">
        <v>16.0</v>
      </c>
      <c r="V1076" s="106">
        <v>0.0</v>
      </c>
      <c r="W1076" s="107">
        <v>0.0</v>
      </c>
      <c r="X1076" s="107">
        <v>0.0</v>
      </c>
      <c r="Y1076" s="107">
        <v>0.0</v>
      </c>
      <c r="Z1076" s="80">
        <f t="shared" si="1"/>
        <v>0</v>
      </c>
      <c r="AA1076" s="106">
        <v>0.0</v>
      </c>
      <c r="AB1076" s="107">
        <v>0.0</v>
      </c>
      <c r="AC1076" s="107">
        <v>0.0</v>
      </c>
      <c r="AD1076" s="107">
        <v>97.0</v>
      </c>
      <c r="AE1076" s="80">
        <f t="shared" si="2"/>
        <v>97</v>
      </c>
      <c r="AF1076" s="140">
        <v>0.0</v>
      </c>
      <c r="AG1076" s="109">
        <v>0.0</v>
      </c>
      <c r="AH1076" s="109">
        <v>0.0</v>
      </c>
      <c r="AI1076" s="141">
        <v>288.0</v>
      </c>
      <c r="AJ1076" s="80">
        <f t="shared" si="3"/>
        <v>288</v>
      </c>
      <c r="AK1076" s="140">
        <v>0.0</v>
      </c>
      <c r="AL1076" s="109">
        <v>0.0</v>
      </c>
      <c r="AM1076" s="141">
        <v>0.0</v>
      </c>
      <c r="AN1076" s="80">
        <f t="shared" si="4"/>
        <v>0</v>
      </c>
      <c r="AO1076" s="140">
        <v>0.0</v>
      </c>
      <c r="AP1076" s="109">
        <v>0.0</v>
      </c>
      <c r="AQ1076" s="109">
        <v>0.0</v>
      </c>
      <c r="AR1076" s="80">
        <f t="shared" si="5"/>
        <v>0</v>
      </c>
      <c r="AS1076" s="110">
        <v>0.0</v>
      </c>
      <c r="AT1076" s="110">
        <v>0.0</v>
      </c>
      <c r="AU1076" s="110">
        <v>0.0</v>
      </c>
      <c r="AV1076" s="142">
        <v>0.0</v>
      </c>
      <c r="AW1076" s="80">
        <f t="shared" si="6"/>
        <v>0</v>
      </c>
      <c r="AX1076" s="113">
        <f t="shared" si="7"/>
        <v>385</v>
      </c>
      <c r="AY1076" s="117">
        <f t="shared" si="8"/>
        <v>385</v>
      </c>
      <c r="AZ1076" s="120">
        <f t="shared" si="9"/>
        <v>0</v>
      </c>
      <c r="BA1076" s="115">
        <v>0.0</v>
      </c>
      <c r="BB1076" s="89">
        <f t="shared" si="10"/>
        <v>385</v>
      </c>
      <c r="BC1076" s="132" t="s">
        <v>178</v>
      </c>
      <c r="BD1076" s="132" t="s">
        <v>178</v>
      </c>
      <c r="BE1076" s="132" t="s">
        <v>178</v>
      </c>
      <c r="BF1076" s="123"/>
      <c r="BG1076" s="83">
        <v>1106491.0</v>
      </c>
      <c r="BH1076" s="98"/>
      <c r="BI1076" s="98">
        <v>16.0</v>
      </c>
      <c r="BJ1076" s="98" t="s">
        <v>155</v>
      </c>
      <c r="BK1076" s="99">
        <f t="shared" si="11"/>
        <v>385</v>
      </c>
      <c r="BL1076" s="99">
        <f t="shared" si="12"/>
        <v>0</v>
      </c>
      <c r="BM1076" s="99" t="str">
        <f>IFERROR(__xludf.DUMMYFUNCTION("IFERROR(VLOOKUP(BG1076,IMPORTRANGE(""https://docs.google.com/spreadsheets/d/1juPI-Fb8LD0YtltB2mlGEnp_R3UVu1t3wSFPzgCyHXE/edit?gid=0#gid=0"",""GERAL!A2:C""),3,0),""-"")"),"-")</f>
        <v>-</v>
      </c>
    </row>
    <row r="1077" ht="15.75" customHeight="1">
      <c r="A1077" s="111" t="s">
        <v>1335</v>
      </c>
      <c r="B1077" s="83" t="s">
        <v>2050</v>
      </c>
      <c r="C1077" s="83" t="s">
        <v>68</v>
      </c>
      <c r="D1077" s="112">
        <v>1106106.0</v>
      </c>
      <c r="E1077" s="83"/>
      <c r="F1077" s="83">
        <v>2.9097541E7</v>
      </c>
      <c r="G1077" s="114" t="s">
        <v>5833</v>
      </c>
      <c r="H1077" s="91" t="s">
        <v>5834</v>
      </c>
      <c r="I1077" s="83" t="s">
        <v>5835</v>
      </c>
      <c r="J1077" s="83" t="s">
        <v>5836</v>
      </c>
      <c r="K1077" s="83" t="s">
        <v>151</v>
      </c>
      <c r="L1077" s="98" t="s">
        <v>76</v>
      </c>
      <c r="M1077" s="82" t="str">
        <f>IFERROR(__xludf.DUMMYFUNCTION("IFERROR(VLOOKUP(D1077,
IMPORTRANGE(""https://docs.google.com/spreadsheets/d/1MjHtlUikwobi2MaWJgy7tfLeBmhj1u-dRFRs_8GwSoA/edit#gid=0"",""Gestores Escolares!D7:J""),3,0),""VERIFICAR CÓD SEC"")"),"KALLY CRISTINA MATOS DE SOUZA CARNEIRO")</f>
        <v>KALLY CRISTINA MATOS DE SOUZA CARNEIRO</v>
      </c>
      <c r="N1077" s="82" t="str">
        <f>IFERROR(__xludf.DUMMYFUNCTION("IFERROR(VLOOKUP(D1077,
IMPORTRANGE(""https://docs.google.com/spreadsheets/d/1MjHtlUikwobi2MaWJgy7tfLeBmhj1u-dRFRs_8GwSoA/edit#gid=0"",""Gestores Escolares!D7:J""),4,0),""VERIFICAR CÓD SEC"")"),"(75) 9 8278-6378")</f>
        <v>(75) 9 8278-6378</v>
      </c>
      <c r="O1077" s="82" t="str">
        <f>IFERROR(__xludf.DUMMYFUNCTION("IFERROR(VLOOKUP(D1077,
IMPORTRANGE(""https://docs.google.com/spreadsheets/d/1MjHtlUikwobi2MaWJgy7tfLeBmhj1u-dRFRs_8GwSoA/edit#gid=0"",""Gestores Escolares!D7:J""),6,0),""VERIFICAR CÓD SEC"")"),"KATHIA DE SOUZA FLOR")</f>
        <v>KATHIA DE SOUZA FLOR</v>
      </c>
      <c r="P1077" s="82" t="str">
        <f>IFERROR(__xludf.DUMMYFUNCTION("IFERROR(VLOOKUP(D1077,
IMPORTRANGE(""https://docs.google.com/spreadsheets/d/1MjHtlUikwobi2MaWJgy7tfLeBmhj1u-dRFRs_8GwSoA/edit#gid=0"",""Gestores Escolares!D7:J""),7,0),""VERIFICAR CÓD SEC"")"),"(75) 9 8195-4554")</f>
        <v>(75) 9 8195-4554</v>
      </c>
      <c r="Q1077" s="82" t="str">
        <f>IFERROR(__xludf.DUMMYFUNCTION("IFERROR(VLOOKUP(D1077,
IMPORTRANGE(""https://docs.google.com/spreadsheets/d/1MjHtlUikwobi2MaWJgy7tfLeBmhj1u-dRFRs_8GwSoA/edit#gid=0"",""Gestores Escolares!D7:m""),9,0),""VERIFICAR CÓD SEC"")"),"")</f>
        <v/>
      </c>
      <c r="R1077" s="82" t="str">
        <f>IFERROR(__xludf.DUMMYFUNCTION("IFERROR(VLOOKUP(D1077,
IMPORTRANGE(""https://docs.google.com/spreadsheets/d/1MjHtlUikwobi2MaWJgy7tfLeBmhj1u-dRFRs_8GwSoA/edit#gid=0"",""Gestores Escolares!D7:m""),10,0),""VERIFICAR CÓD SEC"")"),"")</f>
        <v/>
      </c>
      <c r="S1077" s="82"/>
      <c r="T1077" s="138">
        <v>6.0</v>
      </c>
      <c r="U1077" s="145">
        <v>6.0</v>
      </c>
      <c r="V1077" s="106">
        <v>0.0</v>
      </c>
      <c r="W1077" s="107">
        <v>0.0</v>
      </c>
      <c r="X1077" s="107">
        <v>0.0</v>
      </c>
      <c r="Y1077" s="107">
        <v>0.0</v>
      </c>
      <c r="Z1077" s="80">
        <f t="shared" si="1"/>
        <v>0</v>
      </c>
      <c r="AA1077" s="106">
        <v>219.0</v>
      </c>
      <c r="AB1077" s="107">
        <v>76.0</v>
      </c>
      <c r="AC1077" s="107">
        <v>0.0</v>
      </c>
      <c r="AD1077" s="107">
        <v>0.0</v>
      </c>
      <c r="AE1077" s="80">
        <f t="shared" si="2"/>
        <v>295</v>
      </c>
      <c r="AF1077" s="140">
        <v>0.0</v>
      </c>
      <c r="AG1077" s="109">
        <v>131.0</v>
      </c>
      <c r="AH1077" s="109">
        <v>0.0</v>
      </c>
      <c r="AI1077" s="141">
        <v>0.0</v>
      </c>
      <c r="AJ1077" s="80">
        <f t="shared" si="3"/>
        <v>131</v>
      </c>
      <c r="AK1077" s="140">
        <v>0.0</v>
      </c>
      <c r="AL1077" s="109">
        <v>0.0</v>
      </c>
      <c r="AM1077" s="141">
        <v>37.0</v>
      </c>
      <c r="AN1077" s="80">
        <f t="shared" si="4"/>
        <v>37</v>
      </c>
      <c r="AO1077" s="140">
        <v>0.0</v>
      </c>
      <c r="AP1077" s="109">
        <v>0.0</v>
      </c>
      <c r="AQ1077" s="109">
        <v>61.0</v>
      </c>
      <c r="AR1077" s="80">
        <f t="shared" si="5"/>
        <v>61</v>
      </c>
      <c r="AS1077" s="110">
        <v>0.0</v>
      </c>
      <c r="AT1077" s="110">
        <v>0.0</v>
      </c>
      <c r="AU1077" s="110">
        <v>45.0</v>
      </c>
      <c r="AV1077" s="142">
        <v>0.0</v>
      </c>
      <c r="AW1077" s="80">
        <f t="shared" si="6"/>
        <v>45</v>
      </c>
      <c r="AX1077" s="113">
        <f t="shared" si="7"/>
        <v>569</v>
      </c>
      <c r="AY1077" s="117">
        <f t="shared" si="8"/>
        <v>426</v>
      </c>
      <c r="AZ1077" s="120">
        <f t="shared" si="9"/>
        <v>143</v>
      </c>
      <c r="BA1077" s="115">
        <v>0.0</v>
      </c>
      <c r="BB1077" s="89">
        <f t="shared" si="10"/>
        <v>569</v>
      </c>
      <c r="BC1077" s="132" t="s">
        <v>373</v>
      </c>
      <c r="BD1077" s="132" t="s">
        <v>178</v>
      </c>
      <c r="BE1077" s="132" t="s">
        <v>178</v>
      </c>
      <c r="BF1077" s="123"/>
      <c r="BG1077" s="83">
        <v>1106106.0</v>
      </c>
      <c r="BH1077" s="98"/>
      <c r="BI1077" s="98">
        <v>6.0</v>
      </c>
      <c r="BJ1077" s="98" t="s">
        <v>155</v>
      </c>
      <c r="BK1077" s="99">
        <f t="shared" si="11"/>
        <v>0</v>
      </c>
      <c r="BL1077" s="99">
        <f t="shared" si="12"/>
        <v>426</v>
      </c>
      <c r="BM1077" s="99" t="str">
        <f>IFERROR(__xludf.DUMMYFUNCTION("IFERROR(VLOOKUP(BG1077,IMPORTRANGE(""https://docs.google.com/spreadsheets/d/1juPI-Fb8LD0YtltB2mlGEnp_R3UVu1t3wSFPzgCyHXE/edit?gid=0#gid=0"",""GERAL!A2:C""),3,0),""-"")"),"CAMPO")</f>
        <v>CAMPO</v>
      </c>
    </row>
    <row r="1078" ht="15.75" customHeight="1">
      <c r="A1078" s="111" t="s">
        <v>1335</v>
      </c>
      <c r="B1078" s="83" t="s">
        <v>2050</v>
      </c>
      <c r="C1078" s="83" t="s">
        <v>68</v>
      </c>
      <c r="D1078" s="112">
        <v>1106599.0</v>
      </c>
      <c r="E1078" s="83"/>
      <c r="F1078" s="83">
        <v>2.9095212E7</v>
      </c>
      <c r="G1078" s="114" t="s">
        <v>5838</v>
      </c>
      <c r="H1078" s="91" t="s">
        <v>5839</v>
      </c>
      <c r="I1078" s="83" t="s">
        <v>5840</v>
      </c>
      <c r="J1078" s="83" t="s">
        <v>150</v>
      </c>
      <c r="K1078" s="83" t="s">
        <v>5791</v>
      </c>
      <c r="L1078" s="83" t="s">
        <v>169</v>
      </c>
      <c r="M1078" s="82" t="str">
        <f>IFERROR(__xludf.DUMMYFUNCTION("IFERROR(VLOOKUP(D1078,
IMPORTRANGE(""https://docs.google.com/spreadsheets/d/1MjHtlUikwobi2MaWJgy7tfLeBmhj1u-dRFRs_8GwSoA/edit#gid=0"",""Gestores Escolares!D7:J""),3,0),""VERIFICAR CÓD SEC"")"),"IVANETE SOUA REIS SILVA")</f>
        <v>IVANETE SOUA REIS SILVA</v>
      </c>
      <c r="N1078" s="82" t="str">
        <f>IFERROR(__xludf.DUMMYFUNCTION("IFERROR(VLOOKUP(D1078,
IMPORTRANGE(""https://docs.google.com/spreadsheets/d/1MjHtlUikwobi2MaWJgy7tfLeBmhj1u-dRFRs_8GwSoA/edit#gid=0"",""Gestores Escolares!D7:J""),4,0),""VERIFICAR CÓD SEC"")"),"(75) 9 9273-3701")</f>
        <v>(75) 9 9273-3701</v>
      </c>
      <c r="O1078" s="82" t="str">
        <f>IFERROR(__xludf.DUMMYFUNCTION("IFERROR(VLOOKUP(D1078,
IMPORTRANGE(""https://docs.google.com/spreadsheets/d/1MjHtlUikwobi2MaWJgy7tfLeBmhj1u-dRFRs_8GwSoA/edit#gid=0"",""Gestores Escolares!D7:J""),6,0),""VERIFICAR CÓD SEC"")"),"JOSELICE FERREIRA DA SILVA")</f>
        <v>JOSELICE FERREIRA DA SILVA</v>
      </c>
      <c r="P1078" s="82" t="str">
        <f>IFERROR(__xludf.DUMMYFUNCTION("IFERROR(VLOOKUP(D1078,
IMPORTRANGE(""https://docs.google.com/spreadsheets/d/1MjHtlUikwobi2MaWJgy7tfLeBmhj1u-dRFRs_8GwSoA/edit#gid=0"",""Gestores Escolares!D7:J""),7,0),""VERIFICAR CÓD SEC"")"),"(75) 9 9966-7901")</f>
        <v>(75) 9 9966-7901</v>
      </c>
      <c r="Q1078" s="82" t="str">
        <f>IFERROR(__xludf.DUMMYFUNCTION("IFERROR(VLOOKUP(D1078,
IMPORTRANGE(""https://docs.google.com/spreadsheets/d/1MjHtlUikwobi2MaWJgy7tfLeBmhj1u-dRFRs_8GwSoA/edit#gid=0"",""Gestores Escolares!D7:m""),9,0),""VERIFICAR CÓD SEC"")"),"")</f>
        <v/>
      </c>
      <c r="R1078" s="82" t="str">
        <f>IFERROR(__xludf.DUMMYFUNCTION("IFERROR(VLOOKUP(D1078,
IMPORTRANGE(""https://docs.google.com/spreadsheets/d/1MjHtlUikwobi2MaWJgy7tfLeBmhj1u-dRFRs_8GwSoA/edit#gid=0"",""Gestores Escolares!D7:m""),10,0),""VERIFICAR CÓD SEC"")"),"")</f>
        <v/>
      </c>
      <c r="S1078" s="82"/>
      <c r="T1078" s="138">
        <v>12.0</v>
      </c>
      <c r="U1078" s="388">
        <v>12.0</v>
      </c>
      <c r="V1078" s="106">
        <v>0.0</v>
      </c>
      <c r="W1078" s="107">
        <v>0.0</v>
      </c>
      <c r="X1078" s="107">
        <v>0.0</v>
      </c>
      <c r="Y1078" s="107">
        <v>0.0</v>
      </c>
      <c r="Z1078" s="80">
        <f t="shared" si="1"/>
        <v>0</v>
      </c>
      <c r="AA1078" s="106">
        <v>30.0</v>
      </c>
      <c r="AB1078" s="107">
        <v>123.0</v>
      </c>
      <c r="AC1078" s="107">
        <v>0.0</v>
      </c>
      <c r="AD1078" s="107">
        <v>0.0</v>
      </c>
      <c r="AE1078" s="80">
        <f t="shared" si="2"/>
        <v>153</v>
      </c>
      <c r="AF1078" s="140">
        <v>139.0</v>
      </c>
      <c r="AG1078" s="109">
        <v>40.0</v>
      </c>
      <c r="AH1078" s="109">
        <v>0.0</v>
      </c>
      <c r="AI1078" s="141">
        <v>0.0</v>
      </c>
      <c r="AJ1078" s="80">
        <f t="shared" si="3"/>
        <v>179</v>
      </c>
      <c r="AK1078" s="140">
        <v>0.0</v>
      </c>
      <c r="AL1078" s="109">
        <v>0.0</v>
      </c>
      <c r="AM1078" s="141">
        <v>0.0</v>
      </c>
      <c r="AN1078" s="80">
        <f t="shared" si="4"/>
        <v>0</v>
      </c>
      <c r="AO1078" s="140">
        <v>0.0</v>
      </c>
      <c r="AP1078" s="109">
        <v>0.0</v>
      </c>
      <c r="AQ1078" s="109">
        <v>0.0</v>
      </c>
      <c r="AR1078" s="80">
        <f t="shared" si="5"/>
        <v>0</v>
      </c>
      <c r="AS1078" s="110">
        <v>0.0</v>
      </c>
      <c r="AT1078" s="110">
        <v>0.0</v>
      </c>
      <c r="AU1078" s="110">
        <v>0.0</v>
      </c>
      <c r="AV1078" s="142">
        <v>0.0</v>
      </c>
      <c r="AW1078" s="80">
        <f t="shared" si="6"/>
        <v>0</v>
      </c>
      <c r="AX1078" s="113">
        <f t="shared" si="7"/>
        <v>332</v>
      </c>
      <c r="AY1078" s="117">
        <f t="shared" si="8"/>
        <v>332</v>
      </c>
      <c r="AZ1078" s="120">
        <f t="shared" si="9"/>
        <v>0</v>
      </c>
      <c r="BA1078" s="115">
        <v>0.0</v>
      </c>
      <c r="BB1078" s="89">
        <f t="shared" si="10"/>
        <v>332</v>
      </c>
      <c r="BC1078" s="132" t="s">
        <v>178</v>
      </c>
      <c r="BD1078" s="132" t="s">
        <v>178</v>
      </c>
      <c r="BE1078" s="132" t="s">
        <v>178</v>
      </c>
      <c r="BF1078" s="123"/>
      <c r="BG1078" s="83">
        <v>1106599.0</v>
      </c>
      <c r="BH1078" s="98"/>
      <c r="BI1078" s="98">
        <v>12.0</v>
      </c>
      <c r="BJ1078" s="98" t="s">
        <v>155</v>
      </c>
      <c r="BK1078" s="99">
        <f t="shared" si="11"/>
        <v>0</v>
      </c>
      <c r="BL1078" s="99">
        <f t="shared" si="12"/>
        <v>332</v>
      </c>
      <c r="BM1078" s="99" t="str">
        <f>IFERROR(__xludf.DUMMYFUNCTION("IFERROR(VLOOKUP(BG1078,IMPORTRANGE(""https://docs.google.com/spreadsheets/d/1juPI-Fb8LD0YtltB2mlGEnp_R3UVu1t3wSFPzgCyHXE/edit?gid=0#gid=0"",""GERAL!A2:C""),3,0),""-"")"),"-")</f>
        <v>-</v>
      </c>
    </row>
    <row r="1079" ht="15.75" customHeight="1">
      <c r="A1079" s="111" t="s">
        <v>1335</v>
      </c>
      <c r="B1079" s="83" t="s">
        <v>2050</v>
      </c>
      <c r="C1079" s="83" t="s">
        <v>68</v>
      </c>
      <c r="D1079" s="112">
        <v>1106297.0</v>
      </c>
      <c r="E1079" s="83"/>
      <c r="F1079" s="83">
        <v>2.9094151E7</v>
      </c>
      <c r="G1079" s="114" t="s">
        <v>2131</v>
      </c>
      <c r="H1079" s="91" t="s">
        <v>5843</v>
      </c>
      <c r="I1079" s="83" t="s">
        <v>5844</v>
      </c>
      <c r="J1079" s="83" t="s">
        <v>150</v>
      </c>
      <c r="K1079" s="83" t="s">
        <v>151</v>
      </c>
      <c r="L1079" s="83" t="s">
        <v>152</v>
      </c>
      <c r="M1079" s="82" t="str">
        <f>IFERROR(__xludf.DUMMYFUNCTION("IFERROR(VLOOKUP(D1079,
IMPORTRANGE(""https://docs.google.com/spreadsheets/d/1MjHtlUikwobi2MaWJgy7tfLeBmhj1u-dRFRs_8GwSoA/edit#gid=0"",""Gestores Escolares!D7:J""),3,0),""VERIFICAR CÓD SEC"")"),"VIRGINIA LIMA DE OLIVEIRA BISPO")</f>
        <v>VIRGINIA LIMA DE OLIVEIRA BISPO</v>
      </c>
      <c r="N1079" s="82" t="str">
        <f>IFERROR(__xludf.DUMMYFUNCTION("IFERROR(VLOOKUP(D1079,
IMPORTRANGE(""https://docs.google.com/spreadsheets/d/1MjHtlUikwobi2MaWJgy7tfLeBmhj1u-dRFRs_8GwSoA/edit#gid=0"",""Gestores Escolares!D7:J""),4,0),""VERIFICAR CÓD SEC"")"),"(75) 9 9262-1360")</f>
        <v>(75) 9 9262-1360</v>
      </c>
      <c r="O1079" s="82" t="str">
        <f>IFERROR(__xludf.DUMMYFUNCTION("IFERROR(VLOOKUP(D1079,
IMPORTRANGE(""https://docs.google.com/spreadsheets/d/1MjHtlUikwobi2MaWJgy7tfLeBmhj1u-dRFRs_8GwSoA/edit#gid=0"",""Gestores Escolares!D7:J""),6,0),""VERIFICAR CÓD SEC"")"),"UBINEIDE CAVALLARO BOAVENTURA")</f>
        <v>UBINEIDE CAVALLARO BOAVENTURA</v>
      </c>
      <c r="P1079" s="82" t="str">
        <f>IFERROR(__xludf.DUMMYFUNCTION("IFERROR(VLOOKUP(D1079,
IMPORTRANGE(""https://docs.google.com/spreadsheets/d/1MjHtlUikwobi2MaWJgy7tfLeBmhj1u-dRFRs_8GwSoA/edit#gid=0"",""Gestores Escolares!D7:J""),7,0),""VERIFICAR CÓD SEC"")"),"(75) 9 9160-0123")</f>
        <v>(75) 9 9160-0123</v>
      </c>
      <c r="Q1079" s="82" t="str">
        <f>IFERROR(__xludf.DUMMYFUNCTION("IFERROR(VLOOKUP(D1079,
IMPORTRANGE(""https://docs.google.com/spreadsheets/d/1MjHtlUikwobi2MaWJgy7tfLeBmhj1u-dRFRs_8GwSoA/edit#gid=0"",""Gestores Escolares!D7:m""),9,0),""VERIFICAR CÓD SEC"")"),"MARIA DAS GRAÇAS CANCIO RAYNE")</f>
        <v>MARIA DAS GRAÇAS CANCIO RAYNE</v>
      </c>
      <c r="R1079" s="82" t="str">
        <f>IFERROR(__xludf.DUMMYFUNCTION("IFERROR(VLOOKUP(D1079,
IMPORTRANGE(""https://docs.google.com/spreadsheets/d/1MjHtlUikwobi2MaWJgy7tfLeBmhj1u-dRFRs_8GwSoA/edit#gid=0"",""Gestores Escolares!D7:m""),10,0),""VERIFICAR CÓD SEC"")"),"(75) 9 9266-6521")</f>
        <v>(75) 9 9266-6521</v>
      </c>
      <c r="S1079" s="82"/>
      <c r="T1079" s="138">
        <v>11.0</v>
      </c>
      <c r="U1079" s="388">
        <v>11.0</v>
      </c>
      <c r="V1079" s="106">
        <v>0.0</v>
      </c>
      <c r="W1079" s="107">
        <v>0.0</v>
      </c>
      <c r="X1079" s="107">
        <v>0.0</v>
      </c>
      <c r="Y1079" s="107">
        <v>0.0</v>
      </c>
      <c r="Z1079" s="80">
        <f t="shared" si="1"/>
        <v>0</v>
      </c>
      <c r="AA1079" s="106">
        <v>0.0</v>
      </c>
      <c r="AB1079" s="107">
        <v>184.0</v>
      </c>
      <c r="AC1079" s="107">
        <v>0.0</v>
      </c>
      <c r="AD1079" s="107">
        <v>0.0</v>
      </c>
      <c r="AE1079" s="80">
        <f t="shared" si="2"/>
        <v>184</v>
      </c>
      <c r="AF1079" s="140">
        <v>291.0</v>
      </c>
      <c r="AG1079" s="109">
        <v>69.0</v>
      </c>
      <c r="AH1079" s="109">
        <v>0.0</v>
      </c>
      <c r="AI1079" s="141">
        <v>0.0</v>
      </c>
      <c r="AJ1079" s="80">
        <f t="shared" si="3"/>
        <v>360</v>
      </c>
      <c r="AK1079" s="140">
        <v>0.0</v>
      </c>
      <c r="AL1079" s="109">
        <v>0.0</v>
      </c>
      <c r="AM1079" s="141">
        <v>0.0</v>
      </c>
      <c r="AN1079" s="80">
        <f t="shared" si="4"/>
        <v>0</v>
      </c>
      <c r="AO1079" s="140">
        <v>0.0</v>
      </c>
      <c r="AP1079" s="109">
        <v>0.0</v>
      </c>
      <c r="AQ1079" s="109">
        <v>61.0</v>
      </c>
      <c r="AR1079" s="80">
        <f t="shared" si="5"/>
        <v>61</v>
      </c>
      <c r="AS1079" s="110">
        <v>0.0</v>
      </c>
      <c r="AT1079" s="110">
        <v>0.0</v>
      </c>
      <c r="AU1079" s="110">
        <v>0.0</v>
      </c>
      <c r="AV1079" s="142">
        <v>0.0</v>
      </c>
      <c r="AW1079" s="80">
        <f t="shared" si="6"/>
        <v>0</v>
      </c>
      <c r="AX1079" s="113">
        <f t="shared" si="7"/>
        <v>605</v>
      </c>
      <c r="AY1079" s="117">
        <f t="shared" si="8"/>
        <v>544</v>
      </c>
      <c r="AZ1079" s="120">
        <f t="shared" si="9"/>
        <v>61</v>
      </c>
      <c r="BA1079" s="115">
        <v>0.0</v>
      </c>
      <c r="BB1079" s="89">
        <f t="shared" si="10"/>
        <v>605</v>
      </c>
      <c r="BC1079" s="132" t="s">
        <v>178</v>
      </c>
      <c r="BD1079" s="132" t="s">
        <v>178</v>
      </c>
      <c r="BE1079" s="132" t="s">
        <v>178</v>
      </c>
      <c r="BF1079" s="123"/>
      <c r="BG1079" s="83">
        <v>1106297.0</v>
      </c>
      <c r="BH1079" s="98"/>
      <c r="BI1079" s="98">
        <v>11.0</v>
      </c>
      <c r="BJ1079" s="98" t="s">
        <v>155</v>
      </c>
      <c r="BK1079" s="99">
        <f t="shared" si="11"/>
        <v>0</v>
      </c>
      <c r="BL1079" s="99">
        <f t="shared" si="12"/>
        <v>544</v>
      </c>
      <c r="BM1079" s="99" t="str">
        <f>IFERROR(__xludf.DUMMYFUNCTION("IFERROR(VLOOKUP(BG1079,IMPORTRANGE(""https://docs.google.com/spreadsheets/d/1juPI-Fb8LD0YtltB2mlGEnp_R3UVu1t3wSFPzgCyHXE/edit?gid=0#gid=0"",""GERAL!A2:C""),3,0),""-"")"),"-")</f>
        <v>-</v>
      </c>
    </row>
    <row r="1080" ht="15.75" customHeight="1">
      <c r="A1080" s="111" t="s">
        <v>1335</v>
      </c>
      <c r="B1080" s="83" t="s">
        <v>2050</v>
      </c>
      <c r="C1080" s="83" t="s">
        <v>68</v>
      </c>
      <c r="D1080" s="112">
        <v>1176448.0</v>
      </c>
      <c r="E1080" s="83"/>
      <c r="F1080" s="83">
        <v>2.9387728E7</v>
      </c>
      <c r="G1080" s="114" t="s">
        <v>5846</v>
      </c>
      <c r="H1080" s="91" t="s">
        <v>5847</v>
      </c>
      <c r="I1080" s="83" t="s">
        <v>5848</v>
      </c>
      <c r="J1080" s="83" t="s">
        <v>150</v>
      </c>
      <c r="K1080" s="83" t="s">
        <v>151</v>
      </c>
      <c r="L1080" s="83" t="s">
        <v>76</v>
      </c>
      <c r="M1080" s="82" t="str">
        <f>IFERROR(__xludf.DUMMYFUNCTION("IFERROR(VLOOKUP(D1080,
IMPORTRANGE(""https://docs.google.com/spreadsheets/d/1MjHtlUikwobi2MaWJgy7tfLeBmhj1u-dRFRs_8GwSoA/edit#gid=0"",""Gestores Escolares!D7:J""),3,0),""VERIFICAR CÓD SEC"")"),"JOSINEIDE LIMA DE OLIVEIRA")</f>
        <v>JOSINEIDE LIMA DE OLIVEIRA</v>
      </c>
      <c r="N1080" s="82" t="str">
        <f>IFERROR(__xludf.DUMMYFUNCTION("IFERROR(VLOOKUP(D1080,
IMPORTRANGE(""https://docs.google.com/spreadsheets/d/1MjHtlUikwobi2MaWJgy7tfLeBmhj1u-dRFRs_8GwSoA/edit#gid=0"",""Gestores Escolares!D7:J""),4,0),""VERIFICAR CÓD SEC"")"),"(75) 9 8198-6720")</f>
        <v>(75) 9 8198-6720</v>
      </c>
      <c r="O1080" s="82" t="str">
        <f>IFERROR(__xludf.DUMMYFUNCTION("IFERROR(VLOOKUP(D1080,
IMPORTRANGE(""https://docs.google.com/spreadsheets/d/1MjHtlUikwobi2MaWJgy7tfLeBmhj1u-dRFRs_8GwSoA/edit#gid=0"",""Gestores Escolares!D7:J""),6,0),""VERIFICAR CÓD SEC"")")," CARLOS LIVERTON DA SILVA BORGES")</f>
        <v> CARLOS LIVERTON DA SILVA BORGES</v>
      </c>
      <c r="P1080" s="82" t="str">
        <f>IFERROR(__xludf.DUMMYFUNCTION("IFERROR(VLOOKUP(D1080,
IMPORTRANGE(""https://docs.google.com/spreadsheets/d/1MjHtlUikwobi2MaWJgy7tfLeBmhj1u-dRFRs_8GwSoA/edit#gid=0"",""Gestores Escolares!D7:J""),7,0),""VERIFICAR CÓD SEC"")")," (75) 9 8105-6231")</f>
        <v> (75) 9 8105-6231</v>
      </c>
      <c r="Q1080" s="82" t="str">
        <f>IFERROR(__xludf.DUMMYFUNCTION("IFERROR(VLOOKUP(D1080,
IMPORTRANGE(""https://docs.google.com/spreadsheets/d/1MjHtlUikwobi2MaWJgy7tfLeBmhj1u-dRFRs_8GwSoA/edit#gid=0"",""Gestores Escolares!D7:m""),9,0),""VERIFICAR CÓD SEC"")"),"")</f>
        <v/>
      </c>
      <c r="R1080" s="82" t="str">
        <f>IFERROR(__xludf.DUMMYFUNCTION("IFERROR(VLOOKUP(D1080,
IMPORTRANGE(""https://docs.google.com/spreadsheets/d/1MjHtlUikwobi2MaWJgy7tfLeBmhj1u-dRFRs_8GwSoA/edit#gid=0"",""Gestores Escolares!D7:m""),10,0),""VERIFICAR CÓD SEC"")"),"")</f>
        <v/>
      </c>
      <c r="S1080" s="82"/>
      <c r="T1080" s="138">
        <v>6.0</v>
      </c>
      <c r="U1080" s="145">
        <v>6.0</v>
      </c>
      <c r="V1080" s="106">
        <v>0.0</v>
      </c>
      <c r="W1080" s="107">
        <v>0.0</v>
      </c>
      <c r="X1080" s="107">
        <v>0.0</v>
      </c>
      <c r="Y1080" s="107">
        <v>0.0</v>
      </c>
      <c r="Z1080" s="80">
        <f t="shared" si="1"/>
        <v>0</v>
      </c>
      <c r="AA1080" s="106">
        <v>0.0</v>
      </c>
      <c r="AB1080" s="107">
        <v>0.0</v>
      </c>
      <c r="AC1080" s="107">
        <v>0.0</v>
      </c>
      <c r="AD1080" s="107">
        <v>0.0</v>
      </c>
      <c r="AE1080" s="80">
        <f t="shared" si="2"/>
        <v>0</v>
      </c>
      <c r="AF1080" s="140">
        <v>209.0</v>
      </c>
      <c r="AG1080" s="109">
        <v>68.0</v>
      </c>
      <c r="AH1080" s="109">
        <v>0.0</v>
      </c>
      <c r="AI1080" s="141">
        <v>0.0</v>
      </c>
      <c r="AJ1080" s="80">
        <f t="shared" si="3"/>
        <v>277</v>
      </c>
      <c r="AK1080" s="140">
        <v>0.0</v>
      </c>
      <c r="AL1080" s="109">
        <v>0.0</v>
      </c>
      <c r="AM1080" s="141">
        <v>0.0</v>
      </c>
      <c r="AN1080" s="80">
        <f t="shared" si="4"/>
        <v>0</v>
      </c>
      <c r="AO1080" s="140">
        <v>0.0</v>
      </c>
      <c r="AP1080" s="109">
        <v>0.0</v>
      </c>
      <c r="AQ1080" s="109">
        <v>67.0</v>
      </c>
      <c r="AR1080" s="80">
        <f t="shared" si="5"/>
        <v>67</v>
      </c>
      <c r="AS1080" s="110">
        <v>0.0</v>
      </c>
      <c r="AT1080" s="110">
        <v>0.0</v>
      </c>
      <c r="AU1080" s="110">
        <v>0.0</v>
      </c>
      <c r="AV1080" s="142">
        <v>0.0</v>
      </c>
      <c r="AW1080" s="80">
        <f t="shared" si="6"/>
        <v>0</v>
      </c>
      <c r="AX1080" s="113">
        <f t="shared" si="7"/>
        <v>344</v>
      </c>
      <c r="AY1080" s="117">
        <f t="shared" si="8"/>
        <v>277</v>
      </c>
      <c r="AZ1080" s="120">
        <f t="shared" si="9"/>
        <v>67</v>
      </c>
      <c r="BA1080" s="115">
        <v>0.0</v>
      </c>
      <c r="BB1080" s="89">
        <f t="shared" si="10"/>
        <v>344</v>
      </c>
      <c r="BC1080" s="132" t="s">
        <v>178</v>
      </c>
      <c r="BD1080" s="132" t="s">
        <v>178</v>
      </c>
      <c r="BE1080" s="132" t="s">
        <v>178</v>
      </c>
      <c r="BF1080" s="156"/>
      <c r="BG1080" s="83">
        <v>1176448.0</v>
      </c>
      <c r="BH1080" s="112"/>
      <c r="BI1080" s="112">
        <v>6.0</v>
      </c>
      <c r="BJ1080" s="98" t="s">
        <v>155</v>
      </c>
      <c r="BK1080" s="99">
        <f t="shared" si="11"/>
        <v>0</v>
      </c>
      <c r="BL1080" s="99">
        <f t="shared" si="12"/>
        <v>277</v>
      </c>
      <c r="BM1080" s="99" t="str">
        <f>IFERROR(__xludf.DUMMYFUNCTION("IFERROR(VLOOKUP(BG1080,IMPORTRANGE(""https://docs.google.com/spreadsheets/d/1juPI-Fb8LD0YtltB2mlGEnp_R3UVu1t3wSFPzgCyHXE/edit?gid=0#gid=0"",""GERAL!A2:C""),3,0),""-"")"),"-")</f>
        <v>-</v>
      </c>
    </row>
    <row r="1081" ht="15.75" customHeight="1">
      <c r="A1081" s="111" t="s">
        <v>1335</v>
      </c>
      <c r="B1081" s="83" t="s">
        <v>2050</v>
      </c>
      <c r="C1081" s="83" t="s">
        <v>68</v>
      </c>
      <c r="D1081" s="112">
        <v>1106742.0</v>
      </c>
      <c r="E1081" s="83"/>
      <c r="F1081" s="83">
        <v>2.9093279E7</v>
      </c>
      <c r="G1081" s="114" t="s">
        <v>2233</v>
      </c>
      <c r="H1081" s="91" t="s">
        <v>5850</v>
      </c>
      <c r="I1081" s="83" t="s">
        <v>1288</v>
      </c>
      <c r="J1081" s="83" t="s">
        <v>150</v>
      </c>
      <c r="K1081" s="83" t="s">
        <v>151</v>
      </c>
      <c r="L1081" s="83" t="s">
        <v>230</v>
      </c>
      <c r="M1081" s="82" t="str">
        <f>IFERROR(__xludf.DUMMYFUNCTION("IFERROR(VLOOKUP(D1081,
IMPORTRANGE(""https://docs.google.com/spreadsheets/d/1MjHtlUikwobi2MaWJgy7tfLeBmhj1u-dRFRs_8GwSoA/edit#gid=0"",""Gestores Escolares!D7:J""),3,0),""VERIFICAR CÓD SEC"")"),"EDUARDO BRITO CORREIA")</f>
        <v>EDUARDO BRITO CORREIA</v>
      </c>
      <c r="N1081" s="82" t="str">
        <f>IFERROR(__xludf.DUMMYFUNCTION("IFERROR(VLOOKUP(D1081,
IMPORTRANGE(""https://docs.google.com/spreadsheets/d/1MjHtlUikwobi2MaWJgy7tfLeBmhj1u-dRFRs_8GwSoA/edit#gid=0"",""Gestores Escolares!D7:J""),4,0),""VERIFICAR CÓD SEC"")"),"(75) 9 9178-7016")</f>
        <v>(75) 9 9178-7016</v>
      </c>
      <c r="O1081" s="82" t="str">
        <f>IFERROR(__xludf.DUMMYFUNCTION("IFERROR(VLOOKUP(D1081,
IMPORTRANGE(""https://docs.google.com/spreadsheets/d/1MjHtlUikwobi2MaWJgy7tfLeBmhj1u-dRFRs_8GwSoA/edit#gid=0"",""Gestores Escolares!D7:J""),6,0),""VERIFICAR CÓD SEC"")"),"SHEILA DE CARVALHO LIMA")</f>
        <v>SHEILA DE CARVALHO LIMA</v>
      </c>
      <c r="P1081" s="82" t="str">
        <f>IFERROR(__xludf.DUMMYFUNCTION("IFERROR(VLOOKUP(D1081,
IMPORTRANGE(""https://docs.google.com/spreadsheets/d/1MjHtlUikwobi2MaWJgy7tfLeBmhj1u-dRFRs_8GwSoA/edit#gid=0"",""Gestores Escolares!D7:J""),7,0),""VERIFICAR CÓD SEC"")"),"(75) 9 9134-2657")</f>
        <v>(75) 9 9134-2657</v>
      </c>
      <c r="Q1081" s="82" t="str">
        <f>IFERROR(__xludf.DUMMYFUNCTION("IFERROR(VLOOKUP(D1081,
IMPORTRANGE(""https://docs.google.com/spreadsheets/d/1MjHtlUikwobi2MaWJgy7tfLeBmhj1u-dRFRs_8GwSoA/edit#gid=0"",""Gestores Escolares!D7:m""),9,0),""VERIFICAR CÓD SEC"")"),"SANDRA DA SILVA CASTRO")</f>
        <v>SANDRA DA SILVA CASTRO</v>
      </c>
      <c r="R1081" s="82" t="str">
        <f>IFERROR(__xludf.DUMMYFUNCTION("IFERROR(VLOOKUP(D1081,
IMPORTRANGE(""https://docs.google.com/spreadsheets/d/1MjHtlUikwobi2MaWJgy7tfLeBmhj1u-dRFRs_8GwSoA/edit#gid=0"",""Gestores Escolares!D7:m""),10,0),""VERIFICAR CÓD SEC"")"),"(75) 9 9129-5470")</f>
        <v>(75) 9 9129-5470</v>
      </c>
      <c r="S1081" s="82"/>
      <c r="T1081" s="138">
        <v>21.0</v>
      </c>
      <c r="U1081" s="388">
        <v>21.0</v>
      </c>
      <c r="V1081" s="106">
        <v>0.0</v>
      </c>
      <c r="W1081" s="107">
        <v>0.0</v>
      </c>
      <c r="X1081" s="107">
        <v>0.0</v>
      </c>
      <c r="Y1081" s="107">
        <v>0.0</v>
      </c>
      <c r="Z1081" s="80">
        <f t="shared" si="1"/>
        <v>0</v>
      </c>
      <c r="AA1081" s="106">
        <v>273.0</v>
      </c>
      <c r="AB1081" s="107">
        <v>102.0</v>
      </c>
      <c r="AC1081" s="107">
        <v>0.0</v>
      </c>
      <c r="AD1081" s="107">
        <v>0.0</v>
      </c>
      <c r="AE1081" s="80">
        <f t="shared" si="2"/>
        <v>375</v>
      </c>
      <c r="AF1081" s="140">
        <v>0.0</v>
      </c>
      <c r="AG1081" s="109">
        <v>0.0</v>
      </c>
      <c r="AH1081" s="109">
        <v>0.0</v>
      </c>
      <c r="AI1081" s="141">
        <v>368.0</v>
      </c>
      <c r="AJ1081" s="80">
        <f t="shared" si="3"/>
        <v>368</v>
      </c>
      <c r="AK1081" s="140">
        <v>0.0</v>
      </c>
      <c r="AL1081" s="109">
        <v>59.0</v>
      </c>
      <c r="AM1081" s="141">
        <v>0.0</v>
      </c>
      <c r="AN1081" s="80">
        <f t="shared" si="4"/>
        <v>59</v>
      </c>
      <c r="AO1081" s="140">
        <v>0.0</v>
      </c>
      <c r="AP1081" s="109">
        <v>48.0</v>
      </c>
      <c r="AQ1081" s="109">
        <v>181.0</v>
      </c>
      <c r="AR1081" s="80">
        <f t="shared" si="5"/>
        <v>229</v>
      </c>
      <c r="AS1081" s="110">
        <v>0.0</v>
      </c>
      <c r="AT1081" s="110">
        <v>0.0</v>
      </c>
      <c r="AU1081" s="110">
        <v>53.0</v>
      </c>
      <c r="AV1081" s="142">
        <v>0.0</v>
      </c>
      <c r="AW1081" s="80">
        <f t="shared" si="6"/>
        <v>53</v>
      </c>
      <c r="AX1081" s="113">
        <f t="shared" si="7"/>
        <v>1084</v>
      </c>
      <c r="AY1081" s="117">
        <f t="shared" si="8"/>
        <v>850</v>
      </c>
      <c r="AZ1081" s="120">
        <f t="shared" si="9"/>
        <v>234</v>
      </c>
      <c r="BA1081" s="115">
        <v>0.0</v>
      </c>
      <c r="BB1081" s="89">
        <f t="shared" si="10"/>
        <v>1084</v>
      </c>
      <c r="BC1081" s="132" t="s">
        <v>178</v>
      </c>
      <c r="BD1081" s="132" t="s">
        <v>178</v>
      </c>
      <c r="BE1081" s="132" t="s">
        <v>178</v>
      </c>
      <c r="BF1081" s="123"/>
      <c r="BG1081" s="83">
        <v>1106742.0</v>
      </c>
      <c r="BH1081" s="112"/>
      <c r="BI1081" s="112">
        <v>21.0</v>
      </c>
      <c r="BJ1081" s="98" t="s">
        <v>155</v>
      </c>
      <c r="BK1081" s="99">
        <f t="shared" si="11"/>
        <v>368</v>
      </c>
      <c r="BL1081" s="99">
        <f t="shared" si="12"/>
        <v>482</v>
      </c>
      <c r="BM1081" s="99" t="str">
        <f>IFERROR(__xludf.DUMMYFUNCTION("IFERROR(VLOOKUP(BG1081,IMPORTRANGE(""https://docs.google.com/spreadsheets/d/1juPI-Fb8LD0YtltB2mlGEnp_R3UVu1t3wSFPzgCyHXE/edit?gid=0#gid=0"",""GERAL!A2:C""),3,0),""-"")"),"-")</f>
        <v>-</v>
      </c>
    </row>
    <row r="1082" ht="15.75" customHeight="1">
      <c r="A1082" s="111" t="s">
        <v>1335</v>
      </c>
      <c r="B1082" s="83" t="s">
        <v>2050</v>
      </c>
      <c r="C1082" s="83" t="s">
        <v>68</v>
      </c>
      <c r="D1082" s="112">
        <v>1105940.0</v>
      </c>
      <c r="E1082" s="83"/>
      <c r="F1082" s="83">
        <v>2.9094194E7</v>
      </c>
      <c r="G1082" s="114" t="s">
        <v>5859</v>
      </c>
      <c r="H1082" s="91" t="s">
        <v>5860</v>
      </c>
      <c r="I1082" s="83" t="s">
        <v>149</v>
      </c>
      <c r="J1082" s="83" t="s">
        <v>150</v>
      </c>
      <c r="K1082" s="83" t="s">
        <v>151</v>
      </c>
      <c r="L1082" s="83" t="s">
        <v>152</v>
      </c>
      <c r="M1082" s="82" t="str">
        <f>IFERROR(__xludf.DUMMYFUNCTION("IFERROR(VLOOKUP(D1082,
IMPORTRANGE(""https://docs.google.com/spreadsheets/d/1MjHtlUikwobi2MaWJgy7tfLeBmhj1u-dRFRs_8GwSoA/edit#gid=0"",""Gestores Escolares!D7:J""),3,0),""VERIFICAR CÓD SEC"")"),"MARYANGELA PINHEIRO DE ALMEIDA FRANCA")</f>
        <v>MARYANGELA PINHEIRO DE ALMEIDA FRANCA</v>
      </c>
      <c r="N1082" s="82" t="str">
        <f>IFERROR(__xludf.DUMMYFUNCTION("IFERROR(VLOOKUP(D1082,
IMPORTRANGE(""https://docs.google.com/spreadsheets/d/1MjHtlUikwobi2MaWJgy7tfLeBmhj1u-dRFRs_8GwSoA/edit#gid=0"",""Gestores Escolares!D7:J""),4,0),""VERIFICAR CÓD SEC"")"),"(75) 9 8223-9024")</f>
        <v>(75) 9 8223-9024</v>
      </c>
      <c r="O1082" s="82" t="str">
        <f>IFERROR(__xludf.DUMMYFUNCTION("IFERROR(VLOOKUP(D1082,
IMPORTRANGE(""https://docs.google.com/spreadsheets/d/1MjHtlUikwobi2MaWJgy7tfLeBmhj1u-dRFRs_8GwSoA/edit#gid=0"",""Gestores Escolares!D7:J""),6,0),""VERIFICAR CÓD SEC"")"),"SILVANA MARIA SANTOS GUERRA")</f>
        <v>SILVANA MARIA SANTOS GUERRA</v>
      </c>
      <c r="P1082" s="82" t="str">
        <f>IFERROR(__xludf.DUMMYFUNCTION("IFERROR(VLOOKUP(D1082,
IMPORTRANGE(""https://docs.google.com/spreadsheets/d/1MjHtlUikwobi2MaWJgy7tfLeBmhj1u-dRFRs_8GwSoA/edit#gid=0"",""Gestores Escolares!D7:J""),7,0),""VERIFICAR CÓD SEC"")"),"(75) 9 9148-3028")</f>
        <v>(75) 9 9148-3028</v>
      </c>
      <c r="Q1082" s="82" t="str">
        <f>IFERROR(__xludf.DUMMYFUNCTION("IFERROR(VLOOKUP(D1082,
IMPORTRANGE(""https://docs.google.com/spreadsheets/d/1MjHtlUikwobi2MaWJgy7tfLeBmhj1u-dRFRs_8GwSoA/edit#gid=0"",""Gestores Escolares!D7:m""),9,0),""VERIFICAR CÓD SEC"")"),"SUSANA CASTRO LEITE")</f>
        <v>SUSANA CASTRO LEITE</v>
      </c>
      <c r="R1082" s="82" t="str">
        <f>IFERROR(__xludf.DUMMYFUNCTION("IFERROR(VLOOKUP(D1082,
IMPORTRANGE(""https://docs.google.com/spreadsheets/d/1MjHtlUikwobi2MaWJgy7tfLeBmhj1u-dRFRs_8GwSoA/edit#gid=0"",""Gestores Escolares!D7:m""),10,0),""VERIFICAR CÓD SEC"")"),"(75) 9 8806-4554")</f>
        <v>(75) 9 8806-4554</v>
      </c>
      <c r="S1082" s="82"/>
      <c r="T1082" s="138">
        <v>16.0</v>
      </c>
      <c r="U1082" s="388">
        <v>16.0</v>
      </c>
      <c r="V1082" s="106">
        <v>0.0</v>
      </c>
      <c r="W1082" s="107">
        <v>0.0</v>
      </c>
      <c r="X1082" s="107">
        <v>0.0</v>
      </c>
      <c r="Y1082" s="107">
        <v>0.0</v>
      </c>
      <c r="Z1082" s="80">
        <f t="shared" si="1"/>
        <v>0</v>
      </c>
      <c r="AA1082" s="106">
        <v>0.0</v>
      </c>
      <c r="AB1082" s="107">
        <v>0.0</v>
      </c>
      <c r="AC1082" s="107">
        <v>0.0</v>
      </c>
      <c r="AD1082" s="107">
        <v>0.0</v>
      </c>
      <c r="AE1082" s="80">
        <f t="shared" si="2"/>
        <v>0</v>
      </c>
      <c r="AF1082" s="140">
        <v>351.0</v>
      </c>
      <c r="AG1082" s="109">
        <v>58.0</v>
      </c>
      <c r="AH1082" s="109">
        <v>0.0</v>
      </c>
      <c r="AI1082" s="141">
        <v>22.0</v>
      </c>
      <c r="AJ1082" s="80">
        <f t="shared" si="3"/>
        <v>431</v>
      </c>
      <c r="AK1082" s="140">
        <v>0.0</v>
      </c>
      <c r="AL1082" s="109">
        <v>0.0</v>
      </c>
      <c r="AM1082" s="141">
        <v>0.0</v>
      </c>
      <c r="AN1082" s="80">
        <f t="shared" si="4"/>
        <v>0</v>
      </c>
      <c r="AO1082" s="140">
        <v>0.0</v>
      </c>
      <c r="AP1082" s="109">
        <v>0.0</v>
      </c>
      <c r="AQ1082" s="109">
        <v>182.0</v>
      </c>
      <c r="AR1082" s="80">
        <f t="shared" si="5"/>
        <v>182</v>
      </c>
      <c r="AS1082" s="110">
        <v>0.0</v>
      </c>
      <c r="AT1082" s="110">
        <v>95.0</v>
      </c>
      <c r="AU1082" s="110">
        <v>53.0</v>
      </c>
      <c r="AV1082" s="142">
        <v>0.0</v>
      </c>
      <c r="AW1082" s="80">
        <f t="shared" si="6"/>
        <v>148</v>
      </c>
      <c r="AX1082" s="113">
        <f t="shared" si="7"/>
        <v>761</v>
      </c>
      <c r="AY1082" s="117">
        <f t="shared" si="8"/>
        <v>526</v>
      </c>
      <c r="AZ1082" s="120">
        <f t="shared" si="9"/>
        <v>235</v>
      </c>
      <c r="BA1082" s="115">
        <v>0.0</v>
      </c>
      <c r="BB1082" s="89">
        <f t="shared" si="10"/>
        <v>761</v>
      </c>
      <c r="BC1082" s="132" t="s">
        <v>178</v>
      </c>
      <c r="BD1082" s="132" t="s">
        <v>178</v>
      </c>
      <c r="BE1082" s="132" t="s">
        <v>178</v>
      </c>
      <c r="BF1082" s="123"/>
      <c r="BG1082" s="83">
        <v>1105940.0</v>
      </c>
      <c r="BH1082" s="112"/>
      <c r="BI1082" s="112">
        <v>16.0</v>
      </c>
      <c r="BJ1082" s="98" t="s">
        <v>155</v>
      </c>
      <c r="BK1082" s="99">
        <f t="shared" si="11"/>
        <v>22</v>
      </c>
      <c r="BL1082" s="99">
        <f t="shared" si="12"/>
        <v>504</v>
      </c>
      <c r="BM1082" s="99" t="str">
        <f>IFERROR(__xludf.DUMMYFUNCTION("IFERROR(VLOOKUP(BG1082,IMPORTRANGE(""https://docs.google.com/spreadsheets/d/1juPI-Fb8LD0YtltB2mlGEnp_R3UVu1t3wSFPzgCyHXE/edit?gid=0#gid=0"",""GERAL!A2:C""),3,0),""-"")"),"-")</f>
        <v>-</v>
      </c>
    </row>
    <row r="1083" ht="15.75" customHeight="1">
      <c r="A1083" s="111" t="s">
        <v>1335</v>
      </c>
      <c r="B1083" s="83" t="s">
        <v>2050</v>
      </c>
      <c r="C1083" s="83" t="s">
        <v>68</v>
      </c>
      <c r="D1083" s="112">
        <v>1105886.0</v>
      </c>
      <c r="E1083" s="83"/>
      <c r="F1083" s="83">
        <v>2.909366E7</v>
      </c>
      <c r="G1083" s="114" t="s">
        <v>5862</v>
      </c>
      <c r="H1083" s="91" t="s">
        <v>5863</v>
      </c>
      <c r="I1083" s="83" t="s">
        <v>5864</v>
      </c>
      <c r="J1083" s="83" t="s">
        <v>150</v>
      </c>
      <c r="K1083" s="83" t="s">
        <v>151</v>
      </c>
      <c r="L1083" s="83" t="s">
        <v>152</v>
      </c>
      <c r="M1083" s="82" t="str">
        <f>IFERROR(__xludf.DUMMYFUNCTION("IFERROR(VLOOKUP(D1083,
IMPORTRANGE(""https://docs.google.com/spreadsheets/d/1MjHtlUikwobi2MaWJgy7tfLeBmhj1u-dRFRs_8GwSoA/edit#gid=0"",""Gestores Escolares!D7:J""),3,0),""VERIFICAR CÓD SEC"")"),"YANEZ MARCELO DE CERQUEIRA FREITAS")</f>
        <v>YANEZ MARCELO DE CERQUEIRA FREITAS</v>
      </c>
      <c r="N1083" s="82" t="str">
        <f>IFERROR(__xludf.DUMMYFUNCTION("IFERROR(VLOOKUP(D1083,
IMPORTRANGE(""https://docs.google.com/spreadsheets/d/1MjHtlUikwobi2MaWJgy7tfLeBmhj1u-dRFRs_8GwSoA/edit#gid=0"",""Gestores Escolares!D7:J""),4,0),""VERIFICAR CÓD SEC"")"),"(75) 9 8117-6986/
9 9701-1605")</f>
        <v>(75) 9 8117-6986/
9 9701-1605</v>
      </c>
      <c r="O1083" s="82" t="str">
        <f>IFERROR(__xludf.DUMMYFUNCTION("IFERROR(VLOOKUP(D1083,
IMPORTRANGE(""https://docs.google.com/spreadsheets/d/1MjHtlUikwobi2MaWJgy7tfLeBmhj1u-dRFRs_8GwSoA/edit#gid=0"",""Gestores Escolares!D7:J""),6,0),""VERIFICAR CÓD SEC"")"),"ALEXANDRA PATROCINIO NOGUEIRA")</f>
        <v>ALEXANDRA PATROCINIO NOGUEIRA</v>
      </c>
      <c r="P1083" s="82" t="str">
        <f>IFERROR(__xludf.DUMMYFUNCTION("IFERROR(VLOOKUP(D1083,
IMPORTRANGE(""https://docs.google.com/spreadsheets/d/1MjHtlUikwobi2MaWJgy7tfLeBmhj1u-dRFRs_8GwSoA/edit#gid=0"",""Gestores Escolares!D7:J""),7,0),""VERIFICAR CÓD SEC"")"),"(71) 9 9223-5223")</f>
        <v>(71) 9 9223-5223</v>
      </c>
      <c r="Q1083" s="82" t="str">
        <f>IFERROR(__xludf.DUMMYFUNCTION("IFERROR(VLOOKUP(D1083,
IMPORTRANGE(""https://docs.google.com/spreadsheets/d/1MjHtlUikwobi2MaWJgy7tfLeBmhj1u-dRFRs_8GwSoA/edit#gid=0"",""Gestores Escolares!D7:m""),9,0),""VERIFICAR CÓD SEC"")"),"FRANCISCA KELLYANE CUNHA PEREIRA")</f>
        <v>FRANCISCA KELLYANE CUNHA PEREIRA</v>
      </c>
      <c r="R1083" s="82" t="str">
        <f>IFERROR(__xludf.DUMMYFUNCTION("IFERROR(VLOOKUP(D1083,
IMPORTRANGE(""https://docs.google.com/spreadsheets/d/1MjHtlUikwobi2MaWJgy7tfLeBmhj1u-dRFRs_8GwSoA/edit#gid=0"",""Gestores Escolares!D7:m""),10,0),""VERIFICAR CÓD SEC"")"),"(75) 9 9202-4020")</f>
        <v>(75) 9 9202-4020</v>
      </c>
      <c r="S1083" s="82"/>
      <c r="T1083" s="138">
        <v>13.0</v>
      </c>
      <c r="U1083" s="388">
        <v>13.0</v>
      </c>
      <c r="V1083" s="106">
        <v>0.0</v>
      </c>
      <c r="W1083" s="107">
        <v>0.0</v>
      </c>
      <c r="X1083" s="107">
        <v>0.0</v>
      </c>
      <c r="Y1083" s="107">
        <v>0.0</v>
      </c>
      <c r="Z1083" s="80">
        <f t="shared" si="1"/>
        <v>0</v>
      </c>
      <c r="AA1083" s="106">
        <v>88.0</v>
      </c>
      <c r="AB1083" s="107">
        <v>147.0</v>
      </c>
      <c r="AC1083" s="107">
        <v>0.0</v>
      </c>
      <c r="AD1083" s="107">
        <v>0.0</v>
      </c>
      <c r="AE1083" s="80">
        <f t="shared" si="2"/>
        <v>235</v>
      </c>
      <c r="AF1083" s="140">
        <v>196.0</v>
      </c>
      <c r="AG1083" s="109">
        <v>109.0</v>
      </c>
      <c r="AH1083" s="109">
        <v>0.0</v>
      </c>
      <c r="AI1083" s="141">
        <v>18.0</v>
      </c>
      <c r="AJ1083" s="80">
        <f t="shared" si="3"/>
        <v>323</v>
      </c>
      <c r="AK1083" s="140">
        <v>0.0</v>
      </c>
      <c r="AL1083" s="109">
        <v>0.0</v>
      </c>
      <c r="AM1083" s="141">
        <v>0.0</v>
      </c>
      <c r="AN1083" s="80">
        <f t="shared" si="4"/>
        <v>0</v>
      </c>
      <c r="AO1083" s="140">
        <v>0.0</v>
      </c>
      <c r="AP1083" s="109">
        <v>0.0</v>
      </c>
      <c r="AQ1083" s="109">
        <v>119.0</v>
      </c>
      <c r="AR1083" s="80">
        <f t="shared" si="5"/>
        <v>119</v>
      </c>
      <c r="AS1083" s="110">
        <v>0.0</v>
      </c>
      <c r="AT1083" s="110">
        <v>0.0</v>
      </c>
      <c r="AU1083" s="110">
        <v>0.0</v>
      </c>
      <c r="AV1083" s="142">
        <v>0.0</v>
      </c>
      <c r="AW1083" s="80">
        <f t="shared" si="6"/>
        <v>0</v>
      </c>
      <c r="AX1083" s="113">
        <f t="shared" si="7"/>
        <v>677</v>
      </c>
      <c r="AY1083" s="117">
        <f t="shared" si="8"/>
        <v>558</v>
      </c>
      <c r="AZ1083" s="120">
        <f t="shared" si="9"/>
        <v>119</v>
      </c>
      <c r="BA1083" s="115">
        <v>0.0</v>
      </c>
      <c r="BB1083" s="89">
        <f t="shared" si="10"/>
        <v>677</v>
      </c>
      <c r="BC1083" s="132" t="s">
        <v>178</v>
      </c>
      <c r="BD1083" s="132" t="s">
        <v>178</v>
      </c>
      <c r="BE1083" s="132" t="s">
        <v>178</v>
      </c>
      <c r="BF1083" s="123"/>
      <c r="BG1083" s="83">
        <v>1105886.0</v>
      </c>
      <c r="BH1083" s="98"/>
      <c r="BI1083" s="98">
        <v>13.0</v>
      </c>
      <c r="BJ1083" s="98" t="s">
        <v>155</v>
      </c>
      <c r="BK1083" s="99">
        <f t="shared" si="11"/>
        <v>18</v>
      </c>
      <c r="BL1083" s="99">
        <f t="shared" si="12"/>
        <v>540</v>
      </c>
      <c r="BM1083" s="99" t="str">
        <f>IFERROR(__xludf.DUMMYFUNCTION("IFERROR(VLOOKUP(BG1083,IMPORTRANGE(""https://docs.google.com/spreadsheets/d/1juPI-Fb8LD0YtltB2mlGEnp_R3UVu1t3wSFPzgCyHXE/edit?gid=0#gid=0"",""GERAL!A2:C""),3,0),""-"")"),"-")</f>
        <v>-</v>
      </c>
    </row>
    <row r="1084" ht="15.75" customHeight="1">
      <c r="A1084" s="111" t="s">
        <v>1335</v>
      </c>
      <c r="B1084" s="83" t="s">
        <v>2050</v>
      </c>
      <c r="C1084" s="83" t="s">
        <v>68</v>
      </c>
      <c r="D1084" s="112">
        <v>1178219.0</v>
      </c>
      <c r="E1084" s="83"/>
      <c r="F1084" s="83">
        <v>2.9443768E7</v>
      </c>
      <c r="G1084" s="114" t="s">
        <v>5866</v>
      </c>
      <c r="H1084" s="91" t="s">
        <v>5867</v>
      </c>
      <c r="I1084" s="83" t="s">
        <v>5868</v>
      </c>
      <c r="J1084" s="83" t="s">
        <v>150</v>
      </c>
      <c r="K1084" s="83" t="s">
        <v>151</v>
      </c>
      <c r="L1084" s="83" t="s">
        <v>76</v>
      </c>
      <c r="M1084" s="82" t="str">
        <f>IFERROR(__xludf.DUMMYFUNCTION("IFERROR(VLOOKUP(D1084,
IMPORTRANGE(""https://docs.google.com/spreadsheets/d/1MjHtlUikwobi2MaWJgy7tfLeBmhj1u-dRFRs_8GwSoA/edit#gid=0"",""Gestores Escolares!D7:J""),3,0),""VERIFICAR CÓD SEC"")"),"ARACELI CARVALHO GOMES DANTAS")</f>
        <v>ARACELI CARVALHO GOMES DANTAS</v>
      </c>
      <c r="N1084" s="82" t="str">
        <f>IFERROR(__xludf.DUMMYFUNCTION("IFERROR(VLOOKUP(D1084,
IMPORTRANGE(""https://docs.google.com/spreadsheets/d/1MjHtlUikwobi2MaWJgy7tfLeBmhj1u-dRFRs_8GwSoA/edit#gid=0"",""Gestores Escolares!D7:J""),4,0),""VERIFICAR CÓD SEC"")"),"(75) 9 8842-5003")</f>
        <v>(75) 9 8842-5003</v>
      </c>
      <c r="O1084" s="82" t="str">
        <f>IFERROR(__xludf.DUMMYFUNCTION("IFERROR(VLOOKUP(D1084,
IMPORTRANGE(""https://docs.google.com/spreadsheets/d/1MjHtlUikwobi2MaWJgy7tfLeBmhj1u-dRFRs_8GwSoA/edit#gid=0"",""Gestores Escolares!D7:J""),6,0),""VERIFICAR CÓD SEC"")"),"JACY BARBARA CUNHA DA SILVA SANTOS")</f>
        <v>JACY BARBARA CUNHA DA SILVA SANTOS</v>
      </c>
      <c r="P1084" s="82" t="str">
        <f>IFERROR(__xludf.DUMMYFUNCTION("IFERROR(VLOOKUP(D1084,
IMPORTRANGE(""https://docs.google.com/spreadsheets/d/1MjHtlUikwobi2MaWJgy7tfLeBmhj1u-dRFRs_8GwSoA/edit#gid=0"",""Gestores Escolares!D7:J""),7,0),""VERIFICAR CÓD SEC"")"),"(75) 9 9210-8965")</f>
        <v>(75) 9 9210-8965</v>
      </c>
      <c r="Q1084" s="82" t="str">
        <f>IFERROR(__xludf.DUMMYFUNCTION("IFERROR(VLOOKUP(D1084,
IMPORTRANGE(""https://docs.google.com/spreadsheets/d/1MjHtlUikwobi2MaWJgy7tfLeBmhj1u-dRFRs_8GwSoA/edit#gid=0"",""Gestores Escolares!D7:m""),9,0),""VERIFICAR CÓD SEC"")"),"")</f>
        <v/>
      </c>
      <c r="R1084" s="82" t="str">
        <f>IFERROR(__xludf.DUMMYFUNCTION("IFERROR(VLOOKUP(D1084,
IMPORTRANGE(""https://docs.google.com/spreadsheets/d/1MjHtlUikwobi2MaWJgy7tfLeBmhj1u-dRFRs_8GwSoA/edit#gid=0"",""Gestores Escolares!D7:m""),10,0),""VERIFICAR CÓD SEC"")"),"")</f>
        <v/>
      </c>
      <c r="S1084" s="82"/>
      <c r="T1084" s="138">
        <v>9.0</v>
      </c>
      <c r="U1084" s="388">
        <v>9.0</v>
      </c>
      <c r="V1084" s="106">
        <v>0.0</v>
      </c>
      <c r="W1084" s="107">
        <v>0.0</v>
      </c>
      <c r="X1084" s="107">
        <v>0.0</v>
      </c>
      <c r="Y1084" s="107">
        <v>0.0</v>
      </c>
      <c r="Z1084" s="80">
        <f t="shared" si="1"/>
        <v>0</v>
      </c>
      <c r="AA1084" s="106">
        <v>0.0</v>
      </c>
      <c r="AB1084" s="107">
        <v>0.0</v>
      </c>
      <c r="AC1084" s="107">
        <v>0.0</v>
      </c>
      <c r="AD1084" s="107">
        <v>0.0</v>
      </c>
      <c r="AE1084" s="80">
        <f t="shared" si="2"/>
        <v>0</v>
      </c>
      <c r="AF1084" s="140">
        <v>0.0</v>
      </c>
      <c r="AG1084" s="109">
        <v>0.0</v>
      </c>
      <c r="AH1084" s="109">
        <v>0.0</v>
      </c>
      <c r="AI1084" s="141">
        <v>99.0</v>
      </c>
      <c r="AJ1084" s="80">
        <f t="shared" si="3"/>
        <v>99</v>
      </c>
      <c r="AK1084" s="140">
        <v>0.0</v>
      </c>
      <c r="AL1084" s="109">
        <v>0.0</v>
      </c>
      <c r="AM1084" s="141">
        <v>0.0</v>
      </c>
      <c r="AN1084" s="80">
        <f t="shared" si="4"/>
        <v>0</v>
      </c>
      <c r="AO1084" s="140">
        <v>0.0</v>
      </c>
      <c r="AP1084" s="109">
        <v>0.0</v>
      </c>
      <c r="AQ1084" s="109">
        <v>85.0</v>
      </c>
      <c r="AR1084" s="80">
        <f t="shared" si="5"/>
        <v>85</v>
      </c>
      <c r="AS1084" s="110">
        <v>64.0</v>
      </c>
      <c r="AT1084" s="110">
        <v>0.0</v>
      </c>
      <c r="AU1084" s="110">
        <v>0.0</v>
      </c>
      <c r="AV1084" s="142">
        <v>0.0</v>
      </c>
      <c r="AW1084" s="80">
        <f t="shared" si="6"/>
        <v>64</v>
      </c>
      <c r="AX1084" s="113">
        <f t="shared" si="7"/>
        <v>248</v>
      </c>
      <c r="AY1084" s="117">
        <f t="shared" si="8"/>
        <v>163</v>
      </c>
      <c r="AZ1084" s="120">
        <f t="shared" si="9"/>
        <v>85</v>
      </c>
      <c r="BA1084" s="115">
        <v>0.0</v>
      </c>
      <c r="BB1084" s="89">
        <f t="shared" si="10"/>
        <v>248</v>
      </c>
      <c r="BC1084" s="132" t="s">
        <v>178</v>
      </c>
      <c r="BD1084" s="132" t="s">
        <v>178</v>
      </c>
      <c r="BE1084" s="132" t="s">
        <v>178</v>
      </c>
      <c r="BF1084" s="123"/>
      <c r="BG1084" s="83">
        <v>1178219.0</v>
      </c>
      <c r="BH1084" s="98"/>
      <c r="BI1084" s="98">
        <v>9.0</v>
      </c>
      <c r="BJ1084" s="98" t="s">
        <v>155</v>
      </c>
      <c r="BK1084" s="99">
        <f t="shared" si="11"/>
        <v>99</v>
      </c>
      <c r="BL1084" s="99">
        <f t="shared" si="12"/>
        <v>64</v>
      </c>
      <c r="BM1084" s="99" t="str">
        <f>IFERROR(__xludf.DUMMYFUNCTION("IFERROR(VLOOKUP(BG1084,IMPORTRANGE(""https://docs.google.com/spreadsheets/d/1juPI-Fb8LD0YtltB2mlGEnp_R3UVu1t3wSFPzgCyHXE/edit?gid=0#gid=0"",""GERAL!A2:C""),3,0),""-"")"),"-")</f>
        <v>-</v>
      </c>
    </row>
    <row r="1085" ht="15.75" customHeight="1">
      <c r="A1085" s="111" t="s">
        <v>1335</v>
      </c>
      <c r="B1085" s="83" t="s">
        <v>2050</v>
      </c>
      <c r="C1085" s="83" t="s">
        <v>68</v>
      </c>
      <c r="D1085" s="112">
        <v>1106211.0</v>
      </c>
      <c r="E1085" s="83"/>
      <c r="F1085" s="83">
        <v>2.9096596E7</v>
      </c>
      <c r="G1085" s="114" t="s">
        <v>5876</v>
      </c>
      <c r="H1085" s="91" t="s">
        <v>5877</v>
      </c>
      <c r="I1085" s="83" t="s">
        <v>5878</v>
      </c>
      <c r="J1085" s="83" t="s">
        <v>2714</v>
      </c>
      <c r="K1085" s="83" t="s">
        <v>151</v>
      </c>
      <c r="L1085" s="83" t="s">
        <v>152</v>
      </c>
      <c r="M1085" s="82" t="str">
        <f>IFERROR(__xludf.DUMMYFUNCTION("IFERROR(VLOOKUP(D1085,
IMPORTRANGE(""https://docs.google.com/spreadsheets/d/1MjHtlUikwobi2MaWJgy7tfLeBmhj1u-dRFRs_8GwSoA/edit#gid=0"",""Gestores Escolares!D7:J""),3,0),""VERIFICAR CÓD SEC"")"),"VENICIUS BOMFIM PANTOJA")</f>
        <v>VENICIUS BOMFIM PANTOJA</v>
      </c>
      <c r="N1085" s="82" t="str">
        <f>IFERROR(__xludf.DUMMYFUNCTION("IFERROR(VLOOKUP(D1085,
IMPORTRANGE(""https://docs.google.com/spreadsheets/d/1MjHtlUikwobi2MaWJgy7tfLeBmhj1u-dRFRs_8GwSoA/edit#gid=0"",""Gestores Escolares!D7:J""),4,0),""VERIFICAR CÓD SEC"")"),"(75) 9 9151-8997")</f>
        <v>(75) 9 9151-8997</v>
      </c>
      <c r="O1085" s="82" t="str">
        <f>IFERROR(__xludf.DUMMYFUNCTION("IFERROR(VLOOKUP(D1085,
IMPORTRANGE(""https://docs.google.com/spreadsheets/d/1MjHtlUikwobi2MaWJgy7tfLeBmhj1u-dRFRs_8GwSoA/edit#gid=0"",""Gestores Escolares!D7:J""),6,0),""VERIFICAR CÓD SEC"")"),"TANIA GLACIA PORTO QUINTELLA")</f>
        <v>TANIA GLACIA PORTO QUINTELLA</v>
      </c>
      <c r="P1085" s="82" t="str">
        <f>IFERROR(__xludf.DUMMYFUNCTION("IFERROR(VLOOKUP(D1085,
IMPORTRANGE(""https://docs.google.com/spreadsheets/d/1MjHtlUikwobi2MaWJgy7tfLeBmhj1u-dRFRs_8GwSoA/edit#gid=0"",""Gestores Escolares!D7:J""),7,0),""VERIFICAR CÓD SEC"")"),"(75) 9 9155-9975")</f>
        <v>(75) 9 9155-9975</v>
      </c>
      <c r="Q1085" s="82" t="str">
        <f>IFERROR(__xludf.DUMMYFUNCTION("IFERROR(VLOOKUP(D1085,
IMPORTRANGE(""https://docs.google.com/spreadsheets/d/1MjHtlUikwobi2MaWJgy7tfLeBmhj1u-dRFRs_8GwSoA/edit#gid=0"",""Gestores Escolares!D7:m""),9,0),""VERIFICAR CÓD SEC"")"),"GILSON RIBEIRO DE OLIVEIRA")</f>
        <v>GILSON RIBEIRO DE OLIVEIRA</v>
      </c>
      <c r="R1085" s="82" t="str">
        <f>IFERROR(__xludf.DUMMYFUNCTION("IFERROR(VLOOKUP(D1085,
IMPORTRANGE(""https://docs.google.com/spreadsheets/d/1MjHtlUikwobi2MaWJgy7tfLeBmhj1u-dRFRs_8GwSoA/edit#gid=0"",""Gestores Escolares!D7:m""),10,0),""VERIFICAR CÓD SEC"")"),"(75) 9 9163-5363")</f>
        <v>(75) 9 9163-5363</v>
      </c>
      <c r="S1085" s="82"/>
      <c r="T1085" s="138">
        <v>12.0</v>
      </c>
      <c r="U1085" s="388">
        <v>12.0</v>
      </c>
      <c r="V1085" s="106">
        <v>0.0</v>
      </c>
      <c r="W1085" s="107">
        <v>0.0</v>
      </c>
      <c r="X1085" s="107">
        <v>0.0</v>
      </c>
      <c r="Y1085" s="107">
        <v>0.0</v>
      </c>
      <c r="Z1085" s="80">
        <f t="shared" si="1"/>
        <v>0</v>
      </c>
      <c r="AA1085" s="106">
        <v>0.0</v>
      </c>
      <c r="AB1085" s="107">
        <v>0.0</v>
      </c>
      <c r="AC1085" s="107">
        <v>0.0</v>
      </c>
      <c r="AD1085" s="107">
        <v>0.0</v>
      </c>
      <c r="AE1085" s="80">
        <f t="shared" si="2"/>
        <v>0</v>
      </c>
      <c r="AF1085" s="140">
        <v>158.0</v>
      </c>
      <c r="AG1085" s="109">
        <v>44.0</v>
      </c>
      <c r="AH1085" s="109">
        <v>0.0</v>
      </c>
      <c r="AI1085" s="141">
        <v>8.0</v>
      </c>
      <c r="AJ1085" s="80">
        <f t="shared" si="3"/>
        <v>210</v>
      </c>
      <c r="AK1085" s="140">
        <v>0.0</v>
      </c>
      <c r="AL1085" s="109">
        <v>0.0</v>
      </c>
      <c r="AM1085" s="141">
        <v>0.0</v>
      </c>
      <c r="AN1085" s="80">
        <f t="shared" si="4"/>
        <v>0</v>
      </c>
      <c r="AO1085" s="140">
        <v>0.0</v>
      </c>
      <c r="AP1085" s="109">
        <v>0.0</v>
      </c>
      <c r="AQ1085" s="109">
        <v>107.0</v>
      </c>
      <c r="AR1085" s="80">
        <f t="shared" si="5"/>
        <v>107</v>
      </c>
      <c r="AS1085" s="110">
        <v>129.0</v>
      </c>
      <c r="AT1085" s="110">
        <v>163.0</v>
      </c>
      <c r="AU1085" s="110">
        <v>43.0</v>
      </c>
      <c r="AV1085" s="142">
        <v>0.0</v>
      </c>
      <c r="AW1085" s="80">
        <f t="shared" si="6"/>
        <v>335</v>
      </c>
      <c r="AX1085" s="113">
        <f t="shared" si="7"/>
        <v>652</v>
      </c>
      <c r="AY1085" s="117">
        <f t="shared" si="8"/>
        <v>502</v>
      </c>
      <c r="AZ1085" s="120">
        <f t="shared" si="9"/>
        <v>150</v>
      </c>
      <c r="BA1085" s="115">
        <v>0.0</v>
      </c>
      <c r="BB1085" s="89">
        <f t="shared" si="10"/>
        <v>652</v>
      </c>
      <c r="BC1085" s="132" t="s">
        <v>373</v>
      </c>
      <c r="BD1085" s="132" t="s">
        <v>178</v>
      </c>
      <c r="BE1085" s="132" t="s">
        <v>178</v>
      </c>
      <c r="BF1085" s="123"/>
      <c r="BG1085" s="83">
        <v>1106211.0</v>
      </c>
      <c r="BH1085" s="112"/>
      <c r="BI1085" s="112">
        <v>12.0</v>
      </c>
      <c r="BJ1085" s="98" t="s">
        <v>155</v>
      </c>
      <c r="BK1085" s="99">
        <f t="shared" si="11"/>
        <v>8</v>
      </c>
      <c r="BL1085" s="99">
        <f t="shared" si="12"/>
        <v>494</v>
      </c>
      <c r="BM1085" s="99" t="str">
        <f>IFERROR(__xludf.DUMMYFUNCTION("IFERROR(VLOOKUP(BG1085,IMPORTRANGE(""https://docs.google.com/spreadsheets/d/1juPI-Fb8LD0YtltB2mlGEnp_R3UVu1t3wSFPzgCyHXE/edit?gid=0#gid=0"",""GERAL!A2:C""),3,0),""-"")"),"CAMPO")</f>
        <v>CAMPO</v>
      </c>
    </row>
    <row r="1086" ht="15.75" customHeight="1">
      <c r="A1086" s="111" t="s">
        <v>1335</v>
      </c>
      <c r="B1086" s="83" t="s">
        <v>2050</v>
      </c>
      <c r="C1086" s="83" t="s">
        <v>68</v>
      </c>
      <c r="D1086" s="112">
        <v>1106718.0</v>
      </c>
      <c r="E1086" s="83"/>
      <c r="F1086" s="83">
        <v>2.9097703E7</v>
      </c>
      <c r="G1086" s="114" t="s">
        <v>5880</v>
      </c>
      <c r="H1086" s="91" t="s">
        <v>5881</v>
      </c>
      <c r="I1086" s="233" t="s">
        <v>5882</v>
      </c>
      <c r="J1086" s="83" t="s">
        <v>1498</v>
      </c>
      <c r="K1086" s="83" t="s">
        <v>151</v>
      </c>
      <c r="L1086" s="83" t="s">
        <v>230</v>
      </c>
      <c r="M1086" s="82" t="str">
        <f>IFERROR(__xludf.DUMMYFUNCTION("IFERROR(VLOOKUP(D1086,
IMPORTRANGE(""https://docs.google.com/spreadsheets/d/1MjHtlUikwobi2MaWJgy7tfLeBmhj1u-dRFRs_8GwSoA/edit#gid=0"",""Gestores Escolares!D7:J""),3,0),""VERIFICAR CÓD SEC"")"),"INDIARA SILVA DE FREITAS")</f>
        <v>INDIARA SILVA DE FREITAS</v>
      </c>
      <c r="N1086" s="82" t="str">
        <f>IFERROR(__xludf.DUMMYFUNCTION("IFERROR(VLOOKUP(D1086,
IMPORTRANGE(""https://docs.google.com/spreadsheets/d/1MjHtlUikwobi2MaWJgy7tfLeBmhj1u-dRFRs_8GwSoA/edit#gid=0"",""Gestores Escolares!D7:J""),4,0),""VERIFICAR CÓD SEC"")"),"(75) 9 9141-4123")</f>
        <v>(75) 9 9141-4123</v>
      </c>
      <c r="O1086" s="82" t="str">
        <f>IFERROR(__xludf.DUMMYFUNCTION("IFERROR(VLOOKUP(D1086,
IMPORTRANGE(""https://docs.google.com/spreadsheets/d/1MjHtlUikwobi2MaWJgy7tfLeBmhj1u-dRFRs_8GwSoA/edit#gid=0"",""Gestores Escolares!D7:J""),6,0),""VERIFICAR CÓD SEC"")"),"ALBERTO BISPO DOS SANTOS FILHO")</f>
        <v>ALBERTO BISPO DOS SANTOS FILHO</v>
      </c>
      <c r="P1086" s="82" t="str">
        <f>IFERROR(__xludf.DUMMYFUNCTION("IFERROR(VLOOKUP(D1086,
IMPORTRANGE(""https://docs.google.com/spreadsheets/d/1MjHtlUikwobi2MaWJgy7tfLeBmhj1u-dRFRs_8GwSoA/edit#gid=0"",""Gestores Escolares!D7:J""),7,0),""VERIFICAR CÓD SEC"")"),"(75) 9 9109-9754")</f>
        <v>(75) 9 9109-9754</v>
      </c>
      <c r="Q1086" s="82" t="str">
        <f>IFERROR(__xludf.DUMMYFUNCTION("IFERROR(VLOOKUP(D1086,
IMPORTRANGE(""https://docs.google.com/spreadsheets/d/1MjHtlUikwobi2MaWJgy7tfLeBmhj1u-dRFRs_8GwSoA/edit#gid=0"",""Gestores Escolares!D7:m""),9,0),""VERIFICAR CÓD SEC"")"),"ROSEANE SAMPAIO SANTIAGO")</f>
        <v>ROSEANE SAMPAIO SANTIAGO</v>
      </c>
      <c r="R1086" s="82" t="str">
        <f>IFERROR(__xludf.DUMMYFUNCTION("IFERROR(VLOOKUP(D1086,
IMPORTRANGE(""https://docs.google.com/spreadsheets/d/1MjHtlUikwobi2MaWJgy7tfLeBmhj1u-dRFRs_8GwSoA/edit#gid=0"",""Gestores Escolares!D7:m""),10,0),""VERIFICAR CÓD SEC"")"),"(75) 9 9132-3102")</f>
        <v>(75) 9 9132-3102</v>
      </c>
      <c r="S1086" s="82"/>
      <c r="T1086" s="138">
        <v>13.0</v>
      </c>
      <c r="U1086" s="388">
        <v>13.0</v>
      </c>
      <c r="V1086" s="106">
        <v>0.0</v>
      </c>
      <c r="W1086" s="107">
        <v>0.0</v>
      </c>
      <c r="X1086" s="107">
        <v>0.0</v>
      </c>
      <c r="Y1086" s="107">
        <v>0.0</v>
      </c>
      <c r="Z1086" s="80">
        <f t="shared" si="1"/>
        <v>0</v>
      </c>
      <c r="AA1086" s="106">
        <v>104.0</v>
      </c>
      <c r="AB1086" s="107">
        <v>172.0</v>
      </c>
      <c r="AC1086" s="107">
        <v>0.0</v>
      </c>
      <c r="AD1086" s="107">
        <v>0.0</v>
      </c>
      <c r="AE1086" s="80">
        <f t="shared" si="2"/>
        <v>276</v>
      </c>
      <c r="AF1086" s="140">
        <v>255.0</v>
      </c>
      <c r="AG1086" s="109">
        <v>181.0</v>
      </c>
      <c r="AH1086" s="109">
        <v>0.0</v>
      </c>
      <c r="AI1086" s="141">
        <v>48.0</v>
      </c>
      <c r="AJ1086" s="80">
        <f t="shared" si="3"/>
        <v>484</v>
      </c>
      <c r="AK1086" s="140">
        <v>0.0</v>
      </c>
      <c r="AL1086" s="109">
        <v>0.0</v>
      </c>
      <c r="AM1086" s="141">
        <v>0.0</v>
      </c>
      <c r="AN1086" s="80">
        <f t="shared" si="4"/>
        <v>0</v>
      </c>
      <c r="AO1086" s="140">
        <v>0.0</v>
      </c>
      <c r="AP1086" s="109">
        <v>0.0</v>
      </c>
      <c r="AQ1086" s="109">
        <v>173.0</v>
      </c>
      <c r="AR1086" s="80">
        <f t="shared" si="5"/>
        <v>173</v>
      </c>
      <c r="AS1086" s="110">
        <v>25.0</v>
      </c>
      <c r="AT1086" s="110">
        <v>0.0</v>
      </c>
      <c r="AU1086" s="110">
        <v>28.0</v>
      </c>
      <c r="AV1086" s="142">
        <v>0.0</v>
      </c>
      <c r="AW1086" s="80">
        <f t="shared" si="6"/>
        <v>53</v>
      </c>
      <c r="AX1086" s="113">
        <f t="shared" si="7"/>
        <v>986</v>
      </c>
      <c r="AY1086" s="117">
        <f t="shared" si="8"/>
        <v>785</v>
      </c>
      <c r="AZ1086" s="120">
        <f t="shared" si="9"/>
        <v>201</v>
      </c>
      <c r="BA1086" s="115">
        <v>0.0</v>
      </c>
      <c r="BB1086" s="89">
        <f t="shared" si="10"/>
        <v>986</v>
      </c>
      <c r="BC1086" s="132" t="s">
        <v>373</v>
      </c>
      <c r="BD1086" s="132" t="s">
        <v>178</v>
      </c>
      <c r="BE1086" s="132" t="s">
        <v>178</v>
      </c>
      <c r="BF1086" s="123"/>
      <c r="BG1086" s="83">
        <v>1106718.0</v>
      </c>
      <c r="BH1086" s="112"/>
      <c r="BI1086" s="112">
        <v>13.0</v>
      </c>
      <c r="BJ1086" s="98" t="s">
        <v>155</v>
      </c>
      <c r="BK1086" s="99">
        <f t="shared" si="11"/>
        <v>48</v>
      </c>
      <c r="BL1086" s="99">
        <f t="shared" si="12"/>
        <v>737</v>
      </c>
      <c r="BM1086" s="99" t="str">
        <f>IFERROR(__xludf.DUMMYFUNCTION("IFERROR(VLOOKUP(BG1086,IMPORTRANGE(""https://docs.google.com/spreadsheets/d/1juPI-Fb8LD0YtltB2mlGEnp_R3UVu1t3wSFPzgCyHXE/edit?gid=0#gid=0"",""GERAL!A2:C""),3,0),""-"")"),"CAMPO")</f>
        <v>CAMPO</v>
      </c>
    </row>
    <row r="1087" ht="15.75" customHeight="1">
      <c r="A1087" s="111" t="s">
        <v>1335</v>
      </c>
      <c r="B1087" s="83" t="s">
        <v>2050</v>
      </c>
      <c r="C1087" s="83" t="s">
        <v>68</v>
      </c>
      <c r="D1087" s="112">
        <v>1106394.0</v>
      </c>
      <c r="E1087" s="83"/>
      <c r="F1087" s="83">
        <v>2.9095239E7</v>
      </c>
      <c r="G1087" s="114" t="s">
        <v>5890</v>
      </c>
      <c r="H1087" s="91" t="s">
        <v>5891</v>
      </c>
      <c r="I1087" s="83" t="s">
        <v>5893</v>
      </c>
      <c r="J1087" s="83" t="s">
        <v>2668</v>
      </c>
      <c r="K1087" s="83" t="s">
        <v>151</v>
      </c>
      <c r="L1087" s="83" t="s">
        <v>169</v>
      </c>
      <c r="M1087" s="82" t="str">
        <f>IFERROR(__xludf.DUMMYFUNCTION("IFERROR(VLOOKUP(D1087,
IMPORTRANGE(""https://docs.google.com/spreadsheets/d/1MjHtlUikwobi2MaWJgy7tfLeBmhj1u-dRFRs_8GwSoA/edit#gid=0"",""Gestores Escolares!D7:J""),3,0),""VERIFICAR CÓD SEC"")"),"JULIANA FURTADO R SANTOS SANTANA")</f>
        <v>JULIANA FURTADO R SANTOS SANTANA</v>
      </c>
      <c r="N1087" s="82" t="str">
        <f>IFERROR(__xludf.DUMMYFUNCTION("IFERROR(VLOOKUP(D1087,
IMPORTRANGE(""https://docs.google.com/spreadsheets/d/1MjHtlUikwobi2MaWJgy7tfLeBmhj1u-dRFRs_8GwSoA/edit#gid=0"",""Gestores Escolares!D7:J""),4,0),""VERIFICAR CÓD SEC"")"),"(75) 9 9248-7644")</f>
        <v>(75) 9 9248-7644</v>
      </c>
      <c r="O1087" s="82" t="str">
        <f>IFERROR(__xludf.DUMMYFUNCTION("IFERROR(VLOOKUP(D1087,
IMPORTRANGE(""https://docs.google.com/spreadsheets/d/1MjHtlUikwobi2MaWJgy7tfLeBmhj1u-dRFRs_8GwSoA/edit#gid=0"",""Gestores Escolares!D7:J""),6,0),""VERIFICAR CÓD SEC"")"),"")</f>
        <v/>
      </c>
      <c r="P1087" s="82" t="str">
        <f>IFERROR(__xludf.DUMMYFUNCTION("IFERROR(VLOOKUP(D1087,
IMPORTRANGE(""https://docs.google.com/spreadsheets/d/1MjHtlUikwobi2MaWJgy7tfLeBmhj1u-dRFRs_8GwSoA/edit#gid=0"",""Gestores Escolares!D7:J""),7,0),""VERIFICAR CÓD SEC"")"),"")</f>
        <v/>
      </c>
      <c r="Q1087" s="82" t="str">
        <f>IFERROR(__xludf.DUMMYFUNCTION("IFERROR(VLOOKUP(D1087,
IMPORTRANGE(""https://docs.google.com/spreadsheets/d/1MjHtlUikwobi2MaWJgy7tfLeBmhj1u-dRFRs_8GwSoA/edit#gid=0"",""Gestores Escolares!D7:m""),9,0),""VERIFICAR CÓD SEC"")"),"")</f>
        <v/>
      </c>
      <c r="R1087" s="82" t="str">
        <f>IFERROR(__xludf.DUMMYFUNCTION("IFERROR(VLOOKUP(D1087,
IMPORTRANGE(""https://docs.google.com/spreadsheets/d/1MjHtlUikwobi2MaWJgy7tfLeBmhj1u-dRFRs_8GwSoA/edit#gid=0"",""Gestores Escolares!D7:m""),10,0),""VERIFICAR CÓD SEC"")"),"")</f>
        <v/>
      </c>
      <c r="S1087" s="82"/>
      <c r="T1087" s="138">
        <v>8.0</v>
      </c>
      <c r="U1087" s="388">
        <v>8.0</v>
      </c>
      <c r="V1087" s="106">
        <v>0.0</v>
      </c>
      <c r="W1087" s="107">
        <v>0.0</v>
      </c>
      <c r="X1087" s="107">
        <v>0.0</v>
      </c>
      <c r="Y1087" s="107">
        <v>0.0</v>
      </c>
      <c r="Z1087" s="80">
        <f t="shared" si="1"/>
        <v>0</v>
      </c>
      <c r="AA1087" s="106">
        <v>84.0</v>
      </c>
      <c r="AB1087" s="107">
        <v>56.0</v>
      </c>
      <c r="AC1087" s="107">
        <v>0.0</v>
      </c>
      <c r="AD1087" s="107">
        <v>0.0</v>
      </c>
      <c r="AE1087" s="80">
        <f t="shared" si="2"/>
        <v>140</v>
      </c>
      <c r="AF1087" s="140">
        <v>33.0</v>
      </c>
      <c r="AG1087" s="109">
        <v>0.0</v>
      </c>
      <c r="AH1087" s="109">
        <v>0.0</v>
      </c>
      <c r="AI1087" s="141">
        <v>0.0</v>
      </c>
      <c r="AJ1087" s="80">
        <f t="shared" si="3"/>
        <v>33</v>
      </c>
      <c r="AK1087" s="140">
        <v>0.0</v>
      </c>
      <c r="AL1087" s="109">
        <v>0.0</v>
      </c>
      <c r="AM1087" s="141">
        <v>14.0</v>
      </c>
      <c r="AN1087" s="80">
        <f t="shared" si="4"/>
        <v>14</v>
      </c>
      <c r="AO1087" s="140">
        <v>0.0</v>
      </c>
      <c r="AP1087" s="109">
        <v>0.0</v>
      </c>
      <c r="AQ1087" s="109">
        <v>35.0</v>
      </c>
      <c r="AR1087" s="80">
        <f t="shared" si="5"/>
        <v>35</v>
      </c>
      <c r="AS1087" s="110">
        <v>0.0</v>
      </c>
      <c r="AT1087" s="110">
        <v>45.0</v>
      </c>
      <c r="AU1087" s="110">
        <v>92.0</v>
      </c>
      <c r="AV1087" s="142">
        <v>0.0</v>
      </c>
      <c r="AW1087" s="80">
        <f t="shared" si="6"/>
        <v>137</v>
      </c>
      <c r="AX1087" s="113">
        <f t="shared" si="7"/>
        <v>359</v>
      </c>
      <c r="AY1087" s="117">
        <f t="shared" si="8"/>
        <v>218</v>
      </c>
      <c r="AZ1087" s="120">
        <f t="shared" si="9"/>
        <v>141</v>
      </c>
      <c r="BA1087" s="115">
        <v>0.0</v>
      </c>
      <c r="BB1087" s="89">
        <f t="shared" si="10"/>
        <v>359</v>
      </c>
      <c r="BC1087" s="132" t="s">
        <v>373</v>
      </c>
      <c r="BD1087" s="132" t="s">
        <v>178</v>
      </c>
      <c r="BE1087" s="132" t="s">
        <v>178</v>
      </c>
      <c r="BF1087" s="123"/>
      <c r="BG1087" s="83">
        <v>1106394.0</v>
      </c>
      <c r="BH1087" s="112"/>
      <c r="BI1087" s="112">
        <v>8.0</v>
      </c>
      <c r="BJ1087" s="98" t="s">
        <v>155</v>
      </c>
      <c r="BK1087" s="99">
        <f t="shared" si="11"/>
        <v>0</v>
      </c>
      <c r="BL1087" s="99">
        <f t="shared" si="12"/>
        <v>218</v>
      </c>
      <c r="BM1087" s="99" t="str">
        <f>IFERROR(__xludf.DUMMYFUNCTION("IFERROR(VLOOKUP(BG1087,IMPORTRANGE(""https://docs.google.com/spreadsheets/d/1juPI-Fb8LD0YtltB2mlGEnp_R3UVu1t3wSFPzgCyHXE/edit?gid=0#gid=0"",""GERAL!A2:C""),3,0),""-"")"),"CAMPO")</f>
        <v>CAMPO</v>
      </c>
    </row>
    <row r="1088" ht="15.75" customHeight="1">
      <c r="A1088" s="111" t="s">
        <v>1335</v>
      </c>
      <c r="B1088" s="83" t="s">
        <v>2050</v>
      </c>
      <c r="C1088" s="83" t="s">
        <v>68</v>
      </c>
      <c r="D1088" s="112">
        <v>1105932.0</v>
      </c>
      <c r="E1088" s="83"/>
      <c r="F1088" s="83">
        <v>2.9096847E7</v>
      </c>
      <c r="G1088" s="114" t="s">
        <v>5896</v>
      </c>
      <c r="H1088" s="91" t="s">
        <v>5897</v>
      </c>
      <c r="I1088" s="83" t="s">
        <v>5893</v>
      </c>
      <c r="J1088" s="83" t="s">
        <v>5898</v>
      </c>
      <c r="K1088" s="83" t="s">
        <v>151</v>
      </c>
      <c r="L1088" s="83" t="s">
        <v>169</v>
      </c>
      <c r="M1088" s="82" t="str">
        <f>IFERROR(__xludf.DUMMYFUNCTION("IFERROR(VLOOKUP(D1088,
IMPORTRANGE(""https://docs.google.com/spreadsheets/d/1MjHtlUikwobi2MaWJgy7tfLeBmhj1u-dRFRs_8GwSoA/edit#gid=0"",""Gestores Escolares!D7:J""),3,0),""VERIFICAR CÓD SEC"")"),"MARIANA AZEVEDO DE BRITO LEAL")</f>
        <v>MARIANA AZEVEDO DE BRITO LEAL</v>
      </c>
      <c r="N1088" s="82" t="str">
        <f>IFERROR(__xludf.DUMMYFUNCTION("IFERROR(VLOOKUP(D1088,
IMPORTRANGE(""https://docs.google.com/spreadsheets/d/1MjHtlUikwobi2MaWJgy7tfLeBmhj1u-dRFRs_8GwSoA/edit#gid=0"",""Gestores Escolares!D7:J""),4,0),""VERIFICAR CÓD SEC"")"),"(75) 9 8872-8804")</f>
        <v>(75) 9 8872-8804</v>
      </c>
      <c r="O1088" s="82" t="str">
        <f>IFERROR(__xludf.DUMMYFUNCTION("IFERROR(VLOOKUP(D1088,
IMPORTRANGE(""https://docs.google.com/spreadsheets/d/1MjHtlUikwobi2MaWJgy7tfLeBmhj1u-dRFRs_8GwSoA/edit#gid=0"",""Gestores Escolares!D7:J""),6,0),""VERIFICAR CÓD SEC"")"),"ERISVALDO SANTOS SOUZA")</f>
        <v>ERISVALDO SANTOS SOUZA</v>
      </c>
      <c r="P1088" s="82" t="str">
        <f>IFERROR(__xludf.DUMMYFUNCTION("IFERROR(VLOOKUP(D1088,
IMPORTRANGE(""https://docs.google.com/spreadsheets/d/1MjHtlUikwobi2MaWJgy7tfLeBmhj1u-dRFRs_8GwSoA/edit#gid=0"",""Gestores Escolares!D7:J""),7,0),""VERIFICAR CÓD SEC"")"),"(75) 9 8139-1454")</f>
        <v>(75) 9 8139-1454</v>
      </c>
      <c r="Q1088" s="82" t="str">
        <f>IFERROR(__xludf.DUMMYFUNCTION("IFERROR(VLOOKUP(D1088,
IMPORTRANGE(""https://docs.google.com/spreadsheets/d/1MjHtlUikwobi2MaWJgy7tfLeBmhj1u-dRFRs_8GwSoA/edit#gid=0"",""Gestores Escolares!D7:m""),9,0),""VERIFICAR CÓD SEC"")"),"")</f>
        <v/>
      </c>
      <c r="R1088" s="82" t="str">
        <f>IFERROR(__xludf.DUMMYFUNCTION("IFERROR(VLOOKUP(D1088,
IMPORTRANGE(""https://docs.google.com/spreadsheets/d/1MjHtlUikwobi2MaWJgy7tfLeBmhj1u-dRFRs_8GwSoA/edit#gid=0"",""Gestores Escolares!D7:m""),10,0),""VERIFICAR CÓD SEC"")"),"")</f>
        <v/>
      </c>
      <c r="S1088" s="82"/>
      <c r="T1088" s="138">
        <v>6.0</v>
      </c>
      <c r="U1088" s="388">
        <v>6.0</v>
      </c>
      <c r="V1088" s="106">
        <v>0.0</v>
      </c>
      <c r="W1088" s="107">
        <v>0.0</v>
      </c>
      <c r="X1088" s="107">
        <v>0.0</v>
      </c>
      <c r="Y1088" s="107">
        <v>0.0</v>
      </c>
      <c r="Z1088" s="80">
        <f t="shared" si="1"/>
        <v>0</v>
      </c>
      <c r="AA1088" s="106">
        <v>90.0</v>
      </c>
      <c r="AB1088" s="107">
        <v>32.0</v>
      </c>
      <c r="AC1088" s="107">
        <v>0.0</v>
      </c>
      <c r="AD1088" s="107">
        <v>0.0</v>
      </c>
      <c r="AE1088" s="80">
        <f t="shared" si="2"/>
        <v>122</v>
      </c>
      <c r="AF1088" s="140">
        <v>0.0</v>
      </c>
      <c r="AG1088" s="109">
        <v>89.0</v>
      </c>
      <c r="AH1088" s="109">
        <v>0.0</v>
      </c>
      <c r="AI1088" s="141">
        <v>0.0</v>
      </c>
      <c r="AJ1088" s="80">
        <f t="shared" si="3"/>
        <v>89</v>
      </c>
      <c r="AK1088" s="140">
        <v>0.0</v>
      </c>
      <c r="AL1088" s="109">
        <v>0.0</v>
      </c>
      <c r="AM1088" s="141">
        <v>0.0</v>
      </c>
      <c r="AN1088" s="80">
        <f t="shared" si="4"/>
        <v>0</v>
      </c>
      <c r="AO1088" s="140">
        <v>0.0</v>
      </c>
      <c r="AP1088" s="109">
        <v>0.0</v>
      </c>
      <c r="AQ1088" s="109">
        <v>0.0</v>
      </c>
      <c r="AR1088" s="80">
        <f t="shared" si="5"/>
        <v>0</v>
      </c>
      <c r="AS1088" s="110">
        <v>0.0</v>
      </c>
      <c r="AT1088" s="110">
        <v>0.0</v>
      </c>
      <c r="AU1088" s="110">
        <v>20.0</v>
      </c>
      <c r="AV1088" s="142">
        <v>0.0</v>
      </c>
      <c r="AW1088" s="80">
        <f t="shared" si="6"/>
        <v>20</v>
      </c>
      <c r="AX1088" s="113">
        <f t="shared" si="7"/>
        <v>231</v>
      </c>
      <c r="AY1088" s="117">
        <f t="shared" si="8"/>
        <v>211</v>
      </c>
      <c r="AZ1088" s="120">
        <f t="shared" si="9"/>
        <v>20</v>
      </c>
      <c r="BA1088" s="115">
        <v>0.0</v>
      </c>
      <c r="BB1088" s="89">
        <f t="shared" si="10"/>
        <v>231</v>
      </c>
      <c r="BC1088" s="132" t="s">
        <v>373</v>
      </c>
      <c r="BD1088" s="132" t="s">
        <v>178</v>
      </c>
      <c r="BE1088" s="132" t="s">
        <v>178</v>
      </c>
      <c r="BF1088" s="123"/>
      <c r="BG1088" s="83">
        <v>1105932.0</v>
      </c>
      <c r="BH1088" s="98"/>
      <c r="BI1088" s="98">
        <v>6.0</v>
      </c>
      <c r="BJ1088" s="98" t="s">
        <v>155</v>
      </c>
      <c r="BK1088" s="99">
        <f t="shared" si="11"/>
        <v>0</v>
      </c>
      <c r="BL1088" s="99">
        <f t="shared" si="12"/>
        <v>211</v>
      </c>
      <c r="BM1088" s="99" t="str">
        <f>IFERROR(__xludf.DUMMYFUNCTION("IFERROR(VLOOKUP(BG1088,IMPORTRANGE(""https://docs.google.com/spreadsheets/d/1juPI-Fb8LD0YtltB2mlGEnp_R3UVu1t3wSFPzgCyHXE/edit?gid=0#gid=0"",""GERAL!A2:C""),3,0),""-"")"),"CAMPO")</f>
        <v>CAMPO</v>
      </c>
    </row>
    <row r="1089" ht="15.75" customHeight="1">
      <c r="A1089" s="111" t="s">
        <v>1335</v>
      </c>
      <c r="B1089" s="83" t="s">
        <v>2050</v>
      </c>
      <c r="C1089" s="83" t="s">
        <v>68</v>
      </c>
      <c r="D1089" s="112">
        <v>1178137.0</v>
      </c>
      <c r="E1089" s="83"/>
      <c r="F1089" s="83">
        <v>2.9441633E7</v>
      </c>
      <c r="G1089" s="114" t="s">
        <v>5903</v>
      </c>
      <c r="H1089" s="91" t="s">
        <v>5904</v>
      </c>
      <c r="I1089" s="83" t="s">
        <v>149</v>
      </c>
      <c r="J1089" s="83" t="s">
        <v>2668</v>
      </c>
      <c r="K1089" s="83" t="s">
        <v>1078</v>
      </c>
      <c r="L1089" s="83" t="s">
        <v>169</v>
      </c>
      <c r="M1089" s="82" t="str">
        <f>IFERROR(__xludf.DUMMYFUNCTION("IFERROR(VLOOKUP(D1089,
IMPORTRANGE(""https://docs.google.com/spreadsheets/d/1MjHtlUikwobi2MaWJgy7tfLeBmhj1u-dRFRs_8GwSoA/edit#gid=0"",""Gestores Escolares!D7:J""),3,0),""VERIFICAR CÓD SEC"")"),"PATRICIA FARIAS DOS SANTOS")</f>
        <v>PATRICIA FARIAS DOS SANTOS</v>
      </c>
      <c r="N1089" s="82" t="str">
        <f>IFERROR(__xludf.DUMMYFUNCTION("IFERROR(VLOOKUP(D1089,
IMPORTRANGE(""https://docs.google.com/spreadsheets/d/1MjHtlUikwobi2MaWJgy7tfLeBmhj1u-dRFRs_8GwSoA/edit#gid=0"",""Gestores Escolares!D7:J""),4,0),""VERIFICAR CÓD SEC"")"),"(75)  9 9213-4243")</f>
        <v>(75)  9 9213-4243</v>
      </c>
      <c r="O1089" s="82" t="str">
        <f>IFERROR(__xludf.DUMMYFUNCTION("IFERROR(VLOOKUP(D1089,
IMPORTRANGE(""https://docs.google.com/spreadsheets/d/1MjHtlUikwobi2MaWJgy7tfLeBmhj1u-dRFRs_8GwSoA/edit#gid=0"",""Gestores Escolares!D7:J""),6,0),""VERIFICAR CÓD SEC"")"),"MARIA CRISTIANA FRANCO SANTOS")</f>
        <v>MARIA CRISTIANA FRANCO SANTOS</v>
      </c>
      <c r="P1089" s="82" t="str">
        <f>IFERROR(__xludf.DUMMYFUNCTION("IFERROR(VLOOKUP(D1089,
IMPORTRANGE(""https://docs.google.com/spreadsheets/d/1MjHtlUikwobi2MaWJgy7tfLeBmhj1u-dRFRs_8GwSoA/edit#gid=0"",""Gestores Escolares!D7:J""),7,0),""VERIFICAR CÓD SEC"")"),"(75) 9 9194-3456")</f>
        <v>(75) 9 9194-3456</v>
      </c>
      <c r="Q1089" s="82" t="str">
        <f>IFERROR(__xludf.DUMMYFUNCTION("IFERROR(VLOOKUP(D1089,
IMPORTRANGE(""https://docs.google.com/spreadsheets/d/1MjHtlUikwobi2MaWJgy7tfLeBmhj1u-dRFRs_8GwSoA/edit#gid=0"",""Gestores Escolares!D7:m""),9,0),""VERIFICAR CÓD SEC"")"),"")</f>
        <v/>
      </c>
      <c r="R1089" s="82" t="str">
        <f>IFERROR(__xludf.DUMMYFUNCTION("IFERROR(VLOOKUP(D1089,
IMPORTRANGE(""https://docs.google.com/spreadsheets/d/1MjHtlUikwobi2MaWJgy7tfLeBmhj1u-dRFRs_8GwSoA/edit#gid=0"",""Gestores Escolares!D7:m""),10,0),""VERIFICAR CÓD SEC"")"),"")</f>
        <v/>
      </c>
      <c r="S1089" s="82"/>
      <c r="T1089" s="138">
        <v>3.0</v>
      </c>
      <c r="U1089" s="388">
        <v>3.0</v>
      </c>
      <c r="V1089" s="106">
        <v>0.0</v>
      </c>
      <c r="W1089" s="107">
        <v>0.0</v>
      </c>
      <c r="X1089" s="107">
        <v>0.0</v>
      </c>
      <c r="Y1089" s="107">
        <v>0.0</v>
      </c>
      <c r="Z1089" s="80">
        <f t="shared" si="1"/>
        <v>0</v>
      </c>
      <c r="AA1089" s="106">
        <v>0.0</v>
      </c>
      <c r="AB1089" s="107">
        <v>0.0</v>
      </c>
      <c r="AC1089" s="107">
        <v>0.0</v>
      </c>
      <c r="AD1089" s="107">
        <v>0.0</v>
      </c>
      <c r="AE1089" s="80">
        <f t="shared" si="2"/>
        <v>0</v>
      </c>
      <c r="AF1089" s="140">
        <v>81.0</v>
      </c>
      <c r="AG1089" s="109">
        <v>23.0</v>
      </c>
      <c r="AH1089" s="109">
        <v>0.0</v>
      </c>
      <c r="AI1089" s="141">
        <v>0.0</v>
      </c>
      <c r="AJ1089" s="80">
        <f t="shared" si="3"/>
        <v>104</v>
      </c>
      <c r="AK1089" s="140">
        <v>0.0</v>
      </c>
      <c r="AL1089" s="109">
        <v>0.0</v>
      </c>
      <c r="AM1089" s="141">
        <v>0.0</v>
      </c>
      <c r="AN1089" s="80">
        <f t="shared" si="4"/>
        <v>0</v>
      </c>
      <c r="AO1089" s="140">
        <v>0.0</v>
      </c>
      <c r="AP1089" s="109">
        <v>0.0</v>
      </c>
      <c r="AQ1089" s="109">
        <v>21.0</v>
      </c>
      <c r="AR1089" s="80">
        <f t="shared" si="5"/>
        <v>21</v>
      </c>
      <c r="AS1089" s="110">
        <v>0.0</v>
      </c>
      <c r="AT1089" s="110">
        <v>34.0</v>
      </c>
      <c r="AU1089" s="110">
        <v>0.0</v>
      </c>
      <c r="AV1089" s="142">
        <v>0.0</v>
      </c>
      <c r="AW1089" s="80">
        <f t="shared" si="6"/>
        <v>34</v>
      </c>
      <c r="AX1089" s="113">
        <f t="shared" si="7"/>
        <v>159</v>
      </c>
      <c r="AY1089" s="117">
        <f t="shared" si="8"/>
        <v>138</v>
      </c>
      <c r="AZ1089" s="120">
        <f t="shared" si="9"/>
        <v>21</v>
      </c>
      <c r="BA1089" s="115">
        <v>0.0</v>
      </c>
      <c r="BB1089" s="89">
        <f t="shared" si="10"/>
        <v>159</v>
      </c>
      <c r="BC1089" s="132" t="s">
        <v>373</v>
      </c>
      <c r="BD1089" s="132" t="s">
        <v>178</v>
      </c>
      <c r="BE1089" s="132" t="s">
        <v>178</v>
      </c>
      <c r="BF1089" s="123"/>
      <c r="BG1089" s="83">
        <v>1178137.0</v>
      </c>
      <c r="BH1089" s="112"/>
      <c r="BI1089" s="112">
        <v>3.0</v>
      </c>
      <c r="BJ1089" s="98" t="s">
        <v>155</v>
      </c>
      <c r="BK1089" s="99">
        <f t="shared" si="11"/>
        <v>0</v>
      </c>
      <c r="BL1089" s="99">
        <f t="shared" si="12"/>
        <v>138</v>
      </c>
      <c r="BM1089" s="99" t="str">
        <f>IFERROR(__xludf.DUMMYFUNCTION("IFERROR(VLOOKUP(BG1089,IMPORTRANGE(""https://docs.google.com/spreadsheets/d/1juPI-Fb8LD0YtltB2mlGEnp_R3UVu1t3wSFPzgCyHXE/edit?gid=0#gid=0"",""GERAL!A2:C""),3,0),""-"")"),"CAMPO")</f>
        <v>CAMPO</v>
      </c>
    </row>
    <row r="1090" ht="15.75" customHeight="1">
      <c r="A1090" s="111" t="s">
        <v>1335</v>
      </c>
      <c r="B1090" s="83" t="s">
        <v>2050</v>
      </c>
      <c r="C1090" s="83" t="s">
        <v>68</v>
      </c>
      <c r="D1090" s="98">
        <v>1179769.0</v>
      </c>
      <c r="E1090" s="83"/>
      <c r="F1090" s="98">
        <v>2.9095158E7</v>
      </c>
      <c r="G1090" s="119" t="s">
        <v>5907</v>
      </c>
      <c r="H1090" s="108" t="s">
        <v>5908</v>
      </c>
      <c r="I1090" s="83"/>
      <c r="J1090" s="83" t="s">
        <v>5909</v>
      </c>
      <c r="K1090" s="83" t="s">
        <v>5910</v>
      </c>
      <c r="L1090" s="83" t="s">
        <v>5911</v>
      </c>
      <c r="M1090" s="82" t="str">
        <f>IFERROR(__xludf.DUMMYFUNCTION("IFERROR(VLOOKUP(D1090,
IMPORTRANGE(""https://docs.google.com/spreadsheets/d/1MjHtlUikwobi2MaWJgy7tfLeBmhj1u-dRFRs_8GwSoA/edit#gid=0"",""Gestores Escolares!D7:J""),3,0),""VERIFICAR CÓD SEC"")"),"RITA DE CASSIA DE SOUZA COSTA")</f>
        <v>RITA DE CASSIA DE SOUZA COSTA</v>
      </c>
      <c r="N1090" s="82" t="str">
        <f>IFERROR(__xludf.DUMMYFUNCTION("IFERROR(VLOOKUP(D1090,
IMPORTRANGE(""https://docs.google.com/spreadsheets/d/1MjHtlUikwobi2MaWJgy7tfLeBmhj1u-dRFRs_8GwSoA/edit#gid=0"",""Gestores Escolares!D7:J""),4,0),""VERIFICAR CÓD SEC"")"),"(75) 9 8877-6677")</f>
        <v>(75) 9 8877-6677</v>
      </c>
      <c r="O1090" s="82" t="str">
        <f>IFERROR(__xludf.DUMMYFUNCTION("IFERROR(VLOOKUP(D1090,
IMPORTRANGE(""https://docs.google.com/spreadsheets/d/1MjHtlUikwobi2MaWJgy7tfLeBmhj1u-dRFRs_8GwSoA/edit#gid=0"",""Gestores Escolares!D7:J""),6,0),""VERIFICAR CÓD SEC"")"),"JACKSON PALMEIRA FERREIRA")</f>
        <v>JACKSON PALMEIRA FERREIRA</v>
      </c>
      <c r="P1090" s="82" t="str">
        <f>IFERROR(__xludf.DUMMYFUNCTION("IFERROR(VLOOKUP(D1090,
IMPORTRANGE(""https://docs.google.com/spreadsheets/d/1MjHtlUikwobi2MaWJgy7tfLeBmhj1u-dRFRs_8GwSoA/edit#gid=0"",""Gestores Escolares!D7:J""),7,0),""VERIFICAR CÓD SEC"")")," (75) 9 9118-6360")</f>
        <v> (75) 9 9118-6360</v>
      </c>
      <c r="Q1090" s="82" t="str">
        <f>IFERROR(__xludf.DUMMYFUNCTION("IFERROR(VLOOKUP(D1090,
IMPORTRANGE(""https://docs.google.com/spreadsheets/d/1MjHtlUikwobi2MaWJgy7tfLeBmhj1u-dRFRs_8GwSoA/edit#gid=0"",""Gestores Escolares!D7:m""),9,0),""VERIFICAR CÓD SEC"")"),"")</f>
        <v/>
      </c>
      <c r="R1090" s="82" t="str">
        <f>IFERROR(__xludf.DUMMYFUNCTION("IFERROR(VLOOKUP(D1090,
IMPORTRANGE(""https://docs.google.com/spreadsheets/d/1MjHtlUikwobi2MaWJgy7tfLeBmhj1u-dRFRs_8GwSoA/edit#gid=0"",""Gestores Escolares!D7:m""),10,0),""VERIFICAR CÓD SEC"")"),"")</f>
        <v/>
      </c>
      <c r="S1090" s="82"/>
      <c r="T1090" s="138"/>
      <c r="U1090" s="388"/>
      <c r="V1090" s="106">
        <v>0.0</v>
      </c>
      <c r="W1090" s="107">
        <v>0.0</v>
      </c>
      <c r="X1090" s="107">
        <v>0.0</v>
      </c>
      <c r="Y1090" s="107">
        <v>0.0</v>
      </c>
      <c r="Z1090" s="80">
        <f t="shared" si="1"/>
        <v>0</v>
      </c>
      <c r="AA1090" s="106">
        <v>109.0</v>
      </c>
      <c r="AB1090" s="107">
        <v>33.0</v>
      </c>
      <c r="AC1090" s="107">
        <v>0.0</v>
      </c>
      <c r="AD1090" s="107">
        <v>0.0</v>
      </c>
      <c r="AE1090" s="80">
        <f t="shared" si="2"/>
        <v>142</v>
      </c>
      <c r="AF1090" s="140">
        <v>0.0</v>
      </c>
      <c r="AG1090" s="109">
        <v>0.0</v>
      </c>
      <c r="AH1090" s="109">
        <v>0.0</v>
      </c>
      <c r="AI1090" s="141">
        <v>268.0</v>
      </c>
      <c r="AJ1090" s="80">
        <f t="shared" si="3"/>
        <v>268</v>
      </c>
      <c r="AK1090" s="140">
        <v>0.0</v>
      </c>
      <c r="AL1090" s="109">
        <v>0.0</v>
      </c>
      <c r="AM1090" s="141">
        <v>0.0</v>
      </c>
      <c r="AN1090" s="80">
        <f t="shared" si="4"/>
        <v>0</v>
      </c>
      <c r="AO1090" s="140">
        <v>0.0</v>
      </c>
      <c r="AP1090" s="109">
        <v>0.0</v>
      </c>
      <c r="AQ1090" s="109">
        <v>0.0</v>
      </c>
      <c r="AR1090" s="80">
        <f t="shared" si="5"/>
        <v>0</v>
      </c>
      <c r="AS1090" s="110">
        <v>90.0</v>
      </c>
      <c r="AT1090" s="110">
        <v>0.0</v>
      </c>
      <c r="AU1090" s="110">
        <v>0.0</v>
      </c>
      <c r="AV1090" s="142">
        <v>0.0</v>
      </c>
      <c r="AW1090" s="80">
        <f t="shared" si="6"/>
        <v>90</v>
      </c>
      <c r="AX1090" s="113">
        <f t="shared" si="7"/>
        <v>500</v>
      </c>
      <c r="AY1090" s="117">
        <f t="shared" si="8"/>
        <v>500</v>
      </c>
      <c r="AZ1090" s="120">
        <f t="shared" si="9"/>
        <v>0</v>
      </c>
      <c r="BA1090" s="115">
        <v>0.0</v>
      </c>
      <c r="BB1090" s="89">
        <f t="shared" si="10"/>
        <v>500</v>
      </c>
      <c r="BC1090" s="143"/>
      <c r="BD1090" s="132"/>
      <c r="BE1090" s="132"/>
      <c r="BF1090" s="123"/>
      <c r="BG1090" s="98">
        <v>1179769.0</v>
      </c>
      <c r="BH1090" s="112"/>
      <c r="BI1090" s="112"/>
      <c r="BJ1090" s="98" t="s">
        <v>155</v>
      </c>
      <c r="BK1090" s="99">
        <f t="shared" si="11"/>
        <v>268</v>
      </c>
      <c r="BL1090" s="99">
        <f t="shared" si="12"/>
        <v>232</v>
      </c>
      <c r="BM1090" s="99" t="str">
        <f>IFERROR(__xludf.DUMMYFUNCTION("IFERROR(VLOOKUP(BG1090,IMPORTRANGE(""https://docs.google.com/spreadsheets/d/1juPI-Fb8LD0YtltB2mlGEnp_R3UVu1t3wSFPzgCyHXE/edit?gid=0#gid=0"",""GERAL!A2:C""),3,0),""-"")"),"-")</f>
        <v>-</v>
      </c>
    </row>
    <row r="1091" ht="15.75" customHeight="1">
      <c r="A1091" s="111" t="s">
        <v>1335</v>
      </c>
      <c r="B1091" s="83" t="s">
        <v>2050</v>
      </c>
      <c r="C1091" s="83" t="s">
        <v>68</v>
      </c>
      <c r="D1091" s="112">
        <v>1106335.0</v>
      </c>
      <c r="E1091" s="83"/>
      <c r="F1091" s="83">
        <v>2.909326E7</v>
      </c>
      <c r="G1091" s="119" t="s">
        <v>5913</v>
      </c>
      <c r="H1091" s="91" t="s">
        <v>4514</v>
      </c>
      <c r="I1091" s="83" t="s">
        <v>149</v>
      </c>
      <c r="J1091" s="83" t="s">
        <v>150</v>
      </c>
      <c r="K1091" s="83" t="s">
        <v>151</v>
      </c>
      <c r="L1091" s="83" t="s">
        <v>76</v>
      </c>
      <c r="M1091" s="82" t="str">
        <f>IFERROR(__xludf.DUMMYFUNCTION("IFERROR(VLOOKUP(D1091,
IMPORTRANGE(""https://docs.google.com/spreadsheets/d/1MjHtlUikwobi2MaWJgy7tfLeBmhj1u-dRFRs_8GwSoA/edit#gid=0"",""Gestores Escolares!D7:J""),3,0),""VERIFICAR CÓD SEC"")"),"CRISTIANE OLIVEIRA NUNES")</f>
        <v>CRISTIANE OLIVEIRA NUNES</v>
      </c>
      <c r="N1091" s="82" t="str">
        <f>IFERROR(__xludf.DUMMYFUNCTION("IFERROR(VLOOKUP(D1091,
IMPORTRANGE(""https://docs.google.com/spreadsheets/d/1MjHtlUikwobi2MaWJgy7tfLeBmhj1u-dRFRs_8GwSoA/edit#gid=0"",""Gestores Escolares!D7:J""),4,0),""VERIFICAR CÓD SEC"")"),"(75) 9 9120-1682")</f>
        <v>(75) 9 9120-1682</v>
      </c>
      <c r="O1091" s="82" t="str">
        <f>IFERROR(__xludf.DUMMYFUNCTION("IFERROR(VLOOKUP(D1091,
IMPORTRANGE(""https://docs.google.com/spreadsheets/d/1MjHtlUikwobi2MaWJgy7tfLeBmhj1u-dRFRs_8GwSoA/edit#gid=0"",""Gestores Escolares!D7:J""),6,0),""VERIFICAR CÓD SEC"")"),"MERCIA CLEIDE BARBOSA MOTA DE SOUSA")</f>
        <v>MERCIA CLEIDE BARBOSA MOTA DE SOUSA</v>
      </c>
      <c r="P1091" s="82" t="str">
        <f>IFERROR(__xludf.DUMMYFUNCTION("IFERROR(VLOOKUP(D1091,
IMPORTRANGE(""https://docs.google.com/spreadsheets/d/1MjHtlUikwobi2MaWJgy7tfLeBmhj1u-dRFRs_8GwSoA/edit#gid=0"",""Gestores Escolares!D7:J""),7,0),""VERIFICAR CÓD SEC"")"),"(75) 9 9132-5737")</f>
        <v>(75) 9 9132-5737</v>
      </c>
      <c r="Q1091" s="82" t="str">
        <f>IFERROR(__xludf.DUMMYFUNCTION("IFERROR(VLOOKUP(D1091,
IMPORTRANGE(""https://docs.google.com/spreadsheets/d/1MjHtlUikwobi2MaWJgy7tfLeBmhj1u-dRFRs_8GwSoA/edit#gid=0"",""Gestores Escolares!D7:m""),9,0),""VERIFICAR CÓD SEC"")"),"")</f>
        <v/>
      </c>
      <c r="R1091" s="82" t="str">
        <f>IFERROR(__xludf.DUMMYFUNCTION("IFERROR(VLOOKUP(D1091,
IMPORTRANGE(""https://docs.google.com/spreadsheets/d/1MjHtlUikwobi2MaWJgy7tfLeBmhj1u-dRFRs_8GwSoA/edit#gid=0"",""Gestores Escolares!D7:m""),10,0),""VERIFICAR CÓD SEC"")"),"")</f>
        <v/>
      </c>
      <c r="S1091" s="82"/>
      <c r="T1091" s="138">
        <v>15.0</v>
      </c>
      <c r="U1091" s="388">
        <v>15.0</v>
      </c>
      <c r="V1091" s="106">
        <v>0.0</v>
      </c>
      <c r="W1091" s="107">
        <v>0.0</v>
      </c>
      <c r="X1091" s="107">
        <v>0.0</v>
      </c>
      <c r="Y1091" s="107">
        <v>0.0</v>
      </c>
      <c r="Z1091" s="80">
        <f t="shared" si="1"/>
        <v>0</v>
      </c>
      <c r="AA1091" s="106">
        <v>0.0</v>
      </c>
      <c r="AB1091" s="107">
        <v>102.0</v>
      </c>
      <c r="AC1091" s="107">
        <v>0.0</v>
      </c>
      <c r="AD1091" s="107">
        <v>0.0</v>
      </c>
      <c r="AE1091" s="80">
        <f t="shared" si="2"/>
        <v>102</v>
      </c>
      <c r="AF1091" s="140">
        <v>0.0</v>
      </c>
      <c r="AG1091" s="109">
        <v>0.0</v>
      </c>
      <c r="AH1091" s="109">
        <v>0.0</v>
      </c>
      <c r="AI1091" s="141">
        <v>98.0</v>
      </c>
      <c r="AJ1091" s="80">
        <f t="shared" si="3"/>
        <v>98</v>
      </c>
      <c r="AK1091" s="140">
        <v>0.0</v>
      </c>
      <c r="AL1091" s="109">
        <v>0.0</v>
      </c>
      <c r="AM1091" s="141">
        <v>0.0</v>
      </c>
      <c r="AN1091" s="80">
        <f t="shared" si="4"/>
        <v>0</v>
      </c>
      <c r="AO1091" s="140">
        <v>0.0</v>
      </c>
      <c r="AP1091" s="109">
        <v>0.0</v>
      </c>
      <c r="AQ1091" s="109">
        <v>34.0</v>
      </c>
      <c r="AR1091" s="80">
        <f t="shared" si="5"/>
        <v>34</v>
      </c>
      <c r="AS1091" s="110">
        <v>28.0</v>
      </c>
      <c r="AT1091" s="110">
        <v>0.0</v>
      </c>
      <c r="AU1091" s="110">
        <v>0.0</v>
      </c>
      <c r="AV1091" s="142">
        <v>0.0</v>
      </c>
      <c r="AW1091" s="80">
        <f t="shared" si="6"/>
        <v>28</v>
      </c>
      <c r="AX1091" s="113">
        <f t="shared" si="7"/>
        <v>262</v>
      </c>
      <c r="AY1091" s="117">
        <f t="shared" si="8"/>
        <v>228</v>
      </c>
      <c r="AZ1091" s="120">
        <f t="shared" si="9"/>
        <v>34</v>
      </c>
      <c r="BA1091" s="115">
        <v>0.0</v>
      </c>
      <c r="BB1091" s="89">
        <f t="shared" si="10"/>
        <v>262</v>
      </c>
      <c r="BC1091" s="132" t="s">
        <v>178</v>
      </c>
      <c r="BD1091" s="132" t="s">
        <v>178</v>
      </c>
      <c r="BE1091" s="132" t="s">
        <v>178</v>
      </c>
      <c r="BF1091" s="123"/>
      <c r="BG1091" s="83">
        <v>1106335.0</v>
      </c>
      <c r="BH1091" s="98"/>
      <c r="BI1091" s="98">
        <v>15.0</v>
      </c>
      <c r="BJ1091" s="98" t="s">
        <v>284</v>
      </c>
      <c r="BK1091" s="99">
        <f t="shared" si="11"/>
        <v>98</v>
      </c>
      <c r="BL1091" s="99">
        <f t="shared" si="12"/>
        <v>130</v>
      </c>
      <c r="BM1091" s="99" t="str">
        <f>IFERROR(__xludf.DUMMYFUNCTION("IFERROR(VLOOKUP(BG1091,IMPORTRANGE(""https://docs.google.com/spreadsheets/d/1juPI-Fb8LD0YtltB2mlGEnp_R3UVu1t3wSFPzgCyHXE/edit?gid=0#gid=0"",""GERAL!A2:C""),3,0),""-"")"),"-")</f>
        <v>-</v>
      </c>
    </row>
    <row r="1092" ht="15.75" customHeight="1">
      <c r="A1092" s="111" t="s">
        <v>1335</v>
      </c>
      <c r="B1092" s="83" t="s">
        <v>2050</v>
      </c>
      <c r="C1092" s="83" t="s">
        <v>68</v>
      </c>
      <c r="D1092" s="112">
        <v>1106467.0</v>
      </c>
      <c r="E1092" s="83"/>
      <c r="F1092" s="83">
        <v>2.9093546E7</v>
      </c>
      <c r="G1092" s="487" t="s">
        <v>5915</v>
      </c>
      <c r="H1092" s="108" t="s">
        <v>5916</v>
      </c>
      <c r="I1092" s="83" t="s">
        <v>5917</v>
      </c>
      <c r="J1092" s="83" t="s">
        <v>150</v>
      </c>
      <c r="K1092" s="83" t="s">
        <v>151</v>
      </c>
      <c r="L1092" s="83" t="s">
        <v>230</v>
      </c>
      <c r="M1092" s="82" t="str">
        <f>IFERROR(__xludf.DUMMYFUNCTION("IFERROR(VLOOKUP(D1092,
IMPORTRANGE(""https://docs.google.com/spreadsheets/d/1MjHtlUikwobi2MaWJgy7tfLeBmhj1u-dRFRs_8GwSoA/edit#gid=0"",""Gestores Escolares!D7:J""),3,0),""VERIFICAR CÓD SEC"")"),"JORGE CARNEIRO RIOS")</f>
        <v>JORGE CARNEIRO RIOS</v>
      </c>
      <c r="N1092" s="82" t="str">
        <f>IFERROR(__xludf.DUMMYFUNCTION("IFERROR(VLOOKUP(D1092,
IMPORTRANGE(""https://docs.google.com/spreadsheets/d/1MjHtlUikwobi2MaWJgy7tfLeBmhj1u-dRFRs_8GwSoA/edit#gid=0"",""Gestores Escolares!D7:J""),4,0),""VERIFICAR CÓD SEC"")"),"(75) 9 8158-6500")</f>
        <v>(75) 9 8158-6500</v>
      </c>
      <c r="O1092" s="82" t="str">
        <f>IFERROR(__xludf.DUMMYFUNCTION("IFERROR(VLOOKUP(D1092,
IMPORTRANGE(""https://docs.google.com/spreadsheets/d/1MjHtlUikwobi2MaWJgy7tfLeBmhj1u-dRFRs_8GwSoA/edit#gid=0"",""Gestores Escolares!D7:J""),6,0),""VERIFICAR CÓD SEC"")"),"CLAUDIJANE PIMENTA LEAL DA SILVA")</f>
        <v>CLAUDIJANE PIMENTA LEAL DA SILVA</v>
      </c>
      <c r="P1092" s="82" t="str">
        <f>IFERROR(__xludf.DUMMYFUNCTION("IFERROR(VLOOKUP(D1092,
IMPORTRANGE(""https://docs.google.com/spreadsheets/d/1MjHtlUikwobi2MaWJgy7tfLeBmhj1u-dRFRs_8GwSoA/edit#gid=0"",""Gestores Escolares!D7:J""),7,0),""VERIFICAR CÓD SEC"")"),"(75) 9 9192-0605")</f>
        <v>(75) 9 9192-0605</v>
      </c>
      <c r="Q1092" s="82" t="str">
        <f>IFERROR(__xludf.DUMMYFUNCTION("IFERROR(VLOOKUP(D1092,
IMPORTRANGE(""https://docs.google.com/spreadsheets/d/1MjHtlUikwobi2MaWJgy7tfLeBmhj1u-dRFRs_8GwSoA/edit#gid=0"",""Gestores Escolares!D7:m""),9,0),""VERIFICAR CÓD SEC"")"),"ADRIANO COSME PEREIRA LIMA")</f>
        <v>ADRIANO COSME PEREIRA LIMA</v>
      </c>
      <c r="R1092" s="82" t="str">
        <f>IFERROR(__xludf.DUMMYFUNCTION("IFERROR(VLOOKUP(D1092,
IMPORTRANGE(""https://docs.google.com/spreadsheets/d/1MjHtlUikwobi2MaWJgy7tfLeBmhj1u-dRFRs_8GwSoA/edit#gid=0"",""Gestores Escolares!D7:m""),10,0),""VERIFICAR CÓD SEC"")"),"(75) 9 9116-4488")</f>
        <v>(75) 9 9116-4488</v>
      </c>
      <c r="S1092" s="82"/>
      <c r="T1092" s="138">
        <v>19.0</v>
      </c>
      <c r="U1092" s="388">
        <v>19.0</v>
      </c>
      <c r="V1092" s="106">
        <v>0.0</v>
      </c>
      <c r="W1092" s="107">
        <v>0.0</v>
      </c>
      <c r="X1092" s="107">
        <v>0.0</v>
      </c>
      <c r="Y1092" s="107">
        <v>0.0</v>
      </c>
      <c r="Z1092" s="80">
        <f t="shared" si="1"/>
        <v>0</v>
      </c>
      <c r="AA1092" s="106">
        <v>120.0</v>
      </c>
      <c r="AB1092" s="107">
        <v>70.0</v>
      </c>
      <c r="AC1092" s="107">
        <v>0.0</v>
      </c>
      <c r="AD1092" s="107">
        <v>0.0</v>
      </c>
      <c r="AE1092" s="80">
        <f t="shared" si="2"/>
        <v>190</v>
      </c>
      <c r="AF1092" s="140">
        <v>0.0</v>
      </c>
      <c r="AG1092" s="109">
        <v>35.0</v>
      </c>
      <c r="AH1092" s="109">
        <v>0.0</v>
      </c>
      <c r="AI1092" s="141">
        <v>768.0</v>
      </c>
      <c r="AJ1092" s="80">
        <f t="shared" si="3"/>
        <v>803</v>
      </c>
      <c r="AK1092" s="140">
        <v>0.0</v>
      </c>
      <c r="AL1092" s="109">
        <v>0.0</v>
      </c>
      <c r="AM1092" s="141">
        <v>0.0</v>
      </c>
      <c r="AN1092" s="80">
        <f t="shared" si="4"/>
        <v>0</v>
      </c>
      <c r="AO1092" s="140">
        <v>0.0</v>
      </c>
      <c r="AP1092" s="109">
        <v>25.0</v>
      </c>
      <c r="AQ1092" s="109">
        <v>0.0</v>
      </c>
      <c r="AR1092" s="80">
        <f t="shared" si="5"/>
        <v>25</v>
      </c>
      <c r="AS1092" s="110">
        <v>0.0</v>
      </c>
      <c r="AT1092" s="110">
        <v>0.0</v>
      </c>
      <c r="AU1092" s="110">
        <v>0.0</v>
      </c>
      <c r="AV1092" s="142">
        <v>0.0</v>
      </c>
      <c r="AW1092" s="80">
        <f t="shared" si="6"/>
        <v>0</v>
      </c>
      <c r="AX1092" s="113">
        <f t="shared" si="7"/>
        <v>1018</v>
      </c>
      <c r="AY1092" s="117">
        <f t="shared" si="8"/>
        <v>1018</v>
      </c>
      <c r="AZ1092" s="120">
        <f t="shared" si="9"/>
        <v>0</v>
      </c>
      <c r="BA1092" s="115">
        <v>0.0</v>
      </c>
      <c r="BB1092" s="89">
        <f t="shared" si="10"/>
        <v>1018</v>
      </c>
      <c r="BC1092" s="132" t="s">
        <v>178</v>
      </c>
      <c r="BD1092" s="132" t="s">
        <v>178</v>
      </c>
      <c r="BE1092" s="132" t="s">
        <v>178</v>
      </c>
      <c r="BF1092" s="123"/>
      <c r="BG1092" s="83">
        <v>1106467.0</v>
      </c>
      <c r="BH1092" s="112"/>
      <c r="BI1092" s="112">
        <v>19.0</v>
      </c>
      <c r="BJ1092" s="98" t="s">
        <v>162</v>
      </c>
      <c r="BK1092" s="99">
        <f t="shared" si="11"/>
        <v>768</v>
      </c>
      <c r="BL1092" s="99">
        <f t="shared" si="12"/>
        <v>250</v>
      </c>
      <c r="BM1092" s="99" t="str">
        <f>IFERROR(__xludf.DUMMYFUNCTION("IFERROR(VLOOKUP(BG1092,IMPORTRANGE(""https://docs.google.com/spreadsheets/d/1juPI-Fb8LD0YtltB2mlGEnp_R3UVu1t3wSFPzgCyHXE/edit?gid=0#gid=0"",""GERAL!A2:C""),3,0),""-"")"),"-")</f>
        <v>-</v>
      </c>
    </row>
    <row r="1093" ht="15.75" customHeight="1">
      <c r="A1093" s="111" t="s">
        <v>1335</v>
      </c>
      <c r="B1093" s="83" t="s">
        <v>2050</v>
      </c>
      <c r="C1093" s="83" t="s">
        <v>68</v>
      </c>
      <c r="D1093" s="112">
        <v>1106564.0</v>
      </c>
      <c r="E1093" s="83"/>
      <c r="F1093" s="83">
        <v>2.9094712E7</v>
      </c>
      <c r="G1093" s="119" t="s">
        <v>5920</v>
      </c>
      <c r="H1093" s="91" t="s">
        <v>5921</v>
      </c>
      <c r="I1093" s="83" t="s">
        <v>5922</v>
      </c>
      <c r="J1093" s="83" t="s">
        <v>150</v>
      </c>
      <c r="K1093" s="83" t="s">
        <v>151</v>
      </c>
      <c r="L1093" s="83" t="s">
        <v>230</v>
      </c>
      <c r="M1093" s="82" t="str">
        <f>IFERROR(__xludf.DUMMYFUNCTION("IFERROR(VLOOKUP(D1093,
IMPORTRANGE(""https://docs.google.com/spreadsheets/d/1MjHtlUikwobi2MaWJgy7tfLeBmhj1u-dRFRs_8GwSoA/edit#gid=0"",""Gestores Escolares!D7:J""),3,0),""VERIFICAR CÓD SEC"")"),"DANIELA CORDEIRO CONCEIÇÃO PEREIRA")</f>
        <v>DANIELA CORDEIRO CONCEIÇÃO PEREIRA</v>
      </c>
      <c r="N1093" s="82" t="str">
        <f>IFERROR(__xludf.DUMMYFUNCTION("IFERROR(VLOOKUP(D1093,
IMPORTRANGE(""https://docs.google.com/spreadsheets/d/1MjHtlUikwobi2MaWJgy7tfLeBmhj1u-dRFRs_8GwSoA/edit#gid=0"",""Gestores Escolares!D7:J""),4,0),""VERIFICAR CÓD SEC"")"),"(75) 9 9989-0060")</f>
        <v>(75) 9 9989-0060</v>
      </c>
      <c r="O1093" s="82" t="str">
        <f>IFERROR(__xludf.DUMMYFUNCTION("IFERROR(VLOOKUP(D1093,
IMPORTRANGE(""https://docs.google.com/spreadsheets/d/1MjHtlUikwobi2MaWJgy7tfLeBmhj1u-dRFRs_8GwSoA/edit#gid=0"",""Gestores Escolares!D7:J""),6,0),""VERIFICAR CÓD SEC"")"),"APOLIANNY LIMA DOS SANTOS BASTOS")</f>
        <v>APOLIANNY LIMA DOS SANTOS BASTOS</v>
      </c>
      <c r="P1093" s="82" t="str">
        <f>IFERROR(__xludf.DUMMYFUNCTION("IFERROR(VLOOKUP(D1093,
IMPORTRANGE(""https://docs.google.com/spreadsheets/d/1MjHtlUikwobi2MaWJgy7tfLeBmhj1u-dRFRs_8GwSoA/edit#gid=0"",""Gestores Escolares!D7:J""),7,0),""VERIFICAR CÓD SEC"")"),"(75) 9 9296-0108")</f>
        <v>(75) 9 9296-0108</v>
      </c>
      <c r="Q1093" s="82" t="str">
        <f>IFERROR(__xludf.DUMMYFUNCTION("IFERROR(VLOOKUP(D1093,
IMPORTRANGE(""https://docs.google.com/spreadsheets/d/1MjHtlUikwobi2MaWJgy7tfLeBmhj1u-dRFRs_8GwSoA/edit#gid=0"",""Gestores Escolares!D7:m""),9,0),""VERIFICAR CÓD SEC"")"),"ANTONIO NETO CARNEIRO DOS SANTOS")</f>
        <v>ANTONIO NETO CARNEIRO DOS SANTOS</v>
      </c>
      <c r="R1093" s="82" t="str">
        <f>IFERROR(__xludf.DUMMYFUNCTION("IFERROR(VLOOKUP(D1093,
IMPORTRANGE(""https://docs.google.com/spreadsheets/d/1MjHtlUikwobi2MaWJgy7tfLeBmhj1u-dRFRs_8GwSoA/edit#gid=0"",""Gestores Escolares!D7:m""),10,0),""VERIFICAR CÓD SEC"")"),"(75) 9 8851-8056")</f>
        <v>(75) 9 8851-8056</v>
      </c>
      <c r="S1093" s="82"/>
      <c r="T1093" s="138">
        <v>20.0</v>
      </c>
      <c r="U1093" s="388">
        <v>20.0</v>
      </c>
      <c r="V1093" s="106">
        <v>0.0</v>
      </c>
      <c r="W1093" s="107">
        <v>0.0</v>
      </c>
      <c r="X1093" s="107">
        <v>0.0</v>
      </c>
      <c r="Y1093" s="107">
        <v>0.0</v>
      </c>
      <c r="Z1093" s="80">
        <f t="shared" si="1"/>
        <v>0</v>
      </c>
      <c r="AA1093" s="106">
        <v>106.0</v>
      </c>
      <c r="AB1093" s="107">
        <v>38.0</v>
      </c>
      <c r="AC1093" s="107">
        <v>0.0</v>
      </c>
      <c r="AD1093" s="107">
        <v>104.0</v>
      </c>
      <c r="AE1093" s="80">
        <f t="shared" si="2"/>
        <v>248</v>
      </c>
      <c r="AF1093" s="140">
        <v>86.0</v>
      </c>
      <c r="AG1093" s="109">
        <v>32.0</v>
      </c>
      <c r="AH1093" s="109">
        <v>0.0</v>
      </c>
      <c r="AI1093" s="141">
        <v>160.0</v>
      </c>
      <c r="AJ1093" s="80">
        <f t="shared" si="3"/>
        <v>278</v>
      </c>
      <c r="AK1093" s="140">
        <v>0.0</v>
      </c>
      <c r="AL1093" s="109">
        <v>0.0</v>
      </c>
      <c r="AM1093" s="141">
        <v>0.0</v>
      </c>
      <c r="AN1093" s="80">
        <f t="shared" si="4"/>
        <v>0</v>
      </c>
      <c r="AO1093" s="140">
        <v>0.0</v>
      </c>
      <c r="AP1093" s="109">
        <v>0.0</v>
      </c>
      <c r="AQ1093" s="109">
        <v>106.0</v>
      </c>
      <c r="AR1093" s="80">
        <f t="shared" si="5"/>
        <v>106</v>
      </c>
      <c r="AS1093" s="110">
        <v>120.0</v>
      </c>
      <c r="AT1093" s="110">
        <v>66.0</v>
      </c>
      <c r="AU1093" s="110">
        <v>18.0</v>
      </c>
      <c r="AV1093" s="142">
        <v>0.0</v>
      </c>
      <c r="AW1093" s="80">
        <f t="shared" si="6"/>
        <v>204</v>
      </c>
      <c r="AX1093" s="113">
        <f t="shared" si="7"/>
        <v>836</v>
      </c>
      <c r="AY1093" s="117">
        <f t="shared" si="8"/>
        <v>712</v>
      </c>
      <c r="AZ1093" s="120">
        <f t="shared" si="9"/>
        <v>124</v>
      </c>
      <c r="BA1093" s="115">
        <v>1.0</v>
      </c>
      <c r="BB1093" s="89">
        <f t="shared" si="10"/>
        <v>837</v>
      </c>
      <c r="BC1093" s="132" t="s">
        <v>178</v>
      </c>
      <c r="BD1093" s="132" t="s">
        <v>178</v>
      </c>
      <c r="BE1093" s="132" t="s">
        <v>178</v>
      </c>
      <c r="BF1093" s="123"/>
      <c r="BG1093" s="83">
        <v>1106564.0</v>
      </c>
      <c r="BH1093" s="98"/>
      <c r="BI1093" s="98">
        <v>20.0</v>
      </c>
      <c r="BJ1093" s="98" t="s">
        <v>155</v>
      </c>
      <c r="BK1093" s="99">
        <f t="shared" si="11"/>
        <v>264</v>
      </c>
      <c r="BL1093" s="99">
        <f t="shared" si="12"/>
        <v>448</v>
      </c>
      <c r="BM1093" s="99" t="str">
        <f>IFERROR(__xludf.DUMMYFUNCTION("IFERROR(VLOOKUP(BG1093,IMPORTRANGE(""https://docs.google.com/spreadsheets/d/1juPI-Fb8LD0YtltB2mlGEnp_R3UVu1t3wSFPzgCyHXE/edit?gid=0#gid=0"",""GERAL!A2:C""),3,0),""-"")"),"-")</f>
        <v>-</v>
      </c>
    </row>
    <row r="1094" ht="15.75" customHeight="1">
      <c r="A1094" s="111" t="s">
        <v>1335</v>
      </c>
      <c r="B1094" s="83" t="s">
        <v>2050</v>
      </c>
      <c r="C1094" s="83" t="s">
        <v>68</v>
      </c>
      <c r="D1094" s="112">
        <v>1106270.0</v>
      </c>
      <c r="E1094" s="83"/>
      <c r="F1094" s="83">
        <v>2.909514E7</v>
      </c>
      <c r="G1094" s="119" t="s">
        <v>5925</v>
      </c>
      <c r="H1094" s="91" t="s">
        <v>5926</v>
      </c>
      <c r="I1094" s="83" t="s">
        <v>5772</v>
      </c>
      <c r="J1094" s="83" t="s">
        <v>150</v>
      </c>
      <c r="K1094" s="83" t="s">
        <v>151</v>
      </c>
      <c r="L1094" s="83" t="s">
        <v>152</v>
      </c>
      <c r="M1094" s="82" t="str">
        <f>IFERROR(__xludf.DUMMYFUNCTION("IFERROR(VLOOKUP(D1094,
IMPORTRANGE(""https://docs.google.com/spreadsheets/d/1MjHtlUikwobi2MaWJgy7tfLeBmhj1u-dRFRs_8GwSoA/edit#gid=0"",""Gestores Escolares!D7:J""),3,0),""VERIFICAR CÓD SEC"")"),"MARCIA MARIA DE OLIVEIRA ALMEIDA")</f>
        <v>MARCIA MARIA DE OLIVEIRA ALMEIDA</v>
      </c>
      <c r="N1094" s="82" t="str">
        <f>IFERROR(__xludf.DUMMYFUNCTION("IFERROR(VLOOKUP(D1094,
IMPORTRANGE(""https://docs.google.com/spreadsheets/d/1MjHtlUikwobi2MaWJgy7tfLeBmhj1u-dRFRs_8GwSoA/edit#gid=0"",""Gestores Escolares!D7:J""),4,0),""VERIFICAR CÓD SEC"")"),"(75) 9 9977-4110")</f>
        <v>(75) 9 9977-4110</v>
      </c>
      <c r="O1094" s="82" t="str">
        <f>IFERROR(__xludf.DUMMYFUNCTION("IFERROR(VLOOKUP(D1094,
IMPORTRANGE(""https://docs.google.com/spreadsheets/d/1MjHtlUikwobi2MaWJgy7tfLeBmhj1u-dRFRs_8GwSoA/edit#gid=0"",""Gestores Escolares!D7:J""),6,0),""VERIFICAR CÓD SEC"")"),"ANA PAULA DE ARRUDA GALVAO")</f>
        <v>ANA PAULA DE ARRUDA GALVAO</v>
      </c>
      <c r="P1094" s="82" t="str">
        <f>IFERROR(__xludf.DUMMYFUNCTION("IFERROR(VLOOKUP(D1094,
IMPORTRANGE(""https://docs.google.com/spreadsheets/d/1MjHtlUikwobi2MaWJgy7tfLeBmhj1u-dRFRs_8GwSoA/edit#gid=0"",""Gestores Escolares!D7:J""),7,0),""VERIFICAR CÓD SEC"")"),"(75) 9 9926-4266")</f>
        <v>(75) 9 9926-4266</v>
      </c>
      <c r="Q1094" s="82" t="str">
        <f>IFERROR(__xludf.DUMMYFUNCTION("IFERROR(VLOOKUP(D1094,
IMPORTRANGE(""https://docs.google.com/spreadsheets/d/1MjHtlUikwobi2MaWJgy7tfLeBmhj1u-dRFRs_8GwSoA/edit#gid=0"",""Gestores Escolares!D7:m""),9,0),""VERIFICAR CÓD SEC"")"),"")</f>
        <v/>
      </c>
      <c r="R1094" s="82" t="str">
        <f>IFERROR(__xludf.DUMMYFUNCTION("IFERROR(VLOOKUP(D1094,
IMPORTRANGE(""https://docs.google.com/spreadsheets/d/1MjHtlUikwobi2MaWJgy7tfLeBmhj1u-dRFRs_8GwSoA/edit#gid=0"",""Gestores Escolares!D7:m""),10,0),""VERIFICAR CÓD SEC"")"),"(75) 9 9926-4266")</f>
        <v>(75) 9 9926-4266</v>
      </c>
      <c r="S1094" s="82"/>
      <c r="T1094" s="138">
        <v>9.0</v>
      </c>
      <c r="U1094" s="388">
        <v>9.0</v>
      </c>
      <c r="V1094" s="106">
        <v>0.0</v>
      </c>
      <c r="W1094" s="107">
        <v>0.0</v>
      </c>
      <c r="X1094" s="107">
        <v>0.0</v>
      </c>
      <c r="Y1094" s="107">
        <v>0.0</v>
      </c>
      <c r="Z1094" s="80">
        <f t="shared" si="1"/>
        <v>0</v>
      </c>
      <c r="AA1094" s="106">
        <v>90.0</v>
      </c>
      <c r="AB1094" s="107">
        <v>33.0</v>
      </c>
      <c r="AC1094" s="107">
        <v>0.0</v>
      </c>
      <c r="AD1094" s="107">
        <v>87.0</v>
      </c>
      <c r="AE1094" s="80">
        <f t="shared" si="2"/>
        <v>210</v>
      </c>
      <c r="AF1094" s="140">
        <v>180.0</v>
      </c>
      <c r="AG1094" s="109">
        <v>143.0</v>
      </c>
      <c r="AH1094" s="109">
        <v>0.0</v>
      </c>
      <c r="AI1094" s="141">
        <v>0.0</v>
      </c>
      <c r="AJ1094" s="80">
        <f t="shared" si="3"/>
        <v>323</v>
      </c>
      <c r="AK1094" s="140">
        <v>0.0</v>
      </c>
      <c r="AL1094" s="109">
        <v>0.0</v>
      </c>
      <c r="AM1094" s="141">
        <v>0.0</v>
      </c>
      <c r="AN1094" s="80">
        <f t="shared" si="4"/>
        <v>0</v>
      </c>
      <c r="AO1094" s="140">
        <v>0.0</v>
      </c>
      <c r="AP1094" s="109">
        <v>0.0</v>
      </c>
      <c r="AQ1094" s="109">
        <v>0.0</v>
      </c>
      <c r="AR1094" s="80">
        <f t="shared" si="5"/>
        <v>0</v>
      </c>
      <c r="AS1094" s="110">
        <v>0.0</v>
      </c>
      <c r="AT1094" s="110">
        <v>34.0</v>
      </c>
      <c r="AU1094" s="110">
        <v>17.0</v>
      </c>
      <c r="AV1094" s="142">
        <v>0.0</v>
      </c>
      <c r="AW1094" s="80">
        <f t="shared" si="6"/>
        <v>51</v>
      </c>
      <c r="AX1094" s="113">
        <f t="shared" si="7"/>
        <v>584</v>
      </c>
      <c r="AY1094" s="117">
        <f t="shared" si="8"/>
        <v>567</v>
      </c>
      <c r="AZ1094" s="120">
        <f t="shared" si="9"/>
        <v>17</v>
      </c>
      <c r="BA1094" s="115">
        <v>1.0</v>
      </c>
      <c r="BB1094" s="89">
        <f t="shared" si="10"/>
        <v>585</v>
      </c>
      <c r="BC1094" s="132" t="s">
        <v>178</v>
      </c>
      <c r="BD1094" s="132" t="s">
        <v>178</v>
      </c>
      <c r="BE1094" s="132" t="s">
        <v>178</v>
      </c>
      <c r="BF1094" s="123"/>
      <c r="BG1094" s="83">
        <v>1106270.0</v>
      </c>
      <c r="BH1094" s="112"/>
      <c r="BI1094" s="112">
        <v>9.0</v>
      </c>
      <c r="BJ1094" s="98" t="s">
        <v>155</v>
      </c>
      <c r="BK1094" s="99">
        <f t="shared" si="11"/>
        <v>87</v>
      </c>
      <c r="BL1094" s="99">
        <f t="shared" si="12"/>
        <v>480</v>
      </c>
      <c r="BM1094" s="99" t="str">
        <f>IFERROR(__xludf.DUMMYFUNCTION("IFERROR(VLOOKUP(BG1094,IMPORTRANGE(""https://docs.google.com/spreadsheets/d/1juPI-Fb8LD0YtltB2mlGEnp_R3UVu1t3wSFPzgCyHXE/edit?gid=0#gid=0"",""GERAL!A2:C""),3,0),""-"")"),"-")</f>
        <v>-</v>
      </c>
    </row>
    <row r="1095" ht="15.75" customHeight="1">
      <c r="A1095" s="111" t="s">
        <v>1335</v>
      </c>
      <c r="B1095" s="83" t="s">
        <v>2050</v>
      </c>
      <c r="C1095" s="83" t="s">
        <v>68</v>
      </c>
      <c r="D1095" s="115">
        <v>1179770.0</v>
      </c>
      <c r="E1095" s="83"/>
      <c r="F1095" s="83">
        <v>2.9094143E7</v>
      </c>
      <c r="G1095" s="153" t="s">
        <v>5929</v>
      </c>
      <c r="H1095" s="91" t="s">
        <v>5930</v>
      </c>
      <c r="I1095" s="98" t="s">
        <v>5931</v>
      </c>
      <c r="J1095" s="83" t="s">
        <v>150</v>
      </c>
      <c r="K1095" s="83" t="s">
        <v>151</v>
      </c>
      <c r="L1095" s="83" t="s">
        <v>230</v>
      </c>
      <c r="M1095" s="82" t="str">
        <f>IFERROR(__xludf.DUMMYFUNCTION("IFERROR(VLOOKUP(D1095,
IMPORTRANGE(""https://docs.google.com/spreadsheets/d/1MjHtlUikwobi2MaWJgy7tfLeBmhj1u-dRFRs_8GwSoA/edit#gid=0"",""Gestores Escolares!D7:J""),3,0),""VERIFICAR CÓD SEC"")"),"IRANEIA FERREIRA LEITE")</f>
        <v>IRANEIA FERREIRA LEITE</v>
      </c>
      <c r="N1095" s="82" t="str">
        <f>IFERROR(__xludf.DUMMYFUNCTION("IFERROR(VLOOKUP(D1095,
IMPORTRANGE(""https://docs.google.com/spreadsheets/d/1MjHtlUikwobi2MaWJgy7tfLeBmhj1u-dRFRs_8GwSoA/edit#gid=0"",""Gestores Escolares!D7:J""),4,0),""VERIFICAR CÓD SEC"")"),"(75) 9 9193-4602")</f>
        <v>(75) 9 9193-4602</v>
      </c>
      <c r="O1095" s="82" t="str">
        <f>IFERROR(__xludf.DUMMYFUNCTION("IFERROR(VLOOKUP(D1095,
IMPORTRANGE(""https://docs.google.com/spreadsheets/d/1MjHtlUikwobi2MaWJgy7tfLeBmhj1u-dRFRs_8GwSoA/edit#gid=0"",""Gestores Escolares!D7:J""),6,0),""VERIFICAR CÓD SEC"")"),"LILIAN ARAUJO DE JESUS")</f>
        <v>LILIAN ARAUJO DE JESUS</v>
      </c>
      <c r="P1095" s="82" t="str">
        <f>IFERROR(__xludf.DUMMYFUNCTION("IFERROR(VLOOKUP(D1095,
IMPORTRANGE(""https://docs.google.com/spreadsheets/d/1MjHtlUikwobi2MaWJgy7tfLeBmhj1u-dRFRs_8GwSoA/edit#gid=0"",""Gestores Escolares!D7:J""),7,0),""VERIFICAR CÓD SEC"")"),"(75) 9 9151-7616")</f>
        <v>(75) 9 9151-7616</v>
      </c>
      <c r="Q1095" s="82" t="str">
        <f>IFERROR(__xludf.DUMMYFUNCTION("IFERROR(VLOOKUP(D1095,
IMPORTRANGE(""https://docs.google.com/spreadsheets/d/1MjHtlUikwobi2MaWJgy7tfLeBmhj1u-dRFRs_8GwSoA/edit#gid=0"",""Gestores Escolares!D7:m""),9,0),""VERIFICAR CÓD SEC"")"),"BARBARA KELLY SANTOS PINHEIRO")</f>
        <v>BARBARA KELLY SANTOS PINHEIRO</v>
      </c>
      <c r="R1095" s="82" t="str">
        <f>IFERROR(__xludf.DUMMYFUNCTION("IFERROR(VLOOKUP(D1095,
IMPORTRANGE(""https://docs.google.com/spreadsheets/d/1MjHtlUikwobi2MaWJgy7tfLeBmhj1u-dRFRs_8GwSoA/edit#gid=0"",""Gestores Escolares!D7:m""),10,0),""VERIFICAR CÓD SEC"")"),"(75) 9 9161-7385")</f>
        <v>(75) 9 9161-7385</v>
      </c>
      <c r="S1095" s="82"/>
      <c r="T1095" s="138">
        <v>10.0</v>
      </c>
      <c r="U1095" s="388">
        <v>20.0</v>
      </c>
      <c r="V1095" s="106">
        <v>0.0</v>
      </c>
      <c r="W1095" s="107">
        <v>0.0</v>
      </c>
      <c r="X1095" s="107">
        <v>0.0</v>
      </c>
      <c r="Y1095" s="107">
        <v>0.0</v>
      </c>
      <c r="Z1095" s="80">
        <f t="shared" si="1"/>
        <v>0</v>
      </c>
      <c r="AA1095" s="106">
        <v>0.0</v>
      </c>
      <c r="AB1095" s="107">
        <v>0.0</v>
      </c>
      <c r="AC1095" s="107">
        <v>0.0</v>
      </c>
      <c r="AD1095" s="107">
        <v>187.0</v>
      </c>
      <c r="AE1095" s="80">
        <f t="shared" si="2"/>
        <v>187</v>
      </c>
      <c r="AF1095" s="140">
        <v>0.0</v>
      </c>
      <c r="AG1095" s="109">
        <v>0.0</v>
      </c>
      <c r="AH1095" s="109">
        <v>0.0</v>
      </c>
      <c r="AI1095" s="141">
        <v>302.0</v>
      </c>
      <c r="AJ1095" s="80">
        <f t="shared" si="3"/>
        <v>302</v>
      </c>
      <c r="AK1095" s="140">
        <v>0.0</v>
      </c>
      <c r="AL1095" s="109">
        <v>0.0</v>
      </c>
      <c r="AM1095" s="141">
        <v>0.0</v>
      </c>
      <c r="AN1095" s="80">
        <f t="shared" si="4"/>
        <v>0</v>
      </c>
      <c r="AO1095" s="140">
        <v>0.0</v>
      </c>
      <c r="AP1095" s="109">
        <v>0.0</v>
      </c>
      <c r="AQ1095" s="109">
        <v>24.0</v>
      </c>
      <c r="AR1095" s="80">
        <f t="shared" si="5"/>
        <v>24</v>
      </c>
      <c r="AS1095" s="110">
        <v>20.0</v>
      </c>
      <c r="AT1095" s="110">
        <v>0.0</v>
      </c>
      <c r="AU1095" s="110">
        <v>23.0</v>
      </c>
      <c r="AV1095" s="142">
        <v>122.0</v>
      </c>
      <c r="AW1095" s="80">
        <f t="shared" si="6"/>
        <v>165</v>
      </c>
      <c r="AX1095" s="113">
        <f t="shared" si="7"/>
        <v>678</v>
      </c>
      <c r="AY1095" s="117">
        <f t="shared" si="8"/>
        <v>631</v>
      </c>
      <c r="AZ1095" s="120">
        <f t="shared" si="9"/>
        <v>47</v>
      </c>
      <c r="BA1095" s="115">
        <v>0.0</v>
      </c>
      <c r="BB1095" s="89">
        <f t="shared" si="10"/>
        <v>678</v>
      </c>
      <c r="BC1095" s="132" t="s">
        <v>178</v>
      </c>
      <c r="BD1095" s="132" t="s">
        <v>178</v>
      </c>
      <c r="BE1095" s="132" t="s">
        <v>178</v>
      </c>
      <c r="BF1095" s="123"/>
      <c r="BG1095" s="98">
        <v>1179770.0</v>
      </c>
      <c r="BH1095" s="98"/>
      <c r="BI1095" s="98">
        <v>10.0</v>
      </c>
      <c r="BJ1095" s="98" t="s">
        <v>162</v>
      </c>
      <c r="BK1095" s="99">
        <f t="shared" si="11"/>
        <v>611</v>
      </c>
      <c r="BL1095" s="99">
        <f t="shared" si="12"/>
        <v>20</v>
      </c>
      <c r="BM1095" s="99" t="str">
        <f>IFERROR(__xludf.DUMMYFUNCTION("IFERROR(VLOOKUP(BG1095,IMPORTRANGE(""https://docs.google.com/spreadsheets/d/1juPI-Fb8LD0YtltB2mlGEnp_R3UVu1t3wSFPzgCyHXE/edit?gid=0#gid=0"",""GERAL!A2:C""),3,0),""-"")"),"-")</f>
        <v>-</v>
      </c>
    </row>
    <row r="1096" ht="15.75" customHeight="1">
      <c r="A1096" s="111" t="s">
        <v>1335</v>
      </c>
      <c r="B1096" s="83" t="s">
        <v>2050</v>
      </c>
      <c r="C1096" s="83" t="s">
        <v>68</v>
      </c>
      <c r="D1096" s="112">
        <v>1105916.0</v>
      </c>
      <c r="E1096" s="83"/>
      <c r="F1096" s="83">
        <v>2.9093511E7</v>
      </c>
      <c r="G1096" s="119" t="s">
        <v>5940</v>
      </c>
      <c r="H1096" s="91" t="s">
        <v>5941</v>
      </c>
      <c r="I1096" s="83" t="s">
        <v>149</v>
      </c>
      <c r="J1096" s="83" t="s">
        <v>150</v>
      </c>
      <c r="K1096" s="83" t="s">
        <v>151</v>
      </c>
      <c r="L1096" s="83" t="s">
        <v>230</v>
      </c>
      <c r="M1096" s="82" t="str">
        <f>IFERROR(__xludf.DUMMYFUNCTION("IFERROR(VLOOKUP(D1096,
IMPORTRANGE(""https://docs.google.com/spreadsheets/d/1MjHtlUikwobi2MaWJgy7tfLeBmhj1u-dRFRs_8GwSoA/edit#gid=0"",""Gestores Escolares!D7:J""),3,0),""VERIFICAR CÓD SEC"")"),"ROSIENE FIGUEREDO RODRIGUES")</f>
        <v>ROSIENE FIGUEREDO RODRIGUES</v>
      </c>
      <c r="N1096" s="82" t="str">
        <f>IFERROR(__xludf.DUMMYFUNCTION("IFERROR(VLOOKUP(D1096,
IMPORTRANGE(""https://docs.google.com/spreadsheets/d/1MjHtlUikwobi2MaWJgy7tfLeBmhj1u-dRFRs_8GwSoA/edit#gid=0"",""Gestores Escolares!D7:J""),4,0),""VERIFICAR CÓD SEC"")"),"(75) 9 8834-2685")</f>
        <v>(75) 9 8834-2685</v>
      </c>
      <c r="O1096" s="82" t="str">
        <f>IFERROR(__xludf.DUMMYFUNCTION("IFERROR(VLOOKUP(D1096,
IMPORTRANGE(""https://docs.google.com/spreadsheets/d/1MjHtlUikwobi2MaWJgy7tfLeBmhj1u-dRFRs_8GwSoA/edit#gid=0"",""Gestores Escolares!D7:J""),6,0),""VERIFICAR CÓD SEC"")"),"JEANE OLIVEIRA MAMONA")</f>
        <v>JEANE OLIVEIRA MAMONA</v>
      </c>
      <c r="P1096" s="82" t="str">
        <f>IFERROR(__xludf.DUMMYFUNCTION("IFERROR(VLOOKUP(D1096,
IMPORTRANGE(""https://docs.google.com/spreadsheets/d/1MjHtlUikwobi2MaWJgy7tfLeBmhj1u-dRFRs_8GwSoA/edit#gid=0"",""Gestores Escolares!D7:J""),7,0),""VERIFICAR CÓD SEC"")"),"(75) 9 8141-7212")</f>
        <v>(75) 9 8141-7212</v>
      </c>
      <c r="Q1096" s="82" t="str">
        <f>IFERROR(__xludf.DUMMYFUNCTION("IFERROR(VLOOKUP(D1096,
IMPORTRANGE(""https://docs.google.com/spreadsheets/d/1MjHtlUikwobi2MaWJgy7tfLeBmhj1u-dRFRs_8GwSoA/edit#gid=0"",""Gestores Escolares!D7:m""),9,0),""VERIFICAR CÓD SEC"")"),"IVONE DA SILVA BORGES")</f>
        <v>IVONE DA SILVA BORGES</v>
      </c>
      <c r="R1096" s="82" t="str">
        <f>IFERROR(__xludf.DUMMYFUNCTION("IFERROR(VLOOKUP(D1096,
IMPORTRANGE(""https://docs.google.com/spreadsheets/d/1MjHtlUikwobi2MaWJgy7tfLeBmhj1u-dRFRs_8GwSoA/edit#gid=0"",""Gestores Escolares!D7:m""),10,0),""VERIFICAR CÓD SEC"")"),"(75) 9 8158-3030")</f>
        <v>(75) 9 8158-3030</v>
      </c>
      <c r="S1096" s="82"/>
      <c r="T1096" s="138">
        <v>20.0</v>
      </c>
      <c r="U1096" s="388">
        <v>20.0</v>
      </c>
      <c r="V1096" s="106">
        <v>0.0</v>
      </c>
      <c r="W1096" s="107">
        <v>0.0</v>
      </c>
      <c r="X1096" s="107">
        <v>0.0</v>
      </c>
      <c r="Y1096" s="107">
        <v>0.0</v>
      </c>
      <c r="Z1096" s="80">
        <f t="shared" si="1"/>
        <v>0</v>
      </c>
      <c r="AA1096" s="106">
        <v>134.0</v>
      </c>
      <c r="AB1096" s="107">
        <v>114.0</v>
      </c>
      <c r="AC1096" s="107">
        <v>0.0</v>
      </c>
      <c r="AD1096" s="107">
        <v>259.0</v>
      </c>
      <c r="AE1096" s="80">
        <f t="shared" si="2"/>
        <v>507</v>
      </c>
      <c r="AF1096" s="140">
        <v>0.0</v>
      </c>
      <c r="AG1096" s="109">
        <v>0.0</v>
      </c>
      <c r="AH1096" s="109">
        <v>0.0</v>
      </c>
      <c r="AI1096" s="141">
        <v>585.0</v>
      </c>
      <c r="AJ1096" s="80">
        <f t="shared" si="3"/>
        <v>585</v>
      </c>
      <c r="AK1096" s="140">
        <v>0.0</v>
      </c>
      <c r="AL1096" s="109">
        <v>0.0</v>
      </c>
      <c r="AM1096" s="141">
        <v>0.0</v>
      </c>
      <c r="AN1096" s="80">
        <f t="shared" si="4"/>
        <v>0</v>
      </c>
      <c r="AO1096" s="140">
        <v>0.0</v>
      </c>
      <c r="AP1096" s="109">
        <v>0.0</v>
      </c>
      <c r="AQ1096" s="109">
        <v>271.0</v>
      </c>
      <c r="AR1096" s="80">
        <f t="shared" si="5"/>
        <v>271</v>
      </c>
      <c r="AS1096" s="110">
        <v>0.0</v>
      </c>
      <c r="AT1096" s="110">
        <v>0.0</v>
      </c>
      <c r="AU1096" s="110">
        <v>0.0</v>
      </c>
      <c r="AV1096" s="142">
        <v>0.0</v>
      </c>
      <c r="AW1096" s="80">
        <f t="shared" si="6"/>
        <v>0</v>
      </c>
      <c r="AX1096" s="113">
        <f t="shared" si="7"/>
        <v>1363</v>
      </c>
      <c r="AY1096" s="117">
        <f t="shared" si="8"/>
        <v>1092</v>
      </c>
      <c r="AZ1096" s="120">
        <f t="shared" si="9"/>
        <v>271</v>
      </c>
      <c r="BA1096" s="115">
        <v>0.0</v>
      </c>
      <c r="BB1096" s="89">
        <f t="shared" si="10"/>
        <v>1363</v>
      </c>
      <c r="BC1096" s="132" t="s">
        <v>178</v>
      </c>
      <c r="BD1096" s="132" t="s">
        <v>178</v>
      </c>
      <c r="BE1096" s="132" t="s">
        <v>178</v>
      </c>
      <c r="BF1096" s="123"/>
      <c r="BG1096" s="83">
        <v>1105916.0</v>
      </c>
      <c r="BH1096" s="98"/>
      <c r="BI1096" s="98">
        <v>20.0</v>
      </c>
      <c r="BJ1096" s="98" t="s">
        <v>155</v>
      </c>
      <c r="BK1096" s="99">
        <f t="shared" si="11"/>
        <v>844</v>
      </c>
      <c r="BL1096" s="99">
        <f t="shared" si="12"/>
        <v>248</v>
      </c>
      <c r="BM1096" s="99" t="str">
        <f>IFERROR(__xludf.DUMMYFUNCTION("IFERROR(VLOOKUP(BG1096,IMPORTRANGE(""https://docs.google.com/spreadsheets/d/1juPI-Fb8LD0YtltB2mlGEnp_R3UVu1t3wSFPzgCyHXE/edit?gid=0#gid=0"",""GERAL!A2:C""),3,0),""-"")"),"-")</f>
        <v>-</v>
      </c>
    </row>
    <row r="1097" ht="15.75" customHeight="1">
      <c r="A1097" s="111" t="s">
        <v>1335</v>
      </c>
      <c r="B1097" s="83" t="s">
        <v>2050</v>
      </c>
      <c r="C1097" s="83" t="s">
        <v>68</v>
      </c>
      <c r="D1097" s="112">
        <v>1106386.0</v>
      </c>
      <c r="E1097" s="83"/>
      <c r="F1097" s="83">
        <v>2.90941E7</v>
      </c>
      <c r="G1097" s="153" t="s">
        <v>5945</v>
      </c>
      <c r="H1097" s="91" t="s">
        <v>5947</v>
      </c>
      <c r="I1097" s="83" t="s">
        <v>5948</v>
      </c>
      <c r="J1097" s="83" t="s">
        <v>150</v>
      </c>
      <c r="K1097" s="83" t="s">
        <v>151</v>
      </c>
      <c r="L1097" s="83" t="s">
        <v>230</v>
      </c>
      <c r="M1097" s="82" t="str">
        <f>IFERROR(__xludf.DUMMYFUNCTION("IFERROR(VLOOKUP(D1097,
IMPORTRANGE(""https://docs.google.com/spreadsheets/d/1MjHtlUikwobi2MaWJgy7tfLeBmhj1u-dRFRs_8GwSoA/edit#gid=0"",""Gestores Escolares!D7:J""),3,0),""VERIFICAR CÓD SEC"")"),"ANA VERENA RODRIGUES AMORIM")</f>
        <v>ANA VERENA RODRIGUES AMORIM</v>
      </c>
      <c r="N1097" s="82" t="str">
        <f>IFERROR(__xludf.DUMMYFUNCTION("IFERROR(VLOOKUP(D1097,
IMPORTRANGE(""https://docs.google.com/spreadsheets/d/1MjHtlUikwobi2MaWJgy7tfLeBmhj1u-dRFRs_8GwSoA/edit#gid=0"",""Gestores Escolares!D7:J""),4,0),""VERIFICAR CÓD SEC"")"),"(75) 9 9133-6078")</f>
        <v>(75) 9 9133-6078</v>
      </c>
      <c r="O1097" s="82" t="str">
        <f>IFERROR(__xludf.DUMMYFUNCTION("IFERROR(VLOOKUP(D1097,
IMPORTRANGE(""https://docs.google.com/spreadsheets/d/1MjHtlUikwobi2MaWJgy7tfLeBmhj1u-dRFRs_8GwSoA/edit#gid=0"",""Gestores Escolares!D7:J""),6,0),""VERIFICAR CÓD SEC"")"),"SÃO PEDRO AUXILIADORA DE JESUS A. ALMEIDA")</f>
        <v>SÃO PEDRO AUXILIADORA DE JESUS A. ALMEIDA</v>
      </c>
      <c r="P1097" s="82" t="str">
        <f>IFERROR(__xludf.DUMMYFUNCTION("IFERROR(VLOOKUP(D1097,
IMPORTRANGE(""https://docs.google.com/spreadsheets/d/1MjHtlUikwobi2MaWJgy7tfLeBmhj1u-dRFRs_8GwSoA/edit#gid=0"",""Gestores Escolares!D7:J""),7,0),""VERIFICAR CÓD SEC"")"),"(75) 9 9810-7963")</f>
        <v>(75) 9 9810-7963</v>
      </c>
      <c r="Q1097" s="82" t="str">
        <f>IFERROR(__xludf.DUMMYFUNCTION("IFERROR(VLOOKUP(D1097,
IMPORTRANGE(""https://docs.google.com/spreadsheets/d/1MjHtlUikwobi2MaWJgy7tfLeBmhj1u-dRFRs_8GwSoA/edit#gid=0"",""Gestores Escolares!D7:m""),9,0),""VERIFICAR CÓD SEC"")"),"ANDREA DOS REIS FILHO")</f>
        <v>ANDREA DOS REIS FILHO</v>
      </c>
      <c r="R1097" s="82" t="str">
        <f>IFERROR(__xludf.DUMMYFUNCTION("IFERROR(VLOOKUP(D1097,
IMPORTRANGE(""https://docs.google.com/spreadsheets/d/1MjHtlUikwobi2MaWJgy7tfLeBmhj1u-dRFRs_8GwSoA/edit#gid=0"",""Gestores Escolares!D7:m""),10,0),""VERIFICAR CÓD SEC"")"),"(75) 9 8838-1506")</f>
        <v>(75) 9 8838-1506</v>
      </c>
      <c r="S1097" s="82"/>
      <c r="T1097" s="138">
        <v>17.0</v>
      </c>
      <c r="U1097" s="388">
        <v>24.0</v>
      </c>
      <c r="V1097" s="106">
        <v>0.0</v>
      </c>
      <c r="W1097" s="107">
        <v>0.0</v>
      </c>
      <c r="X1097" s="107">
        <v>0.0</v>
      </c>
      <c r="Y1097" s="107">
        <v>0.0</v>
      </c>
      <c r="Z1097" s="80">
        <f t="shared" si="1"/>
        <v>0</v>
      </c>
      <c r="AA1097" s="106">
        <v>119.0</v>
      </c>
      <c r="AB1097" s="107">
        <v>64.0</v>
      </c>
      <c r="AC1097" s="107">
        <v>0.0</v>
      </c>
      <c r="AD1097" s="107">
        <v>154.0</v>
      </c>
      <c r="AE1097" s="80">
        <f t="shared" si="2"/>
        <v>337</v>
      </c>
      <c r="AF1097" s="140">
        <v>0.0</v>
      </c>
      <c r="AG1097" s="109">
        <v>0.0</v>
      </c>
      <c r="AH1097" s="109">
        <v>0.0</v>
      </c>
      <c r="AI1097" s="141">
        <v>94.0</v>
      </c>
      <c r="AJ1097" s="80">
        <f t="shared" si="3"/>
        <v>94</v>
      </c>
      <c r="AK1097" s="140">
        <v>0.0</v>
      </c>
      <c r="AL1097" s="109">
        <v>0.0</v>
      </c>
      <c r="AM1097" s="141">
        <v>0.0</v>
      </c>
      <c r="AN1097" s="80">
        <f t="shared" si="4"/>
        <v>0</v>
      </c>
      <c r="AO1097" s="140">
        <v>0.0</v>
      </c>
      <c r="AP1097" s="109">
        <v>0.0</v>
      </c>
      <c r="AQ1097" s="109">
        <v>155.0</v>
      </c>
      <c r="AR1097" s="80">
        <f t="shared" si="5"/>
        <v>155</v>
      </c>
      <c r="AS1097" s="110">
        <v>150.0</v>
      </c>
      <c r="AT1097" s="110">
        <v>75.0</v>
      </c>
      <c r="AU1097" s="110">
        <v>138.0</v>
      </c>
      <c r="AV1097" s="142">
        <v>0.0</v>
      </c>
      <c r="AW1097" s="80">
        <f t="shared" si="6"/>
        <v>363</v>
      </c>
      <c r="AX1097" s="113">
        <f t="shared" si="7"/>
        <v>949</v>
      </c>
      <c r="AY1097" s="117">
        <f t="shared" si="8"/>
        <v>656</v>
      </c>
      <c r="AZ1097" s="120">
        <f t="shared" si="9"/>
        <v>293</v>
      </c>
      <c r="BA1097" s="115">
        <v>0.0</v>
      </c>
      <c r="BB1097" s="89">
        <f t="shared" si="10"/>
        <v>949</v>
      </c>
      <c r="BC1097" s="132" t="s">
        <v>178</v>
      </c>
      <c r="BD1097" s="132" t="s">
        <v>178</v>
      </c>
      <c r="BE1097" s="132" t="s">
        <v>178</v>
      </c>
      <c r="BF1097" s="123"/>
      <c r="BG1097" s="83">
        <v>1106386.0</v>
      </c>
      <c r="BH1097" s="98"/>
      <c r="BI1097" s="98">
        <v>24.0</v>
      </c>
      <c r="BJ1097" s="98" t="s">
        <v>162</v>
      </c>
      <c r="BK1097" s="99">
        <f t="shared" si="11"/>
        <v>248</v>
      </c>
      <c r="BL1097" s="99">
        <f t="shared" si="12"/>
        <v>408</v>
      </c>
      <c r="BM1097" s="99" t="str">
        <f>IFERROR(__xludf.DUMMYFUNCTION("IFERROR(VLOOKUP(BG1097,IMPORTRANGE(""https://docs.google.com/spreadsheets/d/1juPI-Fb8LD0YtltB2mlGEnp_R3UVu1t3wSFPzgCyHXE/edit?gid=0#gid=0"",""GERAL!A2:C""),3,0),""-"")"),"-")</f>
        <v>-</v>
      </c>
    </row>
    <row r="1098" ht="15.75" customHeight="1">
      <c r="A1098" s="111" t="s">
        <v>1335</v>
      </c>
      <c r="B1098" s="83" t="s">
        <v>2050</v>
      </c>
      <c r="C1098" s="83" t="s">
        <v>68</v>
      </c>
      <c r="D1098" s="112">
        <v>1106645.0</v>
      </c>
      <c r="E1098" s="83"/>
      <c r="F1098" s="83">
        <v>2.9095166E7</v>
      </c>
      <c r="G1098" s="240" t="s">
        <v>5953</v>
      </c>
      <c r="H1098" s="91" t="s">
        <v>5954</v>
      </c>
      <c r="I1098" s="83" t="s">
        <v>5766</v>
      </c>
      <c r="J1098" s="83" t="s">
        <v>150</v>
      </c>
      <c r="K1098" s="83" t="s">
        <v>151</v>
      </c>
      <c r="L1098" s="83" t="s">
        <v>230</v>
      </c>
      <c r="M1098" s="82" t="str">
        <f>IFERROR(__xludf.DUMMYFUNCTION("IFERROR(VLOOKUP(D1098,
IMPORTRANGE(""https://docs.google.com/spreadsheets/d/1MjHtlUikwobi2MaWJgy7tfLeBmhj1u-dRFRs_8GwSoA/edit#gid=0"",""Gestores Escolares!D7:J""),3,0),""VERIFICAR CÓD SEC"")"),"JOSEANE SOUSA LIMA COSTA")</f>
        <v>JOSEANE SOUSA LIMA COSTA</v>
      </c>
      <c r="N1098" s="82" t="str">
        <f>IFERROR(__xludf.DUMMYFUNCTION("IFERROR(VLOOKUP(D1098,
IMPORTRANGE(""https://docs.google.com/spreadsheets/d/1MjHtlUikwobi2MaWJgy7tfLeBmhj1u-dRFRs_8GwSoA/edit#gid=0"",""Gestores Escolares!D7:J""),4,0),""VERIFICAR CÓD SEC"")"),"(75) 9 9101-4411")</f>
        <v>(75) 9 9101-4411</v>
      </c>
      <c r="O1098" s="82" t="str">
        <f>IFERROR(__xludf.DUMMYFUNCTION("IFERROR(VLOOKUP(D1098,
IMPORTRANGE(""https://docs.google.com/spreadsheets/d/1MjHtlUikwobi2MaWJgy7tfLeBmhj1u-dRFRs_8GwSoA/edit#gid=0"",""Gestores Escolares!D7:J""),6,0),""VERIFICAR CÓD SEC"")"),"JOSELITO DE ASSIS SANTOS")</f>
        <v>JOSELITO DE ASSIS SANTOS</v>
      </c>
      <c r="P1098" s="82" t="str">
        <f>IFERROR(__xludf.DUMMYFUNCTION("IFERROR(VLOOKUP(D1098,
IMPORTRANGE(""https://docs.google.com/spreadsheets/d/1MjHtlUikwobi2MaWJgy7tfLeBmhj1u-dRFRs_8GwSoA/edit#gid=0"",""Gestores Escolares!D7:J""),7,0),""VERIFICAR CÓD SEC"")"),"(75) 9 9122-7367")</f>
        <v>(75) 9 9122-7367</v>
      </c>
      <c r="Q1098" s="82" t="str">
        <f>IFERROR(__xludf.DUMMYFUNCTION("IFERROR(VLOOKUP(D1098,
IMPORTRANGE(""https://docs.google.com/spreadsheets/d/1MjHtlUikwobi2MaWJgy7tfLeBmhj1u-dRFRs_8GwSoA/edit#gid=0"",""Gestores Escolares!D7:m""),9,0),""VERIFICAR CÓD SEC"")"),"CLARA GOMES DE SANTANA")</f>
        <v>CLARA GOMES DE SANTANA</v>
      </c>
      <c r="R1098" s="82" t="str">
        <f>IFERROR(__xludf.DUMMYFUNCTION("IFERROR(VLOOKUP(D1098,
IMPORTRANGE(""https://docs.google.com/spreadsheets/d/1MjHtlUikwobi2MaWJgy7tfLeBmhj1u-dRFRs_8GwSoA/edit#gid=0"",""Gestores Escolares!D7:m""),10,0),""VERIFICAR CÓD SEC"")"),"(75) 9 9197-7304")</f>
        <v>(75) 9 9197-7304</v>
      </c>
      <c r="S1098" s="82"/>
      <c r="T1098" s="138">
        <v>19.0</v>
      </c>
      <c r="U1098" s="388">
        <v>19.0</v>
      </c>
      <c r="V1098" s="106">
        <v>0.0</v>
      </c>
      <c r="W1098" s="107">
        <v>0.0</v>
      </c>
      <c r="X1098" s="107">
        <v>0.0</v>
      </c>
      <c r="Y1098" s="107">
        <v>0.0</v>
      </c>
      <c r="Z1098" s="80">
        <f t="shared" si="1"/>
        <v>0</v>
      </c>
      <c r="AA1098" s="106">
        <v>288.0</v>
      </c>
      <c r="AB1098" s="107">
        <v>161.0</v>
      </c>
      <c r="AC1098" s="107">
        <v>0.0</v>
      </c>
      <c r="AD1098" s="107">
        <v>114.0</v>
      </c>
      <c r="AE1098" s="80">
        <f t="shared" si="2"/>
        <v>563</v>
      </c>
      <c r="AF1098" s="140">
        <v>293.0</v>
      </c>
      <c r="AG1098" s="109">
        <v>222.0</v>
      </c>
      <c r="AH1098" s="109">
        <v>0.0</v>
      </c>
      <c r="AI1098" s="141">
        <v>139.0</v>
      </c>
      <c r="AJ1098" s="80">
        <f t="shared" si="3"/>
        <v>654</v>
      </c>
      <c r="AK1098" s="140">
        <v>0.0</v>
      </c>
      <c r="AL1098" s="109">
        <v>0.0</v>
      </c>
      <c r="AM1098" s="141">
        <v>88.0</v>
      </c>
      <c r="AN1098" s="80">
        <f t="shared" si="4"/>
        <v>88</v>
      </c>
      <c r="AO1098" s="140">
        <v>0.0</v>
      </c>
      <c r="AP1098" s="109">
        <v>0.0</v>
      </c>
      <c r="AQ1098" s="109">
        <v>192.0</v>
      </c>
      <c r="AR1098" s="80">
        <f t="shared" si="5"/>
        <v>192</v>
      </c>
      <c r="AS1098" s="110">
        <v>0.0</v>
      </c>
      <c r="AT1098" s="110">
        <v>0.0</v>
      </c>
      <c r="AU1098" s="110">
        <v>0.0</v>
      </c>
      <c r="AV1098" s="142">
        <v>0.0</v>
      </c>
      <c r="AW1098" s="80">
        <f t="shared" si="6"/>
        <v>0</v>
      </c>
      <c r="AX1098" s="113">
        <f t="shared" si="7"/>
        <v>1497</v>
      </c>
      <c r="AY1098" s="117">
        <f t="shared" si="8"/>
        <v>1217</v>
      </c>
      <c r="AZ1098" s="120">
        <f t="shared" si="9"/>
        <v>280</v>
      </c>
      <c r="BA1098" s="115">
        <v>0.0</v>
      </c>
      <c r="BB1098" s="89">
        <f t="shared" si="10"/>
        <v>1497</v>
      </c>
      <c r="BC1098" s="132" t="s">
        <v>178</v>
      </c>
      <c r="BD1098" s="132" t="s">
        <v>178</v>
      </c>
      <c r="BE1098" s="132" t="s">
        <v>178</v>
      </c>
      <c r="BF1098" s="123"/>
      <c r="BG1098" s="83">
        <v>1106645.0</v>
      </c>
      <c r="BH1098" s="98"/>
      <c r="BI1098" s="98">
        <v>19.0</v>
      </c>
      <c r="BJ1098" s="98" t="s">
        <v>155</v>
      </c>
      <c r="BK1098" s="99">
        <f t="shared" si="11"/>
        <v>253</v>
      </c>
      <c r="BL1098" s="99">
        <f t="shared" si="12"/>
        <v>964</v>
      </c>
      <c r="BM1098" s="99" t="str">
        <f>IFERROR(__xludf.DUMMYFUNCTION("IFERROR(VLOOKUP(BG1098,IMPORTRANGE(""https://docs.google.com/spreadsheets/d/1juPI-Fb8LD0YtltB2mlGEnp_R3UVu1t3wSFPzgCyHXE/edit?gid=0#gid=0"",""GERAL!A2:C""),3,0),""-"")"),"-")</f>
        <v>-</v>
      </c>
    </row>
    <row r="1099" ht="15.75" customHeight="1">
      <c r="A1099" s="111" t="s">
        <v>1335</v>
      </c>
      <c r="B1099" s="83" t="s">
        <v>2050</v>
      </c>
      <c r="C1099" s="83" t="s">
        <v>68</v>
      </c>
      <c r="D1099" s="112">
        <v>1105754.0</v>
      </c>
      <c r="E1099" s="83"/>
      <c r="F1099" s="83">
        <v>2.9093457E7</v>
      </c>
      <c r="G1099" s="119" t="s">
        <v>5958</v>
      </c>
      <c r="H1099" s="91" t="s">
        <v>5959</v>
      </c>
      <c r="I1099" s="83" t="s">
        <v>3366</v>
      </c>
      <c r="J1099" s="83" t="s">
        <v>150</v>
      </c>
      <c r="K1099" s="83" t="s">
        <v>151</v>
      </c>
      <c r="L1099" s="83" t="s">
        <v>230</v>
      </c>
      <c r="M1099" s="82" t="str">
        <f>IFERROR(__xludf.DUMMYFUNCTION("IFERROR(VLOOKUP(D1099,
IMPORTRANGE(""https://docs.google.com/spreadsheets/d/1MjHtlUikwobi2MaWJgy7tfLeBmhj1u-dRFRs_8GwSoA/edit#gid=0"",""Gestores Escolares!D7:J""),3,0),""VERIFICAR CÓD SEC"")"),"LEISLYANI COSTA DA SILVA VIEIRA")</f>
        <v>LEISLYANI COSTA DA SILVA VIEIRA</v>
      </c>
      <c r="N1099" s="82" t="str">
        <f>IFERROR(__xludf.DUMMYFUNCTION("IFERROR(VLOOKUP(D1099,
IMPORTRANGE(""https://docs.google.com/spreadsheets/d/1MjHtlUikwobi2MaWJgy7tfLeBmhj1u-dRFRs_8GwSoA/edit#gid=0"",""Gestores Escolares!D7:J""),4,0),""VERIFICAR CÓD SEC"")"),"(75) 9 9117-3663")</f>
        <v>(75) 9 9117-3663</v>
      </c>
      <c r="O1099" s="82" t="str">
        <f>IFERROR(__xludf.DUMMYFUNCTION("IFERROR(VLOOKUP(D1099,
IMPORTRANGE(""https://docs.google.com/spreadsheets/d/1MjHtlUikwobi2MaWJgy7tfLeBmhj1u-dRFRs_8GwSoA/edit#gid=0"",""Gestores Escolares!D7:J""),6,0),""VERIFICAR CÓD SEC"")"),"ROBSON RIBEIRO REIS")</f>
        <v>ROBSON RIBEIRO REIS</v>
      </c>
      <c r="P1099" s="82" t="str">
        <f>IFERROR(__xludf.DUMMYFUNCTION("IFERROR(VLOOKUP(D1099,
IMPORTRANGE(""https://docs.google.com/spreadsheets/d/1MjHtlUikwobi2MaWJgy7tfLeBmhj1u-dRFRs_8GwSoA/edit#gid=0"",""Gestores Escolares!D7:J""),7,0),""VERIFICAR CÓD SEC"")"),"(75) 9 8859-2538")</f>
        <v>(75) 9 8859-2538</v>
      </c>
      <c r="Q1099" s="82" t="str">
        <f>IFERROR(__xludf.DUMMYFUNCTION("IFERROR(VLOOKUP(D1099,
IMPORTRANGE(""https://docs.google.com/spreadsheets/d/1MjHtlUikwobi2MaWJgy7tfLeBmhj1u-dRFRs_8GwSoA/edit#gid=0"",""Gestores Escolares!D7:m""),9,0),""VERIFICAR CÓD SEC"")"),"ERNESTO ANTONIO NEIVA SANTOS")</f>
        <v>ERNESTO ANTONIO NEIVA SANTOS</v>
      </c>
      <c r="R1099" s="82" t="str">
        <f>IFERROR(__xludf.DUMMYFUNCTION("IFERROR(VLOOKUP(D1099,
IMPORTRANGE(""https://docs.google.com/spreadsheets/d/1MjHtlUikwobi2MaWJgy7tfLeBmhj1u-dRFRs_8GwSoA/edit#gid=0"",""Gestores Escolares!D7:m""),10,0),""VERIFICAR CÓD SEC"")"),"(75) 9 9190-0515")</f>
        <v>(75) 9 9190-0515</v>
      </c>
      <c r="S1099" s="82"/>
      <c r="T1099" s="138">
        <v>37.0</v>
      </c>
      <c r="U1099" s="388">
        <v>37.0</v>
      </c>
      <c r="V1099" s="106">
        <v>0.0</v>
      </c>
      <c r="W1099" s="107">
        <v>0.0</v>
      </c>
      <c r="X1099" s="107">
        <v>0.0</v>
      </c>
      <c r="Y1099" s="107">
        <v>0.0</v>
      </c>
      <c r="Z1099" s="80">
        <f t="shared" si="1"/>
        <v>0</v>
      </c>
      <c r="AA1099" s="106">
        <v>823.0</v>
      </c>
      <c r="AB1099" s="107">
        <v>321.0</v>
      </c>
      <c r="AC1099" s="107">
        <v>0.0</v>
      </c>
      <c r="AD1099" s="107">
        <v>28.0</v>
      </c>
      <c r="AE1099" s="80">
        <f t="shared" si="2"/>
        <v>1172</v>
      </c>
      <c r="AF1099" s="140">
        <v>583.0</v>
      </c>
      <c r="AG1099" s="109">
        <v>620.0</v>
      </c>
      <c r="AH1099" s="109">
        <v>0.0</v>
      </c>
      <c r="AI1099" s="141">
        <v>406.0</v>
      </c>
      <c r="AJ1099" s="80">
        <f t="shared" si="3"/>
        <v>1609</v>
      </c>
      <c r="AK1099" s="140">
        <v>0.0</v>
      </c>
      <c r="AL1099" s="109">
        <v>0.0</v>
      </c>
      <c r="AM1099" s="141">
        <v>0.0</v>
      </c>
      <c r="AN1099" s="80">
        <f t="shared" si="4"/>
        <v>0</v>
      </c>
      <c r="AO1099" s="140">
        <v>0.0</v>
      </c>
      <c r="AP1099" s="109">
        <v>0.0</v>
      </c>
      <c r="AQ1099" s="109">
        <v>224.0</v>
      </c>
      <c r="AR1099" s="80">
        <f t="shared" si="5"/>
        <v>224</v>
      </c>
      <c r="AS1099" s="110">
        <v>18.0</v>
      </c>
      <c r="AT1099" s="110">
        <v>58.0</v>
      </c>
      <c r="AU1099" s="110">
        <v>33.0</v>
      </c>
      <c r="AV1099" s="142">
        <v>0.0</v>
      </c>
      <c r="AW1099" s="80">
        <f t="shared" si="6"/>
        <v>109</v>
      </c>
      <c r="AX1099" s="113">
        <f t="shared" si="7"/>
        <v>3114</v>
      </c>
      <c r="AY1099" s="117">
        <f t="shared" si="8"/>
        <v>2857</v>
      </c>
      <c r="AZ1099" s="120">
        <f t="shared" si="9"/>
        <v>257</v>
      </c>
      <c r="BA1099" s="115">
        <v>0.0</v>
      </c>
      <c r="BB1099" s="89">
        <f t="shared" si="10"/>
        <v>3114</v>
      </c>
      <c r="BC1099" s="132" t="s">
        <v>178</v>
      </c>
      <c r="BD1099" s="132" t="s">
        <v>178</v>
      </c>
      <c r="BE1099" s="132" t="s">
        <v>178</v>
      </c>
      <c r="BF1099" s="123"/>
      <c r="BG1099" s="83">
        <v>1105754.0</v>
      </c>
      <c r="BH1099" s="112"/>
      <c r="BI1099" s="112">
        <v>37.0</v>
      </c>
      <c r="BJ1099" s="98" t="s">
        <v>155</v>
      </c>
      <c r="BK1099" s="99">
        <f t="shared" si="11"/>
        <v>434</v>
      </c>
      <c r="BL1099" s="99">
        <f t="shared" si="12"/>
        <v>2423</v>
      </c>
      <c r="BM1099" s="99" t="str">
        <f>IFERROR(__xludf.DUMMYFUNCTION("IFERROR(VLOOKUP(BG1099,IMPORTRANGE(""https://docs.google.com/spreadsheets/d/1juPI-Fb8LD0YtltB2mlGEnp_R3UVu1t3wSFPzgCyHXE/edit?gid=0#gid=0"",""GERAL!A2:C""),3,0),""-"")"),"-")</f>
        <v>-</v>
      </c>
    </row>
    <row r="1100" ht="15.75" customHeight="1">
      <c r="A1100" s="111" t="s">
        <v>1335</v>
      </c>
      <c r="B1100" s="83" t="s">
        <v>2050</v>
      </c>
      <c r="C1100" s="83" t="s">
        <v>68</v>
      </c>
      <c r="D1100" s="112">
        <v>1105878.0</v>
      </c>
      <c r="E1100" s="83"/>
      <c r="F1100" s="83">
        <v>2.9093317E7</v>
      </c>
      <c r="G1100" s="114" t="s">
        <v>5969</v>
      </c>
      <c r="H1100" s="91" t="s">
        <v>5970</v>
      </c>
      <c r="I1100" s="83" t="s">
        <v>5917</v>
      </c>
      <c r="J1100" s="83" t="s">
        <v>150</v>
      </c>
      <c r="K1100" s="83" t="s">
        <v>151</v>
      </c>
      <c r="L1100" s="83" t="s">
        <v>152</v>
      </c>
      <c r="M1100" s="82" t="str">
        <f>IFERROR(__xludf.DUMMYFUNCTION("IFERROR(VLOOKUP(D1100,
IMPORTRANGE(""https://docs.google.com/spreadsheets/d/1MjHtlUikwobi2MaWJgy7tfLeBmhj1u-dRFRs_8GwSoA/edit#gid=0"",""Gestores Escolares!D7:J""),3,0),""VERIFICAR CÓD SEC"")"),"DIREÇÃO DA ESCOLA: EDIANN DE ALMEIDA SANTOS - (75) 9 9272-0939/ 9 9252-2775
DIREÇÃO DA UNIDADE PM: Tenente Coronel QOPM ANDRÉ LUÍS CAVALCANTE VIEIRA - (75) 9 9115-1541
DIREÇÃO DO ADJUNTO: Major QOPM ALLAN SILVA ARAÚJO (75) 9 9900-8005")</f>
        <v>DIREÇÃO DA ESCOLA: EDIANN DE ALMEIDA SANTOS - (75) 9 9272-0939/ 9 9252-2775
DIREÇÃO DA UNIDADE PM: Tenente Coronel QOPM ANDRÉ LUÍS CAVALCANTE VIEIRA - (75) 9 9115-1541
DIREÇÃO DO ADJUNTO: Major QOPM ALLAN SILVA ARAÚJO (75) 9 9900-8005</v>
      </c>
      <c r="N1100" s="82" t="str">
        <f>IFERROR(__xludf.DUMMYFUNCTION("IFERROR(VLOOKUP(D1100,
IMPORTRANGE(""https://docs.google.com/spreadsheets/d/1MjHtlUikwobi2MaWJgy7tfLeBmhj1u-dRFRs_8GwSoA/edit#gid=0"",""Gestores Escolares!D7:J""),4,0),""VERIFICAR CÓD SEC"")"),"-")</f>
        <v>-</v>
      </c>
      <c r="O1100" s="82" t="str">
        <f>IFERROR(__xludf.DUMMYFUNCTION("IFERROR(VLOOKUP(D1100,
IMPORTRANGE(""https://docs.google.com/spreadsheets/d/1MjHtlUikwobi2MaWJgy7tfLeBmhj1u-dRFRs_8GwSoA/edit#gid=0"",""Gestores Escolares!D7:J""),6,0),""VERIFICAR CÓD SEC"")"),"TATIANA AMORIM DE OLIVEIRA")</f>
        <v>TATIANA AMORIM DE OLIVEIRA</v>
      </c>
      <c r="P1100" s="82" t="str">
        <f>IFERROR(__xludf.DUMMYFUNCTION("IFERROR(VLOOKUP(D1100,
IMPORTRANGE(""https://docs.google.com/spreadsheets/d/1MjHtlUikwobi2MaWJgy7tfLeBmhj1u-dRFRs_8GwSoA/edit#gid=0"",""Gestores Escolares!D7:J""),7,0),""VERIFICAR CÓD SEC"")"),"(75) 9 9295-0015")</f>
        <v>(75) 9 9295-0015</v>
      </c>
      <c r="Q1100" s="82" t="str">
        <f>IFERROR(__xludf.DUMMYFUNCTION("IFERROR(VLOOKUP(D1100,
IMPORTRANGE(""https://docs.google.com/spreadsheets/d/1MjHtlUikwobi2MaWJgy7tfLeBmhj1u-dRFRs_8GwSoA/edit#gid=0"",""Gestores Escolares!D7:m""),9,0),""VERIFICAR CÓD SEC"")"),"RODRIGO MARTINS SERPELONI")</f>
        <v>RODRIGO MARTINS SERPELONI</v>
      </c>
      <c r="R1100" s="82" t="str">
        <f>IFERROR(__xludf.DUMMYFUNCTION("IFERROR(VLOOKUP(D1100,
IMPORTRANGE(""https://docs.google.com/spreadsheets/d/1MjHtlUikwobi2MaWJgy7tfLeBmhj1u-dRFRs_8GwSoA/edit#gid=0"",""Gestores Escolares!D7:m""),10,0),""VERIFICAR CÓD SEC"")"),"(75) 9 8843-0640")</f>
        <v>(75) 9 8843-0640</v>
      </c>
      <c r="S1100" s="82"/>
      <c r="T1100" s="138">
        <v>14.0</v>
      </c>
      <c r="U1100" s="388">
        <v>14.0</v>
      </c>
      <c r="V1100" s="106">
        <v>0.0</v>
      </c>
      <c r="W1100" s="107">
        <v>0.0</v>
      </c>
      <c r="X1100" s="107">
        <v>0.0</v>
      </c>
      <c r="Y1100" s="107">
        <v>0.0</v>
      </c>
      <c r="Z1100" s="80">
        <f t="shared" si="1"/>
        <v>0</v>
      </c>
      <c r="AA1100" s="106">
        <v>73.0</v>
      </c>
      <c r="AB1100" s="107">
        <v>527.0</v>
      </c>
      <c r="AC1100" s="107">
        <v>0.0</v>
      </c>
      <c r="AD1100" s="107">
        <v>0.0</v>
      </c>
      <c r="AE1100" s="80">
        <f t="shared" si="2"/>
        <v>600</v>
      </c>
      <c r="AF1100" s="140">
        <v>417.0</v>
      </c>
      <c r="AG1100" s="109">
        <v>0.0</v>
      </c>
      <c r="AH1100" s="109">
        <v>0.0</v>
      </c>
      <c r="AI1100" s="141">
        <v>0.0</v>
      </c>
      <c r="AJ1100" s="80">
        <f t="shared" si="3"/>
        <v>417</v>
      </c>
      <c r="AK1100" s="140">
        <v>0.0</v>
      </c>
      <c r="AL1100" s="109">
        <v>0.0</v>
      </c>
      <c r="AM1100" s="141">
        <v>0.0</v>
      </c>
      <c r="AN1100" s="80">
        <f t="shared" si="4"/>
        <v>0</v>
      </c>
      <c r="AO1100" s="140">
        <v>0.0</v>
      </c>
      <c r="AP1100" s="109">
        <v>0.0</v>
      </c>
      <c r="AQ1100" s="109">
        <v>0.0</v>
      </c>
      <c r="AR1100" s="80">
        <f t="shared" si="5"/>
        <v>0</v>
      </c>
      <c r="AS1100" s="110">
        <v>0.0</v>
      </c>
      <c r="AT1100" s="110">
        <v>0.0</v>
      </c>
      <c r="AU1100" s="110">
        <v>0.0</v>
      </c>
      <c r="AV1100" s="142">
        <v>0.0</v>
      </c>
      <c r="AW1100" s="80">
        <f t="shared" si="6"/>
        <v>0</v>
      </c>
      <c r="AX1100" s="113">
        <f t="shared" si="7"/>
        <v>1017</v>
      </c>
      <c r="AY1100" s="117">
        <f t="shared" si="8"/>
        <v>1017</v>
      </c>
      <c r="AZ1100" s="120">
        <f t="shared" si="9"/>
        <v>0</v>
      </c>
      <c r="BA1100" s="115">
        <v>0.0</v>
      </c>
      <c r="BB1100" s="89">
        <f t="shared" si="10"/>
        <v>1017</v>
      </c>
      <c r="BC1100" s="143" t="s">
        <v>1014</v>
      </c>
      <c r="BD1100" s="132" t="s">
        <v>178</v>
      </c>
      <c r="BE1100" s="132" t="s">
        <v>178</v>
      </c>
      <c r="BF1100" s="123"/>
      <c r="BG1100" s="83">
        <v>1105878.0</v>
      </c>
      <c r="BH1100" s="112"/>
      <c r="BI1100" s="112">
        <v>14.0</v>
      </c>
      <c r="BJ1100" s="98" t="s">
        <v>155</v>
      </c>
      <c r="BK1100" s="99">
        <f t="shared" si="11"/>
        <v>0</v>
      </c>
      <c r="BL1100" s="99">
        <f t="shared" si="12"/>
        <v>1017</v>
      </c>
      <c r="BM1100" s="99" t="str">
        <f>IFERROR(__xludf.DUMMYFUNCTION("IFERROR(VLOOKUP(BG1100,IMPORTRANGE(""https://docs.google.com/spreadsheets/d/1juPI-Fb8LD0YtltB2mlGEnp_R3UVu1t3wSFPzgCyHXE/edit?gid=0#gid=0"",""GERAL!A2:C""),3,0),""-"")"),"-")</f>
        <v>-</v>
      </c>
    </row>
    <row r="1101" ht="15.75" customHeight="1">
      <c r="A1101" s="111" t="s">
        <v>1335</v>
      </c>
      <c r="B1101" s="83" t="s">
        <v>2050</v>
      </c>
      <c r="C1101" s="83" t="s">
        <v>68</v>
      </c>
      <c r="D1101" s="112">
        <v>1163894.0</v>
      </c>
      <c r="E1101" s="83"/>
      <c r="F1101" s="83">
        <v>2.9097509E7</v>
      </c>
      <c r="G1101" s="114" t="s">
        <v>5972</v>
      </c>
      <c r="H1101" s="91" t="s">
        <v>5973</v>
      </c>
      <c r="I1101" s="83" t="s">
        <v>149</v>
      </c>
      <c r="J1101" s="83" t="s">
        <v>1173</v>
      </c>
      <c r="K1101" s="83" t="s">
        <v>151</v>
      </c>
      <c r="L1101" s="83" t="s">
        <v>230</v>
      </c>
      <c r="M1101" s="82" t="str">
        <f>IFERROR(__xludf.DUMMYFUNCTION("IFERROR(VLOOKUP(D1101,
IMPORTRANGE(""https://docs.google.com/spreadsheets/d/1MjHtlUikwobi2MaWJgy7tfLeBmhj1u-dRFRs_8GwSoA/edit#gid=0"",""Gestores Escolares!D7:J""),3,0),""VERIFICAR CÓD SEC"")"),"SIDNEY SANTOS MARTINS DA SILVA")</f>
        <v>SIDNEY SANTOS MARTINS DA SILVA</v>
      </c>
      <c r="N1101" s="82" t="str">
        <f>IFERROR(__xludf.DUMMYFUNCTION("IFERROR(VLOOKUP(D1101,
IMPORTRANGE(""https://docs.google.com/spreadsheets/d/1MjHtlUikwobi2MaWJgy7tfLeBmhj1u-dRFRs_8GwSoA/edit#gid=0"",""Gestores Escolares!D7:J""),4,0),""VERIFICAR CÓD SEC"")"),"(75) 9 9121-1820")</f>
        <v>(75) 9 9121-1820</v>
      </c>
      <c r="O1101" s="82" t="str">
        <f>IFERROR(__xludf.DUMMYFUNCTION("IFERROR(VLOOKUP(D1101,
IMPORTRANGE(""https://docs.google.com/spreadsheets/d/1MjHtlUikwobi2MaWJgy7tfLeBmhj1u-dRFRs_8GwSoA/edit#gid=0"",""Gestores Escolares!D7:J""),6,0),""VERIFICAR CÓD SEC"")"),"RITA DE CASSIA ALVES RIOS ")</f>
        <v>RITA DE CASSIA ALVES RIOS </v>
      </c>
      <c r="P1101" s="82" t="str">
        <f>IFERROR(__xludf.DUMMYFUNCTION("IFERROR(VLOOKUP(D1101,
IMPORTRANGE(""https://docs.google.com/spreadsheets/d/1MjHtlUikwobi2MaWJgy7tfLeBmhj1u-dRFRs_8GwSoA/edit#gid=0"",""Gestores Escolares!D7:J""),7,0),""VERIFICAR CÓD SEC"")"),"(75) 9 8144-4794")</f>
        <v>(75) 9 8144-4794</v>
      </c>
      <c r="Q1101" s="82" t="str">
        <f>IFERROR(__xludf.DUMMYFUNCTION("IFERROR(VLOOKUP(D1101,
IMPORTRANGE(""https://docs.google.com/spreadsheets/d/1MjHtlUikwobi2MaWJgy7tfLeBmhj1u-dRFRs_8GwSoA/edit#gid=0"",""Gestores Escolares!D7:m""),9,0),""VERIFICAR CÓD SEC"")"),"LUCIDALVA DE JESUS DALTRO")</f>
        <v>LUCIDALVA DE JESUS DALTRO</v>
      </c>
      <c r="R1101" s="82" t="str">
        <f>IFERROR(__xludf.DUMMYFUNCTION("IFERROR(VLOOKUP(D1101,
IMPORTRANGE(""https://docs.google.com/spreadsheets/d/1MjHtlUikwobi2MaWJgy7tfLeBmhj1u-dRFRs_8GwSoA/edit#gid=0"",""Gestores Escolares!D7:m""),10,0),""VERIFICAR CÓD SEC"")"),"(75) 9 9974-2448")</f>
        <v>(75) 9 9974-2448</v>
      </c>
      <c r="S1101" s="82"/>
      <c r="T1101" s="138">
        <v>15.0</v>
      </c>
      <c r="U1101" s="388">
        <v>15.0</v>
      </c>
      <c r="V1101" s="106">
        <v>0.0</v>
      </c>
      <c r="W1101" s="107">
        <v>0.0</v>
      </c>
      <c r="X1101" s="107">
        <v>0.0</v>
      </c>
      <c r="Y1101" s="107">
        <v>0.0</v>
      </c>
      <c r="Z1101" s="80">
        <f t="shared" si="1"/>
        <v>0</v>
      </c>
      <c r="AA1101" s="106">
        <v>0.0</v>
      </c>
      <c r="AB1101" s="107">
        <v>0.0</v>
      </c>
      <c r="AC1101" s="107">
        <v>0.0</v>
      </c>
      <c r="AD1101" s="107">
        <v>0.0</v>
      </c>
      <c r="AE1101" s="80">
        <f t="shared" si="2"/>
        <v>0</v>
      </c>
      <c r="AF1101" s="140">
        <v>0.0</v>
      </c>
      <c r="AG1101" s="109">
        <v>0.0</v>
      </c>
      <c r="AH1101" s="109">
        <v>0.0</v>
      </c>
      <c r="AI1101" s="141">
        <v>0.0</v>
      </c>
      <c r="AJ1101" s="80">
        <f t="shared" si="3"/>
        <v>0</v>
      </c>
      <c r="AK1101" s="140">
        <v>0.0</v>
      </c>
      <c r="AL1101" s="109">
        <v>0.0</v>
      </c>
      <c r="AM1101" s="141">
        <v>0.0</v>
      </c>
      <c r="AN1101" s="80">
        <f t="shared" si="4"/>
        <v>0</v>
      </c>
      <c r="AO1101" s="140">
        <v>0.0</v>
      </c>
      <c r="AP1101" s="109">
        <v>0.0</v>
      </c>
      <c r="AQ1101" s="109">
        <v>0.0</v>
      </c>
      <c r="AR1101" s="80">
        <f t="shared" si="5"/>
        <v>0</v>
      </c>
      <c r="AS1101" s="110">
        <v>318.0</v>
      </c>
      <c r="AT1101" s="110">
        <v>108.0</v>
      </c>
      <c r="AU1101" s="110">
        <v>0.0</v>
      </c>
      <c r="AV1101" s="142">
        <v>0.0</v>
      </c>
      <c r="AW1101" s="80">
        <f t="shared" si="6"/>
        <v>426</v>
      </c>
      <c r="AX1101" s="113">
        <f t="shared" si="7"/>
        <v>426</v>
      </c>
      <c r="AY1101" s="117">
        <f t="shared" si="8"/>
        <v>426</v>
      </c>
      <c r="AZ1101" s="120">
        <f t="shared" si="9"/>
        <v>0</v>
      </c>
      <c r="BA1101" s="115">
        <v>0.0</v>
      </c>
      <c r="BB1101" s="89">
        <f t="shared" si="10"/>
        <v>426</v>
      </c>
      <c r="BC1101" s="132" t="s">
        <v>178</v>
      </c>
      <c r="BD1101" s="132" t="s">
        <v>522</v>
      </c>
      <c r="BE1101" s="132" t="s">
        <v>178</v>
      </c>
      <c r="BF1101" s="156"/>
      <c r="BG1101" s="83">
        <v>1163894.0</v>
      </c>
      <c r="BH1101" s="98"/>
      <c r="BI1101" s="98">
        <v>15.0</v>
      </c>
      <c r="BJ1101" s="98" t="s">
        <v>155</v>
      </c>
      <c r="BK1101" s="99">
        <f t="shared" si="11"/>
        <v>0</v>
      </c>
      <c r="BL1101" s="99">
        <f t="shared" si="12"/>
        <v>426</v>
      </c>
      <c r="BM1101" s="99" t="str">
        <f>IFERROR(__xludf.DUMMYFUNCTION("IFERROR(VLOOKUP(BG1101,IMPORTRANGE(""https://docs.google.com/spreadsheets/d/1juPI-Fb8LD0YtltB2mlGEnp_R3UVu1t3wSFPzgCyHXE/edit?gid=0#gid=0"",""GERAL!A2:C""),3,0),""-"")"),"-")</f>
        <v>-</v>
      </c>
    </row>
    <row r="1102" ht="15.75" customHeight="1">
      <c r="A1102" s="111" t="s">
        <v>1335</v>
      </c>
      <c r="B1102" s="83" t="s">
        <v>2050</v>
      </c>
      <c r="C1102" s="83" t="s">
        <v>68</v>
      </c>
      <c r="D1102" s="112">
        <v>1179657.0</v>
      </c>
      <c r="E1102" s="83"/>
      <c r="F1102" s="83">
        <v>2.9474264E7</v>
      </c>
      <c r="G1102" s="114" t="s">
        <v>5976</v>
      </c>
      <c r="H1102" s="91" t="s">
        <v>5977</v>
      </c>
      <c r="I1102" s="83" t="s">
        <v>5978</v>
      </c>
      <c r="J1102" s="83" t="s">
        <v>150</v>
      </c>
      <c r="K1102" s="83" t="s">
        <v>151</v>
      </c>
      <c r="L1102" s="83" t="s">
        <v>230</v>
      </c>
      <c r="M1102" s="82" t="str">
        <f>IFERROR(__xludf.DUMMYFUNCTION("IFERROR(VLOOKUP(D1102,
IMPORTRANGE(""https://docs.google.com/spreadsheets/d/1MjHtlUikwobi2MaWJgy7tfLeBmhj1u-dRFRs_8GwSoA/edit#gid=0"",""Gestores Escolares!D7:J""),3,0),""VERIFICAR CÓD SEC"")"),"TATIANA DOS SANTOS MOREIRA")</f>
        <v>TATIANA DOS SANTOS MOREIRA</v>
      </c>
      <c r="N1102" s="82" t="str">
        <f>IFERROR(__xludf.DUMMYFUNCTION("IFERROR(VLOOKUP(D1102,
IMPORTRANGE(""https://docs.google.com/spreadsheets/d/1MjHtlUikwobi2MaWJgy7tfLeBmhj1u-dRFRs_8GwSoA/edit#gid=0"",""Gestores Escolares!D7:J""),4,0),""VERIFICAR CÓD SEC"")"),"(75) 9 9191-3665")</f>
        <v>(75) 9 9191-3665</v>
      </c>
      <c r="O1102" s="82" t="str">
        <f>IFERROR(__xludf.DUMMYFUNCTION("IFERROR(VLOOKUP(D1102,
IMPORTRANGE(""https://docs.google.com/spreadsheets/d/1MjHtlUikwobi2MaWJgy7tfLeBmhj1u-dRFRs_8GwSoA/edit#gid=0"",""Gestores Escolares!D7:J""),6,0),""VERIFICAR CÓD SEC"")"),"JACQUELINE MELO DE SOUZA MORAIS")</f>
        <v>JACQUELINE MELO DE SOUZA MORAIS</v>
      </c>
      <c r="P1102" s="82" t="str">
        <f>IFERROR(__xludf.DUMMYFUNCTION("IFERROR(VLOOKUP(D1102,
IMPORTRANGE(""https://docs.google.com/spreadsheets/d/1MjHtlUikwobi2MaWJgy7tfLeBmhj1u-dRFRs_8GwSoA/edit#gid=0"",""Gestores Escolares!D7:J""),7,0),""VERIFICAR CÓD SEC"")"),"(75) 9 8118-8206")</f>
        <v>(75) 9 8118-8206</v>
      </c>
      <c r="Q1102" s="82" t="str">
        <f>IFERROR(__xludf.DUMMYFUNCTION("IFERROR(VLOOKUP(D1102,
IMPORTRANGE(""https://docs.google.com/spreadsheets/d/1MjHtlUikwobi2MaWJgy7tfLeBmhj1u-dRFRs_8GwSoA/edit#gid=0"",""Gestores Escolares!D7:m""),9,0),""VERIFICAR CÓD SEC"")"),"")</f>
        <v/>
      </c>
      <c r="R1102" s="82" t="str">
        <f>IFERROR(__xludf.DUMMYFUNCTION("IFERROR(VLOOKUP(D1102,
IMPORTRANGE(""https://docs.google.com/spreadsheets/d/1MjHtlUikwobi2MaWJgy7tfLeBmhj1u-dRFRs_8GwSoA/edit#gid=0"",""Gestores Escolares!D7:m""),10,0),""VERIFICAR CÓD SEC"")"),"")</f>
        <v/>
      </c>
      <c r="S1102" s="82"/>
      <c r="T1102" s="562" t="s">
        <v>171</v>
      </c>
      <c r="U1102" s="388" t="s">
        <v>171</v>
      </c>
      <c r="V1102" s="106">
        <v>0.0</v>
      </c>
      <c r="W1102" s="107">
        <v>0.0</v>
      </c>
      <c r="X1102" s="107">
        <v>0.0</v>
      </c>
      <c r="Y1102" s="107">
        <v>0.0</v>
      </c>
      <c r="Z1102" s="80">
        <f t="shared" si="1"/>
        <v>0</v>
      </c>
      <c r="AA1102" s="106">
        <v>0.0</v>
      </c>
      <c r="AB1102" s="107">
        <v>0.0</v>
      </c>
      <c r="AC1102" s="107">
        <v>0.0</v>
      </c>
      <c r="AD1102" s="107">
        <v>0.0</v>
      </c>
      <c r="AE1102" s="80">
        <f t="shared" si="2"/>
        <v>0</v>
      </c>
      <c r="AF1102" s="140">
        <v>0.0</v>
      </c>
      <c r="AG1102" s="109">
        <v>0.0</v>
      </c>
      <c r="AH1102" s="109">
        <v>0.0</v>
      </c>
      <c r="AI1102" s="141">
        <v>0.0</v>
      </c>
      <c r="AJ1102" s="80">
        <f t="shared" si="3"/>
        <v>0</v>
      </c>
      <c r="AK1102" s="140">
        <v>0.0</v>
      </c>
      <c r="AL1102" s="109">
        <v>0.0</v>
      </c>
      <c r="AM1102" s="141">
        <v>0.0</v>
      </c>
      <c r="AN1102" s="80">
        <f t="shared" si="4"/>
        <v>0</v>
      </c>
      <c r="AO1102" s="140">
        <v>0.0</v>
      </c>
      <c r="AP1102" s="109">
        <v>0.0</v>
      </c>
      <c r="AQ1102" s="109">
        <v>0.0</v>
      </c>
      <c r="AR1102" s="80">
        <f t="shared" si="5"/>
        <v>0</v>
      </c>
      <c r="AS1102" s="110">
        <v>0.0</v>
      </c>
      <c r="AT1102" s="110">
        <v>0.0</v>
      </c>
      <c r="AU1102" s="110">
        <v>0.0</v>
      </c>
      <c r="AV1102" s="142">
        <v>0.0</v>
      </c>
      <c r="AW1102" s="80">
        <f t="shared" si="6"/>
        <v>0</v>
      </c>
      <c r="AX1102" s="113">
        <f t="shared" si="7"/>
        <v>0</v>
      </c>
      <c r="AY1102" s="117">
        <f t="shared" si="8"/>
        <v>0</v>
      </c>
      <c r="AZ1102" s="120">
        <f t="shared" si="9"/>
        <v>0</v>
      </c>
      <c r="BA1102" s="168">
        <v>0.0</v>
      </c>
      <c r="BB1102" s="89">
        <f t="shared" si="10"/>
        <v>0</v>
      </c>
      <c r="BC1102" s="143" t="s">
        <v>547</v>
      </c>
      <c r="BD1102" s="143" t="s">
        <v>547</v>
      </c>
      <c r="BE1102" s="132" t="s">
        <v>178</v>
      </c>
      <c r="BF1102" s="156"/>
      <c r="BG1102" s="83">
        <v>1179657.0</v>
      </c>
      <c r="BH1102" s="98"/>
      <c r="BI1102" s="98" t="s">
        <v>171</v>
      </c>
      <c r="BJ1102" s="98" t="s">
        <v>155</v>
      </c>
      <c r="BK1102" s="99">
        <f t="shared" si="11"/>
        <v>0</v>
      </c>
      <c r="BL1102" s="99">
        <f t="shared" si="12"/>
        <v>0</v>
      </c>
      <c r="BM1102" s="99" t="str">
        <f>IFERROR(__xludf.DUMMYFUNCTION("IFERROR(VLOOKUP(BG1102,IMPORTRANGE(""https://docs.google.com/spreadsheets/d/1juPI-Fb8LD0YtltB2mlGEnp_R3UVu1t3wSFPzgCyHXE/edit?gid=0#gid=0"",""GERAL!A2:C""),3,0),""-"")"),"-")</f>
        <v>-</v>
      </c>
    </row>
    <row r="1103" ht="15.75" customHeight="1">
      <c r="A1103" s="111" t="s">
        <v>1335</v>
      </c>
      <c r="B1103" s="83" t="s">
        <v>2050</v>
      </c>
      <c r="C1103" s="83" t="s">
        <v>68</v>
      </c>
      <c r="D1103" s="112">
        <v>1105975.0</v>
      </c>
      <c r="E1103" s="83"/>
      <c r="F1103" s="83">
        <v>2.909352E7</v>
      </c>
      <c r="G1103" s="114" t="s">
        <v>5980</v>
      </c>
      <c r="H1103" s="108" t="s">
        <v>5981</v>
      </c>
      <c r="I1103" s="83" t="s">
        <v>149</v>
      </c>
      <c r="J1103" s="83" t="s">
        <v>150</v>
      </c>
      <c r="K1103" s="83" t="s">
        <v>151</v>
      </c>
      <c r="L1103" s="83" t="s">
        <v>230</v>
      </c>
      <c r="M1103" s="82" t="str">
        <f>IFERROR(__xludf.DUMMYFUNCTION("IFERROR(VLOOKUP(D1103,
IMPORTRANGE(""https://docs.google.com/spreadsheets/d/1MjHtlUikwobi2MaWJgy7tfLeBmhj1u-dRFRs_8GwSoA/edit#gid=0"",""Gestores Escolares!D7:J""),3,0),""VERIFICAR CÓD SEC"")"),"EDIVANE LIMA FONSECA PERGENTINO")</f>
        <v>EDIVANE LIMA FONSECA PERGENTINO</v>
      </c>
      <c r="N1103" s="82" t="str">
        <f>IFERROR(__xludf.DUMMYFUNCTION("IFERROR(VLOOKUP(D1103,
IMPORTRANGE(""https://docs.google.com/spreadsheets/d/1MjHtlUikwobi2MaWJgy7tfLeBmhj1u-dRFRs_8GwSoA/edit#gid=0"",""Gestores Escolares!D7:J""),4,0),""VERIFICAR CÓD SEC"")"),"(75) 9 8855-3187")</f>
        <v>(75) 9 8855-3187</v>
      </c>
      <c r="O1103" s="82" t="str">
        <f>IFERROR(__xludf.DUMMYFUNCTION("IFERROR(VLOOKUP(D1103,
IMPORTRANGE(""https://docs.google.com/spreadsheets/d/1MjHtlUikwobi2MaWJgy7tfLeBmhj1u-dRFRs_8GwSoA/edit#gid=0"",""Gestores Escolares!D7:J""),6,0),""VERIFICAR CÓD SEC"")"),"ELIZABETH MOTA NAZARETH DE ALMEIDA")</f>
        <v>ELIZABETH MOTA NAZARETH DE ALMEIDA</v>
      </c>
      <c r="P1103" s="82" t="str">
        <f>IFERROR(__xludf.DUMMYFUNCTION("IFERROR(VLOOKUP(D1103,
IMPORTRANGE(""https://docs.google.com/spreadsheets/d/1MjHtlUikwobi2MaWJgy7tfLeBmhj1u-dRFRs_8GwSoA/edit#gid=0"",""Gestores Escolares!D7:J""),7,0),""VERIFICAR CÓD SEC"")")," (75) 9 8155-5596")</f>
        <v> (75) 9 8155-5596</v>
      </c>
      <c r="Q1103" s="82" t="str">
        <f>IFERROR(__xludf.DUMMYFUNCTION("IFERROR(VLOOKUP(D1103,
IMPORTRANGE(""https://docs.google.com/spreadsheets/d/1MjHtlUikwobi2MaWJgy7tfLeBmhj1u-dRFRs_8GwSoA/edit#gid=0"",""Gestores Escolares!D7:m""),9,0),""VERIFICAR CÓD SEC"")"),"MUNIQUE FERREIRA GONCALVES DO CARMO")</f>
        <v>MUNIQUE FERREIRA GONCALVES DO CARMO</v>
      </c>
      <c r="R1103" s="82" t="str">
        <f>IFERROR(__xludf.DUMMYFUNCTION("IFERROR(VLOOKUP(D1103,
IMPORTRANGE(""https://docs.google.com/spreadsheets/d/1MjHtlUikwobi2MaWJgy7tfLeBmhj1u-dRFRs_8GwSoA/edit#gid=0"",""Gestores Escolares!D7:m""),10,0),""VERIFICAR CÓD SEC"")"),"(75) 9 9153-1879")</f>
        <v>(75) 9 9153-1879</v>
      </c>
      <c r="S1103" s="82"/>
      <c r="T1103" s="138">
        <v>25.0</v>
      </c>
      <c r="U1103" s="388">
        <v>25.0</v>
      </c>
      <c r="V1103" s="106">
        <v>0.0</v>
      </c>
      <c r="W1103" s="107">
        <v>0.0</v>
      </c>
      <c r="X1103" s="107">
        <v>0.0</v>
      </c>
      <c r="Y1103" s="107">
        <v>0.0</v>
      </c>
      <c r="Z1103" s="80">
        <f t="shared" si="1"/>
        <v>0</v>
      </c>
      <c r="AA1103" s="106">
        <v>0.0</v>
      </c>
      <c r="AB1103" s="107">
        <v>0.0</v>
      </c>
      <c r="AC1103" s="107">
        <v>0.0</v>
      </c>
      <c r="AD1103" s="107">
        <v>0.0</v>
      </c>
      <c r="AE1103" s="80">
        <f t="shared" si="2"/>
        <v>0</v>
      </c>
      <c r="AF1103" s="140">
        <v>0.0</v>
      </c>
      <c r="AG1103" s="109">
        <v>0.0</v>
      </c>
      <c r="AH1103" s="109">
        <v>0.0</v>
      </c>
      <c r="AI1103" s="141">
        <v>0.0</v>
      </c>
      <c r="AJ1103" s="80">
        <f t="shared" si="3"/>
        <v>0</v>
      </c>
      <c r="AK1103" s="140">
        <v>0.0</v>
      </c>
      <c r="AL1103" s="109">
        <v>0.0</v>
      </c>
      <c r="AM1103" s="141">
        <v>0.0</v>
      </c>
      <c r="AN1103" s="80">
        <f t="shared" si="4"/>
        <v>0</v>
      </c>
      <c r="AO1103" s="140">
        <v>0.0</v>
      </c>
      <c r="AP1103" s="109">
        <v>0.0</v>
      </c>
      <c r="AQ1103" s="109">
        <v>0.0</v>
      </c>
      <c r="AR1103" s="80">
        <f t="shared" si="5"/>
        <v>0</v>
      </c>
      <c r="AS1103" s="110">
        <v>626.0</v>
      </c>
      <c r="AT1103" s="110">
        <v>502.0</v>
      </c>
      <c r="AU1103" s="110">
        <v>440.0</v>
      </c>
      <c r="AV1103" s="142">
        <v>0.0</v>
      </c>
      <c r="AW1103" s="80">
        <f t="shared" si="6"/>
        <v>1568</v>
      </c>
      <c r="AX1103" s="113">
        <f t="shared" si="7"/>
        <v>1568</v>
      </c>
      <c r="AY1103" s="117">
        <f t="shared" si="8"/>
        <v>1128</v>
      </c>
      <c r="AZ1103" s="120">
        <f t="shared" si="9"/>
        <v>440</v>
      </c>
      <c r="BA1103" s="115">
        <v>0.0</v>
      </c>
      <c r="BB1103" s="89">
        <f t="shared" si="10"/>
        <v>1568</v>
      </c>
      <c r="BC1103" s="132" t="s">
        <v>178</v>
      </c>
      <c r="BD1103" s="132" t="s">
        <v>779</v>
      </c>
      <c r="BE1103" s="132" t="s">
        <v>178</v>
      </c>
      <c r="BF1103" s="123"/>
      <c r="BG1103" s="83">
        <v>1105975.0</v>
      </c>
      <c r="BH1103" s="98"/>
      <c r="BI1103" s="98">
        <v>25.0</v>
      </c>
      <c r="BJ1103" s="98" t="s">
        <v>155</v>
      </c>
      <c r="BK1103" s="99">
        <f t="shared" si="11"/>
        <v>0</v>
      </c>
      <c r="BL1103" s="99">
        <f t="shared" si="12"/>
        <v>1128</v>
      </c>
      <c r="BM1103" s="99" t="str">
        <f>IFERROR(__xludf.DUMMYFUNCTION("IFERROR(VLOOKUP(BG1103,IMPORTRANGE(""https://docs.google.com/spreadsheets/d/1juPI-Fb8LD0YtltB2mlGEnp_R3UVu1t3wSFPzgCyHXE/edit?gid=0#gid=0"",""GERAL!A2:C""),3,0),""-"")"),"-")</f>
        <v>-</v>
      </c>
    </row>
    <row r="1104" ht="15.75" customHeight="1">
      <c r="A1104" s="111" t="s">
        <v>1335</v>
      </c>
      <c r="B1104" s="83" t="s">
        <v>2050</v>
      </c>
      <c r="C1104" s="83" t="s">
        <v>68</v>
      </c>
      <c r="D1104" s="112">
        <v>1105797.0</v>
      </c>
      <c r="E1104" s="83"/>
      <c r="F1104" s="83">
        <v>2.943296E7</v>
      </c>
      <c r="G1104" s="114" t="s">
        <v>5984</v>
      </c>
      <c r="H1104" s="91" t="s">
        <v>5985</v>
      </c>
      <c r="I1104" s="83" t="s">
        <v>5986</v>
      </c>
      <c r="J1104" s="83" t="s">
        <v>150</v>
      </c>
      <c r="K1104" s="83" t="s">
        <v>151</v>
      </c>
      <c r="L1104" s="83" t="s">
        <v>230</v>
      </c>
      <c r="M1104" s="82" t="str">
        <f>IFERROR(__xludf.DUMMYFUNCTION("IFERROR(VLOOKUP(D1104,
IMPORTRANGE(""https://docs.google.com/spreadsheets/d/1MjHtlUikwobi2MaWJgy7tfLeBmhj1u-dRFRs_8GwSoA/edit#gid=0"",""Gestores Escolares!D7:J""),3,0),""VERIFICAR CÓD SEC"")"),"JHOYNE RIOS DE MENEZES OLIVEIRA")</f>
        <v>JHOYNE RIOS DE MENEZES OLIVEIRA</v>
      </c>
      <c r="N1104" s="82" t="str">
        <f>IFERROR(__xludf.DUMMYFUNCTION("IFERROR(VLOOKUP(D1104,
IMPORTRANGE(""https://docs.google.com/spreadsheets/d/1MjHtlUikwobi2MaWJgy7tfLeBmhj1u-dRFRs_8GwSoA/edit#gid=0"",""Gestores Escolares!D7:J""),4,0),""VERIFICAR CÓD SEC"")"),"(75) 9 9236-8098")</f>
        <v>(75) 9 9236-8098</v>
      </c>
      <c r="O1104" s="82" t="str">
        <f>IFERROR(__xludf.DUMMYFUNCTION("IFERROR(VLOOKUP(D1104,
IMPORTRANGE(""https://docs.google.com/spreadsheets/d/1MjHtlUikwobi2MaWJgy7tfLeBmhj1u-dRFRs_8GwSoA/edit#gid=0"",""Gestores Escolares!D7:J""),6,0),""VERIFICAR CÓD SEC"")"),"JULIANA COSTA VIEIRA SILVEIRA")</f>
        <v>JULIANA COSTA VIEIRA SILVEIRA</v>
      </c>
      <c r="P1104" s="82" t="str">
        <f>IFERROR(__xludf.DUMMYFUNCTION("IFERROR(VLOOKUP(D1104,
IMPORTRANGE(""https://docs.google.com/spreadsheets/d/1MjHtlUikwobi2MaWJgy7tfLeBmhj1u-dRFRs_8GwSoA/edit#gid=0"",""Gestores Escolares!D7:J""),7,0),""VERIFICAR CÓD SEC"")"),"(75) 9 9161-1418")</f>
        <v>(75) 9 9161-1418</v>
      </c>
      <c r="Q1104" s="82" t="str">
        <f>IFERROR(__xludf.DUMMYFUNCTION("IFERROR(VLOOKUP(D1104,
IMPORTRANGE(""https://docs.google.com/spreadsheets/d/1MjHtlUikwobi2MaWJgy7tfLeBmhj1u-dRFRs_8GwSoA/edit#gid=0"",""Gestores Escolares!D7:m""),9,0),""VERIFICAR CÓD SEC"")"),"MAURICIO DE SOUZA OLIVEIRA")</f>
        <v>MAURICIO DE SOUZA OLIVEIRA</v>
      </c>
      <c r="R1104" s="82" t="str">
        <f>IFERROR(__xludf.DUMMYFUNCTION("IFERROR(VLOOKUP(D1104,
IMPORTRANGE(""https://docs.google.com/spreadsheets/d/1MjHtlUikwobi2MaWJgy7tfLeBmhj1u-dRFRs_8GwSoA/edit#gid=0"",""Gestores Escolares!D7:m""),10,0),""VERIFICAR CÓD SEC"")"),"(75) 9 8804-6183")</f>
        <v>(75) 9 8804-6183</v>
      </c>
      <c r="S1104" s="82"/>
      <c r="T1104" s="138">
        <v>35.0</v>
      </c>
      <c r="U1104" s="388">
        <v>35.0</v>
      </c>
      <c r="V1104" s="106">
        <v>0.0</v>
      </c>
      <c r="W1104" s="107">
        <v>0.0</v>
      </c>
      <c r="X1104" s="107">
        <v>0.0</v>
      </c>
      <c r="Y1104" s="107">
        <v>0.0</v>
      </c>
      <c r="Z1104" s="80">
        <f t="shared" si="1"/>
        <v>0</v>
      </c>
      <c r="AA1104" s="106">
        <v>0.0</v>
      </c>
      <c r="AB1104" s="107">
        <v>0.0</v>
      </c>
      <c r="AC1104" s="107">
        <v>0.0</v>
      </c>
      <c r="AD1104" s="107">
        <v>0.0</v>
      </c>
      <c r="AE1104" s="80">
        <f t="shared" si="2"/>
        <v>0</v>
      </c>
      <c r="AF1104" s="140">
        <v>0.0</v>
      </c>
      <c r="AG1104" s="109">
        <v>0.0</v>
      </c>
      <c r="AH1104" s="109">
        <v>0.0</v>
      </c>
      <c r="AI1104" s="141">
        <v>0.0</v>
      </c>
      <c r="AJ1104" s="80">
        <f t="shared" si="3"/>
        <v>0</v>
      </c>
      <c r="AK1104" s="140">
        <v>0.0</v>
      </c>
      <c r="AL1104" s="109">
        <v>0.0</v>
      </c>
      <c r="AM1104" s="141">
        <v>0.0</v>
      </c>
      <c r="AN1104" s="80">
        <f t="shared" si="4"/>
        <v>0</v>
      </c>
      <c r="AO1104" s="140">
        <v>0.0</v>
      </c>
      <c r="AP1104" s="109">
        <v>0.0</v>
      </c>
      <c r="AQ1104" s="109">
        <v>0.0</v>
      </c>
      <c r="AR1104" s="80">
        <f t="shared" si="5"/>
        <v>0</v>
      </c>
      <c r="AS1104" s="110">
        <v>532.0</v>
      </c>
      <c r="AT1104" s="110">
        <v>206.0</v>
      </c>
      <c r="AU1104" s="110">
        <v>648.0</v>
      </c>
      <c r="AV1104" s="142">
        <v>0.0</v>
      </c>
      <c r="AW1104" s="80">
        <f t="shared" si="6"/>
        <v>1386</v>
      </c>
      <c r="AX1104" s="113">
        <f t="shared" si="7"/>
        <v>1386</v>
      </c>
      <c r="AY1104" s="117">
        <f t="shared" si="8"/>
        <v>738</v>
      </c>
      <c r="AZ1104" s="120">
        <f t="shared" si="9"/>
        <v>648</v>
      </c>
      <c r="BA1104" s="115">
        <v>2.0</v>
      </c>
      <c r="BB1104" s="89">
        <f t="shared" si="10"/>
        <v>1388</v>
      </c>
      <c r="BC1104" s="132" t="s">
        <v>178</v>
      </c>
      <c r="BD1104" s="132" t="s">
        <v>779</v>
      </c>
      <c r="BE1104" s="132" t="s">
        <v>178</v>
      </c>
      <c r="BF1104" s="123"/>
      <c r="BG1104" s="83">
        <v>1105797.0</v>
      </c>
      <c r="BH1104" s="98"/>
      <c r="BI1104" s="98">
        <v>35.0</v>
      </c>
      <c r="BJ1104" s="98" t="s">
        <v>155</v>
      </c>
      <c r="BK1104" s="99">
        <f t="shared" si="11"/>
        <v>0</v>
      </c>
      <c r="BL1104" s="99">
        <f t="shared" si="12"/>
        <v>738</v>
      </c>
      <c r="BM1104" s="99" t="str">
        <f>IFERROR(__xludf.DUMMYFUNCTION("IFERROR(VLOOKUP(BG1104,IMPORTRANGE(""https://docs.google.com/spreadsheets/d/1juPI-Fb8LD0YtltB2mlGEnp_R3UVu1t3wSFPzgCyHXE/edit?gid=0#gid=0"",""GERAL!A2:C""),3,0),""-"")"),"-")</f>
        <v>-</v>
      </c>
    </row>
    <row r="1105" ht="15.75" customHeight="1">
      <c r="A1105" s="111" t="s">
        <v>1335</v>
      </c>
      <c r="B1105" s="83" t="s">
        <v>2050</v>
      </c>
      <c r="C1105" s="83" t="s">
        <v>68</v>
      </c>
      <c r="D1105" s="112">
        <v>1160607.0</v>
      </c>
      <c r="E1105" s="83"/>
      <c r="F1105" s="83">
        <v>2.9093341E7</v>
      </c>
      <c r="G1105" s="114" t="s">
        <v>5989</v>
      </c>
      <c r="H1105" s="91" t="s">
        <v>5990</v>
      </c>
      <c r="I1105" s="83" t="s">
        <v>5991</v>
      </c>
      <c r="J1105" s="83" t="s">
        <v>5992</v>
      </c>
      <c r="K1105" s="83" t="s">
        <v>151</v>
      </c>
      <c r="L1105" s="83" t="s">
        <v>152</v>
      </c>
      <c r="M1105" s="82" t="str">
        <f>IFERROR(__xludf.DUMMYFUNCTION("IFERROR(VLOOKUP(D1105,
IMPORTRANGE(""https://docs.google.com/spreadsheets/d/1MjHtlUikwobi2MaWJgy7tfLeBmhj1u-dRFRs_8GwSoA/edit#gid=0"",""Gestores Escolares!D7:J""),3,0),""VERIFICAR CÓD SEC"")"),"ANA KARLA COUTINHO LEITE")</f>
        <v>ANA KARLA COUTINHO LEITE</v>
      </c>
      <c r="N1105" s="82" t="str">
        <f>IFERROR(__xludf.DUMMYFUNCTION("IFERROR(VLOOKUP(D1105,
IMPORTRANGE(""https://docs.google.com/spreadsheets/d/1MjHtlUikwobi2MaWJgy7tfLeBmhj1u-dRFRs_8GwSoA/edit#gid=0"",""Gestores Escolares!D7:J""),4,0),""VERIFICAR CÓD SEC"")"),"(75) 9 9231-9952")</f>
        <v>(75) 9 9231-9952</v>
      </c>
      <c r="O1105" s="82" t="str">
        <f>IFERROR(__xludf.DUMMYFUNCTION("IFERROR(VLOOKUP(D1105,
IMPORTRANGE(""https://docs.google.com/spreadsheets/d/1MjHtlUikwobi2MaWJgy7tfLeBmhj1u-dRFRs_8GwSoA/edit#gid=0"",""Gestores Escolares!D7:J""),6,0),""VERIFICAR CÓD SEC"")"),"JOAO RAFAEL SANTOS OLIVEIRA")</f>
        <v>JOAO RAFAEL SANTOS OLIVEIRA</v>
      </c>
      <c r="P1105" s="82" t="str">
        <f>IFERROR(__xludf.DUMMYFUNCTION("IFERROR(VLOOKUP(D1105,
IMPORTRANGE(""https://docs.google.com/spreadsheets/d/1MjHtlUikwobi2MaWJgy7tfLeBmhj1u-dRFRs_8GwSoA/edit#gid=0"",""Gestores Escolares!D7:J""),7,0),""VERIFICAR CÓD SEC"")"),"(75) 9 9138-6665")</f>
        <v>(75) 9 9138-6665</v>
      </c>
      <c r="Q1105" s="82" t="str">
        <f>IFERROR(__xludf.DUMMYFUNCTION("IFERROR(VLOOKUP(D1105,
IMPORTRANGE(""https://docs.google.com/spreadsheets/d/1MjHtlUikwobi2MaWJgy7tfLeBmhj1u-dRFRs_8GwSoA/edit#gid=0"",""Gestores Escolares!D7:m""),9,0),""VERIFICAR CÓD SEC"")"),"")</f>
        <v/>
      </c>
      <c r="R1105" s="82" t="str">
        <f>IFERROR(__xludf.DUMMYFUNCTION("IFERROR(VLOOKUP(D1105,
IMPORTRANGE(""https://docs.google.com/spreadsheets/d/1MjHtlUikwobi2MaWJgy7tfLeBmhj1u-dRFRs_8GwSoA/edit#gid=0"",""Gestores Escolares!D7:m""),10,0),""VERIFICAR CÓD SEC"")"),"")</f>
        <v/>
      </c>
      <c r="S1105" s="82"/>
      <c r="T1105" s="138">
        <v>8.0</v>
      </c>
      <c r="U1105" s="388">
        <v>8.0</v>
      </c>
      <c r="V1105" s="106">
        <v>0.0</v>
      </c>
      <c r="W1105" s="107">
        <v>0.0</v>
      </c>
      <c r="X1105" s="107">
        <v>0.0</v>
      </c>
      <c r="Y1105" s="107">
        <v>0.0</v>
      </c>
      <c r="Z1105" s="80">
        <f t="shared" si="1"/>
        <v>0</v>
      </c>
      <c r="AA1105" s="106">
        <v>0.0</v>
      </c>
      <c r="AB1105" s="107">
        <v>0.0</v>
      </c>
      <c r="AC1105" s="107">
        <v>0.0</v>
      </c>
      <c r="AD1105" s="107">
        <v>0.0</v>
      </c>
      <c r="AE1105" s="80">
        <f t="shared" si="2"/>
        <v>0</v>
      </c>
      <c r="AF1105" s="140">
        <v>23.0</v>
      </c>
      <c r="AG1105" s="109">
        <v>12.0</v>
      </c>
      <c r="AH1105" s="109">
        <v>0.0</v>
      </c>
      <c r="AI1105" s="141">
        <v>31.0</v>
      </c>
      <c r="AJ1105" s="80">
        <f t="shared" si="3"/>
        <v>66</v>
      </c>
      <c r="AK1105" s="140">
        <v>0.0</v>
      </c>
      <c r="AL1105" s="109">
        <v>0.0</v>
      </c>
      <c r="AM1105" s="141">
        <v>36.0</v>
      </c>
      <c r="AN1105" s="80">
        <f t="shared" si="4"/>
        <v>36</v>
      </c>
      <c r="AO1105" s="140">
        <v>0.0</v>
      </c>
      <c r="AP1105" s="109">
        <v>0.0</v>
      </c>
      <c r="AQ1105" s="109">
        <v>64.0</v>
      </c>
      <c r="AR1105" s="80">
        <f t="shared" si="5"/>
        <v>64</v>
      </c>
      <c r="AS1105" s="110">
        <v>39.0</v>
      </c>
      <c r="AT1105" s="110">
        <v>27.0</v>
      </c>
      <c r="AU1105" s="110">
        <v>54.0</v>
      </c>
      <c r="AV1105" s="142">
        <v>0.0</v>
      </c>
      <c r="AW1105" s="80">
        <f t="shared" si="6"/>
        <v>120</v>
      </c>
      <c r="AX1105" s="113">
        <f t="shared" si="7"/>
        <v>286</v>
      </c>
      <c r="AY1105" s="117">
        <f t="shared" si="8"/>
        <v>132</v>
      </c>
      <c r="AZ1105" s="120">
        <f t="shared" si="9"/>
        <v>154</v>
      </c>
      <c r="BA1105" s="115">
        <v>0.0</v>
      </c>
      <c r="BB1105" s="89">
        <f t="shared" si="10"/>
        <v>286</v>
      </c>
      <c r="BC1105" s="132" t="s">
        <v>373</v>
      </c>
      <c r="BD1105" s="132" t="s">
        <v>178</v>
      </c>
      <c r="BE1105" s="132" t="s">
        <v>178</v>
      </c>
      <c r="BF1105" s="156"/>
      <c r="BG1105" s="83">
        <v>1160607.0</v>
      </c>
      <c r="BH1105" s="98"/>
      <c r="BI1105" s="98">
        <v>8.0</v>
      </c>
      <c r="BJ1105" s="98" t="s">
        <v>155</v>
      </c>
      <c r="BK1105" s="99">
        <f t="shared" si="11"/>
        <v>31</v>
      </c>
      <c r="BL1105" s="99">
        <f t="shared" si="12"/>
        <v>101</v>
      </c>
      <c r="BM1105" s="99" t="str">
        <f>IFERROR(__xludf.DUMMYFUNCTION("IFERROR(VLOOKUP(BG1105,IMPORTRANGE(""https://docs.google.com/spreadsheets/d/1juPI-Fb8LD0YtltB2mlGEnp_R3UVu1t3wSFPzgCyHXE/edit?gid=0#gid=0"",""GERAL!A2:C""),3,0),""-"")"),"CAMPO")</f>
        <v>CAMPO</v>
      </c>
    </row>
    <row r="1106" ht="15.75" customHeight="1">
      <c r="A1106" s="111" t="s">
        <v>1335</v>
      </c>
      <c r="B1106" s="83" t="s">
        <v>2050</v>
      </c>
      <c r="C1106" s="83" t="s">
        <v>68</v>
      </c>
      <c r="D1106" s="112">
        <v>1178163.0</v>
      </c>
      <c r="E1106" s="83"/>
      <c r="F1106" s="83">
        <v>2.9380375E7</v>
      </c>
      <c r="G1106" s="114" t="s">
        <v>5996</v>
      </c>
      <c r="H1106" s="91" t="s">
        <v>5996</v>
      </c>
      <c r="I1106" s="83" t="s">
        <v>5986</v>
      </c>
      <c r="J1106" s="83" t="s">
        <v>150</v>
      </c>
      <c r="K1106" s="83" t="s">
        <v>5997</v>
      </c>
      <c r="L1106" s="83" t="s">
        <v>230</v>
      </c>
      <c r="M1106" s="82" t="str">
        <f>IFERROR(__xludf.DUMMYFUNCTION("IFERROR(VLOOKUP(D1106,
IMPORTRANGE(""https://docs.google.com/spreadsheets/d/1MjHtlUikwobi2MaWJgy7tfLeBmhj1u-dRFRs_8GwSoA/edit#gid=0"",""Gestores Escolares!D7:J""),3,0),""VERIFICAR CÓD SEC"")"),"FABRICIO SILVA SANTOS")</f>
        <v>FABRICIO SILVA SANTOS</v>
      </c>
      <c r="N1106" s="82" t="str">
        <f>IFERROR(__xludf.DUMMYFUNCTION("IFERROR(VLOOKUP(D1106,
IMPORTRANGE(""https://docs.google.com/spreadsheets/d/1MjHtlUikwobi2MaWJgy7tfLeBmhj1u-dRFRs_8GwSoA/edit#gid=0"",""Gestores Escolares!D7:J""),4,0),""VERIFICAR CÓD SEC"")"),"(75) 9 8854-5863")</f>
        <v>(75) 9 8854-5863</v>
      </c>
      <c r="O1106" s="82" t="str">
        <f>IFERROR(__xludf.DUMMYFUNCTION("IFERROR(VLOOKUP(D1106,
IMPORTRANGE(""https://docs.google.com/spreadsheets/d/1MjHtlUikwobi2MaWJgy7tfLeBmhj1u-dRFRs_8GwSoA/edit#gid=0"",""Gestores Escolares!D7:J""),6,0),""VERIFICAR CÓD SEC"")"),"GILSELIA ELOI DA SILVA DE OLIVEIRA")</f>
        <v>GILSELIA ELOI DA SILVA DE OLIVEIRA</v>
      </c>
      <c r="P1106" s="82" t="str">
        <f>IFERROR(__xludf.DUMMYFUNCTION("IFERROR(VLOOKUP(D1106,
IMPORTRANGE(""https://docs.google.com/spreadsheets/d/1MjHtlUikwobi2MaWJgy7tfLeBmhj1u-dRFRs_8GwSoA/edit#gid=0"",""Gestores Escolares!D7:J""),7,0),""VERIFICAR CÓD SEC"")"),"(75) 9 8841-1782")</f>
        <v>(75) 9 8841-1782</v>
      </c>
      <c r="Q1106" s="82" t="str">
        <f>IFERROR(__xludf.DUMMYFUNCTION("IFERROR(VLOOKUP(D1106,
IMPORTRANGE(""https://docs.google.com/spreadsheets/d/1MjHtlUikwobi2MaWJgy7tfLeBmhj1u-dRFRs_8GwSoA/edit#gid=0"",""Gestores Escolares!D7:m""),9,0),""VERIFICAR CÓD SEC"")"),"")</f>
        <v/>
      </c>
      <c r="R1106" s="82" t="str">
        <f>IFERROR(__xludf.DUMMYFUNCTION("IFERROR(VLOOKUP(D1106,
IMPORTRANGE(""https://docs.google.com/spreadsheets/d/1MjHtlUikwobi2MaWJgy7tfLeBmhj1u-dRFRs_8GwSoA/edit#gid=0"",""Gestores Escolares!D7:m""),10,0),""VERIFICAR CÓD SEC"")"),"")</f>
        <v/>
      </c>
      <c r="S1106" s="82"/>
      <c r="T1106" s="138">
        <v>11.0</v>
      </c>
      <c r="U1106" s="388">
        <v>11.0</v>
      </c>
      <c r="V1106" s="106">
        <v>0.0</v>
      </c>
      <c r="W1106" s="107">
        <v>0.0</v>
      </c>
      <c r="X1106" s="107">
        <v>0.0</v>
      </c>
      <c r="Y1106" s="107">
        <v>0.0</v>
      </c>
      <c r="Z1106" s="80">
        <f t="shared" si="1"/>
        <v>0</v>
      </c>
      <c r="AA1106" s="106">
        <v>0.0</v>
      </c>
      <c r="AB1106" s="107">
        <v>0.0</v>
      </c>
      <c r="AC1106" s="107">
        <v>0.0</v>
      </c>
      <c r="AD1106" s="107">
        <v>0.0</v>
      </c>
      <c r="AE1106" s="80">
        <f t="shared" si="2"/>
        <v>0</v>
      </c>
      <c r="AF1106" s="140">
        <v>0.0</v>
      </c>
      <c r="AG1106" s="109">
        <v>0.0</v>
      </c>
      <c r="AH1106" s="109">
        <v>0.0</v>
      </c>
      <c r="AI1106" s="141">
        <v>0.0</v>
      </c>
      <c r="AJ1106" s="80">
        <f t="shared" si="3"/>
        <v>0</v>
      </c>
      <c r="AK1106" s="140">
        <v>0.0</v>
      </c>
      <c r="AL1106" s="109">
        <v>0.0</v>
      </c>
      <c r="AM1106" s="141">
        <v>0.0</v>
      </c>
      <c r="AN1106" s="80">
        <f t="shared" si="4"/>
        <v>0</v>
      </c>
      <c r="AO1106" s="140">
        <v>0.0</v>
      </c>
      <c r="AP1106" s="109">
        <v>0.0</v>
      </c>
      <c r="AQ1106" s="109">
        <v>0.0</v>
      </c>
      <c r="AR1106" s="80">
        <f t="shared" si="5"/>
        <v>0</v>
      </c>
      <c r="AS1106" s="110">
        <v>0.0</v>
      </c>
      <c r="AT1106" s="110">
        <v>0.0</v>
      </c>
      <c r="AU1106" s="110">
        <v>0.0</v>
      </c>
      <c r="AV1106" s="142">
        <v>0.0</v>
      </c>
      <c r="AW1106" s="80">
        <f t="shared" si="6"/>
        <v>0</v>
      </c>
      <c r="AX1106" s="113">
        <f t="shared" si="7"/>
        <v>0</v>
      </c>
      <c r="AY1106" s="117">
        <f t="shared" si="8"/>
        <v>0</v>
      </c>
      <c r="AZ1106" s="120">
        <f t="shared" si="9"/>
        <v>0</v>
      </c>
      <c r="BA1106" s="168">
        <v>4.0</v>
      </c>
      <c r="BB1106" s="89">
        <f t="shared" si="10"/>
        <v>4</v>
      </c>
      <c r="BC1106" s="132" t="s">
        <v>553</v>
      </c>
      <c r="BD1106" s="132" t="s">
        <v>554</v>
      </c>
      <c r="BE1106" s="132" t="s">
        <v>178</v>
      </c>
      <c r="BF1106" s="123"/>
      <c r="BG1106" s="83">
        <v>1178163.0</v>
      </c>
      <c r="BH1106" s="98"/>
      <c r="BI1106" s="98">
        <v>11.0</v>
      </c>
      <c r="BJ1106" s="98" t="s">
        <v>155</v>
      </c>
      <c r="BK1106" s="99">
        <f t="shared" si="11"/>
        <v>0</v>
      </c>
      <c r="BL1106" s="99">
        <f t="shared" si="12"/>
        <v>0</v>
      </c>
      <c r="BM1106" s="99" t="str">
        <f>IFERROR(__xludf.DUMMYFUNCTION("IFERROR(VLOOKUP(BG1106,IMPORTRANGE(""https://docs.google.com/spreadsheets/d/1juPI-Fb8LD0YtltB2mlGEnp_R3UVu1t3wSFPzgCyHXE/edit?gid=0#gid=0"",""GERAL!A2:C""),3,0),""-"")"),"-")</f>
        <v>-</v>
      </c>
    </row>
    <row r="1107" ht="15.75" customHeight="1">
      <c r="A1107" s="111" t="s">
        <v>1335</v>
      </c>
      <c r="B1107" s="83" t="s">
        <v>2050</v>
      </c>
      <c r="C1107" s="83" t="s">
        <v>68</v>
      </c>
      <c r="D1107" s="112">
        <v>1178101.0</v>
      </c>
      <c r="E1107" s="83"/>
      <c r="F1107" s="83">
        <v>2.9436842E7</v>
      </c>
      <c r="G1107" s="114" t="s">
        <v>5998</v>
      </c>
      <c r="H1107" s="91" t="s">
        <v>5999</v>
      </c>
      <c r="I1107" s="83" t="s">
        <v>149</v>
      </c>
      <c r="J1107" s="83" t="s">
        <v>150</v>
      </c>
      <c r="K1107" s="83" t="s">
        <v>151</v>
      </c>
      <c r="L1107" s="83" t="s">
        <v>230</v>
      </c>
      <c r="M1107" s="82" t="str">
        <f>IFERROR(__xludf.DUMMYFUNCTION("IFERROR(VLOOKUP(D1107,
IMPORTRANGE(""https://docs.google.com/spreadsheets/d/1MjHtlUikwobi2MaWJgy7tfLeBmhj1u-dRFRs_8GwSoA/edit#gid=0"",""Gestores Escolares!D7:J""),3,0),""VERIFICAR CÓD SEC"")"),"RITA DE CASSIA JAMBEIRO TABOADA DA SILVA")</f>
        <v>RITA DE CASSIA JAMBEIRO TABOADA DA SILVA</v>
      </c>
      <c r="N1107" s="82" t="str">
        <f>IFERROR(__xludf.DUMMYFUNCTION("IFERROR(VLOOKUP(D1107,
IMPORTRANGE(""https://docs.google.com/spreadsheets/d/1MjHtlUikwobi2MaWJgy7tfLeBmhj1u-dRFRs_8GwSoA/edit#gid=0"",""Gestores Escolares!D7:J""),4,0),""VERIFICAR CÓD SEC"")"),"(75) 9 9919-4433")</f>
        <v>(75) 9 9919-4433</v>
      </c>
      <c r="O1107" s="82" t="str">
        <f>IFERROR(__xludf.DUMMYFUNCTION("IFERROR(VLOOKUP(D1107,
IMPORTRANGE(""https://docs.google.com/spreadsheets/d/1MjHtlUikwobi2MaWJgy7tfLeBmhj1u-dRFRs_8GwSoA/edit#gid=0"",""Gestores Escolares!D7:J""),6,0),""VERIFICAR CÓD SEC"")"),"ANGELA CRISTINA BATISTA")</f>
        <v>ANGELA CRISTINA BATISTA</v>
      </c>
      <c r="P1107" s="82" t="str">
        <f>IFERROR(__xludf.DUMMYFUNCTION("IFERROR(VLOOKUP(D1107,
IMPORTRANGE(""https://docs.google.com/spreadsheets/d/1MjHtlUikwobi2MaWJgy7tfLeBmhj1u-dRFRs_8GwSoA/edit#gid=0"",""Gestores Escolares!D7:J""),7,0),""VERIFICAR CÓD SEC"")"),"(75) 9 8135-0203")</f>
        <v>(75) 9 8135-0203</v>
      </c>
      <c r="Q1107" s="82" t="str">
        <f>IFERROR(__xludf.DUMMYFUNCTION("IFERROR(VLOOKUP(D1107,
IMPORTRANGE(""https://docs.google.com/spreadsheets/d/1MjHtlUikwobi2MaWJgy7tfLeBmhj1u-dRFRs_8GwSoA/edit#gid=0"",""Gestores Escolares!D7:m""),9,0),""VERIFICAR CÓD SEC"")"),"")</f>
        <v/>
      </c>
      <c r="R1107" s="82" t="str">
        <f>IFERROR(__xludf.DUMMYFUNCTION("IFERROR(VLOOKUP(D1107,
IMPORTRANGE(""https://docs.google.com/spreadsheets/d/1MjHtlUikwobi2MaWJgy7tfLeBmhj1u-dRFRs_8GwSoA/edit#gid=0"",""Gestores Escolares!D7:m""),10,0),""VERIFICAR CÓD SEC"")"),"")</f>
        <v/>
      </c>
      <c r="S1107" s="82"/>
      <c r="T1107" s="138">
        <v>9.0</v>
      </c>
      <c r="U1107" s="388">
        <v>9.0</v>
      </c>
      <c r="V1107" s="106">
        <v>0.0</v>
      </c>
      <c r="W1107" s="107">
        <v>0.0</v>
      </c>
      <c r="X1107" s="107">
        <v>0.0</v>
      </c>
      <c r="Y1107" s="107">
        <v>0.0</v>
      </c>
      <c r="Z1107" s="80">
        <f t="shared" si="1"/>
        <v>0</v>
      </c>
      <c r="AA1107" s="106">
        <v>0.0</v>
      </c>
      <c r="AB1107" s="107">
        <v>0.0</v>
      </c>
      <c r="AC1107" s="107">
        <v>0.0</v>
      </c>
      <c r="AD1107" s="107">
        <v>0.0</v>
      </c>
      <c r="AE1107" s="80">
        <f t="shared" si="2"/>
        <v>0</v>
      </c>
      <c r="AF1107" s="140">
        <v>0.0</v>
      </c>
      <c r="AG1107" s="109">
        <v>0.0</v>
      </c>
      <c r="AH1107" s="109">
        <v>0.0</v>
      </c>
      <c r="AI1107" s="141">
        <v>0.0</v>
      </c>
      <c r="AJ1107" s="80">
        <f t="shared" si="3"/>
        <v>0</v>
      </c>
      <c r="AK1107" s="140">
        <v>0.0</v>
      </c>
      <c r="AL1107" s="109">
        <v>0.0</v>
      </c>
      <c r="AM1107" s="141">
        <v>0.0</v>
      </c>
      <c r="AN1107" s="80">
        <f t="shared" si="4"/>
        <v>0</v>
      </c>
      <c r="AO1107" s="140">
        <v>0.0</v>
      </c>
      <c r="AP1107" s="109">
        <v>0.0</v>
      </c>
      <c r="AQ1107" s="109">
        <v>0.0</v>
      </c>
      <c r="AR1107" s="80">
        <f t="shared" si="5"/>
        <v>0</v>
      </c>
      <c r="AS1107" s="110">
        <v>0.0</v>
      </c>
      <c r="AT1107" s="110">
        <v>0.0</v>
      </c>
      <c r="AU1107" s="110">
        <v>0.0</v>
      </c>
      <c r="AV1107" s="142">
        <v>0.0</v>
      </c>
      <c r="AW1107" s="80">
        <f t="shared" si="6"/>
        <v>0</v>
      </c>
      <c r="AX1107" s="113">
        <f t="shared" si="7"/>
        <v>0</v>
      </c>
      <c r="AY1107" s="117">
        <f t="shared" si="8"/>
        <v>0</v>
      </c>
      <c r="AZ1107" s="120">
        <f t="shared" si="9"/>
        <v>0</v>
      </c>
      <c r="BA1107" s="168">
        <v>21.0</v>
      </c>
      <c r="BB1107" s="89">
        <f t="shared" si="10"/>
        <v>21</v>
      </c>
      <c r="BC1107" s="132" t="s">
        <v>553</v>
      </c>
      <c r="BD1107" s="132" t="s">
        <v>554</v>
      </c>
      <c r="BE1107" s="132" t="s">
        <v>178</v>
      </c>
      <c r="BF1107" s="123"/>
      <c r="BG1107" s="83">
        <v>1178101.0</v>
      </c>
      <c r="BH1107" s="98"/>
      <c r="BI1107" s="98">
        <v>9.0</v>
      </c>
      <c r="BJ1107" s="98" t="s">
        <v>155</v>
      </c>
      <c r="BK1107" s="99">
        <f t="shared" si="11"/>
        <v>0</v>
      </c>
      <c r="BL1107" s="99">
        <f t="shared" si="12"/>
        <v>0</v>
      </c>
      <c r="BM1107" s="99" t="str">
        <f>IFERROR(__xludf.DUMMYFUNCTION("IFERROR(VLOOKUP(BG1107,IMPORTRANGE(""https://docs.google.com/spreadsheets/d/1juPI-Fb8LD0YtltB2mlGEnp_R3UVu1t3wSFPzgCyHXE/edit?gid=0#gid=0"",""GERAL!A2:C""),3,0),""-"")"),"-")</f>
        <v>-</v>
      </c>
    </row>
    <row r="1108" ht="15.75" customHeight="1">
      <c r="A1108" s="111" t="s">
        <v>1335</v>
      </c>
      <c r="B1108" s="83" t="s">
        <v>2050</v>
      </c>
      <c r="C1108" s="83" t="s">
        <v>164</v>
      </c>
      <c r="D1108" s="112">
        <v>1106386.0</v>
      </c>
      <c r="E1108" s="83">
        <v>1178347.0</v>
      </c>
      <c r="F1108" s="98">
        <v>2.9493676E7</v>
      </c>
      <c r="G1108" s="119" t="s">
        <v>6002</v>
      </c>
      <c r="H1108" s="91" t="s">
        <v>6003</v>
      </c>
      <c r="I1108" s="83" t="s">
        <v>5948</v>
      </c>
      <c r="J1108" s="83" t="s">
        <v>6004</v>
      </c>
      <c r="K1108" s="83" t="s">
        <v>168</v>
      </c>
      <c r="L1108" s="83" t="s">
        <v>169</v>
      </c>
      <c r="M1108" s="82" t="str">
        <f>IFERROR(__xludf.DUMMYFUNCTION("IFERROR(VLOOKUP(D1108,
IMPORTRANGE(""https://docs.google.com/spreadsheets/d/1MjHtlUikwobi2MaWJgy7tfLeBmhj1u-dRFRs_8GwSoA/edit#gid=0"",""Gestores Escolares!D7:J""),3,0),""VERIFICAR CÓD SEC"")"),"ANA VERENA RODRIGUES AMORIM")</f>
        <v>ANA VERENA RODRIGUES AMORIM</v>
      </c>
      <c r="N1108" s="82" t="str">
        <f>IFERROR(__xludf.DUMMYFUNCTION("IFERROR(VLOOKUP(D1108,
IMPORTRANGE(""https://docs.google.com/spreadsheets/d/1MjHtlUikwobi2MaWJgy7tfLeBmhj1u-dRFRs_8GwSoA/edit#gid=0"",""Gestores Escolares!D7:J""),4,0),""VERIFICAR CÓD SEC"")"),"(75) 9 9133-6078")</f>
        <v>(75) 9 9133-6078</v>
      </c>
      <c r="O1108" s="82" t="str">
        <f>IFERROR(__xludf.DUMMYFUNCTION("IFERROR(VLOOKUP(D1108,
IMPORTRANGE(""https://docs.google.com/spreadsheets/d/1MjHtlUikwobi2MaWJgy7tfLeBmhj1u-dRFRs_8GwSoA/edit#gid=0"",""Gestores Escolares!D7:J""),6,0),""VERIFICAR CÓD SEC"")"),"SÃO PEDRO AUXILIADORA DE JESUS A. ALMEIDA")</f>
        <v>SÃO PEDRO AUXILIADORA DE JESUS A. ALMEIDA</v>
      </c>
      <c r="P1108" s="82" t="str">
        <f>IFERROR(__xludf.DUMMYFUNCTION("IFERROR(VLOOKUP(D1108,
IMPORTRANGE(""https://docs.google.com/spreadsheets/d/1MjHtlUikwobi2MaWJgy7tfLeBmhj1u-dRFRs_8GwSoA/edit#gid=0"",""Gestores Escolares!D7:J""),7,0),""VERIFICAR CÓD SEC"")"),"(75) 9 9810-7963")</f>
        <v>(75) 9 9810-7963</v>
      </c>
      <c r="Q1108" s="82" t="str">
        <f>IFERROR(__xludf.DUMMYFUNCTION("IFERROR(VLOOKUP(D1108,
IMPORTRANGE(""https://docs.google.com/spreadsheets/d/1MjHtlUikwobi2MaWJgy7tfLeBmhj1u-dRFRs_8GwSoA/edit#gid=0"",""Gestores Escolares!D7:m""),9,0),""VERIFICAR CÓD SEC"")"),"ANDREA DOS REIS FILHO")</f>
        <v>ANDREA DOS REIS FILHO</v>
      </c>
      <c r="R1108" s="82" t="str">
        <f>IFERROR(__xludf.DUMMYFUNCTION("IFERROR(VLOOKUP(D1108,
IMPORTRANGE(""https://docs.google.com/spreadsheets/d/1MjHtlUikwobi2MaWJgy7tfLeBmhj1u-dRFRs_8GwSoA/edit#gid=0"",""Gestores Escolares!D7:m""),10,0),""VERIFICAR CÓD SEC"")"),"(75) 9 8838-1506")</f>
        <v>(75) 9 8838-1506</v>
      </c>
      <c r="S1108" s="82"/>
      <c r="T1108" s="138">
        <v>24.0</v>
      </c>
      <c r="U1108" s="388">
        <v>24.0</v>
      </c>
      <c r="V1108" s="106">
        <v>0.0</v>
      </c>
      <c r="W1108" s="107">
        <v>0.0</v>
      </c>
      <c r="X1108" s="107">
        <v>0.0</v>
      </c>
      <c r="Y1108" s="107">
        <v>0.0</v>
      </c>
      <c r="Z1108" s="80">
        <f t="shared" si="1"/>
        <v>0</v>
      </c>
      <c r="AA1108" s="106">
        <v>0.0</v>
      </c>
      <c r="AB1108" s="107">
        <v>0.0</v>
      </c>
      <c r="AC1108" s="107">
        <v>0.0</v>
      </c>
      <c r="AD1108" s="107">
        <v>0.0</v>
      </c>
      <c r="AE1108" s="80">
        <f t="shared" si="2"/>
        <v>0</v>
      </c>
      <c r="AF1108" s="140">
        <v>0.0</v>
      </c>
      <c r="AG1108" s="109">
        <v>0.0</v>
      </c>
      <c r="AH1108" s="109">
        <v>0.0</v>
      </c>
      <c r="AI1108" s="141">
        <v>0.0</v>
      </c>
      <c r="AJ1108" s="80">
        <f t="shared" si="3"/>
        <v>0</v>
      </c>
      <c r="AK1108" s="140">
        <v>2.0</v>
      </c>
      <c r="AL1108" s="109">
        <v>10.0</v>
      </c>
      <c r="AM1108" s="141">
        <v>0.0</v>
      </c>
      <c r="AN1108" s="80">
        <f t="shared" si="4"/>
        <v>12</v>
      </c>
      <c r="AO1108" s="140">
        <v>8.0</v>
      </c>
      <c r="AP1108" s="109">
        <v>0.0</v>
      </c>
      <c r="AQ1108" s="109">
        <v>0.0</v>
      </c>
      <c r="AR1108" s="80">
        <f t="shared" si="5"/>
        <v>8</v>
      </c>
      <c r="AS1108" s="110">
        <v>0.0</v>
      </c>
      <c r="AT1108" s="110">
        <v>0.0</v>
      </c>
      <c r="AU1108" s="110">
        <v>0.0</v>
      </c>
      <c r="AV1108" s="142">
        <v>0.0</v>
      </c>
      <c r="AW1108" s="80">
        <f t="shared" si="6"/>
        <v>0</v>
      </c>
      <c r="AX1108" s="113">
        <f t="shared" si="7"/>
        <v>20</v>
      </c>
      <c r="AY1108" s="117">
        <f t="shared" si="8"/>
        <v>20</v>
      </c>
      <c r="AZ1108" s="120">
        <f t="shared" si="9"/>
        <v>0</v>
      </c>
      <c r="BA1108" s="168">
        <v>0.0</v>
      </c>
      <c r="BB1108" s="89">
        <f t="shared" si="10"/>
        <v>20</v>
      </c>
      <c r="BC1108" s="132" t="s">
        <v>10138</v>
      </c>
      <c r="BD1108" s="132" t="s">
        <v>178</v>
      </c>
      <c r="BE1108" s="132" t="s">
        <v>178</v>
      </c>
      <c r="BF1108" s="123"/>
      <c r="BG1108" s="83">
        <v>1178347.0</v>
      </c>
      <c r="BH1108" s="98"/>
      <c r="BI1108" s="98">
        <v>24.0</v>
      </c>
      <c r="BJ1108" s="98" t="s">
        <v>155</v>
      </c>
      <c r="BK1108" s="99">
        <f t="shared" si="11"/>
        <v>0</v>
      </c>
      <c r="BL1108" s="99">
        <f t="shared" si="12"/>
        <v>20</v>
      </c>
      <c r="BM1108" s="99" t="str">
        <f>IFERROR(__xludf.DUMMYFUNCTION("IFERROR(VLOOKUP(BG1108,IMPORTRANGE(""https://docs.google.com/spreadsheets/d/1juPI-Fb8LD0YtltB2mlGEnp_R3UVu1t3wSFPzgCyHXE/edit?gid=0#gid=0"",""GERAL!A2:C""),3,0),""-"")"),"-")</f>
        <v>-</v>
      </c>
    </row>
    <row r="1109" ht="15.75" customHeight="1">
      <c r="A1109" s="111" t="s">
        <v>1335</v>
      </c>
      <c r="B1109" s="83" t="s">
        <v>2050</v>
      </c>
      <c r="C1109" s="83" t="s">
        <v>164</v>
      </c>
      <c r="D1109" s="112">
        <v>1106386.0</v>
      </c>
      <c r="E1109" s="83">
        <v>1178346.0</v>
      </c>
      <c r="F1109" s="98">
        <v>2.9493668E7</v>
      </c>
      <c r="G1109" s="119" t="s">
        <v>6005</v>
      </c>
      <c r="H1109" s="91" t="s">
        <v>6006</v>
      </c>
      <c r="I1109" s="83" t="s">
        <v>5948</v>
      </c>
      <c r="J1109" s="83" t="s">
        <v>6007</v>
      </c>
      <c r="K1109" s="83" t="s">
        <v>168</v>
      </c>
      <c r="L1109" s="83" t="s">
        <v>169</v>
      </c>
      <c r="M1109" s="82" t="str">
        <f>IFERROR(__xludf.DUMMYFUNCTION("IFERROR(VLOOKUP(D1109,
IMPORTRANGE(""https://docs.google.com/spreadsheets/d/1MjHtlUikwobi2MaWJgy7tfLeBmhj1u-dRFRs_8GwSoA/edit#gid=0"",""Gestores Escolares!D7:J""),3,0),""VERIFICAR CÓD SEC"")"),"ANA VERENA RODRIGUES AMORIM")</f>
        <v>ANA VERENA RODRIGUES AMORIM</v>
      </c>
      <c r="N1109" s="82" t="str">
        <f>IFERROR(__xludf.DUMMYFUNCTION("IFERROR(VLOOKUP(D1109,
IMPORTRANGE(""https://docs.google.com/spreadsheets/d/1MjHtlUikwobi2MaWJgy7tfLeBmhj1u-dRFRs_8GwSoA/edit#gid=0"",""Gestores Escolares!D7:J""),4,0),""VERIFICAR CÓD SEC"")"),"(75) 9 9133-6078")</f>
        <v>(75) 9 9133-6078</v>
      </c>
      <c r="O1109" s="82" t="str">
        <f>IFERROR(__xludf.DUMMYFUNCTION("IFERROR(VLOOKUP(D1109,
IMPORTRANGE(""https://docs.google.com/spreadsheets/d/1MjHtlUikwobi2MaWJgy7tfLeBmhj1u-dRFRs_8GwSoA/edit#gid=0"",""Gestores Escolares!D7:J""),6,0),""VERIFICAR CÓD SEC"")"),"SÃO PEDRO AUXILIADORA DE JESUS A. ALMEIDA")</f>
        <v>SÃO PEDRO AUXILIADORA DE JESUS A. ALMEIDA</v>
      </c>
      <c r="P1109" s="82" t="str">
        <f>IFERROR(__xludf.DUMMYFUNCTION("IFERROR(VLOOKUP(D1109,
IMPORTRANGE(""https://docs.google.com/spreadsheets/d/1MjHtlUikwobi2MaWJgy7tfLeBmhj1u-dRFRs_8GwSoA/edit#gid=0"",""Gestores Escolares!D7:J""),7,0),""VERIFICAR CÓD SEC"")"),"(75) 9 9810-7963")</f>
        <v>(75) 9 9810-7963</v>
      </c>
      <c r="Q1109" s="82" t="str">
        <f>IFERROR(__xludf.DUMMYFUNCTION("IFERROR(VLOOKUP(D1109,
IMPORTRANGE(""https://docs.google.com/spreadsheets/d/1MjHtlUikwobi2MaWJgy7tfLeBmhj1u-dRFRs_8GwSoA/edit#gid=0"",""Gestores Escolares!D7:m""),9,0),""VERIFICAR CÓD SEC"")"),"ANDREA DOS REIS FILHO")</f>
        <v>ANDREA DOS REIS FILHO</v>
      </c>
      <c r="R1109" s="82" t="str">
        <f>IFERROR(__xludf.DUMMYFUNCTION("IFERROR(VLOOKUP(D1109,
IMPORTRANGE(""https://docs.google.com/spreadsheets/d/1MjHtlUikwobi2MaWJgy7tfLeBmhj1u-dRFRs_8GwSoA/edit#gid=0"",""Gestores Escolares!D7:m""),10,0),""VERIFICAR CÓD SEC"")"),"(75) 9 8838-1506")</f>
        <v>(75) 9 8838-1506</v>
      </c>
      <c r="S1109" s="82"/>
      <c r="T1109" s="138">
        <v>19.0</v>
      </c>
      <c r="U1109" s="388">
        <v>19.0</v>
      </c>
      <c r="V1109" s="106">
        <v>0.0</v>
      </c>
      <c r="W1109" s="107">
        <v>0.0</v>
      </c>
      <c r="X1109" s="107">
        <v>0.0</v>
      </c>
      <c r="Y1109" s="107">
        <v>0.0</v>
      </c>
      <c r="Z1109" s="80">
        <f t="shared" si="1"/>
        <v>0</v>
      </c>
      <c r="AA1109" s="106">
        <v>0.0</v>
      </c>
      <c r="AB1109" s="107">
        <v>0.0</v>
      </c>
      <c r="AC1109" s="107">
        <v>0.0</v>
      </c>
      <c r="AD1109" s="107">
        <v>0.0</v>
      </c>
      <c r="AE1109" s="80">
        <f t="shared" si="2"/>
        <v>0</v>
      </c>
      <c r="AF1109" s="140">
        <v>0.0</v>
      </c>
      <c r="AG1109" s="109">
        <v>0.0</v>
      </c>
      <c r="AH1109" s="109">
        <v>0.0</v>
      </c>
      <c r="AI1109" s="141">
        <v>0.0</v>
      </c>
      <c r="AJ1109" s="80">
        <f t="shared" si="3"/>
        <v>0</v>
      </c>
      <c r="AK1109" s="140">
        <v>41.0</v>
      </c>
      <c r="AL1109" s="109">
        <v>42.0</v>
      </c>
      <c r="AM1109" s="141">
        <v>0.0</v>
      </c>
      <c r="AN1109" s="80">
        <f t="shared" si="4"/>
        <v>83</v>
      </c>
      <c r="AO1109" s="140">
        <v>16.0</v>
      </c>
      <c r="AP1109" s="109">
        <v>11.0</v>
      </c>
      <c r="AQ1109" s="109">
        <v>0.0</v>
      </c>
      <c r="AR1109" s="80">
        <f t="shared" si="5"/>
        <v>27</v>
      </c>
      <c r="AS1109" s="110">
        <v>30.0</v>
      </c>
      <c r="AT1109" s="110">
        <v>47.0</v>
      </c>
      <c r="AU1109" s="110">
        <v>0.0</v>
      </c>
      <c r="AV1109" s="142">
        <v>0.0</v>
      </c>
      <c r="AW1109" s="80">
        <f t="shared" si="6"/>
        <v>77</v>
      </c>
      <c r="AX1109" s="113">
        <f t="shared" si="7"/>
        <v>187</v>
      </c>
      <c r="AY1109" s="117">
        <f t="shared" si="8"/>
        <v>187</v>
      </c>
      <c r="AZ1109" s="120">
        <f t="shared" si="9"/>
        <v>0</v>
      </c>
      <c r="BA1109" s="115">
        <v>0.0</v>
      </c>
      <c r="BB1109" s="89">
        <f t="shared" si="10"/>
        <v>187</v>
      </c>
      <c r="BC1109" s="132" t="s">
        <v>563</v>
      </c>
      <c r="BD1109" s="132" t="s">
        <v>178</v>
      </c>
      <c r="BE1109" s="132" t="s">
        <v>178</v>
      </c>
      <c r="BF1109" s="123"/>
      <c r="BG1109" s="83">
        <v>1178346.0</v>
      </c>
      <c r="BH1109" s="98"/>
      <c r="BI1109" s="98">
        <v>19.0</v>
      </c>
      <c r="BJ1109" s="98" t="s">
        <v>155</v>
      </c>
      <c r="BK1109" s="99">
        <f t="shared" si="11"/>
        <v>0</v>
      </c>
      <c r="BL1109" s="99">
        <f t="shared" si="12"/>
        <v>187</v>
      </c>
      <c r="BM1109" s="99" t="str">
        <f>IFERROR(__xludf.DUMMYFUNCTION("IFERROR(VLOOKUP(BG1109,IMPORTRANGE(""https://docs.google.com/spreadsheets/d/1juPI-Fb8LD0YtltB2mlGEnp_R3UVu1t3wSFPzgCyHXE/edit?gid=0#gid=0"",""GERAL!A2:C""),3,0),""-"")"),"-")</f>
        <v>-</v>
      </c>
    </row>
    <row r="1110" ht="15.75" customHeight="1">
      <c r="A1110" s="111" t="s">
        <v>1335</v>
      </c>
      <c r="B1110" s="83" t="s">
        <v>2050</v>
      </c>
      <c r="C1110" s="83" t="s">
        <v>164</v>
      </c>
      <c r="D1110" s="112">
        <v>1106386.0</v>
      </c>
      <c r="E1110" s="83">
        <v>1179180.0</v>
      </c>
      <c r="F1110" s="98">
        <v>2.9490839E7</v>
      </c>
      <c r="G1110" s="119" t="s">
        <v>6008</v>
      </c>
      <c r="H1110" s="91" t="s">
        <v>6009</v>
      </c>
      <c r="I1110" s="83" t="s">
        <v>149</v>
      </c>
      <c r="J1110" s="83" t="s">
        <v>6004</v>
      </c>
      <c r="K1110" s="83" t="s">
        <v>168</v>
      </c>
      <c r="L1110" s="83" t="s">
        <v>169</v>
      </c>
      <c r="M1110" s="82" t="str">
        <f>IFERROR(__xludf.DUMMYFUNCTION("IFERROR(VLOOKUP(D1110,
IMPORTRANGE(""https://docs.google.com/spreadsheets/d/1MjHtlUikwobi2MaWJgy7tfLeBmhj1u-dRFRs_8GwSoA/edit#gid=0"",""Gestores Escolares!D7:J""),3,0),""VERIFICAR CÓD SEC"")"),"ANA VERENA RODRIGUES AMORIM")</f>
        <v>ANA VERENA RODRIGUES AMORIM</v>
      </c>
      <c r="N1110" s="82" t="str">
        <f>IFERROR(__xludf.DUMMYFUNCTION("IFERROR(VLOOKUP(D1110,
IMPORTRANGE(""https://docs.google.com/spreadsheets/d/1MjHtlUikwobi2MaWJgy7tfLeBmhj1u-dRFRs_8GwSoA/edit#gid=0"",""Gestores Escolares!D7:J""),4,0),""VERIFICAR CÓD SEC"")"),"(75) 9 9133-6078")</f>
        <v>(75) 9 9133-6078</v>
      </c>
      <c r="O1110" s="82" t="str">
        <f>IFERROR(__xludf.DUMMYFUNCTION("IFERROR(VLOOKUP(D1110,
IMPORTRANGE(""https://docs.google.com/spreadsheets/d/1MjHtlUikwobi2MaWJgy7tfLeBmhj1u-dRFRs_8GwSoA/edit#gid=0"",""Gestores Escolares!D7:J""),6,0),""VERIFICAR CÓD SEC"")"),"SÃO PEDRO AUXILIADORA DE JESUS A. ALMEIDA")</f>
        <v>SÃO PEDRO AUXILIADORA DE JESUS A. ALMEIDA</v>
      </c>
      <c r="P1110" s="82" t="str">
        <f>IFERROR(__xludf.DUMMYFUNCTION("IFERROR(VLOOKUP(D1110,
IMPORTRANGE(""https://docs.google.com/spreadsheets/d/1MjHtlUikwobi2MaWJgy7tfLeBmhj1u-dRFRs_8GwSoA/edit#gid=0"",""Gestores Escolares!D7:J""),7,0),""VERIFICAR CÓD SEC"")"),"(75) 9 9810-7963")</f>
        <v>(75) 9 9810-7963</v>
      </c>
      <c r="Q1110" s="82" t="str">
        <f>IFERROR(__xludf.DUMMYFUNCTION("IFERROR(VLOOKUP(D1110,
IMPORTRANGE(""https://docs.google.com/spreadsheets/d/1MjHtlUikwobi2MaWJgy7tfLeBmhj1u-dRFRs_8GwSoA/edit#gid=0"",""Gestores Escolares!D7:m""),9,0),""VERIFICAR CÓD SEC"")"),"ANDREA DOS REIS FILHO")</f>
        <v>ANDREA DOS REIS FILHO</v>
      </c>
      <c r="R1110" s="82" t="str">
        <f>IFERROR(__xludf.DUMMYFUNCTION("IFERROR(VLOOKUP(D1110,
IMPORTRANGE(""https://docs.google.com/spreadsheets/d/1MjHtlUikwobi2MaWJgy7tfLeBmhj1u-dRFRs_8GwSoA/edit#gid=0"",""Gestores Escolares!D7:m""),10,0),""VERIFICAR CÓD SEC"")"),"(75) 9 8838-1506")</f>
        <v>(75) 9 8838-1506</v>
      </c>
      <c r="S1110" s="82"/>
      <c r="T1110" s="138">
        <v>24.0</v>
      </c>
      <c r="U1110" s="388">
        <v>24.0</v>
      </c>
      <c r="V1110" s="106">
        <v>0.0</v>
      </c>
      <c r="W1110" s="107">
        <v>0.0</v>
      </c>
      <c r="X1110" s="107">
        <v>0.0</v>
      </c>
      <c r="Y1110" s="107">
        <v>0.0</v>
      </c>
      <c r="Z1110" s="80">
        <f t="shared" si="1"/>
        <v>0</v>
      </c>
      <c r="AA1110" s="106">
        <v>0.0</v>
      </c>
      <c r="AB1110" s="107">
        <v>0.0</v>
      </c>
      <c r="AC1110" s="107">
        <v>0.0</v>
      </c>
      <c r="AD1110" s="107">
        <v>0.0</v>
      </c>
      <c r="AE1110" s="80">
        <f t="shared" si="2"/>
        <v>0</v>
      </c>
      <c r="AF1110" s="140">
        <v>0.0</v>
      </c>
      <c r="AG1110" s="109">
        <v>0.0</v>
      </c>
      <c r="AH1110" s="109">
        <v>0.0</v>
      </c>
      <c r="AI1110" s="141">
        <v>0.0</v>
      </c>
      <c r="AJ1110" s="80">
        <f t="shared" si="3"/>
        <v>0</v>
      </c>
      <c r="AK1110" s="140">
        <v>17.0</v>
      </c>
      <c r="AL1110" s="109">
        <v>12.0</v>
      </c>
      <c r="AM1110" s="141">
        <v>0.0</v>
      </c>
      <c r="AN1110" s="80">
        <f t="shared" si="4"/>
        <v>29</v>
      </c>
      <c r="AO1110" s="140">
        <v>7.0</v>
      </c>
      <c r="AP1110" s="109">
        <v>8.0</v>
      </c>
      <c r="AQ1110" s="109">
        <v>0.0</v>
      </c>
      <c r="AR1110" s="80">
        <f t="shared" si="5"/>
        <v>15</v>
      </c>
      <c r="AS1110" s="110">
        <v>0.0</v>
      </c>
      <c r="AT1110" s="110">
        <v>0.0</v>
      </c>
      <c r="AU1110" s="110">
        <v>0.0</v>
      </c>
      <c r="AV1110" s="142">
        <v>0.0</v>
      </c>
      <c r="AW1110" s="80">
        <f t="shared" si="6"/>
        <v>0</v>
      </c>
      <c r="AX1110" s="113">
        <f t="shared" si="7"/>
        <v>44</v>
      </c>
      <c r="AY1110" s="117">
        <f t="shared" si="8"/>
        <v>44</v>
      </c>
      <c r="AZ1110" s="120">
        <f t="shared" si="9"/>
        <v>0</v>
      </c>
      <c r="BA1110" s="168">
        <v>0.0</v>
      </c>
      <c r="BB1110" s="89">
        <f t="shared" si="10"/>
        <v>44</v>
      </c>
      <c r="BC1110" s="132" t="s">
        <v>10138</v>
      </c>
      <c r="BD1110" s="132" t="s">
        <v>178</v>
      </c>
      <c r="BE1110" s="132" t="s">
        <v>178</v>
      </c>
      <c r="BF1110" s="123"/>
      <c r="BG1110" s="83">
        <v>1179180.0</v>
      </c>
      <c r="BH1110" s="98"/>
      <c r="BI1110" s="98">
        <v>24.0</v>
      </c>
      <c r="BJ1110" s="98" t="s">
        <v>155</v>
      </c>
      <c r="BK1110" s="99">
        <f t="shared" si="11"/>
        <v>0</v>
      </c>
      <c r="BL1110" s="99">
        <f t="shared" si="12"/>
        <v>44</v>
      </c>
      <c r="BM1110" s="99" t="str">
        <f>IFERROR(__xludf.DUMMYFUNCTION("IFERROR(VLOOKUP(BG1110,IMPORTRANGE(""https://docs.google.com/spreadsheets/d/1juPI-Fb8LD0YtltB2mlGEnp_R3UVu1t3wSFPzgCyHXE/edit?gid=0#gid=0"",""GERAL!A2:C""),3,0),""-"")"),"-")</f>
        <v>-</v>
      </c>
    </row>
    <row r="1111" ht="15.75" customHeight="1">
      <c r="A1111" s="111" t="s">
        <v>1335</v>
      </c>
      <c r="B1111" s="83" t="s">
        <v>6010</v>
      </c>
      <c r="C1111" s="83" t="s">
        <v>68</v>
      </c>
      <c r="D1111" s="112">
        <v>1160380.0</v>
      </c>
      <c r="E1111" s="83"/>
      <c r="F1111" s="83">
        <v>2.9098165E7</v>
      </c>
      <c r="G1111" s="220" t="s">
        <v>6011</v>
      </c>
      <c r="H1111" s="91" t="s">
        <v>6012</v>
      </c>
      <c r="I1111" s="136" t="s">
        <v>149</v>
      </c>
      <c r="J1111" s="83" t="s">
        <v>150</v>
      </c>
      <c r="K1111" s="83" t="s">
        <v>151</v>
      </c>
      <c r="L1111" s="83" t="s">
        <v>230</v>
      </c>
      <c r="M1111" s="82" t="str">
        <f>IFERROR(__xludf.DUMMYFUNCTION("IFERROR(VLOOKUP(D1111,
IMPORTRANGE(""https://docs.google.com/spreadsheets/d/1MjHtlUikwobi2MaWJgy7tfLeBmhj1u-dRFRs_8GwSoA/edit#gid=0"",""Gestores Escolares!D7:J""),3,0),""VERIFICAR CÓD SEC"")"),"SIMONE NETO DE SANTANA OLIVEIRA")</f>
        <v>SIMONE NETO DE SANTANA OLIVEIRA</v>
      </c>
      <c r="N1111" s="82" t="str">
        <f>IFERROR(__xludf.DUMMYFUNCTION("IFERROR(VLOOKUP(D1111,
IMPORTRANGE(""https://docs.google.com/spreadsheets/d/1MjHtlUikwobi2MaWJgy7tfLeBmhj1u-dRFRs_8GwSoA/edit#gid=0"",""Gestores Escolares!D7:J""),4,0),""VERIFICAR CÓD SEC"")"),"(75) 9 9946-6638")</f>
        <v>(75) 9 9946-6638</v>
      </c>
      <c r="O1111" s="82" t="str">
        <f>IFERROR(__xludf.DUMMYFUNCTION("IFERROR(VLOOKUP(D1111,
IMPORTRANGE(""https://docs.google.com/spreadsheets/d/1MjHtlUikwobi2MaWJgy7tfLeBmhj1u-dRFRs_8GwSoA/edit#gid=0"",""Gestores Escolares!D7:J""),6,0),""VERIFICAR CÓD SEC"")"),"GISELA MARIA DA COSTA ARAUJO GOMES")</f>
        <v>GISELA MARIA DA COSTA ARAUJO GOMES</v>
      </c>
      <c r="P1111" s="82" t="str">
        <f>IFERROR(__xludf.DUMMYFUNCTION("IFERROR(VLOOKUP(D1111,
IMPORTRANGE(""https://docs.google.com/spreadsheets/d/1MjHtlUikwobi2MaWJgy7tfLeBmhj1u-dRFRs_8GwSoA/edit#gid=0"",""Gestores Escolares!D7:J""),7,0),""VERIFICAR CÓD SEC"")"),"(75) 9 9903-6485")</f>
        <v>(75) 9 9903-6485</v>
      </c>
      <c r="Q1111" s="82" t="str">
        <f>IFERROR(__xludf.DUMMYFUNCTION("IFERROR(VLOOKUP(D1111,
IMPORTRANGE(""https://docs.google.com/spreadsheets/d/1MjHtlUikwobi2MaWJgy7tfLeBmhj1u-dRFRs_8GwSoA/edit#gid=0"",""Gestores Escolares!D7:m""),9,0),""VERIFICAR CÓD SEC"")"),"")</f>
        <v/>
      </c>
      <c r="R1111" s="82" t="str">
        <f>IFERROR(__xludf.DUMMYFUNCTION("IFERROR(VLOOKUP(D1111,
IMPORTRANGE(""https://docs.google.com/spreadsheets/d/1MjHtlUikwobi2MaWJgy7tfLeBmhj1u-dRFRs_8GwSoA/edit#gid=0"",""Gestores Escolares!D7:m""),10,0),""VERIFICAR CÓD SEC"")"),"")</f>
        <v/>
      </c>
      <c r="S1111" s="82"/>
      <c r="T1111" s="138">
        <v>12.0</v>
      </c>
      <c r="U1111" s="388" t="s">
        <v>1323</v>
      </c>
      <c r="V1111" s="106">
        <v>0.0</v>
      </c>
      <c r="W1111" s="107">
        <v>0.0</v>
      </c>
      <c r="X1111" s="107">
        <v>0.0</v>
      </c>
      <c r="Y1111" s="107">
        <v>0.0</v>
      </c>
      <c r="Z1111" s="80">
        <f t="shared" si="1"/>
        <v>0</v>
      </c>
      <c r="AA1111" s="106">
        <v>0.0</v>
      </c>
      <c r="AB1111" s="107">
        <v>0.0</v>
      </c>
      <c r="AC1111" s="107">
        <v>0.0</v>
      </c>
      <c r="AD1111" s="107">
        <v>0.0</v>
      </c>
      <c r="AE1111" s="80">
        <f t="shared" si="2"/>
        <v>0</v>
      </c>
      <c r="AF1111" s="140">
        <v>34.0</v>
      </c>
      <c r="AG1111" s="109">
        <v>20.0</v>
      </c>
      <c r="AH1111" s="109">
        <v>0.0</v>
      </c>
      <c r="AI1111" s="141">
        <v>380.0</v>
      </c>
      <c r="AJ1111" s="80">
        <f t="shared" si="3"/>
        <v>434</v>
      </c>
      <c r="AK1111" s="140">
        <v>0.0</v>
      </c>
      <c r="AL1111" s="109">
        <v>0.0</v>
      </c>
      <c r="AM1111" s="141">
        <v>0.0</v>
      </c>
      <c r="AN1111" s="80">
        <f t="shared" si="4"/>
        <v>0</v>
      </c>
      <c r="AO1111" s="140">
        <v>0.0</v>
      </c>
      <c r="AP1111" s="109">
        <v>0.0</v>
      </c>
      <c r="AQ1111" s="109">
        <v>0.0</v>
      </c>
      <c r="AR1111" s="80">
        <f t="shared" si="5"/>
        <v>0</v>
      </c>
      <c r="AS1111" s="110">
        <v>0.0</v>
      </c>
      <c r="AT1111" s="110">
        <v>0.0</v>
      </c>
      <c r="AU1111" s="110">
        <v>0.0</v>
      </c>
      <c r="AV1111" s="142">
        <v>26.0</v>
      </c>
      <c r="AW1111" s="80">
        <f t="shared" si="6"/>
        <v>26</v>
      </c>
      <c r="AX1111" s="113">
        <f t="shared" si="7"/>
        <v>460</v>
      </c>
      <c r="AY1111" s="117">
        <f t="shared" si="8"/>
        <v>460</v>
      </c>
      <c r="AZ1111" s="120">
        <f t="shared" si="9"/>
        <v>0</v>
      </c>
      <c r="BA1111" s="115">
        <v>0.0</v>
      </c>
      <c r="BB1111" s="89">
        <f t="shared" si="10"/>
        <v>460</v>
      </c>
      <c r="BC1111" s="132" t="s">
        <v>178</v>
      </c>
      <c r="BD1111" s="132" t="s">
        <v>178</v>
      </c>
      <c r="BE1111" s="132" t="s">
        <v>178</v>
      </c>
      <c r="BF1111" s="156"/>
      <c r="BG1111" s="83">
        <v>1160380.0</v>
      </c>
      <c r="BH1111" s="112"/>
      <c r="BI1111" s="112">
        <v>12.0</v>
      </c>
      <c r="BJ1111" s="98" t="s">
        <v>162</v>
      </c>
      <c r="BK1111" s="99">
        <f t="shared" si="11"/>
        <v>406</v>
      </c>
      <c r="BL1111" s="99">
        <f t="shared" si="12"/>
        <v>54</v>
      </c>
      <c r="BM1111" s="99" t="str">
        <f>IFERROR(__xludf.DUMMYFUNCTION("IFERROR(VLOOKUP(BG1111,IMPORTRANGE(""https://docs.google.com/spreadsheets/d/1juPI-Fb8LD0YtltB2mlGEnp_R3UVu1t3wSFPzgCyHXE/edit?gid=0#gid=0"",""GERAL!A2:C""),3,0),""-"")"),"-")</f>
        <v>-</v>
      </c>
    </row>
    <row r="1112" ht="15.75" customHeight="1">
      <c r="A1112" s="111" t="s">
        <v>1335</v>
      </c>
      <c r="B1112" s="83" t="s">
        <v>6023</v>
      </c>
      <c r="C1112" s="83" t="s">
        <v>45</v>
      </c>
      <c r="D1112" s="112">
        <v>1178418.0</v>
      </c>
      <c r="E1112" s="83"/>
      <c r="F1112" s="83">
        <v>2.9396158E7</v>
      </c>
      <c r="G1112" s="241" t="s">
        <v>6024</v>
      </c>
      <c r="H1112" s="91" t="s">
        <v>6025</v>
      </c>
      <c r="I1112" s="83" t="s">
        <v>6026</v>
      </c>
      <c r="J1112" s="115" t="s">
        <v>150</v>
      </c>
      <c r="K1112" s="83" t="s">
        <v>171</v>
      </c>
      <c r="L1112" s="83" t="s">
        <v>169</v>
      </c>
      <c r="M1112" s="82" t="str">
        <f>IFERROR(__xludf.DUMMYFUNCTION("IFERROR(VLOOKUP(D1112,
IMPORTRANGE(""https://docs.google.com/spreadsheets/d/1MjHtlUikwobi2MaWJgy7tfLeBmhj1u-dRFRs_8GwSoA/edit#gid=0"",""Gestores Escolares!D7:J""),3,0),""VERIFICAR CÓD SEC"")"),"LUCIMARA SANTOS DA SILVA")</f>
        <v>LUCIMARA SANTOS DA SILVA</v>
      </c>
      <c r="N1112" s="82" t="str">
        <f>IFERROR(__xludf.DUMMYFUNCTION("IFERROR(VLOOKUP(D1112,
IMPORTRANGE(""https://docs.google.com/spreadsheets/d/1MjHtlUikwobi2MaWJgy7tfLeBmhj1u-dRFRs_8GwSoA/edit#gid=0"",""Gestores Escolares!D7:J""),4,0),""VERIFICAR CÓD SEC"")"),"(75) 9 9918-3565")</f>
        <v>(75) 9 9918-3565</v>
      </c>
      <c r="O1112" s="82" t="str">
        <f>IFERROR(__xludf.DUMMYFUNCTION("IFERROR(VLOOKUP(D1112,
IMPORTRANGE(""https://docs.google.com/spreadsheets/d/1MjHtlUikwobi2MaWJgy7tfLeBmhj1u-dRFRs_8GwSoA/edit#gid=0"",""Gestores Escolares!D7:J""),6,0),""VERIFICAR CÓD SEC"")"),"")</f>
        <v/>
      </c>
      <c r="P1112" s="82" t="str">
        <f>IFERROR(__xludf.DUMMYFUNCTION("IFERROR(VLOOKUP(D1112,
IMPORTRANGE(""https://docs.google.com/spreadsheets/d/1MjHtlUikwobi2MaWJgy7tfLeBmhj1u-dRFRs_8GwSoA/edit#gid=0"",""Gestores Escolares!D7:J""),7,0),""VERIFICAR CÓD SEC"")"),"")</f>
        <v/>
      </c>
      <c r="Q1112" s="82" t="str">
        <f>IFERROR(__xludf.DUMMYFUNCTION("IFERROR(VLOOKUP(D1112,
IMPORTRANGE(""https://docs.google.com/spreadsheets/d/1MjHtlUikwobi2MaWJgy7tfLeBmhj1u-dRFRs_8GwSoA/edit#gid=0"",""Gestores Escolares!D7:m""),9,0),""VERIFICAR CÓD SEC"")"),"")</f>
        <v/>
      </c>
      <c r="R1112" s="82" t="str">
        <f>IFERROR(__xludf.DUMMYFUNCTION("IFERROR(VLOOKUP(D1112,
IMPORTRANGE(""https://docs.google.com/spreadsheets/d/1MjHtlUikwobi2MaWJgy7tfLeBmhj1u-dRFRs_8GwSoA/edit#gid=0"",""Gestores Escolares!D7:m""),10,0),""VERIFICAR CÓD SEC"")"),"")</f>
        <v/>
      </c>
      <c r="S1112" s="82"/>
      <c r="T1112" s="138">
        <v>5.0</v>
      </c>
      <c r="U1112" s="388">
        <v>3.0</v>
      </c>
      <c r="V1112" s="106">
        <v>0.0</v>
      </c>
      <c r="W1112" s="107">
        <v>0.0</v>
      </c>
      <c r="X1112" s="107">
        <v>0.0</v>
      </c>
      <c r="Y1112" s="107">
        <v>0.0</v>
      </c>
      <c r="Z1112" s="80">
        <f t="shared" si="1"/>
        <v>0</v>
      </c>
      <c r="AA1112" s="106">
        <v>0.0</v>
      </c>
      <c r="AB1112" s="107">
        <v>0.0</v>
      </c>
      <c r="AC1112" s="107">
        <v>0.0</v>
      </c>
      <c r="AD1112" s="107">
        <v>112.0</v>
      </c>
      <c r="AE1112" s="80">
        <f t="shared" si="2"/>
        <v>112</v>
      </c>
      <c r="AF1112" s="225">
        <v>0.0</v>
      </c>
      <c r="AG1112" s="226">
        <v>0.0</v>
      </c>
      <c r="AH1112" s="226">
        <v>0.0</v>
      </c>
      <c r="AI1112" s="227">
        <v>64.0</v>
      </c>
      <c r="AJ1112" s="80">
        <f t="shared" si="3"/>
        <v>64</v>
      </c>
      <c r="AK1112" s="140">
        <v>0.0</v>
      </c>
      <c r="AL1112" s="109">
        <v>0.0</v>
      </c>
      <c r="AM1112" s="141">
        <v>0.0</v>
      </c>
      <c r="AN1112" s="80">
        <f t="shared" si="4"/>
        <v>0</v>
      </c>
      <c r="AO1112" s="225">
        <v>0.0</v>
      </c>
      <c r="AP1112" s="226">
        <v>0.0</v>
      </c>
      <c r="AQ1112" s="226">
        <v>0.0</v>
      </c>
      <c r="AR1112" s="80">
        <f t="shared" si="5"/>
        <v>0</v>
      </c>
      <c r="AS1112" s="110">
        <v>0.0</v>
      </c>
      <c r="AT1112" s="110">
        <v>0.0</v>
      </c>
      <c r="AU1112" s="110">
        <v>0.0</v>
      </c>
      <c r="AV1112" s="142">
        <v>0.0</v>
      </c>
      <c r="AW1112" s="80">
        <f t="shared" si="6"/>
        <v>0</v>
      </c>
      <c r="AX1112" s="113">
        <f t="shared" si="7"/>
        <v>176</v>
      </c>
      <c r="AY1112" s="117">
        <f t="shared" si="8"/>
        <v>176</v>
      </c>
      <c r="AZ1112" s="120">
        <f t="shared" si="9"/>
        <v>0</v>
      </c>
      <c r="BA1112" s="115">
        <v>0.0</v>
      </c>
      <c r="BB1112" s="89">
        <f t="shared" si="10"/>
        <v>176</v>
      </c>
      <c r="BC1112" s="132" t="s">
        <v>178</v>
      </c>
      <c r="BD1112" s="132" t="s">
        <v>178</v>
      </c>
      <c r="BE1112" s="132" t="s">
        <v>178</v>
      </c>
      <c r="BF1112" s="123"/>
      <c r="BG1112" s="83">
        <v>1178418.0</v>
      </c>
      <c r="BH1112" s="112"/>
      <c r="BI1112" s="112">
        <v>5.0</v>
      </c>
      <c r="BJ1112" s="98" t="s">
        <v>155</v>
      </c>
      <c r="BK1112" s="99">
        <f t="shared" si="11"/>
        <v>176</v>
      </c>
      <c r="BL1112" s="99">
        <f t="shared" si="12"/>
        <v>0</v>
      </c>
      <c r="BM1112" s="99" t="str">
        <f>IFERROR(__xludf.DUMMYFUNCTION("IFERROR(VLOOKUP(BG1112,IMPORTRANGE(""https://docs.google.com/spreadsheets/d/1juPI-Fb8LD0YtltB2mlGEnp_R3UVu1t3wSFPzgCyHXE/edit?gid=0#gid=0"",""GERAL!A2:C""),3,0),""-"")"),"EFA")</f>
        <v>EFA</v>
      </c>
    </row>
    <row r="1113" ht="15.75" customHeight="1">
      <c r="A1113" s="111" t="s">
        <v>1335</v>
      </c>
      <c r="B1113" s="83" t="s">
        <v>6023</v>
      </c>
      <c r="C1113" s="83" t="s">
        <v>68</v>
      </c>
      <c r="D1113" s="112">
        <v>1107129.0</v>
      </c>
      <c r="E1113" s="83"/>
      <c r="F1113" s="83">
        <v>2.910329E7</v>
      </c>
      <c r="G1113" s="487" t="s">
        <v>6028</v>
      </c>
      <c r="H1113" s="108" t="s">
        <v>6029</v>
      </c>
      <c r="I1113" s="83" t="s">
        <v>149</v>
      </c>
      <c r="J1113" s="83" t="s">
        <v>150</v>
      </c>
      <c r="K1113" s="83" t="s">
        <v>151</v>
      </c>
      <c r="L1113" s="83" t="s">
        <v>230</v>
      </c>
      <c r="M1113" s="82" t="str">
        <f>IFERROR(__xludf.DUMMYFUNCTION("IFERROR(VLOOKUP(D1113,
IMPORTRANGE(""https://docs.google.com/spreadsheets/d/1MjHtlUikwobi2MaWJgy7tfLeBmhj1u-dRFRs_8GwSoA/edit#gid=0"",""Gestores Escolares!D7:J""),3,0),""VERIFICAR CÓD SEC"")"),"NEUZA ALVES DOS SANTOS")</f>
        <v>NEUZA ALVES DOS SANTOS</v>
      </c>
      <c r="N1113" s="82" t="str">
        <f>IFERROR(__xludf.DUMMYFUNCTION("IFERROR(VLOOKUP(D1113,
IMPORTRANGE(""https://docs.google.com/spreadsheets/d/1MjHtlUikwobi2MaWJgy7tfLeBmhj1u-dRFRs_8GwSoA/edit#gid=0"",""Gestores Escolares!D7:J""),4,0),""VERIFICAR CÓD SEC"")"),"(75) 9 8200-3338")</f>
        <v>(75) 9 8200-3338</v>
      </c>
      <c r="O1113" s="82" t="str">
        <f>IFERROR(__xludf.DUMMYFUNCTION("IFERROR(VLOOKUP(D1113,
IMPORTRANGE(""https://docs.google.com/spreadsheets/d/1MjHtlUikwobi2MaWJgy7tfLeBmhj1u-dRFRs_8GwSoA/edit#gid=0"",""Gestores Escolares!D7:J""),6,0),""VERIFICAR CÓD SEC"")"),"IEDA MARIA BARBOSA FRANCO")</f>
        <v>IEDA MARIA BARBOSA FRANCO</v>
      </c>
      <c r="P1113" s="82" t="str">
        <f>IFERROR(__xludf.DUMMYFUNCTION("IFERROR(VLOOKUP(D1113,
IMPORTRANGE(""https://docs.google.com/spreadsheets/d/1MjHtlUikwobi2MaWJgy7tfLeBmhj1u-dRFRs_8GwSoA/edit#gid=0"",""Gestores Escolares!D7:J""),7,0),""VERIFICAR CÓD SEC"")"),"(75) 9 8355-4554")</f>
        <v>(75) 9 8355-4554</v>
      </c>
      <c r="Q1113" s="82" t="str">
        <f>IFERROR(__xludf.DUMMYFUNCTION("IFERROR(VLOOKUP(D1113,
IMPORTRANGE(""https://docs.google.com/spreadsheets/d/1MjHtlUikwobi2MaWJgy7tfLeBmhj1u-dRFRs_8GwSoA/edit#gid=0"",""Gestores Escolares!D7:m""),9,0),""VERIFICAR CÓD SEC"")"),"SIMONE BARROS MORAES")</f>
        <v>SIMONE BARROS MORAES</v>
      </c>
      <c r="R1113" s="82" t="str">
        <f>IFERROR(__xludf.DUMMYFUNCTION("IFERROR(VLOOKUP(D1113,
IMPORTRANGE(""https://docs.google.com/spreadsheets/d/1MjHtlUikwobi2MaWJgy7tfLeBmhj1u-dRFRs_8GwSoA/edit#gid=0"",""Gestores Escolares!D7:m""),10,0),""VERIFICAR CÓD SEC"")"),"(75) 9 8101-7305")</f>
        <v>(75) 9 8101-7305</v>
      </c>
      <c r="S1113" s="82"/>
      <c r="T1113" s="138">
        <v>14.0</v>
      </c>
      <c r="U1113" s="388" t="s">
        <v>13825</v>
      </c>
      <c r="V1113" s="106">
        <v>0.0</v>
      </c>
      <c r="W1113" s="107">
        <v>0.0</v>
      </c>
      <c r="X1113" s="107">
        <v>0.0</v>
      </c>
      <c r="Y1113" s="107">
        <v>0.0</v>
      </c>
      <c r="Z1113" s="80">
        <f t="shared" si="1"/>
        <v>0</v>
      </c>
      <c r="AA1113" s="106">
        <v>0.0</v>
      </c>
      <c r="AB1113" s="107">
        <v>0.0</v>
      </c>
      <c r="AC1113" s="107">
        <v>0.0</v>
      </c>
      <c r="AD1113" s="107">
        <v>0.0</v>
      </c>
      <c r="AE1113" s="80">
        <f t="shared" si="2"/>
        <v>0</v>
      </c>
      <c r="AF1113" s="140">
        <v>114.0</v>
      </c>
      <c r="AG1113" s="109">
        <v>126.0</v>
      </c>
      <c r="AH1113" s="109">
        <v>0.0</v>
      </c>
      <c r="AI1113" s="141">
        <v>552.0</v>
      </c>
      <c r="AJ1113" s="80">
        <f t="shared" si="3"/>
        <v>792</v>
      </c>
      <c r="AK1113" s="140">
        <v>0.0</v>
      </c>
      <c r="AL1113" s="109">
        <v>0.0</v>
      </c>
      <c r="AM1113" s="141">
        <v>0.0</v>
      </c>
      <c r="AN1113" s="80">
        <f t="shared" si="4"/>
        <v>0</v>
      </c>
      <c r="AO1113" s="140">
        <v>0.0</v>
      </c>
      <c r="AP1113" s="109">
        <v>0.0</v>
      </c>
      <c r="AQ1113" s="109">
        <v>267.0</v>
      </c>
      <c r="AR1113" s="80">
        <f t="shared" si="5"/>
        <v>267</v>
      </c>
      <c r="AS1113" s="110">
        <v>54.0</v>
      </c>
      <c r="AT1113" s="110">
        <v>0.0</v>
      </c>
      <c r="AU1113" s="110">
        <v>0.0</v>
      </c>
      <c r="AV1113" s="142">
        <v>35.0</v>
      </c>
      <c r="AW1113" s="80">
        <f t="shared" si="6"/>
        <v>89</v>
      </c>
      <c r="AX1113" s="113">
        <f t="shared" si="7"/>
        <v>1148</v>
      </c>
      <c r="AY1113" s="117">
        <f t="shared" si="8"/>
        <v>881</v>
      </c>
      <c r="AZ1113" s="120">
        <f t="shared" si="9"/>
        <v>267</v>
      </c>
      <c r="BA1113" s="115">
        <v>0.0</v>
      </c>
      <c r="BB1113" s="89">
        <f t="shared" si="10"/>
        <v>1148</v>
      </c>
      <c r="BC1113" s="132" t="s">
        <v>178</v>
      </c>
      <c r="BD1113" s="132" t="s">
        <v>178</v>
      </c>
      <c r="BE1113" s="132" t="s">
        <v>178</v>
      </c>
      <c r="BF1113" s="123"/>
      <c r="BG1113" s="83">
        <v>1107129.0</v>
      </c>
      <c r="BH1113" s="112"/>
      <c r="BI1113" s="112">
        <v>12.0</v>
      </c>
      <c r="BJ1113" s="98" t="s">
        <v>162</v>
      </c>
      <c r="BK1113" s="99">
        <f t="shared" si="11"/>
        <v>587</v>
      </c>
      <c r="BL1113" s="99">
        <f t="shared" si="12"/>
        <v>294</v>
      </c>
      <c r="BM1113" s="99" t="str">
        <f>IFERROR(__xludf.DUMMYFUNCTION("IFERROR(VLOOKUP(BG1113,IMPORTRANGE(""https://docs.google.com/spreadsheets/d/1juPI-Fb8LD0YtltB2mlGEnp_R3UVu1t3wSFPzgCyHXE/edit?gid=0#gid=0"",""GERAL!A2:C""),3,0),""-"")"),"-")</f>
        <v>-</v>
      </c>
    </row>
    <row r="1114" ht="15.75" customHeight="1">
      <c r="A1114" s="111" t="s">
        <v>1335</v>
      </c>
      <c r="B1114" s="83" t="s">
        <v>6023</v>
      </c>
      <c r="C1114" s="83" t="s">
        <v>164</v>
      </c>
      <c r="D1114" s="112">
        <v>1107129.0</v>
      </c>
      <c r="E1114" s="83">
        <v>1178457.0</v>
      </c>
      <c r="F1114" s="98">
        <v>2.949129E7</v>
      </c>
      <c r="G1114" s="184" t="s">
        <v>6031</v>
      </c>
      <c r="H1114" s="91" t="s">
        <v>6032</v>
      </c>
      <c r="I1114" s="83" t="s">
        <v>149</v>
      </c>
      <c r="J1114" s="83" t="s">
        <v>6033</v>
      </c>
      <c r="K1114" s="83" t="s">
        <v>168</v>
      </c>
      <c r="L1114" s="83" t="s">
        <v>169</v>
      </c>
      <c r="M1114" s="82" t="str">
        <f>IFERROR(__xludf.DUMMYFUNCTION("IFERROR(VLOOKUP(D1114,
IMPORTRANGE(""https://docs.google.com/spreadsheets/d/1MjHtlUikwobi2MaWJgy7tfLeBmhj1u-dRFRs_8GwSoA/edit#gid=0"",""Gestores Escolares!D7:J""),3,0),""VERIFICAR CÓD SEC"")"),"NEUZA ALVES DOS SANTOS")</f>
        <v>NEUZA ALVES DOS SANTOS</v>
      </c>
      <c r="N1114" s="82" t="str">
        <f>IFERROR(__xludf.DUMMYFUNCTION("IFERROR(VLOOKUP(D1114,
IMPORTRANGE(""https://docs.google.com/spreadsheets/d/1MjHtlUikwobi2MaWJgy7tfLeBmhj1u-dRFRs_8GwSoA/edit#gid=0"",""Gestores Escolares!D7:J""),4,0),""VERIFICAR CÓD SEC"")"),"(75) 9 8200-3338")</f>
        <v>(75) 9 8200-3338</v>
      </c>
      <c r="O1114" s="82" t="str">
        <f>IFERROR(__xludf.DUMMYFUNCTION("IFERROR(VLOOKUP(D1114,
IMPORTRANGE(""https://docs.google.com/spreadsheets/d/1MjHtlUikwobi2MaWJgy7tfLeBmhj1u-dRFRs_8GwSoA/edit#gid=0"",""Gestores Escolares!D7:J""),6,0),""VERIFICAR CÓD SEC"")"),"IEDA MARIA BARBOSA FRANCO")</f>
        <v>IEDA MARIA BARBOSA FRANCO</v>
      </c>
      <c r="P1114" s="82" t="str">
        <f>IFERROR(__xludf.DUMMYFUNCTION("IFERROR(VLOOKUP(D1114,
IMPORTRANGE(""https://docs.google.com/spreadsheets/d/1MjHtlUikwobi2MaWJgy7tfLeBmhj1u-dRFRs_8GwSoA/edit#gid=0"",""Gestores Escolares!D7:J""),7,0),""VERIFICAR CÓD SEC"")"),"(75) 9 8355-4554")</f>
        <v>(75) 9 8355-4554</v>
      </c>
      <c r="Q1114" s="82" t="str">
        <f>IFERROR(__xludf.DUMMYFUNCTION("IFERROR(VLOOKUP(D1114,
IMPORTRANGE(""https://docs.google.com/spreadsheets/d/1MjHtlUikwobi2MaWJgy7tfLeBmhj1u-dRFRs_8GwSoA/edit#gid=0"",""Gestores Escolares!D7:m""),9,0),""VERIFICAR CÓD SEC"")"),"SIMONE BARROS MORAES")</f>
        <v>SIMONE BARROS MORAES</v>
      </c>
      <c r="R1114" s="82" t="str">
        <f>IFERROR(__xludf.DUMMYFUNCTION("IFERROR(VLOOKUP(D1114,
IMPORTRANGE(""https://docs.google.com/spreadsheets/d/1MjHtlUikwobi2MaWJgy7tfLeBmhj1u-dRFRs_8GwSoA/edit#gid=0"",""Gestores Escolares!D7:m""),10,0),""VERIFICAR CÓD SEC"")"),"(75) 9 8101-7305")</f>
        <v>(75) 9 8101-7305</v>
      </c>
      <c r="S1114" s="82"/>
      <c r="T1114" s="138">
        <v>3.0</v>
      </c>
      <c r="U1114" s="416">
        <v>3.0</v>
      </c>
      <c r="V1114" s="106">
        <v>0.0</v>
      </c>
      <c r="W1114" s="107">
        <v>0.0</v>
      </c>
      <c r="X1114" s="107">
        <v>0.0</v>
      </c>
      <c r="Y1114" s="107">
        <v>0.0</v>
      </c>
      <c r="Z1114" s="80">
        <f t="shared" si="1"/>
        <v>0</v>
      </c>
      <c r="AA1114" s="106">
        <v>0.0</v>
      </c>
      <c r="AB1114" s="107">
        <v>0.0</v>
      </c>
      <c r="AC1114" s="107">
        <v>0.0</v>
      </c>
      <c r="AD1114" s="107">
        <v>0.0</v>
      </c>
      <c r="AE1114" s="80">
        <f t="shared" si="2"/>
        <v>0</v>
      </c>
      <c r="AF1114" s="140">
        <v>25.0</v>
      </c>
      <c r="AG1114" s="109">
        <v>13.0</v>
      </c>
      <c r="AH1114" s="109">
        <v>49.0</v>
      </c>
      <c r="AI1114" s="141">
        <v>0.0</v>
      </c>
      <c r="AJ1114" s="80">
        <f t="shared" si="3"/>
        <v>87</v>
      </c>
      <c r="AK1114" s="140">
        <v>0.0</v>
      </c>
      <c r="AL1114" s="109">
        <v>0.0</v>
      </c>
      <c r="AM1114" s="141">
        <v>0.0</v>
      </c>
      <c r="AN1114" s="80">
        <f t="shared" si="4"/>
        <v>0</v>
      </c>
      <c r="AO1114" s="140">
        <v>0.0</v>
      </c>
      <c r="AP1114" s="109">
        <v>0.0</v>
      </c>
      <c r="AQ1114" s="109">
        <v>0.0</v>
      </c>
      <c r="AR1114" s="80">
        <f t="shared" si="5"/>
        <v>0</v>
      </c>
      <c r="AS1114" s="110">
        <v>0.0</v>
      </c>
      <c r="AT1114" s="110">
        <v>0.0</v>
      </c>
      <c r="AU1114" s="110">
        <v>0.0</v>
      </c>
      <c r="AV1114" s="142">
        <v>0.0</v>
      </c>
      <c r="AW1114" s="80">
        <f t="shared" si="6"/>
        <v>0</v>
      </c>
      <c r="AX1114" s="113">
        <f t="shared" si="7"/>
        <v>87</v>
      </c>
      <c r="AY1114" s="117">
        <f t="shared" si="8"/>
        <v>38</v>
      </c>
      <c r="AZ1114" s="120">
        <f t="shared" si="9"/>
        <v>49</v>
      </c>
      <c r="BA1114" s="115">
        <v>0.0</v>
      </c>
      <c r="BB1114" s="89">
        <f t="shared" si="10"/>
        <v>87</v>
      </c>
      <c r="BC1114" s="132" t="s">
        <v>373</v>
      </c>
      <c r="BD1114" s="132" t="s">
        <v>178</v>
      </c>
      <c r="BE1114" s="132" t="s">
        <v>178</v>
      </c>
      <c r="BF1114" s="123"/>
      <c r="BG1114" s="83">
        <v>1178457.0</v>
      </c>
      <c r="BH1114" s="112"/>
      <c r="BI1114" s="112">
        <v>3.0</v>
      </c>
      <c r="BJ1114" s="98" t="s">
        <v>155</v>
      </c>
      <c r="BK1114" s="99">
        <f t="shared" si="11"/>
        <v>0</v>
      </c>
      <c r="BL1114" s="99">
        <f t="shared" si="12"/>
        <v>38</v>
      </c>
      <c r="BM1114" s="99" t="str">
        <f>IFERROR(__xludf.DUMMYFUNCTION("IFERROR(VLOOKUP(BG1114,IMPORTRANGE(""https://docs.google.com/spreadsheets/d/1juPI-Fb8LD0YtltB2mlGEnp_R3UVu1t3wSFPzgCyHXE/edit?gid=0#gid=0"",""GERAL!A2:C""),3,0),""-"")"),"CAMPO")</f>
        <v>CAMPO</v>
      </c>
    </row>
    <row r="1115" ht="15.75" customHeight="1">
      <c r="A1115" s="111" t="s">
        <v>1335</v>
      </c>
      <c r="B1115" s="83" t="s">
        <v>6023</v>
      </c>
      <c r="C1115" s="83" t="s">
        <v>164</v>
      </c>
      <c r="D1115" s="112">
        <v>1107129.0</v>
      </c>
      <c r="E1115" s="83">
        <v>1179181.0</v>
      </c>
      <c r="F1115" s="98">
        <v>2.9491282E7</v>
      </c>
      <c r="G1115" s="184" t="s">
        <v>6034</v>
      </c>
      <c r="H1115" s="91" t="s">
        <v>6035</v>
      </c>
      <c r="I1115" s="83" t="s">
        <v>149</v>
      </c>
      <c r="J1115" s="83" t="s">
        <v>2704</v>
      </c>
      <c r="K1115" s="83" t="s">
        <v>168</v>
      </c>
      <c r="L1115" s="83" t="s">
        <v>169</v>
      </c>
      <c r="M1115" s="82" t="str">
        <f>IFERROR(__xludf.DUMMYFUNCTION("IFERROR(VLOOKUP(D1115,
IMPORTRANGE(""https://docs.google.com/spreadsheets/d/1MjHtlUikwobi2MaWJgy7tfLeBmhj1u-dRFRs_8GwSoA/edit#gid=0"",""Gestores Escolares!D7:J""),3,0),""VERIFICAR CÓD SEC"")"),"NEUZA ALVES DOS SANTOS")</f>
        <v>NEUZA ALVES DOS SANTOS</v>
      </c>
      <c r="N1115" s="82" t="str">
        <f>IFERROR(__xludf.DUMMYFUNCTION("IFERROR(VLOOKUP(D1115,
IMPORTRANGE(""https://docs.google.com/spreadsheets/d/1MjHtlUikwobi2MaWJgy7tfLeBmhj1u-dRFRs_8GwSoA/edit#gid=0"",""Gestores Escolares!D7:J""),4,0),""VERIFICAR CÓD SEC"")"),"(75) 9 8200-3338")</f>
        <v>(75) 9 8200-3338</v>
      </c>
      <c r="O1115" s="82" t="str">
        <f>IFERROR(__xludf.DUMMYFUNCTION("IFERROR(VLOOKUP(D1115,
IMPORTRANGE(""https://docs.google.com/spreadsheets/d/1MjHtlUikwobi2MaWJgy7tfLeBmhj1u-dRFRs_8GwSoA/edit#gid=0"",""Gestores Escolares!D7:J""),6,0),""VERIFICAR CÓD SEC"")"),"IEDA MARIA BARBOSA FRANCO")</f>
        <v>IEDA MARIA BARBOSA FRANCO</v>
      </c>
      <c r="P1115" s="82" t="str">
        <f>IFERROR(__xludf.DUMMYFUNCTION("IFERROR(VLOOKUP(D1115,
IMPORTRANGE(""https://docs.google.com/spreadsheets/d/1MjHtlUikwobi2MaWJgy7tfLeBmhj1u-dRFRs_8GwSoA/edit#gid=0"",""Gestores Escolares!D7:J""),7,0),""VERIFICAR CÓD SEC"")"),"(75) 9 8355-4554")</f>
        <v>(75) 9 8355-4554</v>
      </c>
      <c r="Q1115" s="82" t="str">
        <f>IFERROR(__xludf.DUMMYFUNCTION("IFERROR(VLOOKUP(D1115,
IMPORTRANGE(""https://docs.google.com/spreadsheets/d/1MjHtlUikwobi2MaWJgy7tfLeBmhj1u-dRFRs_8GwSoA/edit#gid=0"",""Gestores Escolares!D7:m""),9,0),""VERIFICAR CÓD SEC"")"),"SIMONE BARROS MORAES")</f>
        <v>SIMONE BARROS MORAES</v>
      </c>
      <c r="R1115" s="82" t="str">
        <f>IFERROR(__xludf.DUMMYFUNCTION("IFERROR(VLOOKUP(D1115,
IMPORTRANGE(""https://docs.google.com/spreadsheets/d/1MjHtlUikwobi2MaWJgy7tfLeBmhj1u-dRFRs_8GwSoA/edit#gid=0"",""Gestores Escolares!D7:m""),10,0),""VERIFICAR CÓD SEC"")"),"(75) 9 8101-7305")</f>
        <v>(75) 9 8101-7305</v>
      </c>
      <c r="S1115" s="82"/>
      <c r="T1115" s="138">
        <v>2.0</v>
      </c>
      <c r="U1115" s="388">
        <v>3.0</v>
      </c>
      <c r="V1115" s="106">
        <v>0.0</v>
      </c>
      <c r="W1115" s="107">
        <v>0.0</v>
      </c>
      <c r="X1115" s="107">
        <v>0.0</v>
      </c>
      <c r="Y1115" s="107">
        <v>0.0</v>
      </c>
      <c r="Z1115" s="80">
        <f t="shared" si="1"/>
        <v>0</v>
      </c>
      <c r="AA1115" s="106">
        <v>0.0</v>
      </c>
      <c r="AB1115" s="107">
        <v>0.0</v>
      </c>
      <c r="AC1115" s="107">
        <v>0.0</v>
      </c>
      <c r="AD1115" s="107">
        <v>0.0</v>
      </c>
      <c r="AE1115" s="80">
        <f t="shared" si="2"/>
        <v>0</v>
      </c>
      <c r="AF1115" s="140">
        <v>11.0</v>
      </c>
      <c r="AG1115" s="109">
        <v>5.0</v>
      </c>
      <c r="AH1115" s="109">
        <v>0.0</v>
      </c>
      <c r="AI1115" s="141">
        <v>0.0</v>
      </c>
      <c r="AJ1115" s="80">
        <f t="shared" si="3"/>
        <v>16</v>
      </c>
      <c r="AK1115" s="140">
        <v>0.0</v>
      </c>
      <c r="AL1115" s="109">
        <v>0.0</v>
      </c>
      <c r="AM1115" s="141">
        <v>0.0</v>
      </c>
      <c r="AN1115" s="80">
        <f t="shared" si="4"/>
        <v>0</v>
      </c>
      <c r="AO1115" s="140">
        <v>0.0</v>
      </c>
      <c r="AP1115" s="109">
        <v>0.0</v>
      </c>
      <c r="AQ1115" s="109">
        <v>0.0</v>
      </c>
      <c r="AR1115" s="80">
        <f t="shared" si="5"/>
        <v>0</v>
      </c>
      <c r="AS1115" s="110">
        <v>0.0</v>
      </c>
      <c r="AT1115" s="110">
        <v>0.0</v>
      </c>
      <c r="AU1115" s="110">
        <v>0.0</v>
      </c>
      <c r="AV1115" s="142">
        <v>0.0</v>
      </c>
      <c r="AW1115" s="80">
        <f t="shared" si="6"/>
        <v>0</v>
      </c>
      <c r="AX1115" s="113">
        <f t="shared" si="7"/>
        <v>16</v>
      </c>
      <c r="AY1115" s="117">
        <f t="shared" si="8"/>
        <v>16</v>
      </c>
      <c r="AZ1115" s="120">
        <f t="shared" si="9"/>
        <v>0</v>
      </c>
      <c r="BA1115" s="115">
        <v>0.0</v>
      </c>
      <c r="BB1115" s="89">
        <f t="shared" si="10"/>
        <v>16</v>
      </c>
      <c r="BC1115" s="132" t="s">
        <v>373</v>
      </c>
      <c r="BD1115" s="132" t="s">
        <v>178</v>
      </c>
      <c r="BE1115" s="132" t="s">
        <v>178</v>
      </c>
      <c r="BF1115" s="123"/>
      <c r="BG1115" s="83">
        <v>1179181.0</v>
      </c>
      <c r="BH1115" s="112"/>
      <c r="BI1115" s="112">
        <v>2.0</v>
      </c>
      <c r="BJ1115" s="98" t="s">
        <v>155</v>
      </c>
      <c r="BK1115" s="99">
        <f t="shared" si="11"/>
        <v>0</v>
      </c>
      <c r="BL1115" s="99">
        <f t="shared" si="12"/>
        <v>16</v>
      </c>
      <c r="BM1115" s="99" t="str">
        <f>IFERROR(__xludf.DUMMYFUNCTION("IFERROR(VLOOKUP(BG1115,IMPORTRANGE(""https://docs.google.com/spreadsheets/d/1juPI-Fb8LD0YtltB2mlGEnp_R3UVu1t3wSFPzgCyHXE/edit?gid=0#gid=0"",""GERAL!A2:C""),3,0),""-"")"),"CAMPO")</f>
        <v>CAMPO</v>
      </c>
    </row>
    <row r="1116" ht="15.75" customHeight="1">
      <c r="A1116" s="111" t="s">
        <v>1335</v>
      </c>
      <c r="B1116" s="83" t="s">
        <v>6036</v>
      </c>
      <c r="C1116" s="83" t="s">
        <v>68</v>
      </c>
      <c r="D1116" s="195">
        <v>1107382.0</v>
      </c>
      <c r="E1116" s="136"/>
      <c r="F1116" s="136">
        <v>2.9107466E7</v>
      </c>
      <c r="G1116" s="187" t="s">
        <v>6037</v>
      </c>
      <c r="H1116" s="91" t="s">
        <v>6038</v>
      </c>
      <c r="I1116" s="83" t="s">
        <v>149</v>
      </c>
      <c r="J1116" s="83" t="s">
        <v>150</v>
      </c>
      <c r="K1116" s="83" t="s">
        <v>151</v>
      </c>
      <c r="L1116" s="83" t="s">
        <v>152</v>
      </c>
      <c r="M1116" s="82" t="str">
        <f>IFERROR(__xludf.DUMMYFUNCTION("IFERROR(VLOOKUP(D1116,
IMPORTRANGE(""https://docs.google.com/spreadsheets/d/1MjHtlUikwobi2MaWJgy7tfLeBmhj1u-dRFRs_8GwSoA/edit#gid=0"",""Gestores Escolares!D7:J""),3,0),""VERIFICAR CÓD SEC"")"),"LADJANE BARBOSA DOS SANTOS")</f>
        <v>LADJANE BARBOSA DOS SANTOS</v>
      </c>
      <c r="N1116" s="82" t="str">
        <f>IFERROR(__xludf.DUMMYFUNCTION("IFERROR(VLOOKUP(D1116,
IMPORTRANGE(""https://docs.google.com/spreadsheets/d/1MjHtlUikwobi2MaWJgy7tfLeBmhj1u-dRFRs_8GwSoA/edit#gid=0"",""Gestores Escolares!D7:J""),4,0),""VERIFICAR CÓD SEC"")"),"(75) 9 9954-8765")</f>
        <v>(75) 9 9954-8765</v>
      </c>
      <c r="O1116" s="82" t="str">
        <f>IFERROR(__xludf.DUMMYFUNCTION("IFERROR(VLOOKUP(D1116,
IMPORTRANGE(""https://docs.google.com/spreadsheets/d/1MjHtlUikwobi2MaWJgy7tfLeBmhj1u-dRFRs_8GwSoA/edit#gid=0"",""Gestores Escolares!D7:J""),6,0),""VERIFICAR CÓD SEC"")"),"GIOVANA MONTEIRO LEITE")</f>
        <v>GIOVANA MONTEIRO LEITE</v>
      </c>
      <c r="P1116" s="82" t="str">
        <f>IFERROR(__xludf.DUMMYFUNCTION("IFERROR(VLOOKUP(D1116,
IMPORTRANGE(""https://docs.google.com/spreadsheets/d/1MjHtlUikwobi2MaWJgy7tfLeBmhj1u-dRFRs_8GwSoA/edit#gid=0"",""Gestores Escolares!D7:J""),7,0),""VERIFICAR CÓD SEC"")"),"(75) 9 9961-7121")</f>
        <v>(75) 9 9961-7121</v>
      </c>
      <c r="Q1116" s="82" t="str">
        <f>IFERROR(__xludf.DUMMYFUNCTION("IFERROR(VLOOKUP(D1116,
IMPORTRANGE(""https://docs.google.com/spreadsheets/d/1MjHtlUikwobi2MaWJgy7tfLeBmhj1u-dRFRs_8GwSoA/edit#gid=0"",""Gestores Escolares!D7:m""),9,0),""VERIFICAR CÓD SEC"")"),"KHEYVIN DHARLAN OLIVEIRA GUIMARAES ADORNO")</f>
        <v>KHEYVIN DHARLAN OLIVEIRA GUIMARAES ADORNO</v>
      </c>
      <c r="R1116" s="82" t="str">
        <f>IFERROR(__xludf.DUMMYFUNCTION("IFERROR(VLOOKUP(D1116,
IMPORTRANGE(""https://docs.google.com/spreadsheets/d/1MjHtlUikwobi2MaWJgy7tfLeBmhj1u-dRFRs_8GwSoA/edit#gid=0"",""Gestores Escolares!D7:m""),10,0),""VERIFICAR CÓD SEC"")")," (75) 9 8809-2744")</f>
        <v> (75) 9 8809-2744</v>
      </c>
      <c r="S1116" s="82"/>
      <c r="T1116" s="138">
        <v>11.0</v>
      </c>
      <c r="U1116" s="388">
        <v>12.0</v>
      </c>
      <c r="V1116" s="106">
        <v>0.0</v>
      </c>
      <c r="W1116" s="107">
        <v>0.0</v>
      </c>
      <c r="X1116" s="107">
        <v>0.0</v>
      </c>
      <c r="Y1116" s="107">
        <v>0.0</v>
      </c>
      <c r="Z1116" s="80">
        <f t="shared" si="1"/>
        <v>0</v>
      </c>
      <c r="AA1116" s="106">
        <v>0.0</v>
      </c>
      <c r="AB1116" s="107">
        <v>0.0</v>
      </c>
      <c r="AC1116" s="107">
        <v>0.0</v>
      </c>
      <c r="AD1116" s="107">
        <v>0.0</v>
      </c>
      <c r="AE1116" s="80">
        <f t="shared" si="2"/>
        <v>0</v>
      </c>
      <c r="AF1116" s="140">
        <v>47.0</v>
      </c>
      <c r="AG1116" s="109">
        <v>36.0</v>
      </c>
      <c r="AH1116" s="109">
        <v>0.0</v>
      </c>
      <c r="AI1116" s="141">
        <v>0.0</v>
      </c>
      <c r="AJ1116" s="80">
        <f t="shared" si="3"/>
        <v>83</v>
      </c>
      <c r="AK1116" s="140">
        <v>0.0</v>
      </c>
      <c r="AL1116" s="109">
        <v>0.0</v>
      </c>
      <c r="AM1116" s="141">
        <v>0.0</v>
      </c>
      <c r="AN1116" s="80">
        <f t="shared" si="4"/>
        <v>0</v>
      </c>
      <c r="AO1116" s="140">
        <v>0.0</v>
      </c>
      <c r="AP1116" s="109">
        <v>0.0</v>
      </c>
      <c r="AQ1116" s="109">
        <v>0.0</v>
      </c>
      <c r="AR1116" s="80">
        <f t="shared" si="5"/>
        <v>0</v>
      </c>
      <c r="AS1116" s="110">
        <v>139.0</v>
      </c>
      <c r="AT1116" s="110">
        <v>85.0</v>
      </c>
      <c r="AU1116" s="110">
        <v>171.0</v>
      </c>
      <c r="AV1116" s="142">
        <v>46.0</v>
      </c>
      <c r="AW1116" s="80">
        <f t="shared" si="6"/>
        <v>441</v>
      </c>
      <c r="AX1116" s="113">
        <f t="shared" si="7"/>
        <v>524</v>
      </c>
      <c r="AY1116" s="117">
        <f t="shared" si="8"/>
        <v>353</v>
      </c>
      <c r="AZ1116" s="120">
        <f t="shared" si="9"/>
        <v>171</v>
      </c>
      <c r="BA1116" s="115">
        <v>1.0</v>
      </c>
      <c r="BB1116" s="89">
        <f t="shared" si="10"/>
        <v>525</v>
      </c>
      <c r="BC1116" s="132" t="s">
        <v>178</v>
      </c>
      <c r="BD1116" s="132" t="s">
        <v>178</v>
      </c>
      <c r="BE1116" s="132" t="s">
        <v>178</v>
      </c>
      <c r="BF1116" s="123"/>
      <c r="BG1116" s="136">
        <v>1107382.0</v>
      </c>
      <c r="BH1116" s="112"/>
      <c r="BI1116" s="112">
        <v>12.0</v>
      </c>
      <c r="BJ1116" s="98" t="s">
        <v>155</v>
      </c>
      <c r="BK1116" s="99">
        <f t="shared" si="11"/>
        <v>46</v>
      </c>
      <c r="BL1116" s="99">
        <f t="shared" si="12"/>
        <v>307</v>
      </c>
      <c r="BM1116" s="99" t="str">
        <f>IFERROR(__xludf.DUMMYFUNCTION("IFERROR(VLOOKUP(BG1116,IMPORTRANGE(""https://docs.google.com/spreadsheets/d/1juPI-Fb8LD0YtltB2mlGEnp_R3UVu1t3wSFPzgCyHXE/edit?gid=0#gid=0"",""GERAL!A2:C""),3,0),""-"")"),"-")</f>
        <v>-</v>
      </c>
    </row>
    <row r="1117" ht="15.75" customHeight="1">
      <c r="A1117" s="111" t="s">
        <v>1335</v>
      </c>
      <c r="B1117" s="83" t="s">
        <v>6036</v>
      </c>
      <c r="C1117" s="83" t="s">
        <v>68</v>
      </c>
      <c r="D1117" s="112">
        <v>1107404.0</v>
      </c>
      <c r="E1117" s="83"/>
      <c r="F1117" s="83">
        <v>2.910744E7</v>
      </c>
      <c r="G1117" s="119" t="s">
        <v>6040</v>
      </c>
      <c r="H1117" s="91" t="s">
        <v>6041</v>
      </c>
      <c r="I1117" s="83" t="s">
        <v>149</v>
      </c>
      <c r="J1117" s="83" t="s">
        <v>150</v>
      </c>
      <c r="K1117" s="83" t="s">
        <v>5791</v>
      </c>
      <c r="L1117" s="83" t="s">
        <v>152</v>
      </c>
      <c r="M1117" s="82" t="str">
        <f>IFERROR(__xludf.DUMMYFUNCTION("IFERROR(VLOOKUP(D1117,
IMPORTRANGE(""https://docs.google.com/spreadsheets/d/1MjHtlUikwobi2MaWJgy7tfLeBmhj1u-dRFRs_8GwSoA/edit#gid=0"",""Gestores Escolares!D7:J""),3,0),""VERIFICAR CÓD SEC"")"),"JANETE AMORIM DE BRITO")</f>
        <v>JANETE AMORIM DE BRITO</v>
      </c>
      <c r="N1117" s="82" t="str">
        <f>IFERROR(__xludf.DUMMYFUNCTION("IFERROR(VLOOKUP(D1117,
IMPORTRANGE(""https://docs.google.com/spreadsheets/d/1MjHtlUikwobi2MaWJgy7tfLeBmhj1u-dRFRs_8GwSoA/edit#gid=0"",""Gestores Escolares!D7:J""),4,0),""VERIFICAR CÓD SEC"")"),"(75) 9 9955-9245")</f>
        <v>(75) 9 9955-9245</v>
      </c>
      <c r="O1117" s="82" t="str">
        <f>IFERROR(__xludf.DUMMYFUNCTION("IFERROR(VLOOKUP(D1117,
IMPORTRANGE(""https://docs.google.com/spreadsheets/d/1MjHtlUikwobi2MaWJgy7tfLeBmhj1u-dRFRs_8GwSoA/edit#gid=0"",""Gestores Escolares!D7:J""),6,0),""VERIFICAR CÓD SEC"")"),"CASSIANO RICARDO DE JESUS ASSIS")</f>
        <v>CASSIANO RICARDO DE JESUS ASSIS</v>
      </c>
      <c r="P1117" s="82" t="str">
        <f>IFERROR(__xludf.DUMMYFUNCTION("IFERROR(VLOOKUP(D1117,
IMPORTRANGE(""https://docs.google.com/spreadsheets/d/1MjHtlUikwobi2MaWJgy7tfLeBmhj1u-dRFRs_8GwSoA/edit#gid=0"",""Gestores Escolares!D7:J""),7,0),""VERIFICAR CÓD SEC"")"),"(75) 9 9142-2337")</f>
        <v>(75) 9 9142-2337</v>
      </c>
      <c r="Q1117" s="82" t="str">
        <f>IFERROR(__xludf.DUMMYFUNCTION("IFERROR(VLOOKUP(D1117,
IMPORTRANGE(""https://docs.google.com/spreadsheets/d/1MjHtlUikwobi2MaWJgy7tfLeBmhj1u-dRFRs_8GwSoA/edit#gid=0"",""Gestores Escolares!D7:m""),9,0),""VERIFICAR CÓD SEC"")"),"ANA CLARICE ESTRELA SANTOS")</f>
        <v>ANA CLARICE ESTRELA SANTOS</v>
      </c>
      <c r="R1117" s="82" t="str">
        <f>IFERROR(__xludf.DUMMYFUNCTION("IFERROR(VLOOKUP(D1117,
IMPORTRANGE(""https://docs.google.com/spreadsheets/d/1MjHtlUikwobi2MaWJgy7tfLeBmhj1u-dRFRs_8GwSoA/edit#gid=0"",""Gestores Escolares!D7:m""),10,0),""VERIFICAR CÓD SEC"")"),"")</f>
        <v/>
      </c>
      <c r="S1117" s="82"/>
      <c r="T1117" s="138">
        <v>20.0</v>
      </c>
      <c r="U1117" s="388" t="s">
        <v>13826</v>
      </c>
      <c r="V1117" s="106">
        <v>0.0</v>
      </c>
      <c r="W1117" s="107">
        <v>0.0</v>
      </c>
      <c r="X1117" s="107">
        <v>0.0</v>
      </c>
      <c r="Y1117" s="107">
        <v>0.0</v>
      </c>
      <c r="Z1117" s="80">
        <f t="shared" si="1"/>
        <v>0</v>
      </c>
      <c r="AA1117" s="106">
        <v>0.0</v>
      </c>
      <c r="AB1117" s="107">
        <v>0.0</v>
      </c>
      <c r="AC1117" s="107">
        <v>0.0</v>
      </c>
      <c r="AD1117" s="107">
        <v>0.0</v>
      </c>
      <c r="AE1117" s="80">
        <f t="shared" si="2"/>
        <v>0</v>
      </c>
      <c r="AF1117" s="140">
        <v>141.0</v>
      </c>
      <c r="AG1117" s="109">
        <v>57.0</v>
      </c>
      <c r="AH1117" s="109">
        <v>0.0</v>
      </c>
      <c r="AI1117" s="141">
        <v>281.0</v>
      </c>
      <c r="AJ1117" s="80">
        <f t="shared" si="3"/>
        <v>479</v>
      </c>
      <c r="AK1117" s="140">
        <v>0.0</v>
      </c>
      <c r="AL1117" s="109">
        <v>0.0</v>
      </c>
      <c r="AM1117" s="141">
        <v>0.0</v>
      </c>
      <c r="AN1117" s="80">
        <f t="shared" si="4"/>
        <v>0</v>
      </c>
      <c r="AO1117" s="140">
        <v>0.0</v>
      </c>
      <c r="AP1117" s="109">
        <v>0.0</v>
      </c>
      <c r="AQ1117" s="109">
        <v>138.0</v>
      </c>
      <c r="AR1117" s="80">
        <f t="shared" si="5"/>
        <v>138</v>
      </c>
      <c r="AS1117" s="110">
        <v>0.0</v>
      </c>
      <c r="AT1117" s="110">
        <v>0.0</v>
      </c>
      <c r="AU1117" s="110">
        <v>0.0</v>
      </c>
      <c r="AV1117" s="142">
        <v>0.0</v>
      </c>
      <c r="AW1117" s="80">
        <f t="shared" si="6"/>
        <v>0</v>
      </c>
      <c r="AX1117" s="113">
        <f t="shared" si="7"/>
        <v>617</v>
      </c>
      <c r="AY1117" s="117">
        <f t="shared" si="8"/>
        <v>479</v>
      </c>
      <c r="AZ1117" s="120">
        <f t="shared" si="9"/>
        <v>138</v>
      </c>
      <c r="BA1117" s="115">
        <v>0.0</v>
      </c>
      <c r="BB1117" s="89">
        <f t="shared" si="10"/>
        <v>617</v>
      </c>
      <c r="BC1117" s="132" t="s">
        <v>178</v>
      </c>
      <c r="BD1117" s="132" t="s">
        <v>178</v>
      </c>
      <c r="BE1117" s="132" t="s">
        <v>178</v>
      </c>
      <c r="BF1117" s="123"/>
      <c r="BG1117" s="83">
        <v>1107404.0</v>
      </c>
      <c r="BH1117" s="112"/>
      <c r="BI1117" s="112">
        <v>12.0</v>
      </c>
      <c r="BJ1117" s="98" t="s">
        <v>155</v>
      </c>
      <c r="BK1117" s="99">
        <f t="shared" si="11"/>
        <v>281</v>
      </c>
      <c r="BL1117" s="99">
        <f t="shared" si="12"/>
        <v>198</v>
      </c>
      <c r="BM1117" s="99" t="str">
        <f>IFERROR(__xludf.DUMMYFUNCTION("IFERROR(VLOOKUP(BG1117,IMPORTRANGE(""https://docs.google.com/spreadsheets/d/1juPI-Fb8LD0YtltB2mlGEnp_R3UVu1t3wSFPzgCyHXE/edit?gid=0#gid=0"",""GERAL!A2:C""),3,0),""-"")"),"-")</f>
        <v>-</v>
      </c>
    </row>
    <row r="1118" ht="15.75" customHeight="1">
      <c r="A1118" s="111" t="s">
        <v>1335</v>
      </c>
      <c r="B1118" s="83" t="s">
        <v>6043</v>
      </c>
      <c r="C1118" s="83" t="s">
        <v>68</v>
      </c>
      <c r="D1118" s="112">
        <v>1107420.0</v>
      </c>
      <c r="E1118" s="83"/>
      <c r="F1118" s="83">
        <v>2.9108047E7</v>
      </c>
      <c r="G1118" s="119" t="s">
        <v>6044</v>
      </c>
      <c r="H1118" s="91" t="s">
        <v>6045</v>
      </c>
      <c r="I1118" s="83" t="s">
        <v>149</v>
      </c>
      <c r="J1118" s="83" t="s">
        <v>150</v>
      </c>
      <c r="K1118" s="83" t="s">
        <v>151</v>
      </c>
      <c r="L1118" s="83" t="s">
        <v>152</v>
      </c>
      <c r="M1118" s="82" t="str">
        <f>IFERROR(__xludf.DUMMYFUNCTION("IFERROR(VLOOKUP(D1118,
IMPORTRANGE(""https://docs.google.com/spreadsheets/d/1MjHtlUikwobi2MaWJgy7tfLeBmhj1u-dRFRs_8GwSoA/edit#gid=0"",""Gestores Escolares!D7:J""),3,0),""VERIFICAR CÓD SEC"")"),"LISIAN CAROLINE LIMA ALVES CARDOSO")</f>
        <v>LISIAN CAROLINE LIMA ALVES CARDOSO</v>
      </c>
      <c r="N1118" s="82" t="str">
        <f>IFERROR(__xludf.DUMMYFUNCTION("IFERROR(VLOOKUP(D1118,
IMPORTRANGE(""https://docs.google.com/spreadsheets/d/1MjHtlUikwobi2MaWJgy7tfLeBmhj1u-dRFRs_8GwSoA/edit#gid=0"",""Gestores Escolares!D7:J""),4,0),""VERIFICAR CÓD SEC"")"),"(75) 9 8328-8951")</f>
        <v>(75) 9 8328-8951</v>
      </c>
      <c r="O1118" s="82" t="str">
        <f>IFERROR(__xludf.DUMMYFUNCTION("IFERROR(VLOOKUP(D1118,
IMPORTRANGE(""https://docs.google.com/spreadsheets/d/1MjHtlUikwobi2MaWJgy7tfLeBmhj1u-dRFRs_8GwSoA/edit#gid=0"",""Gestores Escolares!D7:J""),6,0),""VERIFICAR CÓD SEC"")"),"ADNA ELBA COSTA SILVA MENEZES")</f>
        <v>ADNA ELBA COSTA SILVA MENEZES</v>
      </c>
      <c r="P1118" s="82" t="str">
        <f>IFERROR(__xludf.DUMMYFUNCTION("IFERROR(VLOOKUP(D1118,
IMPORTRANGE(""https://docs.google.com/spreadsheets/d/1MjHtlUikwobi2MaWJgy7tfLeBmhj1u-dRFRs_8GwSoA/edit#gid=0"",""Gestores Escolares!D7:J""),7,0),""VERIFICAR CÓD SEC"")"),"(75) 9 8186-8050")</f>
        <v>(75) 9 8186-8050</v>
      </c>
      <c r="Q1118" s="82" t="str">
        <f>IFERROR(__xludf.DUMMYFUNCTION("IFERROR(VLOOKUP(D1118,
IMPORTRANGE(""https://docs.google.com/spreadsheets/d/1MjHtlUikwobi2MaWJgy7tfLeBmhj1u-dRFRs_8GwSoA/edit#gid=0"",""Gestores Escolares!D7:m""),9,0),""VERIFICAR CÓD SEC"")"),"")</f>
        <v/>
      </c>
      <c r="R1118" s="82" t="str">
        <f>IFERROR(__xludf.DUMMYFUNCTION("IFERROR(VLOOKUP(D1118,
IMPORTRANGE(""https://docs.google.com/spreadsheets/d/1MjHtlUikwobi2MaWJgy7tfLeBmhj1u-dRFRs_8GwSoA/edit#gid=0"",""Gestores Escolares!D7:m""),10,0),""VERIFICAR CÓD SEC"")"),"")</f>
        <v/>
      </c>
      <c r="S1118" s="82"/>
      <c r="T1118" s="138">
        <v>7.0</v>
      </c>
      <c r="U1118" s="403" t="s">
        <v>13827</v>
      </c>
      <c r="V1118" s="106">
        <v>0.0</v>
      </c>
      <c r="W1118" s="107">
        <v>0.0</v>
      </c>
      <c r="X1118" s="107">
        <v>0.0</v>
      </c>
      <c r="Y1118" s="107">
        <v>0.0</v>
      </c>
      <c r="Z1118" s="80">
        <f t="shared" si="1"/>
        <v>0</v>
      </c>
      <c r="AA1118" s="106">
        <v>0.0</v>
      </c>
      <c r="AB1118" s="107">
        <v>0.0</v>
      </c>
      <c r="AC1118" s="107">
        <v>0.0</v>
      </c>
      <c r="AD1118" s="107">
        <v>0.0</v>
      </c>
      <c r="AE1118" s="80">
        <f t="shared" si="2"/>
        <v>0</v>
      </c>
      <c r="AF1118" s="140">
        <v>92.0</v>
      </c>
      <c r="AG1118" s="109">
        <v>43.0</v>
      </c>
      <c r="AH1118" s="109">
        <v>0.0</v>
      </c>
      <c r="AI1118" s="141">
        <v>92.0</v>
      </c>
      <c r="AJ1118" s="80">
        <f t="shared" si="3"/>
        <v>227</v>
      </c>
      <c r="AK1118" s="140">
        <v>0.0</v>
      </c>
      <c r="AL1118" s="109">
        <v>0.0</v>
      </c>
      <c r="AM1118" s="141">
        <v>0.0</v>
      </c>
      <c r="AN1118" s="80">
        <f t="shared" si="4"/>
        <v>0</v>
      </c>
      <c r="AO1118" s="140">
        <v>0.0</v>
      </c>
      <c r="AP1118" s="109">
        <v>0.0</v>
      </c>
      <c r="AQ1118" s="109">
        <v>52.0</v>
      </c>
      <c r="AR1118" s="80">
        <f t="shared" si="5"/>
        <v>52</v>
      </c>
      <c r="AS1118" s="110">
        <v>62.0</v>
      </c>
      <c r="AT1118" s="110">
        <v>26.0</v>
      </c>
      <c r="AU1118" s="110">
        <v>33.0</v>
      </c>
      <c r="AV1118" s="142">
        <v>0.0</v>
      </c>
      <c r="AW1118" s="80">
        <f t="shared" si="6"/>
        <v>121</v>
      </c>
      <c r="AX1118" s="113">
        <f t="shared" si="7"/>
        <v>400</v>
      </c>
      <c r="AY1118" s="117">
        <f t="shared" si="8"/>
        <v>315</v>
      </c>
      <c r="AZ1118" s="120">
        <f t="shared" si="9"/>
        <v>85</v>
      </c>
      <c r="BA1118" s="115">
        <v>0.0</v>
      </c>
      <c r="BB1118" s="89">
        <f t="shared" si="10"/>
        <v>400</v>
      </c>
      <c r="BC1118" s="132" t="s">
        <v>178</v>
      </c>
      <c r="BD1118" s="132" t="s">
        <v>178</v>
      </c>
      <c r="BE1118" s="132" t="s">
        <v>178</v>
      </c>
      <c r="BF1118" s="123"/>
      <c r="BG1118" s="83">
        <v>1107420.0</v>
      </c>
      <c r="BH1118" s="112"/>
      <c r="BI1118" s="112">
        <v>6.0</v>
      </c>
      <c r="BJ1118" s="98" t="s">
        <v>155</v>
      </c>
      <c r="BK1118" s="99">
        <f t="shared" si="11"/>
        <v>92</v>
      </c>
      <c r="BL1118" s="99">
        <f t="shared" si="12"/>
        <v>223</v>
      </c>
      <c r="BM1118" s="99" t="str">
        <f>IFERROR(__xludf.DUMMYFUNCTION("IFERROR(VLOOKUP(BG1118,IMPORTRANGE(""https://docs.google.com/spreadsheets/d/1juPI-Fb8LD0YtltB2mlGEnp_R3UVu1t3wSFPzgCyHXE/edit?gid=0#gid=0"",""GERAL!A2:C""),3,0),""-"")"),"CAMPO")</f>
        <v>CAMPO</v>
      </c>
    </row>
    <row r="1119" ht="15.75" customHeight="1">
      <c r="A1119" s="111" t="s">
        <v>1335</v>
      </c>
      <c r="B1119" s="83" t="s">
        <v>6047</v>
      </c>
      <c r="C1119" s="83" t="s">
        <v>68</v>
      </c>
      <c r="D1119" s="112">
        <v>1107455.0</v>
      </c>
      <c r="E1119" s="83"/>
      <c r="F1119" s="83">
        <v>2.91089E7</v>
      </c>
      <c r="G1119" s="119" t="s">
        <v>6048</v>
      </c>
      <c r="H1119" s="91" t="s">
        <v>6049</v>
      </c>
      <c r="I1119" s="83" t="s">
        <v>149</v>
      </c>
      <c r="J1119" s="83" t="s">
        <v>150</v>
      </c>
      <c r="K1119" s="83" t="s">
        <v>151</v>
      </c>
      <c r="L1119" s="83" t="s">
        <v>230</v>
      </c>
      <c r="M1119" s="82" t="str">
        <f>IFERROR(__xludf.DUMMYFUNCTION("IFERROR(VLOOKUP(D1119,
IMPORTRANGE(""https://docs.google.com/spreadsheets/d/1MjHtlUikwobi2MaWJgy7tfLeBmhj1u-dRFRs_8GwSoA/edit#gid=0"",""Gestores Escolares!D7:J""),3,0),""VERIFICAR CÓD SEC"")"),"FLAVIA DA ROCHA SILVA URBANO")</f>
        <v>FLAVIA DA ROCHA SILVA URBANO</v>
      </c>
      <c r="N1119" s="82" t="str">
        <f>IFERROR(__xludf.DUMMYFUNCTION("IFERROR(VLOOKUP(D1119,
IMPORTRANGE(""https://docs.google.com/spreadsheets/d/1MjHtlUikwobi2MaWJgy7tfLeBmhj1u-dRFRs_8GwSoA/edit#gid=0"",""Gestores Escolares!D7:J""),4,0),""VERIFICAR CÓD SEC"")"),"(75) 9 9177-6040")</f>
        <v>(75) 9 9177-6040</v>
      </c>
      <c r="O1119" s="82" t="str">
        <f>IFERROR(__xludf.DUMMYFUNCTION("IFERROR(VLOOKUP(D1119,
IMPORTRANGE(""https://docs.google.com/spreadsheets/d/1MjHtlUikwobi2MaWJgy7tfLeBmhj1u-dRFRs_8GwSoA/edit#gid=0"",""Gestores Escolares!D7:J""),6,0),""VERIFICAR CÓD SEC"")"),"LUCIANA DE CERQUEIRA PIMENTEL COSTA")</f>
        <v>LUCIANA DE CERQUEIRA PIMENTEL COSTA</v>
      </c>
      <c r="P1119" s="82" t="str">
        <f>IFERROR(__xludf.DUMMYFUNCTION("IFERROR(VLOOKUP(D1119,
IMPORTRANGE(""https://docs.google.com/spreadsheets/d/1MjHtlUikwobi2MaWJgy7tfLeBmhj1u-dRFRs_8GwSoA/edit#gid=0"",""Gestores Escolares!D7:J""),7,0),""VERIFICAR CÓD SEC"")"),"(75) 9 9820-6119")</f>
        <v>(75) 9 9820-6119</v>
      </c>
      <c r="Q1119" s="82" t="str">
        <f>IFERROR(__xludf.DUMMYFUNCTION("IFERROR(VLOOKUP(D1119,
IMPORTRANGE(""https://docs.google.com/spreadsheets/d/1MjHtlUikwobi2MaWJgy7tfLeBmhj1u-dRFRs_8GwSoA/edit#gid=0"",""Gestores Escolares!D7:m""),9,0),""VERIFICAR CÓD SEC"")"),"")</f>
        <v/>
      </c>
      <c r="R1119" s="82" t="str">
        <f>IFERROR(__xludf.DUMMYFUNCTION("IFERROR(VLOOKUP(D1119,
IMPORTRANGE(""https://docs.google.com/spreadsheets/d/1MjHtlUikwobi2MaWJgy7tfLeBmhj1u-dRFRs_8GwSoA/edit#gid=0"",""Gestores Escolares!D7:m""),10,0),""VERIFICAR CÓD SEC"")"),"")</f>
        <v/>
      </c>
      <c r="S1119" s="82"/>
      <c r="T1119" s="138">
        <v>14.0</v>
      </c>
      <c r="U1119" s="145" t="s">
        <v>13828</v>
      </c>
      <c r="V1119" s="106">
        <v>0.0</v>
      </c>
      <c r="W1119" s="107">
        <v>0.0</v>
      </c>
      <c r="X1119" s="107">
        <v>0.0</v>
      </c>
      <c r="Y1119" s="107">
        <v>0.0</v>
      </c>
      <c r="Z1119" s="80">
        <f t="shared" si="1"/>
        <v>0</v>
      </c>
      <c r="AA1119" s="106">
        <v>0.0</v>
      </c>
      <c r="AB1119" s="107">
        <v>0.0</v>
      </c>
      <c r="AC1119" s="107">
        <v>0.0</v>
      </c>
      <c r="AD1119" s="107">
        <v>0.0</v>
      </c>
      <c r="AE1119" s="80">
        <f t="shared" si="2"/>
        <v>0</v>
      </c>
      <c r="AF1119" s="140">
        <v>0.0</v>
      </c>
      <c r="AG1119" s="109">
        <v>0.0</v>
      </c>
      <c r="AH1119" s="109">
        <v>0.0</v>
      </c>
      <c r="AI1119" s="141">
        <v>191.0</v>
      </c>
      <c r="AJ1119" s="80">
        <f t="shared" si="3"/>
        <v>191</v>
      </c>
      <c r="AK1119" s="140">
        <v>0.0</v>
      </c>
      <c r="AL1119" s="109">
        <v>0.0</v>
      </c>
      <c r="AM1119" s="141">
        <v>0.0</v>
      </c>
      <c r="AN1119" s="80">
        <f t="shared" si="4"/>
        <v>0</v>
      </c>
      <c r="AO1119" s="140">
        <v>0.0</v>
      </c>
      <c r="AP1119" s="109">
        <v>0.0</v>
      </c>
      <c r="AQ1119" s="109">
        <v>135.0</v>
      </c>
      <c r="AR1119" s="80">
        <f t="shared" si="5"/>
        <v>135</v>
      </c>
      <c r="AS1119" s="110">
        <v>50.0</v>
      </c>
      <c r="AT1119" s="110">
        <v>0.0</v>
      </c>
      <c r="AU1119" s="110">
        <v>113.0</v>
      </c>
      <c r="AV1119" s="142">
        <v>187.0</v>
      </c>
      <c r="AW1119" s="80">
        <f t="shared" si="6"/>
        <v>350</v>
      </c>
      <c r="AX1119" s="113">
        <f t="shared" si="7"/>
        <v>676</v>
      </c>
      <c r="AY1119" s="117">
        <f t="shared" si="8"/>
        <v>428</v>
      </c>
      <c r="AZ1119" s="120">
        <f t="shared" si="9"/>
        <v>248</v>
      </c>
      <c r="BA1119" s="115">
        <v>0.0</v>
      </c>
      <c r="BB1119" s="89">
        <f t="shared" si="10"/>
        <v>676</v>
      </c>
      <c r="BC1119" s="132" t="s">
        <v>178</v>
      </c>
      <c r="BD1119" s="132" t="s">
        <v>178</v>
      </c>
      <c r="BE1119" s="132" t="s">
        <v>178</v>
      </c>
      <c r="BF1119" s="123"/>
      <c r="BG1119" s="83">
        <v>1107455.0</v>
      </c>
      <c r="BH1119" s="112"/>
      <c r="BI1119" s="112">
        <v>13.0</v>
      </c>
      <c r="BJ1119" s="98" t="s">
        <v>284</v>
      </c>
      <c r="BK1119" s="99">
        <f t="shared" si="11"/>
        <v>378</v>
      </c>
      <c r="BL1119" s="99">
        <f t="shared" si="12"/>
        <v>50</v>
      </c>
      <c r="BM1119" s="99" t="str">
        <f>IFERROR(__xludf.DUMMYFUNCTION("IFERROR(VLOOKUP(BG1119,IMPORTRANGE(""https://docs.google.com/spreadsheets/d/1juPI-Fb8LD0YtltB2mlGEnp_R3UVu1t3wSFPzgCyHXE/edit?gid=0#gid=0"",""GERAL!A2:C""),3,0),""-"")"),"-")</f>
        <v>-</v>
      </c>
    </row>
    <row r="1120" ht="15.75" customHeight="1">
      <c r="A1120" s="111" t="s">
        <v>1335</v>
      </c>
      <c r="B1120" s="83" t="s">
        <v>6047</v>
      </c>
      <c r="C1120" s="83" t="s">
        <v>68</v>
      </c>
      <c r="D1120" s="112">
        <v>1107501.0</v>
      </c>
      <c r="E1120" s="83"/>
      <c r="F1120" s="83">
        <v>2.9109361E7</v>
      </c>
      <c r="G1120" s="119" t="s">
        <v>6052</v>
      </c>
      <c r="H1120" s="108" t="s">
        <v>6053</v>
      </c>
      <c r="I1120" s="83" t="s">
        <v>149</v>
      </c>
      <c r="J1120" s="83" t="s">
        <v>150</v>
      </c>
      <c r="K1120" s="83" t="s">
        <v>151</v>
      </c>
      <c r="L1120" s="83" t="s">
        <v>230</v>
      </c>
      <c r="M1120" s="82" t="str">
        <f>IFERROR(__xludf.DUMMYFUNCTION("IFERROR(VLOOKUP(D1120,
IMPORTRANGE(""https://docs.google.com/spreadsheets/d/1MjHtlUikwobi2MaWJgy7tfLeBmhj1u-dRFRs_8GwSoA/edit#gid=0"",""Gestores Escolares!D7:J""),3,0),""VERIFICAR CÓD SEC"")"),"ANTONIA AILDA CONCEICAO MAGALHAES")</f>
        <v>ANTONIA AILDA CONCEICAO MAGALHAES</v>
      </c>
      <c r="N1120" s="82" t="str">
        <f>IFERROR(__xludf.DUMMYFUNCTION("IFERROR(VLOOKUP(D1120,
IMPORTRANGE(""https://docs.google.com/spreadsheets/d/1MjHtlUikwobi2MaWJgy7tfLeBmhj1u-dRFRs_8GwSoA/edit#gid=0"",""Gestores Escolares!D7:J""),4,0),""VERIFICAR CÓD SEC"")"),"(75) 9 8103-5719")</f>
        <v>(75) 9 8103-5719</v>
      </c>
      <c r="O1120" s="82" t="str">
        <f>IFERROR(__xludf.DUMMYFUNCTION("IFERROR(VLOOKUP(D1120,
IMPORTRANGE(""https://docs.google.com/spreadsheets/d/1MjHtlUikwobi2MaWJgy7tfLeBmhj1u-dRFRs_8GwSoA/edit#gid=0"",""Gestores Escolares!D7:J""),6,0),""VERIFICAR CÓD SEC"")"),"ADRIANA DE ALMEIDA SILVA")</f>
        <v>ADRIANA DE ALMEIDA SILVA</v>
      </c>
      <c r="P1120" s="82" t="str">
        <f>IFERROR(__xludf.DUMMYFUNCTION("IFERROR(VLOOKUP(D1120,
IMPORTRANGE(""https://docs.google.com/spreadsheets/d/1MjHtlUikwobi2MaWJgy7tfLeBmhj1u-dRFRs_8GwSoA/edit#gid=0"",""Gestores Escolares!D7:J""),7,0),""VERIFICAR CÓD SEC"")"),"(75) 9 9111-4967")</f>
        <v>(75) 9 9111-4967</v>
      </c>
      <c r="Q1120" s="82" t="str">
        <f>IFERROR(__xludf.DUMMYFUNCTION("IFERROR(VLOOKUP(D1120,
IMPORTRANGE(""https://docs.google.com/spreadsheets/d/1MjHtlUikwobi2MaWJgy7tfLeBmhj1u-dRFRs_8GwSoA/edit#gid=0"",""Gestores Escolares!D7:m""),9,0),""VERIFICAR CÓD SEC"")"),"ARIANE MOURA TEIXEIRA")</f>
        <v>ARIANE MOURA TEIXEIRA</v>
      </c>
      <c r="R1120" s="82" t="str">
        <f>IFERROR(__xludf.DUMMYFUNCTION("IFERROR(VLOOKUP(D1120,
IMPORTRANGE(""https://docs.google.com/spreadsheets/d/1MjHtlUikwobi2MaWJgy7tfLeBmhj1u-dRFRs_8GwSoA/edit#gid=0"",""Gestores Escolares!D7:m""),10,0),""VERIFICAR CÓD SEC"")"),"(75) 9 8343-2770")</f>
        <v>(75) 9 8343-2770</v>
      </c>
      <c r="S1120" s="82"/>
      <c r="T1120" s="138">
        <v>25.0</v>
      </c>
      <c r="U1120" s="388" t="s">
        <v>13829</v>
      </c>
      <c r="V1120" s="106">
        <v>0.0</v>
      </c>
      <c r="W1120" s="107">
        <v>0.0</v>
      </c>
      <c r="X1120" s="107">
        <v>0.0</v>
      </c>
      <c r="Y1120" s="107">
        <v>0.0</v>
      </c>
      <c r="Z1120" s="80">
        <f t="shared" si="1"/>
        <v>0</v>
      </c>
      <c r="AA1120" s="106">
        <v>0.0</v>
      </c>
      <c r="AB1120" s="107">
        <v>0.0</v>
      </c>
      <c r="AC1120" s="107">
        <v>0.0</v>
      </c>
      <c r="AD1120" s="107">
        <v>0.0</v>
      </c>
      <c r="AE1120" s="80">
        <f t="shared" si="2"/>
        <v>0</v>
      </c>
      <c r="AF1120" s="140">
        <v>448.0</v>
      </c>
      <c r="AG1120" s="109">
        <v>315.0</v>
      </c>
      <c r="AH1120" s="109">
        <v>0.0</v>
      </c>
      <c r="AI1120" s="141">
        <v>374.0</v>
      </c>
      <c r="AJ1120" s="80">
        <f t="shared" si="3"/>
        <v>1137</v>
      </c>
      <c r="AK1120" s="140">
        <v>0.0</v>
      </c>
      <c r="AL1120" s="109">
        <v>0.0</v>
      </c>
      <c r="AM1120" s="141">
        <v>0.0</v>
      </c>
      <c r="AN1120" s="80">
        <f t="shared" si="4"/>
        <v>0</v>
      </c>
      <c r="AO1120" s="140">
        <v>0.0</v>
      </c>
      <c r="AP1120" s="109">
        <v>0.0</v>
      </c>
      <c r="AQ1120" s="109">
        <v>271.0</v>
      </c>
      <c r="AR1120" s="80">
        <f t="shared" si="5"/>
        <v>271</v>
      </c>
      <c r="AS1120" s="110">
        <v>79.0</v>
      </c>
      <c r="AT1120" s="110">
        <v>67.0</v>
      </c>
      <c r="AU1120" s="110">
        <v>31.0</v>
      </c>
      <c r="AV1120" s="142">
        <v>0.0</v>
      </c>
      <c r="AW1120" s="80">
        <f t="shared" si="6"/>
        <v>177</v>
      </c>
      <c r="AX1120" s="113">
        <f t="shared" si="7"/>
        <v>1585</v>
      </c>
      <c r="AY1120" s="117">
        <f t="shared" si="8"/>
        <v>1283</v>
      </c>
      <c r="AZ1120" s="120">
        <f t="shared" si="9"/>
        <v>302</v>
      </c>
      <c r="BA1120" s="115">
        <v>0.0</v>
      </c>
      <c r="BB1120" s="89">
        <f t="shared" si="10"/>
        <v>1585</v>
      </c>
      <c r="BC1120" s="132" t="s">
        <v>178</v>
      </c>
      <c r="BD1120" s="132" t="s">
        <v>178</v>
      </c>
      <c r="BE1120" s="132" t="s">
        <v>178</v>
      </c>
      <c r="BF1120" s="123"/>
      <c r="BG1120" s="83">
        <v>1107501.0</v>
      </c>
      <c r="BH1120" s="112"/>
      <c r="BI1120" s="112">
        <v>26.0</v>
      </c>
      <c r="BJ1120" s="98" t="s">
        <v>284</v>
      </c>
      <c r="BK1120" s="99">
        <f t="shared" si="11"/>
        <v>374</v>
      </c>
      <c r="BL1120" s="99">
        <f t="shared" si="12"/>
        <v>909</v>
      </c>
      <c r="BM1120" s="99" t="str">
        <f>IFERROR(__xludf.DUMMYFUNCTION("IFERROR(VLOOKUP(BG1120,IMPORTRANGE(""https://docs.google.com/spreadsheets/d/1juPI-Fb8LD0YtltB2mlGEnp_R3UVu1t3wSFPzgCyHXE/edit?gid=0#gid=0"",""GERAL!A2:C""),3,0),""-"")"),"-")</f>
        <v>-</v>
      </c>
    </row>
    <row r="1121" ht="15.75" customHeight="1">
      <c r="A1121" s="111" t="s">
        <v>1335</v>
      </c>
      <c r="B1121" s="83" t="s">
        <v>6059</v>
      </c>
      <c r="C1121" s="83" t="s">
        <v>68</v>
      </c>
      <c r="D1121" s="112">
        <v>1107536.0</v>
      </c>
      <c r="E1121" s="83"/>
      <c r="F1121" s="83">
        <v>2.9110076E7</v>
      </c>
      <c r="G1121" s="147" t="s">
        <v>6062</v>
      </c>
      <c r="H1121" s="91" t="s">
        <v>6063</v>
      </c>
      <c r="I1121" s="83" t="s">
        <v>149</v>
      </c>
      <c r="J1121" s="83" t="s">
        <v>150</v>
      </c>
      <c r="K1121" s="83" t="s">
        <v>151</v>
      </c>
      <c r="L1121" s="83" t="s">
        <v>1326</v>
      </c>
      <c r="M1121" s="82" t="str">
        <f>IFERROR(__xludf.DUMMYFUNCTION("IFERROR(VLOOKUP(D1121,
IMPORTRANGE(""https://docs.google.com/spreadsheets/d/1MjHtlUikwobi2MaWJgy7tfLeBmhj1u-dRFRs_8GwSoA/edit#gid=0"",""Gestores Escolares!D7:J""),3,0),""VERIFICAR CÓD SEC"")"),"REINILDA CRISPINA LIMA CERQUEIRA E SILVA")</f>
        <v>REINILDA CRISPINA LIMA CERQUEIRA E SILVA</v>
      </c>
      <c r="N1121" s="82" t="str">
        <f>IFERROR(__xludf.DUMMYFUNCTION("IFERROR(VLOOKUP(D1121,
IMPORTRANGE(""https://docs.google.com/spreadsheets/d/1MjHtlUikwobi2MaWJgy7tfLeBmhj1u-dRFRs_8GwSoA/edit#gid=0"",""Gestores Escolares!D7:J""),4,0),""VERIFICAR CÓD SEC"")")," (75) 9 8123-6385")</f>
        <v> (75) 9 8123-6385</v>
      </c>
      <c r="O1121" s="82" t="str">
        <f>IFERROR(__xludf.DUMMYFUNCTION("IFERROR(VLOOKUP(D1121,
IMPORTRANGE(""https://docs.google.com/spreadsheets/d/1MjHtlUikwobi2MaWJgy7tfLeBmhj1u-dRFRs_8GwSoA/edit#gid=0"",""Gestores Escolares!D7:J""),6,0),""VERIFICAR CÓD SEC"")"),"")</f>
        <v/>
      </c>
      <c r="P1121" s="82" t="str">
        <f>IFERROR(__xludf.DUMMYFUNCTION("IFERROR(VLOOKUP(D1121,
IMPORTRANGE(""https://docs.google.com/spreadsheets/d/1MjHtlUikwobi2MaWJgy7tfLeBmhj1u-dRFRs_8GwSoA/edit#gid=0"",""Gestores Escolares!D7:J""),7,0),""VERIFICAR CÓD SEC"")"),"")</f>
        <v/>
      </c>
      <c r="Q1121" s="82" t="str">
        <f>IFERROR(__xludf.DUMMYFUNCTION("IFERROR(VLOOKUP(D1121,
IMPORTRANGE(""https://docs.google.com/spreadsheets/d/1MjHtlUikwobi2MaWJgy7tfLeBmhj1u-dRFRs_8GwSoA/edit#gid=0"",""Gestores Escolares!D7:m""),9,0),""VERIFICAR CÓD SEC"")"),"CLEIDIANE BORGES DALTRO MOREIRA")</f>
        <v>CLEIDIANE BORGES DALTRO MOREIRA</v>
      </c>
      <c r="R1121" s="82" t="str">
        <f>IFERROR(__xludf.DUMMYFUNCTION("IFERROR(VLOOKUP(D1121,
IMPORTRANGE(""https://docs.google.com/spreadsheets/d/1MjHtlUikwobi2MaWJgy7tfLeBmhj1u-dRFRs_8GwSoA/edit#gid=0"",""Gestores Escolares!D7:m""),10,0),""VERIFICAR CÓD SEC"")"),"(75) 9 8180-5168")</f>
        <v>(75) 9 8180-5168</v>
      </c>
      <c r="S1121" s="82"/>
      <c r="T1121" s="138">
        <v>15.0</v>
      </c>
      <c r="U1121" s="152">
        <v>15.0</v>
      </c>
      <c r="V1121" s="106">
        <v>0.0</v>
      </c>
      <c r="W1121" s="107">
        <v>0.0</v>
      </c>
      <c r="X1121" s="107">
        <v>0.0</v>
      </c>
      <c r="Y1121" s="107">
        <v>0.0</v>
      </c>
      <c r="Z1121" s="80">
        <f t="shared" si="1"/>
        <v>0</v>
      </c>
      <c r="AA1121" s="106">
        <v>0.0</v>
      </c>
      <c r="AB1121" s="107">
        <v>0.0</v>
      </c>
      <c r="AC1121" s="107">
        <v>0.0</v>
      </c>
      <c r="AD1121" s="107">
        <v>0.0</v>
      </c>
      <c r="AE1121" s="80">
        <f t="shared" si="2"/>
        <v>0</v>
      </c>
      <c r="AF1121" s="140">
        <v>161.0</v>
      </c>
      <c r="AG1121" s="109">
        <v>139.0</v>
      </c>
      <c r="AH1121" s="109">
        <v>0.0</v>
      </c>
      <c r="AI1121" s="141">
        <v>337.0</v>
      </c>
      <c r="AJ1121" s="80">
        <f t="shared" si="3"/>
        <v>637</v>
      </c>
      <c r="AK1121" s="140">
        <v>0.0</v>
      </c>
      <c r="AL1121" s="109">
        <v>0.0</v>
      </c>
      <c r="AM1121" s="141">
        <v>0.0</v>
      </c>
      <c r="AN1121" s="80">
        <f t="shared" si="4"/>
        <v>0</v>
      </c>
      <c r="AO1121" s="140">
        <v>81.0</v>
      </c>
      <c r="AP1121" s="109">
        <v>38.0</v>
      </c>
      <c r="AQ1121" s="109">
        <v>126.0</v>
      </c>
      <c r="AR1121" s="80">
        <f t="shared" si="5"/>
        <v>245</v>
      </c>
      <c r="AS1121" s="110">
        <v>0.0</v>
      </c>
      <c r="AT1121" s="110">
        <v>0.0</v>
      </c>
      <c r="AU1121" s="110">
        <v>19.0</v>
      </c>
      <c r="AV1121" s="142">
        <v>77.0</v>
      </c>
      <c r="AW1121" s="80">
        <f t="shared" si="6"/>
        <v>96</v>
      </c>
      <c r="AX1121" s="113">
        <f t="shared" si="7"/>
        <v>978</v>
      </c>
      <c r="AY1121" s="117">
        <f t="shared" si="8"/>
        <v>833</v>
      </c>
      <c r="AZ1121" s="120">
        <f t="shared" si="9"/>
        <v>145</v>
      </c>
      <c r="BA1121" s="115">
        <v>0.0</v>
      </c>
      <c r="BB1121" s="89">
        <f t="shared" si="10"/>
        <v>978</v>
      </c>
      <c r="BC1121" s="132" t="s">
        <v>178</v>
      </c>
      <c r="BD1121" s="132" t="s">
        <v>178</v>
      </c>
      <c r="BE1121" s="132" t="s">
        <v>178</v>
      </c>
      <c r="BF1121" s="123"/>
      <c r="BG1121" s="83">
        <v>1107536.0</v>
      </c>
      <c r="BH1121" s="112"/>
      <c r="BI1121" s="112">
        <v>15.0</v>
      </c>
      <c r="BJ1121" s="98" t="s">
        <v>6065</v>
      </c>
      <c r="BK1121" s="99">
        <f t="shared" si="11"/>
        <v>414</v>
      </c>
      <c r="BL1121" s="99">
        <f t="shared" si="12"/>
        <v>419</v>
      </c>
      <c r="BM1121" s="99" t="str">
        <f>IFERROR(__xludf.DUMMYFUNCTION("IFERROR(VLOOKUP(BG1121,IMPORTRANGE(""https://docs.google.com/spreadsheets/d/1juPI-Fb8LD0YtltB2mlGEnp_R3UVu1t3wSFPzgCyHXE/edit?gid=0#gid=0"",""GERAL!A2:C""),3,0),""-"")"),"-")</f>
        <v>-</v>
      </c>
    </row>
    <row r="1122" ht="15.75" customHeight="1">
      <c r="A1122" s="111" t="s">
        <v>1335</v>
      </c>
      <c r="B1122" s="83" t="s">
        <v>6068</v>
      </c>
      <c r="C1122" s="83" t="s">
        <v>68</v>
      </c>
      <c r="D1122" s="112">
        <v>1107706.0</v>
      </c>
      <c r="E1122" s="83"/>
      <c r="F1122" s="83">
        <v>2.911173E7</v>
      </c>
      <c r="G1122" s="153" t="s">
        <v>6069</v>
      </c>
      <c r="H1122" s="422" t="s">
        <v>6071</v>
      </c>
      <c r="I1122" s="83" t="s">
        <v>149</v>
      </c>
      <c r="J1122" s="136" t="s">
        <v>150</v>
      </c>
      <c r="K1122" s="83" t="s">
        <v>151</v>
      </c>
      <c r="L1122" s="83" t="s">
        <v>76</v>
      </c>
      <c r="M1122" s="82" t="str">
        <f>IFERROR(__xludf.DUMMYFUNCTION("IFERROR(VLOOKUP(D1122,
IMPORTRANGE(""https://docs.google.com/spreadsheets/d/1MjHtlUikwobi2MaWJgy7tfLeBmhj1u-dRFRs_8GwSoA/edit#gid=0"",""Gestores Escolares!D7:J""),3,0),""VERIFICAR CÓD SEC"")"),"MARIA REGIVALDA SOUZA DOS SANTOS")</f>
        <v>MARIA REGIVALDA SOUZA DOS SANTOS</v>
      </c>
      <c r="N1122" s="82" t="str">
        <f>IFERROR(__xludf.DUMMYFUNCTION("IFERROR(VLOOKUP(D1122,
IMPORTRANGE(""https://docs.google.com/spreadsheets/d/1MjHtlUikwobi2MaWJgy7tfLeBmhj1u-dRFRs_8GwSoA/edit#gid=0"",""Gestores Escolares!D7:J""),4,0),""VERIFICAR CÓD SEC"")"),"(75) 9 8143-7674")</f>
        <v>(75) 9 8143-7674</v>
      </c>
      <c r="O1122" s="82" t="str">
        <f>IFERROR(__xludf.DUMMYFUNCTION("IFERROR(VLOOKUP(D1122,
IMPORTRANGE(""https://docs.google.com/spreadsheets/d/1MjHtlUikwobi2MaWJgy7tfLeBmhj1u-dRFRs_8GwSoA/edit#gid=0"",""Gestores Escolares!D7:J""),6,0),""VERIFICAR CÓD SEC"")")," FRED LIMA DA SILVA")</f>
        <v> FRED LIMA DA SILVA</v>
      </c>
      <c r="P1122" s="82" t="str">
        <f>IFERROR(__xludf.DUMMYFUNCTION("IFERROR(VLOOKUP(D1122,
IMPORTRANGE(""https://docs.google.com/spreadsheets/d/1MjHtlUikwobi2MaWJgy7tfLeBmhj1u-dRFRs_8GwSoA/edit#gid=0"",""Gestores Escolares!D7:J""),7,0),""VERIFICAR CÓD SEC"")"),"(75) 9 8171-5818")</f>
        <v>(75) 9 8171-5818</v>
      </c>
      <c r="Q1122" s="82" t="str">
        <f>IFERROR(__xludf.DUMMYFUNCTION("IFERROR(VLOOKUP(D1122,
IMPORTRANGE(""https://docs.google.com/spreadsheets/d/1MjHtlUikwobi2MaWJgy7tfLeBmhj1u-dRFRs_8GwSoA/edit#gid=0"",""Gestores Escolares!D7:m""),9,0),""VERIFICAR CÓD SEC"")"),"")</f>
        <v/>
      </c>
      <c r="R1122" s="82" t="str">
        <f>IFERROR(__xludf.DUMMYFUNCTION("IFERROR(VLOOKUP(D1122,
IMPORTRANGE(""https://docs.google.com/spreadsheets/d/1MjHtlUikwobi2MaWJgy7tfLeBmhj1u-dRFRs_8GwSoA/edit#gid=0"",""Gestores Escolares!D7:m""),10,0),""VERIFICAR CÓD SEC"")"),"")</f>
        <v/>
      </c>
      <c r="S1122" s="82"/>
      <c r="T1122" s="138">
        <v>16.0</v>
      </c>
      <c r="U1122" s="145">
        <v>12.0</v>
      </c>
      <c r="V1122" s="106">
        <v>0.0</v>
      </c>
      <c r="W1122" s="107">
        <v>0.0</v>
      </c>
      <c r="X1122" s="107">
        <v>0.0</v>
      </c>
      <c r="Y1122" s="107">
        <v>0.0</v>
      </c>
      <c r="Z1122" s="80">
        <f t="shared" si="1"/>
        <v>0</v>
      </c>
      <c r="AA1122" s="106">
        <v>0.0</v>
      </c>
      <c r="AB1122" s="107">
        <v>0.0</v>
      </c>
      <c r="AC1122" s="107">
        <v>0.0</v>
      </c>
      <c r="AD1122" s="107">
        <v>0.0</v>
      </c>
      <c r="AE1122" s="80">
        <f t="shared" si="2"/>
        <v>0</v>
      </c>
      <c r="AF1122" s="222">
        <v>28.0</v>
      </c>
      <c r="AG1122" s="222">
        <v>13.0</v>
      </c>
      <c r="AH1122" s="222">
        <v>0.0</v>
      </c>
      <c r="AI1122" s="224">
        <v>98.0</v>
      </c>
      <c r="AJ1122" s="80">
        <f t="shared" si="3"/>
        <v>139</v>
      </c>
      <c r="AK1122" s="140">
        <v>0.0</v>
      </c>
      <c r="AL1122" s="109">
        <v>0.0</v>
      </c>
      <c r="AM1122" s="141">
        <v>0.0</v>
      </c>
      <c r="AN1122" s="80">
        <f t="shared" si="4"/>
        <v>0</v>
      </c>
      <c r="AO1122" s="222">
        <v>0.0</v>
      </c>
      <c r="AP1122" s="222">
        <v>0.0</v>
      </c>
      <c r="AQ1122" s="224">
        <v>37.0</v>
      </c>
      <c r="AR1122" s="80">
        <f t="shared" si="5"/>
        <v>37</v>
      </c>
      <c r="AS1122" s="110">
        <v>21.0</v>
      </c>
      <c r="AT1122" s="110">
        <v>0.0</v>
      </c>
      <c r="AU1122" s="110">
        <v>83.0</v>
      </c>
      <c r="AV1122" s="142">
        <v>35.0</v>
      </c>
      <c r="AW1122" s="80">
        <f t="shared" si="6"/>
        <v>139</v>
      </c>
      <c r="AX1122" s="113">
        <f t="shared" si="7"/>
        <v>315</v>
      </c>
      <c r="AY1122" s="117">
        <f t="shared" si="8"/>
        <v>195</v>
      </c>
      <c r="AZ1122" s="120">
        <f t="shared" si="9"/>
        <v>120</v>
      </c>
      <c r="BA1122" s="115">
        <v>0.0</v>
      </c>
      <c r="BB1122" s="89">
        <f t="shared" si="10"/>
        <v>315</v>
      </c>
      <c r="BC1122" s="132" t="s">
        <v>178</v>
      </c>
      <c r="BD1122" s="132" t="s">
        <v>178</v>
      </c>
      <c r="BE1122" s="132" t="s">
        <v>178</v>
      </c>
      <c r="BF1122" s="123"/>
      <c r="BG1122" s="83">
        <v>1107706.0</v>
      </c>
      <c r="BH1122" s="112"/>
      <c r="BI1122" s="112">
        <v>11.0</v>
      </c>
      <c r="BJ1122" s="98" t="s">
        <v>162</v>
      </c>
      <c r="BK1122" s="99">
        <f t="shared" si="11"/>
        <v>133</v>
      </c>
      <c r="BL1122" s="99">
        <f t="shared" si="12"/>
        <v>62</v>
      </c>
      <c r="BM1122" s="99" t="str">
        <f>IFERROR(__xludf.DUMMYFUNCTION("IFERROR(VLOOKUP(BG1122,IMPORTRANGE(""https://docs.google.com/spreadsheets/d/1juPI-Fb8LD0YtltB2mlGEnp_R3UVu1t3wSFPzgCyHXE/edit?gid=0#gid=0"",""GERAL!A2:C""),3,0),""-"")"),"-")</f>
        <v>-</v>
      </c>
    </row>
    <row r="1123" ht="15.75" customHeight="1">
      <c r="A1123" s="111" t="s">
        <v>1335</v>
      </c>
      <c r="B1123" s="83" t="s">
        <v>6077</v>
      </c>
      <c r="C1123" s="83" t="s">
        <v>68</v>
      </c>
      <c r="D1123" s="112">
        <v>1178202.0</v>
      </c>
      <c r="E1123" s="83"/>
      <c r="F1123" s="83">
        <v>2.9443288E7</v>
      </c>
      <c r="G1123" s="114" t="s">
        <v>6078</v>
      </c>
      <c r="H1123" s="91" t="s">
        <v>6079</v>
      </c>
      <c r="I1123" s="83" t="s">
        <v>149</v>
      </c>
      <c r="J1123" s="83" t="s">
        <v>150</v>
      </c>
      <c r="K1123" s="83" t="s">
        <v>151</v>
      </c>
      <c r="L1123" s="83" t="s">
        <v>169</v>
      </c>
      <c r="M1123" s="82" t="str">
        <f>IFERROR(__xludf.DUMMYFUNCTION("IFERROR(VLOOKUP(D1123,
IMPORTRANGE(""https://docs.google.com/spreadsheets/d/1MjHtlUikwobi2MaWJgy7tfLeBmhj1u-dRFRs_8GwSoA/edit#gid=0"",""Gestores Escolares!D7:J""),3,0),""VERIFICAR CÓD SEC"")"),"NILTON CESAR COUTINHO")</f>
        <v>NILTON CESAR COUTINHO</v>
      </c>
      <c r="N1123" s="82" t="str">
        <f>IFERROR(__xludf.DUMMYFUNCTION("IFERROR(VLOOKUP(D1123,
IMPORTRANGE(""https://docs.google.com/spreadsheets/d/1MjHtlUikwobi2MaWJgy7tfLeBmhj1u-dRFRs_8GwSoA/edit#gid=0"",""Gestores Escolares!D7:J""),4,0),""VERIFICAR CÓD SEC"")"),"(75) 9 8879-3037")</f>
        <v>(75) 9 8879-3037</v>
      </c>
      <c r="O1123" s="82" t="str">
        <f>IFERROR(__xludf.DUMMYFUNCTION("IFERROR(VLOOKUP(D1123,
IMPORTRANGE(""https://docs.google.com/spreadsheets/d/1MjHtlUikwobi2MaWJgy7tfLeBmhj1u-dRFRs_8GwSoA/edit#gid=0"",""Gestores Escolares!D7:J""),6,0),""VERIFICAR CÓD SEC"")"),"DENIZE MARIA SANTOS GUERRA")</f>
        <v>DENIZE MARIA SANTOS GUERRA</v>
      </c>
      <c r="P1123" s="82" t="str">
        <f>IFERROR(__xludf.DUMMYFUNCTION("IFERROR(VLOOKUP(D1123,
IMPORTRANGE(""https://docs.google.com/spreadsheets/d/1MjHtlUikwobi2MaWJgy7tfLeBmhj1u-dRFRs_8GwSoA/edit#gid=0"",""Gestores Escolares!D7:J""),7,0),""VERIFICAR CÓD SEC"")"),"(75) 9 8822-6601")</f>
        <v>(75) 9 8822-6601</v>
      </c>
      <c r="Q1123" s="82" t="str">
        <f>IFERROR(__xludf.DUMMYFUNCTION("IFERROR(VLOOKUP(D1123,
IMPORTRANGE(""https://docs.google.com/spreadsheets/d/1MjHtlUikwobi2MaWJgy7tfLeBmhj1u-dRFRs_8GwSoA/edit#gid=0"",""Gestores Escolares!D7:m""),9,0),""VERIFICAR CÓD SEC"")"),"")</f>
        <v/>
      </c>
      <c r="R1123" s="82" t="str">
        <f>IFERROR(__xludf.DUMMYFUNCTION("IFERROR(VLOOKUP(D1123,
IMPORTRANGE(""https://docs.google.com/spreadsheets/d/1MjHtlUikwobi2MaWJgy7tfLeBmhj1u-dRFRs_8GwSoA/edit#gid=0"",""Gestores Escolares!D7:m""),10,0),""VERIFICAR CÓD SEC"")"),"")</f>
        <v/>
      </c>
      <c r="S1123" s="82"/>
      <c r="T1123" s="138">
        <v>9.0</v>
      </c>
      <c r="U1123" s="145" t="s">
        <v>13830</v>
      </c>
      <c r="V1123" s="106">
        <v>0.0</v>
      </c>
      <c r="W1123" s="107">
        <v>0.0</v>
      </c>
      <c r="X1123" s="107">
        <v>0.0</v>
      </c>
      <c r="Y1123" s="107">
        <v>0.0</v>
      </c>
      <c r="Z1123" s="80">
        <f t="shared" si="1"/>
        <v>0</v>
      </c>
      <c r="AA1123" s="106">
        <v>0.0</v>
      </c>
      <c r="AB1123" s="107">
        <v>0.0</v>
      </c>
      <c r="AC1123" s="107">
        <v>0.0</v>
      </c>
      <c r="AD1123" s="107">
        <v>0.0</v>
      </c>
      <c r="AE1123" s="80">
        <f t="shared" si="2"/>
        <v>0</v>
      </c>
      <c r="AF1123" s="140">
        <v>17.0</v>
      </c>
      <c r="AG1123" s="109">
        <v>0.0</v>
      </c>
      <c r="AH1123" s="109">
        <v>0.0</v>
      </c>
      <c r="AI1123" s="141">
        <v>34.0</v>
      </c>
      <c r="AJ1123" s="80">
        <f t="shared" si="3"/>
        <v>51</v>
      </c>
      <c r="AK1123" s="140">
        <v>0.0</v>
      </c>
      <c r="AL1123" s="109">
        <v>0.0</v>
      </c>
      <c r="AM1123" s="141">
        <v>0.0</v>
      </c>
      <c r="AN1123" s="80">
        <f t="shared" si="4"/>
        <v>0</v>
      </c>
      <c r="AO1123" s="140">
        <v>0.0</v>
      </c>
      <c r="AP1123" s="109">
        <v>0.0</v>
      </c>
      <c r="AQ1123" s="109">
        <v>44.0</v>
      </c>
      <c r="AR1123" s="80">
        <f t="shared" si="5"/>
        <v>44</v>
      </c>
      <c r="AS1123" s="110">
        <v>137.0</v>
      </c>
      <c r="AT1123" s="110">
        <v>0.0</v>
      </c>
      <c r="AU1123" s="110">
        <v>0.0</v>
      </c>
      <c r="AV1123" s="142">
        <v>0.0</v>
      </c>
      <c r="AW1123" s="80">
        <f t="shared" si="6"/>
        <v>137</v>
      </c>
      <c r="AX1123" s="113">
        <f t="shared" si="7"/>
        <v>232</v>
      </c>
      <c r="AY1123" s="117">
        <f t="shared" si="8"/>
        <v>188</v>
      </c>
      <c r="AZ1123" s="120">
        <f t="shared" si="9"/>
        <v>44</v>
      </c>
      <c r="BA1123" s="115">
        <v>0.0</v>
      </c>
      <c r="BB1123" s="89">
        <f t="shared" si="10"/>
        <v>232</v>
      </c>
      <c r="BC1123" s="132" t="s">
        <v>373</v>
      </c>
      <c r="BD1123" s="132" t="s">
        <v>178</v>
      </c>
      <c r="BE1123" s="132" t="s">
        <v>178</v>
      </c>
      <c r="BF1123" s="123"/>
      <c r="BG1123" s="83">
        <v>1178202.0</v>
      </c>
      <c r="BH1123" s="112"/>
      <c r="BI1123" s="112">
        <v>6.0</v>
      </c>
      <c r="BJ1123" s="98" t="s">
        <v>155</v>
      </c>
      <c r="BK1123" s="99">
        <f t="shared" si="11"/>
        <v>34</v>
      </c>
      <c r="BL1123" s="99">
        <f t="shared" si="12"/>
        <v>154</v>
      </c>
      <c r="BM1123" s="99" t="str">
        <f>IFERROR(__xludf.DUMMYFUNCTION("IFERROR(VLOOKUP(BG1123,IMPORTRANGE(""https://docs.google.com/spreadsheets/d/1juPI-Fb8LD0YtltB2mlGEnp_R3UVu1t3wSFPzgCyHXE/edit?gid=0#gid=0"",""GERAL!A2:C""),3,0),""-"")"),"CAMPO")</f>
        <v>CAMPO</v>
      </c>
    </row>
    <row r="1124" ht="15.75" customHeight="1">
      <c r="A1124" s="111" t="s">
        <v>1335</v>
      </c>
      <c r="B1124" s="83" t="s">
        <v>6081</v>
      </c>
      <c r="C1124" s="83" t="s">
        <v>68</v>
      </c>
      <c r="D1124" s="112">
        <v>1178047.0</v>
      </c>
      <c r="E1124" s="83"/>
      <c r="F1124" s="83">
        <v>2.943251E7</v>
      </c>
      <c r="G1124" s="114" t="s">
        <v>6082</v>
      </c>
      <c r="H1124" s="91" t="s">
        <v>6083</v>
      </c>
      <c r="I1124" s="83" t="s">
        <v>149</v>
      </c>
      <c r="J1124" s="83" t="s">
        <v>150</v>
      </c>
      <c r="K1124" s="83" t="s">
        <v>151</v>
      </c>
      <c r="L1124" s="83" t="s">
        <v>152</v>
      </c>
      <c r="M1124" s="82" t="str">
        <f>IFERROR(__xludf.DUMMYFUNCTION("IFERROR(VLOOKUP(D1124,
IMPORTRANGE(""https://docs.google.com/spreadsheets/d/1MjHtlUikwobi2MaWJgy7tfLeBmhj1u-dRFRs_8GwSoA/edit#gid=0"",""Gestores Escolares!D7:J""),3,0),""VERIFICAR CÓD SEC"")"),"JOSE WILSON PEREIRA CORREIA")</f>
        <v>JOSE WILSON PEREIRA CORREIA</v>
      </c>
      <c r="N1124" s="82" t="str">
        <f>IFERROR(__xludf.DUMMYFUNCTION("IFERROR(VLOOKUP(D1124,
IMPORTRANGE(""https://docs.google.com/spreadsheets/d/1MjHtlUikwobi2MaWJgy7tfLeBmhj1u-dRFRs_8GwSoA/edit#gid=0"",""Gestores Escolares!D7:J""),4,0),""VERIFICAR CÓD SEC"")"),"(75) 9 8166-8543/ 
9 8121-9165")</f>
        <v>(75) 9 8166-8543/ 
9 8121-9165</v>
      </c>
      <c r="O1124" s="82" t="str">
        <f>IFERROR(__xludf.DUMMYFUNCTION("IFERROR(VLOOKUP(D1124,
IMPORTRANGE(""https://docs.google.com/spreadsheets/d/1MjHtlUikwobi2MaWJgy7tfLeBmhj1u-dRFRs_8GwSoA/edit#gid=0"",""Gestores Escolares!D7:J""),6,0),""VERIFICAR CÓD SEC"")"),"EUNICE MARIA DA SILVA")</f>
        <v>EUNICE MARIA DA SILVA</v>
      </c>
      <c r="P1124" s="82" t="str">
        <f>IFERROR(__xludf.DUMMYFUNCTION("IFERROR(VLOOKUP(D1124,
IMPORTRANGE(""https://docs.google.com/spreadsheets/d/1MjHtlUikwobi2MaWJgy7tfLeBmhj1u-dRFRs_8GwSoA/edit#gid=0"",""Gestores Escolares!D7:J""),7,0),""VERIFICAR CÓD SEC"")"),"(75) 9 9815-5142")</f>
        <v>(75) 9 9815-5142</v>
      </c>
      <c r="Q1124" s="82" t="str">
        <f>IFERROR(__xludf.DUMMYFUNCTION("IFERROR(VLOOKUP(D1124,
IMPORTRANGE(""https://docs.google.com/spreadsheets/d/1MjHtlUikwobi2MaWJgy7tfLeBmhj1u-dRFRs_8GwSoA/edit#gid=0"",""Gestores Escolares!D7:m""),9,0),""VERIFICAR CÓD SEC"")"),"")</f>
        <v/>
      </c>
      <c r="R1124" s="82" t="str">
        <f>IFERROR(__xludf.DUMMYFUNCTION("IFERROR(VLOOKUP(D1124,
IMPORTRANGE(""https://docs.google.com/spreadsheets/d/1MjHtlUikwobi2MaWJgy7tfLeBmhj1u-dRFRs_8GwSoA/edit#gid=0"",""Gestores Escolares!D7:m""),10,0),""VERIFICAR CÓD SEC"")"),"")</f>
        <v/>
      </c>
      <c r="S1124" s="82"/>
      <c r="T1124" s="138">
        <v>7.0</v>
      </c>
      <c r="U1124" s="145" t="s">
        <v>13831</v>
      </c>
      <c r="V1124" s="106">
        <v>0.0</v>
      </c>
      <c r="W1124" s="107">
        <v>0.0</v>
      </c>
      <c r="X1124" s="107">
        <v>0.0</v>
      </c>
      <c r="Y1124" s="107">
        <v>0.0</v>
      </c>
      <c r="Z1124" s="80">
        <f t="shared" si="1"/>
        <v>0</v>
      </c>
      <c r="AA1124" s="106">
        <v>0.0</v>
      </c>
      <c r="AB1124" s="107">
        <v>0.0</v>
      </c>
      <c r="AC1124" s="107">
        <v>0.0</v>
      </c>
      <c r="AD1124" s="107">
        <v>0.0</v>
      </c>
      <c r="AE1124" s="80">
        <f t="shared" si="2"/>
        <v>0</v>
      </c>
      <c r="AF1124" s="140">
        <v>115.0</v>
      </c>
      <c r="AG1124" s="109">
        <v>36.0</v>
      </c>
      <c r="AH1124" s="109">
        <v>0.0</v>
      </c>
      <c r="AI1124" s="141">
        <v>98.0</v>
      </c>
      <c r="AJ1124" s="80">
        <f t="shared" si="3"/>
        <v>249</v>
      </c>
      <c r="AK1124" s="140">
        <v>0.0</v>
      </c>
      <c r="AL1124" s="109">
        <v>0.0</v>
      </c>
      <c r="AM1124" s="141">
        <v>0.0</v>
      </c>
      <c r="AN1124" s="80">
        <f t="shared" si="4"/>
        <v>0</v>
      </c>
      <c r="AO1124" s="140">
        <v>0.0</v>
      </c>
      <c r="AP1124" s="109">
        <v>0.0</v>
      </c>
      <c r="AQ1124" s="109">
        <v>73.0</v>
      </c>
      <c r="AR1124" s="80">
        <f t="shared" si="5"/>
        <v>73</v>
      </c>
      <c r="AS1124" s="110">
        <v>0.0</v>
      </c>
      <c r="AT1124" s="110">
        <v>80.0</v>
      </c>
      <c r="AU1124" s="110">
        <v>18.0</v>
      </c>
      <c r="AV1124" s="142">
        <v>0.0</v>
      </c>
      <c r="AW1124" s="80">
        <f t="shared" si="6"/>
        <v>98</v>
      </c>
      <c r="AX1124" s="113">
        <f t="shared" si="7"/>
        <v>420</v>
      </c>
      <c r="AY1124" s="117">
        <f t="shared" si="8"/>
        <v>329</v>
      </c>
      <c r="AZ1124" s="120">
        <f t="shared" si="9"/>
        <v>91</v>
      </c>
      <c r="BA1124" s="115">
        <v>0.0</v>
      </c>
      <c r="BB1124" s="89">
        <f t="shared" si="10"/>
        <v>420</v>
      </c>
      <c r="BC1124" s="132" t="s">
        <v>178</v>
      </c>
      <c r="BD1124" s="132" t="s">
        <v>178</v>
      </c>
      <c r="BE1124" s="132" t="s">
        <v>178</v>
      </c>
      <c r="BF1124" s="123"/>
      <c r="BG1124" s="83">
        <v>1178047.0</v>
      </c>
      <c r="BH1124" s="112"/>
      <c r="BI1124" s="112">
        <v>6.0</v>
      </c>
      <c r="BJ1124" s="98" t="s">
        <v>155</v>
      </c>
      <c r="BK1124" s="99">
        <f t="shared" si="11"/>
        <v>98</v>
      </c>
      <c r="BL1124" s="99">
        <f t="shared" si="12"/>
        <v>231</v>
      </c>
      <c r="BM1124" s="99" t="str">
        <f>IFERROR(__xludf.DUMMYFUNCTION("IFERROR(VLOOKUP(BG1124,IMPORTRANGE(""https://docs.google.com/spreadsheets/d/1juPI-Fb8LD0YtltB2mlGEnp_R3UVu1t3wSFPzgCyHXE/edit?gid=0#gid=0"",""GERAL!A2:C""),3,0),""-"")"),"-")</f>
        <v>-</v>
      </c>
    </row>
    <row r="1125" ht="15.75" customHeight="1">
      <c r="A1125" s="111" t="s">
        <v>1393</v>
      </c>
      <c r="B1125" s="83" t="s">
        <v>6091</v>
      </c>
      <c r="C1125" s="83" t="s">
        <v>45</v>
      </c>
      <c r="D1125" s="112">
        <v>1178306.0</v>
      </c>
      <c r="E1125" s="83"/>
      <c r="F1125" s="83">
        <v>2.9448786E7</v>
      </c>
      <c r="G1125" s="114" t="s">
        <v>6094</v>
      </c>
      <c r="H1125" s="91" t="s">
        <v>6095</v>
      </c>
      <c r="I1125" s="136" t="s">
        <v>149</v>
      </c>
      <c r="J1125" s="115" t="s">
        <v>6096</v>
      </c>
      <c r="K1125" s="136"/>
      <c r="L1125" s="83" t="s">
        <v>76</v>
      </c>
      <c r="M1125" s="82" t="str">
        <f>IFERROR(__xludf.DUMMYFUNCTION("IFERROR(VLOOKUP(D1125,
IMPORTRANGE(""https://docs.google.com/spreadsheets/d/1MjHtlUikwobi2MaWJgy7tfLeBmhj1u-dRFRs_8GwSoA/edit#gid=0"",""Gestores Escolares!D7:J""),3,0),""VERIFICAR CÓD SEC"")"),"ADRIANA PEREIRA FERREIRA ROCHA")</f>
        <v>ADRIANA PEREIRA FERREIRA ROCHA</v>
      </c>
      <c r="N1125" s="82" t="str">
        <f>IFERROR(__xludf.DUMMYFUNCTION("IFERROR(VLOOKUP(D1125,
IMPORTRANGE(""https://docs.google.com/spreadsheets/d/1MjHtlUikwobi2MaWJgy7tfLeBmhj1u-dRFRs_8GwSoA/edit#gid=0"",""Gestores Escolares!D7:J""),4,0),""VERIFICAR CÓD SEC"")"),"(77) 9 9934-7042")</f>
        <v>(77) 9 9934-7042</v>
      </c>
      <c r="O1125" s="82" t="str">
        <f>IFERROR(__xludf.DUMMYFUNCTION("IFERROR(VLOOKUP(D1125,
IMPORTRANGE(""https://docs.google.com/spreadsheets/d/1MjHtlUikwobi2MaWJgy7tfLeBmhj1u-dRFRs_8GwSoA/edit#gid=0"",""Gestores Escolares!D7:J""),6,0),""VERIFICAR CÓD SEC"")"),"")</f>
        <v/>
      </c>
      <c r="P1125" s="82" t="str">
        <f>IFERROR(__xludf.DUMMYFUNCTION("IFERROR(VLOOKUP(D1125,
IMPORTRANGE(""https://docs.google.com/spreadsheets/d/1MjHtlUikwobi2MaWJgy7tfLeBmhj1u-dRFRs_8GwSoA/edit#gid=0"",""Gestores Escolares!D7:J""),7,0),""VERIFICAR CÓD SEC"")"),"")</f>
        <v/>
      </c>
      <c r="Q1125" s="82" t="str">
        <f>IFERROR(__xludf.DUMMYFUNCTION("IFERROR(VLOOKUP(D1125,
IMPORTRANGE(""https://docs.google.com/spreadsheets/d/1MjHtlUikwobi2MaWJgy7tfLeBmhj1u-dRFRs_8GwSoA/edit#gid=0"",""Gestores Escolares!D7:m""),9,0),""VERIFICAR CÓD SEC"")"),"")</f>
        <v/>
      </c>
      <c r="R1125" s="82" t="str">
        <f>IFERROR(__xludf.DUMMYFUNCTION("IFERROR(VLOOKUP(D1125,
IMPORTRANGE(""https://docs.google.com/spreadsheets/d/1MjHtlUikwobi2MaWJgy7tfLeBmhj1u-dRFRs_8GwSoA/edit#gid=0"",""Gestores Escolares!D7:m""),10,0),""VERIFICAR CÓD SEC"")"),"")</f>
        <v/>
      </c>
      <c r="S1125" s="82"/>
      <c r="T1125" s="138">
        <v>7.0</v>
      </c>
      <c r="U1125" s="139" t="s">
        <v>171</v>
      </c>
      <c r="V1125" s="106">
        <v>0.0</v>
      </c>
      <c r="W1125" s="107">
        <v>0.0</v>
      </c>
      <c r="X1125" s="107">
        <v>0.0</v>
      </c>
      <c r="Y1125" s="107">
        <v>0.0</v>
      </c>
      <c r="Z1125" s="80">
        <f t="shared" si="1"/>
        <v>0</v>
      </c>
      <c r="AA1125" s="106">
        <v>0.0</v>
      </c>
      <c r="AB1125" s="107">
        <v>0.0</v>
      </c>
      <c r="AC1125" s="107">
        <v>0.0</v>
      </c>
      <c r="AD1125" s="107">
        <v>62.0</v>
      </c>
      <c r="AE1125" s="80">
        <f t="shared" si="2"/>
        <v>62</v>
      </c>
      <c r="AF1125" s="225">
        <v>0.0</v>
      </c>
      <c r="AG1125" s="226">
        <v>0.0</v>
      </c>
      <c r="AH1125" s="226">
        <v>0.0</v>
      </c>
      <c r="AI1125" s="227">
        <v>52.0</v>
      </c>
      <c r="AJ1125" s="80">
        <f t="shared" si="3"/>
        <v>52</v>
      </c>
      <c r="AK1125" s="140">
        <v>0.0</v>
      </c>
      <c r="AL1125" s="109">
        <v>0.0</v>
      </c>
      <c r="AM1125" s="141">
        <v>0.0</v>
      </c>
      <c r="AN1125" s="80">
        <f t="shared" si="4"/>
        <v>0</v>
      </c>
      <c r="AO1125" s="225">
        <v>0.0</v>
      </c>
      <c r="AP1125" s="226">
        <v>0.0</v>
      </c>
      <c r="AQ1125" s="226">
        <v>0.0</v>
      </c>
      <c r="AR1125" s="80">
        <f t="shared" si="5"/>
        <v>0</v>
      </c>
      <c r="AS1125" s="110">
        <v>0.0</v>
      </c>
      <c r="AT1125" s="110">
        <v>0.0</v>
      </c>
      <c r="AU1125" s="110">
        <v>0.0</v>
      </c>
      <c r="AV1125" s="142">
        <v>0.0</v>
      </c>
      <c r="AW1125" s="80">
        <f t="shared" si="6"/>
        <v>0</v>
      </c>
      <c r="AX1125" s="113">
        <f t="shared" si="7"/>
        <v>114</v>
      </c>
      <c r="AY1125" s="117">
        <f t="shared" si="8"/>
        <v>114</v>
      </c>
      <c r="AZ1125" s="120">
        <f t="shared" si="9"/>
        <v>0</v>
      </c>
      <c r="BA1125" s="115">
        <v>0.0</v>
      </c>
      <c r="BB1125" s="89">
        <f t="shared" si="10"/>
        <v>114</v>
      </c>
      <c r="BC1125" s="132" t="s">
        <v>178</v>
      </c>
      <c r="BD1125" s="132" t="s">
        <v>178</v>
      </c>
      <c r="BE1125" s="132" t="s">
        <v>178</v>
      </c>
      <c r="BF1125" s="123"/>
      <c r="BG1125" s="83">
        <v>1178306.0</v>
      </c>
      <c r="BH1125" s="144"/>
      <c r="BI1125" s="112">
        <v>7.0</v>
      </c>
      <c r="BJ1125" s="98" t="s">
        <v>155</v>
      </c>
      <c r="BK1125" s="99">
        <f t="shared" si="11"/>
        <v>114</v>
      </c>
      <c r="BL1125" s="99">
        <f t="shared" si="12"/>
        <v>0</v>
      </c>
      <c r="BM1125" s="99" t="str">
        <f>IFERROR(__xludf.DUMMYFUNCTION("IFERROR(VLOOKUP(BG1125,IMPORTRANGE(""https://docs.google.com/spreadsheets/d/1juPI-Fb8LD0YtltB2mlGEnp_R3UVu1t3wSFPzgCyHXE/edit?gid=0#gid=0"",""GERAL!A2:C""),3,0),""-"")"),"EFA")</f>
        <v>EFA</v>
      </c>
    </row>
    <row r="1126" ht="15.75" customHeight="1">
      <c r="A1126" s="111" t="s">
        <v>1393</v>
      </c>
      <c r="B1126" s="83" t="s">
        <v>6091</v>
      </c>
      <c r="C1126" s="83" t="s">
        <v>68</v>
      </c>
      <c r="D1126" s="112">
        <v>1178405.0</v>
      </c>
      <c r="E1126" s="83"/>
      <c r="F1126" s="83">
        <v>2.939595E7</v>
      </c>
      <c r="G1126" s="119" t="s">
        <v>6099</v>
      </c>
      <c r="H1126" s="125" t="s">
        <v>6100</v>
      </c>
      <c r="I1126" s="136" t="s">
        <v>149</v>
      </c>
      <c r="J1126" s="136" t="s">
        <v>3821</v>
      </c>
      <c r="K1126" s="136" t="s">
        <v>151</v>
      </c>
      <c r="L1126" s="83" t="s">
        <v>169</v>
      </c>
      <c r="M1126" s="82" t="str">
        <f>IFERROR(__xludf.DUMMYFUNCTION("IFERROR(VLOOKUP(D1126,
IMPORTRANGE(""https://docs.google.com/spreadsheets/d/1MjHtlUikwobi2MaWJgy7tfLeBmhj1u-dRFRs_8GwSoA/edit#gid=0"",""Gestores Escolares!D7:J""),3,0),""VERIFICAR CÓD SEC"")"),"PATRICK GOMES PEIXOTO")</f>
        <v>PATRICK GOMES PEIXOTO</v>
      </c>
      <c r="N1126" s="82" t="str">
        <f>IFERROR(__xludf.DUMMYFUNCTION("IFERROR(VLOOKUP(D1126,
IMPORTRANGE(""https://docs.google.com/spreadsheets/d/1MjHtlUikwobi2MaWJgy7tfLeBmhj1u-dRFRs_8GwSoA/edit#gid=0"",""Gestores Escolares!D7:J""),4,0),""VERIFICAR CÓD SEC"")"),"(77) 9 9197-5750")</f>
        <v>(77) 9 9197-5750</v>
      </c>
      <c r="O1126" s="82" t="str">
        <f>IFERROR(__xludf.DUMMYFUNCTION("IFERROR(VLOOKUP(D1126,
IMPORTRANGE(""https://docs.google.com/spreadsheets/d/1MjHtlUikwobi2MaWJgy7tfLeBmhj1u-dRFRs_8GwSoA/edit#gid=0"",""Gestores Escolares!D7:J""),6,0),""VERIFICAR CÓD SEC"")"),"JEANE SILVA CORRADI")</f>
        <v>JEANE SILVA CORRADI</v>
      </c>
      <c r="P1126" s="82" t="str">
        <f>IFERROR(__xludf.DUMMYFUNCTION("IFERROR(VLOOKUP(D1126,
IMPORTRANGE(""https://docs.google.com/spreadsheets/d/1MjHtlUikwobi2MaWJgy7tfLeBmhj1u-dRFRs_8GwSoA/edit#gid=0"",""Gestores Escolares!D7:J""),7,0),""VERIFICAR CÓD SEC"")"),"(77) 9 8848-4557")</f>
        <v>(77) 9 8848-4557</v>
      </c>
      <c r="Q1126" s="82" t="str">
        <f>IFERROR(__xludf.DUMMYFUNCTION("IFERROR(VLOOKUP(D1126,
IMPORTRANGE(""https://docs.google.com/spreadsheets/d/1MjHtlUikwobi2MaWJgy7tfLeBmhj1u-dRFRs_8GwSoA/edit#gid=0"",""Gestores Escolares!D7:m""),9,0),""VERIFICAR CÓD SEC"")"),"")</f>
        <v/>
      </c>
      <c r="R1126" s="82" t="str">
        <f>IFERROR(__xludf.DUMMYFUNCTION("IFERROR(VLOOKUP(D1126,
IMPORTRANGE(""https://docs.google.com/spreadsheets/d/1MjHtlUikwobi2MaWJgy7tfLeBmhj1u-dRFRs_8GwSoA/edit#gid=0"",""Gestores Escolares!D7:m""),10,0),""VERIFICAR CÓD SEC"")"),"")</f>
        <v/>
      </c>
      <c r="S1126" s="82"/>
      <c r="T1126" s="138">
        <v>6.0</v>
      </c>
      <c r="U1126" s="139">
        <v>6.0</v>
      </c>
      <c r="V1126" s="106">
        <v>0.0</v>
      </c>
      <c r="W1126" s="107">
        <v>0.0</v>
      </c>
      <c r="X1126" s="107">
        <v>0.0</v>
      </c>
      <c r="Y1126" s="107">
        <v>0.0</v>
      </c>
      <c r="Z1126" s="80">
        <f t="shared" si="1"/>
        <v>0</v>
      </c>
      <c r="AA1126" s="106">
        <v>0.0</v>
      </c>
      <c r="AB1126" s="107">
        <v>0.0</v>
      </c>
      <c r="AC1126" s="107">
        <v>0.0</v>
      </c>
      <c r="AD1126" s="107">
        <v>0.0</v>
      </c>
      <c r="AE1126" s="80">
        <f t="shared" si="2"/>
        <v>0</v>
      </c>
      <c r="AF1126" s="140">
        <v>61.0</v>
      </c>
      <c r="AG1126" s="109">
        <v>0.0</v>
      </c>
      <c r="AH1126" s="109">
        <v>0.0</v>
      </c>
      <c r="AI1126" s="141">
        <v>36.0</v>
      </c>
      <c r="AJ1126" s="80">
        <f t="shared" si="3"/>
        <v>97</v>
      </c>
      <c r="AK1126" s="140">
        <v>0.0</v>
      </c>
      <c r="AL1126" s="109">
        <v>0.0</v>
      </c>
      <c r="AM1126" s="141">
        <v>0.0</v>
      </c>
      <c r="AN1126" s="80">
        <f t="shared" si="4"/>
        <v>0</v>
      </c>
      <c r="AO1126" s="140">
        <v>0.0</v>
      </c>
      <c r="AP1126" s="109">
        <v>0.0</v>
      </c>
      <c r="AQ1126" s="109">
        <v>0.0</v>
      </c>
      <c r="AR1126" s="80">
        <f t="shared" si="5"/>
        <v>0</v>
      </c>
      <c r="AS1126" s="110">
        <v>0.0</v>
      </c>
      <c r="AT1126" s="110">
        <v>0.0</v>
      </c>
      <c r="AU1126" s="110">
        <v>0.0</v>
      </c>
      <c r="AV1126" s="142">
        <v>0.0</v>
      </c>
      <c r="AW1126" s="80">
        <f t="shared" si="6"/>
        <v>0</v>
      </c>
      <c r="AX1126" s="113">
        <f t="shared" si="7"/>
        <v>97</v>
      </c>
      <c r="AY1126" s="117">
        <f t="shared" si="8"/>
        <v>97</v>
      </c>
      <c r="AZ1126" s="120">
        <f t="shared" si="9"/>
        <v>0</v>
      </c>
      <c r="BA1126" s="115">
        <v>0.0</v>
      </c>
      <c r="BB1126" s="89">
        <f t="shared" si="10"/>
        <v>97</v>
      </c>
      <c r="BC1126" s="132" t="s">
        <v>373</v>
      </c>
      <c r="BD1126" s="132" t="s">
        <v>178</v>
      </c>
      <c r="BE1126" s="132" t="s">
        <v>178</v>
      </c>
      <c r="BF1126" s="123"/>
      <c r="BG1126" s="83">
        <v>1178405.0</v>
      </c>
      <c r="BH1126" s="144"/>
      <c r="BI1126" s="112">
        <v>6.0</v>
      </c>
      <c r="BJ1126" s="98" t="s">
        <v>155</v>
      </c>
      <c r="BK1126" s="99">
        <f t="shared" si="11"/>
        <v>36</v>
      </c>
      <c r="BL1126" s="99">
        <f t="shared" si="12"/>
        <v>61</v>
      </c>
      <c r="BM1126" s="99" t="str">
        <f>IFERROR(__xludf.DUMMYFUNCTION("IFERROR(VLOOKUP(BG1126,IMPORTRANGE(""https://docs.google.com/spreadsheets/d/1juPI-Fb8LD0YtltB2mlGEnp_R3UVu1t3wSFPzgCyHXE/edit?gid=0#gid=0"",""GERAL!A2:C""),3,0),""-"")"),"CAMPO")</f>
        <v>CAMPO</v>
      </c>
    </row>
    <row r="1127" ht="15.75" customHeight="1">
      <c r="A1127" s="111" t="s">
        <v>1393</v>
      </c>
      <c r="B1127" s="83" t="s">
        <v>6091</v>
      </c>
      <c r="C1127" s="83" t="s">
        <v>68</v>
      </c>
      <c r="D1127" s="112">
        <v>1124813.0</v>
      </c>
      <c r="E1127" s="83"/>
      <c r="F1127" s="83">
        <v>2.926742E7</v>
      </c>
      <c r="G1127" s="153" t="s">
        <v>6107</v>
      </c>
      <c r="H1127" s="108" t="s">
        <v>6108</v>
      </c>
      <c r="I1127" s="115" t="s">
        <v>6109</v>
      </c>
      <c r="J1127" s="136" t="s">
        <v>150</v>
      </c>
      <c r="K1127" s="136" t="s">
        <v>151</v>
      </c>
      <c r="L1127" s="83" t="s">
        <v>152</v>
      </c>
      <c r="M1127" s="82" t="str">
        <f>IFERROR(__xludf.DUMMYFUNCTION("IFERROR(VLOOKUP(D1127,
IMPORTRANGE(""https://docs.google.com/spreadsheets/d/1MjHtlUikwobi2MaWJgy7tfLeBmhj1u-dRFRs_8GwSoA/edit#gid=0"",""Gestores Escolares!D7:J""),3,0),""VERIFICAR CÓD SEC"")"),"IRANILDO FREIRE OLIVEIRA")</f>
        <v>IRANILDO FREIRE OLIVEIRA</v>
      </c>
      <c r="N1127" s="82" t="str">
        <f>IFERROR(__xludf.DUMMYFUNCTION("IFERROR(VLOOKUP(D1127,
IMPORTRANGE(""https://docs.google.com/spreadsheets/d/1MjHtlUikwobi2MaWJgy7tfLeBmhj1u-dRFRs_8GwSoA/edit#gid=0"",""Gestores Escolares!D7:J""),4,0),""VERIFICAR CÓD SEC"")"),"(77) 9 9969-1832")</f>
        <v>(77) 9 9969-1832</v>
      </c>
      <c r="O1127" s="82" t="str">
        <f>IFERROR(__xludf.DUMMYFUNCTION("IFERROR(VLOOKUP(D1127,
IMPORTRANGE(""https://docs.google.com/spreadsheets/d/1MjHtlUikwobi2MaWJgy7tfLeBmhj1u-dRFRs_8GwSoA/edit#gid=0"",""Gestores Escolares!D7:J""),6,0),""VERIFICAR CÓD SEC"")"),"MARIDELSON LIMA PORTO")</f>
        <v>MARIDELSON LIMA PORTO</v>
      </c>
      <c r="P1127" s="82" t="str">
        <f>IFERROR(__xludf.DUMMYFUNCTION("IFERROR(VLOOKUP(D1127,
IMPORTRANGE(""https://docs.google.com/spreadsheets/d/1MjHtlUikwobi2MaWJgy7tfLeBmhj1u-dRFRs_8GwSoA/edit#gid=0"",""Gestores Escolares!D7:J""),7,0),""VERIFICAR CÓD SEC"")"),"(77) 9 8803-0926")</f>
        <v>(77) 9 8803-0926</v>
      </c>
      <c r="Q1127" s="82" t="str">
        <f>IFERROR(__xludf.DUMMYFUNCTION("IFERROR(VLOOKUP(D1127,
IMPORTRANGE(""https://docs.google.com/spreadsheets/d/1MjHtlUikwobi2MaWJgy7tfLeBmhj1u-dRFRs_8GwSoA/edit#gid=0"",""Gestores Escolares!D7:m""),9,0),""VERIFICAR CÓD SEC"")"),"ARLENE SOARES RIBEIRO")</f>
        <v>ARLENE SOARES RIBEIRO</v>
      </c>
      <c r="R1127" s="82" t="str">
        <f>IFERROR(__xludf.DUMMYFUNCTION("IFERROR(VLOOKUP(D1127,
IMPORTRANGE(""https://docs.google.com/spreadsheets/d/1MjHtlUikwobi2MaWJgy7tfLeBmhj1u-dRFRs_8GwSoA/edit#gid=0"",""Gestores Escolares!D7:m""),10,0),""VERIFICAR CÓD SEC"")"),"(77) 9 8844-3344")</f>
        <v>(77) 9 8844-3344</v>
      </c>
      <c r="S1127" s="82"/>
      <c r="T1127" s="138">
        <v>8.0</v>
      </c>
      <c r="U1127" s="139">
        <v>8.0</v>
      </c>
      <c r="V1127" s="106">
        <v>0.0</v>
      </c>
      <c r="W1127" s="107">
        <v>0.0</v>
      </c>
      <c r="X1127" s="107">
        <v>0.0</v>
      </c>
      <c r="Y1127" s="107">
        <v>0.0</v>
      </c>
      <c r="Z1127" s="80">
        <f t="shared" si="1"/>
        <v>0</v>
      </c>
      <c r="AA1127" s="106">
        <v>0.0</v>
      </c>
      <c r="AB1127" s="107">
        <v>0.0</v>
      </c>
      <c r="AC1127" s="107">
        <v>0.0</v>
      </c>
      <c r="AD1127" s="107">
        <v>0.0</v>
      </c>
      <c r="AE1127" s="80">
        <f t="shared" si="2"/>
        <v>0</v>
      </c>
      <c r="AF1127" s="140">
        <v>200.0</v>
      </c>
      <c r="AG1127" s="109">
        <v>26.0</v>
      </c>
      <c r="AH1127" s="109">
        <v>0.0</v>
      </c>
      <c r="AI1127" s="141">
        <v>244.0</v>
      </c>
      <c r="AJ1127" s="80">
        <f t="shared" si="3"/>
        <v>470</v>
      </c>
      <c r="AK1127" s="140">
        <v>0.0</v>
      </c>
      <c r="AL1127" s="109">
        <v>0.0</v>
      </c>
      <c r="AM1127" s="141">
        <v>0.0</v>
      </c>
      <c r="AN1127" s="80">
        <f t="shared" si="4"/>
        <v>0</v>
      </c>
      <c r="AO1127" s="140">
        <v>0.0</v>
      </c>
      <c r="AP1127" s="109">
        <v>0.0</v>
      </c>
      <c r="AQ1127" s="109">
        <v>55.0</v>
      </c>
      <c r="AR1127" s="80">
        <f t="shared" si="5"/>
        <v>55</v>
      </c>
      <c r="AS1127" s="110">
        <v>0.0</v>
      </c>
      <c r="AT1127" s="110">
        <v>0.0</v>
      </c>
      <c r="AU1127" s="110">
        <v>0.0</v>
      </c>
      <c r="AV1127" s="142">
        <v>52.0</v>
      </c>
      <c r="AW1127" s="80">
        <f t="shared" si="6"/>
        <v>52</v>
      </c>
      <c r="AX1127" s="113">
        <f t="shared" si="7"/>
        <v>577</v>
      </c>
      <c r="AY1127" s="117">
        <f t="shared" si="8"/>
        <v>522</v>
      </c>
      <c r="AZ1127" s="120">
        <f t="shared" si="9"/>
        <v>55</v>
      </c>
      <c r="BA1127" s="115">
        <v>0.0</v>
      </c>
      <c r="BB1127" s="89">
        <f t="shared" si="10"/>
        <v>577</v>
      </c>
      <c r="BC1127" s="132" t="s">
        <v>178</v>
      </c>
      <c r="BD1127" s="132" t="s">
        <v>178</v>
      </c>
      <c r="BE1127" s="132" t="s">
        <v>178</v>
      </c>
      <c r="BF1127" s="123"/>
      <c r="BG1127" s="83">
        <v>1124813.0</v>
      </c>
      <c r="BH1127" s="98" t="s">
        <v>6110</v>
      </c>
      <c r="BI1127" s="112">
        <v>8.0</v>
      </c>
      <c r="BJ1127" s="98" t="s">
        <v>155</v>
      </c>
      <c r="BK1127" s="99">
        <f t="shared" si="11"/>
        <v>296</v>
      </c>
      <c r="BL1127" s="99">
        <f t="shared" si="12"/>
        <v>226</v>
      </c>
      <c r="BM1127" s="99" t="str">
        <f>IFERROR(__xludf.DUMMYFUNCTION("IFERROR(VLOOKUP(BG1127,IMPORTRANGE(""https://docs.google.com/spreadsheets/d/1juPI-Fb8LD0YtltB2mlGEnp_R3UVu1t3wSFPzgCyHXE/edit?gid=0#gid=0"",""GERAL!A2:C""),3,0),""-"")"),"-")</f>
        <v>-</v>
      </c>
    </row>
    <row r="1128" ht="15.75" customHeight="1">
      <c r="A1128" s="111" t="s">
        <v>1393</v>
      </c>
      <c r="B1128" s="83" t="s">
        <v>6116</v>
      </c>
      <c r="C1128" s="83" t="s">
        <v>68</v>
      </c>
      <c r="D1128" s="112">
        <v>1123671.0</v>
      </c>
      <c r="E1128" s="83"/>
      <c r="F1128" s="83">
        <v>2.9255597E7</v>
      </c>
      <c r="G1128" s="153" t="s">
        <v>6117</v>
      </c>
      <c r="H1128" s="108" t="s">
        <v>6118</v>
      </c>
      <c r="I1128" s="136" t="s">
        <v>149</v>
      </c>
      <c r="J1128" s="136" t="s">
        <v>150</v>
      </c>
      <c r="K1128" s="136" t="s">
        <v>151</v>
      </c>
      <c r="L1128" s="83" t="s">
        <v>230</v>
      </c>
      <c r="M1128" s="82" t="str">
        <f>IFERROR(__xludf.DUMMYFUNCTION("IFERROR(VLOOKUP(D1128,
IMPORTRANGE(""https://docs.google.com/spreadsheets/d/1MjHtlUikwobi2MaWJgy7tfLeBmhj1u-dRFRs_8GwSoA/edit#gid=0"",""Gestores Escolares!D7:J""),3,0),""VERIFICAR CÓD SEC"")"),"PETRONIO SILVEIRA DA ROCHA")</f>
        <v>PETRONIO SILVEIRA DA ROCHA</v>
      </c>
      <c r="N1128" s="82" t="str">
        <f>IFERROR(__xludf.DUMMYFUNCTION("IFERROR(VLOOKUP(D1128,
IMPORTRANGE(""https://docs.google.com/spreadsheets/d/1MjHtlUikwobi2MaWJgy7tfLeBmhj1u-dRFRs_8GwSoA/edit#gid=0"",""Gestores Escolares!D7:J""),4,0),""VERIFICAR CÓD SEC"")"),"(77) 9 8118-9869")</f>
        <v>(77) 9 8118-9869</v>
      </c>
      <c r="O1128" s="82" t="str">
        <f>IFERROR(__xludf.DUMMYFUNCTION("IFERROR(VLOOKUP(D1128,
IMPORTRANGE(""https://docs.google.com/spreadsheets/d/1MjHtlUikwobi2MaWJgy7tfLeBmhj1u-dRFRs_8GwSoA/edit#gid=0"",""Gestores Escolares!D7:J""),6,0),""VERIFICAR CÓD SEC"")"),"ANTONIO MARCOS SILVA DE ALMEIDA")</f>
        <v>ANTONIO MARCOS SILVA DE ALMEIDA</v>
      </c>
      <c r="P1128" s="82" t="str">
        <f>IFERROR(__xludf.DUMMYFUNCTION("IFERROR(VLOOKUP(D1128,
IMPORTRANGE(""https://docs.google.com/spreadsheets/d/1MjHtlUikwobi2MaWJgy7tfLeBmhj1u-dRFRs_8GwSoA/edit#gid=0"",""Gestores Escolares!D7:J""),7,0),""VERIFICAR CÓD SEC"")"),"(77) 9 8155-5213")</f>
        <v>(77) 9 8155-5213</v>
      </c>
      <c r="Q1128" s="82" t="str">
        <f>IFERROR(__xludf.DUMMYFUNCTION("IFERROR(VLOOKUP(D1128,
IMPORTRANGE(""https://docs.google.com/spreadsheets/d/1MjHtlUikwobi2MaWJgy7tfLeBmhj1u-dRFRs_8GwSoA/edit#gid=0"",""Gestores Escolares!D7:m""),9,0),""VERIFICAR CÓD SEC"")"),"")</f>
        <v/>
      </c>
      <c r="R1128" s="82" t="str">
        <f>IFERROR(__xludf.DUMMYFUNCTION("IFERROR(VLOOKUP(D1128,
IMPORTRANGE(""https://docs.google.com/spreadsheets/d/1MjHtlUikwobi2MaWJgy7tfLeBmhj1u-dRFRs_8GwSoA/edit#gid=0"",""Gestores Escolares!D7:m""),10,0),""VERIFICAR CÓD SEC"")"),"")</f>
        <v/>
      </c>
      <c r="S1128" s="82"/>
      <c r="T1128" s="138">
        <v>10.0</v>
      </c>
      <c r="U1128" s="145">
        <v>12.0</v>
      </c>
      <c r="V1128" s="106">
        <v>0.0</v>
      </c>
      <c r="W1128" s="107">
        <v>0.0</v>
      </c>
      <c r="X1128" s="107">
        <v>0.0</v>
      </c>
      <c r="Y1128" s="107">
        <v>0.0</v>
      </c>
      <c r="Z1128" s="80">
        <f t="shared" si="1"/>
        <v>0</v>
      </c>
      <c r="AA1128" s="106">
        <v>0.0</v>
      </c>
      <c r="AB1128" s="107">
        <v>0.0</v>
      </c>
      <c r="AC1128" s="107">
        <v>0.0</v>
      </c>
      <c r="AD1128" s="107">
        <v>0.0</v>
      </c>
      <c r="AE1128" s="80">
        <f t="shared" si="2"/>
        <v>0</v>
      </c>
      <c r="AF1128" s="140">
        <v>0.0</v>
      </c>
      <c r="AG1128" s="109">
        <v>211.0</v>
      </c>
      <c r="AH1128" s="109">
        <v>0.0</v>
      </c>
      <c r="AI1128" s="141">
        <v>131.0</v>
      </c>
      <c r="AJ1128" s="80">
        <f t="shared" si="3"/>
        <v>342</v>
      </c>
      <c r="AK1128" s="140">
        <v>0.0</v>
      </c>
      <c r="AL1128" s="109">
        <v>0.0</v>
      </c>
      <c r="AM1128" s="141">
        <v>0.0</v>
      </c>
      <c r="AN1128" s="80">
        <f t="shared" si="4"/>
        <v>0</v>
      </c>
      <c r="AO1128" s="140">
        <v>0.0</v>
      </c>
      <c r="AP1128" s="109">
        <v>0.0</v>
      </c>
      <c r="AQ1128" s="109">
        <v>30.0</v>
      </c>
      <c r="AR1128" s="80">
        <f t="shared" si="5"/>
        <v>30</v>
      </c>
      <c r="AS1128" s="110">
        <v>0.0</v>
      </c>
      <c r="AT1128" s="110">
        <v>0.0</v>
      </c>
      <c r="AU1128" s="110">
        <v>0.0</v>
      </c>
      <c r="AV1128" s="142">
        <v>60.0</v>
      </c>
      <c r="AW1128" s="80">
        <f t="shared" si="6"/>
        <v>60</v>
      </c>
      <c r="AX1128" s="113">
        <f t="shared" si="7"/>
        <v>432</v>
      </c>
      <c r="AY1128" s="117">
        <f t="shared" si="8"/>
        <v>402</v>
      </c>
      <c r="AZ1128" s="120">
        <f t="shared" si="9"/>
        <v>30</v>
      </c>
      <c r="BA1128" s="115">
        <v>0.0</v>
      </c>
      <c r="BB1128" s="89">
        <f t="shared" si="10"/>
        <v>432</v>
      </c>
      <c r="BC1128" s="132" t="s">
        <v>178</v>
      </c>
      <c r="BD1128" s="132" t="s">
        <v>178</v>
      </c>
      <c r="BE1128" s="132" t="s">
        <v>178</v>
      </c>
      <c r="BF1128" s="123"/>
      <c r="BG1128" s="83">
        <v>1123671.0</v>
      </c>
      <c r="BH1128" s="98" t="s">
        <v>6119</v>
      </c>
      <c r="BI1128" s="112">
        <v>12.0</v>
      </c>
      <c r="BJ1128" s="98" t="s">
        <v>162</v>
      </c>
      <c r="BK1128" s="99">
        <f t="shared" si="11"/>
        <v>191</v>
      </c>
      <c r="BL1128" s="99">
        <f t="shared" si="12"/>
        <v>211</v>
      </c>
      <c r="BM1128" s="99" t="str">
        <f>IFERROR(__xludf.DUMMYFUNCTION("IFERROR(VLOOKUP(BG1128,IMPORTRANGE(""https://docs.google.com/spreadsheets/d/1juPI-Fb8LD0YtltB2mlGEnp_R3UVu1t3wSFPzgCyHXE/edit?gid=0#gid=0"",""GERAL!A2:C""),3,0),""-"")"),"-")</f>
        <v>-</v>
      </c>
    </row>
    <row r="1129" ht="15.75" customHeight="1">
      <c r="A1129" s="111" t="s">
        <v>1393</v>
      </c>
      <c r="B1129" s="83" t="s">
        <v>6120</v>
      </c>
      <c r="C1129" s="83" t="s">
        <v>68</v>
      </c>
      <c r="D1129" s="112">
        <v>1179113.0</v>
      </c>
      <c r="E1129" s="83"/>
      <c r="F1129" s="83">
        <v>2.9449332E7</v>
      </c>
      <c r="G1129" s="119" t="s">
        <v>6121</v>
      </c>
      <c r="H1129" s="91" t="s">
        <v>6122</v>
      </c>
      <c r="I1129" s="83" t="s">
        <v>6123</v>
      </c>
      <c r="J1129" s="83" t="s">
        <v>6124</v>
      </c>
      <c r="K1129" s="83" t="s">
        <v>151</v>
      </c>
      <c r="L1129" s="83" t="s">
        <v>169</v>
      </c>
      <c r="M1129" s="82" t="str">
        <f>IFERROR(__xludf.DUMMYFUNCTION("IFERROR(VLOOKUP(D1129,
IMPORTRANGE(""https://docs.google.com/spreadsheets/d/1MjHtlUikwobi2MaWJgy7tfLeBmhj1u-dRFRs_8GwSoA/edit#gid=0"",""Gestores Escolares!D7:J""),3,0),""VERIFICAR CÓD SEC"")"),"LUCIENE ROCHA SILVA")</f>
        <v>LUCIENE ROCHA SILVA</v>
      </c>
      <c r="N1129" s="82" t="str">
        <f>IFERROR(__xludf.DUMMYFUNCTION("IFERROR(VLOOKUP(D1129,
IMPORTRANGE(""https://docs.google.com/spreadsheets/d/1MjHtlUikwobi2MaWJgy7tfLeBmhj1u-dRFRs_8GwSoA/edit#gid=0"",""Gestores Escolares!D7:J""),4,0),""VERIFICAR CÓD SEC"")"),"(77) 9 8877-6474")</f>
        <v>(77) 9 8877-6474</v>
      </c>
      <c r="O1129" s="82" t="str">
        <f>IFERROR(__xludf.DUMMYFUNCTION("IFERROR(VLOOKUP(D1129,
IMPORTRANGE(""https://docs.google.com/spreadsheets/d/1MjHtlUikwobi2MaWJgy7tfLeBmhj1u-dRFRs_8GwSoA/edit#gid=0"",""Gestores Escolares!D7:J""),6,0),""VERIFICAR CÓD SEC"")"),"EMANOELA LUZ SOUZA")</f>
        <v>EMANOELA LUZ SOUZA</v>
      </c>
      <c r="P1129" s="82" t="str">
        <f>IFERROR(__xludf.DUMMYFUNCTION("IFERROR(VLOOKUP(D1129,
IMPORTRANGE(""https://docs.google.com/spreadsheets/d/1MjHtlUikwobi2MaWJgy7tfLeBmhj1u-dRFRs_8GwSoA/edit#gid=0"",""Gestores Escolares!D7:J""),7,0),""VERIFICAR CÓD SEC"")"),"(77) 9 8804-8987")</f>
        <v>(77) 9 8804-8987</v>
      </c>
      <c r="Q1129" s="82" t="str">
        <f>IFERROR(__xludf.DUMMYFUNCTION("IFERROR(VLOOKUP(D1129,
IMPORTRANGE(""https://docs.google.com/spreadsheets/d/1MjHtlUikwobi2MaWJgy7tfLeBmhj1u-dRFRs_8GwSoA/edit#gid=0"",""Gestores Escolares!D7:m""),9,0),""VERIFICAR CÓD SEC"")"),"")</f>
        <v/>
      </c>
      <c r="R1129" s="82" t="str">
        <f>IFERROR(__xludf.DUMMYFUNCTION("IFERROR(VLOOKUP(D1129,
IMPORTRANGE(""https://docs.google.com/spreadsheets/d/1MjHtlUikwobi2MaWJgy7tfLeBmhj1u-dRFRs_8GwSoA/edit#gid=0"",""Gestores Escolares!D7:m""),10,0),""VERIFICAR CÓD SEC"")"),"")</f>
        <v/>
      </c>
      <c r="S1129" s="82"/>
      <c r="T1129" s="138">
        <v>4.0</v>
      </c>
      <c r="U1129" s="619" t="s">
        <v>13832</v>
      </c>
      <c r="V1129" s="106">
        <v>0.0</v>
      </c>
      <c r="W1129" s="107">
        <v>0.0</v>
      </c>
      <c r="X1129" s="107">
        <v>0.0</v>
      </c>
      <c r="Y1129" s="107">
        <v>0.0</v>
      </c>
      <c r="Z1129" s="80">
        <f t="shared" si="1"/>
        <v>0</v>
      </c>
      <c r="AA1129" s="106">
        <v>0.0</v>
      </c>
      <c r="AB1129" s="107">
        <v>0.0</v>
      </c>
      <c r="AC1129" s="107">
        <v>0.0</v>
      </c>
      <c r="AD1129" s="107">
        <v>0.0</v>
      </c>
      <c r="AE1129" s="80">
        <f t="shared" si="2"/>
        <v>0</v>
      </c>
      <c r="AF1129" s="140">
        <v>0.0</v>
      </c>
      <c r="AG1129" s="109">
        <v>0.0</v>
      </c>
      <c r="AH1129" s="109">
        <v>0.0</v>
      </c>
      <c r="AI1129" s="141">
        <v>51.0</v>
      </c>
      <c r="AJ1129" s="80">
        <f t="shared" si="3"/>
        <v>51</v>
      </c>
      <c r="AK1129" s="140">
        <v>0.0</v>
      </c>
      <c r="AL1129" s="109">
        <v>0.0</v>
      </c>
      <c r="AM1129" s="141">
        <v>0.0</v>
      </c>
      <c r="AN1129" s="80">
        <f t="shared" si="4"/>
        <v>0</v>
      </c>
      <c r="AO1129" s="140">
        <v>0.0</v>
      </c>
      <c r="AP1129" s="109">
        <v>0.0</v>
      </c>
      <c r="AQ1129" s="109">
        <v>53.0</v>
      </c>
      <c r="AR1129" s="80">
        <f t="shared" si="5"/>
        <v>53</v>
      </c>
      <c r="AS1129" s="110">
        <v>0.0</v>
      </c>
      <c r="AT1129" s="110">
        <v>0.0</v>
      </c>
      <c r="AU1129" s="110">
        <v>19.0</v>
      </c>
      <c r="AV1129" s="142">
        <v>39.0</v>
      </c>
      <c r="AW1129" s="80">
        <f t="shared" si="6"/>
        <v>58</v>
      </c>
      <c r="AX1129" s="113">
        <f t="shared" si="7"/>
        <v>162</v>
      </c>
      <c r="AY1129" s="117">
        <f t="shared" si="8"/>
        <v>90</v>
      </c>
      <c r="AZ1129" s="120">
        <f t="shared" si="9"/>
        <v>72</v>
      </c>
      <c r="BA1129" s="115">
        <v>0.0</v>
      </c>
      <c r="BB1129" s="89">
        <f t="shared" si="10"/>
        <v>162</v>
      </c>
      <c r="BC1129" s="132" t="s">
        <v>631</v>
      </c>
      <c r="BD1129" s="132" t="s">
        <v>178</v>
      </c>
      <c r="BE1129" s="132" t="s">
        <v>178</v>
      </c>
      <c r="BF1129" s="156"/>
      <c r="BG1129" s="83">
        <v>1179113.0</v>
      </c>
      <c r="BH1129" s="98" t="s">
        <v>6125</v>
      </c>
      <c r="BI1129" s="112">
        <v>4.0</v>
      </c>
      <c r="BJ1129" s="98" t="s">
        <v>155</v>
      </c>
      <c r="BK1129" s="99">
        <f t="shared" si="11"/>
        <v>90</v>
      </c>
      <c r="BL1129" s="99">
        <f t="shared" si="12"/>
        <v>0</v>
      </c>
      <c r="BM1129" s="99" t="str">
        <f>IFERROR(__xludf.DUMMYFUNCTION("IFERROR(VLOOKUP(BG1129,IMPORTRANGE(""https://docs.google.com/spreadsheets/d/1juPI-Fb8LD0YtltB2mlGEnp_R3UVu1t3wSFPzgCyHXE/edit?gid=0#gid=0"",""GERAL!A2:C""),3,0),""-"")"),"ASSENTAMENTOS")</f>
        <v>ASSENTAMENTOS</v>
      </c>
    </row>
    <row r="1130" ht="15.75" customHeight="1">
      <c r="A1130" s="111" t="s">
        <v>1393</v>
      </c>
      <c r="B1130" s="83" t="s">
        <v>6120</v>
      </c>
      <c r="C1130" s="83" t="s">
        <v>68</v>
      </c>
      <c r="D1130" s="112">
        <v>1178404.0</v>
      </c>
      <c r="E1130" s="83"/>
      <c r="F1130" s="83">
        <v>2.939586E7</v>
      </c>
      <c r="G1130" s="119" t="s">
        <v>6127</v>
      </c>
      <c r="H1130" s="91" t="s">
        <v>6128</v>
      </c>
      <c r="I1130" s="83" t="s">
        <v>6129</v>
      </c>
      <c r="J1130" s="83" t="s">
        <v>1347</v>
      </c>
      <c r="K1130" s="83" t="s">
        <v>151</v>
      </c>
      <c r="L1130" s="83" t="s">
        <v>169</v>
      </c>
      <c r="M1130" s="82" t="str">
        <f>IFERROR(__xludf.DUMMYFUNCTION("IFERROR(VLOOKUP(D1130,
IMPORTRANGE(""https://docs.google.com/spreadsheets/d/1MjHtlUikwobi2MaWJgy7tfLeBmhj1u-dRFRs_8GwSoA/edit#gid=0"",""Gestores Escolares!D7:J""),3,0),""VERIFICAR CÓD SEC"")"),"ROMENITO VIANA DE SOUZA")</f>
        <v>ROMENITO VIANA DE SOUZA</v>
      </c>
      <c r="N1130" s="82" t="str">
        <f>IFERROR(__xludf.DUMMYFUNCTION("IFERROR(VLOOKUP(D1130,
IMPORTRANGE(""https://docs.google.com/spreadsheets/d/1MjHtlUikwobi2MaWJgy7tfLeBmhj1u-dRFRs_8GwSoA/edit#gid=0"",""Gestores Escolares!D7:J""),4,0),""VERIFICAR CÓD SEC"")"),"(77) 9 9982-7725")</f>
        <v>(77) 9 9982-7725</v>
      </c>
      <c r="O1130" s="82" t="str">
        <f>IFERROR(__xludf.DUMMYFUNCTION("IFERROR(VLOOKUP(D1130,
IMPORTRANGE(""https://docs.google.com/spreadsheets/d/1MjHtlUikwobi2MaWJgy7tfLeBmhj1u-dRFRs_8GwSoA/edit#gid=0"",""Gestores Escolares!D7:J""),6,0),""VERIFICAR CÓD SEC"")"),"")</f>
        <v/>
      </c>
      <c r="P1130" s="82" t="str">
        <f>IFERROR(__xludf.DUMMYFUNCTION("IFERROR(VLOOKUP(D1130,
IMPORTRANGE(""https://docs.google.com/spreadsheets/d/1MjHtlUikwobi2MaWJgy7tfLeBmhj1u-dRFRs_8GwSoA/edit#gid=0"",""Gestores Escolares!D7:J""),7,0),""VERIFICAR CÓD SEC"")"),"")</f>
        <v/>
      </c>
      <c r="Q1130" s="82" t="str">
        <f>IFERROR(__xludf.DUMMYFUNCTION("IFERROR(VLOOKUP(D1130,
IMPORTRANGE(""https://docs.google.com/spreadsheets/d/1MjHtlUikwobi2MaWJgy7tfLeBmhj1u-dRFRs_8GwSoA/edit#gid=0"",""Gestores Escolares!D7:m""),9,0),""VERIFICAR CÓD SEC"")"),"")</f>
        <v/>
      </c>
      <c r="R1130" s="82" t="str">
        <f>IFERROR(__xludf.DUMMYFUNCTION("IFERROR(VLOOKUP(D1130,
IMPORTRANGE(""https://docs.google.com/spreadsheets/d/1MjHtlUikwobi2MaWJgy7tfLeBmhj1u-dRFRs_8GwSoA/edit#gid=0"",""Gestores Escolares!D7:m""),10,0),""VERIFICAR CÓD SEC"")"),"")</f>
        <v/>
      </c>
      <c r="S1130" s="82"/>
      <c r="T1130" s="138">
        <v>6.0</v>
      </c>
      <c r="U1130" s="173">
        <v>4.0</v>
      </c>
      <c r="V1130" s="106">
        <v>0.0</v>
      </c>
      <c r="W1130" s="107">
        <v>0.0</v>
      </c>
      <c r="X1130" s="107">
        <v>0.0</v>
      </c>
      <c r="Y1130" s="107">
        <v>0.0</v>
      </c>
      <c r="Z1130" s="80">
        <f t="shared" si="1"/>
        <v>0</v>
      </c>
      <c r="AA1130" s="106">
        <v>0.0</v>
      </c>
      <c r="AB1130" s="107">
        <v>0.0</v>
      </c>
      <c r="AC1130" s="107">
        <v>0.0</v>
      </c>
      <c r="AD1130" s="107">
        <v>0.0</v>
      </c>
      <c r="AE1130" s="80">
        <f t="shared" si="2"/>
        <v>0</v>
      </c>
      <c r="AF1130" s="140">
        <v>0.0</v>
      </c>
      <c r="AG1130" s="109">
        <v>0.0</v>
      </c>
      <c r="AH1130" s="109">
        <v>0.0</v>
      </c>
      <c r="AI1130" s="141">
        <v>102.0</v>
      </c>
      <c r="AJ1130" s="80">
        <f t="shared" si="3"/>
        <v>102</v>
      </c>
      <c r="AK1130" s="140">
        <v>0.0</v>
      </c>
      <c r="AL1130" s="109">
        <v>0.0</v>
      </c>
      <c r="AM1130" s="141">
        <v>0.0</v>
      </c>
      <c r="AN1130" s="80">
        <f t="shared" si="4"/>
        <v>0</v>
      </c>
      <c r="AO1130" s="140">
        <v>0.0</v>
      </c>
      <c r="AP1130" s="109">
        <v>0.0</v>
      </c>
      <c r="AQ1130" s="109">
        <v>113.0</v>
      </c>
      <c r="AR1130" s="80">
        <f t="shared" si="5"/>
        <v>113</v>
      </c>
      <c r="AS1130" s="110">
        <v>0.0</v>
      </c>
      <c r="AT1130" s="110">
        <v>0.0</v>
      </c>
      <c r="AU1130" s="110">
        <v>0.0</v>
      </c>
      <c r="AV1130" s="142">
        <v>20.0</v>
      </c>
      <c r="AW1130" s="80">
        <f t="shared" si="6"/>
        <v>20</v>
      </c>
      <c r="AX1130" s="113">
        <f t="shared" si="7"/>
        <v>235</v>
      </c>
      <c r="AY1130" s="117">
        <f t="shared" si="8"/>
        <v>122</v>
      </c>
      <c r="AZ1130" s="120">
        <f t="shared" si="9"/>
        <v>113</v>
      </c>
      <c r="BA1130" s="115">
        <v>0.0</v>
      </c>
      <c r="BB1130" s="89">
        <f t="shared" si="10"/>
        <v>235</v>
      </c>
      <c r="BC1130" s="132" t="s">
        <v>373</v>
      </c>
      <c r="BD1130" s="132" t="s">
        <v>178</v>
      </c>
      <c r="BE1130" s="132" t="s">
        <v>178</v>
      </c>
      <c r="BF1130" s="123"/>
      <c r="BG1130" s="83">
        <v>1178404.0</v>
      </c>
      <c r="BH1130" s="98" t="s">
        <v>6130</v>
      </c>
      <c r="BI1130" s="112">
        <v>6.0</v>
      </c>
      <c r="BJ1130" s="98" t="s">
        <v>155</v>
      </c>
      <c r="BK1130" s="99">
        <f t="shared" si="11"/>
        <v>122</v>
      </c>
      <c r="BL1130" s="99">
        <f t="shared" si="12"/>
        <v>0</v>
      </c>
      <c r="BM1130" s="99" t="str">
        <f>IFERROR(__xludf.DUMMYFUNCTION("IFERROR(VLOOKUP(BG1130,IMPORTRANGE(""https://docs.google.com/spreadsheets/d/1juPI-Fb8LD0YtltB2mlGEnp_R3UVu1t3wSFPzgCyHXE/edit?gid=0#gid=0"",""GERAL!A2:C""),3,0),""-"")"),"CAMPO")</f>
        <v>CAMPO</v>
      </c>
    </row>
    <row r="1131" ht="15.75" customHeight="1">
      <c r="A1131" s="111" t="s">
        <v>1393</v>
      </c>
      <c r="B1131" s="83" t="s">
        <v>6120</v>
      </c>
      <c r="C1131" s="83" t="s">
        <v>68</v>
      </c>
      <c r="D1131" s="112">
        <v>1124856.0</v>
      </c>
      <c r="E1131" s="83"/>
      <c r="F1131" s="83">
        <v>2.926748E7</v>
      </c>
      <c r="G1131" s="153" t="s">
        <v>6131</v>
      </c>
      <c r="H1131" s="108" t="s">
        <v>6132</v>
      </c>
      <c r="I1131" s="136" t="s">
        <v>149</v>
      </c>
      <c r="J1131" s="83" t="s">
        <v>150</v>
      </c>
      <c r="K1131" s="83" t="s">
        <v>151</v>
      </c>
      <c r="L1131" s="83" t="s">
        <v>230</v>
      </c>
      <c r="M1131" s="82" t="str">
        <f>IFERROR(__xludf.DUMMYFUNCTION("IFERROR(VLOOKUP(D1131,
IMPORTRANGE(""https://docs.google.com/spreadsheets/d/1MjHtlUikwobi2MaWJgy7tfLeBmhj1u-dRFRs_8GwSoA/edit#gid=0"",""Gestores Escolares!D7:J""),3,0),""VERIFICAR CÓD SEC"")")," SATURNINO BARBOSA DOS SANTOS NETO")</f>
        <v> SATURNINO BARBOSA DOS SANTOS NETO</v>
      </c>
      <c r="N1131" s="82" t="str">
        <f>IFERROR(__xludf.DUMMYFUNCTION("IFERROR(VLOOKUP(D1131,
IMPORTRANGE(""https://docs.google.com/spreadsheets/d/1MjHtlUikwobi2MaWJgy7tfLeBmhj1u-dRFRs_8GwSoA/edit#gid=0"",""Gestores Escolares!D7:J""),4,0),""VERIFICAR CÓD SEC"")"),"(77) 9 9992-9074")</f>
        <v>(77) 9 9992-9074</v>
      </c>
      <c r="O1131" s="82" t="str">
        <f>IFERROR(__xludf.DUMMYFUNCTION("IFERROR(VLOOKUP(D1131,
IMPORTRANGE(""https://docs.google.com/spreadsheets/d/1MjHtlUikwobi2MaWJgy7tfLeBmhj1u-dRFRs_8GwSoA/edit#gid=0"",""Gestores Escolares!D7:J""),6,0),""VERIFICAR CÓD SEC"")"),"MARIA LANE SABINO DA CUNHA ALMEIDA")</f>
        <v>MARIA LANE SABINO DA CUNHA ALMEIDA</v>
      </c>
      <c r="P1131" s="82" t="str">
        <f>IFERROR(__xludf.DUMMYFUNCTION("IFERROR(VLOOKUP(D1131,
IMPORTRANGE(""https://docs.google.com/spreadsheets/d/1MjHtlUikwobi2MaWJgy7tfLeBmhj1u-dRFRs_8GwSoA/edit#gid=0"",""Gestores Escolares!D7:J""),7,0),""VERIFICAR CÓD SEC"")"),"(77) 9 9960-8477")</f>
        <v>(77) 9 9960-8477</v>
      </c>
      <c r="Q1131" s="82" t="str">
        <f>IFERROR(__xludf.DUMMYFUNCTION("IFERROR(VLOOKUP(D1131,
IMPORTRANGE(""https://docs.google.com/spreadsheets/d/1MjHtlUikwobi2MaWJgy7tfLeBmhj1u-dRFRs_8GwSoA/edit#gid=0"",""Gestores Escolares!D7:m""),9,0),""VERIFICAR CÓD SEC"")"),"MARILANDIA COSTA MOREIRA")</f>
        <v>MARILANDIA COSTA MOREIRA</v>
      </c>
      <c r="R1131" s="82" t="str">
        <f>IFERROR(__xludf.DUMMYFUNCTION("IFERROR(VLOOKUP(D1131,
IMPORTRANGE(""https://docs.google.com/spreadsheets/d/1MjHtlUikwobi2MaWJgy7tfLeBmhj1u-dRFRs_8GwSoA/edit#gid=0"",""Gestores Escolares!D7:m""),10,0),""VERIFICAR CÓD SEC"")"),"(77) 9 8888-9951")</f>
        <v>(77) 9 8888-9951</v>
      </c>
      <c r="S1131" s="82"/>
      <c r="T1131" s="138">
        <v>11.0</v>
      </c>
      <c r="U1131" s="173">
        <v>24.0</v>
      </c>
      <c r="V1131" s="106">
        <v>0.0</v>
      </c>
      <c r="W1131" s="107">
        <v>0.0</v>
      </c>
      <c r="X1131" s="107">
        <v>0.0</v>
      </c>
      <c r="Y1131" s="107">
        <v>0.0</v>
      </c>
      <c r="Z1131" s="80">
        <f t="shared" si="1"/>
        <v>0</v>
      </c>
      <c r="AA1131" s="106">
        <v>0.0</v>
      </c>
      <c r="AB1131" s="107">
        <v>0.0</v>
      </c>
      <c r="AC1131" s="107">
        <v>0.0</v>
      </c>
      <c r="AD1131" s="107">
        <v>0.0</v>
      </c>
      <c r="AE1131" s="80">
        <f t="shared" si="2"/>
        <v>0</v>
      </c>
      <c r="AF1131" s="140">
        <v>145.0</v>
      </c>
      <c r="AG1131" s="109">
        <v>0.0</v>
      </c>
      <c r="AH1131" s="109">
        <v>0.0</v>
      </c>
      <c r="AI1131" s="141">
        <v>575.0</v>
      </c>
      <c r="AJ1131" s="80">
        <f t="shared" si="3"/>
        <v>720</v>
      </c>
      <c r="AK1131" s="140">
        <v>0.0</v>
      </c>
      <c r="AL1131" s="109">
        <v>0.0</v>
      </c>
      <c r="AM1131" s="141">
        <v>0.0</v>
      </c>
      <c r="AN1131" s="80">
        <f t="shared" si="4"/>
        <v>0</v>
      </c>
      <c r="AO1131" s="140">
        <v>0.0</v>
      </c>
      <c r="AP1131" s="109">
        <v>0.0</v>
      </c>
      <c r="AQ1131" s="109">
        <v>164.0</v>
      </c>
      <c r="AR1131" s="80">
        <f t="shared" si="5"/>
        <v>164</v>
      </c>
      <c r="AS1131" s="110">
        <v>0.0</v>
      </c>
      <c r="AT1131" s="110">
        <v>0.0</v>
      </c>
      <c r="AU1131" s="110">
        <v>22.0</v>
      </c>
      <c r="AV1131" s="142">
        <v>34.0</v>
      </c>
      <c r="AW1131" s="80">
        <f t="shared" si="6"/>
        <v>56</v>
      </c>
      <c r="AX1131" s="113">
        <f t="shared" si="7"/>
        <v>940</v>
      </c>
      <c r="AY1131" s="117">
        <f t="shared" si="8"/>
        <v>754</v>
      </c>
      <c r="AZ1131" s="120">
        <f t="shared" si="9"/>
        <v>186</v>
      </c>
      <c r="BA1131" s="115">
        <v>0.0</v>
      </c>
      <c r="BB1131" s="89">
        <f t="shared" si="10"/>
        <v>940</v>
      </c>
      <c r="BC1131" s="132" t="s">
        <v>178</v>
      </c>
      <c r="BD1131" s="132" t="s">
        <v>178</v>
      </c>
      <c r="BE1131" s="132" t="s">
        <v>178</v>
      </c>
      <c r="BF1131" s="123"/>
      <c r="BG1131" s="83">
        <v>1124856.0</v>
      </c>
      <c r="BH1131" s="98" t="s">
        <v>6133</v>
      </c>
      <c r="BI1131" s="112">
        <v>24.0</v>
      </c>
      <c r="BJ1131" s="98" t="s">
        <v>162</v>
      </c>
      <c r="BK1131" s="99">
        <f t="shared" si="11"/>
        <v>609</v>
      </c>
      <c r="BL1131" s="99">
        <f t="shared" si="12"/>
        <v>145</v>
      </c>
      <c r="BM1131" s="99" t="str">
        <f>IFERROR(__xludf.DUMMYFUNCTION("IFERROR(VLOOKUP(BG1131,IMPORTRANGE(""https://docs.google.com/spreadsheets/d/1juPI-Fb8LD0YtltB2mlGEnp_R3UVu1t3wSFPzgCyHXE/edit?gid=0#gid=0"",""GERAL!A2:C""),3,0),""-"")"),"-")</f>
        <v>-</v>
      </c>
    </row>
    <row r="1132" ht="15.75" customHeight="1">
      <c r="A1132" s="111" t="s">
        <v>1393</v>
      </c>
      <c r="B1132" s="83" t="s">
        <v>6120</v>
      </c>
      <c r="C1132" s="83" t="s">
        <v>164</v>
      </c>
      <c r="D1132" s="112">
        <v>1179113.0</v>
      </c>
      <c r="E1132" s="83">
        <v>1179641.0</v>
      </c>
      <c r="F1132" s="83">
        <v>2.9449332E7</v>
      </c>
      <c r="G1132" s="119" t="s">
        <v>6134</v>
      </c>
      <c r="H1132" s="91" t="s">
        <v>6135</v>
      </c>
      <c r="I1132" s="83" t="s">
        <v>6136</v>
      </c>
      <c r="J1132" s="83" t="s">
        <v>2821</v>
      </c>
      <c r="K1132" s="83" t="s">
        <v>151</v>
      </c>
      <c r="L1132" s="83" t="s">
        <v>169</v>
      </c>
      <c r="M1132" s="82" t="str">
        <f>IFERROR(__xludf.DUMMYFUNCTION("IFERROR(VLOOKUP(D1132,
IMPORTRANGE(""https://docs.google.com/spreadsheets/d/1MjHtlUikwobi2MaWJgy7tfLeBmhj1u-dRFRs_8GwSoA/edit#gid=0"",""Gestores Escolares!D7:J""),3,0),""VERIFICAR CÓD SEC"")"),"LUCIENE ROCHA SILVA")</f>
        <v>LUCIENE ROCHA SILVA</v>
      </c>
      <c r="N1132" s="82" t="str">
        <f>IFERROR(__xludf.DUMMYFUNCTION("IFERROR(VLOOKUP(D1132,
IMPORTRANGE(""https://docs.google.com/spreadsheets/d/1MjHtlUikwobi2MaWJgy7tfLeBmhj1u-dRFRs_8GwSoA/edit#gid=0"",""Gestores Escolares!D7:J""),4,0),""VERIFICAR CÓD SEC"")"),"(77) 9 8877-6474")</f>
        <v>(77) 9 8877-6474</v>
      </c>
      <c r="O1132" s="82" t="str">
        <f>IFERROR(__xludf.DUMMYFUNCTION("IFERROR(VLOOKUP(D1132,
IMPORTRANGE(""https://docs.google.com/spreadsheets/d/1MjHtlUikwobi2MaWJgy7tfLeBmhj1u-dRFRs_8GwSoA/edit#gid=0"",""Gestores Escolares!D7:J""),6,0),""VERIFICAR CÓD SEC"")"),"EMANOELA LUZ SOUZA")</f>
        <v>EMANOELA LUZ SOUZA</v>
      </c>
      <c r="P1132" s="82" t="str">
        <f>IFERROR(__xludf.DUMMYFUNCTION("IFERROR(VLOOKUP(D1132,
IMPORTRANGE(""https://docs.google.com/spreadsheets/d/1MjHtlUikwobi2MaWJgy7tfLeBmhj1u-dRFRs_8GwSoA/edit#gid=0"",""Gestores Escolares!D7:J""),7,0),""VERIFICAR CÓD SEC"")"),"(77) 9 8804-8987")</f>
        <v>(77) 9 8804-8987</v>
      </c>
      <c r="Q1132" s="82" t="str">
        <f>IFERROR(__xludf.DUMMYFUNCTION("IFERROR(VLOOKUP(D1132,
IMPORTRANGE(""https://docs.google.com/spreadsheets/d/1MjHtlUikwobi2MaWJgy7tfLeBmhj1u-dRFRs_8GwSoA/edit#gid=0"",""Gestores Escolares!D7:m""),9,0),""VERIFICAR CÓD SEC"")"),"")</f>
        <v/>
      </c>
      <c r="R1132" s="82" t="str">
        <f>IFERROR(__xludf.DUMMYFUNCTION("IFERROR(VLOOKUP(D1132,
IMPORTRANGE(""https://docs.google.com/spreadsheets/d/1MjHtlUikwobi2MaWJgy7tfLeBmhj1u-dRFRs_8GwSoA/edit#gid=0"",""Gestores Escolares!D7:m""),10,0),""VERIFICAR CÓD SEC"")"),"")</f>
        <v/>
      </c>
      <c r="S1132" s="82"/>
      <c r="T1132" s="138">
        <v>4.0</v>
      </c>
      <c r="U1132" s="173">
        <v>2.0</v>
      </c>
      <c r="V1132" s="106">
        <v>0.0</v>
      </c>
      <c r="W1132" s="107">
        <v>0.0</v>
      </c>
      <c r="X1132" s="107">
        <v>0.0</v>
      </c>
      <c r="Y1132" s="107">
        <v>0.0</v>
      </c>
      <c r="Z1132" s="80">
        <f t="shared" si="1"/>
        <v>0</v>
      </c>
      <c r="AA1132" s="106">
        <v>0.0</v>
      </c>
      <c r="AB1132" s="107">
        <v>0.0</v>
      </c>
      <c r="AC1132" s="107">
        <v>0.0</v>
      </c>
      <c r="AD1132" s="107">
        <v>0.0</v>
      </c>
      <c r="AE1132" s="80">
        <f t="shared" si="2"/>
        <v>0</v>
      </c>
      <c r="AF1132" s="140">
        <v>0.0</v>
      </c>
      <c r="AG1132" s="109">
        <v>0.0</v>
      </c>
      <c r="AH1132" s="109">
        <v>0.0</v>
      </c>
      <c r="AI1132" s="141">
        <v>0.0</v>
      </c>
      <c r="AJ1132" s="80">
        <f t="shared" si="3"/>
        <v>0</v>
      </c>
      <c r="AK1132" s="140">
        <v>0.0</v>
      </c>
      <c r="AL1132" s="109">
        <v>0.0</v>
      </c>
      <c r="AM1132" s="141">
        <v>0.0</v>
      </c>
      <c r="AN1132" s="80">
        <f t="shared" si="4"/>
        <v>0</v>
      </c>
      <c r="AO1132" s="140">
        <v>0.0</v>
      </c>
      <c r="AP1132" s="109">
        <v>0.0</v>
      </c>
      <c r="AQ1132" s="109">
        <v>0.0</v>
      </c>
      <c r="AR1132" s="80">
        <f t="shared" si="5"/>
        <v>0</v>
      </c>
      <c r="AS1132" s="110">
        <v>0.0</v>
      </c>
      <c r="AT1132" s="110">
        <v>0.0</v>
      </c>
      <c r="AU1132" s="110">
        <v>12.0</v>
      </c>
      <c r="AV1132" s="142">
        <v>29.0</v>
      </c>
      <c r="AW1132" s="80">
        <f t="shared" si="6"/>
        <v>41</v>
      </c>
      <c r="AX1132" s="113">
        <f t="shared" si="7"/>
        <v>41</v>
      </c>
      <c r="AY1132" s="117">
        <f t="shared" si="8"/>
        <v>29</v>
      </c>
      <c r="AZ1132" s="120">
        <f t="shared" si="9"/>
        <v>12</v>
      </c>
      <c r="BA1132" s="115">
        <v>0.0</v>
      </c>
      <c r="BB1132" s="89">
        <f t="shared" si="10"/>
        <v>41</v>
      </c>
      <c r="BC1132" s="132" t="s">
        <v>631</v>
      </c>
      <c r="BD1132" s="132" t="s">
        <v>178</v>
      </c>
      <c r="BE1132" s="132" t="s">
        <v>178</v>
      </c>
      <c r="BF1132" s="156"/>
      <c r="BG1132" s="83">
        <v>1179641.0</v>
      </c>
      <c r="BH1132" s="112"/>
      <c r="BI1132" s="112">
        <v>2.0</v>
      </c>
      <c r="BJ1132" s="98" t="s">
        <v>155</v>
      </c>
      <c r="BK1132" s="99">
        <f t="shared" si="11"/>
        <v>29</v>
      </c>
      <c r="BL1132" s="99">
        <f t="shared" si="12"/>
        <v>0</v>
      </c>
      <c r="BM1132" s="99" t="str">
        <f>IFERROR(__xludf.DUMMYFUNCTION("IFERROR(VLOOKUP(BG1132,IMPORTRANGE(""https://docs.google.com/spreadsheets/d/1juPI-Fb8LD0YtltB2mlGEnp_R3UVu1t3wSFPzgCyHXE/edit?gid=0#gid=0"",""GERAL!A2:C""),3,0),""-"")"),"ASSENTAMENTOS")</f>
        <v>ASSENTAMENTOS</v>
      </c>
    </row>
    <row r="1133" ht="15.75" customHeight="1">
      <c r="A1133" s="111" t="s">
        <v>1393</v>
      </c>
      <c r="B1133" s="83" t="s">
        <v>6120</v>
      </c>
      <c r="C1133" s="83" t="s">
        <v>164</v>
      </c>
      <c r="D1133" s="112">
        <v>1179285.0</v>
      </c>
      <c r="E1133" s="83">
        <v>1179723.0</v>
      </c>
      <c r="F1133" s="83">
        <v>2.9461472E7</v>
      </c>
      <c r="G1133" s="114" t="s">
        <v>6145</v>
      </c>
      <c r="H1133" s="108" t="s">
        <v>6147</v>
      </c>
      <c r="I1133" s="98" t="s">
        <v>6148</v>
      </c>
      <c r="J1133" s="83" t="s">
        <v>2668</v>
      </c>
      <c r="K1133" s="83" t="s">
        <v>151</v>
      </c>
      <c r="L1133" s="83" t="s">
        <v>512</v>
      </c>
      <c r="M1133" s="82" t="str">
        <f>IFERROR(__xludf.DUMMYFUNCTION("IFERROR(VLOOKUP(D1133,
IMPORTRANGE(""https://docs.google.com/spreadsheets/d/1MjHtlUikwobi2MaWJgy7tfLeBmhj1u-dRFRs_8GwSoA/edit#gid=0"",""Gestores Escolares!D7:J""),3,0),""VERIFICAR CÓD SEC"")"),"MONIQUE ALVES BRITO")</f>
        <v>MONIQUE ALVES BRITO</v>
      </c>
      <c r="N1133" s="82" t="str">
        <f>IFERROR(__xludf.DUMMYFUNCTION("IFERROR(VLOOKUP(D1133,
IMPORTRANGE(""https://docs.google.com/spreadsheets/d/1MjHtlUikwobi2MaWJgy7tfLeBmhj1u-dRFRs_8GwSoA/edit#gid=0"",""Gestores Escolares!D7:J""),4,0),""VERIFICAR CÓD SEC"")"),"(71) 9 8622-0492")</f>
        <v>(71) 9 8622-0492</v>
      </c>
      <c r="O1133" s="82" t="str">
        <f>IFERROR(__xludf.DUMMYFUNCTION("IFERROR(VLOOKUP(D1133,
IMPORTRANGE(""https://docs.google.com/spreadsheets/d/1MjHtlUikwobi2MaWJgy7tfLeBmhj1u-dRFRs_8GwSoA/edit#gid=0"",""Gestores Escolares!D7:J""),6,0),""VERIFICAR CÓD SEC"")"),"DANILO LARANJEIRA DE JESUS")</f>
        <v>DANILO LARANJEIRA DE JESUS</v>
      </c>
      <c r="P1133" s="82" t="str">
        <f>IFERROR(__xludf.DUMMYFUNCTION("IFERROR(VLOOKUP(D1133,
IMPORTRANGE(""https://docs.google.com/spreadsheets/d/1MjHtlUikwobi2MaWJgy7tfLeBmhj1u-dRFRs_8GwSoA/edit#gid=0"",""Gestores Escolares!D7:J""),7,0),""VERIFICAR CÓD SEC"")"),"(73) 9 8123-1590")</f>
        <v>(73) 9 8123-1590</v>
      </c>
      <c r="Q1133" s="82" t="str">
        <f>IFERROR(__xludf.DUMMYFUNCTION("IFERROR(VLOOKUP(D1133,
IMPORTRANGE(""https://docs.google.com/spreadsheets/d/1MjHtlUikwobi2MaWJgy7tfLeBmhj1u-dRFRs_8GwSoA/edit#gid=0"",""Gestores Escolares!D7:m""),9,0),""VERIFICAR CÓD SEC"")")," RICARDO COSTA DE MORAES")</f>
        <v> RICARDO COSTA DE MORAES</v>
      </c>
      <c r="R1133" s="82" t="str">
        <f>IFERROR(__xludf.DUMMYFUNCTION("IFERROR(VLOOKUP(D1133,
IMPORTRANGE(""https://docs.google.com/spreadsheets/d/1MjHtlUikwobi2MaWJgy7tfLeBmhj1u-dRFRs_8GwSoA/edit#gid=0"",""Gestores Escolares!D7:m""),10,0),""VERIFICAR CÓD SEC"")"),"(77) 9 8816-9018")</f>
        <v>(77) 9 8816-9018</v>
      </c>
      <c r="S1133" s="82"/>
      <c r="T1133" s="138"/>
      <c r="U1133" s="173">
        <v>2.0</v>
      </c>
      <c r="V1133" s="106">
        <v>0.0</v>
      </c>
      <c r="W1133" s="107">
        <v>0.0</v>
      </c>
      <c r="X1133" s="107">
        <v>0.0</v>
      </c>
      <c r="Y1133" s="107">
        <v>0.0</v>
      </c>
      <c r="Z1133" s="80">
        <f t="shared" si="1"/>
        <v>0</v>
      </c>
      <c r="AA1133" s="106">
        <v>0.0</v>
      </c>
      <c r="AB1133" s="107">
        <v>0.0</v>
      </c>
      <c r="AC1133" s="107">
        <v>0.0</v>
      </c>
      <c r="AD1133" s="107">
        <v>0.0</v>
      </c>
      <c r="AE1133" s="80">
        <f t="shared" si="2"/>
        <v>0</v>
      </c>
      <c r="AF1133" s="140">
        <v>0.0</v>
      </c>
      <c r="AG1133" s="109">
        <v>0.0</v>
      </c>
      <c r="AH1133" s="109">
        <v>38.0</v>
      </c>
      <c r="AI1133" s="141">
        <v>0.0</v>
      </c>
      <c r="AJ1133" s="80">
        <f t="shared" si="3"/>
        <v>38</v>
      </c>
      <c r="AK1133" s="140">
        <v>0.0</v>
      </c>
      <c r="AL1133" s="109">
        <v>0.0</v>
      </c>
      <c r="AM1133" s="141">
        <v>0.0</v>
      </c>
      <c r="AN1133" s="80">
        <f t="shared" si="4"/>
        <v>0</v>
      </c>
      <c r="AO1133" s="140">
        <v>0.0</v>
      </c>
      <c r="AP1133" s="109">
        <v>0.0</v>
      </c>
      <c r="AQ1133" s="109">
        <v>0.0</v>
      </c>
      <c r="AR1133" s="80">
        <f t="shared" si="5"/>
        <v>0</v>
      </c>
      <c r="AS1133" s="110">
        <v>0.0</v>
      </c>
      <c r="AT1133" s="110">
        <v>0.0</v>
      </c>
      <c r="AU1133" s="110">
        <v>0.0</v>
      </c>
      <c r="AV1133" s="142">
        <v>0.0</v>
      </c>
      <c r="AW1133" s="80">
        <f t="shared" si="6"/>
        <v>0</v>
      </c>
      <c r="AX1133" s="113">
        <f t="shared" si="7"/>
        <v>38</v>
      </c>
      <c r="AY1133" s="117">
        <f t="shared" si="8"/>
        <v>0</v>
      </c>
      <c r="AZ1133" s="120">
        <f t="shared" si="9"/>
        <v>38</v>
      </c>
      <c r="BA1133" s="115">
        <v>0.0</v>
      </c>
      <c r="BB1133" s="89">
        <f t="shared" si="10"/>
        <v>38</v>
      </c>
      <c r="BC1133" s="132" t="s">
        <v>178</v>
      </c>
      <c r="BD1133" s="143" t="s">
        <v>227</v>
      </c>
      <c r="BE1133" s="132" t="s">
        <v>178</v>
      </c>
      <c r="BF1133" s="156"/>
      <c r="BG1133" s="83">
        <v>1179723.0</v>
      </c>
      <c r="BH1133" s="112"/>
      <c r="BI1133" s="112">
        <v>2.0</v>
      </c>
      <c r="BJ1133" s="98" t="s">
        <v>155</v>
      </c>
      <c r="BK1133" s="99">
        <f t="shared" si="11"/>
        <v>0</v>
      </c>
      <c r="BL1133" s="99">
        <f t="shared" si="12"/>
        <v>0</v>
      </c>
      <c r="BM1133" s="99" t="str">
        <f>IFERROR(__xludf.DUMMYFUNCTION("IFERROR(VLOOKUP(BG1133,IMPORTRANGE(""https://docs.google.com/spreadsheets/d/1juPI-Fb8LD0YtltB2mlGEnp_R3UVu1t3wSFPzgCyHXE/edit?gid=0#gid=0"",""GERAL!A2:C""),3,0),""-"")"),"-")</f>
        <v>-</v>
      </c>
    </row>
    <row r="1134" ht="15.75" customHeight="1">
      <c r="A1134" s="111" t="s">
        <v>1393</v>
      </c>
      <c r="B1134" s="83" t="s">
        <v>6149</v>
      </c>
      <c r="C1134" s="83" t="s">
        <v>68</v>
      </c>
      <c r="D1134" s="112">
        <v>1124872.0</v>
      </c>
      <c r="E1134" s="146"/>
      <c r="F1134" s="83">
        <v>2.9268168E7</v>
      </c>
      <c r="G1134" s="119" t="s">
        <v>13833</v>
      </c>
      <c r="H1134" s="91" t="s">
        <v>6151</v>
      </c>
      <c r="I1134" s="136" t="s">
        <v>149</v>
      </c>
      <c r="J1134" s="83" t="s">
        <v>150</v>
      </c>
      <c r="K1134" s="83" t="s">
        <v>151</v>
      </c>
      <c r="L1134" s="98" t="s">
        <v>152</v>
      </c>
      <c r="M1134" s="82" t="str">
        <f>IFERROR(__xludf.DUMMYFUNCTION("IFERROR(VLOOKUP(D1134,
IMPORTRANGE(""https://docs.google.com/spreadsheets/d/1MjHtlUikwobi2MaWJgy7tfLeBmhj1u-dRFRs_8GwSoA/edit#gid=0"",""Gestores Escolares!D7:J""),3,0),""VERIFICAR CÓD SEC"")"),"LUCIANO WEBER NUNES DE AGUIAR")</f>
        <v>LUCIANO WEBER NUNES DE AGUIAR</v>
      </c>
      <c r="N1134" s="82" t="str">
        <f>IFERROR(__xludf.DUMMYFUNCTION("IFERROR(VLOOKUP(D1134,
IMPORTRANGE(""https://docs.google.com/spreadsheets/d/1MjHtlUikwobi2MaWJgy7tfLeBmhj1u-dRFRs_8GwSoA/edit#gid=0"",""Gestores Escolares!D7:J""),4,0),""VERIFICAR CÓD SEC"")"),"(77) 9 9966-8653")</f>
        <v>(77) 9 9966-8653</v>
      </c>
      <c r="O1134" s="82" t="str">
        <f>IFERROR(__xludf.DUMMYFUNCTION("IFERROR(VLOOKUP(D1134,
IMPORTRANGE(""https://docs.google.com/spreadsheets/d/1MjHtlUikwobi2MaWJgy7tfLeBmhj1u-dRFRs_8GwSoA/edit#gid=0"",""Gestores Escolares!D7:J""),6,0),""VERIFICAR CÓD SEC"")"),"PAULA FERRAZ OLIVEIRA")</f>
        <v>PAULA FERRAZ OLIVEIRA</v>
      </c>
      <c r="P1134" s="82" t="str">
        <f>IFERROR(__xludf.DUMMYFUNCTION("IFERROR(VLOOKUP(D1134,
IMPORTRANGE(""https://docs.google.com/spreadsheets/d/1MjHtlUikwobi2MaWJgy7tfLeBmhj1u-dRFRs_8GwSoA/edit#gid=0"",""Gestores Escolares!D7:J""),7,0),""VERIFICAR CÓD SEC"")"),"(77) 9 9964- 0593")</f>
        <v>(77) 9 9964- 0593</v>
      </c>
      <c r="Q1134" s="82" t="str">
        <f>IFERROR(__xludf.DUMMYFUNCTION("IFERROR(VLOOKUP(D1134,
IMPORTRANGE(""https://docs.google.com/spreadsheets/d/1MjHtlUikwobi2MaWJgy7tfLeBmhj1u-dRFRs_8GwSoA/edit#gid=0"",""Gestores Escolares!D7:m""),9,0),""VERIFICAR CÓD SEC"")"),"CASSIANA PAULA FERRAZ SANTOS SILVA")</f>
        <v>CASSIANA PAULA FERRAZ SANTOS SILVA</v>
      </c>
      <c r="R1134" s="82" t="str">
        <f>IFERROR(__xludf.DUMMYFUNCTION("IFERROR(VLOOKUP(D1134,
IMPORTRANGE(""https://docs.google.com/spreadsheets/d/1MjHtlUikwobi2MaWJgy7tfLeBmhj1u-dRFRs_8GwSoA/edit#gid=0"",""Gestores Escolares!D7:m""),10,0),""VERIFICAR CÓD SEC"")"),"(77) 9 9954- 3520/
9 9919-1036")</f>
        <v>(77) 9 9954- 3520/
9 9919-1036</v>
      </c>
      <c r="S1134" s="82"/>
      <c r="T1134" s="138">
        <v>10.0</v>
      </c>
      <c r="U1134" s="217" t="s">
        <v>13834</v>
      </c>
      <c r="V1134" s="106">
        <v>0.0</v>
      </c>
      <c r="W1134" s="107">
        <v>0.0</v>
      </c>
      <c r="X1134" s="107">
        <v>0.0</v>
      </c>
      <c r="Y1134" s="107">
        <v>0.0</v>
      </c>
      <c r="Z1134" s="80">
        <f t="shared" si="1"/>
        <v>0</v>
      </c>
      <c r="AA1134" s="106">
        <v>0.0</v>
      </c>
      <c r="AB1134" s="107">
        <v>0.0</v>
      </c>
      <c r="AC1134" s="107">
        <v>0.0</v>
      </c>
      <c r="AD1134" s="107">
        <v>0.0</v>
      </c>
      <c r="AE1134" s="80">
        <f t="shared" si="2"/>
        <v>0</v>
      </c>
      <c r="AF1134" s="222">
        <v>20.0</v>
      </c>
      <c r="AG1134" s="222">
        <v>277.0</v>
      </c>
      <c r="AH1134" s="222">
        <v>0.0</v>
      </c>
      <c r="AI1134" s="224">
        <v>216.0</v>
      </c>
      <c r="AJ1134" s="80">
        <f t="shared" si="3"/>
        <v>513</v>
      </c>
      <c r="AK1134" s="140">
        <v>0.0</v>
      </c>
      <c r="AL1134" s="109">
        <v>0.0</v>
      </c>
      <c r="AM1134" s="141">
        <v>0.0</v>
      </c>
      <c r="AN1134" s="80">
        <f t="shared" si="4"/>
        <v>0</v>
      </c>
      <c r="AO1134" s="222">
        <v>0.0</v>
      </c>
      <c r="AP1134" s="222">
        <v>0.0</v>
      </c>
      <c r="AQ1134" s="224">
        <v>127.0</v>
      </c>
      <c r="AR1134" s="80">
        <f t="shared" si="5"/>
        <v>127</v>
      </c>
      <c r="AS1134" s="110">
        <v>0.0</v>
      </c>
      <c r="AT1134" s="110">
        <v>0.0</v>
      </c>
      <c r="AU1134" s="110">
        <v>12.0</v>
      </c>
      <c r="AV1134" s="142">
        <v>63.0</v>
      </c>
      <c r="AW1134" s="80">
        <f t="shared" si="6"/>
        <v>75</v>
      </c>
      <c r="AX1134" s="113">
        <f t="shared" si="7"/>
        <v>715</v>
      </c>
      <c r="AY1134" s="117">
        <f t="shared" si="8"/>
        <v>576</v>
      </c>
      <c r="AZ1134" s="120">
        <f t="shared" si="9"/>
        <v>139</v>
      </c>
      <c r="BA1134" s="115">
        <v>0.0</v>
      </c>
      <c r="BB1134" s="89">
        <f t="shared" si="10"/>
        <v>715</v>
      </c>
      <c r="BC1134" s="132" t="s">
        <v>178</v>
      </c>
      <c r="BD1134" s="132" t="s">
        <v>178</v>
      </c>
      <c r="BE1134" s="132" t="s">
        <v>178</v>
      </c>
      <c r="BF1134" s="123"/>
      <c r="BG1134" s="83">
        <v>1124872.0</v>
      </c>
      <c r="BH1134" s="98" t="s">
        <v>6152</v>
      </c>
      <c r="BI1134" s="112">
        <v>11.0</v>
      </c>
      <c r="BJ1134" s="98" t="s">
        <v>176</v>
      </c>
      <c r="BK1134" s="99">
        <f t="shared" si="11"/>
        <v>279</v>
      </c>
      <c r="BL1134" s="99">
        <f t="shared" si="12"/>
        <v>297</v>
      </c>
      <c r="BM1134" s="99" t="str">
        <f>IFERROR(__xludf.DUMMYFUNCTION("IFERROR(VLOOKUP(BG1134,IMPORTRANGE(""https://docs.google.com/spreadsheets/d/1juPI-Fb8LD0YtltB2mlGEnp_R3UVu1t3wSFPzgCyHXE/edit?gid=0#gid=0"",""GERAL!A2:C""),3,0),""-"")"),"-")</f>
        <v>-</v>
      </c>
    </row>
    <row r="1135" ht="15.75" customHeight="1">
      <c r="A1135" s="111" t="s">
        <v>1393</v>
      </c>
      <c r="B1135" s="83" t="s">
        <v>6149</v>
      </c>
      <c r="C1135" s="83" t="s">
        <v>164</v>
      </c>
      <c r="D1135" s="112">
        <v>1124872.0</v>
      </c>
      <c r="E1135" s="83">
        <v>1178762.0</v>
      </c>
      <c r="F1135" s="98">
        <v>2.9491266E7</v>
      </c>
      <c r="G1135" s="119" t="s">
        <v>6154</v>
      </c>
      <c r="H1135" s="91" t="s">
        <v>6155</v>
      </c>
      <c r="I1135" s="136" t="s">
        <v>6156</v>
      </c>
      <c r="J1135" s="83" t="s">
        <v>2821</v>
      </c>
      <c r="K1135" s="83" t="s">
        <v>168</v>
      </c>
      <c r="L1135" s="83" t="s">
        <v>169</v>
      </c>
      <c r="M1135" s="82" t="str">
        <f>IFERROR(__xludf.DUMMYFUNCTION("IFERROR(VLOOKUP(D1135,
IMPORTRANGE(""https://docs.google.com/spreadsheets/d/1MjHtlUikwobi2MaWJgy7tfLeBmhj1u-dRFRs_8GwSoA/edit#gid=0"",""Gestores Escolares!D7:J""),3,0),""VERIFICAR CÓD SEC"")"),"LUCIANO WEBER NUNES DE AGUIAR")</f>
        <v>LUCIANO WEBER NUNES DE AGUIAR</v>
      </c>
      <c r="N1135" s="82" t="str">
        <f>IFERROR(__xludf.DUMMYFUNCTION("IFERROR(VLOOKUP(D1135,
IMPORTRANGE(""https://docs.google.com/spreadsheets/d/1MjHtlUikwobi2MaWJgy7tfLeBmhj1u-dRFRs_8GwSoA/edit#gid=0"",""Gestores Escolares!D7:J""),4,0),""VERIFICAR CÓD SEC"")"),"(77) 9 9966-8653")</f>
        <v>(77) 9 9966-8653</v>
      </c>
      <c r="O1135" s="82" t="str">
        <f>IFERROR(__xludf.DUMMYFUNCTION("IFERROR(VLOOKUP(D1135,
IMPORTRANGE(""https://docs.google.com/spreadsheets/d/1MjHtlUikwobi2MaWJgy7tfLeBmhj1u-dRFRs_8GwSoA/edit#gid=0"",""Gestores Escolares!D7:J""),6,0),""VERIFICAR CÓD SEC"")"),"PAULA FERRAZ OLIVEIRA")</f>
        <v>PAULA FERRAZ OLIVEIRA</v>
      </c>
      <c r="P1135" s="82" t="str">
        <f>IFERROR(__xludf.DUMMYFUNCTION("IFERROR(VLOOKUP(D1135,
IMPORTRANGE(""https://docs.google.com/spreadsheets/d/1MjHtlUikwobi2MaWJgy7tfLeBmhj1u-dRFRs_8GwSoA/edit#gid=0"",""Gestores Escolares!D7:J""),7,0),""VERIFICAR CÓD SEC"")"),"(77) 9 9964- 0593")</f>
        <v>(77) 9 9964- 0593</v>
      </c>
      <c r="Q1135" s="82" t="str">
        <f>IFERROR(__xludf.DUMMYFUNCTION("IFERROR(VLOOKUP(D1135,
IMPORTRANGE(""https://docs.google.com/spreadsheets/d/1MjHtlUikwobi2MaWJgy7tfLeBmhj1u-dRFRs_8GwSoA/edit#gid=0"",""Gestores Escolares!D7:m""),9,0),""VERIFICAR CÓD SEC"")"),"CASSIANA PAULA FERRAZ SANTOS SILVA")</f>
        <v>CASSIANA PAULA FERRAZ SANTOS SILVA</v>
      </c>
      <c r="R1135" s="82" t="str">
        <f>IFERROR(__xludf.DUMMYFUNCTION("IFERROR(VLOOKUP(D1135,
IMPORTRANGE(""https://docs.google.com/spreadsheets/d/1MjHtlUikwobi2MaWJgy7tfLeBmhj1u-dRFRs_8GwSoA/edit#gid=0"",""Gestores Escolares!D7:m""),10,0),""VERIFICAR CÓD SEC"")"),"(77) 9 9954- 3520/
9 9919-1036")</f>
        <v>(77) 9 9954- 3520/
9 9919-1036</v>
      </c>
      <c r="S1135" s="82"/>
      <c r="T1135" s="138">
        <v>4.0</v>
      </c>
      <c r="U1135" s="152">
        <v>3.0</v>
      </c>
      <c r="V1135" s="106">
        <v>0.0</v>
      </c>
      <c r="W1135" s="107">
        <v>0.0</v>
      </c>
      <c r="X1135" s="107">
        <v>0.0</v>
      </c>
      <c r="Y1135" s="107">
        <v>0.0</v>
      </c>
      <c r="Z1135" s="80">
        <f t="shared" si="1"/>
        <v>0</v>
      </c>
      <c r="AA1135" s="106">
        <v>0.0</v>
      </c>
      <c r="AB1135" s="107">
        <v>0.0</v>
      </c>
      <c r="AC1135" s="107">
        <v>0.0</v>
      </c>
      <c r="AD1135" s="107">
        <v>0.0</v>
      </c>
      <c r="AE1135" s="80">
        <f t="shared" si="2"/>
        <v>0</v>
      </c>
      <c r="AF1135" s="140">
        <v>0.0</v>
      </c>
      <c r="AG1135" s="109">
        <v>0.0</v>
      </c>
      <c r="AH1135" s="109">
        <v>0.0</v>
      </c>
      <c r="AI1135" s="141">
        <v>43.0</v>
      </c>
      <c r="AJ1135" s="80">
        <f t="shared" si="3"/>
        <v>43</v>
      </c>
      <c r="AK1135" s="140">
        <v>0.0</v>
      </c>
      <c r="AL1135" s="109">
        <v>0.0</v>
      </c>
      <c r="AM1135" s="141">
        <v>0.0</v>
      </c>
      <c r="AN1135" s="80">
        <f t="shared" si="4"/>
        <v>0</v>
      </c>
      <c r="AO1135" s="140">
        <v>0.0</v>
      </c>
      <c r="AP1135" s="109">
        <v>0.0</v>
      </c>
      <c r="AQ1135" s="109">
        <v>0.0</v>
      </c>
      <c r="AR1135" s="80">
        <f t="shared" si="5"/>
        <v>0</v>
      </c>
      <c r="AS1135" s="110">
        <v>0.0</v>
      </c>
      <c r="AT1135" s="110">
        <v>0.0</v>
      </c>
      <c r="AU1135" s="110">
        <v>0.0</v>
      </c>
      <c r="AV1135" s="142">
        <v>23.0</v>
      </c>
      <c r="AW1135" s="80">
        <f t="shared" si="6"/>
        <v>23</v>
      </c>
      <c r="AX1135" s="113">
        <f t="shared" si="7"/>
        <v>66</v>
      </c>
      <c r="AY1135" s="117">
        <f t="shared" si="8"/>
        <v>66</v>
      </c>
      <c r="AZ1135" s="120">
        <f t="shared" si="9"/>
        <v>0</v>
      </c>
      <c r="BA1135" s="115">
        <v>0.0</v>
      </c>
      <c r="BB1135" s="89">
        <f t="shared" si="10"/>
        <v>66</v>
      </c>
      <c r="BC1135" s="132" t="s">
        <v>373</v>
      </c>
      <c r="BD1135" s="132" t="s">
        <v>178</v>
      </c>
      <c r="BE1135" s="132" t="s">
        <v>178</v>
      </c>
      <c r="BF1135" s="123"/>
      <c r="BG1135" s="83">
        <v>1178762.0</v>
      </c>
      <c r="BH1135" s="112"/>
      <c r="BI1135" s="112">
        <v>3.0</v>
      </c>
      <c r="BJ1135" s="98" t="s">
        <v>155</v>
      </c>
      <c r="BK1135" s="99">
        <f t="shared" si="11"/>
        <v>66</v>
      </c>
      <c r="BL1135" s="99">
        <f t="shared" si="12"/>
        <v>0</v>
      </c>
      <c r="BM1135" s="99" t="str">
        <f>IFERROR(__xludf.DUMMYFUNCTION("IFERROR(VLOOKUP(BG1135,IMPORTRANGE(""https://docs.google.com/spreadsheets/d/1juPI-Fb8LD0YtltB2mlGEnp_R3UVu1t3wSFPzgCyHXE/edit?gid=0#gid=0"",""GERAL!A2:C""),3,0),""-"")"),"CAMPO")</f>
        <v>CAMPO</v>
      </c>
    </row>
    <row r="1136" ht="15.75" customHeight="1">
      <c r="A1136" s="111" t="s">
        <v>1393</v>
      </c>
      <c r="B1136" s="136" t="s">
        <v>6157</v>
      </c>
      <c r="C1136" s="83" t="s">
        <v>68</v>
      </c>
      <c r="D1136" s="195">
        <v>1165706.0</v>
      </c>
      <c r="E1136" s="136"/>
      <c r="F1136" s="136">
        <v>2.9269806E7</v>
      </c>
      <c r="G1136" s="153" t="s">
        <v>6158</v>
      </c>
      <c r="H1136" s="108" t="s">
        <v>6159</v>
      </c>
      <c r="I1136" s="83" t="s">
        <v>149</v>
      </c>
      <c r="J1136" s="83" t="s">
        <v>150</v>
      </c>
      <c r="K1136" s="83" t="s">
        <v>151</v>
      </c>
      <c r="L1136" s="83" t="s">
        <v>230</v>
      </c>
      <c r="M1136" s="82" t="str">
        <f>IFERROR(__xludf.DUMMYFUNCTION("IFERROR(VLOOKUP(D1136,
IMPORTRANGE(""https://docs.google.com/spreadsheets/d/1MjHtlUikwobi2MaWJgy7tfLeBmhj1u-dRFRs_8GwSoA/edit#gid=0"",""Gestores Escolares!D7:J""),3,0),""VERIFICAR CÓD SEC"")"),"MIRAMAR BASTOS SILVA VILASBOAS ALVES")</f>
        <v>MIRAMAR BASTOS SILVA VILASBOAS ALVES</v>
      </c>
      <c r="N1136" s="82" t="str">
        <f>IFERROR(__xludf.DUMMYFUNCTION("IFERROR(VLOOKUP(D1136,
IMPORTRANGE(""https://docs.google.com/spreadsheets/d/1MjHtlUikwobi2MaWJgy7tfLeBmhj1u-dRFRs_8GwSoA/edit#gid=0"",""Gestores Escolares!D7:J""),4,0),""VERIFICAR CÓD SEC"")"),"(77) 9 8844-1797")</f>
        <v>(77) 9 8844-1797</v>
      </c>
      <c r="O1136" s="82" t="str">
        <f>IFERROR(__xludf.DUMMYFUNCTION("IFERROR(VLOOKUP(D1136,
IMPORTRANGE(""https://docs.google.com/spreadsheets/d/1MjHtlUikwobi2MaWJgy7tfLeBmhj1u-dRFRs_8GwSoA/edit#gid=0"",""Gestores Escolares!D7:J""),6,0),""VERIFICAR CÓD SEC"")"),"")</f>
        <v/>
      </c>
      <c r="P1136" s="82" t="str">
        <f>IFERROR(__xludf.DUMMYFUNCTION("IFERROR(VLOOKUP(D1136,
IMPORTRANGE(""https://docs.google.com/spreadsheets/d/1MjHtlUikwobi2MaWJgy7tfLeBmhj1u-dRFRs_8GwSoA/edit#gid=0"",""Gestores Escolares!D7:J""),7,0),""VERIFICAR CÓD SEC"")"),"")</f>
        <v/>
      </c>
      <c r="Q1136" s="82" t="str">
        <f>IFERROR(__xludf.DUMMYFUNCTION("IFERROR(VLOOKUP(D1136,
IMPORTRANGE(""https://docs.google.com/spreadsheets/d/1MjHtlUikwobi2MaWJgy7tfLeBmhj1u-dRFRs_8GwSoA/edit#gid=0"",""Gestores Escolares!D7:m""),9,0),""VERIFICAR CÓD SEC"")"),"")</f>
        <v/>
      </c>
      <c r="R1136" s="82" t="str">
        <f>IFERROR(__xludf.DUMMYFUNCTION("IFERROR(VLOOKUP(D1136,
IMPORTRANGE(""https://docs.google.com/spreadsheets/d/1MjHtlUikwobi2MaWJgy7tfLeBmhj1u-dRFRs_8GwSoA/edit#gid=0"",""Gestores Escolares!D7:m""),10,0),""VERIFICAR CÓD SEC"")"),"")</f>
        <v/>
      </c>
      <c r="S1136" s="82"/>
      <c r="T1136" s="138">
        <v>6.0</v>
      </c>
      <c r="U1136" s="388">
        <v>12.0</v>
      </c>
      <c r="V1136" s="106">
        <v>0.0</v>
      </c>
      <c r="W1136" s="107">
        <v>0.0</v>
      </c>
      <c r="X1136" s="107">
        <v>0.0</v>
      </c>
      <c r="Y1136" s="107">
        <v>0.0</v>
      </c>
      <c r="Z1136" s="80">
        <f t="shared" si="1"/>
        <v>0</v>
      </c>
      <c r="AA1136" s="106">
        <v>0.0</v>
      </c>
      <c r="AB1136" s="107">
        <v>0.0</v>
      </c>
      <c r="AC1136" s="107">
        <v>0.0</v>
      </c>
      <c r="AD1136" s="107">
        <v>0.0</v>
      </c>
      <c r="AE1136" s="80">
        <f t="shared" si="2"/>
        <v>0</v>
      </c>
      <c r="AF1136" s="140">
        <v>46.0</v>
      </c>
      <c r="AG1136" s="109">
        <v>0.0</v>
      </c>
      <c r="AH1136" s="109">
        <v>0.0</v>
      </c>
      <c r="AI1136" s="141">
        <v>220.0</v>
      </c>
      <c r="AJ1136" s="80">
        <f t="shared" si="3"/>
        <v>266</v>
      </c>
      <c r="AK1136" s="140">
        <v>0.0</v>
      </c>
      <c r="AL1136" s="109">
        <v>0.0</v>
      </c>
      <c r="AM1136" s="141">
        <v>0.0</v>
      </c>
      <c r="AN1136" s="80">
        <f t="shared" si="4"/>
        <v>0</v>
      </c>
      <c r="AO1136" s="140">
        <v>0.0</v>
      </c>
      <c r="AP1136" s="109">
        <v>0.0</v>
      </c>
      <c r="AQ1136" s="109">
        <v>23.0</v>
      </c>
      <c r="AR1136" s="80">
        <f t="shared" si="5"/>
        <v>23</v>
      </c>
      <c r="AS1136" s="110">
        <v>0.0</v>
      </c>
      <c r="AT1136" s="110">
        <v>0.0</v>
      </c>
      <c r="AU1136" s="110">
        <v>0.0</v>
      </c>
      <c r="AV1136" s="142">
        <v>99.0</v>
      </c>
      <c r="AW1136" s="80">
        <f t="shared" si="6"/>
        <v>99</v>
      </c>
      <c r="AX1136" s="113">
        <f t="shared" si="7"/>
        <v>388</v>
      </c>
      <c r="AY1136" s="117">
        <f t="shared" si="8"/>
        <v>365</v>
      </c>
      <c r="AZ1136" s="120">
        <f t="shared" si="9"/>
        <v>23</v>
      </c>
      <c r="BA1136" s="115">
        <v>0.0</v>
      </c>
      <c r="BB1136" s="89">
        <f t="shared" si="10"/>
        <v>388</v>
      </c>
      <c r="BC1136" s="132" t="s">
        <v>178</v>
      </c>
      <c r="BD1136" s="132" t="s">
        <v>178</v>
      </c>
      <c r="BE1136" s="132" t="s">
        <v>178</v>
      </c>
      <c r="BF1136" s="156"/>
      <c r="BG1136" s="136">
        <v>1165706.0</v>
      </c>
      <c r="BH1136" s="98" t="s">
        <v>6160</v>
      </c>
      <c r="BI1136" s="98">
        <v>12.0</v>
      </c>
      <c r="BJ1136" s="98" t="s">
        <v>162</v>
      </c>
      <c r="BK1136" s="99">
        <f t="shared" si="11"/>
        <v>319</v>
      </c>
      <c r="BL1136" s="99">
        <f t="shared" si="12"/>
        <v>46</v>
      </c>
      <c r="BM1136" s="99" t="str">
        <f>IFERROR(__xludf.DUMMYFUNCTION("IFERROR(VLOOKUP(BG1136,IMPORTRANGE(""https://docs.google.com/spreadsheets/d/1juPI-Fb8LD0YtltB2mlGEnp_R3UVu1t3wSFPzgCyHXE/edit?gid=0#gid=0"",""GERAL!A2:C""),3,0),""-"")"),"-")</f>
        <v>-</v>
      </c>
    </row>
    <row r="1137" ht="15.75" customHeight="1">
      <c r="A1137" s="111" t="s">
        <v>1393</v>
      </c>
      <c r="B1137" s="83" t="s">
        <v>6161</v>
      </c>
      <c r="C1137" s="83" t="s">
        <v>68</v>
      </c>
      <c r="D1137" s="112">
        <v>1165722.0</v>
      </c>
      <c r="E1137" s="83"/>
      <c r="F1137" s="83">
        <v>2.927057E7</v>
      </c>
      <c r="G1137" s="147" t="s">
        <v>6162</v>
      </c>
      <c r="H1137" s="91" t="s">
        <v>6163</v>
      </c>
      <c r="I1137" s="136" t="s">
        <v>149</v>
      </c>
      <c r="J1137" s="83" t="s">
        <v>150</v>
      </c>
      <c r="K1137" s="83" t="s">
        <v>151</v>
      </c>
      <c r="L1137" s="83" t="s">
        <v>152</v>
      </c>
      <c r="M1137" s="82" t="str">
        <f>IFERROR(__xludf.DUMMYFUNCTION("IFERROR(VLOOKUP(D1137,
IMPORTRANGE(""https://docs.google.com/spreadsheets/d/1MjHtlUikwobi2MaWJgy7tfLeBmhj1u-dRFRs_8GwSoA/edit#gid=0"",""Gestores Escolares!D7:J""),3,0),""VERIFICAR CÓD SEC"")"),"ADAILSON DE JESUS COSTA")</f>
        <v>ADAILSON DE JESUS COSTA</v>
      </c>
      <c r="N1137" s="82" t="str">
        <f>IFERROR(__xludf.DUMMYFUNCTION("IFERROR(VLOOKUP(D1137,
IMPORTRANGE(""https://docs.google.com/spreadsheets/d/1MjHtlUikwobi2MaWJgy7tfLeBmhj1u-dRFRs_8GwSoA/edit#gid=0"",""Gestores Escolares!D7:J""),4,0),""VERIFICAR CÓD SEC"")"),"(77) 9 8821-8627")</f>
        <v>(77) 9 8821-8627</v>
      </c>
      <c r="O1137" s="82" t="str">
        <f>IFERROR(__xludf.DUMMYFUNCTION("IFERROR(VLOOKUP(D1137,
IMPORTRANGE(""https://docs.google.com/spreadsheets/d/1MjHtlUikwobi2MaWJgy7tfLeBmhj1u-dRFRs_8GwSoA/edit#gid=0"",""Gestores Escolares!D7:J""),6,0),""VERIFICAR CÓD SEC"")"),"JOCASTA RIBEIRO SILVA SANTOS")</f>
        <v>JOCASTA RIBEIRO SILVA SANTOS</v>
      </c>
      <c r="P1137" s="82" t="str">
        <f>IFERROR(__xludf.DUMMYFUNCTION("IFERROR(VLOOKUP(D1137,
IMPORTRANGE(""https://docs.google.com/spreadsheets/d/1MjHtlUikwobi2MaWJgy7tfLeBmhj1u-dRFRs_8GwSoA/edit#gid=0"",""Gestores Escolares!D7:J""),7,0),""VERIFICAR CÓD SEC"")"),"(77) 9 9977-2797")</f>
        <v>(77) 9 9977-2797</v>
      </c>
      <c r="Q1137" s="82" t="str">
        <f>IFERROR(__xludf.DUMMYFUNCTION("IFERROR(VLOOKUP(D1137,
IMPORTRANGE(""https://docs.google.com/spreadsheets/d/1MjHtlUikwobi2MaWJgy7tfLeBmhj1u-dRFRs_8GwSoA/edit#gid=0"",""Gestores Escolares!D7:m""),9,0),""VERIFICAR CÓD SEC"")"),"")</f>
        <v/>
      </c>
      <c r="R1137" s="82" t="str">
        <f>IFERROR(__xludf.DUMMYFUNCTION("IFERROR(VLOOKUP(D1137,
IMPORTRANGE(""https://docs.google.com/spreadsheets/d/1MjHtlUikwobi2MaWJgy7tfLeBmhj1u-dRFRs_8GwSoA/edit#gid=0"",""Gestores Escolares!D7:m""),10,0),""VERIFICAR CÓD SEC"")"),"")</f>
        <v/>
      </c>
      <c r="S1137" s="82"/>
      <c r="T1137" s="138">
        <v>8.0</v>
      </c>
      <c r="U1137" s="217" t="s">
        <v>4346</v>
      </c>
      <c r="V1137" s="106">
        <v>0.0</v>
      </c>
      <c r="W1137" s="107">
        <v>0.0</v>
      </c>
      <c r="X1137" s="107">
        <v>0.0</v>
      </c>
      <c r="Y1137" s="107">
        <v>0.0</v>
      </c>
      <c r="Z1137" s="80">
        <f t="shared" si="1"/>
        <v>0</v>
      </c>
      <c r="AA1137" s="106">
        <v>0.0</v>
      </c>
      <c r="AB1137" s="107">
        <v>0.0</v>
      </c>
      <c r="AC1137" s="107">
        <v>0.0</v>
      </c>
      <c r="AD1137" s="107">
        <v>0.0</v>
      </c>
      <c r="AE1137" s="80">
        <f t="shared" si="2"/>
        <v>0</v>
      </c>
      <c r="AF1137" s="140">
        <v>25.0</v>
      </c>
      <c r="AG1137" s="109">
        <v>44.0</v>
      </c>
      <c r="AH1137" s="109">
        <v>0.0</v>
      </c>
      <c r="AI1137" s="141">
        <v>203.0</v>
      </c>
      <c r="AJ1137" s="80">
        <f t="shared" si="3"/>
        <v>272</v>
      </c>
      <c r="AK1137" s="140">
        <v>0.0</v>
      </c>
      <c r="AL1137" s="109">
        <v>0.0</v>
      </c>
      <c r="AM1137" s="141">
        <v>0.0</v>
      </c>
      <c r="AN1137" s="80">
        <f t="shared" si="4"/>
        <v>0</v>
      </c>
      <c r="AO1137" s="140">
        <v>0.0</v>
      </c>
      <c r="AP1137" s="109">
        <v>0.0</v>
      </c>
      <c r="AQ1137" s="109">
        <v>24.0</v>
      </c>
      <c r="AR1137" s="80">
        <f t="shared" si="5"/>
        <v>24</v>
      </c>
      <c r="AS1137" s="110">
        <v>0.0</v>
      </c>
      <c r="AT1137" s="110">
        <v>0.0</v>
      </c>
      <c r="AU1137" s="110">
        <v>0.0</v>
      </c>
      <c r="AV1137" s="142">
        <v>102.0</v>
      </c>
      <c r="AW1137" s="80">
        <f t="shared" si="6"/>
        <v>102</v>
      </c>
      <c r="AX1137" s="113">
        <f t="shared" si="7"/>
        <v>398</v>
      </c>
      <c r="AY1137" s="117">
        <f t="shared" si="8"/>
        <v>374</v>
      </c>
      <c r="AZ1137" s="120">
        <f t="shared" si="9"/>
        <v>24</v>
      </c>
      <c r="BA1137" s="115">
        <v>0.0</v>
      </c>
      <c r="BB1137" s="89">
        <f t="shared" si="10"/>
        <v>398</v>
      </c>
      <c r="BC1137" s="132" t="s">
        <v>178</v>
      </c>
      <c r="BD1137" s="132" t="s">
        <v>178</v>
      </c>
      <c r="BE1137" s="132" t="s">
        <v>178</v>
      </c>
      <c r="BF1137" s="156"/>
      <c r="BG1137" s="83">
        <v>1165722.0</v>
      </c>
      <c r="BH1137" s="112"/>
      <c r="BI1137" s="112">
        <v>8.0</v>
      </c>
      <c r="BJ1137" s="98" t="s">
        <v>155</v>
      </c>
      <c r="BK1137" s="99">
        <f t="shared" si="11"/>
        <v>305</v>
      </c>
      <c r="BL1137" s="99">
        <f t="shared" si="12"/>
        <v>69</v>
      </c>
      <c r="BM1137" s="99" t="str">
        <f>IFERROR(__xludf.DUMMYFUNCTION("IFERROR(VLOOKUP(BG1137,IMPORTRANGE(""https://docs.google.com/spreadsheets/d/1juPI-Fb8LD0YtltB2mlGEnp_R3UVu1t3wSFPzgCyHXE/edit?gid=0#gid=0"",""GERAL!A2:C""),3,0),""-"")"),"-")</f>
        <v>-</v>
      </c>
    </row>
    <row r="1138" ht="15.75" customHeight="1">
      <c r="A1138" s="111" t="s">
        <v>1393</v>
      </c>
      <c r="B1138" s="83" t="s">
        <v>6161</v>
      </c>
      <c r="C1138" s="83" t="s">
        <v>164</v>
      </c>
      <c r="D1138" s="112">
        <v>1165722.0</v>
      </c>
      <c r="E1138" s="83">
        <v>1178763.0</v>
      </c>
      <c r="F1138" s="98">
        <v>2.949074E7</v>
      </c>
      <c r="G1138" s="119" t="s">
        <v>6168</v>
      </c>
      <c r="H1138" s="91" t="s">
        <v>6169</v>
      </c>
      <c r="I1138" s="136" t="s">
        <v>6170</v>
      </c>
      <c r="J1138" s="83" t="s">
        <v>6171</v>
      </c>
      <c r="K1138" s="83" t="s">
        <v>168</v>
      </c>
      <c r="L1138" s="83" t="s">
        <v>169</v>
      </c>
      <c r="M1138" s="82" t="str">
        <f>IFERROR(__xludf.DUMMYFUNCTION("IFERROR(VLOOKUP(D1138,
IMPORTRANGE(""https://docs.google.com/spreadsheets/d/1MjHtlUikwobi2MaWJgy7tfLeBmhj1u-dRFRs_8GwSoA/edit#gid=0"",""Gestores Escolares!D7:J""),3,0),""VERIFICAR CÓD SEC"")"),"ADAILSON DE JESUS COSTA")</f>
        <v>ADAILSON DE JESUS COSTA</v>
      </c>
      <c r="N1138" s="82" t="str">
        <f>IFERROR(__xludf.DUMMYFUNCTION("IFERROR(VLOOKUP(D1138,
IMPORTRANGE(""https://docs.google.com/spreadsheets/d/1MjHtlUikwobi2MaWJgy7tfLeBmhj1u-dRFRs_8GwSoA/edit#gid=0"",""Gestores Escolares!D7:J""),4,0),""VERIFICAR CÓD SEC"")"),"(77) 9 8821-8627")</f>
        <v>(77) 9 8821-8627</v>
      </c>
      <c r="O1138" s="82" t="str">
        <f>IFERROR(__xludf.DUMMYFUNCTION("IFERROR(VLOOKUP(D1138,
IMPORTRANGE(""https://docs.google.com/spreadsheets/d/1MjHtlUikwobi2MaWJgy7tfLeBmhj1u-dRFRs_8GwSoA/edit#gid=0"",""Gestores Escolares!D7:J""),6,0),""VERIFICAR CÓD SEC"")"),"JOCASTA RIBEIRO SILVA SANTOS")</f>
        <v>JOCASTA RIBEIRO SILVA SANTOS</v>
      </c>
      <c r="P1138" s="82" t="str">
        <f>IFERROR(__xludf.DUMMYFUNCTION("IFERROR(VLOOKUP(D1138,
IMPORTRANGE(""https://docs.google.com/spreadsheets/d/1MjHtlUikwobi2MaWJgy7tfLeBmhj1u-dRFRs_8GwSoA/edit#gid=0"",""Gestores Escolares!D7:J""),7,0),""VERIFICAR CÓD SEC"")"),"(77) 9 9977-2797")</f>
        <v>(77) 9 9977-2797</v>
      </c>
      <c r="Q1138" s="82" t="str">
        <f>IFERROR(__xludf.DUMMYFUNCTION("IFERROR(VLOOKUP(D1138,
IMPORTRANGE(""https://docs.google.com/spreadsheets/d/1MjHtlUikwobi2MaWJgy7tfLeBmhj1u-dRFRs_8GwSoA/edit#gid=0"",""Gestores Escolares!D7:m""),9,0),""VERIFICAR CÓD SEC"")"),"")</f>
        <v/>
      </c>
      <c r="R1138" s="82" t="str">
        <f>IFERROR(__xludf.DUMMYFUNCTION("IFERROR(VLOOKUP(D1138,
IMPORTRANGE(""https://docs.google.com/spreadsheets/d/1MjHtlUikwobi2MaWJgy7tfLeBmhj1u-dRFRs_8GwSoA/edit#gid=0"",""Gestores Escolares!D7:m""),10,0),""VERIFICAR CÓD SEC"")"),"")</f>
        <v/>
      </c>
      <c r="S1138" s="82"/>
      <c r="T1138" s="138">
        <v>3.0</v>
      </c>
      <c r="U1138" s="152">
        <v>3.0</v>
      </c>
      <c r="V1138" s="106">
        <v>0.0</v>
      </c>
      <c r="W1138" s="107">
        <v>0.0</v>
      </c>
      <c r="X1138" s="107">
        <v>0.0</v>
      </c>
      <c r="Y1138" s="107">
        <v>0.0</v>
      </c>
      <c r="Z1138" s="80">
        <f t="shared" si="1"/>
        <v>0</v>
      </c>
      <c r="AA1138" s="106">
        <v>0.0</v>
      </c>
      <c r="AB1138" s="107">
        <v>0.0</v>
      </c>
      <c r="AC1138" s="107">
        <v>0.0</v>
      </c>
      <c r="AD1138" s="107">
        <v>0.0</v>
      </c>
      <c r="AE1138" s="80">
        <f t="shared" si="2"/>
        <v>0</v>
      </c>
      <c r="AF1138" s="140">
        <v>0.0</v>
      </c>
      <c r="AG1138" s="109">
        <v>0.0</v>
      </c>
      <c r="AH1138" s="109">
        <v>0.0</v>
      </c>
      <c r="AI1138" s="141">
        <v>56.0</v>
      </c>
      <c r="AJ1138" s="80">
        <f t="shared" si="3"/>
        <v>56</v>
      </c>
      <c r="AK1138" s="140">
        <v>0.0</v>
      </c>
      <c r="AL1138" s="109">
        <v>0.0</v>
      </c>
      <c r="AM1138" s="141">
        <v>0.0</v>
      </c>
      <c r="AN1138" s="80">
        <f t="shared" si="4"/>
        <v>0</v>
      </c>
      <c r="AO1138" s="140">
        <v>0.0</v>
      </c>
      <c r="AP1138" s="109">
        <v>0.0</v>
      </c>
      <c r="AQ1138" s="109">
        <v>16.0</v>
      </c>
      <c r="AR1138" s="80">
        <f t="shared" si="5"/>
        <v>16</v>
      </c>
      <c r="AS1138" s="110">
        <v>0.0</v>
      </c>
      <c r="AT1138" s="110">
        <v>0.0</v>
      </c>
      <c r="AU1138" s="110">
        <v>0.0</v>
      </c>
      <c r="AV1138" s="142">
        <v>0.0</v>
      </c>
      <c r="AW1138" s="80">
        <f t="shared" si="6"/>
        <v>0</v>
      </c>
      <c r="AX1138" s="113">
        <f t="shared" si="7"/>
        <v>72</v>
      </c>
      <c r="AY1138" s="117">
        <f t="shared" si="8"/>
        <v>56</v>
      </c>
      <c r="AZ1138" s="120">
        <f t="shared" si="9"/>
        <v>16</v>
      </c>
      <c r="BA1138" s="115">
        <v>0.0</v>
      </c>
      <c r="BB1138" s="89">
        <f t="shared" si="10"/>
        <v>72</v>
      </c>
      <c r="BC1138" s="132" t="s">
        <v>373</v>
      </c>
      <c r="BD1138" s="132" t="s">
        <v>178</v>
      </c>
      <c r="BE1138" s="132" t="s">
        <v>178</v>
      </c>
      <c r="BF1138" s="123"/>
      <c r="BG1138" s="83">
        <v>1178763.0</v>
      </c>
      <c r="BH1138" s="112"/>
      <c r="BI1138" s="112">
        <v>3.0</v>
      </c>
      <c r="BJ1138" s="98" t="s">
        <v>155</v>
      </c>
      <c r="BK1138" s="99">
        <f t="shared" si="11"/>
        <v>56</v>
      </c>
      <c r="BL1138" s="99">
        <f t="shared" si="12"/>
        <v>0</v>
      </c>
      <c r="BM1138" s="99" t="str">
        <f>IFERROR(__xludf.DUMMYFUNCTION("IFERROR(VLOOKUP(BG1138,IMPORTRANGE(""https://docs.google.com/spreadsheets/d/1juPI-Fb8LD0YtltB2mlGEnp_R3UVu1t3wSFPzgCyHXE/edit?gid=0#gid=0"",""GERAL!A2:C""),3,0),""-"")"),"CAMPO")</f>
        <v>CAMPO</v>
      </c>
    </row>
    <row r="1139" ht="15.75" customHeight="1">
      <c r="A1139" s="111" t="s">
        <v>1393</v>
      </c>
      <c r="B1139" s="83" t="s">
        <v>6178</v>
      </c>
      <c r="C1139" s="83" t="s">
        <v>68</v>
      </c>
      <c r="D1139" s="112">
        <v>1179136.0</v>
      </c>
      <c r="E1139" s="83"/>
      <c r="F1139" s="83">
        <v>2.9449545E7</v>
      </c>
      <c r="G1139" s="119" t="s">
        <v>6179</v>
      </c>
      <c r="H1139" s="91" t="s">
        <v>6180</v>
      </c>
      <c r="I1139" s="83" t="s">
        <v>149</v>
      </c>
      <c r="J1139" s="83" t="s">
        <v>331</v>
      </c>
      <c r="K1139" s="83" t="s">
        <v>151</v>
      </c>
      <c r="L1139" s="83" t="s">
        <v>169</v>
      </c>
      <c r="M1139" s="82" t="str">
        <f>IFERROR(__xludf.DUMMYFUNCTION("IFERROR(VLOOKUP(D1139,
IMPORTRANGE(""https://docs.google.com/spreadsheets/d/1MjHtlUikwobi2MaWJgy7tfLeBmhj1u-dRFRs_8GwSoA/edit#gid=0"",""Gestores Escolares!D7:J""),3,0),""VERIFICAR CÓD SEC"")"),"WELDER CARDOSO OLIVEIRA")</f>
        <v>WELDER CARDOSO OLIVEIRA</v>
      </c>
      <c r="N1139" s="82" t="str">
        <f>IFERROR(__xludf.DUMMYFUNCTION("IFERROR(VLOOKUP(D1139,
IMPORTRANGE(""https://docs.google.com/spreadsheets/d/1MjHtlUikwobi2MaWJgy7tfLeBmhj1u-dRFRs_8GwSoA/edit#gid=0"",""Gestores Escolares!D7:J""),4,0),""VERIFICAR CÓD SEC"")"),"(71) 9 8612-6036")</f>
        <v>(71) 9 8612-6036</v>
      </c>
      <c r="O1139" s="82" t="str">
        <f>IFERROR(__xludf.DUMMYFUNCTION("IFERROR(VLOOKUP(D1139,
IMPORTRANGE(""https://docs.google.com/spreadsheets/d/1MjHtlUikwobi2MaWJgy7tfLeBmhj1u-dRFRs_8GwSoA/edit#gid=0"",""Gestores Escolares!D7:J""),6,0),""VERIFICAR CÓD SEC"")"),"")</f>
        <v/>
      </c>
      <c r="P1139" s="82" t="str">
        <f>IFERROR(__xludf.DUMMYFUNCTION("IFERROR(VLOOKUP(D1139,
IMPORTRANGE(""https://docs.google.com/spreadsheets/d/1MjHtlUikwobi2MaWJgy7tfLeBmhj1u-dRFRs_8GwSoA/edit#gid=0"",""Gestores Escolares!D7:J""),7,0),""VERIFICAR CÓD SEC"")"),"")</f>
        <v/>
      </c>
      <c r="Q1139" s="82" t="str">
        <f>IFERROR(__xludf.DUMMYFUNCTION("IFERROR(VLOOKUP(D1139,
IMPORTRANGE(""https://docs.google.com/spreadsheets/d/1MjHtlUikwobi2MaWJgy7tfLeBmhj1u-dRFRs_8GwSoA/edit#gid=0"",""Gestores Escolares!D7:m""),9,0),""VERIFICAR CÓD SEC"")"),"")</f>
        <v/>
      </c>
      <c r="R1139" s="82" t="str">
        <f>IFERROR(__xludf.DUMMYFUNCTION("IFERROR(VLOOKUP(D1139,
IMPORTRANGE(""https://docs.google.com/spreadsheets/d/1MjHtlUikwobi2MaWJgy7tfLeBmhj1u-dRFRs_8GwSoA/edit#gid=0"",""Gestores Escolares!D7:m""),10,0),""VERIFICAR CÓD SEC"")"),"")</f>
        <v/>
      </c>
      <c r="S1139" s="82"/>
      <c r="T1139" s="138">
        <v>6.0</v>
      </c>
      <c r="U1139" s="145">
        <v>6.0</v>
      </c>
      <c r="V1139" s="106">
        <v>0.0</v>
      </c>
      <c r="W1139" s="107">
        <v>0.0</v>
      </c>
      <c r="X1139" s="107">
        <v>0.0</v>
      </c>
      <c r="Y1139" s="107">
        <v>0.0</v>
      </c>
      <c r="Z1139" s="80">
        <f t="shared" si="1"/>
        <v>0</v>
      </c>
      <c r="AA1139" s="106">
        <v>0.0</v>
      </c>
      <c r="AB1139" s="107">
        <v>0.0</v>
      </c>
      <c r="AC1139" s="107">
        <v>0.0</v>
      </c>
      <c r="AD1139" s="107">
        <v>0.0</v>
      </c>
      <c r="AE1139" s="80">
        <f t="shared" si="2"/>
        <v>0</v>
      </c>
      <c r="AF1139" s="140">
        <v>0.0</v>
      </c>
      <c r="AG1139" s="109">
        <v>40.0</v>
      </c>
      <c r="AH1139" s="109">
        <v>0.0</v>
      </c>
      <c r="AI1139" s="141">
        <v>100.0</v>
      </c>
      <c r="AJ1139" s="80">
        <f t="shared" si="3"/>
        <v>140</v>
      </c>
      <c r="AK1139" s="140">
        <v>0.0</v>
      </c>
      <c r="AL1139" s="109">
        <v>0.0</v>
      </c>
      <c r="AM1139" s="141">
        <v>0.0</v>
      </c>
      <c r="AN1139" s="80">
        <f t="shared" si="4"/>
        <v>0</v>
      </c>
      <c r="AO1139" s="140">
        <v>0.0</v>
      </c>
      <c r="AP1139" s="109">
        <v>0.0</v>
      </c>
      <c r="AQ1139" s="109">
        <v>29.0</v>
      </c>
      <c r="AR1139" s="80">
        <f t="shared" si="5"/>
        <v>29</v>
      </c>
      <c r="AS1139" s="110">
        <v>0.0</v>
      </c>
      <c r="AT1139" s="110">
        <v>0.0</v>
      </c>
      <c r="AU1139" s="110">
        <v>0.0</v>
      </c>
      <c r="AV1139" s="142">
        <v>0.0</v>
      </c>
      <c r="AW1139" s="80">
        <f t="shared" si="6"/>
        <v>0</v>
      </c>
      <c r="AX1139" s="113">
        <f t="shared" si="7"/>
        <v>169</v>
      </c>
      <c r="AY1139" s="117">
        <f t="shared" si="8"/>
        <v>140</v>
      </c>
      <c r="AZ1139" s="120">
        <f t="shared" si="9"/>
        <v>29</v>
      </c>
      <c r="BA1139" s="115">
        <v>0.0</v>
      </c>
      <c r="BB1139" s="89">
        <f t="shared" si="10"/>
        <v>169</v>
      </c>
      <c r="BC1139" s="132" t="s">
        <v>373</v>
      </c>
      <c r="BD1139" s="132" t="s">
        <v>178</v>
      </c>
      <c r="BE1139" s="132" t="s">
        <v>178</v>
      </c>
      <c r="BF1139" s="123"/>
      <c r="BG1139" s="83">
        <v>1179136.0</v>
      </c>
      <c r="BH1139" s="112"/>
      <c r="BI1139" s="112">
        <v>3.0</v>
      </c>
      <c r="BJ1139" s="98" t="s">
        <v>155</v>
      </c>
      <c r="BK1139" s="99">
        <f t="shared" si="11"/>
        <v>100</v>
      </c>
      <c r="BL1139" s="99">
        <f t="shared" si="12"/>
        <v>40</v>
      </c>
      <c r="BM1139" s="99" t="str">
        <f>IFERROR(__xludf.DUMMYFUNCTION("IFERROR(VLOOKUP(BG1139,IMPORTRANGE(""https://docs.google.com/spreadsheets/d/1juPI-Fb8LD0YtltB2mlGEnp_R3UVu1t3wSFPzgCyHXE/edit?gid=0#gid=0"",""GERAL!A2:C""),3,0),""-"")"),"CAMPO")</f>
        <v>CAMPO</v>
      </c>
    </row>
    <row r="1140" ht="15.75" customHeight="1">
      <c r="A1140" s="111" t="s">
        <v>1393</v>
      </c>
      <c r="B1140" s="83" t="s">
        <v>6178</v>
      </c>
      <c r="C1140" s="83" t="s">
        <v>68</v>
      </c>
      <c r="D1140" s="112">
        <v>1179137.0</v>
      </c>
      <c r="E1140" s="83"/>
      <c r="F1140" s="83">
        <v>2.9449456E7</v>
      </c>
      <c r="G1140" s="119" t="s">
        <v>6183</v>
      </c>
      <c r="H1140" s="91" t="s">
        <v>6184</v>
      </c>
      <c r="I1140" s="136" t="s">
        <v>6185</v>
      </c>
      <c r="J1140" s="83" t="s">
        <v>538</v>
      </c>
      <c r="K1140" s="83" t="s">
        <v>151</v>
      </c>
      <c r="L1140" s="83" t="s">
        <v>169</v>
      </c>
      <c r="M1140" s="82" t="str">
        <f>IFERROR(__xludf.DUMMYFUNCTION("IFERROR(VLOOKUP(D1140,
IMPORTRANGE(""https://docs.google.com/spreadsheets/d/1MjHtlUikwobi2MaWJgy7tfLeBmhj1u-dRFRs_8GwSoA/edit#gid=0"",""Gestores Escolares!D7:J""),3,0),""VERIFICAR CÓD SEC"")"),"PAULA APARECIDA DOS SANTOS")</f>
        <v>PAULA APARECIDA DOS SANTOS</v>
      </c>
      <c r="N1140" s="82" t="str">
        <f>IFERROR(__xludf.DUMMYFUNCTION("IFERROR(VLOOKUP(D1140,
IMPORTRANGE(""https://docs.google.com/spreadsheets/d/1MjHtlUikwobi2MaWJgy7tfLeBmhj1u-dRFRs_8GwSoA/edit#gid=0"",""Gestores Escolares!D7:J""),4,0),""VERIFICAR CÓD SEC"")"),"(77) 9 9135-5799")</f>
        <v>(77) 9 9135-5799</v>
      </c>
      <c r="O1140" s="82" t="str">
        <f>IFERROR(__xludf.DUMMYFUNCTION("IFERROR(VLOOKUP(D1140,
IMPORTRANGE(""https://docs.google.com/spreadsheets/d/1MjHtlUikwobi2MaWJgy7tfLeBmhj1u-dRFRs_8GwSoA/edit#gid=0"",""Gestores Escolares!D7:J""),6,0),""VERIFICAR CÓD SEC"")"),"LUZIANE LISBOA MOITINHO")</f>
        <v>LUZIANE LISBOA MOITINHO</v>
      </c>
      <c r="P1140" s="82" t="str">
        <f>IFERROR(__xludf.DUMMYFUNCTION("IFERROR(VLOOKUP(D1140,
IMPORTRANGE(""https://docs.google.com/spreadsheets/d/1MjHtlUikwobi2MaWJgy7tfLeBmhj1u-dRFRs_8GwSoA/edit#gid=0"",""Gestores Escolares!D7:J""),7,0),""VERIFICAR CÓD SEC"")"),"(77) 9 8836-9664")</f>
        <v>(77) 9 8836-9664</v>
      </c>
      <c r="Q1140" s="82" t="str">
        <f>IFERROR(__xludf.DUMMYFUNCTION("IFERROR(VLOOKUP(D1140,
IMPORTRANGE(""https://docs.google.com/spreadsheets/d/1MjHtlUikwobi2MaWJgy7tfLeBmhj1u-dRFRs_8GwSoA/edit#gid=0"",""Gestores Escolares!D7:m""),9,0),""VERIFICAR CÓD SEC"")"),"")</f>
        <v/>
      </c>
      <c r="R1140" s="82" t="str">
        <f>IFERROR(__xludf.DUMMYFUNCTION("IFERROR(VLOOKUP(D1140,
IMPORTRANGE(""https://docs.google.com/spreadsheets/d/1MjHtlUikwobi2MaWJgy7tfLeBmhj1u-dRFRs_8GwSoA/edit#gid=0"",""Gestores Escolares!D7:m""),10,0),""VERIFICAR CÓD SEC"")"),"")</f>
        <v/>
      </c>
      <c r="S1140" s="82"/>
      <c r="T1140" s="138">
        <v>6.0</v>
      </c>
      <c r="U1140" s="139">
        <v>6.0</v>
      </c>
      <c r="V1140" s="106">
        <v>0.0</v>
      </c>
      <c r="W1140" s="107">
        <v>0.0</v>
      </c>
      <c r="X1140" s="107">
        <v>0.0</v>
      </c>
      <c r="Y1140" s="107">
        <v>0.0</v>
      </c>
      <c r="Z1140" s="80">
        <f t="shared" si="1"/>
        <v>0</v>
      </c>
      <c r="AA1140" s="106">
        <v>0.0</v>
      </c>
      <c r="AB1140" s="107">
        <v>0.0</v>
      </c>
      <c r="AC1140" s="107">
        <v>0.0</v>
      </c>
      <c r="AD1140" s="107">
        <v>0.0</v>
      </c>
      <c r="AE1140" s="80">
        <f t="shared" si="2"/>
        <v>0</v>
      </c>
      <c r="AF1140" s="140">
        <v>0.0</v>
      </c>
      <c r="AG1140" s="109">
        <v>0.0</v>
      </c>
      <c r="AH1140" s="109">
        <v>0.0</v>
      </c>
      <c r="AI1140" s="141">
        <v>167.0</v>
      </c>
      <c r="AJ1140" s="80">
        <f t="shared" si="3"/>
        <v>167</v>
      </c>
      <c r="AK1140" s="140">
        <v>0.0</v>
      </c>
      <c r="AL1140" s="109">
        <v>0.0</v>
      </c>
      <c r="AM1140" s="141">
        <v>0.0</v>
      </c>
      <c r="AN1140" s="80">
        <f t="shared" si="4"/>
        <v>0</v>
      </c>
      <c r="AO1140" s="140">
        <v>0.0</v>
      </c>
      <c r="AP1140" s="109">
        <v>0.0</v>
      </c>
      <c r="AQ1140" s="109">
        <v>48.0</v>
      </c>
      <c r="AR1140" s="80">
        <f t="shared" si="5"/>
        <v>48</v>
      </c>
      <c r="AS1140" s="110">
        <v>0.0</v>
      </c>
      <c r="AT1140" s="110">
        <v>0.0</v>
      </c>
      <c r="AU1140" s="110">
        <v>0.0</v>
      </c>
      <c r="AV1140" s="142">
        <v>0.0</v>
      </c>
      <c r="AW1140" s="80">
        <f t="shared" si="6"/>
        <v>0</v>
      </c>
      <c r="AX1140" s="113">
        <f t="shared" si="7"/>
        <v>215</v>
      </c>
      <c r="AY1140" s="117">
        <f t="shared" si="8"/>
        <v>167</v>
      </c>
      <c r="AZ1140" s="120">
        <f t="shared" si="9"/>
        <v>48</v>
      </c>
      <c r="BA1140" s="115">
        <v>0.0</v>
      </c>
      <c r="BB1140" s="89">
        <f t="shared" si="10"/>
        <v>215</v>
      </c>
      <c r="BC1140" s="132" t="s">
        <v>373</v>
      </c>
      <c r="BD1140" s="132" t="s">
        <v>178</v>
      </c>
      <c r="BE1140" s="132" t="s">
        <v>178</v>
      </c>
      <c r="BF1140" s="123"/>
      <c r="BG1140" s="83">
        <v>1179137.0</v>
      </c>
      <c r="BH1140" s="112"/>
      <c r="BI1140" s="112">
        <v>6.0</v>
      </c>
      <c r="BJ1140" s="98" t="s">
        <v>155</v>
      </c>
      <c r="BK1140" s="99">
        <f t="shared" si="11"/>
        <v>167</v>
      </c>
      <c r="BL1140" s="99">
        <f t="shared" si="12"/>
        <v>0</v>
      </c>
      <c r="BM1140" s="99" t="str">
        <f>IFERROR(__xludf.DUMMYFUNCTION("IFERROR(VLOOKUP(BG1140,IMPORTRANGE(""https://docs.google.com/spreadsheets/d/1juPI-Fb8LD0YtltB2mlGEnp_R3UVu1t3wSFPzgCyHXE/edit?gid=0#gid=0"",""GERAL!A2:C""),3,0),""-"")"),"CAMPO")</f>
        <v>CAMPO</v>
      </c>
    </row>
    <row r="1141" ht="15.75" customHeight="1">
      <c r="A1141" s="111" t="s">
        <v>1393</v>
      </c>
      <c r="B1141" s="83" t="s">
        <v>6178</v>
      </c>
      <c r="C1141" s="83" t="s">
        <v>68</v>
      </c>
      <c r="D1141" s="112">
        <v>1178438.0</v>
      </c>
      <c r="E1141" s="83"/>
      <c r="F1141" s="83">
        <v>2.9434734E7</v>
      </c>
      <c r="G1141" s="119" t="s">
        <v>6187</v>
      </c>
      <c r="H1141" s="91" t="s">
        <v>6188</v>
      </c>
      <c r="I1141" s="83" t="s">
        <v>149</v>
      </c>
      <c r="J1141" s="83" t="s">
        <v>150</v>
      </c>
      <c r="K1141" s="83" t="s">
        <v>151</v>
      </c>
      <c r="L1141" s="83" t="s">
        <v>152</v>
      </c>
      <c r="M1141" s="82" t="str">
        <f>IFERROR(__xludf.DUMMYFUNCTION("IFERROR(VLOOKUP(D1141,
IMPORTRANGE(""https://docs.google.com/spreadsheets/d/1MjHtlUikwobi2MaWJgy7tfLeBmhj1u-dRFRs_8GwSoA/edit#gid=0"",""Gestores Escolares!D7:J""),3,0),""VERIFICAR CÓD SEC"")"),"MARCIA DAIANA SOARES DE OLIVEIRA")</f>
        <v>MARCIA DAIANA SOARES DE OLIVEIRA</v>
      </c>
      <c r="N1141" s="82" t="str">
        <f>IFERROR(__xludf.DUMMYFUNCTION("IFERROR(VLOOKUP(D1141,
IMPORTRANGE(""https://docs.google.com/spreadsheets/d/1MjHtlUikwobi2MaWJgy7tfLeBmhj1u-dRFRs_8GwSoA/edit#gid=0"",""Gestores Escolares!D7:J""),4,0),""VERIFICAR CÓD SEC"")"),"(77) 9 9131-6272")</f>
        <v>(77) 9 9131-6272</v>
      </c>
      <c r="O1141" s="82" t="str">
        <f>IFERROR(__xludf.DUMMYFUNCTION("IFERROR(VLOOKUP(D1141,
IMPORTRANGE(""https://docs.google.com/spreadsheets/d/1MjHtlUikwobi2MaWJgy7tfLeBmhj1u-dRFRs_8GwSoA/edit#gid=0"",""Gestores Escolares!D7:J""),6,0),""VERIFICAR CÓD SEC"")"),"ANA PAULA DE CASTRO CARVALHO")</f>
        <v>ANA PAULA DE CASTRO CARVALHO</v>
      </c>
      <c r="P1141" s="82" t="str">
        <f>IFERROR(__xludf.DUMMYFUNCTION("IFERROR(VLOOKUP(D1141,
IMPORTRANGE(""https://docs.google.com/spreadsheets/d/1MjHtlUikwobi2MaWJgy7tfLeBmhj1u-dRFRs_8GwSoA/edit#gid=0"",""Gestores Escolares!D7:J""),7,0),""VERIFICAR CÓD SEC"")"),"(77) 9 8806-0316")</f>
        <v>(77) 9 8806-0316</v>
      </c>
      <c r="Q1141" s="82" t="str">
        <f>IFERROR(__xludf.DUMMYFUNCTION("IFERROR(VLOOKUP(D1141,
IMPORTRANGE(""https://docs.google.com/spreadsheets/d/1MjHtlUikwobi2MaWJgy7tfLeBmhj1u-dRFRs_8GwSoA/edit#gid=0"",""Gestores Escolares!D7:m""),9,0),""VERIFICAR CÓD SEC"")"),"")</f>
        <v/>
      </c>
      <c r="R1141" s="82" t="str">
        <f>IFERROR(__xludf.DUMMYFUNCTION("IFERROR(VLOOKUP(D1141,
IMPORTRANGE(""https://docs.google.com/spreadsheets/d/1MjHtlUikwobi2MaWJgy7tfLeBmhj1u-dRFRs_8GwSoA/edit#gid=0"",""Gestores Escolares!D7:m""),10,0),""VERIFICAR CÓD SEC"")"),"")</f>
        <v/>
      </c>
      <c r="S1141" s="82"/>
      <c r="T1141" s="138">
        <v>9.0</v>
      </c>
      <c r="U1141" s="421">
        <v>10.0</v>
      </c>
      <c r="V1141" s="106">
        <v>0.0</v>
      </c>
      <c r="W1141" s="107">
        <v>0.0</v>
      </c>
      <c r="X1141" s="107">
        <v>0.0</v>
      </c>
      <c r="Y1141" s="107">
        <v>0.0</v>
      </c>
      <c r="Z1141" s="80">
        <f t="shared" si="1"/>
        <v>0</v>
      </c>
      <c r="AA1141" s="106">
        <v>0.0</v>
      </c>
      <c r="AB1141" s="107">
        <v>0.0</v>
      </c>
      <c r="AC1141" s="107">
        <v>0.0</v>
      </c>
      <c r="AD1141" s="107">
        <v>0.0</v>
      </c>
      <c r="AE1141" s="80">
        <f t="shared" si="2"/>
        <v>0</v>
      </c>
      <c r="AF1141" s="140">
        <v>196.0</v>
      </c>
      <c r="AG1141" s="109">
        <v>134.0</v>
      </c>
      <c r="AH1141" s="109">
        <v>0.0</v>
      </c>
      <c r="AI1141" s="141">
        <v>118.0</v>
      </c>
      <c r="AJ1141" s="80">
        <f t="shared" si="3"/>
        <v>448</v>
      </c>
      <c r="AK1141" s="140">
        <v>0.0</v>
      </c>
      <c r="AL1141" s="109">
        <v>0.0</v>
      </c>
      <c r="AM1141" s="141">
        <v>0.0</v>
      </c>
      <c r="AN1141" s="80">
        <f t="shared" si="4"/>
        <v>0</v>
      </c>
      <c r="AO1141" s="140">
        <v>0.0</v>
      </c>
      <c r="AP1141" s="109">
        <v>0.0</v>
      </c>
      <c r="AQ1141" s="109">
        <v>147.0</v>
      </c>
      <c r="AR1141" s="80">
        <f t="shared" si="5"/>
        <v>147</v>
      </c>
      <c r="AS1141" s="110">
        <v>0.0</v>
      </c>
      <c r="AT1141" s="110">
        <v>0.0</v>
      </c>
      <c r="AU1141" s="110">
        <v>0.0</v>
      </c>
      <c r="AV1141" s="142">
        <v>58.0</v>
      </c>
      <c r="AW1141" s="80">
        <f t="shared" si="6"/>
        <v>58</v>
      </c>
      <c r="AX1141" s="113">
        <f t="shared" si="7"/>
        <v>653</v>
      </c>
      <c r="AY1141" s="117">
        <f t="shared" si="8"/>
        <v>506</v>
      </c>
      <c r="AZ1141" s="120">
        <f t="shared" si="9"/>
        <v>147</v>
      </c>
      <c r="BA1141" s="115">
        <v>0.0</v>
      </c>
      <c r="BB1141" s="89">
        <f t="shared" si="10"/>
        <v>653</v>
      </c>
      <c r="BC1141" s="132" t="s">
        <v>178</v>
      </c>
      <c r="BD1141" s="132" t="s">
        <v>178</v>
      </c>
      <c r="BE1141" s="132" t="s">
        <v>178</v>
      </c>
      <c r="BF1141" s="123"/>
      <c r="BG1141" s="83">
        <v>1178438.0</v>
      </c>
      <c r="BH1141" s="112"/>
      <c r="BI1141" s="112">
        <v>9.0</v>
      </c>
      <c r="BJ1141" s="98" t="s">
        <v>155</v>
      </c>
      <c r="BK1141" s="99">
        <f t="shared" si="11"/>
        <v>176</v>
      </c>
      <c r="BL1141" s="99">
        <f t="shared" si="12"/>
        <v>330</v>
      </c>
      <c r="BM1141" s="99" t="str">
        <f>IFERROR(__xludf.DUMMYFUNCTION("IFERROR(VLOOKUP(BG1141,IMPORTRANGE(""https://docs.google.com/spreadsheets/d/1juPI-Fb8LD0YtltB2mlGEnp_R3UVu1t3wSFPzgCyHXE/edit?gid=0#gid=0"",""GERAL!A2:C""),3,0),""-"")"),"-")</f>
        <v>-</v>
      </c>
    </row>
    <row r="1142" ht="15.75" customHeight="1">
      <c r="A1142" s="111" t="s">
        <v>1393</v>
      </c>
      <c r="B1142" s="83" t="s">
        <v>6178</v>
      </c>
      <c r="C1142" s="83" t="s">
        <v>164</v>
      </c>
      <c r="D1142" s="112">
        <v>1179285.0</v>
      </c>
      <c r="E1142" s="83">
        <v>1179490.0</v>
      </c>
      <c r="F1142" s="98">
        <v>2.9461472E7</v>
      </c>
      <c r="G1142" s="114" t="s">
        <v>6191</v>
      </c>
      <c r="H1142" s="91" t="s">
        <v>6192</v>
      </c>
      <c r="I1142" s="136" t="s">
        <v>6193</v>
      </c>
      <c r="J1142" s="83" t="s">
        <v>6194</v>
      </c>
      <c r="K1142" s="83" t="s">
        <v>168</v>
      </c>
      <c r="L1142" s="83" t="s">
        <v>169</v>
      </c>
      <c r="M1142" s="82" t="str">
        <f>IFERROR(__xludf.DUMMYFUNCTION("IFERROR(VLOOKUP(D1142,
IMPORTRANGE(""https://docs.google.com/spreadsheets/d/1MjHtlUikwobi2MaWJgy7tfLeBmhj1u-dRFRs_8GwSoA/edit#gid=0"",""Gestores Escolares!D7:J""),3,0),""VERIFICAR CÓD SEC"")"),"MONIQUE ALVES BRITO")</f>
        <v>MONIQUE ALVES BRITO</v>
      </c>
      <c r="N1142" s="82" t="str">
        <f>IFERROR(__xludf.DUMMYFUNCTION("IFERROR(VLOOKUP(D1142,
IMPORTRANGE(""https://docs.google.com/spreadsheets/d/1MjHtlUikwobi2MaWJgy7tfLeBmhj1u-dRFRs_8GwSoA/edit#gid=0"",""Gestores Escolares!D7:J""),4,0),""VERIFICAR CÓD SEC"")"),"(71) 9 8622-0492")</f>
        <v>(71) 9 8622-0492</v>
      </c>
      <c r="O1142" s="82" t="str">
        <f>IFERROR(__xludf.DUMMYFUNCTION("IFERROR(VLOOKUP(D1142,
IMPORTRANGE(""https://docs.google.com/spreadsheets/d/1MjHtlUikwobi2MaWJgy7tfLeBmhj1u-dRFRs_8GwSoA/edit#gid=0"",""Gestores Escolares!D7:J""),6,0),""VERIFICAR CÓD SEC"")"),"DANILO LARANJEIRA DE JESUS")</f>
        <v>DANILO LARANJEIRA DE JESUS</v>
      </c>
      <c r="P1142" s="82" t="str">
        <f>IFERROR(__xludf.DUMMYFUNCTION("IFERROR(VLOOKUP(D1142,
IMPORTRANGE(""https://docs.google.com/spreadsheets/d/1MjHtlUikwobi2MaWJgy7tfLeBmhj1u-dRFRs_8GwSoA/edit#gid=0"",""Gestores Escolares!D7:J""),7,0),""VERIFICAR CÓD SEC"")"),"(73) 9 8123-1590")</f>
        <v>(73) 9 8123-1590</v>
      </c>
      <c r="Q1142" s="82" t="str">
        <f>IFERROR(__xludf.DUMMYFUNCTION("IFERROR(VLOOKUP(D1142,
IMPORTRANGE(""https://docs.google.com/spreadsheets/d/1MjHtlUikwobi2MaWJgy7tfLeBmhj1u-dRFRs_8GwSoA/edit#gid=0"",""Gestores Escolares!D7:m""),9,0),""VERIFICAR CÓD SEC"")")," RICARDO COSTA DE MORAES")</f>
        <v> RICARDO COSTA DE MORAES</v>
      </c>
      <c r="R1142" s="82" t="str">
        <f>IFERROR(__xludf.DUMMYFUNCTION("IFERROR(VLOOKUP(D1142,
IMPORTRANGE(""https://docs.google.com/spreadsheets/d/1MjHtlUikwobi2MaWJgy7tfLeBmhj1u-dRFRs_8GwSoA/edit#gid=0"",""Gestores Escolares!D7:m""),10,0),""VERIFICAR CÓD SEC"")"),"(77) 9 8816-9018")</f>
        <v>(77) 9 8816-9018</v>
      </c>
      <c r="S1142" s="82"/>
      <c r="T1142" s="138">
        <v>3.0</v>
      </c>
      <c r="U1142" s="139">
        <v>3.0</v>
      </c>
      <c r="V1142" s="106">
        <v>0.0</v>
      </c>
      <c r="W1142" s="107">
        <v>0.0</v>
      </c>
      <c r="X1142" s="107">
        <v>0.0</v>
      </c>
      <c r="Y1142" s="107">
        <v>0.0</v>
      </c>
      <c r="Z1142" s="80">
        <f t="shared" si="1"/>
        <v>0</v>
      </c>
      <c r="AA1142" s="106">
        <v>0.0</v>
      </c>
      <c r="AB1142" s="107">
        <v>0.0</v>
      </c>
      <c r="AC1142" s="107">
        <v>0.0</v>
      </c>
      <c r="AD1142" s="107">
        <v>0.0</v>
      </c>
      <c r="AE1142" s="80">
        <f t="shared" si="2"/>
        <v>0</v>
      </c>
      <c r="AF1142" s="140">
        <v>0.0</v>
      </c>
      <c r="AG1142" s="109">
        <v>0.0</v>
      </c>
      <c r="AH1142" s="109">
        <v>13.0</v>
      </c>
      <c r="AI1142" s="141">
        <v>0.0</v>
      </c>
      <c r="AJ1142" s="80">
        <f t="shared" si="3"/>
        <v>13</v>
      </c>
      <c r="AK1142" s="140">
        <v>0.0</v>
      </c>
      <c r="AL1142" s="109">
        <v>0.0</v>
      </c>
      <c r="AM1142" s="141">
        <v>0.0</v>
      </c>
      <c r="AN1142" s="80">
        <f t="shared" si="4"/>
        <v>0</v>
      </c>
      <c r="AO1142" s="140">
        <v>0.0</v>
      </c>
      <c r="AP1142" s="109">
        <v>0.0</v>
      </c>
      <c r="AQ1142" s="109">
        <v>0.0</v>
      </c>
      <c r="AR1142" s="80">
        <f t="shared" si="5"/>
        <v>0</v>
      </c>
      <c r="AS1142" s="110">
        <v>0.0</v>
      </c>
      <c r="AT1142" s="110">
        <v>0.0</v>
      </c>
      <c r="AU1142" s="110">
        <v>0.0</v>
      </c>
      <c r="AV1142" s="142">
        <v>0.0</v>
      </c>
      <c r="AW1142" s="80">
        <f t="shared" si="6"/>
        <v>0</v>
      </c>
      <c r="AX1142" s="113">
        <f t="shared" si="7"/>
        <v>13</v>
      </c>
      <c r="AY1142" s="117">
        <f t="shared" si="8"/>
        <v>0</v>
      </c>
      <c r="AZ1142" s="120">
        <f t="shared" si="9"/>
        <v>13</v>
      </c>
      <c r="BA1142" s="115">
        <v>0.0</v>
      </c>
      <c r="BB1142" s="89">
        <f t="shared" si="10"/>
        <v>13</v>
      </c>
      <c r="BC1142" s="132" t="s">
        <v>373</v>
      </c>
      <c r="BD1142" s="143" t="s">
        <v>227</v>
      </c>
      <c r="BE1142" s="132" t="s">
        <v>178</v>
      </c>
      <c r="BF1142" s="156"/>
      <c r="BG1142" s="83">
        <v>1179490.0</v>
      </c>
      <c r="BH1142" s="112"/>
      <c r="BI1142" s="112">
        <v>3.0</v>
      </c>
      <c r="BJ1142" s="98" t="s">
        <v>155</v>
      </c>
      <c r="BK1142" s="99">
        <f t="shared" si="11"/>
        <v>0</v>
      </c>
      <c r="BL1142" s="99">
        <f t="shared" si="12"/>
        <v>0</v>
      </c>
      <c r="BM1142" s="99" t="str">
        <f>IFERROR(__xludf.DUMMYFUNCTION("IFERROR(VLOOKUP(BG1142,IMPORTRANGE(""https://docs.google.com/spreadsheets/d/1juPI-Fb8LD0YtltB2mlGEnp_R3UVu1t3wSFPzgCyHXE/edit?gid=0#gid=0"",""GERAL!A2:C""),3,0),""-"")"),"CAMPO")</f>
        <v>CAMPO</v>
      </c>
    </row>
    <row r="1143" ht="15.75" customHeight="1">
      <c r="A1143" s="111" t="s">
        <v>1393</v>
      </c>
      <c r="B1143" s="83" t="s">
        <v>6195</v>
      </c>
      <c r="C1143" s="83" t="s">
        <v>68</v>
      </c>
      <c r="D1143" s="112">
        <v>1177071.0</v>
      </c>
      <c r="E1143" s="83"/>
      <c r="F1143" s="83">
        <v>2.9409535E7</v>
      </c>
      <c r="G1143" s="119" t="s">
        <v>6196</v>
      </c>
      <c r="H1143" s="91" t="s">
        <v>6197</v>
      </c>
      <c r="I1143" s="136" t="s">
        <v>149</v>
      </c>
      <c r="J1143" s="83" t="s">
        <v>150</v>
      </c>
      <c r="K1143" s="83" t="s">
        <v>151</v>
      </c>
      <c r="L1143" s="83" t="s">
        <v>76</v>
      </c>
      <c r="M1143" s="82" t="str">
        <f>IFERROR(__xludf.DUMMYFUNCTION("IFERROR(VLOOKUP(D1143,
IMPORTRANGE(""https://docs.google.com/spreadsheets/d/1MjHtlUikwobi2MaWJgy7tfLeBmhj1u-dRFRs_8GwSoA/edit#gid=0"",""Gestores Escolares!D7:J""),3,0),""VERIFICAR CÓD SEC"")"),"JASCIARA SHIRLLEY BARRETO BRASIL FARIAS DOS SANTOS")</f>
        <v>JASCIARA SHIRLLEY BARRETO BRASIL FARIAS DOS SANTOS</v>
      </c>
      <c r="N1143" s="82" t="str">
        <f>IFERROR(__xludf.DUMMYFUNCTION("IFERROR(VLOOKUP(D1143,
IMPORTRANGE(""https://docs.google.com/spreadsheets/d/1MjHtlUikwobi2MaWJgy7tfLeBmhj1u-dRFRs_8GwSoA/edit#gid=0"",""Gestores Escolares!D7:J""),4,0),""VERIFICAR CÓD SEC"")")," (77) 9 9986-8627")</f>
        <v> (77) 9 9986-8627</v>
      </c>
      <c r="O1143" s="82" t="str">
        <f>IFERROR(__xludf.DUMMYFUNCTION("IFERROR(VLOOKUP(D1143,
IMPORTRANGE(""https://docs.google.com/spreadsheets/d/1MjHtlUikwobi2MaWJgy7tfLeBmhj1u-dRFRs_8GwSoA/edit#gid=0"",""Gestores Escolares!D7:J""),6,0),""VERIFICAR CÓD SEC"")"),"LAURA CRISTINA ASSIS")</f>
        <v>LAURA CRISTINA ASSIS</v>
      </c>
      <c r="P1143" s="82" t="str">
        <f>IFERROR(__xludf.DUMMYFUNCTION("IFERROR(VLOOKUP(D1143,
IMPORTRANGE(""https://docs.google.com/spreadsheets/d/1MjHtlUikwobi2MaWJgy7tfLeBmhj1u-dRFRs_8GwSoA/edit#gid=0"",""Gestores Escolares!D7:J""),7,0),""VERIFICAR CÓD SEC"")"),"(77) 9 9119-0016")</f>
        <v>(77) 9 9119-0016</v>
      </c>
      <c r="Q1143" s="82" t="str">
        <f>IFERROR(__xludf.DUMMYFUNCTION("IFERROR(VLOOKUP(D1143,
IMPORTRANGE(""https://docs.google.com/spreadsheets/d/1MjHtlUikwobi2MaWJgy7tfLeBmhj1u-dRFRs_8GwSoA/edit#gid=0"",""Gestores Escolares!D7:m""),9,0),""VERIFICAR CÓD SEC"")"),"")</f>
        <v/>
      </c>
      <c r="R1143" s="82" t="str">
        <f>IFERROR(__xludf.DUMMYFUNCTION("IFERROR(VLOOKUP(D1143,
IMPORTRANGE(""https://docs.google.com/spreadsheets/d/1MjHtlUikwobi2MaWJgy7tfLeBmhj1u-dRFRs_8GwSoA/edit#gid=0"",""Gestores Escolares!D7:m""),10,0),""VERIFICAR CÓD SEC"")"),"")</f>
        <v/>
      </c>
      <c r="S1143" s="82"/>
      <c r="T1143" s="138">
        <v>10.0</v>
      </c>
      <c r="U1143" s="217" t="s">
        <v>13835</v>
      </c>
      <c r="V1143" s="106">
        <v>0.0</v>
      </c>
      <c r="W1143" s="107">
        <v>0.0</v>
      </c>
      <c r="X1143" s="107">
        <v>0.0</v>
      </c>
      <c r="Y1143" s="107">
        <v>0.0</v>
      </c>
      <c r="Z1143" s="80">
        <f t="shared" si="1"/>
        <v>0</v>
      </c>
      <c r="AA1143" s="106">
        <v>0.0</v>
      </c>
      <c r="AB1143" s="107">
        <v>0.0</v>
      </c>
      <c r="AC1143" s="107">
        <v>0.0</v>
      </c>
      <c r="AD1143" s="107">
        <v>0.0</v>
      </c>
      <c r="AE1143" s="80">
        <f t="shared" si="2"/>
        <v>0</v>
      </c>
      <c r="AF1143" s="140">
        <v>0.0</v>
      </c>
      <c r="AG1143" s="109">
        <v>195.0</v>
      </c>
      <c r="AH1143" s="109">
        <v>0.0</v>
      </c>
      <c r="AI1143" s="141">
        <v>15.0</v>
      </c>
      <c r="AJ1143" s="80">
        <f t="shared" si="3"/>
        <v>210</v>
      </c>
      <c r="AK1143" s="140">
        <v>0.0</v>
      </c>
      <c r="AL1143" s="109">
        <v>0.0</v>
      </c>
      <c r="AM1143" s="141">
        <v>0.0</v>
      </c>
      <c r="AN1143" s="80">
        <f t="shared" si="4"/>
        <v>0</v>
      </c>
      <c r="AO1143" s="140">
        <v>0.0</v>
      </c>
      <c r="AP1143" s="109">
        <v>0.0</v>
      </c>
      <c r="AQ1143" s="109">
        <v>36.0</v>
      </c>
      <c r="AR1143" s="80">
        <f t="shared" si="5"/>
        <v>36</v>
      </c>
      <c r="AS1143" s="110">
        <v>0.0</v>
      </c>
      <c r="AT1143" s="110">
        <v>0.0</v>
      </c>
      <c r="AU1143" s="110">
        <v>0.0</v>
      </c>
      <c r="AV1143" s="142">
        <v>44.0</v>
      </c>
      <c r="AW1143" s="80">
        <f t="shared" si="6"/>
        <v>44</v>
      </c>
      <c r="AX1143" s="113">
        <f t="shared" si="7"/>
        <v>290</v>
      </c>
      <c r="AY1143" s="117">
        <f t="shared" si="8"/>
        <v>254</v>
      </c>
      <c r="AZ1143" s="120">
        <f t="shared" si="9"/>
        <v>36</v>
      </c>
      <c r="BA1143" s="115">
        <v>0.0</v>
      </c>
      <c r="BB1143" s="89">
        <f t="shared" si="10"/>
        <v>290</v>
      </c>
      <c r="BC1143" s="132" t="s">
        <v>178</v>
      </c>
      <c r="BD1143" s="132" t="s">
        <v>178</v>
      </c>
      <c r="BE1143" s="132" t="s">
        <v>178</v>
      </c>
      <c r="BF1143" s="156"/>
      <c r="BG1143" s="83">
        <v>1177071.0</v>
      </c>
      <c r="BH1143" s="112"/>
      <c r="BI1143" s="112">
        <v>10.0</v>
      </c>
      <c r="BJ1143" s="98" t="s">
        <v>155</v>
      </c>
      <c r="BK1143" s="99">
        <f t="shared" si="11"/>
        <v>59</v>
      </c>
      <c r="BL1143" s="99">
        <f t="shared" si="12"/>
        <v>195</v>
      </c>
      <c r="BM1143" s="99" t="str">
        <f>IFERROR(__xludf.DUMMYFUNCTION("IFERROR(VLOOKUP(BG1143,IMPORTRANGE(""https://docs.google.com/spreadsheets/d/1juPI-Fb8LD0YtltB2mlGEnp_R3UVu1t3wSFPzgCyHXE/edit?gid=0#gid=0"",""GERAL!A2:C""),3,0),""-"")"),"-")</f>
        <v>-</v>
      </c>
    </row>
    <row r="1144" ht="15.75" customHeight="1">
      <c r="A1144" s="111" t="s">
        <v>1393</v>
      </c>
      <c r="B1144" s="83" t="s">
        <v>2349</v>
      </c>
      <c r="C1144" s="83" t="s">
        <v>68</v>
      </c>
      <c r="D1144" s="112">
        <v>1128878.0</v>
      </c>
      <c r="E1144" s="83"/>
      <c r="F1144" s="83">
        <v>2.9258324E7</v>
      </c>
      <c r="G1144" s="119" t="s">
        <v>6200</v>
      </c>
      <c r="H1144" s="91" t="s">
        <v>6201</v>
      </c>
      <c r="I1144" s="136" t="s">
        <v>149</v>
      </c>
      <c r="J1144" s="83" t="s">
        <v>150</v>
      </c>
      <c r="K1144" s="83" t="s">
        <v>151</v>
      </c>
      <c r="L1144" s="83" t="s">
        <v>76</v>
      </c>
      <c r="M1144" s="82" t="str">
        <f>IFERROR(__xludf.DUMMYFUNCTION("IFERROR(VLOOKUP(D1144,
IMPORTRANGE(""https://docs.google.com/spreadsheets/d/1MjHtlUikwobi2MaWJgy7tfLeBmhj1u-dRFRs_8GwSoA/edit#gid=0"",""Gestores Escolares!D7:J""),3,0),""VERIFICAR CÓD SEC"")"),"PLINIO JOSE BARBOSA JUNIOR")</f>
        <v>PLINIO JOSE BARBOSA JUNIOR</v>
      </c>
      <c r="N1144" s="82" t="str">
        <f>IFERROR(__xludf.DUMMYFUNCTION("IFERROR(VLOOKUP(D1144,
IMPORTRANGE(""https://docs.google.com/spreadsheets/d/1MjHtlUikwobi2MaWJgy7tfLeBmhj1u-dRFRs_8GwSoA/edit#gid=0"",""Gestores Escolares!D7:J""),4,0),""VERIFICAR CÓD SEC"")"),"(77) 9 9116-7740")</f>
        <v>(77) 9 9116-7740</v>
      </c>
      <c r="O1144" s="82" t="str">
        <f>IFERROR(__xludf.DUMMYFUNCTION("IFERROR(VLOOKUP(D1144,
IMPORTRANGE(""https://docs.google.com/spreadsheets/d/1MjHtlUikwobi2MaWJgy7tfLeBmhj1u-dRFRs_8GwSoA/edit#gid=0"",""Gestores Escolares!D7:J""),6,0),""VERIFICAR CÓD SEC"")"),"RITA MARIA DOS SANTOS FERREIRA PORTO DUARTE")</f>
        <v>RITA MARIA DOS SANTOS FERREIRA PORTO DUARTE</v>
      </c>
      <c r="P1144" s="82" t="str">
        <f>IFERROR(__xludf.DUMMYFUNCTION("IFERROR(VLOOKUP(D1144,
IMPORTRANGE(""https://docs.google.com/spreadsheets/d/1MjHtlUikwobi2MaWJgy7tfLeBmhj1u-dRFRs_8GwSoA/edit#gid=0"",""Gestores Escolares!D7:J""),7,0),""VERIFICAR CÓD SEC"")"),"(77) 9 9118-6756/ 9 8873-7169")</f>
        <v>(77) 9 9118-6756/ 9 8873-7169</v>
      </c>
      <c r="Q1144" s="82" t="str">
        <f>IFERROR(__xludf.DUMMYFUNCTION("IFERROR(VLOOKUP(D1144,
IMPORTRANGE(""https://docs.google.com/spreadsheets/d/1MjHtlUikwobi2MaWJgy7tfLeBmhj1u-dRFRs_8GwSoA/edit#gid=0"",""Gestores Escolares!D7:m""),9,0),""VERIFICAR CÓD SEC"")"),"")</f>
        <v/>
      </c>
      <c r="R1144" s="82" t="str">
        <f>IFERROR(__xludf.DUMMYFUNCTION("IFERROR(VLOOKUP(D1144,
IMPORTRANGE(""https://docs.google.com/spreadsheets/d/1MjHtlUikwobi2MaWJgy7tfLeBmhj1u-dRFRs_8GwSoA/edit#gid=0"",""Gestores Escolares!D7:m""),10,0),""VERIFICAR CÓD SEC"")"),"")</f>
        <v/>
      </c>
      <c r="S1144" s="82"/>
      <c r="T1144" s="138">
        <v>10.0</v>
      </c>
      <c r="U1144" s="418">
        <v>8.0</v>
      </c>
      <c r="V1144" s="106">
        <v>0.0</v>
      </c>
      <c r="W1144" s="107">
        <v>0.0</v>
      </c>
      <c r="X1144" s="107">
        <v>0.0</v>
      </c>
      <c r="Y1144" s="107">
        <v>0.0</v>
      </c>
      <c r="Z1144" s="80">
        <f t="shared" si="1"/>
        <v>0</v>
      </c>
      <c r="AA1144" s="106">
        <v>0.0</v>
      </c>
      <c r="AB1144" s="107">
        <v>0.0</v>
      </c>
      <c r="AC1144" s="107">
        <v>0.0</v>
      </c>
      <c r="AD1144" s="107">
        <v>0.0</v>
      </c>
      <c r="AE1144" s="80">
        <f t="shared" si="2"/>
        <v>0</v>
      </c>
      <c r="AF1144" s="140">
        <v>117.0</v>
      </c>
      <c r="AG1144" s="109">
        <v>99.0</v>
      </c>
      <c r="AH1144" s="109">
        <v>0.0</v>
      </c>
      <c r="AI1144" s="141">
        <v>140.0</v>
      </c>
      <c r="AJ1144" s="80">
        <f t="shared" si="3"/>
        <v>356</v>
      </c>
      <c r="AK1144" s="140">
        <v>0.0</v>
      </c>
      <c r="AL1144" s="109">
        <v>0.0</v>
      </c>
      <c r="AM1144" s="141">
        <v>0.0</v>
      </c>
      <c r="AN1144" s="80">
        <f t="shared" si="4"/>
        <v>0</v>
      </c>
      <c r="AO1144" s="140">
        <v>0.0</v>
      </c>
      <c r="AP1144" s="109">
        <v>0.0</v>
      </c>
      <c r="AQ1144" s="109">
        <v>34.0</v>
      </c>
      <c r="AR1144" s="80">
        <f t="shared" si="5"/>
        <v>34</v>
      </c>
      <c r="AS1144" s="110">
        <v>0.0</v>
      </c>
      <c r="AT1144" s="110">
        <v>0.0</v>
      </c>
      <c r="AU1144" s="110">
        <v>0.0</v>
      </c>
      <c r="AV1144" s="142">
        <v>56.0</v>
      </c>
      <c r="AW1144" s="80">
        <f t="shared" si="6"/>
        <v>56</v>
      </c>
      <c r="AX1144" s="113">
        <f t="shared" si="7"/>
        <v>446</v>
      </c>
      <c r="AY1144" s="117">
        <f t="shared" si="8"/>
        <v>412</v>
      </c>
      <c r="AZ1144" s="120">
        <f t="shared" si="9"/>
        <v>34</v>
      </c>
      <c r="BA1144" s="115">
        <v>0.0</v>
      </c>
      <c r="BB1144" s="89">
        <f t="shared" si="10"/>
        <v>446</v>
      </c>
      <c r="BC1144" s="132" t="s">
        <v>178</v>
      </c>
      <c r="BD1144" s="132" t="s">
        <v>178</v>
      </c>
      <c r="BE1144" s="132" t="s">
        <v>178</v>
      </c>
      <c r="BF1144" s="123"/>
      <c r="BG1144" s="83">
        <v>1128878.0</v>
      </c>
      <c r="BH1144" s="112"/>
      <c r="BI1144" s="112">
        <v>8.0</v>
      </c>
      <c r="BJ1144" s="98" t="s">
        <v>284</v>
      </c>
      <c r="BK1144" s="99">
        <f t="shared" si="11"/>
        <v>196</v>
      </c>
      <c r="BL1144" s="99">
        <f t="shared" si="12"/>
        <v>216</v>
      </c>
      <c r="BM1144" s="99" t="str">
        <f>IFERROR(__xludf.DUMMYFUNCTION("IFERROR(VLOOKUP(BG1144,IMPORTRANGE(""https://docs.google.com/spreadsheets/d/1juPI-Fb8LD0YtltB2mlGEnp_R3UVu1t3wSFPzgCyHXE/edit?gid=0#gid=0"",""GERAL!A2:C""),3,0),""-"")"),"-")</f>
        <v>-</v>
      </c>
    </row>
    <row r="1145" ht="15.75" customHeight="1">
      <c r="A1145" s="111" t="s">
        <v>1393</v>
      </c>
      <c r="B1145" s="83" t="s">
        <v>6206</v>
      </c>
      <c r="C1145" s="83" t="s">
        <v>68</v>
      </c>
      <c r="D1145" s="112">
        <v>1128924.0</v>
      </c>
      <c r="E1145" s="83"/>
      <c r="F1145" s="83">
        <v>2.925963E7</v>
      </c>
      <c r="G1145" s="119" t="s">
        <v>6207</v>
      </c>
      <c r="H1145" s="91" t="s">
        <v>6208</v>
      </c>
      <c r="I1145" s="136" t="s">
        <v>149</v>
      </c>
      <c r="J1145" s="83" t="s">
        <v>150</v>
      </c>
      <c r="K1145" s="83" t="s">
        <v>151</v>
      </c>
      <c r="L1145" s="83" t="s">
        <v>76</v>
      </c>
      <c r="M1145" s="82" t="str">
        <f>IFERROR(__xludf.DUMMYFUNCTION("IFERROR(VLOOKUP(D1145,
IMPORTRANGE(""https://docs.google.com/spreadsheets/d/1MjHtlUikwobi2MaWJgy7tfLeBmhj1u-dRFRs_8GwSoA/edit#gid=0"",""Gestores Escolares!D7:J""),3,0),""VERIFICAR CÓD SEC"")")," IZALTO ALVES MOREIRA")</f>
        <v> IZALTO ALVES MOREIRA</v>
      </c>
      <c r="N1145" s="82" t="str">
        <f>IFERROR(__xludf.DUMMYFUNCTION("IFERROR(VLOOKUP(D1145,
IMPORTRANGE(""https://docs.google.com/spreadsheets/d/1MjHtlUikwobi2MaWJgy7tfLeBmhj1u-dRFRs_8GwSoA/edit#gid=0"",""Gestores Escolares!D7:J""),4,0),""VERIFICAR CÓD SEC"")"),"(77) 9 8844-6935")</f>
        <v>(77) 9 8844-6935</v>
      </c>
      <c r="O1145" s="82" t="str">
        <f>IFERROR(__xludf.DUMMYFUNCTION("IFERROR(VLOOKUP(D1145,
IMPORTRANGE(""https://docs.google.com/spreadsheets/d/1MjHtlUikwobi2MaWJgy7tfLeBmhj1u-dRFRs_8GwSoA/edit#gid=0"",""Gestores Escolares!D7:J""),6,0),""VERIFICAR CÓD SEC"")"),"LEIA LUZ GUSMAO SANTOS")</f>
        <v>LEIA LUZ GUSMAO SANTOS</v>
      </c>
      <c r="P1145" s="82" t="str">
        <f>IFERROR(__xludf.DUMMYFUNCTION("IFERROR(VLOOKUP(D1145,
IMPORTRANGE(""https://docs.google.com/spreadsheets/d/1MjHtlUikwobi2MaWJgy7tfLeBmhj1u-dRFRs_8GwSoA/edit#gid=0"",""Gestores Escolares!D7:J""),7,0),""VERIFICAR CÓD SEC"")"),"(77) 9 8868-3625")</f>
        <v>(77) 9 8868-3625</v>
      </c>
      <c r="Q1145" s="82" t="str">
        <f>IFERROR(__xludf.DUMMYFUNCTION("IFERROR(VLOOKUP(D1145,
IMPORTRANGE(""https://docs.google.com/spreadsheets/d/1MjHtlUikwobi2MaWJgy7tfLeBmhj1u-dRFRs_8GwSoA/edit#gid=0"",""Gestores Escolares!D7:m""),9,0),""VERIFICAR CÓD SEC"")"),"")</f>
        <v/>
      </c>
      <c r="R1145" s="82" t="str">
        <f>IFERROR(__xludf.DUMMYFUNCTION("IFERROR(VLOOKUP(D1145,
IMPORTRANGE(""https://docs.google.com/spreadsheets/d/1MjHtlUikwobi2MaWJgy7tfLeBmhj1u-dRFRs_8GwSoA/edit#gid=0"",""Gestores Escolares!D7:m""),10,0),""VERIFICAR CÓD SEC"")"),"")</f>
        <v/>
      </c>
      <c r="S1145" s="82"/>
      <c r="T1145" s="138">
        <v>7.0</v>
      </c>
      <c r="U1145" s="145" t="s">
        <v>13836</v>
      </c>
      <c r="V1145" s="106">
        <v>0.0</v>
      </c>
      <c r="W1145" s="107">
        <v>0.0</v>
      </c>
      <c r="X1145" s="107">
        <v>0.0</v>
      </c>
      <c r="Y1145" s="107">
        <v>0.0</v>
      </c>
      <c r="Z1145" s="80">
        <f t="shared" si="1"/>
        <v>0</v>
      </c>
      <c r="AA1145" s="106">
        <v>0.0</v>
      </c>
      <c r="AB1145" s="107">
        <v>0.0</v>
      </c>
      <c r="AC1145" s="107">
        <v>0.0</v>
      </c>
      <c r="AD1145" s="107">
        <v>0.0</v>
      </c>
      <c r="AE1145" s="80">
        <f t="shared" si="2"/>
        <v>0</v>
      </c>
      <c r="AF1145" s="140">
        <v>0.0</v>
      </c>
      <c r="AG1145" s="109">
        <v>18.0</v>
      </c>
      <c r="AH1145" s="109">
        <v>0.0</v>
      </c>
      <c r="AI1145" s="141">
        <v>175.0</v>
      </c>
      <c r="AJ1145" s="80">
        <f t="shared" si="3"/>
        <v>193</v>
      </c>
      <c r="AK1145" s="140">
        <v>0.0</v>
      </c>
      <c r="AL1145" s="109">
        <v>0.0</v>
      </c>
      <c r="AM1145" s="141">
        <v>0.0</v>
      </c>
      <c r="AN1145" s="80">
        <f t="shared" si="4"/>
        <v>0</v>
      </c>
      <c r="AO1145" s="140">
        <v>0.0</v>
      </c>
      <c r="AP1145" s="109">
        <v>0.0</v>
      </c>
      <c r="AQ1145" s="109">
        <v>0.0</v>
      </c>
      <c r="AR1145" s="80">
        <f t="shared" si="5"/>
        <v>0</v>
      </c>
      <c r="AS1145" s="110">
        <v>0.0</v>
      </c>
      <c r="AT1145" s="110">
        <v>0.0</v>
      </c>
      <c r="AU1145" s="110">
        <v>0.0</v>
      </c>
      <c r="AV1145" s="142">
        <v>72.0</v>
      </c>
      <c r="AW1145" s="80">
        <f t="shared" si="6"/>
        <v>72</v>
      </c>
      <c r="AX1145" s="113">
        <f t="shared" si="7"/>
        <v>265</v>
      </c>
      <c r="AY1145" s="117">
        <f t="shared" si="8"/>
        <v>265</v>
      </c>
      <c r="AZ1145" s="120">
        <f t="shared" si="9"/>
        <v>0</v>
      </c>
      <c r="BA1145" s="115">
        <v>0.0</v>
      </c>
      <c r="BB1145" s="89">
        <f t="shared" si="10"/>
        <v>265</v>
      </c>
      <c r="BC1145" s="132" t="s">
        <v>178</v>
      </c>
      <c r="BD1145" s="132" t="s">
        <v>178</v>
      </c>
      <c r="BE1145" s="132" t="s">
        <v>178</v>
      </c>
      <c r="BF1145" s="123"/>
      <c r="BG1145" s="83">
        <v>1128924.0</v>
      </c>
      <c r="BH1145" s="112"/>
      <c r="BI1145" s="112">
        <v>6.0</v>
      </c>
      <c r="BJ1145" s="98" t="s">
        <v>155</v>
      </c>
      <c r="BK1145" s="99">
        <f t="shared" si="11"/>
        <v>247</v>
      </c>
      <c r="BL1145" s="99">
        <f t="shared" si="12"/>
        <v>18</v>
      </c>
      <c r="BM1145" s="99" t="str">
        <f>IFERROR(__xludf.DUMMYFUNCTION("IFERROR(VLOOKUP(BG1145,IMPORTRANGE(""https://docs.google.com/spreadsheets/d/1juPI-Fb8LD0YtltB2mlGEnp_R3UVu1t3wSFPzgCyHXE/edit?gid=0#gid=0"",""GERAL!A2:C""),3,0),""-"")"),"-")</f>
        <v>-</v>
      </c>
    </row>
    <row r="1146" ht="15.75" customHeight="1">
      <c r="A1146" s="111" t="s">
        <v>1393</v>
      </c>
      <c r="B1146" s="83" t="s">
        <v>6214</v>
      </c>
      <c r="C1146" s="83" t="s">
        <v>68</v>
      </c>
      <c r="D1146" s="112">
        <v>1179271.0</v>
      </c>
      <c r="E1146" s="83"/>
      <c r="F1146" s="83">
        <v>2.9459028E7</v>
      </c>
      <c r="G1146" s="119" t="s">
        <v>6215</v>
      </c>
      <c r="H1146" s="91" t="s">
        <v>6216</v>
      </c>
      <c r="I1146" s="136" t="s">
        <v>6217</v>
      </c>
      <c r="J1146" s="83" t="s">
        <v>167</v>
      </c>
      <c r="K1146" s="83" t="s">
        <v>151</v>
      </c>
      <c r="L1146" s="83" t="s">
        <v>169</v>
      </c>
      <c r="M1146" s="82" t="str">
        <f>IFERROR(__xludf.DUMMYFUNCTION("IFERROR(VLOOKUP(D1146,
IMPORTRANGE(""https://docs.google.com/spreadsheets/d/1MjHtlUikwobi2MaWJgy7tfLeBmhj1u-dRFRs_8GwSoA/edit#gid=0"",""Gestores Escolares!D7:J""),3,0),""VERIFICAR CÓD SEC"")"),"ALLAN DE SOUSA SILVA")</f>
        <v>ALLAN DE SOUSA SILVA</v>
      </c>
      <c r="N1146" s="82" t="str">
        <f>IFERROR(__xludf.DUMMYFUNCTION("IFERROR(VLOOKUP(D1146,
IMPORTRANGE(""https://docs.google.com/spreadsheets/d/1MjHtlUikwobi2MaWJgy7tfLeBmhj1u-dRFRs_8GwSoA/edit#gid=0"",""Gestores Escolares!D7:J""),4,0),""VERIFICAR CÓD SEC"")"),"	(73) 9 9861-3985")</f>
        <v>	(73) 9 9861-3985</v>
      </c>
      <c r="O1146" s="82" t="str">
        <f>IFERROR(__xludf.DUMMYFUNCTION("IFERROR(VLOOKUP(D1146,
IMPORTRANGE(""https://docs.google.com/spreadsheets/d/1MjHtlUikwobi2MaWJgy7tfLeBmhj1u-dRFRs_8GwSoA/edit#gid=0"",""Gestores Escolares!D7:J""),6,0),""VERIFICAR CÓD SEC"")")," PAULO DE ASSIS LAGO")</f>
        <v> PAULO DE ASSIS LAGO</v>
      </c>
      <c r="P1146" s="82" t="str">
        <f>IFERROR(__xludf.DUMMYFUNCTION("IFERROR(VLOOKUP(D1146,
IMPORTRANGE(""https://docs.google.com/spreadsheets/d/1MjHtlUikwobi2MaWJgy7tfLeBmhj1u-dRFRs_8GwSoA/edit#gid=0"",""Gestores Escolares!D7:J""),7,0),""VERIFICAR CÓD SEC"")"),"(77) 9 9916-7196")</f>
        <v>(77) 9 9916-7196</v>
      </c>
      <c r="Q1146" s="82" t="str">
        <f>IFERROR(__xludf.DUMMYFUNCTION("IFERROR(VLOOKUP(D1146,
IMPORTRANGE(""https://docs.google.com/spreadsheets/d/1MjHtlUikwobi2MaWJgy7tfLeBmhj1u-dRFRs_8GwSoA/edit#gid=0"",""Gestores Escolares!D7:m""),9,0),""VERIFICAR CÓD SEC"")"),"")</f>
        <v/>
      </c>
      <c r="R1146" s="82" t="str">
        <f>IFERROR(__xludf.DUMMYFUNCTION("IFERROR(VLOOKUP(D1146,
IMPORTRANGE(""https://docs.google.com/spreadsheets/d/1MjHtlUikwobi2MaWJgy7tfLeBmhj1u-dRFRs_8GwSoA/edit#gid=0"",""Gestores Escolares!D7:m""),10,0),""VERIFICAR CÓD SEC"")"),"")</f>
        <v/>
      </c>
      <c r="S1146" s="82"/>
      <c r="T1146" s="138">
        <v>5.0</v>
      </c>
      <c r="U1146" s="145">
        <v>4.0</v>
      </c>
      <c r="V1146" s="106">
        <v>0.0</v>
      </c>
      <c r="W1146" s="107">
        <v>0.0</v>
      </c>
      <c r="X1146" s="107">
        <v>0.0</v>
      </c>
      <c r="Y1146" s="107">
        <v>0.0</v>
      </c>
      <c r="Z1146" s="80">
        <f t="shared" si="1"/>
        <v>0</v>
      </c>
      <c r="AA1146" s="106">
        <v>0.0</v>
      </c>
      <c r="AB1146" s="107">
        <v>0.0</v>
      </c>
      <c r="AC1146" s="107">
        <v>0.0</v>
      </c>
      <c r="AD1146" s="107">
        <v>0.0</v>
      </c>
      <c r="AE1146" s="80">
        <f t="shared" si="2"/>
        <v>0</v>
      </c>
      <c r="AF1146" s="140">
        <v>124.0</v>
      </c>
      <c r="AG1146" s="109">
        <v>112.0</v>
      </c>
      <c r="AH1146" s="109">
        <v>0.0</v>
      </c>
      <c r="AI1146" s="141">
        <v>0.0</v>
      </c>
      <c r="AJ1146" s="80">
        <f t="shared" si="3"/>
        <v>236</v>
      </c>
      <c r="AK1146" s="140">
        <v>0.0</v>
      </c>
      <c r="AL1146" s="109">
        <v>0.0</v>
      </c>
      <c r="AM1146" s="141">
        <v>0.0</v>
      </c>
      <c r="AN1146" s="80">
        <f t="shared" si="4"/>
        <v>0</v>
      </c>
      <c r="AO1146" s="140">
        <v>0.0</v>
      </c>
      <c r="AP1146" s="109">
        <v>0.0</v>
      </c>
      <c r="AQ1146" s="109">
        <v>93.0</v>
      </c>
      <c r="AR1146" s="80">
        <f t="shared" si="5"/>
        <v>93</v>
      </c>
      <c r="AS1146" s="110">
        <v>0.0</v>
      </c>
      <c r="AT1146" s="110">
        <v>0.0</v>
      </c>
      <c r="AU1146" s="110">
        <v>0.0</v>
      </c>
      <c r="AV1146" s="142">
        <v>0.0</v>
      </c>
      <c r="AW1146" s="80">
        <f t="shared" si="6"/>
        <v>0</v>
      </c>
      <c r="AX1146" s="113">
        <f t="shared" si="7"/>
        <v>329</v>
      </c>
      <c r="AY1146" s="117">
        <f t="shared" si="8"/>
        <v>236</v>
      </c>
      <c r="AZ1146" s="120">
        <f t="shared" si="9"/>
        <v>93</v>
      </c>
      <c r="BA1146" s="115">
        <v>0.0</v>
      </c>
      <c r="BB1146" s="89">
        <f t="shared" si="10"/>
        <v>329</v>
      </c>
      <c r="BC1146" s="132" t="s">
        <v>373</v>
      </c>
      <c r="BD1146" s="132" t="s">
        <v>178</v>
      </c>
      <c r="BE1146" s="132" t="s">
        <v>178</v>
      </c>
      <c r="BF1146" s="156"/>
      <c r="BG1146" s="83">
        <v>1179271.0</v>
      </c>
      <c r="BH1146" s="112"/>
      <c r="BI1146" s="112">
        <v>5.0</v>
      </c>
      <c r="BJ1146" s="98" t="s">
        <v>155</v>
      </c>
      <c r="BK1146" s="99">
        <f t="shared" si="11"/>
        <v>0</v>
      </c>
      <c r="BL1146" s="99">
        <f t="shared" si="12"/>
        <v>236</v>
      </c>
      <c r="BM1146" s="99" t="str">
        <f>IFERROR(__xludf.DUMMYFUNCTION("IFERROR(VLOOKUP(BG1146,IMPORTRANGE(""https://docs.google.com/spreadsheets/d/1juPI-Fb8LD0YtltB2mlGEnp_R3UVu1t3wSFPzgCyHXE/edit?gid=0#gid=0"",""GERAL!A2:C""),3,0),""-"")"),"CAMPO")</f>
        <v>CAMPO</v>
      </c>
    </row>
    <row r="1147" ht="15.75" customHeight="1">
      <c r="A1147" s="111" t="s">
        <v>1393</v>
      </c>
      <c r="B1147" s="83" t="s">
        <v>6214</v>
      </c>
      <c r="C1147" s="83" t="s">
        <v>68</v>
      </c>
      <c r="D1147" s="112">
        <v>1165277.0</v>
      </c>
      <c r="E1147" s="83"/>
      <c r="F1147" s="83">
        <v>2.9281261E7</v>
      </c>
      <c r="G1147" s="119" t="s">
        <v>6222</v>
      </c>
      <c r="H1147" s="91" t="s">
        <v>6223</v>
      </c>
      <c r="I1147" s="136" t="s">
        <v>149</v>
      </c>
      <c r="J1147" s="83" t="s">
        <v>150</v>
      </c>
      <c r="K1147" s="83" t="s">
        <v>151</v>
      </c>
      <c r="L1147" s="83" t="s">
        <v>3876</v>
      </c>
      <c r="M1147" s="82" t="str">
        <f>IFERROR(__xludf.DUMMYFUNCTION("IFERROR(VLOOKUP(D1147,
IMPORTRANGE(""https://docs.google.com/spreadsheets/d/1MjHtlUikwobi2MaWJgy7tfLeBmhj1u-dRFRs_8GwSoA/edit#gid=0"",""Gestores Escolares!D7:J""),3,0),""VERIFICAR CÓD SEC"")"),"MARCIA FATIMA DE SOUZA BARBOSA")</f>
        <v>MARCIA FATIMA DE SOUZA BARBOSA</v>
      </c>
      <c r="N1147" s="82" t="str">
        <f>IFERROR(__xludf.DUMMYFUNCTION("IFERROR(VLOOKUP(D1147,
IMPORTRANGE(""https://docs.google.com/spreadsheets/d/1MjHtlUikwobi2MaWJgy7tfLeBmhj1u-dRFRs_8GwSoA/edit#gid=0"",""Gestores Escolares!D7:J""),4,0),""VERIFICAR CÓD SEC"")"),"(77) 9 9911- 3664")</f>
        <v>(77) 9 9911- 3664</v>
      </c>
      <c r="O1147" s="82" t="str">
        <f>IFERROR(__xludf.DUMMYFUNCTION("IFERROR(VLOOKUP(D1147,
IMPORTRANGE(""https://docs.google.com/spreadsheets/d/1MjHtlUikwobi2MaWJgy7tfLeBmhj1u-dRFRs_8GwSoA/edit#gid=0"",""Gestores Escolares!D7:J""),6,0),""VERIFICAR CÓD SEC"")"),"SAULO OLIVEIRA MARTINS")</f>
        <v>SAULO OLIVEIRA MARTINS</v>
      </c>
      <c r="P1147" s="82" t="str">
        <f>IFERROR(__xludf.DUMMYFUNCTION("IFERROR(VLOOKUP(D1147,
IMPORTRANGE(""https://docs.google.com/spreadsheets/d/1MjHtlUikwobi2MaWJgy7tfLeBmhj1u-dRFRs_8GwSoA/edit#gid=0"",""Gestores Escolares!D7:J""),7,0),""VERIFICAR CÓD SEC"")"),"(77) 9 9991-5618")</f>
        <v>(77) 9 9991-5618</v>
      </c>
      <c r="Q1147" s="82" t="str">
        <f>IFERROR(__xludf.DUMMYFUNCTION("IFERROR(VLOOKUP(D1147,
IMPORTRANGE(""https://docs.google.com/spreadsheets/d/1MjHtlUikwobi2MaWJgy7tfLeBmhj1u-dRFRs_8GwSoA/edit#gid=0"",""Gestores Escolares!D7:m""),9,0),""VERIFICAR CÓD SEC"")"),"")</f>
        <v/>
      </c>
      <c r="R1147" s="82" t="str">
        <f>IFERROR(__xludf.DUMMYFUNCTION("IFERROR(VLOOKUP(D1147,
IMPORTRANGE(""https://docs.google.com/spreadsheets/d/1MjHtlUikwobi2MaWJgy7tfLeBmhj1u-dRFRs_8GwSoA/edit#gid=0"",""Gestores Escolares!D7:m""),10,0),""VERIFICAR CÓD SEC"")"),"")</f>
        <v/>
      </c>
      <c r="S1147" s="82"/>
      <c r="T1147" s="138">
        <v>9.0</v>
      </c>
      <c r="U1147" s="388">
        <v>8.0</v>
      </c>
      <c r="V1147" s="106">
        <v>0.0</v>
      </c>
      <c r="W1147" s="107">
        <v>0.0</v>
      </c>
      <c r="X1147" s="107">
        <v>0.0</v>
      </c>
      <c r="Y1147" s="107">
        <v>0.0</v>
      </c>
      <c r="Z1147" s="80">
        <f t="shared" si="1"/>
        <v>0</v>
      </c>
      <c r="AA1147" s="106">
        <v>0.0</v>
      </c>
      <c r="AB1147" s="107">
        <v>0.0</v>
      </c>
      <c r="AC1147" s="107">
        <v>0.0</v>
      </c>
      <c r="AD1147" s="107">
        <v>0.0</v>
      </c>
      <c r="AE1147" s="80">
        <f t="shared" si="2"/>
        <v>0</v>
      </c>
      <c r="AF1147" s="140">
        <v>0.0</v>
      </c>
      <c r="AG1147" s="109">
        <v>0.0</v>
      </c>
      <c r="AH1147" s="109">
        <v>0.0</v>
      </c>
      <c r="AI1147" s="141">
        <v>112.0</v>
      </c>
      <c r="AJ1147" s="80">
        <f t="shared" si="3"/>
        <v>112</v>
      </c>
      <c r="AK1147" s="140">
        <v>0.0</v>
      </c>
      <c r="AL1147" s="109">
        <v>0.0</v>
      </c>
      <c r="AM1147" s="141">
        <v>0.0</v>
      </c>
      <c r="AN1147" s="80">
        <f t="shared" si="4"/>
        <v>0</v>
      </c>
      <c r="AO1147" s="140">
        <v>0.0</v>
      </c>
      <c r="AP1147" s="109">
        <v>0.0</v>
      </c>
      <c r="AQ1147" s="109">
        <v>34.0</v>
      </c>
      <c r="AR1147" s="80">
        <f t="shared" si="5"/>
        <v>34</v>
      </c>
      <c r="AS1147" s="110">
        <v>0.0</v>
      </c>
      <c r="AT1147" s="110">
        <v>0.0</v>
      </c>
      <c r="AU1147" s="110">
        <v>27.0</v>
      </c>
      <c r="AV1147" s="142">
        <v>88.0</v>
      </c>
      <c r="AW1147" s="80">
        <f t="shared" si="6"/>
        <v>115</v>
      </c>
      <c r="AX1147" s="113">
        <f t="shared" si="7"/>
        <v>261</v>
      </c>
      <c r="AY1147" s="117">
        <f t="shared" si="8"/>
        <v>200</v>
      </c>
      <c r="AZ1147" s="120">
        <f t="shared" si="9"/>
        <v>61</v>
      </c>
      <c r="BA1147" s="115">
        <v>0.0</v>
      </c>
      <c r="BB1147" s="89">
        <f t="shared" si="10"/>
        <v>261</v>
      </c>
      <c r="BC1147" s="132" t="s">
        <v>178</v>
      </c>
      <c r="BD1147" s="132" t="s">
        <v>178</v>
      </c>
      <c r="BE1147" s="132" t="s">
        <v>178</v>
      </c>
      <c r="BF1147" s="156"/>
      <c r="BG1147" s="83">
        <v>1165277.0</v>
      </c>
      <c r="BH1147" s="112"/>
      <c r="BI1147" s="112">
        <v>8.0</v>
      </c>
      <c r="BJ1147" s="98" t="s">
        <v>155</v>
      </c>
      <c r="BK1147" s="99">
        <f t="shared" si="11"/>
        <v>200</v>
      </c>
      <c r="BL1147" s="99">
        <f t="shared" si="12"/>
        <v>0</v>
      </c>
      <c r="BM1147" s="99" t="str">
        <f>IFERROR(__xludf.DUMMYFUNCTION("IFERROR(VLOOKUP(BG1147,IMPORTRANGE(""https://docs.google.com/spreadsheets/d/1juPI-Fb8LD0YtltB2mlGEnp_R3UVu1t3wSFPzgCyHXE/edit?gid=0#gid=0"",""GERAL!A2:C""),3,0),""-"")"),"-")</f>
        <v>-</v>
      </c>
    </row>
    <row r="1148" ht="15.75" customHeight="1">
      <c r="A1148" s="111" t="s">
        <v>1393</v>
      </c>
      <c r="B1148" s="83" t="s">
        <v>6225</v>
      </c>
      <c r="C1148" s="83" t="s">
        <v>68</v>
      </c>
      <c r="D1148" s="112">
        <v>1178271.0</v>
      </c>
      <c r="E1148" s="83"/>
      <c r="F1148" s="83">
        <v>2.9535816E7</v>
      </c>
      <c r="G1148" s="119" t="s">
        <v>4169</v>
      </c>
      <c r="H1148" s="91" t="s">
        <v>6226</v>
      </c>
      <c r="I1148" s="83" t="s">
        <v>149</v>
      </c>
      <c r="J1148" s="83" t="s">
        <v>150</v>
      </c>
      <c r="K1148" s="83" t="s">
        <v>151</v>
      </c>
      <c r="L1148" s="98" t="s">
        <v>76</v>
      </c>
      <c r="M1148" s="82" t="str">
        <f>IFERROR(__xludf.DUMMYFUNCTION("IFERROR(VLOOKUP(D1148,
IMPORTRANGE(""https://docs.google.com/spreadsheets/d/1MjHtlUikwobi2MaWJgy7tfLeBmhj1u-dRFRs_8GwSoA/edit#gid=0"",""Gestores Escolares!D7:J""),3,0),""VERIFICAR CÓD SEC"")")," DEAN CARLOS RIBEIRO PORTO")</f>
        <v> DEAN CARLOS RIBEIRO PORTO</v>
      </c>
      <c r="N1148" s="82" t="str">
        <f>IFERROR(__xludf.DUMMYFUNCTION("IFERROR(VLOOKUP(D1148,
IMPORTRANGE(""https://docs.google.com/spreadsheets/d/1MjHtlUikwobi2MaWJgy7tfLeBmhj1u-dRFRs_8GwSoA/edit#gid=0"",""Gestores Escolares!D7:J""),4,0),""VERIFICAR CÓD SEC"")"),"(77) 9 8858-2021")</f>
        <v>(77) 9 8858-2021</v>
      </c>
      <c r="O1148" s="82" t="str">
        <f>IFERROR(__xludf.DUMMYFUNCTION("IFERROR(VLOOKUP(D1148,
IMPORTRANGE(""https://docs.google.com/spreadsheets/d/1MjHtlUikwobi2MaWJgy7tfLeBmhj1u-dRFRs_8GwSoA/edit#gid=0"",""Gestores Escolares!D7:J""),6,0),""VERIFICAR CÓD SEC"")"),"")</f>
        <v/>
      </c>
      <c r="P1148" s="82" t="str">
        <f>IFERROR(__xludf.DUMMYFUNCTION("IFERROR(VLOOKUP(D1148,
IMPORTRANGE(""https://docs.google.com/spreadsheets/d/1MjHtlUikwobi2MaWJgy7tfLeBmhj1u-dRFRs_8GwSoA/edit#gid=0"",""Gestores Escolares!D7:J""),7,0),""VERIFICAR CÓD SEC"")"),"")</f>
        <v/>
      </c>
      <c r="Q1148" s="82" t="str">
        <f>IFERROR(__xludf.DUMMYFUNCTION("IFERROR(VLOOKUP(D1148,
IMPORTRANGE(""https://docs.google.com/spreadsheets/d/1MjHtlUikwobi2MaWJgy7tfLeBmhj1u-dRFRs_8GwSoA/edit#gid=0"",""Gestores Escolares!D7:m""),9,0),""VERIFICAR CÓD SEC"")"),"")</f>
        <v/>
      </c>
      <c r="R1148" s="82" t="str">
        <f>IFERROR(__xludf.DUMMYFUNCTION("IFERROR(VLOOKUP(D1148,
IMPORTRANGE(""https://docs.google.com/spreadsheets/d/1MjHtlUikwobi2MaWJgy7tfLeBmhj1u-dRFRs_8GwSoA/edit#gid=0"",""Gestores Escolares!D7:m""),10,0),""VERIFICAR CÓD SEC"")"),"")</f>
        <v/>
      </c>
      <c r="S1148" s="82"/>
      <c r="T1148" s="138">
        <v>6.0</v>
      </c>
      <c r="U1148" s="388">
        <v>6.0</v>
      </c>
      <c r="V1148" s="106">
        <v>0.0</v>
      </c>
      <c r="W1148" s="107">
        <v>0.0</v>
      </c>
      <c r="X1148" s="107">
        <v>0.0</v>
      </c>
      <c r="Y1148" s="107">
        <v>0.0</v>
      </c>
      <c r="Z1148" s="80">
        <f t="shared" si="1"/>
        <v>0</v>
      </c>
      <c r="AA1148" s="106">
        <v>0.0</v>
      </c>
      <c r="AB1148" s="107">
        <v>0.0</v>
      </c>
      <c r="AC1148" s="107">
        <v>0.0</v>
      </c>
      <c r="AD1148" s="107">
        <v>0.0</v>
      </c>
      <c r="AE1148" s="80">
        <f t="shared" si="2"/>
        <v>0</v>
      </c>
      <c r="AF1148" s="140">
        <v>0.0</v>
      </c>
      <c r="AG1148" s="109">
        <v>0.0</v>
      </c>
      <c r="AH1148" s="109">
        <v>0.0</v>
      </c>
      <c r="AI1148" s="141">
        <v>134.0</v>
      </c>
      <c r="AJ1148" s="80">
        <f t="shared" si="3"/>
        <v>134</v>
      </c>
      <c r="AK1148" s="140">
        <v>0.0</v>
      </c>
      <c r="AL1148" s="109">
        <v>0.0</v>
      </c>
      <c r="AM1148" s="141">
        <v>0.0</v>
      </c>
      <c r="AN1148" s="80">
        <f t="shared" si="4"/>
        <v>0</v>
      </c>
      <c r="AO1148" s="140">
        <v>0.0</v>
      </c>
      <c r="AP1148" s="109">
        <v>0.0</v>
      </c>
      <c r="AQ1148" s="109">
        <v>32.0</v>
      </c>
      <c r="AR1148" s="80">
        <f t="shared" si="5"/>
        <v>32</v>
      </c>
      <c r="AS1148" s="110">
        <v>0.0</v>
      </c>
      <c r="AT1148" s="110">
        <v>0.0</v>
      </c>
      <c r="AU1148" s="110">
        <v>0.0</v>
      </c>
      <c r="AV1148" s="142">
        <v>47.0</v>
      </c>
      <c r="AW1148" s="80">
        <f t="shared" si="6"/>
        <v>47</v>
      </c>
      <c r="AX1148" s="113">
        <f t="shared" si="7"/>
        <v>213</v>
      </c>
      <c r="AY1148" s="117">
        <f t="shared" si="8"/>
        <v>181</v>
      </c>
      <c r="AZ1148" s="120">
        <f t="shared" si="9"/>
        <v>32</v>
      </c>
      <c r="BA1148" s="115">
        <v>0.0</v>
      </c>
      <c r="BB1148" s="89">
        <f t="shared" si="10"/>
        <v>213</v>
      </c>
      <c r="BC1148" s="132" t="s">
        <v>178</v>
      </c>
      <c r="BD1148" s="132" t="s">
        <v>178</v>
      </c>
      <c r="BE1148" s="132" t="s">
        <v>178</v>
      </c>
      <c r="BF1148" s="123"/>
      <c r="BG1148" s="83">
        <v>1178271.0</v>
      </c>
      <c r="BH1148" s="112"/>
      <c r="BI1148" s="112">
        <v>6.0</v>
      </c>
      <c r="BJ1148" s="98" t="s">
        <v>155</v>
      </c>
      <c r="BK1148" s="99">
        <f t="shared" si="11"/>
        <v>181</v>
      </c>
      <c r="BL1148" s="99">
        <f t="shared" si="12"/>
        <v>0</v>
      </c>
      <c r="BM1148" s="99" t="str">
        <f>IFERROR(__xludf.DUMMYFUNCTION("IFERROR(VLOOKUP(BG1148,IMPORTRANGE(""https://docs.google.com/spreadsheets/d/1juPI-Fb8LD0YtltB2mlGEnp_R3UVu1t3wSFPzgCyHXE/edit?gid=0#gid=0"",""GERAL!A2:C""),3,0),""-"")"),"-")</f>
        <v>-</v>
      </c>
    </row>
    <row r="1149" ht="15.75" customHeight="1">
      <c r="A1149" s="111" t="s">
        <v>1393</v>
      </c>
      <c r="B1149" s="83" t="s">
        <v>6231</v>
      </c>
      <c r="C1149" s="83" t="s">
        <v>68</v>
      </c>
      <c r="D1149" s="112">
        <v>1176160.0</v>
      </c>
      <c r="E1149" s="83"/>
      <c r="F1149" s="83">
        <v>2.9335132E7</v>
      </c>
      <c r="G1149" s="220" t="s">
        <v>6232</v>
      </c>
      <c r="H1149" s="91" t="s">
        <v>6233</v>
      </c>
      <c r="I1149" s="172" t="s">
        <v>149</v>
      </c>
      <c r="J1149" s="83" t="s">
        <v>150</v>
      </c>
      <c r="K1149" s="83" t="s">
        <v>151</v>
      </c>
      <c r="L1149" s="83" t="s">
        <v>76</v>
      </c>
      <c r="M1149" s="82" t="str">
        <f>IFERROR(__xludf.DUMMYFUNCTION("IFERROR(VLOOKUP(D1149,
IMPORTRANGE(""https://docs.google.com/spreadsheets/d/1MjHtlUikwobi2MaWJgy7tfLeBmhj1u-dRFRs_8GwSoA/edit#gid=0"",""Gestores Escolares!D7:J""),3,0),""VERIFICAR CÓD SEC"")"),"MARCIA LEAL SANTANA SILVA")</f>
        <v>MARCIA LEAL SANTANA SILVA</v>
      </c>
      <c r="N1149" s="82" t="str">
        <f>IFERROR(__xludf.DUMMYFUNCTION("IFERROR(VLOOKUP(D1149,
IMPORTRANGE(""https://docs.google.com/spreadsheets/d/1MjHtlUikwobi2MaWJgy7tfLeBmhj1u-dRFRs_8GwSoA/edit#gid=0"",""Gestores Escolares!D7:J""),4,0),""VERIFICAR CÓD SEC"")"),"(77) 9 9169-8824")</f>
        <v>(77) 9 9169-8824</v>
      </c>
      <c r="O1149" s="82" t="str">
        <f>IFERROR(__xludf.DUMMYFUNCTION("IFERROR(VLOOKUP(D1149,
IMPORTRANGE(""https://docs.google.com/spreadsheets/d/1MjHtlUikwobi2MaWJgy7tfLeBmhj1u-dRFRs_8GwSoA/edit#gid=0"",""Gestores Escolares!D7:J""),6,0),""VERIFICAR CÓD SEC"")"),"SILVIANA RODRIGUES GUIMARAES CORREIA")</f>
        <v>SILVIANA RODRIGUES GUIMARAES CORREIA</v>
      </c>
      <c r="P1149" s="82" t="str">
        <f>IFERROR(__xludf.DUMMYFUNCTION("IFERROR(VLOOKUP(D1149,
IMPORTRANGE(""https://docs.google.com/spreadsheets/d/1MjHtlUikwobi2MaWJgy7tfLeBmhj1u-dRFRs_8GwSoA/edit#gid=0"",""Gestores Escolares!D7:J""),7,0),""VERIFICAR CÓD SEC"")"),"(77) 9 9116-2333")</f>
        <v>(77) 9 9116-2333</v>
      </c>
      <c r="Q1149" s="82" t="str">
        <f>IFERROR(__xludf.DUMMYFUNCTION("IFERROR(VLOOKUP(D1149,
IMPORTRANGE(""https://docs.google.com/spreadsheets/d/1MjHtlUikwobi2MaWJgy7tfLeBmhj1u-dRFRs_8GwSoA/edit#gid=0"",""Gestores Escolares!D7:m""),9,0),""VERIFICAR CÓD SEC"")"),"")</f>
        <v/>
      </c>
      <c r="R1149" s="82" t="str">
        <f>IFERROR(__xludf.DUMMYFUNCTION("IFERROR(VLOOKUP(D1149,
IMPORTRANGE(""https://docs.google.com/spreadsheets/d/1MjHtlUikwobi2MaWJgy7tfLeBmhj1u-dRFRs_8GwSoA/edit#gid=0"",""Gestores Escolares!D7:m""),10,0),""VERIFICAR CÓD SEC"")"),"")</f>
        <v/>
      </c>
      <c r="S1149" s="82"/>
      <c r="T1149" s="138">
        <v>5.0</v>
      </c>
      <c r="U1149" s="388" t="s">
        <v>13837</v>
      </c>
      <c r="V1149" s="106">
        <v>0.0</v>
      </c>
      <c r="W1149" s="107">
        <v>0.0</v>
      </c>
      <c r="X1149" s="107">
        <v>0.0</v>
      </c>
      <c r="Y1149" s="107">
        <v>0.0</v>
      </c>
      <c r="Z1149" s="80">
        <f t="shared" si="1"/>
        <v>0</v>
      </c>
      <c r="AA1149" s="106">
        <v>0.0</v>
      </c>
      <c r="AB1149" s="107">
        <v>0.0</v>
      </c>
      <c r="AC1149" s="107">
        <v>0.0</v>
      </c>
      <c r="AD1149" s="107">
        <v>0.0</v>
      </c>
      <c r="AE1149" s="80">
        <f t="shared" si="2"/>
        <v>0</v>
      </c>
      <c r="AF1149" s="140">
        <v>0.0</v>
      </c>
      <c r="AG1149" s="109">
        <v>0.0</v>
      </c>
      <c r="AH1149" s="109">
        <v>0.0</v>
      </c>
      <c r="AI1149" s="141">
        <v>109.0</v>
      </c>
      <c r="AJ1149" s="80">
        <f t="shared" si="3"/>
        <v>109</v>
      </c>
      <c r="AK1149" s="140">
        <v>0.0</v>
      </c>
      <c r="AL1149" s="109">
        <v>0.0</v>
      </c>
      <c r="AM1149" s="141">
        <v>0.0</v>
      </c>
      <c r="AN1149" s="80">
        <f t="shared" si="4"/>
        <v>0</v>
      </c>
      <c r="AO1149" s="140">
        <v>0.0</v>
      </c>
      <c r="AP1149" s="109">
        <v>0.0</v>
      </c>
      <c r="AQ1149" s="109">
        <v>11.0</v>
      </c>
      <c r="AR1149" s="80">
        <f t="shared" si="5"/>
        <v>11</v>
      </c>
      <c r="AS1149" s="110">
        <v>0.0</v>
      </c>
      <c r="AT1149" s="110">
        <v>0.0</v>
      </c>
      <c r="AU1149" s="110">
        <v>0.0</v>
      </c>
      <c r="AV1149" s="142">
        <v>50.0</v>
      </c>
      <c r="AW1149" s="80">
        <f t="shared" si="6"/>
        <v>50</v>
      </c>
      <c r="AX1149" s="113">
        <f t="shared" si="7"/>
        <v>170</v>
      </c>
      <c r="AY1149" s="117">
        <f t="shared" si="8"/>
        <v>159</v>
      </c>
      <c r="AZ1149" s="120">
        <f t="shared" si="9"/>
        <v>11</v>
      </c>
      <c r="BA1149" s="115">
        <v>0.0</v>
      </c>
      <c r="BB1149" s="89">
        <f t="shared" si="10"/>
        <v>170</v>
      </c>
      <c r="BC1149" s="132" t="s">
        <v>178</v>
      </c>
      <c r="BD1149" s="132" t="s">
        <v>178</v>
      </c>
      <c r="BE1149" s="132" t="s">
        <v>178</v>
      </c>
      <c r="BF1149" s="156"/>
      <c r="BG1149" s="83">
        <v>1176160.0</v>
      </c>
      <c r="BH1149" s="112"/>
      <c r="BI1149" s="112">
        <v>4.0</v>
      </c>
      <c r="BJ1149" s="98" t="s">
        <v>162</v>
      </c>
      <c r="BK1149" s="99">
        <f t="shared" si="11"/>
        <v>159</v>
      </c>
      <c r="BL1149" s="99">
        <f t="shared" si="12"/>
        <v>0</v>
      </c>
      <c r="BM1149" s="99" t="str">
        <f>IFERROR(__xludf.DUMMYFUNCTION("IFERROR(VLOOKUP(BG1149,IMPORTRANGE(""https://docs.google.com/spreadsheets/d/1juPI-Fb8LD0YtltB2mlGEnp_R3UVu1t3wSFPzgCyHXE/edit?gid=0#gid=0"",""GERAL!A2:C""),3,0),""-"")"),"-")</f>
        <v>-</v>
      </c>
    </row>
    <row r="1150" ht="15.75" customHeight="1">
      <c r="A1150" s="111" t="s">
        <v>1393</v>
      </c>
      <c r="B1150" s="83" t="s">
        <v>6231</v>
      </c>
      <c r="C1150" s="83" t="s">
        <v>164</v>
      </c>
      <c r="D1150" s="112">
        <v>1176160.0</v>
      </c>
      <c r="E1150" s="83">
        <v>1179233.0</v>
      </c>
      <c r="F1150" s="98">
        <v>2.9493455E7</v>
      </c>
      <c r="G1150" s="119" t="s">
        <v>6244</v>
      </c>
      <c r="H1150" s="91" t="s">
        <v>6245</v>
      </c>
      <c r="I1150" s="83" t="s">
        <v>6246</v>
      </c>
      <c r="J1150" s="83" t="s">
        <v>6247</v>
      </c>
      <c r="K1150" s="83" t="s">
        <v>151</v>
      </c>
      <c r="L1150" s="83" t="s">
        <v>169</v>
      </c>
      <c r="M1150" s="82" t="str">
        <f>IFERROR(__xludf.DUMMYFUNCTION("IFERROR(VLOOKUP(D1150,
IMPORTRANGE(""https://docs.google.com/spreadsheets/d/1MjHtlUikwobi2MaWJgy7tfLeBmhj1u-dRFRs_8GwSoA/edit#gid=0"",""Gestores Escolares!D7:J""),3,0),""VERIFICAR CÓD SEC"")"),"MARCIA LEAL SANTANA SILVA")</f>
        <v>MARCIA LEAL SANTANA SILVA</v>
      </c>
      <c r="N1150" s="82" t="str">
        <f>IFERROR(__xludf.DUMMYFUNCTION("IFERROR(VLOOKUP(D1150,
IMPORTRANGE(""https://docs.google.com/spreadsheets/d/1MjHtlUikwobi2MaWJgy7tfLeBmhj1u-dRFRs_8GwSoA/edit#gid=0"",""Gestores Escolares!D7:J""),4,0),""VERIFICAR CÓD SEC"")"),"(77) 9 9169-8824")</f>
        <v>(77) 9 9169-8824</v>
      </c>
      <c r="O1150" s="82" t="str">
        <f>IFERROR(__xludf.DUMMYFUNCTION("IFERROR(VLOOKUP(D1150,
IMPORTRANGE(""https://docs.google.com/spreadsheets/d/1MjHtlUikwobi2MaWJgy7tfLeBmhj1u-dRFRs_8GwSoA/edit#gid=0"",""Gestores Escolares!D7:J""),6,0),""VERIFICAR CÓD SEC"")"),"SILVIANA RODRIGUES GUIMARAES CORREIA")</f>
        <v>SILVIANA RODRIGUES GUIMARAES CORREIA</v>
      </c>
      <c r="P1150" s="82" t="str">
        <f>IFERROR(__xludf.DUMMYFUNCTION("IFERROR(VLOOKUP(D1150,
IMPORTRANGE(""https://docs.google.com/spreadsheets/d/1MjHtlUikwobi2MaWJgy7tfLeBmhj1u-dRFRs_8GwSoA/edit#gid=0"",""Gestores Escolares!D7:J""),7,0),""VERIFICAR CÓD SEC"")"),"(77) 9 9116-2333")</f>
        <v>(77) 9 9116-2333</v>
      </c>
      <c r="Q1150" s="82" t="str">
        <f>IFERROR(__xludf.DUMMYFUNCTION("IFERROR(VLOOKUP(D1150,
IMPORTRANGE(""https://docs.google.com/spreadsheets/d/1MjHtlUikwobi2MaWJgy7tfLeBmhj1u-dRFRs_8GwSoA/edit#gid=0"",""Gestores Escolares!D7:m""),9,0),""VERIFICAR CÓD SEC"")"),"")</f>
        <v/>
      </c>
      <c r="R1150" s="82" t="str">
        <f>IFERROR(__xludf.DUMMYFUNCTION("IFERROR(VLOOKUP(D1150,
IMPORTRANGE(""https://docs.google.com/spreadsheets/d/1MjHtlUikwobi2MaWJgy7tfLeBmhj1u-dRFRs_8GwSoA/edit#gid=0"",""Gestores Escolares!D7:m""),10,0),""VERIFICAR CÓD SEC"")"),"")</f>
        <v/>
      </c>
      <c r="S1150" s="82"/>
      <c r="T1150" s="138">
        <v>3.0</v>
      </c>
      <c r="U1150" s="139">
        <v>3.0</v>
      </c>
      <c r="V1150" s="106">
        <v>0.0</v>
      </c>
      <c r="W1150" s="107">
        <v>0.0</v>
      </c>
      <c r="X1150" s="107">
        <v>0.0</v>
      </c>
      <c r="Y1150" s="107">
        <v>0.0</v>
      </c>
      <c r="Z1150" s="80">
        <f t="shared" si="1"/>
        <v>0</v>
      </c>
      <c r="AA1150" s="106">
        <v>0.0</v>
      </c>
      <c r="AB1150" s="107">
        <v>0.0</v>
      </c>
      <c r="AC1150" s="107">
        <v>0.0</v>
      </c>
      <c r="AD1150" s="107">
        <v>0.0</v>
      </c>
      <c r="AE1150" s="80">
        <f t="shared" si="2"/>
        <v>0</v>
      </c>
      <c r="AF1150" s="140">
        <v>0.0</v>
      </c>
      <c r="AG1150" s="109">
        <v>0.0</v>
      </c>
      <c r="AH1150" s="109">
        <v>0.0</v>
      </c>
      <c r="AI1150" s="141">
        <v>30.0</v>
      </c>
      <c r="AJ1150" s="80">
        <f t="shared" si="3"/>
        <v>30</v>
      </c>
      <c r="AK1150" s="140">
        <v>0.0</v>
      </c>
      <c r="AL1150" s="109">
        <v>0.0</v>
      </c>
      <c r="AM1150" s="141">
        <v>0.0</v>
      </c>
      <c r="AN1150" s="80">
        <f t="shared" si="4"/>
        <v>0</v>
      </c>
      <c r="AO1150" s="140">
        <v>0.0</v>
      </c>
      <c r="AP1150" s="109">
        <v>0.0</v>
      </c>
      <c r="AQ1150" s="109">
        <v>18.0</v>
      </c>
      <c r="AR1150" s="80">
        <f t="shared" si="5"/>
        <v>18</v>
      </c>
      <c r="AS1150" s="110">
        <v>0.0</v>
      </c>
      <c r="AT1150" s="110">
        <v>0.0</v>
      </c>
      <c r="AU1150" s="110">
        <v>0.0</v>
      </c>
      <c r="AV1150" s="142">
        <v>0.0</v>
      </c>
      <c r="AW1150" s="80">
        <f t="shared" si="6"/>
        <v>0</v>
      </c>
      <c r="AX1150" s="113">
        <f t="shared" si="7"/>
        <v>48</v>
      </c>
      <c r="AY1150" s="117">
        <f t="shared" si="8"/>
        <v>30</v>
      </c>
      <c r="AZ1150" s="120">
        <f t="shared" si="9"/>
        <v>18</v>
      </c>
      <c r="BA1150" s="115">
        <v>0.0</v>
      </c>
      <c r="BB1150" s="89">
        <f t="shared" si="10"/>
        <v>48</v>
      </c>
      <c r="BC1150" s="132" t="s">
        <v>373</v>
      </c>
      <c r="BD1150" s="132" t="s">
        <v>178</v>
      </c>
      <c r="BE1150" s="132" t="s">
        <v>178</v>
      </c>
      <c r="BF1150" s="123"/>
      <c r="BG1150" s="83">
        <v>1179233.0</v>
      </c>
      <c r="BH1150" s="112"/>
      <c r="BI1150" s="112">
        <v>3.0</v>
      </c>
      <c r="BJ1150" s="98" t="s">
        <v>155</v>
      </c>
      <c r="BK1150" s="99">
        <f t="shared" si="11"/>
        <v>30</v>
      </c>
      <c r="BL1150" s="99">
        <f t="shared" si="12"/>
        <v>0</v>
      </c>
      <c r="BM1150" s="99" t="str">
        <f>IFERROR(__xludf.DUMMYFUNCTION("IFERROR(VLOOKUP(BG1150,IMPORTRANGE(""https://docs.google.com/spreadsheets/d/1juPI-Fb8LD0YtltB2mlGEnp_R3UVu1t3wSFPzgCyHXE/edit?gid=0#gid=0"",""GERAL!A2:C""),3,0),""-"")"),"CAMPO")</f>
        <v>CAMPO</v>
      </c>
    </row>
    <row r="1151" ht="15.75" customHeight="1">
      <c r="A1151" s="111" t="s">
        <v>1393</v>
      </c>
      <c r="B1151" s="83" t="s">
        <v>6231</v>
      </c>
      <c r="C1151" s="83" t="s">
        <v>164</v>
      </c>
      <c r="D1151" s="112">
        <v>1176160.0</v>
      </c>
      <c r="E1151" s="83">
        <v>1178863.0</v>
      </c>
      <c r="F1151" s="98">
        <v>2.9493447E7</v>
      </c>
      <c r="G1151" s="119" t="s">
        <v>6249</v>
      </c>
      <c r="H1151" s="91" t="s">
        <v>6250</v>
      </c>
      <c r="I1151" s="172" t="s">
        <v>6251</v>
      </c>
      <c r="J1151" s="83" t="s">
        <v>4353</v>
      </c>
      <c r="K1151" s="83" t="s">
        <v>168</v>
      </c>
      <c r="L1151" s="83" t="s">
        <v>169</v>
      </c>
      <c r="M1151" s="82" t="str">
        <f>IFERROR(__xludf.DUMMYFUNCTION("IFERROR(VLOOKUP(D1151,
IMPORTRANGE(""https://docs.google.com/spreadsheets/d/1MjHtlUikwobi2MaWJgy7tfLeBmhj1u-dRFRs_8GwSoA/edit#gid=0"",""Gestores Escolares!D7:J""),3,0),""VERIFICAR CÓD SEC"")"),"MARCIA LEAL SANTANA SILVA")</f>
        <v>MARCIA LEAL SANTANA SILVA</v>
      </c>
      <c r="N1151" s="82" t="str">
        <f>IFERROR(__xludf.DUMMYFUNCTION("IFERROR(VLOOKUP(D1151,
IMPORTRANGE(""https://docs.google.com/spreadsheets/d/1MjHtlUikwobi2MaWJgy7tfLeBmhj1u-dRFRs_8GwSoA/edit#gid=0"",""Gestores Escolares!D7:J""),4,0),""VERIFICAR CÓD SEC"")"),"(77) 9 9169-8824")</f>
        <v>(77) 9 9169-8824</v>
      </c>
      <c r="O1151" s="82" t="str">
        <f>IFERROR(__xludf.DUMMYFUNCTION("IFERROR(VLOOKUP(D1151,
IMPORTRANGE(""https://docs.google.com/spreadsheets/d/1MjHtlUikwobi2MaWJgy7tfLeBmhj1u-dRFRs_8GwSoA/edit#gid=0"",""Gestores Escolares!D7:J""),6,0),""VERIFICAR CÓD SEC"")"),"SILVIANA RODRIGUES GUIMARAES CORREIA")</f>
        <v>SILVIANA RODRIGUES GUIMARAES CORREIA</v>
      </c>
      <c r="P1151" s="82" t="str">
        <f>IFERROR(__xludf.DUMMYFUNCTION("IFERROR(VLOOKUP(D1151,
IMPORTRANGE(""https://docs.google.com/spreadsheets/d/1MjHtlUikwobi2MaWJgy7tfLeBmhj1u-dRFRs_8GwSoA/edit#gid=0"",""Gestores Escolares!D7:J""),7,0),""VERIFICAR CÓD SEC"")"),"(77) 9 9116-2333")</f>
        <v>(77) 9 9116-2333</v>
      </c>
      <c r="Q1151" s="82" t="str">
        <f>IFERROR(__xludf.DUMMYFUNCTION("IFERROR(VLOOKUP(D1151,
IMPORTRANGE(""https://docs.google.com/spreadsheets/d/1MjHtlUikwobi2MaWJgy7tfLeBmhj1u-dRFRs_8GwSoA/edit#gid=0"",""Gestores Escolares!D7:m""),9,0),""VERIFICAR CÓD SEC"")"),"")</f>
        <v/>
      </c>
      <c r="R1151" s="82" t="str">
        <f>IFERROR(__xludf.DUMMYFUNCTION("IFERROR(VLOOKUP(D1151,
IMPORTRANGE(""https://docs.google.com/spreadsheets/d/1MjHtlUikwobi2MaWJgy7tfLeBmhj1u-dRFRs_8GwSoA/edit#gid=0"",""Gestores Escolares!D7:m""),10,0),""VERIFICAR CÓD SEC"")"),"")</f>
        <v/>
      </c>
      <c r="S1151" s="82"/>
      <c r="T1151" s="138">
        <v>3.0</v>
      </c>
      <c r="U1151" s="388">
        <v>4.0</v>
      </c>
      <c r="V1151" s="106">
        <v>0.0</v>
      </c>
      <c r="W1151" s="107">
        <v>0.0</v>
      </c>
      <c r="X1151" s="107">
        <v>0.0</v>
      </c>
      <c r="Y1151" s="107">
        <v>0.0</v>
      </c>
      <c r="Z1151" s="80">
        <f t="shared" si="1"/>
        <v>0</v>
      </c>
      <c r="AA1151" s="106">
        <v>0.0</v>
      </c>
      <c r="AB1151" s="107">
        <v>0.0</v>
      </c>
      <c r="AC1151" s="107">
        <v>0.0</v>
      </c>
      <c r="AD1151" s="107">
        <v>0.0</v>
      </c>
      <c r="AE1151" s="80">
        <f t="shared" si="2"/>
        <v>0</v>
      </c>
      <c r="AF1151" s="140">
        <v>0.0</v>
      </c>
      <c r="AG1151" s="109">
        <v>0.0</v>
      </c>
      <c r="AH1151" s="109">
        <v>0.0</v>
      </c>
      <c r="AI1151" s="141">
        <v>63.0</v>
      </c>
      <c r="AJ1151" s="80">
        <f t="shared" si="3"/>
        <v>63</v>
      </c>
      <c r="AK1151" s="140">
        <v>0.0</v>
      </c>
      <c r="AL1151" s="109">
        <v>0.0</v>
      </c>
      <c r="AM1151" s="141">
        <v>0.0</v>
      </c>
      <c r="AN1151" s="80">
        <f t="shared" si="4"/>
        <v>0</v>
      </c>
      <c r="AO1151" s="140">
        <v>0.0</v>
      </c>
      <c r="AP1151" s="109">
        <v>0.0</v>
      </c>
      <c r="AQ1151" s="109">
        <v>0.0</v>
      </c>
      <c r="AR1151" s="80">
        <f t="shared" si="5"/>
        <v>0</v>
      </c>
      <c r="AS1151" s="110">
        <v>0.0</v>
      </c>
      <c r="AT1151" s="110">
        <v>0.0</v>
      </c>
      <c r="AU1151" s="110">
        <v>0.0</v>
      </c>
      <c r="AV1151" s="142">
        <v>0.0</v>
      </c>
      <c r="AW1151" s="80">
        <f t="shared" si="6"/>
        <v>0</v>
      </c>
      <c r="AX1151" s="113">
        <f t="shared" si="7"/>
        <v>63</v>
      </c>
      <c r="AY1151" s="117">
        <f t="shared" si="8"/>
        <v>63</v>
      </c>
      <c r="AZ1151" s="120">
        <f t="shared" si="9"/>
        <v>0</v>
      </c>
      <c r="BA1151" s="115">
        <v>0.0</v>
      </c>
      <c r="BB1151" s="89">
        <f t="shared" si="10"/>
        <v>63</v>
      </c>
      <c r="BC1151" s="132" t="s">
        <v>373</v>
      </c>
      <c r="BD1151" s="132" t="s">
        <v>178</v>
      </c>
      <c r="BE1151" s="132" t="s">
        <v>178</v>
      </c>
      <c r="BF1151" s="123"/>
      <c r="BG1151" s="83">
        <v>1178863.0</v>
      </c>
      <c r="BH1151" s="112"/>
      <c r="BI1151" s="112">
        <v>3.0</v>
      </c>
      <c r="BJ1151" s="98" t="s">
        <v>155</v>
      </c>
      <c r="BK1151" s="99">
        <f t="shared" si="11"/>
        <v>63</v>
      </c>
      <c r="BL1151" s="99">
        <f t="shared" si="12"/>
        <v>0</v>
      </c>
      <c r="BM1151" s="99" t="str">
        <f>IFERROR(__xludf.DUMMYFUNCTION("IFERROR(VLOOKUP(BG1151,IMPORTRANGE(""https://docs.google.com/spreadsheets/d/1juPI-Fb8LD0YtltB2mlGEnp_R3UVu1t3wSFPzgCyHXE/edit?gid=0#gid=0"",""GERAL!A2:C""),3,0),""-"")"),"CAMPO")</f>
        <v>CAMPO</v>
      </c>
    </row>
    <row r="1152" ht="15.75" customHeight="1">
      <c r="A1152" s="111" t="s">
        <v>1393</v>
      </c>
      <c r="B1152" s="83" t="s">
        <v>6231</v>
      </c>
      <c r="C1152" s="83" t="s">
        <v>164</v>
      </c>
      <c r="D1152" s="112">
        <v>1176160.0</v>
      </c>
      <c r="E1152" s="83">
        <v>1178862.0</v>
      </c>
      <c r="F1152" s="98">
        <v>2.9493439E7</v>
      </c>
      <c r="G1152" s="119" t="s">
        <v>6253</v>
      </c>
      <c r="H1152" s="91" t="s">
        <v>6254</v>
      </c>
      <c r="I1152" s="83" t="s">
        <v>6255</v>
      </c>
      <c r="J1152" s="83" t="s">
        <v>183</v>
      </c>
      <c r="K1152" s="83" t="s">
        <v>168</v>
      </c>
      <c r="L1152" s="83" t="s">
        <v>169</v>
      </c>
      <c r="M1152" s="82" t="str">
        <f>IFERROR(__xludf.DUMMYFUNCTION("IFERROR(VLOOKUP(D1152,
IMPORTRANGE(""https://docs.google.com/spreadsheets/d/1MjHtlUikwobi2MaWJgy7tfLeBmhj1u-dRFRs_8GwSoA/edit#gid=0"",""Gestores Escolares!D7:J""),3,0),""VERIFICAR CÓD SEC"")"),"MARCIA LEAL SANTANA SILVA")</f>
        <v>MARCIA LEAL SANTANA SILVA</v>
      </c>
      <c r="N1152" s="82" t="str">
        <f>IFERROR(__xludf.DUMMYFUNCTION("IFERROR(VLOOKUP(D1152,
IMPORTRANGE(""https://docs.google.com/spreadsheets/d/1MjHtlUikwobi2MaWJgy7tfLeBmhj1u-dRFRs_8GwSoA/edit#gid=0"",""Gestores Escolares!D7:J""),4,0),""VERIFICAR CÓD SEC"")"),"(77) 9 9169-8824")</f>
        <v>(77) 9 9169-8824</v>
      </c>
      <c r="O1152" s="82" t="str">
        <f>IFERROR(__xludf.DUMMYFUNCTION("IFERROR(VLOOKUP(D1152,
IMPORTRANGE(""https://docs.google.com/spreadsheets/d/1MjHtlUikwobi2MaWJgy7tfLeBmhj1u-dRFRs_8GwSoA/edit#gid=0"",""Gestores Escolares!D7:J""),6,0),""VERIFICAR CÓD SEC"")"),"SILVIANA RODRIGUES GUIMARAES CORREIA")</f>
        <v>SILVIANA RODRIGUES GUIMARAES CORREIA</v>
      </c>
      <c r="P1152" s="82" t="str">
        <f>IFERROR(__xludf.DUMMYFUNCTION("IFERROR(VLOOKUP(D1152,
IMPORTRANGE(""https://docs.google.com/spreadsheets/d/1MjHtlUikwobi2MaWJgy7tfLeBmhj1u-dRFRs_8GwSoA/edit#gid=0"",""Gestores Escolares!D7:J""),7,0),""VERIFICAR CÓD SEC"")"),"(77) 9 9116-2333")</f>
        <v>(77) 9 9116-2333</v>
      </c>
      <c r="Q1152" s="82" t="str">
        <f>IFERROR(__xludf.DUMMYFUNCTION("IFERROR(VLOOKUP(D1152,
IMPORTRANGE(""https://docs.google.com/spreadsheets/d/1MjHtlUikwobi2MaWJgy7tfLeBmhj1u-dRFRs_8GwSoA/edit#gid=0"",""Gestores Escolares!D7:m""),9,0),""VERIFICAR CÓD SEC"")"),"")</f>
        <v/>
      </c>
      <c r="R1152" s="82" t="str">
        <f>IFERROR(__xludf.DUMMYFUNCTION("IFERROR(VLOOKUP(D1152,
IMPORTRANGE(""https://docs.google.com/spreadsheets/d/1MjHtlUikwobi2MaWJgy7tfLeBmhj1u-dRFRs_8GwSoA/edit#gid=0"",""Gestores Escolares!D7:m""),10,0),""VERIFICAR CÓD SEC"")"),"")</f>
        <v/>
      </c>
      <c r="S1152" s="82"/>
      <c r="T1152" s="138">
        <v>3.0</v>
      </c>
      <c r="U1152" s="416">
        <v>3.0</v>
      </c>
      <c r="V1152" s="106">
        <v>0.0</v>
      </c>
      <c r="W1152" s="107">
        <v>0.0</v>
      </c>
      <c r="X1152" s="107">
        <v>0.0</v>
      </c>
      <c r="Y1152" s="107">
        <v>0.0</v>
      </c>
      <c r="Z1152" s="80">
        <f t="shared" si="1"/>
        <v>0</v>
      </c>
      <c r="AA1152" s="106">
        <v>0.0</v>
      </c>
      <c r="AB1152" s="107">
        <v>0.0</v>
      </c>
      <c r="AC1152" s="107">
        <v>0.0</v>
      </c>
      <c r="AD1152" s="107">
        <v>0.0</v>
      </c>
      <c r="AE1152" s="80">
        <f t="shared" si="2"/>
        <v>0</v>
      </c>
      <c r="AF1152" s="140">
        <v>0.0</v>
      </c>
      <c r="AG1152" s="109">
        <v>0.0</v>
      </c>
      <c r="AH1152" s="109">
        <v>0.0</v>
      </c>
      <c r="AI1152" s="141">
        <v>28.0</v>
      </c>
      <c r="AJ1152" s="80">
        <f t="shared" si="3"/>
        <v>28</v>
      </c>
      <c r="AK1152" s="140">
        <v>0.0</v>
      </c>
      <c r="AL1152" s="109">
        <v>0.0</v>
      </c>
      <c r="AM1152" s="141">
        <v>0.0</v>
      </c>
      <c r="AN1152" s="80">
        <f t="shared" si="4"/>
        <v>0</v>
      </c>
      <c r="AO1152" s="140">
        <v>0.0</v>
      </c>
      <c r="AP1152" s="109">
        <v>0.0</v>
      </c>
      <c r="AQ1152" s="109">
        <v>0.0</v>
      </c>
      <c r="AR1152" s="80">
        <f t="shared" si="5"/>
        <v>0</v>
      </c>
      <c r="AS1152" s="110">
        <v>0.0</v>
      </c>
      <c r="AT1152" s="110">
        <v>0.0</v>
      </c>
      <c r="AU1152" s="110">
        <v>0.0</v>
      </c>
      <c r="AV1152" s="142">
        <v>0.0</v>
      </c>
      <c r="AW1152" s="80">
        <f t="shared" si="6"/>
        <v>0</v>
      </c>
      <c r="AX1152" s="113">
        <f t="shared" si="7"/>
        <v>28</v>
      </c>
      <c r="AY1152" s="117">
        <f t="shared" si="8"/>
        <v>28</v>
      </c>
      <c r="AZ1152" s="120">
        <f t="shared" si="9"/>
        <v>0</v>
      </c>
      <c r="BA1152" s="115">
        <v>0.0</v>
      </c>
      <c r="BB1152" s="89">
        <f t="shared" si="10"/>
        <v>28</v>
      </c>
      <c r="BC1152" s="132" t="s">
        <v>373</v>
      </c>
      <c r="BD1152" s="132" t="s">
        <v>178</v>
      </c>
      <c r="BE1152" s="132" t="s">
        <v>178</v>
      </c>
      <c r="BF1152" s="123"/>
      <c r="BG1152" s="83">
        <v>1178862.0</v>
      </c>
      <c r="BH1152" s="112"/>
      <c r="BI1152" s="112">
        <v>3.0</v>
      </c>
      <c r="BJ1152" s="98" t="s">
        <v>155</v>
      </c>
      <c r="BK1152" s="99">
        <f t="shared" si="11"/>
        <v>28</v>
      </c>
      <c r="BL1152" s="99">
        <f t="shared" si="12"/>
        <v>0</v>
      </c>
      <c r="BM1152" s="99" t="str">
        <f>IFERROR(__xludf.DUMMYFUNCTION("IFERROR(VLOOKUP(BG1152,IMPORTRANGE(""https://docs.google.com/spreadsheets/d/1juPI-Fb8LD0YtltB2mlGEnp_R3UVu1t3wSFPzgCyHXE/edit?gid=0#gid=0"",""GERAL!A2:C""),3,0),""-"")"),"CAMPO")</f>
        <v>CAMPO</v>
      </c>
    </row>
    <row r="1153" ht="15.75" customHeight="1">
      <c r="A1153" s="111" t="s">
        <v>1393</v>
      </c>
      <c r="B1153" s="83" t="s">
        <v>6231</v>
      </c>
      <c r="C1153" s="83" t="s">
        <v>164</v>
      </c>
      <c r="D1153" s="112">
        <v>1176160.0</v>
      </c>
      <c r="E1153" s="83">
        <v>1178861.0</v>
      </c>
      <c r="F1153" s="98">
        <v>2.949342E7</v>
      </c>
      <c r="G1153" s="119" t="s">
        <v>6266</v>
      </c>
      <c r="H1153" s="91" t="s">
        <v>6268</v>
      </c>
      <c r="I1153" s="83" t="s">
        <v>6269</v>
      </c>
      <c r="J1153" s="83" t="s">
        <v>6270</v>
      </c>
      <c r="K1153" s="83" t="s">
        <v>151</v>
      </c>
      <c r="L1153" s="83" t="s">
        <v>169</v>
      </c>
      <c r="M1153" s="82" t="str">
        <f>IFERROR(__xludf.DUMMYFUNCTION("IFERROR(VLOOKUP(D1153,
IMPORTRANGE(""https://docs.google.com/spreadsheets/d/1MjHtlUikwobi2MaWJgy7tfLeBmhj1u-dRFRs_8GwSoA/edit#gid=0"",""Gestores Escolares!D7:J""),3,0),""VERIFICAR CÓD SEC"")"),"MARCIA LEAL SANTANA SILVA")</f>
        <v>MARCIA LEAL SANTANA SILVA</v>
      </c>
      <c r="N1153" s="82" t="str">
        <f>IFERROR(__xludf.DUMMYFUNCTION("IFERROR(VLOOKUP(D1153,
IMPORTRANGE(""https://docs.google.com/spreadsheets/d/1MjHtlUikwobi2MaWJgy7tfLeBmhj1u-dRFRs_8GwSoA/edit#gid=0"",""Gestores Escolares!D7:J""),4,0),""VERIFICAR CÓD SEC"")"),"(77) 9 9169-8824")</f>
        <v>(77) 9 9169-8824</v>
      </c>
      <c r="O1153" s="82" t="str">
        <f>IFERROR(__xludf.DUMMYFUNCTION("IFERROR(VLOOKUP(D1153,
IMPORTRANGE(""https://docs.google.com/spreadsheets/d/1MjHtlUikwobi2MaWJgy7tfLeBmhj1u-dRFRs_8GwSoA/edit#gid=0"",""Gestores Escolares!D7:J""),6,0),""VERIFICAR CÓD SEC"")"),"SILVIANA RODRIGUES GUIMARAES CORREIA")</f>
        <v>SILVIANA RODRIGUES GUIMARAES CORREIA</v>
      </c>
      <c r="P1153" s="82" t="str">
        <f>IFERROR(__xludf.DUMMYFUNCTION("IFERROR(VLOOKUP(D1153,
IMPORTRANGE(""https://docs.google.com/spreadsheets/d/1MjHtlUikwobi2MaWJgy7tfLeBmhj1u-dRFRs_8GwSoA/edit#gid=0"",""Gestores Escolares!D7:J""),7,0),""VERIFICAR CÓD SEC"")"),"(77) 9 9116-2333")</f>
        <v>(77) 9 9116-2333</v>
      </c>
      <c r="Q1153" s="82" t="str">
        <f>IFERROR(__xludf.DUMMYFUNCTION("IFERROR(VLOOKUP(D1153,
IMPORTRANGE(""https://docs.google.com/spreadsheets/d/1MjHtlUikwobi2MaWJgy7tfLeBmhj1u-dRFRs_8GwSoA/edit#gid=0"",""Gestores Escolares!D7:m""),9,0),""VERIFICAR CÓD SEC"")"),"")</f>
        <v/>
      </c>
      <c r="R1153" s="82" t="str">
        <f>IFERROR(__xludf.DUMMYFUNCTION("IFERROR(VLOOKUP(D1153,
IMPORTRANGE(""https://docs.google.com/spreadsheets/d/1MjHtlUikwobi2MaWJgy7tfLeBmhj1u-dRFRs_8GwSoA/edit#gid=0"",""Gestores Escolares!D7:m""),10,0),""VERIFICAR CÓD SEC"")"),"")</f>
        <v/>
      </c>
      <c r="S1153" s="82"/>
      <c r="T1153" s="138">
        <v>4.0</v>
      </c>
      <c r="U1153" s="139">
        <v>4.0</v>
      </c>
      <c r="V1153" s="106">
        <v>0.0</v>
      </c>
      <c r="W1153" s="107">
        <v>0.0</v>
      </c>
      <c r="X1153" s="107">
        <v>0.0</v>
      </c>
      <c r="Y1153" s="107">
        <v>0.0</v>
      </c>
      <c r="Z1153" s="80">
        <f t="shared" si="1"/>
        <v>0</v>
      </c>
      <c r="AA1153" s="106">
        <v>0.0</v>
      </c>
      <c r="AB1153" s="107">
        <v>0.0</v>
      </c>
      <c r="AC1153" s="107">
        <v>0.0</v>
      </c>
      <c r="AD1153" s="107">
        <v>0.0</v>
      </c>
      <c r="AE1153" s="80">
        <f t="shared" si="2"/>
        <v>0</v>
      </c>
      <c r="AF1153" s="140">
        <v>0.0</v>
      </c>
      <c r="AG1153" s="109">
        <v>0.0</v>
      </c>
      <c r="AH1153" s="109">
        <v>0.0</v>
      </c>
      <c r="AI1153" s="141">
        <v>108.0</v>
      </c>
      <c r="AJ1153" s="80">
        <f t="shared" si="3"/>
        <v>108</v>
      </c>
      <c r="AK1153" s="140">
        <v>0.0</v>
      </c>
      <c r="AL1153" s="109">
        <v>0.0</v>
      </c>
      <c r="AM1153" s="141">
        <v>0.0</v>
      </c>
      <c r="AN1153" s="80">
        <f t="shared" si="4"/>
        <v>0</v>
      </c>
      <c r="AO1153" s="140">
        <v>0.0</v>
      </c>
      <c r="AP1153" s="109">
        <v>0.0</v>
      </c>
      <c r="AQ1153" s="109">
        <v>0.0</v>
      </c>
      <c r="AR1153" s="80">
        <f t="shared" si="5"/>
        <v>0</v>
      </c>
      <c r="AS1153" s="110">
        <v>0.0</v>
      </c>
      <c r="AT1153" s="110">
        <v>0.0</v>
      </c>
      <c r="AU1153" s="110">
        <v>0.0</v>
      </c>
      <c r="AV1153" s="142">
        <v>0.0</v>
      </c>
      <c r="AW1153" s="80">
        <f t="shared" si="6"/>
        <v>0</v>
      </c>
      <c r="AX1153" s="113">
        <f t="shared" si="7"/>
        <v>108</v>
      </c>
      <c r="AY1153" s="117">
        <f t="shared" si="8"/>
        <v>108</v>
      </c>
      <c r="AZ1153" s="120">
        <f t="shared" si="9"/>
        <v>0</v>
      </c>
      <c r="BA1153" s="115">
        <v>0.0</v>
      </c>
      <c r="BB1153" s="89">
        <f t="shared" si="10"/>
        <v>108</v>
      </c>
      <c r="BC1153" s="132" t="s">
        <v>373</v>
      </c>
      <c r="BD1153" s="132" t="s">
        <v>178</v>
      </c>
      <c r="BE1153" s="132" t="s">
        <v>178</v>
      </c>
      <c r="BF1153" s="123"/>
      <c r="BG1153" s="83">
        <v>1178861.0</v>
      </c>
      <c r="BH1153" s="112"/>
      <c r="BI1153" s="112">
        <v>4.0</v>
      </c>
      <c r="BJ1153" s="98" t="s">
        <v>155</v>
      </c>
      <c r="BK1153" s="99">
        <f t="shared" si="11"/>
        <v>108</v>
      </c>
      <c r="BL1153" s="99">
        <f t="shared" si="12"/>
        <v>0</v>
      </c>
      <c r="BM1153" s="99" t="str">
        <f>IFERROR(__xludf.DUMMYFUNCTION("IFERROR(VLOOKUP(BG1153,IMPORTRANGE(""https://docs.google.com/spreadsheets/d/1juPI-Fb8LD0YtltB2mlGEnp_R3UVu1t3wSFPzgCyHXE/edit?gid=0#gid=0"",""GERAL!A2:C""),3,0),""-"")"),"CAMPO")</f>
        <v>CAMPO</v>
      </c>
    </row>
    <row r="1154" ht="15.75" customHeight="1">
      <c r="A1154" s="111" t="s">
        <v>1393</v>
      </c>
      <c r="B1154" s="83" t="s">
        <v>6282</v>
      </c>
      <c r="C1154" s="83" t="s">
        <v>45</v>
      </c>
      <c r="D1154" s="112">
        <v>1128479.0</v>
      </c>
      <c r="E1154" s="83"/>
      <c r="F1154" s="83">
        <v>2.9248663E7</v>
      </c>
      <c r="G1154" s="187" t="s">
        <v>6283</v>
      </c>
      <c r="H1154" s="91" t="s">
        <v>6284</v>
      </c>
      <c r="I1154" s="136" t="s">
        <v>149</v>
      </c>
      <c r="J1154" s="115" t="s">
        <v>6285</v>
      </c>
      <c r="K1154" s="83" t="s">
        <v>171</v>
      </c>
      <c r="L1154" s="83" t="s">
        <v>512</v>
      </c>
      <c r="M1154" s="82" t="str">
        <f>IFERROR(__xludf.DUMMYFUNCTION("IFERROR(VLOOKUP(D1154,
IMPORTRANGE(""https://docs.google.com/spreadsheets/d/1MjHtlUikwobi2MaWJgy7tfLeBmhj1u-dRFRs_8GwSoA/edit#gid=0"",""Gestores Escolares!D7:J""),3,0),""VERIFICAR CÓD SEC"")"),"MANOEL CARLOS FREIRA SOUZA")</f>
        <v>MANOEL CARLOS FREIRA SOUZA</v>
      </c>
      <c r="N1154" s="82" t="str">
        <f>IFERROR(__xludf.DUMMYFUNCTION("IFERROR(VLOOKUP(D1154,
IMPORTRANGE(""https://docs.google.com/spreadsheets/d/1MjHtlUikwobi2MaWJgy7tfLeBmhj1u-dRFRs_8GwSoA/edit#gid=0"",""Gestores Escolares!D7:J""),4,0),""VERIFICAR CÓD SEC"")"),"(77) 9 9189-6068 
9 9113-3874")</f>
        <v>(77) 9 9189-6068 
9 9113-3874</v>
      </c>
      <c r="O1154" s="82" t="str">
        <f>IFERROR(__xludf.DUMMYFUNCTION("IFERROR(VLOOKUP(D1154,
IMPORTRANGE(""https://docs.google.com/spreadsheets/d/1MjHtlUikwobi2MaWJgy7tfLeBmhj1u-dRFRs_8GwSoA/edit#gid=0"",""Gestores Escolares!D7:J""),6,0),""VERIFICAR CÓD SEC"")"),"")</f>
        <v/>
      </c>
      <c r="P1154" s="82" t="str">
        <f>IFERROR(__xludf.DUMMYFUNCTION("IFERROR(VLOOKUP(D1154,
IMPORTRANGE(""https://docs.google.com/spreadsheets/d/1MjHtlUikwobi2MaWJgy7tfLeBmhj1u-dRFRs_8GwSoA/edit#gid=0"",""Gestores Escolares!D7:J""),7,0),""VERIFICAR CÓD SEC"")"),"")</f>
        <v/>
      </c>
      <c r="Q1154" s="82" t="str">
        <f>IFERROR(__xludf.DUMMYFUNCTION("IFERROR(VLOOKUP(D1154,
IMPORTRANGE(""https://docs.google.com/spreadsheets/d/1MjHtlUikwobi2MaWJgy7tfLeBmhj1u-dRFRs_8GwSoA/edit#gid=0"",""Gestores Escolares!D7:m""),9,0),""VERIFICAR CÓD SEC"")"),"")</f>
        <v/>
      </c>
      <c r="R1154" s="82" t="str">
        <f>IFERROR(__xludf.DUMMYFUNCTION("IFERROR(VLOOKUP(D1154,
IMPORTRANGE(""https://docs.google.com/spreadsheets/d/1MjHtlUikwobi2MaWJgy7tfLeBmhj1u-dRFRs_8GwSoA/edit#gid=0"",""Gestores Escolares!D7:m""),10,0),""VERIFICAR CÓD SEC"")"),"")</f>
        <v/>
      </c>
      <c r="S1154" s="82"/>
      <c r="T1154" s="138">
        <v>6.0</v>
      </c>
      <c r="U1154" s="145">
        <v>3.0</v>
      </c>
      <c r="V1154" s="106">
        <v>0.0</v>
      </c>
      <c r="W1154" s="107">
        <v>0.0</v>
      </c>
      <c r="X1154" s="107">
        <v>0.0</v>
      </c>
      <c r="Y1154" s="107">
        <v>0.0</v>
      </c>
      <c r="Z1154" s="80">
        <f t="shared" si="1"/>
        <v>0</v>
      </c>
      <c r="AA1154" s="106">
        <v>0.0</v>
      </c>
      <c r="AB1154" s="107">
        <v>0.0</v>
      </c>
      <c r="AC1154" s="107">
        <v>0.0</v>
      </c>
      <c r="AD1154" s="107">
        <v>68.0</v>
      </c>
      <c r="AE1154" s="80">
        <f t="shared" si="2"/>
        <v>68</v>
      </c>
      <c r="AF1154" s="225">
        <v>0.0</v>
      </c>
      <c r="AG1154" s="226">
        <v>0.0</v>
      </c>
      <c r="AH1154" s="226">
        <v>0.0</v>
      </c>
      <c r="AI1154" s="227">
        <v>58.0</v>
      </c>
      <c r="AJ1154" s="80">
        <f t="shared" si="3"/>
        <v>58</v>
      </c>
      <c r="AK1154" s="140">
        <v>0.0</v>
      </c>
      <c r="AL1154" s="109">
        <v>0.0</v>
      </c>
      <c r="AM1154" s="141">
        <v>0.0</v>
      </c>
      <c r="AN1154" s="80">
        <f t="shared" si="4"/>
        <v>0</v>
      </c>
      <c r="AO1154" s="225">
        <v>0.0</v>
      </c>
      <c r="AP1154" s="226">
        <v>0.0</v>
      </c>
      <c r="AQ1154" s="226">
        <v>0.0</v>
      </c>
      <c r="AR1154" s="80">
        <f t="shared" si="5"/>
        <v>0</v>
      </c>
      <c r="AS1154" s="110">
        <v>0.0</v>
      </c>
      <c r="AT1154" s="110">
        <v>0.0</v>
      </c>
      <c r="AU1154" s="110">
        <v>0.0</v>
      </c>
      <c r="AV1154" s="142">
        <v>0.0</v>
      </c>
      <c r="AW1154" s="80">
        <f t="shared" si="6"/>
        <v>0</v>
      </c>
      <c r="AX1154" s="113">
        <f t="shared" si="7"/>
        <v>126</v>
      </c>
      <c r="AY1154" s="117">
        <f t="shared" si="8"/>
        <v>126</v>
      </c>
      <c r="AZ1154" s="120">
        <f t="shared" si="9"/>
        <v>0</v>
      </c>
      <c r="BA1154" s="115">
        <v>0.0</v>
      </c>
      <c r="BB1154" s="89">
        <f t="shared" si="10"/>
        <v>126</v>
      </c>
      <c r="BC1154" s="132" t="s">
        <v>178</v>
      </c>
      <c r="BD1154" s="132" t="s">
        <v>178</v>
      </c>
      <c r="BE1154" s="132" t="s">
        <v>178</v>
      </c>
      <c r="BF1154" s="123"/>
      <c r="BG1154" s="83">
        <v>1128479.0</v>
      </c>
      <c r="BH1154" s="112"/>
      <c r="BI1154" s="112">
        <v>6.0</v>
      </c>
      <c r="BJ1154" s="98" t="s">
        <v>155</v>
      </c>
      <c r="BK1154" s="99">
        <f t="shared" si="11"/>
        <v>126</v>
      </c>
      <c r="BL1154" s="99">
        <f t="shared" si="12"/>
        <v>0</v>
      </c>
      <c r="BM1154" s="99" t="str">
        <f>IFERROR(__xludf.DUMMYFUNCTION("IFERROR(VLOOKUP(BG1154,IMPORTRANGE(""https://docs.google.com/spreadsheets/d/1juPI-Fb8LD0YtltB2mlGEnp_R3UVu1t3wSFPzgCyHXE/edit?gid=0#gid=0"",""GERAL!A2:C""),3,0),""-"")"),"EFA")</f>
        <v>EFA</v>
      </c>
    </row>
    <row r="1155" ht="15.75" customHeight="1">
      <c r="A1155" s="111" t="s">
        <v>1393</v>
      </c>
      <c r="B1155" s="83" t="s">
        <v>6282</v>
      </c>
      <c r="C1155" s="83" t="s">
        <v>68</v>
      </c>
      <c r="D1155" s="112">
        <v>1128460.0</v>
      </c>
      <c r="E1155" s="83"/>
      <c r="F1155" s="83">
        <v>2.9249104E7</v>
      </c>
      <c r="G1155" s="147" t="s">
        <v>6287</v>
      </c>
      <c r="H1155" s="108" t="s">
        <v>6288</v>
      </c>
      <c r="I1155" s="136" t="s">
        <v>6289</v>
      </c>
      <c r="J1155" s="136" t="s">
        <v>150</v>
      </c>
      <c r="K1155" s="83" t="s">
        <v>151</v>
      </c>
      <c r="L1155" s="83" t="s">
        <v>76</v>
      </c>
      <c r="M1155" s="82" t="str">
        <f>IFERROR(__xludf.DUMMYFUNCTION("IFERROR(VLOOKUP(D1155,
IMPORTRANGE(""https://docs.google.com/spreadsheets/d/1MjHtlUikwobi2MaWJgy7tfLeBmhj1u-dRFRs_8GwSoA/edit#gid=0"",""Gestores Escolares!D7:J""),3,0),""VERIFICAR CÓD SEC"")"),"LEUCE LILIANE GAMA SILVA")</f>
        <v>LEUCE LILIANE GAMA SILVA</v>
      </c>
      <c r="N1155" s="82" t="str">
        <f>IFERROR(__xludf.DUMMYFUNCTION("IFERROR(VLOOKUP(D1155,
IMPORTRANGE(""https://docs.google.com/spreadsheets/d/1MjHtlUikwobi2MaWJgy7tfLeBmhj1u-dRFRs_8GwSoA/edit#gid=0"",""Gestores Escolares!D7:J""),4,0),""VERIFICAR CÓD SEC"")"),"(77) 9 9126-9341")</f>
        <v>(77) 9 9126-9341</v>
      </c>
      <c r="O1155" s="82" t="str">
        <f>IFERROR(__xludf.DUMMYFUNCTION("IFERROR(VLOOKUP(D1155,
IMPORTRANGE(""https://docs.google.com/spreadsheets/d/1MjHtlUikwobi2MaWJgy7tfLeBmhj1u-dRFRs_8GwSoA/edit#gid=0"",""Gestores Escolares!D7:J""),6,0),""VERIFICAR CÓD SEC"")"),"CLOVIS GONCALVES PESSOA")</f>
        <v>CLOVIS GONCALVES PESSOA</v>
      </c>
      <c r="P1155" s="82" t="str">
        <f>IFERROR(__xludf.DUMMYFUNCTION("IFERROR(VLOOKUP(D1155,
IMPORTRANGE(""https://docs.google.com/spreadsheets/d/1MjHtlUikwobi2MaWJgy7tfLeBmhj1u-dRFRs_8GwSoA/edit#gid=0"",""Gestores Escolares!D7:J""),7,0),""VERIFICAR CÓD SEC"")"),"(77) 9 9155-3819")</f>
        <v>(77) 9 9155-3819</v>
      </c>
      <c r="Q1155" s="82" t="str">
        <f>IFERROR(__xludf.DUMMYFUNCTION("IFERROR(VLOOKUP(D1155,
IMPORTRANGE(""https://docs.google.com/spreadsheets/d/1MjHtlUikwobi2MaWJgy7tfLeBmhj1u-dRFRs_8GwSoA/edit#gid=0"",""Gestores Escolares!D7:m""),9,0),""VERIFICAR CÓD SEC"")"),"")</f>
        <v/>
      </c>
      <c r="R1155" s="82" t="str">
        <f>IFERROR(__xludf.DUMMYFUNCTION("IFERROR(VLOOKUP(D1155,
IMPORTRANGE(""https://docs.google.com/spreadsheets/d/1MjHtlUikwobi2MaWJgy7tfLeBmhj1u-dRFRs_8GwSoA/edit#gid=0"",""Gestores Escolares!D7:m""),10,0),""VERIFICAR CÓD SEC"")"),"")</f>
        <v/>
      </c>
      <c r="S1155" s="82"/>
      <c r="T1155" s="138">
        <v>7.0</v>
      </c>
      <c r="U1155" s="139">
        <v>7.0</v>
      </c>
      <c r="V1155" s="106">
        <v>0.0</v>
      </c>
      <c r="W1155" s="107">
        <v>0.0</v>
      </c>
      <c r="X1155" s="107">
        <v>0.0</v>
      </c>
      <c r="Y1155" s="107">
        <v>0.0</v>
      </c>
      <c r="Z1155" s="80">
        <f t="shared" si="1"/>
        <v>0</v>
      </c>
      <c r="AA1155" s="106">
        <v>0.0</v>
      </c>
      <c r="AB1155" s="107">
        <v>0.0</v>
      </c>
      <c r="AC1155" s="107">
        <v>0.0</v>
      </c>
      <c r="AD1155" s="107">
        <v>0.0</v>
      </c>
      <c r="AE1155" s="80">
        <f t="shared" si="2"/>
        <v>0</v>
      </c>
      <c r="AF1155" s="140">
        <v>70.0</v>
      </c>
      <c r="AG1155" s="109">
        <v>0.0</v>
      </c>
      <c r="AH1155" s="109">
        <v>0.0</v>
      </c>
      <c r="AI1155" s="141">
        <v>70.0</v>
      </c>
      <c r="AJ1155" s="80">
        <f t="shared" si="3"/>
        <v>140</v>
      </c>
      <c r="AK1155" s="140">
        <v>0.0</v>
      </c>
      <c r="AL1155" s="109">
        <v>0.0</v>
      </c>
      <c r="AM1155" s="141">
        <v>0.0</v>
      </c>
      <c r="AN1155" s="80">
        <f t="shared" si="4"/>
        <v>0</v>
      </c>
      <c r="AO1155" s="140">
        <v>0.0</v>
      </c>
      <c r="AP1155" s="109">
        <v>0.0</v>
      </c>
      <c r="AQ1155" s="109">
        <v>27.0</v>
      </c>
      <c r="AR1155" s="80">
        <f t="shared" si="5"/>
        <v>27</v>
      </c>
      <c r="AS1155" s="110">
        <v>0.0</v>
      </c>
      <c r="AT1155" s="110">
        <v>0.0</v>
      </c>
      <c r="AU1155" s="110">
        <v>0.0</v>
      </c>
      <c r="AV1155" s="142">
        <v>96.0</v>
      </c>
      <c r="AW1155" s="80">
        <f t="shared" si="6"/>
        <v>96</v>
      </c>
      <c r="AX1155" s="113">
        <f t="shared" si="7"/>
        <v>263</v>
      </c>
      <c r="AY1155" s="117">
        <f t="shared" si="8"/>
        <v>236</v>
      </c>
      <c r="AZ1155" s="120">
        <f t="shared" si="9"/>
        <v>27</v>
      </c>
      <c r="BA1155" s="115">
        <v>0.0</v>
      </c>
      <c r="BB1155" s="89">
        <f t="shared" si="10"/>
        <v>263</v>
      </c>
      <c r="BC1155" s="132" t="s">
        <v>178</v>
      </c>
      <c r="BD1155" s="132" t="s">
        <v>178</v>
      </c>
      <c r="BE1155" s="132" t="s">
        <v>178</v>
      </c>
      <c r="BF1155" s="123"/>
      <c r="BG1155" s="83">
        <v>1128460.0</v>
      </c>
      <c r="BH1155" s="112"/>
      <c r="BI1155" s="112">
        <v>7.0</v>
      </c>
      <c r="BJ1155" s="98" t="s">
        <v>155</v>
      </c>
      <c r="BK1155" s="99">
        <f t="shared" si="11"/>
        <v>166</v>
      </c>
      <c r="BL1155" s="99">
        <f t="shared" si="12"/>
        <v>70</v>
      </c>
      <c r="BM1155" s="99" t="str">
        <f>IFERROR(__xludf.DUMMYFUNCTION("IFERROR(VLOOKUP(BG1155,IMPORTRANGE(""https://docs.google.com/spreadsheets/d/1juPI-Fb8LD0YtltB2mlGEnp_R3UVu1t3wSFPzgCyHXE/edit?gid=0#gid=0"",""GERAL!A2:C""),3,0),""-"")"),"-")</f>
        <v>-</v>
      </c>
    </row>
    <row r="1156" ht="15.75" customHeight="1">
      <c r="A1156" s="111" t="s">
        <v>1393</v>
      </c>
      <c r="B1156" s="83" t="s">
        <v>6282</v>
      </c>
      <c r="C1156" s="83" t="s">
        <v>164</v>
      </c>
      <c r="D1156" s="112">
        <v>1128460.0</v>
      </c>
      <c r="E1156" s="83">
        <v>1178864.0</v>
      </c>
      <c r="F1156" s="98">
        <v>2.9490502E7</v>
      </c>
      <c r="G1156" s="119" t="s">
        <v>6292</v>
      </c>
      <c r="H1156" s="91" t="s">
        <v>6293</v>
      </c>
      <c r="I1156" s="83" t="s">
        <v>6294</v>
      </c>
      <c r="J1156" s="83" t="s">
        <v>2668</v>
      </c>
      <c r="K1156" s="83" t="s">
        <v>168</v>
      </c>
      <c r="L1156" s="83" t="s">
        <v>169</v>
      </c>
      <c r="M1156" s="82" t="str">
        <f>IFERROR(__xludf.DUMMYFUNCTION("IFERROR(VLOOKUP(D1156,
IMPORTRANGE(""https://docs.google.com/spreadsheets/d/1MjHtlUikwobi2MaWJgy7tfLeBmhj1u-dRFRs_8GwSoA/edit#gid=0"",""Gestores Escolares!D7:J""),3,0),""VERIFICAR CÓD SEC"")"),"LEUCE LILIANE GAMA SILVA")</f>
        <v>LEUCE LILIANE GAMA SILVA</v>
      </c>
      <c r="N1156" s="82" t="str">
        <f>IFERROR(__xludf.DUMMYFUNCTION("IFERROR(VLOOKUP(D1156,
IMPORTRANGE(""https://docs.google.com/spreadsheets/d/1MjHtlUikwobi2MaWJgy7tfLeBmhj1u-dRFRs_8GwSoA/edit#gid=0"",""Gestores Escolares!D7:J""),4,0),""VERIFICAR CÓD SEC"")"),"(77) 9 9126-9341")</f>
        <v>(77) 9 9126-9341</v>
      </c>
      <c r="O1156" s="82" t="str">
        <f>IFERROR(__xludf.DUMMYFUNCTION("IFERROR(VLOOKUP(D1156,
IMPORTRANGE(""https://docs.google.com/spreadsheets/d/1MjHtlUikwobi2MaWJgy7tfLeBmhj1u-dRFRs_8GwSoA/edit#gid=0"",""Gestores Escolares!D7:J""),6,0),""VERIFICAR CÓD SEC"")"),"CLOVIS GONCALVES PESSOA")</f>
        <v>CLOVIS GONCALVES PESSOA</v>
      </c>
      <c r="P1156" s="82" t="str">
        <f>IFERROR(__xludf.DUMMYFUNCTION("IFERROR(VLOOKUP(D1156,
IMPORTRANGE(""https://docs.google.com/spreadsheets/d/1MjHtlUikwobi2MaWJgy7tfLeBmhj1u-dRFRs_8GwSoA/edit#gid=0"",""Gestores Escolares!D7:J""),7,0),""VERIFICAR CÓD SEC"")"),"(77) 9 9155-3819")</f>
        <v>(77) 9 9155-3819</v>
      </c>
      <c r="Q1156" s="82" t="str">
        <f>IFERROR(__xludf.DUMMYFUNCTION("IFERROR(VLOOKUP(D1156,
IMPORTRANGE(""https://docs.google.com/spreadsheets/d/1MjHtlUikwobi2MaWJgy7tfLeBmhj1u-dRFRs_8GwSoA/edit#gid=0"",""Gestores Escolares!D7:m""),9,0),""VERIFICAR CÓD SEC"")"),"")</f>
        <v/>
      </c>
      <c r="R1156" s="82" t="str">
        <f>IFERROR(__xludf.DUMMYFUNCTION("IFERROR(VLOOKUP(D1156,
IMPORTRANGE(""https://docs.google.com/spreadsheets/d/1MjHtlUikwobi2MaWJgy7tfLeBmhj1u-dRFRs_8GwSoA/edit#gid=0"",""Gestores Escolares!D7:m""),10,0),""VERIFICAR CÓD SEC"")"),"")</f>
        <v/>
      </c>
      <c r="S1156" s="82"/>
      <c r="T1156" s="138">
        <v>3.0</v>
      </c>
      <c r="U1156" s="139">
        <v>3.0</v>
      </c>
      <c r="V1156" s="106">
        <v>0.0</v>
      </c>
      <c r="W1156" s="107">
        <v>0.0</v>
      </c>
      <c r="X1156" s="107">
        <v>0.0</v>
      </c>
      <c r="Y1156" s="107">
        <v>0.0</v>
      </c>
      <c r="Z1156" s="80">
        <f t="shared" si="1"/>
        <v>0</v>
      </c>
      <c r="AA1156" s="106">
        <v>0.0</v>
      </c>
      <c r="AB1156" s="107">
        <v>0.0</v>
      </c>
      <c r="AC1156" s="107">
        <v>0.0</v>
      </c>
      <c r="AD1156" s="107">
        <v>0.0</v>
      </c>
      <c r="AE1156" s="80">
        <f t="shared" si="2"/>
        <v>0</v>
      </c>
      <c r="AF1156" s="140">
        <v>0.0</v>
      </c>
      <c r="AG1156" s="109">
        <v>93.0</v>
      </c>
      <c r="AH1156" s="109">
        <v>0.0</v>
      </c>
      <c r="AI1156" s="141">
        <v>0.0</v>
      </c>
      <c r="AJ1156" s="80">
        <f t="shared" si="3"/>
        <v>93</v>
      </c>
      <c r="AK1156" s="140">
        <v>0.0</v>
      </c>
      <c r="AL1156" s="109">
        <v>0.0</v>
      </c>
      <c r="AM1156" s="141">
        <v>0.0</v>
      </c>
      <c r="AN1156" s="80">
        <f t="shared" si="4"/>
        <v>0</v>
      </c>
      <c r="AO1156" s="140">
        <v>0.0</v>
      </c>
      <c r="AP1156" s="109">
        <v>0.0</v>
      </c>
      <c r="AQ1156" s="109">
        <v>0.0</v>
      </c>
      <c r="AR1156" s="80">
        <f t="shared" si="5"/>
        <v>0</v>
      </c>
      <c r="AS1156" s="110">
        <v>0.0</v>
      </c>
      <c r="AT1156" s="110">
        <v>0.0</v>
      </c>
      <c r="AU1156" s="110">
        <v>0.0</v>
      </c>
      <c r="AV1156" s="142">
        <v>0.0</v>
      </c>
      <c r="AW1156" s="80">
        <f t="shared" si="6"/>
        <v>0</v>
      </c>
      <c r="AX1156" s="113">
        <f t="shared" si="7"/>
        <v>93</v>
      </c>
      <c r="AY1156" s="117">
        <f t="shared" si="8"/>
        <v>93</v>
      </c>
      <c r="AZ1156" s="120">
        <f t="shared" si="9"/>
        <v>0</v>
      </c>
      <c r="BA1156" s="115">
        <v>0.0</v>
      </c>
      <c r="BB1156" s="89">
        <f t="shared" si="10"/>
        <v>93</v>
      </c>
      <c r="BC1156" s="132" t="s">
        <v>373</v>
      </c>
      <c r="BD1156" s="132" t="s">
        <v>178</v>
      </c>
      <c r="BE1156" s="132" t="s">
        <v>178</v>
      </c>
      <c r="BF1156" s="123"/>
      <c r="BG1156" s="83">
        <v>1178864.0</v>
      </c>
      <c r="BH1156" s="112"/>
      <c r="BI1156" s="112">
        <v>3.0</v>
      </c>
      <c r="BJ1156" s="98" t="s">
        <v>155</v>
      </c>
      <c r="BK1156" s="99">
        <f t="shared" si="11"/>
        <v>0</v>
      </c>
      <c r="BL1156" s="99">
        <f t="shared" si="12"/>
        <v>93</v>
      </c>
      <c r="BM1156" s="99" t="str">
        <f>IFERROR(__xludf.DUMMYFUNCTION("IFERROR(VLOOKUP(BG1156,IMPORTRANGE(""https://docs.google.com/spreadsheets/d/1juPI-Fb8LD0YtltB2mlGEnp_R3UVu1t3wSFPzgCyHXE/edit?gid=0#gid=0"",""GERAL!A2:C""),3,0),""-"")"),"CAMPO")</f>
        <v>CAMPO</v>
      </c>
    </row>
    <row r="1157" ht="15.75" customHeight="1">
      <c r="A1157" s="111" t="s">
        <v>1393</v>
      </c>
      <c r="B1157" s="83" t="s">
        <v>6282</v>
      </c>
      <c r="C1157" s="83" t="s">
        <v>164</v>
      </c>
      <c r="D1157" s="112">
        <v>1128460.0</v>
      </c>
      <c r="E1157" s="83">
        <v>1179647.0</v>
      </c>
      <c r="F1157" s="98">
        <v>2.9490863E7</v>
      </c>
      <c r="G1157" s="119" t="s">
        <v>6295</v>
      </c>
      <c r="H1157" s="91" t="s">
        <v>6296</v>
      </c>
      <c r="I1157" s="83" t="s">
        <v>149</v>
      </c>
      <c r="J1157" s="83" t="s">
        <v>1173</v>
      </c>
      <c r="K1157" s="83" t="s">
        <v>151</v>
      </c>
      <c r="L1157" s="83" t="s">
        <v>169</v>
      </c>
      <c r="M1157" s="82" t="str">
        <f>IFERROR(__xludf.DUMMYFUNCTION("IFERROR(VLOOKUP(D1157,
IMPORTRANGE(""https://docs.google.com/spreadsheets/d/1MjHtlUikwobi2MaWJgy7tfLeBmhj1u-dRFRs_8GwSoA/edit#gid=0"",""Gestores Escolares!D7:J""),3,0),""VERIFICAR CÓD SEC"")"),"LEUCE LILIANE GAMA SILVA")</f>
        <v>LEUCE LILIANE GAMA SILVA</v>
      </c>
      <c r="N1157" s="82" t="str">
        <f>IFERROR(__xludf.DUMMYFUNCTION("IFERROR(VLOOKUP(D1157,
IMPORTRANGE(""https://docs.google.com/spreadsheets/d/1MjHtlUikwobi2MaWJgy7tfLeBmhj1u-dRFRs_8GwSoA/edit#gid=0"",""Gestores Escolares!D7:J""),4,0),""VERIFICAR CÓD SEC"")"),"(77) 9 9126-9341")</f>
        <v>(77) 9 9126-9341</v>
      </c>
      <c r="O1157" s="82" t="str">
        <f>IFERROR(__xludf.DUMMYFUNCTION("IFERROR(VLOOKUP(D1157,
IMPORTRANGE(""https://docs.google.com/spreadsheets/d/1MjHtlUikwobi2MaWJgy7tfLeBmhj1u-dRFRs_8GwSoA/edit#gid=0"",""Gestores Escolares!D7:J""),6,0),""VERIFICAR CÓD SEC"")"),"CLOVIS GONCALVES PESSOA")</f>
        <v>CLOVIS GONCALVES PESSOA</v>
      </c>
      <c r="P1157" s="82" t="str">
        <f>IFERROR(__xludf.DUMMYFUNCTION("IFERROR(VLOOKUP(D1157,
IMPORTRANGE(""https://docs.google.com/spreadsheets/d/1MjHtlUikwobi2MaWJgy7tfLeBmhj1u-dRFRs_8GwSoA/edit#gid=0"",""Gestores Escolares!D7:J""),7,0),""VERIFICAR CÓD SEC"")"),"(77) 9 9155-3819")</f>
        <v>(77) 9 9155-3819</v>
      </c>
      <c r="Q1157" s="82" t="str">
        <f>IFERROR(__xludf.DUMMYFUNCTION("IFERROR(VLOOKUP(D1157,
IMPORTRANGE(""https://docs.google.com/spreadsheets/d/1MjHtlUikwobi2MaWJgy7tfLeBmhj1u-dRFRs_8GwSoA/edit#gid=0"",""Gestores Escolares!D7:m""),9,0),""VERIFICAR CÓD SEC"")"),"")</f>
        <v/>
      </c>
      <c r="R1157" s="82" t="str">
        <f>IFERROR(__xludf.DUMMYFUNCTION("IFERROR(VLOOKUP(D1157,
IMPORTRANGE(""https://docs.google.com/spreadsheets/d/1MjHtlUikwobi2MaWJgy7tfLeBmhj1u-dRFRs_8GwSoA/edit#gid=0"",""Gestores Escolares!D7:m""),10,0),""VERIFICAR CÓD SEC"")"),"")</f>
        <v/>
      </c>
      <c r="S1157" s="82"/>
      <c r="T1157" s="138">
        <v>7.0</v>
      </c>
      <c r="U1157" s="145">
        <v>4.0</v>
      </c>
      <c r="V1157" s="106">
        <v>0.0</v>
      </c>
      <c r="W1157" s="107">
        <v>0.0</v>
      </c>
      <c r="X1157" s="107">
        <v>0.0</v>
      </c>
      <c r="Y1157" s="107">
        <v>0.0</v>
      </c>
      <c r="Z1157" s="80">
        <f t="shared" si="1"/>
        <v>0</v>
      </c>
      <c r="AA1157" s="106">
        <v>0.0</v>
      </c>
      <c r="AB1157" s="107">
        <v>0.0</v>
      </c>
      <c r="AC1157" s="107">
        <v>0.0</v>
      </c>
      <c r="AD1157" s="107">
        <v>0.0</v>
      </c>
      <c r="AE1157" s="80">
        <f t="shared" si="2"/>
        <v>0</v>
      </c>
      <c r="AF1157" s="140">
        <v>89.0</v>
      </c>
      <c r="AG1157" s="109">
        <v>0.0</v>
      </c>
      <c r="AH1157" s="109">
        <v>0.0</v>
      </c>
      <c r="AI1157" s="141">
        <v>0.0</v>
      </c>
      <c r="AJ1157" s="80">
        <f t="shared" si="3"/>
        <v>89</v>
      </c>
      <c r="AK1157" s="140">
        <v>0.0</v>
      </c>
      <c r="AL1157" s="109">
        <v>0.0</v>
      </c>
      <c r="AM1157" s="141">
        <v>0.0</v>
      </c>
      <c r="AN1157" s="80">
        <f t="shared" si="4"/>
        <v>0</v>
      </c>
      <c r="AO1157" s="140">
        <v>0.0</v>
      </c>
      <c r="AP1157" s="109">
        <v>0.0</v>
      </c>
      <c r="AQ1157" s="109">
        <v>0.0</v>
      </c>
      <c r="AR1157" s="80">
        <f t="shared" si="5"/>
        <v>0</v>
      </c>
      <c r="AS1157" s="110">
        <v>0.0</v>
      </c>
      <c r="AT1157" s="110">
        <v>0.0</v>
      </c>
      <c r="AU1157" s="110">
        <v>0.0</v>
      </c>
      <c r="AV1157" s="142">
        <v>0.0</v>
      </c>
      <c r="AW1157" s="80">
        <f t="shared" si="6"/>
        <v>0</v>
      </c>
      <c r="AX1157" s="113">
        <f t="shared" si="7"/>
        <v>89</v>
      </c>
      <c r="AY1157" s="117">
        <f t="shared" si="8"/>
        <v>89</v>
      </c>
      <c r="AZ1157" s="120">
        <f t="shared" si="9"/>
        <v>0</v>
      </c>
      <c r="BA1157" s="115">
        <v>0.0</v>
      </c>
      <c r="BB1157" s="89">
        <f t="shared" si="10"/>
        <v>89</v>
      </c>
      <c r="BC1157" s="132" t="s">
        <v>373</v>
      </c>
      <c r="BD1157" s="132" t="s">
        <v>178</v>
      </c>
      <c r="BE1157" s="132" t="s">
        <v>178</v>
      </c>
      <c r="BF1157" s="156"/>
      <c r="BG1157" s="83">
        <v>1179647.0</v>
      </c>
      <c r="BH1157" s="112"/>
      <c r="BI1157" s="112">
        <v>3.0</v>
      </c>
      <c r="BJ1157" s="98" t="s">
        <v>155</v>
      </c>
      <c r="BK1157" s="99">
        <f t="shared" si="11"/>
        <v>0</v>
      </c>
      <c r="BL1157" s="99">
        <f t="shared" si="12"/>
        <v>89</v>
      </c>
      <c r="BM1157" s="99" t="str">
        <f>IFERROR(__xludf.DUMMYFUNCTION("IFERROR(VLOOKUP(BG1157,IMPORTRANGE(""https://docs.google.com/spreadsheets/d/1juPI-Fb8LD0YtltB2mlGEnp_R3UVu1t3wSFPzgCyHXE/edit?gid=0#gid=0"",""GERAL!A2:C""),3,0),""-"")"),"CAMPO")</f>
        <v>CAMPO</v>
      </c>
    </row>
    <row r="1158" ht="15.75" customHeight="1">
      <c r="A1158" s="111" t="s">
        <v>1393</v>
      </c>
      <c r="B1158" s="83" t="s">
        <v>6297</v>
      </c>
      <c r="C1158" s="83" t="s">
        <v>68</v>
      </c>
      <c r="D1158" s="112">
        <v>1141815.0</v>
      </c>
      <c r="E1158" s="83"/>
      <c r="F1158" s="83">
        <v>2.9261481E7</v>
      </c>
      <c r="G1158" s="119" t="s">
        <v>6298</v>
      </c>
      <c r="H1158" s="91" t="s">
        <v>6299</v>
      </c>
      <c r="I1158" s="83" t="s">
        <v>149</v>
      </c>
      <c r="J1158" s="83" t="s">
        <v>150</v>
      </c>
      <c r="K1158" s="83" t="s">
        <v>151</v>
      </c>
      <c r="L1158" s="83" t="s">
        <v>76</v>
      </c>
      <c r="M1158" s="82" t="str">
        <f>IFERROR(__xludf.DUMMYFUNCTION("IFERROR(VLOOKUP(D1158,
IMPORTRANGE(""https://docs.google.com/spreadsheets/d/1MjHtlUikwobi2MaWJgy7tfLeBmhj1u-dRFRs_8GwSoA/edit#gid=0"",""Gestores Escolares!D7:J""),3,0),""VERIFICAR CÓD SEC"")")," ERNANDE OLIVEIRA SOUZA")</f>
        <v> ERNANDE OLIVEIRA SOUZA</v>
      </c>
      <c r="N1158" s="82" t="str">
        <f>IFERROR(__xludf.DUMMYFUNCTION("IFERROR(VLOOKUP(D1158,
IMPORTRANGE(""https://docs.google.com/spreadsheets/d/1MjHtlUikwobi2MaWJgy7tfLeBmhj1u-dRFRs_8GwSoA/edit#gid=0"",""Gestores Escolares!D7:J""),4,0),""VERIFICAR CÓD SEC"")"),"(77) 9 8828-7511")</f>
        <v>(77) 9 8828-7511</v>
      </c>
      <c r="O1158" s="82" t="str">
        <f>IFERROR(__xludf.DUMMYFUNCTION("IFERROR(VLOOKUP(D1158,
IMPORTRANGE(""https://docs.google.com/spreadsheets/d/1MjHtlUikwobi2MaWJgy7tfLeBmhj1u-dRFRs_8GwSoA/edit#gid=0"",""Gestores Escolares!D7:J""),6,0),""VERIFICAR CÓD SEC"")")," MARINA MARTINS PINCHEMEL AMORIM")</f>
        <v> MARINA MARTINS PINCHEMEL AMORIM</v>
      </c>
      <c r="P1158" s="82" t="str">
        <f>IFERROR(__xludf.DUMMYFUNCTION("IFERROR(VLOOKUP(D1158,
IMPORTRANGE(""https://docs.google.com/spreadsheets/d/1MjHtlUikwobi2MaWJgy7tfLeBmhj1u-dRFRs_8GwSoA/edit#gid=0"",""Gestores Escolares!D7:J""),7,0),""VERIFICAR CÓD SEC"")"),"(77) 9 8168-1801")</f>
        <v>(77) 9 8168-1801</v>
      </c>
      <c r="Q1158" s="82" t="str">
        <f>IFERROR(__xludf.DUMMYFUNCTION("IFERROR(VLOOKUP(D1158,
IMPORTRANGE(""https://docs.google.com/spreadsheets/d/1MjHtlUikwobi2MaWJgy7tfLeBmhj1u-dRFRs_8GwSoA/edit#gid=0"",""Gestores Escolares!D7:m""),9,0),""VERIFICAR CÓD SEC"")"),"")</f>
        <v/>
      </c>
      <c r="R1158" s="82" t="str">
        <f>IFERROR(__xludf.DUMMYFUNCTION("IFERROR(VLOOKUP(D1158,
IMPORTRANGE(""https://docs.google.com/spreadsheets/d/1MjHtlUikwobi2MaWJgy7tfLeBmhj1u-dRFRs_8GwSoA/edit#gid=0"",""Gestores Escolares!D7:m""),10,0),""VERIFICAR CÓD SEC"")"),"")</f>
        <v/>
      </c>
      <c r="S1158" s="82"/>
      <c r="T1158" s="138">
        <v>7.0</v>
      </c>
      <c r="U1158" s="145">
        <v>6.0</v>
      </c>
      <c r="V1158" s="106">
        <v>0.0</v>
      </c>
      <c r="W1158" s="107">
        <v>0.0</v>
      </c>
      <c r="X1158" s="107">
        <v>0.0</v>
      </c>
      <c r="Y1158" s="107">
        <v>0.0</v>
      </c>
      <c r="Z1158" s="80">
        <f t="shared" si="1"/>
        <v>0</v>
      </c>
      <c r="AA1158" s="106">
        <v>0.0</v>
      </c>
      <c r="AB1158" s="107">
        <v>0.0</v>
      </c>
      <c r="AC1158" s="107">
        <v>0.0</v>
      </c>
      <c r="AD1158" s="107">
        <v>0.0</v>
      </c>
      <c r="AE1158" s="80">
        <f t="shared" si="2"/>
        <v>0</v>
      </c>
      <c r="AF1158" s="140">
        <v>0.0</v>
      </c>
      <c r="AG1158" s="109">
        <v>20.0</v>
      </c>
      <c r="AH1158" s="109">
        <v>0.0</v>
      </c>
      <c r="AI1158" s="141">
        <v>66.0</v>
      </c>
      <c r="AJ1158" s="80">
        <f t="shared" si="3"/>
        <v>86</v>
      </c>
      <c r="AK1158" s="140">
        <v>0.0</v>
      </c>
      <c r="AL1158" s="109">
        <v>0.0</v>
      </c>
      <c r="AM1158" s="141">
        <v>0.0</v>
      </c>
      <c r="AN1158" s="80">
        <f t="shared" si="4"/>
        <v>0</v>
      </c>
      <c r="AO1158" s="140">
        <v>0.0</v>
      </c>
      <c r="AP1158" s="109">
        <v>0.0</v>
      </c>
      <c r="AQ1158" s="109">
        <v>36.0</v>
      </c>
      <c r="AR1158" s="80">
        <f t="shared" si="5"/>
        <v>36</v>
      </c>
      <c r="AS1158" s="110">
        <v>47.0</v>
      </c>
      <c r="AT1158" s="110">
        <v>0.0</v>
      </c>
      <c r="AU1158" s="110">
        <v>0.0</v>
      </c>
      <c r="AV1158" s="142">
        <v>28.0</v>
      </c>
      <c r="AW1158" s="80">
        <f t="shared" si="6"/>
        <v>75</v>
      </c>
      <c r="AX1158" s="113">
        <f t="shared" si="7"/>
        <v>197</v>
      </c>
      <c r="AY1158" s="117">
        <f t="shared" si="8"/>
        <v>161</v>
      </c>
      <c r="AZ1158" s="120">
        <f t="shared" si="9"/>
        <v>36</v>
      </c>
      <c r="BA1158" s="115">
        <v>0.0</v>
      </c>
      <c r="BB1158" s="89">
        <f t="shared" si="10"/>
        <v>197</v>
      </c>
      <c r="BC1158" s="132" t="s">
        <v>178</v>
      </c>
      <c r="BD1158" s="132" t="s">
        <v>178</v>
      </c>
      <c r="BE1158" s="132" t="s">
        <v>178</v>
      </c>
      <c r="BF1158" s="156"/>
      <c r="BG1158" s="83">
        <v>1141815.0</v>
      </c>
      <c r="BH1158" s="112"/>
      <c r="BI1158" s="112">
        <v>7.0</v>
      </c>
      <c r="BJ1158" s="98" t="s">
        <v>155</v>
      </c>
      <c r="BK1158" s="99">
        <f t="shared" si="11"/>
        <v>94</v>
      </c>
      <c r="BL1158" s="99">
        <f t="shared" si="12"/>
        <v>67</v>
      </c>
      <c r="BM1158" s="99" t="str">
        <f>IFERROR(__xludf.DUMMYFUNCTION("IFERROR(VLOOKUP(BG1158,IMPORTRANGE(""https://docs.google.com/spreadsheets/d/1juPI-Fb8LD0YtltB2mlGEnp_R3UVu1t3wSFPzgCyHXE/edit?gid=0#gid=0"",""GERAL!A2:C""),3,0),""-"")"),"-")</f>
        <v>-</v>
      </c>
    </row>
    <row r="1159" ht="15.75" customHeight="1">
      <c r="A1159" s="111" t="s">
        <v>1393</v>
      </c>
      <c r="B1159" s="136" t="s">
        <v>6301</v>
      </c>
      <c r="C1159" s="83" t="s">
        <v>68</v>
      </c>
      <c r="D1159" s="112">
        <v>1178113.0</v>
      </c>
      <c r="E1159" s="83"/>
      <c r="F1159" s="83">
        <v>2.9434726E7</v>
      </c>
      <c r="G1159" s="147" t="s">
        <v>6302</v>
      </c>
      <c r="H1159" s="91" t="s">
        <v>6303</v>
      </c>
      <c r="I1159" s="136" t="s">
        <v>149</v>
      </c>
      <c r="J1159" s="136" t="s">
        <v>150</v>
      </c>
      <c r="K1159" s="136" t="s">
        <v>151</v>
      </c>
      <c r="L1159" s="136" t="s">
        <v>76</v>
      </c>
      <c r="M1159" s="82" t="str">
        <f>IFERROR(__xludf.DUMMYFUNCTION("IFERROR(VLOOKUP(D1159,
IMPORTRANGE(""https://docs.google.com/spreadsheets/d/1MjHtlUikwobi2MaWJgy7tfLeBmhj1u-dRFRs_8GwSoA/edit#gid=0"",""Gestores Escolares!D7:J""),3,0),""VERIFICAR CÓD SEC"")"),"MISAEL VIEIRA CASCAES")</f>
        <v>MISAEL VIEIRA CASCAES</v>
      </c>
      <c r="N1159" s="82" t="str">
        <f>IFERROR(__xludf.DUMMYFUNCTION("IFERROR(VLOOKUP(D1159,
IMPORTRANGE(""https://docs.google.com/spreadsheets/d/1MjHtlUikwobi2MaWJgy7tfLeBmhj1u-dRFRs_8GwSoA/edit#gid=0"",""Gestores Escolares!D7:J""),4,0),""VERIFICAR CÓD SEC"")"),"(77) 9 8808-5471")</f>
        <v>(77) 9 8808-5471</v>
      </c>
      <c r="O1159" s="82" t="str">
        <f>IFERROR(__xludf.DUMMYFUNCTION("IFERROR(VLOOKUP(D1159,
IMPORTRANGE(""https://docs.google.com/spreadsheets/d/1MjHtlUikwobi2MaWJgy7tfLeBmhj1u-dRFRs_8GwSoA/edit#gid=0"",""Gestores Escolares!D7:J""),6,0),""VERIFICAR CÓD SEC"")"),"RHANES SOUZA ALVES SANTOS")</f>
        <v>RHANES SOUZA ALVES SANTOS</v>
      </c>
      <c r="P1159" s="82" t="str">
        <f>IFERROR(__xludf.DUMMYFUNCTION("IFERROR(VLOOKUP(D1159,
IMPORTRANGE(""https://docs.google.com/spreadsheets/d/1MjHtlUikwobi2MaWJgy7tfLeBmhj1u-dRFRs_8GwSoA/edit#gid=0"",""Gestores Escolares!D7:J""),7,0),""VERIFICAR CÓD SEC"")"),"(77) 9 9986-2909")</f>
        <v>(77) 9 9986-2909</v>
      </c>
      <c r="Q1159" s="82" t="str">
        <f>IFERROR(__xludf.DUMMYFUNCTION("IFERROR(VLOOKUP(D1159,
IMPORTRANGE(""https://docs.google.com/spreadsheets/d/1MjHtlUikwobi2MaWJgy7tfLeBmhj1u-dRFRs_8GwSoA/edit#gid=0"",""Gestores Escolares!D7:m""),9,0),""VERIFICAR CÓD SEC"")"),"")</f>
        <v/>
      </c>
      <c r="R1159" s="82" t="str">
        <f>IFERROR(__xludf.DUMMYFUNCTION("IFERROR(VLOOKUP(D1159,
IMPORTRANGE(""https://docs.google.com/spreadsheets/d/1MjHtlUikwobi2MaWJgy7tfLeBmhj1u-dRFRs_8GwSoA/edit#gid=0"",""Gestores Escolares!D7:m""),10,0),""VERIFICAR CÓD SEC"")"),"")</f>
        <v/>
      </c>
      <c r="S1159" s="82"/>
      <c r="T1159" s="138">
        <v>6.0</v>
      </c>
      <c r="U1159" s="145">
        <v>7.0</v>
      </c>
      <c r="V1159" s="106">
        <v>0.0</v>
      </c>
      <c r="W1159" s="107">
        <v>0.0</v>
      </c>
      <c r="X1159" s="107">
        <v>0.0</v>
      </c>
      <c r="Y1159" s="107">
        <v>0.0</v>
      </c>
      <c r="Z1159" s="80">
        <f t="shared" si="1"/>
        <v>0</v>
      </c>
      <c r="AA1159" s="106">
        <v>0.0</v>
      </c>
      <c r="AB1159" s="107">
        <v>0.0</v>
      </c>
      <c r="AC1159" s="107">
        <v>0.0</v>
      </c>
      <c r="AD1159" s="107">
        <v>0.0</v>
      </c>
      <c r="AE1159" s="80">
        <f t="shared" si="2"/>
        <v>0</v>
      </c>
      <c r="AF1159" s="140">
        <v>0.0</v>
      </c>
      <c r="AG1159" s="109">
        <v>90.0</v>
      </c>
      <c r="AH1159" s="109">
        <v>0.0</v>
      </c>
      <c r="AI1159" s="141">
        <v>73.0</v>
      </c>
      <c r="AJ1159" s="80">
        <f t="shared" si="3"/>
        <v>163</v>
      </c>
      <c r="AK1159" s="140">
        <v>0.0</v>
      </c>
      <c r="AL1159" s="109">
        <v>0.0</v>
      </c>
      <c r="AM1159" s="141">
        <v>0.0</v>
      </c>
      <c r="AN1159" s="80">
        <f t="shared" si="4"/>
        <v>0</v>
      </c>
      <c r="AO1159" s="140">
        <v>0.0</v>
      </c>
      <c r="AP1159" s="109">
        <v>0.0</v>
      </c>
      <c r="AQ1159" s="109">
        <v>43.0</v>
      </c>
      <c r="AR1159" s="80">
        <f t="shared" si="5"/>
        <v>43</v>
      </c>
      <c r="AS1159" s="110">
        <v>0.0</v>
      </c>
      <c r="AT1159" s="110">
        <v>0.0</v>
      </c>
      <c r="AU1159" s="110">
        <v>0.0</v>
      </c>
      <c r="AV1159" s="142">
        <v>55.0</v>
      </c>
      <c r="AW1159" s="80">
        <f t="shared" si="6"/>
        <v>55</v>
      </c>
      <c r="AX1159" s="113">
        <f t="shared" si="7"/>
        <v>261</v>
      </c>
      <c r="AY1159" s="117">
        <f t="shared" si="8"/>
        <v>218</v>
      </c>
      <c r="AZ1159" s="120">
        <f t="shared" si="9"/>
        <v>43</v>
      </c>
      <c r="BA1159" s="115">
        <v>0.0</v>
      </c>
      <c r="BB1159" s="89">
        <f t="shared" si="10"/>
        <v>261</v>
      </c>
      <c r="BC1159" s="132" t="s">
        <v>178</v>
      </c>
      <c r="BD1159" s="132" t="s">
        <v>178</v>
      </c>
      <c r="BE1159" s="132" t="s">
        <v>178</v>
      </c>
      <c r="BF1159" s="123"/>
      <c r="BG1159" s="83">
        <v>1178113.0</v>
      </c>
      <c r="BH1159" s="112"/>
      <c r="BI1159" s="112">
        <v>6.0</v>
      </c>
      <c r="BJ1159" s="98" t="s">
        <v>155</v>
      </c>
      <c r="BK1159" s="99">
        <f t="shared" si="11"/>
        <v>128</v>
      </c>
      <c r="BL1159" s="99">
        <f t="shared" si="12"/>
        <v>90</v>
      </c>
      <c r="BM1159" s="99" t="str">
        <f>IFERROR(__xludf.DUMMYFUNCTION("IFERROR(VLOOKUP(BG1159,IMPORTRANGE(""https://docs.google.com/spreadsheets/d/1juPI-Fb8LD0YtltB2mlGEnp_R3UVu1t3wSFPzgCyHXE/edit?gid=0#gid=0"",""GERAL!A2:C""),3,0),""-"")"),"-")</f>
        <v>-</v>
      </c>
    </row>
    <row r="1160" ht="15.75" customHeight="1">
      <c r="A1160" s="111" t="s">
        <v>1393</v>
      </c>
      <c r="B1160" s="83" t="s">
        <v>6305</v>
      </c>
      <c r="C1160" s="83" t="s">
        <v>68</v>
      </c>
      <c r="D1160" s="112">
        <v>1129181.0</v>
      </c>
      <c r="E1160" s="83"/>
      <c r="F1160" s="83">
        <v>2.9250285E7</v>
      </c>
      <c r="G1160" s="119" t="s">
        <v>6306</v>
      </c>
      <c r="H1160" s="108" t="s">
        <v>6307</v>
      </c>
      <c r="I1160" s="98" t="s">
        <v>3062</v>
      </c>
      <c r="J1160" s="83" t="s">
        <v>150</v>
      </c>
      <c r="K1160" s="83" t="s">
        <v>151</v>
      </c>
      <c r="L1160" s="83" t="s">
        <v>152</v>
      </c>
      <c r="M1160" s="82" t="str">
        <f>IFERROR(__xludf.DUMMYFUNCTION("IFERROR(VLOOKUP(D1160,
IMPORTRANGE(""https://docs.google.com/spreadsheets/d/1MjHtlUikwobi2MaWJgy7tfLeBmhj1u-dRFRs_8GwSoA/edit#gid=0"",""Gestores Escolares!D7:J""),3,0),""VERIFICAR CÓD SEC"")"),"MURILO SOUSA ALVES")</f>
        <v>MURILO SOUSA ALVES</v>
      </c>
      <c r="N1160" s="82" t="str">
        <f>IFERROR(__xludf.DUMMYFUNCTION("IFERROR(VLOOKUP(D1160,
IMPORTRANGE(""https://docs.google.com/spreadsheets/d/1MjHtlUikwobi2MaWJgy7tfLeBmhj1u-dRFRs_8GwSoA/edit#gid=0"",""Gestores Escolares!D7:J""),4,0),""VERIFICAR CÓD SEC"")"),"(77) 9 9196-6765")</f>
        <v>(77) 9 9196-6765</v>
      </c>
      <c r="O1160" s="82" t="str">
        <f>IFERROR(__xludf.DUMMYFUNCTION("IFERROR(VLOOKUP(D1160,
IMPORTRANGE(""https://docs.google.com/spreadsheets/d/1MjHtlUikwobi2MaWJgy7tfLeBmhj1u-dRFRs_8GwSoA/edit#gid=0"",""Gestores Escolares!D7:J""),6,0),""VERIFICAR CÓD SEC"")"),"MARIA DAS DORES DE SOUSA PEREIRA")</f>
        <v>MARIA DAS DORES DE SOUSA PEREIRA</v>
      </c>
      <c r="P1160" s="82" t="str">
        <f>IFERROR(__xludf.DUMMYFUNCTION("IFERROR(VLOOKUP(D1160,
IMPORTRANGE(""https://docs.google.com/spreadsheets/d/1MjHtlUikwobi2MaWJgy7tfLeBmhj1u-dRFRs_8GwSoA/edit#gid=0"",""Gestores Escolares!D7:J""),7,0),""VERIFICAR CÓD SEC"")"),"(77) 9 9174-4884")</f>
        <v>(77) 9 9174-4884</v>
      </c>
      <c r="Q1160" s="82" t="str">
        <f>IFERROR(__xludf.DUMMYFUNCTION("IFERROR(VLOOKUP(D1160,
IMPORTRANGE(""https://docs.google.com/spreadsheets/d/1MjHtlUikwobi2MaWJgy7tfLeBmhj1u-dRFRs_8GwSoA/edit#gid=0"",""Gestores Escolares!D7:m""),9,0),""VERIFICAR CÓD SEC"")"),"")</f>
        <v/>
      </c>
      <c r="R1160" s="82" t="str">
        <f>IFERROR(__xludf.DUMMYFUNCTION("IFERROR(VLOOKUP(D1160,
IMPORTRANGE(""https://docs.google.com/spreadsheets/d/1MjHtlUikwobi2MaWJgy7tfLeBmhj1u-dRFRs_8GwSoA/edit#gid=0"",""Gestores Escolares!D7:m""),10,0),""VERIFICAR CÓD SEC"")"),"")</f>
        <v/>
      </c>
      <c r="S1160" s="82"/>
      <c r="T1160" s="138">
        <v>12.0</v>
      </c>
      <c r="U1160" s="152">
        <v>12.0</v>
      </c>
      <c r="V1160" s="106">
        <v>0.0</v>
      </c>
      <c r="W1160" s="107">
        <v>0.0</v>
      </c>
      <c r="X1160" s="107">
        <v>0.0</v>
      </c>
      <c r="Y1160" s="107">
        <v>0.0</v>
      </c>
      <c r="Z1160" s="80">
        <f t="shared" si="1"/>
        <v>0</v>
      </c>
      <c r="AA1160" s="106">
        <v>0.0</v>
      </c>
      <c r="AB1160" s="107">
        <v>0.0</v>
      </c>
      <c r="AC1160" s="107">
        <v>0.0</v>
      </c>
      <c r="AD1160" s="107">
        <v>0.0</v>
      </c>
      <c r="AE1160" s="80">
        <f t="shared" si="2"/>
        <v>0</v>
      </c>
      <c r="AF1160" s="140">
        <v>0.0</v>
      </c>
      <c r="AG1160" s="109">
        <v>0.0</v>
      </c>
      <c r="AH1160" s="109">
        <v>0.0</v>
      </c>
      <c r="AI1160" s="141">
        <v>391.0</v>
      </c>
      <c r="AJ1160" s="80">
        <f t="shared" si="3"/>
        <v>391</v>
      </c>
      <c r="AK1160" s="140">
        <v>0.0</v>
      </c>
      <c r="AL1160" s="109">
        <v>0.0</v>
      </c>
      <c r="AM1160" s="141">
        <v>0.0</v>
      </c>
      <c r="AN1160" s="80">
        <f t="shared" si="4"/>
        <v>0</v>
      </c>
      <c r="AO1160" s="140">
        <v>0.0</v>
      </c>
      <c r="AP1160" s="109">
        <v>0.0</v>
      </c>
      <c r="AQ1160" s="109">
        <v>94.0</v>
      </c>
      <c r="AR1160" s="80">
        <f t="shared" si="5"/>
        <v>94</v>
      </c>
      <c r="AS1160" s="110">
        <v>0.0</v>
      </c>
      <c r="AT1160" s="110">
        <v>0.0</v>
      </c>
      <c r="AU1160" s="110">
        <v>0.0</v>
      </c>
      <c r="AV1160" s="142">
        <v>54.0</v>
      </c>
      <c r="AW1160" s="80">
        <f t="shared" si="6"/>
        <v>54</v>
      </c>
      <c r="AX1160" s="113">
        <f t="shared" si="7"/>
        <v>539</v>
      </c>
      <c r="AY1160" s="117">
        <f t="shared" si="8"/>
        <v>445</v>
      </c>
      <c r="AZ1160" s="120">
        <f t="shared" si="9"/>
        <v>94</v>
      </c>
      <c r="BA1160" s="115">
        <v>0.0</v>
      </c>
      <c r="BB1160" s="89">
        <f t="shared" si="10"/>
        <v>539</v>
      </c>
      <c r="BC1160" s="132" t="s">
        <v>178</v>
      </c>
      <c r="BD1160" s="132" t="s">
        <v>178</v>
      </c>
      <c r="BE1160" s="132" t="s">
        <v>178</v>
      </c>
      <c r="BF1160" s="123"/>
      <c r="BG1160" s="83">
        <v>1129181.0</v>
      </c>
      <c r="BH1160" s="112"/>
      <c r="BI1160" s="112">
        <v>12.0</v>
      </c>
      <c r="BJ1160" s="98" t="s">
        <v>155</v>
      </c>
      <c r="BK1160" s="99">
        <f t="shared" si="11"/>
        <v>445</v>
      </c>
      <c r="BL1160" s="99">
        <f t="shared" si="12"/>
        <v>0</v>
      </c>
      <c r="BM1160" s="99" t="str">
        <f>IFERROR(__xludf.DUMMYFUNCTION("IFERROR(VLOOKUP(BG1160,IMPORTRANGE(""https://docs.google.com/spreadsheets/d/1juPI-Fb8LD0YtltB2mlGEnp_R3UVu1t3wSFPzgCyHXE/edit?gid=0#gid=0"",""GERAL!A2:C""),3,0),""-"")"),"-")</f>
        <v>-</v>
      </c>
    </row>
    <row r="1161" ht="15.75" customHeight="1">
      <c r="A1161" s="111" t="s">
        <v>1393</v>
      </c>
      <c r="B1161" s="83" t="s">
        <v>6313</v>
      </c>
      <c r="C1161" s="83" t="s">
        <v>68</v>
      </c>
      <c r="D1161" s="112">
        <v>1156634.0</v>
      </c>
      <c r="E1161" s="83"/>
      <c r="F1161" s="83">
        <v>2.9261953E7</v>
      </c>
      <c r="G1161" s="119" t="s">
        <v>6319</v>
      </c>
      <c r="H1161" s="91" t="s">
        <v>6321</v>
      </c>
      <c r="I1161" s="83" t="s">
        <v>149</v>
      </c>
      <c r="J1161" s="83" t="s">
        <v>150</v>
      </c>
      <c r="K1161" s="83" t="s">
        <v>151</v>
      </c>
      <c r="L1161" s="136" t="s">
        <v>76</v>
      </c>
      <c r="M1161" s="82" t="str">
        <f>IFERROR(__xludf.DUMMYFUNCTION("IFERROR(VLOOKUP(D1161,
IMPORTRANGE(""https://docs.google.com/spreadsheets/d/1MjHtlUikwobi2MaWJgy7tfLeBmhj1u-dRFRs_8GwSoA/edit#gid=0"",""Gestores Escolares!D7:J""),3,0),""VERIFICAR CÓD SEC"")"),"LUCIANO ROSAGUGE")</f>
        <v>LUCIANO ROSAGUGE</v>
      </c>
      <c r="N1161" s="82" t="str">
        <f>IFERROR(__xludf.DUMMYFUNCTION("IFERROR(VLOOKUP(D1161,
IMPORTRANGE(""https://docs.google.com/spreadsheets/d/1MjHtlUikwobi2MaWJgy7tfLeBmhj1u-dRFRs_8GwSoA/edit#gid=0"",""Gestores Escolares!D7:J""),4,0),""VERIFICAR CÓD SEC"")"),"(77) 9 8832- 6755")</f>
        <v>(77) 9 8832- 6755</v>
      </c>
      <c r="O1161" s="82" t="str">
        <f>IFERROR(__xludf.DUMMYFUNCTION("IFERROR(VLOOKUP(D1161,
IMPORTRANGE(""https://docs.google.com/spreadsheets/d/1MjHtlUikwobi2MaWJgy7tfLeBmhj1u-dRFRs_8GwSoA/edit#gid=0"",""Gestores Escolares!D7:J""),6,0),""VERIFICAR CÓD SEC"")"),"ANFRISIO CARVALHO DA ROCHA")</f>
        <v>ANFRISIO CARVALHO DA ROCHA</v>
      </c>
      <c r="P1161" s="82" t="str">
        <f>IFERROR(__xludf.DUMMYFUNCTION("IFERROR(VLOOKUP(D1161,
IMPORTRANGE(""https://docs.google.com/spreadsheets/d/1MjHtlUikwobi2MaWJgy7tfLeBmhj1u-dRFRs_8GwSoA/edit#gid=0"",""Gestores Escolares!D7:J""),7,0),""VERIFICAR CÓD SEC"")"),"(77) 9 8833 -8828")</f>
        <v>(77) 9 8833 -8828</v>
      </c>
      <c r="Q1161" s="82" t="str">
        <f>IFERROR(__xludf.DUMMYFUNCTION("IFERROR(VLOOKUP(D1161,
IMPORTRANGE(""https://docs.google.com/spreadsheets/d/1MjHtlUikwobi2MaWJgy7tfLeBmhj1u-dRFRs_8GwSoA/edit#gid=0"",""Gestores Escolares!D7:m""),9,0),""VERIFICAR CÓD SEC"")"),"")</f>
        <v/>
      </c>
      <c r="R1161" s="82" t="str">
        <f>IFERROR(__xludf.DUMMYFUNCTION("IFERROR(VLOOKUP(D1161,
IMPORTRANGE(""https://docs.google.com/spreadsheets/d/1MjHtlUikwobi2MaWJgy7tfLeBmhj1u-dRFRs_8GwSoA/edit#gid=0"",""Gestores Escolares!D7:m""),10,0),""VERIFICAR CÓD SEC"")"),"")</f>
        <v/>
      </c>
      <c r="S1161" s="82"/>
      <c r="T1161" s="138">
        <v>5.0</v>
      </c>
      <c r="U1161" s="217">
        <v>5.0</v>
      </c>
      <c r="V1161" s="106">
        <v>0.0</v>
      </c>
      <c r="W1161" s="107">
        <v>0.0</v>
      </c>
      <c r="X1161" s="107">
        <v>0.0</v>
      </c>
      <c r="Y1161" s="107">
        <v>0.0</v>
      </c>
      <c r="Z1161" s="80">
        <f t="shared" si="1"/>
        <v>0</v>
      </c>
      <c r="AA1161" s="106">
        <v>0.0</v>
      </c>
      <c r="AB1161" s="107">
        <v>0.0</v>
      </c>
      <c r="AC1161" s="107">
        <v>0.0</v>
      </c>
      <c r="AD1161" s="107">
        <v>0.0</v>
      </c>
      <c r="AE1161" s="80">
        <f t="shared" si="2"/>
        <v>0</v>
      </c>
      <c r="AF1161" s="140">
        <v>77.0</v>
      </c>
      <c r="AG1161" s="109">
        <v>113.0</v>
      </c>
      <c r="AH1161" s="109">
        <v>0.0</v>
      </c>
      <c r="AI1161" s="141">
        <v>105.0</v>
      </c>
      <c r="AJ1161" s="80">
        <f t="shared" si="3"/>
        <v>295</v>
      </c>
      <c r="AK1161" s="140">
        <v>0.0</v>
      </c>
      <c r="AL1161" s="109">
        <v>0.0</v>
      </c>
      <c r="AM1161" s="141">
        <v>0.0</v>
      </c>
      <c r="AN1161" s="80">
        <f t="shared" si="4"/>
        <v>0</v>
      </c>
      <c r="AO1161" s="140">
        <v>0.0</v>
      </c>
      <c r="AP1161" s="109">
        <v>0.0</v>
      </c>
      <c r="AQ1161" s="109">
        <v>35.0</v>
      </c>
      <c r="AR1161" s="80">
        <f t="shared" si="5"/>
        <v>35</v>
      </c>
      <c r="AS1161" s="110">
        <v>0.0</v>
      </c>
      <c r="AT1161" s="110">
        <v>0.0</v>
      </c>
      <c r="AU1161" s="110">
        <v>19.0</v>
      </c>
      <c r="AV1161" s="142">
        <v>0.0</v>
      </c>
      <c r="AW1161" s="80">
        <f t="shared" si="6"/>
        <v>19</v>
      </c>
      <c r="AX1161" s="113">
        <f t="shared" si="7"/>
        <v>349</v>
      </c>
      <c r="AY1161" s="117">
        <f t="shared" si="8"/>
        <v>295</v>
      </c>
      <c r="AZ1161" s="120">
        <f t="shared" si="9"/>
        <v>54</v>
      </c>
      <c r="BA1161" s="115">
        <v>0.0</v>
      </c>
      <c r="BB1161" s="89">
        <f t="shared" si="10"/>
        <v>349</v>
      </c>
      <c r="BC1161" s="132" t="s">
        <v>178</v>
      </c>
      <c r="BD1161" s="132" t="s">
        <v>178</v>
      </c>
      <c r="BE1161" s="132" t="s">
        <v>178</v>
      </c>
      <c r="BF1161" s="156"/>
      <c r="BG1161" s="83">
        <v>1156634.0</v>
      </c>
      <c r="BH1161" s="112"/>
      <c r="BI1161" s="112">
        <v>5.0</v>
      </c>
      <c r="BJ1161" s="98" t="s">
        <v>155</v>
      </c>
      <c r="BK1161" s="99">
        <f t="shared" si="11"/>
        <v>105</v>
      </c>
      <c r="BL1161" s="99">
        <f t="shared" si="12"/>
        <v>190</v>
      </c>
      <c r="BM1161" s="99" t="str">
        <f>IFERROR(__xludf.DUMMYFUNCTION("IFERROR(VLOOKUP(BG1161,IMPORTRANGE(""https://docs.google.com/spreadsheets/d/1juPI-Fb8LD0YtltB2mlGEnp_R3UVu1t3wSFPzgCyHXE/edit?gid=0#gid=0"",""GERAL!A2:C""),3,0),""-"")"),"-")</f>
        <v>-</v>
      </c>
    </row>
    <row r="1162" ht="15.75" customHeight="1">
      <c r="A1162" s="111" t="s">
        <v>1393</v>
      </c>
      <c r="B1162" s="83" t="s">
        <v>6313</v>
      </c>
      <c r="C1162" s="83" t="s">
        <v>164</v>
      </c>
      <c r="D1162" s="112">
        <v>1179285.0</v>
      </c>
      <c r="E1162" s="83">
        <v>1178769.0</v>
      </c>
      <c r="F1162" s="98">
        <v>2.9461472E7</v>
      </c>
      <c r="G1162" s="114" t="s">
        <v>6324</v>
      </c>
      <c r="H1162" s="91" t="s">
        <v>6325</v>
      </c>
      <c r="I1162" s="83" t="s">
        <v>149</v>
      </c>
      <c r="J1162" s="83" t="s">
        <v>6326</v>
      </c>
      <c r="K1162" s="83" t="s">
        <v>168</v>
      </c>
      <c r="L1162" s="83" t="s">
        <v>169</v>
      </c>
      <c r="M1162" s="82" t="str">
        <f>IFERROR(__xludf.DUMMYFUNCTION("IFERROR(VLOOKUP(D1162,
IMPORTRANGE(""https://docs.google.com/spreadsheets/d/1MjHtlUikwobi2MaWJgy7tfLeBmhj1u-dRFRs_8GwSoA/edit#gid=0"",""Gestores Escolares!D7:J""),3,0),""VERIFICAR CÓD SEC"")"),"MONIQUE ALVES BRITO")</f>
        <v>MONIQUE ALVES BRITO</v>
      </c>
      <c r="N1162" s="82" t="str">
        <f>IFERROR(__xludf.DUMMYFUNCTION("IFERROR(VLOOKUP(D1162,
IMPORTRANGE(""https://docs.google.com/spreadsheets/d/1MjHtlUikwobi2MaWJgy7tfLeBmhj1u-dRFRs_8GwSoA/edit#gid=0"",""Gestores Escolares!D7:J""),4,0),""VERIFICAR CÓD SEC"")"),"(71) 9 8622-0492")</f>
        <v>(71) 9 8622-0492</v>
      </c>
      <c r="O1162" s="82" t="str">
        <f>IFERROR(__xludf.DUMMYFUNCTION("IFERROR(VLOOKUP(D1162,
IMPORTRANGE(""https://docs.google.com/spreadsheets/d/1MjHtlUikwobi2MaWJgy7tfLeBmhj1u-dRFRs_8GwSoA/edit#gid=0"",""Gestores Escolares!D7:J""),6,0),""VERIFICAR CÓD SEC"")"),"DANILO LARANJEIRA DE JESUS")</f>
        <v>DANILO LARANJEIRA DE JESUS</v>
      </c>
      <c r="P1162" s="82" t="str">
        <f>IFERROR(__xludf.DUMMYFUNCTION("IFERROR(VLOOKUP(D1162,
IMPORTRANGE(""https://docs.google.com/spreadsheets/d/1MjHtlUikwobi2MaWJgy7tfLeBmhj1u-dRFRs_8GwSoA/edit#gid=0"",""Gestores Escolares!D7:J""),7,0),""VERIFICAR CÓD SEC"")"),"(73) 9 8123-1590")</f>
        <v>(73) 9 8123-1590</v>
      </c>
      <c r="Q1162" s="82" t="str">
        <f>IFERROR(__xludf.DUMMYFUNCTION("IFERROR(VLOOKUP(D1162,
IMPORTRANGE(""https://docs.google.com/spreadsheets/d/1MjHtlUikwobi2MaWJgy7tfLeBmhj1u-dRFRs_8GwSoA/edit#gid=0"",""Gestores Escolares!D7:m""),9,0),""VERIFICAR CÓD SEC"")")," RICARDO COSTA DE MORAES")</f>
        <v> RICARDO COSTA DE MORAES</v>
      </c>
      <c r="R1162" s="82" t="str">
        <f>IFERROR(__xludf.DUMMYFUNCTION("IFERROR(VLOOKUP(D1162,
IMPORTRANGE(""https://docs.google.com/spreadsheets/d/1MjHtlUikwobi2MaWJgy7tfLeBmhj1u-dRFRs_8GwSoA/edit#gid=0"",""Gestores Escolares!D7:m""),10,0),""VERIFICAR CÓD SEC"")"),"(77) 9 8816-9018")</f>
        <v>(77) 9 8816-9018</v>
      </c>
      <c r="S1162" s="82"/>
      <c r="T1162" s="138">
        <v>3.0</v>
      </c>
      <c r="U1162" s="152">
        <v>3.0</v>
      </c>
      <c r="V1162" s="106">
        <v>0.0</v>
      </c>
      <c r="W1162" s="107">
        <v>0.0</v>
      </c>
      <c r="X1162" s="107">
        <v>0.0</v>
      </c>
      <c r="Y1162" s="107">
        <v>0.0</v>
      </c>
      <c r="Z1162" s="80">
        <f t="shared" si="1"/>
        <v>0</v>
      </c>
      <c r="AA1162" s="106">
        <v>0.0</v>
      </c>
      <c r="AB1162" s="107">
        <v>0.0</v>
      </c>
      <c r="AC1162" s="107">
        <v>0.0</v>
      </c>
      <c r="AD1162" s="107">
        <v>0.0</v>
      </c>
      <c r="AE1162" s="80">
        <f t="shared" si="2"/>
        <v>0</v>
      </c>
      <c r="AF1162" s="140">
        <v>0.0</v>
      </c>
      <c r="AG1162" s="109">
        <v>0.0</v>
      </c>
      <c r="AH1162" s="109">
        <v>21.0</v>
      </c>
      <c r="AI1162" s="141">
        <v>0.0</v>
      </c>
      <c r="AJ1162" s="80">
        <f t="shared" si="3"/>
        <v>21</v>
      </c>
      <c r="AK1162" s="140">
        <v>0.0</v>
      </c>
      <c r="AL1162" s="109">
        <v>0.0</v>
      </c>
      <c r="AM1162" s="141">
        <v>0.0</v>
      </c>
      <c r="AN1162" s="80">
        <f t="shared" si="4"/>
        <v>0</v>
      </c>
      <c r="AO1162" s="140">
        <v>0.0</v>
      </c>
      <c r="AP1162" s="109">
        <v>0.0</v>
      </c>
      <c r="AQ1162" s="109">
        <v>0.0</v>
      </c>
      <c r="AR1162" s="80">
        <f t="shared" si="5"/>
        <v>0</v>
      </c>
      <c r="AS1162" s="110">
        <v>0.0</v>
      </c>
      <c r="AT1162" s="110">
        <v>0.0</v>
      </c>
      <c r="AU1162" s="110">
        <v>0.0</v>
      </c>
      <c r="AV1162" s="142">
        <v>0.0</v>
      </c>
      <c r="AW1162" s="80">
        <f t="shared" si="6"/>
        <v>0</v>
      </c>
      <c r="AX1162" s="113">
        <f t="shared" si="7"/>
        <v>21</v>
      </c>
      <c r="AY1162" s="117">
        <f t="shared" si="8"/>
        <v>0</v>
      </c>
      <c r="AZ1162" s="120">
        <f t="shared" si="9"/>
        <v>21</v>
      </c>
      <c r="BA1162" s="115">
        <v>0.0</v>
      </c>
      <c r="BB1162" s="89">
        <f t="shared" si="10"/>
        <v>21</v>
      </c>
      <c r="BC1162" s="132" t="s">
        <v>373</v>
      </c>
      <c r="BD1162" s="143" t="s">
        <v>227</v>
      </c>
      <c r="BE1162" s="132" t="s">
        <v>178</v>
      </c>
      <c r="BF1162" s="123"/>
      <c r="BG1162" s="83">
        <v>1178769.0</v>
      </c>
      <c r="BH1162" s="112"/>
      <c r="BI1162" s="112">
        <v>3.0</v>
      </c>
      <c r="BJ1162" s="98" t="s">
        <v>155</v>
      </c>
      <c r="BK1162" s="99">
        <f t="shared" si="11"/>
        <v>0</v>
      </c>
      <c r="BL1162" s="99">
        <f t="shared" si="12"/>
        <v>0</v>
      </c>
      <c r="BM1162" s="99" t="str">
        <f>IFERROR(__xludf.DUMMYFUNCTION("IFERROR(VLOOKUP(BG1162,IMPORTRANGE(""https://docs.google.com/spreadsheets/d/1juPI-Fb8LD0YtltB2mlGEnp_R3UVu1t3wSFPzgCyHXE/edit?gid=0#gid=0"",""GERAL!A2:C""),3,0),""-"")"),"CAMPO")</f>
        <v>CAMPO</v>
      </c>
    </row>
    <row r="1163" ht="15.75" customHeight="1">
      <c r="A1163" s="111" t="s">
        <v>1393</v>
      </c>
      <c r="B1163" s="83" t="s">
        <v>2352</v>
      </c>
      <c r="C1163" s="83" t="s">
        <v>68</v>
      </c>
      <c r="D1163" s="112">
        <v>1124996.0</v>
      </c>
      <c r="E1163" s="83"/>
      <c r="F1163" s="83">
        <v>2.9275474E7</v>
      </c>
      <c r="G1163" s="184" t="s">
        <v>6327</v>
      </c>
      <c r="H1163" s="91" t="s">
        <v>6328</v>
      </c>
      <c r="I1163" s="172" t="s">
        <v>6329</v>
      </c>
      <c r="J1163" s="83" t="s">
        <v>150</v>
      </c>
      <c r="K1163" s="83" t="s">
        <v>151</v>
      </c>
      <c r="L1163" s="83" t="s">
        <v>152</v>
      </c>
      <c r="M1163" s="82" t="str">
        <f>IFERROR(__xludf.DUMMYFUNCTION("IFERROR(VLOOKUP(D1163,
IMPORTRANGE(""https://docs.google.com/spreadsheets/d/1MjHtlUikwobi2MaWJgy7tfLeBmhj1u-dRFRs_8GwSoA/edit#gid=0"",""Gestores Escolares!D7:J""),3,0),""VERIFICAR CÓD SEC"")"),"RITA DE CASSIA GOMES FONSECA ROCHA")</f>
        <v>RITA DE CASSIA GOMES FONSECA ROCHA</v>
      </c>
      <c r="N1163" s="82" t="str">
        <f>IFERROR(__xludf.DUMMYFUNCTION("IFERROR(VLOOKUP(D1163,
IMPORTRANGE(""https://docs.google.com/spreadsheets/d/1MjHtlUikwobi2MaWJgy7tfLeBmhj1u-dRFRs_8GwSoA/edit#gid=0"",""Gestores Escolares!D7:J""),4,0),""VERIFICAR CÓD SEC"")"),"(77) 9 9963 6848")</f>
        <v>(77) 9 9963 6848</v>
      </c>
      <c r="O1163" s="82" t="str">
        <f>IFERROR(__xludf.DUMMYFUNCTION("IFERROR(VLOOKUP(D1163,
IMPORTRANGE(""https://docs.google.com/spreadsheets/d/1MjHtlUikwobi2MaWJgy7tfLeBmhj1u-dRFRs_8GwSoA/edit#gid=0"",""Gestores Escolares!D7:J""),6,0),""VERIFICAR CÓD SEC"")"),"REBEKA NOVAIS DE ANDRADE")</f>
        <v>REBEKA NOVAIS DE ANDRADE</v>
      </c>
      <c r="P1163" s="82" t="str">
        <f>IFERROR(__xludf.DUMMYFUNCTION("IFERROR(VLOOKUP(D1163,
IMPORTRANGE(""https://docs.google.com/spreadsheets/d/1MjHtlUikwobi2MaWJgy7tfLeBmhj1u-dRFRs_8GwSoA/edit#gid=0"",""Gestores Escolares!D7:J""),7,0),""VERIFICAR CÓD SEC"")"),"(77) 9 8143-0456")</f>
        <v>(77) 9 8143-0456</v>
      </c>
      <c r="Q1163" s="82" t="str">
        <f>IFERROR(__xludf.DUMMYFUNCTION("IFERROR(VLOOKUP(D1163,
IMPORTRANGE(""https://docs.google.com/spreadsheets/d/1MjHtlUikwobi2MaWJgy7tfLeBmhj1u-dRFRs_8GwSoA/edit#gid=0"",""Gestores Escolares!D7:m""),9,0),""VERIFICAR CÓD SEC"")"),"")</f>
        <v/>
      </c>
      <c r="R1163" s="82" t="str">
        <f>IFERROR(__xludf.DUMMYFUNCTION("IFERROR(VLOOKUP(D1163,
IMPORTRANGE(""https://docs.google.com/spreadsheets/d/1MjHtlUikwobi2MaWJgy7tfLeBmhj1u-dRFRs_8GwSoA/edit#gid=0"",""Gestores Escolares!D7:m""),10,0),""VERIFICAR CÓD SEC"")"),"")</f>
        <v/>
      </c>
      <c r="S1163" s="82"/>
      <c r="T1163" s="138">
        <v>11.0</v>
      </c>
      <c r="U1163" s="145">
        <v>18.0</v>
      </c>
      <c r="V1163" s="106">
        <v>0.0</v>
      </c>
      <c r="W1163" s="107">
        <v>0.0</v>
      </c>
      <c r="X1163" s="107">
        <v>0.0</v>
      </c>
      <c r="Y1163" s="107">
        <v>0.0</v>
      </c>
      <c r="Z1163" s="80">
        <f t="shared" si="1"/>
        <v>0</v>
      </c>
      <c r="AA1163" s="106">
        <v>0.0</v>
      </c>
      <c r="AB1163" s="107">
        <v>0.0</v>
      </c>
      <c r="AC1163" s="107">
        <v>0.0</v>
      </c>
      <c r="AD1163" s="107">
        <v>0.0</v>
      </c>
      <c r="AE1163" s="80">
        <f t="shared" si="2"/>
        <v>0</v>
      </c>
      <c r="AF1163" s="140">
        <v>152.0</v>
      </c>
      <c r="AG1163" s="140">
        <v>258.0</v>
      </c>
      <c r="AH1163" s="140">
        <v>0.0</v>
      </c>
      <c r="AI1163" s="624">
        <v>255.0</v>
      </c>
      <c r="AJ1163" s="80">
        <f t="shared" si="3"/>
        <v>665</v>
      </c>
      <c r="AK1163" s="140">
        <v>0.0</v>
      </c>
      <c r="AL1163" s="109">
        <v>0.0</v>
      </c>
      <c r="AM1163" s="141">
        <v>0.0</v>
      </c>
      <c r="AN1163" s="80">
        <f t="shared" si="4"/>
        <v>0</v>
      </c>
      <c r="AO1163" s="140">
        <v>0.0</v>
      </c>
      <c r="AP1163" s="140">
        <v>0.0</v>
      </c>
      <c r="AQ1163" s="624">
        <v>23.0</v>
      </c>
      <c r="AR1163" s="80">
        <f t="shared" si="5"/>
        <v>23</v>
      </c>
      <c r="AS1163" s="110">
        <v>0.0</v>
      </c>
      <c r="AT1163" s="110">
        <v>0.0</v>
      </c>
      <c r="AU1163" s="110">
        <v>0.0</v>
      </c>
      <c r="AV1163" s="142">
        <v>70.0</v>
      </c>
      <c r="AW1163" s="80">
        <f t="shared" si="6"/>
        <v>70</v>
      </c>
      <c r="AX1163" s="113">
        <f t="shared" si="7"/>
        <v>758</v>
      </c>
      <c r="AY1163" s="117">
        <f t="shared" si="8"/>
        <v>735</v>
      </c>
      <c r="AZ1163" s="120">
        <f t="shared" si="9"/>
        <v>23</v>
      </c>
      <c r="BA1163" s="115">
        <v>0.0</v>
      </c>
      <c r="BB1163" s="89">
        <f t="shared" si="10"/>
        <v>758</v>
      </c>
      <c r="BC1163" s="132" t="s">
        <v>178</v>
      </c>
      <c r="BD1163" s="132" t="s">
        <v>178</v>
      </c>
      <c r="BE1163" s="132" t="s">
        <v>178</v>
      </c>
      <c r="BF1163" s="123"/>
      <c r="BG1163" s="83">
        <v>1124996.0</v>
      </c>
      <c r="BH1163" s="112"/>
      <c r="BI1163" s="112">
        <v>9.0</v>
      </c>
      <c r="BJ1163" s="98" t="s">
        <v>155</v>
      </c>
      <c r="BK1163" s="99">
        <f t="shared" si="11"/>
        <v>325</v>
      </c>
      <c r="BL1163" s="99">
        <f t="shared" si="12"/>
        <v>410</v>
      </c>
      <c r="BM1163" s="99" t="str">
        <f>IFERROR(__xludf.DUMMYFUNCTION("IFERROR(VLOOKUP(BG1163,IMPORTRANGE(""https://docs.google.com/spreadsheets/d/1juPI-Fb8LD0YtltB2mlGEnp_R3UVu1t3wSFPzgCyHXE/edit?gid=0#gid=0"",""GERAL!A2:C""),3,0),""-"")"),"-")</f>
        <v>-</v>
      </c>
    </row>
    <row r="1164" ht="15.75" customHeight="1">
      <c r="A1164" s="111" t="s">
        <v>1393</v>
      </c>
      <c r="B1164" s="83" t="s">
        <v>2352</v>
      </c>
      <c r="C1164" s="83" t="s">
        <v>164</v>
      </c>
      <c r="D1164" s="112">
        <v>1124996.0</v>
      </c>
      <c r="E1164" s="83">
        <v>1179450.0</v>
      </c>
      <c r="F1164" s="98">
        <v>2.9490898E7</v>
      </c>
      <c r="G1164" s="184" t="s">
        <v>6333</v>
      </c>
      <c r="H1164" s="91" t="s">
        <v>6334</v>
      </c>
      <c r="I1164" s="172" t="s">
        <v>6335</v>
      </c>
      <c r="J1164" s="83" t="s">
        <v>6336</v>
      </c>
      <c r="K1164" s="83" t="s">
        <v>168</v>
      </c>
      <c r="L1164" s="83" t="s">
        <v>169</v>
      </c>
      <c r="M1164" s="82" t="str">
        <f>IFERROR(__xludf.DUMMYFUNCTION("IFERROR(VLOOKUP(D1164,
IMPORTRANGE(""https://docs.google.com/spreadsheets/d/1MjHtlUikwobi2MaWJgy7tfLeBmhj1u-dRFRs_8GwSoA/edit#gid=0"",""Gestores Escolares!D7:J""),3,0),""VERIFICAR CÓD SEC"")"),"RITA DE CASSIA GOMES FONSECA ROCHA")</f>
        <v>RITA DE CASSIA GOMES FONSECA ROCHA</v>
      </c>
      <c r="N1164" s="82" t="str">
        <f>IFERROR(__xludf.DUMMYFUNCTION("IFERROR(VLOOKUP(D1164,
IMPORTRANGE(""https://docs.google.com/spreadsheets/d/1MjHtlUikwobi2MaWJgy7tfLeBmhj1u-dRFRs_8GwSoA/edit#gid=0"",""Gestores Escolares!D7:J""),4,0),""VERIFICAR CÓD SEC"")"),"(77) 9 9963 6848")</f>
        <v>(77) 9 9963 6848</v>
      </c>
      <c r="O1164" s="82" t="str">
        <f>IFERROR(__xludf.DUMMYFUNCTION("IFERROR(VLOOKUP(D1164,
IMPORTRANGE(""https://docs.google.com/spreadsheets/d/1MjHtlUikwobi2MaWJgy7tfLeBmhj1u-dRFRs_8GwSoA/edit#gid=0"",""Gestores Escolares!D7:J""),6,0),""VERIFICAR CÓD SEC"")"),"REBEKA NOVAIS DE ANDRADE")</f>
        <v>REBEKA NOVAIS DE ANDRADE</v>
      </c>
      <c r="P1164" s="82" t="str">
        <f>IFERROR(__xludf.DUMMYFUNCTION("IFERROR(VLOOKUP(D1164,
IMPORTRANGE(""https://docs.google.com/spreadsheets/d/1MjHtlUikwobi2MaWJgy7tfLeBmhj1u-dRFRs_8GwSoA/edit#gid=0"",""Gestores Escolares!D7:J""),7,0),""VERIFICAR CÓD SEC"")"),"(77) 9 8143-0456")</f>
        <v>(77) 9 8143-0456</v>
      </c>
      <c r="Q1164" s="82" t="str">
        <f>IFERROR(__xludf.DUMMYFUNCTION("IFERROR(VLOOKUP(D1164,
IMPORTRANGE(""https://docs.google.com/spreadsheets/d/1MjHtlUikwobi2MaWJgy7tfLeBmhj1u-dRFRs_8GwSoA/edit#gid=0"",""Gestores Escolares!D7:m""),9,0),""VERIFICAR CÓD SEC"")"),"")</f>
        <v/>
      </c>
      <c r="R1164" s="82" t="str">
        <f>IFERROR(__xludf.DUMMYFUNCTION("IFERROR(VLOOKUP(D1164,
IMPORTRANGE(""https://docs.google.com/spreadsheets/d/1MjHtlUikwobi2MaWJgy7tfLeBmhj1u-dRFRs_8GwSoA/edit#gid=0"",""Gestores Escolares!D7:m""),10,0),""VERIFICAR CÓD SEC"")"),"")</f>
        <v/>
      </c>
      <c r="S1164" s="82"/>
      <c r="T1164" s="138">
        <v>3.0</v>
      </c>
      <c r="U1164" s="139">
        <v>3.0</v>
      </c>
      <c r="V1164" s="106">
        <v>0.0</v>
      </c>
      <c r="W1164" s="107">
        <v>0.0</v>
      </c>
      <c r="X1164" s="107">
        <v>0.0</v>
      </c>
      <c r="Y1164" s="107">
        <v>0.0</v>
      </c>
      <c r="Z1164" s="80">
        <f t="shared" si="1"/>
        <v>0</v>
      </c>
      <c r="AA1164" s="106">
        <v>0.0</v>
      </c>
      <c r="AB1164" s="107">
        <v>0.0</v>
      </c>
      <c r="AC1164" s="107">
        <v>0.0</v>
      </c>
      <c r="AD1164" s="107">
        <v>0.0</v>
      </c>
      <c r="AE1164" s="80">
        <f t="shared" si="2"/>
        <v>0</v>
      </c>
      <c r="AF1164" s="140">
        <v>0.0</v>
      </c>
      <c r="AG1164" s="109">
        <v>65.0</v>
      </c>
      <c r="AH1164" s="109">
        <v>0.0</v>
      </c>
      <c r="AI1164" s="141">
        <v>0.0</v>
      </c>
      <c r="AJ1164" s="80">
        <f t="shared" si="3"/>
        <v>65</v>
      </c>
      <c r="AK1164" s="140">
        <v>0.0</v>
      </c>
      <c r="AL1164" s="109">
        <v>0.0</v>
      </c>
      <c r="AM1164" s="141">
        <v>0.0</v>
      </c>
      <c r="AN1164" s="80">
        <f t="shared" si="4"/>
        <v>0</v>
      </c>
      <c r="AO1164" s="140">
        <v>0.0</v>
      </c>
      <c r="AP1164" s="109">
        <v>0.0</v>
      </c>
      <c r="AQ1164" s="109">
        <v>9.0</v>
      </c>
      <c r="AR1164" s="80">
        <f t="shared" si="5"/>
        <v>9</v>
      </c>
      <c r="AS1164" s="110">
        <v>0.0</v>
      </c>
      <c r="AT1164" s="110">
        <v>0.0</v>
      </c>
      <c r="AU1164" s="110">
        <v>0.0</v>
      </c>
      <c r="AV1164" s="142">
        <v>0.0</v>
      </c>
      <c r="AW1164" s="80">
        <f t="shared" si="6"/>
        <v>0</v>
      </c>
      <c r="AX1164" s="113">
        <f t="shared" si="7"/>
        <v>74</v>
      </c>
      <c r="AY1164" s="117">
        <f t="shared" si="8"/>
        <v>65</v>
      </c>
      <c r="AZ1164" s="120">
        <f t="shared" si="9"/>
        <v>9</v>
      </c>
      <c r="BA1164" s="115">
        <v>0.0</v>
      </c>
      <c r="BB1164" s="89">
        <f t="shared" si="10"/>
        <v>74</v>
      </c>
      <c r="BC1164" s="132" t="s">
        <v>373</v>
      </c>
      <c r="BD1164" s="132" t="s">
        <v>178</v>
      </c>
      <c r="BE1164" s="132" t="s">
        <v>178</v>
      </c>
      <c r="BF1164" s="156"/>
      <c r="BG1164" s="83">
        <v>1179450.0</v>
      </c>
      <c r="BH1164" s="112"/>
      <c r="BI1164" s="112">
        <v>3.0</v>
      </c>
      <c r="BJ1164" s="98" t="s">
        <v>155</v>
      </c>
      <c r="BK1164" s="99">
        <f t="shared" si="11"/>
        <v>0</v>
      </c>
      <c r="BL1164" s="99">
        <f t="shared" si="12"/>
        <v>65</v>
      </c>
      <c r="BM1164" s="99" t="str">
        <f>IFERROR(__xludf.DUMMYFUNCTION("IFERROR(VLOOKUP(BG1164,IMPORTRANGE(""https://docs.google.com/spreadsheets/d/1juPI-Fb8LD0YtltB2mlGEnp_R3UVu1t3wSFPzgCyHXE/edit?gid=0#gid=0"",""GERAL!A2:C""),3,0),""-"")"),"CAMPO")</f>
        <v>CAMPO</v>
      </c>
    </row>
    <row r="1165" ht="15.75" customHeight="1">
      <c r="A1165" s="111" t="s">
        <v>1393</v>
      </c>
      <c r="B1165" s="83" t="s">
        <v>2245</v>
      </c>
      <c r="C1165" s="83" t="s">
        <v>68</v>
      </c>
      <c r="D1165" s="112">
        <v>1125186.0</v>
      </c>
      <c r="E1165" s="83"/>
      <c r="F1165" s="83">
        <v>2.9276411E7</v>
      </c>
      <c r="G1165" s="625" t="s">
        <v>6337</v>
      </c>
      <c r="H1165" s="91" t="s">
        <v>6338</v>
      </c>
      <c r="I1165" s="136" t="s">
        <v>6339</v>
      </c>
      <c r="J1165" s="136" t="s">
        <v>150</v>
      </c>
      <c r="K1165" s="83" t="s">
        <v>151</v>
      </c>
      <c r="L1165" s="83" t="s">
        <v>230</v>
      </c>
      <c r="M1165" s="82" t="str">
        <f>IFERROR(__xludf.DUMMYFUNCTION("IFERROR(VLOOKUP(D1165,
IMPORTRANGE(""https://docs.google.com/spreadsheets/d/1MjHtlUikwobi2MaWJgy7tfLeBmhj1u-dRFRs_8GwSoA/edit#gid=0"",""Gestores Escolares!D7:J""),3,0),""VERIFICAR CÓD SEC"")"),"RODRIGO SCHETTINI LONGO CALDAS")</f>
        <v>RODRIGO SCHETTINI LONGO CALDAS</v>
      </c>
      <c r="N1165" s="82" t="str">
        <f>IFERROR(__xludf.DUMMYFUNCTION("IFERROR(VLOOKUP(D1165,
IMPORTRANGE(""https://docs.google.com/spreadsheets/d/1MjHtlUikwobi2MaWJgy7tfLeBmhj1u-dRFRs_8GwSoA/edit#gid=0"",""Gestores Escolares!D7:J""),4,0),""VERIFICAR CÓD SEC"")"),"(77) 9 9977-9274")</f>
        <v>(77) 9 9977-9274</v>
      </c>
      <c r="O1165" s="82" t="str">
        <f>IFERROR(__xludf.DUMMYFUNCTION("IFERROR(VLOOKUP(D1165,
IMPORTRANGE(""https://docs.google.com/spreadsheets/d/1MjHtlUikwobi2MaWJgy7tfLeBmhj1u-dRFRs_8GwSoA/edit#gid=0"",""Gestores Escolares!D7:J""),6,0),""VERIFICAR CÓD SEC"")"),"SANDRA TEIXEIRA SANTOS MARTINS")</f>
        <v>SANDRA TEIXEIRA SANTOS MARTINS</v>
      </c>
      <c r="P1165" s="82" t="str">
        <f>IFERROR(__xludf.DUMMYFUNCTION("IFERROR(VLOOKUP(D1165,
IMPORTRANGE(""https://docs.google.com/spreadsheets/d/1MjHtlUikwobi2MaWJgy7tfLeBmhj1u-dRFRs_8GwSoA/edit#gid=0"",""Gestores Escolares!D7:J""),7,0),""VERIFICAR CÓD SEC"")"),"(77) 9 8818-3237")</f>
        <v>(77) 9 8818-3237</v>
      </c>
      <c r="Q1165" s="82" t="str">
        <f>IFERROR(__xludf.DUMMYFUNCTION("IFERROR(VLOOKUP(D1165,
IMPORTRANGE(""https://docs.google.com/spreadsheets/d/1MjHtlUikwobi2MaWJgy7tfLeBmhj1u-dRFRs_8GwSoA/edit#gid=0"",""Gestores Escolares!D7:m""),9,0),""VERIFICAR CÓD SEC"")"),"JEREMIAS JOSE DOS SANTOS")</f>
        <v>JEREMIAS JOSE DOS SANTOS</v>
      </c>
      <c r="R1165" s="82" t="str">
        <f>IFERROR(__xludf.DUMMYFUNCTION("IFERROR(VLOOKUP(D1165,
IMPORTRANGE(""https://docs.google.com/spreadsheets/d/1MjHtlUikwobi2MaWJgy7tfLeBmhj1u-dRFRs_8GwSoA/edit#gid=0"",""Gestores Escolares!D7:m""),10,0),""VERIFICAR CÓD SEC"")"),"(77) 9 8127-5590")</f>
        <v>(77) 9 8127-5590</v>
      </c>
      <c r="S1165" s="82"/>
      <c r="T1165" s="138">
        <v>13.0</v>
      </c>
      <c r="U1165" s="145">
        <v>24.0</v>
      </c>
      <c r="V1165" s="106">
        <v>0.0</v>
      </c>
      <c r="W1165" s="107">
        <v>0.0</v>
      </c>
      <c r="X1165" s="107">
        <v>0.0</v>
      </c>
      <c r="Y1165" s="107">
        <v>0.0</v>
      </c>
      <c r="Z1165" s="80">
        <f t="shared" si="1"/>
        <v>0</v>
      </c>
      <c r="AA1165" s="106">
        <v>0.0</v>
      </c>
      <c r="AB1165" s="107">
        <v>0.0</v>
      </c>
      <c r="AC1165" s="107">
        <v>0.0</v>
      </c>
      <c r="AD1165" s="107">
        <v>0.0</v>
      </c>
      <c r="AE1165" s="80">
        <f t="shared" si="2"/>
        <v>0</v>
      </c>
      <c r="AF1165" s="140">
        <v>143.0</v>
      </c>
      <c r="AG1165" s="109">
        <v>172.0</v>
      </c>
      <c r="AH1165" s="109">
        <v>0.0</v>
      </c>
      <c r="AI1165" s="141">
        <v>694.0</v>
      </c>
      <c r="AJ1165" s="80">
        <f t="shared" si="3"/>
        <v>1009</v>
      </c>
      <c r="AK1165" s="140">
        <v>0.0</v>
      </c>
      <c r="AL1165" s="109">
        <v>0.0</v>
      </c>
      <c r="AM1165" s="141">
        <v>0.0</v>
      </c>
      <c r="AN1165" s="80">
        <f t="shared" si="4"/>
        <v>0</v>
      </c>
      <c r="AO1165" s="140">
        <v>0.0</v>
      </c>
      <c r="AP1165" s="109">
        <v>0.0</v>
      </c>
      <c r="AQ1165" s="109">
        <v>270.0</v>
      </c>
      <c r="AR1165" s="80">
        <f t="shared" si="5"/>
        <v>270</v>
      </c>
      <c r="AS1165" s="110">
        <v>0.0</v>
      </c>
      <c r="AT1165" s="110">
        <v>0.0</v>
      </c>
      <c r="AU1165" s="110">
        <v>0.0</v>
      </c>
      <c r="AV1165" s="142">
        <v>67.0</v>
      </c>
      <c r="AW1165" s="80">
        <f t="shared" si="6"/>
        <v>67</v>
      </c>
      <c r="AX1165" s="113">
        <f t="shared" si="7"/>
        <v>1346</v>
      </c>
      <c r="AY1165" s="117">
        <f t="shared" si="8"/>
        <v>1076</v>
      </c>
      <c r="AZ1165" s="120">
        <f t="shared" si="9"/>
        <v>270</v>
      </c>
      <c r="BA1165" s="115">
        <v>0.0</v>
      </c>
      <c r="BB1165" s="89">
        <f t="shared" si="10"/>
        <v>1346</v>
      </c>
      <c r="BC1165" s="132" t="s">
        <v>178</v>
      </c>
      <c r="BD1165" s="132" t="s">
        <v>178</v>
      </c>
      <c r="BE1165" s="132" t="s">
        <v>178</v>
      </c>
      <c r="BF1165" s="123"/>
      <c r="BG1165" s="83">
        <v>1125186.0</v>
      </c>
      <c r="BH1165" s="112"/>
      <c r="BI1165" s="112">
        <v>13.0</v>
      </c>
      <c r="BJ1165" s="98" t="s">
        <v>162</v>
      </c>
      <c r="BK1165" s="99">
        <f t="shared" si="11"/>
        <v>761</v>
      </c>
      <c r="BL1165" s="99">
        <f t="shared" si="12"/>
        <v>315</v>
      </c>
      <c r="BM1165" s="99" t="str">
        <f>IFERROR(__xludf.DUMMYFUNCTION("IFERROR(VLOOKUP(BG1165,IMPORTRANGE(""https://docs.google.com/spreadsheets/d/1juPI-Fb8LD0YtltB2mlGEnp_R3UVu1t3wSFPzgCyHXE/edit?gid=0#gid=0"",""GERAL!A2:C""),3,0),""-"")"),"-")</f>
        <v>-</v>
      </c>
    </row>
    <row r="1166" ht="15.75" customHeight="1">
      <c r="A1166" s="111" t="s">
        <v>1393</v>
      </c>
      <c r="B1166" s="83" t="s">
        <v>2245</v>
      </c>
      <c r="C1166" s="83" t="s">
        <v>68</v>
      </c>
      <c r="D1166" s="112">
        <v>1125062.0</v>
      </c>
      <c r="E1166" s="83"/>
      <c r="F1166" s="83">
        <v>2.927723E7</v>
      </c>
      <c r="G1166" s="487" t="s">
        <v>6341</v>
      </c>
      <c r="H1166" s="91" t="s">
        <v>6342</v>
      </c>
      <c r="I1166" s="136" t="s">
        <v>4065</v>
      </c>
      <c r="J1166" s="136" t="s">
        <v>150</v>
      </c>
      <c r="K1166" s="83" t="s">
        <v>151</v>
      </c>
      <c r="L1166" s="83" t="s">
        <v>152</v>
      </c>
      <c r="M1166" s="82" t="str">
        <f>IFERROR(__xludf.DUMMYFUNCTION("IFERROR(VLOOKUP(D1166,
IMPORTRANGE(""https://docs.google.com/spreadsheets/d/1MjHtlUikwobi2MaWJgy7tfLeBmhj1u-dRFRs_8GwSoA/edit#gid=0"",""Gestores Escolares!D7:J""),3,0),""VERIFICAR CÓD SEC"")"),"TÂNIA CRISTINA ALMEIDA NOLASCO")</f>
        <v>TÂNIA CRISTINA ALMEIDA NOLASCO</v>
      </c>
      <c r="N1166" s="82" t="str">
        <f>IFERROR(__xludf.DUMMYFUNCTION("IFERROR(VLOOKUP(D1166,
IMPORTRANGE(""https://docs.google.com/spreadsheets/d/1MjHtlUikwobi2MaWJgy7tfLeBmhj1u-dRFRs_8GwSoA/edit#gid=0"",""Gestores Escolares!D7:J""),4,0),""VERIFICAR CÓD SEC"")"),"(77) 9 8122-6225")</f>
        <v>(77) 9 8122-6225</v>
      </c>
      <c r="O1166" s="82" t="str">
        <f>IFERROR(__xludf.DUMMYFUNCTION("IFERROR(VLOOKUP(D1166,
IMPORTRANGE(""https://docs.google.com/spreadsheets/d/1MjHtlUikwobi2MaWJgy7tfLeBmhj1u-dRFRs_8GwSoA/edit#gid=0"",""Gestores Escolares!D7:J""),6,0),""VERIFICAR CÓD SEC"")"),"JOSÉ DA COSTA PALMEIRA")</f>
        <v>JOSÉ DA COSTA PALMEIRA</v>
      </c>
      <c r="P1166" s="82" t="str">
        <f>IFERROR(__xludf.DUMMYFUNCTION("IFERROR(VLOOKUP(D1166,
IMPORTRANGE(""https://docs.google.com/spreadsheets/d/1MjHtlUikwobi2MaWJgy7tfLeBmhj1u-dRFRs_8GwSoA/edit#gid=0"",""Gestores Escolares!D7:J""),7,0),""VERIFICAR CÓD SEC"")"),"(77) 9 8823-8780")</f>
        <v>(77) 9 8823-8780</v>
      </c>
      <c r="Q1166" s="82" t="str">
        <f>IFERROR(__xludf.DUMMYFUNCTION("IFERROR(VLOOKUP(D1166,
IMPORTRANGE(""https://docs.google.com/spreadsheets/d/1MjHtlUikwobi2MaWJgy7tfLeBmhj1u-dRFRs_8GwSoA/edit#gid=0"",""Gestores Escolares!D7:m""),9,0),""VERIFICAR CÓD SEC"")"),"RODRIGO DE SANTANA SARAIVA")</f>
        <v>RODRIGO DE SANTANA SARAIVA</v>
      </c>
      <c r="R1166" s="82" t="str">
        <f>IFERROR(__xludf.DUMMYFUNCTION("IFERROR(VLOOKUP(D1166,
IMPORTRANGE(""https://docs.google.com/spreadsheets/d/1MjHtlUikwobi2MaWJgy7tfLeBmhj1u-dRFRs_8GwSoA/edit#gid=0"",""Gestores Escolares!D7:m""),10,0),""VERIFICAR CÓD SEC"")"),"(71) 9 9221-8711")</f>
        <v>(71) 9 9221-8711</v>
      </c>
      <c r="S1166" s="82"/>
      <c r="T1166" s="138">
        <v>7.0</v>
      </c>
      <c r="U1166" s="217">
        <v>7.0</v>
      </c>
      <c r="V1166" s="106">
        <v>0.0</v>
      </c>
      <c r="W1166" s="107">
        <v>0.0</v>
      </c>
      <c r="X1166" s="107">
        <v>0.0</v>
      </c>
      <c r="Y1166" s="107">
        <v>0.0</v>
      </c>
      <c r="Z1166" s="80">
        <f t="shared" si="1"/>
        <v>0</v>
      </c>
      <c r="AA1166" s="106">
        <v>0.0</v>
      </c>
      <c r="AB1166" s="107">
        <v>0.0</v>
      </c>
      <c r="AC1166" s="107">
        <v>0.0</v>
      </c>
      <c r="AD1166" s="107">
        <v>0.0</v>
      </c>
      <c r="AE1166" s="80">
        <f t="shared" si="2"/>
        <v>0</v>
      </c>
      <c r="AF1166" s="140">
        <v>0.0</v>
      </c>
      <c r="AG1166" s="109">
        <v>0.0</v>
      </c>
      <c r="AH1166" s="109">
        <v>0.0</v>
      </c>
      <c r="AI1166" s="141">
        <v>259.0</v>
      </c>
      <c r="AJ1166" s="80">
        <f t="shared" si="3"/>
        <v>259</v>
      </c>
      <c r="AK1166" s="140">
        <v>0.0</v>
      </c>
      <c r="AL1166" s="109">
        <v>0.0</v>
      </c>
      <c r="AM1166" s="141">
        <v>0.0</v>
      </c>
      <c r="AN1166" s="80">
        <f t="shared" si="4"/>
        <v>0</v>
      </c>
      <c r="AO1166" s="140">
        <v>0.0</v>
      </c>
      <c r="AP1166" s="109">
        <v>0.0</v>
      </c>
      <c r="AQ1166" s="109">
        <v>190.0</v>
      </c>
      <c r="AR1166" s="80">
        <f t="shared" si="5"/>
        <v>190</v>
      </c>
      <c r="AS1166" s="110">
        <v>0.0</v>
      </c>
      <c r="AT1166" s="110">
        <v>0.0</v>
      </c>
      <c r="AU1166" s="110">
        <v>0.0</v>
      </c>
      <c r="AV1166" s="142">
        <v>0.0</v>
      </c>
      <c r="AW1166" s="80">
        <f t="shared" si="6"/>
        <v>0</v>
      </c>
      <c r="AX1166" s="113">
        <f t="shared" si="7"/>
        <v>449</v>
      </c>
      <c r="AY1166" s="117">
        <f t="shared" si="8"/>
        <v>259</v>
      </c>
      <c r="AZ1166" s="120">
        <f t="shared" si="9"/>
        <v>190</v>
      </c>
      <c r="BA1166" s="115">
        <v>0.0</v>
      </c>
      <c r="BB1166" s="89">
        <f t="shared" si="10"/>
        <v>449</v>
      </c>
      <c r="BC1166" s="132" t="s">
        <v>178</v>
      </c>
      <c r="BD1166" s="132" t="s">
        <v>178</v>
      </c>
      <c r="BE1166" s="132" t="s">
        <v>178</v>
      </c>
      <c r="BF1166" s="123"/>
      <c r="BG1166" s="83">
        <v>1125062.0</v>
      </c>
      <c r="BH1166" s="112"/>
      <c r="BI1166" s="112">
        <v>7.0</v>
      </c>
      <c r="BJ1166" s="98" t="s">
        <v>155</v>
      </c>
      <c r="BK1166" s="99">
        <f t="shared" si="11"/>
        <v>259</v>
      </c>
      <c r="BL1166" s="99">
        <f t="shared" si="12"/>
        <v>0</v>
      </c>
      <c r="BM1166" s="99" t="str">
        <f>IFERROR(__xludf.DUMMYFUNCTION("IFERROR(VLOOKUP(BG1166,IMPORTRANGE(""https://docs.google.com/spreadsheets/d/1juPI-Fb8LD0YtltB2mlGEnp_R3UVu1t3wSFPzgCyHXE/edit?gid=0#gid=0"",""GERAL!A2:C""),3,0),""-"")"),"-")</f>
        <v>-</v>
      </c>
    </row>
    <row r="1167" ht="15.75" customHeight="1">
      <c r="A1167" s="111" t="s">
        <v>1393</v>
      </c>
      <c r="B1167" s="83" t="s">
        <v>2245</v>
      </c>
      <c r="C1167" s="83" t="s">
        <v>164</v>
      </c>
      <c r="D1167" s="112">
        <v>1179285.0</v>
      </c>
      <c r="E1167" s="83">
        <v>1179428.0</v>
      </c>
      <c r="F1167" s="98">
        <v>2.9461472E7</v>
      </c>
      <c r="G1167" s="185" t="s">
        <v>6344</v>
      </c>
      <c r="H1167" s="91" t="s">
        <v>6345</v>
      </c>
      <c r="I1167" s="83" t="s">
        <v>149</v>
      </c>
      <c r="J1167" s="83" t="s">
        <v>6346</v>
      </c>
      <c r="K1167" s="83" t="s">
        <v>168</v>
      </c>
      <c r="L1167" s="83" t="s">
        <v>169</v>
      </c>
      <c r="M1167" s="82" t="str">
        <f>IFERROR(__xludf.DUMMYFUNCTION("IFERROR(VLOOKUP(D1167,
IMPORTRANGE(""https://docs.google.com/spreadsheets/d/1MjHtlUikwobi2MaWJgy7tfLeBmhj1u-dRFRs_8GwSoA/edit#gid=0"",""Gestores Escolares!D7:J""),3,0),""VERIFICAR CÓD SEC"")"),"MONIQUE ALVES BRITO")</f>
        <v>MONIQUE ALVES BRITO</v>
      </c>
      <c r="N1167" s="82" t="str">
        <f>IFERROR(__xludf.DUMMYFUNCTION("IFERROR(VLOOKUP(D1167,
IMPORTRANGE(""https://docs.google.com/spreadsheets/d/1MjHtlUikwobi2MaWJgy7tfLeBmhj1u-dRFRs_8GwSoA/edit#gid=0"",""Gestores Escolares!D7:J""),4,0),""VERIFICAR CÓD SEC"")"),"(71) 9 8622-0492")</f>
        <v>(71) 9 8622-0492</v>
      </c>
      <c r="O1167" s="82" t="str">
        <f>IFERROR(__xludf.DUMMYFUNCTION("IFERROR(VLOOKUP(D1167,
IMPORTRANGE(""https://docs.google.com/spreadsheets/d/1MjHtlUikwobi2MaWJgy7tfLeBmhj1u-dRFRs_8GwSoA/edit#gid=0"",""Gestores Escolares!D7:J""),6,0),""VERIFICAR CÓD SEC"")"),"DANILO LARANJEIRA DE JESUS")</f>
        <v>DANILO LARANJEIRA DE JESUS</v>
      </c>
      <c r="P1167" s="82" t="str">
        <f>IFERROR(__xludf.DUMMYFUNCTION("IFERROR(VLOOKUP(D1167,
IMPORTRANGE(""https://docs.google.com/spreadsheets/d/1MjHtlUikwobi2MaWJgy7tfLeBmhj1u-dRFRs_8GwSoA/edit#gid=0"",""Gestores Escolares!D7:J""),7,0),""VERIFICAR CÓD SEC"")"),"(73) 9 8123-1590")</f>
        <v>(73) 9 8123-1590</v>
      </c>
      <c r="Q1167" s="82" t="str">
        <f>IFERROR(__xludf.DUMMYFUNCTION("IFERROR(VLOOKUP(D1167,
IMPORTRANGE(""https://docs.google.com/spreadsheets/d/1MjHtlUikwobi2MaWJgy7tfLeBmhj1u-dRFRs_8GwSoA/edit#gid=0"",""Gestores Escolares!D7:m""),9,0),""VERIFICAR CÓD SEC"")")," RICARDO COSTA DE MORAES")</f>
        <v> RICARDO COSTA DE MORAES</v>
      </c>
      <c r="R1167" s="82" t="str">
        <f>IFERROR(__xludf.DUMMYFUNCTION("IFERROR(VLOOKUP(D1167,
IMPORTRANGE(""https://docs.google.com/spreadsheets/d/1MjHtlUikwobi2MaWJgy7tfLeBmhj1u-dRFRs_8GwSoA/edit#gid=0"",""Gestores Escolares!D7:m""),10,0),""VERIFICAR CÓD SEC"")"),"(77) 9 8816-9018")</f>
        <v>(77) 9 8816-9018</v>
      </c>
      <c r="S1167" s="82"/>
      <c r="T1167" s="138">
        <v>3.0</v>
      </c>
      <c r="U1167" s="152">
        <v>3.0</v>
      </c>
      <c r="V1167" s="106">
        <v>0.0</v>
      </c>
      <c r="W1167" s="107">
        <v>0.0</v>
      </c>
      <c r="X1167" s="107">
        <v>0.0</v>
      </c>
      <c r="Y1167" s="107">
        <v>0.0</v>
      </c>
      <c r="Z1167" s="80">
        <f t="shared" si="1"/>
        <v>0</v>
      </c>
      <c r="AA1167" s="106">
        <v>0.0</v>
      </c>
      <c r="AB1167" s="107">
        <v>0.0</v>
      </c>
      <c r="AC1167" s="107">
        <v>0.0</v>
      </c>
      <c r="AD1167" s="107">
        <v>0.0</v>
      </c>
      <c r="AE1167" s="80">
        <f t="shared" si="2"/>
        <v>0</v>
      </c>
      <c r="AF1167" s="140">
        <v>0.0</v>
      </c>
      <c r="AG1167" s="109">
        <v>0.0</v>
      </c>
      <c r="AH1167" s="109">
        <v>16.0</v>
      </c>
      <c r="AI1167" s="141">
        <v>0.0</v>
      </c>
      <c r="AJ1167" s="80">
        <f t="shared" si="3"/>
        <v>16</v>
      </c>
      <c r="AK1167" s="140">
        <v>0.0</v>
      </c>
      <c r="AL1167" s="109">
        <v>0.0</v>
      </c>
      <c r="AM1167" s="141">
        <v>0.0</v>
      </c>
      <c r="AN1167" s="80">
        <f t="shared" si="4"/>
        <v>0</v>
      </c>
      <c r="AO1167" s="140">
        <v>0.0</v>
      </c>
      <c r="AP1167" s="109">
        <v>0.0</v>
      </c>
      <c r="AQ1167" s="109">
        <v>0.0</v>
      </c>
      <c r="AR1167" s="80">
        <f t="shared" si="5"/>
        <v>0</v>
      </c>
      <c r="AS1167" s="110">
        <v>0.0</v>
      </c>
      <c r="AT1167" s="110">
        <v>0.0</v>
      </c>
      <c r="AU1167" s="110">
        <v>0.0</v>
      </c>
      <c r="AV1167" s="142">
        <v>0.0</v>
      </c>
      <c r="AW1167" s="80">
        <f t="shared" si="6"/>
        <v>0</v>
      </c>
      <c r="AX1167" s="113">
        <f t="shared" si="7"/>
        <v>16</v>
      </c>
      <c r="AY1167" s="117">
        <f t="shared" si="8"/>
        <v>0</v>
      </c>
      <c r="AZ1167" s="120">
        <f t="shared" si="9"/>
        <v>16</v>
      </c>
      <c r="BA1167" s="115">
        <v>0.0</v>
      </c>
      <c r="BB1167" s="89">
        <f t="shared" si="10"/>
        <v>16</v>
      </c>
      <c r="BC1167" s="132" t="s">
        <v>178</v>
      </c>
      <c r="BD1167" s="143" t="s">
        <v>227</v>
      </c>
      <c r="BE1167" s="132" t="s">
        <v>178</v>
      </c>
      <c r="BF1167" s="156"/>
      <c r="BG1167" s="83">
        <v>1179428.0</v>
      </c>
      <c r="BH1167" s="112"/>
      <c r="BI1167" s="112">
        <v>3.0</v>
      </c>
      <c r="BJ1167" s="98" t="s">
        <v>155</v>
      </c>
      <c r="BK1167" s="99">
        <f t="shared" si="11"/>
        <v>0</v>
      </c>
      <c r="BL1167" s="99">
        <f t="shared" si="12"/>
        <v>0</v>
      </c>
      <c r="BM1167" s="99" t="str">
        <f>IFERROR(__xludf.DUMMYFUNCTION("IFERROR(VLOOKUP(BG1167,IMPORTRANGE(""https://docs.google.com/spreadsheets/d/1juPI-Fb8LD0YtltB2mlGEnp_R3UVu1t3wSFPzgCyHXE/edit?gid=0#gid=0"",""GERAL!A2:C""),3,0),""-"")"),"-")</f>
        <v>-</v>
      </c>
    </row>
    <row r="1168" ht="15.75" customHeight="1">
      <c r="A1168" s="111" t="s">
        <v>1393</v>
      </c>
      <c r="B1168" s="83" t="s">
        <v>2245</v>
      </c>
      <c r="C1168" s="83" t="s">
        <v>164</v>
      </c>
      <c r="D1168" s="112">
        <v>1179285.0</v>
      </c>
      <c r="E1168" s="83">
        <v>1179429.0</v>
      </c>
      <c r="F1168" s="98">
        <v>2.9461472E7</v>
      </c>
      <c r="G1168" s="185" t="s">
        <v>6347</v>
      </c>
      <c r="H1168" s="91" t="s">
        <v>6345</v>
      </c>
      <c r="I1168" s="136" t="s">
        <v>149</v>
      </c>
      <c r="J1168" s="136" t="s">
        <v>2752</v>
      </c>
      <c r="K1168" s="83" t="s">
        <v>168</v>
      </c>
      <c r="L1168" s="83" t="s">
        <v>169</v>
      </c>
      <c r="M1168" s="82" t="str">
        <f>IFERROR(__xludf.DUMMYFUNCTION("IFERROR(VLOOKUP(D1168,
IMPORTRANGE(""https://docs.google.com/spreadsheets/d/1MjHtlUikwobi2MaWJgy7tfLeBmhj1u-dRFRs_8GwSoA/edit#gid=0"",""Gestores Escolares!D7:J""),3,0),""VERIFICAR CÓD SEC"")"),"MONIQUE ALVES BRITO")</f>
        <v>MONIQUE ALVES BRITO</v>
      </c>
      <c r="N1168" s="82" t="str">
        <f>IFERROR(__xludf.DUMMYFUNCTION("IFERROR(VLOOKUP(D1168,
IMPORTRANGE(""https://docs.google.com/spreadsheets/d/1MjHtlUikwobi2MaWJgy7tfLeBmhj1u-dRFRs_8GwSoA/edit#gid=0"",""Gestores Escolares!D7:J""),4,0),""VERIFICAR CÓD SEC"")"),"(71) 9 8622-0492")</f>
        <v>(71) 9 8622-0492</v>
      </c>
      <c r="O1168" s="82" t="str">
        <f>IFERROR(__xludf.DUMMYFUNCTION("IFERROR(VLOOKUP(D1168,
IMPORTRANGE(""https://docs.google.com/spreadsheets/d/1MjHtlUikwobi2MaWJgy7tfLeBmhj1u-dRFRs_8GwSoA/edit#gid=0"",""Gestores Escolares!D7:J""),6,0),""VERIFICAR CÓD SEC"")"),"DANILO LARANJEIRA DE JESUS")</f>
        <v>DANILO LARANJEIRA DE JESUS</v>
      </c>
      <c r="P1168" s="82" t="str">
        <f>IFERROR(__xludf.DUMMYFUNCTION("IFERROR(VLOOKUP(D1168,
IMPORTRANGE(""https://docs.google.com/spreadsheets/d/1MjHtlUikwobi2MaWJgy7tfLeBmhj1u-dRFRs_8GwSoA/edit#gid=0"",""Gestores Escolares!D7:J""),7,0),""VERIFICAR CÓD SEC"")"),"(73) 9 8123-1590")</f>
        <v>(73) 9 8123-1590</v>
      </c>
      <c r="Q1168" s="82" t="str">
        <f>IFERROR(__xludf.DUMMYFUNCTION("IFERROR(VLOOKUP(D1168,
IMPORTRANGE(""https://docs.google.com/spreadsheets/d/1MjHtlUikwobi2MaWJgy7tfLeBmhj1u-dRFRs_8GwSoA/edit#gid=0"",""Gestores Escolares!D7:m""),9,0),""VERIFICAR CÓD SEC"")")," RICARDO COSTA DE MORAES")</f>
        <v> RICARDO COSTA DE MORAES</v>
      </c>
      <c r="R1168" s="82" t="str">
        <f>IFERROR(__xludf.DUMMYFUNCTION("IFERROR(VLOOKUP(D1168,
IMPORTRANGE(""https://docs.google.com/spreadsheets/d/1MjHtlUikwobi2MaWJgy7tfLeBmhj1u-dRFRs_8GwSoA/edit#gid=0"",""Gestores Escolares!D7:m""),10,0),""VERIFICAR CÓD SEC"")"),"(77) 9 8816-9018")</f>
        <v>(77) 9 8816-9018</v>
      </c>
      <c r="S1168" s="82"/>
      <c r="T1168" s="138">
        <v>3.0</v>
      </c>
      <c r="U1168" s="152">
        <v>3.0</v>
      </c>
      <c r="V1168" s="106">
        <v>0.0</v>
      </c>
      <c r="W1168" s="107">
        <v>0.0</v>
      </c>
      <c r="X1168" s="107">
        <v>0.0</v>
      </c>
      <c r="Y1168" s="107">
        <v>0.0</v>
      </c>
      <c r="Z1168" s="80">
        <f t="shared" si="1"/>
        <v>0</v>
      </c>
      <c r="AA1168" s="106">
        <v>0.0</v>
      </c>
      <c r="AB1168" s="107">
        <v>0.0</v>
      </c>
      <c r="AC1168" s="107">
        <v>0.0</v>
      </c>
      <c r="AD1168" s="107">
        <v>0.0</v>
      </c>
      <c r="AE1168" s="80">
        <f t="shared" si="2"/>
        <v>0</v>
      </c>
      <c r="AF1168" s="140">
        <v>0.0</v>
      </c>
      <c r="AG1168" s="109">
        <v>0.0</v>
      </c>
      <c r="AH1168" s="109">
        <v>57.0</v>
      </c>
      <c r="AI1168" s="141">
        <v>0.0</v>
      </c>
      <c r="AJ1168" s="80">
        <f t="shared" si="3"/>
        <v>57</v>
      </c>
      <c r="AK1168" s="140">
        <v>0.0</v>
      </c>
      <c r="AL1168" s="109">
        <v>0.0</v>
      </c>
      <c r="AM1168" s="141">
        <v>0.0</v>
      </c>
      <c r="AN1168" s="80">
        <f t="shared" si="4"/>
        <v>0</v>
      </c>
      <c r="AO1168" s="140">
        <v>0.0</v>
      </c>
      <c r="AP1168" s="109">
        <v>0.0</v>
      </c>
      <c r="AQ1168" s="109">
        <v>0.0</v>
      </c>
      <c r="AR1168" s="80">
        <f t="shared" si="5"/>
        <v>0</v>
      </c>
      <c r="AS1168" s="110">
        <v>0.0</v>
      </c>
      <c r="AT1168" s="110">
        <v>0.0</v>
      </c>
      <c r="AU1168" s="110">
        <v>0.0</v>
      </c>
      <c r="AV1168" s="142">
        <v>0.0</v>
      </c>
      <c r="AW1168" s="80">
        <f t="shared" si="6"/>
        <v>0</v>
      </c>
      <c r="AX1168" s="113">
        <f t="shared" si="7"/>
        <v>57</v>
      </c>
      <c r="AY1168" s="117">
        <f t="shared" si="8"/>
        <v>0</v>
      </c>
      <c r="AZ1168" s="120">
        <f t="shared" si="9"/>
        <v>57</v>
      </c>
      <c r="BA1168" s="115">
        <v>0.0</v>
      </c>
      <c r="BB1168" s="89">
        <f t="shared" si="10"/>
        <v>57</v>
      </c>
      <c r="BC1168" s="132" t="s">
        <v>178</v>
      </c>
      <c r="BD1168" s="143" t="s">
        <v>227</v>
      </c>
      <c r="BE1168" s="132" t="s">
        <v>178</v>
      </c>
      <c r="BF1168" s="156"/>
      <c r="BG1168" s="83">
        <v>1179429.0</v>
      </c>
      <c r="BH1168" s="112"/>
      <c r="BI1168" s="112">
        <v>3.0</v>
      </c>
      <c r="BJ1168" s="98" t="s">
        <v>155</v>
      </c>
      <c r="BK1168" s="99">
        <f t="shared" si="11"/>
        <v>0</v>
      </c>
      <c r="BL1168" s="99">
        <f t="shared" si="12"/>
        <v>0</v>
      </c>
      <c r="BM1168" s="99" t="str">
        <f>IFERROR(__xludf.DUMMYFUNCTION("IFERROR(VLOOKUP(BG1168,IMPORTRANGE(""https://docs.google.com/spreadsheets/d/1juPI-Fb8LD0YtltB2mlGEnp_R3UVu1t3wSFPzgCyHXE/edit?gid=0#gid=0"",""GERAL!A2:C""),3,0),""-"")"),"-")</f>
        <v>-</v>
      </c>
    </row>
    <row r="1169" ht="15.75" customHeight="1">
      <c r="A1169" s="111" t="s">
        <v>1393</v>
      </c>
      <c r="B1169" s="83" t="s">
        <v>2245</v>
      </c>
      <c r="C1169" s="83" t="s">
        <v>164</v>
      </c>
      <c r="D1169" s="112">
        <v>1179285.0</v>
      </c>
      <c r="E1169" s="83">
        <v>1178771.0</v>
      </c>
      <c r="F1169" s="98">
        <v>2.9461472E7</v>
      </c>
      <c r="G1169" s="185" t="s">
        <v>6348</v>
      </c>
      <c r="H1169" s="91" t="s">
        <v>6349</v>
      </c>
      <c r="I1169" s="136" t="s">
        <v>149</v>
      </c>
      <c r="J1169" s="136" t="s">
        <v>6350</v>
      </c>
      <c r="K1169" s="83" t="s">
        <v>168</v>
      </c>
      <c r="L1169" s="83" t="s">
        <v>169</v>
      </c>
      <c r="M1169" s="82" t="str">
        <f>IFERROR(__xludf.DUMMYFUNCTION("IFERROR(VLOOKUP(D1169,
IMPORTRANGE(""https://docs.google.com/spreadsheets/d/1MjHtlUikwobi2MaWJgy7tfLeBmhj1u-dRFRs_8GwSoA/edit#gid=0"",""Gestores Escolares!D7:J""),3,0),""VERIFICAR CÓD SEC"")"),"MONIQUE ALVES BRITO")</f>
        <v>MONIQUE ALVES BRITO</v>
      </c>
      <c r="N1169" s="82" t="str">
        <f>IFERROR(__xludf.DUMMYFUNCTION("IFERROR(VLOOKUP(D1169,
IMPORTRANGE(""https://docs.google.com/spreadsheets/d/1MjHtlUikwobi2MaWJgy7tfLeBmhj1u-dRFRs_8GwSoA/edit#gid=0"",""Gestores Escolares!D7:J""),4,0),""VERIFICAR CÓD SEC"")"),"(71) 9 8622-0492")</f>
        <v>(71) 9 8622-0492</v>
      </c>
      <c r="O1169" s="82" t="str">
        <f>IFERROR(__xludf.DUMMYFUNCTION("IFERROR(VLOOKUP(D1169,
IMPORTRANGE(""https://docs.google.com/spreadsheets/d/1MjHtlUikwobi2MaWJgy7tfLeBmhj1u-dRFRs_8GwSoA/edit#gid=0"",""Gestores Escolares!D7:J""),6,0),""VERIFICAR CÓD SEC"")"),"DANILO LARANJEIRA DE JESUS")</f>
        <v>DANILO LARANJEIRA DE JESUS</v>
      </c>
      <c r="P1169" s="82" t="str">
        <f>IFERROR(__xludf.DUMMYFUNCTION("IFERROR(VLOOKUP(D1169,
IMPORTRANGE(""https://docs.google.com/spreadsheets/d/1MjHtlUikwobi2MaWJgy7tfLeBmhj1u-dRFRs_8GwSoA/edit#gid=0"",""Gestores Escolares!D7:J""),7,0),""VERIFICAR CÓD SEC"")"),"(73) 9 8123-1590")</f>
        <v>(73) 9 8123-1590</v>
      </c>
      <c r="Q1169" s="82" t="str">
        <f>IFERROR(__xludf.DUMMYFUNCTION("IFERROR(VLOOKUP(D1169,
IMPORTRANGE(""https://docs.google.com/spreadsheets/d/1MjHtlUikwobi2MaWJgy7tfLeBmhj1u-dRFRs_8GwSoA/edit#gid=0"",""Gestores Escolares!D7:m""),9,0),""VERIFICAR CÓD SEC"")")," RICARDO COSTA DE MORAES")</f>
        <v> RICARDO COSTA DE MORAES</v>
      </c>
      <c r="R1169" s="82" t="str">
        <f>IFERROR(__xludf.DUMMYFUNCTION("IFERROR(VLOOKUP(D1169,
IMPORTRANGE(""https://docs.google.com/spreadsheets/d/1MjHtlUikwobi2MaWJgy7tfLeBmhj1u-dRFRs_8GwSoA/edit#gid=0"",""Gestores Escolares!D7:m""),10,0),""VERIFICAR CÓD SEC"")"),"(77) 9 8816-9018")</f>
        <v>(77) 9 8816-9018</v>
      </c>
      <c r="S1169" s="82"/>
      <c r="T1169" s="138">
        <v>3.0</v>
      </c>
      <c r="U1169" s="152">
        <v>3.0</v>
      </c>
      <c r="V1169" s="106">
        <v>0.0</v>
      </c>
      <c r="W1169" s="107">
        <v>0.0</v>
      </c>
      <c r="X1169" s="107">
        <v>0.0</v>
      </c>
      <c r="Y1169" s="107">
        <v>0.0</v>
      </c>
      <c r="Z1169" s="80">
        <f t="shared" si="1"/>
        <v>0</v>
      </c>
      <c r="AA1169" s="106">
        <v>0.0</v>
      </c>
      <c r="AB1169" s="107">
        <v>0.0</v>
      </c>
      <c r="AC1169" s="107">
        <v>0.0</v>
      </c>
      <c r="AD1169" s="107">
        <v>0.0</v>
      </c>
      <c r="AE1169" s="80">
        <f t="shared" si="2"/>
        <v>0</v>
      </c>
      <c r="AF1169" s="140">
        <v>0.0</v>
      </c>
      <c r="AG1169" s="109">
        <v>18.0</v>
      </c>
      <c r="AH1169" s="109">
        <v>0.0</v>
      </c>
      <c r="AI1169" s="141">
        <v>0.0</v>
      </c>
      <c r="AJ1169" s="80">
        <f t="shared" si="3"/>
        <v>18</v>
      </c>
      <c r="AK1169" s="140">
        <v>0.0</v>
      </c>
      <c r="AL1169" s="109">
        <v>0.0</v>
      </c>
      <c r="AM1169" s="141">
        <v>0.0</v>
      </c>
      <c r="AN1169" s="80">
        <f t="shared" si="4"/>
        <v>0</v>
      </c>
      <c r="AO1169" s="140">
        <v>0.0</v>
      </c>
      <c r="AP1169" s="109">
        <v>0.0</v>
      </c>
      <c r="AQ1169" s="109">
        <v>0.0</v>
      </c>
      <c r="AR1169" s="80">
        <f t="shared" si="5"/>
        <v>0</v>
      </c>
      <c r="AS1169" s="110">
        <v>0.0</v>
      </c>
      <c r="AT1169" s="110">
        <v>0.0</v>
      </c>
      <c r="AU1169" s="110">
        <v>0.0</v>
      </c>
      <c r="AV1169" s="142">
        <v>0.0</v>
      </c>
      <c r="AW1169" s="80">
        <f t="shared" si="6"/>
        <v>0</v>
      </c>
      <c r="AX1169" s="113">
        <f t="shared" si="7"/>
        <v>18</v>
      </c>
      <c r="AY1169" s="117">
        <f t="shared" si="8"/>
        <v>18</v>
      </c>
      <c r="AZ1169" s="120">
        <f t="shared" si="9"/>
        <v>0</v>
      </c>
      <c r="BA1169" s="115">
        <v>0.0</v>
      </c>
      <c r="BB1169" s="89">
        <f t="shared" si="10"/>
        <v>18</v>
      </c>
      <c r="BC1169" s="132" t="s">
        <v>178</v>
      </c>
      <c r="BD1169" s="143" t="s">
        <v>227</v>
      </c>
      <c r="BE1169" s="132" t="s">
        <v>178</v>
      </c>
      <c r="BF1169" s="123"/>
      <c r="BG1169" s="83">
        <v>1178771.0</v>
      </c>
      <c r="BH1169" s="112"/>
      <c r="BI1169" s="112">
        <v>3.0</v>
      </c>
      <c r="BJ1169" s="98" t="s">
        <v>155</v>
      </c>
      <c r="BK1169" s="99">
        <f t="shared" si="11"/>
        <v>0</v>
      </c>
      <c r="BL1169" s="99">
        <f t="shared" si="12"/>
        <v>18</v>
      </c>
      <c r="BM1169" s="99" t="str">
        <f>IFERROR(__xludf.DUMMYFUNCTION("IFERROR(VLOOKUP(BG1169,IMPORTRANGE(""https://docs.google.com/spreadsheets/d/1juPI-Fb8LD0YtltB2mlGEnp_R3UVu1t3wSFPzgCyHXE/edit?gid=0#gid=0"",""GERAL!A2:C""),3,0),""-"")"),"-")</f>
        <v>-</v>
      </c>
    </row>
    <row r="1170" ht="15.75" customHeight="1">
      <c r="A1170" s="111" t="s">
        <v>1393</v>
      </c>
      <c r="B1170" s="83" t="s">
        <v>6351</v>
      </c>
      <c r="C1170" s="83" t="s">
        <v>68</v>
      </c>
      <c r="D1170" s="112">
        <v>1178071.0</v>
      </c>
      <c r="E1170" s="83"/>
      <c r="F1170" s="83">
        <v>2.9428556E7</v>
      </c>
      <c r="G1170" s="296" t="s">
        <v>6352</v>
      </c>
      <c r="H1170" s="91" t="s">
        <v>6353</v>
      </c>
      <c r="I1170" s="83" t="s">
        <v>149</v>
      </c>
      <c r="J1170" s="83" t="s">
        <v>150</v>
      </c>
      <c r="K1170" s="83" t="s">
        <v>151</v>
      </c>
      <c r="L1170" s="83" t="s">
        <v>152</v>
      </c>
      <c r="M1170" s="82" t="str">
        <f>IFERROR(__xludf.DUMMYFUNCTION("IFERROR(VLOOKUP(D1170,
IMPORTRANGE(""https://docs.google.com/spreadsheets/d/1MjHtlUikwobi2MaWJgy7tfLeBmhj1u-dRFRs_8GwSoA/edit#gid=0"",""Gestores Escolares!D7:J""),3,0),""VERIFICAR CÓD SEC"")"),"ROSANGELA DA SOLIDADE PEREIRA")</f>
        <v>ROSANGELA DA SOLIDADE PEREIRA</v>
      </c>
      <c r="N1170" s="82" t="str">
        <f>IFERROR(__xludf.DUMMYFUNCTION("IFERROR(VLOOKUP(D1170,
IMPORTRANGE(""https://docs.google.com/spreadsheets/d/1MjHtlUikwobi2MaWJgy7tfLeBmhj1u-dRFRs_8GwSoA/edit#gid=0"",""Gestores Escolares!D7:J""),4,0),""VERIFICAR CÓD SEC"")"),"(77) 9 8158-5222")</f>
        <v>(77) 9 8158-5222</v>
      </c>
      <c r="O1170" s="82" t="str">
        <f>IFERROR(__xludf.DUMMYFUNCTION("IFERROR(VLOOKUP(D1170,
IMPORTRANGE(""https://docs.google.com/spreadsheets/d/1MjHtlUikwobi2MaWJgy7tfLeBmhj1u-dRFRs_8GwSoA/edit#gid=0"",""Gestores Escolares!D7:J""),6,0),""VERIFICAR CÓD SEC"")"),"")</f>
        <v/>
      </c>
      <c r="P1170" s="82" t="str">
        <f>IFERROR(__xludf.DUMMYFUNCTION("IFERROR(VLOOKUP(D1170,
IMPORTRANGE(""https://docs.google.com/spreadsheets/d/1MjHtlUikwobi2MaWJgy7tfLeBmhj1u-dRFRs_8GwSoA/edit#gid=0"",""Gestores Escolares!D7:J""),7,0),""VERIFICAR CÓD SEC"")"),"")</f>
        <v/>
      </c>
      <c r="Q1170" s="82" t="str">
        <f>IFERROR(__xludf.DUMMYFUNCTION("IFERROR(VLOOKUP(D1170,
IMPORTRANGE(""https://docs.google.com/spreadsheets/d/1MjHtlUikwobi2MaWJgy7tfLeBmhj1u-dRFRs_8GwSoA/edit#gid=0"",""Gestores Escolares!D7:m""),9,0),""VERIFICAR CÓD SEC"")"),"")</f>
        <v/>
      </c>
      <c r="R1170" s="82" t="str">
        <f>IFERROR(__xludf.DUMMYFUNCTION("IFERROR(VLOOKUP(D1170,
IMPORTRANGE(""https://docs.google.com/spreadsheets/d/1MjHtlUikwobi2MaWJgy7tfLeBmhj1u-dRFRs_8GwSoA/edit#gid=0"",""Gestores Escolares!D7:m""),10,0),""VERIFICAR CÓD SEC"")"),"")</f>
        <v/>
      </c>
      <c r="S1170" s="82"/>
      <c r="T1170" s="138">
        <v>8.0</v>
      </c>
      <c r="U1170" s="217" t="s">
        <v>2949</v>
      </c>
      <c r="V1170" s="106">
        <v>0.0</v>
      </c>
      <c r="W1170" s="107">
        <v>0.0</v>
      </c>
      <c r="X1170" s="107">
        <v>0.0</v>
      </c>
      <c r="Y1170" s="107">
        <v>0.0</v>
      </c>
      <c r="Z1170" s="80">
        <f t="shared" si="1"/>
        <v>0</v>
      </c>
      <c r="AA1170" s="106">
        <v>0.0</v>
      </c>
      <c r="AB1170" s="107">
        <v>0.0</v>
      </c>
      <c r="AC1170" s="107">
        <v>0.0</v>
      </c>
      <c r="AD1170" s="107">
        <v>0.0</v>
      </c>
      <c r="AE1170" s="80">
        <f t="shared" si="2"/>
        <v>0</v>
      </c>
      <c r="AF1170" s="140">
        <v>58.0</v>
      </c>
      <c r="AG1170" s="109">
        <v>0.0</v>
      </c>
      <c r="AH1170" s="109">
        <v>0.0</v>
      </c>
      <c r="AI1170" s="141">
        <v>237.0</v>
      </c>
      <c r="AJ1170" s="80">
        <f t="shared" si="3"/>
        <v>295</v>
      </c>
      <c r="AK1170" s="140">
        <v>0.0</v>
      </c>
      <c r="AL1170" s="109">
        <v>0.0</v>
      </c>
      <c r="AM1170" s="141">
        <v>0.0</v>
      </c>
      <c r="AN1170" s="80">
        <f t="shared" si="4"/>
        <v>0</v>
      </c>
      <c r="AO1170" s="140">
        <v>0.0</v>
      </c>
      <c r="AP1170" s="109">
        <v>0.0</v>
      </c>
      <c r="AQ1170" s="109">
        <v>60.0</v>
      </c>
      <c r="AR1170" s="80">
        <f t="shared" si="5"/>
        <v>60</v>
      </c>
      <c r="AS1170" s="110">
        <v>0.0</v>
      </c>
      <c r="AT1170" s="110">
        <v>0.0</v>
      </c>
      <c r="AU1170" s="110">
        <v>0.0</v>
      </c>
      <c r="AV1170" s="142">
        <v>63.0</v>
      </c>
      <c r="AW1170" s="80">
        <f t="shared" si="6"/>
        <v>63</v>
      </c>
      <c r="AX1170" s="113">
        <f t="shared" si="7"/>
        <v>418</v>
      </c>
      <c r="AY1170" s="117">
        <f t="shared" si="8"/>
        <v>358</v>
      </c>
      <c r="AZ1170" s="120">
        <f t="shared" si="9"/>
        <v>60</v>
      </c>
      <c r="BA1170" s="115">
        <v>0.0</v>
      </c>
      <c r="BB1170" s="89">
        <f t="shared" si="10"/>
        <v>418</v>
      </c>
      <c r="BC1170" s="132" t="s">
        <v>373</v>
      </c>
      <c r="BD1170" s="132" t="s">
        <v>178</v>
      </c>
      <c r="BE1170" s="132" t="s">
        <v>178</v>
      </c>
      <c r="BF1170" s="123"/>
      <c r="BG1170" s="83">
        <v>1178071.0</v>
      </c>
      <c r="BH1170" s="112"/>
      <c r="BI1170" s="112">
        <v>9.0</v>
      </c>
      <c r="BJ1170" s="98" t="s">
        <v>155</v>
      </c>
      <c r="BK1170" s="99">
        <f t="shared" si="11"/>
        <v>300</v>
      </c>
      <c r="BL1170" s="99">
        <f t="shared" si="12"/>
        <v>58</v>
      </c>
      <c r="BM1170" s="99" t="str">
        <f>IFERROR(__xludf.DUMMYFUNCTION("IFERROR(VLOOKUP(BG1170,IMPORTRANGE(""https://docs.google.com/spreadsheets/d/1juPI-Fb8LD0YtltB2mlGEnp_R3UVu1t3wSFPzgCyHXE/edit?gid=0#gid=0"",""GERAL!A2:C""),3,0),""-"")"),"CAMPO")</f>
        <v>CAMPO</v>
      </c>
    </row>
    <row r="1171" ht="15.75" customHeight="1">
      <c r="A1171" s="111" t="s">
        <v>1393</v>
      </c>
      <c r="B1171" s="83" t="s">
        <v>6361</v>
      </c>
      <c r="C1171" s="83" t="s">
        <v>68</v>
      </c>
      <c r="D1171" s="112">
        <v>1124929.0</v>
      </c>
      <c r="E1171" s="83"/>
      <c r="F1171" s="83">
        <v>2.9285291E7</v>
      </c>
      <c r="G1171" s="119" t="s">
        <v>6362</v>
      </c>
      <c r="H1171" s="91" t="s">
        <v>6363</v>
      </c>
      <c r="I1171" s="136" t="s">
        <v>149</v>
      </c>
      <c r="J1171" s="136" t="s">
        <v>150</v>
      </c>
      <c r="K1171" s="83" t="s">
        <v>151</v>
      </c>
      <c r="L1171" s="83" t="s">
        <v>76</v>
      </c>
      <c r="M1171" s="82" t="str">
        <f>IFERROR(__xludf.DUMMYFUNCTION("IFERROR(VLOOKUP(D1171,
IMPORTRANGE(""https://docs.google.com/spreadsheets/d/1MjHtlUikwobi2MaWJgy7tfLeBmhj1u-dRFRs_8GwSoA/edit#gid=0"",""Gestores Escolares!D7:J""),3,0),""VERIFICAR CÓD SEC"")"),"HIGO LOPES ROCHA")</f>
        <v>HIGO LOPES ROCHA</v>
      </c>
      <c r="N1171" s="82" t="str">
        <f>IFERROR(__xludf.DUMMYFUNCTION("IFERROR(VLOOKUP(D1171,
IMPORTRANGE(""https://docs.google.com/spreadsheets/d/1MjHtlUikwobi2MaWJgy7tfLeBmhj1u-dRFRs_8GwSoA/edit#gid=0"",""Gestores Escolares!D7:J""),4,0),""VERIFICAR CÓD SEC"")"),"(77) 9 9143-6046")</f>
        <v>(77) 9 9143-6046</v>
      </c>
      <c r="O1171" s="82" t="str">
        <f>IFERROR(__xludf.DUMMYFUNCTION("IFERROR(VLOOKUP(D1171,
IMPORTRANGE(""https://docs.google.com/spreadsheets/d/1MjHtlUikwobi2MaWJgy7tfLeBmhj1u-dRFRs_8GwSoA/edit#gid=0"",""Gestores Escolares!D7:J""),6,0),""VERIFICAR CÓD SEC"")"),"ELISA GALVAO SANTOS VILARES")</f>
        <v>ELISA GALVAO SANTOS VILARES</v>
      </c>
      <c r="P1171" s="82" t="str">
        <f>IFERROR(__xludf.DUMMYFUNCTION("IFERROR(VLOOKUP(D1171,
IMPORTRANGE(""https://docs.google.com/spreadsheets/d/1MjHtlUikwobi2MaWJgy7tfLeBmhj1u-dRFRs_8GwSoA/edit#gid=0"",""Gestores Escolares!D7:J""),7,0),""VERIFICAR CÓD SEC"")"),"(77) 9 9143-6141")</f>
        <v>(77) 9 9143-6141</v>
      </c>
      <c r="Q1171" s="82" t="str">
        <f>IFERROR(__xludf.DUMMYFUNCTION("IFERROR(VLOOKUP(D1171,
IMPORTRANGE(""https://docs.google.com/spreadsheets/d/1MjHtlUikwobi2MaWJgy7tfLeBmhj1u-dRFRs_8GwSoA/edit#gid=0"",""Gestores Escolares!D7:m""),9,0),""VERIFICAR CÓD SEC"")"),"")</f>
        <v/>
      </c>
      <c r="R1171" s="82" t="str">
        <f>IFERROR(__xludf.DUMMYFUNCTION("IFERROR(VLOOKUP(D1171,
IMPORTRANGE(""https://docs.google.com/spreadsheets/d/1MjHtlUikwobi2MaWJgy7tfLeBmhj1u-dRFRs_8GwSoA/edit#gid=0"",""Gestores Escolares!D7:m""),10,0),""VERIFICAR CÓD SEC"")"),"")</f>
        <v/>
      </c>
      <c r="S1171" s="82"/>
      <c r="T1171" s="138">
        <v>6.0</v>
      </c>
      <c r="U1171" s="152" t="s">
        <v>13838</v>
      </c>
      <c r="V1171" s="106">
        <v>0.0</v>
      </c>
      <c r="W1171" s="107">
        <v>0.0</v>
      </c>
      <c r="X1171" s="107">
        <v>0.0</v>
      </c>
      <c r="Y1171" s="107">
        <v>0.0</v>
      </c>
      <c r="Z1171" s="80">
        <f t="shared" si="1"/>
        <v>0</v>
      </c>
      <c r="AA1171" s="106">
        <v>0.0</v>
      </c>
      <c r="AB1171" s="107">
        <v>0.0</v>
      </c>
      <c r="AC1171" s="107">
        <v>0.0</v>
      </c>
      <c r="AD1171" s="107">
        <v>0.0</v>
      </c>
      <c r="AE1171" s="80">
        <f t="shared" si="2"/>
        <v>0</v>
      </c>
      <c r="AF1171" s="140">
        <v>0.0</v>
      </c>
      <c r="AG1171" s="109">
        <v>0.0</v>
      </c>
      <c r="AH1171" s="109">
        <v>0.0</v>
      </c>
      <c r="AI1171" s="141">
        <v>74.0</v>
      </c>
      <c r="AJ1171" s="80">
        <f t="shared" si="3"/>
        <v>74</v>
      </c>
      <c r="AK1171" s="140">
        <v>0.0</v>
      </c>
      <c r="AL1171" s="109">
        <v>0.0</v>
      </c>
      <c r="AM1171" s="141">
        <v>0.0</v>
      </c>
      <c r="AN1171" s="80">
        <f t="shared" si="4"/>
        <v>0</v>
      </c>
      <c r="AO1171" s="140">
        <v>0.0</v>
      </c>
      <c r="AP1171" s="109">
        <v>0.0</v>
      </c>
      <c r="AQ1171" s="109">
        <v>29.0</v>
      </c>
      <c r="AR1171" s="80">
        <f t="shared" si="5"/>
        <v>29</v>
      </c>
      <c r="AS1171" s="110">
        <v>0.0</v>
      </c>
      <c r="AT1171" s="110">
        <v>0.0</v>
      </c>
      <c r="AU1171" s="110">
        <v>0.0</v>
      </c>
      <c r="AV1171" s="142">
        <v>48.0</v>
      </c>
      <c r="AW1171" s="80">
        <f t="shared" si="6"/>
        <v>48</v>
      </c>
      <c r="AX1171" s="113">
        <f t="shared" si="7"/>
        <v>151</v>
      </c>
      <c r="AY1171" s="117">
        <f t="shared" si="8"/>
        <v>122</v>
      </c>
      <c r="AZ1171" s="120">
        <f t="shared" si="9"/>
        <v>29</v>
      </c>
      <c r="BA1171" s="115">
        <v>0.0</v>
      </c>
      <c r="BB1171" s="89">
        <f t="shared" si="10"/>
        <v>151</v>
      </c>
      <c r="BC1171" s="132" t="s">
        <v>178</v>
      </c>
      <c r="BD1171" s="132" t="s">
        <v>178</v>
      </c>
      <c r="BE1171" s="132" t="s">
        <v>178</v>
      </c>
      <c r="BF1171" s="123"/>
      <c r="BG1171" s="83">
        <v>1124929.0</v>
      </c>
      <c r="BH1171" s="112"/>
      <c r="BI1171" s="112">
        <v>5.0</v>
      </c>
      <c r="BJ1171" s="98" t="s">
        <v>155</v>
      </c>
      <c r="BK1171" s="99">
        <f t="shared" si="11"/>
        <v>122</v>
      </c>
      <c r="BL1171" s="99">
        <f t="shared" si="12"/>
        <v>0</v>
      </c>
      <c r="BM1171" s="99" t="str">
        <f>IFERROR(__xludf.DUMMYFUNCTION("IFERROR(VLOOKUP(BG1171,IMPORTRANGE(""https://docs.google.com/spreadsheets/d/1juPI-Fb8LD0YtltB2mlGEnp_R3UVu1t3wSFPzgCyHXE/edit?gid=0#gid=0"",""GERAL!A2:C""),3,0),""-"")"),"-")</f>
        <v>-</v>
      </c>
    </row>
    <row r="1172" ht="15.75" customHeight="1">
      <c r="A1172" s="111" t="s">
        <v>1393</v>
      </c>
      <c r="B1172" s="83" t="s">
        <v>6361</v>
      </c>
      <c r="C1172" s="83" t="s">
        <v>164</v>
      </c>
      <c r="D1172" s="112">
        <v>1179113.0</v>
      </c>
      <c r="E1172" s="83">
        <v>1179164.0</v>
      </c>
      <c r="F1172" s="83">
        <v>2.9449332E7</v>
      </c>
      <c r="G1172" s="119" t="s">
        <v>6366</v>
      </c>
      <c r="H1172" s="91" t="s">
        <v>6367</v>
      </c>
      <c r="I1172" s="136" t="s">
        <v>149</v>
      </c>
      <c r="J1172" s="136" t="s">
        <v>6368</v>
      </c>
      <c r="K1172" s="83" t="s">
        <v>151</v>
      </c>
      <c r="L1172" s="83" t="s">
        <v>169</v>
      </c>
      <c r="M1172" s="82" t="str">
        <f>IFERROR(__xludf.DUMMYFUNCTION("IFERROR(VLOOKUP(D1172,
IMPORTRANGE(""https://docs.google.com/spreadsheets/d/1MjHtlUikwobi2MaWJgy7tfLeBmhj1u-dRFRs_8GwSoA/edit#gid=0"",""Gestores Escolares!D7:J""),3,0),""VERIFICAR CÓD SEC"")"),"LUCIENE ROCHA SILVA")</f>
        <v>LUCIENE ROCHA SILVA</v>
      </c>
      <c r="N1172" s="82" t="str">
        <f>IFERROR(__xludf.DUMMYFUNCTION("IFERROR(VLOOKUP(D1172,
IMPORTRANGE(""https://docs.google.com/spreadsheets/d/1MjHtlUikwobi2MaWJgy7tfLeBmhj1u-dRFRs_8GwSoA/edit#gid=0"",""Gestores Escolares!D7:J""),4,0),""VERIFICAR CÓD SEC"")"),"(77) 9 8877-6474")</f>
        <v>(77) 9 8877-6474</v>
      </c>
      <c r="O1172" s="82" t="str">
        <f>IFERROR(__xludf.DUMMYFUNCTION("IFERROR(VLOOKUP(D1172,
IMPORTRANGE(""https://docs.google.com/spreadsheets/d/1MjHtlUikwobi2MaWJgy7tfLeBmhj1u-dRFRs_8GwSoA/edit#gid=0"",""Gestores Escolares!D7:J""),6,0),""VERIFICAR CÓD SEC"")"),"EMANOELA LUZ SOUZA")</f>
        <v>EMANOELA LUZ SOUZA</v>
      </c>
      <c r="P1172" s="82" t="str">
        <f>IFERROR(__xludf.DUMMYFUNCTION("IFERROR(VLOOKUP(D1172,
IMPORTRANGE(""https://docs.google.com/spreadsheets/d/1MjHtlUikwobi2MaWJgy7tfLeBmhj1u-dRFRs_8GwSoA/edit#gid=0"",""Gestores Escolares!D7:J""),7,0),""VERIFICAR CÓD SEC"")"),"(77) 9 8804-8987")</f>
        <v>(77) 9 8804-8987</v>
      </c>
      <c r="Q1172" s="82" t="str">
        <f>IFERROR(__xludf.DUMMYFUNCTION("IFERROR(VLOOKUP(D1172,
IMPORTRANGE(""https://docs.google.com/spreadsheets/d/1MjHtlUikwobi2MaWJgy7tfLeBmhj1u-dRFRs_8GwSoA/edit#gid=0"",""Gestores Escolares!D7:m""),9,0),""VERIFICAR CÓD SEC"")"),"")</f>
        <v/>
      </c>
      <c r="R1172" s="82" t="str">
        <f>IFERROR(__xludf.DUMMYFUNCTION("IFERROR(VLOOKUP(D1172,
IMPORTRANGE(""https://docs.google.com/spreadsheets/d/1MjHtlUikwobi2MaWJgy7tfLeBmhj1u-dRFRs_8GwSoA/edit#gid=0"",""Gestores Escolares!D7:m""),10,0),""VERIFICAR CÓD SEC"")"),"")</f>
        <v/>
      </c>
      <c r="S1172" s="82"/>
      <c r="T1172" s="138">
        <v>3.0</v>
      </c>
      <c r="U1172" s="152">
        <v>3.0</v>
      </c>
      <c r="V1172" s="106">
        <v>0.0</v>
      </c>
      <c r="W1172" s="107">
        <v>0.0</v>
      </c>
      <c r="X1172" s="107">
        <v>0.0</v>
      </c>
      <c r="Y1172" s="107">
        <v>0.0</v>
      </c>
      <c r="Z1172" s="80">
        <f t="shared" si="1"/>
        <v>0</v>
      </c>
      <c r="AA1172" s="106">
        <v>0.0</v>
      </c>
      <c r="AB1172" s="107">
        <v>0.0</v>
      </c>
      <c r="AC1172" s="107">
        <v>0.0</v>
      </c>
      <c r="AD1172" s="107">
        <v>0.0</v>
      </c>
      <c r="AE1172" s="80">
        <f t="shared" si="2"/>
        <v>0</v>
      </c>
      <c r="AF1172" s="140">
        <v>0.0</v>
      </c>
      <c r="AG1172" s="109">
        <v>0.0</v>
      </c>
      <c r="AH1172" s="109">
        <v>0.0</v>
      </c>
      <c r="AI1172" s="141">
        <v>0.0</v>
      </c>
      <c r="AJ1172" s="80">
        <f t="shared" si="3"/>
        <v>0</v>
      </c>
      <c r="AK1172" s="140">
        <v>0.0</v>
      </c>
      <c r="AL1172" s="109">
        <v>0.0</v>
      </c>
      <c r="AM1172" s="141">
        <v>0.0</v>
      </c>
      <c r="AN1172" s="80">
        <f t="shared" si="4"/>
        <v>0</v>
      </c>
      <c r="AO1172" s="140">
        <v>0.0</v>
      </c>
      <c r="AP1172" s="109">
        <v>0.0</v>
      </c>
      <c r="AQ1172" s="109">
        <v>22.0</v>
      </c>
      <c r="AR1172" s="80">
        <f t="shared" si="5"/>
        <v>22</v>
      </c>
      <c r="AS1172" s="110">
        <v>0.0</v>
      </c>
      <c r="AT1172" s="110">
        <v>0.0</v>
      </c>
      <c r="AU1172" s="110">
        <v>0.0</v>
      </c>
      <c r="AV1172" s="142">
        <v>0.0</v>
      </c>
      <c r="AW1172" s="80">
        <f t="shared" si="6"/>
        <v>0</v>
      </c>
      <c r="AX1172" s="113">
        <f t="shared" si="7"/>
        <v>22</v>
      </c>
      <c r="AY1172" s="117">
        <f t="shared" si="8"/>
        <v>0</v>
      </c>
      <c r="AZ1172" s="120">
        <f t="shared" si="9"/>
        <v>22</v>
      </c>
      <c r="BA1172" s="115">
        <v>0.0</v>
      </c>
      <c r="BB1172" s="89">
        <f t="shared" si="10"/>
        <v>22</v>
      </c>
      <c r="BC1172" s="132" t="s">
        <v>631</v>
      </c>
      <c r="BD1172" s="132" t="s">
        <v>178</v>
      </c>
      <c r="BE1172" s="132" t="s">
        <v>178</v>
      </c>
      <c r="BF1172" s="123"/>
      <c r="BG1172" s="83">
        <v>1179164.0</v>
      </c>
      <c r="BH1172" s="112"/>
      <c r="BI1172" s="112">
        <v>3.0</v>
      </c>
      <c r="BJ1172" s="98" t="s">
        <v>155</v>
      </c>
      <c r="BK1172" s="99">
        <f t="shared" si="11"/>
        <v>0</v>
      </c>
      <c r="BL1172" s="99">
        <f t="shared" si="12"/>
        <v>0</v>
      </c>
      <c r="BM1172" s="99" t="str">
        <f>IFERROR(__xludf.DUMMYFUNCTION("IFERROR(VLOOKUP(BG1172,IMPORTRANGE(""https://docs.google.com/spreadsheets/d/1juPI-Fb8LD0YtltB2mlGEnp_R3UVu1t3wSFPzgCyHXE/edit?gid=0#gid=0"",""GERAL!A2:C""),3,0),""-"")"),"ASSENTAMENTOS")</f>
        <v>ASSENTAMENTOS</v>
      </c>
    </row>
    <row r="1173" ht="15.75" customHeight="1">
      <c r="A1173" s="111" t="s">
        <v>1393</v>
      </c>
      <c r="B1173" s="83" t="s">
        <v>6361</v>
      </c>
      <c r="C1173" s="83" t="s">
        <v>164</v>
      </c>
      <c r="D1173" s="112">
        <v>1124929.0</v>
      </c>
      <c r="E1173" s="83">
        <v>1178774.0</v>
      </c>
      <c r="F1173" s="98">
        <v>2.9490154E7</v>
      </c>
      <c r="G1173" s="218" t="s">
        <v>6369</v>
      </c>
      <c r="H1173" s="91" t="s">
        <v>6370</v>
      </c>
      <c r="I1173" s="136" t="s">
        <v>149</v>
      </c>
      <c r="J1173" s="136" t="s">
        <v>6371</v>
      </c>
      <c r="K1173" s="83" t="s">
        <v>151</v>
      </c>
      <c r="L1173" s="83" t="s">
        <v>169</v>
      </c>
      <c r="M1173" s="82" t="str">
        <f>IFERROR(__xludf.DUMMYFUNCTION("IFERROR(VLOOKUP(D1173,
IMPORTRANGE(""https://docs.google.com/spreadsheets/d/1MjHtlUikwobi2MaWJgy7tfLeBmhj1u-dRFRs_8GwSoA/edit#gid=0"",""Gestores Escolares!D7:J""),3,0),""VERIFICAR CÓD SEC"")"),"HIGO LOPES ROCHA")</f>
        <v>HIGO LOPES ROCHA</v>
      </c>
      <c r="N1173" s="82" t="str">
        <f>IFERROR(__xludf.DUMMYFUNCTION("IFERROR(VLOOKUP(D1173,
IMPORTRANGE(""https://docs.google.com/spreadsheets/d/1MjHtlUikwobi2MaWJgy7tfLeBmhj1u-dRFRs_8GwSoA/edit#gid=0"",""Gestores Escolares!D7:J""),4,0),""VERIFICAR CÓD SEC"")"),"(77) 9 9143-6046")</f>
        <v>(77) 9 9143-6046</v>
      </c>
      <c r="O1173" s="82" t="str">
        <f>IFERROR(__xludf.DUMMYFUNCTION("IFERROR(VLOOKUP(D1173,
IMPORTRANGE(""https://docs.google.com/spreadsheets/d/1MjHtlUikwobi2MaWJgy7tfLeBmhj1u-dRFRs_8GwSoA/edit#gid=0"",""Gestores Escolares!D7:J""),6,0),""VERIFICAR CÓD SEC"")"),"ELISA GALVAO SANTOS VILARES")</f>
        <v>ELISA GALVAO SANTOS VILARES</v>
      </c>
      <c r="P1173" s="82" t="str">
        <f>IFERROR(__xludf.DUMMYFUNCTION("IFERROR(VLOOKUP(D1173,
IMPORTRANGE(""https://docs.google.com/spreadsheets/d/1MjHtlUikwobi2MaWJgy7tfLeBmhj1u-dRFRs_8GwSoA/edit#gid=0"",""Gestores Escolares!D7:J""),7,0),""VERIFICAR CÓD SEC"")"),"(77) 9 9143-6141")</f>
        <v>(77) 9 9143-6141</v>
      </c>
      <c r="Q1173" s="82" t="str">
        <f>IFERROR(__xludf.DUMMYFUNCTION("IFERROR(VLOOKUP(D1173,
IMPORTRANGE(""https://docs.google.com/spreadsheets/d/1MjHtlUikwobi2MaWJgy7tfLeBmhj1u-dRFRs_8GwSoA/edit#gid=0"",""Gestores Escolares!D7:m""),9,0),""VERIFICAR CÓD SEC"")"),"")</f>
        <v/>
      </c>
      <c r="R1173" s="82" t="str">
        <f>IFERROR(__xludf.DUMMYFUNCTION("IFERROR(VLOOKUP(D1173,
IMPORTRANGE(""https://docs.google.com/spreadsheets/d/1MjHtlUikwobi2MaWJgy7tfLeBmhj1u-dRFRs_8GwSoA/edit#gid=0"",""Gestores Escolares!D7:m""),10,0),""VERIFICAR CÓD SEC"")"),"")</f>
        <v/>
      </c>
      <c r="S1173" s="82"/>
      <c r="T1173" s="138">
        <v>6.0</v>
      </c>
      <c r="U1173" s="152" t="s">
        <v>13839</v>
      </c>
      <c r="V1173" s="106">
        <v>0.0</v>
      </c>
      <c r="W1173" s="107">
        <v>0.0</v>
      </c>
      <c r="X1173" s="107">
        <v>0.0</v>
      </c>
      <c r="Y1173" s="107">
        <v>0.0</v>
      </c>
      <c r="Z1173" s="80">
        <f t="shared" si="1"/>
        <v>0</v>
      </c>
      <c r="AA1173" s="106">
        <v>0.0</v>
      </c>
      <c r="AB1173" s="107">
        <v>0.0</v>
      </c>
      <c r="AC1173" s="107">
        <v>0.0</v>
      </c>
      <c r="AD1173" s="107">
        <v>0.0</v>
      </c>
      <c r="AE1173" s="80">
        <f t="shared" si="2"/>
        <v>0</v>
      </c>
      <c r="AF1173" s="140">
        <v>104.0</v>
      </c>
      <c r="AG1173" s="109">
        <v>0.0</v>
      </c>
      <c r="AH1173" s="109">
        <v>0.0</v>
      </c>
      <c r="AI1173" s="141">
        <v>0.0</v>
      </c>
      <c r="AJ1173" s="80">
        <f t="shared" si="3"/>
        <v>104</v>
      </c>
      <c r="AK1173" s="140">
        <v>0.0</v>
      </c>
      <c r="AL1173" s="109">
        <v>0.0</v>
      </c>
      <c r="AM1173" s="141">
        <v>0.0</v>
      </c>
      <c r="AN1173" s="80">
        <f t="shared" si="4"/>
        <v>0</v>
      </c>
      <c r="AO1173" s="140">
        <v>0.0</v>
      </c>
      <c r="AP1173" s="109">
        <v>0.0</v>
      </c>
      <c r="AQ1173" s="109">
        <v>21.0</v>
      </c>
      <c r="AR1173" s="80">
        <f t="shared" si="5"/>
        <v>21</v>
      </c>
      <c r="AS1173" s="110">
        <v>0.0</v>
      </c>
      <c r="AT1173" s="110">
        <v>0.0</v>
      </c>
      <c r="AU1173" s="110">
        <v>0.0</v>
      </c>
      <c r="AV1173" s="142">
        <v>0.0</v>
      </c>
      <c r="AW1173" s="80">
        <f t="shared" si="6"/>
        <v>0</v>
      </c>
      <c r="AX1173" s="113">
        <f t="shared" si="7"/>
        <v>125</v>
      </c>
      <c r="AY1173" s="117">
        <f t="shared" si="8"/>
        <v>104</v>
      </c>
      <c r="AZ1173" s="120">
        <f t="shared" si="9"/>
        <v>21</v>
      </c>
      <c r="BA1173" s="115">
        <v>0.0</v>
      </c>
      <c r="BB1173" s="89">
        <f t="shared" si="10"/>
        <v>125</v>
      </c>
      <c r="BC1173" s="132" t="s">
        <v>373</v>
      </c>
      <c r="BD1173" s="132" t="s">
        <v>178</v>
      </c>
      <c r="BE1173" s="132" t="s">
        <v>178</v>
      </c>
      <c r="BF1173" s="123"/>
      <c r="BG1173" s="83">
        <v>1178774.0</v>
      </c>
      <c r="BH1173" s="112"/>
      <c r="BI1173" s="112">
        <v>5.0</v>
      </c>
      <c r="BJ1173" s="98" t="s">
        <v>155</v>
      </c>
      <c r="BK1173" s="99">
        <f t="shared" si="11"/>
        <v>0</v>
      </c>
      <c r="BL1173" s="99">
        <f t="shared" si="12"/>
        <v>104</v>
      </c>
      <c r="BM1173" s="99" t="str">
        <f>IFERROR(__xludf.DUMMYFUNCTION("IFERROR(VLOOKUP(BG1173,IMPORTRANGE(""https://docs.google.com/spreadsheets/d/1juPI-Fb8LD0YtltB2mlGEnp_R3UVu1t3wSFPzgCyHXE/edit?gid=0#gid=0"",""GERAL!A2:C""),3,0),""-"")"),"CAMPO")</f>
        <v>CAMPO</v>
      </c>
    </row>
    <row r="1174" ht="15.75" customHeight="1">
      <c r="A1174" s="111" t="s">
        <v>1393</v>
      </c>
      <c r="B1174" s="83" t="s">
        <v>6361</v>
      </c>
      <c r="C1174" s="83" t="s">
        <v>164</v>
      </c>
      <c r="D1174" s="112">
        <v>1179285.0</v>
      </c>
      <c r="E1174" s="83">
        <v>1178775.0</v>
      </c>
      <c r="F1174" s="98">
        <v>2.9461472E7</v>
      </c>
      <c r="G1174" s="114" t="s">
        <v>6373</v>
      </c>
      <c r="H1174" s="91" t="s">
        <v>6374</v>
      </c>
      <c r="I1174" s="136" t="s">
        <v>149</v>
      </c>
      <c r="J1174" s="136" t="s">
        <v>3271</v>
      </c>
      <c r="K1174" s="83" t="s">
        <v>168</v>
      </c>
      <c r="L1174" s="83" t="s">
        <v>169</v>
      </c>
      <c r="M1174" s="82" t="str">
        <f>IFERROR(__xludf.DUMMYFUNCTION("IFERROR(VLOOKUP(D1174,
IMPORTRANGE(""https://docs.google.com/spreadsheets/d/1MjHtlUikwobi2MaWJgy7tfLeBmhj1u-dRFRs_8GwSoA/edit#gid=0"",""Gestores Escolares!D7:J""),3,0),""VERIFICAR CÓD SEC"")"),"MONIQUE ALVES BRITO")</f>
        <v>MONIQUE ALVES BRITO</v>
      </c>
      <c r="N1174" s="82" t="str">
        <f>IFERROR(__xludf.DUMMYFUNCTION("IFERROR(VLOOKUP(D1174,
IMPORTRANGE(""https://docs.google.com/spreadsheets/d/1MjHtlUikwobi2MaWJgy7tfLeBmhj1u-dRFRs_8GwSoA/edit#gid=0"",""Gestores Escolares!D7:J""),4,0),""VERIFICAR CÓD SEC"")"),"(71) 9 8622-0492")</f>
        <v>(71) 9 8622-0492</v>
      </c>
      <c r="O1174" s="82" t="str">
        <f>IFERROR(__xludf.DUMMYFUNCTION("IFERROR(VLOOKUP(D1174,
IMPORTRANGE(""https://docs.google.com/spreadsheets/d/1MjHtlUikwobi2MaWJgy7tfLeBmhj1u-dRFRs_8GwSoA/edit#gid=0"",""Gestores Escolares!D7:J""),6,0),""VERIFICAR CÓD SEC"")"),"DANILO LARANJEIRA DE JESUS")</f>
        <v>DANILO LARANJEIRA DE JESUS</v>
      </c>
      <c r="P1174" s="82" t="str">
        <f>IFERROR(__xludf.DUMMYFUNCTION("IFERROR(VLOOKUP(D1174,
IMPORTRANGE(""https://docs.google.com/spreadsheets/d/1MjHtlUikwobi2MaWJgy7tfLeBmhj1u-dRFRs_8GwSoA/edit#gid=0"",""Gestores Escolares!D7:J""),7,0),""VERIFICAR CÓD SEC"")"),"(73) 9 8123-1590")</f>
        <v>(73) 9 8123-1590</v>
      </c>
      <c r="Q1174" s="82" t="str">
        <f>IFERROR(__xludf.DUMMYFUNCTION("IFERROR(VLOOKUP(D1174,
IMPORTRANGE(""https://docs.google.com/spreadsheets/d/1MjHtlUikwobi2MaWJgy7tfLeBmhj1u-dRFRs_8GwSoA/edit#gid=0"",""Gestores Escolares!D7:m""),9,0),""VERIFICAR CÓD SEC"")")," RICARDO COSTA DE MORAES")</f>
        <v> RICARDO COSTA DE MORAES</v>
      </c>
      <c r="R1174" s="82" t="str">
        <f>IFERROR(__xludf.DUMMYFUNCTION("IFERROR(VLOOKUP(D1174,
IMPORTRANGE(""https://docs.google.com/spreadsheets/d/1MjHtlUikwobi2MaWJgy7tfLeBmhj1u-dRFRs_8GwSoA/edit#gid=0"",""Gestores Escolares!D7:m""),10,0),""VERIFICAR CÓD SEC"")"),"(77) 9 8816-9018")</f>
        <v>(77) 9 8816-9018</v>
      </c>
      <c r="S1174" s="82"/>
      <c r="T1174" s="138">
        <v>2.0</v>
      </c>
      <c r="U1174" s="152">
        <v>2.0</v>
      </c>
      <c r="V1174" s="106">
        <v>0.0</v>
      </c>
      <c r="W1174" s="107">
        <v>0.0</v>
      </c>
      <c r="X1174" s="107">
        <v>0.0</v>
      </c>
      <c r="Y1174" s="107">
        <v>0.0</v>
      </c>
      <c r="Z1174" s="80">
        <f t="shared" si="1"/>
        <v>0</v>
      </c>
      <c r="AA1174" s="106">
        <v>0.0</v>
      </c>
      <c r="AB1174" s="107">
        <v>0.0</v>
      </c>
      <c r="AC1174" s="107">
        <v>0.0</v>
      </c>
      <c r="AD1174" s="107">
        <v>0.0</v>
      </c>
      <c r="AE1174" s="80">
        <f t="shared" si="2"/>
        <v>0</v>
      </c>
      <c r="AF1174" s="140">
        <v>16.0</v>
      </c>
      <c r="AG1174" s="109">
        <v>8.0</v>
      </c>
      <c r="AH1174" s="109">
        <v>0.0</v>
      </c>
      <c r="AI1174" s="141">
        <v>0.0</v>
      </c>
      <c r="AJ1174" s="80">
        <f t="shared" si="3"/>
        <v>24</v>
      </c>
      <c r="AK1174" s="140">
        <v>0.0</v>
      </c>
      <c r="AL1174" s="109">
        <v>0.0</v>
      </c>
      <c r="AM1174" s="141">
        <v>0.0</v>
      </c>
      <c r="AN1174" s="80">
        <f t="shared" si="4"/>
        <v>0</v>
      </c>
      <c r="AO1174" s="140">
        <v>0.0</v>
      </c>
      <c r="AP1174" s="109">
        <v>0.0</v>
      </c>
      <c r="AQ1174" s="109">
        <v>0.0</v>
      </c>
      <c r="AR1174" s="80">
        <f t="shared" si="5"/>
        <v>0</v>
      </c>
      <c r="AS1174" s="110">
        <v>0.0</v>
      </c>
      <c r="AT1174" s="110">
        <v>0.0</v>
      </c>
      <c r="AU1174" s="110">
        <v>0.0</v>
      </c>
      <c r="AV1174" s="142">
        <v>0.0</v>
      </c>
      <c r="AW1174" s="80">
        <f t="shared" si="6"/>
        <v>0</v>
      </c>
      <c r="AX1174" s="113">
        <f t="shared" si="7"/>
        <v>24</v>
      </c>
      <c r="AY1174" s="117">
        <f t="shared" si="8"/>
        <v>24</v>
      </c>
      <c r="AZ1174" s="120">
        <f t="shared" si="9"/>
        <v>0</v>
      </c>
      <c r="BA1174" s="115">
        <v>0.0</v>
      </c>
      <c r="BB1174" s="89">
        <f t="shared" si="10"/>
        <v>24</v>
      </c>
      <c r="BC1174" s="132" t="s">
        <v>178</v>
      </c>
      <c r="BD1174" s="143" t="s">
        <v>227</v>
      </c>
      <c r="BE1174" s="132" t="s">
        <v>178</v>
      </c>
      <c r="BF1174" s="123"/>
      <c r="BG1174" s="83">
        <v>1178775.0</v>
      </c>
      <c r="BH1174" s="112"/>
      <c r="BI1174" s="112">
        <v>2.0</v>
      </c>
      <c r="BJ1174" s="98" t="s">
        <v>155</v>
      </c>
      <c r="BK1174" s="99">
        <f t="shared" si="11"/>
        <v>0</v>
      </c>
      <c r="BL1174" s="99">
        <f t="shared" si="12"/>
        <v>24</v>
      </c>
      <c r="BM1174" s="99" t="str">
        <f>IFERROR(__xludf.DUMMYFUNCTION("IFERROR(VLOOKUP(BG1174,IMPORTRANGE(""https://docs.google.com/spreadsheets/d/1juPI-Fb8LD0YtltB2mlGEnp_R3UVu1t3wSFPzgCyHXE/edit?gid=0#gid=0"",""GERAL!A2:C""),3,0),""-"")"),"-")</f>
        <v>-</v>
      </c>
    </row>
    <row r="1175" ht="15.75" customHeight="1">
      <c r="A1175" s="111" t="s">
        <v>1393</v>
      </c>
      <c r="B1175" s="172" t="s">
        <v>6375</v>
      </c>
      <c r="C1175" s="83" t="s">
        <v>68</v>
      </c>
      <c r="D1175" s="112">
        <v>1178248.0</v>
      </c>
      <c r="E1175" s="83"/>
      <c r="F1175" s="83">
        <v>2.9265932E7</v>
      </c>
      <c r="G1175" s="119" t="s">
        <v>6377</v>
      </c>
      <c r="H1175" s="91" t="s">
        <v>6378</v>
      </c>
      <c r="I1175" s="172" t="s">
        <v>149</v>
      </c>
      <c r="J1175" s="83" t="s">
        <v>150</v>
      </c>
      <c r="K1175" s="83" t="s">
        <v>151</v>
      </c>
      <c r="L1175" s="98" t="s">
        <v>230</v>
      </c>
      <c r="M1175" s="82" t="str">
        <f>IFERROR(__xludf.DUMMYFUNCTION("IFERROR(VLOOKUP(D1175,
IMPORTRANGE(""https://docs.google.com/spreadsheets/d/1MjHtlUikwobi2MaWJgy7tfLeBmhj1u-dRFRs_8GwSoA/edit#gid=0"",""Gestores Escolares!D7:J""),3,0),""VERIFICAR CÓD SEC"")"),"ANDREA LACERDA LEITE DE ANDRADE")</f>
        <v>ANDREA LACERDA LEITE DE ANDRADE</v>
      </c>
      <c r="N1175" s="82" t="str">
        <f>IFERROR(__xludf.DUMMYFUNCTION("IFERROR(VLOOKUP(D1175,
IMPORTRANGE(""https://docs.google.com/spreadsheets/d/1MjHtlUikwobi2MaWJgy7tfLeBmhj1u-dRFRs_8GwSoA/edit#gid=0"",""Gestores Escolares!D7:J""),4,0),""VERIFICAR CÓD SEC"")"),"(77) 9 9131-5205")</f>
        <v>(77) 9 9131-5205</v>
      </c>
      <c r="O1175" s="82" t="str">
        <f>IFERROR(__xludf.DUMMYFUNCTION("IFERROR(VLOOKUP(D1175,
IMPORTRANGE(""https://docs.google.com/spreadsheets/d/1MjHtlUikwobi2MaWJgy7tfLeBmhj1u-dRFRs_8GwSoA/edit#gid=0"",""Gestores Escolares!D7:J""),6,0),""VERIFICAR CÓD SEC"")"),"JOELSON CARVALHO ROCHA")</f>
        <v>JOELSON CARVALHO ROCHA</v>
      </c>
      <c r="P1175" s="82" t="str">
        <f>IFERROR(__xludf.DUMMYFUNCTION("IFERROR(VLOOKUP(D1175,
IMPORTRANGE(""https://docs.google.com/spreadsheets/d/1MjHtlUikwobi2MaWJgy7tfLeBmhj1u-dRFRs_8GwSoA/edit#gid=0"",""Gestores Escolares!D7:J""),7,0),""VERIFICAR CÓD SEC"")"),"(77) 9 9990-4088")</f>
        <v>(77) 9 9990-4088</v>
      </c>
      <c r="Q1175" s="82" t="str">
        <f>IFERROR(__xludf.DUMMYFUNCTION("IFERROR(VLOOKUP(D1175,
IMPORTRANGE(""https://docs.google.com/spreadsheets/d/1MjHtlUikwobi2MaWJgy7tfLeBmhj1u-dRFRs_8GwSoA/edit#gid=0"",""Gestores Escolares!D7:m""),9,0),""VERIFICAR CÓD SEC"")"),"")</f>
        <v/>
      </c>
      <c r="R1175" s="82" t="str">
        <f>IFERROR(__xludf.DUMMYFUNCTION("IFERROR(VLOOKUP(D1175,
IMPORTRANGE(""https://docs.google.com/spreadsheets/d/1MjHtlUikwobi2MaWJgy7tfLeBmhj1u-dRFRs_8GwSoA/edit#gid=0"",""Gestores Escolares!D7:m""),10,0),""VERIFICAR CÓD SEC"")"),"")</f>
        <v/>
      </c>
      <c r="S1175" s="82"/>
      <c r="T1175" s="138">
        <v>8.0</v>
      </c>
      <c r="U1175" s="217">
        <v>8.0</v>
      </c>
      <c r="V1175" s="106">
        <v>0.0</v>
      </c>
      <c r="W1175" s="107">
        <v>0.0</v>
      </c>
      <c r="X1175" s="107">
        <v>0.0</v>
      </c>
      <c r="Y1175" s="107">
        <v>0.0</v>
      </c>
      <c r="Z1175" s="80">
        <f t="shared" si="1"/>
        <v>0</v>
      </c>
      <c r="AA1175" s="106">
        <v>0.0</v>
      </c>
      <c r="AB1175" s="107">
        <v>0.0</v>
      </c>
      <c r="AC1175" s="107">
        <v>0.0</v>
      </c>
      <c r="AD1175" s="107">
        <v>0.0</v>
      </c>
      <c r="AE1175" s="80">
        <f t="shared" si="2"/>
        <v>0</v>
      </c>
      <c r="AF1175" s="140">
        <v>75.0</v>
      </c>
      <c r="AG1175" s="109">
        <v>129.0</v>
      </c>
      <c r="AH1175" s="109">
        <v>0.0</v>
      </c>
      <c r="AI1175" s="141">
        <v>56.0</v>
      </c>
      <c r="AJ1175" s="80">
        <f t="shared" si="3"/>
        <v>260</v>
      </c>
      <c r="AK1175" s="140">
        <v>0.0</v>
      </c>
      <c r="AL1175" s="109">
        <v>0.0</v>
      </c>
      <c r="AM1175" s="141">
        <v>0.0</v>
      </c>
      <c r="AN1175" s="80">
        <f t="shared" si="4"/>
        <v>0</v>
      </c>
      <c r="AO1175" s="140">
        <v>0.0</v>
      </c>
      <c r="AP1175" s="109">
        <v>0.0</v>
      </c>
      <c r="AQ1175" s="109">
        <v>12.0</v>
      </c>
      <c r="AR1175" s="80">
        <f t="shared" si="5"/>
        <v>12</v>
      </c>
      <c r="AS1175" s="110">
        <v>0.0</v>
      </c>
      <c r="AT1175" s="110">
        <v>0.0</v>
      </c>
      <c r="AU1175" s="110">
        <v>12.0</v>
      </c>
      <c r="AV1175" s="142">
        <v>50.0</v>
      </c>
      <c r="AW1175" s="80">
        <f t="shared" si="6"/>
        <v>62</v>
      </c>
      <c r="AX1175" s="113">
        <f t="shared" si="7"/>
        <v>334</v>
      </c>
      <c r="AY1175" s="117">
        <f t="shared" si="8"/>
        <v>310</v>
      </c>
      <c r="AZ1175" s="120">
        <f t="shared" si="9"/>
        <v>24</v>
      </c>
      <c r="BA1175" s="115">
        <v>0.0</v>
      </c>
      <c r="BB1175" s="89">
        <f t="shared" si="10"/>
        <v>334</v>
      </c>
      <c r="BC1175" s="132" t="s">
        <v>178</v>
      </c>
      <c r="BD1175" s="132" t="s">
        <v>178</v>
      </c>
      <c r="BE1175" s="132" t="s">
        <v>178</v>
      </c>
      <c r="BF1175" s="123"/>
      <c r="BG1175" s="83">
        <v>1178248.0</v>
      </c>
      <c r="BH1175" s="112"/>
      <c r="BI1175" s="112">
        <v>6.0</v>
      </c>
      <c r="BJ1175" s="98" t="s">
        <v>155</v>
      </c>
      <c r="BK1175" s="99">
        <f t="shared" si="11"/>
        <v>106</v>
      </c>
      <c r="BL1175" s="99">
        <f t="shared" si="12"/>
        <v>204</v>
      </c>
      <c r="BM1175" s="99" t="str">
        <f>IFERROR(__xludf.DUMMYFUNCTION("IFERROR(VLOOKUP(BG1175,IMPORTRANGE(""https://docs.google.com/spreadsheets/d/1juPI-Fb8LD0YtltB2mlGEnp_R3UVu1t3wSFPzgCyHXE/edit?gid=0#gid=0"",""GERAL!A2:C""),3,0),""-"")"),"-")</f>
        <v>-</v>
      </c>
    </row>
    <row r="1176" ht="15.75" customHeight="1">
      <c r="A1176" s="111" t="s">
        <v>1393</v>
      </c>
      <c r="B1176" s="83" t="s">
        <v>6375</v>
      </c>
      <c r="C1176" s="83" t="s">
        <v>164</v>
      </c>
      <c r="D1176" s="112">
        <v>1178248.0</v>
      </c>
      <c r="E1176" s="83">
        <v>1178776.0</v>
      </c>
      <c r="F1176" s="98">
        <v>2.949275E7</v>
      </c>
      <c r="G1176" s="119" t="s">
        <v>6380</v>
      </c>
      <c r="H1176" s="91" t="s">
        <v>6381</v>
      </c>
      <c r="I1176" s="172" t="s">
        <v>6382</v>
      </c>
      <c r="J1176" s="83" t="s">
        <v>187</v>
      </c>
      <c r="K1176" s="83" t="s">
        <v>168</v>
      </c>
      <c r="L1176" s="83" t="s">
        <v>169</v>
      </c>
      <c r="M1176" s="82" t="str">
        <f>IFERROR(__xludf.DUMMYFUNCTION("IFERROR(VLOOKUP(D1176,
IMPORTRANGE(""https://docs.google.com/spreadsheets/d/1MjHtlUikwobi2MaWJgy7tfLeBmhj1u-dRFRs_8GwSoA/edit#gid=0"",""Gestores Escolares!D7:J""),3,0),""VERIFICAR CÓD SEC"")"),"ANDREA LACERDA LEITE DE ANDRADE")</f>
        <v>ANDREA LACERDA LEITE DE ANDRADE</v>
      </c>
      <c r="N1176" s="82" t="str">
        <f>IFERROR(__xludf.DUMMYFUNCTION("IFERROR(VLOOKUP(D1176,
IMPORTRANGE(""https://docs.google.com/spreadsheets/d/1MjHtlUikwobi2MaWJgy7tfLeBmhj1u-dRFRs_8GwSoA/edit#gid=0"",""Gestores Escolares!D7:J""),4,0),""VERIFICAR CÓD SEC"")"),"(77) 9 9131-5205")</f>
        <v>(77) 9 9131-5205</v>
      </c>
      <c r="O1176" s="82" t="str">
        <f>IFERROR(__xludf.DUMMYFUNCTION("IFERROR(VLOOKUP(D1176,
IMPORTRANGE(""https://docs.google.com/spreadsheets/d/1MjHtlUikwobi2MaWJgy7tfLeBmhj1u-dRFRs_8GwSoA/edit#gid=0"",""Gestores Escolares!D7:J""),6,0),""VERIFICAR CÓD SEC"")"),"JOELSON CARVALHO ROCHA")</f>
        <v>JOELSON CARVALHO ROCHA</v>
      </c>
      <c r="P1176" s="82" t="str">
        <f>IFERROR(__xludf.DUMMYFUNCTION("IFERROR(VLOOKUP(D1176,
IMPORTRANGE(""https://docs.google.com/spreadsheets/d/1MjHtlUikwobi2MaWJgy7tfLeBmhj1u-dRFRs_8GwSoA/edit#gid=0"",""Gestores Escolares!D7:J""),7,0),""VERIFICAR CÓD SEC"")"),"(77) 9 9990-4088")</f>
        <v>(77) 9 9990-4088</v>
      </c>
      <c r="Q1176" s="82" t="str">
        <f>IFERROR(__xludf.DUMMYFUNCTION("IFERROR(VLOOKUP(D1176,
IMPORTRANGE(""https://docs.google.com/spreadsheets/d/1MjHtlUikwobi2MaWJgy7tfLeBmhj1u-dRFRs_8GwSoA/edit#gid=0"",""Gestores Escolares!D7:m""),9,0),""VERIFICAR CÓD SEC"")"),"")</f>
        <v/>
      </c>
      <c r="R1176" s="82" t="str">
        <f>IFERROR(__xludf.DUMMYFUNCTION("IFERROR(VLOOKUP(D1176,
IMPORTRANGE(""https://docs.google.com/spreadsheets/d/1MjHtlUikwobi2MaWJgy7tfLeBmhj1u-dRFRs_8GwSoA/edit#gid=0"",""Gestores Escolares!D7:m""),10,0),""VERIFICAR CÓD SEC"")"),"")</f>
        <v/>
      </c>
      <c r="S1176" s="82"/>
      <c r="T1176" s="138">
        <v>3.0</v>
      </c>
      <c r="U1176" s="152">
        <v>3.0</v>
      </c>
      <c r="V1176" s="106">
        <v>0.0</v>
      </c>
      <c r="W1176" s="107">
        <v>0.0</v>
      </c>
      <c r="X1176" s="107">
        <v>0.0</v>
      </c>
      <c r="Y1176" s="107">
        <v>0.0</v>
      </c>
      <c r="Z1176" s="80">
        <f t="shared" si="1"/>
        <v>0</v>
      </c>
      <c r="AA1176" s="106">
        <v>0.0</v>
      </c>
      <c r="AB1176" s="107">
        <v>0.0</v>
      </c>
      <c r="AC1176" s="107">
        <v>0.0</v>
      </c>
      <c r="AD1176" s="107">
        <v>0.0</v>
      </c>
      <c r="AE1176" s="80">
        <f t="shared" si="2"/>
        <v>0</v>
      </c>
      <c r="AF1176" s="140">
        <v>0.0</v>
      </c>
      <c r="AG1176" s="109">
        <v>33.0</v>
      </c>
      <c r="AH1176" s="109">
        <v>0.0</v>
      </c>
      <c r="AI1176" s="141">
        <v>0.0</v>
      </c>
      <c r="AJ1176" s="80">
        <f t="shared" si="3"/>
        <v>33</v>
      </c>
      <c r="AK1176" s="140">
        <v>0.0</v>
      </c>
      <c r="AL1176" s="109">
        <v>0.0</v>
      </c>
      <c r="AM1176" s="141">
        <v>0.0</v>
      </c>
      <c r="AN1176" s="80">
        <f t="shared" si="4"/>
        <v>0</v>
      </c>
      <c r="AO1176" s="140">
        <v>0.0</v>
      </c>
      <c r="AP1176" s="109">
        <v>0.0</v>
      </c>
      <c r="AQ1176" s="109">
        <v>11.0</v>
      </c>
      <c r="AR1176" s="80">
        <f t="shared" si="5"/>
        <v>11</v>
      </c>
      <c r="AS1176" s="110">
        <v>0.0</v>
      </c>
      <c r="AT1176" s="110">
        <v>0.0</v>
      </c>
      <c r="AU1176" s="110">
        <v>0.0</v>
      </c>
      <c r="AV1176" s="142">
        <v>0.0</v>
      </c>
      <c r="AW1176" s="80">
        <f t="shared" si="6"/>
        <v>0</v>
      </c>
      <c r="AX1176" s="113">
        <f t="shared" si="7"/>
        <v>44</v>
      </c>
      <c r="AY1176" s="117">
        <f t="shared" si="8"/>
        <v>33</v>
      </c>
      <c r="AZ1176" s="120">
        <f t="shared" si="9"/>
        <v>11</v>
      </c>
      <c r="BA1176" s="115">
        <v>0.0</v>
      </c>
      <c r="BB1176" s="89">
        <f t="shared" si="10"/>
        <v>44</v>
      </c>
      <c r="BC1176" s="132" t="s">
        <v>373</v>
      </c>
      <c r="BD1176" s="132" t="s">
        <v>178</v>
      </c>
      <c r="BE1176" s="132" t="s">
        <v>178</v>
      </c>
      <c r="BF1176" s="123"/>
      <c r="BG1176" s="83">
        <v>1178776.0</v>
      </c>
      <c r="BH1176" s="112"/>
      <c r="BI1176" s="112">
        <v>3.0</v>
      </c>
      <c r="BJ1176" s="98" t="s">
        <v>155</v>
      </c>
      <c r="BK1176" s="99">
        <f t="shared" si="11"/>
        <v>0</v>
      </c>
      <c r="BL1176" s="99">
        <f t="shared" si="12"/>
        <v>33</v>
      </c>
      <c r="BM1176" s="99" t="str">
        <f>IFERROR(__xludf.DUMMYFUNCTION("IFERROR(VLOOKUP(BG1176,IMPORTRANGE(""https://docs.google.com/spreadsheets/d/1juPI-Fb8LD0YtltB2mlGEnp_R3UVu1t3wSFPzgCyHXE/edit?gid=0#gid=0"",""GERAL!A2:C""),3,0),""-"")"),"CAMPO")</f>
        <v>CAMPO</v>
      </c>
    </row>
    <row r="1177" ht="15.75" customHeight="1">
      <c r="A1177" s="111" t="s">
        <v>1393</v>
      </c>
      <c r="B1177" s="83" t="s">
        <v>6375</v>
      </c>
      <c r="C1177" s="83" t="s">
        <v>164</v>
      </c>
      <c r="D1177" s="112">
        <v>1178248.0</v>
      </c>
      <c r="E1177" s="83">
        <v>1178777.0</v>
      </c>
      <c r="F1177" s="98">
        <v>2.9492769E7</v>
      </c>
      <c r="G1177" s="114" t="s">
        <v>6388</v>
      </c>
      <c r="H1177" s="91" t="s">
        <v>6389</v>
      </c>
      <c r="I1177" s="172" t="s">
        <v>6390</v>
      </c>
      <c r="J1177" s="83" t="s">
        <v>6391</v>
      </c>
      <c r="K1177" s="83" t="s">
        <v>168</v>
      </c>
      <c r="L1177" s="83" t="s">
        <v>169</v>
      </c>
      <c r="M1177" s="82" t="str">
        <f>IFERROR(__xludf.DUMMYFUNCTION("IFERROR(VLOOKUP(D1177,
IMPORTRANGE(""https://docs.google.com/spreadsheets/d/1MjHtlUikwobi2MaWJgy7tfLeBmhj1u-dRFRs_8GwSoA/edit#gid=0"",""Gestores Escolares!D7:J""),3,0),""VERIFICAR CÓD SEC"")"),"ANDREA LACERDA LEITE DE ANDRADE")</f>
        <v>ANDREA LACERDA LEITE DE ANDRADE</v>
      </c>
      <c r="N1177" s="82" t="str">
        <f>IFERROR(__xludf.DUMMYFUNCTION("IFERROR(VLOOKUP(D1177,
IMPORTRANGE(""https://docs.google.com/spreadsheets/d/1MjHtlUikwobi2MaWJgy7tfLeBmhj1u-dRFRs_8GwSoA/edit#gid=0"",""Gestores Escolares!D7:J""),4,0),""VERIFICAR CÓD SEC"")"),"(77) 9 9131-5205")</f>
        <v>(77) 9 9131-5205</v>
      </c>
      <c r="O1177" s="82" t="str">
        <f>IFERROR(__xludf.DUMMYFUNCTION("IFERROR(VLOOKUP(D1177,
IMPORTRANGE(""https://docs.google.com/spreadsheets/d/1MjHtlUikwobi2MaWJgy7tfLeBmhj1u-dRFRs_8GwSoA/edit#gid=0"",""Gestores Escolares!D7:J""),6,0),""VERIFICAR CÓD SEC"")"),"JOELSON CARVALHO ROCHA")</f>
        <v>JOELSON CARVALHO ROCHA</v>
      </c>
      <c r="P1177" s="82" t="str">
        <f>IFERROR(__xludf.DUMMYFUNCTION("IFERROR(VLOOKUP(D1177,
IMPORTRANGE(""https://docs.google.com/spreadsheets/d/1MjHtlUikwobi2MaWJgy7tfLeBmhj1u-dRFRs_8GwSoA/edit#gid=0"",""Gestores Escolares!D7:J""),7,0),""VERIFICAR CÓD SEC"")"),"(77) 9 9990-4088")</f>
        <v>(77) 9 9990-4088</v>
      </c>
      <c r="Q1177" s="82" t="str">
        <f>IFERROR(__xludf.DUMMYFUNCTION("IFERROR(VLOOKUP(D1177,
IMPORTRANGE(""https://docs.google.com/spreadsheets/d/1MjHtlUikwobi2MaWJgy7tfLeBmhj1u-dRFRs_8GwSoA/edit#gid=0"",""Gestores Escolares!D7:m""),9,0),""VERIFICAR CÓD SEC"")"),"")</f>
        <v/>
      </c>
      <c r="R1177" s="82" t="str">
        <f>IFERROR(__xludf.DUMMYFUNCTION("IFERROR(VLOOKUP(D1177,
IMPORTRANGE(""https://docs.google.com/spreadsheets/d/1MjHtlUikwobi2MaWJgy7tfLeBmhj1u-dRFRs_8GwSoA/edit#gid=0"",""Gestores Escolares!D7:m""),10,0),""VERIFICAR CÓD SEC"")"),"")</f>
        <v/>
      </c>
      <c r="S1177" s="82"/>
      <c r="T1177" s="138">
        <v>5.0</v>
      </c>
      <c r="U1177" s="217">
        <v>5.0</v>
      </c>
      <c r="V1177" s="106">
        <v>0.0</v>
      </c>
      <c r="W1177" s="107">
        <v>0.0</v>
      </c>
      <c r="X1177" s="107">
        <v>0.0</v>
      </c>
      <c r="Y1177" s="107">
        <v>0.0</v>
      </c>
      <c r="Z1177" s="80">
        <f t="shared" si="1"/>
        <v>0</v>
      </c>
      <c r="AA1177" s="106">
        <v>0.0</v>
      </c>
      <c r="AB1177" s="107">
        <v>0.0</v>
      </c>
      <c r="AC1177" s="107">
        <v>0.0</v>
      </c>
      <c r="AD1177" s="107">
        <v>0.0</v>
      </c>
      <c r="AE1177" s="80">
        <f t="shared" si="2"/>
        <v>0</v>
      </c>
      <c r="AF1177" s="140">
        <v>0.0</v>
      </c>
      <c r="AG1177" s="109">
        <v>55.0</v>
      </c>
      <c r="AH1177" s="109">
        <v>0.0</v>
      </c>
      <c r="AI1177" s="141">
        <v>0.0</v>
      </c>
      <c r="AJ1177" s="80">
        <f t="shared" si="3"/>
        <v>55</v>
      </c>
      <c r="AK1177" s="140">
        <v>0.0</v>
      </c>
      <c r="AL1177" s="109">
        <v>0.0</v>
      </c>
      <c r="AM1177" s="141">
        <v>0.0</v>
      </c>
      <c r="AN1177" s="80">
        <f t="shared" si="4"/>
        <v>0</v>
      </c>
      <c r="AO1177" s="140">
        <v>0.0</v>
      </c>
      <c r="AP1177" s="109">
        <v>0.0</v>
      </c>
      <c r="AQ1177" s="109">
        <v>0.0</v>
      </c>
      <c r="AR1177" s="80">
        <f t="shared" si="5"/>
        <v>0</v>
      </c>
      <c r="AS1177" s="110">
        <v>0.0</v>
      </c>
      <c r="AT1177" s="110">
        <v>0.0</v>
      </c>
      <c r="AU1177" s="110">
        <v>0.0</v>
      </c>
      <c r="AV1177" s="142">
        <v>0.0</v>
      </c>
      <c r="AW1177" s="80">
        <f t="shared" si="6"/>
        <v>0</v>
      </c>
      <c r="AX1177" s="113">
        <f t="shared" si="7"/>
        <v>55</v>
      </c>
      <c r="AY1177" s="117">
        <f t="shared" si="8"/>
        <v>55</v>
      </c>
      <c r="AZ1177" s="120">
        <f t="shared" si="9"/>
        <v>0</v>
      </c>
      <c r="BA1177" s="115">
        <v>0.0</v>
      </c>
      <c r="BB1177" s="89">
        <f t="shared" si="10"/>
        <v>55</v>
      </c>
      <c r="BC1177" s="132" t="s">
        <v>373</v>
      </c>
      <c r="BD1177" s="132" t="s">
        <v>178</v>
      </c>
      <c r="BE1177" s="132" t="s">
        <v>178</v>
      </c>
      <c r="BF1177" s="123"/>
      <c r="BG1177" s="83">
        <v>1178777.0</v>
      </c>
      <c r="BH1177" s="112"/>
      <c r="BI1177" s="112">
        <v>4.0</v>
      </c>
      <c r="BJ1177" s="98" t="s">
        <v>155</v>
      </c>
      <c r="BK1177" s="99">
        <f t="shared" si="11"/>
        <v>0</v>
      </c>
      <c r="BL1177" s="99">
        <f t="shared" si="12"/>
        <v>55</v>
      </c>
      <c r="BM1177" s="99" t="str">
        <f>IFERROR(__xludf.DUMMYFUNCTION("IFERROR(VLOOKUP(BG1177,IMPORTRANGE(""https://docs.google.com/spreadsheets/d/1juPI-Fb8LD0YtltB2mlGEnp_R3UVu1t3wSFPzgCyHXE/edit?gid=0#gid=0"",""GERAL!A2:C""),3,0),""-"")"),"CAMPO")</f>
        <v>CAMPO</v>
      </c>
    </row>
    <row r="1178" ht="15.75" customHeight="1">
      <c r="A1178" s="111" t="s">
        <v>1393</v>
      </c>
      <c r="B1178" s="83" t="s">
        <v>2282</v>
      </c>
      <c r="C1178" s="83" t="s">
        <v>68</v>
      </c>
      <c r="D1178" s="112">
        <v>1125305.0</v>
      </c>
      <c r="E1178" s="83"/>
      <c r="F1178" s="83">
        <v>2.927964E7</v>
      </c>
      <c r="G1178" s="114" t="s">
        <v>6392</v>
      </c>
      <c r="H1178" s="91" t="s">
        <v>6393</v>
      </c>
      <c r="I1178" s="83" t="s">
        <v>6394</v>
      </c>
      <c r="J1178" s="83" t="s">
        <v>150</v>
      </c>
      <c r="K1178" s="83" t="s">
        <v>151</v>
      </c>
      <c r="L1178" s="83" t="s">
        <v>230</v>
      </c>
      <c r="M1178" s="82" t="str">
        <f>IFERROR(__xludf.DUMMYFUNCTION("IFERROR(VLOOKUP(D1178,
IMPORTRANGE(""https://docs.google.com/spreadsheets/d/1MjHtlUikwobi2MaWJgy7tfLeBmhj1u-dRFRs_8GwSoA/edit#gid=0"",""Gestores Escolares!D7:J""),3,0),""VERIFICAR CÓD SEC"")"),"NAYARA OLIVEIRA VASCONCELOS")</f>
        <v>NAYARA OLIVEIRA VASCONCELOS</v>
      </c>
      <c r="N1178" s="82" t="str">
        <f>IFERROR(__xludf.DUMMYFUNCTION("IFERROR(VLOOKUP(D1178,
IMPORTRANGE(""https://docs.google.com/spreadsheets/d/1MjHtlUikwobi2MaWJgy7tfLeBmhj1u-dRFRs_8GwSoA/edit#gid=0"",""Gestores Escolares!D7:J""),4,0),""VERIFICAR CÓD SEC"")"),"(77) 9 8821-3989")</f>
        <v>(77) 9 8821-3989</v>
      </c>
      <c r="O1178" s="82" t="str">
        <f>IFERROR(__xludf.DUMMYFUNCTION("IFERROR(VLOOKUP(D1178,
IMPORTRANGE(""https://docs.google.com/spreadsheets/d/1MjHtlUikwobi2MaWJgy7tfLeBmhj1u-dRFRs_8GwSoA/edit#gid=0"",""Gestores Escolares!D7:J""),6,0),""VERIFICAR CÓD SEC"")"),"MARIA CONSUELO SILVA OLIVEIRA")</f>
        <v>MARIA CONSUELO SILVA OLIVEIRA</v>
      </c>
      <c r="P1178" s="82" t="str">
        <f>IFERROR(__xludf.DUMMYFUNCTION("IFERROR(VLOOKUP(D1178,
IMPORTRANGE(""https://docs.google.com/spreadsheets/d/1MjHtlUikwobi2MaWJgy7tfLeBmhj1u-dRFRs_8GwSoA/edit#gid=0"",""Gestores Escolares!D7:J""),7,0),""VERIFICAR CÓD SEC"")"),"(77) 9 8844-3850")</f>
        <v>(77) 9 8844-3850</v>
      </c>
      <c r="Q1178" s="82" t="str">
        <f>IFERROR(__xludf.DUMMYFUNCTION("IFERROR(VLOOKUP(D1178,
IMPORTRANGE(""https://docs.google.com/spreadsheets/d/1MjHtlUikwobi2MaWJgy7tfLeBmhj1u-dRFRs_8GwSoA/edit#gid=0"",""Gestores Escolares!D7:m""),9,0),""VERIFICAR CÓD SEC"")"),"LUCILENE FONTES DIAS DE MATOS")</f>
        <v>LUCILENE FONTES DIAS DE MATOS</v>
      </c>
      <c r="R1178" s="82" t="str">
        <f>IFERROR(__xludf.DUMMYFUNCTION("IFERROR(VLOOKUP(D1178,
IMPORTRANGE(""https://docs.google.com/spreadsheets/d/1MjHtlUikwobi2MaWJgy7tfLeBmhj1u-dRFRs_8GwSoA/edit#gid=0"",""Gestores Escolares!D7:m""),10,0),""VERIFICAR CÓD SEC"")"),"(77) 9 9814-7075")</f>
        <v>(77) 9 9814-7075</v>
      </c>
      <c r="S1178" s="82"/>
      <c r="T1178" s="138">
        <v>44.0</v>
      </c>
      <c r="U1178" s="217">
        <v>53.0</v>
      </c>
      <c r="V1178" s="106">
        <v>0.0</v>
      </c>
      <c r="W1178" s="107">
        <v>0.0</v>
      </c>
      <c r="X1178" s="107">
        <v>0.0</v>
      </c>
      <c r="Y1178" s="107">
        <v>0.0</v>
      </c>
      <c r="Z1178" s="80">
        <f t="shared" si="1"/>
        <v>0</v>
      </c>
      <c r="AA1178" s="106">
        <v>0.0</v>
      </c>
      <c r="AB1178" s="107">
        <v>0.0</v>
      </c>
      <c r="AC1178" s="107">
        <v>0.0</v>
      </c>
      <c r="AD1178" s="107">
        <v>0.0</v>
      </c>
      <c r="AE1178" s="80">
        <f t="shared" si="2"/>
        <v>0</v>
      </c>
      <c r="AF1178" s="140">
        <v>176.0</v>
      </c>
      <c r="AG1178" s="109">
        <v>125.0</v>
      </c>
      <c r="AH1178" s="109">
        <v>0.0</v>
      </c>
      <c r="AI1178" s="141">
        <v>1022.0</v>
      </c>
      <c r="AJ1178" s="80">
        <f t="shared" si="3"/>
        <v>1323</v>
      </c>
      <c r="AK1178" s="140">
        <v>0.0</v>
      </c>
      <c r="AL1178" s="109">
        <v>0.0</v>
      </c>
      <c r="AM1178" s="141">
        <v>0.0</v>
      </c>
      <c r="AN1178" s="80">
        <f t="shared" si="4"/>
        <v>0</v>
      </c>
      <c r="AO1178" s="140">
        <v>0.0</v>
      </c>
      <c r="AP1178" s="109">
        <v>0.0</v>
      </c>
      <c r="AQ1178" s="109">
        <v>206.0</v>
      </c>
      <c r="AR1178" s="80">
        <f t="shared" si="5"/>
        <v>206</v>
      </c>
      <c r="AS1178" s="110">
        <v>0.0</v>
      </c>
      <c r="AT1178" s="110">
        <v>0.0</v>
      </c>
      <c r="AU1178" s="110">
        <v>13.0</v>
      </c>
      <c r="AV1178" s="142">
        <v>142.0</v>
      </c>
      <c r="AW1178" s="80">
        <f t="shared" si="6"/>
        <v>155</v>
      </c>
      <c r="AX1178" s="113">
        <f t="shared" si="7"/>
        <v>1684</v>
      </c>
      <c r="AY1178" s="117">
        <f t="shared" si="8"/>
        <v>1465</v>
      </c>
      <c r="AZ1178" s="120">
        <f t="shared" si="9"/>
        <v>219</v>
      </c>
      <c r="BA1178" s="115">
        <v>0.0</v>
      </c>
      <c r="BB1178" s="89">
        <f t="shared" si="10"/>
        <v>1684</v>
      </c>
      <c r="BC1178" s="132" t="s">
        <v>178</v>
      </c>
      <c r="BD1178" s="132" t="s">
        <v>5473</v>
      </c>
      <c r="BE1178" s="132" t="s">
        <v>178</v>
      </c>
      <c r="BF1178" s="123"/>
      <c r="BG1178" s="83">
        <v>1125305.0</v>
      </c>
      <c r="BH1178" s="98"/>
      <c r="BI1178" s="98">
        <v>53.0</v>
      </c>
      <c r="BJ1178" s="98" t="s">
        <v>6065</v>
      </c>
      <c r="BK1178" s="99">
        <f t="shared" si="11"/>
        <v>1164</v>
      </c>
      <c r="BL1178" s="99">
        <f t="shared" si="12"/>
        <v>301</v>
      </c>
      <c r="BM1178" s="99" t="str">
        <f>IFERROR(__xludf.DUMMYFUNCTION("IFERROR(VLOOKUP(BG1178,IMPORTRANGE(""https://docs.google.com/spreadsheets/d/1juPI-Fb8LD0YtltB2mlGEnp_R3UVu1t3wSFPzgCyHXE/edit?gid=0#gid=0"",""GERAL!A2:C""),3,0),""-"")"),"-")</f>
        <v>-</v>
      </c>
    </row>
    <row r="1179" ht="15.75" customHeight="1">
      <c r="A1179" s="111" t="s">
        <v>1393</v>
      </c>
      <c r="B1179" s="83" t="s">
        <v>2282</v>
      </c>
      <c r="C1179" s="83" t="s">
        <v>68</v>
      </c>
      <c r="D1179" s="112">
        <v>1176435.0</v>
      </c>
      <c r="E1179" s="83"/>
      <c r="F1179" s="83">
        <v>2.940283E7</v>
      </c>
      <c r="G1179" s="119" t="s">
        <v>6401</v>
      </c>
      <c r="H1179" s="91" t="s">
        <v>6402</v>
      </c>
      <c r="I1179" s="172" t="s">
        <v>6403</v>
      </c>
      <c r="J1179" s="83" t="s">
        <v>150</v>
      </c>
      <c r="K1179" s="83" t="s">
        <v>151</v>
      </c>
      <c r="L1179" s="83" t="s">
        <v>152</v>
      </c>
      <c r="M1179" s="82" t="str">
        <f>IFERROR(__xludf.DUMMYFUNCTION("IFERROR(VLOOKUP(D1179,
IMPORTRANGE(""https://docs.google.com/spreadsheets/d/1MjHtlUikwobi2MaWJgy7tfLeBmhj1u-dRFRs_8GwSoA/edit#gid=0"",""Gestores Escolares!D7:J""),3,0),""VERIFICAR CÓD SEC"")"),"ROSELI CORREIA MADUREIRA MOREIRA")</f>
        <v>ROSELI CORREIA MADUREIRA MOREIRA</v>
      </c>
      <c r="N1179" s="82" t="str">
        <f>IFERROR(__xludf.DUMMYFUNCTION("IFERROR(VLOOKUP(D1179,
IMPORTRANGE(""https://docs.google.com/spreadsheets/d/1MjHtlUikwobi2MaWJgy7tfLeBmhj1u-dRFRs_8GwSoA/edit#gid=0"",""Gestores Escolares!D7:J""),4,0),""VERIFICAR CÓD SEC"")"),"(77) 9 9174-6161")</f>
        <v>(77) 9 9174-6161</v>
      </c>
      <c r="O1179" s="82" t="str">
        <f>IFERROR(__xludf.DUMMYFUNCTION("IFERROR(VLOOKUP(D1179,
IMPORTRANGE(""https://docs.google.com/spreadsheets/d/1MjHtlUikwobi2MaWJgy7tfLeBmhj1u-dRFRs_8GwSoA/edit#gid=0"",""Gestores Escolares!D7:J""),6,0),""VERIFICAR CÓD SEC"")"),"NEIDIMA DE OLIVEIRA SILVA")</f>
        <v>NEIDIMA DE OLIVEIRA SILVA</v>
      </c>
      <c r="P1179" s="82" t="str">
        <f>IFERROR(__xludf.DUMMYFUNCTION("IFERROR(VLOOKUP(D1179,
IMPORTRANGE(""https://docs.google.com/spreadsheets/d/1MjHtlUikwobi2MaWJgy7tfLeBmhj1u-dRFRs_8GwSoA/edit#gid=0"",""Gestores Escolares!D7:J""),7,0),""VERIFICAR CÓD SEC"")"),"(77) 9 9841-2992")</f>
        <v>(77) 9 9841-2992</v>
      </c>
      <c r="Q1179" s="82" t="str">
        <f>IFERROR(__xludf.DUMMYFUNCTION("IFERROR(VLOOKUP(D1179,
IMPORTRANGE(""https://docs.google.com/spreadsheets/d/1MjHtlUikwobi2MaWJgy7tfLeBmhj1u-dRFRs_8GwSoA/edit#gid=0"",""Gestores Escolares!D7:m""),9,0),""VERIFICAR CÓD SEC"")"),"")</f>
        <v/>
      </c>
      <c r="R1179" s="82" t="str">
        <f>IFERROR(__xludf.DUMMYFUNCTION("IFERROR(VLOOKUP(D1179,
IMPORTRANGE(""https://docs.google.com/spreadsheets/d/1MjHtlUikwobi2MaWJgy7tfLeBmhj1u-dRFRs_8GwSoA/edit#gid=0"",""Gestores Escolares!D7:m""),10,0),""VERIFICAR CÓD SEC"")"),"")</f>
        <v/>
      </c>
      <c r="S1179" s="82"/>
      <c r="T1179" s="138">
        <v>16.0</v>
      </c>
      <c r="U1179" s="217">
        <v>16.0</v>
      </c>
      <c r="V1179" s="106">
        <v>0.0</v>
      </c>
      <c r="W1179" s="107">
        <v>0.0</v>
      </c>
      <c r="X1179" s="107">
        <v>0.0</v>
      </c>
      <c r="Y1179" s="107">
        <v>0.0</v>
      </c>
      <c r="Z1179" s="80">
        <f t="shared" si="1"/>
        <v>0</v>
      </c>
      <c r="AA1179" s="106">
        <v>0.0</v>
      </c>
      <c r="AB1179" s="107">
        <v>0.0</v>
      </c>
      <c r="AC1179" s="107">
        <v>0.0</v>
      </c>
      <c r="AD1179" s="107">
        <v>0.0</v>
      </c>
      <c r="AE1179" s="80">
        <f t="shared" si="2"/>
        <v>0</v>
      </c>
      <c r="AF1179" s="140">
        <v>40.0</v>
      </c>
      <c r="AG1179" s="109">
        <v>0.0</v>
      </c>
      <c r="AH1179" s="109">
        <v>0.0</v>
      </c>
      <c r="AI1179" s="141">
        <v>694.0</v>
      </c>
      <c r="AJ1179" s="80">
        <f t="shared" si="3"/>
        <v>734</v>
      </c>
      <c r="AK1179" s="140">
        <v>0.0</v>
      </c>
      <c r="AL1179" s="109">
        <v>0.0</v>
      </c>
      <c r="AM1179" s="141">
        <v>0.0</v>
      </c>
      <c r="AN1179" s="80">
        <f t="shared" si="4"/>
        <v>0</v>
      </c>
      <c r="AO1179" s="140">
        <v>0.0</v>
      </c>
      <c r="AP1179" s="109">
        <v>0.0</v>
      </c>
      <c r="AQ1179" s="109">
        <v>0.0</v>
      </c>
      <c r="AR1179" s="80">
        <f t="shared" si="5"/>
        <v>0</v>
      </c>
      <c r="AS1179" s="110">
        <v>0.0</v>
      </c>
      <c r="AT1179" s="110">
        <v>0.0</v>
      </c>
      <c r="AU1179" s="110">
        <v>0.0</v>
      </c>
      <c r="AV1179" s="142">
        <v>0.0</v>
      </c>
      <c r="AW1179" s="80">
        <f t="shared" si="6"/>
        <v>0</v>
      </c>
      <c r="AX1179" s="113">
        <f t="shared" si="7"/>
        <v>734</v>
      </c>
      <c r="AY1179" s="117">
        <f t="shared" si="8"/>
        <v>734</v>
      </c>
      <c r="AZ1179" s="120">
        <f t="shared" si="9"/>
        <v>0</v>
      </c>
      <c r="BA1179" s="115">
        <v>0.0</v>
      </c>
      <c r="BB1179" s="89">
        <f t="shared" si="10"/>
        <v>734</v>
      </c>
      <c r="BC1179" s="132" t="s">
        <v>178</v>
      </c>
      <c r="BD1179" s="132" t="s">
        <v>178</v>
      </c>
      <c r="BE1179" s="132" t="s">
        <v>178</v>
      </c>
      <c r="BF1179" s="156"/>
      <c r="BG1179" s="83">
        <v>1176435.0</v>
      </c>
      <c r="BH1179" s="98"/>
      <c r="BI1179" s="98">
        <v>16.0</v>
      </c>
      <c r="BJ1179" s="98" t="s">
        <v>155</v>
      </c>
      <c r="BK1179" s="99">
        <f t="shared" si="11"/>
        <v>694</v>
      </c>
      <c r="BL1179" s="99">
        <f t="shared" si="12"/>
        <v>40</v>
      </c>
      <c r="BM1179" s="99" t="str">
        <f>IFERROR(__xludf.DUMMYFUNCTION("IFERROR(VLOOKUP(BG1179,IMPORTRANGE(""https://docs.google.com/spreadsheets/d/1juPI-Fb8LD0YtltB2mlGEnp_R3UVu1t3wSFPzgCyHXE/edit?gid=0#gid=0"",""GERAL!A2:C""),3,0),""-"")"),"-")</f>
        <v>-</v>
      </c>
    </row>
    <row r="1180" ht="15.75" customHeight="1">
      <c r="A1180" s="111" t="s">
        <v>1393</v>
      </c>
      <c r="B1180" s="83" t="s">
        <v>2282</v>
      </c>
      <c r="C1180" s="83" t="s">
        <v>68</v>
      </c>
      <c r="D1180" s="112">
        <v>1125160.0</v>
      </c>
      <c r="E1180" s="83"/>
      <c r="F1180" s="83">
        <v>2.9277809E7</v>
      </c>
      <c r="G1180" s="119" t="s">
        <v>6405</v>
      </c>
      <c r="H1180" s="91" t="s">
        <v>6406</v>
      </c>
      <c r="I1180" s="172" t="s">
        <v>955</v>
      </c>
      <c r="J1180" s="83" t="s">
        <v>150</v>
      </c>
      <c r="K1180" s="83" t="s">
        <v>151</v>
      </c>
      <c r="L1180" s="83" t="s">
        <v>152</v>
      </c>
      <c r="M1180" s="82" t="str">
        <f>IFERROR(__xludf.DUMMYFUNCTION("IFERROR(VLOOKUP(D1180,
IMPORTRANGE(""https://docs.google.com/spreadsheets/d/1MjHtlUikwobi2MaWJgy7tfLeBmhj1u-dRFRs_8GwSoA/edit#gid=0"",""Gestores Escolares!D7:J""),3,0),""VERIFICAR CÓD SEC"")"),"DILCINÉIA PEREIRA DA SILVA")</f>
        <v>DILCINÉIA PEREIRA DA SILVA</v>
      </c>
      <c r="N1180" s="82" t="str">
        <f>IFERROR(__xludf.DUMMYFUNCTION("IFERROR(VLOOKUP(D1180,
IMPORTRANGE(""https://docs.google.com/spreadsheets/d/1MjHtlUikwobi2MaWJgy7tfLeBmhj1u-dRFRs_8GwSoA/edit#gid=0"",""Gestores Escolares!D7:J""),4,0),""VERIFICAR CÓD SEC"")"),"(77) 9 8815-1295")</f>
        <v>(77) 9 8815-1295</v>
      </c>
      <c r="O1180" s="82" t="str">
        <f>IFERROR(__xludf.DUMMYFUNCTION("IFERROR(VLOOKUP(D1180,
IMPORTRANGE(""https://docs.google.com/spreadsheets/d/1MjHtlUikwobi2MaWJgy7tfLeBmhj1u-dRFRs_8GwSoA/edit#gid=0"",""Gestores Escolares!D7:J""),6,0),""VERIFICAR CÓD SEC"")"),"CRISTIANE CAMPOS PEREIRA SANTANA")</f>
        <v>CRISTIANE CAMPOS PEREIRA SANTANA</v>
      </c>
      <c r="P1180" s="82" t="str">
        <f>IFERROR(__xludf.DUMMYFUNCTION("IFERROR(VLOOKUP(D1180,
IMPORTRANGE(""https://docs.google.com/spreadsheets/d/1MjHtlUikwobi2MaWJgy7tfLeBmhj1u-dRFRs_8GwSoA/edit#gid=0"",""Gestores Escolares!D7:J""),7,0),""VERIFICAR CÓD SEC"")"),"(77) 9 8809-7085")</f>
        <v>(77) 9 8809-7085</v>
      </c>
      <c r="Q1180" s="82" t="str">
        <f>IFERROR(__xludf.DUMMYFUNCTION("IFERROR(VLOOKUP(D1180,
IMPORTRANGE(""https://docs.google.com/spreadsheets/d/1MjHtlUikwobi2MaWJgy7tfLeBmhj1u-dRFRs_8GwSoA/edit#gid=0"",""Gestores Escolares!D7:m""),9,0),""VERIFICAR CÓD SEC"")"),"BIANCA SILVA SOARES MELO")</f>
        <v>BIANCA SILVA SOARES MELO</v>
      </c>
      <c r="R1180" s="82" t="str">
        <f>IFERROR(__xludf.DUMMYFUNCTION("IFERROR(VLOOKUP(D1180,
IMPORTRANGE(""https://docs.google.com/spreadsheets/d/1MjHtlUikwobi2MaWJgy7tfLeBmhj1u-dRFRs_8GwSoA/edit#gid=0"",""Gestores Escolares!D7:m""),10,0),""VERIFICAR CÓD SEC"")"),"(77) 9 9904-7651")</f>
        <v>(77) 9 9904-7651</v>
      </c>
      <c r="S1180" s="82"/>
      <c r="T1180" s="138">
        <v>14.0</v>
      </c>
      <c r="U1180" s="217">
        <v>15.0</v>
      </c>
      <c r="V1180" s="106">
        <v>0.0</v>
      </c>
      <c r="W1180" s="107">
        <v>0.0</v>
      </c>
      <c r="X1180" s="107">
        <v>0.0</v>
      </c>
      <c r="Y1180" s="107">
        <v>0.0</v>
      </c>
      <c r="Z1180" s="80">
        <f t="shared" si="1"/>
        <v>0</v>
      </c>
      <c r="AA1180" s="106">
        <v>0.0</v>
      </c>
      <c r="AB1180" s="107">
        <v>0.0</v>
      </c>
      <c r="AC1180" s="107">
        <v>0.0</v>
      </c>
      <c r="AD1180" s="107">
        <v>0.0</v>
      </c>
      <c r="AE1180" s="80">
        <f t="shared" si="2"/>
        <v>0</v>
      </c>
      <c r="AF1180" s="140">
        <v>73.0</v>
      </c>
      <c r="AG1180" s="109">
        <v>0.0</v>
      </c>
      <c r="AH1180" s="109">
        <v>0.0</v>
      </c>
      <c r="AI1180" s="141">
        <v>463.0</v>
      </c>
      <c r="AJ1180" s="80">
        <f t="shared" si="3"/>
        <v>536</v>
      </c>
      <c r="AK1180" s="140">
        <v>0.0</v>
      </c>
      <c r="AL1180" s="109">
        <v>0.0</v>
      </c>
      <c r="AM1180" s="141">
        <v>0.0</v>
      </c>
      <c r="AN1180" s="80">
        <f t="shared" si="4"/>
        <v>0</v>
      </c>
      <c r="AO1180" s="140">
        <v>0.0</v>
      </c>
      <c r="AP1180" s="109">
        <v>0.0</v>
      </c>
      <c r="AQ1180" s="109">
        <v>297.0</v>
      </c>
      <c r="AR1180" s="80">
        <f t="shared" si="5"/>
        <v>297</v>
      </c>
      <c r="AS1180" s="110">
        <v>0.0</v>
      </c>
      <c r="AT1180" s="110">
        <v>0.0</v>
      </c>
      <c r="AU1180" s="110">
        <v>0.0</v>
      </c>
      <c r="AV1180" s="142">
        <v>0.0</v>
      </c>
      <c r="AW1180" s="80">
        <f t="shared" si="6"/>
        <v>0</v>
      </c>
      <c r="AX1180" s="113">
        <f t="shared" si="7"/>
        <v>833</v>
      </c>
      <c r="AY1180" s="117">
        <f t="shared" si="8"/>
        <v>536</v>
      </c>
      <c r="AZ1180" s="120">
        <f t="shared" si="9"/>
        <v>297</v>
      </c>
      <c r="BA1180" s="115">
        <v>0.0</v>
      </c>
      <c r="BB1180" s="89">
        <f t="shared" si="10"/>
        <v>833</v>
      </c>
      <c r="BC1180" s="132" t="s">
        <v>178</v>
      </c>
      <c r="BD1180" s="132" t="s">
        <v>178</v>
      </c>
      <c r="BE1180" s="132" t="s">
        <v>178</v>
      </c>
      <c r="BF1180" s="123"/>
      <c r="BG1180" s="83">
        <v>1125160.0</v>
      </c>
      <c r="BH1180" s="98"/>
      <c r="BI1180" s="98">
        <v>15.0</v>
      </c>
      <c r="BJ1180" s="98" t="s">
        <v>155</v>
      </c>
      <c r="BK1180" s="99">
        <f t="shared" si="11"/>
        <v>463</v>
      </c>
      <c r="BL1180" s="99">
        <f t="shared" si="12"/>
        <v>73</v>
      </c>
      <c r="BM1180" s="99" t="str">
        <f>IFERROR(__xludf.DUMMYFUNCTION("IFERROR(VLOOKUP(BG1180,IMPORTRANGE(""https://docs.google.com/spreadsheets/d/1juPI-Fb8LD0YtltB2mlGEnp_R3UVu1t3wSFPzgCyHXE/edit?gid=0#gid=0"",""GERAL!A2:C""),3,0),""-"")"),"-")</f>
        <v>-</v>
      </c>
    </row>
    <row r="1181" ht="15.75" customHeight="1">
      <c r="A1181" s="111" t="s">
        <v>1393</v>
      </c>
      <c r="B1181" s="83" t="s">
        <v>2282</v>
      </c>
      <c r="C1181" s="83" t="s">
        <v>68</v>
      </c>
      <c r="D1181" s="112">
        <v>1179224.0</v>
      </c>
      <c r="E1181" s="83"/>
      <c r="F1181" s="83">
        <v>2.9456487E7</v>
      </c>
      <c r="G1181" s="119" t="s">
        <v>6409</v>
      </c>
      <c r="H1181" s="91" t="s">
        <v>6410</v>
      </c>
      <c r="I1181" s="172" t="s">
        <v>6411</v>
      </c>
      <c r="J1181" s="83" t="s">
        <v>2025</v>
      </c>
      <c r="K1181" s="83" t="s">
        <v>151</v>
      </c>
      <c r="L1181" s="83" t="s">
        <v>152</v>
      </c>
      <c r="M1181" s="82" t="str">
        <f>IFERROR(__xludf.DUMMYFUNCTION("IFERROR(VLOOKUP(D1181,
IMPORTRANGE(""https://docs.google.com/spreadsheets/d/1MjHtlUikwobi2MaWJgy7tfLeBmhj1u-dRFRs_8GwSoA/edit#gid=0"",""Gestores Escolares!D7:J""),3,0),""VERIFICAR CÓD SEC"")"),"UILDIMA LIMA DO PRADO PEREIRA")</f>
        <v>UILDIMA LIMA DO PRADO PEREIRA</v>
      </c>
      <c r="N1181" s="82" t="str">
        <f>IFERROR(__xludf.DUMMYFUNCTION("IFERROR(VLOOKUP(D1181,
IMPORTRANGE(""https://docs.google.com/spreadsheets/d/1MjHtlUikwobi2MaWJgy7tfLeBmhj1u-dRFRs_8GwSoA/edit#gid=0"",""Gestores Escolares!D7:J""),4,0),""VERIFICAR CÓD SEC"")"),"(77) 9 8851-6502")</f>
        <v>(77) 9 8851-6502</v>
      </c>
      <c r="O1181" s="82" t="str">
        <f>IFERROR(__xludf.DUMMYFUNCTION("IFERROR(VLOOKUP(D1181,
IMPORTRANGE(""https://docs.google.com/spreadsheets/d/1MjHtlUikwobi2MaWJgy7tfLeBmhj1u-dRFRs_8GwSoA/edit#gid=0"",""Gestores Escolares!D7:J""),6,0),""VERIFICAR CÓD SEC"")"),"IANY FRANCA PEREIRA")</f>
        <v>IANY FRANCA PEREIRA</v>
      </c>
      <c r="P1181" s="82" t="str">
        <f>IFERROR(__xludf.DUMMYFUNCTION("IFERROR(VLOOKUP(D1181,
IMPORTRANGE(""https://docs.google.com/spreadsheets/d/1MjHtlUikwobi2MaWJgy7tfLeBmhj1u-dRFRs_8GwSoA/edit#gid=0"",""Gestores Escolares!D7:J""),7,0),""VERIFICAR CÓD SEC"")"),"(77) 9 8819-3438")</f>
        <v>(77) 9 8819-3438</v>
      </c>
      <c r="Q1181" s="82" t="str">
        <f>IFERROR(__xludf.DUMMYFUNCTION("IFERROR(VLOOKUP(D1181,
IMPORTRANGE(""https://docs.google.com/spreadsheets/d/1MjHtlUikwobi2MaWJgy7tfLeBmhj1u-dRFRs_8GwSoA/edit#gid=0"",""Gestores Escolares!D7:m""),9,0),""VERIFICAR CÓD SEC"")"),"")</f>
        <v/>
      </c>
      <c r="R1181" s="82" t="str">
        <f>IFERROR(__xludf.DUMMYFUNCTION("IFERROR(VLOOKUP(D1181,
IMPORTRANGE(""https://docs.google.com/spreadsheets/d/1MjHtlUikwobi2MaWJgy7tfLeBmhj1u-dRFRs_8GwSoA/edit#gid=0"",""Gestores Escolares!D7:m""),10,0),""VERIFICAR CÓD SEC"")"),"")</f>
        <v/>
      </c>
      <c r="S1181" s="82"/>
      <c r="T1181" s="138">
        <v>6.0</v>
      </c>
      <c r="U1181" s="152">
        <v>6.0</v>
      </c>
      <c r="V1181" s="106">
        <v>0.0</v>
      </c>
      <c r="W1181" s="107">
        <v>0.0</v>
      </c>
      <c r="X1181" s="107">
        <v>0.0</v>
      </c>
      <c r="Y1181" s="107">
        <v>0.0</v>
      </c>
      <c r="Z1181" s="80">
        <f t="shared" si="1"/>
        <v>0</v>
      </c>
      <c r="AA1181" s="106">
        <v>0.0</v>
      </c>
      <c r="AB1181" s="107">
        <v>0.0</v>
      </c>
      <c r="AC1181" s="107">
        <v>0.0</v>
      </c>
      <c r="AD1181" s="107">
        <v>0.0</v>
      </c>
      <c r="AE1181" s="80">
        <f t="shared" si="2"/>
        <v>0</v>
      </c>
      <c r="AF1181" s="140">
        <v>0.0</v>
      </c>
      <c r="AG1181" s="109">
        <v>0.0</v>
      </c>
      <c r="AH1181" s="109">
        <v>0.0</v>
      </c>
      <c r="AI1181" s="141">
        <v>214.0</v>
      </c>
      <c r="AJ1181" s="80">
        <f t="shared" si="3"/>
        <v>214</v>
      </c>
      <c r="AK1181" s="140">
        <v>0.0</v>
      </c>
      <c r="AL1181" s="109">
        <v>0.0</v>
      </c>
      <c r="AM1181" s="141">
        <v>0.0</v>
      </c>
      <c r="AN1181" s="80">
        <f t="shared" si="4"/>
        <v>0</v>
      </c>
      <c r="AO1181" s="140">
        <v>0.0</v>
      </c>
      <c r="AP1181" s="109">
        <v>0.0</v>
      </c>
      <c r="AQ1181" s="109">
        <v>41.0</v>
      </c>
      <c r="AR1181" s="80">
        <f t="shared" si="5"/>
        <v>41</v>
      </c>
      <c r="AS1181" s="110">
        <v>0.0</v>
      </c>
      <c r="AT1181" s="110">
        <v>0.0</v>
      </c>
      <c r="AU1181" s="110">
        <v>0.0</v>
      </c>
      <c r="AV1181" s="142">
        <v>0.0</v>
      </c>
      <c r="AW1181" s="80">
        <f t="shared" si="6"/>
        <v>0</v>
      </c>
      <c r="AX1181" s="113">
        <f t="shared" si="7"/>
        <v>255</v>
      </c>
      <c r="AY1181" s="117">
        <f t="shared" si="8"/>
        <v>214</v>
      </c>
      <c r="AZ1181" s="120">
        <f t="shared" si="9"/>
        <v>41</v>
      </c>
      <c r="BA1181" s="115">
        <v>0.0</v>
      </c>
      <c r="BB1181" s="89">
        <f t="shared" si="10"/>
        <v>255</v>
      </c>
      <c r="BC1181" s="132" t="s">
        <v>373</v>
      </c>
      <c r="BD1181" s="132" t="s">
        <v>178</v>
      </c>
      <c r="BE1181" s="132" t="s">
        <v>178</v>
      </c>
      <c r="BF1181" s="123"/>
      <c r="BG1181" s="83">
        <v>1179224.0</v>
      </c>
      <c r="BH1181" s="112"/>
      <c r="BI1181" s="112">
        <v>6.0</v>
      </c>
      <c r="BJ1181" s="98" t="s">
        <v>155</v>
      </c>
      <c r="BK1181" s="99">
        <f t="shared" si="11"/>
        <v>214</v>
      </c>
      <c r="BL1181" s="99">
        <f t="shared" si="12"/>
        <v>0</v>
      </c>
      <c r="BM1181" s="99" t="str">
        <f>IFERROR(__xludf.DUMMYFUNCTION("IFERROR(VLOOKUP(BG1181,IMPORTRANGE(""https://docs.google.com/spreadsheets/d/1juPI-Fb8LD0YtltB2mlGEnp_R3UVu1t3wSFPzgCyHXE/edit?gid=0#gid=0"",""GERAL!A2:C""),3,0),""-"")"),"CAMPO")</f>
        <v>CAMPO</v>
      </c>
    </row>
    <row r="1182" ht="15.75" customHeight="1">
      <c r="A1182" s="111" t="s">
        <v>1393</v>
      </c>
      <c r="B1182" s="83" t="s">
        <v>2282</v>
      </c>
      <c r="C1182" s="83" t="s">
        <v>68</v>
      </c>
      <c r="D1182" s="98">
        <v>1125399.0</v>
      </c>
      <c r="E1182" s="83"/>
      <c r="F1182" s="98">
        <v>2.9277752E7</v>
      </c>
      <c r="G1182" s="119" t="s">
        <v>6423</v>
      </c>
      <c r="H1182" s="108" t="s">
        <v>6425</v>
      </c>
      <c r="I1182" s="98" t="s">
        <v>6427</v>
      </c>
      <c r="J1182" s="83" t="s">
        <v>150</v>
      </c>
      <c r="K1182" s="83" t="s">
        <v>151</v>
      </c>
      <c r="L1182" s="83" t="s">
        <v>230</v>
      </c>
      <c r="M1182" s="82" t="str">
        <f>IFERROR(__xludf.DUMMYFUNCTION("IFERROR(VLOOKUP(D1182,
IMPORTRANGE(""https://docs.google.com/spreadsheets/d/1MjHtlUikwobi2MaWJgy7tfLeBmhj1u-dRFRs_8GwSoA/edit#gid=0"",""Gestores Escolares!D7:J""),3,0),""VERIFICAR CÓD SEC"")"),"CLEUMA OLIVEIRA LOPES GOMES")</f>
        <v>CLEUMA OLIVEIRA LOPES GOMES</v>
      </c>
      <c r="N1182" s="82" t="str">
        <f>IFERROR(__xludf.DUMMYFUNCTION("IFERROR(VLOOKUP(D1182,
IMPORTRANGE(""https://docs.google.com/spreadsheets/d/1MjHtlUikwobi2MaWJgy7tfLeBmhj1u-dRFRs_8GwSoA/edit#gid=0"",""Gestores Escolares!D7:J""),4,0),""VERIFICAR CÓD SEC"")"),"(77) 9 8813-3299")</f>
        <v>(77) 9 8813-3299</v>
      </c>
      <c r="O1182" s="82" t="str">
        <f>IFERROR(__xludf.DUMMYFUNCTION("IFERROR(VLOOKUP(D1182,
IMPORTRANGE(""https://docs.google.com/spreadsheets/d/1MjHtlUikwobi2MaWJgy7tfLeBmhj1u-dRFRs_8GwSoA/edit#gid=0"",""Gestores Escolares!D7:J""),6,0),""VERIFICAR CÓD SEC"")"),"ADELIA REGINA OLIVEIRA CARVALHO")</f>
        <v>ADELIA REGINA OLIVEIRA CARVALHO</v>
      </c>
      <c r="P1182" s="82" t="str">
        <f>IFERROR(__xludf.DUMMYFUNCTION("IFERROR(VLOOKUP(D1182,
IMPORTRANGE(""https://docs.google.com/spreadsheets/d/1MjHtlUikwobi2MaWJgy7tfLeBmhj1u-dRFRs_8GwSoA/edit#gid=0"",""Gestores Escolares!D7:J""),7,0),""VERIFICAR CÓD SEC"")"),"(77) 9 8154-1876")</f>
        <v>(77) 9 8154-1876</v>
      </c>
      <c r="Q1182" s="82" t="str">
        <f>IFERROR(__xludf.DUMMYFUNCTION("IFERROR(VLOOKUP(D1182,
IMPORTRANGE(""https://docs.google.com/spreadsheets/d/1MjHtlUikwobi2MaWJgy7tfLeBmhj1u-dRFRs_8GwSoA/edit#gid=0"",""Gestores Escolares!D7:m""),9,0),""VERIFICAR CÓD SEC"")"),"")</f>
        <v/>
      </c>
      <c r="R1182" s="82" t="str">
        <f>IFERROR(__xludf.DUMMYFUNCTION("IFERROR(VLOOKUP(D1182,
IMPORTRANGE(""https://docs.google.com/spreadsheets/d/1MjHtlUikwobi2MaWJgy7tfLeBmhj1u-dRFRs_8GwSoA/edit#gid=0"",""Gestores Escolares!D7:m""),10,0),""VERIFICAR CÓD SEC"")"),"")</f>
        <v/>
      </c>
      <c r="S1182" s="82"/>
      <c r="T1182" s="234">
        <v>23.0</v>
      </c>
      <c r="U1182" s="217">
        <v>24.0</v>
      </c>
      <c r="V1182" s="106">
        <v>0.0</v>
      </c>
      <c r="W1182" s="107">
        <v>0.0</v>
      </c>
      <c r="X1182" s="107">
        <v>0.0</v>
      </c>
      <c r="Y1182" s="107">
        <v>0.0</v>
      </c>
      <c r="Z1182" s="80">
        <f t="shared" si="1"/>
        <v>0</v>
      </c>
      <c r="AA1182" s="106">
        <v>0.0</v>
      </c>
      <c r="AB1182" s="107">
        <v>0.0</v>
      </c>
      <c r="AC1182" s="107">
        <v>0.0</v>
      </c>
      <c r="AD1182" s="107">
        <v>0.0</v>
      </c>
      <c r="AE1182" s="80">
        <f t="shared" si="2"/>
        <v>0</v>
      </c>
      <c r="AF1182" s="140">
        <v>55.0</v>
      </c>
      <c r="AG1182" s="109">
        <v>125.0</v>
      </c>
      <c r="AH1182" s="109">
        <v>0.0</v>
      </c>
      <c r="AI1182" s="141">
        <v>0.0</v>
      </c>
      <c r="AJ1182" s="80">
        <f t="shared" si="3"/>
        <v>180</v>
      </c>
      <c r="AK1182" s="140">
        <v>0.0</v>
      </c>
      <c r="AL1182" s="109">
        <v>0.0</v>
      </c>
      <c r="AM1182" s="141">
        <v>0.0</v>
      </c>
      <c r="AN1182" s="80">
        <f t="shared" si="4"/>
        <v>0</v>
      </c>
      <c r="AO1182" s="140">
        <v>0.0</v>
      </c>
      <c r="AP1182" s="109">
        <v>0.0</v>
      </c>
      <c r="AQ1182" s="109">
        <v>73.0</v>
      </c>
      <c r="AR1182" s="80">
        <f t="shared" si="5"/>
        <v>73</v>
      </c>
      <c r="AS1182" s="110">
        <v>0.0</v>
      </c>
      <c r="AT1182" s="110">
        <v>0.0</v>
      </c>
      <c r="AU1182" s="110">
        <v>0.0</v>
      </c>
      <c r="AV1182" s="142">
        <v>0.0</v>
      </c>
      <c r="AW1182" s="80">
        <f t="shared" si="6"/>
        <v>0</v>
      </c>
      <c r="AX1182" s="113">
        <f t="shared" si="7"/>
        <v>253</v>
      </c>
      <c r="AY1182" s="117">
        <f t="shared" si="8"/>
        <v>180</v>
      </c>
      <c r="AZ1182" s="120">
        <f t="shared" si="9"/>
        <v>73</v>
      </c>
      <c r="BA1182" s="115">
        <v>0.0</v>
      </c>
      <c r="BB1182" s="89">
        <f t="shared" si="10"/>
        <v>253</v>
      </c>
      <c r="BC1182" s="132" t="s">
        <v>178</v>
      </c>
      <c r="BD1182" s="132" t="s">
        <v>6503</v>
      </c>
      <c r="BE1182" s="132" t="s">
        <v>178</v>
      </c>
      <c r="BF1182" s="119" t="s">
        <v>13840</v>
      </c>
      <c r="BG1182" s="98">
        <v>1125399.0</v>
      </c>
      <c r="BH1182" s="98"/>
      <c r="BI1182" s="98">
        <v>24.0</v>
      </c>
      <c r="BJ1182" s="98" t="s">
        <v>155</v>
      </c>
      <c r="BK1182" s="99">
        <f t="shared" si="11"/>
        <v>0</v>
      </c>
      <c r="BL1182" s="99">
        <f t="shared" si="12"/>
        <v>180</v>
      </c>
      <c r="BM1182" s="99" t="str">
        <f>IFERROR(__xludf.DUMMYFUNCTION("IFERROR(VLOOKUP(BG1182,IMPORTRANGE(""https://docs.google.com/spreadsheets/d/1juPI-Fb8LD0YtltB2mlGEnp_R3UVu1t3wSFPzgCyHXE/edit?gid=0#gid=0"",""GERAL!A2:C""),3,0),""-"")"),"-")</f>
        <v>-</v>
      </c>
    </row>
    <row r="1183" ht="15.75" customHeight="1">
      <c r="A1183" s="111" t="s">
        <v>1393</v>
      </c>
      <c r="B1183" s="83" t="s">
        <v>2282</v>
      </c>
      <c r="C1183" s="83" t="s">
        <v>68</v>
      </c>
      <c r="D1183" s="98">
        <v>1179822.0</v>
      </c>
      <c r="E1183" s="83"/>
      <c r="F1183" s="98">
        <v>2.9495822E7</v>
      </c>
      <c r="G1183" s="119" t="s">
        <v>6437</v>
      </c>
      <c r="H1183" s="108" t="s">
        <v>6438</v>
      </c>
      <c r="I1183" s="83"/>
      <c r="J1183" s="83"/>
      <c r="K1183" s="83" t="s">
        <v>151</v>
      </c>
      <c r="L1183" s="98" t="s">
        <v>76</v>
      </c>
      <c r="M1183" s="82" t="str">
        <f>IFERROR(__xludf.DUMMYFUNCTION("IFERROR(VLOOKUP(D1183,
IMPORTRANGE(""https://docs.google.com/spreadsheets/d/1MjHtlUikwobi2MaWJgy7tfLeBmhj1u-dRFRs_8GwSoA/edit#gid=0"",""Gestores Escolares!D7:J""),3,0),""VERIFICAR CÓD SEC"")"),"FLORISVALDO CERQUEIRA PINHEIRO")</f>
        <v>FLORISVALDO CERQUEIRA PINHEIRO</v>
      </c>
      <c r="N1183" s="82" t="str">
        <f>IFERROR(__xludf.DUMMYFUNCTION("IFERROR(VLOOKUP(D1183,
IMPORTRANGE(""https://docs.google.com/spreadsheets/d/1MjHtlUikwobi2MaWJgy7tfLeBmhj1u-dRFRs_8GwSoA/edit#gid=0"",""Gestores Escolares!D7:J""),4,0),""VERIFICAR CÓD SEC"")"),"(77) 9 8158-6012")</f>
        <v>(77) 9 8158-6012</v>
      </c>
      <c r="O1183" s="82" t="str">
        <f>IFERROR(__xludf.DUMMYFUNCTION("IFERROR(VLOOKUP(D1183,
IMPORTRANGE(""https://docs.google.com/spreadsheets/d/1MjHtlUikwobi2MaWJgy7tfLeBmhj1u-dRFRs_8GwSoA/edit#gid=0"",""Gestores Escolares!D7:J""),6,0),""VERIFICAR CÓD SEC"")"),"PAULO ADOLFO COSTA NASCIMENTO")</f>
        <v>PAULO ADOLFO COSTA NASCIMENTO</v>
      </c>
      <c r="P1183" s="82" t="str">
        <f>IFERROR(__xludf.DUMMYFUNCTION("IFERROR(VLOOKUP(D1183,
IMPORTRANGE(""https://docs.google.com/spreadsheets/d/1MjHtlUikwobi2MaWJgy7tfLeBmhj1u-dRFRs_8GwSoA/edit#gid=0"",""Gestores Escolares!D7:J""),7,0),""VERIFICAR CÓD SEC"")"),"(77) 9 9957-1438")</f>
        <v>(77) 9 9957-1438</v>
      </c>
      <c r="Q1183" s="82" t="str">
        <f>IFERROR(__xludf.DUMMYFUNCTION("IFERROR(VLOOKUP(D1183,
IMPORTRANGE(""https://docs.google.com/spreadsheets/d/1MjHtlUikwobi2MaWJgy7tfLeBmhj1u-dRFRs_8GwSoA/edit#gid=0"",""Gestores Escolares!D7:m""),9,0),""VERIFICAR CÓD SEC"")"),"")</f>
        <v/>
      </c>
      <c r="R1183" s="82" t="str">
        <f>IFERROR(__xludf.DUMMYFUNCTION("IFERROR(VLOOKUP(D1183,
IMPORTRANGE(""https://docs.google.com/spreadsheets/d/1MjHtlUikwobi2MaWJgy7tfLeBmhj1u-dRFRs_8GwSoA/edit#gid=0"",""Gestores Escolares!D7:m""),10,0),""VERIFICAR CÓD SEC"")"),"")</f>
        <v/>
      </c>
      <c r="S1183" s="82"/>
      <c r="T1183" s="138"/>
      <c r="U1183" s="217"/>
      <c r="V1183" s="106">
        <v>0.0</v>
      </c>
      <c r="W1183" s="107">
        <v>0.0</v>
      </c>
      <c r="X1183" s="107">
        <v>0.0</v>
      </c>
      <c r="Y1183" s="107">
        <v>0.0</v>
      </c>
      <c r="Z1183" s="80">
        <f t="shared" si="1"/>
        <v>0</v>
      </c>
      <c r="AA1183" s="106">
        <v>0.0</v>
      </c>
      <c r="AB1183" s="107">
        <v>0.0</v>
      </c>
      <c r="AC1183" s="107">
        <v>0.0</v>
      </c>
      <c r="AD1183" s="107">
        <v>0.0</v>
      </c>
      <c r="AE1183" s="80">
        <f t="shared" si="2"/>
        <v>0</v>
      </c>
      <c r="AF1183" s="140">
        <v>0.0</v>
      </c>
      <c r="AG1183" s="109">
        <v>0.0</v>
      </c>
      <c r="AH1183" s="109">
        <v>0.0</v>
      </c>
      <c r="AI1183" s="141">
        <v>181.0</v>
      </c>
      <c r="AJ1183" s="80">
        <f t="shared" si="3"/>
        <v>181</v>
      </c>
      <c r="AK1183" s="140">
        <v>0.0</v>
      </c>
      <c r="AL1183" s="109">
        <v>0.0</v>
      </c>
      <c r="AM1183" s="141">
        <v>0.0</v>
      </c>
      <c r="AN1183" s="80">
        <f t="shared" si="4"/>
        <v>0</v>
      </c>
      <c r="AO1183" s="140">
        <v>0.0</v>
      </c>
      <c r="AP1183" s="109">
        <v>0.0</v>
      </c>
      <c r="AQ1183" s="109">
        <v>130.0</v>
      </c>
      <c r="AR1183" s="80">
        <f t="shared" si="5"/>
        <v>130</v>
      </c>
      <c r="AS1183" s="110">
        <v>0.0</v>
      </c>
      <c r="AT1183" s="110">
        <v>0.0</v>
      </c>
      <c r="AU1183" s="110">
        <v>0.0</v>
      </c>
      <c r="AV1183" s="142">
        <v>32.0</v>
      </c>
      <c r="AW1183" s="80">
        <f t="shared" si="6"/>
        <v>32</v>
      </c>
      <c r="AX1183" s="113">
        <f t="shared" si="7"/>
        <v>343</v>
      </c>
      <c r="AY1183" s="117">
        <f t="shared" si="8"/>
        <v>213</v>
      </c>
      <c r="AZ1183" s="120">
        <f t="shared" si="9"/>
        <v>130</v>
      </c>
      <c r="BA1183" s="115">
        <v>0.0</v>
      </c>
      <c r="BB1183" s="89">
        <f t="shared" si="10"/>
        <v>343</v>
      </c>
      <c r="BC1183" s="132"/>
      <c r="BD1183" s="132"/>
      <c r="BE1183" s="132"/>
      <c r="BF1183" s="123"/>
      <c r="BG1183" s="98">
        <v>1179822.0</v>
      </c>
      <c r="BH1183" s="98"/>
      <c r="BI1183" s="98"/>
      <c r="BJ1183" s="98"/>
      <c r="BK1183" s="99">
        <f t="shared" si="11"/>
        <v>213</v>
      </c>
      <c r="BL1183" s="99">
        <f t="shared" si="12"/>
        <v>0</v>
      </c>
      <c r="BM1183" s="99" t="str">
        <f>IFERROR(__xludf.DUMMYFUNCTION("IFERROR(VLOOKUP(BG1183,IMPORTRANGE(""https://docs.google.com/spreadsheets/d/1juPI-Fb8LD0YtltB2mlGEnp_R3UVu1t3wSFPzgCyHXE/edit?gid=0#gid=0"",""GERAL!A2:C""),3,0),""-"")"),"CAMPO")</f>
        <v>CAMPO</v>
      </c>
    </row>
    <row r="1184" ht="15.75" customHeight="1">
      <c r="A1184" s="111" t="s">
        <v>1393</v>
      </c>
      <c r="B1184" s="83" t="s">
        <v>2282</v>
      </c>
      <c r="C1184" s="83" t="s">
        <v>68</v>
      </c>
      <c r="D1184" s="112">
        <v>1179246.0</v>
      </c>
      <c r="E1184" s="83"/>
      <c r="F1184" s="83">
        <v>2.9457491E7</v>
      </c>
      <c r="G1184" s="119" t="s">
        <v>6441</v>
      </c>
      <c r="H1184" s="91" t="s">
        <v>6442</v>
      </c>
      <c r="I1184" s="83" t="s">
        <v>6443</v>
      </c>
      <c r="J1184" s="83" t="s">
        <v>923</v>
      </c>
      <c r="K1184" s="83" t="s">
        <v>6444</v>
      </c>
      <c r="L1184" s="83" t="s">
        <v>169</v>
      </c>
      <c r="M1184" s="82" t="str">
        <f>IFERROR(__xludf.DUMMYFUNCTION("IFERROR(VLOOKUP(D1184,
IMPORTRANGE(""https://docs.google.com/spreadsheets/d/1MjHtlUikwobi2MaWJgy7tfLeBmhj1u-dRFRs_8GwSoA/edit#gid=0"",""Gestores Escolares!D7:J""),3,0),""VERIFICAR CÓD SEC"")"),"FABIOLA PEREIRA DE ARAUJO MELLO")</f>
        <v>FABIOLA PEREIRA DE ARAUJO MELLO</v>
      </c>
      <c r="N1184" s="82" t="str">
        <f>IFERROR(__xludf.DUMMYFUNCTION("IFERROR(VLOOKUP(D1184,
IMPORTRANGE(""https://docs.google.com/spreadsheets/d/1MjHtlUikwobi2MaWJgy7tfLeBmhj1u-dRFRs_8GwSoA/edit#gid=0"",""Gestores Escolares!D7:J""),4,0),""VERIFICAR CÓD SEC"")"),"(77) 9 9983-0462")</f>
        <v>(77) 9 9983-0462</v>
      </c>
      <c r="O1184" s="82" t="str">
        <f>IFERROR(__xludf.DUMMYFUNCTION("IFERROR(VLOOKUP(D1184,
IMPORTRANGE(""https://docs.google.com/spreadsheets/d/1MjHtlUikwobi2MaWJgy7tfLeBmhj1u-dRFRs_8GwSoA/edit#gid=0"",""Gestores Escolares!D7:J""),6,0),""VERIFICAR CÓD SEC"")"),"FLAVIA AMARAL ROCHA")</f>
        <v>FLAVIA AMARAL ROCHA</v>
      </c>
      <c r="P1184" s="82" t="str">
        <f>IFERROR(__xludf.DUMMYFUNCTION("IFERROR(VLOOKUP(D1184,
IMPORTRANGE(""https://docs.google.com/spreadsheets/d/1MjHtlUikwobi2MaWJgy7tfLeBmhj1u-dRFRs_8GwSoA/edit#gid=0"",""Gestores Escolares!D7:J""),7,0),""VERIFICAR CÓD SEC"")"),"(77) 9 8843-8645")</f>
        <v>(77) 9 8843-8645</v>
      </c>
      <c r="Q1184" s="82" t="str">
        <f>IFERROR(__xludf.DUMMYFUNCTION("IFERROR(VLOOKUP(D1184,
IMPORTRANGE(""https://docs.google.com/spreadsheets/d/1MjHtlUikwobi2MaWJgy7tfLeBmhj1u-dRFRs_8GwSoA/edit#gid=0"",""Gestores Escolares!D7:m""),9,0),""VERIFICAR CÓD SEC"")"),"")</f>
        <v/>
      </c>
      <c r="R1184" s="82" t="str">
        <f>IFERROR(__xludf.DUMMYFUNCTION("IFERROR(VLOOKUP(D1184,
IMPORTRANGE(""https://docs.google.com/spreadsheets/d/1MjHtlUikwobi2MaWJgy7tfLeBmhj1u-dRFRs_8GwSoA/edit#gid=0"",""Gestores Escolares!D7:m""),10,0),""VERIFICAR CÓD SEC"")"),"")</f>
        <v/>
      </c>
      <c r="S1184" s="82"/>
      <c r="T1184" s="138">
        <v>6.0</v>
      </c>
      <c r="U1184" s="217">
        <v>4.0</v>
      </c>
      <c r="V1184" s="106">
        <v>0.0</v>
      </c>
      <c r="W1184" s="107">
        <v>0.0</v>
      </c>
      <c r="X1184" s="107">
        <v>0.0</v>
      </c>
      <c r="Y1184" s="107">
        <v>0.0</v>
      </c>
      <c r="Z1184" s="80">
        <f t="shared" si="1"/>
        <v>0</v>
      </c>
      <c r="AA1184" s="106">
        <v>0.0</v>
      </c>
      <c r="AB1184" s="107">
        <v>0.0</v>
      </c>
      <c r="AC1184" s="107">
        <v>0.0</v>
      </c>
      <c r="AD1184" s="107">
        <v>0.0</v>
      </c>
      <c r="AE1184" s="80">
        <f t="shared" si="2"/>
        <v>0</v>
      </c>
      <c r="AF1184" s="140">
        <v>0.0</v>
      </c>
      <c r="AG1184" s="109">
        <v>0.0</v>
      </c>
      <c r="AH1184" s="109">
        <v>0.0</v>
      </c>
      <c r="AI1184" s="141">
        <v>0.0</v>
      </c>
      <c r="AJ1184" s="80">
        <f t="shared" si="3"/>
        <v>0</v>
      </c>
      <c r="AK1184" s="140">
        <v>0.0</v>
      </c>
      <c r="AL1184" s="109">
        <v>0.0</v>
      </c>
      <c r="AM1184" s="141">
        <v>0.0</v>
      </c>
      <c r="AN1184" s="80">
        <f t="shared" si="4"/>
        <v>0</v>
      </c>
      <c r="AO1184" s="140">
        <v>0.0</v>
      </c>
      <c r="AP1184" s="109">
        <v>0.0</v>
      </c>
      <c r="AQ1184" s="109">
        <v>75.0</v>
      </c>
      <c r="AR1184" s="80">
        <f t="shared" si="5"/>
        <v>75</v>
      </c>
      <c r="AS1184" s="110">
        <v>0.0</v>
      </c>
      <c r="AT1184" s="110">
        <v>0.0</v>
      </c>
      <c r="AU1184" s="110">
        <v>0.0</v>
      </c>
      <c r="AV1184" s="142">
        <v>0.0</v>
      </c>
      <c r="AW1184" s="80">
        <f t="shared" si="6"/>
        <v>0</v>
      </c>
      <c r="AX1184" s="113">
        <f t="shared" si="7"/>
        <v>75</v>
      </c>
      <c r="AY1184" s="117">
        <f t="shared" si="8"/>
        <v>0</v>
      </c>
      <c r="AZ1184" s="120">
        <f t="shared" si="9"/>
        <v>75</v>
      </c>
      <c r="BA1184" s="115">
        <v>0.0</v>
      </c>
      <c r="BB1184" s="89">
        <f t="shared" si="10"/>
        <v>75</v>
      </c>
      <c r="BC1184" s="132" t="s">
        <v>373</v>
      </c>
      <c r="BD1184" s="132" t="s">
        <v>178</v>
      </c>
      <c r="BE1184" s="132" t="s">
        <v>178</v>
      </c>
      <c r="BF1184" s="156"/>
      <c r="BG1184" s="83">
        <v>1179246.0</v>
      </c>
      <c r="BH1184" s="112"/>
      <c r="BI1184" s="112">
        <v>4.0</v>
      </c>
      <c r="BJ1184" s="98" t="s">
        <v>155</v>
      </c>
      <c r="BK1184" s="99">
        <f t="shared" si="11"/>
        <v>0</v>
      </c>
      <c r="BL1184" s="99">
        <f t="shared" si="12"/>
        <v>0</v>
      </c>
      <c r="BM1184" s="99" t="str">
        <f>IFERROR(__xludf.DUMMYFUNCTION("IFERROR(VLOOKUP(BG1184,IMPORTRANGE(""https://docs.google.com/spreadsheets/d/1juPI-Fb8LD0YtltB2mlGEnp_R3UVu1t3wSFPzgCyHXE/edit?gid=0#gid=0"",""GERAL!A2:C""),3,0),""-"")"),"CAMPO")</f>
        <v>CAMPO</v>
      </c>
    </row>
    <row r="1185" ht="15.75" customHeight="1">
      <c r="A1185" s="111" t="s">
        <v>1393</v>
      </c>
      <c r="B1185" s="83" t="s">
        <v>2282</v>
      </c>
      <c r="C1185" s="83" t="s">
        <v>68</v>
      </c>
      <c r="D1185" s="112">
        <v>1165358.0</v>
      </c>
      <c r="E1185" s="83"/>
      <c r="F1185" s="83">
        <v>2.9279151E7</v>
      </c>
      <c r="G1185" s="119" t="s">
        <v>6447</v>
      </c>
      <c r="H1185" s="91" t="s">
        <v>6448</v>
      </c>
      <c r="I1185" s="83" t="s">
        <v>6449</v>
      </c>
      <c r="J1185" s="83" t="s">
        <v>150</v>
      </c>
      <c r="K1185" s="83" t="s">
        <v>151</v>
      </c>
      <c r="L1185" s="98" t="s">
        <v>1391</v>
      </c>
      <c r="M1185" s="82" t="str">
        <f>IFERROR(__xludf.DUMMYFUNCTION("IFERROR(VLOOKUP(D1185,
IMPORTRANGE(""https://docs.google.com/spreadsheets/d/1MjHtlUikwobi2MaWJgy7tfLeBmhj1u-dRFRs_8GwSoA/edit#gid=0"",""Gestores Escolares!D7:J""),3,0),""VERIFICAR CÓD SEC"")"),"JUSSARA SANTANA PEREIRA ")</f>
        <v>JUSSARA SANTANA PEREIRA </v>
      </c>
      <c r="N1185" s="82" t="str">
        <f>IFERROR(__xludf.DUMMYFUNCTION("IFERROR(VLOOKUP(D1185,
IMPORTRANGE(""https://docs.google.com/spreadsheets/d/1MjHtlUikwobi2MaWJgy7tfLeBmhj1u-dRFRs_8GwSoA/edit#gid=0"",""Gestores Escolares!D7:J""),4,0),""VERIFICAR CÓD SEC"")"),"(77) 9 8821-5376")</f>
        <v>(77) 9 8821-5376</v>
      </c>
      <c r="O1185" s="82" t="str">
        <f>IFERROR(__xludf.DUMMYFUNCTION("IFERROR(VLOOKUP(D1185,
IMPORTRANGE(""https://docs.google.com/spreadsheets/d/1MjHtlUikwobi2MaWJgy7tfLeBmhj1u-dRFRs_8GwSoA/edit#gid=0"",""Gestores Escolares!D7:J""),6,0),""VERIFICAR CÓD SEC"")"),"FERNANDO SILVA SOUTO")</f>
        <v>FERNANDO SILVA SOUTO</v>
      </c>
      <c r="P1185" s="82" t="str">
        <f>IFERROR(__xludf.DUMMYFUNCTION("IFERROR(VLOOKUP(D1185,
IMPORTRANGE(""https://docs.google.com/spreadsheets/d/1MjHtlUikwobi2MaWJgy7tfLeBmhj1u-dRFRs_8GwSoA/edit#gid=0"",""Gestores Escolares!D7:J""),7,0),""VERIFICAR CÓD SEC"")"),"(77) 9 8807-6890")</f>
        <v>(77) 9 8807-6890</v>
      </c>
      <c r="Q1185" s="82" t="str">
        <f>IFERROR(__xludf.DUMMYFUNCTION("IFERROR(VLOOKUP(D1185,
IMPORTRANGE(""https://docs.google.com/spreadsheets/d/1MjHtlUikwobi2MaWJgy7tfLeBmhj1u-dRFRs_8GwSoA/edit#gid=0"",""Gestores Escolares!D7:m""),9,0),""VERIFICAR CÓD SEC"")"),"GUTEMBERG RIBEIRO VIEIRA")</f>
        <v>GUTEMBERG RIBEIRO VIEIRA</v>
      </c>
      <c r="R1185" s="82" t="str">
        <f>IFERROR(__xludf.DUMMYFUNCTION("IFERROR(VLOOKUP(D1185,
IMPORTRANGE(""https://docs.google.com/spreadsheets/d/1MjHtlUikwobi2MaWJgy7tfLeBmhj1u-dRFRs_8GwSoA/edit#gid=0"",""Gestores Escolares!D7:m""),10,0),""VERIFICAR CÓD SEC"")"),"(77) 9 9115-2282
")</f>
        <v>(77) 9 9115-2282
</v>
      </c>
      <c r="S1185" s="82"/>
      <c r="T1185" s="138">
        <v>14.0</v>
      </c>
      <c r="U1185" s="217" t="s">
        <v>13841</v>
      </c>
      <c r="V1185" s="106">
        <v>0.0</v>
      </c>
      <c r="W1185" s="107">
        <v>0.0</v>
      </c>
      <c r="X1185" s="107">
        <v>0.0</v>
      </c>
      <c r="Y1185" s="107">
        <v>0.0</v>
      </c>
      <c r="Z1185" s="80">
        <f t="shared" si="1"/>
        <v>0</v>
      </c>
      <c r="AA1185" s="106">
        <v>0.0</v>
      </c>
      <c r="AB1185" s="107">
        <v>0.0</v>
      </c>
      <c r="AC1185" s="107">
        <v>0.0</v>
      </c>
      <c r="AD1185" s="107">
        <v>0.0</v>
      </c>
      <c r="AE1185" s="80">
        <f t="shared" si="2"/>
        <v>0</v>
      </c>
      <c r="AF1185" s="140">
        <v>0.0</v>
      </c>
      <c r="AG1185" s="109">
        <v>0.0</v>
      </c>
      <c r="AH1185" s="109">
        <v>0.0</v>
      </c>
      <c r="AI1185" s="141">
        <v>687.0</v>
      </c>
      <c r="AJ1185" s="80">
        <f t="shared" si="3"/>
        <v>687</v>
      </c>
      <c r="AK1185" s="140">
        <v>0.0</v>
      </c>
      <c r="AL1185" s="109">
        <v>0.0</v>
      </c>
      <c r="AM1185" s="141">
        <v>0.0</v>
      </c>
      <c r="AN1185" s="80">
        <f t="shared" si="4"/>
        <v>0</v>
      </c>
      <c r="AO1185" s="140">
        <v>0.0</v>
      </c>
      <c r="AP1185" s="109">
        <v>0.0</v>
      </c>
      <c r="AQ1185" s="109">
        <v>502.0</v>
      </c>
      <c r="AR1185" s="80">
        <f t="shared" si="5"/>
        <v>502</v>
      </c>
      <c r="AS1185" s="110">
        <v>0.0</v>
      </c>
      <c r="AT1185" s="110">
        <v>0.0</v>
      </c>
      <c r="AU1185" s="110">
        <v>5.0</v>
      </c>
      <c r="AV1185" s="142">
        <v>75.0</v>
      </c>
      <c r="AW1185" s="80">
        <f t="shared" si="6"/>
        <v>80</v>
      </c>
      <c r="AX1185" s="113">
        <f t="shared" si="7"/>
        <v>1269</v>
      </c>
      <c r="AY1185" s="117">
        <f t="shared" si="8"/>
        <v>762</v>
      </c>
      <c r="AZ1185" s="120">
        <f t="shared" si="9"/>
        <v>507</v>
      </c>
      <c r="BA1185" s="115">
        <v>0.0</v>
      </c>
      <c r="BB1185" s="89">
        <f t="shared" si="10"/>
        <v>1269</v>
      </c>
      <c r="BC1185" s="132" t="s">
        <v>178</v>
      </c>
      <c r="BD1185" s="132" t="s">
        <v>178</v>
      </c>
      <c r="BE1185" s="132" t="s">
        <v>178</v>
      </c>
      <c r="BF1185" s="156"/>
      <c r="BG1185" s="83">
        <v>1165358.0</v>
      </c>
      <c r="BH1185" s="112"/>
      <c r="BI1185" s="112">
        <v>13.0</v>
      </c>
      <c r="BJ1185" s="98" t="s">
        <v>162</v>
      </c>
      <c r="BK1185" s="99">
        <f t="shared" si="11"/>
        <v>762</v>
      </c>
      <c r="BL1185" s="99">
        <f t="shared" si="12"/>
        <v>0</v>
      </c>
      <c r="BM1185" s="99" t="str">
        <f>IFERROR(__xludf.DUMMYFUNCTION("IFERROR(VLOOKUP(BG1185,IMPORTRANGE(""https://docs.google.com/spreadsheets/d/1juPI-Fb8LD0YtltB2mlGEnp_R3UVu1t3wSFPzgCyHXE/edit?gid=0#gid=0"",""GERAL!A2:C""),3,0),""-"")"),"-")</f>
        <v>-</v>
      </c>
    </row>
    <row r="1186" ht="15.75" customHeight="1">
      <c r="A1186" s="111" t="s">
        <v>1393</v>
      </c>
      <c r="B1186" s="83" t="s">
        <v>2282</v>
      </c>
      <c r="C1186" s="83" t="s">
        <v>68</v>
      </c>
      <c r="D1186" s="112">
        <v>1178119.0</v>
      </c>
      <c r="E1186" s="83"/>
      <c r="F1186" s="83">
        <v>2.943341E7</v>
      </c>
      <c r="G1186" s="119" t="s">
        <v>6457</v>
      </c>
      <c r="H1186" s="91" t="s">
        <v>6458</v>
      </c>
      <c r="I1186" s="83" t="s">
        <v>6449</v>
      </c>
      <c r="J1186" s="83" t="s">
        <v>150</v>
      </c>
      <c r="K1186" s="83" t="s">
        <v>151</v>
      </c>
      <c r="L1186" s="83" t="s">
        <v>152</v>
      </c>
      <c r="M1186" s="82" t="str">
        <f>IFERROR(__xludf.DUMMYFUNCTION("IFERROR(VLOOKUP(D1186,
IMPORTRANGE(""https://docs.google.com/spreadsheets/d/1MjHtlUikwobi2MaWJgy7tfLeBmhj1u-dRFRs_8GwSoA/edit#gid=0"",""Gestores Escolares!D7:J""),3,0),""VERIFICAR CÓD SEC"")"),"MARCELA GEAN MAIA DA VISITACAO BASTOS")</f>
        <v>MARCELA GEAN MAIA DA VISITACAO BASTOS</v>
      </c>
      <c r="N1186" s="82" t="str">
        <f>IFERROR(__xludf.DUMMYFUNCTION("IFERROR(VLOOKUP(D1186,
IMPORTRANGE(""https://docs.google.com/spreadsheets/d/1MjHtlUikwobi2MaWJgy7tfLeBmhj1u-dRFRs_8GwSoA/edit#gid=0"",""Gestores Escolares!D7:J""),4,0),""VERIFICAR CÓD SEC"")"),"(77) 9 9874-9190")</f>
        <v>(77) 9 9874-9190</v>
      </c>
      <c r="O1186" s="82" t="str">
        <f>IFERROR(__xludf.DUMMYFUNCTION("IFERROR(VLOOKUP(D1186,
IMPORTRANGE(""https://docs.google.com/spreadsheets/d/1MjHtlUikwobi2MaWJgy7tfLeBmhj1u-dRFRs_8GwSoA/edit#gid=0"",""Gestores Escolares!D7:J""),6,0),""VERIFICAR CÓD SEC"")"),"MARIELLE LELES NEVES")</f>
        <v>MARIELLE LELES NEVES</v>
      </c>
      <c r="P1186" s="82" t="str">
        <f>IFERROR(__xludf.DUMMYFUNCTION("IFERROR(VLOOKUP(D1186,
IMPORTRANGE(""https://docs.google.com/spreadsheets/d/1MjHtlUikwobi2MaWJgy7tfLeBmhj1u-dRFRs_8GwSoA/edit#gid=0"",""Gestores Escolares!D7:J""),7,0),""VERIFICAR CÓD SEC"")"),"(77) 9 9151-2315")</f>
        <v>(77) 9 9151-2315</v>
      </c>
      <c r="Q1186" s="82" t="str">
        <f>IFERROR(__xludf.DUMMYFUNCTION("IFERROR(VLOOKUP(D1186,
IMPORTRANGE(""https://docs.google.com/spreadsheets/d/1MjHtlUikwobi2MaWJgy7tfLeBmhj1u-dRFRs_8GwSoA/edit#gid=0"",""Gestores Escolares!D7:m""),9,0),""VERIFICAR CÓD SEC"")"),"KEILA SIMARA MARQUES CAMPOS")</f>
        <v>KEILA SIMARA MARQUES CAMPOS</v>
      </c>
      <c r="R1186" s="82" t="str">
        <f>IFERROR(__xludf.DUMMYFUNCTION("IFERROR(VLOOKUP(D1186,
IMPORTRANGE(""https://docs.google.com/spreadsheets/d/1MjHtlUikwobi2MaWJgy7tfLeBmhj1u-dRFRs_8GwSoA/edit#gid=0"",""Gestores Escolares!D7:m""),10,0),""VERIFICAR CÓD SEC"")"),"(77) 9 8823-9949")</f>
        <v>(77) 9 8823-9949</v>
      </c>
      <c r="S1186" s="82"/>
      <c r="T1186" s="138">
        <v>9.0</v>
      </c>
      <c r="U1186" s="217" t="s">
        <v>11083</v>
      </c>
      <c r="V1186" s="106">
        <v>0.0</v>
      </c>
      <c r="W1186" s="107">
        <v>0.0</v>
      </c>
      <c r="X1186" s="107">
        <v>0.0</v>
      </c>
      <c r="Y1186" s="107">
        <v>0.0</v>
      </c>
      <c r="Z1186" s="80">
        <f t="shared" si="1"/>
        <v>0</v>
      </c>
      <c r="AA1186" s="106">
        <v>0.0</v>
      </c>
      <c r="AB1186" s="107">
        <v>0.0</v>
      </c>
      <c r="AC1186" s="107">
        <v>0.0</v>
      </c>
      <c r="AD1186" s="107">
        <v>0.0</v>
      </c>
      <c r="AE1186" s="80">
        <f t="shared" si="2"/>
        <v>0</v>
      </c>
      <c r="AF1186" s="140">
        <v>36.0</v>
      </c>
      <c r="AG1186" s="109">
        <v>30.0</v>
      </c>
      <c r="AH1186" s="109">
        <v>0.0</v>
      </c>
      <c r="AI1186" s="141">
        <v>347.0</v>
      </c>
      <c r="AJ1186" s="80">
        <f t="shared" si="3"/>
        <v>413</v>
      </c>
      <c r="AK1186" s="140">
        <v>0.0</v>
      </c>
      <c r="AL1186" s="109">
        <v>0.0</v>
      </c>
      <c r="AM1186" s="141">
        <v>0.0</v>
      </c>
      <c r="AN1186" s="80">
        <f t="shared" si="4"/>
        <v>0</v>
      </c>
      <c r="AO1186" s="140">
        <v>0.0</v>
      </c>
      <c r="AP1186" s="109">
        <v>0.0</v>
      </c>
      <c r="AQ1186" s="109">
        <v>229.0</v>
      </c>
      <c r="AR1186" s="80">
        <f t="shared" si="5"/>
        <v>229</v>
      </c>
      <c r="AS1186" s="110">
        <v>0.0</v>
      </c>
      <c r="AT1186" s="110">
        <v>0.0</v>
      </c>
      <c r="AU1186" s="110">
        <v>0.0</v>
      </c>
      <c r="AV1186" s="142">
        <v>0.0</v>
      </c>
      <c r="AW1186" s="80">
        <f t="shared" si="6"/>
        <v>0</v>
      </c>
      <c r="AX1186" s="113">
        <f t="shared" si="7"/>
        <v>642</v>
      </c>
      <c r="AY1186" s="117">
        <f t="shared" si="8"/>
        <v>413</v>
      </c>
      <c r="AZ1186" s="120">
        <f t="shared" si="9"/>
        <v>229</v>
      </c>
      <c r="BA1186" s="115">
        <v>0.0</v>
      </c>
      <c r="BB1186" s="89">
        <f t="shared" si="10"/>
        <v>642</v>
      </c>
      <c r="BC1186" s="132" t="s">
        <v>178</v>
      </c>
      <c r="BD1186" s="132" t="s">
        <v>178</v>
      </c>
      <c r="BE1186" s="132" t="s">
        <v>178</v>
      </c>
      <c r="BF1186" s="123"/>
      <c r="BG1186" s="83">
        <v>1178119.0</v>
      </c>
      <c r="BH1186" s="98"/>
      <c r="BI1186" s="98">
        <v>20.0</v>
      </c>
      <c r="BJ1186" s="98" t="s">
        <v>284</v>
      </c>
      <c r="BK1186" s="99">
        <f t="shared" si="11"/>
        <v>347</v>
      </c>
      <c r="BL1186" s="99">
        <f t="shared" si="12"/>
        <v>66</v>
      </c>
      <c r="BM1186" s="99" t="str">
        <f>IFERROR(__xludf.DUMMYFUNCTION("IFERROR(VLOOKUP(BG1186,IMPORTRANGE(""https://docs.google.com/spreadsheets/d/1juPI-Fb8LD0YtltB2mlGEnp_R3UVu1t3wSFPzgCyHXE/edit?gid=0#gid=0"",""GERAL!A2:C""),3,0),""-"")"),"-")</f>
        <v>-</v>
      </c>
    </row>
    <row r="1187" ht="66.75" customHeight="1">
      <c r="A1187" s="111" t="s">
        <v>1393</v>
      </c>
      <c r="B1187" s="83" t="s">
        <v>2282</v>
      </c>
      <c r="C1187" s="83" t="s">
        <v>68</v>
      </c>
      <c r="D1187" s="112">
        <v>1125992.0</v>
      </c>
      <c r="E1187" s="83"/>
      <c r="F1187" s="83">
        <v>2.9279887E7</v>
      </c>
      <c r="G1187" s="119" t="s">
        <v>6469</v>
      </c>
      <c r="H1187" s="91" t="s">
        <v>6470</v>
      </c>
      <c r="I1187" s="172" t="s">
        <v>6471</v>
      </c>
      <c r="J1187" s="83" t="s">
        <v>150</v>
      </c>
      <c r="K1187" s="83" t="s">
        <v>151</v>
      </c>
      <c r="L1187" s="83" t="s">
        <v>230</v>
      </c>
      <c r="M1187" s="82" t="str">
        <f>IFERROR(__xludf.DUMMYFUNCTION("IFERROR(VLOOKUP(D1187,
IMPORTRANGE(""https://docs.google.com/spreadsheets/d/1MjHtlUikwobi2MaWJgy7tfLeBmhj1u-dRFRs_8GwSoA/edit#gid=0"",""Gestores Escolares!D7:J""),3,0),""VERIFICAR CÓD SEC"")"),"ADEMARIO SILVA SOUSA")</f>
        <v>ADEMARIO SILVA SOUSA</v>
      </c>
      <c r="N1187" s="82" t="str">
        <f>IFERROR(__xludf.DUMMYFUNCTION("IFERROR(VLOOKUP(D1187,
IMPORTRANGE(""https://docs.google.com/spreadsheets/d/1MjHtlUikwobi2MaWJgy7tfLeBmhj1u-dRFRs_8GwSoA/edit#gid=0"",""Gestores Escolares!D7:J""),4,0),""VERIFICAR CÓD SEC"")"),"(77) 9 8825-3944
")</f>
        <v>(77) 9 8825-3944
</v>
      </c>
      <c r="O1187" s="82" t="str">
        <f>IFERROR(__xludf.DUMMYFUNCTION("IFERROR(VLOOKUP(D1187,
IMPORTRANGE(""https://docs.google.com/spreadsheets/d/1MjHtlUikwobi2MaWJgy7tfLeBmhj1u-dRFRs_8GwSoA/edit#gid=0"",""Gestores Escolares!D7:J""),6,0),""VERIFICAR CÓD SEC"")"),"MARIA LUIZA MEIRA BARROS LISBOA")</f>
        <v>MARIA LUIZA MEIRA BARROS LISBOA</v>
      </c>
      <c r="P1187" s="82" t="str">
        <f>IFERROR(__xludf.DUMMYFUNCTION("IFERROR(VLOOKUP(D1187,
IMPORTRANGE(""https://docs.google.com/spreadsheets/d/1MjHtlUikwobi2MaWJgy7tfLeBmhj1u-dRFRs_8GwSoA/edit#gid=0"",""Gestores Escolares!D7:J""),7,0),""VERIFICAR CÓD SEC"")"),"(77) 9 8133-1926")</f>
        <v>(77) 9 8133-1926</v>
      </c>
      <c r="Q1187" s="82" t="str">
        <f>IFERROR(__xludf.DUMMYFUNCTION("IFERROR(VLOOKUP(D1187,
IMPORTRANGE(""https://docs.google.com/spreadsheets/d/1MjHtlUikwobi2MaWJgy7tfLeBmhj1u-dRFRs_8GwSoA/edit#gid=0"",""Gestores Escolares!D7:m""),9,0),""VERIFICAR CÓD SEC"")"),"")</f>
        <v/>
      </c>
      <c r="R1187" s="82" t="str">
        <f>IFERROR(__xludf.DUMMYFUNCTION("IFERROR(VLOOKUP(D1187,
IMPORTRANGE(""https://docs.google.com/spreadsheets/d/1MjHtlUikwobi2MaWJgy7tfLeBmhj1u-dRFRs_8GwSoA/edit#gid=0"",""Gestores Escolares!D7:m""),10,0),""VERIFICAR CÓD SEC"")"),"")</f>
        <v/>
      </c>
      <c r="S1187" s="82"/>
      <c r="T1187" s="138">
        <v>33.0</v>
      </c>
      <c r="U1187" s="152">
        <v>22.0</v>
      </c>
      <c r="V1187" s="106">
        <v>0.0</v>
      </c>
      <c r="W1187" s="107">
        <v>0.0</v>
      </c>
      <c r="X1187" s="107">
        <v>0.0</v>
      </c>
      <c r="Y1187" s="107">
        <v>0.0</v>
      </c>
      <c r="Z1187" s="80">
        <f t="shared" si="1"/>
        <v>0</v>
      </c>
      <c r="AA1187" s="106">
        <v>0.0</v>
      </c>
      <c r="AB1187" s="107">
        <v>0.0</v>
      </c>
      <c r="AC1187" s="107">
        <v>0.0</v>
      </c>
      <c r="AD1187" s="107">
        <v>0.0</v>
      </c>
      <c r="AE1187" s="80">
        <f t="shared" si="2"/>
        <v>0</v>
      </c>
      <c r="AF1187" s="140">
        <v>132.0</v>
      </c>
      <c r="AG1187" s="109">
        <v>159.0</v>
      </c>
      <c r="AH1187" s="109">
        <v>0.0</v>
      </c>
      <c r="AI1187" s="141">
        <v>757.0</v>
      </c>
      <c r="AJ1187" s="80">
        <f t="shared" si="3"/>
        <v>1048</v>
      </c>
      <c r="AK1187" s="140">
        <v>0.0</v>
      </c>
      <c r="AL1187" s="109">
        <v>0.0</v>
      </c>
      <c r="AM1187" s="141">
        <v>0.0</v>
      </c>
      <c r="AN1187" s="80">
        <f t="shared" si="4"/>
        <v>0</v>
      </c>
      <c r="AO1187" s="140">
        <v>0.0</v>
      </c>
      <c r="AP1187" s="109">
        <v>0.0</v>
      </c>
      <c r="AQ1187" s="109">
        <v>223.0</v>
      </c>
      <c r="AR1187" s="80">
        <f t="shared" si="5"/>
        <v>223</v>
      </c>
      <c r="AS1187" s="110">
        <v>250.0</v>
      </c>
      <c r="AT1187" s="110">
        <v>233.0</v>
      </c>
      <c r="AU1187" s="110">
        <v>183.0</v>
      </c>
      <c r="AV1187" s="142">
        <v>231.0</v>
      </c>
      <c r="AW1187" s="80">
        <f t="shared" si="6"/>
        <v>897</v>
      </c>
      <c r="AX1187" s="113">
        <f t="shared" si="7"/>
        <v>2168</v>
      </c>
      <c r="AY1187" s="117">
        <f t="shared" si="8"/>
        <v>1762</v>
      </c>
      <c r="AZ1187" s="120">
        <f t="shared" si="9"/>
        <v>406</v>
      </c>
      <c r="BA1187" s="115">
        <v>0.0</v>
      </c>
      <c r="BB1187" s="89">
        <f t="shared" si="10"/>
        <v>2168</v>
      </c>
      <c r="BC1187" s="132" t="s">
        <v>178</v>
      </c>
      <c r="BD1187" s="132" t="s">
        <v>178</v>
      </c>
      <c r="BE1187" s="132" t="s">
        <v>178</v>
      </c>
      <c r="BF1187" s="123"/>
      <c r="BG1187" s="83">
        <v>1125992.0</v>
      </c>
      <c r="BH1187" s="112"/>
      <c r="BI1187" s="112">
        <v>22.0</v>
      </c>
      <c r="BJ1187" s="98" t="s">
        <v>155</v>
      </c>
      <c r="BK1187" s="99">
        <f t="shared" si="11"/>
        <v>988</v>
      </c>
      <c r="BL1187" s="99">
        <f t="shared" si="12"/>
        <v>774</v>
      </c>
      <c r="BM1187" s="99" t="str">
        <f>IFERROR(__xludf.DUMMYFUNCTION("IFERROR(VLOOKUP(BG1187,IMPORTRANGE(""https://docs.google.com/spreadsheets/d/1juPI-Fb8LD0YtltB2mlGEnp_R3UVu1t3wSFPzgCyHXE/edit?gid=0#gid=0"",""GERAL!A2:C""),3,0),""-"")"),"-")</f>
        <v>-</v>
      </c>
    </row>
    <row r="1188" ht="15.75" customHeight="1">
      <c r="A1188" s="111" t="s">
        <v>1393</v>
      </c>
      <c r="B1188" s="83" t="s">
        <v>2282</v>
      </c>
      <c r="C1188" s="83" t="s">
        <v>68</v>
      </c>
      <c r="D1188" s="112">
        <v>1179223.0</v>
      </c>
      <c r="E1188" s="83"/>
      <c r="F1188" s="83">
        <v>2.9456479E7</v>
      </c>
      <c r="G1188" s="119" t="s">
        <v>6481</v>
      </c>
      <c r="H1188" s="91" t="s">
        <v>6482</v>
      </c>
      <c r="I1188" s="83" t="s">
        <v>6483</v>
      </c>
      <c r="J1188" s="83" t="s">
        <v>150</v>
      </c>
      <c r="K1188" s="83" t="s">
        <v>151</v>
      </c>
      <c r="L1188" s="98" t="s">
        <v>1391</v>
      </c>
      <c r="M1188" s="82" t="str">
        <f>IFERROR(__xludf.DUMMYFUNCTION("IFERROR(VLOOKUP(D1188,
IMPORTRANGE(""https://docs.google.com/spreadsheets/d/1MjHtlUikwobi2MaWJgy7tfLeBmhj1u-dRFRs_8GwSoA/edit#gid=0"",""Gestores Escolares!D7:J""),3,0),""VERIFICAR CÓD SEC"")"),"MARIA DO SOCORRO DA COSTA PASSOS")</f>
        <v>MARIA DO SOCORRO DA COSTA PASSOS</v>
      </c>
      <c r="N1188" s="82" t="str">
        <f>IFERROR(__xludf.DUMMYFUNCTION("IFERROR(VLOOKUP(D1188,
IMPORTRANGE(""https://docs.google.com/spreadsheets/d/1MjHtlUikwobi2MaWJgy7tfLeBmhj1u-dRFRs_8GwSoA/edit#gid=0"",""Gestores Escolares!D7:J""),4,0),""VERIFICAR CÓD SEC"")"),"(77) 9 8801-7508")</f>
        <v>(77) 9 8801-7508</v>
      </c>
      <c r="O1188" s="82" t="str">
        <f>IFERROR(__xludf.DUMMYFUNCTION("IFERROR(VLOOKUP(D1188,
IMPORTRANGE(""https://docs.google.com/spreadsheets/d/1MjHtlUikwobi2MaWJgy7tfLeBmhj1u-dRFRs_8GwSoA/edit#gid=0"",""Gestores Escolares!D7:J""),6,0),""VERIFICAR CÓD SEC"")"),"GILDIJONEY DOS SANTOS LOPES")</f>
        <v>GILDIJONEY DOS SANTOS LOPES</v>
      </c>
      <c r="P1188" s="82" t="str">
        <f>IFERROR(__xludf.DUMMYFUNCTION("IFERROR(VLOOKUP(D1188,
IMPORTRANGE(""https://docs.google.com/spreadsheets/d/1MjHtlUikwobi2MaWJgy7tfLeBmhj1u-dRFRs_8GwSoA/edit#gid=0"",""Gestores Escolares!D7:J""),7,0),""VERIFICAR CÓD SEC"")"),"(77) 9 8821-1080")</f>
        <v>(77) 9 8821-1080</v>
      </c>
      <c r="Q1188" s="82" t="str">
        <f>IFERROR(__xludf.DUMMYFUNCTION("IFERROR(VLOOKUP(D1188,
IMPORTRANGE(""https://docs.google.com/spreadsheets/d/1MjHtlUikwobi2MaWJgy7tfLeBmhj1u-dRFRs_8GwSoA/edit#gid=0"",""Gestores Escolares!D7:m""),9,0),""VERIFICAR CÓD SEC"")"),"ELIZANIA CARVALHO OLIVEIRA SANTANA ")</f>
        <v>ELIZANIA CARVALHO OLIVEIRA SANTANA </v>
      </c>
      <c r="R1188" s="82" t="str">
        <f>IFERROR(__xludf.DUMMYFUNCTION("IFERROR(VLOOKUP(D1188,
IMPORTRANGE(""https://docs.google.com/spreadsheets/d/1MjHtlUikwobi2MaWJgy7tfLeBmhj1u-dRFRs_8GwSoA/edit#gid=0"",""Gestores Escolares!D7:m""),10,0),""VERIFICAR CÓD SEC"")"),"(77) 9 8817-7089")</f>
        <v>(77) 9 8817-7089</v>
      </c>
      <c r="S1188" s="82"/>
      <c r="T1188" s="138">
        <v>8.0</v>
      </c>
      <c r="U1188" s="217" t="s">
        <v>12068</v>
      </c>
      <c r="V1188" s="106">
        <v>0.0</v>
      </c>
      <c r="W1188" s="107">
        <v>0.0</v>
      </c>
      <c r="X1188" s="107">
        <v>0.0</v>
      </c>
      <c r="Y1188" s="107">
        <v>0.0</v>
      </c>
      <c r="Z1188" s="80">
        <f t="shared" si="1"/>
        <v>0</v>
      </c>
      <c r="AA1188" s="106">
        <v>0.0</v>
      </c>
      <c r="AB1188" s="107">
        <v>0.0</v>
      </c>
      <c r="AC1188" s="107">
        <v>0.0</v>
      </c>
      <c r="AD1188" s="107">
        <v>0.0</v>
      </c>
      <c r="AE1188" s="80">
        <f t="shared" si="2"/>
        <v>0</v>
      </c>
      <c r="AF1188" s="140">
        <v>59.0</v>
      </c>
      <c r="AG1188" s="109">
        <v>52.0</v>
      </c>
      <c r="AH1188" s="109">
        <v>0.0</v>
      </c>
      <c r="AI1188" s="141">
        <v>463.0</v>
      </c>
      <c r="AJ1188" s="80">
        <f t="shared" si="3"/>
        <v>574</v>
      </c>
      <c r="AK1188" s="140">
        <v>0.0</v>
      </c>
      <c r="AL1188" s="109">
        <v>0.0</v>
      </c>
      <c r="AM1188" s="141">
        <v>0.0</v>
      </c>
      <c r="AN1188" s="80">
        <f t="shared" si="4"/>
        <v>0</v>
      </c>
      <c r="AO1188" s="140">
        <v>0.0</v>
      </c>
      <c r="AP1188" s="109">
        <v>0.0</v>
      </c>
      <c r="AQ1188" s="109">
        <v>310.0</v>
      </c>
      <c r="AR1188" s="80">
        <f t="shared" si="5"/>
        <v>310</v>
      </c>
      <c r="AS1188" s="110">
        <v>0.0</v>
      </c>
      <c r="AT1188" s="110">
        <v>0.0</v>
      </c>
      <c r="AU1188" s="110">
        <v>0.0</v>
      </c>
      <c r="AV1188" s="142">
        <v>0.0</v>
      </c>
      <c r="AW1188" s="80">
        <f t="shared" si="6"/>
        <v>0</v>
      </c>
      <c r="AX1188" s="113">
        <f t="shared" si="7"/>
        <v>884</v>
      </c>
      <c r="AY1188" s="117">
        <f t="shared" si="8"/>
        <v>574</v>
      </c>
      <c r="AZ1188" s="120">
        <f t="shared" si="9"/>
        <v>310</v>
      </c>
      <c r="BA1188" s="115">
        <v>0.0</v>
      </c>
      <c r="BB1188" s="89">
        <f t="shared" si="10"/>
        <v>884</v>
      </c>
      <c r="BC1188" s="132" t="s">
        <v>178</v>
      </c>
      <c r="BD1188" s="132" t="s">
        <v>178</v>
      </c>
      <c r="BE1188" s="132" t="s">
        <v>178</v>
      </c>
      <c r="BF1188" s="123"/>
      <c r="BG1188" s="83">
        <v>1179223.0</v>
      </c>
      <c r="BH1188" s="98"/>
      <c r="BI1188" s="98">
        <v>9.0</v>
      </c>
      <c r="BJ1188" s="98" t="s">
        <v>176</v>
      </c>
      <c r="BK1188" s="99">
        <f t="shared" si="11"/>
        <v>463</v>
      </c>
      <c r="BL1188" s="99">
        <f t="shared" si="12"/>
        <v>111</v>
      </c>
      <c r="BM1188" s="99" t="str">
        <f>IFERROR(__xludf.DUMMYFUNCTION("IFERROR(VLOOKUP(BG1188,IMPORTRANGE(""https://docs.google.com/spreadsheets/d/1juPI-Fb8LD0YtltB2mlGEnp_R3UVu1t3wSFPzgCyHXE/edit?gid=0#gid=0"",""GERAL!A2:C""),3,0),""-"")"),"-")</f>
        <v>-</v>
      </c>
    </row>
    <row r="1189" ht="15.75" customHeight="1">
      <c r="A1189" s="111" t="s">
        <v>1393</v>
      </c>
      <c r="B1189" s="83" t="s">
        <v>2282</v>
      </c>
      <c r="C1189" s="83" t="s">
        <v>68</v>
      </c>
      <c r="D1189" s="112">
        <v>1125496.0</v>
      </c>
      <c r="E1189" s="83"/>
      <c r="F1189" s="83">
        <v>2.927981E7</v>
      </c>
      <c r="G1189" s="119" t="s">
        <v>2579</v>
      </c>
      <c r="H1189" s="91" t="s">
        <v>6485</v>
      </c>
      <c r="I1189" s="172" t="s">
        <v>6486</v>
      </c>
      <c r="J1189" s="83" t="s">
        <v>150</v>
      </c>
      <c r="K1189" s="83" t="s">
        <v>151</v>
      </c>
      <c r="L1189" s="83" t="s">
        <v>152</v>
      </c>
      <c r="M1189" s="82" t="str">
        <f>IFERROR(__xludf.DUMMYFUNCTION("IFERROR(VLOOKUP(D1189,
IMPORTRANGE(""https://docs.google.com/spreadsheets/d/1MjHtlUikwobi2MaWJgy7tfLeBmhj1u-dRFRs_8GwSoA/edit#gid=0"",""Gestores Escolares!D7:J""),3,0),""VERIFICAR CÓD SEC"")"),"ALEXSANDRA DOS SANTOS RIBEIRO FROES")</f>
        <v>ALEXSANDRA DOS SANTOS RIBEIRO FROES</v>
      </c>
      <c r="N1189" s="82" t="str">
        <f>IFERROR(__xludf.DUMMYFUNCTION("IFERROR(VLOOKUP(D1189,
IMPORTRANGE(""https://docs.google.com/spreadsheets/d/1MjHtlUikwobi2MaWJgy7tfLeBmhj1u-dRFRs_8GwSoA/edit#gid=0"",""Gestores Escolares!D7:J""),4,0),""VERIFICAR CÓD SEC"")"),"(77) 9 8825-8668/ 3423-3902")</f>
        <v>(77) 9 8825-8668/ 3423-3902</v>
      </c>
      <c r="O1189" s="82" t="str">
        <f>IFERROR(__xludf.DUMMYFUNCTION("IFERROR(VLOOKUP(D1189,
IMPORTRANGE(""https://docs.google.com/spreadsheets/d/1MjHtlUikwobi2MaWJgy7tfLeBmhj1u-dRFRs_8GwSoA/edit#gid=0"",""Gestores Escolares!D7:J""),6,0),""VERIFICAR CÓD SEC"")"),"RITA DE CASSIA DO PRADO TRINDADE SANTOS")</f>
        <v>RITA DE CASSIA DO PRADO TRINDADE SANTOS</v>
      </c>
      <c r="P1189" s="82" t="str">
        <f>IFERROR(__xludf.DUMMYFUNCTION("IFERROR(VLOOKUP(D1189,
IMPORTRANGE(""https://docs.google.com/spreadsheets/d/1MjHtlUikwobi2MaWJgy7tfLeBmhj1u-dRFRs_8GwSoA/edit#gid=0"",""Gestores Escolares!D7:J""),7,0),""VERIFICAR CÓD SEC"")"),"(77) 9 8812-0541")</f>
        <v>(77) 9 8812-0541</v>
      </c>
      <c r="Q1189" s="82" t="str">
        <f>IFERROR(__xludf.DUMMYFUNCTION("IFERROR(VLOOKUP(D1189,
IMPORTRANGE(""https://docs.google.com/spreadsheets/d/1MjHtlUikwobi2MaWJgy7tfLeBmhj1u-dRFRs_8GwSoA/edit#gid=0"",""Gestores Escolares!D7:m""),9,0),""VERIFICAR CÓD SEC"")"),"JAQUELINE BRITO ROCHA")</f>
        <v>JAQUELINE BRITO ROCHA</v>
      </c>
      <c r="R1189" s="82" t="str">
        <f>IFERROR(__xludf.DUMMYFUNCTION("IFERROR(VLOOKUP(D1189,
IMPORTRANGE(""https://docs.google.com/spreadsheets/d/1MjHtlUikwobi2MaWJgy7tfLeBmhj1u-dRFRs_8GwSoA/edit#gid=0"",""Gestores Escolares!D7:m""),10,0),""VERIFICAR CÓD SEC"")"),"")</f>
        <v/>
      </c>
      <c r="S1189" s="82"/>
      <c r="T1189" s="138">
        <v>14.0</v>
      </c>
      <c r="U1189" s="152">
        <v>14.0</v>
      </c>
      <c r="V1189" s="106">
        <v>0.0</v>
      </c>
      <c r="W1189" s="107">
        <v>0.0</v>
      </c>
      <c r="X1189" s="107">
        <v>0.0</v>
      </c>
      <c r="Y1189" s="107">
        <v>0.0</v>
      </c>
      <c r="Z1189" s="80">
        <f t="shared" si="1"/>
        <v>0</v>
      </c>
      <c r="AA1189" s="106">
        <v>0.0</v>
      </c>
      <c r="AB1189" s="107">
        <v>0.0</v>
      </c>
      <c r="AC1189" s="107">
        <v>0.0</v>
      </c>
      <c r="AD1189" s="107">
        <v>0.0</v>
      </c>
      <c r="AE1189" s="80">
        <f t="shared" si="2"/>
        <v>0</v>
      </c>
      <c r="AF1189" s="140">
        <v>130.0</v>
      </c>
      <c r="AG1189" s="109">
        <v>0.0</v>
      </c>
      <c r="AH1189" s="109">
        <v>0.0</v>
      </c>
      <c r="AI1189" s="141">
        <v>331.0</v>
      </c>
      <c r="AJ1189" s="80">
        <f t="shared" si="3"/>
        <v>461</v>
      </c>
      <c r="AK1189" s="140">
        <v>0.0</v>
      </c>
      <c r="AL1189" s="109">
        <v>0.0</v>
      </c>
      <c r="AM1189" s="141">
        <v>0.0</v>
      </c>
      <c r="AN1189" s="80">
        <f t="shared" si="4"/>
        <v>0</v>
      </c>
      <c r="AO1189" s="140">
        <v>0.0</v>
      </c>
      <c r="AP1189" s="109">
        <v>0.0</v>
      </c>
      <c r="AQ1189" s="109">
        <v>0.0</v>
      </c>
      <c r="AR1189" s="80">
        <f t="shared" si="5"/>
        <v>0</v>
      </c>
      <c r="AS1189" s="110">
        <v>0.0</v>
      </c>
      <c r="AT1189" s="110">
        <v>0.0</v>
      </c>
      <c r="AU1189" s="110">
        <v>0.0</v>
      </c>
      <c r="AV1189" s="142">
        <v>0.0</v>
      </c>
      <c r="AW1189" s="80">
        <f t="shared" si="6"/>
        <v>0</v>
      </c>
      <c r="AX1189" s="113">
        <f t="shared" si="7"/>
        <v>461</v>
      </c>
      <c r="AY1189" s="117">
        <f t="shared" si="8"/>
        <v>461</v>
      </c>
      <c r="AZ1189" s="120">
        <f t="shared" si="9"/>
        <v>0</v>
      </c>
      <c r="BA1189" s="115">
        <v>0.0</v>
      </c>
      <c r="BB1189" s="89">
        <f t="shared" si="10"/>
        <v>461</v>
      </c>
      <c r="BC1189" s="132" t="s">
        <v>178</v>
      </c>
      <c r="BD1189" s="132" t="s">
        <v>178</v>
      </c>
      <c r="BE1189" s="132" t="s">
        <v>178</v>
      </c>
      <c r="BF1189" s="123"/>
      <c r="BG1189" s="83">
        <v>1125496.0</v>
      </c>
      <c r="BH1189" s="112"/>
      <c r="BI1189" s="112">
        <v>14.0</v>
      </c>
      <c r="BJ1189" s="98" t="s">
        <v>155</v>
      </c>
      <c r="BK1189" s="99">
        <f t="shared" si="11"/>
        <v>331</v>
      </c>
      <c r="BL1189" s="99">
        <f t="shared" si="12"/>
        <v>130</v>
      </c>
      <c r="BM1189" s="99" t="str">
        <f>IFERROR(__xludf.DUMMYFUNCTION("IFERROR(VLOOKUP(BG1189,IMPORTRANGE(""https://docs.google.com/spreadsheets/d/1juPI-Fb8LD0YtltB2mlGEnp_R3UVu1t3wSFPzgCyHXE/edit?gid=0#gid=0"",""GERAL!A2:C""),3,0),""-"")"),"-")</f>
        <v>-</v>
      </c>
    </row>
    <row r="1190" ht="15.75" customHeight="1">
      <c r="A1190" s="111" t="s">
        <v>1393</v>
      </c>
      <c r="B1190" s="83" t="s">
        <v>2282</v>
      </c>
      <c r="C1190" s="83" t="s">
        <v>68</v>
      </c>
      <c r="D1190" s="112">
        <v>1125640.0</v>
      </c>
      <c r="E1190" s="136"/>
      <c r="F1190" s="136">
        <v>2.9277787E7</v>
      </c>
      <c r="G1190" s="147" t="s">
        <v>6492</v>
      </c>
      <c r="H1190" s="91" t="s">
        <v>6493</v>
      </c>
      <c r="I1190" s="172" t="s">
        <v>6494</v>
      </c>
      <c r="J1190" s="83" t="s">
        <v>150</v>
      </c>
      <c r="K1190" s="83" t="s">
        <v>151</v>
      </c>
      <c r="L1190" s="83" t="s">
        <v>152</v>
      </c>
      <c r="M1190" s="82" t="str">
        <f>IFERROR(__xludf.DUMMYFUNCTION("IFERROR(VLOOKUP(D1190,
IMPORTRANGE(""https://docs.google.com/spreadsheets/d/1MjHtlUikwobi2MaWJgy7tfLeBmhj1u-dRFRs_8GwSoA/edit#gid=0"",""Gestores Escolares!D7:J""),3,0),""VERIFICAR CÓD SEC"")"),"DIREÇÃO DE ESCOLA: MILANA RIBEIRO GONCALVES DOS SANTOS - (77) 9 8802-3347
DIREÇÃO DA UNIDADE PM: Tenente Coronel QOPM LEILA SOUZA GONÇALVES SILVA - 
(77) 9 9962-2445
DIREÇÃO DO ADJUNTO: Major QOPM MARIA CLAUDIA DA SILVA VITÓRIA -
 (77) 9 8154-0984")</f>
        <v>DIREÇÃO DE ESCOLA: MILANA RIBEIRO GONCALVES DOS SANTOS - (77) 9 8802-3347
DIREÇÃO DA UNIDADE PM: Tenente Coronel QOPM LEILA SOUZA GONÇALVES SILVA - 
(77) 9 9962-2445
DIREÇÃO DO ADJUNTO: Major QOPM MARIA CLAUDIA DA SILVA VITÓRIA -
 (77) 9 8154-0984</v>
      </c>
      <c r="N1190" s="82" t="str">
        <f>IFERROR(__xludf.DUMMYFUNCTION("IFERROR(VLOOKUP(D1190,
IMPORTRANGE(""https://docs.google.com/spreadsheets/d/1MjHtlUikwobi2MaWJgy7tfLeBmhj1u-dRFRs_8GwSoA/edit#gid=0"",""Gestores Escolares!D7:J""),4,0),""VERIFICAR CÓD SEC"")"),"-")</f>
        <v>-</v>
      </c>
      <c r="O1190" s="82" t="str">
        <f>IFERROR(__xludf.DUMMYFUNCTION("IFERROR(VLOOKUP(D1190,
IMPORTRANGE(""https://docs.google.com/spreadsheets/d/1MjHtlUikwobi2MaWJgy7tfLeBmhj1u-dRFRs_8GwSoA/edit#gid=0"",""Gestores Escolares!D7:J""),6,0),""VERIFICAR CÓD SEC"")"),"ELAINE PITA GOMES GUENES")</f>
        <v>ELAINE PITA GOMES GUENES</v>
      </c>
      <c r="P1190" s="82" t="str">
        <f>IFERROR(__xludf.DUMMYFUNCTION("IFERROR(VLOOKUP(D1190,
IMPORTRANGE(""https://docs.google.com/spreadsheets/d/1MjHtlUikwobi2MaWJgy7tfLeBmhj1u-dRFRs_8GwSoA/edit#gid=0"",""Gestores Escolares!D7:J""),7,0),""VERIFICAR CÓD SEC"")"),"(77) 9 9100-5730")</f>
        <v>(77) 9 9100-5730</v>
      </c>
      <c r="Q1190" s="82" t="str">
        <f>IFERROR(__xludf.DUMMYFUNCTION("IFERROR(VLOOKUP(D1190,
IMPORTRANGE(""https://docs.google.com/spreadsheets/d/1MjHtlUikwobi2MaWJgy7tfLeBmhj1u-dRFRs_8GwSoA/edit#gid=0"",""Gestores Escolares!D7:m""),9,0),""VERIFICAR CÓD SEC"")"),"MARTAMIRA MARTINS DE OLIVEIRA")</f>
        <v>MARTAMIRA MARTINS DE OLIVEIRA</v>
      </c>
      <c r="R1190" s="82" t="str">
        <f>IFERROR(__xludf.DUMMYFUNCTION("IFERROR(VLOOKUP(D1190,
IMPORTRANGE(""https://docs.google.com/spreadsheets/d/1MjHtlUikwobi2MaWJgy7tfLeBmhj1u-dRFRs_8GwSoA/edit#gid=0"",""Gestores Escolares!D7:m""),10,0),""VERIFICAR CÓD SEC"")"),"(77) 9 8808-5822")</f>
        <v>(77) 9 8808-5822</v>
      </c>
      <c r="S1190" s="82"/>
      <c r="T1190" s="138">
        <v>16.0</v>
      </c>
      <c r="U1190" s="217" t="s">
        <v>13842</v>
      </c>
      <c r="V1190" s="106">
        <v>0.0</v>
      </c>
      <c r="W1190" s="107">
        <v>0.0</v>
      </c>
      <c r="X1190" s="107">
        <v>0.0</v>
      </c>
      <c r="Y1190" s="107">
        <v>0.0</v>
      </c>
      <c r="Z1190" s="80">
        <f t="shared" si="1"/>
        <v>0</v>
      </c>
      <c r="AA1190" s="106">
        <v>0.0</v>
      </c>
      <c r="AB1190" s="107">
        <v>491.0</v>
      </c>
      <c r="AC1190" s="107">
        <v>0.0</v>
      </c>
      <c r="AD1190" s="107">
        <v>0.0</v>
      </c>
      <c r="AE1190" s="80">
        <f t="shared" si="2"/>
        <v>491</v>
      </c>
      <c r="AF1190" s="140">
        <v>434.0</v>
      </c>
      <c r="AG1190" s="109">
        <v>0.0</v>
      </c>
      <c r="AH1190" s="109">
        <v>0.0</v>
      </c>
      <c r="AI1190" s="141">
        <v>0.0</v>
      </c>
      <c r="AJ1190" s="80">
        <f t="shared" si="3"/>
        <v>434</v>
      </c>
      <c r="AK1190" s="140">
        <v>0.0</v>
      </c>
      <c r="AL1190" s="109">
        <v>0.0</v>
      </c>
      <c r="AM1190" s="141">
        <v>0.0</v>
      </c>
      <c r="AN1190" s="80">
        <f t="shared" si="4"/>
        <v>0</v>
      </c>
      <c r="AO1190" s="140">
        <v>0.0</v>
      </c>
      <c r="AP1190" s="109">
        <v>0.0</v>
      </c>
      <c r="AQ1190" s="109">
        <v>0.0</v>
      </c>
      <c r="AR1190" s="80">
        <f t="shared" si="5"/>
        <v>0</v>
      </c>
      <c r="AS1190" s="110">
        <v>0.0</v>
      </c>
      <c r="AT1190" s="110">
        <v>0.0</v>
      </c>
      <c r="AU1190" s="110">
        <v>0.0</v>
      </c>
      <c r="AV1190" s="142">
        <v>0.0</v>
      </c>
      <c r="AW1190" s="80">
        <f t="shared" si="6"/>
        <v>0</v>
      </c>
      <c r="AX1190" s="113">
        <f t="shared" si="7"/>
        <v>925</v>
      </c>
      <c r="AY1190" s="117">
        <f t="shared" si="8"/>
        <v>925</v>
      </c>
      <c r="AZ1190" s="120">
        <f t="shared" si="9"/>
        <v>0</v>
      </c>
      <c r="BA1190" s="115">
        <v>0.0</v>
      </c>
      <c r="BB1190" s="89">
        <f t="shared" si="10"/>
        <v>925</v>
      </c>
      <c r="BC1190" s="143" t="s">
        <v>1014</v>
      </c>
      <c r="BD1190" s="132" t="s">
        <v>178</v>
      </c>
      <c r="BE1190" s="132" t="s">
        <v>178</v>
      </c>
      <c r="BF1190" s="123"/>
      <c r="BG1190" s="83">
        <v>1125640.0</v>
      </c>
      <c r="BH1190" s="112"/>
      <c r="BI1190" s="112">
        <v>16.0</v>
      </c>
      <c r="BJ1190" s="98" t="s">
        <v>284</v>
      </c>
      <c r="BK1190" s="99">
        <f t="shared" si="11"/>
        <v>0</v>
      </c>
      <c r="BL1190" s="99">
        <f t="shared" si="12"/>
        <v>925</v>
      </c>
      <c r="BM1190" s="99" t="str">
        <f>IFERROR(__xludf.DUMMYFUNCTION("IFERROR(VLOOKUP(BG1190,IMPORTRANGE(""https://docs.google.com/spreadsheets/d/1juPI-Fb8LD0YtltB2mlGEnp_R3UVu1t3wSFPzgCyHXE/edit?gid=0#gid=0"",""GERAL!A2:C""),3,0),""-"")"),"-")</f>
        <v>-</v>
      </c>
    </row>
    <row r="1191" ht="15.75" customHeight="1">
      <c r="A1191" s="111" t="s">
        <v>1393</v>
      </c>
      <c r="B1191" s="83" t="s">
        <v>2282</v>
      </c>
      <c r="C1191" s="83" t="s">
        <v>68</v>
      </c>
      <c r="D1191" s="112">
        <v>1125224.0</v>
      </c>
      <c r="E1191" s="136"/>
      <c r="F1191" s="136">
        <v>2.9278112E7</v>
      </c>
      <c r="G1191" s="187" t="s">
        <v>6497</v>
      </c>
      <c r="H1191" s="91" t="s">
        <v>6498</v>
      </c>
      <c r="I1191" s="172" t="s">
        <v>6499</v>
      </c>
      <c r="J1191" s="83" t="s">
        <v>150</v>
      </c>
      <c r="K1191" s="83" t="s">
        <v>151</v>
      </c>
      <c r="L1191" s="83" t="s">
        <v>169</v>
      </c>
      <c r="M1191" s="82" t="str">
        <f>IFERROR(__xludf.DUMMYFUNCTION("IFERROR(VLOOKUP(D1191,
IMPORTRANGE(""https://docs.google.com/spreadsheets/d/1MjHtlUikwobi2MaWJgy7tfLeBmhj1u-dRFRs_8GwSoA/edit#gid=0"",""Gestores Escolares!D7:J""),3,0),""VERIFICAR CÓD SEC"")"),"ANGELICA MARINELIA DA SILVA CORDEIRO")</f>
        <v>ANGELICA MARINELIA DA SILVA CORDEIRO</v>
      </c>
      <c r="N1191" s="82" t="str">
        <f>IFERROR(__xludf.DUMMYFUNCTION("IFERROR(VLOOKUP(D1191,
IMPORTRANGE(""https://docs.google.com/spreadsheets/d/1MjHtlUikwobi2MaWJgy7tfLeBmhj1u-dRFRs_8GwSoA/edit#gid=0"",""Gestores Escolares!D7:J""),4,0),""VERIFICAR CÓD SEC"")"),"(77) 9 8803-1482")</f>
        <v>(77) 9 8803-1482</v>
      </c>
      <c r="O1191" s="82" t="str">
        <f>IFERROR(__xludf.DUMMYFUNCTION("IFERROR(VLOOKUP(D1191,
IMPORTRANGE(""https://docs.google.com/spreadsheets/d/1MjHtlUikwobi2MaWJgy7tfLeBmhj1u-dRFRs_8GwSoA/edit#gid=0"",""Gestores Escolares!D7:J""),6,0),""VERIFICAR CÓD SEC"")"),"VERUSKA ANACIREMA SANTOS DA SILVA")</f>
        <v>VERUSKA ANACIREMA SANTOS DA SILVA</v>
      </c>
      <c r="P1191" s="82" t="str">
        <f>IFERROR(__xludf.DUMMYFUNCTION("IFERROR(VLOOKUP(D1191,
IMPORTRANGE(""https://docs.google.com/spreadsheets/d/1MjHtlUikwobi2MaWJgy7tfLeBmhj1u-dRFRs_8GwSoA/edit#gid=0"",""Gestores Escolares!D7:J""),7,0),""VERIFICAR CÓD SEC"")"),"(77) 9 8817-1365")</f>
        <v>(77) 9 8817-1365</v>
      </c>
      <c r="Q1191" s="82" t="str">
        <f>IFERROR(__xludf.DUMMYFUNCTION("IFERROR(VLOOKUP(D1191,
IMPORTRANGE(""https://docs.google.com/spreadsheets/d/1MjHtlUikwobi2MaWJgy7tfLeBmhj1u-dRFRs_8GwSoA/edit#gid=0"",""Gestores Escolares!D7:m""),9,0),""VERIFICAR CÓD SEC"")"),"")</f>
        <v/>
      </c>
      <c r="R1191" s="82" t="str">
        <f>IFERROR(__xludf.DUMMYFUNCTION("IFERROR(VLOOKUP(D1191,
IMPORTRANGE(""https://docs.google.com/spreadsheets/d/1MjHtlUikwobi2MaWJgy7tfLeBmhj1u-dRFRs_8GwSoA/edit#gid=0"",""Gestores Escolares!D7:m""),10,0),""VERIFICAR CÓD SEC"")"),"")</f>
        <v/>
      </c>
      <c r="S1191" s="82"/>
      <c r="T1191" s="138">
        <v>6.0</v>
      </c>
      <c r="U1191" s="152">
        <v>5.0</v>
      </c>
      <c r="V1191" s="106">
        <v>0.0</v>
      </c>
      <c r="W1191" s="107">
        <v>0.0</v>
      </c>
      <c r="X1191" s="107">
        <v>0.0</v>
      </c>
      <c r="Y1191" s="107">
        <v>0.0</v>
      </c>
      <c r="Z1191" s="80">
        <f t="shared" si="1"/>
        <v>0</v>
      </c>
      <c r="AA1191" s="106">
        <v>0.0</v>
      </c>
      <c r="AB1191" s="107">
        <v>0.0</v>
      </c>
      <c r="AC1191" s="107">
        <v>0.0</v>
      </c>
      <c r="AD1191" s="107">
        <v>0.0</v>
      </c>
      <c r="AE1191" s="80">
        <f t="shared" si="2"/>
        <v>0</v>
      </c>
      <c r="AF1191" s="140">
        <v>0.0</v>
      </c>
      <c r="AG1191" s="109">
        <v>0.0</v>
      </c>
      <c r="AH1191" s="109">
        <v>0.0</v>
      </c>
      <c r="AI1191" s="141">
        <v>0.0</v>
      </c>
      <c r="AJ1191" s="80">
        <f t="shared" si="3"/>
        <v>0</v>
      </c>
      <c r="AK1191" s="140">
        <v>60.0</v>
      </c>
      <c r="AL1191" s="109">
        <v>60.0</v>
      </c>
      <c r="AM1191" s="141">
        <v>0.0</v>
      </c>
      <c r="AN1191" s="80">
        <f t="shared" si="4"/>
        <v>120</v>
      </c>
      <c r="AO1191" s="140">
        <v>55.0</v>
      </c>
      <c r="AP1191" s="109">
        <v>53.0</v>
      </c>
      <c r="AQ1191" s="109">
        <v>0.0</v>
      </c>
      <c r="AR1191" s="80">
        <f t="shared" si="5"/>
        <v>108</v>
      </c>
      <c r="AS1191" s="110">
        <v>0.0</v>
      </c>
      <c r="AT1191" s="110">
        <v>0.0</v>
      </c>
      <c r="AU1191" s="110">
        <v>0.0</v>
      </c>
      <c r="AV1191" s="142">
        <v>0.0</v>
      </c>
      <c r="AW1191" s="80">
        <f t="shared" si="6"/>
        <v>0</v>
      </c>
      <c r="AX1191" s="113">
        <f t="shared" si="7"/>
        <v>228</v>
      </c>
      <c r="AY1191" s="117">
        <f t="shared" si="8"/>
        <v>228</v>
      </c>
      <c r="AZ1191" s="120">
        <f t="shared" si="9"/>
        <v>0</v>
      </c>
      <c r="BA1191" s="115">
        <v>0.0</v>
      </c>
      <c r="BB1191" s="89">
        <f t="shared" si="10"/>
        <v>228</v>
      </c>
      <c r="BC1191" s="143" t="s">
        <v>563</v>
      </c>
      <c r="BD1191" s="132" t="s">
        <v>178</v>
      </c>
      <c r="BE1191" s="132" t="s">
        <v>178</v>
      </c>
      <c r="BF1191" s="123"/>
      <c r="BG1191" s="83">
        <v>1125224.0</v>
      </c>
      <c r="BH1191" s="112"/>
      <c r="BI1191" s="112">
        <v>5.0</v>
      </c>
      <c r="BJ1191" s="98" t="s">
        <v>155</v>
      </c>
      <c r="BK1191" s="99">
        <f t="shared" si="11"/>
        <v>0</v>
      </c>
      <c r="BL1191" s="99">
        <f t="shared" si="12"/>
        <v>228</v>
      </c>
      <c r="BM1191" s="99" t="str">
        <f>IFERROR(__xludf.DUMMYFUNCTION("IFERROR(VLOOKUP(BG1191,IMPORTRANGE(""https://docs.google.com/spreadsheets/d/1juPI-Fb8LD0YtltB2mlGEnp_R3UVu1t3wSFPzgCyHXE/edit?gid=0#gid=0"",""GERAL!A2:C""),3,0),""-"")"),"-")</f>
        <v>-</v>
      </c>
    </row>
    <row r="1192" ht="15.75" customHeight="1">
      <c r="A1192" s="111" t="s">
        <v>1393</v>
      </c>
      <c r="B1192" s="83" t="s">
        <v>2282</v>
      </c>
      <c r="C1192" s="83" t="s">
        <v>68</v>
      </c>
      <c r="D1192" s="112">
        <v>1125429.0</v>
      </c>
      <c r="E1192" s="136"/>
      <c r="F1192" s="136">
        <v>2.927799E7</v>
      </c>
      <c r="G1192" s="187" t="s">
        <v>6501</v>
      </c>
      <c r="H1192" s="91" t="s">
        <v>6502</v>
      </c>
      <c r="I1192" s="172" t="s">
        <v>6403</v>
      </c>
      <c r="J1192" s="83" t="s">
        <v>150</v>
      </c>
      <c r="K1192" s="83" t="s">
        <v>151</v>
      </c>
      <c r="L1192" s="83" t="s">
        <v>230</v>
      </c>
      <c r="M1192" s="82" t="str">
        <f>IFERROR(__xludf.DUMMYFUNCTION("IFERROR(VLOOKUP(D1192,
IMPORTRANGE(""https://docs.google.com/spreadsheets/d/1MjHtlUikwobi2MaWJgy7tfLeBmhj1u-dRFRs_8GwSoA/edit#gid=0"",""Gestores Escolares!D7:J""),3,0),""VERIFICAR CÓD SEC"")"),"LIVIA OLIVEIRA CORREIA (LICENÇA MATERNIDADE DO DIA 14.04.26 Á 10.10.26), PORTANTO NESSE PERIODO O VICE ALDAIR ASSUME TEMPORIAMENTE ATE 10 DE OUTUBRO DE 2026")</f>
        <v>LIVIA OLIVEIRA CORREIA (LICENÇA MATERNIDADE DO DIA 14.04.26 Á 10.10.26), PORTANTO NESSE PERIODO O VICE ALDAIR ASSUME TEMPORIAMENTE ATE 10 DE OUTUBRO DE 2026</v>
      </c>
      <c r="N1192" s="82" t="str">
        <f>IFERROR(__xludf.DUMMYFUNCTION("IFERROR(VLOOKUP(D1192,
IMPORTRANGE(""https://docs.google.com/spreadsheets/d/1MjHtlUikwobi2MaWJgy7tfLeBmhj1u-dRFRs_8GwSoA/edit#gid=0"",""Gestores Escolares!D7:J""),4,0),""VERIFICAR CÓD SEC"")"),"(73) 9 9115-2669")</f>
        <v>(73) 9 9115-2669</v>
      </c>
      <c r="O1192" s="82" t="str">
        <f>IFERROR(__xludf.DUMMYFUNCTION("IFERROR(VLOOKUP(D1192,
IMPORTRANGE(""https://docs.google.com/spreadsheets/d/1MjHtlUikwobi2MaWJgy7tfLeBmhj1u-dRFRs_8GwSoA/edit#gid=0"",""Gestores Escolares!D7:J""),6,0),""VERIFICAR CÓD SEC"")"),"SANDRA SILVA DAS VIRGENS")</f>
        <v>SANDRA SILVA DAS VIRGENS</v>
      </c>
      <c r="P1192" s="82" t="str">
        <f>IFERROR(__xludf.DUMMYFUNCTION("IFERROR(VLOOKUP(D1192,
IMPORTRANGE(""https://docs.google.com/spreadsheets/d/1MjHtlUikwobi2MaWJgy7tfLeBmhj1u-dRFRs_8GwSoA/edit#gid=0"",""Gestores Escolares!D7:J""),7,0),""VERIFICAR CÓD SEC"")"),"(77) 9 8811-8331")</f>
        <v>(77) 9 8811-8331</v>
      </c>
      <c r="Q1192" s="82" t="str">
        <f>IFERROR(__xludf.DUMMYFUNCTION("IFERROR(VLOOKUP(D1192,
IMPORTRANGE(""https://docs.google.com/spreadsheets/d/1MjHtlUikwobi2MaWJgy7tfLeBmhj1u-dRFRs_8GwSoA/edit#gid=0"",""Gestores Escolares!D7:m""),9,0),""VERIFICAR CÓD SEC"")"),"ALDAIR MARINHO SOUZA (RESPONDE TEMPORIAMENTE PELA DIREÇÃO ATÉ 10 DE OUTUBRO DE 2026)")</f>
        <v>ALDAIR MARINHO SOUZA (RESPONDE TEMPORIAMENTE PELA DIREÇÃO ATÉ 10 DE OUTUBRO DE 2026)</v>
      </c>
      <c r="R1192" s="82" t="str">
        <f>IFERROR(__xludf.DUMMYFUNCTION("IFERROR(VLOOKUP(D1192,
IMPORTRANGE(""https://docs.google.com/spreadsheets/d/1MjHtlUikwobi2MaWJgy7tfLeBmhj1u-dRFRs_8GwSoA/edit#gid=0"",""Gestores Escolares!D7:m""),10,0),""VERIFICAR CÓD SEC"")"),"(77) 9 9105-4457")</f>
        <v>(77) 9 9105-4457</v>
      </c>
      <c r="S1192" s="82"/>
      <c r="T1192" s="138">
        <v>26.0</v>
      </c>
      <c r="U1192" s="152">
        <v>17.0</v>
      </c>
      <c r="V1192" s="106">
        <v>0.0</v>
      </c>
      <c r="W1192" s="107">
        <v>0.0</v>
      </c>
      <c r="X1192" s="107">
        <v>0.0</v>
      </c>
      <c r="Y1192" s="107">
        <v>0.0</v>
      </c>
      <c r="Z1192" s="80">
        <f t="shared" si="1"/>
        <v>0</v>
      </c>
      <c r="AA1192" s="106">
        <v>0.0</v>
      </c>
      <c r="AB1192" s="107">
        <v>0.0</v>
      </c>
      <c r="AC1192" s="107">
        <v>0.0</v>
      </c>
      <c r="AD1192" s="107">
        <v>0.0</v>
      </c>
      <c r="AE1192" s="80">
        <f t="shared" si="2"/>
        <v>0</v>
      </c>
      <c r="AF1192" s="140">
        <v>0.0</v>
      </c>
      <c r="AG1192" s="109">
        <v>0.0</v>
      </c>
      <c r="AH1192" s="109">
        <v>0.0</v>
      </c>
      <c r="AI1192" s="141">
        <v>0.0</v>
      </c>
      <c r="AJ1192" s="80">
        <f t="shared" si="3"/>
        <v>0</v>
      </c>
      <c r="AK1192" s="140">
        <v>0.0</v>
      </c>
      <c r="AL1192" s="109">
        <v>0.0</v>
      </c>
      <c r="AM1192" s="141">
        <v>0.0</v>
      </c>
      <c r="AN1192" s="80">
        <f t="shared" si="4"/>
        <v>0</v>
      </c>
      <c r="AO1192" s="140">
        <v>0.0</v>
      </c>
      <c r="AP1192" s="109">
        <v>0.0</v>
      </c>
      <c r="AQ1192" s="109">
        <v>0.0</v>
      </c>
      <c r="AR1192" s="80">
        <f t="shared" si="5"/>
        <v>0</v>
      </c>
      <c r="AS1192" s="110">
        <v>579.0</v>
      </c>
      <c r="AT1192" s="110">
        <v>501.0</v>
      </c>
      <c r="AU1192" s="110">
        <v>195.0</v>
      </c>
      <c r="AV1192" s="142">
        <v>0.0</v>
      </c>
      <c r="AW1192" s="80">
        <f t="shared" si="6"/>
        <v>1275</v>
      </c>
      <c r="AX1192" s="113">
        <f t="shared" si="7"/>
        <v>1275</v>
      </c>
      <c r="AY1192" s="117">
        <f t="shared" si="8"/>
        <v>1080</v>
      </c>
      <c r="AZ1192" s="120">
        <f t="shared" si="9"/>
        <v>195</v>
      </c>
      <c r="BA1192" s="115">
        <v>0.0</v>
      </c>
      <c r="BB1192" s="89">
        <f t="shared" si="10"/>
        <v>1275</v>
      </c>
      <c r="BC1192" s="132" t="s">
        <v>178</v>
      </c>
      <c r="BD1192" s="132" t="s">
        <v>522</v>
      </c>
      <c r="BE1192" s="132" t="s">
        <v>178</v>
      </c>
      <c r="BF1192" s="156"/>
      <c r="BG1192" s="83">
        <v>1125429.0</v>
      </c>
      <c r="BH1192" s="112"/>
      <c r="BI1192" s="112">
        <v>17.0</v>
      </c>
      <c r="BJ1192" s="98" t="s">
        <v>284</v>
      </c>
      <c r="BK1192" s="99">
        <f t="shared" si="11"/>
        <v>0</v>
      </c>
      <c r="BL1192" s="99">
        <f t="shared" si="12"/>
        <v>1080</v>
      </c>
      <c r="BM1192" s="99" t="str">
        <f>IFERROR(__xludf.DUMMYFUNCTION("IFERROR(VLOOKUP(BG1192,IMPORTRANGE(""https://docs.google.com/spreadsheets/d/1juPI-Fb8LD0YtltB2mlGEnp_R3UVu1t3wSFPzgCyHXE/edit?gid=0#gid=0"",""GERAL!A2:C""),3,0),""-"")"),"-")</f>
        <v>-</v>
      </c>
    </row>
    <row r="1193" ht="15.75" customHeight="1">
      <c r="A1193" s="111" t="s">
        <v>1393</v>
      </c>
      <c r="B1193" s="83" t="s">
        <v>2282</v>
      </c>
      <c r="C1193" s="83" t="s">
        <v>68</v>
      </c>
      <c r="D1193" s="112">
        <v>1179285.0</v>
      </c>
      <c r="E1193" s="136"/>
      <c r="F1193" s="136">
        <v>2.9461472E7</v>
      </c>
      <c r="G1193" s="187" t="s">
        <v>6513</v>
      </c>
      <c r="H1193" s="108" t="s">
        <v>6514</v>
      </c>
      <c r="I1193" s="172" t="s">
        <v>6403</v>
      </c>
      <c r="J1193" s="83" t="s">
        <v>150</v>
      </c>
      <c r="K1193" s="83" t="s">
        <v>151</v>
      </c>
      <c r="L1193" s="83" t="s">
        <v>230</v>
      </c>
      <c r="M1193" s="82" t="str">
        <f>IFERROR(__xludf.DUMMYFUNCTION("IFERROR(VLOOKUP(D1193,
IMPORTRANGE(""https://docs.google.com/spreadsheets/d/1MjHtlUikwobi2MaWJgy7tfLeBmhj1u-dRFRs_8GwSoA/edit#gid=0"",""Gestores Escolares!D7:J""),3,0),""VERIFICAR CÓD SEC"")"),"MONIQUE ALVES BRITO")</f>
        <v>MONIQUE ALVES BRITO</v>
      </c>
      <c r="N1193" s="82" t="str">
        <f>IFERROR(__xludf.DUMMYFUNCTION("IFERROR(VLOOKUP(D1193,
IMPORTRANGE(""https://docs.google.com/spreadsheets/d/1MjHtlUikwobi2MaWJgy7tfLeBmhj1u-dRFRs_8GwSoA/edit#gid=0"",""Gestores Escolares!D7:J""),4,0),""VERIFICAR CÓD SEC"")"),"(71) 9 8622-0492")</f>
        <v>(71) 9 8622-0492</v>
      </c>
      <c r="O1193" s="82" t="str">
        <f>IFERROR(__xludf.DUMMYFUNCTION("IFERROR(VLOOKUP(D1193,
IMPORTRANGE(""https://docs.google.com/spreadsheets/d/1MjHtlUikwobi2MaWJgy7tfLeBmhj1u-dRFRs_8GwSoA/edit#gid=0"",""Gestores Escolares!D7:J""),6,0),""VERIFICAR CÓD SEC"")"),"DANILO LARANJEIRA DE JESUS")</f>
        <v>DANILO LARANJEIRA DE JESUS</v>
      </c>
      <c r="P1193" s="82" t="str">
        <f>IFERROR(__xludf.DUMMYFUNCTION("IFERROR(VLOOKUP(D1193,
IMPORTRANGE(""https://docs.google.com/spreadsheets/d/1MjHtlUikwobi2MaWJgy7tfLeBmhj1u-dRFRs_8GwSoA/edit#gid=0"",""Gestores Escolares!D7:J""),7,0),""VERIFICAR CÓD SEC"")"),"(73) 9 8123-1590")</f>
        <v>(73) 9 8123-1590</v>
      </c>
      <c r="Q1193" s="82" t="str">
        <f>IFERROR(__xludf.DUMMYFUNCTION("IFERROR(VLOOKUP(D1193,
IMPORTRANGE(""https://docs.google.com/spreadsheets/d/1MjHtlUikwobi2MaWJgy7tfLeBmhj1u-dRFRs_8GwSoA/edit#gid=0"",""Gestores Escolares!D7:m""),9,0),""VERIFICAR CÓD SEC"")")," RICARDO COSTA DE MORAES")</f>
        <v> RICARDO COSTA DE MORAES</v>
      </c>
      <c r="R1193" s="82" t="str">
        <f>IFERROR(__xludf.DUMMYFUNCTION("IFERROR(VLOOKUP(D1193,
IMPORTRANGE(""https://docs.google.com/spreadsheets/d/1MjHtlUikwobi2MaWJgy7tfLeBmhj1u-dRFRs_8GwSoA/edit#gid=0"",""Gestores Escolares!D7:m""),10,0),""VERIFICAR CÓD SEC"")"),"(77) 9 8816-9018")</f>
        <v>(77) 9 8816-9018</v>
      </c>
      <c r="S1193" s="82"/>
      <c r="T1193" s="138" t="s">
        <v>171</v>
      </c>
      <c r="U1193" s="217" t="s">
        <v>533</v>
      </c>
      <c r="V1193" s="106">
        <v>0.0</v>
      </c>
      <c r="W1193" s="107">
        <v>0.0</v>
      </c>
      <c r="X1193" s="107">
        <v>0.0</v>
      </c>
      <c r="Y1193" s="107">
        <v>0.0</v>
      </c>
      <c r="Z1193" s="80">
        <f t="shared" si="1"/>
        <v>0</v>
      </c>
      <c r="AA1193" s="106">
        <v>0.0</v>
      </c>
      <c r="AB1193" s="107">
        <v>0.0</v>
      </c>
      <c r="AC1193" s="107">
        <v>0.0</v>
      </c>
      <c r="AD1193" s="107">
        <v>0.0</v>
      </c>
      <c r="AE1193" s="80">
        <f t="shared" si="2"/>
        <v>0</v>
      </c>
      <c r="AF1193" s="140">
        <v>0.0</v>
      </c>
      <c r="AG1193" s="109">
        <v>0.0</v>
      </c>
      <c r="AH1193" s="109">
        <v>0.0</v>
      </c>
      <c r="AI1193" s="141">
        <v>0.0</v>
      </c>
      <c r="AJ1193" s="80">
        <f t="shared" si="3"/>
        <v>0</v>
      </c>
      <c r="AK1193" s="140">
        <v>0.0</v>
      </c>
      <c r="AL1193" s="109">
        <v>0.0</v>
      </c>
      <c r="AM1193" s="141">
        <v>0.0</v>
      </c>
      <c r="AN1193" s="80">
        <f t="shared" si="4"/>
        <v>0</v>
      </c>
      <c r="AO1193" s="140">
        <v>0.0</v>
      </c>
      <c r="AP1193" s="109">
        <v>0.0</v>
      </c>
      <c r="AQ1193" s="109">
        <v>0.0</v>
      </c>
      <c r="AR1193" s="80">
        <f t="shared" si="5"/>
        <v>0</v>
      </c>
      <c r="AS1193" s="110">
        <v>0.0</v>
      </c>
      <c r="AT1193" s="110">
        <v>0.0</v>
      </c>
      <c r="AU1193" s="110">
        <v>0.0</v>
      </c>
      <c r="AV1193" s="142">
        <v>0.0</v>
      </c>
      <c r="AW1193" s="80">
        <f t="shared" si="6"/>
        <v>0</v>
      </c>
      <c r="AX1193" s="113">
        <f t="shared" si="7"/>
        <v>0</v>
      </c>
      <c r="AY1193" s="117">
        <f t="shared" si="8"/>
        <v>0</v>
      </c>
      <c r="AZ1193" s="120">
        <f t="shared" si="9"/>
        <v>0</v>
      </c>
      <c r="BA1193" s="115">
        <v>0.0</v>
      </c>
      <c r="BB1193" s="89">
        <f t="shared" si="10"/>
        <v>0</v>
      </c>
      <c r="BC1193" s="132" t="s">
        <v>178</v>
      </c>
      <c r="BD1193" s="143" t="s">
        <v>227</v>
      </c>
      <c r="BE1193" s="132" t="s">
        <v>178</v>
      </c>
      <c r="BF1193" s="156" t="s">
        <v>534</v>
      </c>
      <c r="BG1193" s="83">
        <v>1179285.0</v>
      </c>
      <c r="BH1193" s="112"/>
      <c r="BI1193" s="112">
        <v>0.0</v>
      </c>
      <c r="BJ1193" s="98" t="s">
        <v>155</v>
      </c>
      <c r="BK1193" s="99">
        <f t="shared" si="11"/>
        <v>0</v>
      </c>
      <c r="BL1193" s="99">
        <f t="shared" si="12"/>
        <v>0</v>
      </c>
      <c r="BM1193" s="99" t="str">
        <f>IFERROR(__xludf.DUMMYFUNCTION("IFERROR(VLOOKUP(BG1193,IMPORTRANGE(""https://docs.google.com/spreadsheets/d/1juPI-Fb8LD0YtltB2mlGEnp_R3UVu1t3wSFPzgCyHXE/edit?gid=0#gid=0"",""GERAL!A2:C""),3,0),""-"")"),"-")</f>
        <v>-</v>
      </c>
    </row>
    <row r="1194" ht="15.75" customHeight="1">
      <c r="A1194" s="111" t="s">
        <v>1393</v>
      </c>
      <c r="B1194" s="83" t="s">
        <v>2282</v>
      </c>
      <c r="C1194" s="83" t="s">
        <v>68</v>
      </c>
      <c r="D1194" s="112">
        <v>1179448.0</v>
      </c>
      <c r="E1194" s="83"/>
      <c r="F1194" s="83">
        <v>2.9467861E7</v>
      </c>
      <c r="G1194" s="114" t="s">
        <v>6518</v>
      </c>
      <c r="H1194" s="91" t="s">
        <v>6519</v>
      </c>
      <c r="I1194" s="172" t="s">
        <v>6427</v>
      </c>
      <c r="J1194" s="83" t="s">
        <v>150</v>
      </c>
      <c r="K1194" s="83" t="s">
        <v>151</v>
      </c>
      <c r="L1194" s="83" t="s">
        <v>230</v>
      </c>
      <c r="M1194" s="82" t="str">
        <f>IFERROR(__xludf.DUMMYFUNCTION("IFERROR(VLOOKUP(D1194,
IMPORTRANGE(""https://docs.google.com/spreadsheets/d/1MjHtlUikwobi2MaWJgy7tfLeBmhj1u-dRFRs_8GwSoA/edit#gid=0"",""Gestores Escolares!D7:J""),3,0),""VERIFICAR CÓD SEC"")"),"ALICE PERES IRIGOYEN")</f>
        <v>ALICE PERES IRIGOYEN</v>
      </c>
      <c r="N1194" s="82" t="str">
        <f>IFERROR(__xludf.DUMMYFUNCTION("IFERROR(VLOOKUP(D1194,
IMPORTRANGE(""https://docs.google.com/spreadsheets/d/1MjHtlUikwobi2MaWJgy7tfLeBmhj1u-dRFRs_8GwSoA/edit#gid=0"",""Gestores Escolares!D7:J""),4,0),""VERIFICAR CÓD SEC"")"),"(77) 9 8806-8192/ 
9 8853-2613")</f>
        <v>(77) 9 8806-8192/ 
9 8853-2613</v>
      </c>
      <c r="O1194" s="82" t="str">
        <f>IFERROR(__xludf.DUMMYFUNCTION("IFERROR(VLOOKUP(D1194,
IMPORTRANGE(""https://docs.google.com/spreadsheets/d/1MjHtlUikwobi2MaWJgy7tfLeBmhj1u-dRFRs_8GwSoA/edit#gid=0"",""Gestores Escolares!D7:J""),6,0),""VERIFICAR CÓD SEC"")"),"SARA RIBEIRO DOS SANTOS")</f>
        <v>SARA RIBEIRO DOS SANTOS</v>
      </c>
      <c r="P1194" s="82" t="str">
        <f>IFERROR(__xludf.DUMMYFUNCTION("IFERROR(VLOOKUP(D1194,
IMPORTRANGE(""https://docs.google.com/spreadsheets/d/1MjHtlUikwobi2MaWJgy7tfLeBmhj1u-dRFRs_8GwSoA/edit#gid=0"",""Gestores Escolares!D7:J""),7,0),""VERIFICAR CÓD SEC"")"),"(77) 9 8822-0182")</f>
        <v>(77) 9 8822-0182</v>
      </c>
      <c r="Q1194" s="82" t="str">
        <f>IFERROR(__xludf.DUMMYFUNCTION("IFERROR(VLOOKUP(D1194,
IMPORTRANGE(""https://docs.google.com/spreadsheets/d/1MjHtlUikwobi2MaWJgy7tfLeBmhj1u-dRFRs_8GwSoA/edit#gid=0"",""Gestores Escolares!D7:m""),9,0),""VERIFICAR CÓD SEC"")"),"ELMARA PEREIRA DE SOUZA")</f>
        <v>ELMARA PEREIRA DE SOUZA</v>
      </c>
      <c r="R1194" s="82" t="str">
        <f>IFERROR(__xludf.DUMMYFUNCTION("IFERROR(VLOOKUP(D1194,
IMPORTRANGE(""https://docs.google.com/spreadsheets/d/1MjHtlUikwobi2MaWJgy7tfLeBmhj1u-dRFRs_8GwSoA/edit#gid=0"",""Gestores Escolares!D7:m""),10,0),""VERIFICAR CÓD SEC"")"),"(77) 9 9211-2218")</f>
        <v>(77) 9 9211-2218</v>
      </c>
      <c r="S1194" s="82"/>
      <c r="T1194" s="138" t="s">
        <v>171</v>
      </c>
      <c r="U1194" s="152">
        <v>7.0</v>
      </c>
      <c r="V1194" s="106">
        <v>0.0</v>
      </c>
      <c r="W1194" s="107">
        <v>0.0</v>
      </c>
      <c r="X1194" s="107">
        <v>0.0</v>
      </c>
      <c r="Y1194" s="107">
        <v>0.0</v>
      </c>
      <c r="Z1194" s="80">
        <f t="shared" si="1"/>
        <v>0</v>
      </c>
      <c r="AA1194" s="106">
        <v>0.0</v>
      </c>
      <c r="AB1194" s="107">
        <v>0.0</v>
      </c>
      <c r="AC1194" s="107">
        <v>0.0</v>
      </c>
      <c r="AD1194" s="107">
        <v>0.0</v>
      </c>
      <c r="AE1194" s="80">
        <f t="shared" si="2"/>
        <v>0</v>
      </c>
      <c r="AF1194" s="140">
        <v>0.0</v>
      </c>
      <c r="AG1194" s="109">
        <v>0.0</v>
      </c>
      <c r="AH1194" s="109">
        <v>0.0</v>
      </c>
      <c r="AI1194" s="141">
        <v>0.0</v>
      </c>
      <c r="AJ1194" s="80">
        <f t="shared" si="3"/>
        <v>0</v>
      </c>
      <c r="AK1194" s="140">
        <v>0.0</v>
      </c>
      <c r="AL1194" s="109">
        <v>0.0</v>
      </c>
      <c r="AM1194" s="141">
        <v>0.0</v>
      </c>
      <c r="AN1194" s="80">
        <f t="shared" si="4"/>
        <v>0</v>
      </c>
      <c r="AO1194" s="140">
        <v>0.0</v>
      </c>
      <c r="AP1194" s="109">
        <v>0.0</v>
      </c>
      <c r="AQ1194" s="109">
        <v>0.0</v>
      </c>
      <c r="AR1194" s="80">
        <f t="shared" si="5"/>
        <v>0</v>
      </c>
      <c r="AS1194" s="110">
        <v>0.0</v>
      </c>
      <c r="AT1194" s="110">
        <v>0.0</v>
      </c>
      <c r="AU1194" s="110">
        <v>0.0</v>
      </c>
      <c r="AV1194" s="142">
        <v>0.0</v>
      </c>
      <c r="AW1194" s="80">
        <f t="shared" si="6"/>
        <v>0</v>
      </c>
      <c r="AX1194" s="113">
        <f t="shared" si="7"/>
        <v>0</v>
      </c>
      <c r="AY1194" s="117">
        <f t="shared" si="8"/>
        <v>0</v>
      </c>
      <c r="AZ1194" s="120">
        <f t="shared" si="9"/>
        <v>0</v>
      </c>
      <c r="BA1194" s="168">
        <v>0.0</v>
      </c>
      <c r="BB1194" s="89">
        <f t="shared" si="10"/>
        <v>0</v>
      </c>
      <c r="BC1194" s="143" t="s">
        <v>547</v>
      </c>
      <c r="BD1194" s="143" t="s">
        <v>547</v>
      </c>
      <c r="BE1194" s="132" t="s">
        <v>178</v>
      </c>
      <c r="BF1194" s="156"/>
      <c r="BG1194" s="83">
        <v>1179448.0</v>
      </c>
      <c r="BH1194" s="112"/>
      <c r="BI1194" s="112">
        <v>7.0</v>
      </c>
      <c r="BJ1194" s="98" t="s">
        <v>155</v>
      </c>
      <c r="BK1194" s="99">
        <f t="shared" si="11"/>
        <v>0</v>
      </c>
      <c r="BL1194" s="99">
        <f t="shared" si="12"/>
        <v>0</v>
      </c>
      <c r="BM1194" s="99" t="str">
        <f>IFERROR(__xludf.DUMMYFUNCTION("IFERROR(VLOOKUP(BG1194,IMPORTRANGE(""https://docs.google.com/spreadsheets/d/1juPI-Fb8LD0YtltB2mlGEnp_R3UVu1t3wSFPzgCyHXE/edit?gid=0#gid=0"",""GERAL!A2:C""),3,0),""-"")"),"-")</f>
        <v>-</v>
      </c>
    </row>
    <row r="1195" ht="15.75" customHeight="1">
      <c r="A1195" s="127" t="s">
        <v>1393</v>
      </c>
      <c r="B1195" s="98" t="s">
        <v>2282</v>
      </c>
      <c r="C1195" s="83" t="s">
        <v>68</v>
      </c>
      <c r="D1195" s="98">
        <v>1179790.0</v>
      </c>
      <c r="E1195" s="83"/>
      <c r="F1195" s="98">
        <v>2.9494737E7</v>
      </c>
      <c r="G1195" s="147" t="s">
        <v>6522</v>
      </c>
      <c r="H1195" s="108" t="s">
        <v>6523</v>
      </c>
      <c r="I1195" s="115" t="s">
        <v>6449</v>
      </c>
      <c r="J1195" s="98"/>
      <c r="K1195" s="83" t="s">
        <v>151</v>
      </c>
      <c r="L1195" s="83" t="s">
        <v>230</v>
      </c>
      <c r="M1195" s="82" t="str">
        <f>IFERROR(__xludf.DUMMYFUNCTION("IFERROR(VLOOKUP(D1195,
IMPORTRANGE(""https://docs.google.com/spreadsheets/d/1MjHtlUikwobi2MaWJgy7tfLeBmhj1u-dRFRs_8GwSoA/edit#gid=0"",""Gestores Escolares!D7:J""),3,0),""VERIFICAR CÓD SEC"")"),"RUTHNELLE DE OLIVEIRA CHAGAS")</f>
        <v>RUTHNELLE DE OLIVEIRA CHAGAS</v>
      </c>
      <c r="N1195" s="82" t="str">
        <f>IFERROR(__xludf.DUMMYFUNCTION("IFERROR(VLOOKUP(D1195,
IMPORTRANGE(""https://docs.google.com/spreadsheets/d/1MjHtlUikwobi2MaWJgy7tfLeBmhj1u-dRFRs_8GwSoA/edit#gid=0"",""Gestores Escolares!D7:J""),4,0),""VERIFICAR CÓD SEC"")"),"(77) 9 8832-1954")</f>
        <v>(77) 9 8832-1954</v>
      </c>
      <c r="O1195" s="82" t="str">
        <f>IFERROR(__xludf.DUMMYFUNCTION("IFERROR(VLOOKUP(D1195,
IMPORTRANGE(""https://docs.google.com/spreadsheets/d/1MjHtlUikwobi2MaWJgy7tfLeBmhj1u-dRFRs_8GwSoA/edit#gid=0"",""Gestores Escolares!D7:J""),6,0),""VERIFICAR CÓD SEC"")"),"PATRICIA DE SOUSA BOMFIM")</f>
        <v>PATRICIA DE SOUSA BOMFIM</v>
      </c>
      <c r="P1195" s="82" t="str">
        <f>IFERROR(__xludf.DUMMYFUNCTION("IFERROR(VLOOKUP(D1195,
IMPORTRANGE(""https://docs.google.com/spreadsheets/d/1MjHtlUikwobi2MaWJgy7tfLeBmhj1u-dRFRs_8GwSoA/edit#gid=0"",""Gestores Escolares!D7:J""),7,0),""VERIFICAR CÓD SEC"")"),"(77) 9 8103-1926")</f>
        <v>(77) 9 8103-1926</v>
      </c>
      <c r="Q1195" s="82" t="str">
        <f>IFERROR(__xludf.DUMMYFUNCTION("IFERROR(VLOOKUP(D1195,
IMPORTRANGE(""https://docs.google.com/spreadsheets/d/1MjHtlUikwobi2MaWJgy7tfLeBmhj1u-dRFRs_8GwSoA/edit#gid=0"",""Gestores Escolares!D7:m""),9,0),""VERIFICAR CÓD SEC"")"),"")</f>
        <v/>
      </c>
      <c r="R1195" s="82" t="str">
        <f>IFERROR(__xludf.DUMMYFUNCTION("IFERROR(VLOOKUP(D1195,
IMPORTRANGE(""https://docs.google.com/spreadsheets/d/1MjHtlUikwobi2MaWJgy7tfLeBmhj1u-dRFRs_8GwSoA/edit#gid=0"",""Gestores Escolares!D7:m""),10,0),""VERIFICAR CÓD SEC"")"),"")</f>
        <v/>
      </c>
      <c r="S1195" s="82"/>
      <c r="T1195" s="138"/>
      <c r="U1195" s="217"/>
      <c r="V1195" s="106">
        <v>0.0</v>
      </c>
      <c r="W1195" s="107">
        <v>0.0</v>
      </c>
      <c r="X1195" s="107">
        <v>0.0</v>
      </c>
      <c r="Y1195" s="107">
        <v>0.0</v>
      </c>
      <c r="Z1195" s="80">
        <f t="shared" si="1"/>
        <v>0</v>
      </c>
      <c r="AA1195" s="106">
        <v>0.0</v>
      </c>
      <c r="AB1195" s="107">
        <v>0.0</v>
      </c>
      <c r="AC1195" s="107">
        <v>0.0</v>
      </c>
      <c r="AD1195" s="107">
        <v>0.0</v>
      </c>
      <c r="AE1195" s="80">
        <f t="shared" si="2"/>
        <v>0</v>
      </c>
      <c r="AF1195" s="140">
        <v>0.0</v>
      </c>
      <c r="AG1195" s="109">
        <v>0.0</v>
      </c>
      <c r="AH1195" s="109">
        <v>0.0</v>
      </c>
      <c r="AI1195" s="141">
        <v>0.0</v>
      </c>
      <c r="AJ1195" s="80">
        <f t="shared" si="3"/>
        <v>0</v>
      </c>
      <c r="AK1195" s="140">
        <v>0.0</v>
      </c>
      <c r="AL1195" s="109">
        <v>0.0</v>
      </c>
      <c r="AM1195" s="141">
        <v>0.0</v>
      </c>
      <c r="AN1195" s="80">
        <f t="shared" si="4"/>
        <v>0</v>
      </c>
      <c r="AO1195" s="140">
        <v>0.0</v>
      </c>
      <c r="AP1195" s="109">
        <v>0.0</v>
      </c>
      <c r="AQ1195" s="109">
        <v>0.0</v>
      </c>
      <c r="AR1195" s="80">
        <f t="shared" si="5"/>
        <v>0</v>
      </c>
      <c r="AS1195" s="110">
        <v>0.0</v>
      </c>
      <c r="AT1195" s="110">
        <v>0.0</v>
      </c>
      <c r="AU1195" s="110">
        <v>0.0</v>
      </c>
      <c r="AV1195" s="142">
        <v>0.0</v>
      </c>
      <c r="AW1195" s="80">
        <f t="shared" si="6"/>
        <v>0</v>
      </c>
      <c r="AX1195" s="113">
        <f t="shared" si="7"/>
        <v>0</v>
      </c>
      <c r="AY1195" s="117">
        <f t="shared" si="8"/>
        <v>0</v>
      </c>
      <c r="AZ1195" s="120">
        <f t="shared" si="9"/>
        <v>0</v>
      </c>
      <c r="BA1195" s="168">
        <v>0.0</v>
      </c>
      <c r="BB1195" s="89">
        <f t="shared" si="10"/>
        <v>0</v>
      </c>
      <c r="BC1195" s="132" t="s">
        <v>553</v>
      </c>
      <c r="BD1195" s="132" t="s">
        <v>554</v>
      </c>
      <c r="BE1195" s="132"/>
      <c r="BF1195" s="156"/>
      <c r="BG1195" s="98">
        <v>1179790.0</v>
      </c>
      <c r="BH1195" s="112"/>
      <c r="BI1195" s="112"/>
      <c r="BJ1195" s="98" t="s">
        <v>155</v>
      </c>
      <c r="BK1195" s="99">
        <f t="shared" si="11"/>
        <v>0</v>
      </c>
      <c r="BL1195" s="99">
        <f t="shared" si="12"/>
        <v>0</v>
      </c>
      <c r="BM1195" s="99" t="str">
        <f>IFERROR(__xludf.DUMMYFUNCTION("IFERROR(VLOOKUP(BG1195,IMPORTRANGE(""https://docs.google.com/spreadsheets/d/1juPI-Fb8LD0YtltB2mlGEnp_R3UVu1t3wSFPzgCyHXE/edit?gid=0#gid=0"",""GERAL!A2:C""),3,0),""-"")"),"-")</f>
        <v>-</v>
      </c>
    </row>
    <row r="1196" ht="15.75" customHeight="1">
      <c r="A1196" s="111" t="s">
        <v>1393</v>
      </c>
      <c r="B1196" s="83" t="s">
        <v>2282</v>
      </c>
      <c r="C1196" s="83" t="s">
        <v>164</v>
      </c>
      <c r="D1196" s="112">
        <v>1125224.0</v>
      </c>
      <c r="E1196" s="83">
        <v>1179700.0</v>
      </c>
      <c r="F1196" s="98">
        <v>2.9492599E7</v>
      </c>
      <c r="G1196" s="292" t="s">
        <v>6526</v>
      </c>
      <c r="H1196" s="91" t="s">
        <v>6527</v>
      </c>
      <c r="I1196" s="136" t="s">
        <v>6403</v>
      </c>
      <c r="J1196" s="83" t="s">
        <v>150</v>
      </c>
      <c r="K1196" s="83" t="s">
        <v>168</v>
      </c>
      <c r="L1196" s="83" t="s">
        <v>512</v>
      </c>
      <c r="M1196" s="82" t="str">
        <f>IFERROR(__xludf.DUMMYFUNCTION("IFERROR(VLOOKUP(D1196,
IMPORTRANGE(""https://docs.google.com/spreadsheets/d/1MjHtlUikwobi2MaWJgy7tfLeBmhj1u-dRFRs_8GwSoA/edit#gid=0"",""Gestores Escolares!D7:J""),3,0),""VERIFICAR CÓD SEC"")"),"ANGELICA MARINELIA DA SILVA CORDEIRO")</f>
        <v>ANGELICA MARINELIA DA SILVA CORDEIRO</v>
      </c>
      <c r="N1196" s="82" t="str">
        <f>IFERROR(__xludf.DUMMYFUNCTION("IFERROR(VLOOKUP(D1196,
IMPORTRANGE(""https://docs.google.com/spreadsheets/d/1MjHtlUikwobi2MaWJgy7tfLeBmhj1u-dRFRs_8GwSoA/edit#gid=0"",""Gestores Escolares!D7:J""),4,0),""VERIFICAR CÓD SEC"")"),"(77) 9 8803-1482")</f>
        <v>(77) 9 8803-1482</v>
      </c>
      <c r="O1196" s="82" t="str">
        <f>IFERROR(__xludf.DUMMYFUNCTION("IFERROR(VLOOKUP(D1196,
IMPORTRANGE(""https://docs.google.com/spreadsheets/d/1MjHtlUikwobi2MaWJgy7tfLeBmhj1u-dRFRs_8GwSoA/edit#gid=0"",""Gestores Escolares!D7:J""),6,0),""VERIFICAR CÓD SEC"")"),"VERUSKA ANACIREMA SANTOS DA SILVA")</f>
        <v>VERUSKA ANACIREMA SANTOS DA SILVA</v>
      </c>
      <c r="P1196" s="82" t="str">
        <f>IFERROR(__xludf.DUMMYFUNCTION("IFERROR(VLOOKUP(D1196,
IMPORTRANGE(""https://docs.google.com/spreadsheets/d/1MjHtlUikwobi2MaWJgy7tfLeBmhj1u-dRFRs_8GwSoA/edit#gid=0"",""Gestores Escolares!D7:J""),7,0),""VERIFICAR CÓD SEC"")"),"(77) 9 8817-1365")</f>
        <v>(77) 9 8817-1365</v>
      </c>
      <c r="Q1196" s="82" t="str">
        <f>IFERROR(__xludf.DUMMYFUNCTION("IFERROR(VLOOKUP(D1196,
IMPORTRANGE(""https://docs.google.com/spreadsheets/d/1MjHtlUikwobi2MaWJgy7tfLeBmhj1u-dRFRs_8GwSoA/edit#gid=0"",""Gestores Escolares!D7:m""),9,0),""VERIFICAR CÓD SEC"")"),"")</f>
        <v/>
      </c>
      <c r="R1196" s="82" t="str">
        <f>IFERROR(__xludf.DUMMYFUNCTION("IFERROR(VLOOKUP(D1196,
IMPORTRANGE(""https://docs.google.com/spreadsheets/d/1MjHtlUikwobi2MaWJgy7tfLeBmhj1u-dRFRs_8GwSoA/edit#gid=0"",""Gestores Escolares!D7:m""),10,0),""VERIFICAR CÓD SEC"")"),"")</f>
        <v/>
      </c>
      <c r="S1196" s="82"/>
      <c r="T1196" s="138">
        <v>4.0</v>
      </c>
      <c r="U1196" s="152" t="s">
        <v>171</v>
      </c>
      <c r="V1196" s="106">
        <v>0.0</v>
      </c>
      <c r="W1196" s="107">
        <v>0.0</v>
      </c>
      <c r="X1196" s="107">
        <v>0.0</v>
      </c>
      <c r="Y1196" s="107">
        <v>0.0</v>
      </c>
      <c r="Z1196" s="80">
        <f t="shared" si="1"/>
        <v>0</v>
      </c>
      <c r="AA1196" s="106">
        <v>0.0</v>
      </c>
      <c r="AB1196" s="107">
        <v>0.0</v>
      </c>
      <c r="AC1196" s="107">
        <v>0.0</v>
      </c>
      <c r="AD1196" s="107">
        <v>0.0</v>
      </c>
      <c r="AE1196" s="80">
        <f t="shared" si="2"/>
        <v>0</v>
      </c>
      <c r="AF1196" s="140">
        <v>0.0</v>
      </c>
      <c r="AG1196" s="109">
        <v>0.0</v>
      </c>
      <c r="AH1196" s="109">
        <v>0.0</v>
      </c>
      <c r="AI1196" s="141">
        <v>0.0</v>
      </c>
      <c r="AJ1196" s="80">
        <f t="shared" si="3"/>
        <v>0</v>
      </c>
      <c r="AK1196" s="140">
        <v>35.0</v>
      </c>
      <c r="AL1196" s="109">
        <v>0.0</v>
      </c>
      <c r="AM1196" s="141">
        <v>0.0</v>
      </c>
      <c r="AN1196" s="80">
        <f t="shared" si="4"/>
        <v>35</v>
      </c>
      <c r="AO1196" s="140">
        <v>19.0</v>
      </c>
      <c r="AP1196" s="109">
        <v>0.0</v>
      </c>
      <c r="AQ1196" s="109">
        <v>0.0</v>
      </c>
      <c r="AR1196" s="80">
        <f t="shared" si="5"/>
        <v>19</v>
      </c>
      <c r="AS1196" s="110">
        <v>0.0</v>
      </c>
      <c r="AT1196" s="110">
        <v>0.0</v>
      </c>
      <c r="AU1196" s="110">
        <v>0.0</v>
      </c>
      <c r="AV1196" s="142">
        <v>0.0</v>
      </c>
      <c r="AW1196" s="80">
        <f t="shared" si="6"/>
        <v>0</v>
      </c>
      <c r="AX1196" s="113">
        <f t="shared" si="7"/>
        <v>54</v>
      </c>
      <c r="AY1196" s="117">
        <f t="shared" si="8"/>
        <v>54</v>
      </c>
      <c r="AZ1196" s="120">
        <f t="shared" si="9"/>
        <v>0</v>
      </c>
      <c r="BA1196" s="168">
        <v>0.0</v>
      </c>
      <c r="BB1196" s="89">
        <f t="shared" si="10"/>
        <v>54</v>
      </c>
      <c r="BC1196" s="132" t="s">
        <v>10138</v>
      </c>
      <c r="BD1196" s="132" t="s">
        <v>178</v>
      </c>
      <c r="BE1196" s="132" t="s">
        <v>178</v>
      </c>
      <c r="BF1196" s="156"/>
      <c r="BG1196" s="83">
        <v>1179700.0</v>
      </c>
      <c r="BH1196" s="98"/>
      <c r="BI1196" s="98">
        <v>4.0</v>
      </c>
      <c r="BJ1196" s="98" t="s">
        <v>155</v>
      </c>
      <c r="BK1196" s="99">
        <f t="shared" si="11"/>
        <v>0</v>
      </c>
      <c r="BL1196" s="99">
        <f t="shared" si="12"/>
        <v>54</v>
      </c>
      <c r="BM1196" s="99" t="str">
        <f>IFERROR(__xludf.DUMMYFUNCTION("IFERROR(VLOOKUP(BG1196,IMPORTRANGE(""https://docs.google.com/spreadsheets/d/1juPI-Fb8LD0YtltB2mlGEnp_R3UVu1t3wSFPzgCyHXE/edit?gid=0#gid=0"",""GERAL!A2:C""),3,0),""-"")"),"-")</f>
        <v>-</v>
      </c>
    </row>
    <row r="1197" ht="15.75" customHeight="1">
      <c r="A1197" s="111" t="s">
        <v>1393</v>
      </c>
      <c r="B1197" s="83" t="s">
        <v>2282</v>
      </c>
      <c r="C1197" s="83" t="s">
        <v>164</v>
      </c>
      <c r="D1197" s="112">
        <v>1179113.0</v>
      </c>
      <c r="E1197" s="83">
        <v>1179165.0</v>
      </c>
      <c r="F1197" s="83">
        <v>2.9449332E7</v>
      </c>
      <c r="G1197" s="292" t="s">
        <v>6530</v>
      </c>
      <c r="H1197" s="91" t="s">
        <v>6531</v>
      </c>
      <c r="I1197" s="136" t="s">
        <v>149</v>
      </c>
      <c r="J1197" s="83" t="s">
        <v>6124</v>
      </c>
      <c r="K1197" s="83" t="s">
        <v>168</v>
      </c>
      <c r="L1197" s="83" t="s">
        <v>169</v>
      </c>
      <c r="M1197" s="82" t="str">
        <f>IFERROR(__xludf.DUMMYFUNCTION("IFERROR(VLOOKUP(D1197,
IMPORTRANGE(""https://docs.google.com/spreadsheets/d/1MjHtlUikwobi2MaWJgy7tfLeBmhj1u-dRFRs_8GwSoA/edit#gid=0"",""Gestores Escolares!D7:J""),3,0),""VERIFICAR CÓD SEC"")"),"LUCIENE ROCHA SILVA")</f>
        <v>LUCIENE ROCHA SILVA</v>
      </c>
      <c r="N1197" s="82" t="str">
        <f>IFERROR(__xludf.DUMMYFUNCTION("IFERROR(VLOOKUP(D1197,
IMPORTRANGE(""https://docs.google.com/spreadsheets/d/1MjHtlUikwobi2MaWJgy7tfLeBmhj1u-dRFRs_8GwSoA/edit#gid=0"",""Gestores Escolares!D7:J""),4,0),""VERIFICAR CÓD SEC"")"),"(77) 9 8877-6474")</f>
        <v>(77) 9 8877-6474</v>
      </c>
      <c r="O1197" s="82" t="str">
        <f>IFERROR(__xludf.DUMMYFUNCTION("IFERROR(VLOOKUP(D1197,
IMPORTRANGE(""https://docs.google.com/spreadsheets/d/1MjHtlUikwobi2MaWJgy7tfLeBmhj1u-dRFRs_8GwSoA/edit#gid=0"",""Gestores Escolares!D7:J""),6,0),""VERIFICAR CÓD SEC"")"),"EMANOELA LUZ SOUZA")</f>
        <v>EMANOELA LUZ SOUZA</v>
      </c>
      <c r="P1197" s="82" t="str">
        <f>IFERROR(__xludf.DUMMYFUNCTION("IFERROR(VLOOKUP(D1197,
IMPORTRANGE(""https://docs.google.com/spreadsheets/d/1MjHtlUikwobi2MaWJgy7tfLeBmhj1u-dRFRs_8GwSoA/edit#gid=0"",""Gestores Escolares!D7:J""),7,0),""VERIFICAR CÓD SEC"")"),"(77) 9 8804-8987")</f>
        <v>(77) 9 8804-8987</v>
      </c>
      <c r="Q1197" s="82" t="str">
        <f>IFERROR(__xludf.DUMMYFUNCTION("IFERROR(VLOOKUP(D1197,
IMPORTRANGE(""https://docs.google.com/spreadsheets/d/1MjHtlUikwobi2MaWJgy7tfLeBmhj1u-dRFRs_8GwSoA/edit#gid=0"",""Gestores Escolares!D7:m""),9,0),""VERIFICAR CÓD SEC"")"),"")</f>
        <v/>
      </c>
      <c r="R1197" s="82" t="str">
        <f>IFERROR(__xludf.DUMMYFUNCTION("IFERROR(VLOOKUP(D1197,
IMPORTRANGE(""https://docs.google.com/spreadsheets/d/1MjHtlUikwobi2MaWJgy7tfLeBmhj1u-dRFRs_8GwSoA/edit#gid=0"",""Gestores Escolares!D7:m""),10,0),""VERIFICAR CÓD SEC"")"),"")</f>
        <v/>
      </c>
      <c r="S1197" s="82"/>
      <c r="T1197" s="138">
        <v>3.0</v>
      </c>
      <c r="U1197" s="152">
        <v>3.0</v>
      </c>
      <c r="V1197" s="106">
        <v>0.0</v>
      </c>
      <c r="W1197" s="107">
        <v>0.0</v>
      </c>
      <c r="X1197" s="107">
        <v>0.0</v>
      </c>
      <c r="Y1197" s="107">
        <v>0.0</v>
      </c>
      <c r="Z1197" s="80">
        <f t="shared" si="1"/>
        <v>0</v>
      </c>
      <c r="AA1197" s="106">
        <v>0.0</v>
      </c>
      <c r="AB1197" s="107">
        <v>0.0</v>
      </c>
      <c r="AC1197" s="107">
        <v>0.0</v>
      </c>
      <c r="AD1197" s="107">
        <v>0.0</v>
      </c>
      <c r="AE1197" s="80">
        <f t="shared" si="2"/>
        <v>0</v>
      </c>
      <c r="AF1197" s="140">
        <v>0.0</v>
      </c>
      <c r="AG1197" s="109">
        <v>0.0</v>
      </c>
      <c r="AH1197" s="109">
        <v>0.0</v>
      </c>
      <c r="AI1197" s="141">
        <v>0.0</v>
      </c>
      <c r="AJ1197" s="80">
        <f t="shared" si="3"/>
        <v>0</v>
      </c>
      <c r="AK1197" s="140">
        <v>0.0</v>
      </c>
      <c r="AL1197" s="109">
        <v>0.0</v>
      </c>
      <c r="AM1197" s="141">
        <v>0.0</v>
      </c>
      <c r="AN1197" s="80">
        <f t="shared" si="4"/>
        <v>0</v>
      </c>
      <c r="AO1197" s="140">
        <v>0.0</v>
      </c>
      <c r="AP1197" s="109">
        <v>0.0</v>
      </c>
      <c r="AQ1197" s="109">
        <v>30.0</v>
      </c>
      <c r="AR1197" s="80">
        <f t="shared" si="5"/>
        <v>30</v>
      </c>
      <c r="AS1197" s="110">
        <v>0.0</v>
      </c>
      <c r="AT1197" s="110">
        <v>0.0</v>
      </c>
      <c r="AU1197" s="110">
        <v>0.0</v>
      </c>
      <c r="AV1197" s="142">
        <v>0.0</v>
      </c>
      <c r="AW1197" s="80">
        <f t="shared" si="6"/>
        <v>0</v>
      </c>
      <c r="AX1197" s="113">
        <f t="shared" si="7"/>
        <v>30</v>
      </c>
      <c r="AY1197" s="117">
        <f t="shared" si="8"/>
        <v>0</v>
      </c>
      <c r="AZ1197" s="120">
        <f t="shared" si="9"/>
        <v>30</v>
      </c>
      <c r="BA1197" s="115">
        <v>0.0</v>
      </c>
      <c r="BB1197" s="89">
        <f t="shared" si="10"/>
        <v>30</v>
      </c>
      <c r="BC1197" s="132" t="s">
        <v>631</v>
      </c>
      <c r="BD1197" s="132" t="s">
        <v>178</v>
      </c>
      <c r="BE1197" s="132" t="s">
        <v>178</v>
      </c>
      <c r="BF1197" s="123"/>
      <c r="BG1197" s="83">
        <v>1179165.0</v>
      </c>
      <c r="BH1197" s="112"/>
      <c r="BI1197" s="112">
        <v>3.0</v>
      </c>
      <c r="BJ1197" s="98" t="s">
        <v>155</v>
      </c>
      <c r="BK1197" s="99">
        <f t="shared" si="11"/>
        <v>0</v>
      </c>
      <c r="BL1197" s="99">
        <f t="shared" si="12"/>
        <v>0</v>
      </c>
      <c r="BM1197" s="99" t="str">
        <f>IFERROR(__xludf.DUMMYFUNCTION("IFERROR(VLOOKUP(BG1197,IMPORTRANGE(""https://docs.google.com/spreadsheets/d/1juPI-Fb8LD0YtltB2mlGEnp_R3UVu1t3wSFPzgCyHXE/edit?gid=0#gid=0"",""GERAL!A2:C""),3,0),""-"")"),"ASSENTAMENTOS")</f>
        <v>ASSENTAMENTOS</v>
      </c>
    </row>
    <row r="1198" ht="15.75" customHeight="1">
      <c r="A1198" s="111" t="s">
        <v>1393</v>
      </c>
      <c r="B1198" s="83" t="s">
        <v>2282</v>
      </c>
      <c r="C1198" s="83" t="s">
        <v>164</v>
      </c>
      <c r="D1198" s="98">
        <v>1125399.0</v>
      </c>
      <c r="E1198" s="83">
        <v>1177015.0</v>
      </c>
      <c r="F1198" s="98">
        <v>2.9493587E7</v>
      </c>
      <c r="G1198" s="292" t="s">
        <v>6532</v>
      </c>
      <c r="H1198" s="91" t="s">
        <v>6533</v>
      </c>
      <c r="I1198" s="136" t="s">
        <v>149</v>
      </c>
      <c r="J1198" s="83" t="s">
        <v>2142</v>
      </c>
      <c r="K1198" s="83" t="s">
        <v>168</v>
      </c>
      <c r="L1198" s="83" t="s">
        <v>169</v>
      </c>
      <c r="M1198" s="82" t="str">
        <f>IFERROR(__xludf.DUMMYFUNCTION("IFERROR(VLOOKUP(D1198,
IMPORTRANGE(""https://docs.google.com/spreadsheets/d/1MjHtlUikwobi2MaWJgy7tfLeBmhj1u-dRFRs_8GwSoA/edit#gid=0"",""Gestores Escolares!D7:J""),3,0),""VERIFICAR CÓD SEC"")"),"CLEUMA OLIVEIRA LOPES GOMES")</f>
        <v>CLEUMA OLIVEIRA LOPES GOMES</v>
      </c>
      <c r="N1198" s="82" t="str">
        <f>IFERROR(__xludf.DUMMYFUNCTION("IFERROR(VLOOKUP(D1198,
IMPORTRANGE(""https://docs.google.com/spreadsheets/d/1MjHtlUikwobi2MaWJgy7tfLeBmhj1u-dRFRs_8GwSoA/edit#gid=0"",""Gestores Escolares!D7:J""),4,0),""VERIFICAR CÓD SEC"")"),"(77) 9 8813-3299")</f>
        <v>(77) 9 8813-3299</v>
      </c>
      <c r="O1198" s="82" t="str">
        <f>IFERROR(__xludf.DUMMYFUNCTION("IFERROR(VLOOKUP(D1198,
IMPORTRANGE(""https://docs.google.com/spreadsheets/d/1MjHtlUikwobi2MaWJgy7tfLeBmhj1u-dRFRs_8GwSoA/edit#gid=0"",""Gestores Escolares!D7:J""),6,0),""VERIFICAR CÓD SEC"")"),"ADELIA REGINA OLIVEIRA CARVALHO")</f>
        <v>ADELIA REGINA OLIVEIRA CARVALHO</v>
      </c>
      <c r="P1198" s="82" t="str">
        <f>IFERROR(__xludf.DUMMYFUNCTION("IFERROR(VLOOKUP(D1198,
IMPORTRANGE(""https://docs.google.com/spreadsheets/d/1MjHtlUikwobi2MaWJgy7tfLeBmhj1u-dRFRs_8GwSoA/edit#gid=0"",""Gestores Escolares!D7:J""),7,0),""VERIFICAR CÓD SEC"")"),"(77) 9 8154-1876")</f>
        <v>(77) 9 8154-1876</v>
      </c>
      <c r="Q1198" s="82" t="str">
        <f>IFERROR(__xludf.DUMMYFUNCTION("IFERROR(VLOOKUP(D1198,
IMPORTRANGE(""https://docs.google.com/spreadsheets/d/1MjHtlUikwobi2MaWJgy7tfLeBmhj1u-dRFRs_8GwSoA/edit#gid=0"",""Gestores Escolares!D7:m""),9,0),""VERIFICAR CÓD SEC"")"),"")</f>
        <v/>
      </c>
      <c r="R1198" s="82" t="str">
        <f>IFERROR(__xludf.DUMMYFUNCTION("IFERROR(VLOOKUP(D1198,
IMPORTRANGE(""https://docs.google.com/spreadsheets/d/1MjHtlUikwobi2MaWJgy7tfLeBmhj1u-dRFRs_8GwSoA/edit#gid=0"",""Gestores Escolares!D7:m""),10,0),""VERIFICAR CÓD SEC"")"),"")</f>
        <v/>
      </c>
      <c r="S1198" s="82"/>
      <c r="T1198" s="138">
        <v>7.0</v>
      </c>
      <c r="U1198" s="152">
        <v>7.0</v>
      </c>
      <c r="V1198" s="106">
        <v>0.0</v>
      </c>
      <c r="W1198" s="107">
        <v>0.0</v>
      </c>
      <c r="X1198" s="107">
        <v>0.0</v>
      </c>
      <c r="Y1198" s="107">
        <v>0.0</v>
      </c>
      <c r="Z1198" s="80">
        <f t="shared" si="1"/>
        <v>0</v>
      </c>
      <c r="AA1198" s="106">
        <v>0.0</v>
      </c>
      <c r="AB1198" s="107">
        <v>0.0</v>
      </c>
      <c r="AC1198" s="107">
        <v>0.0</v>
      </c>
      <c r="AD1198" s="107">
        <v>0.0</v>
      </c>
      <c r="AE1198" s="80">
        <f t="shared" si="2"/>
        <v>0</v>
      </c>
      <c r="AF1198" s="140">
        <v>0.0</v>
      </c>
      <c r="AG1198" s="109">
        <v>0.0</v>
      </c>
      <c r="AH1198" s="109">
        <v>0.0</v>
      </c>
      <c r="AI1198" s="141">
        <v>0.0</v>
      </c>
      <c r="AJ1198" s="80">
        <f t="shared" si="3"/>
        <v>0</v>
      </c>
      <c r="AK1198" s="140">
        <v>0.0</v>
      </c>
      <c r="AL1198" s="109">
        <v>0.0</v>
      </c>
      <c r="AM1198" s="141">
        <v>0.0</v>
      </c>
      <c r="AN1198" s="80">
        <f t="shared" si="4"/>
        <v>0</v>
      </c>
      <c r="AO1198" s="140">
        <v>0.0</v>
      </c>
      <c r="AP1198" s="109">
        <v>0.0</v>
      </c>
      <c r="AQ1198" s="109">
        <v>111.0</v>
      </c>
      <c r="AR1198" s="80">
        <f t="shared" si="5"/>
        <v>111</v>
      </c>
      <c r="AS1198" s="110">
        <v>0.0</v>
      </c>
      <c r="AT1198" s="110">
        <v>0.0</v>
      </c>
      <c r="AU1198" s="110">
        <v>0.0</v>
      </c>
      <c r="AV1198" s="142">
        <v>0.0</v>
      </c>
      <c r="AW1198" s="80">
        <f t="shared" si="6"/>
        <v>0</v>
      </c>
      <c r="AX1198" s="113">
        <f t="shared" si="7"/>
        <v>111</v>
      </c>
      <c r="AY1198" s="117">
        <f t="shared" si="8"/>
        <v>0</v>
      </c>
      <c r="AZ1198" s="120">
        <f t="shared" si="9"/>
        <v>111</v>
      </c>
      <c r="BA1198" s="115">
        <v>0.0</v>
      </c>
      <c r="BB1198" s="89">
        <f t="shared" si="10"/>
        <v>111</v>
      </c>
      <c r="BC1198" s="132" t="s">
        <v>373</v>
      </c>
      <c r="BD1198" s="132" t="s">
        <v>178</v>
      </c>
      <c r="BE1198" s="132" t="s">
        <v>178</v>
      </c>
      <c r="BF1198" s="417"/>
      <c r="BG1198" s="83">
        <v>1177015.0</v>
      </c>
      <c r="BH1198" s="112"/>
      <c r="BI1198" s="112">
        <v>7.0</v>
      </c>
      <c r="BJ1198" s="98" t="s">
        <v>155</v>
      </c>
      <c r="BK1198" s="99">
        <f t="shared" si="11"/>
        <v>0</v>
      </c>
      <c r="BL1198" s="99">
        <f t="shared" si="12"/>
        <v>0</v>
      </c>
      <c r="BM1198" s="99" t="str">
        <f>IFERROR(__xludf.DUMMYFUNCTION("IFERROR(VLOOKUP(BG1198,IMPORTRANGE(""https://docs.google.com/spreadsheets/d/1juPI-Fb8LD0YtltB2mlGEnp_R3UVu1t3wSFPzgCyHXE/edit?gid=0#gid=0"",""GERAL!A2:C""),3,0),""-"")"),"CAMPO")</f>
        <v>CAMPO</v>
      </c>
    </row>
    <row r="1199" ht="15.75" customHeight="1">
      <c r="A1199" s="111" t="s">
        <v>1393</v>
      </c>
      <c r="B1199" s="83" t="s">
        <v>2282</v>
      </c>
      <c r="C1199" s="83" t="s">
        <v>164</v>
      </c>
      <c r="D1199" s="112">
        <v>1179246.0</v>
      </c>
      <c r="E1199" s="83">
        <v>1179475.0</v>
      </c>
      <c r="F1199" s="98">
        <v>2.9491592E7</v>
      </c>
      <c r="G1199" s="292" t="s">
        <v>6534</v>
      </c>
      <c r="H1199" s="91" t="s">
        <v>6535</v>
      </c>
      <c r="I1199" s="136" t="s">
        <v>6443</v>
      </c>
      <c r="J1199" s="83" t="s">
        <v>2704</v>
      </c>
      <c r="K1199" s="83" t="s">
        <v>168</v>
      </c>
      <c r="L1199" s="83" t="s">
        <v>169</v>
      </c>
      <c r="M1199" s="82" t="str">
        <f>IFERROR(__xludf.DUMMYFUNCTION("IFERROR(VLOOKUP(D1199,
IMPORTRANGE(""https://docs.google.com/spreadsheets/d/1MjHtlUikwobi2MaWJgy7tfLeBmhj1u-dRFRs_8GwSoA/edit#gid=0"",""Gestores Escolares!D7:J""),3,0),""VERIFICAR CÓD SEC"")"),"FABIOLA PEREIRA DE ARAUJO MELLO")</f>
        <v>FABIOLA PEREIRA DE ARAUJO MELLO</v>
      </c>
      <c r="N1199" s="82" t="str">
        <f>IFERROR(__xludf.DUMMYFUNCTION("IFERROR(VLOOKUP(D1199,
IMPORTRANGE(""https://docs.google.com/spreadsheets/d/1MjHtlUikwobi2MaWJgy7tfLeBmhj1u-dRFRs_8GwSoA/edit#gid=0"",""Gestores Escolares!D7:J""),4,0),""VERIFICAR CÓD SEC"")"),"(77) 9 9983-0462")</f>
        <v>(77) 9 9983-0462</v>
      </c>
      <c r="O1199" s="82" t="str">
        <f>IFERROR(__xludf.DUMMYFUNCTION("IFERROR(VLOOKUP(D1199,
IMPORTRANGE(""https://docs.google.com/spreadsheets/d/1MjHtlUikwobi2MaWJgy7tfLeBmhj1u-dRFRs_8GwSoA/edit#gid=0"",""Gestores Escolares!D7:J""),6,0),""VERIFICAR CÓD SEC"")"),"FLAVIA AMARAL ROCHA")</f>
        <v>FLAVIA AMARAL ROCHA</v>
      </c>
      <c r="P1199" s="82" t="str">
        <f>IFERROR(__xludf.DUMMYFUNCTION("IFERROR(VLOOKUP(D1199,
IMPORTRANGE(""https://docs.google.com/spreadsheets/d/1MjHtlUikwobi2MaWJgy7tfLeBmhj1u-dRFRs_8GwSoA/edit#gid=0"",""Gestores Escolares!D7:J""),7,0),""VERIFICAR CÓD SEC"")"),"(77) 9 8843-8645")</f>
        <v>(77) 9 8843-8645</v>
      </c>
      <c r="Q1199" s="82" t="str">
        <f>IFERROR(__xludf.DUMMYFUNCTION("IFERROR(VLOOKUP(D1199,
IMPORTRANGE(""https://docs.google.com/spreadsheets/d/1MjHtlUikwobi2MaWJgy7tfLeBmhj1u-dRFRs_8GwSoA/edit#gid=0"",""Gestores Escolares!D7:m""),9,0),""VERIFICAR CÓD SEC"")"),"")</f>
        <v/>
      </c>
      <c r="R1199" s="82" t="str">
        <f>IFERROR(__xludf.DUMMYFUNCTION("IFERROR(VLOOKUP(D1199,
IMPORTRANGE(""https://docs.google.com/spreadsheets/d/1MjHtlUikwobi2MaWJgy7tfLeBmhj1u-dRFRs_8GwSoA/edit#gid=0"",""Gestores Escolares!D7:m""),10,0),""VERIFICAR CÓD SEC"")"),"")</f>
        <v/>
      </c>
      <c r="S1199" s="82"/>
      <c r="T1199" s="138">
        <v>5.0</v>
      </c>
      <c r="U1199" s="152">
        <v>4.0</v>
      </c>
      <c r="V1199" s="106">
        <v>0.0</v>
      </c>
      <c r="W1199" s="107">
        <v>0.0</v>
      </c>
      <c r="X1199" s="107">
        <v>0.0</v>
      </c>
      <c r="Y1199" s="107">
        <v>0.0</v>
      </c>
      <c r="Z1199" s="80">
        <f t="shared" si="1"/>
        <v>0</v>
      </c>
      <c r="AA1199" s="106">
        <v>0.0</v>
      </c>
      <c r="AB1199" s="107">
        <v>0.0</v>
      </c>
      <c r="AC1199" s="107">
        <v>0.0</v>
      </c>
      <c r="AD1199" s="107">
        <v>0.0</v>
      </c>
      <c r="AE1199" s="80">
        <f t="shared" si="2"/>
        <v>0</v>
      </c>
      <c r="AF1199" s="140">
        <v>65.0</v>
      </c>
      <c r="AG1199" s="109">
        <v>103.0</v>
      </c>
      <c r="AH1199" s="109">
        <v>0.0</v>
      </c>
      <c r="AI1199" s="141">
        <v>0.0</v>
      </c>
      <c r="AJ1199" s="80">
        <f t="shared" si="3"/>
        <v>168</v>
      </c>
      <c r="AK1199" s="140">
        <v>0.0</v>
      </c>
      <c r="AL1199" s="109">
        <v>0.0</v>
      </c>
      <c r="AM1199" s="141">
        <v>0.0</v>
      </c>
      <c r="AN1199" s="80">
        <f t="shared" si="4"/>
        <v>0</v>
      </c>
      <c r="AO1199" s="140">
        <v>0.0</v>
      </c>
      <c r="AP1199" s="109">
        <v>0.0</v>
      </c>
      <c r="AQ1199" s="109">
        <v>0.0</v>
      </c>
      <c r="AR1199" s="80">
        <f t="shared" si="5"/>
        <v>0</v>
      </c>
      <c r="AS1199" s="110">
        <v>0.0</v>
      </c>
      <c r="AT1199" s="110">
        <v>0.0</v>
      </c>
      <c r="AU1199" s="110">
        <v>0.0</v>
      </c>
      <c r="AV1199" s="142">
        <v>0.0</v>
      </c>
      <c r="AW1199" s="80">
        <f t="shared" si="6"/>
        <v>0</v>
      </c>
      <c r="AX1199" s="113">
        <f t="shared" si="7"/>
        <v>168</v>
      </c>
      <c r="AY1199" s="117">
        <f t="shared" si="8"/>
        <v>168</v>
      </c>
      <c r="AZ1199" s="120">
        <f t="shared" si="9"/>
        <v>0</v>
      </c>
      <c r="BA1199" s="115">
        <v>0.0</v>
      </c>
      <c r="BB1199" s="89">
        <f t="shared" si="10"/>
        <v>168</v>
      </c>
      <c r="BC1199" s="132" t="s">
        <v>373</v>
      </c>
      <c r="BD1199" s="132" t="s">
        <v>178</v>
      </c>
      <c r="BE1199" s="132" t="s">
        <v>178</v>
      </c>
      <c r="BF1199" s="156"/>
      <c r="BG1199" s="83">
        <v>1179475.0</v>
      </c>
      <c r="BH1199" s="112"/>
      <c r="BI1199" s="112">
        <v>4.0</v>
      </c>
      <c r="BJ1199" s="98" t="s">
        <v>155</v>
      </c>
      <c r="BK1199" s="99">
        <f t="shared" si="11"/>
        <v>0</v>
      </c>
      <c r="BL1199" s="99">
        <f t="shared" si="12"/>
        <v>168</v>
      </c>
      <c r="BM1199" s="99" t="str">
        <f>IFERROR(__xludf.DUMMYFUNCTION("IFERROR(VLOOKUP(BG1199,IMPORTRANGE(""https://docs.google.com/spreadsheets/d/1juPI-Fb8LD0YtltB2mlGEnp_R3UVu1t3wSFPzgCyHXE/edit?gid=0#gid=0"",""GERAL!A2:C""),3,0),""-"")"),"CAMPO")</f>
        <v>CAMPO</v>
      </c>
    </row>
    <row r="1200" ht="15.75" customHeight="1">
      <c r="A1200" s="111" t="s">
        <v>1393</v>
      </c>
      <c r="B1200" s="83" t="s">
        <v>2282</v>
      </c>
      <c r="C1200" s="83" t="s">
        <v>164</v>
      </c>
      <c r="D1200" s="112">
        <v>1179285.0</v>
      </c>
      <c r="E1200" s="83">
        <v>1178183.0</v>
      </c>
      <c r="F1200" s="98">
        <v>2.9461472E7</v>
      </c>
      <c r="G1200" s="292" t="s">
        <v>6536</v>
      </c>
      <c r="H1200" s="91" t="s">
        <v>6537</v>
      </c>
      <c r="I1200" s="136" t="s">
        <v>6538</v>
      </c>
      <c r="J1200" s="83" t="s">
        <v>6539</v>
      </c>
      <c r="K1200" s="83" t="s">
        <v>168</v>
      </c>
      <c r="L1200" s="83" t="s">
        <v>169</v>
      </c>
      <c r="M1200" s="82" t="str">
        <f>IFERROR(__xludf.DUMMYFUNCTION("IFERROR(VLOOKUP(D1200,
IMPORTRANGE(""https://docs.google.com/spreadsheets/d/1MjHtlUikwobi2MaWJgy7tfLeBmhj1u-dRFRs_8GwSoA/edit#gid=0"",""Gestores Escolares!D7:J""),3,0),""VERIFICAR CÓD SEC"")"),"MONIQUE ALVES BRITO")</f>
        <v>MONIQUE ALVES BRITO</v>
      </c>
      <c r="N1200" s="82" t="str">
        <f>IFERROR(__xludf.DUMMYFUNCTION("IFERROR(VLOOKUP(D1200,
IMPORTRANGE(""https://docs.google.com/spreadsheets/d/1MjHtlUikwobi2MaWJgy7tfLeBmhj1u-dRFRs_8GwSoA/edit#gid=0"",""Gestores Escolares!D7:J""),4,0),""VERIFICAR CÓD SEC"")"),"(71) 9 8622-0492")</f>
        <v>(71) 9 8622-0492</v>
      </c>
      <c r="O1200" s="82" t="str">
        <f>IFERROR(__xludf.DUMMYFUNCTION("IFERROR(VLOOKUP(D1200,
IMPORTRANGE(""https://docs.google.com/spreadsheets/d/1MjHtlUikwobi2MaWJgy7tfLeBmhj1u-dRFRs_8GwSoA/edit#gid=0"",""Gestores Escolares!D7:J""),6,0),""VERIFICAR CÓD SEC"")"),"DANILO LARANJEIRA DE JESUS")</f>
        <v>DANILO LARANJEIRA DE JESUS</v>
      </c>
      <c r="P1200" s="82" t="str">
        <f>IFERROR(__xludf.DUMMYFUNCTION("IFERROR(VLOOKUP(D1200,
IMPORTRANGE(""https://docs.google.com/spreadsheets/d/1MjHtlUikwobi2MaWJgy7tfLeBmhj1u-dRFRs_8GwSoA/edit#gid=0"",""Gestores Escolares!D7:J""),7,0),""VERIFICAR CÓD SEC"")"),"(73) 9 8123-1590")</f>
        <v>(73) 9 8123-1590</v>
      </c>
      <c r="Q1200" s="82" t="str">
        <f>IFERROR(__xludf.DUMMYFUNCTION("IFERROR(VLOOKUP(D1200,
IMPORTRANGE(""https://docs.google.com/spreadsheets/d/1MjHtlUikwobi2MaWJgy7tfLeBmhj1u-dRFRs_8GwSoA/edit#gid=0"",""Gestores Escolares!D7:m""),9,0),""VERIFICAR CÓD SEC"")")," RICARDO COSTA DE MORAES")</f>
        <v> RICARDO COSTA DE MORAES</v>
      </c>
      <c r="R1200" s="82" t="str">
        <f>IFERROR(__xludf.DUMMYFUNCTION("IFERROR(VLOOKUP(D1200,
IMPORTRANGE(""https://docs.google.com/spreadsheets/d/1MjHtlUikwobi2MaWJgy7tfLeBmhj1u-dRFRs_8GwSoA/edit#gid=0"",""Gestores Escolares!D7:m""),10,0),""VERIFICAR CÓD SEC"")"),"(77) 9 8816-9018")</f>
        <v>(77) 9 8816-9018</v>
      </c>
      <c r="S1200" s="82"/>
      <c r="T1200" s="138">
        <v>3.0</v>
      </c>
      <c r="U1200" s="152">
        <v>3.0</v>
      </c>
      <c r="V1200" s="106">
        <v>0.0</v>
      </c>
      <c r="W1200" s="107">
        <v>0.0</v>
      </c>
      <c r="X1200" s="107">
        <v>0.0</v>
      </c>
      <c r="Y1200" s="107">
        <v>0.0</v>
      </c>
      <c r="Z1200" s="80">
        <f t="shared" si="1"/>
        <v>0</v>
      </c>
      <c r="AA1200" s="106">
        <v>0.0</v>
      </c>
      <c r="AB1200" s="107">
        <v>0.0</v>
      </c>
      <c r="AC1200" s="107">
        <v>0.0</v>
      </c>
      <c r="AD1200" s="107">
        <v>0.0</v>
      </c>
      <c r="AE1200" s="80">
        <f t="shared" si="2"/>
        <v>0</v>
      </c>
      <c r="AF1200" s="140">
        <v>0.0</v>
      </c>
      <c r="AG1200" s="109">
        <v>0.0</v>
      </c>
      <c r="AH1200" s="109">
        <v>20.0</v>
      </c>
      <c r="AI1200" s="141">
        <v>0.0</v>
      </c>
      <c r="AJ1200" s="80">
        <f t="shared" si="3"/>
        <v>20</v>
      </c>
      <c r="AK1200" s="140">
        <v>0.0</v>
      </c>
      <c r="AL1200" s="109">
        <v>0.0</v>
      </c>
      <c r="AM1200" s="141">
        <v>0.0</v>
      </c>
      <c r="AN1200" s="80">
        <f t="shared" si="4"/>
        <v>0</v>
      </c>
      <c r="AO1200" s="140">
        <v>0.0</v>
      </c>
      <c r="AP1200" s="109">
        <v>0.0</v>
      </c>
      <c r="AQ1200" s="109">
        <v>0.0</v>
      </c>
      <c r="AR1200" s="80">
        <f t="shared" si="5"/>
        <v>0</v>
      </c>
      <c r="AS1200" s="110">
        <v>0.0</v>
      </c>
      <c r="AT1200" s="110">
        <v>0.0</v>
      </c>
      <c r="AU1200" s="110">
        <v>0.0</v>
      </c>
      <c r="AV1200" s="142">
        <v>0.0</v>
      </c>
      <c r="AW1200" s="80">
        <f t="shared" si="6"/>
        <v>0</v>
      </c>
      <c r="AX1200" s="113">
        <f t="shared" si="7"/>
        <v>20</v>
      </c>
      <c r="AY1200" s="117">
        <f t="shared" si="8"/>
        <v>0</v>
      </c>
      <c r="AZ1200" s="120">
        <f t="shared" si="9"/>
        <v>20</v>
      </c>
      <c r="BA1200" s="115">
        <v>0.0</v>
      </c>
      <c r="BB1200" s="89">
        <f t="shared" si="10"/>
        <v>20</v>
      </c>
      <c r="BC1200" s="132" t="s">
        <v>373</v>
      </c>
      <c r="BD1200" s="132" t="s">
        <v>227</v>
      </c>
      <c r="BE1200" s="132" t="s">
        <v>178</v>
      </c>
      <c r="BF1200" s="123"/>
      <c r="BG1200" s="83">
        <v>1178183.0</v>
      </c>
      <c r="BH1200" s="112"/>
      <c r="BI1200" s="112">
        <v>3.0</v>
      </c>
      <c r="BJ1200" s="98" t="s">
        <v>155</v>
      </c>
      <c r="BK1200" s="99">
        <f t="shared" si="11"/>
        <v>0</v>
      </c>
      <c r="BL1200" s="99">
        <f t="shared" si="12"/>
        <v>0</v>
      </c>
      <c r="BM1200" s="99" t="str">
        <f>IFERROR(__xludf.DUMMYFUNCTION("IFERROR(VLOOKUP(BG1200,IMPORTRANGE(""https://docs.google.com/spreadsheets/d/1juPI-Fb8LD0YtltB2mlGEnp_R3UVu1t3wSFPzgCyHXE/edit?gid=0#gid=0"",""GERAL!A2:C""),3,0),""-"")"),"CAMPO")</f>
        <v>CAMPO</v>
      </c>
    </row>
    <row r="1201" ht="15.75" customHeight="1">
      <c r="A1201" s="111" t="s">
        <v>1463</v>
      </c>
      <c r="B1201" s="83" t="s">
        <v>6541</v>
      </c>
      <c r="C1201" s="83" t="s">
        <v>68</v>
      </c>
      <c r="D1201" s="112">
        <v>1178152.0</v>
      </c>
      <c r="E1201" s="83"/>
      <c r="F1201" s="83">
        <v>2.9440173E7</v>
      </c>
      <c r="G1201" s="114" t="s">
        <v>6547</v>
      </c>
      <c r="H1201" s="91" t="s">
        <v>6548</v>
      </c>
      <c r="I1201" s="83" t="s">
        <v>149</v>
      </c>
      <c r="J1201" s="83" t="s">
        <v>150</v>
      </c>
      <c r="K1201" s="83" t="s">
        <v>151</v>
      </c>
      <c r="L1201" s="83" t="s">
        <v>152</v>
      </c>
      <c r="M1201" s="82" t="str">
        <f>IFERROR(__xludf.DUMMYFUNCTION("IFERROR(VLOOKUP(D1201,
IMPORTRANGE(""https://docs.google.com/spreadsheets/d/1MjHtlUikwobi2MaWJgy7tfLeBmhj1u-dRFRs_8GwSoA/edit#gid=0"",""Gestores Escolares!D7:J""),3,0),""VERIFICAR CÓD SEC"")"),"JOSENALDO SOUZA CRUZ")</f>
        <v>JOSENALDO SOUZA CRUZ</v>
      </c>
      <c r="N1201" s="82" t="str">
        <f>IFERROR(__xludf.DUMMYFUNCTION("IFERROR(VLOOKUP(D1201,
IMPORTRANGE(""https://docs.google.com/spreadsheets/d/1MjHtlUikwobi2MaWJgy7tfLeBmhj1u-dRFRs_8GwSoA/edit#gid=0"",""Gestores Escolares!D7:J""),4,0),""VERIFICAR CÓD SEC"")"),"(75) 9 8208-7788/ 
9 8150-9886")</f>
        <v>(75) 9 8208-7788/ 
9 8150-9886</v>
      </c>
      <c r="O1201" s="82" t="str">
        <f>IFERROR(__xludf.DUMMYFUNCTION("IFERROR(VLOOKUP(D1201,
IMPORTRANGE(""https://docs.google.com/spreadsheets/d/1MjHtlUikwobi2MaWJgy7tfLeBmhj1u-dRFRs_8GwSoA/edit#gid=0"",""Gestores Escolares!D7:J""),6,0),""VERIFICAR CÓD SEC"")"),"")</f>
        <v/>
      </c>
      <c r="P1201" s="82" t="str">
        <f>IFERROR(__xludf.DUMMYFUNCTION("IFERROR(VLOOKUP(D1201,
IMPORTRANGE(""https://docs.google.com/spreadsheets/d/1MjHtlUikwobi2MaWJgy7tfLeBmhj1u-dRFRs_8GwSoA/edit#gid=0"",""Gestores Escolares!D7:J""),7,0),""VERIFICAR CÓD SEC"")"),"")</f>
        <v/>
      </c>
      <c r="Q1201" s="82" t="str">
        <f>IFERROR(__xludf.DUMMYFUNCTION("IFERROR(VLOOKUP(D1201,
IMPORTRANGE(""https://docs.google.com/spreadsheets/d/1MjHtlUikwobi2MaWJgy7tfLeBmhj1u-dRFRs_8GwSoA/edit#gid=0"",""Gestores Escolares!D7:m""),9,0),""VERIFICAR CÓD SEC"")"),"")</f>
        <v/>
      </c>
      <c r="R1201" s="82" t="str">
        <f>IFERROR(__xludf.DUMMYFUNCTION("IFERROR(VLOOKUP(D1201,
IMPORTRANGE(""https://docs.google.com/spreadsheets/d/1MjHtlUikwobi2MaWJgy7tfLeBmhj1u-dRFRs_8GwSoA/edit#gid=0"",""Gestores Escolares!D7:m""),10,0),""VERIFICAR CÓD SEC"")"),"")</f>
        <v/>
      </c>
      <c r="S1201" s="82"/>
      <c r="T1201" s="138">
        <v>8.0</v>
      </c>
      <c r="U1201" s="139">
        <v>8.0</v>
      </c>
      <c r="V1201" s="106">
        <v>0.0</v>
      </c>
      <c r="W1201" s="107">
        <v>0.0</v>
      </c>
      <c r="X1201" s="107">
        <v>0.0</v>
      </c>
      <c r="Y1201" s="107">
        <v>0.0</v>
      </c>
      <c r="Z1201" s="80">
        <f t="shared" si="1"/>
        <v>0</v>
      </c>
      <c r="AA1201" s="106">
        <v>0.0</v>
      </c>
      <c r="AB1201" s="107">
        <v>0.0</v>
      </c>
      <c r="AC1201" s="107">
        <v>0.0</v>
      </c>
      <c r="AD1201" s="107">
        <v>0.0</v>
      </c>
      <c r="AE1201" s="80">
        <f t="shared" si="2"/>
        <v>0</v>
      </c>
      <c r="AF1201" s="140">
        <v>316.0</v>
      </c>
      <c r="AG1201" s="109">
        <v>173.0</v>
      </c>
      <c r="AH1201" s="109">
        <v>0.0</v>
      </c>
      <c r="AI1201" s="141">
        <v>0.0</v>
      </c>
      <c r="AJ1201" s="80">
        <f t="shared" si="3"/>
        <v>489</v>
      </c>
      <c r="AK1201" s="140">
        <v>0.0</v>
      </c>
      <c r="AL1201" s="109">
        <v>0.0</v>
      </c>
      <c r="AM1201" s="141">
        <v>0.0</v>
      </c>
      <c r="AN1201" s="80">
        <f t="shared" si="4"/>
        <v>0</v>
      </c>
      <c r="AO1201" s="140">
        <v>0.0</v>
      </c>
      <c r="AP1201" s="109">
        <v>0.0</v>
      </c>
      <c r="AQ1201" s="109">
        <v>115.0</v>
      </c>
      <c r="AR1201" s="80">
        <f t="shared" si="5"/>
        <v>115</v>
      </c>
      <c r="AS1201" s="110">
        <v>0.0</v>
      </c>
      <c r="AT1201" s="110">
        <v>0.0</v>
      </c>
      <c r="AU1201" s="110">
        <v>20.0</v>
      </c>
      <c r="AV1201" s="142">
        <v>0.0</v>
      </c>
      <c r="AW1201" s="80">
        <f t="shared" si="6"/>
        <v>20</v>
      </c>
      <c r="AX1201" s="113">
        <f t="shared" si="7"/>
        <v>624</v>
      </c>
      <c r="AY1201" s="117">
        <f t="shared" si="8"/>
        <v>489</v>
      </c>
      <c r="AZ1201" s="120">
        <f t="shared" si="9"/>
        <v>135</v>
      </c>
      <c r="BA1201" s="115">
        <v>0.0</v>
      </c>
      <c r="BB1201" s="89">
        <f t="shared" si="10"/>
        <v>624</v>
      </c>
      <c r="BC1201" s="132" t="s">
        <v>178</v>
      </c>
      <c r="BD1201" s="132" t="s">
        <v>178</v>
      </c>
      <c r="BE1201" s="132" t="s">
        <v>178</v>
      </c>
      <c r="BF1201" s="123"/>
      <c r="BG1201" s="83">
        <v>1178152.0</v>
      </c>
      <c r="BH1201" s="112"/>
      <c r="BI1201" s="112">
        <v>8.0</v>
      </c>
      <c r="BJ1201" s="98" t="s">
        <v>155</v>
      </c>
      <c r="BK1201" s="99">
        <f t="shared" si="11"/>
        <v>0</v>
      </c>
      <c r="BL1201" s="99">
        <f t="shared" si="12"/>
        <v>489</v>
      </c>
      <c r="BM1201" s="99" t="str">
        <f>IFERROR(__xludf.DUMMYFUNCTION("IFERROR(VLOOKUP(BG1201,IMPORTRANGE(""https://docs.google.com/spreadsheets/d/1juPI-Fb8LD0YtltB2mlGEnp_R3UVu1t3wSFPzgCyHXE/edit?gid=0#gid=0"",""GERAL!A2:C""),3,0),""-"")"),"-")</f>
        <v>-</v>
      </c>
    </row>
    <row r="1202" ht="15.75" customHeight="1">
      <c r="A1202" s="111" t="s">
        <v>1463</v>
      </c>
      <c r="B1202" s="83" t="s">
        <v>6541</v>
      </c>
      <c r="C1202" s="83" t="s">
        <v>164</v>
      </c>
      <c r="D1202" s="112">
        <v>1178152.0</v>
      </c>
      <c r="E1202" s="83">
        <v>1179028.0</v>
      </c>
      <c r="F1202" s="98">
        <v>2.9490065E7</v>
      </c>
      <c r="G1202" s="114" t="s">
        <v>6550</v>
      </c>
      <c r="H1202" s="91" t="s">
        <v>6551</v>
      </c>
      <c r="I1202" s="136" t="s">
        <v>6552</v>
      </c>
      <c r="J1202" s="83" t="s">
        <v>310</v>
      </c>
      <c r="K1202" s="83" t="s">
        <v>168</v>
      </c>
      <c r="L1202" s="83" t="s">
        <v>169</v>
      </c>
      <c r="M1202" s="82" t="str">
        <f>IFERROR(__xludf.DUMMYFUNCTION("IFERROR(VLOOKUP(D1202,
IMPORTRANGE(""https://docs.google.com/spreadsheets/d/1MjHtlUikwobi2MaWJgy7tfLeBmhj1u-dRFRs_8GwSoA/edit#gid=0"",""Gestores Escolares!D7:J""),3,0),""VERIFICAR CÓD SEC"")"),"JOSENALDO SOUZA CRUZ")</f>
        <v>JOSENALDO SOUZA CRUZ</v>
      </c>
      <c r="N1202" s="82" t="str">
        <f>IFERROR(__xludf.DUMMYFUNCTION("IFERROR(VLOOKUP(D1202,
IMPORTRANGE(""https://docs.google.com/spreadsheets/d/1MjHtlUikwobi2MaWJgy7tfLeBmhj1u-dRFRs_8GwSoA/edit#gid=0"",""Gestores Escolares!D7:J""),4,0),""VERIFICAR CÓD SEC"")"),"(75) 9 8208-7788/ 
9 8150-9886")</f>
        <v>(75) 9 8208-7788/ 
9 8150-9886</v>
      </c>
      <c r="O1202" s="82" t="str">
        <f>IFERROR(__xludf.DUMMYFUNCTION("IFERROR(VLOOKUP(D1202,
IMPORTRANGE(""https://docs.google.com/spreadsheets/d/1MjHtlUikwobi2MaWJgy7tfLeBmhj1u-dRFRs_8GwSoA/edit#gid=0"",""Gestores Escolares!D7:J""),6,0),""VERIFICAR CÓD SEC"")"),"")</f>
        <v/>
      </c>
      <c r="P1202" s="82" t="str">
        <f>IFERROR(__xludf.DUMMYFUNCTION("IFERROR(VLOOKUP(D1202,
IMPORTRANGE(""https://docs.google.com/spreadsheets/d/1MjHtlUikwobi2MaWJgy7tfLeBmhj1u-dRFRs_8GwSoA/edit#gid=0"",""Gestores Escolares!D7:J""),7,0),""VERIFICAR CÓD SEC"")"),"")</f>
        <v/>
      </c>
      <c r="Q1202" s="82" t="str">
        <f>IFERROR(__xludf.DUMMYFUNCTION("IFERROR(VLOOKUP(D1202,
IMPORTRANGE(""https://docs.google.com/spreadsheets/d/1MjHtlUikwobi2MaWJgy7tfLeBmhj1u-dRFRs_8GwSoA/edit#gid=0"",""Gestores Escolares!D7:m""),9,0),""VERIFICAR CÓD SEC"")"),"")</f>
        <v/>
      </c>
      <c r="R1202" s="82" t="str">
        <f>IFERROR(__xludf.DUMMYFUNCTION("IFERROR(VLOOKUP(D1202,
IMPORTRANGE(""https://docs.google.com/spreadsheets/d/1MjHtlUikwobi2MaWJgy7tfLeBmhj1u-dRFRs_8GwSoA/edit#gid=0"",""Gestores Escolares!D7:m""),10,0),""VERIFICAR CÓD SEC"")"),"")</f>
        <v/>
      </c>
      <c r="S1202" s="82"/>
      <c r="T1202" s="138">
        <v>3.0</v>
      </c>
      <c r="U1202" s="139">
        <v>3.0</v>
      </c>
      <c r="V1202" s="106">
        <v>0.0</v>
      </c>
      <c r="W1202" s="107">
        <v>0.0</v>
      </c>
      <c r="X1202" s="107">
        <v>0.0</v>
      </c>
      <c r="Y1202" s="107">
        <v>0.0</v>
      </c>
      <c r="Z1202" s="80">
        <f t="shared" si="1"/>
        <v>0</v>
      </c>
      <c r="AA1202" s="106">
        <v>0.0</v>
      </c>
      <c r="AB1202" s="107">
        <v>0.0</v>
      </c>
      <c r="AC1202" s="107">
        <v>0.0</v>
      </c>
      <c r="AD1202" s="107">
        <v>0.0</v>
      </c>
      <c r="AE1202" s="80">
        <f t="shared" si="2"/>
        <v>0</v>
      </c>
      <c r="AF1202" s="140">
        <v>0.0</v>
      </c>
      <c r="AG1202" s="109">
        <v>54.0</v>
      </c>
      <c r="AH1202" s="109">
        <v>0.0</v>
      </c>
      <c r="AI1202" s="141">
        <v>0.0</v>
      </c>
      <c r="AJ1202" s="80">
        <f t="shared" si="3"/>
        <v>54</v>
      </c>
      <c r="AK1202" s="140">
        <v>0.0</v>
      </c>
      <c r="AL1202" s="109">
        <v>0.0</v>
      </c>
      <c r="AM1202" s="141">
        <v>0.0</v>
      </c>
      <c r="AN1202" s="80">
        <f t="shared" si="4"/>
        <v>0</v>
      </c>
      <c r="AO1202" s="140">
        <v>0.0</v>
      </c>
      <c r="AP1202" s="109">
        <v>0.0</v>
      </c>
      <c r="AQ1202" s="109">
        <v>0.0</v>
      </c>
      <c r="AR1202" s="80">
        <f t="shared" si="5"/>
        <v>0</v>
      </c>
      <c r="AS1202" s="110">
        <v>0.0</v>
      </c>
      <c r="AT1202" s="110">
        <v>0.0</v>
      </c>
      <c r="AU1202" s="110">
        <v>0.0</v>
      </c>
      <c r="AV1202" s="142">
        <v>0.0</v>
      </c>
      <c r="AW1202" s="80">
        <f t="shared" si="6"/>
        <v>0</v>
      </c>
      <c r="AX1202" s="113">
        <f t="shared" si="7"/>
        <v>54</v>
      </c>
      <c r="AY1202" s="117">
        <f t="shared" si="8"/>
        <v>54</v>
      </c>
      <c r="AZ1202" s="120">
        <f t="shared" si="9"/>
        <v>0</v>
      </c>
      <c r="BA1202" s="115">
        <v>0.0</v>
      </c>
      <c r="BB1202" s="89">
        <f t="shared" si="10"/>
        <v>54</v>
      </c>
      <c r="BC1202" s="132" t="s">
        <v>373</v>
      </c>
      <c r="BD1202" s="132" t="s">
        <v>178</v>
      </c>
      <c r="BE1202" s="132" t="s">
        <v>178</v>
      </c>
      <c r="BF1202" s="123"/>
      <c r="BG1202" s="83">
        <v>1179028.0</v>
      </c>
      <c r="BH1202" s="112"/>
      <c r="BI1202" s="112">
        <v>3.0</v>
      </c>
      <c r="BJ1202" s="98" t="s">
        <v>155</v>
      </c>
      <c r="BK1202" s="99">
        <f t="shared" si="11"/>
        <v>0</v>
      </c>
      <c r="BL1202" s="99">
        <f t="shared" si="12"/>
        <v>54</v>
      </c>
      <c r="BM1202" s="99" t="str">
        <f>IFERROR(__xludf.DUMMYFUNCTION("IFERROR(VLOOKUP(BG1202,IMPORTRANGE(""https://docs.google.com/spreadsheets/d/1juPI-Fb8LD0YtltB2mlGEnp_R3UVu1t3wSFPzgCyHXE/edit?gid=0#gid=0"",""GERAL!A2:C""),3,0),""-"")"),"CAMPO")</f>
        <v>CAMPO</v>
      </c>
    </row>
    <row r="1203" ht="15.75" customHeight="1">
      <c r="A1203" s="111" t="s">
        <v>1463</v>
      </c>
      <c r="B1203" s="83" t="s">
        <v>6541</v>
      </c>
      <c r="C1203" s="83" t="s">
        <v>164</v>
      </c>
      <c r="D1203" s="112">
        <v>1178152.0</v>
      </c>
      <c r="E1203" s="83">
        <v>1179027.0</v>
      </c>
      <c r="F1203" s="98">
        <v>2.9490057E7</v>
      </c>
      <c r="G1203" s="114" t="s">
        <v>6553</v>
      </c>
      <c r="H1203" s="91" t="s">
        <v>6554</v>
      </c>
      <c r="I1203" s="136" t="s">
        <v>6555</v>
      </c>
      <c r="J1203" s="83" t="s">
        <v>1645</v>
      </c>
      <c r="K1203" s="83" t="s">
        <v>168</v>
      </c>
      <c r="L1203" s="83" t="s">
        <v>169</v>
      </c>
      <c r="M1203" s="82" t="str">
        <f>IFERROR(__xludf.DUMMYFUNCTION("IFERROR(VLOOKUP(D1203,
IMPORTRANGE(""https://docs.google.com/spreadsheets/d/1MjHtlUikwobi2MaWJgy7tfLeBmhj1u-dRFRs_8GwSoA/edit#gid=0"",""Gestores Escolares!D7:J""),3,0),""VERIFICAR CÓD SEC"")"),"JOSENALDO SOUZA CRUZ")</f>
        <v>JOSENALDO SOUZA CRUZ</v>
      </c>
      <c r="N1203" s="82" t="str">
        <f>IFERROR(__xludf.DUMMYFUNCTION("IFERROR(VLOOKUP(D1203,
IMPORTRANGE(""https://docs.google.com/spreadsheets/d/1MjHtlUikwobi2MaWJgy7tfLeBmhj1u-dRFRs_8GwSoA/edit#gid=0"",""Gestores Escolares!D7:J""),4,0),""VERIFICAR CÓD SEC"")"),"(75) 9 8208-7788/ 
9 8150-9886")</f>
        <v>(75) 9 8208-7788/ 
9 8150-9886</v>
      </c>
      <c r="O1203" s="82" t="str">
        <f>IFERROR(__xludf.DUMMYFUNCTION("IFERROR(VLOOKUP(D1203,
IMPORTRANGE(""https://docs.google.com/spreadsheets/d/1MjHtlUikwobi2MaWJgy7tfLeBmhj1u-dRFRs_8GwSoA/edit#gid=0"",""Gestores Escolares!D7:J""),6,0),""VERIFICAR CÓD SEC"")"),"")</f>
        <v/>
      </c>
      <c r="P1203" s="82" t="str">
        <f>IFERROR(__xludf.DUMMYFUNCTION("IFERROR(VLOOKUP(D1203,
IMPORTRANGE(""https://docs.google.com/spreadsheets/d/1MjHtlUikwobi2MaWJgy7tfLeBmhj1u-dRFRs_8GwSoA/edit#gid=0"",""Gestores Escolares!D7:J""),7,0),""VERIFICAR CÓD SEC"")"),"")</f>
        <v/>
      </c>
      <c r="Q1203" s="82" t="str">
        <f>IFERROR(__xludf.DUMMYFUNCTION("IFERROR(VLOOKUP(D1203,
IMPORTRANGE(""https://docs.google.com/spreadsheets/d/1MjHtlUikwobi2MaWJgy7tfLeBmhj1u-dRFRs_8GwSoA/edit#gid=0"",""Gestores Escolares!D7:m""),9,0),""VERIFICAR CÓD SEC"")"),"")</f>
        <v/>
      </c>
      <c r="R1203" s="82" t="str">
        <f>IFERROR(__xludf.DUMMYFUNCTION("IFERROR(VLOOKUP(D1203,
IMPORTRANGE(""https://docs.google.com/spreadsheets/d/1MjHtlUikwobi2MaWJgy7tfLeBmhj1u-dRFRs_8GwSoA/edit#gid=0"",""Gestores Escolares!D7:m""),10,0),""VERIFICAR CÓD SEC"")"),"")</f>
        <v/>
      </c>
      <c r="S1203" s="82"/>
      <c r="T1203" s="138">
        <v>3.0</v>
      </c>
      <c r="U1203" s="139">
        <v>3.0</v>
      </c>
      <c r="V1203" s="106">
        <v>0.0</v>
      </c>
      <c r="W1203" s="107">
        <v>0.0</v>
      </c>
      <c r="X1203" s="107">
        <v>0.0</v>
      </c>
      <c r="Y1203" s="107">
        <v>0.0</v>
      </c>
      <c r="Z1203" s="80">
        <f t="shared" si="1"/>
        <v>0</v>
      </c>
      <c r="AA1203" s="106">
        <v>0.0</v>
      </c>
      <c r="AB1203" s="107">
        <v>0.0</v>
      </c>
      <c r="AC1203" s="107">
        <v>0.0</v>
      </c>
      <c r="AD1203" s="107">
        <v>0.0</v>
      </c>
      <c r="AE1203" s="80">
        <f t="shared" si="2"/>
        <v>0</v>
      </c>
      <c r="AF1203" s="140">
        <v>80.0</v>
      </c>
      <c r="AG1203" s="109">
        <v>41.0</v>
      </c>
      <c r="AH1203" s="109">
        <v>0.0</v>
      </c>
      <c r="AI1203" s="141">
        <v>0.0</v>
      </c>
      <c r="AJ1203" s="80">
        <f t="shared" si="3"/>
        <v>121</v>
      </c>
      <c r="AK1203" s="140">
        <v>0.0</v>
      </c>
      <c r="AL1203" s="109">
        <v>0.0</v>
      </c>
      <c r="AM1203" s="141">
        <v>0.0</v>
      </c>
      <c r="AN1203" s="80">
        <f t="shared" si="4"/>
        <v>0</v>
      </c>
      <c r="AO1203" s="140">
        <v>0.0</v>
      </c>
      <c r="AP1203" s="109">
        <v>0.0</v>
      </c>
      <c r="AQ1203" s="109">
        <v>40.0</v>
      </c>
      <c r="AR1203" s="80">
        <f t="shared" si="5"/>
        <v>40</v>
      </c>
      <c r="AS1203" s="110">
        <v>0.0</v>
      </c>
      <c r="AT1203" s="110">
        <v>0.0</v>
      </c>
      <c r="AU1203" s="110">
        <v>0.0</v>
      </c>
      <c r="AV1203" s="142">
        <v>0.0</v>
      </c>
      <c r="AW1203" s="80">
        <f t="shared" si="6"/>
        <v>0</v>
      </c>
      <c r="AX1203" s="113">
        <f t="shared" si="7"/>
        <v>161</v>
      </c>
      <c r="AY1203" s="117">
        <f t="shared" si="8"/>
        <v>121</v>
      </c>
      <c r="AZ1203" s="120">
        <f t="shared" si="9"/>
        <v>40</v>
      </c>
      <c r="BA1203" s="115">
        <v>0.0</v>
      </c>
      <c r="BB1203" s="89">
        <f t="shared" si="10"/>
        <v>161</v>
      </c>
      <c r="BC1203" s="132" t="s">
        <v>373</v>
      </c>
      <c r="BD1203" s="132" t="s">
        <v>178</v>
      </c>
      <c r="BE1203" s="132" t="s">
        <v>178</v>
      </c>
      <c r="BF1203" s="123"/>
      <c r="BG1203" s="83">
        <v>1179027.0</v>
      </c>
      <c r="BH1203" s="112"/>
      <c r="BI1203" s="112">
        <v>3.0</v>
      </c>
      <c r="BJ1203" s="98" t="s">
        <v>155</v>
      </c>
      <c r="BK1203" s="99">
        <f t="shared" si="11"/>
        <v>0</v>
      </c>
      <c r="BL1203" s="99">
        <f t="shared" si="12"/>
        <v>121</v>
      </c>
      <c r="BM1203" s="99" t="str">
        <f>IFERROR(__xludf.DUMMYFUNCTION("IFERROR(VLOOKUP(BG1203,IMPORTRANGE(""https://docs.google.com/spreadsheets/d/1juPI-Fb8LD0YtltB2mlGEnp_R3UVu1t3wSFPzgCyHXE/edit?gid=0#gid=0"",""GERAL!A2:C""),3,0),""-"")"),"CAMPO")</f>
        <v>CAMPO</v>
      </c>
    </row>
    <row r="1204" ht="15.75" customHeight="1">
      <c r="A1204" s="111" t="s">
        <v>1463</v>
      </c>
      <c r="B1204" s="83" t="s">
        <v>6556</v>
      </c>
      <c r="C1204" s="83" t="s">
        <v>68</v>
      </c>
      <c r="D1204" s="112">
        <v>1135394.0</v>
      </c>
      <c r="E1204" s="83"/>
      <c r="F1204" s="83">
        <v>2.9163234E7</v>
      </c>
      <c r="G1204" s="119" t="s">
        <v>6557</v>
      </c>
      <c r="H1204" s="91" t="s">
        <v>6558</v>
      </c>
      <c r="I1204" s="83" t="s">
        <v>6559</v>
      </c>
      <c r="J1204" s="83" t="s">
        <v>751</v>
      </c>
      <c r="K1204" s="83" t="s">
        <v>151</v>
      </c>
      <c r="L1204" s="98" t="s">
        <v>76</v>
      </c>
      <c r="M1204" s="82" t="str">
        <f>IFERROR(__xludf.DUMMYFUNCTION("IFERROR(VLOOKUP(D1204,
IMPORTRANGE(""https://docs.google.com/spreadsheets/d/1MjHtlUikwobi2MaWJgy7tfLeBmhj1u-dRFRs_8GwSoA/edit#gid=0"",""Gestores Escolares!D7:J""),3,0),""VERIFICAR CÓD SEC"")"),"SAMIRA GESSICA ALVES DE SANTANA SANTOS")</f>
        <v>SAMIRA GESSICA ALVES DE SANTANA SANTOS</v>
      </c>
      <c r="N1204" s="82" t="str">
        <f>IFERROR(__xludf.DUMMYFUNCTION("IFERROR(VLOOKUP(D1204,
IMPORTRANGE(""https://docs.google.com/spreadsheets/d/1MjHtlUikwobi2MaWJgy7tfLeBmhj1u-dRFRs_8GwSoA/edit#gid=0"",""Gestores Escolares!D7:J""),4,0),""VERIFICAR CÓD SEC"")")," (75) 9 8132-2424/ 
(71) 9 8443-8080")</f>
        <v> (75) 9 8132-2424/ 
(71) 9 8443-8080</v>
      </c>
      <c r="O1204" s="82" t="str">
        <f>IFERROR(__xludf.DUMMYFUNCTION("IFERROR(VLOOKUP(D1204,
IMPORTRANGE(""https://docs.google.com/spreadsheets/d/1MjHtlUikwobi2MaWJgy7tfLeBmhj1u-dRFRs_8GwSoA/edit#gid=0"",""Gestores Escolares!D7:J""),6,0),""VERIFICAR CÓD SEC"")"),"SAUL LOMBA BULHOSA OLIVEIRA")</f>
        <v>SAUL LOMBA BULHOSA OLIVEIRA</v>
      </c>
      <c r="P1204" s="82" t="str">
        <f>IFERROR(__xludf.DUMMYFUNCTION("IFERROR(VLOOKUP(D1204,
IMPORTRANGE(""https://docs.google.com/spreadsheets/d/1MjHtlUikwobi2MaWJgy7tfLeBmhj1u-dRFRs_8GwSoA/edit#gid=0"",""Gestores Escolares!D7:J""),7,0),""VERIFICAR CÓD SEC"")"),"(75) 9 9 8179-7909")</f>
        <v>(75) 9 9 8179-7909</v>
      </c>
      <c r="Q1204" s="82" t="str">
        <f>IFERROR(__xludf.DUMMYFUNCTION("IFERROR(VLOOKUP(D1204,
IMPORTRANGE(""https://docs.google.com/spreadsheets/d/1MjHtlUikwobi2MaWJgy7tfLeBmhj1u-dRFRs_8GwSoA/edit#gid=0"",""Gestores Escolares!D7:m""),9,0),""VERIFICAR CÓD SEC"")"),"")</f>
        <v/>
      </c>
      <c r="R1204" s="82" t="str">
        <f>IFERROR(__xludf.DUMMYFUNCTION("IFERROR(VLOOKUP(D1204,
IMPORTRANGE(""https://docs.google.com/spreadsheets/d/1MjHtlUikwobi2MaWJgy7tfLeBmhj1u-dRFRs_8GwSoA/edit#gid=0"",""Gestores Escolares!D7:m""),10,0),""VERIFICAR CÓD SEC"")"),"")</f>
        <v/>
      </c>
      <c r="S1204" s="82"/>
      <c r="T1204" s="138">
        <v>6.0</v>
      </c>
      <c r="U1204" s="145">
        <v>4.0</v>
      </c>
      <c r="V1204" s="106">
        <v>0.0</v>
      </c>
      <c r="W1204" s="107">
        <v>0.0</v>
      </c>
      <c r="X1204" s="107">
        <v>0.0</v>
      </c>
      <c r="Y1204" s="107">
        <v>0.0</v>
      </c>
      <c r="Z1204" s="80">
        <f t="shared" si="1"/>
        <v>0</v>
      </c>
      <c r="AA1204" s="106">
        <v>0.0</v>
      </c>
      <c r="AB1204" s="107">
        <v>0.0</v>
      </c>
      <c r="AC1204" s="107">
        <v>0.0</v>
      </c>
      <c r="AD1204" s="107">
        <v>0.0</v>
      </c>
      <c r="AE1204" s="80">
        <f t="shared" si="2"/>
        <v>0</v>
      </c>
      <c r="AF1204" s="140">
        <v>0.0</v>
      </c>
      <c r="AG1204" s="109">
        <v>0.0</v>
      </c>
      <c r="AH1204" s="109">
        <v>0.0</v>
      </c>
      <c r="AI1204" s="141">
        <v>170.0</v>
      </c>
      <c r="AJ1204" s="80">
        <f t="shared" si="3"/>
        <v>170</v>
      </c>
      <c r="AK1204" s="140">
        <v>0.0</v>
      </c>
      <c r="AL1204" s="109">
        <v>0.0</v>
      </c>
      <c r="AM1204" s="141">
        <v>0.0</v>
      </c>
      <c r="AN1204" s="80">
        <f t="shared" si="4"/>
        <v>0</v>
      </c>
      <c r="AO1204" s="140">
        <v>0.0</v>
      </c>
      <c r="AP1204" s="109">
        <v>0.0</v>
      </c>
      <c r="AQ1204" s="109">
        <v>0.0</v>
      </c>
      <c r="AR1204" s="80">
        <f t="shared" si="5"/>
        <v>0</v>
      </c>
      <c r="AS1204" s="110">
        <v>0.0</v>
      </c>
      <c r="AT1204" s="110">
        <v>0.0</v>
      </c>
      <c r="AU1204" s="110">
        <v>64.0</v>
      </c>
      <c r="AV1204" s="142">
        <v>0.0</v>
      </c>
      <c r="AW1204" s="80">
        <f t="shared" si="6"/>
        <v>64</v>
      </c>
      <c r="AX1204" s="113">
        <f t="shared" si="7"/>
        <v>234</v>
      </c>
      <c r="AY1204" s="117">
        <f t="shared" si="8"/>
        <v>170</v>
      </c>
      <c r="AZ1204" s="120">
        <f t="shared" si="9"/>
        <v>64</v>
      </c>
      <c r="BA1204" s="115">
        <v>0.0</v>
      </c>
      <c r="BB1204" s="89">
        <f t="shared" si="10"/>
        <v>234</v>
      </c>
      <c r="BC1204" s="132" t="s">
        <v>265</v>
      </c>
      <c r="BD1204" s="132" t="s">
        <v>178</v>
      </c>
      <c r="BE1204" s="132" t="s">
        <v>178</v>
      </c>
      <c r="BF1204" s="156"/>
      <c r="BG1204" s="83">
        <v>1135394.0</v>
      </c>
      <c r="BH1204" s="112"/>
      <c r="BI1204" s="112">
        <v>6.0</v>
      </c>
      <c r="BJ1204" s="98" t="s">
        <v>284</v>
      </c>
      <c r="BK1204" s="99">
        <f t="shared" si="11"/>
        <v>170</v>
      </c>
      <c r="BL1204" s="99">
        <f t="shared" si="12"/>
        <v>0</v>
      </c>
      <c r="BM1204" s="99" t="str">
        <f>IFERROR(__xludf.DUMMYFUNCTION("IFERROR(VLOOKUP(BG1204,IMPORTRANGE(""https://docs.google.com/spreadsheets/d/1juPI-Fb8LD0YtltB2mlGEnp_R3UVu1t3wSFPzgCyHXE/edit?gid=0#gid=0"",""GERAL!A2:C""),3,0),""-"")"),"QUILOMBOLAS")</f>
        <v>QUILOMBOLAS</v>
      </c>
    </row>
    <row r="1205" ht="15.75" customHeight="1">
      <c r="A1205" s="111" t="s">
        <v>1463</v>
      </c>
      <c r="B1205" s="83" t="s">
        <v>6556</v>
      </c>
      <c r="C1205" s="83" t="s">
        <v>68</v>
      </c>
      <c r="D1205" s="112">
        <v>1133715.0</v>
      </c>
      <c r="E1205" s="83"/>
      <c r="F1205" s="83">
        <v>2.916261E7</v>
      </c>
      <c r="G1205" s="119" t="s">
        <v>13843</v>
      </c>
      <c r="H1205" s="91" t="s">
        <v>6562</v>
      </c>
      <c r="I1205" s="136" t="s">
        <v>149</v>
      </c>
      <c r="J1205" s="136" t="s">
        <v>150</v>
      </c>
      <c r="K1205" s="136" t="s">
        <v>151</v>
      </c>
      <c r="L1205" s="136" t="s">
        <v>152</v>
      </c>
      <c r="M1205" s="82" t="str">
        <f>IFERROR(__xludf.DUMMYFUNCTION("IFERROR(VLOOKUP(D1205,
IMPORTRANGE(""https://docs.google.com/spreadsheets/d/1MjHtlUikwobi2MaWJgy7tfLeBmhj1u-dRFRs_8GwSoA/edit#gid=0"",""Gestores Escolares!D7:J""),3,0),""VERIFICAR CÓD SEC"")"),"MARIA HELENA DOS SANTOS ARAÚJO")</f>
        <v>MARIA HELENA DOS SANTOS ARAÚJO</v>
      </c>
      <c r="N1205" s="82" t="str">
        <f>IFERROR(__xludf.DUMMYFUNCTION("IFERROR(VLOOKUP(D1205,
IMPORTRANGE(""https://docs.google.com/spreadsheets/d/1MjHtlUikwobi2MaWJgy7tfLeBmhj1u-dRFRs_8GwSoA/edit#gid=0"",""Gestores Escolares!D7:J""),4,0),""VERIFICAR CÓD SEC"")"),"(71) 9 9162-4582")</f>
        <v>(71) 9 9162-4582</v>
      </c>
      <c r="O1205" s="82" t="str">
        <f>IFERROR(__xludf.DUMMYFUNCTION("IFERROR(VLOOKUP(D1205,
IMPORTRANGE(""https://docs.google.com/spreadsheets/d/1MjHtlUikwobi2MaWJgy7tfLeBmhj1u-dRFRs_8GwSoA/edit#gid=0"",""Gestores Escolares!D7:J""),6,0),""VERIFICAR CÓD SEC"")"),"ANDRE GUSTAVO PINHEIRO DOS SANTOS")</f>
        <v>ANDRE GUSTAVO PINHEIRO DOS SANTOS</v>
      </c>
      <c r="P1205" s="82" t="str">
        <f>IFERROR(__xludf.DUMMYFUNCTION("IFERROR(VLOOKUP(D1205,
IMPORTRANGE(""https://docs.google.com/spreadsheets/d/1MjHtlUikwobi2MaWJgy7tfLeBmhj1u-dRFRs_8GwSoA/edit#gid=0"",""Gestores Escolares!D7:J""),7,0),""VERIFICAR CÓD SEC"")"),"(75) 9 9250-0276")</f>
        <v>(75) 9 9250-0276</v>
      </c>
      <c r="Q1205" s="82" t="str">
        <f>IFERROR(__xludf.DUMMYFUNCTION("IFERROR(VLOOKUP(D1205,
IMPORTRANGE(""https://docs.google.com/spreadsheets/d/1MjHtlUikwobi2MaWJgy7tfLeBmhj1u-dRFRs_8GwSoA/edit#gid=0"",""Gestores Escolares!D7:m""),9,0),""VERIFICAR CÓD SEC"")"),"RUANCELA OLIVEIRA DOS SANTOS SOUZA")</f>
        <v>RUANCELA OLIVEIRA DOS SANTOS SOUZA</v>
      </c>
      <c r="R1205" s="82" t="str">
        <f>IFERROR(__xludf.DUMMYFUNCTION("IFERROR(VLOOKUP(D1205,
IMPORTRANGE(""https://docs.google.com/spreadsheets/d/1MjHtlUikwobi2MaWJgy7tfLeBmhj1u-dRFRs_8GwSoA/edit#gid=0"",""Gestores Escolares!D7:m""),10,0),""VERIFICAR CÓD SEC"")"),"(75) 9 8184-8317")</f>
        <v>(75) 9 8184-8317</v>
      </c>
      <c r="S1205" s="82"/>
      <c r="T1205" s="138">
        <v>24.0</v>
      </c>
      <c r="U1205" s="421" t="s">
        <v>13844</v>
      </c>
      <c r="V1205" s="106">
        <v>0.0</v>
      </c>
      <c r="W1205" s="107">
        <v>0.0</v>
      </c>
      <c r="X1205" s="107">
        <v>0.0</v>
      </c>
      <c r="Y1205" s="107">
        <v>0.0</v>
      </c>
      <c r="Z1205" s="80">
        <f t="shared" si="1"/>
        <v>0</v>
      </c>
      <c r="AA1205" s="106">
        <v>0.0</v>
      </c>
      <c r="AB1205" s="107">
        <v>0.0</v>
      </c>
      <c r="AC1205" s="107">
        <v>0.0</v>
      </c>
      <c r="AD1205" s="107">
        <v>0.0</v>
      </c>
      <c r="AE1205" s="80">
        <f t="shared" si="2"/>
        <v>0</v>
      </c>
      <c r="AF1205" s="140">
        <v>170.0</v>
      </c>
      <c r="AG1205" s="109">
        <v>75.0</v>
      </c>
      <c r="AH1205" s="109">
        <v>0.0</v>
      </c>
      <c r="AI1205" s="141">
        <v>333.0</v>
      </c>
      <c r="AJ1205" s="80">
        <f t="shared" si="3"/>
        <v>578</v>
      </c>
      <c r="AK1205" s="140">
        <v>0.0</v>
      </c>
      <c r="AL1205" s="109">
        <v>0.0</v>
      </c>
      <c r="AM1205" s="141">
        <v>0.0</v>
      </c>
      <c r="AN1205" s="80">
        <f t="shared" si="4"/>
        <v>0</v>
      </c>
      <c r="AO1205" s="140">
        <v>0.0</v>
      </c>
      <c r="AP1205" s="109">
        <v>0.0</v>
      </c>
      <c r="AQ1205" s="109">
        <v>108.0</v>
      </c>
      <c r="AR1205" s="80">
        <f t="shared" si="5"/>
        <v>108</v>
      </c>
      <c r="AS1205" s="110">
        <v>0.0</v>
      </c>
      <c r="AT1205" s="110">
        <v>0.0</v>
      </c>
      <c r="AU1205" s="110">
        <v>0.0</v>
      </c>
      <c r="AV1205" s="142">
        <v>0.0</v>
      </c>
      <c r="AW1205" s="80">
        <f t="shared" si="6"/>
        <v>0</v>
      </c>
      <c r="AX1205" s="113">
        <f t="shared" si="7"/>
        <v>686</v>
      </c>
      <c r="AY1205" s="117">
        <f t="shared" si="8"/>
        <v>578</v>
      </c>
      <c r="AZ1205" s="120">
        <f t="shared" si="9"/>
        <v>108</v>
      </c>
      <c r="BA1205" s="115">
        <v>0.0</v>
      </c>
      <c r="BB1205" s="89">
        <f t="shared" si="10"/>
        <v>686</v>
      </c>
      <c r="BC1205" s="132" t="s">
        <v>178</v>
      </c>
      <c r="BD1205" s="132" t="s">
        <v>178</v>
      </c>
      <c r="BE1205" s="132" t="s">
        <v>178</v>
      </c>
      <c r="BF1205" s="417"/>
      <c r="BG1205" s="83">
        <v>1133715.0</v>
      </c>
      <c r="BH1205" s="98"/>
      <c r="BI1205" s="98">
        <v>9.0</v>
      </c>
      <c r="BJ1205" s="98" t="s">
        <v>155</v>
      </c>
      <c r="BK1205" s="99">
        <f t="shared" si="11"/>
        <v>333</v>
      </c>
      <c r="BL1205" s="99">
        <f t="shared" si="12"/>
        <v>245</v>
      </c>
      <c r="BM1205" s="99" t="str">
        <f>IFERROR(__xludf.DUMMYFUNCTION("IFERROR(VLOOKUP(BG1205,IMPORTRANGE(""https://docs.google.com/spreadsheets/d/1juPI-Fb8LD0YtltB2mlGEnp_R3UVu1t3wSFPzgCyHXE/edit?gid=0#gid=0"",""GERAL!A2:C""),3,0),""-"")"),"-")</f>
        <v>-</v>
      </c>
    </row>
    <row r="1206" ht="15.75" customHeight="1">
      <c r="A1206" s="111" t="s">
        <v>1463</v>
      </c>
      <c r="B1206" s="83" t="s">
        <v>6564</v>
      </c>
      <c r="C1206" s="83" t="s">
        <v>68</v>
      </c>
      <c r="D1206" s="112">
        <v>1109059.0</v>
      </c>
      <c r="E1206" s="83"/>
      <c r="F1206" s="83">
        <v>2.9163374E7</v>
      </c>
      <c r="G1206" s="119" t="s">
        <v>13845</v>
      </c>
      <c r="H1206" s="91" t="s">
        <v>6566</v>
      </c>
      <c r="I1206" s="136" t="s">
        <v>149</v>
      </c>
      <c r="J1206" s="83" t="s">
        <v>150</v>
      </c>
      <c r="K1206" s="83" t="s">
        <v>151</v>
      </c>
      <c r="L1206" s="83" t="s">
        <v>230</v>
      </c>
      <c r="M1206" s="82" t="str">
        <f>IFERROR(__xludf.DUMMYFUNCTION("IFERROR(VLOOKUP(D1206,
IMPORTRANGE(""https://docs.google.com/spreadsheets/d/1MjHtlUikwobi2MaWJgy7tfLeBmhj1u-dRFRs_8GwSoA/edit#gid=0"",""Gestores Escolares!D7:J""),3,0),""VERIFICAR CÓD SEC"")"),"LÍLIAN GOMES DA SILVA")</f>
        <v>LÍLIAN GOMES DA SILVA</v>
      </c>
      <c r="N1206" s="82" t="str">
        <f>IFERROR(__xludf.DUMMYFUNCTION("IFERROR(VLOOKUP(D1206,
IMPORTRANGE(""https://docs.google.com/spreadsheets/d/1MjHtlUikwobi2MaWJgy7tfLeBmhj1u-dRFRs_8GwSoA/edit#gid=0"",""Gestores Escolares!D7:J""),4,0),""VERIFICAR CÓD SEC"")"),"(75) 9 8107-9547")</f>
        <v>(75) 9 8107-9547</v>
      </c>
      <c r="O1206" s="82" t="str">
        <f>IFERROR(__xludf.DUMMYFUNCTION("IFERROR(VLOOKUP(D1206,
IMPORTRANGE(""https://docs.google.com/spreadsheets/d/1MjHtlUikwobi2MaWJgy7tfLeBmhj1u-dRFRs_8GwSoA/edit#gid=0"",""Gestores Escolares!D7:J""),6,0),""VERIFICAR CÓD SEC"")"),"SORAIA CRISTINA CORDEIRO CEZAR ")</f>
        <v>SORAIA CRISTINA CORDEIRO CEZAR </v>
      </c>
      <c r="P1206" s="82" t="str">
        <f>IFERROR(__xludf.DUMMYFUNCTION("IFERROR(VLOOKUP(D1206,
IMPORTRANGE(""https://docs.google.com/spreadsheets/d/1MjHtlUikwobi2MaWJgy7tfLeBmhj1u-dRFRs_8GwSoA/edit#gid=0"",""Gestores Escolares!D7:J""),7,0),""VERIFICAR CÓD SEC"")"),"(75) 9 8109-8343")</f>
        <v>(75) 9 8109-8343</v>
      </c>
      <c r="Q1206" s="82" t="str">
        <f>IFERROR(__xludf.DUMMYFUNCTION("IFERROR(VLOOKUP(D1206,
IMPORTRANGE(""https://docs.google.com/spreadsheets/d/1MjHtlUikwobi2MaWJgy7tfLeBmhj1u-dRFRs_8GwSoA/edit#gid=0"",""Gestores Escolares!D7:m""),9,0),""VERIFICAR CÓD SEC"")"),"EDILEUSA BATISTA BARBOSA")</f>
        <v>EDILEUSA BATISTA BARBOSA</v>
      </c>
      <c r="R1206" s="82" t="str">
        <f>IFERROR(__xludf.DUMMYFUNCTION("IFERROR(VLOOKUP(D1206,
IMPORTRANGE(""https://docs.google.com/spreadsheets/d/1MjHtlUikwobi2MaWJgy7tfLeBmhj1u-dRFRs_8GwSoA/edit#gid=0"",""Gestores Escolares!D7:m""),10,0),""VERIFICAR CÓD SEC"")"),"(75) 9 9115-9339")</f>
        <v>(75) 9 9115-9339</v>
      </c>
      <c r="S1206" s="82"/>
      <c r="T1206" s="138">
        <v>16.0</v>
      </c>
      <c r="U1206" s="145">
        <v>16.0</v>
      </c>
      <c r="V1206" s="106">
        <v>0.0</v>
      </c>
      <c r="W1206" s="107">
        <v>0.0</v>
      </c>
      <c r="X1206" s="107">
        <v>0.0</v>
      </c>
      <c r="Y1206" s="107">
        <v>0.0</v>
      </c>
      <c r="Z1206" s="80">
        <f t="shared" si="1"/>
        <v>0</v>
      </c>
      <c r="AA1206" s="106">
        <v>0.0</v>
      </c>
      <c r="AB1206" s="107">
        <v>0.0</v>
      </c>
      <c r="AC1206" s="107">
        <v>0.0</v>
      </c>
      <c r="AD1206" s="107">
        <v>0.0</v>
      </c>
      <c r="AE1206" s="80">
        <f t="shared" si="2"/>
        <v>0</v>
      </c>
      <c r="AF1206" s="140">
        <v>0.0</v>
      </c>
      <c r="AG1206" s="109">
        <v>0.0</v>
      </c>
      <c r="AH1206" s="109">
        <v>0.0</v>
      </c>
      <c r="AI1206" s="141">
        <v>546.0</v>
      </c>
      <c r="AJ1206" s="80">
        <f t="shared" si="3"/>
        <v>546</v>
      </c>
      <c r="AK1206" s="140">
        <v>0.0</v>
      </c>
      <c r="AL1206" s="109">
        <v>0.0</v>
      </c>
      <c r="AM1206" s="141">
        <v>0.0</v>
      </c>
      <c r="AN1206" s="80">
        <f t="shared" si="4"/>
        <v>0</v>
      </c>
      <c r="AO1206" s="140">
        <v>0.0</v>
      </c>
      <c r="AP1206" s="109">
        <v>0.0</v>
      </c>
      <c r="AQ1206" s="109">
        <v>173.0</v>
      </c>
      <c r="AR1206" s="80">
        <f t="shared" si="5"/>
        <v>173</v>
      </c>
      <c r="AS1206" s="110">
        <v>0.0</v>
      </c>
      <c r="AT1206" s="110">
        <v>0.0</v>
      </c>
      <c r="AU1206" s="110">
        <v>12.0</v>
      </c>
      <c r="AV1206" s="142">
        <v>65.0</v>
      </c>
      <c r="AW1206" s="80">
        <f t="shared" si="6"/>
        <v>77</v>
      </c>
      <c r="AX1206" s="113">
        <f t="shared" si="7"/>
        <v>796</v>
      </c>
      <c r="AY1206" s="117">
        <f t="shared" si="8"/>
        <v>611</v>
      </c>
      <c r="AZ1206" s="120">
        <f t="shared" si="9"/>
        <v>185</v>
      </c>
      <c r="BA1206" s="115">
        <v>0.0</v>
      </c>
      <c r="BB1206" s="89">
        <f t="shared" si="10"/>
        <v>796</v>
      </c>
      <c r="BC1206" s="132" t="s">
        <v>373</v>
      </c>
      <c r="BD1206" s="132" t="s">
        <v>178</v>
      </c>
      <c r="BE1206" s="132" t="s">
        <v>178</v>
      </c>
      <c r="BF1206" s="123"/>
      <c r="BG1206" s="83">
        <v>1109059.0</v>
      </c>
      <c r="BH1206" s="112"/>
      <c r="BI1206" s="112">
        <v>16.0</v>
      </c>
      <c r="BJ1206" s="98" t="s">
        <v>284</v>
      </c>
      <c r="BK1206" s="99">
        <f t="shared" si="11"/>
        <v>611</v>
      </c>
      <c r="BL1206" s="99">
        <f t="shared" si="12"/>
        <v>0</v>
      </c>
      <c r="BM1206" s="99" t="str">
        <f>IFERROR(__xludf.DUMMYFUNCTION("IFERROR(VLOOKUP(BG1206,IMPORTRANGE(""https://docs.google.com/spreadsheets/d/1juPI-Fb8LD0YtltB2mlGEnp_R3UVu1t3wSFPzgCyHXE/edit?gid=0#gid=0"",""GERAL!A2:C""),3,0),""-"")"),"CAMPO")</f>
        <v>CAMPO</v>
      </c>
    </row>
    <row r="1207" ht="15.75" customHeight="1">
      <c r="A1207" s="111" t="s">
        <v>1463</v>
      </c>
      <c r="B1207" s="83" t="s">
        <v>6569</v>
      </c>
      <c r="C1207" s="83" t="s">
        <v>68</v>
      </c>
      <c r="D1207" s="112">
        <v>1108893.0</v>
      </c>
      <c r="E1207" s="83"/>
      <c r="F1207" s="83">
        <v>2.9164826E7</v>
      </c>
      <c r="G1207" s="119" t="s">
        <v>6570</v>
      </c>
      <c r="H1207" s="91" t="s">
        <v>6571</v>
      </c>
      <c r="I1207" s="136" t="s">
        <v>149</v>
      </c>
      <c r="J1207" s="83" t="s">
        <v>150</v>
      </c>
      <c r="K1207" s="83" t="s">
        <v>151</v>
      </c>
      <c r="L1207" s="83" t="s">
        <v>152</v>
      </c>
      <c r="M1207" s="82" t="str">
        <f>IFERROR(__xludf.DUMMYFUNCTION("IFERROR(VLOOKUP(D1207,
IMPORTRANGE(""https://docs.google.com/spreadsheets/d/1MjHtlUikwobi2MaWJgy7tfLeBmhj1u-dRFRs_8GwSoA/edit#gid=0"",""Gestores Escolares!D7:J""),3,0),""VERIFICAR CÓD SEC"")"),"MARILSON CARVALHO SANTOS")</f>
        <v>MARILSON CARVALHO SANTOS</v>
      </c>
      <c r="N1207" s="82" t="str">
        <f>IFERROR(__xludf.DUMMYFUNCTION("IFERROR(VLOOKUP(D1207,
IMPORTRANGE(""https://docs.google.com/spreadsheets/d/1MjHtlUikwobi2MaWJgy7tfLeBmhj1u-dRFRs_8GwSoA/edit#gid=0"",""Gestores Escolares!D7:J""),4,0),""VERIFICAR CÓD SEC"")"),"(71) 9 8229-0678")</f>
        <v>(71) 9 8229-0678</v>
      </c>
      <c r="O1207" s="82" t="str">
        <f>IFERROR(__xludf.DUMMYFUNCTION("IFERROR(VLOOKUP(D1207,
IMPORTRANGE(""https://docs.google.com/spreadsheets/d/1MjHtlUikwobi2MaWJgy7tfLeBmhj1u-dRFRs_8GwSoA/edit#gid=0"",""Gestores Escolares!D7:J""),6,0),""VERIFICAR CÓD SEC"")"),"GRACIMARA FONSECA SANTOS")</f>
        <v>GRACIMARA FONSECA SANTOS</v>
      </c>
      <c r="P1207" s="82" t="str">
        <f>IFERROR(__xludf.DUMMYFUNCTION("IFERROR(VLOOKUP(D1207,
IMPORTRANGE(""https://docs.google.com/spreadsheets/d/1MjHtlUikwobi2MaWJgy7tfLeBmhj1u-dRFRs_8GwSoA/edit#gid=0"",""Gestores Escolares!D7:J""),7,0),""VERIFICAR CÓD SEC"")"),"(75) 9 8105-3168")</f>
        <v>(75) 9 8105-3168</v>
      </c>
      <c r="Q1207" s="82" t="str">
        <f>IFERROR(__xludf.DUMMYFUNCTION("IFERROR(VLOOKUP(D1207,
IMPORTRANGE(""https://docs.google.com/spreadsheets/d/1MjHtlUikwobi2MaWJgy7tfLeBmhj1u-dRFRs_8GwSoA/edit#gid=0"",""Gestores Escolares!D7:m""),9,0),""VERIFICAR CÓD SEC"")"),"BÁRBARA SANTOS LOPES ")</f>
        <v>BÁRBARA SANTOS LOPES </v>
      </c>
      <c r="R1207" s="82" t="str">
        <f>IFERROR(__xludf.DUMMYFUNCTION("IFERROR(VLOOKUP(D1207,
IMPORTRANGE(""https://docs.google.com/spreadsheets/d/1MjHtlUikwobi2MaWJgy7tfLeBmhj1u-dRFRs_8GwSoA/edit#gid=0"",""Gestores Escolares!D7:m""),10,0),""VERIFICAR CÓD SEC"")"),"(75) 9 8277-7138")</f>
        <v>(75) 9 8277-7138</v>
      </c>
      <c r="S1207" s="82"/>
      <c r="T1207" s="138">
        <v>15.0</v>
      </c>
      <c r="U1207" s="217">
        <v>12.0</v>
      </c>
      <c r="V1207" s="106">
        <v>0.0</v>
      </c>
      <c r="W1207" s="107">
        <v>0.0</v>
      </c>
      <c r="X1207" s="107">
        <v>0.0</v>
      </c>
      <c r="Y1207" s="107">
        <v>0.0</v>
      </c>
      <c r="Z1207" s="80">
        <f t="shared" si="1"/>
        <v>0</v>
      </c>
      <c r="AA1207" s="106">
        <v>0.0</v>
      </c>
      <c r="AB1207" s="107">
        <v>0.0</v>
      </c>
      <c r="AC1207" s="107">
        <v>0.0</v>
      </c>
      <c r="AD1207" s="107">
        <v>0.0</v>
      </c>
      <c r="AE1207" s="80">
        <f t="shared" si="2"/>
        <v>0</v>
      </c>
      <c r="AF1207" s="140">
        <v>0.0</v>
      </c>
      <c r="AG1207" s="109">
        <v>0.0</v>
      </c>
      <c r="AH1207" s="109">
        <v>0.0</v>
      </c>
      <c r="AI1207" s="141">
        <v>166.0</v>
      </c>
      <c r="AJ1207" s="80">
        <f t="shared" si="3"/>
        <v>166</v>
      </c>
      <c r="AK1207" s="140">
        <v>0.0</v>
      </c>
      <c r="AL1207" s="109">
        <v>0.0</v>
      </c>
      <c r="AM1207" s="141">
        <v>0.0</v>
      </c>
      <c r="AN1207" s="80">
        <f t="shared" si="4"/>
        <v>0</v>
      </c>
      <c r="AO1207" s="140">
        <v>0.0</v>
      </c>
      <c r="AP1207" s="109">
        <v>0.0</v>
      </c>
      <c r="AQ1207" s="109">
        <v>86.0</v>
      </c>
      <c r="AR1207" s="80">
        <f t="shared" si="5"/>
        <v>86</v>
      </c>
      <c r="AS1207" s="110">
        <v>0.0</v>
      </c>
      <c r="AT1207" s="110">
        <v>0.0</v>
      </c>
      <c r="AU1207" s="110">
        <v>61.0</v>
      </c>
      <c r="AV1207" s="142">
        <v>164.0</v>
      </c>
      <c r="AW1207" s="80">
        <f t="shared" si="6"/>
        <v>225</v>
      </c>
      <c r="AX1207" s="113">
        <f t="shared" si="7"/>
        <v>477</v>
      </c>
      <c r="AY1207" s="117">
        <f t="shared" si="8"/>
        <v>330</v>
      </c>
      <c r="AZ1207" s="120">
        <f t="shared" si="9"/>
        <v>147</v>
      </c>
      <c r="BA1207" s="115">
        <v>3.0</v>
      </c>
      <c r="BB1207" s="89">
        <f t="shared" si="10"/>
        <v>480</v>
      </c>
      <c r="BC1207" s="132" t="s">
        <v>178</v>
      </c>
      <c r="BD1207" s="132" t="s">
        <v>178</v>
      </c>
      <c r="BE1207" s="132" t="s">
        <v>178</v>
      </c>
      <c r="BF1207" s="123"/>
      <c r="BG1207" s="83">
        <v>1108893.0</v>
      </c>
      <c r="BH1207" s="112"/>
      <c r="BI1207" s="112">
        <v>12.0</v>
      </c>
      <c r="BJ1207" s="98" t="s">
        <v>155</v>
      </c>
      <c r="BK1207" s="99">
        <f t="shared" si="11"/>
        <v>330</v>
      </c>
      <c r="BL1207" s="99">
        <f t="shared" si="12"/>
        <v>0</v>
      </c>
      <c r="BM1207" s="99" t="str">
        <f>IFERROR(__xludf.DUMMYFUNCTION("IFERROR(VLOOKUP(BG1207,IMPORTRANGE(""https://docs.google.com/spreadsheets/d/1juPI-Fb8LD0YtltB2mlGEnp_R3UVu1t3wSFPzgCyHXE/edit?gid=0#gid=0"",""GERAL!A2:C""),3,0),""-"")"),"-")</f>
        <v>-</v>
      </c>
    </row>
    <row r="1208" ht="15.75" customHeight="1">
      <c r="A1208" s="111" t="s">
        <v>1463</v>
      </c>
      <c r="B1208" s="83" t="s">
        <v>6573</v>
      </c>
      <c r="C1208" s="83" t="s">
        <v>68</v>
      </c>
      <c r="D1208" s="112">
        <v>1133502.0</v>
      </c>
      <c r="E1208" s="83"/>
      <c r="F1208" s="83">
        <v>2.9165555E7</v>
      </c>
      <c r="G1208" s="114" t="s">
        <v>6579</v>
      </c>
      <c r="H1208" s="91" t="s">
        <v>6580</v>
      </c>
      <c r="I1208" s="136" t="s">
        <v>6576</v>
      </c>
      <c r="J1208" s="83" t="s">
        <v>150</v>
      </c>
      <c r="K1208" s="83" t="s">
        <v>151</v>
      </c>
      <c r="L1208" s="83" t="s">
        <v>152</v>
      </c>
      <c r="M1208" s="82" t="str">
        <f>IFERROR(__xludf.DUMMYFUNCTION("IFERROR(VLOOKUP(D1208,
IMPORTRANGE(""https://docs.google.com/spreadsheets/d/1MjHtlUikwobi2MaWJgy7tfLeBmhj1u-dRFRs_8GwSoA/edit#gid=0"",""Gestores Escolares!D7:J""),3,0),""VERIFICAR CÓD SEC"")"),"ANDREA PASSOS MASCARENHAS DOS SANTOS")</f>
        <v>ANDREA PASSOS MASCARENHAS DOS SANTOS</v>
      </c>
      <c r="N1208" s="82" t="str">
        <f>IFERROR(__xludf.DUMMYFUNCTION("IFERROR(VLOOKUP(D1208,
IMPORTRANGE(""https://docs.google.com/spreadsheets/d/1MjHtlUikwobi2MaWJgy7tfLeBmhj1u-dRFRs_8GwSoA/edit#gid=0"",""Gestores Escolares!D7:J""),4,0),""VERIFICAR CÓD SEC"")"),"(75) 9 8219-8777")</f>
        <v>(75) 9 8219-8777</v>
      </c>
      <c r="O1208" s="82" t="str">
        <f>IFERROR(__xludf.DUMMYFUNCTION("IFERROR(VLOOKUP(D1208,
IMPORTRANGE(""https://docs.google.com/spreadsheets/d/1MjHtlUikwobi2MaWJgy7tfLeBmhj1u-dRFRs_8GwSoA/edit#gid=0"",""Gestores Escolares!D7:J""),6,0),""VERIFICAR CÓD SEC"")"),"EDMILSON FERREIRA PEREIRA JUNIOR")</f>
        <v>EDMILSON FERREIRA PEREIRA JUNIOR</v>
      </c>
      <c r="P1208" s="82" t="str">
        <f>IFERROR(__xludf.DUMMYFUNCTION("IFERROR(VLOOKUP(D1208,
IMPORTRANGE(""https://docs.google.com/spreadsheets/d/1MjHtlUikwobi2MaWJgy7tfLeBmhj1u-dRFRs_8GwSoA/edit#gid=0"",""Gestores Escolares!D7:J""),7,0),""VERIFICAR CÓD SEC"")"),"(75) 9 8326-7293")</f>
        <v>(75) 9 8326-7293</v>
      </c>
      <c r="Q1208" s="82" t="str">
        <f>IFERROR(__xludf.DUMMYFUNCTION("IFERROR(VLOOKUP(D1208,
IMPORTRANGE(""https://docs.google.com/spreadsheets/d/1MjHtlUikwobi2MaWJgy7tfLeBmhj1u-dRFRs_8GwSoA/edit#gid=0"",""Gestores Escolares!D7:m""),9,0),""VERIFICAR CÓD SEC"")"),"RICARDO SOUZA VASCONCELOS")</f>
        <v>RICARDO SOUZA VASCONCELOS</v>
      </c>
      <c r="R1208" s="82" t="str">
        <f>IFERROR(__xludf.DUMMYFUNCTION("IFERROR(VLOOKUP(D1208,
IMPORTRANGE(""https://docs.google.com/spreadsheets/d/1MjHtlUikwobi2MaWJgy7tfLeBmhj1u-dRFRs_8GwSoA/edit#gid=0"",""Gestores Escolares!D7:m""),10,0),""VERIFICAR CÓD SEC"")"),"(71) 9 8206-7392")</f>
        <v>(71) 9 8206-7392</v>
      </c>
      <c r="S1208" s="82"/>
      <c r="T1208" s="138">
        <v>10.0</v>
      </c>
      <c r="U1208" s="470" t="s">
        <v>13846</v>
      </c>
      <c r="V1208" s="106">
        <v>0.0</v>
      </c>
      <c r="W1208" s="107">
        <v>0.0</v>
      </c>
      <c r="X1208" s="107">
        <v>0.0</v>
      </c>
      <c r="Y1208" s="107">
        <v>0.0</v>
      </c>
      <c r="Z1208" s="80">
        <f t="shared" si="1"/>
        <v>0</v>
      </c>
      <c r="AA1208" s="106">
        <v>0.0</v>
      </c>
      <c r="AB1208" s="107">
        <v>0.0</v>
      </c>
      <c r="AC1208" s="107">
        <v>0.0</v>
      </c>
      <c r="AD1208" s="107">
        <v>0.0</v>
      </c>
      <c r="AE1208" s="80">
        <f t="shared" si="2"/>
        <v>0</v>
      </c>
      <c r="AF1208" s="140">
        <v>78.0</v>
      </c>
      <c r="AG1208" s="109">
        <v>56.0</v>
      </c>
      <c r="AH1208" s="109">
        <v>0.0</v>
      </c>
      <c r="AI1208" s="141">
        <v>173.0</v>
      </c>
      <c r="AJ1208" s="80">
        <f t="shared" si="3"/>
        <v>307</v>
      </c>
      <c r="AK1208" s="140">
        <v>0.0</v>
      </c>
      <c r="AL1208" s="109">
        <v>0.0</v>
      </c>
      <c r="AM1208" s="141">
        <v>0.0</v>
      </c>
      <c r="AN1208" s="80">
        <f t="shared" si="4"/>
        <v>0</v>
      </c>
      <c r="AO1208" s="140">
        <v>0.0</v>
      </c>
      <c r="AP1208" s="109">
        <v>0.0</v>
      </c>
      <c r="AQ1208" s="109">
        <v>245.0</v>
      </c>
      <c r="AR1208" s="80">
        <f t="shared" si="5"/>
        <v>245</v>
      </c>
      <c r="AS1208" s="110">
        <v>0.0</v>
      </c>
      <c r="AT1208" s="110">
        <v>0.0</v>
      </c>
      <c r="AU1208" s="110">
        <v>0.0</v>
      </c>
      <c r="AV1208" s="142">
        <v>0.0</v>
      </c>
      <c r="AW1208" s="80">
        <f t="shared" si="6"/>
        <v>0</v>
      </c>
      <c r="AX1208" s="113">
        <f t="shared" si="7"/>
        <v>552</v>
      </c>
      <c r="AY1208" s="117">
        <f t="shared" si="8"/>
        <v>307</v>
      </c>
      <c r="AZ1208" s="120">
        <f t="shared" si="9"/>
        <v>245</v>
      </c>
      <c r="BA1208" s="115">
        <v>0.0</v>
      </c>
      <c r="BB1208" s="89">
        <f t="shared" si="10"/>
        <v>552</v>
      </c>
      <c r="BC1208" s="132" t="s">
        <v>178</v>
      </c>
      <c r="BD1208" s="132" t="s">
        <v>178</v>
      </c>
      <c r="BE1208" s="132" t="s">
        <v>178</v>
      </c>
      <c r="BF1208" s="156"/>
      <c r="BG1208" s="83">
        <v>1133502.0</v>
      </c>
      <c r="BH1208" s="112"/>
      <c r="BI1208" s="112">
        <v>9.0</v>
      </c>
      <c r="BJ1208" s="98" t="s">
        <v>155</v>
      </c>
      <c r="BK1208" s="99">
        <f t="shared" si="11"/>
        <v>173</v>
      </c>
      <c r="BL1208" s="99">
        <f t="shared" si="12"/>
        <v>134</v>
      </c>
      <c r="BM1208" s="99" t="str">
        <f>IFERROR(__xludf.DUMMYFUNCTION("IFERROR(VLOOKUP(BG1208,IMPORTRANGE(""https://docs.google.com/spreadsheets/d/1juPI-Fb8LD0YtltB2mlGEnp_R3UVu1t3wSFPzgCyHXE/edit?gid=0#gid=0"",""GERAL!A2:C""),3,0),""-"")"),"-")</f>
        <v>-</v>
      </c>
    </row>
    <row r="1209" ht="15.75" customHeight="1">
      <c r="A1209" s="111" t="s">
        <v>1463</v>
      </c>
      <c r="B1209" s="83" t="s">
        <v>6573</v>
      </c>
      <c r="C1209" s="83" t="s">
        <v>68</v>
      </c>
      <c r="D1209" s="112">
        <v>1133405.0</v>
      </c>
      <c r="E1209" s="83"/>
      <c r="F1209" s="83">
        <v>2.9165407E7</v>
      </c>
      <c r="G1209" s="114" t="s">
        <v>6588</v>
      </c>
      <c r="H1209" s="91" t="s">
        <v>6589</v>
      </c>
      <c r="I1209" s="136" t="s">
        <v>5636</v>
      </c>
      <c r="J1209" s="83" t="s">
        <v>150</v>
      </c>
      <c r="K1209" s="83" t="s">
        <v>151</v>
      </c>
      <c r="L1209" s="83" t="s">
        <v>76</v>
      </c>
      <c r="M1209" s="82" t="str">
        <f>IFERROR(__xludf.DUMMYFUNCTION("IFERROR(VLOOKUP(D1209,
IMPORTRANGE(""https://docs.google.com/spreadsheets/d/1MjHtlUikwobi2MaWJgy7tfLeBmhj1u-dRFRs_8GwSoA/edit#gid=0"",""Gestores Escolares!D7:J""),3,0),""VERIFICAR CÓD SEC"")"),"JAASIEL JOAQUIM DOS SANTOS")</f>
        <v>JAASIEL JOAQUIM DOS SANTOS</v>
      </c>
      <c r="N1209" s="82" t="str">
        <f>IFERROR(__xludf.DUMMYFUNCTION("IFERROR(VLOOKUP(D1209,
IMPORTRANGE(""https://docs.google.com/spreadsheets/d/1MjHtlUikwobi2MaWJgy7tfLeBmhj1u-dRFRs_8GwSoA/edit#gid=0"",""Gestores Escolares!D7:J""),4,0),""VERIFICAR CÓD SEC"")"),"(74) 9 9107-0714")</f>
        <v>(74) 9 9107-0714</v>
      </c>
      <c r="O1209" s="82" t="str">
        <f>IFERROR(__xludf.DUMMYFUNCTION("IFERROR(VLOOKUP(D1209,
IMPORTRANGE(""https://docs.google.com/spreadsheets/d/1MjHtlUikwobi2MaWJgy7tfLeBmhj1u-dRFRs_8GwSoA/edit#gid=0"",""Gestores Escolares!D7:J""),6,0),""VERIFICAR CÓD SEC"")"),"NEIDE MOURA DOS SANTOS")</f>
        <v>NEIDE MOURA DOS SANTOS</v>
      </c>
      <c r="P1209" s="82" t="str">
        <f>IFERROR(__xludf.DUMMYFUNCTION("IFERROR(VLOOKUP(D1209,
IMPORTRANGE(""https://docs.google.com/spreadsheets/d/1MjHtlUikwobi2MaWJgy7tfLeBmhj1u-dRFRs_8GwSoA/edit#gid=0"",""Gestores Escolares!D7:J""),7,0),""VERIFICAR CÓD SEC"")"),"(75) 9 8224-4008")</f>
        <v>(75) 9 8224-4008</v>
      </c>
      <c r="Q1209" s="82" t="str">
        <f>IFERROR(__xludf.DUMMYFUNCTION("IFERROR(VLOOKUP(D1209,
IMPORTRANGE(""https://docs.google.com/spreadsheets/d/1MjHtlUikwobi2MaWJgy7tfLeBmhj1u-dRFRs_8GwSoA/edit#gid=0"",""Gestores Escolares!D7:m""),9,0),""VERIFICAR CÓD SEC"")"),"")</f>
        <v/>
      </c>
      <c r="R1209" s="82" t="str">
        <f>IFERROR(__xludf.DUMMYFUNCTION("IFERROR(VLOOKUP(D1209,
IMPORTRANGE(""https://docs.google.com/spreadsheets/d/1MjHtlUikwobi2MaWJgy7tfLeBmhj1u-dRFRs_8GwSoA/edit#gid=0"",""Gestores Escolares!D7:m""),10,0),""VERIFICAR CÓD SEC"")"),"")</f>
        <v/>
      </c>
      <c r="S1209" s="82"/>
      <c r="T1209" s="138">
        <v>7.0</v>
      </c>
      <c r="U1209" s="470" t="s">
        <v>13847</v>
      </c>
      <c r="V1209" s="106">
        <v>0.0</v>
      </c>
      <c r="W1209" s="107">
        <v>0.0</v>
      </c>
      <c r="X1209" s="107">
        <v>0.0</v>
      </c>
      <c r="Y1209" s="107">
        <v>0.0</v>
      </c>
      <c r="Z1209" s="80">
        <f t="shared" si="1"/>
        <v>0</v>
      </c>
      <c r="AA1209" s="106">
        <v>0.0</v>
      </c>
      <c r="AB1209" s="107">
        <v>0.0</v>
      </c>
      <c r="AC1209" s="107">
        <v>0.0</v>
      </c>
      <c r="AD1209" s="107">
        <v>0.0</v>
      </c>
      <c r="AE1209" s="80">
        <f t="shared" si="2"/>
        <v>0</v>
      </c>
      <c r="AF1209" s="140">
        <v>194.0</v>
      </c>
      <c r="AG1209" s="109">
        <v>114.0</v>
      </c>
      <c r="AH1209" s="109">
        <v>0.0</v>
      </c>
      <c r="AI1209" s="141">
        <v>75.0</v>
      </c>
      <c r="AJ1209" s="80">
        <f t="shared" si="3"/>
        <v>383</v>
      </c>
      <c r="AK1209" s="140">
        <v>0.0</v>
      </c>
      <c r="AL1209" s="109">
        <v>0.0</v>
      </c>
      <c r="AM1209" s="141">
        <v>0.0</v>
      </c>
      <c r="AN1209" s="80">
        <f t="shared" si="4"/>
        <v>0</v>
      </c>
      <c r="AO1209" s="140">
        <v>0.0</v>
      </c>
      <c r="AP1209" s="109">
        <v>0.0</v>
      </c>
      <c r="AQ1209" s="109">
        <v>152.0</v>
      </c>
      <c r="AR1209" s="80">
        <f t="shared" si="5"/>
        <v>152</v>
      </c>
      <c r="AS1209" s="110">
        <v>0.0</v>
      </c>
      <c r="AT1209" s="110">
        <v>0.0</v>
      </c>
      <c r="AU1209" s="110">
        <v>0.0</v>
      </c>
      <c r="AV1209" s="142">
        <v>0.0</v>
      </c>
      <c r="AW1209" s="80">
        <f t="shared" si="6"/>
        <v>0</v>
      </c>
      <c r="AX1209" s="113">
        <f t="shared" si="7"/>
        <v>535</v>
      </c>
      <c r="AY1209" s="117">
        <f t="shared" si="8"/>
        <v>383</v>
      </c>
      <c r="AZ1209" s="120">
        <f t="shared" si="9"/>
        <v>152</v>
      </c>
      <c r="BA1209" s="115">
        <v>0.0</v>
      </c>
      <c r="BB1209" s="89">
        <f t="shared" si="10"/>
        <v>535</v>
      </c>
      <c r="BC1209" s="132" t="s">
        <v>178</v>
      </c>
      <c r="BD1209" s="132" t="s">
        <v>178</v>
      </c>
      <c r="BE1209" s="132" t="s">
        <v>178</v>
      </c>
      <c r="BF1209" s="156"/>
      <c r="BG1209" s="83">
        <v>1133405.0</v>
      </c>
      <c r="BH1209" s="112"/>
      <c r="BI1209" s="112">
        <v>7.0</v>
      </c>
      <c r="BJ1209" s="98" t="s">
        <v>155</v>
      </c>
      <c r="BK1209" s="99">
        <f t="shared" si="11"/>
        <v>75</v>
      </c>
      <c r="BL1209" s="99">
        <f t="shared" si="12"/>
        <v>308</v>
      </c>
      <c r="BM1209" s="99" t="str">
        <f>IFERROR(__xludf.DUMMYFUNCTION("IFERROR(VLOOKUP(BG1209,IMPORTRANGE(""https://docs.google.com/spreadsheets/d/1juPI-Fb8LD0YtltB2mlGEnp_R3UVu1t3wSFPzgCyHXE/edit?gid=0#gid=0"",""GERAL!A2:C""),3,0),""-"")"),"-")</f>
        <v>-</v>
      </c>
    </row>
    <row r="1210" ht="15.75" customHeight="1">
      <c r="A1210" s="111" t="s">
        <v>1463</v>
      </c>
      <c r="B1210" s="83" t="s">
        <v>6573</v>
      </c>
      <c r="C1210" s="83" t="s">
        <v>68</v>
      </c>
      <c r="D1210" s="112">
        <v>1176464.0</v>
      </c>
      <c r="E1210" s="83"/>
      <c r="F1210" s="83">
        <v>2.9391466E7</v>
      </c>
      <c r="G1210" s="119" t="s">
        <v>13848</v>
      </c>
      <c r="H1210" s="91" t="s">
        <v>6575</v>
      </c>
      <c r="I1210" s="136" t="s">
        <v>6576</v>
      </c>
      <c r="J1210" s="83" t="s">
        <v>150</v>
      </c>
      <c r="K1210" s="83" t="s">
        <v>151</v>
      </c>
      <c r="L1210" s="83" t="s">
        <v>152</v>
      </c>
      <c r="M1210" s="82" t="str">
        <f>IFERROR(__xludf.DUMMYFUNCTION("IFERROR(VLOOKUP(D1210,
IMPORTRANGE(""https://docs.google.com/spreadsheets/d/1MjHtlUikwobi2MaWJgy7tfLeBmhj1u-dRFRs_8GwSoA/edit#gid=0"",""Gestores Escolares!D7:J""),3,0),""VERIFICAR CÓD SEC"")"),"ZENAIDE DA SILVA OLIVEIRA")</f>
        <v>ZENAIDE DA SILVA OLIVEIRA</v>
      </c>
      <c r="N1210" s="82" t="str">
        <f>IFERROR(__xludf.DUMMYFUNCTION("IFERROR(VLOOKUP(D1210,
IMPORTRANGE(""https://docs.google.com/spreadsheets/d/1MjHtlUikwobi2MaWJgy7tfLeBmhj1u-dRFRs_8GwSoA/edit#gid=0"",""Gestores Escolares!D7:J""),4,0),""VERIFICAR CÓD SEC"")"),"(75) 9 9263-6770")</f>
        <v>(75) 9 9263-6770</v>
      </c>
      <c r="O1210" s="82" t="str">
        <f>IFERROR(__xludf.DUMMYFUNCTION("IFERROR(VLOOKUP(D1210,
IMPORTRANGE(""https://docs.google.com/spreadsheets/d/1MjHtlUikwobi2MaWJgy7tfLeBmhj1u-dRFRs_8GwSoA/edit#gid=0"",""Gestores Escolares!D7:J""),6,0),""VERIFICAR CÓD SEC"")"),"JUCELIA FIUZA DA CONCEIÇÃO DE JESUS")</f>
        <v>JUCELIA FIUZA DA CONCEIÇÃO DE JESUS</v>
      </c>
      <c r="P1210" s="82" t="str">
        <f>IFERROR(__xludf.DUMMYFUNCTION("IFERROR(VLOOKUP(D1210,
IMPORTRANGE(""https://docs.google.com/spreadsheets/d/1MjHtlUikwobi2MaWJgy7tfLeBmhj1u-dRFRs_8GwSoA/edit#gid=0"",""Gestores Escolares!D7:J""),7,0),""VERIFICAR CÓD SEC"")"),"(75) 9 9241-5750")</f>
        <v>(75) 9 9241-5750</v>
      </c>
      <c r="Q1210" s="82" t="str">
        <f>IFERROR(__xludf.DUMMYFUNCTION("IFERROR(VLOOKUP(D1210,
IMPORTRANGE(""https://docs.google.com/spreadsheets/d/1MjHtlUikwobi2MaWJgy7tfLeBmhj1u-dRFRs_8GwSoA/edit#gid=0"",""Gestores Escolares!D7:m""),9,0),""VERIFICAR CÓD SEC"")"),"")</f>
        <v/>
      </c>
      <c r="R1210" s="82" t="str">
        <f>IFERROR(__xludf.DUMMYFUNCTION("IFERROR(VLOOKUP(D1210,
IMPORTRANGE(""https://docs.google.com/spreadsheets/d/1MjHtlUikwobi2MaWJgy7tfLeBmhj1u-dRFRs_8GwSoA/edit#gid=0"",""Gestores Escolares!D7:m""),10,0),""VERIFICAR CÓD SEC"")"),"")</f>
        <v/>
      </c>
      <c r="S1210" s="82"/>
      <c r="T1210" s="138">
        <v>10.0</v>
      </c>
      <c r="U1210" s="416">
        <v>10.0</v>
      </c>
      <c r="V1210" s="106">
        <v>0.0</v>
      </c>
      <c r="W1210" s="107">
        <v>0.0</v>
      </c>
      <c r="X1210" s="107">
        <v>0.0</v>
      </c>
      <c r="Y1210" s="107">
        <v>0.0</v>
      </c>
      <c r="Z1210" s="80">
        <f t="shared" si="1"/>
        <v>0</v>
      </c>
      <c r="AA1210" s="106">
        <v>0.0</v>
      </c>
      <c r="AB1210" s="107">
        <v>0.0</v>
      </c>
      <c r="AC1210" s="107">
        <v>0.0</v>
      </c>
      <c r="AD1210" s="107">
        <v>0.0</v>
      </c>
      <c r="AE1210" s="80">
        <f t="shared" si="2"/>
        <v>0</v>
      </c>
      <c r="AF1210" s="140">
        <v>243.0</v>
      </c>
      <c r="AG1210" s="109">
        <v>219.0</v>
      </c>
      <c r="AH1210" s="109">
        <v>0.0</v>
      </c>
      <c r="AI1210" s="141">
        <v>134.0</v>
      </c>
      <c r="AJ1210" s="80">
        <f t="shared" si="3"/>
        <v>596</v>
      </c>
      <c r="AK1210" s="140">
        <v>0.0</v>
      </c>
      <c r="AL1210" s="109">
        <v>0.0</v>
      </c>
      <c r="AM1210" s="141">
        <v>0.0</v>
      </c>
      <c r="AN1210" s="80">
        <f t="shared" si="4"/>
        <v>0</v>
      </c>
      <c r="AO1210" s="140">
        <v>0.0</v>
      </c>
      <c r="AP1210" s="109">
        <v>0.0</v>
      </c>
      <c r="AQ1210" s="109">
        <v>0.0</v>
      </c>
      <c r="AR1210" s="80">
        <f t="shared" si="5"/>
        <v>0</v>
      </c>
      <c r="AS1210" s="110">
        <v>0.0</v>
      </c>
      <c r="AT1210" s="110">
        <v>0.0</v>
      </c>
      <c r="AU1210" s="110">
        <v>0.0</v>
      </c>
      <c r="AV1210" s="142">
        <v>0.0</v>
      </c>
      <c r="AW1210" s="80">
        <f t="shared" si="6"/>
        <v>0</v>
      </c>
      <c r="AX1210" s="113">
        <f t="shared" si="7"/>
        <v>596</v>
      </c>
      <c r="AY1210" s="117">
        <f t="shared" si="8"/>
        <v>596</v>
      </c>
      <c r="AZ1210" s="120">
        <f t="shared" si="9"/>
        <v>0</v>
      </c>
      <c r="BA1210" s="115">
        <v>0.0</v>
      </c>
      <c r="BB1210" s="89">
        <f t="shared" si="10"/>
        <v>596</v>
      </c>
      <c r="BC1210" s="132" t="s">
        <v>178</v>
      </c>
      <c r="BD1210" s="132" t="s">
        <v>178</v>
      </c>
      <c r="BE1210" s="132" t="s">
        <v>178</v>
      </c>
      <c r="BF1210" s="156"/>
      <c r="BG1210" s="83">
        <v>1176464.0</v>
      </c>
      <c r="BH1210" s="112"/>
      <c r="BI1210" s="112">
        <v>10.0</v>
      </c>
      <c r="BJ1210" s="98" t="s">
        <v>155</v>
      </c>
      <c r="BK1210" s="99">
        <f t="shared" si="11"/>
        <v>134</v>
      </c>
      <c r="BL1210" s="99">
        <f t="shared" si="12"/>
        <v>462</v>
      </c>
      <c r="BM1210" s="99" t="str">
        <f>IFERROR(__xludf.DUMMYFUNCTION("IFERROR(VLOOKUP(BG1210,IMPORTRANGE(""https://docs.google.com/spreadsheets/d/1juPI-Fb8LD0YtltB2mlGEnp_R3UVu1t3wSFPzgCyHXE/edit?gid=0#gid=0"",""GERAL!A2:C""),3,0),""-"")"),"-")</f>
        <v>-</v>
      </c>
    </row>
    <row r="1211" ht="15.75" customHeight="1">
      <c r="A1211" s="111" t="s">
        <v>1463</v>
      </c>
      <c r="B1211" s="83" t="s">
        <v>6573</v>
      </c>
      <c r="C1211" s="83" t="s">
        <v>68</v>
      </c>
      <c r="D1211" s="112">
        <v>1133618.0</v>
      </c>
      <c r="E1211" s="83"/>
      <c r="F1211" s="83">
        <v>2.9165253E7</v>
      </c>
      <c r="G1211" s="114" t="s">
        <v>6598</v>
      </c>
      <c r="H1211" s="91" t="s">
        <v>6599</v>
      </c>
      <c r="I1211" s="136" t="s">
        <v>149</v>
      </c>
      <c r="J1211" s="83" t="s">
        <v>150</v>
      </c>
      <c r="K1211" s="83" t="s">
        <v>151</v>
      </c>
      <c r="L1211" s="83" t="s">
        <v>230</v>
      </c>
      <c r="M1211" s="82" t="str">
        <f>IFERROR(__xludf.DUMMYFUNCTION("IFERROR(VLOOKUP(D1211,
IMPORTRANGE(""https://docs.google.com/spreadsheets/d/1MjHtlUikwobi2MaWJgy7tfLeBmhj1u-dRFRs_8GwSoA/edit#gid=0"",""Gestores Escolares!D7:J""),3,0),""VERIFICAR CÓD SEC"")"),"ALDEVANE DE ALMEIDA ARAUJO")</f>
        <v>ALDEVANE DE ALMEIDA ARAUJO</v>
      </c>
      <c r="N1211" s="82" t="str">
        <f>IFERROR(__xludf.DUMMYFUNCTION("IFERROR(VLOOKUP(D1211,
IMPORTRANGE(""https://docs.google.com/spreadsheets/d/1MjHtlUikwobi2MaWJgy7tfLeBmhj1u-dRFRs_8GwSoA/edit#gid=0"",""Gestores Escolares!D7:J""),4,0),""VERIFICAR CÓD SEC"")"),"(75) 9 8215-3593
")</f>
        <v>(75) 9 8215-3593
</v>
      </c>
      <c r="O1211" s="82" t="str">
        <f>IFERROR(__xludf.DUMMYFUNCTION("IFERROR(VLOOKUP(D1211,
IMPORTRANGE(""https://docs.google.com/spreadsheets/d/1MjHtlUikwobi2MaWJgy7tfLeBmhj1u-dRFRs_8GwSoA/edit#gid=0"",""Gestores Escolares!D7:J""),6,0),""VERIFICAR CÓD SEC"")"),"RUBENILZA NASCIMENTO DIAS")</f>
        <v>RUBENILZA NASCIMENTO DIAS</v>
      </c>
      <c r="P1211" s="82" t="str">
        <f>IFERROR(__xludf.DUMMYFUNCTION("IFERROR(VLOOKUP(D1211,
IMPORTRANGE(""https://docs.google.com/spreadsheets/d/1MjHtlUikwobi2MaWJgy7tfLeBmhj1u-dRFRs_8GwSoA/edit#gid=0"",""Gestores Escolares!D7:J""),7,0),""VERIFICAR CÓD SEC"")"),"(75) 9 8855-1388")</f>
        <v>(75) 9 8855-1388</v>
      </c>
      <c r="Q1211" s="82" t="str">
        <f>IFERROR(__xludf.DUMMYFUNCTION("IFERROR(VLOOKUP(D1211,
IMPORTRANGE(""https://docs.google.com/spreadsheets/d/1MjHtlUikwobi2MaWJgy7tfLeBmhj1u-dRFRs_8GwSoA/edit#gid=0"",""Gestores Escolares!D7:m""),9,0),""VERIFICAR CÓD SEC"")"),"SELMA GARCES ARAGAO")</f>
        <v>SELMA GARCES ARAGAO</v>
      </c>
      <c r="R1211" s="82" t="str">
        <f>IFERROR(__xludf.DUMMYFUNCTION("IFERROR(VLOOKUP(D1211,
IMPORTRANGE(""https://docs.google.com/spreadsheets/d/1MjHtlUikwobi2MaWJgy7tfLeBmhj1u-dRFRs_8GwSoA/edit#gid=0"",""Gestores Escolares!D7:m""),10,0),""VERIFICAR CÓD SEC"")"),"(71) 9 8522-5687")</f>
        <v>(71) 9 8522-5687</v>
      </c>
      <c r="S1211" s="82"/>
      <c r="T1211" s="138">
        <v>32.0</v>
      </c>
      <c r="U1211" s="145">
        <v>31.0</v>
      </c>
      <c r="V1211" s="106">
        <v>0.0</v>
      </c>
      <c r="W1211" s="107">
        <v>0.0</v>
      </c>
      <c r="X1211" s="107">
        <v>0.0</v>
      </c>
      <c r="Y1211" s="107">
        <v>0.0</v>
      </c>
      <c r="Z1211" s="80">
        <f t="shared" si="1"/>
        <v>0</v>
      </c>
      <c r="AA1211" s="106">
        <v>0.0</v>
      </c>
      <c r="AB1211" s="107">
        <v>0.0</v>
      </c>
      <c r="AC1211" s="107">
        <v>0.0</v>
      </c>
      <c r="AD1211" s="107">
        <v>0.0</v>
      </c>
      <c r="AE1211" s="80">
        <f t="shared" si="2"/>
        <v>0</v>
      </c>
      <c r="AF1211" s="140">
        <v>0.0</v>
      </c>
      <c r="AG1211" s="109">
        <v>0.0</v>
      </c>
      <c r="AH1211" s="109">
        <v>0.0</v>
      </c>
      <c r="AI1211" s="141">
        <v>0.0</v>
      </c>
      <c r="AJ1211" s="80">
        <f t="shared" si="3"/>
        <v>0</v>
      </c>
      <c r="AK1211" s="140">
        <v>0.0</v>
      </c>
      <c r="AL1211" s="109">
        <v>0.0</v>
      </c>
      <c r="AM1211" s="141">
        <v>0.0</v>
      </c>
      <c r="AN1211" s="80">
        <f t="shared" si="4"/>
        <v>0</v>
      </c>
      <c r="AO1211" s="140">
        <v>0.0</v>
      </c>
      <c r="AP1211" s="109">
        <v>0.0</v>
      </c>
      <c r="AQ1211" s="109">
        <v>0.0</v>
      </c>
      <c r="AR1211" s="80">
        <f t="shared" si="5"/>
        <v>0</v>
      </c>
      <c r="AS1211" s="110">
        <v>546.0</v>
      </c>
      <c r="AT1211" s="110">
        <v>286.0</v>
      </c>
      <c r="AU1211" s="110">
        <v>788.0</v>
      </c>
      <c r="AV1211" s="142">
        <v>32.0</v>
      </c>
      <c r="AW1211" s="80">
        <f t="shared" si="6"/>
        <v>1652</v>
      </c>
      <c r="AX1211" s="113">
        <f t="shared" si="7"/>
        <v>1652</v>
      </c>
      <c r="AY1211" s="117">
        <f t="shared" si="8"/>
        <v>864</v>
      </c>
      <c r="AZ1211" s="120">
        <f t="shared" si="9"/>
        <v>788</v>
      </c>
      <c r="BA1211" s="115">
        <v>26.0</v>
      </c>
      <c r="BB1211" s="89">
        <f t="shared" si="10"/>
        <v>1678</v>
      </c>
      <c r="BC1211" s="132" t="s">
        <v>178</v>
      </c>
      <c r="BD1211" s="132" t="s">
        <v>522</v>
      </c>
      <c r="BE1211" s="132" t="s">
        <v>178</v>
      </c>
      <c r="BF1211" s="156"/>
      <c r="BG1211" s="83">
        <v>1133618.0</v>
      </c>
      <c r="BH1211" s="112"/>
      <c r="BI1211" s="112">
        <v>32.0</v>
      </c>
      <c r="BJ1211" s="98" t="s">
        <v>284</v>
      </c>
      <c r="BK1211" s="99">
        <f t="shared" si="11"/>
        <v>32</v>
      </c>
      <c r="BL1211" s="99">
        <f t="shared" si="12"/>
        <v>832</v>
      </c>
      <c r="BM1211" s="99" t="str">
        <f>IFERROR(__xludf.DUMMYFUNCTION("IFERROR(VLOOKUP(BG1211,IMPORTRANGE(""https://docs.google.com/spreadsheets/d/1juPI-Fb8LD0YtltB2mlGEnp_R3UVu1t3wSFPzgCyHXE/edit?gid=0#gid=0"",""GERAL!A2:C""),3,0),""-"")"),"-")</f>
        <v>-</v>
      </c>
    </row>
    <row r="1212" ht="15.75" customHeight="1">
      <c r="A1212" s="111" t="s">
        <v>1463</v>
      </c>
      <c r="B1212" s="83" t="s">
        <v>6611</v>
      </c>
      <c r="C1212" s="83" t="s">
        <v>68</v>
      </c>
      <c r="D1212" s="112">
        <v>1109164.0</v>
      </c>
      <c r="E1212" s="83"/>
      <c r="F1212" s="83">
        <v>2.9166063E7</v>
      </c>
      <c r="G1212" s="119" t="s">
        <v>6616</v>
      </c>
      <c r="H1212" s="91" t="s">
        <v>6617</v>
      </c>
      <c r="I1212" s="136" t="s">
        <v>149</v>
      </c>
      <c r="J1212" s="83" t="s">
        <v>150</v>
      </c>
      <c r="K1212" s="83" t="s">
        <v>151</v>
      </c>
      <c r="L1212" s="83" t="s">
        <v>169</v>
      </c>
      <c r="M1212" s="82" t="str">
        <f>IFERROR(__xludf.DUMMYFUNCTION("IFERROR(VLOOKUP(D1212,
IMPORTRANGE(""https://docs.google.com/spreadsheets/d/1MjHtlUikwobi2MaWJgy7tfLeBmhj1u-dRFRs_8GwSoA/edit#gid=0"",""Gestores Escolares!D7:J""),3,0),""VERIFICAR CÓD SEC"")"),"RONELIS PEREIRA MACEDO")</f>
        <v>RONELIS PEREIRA MACEDO</v>
      </c>
      <c r="N1212" s="82" t="str">
        <f>IFERROR(__xludf.DUMMYFUNCTION("IFERROR(VLOOKUP(D1212,
IMPORTRANGE(""https://docs.google.com/spreadsheets/d/1MjHtlUikwobi2MaWJgy7tfLeBmhj1u-dRFRs_8GwSoA/edit#gid=0"",""Gestores Escolares!D7:J""),4,0),""VERIFICAR CÓD SEC"")"),"(75) 9 8351-5054")</f>
        <v>(75) 9 8351-5054</v>
      </c>
      <c r="O1212" s="82" t="str">
        <f>IFERROR(__xludf.DUMMYFUNCTION("IFERROR(VLOOKUP(D1212,
IMPORTRANGE(""https://docs.google.com/spreadsheets/d/1MjHtlUikwobi2MaWJgy7tfLeBmhj1u-dRFRs_8GwSoA/edit#gid=0"",""Gestores Escolares!D7:J""),6,0),""VERIFICAR CÓD SEC"")"),"")</f>
        <v/>
      </c>
      <c r="P1212" s="82" t="str">
        <f>IFERROR(__xludf.DUMMYFUNCTION("IFERROR(VLOOKUP(D1212,
IMPORTRANGE(""https://docs.google.com/spreadsheets/d/1MjHtlUikwobi2MaWJgy7tfLeBmhj1u-dRFRs_8GwSoA/edit#gid=0"",""Gestores Escolares!D7:J""),7,0),""VERIFICAR CÓD SEC"")"),"")</f>
        <v/>
      </c>
      <c r="Q1212" s="82" t="str">
        <f>IFERROR(__xludf.DUMMYFUNCTION("IFERROR(VLOOKUP(D1212,
IMPORTRANGE(""https://docs.google.com/spreadsheets/d/1MjHtlUikwobi2MaWJgy7tfLeBmhj1u-dRFRs_8GwSoA/edit#gid=0"",""Gestores Escolares!D7:m""),9,0),""VERIFICAR CÓD SEC"")"),"")</f>
        <v/>
      </c>
      <c r="R1212" s="82" t="str">
        <f>IFERROR(__xludf.DUMMYFUNCTION("IFERROR(VLOOKUP(D1212,
IMPORTRANGE(""https://docs.google.com/spreadsheets/d/1MjHtlUikwobi2MaWJgy7tfLeBmhj1u-dRFRs_8GwSoA/edit#gid=0"",""Gestores Escolares!D7:m""),10,0),""VERIFICAR CÓD SEC"")"),"")</f>
        <v/>
      </c>
      <c r="S1212" s="82"/>
      <c r="T1212" s="138">
        <v>7.0</v>
      </c>
      <c r="U1212" s="388" t="s">
        <v>13849</v>
      </c>
      <c r="V1212" s="106">
        <v>0.0</v>
      </c>
      <c r="W1212" s="107">
        <v>0.0</v>
      </c>
      <c r="X1212" s="107">
        <v>0.0</v>
      </c>
      <c r="Y1212" s="107">
        <v>0.0</v>
      </c>
      <c r="Z1212" s="80">
        <f t="shared" si="1"/>
        <v>0</v>
      </c>
      <c r="AA1212" s="106">
        <v>0.0</v>
      </c>
      <c r="AB1212" s="107">
        <v>0.0</v>
      </c>
      <c r="AC1212" s="107">
        <v>0.0</v>
      </c>
      <c r="AD1212" s="107">
        <v>0.0</v>
      </c>
      <c r="AE1212" s="80">
        <f t="shared" si="2"/>
        <v>0</v>
      </c>
      <c r="AF1212" s="140">
        <v>0.0</v>
      </c>
      <c r="AG1212" s="109">
        <v>58.0</v>
      </c>
      <c r="AH1212" s="109">
        <v>0.0</v>
      </c>
      <c r="AI1212" s="141">
        <v>88.0</v>
      </c>
      <c r="AJ1212" s="80">
        <f t="shared" si="3"/>
        <v>146</v>
      </c>
      <c r="AK1212" s="140">
        <v>0.0</v>
      </c>
      <c r="AL1212" s="109">
        <v>0.0</v>
      </c>
      <c r="AM1212" s="141">
        <v>0.0</v>
      </c>
      <c r="AN1212" s="80">
        <f t="shared" si="4"/>
        <v>0</v>
      </c>
      <c r="AO1212" s="140">
        <v>0.0</v>
      </c>
      <c r="AP1212" s="109">
        <v>0.0</v>
      </c>
      <c r="AQ1212" s="109">
        <v>27.0</v>
      </c>
      <c r="AR1212" s="80">
        <f t="shared" si="5"/>
        <v>27</v>
      </c>
      <c r="AS1212" s="110">
        <v>0.0</v>
      </c>
      <c r="AT1212" s="110">
        <v>0.0</v>
      </c>
      <c r="AU1212" s="110">
        <v>17.0</v>
      </c>
      <c r="AV1212" s="142">
        <v>0.0</v>
      </c>
      <c r="AW1212" s="80">
        <f t="shared" si="6"/>
        <v>17</v>
      </c>
      <c r="AX1212" s="113">
        <f t="shared" si="7"/>
        <v>190</v>
      </c>
      <c r="AY1212" s="117">
        <f t="shared" si="8"/>
        <v>146</v>
      </c>
      <c r="AZ1212" s="120">
        <f t="shared" si="9"/>
        <v>44</v>
      </c>
      <c r="BA1212" s="115">
        <v>1.0</v>
      </c>
      <c r="BB1212" s="89">
        <f t="shared" si="10"/>
        <v>191</v>
      </c>
      <c r="BC1212" s="132" t="s">
        <v>178</v>
      </c>
      <c r="BD1212" s="132" t="s">
        <v>178</v>
      </c>
      <c r="BE1212" s="132" t="s">
        <v>178</v>
      </c>
      <c r="BF1212" s="123"/>
      <c r="BG1212" s="83">
        <v>1109164.0</v>
      </c>
      <c r="BH1212" s="112"/>
      <c r="BI1212" s="112">
        <v>6.0</v>
      </c>
      <c r="BJ1212" s="98" t="s">
        <v>155</v>
      </c>
      <c r="BK1212" s="99">
        <f t="shared" si="11"/>
        <v>88</v>
      </c>
      <c r="BL1212" s="99">
        <f t="shared" si="12"/>
        <v>58</v>
      </c>
      <c r="BM1212" s="99" t="str">
        <f>IFERROR(__xludf.DUMMYFUNCTION("IFERROR(VLOOKUP(BG1212,IMPORTRANGE(""https://docs.google.com/spreadsheets/d/1juPI-Fb8LD0YtltB2mlGEnp_R3UVu1t3wSFPzgCyHXE/edit?gid=0#gid=0"",""GERAL!A2:C""),3,0),""-"")"),"-")</f>
        <v>-</v>
      </c>
    </row>
    <row r="1213" ht="15.75" customHeight="1">
      <c r="A1213" s="111" t="s">
        <v>1463</v>
      </c>
      <c r="B1213" s="83" t="s">
        <v>6619</v>
      </c>
      <c r="C1213" s="83" t="s">
        <v>68</v>
      </c>
      <c r="D1213" s="112">
        <v>1134029.0</v>
      </c>
      <c r="E1213" s="83"/>
      <c r="F1213" s="83">
        <v>2.9166314E7</v>
      </c>
      <c r="G1213" s="114" t="s">
        <v>6620</v>
      </c>
      <c r="H1213" s="91" t="s">
        <v>6621</v>
      </c>
      <c r="I1213" s="83" t="s">
        <v>149</v>
      </c>
      <c r="J1213" s="83" t="s">
        <v>150</v>
      </c>
      <c r="K1213" s="83" t="s">
        <v>151</v>
      </c>
      <c r="L1213" s="83" t="s">
        <v>152</v>
      </c>
      <c r="M1213" s="82" t="str">
        <f>IFERROR(__xludf.DUMMYFUNCTION("IFERROR(VLOOKUP(D1213,
IMPORTRANGE(""https://docs.google.com/spreadsheets/d/1MjHtlUikwobi2MaWJgy7tfLeBmhj1u-dRFRs_8GwSoA/edit#gid=0"",""Gestores Escolares!D7:J""),3,0),""VERIFICAR CÓD SEC"")"),"FABRICIO SOUSA SIMOES")</f>
        <v>FABRICIO SOUSA SIMOES</v>
      </c>
      <c r="N1213" s="82" t="str">
        <f>IFERROR(__xludf.DUMMYFUNCTION("IFERROR(VLOOKUP(D1213,
IMPORTRANGE(""https://docs.google.com/spreadsheets/d/1MjHtlUikwobi2MaWJgy7tfLeBmhj1u-dRFRs_8GwSoA/edit#gid=0"",""Gestores Escolares!D7:J""),4,0),""VERIFICAR CÓD SEC"")")," (75) 9 9200-3950")</f>
        <v> (75) 9 9200-3950</v>
      </c>
      <c r="O1213" s="82" t="str">
        <f>IFERROR(__xludf.DUMMYFUNCTION("IFERROR(VLOOKUP(D1213,
IMPORTRANGE(""https://docs.google.com/spreadsheets/d/1MjHtlUikwobi2MaWJgy7tfLeBmhj1u-dRFRs_8GwSoA/edit#gid=0"",""Gestores Escolares!D7:J""),6,0),""VERIFICAR CÓD SEC"")"),"ANIGER ROCHA DA SILVEIRA")</f>
        <v>ANIGER ROCHA DA SILVEIRA</v>
      </c>
      <c r="P1213" s="82" t="str">
        <f>IFERROR(__xludf.DUMMYFUNCTION("IFERROR(VLOOKUP(D1213,
IMPORTRANGE(""https://docs.google.com/spreadsheets/d/1MjHtlUikwobi2MaWJgy7tfLeBmhj1u-dRFRs_8GwSoA/edit#gid=0"",""Gestores Escolares!D7:J""),7,0),""VERIFICAR CÓD SEC"")"),"(75) 9 8811-1778/
9 8121-4212/
  9 9180-2420")</f>
        <v>(75) 9 8811-1778/
9 8121-4212/
  9 9180-2420</v>
      </c>
      <c r="Q1213" s="82" t="str">
        <f>IFERROR(__xludf.DUMMYFUNCTION("IFERROR(VLOOKUP(D1213,
IMPORTRANGE(""https://docs.google.com/spreadsheets/d/1MjHtlUikwobi2MaWJgy7tfLeBmhj1u-dRFRs_8GwSoA/edit#gid=0"",""Gestores Escolares!D7:m""),9,0),""VERIFICAR CÓD SEC"")")," DIVANISE DOS SANTOS VIEIRA")</f>
        <v> DIVANISE DOS SANTOS VIEIRA</v>
      </c>
      <c r="R1213" s="82" t="str">
        <f>IFERROR(__xludf.DUMMYFUNCTION("IFERROR(VLOOKUP(D1213,
IMPORTRANGE(""https://docs.google.com/spreadsheets/d/1MjHtlUikwobi2MaWJgy7tfLeBmhj1u-dRFRs_8GwSoA/edit#gid=0"",""Gestores Escolares!D7:m""),10,0),""VERIFICAR CÓD SEC"")"),"(75) 9 9862-8702")</f>
        <v>(75) 9 9862-8702</v>
      </c>
      <c r="S1213" s="82"/>
      <c r="T1213" s="138">
        <v>15.0</v>
      </c>
      <c r="U1213" s="403">
        <v>14.0</v>
      </c>
      <c r="V1213" s="106">
        <v>0.0</v>
      </c>
      <c r="W1213" s="107">
        <v>0.0</v>
      </c>
      <c r="X1213" s="107">
        <v>0.0</v>
      </c>
      <c r="Y1213" s="107">
        <v>0.0</v>
      </c>
      <c r="Z1213" s="80">
        <f t="shared" si="1"/>
        <v>0</v>
      </c>
      <c r="AA1213" s="106">
        <v>0.0</v>
      </c>
      <c r="AB1213" s="107">
        <v>0.0</v>
      </c>
      <c r="AC1213" s="107">
        <v>0.0</v>
      </c>
      <c r="AD1213" s="107">
        <v>0.0</v>
      </c>
      <c r="AE1213" s="80">
        <f t="shared" si="2"/>
        <v>0</v>
      </c>
      <c r="AF1213" s="140">
        <v>198.0</v>
      </c>
      <c r="AG1213" s="109">
        <v>87.0</v>
      </c>
      <c r="AH1213" s="109">
        <v>0.0</v>
      </c>
      <c r="AI1213" s="141">
        <v>336.0</v>
      </c>
      <c r="AJ1213" s="80">
        <f t="shared" si="3"/>
        <v>621</v>
      </c>
      <c r="AK1213" s="140">
        <v>0.0</v>
      </c>
      <c r="AL1213" s="109">
        <v>0.0</v>
      </c>
      <c r="AM1213" s="141">
        <v>0.0</v>
      </c>
      <c r="AN1213" s="80">
        <f t="shared" si="4"/>
        <v>0</v>
      </c>
      <c r="AO1213" s="140">
        <v>0.0</v>
      </c>
      <c r="AP1213" s="109">
        <v>0.0</v>
      </c>
      <c r="AQ1213" s="109">
        <v>69.0</v>
      </c>
      <c r="AR1213" s="80">
        <f t="shared" si="5"/>
        <v>69</v>
      </c>
      <c r="AS1213" s="110">
        <v>0.0</v>
      </c>
      <c r="AT1213" s="110">
        <v>0.0</v>
      </c>
      <c r="AU1213" s="110">
        <v>0.0</v>
      </c>
      <c r="AV1213" s="142">
        <v>40.0</v>
      </c>
      <c r="AW1213" s="80">
        <f t="shared" si="6"/>
        <v>40</v>
      </c>
      <c r="AX1213" s="113">
        <f t="shared" si="7"/>
        <v>730</v>
      </c>
      <c r="AY1213" s="117">
        <f t="shared" si="8"/>
        <v>661</v>
      </c>
      <c r="AZ1213" s="120">
        <f t="shared" si="9"/>
        <v>69</v>
      </c>
      <c r="BA1213" s="115">
        <v>0.0</v>
      </c>
      <c r="BB1213" s="89">
        <f t="shared" si="10"/>
        <v>730</v>
      </c>
      <c r="BC1213" s="132" t="s">
        <v>178</v>
      </c>
      <c r="BD1213" s="132" t="s">
        <v>178</v>
      </c>
      <c r="BE1213" s="132" t="s">
        <v>178</v>
      </c>
      <c r="BF1213" s="156"/>
      <c r="BG1213" s="83">
        <v>1134029.0</v>
      </c>
      <c r="BH1213" s="112"/>
      <c r="BI1213" s="112">
        <v>14.0</v>
      </c>
      <c r="BJ1213" s="98" t="s">
        <v>155</v>
      </c>
      <c r="BK1213" s="99">
        <f t="shared" si="11"/>
        <v>376</v>
      </c>
      <c r="BL1213" s="99">
        <f t="shared" si="12"/>
        <v>285</v>
      </c>
      <c r="BM1213" s="99" t="str">
        <f>IFERROR(__xludf.DUMMYFUNCTION("IFERROR(VLOOKUP(BG1213,IMPORTRANGE(""https://docs.google.com/spreadsheets/d/1juPI-Fb8LD0YtltB2mlGEnp_R3UVu1t3wSFPzgCyHXE/edit?gid=0#gid=0"",""GERAL!A2:C""),3,0),""-"")"),"-")</f>
        <v>-</v>
      </c>
    </row>
    <row r="1214" ht="15.75" customHeight="1">
      <c r="A1214" s="111" t="s">
        <v>1463</v>
      </c>
      <c r="B1214" s="83" t="s">
        <v>6619</v>
      </c>
      <c r="C1214" s="83" t="s">
        <v>164</v>
      </c>
      <c r="D1214" s="112">
        <v>1134029.0</v>
      </c>
      <c r="E1214" s="83">
        <v>1179029.0</v>
      </c>
      <c r="F1214" s="98">
        <v>2.9493056E7</v>
      </c>
      <c r="G1214" s="114" t="s">
        <v>6627</v>
      </c>
      <c r="H1214" s="91" t="s">
        <v>6628</v>
      </c>
      <c r="I1214" s="136" t="s">
        <v>6629</v>
      </c>
      <c r="J1214" s="83" t="s">
        <v>5099</v>
      </c>
      <c r="K1214" s="83" t="s">
        <v>168</v>
      </c>
      <c r="L1214" s="83" t="s">
        <v>169</v>
      </c>
      <c r="M1214" s="82" t="str">
        <f>IFERROR(__xludf.DUMMYFUNCTION("IFERROR(VLOOKUP(D1214,
IMPORTRANGE(""https://docs.google.com/spreadsheets/d/1MjHtlUikwobi2MaWJgy7tfLeBmhj1u-dRFRs_8GwSoA/edit#gid=0"",""Gestores Escolares!D7:J""),3,0),""VERIFICAR CÓD SEC"")"),"FABRICIO SOUSA SIMOES")</f>
        <v>FABRICIO SOUSA SIMOES</v>
      </c>
      <c r="N1214" s="82" t="str">
        <f>IFERROR(__xludf.DUMMYFUNCTION("IFERROR(VLOOKUP(D1214,
IMPORTRANGE(""https://docs.google.com/spreadsheets/d/1MjHtlUikwobi2MaWJgy7tfLeBmhj1u-dRFRs_8GwSoA/edit#gid=0"",""Gestores Escolares!D7:J""),4,0),""VERIFICAR CÓD SEC"")")," (75) 9 9200-3950")</f>
        <v> (75) 9 9200-3950</v>
      </c>
      <c r="O1214" s="82" t="str">
        <f>IFERROR(__xludf.DUMMYFUNCTION("IFERROR(VLOOKUP(D1214,
IMPORTRANGE(""https://docs.google.com/spreadsheets/d/1MjHtlUikwobi2MaWJgy7tfLeBmhj1u-dRFRs_8GwSoA/edit#gid=0"",""Gestores Escolares!D7:J""),6,0),""VERIFICAR CÓD SEC"")"),"ANIGER ROCHA DA SILVEIRA")</f>
        <v>ANIGER ROCHA DA SILVEIRA</v>
      </c>
      <c r="P1214" s="82" t="str">
        <f>IFERROR(__xludf.DUMMYFUNCTION("IFERROR(VLOOKUP(D1214,
IMPORTRANGE(""https://docs.google.com/spreadsheets/d/1MjHtlUikwobi2MaWJgy7tfLeBmhj1u-dRFRs_8GwSoA/edit#gid=0"",""Gestores Escolares!D7:J""),7,0),""VERIFICAR CÓD SEC"")"),"(75) 9 8811-1778/
9 8121-4212/
  9 9180-2420")</f>
        <v>(75) 9 8811-1778/
9 8121-4212/
  9 9180-2420</v>
      </c>
      <c r="Q1214" s="82" t="str">
        <f>IFERROR(__xludf.DUMMYFUNCTION("IFERROR(VLOOKUP(D1214,
IMPORTRANGE(""https://docs.google.com/spreadsheets/d/1MjHtlUikwobi2MaWJgy7tfLeBmhj1u-dRFRs_8GwSoA/edit#gid=0"",""Gestores Escolares!D7:m""),9,0),""VERIFICAR CÓD SEC"")")," DIVANISE DOS SANTOS VIEIRA")</f>
        <v> DIVANISE DOS SANTOS VIEIRA</v>
      </c>
      <c r="R1214" s="82" t="str">
        <f>IFERROR(__xludf.DUMMYFUNCTION("IFERROR(VLOOKUP(D1214,
IMPORTRANGE(""https://docs.google.com/spreadsheets/d/1MjHtlUikwobi2MaWJgy7tfLeBmhj1u-dRFRs_8GwSoA/edit#gid=0"",""Gestores Escolares!D7:m""),10,0),""VERIFICAR CÓD SEC"")"),"(75) 9 9862-8702")</f>
        <v>(75) 9 9862-8702</v>
      </c>
      <c r="S1214" s="82"/>
      <c r="T1214" s="138">
        <v>3.0</v>
      </c>
      <c r="U1214" s="403">
        <v>3.0</v>
      </c>
      <c r="V1214" s="106">
        <v>0.0</v>
      </c>
      <c r="W1214" s="107">
        <v>0.0</v>
      </c>
      <c r="X1214" s="107">
        <v>0.0</v>
      </c>
      <c r="Y1214" s="107">
        <v>0.0</v>
      </c>
      <c r="Z1214" s="80">
        <f t="shared" si="1"/>
        <v>0</v>
      </c>
      <c r="AA1214" s="106">
        <v>0.0</v>
      </c>
      <c r="AB1214" s="107">
        <v>0.0</v>
      </c>
      <c r="AC1214" s="107">
        <v>0.0</v>
      </c>
      <c r="AD1214" s="107">
        <v>0.0</v>
      </c>
      <c r="AE1214" s="80">
        <f t="shared" si="2"/>
        <v>0</v>
      </c>
      <c r="AF1214" s="140">
        <v>0.0</v>
      </c>
      <c r="AG1214" s="109">
        <v>0.0</v>
      </c>
      <c r="AH1214" s="109">
        <v>0.0</v>
      </c>
      <c r="AI1214" s="141">
        <v>0.0</v>
      </c>
      <c r="AJ1214" s="80">
        <f t="shared" si="3"/>
        <v>0</v>
      </c>
      <c r="AK1214" s="140">
        <v>0.0</v>
      </c>
      <c r="AL1214" s="109">
        <v>0.0</v>
      </c>
      <c r="AM1214" s="141">
        <v>0.0</v>
      </c>
      <c r="AN1214" s="80">
        <f t="shared" si="4"/>
        <v>0</v>
      </c>
      <c r="AO1214" s="140">
        <v>0.0</v>
      </c>
      <c r="AP1214" s="109">
        <v>0.0</v>
      </c>
      <c r="AQ1214" s="109">
        <v>48.0</v>
      </c>
      <c r="AR1214" s="80">
        <f t="shared" si="5"/>
        <v>48</v>
      </c>
      <c r="AS1214" s="110">
        <v>0.0</v>
      </c>
      <c r="AT1214" s="110">
        <v>0.0</v>
      </c>
      <c r="AU1214" s="110">
        <v>0.0</v>
      </c>
      <c r="AV1214" s="142">
        <v>0.0</v>
      </c>
      <c r="AW1214" s="80">
        <f t="shared" si="6"/>
        <v>0</v>
      </c>
      <c r="AX1214" s="113">
        <f t="shared" si="7"/>
        <v>48</v>
      </c>
      <c r="AY1214" s="117">
        <f t="shared" si="8"/>
        <v>0</v>
      </c>
      <c r="AZ1214" s="120">
        <f t="shared" si="9"/>
        <v>48</v>
      </c>
      <c r="BA1214" s="115">
        <v>0.0</v>
      </c>
      <c r="BB1214" s="89">
        <f t="shared" si="10"/>
        <v>48</v>
      </c>
      <c r="BC1214" s="132" t="s">
        <v>373</v>
      </c>
      <c r="BD1214" s="132" t="s">
        <v>178</v>
      </c>
      <c r="BE1214" s="132" t="s">
        <v>178</v>
      </c>
      <c r="BF1214" s="123"/>
      <c r="BG1214" s="83">
        <v>1179029.0</v>
      </c>
      <c r="BH1214" s="112"/>
      <c r="BI1214" s="112">
        <v>3.0</v>
      </c>
      <c r="BJ1214" s="98" t="s">
        <v>155</v>
      </c>
      <c r="BK1214" s="99">
        <f t="shared" si="11"/>
        <v>0</v>
      </c>
      <c r="BL1214" s="99">
        <f t="shared" si="12"/>
        <v>0</v>
      </c>
      <c r="BM1214" s="99" t="str">
        <f>IFERROR(__xludf.DUMMYFUNCTION("IFERROR(VLOOKUP(BG1214,IMPORTRANGE(""https://docs.google.com/spreadsheets/d/1juPI-Fb8LD0YtltB2mlGEnp_R3UVu1t3wSFPzgCyHXE/edit?gid=0#gid=0"",""GERAL!A2:C""),3,0),""-"")"),"CAMPO")</f>
        <v>CAMPO</v>
      </c>
    </row>
    <row r="1215" ht="15.75" customHeight="1">
      <c r="A1215" s="111" t="s">
        <v>1463</v>
      </c>
      <c r="B1215" s="83" t="s">
        <v>6630</v>
      </c>
      <c r="C1215" s="83" t="s">
        <v>68</v>
      </c>
      <c r="D1215" s="112">
        <v>1166222.0</v>
      </c>
      <c r="E1215" s="83"/>
      <c r="F1215" s="83">
        <v>2.9168775E7</v>
      </c>
      <c r="G1215" s="114" t="s">
        <v>6631</v>
      </c>
      <c r="H1215" s="91" t="s">
        <v>6632</v>
      </c>
      <c r="I1215" s="83" t="s">
        <v>149</v>
      </c>
      <c r="J1215" s="83" t="s">
        <v>187</v>
      </c>
      <c r="K1215" s="83" t="s">
        <v>151</v>
      </c>
      <c r="L1215" s="83" t="s">
        <v>169</v>
      </c>
      <c r="M1215" s="82" t="str">
        <f>IFERROR(__xludf.DUMMYFUNCTION("IFERROR(VLOOKUP(D1215,
IMPORTRANGE(""https://docs.google.com/spreadsheets/d/1MjHtlUikwobi2MaWJgy7tfLeBmhj1u-dRFRs_8GwSoA/edit#gid=0"",""Gestores Escolares!D7:J""),3,0),""VERIFICAR CÓD SEC"")"),"ALESSANDRA FERREIRA FAUSTO")</f>
        <v>ALESSANDRA FERREIRA FAUSTO</v>
      </c>
      <c r="N1215" s="82" t="str">
        <f>IFERROR(__xludf.DUMMYFUNCTION("IFERROR(VLOOKUP(D1215,
IMPORTRANGE(""https://docs.google.com/spreadsheets/d/1MjHtlUikwobi2MaWJgy7tfLeBmhj1u-dRFRs_8GwSoA/edit#gid=0"",""Gestores Escolares!D7:J""),4,0),""VERIFICAR CÓD SEC"")"),"(75) 9 8146-6104")</f>
        <v>(75) 9 8146-6104</v>
      </c>
      <c r="O1215" s="82" t="str">
        <f>IFERROR(__xludf.DUMMYFUNCTION("IFERROR(VLOOKUP(D1215,
IMPORTRANGE(""https://docs.google.com/spreadsheets/d/1MjHtlUikwobi2MaWJgy7tfLeBmhj1u-dRFRs_8GwSoA/edit#gid=0"",""Gestores Escolares!D7:J""),6,0),""VERIFICAR CÓD SEC"")"),"BRUNA DE ASSIS DOS SANTOS")</f>
        <v>BRUNA DE ASSIS DOS SANTOS</v>
      </c>
      <c r="P1215" s="82" t="str">
        <f>IFERROR(__xludf.DUMMYFUNCTION("IFERROR(VLOOKUP(D1215,
IMPORTRANGE(""https://docs.google.com/spreadsheets/d/1MjHtlUikwobi2MaWJgy7tfLeBmhj1u-dRFRs_8GwSoA/edit#gid=0"",""Gestores Escolares!D7:J""),7,0),""VERIFICAR CÓD SEC"")"),"(75) 9 8208-6219")</f>
        <v>(75) 9 8208-6219</v>
      </c>
      <c r="Q1215" s="82" t="str">
        <f>IFERROR(__xludf.DUMMYFUNCTION("IFERROR(VLOOKUP(D1215,
IMPORTRANGE(""https://docs.google.com/spreadsheets/d/1MjHtlUikwobi2MaWJgy7tfLeBmhj1u-dRFRs_8GwSoA/edit#gid=0"",""Gestores Escolares!D7:m""),9,0),""VERIFICAR CÓD SEC"")"),"")</f>
        <v/>
      </c>
      <c r="R1215" s="82" t="str">
        <f>IFERROR(__xludf.DUMMYFUNCTION("IFERROR(VLOOKUP(D1215,
IMPORTRANGE(""https://docs.google.com/spreadsheets/d/1MjHtlUikwobi2MaWJgy7tfLeBmhj1u-dRFRs_8GwSoA/edit#gid=0"",""Gestores Escolares!D7:m""),10,0),""VERIFICAR CÓD SEC"")"),"")</f>
        <v/>
      </c>
      <c r="S1215" s="82"/>
      <c r="T1215" s="138">
        <v>9.0</v>
      </c>
      <c r="U1215" s="626" t="s">
        <v>13850</v>
      </c>
      <c r="V1215" s="106">
        <v>0.0</v>
      </c>
      <c r="W1215" s="107">
        <v>0.0</v>
      </c>
      <c r="X1215" s="107">
        <v>0.0</v>
      </c>
      <c r="Y1215" s="107">
        <v>0.0</v>
      </c>
      <c r="Z1215" s="80">
        <f t="shared" si="1"/>
        <v>0</v>
      </c>
      <c r="AA1215" s="106">
        <v>0.0</v>
      </c>
      <c r="AB1215" s="107">
        <v>0.0</v>
      </c>
      <c r="AC1215" s="107">
        <v>0.0</v>
      </c>
      <c r="AD1215" s="107">
        <v>0.0</v>
      </c>
      <c r="AE1215" s="80">
        <f t="shared" si="2"/>
        <v>0</v>
      </c>
      <c r="AF1215" s="140">
        <v>98.0</v>
      </c>
      <c r="AG1215" s="109">
        <v>71.0</v>
      </c>
      <c r="AH1215" s="109">
        <v>0.0</v>
      </c>
      <c r="AI1215" s="141">
        <v>0.0</v>
      </c>
      <c r="AJ1215" s="80">
        <f t="shared" si="3"/>
        <v>169</v>
      </c>
      <c r="AK1215" s="140">
        <v>0.0</v>
      </c>
      <c r="AL1215" s="109">
        <v>0.0</v>
      </c>
      <c r="AM1215" s="141">
        <v>0.0</v>
      </c>
      <c r="AN1215" s="80">
        <f t="shared" si="4"/>
        <v>0</v>
      </c>
      <c r="AO1215" s="140">
        <v>0.0</v>
      </c>
      <c r="AP1215" s="109">
        <v>0.0</v>
      </c>
      <c r="AQ1215" s="109">
        <v>44.0</v>
      </c>
      <c r="AR1215" s="80">
        <f t="shared" si="5"/>
        <v>44</v>
      </c>
      <c r="AS1215" s="110">
        <v>0.0</v>
      </c>
      <c r="AT1215" s="110">
        <v>0.0</v>
      </c>
      <c r="AU1215" s="110">
        <v>0.0</v>
      </c>
      <c r="AV1215" s="142">
        <v>0.0</v>
      </c>
      <c r="AW1215" s="80">
        <f t="shared" si="6"/>
        <v>0</v>
      </c>
      <c r="AX1215" s="113">
        <f t="shared" si="7"/>
        <v>213</v>
      </c>
      <c r="AY1215" s="117">
        <f t="shared" si="8"/>
        <v>169</v>
      </c>
      <c r="AZ1215" s="120">
        <f t="shared" si="9"/>
        <v>44</v>
      </c>
      <c r="BA1215" s="115">
        <v>0.0</v>
      </c>
      <c r="BB1215" s="89">
        <f t="shared" si="10"/>
        <v>213</v>
      </c>
      <c r="BC1215" s="132" t="s">
        <v>373</v>
      </c>
      <c r="BD1215" s="132" t="s">
        <v>178</v>
      </c>
      <c r="BE1215" s="132" t="s">
        <v>178</v>
      </c>
      <c r="BF1215" s="156"/>
      <c r="BG1215" s="83">
        <v>1166222.0</v>
      </c>
      <c r="BH1215" s="98"/>
      <c r="BI1215" s="98">
        <v>3.0</v>
      </c>
      <c r="BJ1215" s="98" t="s">
        <v>155</v>
      </c>
      <c r="BK1215" s="99">
        <f t="shared" si="11"/>
        <v>0</v>
      </c>
      <c r="BL1215" s="99">
        <f t="shared" si="12"/>
        <v>169</v>
      </c>
      <c r="BM1215" s="99" t="str">
        <f>IFERROR(__xludf.DUMMYFUNCTION("IFERROR(VLOOKUP(BG1215,IMPORTRANGE(""https://docs.google.com/spreadsheets/d/1juPI-Fb8LD0YtltB2mlGEnp_R3UVu1t3wSFPzgCyHXE/edit?gid=0#gid=0"",""GERAL!A2:C""),3,0),""-"")"),"CAMPO")</f>
        <v>CAMPO</v>
      </c>
    </row>
    <row r="1216" ht="15.75" customHeight="1">
      <c r="A1216" s="111" t="s">
        <v>1463</v>
      </c>
      <c r="B1216" s="83" t="s">
        <v>6630</v>
      </c>
      <c r="C1216" s="83" t="s">
        <v>68</v>
      </c>
      <c r="D1216" s="112">
        <v>1178153.0</v>
      </c>
      <c r="E1216" s="83"/>
      <c r="F1216" s="83">
        <v>2.9444896E7</v>
      </c>
      <c r="G1216" s="119" t="s">
        <v>6641</v>
      </c>
      <c r="H1216" s="91" t="s">
        <v>6642</v>
      </c>
      <c r="I1216" s="83" t="s">
        <v>149</v>
      </c>
      <c r="J1216" s="136" t="s">
        <v>1321</v>
      </c>
      <c r="K1216" s="83" t="s">
        <v>151</v>
      </c>
      <c r="L1216" s="83" t="s">
        <v>76</v>
      </c>
      <c r="M1216" s="82" t="str">
        <f>IFERROR(__xludf.DUMMYFUNCTION("IFERROR(VLOOKUP(D1216,
IMPORTRANGE(""https://docs.google.com/spreadsheets/d/1MjHtlUikwobi2MaWJgy7tfLeBmhj1u-dRFRs_8GwSoA/edit#gid=0"",""Gestores Escolares!D7:J""),3,0),""VERIFICAR CÓD SEC"")"),"GILMAR OLIVEIRA MALAQUIAS")</f>
        <v>GILMAR OLIVEIRA MALAQUIAS</v>
      </c>
      <c r="N1216" s="82" t="str">
        <f>IFERROR(__xludf.DUMMYFUNCTION("IFERROR(VLOOKUP(D1216,
IMPORTRANGE(""https://docs.google.com/spreadsheets/d/1MjHtlUikwobi2MaWJgy7tfLeBmhj1u-dRFRs_8GwSoA/edit#gid=0"",""Gestores Escolares!D7:J""),4,0),""VERIFICAR CÓD SEC"")"),"(71) 9 9646-3075")</f>
        <v>(71) 9 9646-3075</v>
      </c>
      <c r="O1216" s="82" t="str">
        <f>IFERROR(__xludf.DUMMYFUNCTION("IFERROR(VLOOKUP(D1216,
IMPORTRANGE(""https://docs.google.com/spreadsheets/d/1MjHtlUikwobi2MaWJgy7tfLeBmhj1u-dRFRs_8GwSoA/edit#gid=0"",""Gestores Escolares!D7:J""),6,0),""VERIFICAR CÓD SEC"")"),"")</f>
        <v/>
      </c>
      <c r="P1216" s="82" t="str">
        <f>IFERROR(__xludf.DUMMYFUNCTION("IFERROR(VLOOKUP(D1216,
IMPORTRANGE(""https://docs.google.com/spreadsheets/d/1MjHtlUikwobi2MaWJgy7tfLeBmhj1u-dRFRs_8GwSoA/edit#gid=0"",""Gestores Escolares!D7:J""),7,0),""VERIFICAR CÓD SEC"")"),"")</f>
        <v/>
      </c>
      <c r="Q1216" s="82" t="str">
        <f>IFERROR(__xludf.DUMMYFUNCTION("IFERROR(VLOOKUP(D1216,
IMPORTRANGE(""https://docs.google.com/spreadsheets/d/1MjHtlUikwobi2MaWJgy7tfLeBmhj1u-dRFRs_8GwSoA/edit#gid=0"",""Gestores Escolares!D7:m""),9,0),""VERIFICAR CÓD SEC"")"),"SEM  VICE - DERIVANIA (COORDENADORA PEDAGÓGICA)")</f>
        <v>SEM  VICE - DERIVANIA (COORDENADORA PEDAGÓGICA)</v>
      </c>
      <c r="R1216" s="82" t="str">
        <f>IFERROR(__xludf.DUMMYFUNCTION("IFERROR(VLOOKUP(D1216,
IMPORTRANGE(""https://docs.google.com/spreadsheets/d/1MjHtlUikwobi2MaWJgy7tfLeBmhj1u-dRFRs_8GwSoA/edit#gid=0"",""Gestores Escolares!D7:m""),10,0),""VERIFICAR CÓD SEC"")"),"(75) 9 8181-0097")</f>
        <v>(75) 9 8181-0097</v>
      </c>
      <c r="S1216" s="82"/>
      <c r="T1216" s="138">
        <v>6.0</v>
      </c>
      <c r="U1216" s="145" t="s">
        <v>13851</v>
      </c>
      <c r="V1216" s="106">
        <v>0.0</v>
      </c>
      <c r="W1216" s="107">
        <v>0.0</v>
      </c>
      <c r="X1216" s="107">
        <v>0.0</v>
      </c>
      <c r="Y1216" s="107">
        <v>0.0</v>
      </c>
      <c r="Z1216" s="80">
        <f t="shared" si="1"/>
        <v>0</v>
      </c>
      <c r="AA1216" s="106">
        <v>0.0</v>
      </c>
      <c r="AB1216" s="107">
        <v>0.0</v>
      </c>
      <c r="AC1216" s="107">
        <v>0.0</v>
      </c>
      <c r="AD1216" s="107">
        <v>0.0</v>
      </c>
      <c r="AE1216" s="80">
        <f t="shared" si="2"/>
        <v>0</v>
      </c>
      <c r="AF1216" s="140">
        <v>0.0</v>
      </c>
      <c r="AG1216" s="109">
        <v>0.0</v>
      </c>
      <c r="AH1216" s="109">
        <v>0.0</v>
      </c>
      <c r="AI1216" s="141">
        <v>168.0</v>
      </c>
      <c r="AJ1216" s="80">
        <f t="shared" si="3"/>
        <v>168</v>
      </c>
      <c r="AK1216" s="140">
        <v>0.0</v>
      </c>
      <c r="AL1216" s="109">
        <v>0.0</v>
      </c>
      <c r="AM1216" s="141">
        <v>0.0</v>
      </c>
      <c r="AN1216" s="80">
        <f t="shared" si="4"/>
        <v>0</v>
      </c>
      <c r="AO1216" s="140">
        <v>0.0</v>
      </c>
      <c r="AP1216" s="109">
        <v>0.0</v>
      </c>
      <c r="AQ1216" s="109">
        <v>40.0</v>
      </c>
      <c r="AR1216" s="80">
        <f t="shared" si="5"/>
        <v>40</v>
      </c>
      <c r="AS1216" s="110">
        <v>0.0</v>
      </c>
      <c r="AT1216" s="110">
        <v>0.0</v>
      </c>
      <c r="AU1216" s="110">
        <v>0.0</v>
      </c>
      <c r="AV1216" s="142">
        <v>0.0</v>
      </c>
      <c r="AW1216" s="80">
        <f t="shared" si="6"/>
        <v>0</v>
      </c>
      <c r="AX1216" s="113">
        <f t="shared" si="7"/>
        <v>208</v>
      </c>
      <c r="AY1216" s="117">
        <f t="shared" si="8"/>
        <v>168</v>
      </c>
      <c r="AZ1216" s="120">
        <f t="shared" si="9"/>
        <v>40</v>
      </c>
      <c r="BA1216" s="115">
        <v>1.0</v>
      </c>
      <c r="BB1216" s="89">
        <f t="shared" si="10"/>
        <v>209</v>
      </c>
      <c r="BC1216" s="132" t="s">
        <v>373</v>
      </c>
      <c r="BD1216" s="132" t="s">
        <v>178</v>
      </c>
      <c r="BE1216" s="132" t="s">
        <v>178</v>
      </c>
      <c r="BF1216" s="123"/>
      <c r="BG1216" s="83">
        <v>1178153.0</v>
      </c>
      <c r="BH1216" s="98"/>
      <c r="BI1216" s="98">
        <v>8.0</v>
      </c>
      <c r="BJ1216" s="98" t="s">
        <v>155</v>
      </c>
      <c r="BK1216" s="99">
        <f t="shared" si="11"/>
        <v>168</v>
      </c>
      <c r="BL1216" s="99">
        <f t="shared" si="12"/>
        <v>0</v>
      </c>
      <c r="BM1216" s="99" t="str">
        <f>IFERROR(__xludf.DUMMYFUNCTION("IFERROR(VLOOKUP(BG1216,IMPORTRANGE(""https://docs.google.com/spreadsheets/d/1juPI-Fb8LD0YtltB2mlGEnp_R3UVu1t3wSFPzgCyHXE/edit?gid=0#gid=0"",""GERAL!A2:C""),3,0),""-"")"),"CAMPO")</f>
        <v>CAMPO</v>
      </c>
    </row>
    <row r="1217" ht="15.75" customHeight="1">
      <c r="A1217" s="111" t="s">
        <v>1463</v>
      </c>
      <c r="B1217" s="83" t="s">
        <v>6630</v>
      </c>
      <c r="C1217" s="83" t="s">
        <v>68</v>
      </c>
      <c r="D1217" s="112">
        <v>1133863.0</v>
      </c>
      <c r="E1217" s="83"/>
      <c r="F1217" s="83">
        <v>2.9167388E7</v>
      </c>
      <c r="G1217" s="119" t="s">
        <v>6645</v>
      </c>
      <c r="H1217" s="91" t="s">
        <v>6646</v>
      </c>
      <c r="I1217" s="83" t="s">
        <v>6647</v>
      </c>
      <c r="J1217" s="83" t="s">
        <v>150</v>
      </c>
      <c r="K1217" s="83" t="s">
        <v>151</v>
      </c>
      <c r="L1217" s="83" t="s">
        <v>152</v>
      </c>
      <c r="M1217" s="82" t="str">
        <f>IFERROR(__xludf.DUMMYFUNCTION("IFERROR(VLOOKUP(D1217,
IMPORTRANGE(""https://docs.google.com/spreadsheets/d/1MjHtlUikwobi2MaWJgy7tfLeBmhj1u-dRFRs_8GwSoA/edit#gid=0"",""Gestores Escolares!D7:J""),3,0),""VERIFICAR CÓD SEC"")"),"MARCIO E SILVA BARBOSA")</f>
        <v>MARCIO E SILVA BARBOSA</v>
      </c>
      <c r="N1217" s="82" t="str">
        <f>IFERROR(__xludf.DUMMYFUNCTION("IFERROR(VLOOKUP(D1217,
IMPORTRANGE(""https://docs.google.com/spreadsheets/d/1MjHtlUikwobi2MaWJgy7tfLeBmhj1u-dRFRs_8GwSoA/edit#gid=0"",""Gestores Escolares!D7:J""),4,0),""VERIFICAR CÓD SEC"")"),"(75) 9 9965-3934")</f>
        <v>(75) 9 9965-3934</v>
      </c>
      <c r="O1217" s="82" t="str">
        <f>IFERROR(__xludf.DUMMYFUNCTION("IFERROR(VLOOKUP(D1217,
IMPORTRANGE(""https://docs.google.com/spreadsheets/d/1MjHtlUikwobi2MaWJgy7tfLeBmhj1u-dRFRs_8GwSoA/edit#gid=0"",""Gestores Escolares!D7:J""),6,0),""VERIFICAR CÓD SEC"")"),"SHEILA CRISTINA MEDINA DA SILVA")</f>
        <v>SHEILA CRISTINA MEDINA DA SILVA</v>
      </c>
      <c r="P1217" s="82" t="str">
        <f>IFERROR(__xludf.DUMMYFUNCTION("IFERROR(VLOOKUP(D1217,
IMPORTRANGE(""https://docs.google.com/spreadsheets/d/1MjHtlUikwobi2MaWJgy7tfLeBmhj1u-dRFRs_8GwSoA/edit#gid=0"",""Gestores Escolares!D7:J""),7,0),""VERIFICAR CÓD SEC"")"),"(75) 9 9971-2254")</f>
        <v>(75) 9 9971-2254</v>
      </c>
      <c r="Q1217" s="82" t="str">
        <f>IFERROR(__xludf.DUMMYFUNCTION("IFERROR(VLOOKUP(D1217,
IMPORTRANGE(""https://docs.google.com/spreadsheets/d/1MjHtlUikwobi2MaWJgy7tfLeBmhj1u-dRFRs_8GwSoA/edit#gid=0"",""Gestores Escolares!D7:m""),9,0),""VERIFICAR CÓD SEC"")"),"")</f>
        <v/>
      </c>
      <c r="R1217" s="82" t="str">
        <f>IFERROR(__xludf.DUMMYFUNCTION("IFERROR(VLOOKUP(D1217,
IMPORTRANGE(""https://docs.google.com/spreadsheets/d/1MjHtlUikwobi2MaWJgy7tfLeBmhj1u-dRFRs_8GwSoA/edit#gid=0"",""Gestores Escolares!D7:m""),10,0),""VERIFICAR CÓD SEC"")"),"")</f>
        <v/>
      </c>
      <c r="S1217" s="82"/>
      <c r="T1217" s="138">
        <v>15.0</v>
      </c>
      <c r="U1217" s="145" t="s">
        <v>13852</v>
      </c>
      <c r="V1217" s="106">
        <v>0.0</v>
      </c>
      <c r="W1217" s="107">
        <v>0.0</v>
      </c>
      <c r="X1217" s="107">
        <v>0.0</v>
      </c>
      <c r="Y1217" s="107">
        <v>0.0</v>
      </c>
      <c r="Z1217" s="80">
        <f t="shared" si="1"/>
        <v>0</v>
      </c>
      <c r="AA1217" s="106">
        <v>0.0</v>
      </c>
      <c r="AB1217" s="107">
        <v>0.0</v>
      </c>
      <c r="AC1217" s="107">
        <v>0.0</v>
      </c>
      <c r="AD1217" s="107">
        <v>0.0</v>
      </c>
      <c r="AE1217" s="80">
        <f t="shared" si="2"/>
        <v>0</v>
      </c>
      <c r="AF1217" s="140">
        <v>216.0</v>
      </c>
      <c r="AG1217" s="109">
        <v>97.0</v>
      </c>
      <c r="AH1217" s="109">
        <v>0.0</v>
      </c>
      <c r="AI1217" s="141">
        <v>312.0</v>
      </c>
      <c r="AJ1217" s="80">
        <f t="shared" si="3"/>
        <v>625</v>
      </c>
      <c r="AK1217" s="140">
        <v>0.0</v>
      </c>
      <c r="AL1217" s="109">
        <v>0.0</v>
      </c>
      <c r="AM1217" s="141">
        <v>0.0</v>
      </c>
      <c r="AN1217" s="80">
        <f t="shared" si="4"/>
        <v>0</v>
      </c>
      <c r="AO1217" s="140">
        <v>0.0</v>
      </c>
      <c r="AP1217" s="109">
        <v>0.0</v>
      </c>
      <c r="AQ1217" s="109">
        <v>109.0</v>
      </c>
      <c r="AR1217" s="80">
        <f t="shared" si="5"/>
        <v>109</v>
      </c>
      <c r="AS1217" s="110">
        <v>0.0</v>
      </c>
      <c r="AT1217" s="110">
        <v>0.0</v>
      </c>
      <c r="AU1217" s="110">
        <v>0.0</v>
      </c>
      <c r="AV1217" s="142">
        <v>0.0</v>
      </c>
      <c r="AW1217" s="80">
        <f t="shared" si="6"/>
        <v>0</v>
      </c>
      <c r="AX1217" s="113">
        <f t="shared" si="7"/>
        <v>734</v>
      </c>
      <c r="AY1217" s="117">
        <f t="shared" si="8"/>
        <v>625</v>
      </c>
      <c r="AZ1217" s="120">
        <f t="shared" si="9"/>
        <v>109</v>
      </c>
      <c r="BA1217" s="115">
        <v>2.0</v>
      </c>
      <c r="BB1217" s="89">
        <f t="shared" si="10"/>
        <v>736</v>
      </c>
      <c r="BC1217" s="132" t="s">
        <v>178</v>
      </c>
      <c r="BD1217" s="132" t="s">
        <v>178</v>
      </c>
      <c r="BE1217" s="132" t="s">
        <v>178</v>
      </c>
      <c r="BF1217" s="156"/>
      <c r="BG1217" s="83">
        <v>1133863.0</v>
      </c>
      <c r="BH1217" s="112"/>
      <c r="BI1217" s="112">
        <v>12.0</v>
      </c>
      <c r="BJ1217" s="98" t="s">
        <v>284</v>
      </c>
      <c r="BK1217" s="99">
        <f t="shared" si="11"/>
        <v>312</v>
      </c>
      <c r="BL1217" s="99">
        <f t="shared" si="12"/>
        <v>313</v>
      </c>
      <c r="BM1217" s="99" t="str">
        <f>IFERROR(__xludf.DUMMYFUNCTION("IFERROR(VLOOKUP(BG1217,IMPORTRANGE(""https://docs.google.com/spreadsheets/d/1juPI-Fb8LD0YtltB2mlGEnp_R3UVu1t3wSFPzgCyHXE/edit?gid=0#gid=0"",""GERAL!A2:C""),3,0),""-"")"),"-")</f>
        <v>-</v>
      </c>
    </row>
    <row r="1218" ht="15.75" customHeight="1">
      <c r="A1218" s="111" t="s">
        <v>1463</v>
      </c>
      <c r="B1218" s="83" t="s">
        <v>6630</v>
      </c>
      <c r="C1218" s="83" t="s">
        <v>68</v>
      </c>
      <c r="D1218" s="112">
        <v>1176201.0</v>
      </c>
      <c r="E1218" s="83"/>
      <c r="F1218" s="83">
        <v>2.9375983E7</v>
      </c>
      <c r="G1218" s="114" t="s">
        <v>6650</v>
      </c>
      <c r="H1218" s="91" t="s">
        <v>6651</v>
      </c>
      <c r="I1218" s="83" t="s">
        <v>4215</v>
      </c>
      <c r="J1218" s="83" t="s">
        <v>4299</v>
      </c>
      <c r="K1218" s="83" t="s">
        <v>151</v>
      </c>
      <c r="L1218" s="83" t="s">
        <v>230</v>
      </c>
      <c r="M1218" s="82" t="str">
        <f>IFERROR(__xludf.DUMMYFUNCTION("IFERROR(VLOOKUP(D1218,
IMPORTRANGE(""https://docs.google.com/spreadsheets/d/1MjHtlUikwobi2MaWJgy7tfLeBmhj1u-dRFRs_8GwSoA/edit#gid=0"",""Gestores Escolares!D7:J""),3,0),""VERIFICAR CÓD SEC"")"),"ALAN FERNANDES PRAZERES")</f>
        <v>ALAN FERNANDES PRAZERES</v>
      </c>
      <c r="N1218" s="82" t="str">
        <f>IFERROR(__xludf.DUMMYFUNCTION("IFERROR(VLOOKUP(D1218,
IMPORTRANGE(""https://docs.google.com/spreadsheets/d/1MjHtlUikwobi2MaWJgy7tfLeBmhj1u-dRFRs_8GwSoA/edit#gid=0"",""Gestores Escolares!D7:J""),4,0),""VERIFICAR CÓD SEC"")"),"(75) 9 9986-6157/
9 8290-0988 (ZAP)")</f>
        <v>(75) 9 9986-6157/
9 8290-0988 (ZAP)</v>
      </c>
      <c r="O1218" s="82" t="str">
        <f>IFERROR(__xludf.DUMMYFUNCTION("IFERROR(VLOOKUP(D1218,
IMPORTRANGE(""https://docs.google.com/spreadsheets/d/1MjHtlUikwobi2MaWJgy7tfLeBmhj1u-dRFRs_8GwSoA/edit#gid=0"",""Gestores Escolares!D7:J""),6,0),""VERIFICAR CÓD SEC"")"),"")</f>
        <v/>
      </c>
      <c r="P1218" s="82" t="str">
        <f>IFERROR(__xludf.DUMMYFUNCTION("IFERROR(VLOOKUP(D1218,
IMPORTRANGE(""https://docs.google.com/spreadsheets/d/1MjHtlUikwobi2MaWJgy7tfLeBmhj1u-dRFRs_8GwSoA/edit#gid=0"",""Gestores Escolares!D7:J""),7,0),""VERIFICAR CÓD SEC"")"),"")</f>
        <v/>
      </c>
      <c r="Q1218" s="82" t="str">
        <f>IFERROR(__xludf.DUMMYFUNCTION("IFERROR(VLOOKUP(D1218,
IMPORTRANGE(""https://docs.google.com/spreadsheets/d/1MjHtlUikwobi2MaWJgy7tfLeBmhj1u-dRFRs_8GwSoA/edit#gid=0"",""Gestores Escolares!D7:m""),9,0),""VERIFICAR CÓD SEC"")"),"")</f>
        <v/>
      </c>
      <c r="R1218" s="82" t="str">
        <f>IFERROR(__xludf.DUMMYFUNCTION("IFERROR(VLOOKUP(D1218,
IMPORTRANGE(""https://docs.google.com/spreadsheets/d/1MjHtlUikwobi2MaWJgy7tfLeBmhj1u-dRFRs_8GwSoA/edit#gid=0"",""Gestores Escolares!D7:m""),10,0),""VERIFICAR CÓD SEC"")"),"")</f>
        <v/>
      </c>
      <c r="S1218" s="82"/>
      <c r="T1218" s="138">
        <v>26.0</v>
      </c>
      <c r="U1218" s="145" t="s">
        <v>13853</v>
      </c>
      <c r="V1218" s="106">
        <v>0.0</v>
      </c>
      <c r="W1218" s="107">
        <v>0.0</v>
      </c>
      <c r="X1218" s="107">
        <v>0.0</v>
      </c>
      <c r="Y1218" s="107">
        <v>0.0</v>
      </c>
      <c r="Z1218" s="80">
        <f t="shared" si="1"/>
        <v>0</v>
      </c>
      <c r="AA1218" s="106">
        <v>0.0</v>
      </c>
      <c r="AB1218" s="107">
        <v>0.0</v>
      </c>
      <c r="AC1218" s="107">
        <v>0.0</v>
      </c>
      <c r="AD1218" s="107">
        <v>0.0</v>
      </c>
      <c r="AE1218" s="80">
        <f t="shared" si="2"/>
        <v>0</v>
      </c>
      <c r="AF1218" s="140">
        <v>0.0</v>
      </c>
      <c r="AG1218" s="109">
        <v>0.0</v>
      </c>
      <c r="AH1218" s="109">
        <v>0.0</v>
      </c>
      <c r="AI1218" s="141">
        <v>0.0</v>
      </c>
      <c r="AJ1218" s="80">
        <f t="shared" si="3"/>
        <v>0</v>
      </c>
      <c r="AK1218" s="140">
        <v>0.0</v>
      </c>
      <c r="AL1218" s="109">
        <v>0.0</v>
      </c>
      <c r="AM1218" s="141">
        <v>0.0</v>
      </c>
      <c r="AN1218" s="80">
        <f t="shared" si="4"/>
        <v>0</v>
      </c>
      <c r="AO1218" s="140">
        <v>0.0</v>
      </c>
      <c r="AP1218" s="109">
        <v>0.0</v>
      </c>
      <c r="AQ1218" s="109">
        <v>0.0</v>
      </c>
      <c r="AR1218" s="80">
        <f t="shared" si="5"/>
        <v>0</v>
      </c>
      <c r="AS1218" s="110">
        <v>164.0</v>
      </c>
      <c r="AT1218" s="110">
        <v>45.0</v>
      </c>
      <c r="AU1218" s="110">
        <v>77.0</v>
      </c>
      <c r="AV1218" s="142">
        <v>0.0</v>
      </c>
      <c r="AW1218" s="80">
        <f t="shared" si="6"/>
        <v>286</v>
      </c>
      <c r="AX1218" s="113">
        <f t="shared" si="7"/>
        <v>286</v>
      </c>
      <c r="AY1218" s="117">
        <f t="shared" si="8"/>
        <v>209</v>
      </c>
      <c r="AZ1218" s="120">
        <f t="shared" si="9"/>
        <v>77</v>
      </c>
      <c r="BA1218" s="115">
        <v>9.0</v>
      </c>
      <c r="BB1218" s="89">
        <f t="shared" si="10"/>
        <v>295</v>
      </c>
      <c r="BC1218" s="132" t="s">
        <v>265</v>
      </c>
      <c r="BD1218" s="132" t="s">
        <v>779</v>
      </c>
      <c r="BE1218" s="132" t="s">
        <v>178</v>
      </c>
      <c r="BF1218" s="156"/>
      <c r="BG1218" s="83">
        <v>1176201.0</v>
      </c>
      <c r="BH1218" s="98"/>
      <c r="BI1218" s="98">
        <v>16.0</v>
      </c>
      <c r="BJ1218" s="98" t="s">
        <v>155</v>
      </c>
      <c r="BK1218" s="99">
        <f t="shared" si="11"/>
        <v>0</v>
      </c>
      <c r="BL1218" s="99">
        <f t="shared" si="12"/>
        <v>209</v>
      </c>
      <c r="BM1218" s="99" t="str">
        <f>IFERROR(__xludf.DUMMYFUNCTION("IFERROR(VLOOKUP(BG1218,IMPORTRANGE(""https://docs.google.com/spreadsheets/d/1juPI-Fb8LD0YtltB2mlGEnp_R3UVu1t3wSFPzgCyHXE/edit?gid=0#gid=0"",""GERAL!A2:C""),3,0),""-"")"),"QUILOMBOLAS")</f>
        <v>QUILOMBOLAS</v>
      </c>
    </row>
    <row r="1219" ht="15.75" customHeight="1">
      <c r="A1219" s="111" t="s">
        <v>1463</v>
      </c>
      <c r="B1219" s="83" t="s">
        <v>6654</v>
      </c>
      <c r="C1219" s="83" t="s">
        <v>68</v>
      </c>
      <c r="D1219" s="112">
        <v>1178143.0</v>
      </c>
      <c r="E1219" s="83"/>
      <c r="F1219" s="83">
        <v>2.9441641E7</v>
      </c>
      <c r="G1219" s="147" t="s">
        <v>6655</v>
      </c>
      <c r="H1219" s="91" t="s">
        <v>6656</v>
      </c>
      <c r="I1219" s="83" t="s">
        <v>149</v>
      </c>
      <c r="J1219" s="136" t="s">
        <v>150</v>
      </c>
      <c r="K1219" s="136" t="s">
        <v>151</v>
      </c>
      <c r="L1219" s="83" t="s">
        <v>76</v>
      </c>
      <c r="M1219" s="82" t="str">
        <f>IFERROR(__xludf.DUMMYFUNCTION("IFERROR(VLOOKUP(D1219,
IMPORTRANGE(""https://docs.google.com/spreadsheets/d/1MjHtlUikwobi2MaWJgy7tfLeBmhj1u-dRFRs_8GwSoA/edit#gid=0"",""Gestores Escolares!D7:J""),3,0),""VERIFICAR CÓD SEC"")")," MIRIAN FERREIRA BRITO DE ALMEIDA")</f>
        <v> MIRIAN FERREIRA BRITO DE ALMEIDA</v>
      </c>
      <c r="N1219" s="82" t="str">
        <f>IFERROR(__xludf.DUMMYFUNCTION("IFERROR(VLOOKUP(D1219,
IMPORTRANGE(""https://docs.google.com/spreadsheets/d/1MjHtlUikwobi2MaWJgy7tfLeBmhj1u-dRFRs_8GwSoA/edit#gid=0"",""Gestores Escolares!D7:J""),4,0),""VERIFICAR CÓD SEC"")"),"(75) 9 8822-5300")</f>
        <v>(75) 9 8822-5300</v>
      </c>
      <c r="O1219" s="82" t="str">
        <f>IFERROR(__xludf.DUMMYFUNCTION("IFERROR(VLOOKUP(D1219,
IMPORTRANGE(""https://docs.google.com/spreadsheets/d/1MjHtlUikwobi2MaWJgy7tfLeBmhj1u-dRFRs_8GwSoA/edit#gid=0"",""Gestores Escolares!D7:J""),6,0),""VERIFICAR CÓD SEC"")"),"LUCRECIA CRISTINA FIGUEIREDO LIRIO")</f>
        <v>LUCRECIA CRISTINA FIGUEIREDO LIRIO</v>
      </c>
      <c r="P1219" s="82" t="str">
        <f>IFERROR(__xludf.DUMMYFUNCTION("IFERROR(VLOOKUP(D1219,
IMPORTRANGE(""https://docs.google.com/spreadsheets/d/1MjHtlUikwobi2MaWJgy7tfLeBmhj1u-dRFRs_8GwSoA/edit#gid=0"",""Gestores Escolares!D7:J""),7,0),""VERIFICAR CÓD SEC"")"),"(75) 9 8840-0209")</f>
        <v>(75) 9 8840-0209</v>
      </c>
      <c r="Q1219" s="82" t="str">
        <f>IFERROR(__xludf.DUMMYFUNCTION("IFERROR(VLOOKUP(D1219,
IMPORTRANGE(""https://docs.google.com/spreadsheets/d/1MjHtlUikwobi2MaWJgy7tfLeBmhj1u-dRFRs_8GwSoA/edit#gid=0"",""Gestores Escolares!D7:m""),9,0),""VERIFICAR CÓD SEC"")"),"")</f>
        <v/>
      </c>
      <c r="R1219" s="82" t="str">
        <f>IFERROR(__xludf.DUMMYFUNCTION("IFERROR(VLOOKUP(D1219,
IMPORTRANGE(""https://docs.google.com/spreadsheets/d/1MjHtlUikwobi2MaWJgy7tfLeBmhj1u-dRFRs_8GwSoA/edit#gid=0"",""Gestores Escolares!D7:m""),10,0),""VERIFICAR CÓD SEC"")"),"")</f>
        <v/>
      </c>
      <c r="S1219" s="82"/>
      <c r="T1219" s="138">
        <v>6.0</v>
      </c>
      <c r="U1219" s="145">
        <v>11.0</v>
      </c>
      <c r="V1219" s="106">
        <v>0.0</v>
      </c>
      <c r="W1219" s="107">
        <v>0.0</v>
      </c>
      <c r="X1219" s="107">
        <v>0.0</v>
      </c>
      <c r="Y1219" s="107">
        <v>0.0</v>
      </c>
      <c r="Z1219" s="80">
        <f t="shared" si="1"/>
        <v>0</v>
      </c>
      <c r="AA1219" s="106">
        <v>0.0</v>
      </c>
      <c r="AB1219" s="107">
        <v>0.0</v>
      </c>
      <c r="AC1219" s="107">
        <v>0.0</v>
      </c>
      <c r="AD1219" s="107">
        <v>0.0</v>
      </c>
      <c r="AE1219" s="80">
        <f t="shared" si="2"/>
        <v>0</v>
      </c>
      <c r="AF1219" s="140">
        <v>81.0</v>
      </c>
      <c r="AG1219" s="109">
        <v>62.0</v>
      </c>
      <c r="AH1219" s="109">
        <v>0.0</v>
      </c>
      <c r="AI1219" s="141">
        <v>61.0</v>
      </c>
      <c r="AJ1219" s="80">
        <f t="shared" si="3"/>
        <v>204</v>
      </c>
      <c r="AK1219" s="140">
        <v>0.0</v>
      </c>
      <c r="AL1219" s="109">
        <v>0.0</v>
      </c>
      <c r="AM1219" s="141">
        <v>0.0</v>
      </c>
      <c r="AN1219" s="80">
        <f t="shared" si="4"/>
        <v>0</v>
      </c>
      <c r="AO1219" s="140">
        <v>0.0</v>
      </c>
      <c r="AP1219" s="109">
        <v>0.0</v>
      </c>
      <c r="AQ1219" s="109">
        <v>15.0</v>
      </c>
      <c r="AR1219" s="80">
        <f t="shared" si="5"/>
        <v>15</v>
      </c>
      <c r="AS1219" s="110">
        <v>25.0</v>
      </c>
      <c r="AT1219" s="110">
        <v>0.0</v>
      </c>
      <c r="AU1219" s="110">
        <v>19.0</v>
      </c>
      <c r="AV1219" s="142">
        <v>71.0</v>
      </c>
      <c r="AW1219" s="80">
        <f t="shared" si="6"/>
        <v>115</v>
      </c>
      <c r="AX1219" s="113">
        <f t="shared" si="7"/>
        <v>334</v>
      </c>
      <c r="AY1219" s="117">
        <f t="shared" si="8"/>
        <v>300</v>
      </c>
      <c r="AZ1219" s="120">
        <f t="shared" si="9"/>
        <v>34</v>
      </c>
      <c r="BA1219" s="115">
        <v>1.0</v>
      </c>
      <c r="BB1219" s="89">
        <f t="shared" si="10"/>
        <v>335</v>
      </c>
      <c r="BC1219" s="132" t="s">
        <v>178</v>
      </c>
      <c r="BD1219" s="132" t="s">
        <v>178</v>
      </c>
      <c r="BE1219" s="132" t="s">
        <v>178</v>
      </c>
      <c r="BF1219" s="123"/>
      <c r="BG1219" s="83">
        <v>1178143.0</v>
      </c>
      <c r="BH1219" s="112"/>
      <c r="BI1219" s="112">
        <v>5.0</v>
      </c>
      <c r="BJ1219" s="98" t="s">
        <v>155</v>
      </c>
      <c r="BK1219" s="99">
        <f t="shared" si="11"/>
        <v>132</v>
      </c>
      <c r="BL1219" s="99">
        <f t="shared" si="12"/>
        <v>168</v>
      </c>
      <c r="BM1219" s="99" t="str">
        <f>IFERROR(__xludf.DUMMYFUNCTION("IFERROR(VLOOKUP(BG1219,IMPORTRANGE(""https://docs.google.com/spreadsheets/d/1juPI-Fb8LD0YtltB2mlGEnp_R3UVu1t3wSFPzgCyHXE/edit?gid=0#gid=0"",""GERAL!A2:C""),3,0),""-"")"),"-")</f>
        <v>-</v>
      </c>
    </row>
    <row r="1220" ht="15.75" customHeight="1">
      <c r="A1220" s="111" t="s">
        <v>1463</v>
      </c>
      <c r="B1220" s="83" t="s">
        <v>2709</v>
      </c>
      <c r="C1220" s="83" t="s">
        <v>68</v>
      </c>
      <c r="D1220" s="112">
        <v>1135610.0</v>
      </c>
      <c r="E1220" s="83"/>
      <c r="F1220" s="83">
        <v>2.916916E7</v>
      </c>
      <c r="G1220" s="114" t="s">
        <v>6658</v>
      </c>
      <c r="H1220" s="91" t="s">
        <v>6659</v>
      </c>
      <c r="I1220" s="83" t="s">
        <v>149</v>
      </c>
      <c r="J1220" s="83" t="s">
        <v>150</v>
      </c>
      <c r="K1220" s="83" t="s">
        <v>151</v>
      </c>
      <c r="L1220" s="83" t="s">
        <v>152</v>
      </c>
      <c r="M1220" s="82" t="str">
        <f>IFERROR(__xludf.DUMMYFUNCTION("IFERROR(VLOOKUP(D1220,
IMPORTRANGE(""https://docs.google.com/spreadsheets/d/1MjHtlUikwobi2MaWJgy7tfLeBmhj1u-dRFRs_8GwSoA/edit#gid=0"",""Gestores Escolares!D7:J""),3,0),""VERIFICAR CÓD SEC"")"),"CLAUDIA LEAL DOS SANTOS")</f>
        <v>CLAUDIA LEAL DOS SANTOS</v>
      </c>
      <c r="N1220" s="82" t="str">
        <f>IFERROR(__xludf.DUMMYFUNCTION("IFERROR(VLOOKUP(D1220,
IMPORTRANGE(""https://docs.google.com/spreadsheets/d/1MjHtlUikwobi2MaWJgy7tfLeBmhj1u-dRFRs_8GwSoA/edit#gid=0"",""Gestores Escolares!D7:J""),4,0),""VERIFICAR CÓD SEC"")"),"(75) 9 8203-4722")</f>
        <v>(75) 9 8203-4722</v>
      </c>
      <c r="O1220" s="82" t="str">
        <f>IFERROR(__xludf.DUMMYFUNCTION("IFERROR(VLOOKUP(D1220,
IMPORTRANGE(""https://docs.google.com/spreadsheets/d/1MjHtlUikwobi2MaWJgy7tfLeBmhj1u-dRFRs_8GwSoA/edit#gid=0"",""Gestores Escolares!D7:J""),6,0),""VERIFICAR CÓD SEC"")"),"PAULO RICARDO DE OLIVEIRA RIBEIRO")</f>
        <v>PAULO RICARDO DE OLIVEIRA RIBEIRO</v>
      </c>
      <c r="P1220" s="82" t="str">
        <f>IFERROR(__xludf.DUMMYFUNCTION("IFERROR(VLOOKUP(D1220,
IMPORTRANGE(""https://docs.google.com/spreadsheets/d/1MjHtlUikwobi2MaWJgy7tfLeBmhj1u-dRFRs_8GwSoA/edit#gid=0"",""Gestores Escolares!D7:J""),7,0),""VERIFICAR CÓD SEC"")"),"(75) 9 9231-4931")</f>
        <v>(75) 9 9231-4931</v>
      </c>
      <c r="Q1220" s="82" t="str">
        <f>IFERROR(__xludf.DUMMYFUNCTION("IFERROR(VLOOKUP(D1220,
IMPORTRANGE(""https://docs.google.com/spreadsheets/d/1MjHtlUikwobi2MaWJgy7tfLeBmhj1u-dRFRs_8GwSoA/edit#gid=0"",""Gestores Escolares!D7:m""),9,0),""VERIFICAR CÓD SEC"")"),"")</f>
        <v/>
      </c>
      <c r="R1220" s="82" t="str">
        <f>IFERROR(__xludf.DUMMYFUNCTION("IFERROR(VLOOKUP(D1220,
IMPORTRANGE(""https://docs.google.com/spreadsheets/d/1MjHtlUikwobi2MaWJgy7tfLeBmhj1u-dRFRs_8GwSoA/edit#gid=0"",""Gestores Escolares!D7:m""),10,0),""VERIFICAR CÓD SEC"")"),"")</f>
        <v/>
      </c>
      <c r="S1220" s="82"/>
      <c r="T1220" s="138">
        <v>24.0</v>
      </c>
      <c r="U1220" s="152">
        <v>11.0</v>
      </c>
      <c r="V1220" s="106">
        <v>0.0</v>
      </c>
      <c r="W1220" s="107">
        <v>0.0</v>
      </c>
      <c r="X1220" s="107">
        <v>0.0</v>
      </c>
      <c r="Y1220" s="107">
        <v>0.0</v>
      </c>
      <c r="Z1220" s="80">
        <f t="shared" si="1"/>
        <v>0</v>
      </c>
      <c r="AA1220" s="106">
        <v>0.0</v>
      </c>
      <c r="AB1220" s="107">
        <v>0.0</v>
      </c>
      <c r="AC1220" s="107">
        <v>0.0</v>
      </c>
      <c r="AD1220" s="107">
        <v>0.0</v>
      </c>
      <c r="AE1220" s="80">
        <f t="shared" si="2"/>
        <v>0</v>
      </c>
      <c r="AF1220" s="140">
        <v>0.0</v>
      </c>
      <c r="AG1220" s="109">
        <v>94.0</v>
      </c>
      <c r="AH1220" s="109">
        <v>0.0</v>
      </c>
      <c r="AI1220" s="141">
        <v>280.0</v>
      </c>
      <c r="AJ1220" s="80">
        <f t="shared" si="3"/>
        <v>374</v>
      </c>
      <c r="AK1220" s="140">
        <v>0.0</v>
      </c>
      <c r="AL1220" s="109">
        <v>0.0</v>
      </c>
      <c r="AM1220" s="141">
        <v>0.0</v>
      </c>
      <c r="AN1220" s="80">
        <f t="shared" si="4"/>
        <v>0</v>
      </c>
      <c r="AO1220" s="140">
        <v>0.0</v>
      </c>
      <c r="AP1220" s="109">
        <v>0.0</v>
      </c>
      <c r="AQ1220" s="109">
        <v>97.0</v>
      </c>
      <c r="AR1220" s="80">
        <f t="shared" si="5"/>
        <v>97</v>
      </c>
      <c r="AS1220" s="110">
        <v>0.0</v>
      </c>
      <c r="AT1220" s="110">
        <v>0.0</v>
      </c>
      <c r="AU1220" s="110">
        <v>0.0</v>
      </c>
      <c r="AV1220" s="142">
        <v>0.0</v>
      </c>
      <c r="AW1220" s="80">
        <f t="shared" si="6"/>
        <v>0</v>
      </c>
      <c r="AX1220" s="113">
        <f t="shared" si="7"/>
        <v>471</v>
      </c>
      <c r="AY1220" s="117">
        <f t="shared" si="8"/>
        <v>374</v>
      </c>
      <c r="AZ1220" s="120">
        <f t="shared" si="9"/>
        <v>97</v>
      </c>
      <c r="BA1220" s="115">
        <v>0.0</v>
      </c>
      <c r="BB1220" s="89">
        <f t="shared" si="10"/>
        <v>471</v>
      </c>
      <c r="BC1220" s="132" t="s">
        <v>178</v>
      </c>
      <c r="BD1220" s="132" t="s">
        <v>178</v>
      </c>
      <c r="BE1220" s="132" t="s">
        <v>178</v>
      </c>
      <c r="BF1220" s="156"/>
      <c r="BG1220" s="83">
        <v>1135610.0</v>
      </c>
      <c r="BH1220" s="112"/>
      <c r="BI1220" s="112">
        <v>11.0</v>
      </c>
      <c r="BJ1220" s="98" t="s">
        <v>284</v>
      </c>
      <c r="BK1220" s="99">
        <f t="shared" si="11"/>
        <v>280</v>
      </c>
      <c r="BL1220" s="99">
        <f t="shared" si="12"/>
        <v>94</v>
      </c>
      <c r="BM1220" s="99" t="str">
        <f>IFERROR(__xludf.DUMMYFUNCTION("IFERROR(VLOOKUP(BG1220,IMPORTRANGE(""https://docs.google.com/spreadsheets/d/1juPI-Fb8LD0YtltB2mlGEnp_R3UVu1t3wSFPzgCyHXE/edit?gid=0#gid=0"",""GERAL!A2:C""),3,0),""-"")"),"-")</f>
        <v>-</v>
      </c>
    </row>
    <row r="1221" ht="15.75" customHeight="1">
      <c r="A1221" s="111" t="s">
        <v>1463</v>
      </c>
      <c r="B1221" s="83" t="s">
        <v>2709</v>
      </c>
      <c r="C1221" s="83" t="s">
        <v>68</v>
      </c>
      <c r="D1221" s="112">
        <v>1178001.0</v>
      </c>
      <c r="E1221" s="83"/>
      <c r="F1221" s="83">
        <v>2.9417287E7</v>
      </c>
      <c r="G1221" s="119" t="s">
        <v>6662</v>
      </c>
      <c r="H1221" s="91" t="s">
        <v>6663</v>
      </c>
      <c r="I1221" s="83" t="s">
        <v>149</v>
      </c>
      <c r="J1221" s="83" t="s">
        <v>209</v>
      </c>
      <c r="K1221" s="83" t="s">
        <v>151</v>
      </c>
      <c r="L1221" s="83" t="s">
        <v>76</v>
      </c>
      <c r="M1221" s="82" t="str">
        <f>IFERROR(__xludf.DUMMYFUNCTION("IFERROR(VLOOKUP(D1221,
IMPORTRANGE(""https://docs.google.com/spreadsheets/d/1MjHtlUikwobi2MaWJgy7tfLeBmhj1u-dRFRs_8GwSoA/edit#gid=0"",""Gestores Escolares!D7:J""),3,0),""VERIFICAR CÓD SEC"")"),"ELIANA CONCEIÇÃO BRAGA NUNES")</f>
        <v>ELIANA CONCEIÇÃO BRAGA NUNES</v>
      </c>
      <c r="N1221" s="82" t="str">
        <f>IFERROR(__xludf.DUMMYFUNCTION("IFERROR(VLOOKUP(D1221,
IMPORTRANGE(""https://docs.google.com/spreadsheets/d/1MjHtlUikwobi2MaWJgy7tfLeBmhj1u-dRFRs_8GwSoA/edit#gid=0"",""Gestores Escolares!D7:J""),4,0),""VERIFICAR CÓD SEC"")"),"(75) 9 9217-1255")</f>
        <v>(75) 9 9217-1255</v>
      </c>
      <c r="O1221" s="82" t="str">
        <f>IFERROR(__xludf.DUMMYFUNCTION("IFERROR(VLOOKUP(D1221,
IMPORTRANGE(""https://docs.google.com/spreadsheets/d/1MjHtlUikwobi2MaWJgy7tfLeBmhj1u-dRFRs_8GwSoA/edit#gid=0"",""Gestores Escolares!D7:J""),6,0),""VERIFICAR CÓD SEC"")"),"IRACI PEREIRA MASCARENHAS CARMO")</f>
        <v>IRACI PEREIRA MASCARENHAS CARMO</v>
      </c>
      <c r="P1221" s="82" t="str">
        <f>IFERROR(__xludf.DUMMYFUNCTION("IFERROR(VLOOKUP(D1221,
IMPORTRANGE(""https://docs.google.com/spreadsheets/d/1MjHtlUikwobi2MaWJgy7tfLeBmhj1u-dRFRs_8GwSoA/edit#gid=0"",""Gestores Escolares!D7:J""),7,0),""VERIFICAR CÓD SEC"")"),"(75) 9 8321-4295")</f>
        <v>(75) 9 8321-4295</v>
      </c>
      <c r="Q1221" s="82" t="str">
        <f>IFERROR(__xludf.DUMMYFUNCTION("IFERROR(VLOOKUP(D1221,
IMPORTRANGE(""https://docs.google.com/spreadsheets/d/1MjHtlUikwobi2MaWJgy7tfLeBmhj1u-dRFRs_8GwSoA/edit#gid=0"",""Gestores Escolares!D7:m""),9,0),""VERIFICAR CÓD SEC"")"),"")</f>
        <v/>
      </c>
      <c r="R1221" s="82" t="str">
        <f>IFERROR(__xludf.DUMMYFUNCTION("IFERROR(VLOOKUP(D1221,
IMPORTRANGE(""https://docs.google.com/spreadsheets/d/1MjHtlUikwobi2MaWJgy7tfLeBmhj1u-dRFRs_8GwSoA/edit#gid=0"",""Gestores Escolares!D7:m""),10,0),""VERIFICAR CÓD SEC"")"),"")</f>
        <v/>
      </c>
      <c r="S1221" s="82"/>
      <c r="T1221" s="138">
        <v>7.0</v>
      </c>
      <c r="U1221" s="152">
        <v>10.0</v>
      </c>
      <c r="V1221" s="106">
        <v>0.0</v>
      </c>
      <c r="W1221" s="107">
        <v>0.0</v>
      </c>
      <c r="X1221" s="107">
        <v>0.0</v>
      </c>
      <c r="Y1221" s="107">
        <v>0.0</v>
      </c>
      <c r="Z1221" s="80">
        <f t="shared" si="1"/>
        <v>0</v>
      </c>
      <c r="AA1221" s="106">
        <v>0.0</v>
      </c>
      <c r="AB1221" s="107">
        <v>0.0</v>
      </c>
      <c r="AC1221" s="107">
        <v>0.0</v>
      </c>
      <c r="AD1221" s="107">
        <v>0.0</v>
      </c>
      <c r="AE1221" s="80">
        <f t="shared" si="2"/>
        <v>0</v>
      </c>
      <c r="AF1221" s="140">
        <v>59.0</v>
      </c>
      <c r="AG1221" s="109">
        <v>46.0</v>
      </c>
      <c r="AH1221" s="109">
        <v>0.0</v>
      </c>
      <c r="AI1221" s="141">
        <v>105.0</v>
      </c>
      <c r="AJ1221" s="80">
        <f t="shared" si="3"/>
        <v>210</v>
      </c>
      <c r="AK1221" s="140">
        <v>0.0</v>
      </c>
      <c r="AL1221" s="109">
        <v>0.0</v>
      </c>
      <c r="AM1221" s="141">
        <v>0.0</v>
      </c>
      <c r="AN1221" s="80">
        <f t="shared" si="4"/>
        <v>0</v>
      </c>
      <c r="AO1221" s="140">
        <v>0.0</v>
      </c>
      <c r="AP1221" s="109">
        <v>0.0</v>
      </c>
      <c r="AQ1221" s="109">
        <v>60.0</v>
      </c>
      <c r="AR1221" s="80">
        <f t="shared" si="5"/>
        <v>60</v>
      </c>
      <c r="AS1221" s="110">
        <v>0.0</v>
      </c>
      <c r="AT1221" s="110">
        <v>0.0</v>
      </c>
      <c r="AU1221" s="110">
        <v>20.0</v>
      </c>
      <c r="AV1221" s="142">
        <v>60.0</v>
      </c>
      <c r="AW1221" s="80">
        <f t="shared" si="6"/>
        <v>80</v>
      </c>
      <c r="AX1221" s="113">
        <f t="shared" si="7"/>
        <v>350</v>
      </c>
      <c r="AY1221" s="117">
        <f t="shared" si="8"/>
        <v>270</v>
      </c>
      <c r="AZ1221" s="120">
        <f t="shared" si="9"/>
        <v>80</v>
      </c>
      <c r="BA1221" s="115">
        <v>0.0</v>
      </c>
      <c r="BB1221" s="89">
        <f t="shared" si="10"/>
        <v>350</v>
      </c>
      <c r="BC1221" s="132" t="s">
        <v>373</v>
      </c>
      <c r="BD1221" s="132" t="s">
        <v>178</v>
      </c>
      <c r="BE1221" s="132" t="s">
        <v>178</v>
      </c>
      <c r="BF1221" s="156"/>
      <c r="BG1221" s="83">
        <v>1178001.0</v>
      </c>
      <c r="BH1221" s="112"/>
      <c r="BI1221" s="112">
        <v>10.0</v>
      </c>
      <c r="BJ1221" s="98" t="s">
        <v>155</v>
      </c>
      <c r="BK1221" s="99">
        <f t="shared" si="11"/>
        <v>165</v>
      </c>
      <c r="BL1221" s="99">
        <f t="shared" si="12"/>
        <v>105</v>
      </c>
      <c r="BM1221" s="99" t="str">
        <f>IFERROR(__xludf.DUMMYFUNCTION("IFERROR(VLOOKUP(BG1221,IMPORTRANGE(""https://docs.google.com/spreadsheets/d/1juPI-Fb8LD0YtltB2mlGEnp_R3UVu1t3wSFPzgCyHXE/edit?gid=0#gid=0"",""GERAL!A2:C""),3,0),""-"")"),"CAMPO")</f>
        <v>CAMPO</v>
      </c>
    </row>
    <row r="1222" ht="15.75" customHeight="1">
      <c r="A1222" s="111" t="s">
        <v>1463</v>
      </c>
      <c r="B1222" s="83" t="s">
        <v>4828</v>
      </c>
      <c r="C1222" s="83" t="s">
        <v>68</v>
      </c>
      <c r="D1222" s="112">
        <v>1109326.0</v>
      </c>
      <c r="E1222" s="83"/>
      <c r="F1222" s="83">
        <v>2.9169615E7</v>
      </c>
      <c r="G1222" s="114" t="s">
        <v>6668</v>
      </c>
      <c r="H1222" s="91" t="s">
        <v>6669</v>
      </c>
      <c r="I1222" s="172" t="s">
        <v>2709</v>
      </c>
      <c r="J1222" s="83" t="s">
        <v>150</v>
      </c>
      <c r="K1222" s="83" t="s">
        <v>151</v>
      </c>
      <c r="L1222" s="83" t="s">
        <v>152</v>
      </c>
      <c r="M1222" s="82" t="str">
        <f>IFERROR(__xludf.DUMMYFUNCTION("IFERROR(VLOOKUP(D1222,
IMPORTRANGE(""https://docs.google.com/spreadsheets/d/1MjHtlUikwobi2MaWJgy7tfLeBmhj1u-dRFRs_8GwSoA/edit#gid=0"",""Gestores Escolares!D7:J""),3,0),""VERIFICAR CÓD SEC"")"),"ALINE PEIXOTO DE JESUS")</f>
        <v>ALINE PEIXOTO DE JESUS</v>
      </c>
      <c r="N1222" s="82" t="str">
        <f>IFERROR(__xludf.DUMMYFUNCTION("IFERROR(VLOOKUP(D1222,
IMPORTRANGE(""https://docs.google.com/spreadsheets/d/1MjHtlUikwobi2MaWJgy7tfLeBmhj1u-dRFRs_8GwSoA/edit#gid=0"",""Gestores Escolares!D7:J""),4,0),""VERIFICAR CÓD SEC"")"),"(75) 9 8200-8789")</f>
        <v>(75) 9 8200-8789</v>
      </c>
      <c r="O1222" s="82" t="str">
        <f>IFERROR(__xludf.DUMMYFUNCTION("IFERROR(VLOOKUP(D1222,
IMPORTRANGE(""https://docs.google.com/spreadsheets/d/1MjHtlUikwobi2MaWJgy7tfLeBmhj1u-dRFRs_8GwSoA/edit#gid=0"",""Gestores Escolares!D7:J""),6,0),""VERIFICAR CÓD SEC"")"),"ARLETE DE ANDRADE BARBOSA")</f>
        <v>ARLETE DE ANDRADE BARBOSA</v>
      </c>
      <c r="P1222" s="82" t="str">
        <f>IFERROR(__xludf.DUMMYFUNCTION("IFERROR(VLOOKUP(D1222,
IMPORTRANGE(""https://docs.google.com/spreadsheets/d/1MjHtlUikwobi2MaWJgy7tfLeBmhj1u-dRFRs_8GwSoA/edit#gid=0"",""Gestores Escolares!D7:J""),7,0),""VERIFICAR CÓD SEC"")"),"(75) 9 8172-3072")</f>
        <v>(75) 9 8172-3072</v>
      </c>
      <c r="Q1222" s="82" t="str">
        <f>IFERROR(__xludf.DUMMYFUNCTION("IFERROR(VLOOKUP(D1222,
IMPORTRANGE(""https://docs.google.com/spreadsheets/d/1MjHtlUikwobi2MaWJgy7tfLeBmhj1u-dRFRs_8GwSoA/edit#gid=0"",""Gestores Escolares!D7:m""),9,0),""VERIFICAR CÓD SEC"")"),"JACIARA SILVA DE BRITO")</f>
        <v>JACIARA SILVA DE BRITO</v>
      </c>
      <c r="R1222" s="82" t="str">
        <f>IFERROR(__xludf.DUMMYFUNCTION("IFERROR(VLOOKUP(D1222,
IMPORTRANGE(""https://docs.google.com/spreadsheets/d/1MjHtlUikwobi2MaWJgy7tfLeBmhj1u-dRFRs_8GwSoA/edit#gid=0"",""Gestores Escolares!D7:m""),10,0),""VERIFICAR CÓD SEC"")"),"(75) 9 9964-2131")</f>
        <v>(75) 9 9964-2131</v>
      </c>
      <c r="S1222" s="82"/>
      <c r="T1222" s="138">
        <v>21.0</v>
      </c>
      <c r="U1222" s="145" t="s">
        <v>13854</v>
      </c>
      <c r="V1222" s="106">
        <v>0.0</v>
      </c>
      <c r="W1222" s="107">
        <v>0.0</v>
      </c>
      <c r="X1222" s="107">
        <v>0.0</v>
      </c>
      <c r="Y1222" s="107">
        <v>0.0</v>
      </c>
      <c r="Z1222" s="80">
        <f t="shared" si="1"/>
        <v>0</v>
      </c>
      <c r="AA1222" s="106">
        <v>0.0</v>
      </c>
      <c r="AB1222" s="107">
        <v>0.0</v>
      </c>
      <c r="AC1222" s="107">
        <v>0.0</v>
      </c>
      <c r="AD1222" s="107">
        <v>0.0</v>
      </c>
      <c r="AE1222" s="80">
        <f t="shared" si="2"/>
        <v>0</v>
      </c>
      <c r="AF1222" s="140">
        <v>31.0</v>
      </c>
      <c r="AG1222" s="109">
        <v>20.0</v>
      </c>
      <c r="AH1222" s="109">
        <v>0.0</v>
      </c>
      <c r="AI1222" s="141">
        <v>73.0</v>
      </c>
      <c r="AJ1222" s="80">
        <f t="shared" si="3"/>
        <v>124</v>
      </c>
      <c r="AK1222" s="140">
        <v>0.0</v>
      </c>
      <c r="AL1222" s="109">
        <v>0.0</v>
      </c>
      <c r="AM1222" s="141">
        <v>0.0</v>
      </c>
      <c r="AN1222" s="80">
        <f t="shared" si="4"/>
        <v>0</v>
      </c>
      <c r="AO1222" s="140">
        <v>0.0</v>
      </c>
      <c r="AP1222" s="109">
        <v>0.0</v>
      </c>
      <c r="AQ1222" s="109">
        <v>71.0</v>
      </c>
      <c r="AR1222" s="80">
        <f t="shared" si="5"/>
        <v>71</v>
      </c>
      <c r="AS1222" s="110">
        <v>152.0</v>
      </c>
      <c r="AT1222" s="110">
        <v>58.0</v>
      </c>
      <c r="AU1222" s="110">
        <v>152.0</v>
      </c>
      <c r="AV1222" s="142">
        <v>0.0</v>
      </c>
      <c r="AW1222" s="80">
        <f t="shared" si="6"/>
        <v>362</v>
      </c>
      <c r="AX1222" s="113">
        <f t="shared" si="7"/>
        <v>557</v>
      </c>
      <c r="AY1222" s="117">
        <f t="shared" si="8"/>
        <v>334</v>
      </c>
      <c r="AZ1222" s="120">
        <f t="shared" si="9"/>
        <v>223</v>
      </c>
      <c r="BA1222" s="115">
        <v>2.0</v>
      </c>
      <c r="BB1222" s="89">
        <f t="shared" si="10"/>
        <v>559</v>
      </c>
      <c r="BC1222" s="132" t="s">
        <v>178</v>
      </c>
      <c r="BD1222" s="132" t="s">
        <v>178</v>
      </c>
      <c r="BE1222" s="132" t="s">
        <v>178</v>
      </c>
      <c r="BF1222" s="123"/>
      <c r="BG1222" s="83">
        <v>1109326.0</v>
      </c>
      <c r="BH1222" s="112"/>
      <c r="BI1222" s="112">
        <v>21.0</v>
      </c>
      <c r="BJ1222" s="98" t="s">
        <v>155</v>
      </c>
      <c r="BK1222" s="99">
        <f t="shared" si="11"/>
        <v>73</v>
      </c>
      <c r="BL1222" s="99">
        <f t="shared" si="12"/>
        <v>261</v>
      </c>
      <c r="BM1222" s="99" t="str">
        <f>IFERROR(__xludf.DUMMYFUNCTION("IFERROR(VLOOKUP(BG1222,IMPORTRANGE(""https://docs.google.com/spreadsheets/d/1juPI-Fb8LD0YtltB2mlGEnp_R3UVu1t3wSFPzgCyHXE/edit?gid=0#gid=0"",""GERAL!A2:C""),3,0),""-"")"),"-")</f>
        <v>-</v>
      </c>
    </row>
    <row r="1223" ht="15.75" customHeight="1">
      <c r="A1223" s="111" t="s">
        <v>1463</v>
      </c>
      <c r="B1223" s="83" t="s">
        <v>4828</v>
      </c>
      <c r="C1223" s="83" t="s">
        <v>68</v>
      </c>
      <c r="D1223" s="112">
        <v>1145691.0</v>
      </c>
      <c r="E1223" s="83"/>
      <c r="F1223" s="83">
        <v>2.9169607E7</v>
      </c>
      <c r="G1223" s="114" t="s">
        <v>6675</v>
      </c>
      <c r="H1223" s="91" t="s">
        <v>6676</v>
      </c>
      <c r="I1223" s="83" t="s">
        <v>6677</v>
      </c>
      <c r="J1223" s="83" t="s">
        <v>150</v>
      </c>
      <c r="K1223" s="83" t="s">
        <v>151</v>
      </c>
      <c r="L1223" s="83" t="s">
        <v>152</v>
      </c>
      <c r="M1223" s="82" t="str">
        <f>IFERROR(__xludf.DUMMYFUNCTION("IFERROR(VLOOKUP(D1223,
IMPORTRANGE(""https://docs.google.com/spreadsheets/d/1MjHtlUikwobi2MaWJgy7tfLeBmhj1u-dRFRs_8GwSoA/edit#gid=0"",""Gestores Escolares!D7:J""),3,0),""VERIFICAR CÓD SEC"")"),"AURELINO CONCEIÇÃO PEREIRA JUNIOR")</f>
        <v>AURELINO CONCEIÇÃO PEREIRA JUNIOR</v>
      </c>
      <c r="N1223" s="82" t="str">
        <f>IFERROR(__xludf.DUMMYFUNCTION("IFERROR(VLOOKUP(D1223,
IMPORTRANGE(""https://docs.google.com/spreadsheets/d/1MjHtlUikwobi2MaWJgy7tfLeBmhj1u-dRFRs_8GwSoA/edit#gid=0"",""Gestores Escolares!D7:J""),4,0),""VERIFICAR CÓD SEC"")"),"(75) 9 8182-7855")</f>
        <v>(75) 9 8182-7855</v>
      </c>
      <c r="O1223" s="82" t="str">
        <f>IFERROR(__xludf.DUMMYFUNCTION("IFERROR(VLOOKUP(D1223,
IMPORTRANGE(""https://docs.google.com/spreadsheets/d/1MjHtlUikwobi2MaWJgy7tfLeBmhj1u-dRFRs_8GwSoA/edit#gid=0"",""Gestores Escolares!D7:J""),6,0),""VERIFICAR CÓD SEC"")")," ISANA CARLA AMORIM SOUZA")</f>
        <v> ISANA CARLA AMORIM SOUZA</v>
      </c>
      <c r="P1223" s="82" t="str">
        <f>IFERROR(__xludf.DUMMYFUNCTION("IFERROR(VLOOKUP(D1223,
IMPORTRANGE(""https://docs.google.com/spreadsheets/d/1MjHtlUikwobi2MaWJgy7tfLeBmhj1u-dRFRs_8GwSoA/edit#gid=0"",""Gestores Escolares!D7:J""),7,0),""VERIFICAR CÓD SEC"")"),"(75) 9 9293-0230")</f>
        <v>(75) 9 9293-0230</v>
      </c>
      <c r="Q1223" s="82" t="str">
        <f>IFERROR(__xludf.DUMMYFUNCTION("IFERROR(VLOOKUP(D1223,
IMPORTRANGE(""https://docs.google.com/spreadsheets/d/1MjHtlUikwobi2MaWJgy7tfLeBmhj1u-dRFRs_8GwSoA/edit#gid=0"",""Gestores Escolares!D7:m""),9,0),""VERIFICAR CÓD SEC"")"),"UBIRAJARA BARRETO COSTA")</f>
        <v>UBIRAJARA BARRETO COSTA</v>
      </c>
      <c r="R1223" s="82" t="str">
        <f>IFERROR(__xludf.DUMMYFUNCTION("IFERROR(VLOOKUP(D1223,
IMPORTRANGE(""https://docs.google.com/spreadsheets/d/1MjHtlUikwobi2MaWJgy7tfLeBmhj1u-dRFRs_8GwSoA/edit#gid=0"",""Gestores Escolares!D7:m""),10,0),""VERIFICAR CÓD SEC"")"),"(75) 9 8153-8080")</f>
        <v>(75) 9 8153-8080</v>
      </c>
      <c r="S1223" s="82"/>
      <c r="T1223" s="138">
        <v>20.0</v>
      </c>
      <c r="U1223" s="139">
        <v>20.0</v>
      </c>
      <c r="V1223" s="106">
        <v>0.0</v>
      </c>
      <c r="W1223" s="107">
        <v>0.0</v>
      </c>
      <c r="X1223" s="107">
        <v>0.0</v>
      </c>
      <c r="Y1223" s="107">
        <v>0.0</v>
      </c>
      <c r="Z1223" s="80">
        <f t="shared" si="1"/>
        <v>0</v>
      </c>
      <c r="AA1223" s="106">
        <v>0.0</v>
      </c>
      <c r="AB1223" s="107">
        <v>0.0</v>
      </c>
      <c r="AC1223" s="107">
        <v>0.0</v>
      </c>
      <c r="AD1223" s="107">
        <v>0.0</v>
      </c>
      <c r="AE1223" s="80">
        <f t="shared" si="2"/>
        <v>0</v>
      </c>
      <c r="AF1223" s="140">
        <v>109.0</v>
      </c>
      <c r="AG1223" s="109">
        <v>116.0</v>
      </c>
      <c r="AH1223" s="109">
        <v>0.0</v>
      </c>
      <c r="AI1223" s="141">
        <v>0.0</v>
      </c>
      <c r="AJ1223" s="80">
        <f t="shared" si="3"/>
        <v>225</v>
      </c>
      <c r="AK1223" s="140">
        <v>0.0</v>
      </c>
      <c r="AL1223" s="109">
        <v>0.0</v>
      </c>
      <c r="AM1223" s="141">
        <v>0.0</v>
      </c>
      <c r="AN1223" s="80">
        <f t="shared" si="4"/>
        <v>0</v>
      </c>
      <c r="AO1223" s="140">
        <v>0.0</v>
      </c>
      <c r="AP1223" s="109">
        <v>0.0</v>
      </c>
      <c r="AQ1223" s="109">
        <v>111.0</v>
      </c>
      <c r="AR1223" s="80">
        <f t="shared" si="5"/>
        <v>111</v>
      </c>
      <c r="AS1223" s="110">
        <v>365.0</v>
      </c>
      <c r="AT1223" s="110">
        <v>193.0</v>
      </c>
      <c r="AU1223" s="110">
        <v>98.0</v>
      </c>
      <c r="AV1223" s="142">
        <v>0.0</v>
      </c>
      <c r="AW1223" s="80">
        <f t="shared" si="6"/>
        <v>656</v>
      </c>
      <c r="AX1223" s="113">
        <f t="shared" si="7"/>
        <v>992</v>
      </c>
      <c r="AY1223" s="117">
        <f t="shared" si="8"/>
        <v>783</v>
      </c>
      <c r="AZ1223" s="120">
        <f t="shared" si="9"/>
        <v>209</v>
      </c>
      <c r="BA1223" s="115">
        <v>4.0</v>
      </c>
      <c r="BB1223" s="89">
        <f t="shared" si="10"/>
        <v>996</v>
      </c>
      <c r="BC1223" s="132" t="s">
        <v>178</v>
      </c>
      <c r="BD1223" s="132" t="s">
        <v>178</v>
      </c>
      <c r="BE1223" s="132" t="s">
        <v>178</v>
      </c>
      <c r="BF1223" s="156"/>
      <c r="BG1223" s="83">
        <v>1145691.0</v>
      </c>
      <c r="BH1223" s="112"/>
      <c r="BI1223" s="112">
        <v>20.0</v>
      </c>
      <c r="BJ1223" s="98" t="s">
        <v>155</v>
      </c>
      <c r="BK1223" s="99">
        <f t="shared" si="11"/>
        <v>0</v>
      </c>
      <c r="BL1223" s="99">
        <f t="shared" si="12"/>
        <v>783</v>
      </c>
      <c r="BM1223" s="99" t="str">
        <f>IFERROR(__xludf.DUMMYFUNCTION("IFERROR(VLOOKUP(BG1223,IMPORTRANGE(""https://docs.google.com/spreadsheets/d/1juPI-Fb8LD0YtltB2mlGEnp_R3UVu1t3wSFPzgCyHXE/edit?gid=0#gid=0"",""GERAL!A2:C""),3,0),""-"")"),"-")</f>
        <v>-</v>
      </c>
    </row>
    <row r="1224" ht="15.75" customHeight="1">
      <c r="A1224" s="111" t="s">
        <v>1463</v>
      </c>
      <c r="B1224" s="83" t="s">
        <v>6679</v>
      </c>
      <c r="C1224" s="83" t="s">
        <v>68</v>
      </c>
      <c r="D1224" s="112">
        <v>1176467.0</v>
      </c>
      <c r="E1224" s="83"/>
      <c r="F1224" s="83">
        <v>2.940022E7</v>
      </c>
      <c r="G1224" s="119" t="s">
        <v>6680</v>
      </c>
      <c r="H1224" s="91" t="s">
        <v>6681</v>
      </c>
      <c r="I1224" s="136" t="s">
        <v>149</v>
      </c>
      <c r="J1224" s="136" t="s">
        <v>150</v>
      </c>
      <c r="K1224" s="83" t="s">
        <v>151</v>
      </c>
      <c r="L1224" s="98" t="s">
        <v>230</v>
      </c>
      <c r="M1224" s="82" t="str">
        <f>IFERROR(__xludf.DUMMYFUNCTION("IFERROR(VLOOKUP(D1224,
IMPORTRANGE(""https://docs.google.com/spreadsheets/d/1MjHtlUikwobi2MaWJgy7tfLeBmhj1u-dRFRs_8GwSoA/edit#gid=0"",""Gestores Escolares!D7:J""),3,0),""VERIFICAR CÓD SEC"")"),"DÊNISON SOARES DOS SANTOS")</f>
        <v>DÊNISON SOARES DOS SANTOS</v>
      </c>
      <c r="N1224" s="82" t="str">
        <f>IFERROR(__xludf.DUMMYFUNCTION("IFERROR(VLOOKUP(D1224,
IMPORTRANGE(""https://docs.google.com/spreadsheets/d/1MjHtlUikwobi2MaWJgy7tfLeBmhj1u-dRFRs_8GwSoA/edit#gid=0"",""Gestores Escolares!D7:J""),4,0),""VERIFICAR CÓD SEC"")"),"(75) 9 8843-0191 - Zap (71) 9 9614-6589")</f>
        <v>(75) 9 8843-0191 - Zap (71) 9 9614-6589</v>
      </c>
      <c r="O1224" s="82" t="str">
        <f>IFERROR(__xludf.DUMMYFUNCTION("IFERROR(VLOOKUP(D1224,
IMPORTRANGE(""https://docs.google.com/spreadsheets/d/1MjHtlUikwobi2MaWJgy7tfLeBmhj1u-dRFRs_8GwSoA/edit#gid=0"",""Gestores Escolares!D7:J""),6,0),""VERIFICAR CÓD SEC"")"),"VALDIRENE FELIX GRANJA")</f>
        <v>VALDIRENE FELIX GRANJA</v>
      </c>
      <c r="P1224" s="82" t="str">
        <f>IFERROR(__xludf.DUMMYFUNCTION("IFERROR(VLOOKUP(D1224,
IMPORTRANGE(""https://docs.google.com/spreadsheets/d/1MjHtlUikwobi2MaWJgy7tfLeBmhj1u-dRFRs_8GwSoA/edit#gid=0"",""Gestores Escolares!D7:J""),7,0),""VERIFICAR CÓD SEC"")"),"(75) 9 8843-5251")</f>
        <v>(75) 9 8843-5251</v>
      </c>
      <c r="Q1224" s="82" t="str">
        <f>IFERROR(__xludf.DUMMYFUNCTION("IFERROR(VLOOKUP(D1224,
IMPORTRANGE(""https://docs.google.com/spreadsheets/d/1MjHtlUikwobi2MaWJgy7tfLeBmhj1u-dRFRs_8GwSoA/edit#gid=0"",""Gestores Escolares!D7:m""),9,0),""VERIFICAR CÓD SEC"")"),"JAIME DE AZEVEDO SILVA")</f>
        <v>JAIME DE AZEVEDO SILVA</v>
      </c>
      <c r="R1224" s="82" t="str">
        <f>IFERROR(__xludf.DUMMYFUNCTION("IFERROR(VLOOKUP(D1224,
IMPORTRANGE(""https://docs.google.com/spreadsheets/d/1MjHtlUikwobi2MaWJgy7tfLeBmhj1u-dRFRs_8GwSoA/edit#gid=0"",""Gestores Escolares!D7:m""),10,0),""VERIFICAR CÓD SEC"")"),"(71) 9 9997-2796")</f>
        <v>(71) 9 9997-2796</v>
      </c>
      <c r="S1224" s="82"/>
      <c r="T1224" s="138">
        <v>8.0</v>
      </c>
      <c r="U1224" s="145" t="s">
        <v>13855</v>
      </c>
      <c r="V1224" s="106">
        <v>0.0</v>
      </c>
      <c r="W1224" s="107">
        <v>0.0</v>
      </c>
      <c r="X1224" s="107">
        <v>0.0</v>
      </c>
      <c r="Y1224" s="107">
        <v>0.0</v>
      </c>
      <c r="Z1224" s="80">
        <f t="shared" si="1"/>
        <v>0</v>
      </c>
      <c r="AA1224" s="106">
        <v>0.0</v>
      </c>
      <c r="AB1224" s="107">
        <v>0.0</v>
      </c>
      <c r="AC1224" s="107">
        <v>0.0</v>
      </c>
      <c r="AD1224" s="107">
        <v>0.0</v>
      </c>
      <c r="AE1224" s="80">
        <f t="shared" si="2"/>
        <v>0</v>
      </c>
      <c r="AF1224" s="140">
        <v>44.0</v>
      </c>
      <c r="AG1224" s="109">
        <v>30.0</v>
      </c>
      <c r="AH1224" s="109">
        <v>0.0</v>
      </c>
      <c r="AI1224" s="141">
        <v>634.0</v>
      </c>
      <c r="AJ1224" s="80">
        <f t="shared" si="3"/>
        <v>708</v>
      </c>
      <c r="AK1224" s="140">
        <v>0.0</v>
      </c>
      <c r="AL1224" s="109">
        <v>0.0</v>
      </c>
      <c r="AM1224" s="141">
        <v>0.0</v>
      </c>
      <c r="AN1224" s="80">
        <f t="shared" si="4"/>
        <v>0</v>
      </c>
      <c r="AO1224" s="140">
        <v>0.0</v>
      </c>
      <c r="AP1224" s="109">
        <v>0.0</v>
      </c>
      <c r="AQ1224" s="109">
        <v>126.0</v>
      </c>
      <c r="AR1224" s="80">
        <f t="shared" si="5"/>
        <v>126</v>
      </c>
      <c r="AS1224" s="110">
        <v>0.0</v>
      </c>
      <c r="AT1224" s="110">
        <v>41.0</v>
      </c>
      <c r="AU1224" s="110">
        <v>0.0</v>
      </c>
      <c r="AV1224" s="142">
        <v>0.0</v>
      </c>
      <c r="AW1224" s="80">
        <f t="shared" si="6"/>
        <v>41</v>
      </c>
      <c r="AX1224" s="113">
        <f t="shared" si="7"/>
        <v>875</v>
      </c>
      <c r="AY1224" s="117">
        <f t="shared" si="8"/>
        <v>749</v>
      </c>
      <c r="AZ1224" s="120">
        <f t="shared" si="9"/>
        <v>126</v>
      </c>
      <c r="BA1224" s="115">
        <v>0.0</v>
      </c>
      <c r="BB1224" s="89">
        <f t="shared" si="10"/>
        <v>875</v>
      </c>
      <c r="BC1224" s="132" t="s">
        <v>178</v>
      </c>
      <c r="BD1224" s="132" t="s">
        <v>178</v>
      </c>
      <c r="BE1224" s="132" t="s">
        <v>178</v>
      </c>
      <c r="BF1224" s="156"/>
      <c r="BG1224" s="83">
        <v>1176467.0</v>
      </c>
      <c r="BH1224" s="112"/>
      <c r="BI1224" s="112">
        <v>8.0</v>
      </c>
      <c r="BJ1224" s="98" t="s">
        <v>162</v>
      </c>
      <c r="BK1224" s="99">
        <f t="shared" si="11"/>
        <v>634</v>
      </c>
      <c r="BL1224" s="99">
        <f t="shared" si="12"/>
        <v>115</v>
      </c>
      <c r="BM1224" s="99" t="str">
        <f>IFERROR(__xludf.DUMMYFUNCTION("IFERROR(VLOOKUP(BG1224,IMPORTRANGE(""https://docs.google.com/spreadsheets/d/1juPI-Fb8LD0YtltB2mlGEnp_R3UVu1t3wSFPzgCyHXE/edit?gid=0#gid=0"",""GERAL!A2:C""),3,0),""-"")"),"-")</f>
        <v>-</v>
      </c>
    </row>
    <row r="1225" ht="15.75" customHeight="1">
      <c r="A1225" s="111" t="s">
        <v>1463</v>
      </c>
      <c r="B1225" s="83" t="s">
        <v>6690</v>
      </c>
      <c r="C1225" s="83" t="s">
        <v>68</v>
      </c>
      <c r="D1225" s="112">
        <v>1134568.0</v>
      </c>
      <c r="E1225" s="83"/>
      <c r="F1225" s="83">
        <v>2.9170583E7</v>
      </c>
      <c r="G1225" s="153" t="s">
        <v>6691</v>
      </c>
      <c r="H1225" s="108" t="s">
        <v>6692</v>
      </c>
      <c r="I1225" s="83" t="s">
        <v>149</v>
      </c>
      <c r="J1225" s="83" t="s">
        <v>150</v>
      </c>
      <c r="K1225" s="83" t="s">
        <v>151</v>
      </c>
      <c r="L1225" s="83" t="s">
        <v>230</v>
      </c>
      <c r="M1225" s="82" t="str">
        <f>IFERROR(__xludf.DUMMYFUNCTION("IFERROR(VLOOKUP(D1225,
IMPORTRANGE(""https://docs.google.com/spreadsheets/d/1MjHtlUikwobi2MaWJgy7tfLeBmhj1u-dRFRs_8GwSoA/edit#gid=0"",""Gestores Escolares!D7:J""),3,0),""VERIFICAR CÓD SEC"")"),"WILLIANA NEPOMUCENO SINVAL")</f>
        <v>WILLIANA NEPOMUCENO SINVAL</v>
      </c>
      <c r="N1225" s="82" t="str">
        <f>IFERROR(__xludf.DUMMYFUNCTION("IFERROR(VLOOKUP(D1225,
IMPORTRANGE(""https://docs.google.com/spreadsheets/d/1MjHtlUikwobi2MaWJgy7tfLeBmhj1u-dRFRs_8GwSoA/edit#gid=0"",""Gestores Escolares!D7:J""),4,0),""VERIFICAR CÓD SEC"")"),"(75) 9 8100-8625
")</f>
        <v>(75) 9 8100-8625
</v>
      </c>
      <c r="O1225" s="82" t="str">
        <f>IFERROR(__xludf.DUMMYFUNCTION("IFERROR(VLOOKUP(D1225,
IMPORTRANGE(""https://docs.google.com/spreadsheets/d/1MjHtlUikwobi2MaWJgy7tfLeBmhj1u-dRFRs_8GwSoA/edit#gid=0"",""Gestores Escolares!D7:J""),6,0),""VERIFICAR CÓD SEC"")"),"ELANY CRISTINA SEIXAS OLIVEIRA DE CASTRO")</f>
        <v>ELANY CRISTINA SEIXAS OLIVEIRA DE CASTRO</v>
      </c>
      <c r="P1225" s="82" t="str">
        <f>IFERROR(__xludf.DUMMYFUNCTION("IFERROR(VLOOKUP(D1225,
IMPORTRANGE(""https://docs.google.com/spreadsheets/d/1MjHtlUikwobi2MaWJgy7tfLeBmhj1u-dRFRs_8GwSoA/edit#gid=0"",""Gestores Escolares!D7:J""),7,0),""VERIFICAR CÓD SEC"")"),"(75) 9 9963-6399")</f>
        <v>(75) 9 9963-6399</v>
      </c>
      <c r="Q1225" s="82" t="str">
        <f>IFERROR(__xludf.DUMMYFUNCTION("IFERROR(VLOOKUP(D1225,
IMPORTRANGE(""https://docs.google.com/spreadsheets/d/1MjHtlUikwobi2MaWJgy7tfLeBmhj1u-dRFRs_8GwSoA/edit#gid=0"",""Gestores Escolares!D7:m""),9,0),""VERIFICAR CÓD SEC"")"),"NAIHARA DE FREITAS CARVALHO")</f>
        <v>NAIHARA DE FREITAS CARVALHO</v>
      </c>
      <c r="R1225" s="82" t="str">
        <f>IFERROR(__xludf.DUMMYFUNCTION("IFERROR(VLOOKUP(D1225,
IMPORTRANGE(""https://docs.google.com/spreadsheets/d/1MjHtlUikwobi2MaWJgy7tfLeBmhj1u-dRFRs_8GwSoA/edit#gid=0"",""Gestores Escolares!D7:m""),10,0),""VERIFICAR CÓD SEC"")"),"(75) 9 8169-0169
")</f>
        <v>(75) 9 8169-0169
</v>
      </c>
      <c r="S1225" s="82"/>
      <c r="T1225" s="138">
        <v>22.0</v>
      </c>
      <c r="U1225" s="627">
        <v>24.0</v>
      </c>
      <c r="V1225" s="106">
        <v>0.0</v>
      </c>
      <c r="W1225" s="107">
        <v>0.0</v>
      </c>
      <c r="X1225" s="107">
        <v>0.0</v>
      </c>
      <c r="Y1225" s="107">
        <v>0.0</v>
      </c>
      <c r="Z1225" s="80">
        <f t="shared" si="1"/>
        <v>0</v>
      </c>
      <c r="AA1225" s="106">
        <v>0.0</v>
      </c>
      <c r="AB1225" s="107">
        <v>0.0</v>
      </c>
      <c r="AC1225" s="107">
        <v>0.0</v>
      </c>
      <c r="AD1225" s="107">
        <v>0.0</v>
      </c>
      <c r="AE1225" s="80">
        <f t="shared" si="2"/>
        <v>0</v>
      </c>
      <c r="AF1225" s="140">
        <v>155.0</v>
      </c>
      <c r="AG1225" s="109">
        <v>0.0</v>
      </c>
      <c r="AH1225" s="109">
        <v>0.0</v>
      </c>
      <c r="AI1225" s="141">
        <v>315.0</v>
      </c>
      <c r="AJ1225" s="80">
        <f t="shared" si="3"/>
        <v>470</v>
      </c>
      <c r="AK1225" s="140">
        <v>0.0</v>
      </c>
      <c r="AL1225" s="109">
        <v>0.0</v>
      </c>
      <c r="AM1225" s="141">
        <v>0.0</v>
      </c>
      <c r="AN1225" s="80">
        <f t="shared" si="4"/>
        <v>0</v>
      </c>
      <c r="AO1225" s="140">
        <v>0.0</v>
      </c>
      <c r="AP1225" s="109">
        <v>0.0</v>
      </c>
      <c r="AQ1225" s="109">
        <v>124.0</v>
      </c>
      <c r="AR1225" s="80">
        <f t="shared" si="5"/>
        <v>124</v>
      </c>
      <c r="AS1225" s="110">
        <v>0.0</v>
      </c>
      <c r="AT1225" s="110">
        <v>0.0</v>
      </c>
      <c r="AU1225" s="110">
        <v>50.0</v>
      </c>
      <c r="AV1225" s="142">
        <v>117.0</v>
      </c>
      <c r="AW1225" s="80">
        <f t="shared" si="6"/>
        <v>167</v>
      </c>
      <c r="AX1225" s="113">
        <f t="shared" si="7"/>
        <v>761</v>
      </c>
      <c r="AY1225" s="117">
        <f t="shared" si="8"/>
        <v>587</v>
      </c>
      <c r="AZ1225" s="120">
        <f t="shared" si="9"/>
        <v>174</v>
      </c>
      <c r="BA1225" s="115">
        <v>0.0</v>
      </c>
      <c r="BB1225" s="89">
        <f t="shared" si="10"/>
        <v>761</v>
      </c>
      <c r="BC1225" s="132" t="s">
        <v>178</v>
      </c>
      <c r="BD1225" s="132" t="s">
        <v>178</v>
      </c>
      <c r="BE1225" s="132" t="s">
        <v>178</v>
      </c>
      <c r="BF1225" s="156"/>
      <c r="BG1225" s="83">
        <v>1134568.0</v>
      </c>
      <c r="BH1225" s="112"/>
      <c r="BI1225" s="112">
        <v>22.0</v>
      </c>
      <c r="BJ1225" s="98" t="s">
        <v>162</v>
      </c>
      <c r="BK1225" s="99">
        <f t="shared" si="11"/>
        <v>432</v>
      </c>
      <c r="BL1225" s="99">
        <f t="shared" si="12"/>
        <v>155</v>
      </c>
      <c r="BM1225" s="99" t="str">
        <f>IFERROR(__xludf.DUMMYFUNCTION("IFERROR(VLOOKUP(BG1225,IMPORTRANGE(""https://docs.google.com/spreadsheets/d/1juPI-Fb8LD0YtltB2mlGEnp_R3UVu1t3wSFPzgCyHXE/edit?gid=0#gid=0"",""GERAL!A2:C""),3,0),""-"")"),"-")</f>
        <v>-</v>
      </c>
    </row>
    <row r="1226" ht="15.75" customHeight="1">
      <c r="A1226" s="111" t="s">
        <v>1463</v>
      </c>
      <c r="B1226" s="83" t="s">
        <v>6690</v>
      </c>
      <c r="C1226" s="83" t="s">
        <v>68</v>
      </c>
      <c r="D1226" s="112">
        <v>1178052.0</v>
      </c>
      <c r="E1226" s="83"/>
      <c r="F1226" s="83">
        <v>2.9426383E7</v>
      </c>
      <c r="G1226" s="114" t="s">
        <v>6702</v>
      </c>
      <c r="H1226" s="91" t="s">
        <v>6703</v>
      </c>
      <c r="I1226" s="83" t="s">
        <v>149</v>
      </c>
      <c r="J1226" s="83" t="s">
        <v>240</v>
      </c>
      <c r="K1226" s="83" t="s">
        <v>151</v>
      </c>
      <c r="L1226" s="83" t="s">
        <v>76</v>
      </c>
      <c r="M1226" s="82" t="str">
        <f>IFERROR(__xludf.DUMMYFUNCTION("IFERROR(VLOOKUP(D1226,
IMPORTRANGE(""https://docs.google.com/spreadsheets/d/1MjHtlUikwobi2MaWJgy7tfLeBmhj1u-dRFRs_8GwSoA/edit#gid=0"",""Gestores Escolares!D7:J""),3,0),""VERIFICAR CÓD SEC"")"),"MARISTELA PORTELA PEREIRA")</f>
        <v>MARISTELA PORTELA PEREIRA</v>
      </c>
      <c r="N1226" s="82" t="str">
        <f>IFERROR(__xludf.DUMMYFUNCTION("IFERROR(VLOOKUP(D1226,
IMPORTRANGE(""https://docs.google.com/spreadsheets/d/1MjHtlUikwobi2MaWJgy7tfLeBmhj1u-dRFRs_8GwSoA/edit#gid=0"",""Gestores Escolares!D7:J""),4,0),""VERIFICAR CÓD SEC"")"),"(75) 9 9964-3608")</f>
        <v>(75) 9 9964-3608</v>
      </c>
      <c r="O1226" s="82" t="str">
        <f>IFERROR(__xludf.DUMMYFUNCTION("IFERROR(VLOOKUP(D1226,
IMPORTRANGE(""https://docs.google.com/spreadsheets/d/1MjHtlUikwobi2MaWJgy7tfLeBmhj1u-dRFRs_8GwSoA/edit#gid=0"",""Gestores Escolares!D7:J""),6,0),""VERIFICAR CÓD SEC"")"),"")</f>
        <v/>
      </c>
      <c r="P1226" s="82" t="str">
        <f>IFERROR(__xludf.DUMMYFUNCTION("IFERROR(VLOOKUP(D1226,
IMPORTRANGE(""https://docs.google.com/spreadsheets/d/1MjHtlUikwobi2MaWJgy7tfLeBmhj1u-dRFRs_8GwSoA/edit#gid=0"",""Gestores Escolares!D7:J""),7,0),""VERIFICAR CÓD SEC"")"),"")</f>
        <v/>
      </c>
      <c r="Q1226" s="82" t="str">
        <f>IFERROR(__xludf.DUMMYFUNCTION("IFERROR(VLOOKUP(D1226,
IMPORTRANGE(""https://docs.google.com/spreadsheets/d/1MjHtlUikwobi2MaWJgy7tfLeBmhj1u-dRFRs_8GwSoA/edit#gid=0"",""Gestores Escolares!D7:m""),9,0),""VERIFICAR CÓD SEC"")"),"")</f>
        <v/>
      </c>
      <c r="R1226" s="82" t="str">
        <f>IFERROR(__xludf.DUMMYFUNCTION("IFERROR(VLOOKUP(D1226,
IMPORTRANGE(""https://docs.google.com/spreadsheets/d/1MjHtlUikwobi2MaWJgy7tfLeBmhj1u-dRFRs_8GwSoA/edit#gid=0"",""Gestores Escolares!D7:m""),10,0),""VERIFICAR CÓD SEC"")"),"")</f>
        <v/>
      </c>
      <c r="S1226" s="82"/>
      <c r="T1226" s="138">
        <v>7.0</v>
      </c>
      <c r="U1226" s="599" t="s">
        <v>13856</v>
      </c>
      <c r="V1226" s="106">
        <v>0.0</v>
      </c>
      <c r="W1226" s="107">
        <v>0.0</v>
      </c>
      <c r="X1226" s="107">
        <v>0.0</v>
      </c>
      <c r="Y1226" s="107">
        <v>0.0</v>
      </c>
      <c r="Z1226" s="80">
        <f t="shared" si="1"/>
        <v>0</v>
      </c>
      <c r="AA1226" s="106">
        <v>0.0</v>
      </c>
      <c r="AB1226" s="107">
        <v>0.0</v>
      </c>
      <c r="AC1226" s="107">
        <v>0.0</v>
      </c>
      <c r="AD1226" s="107">
        <v>0.0</v>
      </c>
      <c r="AE1226" s="80">
        <f t="shared" si="2"/>
        <v>0</v>
      </c>
      <c r="AF1226" s="140">
        <v>81.0</v>
      </c>
      <c r="AG1226" s="109">
        <v>0.0</v>
      </c>
      <c r="AH1226" s="109">
        <v>0.0</v>
      </c>
      <c r="AI1226" s="141">
        <v>99.0</v>
      </c>
      <c r="AJ1226" s="80">
        <f t="shared" si="3"/>
        <v>180</v>
      </c>
      <c r="AK1226" s="140">
        <v>0.0</v>
      </c>
      <c r="AL1226" s="109">
        <v>0.0</v>
      </c>
      <c r="AM1226" s="141">
        <v>0.0</v>
      </c>
      <c r="AN1226" s="80">
        <f t="shared" si="4"/>
        <v>0</v>
      </c>
      <c r="AO1226" s="140">
        <v>0.0</v>
      </c>
      <c r="AP1226" s="109">
        <v>0.0</v>
      </c>
      <c r="AQ1226" s="109">
        <v>91.0</v>
      </c>
      <c r="AR1226" s="80">
        <f t="shared" si="5"/>
        <v>91</v>
      </c>
      <c r="AS1226" s="110">
        <v>0.0</v>
      </c>
      <c r="AT1226" s="110">
        <v>0.0</v>
      </c>
      <c r="AU1226" s="110">
        <v>0.0</v>
      </c>
      <c r="AV1226" s="142">
        <v>0.0</v>
      </c>
      <c r="AW1226" s="80">
        <f t="shared" si="6"/>
        <v>0</v>
      </c>
      <c r="AX1226" s="113">
        <f t="shared" si="7"/>
        <v>271</v>
      </c>
      <c r="AY1226" s="117">
        <f t="shared" si="8"/>
        <v>180</v>
      </c>
      <c r="AZ1226" s="120">
        <f t="shared" si="9"/>
        <v>91</v>
      </c>
      <c r="BA1226" s="115">
        <v>0.0</v>
      </c>
      <c r="BB1226" s="89">
        <f t="shared" si="10"/>
        <v>271</v>
      </c>
      <c r="BC1226" s="132" t="s">
        <v>373</v>
      </c>
      <c r="BD1226" s="132" t="s">
        <v>178</v>
      </c>
      <c r="BE1226" s="132" t="s">
        <v>178</v>
      </c>
      <c r="BF1226" s="123"/>
      <c r="BG1226" s="83">
        <v>1178052.0</v>
      </c>
      <c r="BH1226" s="112"/>
      <c r="BI1226" s="112">
        <v>6.0</v>
      </c>
      <c r="BJ1226" s="98" t="s">
        <v>155</v>
      </c>
      <c r="BK1226" s="99">
        <f t="shared" si="11"/>
        <v>99</v>
      </c>
      <c r="BL1226" s="99">
        <f t="shared" si="12"/>
        <v>81</v>
      </c>
      <c r="BM1226" s="99" t="str">
        <f>IFERROR(__xludf.DUMMYFUNCTION("IFERROR(VLOOKUP(BG1226,IMPORTRANGE(""https://docs.google.com/spreadsheets/d/1juPI-Fb8LD0YtltB2mlGEnp_R3UVu1t3wSFPzgCyHXE/edit?gid=0#gid=0"",""GERAL!A2:C""),3,0),""-"")"),"CAMPO")</f>
        <v>CAMPO</v>
      </c>
    </row>
    <row r="1227" ht="15.75" customHeight="1">
      <c r="A1227" s="111" t="s">
        <v>1463</v>
      </c>
      <c r="B1227" s="83" t="s">
        <v>6690</v>
      </c>
      <c r="C1227" s="83" t="s">
        <v>68</v>
      </c>
      <c r="D1227" s="112">
        <v>1178262.0</v>
      </c>
      <c r="E1227" s="83"/>
      <c r="F1227" s="83">
        <v>2.9432537E7</v>
      </c>
      <c r="G1227" s="114" t="s">
        <v>6712</v>
      </c>
      <c r="H1227" s="91" t="s">
        <v>6713</v>
      </c>
      <c r="I1227" s="83" t="s">
        <v>149</v>
      </c>
      <c r="J1227" s="83" t="s">
        <v>4299</v>
      </c>
      <c r="K1227" s="83" t="s">
        <v>151</v>
      </c>
      <c r="L1227" s="83" t="s">
        <v>169</v>
      </c>
      <c r="M1227" s="82" t="str">
        <f>IFERROR(__xludf.DUMMYFUNCTION("IFERROR(VLOOKUP(D1227,
IMPORTRANGE(""https://docs.google.com/spreadsheets/d/1MjHtlUikwobi2MaWJgy7tfLeBmhj1u-dRFRs_8GwSoA/edit#gid=0"",""Gestores Escolares!D7:J""),3,0),""VERIFICAR CÓD SEC"")"),"MERCIA MARGARETE OLIVEIRA")</f>
        <v>MERCIA MARGARETE OLIVEIRA</v>
      </c>
      <c r="N1227" s="82" t="str">
        <f>IFERROR(__xludf.DUMMYFUNCTION("IFERROR(VLOOKUP(D1227,
IMPORTRANGE(""https://docs.google.com/spreadsheets/d/1MjHtlUikwobi2MaWJgy7tfLeBmhj1u-dRFRs_8GwSoA/edit#gid=0"",""Gestores Escolares!D7:J""),4,0),""VERIFICAR CÓD SEC"")"),"(75) 9 9989-0862")</f>
        <v>(75) 9 9989-0862</v>
      </c>
      <c r="O1227" s="82" t="str">
        <f>IFERROR(__xludf.DUMMYFUNCTION("IFERROR(VLOOKUP(D1227,
IMPORTRANGE(""https://docs.google.com/spreadsheets/d/1MjHtlUikwobi2MaWJgy7tfLeBmhj1u-dRFRs_8GwSoA/edit#gid=0"",""Gestores Escolares!D7:J""),6,0),""VERIFICAR CÓD SEC"")"),"SIMONE RODRIGUES DA SILVA")</f>
        <v>SIMONE RODRIGUES DA SILVA</v>
      </c>
      <c r="P1227" s="82" t="str">
        <f>IFERROR(__xludf.DUMMYFUNCTION("IFERROR(VLOOKUP(D1227,
IMPORTRANGE(""https://docs.google.com/spreadsheets/d/1MjHtlUikwobi2MaWJgy7tfLeBmhj1u-dRFRs_8GwSoA/edit#gid=0"",""Gestores Escolares!D7:J""),7,0),""VERIFICAR CÓD SEC"")"),"(75) 9 9189-7306")</f>
        <v>(75) 9 9189-7306</v>
      </c>
      <c r="Q1227" s="82" t="str">
        <f>IFERROR(__xludf.DUMMYFUNCTION("IFERROR(VLOOKUP(D1227,
IMPORTRANGE(""https://docs.google.com/spreadsheets/d/1MjHtlUikwobi2MaWJgy7tfLeBmhj1u-dRFRs_8GwSoA/edit#gid=0"",""Gestores Escolares!D7:m""),9,0),""VERIFICAR CÓD SEC"")"),"")</f>
        <v/>
      </c>
      <c r="R1227" s="82" t="str">
        <f>IFERROR(__xludf.DUMMYFUNCTION("IFERROR(VLOOKUP(D1227,
IMPORTRANGE(""https://docs.google.com/spreadsheets/d/1MjHtlUikwobi2MaWJgy7tfLeBmhj1u-dRFRs_8GwSoA/edit#gid=0"",""Gestores Escolares!D7:m""),10,0),""VERIFICAR CÓD SEC"")"),"")</f>
        <v/>
      </c>
      <c r="S1227" s="82"/>
      <c r="T1227" s="138">
        <v>6.0</v>
      </c>
      <c r="U1227" s="627">
        <v>6.0</v>
      </c>
      <c r="V1227" s="106">
        <v>0.0</v>
      </c>
      <c r="W1227" s="107">
        <v>0.0</v>
      </c>
      <c r="X1227" s="107">
        <v>0.0</v>
      </c>
      <c r="Y1227" s="107">
        <v>0.0</v>
      </c>
      <c r="Z1227" s="80">
        <f t="shared" si="1"/>
        <v>0</v>
      </c>
      <c r="AA1227" s="106">
        <v>0.0</v>
      </c>
      <c r="AB1227" s="107">
        <v>0.0</v>
      </c>
      <c r="AC1227" s="107">
        <v>0.0</v>
      </c>
      <c r="AD1227" s="107">
        <v>0.0</v>
      </c>
      <c r="AE1227" s="80">
        <f t="shared" si="2"/>
        <v>0</v>
      </c>
      <c r="AF1227" s="140">
        <v>0.0</v>
      </c>
      <c r="AG1227" s="109">
        <v>138.0</v>
      </c>
      <c r="AH1227" s="109">
        <v>0.0</v>
      </c>
      <c r="AI1227" s="141">
        <v>0.0</v>
      </c>
      <c r="AJ1227" s="80">
        <f t="shared" si="3"/>
        <v>138</v>
      </c>
      <c r="AK1227" s="140">
        <v>0.0</v>
      </c>
      <c r="AL1227" s="109">
        <v>0.0</v>
      </c>
      <c r="AM1227" s="141">
        <v>0.0</v>
      </c>
      <c r="AN1227" s="80">
        <f t="shared" si="4"/>
        <v>0</v>
      </c>
      <c r="AO1227" s="140">
        <v>0.0</v>
      </c>
      <c r="AP1227" s="109">
        <v>0.0</v>
      </c>
      <c r="AQ1227" s="109">
        <v>43.0</v>
      </c>
      <c r="AR1227" s="80">
        <f t="shared" si="5"/>
        <v>43</v>
      </c>
      <c r="AS1227" s="110">
        <v>0.0</v>
      </c>
      <c r="AT1227" s="110">
        <v>0.0</v>
      </c>
      <c r="AU1227" s="110">
        <v>0.0</v>
      </c>
      <c r="AV1227" s="142">
        <v>0.0</v>
      </c>
      <c r="AW1227" s="80">
        <f t="shared" si="6"/>
        <v>0</v>
      </c>
      <c r="AX1227" s="113">
        <f t="shared" si="7"/>
        <v>181</v>
      </c>
      <c r="AY1227" s="117">
        <f t="shared" si="8"/>
        <v>138</v>
      </c>
      <c r="AZ1227" s="120">
        <f t="shared" si="9"/>
        <v>43</v>
      </c>
      <c r="BA1227" s="115">
        <v>0.0</v>
      </c>
      <c r="BB1227" s="89">
        <f t="shared" si="10"/>
        <v>181</v>
      </c>
      <c r="BC1227" s="132" t="s">
        <v>178</v>
      </c>
      <c r="BD1227" s="132" t="s">
        <v>178</v>
      </c>
      <c r="BE1227" s="132" t="s">
        <v>178</v>
      </c>
      <c r="BF1227" s="123"/>
      <c r="BG1227" s="83">
        <v>1178262.0</v>
      </c>
      <c r="BH1227" s="112"/>
      <c r="BI1227" s="112">
        <v>6.0</v>
      </c>
      <c r="BJ1227" s="98" t="s">
        <v>155</v>
      </c>
      <c r="BK1227" s="99">
        <f t="shared" si="11"/>
        <v>0</v>
      </c>
      <c r="BL1227" s="99">
        <f t="shared" si="12"/>
        <v>138</v>
      </c>
      <c r="BM1227" s="99" t="str">
        <f>IFERROR(__xludf.DUMMYFUNCTION("IFERROR(VLOOKUP(BG1227,IMPORTRANGE(""https://docs.google.com/spreadsheets/d/1juPI-Fb8LD0YtltB2mlGEnp_R3UVu1t3wSFPzgCyHXE/edit?gid=0#gid=0"",""GERAL!A2:C""),3,0),""-"")"),"-")</f>
        <v>-</v>
      </c>
    </row>
    <row r="1228" ht="15.75" customHeight="1">
      <c r="A1228" s="111" t="s">
        <v>1463</v>
      </c>
      <c r="B1228" s="83" t="s">
        <v>6690</v>
      </c>
      <c r="C1228" s="83" t="s">
        <v>68</v>
      </c>
      <c r="D1228" s="112">
        <v>1134665.0</v>
      </c>
      <c r="E1228" s="83"/>
      <c r="F1228" s="83">
        <v>2.9170877E7</v>
      </c>
      <c r="G1228" s="114" t="s">
        <v>6715</v>
      </c>
      <c r="H1228" s="91" t="s">
        <v>6716</v>
      </c>
      <c r="I1228" s="83" t="s">
        <v>149</v>
      </c>
      <c r="J1228" s="83" t="s">
        <v>150</v>
      </c>
      <c r="K1228" s="83" t="s">
        <v>151</v>
      </c>
      <c r="L1228" s="83" t="s">
        <v>230</v>
      </c>
      <c r="M1228" s="82" t="str">
        <f>IFERROR(__xludf.DUMMYFUNCTION("IFERROR(VLOOKUP(D1228,
IMPORTRANGE(""https://docs.google.com/spreadsheets/d/1MjHtlUikwobi2MaWJgy7tfLeBmhj1u-dRFRs_8GwSoA/edit#gid=0"",""Gestores Escolares!D7:J""),3,0),""VERIFICAR CÓD SEC"")"),"GEISA SODRE SCHITINI")</f>
        <v>GEISA SODRE SCHITINI</v>
      </c>
      <c r="N1228" s="82" t="str">
        <f>IFERROR(__xludf.DUMMYFUNCTION("IFERROR(VLOOKUP(D1228,
IMPORTRANGE(""https://docs.google.com/spreadsheets/d/1MjHtlUikwobi2MaWJgy7tfLeBmhj1u-dRFRs_8GwSoA/edit#gid=0"",""Gestores Escolares!D7:J""),4,0),""VERIFICAR CÓD SEC"")"),"(75) 9 9877-7318")</f>
        <v>(75) 9 9877-7318</v>
      </c>
      <c r="O1228" s="82" t="str">
        <f>IFERROR(__xludf.DUMMYFUNCTION("IFERROR(VLOOKUP(D1228,
IMPORTRANGE(""https://docs.google.com/spreadsheets/d/1MjHtlUikwobi2MaWJgy7tfLeBmhj1u-dRFRs_8GwSoA/edit#gid=0"",""Gestores Escolares!D7:J""),6,0),""VERIFICAR CÓD SEC"")"),"")</f>
        <v/>
      </c>
      <c r="P1228" s="82" t="str">
        <f>IFERROR(__xludf.DUMMYFUNCTION("IFERROR(VLOOKUP(D1228,
IMPORTRANGE(""https://docs.google.com/spreadsheets/d/1MjHtlUikwobi2MaWJgy7tfLeBmhj1u-dRFRs_8GwSoA/edit#gid=0"",""Gestores Escolares!D7:J""),7,0),""VERIFICAR CÓD SEC"")"),"")</f>
        <v/>
      </c>
      <c r="Q1228" s="82" t="str">
        <f>IFERROR(__xludf.DUMMYFUNCTION("IFERROR(VLOOKUP(D1228,
IMPORTRANGE(""https://docs.google.com/spreadsheets/d/1MjHtlUikwobi2MaWJgy7tfLeBmhj1u-dRFRs_8GwSoA/edit#gid=0"",""Gestores Escolares!D7:m""),9,0),""VERIFICAR CÓD SEC"")"),"")</f>
        <v/>
      </c>
      <c r="R1228" s="82" t="str">
        <f>IFERROR(__xludf.DUMMYFUNCTION("IFERROR(VLOOKUP(D1228,
IMPORTRANGE(""https://docs.google.com/spreadsheets/d/1MjHtlUikwobi2MaWJgy7tfLeBmhj1u-dRFRs_8GwSoA/edit#gid=0"",""Gestores Escolares!D7:m""),10,0),""VERIFICAR CÓD SEC"")"),"")</f>
        <v/>
      </c>
      <c r="S1228" s="82"/>
      <c r="T1228" s="138">
        <v>20.0</v>
      </c>
      <c r="U1228" s="627">
        <v>20.0</v>
      </c>
      <c r="V1228" s="106">
        <v>0.0</v>
      </c>
      <c r="W1228" s="107">
        <v>0.0</v>
      </c>
      <c r="X1228" s="107">
        <v>0.0</v>
      </c>
      <c r="Y1228" s="107">
        <v>0.0</v>
      </c>
      <c r="Z1228" s="80">
        <f t="shared" si="1"/>
        <v>0</v>
      </c>
      <c r="AA1228" s="106">
        <v>0.0</v>
      </c>
      <c r="AB1228" s="107">
        <v>0.0</v>
      </c>
      <c r="AC1228" s="107">
        <v>0.0</v>
      </c>
      <c r="AD1228" s="107">
        <v>0.0</v>
      </c>
      <c r="AE1228" s="80">
        <f t="shared" si="2"/>
        <v>0</v>
      </c>
      <c r="AF1228" s="140">
        <v>0.0</v>
      </c>
      <c r="AG1228" s="109">
        <v>0.0</v>
      </c>
      <c r="AH1228" s="109">
        <v>0.0</v>
      </c>
      <c r="AI1228" s="141">
        <v>0.0</v>
      </c>
      <c r="AJ1228" s="80">
        <f t="shared" si="3"/>
        <v>0</v>
      </c>
      <c r="AK1228" s="140">
        <v>0.0</v>
      </c>
      <c r="AL1228" s="109">
        <v>0.0</v>
      </c>
      <c r="AM1228" s="141">
        <v>0.0</v>
      </c>
      <c r="AN1228" s="80">
        <f t="shared" si="4"/>
        <v>0</v>
      </c>
      <c r="AO1228" s="140">
        <v>0.0</v>
      </c>
      <c r="AP1228" s="109">
        <v>0.0</v>
      </c>
      <c r="AQ1228" s="109">
        <v>0.0</v>
      </c>
      <c r="AR1228" s="80">
        <f t="shared" si="5"/>
        <v>0</v>
      </c>
      <c r="AS1228" s="110">
        <v>400.0</v>
      </c>
      <c r="AT1228" s="110">
        <v>263.0</v>
      </c>
      <c r="AU1228" s="110">
        <v>75.0</v>
      </c>
      <c r="AV1228" s="142">
        <v>0.0</v>
      </c>
      <c r="AW1228" s="80">
        <f t="shared" si="6"/>
        <v>738</v>
      </c>
      <c r="AX1228" s="113">
        <f t="shared" si="7"/>
        <v>738</v>
      </c>
      <c r="AY1228" s="117">
        <f t="shared" si="8"/>
        <v>663</v>
      </c>
      <c r="AZ1228" s="120">
        <f t="shared" si="9"/>
        <v>75</v>
      </c>
      <c r="BA1228" s="115">
        <v>2.0</v>
      </c>
      <c r="BB1228" s="89">
        <f t="shared" si="10"/>
        <v>740</v>
      </c>
      <c r="BC1228" s="132" t="s">
        <v>178</v>
      </c>
      <c r="BD1228" s="132" t="s">
        <v>779</v>
      </c>
      <c r="BE1228" s="132" t="s">
        <v>178</v>
      </c>
      <c r="BF1228" s="156"/>
      <c r="BG1228" s="83">
        <v>1134665.0</v>
      </c>
      <c r="BH1228" s="112"/>
      <c r="BI1228" s="112">
        <v>20.0</v>
      </c>
      <c r="BJ1228" s="98" t="s">
        <v>155</v>
      </c>
      <c r="BK1228" s="99">
        <f t="shared" si="11"/>
        <v>0</v>
      </c>
      <c r="BL1228" s="99">
        <f t="shared" si="12"/>
        <v>663</v>
      </c>
      <c r="BM1228" s="99" t="str">
        <f>IFERROR(__xludf.DUMMYFUNCTION("IFERROR(VLOOKUP(BG1228,IMPORTRANGE(""https://docs.google.com/spreadsheets/d/1juPI-Fb8LD0YtltB2mlGEnp_R3UVu1t3wSFPzgCyHXE/edit?gid=0#gid=0"",""GERAL!A2:C""),3,0),""-"")"),"-")</f>
        <v>-</v>
      </c>
    </row>
    <row r="1229" ht="15.75" customHeight="1">
      <c r="A1229" s="111" t="s">
        <v>1463</v>
      </c>
      <c r="B1229" s="83" t="s">
        <v>6727</v>
      </c>
      <c r="C1229" s="83" t="s">
        <v>68</v>
      </c>
      <c r="D1229" s="112">
        <v>1109652.0</v>
      </c>
      <c r="E1229" s="83"/>
      <c r="F1229" s="83">
        <v>2.9171601E7</v>
      </c>
      <c r="G1229" s="114" t="s">
        <v>6729</v>
      </c>
      <c r="H1229" s="91" t="s">
        <v>6730</v>
      </c>
      <c r="I1229" s="83" t="s">
        <v>6731</v>
      </c>
      <c r="J1229" s="83" t="s">
        <v>150</v>
      </c>
      <c r="K1229" s="83" t="s">
        <v>151</v>
      </c>
      <c r="L1229" s="83" t="s">
        <v>230</v>
      </c>
      <c r="M1229" s="82" t="str">
        <f>IFERROR(__xludf.DUMMYFUNCTION("IFERROR(VLOOKUP(D1229,
IMPORTRANGE(""https://docs.google.com/spreadsheets/d/1MjHtlUikwobi2MaWJgy7tfLeBmhj1u-dRFRs_8GwSoA/edit#gid=0"",""Gestores Escolares!D7:J""),3,0),""VERIFICAR CÓD SEC"")"),"JOELMA DE QUEIROZ NUNES")</f>
        <v>JOELMA DE QUEIROZ NUNES</v>
      </c>
      <c r="N1229" s="82" t="str">
        <f>IFERROR(__xludf.DUMMYFUNCTION("IFERROR(VLOOKUP(D1229,
IMPORTRANGE(""https://docs.google.com/spreadsheets/d/1MjHtlUikwobi2MaWJgy7tfLeBmhj1u-dRFRs_8GwSoA/edit#gid=0"",""Gestores Escolares!D7:J""),4,0),""VERIFICAR CÓD SEC"")"),"(75) 9 9218-0831")</f>
        <v>(75) 9 9218-0831</v>
      </c>
      <c r="O1229" s="82" t="str">
        <f>IFERROR(__xludf.DUMMYFUNCTION("IFERROR(VLOOKUP(D1229,
IMPORTRANGE(""https://docs.google.com/spreadsheets/d/1MjHtlUikwobi2MaWJgy7tfLeBmhj1u-dRFRs_8GwSoA/edit#gid=0"",""Gestores Escolares!D7:J""),6,0),""VERIFICAR CÓD SEC"")"),"ANA RITA OLIVEIRA M. C. NASCIMENTO")</f>
        <v>ANA RITA OLIVEIRA M. C. NASCIMENTO</v>
      </c>
      <c r="P1229" s="82" t="str">
        <f>IFERROR(__xludf.DUMMYFUNCTION("IFERROR(VLOOKUP(D1229,
IMPORTRANGE(""https://docs.google.com/spreadsheets/d/1MjHtlUikwobi2MaWJgy7tfLeBmhj1u-dRFRs_8GwSoA/edit#gid=0"",""Gestores Escolares!D7:J""),7,0),""VERIFICAR CÓD SEC"")"),"(75) 9 8837-2316/9 9206-3541")</f>
        <v>(75) 9 8837-2316/9 9206-3541</v>
      </c>
      <c r="Q1229" s="82" t="str">
        <f>IFERROR(__xludf.DUMMYFUNCTION("IFERROR(VLOOKUP(D1229,
IMPORTRANGE(""https://docs.google.com/spreadsheets/d/1MjHtlUikwobi2MaWJgy7tfLeBmhj1u-dRFRs_8GwSoA/edit#gid=0"",""Gestores Escolares!D7:m""),9,0),""VERIFICAR CÓD SEC"")"),"FAGNA DAS MERCES SANTOS")</f>
        <v>FAGNA DAS MERCES SANTOS</v>
      </c>
      <c r="R1229" s="82" t="str">
        <f>IFERROR(__xludf.DUMMYFUNCTION("IFERROR(VLOOKUP(D1229,
IMPORTRANGE(""https://docs.google.com/spreadsheets/d/1MjHtlUikwobi2MaWJgy7tfLeBmhj1u-dRFRs_8GwSoA/edit#gid=0"",""Gestores Escolares!D7:m""),10,0),""VERIFICAR CÓD SEC"")"),"")</f>
        <v/>
      </c>
      <c r="S1229" s="82"/>
      <c r="T1229" s="138">
        <v>31.0</v>
      </c>
      <c r="U1229" s="145" t="s">
        <v>13857</v>
      </c>
      <c r="V1229" s="106">
        <v>0.0</v>
      </c>
      <c r="W1229" s="107">
        <v>0.0</v>
      </c>
      <c r="X1229" s="107">
        <v>0.0</v>
      </c>
      <c r="Y1229" s="107">
        <v>0.0</v>
      </c>
      <c r="Z1229" s="80">
        <f t="shared" si="1"/>
        <v>0</v>
      </c>
      <c r="AA1229" s="106">
        <v>0.0</v>
      </c>
      <c r="AB1229" s="107">
        <v>0.0</v>
      </c>
      <c r="AC1229" s="107">
        <v>0.0</v>
      </c>
      <c r="AD1229" s="107">
        <v>0.0</v>
      </c>
      <c r="AE1229" s="80">
        <f t="shared" si="2"/>
        <v>0</v>
      </c>
      <c r="AF1229" s="140">
        <v>358.0</v>
      </c>
      <c r="AG1229" s="109">
        <v>93.0</v>
      </c>
      <c r="AH1229" s="109">
        <v>0.0</v>
      </c>
      <c r="AI1229" s="141">
        <v>42.0</v>
      </c>
      <c r="AJ1229" s="80">
        <f t="shared" si="3"/>
        <v>493</v>
      </c>
      <c r="AK1229" s="140">
        <v>0.0</v>
      </c>
      <c r="AL1229" s="109">
        <v>0.0</v>
      </c>
      <c r="AM1229" s="141">
        <v>0.0</v>
      </c>
      <c r="AN1229" s="80">
        <f t="shared" si="4"/>
        <v>0</v>
      </c>
      <c r="AO1229" s="140">
        <v>0.0</v>
      </c>
      <c r="AP1229" s="109">
        <v>0.0</v>
      </c>
      <c r="AQ1229" s="109">
        <v>231.0</v>
      </c>
      <c r="AR1229" s="80">
        <f t="shared" si="5"/>
        <v>231</v>
      </c>
      <c r="AS1229" s="110">
        <v>390.0</v>
      </c>
      <c r="AT1229" s="110">
        <v>113.0</v>
      </c>
      <c r="AU1229" s="110">
        <v>128.0</v>
      </c>
      <c r="AV1229" s="142">
        <v>0.0</v>
      </c>
      <c r="AW1229" s="80">
        <f t="shared" si="6"/>
        <v>631</v>
      </c>
      <c r="AX1229" s="113">
        <f t="shared" si="7"/>
        <v>1355</v>
      </c>
      <c r="AY1229" s="117">
        <f t="shared" si="8"/>
        <v>996</v>
      </c>
      <c r="AZ1229" s="120">
        <f t="shared" si="9"/>
        <v>359</v>
      </c>
      <c r="BA1229" s="115">
        <v>0.0</v>
      </c>
      <c r="BB1229" s="89">
        <f t="shared" si="10"/>
        <v>1355</v>
      </c>
      <c r="BC1229" s="132" t="s">
        <v>178</v>
      </c>
      <c r="BD1229" s="132" t="s">
        <v>178</v>
      </c>
      <c r="BE1229" s="132" t="s">
        <v>178</v>
      </c>
      <c r="BF1229" s="123"/>
      <c r="BG1229" s="83">
        <v>1109652.0</v>
      </c>
      <c r="BH1229" s="112"/>
      <c r="BI1229" s="112">
        <v>30.0</v>
      </c>
      <c r="BJ1229" s="98" t="s">
        <v>155</v>
      </c>
      <c r="BK1229" s="99">
        <f t="shared" si="11"/>
        <v>42</v>
      </c>
      <c r="BL1229" s="99">
        <f t="shared" si="12"/>
        <v>954</v>
      </c>
      <c r="BM1229" s="99" t="str">
        <f>IFERROR(__xludf.DUMMYFUNCTION("IFERROR(VLOOKUP(BG1229,IMPORTRANGE(""https://docs.google.com/spreadsheets/d/1juPI-Fb8LD0YtltB2mlGEnp_R3UVu1t3wSFPzgCyHXE/edit?gid=0#gid=0"",""GERAL!A2:C""),3,0),""-"")"),"-")</f>
        <v>-</v>
      </c>
    </row>
    <row r="1230" ht="15.75" customHeight="1">
      <c r="A1230" s="111" t="s">
        <v>1463</v>
      </c>
      <c r="B1230" s="83" t="s">
        <v>6727</v>
      </c>
      <c r="C1230" s="83" t="s">
        <v>68</v>
      </c>
      <c r="D1230" s="112">
        <v>1164564.0</v>
      </c>
      <c r="E1230" s="83"/>
      <c r="F1230" s="83">
        <v>2.917161E7</v>
      </c>
      <c r="G1230" s="296" t="s">
        <v>6736</v>
      </c>
      <c r="H1230" s="108" t="s">
        <v>6739</v>
      </c>
      <c r="I1230" s="83" t="s">
        <v>149</v>
      </c>
      <c r="J1230" s="172" t="s">
        <v>150</v>
      </c>
      <c r="K1230" s="172" t="s">
        <v>168</v>
      </c>
      <c r="L1230" s="83" t="s">
        <v>230</v>
      </c>
      <c r="M1230" s="82" t="str">
        <f>IFERROR(__xludf.DUMMYFUNCTION("IFERROR(VLOOKUP(D1230,
IMPORTRANGE(""https://docs.google.com/spreadsheets/d/1MjHtlUikwobi2MaWJgy7tfLeBmhj1u-dRFRs_8GwSoA/edit#gid=0"",""Gestores Escolares!D7:J""),3,0),""VERIFICAR CÓD SEC"")"),"ANDREIA DO VALE REIS")</f>
        <v>ANDREIA DO VALE REIS</v>
      </c>
      <c r="N1230" s="82" t="str">
        <f>IFERROR(__xludf.DUMMYFUNCTION("IFERROR(VLOOKUP(D1230,
IMPORTRANGE(""https://docs.google.com/spreadsheets/d/1MjHtlUikwobi2MaWJgy7tfLeBmhj1u-dRFRs_8GwSoA/edit#gid=0"",""Gestores Escolares!D7:J""),4,0),""VERIFICAR CÓD SEC"")"),"(75) 9 8125-1809")</f>
        <v>(75) 9 8125-1809</v>
      </c>
      <c r="O1230" s="82" t="str">
        <f>IFERROR(__xludf.DUMMYFUNCTION("IFERROR(VLOOKUP(D1230,
IMPORTRANGE(""https://docs.google.com/spreadsheets/d/1MjHtlUikwobi2MaWJgy7tfLeBmhj1u-dRFRs_8GwSoA/edit#gid=0"",""Gestores Escolares!D7:J""),6,0),""VERIFICAR CÓD SEC"")"),"")</f>
        <v/>
      </c>
      <c r="P1230" s="82" t="str">
        <f>IFERROR(__xludf.DUMMYFUNCTION("IFERROR(VLOOKUP(D1230,
IMPORTRANGE(""https://docs.google.com/spreadsheets/d/1MjHtlUikwobi2MaWJgy7tfLeBmhj1u-dRFRs_8GwSoA/edit#gid=0"",""Gestores Escolares!D7:J""),7,0),""VERIFICAR CÓD SEC"")"),"")</f>
        <v/>
      </c>
      <c r="Q1230" s="82" t="str">
        <f>IFERROR(__xludf.DUMMYFUNCTION("IFERROR(VLOOKUP(D1230,
IMPORTRANGE(""https://docs.google.com/spreadsheets/d/1MjHtlUikwobi2MaWJgy7tfLeBmhj1u-dRFRs_8GwSoA/edit#gid=0"",""Gestores Escolares!D7:m""),9,0),""VERIFICAR CÓD SEC"")")," IVANA APARECIDA GOMES LAGE MATOS")</f>
        <v> IVANA APARECIDA GOMES LAGE MATOS</v>
      </c>
      <c r="R1230" s="82" t="str">
        <f>IFERROR(__xludf.DUMMYFUNCTION("IFERROR(VLOOKUP(D1230,
IMPORTRANGE(""https://docs.google.com/spreadsheets/d/1MjHtlUikwobi2MaWJgy7tfLeBmhj1u-dRFRs_8GwSoA/edit#gid=0"",""Gestores Escolares!D7:m""),10,0),""VERIFICAR CÓD SEC"")"),"(75) 9 9128-9150")</f>
        <v>(75) 9 9128-9150</v>
      </c>
      <c r="S1230" s="82"/>
      <c r="T1230" s="138">
        <v>20.0</v>
      </c>
      <c r="U1230" s="145">
        <v>31.0</v>
      </c>
      <c r="V1230" s="106">
        <v>0.0</v>
      </c>
      <c r="W1230" s="107">
        <v>0.0</v>
      </c>
      <c r="X1230" s="107">
        <v>0.0</v>
      </c>
      <c r="Y1230" s="107">
        <v>0.0</v>
      </c>
      <c r="Z1230" s="80">
        <f t="shared" si="1"/>
        <v>0</v>
      </c>
      <c r="AA1230" s="106">
        <v>0.0</v>
      </c>
      <c r="AB1230" s="107">
        <v>0.0</v>
      </c>
      <c r="AC1230" s="107">
        <v>0.0</v>
      </c>
      <c r="AD1230" s="107">
        <v>0.0</v>
      </c>
      <c r="AE1230" s="80">
        <f t="shared" si="2"/>
        <v>0</v>
      </c>
      <c r="AF1230" s="140">
        <v>237.0</v>
      </c>
      <c r="AG1230" s="109">
        <v>112.0</v>
      </c>
      <c r="AH1230" s="109">
        <v>0.0</v>
      </c>
      <c r="AI1230" s="141">
        <v>566.0</v>
      </c>
      <c r="AJ1230" s="80">
        <f t="shared" si="3"/>
        <v>915</v>
      </c>
      <c r="AK1230" s="140">
        <v>0.0</v>
      </c>
      <c r="AL1230" s="109">
        <v>0.0</v>
      </c>
      <c r="AM1230" s="141">
        <v>0.0</v>
      </c>
      <c r="AN1230" s="80">
        <f t="shared" si="4"/>
        <v>0</v>
      </c>
      <c r="AO1230" s="140">
        <v>0.0</v>
      </c>
      <c r="AP1230" s="109">
        <v>0.0</v>
      </c>
      <c r="AQ1230" s="109">
        <v>83.0</v>
      </c>
      <c r="AR1230" s="80">
        <f t="shared" si="5"/>
        <v>83</v>
      </c>
      <c r="AS1230" s="110">
        <v>0.0</v>
      </c>
      <c r="AT1230" s="110">
        <v>0.0</v>
      </c>
      <c r="AU1230" s="110">
        <v>0.0</v>
      </c>
      <c r="AV1230" s="142">
        <v>0.0</v>
      </c>
      <c r="AW1230" s="80">
        <f t="shared" si="6"/>
        <v>0</v>
      </c>
      <c r="AX1230" s="113">
        <f t="shared" si="7"/>
        <v>998</v>
      </c>
      <c r="AY1230" s="117">
        <f t="shared" si="8"/>
        <v>915</v>
      </c>
      <c r="AZ1230" s="120">
        <f t="shared" si="9"/>
        <v>83</v>
      </c>
      <c r="BA1230" s="115">
        <v>2.0</v>
      </c>
      <c r="BB1230" s="89">
        <f t="shared" si="10"/>
        <v>1000</v>
      </c>
      <c r="BC1230" s="132" t="s">
        <v>178</v>
      </c>
      <c r="BD1230" s="132" t="s">
        <v>178</v>
      </c>
      <c r="BE1230" s="132" t="s">
        <v>178</v>
      </c>
      <c r="BF1230" s="156"/>
      <c r="BG1230" s="83">
        <v>1164564.0</v>
      </c>
      <c r="BH1230" s="112"/>
      <c r="BI1230" s="112">
        <v>10.0</v>
      </c>
      <c r="BJ1230" s="98" t="s">
        <v>155</v>
      </c>
      <c r="BK1230" s="99">
        <f t="shared" si="11"/>
        <v>566</v>
      </c>
      <c r="BL1230" s="99">
        <f t="shared" si="12"/>
        <v>349</v>
      </c>
      <c r="BM1230" s="99" t="str">
        <f>IFERROR(__xludf.DUMMYFUNCTION("IFERROR(VLOOKUP(BG1230,IMPORTRANGE(""https://docs.google.com/spreadsheets/d/1juPI-Fb8LD0YtltB2mlGEnp_R3UVu1t3wSFPzgCyHXE/edit?gid=0#gid=0"",""GERAL!A2:C""),3,0),""-"")"),"-")</f>
        <v>-</v>
      </c>
    </row>
    <row r="1231" ht="15.75" customHeight="1">
      <c r="A1231" s="111" t="s">
        <v>1463</v>
      </c>
      <c r="B1231" s="83" t="s">
        <v>6727</v>
      </c>
      <c r="C1231" s="83" t="s">
        <v>68</v>
      </c>
      <c r="D1231" s="112">
        <v>1178087.0</v>
      </c>
      <c r="E1231" s="83"/>
      <c r="F1231" s="83">
        <v>2.9432626E7</v>
      </c>
      <c r="G1231" s="114" t="s">
        <v>6744</v>
      </c>
      <c r="H1231" s="91" t="s">
        <v>6745</v>
      </c>
      <c r="I1231" s="83" t="s">
        <v>6746</v>
      </c>
      <c r="J1231" s="83" t="s">
        <v>150</v>
      </c>
      <c r="K1231" s="83" t="s">
        <v>151</v>
      </c>
      <c r="L1231" s="83" t="s">
        <v>230</v>
      </c>
      <c r="M1231" s="82" t="str">
        <f>IFERROR(__xludf.DUMMYFUNCTION("IFERROR(VLOOKUP(D1231,
IMPORTRANGE(""https://docs.google.com/spreadsheets/d/1MjHtlUikwobi2MaWJgy7tfLeBmhj1u-dRFRs_8GwSoA/edit#gid=0"",""Gestores Escolares!D7:J""),3,0),""VERIFICAR CÓD SEC"")")," CAIQUE RIBEIRO TUDE")</f>
        <v> CAIQUE RIBEIRO TUDE</v>
      </c>
      <c r="N1231" s="82" t="str">
        <f>IFERROR(__xludf.DUMMYFUNCTION("IFERROR(VLOOKUP(D1231,
IMPORTRANGE(""https://docs.google.com/spreadsheets/d/1MjHtlUikwobi2MaWJgy7tfLeBmhj1u-dRFRs_8GwSoA/edit#gid=0"",""Gestores Escolares!D7:J""),4,0),""VERIFICAR CÓD SEC"")"),"(71) 9 8860-8482")</f>
        <v>(71) 9 8860-8482</v>
      </c>
      <c r="O1231" s="82" t="str">
        <f>IFERROR(__xludf.DUMMYFUNCTION("IFERROR(VLOOKUP(D1231,
IMPORTRANGE(""https://docs.google.com/spreadsheets/d/1MjHtlUikwobi2MaWJgy7tfLeBmhj1u-dRFRs_8GwSoA/edit#gid=0"",""Gestores Escolares!D7:J""),6,0),""VERIFICAR CÓD SEC"")"),"SIMONE DOS SANTOS RIBEIRO ALMEIDA")</f>
        <v>SIMONE DOS SANTOS RIBEIRO ALMEIDA</v>
      </c>
      <c r="P1231" s="82" t="str">
        <f>IFERROR(__xludf.DUMMYFUNCTION("IFERROR(VLOOKUP(D1231,
IMPORTRANGE(""https://docs.google.com/spreadsheets/d/1MjHtlUikwobi2MaWJgy7tfLeBmhj1u-dRFRs_8GwSoA/edit#gid=0"",""Gestores Escolares!D7:J""),7,0),""VERIFICAR CÓD SEC"")"),"(75)  9 8322-6920")</f>
        <v>(75)  9 8322-6920</v>
      </c>
      <c r="Q1231" s="82" t="str">
        <f>IFERROR(__xludf.DUMMYFUNCTION("IFERROR(VLOOKUP(D1231,
IMPORTRANGE(""https://docs.google.com/spreadsheets/d/1MjHtlUikwobi2MaWJgy7tfLeBmhj1u-dRFRs_8GwSoA/edit#gid=0"",""Gestores Escolares!D7:m""),9,0),""VERIFICAR CÓD SEC"")")," LUANA MURITIBA LEMOS")</f>
        <v> LUANA MURITIBA LEMOS</v>
      </c>
      <c r="R1231" s="82" t="str">
        <f>IFERROR(__xludf.DUMMYFUNCTION("IFERROR(VLOOKUP(D1231,
IMPORTRANGE(""https://docs.google.com/spreadsheets/d/1MjHtlUikwobi2MaWJgy7tfLeBmhj1u-dRFRs_8GwSoA/edit#gid=0"",""Gestores Escolares!D7:m""),10,0),""VERIFICAR CÓD SEC"")"),"(71) 9 9934-1299")</f>
        <v>(71) 9 9934-1299</v>
      </c>
      <c r="S1231" s="82"/>
      <c r="T1231" s="138">
        <v>22.0</v>
      </c>
      <c r="U1231" s="145">
        <v>24.0</v>
      </c>
      <c r="V1231" s="106">
        <v>0.0</v>
      </c>
      <c r="W1231" s="107">
        <v>0.0</v>
      </c>
      <c r="X1231" s="107">
        <v>0.0</v>
      </c>
      <c r="Y1231" s="107">
        <v>0.0</v>
      </c>
      <c r="Z1231" s="80">
        <f t="shared" si="1"/>
        <v>0</v>
      </c>
      <c r="AA1231" s="106">
        <v>0.0</v>
      </c>
      <c r="AB1231" s="107">
        <v>0.0</v>
      </c>
      <c r="AC1231" s="107">
        <v>0.0</v>
      </c>
      <c r="AD1231" s="107">
        <v>0.0</v>
      </c>
      <c r="AE1231" s="80">
        <f t="shared" si="2"/>
        <v>0</v>
      </c>
      <c r="AF1231" s="140">
        <v>0.0</v>
      </c>
      <c r="AG1231" s="109">
        <v>0.0</v>
      </c>
      <c r="AH1231" s="109">
        <v>0.0</v>
      </c>
      <c r="AI1231" s="141">
        <v>0.0</v>
      </c>
      <c r="AJ1231" s="80">
        <f t="shared" si="3"/>
        <v>0</v>
      </c>
      <c r="AK1231" s="140">
        <v>0.0</v>
      </c>
      <c r="AL1231" s="109">
        <v>0.0</v>
      </c>
      <c r="AM1231" s="141">
        <v>0.0</v>
      </c>
      <c r="AN1231" s="80">
        <f t="shared" si="4"/>
        <v>0</v>
      </c>
      <c r="AO1231" s="140">
        <v>0.0</v>
      </c>
      <c r="AP1231" s="109">
        <v>0.0</v>
      </c>
      <c r="AQ1231" s="109">
        <v>0.0</v>
      </c>
      <c r="AR1231" s="80">
        <f t="shared" si="5"/>
        <v>0</v>
      </c>
      <c r="AS1231" s="110">
        <v>580.0</v>
      </c>
      <c r="AT1231" s="110">
        <v>434.0</v>
      </c>
      <c r="AU1231" s="110">
        <v>372.0</v>
      </c>
      <c r="AV1231" s="142">
        <v>0.0</v>
      </c>
      <c r="AW1231" s="80">
        <f t="shared" si="6"/>
        <v>1386</v>
      </c>
      <c r="AX1231" s="113">
        <f t="shared" si="7"/>
        <v>1386</v>
      </c>
      <c r="AY1231" s="117">
        <f t="shared" si="8"/>
        <v>1014</v>
      </c>
      <c r="AZ1231" s="120">
        <f t="shared" si="9"/>
        <v>372</v>
      </c>
      <c r="BA1231" s="115">
        <v>3.0</v>
      </c>
      <c r="BB1231" s="89">
        <f t="shared" si="10"/>
        <v>1389</v>
      </c>
      <c r="BC1231" s="132" t="s">
        <v>178</v>
      </c>
      <c r="BD1231" s="132" t="s">
        <v>522</v>
      </c>
      <c r="BE1231" s="132" t="s">
        <v>178</v>
      </c>
      <c r="BF1231" s="123"/>
      <c r="BG1231" s="83">
        <v>1178087.0</v>
      </c>
      <c r="BH1231" s="112"/>
      <c r="BI1231" s="112">
        <v>17.0</v>
      </c>
      <c r="BJ1231" s="98" t="s">
        <v>6749</v>
      </c>
      <c r="BK1231" s="99">
        <f t="shared" si="11"/>
        <v>0</v>
      </c>
      <c r="BL1231" s="99">
        <f t="shared" si="12"/>
        <v>1014</v>
      </c>
      <c r="BM1231" s="99" t="str">
        <f>IFERROR(__xludf.DUMMYFUNCTION("IFERROR(VLOOKUP(BG1231,IMPORTRANGE(""https://docs.google.com/spreadsheets/d/1juPI-Fb8LD0YtltB2mlGEnp_R3UVu1t3wSFPzgCyHXE/edit?gid=0#gid=0"",""GERAL!A2:C""),3,0),""-"")"),"-")</f>
        <v>-</v>
      </c>
    </row>
    <row r="1232" ht="15.75" customHeight="1">
      <c r="A1232" s="111" t="s">
        <v>1463</v>
      </c>
      <c r="B1232" s="83" t="s">
        <v>6727</v>
      </c>
      <c r="C1232" s="83" t="s">
        <v>68</v>
      </c>
      <c r="D1232" s="112">
        <v>1176152.0</v>
      </c>
      <c r="E1232" s="83"/>
      <c r="F1232" s="83">
        <v>2.9337534E7</v>
      </c>
      <c r="G1232" s="114" t="s">
        <v>6750</v>
      </c>
      <c r="H1232" s="91" t="s">
        <v>6751</v>
      </c>
      <c r="I1232" s="83" t="s">
        <v>6752</v>
      </c>
      <c r="J1232" s="83" t="s">
        <v>150</v>
      </c>
      <c r="K1232" s="83" t="s">
        <v>151</v>
      </c>
      <c r="L1232" s="83" t="s">
        <v>230</v>
      </c>
      <c r="M1232" s="82" t="str">
        <f>IFERROR(__xludf.DUMMYFUNCTION("IFERROR(VLOOKUP(D1232,
IMPORTRANGE(""https://docs.google.com/spreadsheets/d/1MjHtlUikwobi2MaWJgy7tfLeBmhj1u-dRFRs_8GwSoA/edit#gid=0"",""Gestores Escolares!D7:J""),3,0),""VERIFICAR CÓD SEC"")"),"SEM DIREÇÃO - SE APOSENTOU NO DOE DIA 08.07.26")</f>
        <v>SEM DIREÇÃO - SE APOSENTOU NO DOE DIA 08.07.26</v>
      </c>
      <c r="N1232" s="82" t="str">
        <f>IFERROR(__xludf.DUMMYFUNCTION("IFERROR(VLOOKUP(D1232,
IMPORTRANGE(""https://docs.google.com/spreadsheets/d/1MjHtlUikwobi2MaWJgy7tfLeBmhj1u-dRFRs_8GwSoA/edit#gid=0"",""Gestores Escolares!D7:J""),4,0),""VERIFICAR CÓD SEC"")"),"")</f>
        <v/>
      </c>
      <c r="O1232" s="82" t="str">
        <f>IFERROR(__xludf.DUMMYFUNCTION("IFERROR(VLOOKUP(D1232,
IMPORTRANGE(""https://docs.google.com/spreadsheets/d/1MjHtlUikwobi2MaWJgy7tfLeBmhj1u-dRFRs_8GwSoA/edit#gid=0"",""Gestores Escolares!D7:J""),6,0),""VERIFICAR CÓD SEC"")"),"ELISABETE ALMEIDA DO VALE")</f>
        <v>ELISABETE ALMEIDA DO VALE</v>
      </c>
      <c r="P1232" s="82" t="str">
        <f>IFERROR(__xludf.DUMMYFUNCTION("IFERROR(VLOOKUP(D1232,
IMPORTRANGE(""https://docs.google.com/spreadsheets/d/1MjHtlUikwobi2MaWJgy7tfLeBmhj1u-dRFRs_8GwSoA/edit#gid=0"",""Gestores Escolares!D7:J""),7,0),""VERIFICAR CÓD SEC"")"),"(75) 9 8844-0183")</f>
        <v>(75) 9 8844-0183</v>
      </c>
      <c r="Q1232" s="82" t="str">
        <f>IFERROR(__xludf.DUMMYFUNCTION("IFERROR(VLOOKUP(D1232,
IMPORTRANGE(""https://docs.google.com/spreadsheets/d/1MjHtlUikwobi2MaWJgy7tfLeBmhj1u-dRFRs_8GwSoA/edit#gid=0"",""Gestores Escolares!D7:m""),9,0),""VERIFICAR CÓD SEC"")"),"")</f>
        <v/>
      </c>
      <c r="R1232" s="82" t="str">
        <f>IFERROR(__xludf.DUMMYFUNCTION("IFERROR(VLOOKUP(D1232,
IMPORTRANGE(""https://docs.google.com/spreadsheets/d/1MjHtlUikwobi2MaWJgy7tfLeBmhj1u-dRFRs_8GwSoA/edit#gid=0"",""Gestores Escolares!D7:m""),10,0),""VERIFICAR CÓD SEC"")"),"")</f>
        <v/>
      </c>
      <c r="S1232" s="82"/>
      <c r="T1232" s="138">
        <v>20.0</v>
      </c>
      <c r="U1232" s="145">
        <v>17.0</v>
      </c>
      <c r="V1232" s="106">
        <v>0.0</v>
      </c>
      <c r="W1232" s="107">
        <v>0.0</v>
      </c>
      <c r="X1232" s="107">
        <v>0.0</v>
      </c>
      <c r="Y1232" s="107">
        <v>0.0</v>
      </c>
      <c r="Z1232" s="80">
        <f t="shared" si="1"/>
        <v>0</v>
      </c>
      <c r="AA1232" s="106">
        <v>0.0</v>
      </c>
      <c r="AB1232" s="107">
        <v>0.0</v>
      </c>
      <c r="AC1232" s="107">
        <v>0.0</v>
      </c>
      <c r="AD1232" s="107">
        <v>0.0</v>
      </c>
      <c r="AE1232" s="80">
        <f t="shared" si="2"/>
        <v>0</v>
      </c>
      <c r="AF1232" s="140">
        <v>0.0</v>
      </c>
      <c r="AG1232" s="109">
        <v>0.0</v>
      </c>
      <c r="AH1232" s="109">
        <v>0.0</v>
      </c>
      <c r="AI1232" s="141">
        <v>0.0</v>
      </c>
      <c r="AJ1232" s="80">
        <f t="shared" si="3"/>
        <v>0</v>
      </c>
      <c r="AK1232" s="140">
        <v>0.0</v>
      </c>
      <c r="AL1232" s="109">
        <v>0.0</v>
      </c>
      <c r="AM1232" s="141">
        <v>0.0</v>
      </c>
      <c r="AN1232" s="80">
        <f t="shared" si="4"/>
        <v>0</v>
      </c>
      <c r="AO1232" s="140">
        <v>0.0</v>
      </c>
      <c r="AP1232" s="109">
        <v>0.0</v>
      </c>
      <c r="AQ1232" s="109">
        <v>0.0</v>
      </c>
      <c r="AR1232" s="80">
        <f t="shared" si="5"/>
        <v>0</v>
      </c>
      <c r="AS1232" s="110">
        <v>0.0</v>
      </c>
      <c r="AT1232" s="110">
        <v>0.0</v>
      </c>
      <c r="AU1232" s="110">
        <v>0.0</v>
      </c>
      <c r="AV1232" s="142">
        <v>0.0</v>
      </c>
      <c r="AW1232" s="80">
        <f t="shared" si="6"/>
        <v>0</v>
      </c>
      <c r="AX1232" s="113">
        <f t="shared" si="7"/>
        <v>0</v>
      </c>
      <c r="AY1232" s="117">
        <f t="shared" si="8"/>
        <v>0</v>
      </c>
      <c r="AZ1232" s="120">
        <f t="shared" si="9"/>
        <v>0</v>
      </c>
      <c r="BA1232" s="168">
        <v>1.0</v>
      </c>
      <c r="BB1232" s="89">
        <f t="shared" si="10"/>
        <v>1</v>
      </c>
      <c r="BC1232" s="132" t="s">
        <v>553</v>
      </c>
      <c r="BD1232" s="132" t="s">
        <v>554</v>
      </c>
      <c r="BE1232" s="132" t="s">
        <v>178</v>
      </c>
      <c r="BF1232" s="156"/>
      <c r="BG1232" s="83">
        <v>1176152.0</v>
      </c>
      <c r="BH1232" s="98"/>
      <c r="BI1232" s="98">
        <v>16.0</v>
      </c>
      <c r="BJ1232" s="98" t="s">
        <v>155</v>
      </c>
      <c r="BK1232" s="99">
        <f t="shared" si="11"/>
        <v>0</v>
      </c>
      <c r="BL1232" s="99">
        <f t="shared" si="12"/>
        <v>0</v>
      </c>
      <c r="BM1232" s="99" t="str">
        <f>IFERROR(__xludf.DUMMYFUNCTION("IFERROR(VLOOKUP(BG1232,IMPORTRANGE(""https://docs.google.com/spreadsheets/d/1juPI-Fb8LD0YtltB2mlGEnp_R3UVu1t3wSFPzgCyHXE/edit?gid=0#gid=0"",""GERAL!A2:C""),3,0),""-"")"),"-")</f>
        <v>-</v>
      </c>
    </row>
    <row r="1233" ht="15.75" customHeight="1">
      <c r="A1233" s="111" t="s">
        <v>1463</v>
      </c>
      <c r="B1233" s="83" t="s">
        <v>6754</v>
      </c>
      <c r="C1233" s="83" t="s">
        <v>68</v>
      </c>
      <c r="D1233" s="112">
        <v>1134509.0</v>
      </c>
      <c r="E1233" s="83"/>
      <c r="F1233" s="83">
        <v>2.9173531E7</v>
      </c>
      <c r="G1233" s="119" t="s">
        <v>6755</v>
      </c>
      <c r="H1233" s="91" t="s">
        <v>6756</v>
      </c>
      <c r="I1233" s="83" t="s">
        <v>149</v>
      </c>
      <c r="J1233" s="83" t="s">
        <v>150</v>
      </c>
      <c r="K1233" s="83" t="s">
        <v>151</v>
      </c>
      <c r="L1233" s="83" t="s">
        <v>152</v>
      </c>
      <c r="M1233" s="82" t="str">
        <f>IFERROR(__xludf.DUMMYFUNCTION("IFERROR(VLOOKUP(D1233,
IMPORTRANGE(""https://docs.google.com/spreadsheets/d/1MjHtlUikwobi2MaWJgy7tfLeBmhj1u-dRFRs_8GwSoA/edit#gid=0"",""Gestores Escolares!D7:J""),3,0),""VERIFICAR CÓD SEC"")"),"NEILSON GUEDES FERREIRA")</f>
        <v>NEILSON GUEDES FERREIRA</v>
      </c>
      <c r="N1233" s="82" t="str">
        <f>IFERROR(__xludf.DUMMYFUNCTION("IFERROR(VLOOKUP(D1233,
IMPORTRANGE(""https://docs.google.com/spreadsheets/d/1MjHtlUikwobi2MaWJgy7tfLeBmhj1u-dRFRs_8GwSoA/edit#gid=0"",""Gestores Escolares!D7:J""),4,0),""VERIFICAR CÓD SEC"")"),"(71) 9 8841-6553")</f>
        <v>(71) 9 8841-6553</v>
      </c>
      <c r="O1233" s="82" t="str">
        <f>IFERROR(__xludf.DUMMYFUNCTION("IFERROR(VLOOKUP(D1233,
IMPORTRANGE(""https://docs.google.com/spreadsheets/d/1MjHtlUikwobi2MaWJgy7tfLeBmhj1u-dRFRs_8GwSoA/edit#gid=0"",""Gestores Escolares!D7:J""),6,0),""VERIFICAR CÓD SEC"")"),"ELIZABETE DE OLIVEIRA ALMEIDA")</f>
        <v>ELIZABETE DE OLIVEIRA ALMEIDA</v>
      </c>
      <c r="P1233" s="82" t="str">
        <f>IFERROR(__xludf.DUMMYFUNCTION("IFERROR(VLOOKUP(D1233,
IMPORTRANGE(""https://docs.google.com/spreadsheets/d/1MjHtlUikwobi2MaWJgy7tfLeBmhj1u-dRFRs_8GwSoA/edit#gid=0"",""Gestores Escolares!D7:J""),7,0),""VERIFICAR CÓD SEC"")"),"(75) 9 8861-4323")</f>
        <v>(75) 9 8861-4323</v>
      </c>
      <c r="Q1233" s="82" t="str">
        <f>IFERROR(__xludf.DUMMYFUNCTION("IFERROR(VLOOKUP(D1233,
IMPORTRANGE(""https://docs.google.com/spreadsheets/d/1MjHtlUikwobi2MaWJgy7tfLeBmhj1u-dRFRs_8GwSoA/edit#gid=0"",""Gestores Escolares!D7:m""),9,0),""VERIFICAR CÓD SEC"")"),"ADALGISA MARIA SOUZA DE QUEIROZ")</f>
        <v>ADALGISA MARIA SOUZA DE QUEIROZ</v>
      </c>
      <c r="R1233" s="82" t="str">
        <f>IFERROR(__xludf.DUMMYFUNCTION("IFERROR(VLOOKUP(D1233,
IMPORTRANGE(""https://docs.google.com/spreadsheets/d/1MjHtlUikwobi2MaWJgy7tfLeBmhj1u-dRFRs_8GwSoA/edit#gid=0"",""Gestores Escolares!D7:m""),10,0),""VERIFICAR CÓD SEC"")"),"(75) 9 8823-8620")</f>
        <v>(75) 9 8823-8620</v>
      </c>
      <c r="S1233" s="82"/>
      <c r="T1233" s="138">
        <v>19.0</v>
      </c>
      <c r="U1233" s="388" t="s">
        <v>13858</v>
      </c>
      <c r="V1233" s="106">
        <v>0.0</v>
      </c>
      <c r="W1233" s="107">
        <v>0.0</v>
      </c>
      <c r="X1233" s="107">
        <v>0.0</v>
      </c>
      <c r="Y1233" s="107">
        <v>0.0</v>
      </c>
      <c r="Z1233" s="80">
        <f t="shared" si="1"/>
        <v>0</v>
      </c>
      <c r="AA1233" s="106">
        <v>0.0</v>
      </c>
      <c r="AB1233" s="107">
        <v>0.0</v>
      </c>
      <c r="AC1233" s="107">
        <v>0.0</v>
      </c>
      <c r="AD1233" s="107">
        <v>0.0</v>
      </c>
      <c r="AE1233" s="80">
        <f t="shared" si="2"/>
        <v>0</v>
      </c>
      <c r="AF1233" s="140">
        <v>414.0</v>
      </c>
      <c r="AG1233" s="109">
        <v>272.0</v>
      </c>
      <c r="AH1233" s="109">
        <v>0.0</v>
      </c>
      <c r="AI1233" s="141">
        <v>0.0</v>
      </c>
      <c r="AJ1233" s="80">
        <f t="shared" si="3"/>
        <v>686</v>
      </c>
      <c r="AK1233" s="140">
        <v>0.0</v>
      </c>
      <c r="AL1233" s="109">
        <v>0.0</v>
      </c>
      <c r="AM1233" s="141">
        <v>0.0</v>
      </c>
      <c r="AN1233" s="80">
        <f t="shared" si="4"/>
        <v>0</v>
      </c>
      <c r="AO1233" s="140">
        <v>0.0</v>
      </c>
      <c r="AP1233" s="109">
        <v>0.0</v>
      </c>
      <c r="AQ1233" s="109">
        <v>159.0</v>
      </c>
      <c r="AR1233" s="80">
        <f t="shared" si="5"/>
        <v>159</v>
      </c>
      <c r="AS1233" s="110">
        <v>0.0</v>
      </c>
      <c r="AT1233" s="110">
        <v>68.0</v>
      </c>
      <c r="AU1233" s="110">
        <v>73.0</v>
      </c>
      <c r="AV1233" s="142">
        <v>0.0</v>
      </c>
      <c r="AW1233" s="80">
        <f t="shared" si="6"/>
        <v>141</v>
      </c>
      <c r="AX1233" s="113">
        <f t="shared" si="7"/>
        <v>986</v>
      </c>
      <c r="AY1233" s="117">
        <f t="shared" si="8"/>
        <v>754</v>
      </c>
      <c r="AZ1233" s="120">
        <f t="shared" si="9"/>
        <v>232</v>
      </c>
      <c r="BA1233" s="115">
        <v>0.0</v>
      </c>
      <c r="BB1233" s="89">
        <f t="shared" si="10"/>
        <v>986</v>
      </c>
      <c r="BC1233" s="132" t="s">
        <v>178</v>
      </c>
      <c r="BD1233" s="132" t="s">
        <v>178</v>
      </c>
      <c r="BE1233" s="132" t="s">
        <v>178</v>
      </c>
      <c r="BF1233" s="156"/>
      <c r="BG1233" s="83">
        <v>1134509.0</v>
      </c>
      <c r="BH1233" s="112"/>
      <c r="BI1233" s="112">
        <v>13.0</v>
      </c>
      <c r="BJ1233" s="98" t="s">
        <v>155</v>
      </c>
      <c r="BK1233" s="99">
        <f t="shared" si="11"/>
        <v>0</v>
      </c>
      <c r="BL1233" s="99">
        <f t="shared" si="12"/>
        <v>754</v>
      </c>
      <c r="BM1233" s="99" t="str">
        <f>IFERROR(__xludf.DUMMYFUNCTION("IFERROR(VLOOKUP(BG1233,IMPORTRANGE(""https://docs.google.com/spreadsheets/d/1juPI-Fb8LD0YtltB2mlGEnp_R3UVu1t3wSFPzgCyHXE/edit?gid=0#gid=0"",""GERAL!A2:C""),3,0),""-"")"),"-")</f>
        <v>-</v>
      </c>
    </row>
    <row r="1234" ht="15.75" customHeight="1">
      <c r="A1234" s="111" t="s">
        <v>1463</v>
      </c>
      <c r="B1234" s="83" t="s">
        <v>6758</v>
      </c>
      <c r="C1234" s="83" t="s">
        <v>68</v>
      </c>
      <c r="D1234" s="112">
        <v>1134657.0</v>
      </c>
      <c r="E1234" s="83"/>
      <c r="F1234" s="83">
        <v>2.917287E7</v>
      </c>
      <c r="G1234" s="114" t="s">
        <v>6759</v>
      </c>
      <c r="H1234" s="91" t="s">
        <v>6760</v>
      </c>
      <c r="I1234" s="83" t="s">
        <v>149</v>
      </c>
      <c r="J1234" s="83" t="s">
        <v>150</v>
      </c>
      <c r="K1234" s="83" t="s">
        <v>151</v>
      </c>
      <c r="L1234" s="83" t="s">
        <v>152</v>
      </c>
      <c r="M1234" s="82" t="str">
        <f>IFERROR(__xludf.DUMMYFUNCTION("IFERROR(VLOOKUP(D1234,
IMPORTRANGE(""https://docs.google.com/spreadsheets/d/1MjHtlUikwobi2MaWJgy7tfLeBmhj1u-dRFRs_8GwSoA/edit#gid=0"",""Gestores Escolares!D7:J""),3,0),""VERIFICAR CÓD SEC"")"),"HOZANA MOTA C. PINTO DE SANTANA PEDREIRA")</f>
        <v>HOZANA MOTA C. PINTO DE SANTANA PEDREIRA</v>
      </c>
      <c r="N1234" s="82" t="str">
        <f>IFERROR(__xludf.DUMMYFUNCTION("IFERROR(VLOOKUP(D1234,
IMPORTRANGE(""https://docs.google.com/spreadsheets/d/1MjHtlUikwobi2MaWJgy7tfLeBmhj1u-dRFRs_8GwSoA/edit#gid=0"",""Gestores Escolares!D7:J""),4,0),""VERIFICAR CÓD SEC"")"),"(75) 9 9247-9414")</f>
        <v>(75) 9 9247-9414</v>
      </c>
      <c r="O1234" s="82" t="str">
        <f>IFERROR(__xludf.DUMMYFUNCTION("IFERROR(VLOOKUP(D1234,
IMPORTRANGE(""https://docs.google.com/spreadsheets/d/1MjHtlUikwobi2MaWJgy7tfLeBmhj1u-dRFRs_8GwSoA/edit#gid=0"",""Gestores Escolares!D7:J""),6,0),""VERIFICAR CÓD SEC"")"),"ELAINE CRISTINA DOS SANTOS PEREIRA")</f>
        <v>ELAINE CRISTINA DOS SANTOS PEREIRA</v>
      </c>
      <c r="P1234" s="82" t="str">
        <f>IFERROR(__xludf.DUMMYFUNCTION("IFERROR(VLOOKUP(D1234,
IMPORTRANGE(""https://docs.google.com/spreadsheets/d/1MjHtlUikwobi2MaWJgy7tfLeBmhj1u-dRFRs_8GwSoA/edit#gid=0"",""Gestores Escolares!D7:J""),7,0),""VERIFICAR CÓD SEC"")"),"(75) 9 8211-9906/9 9143-3730")</f>
        <v>(75) 9 8211-9906/9 9143-3730</v>
      </c>
      <c r="Q1234" s="82" t="str">
        <f>IFERROR(__xludf.DUMMYFUNCTION("IFERROR(VLOOKUP(D1234,
IMPORTRANGE(""https://docs.google.com/spreadsheets/d/1MjHtlUikwobi2MaWJgy7tfLeBmhj1u-dRFRs_8GwSoA/edit#gid=0"",""Gestores Escolares!D7:m""),9,0),""VERIFICAR CÓD SEC"")"),"GLAUCE SOUZA SANTOS")</f>
        <v>GLAUCE SOUZA SANTOS</v>
      </c>
      <c r="R1234" s="82" t="str">
        <f>IFERROR(__xludf.DUMMYFUNCTION("IFERROR(VLOOKUP(D1234,
IMPORTRANGE(""https://docs.google.com/spreadsheets/d/1MjHtlUikwobi2MaWJgy7tfLeBmhj1u-dRFRs_8GwSoA/edit#gid=0"",""Gestores Escolares!D7:m""),10,0),""VERIFICAR CÓD SEC"")"),"(75) 9 9979-4471")</f>
        <v>(75) 9 9979-4471</v>
      </c>
      <c r="S1234" s="82"/>
      <c r="T1234" s="138">
        <v>15.0</v>
      </c>
      <c r="U1234" s="416">
        <v>8.0</v>
      </c>
      <c r="V1234" s="106">
        <v>0.0</v>
      </c>
      <c r="W1234" s="107">
        <v>0.0</v>
      </c>
      <c r="X1234" s="107">
        <v>0.0</v>
      </c>
      <c r="Y1234" s="107">
        <v>0.0</v>
      </c>
      <c r="Z1234" s="80">
        <f t="shared" si="1"/>
        <v>0</v>
      </c>
      <c r="AA1234" s="106">
        <v>0.0</v>
      </c>
      <c r="AB1234" s="107">
        <v>0.0</v>
      </c>
      <c r="AC1234" s="107">
        <v>0.0</v>
      </c>
      <c r="AD1234" s="107">
        <v>0.0</v>
      </c>
      <c r="AE1234" s="80">
        <f t="shared" si="2"/>
        <v>0</v>
      </c>
      <c r="AF1234" s="140">
        <v>21.0</v>
      </c>
      <c r="AG1234" s="109">
        <v>0.0</v>
      </c>
      <c r="AH1234" s="109">
        <v>0.0</v>
      </c>
      <c r="AI1234" s="141">
        <v>115.0</v>
      </c>
      <c r="AJ1234" s="80">
        <f t="shared" si="3"/>
        <v>136</v>
      </c>
      <c r="AK1234" s="140">
        <v>0.0</v>
      </c>
      <c r="AL1234" s="109">
        <v>0.0</v>
      </c>
      <c r="AM1234" s="141">
        <v>0.0</v>
      </c>
      <c r="AN1234" s="80">
        <f t="shared" si="4"/>
        <v>0</v>
      </c>
      <c r="AO1234" s="140">
        <v>0.0</v>
      </c>
      <c r="AP1234" s="109">
        <v>0.0</v>
      </c>
      <c r="AQ1234" s="109">
        <v>42.0</v>
      </c>
      <c r="AR1234" s="80">
        <f t="shared" si="5"/>
        <v>42</v>
      </c>
      <c r="AS1234" s="110">
        <v>0.0</v>
      </c>
      <c r="AT1234" s="110">
        <v>0.0</v>
      </c>
      <c r="AU1234" s="110">
        <v>49.0</v>
      </c>
      <c r="AV1234" s="142">
        <v>68.0</v>
      </c>
      <c r="AW1234" s="80">
        <f t="shared" si="6"/>
        <v>117</v>
      </c>
      <c r="AX1234" s="113">
        <f t="shared" si="7"/>
        <v>295</v>
      </c>
      <c r="AY1234" s="117">
        <f t="shared" si="8"/>
        <v>204</v>
      </c>
      <c r="AZ1234" s="120">
        <f t="shared" si="9"/>
        <v>91</v>
      </c>
      <c r="BA1234" s="115">
        <v>0.0</v>
      </c>
      <c r="BB1234" s="89">
        <f t="shared" si="10"/>
        <v>295</v>
      </c>
      <c r="BC1234" s="132" t="s">
        <v>178</v>
      </c>
      <c r="BD1234" s="132" t="s">
        <v>178</v>
      </c>
      <c r="BE1234" s="132" t="s">
        <v>178</v>
      </c>
      <c r="BF1234" s="156"/>
      <c r="BG1234" s="83">
        <v>1134657.0</v>
      </c>
      <c r="BH1234" s="112"/>
      <c r="BI1234" s="112">
        <v>8.0</v>
      </c>
      <c r="BJ1234" s="98" t="s">
        <v>155</v>
      </c>
      <c r="BK1234" s="99">
        <f t="shared" si="11"/>
        <v>183</v>
      </c>
      <c r="BL1234" s="99">
        <f t="shared" si="12"/>
        <v>21</v>
      </c>
      <c r="BM1234" s="99" t="str">
        <f>IFERROR(__xludf.DUMMYFUNCTION("IFERROR(VLOOKUP(BG1234,IMPORTRANGE(""https://docs.google.com/spreadsheets/d/1juPI-Fb8LD0YtltB2mlGEnp_R3UVu1t3wSFPzgCyHXE/edit?gid=0#gid=0"",""GERAL!A2:C""),3,0),""-"")"),"-")</f>
        <v>-</v>
      </c>
    </row>
    <row r="1235" ht="15.75" customHeight="1">
      <c r="A1235" s="111" t="s">
        <v>1463</v>
      </c>
      <c r="B1235" s="83" t="s">
        <v>6758</v>
      </c>
      <c r="C1235" s="83" t="s">
        <v>164</v>
      </c>
      <c r="D1235" s="112">
        <v>1134657.0</v>
      </c>
      <c r="E1235" s="83">
        <v>1178229.0</v>
      </c>
      <c r="F1235" s="98">
        <v>2.9493218E7</v>
      </c>
      <c r="G1235" s="114" t="s">
        <v>6762</v>
      </c>
      <c r="H1235" s="91" t="s">
        <v>6763</v>
      </c>
      <c r="I1235" s="83" t="s">
        <v>576</v>
      </c>
      <c r="J1235" s="83" t="s">
        <v>694</v>
      </c>
      <c r="K1235" s="83" t="s">
        <v>168</v>
      </c>
      <c r="L1235" s="83" t="s">
        <v>169</v>
      </c>
      <c r="M1235" s="82" t="str">
        <f>IFERROR(__xludf.DUMMYFUNCTION("IFERROR(VLOOKUP(D1235,
IMPORTRANGE(""https://docs.google.com/spreadsheets/d/1MjHtlUikwobi2MaWJgy7tfLeBmhj1u-dRFRs_8GwSoA/edit#gid=0"",""Gestores Escolares!D7:J""),3,0),""VERIFICAR CÓD SEC"")"),"HOZANA MOTA C. PINTO DE SANTANA PEDREIRA")</f>
        <v>HOZANA MOTA C. PINTO DE SANTANA PEDREIRA</v>
      </c>
      <c r="N1235" s="82" t="str">
        <f>IFERROR(__xludf.DUMMYFUNCTION("IFERROR(VLOOKUP(D1235,
IMPORTRANGE(""https://docs.google.com/spreadsheets/d/1MjHtlUikwobi2MaWJgy7tfLeBmhj1u-dRFRs_8GwSoA/edit#gid=0"",""Gestores Escolares!D7:J""),4,0),""VERIFICAR CÓD SEC"")"),"(75) 9 9247-9414")</f>
        <v>(75) 9 9247-9414</v>
      </c>
      <c r="O1235" s="82" t="str">
        <f>IFERROR(__xludf.DUMMYFUNCTION("IFERROR(VLOOKUP(D1235,
IMPORTRANGE(""https://docs.google.com/spreadsheets/d/1MjHtlUikwobi2MaWJgy7tfLeBmhj1u-dRFRs_8GwSoA/edit#gid=0"",""Gestores Escolares!D7:J""),6,0),""VERIFICAR CÓD SEC"")"),"ELAINE CRISTINA DOS SANTOS PEREIRA")</f>
        <v>ELAINE CRISTINA DOS SANTOS PEREIRA</v>
      </c>
      <c r="P1235" s="82" t="str">
        <f>IFERROR(__xludf.DUMMYFUNCTION("IFERROR(VLOOKUP(D1235,
IMPORTRANGE(""https://docs.google.com/spreadsheets/d/1MjHtlUikwobi2MaWJgy7tfLeBmhj1u-dRFRs_8GwSoA/edit#gid=0"",""Gestores Escolares!D7:J""),7,0),""VERIFICAR CÓD SEC"")"),"(75) 9 8211-9906/9 9143-3730")</f>
        <v>(75) 9 8211-9906/9 9143-3730</v>
      </c>
      <c r="Q1235" s="82" t="str">
        <f>IFERROR(__xludf.DUMMYFUNCTION("IFERROR(VLOOKUP(D1235,
IMPORTRANGE(""https://docs.google.com/spreadsheets/d/1MjHtlUikwobi2MaWJgy7tfLeBmhj1u-dRFRs_8GwSoA/edit#gid=0"",""Gestores Escolares!D7:m""),9,0),""VERIFICAR CÓD SEC"")"),"GLAUCE SOUZA SANTOS")</f>
        <v>GLAUCE SOUZA SANTOS</v>
      </c>
      <c r="R1235" s="82" t="str">
        <f>IFERROR(__xludf.DUMMYFUNCTION("IFERROR(VLOOKUP(D1235,
IMPORTRANGE(""https://docs.google.com/spreadsheets/d/1MjHtlUikwobi2MaWJgy7tfLeBmhj1u-dRFRs_8GwSoA/edit#gid=0"",""Gestores Escolares!D7:m""),10,0),""VERIFICAR CÓD SEC"")"),"(75) 9 9979-4471")</f>
        <v>(75) 9 9979-4471</v>
      </c>
      <c r="S1235" s="82"/>
      <c r="T1235" s="138">
        <v>4.0</v>
      </c>
      <c r="U1235" s="416">
        <v>4.0</v>
      </c>
      <c r="V1235" s="106">
        <v>0.0</v>
      </c>
      <c r="W1235" s="107">
        <v>0.0</v>
      </c>
      <c r="X1235" s="107">
        <v>0.0</v>
      </c>
      <c r="Y1235" s="107">
        <v>0.0</v>
      </c>
      <c r="Z1235" s="80">
        <f t="shared" si="1"/>
        <v>0</v>
      </c>
      <c r="AA1235" s="106">
        <v>0.0</v>
      </c>
      <c r="AB1235" s="107">
        <v>0.0</v>
      </c>
      <c r="AC1235" s="107">
        <v>0.0</v>
      </c>
      <c r="AD1235" s="107">
        <v>0.0</v>
      </c>
      <c r="AE1235" s="80">
        <f t="shared" si="2"/>
        <v>0</v>
      </c>
      <c r="AF1235" s="140">
        <v>0.0</v>
      </c>
      <c r="AG1235" s="109">
        <v>86.0</v>
      </c>
      <c r="AH1235" s="109">
        <v>0.0</v>
      </c>
      <c r="AI1235" s="141">
        <v>0.0</v>
      </c>
      <c r="AJ1235" s="80">
        <f t="shared" si="3"/>
        <v>86</v>
      </c>
      <c r="AK1235" s="140">
        <v>0.0</v>
      </c>
      <c r="AL1235" s="109">
        <v>0.0</v>
      </c>
      <c r="AM1235" s="141">
        <v>0.0</v>
      </c>
      <c r="AN1235" s="80">
        <f t="shared" si="4"/>
        <v>0</v>
      </c>
      <c r="AO1235" s="140">
        <v>0.0</v>
      </c>
      <c r="AP1235" s="109">
        <v>0.0</v>
      </c>
      <c r="AQ1235" s="109">
        <v>0.0</v>
      </c>
      <c r="AR1235" s="80">
        <f t="shared" si="5"/>
        <v>0</v>
      </c>
      <c r="AS1235" s="110">
        <v>0.0</v>
      </c>
      <c r="AT1235" s="110">
        <v>0.0</v>
      </c>
      <c r="AU1235" s="110">
        <v>0.0</v>
      </c>
      <c r="AV1235" s="142">
        <v>0.0</v>
      </c>
      <c r="AW1235" s="80">
        <f t="shared" si="6"/>
        <v>0</v>
      </c>
      <c r="AX1235" s="113">
        <f t="shared" si="7"/>
        <v>86</v>
      </c>
      <c r="AY1235" s="117">
        <f t="shared" si="8"/>
        <v>86</v>
      </c>
      <c r="AZ1235" s="120">
        <f t="shared" si="9"/>
        <v>0</v>
      </c>
      <c r="BA1235" s="115">
        <v>0.0</v>
      </c>
      <c r="BB1235" s="89">
        <f t="shared" si="10"/>
        <v>86</v>
      </c>
      <c r="BC1235" s="132" t="s">
        <v>373</v>
      </c>
      <c r="BD1235" s="132" t="s">
        <v>178</v>
      </c>
      <c r="BE1235" s="132" t="s">
        <v>178</v>
      </c>
      <c r="BF1235" s="123"/>
      <c r="BG1235" s="83">
        <v>1178229.0</v>
      </c>
      <c r="BH1235" s="112"/>
      <c r="BI1235" s="112">
        <v>4.0</v>
      </c>
      <c r="BJ1235" s="98" t="s">
        <v>155</v>
      </c>
      <c r="BK1235" s="99">
        <f t="shared" si="11"/>
        <v>0</v>
      </c>
      <c r="BL1235" s="99">
        <f t="shared" si="12"/>
        <v>86</v>
      </c>
      <c r="BM1235" s="99" t="str">
        <f>IFERROR(__xludf.DUMMYFUNCTION("IFERROR(VLOOKUP(BG1235,IMPORTRANGE(""https://docs.google.com/spreadsheets/d/1juPI-Fb8LD0YtltB2mlGEnp_R3UVu1t3wSFPzgCyHXE/edit?gid=0#gid=0"",""GERAL!A2:C""),3,0),""-"")"),"CAMPO")</f>
        <v>CAMPO</v>
      </c>
    </row>
    <row r="1236" ht="15.75" customHeight="1">
      <c r="A1236" s="111" t="s">
        <v>1463</v>
      </c>
      <c r="B1236" s="83" t="s">
        <v>6770</v>
      </c>
      <c r="C1236" s="83" t="s">
        <v>68</v>
      </c>
      <c r="D1236" s="112">
        <v>1138954.0</v>
      </c>
      <c r="E1236" s="83"/>
      <c r="F1236" s="83">
        <v>2.9174546E7</v>
      </c>
      <c r="G1236" s="114" t="s">
        <v>6771</v>
      </c>
      <c r="H1236" s="91" t="s">
        <v>6772</v>
      </c>
      <c r="I1236" s="83" t="s">
        <v>149</v>
      </c>
      <c r="J1236" s="83" t="s">
        <v>150</v>
      </c>
      <c r="K1236" s="83" t="s">
        <v>151</v>
      </c>
      <c r="L1236" s="83" t="s">
        <v>152</v>
      </c>
      <c r="M1236" s="82" t="str">
        <f>IFERROR(__xludf.DUMMYFUNCTION("IFERROR(VLOOKUP(D1236,
IMPORTRANGE(""https://docs.google.com/spreadsheets/d/1MjHtlUikwobi2MaWJgy7tfLeBmhj1u-dRFRs_8GwSoA/edit#gid=0"",""Gestores Escolares!D7:J""),3,0),""VERIFICAR CÓD SEC"")"),"EDNALDO BARRETO DA SILVA")</f>
        <v>EDNALDO BARRETO DA SILVA</v>
      </c>
      <c r="N1236" s="82" t="str">
        <f>IFERROR(__xludf.DUMMYFUNCTION("IFERROR(VLOOKUP(D1236,
IMPORTRANGE(""https://docs.google.com/spreadsheets/d/1MjHtlUikwobi2MaWJgy7tfLeBmhj1u-dRFRs_8GwSoA/edit#gid=0"",""Gestores Escolares!D7:J""),4,0),""VERIFICAR CÓD SEC"")"),"(75) 9 9967-4694/9 8141-3501")</f>
        <v>(75) 9 9967-4694/9 8141-3501</v>
      </c>
      <c r="O1236" s="82" t="str">
        <f>IFERROR(__xludf.DUMMYFUNCTION("IFERROR(VLOOKUP(D1236,
IMPORTRANGE(""https://docs.google.com/spreadsheets/d/1MjHtlUikwobi2MaWJgy7tfLeBmhj1u-dRFRs_8GwSoA/edit#gid=0"",""Gestores Escolares!D7:J""),6,0),""VERIFICAR CÓD SEC"")"),"ROSANGELA MARIA BRITO OLIVEIRA DOS SANTOS")</f>
        <v>ROSANGELA MARIA BRITO OLIVEIRA DOS SANTOS</v>
      </c>
      <c r="P1236" s="82" t="str">
        <f>IFERROR(__xludf.DUMMYFUNCTION("IFERROR(VLOOKUP(D1236,
IMPORTRANGE(""https://docs.google.com/spreadsheets/d/1MjHtlUikwobi2MaWJgy7tfLeBmhj1u-dRFRs_8GwSoA/edit#gid=0"",""Gestores Escolares!D7:J""),7,0),""VERIFICAR CÓD SEC"")"),"(75) 9 8106-6787")</f>
        <v>(75) 9 8106-6787</v>
      </c>
      <c r="Q1236" s="82" t="str">
        <f>IFERROR(__xludf.DUMMYFUNCTION("IFERROR(VLOOKUP(D1236,
IMPORTRANGE(""https://docs.google.com/spreadsheets/d/1MjHtlUikwobi2MaWJgy7tfLeBmhj1u-dRFRs_8GwSoA/edit#gid=0"",""Gestores Escolares!D7:m""),9,0),""VERIFICAR CÓD SEC"")"),"RICARDO JOSE RAMOS DOS SANTOS")</f>
        <v>RICARDO JOSE RAMOS DOS SANTOS</v>
      </c>
      <c r="R1236" s="82" t="str">
        <f>IFERROR(__xludf.DUMMYFUNCTION("IFERROR(VLOOKUP(D1236,
IMPORTRANGE(""https://docs.google.com/spreadsheets/d/1MjHtlUikwobi2MaWJgy7tfLeBmhj1u-dRFRs_8GwSoA/edit#gid=0"",""Gestores Escolares!D7:m""),10,0),""VERIFICAR CÓD SEC"")"),"(75) 9 9968-7304")</f>
        <v>(75) 9 9968-7304</v>
      </c>
      <c r="S1236" s="82"/>
      <c r="T1236" s="138">
        <v>12.0</v>
      </c>
      <c r="U1236" s="403">
        <v>12.0</v>
      </c>
      <c r="V1236" s="106">
        <v>0.0</v>
      </c>
      <c r="W1236" s="107">
        <v>0.0</v>
      </c>
      <c r="X1236" s="107">
        <v>0.0</v>
      </c>
      <c r="Y1236" s="107">
        <v>0.0</v>
      </c>
      <c r="Z1236" s="80">
        <f t="shared" si="1"/>
        <v>0</v>
      </c>
      <c r="AA1236" s="106">
        <v>0.0</v>
      </c>
      <c r="AB1236" s="107">
        <v>0.0</v>
      </c>
      <c r="AC1236" s="107">
        <v>0.0</v>
      </c>
      <c r="AD1236" s="107">
        <v>0.0</v>
      </c>
      <c r="AE1236" s="80">
        <f t="shared" si="2"/>
        <v>0</v>
      </c>
      <c r="AF1236" s="140">
        <v>98.0</v>
      </c>
      <c r="AG1236" s="109">
        <v>103.0</v>
      </c>
      <c r="AH1236" s="109">
        <v>0.0</v>
      </c>
      <c r="AI1236" s="141">
        <v>284.0</v>
      </c>
      <c r="AJ1236" s="80">
        <f t="shared" si="3"/>
        <v>485</v>
      </c>
      <c r="AK1236" s="140">
        <v>0.0</v>
      </c>
      <c r="AL1236" s="109">
        <v>0.0</v>
      </c>
      <c r="AM1236" s="141">
        <v>0.0</v>
      </c>
      <c r="AN1236" s="80">
        <f t="shared" si="4"/>
        <v>0</v>
      </c>
      <c r="AO1236" s="140">
        <v>0.0</v>
      </c>
      <c r="AP1236" s="109">
        <v>0.0</v>
      </c>
      <c r="AQ1236" s="109">
        <v>103.0</v>
      </c>
      <c r="AR1236" s="80">
        <f t="shared" si="5"/>
        <v>103</v>
      </c>
      <c r="AS1236" s="110">
        <v>0.0</v>
      </c>
      <c r="AT1236" s="110">
        <v>0.0</v>
      </c>
      <c r="AU1236" s="110">
        <v>0.0</v>
      </c>
      <c r="AV1236" s="142">
        <v>0.0</v>
      </c>
      <c r="AW1236" s="80">
        <f t="shared" si="6"/>
        <v>0</v>
      </c>
      <c r="AX1236" s="113">
        <f t="shared" si="7"/>
        <v>588</v>
      </c>
      <c r="AY1236" s="117">
        <f t="shared" si="8"/>
        <v>485</v>
      </c>
      <c r="AZ1236" s="120">
        <f t="shared" si="9"/>
        <v>103</v>
      </c>
      <c r="BA1236" s="115">
        <v>0.0</v>
      </c>
      <c r="BB1236" s="89">
        <f t="shared" si="10"/>
        <v>588</v>
      </c>
      <c r="BC1236" s="132" t="s">
        <v>178</v>
      </c>
      <c r="BD1236" s="132" t="s">
        <v>178</v>
      </c>
      <c r="BE1236" s="132" t="s">
        <v>178</v>
      </c>
      <c r="BF1236" s="156"/>
      <c r="BG1236" s="83">
        <v>1138954.0</v>
      </c>
      <c r="BH1236" s="112"/>
      <c r="BI1236" s="112">
        <v>12.0</v>
      </c>
      <c r="BJ1236" s="98" t="s">
        <v>155</v>
      </c>
      <c r="BK1236" s="99">
        <f t="shared" si="11"/>
        <v>284</v>
      </c>
      <c r="BL1236" s="99">
        <f t="shared" si="12"/>
        <v>201</v>
      </c>
      <c r="BM1236" s="99" t="str">
        <f>IFERROR(__xludf.DUMMYFUNCTION("IFERROR(VLOOKUP(BG1236,IMPORTRANGE(""https://docs.google.com/spreadsheets/d/1juPI-Fb8LD0YtltB2mlGEnp_R3UVu1t3wSFPzgCyHXE/edit?gid=0#gid=0"",""GERAL!A2:C""),3,0),""-"")"),"-")</f>
        <v>-</v>
      </c>
    </row>
    <row r="1237" ht="15.75" customHeight="1">
      <c r="A1237" s="111" t="s">
        <v>1463</v>
      </c>
      <c r="B1237" s="83" t="s">
        <v>6770</v>
      </c>
      <c r="C1237" s="83" t="s">
        <v>68</v>
      </c>
      <c r="D1237" s="112">
        <v>1178265.0</v>
      </c>
      <c r="E1237" s="83"/>
      <c r="F1237" s="83">
        <v>2.998176E7</v>
      </c>
      <c r="G1237" s="114" t="s">
        <v>6775</v>
      </c>
      <c r="H1237" s="91" t="s">
        <v>6776</v>
      </c>
      <c r="I1237" s="83" t="s">
        <v>149</v>
      </c>
      <c r="J1237" s="83" t="s">
        <v>5099</v>
      </c>
      <c r="K1237" s="83" t="s">
        <v>151</v>
      </c>
      <c r="L1237" s="83" t="s">
        <v>169</v>
      </c>
      <c r="M1237" s="82" t="str">
        <f>IFERROR(__xludf.DUMMYFUNCTION("IFERROR(VLOOKUP(D1237,
IMPORTRANGE(""https://docs.google.com/spreadsheets/d/1MjHtlUikwobi2MaWJgy7tfLeBmhj1u-dRFRs_8GwSoA/edit#gid=0"",""Gestores Escolares!D7:J""),3,0),""VERIFICAR CÓD SEC"")"),"EMANUELLE SAMPAIO SANTOS")</f>
        <v>EMANUELLE SAMPAIO SANTOS</v>
      </c>
      <c r="N1237" s="82" t="str">
        <f>IFERROR(__xludf.DUMMYFUNCTION("IFERROR(VLOOKUP(D1237,
IMPORTRANGE(""https://docs.google.com/spreadsheets/d/1MjHtlUikwobi2MaWJgy7tfLeBmhj1u-dRFRs_8GwSoA/edit#gid=0"",""Gestores Escolares!D7:J""),4,0),""VERIFICAR CÓD SEC"")"),"(75) 9 8144-2853")</f>
        <v>(75) 9 8144-2853</v>
      </c>
      <c r="O1237" s="82" t="str">
        <f>IFERROR(__xludf.DUMMYFUNCTION("IFERROR(VLOOKUP(D1237,
IMPORTRANGE(""https://docs.google.com/spreadsheets/d/1MjHtlUikwobi2MaWJgy7tfLeBmhj1u-dRFRs_8GwSoA/edit#gid=0"",""Gestores Escolares!D7:J""),6,0),""VERIFICAR CÓD SEC"")"),"")</f>
        <v/>
      </c>
      <c r="P1237" s="82" t="str">
        <f>IFERROR(__xludf.DUMMYFUNCTION("IFERROR(VLOOKUP(D1237,
IMPORTRANGE(""https://docs.google.com/spreadsheets/d/1MjHtlUikwobi2MaWJgy7tfLeBmhj1u-dRFRs_8GwSoA/edit#gid=0"",""Gestores Escolares!D7:J""),7,0),""VERIFICAR CÓD SEC"")"),"")</f>
        <v/>
      </c>
      <c r="Q1237" s="82" t="str">
        <f>IFERROR(__xludf.DUMMYFUNCTION("IFERROR(VLOOKUP(D1237,
IMPORTRANGE(""https://docs.google.com/spreadsheets/d/1MjHtlUikwobi2MaWJgy7tfLeBmhj1u-dRFRs_8GwSoA/edit#gid=0"",""Gestores Escolares!D7:m""),9,0),""VERIFICAR CÓD SEC"")"),"")</f>
        <v/>
      </c>
      <c r="R1237" s="82" t="str">
        <f>IFERROR(__xludf.DUMMYFUNCTION("IFERROR(VLOOKUP(D1237,
IMPORTRANGE(""https://docs.google.com/spreadsheets/d/1MjHtlUikwobi2MaWJgy7tfLeBmhj1u-dRFRs_8GwSoA/edit#gid=0"",""Gestores Escolares!D7:m""),10,0),""VERIFICAR CÓD SEC"")"),"")</f>
        <v/>
      </c>
      <c r="S1237" s="82"/>
      <c r="T1237" s="138">
        <v>7.0</v>
      </c>
      <c r="U1237" s="217" t="s">
        <v>13859</v>
      </c>
      <c r="V1237" s="106">
        <v>0.0</v>
      </c>
      <c r="W1237" s="107">
        <v>0.0</v>
      </c>
      <c r="X1237" s="107">
        <v>0.0</v>
      </c>
      <c r="Y1237" s="107">
        <v>0.0</v>
      </c>
      <c r="Z1237" s="80">
        <f t="shared" si="1"/>
        <v>0</v>
      </c>
      <c r="AA1237" s="106">
        <v>0.0</v>
      </c>
      <c r="AB1237" s="107">
        <v>0.0</v>
      </c>
      <c r="AC1237" s="107">
        <v>0.0</v>
      </c>
      <c r="AD1237" s="107">
        <v>0.0</v>
      </c>
      <c r="AE1237" s="80">
        <f t="shared" si="2"/>
        <v>0</v>
      </c>
      <c r="AF1237" s="140">
        <v>69.0</v>
      </c>
      <c r="AG1237" s="109">
        <v>44.0</v>
      </c>
      <c r="AH1237" s="109">
        <v>0.0</v>
      </c>
      <c r="AI1237" s="141">
        <v>0.0</v>
      </c>
      <c r="AJ1237" s="80">
        <f t="shared" si="3"/>
        <v>113</v>
      </c>
      <c r="AK1237" s="140">
        <v>0.0</v>
      </c>
      <c r="AL1237" s="109">
        <v>0.0</v>
      </c>
      <c r="AM1237" s="141">
        <v>0.0</v>
      </c>
      <c r="AN1237" s="80">
        <f t="shared" si="4"/>
        <v>0</v>
      </c>
      <c r="AO1237" s="140">
        <v>0.0</v>
      </c>
      <c r="AP1237" s="109">
        <v>0.0</v>
      </c>
      <c r="AQ1237" s="109">
        <v>0.0</v>
      </c>
      <c r="AR1237" s="80">
        <f t="shared" si="5"/>
        <v>0</v>
      </c>
      <c r="AS1237" s="110">
        <v>0.0</v>
      </c>
      <c r="AT1237" s="110">
        <v>0.0</v>
      </c>
      <c r="AU1237" s="110">
        <v>0.0</v>
      </c>
      <c r="AV1237" s="142">
        <v>0.0</v>
      </c>
      <c r="AW1237" s="80">
        <f t="shared" si="6"/>
        <v>0</v>
      </c>
      <c r="AX1237" s="113">
        <f t="shared" si="7"/>
        <v>113</v>
      </c>
      <c r="AY1237" s="117">
        <f t="shared" si="8"/>
        <v>113</v>
      </c>
      <c r="AZ1237" s="120">
        <f t="shared" si="9"/>
        <v>0</v>
      </c>
      <c r="BA1237" s="115">
        <v>0.0</v>
      </c>
      <c r="BB1237" s="89">
        <f t="shared" si="10"/>
        <v>113</v>
      </c>
      <c r="BC1237" s="132" t="s">
        <v>373</v>
      </c>
      <c r="BD1237" s="132" t="s">
        <v>178</v>
      </c>
      <c r="BE1237" s="132" t="s">
        <v>178</v>
      </c>
      <c r="BF1237" s="123"/>
      <c r="BG1237" s="83">
        <v>1178265.0</v>
      </c>
      <c r="BH1237" s="112"/>
      <c r="BI1237" s="112">
        <v>7.0</v>
      </c>
      <c r="BJ1237" s="98" t="s">
        <v>155</v>
      </c>
      <c r="BK1237" s="99">
        <f t="shared" si="11"/>
        <v>0</v>
      </c>
      <c r="BL1237" s="99">
        <f t="shared" si="12"/>
        <v>113</v>
      </c>
      <c r="BM1237" s="99" t="str">
        <f>IFERROR(__xludf.DUMMYFUNCTION("IFERROR(VLOOKUP(BG1237,IMPORTRANGE(""https://docs.google.com/spreadsheets/d/1juPI-Fb8LD0YtltB2mlGEnp_R3UVu1t3wSFPzgCyHXE/edit?gid=0#gid=0"",""GERAL!A2:C""),3,0),""-"")"),"CAMPO")</f>
        <v>CAMPO</v>
      </c>
    </row>
    <row r="1238" ht="15.75" customHeight="1">
      <c r="A1238" s="111" t="s">
        <v>1463</v>
      </c>
      <c r="B1238" s="83" t="s">
        <v>6770</v>
      </c>
      <c r="C1238" s="83" t="s">
        <v>68</v>
      </c>
      <c r="D1238" s="112">
        <v>1134932.0</v>
      </c>
      <c r="E1238" s="83"/>
      <c r="F1238" s="83">
        <v>2.917418E7</v>
      </c>
      <c r="G1238" s="114" t="s">
        <v>6786</v>
      </c>
      <c r="H1238" s="91" t="s">
        <v>6787</v>
      </c>
      <c r="I1238" s="83" t="s">
        <v>149</v>
      </c>
      <c r="J1238" s="83" t="s">
        <v>150</v>
      </c>
      <c r="K1238" s="83" t="s">
        <v>151</v>
      </c>
      <c r="L1238" s="83" t="s">
        <v>230</v>
      </c>
      <c r="M1238" s="82" t="str">
        <f>IFERROR(__xludf.DUMMYFUNCTION("IFERROR(VLOOKUP(D1238,
IMPORTRANGE(""https://docs.google.com/spreadsheets/d/1MjHtlUikwobi2MaWJgy7tfLeBmhj1u-dRFRs_8GwSoA/edit#gid=0"",""Gestores Escolares!D7:J""),3,0),""VERIFICAR CÓD SEC"")"),"SÍLVIA REGINA DAS NEVES COAXI")</f>
        <v>SÍLVIA REGINA DAS NEVES COAXI</v>
      </c>
      <c r="N1238" s="82" t="str">
        <f>IFERROR(__xludf.DUMMYFUNCTION("IFERROR(VLOOKUP(D1238,
IMPORTRANGE(""https://docs.google.com/spreadsheets/d/1MjHtlUikwobi2MaWJgy7tfLeBmhj1u-dRFRs_8GwSoA/edit#gid=0"",""Gestores Escolares!D7:J""),4,0),""VERIFICAR CÓD SEC"")"),"(75) 9 8115-4985/ 3627-2823")</f>
        <v>(75) 9 8115-4985/ 3627-2823</v>
      </c>
      <c r="O1238" s="82" t="str">
        <f>IFERROR(__xludf.DUMMYFUNCTION("IFERROR(VLOOKUP(D1238,
IMPORTRANGE(""https://docs.google.com/spreadsheets/d/1MjHtlUikwobi2MaWJgy7tfLeBmhj1u-dRFRs_8GwSoA/edit#gid=0"",""Gestores Escolares!D7:J""),6,0),""VERIFICAR CÓD SEC"")"),"DANIELA SILVA DE JESUS OLIVEIRA")</f>
        <v>DANIELA SILVA DE JESUS OLIVEIRA</v>
      </c>
      <c r="P1238" s="82" t="str">
        <f>IFERROR(__xludf.DUMMYFUNCTION("IFERROR(VLOOKUP(D1238,
IMPORTRANGE(""https://docs.google.com/spreadsheets/d/1MjHtlUikwobi2MaWJgy7tfLeBmhj1u-dRFRs_8GwSoA/edit#gid=0"",""Gestores Escolares!D7:J""),7,0),""VERIFICAR CÓD SEC"")"),"(75) 9 8112-1649")</f>
        <v>(75) 9 8112-1649</v>
      </c>
      <c r="Q1238" s="82" t="str">
        <f>IFERROR(__xludf.DUMMYFUNCTION("IFERROR(VLOOKUP(D1238,
IMPORTRANGE(""https://docs.google.com/spreadsheets/d/1MjHtlUikwobi2MaWJgy7tfLeBmhj1u-dRFRs_8GwSoA/edit#gid=0"",""Gestores Escolares!D7:m""),9,0),""VERIFICAR CÓD SEC"")"),"GLEICIANE DAMASCENO DOS SANTOS")</f>
        <v>GLEICIANE DAMASCENO DOS SANTOS</v>
      </c>
      <c r="R1238" s="82" t="str">
        <f>IFERROR(__xludf.DUMMYFUNCTION("IFERROR(VLOOKUP(D1238,
IMPORTRANGE(""https://docs.google.com/spreadsheets/d/1MjHtlUikwobi2MaWJgy7tfLeBmhj1u-dRFRs_8GwSoA/edit#gid=0"",""Gestores Escolares!D7:m""),10,0),""VERIFICAR CÓD SEC"")"),"(75) 9 8125-3190")</f>
        <v>(75) 9 8125-3190</v>
      </c>
      <c r="S1238" s="82"/>
      <c r="T1238" s="138">
        <v>15.0</v>
      </c>
      <c r="U1238" s="217">
        <v>9.0</v>
      </c>
      <c r="V1238" s="106">
        <v>0.0</v>
      </c>
      <c r="W1238" s="107">
        <v>0.0</v>
      </c>
      <c r="X1238" s="107">
        <v>0.0</v>
      </c>
      <c r="Y1238" s="107">
        <v>0.0</v>
      </c>
      <c r="Z1238" s="80">
        <f t="shared" si="1"/>
        <v>0</v>
      </c>
      <c r="AA1238" s="106">
        <v>0.0</v>
      </c>
      <c r="AB1238" s="107">
        <v>0.0</v>
      </c>
      <c r="AC1238" s="107">
        <v>0.0</v>
      </c>
      <c r="AD1238" s="107">
        <v>0.0</v>
      </c>
      <c r="AE1238" s="80">
        <f t="shared" si="2"/>
        <v>0</v>
      </c>
      <c r="AF1238" s="140">
        <v>0.0</v>
      </c>
      <c r="AG1238" s="109">
        <v>0.0</v>
      </c>
      <c r="AH1238" s="109">
        <v>0.0</v>
      </c>
      <c r="AI1238" s="141">
        <v>0.0</v>
      </c>
      <c r="AJ1238" s="80">
        <f t="shared" si="3"/>
        <v>0</v>
      </c>
      <c r="AK1238" s="140">
        <v>0.0</v>
      </c>
      <c r="AL1238" s="109">
        <v>0.0</v>
      </c>
      <c r="AM1238" s="141">
        <v>0.0</v>
      </c>
      <c r="AN1238" s="80">
        <f t="shared" si="4"/>
        <v>0</v>
      </c>
      <c r="AO1238" s="140">
        <v>0.0</v>
      </c>
      <c r="AP1238" s="109">
        <v>0.0</v>
      </c>
      <c r="AQ1238" s="109">
        <v>0.0</v>
      </c>
      <c r="AR1238" s="80">
        <f t="shared" si="5"/>
        <v>0</v>
      </c>
      <c r="AS1238" s="110">
        <v>185.0</v>
      </c>
      <c r="AT1238" s="110">
        <v>81.0</v>
      </c>
      <c r="AU1238" s="110">
        <v>165.0</v>
      </c>
      <c r="AV1238" s="142">
        <v>0.0</v>
      </c>
      <c r="AW1238" s="80">
        <f t="shared" si="6"/>
        <v>431</v>
      </c>
      <c r="AX1238" s="113">
        <f t="shared" si="7"/>
        <v>431</v>
      </c>
      <c r="AY1238" s="117">
        <f t="shared" si="8"/>
        <v>266</v>
      </c>
      <c r="AZ1238" s="120">
        <f t="shared" si="9"/>
        <v>165</v>
      </c>
      <c r="BA1238" s="115">
        <v>6.0</v>
      </c>
      <c r="BB1238" s="89">
        <f t="shared" si="10"/>
        <v>437</v>
      </c>
      <c r="BC1238" s="132" t="s">
        <v>178</v>
      </c>
      <c r="BD1238" s="132" t="s">
        <v>522</v>
      </c>
      <c r="BE1238" s="132" t="s">
        <v>178</v>
      </c>
      <c r="BF1238" s="156"/>
      <c r="BG1238" s="83">
        <v>1134932.0</v>
      </c>
      <c r="BH1238" s="112"/>
      <c r="BI1238" s="112">
        <v>10.0</v>
      </c>
      <c r="BJ1238" s="98" t="s">
        <v>155</v>
      </c>
      <c r="BK1238" s="99">
        <f t="shared" si="11"/>
        <v>0</v>
      </c>
      <c r="BL1238" s="99">
        <f t="shared" si="12"/>
        <v>266</v>
      </c>
      <c r="BM1238" s="99" t="str">
        <f>IFERROR(__xludf.DUMMYFUNCTION("IFERROR(VLOOKUP(BG1238,IMPORTRANGE(""https://docs.google.com/spreadsheets/d/1juPI-Fb8LD0YtltB2mlGEnp_R3UVu1t3wSFPzgCyHXE/edit?gid=0#gid=0"",""GERAL!A2:C""),3,0),""-"")"),"-")</f>
        <v>-</v>
      </c>
    </row>
    <row r="1239" ht="15.75" customHeight="1">
      <c r="A1239" s="111" t="s">
        <v>1463</v>
      </c>
      <c r="B1239" s="83" t="s">
        <v>6789</v>
      </c>
      <c r="C1239" s="83" t="s">
        <v>68</v>
      </c>
      <c r="D1239" s="112">
        <v>1178053.0</v>
      </c>
      <c r="E1239" s="83"/>
      <c r="F1239" s="83">
        <v>2.9432529E7</v>
      </c>
      <c r="G1239" s="119" t="s">
        <v>6795</v>
      </c>
      <c r="H1239" s="91" t="s">
        <v>6796</v>
      </c>
      <c r="I1239" s="83" t="s">
        <v>149</v>
      </c>
      <c r="J1239" s="83" t="s">
        <v>150</v>
      </c>
      <c r="K1239" s="83" t="s">
        <v>151</v>
      </c>
      <c r="L1239" s="83" t="s">
        <v>152</v>
      </c>
      <c r="M1239" s="82" t="str">
        <f>IFERROR(__xludf.DUMMYFUNCTION("IFERROR(VLOOKUP(D1239,
IMPORTRANGE(""https://docs.google.com/spreadsheets/d/1MjHtlUikwobi2MaWJgy7tfLeBmhj1u-dRFRs_8GwSoA/edit#gid=0"",""Gestores Escolares!D7:J""),3,0),""VERIFICAR CÓD SEC"")"),"HELITANIA DOS SANTOS PEREIRA")</f>
        <v>HELITANIA DOS SANTOS PEREIRA</v>
      </c>
      <c r="N1239" s="82" t="str">
        <f>IFERROR(__xludf.DUMMYFUNCTION("IFERROR(VLOOKUP(D1239,
IMPORTRANGE(""https://docs.google.com/spreadsheets/d/1MjHtlUikwobi2MaWJgy7tfLeBmhj1u-dRFRs_8GwSoA/edit#gid=0"",""Gestores Escolares!D7:J""),4,0),""VERIFICAR CÓD SEC"")"),"(71) 9 9221-4624")</f>
        <v>(71) 9 9221-4624</v>
      </c>
      <c r="O1239" s="82" t="str">
        <f>IFERROR(__xludf.DUMMYFUNCTION("IFERROR(VLOOKUP(D1239,
IMPORTRANGE(""https://docs.google.com/spreadsheets/d/1MjHtlUikwobi2MaWJgy7tfLeBmhj1u-dRFRs_8GwSoA/edit#gid=0"",""Gestores Escolares!D7:J""),6,0),""VERIFICAR CÓD SEC"")"),"DANIEL AVELINO LIMA DA SILVA")</f>
        <v>DANIEL AVELINO LIMA DA SILVA</v>
      </c>
      <c r="P1239" s="82" t="str">
        <f>IFERROR(__xludf.DUMMYFUNCTION("IFERROR(VLOOKUP(D1239,
IMPORTRANGE(""https://docs.google.com/spreadsheets/d/1MjHtlUikwobi2MaWJgy7tfLeBmhj1u-dRFRs_8GwSoA/edit#gid=0"",""Gestores Escolares!D7:J""),7,0),""VERIFICAR CÓD SEC"")"),"(71) 9 9234-0045")</f>
        <v>(71) 9 9234-0045</v>
      </c>
      <c r="Q1239" s="82" t="str">
        <f>IFERROR(__xludf.DUMMYFUNCTION("IFERROR(VLOOKUP(D1239,
IMPORTRANGE(""https://docs.google.com/spreadsheets/d/1MjHtlUikwobi2MaWJgy7tfLeBmhj1u-dRFRs_8GwSoA/edit#gid=0"",""Gestores Escolares!D7:m""),9,0),""VERIFICAR CÓD SEC"")"),"CAMILA VALLADARES VILAS BOAS")</f>
        <v>CAMILA VALLADARES VILAS BOAS</v>
      </c>
      <c r="R1239" s="82" t="str">
        <f>IFERROR(__xludf.DUMMYFUNCTION("IFERROR(VLOOKUP(D1239,
IMPORTRANGE(""https://docs.google.com/spreadsheets/d/1MjHtlUikwobi2MaWJgy7tfLeBmhj1u-dRFRs_8GwSoA/edit#gid=0"",""Gestores Escolares!D7:m""),10,0),""VERIFICAR CÓD SEC"")"),"")</f>
        <v/>
      </c>
      <c r="S1239" s="82"/>
      <c r="T1239" s="138">
        <v>9.0</v>
      </c>
      <c r="U1239" s="152">
        <v>10.0</v>
      </c>
      <c r="V1239" s="106">
        <v>0.0</v>
      </c>
      <c r="W1239" s="107">
        <v>0.0</v>
      </c>
      <c r="X1239" s="107">
        <v>0.0</v>
      </c>
      <c r="Y1239" s="107">
        <v>0.0</v>
      </c>
      <c r="Z1239" s="80">
        <f t="shared" si="1"/>
        <v>0</v>
      </c>
      <c r="AA1239" s="106">
        <v>0.0</v>
      </c>
      <c r="AB1239" s="107">
        <v>0.0</v>
      </c>
      <c r="AC1239" s="107">
        <v>0.0</v>
      </c>
      <c r="AD1239" s="107">
        <v>0.0</v>
      </c>
      <c r="AE1239" s="80">
        <f t="shared" si="2"/>
        <v>0</v>
      </c>
      <c r="AF1239" s="140">
        <v>0.0</v>
      </c>
      <c r="AG1239" s="109">
        <v>0.0</v>
      </c>
      <c r="AH1239" s="109">
        <v>0.0</v>
      </c>
      <c r="AI1239" s="141">
        <v>168.0</v>
      </c>
      <c r="AJ1239" s="80">
        <f t="shared" si="3"/>
        <v>168</v>
      </c>
      <c r="AK1239" s="140">
        <v>0.0</v>
      </c>
      <c r="AL1239" s="109">
        <v>0.0</v>
      </c>
      <c r="AM1239" s="141">
        <v>0.0</v>
      </c>
      <c r="AN1239" s="80">
        <f t="shared" si="4"/>
        <v>0</v>
      </c>
      <c r="AO1239" s="140">
        <v>0.0</v>
      </c>
      <c r="AP1239" s="109">
        <v>0.0</v>
      </c>
      <c r="AQ1239" s="109">
        <v>71.0</v>
      </c>
      <c r="AR1239" s="80">
        <f t="shared" si="5"/>
        <v>71</v>
      </c>
      <c r="AS1239" s="110">
        <v>50.0</v>
      </c>
      <c r="AT1239" s="110">
        <v>0.0</v>
      </c>
      <c r="AU1239" s="110">
        <v>58.0</v>
      </c>
      <c r="AV1239" s="142">
        <v>172.0</v>
      </c>
      <c r="AW1239" s="80">
        <f t="shared" si="6"/>
        <v>280</v>
      </c>
      <c r="AX1239" s="113">
        <f t="shared" si="7"/>
        <v>519</v>
      </c>
      <c r="AY1239" s="117">
        <f t="shared" si="8"/>
        <v>390</v>
      </c>
      <c r="AZ1239" s="120">
        <f t="shared" si="9"/>
        <v>129</v>
      </c>
      <c r="BA1239" s="115">
        <v>0.0</v>
      </c>
      <c r="BB1239" s="89">
        <f t="shared" si="10"/>
        <v>519</v>
      </c>
      <c r="BC1239" s="132" t="s">
        <v>178</v>
      </c>
      <c r="BD1239" s="132" t="s">
        <v>178</v>
      </c>
      <c r="BE1239" s="132" t="s">
        <v>178</v>
      </c>
      <c r="BF1239" s="123"/>
      <c r="BG1239" s="83">
        <v>1178053.0</v>
      </c>
      <c r="BH1239" s="112"/>
      <c r="BI1239" s="112">
        <v>10.0</v>
      </c>
      <c r="BJ1239" s="98" t="s">
        <v>155</v>
      </c>
      <c r="BK1239" s="99">
        <f t="shared" si="11"/>
        <v>340</v>
      </c>
      <c r="BL1239" s="99">
        <f t="shared" si="12"/>
        <v>50</v>
      </c>
      <c r="BM1239" s="99" t="str">
        <f>IFERROR(__xludf.DUMMYFUNCTION("IFERROR(VLOOKUP(BG1239,IMPORTRANGE(""https://docs.google.com/spreadsheets/d/1juPI-Fb8LD0YtltB2mlGEnp_R3UVu1t3wSFPzgCyHXE/edit?gid=0#gid=0"",""GERAL!A2:C""),3,0),""-"")"),"-")</f>
        <v>-</v>
      </c>
    </row>
    <row r="1240" ht="15.75" customHeight="1">
      <c r="A1240" s="111" t="s">
        <v>1463</v>
      </c>
      <c r="B1240" s="83" t="s">
        <v>6802</v>
      </c>
      <c r="C1240" s="83" t="s">
        <v>68</v>
      </c>
      <c r="D1240" s="112">
        <v>1178030.0</v>
      </c>
      <c r="E1240" s="83"/>
      <c r="F1240" s="83">
        <v>2.9174805E7</v>
      </c>
      <c r="G1240" s="114" t="s">
        <v>6803</v>
      </c>
      <c r="H1240" s="91" t="s">
        <v>6804</v>
      </c>
      <c r="I1240" s="83" t="s">
        <v>6805</v>
      </c>
      <c r="J1240" s="83" t="s">
        <v>150</v>
      </c>
      <c r="K1240" s="83" t="s">
        <v>151</v>
      </c>
      <c r="L1240" s="83" t="s">
        <v>76</v>
      </c>
      <c r="M1240" s="82" t="str">
        <f>IFERROR(__xludf.DUMMYFUNCTION("IFERROR(VLOOKUP(D1240,
IMPORTRANGE(""https://docs.google.com/spreadsheets/d/1MjHtlUikwobi2MaWJgy7tfLeBmhj1u-dRFRs_8GwSoA/edit#gid=0"",""Gestores Escolares!D7:J""),3,0),""VERIFICAR CÓD SEC"")"),"ADENOR SIMÕES CERQUEIRA")</f>
        <v>ADENOR SIMÕES CERQUEIRA</v>
      </c>
      <c r="N1240" s="82" t="str">
        <f>IFERROR(__xludf.DUMMYFUNCTION("IFERROR(VLOOKUP(D1240,
IMPORTRANGE(""https://docs.google.com/spreadsheets/d/1MjHtlUikwobi2MaWJgy7tfLeBmhj1u-dRFRs_8GwSoA/edit#gid=0"",""Gestores Escolares!D7:J""),4,0),""VERIFICAR CÓD SEC"")"),"(73) 9 9193-3356")</f>
        <v>(73) 9 9193-3356</v>
      </c>
      <c r="O1240" s="82" t="str">
        <f>IFERROR(__xludf.DUMMYFUNCTION("IFERROR(VLOOKUP(D1240,
IMPORTRANGE(""https://docs.google.com/spreadsheets/d/1MjHtlUikwobi2MaWJgy7tfLeBmhj1u-dRFRs_8GwSoA/edit#gid=0"",""Gestores Escolares!D7:J""),6,0),""VERIFICAR CÓD SEC"")"),"ANA LUCIA DOS SANTOS ALMEIDA")</f>
        <v>ANA LUCIA DOS SANTOS ALMEIDA</v>
      </c>
      <c r="P1240" s="82" t="str">
        <f>IFERROR(__xludf.DUMMYFUNCTION("IFERROR(VLOOKUP(D1240,
IMPORTRANGE(""https://docs.google.com/spreadsheets/d/1MjHtlUikwobi2MaWJgy7tfLeBmhj1u-dRFRs_8GwSoA/edit#gid=0"",""Gestores Escolares!D7:J""),7,0),""VERIFICAR CÓD SEC"")"),"(75) 9 9959-1017")</f>
        <v>(75) 9 9959-1017</v>
      </c>
      <c r="Q1240" s="82" t="str">
        <f>IFERROR(__xludf.DUMMYFUNCTION("IFERROR(VLOOKUP(D1240,
IMPORTRANGE(""https://docs.google.com/spreadsheets/d/1MjHtlUikwobi2MaWJgy7tfLeBmhj1u-dRFRs_8GwSoA/edit#gid=0"",""Gestores Escolares!D7:m""),9,0),""VERIFICAR CÓD SEC"")"),"")</f>
        <v/>
      </c>
      <c r="R1240" s="82" t="str">
        <f>IFERROR(__xludf.DUMMYFUNCTION("IFERROR(VLOOKUP(D1240,
IMPORTRANGE(""https://docs.google.com/spreadsheets/d/1MjHtlUikwobi2MaWJgy7tfLeBmhj1u-dRFRs_8GwSoA/edit#gid=0"",""Gestores Escolares!D7:m""),10,0),""VERIFICAR CÓD SEC"")"),"")</f>
        <v/>
      </c>
      <c r="S1240" s="196"/>
      <c r="T1240" s="138">
        <v>7.0</v>
      </c>
      <c r="U1240" s="145">
        <v>6.0</v>
      </c>
      <c r="V1240" s="106">
        <v>0.0</v>
      </c>
      <c r="W1240" s="107">
        <v>0.0</v>
      </c>
      <c r="X1240" s="107">
        <v>0.0</v>
      </c>
      <c r="Y1240" s="107">
        <v>0.0</v>
      </c>
      <c r="Z1240" s="80">
        <f t="shared" si="1"/>
        <v>0</v>
      </c>
      <c r="AA1240" s="106">
        <v>0.0</v>
      </c>
      <c r="AB1240" s="107">
        <v>0.0</v>
      </c>
      <c r="AC1240" s="107">
        <v>0.0</v>
      </c>
      <c r="AD1240" s="107">
        <v>0.0</v>
      </c>
      <c r="AE1240" s="80">
        <f t="shared" si="2"/>
        <v>0</v>
      </c>
      <c r="AF1240" s="140">
        <v>216.0</v>
      </c>
      <c r="AG1240" s="109">
        <v>105.0</v>
      </c>
      <c r="AH1240" s="109">
        <v>0.0</v>
      </c>
      <c r="AI1240" s="141">
        <v>0.0</v>
      </c>
      <c r="AJ1240" s="80">
        <f t="shared" si="3"/>
        <v>321</v>
      </c>
      <c r="AK1240" s="140">
        <v>0.0</v>
      </c>
      <c r="AL1240" s="109">
        <v>0.0</v>
      </c>
      <c r="AM1240" s="141">
        <v>0.0</v>
      </c>
      <c r="AN1240" s="80">
        <f t="shared" si="4"/>
        <v>0</v>
      </c>
      <c r="AO1240" s="140">
        <v>0.0</v>
      </c>
      <c r="AP1240" s="109">
        <v>0.0</v>
      </c>
      <c r="AQ1240" s="109">
        <v>45.0</v>
      </c>
      <c r="AR1240" s="80">
        <f t="shared" si="5"/>
        <v>45</v>
      </c>
      <c r="AS1240" s="110">
        <v>0.0</v>
      </c>
      <c r="AT1240" s="110">
        <v>31.0</v>
      </c>
      <c r="AU1240" s="110">
        <v>7.0</v>
      </c>
      <c r="AV1240" s="110">
        <v>0.0</v>
      </c>
      <c r="AW1240" s="80">
        <f t="shared" si="6"/>
        <v>38</v>
      </c>
      <c r="AX1240" s="113">
        <f t="shared" si="7"/>
        <v>404</v>
      </c>
      <c r="AY1240" s="117">
        <f t="shared" si="8"/>
        <v>352</v>
      </c>
      <c r="AZ1240" s="120">
        <f t="shared" si="9"/>
        <v>52</v>
      </c>
      <c r="BA1240" s="115">
        <v>0.0</v>
      </c>
      <c r="BB1240" s="89">
        <f t="shared" si="10"/>
        <v>404</v>
      </c>
      <c r="BC1240" s="132" t="s">
        <v>178</v>
      </c>
      <c r="BD1240" s="132" t="s">
        <v>178</v>
      </c>
      <c r="BE1240" s="132" t="s">
        <v>178</v>
      </c>
      <c r="BF1240" s="123"/>
      <c r="BG1240" s="83">
        <v>1178030.0</v>
      </c>
      <c r="BH1240" s="112"/>
      <c r="BI1240" s="112">
        <v>6.0</v>
      </c>
      <c r="BJ1240" s="98" t="s">
        <v>155</v>
      </c>
      <c r="BK1240" s="99">
        <f t="shared" si="11"/>
        <v>0</v>
      </c>
      <c r="BL1240" s="99">
        <f t="shared" si="12"/>
        <v>352</v>
      </c>
      <c r="BM1240" s="99" t="str">
        <f>IFERROR(__xludf.DUMMYFUNCTION("IFERROR(VLOOKUP(BG1240,IMPORTRANGE(""https://docs.google.com/spreadsheets/d/1juPI-Fb8LD0YtltB2mlGEnp_R3UVu1t3wSFPzgCyHXE/edit?gid=0#gid=0"",""GERAL!A2:C""),3,0),""-"")"),"-")</f>
        <v>-</v>
      </c>
    </row>
    <row r="1241" ht="15.75" customHeight="1">
      <c r="A1241" s="111" t="s">
        <v>1535</v>
      </c>
      <c r="B1241" s="83" t="s">
        <v>6809</v>
      </c>
      <c r="C1241" s="83" t="s">
        <v>68</v>
      </c>
      <c r="D1241" s="112">
        <v>1178051.0</v>
      </c>
      <c r="E1241" s="83"/>
      <c r="F1241" s="83">
        <v>2.9425417E7</v>
      </c>
      <c r="G1241" s="119" t="s">
        <v>6810</v>
      </c>
      <c r="H1241" s="91" t="s">
        <v>6811</v>
      </c>
      <c r="I1241" s="172" t="s">
        <v>149</v>
      </c>
      <c r="J1241" s="83" t="s">
        <v>150</v>
      </c>
      <c r="K1241" s="83" t="s">
        <v>151</v>
      </c>
      <c r="L1241" s="83" t="s">
        <v>76</v>
      </c>
      <c r="M1241" s="82" t="str">
        <f>IFERROR(__xludf.DUMMYFUNCTION("IFERROR(VLOOKUP(D1241,
IMPORTRANGE(""https://docs.google.com/spreadsheets/d/1MjHtlUikwobi2MaWJgy7tfLeBmhj1u-dRFRs_8GwSoA/edit#gid=0"",""Gestores Escolares!D7:J""),3,0),""VERIFICAR CÓD SEC"")"),"INDIRA OLIVEIRA DUQUE")</f>
        <v>INDIRA OLIVEIRA DUQUE</v>
      </c>
      <c r="N1241" s="82" t="str">
        <f>IFERROR(__xludf.DUMMYFUNCTION("IFERROR(VLOOKUP(D1241,
IMPORTRANGE(""https://docs.google.com/spreadsheets/d/1MjHtlUikwobi2MaWJgy7tfLeBmhj1u-dRFRs_8GwSoA/edit#gid=0"",""Gestores Escolares!D7:J""),4,0),""VERIFICAR CÓD SEC"")"),"(73) 9 9140 -1117")</f>
        <v>(73) 9 9140 -1117</v>
      </c>
      <c r="O1241" s="82" t="str">
        <f>IFERROR(__xludf.DUMMYFUNCTION("IFERROR(VLOOKUP(D1241,
IMPORTRANGE(""https://docs.google.com/spreadsheets/d/1MjHtlUikwobi2MaWJgy7tfLeBmhj1u-dRFRs_8GwSoA/edit#gid=0"",""Gestores Escolares!D7:J""),6,0),""VERIFICAR CÓD SEC"")"),"PAULO SERGIO LIMA")</f>
        <v>PAULO SERGIO LIMA</v>
      </c>
      <c r="P1241" s="82" t="str">
        <f>IFERROR(__xludf.DUMMYFUNCTION("IFERROR(VLOOKUP(D1241,
IMPORTRANGE(""https://docs.google.com/spreadsheets/d/1MjHtlUikwobi2MaWJgy7tfLeBmhj1u-dRFRs_8GwSoA/edit#gid=0"",""Gestores Escolares!D7:J""),7,0),""VERIFICAR CÓD SEC"")"),"(73) 9 9104-0837")</f>
        <v>(73) 9 9104-0837</v>
      </c>
      <c r="Q1241" s="82" t="str">
        <f>IFERROR(__xludf.DUMMYFUNCTION("IFERROR(VLOOKUP(D1241,
IMPORTRANGE(""https://docs.google.com/spreadsheets/d/1MjHtlUikwobi2MaWJgy7tfLeBmhj1u-dRFRs_8GwSoA/edit#gid=0"",""Gestores Escolares!D7:m""),9,0),""VERIFICAR CÓD SEC"")"),"")</f>
        <v/>
      </c>
      <c r="R1241" s="82" t="str">
        <f>IFERROR(__xludf.DUMMYFUNCTION("IFERROR(VLOOKUP(D1241,
IMPORTRANGE(""https://docs.google.com/spreadsheets/d/1MjHtlUikwobi2MaWJgy7tfLeBmhj1u-dRFRs_8GwSoA/edit#gid=0"",""Gestores Escolares!D7:m""),10,0),""VERIFICAR CÓD SEC"")"),"")</f>
        <v/>
      </c>
      <c r="S1241" s="82"/>
      <c r="T1241" s="138">
        <v>5.0</v>
      </c>
      <c r="U1241" s="145" t="s">
        <v>13860</v>
      </c>
      <c r="V1241" s="106">
        <v>0.0</v>
      </c>
      <c r="W1241" s="107">
        <v>0.0</v>
      </c>
      <c r="X1241" s="107">
        <v>0.0</v>
      </c>
      <c r="Y1241" s="107">
        <v>0.0</v>
      </c>
      <c r="Z1241" s="80">
        <f t="shared" si="1"/>
        <v>0</v>
      </c>
      <c r="AA1241" s="106">
        <v>0.0</v>
      </c>
      <c r="AB1241" s="107">
        <v>0.0</v>
      </c>
      <c r="AC1241" s="107">
        <v>0.0</v>
      </c>
      <c r="AD1241" s="107">
        <v>0.0</v>
      </c>
      <c r="AE1241" s="80">
        <f t="shared" si="2"/>
        <v>0</v>
      </c>
      <c r="AF1241" s="140">
        <v>0.0</v>
      </c>
      <c r="AG1241" s="109">
        <v>0.0</v>
      </c>
      <c r="AH1241" s="109">
        <v>0.0</v>
      </c>
      <c r="AI1241" s="141">
        <v>69.0</v>
      </c>
      <c r="AJ1241" s="80">
        <f t="shared" si="3"/>
        <v>69</v>
      </c>
      <c r="AK1241" s="140">
        <v>0.0</v>
      </c>
      <c r="AL1241" s="109">
        <v>0.0</v>
      </c>
      <c r="AM1241" s="141">
        <v>0.0</v>
      </c>
      <c r="AN1241" s="80">
        <f t="shared" si="4"/>
        <v>0</v>
      </c>
      <c r="AO1241" s="140">
        <v>0.0</v>
      </c>
      <c r="AP1241" s="109">
        <v>0.0</v>
      </c>
      <c r="AQ1241" s="109">
        <v>50.0</v>
      </c>
      <c r="AR1241" s="80">
        <f t="shared" si="5"/>
        <v>50</v>
      </c>
      <c r="AS1241" s="110">
        <v>0.0</v>
      </c>
      <c r="AT1241" s="110">
        <v>0.0</v>
      </c>
      <c r="AU1241" s="110">
        <v>0.0</v>
      </c>
      <c r="AV1241" s="142">
        <v>46.0</v>
      </c>
      <c r="AW1241" s="80">
        <f t="shared" si="6"/>
        <v>46</v>
      </c>
      <c r="AX1241" s="113">
        <f t="shared" si="7"/>
        <v>165</v>
      </c>
      <c r="AY1241" s="117">
        <f t="shared" si="8"/>
        <v>115</v>
      </c>
      <c r="AZ1241" s="120">
        <f t="shared" si="9"/>
        <v>50</v>
      </c>
      <c r="BA1241" s="115">
        <v>0.0</v>
      </c>
      <c r="BB1241" s="89">
        <f t="shared" si="10"/>
        <v>165</v>
      </c>
      <c r="BC1241" s="132" t="s">
        <v>178</v>
      </c>
      <c r="BD1241" s="132" t="s">
        <v>178</v>
      </c>
      <c r="BE1241" s="132" t="s">
        <v>178</v>
      </c>
      <c r="BF1241" s="123"/>
      <c r="BG1241" s="83">
        <v>1178051.0</v>
      </c>
      <c r="BH1241" s="98" t="s">
        <v>6812</v>
      </c>
      <c r="BI1241" s="112">
        <v>5.0</v>
      </c>
      <c r="BJ1241" s="98" t="s">
        <v>155</v>
      </c>
      <c r="BK1241" s="99">
        <f t="shared" si="11"/>
        <v>115</v>
      </c>
      <c r="BL1241" s="99">
        <f t="shared" si="12"/>
        <v>0</v>
      </c>
      <c r="BM1241" s="99" t="str">
        <f>IFERROR(__xludf.DUMMYFUNCTION("IFERROR(VLOOKUP(BG1241,IMPORTRANGE(""https://docs.google.com/spreadsheets/d/1juPI-Fb8LD0YtltB2mlGEnp_R3UVu1t3wSFPzgCyHXE/edit?gid=0#gid=0"",""GERAL!A2:C""),3,0),""-"")"),"-")</f>
        <v>-</v>
      </c>
    </row>
    <row r="1242" ht="15.75" customHeight="1">
      <c r="A1242" s="111" t="s">
        <v>1535</v>
      </c>
      <c r="B1242" s="83" t="s">
        <v>6809</v>
      </c>
      <c r="C1242" s="83" t="s">
        <v>164</v>
      </c>
      <c r="D1242" s="112">
        <v>1178051.0</v>
      </c>
      <c r="E1242" s="112">
        <v>1179827.0</v>
      </c>
      <c r="F1242" s="83">
        <v>2.9425417E7</v>
      </c>
      <c r="G1242" s="147" t="s">
        <v>6818</v>
      </c>
      <c r="H1242" s="108" t="s">
        <v>6819</v>
      </c>
      <c r="I1242" s="136"/>
      <c r="J1242" s="83"/>
      <c r="K1242" s="98" t="s">
        <v>168</v>
      </c>
      <c r="L1242" s="98" t="s">
        <v>6820</v>
      </c>
      <c r="M1242" s="82" t="str">
        <f>IFERROR(__xludf.DUMMYFUNCTION("IFERROR(VLOOKUP(D1242,
IMPORTRANGE(""https://docs.google.com/spreadsheets/d/1MjHtlUikwobi2MaWJgy7tfLeBmhj1u-dRFRs_8GwSoA/edit#gid=0"",""Gestores Escolares!D7:J""),3,0),""VERIFICAR CÓD SEC"")"),"INDIRA OLIVEIRA DUQUE")</f>
        <v>INDIRA OLIVEIRA DUQUE</v>
      </c>
      <c r="N1242" s="82" t="str">
        <f>IFERROR(__xludf.DUMMYFUNCTION("IFERROR(VLOOKUP(D1242,
IMPORTRANGE(""https://docs.google.com/spreadsheets/d/1MjHtlUikwobi2MaWJgy7tfLeBmhj1u-dRFRs_8GwSoA/edit#gid=0"",""Gestores Escolares!D7:J""),4,0),""VERIFICAR CÓD SEC"")"),"(73) 9 9140 -1117")</f>
        <v>(73) 9 9140 -1117</v>
      </c>
      <c r="O1242" s="82" t="str">
        <f>IFERROR(__xludf.DUMMYFUNCTION("IFERROR(VLOOKUP(D1242,
IMPORTRANGE(""https://docs.google.com/spreadsheets/d/1MjHtlUikwobi2MaWJgy7tfLeBmhj1u-dRFRs_8GwSoA/edit#gid=0"",""Gestores Escolares!D7:J""),6,0),""VERIFICAR CÓD SEC"")"),"PAULO SERGIO LIMA")</f>
        <v>PAULO SERGIO LIMA</v>
      </c>
      <c r="P1242" s="82" t="str">
        <f>IFERROR(__xludf.DUMMYFUNCTION("IFERROR(VLOOKUP(D1242,
IMPORTRANGE(""https://docs.google.com/spreadsheets/d/1MjHtlUikwobi2MaWJgy7tfLeBmhj1u-dRFRs_8GwSoA/edit#gid=0"",""Gestores Escolares!D7:J""),7,0),""VERIFICAR CÓD SEC"")"),"(73) 9 9104-0837")</f>
        <v>(73) 9 9104-0837</v>
      </c>
      <c r="Q1242" s="82" t="str">
        <f>IFERROR(__xludf.DUMMYFUNCTION("IFERROR(VLOOKUP(D1242,
IMPORTRANGE(""https://docs.google.com/spreadsheets/d/1MjHtlUikwobi2MaWJgy7tfLeBmhj1u-dRFRs_8GwSoA/edit#gid=0"",""Gestores Escolares!D7:m""),9,0),""VERIFICAR CÓD SEC"")"),"")</f>
        <v/>
      </c>
      <c r="R1242" s="82" t="str">
        <f>IFERROR(__xludf.DUMMYFUNCTION("IFERROR(VLOOKUP(D1242,
IMPORTRANGE(""https://docs.google.com/spreadsheets/d/1MjHtlUikwobi2MaWJgy7tfLeBmhj1u-dRFRs_8GwSoA/edit#gid=0"",""Gestores Escolares!D7:m""),10,0),""VERIFICAR CÓD SEC"")"),"")</f>
        <v/>
      </c>
      <c r="S1242" s="82"/>
      <c r="T1242" s="138"/>
      <c r="U1242" s="145"/>
      <c r="V1242" s="106">
        <v>0.0</v>
      </c>
      <c r="W1242" s="107">
        <v>0.0</v>
      </c>
      <c r="X1242" s="107">
        <v>0.0</v>
      </c>
      <c r="Y1242" s="107">
        <v>0.0</v>
      </c>
      <c r="Z1242" s="80">
        <f t="shared" si="1"/>
        <v>0</v>
      </c>
      <c r="AA1242" s="106">
        <v>0.0</v>
      </c>
      <c r="AB1242" s="107">
        <v>0.0</v>
      </c>
      <c r="AC1242" s="107">
        <v>0.0</v>
      </c>
      <c r="AD1242" s="107">
        <v>0.0</v>
      </c>
      <c r="AE1242" s="80">
        <f t="shared" si="2"/>
        <v>0</v>
      </c>
      <c r="AF1242" s="140">
        <v>0.0</v>
      </c>
      <c r="AG1242" s="109">
        <v>0.0</v>
      </c>
      <c r="AH1242" s="109">
        <v>0.0</v>
      </c>
      <c r="AI1242" s="141">
        <v>0.0</v>
      </c>
      <c r="AJ1242" s="80">
        <f t="shared" si="3"/>
        <v>0</v>
      </c>
      <c r="AK1242" s="140">
        <v>0.0</v>
      </c>
      <c r="AL1242" s="109">
        <v>0.0</v>
      </c>
      <c r="AM1242" s="141">
        <v>0.0</v>
      </c>
      <c r="AN1242" s="80">
        <f t="shared" si="4"/>
        <v>0</v>
      </c>
      <c r="AO1242" s="140">
        <v>0.0</v>
      </c>
      <c r="AP1242" s="109">
        <v>0.0</v>
      </c>
      <c r="AQ1242" s="109">
        <v>14.0</v>
      </c>
      <c r="AR1242" s="80">
        <f t="shared" si="5"/>
        <v>14</v>
      </c>
      <c r="AS1242" s="110">
        <v>0.0</v>
      </c>
      <c r="AT1242" s="110">
        <v>0.0</v>
      </c>
      <c r="AU1242" s="110">
        <v>0.0</v>
      </c>
      <c r="AV1242" s="142">
        <v>0.0</v>
      </c>
      <c r="AW1242" s="80">
        <f t="shared" si="6"/>
        <v>0</v>
      </c>
      <c r="AX1242" s="113">
        <f t="shared" si="7"/>
        <v>14</v>
      </c>
      <c r="AY1242" s="117">
        <f t="shared" si="8"/>
        <v>0</v>
      </c>
      <c r="AZ1242" s="120">
        <f t="shared" si="9"/>
        <v>14</v>
      </c>
      <c r="BA1242" s="115">
        <v>0.0</v>
      </c>
      <c r="BB1242" s="89">
        <f t="shared" si="10"/>
        <v>14</v>
      </c>
      <c r="BC1242" s="132"/>
      <c r="BD1242" s="132"/>
      <c r="BE1242" s="132"/>
      <c r="BF1242" s="123"/>
      <c r="BG1242" s="112">
        <v>1179827.0</v>
      </c>
      <c r="BH1242" s="144"/>
      <c r="BI1242" s="112"/>
      <c r="BJ1242" s="98"/>
      <c r="BK1242" s="99">
        <f t="shared" si="11"/>
        <v>0</v>
      </c>
      <c r="BL1242" s="99">
        <f t="shared" si="12"/>
        <v>0</v>
      </c>
      <c r="BM1242" s="99" t="str">
        <f>IFERROR(__xludf.DUMMYFUNCTION("IFERROR(VLOOKUP(BG1242,IMPORTRANGE(""https://docs.google.com/spreadsheets/d/1juPI-Fb8LD0YtltB2mlGEnp_R3UVu1t3wSFPzgCyHXE/edit?gid=0#gid=0"",""GERAL!A2:C""),3,0),""-"")"),"-")</f>
        <v>-</v>
      </c>
    </row>
    <row r="1243" ht="15.75" customHeight="1">
      <c r="A1243" s="111" t="s">
        <v>1535</v>
      </c>
      <c r="B1243" s="83" t="s">
        <v>6821</v>
      </c>
      <c r="C1243" s="83" t="s">
        <v>68</v>
      </c>
      <c r="D1243" s="112">
        <v>1110758.0</v>
      </c>
      <c r="E1243" s="83"/>
      <c r="F1243" s="83">
        <v>2.9223652E7</v>
      </c>
      <c r="G1243" s="153" t="s">
        <v>6826</v>
      </c>
      <c r="H1243" s="108" t="s">
        <v>6828</v>
      </c>
      <c r="I1243" s="136" t="s">
        <v>149</v>
      </c>
      <c r="J1243" s="83" t="s">
        <v>150</v>
      </c>
      <c r="K1243" s="83" t="s">
        <v>151</v>
      </c>
      <c r="L1243" s="83" t="s">
        <v>76</v>
      </c>
      <c r="M1243" s="82" t="str">
        <f>IFERROR(__xludf.DUMMYFUNCTION("IFERROR(VLOOKUP(D1243,
IMPORTRANGE(""https://docs.google.com/spreadsheets/d/1MjHtlUikwobi2MaWJgy7tfLeBmhj1u-dRFRs_8GwSoA/edit#gid=0"",""Gestores Escolares!D7:J""),3,0),""VERIFICAR CÓD SEC"")"),"ALEX DOS SANTOS AMORIM")</f>
        <v>ALEX DOS SANTOS AMORIM</v>
      </c>
      <c r="N1243" s="82" t="str">
        <f>IFERROR(__xludf.DUMMYFUNCTION("IFERROR(VLOOKUP(D1243,
IMPORTRANGE(""https://docs.google.com/spreadsheets/d/1MjHtlUikwobi2MaWJgy7tfLeBmhj1u-dRFRs_8GwSoA/edit#gid=0"",""Gestores Escolares!D7:J""),4,0),""VERIFICAR CÓD SEC"")"),"(73) 9 9153-5887/ 
9 9857-3600")</f>
        <v>(73) 9 9153-5887/ 
9 9857-3600</v>
      </c>
      <c r="O1243" s="82" t="str">
        <f>IFERROR(__xludf.DUMMYFUNCTION("IFERROR(VLOOKUP(D1243,
IMPORTRANGE(""https://docs.google.com/spreadsheets/d/1MjHtlUikwobi2MaWJgy7tfLeBmhj1u-dRFRs_8GwSoA/edit#gid=0"",""Gestores Escolares!D7:J""),6,0),""VERIFICAR CÓD SEC"")"),"ALLAN GOIABEIRA DOS SANTOS")</f>
        <v>ALLAN GOIABEIRA DOS SANTOS</v>
      </c>
      <c r="P1243" s="82" t="str">
        <f>IFERROR(__xludf.DUMMYFUNCTION("IFERROR(VLOOKUP(D1243,
IMPORTRANGE(""https://docs.google.com/spreadsheets/d/1MjHtlUikwobi2MaWJgy7tfLeBmhj1u-dRFRs_8GwSoA/edit#gid=0"",""Gestores Escolares!D7:J""),7,0),""VERIFICAR CÓD SEC"")"),"(73) 9 9984-2796")</f>
        <v>(73) 9 9984-2796</v>
      </c>
      <c r="Q1243" s="82" t="str">
        <f>IFERROR(__xludf.DUMMYFUNCTION("IFERROR(VLOOKUP(D1243,
IMPORTRANGE(""https://docs.google.com/spreadsheets/d/1MjHtlUikwobi2MaWJgy7tfLeBmhj1u-dRFRs_8GwSoA/edit#gid=0"",""Gestores Escolares!D7:m""),9,0),""VERIFICAR CÓD SEC"")"),"")</f>
        <v/>
      </c>
      <c r="R1243" s="82" t="str">
        <f>IFERROR(__xludf.DUMMYFUNCTION("IFERROR(VLOOKUP(D1243,
IMPORTRANGE(""https://docs.google.com/spreadsheets/d/1MjHtlUikwobi2MaWJgy7tfLeBmhj1u-dRFRs_8GwSoA/edit#gid=0"",""Gestores Escolares!D7:m""),10,0),""VERIFICAR CÓD SEC"")"),"")</f>
        <v/>
      </c>
      <c r="S1243" s="82"/>
      <c r="T1243" s="138">
        <v>5.0</v>
      </c>
      <c r="U1243" s="388" t="s">
        <v>13861</v>
      </c>
      <c r="V1243" s="106">
        <v>0.0</v>
      </c>
      <c r="W1243" s="107">
        <v>0.0</v>
      </c>
      <c r="X1243" s="107">
        <v>0.0</v>
      </c>
      <c r="Y1243" s="107">
        <v>0.0</v>
      </c>
      <c r="Z1243" s="80">
        <f t="shared" si="1"/>
        <v>0</v>
      </c>
      <c r="AA1243" s="106">
        <v>0.0</v>
      </c>
      <c r="AB1243" s="107">
        <v>0.0</v>
      </c>
      <c r="AC1243" s="107">
        <v>0.0</v>
      </c>
      <c r="AD1243" s="107">
        <v>0.0</v>
      </c>
      <c r="AE1243" s="80">
        <f t="shared" si="2"/>
        <v>0</v>
      </c>
      <c r="AF1243" s="140">
        <v>0.0</v>
      </c>
      <c r="AG1243" s="109">
        <v>0.0</v>
      </c>
      <c r="AH1243" s="109">
        <v>0.0</v>
      </c>
      <c r="AI1243" s="141">
        <v>170.0</v>
      </c>
      <c r="AJ1243" s="80">
        <f t="shared" si="3"/>
        <v>170</v>
      </c>
      <c r="AK1243" s="140">
        <v>0.0</v>
      </c>
      <c r="AL1243" s="109">
        <v>0.0</v>
      </c>
      <c r="AM1243" s="141">
        <v>0.0</v>
      </c>
      <c r="AN1243" s="80">
        <f t="shared" si="4"/>
        <v>0</v>
      </c>
      <c r="AO1243" s="140">
        <v>0.0</v>
      </c>
      <c r="AP1243" s="109">
        <v>0.0</v>
      </c>
      <c r="AQ1243" s="109">
        <v>119.0</v>
      </c>
      <c r="AR1243" s="80">
        <f t="shared" si="5"/>
        <v>119</v>
      </c>
      <c r="AS1243" s="110">
        <v>0.0</v>
      </c>
      <c r="AT1243" s="110">
        <v>0.0</v>
      </c>
      <c r="AU1243" s="110">
        <v>26.0</v>
      </c>
      <c r="AV1243" s="142">
        <v>0.0</v>
      </c>
      <c r="AW1243" s="80">
        <f t="shared" si="6"/>
        <v>26</v>
      </c>
      <c r="AX1243" s="113">
        <f t="shared" si="7"/>
        <v>315</v>
      </c>
      <c r="AY1243" s="117">
        <f t="shared" si="8"/>
        <v>170</v>
      </c>
      <c r="AZ1243" s="120">
        <f t="shared" si="9"/>
        <v>145</v>
      </c>
      <c r="BA1243" s="115">
        <v>0.0</v>
      </c>
      <c r="BB1243" s="89">
        <f t="shared" si="10"/>
        <v>315</v>
      </c>
      <c r="BC1243" s="132" t="s">
        <v>178</v>
      </c>
      <c r="BD1243" s="132" t="s">
        <v>178</v>
      </c>
      <c r="BE1243" s="132" t="s">
        <v>178</v>
      </c>
      <c r="BF1243" s="123"/>
      <c r="BG1243" s="83">
        <v>1110758.0</v>
      </c>
      <c r="BH1243" s="171" t="s">
        <v>6831</v>
      </c>
      <c r="BI1243" s="112">
        <v>5.0</v>
      </c>
      <c r="BJ1243" s="98" t="s">
        <v>155</v>
      </c>
      <c r="BK1243" s="99">
        <f t="shared" si="11"/>
        <v>170</v>
      </c>
      <c r="BL1243" s="99">
        <f t="shared" si="12"/>
        <v>0</v>
      </c>
      <c r="BM1243" s="99" t="str">
        <f>IFERROR(__xludf.DUMMYFUNCTION("IFERROR(VLOOKUP(BG1243,IMPORTRANGE(""https://docs.google.com/spreadsheets/d/1juPI-Fb8LD0YtltB2mlGEnp_R3UVu1t3wSFPzgCyHXE/edit?gid=0#gid=0"",""GERAL!A2:C""),3,0),""-"")"),"-")</f>
        <v>-</v>
      </c>
    </row>
    <row r="1244" ht="15.75" customHeight="1">
      <c r="A1244" s="111" t="s">
        <v>1535</v>
      </c>
      <c r="B1244" s="83" t="s">
        <v>6833</v>
      </c>
      <c r="C1244" s="83" t="s">
        <v>68</v>
      </c>
      <c r="D1244" s="112">
        <v>1117310.0</v>
      </c>
      <c r="E1244" s="83"/>
      <c r="F1244" s="83">
        <v>2.9293707E7</v>
      </c>
      <c r="G1244" s="114" t="s">
        <v>6834</v>
      </c>
      <c r="H1244" s="91" t="s">
        <v>6835</v>
      </c>
      <c r="I1244" s="136" t="s">
        <v>149</v>
      </c>
      <c r="J1244" s="83" t="s">
        <v>150</v>
      </c>
      <c r="K1244" s="83" t="s">
        <v>151</v>
      </c>
      <c r="L1244" s="83" t="s">
        <v>76</v>
      </c>
      <c r="M1244" s="82" t="str">
        <f>IFERROR(__xludf.DUMMYFUNCTION("IFERROR(VLOOKUP(D1244,
IMPORTRANGE(""https://docs.google.com/spreadsheets/d/1MjHtlUikwobi2MaWJgy7tfLeBmhj1u-dRFRs_8GwSoA/edit#gid=0"",""Gestores Escolares!D7:J""),3,0),""VERIFICAR CÓD SEC"")"),"CRISTIANO PEDREIRA LOPES")</f>
        <v>CRISTIANO PEDREIRA LOPES</v>
      </c>
      <c r="N1244" s="82" t="str">
        <f>IFERROR(__xludf.DUMMYFUNCTION("IFERROR(VLOOKUP(D1244,
IMPORTRANGE(""https://docs.google.com/spreadsheets/d/1MjHtlUikwobi2MaWJgy7tfLeBmhj1u-dRFRs_8GwSoA/edit#gid=0"",""Gestores Escolares!D7:J""),4,0),""VERIFICAR CÓD SEC"")"),"(73) 9 8101-0840")</f>
        <v>(73) 9 8101-0840</v>
      </c>
      <c r="O1244" s="82" t="str">
        <f>IFERROR(__xludf.DUMMYFUNCTION("IFERROR(VLOOKUP(D1244,
IMPORTRANGE(""https://docs.google.com/spreadsheets/d/1MjHtlUikwobi2MaWJgy7tfLeBmhj1u-dRFRs_8GwSoA/edit#gid=0"",""Gestores Escolares!D7:J""),6,0),""VERIFICAR CÓD SEC"")"),"DENISE ALVES SANTOS")</f>
        <v>DENISE ALVES SANTOS</v>
      </c>
      <c r="P1244" s="82" t="str">
        <f>IFERROR(__xludf.DUMMYFUNCTION("IFERROR(VLOOKUP(D1244,
IMPORTRANGE(""https://docs.google.com/spreadsheets/d/1MjHtlUikwobi2MaWJgy7tfLeBmhj1u-dRFRs_8GwSoA/edit#gid=0"",""Gestores Escolares!D7:J""),7,0),""VERIFICAR CÓD SEC"")"),"(73) 9 8848-6262")</f>
        <v>(73) 9 8848-6262</v>
      </c>
      <c r="Q1244" s="82" t="str">
        <f>IFERROR(__xludf.DUMMYFUNCTION("IFERROR(VLOOKUP(D1244,
IMPORTRANGE(""https://docs.google.com/spreadsheets/d/1MjHtlUikwobi2MaWJgy7tfLeBmhj1u-dRFRs_8GwSoA/edit#gid=0"",""Gestores Escolares!D7:m""),9,0),""VERIFICAR CÓD SEC"")"),"")</f>
        <v/>
      </c>
      <c r="R1244" s="82" t="str">
        <f>IFERROR(__xludf.DUMMYFUNCTION("IFERROR(VLOOKUP(D1244,
IMPORTRANGE(""https://docs.google.com/spreadsheets/d/1MjHtlUikwobi2MaWJgy7tfLeBmhj1u-dRFRs_8GwSoA/edit#gid=0"",""Gestores Escolares!D7:m""),10,0),""VERIFICAR CÓD SEC"")"),"")</f>
        <v/>
      </c>
      <c r="S1244" s="82"/>
      <c r="T1244" s="138">
        <v>6.0</v>
      </c>
      <c r="U1244" s="404" t="s">
        <v>13862</v>
      </c>
      <c r="V1244" s="106">
        <v>0.0</v>
      </c>
      <c r="W1244" s="107">
        <v>0.0</v>
      </c>
      <c r="X1244" s="107">
        <v>0.0</v>
      </c>
      <c r="Y1244" s="107">
        <v>0.0</v>
      </c>
      <c r="Z1244" s="80">
        <f t="shared" si="1"/>
        <v>0</v>
      </c>
      <c r="AA1244" s="106">
        <v>0.0</v>
      </c>
      <c r="AB1244" s="107">
        <v>0.0</v>
      </c>
      <c r="AC1244" s="107">
        <v>0.0</v>
      </c>
      <c r="AD1244" s="107">
        <v>0.0</v>
      </c>
      <c r="AE1244" s="80">
        <f t="shared" si="2"/>
        <v>0</v>
      </c>
      <c r="AF1244" s="505">
        <v>0.0</v>
      </c>
      <c r="AG1244" s="222">
        <v>0.0</v>
      </c>
      <c r="AH1244" s="222">
        <v>0.0</v>
      </c>
      <c r="AI1244" s="222">
        <v>111.0</v>
      </c>
      <c r="AJ1244" s="80">
        <f t="shared" si="3"/>
        <v>111</v>
      </c>
      <c r="AK1244" s="140">
        <v>0.0</v>
      </c>
      <c r="AL1244" s="109">
        <v>0.0</v>
      </c>
      <c r="AM1244" s="141">
        <v>0.0</v>
      </c>
      <c r="AN1244" s="80">
        <f t="shared" si="4"/>
        <v>0</v>
      </c>
      <c r="AO1244" s="140">
        <v>0.0</v>
      </c>
      <c r="AP1244" s="109">
        <v>0.0</v>
      </c>
      <c r="AQ1244" s="109">
        <v>61.0</v>
      </c>
      <c r="AR1244" s="80">
        <f t="shared" si="5"/>
        <v>61</v>
      </c>
      <c r="AS1244" s="110">
        <v>0.0</v>
      </c>
      <c r="AT1244" s="110">
        <v>0.0</v>
      </c>
      <c r="AU1244" s="110">
        <v>14.0</v>
      </c>
      <c r="AV1244" s="142">
        <v>20.0</v>
      </c>
      <c r="AW1244" s="80">
        <f t="shared" si="6"/>
        <v>34</v>
      </c>
      <c r="AX1244" s="113">
        <f t="shared" si="7"/>
        <v>206</v>
      </c>
      <c r="AY1244" s="117">
        <f t="shared" si="8"/>
        <v>131</v>
      </c>
      <c r="AZ1244" s="120">
        <f t="shared" si="9"/>
        <v>75</v>
      </c>
      <c r="BA1244" s="115">
        <v>0.0</v>
      </c>
      <c r="BB1244" s="89">
        <f t="shared" si="10"/>
        <v>206</v>
      </c>
      <c r="BC1244" s="132" t="s">
        <v>178</v>
      </c>
      <c r="BD1244" s="132" t="s">
        <v>178</v>
      </c>
      <c r="BE1244" s="132" t="s">
        <v>178</v>
      </c>
      <c r="BF1244" s="123"/>
      <c r="BG1244" s="83">
        <v>1117310.0</v>
      </c>
      <c r="BH1244" s="112"/>
      <c r="BI1244" s="112">
        <v>6.0</v>
      </c>
      <c r="BJ1244" s="98" t="s">
        <v>155</v>
      </c>
      <c r="BK1244" s="99">
        <f t="shared" si="11"/>
        <v>131</v>
      </c>
      <c r="BL1244" s="99">
        <f t="shared" si="12"/>
        <v>0</v>
      </c>
      <c r="BM1244" s="99" t="str">
        <f>IFERROR(__xludf.DUMMYFUNCTION("IFERROR(VLOOKUP(BG1244,IMPORTRANGE(""https://docs.google.com/spreadsheets/d/1juPI-Fb8LD0YtltB2mlGEnp_R3UVu1t3wSFPzgCyHXE/edit?gid=0#gid=0"",""GERAL!A2:C""),3,0),""-"")"),"-")</f>
        <v>-</v>
      </c>
    </row>
    <row r="1245" ht="15.75" customHeight="1">
      <c r="A1245" s="111" t="s">
        <v>1535</v>
      </c>
      <c r="B1245" s="83" t="s">
        <v>2366</v>
      </c>
      <c r="C1245" s="83" t="s">
        <v>68</v>
      </c>
      <c r="D1245" s="112">
        <v>1117221.0</v>
      </c>
      <c r="E1245" s="83"/>
      <c r="F1245" s="83">
        <v>2.9268524E7</v>
      </c>
      <c r="G1245" s="114" t="s">
        <v>6838</v>
      </c>
      <c r="H1245" s="91" t="s">
        <v>6839</v>
      </c>
      <c r="I1245" s="136" t="s">
        <v>149</v>
      </c>
      <c r="J1245" s="83" t="s">
        <v>150</v>
      </c>
      <c r="K1245" s="83" t="s">
        <v>151</v>
      </c>
      <c r="L1245" s="83" t="s">
        <v>152</v>
      </c>
      <c r="M1245" s="82" t="str">
        <f>IFERROR(__xludf.DUMMYFUNCTION("IFERROR(VLOOKUP(D1245,
IMPORTRANGE(""https://docs.google.com/spreadsheets/d/1MjHtlUikwobi2MaWJgy7tfLeBmhj1u-dRFRs_8GwSoA/edit#gid=0"",""Gestores Escolares!D7:J""),3,0),""VERIFICAR CÓD SEC"")"),"JORGE FERREIRA NOVAES")</f>
        <v>JORGE FERREIRA NOVAES</v>
      </c>
      <c r="N1245" s="82" t="str">
        <f>IFERROR(__xludf.DUMMYFUNCTION("IFERROR(VLOOKUP(D1245,
IMPORTRANGE(""https://docs.google.com/spreadsheets/d/1MjHtlUikwobi2MaWJgy7tfLeBmhj1u-dRFRs_8GwSoA/edit#gid=0"",""Gestores Escolares!D7:J""),4,0),""VERIFICAR CÓD SEC"")"),"(77) 9 9938-0551")</f>
        <v>(77) 9 9938-0551</v>
      </c>
      <c r="O1245" s="82" t="str">
        <f>IFERROR(__xludf.DUMMYFUNCTION("IFERROR(VLOOKUP(D1245,
IMPORTRANGE(""https://docs.google.com/spreadsheets/d/1MjHtlUikwobi2MaWJgy7tfLeBmhj1u-dRFRs_8GwSoA/edit#gid=0"",""Gestores Escolares!D7:J""),6,0),""VERIFICAR CÓD SEC"")"),"TATIANA DANTAS DE LIMA")</f>
        <v>TATIANA DANTAS DE LIMA</v>
      </c>
      <c r="P1245" s="82" t="str">
        <f>IFERROR(__xludf.DUMMYFUNCTION("IFERROR(VLOOKUP(D1245,
IMPORTRANGE(""https://docs.google.com/spreadsheets/d/1MjHtlUikwobi2MaWJgy7tfLeBmhj1u-dRFRs_8GwSoA/edit#gid=0"",""Gestores Escolares!D7:J""),7,0),""VERIFICAR CÓD SEC"")"),"(71) 9 8631-1176")</f>
        <v>(71) 9 8631-1176</v>
      </c>
      <c r="Q1245" s="82" t="str">
        <f>IFERROR(__xludf.DUMMYFUNCTION("IFERROR(VLOOKUP(D1245,
IMPORTRANGE(""https://docs.google.com/spreadsheets/d/1MjHtlUikwobi2MaWJgy7tfLeBmhj1u-dRFRs_8GwSoA/edit#gid=0"",""Gestores Escolares!D7:m""),9,0),""VERIFICAR CÓD SEC"")"),"ROSANA SILVA SOUZA")</f>
        <v>ROSANA SILVA SOUZA</v>
      </c>
      <c r="R1245" s="82" t="str">
        <f>IFERROR(__xludf.DUMMYFUNCTION("IFERROR(VLOOKUP(D1245,
IMPORTRANGE(""https://docs.google.com/spreadsheets/d/1MjHtlUikwobi2MaWJgy7tfLeBmhj1u-dRFRs_8GwSoA/edit#gid=0"",""Gestores Escolares!D7:m""),10,0),""VERIFICAR CÓD SEC"")"),"")</f>
        <v/>
      </c>
      <c r="S1245" s="82"/>
      <c r="T1245" s="138">
        <v>8.0</v>
      </c>
      <c r="U1245" s="416">
        <v>8.0</v>
      </c>
      <c r="V1245" s="106">
        <v>0.0</v>
      </c>
      <c r="W1245" s="107">
        <v>0.0</v>
      </c>
      <c r="X1245" s="107">
        <v>0.0</v>
      </c>
      <c r="Y1245" s="107">
        <v>0.0</v>
      </c>
      <c r="Z1245" s="80">
        <f t="shared" si="1"/>
        <v>0</v>
      </c>
      <c r="AA1245" s="106">
        <v>0.0</v>
      </c>
      <c r="AB1245" s="107">
        <v>0.0</v>
      </c>
      <c r="AC1245" s="107">
        <v>0.0</v>
      </c>
      <c r="AD1245" s="107">
        <v>0.0</v>
      </c>
      <c r="AE1245" s="80">
        <f t="shared" si="2"/>
        <v>0</v>
      </c>
      <c r="AF1245" s="505">
        <v>158.0</v>
      </c>
      <c r="AG1245" s="222">
        <v>105.0</v>
      </c>
      <c r="AH1245" s="222">
        <v>0.0</v>
      </c>
      <c r="AI1245" s="222">
        <v>91.0</v>
      </c>
      <c r="AJ1245" s="80">
        <f t="shared" si="3"/>
        <v>354</v>
      </c>
      <c r="AK1245" s="140">
        <v>0.0</v>
      </c>
      <c r="AL1245" s="109">
        <v>0.0</v>
      </c>
      <c r="AM1245" s="141">
        <v>0.0</v>
      </c>
      <c r="AN1245" s="80">
        <f t="shared" si="4"/>
        <v>0</v>
      </c>
      <c r="AO1245" s="140">
        <v>0.0</v>
      </c>
      <c r="AP1245" s="109">
        <v>0.0</v>
      </c>
      <c r="AQ1245" s="109">
        <v>61.0</v>
      </c>
      <c r="AR1245" s="80">
        <f t="shared" si="5"/>
        <v>61</v>
      </c>
      <c r="AS1245" s="110">
        <v>0.0</v>
      </c>
      <c r="AT1245" s="110">
        <v>0.0</v>
      </c>
      <c r="AU1245" s="110">
        <v>25.0</v>
      </c>
      <c r="AV1245" s="142">
        <v>0.0</v>
      </c>
      <c r="AW1245" s="80">
        <f t="shared" si="6"/>
        <v>25</v>
      </c>
      <c r="AX1245" s="113">
        <f t="shared" si="7"/>
        <v>440</v>
      </c>
      <c r="AY1245" s="117">
        <f t="shared" si="8"/>
        <v>354</v>
      </c>
      <c r="AZ1245" s="120">
        <f t="shared" si="9"/>
        <v>86</v>
      </c>
      <c r="BA1245" s="115">
        <v>0.0</v>
      </c>
      <c r="BB1245" s="89">
        <f t="shared" si="10"/>
        <v>440</v>
      </c>
      <c r="BC1245" s="132" t="s">
        <v>178</v>
      </c>
      <c r="BD1245" s="132" t="s">
        <v>178</v>
      </c>
      <c r="BE1245" s="132" t="s">
        <v>178</v>
      </c>
      <c r="BF1245" s="123"/>
      <c r="BG1245" s="83">
        <v>1117221.0</v>
      </c>
      <c r="BH1245" s="112"/>
      <c r="BI1245" s="112">
        <v>8.0</v>
      </c>
      <c r="BJ1245" s="98" t="s">
        <v>155</v>
      </c>
      <c r="BK1245" s="99">
        <f t="shared" si="11"/>
        <v>91</v>
      </c>
      <c r="BL1245" s="99">
        <f t="shared" si="12"/>
        <v>263</v>
      </c>
      <c r="BM1245" s="99" t="str">
        <f>IFERROR(__xludf.DUMMYFUNCTION("IFERROR(VLOOKUP(BG1245,IMPORTRANGE(""https://docs.google.com/spreadsheets/d/1juPI-Fb8LD0YtltB2mlGEnp_R3UVu1t3wSFPzgCyHXE/edit?gid=0#gid=0"",""GERAL!A2:C""),3,0),""-"")"),"-")</f>
        <v>-</v>
      </c>
    </row>
    <row r="1246" ht="15.75" customHeight="1">
      <c r="A1246" s="111" t="s">
        <v>1535</v>
      </c>
      <c r="B1246" s="83" t="s">
        <v>2366</v>
      </c>
      <c r="C1246" s="83" t="s">
        <v>164</v>
      </c>
      <c r="D1246" s="112">
        <v>1179277.0</v>
      </c>
      <c r="E1246" s="436">
        <v>1179828.0</v>
      </c>
      <c r="F1246" s="98">
        <v>2.949714E7</v>
      </c>
      <c r="G1246" s="119" t="s">
        <v>6854</v>
      </c>
      <c r="H1246" s="108" t="s">
        <v>6855</v>
      </c>
      <c r="I1246" s="83"/>
      <c r="J1246" s="98" t="s">
        <v>6856</v>
      </c>
      <c r="K1246" s="98" t="s">
        <v>168</v>
      </c>
      <c r="L1246" s="83" t="s">
        <v>169</v>
      </c>
      <c r="M1246" s="82" t="str">
        <f>IFERROR(__xludf.DUMMYFUNCTION("IFERROR(VLOOKUP(D1246,
IMPORTRANGE(""https://docs.google.com/spreadsheets/d/1MjHtlUikwobi2MaWJgy7tfLeBmhj1u-dRFRs_8GwSoA/edit#gid=0"",""Gestores Escolares!D7:J""),3,0),""VERIFICAR CÓD SEC"")"),"EMERSON CARLOS SOOUZA PAIM")</f>
        <v>EMERSON CARLOS SOOUZA PAIM</v>
      </c>
      <c r="N1246" s="82" t="str">
        <f>IFERROR(__xludf.DUMMYFUNCTION("IFERROR(VLOOKUP(D1246,
IMPORTRANGE(""https://docs.google.com/spreadsheets/d/1MjHtlUikwobi2MaWJgy7tfLeBmhj1u-dRFRs_8GwSoA/edit#gid=0"",""Gestores Escolares!D7:J""),4,0),""VERIFICAR CÓD SEC"")"),"(73) 9 8847-9824")</f>
        <v>(73) 9 8847-9824</v>
      </c>
      <c r="O1246" s="82" t="str">
        <f>IFERROR(__xludf.DUMMYFUNCTION("IFERROR(VLOOKUP(D1246,
IMPORTRANGE(""https://docs.google.com/spreadsheets/d/1MjHtlUikwobi2MaWJgy7tfLeBmhj1u-dRFRs_8GwSoA/edit#gid=0"",""Gestores Escolares!D7:J""),6,0),""VERIFICAR CÓD SEC"")"),"DEBORA SAMPAIO LIMA MARQUES")</f>
        <v>DEBORA SAMPAIO LIMA MARQUES</v>
      </c>
      <c r="P1246" s="82" t="str">
        <f>IFERROR(__xludf.DUMMYFUNCTION("IFERROR(VLOOKUP(D1246,
IMPORTRANGE(""https://docs.google.com/spreadsheets/d/1MjHtlUikwobi2MaWJgy7tfLeBmhj1u-dRFRs_8GwSoA/edit#gid=0"",""Gestores Escolares!D7:J""),7,0),""VERIFICAR CÓD SEC"")"),"(73) 9 8838-5472")</f>
        <v>(73) 9 8838-5472</v>
      </c>
      <c r="Q1246" s="82" t="str">
        <f>IFERROR(__xludf.DUMMYFUNCTION("IFERROR(VLOOKUP(D1246,
IMPORTRANGE(""https://docs.google.com/spreadsheets/d/1MjHtlUikwobi2MaWJgy7tfLeBmhj1u-dRFRs_8GwSoA/edit#gid=0"",""Gestores Escolares!D7:m""),9,0),""VERIFICAR CÓD SEC"")"),"")</f>
        <v/>
      </c>
      <c r="R1246" s="82" t="str">
        <f>IFERROR(__xludf.DUMMYFUNCTION("IFERROR(VLOOKUP(D1246,
IMPORTRANGE(""https://docs.google.com/spreadsheets/d/1MjHtlUikwobi2MaWJgy7tfLeBmhj1u-dRFRs_8GwSoA/edit#gid=0"",""Gestores Escolares!D7:m""),10,0),""VERIFICAR CÓD SEC"")"),"")</f>
        <v/>
      </c>
      <c r="S1246" s="82"/>
      <c r="T1246" s="234">
        <v>3.0</v>
      </c>
      <c r="U1246" s="145"/>
      <c r="V1246" s="106">
        <v>0.0</v>
      </c>
      <c r="W1246" s="107">
        <v>0.0</v>
      </c>
      <c r="X1246" s="107">
        <v>0.0</v>
      </c>
      <c r="Y1246" s="107">
        <v>0.0</v>
      </c>
      <c r="Z1246" s="80">
        <f t="shared" si="1"/>
        <v>0</v>
      </c>
      <c r="AA1246" s="106">
        <v>0.0</v>
      </c>
      <c r="AB1246" s="107">
        <v>0.0</v>
      </c>
      <c r="AC1246" s="107">
        <v>0.0</v>
      </c>
      <c r="AD1246" s="107">
        <v>0.0</v>
      </c>
      <c r="AE1246" s="80">
        <f t="shared" si="2"/>
        <v>0</v>
      </c>
      <c r="AF1246" s="618">
        <v>42.0</v>
      </c>
      <c r="AG1246" s="216">
        <v>27.0</v>
      </c>
      <c r="AH1246" s="216">
        <v>0.0</v>
      </c>
      <c r="AI1246" s="622">
        <v>0.0</v>
      </c>
      <c r="AJ1246" s="80">
        <f t="shared" si="3"/>
        <v>69</v>
      </c>
      <c r="AK1246" s="140">
        <v>0.0</v>
      </c>
      <c r="AL1246" s="109">
        <v>0.0</v>
      </c>
      <c r="AM1246" s="141">
        <v>0.0</v>
      </c>
      <c r="AN1246" s="80">
        <f t="shared" si="4"/>
        <v>0</v>
      </c>
      <c r="AO1246" s="140">
        <v>0.0</v>
      </c>
      <c r="AP1246" s="109">
        <v>0.0</v>
      </c>
      <c r="AQ1246" s="109">
        <v>44.0</v>
      </c>
      <c r="AR1246" s="80">
        <f t="shared" si="5"/>
        <v>44</v>
      </c>
      <c r="AS1246" s="110">
        <v>0.0</v>
      </c>
      <c r="AT1246" s="110">
        <v>0.0</v>
      </c>
      <c r="AU1246" s="110">
        <v>0.0</v>
      </c>
      <c r="AV1246" s="142">
        <v>0.0</v>
      </c>
      <c r="AW1246" s="80">
        <f t="shared" si="6"/>
        <v>0</v>
      </c>
      <c r="AX1246" s="113">
        <f t="shared" si="7"/>
        <v>113</v>
      </c>
      <c r="AY1246" s="117">
        <f t="shared" si="8"/>
        <v>69</v>
      </c>
      <c r="AZ1246" s="120">
        <f t="shared" si="9"/>
        <v>44</v>
      </c>
      <c r="BA1246" s="115">
        <v>0.0</v>
      </c>
      <c r="BB1246" s="89">
        <f t="shared" si="10"/>
        <v>113</v>
      </c>
      <c r="BC1246" s="132"/>
      <c r="BD1246" s="143"/>
      <c r="BE1246" s="132"/>
      <c r="BF1246" s="123"/>
      <c r="BG1246" s="98">
        <v>1179828.0</v>
      </c>
      <c r="BH1246" s="112"/>
      <c r="BI1246" s="112"/>
      <c r="BJ1246" s="98"/>
      <c r="BK1246" s="99">
        <f t="shared" si="11"/>
        <v>0</v>
      </c>
      <c r="BL1246" s="99">
        <f t="shared" si="12"/>
        <v>69</v>
      </c>
      <c r="BM1246" s="99" t="str">
        <f>IFERROR(__xludf.DUMMYFUNCTION("IFERROR(VLOOKUP(BG1246,IMPORTRANGE(""https://docs.google.com/spreadsheets/d/1juPI-Fb8LD0YtltB2mlGEnp_R3UVu1t3wSFPzgCyHXE/edit?gid=0#gid=0"",""GERAL!A2:C""),3,0),""-"")"),"-")</f>
        <v>-</v>
      </c>
    </row>
    <row r="1247" ht="15.75" customHeight="1">
      <c r="A1247" s="111" t="s">
        <v>1535</v>
      </c>
      <c r="B1247" s="83" t="s">
        <v>2366</v>
      </c>
      <c r="C1247" s="83" t="s">
        <v>164</v>
      </c>
      <c r="D1247" s="112">
        <v>1179277.0</v>
      </c>
      <c r="E1247" s="83">
        <v>1178615.0</v>
      </c>
      <c r="F1247" s="98">
        <v>2.9458994E7</v>
      </c>
      <c r="G1247" s="114" t="s">
        <v>6864</v>
      </c>
      <c r="H1247" s="91" t="s">
        <v>6865</v>
      </c>
      <c r="I1247" s="83" t="s">
        <v>149</v>
      </c>
      <c r="J1247" s="83" t="s">
        <v>315</v>
      </c>
      <c r="K1247" s="83" t="s">
        <v>151</v>
      </c>
      <c r="L1247" s="83" t="s">
        <v>169</v>
      </c>
      <c r="M1247" s="82" t="str">
        <f>IFERROR(__xludf.DUMMYFUNCTION("IFERROR(VLOOKUP(D1247,
IMPORTRANGE(""https://docs.google.com/spreadsheets/d/1MjHtlUikwobi2MaWJgy7tfLeBmhj1u-dRFRs_8GwSoA/edit#gid=0"",""Gestores Escolares!D7:J""),3,0),""VERIFICAR CÓD SEC"")"),"EMERSON CARLOS SOOUZA PAIM")</f>
        <v>EMERSON CARLOS SOOUZA PAIM</v>
      </c>
      <c r="N1247" s="82" t="str">
        <f>IFERROR(__xludf.DUMMYFUNCTION("IFERROR(VLOOKUP(D1247,
IMPORTRANGE(""https://docs.google.com/spreadsheets/d/1MjHtlUikwobi2MaWJgy7tfLeBmhj1u-dRFRs_8GwSoA/edit#gid=0"",""Gestores Escolares!D7:J""),4,0),""VERIFICAR CÓD SEC"")"),"(73) 9 8847-9824")</f>
        <v>(73) 9 8847-9824</v>
      </c>
      <c r="O1247" s="82" t="str">
        <f>IFERROR(__xludf.DUMMYFUNCTION("IFERROR(VLOOKUP(D1247,
IMPORTRANGE(""https://docs.google.com/spreadsheets/d/1MjHtlUikwobi2MaWJgy7tfLeBmhj1u-dRFRs_8GwSoA/edit#gid=0"",""Gestores Escolares!D7:J""),6,0),""VERIFICAR CÓD SEC"")"),"DEBORA SAMPAIO LIMA MARQUES")</f>
        <v>DEBORA SAMPAIO LIMA MARQUES</v>
      </c>
      <c r="P1247" s="82" t="str">
        <f>IFERROR(__xludf.DUMMYFUNCTION("IFERROR(VLOOKUP(D1247,
IMPORTRANGE(""https://docs.google.com/spreadsheets/d/1MjHtlUikwobi2MaWJgy7tfLeBmhj1u-dRFRs_8GwSoA/edit#gid=0"",""Gestores Escolares!D7:J""),7,0),""VERIFICAR CÓD SEC"")"),"(73) 9 8838-5472")</f>
        <v>(73) 9 8838-5472</v>
      </c>
      <c r="Q1247" s="82" t="str">
        <f>IFERROR(__xludf.DUMMYFUNCTION("IFERROR(VLOOKUP(D1247,
IMPORTRANGE(""https://docs.google.com/spreadsheets/d/1MjHtlUikwobi2MaWJgy7tfLeBmhj1u-dRFRs_8GwSoA/edit#gid=0"",""Gestores Escolares!D7:m""),9,0),""VERIFICAR CÓD SEC"")"),"")</f>
        <v/>
      </c>
      <c r="R1247" s="82" t="str">
        <f>IFERROR(__xludf.DUMMYFUNCTION("IFERROR(VLOOKUP(D1247,
IMPORTRANGE(""https://docs.google.com/spreadsheets/d/1MjHtlUikwobi2MaWJgy7tfLeBmhj1u-dRFRs_8GwSoA/edit#gid=0"",""Gestores Escolares!D7:m""),10,0),""VERIFICAR CÓD SEC"")"),"")</f>
        <v/>
      </c>
      <c r="S1247" s="82"/>
      <c r="T1247" s="138">
        <v>3.0</v>
      </c>
      <c r="U1247" s="145">
        <v>1.0</v>
      </c>
      <c r="V1247" s="106">
        <v>0.0</v>
      </c>
      <c r="W1247" s="107">
        <v>0.0</v>
      </c>
      <c r="X1247" s="107">
        <v>0.0</v>
      </c>
      <c r="Y1247" s="107">
        <v>0.0</v>
      </c>
      <c r="Z1247" s="80">
        <f t="shared" si="1"/>
        <v>0</v>
      </c>
      <c r="AA1247" s="106">
        <v>0.0</v>
      </c>
      <c r="AB1247" s="107">
        <v>0.0</v>
      </c>
      <c r="AC1247" s="107">
        <v>0.0</v>
      </c>
      <c r="AD1247" s="107">
        <v>0.0</v>
      </c>
      <c r="AE1247" s="80">
        <f t="shared" si="2"/>
        <v>0</v>
      </c>
      <c r="AF1247" s="140">
        <v>0.0</v>
      </c>
      <c r="AG1247" s="109">
        <v>0.0</v>
      </c>
      <c r="AH1247" s="109">
        <v>62.0</v>
      </c>
      <c r="AI1247" s="141">
        <v>0.0</v>
      </c>
      <c r="AJ1247" s="80">
        <f t="shared" si="3"/>
        <v>62</v>
      </c>
      <c r="AK1247" s="140">
        <v>0.0</v>
      </c>
      <c r="AL1247" s="109">
        <v>0.0</v>
      </c>
      <c r="AM1247" s="141">
        <v>0.0</v>
      </c>
      <c r="AN1247" s="80">
        <f t="shared" si="4"/>
        <v>0</v>
      </c>
      <c r="AO1247" s="140">
        <v>0.0</v>
      </c>
      <c r="AP1247" s="109">
        <v>0.0</v>
      </c>
      <c r="AQ1247" s="109">
        <v>0.0</v>
      </c>
      <c r="AR1247" s="80">
        <f t="shared" si="5"/>
        <v>0</v>
      </c>
      <c r="AS1247" s="110">
        <v>0.0</v>
      </c>
      <c r="AT1247" s="110">
        <v>0.0</v>
      </c>
      <c r="AU1247" s="110">
        <v>0.0</v>
      </c>
      <c r="AV1247" s="142">
        <v>0.0</v>
      </c>
      <c r="AW1247" s="80">
        <f t="shared" si="6"/>
        <v>0</v>
      </c>
      <c r="AX1247" s="113">
        <f t="shared" si="7"/>
        <v>62</v>
      </c>
      <c r="AY1247" s="117">
        <f t="shared" si="8"/>
        <v>0</v>
      </c>
      <c r="AZ1247" s="120">
        <f t="shared" si="9"/>
        <v>62</v>
      </c>
      <c r="BA1247" s="115">
        <v>0.0</v>
      </c>
      <c r="BB1247" s="89">
        <f t="shared" si="10"/>
        <v>62</v>
      </c>
      <c r="BC1247" s="132" t="s">
        <v>178</v>
      </c>
      <c r="BD1247" s="143" t="s">
        <v>227</v>
      </c>
      <c r="BE1247" s="132" t="s">
        <v>178</v>
      </c>
      <c r="BF1247" s="123"/>
      <c r="BG1247" s="83">
        <v>1178615.0</v>
      </c>
      <c r="BH1247" s="112"/>
      <c r="BI1247" s="112">
        <v>3.0</v>
      </c>
      <c r="BJ1247" s="98" t="s">
        <v>155</v>
      </c>
      <c r="BK1247" s="99">
        <f t="shared" si="11"/>
        <v>0</v>
      </c>
      <c r="BL1247" s="99">
        <f t="shared" si="12"/>
        <v>0</v>
      </c>
      <c r="BM1247" s="99" t="str">
        <f>IFERROR(__xludf.DUMMYFUNCTION("IFERROR(VLOOKUP(BG1247,IMPORTRANGE(""https://docs.google.com/spreadsheets/d/1juPI-Fb8LD0YtltB2mlGEnp_R3UVu1t3wSFPzgCyHXE/edit?gid=0#gid=0"",""GERAL!A2:C""),3,0),""-"")"),"-")</f>
        <v>-</v>
      </c>
    </row>
    <row r="1248" ht="15.75" customHeight="1">
      <c r="A1248" s="111" t="s">
        <v>1535</v>
      </c>
      <c r="B1248" s="83" t="s">
        <v>2366</v>
      </c>
      <c r="C1248" s="83" t="s">
        <v>164</v>
      </c>
      <c r="D1248" s="112">
        <v>1179277.0</v>
      </c>
      <c r="E1248" s="98">
        <v>1179819.0</v>
      </c>
      <c r="F1248" s="98">
        <v>2.9458994E7</v>
      </c>
      <c r="G1248" s="119" t="s">
        <v>6867</v>
      </c>
      <c r="H1248" s="108" t="s">
        <v>6868</v>
      </c>
      <c r="I1248" s="83"/>
      <c r="J1248" s="98" t="s">
        <v>2821</v>
      </c>
      <c r="K1248" s="98" t="s">
        <v>168</v>
      </c>
      <c r="L1248" s="83" t="s">
        <v>169</v>
      </c>
      <c r="M1248" s="82" t="str">
        <f>IFERROR(__xludf.DUMMYFUNCTION("IFERROR(VLOOKUP(D1248,
IMPORTRANGE(""https://docs.google.com/spreadsheets/d/1MjHtlUikwobi2MaWJgy7tfLeBmhj1u-dRFRs_8GwSoA/edit#gid=0"",""Gestores Escolares!D7:J""),3,0),""VERIFICAR CÓD SEC"")"),"EMERSON CARLOS SOOUZA PAIM")</f>
        <v>EMERSON CARLOS SOOUZA PAIM</v>
      </c>
      <c r="N1248" s="82" t="str">
        <f>IFERROR(__xludf.DUMMYFUNCTION("IFERROR(VLOOKUP(D1248,
IMPORTRANGE(""https://docs.google.com/spreadsheets/d/1MjHtlUikwobi2MaWJgy7tfLeBmhj1u-dRFRs_8GwSoA/edit#gid=0"",""Gestores Escolares!D7:J""),4,0),""VERIFICAR CÓD SEC"")"),"(73) 9 8847-9824")</f>
        <v>(73) 9 8847-9824</v>
      </c>
      <c r="O1248" s="82" t="str">
        <f>IFERROR(__xludf.DUMMYFUNCTION("IFERROR(VLOOKUP(D1248,
IMPORTRANGE(""https://docs.google.com/spreadsheets/d/1MjHtlUikwobi2MaWJgy7tfLeBmhj1u-dRFRs_8GwSoA/edit#gid=0"",""Gestores Escolares!D7:J""),6,0),""VERIFICAR CÓD SEC"")"),"DEBORA SAMPAIO LIMA MARQUES")</f>
        <v>DEBORA SAMPAIO LIMA MARQUES</v>
      </c>
      <c r="P1248" s="82" t="str">
        <f>IFERROR(__xludf.DUMMYFUNCTION("IFERROR(VLOOKUP(D1248,
IMPORTRANGE(""https://docs.google.com/spreadsheets/d/1MjHtlUikwobi2MaWJgy7tfLeBmhj1u-dRFRs_8GwSoA/edit#gid=0"",""Gestores Escolares!D7:J""),7,0),""VERIFICAR CÓD SEC"")"),"(73) 9 8838-5472")</f>
        <v>(73) 9 8838-5472</v>
      </c>
      <c r="Q1248" s="82" t="str">
        <f>IFERROR(__xludf.DUMMYFUNCTION("IFERROR(VLOOKUP(D1248,
IMPORTRANGE(""https://docs.google.com/spreadsheets/d/1MjHtlUikwobi2MaWJgy7tfLeBmhj1u-dRFRs_8GwSoA/edit#gid=0"",""Gestores Escolares!D7:m""),9,0),""VERIFICAR CÓD SEC"")"),"")</f>
        <v/>
      </c>
      <c r="R1248" s="82" t="str">
        <f>IFERROR(__xludf.DUMMYFUNCTION("IFERROR(VLOOKUP(D1248,
IMPORTRANGE(""https://docs.google.com/spreadsheets/d/1MjHtlUikwobi2MaWJgy7tfLeBmhj1u-dRFRs_8GwSoA/edit#gid=0"",""Gestores Escolares!D7:m""),10,0),""VERIFICAR CÓD SEC"")"),"")</f>
        <v/>
      </c>
      <c r="S1248" s="82"/>
      <c r="T1248" s="234">
        <v>2.0</v>
      </c>
      <c r="U1248" s="145"/>
      <c r="V1248" s="106">
        <v>0.0</v>
      </c>
      <c r="W1248" s="107">
        <v>0.0</v>
      </c>
      <c r="X1248" s="107">
        <v>0.0</v>
      </c>
      <c r="Y1248" s="107">
        <v>0.0</v>
      </c>
      <c r="Z1248" s="80">
        <f t="shared" si="1"/>
        <v>0</v>
      </c>
      <c r="AA1248" s="106">
        <v>0.0</v>
      </c>
      <c r="AB1248" s="107">
        <v>0.0</v>
      </c>
      <c r="AC1248" s="107">
        <v>0.0</v>
      </c>
      <c r="AD1248" s="107">
        <v>0.0</v>
      </c>
      <c r="AE1248" s="80">
        <f t="shared" si="2"/>
        <v>0</v>
      </c>
      <c r="AF1248" s="618">
        <v>0.0</v>
      </c>
      <c r="AG1248" s="216">
        <v>0.0</v>
      </c>
      <c r="AH1248" s="216">
        <v>4.0</v>
      </c>
      <c r="AI1248" s="622">
        <v>0.0</v>
      </c>
      <c r="AJ1248" s="80">
        <f t="shared" si="3"/>
        <v>4</v>
      </c>
      <c r="AK1248" s="140">
        <v>0.0</v>
      </c>
      <c r="AL1248" s="109">
        <v>0.0</v>
      </c>
      <c r="AM1248" s="141">
        <v>0.0</v>
      </c>
      <c r="AN1248" s="80">
        <f t="shared" si="4"/>
        <v>0</v>
      </c>
      <c r="AO1248" s="140">
        <v>0.0</v>
      </c>
      <c r="AP1248" s="109">
        <v>0.0</v>
      </c>
      <c r="AQ1248" s="109">
        <v>0.0</v>
      </c>
      <c r="AR1248" s="80">
        <f t="shared" si="5"/>
        <v>0</v>
      </c>
      <c r="AS1248" s="110">
        <v>0.0</v>
      </c>
      <c r="AT1248" s="110">
        <v>0.0</v>
      </c>
      <c r="AU1248" s="110">
        <v>0.0</v>
      </c>
      <c r="AV1248" s="142">
        <v>0.0</v>
      </c>
      <c r="AW1248" s="80">
        <f t="shared" si="6"/>
        <v>0</v>
      </c>
      <c r="AX1248" s="113">
        <f t="shared" si="7"/>
        <v>4</v>
      </c>
      <c r="AY1248" s="117">
        <f t="shared" si="8"/>
        <v>0</v>
      </c>
      <c r="AZ1248" s="120">
        <f t="shared" si="9"/>
        <v>4</v>
      </c>
      <c r="BA1248" s="115">
        <v>0.0</v>
      </c>
      <c r="BB1248" s="89">
        <f t="shared" si="10"/>
        <v>4</v>
      </c>
      <c r="BC1248" s="132"/>
      <c r="BD1248" s="143"/>
      <c r="BE1248" s="132"/>
      <c r="BF1248" s="123"/>
      <c r="BG1248" s="98">
        <v>1179819.0</v>
      </c>
      <c r="BH1248" s="112"/>
      <c r="BI1248" s="112"/>
      <c r="BJ1248" s="98"/>
      <c r="BK1248" s="99">
        <f t="shared" si="11"/>
        <v>0</v>
      </c>
      <c r="BL1248" s="99">
        <f t="shared" si="12"/>
        <v>0</v>
      </c>
      <c r="BM1248" s="99" t="str">
        <f>IFERROR(__xludf.DUMMYFUNCTION("IFERROR(VLOOKUP(BG1248,IMPORTRANGE(""https://docs.google.com/spreadsheets/d/1juPI-Fb8LD0YtltB2mlGEnp_R3UVu1t3wSFPzgCyHXE/edit?gid=0#gid=0"",""GERAL!A2:C""),3,0),""-"")"),"-")</f>
        <v>-</v>
      </c>
    </row>
    <row r="1249" ht="15.75" customHeight="1">
      <c r="A1249" s="111" t="s">
        <v>1535</v>
      </c>
      <c r="B1249" s="83" t="s">
        <v>6870</v>
      </c>
      <c r="C1249" s="83" t="s">
        <v>68</v>
      </c>
      <c r="D1249" s="112">
        <v>1116950.0</v>
      </c>
      <c r="E1249" s="83"/>
      <c r="F1249" s="83">
        <v>2.9271967E7</v>
      </c>
      <c r="G1249" s="153" t="s">
        <v>6871</v>
      </c>
      <c r="H1249" s="108" t="s">
        <v>6872</v>
      </c>
      <c r="I1249" s="115" t="s">
        <v>6873</v>
      </c>
      <c r="J1249" s="83" t="s">
        <v>150</v>
      </c>
      <c r="K1249" s="83" t="s">
        <v>151</v>
      </c>
      <c r="L1249" s="83" t="s">
        <v>76</v>
      </c>
      <c r="M1249" s="82" t="str">
        <f>IFERROR(__xludf.DUMMYFUNCTION("IFERROR(VLOOKUP(D1249,
IMPORTRANGE(""https://docs.google.com/spreadsheets/d/1MjHtlUikwobi2MaWJgy7tfLeBmhj1u-dRFRs_8GwSoA/edit#gid=0"",""Gestores Escolares!D7:J""),3,0),""VERIFICAR CÓD SEC"")"),"ROBERIO DOS SANTOS SOUZA")</f>
        <v>ROBERIO DOS SANTOS SOUZA</v>
      </c>
      <c r="N1249" s="82" t="str">
        <f>IFERROR(__xludf.DUMMYFUNCTION("IFERROR(VLOOKUP(D1249,
IMPORTRANGE(""https://docs.google.com/spreadsheets/d/1MjHtlUikwobi2MaWJgy7tfLeBmhj1u-dRFRs_8GwSoA/edit#gid=0"",""Gestores Escolares!D7:J""),4,0),""VERIFICAR CÓD SEC"")"),"(73) 9 8813-6821")</f>
        <v>(73) 9 8813-6821</v>
      </c>
      <c r="O1249" s="82" t="str">
        <f>IFERROR(__xludf.DUMMYFUNCTION("IFERROR(VLOOKUP(D1249,
IMPORTRANGE(""https://docs.google.com/spreadsheets/d/1MjHtlUikwobi2MaWJgy7tfLeBmhj1u-dRFRs_8GwSoA/edit#gid=0"",""Gestores Escolares!D7:J""),6,0),""VERIFICAR CÓD SEC"")"),"ANA CAROLINE THIARA DOS SANTOS")</f>
        <v>ANA CAROLINE THIARA DOS SANTOS</v>
      </c>
      <c r="P1249" s="82" t="str">
        <f>IFERROR(__xludf.DUMMYFUNCTION("IFERROR(VLOOKUP(D1249,
IMPORTRANGE(""https://docs.google.com/spreadsheets/d/1MjHtlUikwobi2MaWJgy7tfLeBmhj1u-dRFRs_8GwSoA/edit#gid=0"",""Gestores Escolares!D7:J""),7,0),""VERIFICAR CÓD SEC"")"),"(73) 9 8889-9961")</f>
        <v>(73) 9 8889-9961</v>
      </c>
      <c r="Q1249" s="82" t="str">
        <f>IFERROR(__xludf.DUMMYFUNCTION("IFERROR(VLOOKUP(D1249,
IMPORTRANGE(""https://docs.google.com/spreadsheets/d/1MjHtlUikwobi2MaWJgy7tfLeBmhj1u-dRFRs_8GwSoA/edit#gid=0"",""Gestores Escolares!D7:m""),9,0),""VERIFICAR CÓD SEC"")"),"")</f>
        <v/>
      </c>
      <c r="R1249" s="82" t="str">
        <f>IFERROR(__xludf.DUMMYFUNCTION("IFERROR(VLOOKUP(D1249,
IMPORTRANGE(""https://docs.google.com/spreadsheets/d/1MjHtlUikwobi2MaWJgy7tfLeBmhj1u-dRFRs_8GwSoA/edit#gid=0"",""Gestores Escolares!D7:m""),10,0),""VERIFICAR CÓD SEC"")"),"")</f>
        <v/>
      </c>
      <c r="S1249" s="82"/>
      <c r="T1249" s="138">
        <v>6.0</v>
      </c>
      <c r="U1249" s="145">
        <v>10.0</v>
      </c>
      <c r="V1249" s="106">
        <v>0.0</v>
      </c>
      <c r="W1249" s="107">
        <v>0.0</v>
      </c>
      <c r="X1249" s="107">
        <v>0.0</v>
      </c>
      <c r="Y1249" s="107">
        <v>0.0</v>
      </c>
      <c r="Z1249" s="80">
        <f t="shared" si="1"/>
        <v>0</v>
      </c>
      <c r="AA1249" s="106">
        <v>0.0</v>
      </c>
      <c r="AB1249" s="107">
        <v>0.0</v>
      </c>
      <c r="AC1249" s="107">
        <v>0.0</v>
      </c>
      <c r="AD1249" s="107">
        <v>0.0</v>
      </c>
      <c r="AE1249" s="80">
        <f t="shared" si="2"/>
        <v>0</v>
      </c>
      <c r="AF1249" s="140">
        <v>110.0</v>
      </c>
      <c r="AG1249" s="109">
        <v>23.0</v>
      </c>
      <c r="AH1249" s="109">
        <v>0.0</v>
      </c>
      <c r="AI1249" s="141">
        <v>152.0</v>
      </c>
      <c r="AJ1249" s="80">
        <f t="shared" si="3"/>
        <v>285</v>
      </c>
      <c r="AK1249" s="140">
        <v>0.0</v>
      </c>
      <c r="AL1249" s="109">
        <v>0.0</v>
      </c>
      <c r="AM1249" s="141">
        <v>0.0</v>
      </c>
      <c r="AN1249" s="80">
        <f t="shared" si="4"/>
        <v>0</v>
      </c>
      <c r="AO1249" s="140">
        <v>0.0</v>
      </c>
      <c r="AP1249" s="109">
        <v>0.0</v>
      </c>
      <c r="AQ1249" s="109">
        <v>89.0</v>
      </c>
      <c r="AR1249" s="80">
        <f t="shared" si="5"/>
        <v>89</v>
      </c>
      <c r="AS1249" s="110">
        <v>0.0</v>
      </c>
      <c r="AT1249" s="110">
        <v>47.0</v>
      </c>
      <c r="AU1249" s="110">
        <v>0.0</v>
      </c>
      <c r="AV1249" s="142">
        <v>0.0</v>
      </c>
      <c r="AW1249" s="80">
        <f t="shared" si="6"/>
        <v>47</v>
      </c>
      <c r="AX1249" s="113">
        <f t="shared" si="7"/>
        <v>421</v>
      </c>
      <c r="AY1249" s="117">
        <f t="shared" si="8"/>
        <v>332</v>
      </c>
      <c r="AZ1249" s="120">
        <f t="shared" si="9"/>
        <v>89</v>
      </c>
      <c r="BA1249" s="115">
        <v>0.0</v>
      </c>
      <c r="BB1249" s="89">
        <f t="shared" si="10"/>
        <v>421</v>
      </c>
      <c r="BC1249" s="132" t="s">
        <v>178</v>
      </c>
      <c r="BD1249" s="132" t="s">
        <v>178</v>
      </c>
      <c r="BE1249" s="132" t="s">
        <v>178</v>
      </c>
      <c r="BF1249" s="123"/>
      <c r="BG1249" s="83">
        <v>1116950.0</v>
      </c>
      <c r="BH1249" s="112"/>
      <c r="BI1249" s="112">
        <v>6.0</v>
      </c>
      <c r="BJ1249" s="98" t="s">
        <v>162</v>
      </c>
      <c r="BK1249" s="99">
        <f t="shared" si="11"/>
        <v>152</v>
      </c>
      <c r="BL1249" s="99">
        <f t="shared" si="12"/>
        <v>180</v>
      </c>
      <c r="BM1249" s="99" t="str">
        <f>IFERROR(__xludf.DUMMYFUNCTION("IFERROR(VLOOKUP(BG1249,IMPORTRANGE(""https://docs.google.com/spreadsheets/d/1juPI-Fb8LD0YtltB2mlGEnp_R3UVu1t3wSFPzgCyHXE/edit?gid=0#gid=0"",""GERAL!A2:C""),3,0),""-"")"),"-")</f>
        <v>-</v>
      </c>
    </row>
    <row r="1250" ht="15.75" customHeight="1">
      <c r="A1250" s="111" t="s">
        <v>1535</v>
      </c>
      <c r="B1250" s="83" t="s">
        <v>6870</v>
      </c>
      <c r="C1250" s="83" t="s">
        <v>164</v>
      </c>
      <c r="D1250" s="112">
        <v>1179277.0</v>
      </c>
      <c r="E1250" s="83">
        <v>1178617.0</v>
      </c>
      <c r="F1250" s="98">
        <v>2.9458994E7</v>
      </c>
      <c r="G1250" s="114" t="s">
        <v>6879</v>
      </c>
      <c r="H1250" s="91" t="s">
        <v>6881</v>
      </c>
      <c r="I1250" s="136" t="s">
        <v>6882</v>
      </c>
      <c r="J1250" s="83" t="s">
        <v>467</v>
      </c>
      <c r="K1250" s="83" t="s">
        <v>168</v>
      </c>
      <c r="L1250" s="83" t="s">
        <v>169</v>
      </c>
      <c r="M1250" s="82" t="str">
        <f>IFERROR(__xludf.DUMMYFUNCTION("IFERROR(VLOOKUP(D1250,
IMPORTRANGE(""https://docs.google.com/spreadsheets/d/1MjHtlUikwobi2MaWJgy7tfLeBmhj1u-dRFRs_8GwSoA/edit#gid=0"",""Gestores Escolares!D7:J""),3,0),""VERIFICAR CÓD SEC"")"),"EMERSON CARLOS SOOUZA PAIM")</f>
        <v>EMERSON CARLOS SOOUZA PAIM</v>
      </c>
      <c r="N1250" s="82" t="str">
        <f>IFERROR(__xludf.DUMMYFUNCTION("IFERROR(VLOOKUP(D1250,
IMPORTRANGE(""https://docs.google.com/spreadsheets/d/1MjHtlUikwobi2MaWJgy7tfLeBmhj1u-dRFRs_8GwSoA/edit#gid=0"",""Gestores Escolares!D7:J""),4,0),""VERIFICAR CÓD SEC"")"),"(73) 9 8847-9824")</f>
        <v>(73) 9 8847-9824</v>
      </c>
      <c r="O1250" s="82" t="str">
        <f>IFERROR(__xludf.DUMMYFUNCTION("IFERROR(VLOOKUP(D1250,
IMPORTRANGE(""https://docs.google.com/spreadsheets/d/1MjHtlUikwobi2MaWJgy7tfLeBmhj1u-dRFRs_8GwSoA/edit#gid=0"",""Gestores Escolares!D7:J""),6,0),""VERIFICAR CÓD SEC"")"),"DEBORA SAMPAIO LIMA MARQUES")</f>
        <v>DEBORA SAMPAIO LIMA MARQUES</v>
      </c>
      <c r="P1250" s="82" t="str">
        <f>IFERROR(__xludf.DUMMYFUNCTION("IFERROR(VLOOKUP(D1250,
IMPORTRANGE(""https://docs.google.com/spreadsheets/d/1MjHtlUikwobi2MaWJgy7tfLeBmhj1u-dRFRs_8GwSoA/edit#gid=0"",""Gestores Escolares!D7:J""),7,0),""VERIFICAR CÓD SEC"")"),"(73) 9 8838-5472")</f>
        <v>(73) 9 8838-5472</v>
      </c>
      <c r="Q1250" s="82" t="str">
        <f>IFERROR(__xludf.DUMMYFUNCTION("IFERROR(VLOOKUP(D1250,
IMPORTRANGE(""https://docs.google.com/spreadsheets/d/1MjHtlUikwobi2MaWJgy7tfLeBmhj1u-dRFRs_8GwSoA/edit#gid=0"",""Gestores Escolares!D7:m""),9,0),""VERIFICAR CÓD SEC"")"),"")</f>
        <v/>
      </c>
      <c r="R1250" s="82" t="str">
        <f>IFERROR(__xludf.DUMMYFUNCTION("IFERROR(VLOOKUP(D1250,
IMPORTRANGE(""https://docs.google.com/spreadsheets/d/1MjHtlUikwobi2MaWJgy7tfLeBmhj1u-dRFRs_8GwSoA/edit#gid=0"",""Gestores Escolares!D7:m""),10,0),""VERIFICAR CÓD SEC"")"),"")</f>
        <v/>
      </c>
      <c r="S1250" s="82"/>
      <c r="T1250" s="138">
        <v>3.0</v>
      </c>
      <c r="U1250" s="139">
        <v>3.0</v>
      </c>
      <c r="V1250" s="106">
        <v>0.0</v>
      </c>
      <c r="W1250" s="107">
        <v>0.0</v>
      </c>
      <c r="X1250" s="107">
        <v>0.0</v>
      </c>
      <c r="Y1250" s="107">
        <v>0.0</v>
      </c>
      <c r="Z1250" s="80">
        <f t="shared" si="1"/>
        <v>0</v>
      </c>
      <c r="AA1250" s="106">
        <v>0.0</v>
      </c>
      <c r="AB1250" s="107">
        <v>0.0</v>
      </c>
      <c r="AC1250" s="107">
        <v>0.0</v>
      </c>
      <c r="AD1250" s="107">
        <v>0.0</v>
      </c>
      <c r="AE1250" s="80">
        <f t="shared" si="2"/>
        <v>0</v>
      </c>
      <c r="AF1250" s="140">
        <v>0.0</v>
      </c>
      <c r="AG1250" s="109">
        <v>0.0</v>
      </c>
      <c r="AH1250" s="109">
        <v>32.0</v>
      </c>
      <c r="AI1250" s="141">
        <v>0.0</v>
      </c>
      <c r="AJ1250" s="80">
        <f t="shared" si="3"/>
        <v>32</v>
      </c>
      <c r="AK1250" s="140">
        <v>0.0</v>
      </c>
      <c r="AL1250" s="109">
        <v>0.0</v>
      </c>
      <c r="AM1250" s="141">
        <v>0.0</v>
      </c>
      <c r="AN1250" s="80">
        <f t="shared" si="4"/>
        <v>0</v>
      </c>
      <c r="AO1250" s="140">
        <v>0.0</v>
      </c>
      <c r="AP1250" s="109">
        <v>0.0</v>
      </c>
      <c r="AQ1250" s="109">
        <v>0.0</v>
      </c>
      <c r="AR1250" s="80">
        <f t="shared" si="5"/>
        <v>0</v>
      </c>
      <c r="AS1250" s="110">
        <v>0.0</v>
      </c>
      <c r="AT1250" s="110">
        <v>0.0</v>
      </c>
      <c r="AU1250" s="110">
        <v>0.0</v>
      </c>
      <c r="AV1250" s="142">
        <v>0.0</v>
      </c>
      <c r="AW1250" s="80">
        <f t="shared" si="6"/>
        <v>0</v>
      </c>
      <c r="AX1250" s="113">
        <f t="shared" si="7"/>
        <v>32</v>
      </c>
      <c r="AY1250" s="117">
        <f t="shared" si="8"/>
        <v>0</v>
      </c>
      <c r="AZ1250" s="120">
        <f t="shared" si="9"/>
        <v>32</v>
      </c>
      <c r="BA1250" s="115">
        <v>0.0</v>
      </c>
      <c r="BB1250" s="89">
        <f t="shared" si="10"/>
        <v>32</v>
      </c>
      <c r="BC1250" s="132" t="s">
        <v>178</v>
      </c>
      <c r="BD1250" s="143" t="s">
        <v>227</v>
      </c>
      <c r="BE1250" s="132" t="s">
        <v>178</v>
      </c>
      <c r="BF1250" s="123"/>
      <c r="BG1250" s="83">
        <v>1178617.0</v>
      </c>
      <c r="BH1250" s="112"/>
      <c r="BI1250" s="112">
        <v>3.0</v>
      </c>
      <c r="BJ1250" s="98" t="s">
        <v>155</v>
      </c>
      <c r="BK1250" s="99">
        <f t="shared" si="11"/>
        <v>0</v>
      </c>
      <c r="BL1250" s="99">
        <f t="shared" si="12"/>
        <v>0</v>
      </c>
      <c r="BM1250" s="99" t="str">
        <f>IFERROR(__xludf.DUMMYFUNCTION("IFERROR(VLOOKUP(BG1250,IMPORTRANGE(""https://docs.google.com/spreadsheets/d/1juPI-Fb8LD0YtltB2mlGEnp_R3UVu1t3wSFPzgCyHXE/edit?gid=0#gid=0"",""GERAL!A2:C""),3,0),""-"")"),"-")</f>
        <v>-</v>
      </c>
    </row>
    <row r="1251" ht="15.75" customHeight="1">
      <c r="A1251" s="111" t="s">
        <v>1535</v>
      </c>
      <c r="B1251" s="83" t="s">
        <v>6870</v>
      </c>
      <c r="C1251" s="83" t="s">
        <v>164</v>
      </c>
      <c r="D1251" s="112">
        <v>1179277.0</v>
      </c>
      <c r="E1251" s="83">
        <v>1178618.0</v>
      </c>
      <c r="F1251" s="98">
        <v>2.9458994E7</v>
      </c>
      <c r="G1251" s="114" t="s">
        <v>6883</v>
      </c>
      <c r="H1251" s="91" t="s">
        <v>6884</v>
      </c>
      <c r="I1251" s="136" t="s">
        <v>149</v>
      </c>
      <c r="J1251" s="83" t="s">
        <v>1502</v>
      </c>
      <c r="K1251" s="83" t="s">
        <v>168</v>
      </c>
      <c r="L1251" s="83" t="s">
        <v>169</v>
      </c>
      <c r="M1251" s="82" t="str">
        <f>IFERROR(__xludf.DUMMYFUNCTION("IFERROR(VLOOKUP(D1251,
IMPORTRANGE(""https://docs.google.com/spreadsheets/d/1MjHtlUikwobi2MaWJgy7tfLeBmhj1u-dRFRs_8GwSoA/edit#gid=0"",""Gestores Escolares!D7:J""),3,0),""VERIFICAR CÓD SEC"")"),"EMERSON CARLOS SOOUZA PAIM")</f>
        <v>EMERSON CARLOS SOOUZA PAIM</v>
      </c>
      <c r="N1251" s="82" t="str">
        <f>IFERROR(__xludf.DUMMYFUNCTION("IFERROR(VLOOKUP(D1251,
IMPORTRANGE(""https://docs.google.com/spreadsheets/d/1MjHtlUikwobi2MaWJgy7tfLeBmhj1u-dRFRs_8GwSoA/edit#gid=0"",""Gestores Escolares!D7:J""),4,0),""VERIFICAR CÓD SEC"")"),"(73) 9 8847-9824")</f>
        <v>(73) 9 8847-9824</v>
      </c>
      <c r="O1251" s="82" t="str">
        <f>IFERROR(__xludf.DUMMYFUNCTION("IFERROR(VLOOKUP(D1251,
IMPORTRANGE(""https://docs.google.com/spreadsheets/d/1MjHtlUikwobi2MaWJgy7tfLeBmhj1u-dRFRs_8GwSoA/edit#gid=0"",""Gestores Escolares!D7:J""),6,0),""VERIFICAR CÓD SEC"")"),"DEBORA SAMPAIO LIMA MARQUES")</f>
        <v>DEBORA SAMPAIO LIMA MARQUES</v>
      </c>
      <c r="P1251" s="82" t="str">
        <f>IFERROR(__xludf.DUMMYFUNCTION("IFERROR(VLOOKUP(D1251,
IMPORTRANGE(""https://docs.google.com/spreadsheets/d/1MjHtlUikwobi2MaWJgy7tfLeBmhj1u-dRFRs_8GwSoA/edit#gid=0"",""Gestores Escolares!D7:J""),7,0),""VERIFICAR CÓD SEC"")"),"(73) 9 8838-5472")</f>
        <v>(73) 9 8838-5472</v>
      </c>
      <c r="Q1251" s="82" t="str">
        <f>IFERROR(__xludf.DUMMYFUNCTION("IFERROR(VLOOKUP(D1251,
IMPORTRANGE(""https://docs.google.com/spreadsheets/d/1MjHtlUikwobi2MaWJgy7tfLeBmhj1u-dRFRs_8GwSoA/edit#gid=0"",""Gestores Escolares!D7:m""),9,0),""VERIFICAR CÓD SEC"")"),"")</f>
        <v/>
      </c>
      <c r="R1251" s="82" t="str">
        <f>IFERROR(__xludf.DUMMYFUNCTION("IFERROR(VLOOKUP(D1251,
IMPORTRANGE(""https://docs.google.com/spreadsheets/d/1MjHtlUikwobi2MaWJgy7tfLeBmhj1u-dRFRs_8GwSoA/edit#gid=0"",""Gestores Escolares!D7:m""),10,0),""VERIFICAR CÓD SEC"")"),"")</f>
        <v/>
      </c>
      <c r="S1251" s="82"/>
      <c r="T1251" s="138">
        <v>4.0</v>
      </c>
      <c r="U1251" s="139">
        <v>4.0</v>
      </c>
      <c r="V1251" s="106">
        <v>0.0</v>
      </c>
      <c r="W1251" s="107">
        <v>0.0</v>
      </c>
      <c r="X1251" s="107">
        <v>0.0</v>
      </c>
      <c r="Y1251" s="107">
        <v>0.0</v>
      </c>
      <c r="Z1251" s="80">
        <f t="shared" si="1"/>
        <v>0</v>
      </c>
      <c r="AA1251" s="106">
        <v>0.0</v>
      </c>
      <c r="AB1251" s="107">
        <v>0.0</v>
      </c>
      <c r="AC1251" s="107">
        <v>0.0</v>
      </c>
      <c r="AD1251" s="107">
        <v>0.0</v>
      </c>
      <c r="AE1251" s="80">
        <f t="shared" si="2"/>
        <v>0</v>
      </c>
      <c r="AF1251" s="140">
        <v>0.0</v>
      </c>
      <c r="AG1251" s="109">
        <v>19.0</v>
      </c>
      <c r="AH1251" s="109">
        <v>96.0</v>
      </c>
      <c r="AI1251" s="141">
        <v>0.0</v>
      </c>
      <c r="AJ1251" s="80">
        <f t="shared" si="3"/>
        <v>115</v>
      </c>
      <c r="AK1251" s="140">
        <v>0.0</v>
      </c>
      <c r="AL1251" s="109">
        <v>0.0</v>
      </c>
      <c r="AM1251" s="141">
        <v>0.0</v>
      </c>
      <c r="AN1251" s="80">
        <f t="shared" si="4"/>
        <v>0</v>
      </c>
      <c r="AO1251" s="140">
        <v>0.0</v>
      </c>
      <c r="AP1251" s="109">
        <v>0.0</v>
      </c>
      <c r="AQ1251" s="109">
        <v>0.0</v>
      </c>
      <c r="AR1251" s="80">
        <f t="shared" si="5"/>
        <v>0</v>
      </c>
      <c r="AS1251" s="110">
        <v>0.0</v>
      </c>
      <c r="AT1251" s="110">
        <v>0.0</v>
      </c>
      <c r="AU1251" s="110">
        <v>0.0</v>
      </c>
      <c r="AV1251" s="142">
        <v>0.0</v>
      </c>
      <c r="AW1251" s="80">
        <f t="shared" si="6"/>
        <v>0</v>
      </c>
      <c r="AX1251" s="113">
        <f t="shared" si="7"/>
        <v>115</v>
      </c>
      <c r="AY1251" s="117">
        <f t="shared" si="8"/>
        <v>19</v>
      </c>
      <c r="AZ1251" s="120">
        <f t="shared" si="9"/>
        <v>96</v>
      </c>
      <c r="BA1251" s="115">
        <v>0.0</v>
      </c>
      <c r="BB1251" s="89">
        <f t="shared" si="10"/>
        <v>115</v>
      </c>
      <c r="BC1251" s="132" t="s">
        <v>178</v>
      </c>
      <c r="BD1251" s="143" t="s">
        <v>227</v>
      </c>
      <c r="BE1251" s="132" t="s">
        <v>178</v>
      </c>
      <c r="BF1251" s="123"/>
      <c r="BG1251" s="83">
        <v>1178618.0</v>
      </c>
      <c r="BH1251" s="112"/>
      <c r="BI1251" s="112">
        <v>4.0</v>
      </c>
      <c r="BJ1251" s="98" t="s">
        <v>155</v>
      </c>
      <c r="BK1251" s="99">
        <f t="shared" si="11"/>
        <v>0</v>
      </c>
      <c r="BL1251" s="99">
        <f t="shared" si="12"/>
        <v>19</v>
      </c>
      <c r="BM1251" s="99" t="str">
        <f>IFERROR(__xludf.DUMMYFUNCTION("IFERROR(VLOOKUP(BG1251,IMPORTRANGE(""https://docs.google.com/spreadsheets/d/1juPI-Fb8LD0YtltB2mlGEnp_R3UVu1t3wSFPzgCyHXE/edit?gid=0#gid=0"",""GERAL!A2:C""),3,0),""-"")"),"-")</f>
        <v>-</v>
      </c>
    </row>
    <row r="1252" ht="15.75" customHeight="1">
      <c r="A1252" s="111" t="s">
        <v>1535</v>
      </c>
      <c r="B1252" s="172" t="s">
        <v>6892</v>
      </c>
      <c r="C1252" s="83" t="s">
        <v>68</v>
      </c>
      <c r="D1252" s="208">
        <v>1158882.0</v>
      </c>
      <c r="E1252" s="189"/>
      <c r="F1252" s="83">
        <v>2.9299268E7</v>
      </c>
      <c r="G1252" s="377" t="s">
        <v>6893</v>
      </c>
      <c r="H1252" s="91" t="s">
        <v>6894</v>
      </c>
      <c r="I1252" s="136" t="s">
        <v>149</v>
      </c>
      <c r="J1252" s="83" t="s">
        <v>150</v>
      </c>
      <c r="K1252" s="83" t="s">
        <v>151</v>
      </c>
      <c r="L1252" s="82" t="s">
        <v>76</v>
      </c>
      <c r="M1252" s="82" t="str">
        <f>IFERROR(__xludf.DUMMYFUNCTION("IFERROR(VLOOKUP(D1252,
IMPORTRANGE(""https://docs.google.com/spreadsheets/d/1MjHtlUikwobi2MaWJgy7tfLeBmhj1u-dRFRs_8GwSoA/edit#gid=0"",""Gestores Escolares!D7:J""),3,0),""VERIFICAR CÓD SEC"")"),"ELINALDO SILVA DOS SANTOS")</f>
        <v>ELINALDO SILVA DOS SANTOS</v>
      </c>
      <c r="N1252" s="82" t="str">
        <f>IFERROR(__xludf.DUMMYFUNCTION("IFERROR(VLOOKUP(D1252,
IMPORTRANGE(""https://docs.google.com/spreadsheets/d/1MjHtlUikwobi2MaWJgy7tfLeBmhj1u-dRFRs_8GwSoA/edit#gid=0"",""Gestores Escolares!D7:J""),4,0),""VERIFICAR CÓD SEC"")"),"(73) 9 8874-1915")</f>
        <v>(73) 9 8874-1915</v>
      </c>
      <c r="O1252" s="82" t="str">
        <f>IFERROR(__xludf.DUMMYFUNCTION("IFERROR(VLOOKUP(D1252,
IMPORTRANGE(""https://docs.google.com/spreadsheets/d/1MjHtlUikwobi2MaWJgy7tfLeBmhj1u-dRFRs_8GwSoA/edit#gid=0"",""Gestores Escolares!D7:J""),6,0),""VERIFICAR CÓD SEC"")"),"MARDSON VASCONCELOS MACIEL")</f>
        <v>MARDSON VASCONCELOS MACIEL</v>
      </c>
      <c r="P1252" s="82" t="str">
        <f>IFERROR(__xludf.DUMMYFUNCTION("IFERROR(VLOOKUP(D1252,
IMPORTRANGE(""https://docs.google.com/spreadsheets/d/1MjHtlUikwobi2MaWJgy7tfLeBmhj1u-dRFRs_8GwSoA/edit#gid=0"",""Gestores Escolares!D7:J""),7,0),""VERIFICAR CÓD SEC"")"),"(73) 9 8191-6136")</f>
        <v>(73) 9 8191-6136</v>
      </c>
      <c r="Q1252" s="82" t="str">
        <f>IFERROR(__xludf.DUMMYFUNCTION("IFERROR(VLOOKUP(D1252,
IMPORTRANGE(""https://docs.google.com/spreadsheets/d/1MjHtlUikwobi2MaWJgy7tfLeBmhj1u-dRFRs_8GwSoA/edit#gid=0"",""Gestores Escolares!D7:m""),9,0),""VERIFICAR CÓD SEC"")"),"")</f>
        <v/>
      </c>
      <c r="R1252" s="82" t="str">
        <f>IFERROR(__xludf.DUMMYFUNCTION("IFERROR(VLOOKUP(D1252,
IMPORTRANGE(""https://docs.google.com/spreadsheets/d/1MjHtlUikwobi2MaWJgy7tfLeBmhj1u-dRFRs_8GwSoA/edit#gid=0"",""Gestores Escolares!D7:m""),10,0),""VERIFICAR CÓD SEC"")"),"")</f>
        <v/>
      </c>
      <c r="S1252" s="82"/>
      <c r="T1252" s="138">
        <v>6.0</v>
      </c>
      <c r="U1252" s="139">
        <v>6.0</v>
      </c>
      <c r="V1252" s="106">
        <v>0.0</v>
      </c>
      <c r="W1252" s="107">
        <v>0.0</v>
      </c>
      <c r="X1252" s="107">
        <v>0.0</v>
      </c>
      <c r="Y1252" s="107">
        <v>0.0</v>
      </c>
      <c r="Z1252" s="80">
        <f t="shared" si="1"/>
        <v>0</v>
      </c>
      <c r="AA1252" s="106">
        <v>0.0</v>
      </c>
      <c r="AB1252" s="107">
        <v>0.0</v>
      </c>
      <c r="AC1252" s="107">
        <v>0.0</v>
      </c>
      <c r="AD1252" s="107">
        <v>0.0</v>
      </c>
      <c r="AE1252" s="80">
        <f t="shared" si="2"/>
        <v>0</v>
      </c>
      <c r="AF1252" s="140">
        <v>0.0</v>
      </c>
      <c r="AG1252" s="109">
        <v>0.0</v>
      </c>
      <c r="AH1252" s="109">
        <v>0.0</v>
      </c>
      <c r="AI1252" s="141">
        <v>60.0</v>
      </c>
      <c r="AJ1252" s="80">
        <f t="shared" si="3"/>
        <v>60</v>
      </c>
      <c r="AK1252" s="140">
        <v>0.0</v>
      </c>
      <c r="AL1252" s="109">
        <v>0.0</v>
      </c>
      <c r="AM1252" s="141">
        <v>0.0</v>
      </c>
      <c r="AN1252" s="80">
        <f t="shared" si="4"/>
        <v>0</v>
      </c>
      <c r="AO1252" s="140">
        <v>0.0</v>
      </c>
      <c r="AP1252" s="109">
        <v>0.0</v>
      </c>
      <c r="AQ1252" s="109">
        <v>39.0</v>
      </c>
      <c r="AR1252" s="80">
        <f t="shared" si="5"/>
        <v>39</v>
      </c>
      <c r="AS1252" s="110">
        <v>0.0</v>
      </c>
      <c r="AT1252" s="110">
        <v>0.0</v>
      </c>
      <c r="AU1252" s="110">
        <v>0.0</v>
      </c>
      <c r="AV1252" s="142">
        <v>40.0</v>
      </c>
      <c r="AW1252" s="80">
        <f t="shared" si="6"/>
        <v>40</v>
      </c>
      <c r="AX1252" s="113">
        <f t="shared" si="7"/>
        <v>139</v>
      </c>
      <c r="AY1252" s="117">
        <f t="shared" si="8"/>
        <v>100</v>
      </c>
      <c r="AZ1252" s="120">
        <f t="shared" si="9"/>
        <v>39</v>
      </c>
      <c r="BA1252" s="115">
        <v>1.0</v>
      </c>
      <c r="BB1252" s="89">
        <f t="shared" si="10"/>
        <v>140</v>
      </c>
      <c r="BC1252" s="132" t="s">
        <v>178</v>
      </c>
      <c r="BD1252" s="132" t="s">
        <v>178</v>
      </c>
      <c r="BE1252" s="132" t="s">
        <v>178</v>
      </c>
      <c r="BF1252" s="156"/>
      <c r="BG1252" s="83">
        <v>1158882.0</v>
      </c>
      <c r="BH1252" s="112"/>
      <c r="BI1252" s="112">
        <v>6.0</v>
      </c>
      <c r="BJ1252" s="98" t="s">
        <v>155</v>
      </c>
      <c r="BK1252" s="99">
        <f t="shared" si="11"/>
        <v>100</v>
      </c>
      <c r="BL1252" s="99">
        <f t="shared" si="12"/>
        <v>0</v>
      </c>
      <c r="BM1252" s="99" t="str">
        <f>IFERROR(__xludf.DUMMYFUNCTION("IFERROR(VLOOKUP(BG1252,IMPORTRANGE(""https://docs.google.com/spreadsheets/d/1juPI-Fb8LD0YtltB2mlGEnp_R3UVu1t3wSFPzgCyHXE/edit?gid=0#gid=0"",""GERAL!A2:C""),3,0),""-"")"),"-")</f>
        <v>-</v>
      </c>
    </row>
    <row r="1253" ht="15.75" customHeight="1">
      <c r="A1253" s="111" t="s">
        <v>1535</v>
      </c>
      <c r="B1253" s="172" t="s">
        <v>6892</v>
      </c>
      <c r="C1253" s="83" t="s">
        <v>164</v>
      </c>
      <c r="D1253" s="112">
        <v>1158882.0</v>
      </c>
      <c r="E1253" s="83">
        <v>1178502.0</v>
      </c>
      <c r="F1253" s="98">
        <v>2.9492548E7</v>
      </c>
      <c r="G1253" s="114" t="s">
        <v>6898</v>
      </c>
      <c r="H1253" s="91" t="s">
        <v>6899</v>
      </c>
      <c r="I1253" s="136" t="s">
        <v>6900</v>
      </c>
      <c r="J1253" s="83" t="s">
        <v>240</v>
      </c>
      <c r="K1253" s="83" t="s">
        <v>168</v>
      </c>
      <c r="L1253" s="83" t="s">
        <v>169</v>
      </c>
      <c r="M1253" s="82" t="str">
        <f>IFERROR(__xludf.DUMMYFUNCTION("IFERROR(VLOOKUP(D1253,
IMPORTRANGE(""https://docs.google.com/spreadsheets/d/1MjHtlUikwobi2MaWJgy7tfLeBmhj1u-dRFRs_8GwSoA/edit#gid=0"",""Gestores Escolares!D7:J""),3,0),""VERIFICAR CÓD SEC"")"),"ELINALDO SILVA DOS SANTOS")</f>
        <v>ELINALDO SILVA DOS SANTOS</v>
      </c>
      <c r="N1253" s="82" t="str">
        <f>IFERROR(__xludf.DUMMYFUNCTION("IFERROR(VLOOKUP(D1253,
IMPORTRANGE(""https://docs.google.com/spreadsheets/d/1MjHtlUikwobi2MaWJgy7tfLeBmhj1u-dRFRs_8GwSoA/edit#gid=0"",""Gestores Escolares!D7:J""),4,0),""VERIFICAR CÓD SEC"")"),"(73) 9 8874-1915")</f>
        <v>(73) 9 8874-1915</v>
      </c>
      <c r="O1253" s="82" t="str">
        <f>IFERROR(__xludf.DUMMYFUNCTION("IFERROR(VLOOKUP(D1253,
IMPORTRANGE(""https://docs.google.com/spreadsheets/d/1MjHtlUikwobi2MaWJgy7tfLeBmhj1u-dRFRs_8GwSoA/edit#gid=0"",""Gestores Escolares!D7:J""),6,0),""VERIFICAR CÓD SEC"")"),"MARDSON VASCONCELOS MACIEL")</f>
        <v>MARDSON VASCONCELOS MACIEL</v>
      </c>
      <c r="P1253" s="82" t="str">
        <f>IFERROR(__xludf.DUMMYFUNCTION("IFERROR(VLOOKUP(D1253,
IMPORTRANGE(""https://docs.google.com/spreadsheets/d/1MjHtlUikwobi2MaWJgy7tfLeBmhj1u-dRFRs_8GwSoA/edit#gid=0"",""Gestores Escolares!D7:J""),7,0),""VERIFICAR CÓD SEC"")"),"(73) 9 8191-6136")</f>
        <v>(73) 9 8191-6136</v>
      </c>
      <c r="Q1253" s="82" t="str">
        <f>IFERROR(__xludf.DUMMYFUNCTION("IFERROR(VLOOKUP(D1253,
IMPORTRANGE(""https://docs.google.com/spreadsheets/d/1MjHtlUikwobi2MaWJgy7tfLeBmhj1u-dRFRs_8GwSoA/edit#gid=0"",""Gestores Escolares!D7:m""),9,0),""VERIFICAR CÓD SEC"")"),"")</f>
        <v/>
      </c>
      <c r="R1253" s="82" t="str">
        <f>IFERROR(__xludf.DUMMYFUNCTION("IFERROR(VLOOKUP(D1253,
IMPORTRANGE(""https://docs.google.com/spreadsheets/d/1MjHtlUikwobi2MaWJgy7tfLeBmhj1u-dRFRs_8GwSoA/edit#gid=0"",""Gestores Escolares!D7:m""),10,0),""VERIFICAR CÓD SEC"")"),"")</f>
        <v/>
      </c>
      <c r="S1253" s="82"/>
      <c r="T1253" s="138">
        <v>3.0</v>
      </c>
      <c r="U1253" s="139">
        <v>3.0</v>
      </c>
      <c r="V1253" s="106">
        <v>0.0</v>
      </c>
      <c r="W1253" s="107">
        <v>0.0</v>
      </c>
      <c r="X1253" s="107">
        <v>0.0</v>
      </c>
      <c r="Y1253" s="107">
        <v>0.0</v>
      </c>
      <c r="Z1253" s="80">
        <f t="shared" si="1"/>
        <v>0</v>
      </c>
      <c r="AA1253" s="106">
        <v>0.0</v>
      </c>
      <c r="AB1253" s="107">
        <v>0.0</v>
      </c>
      <c r="AC1253" s="107">
        <v>0.0</v>
      </c>
      <c r="AD1253" s="107">
        <v>0.0</v>
      </c>
      <c r="AE1253" s="80">
        <f t="shared" si="2"/>
        <v>0</v>
      </c>
      <c r="AF1253" s="140">
        <v>0.0</v>
      </c>
      <c r="AG1253" s="109">
        <v>0.0</v>
      </c>
      <c r="AH1253" s="109">
        <v>0.0</v>
      </c>
      <c r="AI1253" s="141">
        <v>0.0</v>
      </c>
      <c r="AJ1253" s="80">
        <f t="shared" si="3"/>
        <v>0</v>
      </c>
      <c r="AK1253" s="140">
        <v>0.0</v>
      </c>
      <c r="AL1253" s="109">
        <v>0.0</v>
      </c>
      <c r="AM1253" s="141">
        <v>0.0</v>
      </c>
      <c r="AN1253" s="80">
        <f t="shared" si="4"/>
        <v>0</v>
      </c>
      <c r="AO1253" s="140">
        <v>0.0</v>
      </c>
      <c r="AP1253" s="109">
        <v>0.0</v>
      </c>
      <c r="AQ1253" s="109">
        <v>27.0</v>
      </c>
      <c r="AR1253" s="80">
        <f t="shared" si="5"/>
        <v>27</v>
      </c>
      <c r="AS1253" s="110">
        <v>0.0</v>
      </c>
      <c r="AT1253" s="110">
        <v>0.0</v>
      </c>
      <c r="AU1253" s="110">
        <v>0.0</v>
      </c>
      <c r="AV1253" s="142">
        <v>0.0</v>
      </c>
      <c r="AW1253" s="80">
        <f t="shared" si="6"/>
        <v>0</v>
      </c>
      <c r="AX1253" s="113">
        <f t="shared" si="7"/>
        <v>27</v>
      </c>
      <c r="AY1253" s="117">
        <f t="shared" si="8"/>
        <v>0</v>
      </c>
      <c r="AZ1253" s="120">
        <f t="shared" si="9"/>
        <v>27</v>
      </c>
      <c r="BA1253" s="115">
        <v>0.0</v>
      </c>
      <c r="BB1253" s="89">
        <f t="shared" si="10"/>
        <v>27</v>
      </c>
      <c r="BC1253" s="132" t="s">
        <v>373</v>
      </c>
      <c r="BD1253" s="132" t="s">
        <v>178</v>
      </c>
      <c r="BE1253" s="132" t="s">
        <v>178</v>
      </c>
      <c r="BF1253" s="123"/>
      <c r="BG1253" s="83">
        <v>1178502.0</v>
      </c>
      <c r="BH1253" s="112"/>
      <c r="BI1253" s="112">
        <v>3.0</v>
      </c>
      <c r="BJ1253" s="98" t="s">
        <v>155</v>
      </c>
      <c r="BK1253" s="99">
        <f t="shared" si="11"/>
        <v>0</v>
      </c>
      <c r="BL1253" s="99">
        <f t="shared" si="12"/>
        <v>0</v>
      </c>
      <c r="BM1253" s="99" t="str">
        <f>IFERROR(__xludf.DUMMYFUNCTION("IFERROR(VLOOKUP(BG1253,IMPORTRANGE(""https://docs.google.com/spreadsheets/d/1juPI-Fb8LD0YtltB2mlGEnp_R3UVu1t3wSFPzgCyHXE/edit?gid=0#gid=0"",""GERAL!A2:C""),3,0),""-"")"),"CAMPO")</f>
        <v>CAMPO</v>
      </c>
    </row>
    <row r="1254" ht="15.75" customHeight="1">
      <c r="A1254" s="111" t="s">
        <v>1535</v>
      </c>
      <c r="B1254" s="172" t="s">
        <v>6892</v>
      </c>
      <c r="C1254" s="83" t="s">
        <v>164</v>
      </c>
      <c r="D1254" s="112">
        <v>1179277.0</v>
      </c>
      <c r="E1254" s="83">
        <v>1178503.0</v>
      </c>
      <c r="F1254" s="98">
        <v>2.9458994E7</v>
      </c>
      <c r="G1254" s="114" t="s">
        <v>6903</v>
      </c>
      <c r="H1254" s="91" t="s">
        <v>6905</v>
      </c>
      <c r="I1254" s="136" t="s">
        <v>6906</v>
      </c>
      <c r="J1254" s="83" t="s">
        <v>6907</v>
      </c>
      <c r="K1254" s="83" t="s">
        <v>168</v>
      </c>
      <c r="L1254" s="83" t="s">
        <v>169</v>
      </c>
      <c r="M1254" s="82" t="str">
        <f>IFERROR(__xludf.DUMMYFUNCTION("IFERROR(VLOOKUP(D1254,
IMPORTRANGE(""https://docs.google.com/spreadsheets/d/1MjHtlUikwobi2MaWJgy7tfLeBmhj1u-dRFRs_8GwSoA/edit#gid=0"",""Gestores Escolares!D7:J""),3,0),""VERIFICAR CÓD SEC"")"),"EMERSON CARLOS SOOUZA PAIM")</f>
        <v>EMERSON CARLOS SOOUZA PAIM</v>
      </c>
      <c r="N1254" s="82" t="str">
        <f>IFERROR(__xludf.DUMMYFUNCTION("IFERROR(VLOOKUP(D1254,
IMPORTRANGE(""https://docs.google.com/spreadsheets/d/1MjHtlUikwobi2MaWJgy7tfLeBmhj1u-dRFRs_8GwSoA/edit#gid=0"",""Gestores Escolares!D7:J""),4,0),""VERIFICAR CÓD SEC"")"),"(73) 9 8847-9824")</f>
        <v>(73) 9 8847-9824</v>
      </c>
      <c r="O1254" s="82" t="str">
        <f>IFERROR(__xludf.DUMMYFUNCTION("IFERROR(VLOOKUP(D1254,
IMPORTRANGE(""https://docs.google.com/spreadsheets/d/1MjHtlUikwobi2MaWJgy7tfLeBmhj1u-dRFRs_8GwSoA/edit#gid=0"",""Gestores Escolares!D7:J""),6,0),""VERIFICAR CÓD SEC"")"),"DEBORA SAMPAIO LIMA MARQUES")</f>
        <v>DEBORA SAMPAIO LIMA MARQUES</v>
      </c>
      <c r="P1254" s="82" t="str">
        <f>IFERROR(__xludf.DUMMYFUNCTION("IFERROR(VLOOKUP(D1254,
IMPORTRANGE(""https://docs.google.com/spreadsheets/d/1MjHtlUikwobi2MaWJgy7tfLeBmhj1u-dRFRs_8GwSoA/edit#gid=0"",""Gestores Escolares!D7:J""),7,0),""VERIFICAR CÓD SEC"")"),"(73) 9 8838-5472")</f>
        <v>(73) 9 8838-5472</v>
      </c>
      <c r="Q1254" s="82" t="str">
        <f>IFERROR(__xludf.DUMMYFUNCTION("IFERROR(VLOOKUP(D1254,
IMPORTRANGE(""https://docs.google.com/spreadsheets/d/1MjHtlUikwobi2MaWJgy7tfLeBmhj1u-dRFRs_8GwSoA/edit#gid=0"",""Gestores Escolares!D7:m""),9,0),""VERIFICAR CÓD SEC"")"),"")</f>
        <v/>
      </c>
      <c r="R1254" s="82" t="str">
        <f>IFERROR(__xludf.DUMMYFUNCTION("IFERROR(VLOOKUP(D1254,
IMPORTRANGE(""https://docs.google.com/spreadsheets/d/1MjHtlUikwobi2MaWJgy7tfLeBmhj1u-dRFRs_8GwSoA/edit#gid=0"",""Gestores Escolares!D7:m""),10,0),""VERIFICAR CÓD SEC"")"),"")</f>
        <v/>
      </c>
      <c r="S1254" s="82"/>
      <c r="T1254" s="138">
        <v>3.0</v>
      </c>
      <c r="U1254" s="139">
        <v>3.0</v>
      </c>
      <c r="V1254" s="106">
        <v>0.0</v>
      </c>
      <c r="W1254" s="107">
        <v>0.0</v>
      </c>
      <c r="X1254" s="107">
        <v>0.0</v>
      </c>
      <c r="Y1254" s="107">
        <v>0.0</v>
      </c>
      <c r="Z1254" s="80">
        <f t="shared" si="1"/>
        <v>0</v>
      </c>
      <c r="AA1254" s="106">
        <v>0.0</v>
      </c>
      <c r="AB1254" s="107">
        <v>0.0</v>
      </c>
      <c r="AC1254" s="107">
        <v>0.0</v>
      </c>
      <c r="AD1254" s="107">
        <v>0.0</v>
      </c>
      <c r="AE1254" s="80">
        <f t="shared" si="2"/>
        <v>0</v>
      </c>
      <c r="AF1254" s="140">
        <v>0.0</v>
      </c>
      <c r="AG1254" s="109">
        <v>0.0</v>
      </c>
      <c r="AH1254" s="109">
        <v>7.0</v>
      </c>
      <c r="AI1254" s="141">
        <v>0.0</v>
      </c>
      <c r="AJ1254" s="80">
        <f t="shared" si="3"/>
        <v>7</v>
      </c>
      <c r="AK1254" s="140">
        <v>0.0</v>
      </c>
      <c r="AL1254" s="109">
        <v>0.0</v>
      </c>
      <c r="AM1254" s="141">
        <v>0.0</v>
      </c>
      <c r="AN1254" s="80">
        <f t="shared" si="4"/>
        <v>0</v>
      </c>
      <c r="AO1254" s="140">
        <v>0.0</v>
      </c>
      <c r="AP1254" s="109">
        <v>0.0</v>
      </c>
      <c r="AQ1254" s="109">
        <v>0.0</v>
      </c>
      <c r="AR1254" s="80">
        <f t="shared" si="5"/>
        <v>0</v>
      </c>
      <c r="AS1254" s="110">
        <v>0.0</v>
      </c>
      <c r="AT1254" s="110">
        <v>0.0</v>
      </c>
      <c r="AU1254" s="110">
        <v>0.0</v>
      </c>
      <c r="AV1254" s="142">
        <v>0.0</v>
      </c>
      <c r="AW1254" s="80">
        <f t="shared" si="6"/>
        <v>0</v>
      </c>
      <c r="AX1254" s="113">
        <f t="shared" si="7"/>
        <v>7</v>
      </c>
      <c r="AY1254" s="117">
        <f t="shared" si="8"/>
        <v>0</v>
      </c>
      <c r="AZ1254" s="120">
        <f t="shared" si="9"/>
        <v>7</v>
      </c>
      <c r="BA1254" s="115">
        <v>0.0</v>
      </c>
      <c r="BB1254" s="89">
        <f t="shared" si="10"/>
        <v>7</v>
      </c>
      <c r="BC1254" s="132" t="s">
        <v>178</v>
      </c>
      <c r="BD1254" s="143" t="s">
        <v>227</v>
      </c>
      <c r="BE1254" s="132" t="s">
        <v>178</v>
      </c>
      <c r="BF1254" s="123"/>
      <c r="BG1254" s="83">
        <v>1178503.0</v>
      </c>
      <c r="BH1254" s="112"/>
      <c r="BI1254" s="112">
        <v>3.0</v>
      </c>
      <c r="BJ1254" s="98" t="s">
        <v>155</v>
      </c>
      <c r="BK1254" s="99">
        <f t="shared" si="11"/>
        <v>0</v>
      </c>
      <c r="BL1254" s="99">
        <f t="shared" si="12"/>
        <v>0</v>
      </c>
      <c r="BM1254" s="99" t="str">
        <f>IFERROR(__xludf.DUMMYFUNCTION("IFERROR(VLOOKUP(BG1254,IMPORTRANGE(""https://docs.google.com/spreadsheets/d/1juPI-Fb8LD0YtltB2mlGEnp_R3UVu1t3wSFPzgCyHXE/edit?gid=0#gid=0"",""GERAL!A2:C""),3,0),""-"")"),"-")</f>
        <v>-</v>
      </c>
    </row>
    <row r="1255" ht="15.75" customHeight="1">
      <c r="A1255" s="111" t="s">
        <v>1535</v>
      </c>
      <c r="B1255" s="172" t="s">
        <v>6910</v>
      </c>
      <c r="C1255" s="83" t="s">
        <v>68</v>
      </c>
      <c r="D1255" s="112">
        <v>1178097.0</v>
      </c>
      <c r="E1255" s="83"/>
      <c r="F1255" s="83">
        <v>2.9429781E7</v>
      </c>
      <c r="G1255" s="114" t="s">
        <v>6911</v>
      </c>
      <c r="H1255" s="91" t="s">
        <v>6912</v>
      </c>
      <c r="I1255" s="136" t="s">
        <v>6913</v>
      </c>
      <c r="J1255" s="83" t="s">
        <v>1347</v>
      </c>
      <c r="K1255" s="83" t="s">
        <v>151</v>
      </c>
      <c r="L1255" s="83" t="s">
        <v>169</v>
      </c>
      <c r="M1255" s="82" t="str">
        <f>IFERROR(__xludf.DUMMYFUNCTION("IFERROR(VLOOKUP(D1255,
IMPORTRANGE(""https://docs.google.com/spreadsheets/d/1MjHtlUikwobi2MaWJgy7tfLeBmhj1u-dRFRs_8GwSoA/edit#gid=0"",""Gestores Escolares!D7:J""),3,0),""VERIFICAR CÓD SEC"")"),"JEANE DE JESUS DE SOUZA")</f>
        <v>JEANE DE JESUS DE SOUZA</v>
      </c>
      <c r="N1255" s="82" t="str">
        <f>IFERROR(__xludf.DUMMYFUNCTION("IFERROR(VLOOKUP(D1255,
IMPORTRANGE(""https://docs.google.com/spreadsheets/d/1MjHtlUikwobi2MaWJgy7tfLeBmhj1u-dRFRs_8GwSoA/edit#gid=0"",""Gestores Escolares!D7:J""),4,0),""VERIFICAR CÓD SEC"")"),"(73) 9 9136-7050")</f>
        <v>(73) 9 9136-7050</v>
      </c>
      <c r="O1255" s="82" t="str">
        <f>IFERROR(__xludf.DUMMYFUNCTION("IFERROR(VLOOKUP(D1255,
IMPORTRANGE(""https://docs.google.com/spreadsheets/d/1MjHtlUikwobi2MaWJgy7tfLeBmhj1u-dRFRs_8GwSoA/edit#gid=0"",""Gestores Escolares!D7:J""),6,0),""VERIFICAR CÓD SEC"")"),"")</f>
        <v/>
      </c>
      <c r="P1255" s="82" t="str">
        <f>IFERROR(__xludf.DUMMYFUNCTION("IFERROR(VLOOKUP(D1255,
IMPORTRANGE(""https://docs.google.com/spreadsheets/d/1MjHtlUikwobi2MaWJgy7tfLeBmhj1u-dRFRs_8GwSoA/edit#gid=0"",""Gestores Escolares!D7:J""),7,0),""VERIFICAR CÓD SEC"")"),"")</f>
        <v/>
      </c>
      <c r="Q1255" s="82" t="str">
        <f>IFERROR(__xludf.DUMMYFUNCTION("IFERROR(VLOOKUP(D1255,
IMPORTRANGE(""https://docs.google.com/spreadsheets/d/1MjHtlUikwobi2MaWJgy7tfLeBmhj1u-dRFRs_8GwSoA/edit#gid=0"",""Gestores Escolares!D7:m""),9,0),""VERIFICAR CÓD SEC"")"),"")</f>
        <v/>
      </c>
      <c r="R1255" s="82" t="str">
        <f>IFERROR(__xludf.DUMMYFUNCTION("IFERROR(VLOOKUP(D1255,
IMPORTRANGE(""https://docs.google.com/spreadsheets/d/1MjHtlUikwobi2MaWJgy7tfLeBmhj1u-dRFRs_8GwSoA/edit#gid=0"",""Gestores Escolares!D7:m""),10,0),""VERIFICAR CÓD SEC"")"),"")</f>
        <v/>
      </c>
      <c r="S1255" s="82"/>
      <c r="T1255" s="138">
        <v>4.0</v>
      </c>
      <c r="U1255" s="145" t="s">
        <v>13863</v>
      </c>
      <c r="V1255" s="106">
        <v>0.0</v>
      </c>
      <c r="W1255" s="107">
        <v>0.0</v>
      </c>
      <c r="X1255" s="107">
        <v>0.0</v>
      </c>
      <c r="Y1255" s="107">
        <v>0.0</v>
      </c>
      <c r="Z1255" s="80">
        <f t="shared" si="1"/>
        <v>0</v>
      </c>
      <c r="AA1255" s="106">
        <v>0.0</v>
      </c>
      <c r="AB1255" s="107">
        <v>0.0</v>
      </c>
      <c r="AC1255" s="107">
        <v>0.0</v>
      </c>
      <c r="AD1255" s="107">
        <v>0.0</v>
      </c>
      <c r="AE1255" s="80">
        <f t="shared" si="2"/>
        <v>0</v>
      </c>
      <c r="AF1255" s="140">
        <v>0.0</v>
      </c>
      <c r="AG1255" s="109">
        <v>0.0</v>
      </c>
      <c r="AH1255" s="109">
        <v>0.0</v>
      </c>
      <c r="AI1255" s="141">
        <v>70.0</v>
      </c>
      <c r="AJ1255" s="80">
        <f t="shared" si="3"/>
        <v>70</v>
      </c>
      <c r="AK1255" s="140">
        <v>0.0</v>
      </c>
      <c r="AL1255" s="109">
        <v>0.0</v>
      </c>
      <c r="AM1255" s="141">
        <v>0.0</v>
      </c>
      <c r="AN1255" s="80">
        <f t="shared" si="4"/>
        <v>0</v>
      </c>
      <c r="AO1255" s="140">
        <v>0.0</v>
      </c>
      <c r="AP1255" s="109">
        <v>0.0</v>
      </c>
      <c r="AQ1255" s="109">
        <v>44.0</v>
      </c>
      <c r="AR1255" s="80">
        <f t="shared" si="5"/>
        <v>44</v>
      </c>
      <c r="AS1255" s="110">
        <v>0.0</v>
      </c>
      <c r="AT1255" s="110">
        <v>0.0</v>
      </c>
      <c r="AU1255" s="110">
        <v>26.0</v>
      </c>
      <c r="AV1255" s="142">
        <v>39.0</v>
      </c>
      <c r="AW1255" s="80">
        <f t="shared" si="6"/>
        <v>65</v>
      </c>
      <c r="AX1255" s="113">
        <f t="shared" si="7"/>
        <v>179</v>
      </c>
      <c r="AY1255" s="117">
        <f t="shared" si="8"/>
        <v>109</v>
      </c>
      <c r="AZ1255" s="120">
        <f t="shared" si="9"/>
        <v>70</v>
      </c>
      <c r="BA1255" s="115">
        <v>0.0</v>
      </c>
      <c r="BB1255" s="89">
        <f t="shared" si="10"/>
        <v>179</v>
      </c>
      <c r="BC1255" s="132" t="s">
        <v>373</v>
      </c>
      <c r="BD1255" s="132" t="s">
        <v>178</v>
      </c>
      <c r="BE1255" s="132" t="s">
        <v>178</v>
      </c>
      <c r="BF1255" s="123"/>
      <c r="BG1255" s="83">
        <v>1178097.0</v>
      </c>
      <c r="BH1255" s="112"/>
      <c r="BI1255" s="112">
        <v>5.0</v>
      </c>
      <c r="BJ1255" s="98" t="s">
        <v>155</v>
      </c>
      <c r="BK1255" s="99">
        <f t="shared" si="11"/>
        <v>109</v>
      </c>
      <c r="BL1255" s="99">
        <f t="shared" si="12"/>
        <v>0</v>
      </c>
      <c r="BM1255" s="99" t="str">
        <f>IFERROR(__xludf.DUMMYFUNCTION("IFERROR(VLOOKUP(BG1255,IMPORTRANGE(""https://docs.google.com/spreadsheets/d/1juPI-Fb8LD0YtltB2mlGEnp_R3UVu1t3wSFPzgCyHXE/edit?gid=0#gid=0"",""GERAL!A2:C""),3,0),""-"")"),"CAMPO")</f>
        <v>CAMPO</v>
      </c>
    </row>
    <row r="1256" ht="15.75" customHeight="1">
      <c r="A1256" s="111" t="s">
        <v>1535</v>
      </c>
      <c r="B1256" s="172" t="s">
        <v>6910</v>
      </c>
      <c r="C1256" s="83" t="s">
        <v>68</v>
      </c>
      <c r="D1256" s="112">
        <v>1117108.0</v>
      </c>
      <c r="E1256" s="83"/>
      <c r="F1256" s="83">
        <v>2.9300762E7</v>
      </c>
      <c r="G1256" s="114" t="s">
        <v>6934</v>
      </c>
      <c r="H1256" s="91" t="s">
        <v>6935</v>
      </c>
      <c r="I1256" s="136" t="s">
        <v>149</v>
      </c>
      <c r="J1256" s="83" t="s">
        <v>150</v>
      </c>
      <c r="K1256" s="83" t="s">
        <v>151</v>
      </c>
      <c r="L1256" s="83" t="s">
        <v>230</v>
      </c>
      <c r="M1256" s="82" t="str">
        <f>IFERROR(__xludf.DUMMYFUNCTION("IFERROR(VLOOKUP(D1256,
IMPORTRANGE(""https://docs.google.com/spreadsheets/d/1MjHtlUikwobi2MaWJgy7tfLeBmhj1u-dRFRs_8GwSoA/edit#gid=0"",""Gestores Escolares!D7:J""),3,0),""VERIFICAR CÓD SEC"")"),"JULIANE MACHADO CARVALHO RIBEIRO                           ")</f>
        <v>JULIANE MACHADO CARVALHO RIBEIRO                           </v>
      </c>
      <c r="N1256" s="82" t="str">
        <f>IFERROR(__xludf.DUMMYFUNCTION("IFERROR(VLOOKUP(D1256,
IMPORTRANGE(""https://docs.google.com/spreadsheets/d/1MjHtlUikwobi2MaWJgy7tfLeBmhj1u-dRFRs_8GwSoA/edit#gid=0"",""Gestores Escolares!D7:J""),4,0),""VERIFICAR CÓD SEC"")"),"(73) 9 9818-8466")</f>
        <v>(73) 9 9818-8466</v>
      </c>
      <c r="O1256" s="82" t="str">
        <f>IFERROR(__xludf.DUMMYFUNCTION("IFERROR(VLOOKUP(D1256,
IMPORTRANGE(""https://docs.google.com/spreadsheets/d/1MjHtlUikwobi2MaWJgy7tfLeBmhj1u-dRFRs_8GwSoA/edit#gid=0"",""Gestores Escolares!D7:J""),6,0),""VERIFICAR CÓD SEC"")"),"RENAILDO SANTOS DA CONCEICAO")</f>
        <v>RENAILDO SANTOS DA CONCEICAO</v>
      </c>
      <c r="P1256" s="82" t="str">
        <f>IFERROR(__xludf.DUMMYFUNCTION("IFERROR(VLOOKUP(D1256,
IMPORTRANGE(""https://docs.google.com/spreadsheets/d/1MjHtlUikwobi2MaWJgy7tfLeBmhj1u-dRFRs_8GwSoA/edit#gid=0"",""Gestores Escolares!D7:J""),7,0),""VERIFICAR CÓD SEC"")"),"(73) 9 9963-1383")</f>
        <v>(73) 9 9963-1383</v>
      </c>
      <c r="Q1256" s="82" t="str">
        <f>IFERROR(__xludf.DUMMYFUNCTION("IFERROR(VLOOKUP(D1256,
IMPORTRANGE(""https://docs.google.com/spreadsheets/d/1MjHtlUikwobi2MaWJgy7tfLeBmhj1u-dRFRs_8GwSoA/edit#gid=0"",""Gestores Escolares!D7:m""),9,0),""VERIFICAR CÓD SEC"")"),"")</f>
        <v/>
      </c>
      <c r="R1256" s="82" t="str">
        <f>IFERROR(__xludf.DUMMYFUNCTION("IFERROR(VLOOKUP(D1256,
IMPORTRANGE(""https://docs.google.com/spreadsheets/d/1MjHtlUikwobi2MaWJgy7tfLeBmhj1u-dRFRs_8GwSoA/edit#gid=0"",""Gestores Escolares!D7:m""),10,0),""VERIFICAR CÓD SEC"")"),"")</f>
        <v/>
      </c>
      <c r="S1256" s="82"/>
      <c r="T1256" s="138">
        <v>11.0</v>
      </c>
      <c r="U1256" s="145" t="s">
        <v>1323</v>
      </c>
      <c r="V1256" s="106">
        <v>0.0</v>
      </c>
      <c r="W1256" s="107">
        <v>0.0</v>
      </c>
      <c r="X1256" s="107">
        <v>0.0</v>
      </c>
      <c r="Y1256" s="107">
        <v>0.0</v>
      </c>
      <c r="Z1256" s="80">
        <f t="shared" si="1"/>
        <v>0</v>
      </c>
      <c r="AA1256" s="106">
        <v>0.0</v>
      </c>
      <c r="AB1256" s="107">
        <v>0.0</v>
      </c>
      <c r="AC1256" s="107">
        <v>0.0</v>
      </c>
      <c r="AD1256" s="107">
        <v>0.0</v>
      </c>
      <c r="AE1256" s="80">
        <f t="shared" si="2"/>
        <v>0</v>
      </c>
      <c r="AF1256" s="140">
        <v>19.0</v>
      </c>
      <c r="AG1256" s="109">
        <v>0.0</v>
      </c>
      <c r="AH1256" s="109">
        <v>0.0</v>
      </c>
      <c r="AI1256" s="141">
        <v>396.0</v>
      </c>
      <c r="AJ1256" s="80">
        <f t="shared" si="3"/>
        <v>415</v>
      </c>
      <c r="AK1256" s="140">
        <v>0.0</v>
      </c>
      <c r="AL1256" s="109">
        <v>0.0</v>
      </c>
      <c r="AM1256" s="141">
        <v>0.0</v>
      </c>
      <c r="AN1256" s="80">
        <f t="shared" si="4"/>
        <v>0</v>
      </c>
      <c r="AO1256" s="140">
        <v>0.0</v>
      </c>
      <c r="AP1256" s="109">
        <v>0.0</v>
      </c>
      <c r="AQ1256" s="109">
        <v>156.0</v>
      </c>
      <c r="AR1256" s="80">
        <f t="shared" si="5"/>
        <v>156</v>
      </c>
      <c r="AS1256" s="110">
        <v>0.0</v>
      </c>
      <c r="AT1256" s="110">
        <v>0.0</v>
      </c>
      <c r="AU1256" s="110">
        <v>0.0</v>
      </c>
      <c r="AV1256" s="142">
        <v>0.0</v>
      </c>
      <c r="AW1256" s="80">
        <f t="shared" si="6"/>
        <v>0</v>
      </c>
      <c r="AX1256" s="113">
        <f t="shared" si="7"/>
        <v>571</v>
      </c>
      <c r="AY1256" s="117">
        <f t="shared" si="8"/>
        <v>415</v>
      </c>
      <c r="AZ1256" s="120">
        <f t="shared" si="9"/>
        <v>156</v>
      </c>
      <c r="BA1256" s="115">
        <v>0.0</v>
      </c>
      <c r="BB1256" s="89">
        <f t="shared" si="10"/>
        <v>571</v>
      </c>
      <c r="BC1256" s="132" t="s">
        <v>178</v>
      </c>
      <c r="BD1256" s="132" t="s">
        <v>178</v>
      </c>
      <c r="BE1256" s="132" t="s">
        <v>178</v>
      </c>
      <c r="BF1256" s="123"/>
      <c r="BG1256" s="83">
        <v>1117108.0</v>
      </c>
      <c r="BH1256" s="112"/>
      <c r="BI1256" s="112">
        <v>12.0</v>
      </c>
      <c r="BJ1256" s="98" t="s">
        <v>155</v>
      </c>
      <c r="BK1256" s="99">
        <f t="shared" si="11"/>
        <v>396</v>
      </c>
      <c r="BL1256" s="99">
        <f t="shared" si="12"/>
        <v>19</v>
      </c>
      <c r="BM1256" s="99" t="str">
        <f>IFERROR(__xludf.DUMMYFUNCTION("IFERROR(VLOOKUP(BG1256,IMPORTRANGE(""https://docs.google.com/spreadsheets/d/1juPI-Fb8LD0YtltB2mlGEnp_R3UVu1t3wSFPzgCyHXE/edit?gid=0#gid=0"",""GERAL!A2:C""),3,0),""-"")"),"-")</f>
        <v>-</v>
      </c>
    </row>
    <row r="1257" ht="15.75" customHeight="1">
      <c r="A1257" s="111" t="s">
        <v>1535</v>
      </c>
      <c r="B1257" s="172" t="s">
        <v>6943</v>
      </c>
      <c r="C1257" s="83" t="s">
        <v>68</v>
      </c>
      <c r="D1257" s="112">
        <v>1176433.0</v>
      </c>
      <c r="E1257" s="83"/>
      <c r="F1257" s="83">
        <v>2.9390532E7</v>
      </c>
      <c r="G1257" s="184" t="s">
        <v>6944</v>
      </c>
      <c r="H1257" s="91" t="s">
        <v>6945</v>
      </c>
      <c r="I1257" s="83" t="s">
        <v>6946</v>
      </c>
      <c r="J1257" s="83" t="s">
        <v>150</v>
      </c>
      <c r="K1257" s="83" t="s">
        <v>151</v>
      </c>
      <c r="L1257" s="83" t="s">
        <v>230</v>
      </c>
      <c r="M1257" s="82" t="str">
        <f>IFERROR(__xludf.DUMMYFUNCTION("IFERROR(VLOOKUP(D1257,
IMPORTRANGE(""https://docs.google.com/spreadsheets/d/1MjHtlUikwobi2MaWJgy7tfLeBmhj1u-dRFRs_8GwSoA/edit#gid=0"",""Gestores Escolares!D7:J""),3,0),""VERIFICAR CÓD SEC"")"),"SUZERLEA LEITE BARRETO")</f>
        <v>SUZERLEA LEITE BARRETO</v>
      </c>
      <c r="N1257" s="82" t="str">
        <f>IFERROR(__xludf.DUMMYFUNCTION("IFERROR(VLOOKUP(D1257,
IMPORTRANGE(""https://docs.google.com/spreadsheets/d/1MjHtlUikwobi2MaWJgy7tfLeBmhj1u-dRFRs_8GwSoA/edit#gid=0"",""Gestores Escolares!D7:J""),4,0),""VERIFICAR CÓD SEC"")"),"(73) 9 9147-6919")</f>
        <v>(73) 9 9147-6919</v>
      </c>
      <c r="O1257" s="82" t="str">
        <f>IFERROR(__xludf.DUMMYFUNCTION("IFERROR(VLOOKUP(D1257,
IMPORTRANGE(""https://docs.google.com/spreadsheets/d/1MjHtlUikwobi2MaWJgy7tfLeBmhj1u-dRFRs_8GwSoA/edit#gid=0"",""Gestores Escolares!D7:J""),6,0),""VERIFICAR CÓD SEC"")"),"THAISLANE SILVA DOS SANTOS CARVALHO")</f>
        <v>THAISLANE SILVA DOS SANTOS CARVALHO</v>
      </c>
      <c r="P1257" s="82" t="str">
        <f>IFERROR(__xludf.DUMMYFUNCTION("IFERROR(VLOOKUP(D1257,
IMPORTRANGE(""https://docs.google.com/spreadsheets/d/1MjHtlUikwobi2MaWJgy7tfLeBmhj1u-dRFRs_8GwSoA/edit#gid=0"",""Gestores Escolares!D7:J""),7,0),""VERIFICAR CÓD SEC"")"),"(73) 9 9143-0653")</f>
        <v>(73) 9 9143-0653</v>
      </c>
      <c r="Q1257" s="82" t="str">
        <f>IFERROR(__xludf.DUMMYFUNCTION("IFERROR(VLOOKUP(D1257,
IMPORTRANGE(""https://docs.google.com/spreadsheets/d/1MjHtlUikwobi2MaWJgy7tfLeBmhj1u-dRFRs_8GwSoA/edit#gid=0"",""Gestores Escolares!D7:m""),9,0),""VERIFICAR CÓD SEC"")"),"BRUNO PEREIRA PINHEIRO")</f>
        <v>BRUNO PEREIRA PINHEIRO</v>
      </c>
      <c r="R1257" s="82" t="str">
        <f>IFERROR(__xludf.DUMMYFUNCTION("IFERROR(VLOOKUP(D1257,
IMPORTRANGE(""https://docs.google.com/spreadsheets/d/1MjHtlUikwobi2MaWJgy7tfLeBmhj1u-dRFRs_8GwSoA/edit#gid=0"",""Gestores Escolares!D7:m""),10,0),""VERIFICAR CÓD SEC"")"),"(73) 9 9171-5265")</f>
        <v>(73) 9 9171-5265</v>
      </c>
      <c r="S1257" s="82"/>
      <c r="T1257" s="138">
        <v>20.0</v>
      </c>
      <c r="U1257" s="145" t="s">
        <v>13864</v>
      </c>
      <c r="V1257" s="106">
        <v>0.0</v>
      </c>
      <c r="W1257" s="107">
        <v>0.0</v>
      </c>
      <c r="X1257" s="107">
        <v>0.0</v>
      </c>
      <c r="Y1257" s="107">
        <v>0.0</v>
      </c>
      <c r="Z1257" s="80">
        <f t="shared" si="1"/>
        <v>0</v>
      </c>
      <c r="AA1257" s="106">
        <v>0.0</v>
      </c>
      <c r="AB1257" s="107">
        <v>0.0</v>
      </c>
      <c r="AC1257" s="107">
        <v>0.0</v>
      </c>
      <c r="AD1257" s="107">
        <v>0.0</v>
      </c>
      <c r="AE1257" s="80">
        <f t="shared" si="2"/>
        <v>0</v>
      </c>
      <c r="AF1257" s="140">
        <v>0.0</v>
      </c>
      <c r="AG1257" s="109">
        <v>0.0</v>
      </c>
      <c r="AH1257" s="109">
        <v>0.0</v>
      </c>
      <c r="AI1257" s="141">
        <v>90.0</v>
      </c>
      <c r="AJ1257" s="80">
        <f t="shared" si="3"/>
        <v>90</v>
      </c>
      <c r="AK1257" s="140">
        <v>0.0</v>
      </c>
      <c r="AL1257" s="109">
        <v>0.0</v>
      </c>
      <c r="AM1257" s="141">
        <v>0.0</v>
      </c>
      <c r="AN1257" s="80">
        <f t="shared" si="4"/>
        <v>0</v>
      </c>
      <c r="AO1257" s="140">
        <v>0.0</v>
      </c>
      <c r="AP1257" s="109">
        <v>0.0</v>
      </c>
      <c r="AQ1257" s="109">
        <v>0.0</v>
      </c>
      <c r="AR1257" s="80">
        <f t="shared" si="5"/>
        <v>0</v>
      </c>
      <c r="AS1257" s="110">
        <v>0.0</v>
      </c>
      <c r="AT1257" s="110">
        <v>0.0</v>
      </c>
      <c r="AU1257" s="110">
        <v>331.0</v>
      </c>
      <c r="AV1257" s="142">
        <v>404.0</v>
      </c>
      <c r="AW1257" s="80">
        <f t="shared" si="6"/>
        <v>735</v>
      </c>
      <c r="AX1257" s="113">
        <f t="shared" si="7"/>
        <v>825</v>
      </c>
      <c r="AY1257" s="117">
        <f t="shared" si="8"/>
        <v>494</v>
      </c>
      <c r="AZ1257" s="120">
        <f t="shared" si="9"/>
        <v>331</v>
      </c>
      <c r="BA1257" s="115">
        <v>0.0</v>
      </c>
      <c r="BB1257" s="89">
        <f t="shared" si="10"/>
        <v>825</v>
      </c>
      <c r="BC1257" s="132" t="s">
        <v>178</v>
      </c>
      <c r="BD1257" s="132" t="s">
        <v>178</v>
      </c>
      <c r="BE1257" s="132" t="s">
        <v>178</v>
      </c>
      <c r="BF1257" s="156"/>
      <c r="BG1257" s="83">
        <v>1176433.0</v>
      </c>
      <c r="BH1257" s="112"/>
      <c r="BI1257" s="112">
        <v>18.0</v>
      </c>
      <c r="BJ1257" s="98" t="s">
        <v>155</v>
      </c>
      <c r="BK1257" s="99">
        <f t="shared" si="11"/>
        <v>494</v>
      </c>
      <c r="BL1257" s="99">
        <f t="shared" si="12"/>
        <v>0</v>
      </c>
      <c r="BM1257" s="99" t="str">
        <f>IFERROR(__xludf.DUMMYFUNCTION("IFERROR(VLOOKUP(BG1257,IMPORTRANGE(""https://docs.google.com/spreadsheets/d/1juPI-Fb8LD0YtltB2mlGEnp_R3UVu1t3wSFPzgCyHXE/edit?gid=0#gid=0"",""GERAL!A2:C""),3,0),""-"")"),"-")</f>
        <v>-</v>
      </c>
    </row>
    <row r="1258" ht="15.75" customHeight="1">
      <c r="A1258" s="111" t="s">
        <v>1535</v>
      </c>
      <c r="B1258" s="83" t="s">
        <v>6943</v>
      </c>
      <c r="C1258" s="83" t="s">
        <v>68</v>
      </c>
      <c r="D1258" s="112">
        <v>1117035.0</v>
      </c>
      <c r="E1258" s="83"/>
      <c r="F1258" s="83">
        <v>2.9303354E7</v>
      </c>
      <c r="G1258" s="184" t="s">
        <v>6953</v>
      </c>
      <c r="H1258" s="91" t="s">
        <v>6954</v>
      </c>
      <c r="I1258" s="172" t="s">
        <v>6955</v>
      </c>
      <c r="J1258" s="83" t="s">
        <v>150</v>
      </c>
      <c r="K1258" s="83" t="s">
        <v>151</v>
      </c>
      <c r="L1258" s="83" t="s">
        <v>152</v>
      </c>
      <c r="M1258" s="82" t="str">
        <f>IFERROR(__xludf.DUMMYFUNCTION("IFERROR(VLOOKUP(D1258,
IMPORTRANGE(""https://docs.google.com/spreadsheets/d/1MjHtlUikwobi2MaWJgy7tfLeBmhj1u-dRFRs_8GwSoA/edit#gid=0"",""Gestores Escolares!D7:J""),3,0),""VERIFICAR CÓD SEC"")"),"JUNOT BORGES DE SOUSA JUNIOR")</f>
        <v>JUNOT BORGES DE SOUSA JUNIOR</v>
      </c>
      <c r="N1258" s="82" t="str">
        <f>IFERROR(__xludf.DUMMYFUNCTION("IFERROR(VLOOKUP(D1258,
IMPORTRANGE(""https://docs.google.com/spreadsheets/d/1MjHtlUikwobi2MaWJgy7tfLeBmhj1u-dRFRs_8GwSoA/edit#gid=0"",""Gestores Escolares!D7:J""),4,0),""VERIFICAR CÓD SEC"")"),"(73) 9 8833-8883")</f>
        <v>(73) 9 8833-8883</v>
      </c>
      <c r="O1258" s="82" t="str">
        <f>IFERROR(__xludf.DUMMYFUNCTION("IFERROR(VLOOKUP(D1258,
IMPORTRANGE(""https://docs.google.com/spreadsheets/d/1MjHtlUikwobi2MaWJgy7tfLeBmhj1u-dRFRs_8GwSoA/edit#gid=0"",""Gestores Escolares!D7:J""),6,0),""VERIFICAR CÓD SEC"")")," GERALDO PEREIRA DA SILVA")</f>
        <v> GERALDO PEREIRA DA SILVA</v>
      </c>
      <c r="P1258" s="82" t="str">
        <f>IFERROR(__xludf.DUMMYFUNCTION("IFERROR(VLOOKUP(D1258,
IMPORTRANGE(""https://docs.google.com/spreadsheets/d/1MjHtlUikwobi2MaWJgy7tfLeBmhj1u-dRFRs_8GwSoA/edit#gid=0"",""Gestores Escolares!D7:J""),7,0),""VERIFICAR CÓD SEC"")"),"(73) 9 8142-5679")</f>
        <v>(73) 9 8142-5679</v>
      </c>
      <c r="Q1258" s="82" t="str">
        <f>IFERROR(__xludf.DUMMYFUNCTION("IFERROR(VLOOKUP(D1258,
IMPORTRANGE(""https://docs.google.com/spreadsheets/d/1MjHtlUikwobi2MaWJgy7tfLeBmhj1u-dRFRs_8GwSoA/edit#gid=0"",""Gestores Escolares!D7:m""),9,0),""VERIFICAR CÓD SEC"")"),"MONICA LEITE PEREIRA")</f>
        <v>MONICA LEITE PEREIRA</v>
      </c>
      <c r="R1258" s="82" t="str">
        <f>IFERROR(__xludf.DUMMYFUNCTION("IFERROR(VLOOKUP(D1258,
IMPORTRANGE(""https://docs.google.com/spreadsheets/d/1MjHtlUikwobi2MaWJgy7tfLeBmhj1u-dRFRs_8GwSoA/edit#gid=0"",""Gestores Escolares!D7:m""),10,0),""VERIFICAR CÓD SEC"")"),"(73) 9 9915-8932")</f>
        <v>(73) 9 9915-8932</v>
      </c>
      <c r="S1258" s="82"/>
      <c r="T1258" s="138">
        <v>21.0</v>
      </c>
      <c r="U1258" s="145">
        <v>22.0</v>
      </c>
      <c r="V1258" s="106">
        <v>0.0</v>
      </c>
      <c r="W1258" s="107">
        <v>0.0</v>
      </c>
      <c r="X1258" s="107">
        <v>0.0</v>
      </c>
      <c r="Y1258" s="107">
        <v>0.0</v>
      </c>
      <c r="Z1258" s="80">
        <f t="shared" si="1"/>
        <v>0</v>
      </c>
      <c r="AA1258" s="106">
        <v>0.0</v>
      </c>
      <c r="AB1258" s="107">
        <v>0.0</v>
      </c>
      <c r="AC1258" s="107">
        <v>0.0</v>
      </c>
      <c r="AD1258" s="107">
        <v>0.0</v>
      </c>
      <c r="AE1258" s="80">
        <f t="shared" si="2"/>
        <v>0</v>
      </c>
      <c r="AF1258" s="140">
        <v>201.0</v>
      </c>
      <c r="AG1258" s="109">
        <v>137.0</v>
      </c>
      <c r="AH1258" s="109">
        <v>0.0</v>
      </c>
      <c r="AI1258" s="141">
        <v>35.0</v>
      </c>
      <c r="AJ1258" s="80">
        <f t="shared" si="3"/>
        <v>373</v>
      </c>
      <c r="AK1258" s="140">
        <v>0.0</v>
      </c>
      <c r="AL1258" s="109">
        <v>0.0</v>
      </c>
      <c r="AM1258" s="141">
        <v>0.0</v>
      </c>
      <c r="AN1258" s="80">
        <f t="shared" si="4"/>
        <v>0</v>
      </c>
      <c r="AO1258" s="140">
        <v>0.0</v>
      </c>
      <c r="AP1258" s="109">
        <v>0.0</v>
      </c>
      <c r="AQ1258" s="109">
        <v>289.0</v>
      </c>
      <c r="AR1258" s="80">
        <f t="shared" si="5"/>
        <v>289</v>
      </c>
      <c r="AS1258" s="110">
        <v>0.0</v>
      </c>
      <c r="AT1258" s="110">
        <v>0.0</v>
      </c>
      <c r="AU1258" s="110">
        <v>0.0</v>
      </c>
      <c r="AV1258" s="142">
        <v>0.0</v>
      </c>
      <c r="AW1258" s="80">
        <f t="shared" si="6"/>
        <v>0</v>
      </c>
      <c r="AX1258" s="113">
        <f t="shared" si="7"/>
        <v>662</v>
      </c>
      <c r="AY1258" s="117">
        <f t="shared" si="8"/>
        <v>373</v>
      </c>
      <c r="AZ1258" s="120">
        <f t="shared" si="9"/>
        <v>289</v>
      </c>
      <c r="BA1258" s="115">
        <v>0.0</v>
      </c>
      <c r="BB1258" s="89">
        <f t="shared" si="10"/>
        <v>662</v>
      </c>
      <c r="BC1258" s="132" t="s">
        <v>178</v>
      </c>
      <c r="BD1258" s="132" t="s">
        <v>178</v>
      </c>
      <c r="BE1258" s="132" t="s">
        <v>178</v>
      </c>
      <c r="BF1258" s="123"/>
      <c r="BG1258" s="83">
        <v>1117035.0</v>
      </c>
      <c r="BH1258" s="112"/>
      <c r="BI1258" s="112">
        <v>21.0</v>
      </c>
      <c r="BJ1258" s="98" t="s">
        <v>155</v>
      </c>
      <c r="BK1258" s="99">
        <f t="shared" si="11"/>
        <v>35</v>
      </c>
      <c r="BL1258" s="99">
        <f t="shared" si="12"/>
        <v>338</v>
      </c>
      <c r="BM1258" s="99" t="str">
        <f>IFERROR(__xludf.DUMMYFUNCTION("IFERROR(VLOOKUP(BG1258,IMPORTRANGE(""https://docs.google.com/spreadsheets/d/1juPI-Fb8LD0YtltB2mlGEnp_R3UVu1t3wSFPzgCyHXE/edit?gid=0#gid=0"",""GERAL!A2:C""),3,0),""-"")"),"-")</f>
        <v>-</v>
      </c>
    </row>
    <row r="1259" ht="15.75" customHeight="1">
      <c r="A1259" s="111" t="s">
        <v>1535</v>
      </c>
      <c r="B1259" s="83" t="s">
        <v>6943</v>
      </c>
      <c r="C1259" s="83" t="s">
        <v>68</v>
      </c>
      <c r="D1259" s="112">
        <v>1166621.0</v>
      </c>
      <c r="E1259" s="83"/>
      <c r="F1259" s="83">
        <v>2.9303702E7</v>
      </c>
      <c r="G1259" s="185" t="s">
        <v>6958</v>
      </c>
      <c r="H1259" s="91" t="s">
        <v>6959</v>
      </c>
      <c r="I1259" s="83" t="s">
        <v>149</v>
      </c>
      <c r="J1259" s="83" t="s">
        <v>150</v>
      </c>
      <c r="K1259" s="83" t="s">
        <v>151</v>
      </c>
      <c r="L1259" s="83" t="s">
        <v>230</v>
      </c>
      <c r="M1259" s="82" t="str">
        <f>IFERROR(__xludf.DUMMYFUNCTION("IFERROR(VLOOKUP(D1259,
IMPORTRANGE(""https://docs.google.com/spreadsheets/d/1MjHtlUikwobi2MaWJgy7tfLeBmhj1u-dRFRs_8GwSoA/edit#gid=0"",""Gestores Escolares!D7:J""),3,0),""VERIFICAR CÓD SEC"")"),"RADIMARA BOMFIM RAMOS DA SILVA")</f>
        <v>RADIMARA BOMFIM RAMOS DA SILVA</v>
      </c>
      <c r="N1259" s="82" t="str">
        <f>IFERROR(__xludf.DUMMYFUNCTION("IFERROR(VLOOKUP(D1259,
IMPORTRANGE(""https://docs.google.com/spreadsheets/d/1MjHtlUikwobi2MaWJgy7tfLeBmhj1u-dRFRs_8GwSoA/edit#gid=0"",""Gestores Escolares!D7:J""),4,0),""VERIFICAR CÓD SEC"")"),"(73) 9 8125-6936")</f>
        <v>(73) 9 8125-6936</v>
      </c>
      <c r="O1259" s="82" t="str">
        <f>IFERROR(__xludf.DUMMYFUNCTION("IFERROR(VLOOKUP(D1259,
IMPORTRANGE(""https://docs.google.com/spreadsheets/d/1MjHtlUikwobi2MaWJgy7tfLeBmhj1u-dRFRs_8GwSoA/edit#gid=0"",""Gestores Escolares!D7:J""),6,0),""VERIFICAR CÓD SEC"")"),"MAIALA MARIA SOUZA")</f>
        <v>MAIALA MARIA SOUZA</v>
      </c>
      <c r="P1259" s="82" t="str">
        <f>IFERROR(__xludf.DUMMYFUNCTION("IFERROR(VLOOKUP(D1259,
IMPORTRANGE(""https://docs.google.com/spreadsheets/d/1MjHtlUikwobi2MaWJgy7tfLeBmhj1u-dRFRs_8GwSoA/edit#gid=0"",""Gestores Escolares!D7:J""),7,0),""VERIFICAR CÓD SEC"")"),"(73) 9 9129-3632")</f>
        <v>(73) 9 9129-3632</v>
      </c>
      <c r="Q1259" s="82" t="str">
        <f>IFERROR(__xludf.DUMMYFUNCTION("IFERROR(VLOOKUP(D1259,
IMPORTRANGE(""https://docs.google.com/spreadsheets/d/1MjHtlUikwobi2MaWJgy7tfLeBmhj1u-dRFRs_8GwSoA/edit#gid=0"",""Gestores Escolares!D7:m""),9,0),""VERIFICAR CÓD SEC"")"),"EDNEIDE ALVES NASCIMENTO PUTUMUJU")</f>
        <v>EDNEIDE ALVES NASCIMENTO PUTUMUJU</v>
      </c>
      <c r="R1259" s="82" t="str">
        <f>IFERROR(__xludf.DUMMYFUNCTION("IFERROR(VLOOKUP(D1259,
IMPORTRANGE(""https://docs.google.com/spreadsheets/d/1MjHtlUikwobi2MaWJgy7tfLeBmhj1u-dRFRs_8GwSoA/edit#gid=0"",""Gestores Escolares!D7:m""),10,0),""VERIFICAR CÓD SEC"")"),"(73) 9 9108-3819")</f>
        <v>(73) 9 9108-3819</v>
      </c>
      <c r="S1259" s="82"/>
      <c r="T1259" s="138">
        <v>13.0</v>
      </c>
      <c r="U1259" s="145" t="s">
        <v>13865</v>
      </c>
      <c r="V1259" s="106">
        <v>0.0</v>
      </c>
      <c r="W1259" s="107">
        <v>0.0</v>
      </c>
      <c r="X1259" s="107">
        <v>0.0</v>
      </c>
      <c r="Y1259" s="107">
        <v>0.0</v>
      </c>
      <c r="Z1259" s="80">
        <f t="shared" si="1"/>
        <v>0</v>
      </c>
      <c r="AA1259" s="106">
        <v>0.0</v>
      </c>
      <c r="AB1259" s="107">
        <v>0.0</v>
      </c>
      <c r="AC1259" s="107">
        <v>0.0</v>
      </c>
      <c r="AD1259" s="107">
        <v>0.0</v>
      </c>
      <c r="AE1259" s="80">
        <f t="shared" si="2"/>
        <v>0</v>
      </c>
      <c r="AF1259" s="140">
        <v>0.0</v>
      </c>
      <c r="AG1259" s="109">
        <v>0.0</v>
      </c>
      <c r="AH1259" s="109">
        <v>0.0</v>
      </c>
      <c r="AI1259" s="141">
        <v>0.0</v>
      </c>
      <c r="AJ1259" s="80">
        <f t="shared" si="3"/>
        <v>0</v>
      </c>
      <c r="AK1259" s="140">
        <v>0.0</v>
      </c>
      <c r="AL1259" s="109">
        <v>0.0</v>
      </c>
      <c r="AM1259" s="141">
        <v>0.0</v>
      </c>
      <c r="AN1259" s="80">
        <f t="shared" si="4"/>
        <v>0</v>
      </c>
      <c r="AO1259" s="140">
        <v>0.0</v>
      </c>
      <c r="AP1259" s="109">
        <v>0.0</v>
      </c>
      <c r="AQ1259" s="109">
        <v>0.0</v>
      </c>
      <c r="AR1259" s="80">
        <f t="shared" si="5"/>
        <v>0</v>
      </c>
      <c r="AS1259" s="110">
        <v>233.0</v>
      </c>
      <c r="AT1259" s="110">
        <v>279.0</v>
      </c>
      <c r="AU1259" s="110">
        <v>214.0</v>
      </c>
      <c r="AV1259" s="142">
        <v>50.0</v>
      </c>
      <c r="AW1259" s="80">
        <f t="shared" si="6"/>
        <v>776</v>
      </c>
      <c r="AX1259" s="113">
        <f t="shared" si="7"/>
        <v>776</v>
      </c>
      <c r="AY1259" s="117">
        <f t="shared" si="8"/>
        <v>562</v>
      </c>
      <c r="AZ1259" s="120">
        <f t="shared" si="9"/>
        <v>214</v>
      </c>
      <c r="BA1259" s="115">
        <v>0.0</v>
      </c>
      <c r="BB1259" s="89">
        <f t="shared" si="10"/>
        <v>776</v>
      </c>
      <c r="BC1259" s="132" t="s">
        <v>178</v>
      </c>
      <c r="BD1259" s="132" t="s">
        <v>522</v>
      </c>
      <c r="BE1259" s="132" t="s">
        <v>178</v>
      </c>
      <c r="BF1259" s="156"/>
      <c r="BG1259" s="83">
        <v>1166621.0</v>
      </c>
      <c r="BH1259" s="112"/>
      <c r="BI1259" s="112">
        <v>10.0</v>
      </c>
      <c r="BJ1259" s="98" t="s">
        <v>155</v>
      </c>
      <c r="BK1259" s="99">
        <f t="shared" si="11"/>
        <v>50</v>
      </c>
      <c r="BL1259" s="99">
        <f t="shared" si="12"/>
        <v>512</v>
      </c>
      <c r="BM1259" s="99" t="str">
        <f>IFERROR(__xludf.DUMMYFUNCTION("IFERROR(VLOOKUP(BG1259,IMPORTRANGE(""https://docs.google.com/spreadsheets/d/1juPI-Fb8LD0YtltB2mlGEnp_R3UVu1t3wSFPzgCyHXE/edit?gid=0#gid=0"",""GERAL!A2:C""),3,0),""-"")"),"-")</f>
        <v>-</v>
      </c>
    </row>
    <row r="1260" ht="15.75" customHeight="1">
      <c r="A1260" s="111" t="s">
        <v>1535</v>
      </c>
      <c r="B1260" s="83" t="s">
        <v>6943</v>
      </c>
      <c r="C1260" s="83" t="s">
        <v>68</v>
      </c>
      <c r="D1260" s="112">
        <v>1178377.0</v>
      </c>
      <c r="E1260" s="83"/>
      <c r="F1260" s="83">
        <v>2.9848792E7</v>
      </c>
      <c r="G1260" s="185" t="s">
        <v>6967</v>
      </c>
      <c r="H1260" s="91" t="s">
        <v>6968</v>
      </c>
      <c r="I1260" s="83" t="s">
        <v>149</v>
      </c>
      <c r="J1260" s="83" t="s">
        <v>150</v>
      </c>
      <c r="K1260" s="83" t="s">
        <v>151</v>
      </c>
      <c r="L1260" s="83" t="s">
        <v>230</v>
      </c>
      <c r="M1260" s="82" t="str">
        <f>IFERROR(__xludf.DUMMYFUNCTION("IFERROR(VLOOKUP(D1260,
IMPORTRANGE(""https://docs.google.com/spreadsheets/d/1MjHtlUikwobi2MaWJgy7tfLeBmhj1u-dRFRs_8GwSoA/edit#gid=0"",""Gestores Escolares!D7:J""),3,0),""VERIFICAR CÓD SEC"")"),"GENI SOUZA ZAIDAN NASSRI")</f>
        <v>GENI SOUZA ZAIDAN NASSRI</v>
      </c>
      <c r="N1260" s="82" t="str">
        <f>IFERROR(__xludf.DUMMYFUNCTION("IFERROR(VLOOKUP(D1260,
IMPORTRANGE(""https://docs.google.com/spreadsheets/d/1MjHtlUikwobi2MaWJgy7tfLeBmhj1u-dRFRs_8GwSoA/edit#gid=0"",""Gestores Escolares!D7:J""),4,0),""VERIFICAR CÓD SEC"")"),"(73) 9 9108-3832")</f>
        <v>(73) 9 9108-3832</v>
      </c>
      <c r="O1260" s="82" t="str">
        <f>IFERROR(__xludf.DUMMYFUNCTION("IFERROR(VLOOKUP(D1260,
IMPORTRANGE(""https://docs.google.com/spreadsheets/d/1MjHtlUikwobi2MaWJgy7tfLeBmhj1u-dRFRs_8GwSoA/edit#gid=0"",""Gestores Escolares!D7:J""),6,0),""VERIFICAR CÓD SEC"")"),"NARA OLIVEIRA FREIRE")</f>
        <v>NARA OLIVEIRA FREIRE</v>
      </c>
      <c r="P1260" s="82" t="str">
        <f>IFERROR(__xludf.DUMMYFUNCTION("IFERROR(VLOOKUP(D1260,
IMPORTRANGE(""https://docs.google.com/spreadsheets/d/1MjHtlUikwobi2MaWJgy7tfLeBmhj1u-dRFRs_8GwSoA/edit#gid=0"",""Gestores Escolares!D7:J""),7,0),""VERIFICAR CÓD SEC"")"),"(73) 9 9997-8818")</f>
        <v>(73) 9 9997-8818</v>
      </c>
      <c r="Q1260" s="82" t="str">
        <f>IFERROR(__xludf.DUMMYFUNCTION("IFERROR(VLOOKUP(D1260,
IMPORTRANGE(""https://docs.google.com/spreadsheets/d/1MjHtlUikwobi2MaWJgy7tfLeBmhj1u-dRFRs_8GwSoA/edit#gid=0"",""Gestores Escolares!D7:m""),9,0),""VERIFICAR CÓD SEC"")"),"LIS DA SILVA MEIRA")</f>
        <v>LIS DA SILVA MEIRA</v>
      </c>
      <c r="R1260" s="82" t="str">
        <f>IFERROR(__xludf.DUMMYFUNCTION("IFERROR(VLOOKUP(D1260,
IMPORTRANGE(""https://docs.google.com/spreadsheets/d/1MjHtlUikwobi2MaWJgy7tfLeBmhj1u-dRFRs_8GwSoA/edit#gid=0"",""Gestores Escolares!D7:m""),10,0),""VERIFICAR CÓD SEC"")"),"(73) 9 9191-1548")</f>
        <v>(73) 9 9191-1548</v>
      </c>
      <c r="S1260" s="82"/>
      <c r="T1260" s="138">
        <v>22.0</v>
      </c>
      <c r="U1260" s="139">
        <v>21.0</v>
      </c>
      <c r="V1260" s="106">
        <v>0.0</v>
      </c>
      <c r="W1260" s="107">
        <v>0.0</v>
      </c>
      <c r="X1260" s="107">
        <v>0.0</v>
      </c>
      <c r="Y1260" s="107">
        <v>0.0</v>
      </c>
      <c r="Z1260" s="80">
        <f t="shared" si="1"/>
        <v>0</v>
      </c>
      <c r="AA1260" s="106">
        <v>0.0</v>
      </c>
      <c r="AB1260" s="107">
        <v>0.0</v>
      </c>
      <c r="AC1260" s="107">
        <v>0.0</v>
      </c>
      <c r="AD1260" s="107">
        <v>0.0</v>
      </c>
      <c r="AE1260" s="80">
        <f t="shared" si="2"/>
        <v>0</v>
      </c>
      <c r="AF1260" s="140">
        <v>0.0</v>
      </c>
      <c r="AG1260" s="109">
        <v>0.0</v>
      </c>
      <c r="AH1260" s="109">
        <v>0.0</v>
      </c>
      <c r="AI1260" s="141">
        <v>0.0</v>
      </c>
      <c r="AJ1260" s="80">
        <f t="shared" si="3"/>
        <v>0</v>
      </c>
      <c r="AK1260" s="140">
        <v>0.0</v>
      </c>
      <c r="AL1260" s="109">
        <v>0.0</v>
      </c>
      <c r="AM1260" s="141">
        <v>0.0</v>
      </c>
      <c r="AN1260" s="80">
        <f t="shared" si="4"/>
        <v>0</v>
      </c>
      <c r="AO1260" s="140">
        <v>0.0</v>
      </c>
      <c r="AP1260" s="109">
        <v>0.0</v>
      </c>
      <c r="AQ1260" s="109">
        <v>0.0</v>
      </c>
      <c r="AR1260" s="80">
        <f t="shared" si="5"/>
        <v>0</v>
      </c>
      <c r="AS1260" s="110">
        <v>0.0</v>
      </c>
      <c r="AT1260" s="110">
        <v>0.0</v>
      </c>
      <c r="AU1260" s="110">
        <v>0.0</v>
      </c>
      <c r="AV1260" s="142">
        <v>0.0</v>
      </c>
      <c r="AW1260" s="80">
        <f t="shared" si="6"/>
        <v>0</v>
      </c>
      <c r="AX1260" s="113">
        <f t="shared" si="7"/>
        <v>0</v>
      </c>
      <c r="AY1260" s="117">
        <f t="shared" si="8"/>
        <v>0</v>
      </c>
      <c r="AZ1260" s="120">
        <f t="shared" si="9"/>
        <v>0</v>
      </c>
      <c r="BA1260" s="168">
        <v>1.0</v>
      </c>
      <c r="BB1260" s="89">
        <f t="shared" si="10"/>
        <v>1</v>
      </c>
      <c r="BC1260" s="132" t="s">
        <v>553</v>
      </c>
      <c r="BD1260" s="132" t="s">
        <v>554</v>
      </c>
      <c r="BE1260" s="132" t="s">
        <v>178</v>
      </c>
      <c r="BF1260" s="123"/>
      <c r="BG1260" s="83">
        <v>1178377.0</v>
      </c>
      <c r="BH1260" s="112"/>
      <c r="BI1260" s="112">
        <v>21.0</v>
      </c>
      <c r="BJ1260" s="98" t="s">
        <v>155</v>
      </c>
      <c r="BK1260" s="99">
        <f t="shared" si="11"/>
        <v>0</v>
      </c>
      <c r="BL1260" s="99">
        <f t="shared" si="12"/>
        <v>0</v>
      </c>
      <c r="BM1260" s="99" t="str">
        <f>IFERROR(__xludf.DUMMYFUNCTION("IFERROR(VLOOKUP(BG1260,IMPORTRANGE(""https://docs.google.com/spreadsheets/d/1juPI-Fb8LD0YtltB2mlGEnp_R3UVu1t3wSFPzgCyHXE/edit?gid=0#gid=0"",""GERAL!A2:C""),3,0),""-"")"),"-")</f>
        <v>-</v>
      </c>
    </row>
    <row r="1261" ht="15.75" customHeight="1">
      <c r="A1261" s="111" t="s">
        <v>1535</v>
      </c>
      <c r="B1261" s="83" t="s">
        <v>6943</v>
      </c>
      <c r="C1261" s="83" t="s">
        <v>164</v>
      </c>
      <c r="D1261" s="112">
        <v>1179277.0</v>
      </c>
      <c r="E1261" s="83">
        <v>1179256.0</v>
      </c>
      <c r="F1261" s="98">
        <v>2.9458994E7</v>
      </c>
      <c r="G1261" s="114" t="s">
        <v>6978</v>
      </c>
      <c r="H1261" s="91" t="s">
        <v>6979</v>
      </c>
      <c r="I1261" s="136" t="s">
        <v>149</v>
      </c>
      <c r="J1261" s="83" t="s">
        <v>183</v>
      </c>
      <c r="K1261" s="83" t="s">
        <v>168</v>
      </c>
      <c r="L1261" s="83" t="s">
        <v>169</v>
      </c>
      <c r="M1261" s="82" t="str">
        <f>IFERROR(__xludf.DUMMYFUNCTION("IFERROR(VLOOKUP(D1261,
IMPORTRANGE(""https://docs.google.com/spreadsheets/d/1MjHtlUikwobi2MaWJgy7tfLeBmhj1u-dRFRs_8GwSoA/edit#gid=0"",""Gestores Escolares!D7:J""),3,0),""VERIFICAR CÓD SEC"")"),"EMERSON CARLOS SOOUZA PAIM")</f>
        <v>EMERSON CARLOS SOOUZA PAIM</v>
      </c>
      <c r="N1261" s="82" t="str">
        <f>IFERROR(__xludf.DUMMYFUNCTION("IFERROR(VLOOKUP(D1261,
IMPORTRANGE(""https://docs.google.com/spreadsheets/d/1MjHtlUikwobi2MaWJgy7tfLeBmhj1u-dRFRs_8GwSoA/edit#gid=0"",""Gestores Escolares!D7:J""),4,0),""VERIFICAR CÓD SEC"")"),"(73) 9 8847-9824")</f>
        <v>(73) 9 8847-9824</v>
      </c>
      <c r="O1261" s="82" t="str">
        <f>IFERROR(__xludf.DUMMYFUNCTION("IFERROR(VLOOKUP(D1261,
IMPORTRANGE(""https://docs.google.com/spreadsheets/d/1MjHtlUikwobi2MaWJgy7tfLeBmhj1u-dRFRs_8GwSoA/edit#gid=0"",""Gestores Escolares!D7:J""),6,0),""VERIFICAR CÓD SEC"")"),"DEBORA SAMPAIO LIMA MARQUES")</f>
        <v>DEBORA SAMPAIO LIMA MARQUES</v>
      </c>
      <c r="P1261" s="82" t="str">
        <f>IFERROR(__xludf.DUMMYFUNCTION("IFERROR(VLOOKUP(D1261,
IMPORTRANGE(""https://docs.google.com/spreadsheets/d/1MjHtlUikwobi2MaWJgy7tfLeBmhj1u-dRFRs_8GwSoA/edit#gid=0"",""Gestores Escolares!D7:J""),7,0),""VERIFICAR CÓD SEC"")"),"(73) 9 8838-5472")</f>
        <v>(73) 9 8838-5472</v>
      </c>
      <c r="Q1261" s="82" t="str">
        <f>IFERROR(__xludf.DUMMYFUNCTION("IFERROR(VLOOKUP(D1261,
IMPORTRANGE(""https://docs.google.com/spreadsheets/d/1MjHtlUikwobi2MaWJgy7tfLeBmhj1u-dRFRs_8GwSoA/edit#gid=0"",""Gestores Escolares!D7:m""),9,0),""VERIFICAR CÓD SEC"")"),"")</f>
        <v/>
      </c>
      <c r="R1261" s="82" t="str">
        <f>IFERROR(__xludf.DUMMYFUNCTION("IFERROR(VLOOKUP(D1261,
IMPORTRANGE(""https://docs.google.com/spreadsheets/d/1MjHtlUikwobi2MaWJgy7tfLeBmhj1u-dRFRs_8GwSoA/edit#gid=0"",""Gestores Escolares!D7:m""),10,0),""VERIFICAR CÓD SEC"")"),"")</f>
        <v/>
      </c>
      <c r="S1261" s="82"/>
      <c r="T1261" s="138">
        <v>3.0</v>
      </c>
      <c r="U1261" s="139">
        <v>3.0</v>
      </c>
      <c r="V1261" s="106">
        <v>0.0</v>
      </c>
      <c r="W1261" s="107">
        <v>0.0</v>
      </c>
      <c r="X1261" s="107">
        <v>0.0</v>
      </c>
      <c r="Y1261" s="107">
        <v>0.0</v>
      </c>
      <c r="Z1261" s="80">
        <f t="shared" si="1"/>
        <v>0</v>
      </c>
      <c r="AA1261" s="106">
        <v>0.0</v>
      </c>
      <c r="AB1261" s="107">
        <v>0.0</v>
      </c>
      <c r="AC1261" s="107">
        <v>0.0</v>
      </c>
      <c r="AD1261" s="107">
        <v>0.0</v>
      </c>
      <c r="AE1261" s="80">
        <f t="shared" si="2"/>
        <v>0</v>
      </c>
      <c r="AF1261" s="140">
        <v>0.0</v>
      </c>
      <c r="AG1261" s="109">
        <v>0.0</v>
      </c>
      <c r="AH1261" s="109">
        <v>37.0</v>
      </c>
      <c r="AI1261" s="141">
        <v>0.0</v>
      </c>
      <c r="AJ1261" s="80">
        <f t="shared" si="3"/>
        <v>37</v>
      </c>
      <c r="AK1261" s="140">
        <v>0.0</v>
      </c>
      <c r="AL1261" s="109">
        <v>0.0</v>
      </c>
      <c r="AM1261" s="141">
        <v>0.0</v>
      </c>
      <c r="AN1261" s="80">
        <f t="shared" si="4"/>
        <v>0</v>
      </c>
      <c r="AO1261" s="140">
        <v>0.0</v>
      </c>
      <c r="AP1261" s="109">
        <v>0.0</v>
      </c>
      <c r="AQ1261" s="109">
        <v>0.0</v>
      </c>
      <c r="AR1261" s="80">
        <f t="shared" si="5"/>
        <v>0</v>
      </c>
      <c r="AS1261" s="110">
        <v>0.0</v>
      </c>
      <c r="AT1261" s="110">
        <v>0.0</v>
      </c>
      <c r="AU1261" s="110">
        <v>0.0</v>
      </c>
      <c r="AV1261" s="142">
        <v>0.0</v>
      </c>
      <c r="AW1261" s="80">
        <f t="shared" si="6"/>
        <v>0</v>
      </c>
      <c r="AX1261" s="113">
        <f t="shared" si="7"/>
        <v>37</v>
      </c>
      <c r="AY1261" s="117">
        <f t="shared" si="8"/>
        <v>0</v>
      </c>
      <c r="AZ1261" s="120">
        <f t="shared" si="9"/>
        <v>37</v>
      </c>
      <c r="BA1261" s="115">
        <v>0.0</v>
      </c>
      <c r="BB1261" s="89">
        <f t="shared" si="10"/>
        <v>37</v>
      </c>
      <c r="BC1261" s="132" t="s">
        <v>178</v>
      </c>
      <c r="BD1261" s="143" t="s">
        <v>227</v>
      </c>
      <c r="BE1261" s="132" t="s">
        <v>178</v>
      </c>
      <c r="BF1261" s="156"/>
      <c r="BG1261" s="83">
        <v>1179256.0</v>
      </c>
      <c r="BH1261" s="112"/>
      <c r="BI1261" s="112">
        <v>3.0</v>
      </c>
      <c r="BJ1261" s="98" t="s">
        <v>155</v>
      </c>
      <c r="BK1261" s="99">
        <f t="shared" si="11"/>
        <v>0</v>
      </c>
      <c r="BL1261" s="99">
        <f t="shared" si="12"/>
        <v>0</v>
      </c>
      <c r="BM1261" s="99" t="str">
        <f>IFERROR(__xludf.DUMMYFUNCTION("IFERROR(VLOOKUP(BG1261,IMPORTRANGE(""https://docs.google.com/spreadsheets/d/1juPI-Fb8LD0YtltB2mlGEnp_R3UVu1t3wSFPzgCyHXE/edit?gid=0#gid=0"",""GERAL!A2:C""),3,0),""-"")"),"-")</f>
        <v>-</v>
      </c>
    </row>
    <row r="1262" ht="15.75" customHeight="1">
      <c r="A1262" s="111" t="s">
        <v>1535</v>
      </c>
      <c r="B1262" s="83" t="s">
        <v>6980</v>
      </c>
      <c r="C1262" s="83" t="s">
        <v>68</v>
      </c>
      <c r="D1262" s="112">
        <v>1178015.0</v>
      </c>
      <c r="E1262" s="83"/>
      <c r="F1262" s="83">
        <v>2.9429005E7</v>
      </c>
      <c r="G1262" s="114" t="s">
        <v>6981</v>
      </c>
      <c r="H1262" s="91" t="s">
        <v>6982</v>
      </c>
      <c r="I1262" s="83" t="s">
        <v>149</v>
      </c>
      <c r="J1262" s="83" t="s">
        <v>150</v>
      </c>
      <c r="K1262" s="83" t="s">
        <v>151</v>
      </c>
      <c r="L1262" s="83" t="s">
        <v>152</v>
      </c>
      <c r="M1262" s="82" t="str">
        <f>IFERROR(__xludf.DUMMYFUNCTION("IFERROR(VLOOKUP(D1262,
IMPORTRANGE(""https://docs.google.com/spreadsheets/d/1MjHtlUikwobi2MaWJgy7tfLeBmhj1u-dRFRs_8GwSoA/edit#gid=0"",""Gestores Escolares!D7:J""),3,0),""VERIFICAR CÓD SEC"")"),"JOSÉ MAGNO RIBEIRO AGUIAR")</f>
        <v>JOSÉ MAGNO RIBEIRO AGUIAR</v>
      </c>
      <c r="N1262" s="82" t="str">
        <f>IFERROR(__xludf.DUMMYFUNCTION("IFERROR(VLOOKUP(D1262,
IMPORTRANGE(""https://docs.google.com/spreadsheets/d/1MjHtlUikwobi2MaWJgy7tfLeBmhj1u-dRFRs_8GwSoA/edit#gid=0"",""Gestores Escolares!D7:J""),4,0),""VERIFICAR CÓD SEC"")"),"(73) 9 9824-7787")</f>
        <v>(73) 9 9824-7787</v>
      </c>
      <c r="O1262" s="82" t="str">
        <f>IFERROR(__xludf.DUMMYFUNCTION("IFERROR(VLOOKUP(D1262,
IMPORTRANGE(""https://docs.google.com/spreadsheets/d/1MjHtlUikwobi2MaWJgy7tfLeBmhj1u-dRFRs_8GwSoA/edit#gid=0"",""Gestores Escolares!D7:J""),6,0),""VERIFICAR CÓD SEC"")"),"NILSON BISPO DE SOUZA")</f>
        <v>NILSON BISPO DE SOUZA</v>
      </c>
      <c r="P1262" s="82" t="str">
        <f>IFERROR(__xludf.DUMMYFUNCTION("IFERROR(VLOOKUP(D1262,
IMPORTRANGE(""https://docs.google.com/spreadsheets/d/1MjHtlUikwobi2MaWJgy7tfLeBmhj1u-dRFRs_8GwSoA/edit#gid=0"",""Gestores Escolares!D7:J""),7,0),""VERIFICAR CÓD SEC"")"),"(73) 9 9925-5986")</f>
        <v>(73) 9 9925-5986</v>
      </c>
      <c r="Q1262" s="82" t="str">
        <f>IFERROR(__xludf.DUMMYFUNCTION("IFERROR(VLOOKUP(D1262,
IMPORTRANGE(""https://docs.google.com/spreadsheets/d/1MjHtlUikwobi2MaWJgy7tfLeBmhj1u-dRFRs_8GwSoA/edit#gid=0"",""Gestores Escolares!D7:m""),9,0),""VERIFICAR CÓD SEC"")"),"LINDAURA GOMES MACIEL")</f>
        <v>LINDAURA GOMES MACIEL</v>
      </c>
      <c r="R1262" s="82" t="str">
        <f>IFERROR(__xludf.DUMMYFUNCTION("IFERROR(VLOOKUP(D1262,
IMPORTRANGE(""https://docs.google.com/spreadsheets/d/1MjHtlUikwobi2MaWJgy7tfLeBmhj1u-dRFRs_8GwSoA/edit#gid=0"",""Gestores Escolares!D7:m""),10,0),""VERIFICAR CÓD SEC"")"),"")</f>
        <v/>
      </c>
      <c r="S1262" s="82"/>
      <c r="T1262" s="138">
        <v>9.0</v>
      </c>
      <c r="U1262" s="145" t="s">
        <v>13866</v>
      </c>
      <c r="V1262" s="106">
        <v>0.0</v>
      </c>
      <c r="W1262" s="107">
        <v>0.0</v>
      </c>
      <c r="X1262" s="107">
        <v>0.0</v>
      </c>
      <c r="Y1262" s="107">
        <v>0.0</v>
      </c>
      <c r="Z1262" s="80">
        <f t="shared" si="1"/>
        <v>0</v>
      </c>
      <c r="AA1262" s="106">
        <v>0.0</v>
      </c>
      <c r="AB1262" s="107">
        <v>0.0</v>
      </c>
      <c r="AC1262" s="107">
        <v>0.0</v>
      </c>
      <c r="AD1262" s="107">
        <v>0.0</v>
      </c>
      <c r="AE1262" s="80">
        <f t="shared" si="2"/>
        <v>0</v>
      </c>
      <c r="AF1262" s="140">
        <v>168.0</v>
      </c>
      <c r="AG1262" s="109">
        <v>79.0</v>
      </c>
      <c r="AH1262" s="109">
        <v>0.0</v>
      </c>
      <c r="AI1262" s="141">
        <v>74.0</v>
      </c>
      <c r="AJ1262" s="80">
        <f t="shared" si="3"/>
        <v>321</v>
      </c>
      <c r="AK1262" s="140">
        <v>0.0</v>
      </c>
      <c r="AL1262" s="109">
        <v>0.0</v>
      </c>
      <c r="AM1262" s="141">
        <v>0.0</v>
      </c>
      <c r="AN1262" s="80">
        <f t="shared" si="4"/>
        <v>0</v>
      </c>
      <c r="AO1262" s="140">
        <v>0.0</v>
      </c>
      <c r="AP1262" s="109">
        <v>0.0</v>
      </c>
      <c r="AQ1262" s="109">
        <v>100.0</v>
      </c>
      <c r="AR1262" s="80">
        <f t="shared" si="5"/>
        <v>100</v>
      </c>
      <c r="AS1262" s="110">
        <v>0.0</v>
      </c>
      <c r="AT1262" s="110">
        <v>0.0</v>
      </c>
      <c r="AU1262" s="110">
        <v>13.0</v>
      </c>
      <c r="AV1262" s="142">
        <v>26.0</v>
      </c>
      <c r="AW1262" s="80">
        <f t="shared" si="6"/>
        <v>39</v>
      </c>
      <c r="AX1262" s="113">
        <f t="shared" si="7"/>
        <v>460</v>
      </c>
      <c r="AY1262" s="117">
        <f t="shared" si="8"/>
        <v>347</v>
      </c>
      <c r="AZ1262" s="120">
        <f t="shared" si="9"/>
        <v>113</v>
      </c>
      <c r="BA1262" s="115">
        <v>0.0</v>
      </c>
      <c r="BB1262" s="89">
        <f t="shared" si="10"/>
        <v>460</v>
      </c>
      <c r="BC1262" s="132" t="s">
        <v>178</v>
      </c>
      <c r="BD1262" s="132" t="s">
        <v>178</v>
      </c>
      <c r="BE1262" s="132" t="s">
        <v>178</v>
      </c>
      <c r="BF1262" s="123"/>
      <c r="BG1262" s="83">
        <v>1178015.0</v>
      </c>
      <c r="BH1262" s="112"/>
      <c r="BI1262" s="112">
        <v>8.0</v>
      </c>
      <c r="BJ1262" s="98" t="s">
        <v>155</v>
      </c>
      <c r="BK1262" s="99">
        <f t="shared" si="11"/>
        <v>100</v>
      </c>
      <c r="BL1262" s="99">
        <f t="shared" si="12"/>
        <v>247</v>
      </c>
      <c r="BM1262" s="99" t="str">
        <f>IFERROR(__xludf.DUMMYFUNCTION("IFERROR(VLOOKUP(BG1262,IMPORTRANGE(""https://docs.google.com/spreadsheets/d/1juPI-Fb8LD0YtltB2mlGEnp_R3UVu1t3wSFPzgCyHXE/edit?gid=0#gid=0"",""GERAL!A2:C""),3,0),""-"")"),"-")</f>
        <v>-</v>
      </c>
    </row>
    <row r="1263" ht="15.75" customHeight="1">
      <c r="A1263" s="111" t="s">
        <v>1535</v>
      </c>
      <c r="B1263" s="83" t="s">
        <v>6986</v>
      </c>
      <c r="C1263" s="83" t="s">
        <v>68</v>
      </c>
      <c r="D1263" s="112">
        <v>1117434.0</v>
      </c>
      <c r="E1263" s="83"/>
      <c r="F1263" s="83">
        <v>2.9307759E7</v>
      </c>
      <c r="G1263" s="119" t="s">
        <v>6987</v>
      </c>
      <c r="H1263" s="91" t="s">
        <v>6988</v>
      </c>
      <c r="I1263" s="83" t="s">
        <v>149</v>
      </c>
      <c r="J1263" s="83" t="s">
        <v>150</v>
      </c>
      <c r="K1263" s="83" t="s">
        <v>151</v>
      </c>
      <c r="L1263" s="83" t="s">
        <v>152</v>
      </c>
      <c r="M1263" s="82" t="str">
        <f>IFERROR(__xludf.DUMMYFUNCTION("IFERROR(VLOOKUP(D1263,
IMPORTRANGE(""https://docs.google.com/spreadsheets/d/1MjHtlUikwobi2MaWJgy7tfLeBmhj1u-dRFRs_8GwSoA/edit#gid=0"",""Gestores Escolares!D7:J""),3,0),""VERIFICAR CÓD SEC"")"),"PAULA LEONOR MARCELO MIRANDA SAMPAIO")</f>
        <v>PAULA LEONOR MARCELO MIRANDA SAMPAIO</v>
      </c>
      <c r="N1263" s="82" t="str">
        <f>IFERROR(__xludf.DUMMYFUNCTION("IFERROR(VLOOKUP(D1263,
IMPORTRANGE(""https://docs.google.com/spreadsheets/d/1MjHtlUikwobi2MaWJgy7tfLeBmhj1u-dRFRs_8GwSoA/edit#gid=0"",""Gestores Escolares!D7:J""),4,0),""VERIFICAR CÓD SEC"")"),"(73) 9 8152-3497")</f>
        <v>(73) 9 8152-3497</v>
      </c>
      <c r="O1263" s="82" t="str">
        <f>IFERROR(__xludf.DUMMYFUNCTION("IFERROR(VLOOKUP(D1263,
IMPORTRANGE(""https://docs.google.com/spreadsheets/d/1MjHtlUikwobi2MaWJgy7tfLeBmhj1u-dRFRs_8GwSoA/edit#gid=0"",""Gestores Escolares!D7:J""),6,0),""VERIFICAR CÓD SEC"")"),"RUBIA SANTANA SOUZA GOMES")</f>
        <v>RUBIA SANTANA SOUZA GOMES</v>
      </c>
      <c r="P1263" s="82" t="str">
        <f>IFERROR(__xludf.DUMMYFUNCTION("IFERROR(VLOOKUP(D1263,
IMPORTRANGE(""https://docs.google.com/spreadsheets/d/1MjHtlUikwobi2MaWJgy7tfLeBmhj1u-dRFRs_8GwSoA/edit#gid=0"",""Gestores Escolares!D7:J""),7,0),""VERIFICAR CÓD SEC"")"),"(73) 9 8136-5376")</f>
        <v>(73) 9 8136-5376</v>
      </c>
      <c r="Q1263" s="82" t="str">
        <f>IFERROR(__xludf.DUMMYFUNCTION("IFERROR(VLOOKUP(D1263,
IMPORTRANGE(""https://docs.google.com/spreadsheets/d/1MjHtlUikwobi2MaWJgy7tfLeBmhj1u-dRFRs_8GwSoA/edit#gid=0"",""Gestores Escolares!D7:m""),9,0),""VERIFICAR CÓD SEC"")"),"DIEGO TELES DA SILVA")</f>
        <v>DIEGO TELES DA SILVA</v>
      </c>
      <c r="R1263" s="82" t="str">
        <f>IFERROR(__xludf.DUMMYFUNCTION("IFERROR(VLOOKUP(D1263,
IMPORTRANGE(""https://docs.google.com/spreadsheets/d/1MjHtlUikwobi2MaWJgy7tfLeBmhj1u-dRFRs_8GwSoA/edit#gid=0"",""Gestores Escolares!D7:m""),10,0),""VERIFICAR CÓD SEC"")"),"(73) 9 8123-0933")</f>
        <v>(73) 9 8123-0933</v>
      </c>
      <c r="S1263" s="82"/>
      <c r="T1263" s="138">
        <v>8.0</v>
      </c>
      <c r="U1263" s="217" t="s">
        <v>13867</v>
      </c>
      <c r="V1263" s="106">
        <v>0.0</v>
      </c>
      <c r="W1263" s="107">
        <v>0.0</v>
      </c>
      <c r="X1263" s="107">
        <v>0.0</v>
      </c>
      <c r="Y1263" s="107">
        <v>0.0</v>
      </c>
      <c r="Z1263" s="80">
        <f t="shared" si="1"/>
        <v>0</v>
      </c>
      <c r="AA1263" s="106">
        <v>0.0</v>
      </c>
      <c r="AB1263" s="107">
        <v>0.0</v>
      </c>
      <c r="AC1263" s="107">
        <v>0.0</v>
      </c>
      <c r="AD1263" s="107">
        <v>0.0</v>
      </c>
      <c r="AE1263" s="80">
        <f t="shared" si="2"/>
        <v>0</v>
      </c>
      <c r="AF1263" s="140">
        <v>0.0</v>
      </c>
      <c r="AG1263" s="109">
        <v>0.0</v>
      </c>
      <c r="AH1263" s="109">
        <v>0.0</v>
      </c>
      <c r="AI1263" s="141">
        <v>237.0</v>
      </c>
      <c r="AJ1263" s="80">
        <f t="shared" si="3"/>
        <v>237</v>
      </c>
      <c r="AK1263" s="140">
        <v>0.0</v>
      </c>
      <c r="AL1263" s="109">
        <v>0.0</v>
      </c>
      <c r="AM1263" s="141">
        <v>0.0</v>
      </c>
      <c r="AN1263" s="80">
        <f t="shared" si="4"/>
        <v>0</v>
      </c>
      <c r="AO1263" s="140">
        <v>0.0</v>
      </c>
      <c r="AP1263" s="109">
        <v>0.0</v>
      </c>
      <c r="AQ1263" s="109">
        <v>93.0</v>
      </c>
      <c r="AR1263" s="80">
        <f t="shared" si="5"/>
        <v>93</v>
      </c>
      <c r="AS1263" s="110">
        <v>0.0</v>
      </c>
      <c r="AT1263" s="110">
        <v>0.0</v>
      </c>
      <c r="AU1263" s="110">
        <v>27.0</v>
      </c>
      <c r="AV1263" s="142">
        <v>71.0</v>
      </c>
      <c r="AW1263" s="80">
        <f t="shared" si="6"/>
        <v>98</v>
      </c>
      <c r="AX1263" s="113">
        <f t="shared" si="7"/>
        <v>428</v>
      </c>
      <c r="AY1263" s="117">
        <f t="shared" si="8"/>
        <v>308</v>
      </c>
      <c r="AZ1263" s="120">
        <f t="shared" si="9"/>
        <v>120</v>
      </c>
      <c r="BA1263" s="115">
        <v>0.0</v>
      </c>
      <c r="BB1263" s="89">
        <f t="shared" si="10"/>
        <v>428</v>
      </c>
      <c r="BC1263" s="132" t="s">
        <v>178</v>
      </c>
      <c r="BD1263" s="132" t="s">
        <v>178</v>
      </c>
      <c r="BE1263" s="132" t="s">
        <v>178</v>
      </c>
      <c r="BF1263" s="123"/>
      <c r="BG1263" s="83">
        <v>1117434.0</v>
      </c>
      <c r="BH1263" s="112"/>
      <c r="BI1263" s="112">
        <v>7.0</v>
      </c>
      <c r="BJ1263" s="98" t="s">
        <v>155</v>
      </c>
      <c r="BK1263" s="99">
        <f t="shared" si="11"/>
        <v>308</v>
      </c>
      <c r="BL1263" s="99">
        <f t="shared" si="12"/>
        <v>0</v>
      </c>
      <c r="BM1263" s="99" t="str">
        <f>IFERROR(__xludf.DUMMYFUNCTION("IFERROR(VLOOKUP(BG1263,IMPORTRANGE(""https://docs.google.com/spreadsheets/d/1juPI-Fb8LD0YtltB2mlGEnp_R3UVu1t3wSFPzgCyHXE/edit?gid=0#gid=0"",""GERAL!A2:C""),3,0),""-"")"),"-")</f>
        <v>-</v>
      </c>
    </row>
    <row r="1264" ht="15.75" customHeight="1">
      <c r="A1264" s="111" t="s">
        <v>1535</v>
      </c>
      <c r="B1264" s="83" t="s">
        <v>6986</v>
      </c>
      <c r="C1264" s="83" t="s">
        <v>164</v>
      </c>
      <c r="D1264" s="112">
        <v>1179277.0</v>
      </c>
      <c r="E1264" s="83">
        <v>1178627.0</v>
      </c>
      <c r="F1264" s="98">
        <v>2.9458994E7</v>
      </c>
      <c r="G1264" s="114" t="s">
        <v>7002</v>
      </c>
      <c r="H1264" s="91" t="s">
        <v>7004</v>
      </c>
      <c r="I1264" s="136" t="s">
        <v>149</v>
      </c>
      <c r="J1264" s="83" t="s">
        <v>1347</v>
      </c>
      <c r="K1264" s="83" t="s">
        <v>151</v>
      </c>
      <c r="L1264" s="83" t="s">
        <v>169</v>
      </c>
      <c r="M1264" s="82" t="str">
        <f>IFERROR(__xludf.DUMMYFUNCTION("IFERROR(VLOOKUP(D1264,
IMPORTRANGE(""https://docs.google.com/spreadsheets/d/1MjHtlUikwobi2MaWJgy7tfLeBmhj1u-dRFRs_8GwSoA/edit#gid=0"",""Gestores Escolares!D7:J""),3,0),""VERIFICAR CÓD SEC"")"),"EMERSON CARLOS SOOUZA PAIM")</f>
        <v>EMERSON CARLOS SOOUZA PAIM</v>
      </c>
      <c r="N1264" s="82" t="str">
        <f>IFERROR(__xludf.DUMMYFUNCTION("IFERROR(VLOOKUP(D1264,
IMPORTRANGE(""https://docs.google.com/spreadsheets/d/1MjHtlUikwobi2MaWJgy7tfLeBmhj1u-dRFRs_8GwSoA/edit#gid=0"",""Gestores Escolares!D7:J""),4,0),""VERIFICAR CÓD SEC"")"),"(73) 9 8847-9824")</f>
        <v>(73) 9 8847-9824</v>
      </c>
      <c r="O1264" s="82" t="str">
        <f>IFERROR(__xludf.DUMMYFUNCTION("IFERROR(VLOOKUP(D1264,
IMPORTRANGE(""https://docs.google.com/spreadsheets/d/1MjHtlUikwobi2MaWJgy7tfLeBmhj1u-dRFRs_8GwSoA/edit#gid=0"",""Gestores Escolares!D7:J""),6,0),""VERIFICAR CÓD SEC"")"),"DEBORA SAMPAIO LIMA MARQUES")</f>
        <v>DEBORA SAMPAIO LIMA MARQUES</v>
      </c>
      <c r="P1264" s="82" t="str">
        <f>IFERROR(__xludf.DUMMYFUNCTION("IFERROR(VLOOKUP(D1264,
IMPORTRANGE(""https://docs.google.com/spreadsheets/d/1MjHtlUikwobi2MaWJgy7tfLeBmhj1u-dRFRs_8GwSoA/edit#gid=0"",""Gestores Escolares!D7:J""),7,0),""VERIFICAR CÓD SEC"")"),"(73) 9 8838-5472")</f>
        <v>(73) 9 8838-5472</v>
      </c>
      <c r="Q1264" s="82" t="str">
        <f>IFERROR(__xludf.DUMMYFUNCTION("IFERROR(VLOOKUP(D1264,
IMPORTRANGE(""https://docs.google.com/spreadsheets/d/1MjHtlUikwobi2MaWJgy7tfLeBmhj1u-dRFRs_8GwSoA/edit#gid=0"",""Gestores Escolares!D7:m""),9,0),""VERIFICAR CÓD SEC"")"),"")</f>
        <v/>
      </c>
      <c r="R1264" s="82" t="str">
        <f>IFERROR(__xludf.DUMMYFUNCTION("IFERROR(VLOOKUP(D1264,
IMPORTRANGE(""https://docs.google.com/spreadsheets/d/1MjHtlUikwobi2MaWJgy7tfLeBmhj1u-dRFRs_8GwSoA/edit#gid=0"",""Gestores Escolares!D7:m""),10,0),""VERIFICAR CÓD SEC"")"),"")</f>
        <v/>
      </c>
      <c r="S1264" s="82"/>
      <c r="T1264" s="138">
        <v>2.0</v>
      </c>
      <c r="U1264" s="152">
        <v>2.0</v>
      </c>
      <c r="V1264" s="106">
        <v>0.0</v>
      </c>
      <c r="W1264" s="107">
        <v>0.0</v>
      </c>
      <c r="X1264" s="107">
        <v>0.0</v>
      </c>
      <c r="Y1264" s="107">
        <v>0.0</v>
      </c>
      <c r="Z1264" s="80">
        <f t="shared" si="1"/>
        <v>0</v>
      </c>
      <c r="AA1264" s="106">
        <v>0.0</v>
      </c>
      <c r="AB1264" s="107">
        <v>0.0</v>
      </c>
      <c r="AC1264" s="107">
        <v>0.0</v>
      </c>
      <c r="AD1264" s="107">
        <v>0.0</v>
      </c>
      <c r="AE1264" s="80">
        <f t="shared" si="2"/>
        <v>0</v>
      </c>
      <c r="AF1264" s="140">
        <v>0.0</v>
      </c>
      <c r="AG1264" s="109">
        <v>0.0</v>
      </c>
      <c r="AH1264" s="109">
        <v>12.0</v>
      </c>
      <c r="AI1264" s="141">
        <v>0.0</v>
      </c>
      <c r="AJ1264" s="80">
        <f t="shared" si="3"/>
        <v>12</v>
      </c>
      <c r="AK1264" s="140">
        <v>0.0</v>
      </c>
      <c r="AL1264" s="109">
        <v>0.0</v>
      </c>
      <c r="AM1264" s="141">
        <v>0.0</v>
      </c>
      <c r="AN1264" s="80">
        <f t="shared" si="4"/>
        <v>0</v>
      </c>
      <c r="AO1264" s="140">
        <v>0.0</v>
      </c>
      <c r="AP1264" s="109">
        <v>0.0</v>
      </c>
      <c r="AQ1264" s="109">
        <v>0.0</v>
      </c>
      <c r="AR1264" s="80">
        <f t="shared" si="5"/>
        <v>0</v>
      </c>
      <c r="AS1264" s="110">
        <v>0.0</v>
      </c>
      <c r="AT1264" s="110">
        <v>0.0</v>
      </c>
      <c r="AU1264" s="110">
        <v>0.0</v>
      </c>
      <c r="AV1264" s="142">
        <v>0.0</v>
      </c>
      <c r="AW1264" s="80">
        <f t="shared" si="6"/>
        <v>0</v>
      </c>
      <c r="AX1264" s="113">
        <f t="shared" si="7"/>
        <v>12</v>
      </c>
      <c r="AY1264" s="117">
        <f t="shared" si="8"/>
        <v>0</v>
      </c>
      <c r="AZ1264" s="120">
        <f t="shared" si="9"/>
        <v>12</v>
      </c>
      <c r="BA1264" s="115">
        <v>0.0</v>
      </c>
      <c r="BB1264" s="89">
        <f t="shared" si="10"/>
        <v>12</v>
      </c>
      <c r="BC1264" s="132" t="s">
        <v>178</v>
      </c>
      <c r="BD1264" s="143" t="s">
        <v>227</v>
      </c>
      <c r="BE1264" s="132" t="s">
        <v>178</v>
      </c>
      <c r="BF1264" s="123"/>
      <c r="BG1264" s="83">
        <v>1178627.0</v>
      </c>
      <c r="BH1264" s="112"/>
      <c r="BI1264" s="112">
        <v>2.0</v>
      </c>
      <c r="BJ1264" s="98" t="s">
        <v>155</v>
      </c>
      <c r="BK1264" s="99">
        <f t="shared" si="11"/>
        <v>0</v>
      </c>
      <c r="BL1264" s="99">
        <f t="shared" si="12"/>
        <v>0</v>
      </c>
      <c r="BM1264" s="99" t="str">
        <f>IFERROR(__xludf.DUMMYFUNCTION("IFERROR(VLOOKUP(BG1264,IMPORTRANGE(""https://docs.google.com/spreadsheets/d/1juPI-Fb8LD0YtltB2mlGEnp_R3UVu1t3wSFPzgCyHXE/edit?gid=0#gid=0"",""GERAL!A2:C""),3,0),""-"")"),"-")</f>
        <v>-</v>
      </c>
    </row>
    <row r="1265" ht="15.75" customHeight="1">
      <c r="A1265" s="111" t="s">
        <v>1535</v>
      </c>
      <c r="B1265" s="83" t="s">
        <v>7005</v>
      </c>
      <c r="C1265" s="83" t="s">
        <v>68</v>
      </c>
      <c r="D1265" s="112">
        <v>1110294.0</v>
      </c>
      <c r="E1265" s="83"/>
      <c r="F1265" s="83">
        <v>2.9309034E7</v>
      </c>
      <c r="G1265" s="119" t="s">
        <v>7009</v>
      </c>
      <c r="H1265" s="91" t="s">
        <v>7010</v>
      </c>
      <c r="I1265" s="83" t="s">
        <v>149</v>
      </c>
      <c r="J1265" s="83" t="s">
        <v>150</v>
      </c>
      <c r="K1265" s="83" t="s">
        <v>151</v>
      </c>
      <c r="L1265" s="83" t="s">
        <v>76</v>
      </c>
      <c r="M1265" s="82" t="str">
        <f>IFERROR(__xludf.DUMMYFUNCTION("IFERROR(VLOOKUP(D1265,
IMPORTRANGE(""https://docs.google.com/spreadsheets/d/1MjHtlUikwobi2MaWJgy7tfLeBmhj1u-dRFRs_8GwSoA/edit#gid=0"",""Gestores Escolares!D7:J""),3,0),""VERIFICAR CÓD SEC"")"),"TAIANA ARAUJO VENEGEROLES")</f>
        <v>TAIANA ARAUJO VENEGEROLES</v>
      </c>
      <c r="N1265" s="82" t="str">
        <f>IFERROR(__xludf.DUMMYFUNCTION("IFERROR(VLOOKUP(D1265,
IMPORTRANGE(""https://docs.google.com/spreadsheets/d/1MjHtlUikwobi2MaWJgy7tfLeBmhj1u-dRFRs_8GwSoA/edit#gid=0"",""Gestores Escolares!D7:J""),4,0),""VERIFICAR CÓD SEC"")"),"(73) 9 8876-5486/
9 9914-9033")</f>
        <v>(73) 9 8876-5486/
9 9914-9033</v>
      </c>
      <c r="O1265" s="82" t="str">
        <f>IFERROR(__xludf.DUMMYFUNCTION("IFERROR(VLOOKUP(D1265,
IMPORTRANGE(""https://docs.google.com/spreadsheets/d/1MjHtlUikwobi2MaWJgy7tfLeBmhj1u-dRFRs_8GwSoA/edit#gid=0"",""Gestores Escolares!D7:J""),6,0),""VERIFICAR CÓD SEC"")"),"RAMIRIS CESAR SOUZA MORAES")</f>
        <v>RAMIRIS CESAR SOUZA MORAES</v>
      </c>
      <c r="P1265" s="82" t="str">
        <f>IFERROR(__xludf.DUMMYFUNCTION("IFERROR(VLOOKUP(D1265,
IMPORTRANGE(""https://docs.google.com/spreadsheets/d/1MjHtlUikwobi2MaWJgy7tfLeBmhj1u-dRFRs_8GwSoA/edit#gid=0"",""Gestores Escolares!D7:J""),7,0),""VERIFICAR CÓD SEC"")"),"(73) 9 9826-2626")</f>
        <v>(73) 9 9826-2626</v>
      </c>
      <c r="Q1265" s="82" t="str">
        <f>IFERROR(__xludf.DUMMYFUNCTION("IFERROR(VLOOKUP(D1265,
IMPORTRANGE(""https://docs.google.com/spreadsheets/d/1MjHtlUikwobi2MaWJgy7tfLeBmhj1u-dRFRs_8GwSoA/edit#gid=0"",""Gestores Escolares!D7:m""),9,0),""VERIFICAR CÓD SEC"")"),"")</f>
        <v/>
      </c>
      <c r="R1265" s="82" t="str">
        <f>IFERROR(__xludf.DUMMYFUNCTION("IFERROR(VLOOKUP(D1265,
IMPORTRANGE(""https://docs.google.com/spreadsheets/d/1MjHtlUikwobi2MaWJgy7tfLeBmhj1u-dRFRs_8GwSoA/edit#gid=0"",""Gestores Escolares!D7:m""),10,0),""VERIFICAR CÓD SEC"")"),"")</f>
        <v/>
      </c>
      <c r="S1265" s="82"/>
      <c r="T1265" s="138">
        <v>8.0</v>
      </c>
      <c r="U1265" s="145">
        <v>7.0</v>
      </c>
      <c r="V1265" s="106">
        <v>0.0</v>
      </c>
      <c r="W1265" s="107">
        <v>0.0</v>
      </c>
      <c r="X1265" s="107">
        <v>0.0</v>
      </c>
      <c r="Y1265" s="107">
        <v>0.0</v>
      </c>
      <c r="Z1265" s="80">
        <f t="shared" si="1"/>
        <v>0</v>
      </c>
      <c r="AA1265" s="106">
        <v>0.0</v>
      </c>
      <c r="AB1265" s="107">
        <v>0.0</v>
      </c>
      <c r="AC1265" s="107">
        <v>0.0</v>
      </c>
      <c r="AD1265" s="107">
        <v>0.0</v>
      </c>
      <c r="AE1265" s="80">
        <f t="shared" si="2"/>
        <v>0</v>
      </c>
      <c r="AF1265" s="140">
        <v>0.0</v>
      </c>
      <c r="AG1265" s="109">
        <v>0.0</v>
      </c>
      <c r="AH1265" s="109">
        <v>0.0</v>
      </c>
      <c r="AI1265" s="141">
        <v>70.0</v>
      </c>
      <c r="AJ1265" s="80">
        <f t="shared" si="3"/>
        <v>70</v>
      </c>
      <c r="AK1265" s="140">
        <v>0.0</v>
      </c>
      <c r="AL1265" s="109">
        <v>0.0</v>
      </c>
      <c r="AM1265" s="141">
        <v>0.0</v>
      </c>
      <c r="AN1265" s="80">
        <f t="shared" si="4"/>
        <v>0</v>
      </c>
      <c r="AO1265" s="140">
        <v>0.0</v>
      </c>
      <c r="AP1265" s="109">
        <v>0.0</v>
      </c>
      <c r="AQ1265" s="109">
        <v>64.0</v>
      </c>
      <c r="AR1265" s="80">
        <f t="shared" si="5"/>
        <v>64</v>
      </c>
      <c r="AS1265" s="110">
        <v>69.0</v>
      </c>
      <c r="AT1265" s="110">
        <v>15.0</v>
      </c>
      <c r="AU1265" s="110">
        <v>0.0</v>
      </c>
      <c r="AV1265" s="142">
        <v>29.0</v>
      </c>
      <c r="AW1265" s="80">
        <f t="shared" si="6"/>
        <v>113</v>
      </c>
      <c r="AX1265" s="113">
        <f t="shared" si="7"/>
        <v>247</v>
      </c>
      <c r="AY1265" s="117">
        <f t="shared" si="8"/>
        <v>183</v>
      </c>
      <c r="AZ1265" s="120">
        <f t="shared" si="9"/>
        <v>64</v>
      </c>
      <c r="BA1265" s="115">
        <v>0.0</v>
      </c>
      <c r="BB1265" s="89">
        <f t="shared" si="10"/>
        <v>247</v>
      </c>
      <c r="BC1265" s="132" t="s">
        <v>178</v>
      </c>
      <c r="BD1265" s="132" t="s">
        <v>178</v>
      </c>
      <c r="BE1265" s="132" t="s">
        <v>178</v>
      </c>
      <c r="BF1265" s="123"/>
      <c r="BG1265" s="83">
        <v>1110294.0</v>
      </c>
      <c r="BH1265" s="112"/>
      <c r="BI1265" s="112">
        <v>8.0</v>
      </c>
      <c r="BJ1265" s="98" t="s">
        <v>155</v>
      </c>
      <c r="BK1265" s="99">
        <f t="shared" si="11"/>
        <v>99</v>
      </c>
      <c r="BL1265" s="99">
        <f t="shared" si="12"/>
        <v>84</v>
      </c>
      <c r="BM1265" s="99" t="str">
        <f>IFERROR(__xludf.DUMMYFUNCTION("IFERROR(VLOOKUP(BG1265,IMPORTRANGE(""https://docs.google.com/spreadsheets/d/1juPI-Fb8LD0YtltB2mlGEnp_R3UVu1t3wSFPzgCyHXE/edit?gid=0#gid=0"",""GERAL!A2:C""),3,0),""-"")"),"-")</f>
        <v>-</v>
      </c>
    </row>
    <row r="1266" ht="15.75" customHeight="1">
      <c r="A1266" s="111" t="s">
        <v>1535</v>
      </c>
      <c r="B1266" s="83" t="s">
        <v>7016</v>
      </c>
      <c r="C1266" s="83" t="s">
        <v>68</v>
      </c>
      <c r="D1266" s="112">
        <v>1117868.0</v>
      </c>
      <c r="E1266" s="83"/>
      <c r="F1266" s="83">
        <v>2.9227658E7</v>
      </c>
      <c r="G1266" s="114" t="s">
        <v>7017</v>
      </c>
      <c r="H1266" s="91" t="s">
        <v>7018</v>
      </c>
      <c r="I1266" s="83" t="s">
        <v>7019</v>
      </c>
      <c r="J1266" s="83" t="s">
        <v>150</v>
      </c>
      <c r="K1266" s="83" t="s">
        <v>151</v>
      </c>
      <c r="L1266" s="83" t="s">
        <v>230</v>
      </c>
      <c r="M1266" s="82" t="str">
        <f>IFERROR(__xludf.DUMMYFUNCTION("IFERROR(VLOOKUP(D1266,
IMPORTRANGE(""https://docs.google.com/spreadsheets/d/1MjHtlUikwobi2MaWJgy7tfLeBmhj1u-dRFRs_8GwSoA/edit#gid=0"",""Gestores Escolares!D7:J""),3,0),""VERIFICAR CÓD SEC"")"),"JOSÉ GONÇALVES LOPES JÚNIOR")</f>
        <v>JOSÉ GONÇALVES LOPES JÚNIOR</v>
      </c>
      <c r="N1266" s="82" t="str">
        <f>IFERROR(__xludf.DUMMYFUNCTION("IFERROR(VLOOKUP(D1266,
IMPORTRANGE(""https://docs.google.com/spreadsheets/d/1MjHtlUikwobi2MaWJgy7tfLeBmhj1u-dRFRs_8GwSoA/edit#gid=0"",""Gestores Escolares!D7:J""),4,0),""VERIFICAR CÓD SEC"")"),"(73) 9 9963-8361")</f>
        <v>(73) 9 9963-8361</v>
      </c>
      <c r="O1266" s="82" t="str">
        <f>IFERROR(__xludf.DUMMYFUNCTION("IFERROR(VLOOKUP(D1266,
IMPORTRANGE(""https://docs.google.com/spreadsheets/d/1MjHtlUikwobi2MaWJgy7tfLeBmhj1u-dRFRs_8GwSoA/edit#gid=0"",""Gestores Escolares!D7:J""),6,0),""VERIFICAR CÓD SEC"")"),"CARLA WALERIA DE SOUZA GARGANO SOGLIA")</f>
        <v>CARLA WALERIA DE SOUZA GARGANO SOGLIA</v>
      </c>
      <c r="P1266" s="82" t="str">
        <f>IFERROR(__xludf.DUMMYFUNCTION("IFERROR(VLOOKUP(D1266,
IMPORTRANGE(""https://docs.google.com/spreadsheets/d/1MjHtlUikwobi2MaWJgy7tfLeBmhj1u-dRFRs_8GwSoA/edit#gid=0"",""Gestores Escolares!D7:J""),7,0),""VERIFICAR CÓD SEC"")"),"(73) 9 9911-3162")</f>
        <v>(73) 9 9911-3162</v>
      </c>
      <c r="Q1266" s="82" t="str">
        <f>IFERROR(__xludf.DUMMYFUNCTION("IFERROR(VLOOKUP(D1266,
IMPORTRANGE(""https://docs.google.com/spreadsheets/d/1MjHtlUikwobi2MaWJgy7tfLeBmhj1u-dRFRs_8GwSoA/edit#gid=0"",""Gestores Escolares!D7:m""),9,0),""VERIFICAR CÓD SEC"")"),"CARME RENATA ALMEIDA DE SANTANA")</f>
        <v>CARME RENATA ALMEIDA DE SANTANA</v>
      </c>
      <c r="R1266" s="82" t="str">
        <f>IFERROR(__xludf.DUMMYFUNCTION("IFERROR(VLOOKUP(D1266,
IMPORTRANGE(""https://docs.google.com/spreadsheets/d/1MjHtlUikwobi2MaWJgy7tfLeBmhj1u-dRFRs_8GwSoA/edit#gid=0"",""Gestores Escolares!D7:m""),10,0),""VERIFICAR CÓD SEC"")"),"(71) 9 9111-5523")</f>
        <v>(71) 9 9111-5523</v>
      </c>
      <c r="S1266" s="82"/>
      <c r="T1266" s="138">
        <v>12.0</v>
      </c>
      <c r="U1266" s="145" t="s">
        <v>13868</v>
      </c>
      <c r="V1266" s="106">
        <v>0.0</v>
      </c>
      <c r="W1266" s="107">
        <v>0.0</v>
      </c>
      <c r="X1266" s="107">
        <v>0.0</v>
      </c>
      <c r="Y1266" s="107">
        <v>0.0</v>
      </c>
      <c r="Z1266" s="80">
        <f t="shared" si="1"/>
        <v>0</v>
      </c>
      <c r="AA1266" s="106">
        <v>0.0</v>
      </c>
      <c r="AB1266" s="107">
        <v>0.0</v>
      </c>
      <c r="AC1266" s="107">
        <v>0.0</v>
      </c>
      <c r="AD1266" s="107">
        <v>60.0</v>
      </c>
      <c r="AE1266" s="80">
        <f t="shared" si="2"/>
        <v>60</v>
      </c>
      <c r="AF1266" s="140">
        <v>0.0</v>
      </c>
      <c r="AG1266" s="109">
        <v>0.0</v>
      </c>
      <c r="AH1266" s="109">
        <v>0.0</v>
      </c>
      <c r="AI1266" s="141">
        <v>173.0</v>
      </c>
      <c r="AJ1266" s="80">
        <f t="shared" si="3"/>
        <v>173</v>
      </c>
      <c r="AK1266" s="140">
        <v>0.0</v>
      </c>
      <c r="AL1266" s="109">
        <v>0.0</v>
      </c>
      <c r="AM1266" s="141">
        <v>0.0</v>
      </c>
      <c r="AN1266" s="80">
        <f t="shared" si="4"/>
        <v>0</v>
      </c>
      <c r="AO1266" s="140">
        <v>0.0</v>
      </c>
      <c r="AP1266" s="109">
        <v>0.0</v>
      </c>
      <c r="AQ1266" s="109">
        <v>34.0</v>
      </c>
      <c r="AR1266" s="80">
        <f t="shared" si="5"/>
        <v>34</v>
      </c>
      <c r="AS1266" s="110">
        <v>0.0</v>
      </c>
      <c r="AT1266" s="110">
        <v>0.0</v>
      </c>
      <c r="AU1266" s="110">
        <v>0.0</v>
      </c>
      <c r="AV1266" s="142">
        <v>36.0</v>
      </c>
      <c r="AW1266" s="80">
        <f t="shared" si="6"/>
        <v>36</v>
      </c>
      <c r="AX1266" s="113">
        <f t="shared" si="7"/>
        <v>303</v>
      </c>
      <c r="AY1266" s="117">
        <f t="shared" si="8"/>
        <v>269</v>
      </c>
      <c r="AZ1266" s="120">
        <f t="shared" si="9"/>
        <v>34</v>
      </c>
      <c r="BA1266" s="115">
        <v>0.0</v>
      </c>
      <c r="BB1266" s="89">
        <f t="shared" si="10"/>
        <v>303</v>
      </c>
      <c r="BC1266" s="132" t="s">
        <v>178</v>
      </c>
      <c r="BD1266" s="132" t="s">
        <v>5473</v>
      </c>
      <c r="BE1266" s="132" t="s">
        <v>178</v>
      </c>
      <c r="BF1266" s="123"/>
      <c r="BG1266" s="83">
        <v>1117868.0</v>
      </c>
      <c r="BH1266" s="112"/>
      <c r="BI1266" s="112">
        <v>13.0</v>
      </c>
      <c r="BJ1266" s="98" t="s">
        <v>155</v>
      </c>
      <c r="BK1266" s="99">
        <f t="shared" si="11"/>
        <v>269</v>
      </c>
      <c r="BL1266" s="99">
        <f t="shared" si="12"/>
        <v>0</v>
      </c>
      <c r="BM1266" s="99" t="str">
        <f>IFERROR(__xludf.DUMMYFUNCTION("IFERROR(VLOOKUP(BG1266,IMPORTRANGE(""https://docs.google.com/spreadsheets/d/1juPI-Fb8LD0YtltB2mlGEnp_R3UVu1t3wSFPzgCyHXE/edit?gid=0#gid=0"",""GERAL!A2:C""),3,0),""-"")"),"-")</f>
        <v>-</v>
      </c>
    </row>
    <row r="1267" ht="15.75" customHeight="1">
      <c r="A1267" s="111" t="s">
        <v>1535</v>
      </c>
      <c r="B1267" s="83" t="s">
        <v>7016</v>
      </c>
      <c r="C1267" s="83" t="s">
        <v>68</v>
      </c>
      <c r="D1267" s="112">
        <v>1117663.0</v>
      </c>
      <c r="E1267" s="83"/>
      <c r="F1267" s="83">
        <v>2.9229294E7</v>
      </c>
      <c r="G1267" s="119" t="s">
        <v>7066</v>
      </c>
      <c r="H1267" s="91" t="s">
        <v>7067</v>
      </c>
      <c r="I1267" s="83" t="s">
        <v>1366</v>
      </c>
      <c r="J1267" s="83" t="s">
        <v>150</v>
      </c>
      <c r="K1267" s="83" t="s">
        <v>151</v>
      </c>
      <c r="L1267" s="83" t="s">
        <v>76</v>
      </c>
      <c r="M1267" s="82" t="str">
        <f>IFERROR(__xludf.DUMMYFUNCTION("IFERROR(VLOOKUP(D1267,
IMPORTRANGE(""https://docs.google.com/spreadsheets/d/1MjHtlUikwobi2MaWJgy7tfLeBmhj1u-dRFRs_8GwSoA/edit#gid=0"",""Gestores Escolares!D7:J""),3,0),""VERIFICAR CÓD SEC"")"),"MAVIEL DOS SANTOS ARRUDA")</f>
        <v>MAVIEL DOS SANTOS ARRUDA</v>
      </c>
      <c r="N1267" s="82" t="str">
        <f>IFERROR(__xludf.DUMMYFUNCTION("IFERROR(VLOOKUP(D1267,
IMPORTRANGE(""https://docs.google.com/spreadsheets/d/1MjHtlUikwobi2MaWJgy7tfLeBmhj1u-dRFRs_8GwSoA/edit#gid=0"",""Gestores Escolares!D7:J""),4,0),""VERIFICAR CÓD SEC"")"),"(73) 9 9842-0497")</f>
        <v>(73) 9 9842-0497</v>
      </c>
      <c r="O1267" s="82" t="str">
        <f>IFERROR(__xludf.DUMMYFUNCTION("IFERROR(VLOOKUP(D1267,
IMPORTRANGE(""https://docs.google.com/spreadsheets/d/1MjHtlUikwobi2MaWJgy7tfLeBmhj1u-dRFRs_8GwSoA/edit#gid=0"",""Gestores Escolares!D7:J""),6,0),""VERIFICAR CÓD SEC"")")," LAURISTELLA ARAGAO SANTOS DASNEVES BORGES")</f>
        <v> LAURISTELLA ARAGAO SANTOS DASNEVES BORGES</v>
      </c>
      <c r="P1267" s="82" t="str">
        <f>IFERROR(__xludf.DUMMYFUNCTION("IFERROR(VLOOKUP(D1267,
IMPORTRANGE(""https://docs.google.com/spreadsheets/d/1MjHtlUikwobi2MaWJgy7tfLeBmhj1u-dRFRs_8GwSoA/edit#gid=0"",""Gestores Escolares!D7:J""),7,0),""VERIFICAR CÓD SEC"")"),"(73) 9 9162-1095")</f>
        <v>(73) 9 9162-1095</v>
      </c>
      <c r="Q1267" s="82" t="str">
        <f>IFERROR(__xludf.DUMMYFUNCTION("IFERROR(VLOOKUP(D1267,
IMPORTRANGE(""https://docs.google.com/spreadsheets/d/1MjHtlUikwobi2MaWJgy7tfLeBmhj1u-dRFRs_8GwSoA/edit#gid=0"",""Gestores Escolares!D7:m""),9,0),""VERIFICAR CÓD SEC"")"),"")</f>
        <v/>
      </c>
      <c r="R1267" s="82" t="str">
        <f>IFERROR(__xludf.DUMMYFUNCTION("IFERROR(VLOOKUP(D1267,
IMPORTRANGE(""https://docs.google.com/spreadsheets/d/1MjHtlUikwobi2MaWJgy7tfLeBmhj1u-dRFRs_8GwSoA/edit#gid=0"",""Gestores Escolares!D7:m""),10,0),""VERIFICAR CÓD SEC"")"),"")</f>
        <v/>
      </c>
      <c r="S1267" s="82"/>
      <c r="T1267" s="138">
        <v>12.0</v>
      </c>
      <c r="U1267" s="145">
        <v>9.0</v>
      </c>
      <c r="V1267" s="106">
        <v>0.0</v>
      </c>
      <c r="W1267" s="107">
        <v>0.0</v>
      </c>
      <c r="X1267" s="107">
        <v>0.0</v>
      </c>
      <c r="Y1267" s="107">
        <v>0.0</v>
      </c>
      <c r="Z1267" s="80">
        <f t="shared" si="1"/>
        <v>0</v>
      </c>
      <c r="AA1267" s="106">
        <v>0.0</v>
      </c>
      <c r="AB1267" s="107">
        <v>290.0</v>
      </c>
      <c r="AC1267" s="107">
        <v>0.0</v>
      </c>
      <c r="AD1267" s="107">
        <v>0.0</v>
      </c>
      <c r="AE1267" s="80">
        <f t="shared" si="2"/>
        <v>290</v>
      </c>
      <c r="AF1267" s="140">
        <v>256.0</v>
      </c>
      <c r="AG1267" s="109">
        <v>0.0</v>
      </c>
      <c r="AH1267" s="109">
        <v>0.0</v>
      </c>
      <c r="AI1267" s="141">
        <v>0.0</v>
      </c>
      <c r="AJ1267" s="80">
        <f t="shared" si="3"/>
        <v>256</v>
      </c>
      <c r="AK1267" s="140">
        <v>0.0</v>
      </c>
      <c r="AL1267" s="109">
        <v>0.0</v>
      </c>
      <c r="AM1267" s="141">
        <v>0.0</v>
      </c>
      <c r="AN1267" s="80">
        <f t="shared" si="4"/>
        <v>0</v>
      </c>
      <c r="AO1267" s="140">
        <v>0.0</v>
      </c>
      <c r="AP1267" s="109">
        <v>0.0</v>
      </c>
      <c r="AQ1267" s="109">
        <v>57.0</v>
      </c>
      <c r="AR1267" s="80">
        <f t="shared" si="5"/>
        <v>57</v>
      </c>
      <c r="AS1267" s="110">
        <v>0.0</v>
      </c>
      <c r="AT1267" s="110">
        <v>0.0</v>
      </c>
      <c r="AU1267" s="110">
        <v>0.0</v>
      </c>
      <c r="AV1267" s="142">
        <v>0.0</v>
      </c>
      <c r="AW1267" s="80">
        <f t="shared" si="6"/>
        <v>0</v>
      </c>
      <c r="AX1267" s="113">
        <f t="shared" si="7"/>
        <v>603</v>
      </c>
      <c r="AY1267" s="117">
        <f t="shared" si="8"/>
        <v>546</v>
      </c>
      <c r="AZ1267" s="120">
        <f t="shared" si="9"/>
        <v>57</v>
      </c>
      <c r="BA1267" s="115">
        <v>0.0</v>
      </c>
      <c r="BB1267" s="89">
        <f t="shared" si="10"/>
        <v>603</v>
      </c>
      <c r="BC1267" s="132" t="s">
        <v>265</v>
      </c>
      <c r="BD1267" s="132" t="s">
        <v>178</v>
      </c>
      <c r="BE1267" s="132" t="s">
        <v>178</v>
      </c>
      <c r="BF1267" s="123"/>
      <c r="BG1267" s="83">
        <v>1117663.0</v>
      </c>
      <c r="BH1267" s="112"/>
      <c r="BI1267" s="112">
        <v>9.0</v>
      </c>
      <c r="BJ1267" s="98" t="s">
        <v>155</v>
      </c>
      <c r="BK1267" s="99">
        <f t="shared" si="11"/>
        <v>0</v>
      </c>
      <c r="BL1267" s="99">
        <f t="shared" si="12"/>
        <v>546</v>
      </c>
      <c r="BM1267" s="99" t="str">
        <f>IFERROR(__xludf.DUMMYFUNCTION("IFERROR(VLOOKUP(BG1267,IMPORTRANGE(""https://docs.google.com/spreadsheets/d/1juPI-Fb8LD0YtltB2mlGEnp_R3UVu1t3wSFPzgCyHXE/edit?gid=0#gid=0"",""GERAL!A2:C""),3,0),""-"")"),"QUILOMBOLAS")</f>
        <v>QUILOMBOLAS</v>
      </c>
    </row>
    <row r="1268" ht="15.75" customHeight="1">
      <c r="A1268" s="111" t="s">
        <v>1535</v>
      </c>
      <c r="B1268" s="83" t="s">
        <v>7016</v>
      </c>
      <c r="C1268" s="83" t="s">
        <v>68</v>
      </c>
      <c r="D1268" s="112">
        <v>1117736.0</v>
      </c>
      <c r="E1268" s="83"/>
      <c r="F1268" s="83">
        <v>2.9229464E7</v>
      </c>
      <c r="G1268" s="114" t="s">
        <v>7037</v>
      </c>
      <c r="H1268" s="91" t="s">
        <v>7038</v>
      </c>
      <c r="I1268" s="83" t="s">
        <v>7039</v>
      </c>
      <c r="J1268" s="83" t="s">
        <v>150</v>
      </c>
      <c r="K1268" s="83" t="s">
        <v>151</v>
      </c>
      <c r="L1268" s="83" t="s">
        <v>230</v>
      </c>
      <c r="M1268" s="82" t="str">
        <f>IFERROR(__xludf.DUMMYFUNCTION("IFERROR(VLOOKUP(D1268,
IMPORTRANGE(""https://docs.google.com/spreadsheets/d/1MjHtlUikwobi2MaWJgy7tfLeBmhj1u-dRFRs_8GwSoA/edit#gid=0"",""Gestores Escolares!D7:J""),3,0),""VERIFICAR CÓD SEC"")"),"DAVID TONE SILVA CARREIRO")</f>
        <v>DAVID TONE SILVA CARREIRO</v>
      </c>
      <c r="N1268" s="82" t="str">
        <f>IFERROR(__xludf.DUMMYFUNCTION("IFERROR(VLOOKUP(D1268,
IMPORTRANGE(""https://docs.google.com/spreadsheets/d/1MjHtlUikwobi2MaWJgy7tfLeBmhj1u-dRFRs_8GwSoA/edit#gid=0"",""Gestores Escolares!D7:J""),4,0),""VERIFICAR CÓD SEC"")"),"(73) 9 9119-9073")</f>
        <v>(73) 9 9119-9073</v>
      </c>
      <c r="O1268" s="82" t="str">
        <f>IFERROR(__xludf.DUMMYFUNCTION("IFERROR(VLOOKUP(D1268,
IMPORTRANGE(""https://docs.google.com/spreadsheets/d/1MjHtlUikwobi2MaWJgy7tfLeBmhj1u-dRFRs_8GwSoA/edit#gid=0"",""Gestores Escolares!D7:J""),6,0),""VERIFICAR CÓD SEC"")"),"ANA PAULA MOREIRA DOS SANTOS PEIXOTO")</f>
        <v>ANA PAULA MOREIRA DOS SANTOS PEIXOTO</v>
      </c>
      <c r="P1268" s="82" t="str">
        <f>IFERROR(__xludf.DUMMYFUNCTION("IFERROR(VLOOKUP(D1268,
IMPORTRANGE(""https://docs.google.com/spreadsheets/d/1MjHtlUikwobi2MaWJgy7tfLeBmhj1u-dRFRs_8GwSoA/edit#gid=0"",""Gestores Escolares!D7:J""),7,0),""VERIFICAR CÓD SEC"")"),"(73) 9 9177-4673")</f>
        <v>(73) 9 9177-4673</v>
      </c>
      <c r="Q1268" s="82" t="str">
        <f>IFERROR(__xludf.DUMMYFUNCTION("IFERROR(VLOOKUP(D1268,
IMPORTRANGE(""https://docs.google.com/spreadsheets/d/1MjHtlUikwobi2MaWJgy7tfLeBmhj1u-dRFRs_8GwSoA/edit#gid=0"",""Gestores Escolares!D7:m""),9,0),""VERIFICAR CÓD SEC"")"),"")</f>
        <v/>
      </c>
      <c r="R1268" s="82" t="str">
        <f>IFERROR(__xludf.DUMMYFUNCTION("IFERROR(VLOOKUP(D1268,
IMPORTRANGE(""https://docs.google.com/spreadsheets/d/1MjHtlUikwobi2MaWJgy7tfLeBmhj1u-dRFRs_8GwSoA/edit#gid=0"",""Gestores Escolares!D7:m""),10,0),""VERIFICAR CÓD SEC"")"),"")</f>
        <v/>
      </c>
      <c r="S1268" s="82"/>
      <c r="T1268" s="138">
        <v>13.0</v>
      </c>
      <c r="U1268" s="145" t="s">
        <v>13869</v>
      </c>
      <c r="V1268" s="106">
        <v>0.0</v>
      </c>
      <c r="W1268" s="107">
        <v>0.0</v>
      </c>
      <c r="X1268" s="107">
        <v>0.0</v>
      </c>
      <c r="Y1268" s="107">
        <v>0.0</v>
      </c>
      <c r="Z1268" s="80">
        <f t="shared" si="1"/>
        <v>0</v>
      </c>
      <c r="AA1268" s="106">
        <v>0.0</v>
      </c>
      <c r="AB1268" s="107">
        <v>0.0</v>
      </c>
      <c r="AC1268" s="107">
        <v>0.0</v>
      </c>
      <c r="AD1268" s="107">
        <v>0.0</v>
      </c>
      <c r="AE1268" s="80">
        <f t="shared" si="2"/>
        <v>0</v>
      </c>
      <c r="AF1268" s="140">
        <v>56.0</v>
      </c>
      <c r="AG1268" s="109">
        <v>0.0</v>
      </c>
      <c r="AH1268" s="109">
        <v>0.0</v>
      </c>
      <c r="AI1268" s="141">
        <v>54.0</v>
      </c>
      <c r="AJ1268" s="80">
        <f t="shared" si="3"/>
        <v>110</v>
      </c>
      <c r="AK1268" s="140">
        <v>0.0</v>
      </c>
      <c r="AL1268" s="109">
        <v>0.0</v>
      </c>
      <c r="AM1268" s="141">
        <v>0.0</v>
      </c>
      <c r="AN1268" s="80">
        <f t="shared" si="4"/>
        <v>0</v>
      </c>
      <c r="AO1268" s="140">
        <v>0.0</v>
      </c>
      <c r="AP1268" s="109">
        <v>0.0</v>
      </c>
      <c r="AQ1268" s="109">
        <v>113.0</v>
      </c>
      <c r="AR1268" s="80">
        <f t="shared" si="5"/>
        <v>113</v>
      </c>
      <c r="AS1268" s="110">
        <v>0.0</v>
      </c>
      <c r="AT1268" s="110">
        <v>0.0</v>
      </c>
      <c r="AU1268" s="110">
        <v>57.0</v>
      </c>
      <c r="AV1268" s="142">
        <v>137.0</v>
      </c>
      <c r="AW1268" s="80">
        <f t="shared" si="6"/>
        <v>194</v>
      </c>
      <c r="AX1268" s="113">
        <f t="shared" si="7"/>
        <v>417</v>
      </c>
      <c r="AY1268" s="117">
        <f t="shared" si="8"/>
        <v>247</v>
      </c>
      <c r="AZ1268" s="120">
        <f t="shared" si="9"/>
        <v>170</v>
      </c>
      <c r="BA1268" s="115">
        <v>0.0</v>
      </c>
      <c r="BB1268" s="89">
        <f t="shared" si="10"/>
        <v>417</v>
      </c>
      <c r="BC1268" s="132" t="s">
        <v>178</v>
      </c>
      <c r="BD1268" s="132" t="s">
        <v>178</v>
      </c>
      <c r="BE1268" s="132" t="s">
        <v>178</v>
      </c>
      <c r="BF1268" s="123"/>
      <c r="BG1268" s="83">
        <v>1117736.0</v>
      </c>
      <c r="BH1268" s="112"/>
      <c r="BI1268" s="112">
        <v>16.0</v>
      </c>
      <c r="BJ1268" s="98" t="s">
        <v>155</v>
      </c>
      <c r="BK1268" s="99">
        <f t="shared" si="11"/>
        <v>191</v>
      </c>
      <c r="BL1268" s="99">
        <f t="shared" si="12"/>
        <v>56</v>
      </c>
      <c r="BM1268" s="99" t="str">
        <f>IFERROR(__xludf.DUMMYFUNCTION("IFERROR(VLOOKUP(BG1268,IMPORTRANGE(""https://docs.google.com/spreadsheets/d/1juPI-Fb8LD0YtltB2mlGEnp_R3UVu1t3wSFPzgCyHXE/edit?gid=0#gid=0"",""GERAL!A2:C""),3,0),""-"")"),"-")</f>
        <v>-</v>
      </c>
    </row>
    <row r="1269" ht="15.75" customHeight="1">
      <c r="A1269" s="111" t="s">
        <v>1535</v>
      </c>
      <c r="B1269" s="83" t="s">
        <v>7016</v>
      </c>
      <c r="C1269" s="83" t="s">
        <v>68</v>
      </c>
      <c r="D1269" s="112">
        <v>1177092.0</v>
      </c>
      <c r="E1269" s="83"/>
      <c r="F1269" s="83">
        <v>2.9416604E7</v>
      </c>
      <c r="G1269" s="114" t="s">
        <v>2098</v>
      </c>
      <c r="H1269" s="91" t="s">
        <v>7048</v>
      </c>
      <c r="I1269" s="83" t="s">
        <v>7019</v>
      </c>
      <c r="J1269" s="83" t="s">
        <v>150</v>
      </c>
      <c r="K1269" s="83" t="s">
        <v>151</v>
      </c>
      <c r="L1269" s="83" t="s">
        <v>152</v>
      </c>
      <c r="M1269" s="82" t="str">
        <f>IFERROR(__xludf.DUMMYFUNCTION("IFERROR(VLOOKUP(D1269,
IMPORTRANGE(""https://docs.google.com/spreadsheets/d/1MjHtlUikwobi2MaWJgy7tfLeBmhj1u-dRFRs_8GwSoA/edit#gid=0"",""Gestores Escolares!D7:J""),3,0),""VERIFICAR CÓD SEC"")"),"RISIA LOPES SOARES FURTUOSO")</f>
        <v>RISIA LOPES SOARES FURTUOSO</v>
      </c>
      <c r="N1269" s="82" t="str">
        <f>IFERROR(__xludf.DUMMYFUNCTION("IFERROR(VLOOKUP(D1269,
IMPORTRANGE(""https://docs.google.com/spreadsheets/d/1MjHtlUikwobi2MaWJgy7tfLeBmhj1u-dRFRs_8GwSoA/edit#gid=0"",""Gestores Escolares!D7:J""),4,0),""VERIFICAR CÓD SEC"")"),"(73) 9 9146-4910")</f>
        <v>(73) 9 9146-4910</v>
      </c>
      <c r="O1269" s="82" t="str">
        <f>IFERROR(__xludf.DUMMYFUNCTION("IFERROR(VLOOKUP(D1269,
IMPORTRANGE(""https://docs.google.com/spreadsheets/d/1MjHtlUikwobi2MaWJgy7tfLeBmhj1u-dRFRs_8GwSoA/edit#gid=0"",""Gestores Escolares!D7:J""),6,0),""VERIFICAR CÓD SEC"")"),"JOAO MARCIO RESENDE COSTA")</f>
        <v>JOAO MARCIO RESENDE COSTA</v>
      </c>
      <c r="P1269" s="82" t="str">
        <f>IFERROR(__xludf.DUMMYFUNCTION("IFERROR(VLOOKUP(D1269,
IMPORTRANGE(""https://docs.google.com/spreadsheets/d/1MjHtlUikwobi2MaWJgy7tfLeBmhj1u-dRFRs_8GwSoA/edit#gid=0"",""Gestores Escolares!D7:J""),7,0),""VERIFICAR CÓD SEC"")"),"(73) 9 8843-4460")</f>
        <v>(73) 9 8843-4460</v>
      </c>
      <c r="Q1269" s="82" t="str">
        <f>IFERROR(__xludf.DUMMYFUNCTION("IFERROR(VLOOKUP(D1269,
IMPORTRANGE(""https://docs.google.com/spreadsheets/d/1MjHtlUikwobi2MaWJgy7tfLeBmhj1u-dRFRs_8GwSoA/edit#gid=0"",""Gestores Escolares!D7:m""),9,0),""VERIFICAR CÓD SEC"")"),"")</f>
        <v/>
      </c>
      <c r="R1269" s="82" t="str">
        <f>IFERROR(__xludf.DUMMYFUNCTION("IFERROR(VLOOKUP(D1269,
IMPORTRANGE(""https://docs.google.com/spreadsheets/d/1MjHtlUikwobi2MaWJgy7tfLeBmhj1u-dRFRs_8GwSoA/edit#gid=0"",""Gestores Escolares!D7:m""),10,0),""VERIFICAR CÓD SEC"")"),"")</f>
        <v/>
      </c>
      <c r="S1269" s="82"/>
      <c r="T1269" s="138">
        <v>13.0</v>
      </c>
      <c r="U1269" s="145">
        <v>13.0</v>
      </c>
      <c r="V1269" s="106">
        <v>0.0</v>
      </c>
      <c r="W1269" s="107">
        <v>0.0</v>
      </c>
      <c r="X1269" s="107">
        <v>0.0</v>
      </c>
      <c r="Y1269" s="107">
        <v>0.0</v>
      </c>
      <c r="Z1269" s="80">
        <f t="shared" si="1"/>
        <v>0</v>
      </c>
      <c r="AA1269" s="106">
        <v>0.0</v>
      </c>
      <c r="AB1269" s="107">
        <v>0.0</v>
      </c>
      <c r="AC1269" s="107">
        <v>0.0</v>
      </c>
      <c r="AD1269" s="107">
        <v>0.0</v>
      </c>
      <c r="AE1269" s="80">
        <f t="shared" si="2"/>
        <v>0</v>
      </c>
      <c r="AF1269" s="140">
        <v>456.0</v>
      </c>
      <c r="AG1269" s="109">
        <v>426.0</v>
      </c>
      <c r="AH1269" s="109">
        <v>0.0</v>
      </c>
      <c r="AI1269" s="141">
        <v>0.0</v>
      </c>
      <c r="AJ1269" s="80">
        <f t="shared" si="3"/>
        <v>882</v>
      </c>
      <c r="AK1269" s="140">
        <v>0.0</v>
      </c>
      <c r="AL1269" s="109">
        <v>0.0</v>
      </c>
      <c r="AM1269" s="141">
        <v>0.0</v>
      </c>
      <c r="AN1269" s="80">
        <f t="shared" si="4"/>
        <v>0</v>
      </c>
      <c r="AO1269" s="140">
        <v>0.0</v>
      </c>
      <c r="AP1269" s="109">
        <v>0.0</v>
      </c>
      <c r="AQ1269" s="109">
        <v>0.0</v>
      </c>
      <c r="AR1269" s="80">
        <f t="shared" si="5"/>
        <v>0</v>
      </c>
      <c r="AS1269" s="110">
        <v>0.0</v>
      </c>
      <c r="AT1269" s="110">
        <v>0.0</v>
      </c>
      <c r="AU1269" s="110">
        <v>0.0</v>
      </c>
      <c r="AV1269" s="142">
        <v>0.0</v>
      </c>
      <c r="AW1269" s="80">
        <f t="shared" si="6"/>
        <v>0</v>
      </c>
      <c r="AX1269" s="113">
        <f t="shared" si="7"/>
        <v>882</v>
      </c>
      <c r="AY1269" s="117">
        <f t="shared" si="8"/>
        <v>882</v>
      </c>
      <c r="AZ1269" s="120">
        <f t="shared" si="9"/>
        <v>0</v>
      </c>
      <c r="BA1269" s="115">
        <v>0.0</v>
      </c>
      <c r="BB1269" s="89">
        <f t="shared" si="10"/>
        <v>882</v>
      </c>
      <c r="BC1269" s="132" t="s">
        <v>178</v>
      </c>
      <c r="BD1269" s="132" t="s">
        <v>178</v>
      </c>
      <c r="BE1269" s="132" t="s">
        <v>178</v>
      </c>
      <c r="BF1269" s="156"/>
      <c r="BG1269" s="83">
        <v>1177092.0</v>
      </c>
      <c r="BH1269" s="112"/>
      <c r="BI1269" s="112">
        <v>13.0</v>
      </c>
      <c r="BJ1269" s="98" t="s">
        <v>155</v>
      </c>
      <c r="BK1269" s="99">
        <f t="shared" si="11"/>
        <v>0</v>
      </c>
      <c r="BL1269" s="99">
        <f t="shared" si="12"/>
        <v>882</v>
      </c>
      <c r="BM1269" s="99" t="str">
        <f>IFERROR(__xludf.DUMMYFUNCTION("IFERROR(VLOOKUP(BG1269,IMPORTRANGE(""https://docs.google.com/spreadsheets/d/1juPI-Fb8LD0YtltB2mlGEnp_R3UVu1t3wSFPzgCyHXE/edit?gid=0#gid=0"",""GERAL!A2:C""),3,0),""-"")"),"-")</f>
        <v>-</v>
      </c>
    </row>
    <row r="1270" ht="15.75" customHeight="1">
      <c r="A1270" s="111" t="s">
        <v>1535</v>
      </c>
      <c r="B1270" s="83" t="s">
        <v>7016</v>
      </c>
      <c r="C1270" s="83" t="s">
        <v>68</v>
      </c>
      <c r="D1270" s="112">
        <v>1117701.0</v>
      </c>
      <c r="E1270" s="83"/>
      <c r="F1270" s="83">
        <v>2.9229324E7</v>
      </c>
      <c r="G1270" s="119" t="s">
        <v>7070</v>
      </c>
      <c r="H1270" s="91" t="s">
        <v>7071</v>
      </c>
      <c r="I1270" s="83" t="s">
        <v>7072</v>
      </c>
      <c r="J1270" s="83" t="s">
        <v>150</v>
      </c>
      <c r="K1270" s="83" t="s">
        <v>151</v>
      </c>
      <c r="L1270" s="83" t="s">
        <v>152</v>
      </c>
      <c r="M1270" s="82" t="str">
        <f>IFERROR(__xludf.DUMMYFUNCTION("IFERROR(VLOOKUP(D1270,
IMPORTRANGE(""https://docs.google.com/spreadsheets/d/1MjHtlUikwobi2MaWJgy7tfLeBmhj1u-dRFRs_8GwSoA/edit#gid=0"",""Gestores Escolares!D7:J""),3,0),""VERIFICAR CÓD SEC"")"),"LUCAS FLAVIO SOUZA NUNES")</f>
        <v>LUCAS FLAVIO SOUZA NUNES</v>
      </c>
      <c r="N1270" s="82" t="str">
        <f>IFERROR(__xludf.DUMMYFUNCTION("IFERROR(VLOOKUP(D1270,
IMPORTRANGE(""https://docs.google.com/spreadsheets/d/1MjHtlUikwobi2MaWJgy7tfLeBmhj1u-dRFRs_8GwSoA/edit#gid=0"",""Gestores Escolares!D7:J""),4,0),""VERIFICAR CÓD SEC"")"),"(73) 9 9192-6309")</f>
        <v>(73) 9 9192-6309</v>
      </c>
      <c r="O1270" s="82" t="str">
        <f>IFERROR(__xludf.DUMMYFUNCTION("IFERROR(VLOOKUP(D1270,
IMPORTRANGE(""https://docs.google.com/spreadsheets/d/1MjHtlUikwobi2MaWJgy7tfLeBmhj1u-dRFRs_8GwSoA/edit#gid=0"",""Gestores Escolares!D7:J""),6,0),""VERIFICAR CÓD SEC"")"),"CRISTIANE BRITTO SANTOS MATTOS")</f>
        <v>CRISTIANE BRITTO SANTOS MATTOS</v>
      </c>
      <c r="P1270" s="82" t="str">
        <f>IFERROR(__xludf.DUMMYFUNCTION("IFERROR(VLOOKUP(D1270,
IMPORTRANGE(""https://docs.google.com/spreadsheets/d/1MjHtlUikwobi2MaWJgy7tfLeBmhj1u-dRFRs_8GwSoA/edit#gid=0"",""Gestores Escolares!D7:J""),7,0),""VERIFICAR CÓD SEC"")"),"(73) 9 9150-6050")</f>
        <v>(73) 9 9150-6050</v>
      </c>
      <c r="Q1270" s="82" t="str">
        <f>IFERROR(__xludf.DUMMYFUNCTION("IFERROR(VLOOKUP(D1270,
IMPORTRANGE(""https://docs.google.com/spreadsheets/d/1MjHtlUikwobi2MaWJgy7tfLeBmhj1u-dRFRs_8GwSoA/edit#gid=0"",""Gestores Escolares!D7:m""),9,0),""VERIFICAR CÓD SEC"")"),"ANDRE DA SILVA ARAUJO")</f>
        <v>ANDRE DA SILVA ARAUJO</v>
      </c>
      <c r="R1270" s="82" t="str">
        <f>IFERROR(__xludf.DUMMYFUNCTION("IFERROR(VLOOKUP(D1270,
IMPORTRANGE(""https://docs.google.com/spreadsheets/d/1MjHtlUikwobi2MaWJgy7tfLeBmhj1u-dRFRs_8GwSoA/edit#gid=0"",""Gestores Escolares!D7:m""),10,0),""VERIFICAR CÓD SEC"")"),"(73) 9 9111-5488")</f>
        <v>(73) 9 9111-5488</v>
      </c>
      <c r="S1270" s="82"/>
      <c r="T1270" s="138">
        <v>9.0</v>
      </c>
      <c r="U1270" s="145" t="s">
        <v>13870</v>
      </c>
      <c r="V1270" s="106">
        <v>0.0</v>
      </c>
      <c r="W1270" s="107">
        <v>0.0</v>
      </c>
      <c r="X1270" s="107">
        <v>0.0</v>
      </c>
      <c r="Y1270" s="107">
        <v>0.0</v>
      </c>
      <c r="Z1270" s="80">
        <f t="shared" si="1"/>
        <v>0</v>
      </c>
      <c r="AA1270" s="106">
        <v>0.0</v>
      </c>
      <c r="AB1270" s="107">
        <v>0.0</v>
      </c>
      <c r="AC1270" s="107">
        <v>0.0</v>
      </c>
      <c r="AD1270" s="107">
        <v>0.0</v>
      </c>
      <c r="AE1270" s="80">
        <f t="shared" si="2"/>
        <v>0</v>
      </c>
      <c r="AF1270" s="140">
        <v>75.0</v>
      </c>
      <c r="AG1270" s="109">
        <v>33.0</v>
      </c>
      <c r="AH1270" s="109">
        <v>0.0</v>
      </c>
      <c r="AI1270" s="141">
        <v>40.0</v>
      </c>
      <c r="AJ1270" s="80">
        <f t="shared" si="3"/>
        <v>148</v>
      </c>
      <c r="AK1270" s="140">
        <v>0.0</v>
      </c>
      <c r="AL1270" s="109">
        <v>0.0</v>
      </c>
      <c r="AM1270" s="141">
        <v>0.0</v>
      </c>
      <c r="AN1270" s="80">
        <f t="shared" si="4"/>
        <v>0</v>
      </c>
      <c r="AO1270" s="140">
        <v>0.0</v>
      </c>
      <c r="AP1270" s="109">
        <v>0.0</v>
      </c>
      <c r="AQ1270" s="109">
        <v>58.0</v>
      </c>
      <c r="AR1270" s="80">
        <f t="shared" si="5"/>
        <v>58</v>
      </c>
      <c r="AS1270" s="110">
        <v>0.0</v>
      </c>
      <c r="AT1270" s="110">
        <v>0.0</v>
      </c>
      <c r="AU1270" s="110">
        <v>0.0</v>
      </c>
      <c r="AV1270" s="142">
        <v>0.0</v>
      </c>
      <c r="AW1270" s="80">
        <f t="shared" si="6"/>
        <v>0</v>
      </c>
      <c r="AX1270" s="113">
        <f t="shared" si="7"/>
        <v>206</v>
      </c>
      <c r="AY1270" s="117">
        <f t="shared" si="8"/>
        <v>148</v>
      </c>
      <c r="AZ1270" s="120">
        <f t="shared" si="9"/>
        <v>58</v>
      </c>
      <c r="BA1270" s="115">
        <v>0.0</v>
      </c>
      <c r="BB1270" s="89">
        <f t="shared" si="10"/>
        <v>206</v>
      </c>
      <c r="BC1270" s="132" t="s">
        <v>178</v>
      </c>
      <c r="BD1270" s="132" t="s">
        <v>178</v>
      </c>
      <c r="BE1270" s="132" t="s">
        <v>178</v>
      </c>
      <c r="BF1270" s="123"/>
      <c r="BG1270" s="83">
        <v>1117701.0</v>
      </c>
      <c r="BH1270" s="112"/>
      <c r="BI1270" s="112">
        <v>9.0</v>
      </c>
      <c r="BJ1270" s="98" t="s">
        <v>284</v>
      </c>
      <c r="BK1270" s="99">
        <f t="shared" si="11"/>
        <v>40</v>
      </c>
      <c r="BL1270" s="99">
        <f t="shared" si="12"/>
        <v>108</v>
      </c>
      <c r="BM1270" s="99" t="str">
        <f>IFERROR(__xludf.DUMMYFUNCTION("IFERROR(VLOOKUP(BG1270,IMPORTRANGE(""https://docs.google.com/spreadsheets/d/1juPI-Fb8LD0YtltB2mlGEnp_R3UVu1t3wSFPzgCyHXE/edit?gid=0#gid=0"",""GERAL!A2:C""),3,0),""-"")"),"-")</f>
        <v>-</v>
      </c>
    </row>
    <row r="1271" ht="15.75" customHeight="1">
      <c r="A1271" s="111" t="s">
        <v>1535</v>
      </c>
      <c r="B1271" s="83" t="s">
        <v>7016</v>
      </c>
      <c r="C1271" s="83" t="s">
        <v>68</v>
      </c>
      <c r="D1271" s="112">
        <v>1117850.0</v>
      </c>
      <c r="E1271" s="83"/>
      <c r="F1271" s="83">
        <v>2.9229421E7</v>
      </c>
      <c r="G1271" s="153" t="s">
        <v>7079</v>
      </c>
      <c r="H1271" s="91" t="s">
        <v>7081</v>
      </c>
      <c r="I1271" s="83" t="s">
        <v>7083</v>
      </c>
      <c r="J1271" s="83" t="s">
        <v>150</v>
      </c>
      <c r="K1271" s="83" t="s">
        <v>151</v>
      </c>
      <c r="L1271" s="83" t="s">
        <v>152</v>
      </c>
      <c r="M1271" s="82" t="str">
        <f>IFERROR(__xludf.DUMMYFUNCTION("IFERROR(VLOOKUP(D1271,
IMPORTRANGE(""https://docs.google.com/spreadsheets/d/1MjHtlUikwobi2MaWJgy7tfLeBmhj1u-dRFRs_8GwSoA/edit#gid=0"",""Gestores Escolares!D7:J""),3,0),""VERIFICAR CÓD SEC"")"),"FABRINE MACHADO DE NOVAES")</f>
        <v>FABRINE MACHADO DE NOVAES</v>
      </c>
      <c r="N1271" s="82" t="str">
        <f>IFERROR(__xludf.DUMMYFUNCTION("IFERROR(VLOOKUP(D1271,
IMPORTRANGE(""https://docs.google.com/spreadsheets/d/1MjHtlUikwobi2MaWJgy7tfLeBmhj1u-dRFRs_8GwSoA/edit#gid=0"",""Gestores Escolares!D7:J""),4,0),""VERIFICAR CÓD SEC"")"),"(73) 9 8838-0908")</f>
        <v>(73) 9 8838-0908</v>
      </c>
      <c r="O1271" s="82" t="str">
        <f>IFERROR(__xludf.DUMMYFUNCTION("IFERROR(VLOOKUP(D1271,
IMPORTRANGE(""https://docs.google.com/spreadsheets/d/1MjHtlUikwobi2MaWJgy7tfLeBmhj1u-dRFRs_8GwSoA/edit#gid=0"",""Gestores Escolares!D7:J""),6,0),""VERIFICAR CÓD SEC"")"),"VILMAR SILVA SOUZA")</f>
        <v>VILMAR SILVA SOUZA</v>
      </c>
      <c r="P1271" s="82" t="str">
        <f>IFERROR(__xludf.DUMMYFUNCTION("IFERROR(VLOOKUP(D1271,
IMPORTRANGE(""https://docs.google.com/spreadsheets/d/1MjHtlUikwobi2MaWJgy7tfLeBmhj1u-dRFRs_8GwSoA/edit#gid=0"",""Gestores Escolares!D7:J""),7,0),""VERIFICAR CÓD SEC"")"),"(73) 9 8845-1722")</f>
        <v>(73) 9 8845-1722</v>
      </c>
      <c r="Q1271" s="82" t="str">
        <f>IFERROR(__xludf.DUMMYFUNCTION("IFERROR(VLOOKUP(D1271,
IMPORTRANGE(""https://docs.google.com/spreadsheets/d/1MjHtlUikwobi2MaWJgy7tfLeBmhj1u-dRFRs_8GwSoA/edit#gid=0"",""Gestores Escolares!D7:m""),9,0),""VERIFICAR CÓD SEC"")"),"JAILTON OLIVEIRA DOS SANTOS")</f>
        <v>JAILTON OLIVEIRA DOS SANTOS</v>
      </c>
      <c r="R1271" s="82" t="str">
        <f>IFERROR(__xludf.DUMMYFUNCTION("IFERROR(VLOOKUP(D1271,
IMPORTRANGE(""https://docs.google.com/spreadsheets/d/1MjHtlUikwobi2MaWJgy7tfLeBmhj1u-dRFRs_8GwSoA/edit#gid=0"",""Gestores Escolares!D7:m""),10,0),""VERIFICAR CÓD SEC"")"),"(73) 9 8846-7077")</f>
        <v>(73) 9 8846-7077</v>
      </c>
      <c r="S1271" s="82"/>
      <c r="T1271" s="138">
        <v>8.0</v>
      </c>
      <c r="U1271" s="145">
        <v>12.0</v>
      </c>
      <c r="V1271" s="106">
        <v>0.0</v>
      </c>
      <c r="W1271" s="107">
        <v>0.0</v>
      </c>
      <c r="X1271" s="107">
        <v>0.0</v>
      </c>
      <c r="Y1271" s="107">
        <v>0.0</v>
      </c>
      <c r="Z1271" s="80">
        <f t="shared" si="1"/>
        <v>0</v>
      </c>
      <c r="AA1271" s="106">
        <v>0.0</v>
      </c>
      <c r="AB1271" s="107">
        <v>0.0</v>
      </c>
      <c r="AC1271" s="107">
        <v>0.0</v>
      </c>
      <c r="AD1271" s="107">
        <v>0.0</v>
      </c>
      <c r="AE1271" s="80">
        <f t="shared" si="2"/>
        <v>0</v>
      </c>
      <c r="AF1271" s="140">
        <v>0.0</v>
      </c>
      <c r="AG1271" s="109">
        <v>0.0</v>
      </c>
      <c r="AH1271" s="109">
        <v>0.0</v>
      </c>
      <c r="AI1271" s="141">
        <v>245.0</v>
      </c>
      <c r="AJ1271" s="80">
        <f t="shared" si="3"/>
        <v>245</v>
      </c>
      <c r="AK1271" s="140">
        <v>0.0</v>
      </c>
      <c r="AL1271" s="109">
        <v>0.0</v>
      </c>
      <c r="AM1271" s="141">
        <v>0.0</v>
      </c>
      <c r="AN1271" s="80">
        <f t="shared" si="4"/>
        <v>0</v>
      </c>
      <c r="AO1271" s="140">
        <v>0.0</v>
      </c>
      <c r="AP1271" s="109">
        <v>0.0</v>
      </c>
      <c r="AQ1271" s="109">
        <v>114.0</v>
      </c>
      <c r="AR1271" s="80">
        <f t="shared" si="5"/>
        <v>114</v>
      </c>
      <c r="AS1271" s="110">
        <v>0.0</v>
      </c>
      <c r="AT1271" s="110">
        <v>0.0</v>
      </c>
      <c r="AU1271" s="110">
        <v>32.0</v>
      </c>
      <c r="AV1271" s="142">
        <v>0.0</v>
      </c>
      <c r="AW1271" s="80">
        <f t="shared" si="6"/>
        <v>32</v>
      </c>
      <c r="AX1271" s="113">
        <f t="shared" si="7"/>
        <v>391</v>
      </c>
      <c r="AY1271" s="117">
        <f t="shared" si="8"/>
        <v>245</v>
      </c>
      <c r="AZ1271" s="120">
        <f t="shared" si="9"/>
        <v>146</v>
      </c>
      <c r="BA1271" s="115">
        <v>0.0</v>
      </c>
      <c r="BB1271" s="89">
        <f t="shared" si="10"/>
        <v>391</v>
      </c>
      <c r="BC1271" s="132" t="s">
        <v>178</v>
      </c>
      <c r="BD1271" s="132" t="s">
        <v>178</v>
      </c>
      <c r="BE1271" s="132" t="s">
        <v>178</v>
      </c>
      <c r="BF1271" s="123"/>
      <c r="BG1271" s="83">
        <v>1117850.0</v>
      </c>
      <c r="BH1271" s="112"/>
      <c r="BI1271" s="112">
        <v>8.0</v>
      </c>
      <c r="BJ1271" s="98" t="s">
        <v>155</v>
      </c>
      <c r="BK1271" s="99">
        <f t="shared" si="11"/>
        <v>245</v>
      </c>
      <c r="BL1271" s="99">
        <f t="shared" si="12"/>
        <v>0</v>
      </c>
      <c r="BM1271" s="99" t="str">
        <f>IFERROR(__xludf.DUMMYFUNCTION("IFERROR(VLOOKUP(BG1271,IMPORTRANGE(""https://docs.google.com/spreadsheets/d/1juPI-Fb8LD0YtltB2mlGEnp_R3UVu1t3wSFPzgCyHXE/edit?gid=0#gid=0"",""GERAL!A2:C""),3,0),""-"")"),"-")</f>
        <v>-</v>
      </c>
    </row>
    <row r="1272" ht="15.75" customHeight="1">
      <c r="A1272" s="111" t="s">
        <v>1535</v>
      </c>
      <c r="B1272" s="83" t="s">
        <v>7016</v>
      </c>
      <c r="C1272" s="83" t="s">
        <v>68</v>
      </c>
      <c r="D1272" s="112">
        <v>1176664.0</v>
      </c>
      <c r="E1272" s="83"/>
      <c r="F1272" s="83">
        <v>2.9408172E7</v>
      </c>
      <c r="G1272" s="119" t="s">
        <v>7098</v>
      </c>
      <c r="H1272" s="91" t="s">
        <v>7099</v>
      </c>
      <c r="I1272" s="83" t="s">
        <v>7100</v>
      </c>
      <c r="J1272" s="83" t="s">
        <v>150</v>
      </c>
      <c r="K1272" s="83" t="s">
        <v>151</v>
      </c>
      <c r="L1272" s="83" t="s">
        <v>152</v>
      </c>
      <c r="M1272" s="82" t="str">
        <f>IFERROR(__xludf.DUMMYFUNCTION("IFERROR(VLOOKUP(D1272,
IMPORTRANGE(""https://docs.google.com/spreadsheets/d/1MjHtlUikwobi2MaWJgy7tfLeBmhj1u-dRFRs_8GwSoA/edit#gid=0"",""Gestores Escolares!D7:J""),3,0),""VERIFICAR CÓD SEC"")"),"JULIANA SOUZA ALVES")</f>
        <v>JULIANA SOUZA ALVES</v>
      </c>
      <c r="N1272" s="82" t="str">
        <f>IFERROR(__xludf.DUMMYFUNCTION("IFERROR(VLOOKUP(D1272,
IMPORTRANGE(""https://docs.google.com/spreadsheets/d/1MjHtlUikwobi2MaWJgy7tfLeBmhj1u-dRFRs_8GwSoA/edit#gid=0"",""Gestores Escolares!D7:J""),4,0),""VERIFICAR CÓD SEC"")"),"(73) 9 8821-9486")</f>
        <v>(73) 9 8821-9486</v>
      </c>
      <c r="O1272" s="82" t="str">
        <f>IFERROR(__xludf.DUMMYFUNCTION("IFERROR(VLOOKUP(D1272,
IMPORTRANGE(""https://docs.google.com/spreadsheets/d/1MjHtlUikwobi2MaWJgy7tfLeBmhj1u-dRFRs_8GwSoA/edit#gid=0"",""Gestores Escolares!D7:J""),6,0),""VERIFICAR CÓD SEC"")"),"MARIA DE FÁTIMA NUNES DE SOUZA")</f>
        <v>MARIA DE FÁTIMA NUNES DE SOUZA</v>
      </c>
      <c r="P1272" s="82" t="str">
        <f>IFERROR(__xludf.DUMMYFUNCTION("IFERROR(VLOOKUP(D1272,
IMPORTRANGE(""https://docs.google.com/spreadsheets/d/1MjHtlUikwobi2MaWJgy7tfLeBmhj1u-dRFRs_8GwSoA/edit#gid=0"",""Gestores Escolares!D7:J""),7,0),""VERIFICAR CÓD SEC"")"),"(73) 9 8808-9306")</f>
        <v>(73) 9 8808-9306</v>
      </c>
      <c r="Q1272" s="82" t="str">
        <f>IFERROR(__xludf.DUMMYFUNCTION("IFERROR(VLOOKUP(D1272,
IMPORTRANGE(""https://docs.google.com/spreadsheets/d/1MjHtlUikwobi2MaWJgy7tfLeBmhj1u-dRFRs_8GwSoA/edit#gid=0"",""Gestores Escolares!D7:m""),9,0),""VERIFICAR CÓD SEC"")"),"KLEBER ANJOS BITTENCOURT BARRETO")</f>
        <v>KLEBER ANJOS BITTENCOURT BARRETO</v>
      </c>
      <c r="R1272" s="82" t="str">
        <f>IFERROR(__xludf.DUMMYFUNCTION("IFERROR(VLOOKUP(D1272,
IMPORTRANGE(""https://docs.google.com/spreadsheets/d/1MjHtlUikwobi2MaWJgy7tfLeBmhj1u-dRFRs_8GwSoA/edit#gid=0"",""Gestores Escolares!D7:m""),10,0),""VERIFICAR CÓD SEC"")"),"(73) 9 9143-2001")</f>
        <v>(73) 9 9143-2001</v>
      </c>
      <c r="S1272" s="82"/>
      <c r="T1272" s="138">
        <v>10.0</v>
      </c>
      <c r="U1272" s="145" t="s">
        <v>12897</v>
      </c>
      <c r="V1272" s="106">
        <v>0.0</v>
      </c>
      <c r="W1272" s="107">
        <v>0.0</v>
      </c>
      <c r="X1272" s="107">
        <v>0.0</v>
      </c>
      <c r="Y1272" s="107">
        <v>0.0</v>
      </c>
      <c r="Z1272" s="80">
        <f t="shared" si="1"/>
        <v>0</v>
      </c>
      <c r="AA1272" s="106">
        <v>0.0</v>
      </c>
      <c r="AB1272" s="107">
        <v>0.0</v>
      </c>
      <c r="AC1272" s="107">
        <v>0.0</v>
      </c>
      <c r="AD1272" s="107">
        <v>0.0</v>
      </c>
      <c r="AE1272" s="80">
        <f t="shared" si="2"/>
        <v>0</v>
      </c>
      <c r="AF1272" s="140">
        <v>0.0</v>
      </c>
      <c r="AG1272" s="109">
        <v>0.0</v>
      </c>
      <c r="AH1272" s="109">
        <v>0.0</v>
      </c>
      <c r="AI1272" s="141">
        <v>198.0</v>
      </c>
      <c r="AJ1272" s="80">
        <f t="shared" si="3"/>
        <v>198</v>
      </c>
      <c r="AK1272" s="140">
        <v>0.0</v>
      </c>
      <c r="AL1272" s="109">
        <v>0.0</v>
      </c>
      <c r="AM1272" s="141">
        <v>0.0</v>
      </c>
      <c r="AN1272" s="80">
        <f t="shared" si="4"/>
        <v>0</v>
      </c>
      <c r="AO1272" s="140">
        <v>0.0</v>
      </c>
      <c r="AP1272" s="109">
        <v>0.0</v>
      </c>
      <c r="AQ1272" s="109">
        <v>126.0</v>
      </c>
      <c r="AR1272" s="80">
        <f t="shared" si="5"/>
        <v>126</v>
      </c>
      <c r="AS1272" s="110">
        <v>0.0</v>
      </c>
      <c r="AT1272" s="110">
        <v>0.0</v>
      </c>
      <c r="AU1272" s="110">
        <v>0.0</v>
      </c>
      <c r="AV1272" s="142">
        <v>0.0</v>
      </c>
      <c r="AW1272" s="80">
        <f t="shared" si="6"/>
        <v>0</v>
      </c>
      <c r="AX1272" s="113">
        <f t="shared" si="7"/>
        <v>324</v>
      </c>
      <c r="AY1272" s="117">
        <f t="shared" si="8"/>
        <v>198</v>
      </c>
      <c r="AZ1272" s="120">
        <f t="shared" si="9"/>
        <v>126</v>
      </c>
      <c r="BA1272" s="115">
        <v>0.0</v>
      </c>
      <c r="BB1272" s="89">
        <f t="shared" si="10"/>
        <v>324</v>
      </c>
      <c r="BC1272" s="132" t="s">
        <v>178</v>
      </c>
      <c r="BD1272" s="132" t="s">
        <v>178</v>
      </c>
      <c r="BE1272" s="132" t="s">
        <v>178</v>
      </c>
      <c r="BF1272" s="156"/>
      <c r="BG1272" s="83">
        <v>1176664.0</v>
      </c>
      <c r="BH1272" s="112"/>
      <c r="BI1272" s="112">
        <v>10.0</v>
      </c>
      <c r="BJ1272" s="98" t="s">
        <v>155</v>
      </c>
      <c r="BK1272" s="99">
        <f t="shared" si="11"/>
        <v>198</v>
      </c>
      <c r="BL1272" s="99">
        <f t="shared" si="12"/>
        <v>0</v>
      </c>
      <c r="BM1272" s="99" t="str">
        <f>IFERROR(__xludf.DUMMYFUNCTION("IFERROR(VLOOKUP(BG1272,IMPORTRANGE(""https://docs.google.com/spreadsheets/d/1juPI-Fb8LD0YtltB2mlGEnp_R3UVu1t3wSFPzgCyHXE/edit?gid=0#gid=0"",""GERAL!A2:C""),3,0),""-"")"),"-")</f>
        <v>-</v>
      </c>
    </row>
    <row r="1273" ht="15.75" customHeight="1">
      <c r="A1273" s="111" t="s">
        <v>1535</v>
      </c>
      <c r="B1273" s="83" t="s">
        <v>7016</v>
      </c>
      <c r="C1273" s="83" t="s">
        <v>68</v>
      </c>
      <c r="D1273" s="112">
        <v>1117698.0</v>
      </c>
      <c r="E1273" s="83"/>
      <c r="F1273" s="83">
        <v>2.9228549E7</v>
      </c>
      <c r="G1273" s="119" t="s">
        <v>7107</v>
      </c>
      <c r="H1273" s="91" t="s">
        <v>7108</v>
      </c>
      <c r="I1273" s="83" t="s">
        <v>7019</v>
      </c>
      <c r="J1273" s="83" t="s">
        <v>150</v>
      </c>
      <c r="K1273" s="83" t="s">
        <v>151</v>
      </c>
      <c r="L1273" s="83" t="s">
        <v>230</v>
      </c>
      <c r="M1273" s="82" t="str">
        <f>IFERROR(__xludf.DUMMYFUNCTION("IFERROR(VLOOKUP(D1273,
IMPORTRANGE(""https://docs.google.com/spreadsheets/d/1MjHtlUikwobi2MaWJgy7tfLeBmhj1u-dRFRs_8GwSoA/edit#gid=0"",""Gestores Escolares!D7:J""),3,0),""VERIFICAR CÓD SEC"")"),"EMILY DE SOUZA SANTOS")</f>
        <v>EMILY DE SOUZA SANTOS</v>
      </c>
      <c r="N1273" s="82" t="str">
        <f>IFERROR(__xludf.DUMMYFUNCTION("IFERROR(VLOOKUP(D1273,
IMPORTRANGE(""https://docs.google.com/spreadsheets/d/1MjHtlUikwobi2MaWJgy7tfLeBmhj1u-dRFRs_8GwSoA/edit#gid=0"",""Gestores Escolares!D7:J""),4,0),""VERIFICAR CÓD SEC"")"),"(73) 9 8851-0587/
9 9117-2693")</f>
        <v>(73) 9 8851-0587/
9 9117-2693</v>
      </c>
      <c r="O1273" s="82" t="str">
        <f>IFERROR(__xludf.DUMMYFUNCTION("IFERROR(VLOOKUP(D1273,
IMPORTRANGE(""https://docs.google.com/spreadsheets/d/1MjHtlUikwobi2MaWJgy7tfLeBmhj1u-dRFRs_8GwSoA/edit#gid=0"",""Gestores Escolares!D7:J""),6,0),""VERIFICAR CÓD SEC"")"),"ROSA CLEUDE RIBEIRO OLIVEIRA")</f>
        <v>ROSA CLEUDE RIBEIRO OLIVEIRA</v>
      </c>
      <c r="P1273" s="82" t="str">
        <f>IFERROR(__xludf.DUMMYFUNCTION("IFERROR(VLOOKUP(D1273,
IMPORTRANGE(""https://docs.google.com/spreadsheets/d/1MjHtlUikwobi2MaWJgy7tfLeBmhj1u-dRFRs_8GwSoA/edit#gid=0"",""Gestores Escolares!D7:J""),7,0),""VERIFICAR CÓD SEC"")"),"(73) 9 8852-9766")</f>
        <v>(73) 9 8852-9766</v>
      </c>
      <c r="Q1273" s="82" t="str">
        <f>IFERROR(__xludf.DUMMYFUNCTION("IFERROR(VLOOKUP(D1273,
IMPORTRANGE(""https://docs.google.com/spreadsheets/d/1MjHtlUikwobi2MaWJgy7tfLeBmhj1u-dRFRs_8GwSoA/edit#gid=0"",""Gestores Escolares!D7:m""),9,0),""VERIFICAR CÓD SEC"")"),"ADRIANO DE SOUZA OLIVEIRA")</f>
        <v>ADRIANO DE SOUZA OLIVEIRA</v>
      </c>
      <c r="R1273" s="82" t="str">
        <f>IFERROR(__xludf.DUMMYFUNCTION("IFERROR(VLOOKUP(D1273,
IMPORTRANGE(""https://docs.google.com/spreadsheets/d/1MjHtlUikwobi2MaWJgy7tfLeBmhj1u-dRFRs_8GwSoA/edit#gid=0"",""Gestores Escolares!D7:m""),10,0),""VERIFICAR CÓD SEC"")"),"(73) 9 9837-0155
")</f>
        <v>(73) 9 9837-0155
</v>
      </c>
      <c r="S1273" s="82"/>
      <c r="T1273" s="138">
        <v>31.0</v>
      </c>
      <c r="U1273" s="145" t="s">
        <v>13871</v>
      </c>
      <c r="V1273" s="106">
        <v>0.0</v>
      </c>
      <c r="W1273" s="107">
        <v>0.0</v>
      </c>
      <c r="X1273" s="107">
        <v>0.0</v>
      </c>
      <c r="Y1273" s="107">
        <v>0.0</v>
      </c>
      <c r="Z1273" s="80">
        <f t="shared" si="1"/>
        <v>0</v>
      </c>
      <c r="AA1273" s="106">
        <v>0.0</v>
      </c>
      <c r="AB1273" s="107">
        <v>0.0</v>
      </c>
      <c r="AC1273" s="107">
        <v>0.0</v>
      </c>
      <c r="AD1273" s="107">
        <v>0.0</v>
      </c>
      <c r="AE1273" s="80">
        <f t="shared" si="2"/>
        <v>0</v>
      </c>
      <c r="AF1273" s="140">
        <v>412.0</v>
      </c>
      <c r="AG1273" s="109">
        <v>90.0</v>
      </c>
      <c r="AH1273" s="109">
        <v>0.0</v>
      </c>
      <c r="AI1273" s="141">
        <v>40.0</v>
      </c>
      <c r="AJ1273" s="80">
        <f t="shared" si="3"/>
        <v>542</v>
      </c>
      <c r="AK1273" s="140">
        <v>0.0</v>
      </c>
      <c r="AL1273" s="109">
        <v>0.0</v>
      </c>
      <c r="AM1273" s="141">
        <v>0.0</v>
      </c>
      <c r="AN1273" s="80">
        <f t="shared" si="4"/>
        <v>0</v>
      </c>
      <c r="AO1273" s="140">
        <v>0.0</v>
      </c>
      <c r="AP1273" s="109">
        <v>0.0</v>
      </c>
      <c r="AQ1273" s="109">
        <v>237.0</v>
      </c>
      <c r="AR1273" s="80">
        <f t="shared" si="5"/>
        <v>237</v>
      </c>
      <c r="AS1273" s="110">
        <v>237.0</v>
      </c>
      <c r="AT1273" s="110">
        <v>44.0</v>
      </c>
      <c r="AU1273" s="110">
        <v>211.0</v>
      </c>
      <c r="AV1273" s="142">
        <v>0.0</v>
      </c>
      <c r="AW1273" s="80">
        <f t="shared" si="6"/>
        <v>492</v>
      </c>
      <c r="AX1273" s="113">
        <f t="shared" si="7"/>
        <v>1271</v>
      </c>
      <c r="AY1273" s="117">
        <f t="shared" si="8"/>
        <v>823</v>
      </c>
      <c r="AZ1273" s="120">
        <f t="shared" si="9"/>
        <v>448</v>
      </c>
      <c r="BA1273" s="115">
        <v>1.0</v>
      </c>
      <c r="BB1273" s="89">
        <f t="shared" si="10"/>
        <v>1272</v>
      </c>
      <c r="BC1273" s="132" t="s">
        <v>178</v>
      </c>
      <c r="BD1273" s="132" t="s">
        <v>178</v>
      </c>
      <c r="BE1273" s="132" t="s">
        <v>178</v>
      </c>
      <c r="BF1273" s="123"/>
      <c r="BG1273" s="83">
        <v>1117698.0</v>
      </c>
      <c r="BH1273" s="112"/>
      <c r="BI1273" s="112">
        <v>18.0</v>
      </c>
      <c r="BJ1273" s="98" t="s">
        <v>155</v>
      </c>
      <c r="BK1273" s="99">
        <f t="shared" si="11"/>
        <v>40</v>
      </c>
      <c r="BL1273" s="99">
        <f t="shared" si="12"/>
        <v>783</v>
      </c>
      <c r="BM1273" s="99" t="str">
        <f>IFERROR(__xludf.DUMMYFUNCTION("IFERROR(VLOOKUP(BG1273,IMPORTRANGE(""https://docs.google.com/spreadsheets/d/1juPI-Fb8LD0YtltB2mlGEnp_R3UVu1t3wSFPzgCyHXE/edit?gid=0#gid=0"",""GERAL!A2:C""),3,0),""-"")"),"-")</f>
        <v>-</v>
      </c>
    </row>
    <row r="1274" ht="15.75" customHeight="1">
      <c r="A1274" s="111" t="s">
        <v>1535</v>
      </c>
      <c r="B1274" s="83" t="s">
        <v>7016</v>
      </c>
      <c r="C1274" s="83" t="s">
        <v>68</v>
      </c>
      <c r="D1274" s="112">
        <v>1176093.0</v>
      </c>
      <c r="E1274" s="83"/>
      <c r="F1274" s="83">
        <v>2.922769E7</v>
      </c>
      <c r="G1274" s="384" t="s">
        <v>7118</v>
      </c>
      <c r="H1274" s="91" t="s">
        <v>7119</v>
      </c>
      <c r="I1274" s="83" t="s">
        <v>7019</v>
      </c>
      <c r="J1274" s="83" t="s">
        <v>150</v>
      </c>
      <c r="K1274" s="83" t="s">
        <v>151</v>
      </c>
      <c r="L1274" s="83" t="s">
        <v>152</v>
      </c>
      <c r="M1274" s="82" t="str">
        <f>IFERROR(__xludf.DUMMYFUNCTION("IFERROR(VLOOKUP(D1274,
IMPORTRANGE(""https://docs.google.com/spreadsheets/d/1MjHtlUikwobi2MaWJgy7tfLeBmhj1u-dRFRs_8GwSoA/edit#gid=0"",""Gestores Escolares!D7:J""),3,0),""VERIFICAR CÓD SEC"")"),"DIREÇÃO DA ESCOLA: EDILBERTO GONCALVES DOS SANTOS - (73) 9 8811-8582
DIREÇÃO DA UNIDADE PM: TENENTE CARLOS FERNANDO LEITE TEIXEIRA JUNIOR - (71) 9 9962-6227
DIREÇÃO DO ADJUNTO: MAJOR PAULO RAIMUNDO DE SOUZA CRUZ - 
(73) 9 9170-0000")</f>
        <v>DIREÇÃO DA ESCOLA: EDILBERTO GONCALVES DOS SANTOS - (73) 9 8811-8582
DIREÇÃO DA UNIDADE PM: TENENTE CARLOS FERNANDO LEITE TEIXEIRA JUNIOR - (71) 9 9962-6227
DIREÇÃO DO ADJUNTO: MAJOR PAULO RAIMUNDO DE SOUZA CRUZ - 
(73) 9 9170-0000</v>
      </c>
      <c r="N1274" s="82" t="str">
        <f>IFERROR(__xludf.DUMMYFUNCTION("IFERROR(VLOOKUP(D1274,
IMPORTRANGE(""https://docs.google.com/spreadsheets/d/1MjHtlUikwobi2MaWJgy7tfLeBmhj1u-dRFRs_8GwSoA/edit#gid=0"",""Gestores Escolares!D7:J""),4,0),""VERIFICAR CÓD SEC"")"),"-")</f>
        <v>-</v>
      </c>
      <c r="O1274" s="82" t="str">
        <f>IFERROR(__xludf.DUMMYFUNCTION("IFERROR(VLOOKUP(D1274,
IMPORTRANGE(""https://docs.google.com/spreadsheets/d/1MjHtlUikwobi2MaWJgy7tfLeBmhj1u-dRFRs_8GwSoA/edit#gid=0"",""Gestores Escolares!D7:J""),6,0),""VERIFICAR CÓD SEC"")"),"MARA CRISTINA SENA MATOS")</f>
        <v>MARA CRISTINA SENA MATOS</v>
      </c>
      <c r="P1274" s="82" t="str">
        <f>IFERROR(__xludf.DUMMYFUNCTION("IFERROR(VLOOKUP(D1274,
IMPORTRANGE(""https://docs.google.com/spreadsheets/d/1MjHtlUikwobi2MaWJgy7tfLeBmhj1u-dRFRs_8GwSoA/edit#gid=0"",""Gestores Escolares!D7:J""),7,0),""VERIFICAR CÓD SEC"")")," (73) 9 9177-7344")</f>
        <v> (73) 9 9177-7344</v>
      </c>
      <c r="Q1274" s="82" t="str">
        <f>IFERROR(__xludf.DUMMYFUNCTION("IFERROR(VLOOKUP(D1274,
IMPORTRANGE(""https://docs.google.com/spreadsheets/d/1MjHtlUikwobi2MaWJgy7tfLeBmhj1u-dRFRs_8GwSoA/edit#gid=0"",""Gestores Escolares!D7:m""),9,0),""VERIFICAR CÓD SEC"")"),"")</f>
        <v/>
      </c>
      <c r="R1274" s="82" t="str">
        <f>IFERROR(__xludf.DUMMYFUNCTION("IFERROR(VLOOKUP(D1274,
IMPORTRANGE(""https://docs.google.com/spreadsheets/d/1MjHtlUikwobi2MaWJgy7tfLeBmhj1u-dRFRs_8GwSoA/edit#gid=0"",""Gestores Escolares!D7:m""),10,0),""VERIFICAR CÓD SEC"")"),"")</f>
        <v/>
      </c>
      <c r="S1274" s="82"/>
      <c r="T1274" s="138">
        <v>17.0</v>
      </c>
      <c r="U1274" s="145" t="s">
        <v>13872</v>
      </c>
      <c r="V1274" s="106">
        <v>0.0</v>
      </c>
      <c r="W1274" s="107">
        <v>0.0</v>
      </c>
      <c r="X1274" s="107">
        <v>0.0</v>
      </c>
      <c r="Y1274" s="107">
        <v>0.0</v>
      </c>
      <c r="Z1274" s="80">
        <f t="shared" si="1"/>
        <v>0</v>
      </c>
      <c r="AA1274" s="106">
        <v>122.0</v>
      </c>
      <c r="AB1274" s="107">
        <v>534.0</v>
      </c>
      <c r="AC1274" s="107">
        <v>0.0</v>
      </c>
      <c r="AD1274" s="107">
        <v>0.0</v>
      </c>
      <c r="AE1274" s="80">
        <f t="shared" si="2"/>
        <v>656</v>
      </c>
      <c r="AF1274" s="140">
        <v>411.0</v>
      </c>
      <c r="AG1274" s="109">
        <v>0.0</v>
      </c>
      <c r="AH1274" s="109">
        <v>0.0</v>
      </c>
      <c r="AI1274" s="141">
        <v>0.0</v>
      </c>
      <c r="AJ1274" s="80">
        <f t="shared" si="3"/>
        <v>411</v>
      </c>
      <c r="AK1274" s="140">
        <v>0.0</v>
      </c>
      <c r="AL1274" s="109">
        <v>0.0</v>
      </c>
      <c r="AM1274" s="141">
        <v>0.0</v>
      </c>
      <c r="AN1274" s="80">
        <f t="shared" si="4"/>
        <v>0</v>
      </c>
      <c r="AO1274" s="140">
        <v>0.0</v>
      </c>
      <c r="AP1274" s="109">
        <v>0.0</v>
      </c>
      <c r="AQ1274" s="109">
        <v>0.0</v>
      </c>
      <c r="AR1274" s="80">
        <f t="shared" si="5"/>
        <v>0</v>
      </c>
      <c r="AS1274" s="110">
        <v>0.0</v>
      </c>
      <c r="AT1274" s="110">
        <v>0.0</v>
      </c>
      <c r="AU1274" s="110">
        <v>0.0</v>
      </c>
      <c r="AV1274" s="142">
        <v>0.0</v>
      </c>
      <c r="AW1274" s="80">
        <f t="shared" si="6"/>
        <v>0</v>
      </c>
      <c r="AX1274" s="113">
        <f t="shared" si="7"/>
        <v>1067</v>
      </c>
      <c r="AY1274" s="117">
        <f t="shared" si="8"/>
        <v>1067</v>
      </c>
      <c r="AZ1274" s="120">
        <f t="shared" si="9"/>
        <v>0</v>
      </c>
      <c r="BA1274" s="115">
        <v>0.0</v>
      </c>
      <c r="BB1274" s="89">
        <f t="shared" si="10"/>
        <v>1067</v>
      </c>
      <c r="BC1274" s="143" t="s">
        <v>1014</v>
      </c>
      <c r="BD1274" s="132" t="s">
        <v>178</v>
      </c>
      <c r="BE1274" s="132" t="s">
        <v>178</v>
      </c>
      <c r="BF1274" s="156"/>
      <c r="BG1274" s="83">
        <v>1176093.0</v>
      </c>
      <c r="BH1274" s="112"/>
      <c r="BI1274" s="112">
        <v>15.0</v>
      </c>
      <c r="BJ1274" s="98" t="s">
        <v>162</v>
      </c>
      <c r="BK1274" s="99">
        <f t="shared" si="11"/>
        <v>0</v>
      </c>
      <c r="BL1274" s="99">
        <f t="shared" si="12"/>
        <v>1067</v>
      </c>
      <c r="BM1274" s="99" t="str">
        <f>IFERROR(__xludf.DUMMYFUNCTION("IFERROR(VLOOKUP(BG1274,IMPORTRANGE(""https://docs.google.com/spreadsheets/d/1juPI-Fb8LD0YtltB2mlGEnp_R3UVu1t3wSFPzgCyHXE/edit?gid=0#gid=0"",""GERAL!A2:C""),3,0),""-"")"),"-")</f>
        <v>-</v>
      </c>
    </row>
    <row r="1275" ht="15.75" customHeight="1">
      <c r="A1275" s="111" t="s">
        <v>1535</v>
      </c>
      <c r="B1275" s="83" t="s">
        <v>7016</v>
      </c>
      <c r="C1275" s="83" t="s">
        <v>68</v>
      </c>
      <c r="D1275" s="112">
        <v>1179277.0</v>
      </c>
      <c r="E1275" s="83"/>
      <c r="F1275" s="83">
        <v>2.9458994E7</v>
      </c>
      <c r="G1275" s="114" t="s">
        <v>7136</v>
      </c>
      <c r="H1275" s="91" t="s">
        <v>7137</v>
      </c>
      <c r="I1275" s="136" t="s">
        <v>7138</v>
      </c>
      <c r="J1275" s="83" t="s">
        <v>150</v>
      </c>
      <c r="K1275" s="83" t="s">
        <v>151</v>
      </c>
      <c r="L1275" s="83" t="s">
        <v>230</v>
      </c>
      <c r="M1275" s="82" t="str">
        <f>IFERROR(__xludf.DUMMYFUNCTION("IFERROR(VLOOKUP(D1275,
IMPORTRANGE(""https://docs.google.com/spreadsheets/d/1MjHtlUikwobi2MaWJgy7tfLeBmhj1u-dRFRs_8GwSoA/edit#gid=0"",""Gestores Escolares!D7:J""),3,0),""VERIFICAR CÓD SEC"")"),"EMERSON CARLOS SOOUZA PAIM")</f>
        <v>EMERSON CARLOS SOOUZA PAIM</v>
      </c>
      <c r="N1275" s="82" t="str">
        <f>IFERROR(__xludf.DUMMYFUNCTION("IFERROR(VLOOKUP(D1275,
IMPORTRANGE(""https://docs.google.com/spreadsheets/d/1MjHtlUikwobi2MaWJgy7tfLeBmhj1u-dRFRs_8GwSoA/edit#gid=0"",""Gestores Escolares!D7:J""),4,0),""VERIFICAR CÓD SEC"")"),"(73) 9 8847-9824")</f>
        <v>(73) 9 8847-9824</v>
      </c>
      <c r="O1275" s="82" t="str">
        <f>IFERROR(__xludf.DUMMYFUNCTION("IFERROR(VLOOKUP(D1275,
IMPORTRANGE(""https://docs.google.com/spreadsheets/d/1MjHtlUikwobi2MaWJgy7tfLeBmhj1u-dRFRs_8GwSoA/edit#gid=0"",""Gestores Escolares!D7:J""),6,0),""VERIFICAR CÓD SEC"")"),"DEBORA SAMPAIO LIMA MARQUES")</f>
        <v>DEBORA SAMPAIO LIMA MARQUES</v>
      </c>
      <c r="P1275" s="82" t="str">
        <f>IFERROR(__xludf.DUMMYFUNCTION("IFERROR(VLOOKUP(D1275,
IMPORTRANGE(""https://docs.google.com/spreadsheets/d/1MjHtlUikwobi2MaWJgy7tfLeBmhj1u-dRFRs_8GwSoA/edit#gid=0"",""Gestores Escolares!D7:J""),7,0),""VERIFICAR CÓD SEC"")"),"(73) 9 8838-5472")</f>
        <v>(73) 9 8838-5472</v>
      </c>
      <c r="Q1275" s="82" t="str">
        <f>IFERROR(__xludf.DUMMYFUNCTION("IFERROR(VLOOKUP(D1275,
IMPORTRANGE(""https://docs.google.com/spreadsheets/d/1MjHtlUikwobi2MaWJgy7tfLeBmhj1u-dRFRs_8GwSoA/edit#gid=0"",""Gestores Escolares!D7:m""),9,0),""VERIFICAR CÓD SEC"")"),"")</f>
        <v/>
      </c>
      <c r="R1275" s="82" t="str">
        <f>IFERROR(__xludf.DUMMYFUNCTION("IFERROR(VLOOKUP(D1275,
IMPORTRANGE(""https://docs.google.com/spreadsheets/d/1MjHtlUikwobi2MaWJgy7tfLeBmhj1u-dRFRs_8GwSoA/edit#gid=0"",""Gestores Escolares!D7:m""),10,0),""VERIFICAR CÓD SEC"")"),"")</f>
        <v/>
      </c>
      <c r="S1275" s="82"/>
      <c r="T1275" s="138" t="s">
        <v>171</v>
      </c>
      <c r="U1275" s="145" t="s">
        <v>7589</v>
      </c>
      <c r="V1275" s="106">
        <v>0.0</v>
      </c>
      <c r="W1275" s="107">
        <v>0.0</v>
      </c>
      <c r="X1275" s="107">
        <v>0.0</v>
      </c>
      <c r="Y1275" s="107">
        <v>0.0</v>
      </c>
      <c r="Z1275" s="80">
        <f t="shared" si="1"/>
        <v>0</v>
      </c>
      <c r="AA1275" s="106">
        <v>0.0</v>
      </c>
      <c r="AB1275" s="107">
        <v>0.0</v>
      </c>
      <c r="AC1275" s="107">
        <v>0.0</v>
      </c>
      <c r="AD1275" s="107">
        <v>0.0</v>
      </c>
      <c r="AE1275" s="80">
        <f t="shared" si="2"/>
        <v>0</v>
      </c>
      <c r="AF1275" s="140">
        <v>0.0</v>
      </c>
      <c r="AG1275" s="109">
        <v>0.0</v>
      </c>
      <c r="AH1275" s="109">
        <v>0.0</v>
      </c>
      <c r="AI1275" s="141">
        <v>0.0</v>
      </c>
      <c r="AJ1275" s="80">
        <f t="shared" si="3"/>
        <v>0</v>
      </c>
      <c r="AK1275" s="140">
        <v>0.0</v>
      </c>
      <c r="AL1275" s="109">
        <v>0.0</v>
      </c>
      <c r="AM1275" s="141">
        <v>0.0</v>
      </c>
      <c r="AN1275" s="80">
        <f t="shared" si="4"/>
        <v>0</v>
      </c>
      <c r="AO1275" s="140">
        <v>0.0</v>
      </c>
      <c r="AP1275" s="109">
        <v>0.0</v>
      </c>
      <c r="AQ1275" s="109">
        <v>0.0</v>
      </c>
      <c r="AR1275" s="80">
        <f t="shared" si="5"/>
        <v>0</v>
      </c>
      <c r="AS1275" s="110">
        <v>0.0</v>
      </c>
      <c r="AT1275" s="110">
        <v>0.0</v>
      </c>
      <c r="AU1275" s="110">
        <v>0.0</v>
      </c>
      <c r="AV1275" s="142">
        <v>0.0</v>
      </c>
      <c r="AW1275" s="80">
        <f t="shared" si="6"/>
        <v>0</v>
      </c>
      <c r="AX1275" s="113">
        <f t="shared" si="7"/>
        <v>0</v>
      </c>
      <c r="AY1275" s="117">
        <f t="shared" si="8"/>
        <v>0</v>
      </c>
      <c r="AZ1275" s="120">
        <f t="shared" si="9"/>
        <v>0</v>
      </c>
      <c r="BA1275" s="115">
        <v>0.0</v>
      </c>
      <c r="BB1275" s="89">
        <f t="shared" si="10"/>
        <v>0</v>
      </c>
      <c r="BC1275" s="132" t="s">
        <v>227</v>
      </c>
      <c r="BD1275" s="132" t="s">
        <v>227</v>
      </c>
      <c r="BE1275" s="132" t="s">
        <v>178</v>
      </c>
      <c r="BF1275" s="156" t="s">
        <v>534</v>
      </c>
      <c r="BG1275" s="83">
        <v>1179277.0</v>
      </c>
      <c r="BH1275" s="112"/>
      <c r="BI1275" s="112">
        <v>0.0</v>
      </c>
      <c r="BJ1275" s="98" t="s">
        <v>155</v>
      </c>
      <c r="BK1275" s="99">
        <f t="shared" si="11"/>
        <v>0</v>
      </c>
      <c r="BL1275" s="99">
        <f t="shared" si="12"/>
        <v>0</v>
      </c>
      <c r="BM1275" s="99" t="str">
        <f>IFERROR(__xludf.DUMMYFUNCTION("IFERROR(VLOOKUP(BG1275,IMPORTRANGE(""https://docs.google.com/spreadsheets/d/1juPI-Fb8LD0YtltB2mlGEnp_R3UVu1t3wSFPzgCyHXE/edit?gid=0#gid=0"",""GERAL!A2:C""),3,0),""-"")"),"-")</f>
        <v>-</v>
      </c>
    </row>
    <row r="1276" ht="15.75" customHeight="1">
      <c r="A1276" s="111" t="s">
        <v>1535</v>
      </c>
      <c r="B1276" s="83" t="s">
        <v>7016</v>
      </c>
      <c r="C1276" s="83" t="s">
        <v>68</v>
      </c>
      <c r="D1276" s="112">
        <v>1179659.0</v>
      </c>
      <c r="E1276" s="83"/>
      <c r="F1276" s="83">
        <v>2.94739E7</v>
      </c>
      <c r="G1276" s="114" t="s">
        <v>7141</v>
      </c>
      <c r="H1276" s="91" t="s">
        <v>7142</v>
      </c>
      <c r="I1276" s="83" t="s">
        <v>7138</v>
      </c>
      <c r="J1276" s="83" t="s">
        <v>150</v>
      </c>
      <c r="K1276" s="83" t="s">
        <v>151</v>
      </c>
      <c r="L1276" s="83" t="s">
        <v>230</v>
      </c>
      <c r="M1276" s="82" t="str">
        <f>IFERROR(__xludf.DUMMYFUNCTION("IFERROR(VLOOKUP(D1276,
IMPORTRANGE(""https://docs.google.com/spreadsheets/d/1MjHtlUikwobi2MaWJgy7tfLeBmhj1u-dRFRs_8GwSoA/edit#gid=0"",""Gestores Escolares!D7:J""),3,0),""VERIFICAR CÓD SEC"")"),"SAÚ DA SILVA SOUZA")</f>
        <v>SAÚ DA SILVA SOUZA</v>
      </c>
      <c r="N1276" s="82" t="str">
        <f>IFERROR(__xludf.DUMMYFUNCTION("IFERROR(VLOOKUP(D1276,
IMPORTRANGE(""https://docs.google.com/spreadsheets/d/1MjHtlUikwobi2MaWJgy7tfLeBmhj1u-dRFRs_8GwSoA/edit#gid=0"",""Gestores Escolares!D7:J""),4,0),""VERIFICAR CÓD SEC"")"),"(73) 9 9160 - 5199/ 
9 9121-6438")</f>
        <v>(73) 9 9160 - 5199/ 
9 9121-6438</v>
      </c>
      <c r="O1276" s="82" t="str">
        <f>IFERROR(__xludf.DUMMYFUNCTION("IFERROR(VLOOKUP(D1276,
IMPORTRANGE(""https://docs.google.com/spreadsheets/d/1MjHtlUikwobi2MaWJgy7tfLeBmhj1u-dRFRs_8GwSoA/edit#gid=0"",""Gestores Escolares!D7:J""),6,0),""VERIFICAR CÓD SEC"")"),"LUCIARA PEREIRA DA SILVA FURTUOZO")</f>
        <v>LUCIARA PEREIRA DA SILVA FURTUOZO</v>
      </c>
      <c r="P1276" s="82" t="str">
        <f>IFERROR(__xludf.DUMMYFUNCTION("IFERROR(VLOOKUP(D1276,
IMPORTRANGE(""https://docs.google.com/spreadsheets/d/1MjHtlUikwobi2MaWJgy7tfLeBmhj1u-dRFRs_8GwSoA/edit#gid=0"",""Gestores Escolares!D7:J""),7,0),""VERIFICAR CÓD SEC"")"),"(73) 9 8878-3155")</f>
        <v>(73) 9 8878-3155</v>
      </c>
      <c r="Q1276" s="82" t="str">
        <f>IFERROR(__xludf.DUMMYFUNCTION("IFERROR(VLOOKUP(D1276,
IMPORTRANGE(""https://docs.google.com/spreadsheets/d/1MjHtlUikwobi2MaWJgy7tfLeBmhj1u-dRFRs_8GwSoA/edit#gid=0"",""Gestores Escolares!D7:m""),9,0),""VERIFICAR CÓD SEC"")"),"")</f>
        <v/>
      </c>
      <c r="R1276" s="82" t="str">
        <f>IFERROR(__xludf.DUMMYFUNCTION("IFERROR(VLOOKUP(D1276,
IMPORTRANGE(""https://docs.google.com/spreadsheets/d/1MjHtlUikwobi2MaWJgy7tfLeBmhj1u-dRFRs_8GwSoA/edit#gid=0"",""Gestores Escolares!D7:m""),10,0),""VERIFICAR CÓD SEC"")"),"")</f>
        <v/>
      </c>
      <c r="S1276" s="82"/>
      <c r="T1276" s="138" t="s">
        <v>171</v>
      </c>
      <c r="U1276" s="145">
        <v>4.0</v>
      </c>
      <c r="V1276" s="106">
        <v>0.0</v>
      </c>
      <c r="W1276" s="107">
        <v>0.0</v>
      </c>
      <c r="X1276" s="107">
        <v>0.0</v>
      </c>
      <c r="Y1276" s="107">
        <v>0.0</v>
      </c>
      <c r="Z1276" s="80">
        <f t="shared" si="1"/>
        <v>0</v>
      </c>
      <c r="AA1276" s="106">
        <v>0.0</v>
      </c>
      <c r="AB1276" s="107">
        <v>0.0</v>
      </c>
      <c r="AC1276" s="107">
        <v>0.0</v>
      </c>
      <c r="AD1276" s="107">
        <v>0.0</v>
      </c>
      <c r="AE1276" s="80">
        <f t="shared" si="2"/>
        <v>0</v>
      </c>
      <c r="AF1276" s="140">
        <v>0.0</v>
      </c>
      <c r="AG1276" s="109">
        <v>0.0</v>
      </c>
      <c r="AH1276" s="109">
        <v>0.0</v>
      </c>
      <c r="AI1276" s="141">
        <v>0.0</v>
      </c>
      <c r="AJ1276" s="80">
        <f t="shared" si="3"/>
        <v>0</v>
      </c>
      <c r="AK1276" s="140">
        <v>0.0</v>
      </c>
      <c r="AL1276" s="109">
        <v>0.0</v>
      </c>
      <c r="AM1276" s="141">
        <v>0.0</v>
      </c>
      <c r="AN1276" s="80">
        <f t="shared" si="4"/>
        <v>0</v>
      </c>
      <c r="AO1276" s="140">
        <v>0.0</v>
      </c>
      <c r="AP1276" s="109">
        <v>0.0</v>
      </c>
      <c r="AQ1276" s="109">
        <v>0.0</v>
      </c>
      <c r="AR1276" s="80">
        <f t="shared" si="5"/>
        <v>0</v>
      </c>
      <c r="AS1276" s="110">
        <v>0.0</v>
      </c>
      <c r="AT1276" s="110">
        <v>0.0</v>
      </c>
      <c r="AU1276" s="110">
        <v>0.0</v>
      </c>
      <c r="AV1276" s="142">
        <v>0.0</v>
      </c>
      <c r="AW1276" s="80">
        <f t="shared" si="6"/>
        <v>0</v>
      </c>
      <c r="AX1276" s="113">
        <f t="shared" si="7"/>
        <v>0</v>
      </c>
      <c r="AY1276" s="117">
        <f t="shared" si="8"/>
        <v>0</v>
      </c>
      <c r="AZ1276" s="120">
        <f t="shared" si="9"/>
        <v>0</v>
      </c>
      <c r="BA1276" s="168">
        <v>0.0</v>
      </c>
      <c r="BB1276" s="89">
        <f t="shared" si="10"/>
        <v>0</v>
      </c>
      <c r="BC1276" s="143" t="s">
        <v>547</v>
      </c>
      <c r="BD1276" s="143" t="s">
        <v>547</v>
      </c>
      <c r="BE1276" s="132" t="s">
        <v>178</v>
      </c>
      <c r="BF1276" s="156"/>
      <c r="BG1276" s="83">
        <v>1179659.0</v>
      </c>
      <c r="BH1276" s="112"/>
      <c r="BI1276" s="112">
        <v>4.0</v>
      </c>
      <c r="BJ1276" s="98" t="s">
        <v>155</v>
      </c>
      <c r="BK1276" s="99">
        <f t="shared" si="11"/>
        <v>0</v>
      </c>
      <c r="BL1276" s="99">
        <f t="shared" si="12"/>
        <v>0</v>
      </c>
      <c r="BM1276" s="99" t="str">
        <f>IFERROR(__xludf.DUMMYFUNCTION("IFERROR(VLOOKUP(BG1276,IMPORTRANGE(""https://docs.google.com/spreadsheets/d/1juPI-Fb8LD0YtltB2mlGEnp_R3UVu1t3wSFPzgCyHXE/edit?gid=0#gid=0"",""GERAL!A2:C""),3,0),""-"")"),"-")</f>
        <v>-</v>
      </c>
    </row>
    <row r="1277" ht="15.75" customHeight="1">
      <c r="A1277" s="111" t="s">
        <v>1535</v>
      </c>
      <c r="B1277" s="83" t="s">
        <v>7016</v>
      </c>
      <c r="C1277" s="83" t="s">
        <v>68</v>
      </c>
      <c r="D1277" s="112">
        <v>1117892.0</v>
      </c>
      <c r="E1277" s="83"/>
      <c r="F1277" s="83">
        <v>2.9229529E7</v>
      </c>
      <c r="G1277" s="114" t="s">
        <v>7153</v>
      </c>
      <c r="H1277" s="91" t="s">
        <v>7154</v>
      </c>
      <c r="I1277" s="136" t="s">
        <v>7155</v>
      </c>
      <c r="J1277" s="83" t="s">
        <v>150</v>
      </c>
      <c r="K1277" s="83" t="s">
        <v>151</v>
      </c>
      <c r="L1277" s="83" t="s">
        <v>230</v>
      </c>
      <c r="M1277" s="82" t="str">
        <f>IFERROR(__xludf.DUMMYFUNCTION("IFERROR(VLOOKUP(D1277,
IMPORTRANGE(""https://docs.google.com/spreadsheets/d/1MjHtlUikwobi2MaWJgy7tfLeBmhj1u-dRFRs_8GwSoA/edit#gid=0"",""Gestores Escolares!D7:J""),3,0),""VERIFICAR CÓD SEC"")"),"LUCIANA SILVA DE DEUS")</f>
        <v>LUCIANA SILVA DE DEUS</v>
      </c>
      <c r="N1277" s="82" t="str">
        <f>IFERROR(__xludf.DUMMYFUNCTION("IFERROR(VLOOKUP(D1277,
IMPORTRANGE(""https://docs.google.com/spreadsheets/d/1MjHtlUikwobi2MaWJgy7tfLeBmhj1u-dRFRs_8GwSoA/edit#gid=0"",""Gestores Escolares!D7:J""),4,0),""VERIFICAR CÓD SEC"")"),"(73) 9 9137-4464")</f>
        <v>(73) 9 9137-4464</v>
      </c>
      <c r="O1277" s="82" t="str">
        <f>IFERROR(__xludf.DUMMYFUNCTION("IFERROR(VLOOKUP(D1277,
IMPORTRANGE(""https://docs.google.com/spreadsheets/d/1MjHtlUikwobi2MaWJgy7tfLeBmhj1u-dRFRs_8GwSoA/edit#gid=0"",""Gestores Escolares!D7:J""),6,0),""VERIFICAR CÓD SEC"")"),"GENIVALDO SANTOS GOMES")</f>
        <v>GENIVALDO SANTOS GOMES</v>
      </c>
      <c r="P1277" s="82" t="str">
        <f>IFERROR(__xludf.DUMMYFUNCTION("IFERROR(VLOOKUP(D1277,
IMPORTRANGE(""https://docs.google.com/spreadsheets/d/1MjHtlUikwobi2MaWJgy7tfLeBmhj1u-dRFRs_8GwSoA/edit#gid=0"",""Gestores Escolares!D7:J""),7,0),""VERIFICAR CÓD SEC"")"),"(73) 9 8803 8799")</f>
        <v>(73) 9 8803 8799</v>
      </c>
      <c r="Q1277" s="82" t="str">
        <f>IFERROR(__xludf.DUMMYFUNCTION("IFERROR(VLOOKUP(D1277,
IMPORTRANGE(""https://docs.google.com/spreadsheets/d/1MjHtlUikwobi2MaWJgy7tfLeBmhj1u-dRFRs_8GwSoA/edit#gid=0"",""Gestores Escolares!D7:m""),9,0),""VERIFICAR CÓD SEC"")"),"KELDO VIRGILIO SILVA ANDRADE")</f>
        <v>KELDO VIRGILIO SILVA ANDRADE</v>
      </c>
      <c r="R1277" s="82" t="str">
        <f>IFERROR(__xludf.DUMMYFUNCTION("IFERROR(VLOOKUP(D1277,
IMPORTRANGE(""https://docs.google.com/spreadsheets/d/1MjHtlUikwobi2MaWJgy7tfLeBmhj1u-dRFRs_8GwSoA/edit#gid=0"",""Gestores Escolares!D7:m""),10,0),""VERIFICAR CÓD SEC"")"),"(73) 9 8193 8496")</f>
        <v>(73) 9 8193 8496</v>
      </c>
      <c r="S1277" s="82"/>
      <c r="T1277" s="138">
        <v>38.0</v>
      </c>
      <c r="U1277" s="145">
        <v>34.0</v>
      </c>
      <c r="V1277" s="106">
        <v>0.0</v>
      </c>
      <c r="W1277" s="107">
        <v>0.0</v>
      </c>
      <c r="X1277" s="107">
        <v>0.0</v>
      </c>
      <c r="Y1277" s="107">
        <v>0.0</v>
      </c>
      <c r="Z1277" s="80">
        <f t="shared" si="1"/>
        <v>0</v>
      </c>
      <c r="AA1277" s="106">
        <v>0.0</v>
      </c>
      <c r="AB1277" s="107">
        <v>0.0</v>
      </c>
      <c r="AC1277" s="107">
        <v>0.0</v>
      </c>
      <c r="AD1277" s="107">
        <v>0.0</v>
      </c>
      <c r="AE1277" s="80">
        <f t="shared" si="2"/>
        <v>0</v>
      </c>
      <c r="AF1277" s="140">
        <v>0.0</v>
      </c>
      <c r="AG1277" s="109">
        <v>0.0</v>
      </c>
      <c r="AH1277" s="109">
        <v>0.0</v>
      </c>
      <c r="AI1277" s="141">
        <v>0.0</v>
      </c>
      <c r="AJ1277" s="80">
        <f t="shared" si="3"/>
        <v>0</v>
      </c>
      <c r="AK1277" s="140">
        <v>0.0</v>
      </c>
      <c r="AL1277" s="109">
        <v>0.0</v>
      </c>
      <c r="AM1277" s="141">
        <v>0.0</v>
      </c>
      <c r="AN1277" s="80">
        <f t="shared" si="4"/>
        <v>0</v>
      </c>
      <c r="AO1277" s="140">
        <v>0.0</v>
      </c>
      <c r="AP1277" s="109">
        <v>0.0</v>
      </c>
      <c r="AQ1277" s="109">
        <v>0.0</v>
      </c>
      <c r="AR1277" s="80">
        <f t="shared" si="5"/>
        <v>0</v>
      </c>
      <c r="AS1277" s="110">
        <v>560.0</v>
      </c>
      <c r="AT1277" s="110">
        <v>52.0</v>
      </c>
      <c r="AU1277" s="110">
        <v>519.0</v>
      </c>
      <c r="AV1277" s="142">
        <v>0.0</v>
      </c>
      <c r="AW1277" s="80">
        <f t="shared" si="6"/>
        <v>1131</v>
      </c>
      <c r="AX1277" s="113">
        <f t="shared" si="7"/>
        <v>1131</v>
      </c>
      <c r="AY1277" s="117">
        <f t="shared" si="8"/>
        <v>612</v>
      </c>
      <c r="AZ1277" s="120">
        <f t="shared" si="9"/>
        <v>519</v>
      </c>
      <c r="BA1277" s="115">
        <v>5.0</v>
      </c>
      <c r="BB1277" s="89">
        <f t="shared" si="10"/>
        <v>1136</v>
      </c>
      <c r="BC1277" s="132" t="s">
        <v>178</v>
      </c>
      <c r="BD1277" s="132" t="s">
        <v>779</v>
      </c>
      <c r="BE1277" s="132" t="s">
        <v>178</v>
      </c>
      <c r="BF1277" s="123"/>
      <c r="BG1277" s="83">
        <v>1117892.0</v>
      </c>
      <c r="BH1277" s="112"/>
      <c r="BI1277" s="112">
        <v>34.0</v>
      </c>
      <c r="BJ1277" s="98" t="s">
        <v>155</v>
      </c>
      <c r="BK1277" s="99">
        <f t="shared" si="11"/>
        <v>0</v>
      </c>
      <c r="BL1277" s="99">
        <f t="shared" si="12"/>
        <v>612</v>
      </c>
      <c r="BM1277" s="99" t="str">
        <f>IFERROR(__xludf.DUMMYFUNCTION("IFERROR(VLOOKUP(BG1277,IMPORTRANGE(""https://docs.google.com/spreadsheets/d/1juPI-Fb8LD0YtltB2mlGEnp_R3UVu1t3wSFPzgCyHXE/edit?gid=0#gid=0"",""GERAL!A2:C""),3,0),""-"")"),"-")</f>
        <v>-</v>
      </c>
    </row>
    <row r="1278" ht="15.75" customHeight="1">
      <c r="A1278" s="111" t="s">
        <v>1535</v>
      </c>
      <c r="B1278" s="83" t="s">
        <v>7016</v>
      </c>
      <c r="C1278" s="83" t="s">
        <v>68</v>
      </c>
      <c r="D1278" s="112">
        <v>1178421.0</v>
      </c>
      <c r="E1278" s="83"/>
      <c r="F1278" s="83">
        <v>2.9397324E7</v>
      </c>
      <c r="G1278" s="114" t="s">
        <v>7176</v>
      </c>
      <c r="H1278" s="91" t="s">
        <v>7177</v>
      </c>
      <c r="I1278" s="83" t="s">
        <v>7178</v>
      </c>
      <c r="J1278" s="83" t="s">
        <v>150</v>
      </c>
      <c r="K1278" s="83" t="s">
        <v>151</v>
      </c>
      <c r="L1278" s="83" t="s">
        <v>230</v>
      </c>
      <c r="M1278" s="82" t="str">
        <f>IFERROR(__xludf.DUMMYFUNCTION("IFERROR(VLOOKUP(D1278,
IMPORTRANGE(""https://docs.google.com/spreadsheets/d/1MjHtlUikwobi2MaWJgy7tfLeBmhj1u-dRFRs_8GwSoA/edit#gid=0"",""Gestores Escolares!D7:J""),3,0),""VERIFICAR CÓD SEC"")"),"DALILA FONSECA PONTES")</f>
        <v>DALILA FONSECA PONTES</v>
      </c>
      <c r="N1278" s="82" t="str">
        <f>IFERROR(__xludf.DUMMYFUNCTION("IFERROR(VLOOKUP(D1278,
IMPORTRANGE(""https://docs.google.com/spreadsheets/d/1MjHtlUikwobi2MaWJgy7tfLeBmhj1u-dRFRs_8GwSoA/edit#gid=0"",""Gestores Escolares!D7:J""),4,0),""VERIFICAR CÓD SEC"")"),"(73) 9 8104-1576/
9 9860-6845")</f>
        <v>(73) 9 8104-1576/
9 9860-6845</v>
      </c>
      <c r="O1278" s="82" t="str">
        <f>IFERROR(__xludf.DUMMYFUNCTION("IFERROR(VLOOKUP(D1278,
IMPORTRANGE(""https://docs.google.com/spreadsheets/d/1MjHtlUikwobi2MaWJgy7tfLeBmhj1u-dRFRs_8GwSoA/edit#gid=0"",""Gestores Escolares!D7:J""),6,0),""VERIFICAR CÓD SEC"")"),"GIRLANE DE SOUZA BRANDAO RODRIGUES")</f>
        <v>GIRLANE DE SOUZA BRANDAO RODRIGUES</v>
      </c>
      <c r="P1278" s="82" t="str">
        <f>IFERROR(__xludf.DUMMYFUNCTION("IFERROR(VLOOKUP(D1278,
IMPORTRANGE(""https://docs.google.com/spreadsheets/d/1MjHtlUikwobi2MaWJgy7tfLeBmhj1u-dRFRs_8GwSoA/edit#gid=0"",""Gestores Escolares!D7:J""),7,0),""VERIFICAR CÓD SEC"")")," (73) 9 9137-4745")</f>
        <v> (73) 9 9137-4745</v>
      </c>
      <c r="Q1278" s="82" t="str">
        <f>IFERROR(__xludf.DUMMYFUNCTION("IFERROR(VLOOKUP(D1278,
IMPORTRANGE(""https://docs.google.com/spreadsheets/d/1MjHtlUikwobi2MaWJgy7tfLeBmhj1u-dRFRs_8GwSoA/edit#gid=0"",""Gestores Escolares!D7:m""),9,0),""VERIFICAR CÓD SEC"")"),"ELISANGELA LIMA MASCARENHAS")</f>
        <v>ELISANGELA LIMA MASCARENHAS</v>
      </c>
      <c r="R1278" s="82" t="str">
        <f>IFERROR(__xludf.DUMMYFUNCTION("IFERROR(VLOOKUP(D1278,
IMPORTRANGE(""https://docs.google.com/spreadsheets/d/1MjHtlUikwobi2MaWJgy7tfLeBmhj1u-dRFRs_8GwSoA/edit#gid=0"",""Gestores Escolares!D7:m""),10,0),""VERIFICAR CÓD SEC"")"),"(73) 9 8833-8988")</f>
        <v>(73) 9 8833-8988</v>
      </c>
      <c r="S1278" s="82"/>
      <c r="T1278" s="138">
        <v>16.0</v>
      </c>
      <c r="U1278" s="145" t="s">
        <v>13873</v>
      </c>
      <c r="V1278" s="106">
        <v>0.0</v>
      </c>
      <c r="W1278" s="107">
        <v>0.0</v>
      </c>
      <c r="X1278" s="107">
        <v>0.0</v>
      </c>
      <c r="Y1278" s="107">
        <v>0.0</v>
      </c>
      <c r="Z1278" s="80">
        <f t="shared" si="1"/>
        <v>0</v>
      </c>
      <c r="AA1278" s="106">
        <v>0.0</v>
      </c>
      <c r="AB1278" s="107">
        <v>0.0</v>
      </c>
      <c r="AC1278" s="107">
        <v>0.0</v>
      </c>
      <c r="AD1278" s="107">
        <v>0.0</v>
      </c>
      <c r="AE1278" s="80">
        <f t="shared" si="2"/>
        <v>0</v>
      </c>
      <c r="AF1278" s="140">
        <v>0.0</v>
      </c>
      <c r="AG1278" s="109">
        <v>0.0</v>
      </c>
      <c r="AH1278" s="109">
        <v>0.0</v>
      </c>
      <c r="AI1278" s="141">
        <v>0.0</v>
      </c>
      <c r="AJ1278" s="80">
        <f t="shared" si="3"/>
        <v>0</v>
      </c>
      <c r="AK1278" s="140">
        <v>0.0</v>
      </c>
      <c r="AL1278" s="109">
        <v>0.0</v>
      </c>
      <c r="AM1278" s="141">
        <v>0.0</v>
      </c>
      <c r="AN1278" s="80">
        <f t="shared" si="4"/>
        <v>0</v>
      </c>
      <c r="AO1278" s="140">
        <v>0.0</v>
      </c>
      <c r="AP1278" s="109">
        <v>0.0</v>
      </c>
      <c r="AQ1278" s="109">
        <v>0.0</v>
      </c>
      <c r="AR1278" s="80">
        <f t="shared" si="5"/>
        <v>0</v>
      </c>
      <c r="AS1278" s="110">
        <v>0.0</v>
      </c>
      <c r="AT1278" s="110">
        <v>0.0</v>
      </c>
      <c r="AU1278" s="110">
        <v>0.0</v>
      </c>
      <c r="AV1278" s="142">
        <v>0.0</v>
      </c>
      <c r="AW1278" s="80">
        <f t="shared" si="6"/>
        <v>0</v>
      </c>
      <c r="AX1278" s="113">
        <f t="shared" si="7"/>
        <v>0</v>
      </c>
      <c r="AY1278" s="117">
        <f t="shared" si="8"/>
        <v>0</v>
      </c>
      <c r="AZ1278" s="120">
        <f t="shared" si="9"/>
        <v>0</v>
      </c>
      <c r="BA1278" s="168">
        <v>0.0</v>
      </c>
      <c r="BB1278" s="89">
        <f t="shared" si="10"/>
        <v>0</v>
      </c>
      <c r="BC1278" s="132" t="s">
        <v>553</v>
      </c>
      <c r="BD1278" s="132" t="s">
        <v>554</v>
      </c>
      <c r="BE1278" s="132" t="s">
        <v>178</v>
      </c>
      <c r="BF1278" s="123"/>
      <c r="BG1278" s="83">
        <v>1178421.0</v>
      </c>
      <c r="BH1278" s="112"/>
      <c r="BI1278" s="112">
        <v>16.0</v>
      </c>
      <c r="BJ1278" s="98" t="s">
        <v>155</v>
      </c>
      <c r="BK1278" s="99">
        <f t="shared" si="11"/>
        <v>0</v>
      </c>
      <c r="BL1278" s="99">
        <f t="shared" si="12"/>
        <v>0</v>
      </c>
      <c r="BM1278" s="99" t="str">
        <f>IFERROR(__xludf.DUMMYFUNCTION("IFERROR(VLOOKUP(BG1278,IMPORTRANGE(""https://docs.google.com/spreadsheets/d/1juPI-Fb8LD0YtltB2mlGEnp_R3UVu1t3wSFPzgCyHXE/edit?gid=0#gid=0"",""GERAL!A2:C""),3,0),""-"")"),"-")</f>
        <v>-</v>
      </c>
    </row>
    <row r="1279" ht="15.75" customHeight="1">
      <c r="A1279" s="111" t="s">
        <v>1535</v>
      </c>
      <c r="B1279" s="83" t="s">
        <v>7016</v>
      </c>
      <c r="C1279" s="83" t="s">
        <v>164</v>
      </c>
      <c r="D1279" s="112">
        <v>1117850.0</v>
      </c>
      <c r="E1279" s="83">
        <v>1178630.0</v>
      </c>
      <c r="F1279" s="98">
        <v>2.9492696E7</v>
      </c>
      <c r="G1279" s="114" t="s">
        <v>7195</v>
      </c>
      <c r="H1279" s="91" t="s">
        <v>7196</v>
      </c>
      <c r="I1279" s="136" t="s">
        <v>7197</v>
      </c>
      <c r="J1279" s="83" t="s">
        <v>1301</v>
      </c>
      <c r="K1279" s="83" t="s">
        <v>168</v>
      </c>
      <c r="L1279" s="83" t="s">
        <v>169</v>
      </c>
      <c r="M1279" s="82" t="str">
        <f>IFERROR(__xludf.DUMMYFUNCTION("IFERROR(VLOOKUP(D1279,
IMPORTRANGE(""https://docs.google.com/spreadsheets/d/1MjHtlUikwobi2MaWJgy7tfLeBmhj1u-dRFRs_8GwSoA/edit#gid=0"",""Gestores Escolares!D7:J""),3,0),""VERIFICAR CÓD SEC"")"),"FABRINE MACHADO DE NOVAES")</f>
        <v>FABRINE MACHADO DE NOVAES</v>
      </c>
      <c r="N1279" s="82" t="str">
        <f>IFERROR(__xludf.DUMMYFUNCTION("IFERROR(VLOOKUP(D1279,
IMPORTRANGE(""https://docs.google.com/spreadsheets/d/1MjHtlUikwobi2MaWJgy7tfLeBmhj1u-dRFRs_8GwSoA/edit#gid=0"",""Gestores Escolares!D7:J""),4,0),""VERIFICAR CÓD SEC"")"),"(73) 9 8838-0908")</f>
        <v>(73) 9 8838-0908</v>
      </c>
      <c r="O1279" s="82" t="str">
        <f>IFERROR(__xludf.DUMMYFUNCTION("IFERROR(VLOOKUP(D1279,
IMPORTRANGE(""https://docs.google.com/spreadsheets/d/1MjHtlUikwobi2MaWJgy7tfLeBmhj1u-dRFRs_8GwSoA/edit#gid=0"",""Gestores Escolares!D7:J""),6,0),""VERIFICAR CÓD SEC"")"),"VILMAR SILVA SOUZA")</f>
        <v>VILMAR SILVA SOUZA</v>
      </c>
      <c r="P1279" s="82" t="str">
        <f>IFERROR(__xludf.DUMMYFUNCTION("IFERROR(VLOOKUP(D1279,
IMPORTRANGE(""https://docs.google.com/spreadsheets/d/1MjHtlUikwobi2MaWJgy7tfLeBmhj1u-dRFRs_8GwSoA/edit#gid=0"",""Gestores Escolares!D7:J""),7,0),""VERIFICAR CÓD SEC"")"),"(73) 9 8845-1722")</f>
        <v>(73) 9 8845-1722</v>
      </c>
      <c r="Q1279" s="82" t="str">
        <f>IFERROR(__xludf.DUMMYFUNCTION("IFERROR(VLOOKUP(D1279,
IMPORTRANGE(""https://docs.google.com/spreadsheets/d/1MjHtlUikwobi2MaWJgy7tfLeBmhj1u-dRFRs_8GwSoA/edit#gid=0"",""Gestores Escolares!D7:m""),9,0),""VERIFICAR CÓD SEC"")"),"JAILTON OLIVEIRA DOS SANTOS")</f>
        <v>JAILTON OLIVEIRA DOS SANTOS</v>
      </c>
      <c r="R1279" s="82" t="str">
        <f>IFERROR(__xludf.DUMMYFUNCTION("IFERROR(VLOOKUP(D1279,
IMPORTRANGE(""https://docs.google.com/spreadsheets/d/1MjHtlUikwobi2MaWJgy7tfLeBmhj1u-dRFRs_8GwSoA/edit#gid=0"",""Gestores Escolares!D7:m""),10,0),""VERIFICAR CÓD SEC"")"),"(73) 9 8846-7077")</f>
        <v>(73) 9 8846-7077</v>
      </c>
      <c r="S1279" s="82"/>
      <c r="T1279" s="138">
        <v>9.0</v>
      </c>
      <c r="U1279" s="145">
        <v>5.0</v>
      </c>
      <c r="V1279" s="106">
        <v>0.0</v>
      </c>
      <c r="W1279" s="107">
        <v>0.0</v>
      </c>
      <c r="X1279" s="107">
        <v>0.0</v>
      </c>
      <c r="Y1279" s="107">
        <v>0.0</v>
      </c>
      <c r="Z1279" s="80">
        <f t="shared" si="1"/>
        <v>0</v>
      </c>
      <c r="AA1279" s="106">
        <v>0.0</v>
      </c>
      <c r="AB1279" s="107">
        <v>0.0</v>
      </c>
      <c r="AC1279" s="107">
        <v>0.0</v>
      </c>
      <c r="AD1279" s="107">
        <v>0.0</v>
      </c>
      <c r="AE1279" s="80">
        <f t="shared" si="2"/>
        <v>0</v>
      </c>
      <c r="AF1279" s="140">
        <v>0.0</v>
      </c>
      <c r="AG1279" s="109">
        <v>0.0</v>
      </c>
      <c r="AH1279" s="109">
        <v>0.0</v>
      </c>
      <c r="AI1279" s="141">
        <v>0.0</v>
      </c>
      <c r="AJ1279" s="80">
        <f t="shared" si="3"/>
        <v>0</v>
      </c>
      <c r="AK1279" s="140">
        <v>74.0</v>
      </c>
      <c r="AL1279" s="109">
        <v>136.0</v>
      </c>
      <c r="AM1279" s="141">
        <v>0.0</v>
      </c>
      <c r="AN1279" s="80">
        <f t="shared" si="4"/>
        <v>210</v>
      </c>
      <c r="AO1279" s="140">
        <v>55.0</v>
      </c>
      <c r="AP1279" s="109">
        <v>23.0</v>
      </c>
      <c r="AQ1279" s="109">
        <v>0.0</v>
      </c>
      <c r="AR1279" s="80">
        <f t="shared" si="5"/>
        <v>78</v>
      </c>
      <c r="AS1279" s="110">
        <v>0.0</v>
      </c>
      <c r="AT1279" s="110">
        <v>0.0</v>
      </c>
      <c r="AU1279" s="110">
        <v>0.0</v>
      </c>
      <c r="AV1279" s="142">
        <v>0.0</v>
      </c>
      <c r="AW1279" s="80">
        <f t="shared" si="6"/>
        <v>0</v>
      </c>
      <c r="AX1279" s="113">
        <f t="shared" si="7"/>
        <v>288</v>
      </c>
      <c r="AY1279" s="117">
        <f t="shared" si="8"/>
        <v>288</v>
      </c>
      <c r="AZ1279" s="120">
        <f t="shared" si="9"/>
        <v>0</v>
      </c>
      <c r="BA1279" s="115">
        <v>0.0</v>
      </c>
      <c r="BB1279" s="89">
        <f t="shared" si="10"/>
        <v>288</v>
      </c>
      <c r="BC1279" s="132" t="s">
        <v>563</v>
      </c>
      <c r="BD1279" s="132" t="s">
        <v>178</v>
      </c>
      <c r="BE1279" s="132" t="s">
        <v>178</v>
      </c>
      <c r="BF1279" s="123"/>
      <c r="BG1279" s="83">
        <v>1178630.0</v>
      </c>
      <c r="BH1279" s="112"/>
      <c r="BI1279" s="112">
        <v>5.0</v>
      </c>
      <c r="BJ1279" s="98" t="s">
        <v>155</v>
      </c>
      <c r="BK1279" s="99">
        <f t="shared" si="11"/>
        <v>0</v>
      </c>
      <c r="BL1279" s="99">
        <f t="shared" si="12"/>
        <v>288</v>
      </c>
      <c r="BM1279" s="99" t="str">
        <f>IFERROR(__xludf.DUMMYFUNCTION("IFERROR(VLOOKUP(BG1279,IMPORTRANGE(""https://docs.google.com/spreadsheets/d/1juPI-Fb8LD0YtltB2mlGEnp_R3UVu1t3wSFPzgCyHXE/edit?gid=0#gid=0"",""GERAL!A2:C""),3,0),""-"")"),"-")</f>
        <v>-</v>
      </c>
    </row>
    <row r="1280" ht="15.75" customHeight="1">
      <c r="A1280" s="111" t="s">
        <v>1535</v>
      </c>
      <c r="B1280" s="83" t="s">
        <v>7016</v>
      </c>
      <c r="C1280" s="83" t="s">
        <v>164</v>
      </c>
      <c r="D1280" s="112">
        <v>1117850.0</v>
      </c>
      <c r="E1280" s="83">
        <v>1178253.0</v>
      </c>
      <c r="F1280" s="98">
        <v>2.9492688E7</v>
      </c>
      <c r="G1280" s="114" t="s">
        <v>7198</v>
      </c>
      <c r="H1280" s="91" t="s">
        <v>7199</v>
      </c>
      <c r="I1280" s="136" t="s">
        <v>7200</v>
      </c>
      <c r="J1280" s="83" t="s">
        <v>839</v>
      </c>
      <c r="K1280" s="83" t="s">
        <v>168</v>
      </c>
      <c r="L1280" s="83" t="s">
        <v>169</v>
      </c>
      <c r="M1280" s="82" t="str">
        <f>IFERROR(__xludf.DUMMYFUNCTION("IFERROR(VLOOKUP(D1280,
IMPORTRANGE(""https://docs.google.com/spreadsheets/d/1MjHtlUikwobi2MaWJgy7tfLeBmhj1u-dRFRs_8GwSoA/edit#gid=0"",""Gestores Escolares!D7:J""),3,0),""VERIFICAR CÓD SEC"")"),"FABRINE MACHADO DE NOVAES")</f>
        <v>FABRINE MACHADO DE NOVAES</v>
      </c>
      <c r="N1280" s="82" t="str">
        <f>IFERROR(__xludf.DUMMYFUNCTION("IFERROR(VLOOKUP(D1280,
IMPORTRANGE(""https://docs.google.com/spreadsheets/d/1MjHtlUikwobi2MaWJgy7tfLeBmhj1u-dRFRs_8GwSoA/edit#gid=0"",""Gestores Escolares!D7:J""),4,0),""VERIFICAR CÓD SEC"")"),"(73) 9 8838-0908")</f>
        <v>(73) 9 8838-0908</v>
      </c>
      <c r="O1280" s="82" t="str">
        <f>IFERROR(__xludf.DUMMYFUNCTION("IFERROR(VLOOKUP(D1280,
IMPORTRANGE(""https://docs.google.com/spreadsheets/d/1MjHtlUikwobi2MaWJgy7tfLeBmhj1u-dRFRs_8GwSoA/edit#gid=0"",""Gestores Escolares!D7:J""),6,0),""VERIFICAR CÓD SEC"")"),"VILMAR SILVA SOUZA")</f>
        <v>VILMAR SILVA SOUZA</v>
      </c>
      <c r="P1280" s="82" t="str">
        <f>IFERROR(__xludf.DUMMYFUNCTION("IFERROR(VLOOKUP(D1280,
IMPORTRANGE(""https://docs.google.com/spreadsheets/d/1MjHtlUikwobi2MaWJgy7tfLeBmhj1u-dRFRs_8GwSoA/edit#gid=0"",""Gestores Escolares!D7:J""),7,0),""VERIFICAR CÓD SEC"")"),"(73) 9 8845-1722")</f>
        <v>(73) 9 8845-1722</v>
      </c>
      <c r="Q1280" s="82" t="str">
        <f>IFERROR(__xludf.DUMMYFUNCTION("IFERROR(VLOOKUP(D1280,
IMPORTRANGE(""https://docs.google.com/spreadsheets/d/1MjHtlUikwobi2MaWJgy7tfLeBmhj1u-dRFRs_8GwSoA/edit#gid=0"",""Gestores Escolares!D7:m""),9,0),""VERIFICAR CÓD SEC"")"),"JAILTON OLIVEIRA DOS SANTOS")</f>
        <v>JAILTON OLIVEIRA DOS SANTOS</v>
      </c>
      <c r="R1280" s="82" t="str">
        <f>IFERROR(__xludf.DUMMYFUNCTION("IFERROR(VLOOKUP(D1280,
IMPORTRANGE(""https://docs.google.com/spreadsheets/d/1MjHtlUikwobi2MaWJgy7tfLeBmhj1u-dRFRs_8GwSoA/edit#gid=0"",""Gestores Escolares!D7:m""),10,0),""VERIFICAR CÓD SEC"")"),"(73) 9 8846-7077")</f>
        <v>(73) 9 8846-7077</v>
      </c>
      <c r="S1280" s="82"/>
      <c r="T1280" s="138">
        <v>3.0</v>
      </c>
      <c r="U1280" s="145">
        <v>4.0</v>
      </c>
      <c r="V1280" s="106">
        <v>0.0</v>
      </c>
      <c r="W1280" s="107">
        <v>0.0</v>
      </c>
      <c r="X1280" s="107">
        <v>0.0</v>
      </c>
      <c r="Y1280" s="107">
        <v>0.0</v>
      </c>
      <c r="Z1280" s="80">
        <f t="shared" si="1"/>
        <v>0</v>
      </c>
      <c r="AA1280" s="106">
        <v>0.0</v>
      </c>
      <c r="AB1280" s="107">
        <v>0.0</v>
      </c>
      <c r="AC1280" s="107">
        <v>0.0</v>
      </c>
      <c r="AD1280" s="107">
        <v>0.0</v>
      </c>
      <c r="AE1280" s="80">
        <f t="shared" si="2"/>
        <v>0</v>
      </c>
      <c r="AF1280" s="140">
        <v>0.0</v>
      </c>
      <c r="AG1280" s="109">
        <v>0.0</v>
      </c>
      <c r="AH1280" s="109">
        <v>0.0</v>
      </c>
      <c r="AI1280" s="141">
        <v>0.0</v>
      </c>
      <c r="AJ1280" s="80">
        <f t="shared" si="3"/>
        <v>0</v>
      </c>
      <c r="AK1280" s="140">
        <v>0.0</v>
      </c>
      <c r="AL1280" s="109">
        <v>0.0</v>
      </c>
      <c r="AM1280" s="141">
        <v>0.0</v>
      </c>
      <c r="AN1280" s="80">
        <f t="shared" si="4"/>
        <v>0</v>
      </c>
      <c r="AO1280" s="140">
        <v>0.0</v>
      </c>
      <c r="AP1280" s="109">
        <v>0.0</v>
      </c>
      <c r="AQ1280" s="109">
        <v>26.0</v>
      </c>
      <c r="AR1280" s="80">
        <f t="shared" si="5"/>
        <v>26</v>
      </c>
      <c r="AS1280" s="110">
        <v>0.0</v>
      </c>
      <c r="AT1280" s="110">
        <v>0.0</v>
      </c>
      <c r="AU1280" s="110">
        <v>0.0</v>
      </c>
      <c r="AV1280" s="142">
        <v>0.0</v>
      </c>
      <c r="AW1280" s="80">
        <f t="shared" si="6"/>
        <v>0</v>
      </c>
      <c r="AX1280" s="113">
        <f t="shared" si="7"/>
        <v>26</v>
      </c>
      <c r="AY1280" s="117">
        <f t="shared" si="8"/>
        <v>0</v>
      </c>
      <c r="AZ1280" s="120">
        <f t="shared" si="9"/>
        <v>26</v>
      </c>
      <c r="BA1280" s="115">
        <v>0.0</v>
      </c>
      <c r="BB1280" s="89">
        <f t="shared" si="10"/>
        <v>26</v>
      </c>
      <c r="BC1280" s="132" t="s">
        <v>373</v>
      </c>
      <c r="BD1280" s="132" t="s">
        <v>178</v>
      </c>
      <c r="BE1280" s="132" t="s">
        <v>178</v>
      </c>
      <c r="BF1280" s="123"/>
      <c r="BG1280" s="83">
        <v>1178253.0</v>
      </c>
      <c r="BH1280" s="112"/>
      <c r="BI1280" s="112">
        <v>4.0</v>
      </c>
      <c r="BJ1280" s="98" t="s">
        <v>155</v>
      </c>
      <c r="BK1280" s="99">
        <f t="shared" si="11"/>
        <v>0</v>
      </c>
      <c r="BL1280" s="99">
        <f t="shared" si="12"/>
        <v>0</v>
      </c>
      <c r="BM1280" s="99" t="str">
        <f>IFERROR(__xludf.DUMMYFUNCTION("IFERROR(VLOOKUP(BG1280,IMPORTRANGE(""https://docs.google.com/spreadsheets/d/1juPI-Fb8LD0YtltB2mlGEnp_R3UVu1t3wSFPzgCyHXE/edit?gid=0#gid=0"",""GERAL!A2:C""),3,0),""-"")"),"CAMPO")</f>
        <v>CAMPO</v>
      </c>
    </row>
    <row r="1281" ht="15.75" customHeight="1">
      <c r="A1281" s="111" t="s">
        <v>1535</v>
      </c>
      <c r="B1281" s="83" t="s">
        <v>7016</v>
      </c>
      <c r="C1281" s="83" t="s">
        <v>164</v>
      </c>
      <c r="D1281" s="112">
        <v>1117850.0</v>
      </c>
      <c r="E1281" s="83">
        <v>1178252.0</v>
      </c>
      <c r="F1281" s="98">
        <v>2.949267E7</v>
      </c>
      <c r="G1281" s="114" t="s">
        <v>7203</v>
      </c>
      <c r="H1281" s="91" t="s">
        <v>7204</v>
      </c>
      <c r="I1281" s="136" t="s">
        <v>7205</v>
      </c>
      <c r="J1281" s="83" t="s">
        <v>1765</v>
      </c>
      <c r="K1281" s="83" t="s">
        <v>168</v>
      </c>
      <c r="L1281" s="83" t="s">
        <v>169</v>
      </c>
      <c r="M1281" s="82" t="str">
        <f>IFERROR(__xludf.DUMMYFUNCTION("IFERROR(VLOOKUP(D1281,
IMPORTRANGE(""https://docs.google.com/spreadsheets/d/1MjHtlUikwobi2MaWJgy7tfLeBmhj1u-dRFRs_8GwSoA/edit#gid=0"",""Gestores Escolares!D7:J""),3,0),""VERIFICAR CÓD SEC"")"),"FABRINE MACHADO DE NOVAES")</f>
        <v>FABRINE MACHADO DE NOVAES</v>
      </c>
      <c r="N1281" s="82" t="str">
        <f>IFERROR(__xludf.DUMMYFUNCTION("IFERROR(VLOOKUP(D1281,
IMPORTRANGE(""https://docs.google.com/spreadsheets/d/1MjHtlUikwobi2MaWJgy7tfLeBmhj1u-dRFRs_8GwSoA/edit#gid=0"",""Gestores Escolares!D7:J""),4,0),""VERIFICAR CÓD SEC"")"),"(73) 9 8838-0908")</f>
        <v>(73) 9 8838-0908</v>
      </c>
      <c r="O1281" s="82" t="str">
        <f>IFERROR(__xludf.DUMMYFUNCTION("IFERROR(VLOOKUP(D1281,
IMPORTRANGE(""https://docs.google.com/spreadsheets/d/1MjHtlUikwobi2MaWJgy7tfLeBmhj1u-dRFRs_8GwSoA/edit#gid=0"",""Gestores Escolares!D7:J""),6,0),""VERIFICAR CÓD SEC"")"),"VILMAR SILVA SOUZA")</f>
        <v>VILMAR SILVA SOUZA</v>
      </c>
      <c r="P1281" s="82" t="str">
        <f>IFERROR(__xludf.DUMMYFUNCTION("IFERROR(VLOOKUP(D1281,
IMPORTRANGE(""https://docs.google.com/spreadsheets/d/1MjHtlUikwobi2MaWJgy7tfLeBmhj1u-dRFRs_8GwSoA/edit#gid=0"",""Gestores Escolares!D7:J""),7,0),""VERIFICAR CÓD SEC"")"),"(73) 9 8845-1722")</f>
        <v>(73) 9 8845-1722</v>
      </c>
      <c r="Q1281" s="82" t="str">
        <f>IFERROR(__xludf.DUMMYFUNCTION("IFERROR(VLOOKUP(D1281,
IMPORTRANGE(""https://docs.google.com/spreadsheets/d/1MjHtlUikwobi2MaWJgy7tfLeBmhj1u-dRFRs_8GwSoA/edit#gid=0"",""Gestores Escolares!D7:m""),9,0),""VERIFICAR CÓD SEC"")"),"JAILTON OLIVEIRA DOS SANTOS")</f>
        <v>JAILTON OLIVEIRA DOS SANTOS</v>
      </c>
      <c r="R1281" s="82" t="str">
        <f>IFERROR(__xludf.DUMMYFUNCTION("IFERROR(VLOOKUP(D1281,
IMPORTRANGE(""https://docs.google.com/spreadsheets/d/1MjHtlUikwobi2MaWJgy7tfLeBmhj1u-dRFRs_8GwSoA/edit#gid=0"",""Gestores Escolares!D7:m""),10,0),""VERIFICAR CÓD SEC"")"),"(73) 9 8846-7077")</f>
        <v>(73) 9 8846-7077</v>
      </c>
      <c r="S1281" s="82"/>
      <c r="T1281" s="138">
        <v>4.0</v>
      </c>
      <c r="U1281" s="145">
        <v>3.0</v>
      </c>
      <c r="V1281" s="106">
        <v>0.0</v>
      </c>
      <c r="W1281" s="107">
        <v>0.0</v>
      </c>
      <c r="X1281" s="107">
        <v>0.0</v>
      </c>
      <c r="Y1281" s="107">
        <v>0.0</v>
      </c>
      <c r="Z1281" s="80">
        <f t="shared" si="1"/>
        <v>0</v>
      </c>
      <c r="AA1281" s="106">
        <v>0.0</v>
      </c>
      <c r="AB1281" s="107">
        <v>0.0</v>
      </c>
      <c r="AC1281" s="107">
        <v>0.0</v>
      </c>
      <c r="AD1281" s="107">
        <v>0.0</v>
      </c>
      <c r="AE1281" s="80">
        <f t="shared" si="2"/>
        <v>0</v>
      </c>
      <c r="AF1281" s="140">
        <v>0.0</v>
      </c>
      <c r="AG1281" s="109">
        <v>60.0</v>
      </c>
      <c r="AH1281" s="109">
        <v>0.0</v>
      </c>
      <c r="AI1281" s="141">
        <v>0.0</v>
      </c>
      <c r="AJ1281" s="80">
        <f t="shared" si="3"/>
        <v>60</v>
      </c>
      <c r="AK1281" s="140">
        <v>0.0</v>
      </c>
      <c r="AL1281" s="109">
        <v>0.0</v>
      </c>
      <c r="AM1281" s="141">
        <v>0.0</v>
      </c>
      <c r="AN1281" s="80">
        <f t="shared" si="4"/>
        <v>0</v>
      </c>
      <c r="AO1281" s="140">
        <v>0.0</v>
      </c>
      <c r="AP1281" s="109">
        <v>0.0</v>
      </c>
      <c r="AQ1281" s="109">
        <v>59.0</v>
      </c>
      <c r="AR1281" s="80">
        <f t="shared" si="5"/>
        <v>59</v>
      </c>
      <c r="AS1281" s="110">
        <v>0.0</v>
      </c>
      <c r="AT1281" s="110">
        <v>0.0</v>
      </c>
      <c r="AU1281" s="110">
        <v>0.0</v>
      </c>
      <c r="AV1281" s="142">
        <v>0.0</v>
      </c>
      <c r="AW1281" s="80">
        <f t="shared" si="6"/>
        <v>0</v>
      </c>
      <c r="AX1281" s="113">
        <f t="shared" si="7"/>
        <v>119</v>
      </c>
      <c r="AY1281" s="117">
        <f t="shared" si="8"/>
        <v>60</v>
      </c>
      <c r="AZ1281" s="120">
        <f t="shared" si="9"/>
        <v>59</v>
      </c>
      <c r="BA1281" s="115">
        <v>0.0</v>
      </c>
      <c r="BB1281" s="89">
        <f t="shared" si="10"/>
        <v>119</v>
      </c>
      <c r="BC1281" s="132" t="s">
        <v>373</v>
      </c>
      <c r="BD1281" s="132" t="s">
        <v>178</v>
      </c>
      <c r="BE1281" s="132" t="s">
        <v>178</v>
      </c>
      <c r="BF1281" s="179"/>
      <c r="BG1281" s="83">
        <v>1178252.0</v>
      </c>
      <c r="BH1281" s="112"/>
      <c r="BI1281" s="112">
        <v>3.0</v>
      </c>
      <c r="BJ1281" s="98" t="s">
        <v>155</v>
      </c>
      <c r="BK1281" s="99">
        <f t="shared" si="11"/>
        <v>0</v>
      </c>
      <c r="BL1281" s="99">
        <f t="shared" si="12"/>
        <v>60</v>
      </c>
      <c r="BM1281" s="99" t="str">
        <f>IFERROR(__xludf.DUMMYFUNCTION("IFERROR(VLOOKUP(BG1281,IMPORTRANGE(""https://docs.google.com/spreadsheets/d/1juPI-Fb8LD0YtltB2mlGEnp_R3UVu1t3wSFPzgCyHXE/edit?gid=0#gid=0"",""GERAL!A2:C""),3,0),""-"")"),"CAMPO")</f>
        <v>CAMPO</v>
      </c>
    </row>
    <row r="1282" ht="15.75" customHeight="1">
      <c r="A1282" s="111" t="s">
        <v>1535</v>
      </c>
      <c r="B1282" s="83" t="s">
        <v>7016</v>
      </c>
      <c r="C1282" s="83" t="s">
        <v>164</v>
      </c>
      <c r="D1282" s="112">
        <v>1179277.0</v>
      </c>
      <c r="E1282" s="83">
        <v>1178633.0</v>
      </c>
      <c r="F1282" s="98">
        <v>2.9458994E7</v>
      </c>
      <c r="G1282" s="114" t="s">
        <v>7214</v>
      </c>
      <c r="H1282" s="91" t="s">
        <v>7216</v>
      </c>
      <c r="I1282" s="136" t="s">
        <v>149</v>
      </c>
      <c r="J1282" s="83" t="s">
        <v>315</v>
      </c>
      <c r="K1282" s="83" t="s">
        <v>168</v>
      </c>
      <c r="L1282" s="83" t="s">
        <v>169</v>
      </c>
      <c r="M1282" s="82" t="str">
        <f>IFERROR(__xludf.DUMMYFUNCTION("IFERROR(VLOOKUP(D1282,
IMPORTRANGE(""https://docs.google.com/spreadsheets/d/1MjHtlUikwobi2MaWJgy7tfLeBmhj1u-dRFRs_8GwSoA/edit#gid=0"",""Gestores Escolares!D7:J""),3,0),""VERIFICAR CÓD SEC"")"),"EMERSON CARLOS SOOUZA PAIM")</f>
        <v>EMERSON CARLOS SOOUZA PAIM</v>
      </c>
      <c r="N1282" s="82" t="str">
        <f>IFERROR(__xludf.DUMMYFUNCTION("IFERROR(VLOOKUP(D1282,
IMPORTRANGE(""https://docs.google.com/spreadsheets/d/1MjHtlUikwobi2MaWJgy7tfLeBmhj1u-dRFRs_8GwSoA/edit#gid=0"",""Gestores Escolares!D7:J""),4,0),""VERIFICAR CÓD SEC"")"),"(73) 9 8847-9824")</f>
        <v>(73) 9 8847-9824</v>
      </c>
      <c r="O1282" s="82" t="str">
        <f>IFERROR(__xludf.DUMMYFUNCTION("IFERROR(VLOOKUP(D1282,
IMPORTRANGE(""https://docs.google.com/spreadsheets/d/1MjHtlUikwobi2MaWJgy7tfLeBmhj1u-dRFRs_8GwSoA/edit#gid=0"",""Gestores Escolares!D7:J""),6,0),""VERIFICAR CÓD SEC"")"),"DEBORA SAMPAIO LIMA MARQUES")</f>
        <v>DEBORA SAMPAIO LIMA MARQUES</v>
      </c>
      <c r="P1282" s="82" t="str">
        <f>IFERROR(__xludf.DUMMYFUNCTION("IFERROR(VLOOKUP(D1282,
IMPORTRANGE(""https://docs.google.com/spreadsheets/d/1MjHtlUikwobi2MaWJgy7tfLeBmhj1u-dRFRs_8GwSoA/edit#gid=0"",""Gestores Escolares!D7:J""),7,0),""VERIFICAR CÓD SEC"")"),"(73) 9 8838-5472")</f>
        <v>(73) 9 8838-5472</v>
      </c>
      <c r="Q1282" s="82" t="str">
        <f>IFERROR(__xludf.DUMMYFUNCTION("IFERROR(VLOOKUP(D1282,
IMPORTRANGE(""https://docs.google.com/spreadsheets/d/1MjHtlUikwobi2MaWJgy7tfLeBmhj1u-dRFRs_8GwSoA/edit#gid=0"",""Gestores Escolares!D7:m""),9,0),""VERIFICAR CÓD SEC"")"),"")</f>
        <v/>
      </c>
      <c r="R1282" s="82" t="str">
        <f>IFERROR(__xludf.DUMMYFUNCTION("IFERROR(VLOOKUP(D1282,
IMPORTRANGE(""https://docs.google.com/spreadsheets/d/1MjHtlUikwobi2MaWJgy7tfLeBmhj1u-dRFRs_8GwSoA/edit#gid=0"",""Gestores Escolares!D7:m""),10,0),""VERIFICAR CÓD SEC"")"),"")</f>
        <v/>
      </c>
      <c r="S1282" s="82"/>
      <c r="T1282" s="138">
        <v>3.0</v>
      </c>
      <c r="U1282" s="145">
        <v>3.0</v>
      </c>
      <c r="V1282" s="106">
        <v>0.0</v>
      </c>
      <c r="W1282" s="107">
        <v>0.0</v>
      </c>
      <c r="X1282" s="107">
        <v>0.0</v>
      </c>
      <c r="Y1282" s="107">
        <v>0.0</v>
      </c>
      <c r="Z1282" s="80">
        <f t="shared" si="1"/>
        <v>0</v>
      </c>
      <c r="AA1282" s="106">
        <v>0.0</v>
      </c>
      <c r="AB1282" s="107">
        <v>0.0</v>
      </c>
      <c r="AC1282" s="107">
        <v>0.0</v>
      </c>
      <c r="AD1282" s="107">
        <v>0.0</v>
      </c>
      <c r="AE1282" s="80">
        <f t="shared" si="2"/>
        <v>0</v>
      </c>
      <c r="AF1282" s="140">
        <v>0.0</v>
      </c>
      <c r="AG1282" s="109">
        <v>30.0</v>
      </c>
      <c r="AH1282" s="109">
        <v>0.0</v>
      </c>
      <c r="AI1282" s="141">
        <v>0.0</v>
      </c>
      <c r="AJ1282" s="80">
        <f t="shared" si="3"/>
        <v>30</v>
      </c>
      <c r="AK1282" s="140">
        <v>0.0</v>
      </c>
      <c r="AL1282" s="109">
        <v>0.0</v>
      </c>
      <c r="AM1282" s="141">
        <v>0.0</v>
      </c>
      <c r="AN1282" s="80">
        <f t="shared" si="4"/>
        <v>0</v>
      </c>
      <c r="AO1282" s="140">
        <v>0.0</v>
      </c>
      <c r="AP1282" s="109">
        <v>0.0</v>
      </c>
      <c r="AQ1282" s="109">
        <v>0.0</v>
      </c>
      <c r="AR1282" s="80">
        <f t="shared" si="5"/>
        <v>0</v>
      </c>
      <c r="AS1282" s="110">
        <v>0.0</v>
      </c>
      <c r="AT1282" s="110">
        <v>0.0</v>
      </c>
      <c r="AU1282" s="110">
        <v>0.0</v>
      </c>
      <c r="AV1282" s="142">
        <v>0.0</v>
      </c>
      <c r="AW1282" s="80">
        <f t="shared" si="6"/>
        <v>0</v>
      </c>
      <c r="AX1282" s="113">
        <f t="shared" si="7"/>
        <v>30</v>
      </c>
      <c r="AY1282" s="117">
        <f t="shared" si="8"/>
        <v>30</v>
      </c>
      <c r="AZ1282" s="120">
        <f t="shared" si="9"/>
        <v>0</v>
      </c>
      <c r="BA1282" s="115">
        <v>0.0</v>
      </c>
      <c r="BB1282" s="89">
        <f t="shared" si="10"/>
        <v>30</v>
      </c>
      <c r="BC1282" s="132" t="s">
        <v>178</v>
      </c>
      <c r="BD1282" s="143" t="s">
        <v>227</v>
      </c>
      <c r="BE1282" s="132" t="s">
        <v>178</v>
      </c>
      <c r="BF1282" s="123"/>
      <c r="BG1282" s="83">
        <v>1178633.0</v>
      </c>
      <c r="BH1282" s="112"/>
      <c r="BI1282" s="112">
        <v>3.0</v>
      </c>
      <c r="BJ1282" s="98" t="s">
        <v>155</v>
      </c>
      <c r="BK1282" s="99">
        <f t="shared" si="11"/>
        <v>0</v>
      </c>
      <c r="BL1282" s="99">
        <f t="shared" si="12"/>
        <v>30</v>
      </c>
      <c r="BM1282" s="99" t="str">
        <f>IFERROR(__xludf.DUMMYFUNCTION("IFERROR(VLOOKUP(BG1282,IMPORTRANGE(""https://docs.google.com/spreadsheets/d/1juPI-Fb8LD0YtltB2mlGEnp_R3UVu1t3wSFPzgCyHXE/edit?gid=0#gid=0"",""GERAL!A2:C""),3,0),""-"")"),"-")</f>
        <v>-</v>
      </c>
    </row>
    <row r="1283" ht="15.75" customHeight="1">
      <c r="A1283" s="111" t="s">
        <v>1535</v>
      </c>
      <c r="B1283" s="83" t="s">
        <v>7222</v>
      </c>
      <c r="C1283" s="83" t="s">
        <v>68</v>
      </c>
      <c r="D1283" s="98">
        <v>1178260.0</v>
      </c>
      <c r="E1283" s="83"/>
      <c r="F1283" s="83">
        <v>2.9457602E7</v>
      </c>
      <c r="G1283" s="119" t="s">
        <v>7223</v>
      </c>
      <c r="H1283" s="91" t="s">
        <v>7224</v>
      </c>
      <c r="I1283" s="83" t="s">
        <v>149</v>
      </c>
      <c r="J1283" s="83" t="s">
        <v>150</v>
      </c>
      <c r="K1283" s="83" t="s">
        <v>151</v>
      </c>
      <c r="L1283" s="83" t="s">
        <v>230</v>
      </c>
      <c r="M1283" s="82" t="str">
        <f>IFERROR(__xludf.DUMMYFUNCTION("IFERROR(VLOOKUP(D1283,
IMPORTRANGE(""https://docs.google.com/spreadsheets/d/1MjHtlUikwobi2MaWJgy7tfLeBmhj1u-dRFRs_8GwSoA/edit#gid=0"",""Gestores Escolares!D7:J""),3,0),""VERIFICAR CÓD SEC"")"),"JEFERSON ALVES DOS SANTOS")</f>
        <v>JEFERSON ALVES DOS SANTOS</v>
      </c>
      <c r="N1283" s="82" t="str">
        <f>IFERROR(__xludf.DUMMYFUNCTION("IFERROR(VLOOKUP(D1283,
IMPORTRANGE(""https://docs.google.com/spreadsheets/d/1MjHtlUikwobi2MaWJgy7tfLeBmhj1u-dRFRs_8GwSoA/edit#gid=0"",""Gestores Escolares!D7:J""),4,0),""VERIFICAR CÓD SEC"")"),"(73) 9 8817-7318")</f>
        <v>(73) 9 8817-7318</v>
      </c>
      <c r="O1283" s="82" t="str">
        <f>IFERROR(__xludf.DUMMYFUNCTION("IFERROR(VLOOKUP(D1283,
IMPORTRANGE(""https://docs.google.com/spreadsheets/d/1MjHtlUikwobi2MaWJgy7tfLeBmhj1u-dRFRs_8GwSoA/edit#gid=0"",""Gestores Escolares!D7:J""),6,0),""VERIFICAR CÓD SEC"")"),"LUANDA NOGUEIRA SOUZA")</f>
        <v>LUANDA NOGUEIRA SOUZA</v>
      </c>
      <c r="P1283" s="82" t="str">
        <f>IFERROR(__xludf.DUMMYFUNCTION("IFERROR(VLOOKUP(D1283,
IMPORTRANGE(""https://docs.google.com/spreadsheets/d/1MjHtlUikwobi2MaWJgy7tfLeBmhj1u-dRFRs_8GwSoA/edit#gid=0"",""Gestores Escolares!D7:J""),7,0),""VERIFICAR CÓD SEC"")"),"")</f>
        <v/>
      </c>
      <c r="Q1283" s="82" t="str">
        <f>IFERROR(__xludf.DUMMYFUNCTION("IFERROR(VLOOKUP(D1283,
IMPORTRANGE(""https://docs.google.com/spreadsheets/d/1MjHtlUikwobi2MaWJgy7tfLeBmhj1u-dRFRs_8GwSoA/edit#gid=0"",""Gestores Escolares!D7:m""),9,0),""VERIFICAR CÓD SEC"")"),"")</f>
        <v/>
      </c>
      <c r="R1283" s="82" t="str">
        <f>IFERROR(__xludf.DUMMYFUNCTION("IFERROR(VLOOKUP(D1283,
IMPORTRANGE(""https://docs.google.com/spreadsheets/d/1MjHtlUikwobi2MaWJgy7tfLeBmhj1u-dRFRs_8GwSoA/edit#gid=0"",""Gestores Escolares!D7:m""),10,0),""VERIFICAR CÓD SEC"")"),"")</f>
        <v/>
      </c>
      <c r="S1283" s="82"/>
      <c r="T1283" s="138">
        <v>10.0</v>
      </c>
      <c r="U1283" s="145" t="s">
        <v>13874</v>
      </c>
      <c r="V1283" s="106">
        <v>0.0</v>
      </c>
      <c r="W1283" s="107">
        <v>0.0</v>
      </c>
      <c r="X1283" s="107">
        <v>0.0</v>
      </c>
      <c r="Y1283" s="107">
        <v>0.0</v>
      </c>
      <c r="Z1283" s="80">
        <f t="shared" si="1"/>
        <v>0</v>
      </c>
      <c r="AA1283" s="106">
        <v>0.0</v>
      </c>
      <c r="AB1283" s="107">
        <v>0.0</v>
      </c>
      <c r="AC1283" s="107">
        <v>0.0</v>
      </c>
      <c r="AD1283" s="107">
        <v>0.0</v>
      </c>
      <c r="AE1283" s="80">
        <f t="shared" si="2"/>
        <v>0</v>
      </c>
      <c r="AF1283" s="140">
        <v>0.0</v>
      </c>
      <c r="AG1283" s="109">
        <v>0.0</v>
      </c>
      <c r="AH1283" s="109">
        <v>0.0</v>
      </c>
      <c r="AI1283" s="141">
        <v>354.0</v>
      </c>
      <c r="AJ1283" s="80">
        <f t="shared" si="3"/>
        <v>354</v>
      </c>
      <c r="AK1283" s="140">
        <v>0.0</v>
      </c>
      <c r="AL1283" s="109">
        <v>0.0</v>
      </c>
      <c r="AM1283" s="141">
        <v>0.0</v>
      </c>
      <c r="AN1283" s="80">
        <f t="shared" si="4"/>
        <v>0</v>
      </c>
      <c r="AO1283" s="140">
        <v>0.0</v>
      </c>
      <c r="AP1283" s="109">
        <v>0.0</v>
      </c>
      <c r="AQ1283" s="109">
        <v>146.0</v>
      </c>
      <c r="AR1283" s="80">
        <f t="shared" si="5"/>
        <v>146</v>
      </c>
      <c r="AS1283" s="110">
        <v>0.0</v>
      </c>
      <c r="AT1283" s="110">
        <v>0.0</v>
      </c>
      <c r="AU1283" s="110">
        <v>27.0</v>
      </c>
      <c r="AV1283" s="142">
        <v>0.0</v>
      </c>
      <c r="AW1283" s="80">
        <f t="shared" si="6"/>
        <v>27</v>
      </c>
      <c r="AX1283" s="113">
        <f t="shared" si="7"/>
        <v>527</v>
      </c>
      <c r="AY1283" s="117">
        <f t="shared" si="8"/>
        <v>354</v>
      </c>
      <c r="AZ1283" s="120">
        <f t="shared" si="9"/>
        <v>173</v>
      </c>
      <c r="BA1283" s="115">
        <v>0.0</v>
      </c>
      <c r="BB1283" s="89">
        <f t="shared" si="10"/>
        <v>527</v>
      </c>
      <c r="BC1283" s="132" t="s">
        <v>178</v>
      </c>
      <c r="BD1283" s="132" t="s">
        <v>178</v>
      </c>
      <c r="BE1283" s="132" t="s">
        <v>178</v>
      </c>
      <c r="BF1283" s="123"/>
      <c r="BG1283" s="83">
        <v>1178260.0</v>
      </c>
      <c r="BH1283" s="112"/>
      <c r="BI1283" s="112">
        <v>10.0</v>
      </c>
      <c r="BJ1283" s="98" t="s">
        <v>155</v>
      </c>
      <c r="BK1283" s="99">
        <f t="shared" si="11"/>
        <v>354</v>
      </c>
      <c r="BL1283" s="99">
        <f t="shared" si="12"/>
        <v>0</v>
      </c>
      <c r="BM1283" s="99" t="str">
        <f>IFERROR(__xludf.DUMMYFUNCTION("IFERROR(VLOOKUP(BG1283,IMPORTRANGE(""https://docs.google.com/spreadsheets/d/1juPI-Fb8LD0YtltB2mlGEnp_R3UVu1t3wSFPzgCyHXE/edit?gid=0#gid=0"",""GERAL!A2:C""),3,0),""-"")"),"-")</f>
        <v>-</v>
      </c>
    </row>
    <row r="1284" ht="15.75" customHeight="1">
      <c r="A1284" s="111" t="s">
        <v>1535</v>
      </c>
      <c r="B1284" s="83" t="s">
        <v>7233</v>
      </c>
      <c r="C1284" s="83" t="s">
        <v>68</v>
      </c>
      <c r="D1284" s="112">
        <v>1118147.0</v>
      </c>
      <c r="E1284" s="83"/>
      <c r="F1284" s="83">
        <v>2.927379E7</v>
      </c>
      <c r="G1284" s="187" t="s">
        <v>7236</v>
      </c>
      <c r="H1284" s="91" t="s">
        <v>7237</v>
      </c>
      <c r="I1284" s="172" t="s">
        <v>149</v>
      </c>
      <c r="J1284" s="83" t="s">
        <v>150</v>
      </c>
      <c r="K1284" s="83" t="s">
        <v>151</v>
      </c>
      <c r="L1284" s="83" t="s">
        <v>152</v>
      </c>
      <c r="M1284" s="82" t="str">
        <f>IFERROR(__xludf.DUMMYFUNCTION("IFERROR(VLOOKUP(D1284,
IMPORTRANGE(""https://docs.google.com/spreadsheets/d/1MjHtlUikwobi2MaWJgy7tfLeBmhj1u-dRFRs_8GwSoA/edit#gid=0"",""Gestores Escolares!D7:J""),3,0),""VERIFICAR CÓD SEC"")"),"          FABIANE DE AZEVEDO NOGUEIRA")</f>
        <v>          FABIANE DE AZEVEDO NOGUEIRA</v>
      </c>
      <c r="N1284" s="82" t="str">
        <f>IFERROR(__xludf.DUMMYFUNCTION("IFERROR(VLOOKUP(D1284,
IMPORTRANGE(""https://docs.google.com/spreadsheets/d/1MjHtlUikwobi2MaWJgy7tfLeBmhj1u-dRFRs_8GwSoA/edit#gid=0"",""Gestores Escolares!D7:J""),4,0),""VERIFICAR CÓD SEC"")"),"(73) 9 8239-4878")</f>
        <v>(73) 9 8239-4878</v>
      </c>
      <c r="O1284" s="82" t="str">
        <f>IFERROR(__xludf.DUMMYFUNCTION("IFERROR(VLOOKUP(D1284,
IMPORTRANGE(""https://docs.google.com/spreadsheets/d/1MjHtlUikwobi2MaWJgy7tfLeBmhj1u-dRFRs_8GwSoA/edit#gid=0"",""Gestores Escolares!D7:J""),6,0),""VERIFICAR CÓD SEC"")"),"NATANAEL ALMEIDA SANTOS")</f>
        <v>NATANAEL ALMEIDA SANTOS</v>
      </c>
      <c r="P1284" s="82" t="str">
        <f>IFERROR(__xludf.DUMMYFUNCTION("IFERROR(VLOOKUP(D1284,
IMPORTRANGE(""https://docs.google.com/spreadsheets/d/1MjHtlUikwobi2MaWJgy7tfLeBmhj1u-dRFRs_8GwSoA/edit#gid=0"",""Gestores Escolares!D7:J""),7,0),""VERIFICAR CÓD SEC"")"),"(73) 9 8836-7202")</f>
        <v>(73) 9 8836-7202</v>
      </c>
      <c r="Q1284" s="82" t="str">
        <f>IFERROR(__xludf.DUMMYFUNCTION("IFERROR(VLOOKUP(D1284,
IMPORTRANGE(""https://docs.google.com/spreadsheets/d/1MjHtlUikwobi2MaWJgy7tfLeBmhj1u-dRFRs_8GwSoA/edit#gid=0"",""Gestores Escolares!D7:m""),9,0),""VERIFICAR CÓD SEC"")"),"")</f>
        <v/>
      </c>
      <c r="R1284" s="82" t="str">
        <f>IFERROR(__xludf.DUMMYFUNCTION("IFERROR(VLOOKUP(D1284,
IMPORTRANGE(""https://docs.google.com/spreadsheets/d/1MjHtlUikwobi2MaWJgy7tfLeBmhj1u-dRFRs_8GwSoA/edit#gid=0"",""Gestores Escolares!D7:m""),10,0),""VERIFICAR CÓD SEC"")"),"")</f>
        <v/>
      </c>
      <c r="S1284" s="82"/>
      <c r="T1284" s="138">
        <v>7.0</v>
      </c>
      <c r="U1284" s="145">
        <v>9.0</v>
      </c>
      <c r="V1284" s="106">
        <v>0.0</v>
      </c>
      <c r="W1284" s="107">
        <v>0.0</v>
      </c>
      <c r="X1284" s="107">
        <v>0.0</v>
      </c>
      <c r="Y1284" s="107">
        <v>0.0</v>
      </c>
      <c r="Z1284" s="80">
        <f t="shared" si="1"/>
        <v>0</v>
      </c>
      <c r="AA1284" s="106">
        <v>0.0</v>
      </c>
      <c r="AB1284" s="107">
        <v>0.0</v>
      </c>
      <c r="AC1284" s="107">
        <v>0.0</v>
      </c>
      <c r="AD1284" s="107">
        <v>0.0</v>
      </c>
      <c r="AE1284" s="80">
        <f t="shared" si="2"/>
        <v>0</v>
      </c>
      <c r="AF1284" s="140">
        <v>0.0</v>
      </c>
      <c r="AG1284" s="109">
        <v>0.0</v>
      </c>
      <c r="AH1284" s="109">
        <v>0.0</v>
      </c>
      <c r="AI1284" s="141">
        <v>241.0</v>
      </c>
      <c r="AJ1284" s="80">
        <f t="shared" si="3"/>
        <v>241</v>
      </c>
      <c r="AK1284" s="140">
        <v>0.0</v>
      </c>
      <c r="AL1284" s="109">
        <v>0.0</v>
      </c>
      <c r="AM1284" s="141">
        <v>0.0</v>
      </c>
      <c r="AN1284" s="80">
        <f t="shared" si="4"/>
        <v>0</v>
      </c>
      <c r="AO1284" s="140">
        <v>0.0</v>
      </c>
      <c r="AP1284" s="109">
        <v>0.0</v>
      </c>
      <c r="AQ1284" s="109">
        <v>56.0</v>
      </c>
      <c r="AR1284" s="80">
        <f t="shared" si="5"/>
        <v>56</v>
      </c>
      <c r="AS1284" s="110">
        <v>0.0</v>
      </c>
      <c r="AT1284" s="110">
        <v>0.0</v>
      </c>
      <c r="AU1284" s="110">
        <v>33.0</v>
      </c>
      <c r="AV1284" s="142">
        <v>0.0</v>
      </c>
      <c r="AW1284" s="80">
        <f t="shared" si="6"/>
        <v>33</v>
      </c>
      <c r="AX1284" s="113">
        <f t="shared" si="7"/>
        <v>330</v>
      </c>
      <c r="AY1284" s="117">
        <f t="shared" si="8"/>
        <v>241</v>
      </c>
      <c r="AZ1284" s="120">
        <f t="shared" si="9"/>
        <v>89</v>
      </c>
      <c r="BA1284" s="115">
        <v>0.0</v>
      </c>
      <c r="BB1284" s="89">
        <f t="shared" si="10"/>
        <v>330</v>
      </c>
      <c r="BC1284" s="132" t="s">
        <v>178</v>
      </c>
      <c r="BD1284" s="132" t="s">
        <v>178</v>
      </c>
      <c r="BE1284" s="132" t="s">
        <v>178</v>
      </c>
      <c r="BF1284" s="123"/>
      <c r="BG1284" s="83">
        <v>1118147.0</v>
      </c>
      <c r="BH1284" s="112"/>
      <c r="BI1284" s="112">
        <v>6.0</v>
      </c>
      <c r="BJ1284" s="98" t="s">
        <v>155</v>
      </c>
      <c r="BK1284" s="99">
        <f t="shared" si="11"/>
        <v>241</v>
      </c>
      <c r="BL1284" s="99">
        <f t="shared" si="12"/>
        <v>0</v>
      </c>
      <c r="BM1284" s="99" t="str">
        <f>IFERROR(__xludf.DUMMYFUNCTION("IFERROR(VLOOKUP(BG1284,IMPORTRANGE(""https://docs.google.com/spreadsheets/d/1juPI-Fb8LD0YtltB2mlGEnp_R3UVu1t3wSFPzgCyHXE/edit?gid=0#gid=0"",""GERAL!A2:C""),3,0),""-"")"),"-")</f>
        <v>-</v>
      </c>
    </row>
    <row r="1285" ht="15.75" customHeight="1">
      <c r="A1285" s="111" t="s">
        <v>1535</v>
      </c>
      <c r="B1285" s="83" t="s">
        <v>7233</v>
      </c>
      <c r="C1285" s="83" t="s">
        <v>164</v>
      </c>
      <c r="D1285" s="112">
        <v>1118147.0</v>
      </c>
      <c r="E1285" s="98">
        <v>1179807.0</v>
      </c>
      <c r="F1285" s="98">
        <v>2.9492882E7</v>
      </c>
      <c r="G1285" s="119" t="s">
        <v>7240</v>
      </c>
      <c r="H1285" s="108" t="s">
        <v>7241</v>
      </c>
      <c r="I1285" s="136"/>
      <c r="J1285" s="83"/>
      <c r="K1285" s="83" t="s">
        <v>151</v>
      </c>
      <c r="L1285" s="83" t="s">
        <v>169</v>
      </c>
      <c r="M1285" s="82" t="str">
        <f>IFERROR(__xludf.DUMMYFUNCTION("IFERROR(VLOOKUP(D1285,
IMPORTRANGE(""https://docs.google.com/spreadsheets/d/1MjHtlUikwobi2MaWJgy7tfLeBmhj1u-dRFRs_8GwSoA/edit#gid=0"",""Gestores Escolares!D7:J""),3,0),""VERIFICAR CÓD SEC"")"),"          FABIANE DE AZEVEDO NOGUEIRA")</f>
        <v>          FABIANE DE AZEVEDO NOGUEIRA</v>
      </c>
      <c r="N1285" s="82" t="str">
        <f>IFERROR(__xludf.DUMMYFUNCTION("IFERROR(VLOOKUP(D1285,
IMPORTRANGE(""https://docs.google.com/spreadsheets/d/1MjHtlUikwobi2MaWJgy7tfLeBmhj1u-dRFRs_8GwSoA/edit#gid=0"",""Gestores Escolares!D7:J""),4,0),""VERIFICAR CÓD SEC"")"),"(73) 9 8239-4878")</f>
        <v>(73) 9 8239-4878</v>
      </c>
      <c r="O1285" s="82" t="str">
        <f>IFERROR(__xludf.DUMMYFUNCTION("IFERROR(VLOOKUP(D1285,
IMPORTRANGE(""https://docs.google.com/spreadsheets/d/1MjHtlUikwobi2MaWJgy7tfLeBmhj1u-dRFRs_8GwSoA/edit#gid=0"",""Gestores Escolares!D7:J""),6,0),""VERIFICAR CÓD SEC"")"),"NATANAEL ALMEIDA SANTOS")</f>
        <v>NATANAEL ALMEIDA SANTOS</v>
      </c>
      <c r="P1285" s="82" t="str">
        <f>IFERROR(__xludf.DUMMYFUNCTION("IFERROR(VLOOKUP(D1285,
IMPORTRANGE(""https://docs.google.com/spreadsheets/d/1MjHtlUikwobi2MaWJgy7tfLeBmhj1u-dRFRs_8GwSoA/edit#gid=0"",""Gestores Escolares!D7:J""),7,0),""VERIFICAR CÓD SEC"")"),"(73) 9 8836-7202")</f>
        <v>(73) 9 8836-7202</v>
      </c>
      <c r="Q1285" s="82" t="str">
        <f>IFERROR(__xludf.DUMMYFUNCTION("IFERROR(VLOOKUP(D1285,
IMPORTRANGE(""https://docs.google.com/spreadsheets/d/1MjHtlUikwobi2MaWJgy7tfLeBmhj1u-dRFRs_8GwSoA/edit#gid=0"",""Gestores Escolares!D7:m""),9,0),""VERIFICAR CÓD SEC"")"),"")</f>
        <v/>
      </c>
      <c r="R1285" s="82" t="str">
        <f>IFERROR(__xludf.DUMMYFUNCTION("IFERROR(VLOOKUP(D1285,
IMPORTRANGE(""https://docs.google.com/spreadsheets/d/1MjHtlUikwobi2MaWJgy7tfLeBmhj1u-dRFRs_8GwSoA/edit#gid=0"",""Gestores Escolares!D7:m""),10,0),""VERIFICAR CÓD SEC"")"),"")</f>
        <v/>
      </c>
      <c r="S1285" s="82"/>
      <c r="T1285" s="138"/>
      <c r="U1285" s="145" t="s">
        <v>171</v>
      </c>
      <c r="V1285" s="106">
        <v>0.0</v>
      </c>
      <c r="W1285" s="107">
        <v>0.0</v>
      </c>
      <c r="X1285" s="107">
        <v>0.0</v>
      </c>
      <c r="Y1285" s="107">
        <v>0.0</v>
      </c>
      <c r="Z1285" s="80">
        <f t="shared" si="1"/>
        <v>0</v>
      </c>
      <c r="AA1285" s="106">
        <v>0.0</v>
      </c>
      <c r="AB1285" s="107">
        <v>0.0</v>
      </c>
      <c r="AC1285" s="107">
        <v>0.0</v>
      </c>
      <c r="AD1285" s="107">
        <v>0.0</v>
      </c>
      <c r="AE1285" s="80">
        <f t="shared" si="2"/>
        <v>0</v>
      </c>
      <c r="AF1285" s="140">
        <v>22.0</v>
      </c>
      <c r="AG1285" s="109">
        <v>0.0</v>
      </c>
      <c r="AH1285" s="109">
        <v>0.0</v>
      </c>
      <c r="AI1285" s="141">
        <v>0.0</v>
      </c>
      <c r="AJ1285" s="80">
        <f t="shared" si="3"/>
        <v>22</v>
      </c>
      <c r="AK1285" s="140">
        <v>0.0</v>
      </c>
      <c r="AL1285" s="109">
        <v>0.0</v>
      </c>
      <c r="AM1285" s="141">
        <v>0.0</v>
      </c>
      <c r="AN1285" s="80">
        <f t="shared" si="4"/>
        <v>0</v>
      </c>
      <c r="AO1285" s="140">
        <v>0.0</v>
      </c>
      <c r="AP1285" s="109">
        <v>0.0</v>
      </c>
      <c r="AQ1285" s="109">
        <v>34.0</v>
      </c>
      <c r="AR1285" s="80">
        <f t="shared" si="5"/>
        <v>34</v>
      </c>
      <c r="AS1285" s="110">
        <v>0.0</v>
      </c>
      <c r="AT1285" s="110">
        <v>0.0</v>
      </c>
      <c r="AU1285" s="110">
        <v>0.0</v>
      </c>
      <c r="AV1285" s="142">
        <v>0.0</v>
      </c>
      <c r="AW1285" s="80">
        <f t="shared" si="6"/>
        <v>0</v>
      </c>
      <c r="AX1285" s="113">
        <f t="shared" si="7"/>
        <v>56</v>
      </c>
      <c r="AY1285" s="117">
        <f t="shared" si="8"/>
        <v>22</v>
      </c>
      <c r="AZ1285" s="120">
        <f t="shared" si="9"/>
        <v>34</v>
      </c>
      <c r="BA1285" s="115">
        <v>0.0</v>
      </c>
      <c r="BB1285" s="89">
        <f t="shared" si="10"/>
        <v>56</v>
      </c>
      <c r="BC1285" s="132"/>
      <c r="BD1285" s="143"/>
      <c r="BE1285" s="132"/>
      <c r="BF1285" s="123"/>
      <c r="BG1285" s="98">
        <v>1179807.0</v>
      </c>
      <c r="BH1285" s="112"/>
      <c r="BI1285" s="112"/>
      <c r="BJ1285" s="98" t="s">
        <v>155</v>
      </c>
      <c r="BK1285" s="99">
        <f t="shared" si="11"/>
        <v>0</v>
      </c>
      <c r="BL1285" s="99">
        <f t="shared" si="12"/>
        <v>22</v>
      </c>
      <c r="BM1285" s="99" t="str">
        <f>IFERROR(__xludf.DUMMYFUNCTION("IFERROR(VLOOKUP(BG1285,IMPORTRANGE(""https://docs.google.com/spreadsheets/d/1juPI-Fb8LD0YtltB2mlGEnp_R3UVu1t3wSFPzgCyHXE/edit?gid=0#gid=0"",""GERAL!A2:C""),3,0),""-"")"),"-")</f>
        <v>-</v>
      </c>
    </row>
    <row r="1286" ht="15.75" customHeight="1">
      <c r="A1286" s="111" t="s">
        <v>1535</v>
      </c>
      <c r="B1286" s="83" t="s">
        <v>7233</v>
      </c>
      <c r="C1286" s="83" t="s">
        <v>164</v>
      </c>
      <c r="D1286" s="112">
        <v>1118147.0</v>
      </c>
      <c r="E1286" s="98">
        <v>1179808.0</v>
      </c>
      <c r="F1286" s="98">
        <v>2.9492874E7</v>
      </c>
      <c r="G1286" s="119" t="s">
        <v>7242</v>
      </c>
      <c r="H1286" s="108" t="s">
        <v>7243</v>
      </c>
      <c r="I1286" s="172" t="s">
        <v>149</v>
      </c>
      <c r="J1286" s="83"/>
      <c r="K1286" s="83" t="s">
        <v>151</v>
      </c>
      <c r="L1286" s="83" t="s">
        <v>169</v>
      </c>
      <c r="M1286" s="82" t="str">
        <f>IFERROR(__xludf.DUMMYFUNCTION("IFERROR(VLOOKUP(D1286,
IMPORTRANGE(""https://docs.google.com/spreadsheets/d/1MjHtlUikwobi2MaWJgy7tfLeBmhj1u-dRFRs_8GwSoA/edit#gid=0"",""Gestores Escolares!D7:J""),3,0),""VERIFICAR CÓD SEC"")"),"          FABIANE DE AZEVEDO NOGUEIRA")</f>
        <v>          FABIANE DE AZEVEDO NOGUEIRA</v>
      </c>
      <c r="N1286" s="82" t="str">
        <f>IFERROR(__xludf.DUMMYFUNCTION("IFERROR(VLOOKUP(D1286,
IMPORTRANGE(""https://docs.google.com/spreadsheets/d/1MjHtlUikwobi2MaWJgy7tfLeBmhj1u-dRFRs_8GwSoA/edit#gid=0"",""Gestores Escolares!D7:J""),4,0),""VERIFICAR CÓD SEC"")"),"(73) 9 8239-4878")</f>
        <v>(73) 9 8239-4878</v>
      </c>
      <c r="O1286" s="82" t="str">
        <f>IFERROR(__xludf.DUMMYFUNCTION("IFERROR(VLOOKUP(D1286,
IMPORTRANGE(""https://docs.google.com/spreadsheets/d/1MjHtlUikwobi2MaWJgy7tfLeBmhj1u-dRFRs_8GwSoA/edit#gid=0"",""Gestores Escolares!D7:J""),6,0),""VERIFICAR CÓD SEC"")"),"NATANAEL ALMEIDA SANTOS")</f>
        <v>NATANAEL ALMEIDA SANTOS</v>
      </c>
      <c r="P1286" s="82" t="str">
        <f>IFERROR(__xludf.DUMMYFUNCTION("IFERROR(VLOOKUP(D1286,
IMPORTRANGE(""https://docs.google.com/spreadsheets/d/1MjHtlUikwobi2MaWJgy7tfLeBmhj1u-dRFRs_8GwSoA/edit#gid=0"",""Gestores Escolares!D7:J""),7,0),""VERIFICAR CÓD SEC"")"),"(73) 9 8836-7202")</f>
        <v>(73) 9 8836-7202</v>
      </c>
      <c r="Q1286" s="82" t="str">
        <f>IFERROR(__xludf.DUMMYFUNCTION("IFERROR(VLOOKUP(D1286,
IMPORTRANGE(""https://docs.google.com/spreadsheets/d/1MjHtlUikwobi2MaWJgy7tfLeBmhj1u-dRFRs_8GwSoA/edit#gid=0"",""Gestores Escolares!D7:m""),9,0),""VERIFICAR CÓD SEC"")"),"")</f>
        <v/>
      </c>
      <c r="R1286" s="82" t="str">
        <f>IFERROR(__xludf.DUMMYFUNCTION("IFERROR(VLOOKUP(D1286,
IMPORTRANGE(""https://docs.google.com/spreadsheets/d/1MjHtlUikwobi2MaWJgy7tfLeBmhj1u-dRFRs_8GwSoA/edit#gid=0"",""Gestores Escolares!D7:m""),10,0),""VERIFICAR CÓD SEC"")"),"")</f>
        <v/>
      </c>
      <c r="S1286" s="82"/>
      <c r="T1286" s="138"/>
      <c r="U1286" s="145" t="s">
        <v>171</v>
      </c>
      <c r="V1286" s="106">
        <v>0.0</v>
      </c>
      <c r="W1286" s="107">
        <v>0.0</v>
      </c>
      <c r="X1286" s="107">
        <v>0.0</v>
      </c>
      <c r="Y1286" s="107">
        <v>0.0</v>
      </c>
      <c r="Z1286" s="80">
        <f t="shared" si="1"/>
        <v>0</v>
      </c>
      <c r="AA1286" s="106">
        <v>0.0</v>
      </c>
      <c r="AB1286" s="107">
        <v>0.0</v>
      </c>
      <c r="AC1286" s="107">
        <v>0.0</v>
      </c>
      <c r="AD1286" s="107">
        <v>0.0</v>
      </c>
      <c r="AE1286" s="80">
        <f t="shared" si="2"/>
        <v>0</v>
      </c>
      <c r="AF1286" s="140">
        <v>24.0</v>
      </c>
      <c r="AG1286" s="109">
        <v>82.0</v>
      </c>
      <c r="AH1286" s="109">
        <v>0.0</v>
      </c>
      <c r="AI1286" s="141">
        <v>0.0</v>
      </c>
      <c r="AJ1286" s="80">
        <f t="shared" si="3"/>
        <v>106</v>
      </c>
      <c r="AK1286" s="140">
        <v>0.0</v>
      </c>
      <c r="AL1286" s="109">
        <v>0.0</v>
      </c>
      <c r="AM1286" s="141">
        <v>0.0</v>
      </c>
      <c r="AN1286" s="80">
        <f t="shared" si="4"/>
        <v>0</v>
      </c>
      <c r="AO1286" s="140">
        <v>0.0</v>
      </c>
      <c r="AP1286" s="109">
        <v>0.0</v>
      </c>
      <c r="AQ1286" s="109">
        <v>0.0</v>
      </c>
      <c r="AR1286" s="80">
        <f t="shared" si="5"/>
        <v>0</v>
      </c>
      <c r="AS1286" s="110">
        <v>0.0</v>
      </c>
      <c r="AT1286" s="110">
        <v>0.0</v>
      </c>
      <c r="AU1286" s="110">
        <v>0.0</v>
      </c>
      <c r="AV1286" s="142">
        <v>0.0</v>
      </c>
      <c r="AW1286" s="80">
        <f t="shared" si="6"/>
        <v>0</v>
      </c>
      <c r="AX1286" s="113">
        <f t="shared" si="7"/>
        <v>106</v>
      </c>
      <c r="AY1286" s="117">
        <f t="shared" si="8"/>
        <v>106</v>
      </c>
      <c r="AZ1286" s="120">
        <f t="shared" si="9"/>
        <v>0</v>
      </c>
      <c r="BA1286" s="115">
        <v>0.0</v>
      </c>
      <c r="BB1286" s="89">
        <f t="shared" si="10"/>
        <v>106</v>
      </c>
      <c r="BC1286" s="132"/>
      <c r="BD1286" s="143"/>
      <c r="BE1286" s="132"/>
      <c r="BF1286" s="123"/>
      <c r="BG1286" s="98">
        <v>1179808.0</v>
      </c>
      <c r="BH1286" s="112"/>
      <c r="BI1286" s="112"/>
      <c r="BJ1286" s="98" t="s">
        <v>155</v>
      </c>
      <c r="BK1286" s="99">
        <f t="shared" si="11"/>
        <v>0</v>
      </c>
      <c r="BL1286" s="99">
        <f t="shared" si="12"/>
        <v>106</v>
      </c>
      <c r="BM1286" s="99" t="str">
        <f>IFERROR(__xludf.DUMMYFUNCTION("IFERROR(VLOOKUP(BG1286,IMPORTRANGE(""https://docs.google.com/spreadsheets/d/1juPI-Fb8LD0YtltB2mlGEnp_R3UVu1t3wSFPzgCyHXE/edit?gid=0#gid=0"",""GERAL!A2:C""),3,0),""-"")"),"-")</f>
        <v>-</v>
      </c>
    </row>
    <row r="1287" ht="15.75" customHeight="1">
      <c r="A1287" s="111" t="s">
        <v>1535</v>
      </c>
      <c r="B1287" s="83" t="s">
        <v>7233</v>
      </c>
      <c r="C1287" s="83" t="s">
        <v>164</v>
      </c>
      <c r="D1287" s="112">
        <v>1179277.0</v>
      </c>
      <c r="E1287" s="83">
        <v>1179075.0</v>
      </c>
      <c r="F1287" s="98">
        <v>2.9458994E7</v>
      </c>
      <c r="G1287" s="114" t="s">
        <v>7251</v>
      </c>
      <c r="H1287" s="91" t="s">
        <v>7252</v>
      </c>
      <c r="I1287" s="136" t="s">
        <v>149</v>
      </c>
      <c r="J1287" s="83" t="s">
        <v>7253</v>
      </c>
      <c r="K1287" s="83" t="s">
        <v>168</v>
      </c>
      <c r="L1287" s="83" t="s">
        <v>169</v>
      </c>
      <c r="M1287" s="82" t="str">
        <f>IFERROR(__xludf.DUMMYFUNCTION("IFERROR(VLOOKUP(D1287,
IMPORTRANGE(""https://docs.google.com/spreadsheets/d/1MjHtlUikwobi2MaWJgy7tfLeBmhj1u-dRFRs_8GwSoA/edit#gid=0"",""Gestores Escolares!D7:J""),3,0),""VERIFICAR CÓD SEC"")"),"EMERSON CARLOS SOOUZA PAIM")</f>
        <v>EMERSON CARLOS SOOUZA PAIM</v>
      </c>
      <c r="N1287" s="82" t="str">
        <f>IFERROR(__xludf.DUMMYFUNCTION("IFERROR(VLOOKUP(D1287,
IMPORTRANGE(""https://docs.google.com/spreadsheets/d/1MjHtlUikwobi2MaWJgy7tfLeBmhj1u-dRFRs_8GwSoA/edit#gid=0"",""Gestores Escolares!D7:J""),4,0),""VERIFICAR CÓD SEC"")"),"(73) 9 8847-9824")</f>
        <v>(73) 9 8847-9824</v>
      </c>
      <c r="O1287" s="82" t="str">
        <f>IFERROR(__xludf.DUMMYFUNCTION("IFERROR(VLOOKUP(D1287,
IMPORTRANGE(""https://docs.google.com/spreadsheets/d/1MjHtlUikwobi2MaWJgy7tfLeBmhj1u-dRFRs_8GwSoA/edit#gid=0"",""Gestores Escolares!D7:J""),6,0),""VERIFICAR CÓD SEC"")"),"DEBORA SAMPAIO LIMA MARQUES")</f>
        <v>DEBORA SAMPAIO LIMA MARQUES</v>
      </c>
      <c r="P1287" s="82" t="str">
        <f>IFERROR(__xludf.DUMMYFUNCTION("IFERROR(VLOOKUP(D1287,
IMPORTRANGE(""https://docs.google.com/spreadsheets/d/1MjHtlUikwobi2MaWJgy7tfLeBmhj1u-dRFRs_8GwSoA/edit#gid=0"",""Gestores Escolares!D7:J""),7,0),""VERIFICAR CÓD SEC"")"),"(73) 9 8838-5472")</f>
        <v>(73) 9 8838-5472</v>
      </c>
      <c r="Q1287" s="82" t="str">
        <f>IFERROR(__xludf.DUMMYFUNCTION("IFERROR(VLOOKUP(D1287,
IMPORTRANGE(""https://docs.google.com/spreadsheets/d/1MjHtlUikwobi2MaWJgy7tfLeBmhj1u-dRFRs_8GwSoA/edit#gid=0"",""Gestores Escolares!D7:m""),9,0),""VERIFICAR CÓD SEC"")"),"")</f>
        <v/>
      </c>
      <c r="R1287" s="82" t="str">
        <f>IFERROR(__xludf.DUMMYFUNCTION("IFERROR(VLOOKUP(D1287,
IMPORTRANGE(""https://docs.google.com/spreadsheets/d/1MjHtlUikwobi2MaWJgy7tfLeBmhj1u-dRFRs_8GwSoA/edit#gid=0"",""Gestores Escolares!D7:m""),10,0),""VERIFICAR CÓD SEC"")"),"")</f>
        <v/>
      </c>
      <c r="S1287" s="82"/>
      <c r="T1287" s="138">
        <v>3.0</v>
      </c>
      <c r="U1287" s="139">
        <v>3.0</v>
      </c>
      <c r="V1287" s="106">
        <v>0.0</v>
      </c>
      <c r="W1287" s="107">
        <v>0.0</v>
      </c>
      <c r="X1287" s="107">
        <v>0.0</v>
      </c>
      <c r="Y1287" s="107">
        <v>0.0</v>
      </c>
      <c r="Z1287" s="80">
        <f t="shared" si="1"/>
        <v>0</v>
      </c>
      <c r="AA1287" s="106">
        <v>0.0</v>
      </c>
      <c r="AB1287" s="107">
        <v>0.0</v>
      </c>
      <c r="AC1287" s="107">
        <v>0.0</v>
      </c>
      <c r="AD1287" s="107">
        <v>0.0</v>
      </c>
      <c r="AE1287" s="80">
        <f t="shared" si="2"/>
        <v>0</v>
      </c>
      <c r="AF1287" s="140">
        <v>0.0</v>
      </c>
      <c r="AG1287" s="109">
        <v>0.0</v>
      </c>
      <c r="AH1287" s="109">
        <v>46.0</v>
      </c>
      <c r="AI1287" s="141">
        <v>0.0</v>
      </c>
      <c r="AJ1287" s="80">
        <f t="shared" si="3"/>
        <v>46</v>
      </c>
      <c r="AK1287" s="140">
        <v>0.0</v>
      </c>
      <c r="AL1287" s="109">
        <v>0.0</v>
      </c>
      <c r="AM1287" s="141">
        <v>0.0</v>
      </c>
      <c r="AN1287" s="80">
        <f t="shared" si="4"/>
        <v>0</v>
      </c>
      <c r="AO1287" s="140">
        <v>0.0</v>
      </c>
      <c r="AP1287" s="109">
        <v>0.0</v>
      </c>
      <c r="AQ1287" s="109">
        <v>0.0</v>
      </c>
      <c r="AR1287" s="80">
        <f t="shared" si="5"/>
        <v>0</v>
      </c>
      <c r="AS1287" s="110">
        <v>0.0</v>
      </c>
      <c r="AT1287" s="110">
        <v>0.0</v>
      </c>
      <c r="AU1287" s="110">
        <v>0.0</v>
      </c>
      <c r="AV1287" s="142">
        <v>0.0</v>
      </c>
      <c r="AW1287" s="80">
        <f t="shared" si="6"/>
        <v>0</v>
      </c>
      <c r="AX1287" s="113">
        <f t="shared" si="7"/>
        <v>46</v>
      </c>
      <c r="AY1287" s="117">
        <f t="shared" si="8"/>
        <v>0</v>
      </c>
      <c r="AZ1287" s="120">
        <f t="shared" si="9"/>
        <v>46</v>
      </c>
      <c r="BA1287" s="115">
        <v>0.0</v>
      </c>
      <c r="BB1287" s="89">
        <f t="shared" si="10"/>
        <v>46</v>
      </c>
      <c r="BC1287" s="132" t="s">
        <v>178</v>
      </c>
      <c r="BD1287" s="143" t="s">
        <v>227</v>
      </c>
      <c r="BE1287" s="132" t="s">
        <v>178</v>
      </c>
      <c r="BF1287" s="123"/>
      <c r="BG1287" s="83">
        <v>1179075.0</v>
      </c>
      <c r="BH1287" s="112"/>
      <c r="BI1287" s="112">
        <v>3.0</v>
      </c>
      <c r="BJ1287" s="98" t="s">
        <v>155</v>
      </c>
      <c r="BK1287" s="99">
        <f t="shared" si="11"/>
        <v>0</v>
      </c>
      <c r="BL1287" s="99">
        <f t="shared" si="12"/>
        <v>0</v>
      </c>
      <c r="BM1287" s="99" t="str">
        <f>IFERROR(__xludf.DUMMYFUNCTION("IFERROR(VLOOKUP(BG1287,IMPORTRANGE(""https://docs.google.com/spreadsheets/d/1juPI-Fb8LD0YtltB2mlGEnp_R3UVu1t3wSFPzgCyHXE/edit?gid=0#gid=0"",""GERAL!A2:C""),3,0),""-"")"),"-")</f>
        <v>-</v>
      </c>
    </row>
    <row r="1288" ht="15.75" customHeight="1">
      <c r="A1288" s="111" t="s">
        <v>1535</v>
      </c>
      <c r="B1288" s="83" t="s">
        <v>7254</v>
      </c>
      <c r="C1288" s="83" t="s">
        <v>68</v>
      </c>
      <c r="D1288" s="112">
        <v>1178083.0</v>
      </c>
      <c r="E1288" s="83"/>
      <c r="F1288" s="83">
        <v>2.9429498E7</v>
      </c>
      <c r="G1288" s="187" t="s">
        <v>7255</v>
      </c>
      <c r="H1288" s="91" t="s">
        <v>7258</v>
      </c>
      <c r="I1288" s="136" t="s">
        <v>149</v>
      </c>
      <c r="J1288" s="136" t="s">
        <v>150</v>
      </c>
      <c r="K1288" s="136" t="s">
        <v>151</v>
      </c>
      <c r="L1288" s="83" t="s">
        <v>76</v>
      </c>
      <c r="M1288" s="82" t="str">
        <f>IFERROR(__xludf.DUMMYFUNCTION("IFERROR(VLOOKUP(D1288,
IMPORTRANGE(""https://docs.google.com/spreadsheets/d/1MjHtlUikwobi2MaWJgy7tfLeBmhj1u-dRFRs_8GwSoA/edit#gid=0"",""Gestores Escolares!D7:J""),3,0),""VERIFICAR CÓD SEC"")"),"SEM DIREÇÃO")</f>
        <v>SEM DIREÇÃO</v>
      </c>
      <c r="N1288" s="82" t="str">
        <f>IFERROR(__xludf.DUMMYFUNCTION("IFERROR(VLOOKUP(D1288,
IMPORTRANGE(""https://docs.google.com/spreadsheets/d/1MjHtlUikwobi2MaWJgy7tfLeBmhj1u-dRFRs_8GwSoA/edit#gid=0"",""Gestores Escolares!D7:J""),4,0),""VERIFICAR CÓD SEC"")"),"")</f>
        <v/>
      </c>
      <c r="O1288" s="82" t="str">
        <f>IFERROR(__xludf.DUMMYFUNCTION("IFERROR(VLOOKUP(D1288,
IMPORTRANGE(""https://docs.google.com/spreadsheets/d/1MjHtlUikwobi2MaWJgy7tfLeBmhj1u-dRFRs_8GwSoA/edit#gid=0"",""Gestores Escolares!D7:J""),6,0),""VERIFICAR CÓD SEC"")"),"")</f>
        <v/>
      </c>
      <c r="P1288" s="82" t="str">
        <f>IFERROR(__xludf.DUMMYFUNCTION("IFERROR(VLOOKUP(D1288,
IMPORTRANGE(""https://docs.google.com/spreadsheets/d/1MjHtlUikwobi2MaWJgy7tfLeBmhj1u-dRFRs_8GwSoA/edit#gid=0"",""Gestores Escolares!D7:J""),7,0),""VERIFICAR CÓD SEC"")"),"")</f>
        <v/>
      </c>
      <c r="Q1288" s="82" t="str">
        <f>IFERROR(__xludf.DUMMYFUNCTION("IFERROR(VLOOKUP(D1288,
IMPORTRANGE(""https://docs.google.com/spreadsheets/d/1MjHtlUikwobi2MaWJgy7tfLeBmhj1u-dRFRs_8GwSoA/edit#gid=0"",""Gestores Escolares!D7:m""),9,0),""VERIFICAR CÓD SEC"")"),"")</f>
        <v/>
      </c>
      <c r="R1288" s="82" t="str">
        <f>IFERROR(__xludf.DUMMYFUNCTION("IFERROR(VLOOKUP(D1288,
IMPORTRANGE(""https://docs.google.com/spreadsheets/d/1MjHtlUikwobi2MaWJgy7tfLeBmhj1u-dRFRs_8GwSoA/edit#gid=0"",""Gestores Escolares!D7:m""),10,0),""VERIFICAR CÓD SEC"")"),"")</f>
        <v/>
      </c>
      <c r="S1288" s="82"/>
      <c r="T1288" s="138">
        <v>6.0</v>
      </c>
      <c r="U1288" s="217" t="s">
        <v>13875</v>
      </c>
      <c r="V1288" s="106">
        <v>0.0</v>
      </c>
      <c r="W1288" s="107">
        <v>0.0</v>
      </c>
      <c r="X1288" s="107">
        <v>0.0</v>
      </c>
      <c r="Y1288" s="107">
        <v>0.0</v>
      </c>
      <c r="Z1288" s="80">
        <f t="shared" si="1"/>
        <v>0</v>
      </c>
      <c r="AA1288" s="106">
        <v>0.0</v>
      </c>
      <c r="AB1288" s="107">
        <v>0.0</v>
      </c>
      <c r="AC1288" s="107">
        <v>0.0</v>
      </c>
      <c r="AD1288" s="107">
        <v>0.0</v>
      </c>
      <c r="AE1288" s="80">
        <f t="shared" si="2"/>
        <v>0</v>
      </c>
      <c r="AF1288" s="140">
        <v>0.0</v>
      </c>
      <c r="AG1288" s="109">
        <v>0.0</v>
      </c>
      <c r="AH1288" s="109">
        <v>0.0</v>
      </c>
      <c r="AI1288" s="141">
        <v>49.0</v>
      </c>
      <c r="AJ1288" s="80">
        <f t="shared" si="3"/>
        <v>49</v>
      </c>
      <c r="AK1288" s="140">
        <v>0.0</v>
      </c>
      <c r="AL1288" s="109">
        <v>0.0</v>
      </c>
      <c r="AM1288" s="141">
        <v>0.0</v>
      </c>
      <c r="AN1288" s="80">
        <f t="shared" si="4"/>
        <v>0</v>
      </c>
      <c r="AO1288" s="140">
        <v>0.0</v>
      </c>
      <c r="AP1288" s="109">
        <v>0.0</v>
      </c>
      <c r="AQ1288" s="109">
        <v>39.0</v>
      </c>
      <c r="AR1288" s="80">
        <f t="shared" si="5"/>
        <v>39</v>
      </c>
      <c r="AS1288" s="110">
        <v>0.0</v>
      </c>
      <c r="AT1288" s="110">
        <v>0.0</v>
      </c>
      <c r="AU1288" s="110">
        <v>23.0</v>
      </c>
      <c r="AV1288" s="142">
        <v>94.0</v>
      </c>
      <c r="AW1288" s="80">
        <f t="shared" si="6"/>
        <v>117</v>
      </c>
      <c r="AX1288" s="113">
        <f t="shared" si="7"/>
        <v>205</v>
      </c>
      <c r="AY1288" s="117">
        <f t="shared" si="8"/>
        <v>143</v>
      </c>
      <c r="AZ1288" s="120">
        <f t="shared" si="9"/>
        <v>62</v>
      </c>
      <c r="BA1288" s="115">
        <v>0.0</v>
      </c>
      <c r="BB1288" s="89">
        <f t="shared" si="10"/>
        <v>205</v>
      </c>
      <c r="BC1288" s="132" t="s">
        <v>178</v>
      </c>
      <c r="BD1288" s="132" t="s">
        <v>178</v>
      </c>
      <c r="BE1288" s="132" t="s">
        <v>178</v>
      </c>
      <c r="BF1288" s="123"/>
      <c r="BG1288" s="83">
        <v>1178083.0</v>
      </c>
      <c r="BH1288" s="112"/>
      <c r="BI1288" s="112">
        <v>9.0</v>
      </c>
      <c r="BJ1288" s="98" t="s">
        <v>155</v>
      </c>
      <c r="BK1288" s="99">
        <f t="shared" si="11"/>
        <v>143</v>
      </c>
      <c r="BL1288" s="99">
        <f t="shared" si="12"/>
        <v>0</v>
      </c>
      <c r="BM1288" s="99" t="str">
        <f>IFERROR(__xludf.DUMMYFUNCTION("IFERROR(VLOOKUP(BG1288,IMPORTRANGE(""https://docs.google.com/spreadsheets/d/1juPI-Fb8LD0YtltB2mlGEnp_R3UVu1t3wSFPzgCyHXE/edit?gid=0#gid=0"",""GERAL!A2:C""),3,0),""-"")"),"-")</f>
        <v>-</v>
      </c>
    </row>
    <row r="1289" ht="15.75" customHeight="1">
      <c r="A1289" s="111" t="s">
        <v>1535</v>
      </c>
      <c r="B1289" s="83" t="s">
        <v>7266</v>
      </c>
      <c r="C1289" s="83" t="s">
        <v>68</v>
      </c>
      <c r="D1289" s="112">
        <v>1118406.0</v>
      </c>
      <c r="E1289" s="83"/>
      <c r="F1289" s="83">
        <v>2.9314348E7</v>
      </c>
      <c r="G1289" s="119" t="s">
        <v>7268</v>
      </c>
      <c r="H1289" s="91" t="s">
        <v>7269</v>
      </c>
      <c r="I1289" s="172" t="s">
        <v>149</v>
      </c>
      <c r="J1289" s="83" t="s">
        <v>150</v>
      </c>
      <c r="K1289" s="83" t="s">
        <v>151</v>
      </c>
      <c r="L1289" s="83" t="s">
        <v>230</v>
      </c>
      <c r="M1289" s="82" t="str">
        <f>IFERROR(__xludf.DUMMYFUNCTION("IFERROR(VLOOKUP(D1289,
IMPORTRANGE(""https://docs.google.com/spreadsheets/d/1MjHtlUikwobi2MaWJgy7tfLeBmhj1u-dRFRs_8GwSoA/edit#gid=0"",""Gestores Escolares!D7:J""),3,0),""VERIFICAR CÓD SEC"")"),"RUBENS SANTOS")</f>
        <v>RUBENS SANTOS</v>
      </c>
      <c r="N1289" s="82" t="str">
        <f>IFERROR(__xludf.DUMMYFUNCTION("IFERROR(VLOOKUP(D1289,
IMPORTRANGE(""https://docs.google.com/spreadsheets/d/1MjHtlUikwobi2MaWJgy7tfLeBmhj1u-dRFRs_8GwSoA/edit#gid=0"",""Gestores Escolares!D7:J""),4,0),""VERIFICAR CÓD SEC"")"),"(73) 9 8839-1408")</f>
        <v>(73) 9 8839-1408</v>
      </c>
      <c r="O1289" s="82" t="str">
        <f>IFERROR(__xludf.DUMMYFUNCTION("IFERROR(VLOOKUP(D1289,
IMPORTRANGE(""https://docs.google.com/spreadsheets/d/1MjHtlUikwobi2MaWJgy7tfLeBmhj1u-dRFRs_8GwSoA/edit#gid=0"",""Gestores Escolares!D7:J""),6,0),""VERIFICAR CÓD SEC"")"),"ANA PAULA MARQUES ")</f>
        <v>ANA PAULA MARQUES </v>
      </c>
      <c r="P1289" s="82" t="str">
        <f>IFERROR(__xludf.DUMMYFUNCTION("IFERROR(VLOOKUP(D1289,
IMPORTRANGE(""https://docs.google.com/spreadsheets/d/1MjHtlUikwobi2MaWJgy7tfLeBmhj1u-dRFRs_8GwSoA/edit#gid=0"",""Gestores Escolares!D7:J""),7,0),""VERIFICAR CÓD SEC"")"),"(73) 9 8823-2499")</f>
        <v>(73) 9 8823-2499</v>
      </c>
      <c r="Q1289" s="82" t="str">
        <f>IFERROR(__xludf.DUMMYFUNCTION("IFERROR(VLOOKUP(D1289,
IMPORTRANGE(""https://docs.google.com/spreadsheets/d/1MjHtlUikwobi2MaWJgy7tfLeBmhj1u-dRFRs_8GwSoA/edit#gid=0"",""Gestores Escolares!D7:m""),9,0),""VERIFICAR CÓD SEC"")"),"CAMILE BARBOSA MORAES")</f>
        <v>CAMILE BARBOSA MORAES</v>
      </c>
      <c r="R1289" s="82" t="str">
        <f>IFERROR(__xludf.DUMMYFUNCTION("IFERROR(VLOOKUP(D1289,
IMPORTRANGE(""https://docs.google.com/spreadsheets/d/1MjHtlUikwobi2MaWJgy7tfLeBmhj1u-dRFRs_8GwSoA/edit#gid=0"",""Gestores Escolares!D7:m""),10,0),""VERIFICAR CÓD SEC"")"),"(73) 9 8830-7742")</f>
        <v>(73) 9 8830-7742</v>
      </c>
      <c r="S1289" s="82"/>
      <c r="T1289" s="138">
        <v>16.0</v>
      </c>
      <c r="U1289" s="145" t="s">
        <v>13876</v>
      </c>
      <c r="V1289" s="106">
        <v>0.0</v>
      </c>
      <c r="W1289" s="107">
        <v>0.0</v>
      </c>
      <c r="X1289" s="107">
        <v>0.0</v>
      </c>
      <c r="Y1289" s="107">
        <v>0.0</v>
      </c>
      <c r="Z1289" s="80">
        <f t="shared" si="1"/>
        <v>0</v>
      </c>
      <c r="AA1289" s="106">
        <v>0.0</v>
      </c>
      <c r="AB1289" s="107">
        <v>0.0</v>
      </c>
      <c r="AC1289" s="107">
        <v>0.0</v>
      </c>
      <c r="AD1289" s="107">
        <v>0.0</v>
      </c>
      <c r="AE1289" s="80">
        <f t="shared" si="2"/>
        <v>0</v>
      </c>
      <c r="AF1289" s="140">
        <v>0.0</v>
      </c>
      <c r="AG1289" s="109">
        <v>0.0</v>
      </c>
      <c r="AH1289" s="109">
        <v>0.0</v>
      </c>
      <c r="AI1289" s="141">
        <v>273.0</v>
      </c>
      <c r="AJ1289" s="80">
        <f t="shared" si="3"/>
        <v>273</v>
      </c>
      <c r="AK1289" s="140">
        <v>0.0</v>
      </c>
      <c r="AL1289" s="109">
        <v>0.0</v>
      </c>
      <c r="AM1289" s="141">
        <v>0.0</v>
      </c>
      <c r="AN1289" s="80">
        <f t="shared" si="4"/>
        <v>0</v>
      </c>
      <c r="AO1289" s="140">
        <v>0.0</v>
      </c>
      <c r="AP1289" s="109">
        <v>0.0</v>
      </c>
      <c r="AQ1289" s="109">
        <v>178.0</v>
      </c>
      <c r="AR1289" s="80">
        <f t="shared" si="5"/>
        <v>178</v>
      </c>
      <c r="AS1289" s="110">
        <v>0.0</v>
      </c>
      <c r="AT1289" s="110">
        <v>0.0</v>
      </c>
      <c r="AU1289" s="110">
        <v>16.0</v>
      </c>
      <c r="AV1289" s="142">
        <v>33.0</v>
      </c>
      <c r="AW1289" s="80">
        <f t="shared" si="6"/>
        <v>49</v>
      </c>
      <c r="AX1289" s="113">
        <f t="shared" si="7"/>
        <v>500</v>
      </c>
      <c r="AY1289" s="117">
        <f t="shared" si="8"/>
        <v>306</v>
      </c>
      <c r="AZ1289" s="120">
        <f t="shared" si="9"/>
        <v>194</v>
      </c>
      <c r="BA1289" s="115">
        <v>0.0</v>
      </c>
      <c r="BB1289" s="89">
        <f t="shared" si="10"/>
        <v>500</v>
      </c>
      <c r="BC1289" s="132" t="s">
        <v>178</v>
      </c>
      <c r="BD1289" s="132" t="s">
        <v>178</v>
      </c>
      <c r="BE1289" s="132" t="s">
        <v>178</v>
      </c>
      <c r="BF1289" s="123"/>
      <c r="BG1289" s="83">
        <v>1118406.0</v>
      </c>
      <c r="BH1289" s="112"/>
      <c r="BI1289" s="112">
        <v>14.0</v>
      </c>
      <c r="BJ1289" s="98" t="s">
        <v>7271</v>
      </c>
      <c r="BK1289" s="99">
        <f t="shared" si="11"/>
        <v>306</v>
      </c>
      <c r="BL1289" s="99">
        <f t="shared" si="12"/>
        <v>0</v>
      </c>
      <c r="BM1289" s="99" t="str">
        <f>IFERROR(__xludf.DUMMYFUNCTION("IFERROR(VLOOKUP(BG1289,IMPORTRANGE(""https://docs.google.com/spreadsheets/d/1juPI-Fb8LD0YtltB2mlGEnp_R3UVu1t3wSFPzgCyHXE/edit?gid=0#gid=0"",""GERAL!A2:C""),3,0),""-"")"),"-")</f>
        <v>-</v>
      </c>
    </row>
    <row r="1290" ht="15.75" customHeight="1">
      <c r="A1290" s="111" t="s">
        <v>1573</v>
      </c>
      <c r="B1290" s="83" t="s">
        <v>2426</v>
      </c>
      <c r="C1290" s="83" t="s">
        <v>45</v>
      </c>
      <c r="D1290" s="112">
        <v>1178388.0</v>
      </c>
      <c r="E1290" s="83"/>
      <c r="F1290" s="83">
        <v>2.9529409E7</v>
      </c>
      <c r="G1290" s="114" t="s">
        <v>7274</v>
      </c>
      <c r="H1290" s="91" t="s">
        <v>7275</v>
      </c>
      <c r="I1290" s="83" t="s">
        <v>149</v>
      </c>
      <c r="J1290" s="115" t="s">
        <v>222</v>
      </c>
      <c r="K1290" s="83" t="s">
        <v>171</v>
      </c>
      <c r="L1290" s="83" t="s">
        <v>512</v>
      </c>
      <c r="M1290" s="82" t="str">
        <f>IFERROR(__xludf.DUMMYFUNCTION("IFERROR(VLOOKUP(D1290,
IMPORTRANGE(""https://docs.google.com/spreadsheets/d/1MjHtlUikwobi2MaWJgy7tfLeBmhj1u-dRFRs_8GwSoA/edit#gid=0"",""Gestores Escolares!D7:J""),3,0),""VERIFICAR CÓD SEC"")"),"ZILENE DOS SANTOS OLIVEIRA")</f>
        <v>ZILENE DOS SANTOS OLIVEIRA</v>
      </c>
      <c r="N1290" s="82" t="str">
        <f>IFERROR(__xludf.DUMMYFUNCTION("IFERROR(VLOOKUP(D1290,
IMPORTRANGE(""https://docs.google.com/spreadsheets/d/1MjHtlUikwobi2MaWJgy7tfLeBmhj1u-dRFRs_8GwSoA/edit#gid=0"",""Gestores Escolares!D7:J""),4,0),""VERIFICAR CÓD SEC"")"),"(77) 9 9965-8310")</f>
        <v>(77) 9 9965-8310</v>
      </c>
      <c r="O1290" s="82" t="str">
        <f>IFERROR(__xludf.DUMMYFUNCTION("IFERROR(VLOOKUP(D1290,
IMPORTRANGE(""https://docs.google.com/spreadsheets/d/1MjHtlUikwobi2MaWJgy7tfLeBmhj1u-dRFRs_8GwSoA/edit#gid=0"",""Gestores Escolares!D7:J""),6,0),""VERIFICAR CÓD SEC"")"),"")</f>
        <v/>
      </c>
      <c r="P1290" s="82" t="str">
        <f>IFERROR(__xludf.DUMMYFUNCTION("IFERROR(VLOOKUP(D1290,
IMPORTRANGE(""https://docs.google.com/spreadsheets/d/1MjHtlUikwobi2MaWJgy7tfLeBmhj1u-dRFRs_8GwSoA/edit#gid=0"",""Gestores Escolares!D7:J""),7,0),""VERIFICAR CÓD SEC"")"),"")</f>
        <v/>
      </c>
      <c r="Q1290" s="82" t="str">
        <f>IFERROR(__xludf.DUMMYFUNCTION("IFERROR(VLOOKUP(D1290,
IMPORTRANGE(""https://docs.google.com/spreadsheets/d/1MjHtlUikwobi2MaWJgy7tfLeBmhj1u-dRFRs_8GwSoA/edit#gid=0"",""Gestores Escolares!D7:m""),9,0),""VERIFICAR CÓD SEC"")"),"")</f>
        <v/>
      </c>
      <c r="R1290" s="82" t="str">
        <f>IFERROR(__xludf.DUMMYFUNCTION("IFERROR(VLOOKUP(D1290,
IMPORTRANGE(""https://docs.google.com/spreadsheets/d/1MjHtlUikwobi2MaWJgy7tfLeBmhj1u-dRFRs_8GwSoA/edit#gid=0"",""Gestores Escolares!D7:m""),10,0),""VERIFICAR CÓD SEC"")"),"")</f>
        <v/>
      </c>
      <c r="S1290" s="82"/>
      <c r="T1290" s="138">
        <v>4.0</v>
      </c>
      <c r="U1290" s="145">
        <v>4.0</v>
      </c>
      <c r="V1290" s="106">
        <v>0.0</v>
      </c>
      <c r="W1290" s="107">
        <v>0.0</v>
      </c>
      <c r="X1290" s="107">
        <v>0.0</v>
      </c>
      <c r="Y1290" s="107">
        <v>0.0</v>
      </c>
      <c r="Z1290" s="80">
        <f t="shared" si="1"/>
        <v>0</v>
      </c>
      <c r="AA1290" s="106">
        <v>0.0</v>
      </c>
      <c r="AB1290" s="107">
        <v>0.0</v>
      </c>
      <c r="AC1290" s="107">
        <v>0.0</v>
      </c>
      <c r="AD1290" s="107">
        <v>129.0</v>
      </c>
      <c r="AE1290" s="80">
        <f t="shared" si="2"/>
        <v>129</v>
      </c>
      <c r="AF1290" s="225">
        <v>0.0</v>
      </c>
      <c r="AG1290" s="226">
        <v>0.0</v>
      </c>
      <c r="AH1290" s="226">
        <v>0.0</v>
      </c>
      <c r="AI1290" s="227">
        <v>0.0</v>
      </c>
      <c r="AJ1290" s="80">
        <f t="shared" si="3"/>
        <v>0</v>
      </c>
      <c r="AK1290" s="140">
        <v>0.0</v>
      </c>
      <c r="AL1290" s="109">
        <v>0.0</v>
      </c>
      <c r="AM1290" s="141">
        <v>0.0</v>
      </c>
      <c r="AN1290" s="80">
        <f t="shared" si="4"/>
        <v>0</v>
      </c>
      <c r="AO1290" s="225">
        <v>0.0</v>
      </c>
      <c r="AP1290" s="226">
        <v>0.0</v>
      </c>
      <c r="AQ1290" s="226">
        <v>0.0</v>
      </c>
      <c r="AR1290" s="80">
        <f t="shared" si="5"/>
        <v>0</v>
      </c>
      <c r="AS1290" s="110">
        <v>0.0</v>
      </c>
      <c r="AT1290" s="110">
        <v>0.0</v>
      </c>
      <c r="AU1290" s="110">
        <v>0.0</v>
      </c>
      <c r="AV1290" s="142">
        <v>0.0</v>
      </c>
      <c r="AW1290" s="80">
        <f t="shared" si="6"/>
        <v>0</v>
      </c>
      <c r="AX1290" s="113">
        <f t="shared" si="7"/>
        <v>129</v>
      </c>
      <c r="AY1290" s="117">
        <f t="shared" si="8"/>
        <v>129</v>
      </c>
      <c r="AZ1290" s="120">
        <f t="shared" si="9"/>
        <v>0</v>
      </c>
      <c r="BA1290" s="115">
        <v>0.0</v>
      </c>
      <c r="BB1290" s="89">
        <f t="shared" si="10"/>
        <v>129</v>
      </c>
      <c r="BC1290" s="132" t="s">
        <v>178</v>
      </c>
      <c r="BD1290" s="132" t="s">
        <v>178</v>
      </c>
      <c r="BE1290" s="132" t="s">
        <v>178</v>
      </c>
      <c r="BF1290" s="123"/>
      <c r="BG1290" s="83">
        <v>1178388.0</v>
      </c>
      <c r="BH1290" s="112"/>
      <c r="BI1290" s="112">
        <v>4.0</v>
      </c>
      <c r="BJ1290" s="98" t="s">
        <v>155</v>
      </c>
      <c r="BK1290" s="99">
        <f t="shared" si="11"/>
        <v>129</v>
      </c>
      <c r="BL1290" s="99">
        <f t="shared" si="12"/>
        <v>0</v>
      </c>
      <c r="BM1290" s="99" t="str">
        <f>IFERROR(__xludf.DUMMYFUNCTION("IFERROR(VLOOKUP(BG1290,IMPORTRANGE(""https://docs.google.com/spreadsheets/d/1juPI-Fb8LD0YtltB2mlGEnp_R3UVu1t3wSFPzgCyHXE/edit?gid=0#gid=0"",""GERAL!A2:C""),3,0),""-"")"),"EFA")</f>
        <v>EFA</v>
      </c>
    </row>
    <row r="1291" ht="15.75" customHeight="1">
      <c r="A1291" s="111" t="s">
        <v>1573</v>
      </c>
      <c r="B1291" s="83" t="s">
        <v>2426</v>
      </c>
      <c r="C1291" s="83" t="s">
        <v>68</v>
      </c>
      <c r="D1291" s="112">
        <v>1178048.0</v>
      </c>
      <c r="E1291" s="83"/>
      <c r="F1291" s="83">
        <v>2.9427541E7</v>
      </c>
      <c r="G1291" s="147" t="s">
        <v>7278</v>
      </c>
      <c r="H1291" s="91" t="s">
        <v>7279</v>
      </c>
      <c r="I1291" s="83" t="s">
        <v>149</v>
      </c>
      <c r="J1291" s="83" t="s">
        <v>150</v>
      </c>
      <c r="K1291" s="83" t="s">
        <v>151</v>
      </c>
      <c r="L1291" s="83" t="s">
        <v>169</v>
      </c>
      <c r="M1291" s="82" t="str">
        <f>IFERROR(__xludf.DUMMYFUNCTION("IFERROR(VLOOKUP(D1291,
IMPORTRANGE(""https://docs.google.com/spreadsheets/d/1MjHtlUikwobi2MaWJgy7tfLeBmhj1u-dRFRs_8GwSoA/edit#gid=0"",""Gestores Escolares!D7:J""),3,0),""VERIFICAR CÓD SEC"")"),"CARLA GISELE RODRIGUES DE CASTRO")</f>
        <v>CARLA GISELE RODRIGUES DE CASTRO</v>
      </c>
      <c r="N1291" s="82" t="str">
        <f>IFERROR(__xludf.DUMMYFUNCTION("IFERROR(VLOOKUP(D1291,
IMPORTRANGE(""https://docs.google.com/spreadsheets/d/1MjHtlUikwobi2MaWJgy7tfLeBmhj1u-dRFRs_8GwSoA/edit#gid=0"",""Gestores Escolares!D7:J""),4,0),""VERIFICAR CÓD SEC"")"),"(77) 9 9106-0033")</f>
        <v>(77) 9 9106-0033</v>
      </c>
      <c r="O1291" s="82" t="str">
        <f>IFERROR(__xludf.DUMMYFUNCTION("IFERROR(VLOOKUP(D1291,
IMPORTRANGE(""https://docs.google.com/spreadsheets/d/1MjHtlUikwobi2MaWJgy7tfLeBmhj1u-dRFRs_8GwSoA/edit#gid=0"",""Gestores Escolares!D7:J""),6,0),""VERIFICAR CÓD SEC"")"),"BRUNA NERI SANTOS")</f>
        <v>BRUNA NERI SANTOS</v>
      </c>
      <c r="P1291" s="82" t="str">
        <f>IFERROR(__xludf.DUMMYFUNCTION("IFERROR(VLOOKUP(D1291,
IMPORTRANGE(""https://docs.google.com/spreadsheets/d/1MjHtlUikwobi2MaWJgy7tfLeBmhj1u-dRFRs_8GwSoA/edit#gid=0"",""Gestores Escolares!D7:J""),7,0),""VERIFICAR CÓD SEC"")"),"(77) 9 8831-7504")</f>
        <v>(77) 9 8831-7504</v>
      </c>
      <c r="Q1291" s="82" t="str">
        <f>IFERROR(__xludf.DUMMYFUNCTION("IFERROR(VLOOKUP(D1291,
IMPORTRANGE(""https://docs.google.com/spreadsheets/d/1MjHtlUikwobi2MaWJgy7tfLeBmhj1u-dRFRs_8GwSoA/edit#gid=0"",""Gestores Escolares!D7:m""),9,0),""VERIFICAR CÓD SEC"")"),"        ANA RODRIGUES DOS SANTOS (SECRETÁRIA DA UEE)")</f>
        <v>        ANA RODRIGUES DOS SANTOS (SECRETÁRIA DA UEE)</v>
      </c>
      <c r="R1291" s="82" t="str">
        <f>IFERROR(__xludf.DUMMYFUNCTION("IFERROR(VLOOKUP(D1291,
IMPORTRANGE(""https://docs.google.com/spreadsheets/d/1MjHtlUikwobi2MaWJgy7tfLeBmhj1u-dRFRs_8GwSoA/edit#gid=0"",""Gestores Escolares!D7:m""),10,0),""VERIFICAR CÓD SEC"")"),"(77) 9 9934-7038")</f>
        <v>(77) 9 9934-7038</v>
      </c>
      <c r="S1291" s="82"/>
      <c r="T1291" s="138">
        <v>4.0</v>
      </c>
      <c r="U1291" s="145" t="s">
        <v>13877</v>
      </c>
      <c r="V1291" s="106">
        <v>0.0</v>
      </c>
      <c r="W1291" s="107">
        <v>0.0</v>
      </c>
      <c r="X1291" s="107">
        <v>0.0</v>
      </c>
      <c r="Y1291" s="107">
        <v>0.0</v>
      </c>
      <c r="Z1291" s="80">
        <f t="shared" si="1"/>
        <v>0</v>
      </c>
      <c r="AA1291" s="106">
        <v>0.0</v>
      </c>
      <c r="AB1291" s="107">
        <v>0.0</v>
      </c>
      <c r="AC1291" s="107">
        <v>0.0</v>
      </c>
      <c r="AD1291" s="107">
        <v>0.0</v>
      </c>
      <c r="AE1291" s="80">
        <f t="shared" si="2"/>
        <v>0</v>
      </c>
      <c r="AF1291" s="222">
        <v>60.0</v>
      </c>
      <c r="AG1291" s="222">
        <v>64.0</v>
      </c>
      <c r="AH1291" s="222">
        <v>0.0</v>
      </c>
      <c r="AI1291" s="224">
        <v>16.0</v>
      </c>
      <c r="AJ1291" s="80">
        <f t="shared" si="3"/>
        <v>140</v>
      </c>
      <c r="AK1291" s="140">
        <v>0.0</v>
      </c>
      <c r="AL1291" s="109">
        <v>0.0</v>
      </c>
      <c r="AM1291" s="141">
        <v>0.0</v>
      </c>
      <c r="AN1291" s="80">
        <f t="shared" si="4"/>
        <v>0</v>
      </c>
      <c r="AO1291" s="222">
        <v>0.0</v>
      </c>
      <c r="AP1291" s="222">
        <v>0.0</v>
      </c>
      <c r="AQ1291" s="224">
        <v>0.0</v>
      </c>
      <c r="AR1291" s="80">
        <f t="shared" si="5"/>
        <v>0</v>
      </c>
      <c r="AS1291" s="110">
        <v>0.0</v>
      </c>
      <c r="AT1291" s="110">
        <v>17.0</v>
      </c>
      <c r="AU1291" s="110">
        <v>0.0</v>
      </c>
      <c r="AV1291" s="142">
        <v>0.0</v>
      </c>
      <c r="AW1291" s="80">
        <f t="shared" si="6"/>
        <v>17</v>
      </c>
      <c r="AX1291" s="113">
        <f t="shared" si="7"/>
        <v>157</v>
      </c>
      <c r="AY1291" s="117">
        <f t="shared" si="8"/>
        <v>157</v>
      </c>
      <c r="AZ1291" s="120">
        <f t="shared" si="9"/>
        <v>0</v>
      </c>
      <c r="BA1291" s="115">
        <v>0.0</v>
      </c>
      <c r="BB1291" s="89">
        <f t="shared" si="10"/>
        <v>157</v>
      </c>
      <c r="BC1291" s="132" t="s">
        <v>178</v>
      </c>
      <c r="BD1291" s="132" t="s">
        <v>178</v>
      </c>
      <c r="BE1291" s="132" t="s">
        <v>178</v>
      </c>
      <c r="BF1291" s="123"/>
      <c r="BG1291" s="83">
        <v>1178048.0</v>
      </c>
      <c r="BH1291" s="112"/>
      <c r="BI1291" s="112">
        <v>4.0</v>
      </c>
      <c r="BJ1291" s="98" t="s">
        <v>155</v>
      </c>
      <c r="BK1291" s="99">
        <f t="shared" si="11"/>
        <v>16</v>
      </c>
      <c r="BL1291" s="99">
        <f t="shared" si="12"/>
        <v>141</v>
      </c>
      <c r="BM1291" s="99" t="str">
        <f>IFERROR(__xludf.DUMMYFUNCTION("IFERROR(VLOOKUP(BG1291,IMPORTRANGE(""https://docs.google.com/spreadsheets/d/1juPI-Fb8LD0YtltB2mlGEnp_R3UVu1t3wSFPzgCyHXE/edit?gid=0#gid=0"",""GERAL!A2:C""),3,0),""-"")"),"-")</f>
        <v>-</v>
      </c>
    </row>
    <row r="1292" ht="15.75" customHeight="1">
      <c r="A1292" s="111" t="s">
        <v>1573</v>
      </c>
      <c r="B1292" s="83" t="s">
        <v>2426</v>
      </c>
      <c r="C1292" s="83" t="s">
        <v>164</v>
      </c>
      <c r="D1292" s="112">
        <v>1178048.0</v>
      </c>
      <c r="E1292" s="83">
        <v>1178873.0</v>
      </c>
      <c r="F1292" s="98">
        <v>2.949048E7</v>
      </c>
      <c r="G1292" s="119" t="s">
        <v>7282</v>
      </c>
      <c r="H1292" s="91" t="s">
        <v>7283</v>
      </c>
      <c r="I1292" s="83" t="s">
        <v>7284</v>
      </c>
      <c r="J1292" s="83" t="s">
        <v>1074</v>
      </c>
      <c r="K1292" s="83" t="s">
        <v>168</v>
      </c>
      <c r="L1292" s="83" t="s">
        <v>169</v>
      </c>
      <c r="M1292" s="82" t="str">
        <f>IFERROR(__xludf.DUMMYFUNCTION("IFERROR(VLOOKUP(D1292,
IMPORTRANGE(""https://docs.google.com/spreadsheets/d/1MjHtlUikwobi2MaWJgy7tfLeBmhj1u-dRFRs_8GwSoA/edit#gid=0"",""Gestores Escolares!D7:J""),3,0),""VERIFICAR CÓD SEC"")"),"CARLA GISELE RODRIGUES DE CASTRO")</f>
        <v>CARLA GISELE RODRIGUES DE CASTRO</v>
      </c>
      <c r="N1292" s="82" t="str">
        <f>IFERROR(__xludf.DUMMYFUNCTION("IFERROR(VLOOKUP(D1292,
IMPORTRANGE(""https://docs.google.com/spreadsheets/d/1MjHtlUikwobi2MaWJgy7tfLeBmhj1u-dRFRs_8GwSoA/edit#gid=0"",""Gestores Escolares!D7:J""),4,0),""VERIFICAR CÓD SEC"")"),"(77) 9 9106-0033")</f>
        <v>(77) 9 9106-0033</v>
      </c>
      <c r="O1292" s="82" t="str">
        <f>IFERROR(__xludf.DUMMYFUNCTION("IFERROR(VLOOKUP(D1292,
IMPORTRANGE(""https://docs.google.com/spreadsheets/d/1MjHtlUikwobi2MaWJgy7tfLeBmhj1u-dRFRs_8GwSoA/edit#gid=0"",""Gestores Escolares!D7:J""),6,0),""VERIFICAR CÓD SEC"")"),"BRUNA NERI SANTOS")</f>
        <v>BRUNA NERI SANTOS</v>
      </c>
      <c r="P1292" s="82" t="str">
        <f>IFERROR(__xludf.DUMMYFUNCTION("IFERROR(VLOOKUP(D1292,
IMPORTRANGE(""https://docs.google.com/spreadsheets/d/1MjHtlUikwobi2MaWJgy7tfLeBmhj1u-dRFRs_8GwSoA/edit#gid=0"",""Gestores Escolares!D7:J""),7,0),""VERIFICAR CÓD SEC"")"),"(77) 9 8831-7504")</f>
        <v>(77) 9 8831-7504</v>
      </c>
      <c r="Q1292" s="82" t="str">
        <f>IFERROR(__xludf.DUMMYFUNCTION("IFERROR(VLOOKUP(D1292,
IMPORTRANGE(""https://docs.google.com/spreadsheets/d/1MjHtlUikwobi2MaWJgy7tfLeBmhj1u-dRFRs_8GwSoA/edit#gid=0"",""Gestores Escolares!D7:m""),9,0),""VERIFICAR CÓD SEC"")"),"        ANA RODRIGUES DOS SANTOS (SECRETÁRIA DA UEE)")</f>
        <v>        ANA RODRIGUES DOS SANTOS (SECRETÁRIA DA UEE)</v>
      </c>
      <c r="R1292" s="82" t="str">
        <f>IFERROR(__xludf.DUMMYFUNCTION("IFERROR(VLOOKUP(D1292,
IMPORTRANGE(""https://docs.google.com/spreadsheets/d/1MjHtlUikwobi2MaWJgy7tfLeBmhj1u-dRFRs_8GwSoA/edit#gid=0"",""Gestores Escolares!D7:m""),10,0),""VERIFICAR CÓD SEC"")"),"(77) 9 9934-7038")</f>
        <v>(77) 9 9934-7038</v>
      </c>
      <c r="S1292" s="82"/>
      <c r="T1292" s="138">
        <v>3.0</v>
      </c>
      <c r="U1292" s="139">
        <v>3.0</v>
      </c>
      <c r="V1292" s="106">
        <v>0.0</v>
      </c>
      <c r="W1292" s="107">
        <v>0.0</v>
      </c>
      <c r="X1292" s="107">
        <v>0.0</v>
      </c>
      <c r="Y1292" s="107">
        <v>0.0</v>
      </c>
      <c r="Z1292" s="80">
        <f t="shared" si="1"/>
        <v>0</v>
      </c>
      <c r="AA1292" s="106">
        <v>0.0</v>
      </c>
      <c r="AB1292" s="107">
        <v>0.0</v>
      </c>
      <c r="AC1292" s="107">
        <v>0.0</v>
      </c>
      <c r="AD1292" s="107">
        <v>0.0</v>
      </c>
      <c r="AE1292" s="80">
        <f t="shared" si="2"/>
        <v>0</v>
      </c>
      <c r="AF1292" s="140">
        <v>0.0</v>
      </c>
      <c r="AG1292" s="109">
        <v>30.0</v>
      </c>
      <c r="AH1292" s="109">
        <v>0.0</v>
      </c>
      <c r="AI1292" s="141">
        <v>0.0</v>
      </c>
      <c r="AJ1292" s="80">
        <f t="shared" si="3"/>
        <v>30</v>
      </c>
      <c r="AK1292" s="140">
        <v>0.0</v>
      </c>
      <c r="AL1292" s="109">
        <v>0.0</v>
      </c>
      <c r="AM1292" s="141">
        <v>0.0</v>
      </c>
      <c r="AN1292" s="80">
        <f t="shared" si="4"/>
        <v>0</v>
      </c>
      <c r="AO1292" s="140">
        <v>0.0</v>
      </c>
      <c r="AP1292" s="109">
        <v>0.0</v>
      </c>
      <c r="AQ1292" s="109">
        <v>0.0</v>
      </c>
      <c r="AR1292" s="80">
        <f t="shared" si="5"/>
        <v>0</v>
      </c>
      <c r="AS1292" s="110">
        <v>0.0</v>
      </c>
      <c r="AT1292" s="110">
        <v>0.0</v>
      </c>
      <c r="AU1292" s="110">
        <v>0.0</v>
      </c>
      <c r="AV1292" s="142">
        <v>0.0</v>
      </c>
      <c r="AW1292" s="80">
        <f t="shared" si="6"/>
        <v>0</v>
      </c>
      <c r="AX1292" s="113">
        <f t="shared" si="7"/>
        <v>30</v>
      </c>
      <c r="AY1292" s="117">
        <f t="shared" si="8"/>
        <v>30</v>
      </c>
      <c r="AZ1292" s="120">
        <f t="shared" si="9"/>
        <v>0</v>
      </c>
      <c r="BA1292" s="115">
        <v>0.0</v>
      </c>
      <c r="BB1292" s="89">
        <f t="shared" si="10"/>
        <v>30</v>
      </c>
      <c r="BC1292" s="132" t="s">
        <v>373</v>
      </c>
      <c r="BD1292" s="132" t="s">
        <v>178</v>
      </c>
      <c r="BE1292" s="132" t="s">
        <v>178</v>
      </c>
      <c r="BF1292" s="123"/>
      <c r="BG1292" s="83">
        <v>1178873.0</v>
      </c>
      <c r="BH1292" s="112"/>
      <c r="BI1292" s="112">
        <v>3.0</v>
      </c>
      <c r="BJ1292" s="98" t="s">
        <v>155</v>
      </c>
      <c r="BK1292" s="99">
        <f t="shared" si="11"/>
        <v>0</v>
      </c>
      <c r="BL1292" s="99">
        <f t="shared" si="12"/>
        <v>30</v>
      </c>
      <c r="BM1292" s="99" t="str">
        <f>IFERROR(__xludf.DUMMYFUNCTION("IFERROR(VLOOKUP(BG1292,IMPORTRANGE(""https://docs.google.com/spreadsheets/d/1juPI-Fb8LD0YtltB2mlGEnp_R3UVu1t3wSFPzgCyHXE/edit?gid=0#gid=0"",""GERAL!A2:C""),3,0),""-"")"),"CAMPO")</f>
        <v>CAMPO</v>
      </c>
    </row>
    <row r="1293" ht="15.75" customHeight="1">
      <c r="A1293" s="111" t="s">
        <v>1573</v>
      </c>
      <c r="B1293" s="83" t="s">
        <v>2426</v>
      </c>
      <c r="C1293" s="83" t="s">
        <v>164</v>
      </c>
      <c r="D1293" s="112">
        <v>1178048.0</v>
      </c>
      <c r="E1293" s="83">
        <v>1178874.0</v>
      </c>
      <c r="F1293" s="98">
        <v>2.9490464E7</v>
      </c>
      <c r="G1293" s="119" t="s">
        <v>7285</v>
      </c>
      <c r="H1293" s="91" t="s">
        <v>7286</v>
      </c>
      <c r="I1293" s="83" t="s">
        <v>7287</v>
      </c>
      <c r="J1293" s="83" t="s">
        <v>839</v>
      </c>
      <c r="K1293" s="83" t="s">
        <v>168</v>
      </c>
      <c r="L1293" s="83" t="s">
        <v>169</v>
      </c>
      <c r="M1293" s="82" t="str">
        <f>IFERROR(__xludf.DUMMYFUNCTION("IFERROR(VLOOKUP(D1293,
IMPORTRANGE(""https://docs.google.com/spreadsheets/d/1MjHtlUikwobi2MaWJgy7tfLeBmhj1u-dRFRs_8GwSoA/edit#gid=0"",""Gestores Escolares!D7:J""),3,0),""VERIFICAR CÓD SEC"")"),"CARLA GISELE RODRIGUES DE CASTRO")</f>
        <v>CARLA GISELE RODRIGUES DE CASTRO</v>
      </c>
      <c r="N1293" s="82" t="str">
        <f>IFERROR(__xludf.DUMMYFUNCTION("IFERROR(VLOOKUP(D1293,
IMPORTRANGE(""https://docs.google.com/spreadsheets/d/1MjHtlUikwobi2MaWJgy7tfLeBmhj1u-dRFRs_8GwSoA/edit#gid=0"",""Gestores Escolares!D7:J""),4,0),""VERIFICAR CÓD SEC"")"),"(77) 9 9106-0033")</f>
        <v>(77) 9 9106-0033</v>
      </c>
      <c r="O1293" s="82" t="str">
        <f>IFERROR(__xludf.DUMMYFUNCTION("IFERROR(VLOOKUP(D1293,
IMPORTRANGE(""https://docs.google.com/spreadsheets/d/1MjHtlUikwobi2MaWJgy7tfLeBmhj1u-dRFRs_8GwSoA/edit#gid=0"",""Gestores Escolares!D7:J""),6,0),""VERIFICAR CÓD SEC"")"),"BRUNA NERI SANTOS")</f>
        <v>BRUNA NERI SANTOS</v>
      </c>
      <c r="P1293" s="82" t="str">
        <f>IFERROR(__xludf.DUMMYFUNCTION("IFERROR(VLOOKUP(D1293,
IMPORTRANGE(""https://docs.google.com/spreadsheets/d/1MjHtlUikwobi2MaWJgy7tfLeBmhj1u-dRFRs_8GwSoA/edit#gid=0"",""Gestores Escolares!D7:J""),7,0),""VERIFICAR CÓD SEC"")"),"(77) 9 8831-7504")</f>
        <v>(77) 9 8831-7504</v>
      </c>
      <c r="Q1293" s="82" t="str">
        <f>IFERROR(__xludf.DUMMYFUNCTION("IFERROR(VLOOKUP(D1293,
IMPORTRANGE(""https://docs.google.com/spreadsheets/d/1MjHtlUikwobi2MaWJgy7tfLeBmhj1u-dRFRs_8GwSoA/edit#gid=0"",""Gestores Escolares!D7:m""),9,0),""VERIFICAR CÓD SEC"")"),"        ANA RODRIGUES DOS SANTOS (SECRETÁRIA DA UEE)")</f>
        <v>        ANA RODRIGUES DOS SANTOS (SECRETÁRIA DA UEE)</v>
      </c>
      <c r="R1293" s="82" t="str">
        <f>IFERROR(__xludf.DUMMYFUNCTION("IFERROR(VLOOKUP(D1293,
IMPORTRANGE(""https://docs.google.com/spreadsheets/d/1MjHtlUikwobi2MaWJgy7tfLeBmhj1u-dRFRs_8GwSoA/edit#gid=0"",""Gestores Escolares!D7:m""),10,0),""VERIFICAR CÓD SEC"")"),"(77) 9 9934-7038")</f>
        <v>(77) 9 9934-7038</v>
      </c>
      <c r="S1293" s="82"/>
      <c r="T1293" s="138">
        <v>3.0</v>
      </c>
      <c r="U1293" s="139">
        <v>3.0</v>
      </c>
      <c r="V1293" s="106">
        <v>0.0</v>
      </c>
      <c r="W1293" s="107">
        <v>0.0</v>
      </c>
      <c r="X1293" s="107">
        <v>0.0</v>
      </c>
      <c r="Y1293" s="107">
        <v>0.0</v>
      </c>
      <c r="Z1293" s="80">
        <f t="shared" si="1"/>
        <v>0</v>
      </c>
      <c r="AA1293" s="106">
        <v>0.0</v>
      </c>
      <c r="AB1293" s="107">
        <v>0.0</v>
      </c>
      <c r="AC1293" s="107">
        <v>0.0</v>
      </c>
      <c r="AD1293" s="107">
        <v>0.0</v>
      </c>
      <c r="AE1293" s="80">
        <f t="shared" si="2"/>
        <v>0</v>
      </c>
      <c r="AF1293" s="140">
        <v>0.0</v>
      </c>
      <c r="AG1293" s="109">
        <v>83.0</v>
      </c>
      <c r="AH1293" s="109">
        <v>0.0</v>
      </c>
      <c r="AI1293" s="141">
        <v>0.0</v>
      </c>
      <c r="AJ1293" s="80">
        <f t="shared" si="3"/>
        <v>83</v>
      </c>
      <c r="AK1293" s="140">
        <v>0.0</v>
      </c>
      <c r="AL1293" s="109">
        <v>0.0</v>
      </c>
      <c r="AM1293" s="141">
        <v>0.0</v>
      </c>
      <c r="AN1293" s="80">
        <f t="shared" si="4"/>
        <v>0</v>
      </c>
      <c r="AO1293" s="140">
        <v>0.0</v>
      </c>
      <c r="AP1293" s="109">
        <v>0.0</v>
      </c>
      <c r="AQ1293" s="109">
        <v>0.0</v>
      </c>
      <c r="AR1293" s="80">
        <f t="shared" si="5"/>
        <v>0</v>
      </c>
      <c r="AS1293" s="110">
        <v>0.0</v>
      </c>
      <c r="AT1293" s="110">
        <v>0.0</v>
      </c>
      <c r="AU1293" s="110">
        <v>0.0</v>
      </c>
      <c r="AV1293" s="142">
        <v>0.0</v>
      </c>
      <c r="AW1293" s="80">
        <f t="shared" si="6"/>
        <v>0</v>
      </c>
      <c r="AX1293" s="113">
        <f t="shared" si="7"/>
        <v>83</v>
      </c>
      <c r="AY1293" s="117">
        <f t="shared" si="8"/>
        <v>83</v>
      </c>
      <c r="AZ1293" s="120">
        <f t="shared" si="9"/>
        <v>0</v>
      </c>
      <c r="BA1293" s="115">
        <v>0.0</v>
      </c>
      <c r="BB1293" s="89">
        <f t="shared" si="10"/>
        <v>83</v>
      </c>
      <c r="BC1293" s="132" t="s">
        <v>373</v>
      </c>
      <c r="BD1293" s="132" t="s">
        <v>178</v>
      </c>
      <c r="BE1293" s="132" t="s">
        <v>178</v>
      </c>
      <c r="BF1293" s="123"/>
      <c r="BG1293" s="83">
        <v>1178874.0</v>
      </c>
      <c r="BH1293" s="112"/>
      <c r="BI1293" s="112">
        <v>3.0</v>
      </c>
      <c r="BJ1293" s="98" t="s">
        <v>155</v>
      </c>
      <c r="BK1293" s="99">
        <f t="shared" si="11"/>
        <v>0</v>
      </c>
      <c r="BL1293" s="99">
        <f t="shared" si="12"/>
        <v>83</v>
      </c>
      <c r="BM1293" s="99" t="str">
        <f>IFERROR(__xludf.DUMMYFUNCTION("IFERROR(VLOOKUP(BG1293,IMPORTRANGE(""https://docs.google.com/spreadsheets/d/1juPI-Fb8LD0YtltB2mlGEnp_R3UVu1t3wSFPzgCyHXE/edit?gid=0#gid=0"",""GERAL!A2:C""),3,0),""-"")"),"CAMPO")</f>
        <v>CAMPO</v>
      </c>
    </row>
    <row r="1294" ht="15.75" customHeight="1">
      <c r="A1294" s="111" t="s">
        <v>1573</v>
      </c>
      <c r="B1294" s="83" t="s">
        <v>7288</v>
      </c>
      <c r="C1294" s="83" t="s">
        <v>68</v>
      </c>
      <c r="D1294" s="112">
        <v>1131674.0</v>
      </c>
      <c r="E1294" s="83"/>
      <c r="F1294" s="83">
        <v>2.9011507E7</v>
      </c>
      <c r="G1294" s="119" t="s">
        <v>2335</v>
      </c>
      <c r="H1294" s="108" t="s">
        <v>7289</v>
      </c>
      <c r="I1294" s="136" t="s">
        <v>149</v>
      </c>
      <c r="J1294" s="83" t="s">
        <v>150</v>
      </c>
      <c r="K1294" s="83" t="s">
        <v>151</v>
      </c>
      <c r="L1294" s="83" t="s">
        <v>152</v>
      </c>
      <c r="M1294" s="82" t="str">
        <f>IFERROR(__xludf.DUMMYFUNCTION("IFERROR(VLOOKUP(D1294,
IMPORTRANGE(""https://docs.google.com/spreadsheets/d/1MjHtlUikwobi2MaWJgy7tfLeBmhj1u-dRFRs_8GwSoA/edit#gid=0"",""Gestores Escolares!D7:J""),3,0),""VERIFICAR CÓD SEC"")"),"NEIDE DA SILVA")</f>
        <v>NEIDE DA SILVA</v>
      </c>
      <c r="N1294" s="82" t="str">
        <f>IFERROR(__xludf.DUMMYFUNCTION("IFERROR(VLOOKUP(D1294,
IMPORTRANGE(""https://docs.google.com/spreadsheets/d/1MjHtlUikwobi2MaWJgy7tfLeBmhj1u-dRFRs_8GwSoA/edit#gid=0"",""Gestores Escolares!D7:J""),4,0),""VERIFICAR CÓD SEC"")"),"(77) 9 8105-2244")</f>
        <v>(77) 9 8105-2244</v>
      </c>
      <c r="O1294" s="82" t="str">
        <f>IFERROR(__xludf.DUMMYFUNCTION("IFERROR(VLOOKUP(D1294,
IMPORTRANGE(""https://docs.google.com/spreadsheets/d/1MjHtlUikwobi2MaWJgy7tfLeBmhj1u-dRFRs_8GwSoA/edit#gid=0"",""Gestores Escolares!D7:J""),6,0),""VERIFICAR CÓD SEC"")"),"DEIVISSON TEIXEIRA SOUZA")</f>
        <v>DEIVISSON TEIXEIRA SOUZA</v>
      </c>
      <c r="P1294" s="82" t="str">
        <f>IFERROR(__xludf.DUMMYFUNCTION("IFERROR(VLOOKUP(D1294,
IMPORTRANGE(""https://docs.google.com/spreadsheets/d/1MjHtlUikwobi2MaWJgy7tfLeBmhj1u-dRFRs_8GwSoA/edit#gid=0"",""Gestores Escolares!D7:J""),7,0),""VERIFICAR CÓD SEC"")"),"(71) 9 9114-7753")</f>
        <v>(71) 9 9114-7753</v>
      </c>
      <c r="Q1294" s="82" t="str">
        <f>IFERROR(__xludf.DUMMYFUNCTION("IFERROR(VLOOKUP(D1294,
IMPORTRANGE(""https://docs.google.com/spreadsheets/d/1MjHtlUikwobi2MaWJgy7tfLeBmhj1u-dRFRs_8GwSoA/edit#gid=0"",""Gestores Escolares!D7:m""),9,0),""VERIFICAR CÓD SEC"")"),"")</f>
        <v/>
      </c>
      <c r="R1294" s="82" t="str">
        <f>IFERROR(__xludf.DUMMYFUNCTION("IFERROR(VLOOKUP(D1294,
IMPORTRANGE(""https://docs.google.com/spreadsheets/d/1MjHtlUikwobi2MaWJgy7tfLeBmhj1u-dRFRs_8GwSoA/edit#gid=0"",""Gestores Escolares!D7:m""),10,0),""VERIFICAR CÓD SEC"")"),"")</f>
        <v/>
      </c>
      <c r="S1294" s="82"/>
      <c r="T1294" s="138">
        <v>6.0</v>
      </c>
      <c r="U1294" s="145" t="s">
        <v>13878</v>
      </c>
      <c r="V1294" s="106">
        <v>0.0</v>
      </c>
      <c r="W1294" s="107">
        <v>0.0</v>
      </c>
      <c r="X1294" s="107">
        <v>0.0</v>
      </c>
      <c r="Y1294" s="107">
        <v>0.0</v>
      </c>
      <c r="Z1294" s="80">
        <f t="shared" si="1"/>
        <v>0</v>
      </c>
      <c r="AA1294" s="106">
        <v>0.0</v>
      </c>
      <c r="AB1294" s="107">
        <v>0.0</v>
      </c>
      <c r="AC1294" s="107">
        <v>0.0</v>
      </c>
      <c r="AD1294" s="107">
        <v>0.0</v>
      </c>
      <c r="AE1294" s="80">
        <f t="shared" si="2"/>
        <v>0</v>
      </c>
      <c r="AF1294" s="140">
        <v>81.0</v>
      </c>
      <c r="AG1294" s="109">
        <v>95.0</v>
      </c>
      <c r="AH1294" s="109">
        <v>0.0</v>
      </c>
      <c r="AI1294" s="141">
        <v>27.0</v>
      </c>
      <c r="AJ1294" s="80">
        <f t="shared" si="3"/>
        <v>203</v>
      </c>
      <c r="AK1294" s="140">
        <v>0.0</v>
      </c>
      <c r="AL1294" s="109">
        <v>0.0</v>
      </c>
      <c r="AM1294" s="141">
        <v>0.0</v>
      </c>
      <c r="AN1294" s="80">
        <f t="shared" si="4"/>
        <v>0</v>
      </c>
      <c r="AO1294" s="140">
        <v>0.0</v>
      </c>
      <c r="AP1294" s="109">
        <v>0.0</v>
      </c>
      <c r="AQ1294" s="109">
        <v>0.0</v>
      </c>
      <c r="AR1294" s="80">
        <f t="shared" si="5"/>
        <v>0</v>
      </c>
      <c r="AS1294" s="110">
        <v>67.0</v>
      </c>
      <c r="AT1294" s="110">
        <v>84.0</v>
      </c>
      <c r="AU1294" s="110">
        <v>15.0</v>
      </c>
      <c r="AV1294" s="142">
        <v>30.0</v>
      </c>
      <c r="AW1294" s="80">
        <f t="shared" si="6"/>
        <v>196</v>
      </c>
      <c r="AX1294" s="113">
        <f t="shared" si="7"/>
        <v>399</v>
      </c>
      <c r="AY1294" s="117">
        <f t="shared" si="8"/>
        <v>384</v>
      </c>
      <c r="AZ1294" s="120">
        <f t="shared" si="9"/>
        <v>15</v>
      </c>
      <c r="BA1294" s="115">
        <v>0.0</v>
      </c>
      <c r="BB1294" s="89">
        <f t="shared" si="10"/>
        <v>399</v>
      </c>
      <c r="BC1294" s="132" t="s">
        <v>178</v>
      </c>
      <c r="BD1294" s="132" t="s">
        <v>178</v>
      </c>
      <c r="BE1294" s="132" t="s">
        <v>178</v>
      </c>
      <c r="BF1294" s="123"/>
      <c r="BG1294" s="83">
        <v>1131674.0</v>
      </c>
      <c r="BH1294" s="112"/>
      <c r="BI1294" s="112">
        <v>6.0</v>
      </c>
      <c r="BJ1294" s="98" t="s">
        <v>155</v>
      </c>
      <c r="BK1294" s="99">
        <f t="shared" si="11"/>
        <v>57</v>
      </c>
      <c r="BL1294" s="99">
        <f t="shared" si="12"/>
        <v>327</v>
      </c>
      <c r="BM1294" s="99" t="str">
        <f>IFERROR(__xludf.DUMMYFUNCTION("IFERROR(VLOOKUP(BG1294,IMPORTRANGE(""https://docs.google.com/spreadsheets/d/1juPI-Fb8LD0YtltB2mlGEnp_R3UVu1t3wSFPzgCyHXE/edit?gid=0#gid=0"",""GERAL!A2:C""),3,0),""-"")"),"-")</f>
        <v>-</v>
      </c>
    </row>
    <row r="1295" ht="15.75" customHeight="1">
      <c r="A1295" s="111" t="s">
        <v>1573</v>
      </c>
      <c r="B1295" s="83" t="s">
        <v>7291</v>
      </c>
      <c r="C1295" s="83" t="s">
        <v>68</v>
      </c>
      <c r="D1295" s="112">
        <v>1131607.0</v>
      </c>
      <c r="E1295" s="83"/>
      <c r="F1295" s="83">
        <v>2.9011604E7</v>
      </c>
      <c r="G1295" s="119" t="s">
        <v>7292</v>
      </c>
      <c r="H1295" s="91" t="s">
        <v>7293</v>
      </c>
      <c r="I1295" s="83" t="s">
        <v>149</v>
      </c>
      <c r="J1295" s="83" t="s">
        <v>150</v>
      </c>
      <c r="K1295" s="83" t="s">
        <v>151</v>
      </c>
      <c r="L1295" s="83" t="s">
        <v>230</v>
      </c>
      <c r="M1295" s="82" t="str">
        <f>IFERROR(__xludf.DUMMYFUNCTION("IFERROR(VLOOKUP(D1295,
IMPORTRANGE(""https://docs.google.com/spreadsheets/d/1MjHtlUikwobi2MaWJgy7tfLeBmhj1u-dRFRs_8GwSoA/edit#gid=0"",""Gestores Escolares!D7:J""),3,0),""VERIFICAR CÓD SEC"")"),"SANDRA MARIA MOURA TRINDADE VIANA")</f>
        <v>SANDRA MARIA MOURA TRINDADE VIANA</v>
      </c>
      <c r="N1295" s="82" t="str">
        <f>IFERROR(__xludf.DUMMYFUNCTION("IFERROR(VLOOKUP(D1295,
IMPORTRANGE(""https://docs.google.com/spreadsheets/d/1MjHtlUikwobi2MaWJgy7tfLeBmhj1u-dRFRs_8GwSoA/edit#gid=0"",""Gestores Escolares!D7:J""),4,0),""VERIFICAR CÓD SEC"")"),"(77) 9 9101-1366")</f>
        <v>(77) 9 9101-1366</v>
      </c>
      <c r="O1295" s="82" t="str">
        <f>IFERROR(__xludf.DUMMYFUNCTION("IFERROR(VLOOKUP(D1295,
IMPORTRANGE(""https://docs.google.com/spreadsheets/d/1MjHtlUikwobi2MaWJgy7tfLeBmhj1u-dRFRs_8GwSoA/edit#gid=0"",""Gestores Escolares!D7:J""),6,0),""VERIFICAR CÓD SEC"")"),"MARLENE DA SILVA LOPES SOUZA")</f>
        <v>MARLENE DA SILVA LOPES SOUZA</v>
      </c>
      <c r="P1295" s="82" t="str">
        <f>IFERROR(__xludf.DUMMYFUNCTION("IFERROR(VLOOKUP(D1295,
IMPORTRANGE(""https://docs.google.com/spreadsheets/d/1MjHtlUikwobi2MaWJgy7tfLeBmhj1u-dRFRs_8GwSoA/edit#gid=0"",""Gestores Escolares!D7:J""),7,0),""VERIFICAR CÓD SEC"")"),"(77) 9 9131-5004")</f>
        <v>(77) 9 9131-5004</v>
      </c>
      <c r="Q1295" s="82" t="str">
        <f>IFERROR(__xludf.DUMMYFUNCTION("IFERROR(VLOOKUP(D1295,
IMPORTRANGE(""https://docs.google.com/spreadsheets/d/1MjHtlUikwobi2MaWJgy7tfLeBmhj1u-dRFRs_8GwSoA/edit#gid=0"",""Gestores Escolares!D7:m""),9,0),""VERIFICAR CÓD SEC"")"),"")</f>
        <v/>
      </c>
      <c r="R1295" s="82" t="str">
        <f>IFERROR(__xludf.DUMMYFUNCTION("IFERROR(VLOOKUP(D1295,
IMPORTRANGE(""https://docs.google.com/spreadsheets/d/1MjHtlUikwobi2MaWJgy7tfLeBmhj1u-dRFRs_8GwSoA/edit#gid=0"",""Gestores Escolares!D7:m""),10,0),""VERIFICAR CÓD SEC"")"),"")</f>
        <v/>
      </c>
      <c r="S1295" s="82"/>
      <c r="T1295" s="138">
        <v>14.0</v>
      </c>
      <c r="U1295" s="145" t="s">
        <v>13879</v>
      </c>
      <c r="V1295" s="106">
        <v>0.0</v>
      </c>
      <c r="W1295" s="107">
        <v>0.0</v>
      </c>
      <c r="X1295" s="107">
        <v>0.0</v>
      </c>
      <c r="Y1295" s="107">
        <v>0.0</v>
      </c>
      <c r="Z1295" s="80">
        <f t="shared" si="1"/>
        <v>0</v>
      </c>
      <c r="AA1295" s="106">
        <v>0.0</v>
      </c>
      <c r="AB1295" s="107">
        <v>0.0</v>
      </c>
      <c r="AC1295" s="107">
        <v>0.0</v>
      </c>
      <c r="AD1295" s="107">
        <v>0.0</v>
      </c>
      <c r="AE1295" s="80">
        <f t="shared" si="2"/>
        <v>0</v>
      </c>
      <c r="AF1295" s="140">
        <v>182.0</v>
      </c>
      <c r="AG1295" s="109">
        <v>227.0</v>
      </c>
      <c r="AH1295" s="109">
        <v>0.0</v>
      </c>
      <c r="AI1295" s="141">
        <v>140.0</v>
      </c>
      <c r="AJ1295" s="80">
        <f t="shared" si="3"/>
        <v>549</v>
      </c>
      <c r="AK1295" s="140">
        <v>0.0</v>
      </c>
      <c r="AL1295" s="109">
        <v>0.0</v>
      </c>
      <c r="AM1295" s="141">
        <v>0.0</v>
      </c>
      <c r="AN1295" s="80">
        <f t="shared" si="4"/>
        <v>0</v>
      </c>
      <c r="AO1295" s="140">
        <v>0.0</v>
      </c>
      <c r="AP1295" s="109">
        <v>0.0</v>
      </c>
      <c r="AQ1295" s="109">
        <v>54.0</v>
      </c>
      <c r="AR1295" s="80">
        <f t="shared" si="5"/>
        <v>54</v>
      </c>
      <c r="AS1295" s="110">
        <v>46.0</v>
      </c>
      <c r="AT1295" s="110">
        <v>0.0</v>
      </c>
      <c r="AU1295" s="110">
        <v>0.0</v>
      </c>
      <c r="AV1295" s="142">
        <v>35.0</v>
      </c>
      <c r="AW1295" s="80">
        <f t="shared" si="6"/>
        <v>81</v>
      </c>
      <c r="AX1295" s="113">
        <f t="shared" si="7"/>
        <v>684</v>
      </c>
      <c r="AY1295" s="117">
        <f t="shared" si="8"/>
        <v>630</v>
      </c>
      <c r="AZ1295" s="120">
        <f t="shared" si="9"/>
        <v>54</v>
      </c>
      <c r="BA1295" s="115">
        <v>0.0</v>
      </c>
      <c r="BB1295" s="89">
        <f t="shared" si="10"/>
        <v>684</v>
      </c>
      <c r="BC1295" s="132" t="s">
        <v>178</v>
      </c>
      <c r="BD1295" s="132" t="s">
        <v>178</v>
      </c>
      <c r="BE1295" s="132" t="s">
        <v>178</v>
      </c>
      <c r="BF1295" s="123"/>
      <c r="BG1295" s="83">
        <v>1131607.0</v>
      </c>
      <c r="BH1295" s="112"/>
      <c r="BI1295" s="112">
        <v>11.0</v>
      </c>
      <c r="BJ1295" s="98" t="s">
        <v>176</v>
      </c>
      <c r="BK1295" s="99">
        <f t="shared" si="11"/>
        <v>175</v>
      </c>
      <c r="BL1295" s="99">
        <f t="shared" si="12"/>
        <v>455</v>
      </c>
      <c r="BM1295" s="99" t="str">
        <f>IFERROR(__xludf.DUMMYFUNCTION("IFERROR(VLOOKUP(BG1295,IMPORTRANGE(""https://docs.google.com/spreadsheets/d/1juPI-Fb8LD0YtltB2mlGEnp_R3UVu1t3wSFPzgCyHXE/edit?gid=0#gid=0"",""GERAL!A2:C""),3,0),""-"")"),"-")</f>
        <v>-</v>
      </c>
    </row>
    <row r="1296" ht="15.75" customHeight="1">
      <c r="A1296" s="111" t="s">
        <v>1573</v>
      </c>
      <c r="B1296" s="83" t="s">
        <v>7291</v>
      </c>
      <c r="C1296" s="83" t="s">
        <v>164</v>
      </c>
      <c r="D1296" s="112">
        <v>1131607.0</v>
      </c>
      <c r="E1296" s="83">
        <v>1179610.0</v>
      </c>
      <c r="F1296" s="98">
        <v>2.949079E7</v>
      </c>
      <c r="G1296" s="119" t="s">
        <v>7296</v>
      </c>
      <c r="H1296" s="91" t="s">
        <v>7297</v>
      </c>
      <c r="I1296" s="83" t="s">
        <v>149</v>
      </c>
      <c r="J1296" s="83" t="s">
        <v>461</v>
      </c>
      <c r="K1296" s="83" t="s">
        <v>168</v>
      </c>
      <c r="L1296" s="83" t="s">
        <v>169</v>
      </c>
      <c r="M1296" s="82" t="str">
        <f>IFERROR(__xludf.DUMMYFUNCTION("IFERROR(VLOOKUP(D1296,
IMPORTRANGE(""https://docs.google.com/spreadsheets/d/1MjHtlUikwobi2MaWJgy7tfLeBmhj1u-dRFRs_8GwSoA/edit#gid=0"",""Gestores Escolares!D7:J""),3,0),""VERIFICAR CÓD SEC"")"),"SANDRA MARIA MOURA TRINDADE VIANA")</f>
        <v>SANDRA MARIA MOURA TRINDADE VIANA</v>
      </c>
      <c r="N1296" s="82" t="str">
        <f>IFERROR(__xludf.DUMMYFUNCTION("IFERROR(VLOOKUP(D1296,
IMPORTRANGE(""https://docs.google.com/spreadsheets/d/1MjHtlUikwobi2MaWJgy7tfLeBmhj1u-dRFRs_8GwSoA/edit#gid=0"",""Gestores Escolares!D7:J""),4,0),""VERIFICAR CÓD SEC"")"),"(77) 9 9101-1366")</f>
        <v>(77) 9 9101-1366</v>
      </c>
      <c r="O1296" s="82" t="str">
        <f>IFERROR(__xludf.DUMMYFUNCTION("IFERROR(VLOOKUP(D1296,
IMPORTRANGE(""https://docs.google.com/spreadsheets/d/1MjHtlUikwobi2MaWJgy7tfLeBmhj1u-dRFRs_8GwSoA/edit#gid=0"",""Gestores Escolares!D7:J""),6,0),""VERIFICAR CÓD SEC"")"),"MARLENE DA SILVA LOPES SOUZA")</f>
        <v>MARLENE DA SILVA LOPES SOUZA</v>
      </c>
      <c r="P1296" s="82" t="str">
        <f>IFERROR(__xludf.DUMMYFUNCTION("IFERROR(VLOOKUP(D1296,
IMPORTRANGE(""https://docs.google.com/spreadsheets/d/1MjHtlUikwobi2MaWJgy7tfLeBmhj1u-dRFRs_8GwSoA/edit#gid=0"",""Gestores Escolares!D7:J""),7,0),""VERIFICAR CÓD SEC"")"),"(77) 9 9131-5004")</f>
        <v>(77) 9 9131-5004</v>
      </c>
      <c r="Q1296" s="82" t="str">
        <f>IFERROR(__xludf.DUMMYFUNCTION("IFERROR(VLOOKUP(D1296,
IMPORTRANGE(""https://docs.google.com/spreadsheets/d/1MjHtlUikwobi2MaWJgy7tfLeBmhj1u-dRFRs_8GwSoA/edit#gid=0"",""Gestores Escolares!D7:m""),9,0),""VERIFICAR CÓD SEC"")"),"")</f>
        <v/>
      </c>
      <c r="R1296" s="82" t="str">
        <f>IFERROR(__xludf.DUMMYFUNCTION("IFERROR(VLOOKUP(D1296,
IMPORTRANGE(""https://docs.google.com/spreadsheets/d/1MjHtlUikwobi2MaWJgy7tfLeBmhj1u-dRFRs_8GwSoA/edit#gid=0"",""Gestores Escolares!D7:m""),10,0),""VERIFICAR CÓD SEC"")"),"")</f>
        <v/>
      </c>
      <c r="S1296" s="82"/>
      <c r="T1296" s="138">
        <v>2.0</v>
      </c>
      <c r="U1296" s="139">
        <v>3.0</v>
      </c>
      <c r="V1296" s="106">
        <v>0.0</v>
      </c>
      <c r="W1296" s="107">
        <v>0.0</v>
      </c>
      <c r="X1296" s="107">
        <v>0.0</v>
      </c>
      <c r="Y1296" s="107">
        <v>0.0</v>
      </c>
      <c r="Z1296" s="80">
        <f t="shared" si="1"/>
        <v>0</v>
      </c>
      <c r="AA1296" s="106">
        <v>0.0</v>
      </c>
      <c r="AB1296" s="107">
        <v>0.0</v>
      </c>
      <c r="AC1296" s="107">
        <v>0.0</v>
      </c>
      <c r="AD1296" s="107">
        <v>0.0</v>
      </c>
      <c r="AE1296" s="80">
        <f t="shared" si="2"/>
        <v>0</v>
      </c>
      <c r="AF1296" s="140">
        <v>0.0</v>
      </c>
      <c r="AG1296" s="109">
        <v>22.0</v>
      </c>
      <c r="AH1296" s="109">
        <v>0.0</v>
      </c>
      <c r="AI1296" s="141">
        <v>0.0</v>
      </c>
      <c r="AJ1296" s="80">
        <f t="shared" si="3"/>
        <v>22</v>
      </c>
      <c r="AK1296" s="140">
        <v>0.0</v>
      </c>
      <c r="AL1296" s="109">
        <v>0.0</v>
      </c>
      <c r="AM1296" s="141">
        <v>0.0</v>
      </c>
      <c r="AN1296" s="80">
        <f t="shared" si="4"/>
        <v>0</v>
      </c>
      <c r="AO1296" s="140">
        <v>0.0</v>
      </c>
      <c r="AP1296" s="109">
        <v>0.0</v>
      </c>
      <c r="AQ1296" s="109">
        <v>0.0</v>
      </c>
      <c r="AR1296" s="80">
        <f t="shared" si="5"/>
        <v>0</v>
      </c>
      <c r="AS1296" s="110">
        <v>0.0</v>
      </c>
      <c r="AT1296" s="110">
        <v>0.0</v>
      </c>
      <c r="AU1296" s="110">
        <v>0.0</v>
      </c>
      <c r="AV1296" s="142">
        <v>0.0</v>
      </c>
      <c r="AW1296" s="80">
        <f t="shared" si="6"/>
        <v>0</v>
      </c>
      <c r="AX1296" s="113">
        <f t="shared" si="7"/>
        <v>22</v>
      </c>
      <c r="AY1296" s="117">
        <f t="shared" si="8"/>
        <v>22</v>
      </c>
      <c r="AZ1296" s="120">
        <f t="shared" si="9"/>
        <v>0</v>
      </c>
      <c r="BA1296" s="115">
        <v>0.0</v>
      </c>
      <c r="BB1296" s="89">
        <f t="shared" si="10"/>
        <v>22</v>
      </c>
      <c r="BC1296" s="132" t="s">
        <v>265</v>
      </c>
      <c r="BD1296" s="132" t="s">
        <v>178</v>
      </c>
      <c r="BE1296" s="132" t="s">
        <v>178</v>
      </c>
      <c r="BF1296" s="156"/>
      <c r="BG1296" s="83">
        <v>1179610.0</v>
      </c>
      <c r="BH1296" s="112"/>
      <c r="BI1296" s="112">
        <v>3.0</v>
      </c>
      <c r="BJ1296" s="98" t="s">
        <v>155</v>
      </c>
      <c r="BK1296" s="99">
        <f t="shared" si="11"/>
        <v>0</v>
      </c>
      <c r="BL1296" s="99">
        <f t="shared" si="12"/>
        <v>22</v>
      </c>
      <c r="BM1296" s="99" t="str">
        <f>IFERROR(__xludf.DUMMYFUNCTION("IFERROR(VLOOKUP(BG1296,IMPORTRANGE(""https://docs.google.com/spreadsheets/d/1juPI-Fb8LD0YtltB2mlGEnp_R3UVu1t3wSFPzgCyHXE/edit?gid=0#gid=0"",""GERAL!A2:C""),3,0),""-"")"),"QUILOMBOLAS")</f>
        <v>QUILOMBOLAS</v>
      </c>
    </row>
    <row r="1297" ht="15.75" customHeight="1">
      <c r="A1297" s="111" t="s">
        <v>1573</v>
      </c>
      <c r="B1297" s="83" t="s">
        <v>7291</v>
      </c>
      <c r="C1297" s="83" t="s">
        <v>164</v>
      </c>
      <c r="D1297" s="112">
        <v>1131607.0</v>
      </c>
      <c r="E1297" s="83">
        <v>1179609.0</v>
      </c>
      <c r="F1297" s="98">
        <v>2.9490782E7</v>
      </c>
      <c r="G1297" s="119" t="s">
        <v>7298</v>
      </c>
      <c r="H1297" s="91" t="s">
        <v>7299</v>
      </c>
      <c r="I1297" s="83" t="s">
        <v>149</v>
      </c>
      <c r="J1297" s="83" t="s">
        <v>7300</v>
      </c>
      <c r="K1297" s="83" t="s">
        <v>168</v>
      </c>
      <c r="L1297" s="83" t="s">
        <v>169</v>
      </c>
      <c r="M1297" s="82" t="str">
        <f>IFERROR(__xludf.DUMMYFUNCTION("IFERROR(VLOOKUP(D1297,
IMPORTRANGE(""https://docs.google.com/spreadsheets/d/1MjHtlUikwobi2MaWJgy7tfLeBmhj1u-dRFRs_8GwSoA/edit#gid=0"",""Gestores Escolares!D7:J""),3,0),""VERIFICAR CÓD SEC"")"),"SANDRA MARIA MOURA TRINDADE VIANA")</f>
        <v>SANDRA MARIA MOURA TRINDADE VIANA</v>
      </c>
      <c r="N1297" s="82" t="str">
        <f>IFERROR(__xludf.DUMMYFUNCTION("IFERROR(VLOOKUP(D1297,
IMPORTRANGE(""https://docs.google.com/spreadsheets/d/1MjHtlUikwobi2MaWJgy7tfLeBmhj1u-dRFRs_8GwSoA/edit#gid=0"",""Gestores Escolares!D7:J""),4,0),""VERIFICAR CÓD SEC"")"),"(77) 9 9101-1366")</f>
        <v>(77) 9 9101-1366</v>
      </c>
      <c r="O1297" s="82" t="str">
        <f>IFERROR(__xludf.DUMMYFUNCTION("IFERROR(VLOOKUP(D1297,
IMPORTRANGE(""https://docs.google.com/spreadsheets/d/1MjHtlUikwobi2MaWJgy7tfLeBmhj1u-dRFRs_8GwSoA/edit#gid=0"",""Gestores Escolares!D7:J""),6,0),""VERIFICAR CÓD SEC"")"),"MARLENE DA SILVA LOPES SOUZA")</f>
        <v>MARLENE DA SILVA LOPES SOUZA</v>
      </c>
      <c r="P1297" s="82" t="str">
        <f>IFERROR(__xludf.DUMMYFUNCTION("IFERROR(VLOOKUP(D1297,
IMPORTRANGE(""https://docs.google.com/spreadsheets/d/1MjHtlUikwobi2MaWJgy7tfLeBmhj1u-dRFRs_8GwSoA/edit#gid=0"",""Gestores Escolares!D7:J""),7,0),""VERIFICAR CÓD SEC"")"),"(77) 9 9131-5004")</f>
        <v>(77) 9 9131-5004</v>
      </c>
      <c r="Q1297" s="82" t="str">
        <f>IFERROR(__xludf.DUMMYFUNCTION("IFERROR(VLOOKUP(D1297,
IMPORTRANGE(""https://docs.google.com/spreadsheets/d/1MjHtlUikwobi2MaWJgy7tfLeBmhj1u-dRFRs_8GwSoA/edit#gid=0"",""Gestores Escolares!D7:m""),9,0),""VERIFICAR CÓD SEC"")"),"")</f>
        <v/>
      </c>
      <c r="R1297" s="82" t="str">
        <f>IFERROR(__xludf.DUMMYFUNCTION("IFERROR(VLOOKUP(D1297,
IMPORTRANGE(""https://docs.google.com/spreadsheets/d/1MjHtlUikwobi2MaWJgy7tfLeBmhj1u-dRFRs_8GwSoA/edit#gid=0"",""Gestores Escolares!D7:m""),10,0),""VERIFICAR CÓD SEC"")"),"")</f>
        <v/>
      </c>
      <c r="S1297" s="82"/>
      <c r="T1297" s="138">
        <v>3.0</v>
      </c>
      <c r="U1297" s="139">
        <v>1.0</v>
      </c>
      <c r="V1297" s="106">
        <v>0.0</v>
      </c>
      <c r="W1297" s="107">
        <v>0.0</v>
      </c>
      <c r="X1297" s="107">
        <v>0.0</v>
      </c>
      <c r="Y1297" s="107">
        <v>0.0</v>
      </c>
      <c r="Z1297" s="80">
        <f t="shared" si="1"/>
        <v>0</v>
      </c>
      <c r="AA1297" s="106">
        <v>0.0</v>
      </c>
      <c r="AB1297" s="107">
        <v>0.0</v>
      </c>
      <c r="AC1297" s="107">
        <v>0.0</v>
      </c>
      <c r="AD1297" s="107">
        <v>0.0</v>
      </c>
      <c r="AE1297" s="80">
        <f t="shared" si="2"/>
        <v>0</v>
      </c>
      <c r="AF1297" s="140">
        <v>15.0</v>
      </c>
      <c r="AG1297" s="109">
        <v>0.0</v>
      </c>
      <c r="AH1297" s="109">
        <v>0.0</v>
      </c>
      <c r="AI1297" s="141">
        <v>0.0</v>
      </c>
      <c r="AJ1297" s="80">
        <f t="shared" si="3"/>
        <v>15</v>
      </c>
      <c r="AK1297" s="140">
        <v>0.0</v>
      </c>
      <c r="AL1297" s="109">
        <v>0.0</v>
      </c>
      <c r="AM1297" s="141">
        <v>0.0</v>
      </c>
      <c r="AN1297" s="80">
        <f t="shared" si="4"/>
        <v>0</v>
      </c>
      <c r="AO1297" s="140">
        <v>0.0</v>
      </c>
      <c r="AP1297" s="109">
        <v>0.0</v>
      </c>
      <c r="AQ1297" s="109">
        <v>0.0</v>
      </c>
      <c r="AR1297" s="80">
        <f t="shared" si="5"/>
        <v>0</v>
      </c>
      <c r="AS1297" s="110">
        <v>0.0</v>
      </c>
      <c r="AT1297" s="110">
        <v>0.0</v>
      </c>
      <c r="AU1297" s="110">
        <v>0.0</v>
      </c>
      <c r="AV1297" s="142">
        <v>0.0</v>
      </c>
      <c r="AW1297" s="80">
        <f t="shared" si="6"/>
        <v>0</v>
      </c>
      <c r="AX1297" s="113">
        <f t="shared" si="7"/>
        <v>15</v>
      </c>
      <c r="AY1297" s="117">
        <f t="shared" si="8"/>
        <v>15</v>
      </c>
      <c r="AZ1297" s="120">
        <f t="shared" si="9"/>
        <v>0</v>
      </c>
      <c r="BA1297" s="115">
        <v>0.0</v>
      </c>
      <c r="BB1297" s="89">
        <f t="shared" si="10"/>
        <v>15</v>
      </c>
      <c r="BC1297" s="143" t="s">
        <v>1294</v>
      </c>
      <c r="BD1297" s="132" t="s">
        <v>178</v>
      </c>
      <c r="BE1297" s="132" t="s">
        <v>178</v>
      </c>
      <c r="BF1297" s="156"/>
      <c r="BG1297" s="83">
        <v>1179609.0</v>
      </c>
      <c r="BH1297" s="112"/>
      <c r="BI1297" s="112">
        <v>1.0</v>
      </c>
      <c r="BJ1297" s="98" t="s">
        <v>155</v>
      </c>
      <c r="BK1297" s="99">
        <f t="shared" si="11"/>
        <v>0</v>
      </c>
      <c r="BL1297" s="99">
        <f t="shared" si="12"/>
        <v>15</v>
      </c>
      <c r="BM1297" s="99" t="str">
        <f>IFERROR(__xludf.DUMMYFUNCTION("IFERROR(VLOOKUP(BG1297,IMPORTRANGE(""https://docs.google.com/spreadsheets/d/1juPI-Fb8LD0YtltB2mlGEnp_R3UVu1t3wSFPzgCyHXE/edit?gid=0#gid=0"",""GERAL!A2:C""),3,0),""-"")"),"INDÍGENAS")</f>
        <v>INDÍGENAS</v>
      </c>
    </row>
    <row r="1298" ht="15.75" customHeight="1">
      <c r="A1298" s="111" t="s">
        <v>1573</v>
      </c>
      <c r="B1298" s="83" t="s">
        <v>7306</v>
      </c>
      <c r="C1298" s="83" t="s">
        <v>68</v>
      </c>
      <c r="D1298" s="112">
        <v>1131534.0</v>
      </c>
      <c r="E1298" s="83"/>
      <c r="F1298" s="83">
        <v>2.9012465E7</v>
      </c>
      <c r="G1298" s="119" t="s">
        <v>7307</v>
      </c>
      <c r="H1298" s="91" t="s">
        <v>7308</v>
      </c>
      <c r="I1298" s="136" t="s">
        <v>149</v>
      </c>
      <c r="J1298" s="83" t="s">
        <v>150</v>
      </c>
      <c r="K1298" s="83" t="s">
        <v>151</v>
      </c>
      <c r="L1298" s="83" t="s">
        <v>152</v>
      </c>
      <c r="M1298" s="82" t="str">
        <f>IFERROR(__xludf.DUMMYFUNCTION("IFERROR(VLOOKUP(D1298,
IMPORTRANGE(""https://docs.google.com/spreadsheets/d/1MjHtlUikwobi2MaWJgy7tfLeBmhj1u-dRFRs_8GwSoA/edit#gid=0"",""Gestores Escolares!D7:J""),3,0),""VERIFICAR CÓD SEC"")"),"PEDRO MOREIRA DE SOUZA SOBRINHO")</f>
        <v>PEDRO MOREIRA DE SOUZA SOBRINHO</v>
      </c>
      <c r="N1298" s="82" t="str">
        <f>IFERROR(__xludf.DUMMYFUNCTION("IFERROR(VLOOKUP(D1298,
IMPORTRANGE(""https://docs.google.com/spreadsheets/d/1MjHtlUikwobi2MaWJgy7tfLeBmhj1u-dRFRs_8GwSoA/edit#gid=0"",""Gestores Escolares!D7:J""),4,0),""VERIFICAR CÓD SEC"")"),"(77) 9 9925-7827
")</f>
        <v>(77) 9 9925-7827
</v>
      </c>
      <c r="O1298" s="82" t="str">
        <f>IFERROR(__xludf.DUMMYFUNCTION("IFERROR(VLOOKUP(D1298,
IMPORTRANGE(""https://docs.google.com/spreadsheets/d/1MjHtlUikwobi2MaWJgy7tfLeBmhj1u-dRFRs_8GwSoA/edit#gid=0"",""Gestores Escolares!D7:J""),6,0),""VERIFICAR CÓD SEC"")")," KARINA DA CONCEICAO SILVA")</f>
        <v> KARINA DA CONCEICAO SILVA</v>
      </c>
      <c r="P1298" s="82" t="str">
        <f>IFERROR(__xludf.DUMMYFUNCTION("IFERROR(VLOOKUP(D1298,
IMPORTRANGE(""https://docs.google.com/spreadsheets/d/1MjHtlUikwobi2MaWJgy7tfLeBmhj1u-dRFRs_8GwSoA/edit#gid=0"",""Gestores Escolares!D7:J""),7,0),""VERIFICAR CÓD SEC"")"),"(77) 9 9192-7864")</f>
        <v>(77) 9 9192-7864</v>
      </c>
      <c r="Q1298" s="82" t="str">
        <f>IFERROR(__xludf.DUMMYFUNCTION("IFERROR(VLOOKUP(D1298,
IMPORTRANGE(""https://docs.google.com/spreadsheets/d/1MjHtlUikwobi2MaWJgy7tfLeBmhj1u-dRFRs_8GwSoA/edit#gid=0"",""Gestores Escolares!D7:m""),9,0),""VERIFICAR CÓD SEC"")"),"(SECRETÁRIA) DIOLIRA SILVA COSTA")</f>
        <v>(SECRETÁRIA) DIOLIRA SILVA COSTA</v>
      </c>
      <c r="R1298" s="82" t="str">
        <f>IFERROR(__xludf.DUMMYFUNCTION("IFERROR(VLOOKUP(D1298,
IMPORTRANGE(""https://docs.google.com/spreadsheets/d/1MjHtlUikwobi2MaWJgy7tfLeBmhj1u-dRFRs_8GwSoA/edit#gid=0"",""Gestores Escolares!D7:m""),10,0),""VERIFICAR CÓD SEC"")"),"(77) 9 9196-0078")</f>
        <v>(77) 9 9196-0078</v>
      </c>
      <c r="S1298" s="82"/>
      <c r="T1298" s="138">
        <v>10.0</v>
      </c>
      <c r="U1298" s="217">
        <v>12.0</v>
      </c>
      <c r="V1298" s="106">
        <v>0.0</v>
      </c>
      <c r="W1298" s="107">
        <v>0.0</v>
      </c>
      <c r="X1298" s="107">
        <v>0.0</v>
      </c>
      <c r="Y1298" s="107">
        <v>0.0</v>
      </c>
      <c r="Z1298" s="80">
        <f t="shared" si="1"/>
        <v>0</v>
      </c>
      <c r="AA1298" s="106">
        <v>0.0</v>
      </c>
      <c r="AB1298" s="107">
        <v>0.0</v>
      </c>
      <c r="AC1298" s="107">
        <v>0.0</v>
      </c>
      <c r="AD1298" s="107">
        <v>0.0</v>
      </c>
      <c r="AE1298" s="80">
        <f t="shared" si="2"/>
        <v>0</v>
      </c>
      <c r="AF1298" s="140">
        <v>181.0</v>
      </c>
      <c r="AG1298" s="109">
        <v>161.0</v>
      </c>
      <c r="AH1298" s="109">
        <v>0.0</v>
      </c>
      <c r="AI1298" s="141">
        <v>49.0</v>
      </c>
      <c r="AJ1298" s="80">
        <f t="shared" si="3"/>
        <v>391</v>
      </c>
      <c r="AK1298" s="140">
        <v>0.0</v>
      </c>
      <c r="AL1298" s="109">
        <v>0.0</v>
      </c>
      <c r="AM1298" s="141">
        <v>0.0</v>
      </c>
      <c r="AN1298" s="80">
        <f t="shared" si="4"/>
        <v>0</v>
      </c>
      <c r="AO1298" s="140">
        <v>0.0</v>
      </c>
      <c r="AP1298" s="109">
        <v>0.0</v>
      </c>
      <c r="AQ1298" s="109">
        <v>44.0</v>
      </c>
      <c r="AR1298" s="80">
        <f t="shared" si="5"/>
        <v>44</v>
      </c>
      <c r="AS1298" s="110">
        <v>0.0</v>
      </c>
      <c r="AT1298" s="110">
        <v>0.0</v>
      </c>
      <c r="AU1298" s="110">
        <v>0.0</v>
      </c>
      <c r="AV1298" s="142">
        <v>39.0</v>
      </c>
      <c r="AW1298" s="80">
        <f t="shared" si="6"/>
        <v>39</v>
      </c>
      <c r="AX1298" s="113">
        <f t="shared" si="7"/>
        <v>474</v>
      </c>
      <c r="AY1298" s="117">
        <f t="shared" si="8"/>
        <v>430</v>
      </c>
      <c r="AZ1298" s="120">
        <f t="shared" si="9"/>
        <v>44</v>
      </c>
      <c r="BA1298" s="115">
        <v>0.0</v>
      </c>
      <c r="BB1298" s="89">
        <f t="shared" si="10"/>
        <v>474</v>
      </c>
      <c r="BC1298" s="132" t="s">
        <v>178</v>
      </c>
      <c r="BD1298" s="132" t="s">
        <v>178</v>
      </c>
      <c r="BE1298" s="132" t="s">
        <v>178</v>
      </c>
      <c r="BF1298" s="123"/>
      <c r="BG1298" s="83">
        <v>1131534.0</v>
      </c>
      <c r="BH1298" s="112"/>
      <c r="BI1298" s="112">
        <v>12.0</v>
      </c>
      <c r="BJ1298" s="98" t="s">
        <v>155</v>
      </c>
      <c r="BK1298" s="99">
        <f t="shared" si="11"/>
        <v>88</v>
      </c>
      <c r="BL1298" s="99">
        <f t="shared" si="12"/>
        <v>342</v>
      </c>
      <c r="BM1298" s="99" t="str">
        <f>IFERROR(__xludf.DUMMYFUNCTION("IFERROR(VLOOKUP(BG1298,IMPORTRANGE(""https://docs.google.com/spreadsheets/d/1juPI-Fb8LD0YtltB2mlGEnp_R3UVu1t3wSFPzgCyHXE/edit?gid=0#gid=0"",""GERAL!A2:C""),3,0),""-"")"),"-")</f>
        <v>-</v>
      </c>
    </row>
    <row r="1299" ht="15.75" customHeight="1">
      <c r="A1299" s="111" t="s">
        <v>1573</v>
      </c>
      <c r="B1299" s="83" t="s">
        <v>7306</v>
      </c>
      <c r="C1299" s="83" t="s">
        <v>164</v>
      </c>
      <c r="D1299" s="112">
        <v>1131534.0</v>
      </c>
      <c r="E1299" s="83">
        <v>1178227.0</v>
      </c>
      <c r="F1299" s="98">
        <v>2.9493285E7</v>
      </c>
      <c r="G1299" s="119" t="s">
        <v>7310</v>
      </c>
      <c r="H1299" s="91" t="s">
        <v>7311</v>
      </c>
      <c r="I1299" s="136" t="s">
        <v>7312</v>
      </c>
      <c r="J1299" s="83" t="s">
        <v>244</v>
      </c>
      <c r="K1299" s="98" t="s">
        <v>7313</v>
      </c>
      <c r="L1299" s="83" t="s">
        <v>169</v>
      </c>
      <c r="M1299" s="82" t="str">
        <f>IFERROR(__xludf.DUMMYFUNCTION("IFERROR(VLOOKUP(D1299,
IMPORTRANGE(""https://docs.google.com/spreadsheets/d/1MjHtlUikwobi2MaWJgy7tfLeBmhj1u-dRFRs_8GwSoA/edit#gid=0"",""Gestores Escolares!D7:J""),3,0),""VERIFICAR CÓD SEC"")"),"PEDRO MOREIRA DE SOUZA SOBRINHO")</f>
        <v>PEDRO MOREIRA DE SOUZA SOBRINHO</v>
      </c>
      <c r="N1299" s="82" t="str">
        <f>IFERROR(__xludf.DUMMYFUNCTION("IFERROR(VLOOKUP(D1299,
IMPORTRANGE(""https://docs.google.com/spreadsheets/d/1MjHtlUikwobi2MaWJgy7tfLeBmhj1u-dRFRs_8GwSoA/edit#gid=0"",""Gestores Escolares!D7:J""),4,0),""VERIFICAR CÓD SEC"")"),"(77) 9 9925-7827
")</f>
        <v>(77) 9 9925-7827
</v>
      </c>
      <c r="O1299" s="82" t="str">
        <f>IFERROR(__xludf.DUMMYFUNCTION("IFERROR(VLOOKUP(D1299,
IMPORTRANGE(""https://docs.google.com/spreadsheets/d/1MjHtlUikwobi2MaWJgy7tfLeBmhj1u-dRFRs_8GwSoA/edit#gid=0"",""Gestores Escolares!D7:J""),6,0),""VERIFICAR CÓD SEC"")")," KARINA DA CONCEICAO SILVA")</f>
        <v> KARINA DA CONCEICAO SILVA</v>
      </c>
      <c r="P1299" s="82" t="str">
        <f>IFERROR(__xludf.DUMMYFUNCTION("IFERROR(VLOOKUP(D1299,
IMPORTRANGE(""https://docs.google.com/spreadsheets/d/1MjHtlUikwobi2MaWJgy7tfLeBmhj1u-dRFRs_8GwSoA/edit#gid=0"",""Gestores Escolares!D7:J""),7,0),""VERIFICAR CÓD SEC"")"),"(77) 9 9192-7864")</f>
        <v>(77) 9 9192-7864</v>
      </c>
      <c r="Q1299" s="82" t="str">
        <f>IFERROR(__xludf.DUMMYFUNCTION("IFERROR(VLOOKUP(D1299,
IMPORTRANGE(""https://docs.google.com/spreadsheets/d/1MjHtlUikwobi2MaWJgy7tfLeBmhj1u-dRFRs_8GwSoA/edit#gid=0"",""Gestores Escolares!D7:m""),9,0),""VERIFICAR CÓD SEC"")"),"(SECRETÁRIA) DIOLIRA SILVA COSTA")</f>
        <v>(SECRETÁRIA) DIOLIRA SILVA COSTA</v>
      </c>
      <c r="R1299" s="82" t="str">
        <f>IFERROR(__xludf.DUMMYFUNCTION("IFERROR(VLOOKUP(D1299,
IMPORTRANGE(""https://docs.google.com/spreadsheets/d/1MjHtlUikwobi2MaWJgy7tfLeBmhj1u-dRFRs_8GwSoA/edit#gid=0"",""Gestores Escolares!D7:m""),10,0),""VERIFICAR CÓD SEC"")"),"(77) 9 9196-0078")</f>
        <v>(77) 9 9196-0078</v>
      </c>
      <c r="S1299" s="82"/>
      <c r="T1299" s="138">
        <v>3.0</v>
      </c>
      <c r="U1299" s="152">
        <v>3.0</v>
      </c>
      <c r="V1299" s="106">
        <v>0.0</v>
      </c>
      <c r="W1299" s="107">
        <v>0.0</v>
      </c>
      <c r="X1299" s="107">
        <v>0.0</v>
      </c>
      <c r="Y1299" s="107">
        <v>0.0</v>
      </c>
      <c r="Z1299" s="80">
        <f t="shared" si="1"/>
        <v>0</v>
      </c>
      <c r="AA1299" s="106">
        <v>0.0</v>
      </c>
      <c r="AB1299" s="107">
        <v>0.0</v>
      </c>
      <c r="AC1299" s="107">
        <v>0.0</v>
      </c>
      <c r="AD1299" s="107">
        <v>0.0</v>
      </c>
      <c r="AE1299" s="80">
        <f t="shared" si="2"/>
        <v>0</v>
      </c>
      <c r="AF1299" s="140">
        <v>0.0</v>
      </c>
      <c r="AG1299" s="109">
        <v>95.0</v>
      </c>
      <c r="AH1299" s="109">
        <v>0.0</v>
      </c>
      <c r="AI1299" s="141">
        <v>0.0</v>
      </c>
      <c r="AJ1299" s="80">
        <f t="shared" si="3"/>
        <v>95</v>
      </c>
      <c r="AK1299" s="140">
        <v>0.0</v>
      </c>
      <c r="AL1299" s="109">
        <v>0.0</v>
      </c>
      <c r="AM1299" s="141">
        <v>0.0</v>
      </c>
      <c r="AN1299" s="80">
        <f t="shared" si="4"/>
        <v>0</v>
      </c>
      <c r="AO1299" s="140">
        <v>0.0</v>
      </c>
      <c r="AP1299" s="109">
        <v>0.0</v>
      </c>
      <c r="AQ1299" s="109">
        <v>0.0</v>
      </c>
      <c r="AR1299" s="80">
        <f t="shared" si="5"/>
        <v>0</v>
      </c>
      <c r="AS1299" s="110">
        <v>0.0</v>
      </c>
      <c r="AT1299" s="110">
        <v>0.0</v>
      </c>
      <c r="AU1299" s="110">
        <v>0.0</v>
      </c>
      <c r="AV1299" s="142">
        <v>0.0</v>
      </c>
      <c r="AW1299" s="80">
        <f t="shared" si="6"/>
        <v>0</v>
      </c>
      <c r="AX1299" s="113">
        <f t="shared" si="7"/>
        <v>95</v>
      </c>
      <c r="AY1299" s="117">
        <f t="shared" si="8"/>
        <v>95</v>
      </c>
      <c r="AZ1299" s="120">
        <f t="shared" si="9"/>
        <v>0</v>
      </c>
      <c r="BA1299" s="115">
        <v>0.0</v>
      </c>
      <c r="BB1299" s="89">
        <f t="shared" si="10"/>
        <v>95</v>
      </c>
      <c r="BC1299" s="132" t="s">
        <v>373</v>
      </c>
      <c r="BD1299" s="132" t="s">
        <v>178</v>
      </c>
      <c r="BE1299" s="132" t="s">
        <v>178</v>
      </c>
      <c r="BF1299" s="123"/>
      <c r="BG1299" s="83">
        <v>1178227.0</v>
      </c>
      <c r="BH1299" s="112"/>
      <c r="BI1299" s="112">
        <v>3.0</v>
      </c>
      <c r="BJ1299" s="98" t="s">
        <v>155</v>
      </c>
      <c r="BK1299" s="99">
        <f t="shared" si="11"/>
        <v>0</v>
      </c>
      <c r="BL1299" s="99">
        <f t="shared" si="12"/>
        <v>95</v>
      </c>
      <c r="BM1299" s="99" t="str">
        <f>IFERROR(__xludf.DUMMYFUNCTION("IFERROR(VLOOKUP(BG1299,IMPORTRANGE(""https://docs.google.com/spreadsheets/d/1juPI-Fb8LD0YtltB2mlGEnp_R3UVu1t3wSFPzgCyHXE/edit?gid=0#gid=0"",""GERAL!A2:C""),3,0),""-"")"),"CAMPO")</f>
        <v>CAMPO</v>
      </c>
    </row>
    <row r="1300" ht="15.75" customHeight="1">
      <c r="A1300" s="111" t="s">
        <v>1573</v>
      </c>
      <c r="B1300" s="83" t="s">
        <v>7306</v>
      </c>
      <c r="C1300" s="83" t="s">
        <v>164</v>
      </c>
      <c r="D1300" s="112">
        <v>1131534.0</v>
      </c>
      <c r="E1300" s="83">
        <v>1178916.0</v>
      </c>
      <c r="F1300" s="98">
        <v>2.9493293E7</v>
      </c>
      <c r="G1300" s="119" t="s">
        <v>7318</v>
      </c>
      <c r="H1300" s="91" t="s">
        <v>7319</v>
      </c>
      <c r="I1300" s="136" t="s">
        <v>7320</v>
      </c>
      <c r="J1300" s="83" t="s">
        <v>467</v>
      </c>
      <c r="K1300" s="83" t="s">
        <v>168</v>
      </c>
      <c r="L1300" s="83" t="s">
        <v>169</v>
      </c>
      <c r="M1300" s="82" t="str">
        <f>IFERROR(__xludf.DUMMYFUNCTION("IFERROR(VLOOKUP(D1300,
IMPORTRANGE(""https://docs.google.com/spreadsheets/d/1MjHtlUikwobi2MaWJgy7tfLeBmhj1u-dRFRs_8GwSoA/edit#gid=0"",""Gestores Escolares!D7:J""),3,0),""VERIFICAR CÓD SEC"")"),"PEDRO MOREIRA DE SOUZA SOBRINHO")</f>
        <v>PEDRO MOREIRA DE SOUZA SOBRINHO</v>
      </c>
      <c r="N1300" s="82" t="str">
        <f>IFERROR(__xludf.DUMMYFUNCTION("IFERROR(VLOOKUP(D1300,
IMPORTRANGE(""https://docs.google.com/spreadsheets/d/1MjHtlUikwobi2MaWJgy7tfLeBmhj1u-dRFRs_8GwSoA/edit#gid=0"",""Gestores Escolares!D7:J""),4,0),""VERIFICAR CÓD SEC"")"),"(77) 9 9925-7827
")</f>
        <v>(77) 9 9925-7827
</v>
      </c>
      <c r="O1300" s="82" t="str">
        <f>IFERROR(__xludf.DUMMYFUNCTION("IFERROR(VLOOKUP(D1300,
IMPORTRANGE(""https://docs.google.com/spreadsheets/d/1MjHtlUikwobi2MaWJgy7tfLeBmhj1u-dRFRs_8GwSoA/edit#gid=0"",""Gestores Escolares!D7:J""),6,0),""VERIFICAR CÓD SEC"")")," KARINA DA CONCEICAO SILVA")</f>
        <v> KARINA DA CONCEICAO SILVA</v>
      </c>
      <c r="P1300" s="82" t="str">
        <f>IFERROR(__xludf.DUMMYFUNCTION("IFERROR(VLOOKUP(D1300,
IMPORTRANGE(""https://docs.google.com/spreadsheets/d/1MjHtlUikwobi2MaWJgy7tfLeBmhj1u-dRFRs_8GwSoA/edit#gid=0"",""Gestores Escolares!D7:J""),7,0),""VERIFICAR CÓD SEC"")"),"(77) 9 9192-7864")</f>
        <v>(77) 9 9192-7864</v>
      </c>
      <c r="Q1300" s="82" t="str">
        <f>IFERROR(__xludf.DUMMYFUNCTION("IFERROR(VLOOKUP(D1300,
IMPORTRANGE(""https://docs.google.com/spreadsheets/d/1MjHtlUikwobi2MaWJgy7tfLeBmhj1u-dRFRs_8GwSoA/edit#gid=0"",""Gestores Escolares!D7:m""),9,0),""VERIFICAR CÓD SEC"")"),"(SECRETÁRIA) DIOLIRA SILVA COSTA")</f>
        <v>(SECRETÁRIA) DIOLIRA SILVA COSTA</v>
      </c>
      <c r="R1300" s="82" t="str">
        <f>IFERROR(__xludf.DUMMYFUNCTION("IFERROR(VLOOKUP(D1300,
IMPORTRANGE(""https://docs.google.com/spreadsheets/d/1MjHtlUikwobi2MaWJgy7tfLeBmhj1u-dRFRs_8GwSoA/edit#gid=0"",""Gestores Escolares!D7:m""),10,0),""VERIFICAR CÓD SEC"")"),"(77) 9 9196-0078")</f>
        <v>(77) 9 9196-0078</v>
      </c>
      <c r="S1300" s="82"/>
      <c r="T1300" s="138">
        <v>3.0</v>
      </c>
      <c r="U1300" s="152">
        <v>3.0</v>
      </c>
      <c r="V1300" s="106">
        <v>0.0</v>
      </c>
      <c r="W1300" s="107">
        <v>0.0</v>
      </c>
      <c r="X1300" s="107">
        <v>0.0</v>
      </c>
      <c r="Y1300" s="107">
        <v>0.0</v>
      </c>
      <c r="Z1300" s="80">
        <f t="shared" si="1"/>
        <v>0</v>
      </c>
      <c r="AA1300" s="106">
        <v>0.0</v>
      </c>
      <c r="AB1300" s="107">
        <v>0.0</v>
      </c>
      <c r="AC1300" s="107">
        <v>0.0</v>
      </c>
      <c r="AD1300" s="107">
        <v>0.0</v>
      </c>
      <c r="AE1300" s="80">
        <f t="shared" si="2"/>
        <v>0</v>
      </c>
      <c r="AF1300" s="140">
        <v>0.0</v>
      </c>
      <c r="AG1300" s="109">
        <v>62.0</v>
      </c>
      <c r="AH1300" s="109">
        <v>0.0</v>
      </c>
      <c r="AI1300" s="141">
        <v>0.0</v>
      </c>
      <c r="AJ1300" s="80">
        <f t="shared" si="3"/>
        <v>62</v>
      </c>
      <c r="AK1300" s="140">
        <v>0.0</v>
      </c>
      <c r="AL1300" s="109">
        <v>0.0</v>
      </c>
      <c r="AM1300" s="141">
        <v>0.0</v>
      </c>
      <c r="AN1300" s="80">
        <f t="shared" si="4"/>
        <v>0</v>
      </c>
      <c r="AO1300" s="140">
        <v>0.0</v>
      </c>
      <c r="AP1300" s="109">
        <v>0.0</v>
      </c>
      <c r="AQ1300" s="109">
        <v>0.0</v>
      </c>
      <c r="AR1300" s="80">
        <f t="shared" si="5"/>
        <v>0</v>
      </c>
      <c r="AS1300" s="110">
        <v>0.0</v>
      </c>
      <c r="AT1300" s="110">
        <v>0.0</v>
      </c>
      <c r="AU1300" s="110">
        <v>0.0</v>
      </c>
      <c r="AV1300" s="142">
        <v>0.0</v>
      </c>
      <c r="AW1300" s="80">
        <f t="shared" si="6"/>
        <v>0</v>
      </c>
      <c r="AX1300" s="113">
        <f t="shared" si="7"/>
        <v>62</v>
      </c>
      <c r="AY1300" s="117">
        <f t="shared" si="8"/>
        <v>62</v>
      </c>
      <c r="AZ1300" s="120">
        <f t="shared" si="9"/>
        <v>0</v>
      </c>
      <c r="BA1300" s="115">
        <v>0.0</v>
      </c>
      <c r="BB1300" s="89">
        <f t="shared" si="10"/>
        <v>62</v>
      </c>
      <c r="BC1300" s="132" t="s">
        <v>373</v>
      </c>
      <c r="BD1300" s="132" t="s">
        <v>178</v>
      </c>
      <c r="BE1300" s="132" t="s">
        <v>178</v>
      </c>
      <c r="BF1300" s="156"/>
      <c r="BG1300" s="83">
        <v>1178916.0</v>
      </c>
      <c r="BH1300" s="112"/>
      <c r="BI1300" s="112">
        <v>3.0</v>
      </c>
      <c r="BJ1300" s="98" t="s">
        <v>155</v>
      </c>
      <c r="BK1300" s="99">
        <f t="shared" si="11"/>
        <v>0</v>
      </c>
      <c r="BL1300" s="99">
        <f t="shared" si="12"/>
        <v>62</v>
      </c>
      <c r="BM1300" s="99" t="str">
        <f>IFERROR(__xludf.DUMMYFUNCTION("IFERROR(VLOOKUP(BG1300,IMPORTRANGE(""https://docs.google.com/spreadsheets/d/1juPI-Fb8LD0YtltB2mlGEnp_R3UVu1t3wSFPzgCyHXE/edit?gid=0#gid=0"",""GERAL!A2:C""),3,0),""-"")"),"CAMPO")</f>
        <v>CAMPO</v>
      </c>
    </row>
    <row r="1301" ht="15.75" customHeight="1">
      <c r="A1301" s="111" t="s">
        <v>1573</v>
      </c>
      <c r="B1301" s="83" t="s">
        <v>2297</v>
      </c>
      <c r="C1301" s="83" t="s">
        <v>45</v>
      </c>
      <c r="D1301" s="112">
        <v>1178379.0</v>
      </c>
      <c r="E1301" s="83"/>
      <c r="F1301" s="83">
        <v>2.937751E7</v>
      </c>
      <c r="G1301" s="114" t="s">
        <v>7321</v>
      </c>
      <c r="H1301" s="91" t="s">
        <v>7322</v>
      </c>
      <c r="I1301" s="136" t="s">
        <v>149</v>
      </c>
      <c r="J1301" s="115" t="s">
        <v>1498</v>
      </c>
      <c r="K1301" s="83" t="s">
        <v>171</v>
      </c>
      <c r="L1301" s="83" t="s">
        <v>76</v>
      </c>
      <c r="M1301" s="82" t="str">
        <f>IFERROR(__xludf.DUMMYFUNCTION("IFERROR(VLOOKUP(D1301,
IMPORTRANGE(""https://docs.google.com/spreadsheets/d/1MjHtlUikwobi2MaWJgy7tfLeBmhj1u-dRFRs_8GwSoA/edit#gid=0"",""Gestores Escolares!D7:J""),3,0),""VERIFICAR CÓD SEC"")"),"GENIVAL DE SOUZA LOPES")</f>
        <v>GENIVAL DE SOUZA LOPES</v>
      </c>
      <c r="N1301" s="82" t="str">
        <f>IFERROR(__xludf.DUMMYFUNCTION("IFERROR(VLOOKUP(D1301,
IMPORTRANGE(""https://docs.google.com/spreadsheets/d/1MjHtlUikwobi2MaWJgy7tfLeBmhj1u-dRFRs_8GwSoA/edit#gid=0"",""Gestores Escolares!D7:J""),4,0),""VERIFICAR CÓD SEC"")"),"(77) 9 9211-6411  (INSTITUCIONAL)
(77) 9 9929-5872 (PESSOAL)")</f>
        <v>(77) 9 9211-6411  (INSTITUCIONAL)
(77) 9 9929-5872 (PESSOAL)</v>
      </c>
      <c r="O1301" s="82" t="str">
        <f>IFERROR(__xludf.DUMMYFUNCTION("IFERROR(VLOOKUP(D1301,
IMPORTRANGE(""https://docs.google.com/spreadsheets/d/1MjHtlUikwobi2MaWJgy7tfLeBmhj1u-dRFRs_8GwSoA/edit#gid=0"",""Gestores Escolares!D7:J""),6,0),""VERIFICAR CÓD SEC"")"),"")</f>
        <v/>
      </c>
      <c r="P1301" s="82" t="str">
        <f>IFERROR(__xludf.DUMMYFUNCTION("IFERROR(VLOOKUP(D1301,
IMPORTRANGE(""https://docs.google.com/spreadsheets/d/1MjHtlUikwobi2MaWJgy7tfLeBmhj1u-dRFRs_8GwSoA/edit#gid=0"",""Gestores Escolares!D7:J""),7,0),""VERIFICAR CÓD SEC"")"),"")</f>
        <v/>
      </c>
      <c r="Q1301" s="82" t="str">
        <f>IFERROR(__xludf.DUMMYFUNCTION("IFERROR(VLOOKUP(D1301,
IMPORTRANGE(""https://docs.google.com/spreadsheets/d/1MjHtlUikwobi2MaWJgy7tfLeBmhj1u-dRFRs_8GwSoA/edit#gid=0"",""Gestores Escolares!D7:m""),9,0),""VERIFICAR CÓD SEC"")"),"")</f>
        <v/>
      </c>
      <c r="R1301" s="82" t="str">
        <f>IFERROR(__xludf.DUMMYFUNCTION("IFERROR(VLOOKUP(D1301,
IMPORTRANGE(""https://docs.google.com/spreadsheets/d/1MjHtlUikwobi2MaWJgy7tfLeBmhj1u-dRFRs_8GwSoA/edit#gid=0"",""Gestores Escolares!D7:m""),10,0),""VERIFICAR CÓD SEC"")"),"")</f>
        <v/>
      </c>
      <c r="S1301" s="82"/>
      <c r="T1301" s="138">
        <v>4.0</v>
      </c>
      <c r="U1301" s="145">
        <v>2.0</v>
      </c>
      <c r="V1301" s="106">
        <v>0.0</v>
      </c>
      <c r="W1301" s="107">
        <v>0.0</v>
      </c>
      <c r="X1301" s="107">
        <v>0.0</v>
      </c>
      <c r="Y1301" s="107">
        <v>0.0</v>
      </c>
      <c r="Z1301" s="80">
        <f t="shared" si="1"/>
        <v>0</v>
      </c>
      <c r="AA1301" s="106">
        <v>0.0</v>
      </c>
      <c r="AB1301" s="107">
        <v>0.0</v>
      </c>
      <c r="AC1301" s="107">
        <v>0.0</v>
      </c>
      <c r="AD1301" s="107">
        <v>0.0</v>
      </c>
      <c r="AE1301" s="80">
        <f t="shared" si="2"/>
        <v>0</v>
      </c>
      <c r="AF1301" s="225">
        <v>0.0</v>
      </c>
      <c r="AG1301" s="226">
        <v>0.0</v>
      </c>
      <c r="AH1301" s="226">
        <v>0.0</v>
      </c>
      <c r="AI1301" s="227">
        <v>133.0</v>
      </c>
      <c r="AJ1301" s="80">
        <f t="shared" si="3"/>
        <v>133</v>
      </c>
      <c r="AK1301" s="140">
        <v>0.0</v>
      </c>
      <c r="AL1301" s="109">
        <v>0.0</v>
      </c>
      <c r="AM1301" s="141">
        <v>0.0</v>
      </c>
      <c r="AN1301" s="80">
        <f t="shared" si="4"/>
        <v>0</v>
      </c>
      <c r="AO1301" s="225">
        <v>0.0</v>
      </c>
      <c r="AP1301" s="226">
        <v>0.0</v>
      </c>
      <c r="AQ1301" s="226">
        <v>0.0</v>
      </c>
      <c r="AR1301" s="80">
        <f t="shared" si="5"/>
        <v>0</v>
      </c>
      <c r="AS1301" s="110">
        <v>0.0</v>
      </c>
      <c r="AT1301" s="110">
        <v>0.0</v>
      </c>
      <c r="AU1301" s="110">
        <v>0.0</v>
      </c>
      <c r="AV1301" s="142">
        <v>0.0</v>
      </c>
      <c r="AW1301" s="80">
        <f t="shared" si="6"/>
        <v>0</v>
      </c>
      <c r="AX1301" s="113">
        <f t="shared" si="7"/>
        <v>133</v>
      </c>
      <c r="AY1301" s="117">
        <f t="shared" si="8"/>
        <v>133</v>
      </c>
      <c r="AZ1301" s="120">
        <f t="shared" si="9"/>
        <v>0</v>
      </c>
      <c r="BA1301" s="115">
        <v>0.0</v>
      </c>
      <c r="BB1301" s="89">
        <f t="shared" si="10"/>
        <v>133</v>
      </c>
      <c r="BC1301" s="132" t="s">
        <v>178</v>
      </c>
      <c r="BD1301" s="132" t="s">
        <v>178</v>
      </c>
      <c r="BE1301" s="132" t="s">
        <v>178</v>
      </c>
      <c r="BF1301" s="123"/>
      <c r="BG1301" s="83">
        <v>1178379.0</v>
      </c>
      <c r="BH1301" s="112"/>
      <c r="BI1301" s="112">
        <v>4.0</v>
      </c>
      <c r="BJ1301" s="98" t="s">
        <v>155</v>
      </c>
      <c r="BK1301" s="99">
        <f t="shared" si="11"/>
        <v>133</v>
      </c>
      <c r="BL1301" s="99">
        <f t="shared" si="12"/>
        <v>0</v>
      </c>
      <c r="BM1301" s="99" t="str">
        <f>IFERROR(__xludf.DUMMYFUNCTION("IFERROR(VLOOKUP(BG1301,IMPORTRANGE(""https://docs.google.com/spreadsheets/d/1juPI-Fb8LD0YtltB2mlGEnp_R3UVu1t3wSFPzgCyHXE/edit?gid=0#gid=0"",""GERAL!A2:C""),3,0),""-"")"),"EFA")</f>
        <v>EFA</v>
      </c>
    </row>
    <row r="1302" ht="15.75" customHeight="1">
      <c r="A1302" s="111" t="s">
        <v>1573</v>
      </c>
      <c r="B1302" s="83" t="s">
        <v>2297</v>
      </c>
      <c r="C1302" s="83" t="s">
        <v>68</v>
      </c>
      <c r="D1302" s="112">
        <v>1131453.0</v>
      </c>
      <c r="E1302" s="83"/>
      <c r="F1302" s="83">
        <v>2.9013275E7</v>
      </c>
      <c r="G1302" s="119" t="s">
        <v>7327</v>
      </c>
      <c r="H1302" s="91" t="s">
        <v>7328</v>
      </c>
      <c r="I1302" s="136" t="s">
        <v>149</v>
      </c>
      <c r="J1302" s="136" t="s">
        <v>150</v>
      </c>
      <c r="K1302" s="83" t="s">
        <v>151</v>
      </c>
      <c r="L1302" s="98" t="s">
        <v>1391</v>
      </c>
      <c r="M1302" s="82" t="str">
        <f>IFERROR(__xludf.DUMMYFUNCTION("IFERROR(VLOOKUP(D1302,
IMPORTRANGE(""https://docs.google.com/spreadsheets/d/1MjHtlUikwobi2MaWJgy7tfLeBmhj1u-dRFRs_8GwSoA/edit#gid=0"",""Gestores Escolares!D7:J""),3,0),""VERIFICAR CÓD SEC"")"),"CLEBER AIRES NASCIMENTO")</f>
        <v>CLEBER AIRES NASCIMENTO</v>
      </c>
      <c r="N1302" s="82" t="str">
        <f>IFERROR(__xludf.DUMMYFUNCTION("IFERROR(VLOOKUP(D1302,
IMPORTRANGE(""https://docs.google.com/spreadsheets/d/1MjHtlUikwobi2MaWJgy7tfLeBmhj1u-dRFRs_8GwSoA/edit#gid=0"",""Gestores Escolares!D7:J""),4,0),""VERIFICAR CÓD SEC"")"),"(77) 9 8817-5192")</f>
        <v>(77) 9 8817-5192</v>
      </c>
      <c r="O1302" s="82" t="str">
        <f>IFERROR(__xludf.DUMMYFUNCTION("IFERROR(VLOOKUP(D1302,
IMPORTRANGE(""https://docs.google.com/spreadsheets/d/1MjHtlUikwobi2MaWJgy7tfLeBmhj1u-dRFRs_8GwSoA/edit#gid=0"",""Gestores Escolares!D7:J""),6,0),""VERIFICAR CÓD SEC"")"),"CRISTINA DE NOVAIS GONÇALVES")</f>
        <v>CRISTINA DE NOVAIS GONÇALVES</v>
      </c>
      <c r="P1302" s="82" t="str">
        <f>IFERROR(__xludf.DUMMYFUNCTION("IFERROR(VLOOKUP(D1302,
IMPORTRANGE(""https://docs.google.com/spreadsheets/d/1MjHtlUikwobi2MaWJgy7tfLeBmhj1u-dRFRs_8GwSoA/edit#gid=0"",""Gestores Escolares!D7:J""),7,0),""VERIFICAR CÓD SEC"")"),"(77) 9 9903-2189")</f>
        <v>(77) 9 9903-2189</v>
      </c>
      <c r="Q1302" s="82" t="str">
        <f>IFERROR(__xludf.DUMMYFUNCTION("IFERROR(VLOOKUP(D1302,
IMPORTRANGE(""https://docs.google.com/spreadsheets/d/1MjHtlUikwobi2MaWJgy7tfLeBmhj1u-dRFRs_8GwSoA/edit#gid=0"",""Gestores Escolares!D7:m""),9,0),""VERIFICAR CÓD SEC"")"),"JESSICA DE FRANCA DOURADO CRUZ")</f>
        <v>JESSICA DE FRANCA DOURADO CRUZ</v>
      </c>
      <c r="R1302" s="82" t="str">
        <f>IFERROR(__xludf.DUMMYFUNCTION("IFERROR(VLOOKUP(D1302,
IMPORTRANGE(""https://docs.google.com/spreadsheets/d/1MjHtlUikwobi2MaWJgy7tfLeBmhj1u-dRFRs_8GwSoA/edit#gid=0"",""Gestores Escolares!D7:m""),10,0),""VERIFICAR CÓD SEC"")"),"(77) 9 9813-5988")</f>
        <v>(77) 9 9813-5988</v>
      </c>
      <c r="S1302" s="82"/>
      <c r="T1302" s="138">
        <v>13.0</v>
      </c>
      <c r="U1302" s="145">
        <v>14.0</v>
      </c>
      <c r="V1302" s="106">
        <v>0.0</v>
      </c>
      <c r="W1302" s="107">
        <v>0.0</v>
      </c>
      <c r="X1302" s="107">
        <v>0.0</v>
      </c>
      <c r="Y1302" s="107">
        <v>0.0</v>
      </c>
      <c r="Z1302" s="80">
        <f t="shared" si="1"/>
        <v>0</v>
      </c>
      <c r="AA1302" s="106">
        <v>0.0</v>
      </c>
      <c r="AB1302" s="107">
        <v>0.0</v>
      </c>
      <c r="AC1302" s="107">
        <v>0.0</v>
      </c>
      <c r="AD1302" s="107">
        <v>0.0</v>
      </c>
      <c r="AE1302" s="80">
        <f t="shared" si="2"/>
        <v>0</v>
      </c>
      <c r="AF1302" s="140">
        <v>426.0</v>
      </c>
      <c r="AG1302" s="109">
        <v>281.0</v>
      </c>
      <c r="AH1302" s="109">
        <v>0.0</v>
      </c>
      <c r="AI1302" s="141">
        <v>244.0</v>
      </c>
      <c r="AJ1302" s="80">
        <f t="shared" si="3"/>
        <v>951</v>
      </c>
      <c r="AK1302" s="140">
        <v>0.0</v>
      </c>
      <c r="AL1302" s="109">
        <v>0.0</v>
      </c>
      <c r="AM1302" s="141">
        <v>0.0</v>
      </c>
      <c r="AN1302" s="80">
        <f t="shared" si="4"/>
        <v>0</v>
      </c>
      <c r="AO1302" s="140">
        <v>0.0</v>
      </c>
      <c r="AP1302" s="109">
        <v>0.0</v>
      </c>
      <c r="AQ1302" s="109">
        <v>71.0</v>
      </c>
      <c r="AR1302" s="80">
        <f t="shared" si="5"/>
        <v>71</v>
      </c>
      <c r="AS1302" s="110">
        <v>34.0</v>
      </c>
      <c r="AT1302" s="110">
        <v>127.0</v>
      </c>
      <c r="AU1302" s="110">
        <v>44.0</v>
      </c>
      <c r="AV1302" s="142">
        <v>0.0</v>
      </c>
      <c r="AW1302" s="80">
        <f t="shared" si="6"/>
        <v>205</v>
      </c>
      <c r="AX1302" s="113">
        <f t="shared" si="7"/>
        <v>1227</v>
      </c>
      <c r="AY1302" s="117">
        <f t="shared" si="8"/>
        <v>1112</v>
      </c>
      <c r="AZ1302" s="120">
        <f t="shared" si="9"/>
        <v>115</v>
      </c>
      <c r="BA1302" s="115">
        <v>0.0</v>
      </c>
      <c r="BB1302" s="89">
        <f t="shared" si="10"/>
        <v>1227</v>
      </c>
      <c r="BC1302" s="132" t="s">
        <v>178</v>
      </c>
      <c r="BD1302" s="132" t="s">
        <v>178</v>
      </c>
      <c r="BE1302" s="132" t="s">
        <v>178</v>
      </c>
      <c r="BF1302" s="123"/>
      <c r="BG1302" s="83">
        <v>1131453.0</v>
      </c>
      <c r="BH1302" s="112"/>
      <c r="BI1302" s="112">
        <v>12.0</v>
      </c>
      <c r="BJ1302" s="98" t="s">
        <v>155</v>
      </c>
      <c r="BK1302" s="99">
        <f t="shared" si="11"/>
        <v>244</v>
      </c>
      <c r="BL1302" s="99">
        <f t="shared" si="12"/>
        <v>868</v>
      </c>
      <c r="BM1302" s="99" t="str">
        <f>IFERROR(__xludf.DUMMYFUNCTION("IFERROR(VLOOKUP(BG1302,IMPORTRANGE(""https://docs.google.com/spreadsheets/d/1juPI-Fb8LD0YtltB2mlGEnp_R3UVu1t3wSFPzgCyHXE/edit?gid=0#gid=0"",""GERAL!A2:C""),3,0),""-"")"),"-")</f>
        <v>-</v>
      </c>
    </row>
    <row r="1303" ht="15.75" customHeight="1">
      <c r="A1303" s="111" t="s">
        <v>1573</v>
      </c>
      <c r="B1303" s="83" t="s">
        <v>2297</v>
      </c>
      <c r="C1303" s="83" t="s">
        <v>68</v>
      </c>
      <c r="D1303" s="98">
        <v>1179830.0</v>
      </c>
      <c r="E1303" s="83"/>
      <c r="F1303" s="98">
        <v>2.9496365E7</v>
      </c>
      <c r="G1303" s="119" t="s">
        <v>7336</v>
      </c>
      <c r="H1303" s="108" t="s">
        <v>7337</v>
      </c>
      <c r="I1303" s="136"/>
      <c r="J1303" s="136"/>
      <c r="K1303" s="83" t="s">
        <v>151</v>
      </c>
      <c r="L1303" s="83" t="s">
        <v>169</v>
      </c>
      <c r="M1303" s="82" t="str">
        <f>IFERROR(__xludf.DUMMYFUNCTION("IFERROR(VLOOKUP(D1303,
IMPORTRANGE(""https://docs.google.com/spreadsheets/d/1MjHtlUikwobi2MaWJgy7tfLeBmhj1u-dRFRs_8GwSoA/edit#gid=0"",""Gestores Escolares!D7:J""),3,0),""VERIFICAR CÓD SEC"")"),"DOUGLAS MOREIRA DA SILVA")</f>
        <v>DOUGLAS MOREIRA DA SILVA</v>
      </c>
      <c r="N1303" s="82" t="str">
        <f>IFERROR(__xludf.DUMMYFUNCTION("IFERROR(VLOOKUP(D1303,
IMPORTRANGE(""https://docs.google.com/spreadsheets/d/1MjHtlUikwobi2MaWJgy7tfLeBmhj1u-dRFRs_8GwSoA/edit#gid=0"",""Gestores Escolares!D7:J""),4,0),""VERIFICAR CÓD SEC"")"),"(77) 9 9194-4097")</f>
        <v>(77) 9 9194-4097</v>
      </c>
      <c r="O1303" s="82" t="str">
        <f>IFERROR(__xludf.DUMMYFUNCTION("IFERROR(VLOOKUP(D1303,
IMPORTRANGE(""https://docs.google.com/spreadsheets/d/1MjHtlUikwobi2MaWJgy7tfLeBmhj1u-dRFRs_8GwSoA/edit#gid=0"",""Gestores Escolares!D7:J""),6,0),""VERIFICAR CÓD SEC"")"),"")</f>
        <v/>
      </c>
      <c r="P1303" s="82" t="str">
        <f>IFERROR(__xludf.DUMMYFUNCTION("IFERROR(VLOOKUP(D1303,
IMPORTRANGE(""https://docs.google.com/spreadsheets/d/1MjHtlUikwobi2MaWJgy7tfLeBmhj1u-dRFRs_8GwSoA/edit#gid=0"",""Gestores Escolares!D7:J""),7,0),""VERIFICAR CÓD SEC"")"),"")</f>
        <v/>
      </c>
      <c r="Q1303" s="82" t="str">
        <f>IFERROR(__xludf.DUMMYFUNCTION("IFERROR(VLOOKUP(D1303,
IMPORTRANGE(""https://docs.google.com/spreadsheets/d/1MjHtlUikwobi2MaWJgy7tfLeBmhj1u-dRFRs_8GwSoA/edit#gid=0"",""Gestores Escolares!D7:m""),9,0),""VERIFICAR CÓD SEC"")"),"")</f>
        <v/>
      </c>
      <c r="R1303" s="82" t="str">
        <f>IFERROR(__xludf.DUMMYFUNCTION("IFERROR(VLOOKUP(D1303,
IMPORTRANGE(""https://docs.google.com/spreadsheets/d/1MjHtlUikwobi2MaWJgy7tfLeBmhj1u-dRFRs_8GwSoA/edit#gid=0"",""Gestores Escolares!D7:m""),10,0),""VERIFICAR CÓD SEC"")"),"")</f>
        <v/>
      </c>
      <c r="S1303" s="82"/>
      <c r="T1303" s="138"/>
      <c r="U1303" s="139"/>
      <c r="V1303" s="106">
        <v>0.0</v>
      </c>
      <c r="W1303" s="107">
        <v>0.0</v>
      </c>
      <c r="X1303" s="107">
        <v>0.0</v>
      </c>
      <c r="Y1303" s="107">
        <v>0.0</v>
      </c>
      <c r="Z1303" s="80">
        <f t="shared" si="1"/>
        <v>0</v>
      </c>
      <c r="AA1303" s="106">
        <v>0.0</v>
      </c>
      <c r="AB1303" s="107">
        <v>0.0</v>
      </c>
      <c r="AC1303" s="107">
        <v>0.0</v>
      </c>
      <c r="AD1303" s="107">
        <v>0.0</v>
      </c>
      <c r="AE1303" s="80">
        <f t="shared" si="2"/>
        <v>0</v>
      </c>
      <c r="AF1303" s="140">
        <v>0.0</v>
      </c>
      <c r="AG1303" s="109">
        <v>0.0</v>
      </c>
      <c r="AH1303" s="109">
        <v>0.0</v>
      </c>
      <c r="AI1303" s="141">
        <v>16.0</v>
      </c>
      <c r="AJ1303" s="80">
        <f t="shared" si="3"/>
        <v>16</v>
      </c>
      <c r="AK1303" s="140">
        <v>0.0</v>
      </c>
      <c r="AL1303" s="109">
        <v>0.0</v>
      </c>
      <c r="AM1303" s="141">
        <v>0.0</v>
      </c>
      <c r="AN1303" s="80">
        <f t="shared" si="4"/>
        <v>0</v>
      </c>
      <c r="AO1303" s="140">
        <v>0.0</v>
      </c>
      <c r="AP1303" s="109">
        <v>0.0</v>
      </c>
      <c r="AQ1303" s="109">
        <v>76.0</v>
      </c>
      <c r="AR1303" s="80">
        <f t="shared" si="5"/>
        <v>76</v>
      </c>
      <c r="AS1303" s="110">
        <v>0.0</v>
      </c>
      <c r="AT1303" s="110">
        <v>16.0</v>
      </c>
      <c r="AU1303" s="110">
        <v>0.0</v>
      </c>
      <c r="AV1303" s="142">
        <v>0.0</v>
      </c>
      <c r="AW1303" s="80">
        <f t="shared" si="6"/>
        <v>16</v>
      </c>
      <c r="AX1303" s="113">
        <f t="shared" si="7"/>
        <v>108</v>
      </c>
      <c r="AY1303" s="117">
        <f t="shared" si="8"/>
        <v>32</v>
      </c>
      <c r="AZ1303" s="120">
        <f t="shared" si="9"/>
        <v>76</v>
      </c>
      <c r="BA1303" s="115">
        <v>0.0</v>
      </c>
      <c r="BB1303" s="89">
        <f t="shared" si="10"/>
        <v>108</v>
      </c>
      <c r="BC1303" s="132"/>
      <c r="BD1303" s="132"/>
      <c r="BE1303" s="132"/>
      <c r="BF1303" s="123"/>
      <c r="BG1303" s="98">
        <v>1179830.0</v>
      </c>
      <c r="BH1303" s="112"/>
      <c r="BI1303" s="112"/>
      <c r="BJ1303" s="98"/>
      <c r="BK1303" s="99">
        <f t="shared" si="11"/>
        <v>16</v>
      </c>
      <c r="BL1303" s="99">
        <f t="shared" si="12"/>
        <v>16</v>
      </c>
      <c r="BM1303" s="99" t="str">
        <f>IFERROR(__xludf.DUMMYFUNCTION("IFERROR(VLOOKUP(BG1303,IMPORTRANGE(""https://docs.google.com/spreadsheets/d/1juPI-Fb8LD0YtltB2mlGEnp_R3UVu1t3wSFPzgCyHXE/edit?gid=0#gid=0"",""GERAL!A2:C""),3,0),""-"")"),"-")</f>
        <v>-</v>
      </c>
    </row>
    <row r="1304" ht="15.75" customHeight="1">
      <c r="A1304" s="111" t="s">
        <v>1573</v>
      </c>
      <c r="B1304" s="83" t="s">
        <v>2297</v>
      </c>
      <c r="C1304" s="83" t="s">
        <v>164</v>
      </c>
      <c r="D1304" s="112">
        <v>1131453.0</v>
      </c>
      <c r="E1304" s="83">
        <v>1178917.0</v>
      </c>
      <c r="F1304" s="98">
        <v>2.9490812E7</v>
      </c>
      <c r="G1304" s="119" t="s">
        <v>7341</v>
      </c>
      <c r="H1304" s="91" t="s">
        <v>7342</v>
      </c>
      <c r="I1304" s="136" t="s">
        <v>7343</v>
      </c>
      <c r="J1304" s="83" t="s">
        <v>664</v>
      </c>
      <c r="K1304" s="83" t="s">
        <v>168</v>
      </c>
      <c r="L1304" s="83" t="s">
        <v>169</v>
      </c>
      <c r="M1304" s="82" t="str">
        <f>IFERROR(__xludf.DUMMYFUNCTION("IFERROR(VLOOKUP(D1304,
IMPORTRANGE(""https://docs.google.com/spreadsheets/d/1MjHtlUikwobi2MaWJgy7tfLeBmhj1u-dRFRs_8GwSoA/edit#gid=0"",""Gestores Escolares!D7:J""),3,0),""VERIFICAR CÓD SEC"")"),"CLEBER AIRES NASCIMENTO")</f>
        <v>CLEBER AIRES NASCIMENTO</v>
      </c>
      <c r="N1304" s="82" t="str">
        <f>IFERROR(__xludf.DUMMYFUNCTION("IFERROR(VLOOKUP(D1304,
IMPORTRANGE(""https://docs.google.com/spreadsheets/d/1MjHtlUikwobi2MaWJgy7tfLeBmhj1u-dRFRs_8GwSoA/edit#gid=0"",""Gestores Escolares!D7:J""),4,0),""VERIFICAR CÓD SEC"")"),"(77) 9 8817-5192")</f>
        <v>(77) 9 8817-5192</v>
      </c>
      <c r="O1304" s="82" t="str">
        <f>IFERROR(__xludf.DUMMYFUNCTION("IFERROR(VLOOKUP(D1304,
IMPORTRANGE(""https://docs.google.com/spreadsheets/d/1MjHtlUikwobi2MaWJgy7tfLeBmhj1u-dRFRs_8GwSoA/edit#gid=0"",""Gestores Escolares!D7:J""),6,0),""VERIFICAR CÓD SEC"")"),"CRISTINA DE NOVAIS GONÇALVES")</f>
        <v>CRISTINA DE NOVAIS GONÇALVES</v>
      </c>
      <c r="P1304" s="82" t="str">
        <f>IFERROR(__xludf.DUMMYFUNCTION("IFERROR(VLOOKUP(D1304,
IMPORTRANGE(""https://docs.google.com/spreadsheets/d/1MjHtlUikwobi2MaWJgy7tfLeBmhj1u-dRFRs_8GwSoA/edit#gid=0"",""Gestores Escolares!D7:J""),7,0),""VERIFICAR CÓD SEC"")"),"(77) 9 9903-2189")</f>
        <v>(77) 9 9903-2189</v>
      </c>
      <c r="Q1304" s="82" t="str">
        <f>IFERROR(__xludf.DUMMYFUNCTION("IFERROR(VLOOKUP(D1304,
IMPORTRANGE(""https://docs.google.com/spreadsheets/d/1MjHtlUikwobi2MaWJgy7tfLeBmhj1u-dRFRs_8GwSoA/edit#gid=0"",""Gestores Escolares!D7:m""),9,0),""VERIFICAR CÓD SEC"")"),"JESSICA DE FRANCA DOURADO CRUZ")</f>
        <v>JESSICA DE FRANCA DOURADO CRUZ</v>
      </c>
      <c r="R1304" s="82" t="str">
        <f>IFERROR(__xludf.DUMMYFUNCTION("IFERROR(VLOOKUP(D1304,
IMPORTRANGE(""https://docs.google.com/spreadsheets/d/1MjHtlUikwobi2MaWJgy7tfLeBmhj1u-dRFRs_8GwSoA/edit#gid=0"",""Gestores Escolares!D7:m""),10,0),""VERIFICAR CÓD SEC"")"),"(77) 9 9813-5988")</f>
        <v>(77) 9 9813-5988</v>
      </c>
      <c r="S1304" s="82"/>
      <c r="T1304" s="138">
        <v>3.0</v>
      </c>
      <c r="U1304" s="139">
        <v>3.0</v>
      </c>
      <c r="V1304" s="106">
        <v>0.0</v>
      </c>
      <c r="W1304" s="107">
        <v>0.0</v>
      </c>
      <c r="X1304" s="107">
        <v>0.0</v>
      </c>
      <c r="Y1304" s="107">
        <v>0.0</v>
      </c>
      <c r="Z1304" s="80">
        <f t="shared" si="1"/>
        <v>0</v>
      </c>
      <c r="AA1304" s="106">
        <v>0.0</v>
      </c>
      <c r="AB1304" s="107">
        <v>0.0</v>
      </c>
      <c r="AC1304" s="107">
        <v>0.0</v>
      </c>
      <c r="AD1304" s="107">
        <v>0.0</v>
      </c>
      <c r="AE1304" s="80">
        <f t="shared" si="2"/>
        <v>0</v>
      </c>
      <c r="AF1304" s="222">
        <v>0.0</v>
      </c>
      <c r="AG1304" s="222">
        <v>56.0</v>
      </c>
      <c r="AH1304" s="222">
        <v>0.0</v>
      </c>
      <c r="AI1304" s="224">
        <v>0.0</v>
      </c>
      <c r="AJ1304" s="80">
        <f t="shared" si="3"/>
        <v>56</v>
      </c>
      <c r="AK1304" s="140">
        <v>0.0</v>
      </c>
      <c r="AL1304" s="109">
        <v>0.0</v>
      </c>
      <c r="AM1304" s="141">
        <v>0.0</v>
      </c>
      <c r="AN1304" s="80">
        <f t="shared" si="4"/>
        <v>0</v>
      </c>
      <c r="AO1304" s="222">
        <v>0.0</v>
      </c>
      <c r="AP1304" s="222">
        <v>0.0</v>
      </c>
      <c r="AQ1304" s="224">
        <v>0.0</v>
      </c>
      <c r="AR1304" s="80">
        <f t="shared" si="5"/>
        <v>0</v>
      </c>
      <c r="AS1304" s="110">
        <v>0.0</v>
      </c>
      <c r="AT1304" s="110">
        <v>0.0</v>
      </c>
      <c r="AU1304" s="110">
        <v>0.0</v>
      </c>
      <c r="AV1304" s="142">
        <v>0.0</v>
      </c>
      <c r="AW1304" s="80">
        <f t="shared" si="6"/>
        <v>0</v>
      </c>
      <c r="AX1304" s="113">
        <f t="shared" si="7"/>
        <v>56</v>
      </c>
      <c r="AY1304" s="117">
        <f t="shared" si="8"/>
        <v>56</v>
      </c>
      <c r="AZ1304" s="120">
        <f t="shared" si="9"/>
        <v>0</v>
      </c>
      <c r="BA1304" s="115">
        <v>0.0</v>
      </c>
      <c r="BB1304" s="89">
        <f t="shared" si="10"/>
        <v>56</v>
      </c>
      <c r="BC1304" s="132" t="s">
        <v>373</v>
      </c>
      <c r="BD1304" s="132" t="s">
        <v>178</v>
      </c>
      <c r="BE1304" s="132" t="s">
        <v>178</v>
      </c>
      <c r="BF1304" s="156"/>
      <c r="BG1304" s="83">
        <v>1178917.0</v>
      </c>
      <c r="BH1304" s="112"/>
      <c r="BI1304" s="112">
        <v>3.0</v>
      </c>
      <c r="BJ1304" s="98" t="s">
        <v>155</v>
      </c>
      <c r="BK1304" s="99">
        <f t="shared" si="11"/>
        <v>0</v>
      </c>
      <c r="BL1304" s="99">
        <f t="shared" si="12"/>
        <v>56</v>
      </c>
      <c r="BM1304" s="99" t="str">
        <f>IFERROR(__xludf.DUMMYFUNCTION("IFERROR(VLOOKUP(BG1304,IMPORTRANGE(""https://docs.google.com/spreadsheets/d/1juPI-Fb8LD0YtltB2mlGEnp_R3UVu1t3wSFPzgCyHXE/edit?gid=0#gid=0"",""GERAL!A2:C""),3,0),""-"")"),"CAMPO")</f>
        <v>CAMPO</v>
      </c>
    </row>
    <row r="1305" ht="15.75" customHeight="1">
      <c r="A1305" s="111" t="s">
        <v>1573</v>
      </c>
      <c r="B1305" s="83" t="s">
        <v>7345</v>
      </c>
      <c r="C1305" s="83" t="s">
        <v>68</v>
      </c>
      <c r="D1305" s="112">
        <v>1141726.0</v>
      </c>
      <c r="E1305" s="83"/>
      <c r="F1305" s="83">
        <v>2.9013887E7</v>
      </c>
      <c r="G1305" s="119" t="s">
        <v>7346</v>
      </c>
      <c r="H1305" s="91" t="s">
        <v>7347</v>
      </c>
      <c r="I1305" s="172" t="s">
        <v>149</v>
      </c>
      <c r="J1305" s="83" t="s">
        <v>150</v>
      </c>
      <c r="K1305" s="83" t="s">
        <v>168</v>
      </c>
      <c r="L1305" s="83" t="s">
        <v>76</v>
      </c>
      <c r="M1305" s="82" t="str">
        <f>IFERROR(__xludf.DUMMYFUNCTION("IFERROR(VLOOKUP(D1305,
IMPORTRANGE(""https://docs.google.com/spreadsheets/d/1MjHtlUikwobi2MaWJgy7tfLeBmhj1u-dRFRs_8GwSoA/edit#gid=0"",""Gestores Escolares!D7:J""),3,0),""VERIFICAR CÓD SEC"")"),"VERALUZIA SANTOS CASTRO RODRIGUES")</f>
        <v>VERALUZIA SANTOS CASTRO RODRIGUES</v>
      </c>
      <c r="N1305" s="82" t="str">
        <f>IFERROR(__xludf.DUMMYFUNCTION("IFERROR(VLOOKUP(D1305,
IMPORTRANGE(""https://docs.google.com/spreadsheets/d/1MjHtlUikwobi2MaWJgy7tfLeBmhj1u-dRFRs_8GwSoA/edit#gid=0"",""Gestores Escolares!D7:J""),4,0),""VERIFICAR CÓD SEC"")"),"(77) 9 9866-4470")</f>
        <v>(77) 9 9866-4470</v>
      </c>
      <c r="O1305" s="82" t="str">
        <f>IFERROR(__xludf.DUMMYFUNCTION("IFERROR(VLOOKUP(D1305,
IMPORTRANGE(""https://docs.google.com/spreadsheets/d/1MjHtlUikwobi2MaWJgy7tfLeBmhj1u-dRFRs_8GwSoA/edit#gid=0"",""Gestores Escolares!D7:J""),6,0),""VERIFICAR CÓD SEC"")"),"HILDA REGIA LUCENA CAMELO")</f>
        <v>HILDA REGIA LUCENA CAMELO</v>
      </c>
      <c r="P1305" s="82" t="str">
        <f>IFERROR(__xludf.DUMMYFUNCTION("IFERROR(VLOOKUP(D1305,
IMPORTRANGE(""https://docs.google.com/spreadsheets/d/1MjHtlUikwobi2MaWJgy7tfLeBmhj1u-dRFRs_8GwSoA/edit#gid=0"",""Gestores Escolares!D7:J""),7,0),""VERIFICAR CÓD SEC"")"),"(77) 9 9994-5342")</f>
        <v>(77) 9 9994-5342</v>
      </c>
      <c r="Q1305" s="82" t="str">
        <f>IFERROR(__xludf.DUMMYFUNCTION("IFERROR(VLOOKUP(D1305,
IMPORTRANGE(""https://docs.google.com/spreadsheets/d/1MjHtlUikwobi2MaWJgy7tfLeBmhj1u-dRFRs_8GwSoA/edit#gid=0"",""Gestores Escolares!D7:m""),9,0),""VERIFICAR CÓD SEC"")"),"")</f>
        <v/>
      </c>
      <c r="R1305" s="82" t="str">
        <f>IFERROR(__xludf.DUMMYFUNCTION("IFERROR(VLOOKUP(D1305,
IMPORTRANGE(""https://docs.google.com/spreadsheets/d/1MjHtlUikwobi2MaWJgy7tfLeBmhj1u-dRFRs_8GwSoA/edit#gid=0"",""Gestores Escolares!D7:m""),10,0),""VERIFICAR CÓD SEC"")"),"")</f>
        <v/>
      </c>
      <c r="S1305" s="82"/>
      <c r="T1305" s="138">
        <v>10.0</v>
      </c>
      <c r="U1305" s="145" t="s">
        <v>13880</v>
      </c>
      <c r="V1305" s="106">
        <v>0.0</v>
      </c>
      <c r="W1305" s="107">
        <v>0.0</v>
      </c>
      <c r="X1305" s="107">
        <v>0.0</v>
      </c>
      <c r="Y1305" s="107">
        <v>0.0</v>
      </c>
      <c r="Z1305" s="80">
        <f t="shared" si="1"/>
        <v>0</v>
      </c>
      <c r="AA1305" s="106">
        <v>0.0</v>
      </c>
      <c r="AB1305" s="107">
        <v>0.0</v>
      </c>
      <c r="AC1305" s="107">
        <v>0.0</v>
      </c>
      <c r="AD1305" s="107">
        <v>0.0</v>
      </c>
      <c r="AE1305" s="80">
        <f t="shared" si="2"/>
        <v>0</v>
      </c>
      <c r="AF1305" s="140">
        <v>101.0</v>
      </c>
      <c r="AG1305" s="109">
        <v>117.0</v>
      </c>
      <c r="AH1305" s="109">
        <v>0.0</v>
      </c>
      <c r="AI1305" s="141">
        <v>84.0</v>
      </c>
      <c r="AJ1305" s="80">
        <f t="shared" si="3"/>
        <v>302</v>
      </c>
      <c r="AK1305" s="140">
        <v>0.0</v>
      </c>
      <c r="AL1305" s="109">
        <v>0.0</v>
      </c>
      <c r="AM1305" s="141">
        <v>0.0</v>
      </c>
      <c r="AN1305" s="80">
        <f t="shared" si="4"/>
        <v>0</v>
      </c>
      <c r="AO1305" s="140">
        <v>0.0</v>
      </c>
      <c r="AP1305" s="109">
        <v>0.0</v>
      </c>
      <c r="AQ1305" s="109">
        <v>49.0</v>
      </c>
      <c r="AR1305" s="80">
        <f t="shared" si="5"/>
        <v>49</v>
      </c>
      <c r="AS1305" s="110">
        <v>0.0</v>
      </c>
      <c r="AT1305" s="110">
        <v>0.0</v>
      </c>
      <c r="AU1305" s="110">
        <v>0.0</v>
      </c>
      <c r="AV1305" s="142">
        <v>60.0</v>
      </c>
      <c r="AW1305" s="80">
        <f t="shared" si="6"/>
        <v>60</v>
      </c>
      <c r="AX1305" s="113">
        <f t="shared" si="7"/>
        <v>411</v>
      </c>
      <c r="AY1305" s="117">
        <f t="shared" si="8"/>
        <v>362</v>
      </c>
      <c r="AZ1305" s="120">
        <f t="shared" si="9"/>
        <v>49</v>
      </c>
      <c r="BA1305" s="115">
        <v>0.0</v>
      </c>
      <c r="BB1305" s="89">
        <f t="shared" si="10"/>
        <v>411</v>
      </c>
      <c r="BC1305" s="132" t="s">
        <v>178</v>
      </c>
      <c r="BD1305" s="132" t="s">
        <v>178</v>
      </c>
      <c r="BE1305" s="132" t="s">
        <v>178</v>
      </c>
      <c r="BF1305" s="156"/>
      <c r="BG1305" s="83">
        <v>1141726.0</v>
      </c>
      <c r="BH1305" s="112"/>
      <c r="BI1305" s="112">
        <v>8.0</v>
      </c>
      <c r="BJ1305" s="98" t="s">
        <v>155</v>
      </c>
      <c r="BK1305" s="99">
        <f t="shared" si="11"/>
        <v>144</v>
      </c>
      <c r="BL1305" s="99">
        <f t="shared" si="12"/>
        <v>218</v>
      </c>
      <c r="BM1305" s="99" t="str">
        <f>IFERROR(__xludf.DUMMYFUNCTION("IFERROR(VLOOKUP(BG1305,IMPORTRANGE(""https://docs.google.com/spreadsheets/d/1juPI-Fb8LD0YtltB2mlGEnp_R3UVu1t3wSFPzgCyHXE/edit?gid=0#gid=0"",""GERAL!A2:C""),3,0),""-"")"),"-")</f>
        <v>-</v>
      </c>
    </row>
    <row r="1306" ht="15.75" customHeight="1">
      <c r="A1306" s="111" t="s">
        <v>1573</v>
      </c>
      <c r="B1306" s="83" t="s">
        <v>7345</v>
      </c>
      <c r="C1306" s="83" t="s">
        <v>164</v>
      </c>
      <c r="D1306" s="112">
        <v>1141726.0</v>
      </c>
      <c r="E1306" s="83">
        <v>1178919.0</v>
      </c>
      <c r="F1306" s="98">
        <v>2.9491983E7</v>
      </c>
      <c r="G1306" s="119" t="s">
        <v>7351</v>
      </c>
      <c r="H1306" s="91" t="s">
        <v>7352</v>
      </c>
      <c r="I1306" s="172" t="s">
        <v>149</v>
      </c>
      <c r="J1306" s="83" t="s">
        <v>939</v>
      </c>
      <c r="K1306" s="83" t="s">
        <v>168</v>
      </c>
      <c r="L1306" s="83" t="s">
        <v>169</v>
      </c>
      <c r="M1306" s="82" t="str">
        <f>IFERROR(__xludf.DUMMYFUNCTION("IFERROR(VLOOKUP(D1306,
IMPORTRANGE(""https://docs.google.com/spreadsheets/d/1MjHtlUikwobi2MaWJgy7tfLeBmhj1u-dRFRs_8GwSoA/edit#gid=0"",""Gestores Escolares!D7:J""),3,0),""VERIFICAR CÓD SEC"")"),"VERALUZIA SANTOS CASTRO RODRIGUES")</f>
        <v>VERALUZIA SANTOS CASTRO RODRIGUES</v>
      </c>
      <c r="N1306" s="82" t="str">
        <f>IFERROR(__xludf.DUMMYFUNCTION("IFERROR(VLOOKUP(D1306,
IMPORTRANGE(""https://docs.google.com/spreadsheets/d/1MjHtlUikwobi2MaWJgy7tfLeBmhj1u-dRFRs_8GwSoA/edit#gid=0"",""Gestores Escolares!D7:J""),4,0),""VERIFICAR CÓD SEC"")"),"(77) 9 9866-4470")</f>
        <v>(77) 9 9866-4470</v>
      </c>
      <c r="O1306" s="82" t="str">
        <f>IFERROR(__xludf.DUMMYFUNCTION("IFERROR(VLOOKUP(D1306,
IMPORTRANGE(""https://docs.google.com/spreadsheets/d/1MjHtlUikwobi2MaWJgy7tfLeBmhj1u-dRFRs_8GwSoA/edit#gid=0"",""Gestores Escolares!D7:J""),6,0),""VERIFICAR CÓD SEC"")"),"HILDA REGIA LUCENA CAMELO")</f>
        <v>HILDA REGIA LUCENA CAMELO</v>
      </c>
      <c r="P1306" s="82" t="str">
        <f>IFERROR(__xludf.DUMMYFUNCTION("IFERROR(VLOOKUP(D1306,
IMPORTRANGE(""https://docs.google.com/spreadsheets/d/1MjHtlUikwobi2MaWJgy7tfLeBmhj1u-dRFRs_8GwSoA/edit#gid=0"",""Gestores Escolares!D7:J""),7,0),""VERIFICAR CÓD SEC"")"),"(77) 9 9994-5342")</f>
        <v>(77) 9 9994-5342</v>
      </c>
      <c r="Q1306" s="82" t="str">
        <f>IFERROR(__xludf.DUMMYFUNCTION("IFERROR(VLOOKUP(D1306,
IMPORTRANGE(""https://docs.google.com/spreadsheets/d/1MjHtlUikwobi2MaWJgy7tfLeBmhj1u-dRFRs_8GwSoA/edit#gid=0"",""Gestores Escolares!D7:m""),9,0),""VERIFICAR CÓD SEC"")"),"")</f>
        <v/>
      </c>
      <c r="R1306" s="82" t="str">
        <f>IFERROR(__xludf.DUMMYFUNCTION("IFERROR(VLOOKUP(D1306,
IMPORTRANGE(""https://docs.google.com/spreadsheets/d/1MjHtlUikwobi2MaWJgy7tfLeBmhj1u-dRFRs_8GwSoA/edit#gid=0"",""Gestores Escolares!D7:m""),10,0),""VERIFICAR CÓD SEC"")"),"")</f>
        <v/>
      </c>
      <c r="S1306" s="82"/>
      <c r="T1306" s="138">
        <v>1.0</v>
      </c>
      <c r="U1306" s="139">
        <v>1.0</v>
      </c>
      <c r="V1306" s="106">
        <v>0.0</v>
      </c>
      <c r="W1306" s="107">
        <v>0.0</v>
      </c>
      <c r="X1306" s="107">
        <v>0.0</v>
      </c>
      <c r="Y1306" s="107">
        <v>0.0</v>
      </c>
      <c r="Z1306" s="80">
        <f t="shared" si="1"/>
        <v>0</v>
      </c>
      <c r="AA1306" s="106">
        <v>0.0</v>
      </c>
      <c r="AB1306" s="107">
        <v>0.0</v>
      </c>
      <c r="AC1306" s="107">
        <v>0.0</v>
      </c>
      <c r="AD1306" s="107">
        <v>0.0</v>
      </c>
      <c r="AE1306" s="80">
        <f t="shared" si="2"/>
        <v>0</v>
      </c>
      <c r="AF1306" s="140">
        <v>0.0</v>
      </c>
      <c r="AG1306" s="109">
        <v>11.0</v>
      </c>
      <c r="AH1306" s="109">
        <v>25.0</v>
      </c>
      <c r="AI1306" s="141">
        <v>0.0</v>
      </c>
      <c r="AJ1306" s="80">
        <f t="shared" si="3"/>
        <v>36</v>
      </c>
      <c r="AK1306" s="140">
        <v>0.0</v>
      </c>
      <c r="AL1306" s="109">
        <v>0.0</v>
      </c>
      <c r="AM1306" s="141">
        <v>0.0</v>
      </c>
      <c r="AN1306" s="80">
        <f t="shared" si="4"/>
        <v>0</v>
      </c>
      <c r="AO1306" s="140">
        <v>0.0</v>
      </c>
      <c r="AP1306" s="109">
        <v>0.0</v>
      </c>
      <c r="AQ1306" s="109">
        <v>0.0</v>
      </c>
      <c r="AR1306" s="80">
        <f t="shared" si="5"/>
        <v>0</v>
      </c>
      <c r="AS1306" s="110">
        <v>0.0</v>
      </c>
      <c r="AT1306" s="110">
        <v>0.0</v>
      </c>
      <c r="AU1306" s="110">
        <v>0.0</v>
      </c>
      <c r="AV1306" s="142">
        <v>0.0</v>
      </c>
      <c r="AW1306" s="80">
        <f t="shared" si="6"/>
        <v>0</v>
      </c>
      <c r="AX1306" s="113">
        <f t="shared" si="7"/>
        <v>36</v>
      </c>
      <c r="AY1306" s="117">
        <f t="shared" si="8"/>
        <v>11</v>
      </c>
      <c r="AZ1306" s="120">
        <f t="shared" si="9"/>
        <v>25</v>
      </c>
      <c r="BA1306" s="115">
        <v>0.0</v>
      </c>
      <c r="BB1306" s="89">
        <f t="shared" si="10"/>
        <v>36</v>
      </c>
      <c r="BC1306" s="132" t="s">
        <v>373</v>
      </c>
      <c r="BD1306" s="132" t="s">
        <v>178</v>
      </c>
      <c r="BE1306" s="132" t="s">
        <v>178</v>
      </c>
      <c r="BF1306" s="156"/>
      <c r="BG1306" s="83">
        <v>1178919.0</v>
      </c>
      <c r="BH1306" s="112"/>
      <c r="BI1306" s="112">
        <v>1.0</v>
      </c>
      <c r="BJ1306" s="98" t="s">
        <v>155</v>
      </c>
      <c r="BK1306" s="99">
        <f t="shared" si="11"/>
        <v>0</v>
      </c>
      <c r="BL1306" s="99">
        <f t="shared" si="12"/>
        <v>11</v>
      </c>
      <c r="BM1306" s="99" t="str">
        <f>IFERROR(__xludf.DUMMYFUNCTION("IFERROR(VLOOKUP(BG1306,IMPORTRANGE(""https://docs.google.com/spreadsheets/d/1juPI-Fb8LD0YtltB2mlGEnp_R3UVu1t3wSFPzgCyHXE/edit?gid=0#gid=0"",""GERAL!A2:C""),3,0),""-"")"),"CAMPO")</f>
        <v>CAMPO</v>
      </c>
    </row>
    <row r="1307" ht="15.75" customHeight="1">
      <c r="A1307" s="111" t="s">
        <v>1573</v>
      </c>
      <c r="B1307" s="83" t="s">
        <v>7353</v>
      </c>
      <c r="C1307" s="83" t="s">
        <v>68</v>
      </c>
      <c r="D1307" s="112">
        <v>1131860.0</v>
      </c>
      <c r="E1307" s="83"/>
      <c r="F1307" s="83">
        <v>2.9015227E7</v>
      </c>
      <c r="G1307" s="119" t="s">
        <v>7355</v>
      </c>
      <c r="H1307" s="91" t="s">
        <v>7356</v>
      </c>
      <c r="I1307" s="172" t="s">
        <v>149</v>
      </c>
      <c r="J1307" s="83" t="s">
        <v>150</v>
      </c>
      <c r="K1307" s="83" t="s">
        <v>151</v>
      </c>
      <c r="L1307" s="83" t="s">
        <v>152</v>
      </c>
      <c r="M1307" s="82" t="str">
        <f>IFERROR(__xludf.DUMMYFUNCTION("IFERROR(VLOOKUP(D1307,
IMPORTRANGE(""https://docs.google.com/spreadsheets/d/1MjHtlUikwobi2MaWJgy7tfLeBmhj1u-dRFRs_8GwSoA/edit#gid=0"",""Gestores Escolares!D7:J""),3,0),""VERIFICAR CÓD SEC"")")," RAMON DE SA AMARAL")</f>
        <v> RAMON DE SA AMARAL</v>
      </c>
      <c r="N1307" s="82" t="str">
        <f>IFERROR(__xludf.DUMMYFUNCTION("IFERROR(VLOOKUP(D1307,
IMPORTRANGE(""https://docs.google.com/spreadsheets/d/1MjHtlUikwobi2MaWJgy7tfLeBmhj1u-dRFRs_8GwSoA/edit#gid=0"",""Gestores Escolares!D7:J""),4,0),""VERIFICAR CÓD SEC"")")," (77) 9 9191-3280")</f>
        <v> (77) 9 9191-3280</v>
      </c>
      <c r="O1307" s="82" t="str">
        <f>IFERROR(__xludf.DUMMYFUNCTION("IFERROR(VLOOKUP(D1307,
IMPORTRANGE(""https://docs.google.com/spreadsheets/d/1MjHtlUikwobi2MaWJgy7tfLeBmhj1u-dRFRs_8GwSoA/edit#gid=0"",""Gestores Escolares!D7:J""),6,0),""VERIFICAR CÓD SEC"")"),"DUCILENE DE OLIVEIRA SOUZA PEREIRA")</f>
        <v>DUCILENE DE OLIVEIRA SOUZA PEREIRA</v>
      </c>
      <c r="P1307" s="82" t="str">
        <f>IFERROR(__xludf.DUMMYFUNCTION("IFERROR(VLOOKUP(D1307,
IMPORTRANGE(""https://docs.google.com/spreadsheets/d/1MjHtlUikwobi2MaWJgy7tfLeBmhj1u-dRFRs_8GwSoA/edit#gid=0"",""Gestores Escolares!D7:J""),7,0),""VERIFICAR CÓD SEC"")"),"(77) 9 9995-7244")</f>
        <v>(77) 9 9995-7244</v>
      </c>
      <c r="Q1307" s="82" t="str">
        <f>IFERROR(__xludf.DUMMYFUNCTION("IFERROR(VLOOKUP(D1307,
IMPORTRANGE(""https://docs.google.com/spreadsheets/d/1MjHtlUikwobi2MaWJgy7tfLeBmhj1u-dRFRs_8GwSoA/edit#gid=0"",""Gestores Escolares!D7:m""),9,0),""VERIFICAR CÓD SEC"")"),"JULIANA LELES COSTA")</f>
        <v>JULIANA LELES COSTA</v>
      </c>
      <c r="R1307" s="82" t="str">
        <f>IFERROR(__xludf.DUMMYFUNCTION("IFERROR(VLOOKUP(D1307,
IMPORTRANGE(""https://docs.google.com/spreadsheets/d/1MjHtlUikwobi2MaWJgy7tfLeBmhj1u-dRFRs_8GwSoA/edit#gid=0"",""Gestores Escolares!D7:m""),10,0),""VERIFICAR CÓD SEC"")"),"(77) 9 9867-1838")</f>
        <v>(77) 9 9867-1838</v>
      </c>
      <c r="S1307" s="82"/>
      <c r="T1307" s="138">
        <v>10.0</v>
      </c>
      <c r="U1307" s="145">
        <v>10.0</v>
      </c>
      <c r="V1307" s="106">
        <v>0.0</v>
      </c>
      <c r="W1307" s="107">
        <v>0.0</v>
      </c>
      <c r="X1307" s="107">
        <v>0.0</v>
      </c>
      <c r="Y1307" s="107">
        <v>0.0</v>
      </c>
      <c r="Z1307" s="80">
        <f t="shared" si="1"/>
        <v>0</v>
      </c>
      <c r="AA1307" s="106">
        <v>0.0</v>
      </c>
      <c r="AB1307" s="107">
        <v>0.0</v>
      </c>
      <c r="AC1307" s="107">
        <v>0.0</v>
      </c>
      <c r="AD1307" s="107">
        <v>0.0</v>
      </c>
      <c r="AE1307" s="80">
        <f t="shared" si="2"/>
        <v>0</v>
      </c>
      <c r="AF1307" s="140">
        <v>354.0</v>
      </c>
      <c r="AG1307" s="109">
        <v>171.0</v>
      </c>
      <c r="AH1307" s="109">
        <v>0.0</v>
      </c>
      <c r="AI1307" s="141">
        <v>0.0</v>
      </c>
      <c r="AJ1307" s="80">
        <f t="shared" si="3"/>
        <v>525</v>
      </c>
      <c r="AK1307" s="140">
        <v>0.0</v>
      </c>
      <c r="AL1307" s="109">
        <v>0.0</v>
      </c>
      <c r="AM1307" s="141">
        <v>0.0</v>
      </c>
      <c r="AN1307" s="80">
        <f t="shared" si="4"/>
        <v>0</v>
      </c>
      <c r="AO1307" s="140">
        <v>0.0</v>
      </c>
      <c r="AP1307" s="109">
        <v>0.0</v>
      </c>
      <c r="AQ1307" s="109">
        <v>105.0</v>
      </c>
      <c r="AR1307" s="80">
        <f t="shared" si="5"/>
        <v>105</v>
      </c>
      <c r="AS1307" s="110">
        <v>0.0</v>
      </c>
      <c r="AT1307" s="110">
        <v>0.0</v>
      </c>
      <c r="AU1307" s="110">
        <v>0.0</v>
      </c>
      <c r="AV1307" s="142">
        <v>0.0</v>
      </c>
      <c r="AW1307" s="80">
        <f t="shared" si="6"/>
        <v>0</v>
      </c>
      <c r="AX1307" s="113">
        <f t="shared" si="7"/>
        <v>630</v>
      </c>
      <c r="AY1307" s="117">
        <f t="shared" si="8"/>
        <v>525</v>
      </c>
      <c r="AZ1307" s="120">
        <f t="shared" si="9"/>
        <v>105</v>
      </c>
      <c r="BA1307" s="115">
        <v>0.0</v>
      </c>
      <c r="BB1307" s="89">
        <f t="shared" si="10"/>
        <v>630</v>
      </c>
      <c r="BC1307" s="132" t="s">
        <v>178</v>
      </c>
      <c r="BD1307" s="132" t="s">
        <v>178</v>
      </c>
      <c r="BE1307" s="132" t="s">
        <v>178</v>
      </c>
      <c r="BF1307" s="156"/>
      <c r="BG1307" s="83">
        <v>1131860.0</v>
      </c>
      <c r="BH1307" s="112"/>
      <c r="BI1307" s="112">
        <v>10.0</v>
      </c>
      <c r="BJ1307" s="98" t="s">
        <v>155</v>
      </c>
      <c r="BK1307" s="99">
        <f t="shared" si="11"/>
        <v>0</v>
      </c>
      <c r="BL1307" s="99">
        <f t="shared" si="12"/>
        <v>525</v>
      </c>
      <c r="BM1307" s="99" t="str">
        <f>IFERROR(__xludf.DUMMYFUNCTION("IFERROR(VLOOKUP(BG1307,IMPORTRANGE(""https://docs.google.com/spreadsheets/d/1juPI-Fb8LD0YtltB2mlGEnp_R3UVu1t3wSFPzgCyHXE/edit?gid=0#gid=0"",""GERAL!A2:C""),3,0),""-"")"),"-")</f>
        <v>-</v>
      </c>
    </row>
    <row r="1308" ht="15.75" customHeight="1">
      <c r="A1308" s="111" t="s">
        <v>1573</v>
      </c>
      <c r="B1308" s="83" t="s">
        <v>7353</v>
      </c>
      <c r="C1308" s="83" t="s">
        <v>68</v>
      </c>
      <c r="D1308" s="112">
        <v>1132000.0</v>
      </c>
      <c r="E1308" s="83"/>
      <c r="F1308" s="83">
        <v>2.9014433E7</v>
      </c>
      <c r="G1308" s="114" t="s">
        <v>7359</v>
      </c>
      <c r="H1308" s="91" t="s">
        <v>5916</v>
      </c>
      <c r="I1308" s="229" t="s">
        <v>5917</v>
      </c>
      <c r="J1308" s="83" t="s">
        <v>150</v>
      </c>
      <c r="K1308" s="83" t="s">
        <v>151</v>
      </c>
      <c r="L1308" s="83" t="s">
        <v>230</v>
      </c>
      <c r="M1308" s="82" t="str">
        <f>IFERROR(__xludf.DUMMYFUNCTION("IFERROR(VLOOKUP(D1308,
IMPORTRANGE(""https://docs.google.com/spreadsheets/d/1MjHtlUikwobi2MaWJgy7tfLeBmhj1u-dRFRs_8GwSoA/edit#gid=0"",""Gestores Escolares!D7:J""),3,0),""VERIFICAR CÓD SEC"")"),"DIEGO MARCONE NEVES DE SOUZA SANTOS")</f>
        <v>DIEGO MARCONE NEVES DE SOUZA SANTOS</v>
      </c>
      <c r="N1308" s="82" t="str">
        <f>IFERROR(__xludf.DUMMYFUNCTION("IFERROR(VLOOKUP(D1308,
IMPORTRANGE(""https://docs.google.com/spreadsheets/d/1MjHtlUikwobi2MaWJgy7tfLeBmhj1u-dRFRs_8GwSoA/edit#gid=0"",""Gestores Escolares!D7:J""),4,0),""VERIFICAR CÓD SEC"")"),"(77) 9 9976-1584")</f>
        <v>(77) 9 9976-1584</v>
      </c>
      <c r="O1308" s="82" t="str">
        <f>IFERROR(__xludf.DUMMYFUNCTION("IFERROR(VLOOKUP(D1308,
IMPORTRANGE(""https://docs.google.com/spreadsheets/d/1MjHtlUikwobi2MaWJgy7tfLeBmhj1u-dRFRs_8GwSoA/edit#gid=0"",""Gestores Escolares!D7:J""),6,0),""VERIFICAR CÓD SEC"")"),"GILVANE FAGUNDES DE CASTRO OLIVEIRA")</f>
        <v>GILVANE FAGUNDES DE CASTRO OLIVEIRA</v>
      </c>
      <c r="P1308" s="82" t="str">
        <f>IFERROR(__xludf.DUMMYFUNCTION("IFERROR(VLOOKUP(D1308,
IMPORTRANGE(""https://docs.google.com/spreadsheets/d/1MjHtlUikwobi2MaWJgy7tfLeBmhj1u-dRFRs_8GwSoA/edit#gid=0"",""Gestores Escolares!D7:J""),7,0),""VERIFICAR CÓD SEC"")"),"(77) 9 9127-2284")</f>
        <v>(77) 9 9127-2284</v>
      </c>
      <c r="Q1308" s="82" t="str">
        <f>IFERROR(__xludf.DUMMYFUNCTION("IFERROR(VLOOKUP(D1308,
IMPORTRANGE(""https://docs.google.com/spreadsheets/d/1MjHtlUikwobi2MaWJgy7tfLeBmhj1u-dRFRs_8GwSoA/edit#gid=0"",""Gestores Escolares!D7:m""),9,0),""VERIFICAR CÓD SEC"")"),"JACKSON RAIMUNDO DA SILVA")</f>
        <v>JACKSON RAIMUNDO DA SILVA</v>
      </c>
      <c r="R1308" s="82" t="str">
        <f>IFERROR(__xludf.DUMMYFUNCTION("IFERROR(VLOOKUP(D1308,
IMPORTRANGE(""https://docs.google.com/spreadsheets/d/1MjHtlUikwobi2MaWJgy7tfLeBmhj1u-dRFRs_8GwSoA/edit#gid=0"",""Gestores Escolares!D7:m""),10,0),""VERIFICAR CÓD SEC"")"),"(77) 9 8162-8582")</f>
        <v>(77) 9 8162-8582</v>
      </c>
      <c r="S1308" s="82"/>
      <c r="T1308" s="138">
        <v>16.0</v>
      </c>
      <c r="U1308" s="139">
        <v>14.0</v>
      </c>
      <c r="V1308" s="106">
        <v>0.0</v>
      </c>
      <c r="W1308" s="107">
        <v>0.0</v>
      </c>
      <c r="X1308" s="107">
        <v>0.0</v>
      </c>
      <c r="Y1308" s="107">
        <v>0.0</v>
      </c>
      <c r="Z1308" s="80">
        <f t="shared" si="1"/>
        <v>0</v>
      </c>
      <c r="AA1308" s="106">
        <v>0.0</v>
      </c>
      <c r="AB1308" s="107">
        <v>0.0</v>
      </c>
      <c r="AC1308" s="107">
        <v>0.0</v>
      </c>
      <c r="AD1308" s="107">
        <v>0.0</v>
      </c>
      <c r="AE1308" s="80">
        <f t="shared" si="2"/>
        <v>0</v>
      </c>
      <c r="AF1308" s="140">
        <v>71.0</v>
      </c>
      <c r="AG1308" s="109">
        <v>12.0</v>
      </c>
      <c r="AH1308" s="109">
        <v>0.0</v>
      </c>
      <c r="AI1308" s="141">
        <v>0.0</v>
      </c>
      <c r="AJ1308" s="80">
        <f t="shared" si="3"/>
        <v>83</v>
      </c>
      <c r="AK1308" s="140">
        <v>0.0</v>
      </c>
      <c r="AL1308" s="109">
        <v>0.0</v>
      </c>
      <c r="AM1308" s="141">
        <v>0.0</v>
      </c>
      <c r="AN1308" s="80">
        <f t="shared" si="4"/>
        <v>0</v>
      </c>
      <c r="AO1308" s="140">
        <v>0.0</v>
      </c>
      <c r="AP1308" s="109">
        <v>0.0</v>
      </c>
      <c r="AQ1308" s="109">
        <v>29.0</v>
      </c>
      <c r="AR1308" s="80">
        <f t="shared" si="5"/>
        <v>29</v>
      </c>
      <c r="AS1308" s="110">
        <v>351.0</v>
      </c>
      <c r="AT1308" s="110">
        <v>174.0</v>
      </c>
      <c r="AU1308" s="110">
        <v>157.0</v>
      </c>
      <c r="AV1308" s="142">
        <v>0.0</v>
      </c>
      <c r="AW1308" s="80">
        <f t="shared" si="6"/>
        <v>682</v>
      </c>
      <c r="AX1308" s="113">
        <f t="shared" si="7"/>
        <v>794</v>
      </c>
      <c r="AY1308" s="117">
        <f t="shared" si="8"/>
        <v>608</v>
      </c>
      <c r="AZ1308" s="120">
        <f t="shared" si="9"/>
        <v>186</v>
      </c>
      <c r="BA1308" s="115">
        <v>0.0</v>
      </c>
      <c r="BB1308" s="89">
        <f t="shared" si="10"/>
        <v>794</v>
      </c>
      <c r="BC1308" s="132" t="s">
        <v>178</v>
      </c>
      <c r="BD1308" s="132" t="s">
        <v>522</v>
      </c>
      <c r="BE1308" s="132" t="s">
        <v>178</v>
      </c>
      <c r="BF1308" s="156"/>
      <c r="BG1308" s="83">
        <v>1132000.0</v>
      </c>
      <c r="BH1308" s="112"/>
      <c r="BI1308" s="112">
        <v>14.0</v>
      </c>
      <c r="BJ1308" s="98" t="s">
        <v>284</v>
      </c>
      <c r="BK1308" s="99">
        <f t="shared" si="11"/>
        <v>0</v>
      </c>
      <c r="BL1308" s="99">
        <f t="shared" si="12"/>
        <v>608</v>
      </c>
      <c r="BM1308" s="99" t="str">
        <f>IFERROR(__xludf.DUMMYFUNCTION("IFERROR(VLOOKUP(BG1308,IMPORTRANGE(""https://docs.google.com/spreadsheets/d/1juPI-Fb8LD0YtltB2mlGEnp_R3UVu1t3wSFPzgCyHXE/edit?gid=0#gid=0"",""GERAL!A2:C""),3,0),""-"")"),"-")</f>
        <v>-</v>
      </c>
    </row>
    <row r="1309" ht="15.75" customHeight="1">
      <c r="A1309" s="111" t="s">
        <v>1573</v>
      </c>
      <c r="B1309" s="83" t="s">
        <v>7353</v>
      </c>
      <c r="C1309" s="83" t="s">
        <v>68</v>
      </c>
      <c r="D1309" s="98">
        <v>1179821.0</v>
      </c>
      <c r="E1309" s="83"/>
      <c r="F1309" s="98">
        <v>44442.0</v>
      </c>
      <c r="G1309" s="119" t="s">
        <v>7375</v>
      </c>
      <c r="H1309" s="108" t="s">
        <v>7376</v>
      </c>
      <c r="I1309" s="172" t="s">
        <v>149</v>
      </c>
      <c r="J1309" s="83"/>
      <c r="K1309" s="83" t="s">
        <v>151</v>
      </c>
      <c r="L1309" s="83" t="s">
        <v>169</v>
      </c>
      <c r="M1309" s="82" t="str">
        <f>IFERROR(__xludf.DUMMYFUNCTION("IFERROR(VLOOKUP(D1309,
IMPORTRANGE(""https://docs.google.com/spreadsheets/d/1MjHtlUikwobi2MaWJgy7tfLeBmhj1u-dRFRs_8GwSoA/edit#gid=0"",""Gestores Escolares!D7:J""),3,0),""VERIFICAR CÓD SEC"")"),"RAQUEL APARECIDA LINO SILVA")</f>
        <v>RAQUEL APARECIDA LINO SILVA</v>
      </c>
      <c r="N1309" s="82" t="str">
        <f>IFERROR(__xludf.DUMMYFUNCTION("IFERROR(VLOOKUP(D1309,
IMPORTRANGE(""https://docs.google.com/spreadsheets/d/1MjHtlUikwobi2MaWJgy7tfLeBmhj1u-dRFRs_8GwSoA/edit#gid=0"",""Gestores Escolares!D7:J""),4,0),""VERIFICAR CÓD SEC"")"),"(77) 9 8128-5104")</f>
        <v>(77) 9 8128-5104</v>
      </c>
      <c r="O1309" s="82" t="str">
        <f>IFERROR(__xludf.DUMMYFUNCTION("IFERROR(VLOOKUP(D1309,
IMPORTRANGE(""https://docs.google.com/spreadsheets/d/1MjHtlUikwobi2MaWJgy7tfLeBmhj1u-dRFRs_8GwSoA/edit#gid=0"",""Gestores Escolares!D7:J""),6,0),""VERIFICAR CÓD SEC"")"),"")</f>
        <v/>
      </c>
      <c r="P1309" s="82" t="str">
        <f>IFERROR(__xludf.DUMMYFUNCTION("IFERROR(VLOOKUP(D1309,
IMPORTRANGE(""https://docs.google.com/spreadsheets/d/1MjHtlUikwobi2MaWJgy7tfLeBmhj1u-dRFRs_8GwSoA/edit#gid=0"",""Gestores Escolares!D7:J""),7,0),""VERIFICAR CÓD SEC"")"),"")</f>
        <v/>
      </c>
      <c r="Q1309" s="82" t="str">
        <f>IFERROR(__xludf.DUMMYFUNCTION("IFERROR(VLOOKUP(D1309,
IMPORTRANGE(""https://docs.google.com/spreadsheets/d/1MjHtlUikwobi2MaWJgy7tfLeBmhj1u-dRFRs_8GwSoA/edit#gid=0"",""Gestores Escolares!D7:m""),9,0),""VERIFICAR CÓD SEC"")"),"")</f>
        <v/>
      </c>
      <c r="R1309" s="82" t="str">
        <f>IFERROR(__xludf.DUMMYFUNCTION("IFERROR(VLOOKUP(D1309,
IMPORTRANGE(""https://docs.google.com/spreadsheets/d/1MjHtlUikwobi2MaWJgy7tfLeBmhj1u-dRFRs_8GwSoA/edit#gid=0"",""Gestores Escolares!D7:m""),10,0),""VERIFICAR CÓD SEC"")"),"")</f>
        <v/>
      </c>
      <c r="S1309" s="82"/>
      <c r="T1309" s="138"/>
      <c r="U1309" s="139"/>
      <c r="V1309" s="106">
        <v>0.0</v>
      </c>
      <c r="W1309" s="107">
        <v>0.0</v>
      </c>
      <c r="X1309" s="107">
        <v>0.0</v>
      </c>
      <c r="Y1309" s="107">
        <v>0.0</v>
      </c>
      <c r="Z1309" s="80">
        <f t="shared" si="1"/>
        <v>0</v>
      </c>
      <c r="AA1309" s="106">
        <v>0.0</v>
      </c>
      <c r="AB1309" s="107">
        <v>0.0</v>
      </c>
      <c r="AC1309" s="107">
        <v>0.0</v>
      </c>
      <c r="AD1309" s="107">
        <v>0.0</v>
      </c>
      <c r="AE1309" s="80">
        <f t="shared" si="2"/>
        <v>0</v>
      </c>
      <c r="AF1309" s="140">
        <v>0.0</v>
      </c>
      <c r="AG1309" s="109">
        <v>0.0</v>
      </c>
      <c r="AH1309" s="109">
        <v>0.0</v>
      </c>
      <c r="AI1309" s="141">
        <v>0.0</v>
      </c>
      <c r="AJ1309" s="80">
        <f t="shared" si="3"/>
        <v>0</v>
      </c>
      <c r="AK1309" s="140">
        <v>0.0</v>
      </c>
      <c r="AL1309" s="109">
        <v>0.0</v>
      </c>
      <c r="AM1309" s="141">
        <v>0.0</v>
      </c>
      <c r="AN1309" s="80">
        <f t="shared" si="4"/>
        <v>0</v>
      </c>
      <c r="AO1309" s="140">
        <v>0.0</v>
      </c>
      <c r="AP1309" s="109">
        <v>0.0</v>
      </c>
      <c r="AQ1309" s="109">
        <v>0.0</v>
      </c>
      <c r="AR1309" s="80">
        <f t="shared" si="5"/>
        <v>0</v>
      </c>
      <c r="AS1309" s="110">
        <v>0.0</v>
      </c>
      <c r="AT1309" s="110">
        <v>0.0</v>
      </c>
      <c r="AU1309" s="110">
        <v>0.0</v>
      </c>
      <c r="AV1309" s="142">
        <v>0.0</v>
      </c>
      <c r="AW1309" s="80">
        <f t="shared" si="6"/>
        <v>0</v>
      </c>
      <c r="AX1309" s="113">
        <f t="shared" si="7"/>
        <v>0</v>
      </c>
      <c r="AY1309" s="117">
        <f t="shared" si="8"/>
        <v>0</v>
      </c>
      <c r="AZ1309" s="120">
        <f t="shared" si="9"/>
        <v>0</v>
      </c>
      <c r="BA1309" s="115">
        <v>0.0</v>
      </c>
      <c r="BB1309" s="89">
        <f t="shared" si="10"/>
        <v>0</v>
      </c>
      <c r="BC1309" s="132" t="s">
        <v>227</v>
      </c>
      <c r="BD1309" s="132" t="s">
        <v>227</v>
      </c>
      <c r="BE1309" s="132"/>
      <c r="BF1309" s="156"/>
      <c r="BG1309" s="98">
        <v>1179821.0</v>
      </c>
      <c r="BH1309" s="112"/>
      <c r="BI1309" s="112"/>
      <c r="BJ1309" s="98"/>
      <c r="BK1309" s="99">
        <f t="shared" si="11"/>
        <v>0</v>
      </c>
      <c r="BL1309" s="99">
        <f t="shared" si="12"/>
        <v>0</v>
      </c>
      <c r="BM1309" s="99" t="str">
        <f>IFERROR(__xludf.DUMMYFUNCTION("IFERROR(VLOOKUP(BG1309,IMPORTRANGE(""https://docs.google.com/spreadsheets/d/1juPI-Fb8LD0YtltB2mlGEnp_R3UVu1t3wSFPzgCyHXE/edit?gid=0#gid=0"",""GERAL!A2:C""),3,0),""-"")"),"-")</f>
        <v>-</v>
      </c>
    </row>
    <row r="1310" ht="15.75" customHeight="1">
      <c r="A1310" s="111" t="s">
        <v>1573</v>
      </c>
      <c r="B1310" s="83" t="s">
        <v>7353</v>
      </c>
      <c r="C1310" s="83" t="s">
        <v>164</v>
      </c>
      <c r="D1310" s="112">
        <v>1131860.0</v>
      </c>
      <c r="E1310" s="83">
        <v>1179604.0</v>
      </c>
      <c r="F1310" s="98">
        <v>2.949317E7</v>
      </c>
      <c r="G1310" s="119" t="s">
        <v>7381</v>
      </c>
      <c r="H1310" s="91" t="s">
        <v>7382</v>
      </c>
      <c r="I1310" s="172" t="s">
        <v>149</v>
      </c>
      <c r="J1310" s="83" t="s">
        <v>727</v>
      </c>
      <c r="K1310" s="83" t="s">
        <v>168</v>
      </c>
      <c r="L1310" s="83" t="s">
        <v>169</v>
      </c>
      <c r="M1310" s="82" t="str">
        <f>IFERROR(__xludf.DUMMYFUNCTION("IFERROR(VLOOKUP(D1310,
IMPORTRANGE(""https://docs.google.com/spreadsheets/d/1MjHtlUikwobi2MaWJgy7tfLeBmhj1u-dRFRs_8GwSoA/edit#gid=0"",""Gestores Escolares!D7:J""),3,0),""VERIFICAR CÓD SEC"")")," RAMON DE SA AMARAL")</f>
        <v> RAMON DE SA AMARAL</v>
      </c>
      <c r="N1310" s="82" t="str">
        <f>IFERROR(__xludf.DUMMYFUNCTION("IFERROR(VLOOKUP(D1310,
IMPORTRANGE(""https://docs.google.com/spreadsheets/d/1MjHtlUikwobi2MaWJgy7tfLeBmhj1u-dRFRs_8GwSoA/edit#gid=0"",""Gestores Escolares!D7:J""),4,0),""VERIFICAR CÓD SEC"")")," (77) 9 9191-3280")</f>
        <v> (77) 9 9191-3280</v>
      </c>
      <c r="O1310" s="82" t="str">
        <f>IFERROR(__xludf.DUMMYFUNCTION("IFERROR(VLOOKUP(D1310,
IMPORTRANGE(""https://docs.google.com/spreadsheets/d/1MjHtlUikwobi2MaWJgy7tfLeBmhj1u-dRFRs_8GwSoA/edit#gid=0"",""Gestores Escolares!D7:J""),6,0),""VERIFICAR CÓD SEC"")"),"DUCILENE DE OLIVEIRA SOUZA PEREIRA")</f>
        <v>DUCILENE DE OLIVEIRA SOUZA PEREIRA</v>
      </c>
      <c r="P1310" s="82" t="str">
        <f>IFERROR(__xludf.DUMMYFUNCTION("IFERROR(VLOOKUP(D1310,
IMPORTRANGE(""https://docs.google.com/spreadsheets/d/1MjHtlUikwobi2MaWJgy7tfLeBmhj1u-dRFRs_8GwSoA/edit#gid=0"",""Gestores Escolares!D7:J""),7,0),""VERIFICAR CÓD SEC"")"),"(77) 9 9995-7244")</f>
        <v>(77) 9 9995-7244</v>
      </c>
      <c r="Q1310" s="82" t="str">
        <f>IFERROR(__xludf.DUMMYFUNCTION("IFERROR(VLOOKUP(D1310,
IMPORTRANGE(""https://docs.google.com/spreadsheets/d/1MjHtlUikwobi2MaWJgy7tfLeBmhj1u-dRFRs_8GwSoA/edit#gid=0"",""Gestores Escolares!D7:m""),9,0),""VERIFICAR CÓD SEC"")"),"JULIANA LELES COSTA")</f>
        <v>JULIANA LELES COSTA</v>
      </c>
      <c r="R1310" s="82" t="str">
        <f>IFERROR(__xludf.DUMMYFUNCTION("IFERROR(VLOOKUP(D1310,
IMPORTRANGE(""https://docs.google.com/spreadsheets/d/1MjHtlUikwobi2MaWJgy7tfLeBmhj1u-dRFRs_8GwSoA/edit#gid=0"",""Gestores Escolares!D7:m""),10,0),""VERIFICAR CÓD SEC"")"),"(77) 9 9867-1838")</f>
        <v>(77) 9 9867-1838</v>
      </c>
      <c r="S1310" s="82"/>
      <c r="T1310" s="138">
        <v>5.0</v>
      </c>
      <c r="U1310" s="139">
        <v>3.0</v>
      </c>
      <c r="V1310" s="106">
        <v>0.0</v>
      </c>
      <c r="W1310" s="107">
        <v>0.0</v>
      </c>
      <c r="X1310" s="107">
        <v>0.0</v>
      </c>
      <c r="Y1310" s="107">
        <v>0.0</v>
      </c>
      <c r="Z1310" s="80">
        <f t="shared" si="1"/>
        <v>0</v>
      </c>
      <c r="AA1310" s="106">
        <v>0.0</v>
      </c>
      <c r="AB1310" s="107">
        <v>0.0</v>
      </c>
      <c r="AC1310" s="107">
        <v>0.0</v>
      </c>
      <c r="AD1310" s="107">
        <v>0.0</v>
      </c>
      <c r="AE1310" s="80">
        <f t="shared" si="2"/>
        <v>0</v>
      </c>
      <c r="AF1310" s="140">
        <v>0.0</v>
      </c>
      <c r="AG1310" s="109">
        <v>0.0</v>
      </c>
      <c r="AH1310" s="109">
        <v>0.0</v>
      </c>
      <c r="AI1310" s="141">
        <v>0.0</v>
      </c>
      <c r="AJ1310" s="80">
        <f t="shared" si="3"/>
        <v>0</v>
      </c>
      <c r="AK1310" s="140">
        <v>0.0</v>
      </c>
      <c r="AL1310" s="109">
        <v>0.0</v>
      </c>
      <c r="AM1310" s="141">
        <v>0.0</v>
      </c>
      <c r="AN1310" s="80">
        <f t="shared" si="4"/>
        <v>0</v>
      </c>
      <c r="AO1310" s="140">
        <v>0.0</v>
      </c>
      <c r="AP1310" s="109">
        <v>0.0</v>
      </c>
      <c r="AQ1310" s="109">
        <v>51.0</v>
      </c>
      <c r="AR1310" s="80">
        <f t="shared" si="5"/>
        <v>51</v>
      </c>
      <c r="AS1310" s="110">
        <v>0.0</v>
      </c>
      <c r="AT1310" s="110">
        <v>0.0</v>
      </c>
      <c r="AU1310" s="110">
        <v>0.0</v>
      </c>
      <c r="AV1310" s="142">
        <v>0.0</v>
      </c>
      <c r="AW1310" s="80">
        <f t="shared" si="6"/>
        <v>0</v>
      </c>
      <c r="AX1310" s="113">
        <f t="shared" si="7"/>
        <v>51</v>
      </c>
      <c r="AY1310" s="117">
        <f t="shared" si="8"/>
        <v>0</v>
      </c>
      <c r="AZ1310" s="120">
        <f t="shared" si="9"/>
        <v>51</v>
      </c>
      <c r="BA1310" s="115">
        <v>0.0</v>
      </c>
      <c r="BB1310" s="89">
        <f t="shared" si="10"/>
        <v>51</v>
      </c>
      <c r="BC1310" s="132" t="s">
        <v>373</v>
      </c>
      <c r="BD1310" s="132" t="s">
        <v>178</v>
      </c>
      <c r="BE1310" s="132" t="s">
        <v>178</v>
      </c>
      <c r="BF1310" s="156"/>
      <c r="BG1310" s="83">
        <v>1179604.0</v>
      </c>
      <c r="BH1310" s="112"/>
      <c r="BI1310" s="112">
        <v>3.0</v>
      </c>
      <c r="BJ1310" s="98" t="s">
        <v>155</v>
      </c>
      <c r="BK1310" s="99">
        <f t="shared" si="11"/>
        <v>0</v>
      </c>
      <c r="BL1310" s="99">
        <f t="shared" si="12"/>
        <v>0</v>
      </c>
      <c r="BM1310" s="99" t="str">
        <f>IFERROR(__xludf.DUMMYFUNCTION("IFERROR(VLOOKUP(BG1310,IMPORTRANGE(""https://docs.google.com/spreadsheets/d/1juPI-Fb8LD0YtltB2mlGEnp_R3UVu1t3wSFPzgCyHXE/edit?gid=0#gid=0"",""GERAL!A2:C""),3,0),""-"")"),"CAMPO")</f>
        <v>CAMPO</v>
      </c>
    </row>
    <row r="1311" ht="15.75" customHeight="1">
      <c r="A1311" s="111" t="s">
        <v>1573</v>
      </c>
      <c r="B1311" s="83" t="s">
        <v>7353</v>
      </c>
      <c r="C1311" s="83" t="s">
        <v>164</v>
      </c>
      <c r="D1311" s="112">
        <v>1131860.0</v>
      </c>
      <c r="E1311" s="83">
        <v>1178424.0</v>
      </c>
      <c r="F1311" s="98">
        <v>2.9493196E7</v>
      </c>
      <c r="G1311" s="119" t="s">
        <v>7386</v>
      </c>
      <c r="H1311" s="91" t="s">
        <v>7387</v>
      </c>
      <c r="I1311" s="172" t="s">
        <v>7388</v>
      </c>
      <c r="J1311" s="83" t="s">
        <v>1904</v>
      </c>
      <c r="K1311" s="83" t="s">
        <v>168</v>
      </c>
      <c r="L1311" s="83" t="s">
        <v>169</v>
      </c>
      <c r="M1311" s="82" t="str">
        <f>IFERROR(__xludf.DUMMYFUNCTION("IFERROR(VLOOKUP(D1311,
IMPORTRANGE(""https://docs.google.com/spreadsheets/d/1MjHtlUikwobi2MaWJgy7tfLeBmhj1u-dRFRs_8GwSoA/edit#gid=0"",""Gestores Escolares!D7:J""),3,0),""VERIFICAR CÓD SEC"")")," RAMON DE SA AMARAL")</f>
        <v> RAMON DE SA AMARAL</v>
      </c>
      <c r="N1311" s="82" t="str">
        <f>IFERROR(__xludf.DUMMYFUNCTION("IFERROR(VLOOKUP(D1311,
IMPORTRANGE(""https://docs.google.com/spreadsheets/d/1MjHtlUikwobi2MaWJgy7tfLeBmhj1u-dRFRs_8GwSoA/edit#gid=0"",""Gestores Escolares!D7:J""),4,0),""VERIFICAR CÓD SEC"")")," (77) 9 9191-3280")</f>
        <v> (77) 9 9191-3280</v>
      </c>
      <c r="O1311" s="82" t="str">
        <f>IFERROR(__xludf.DUMMYFUNCTION("IFERROR(VLOOKUP(D1311,
IMPORTRANGE(""https://docs.google.com/spreadsheets/d/1MjHtlUikwobi2MaWJgy7tfLeBmhj1u-dRFRs_8GwSoA/edit#gid=0"",""Gestores Escolares!D7:J""),6,0),""VERIFICAR CÓD SEC"")"),"DUCILENE DE OLIVEIRA SOUZA PEREIRA")</f>
        <v>DUCILENE DE OLIVEIRA SOUZA PEREIRA</v>
      </c>
      <c r="P1311" s="82" t="str">
        <f>IFERROR(__xludf.DUMMYFUNCTION("IFERROR(VLOOKUP(D1311,
IMPORTRANGE(""https://docs.google.com/spreadsheets/d/1MjHtlUikwobi2MaWJgy7tfLeBmhj1u-dRFRs_8GwSoA/edit#gid=0"",""Gestores Escolares!D7:J""),7,0),""VERIFICAR CÓD SEC"")"),"(77) 9 9995-7244")</f>
        <v>(77) 9 9995-7244</v>
      </c>
      <c r="Q1311" s="82" t="str">
        <f>IFERROR(__xludf.DUMMYFUNCTION("IFERROR(VLOOKUP(D1311,
IMPORTRANGE(""https://docs.google.com/spreadsheets/d/1MjHtlUikwobi2MaWJgy7tfLeBmhj1u-dRFRs_8GwSoA/edit#gid=0"",""Gestores Escolares!D7:m""),9,0),""VERIFICAR CÓD SEC"")"),"JULIANA LELES COSTA")</f>
        <v>JULIANA LELES COSTA</v>
      </c>
      <c r="R1311" s="82" t="str">
        <f>IFERROR(__xludf.DUMMYFUNCTION("IFERROR(VLOOKUP(D1311,
IMPORTRANGE(""https://docs.google.com/spreadsheets/d/1MjHtlUikwobi2MaWJgy7tfLeBmhj1u-dRFRs_8GwSoA/edit#gid=0"",""Gestores Escolares!D7:m""),10,0),""VERIFICAR CÓD SEC"")"),"(77) 9 9867-1838")</f>
        <v>(77) 9 9867-1838</v>
      </c>
      <c r="S1311" s="82"/>
      <c r="T1311" s="138">
        <v>6.0</v>
      </c>
      <c r="U1311" s="139">
        <v>3.0</v>
      </c>
      <c r="V1311" s="106">
        <v>0.0</v>
      </c>
      <c r="W1311" s="107">
        <v>0.0</v>
      </c>
      <c r="X1311" s="107">
        <v>0.0</v>
      </c>
      <c r="Y1311" s="107">
        <v>0.0</v>
      </c>
      <c r="Z1311" s="80">
        <f t="shared" si="1"/>
        <v>0</v>
      </c>
      <c r="AA1311" s="106">
        <v>0.0</v>
      </c>
      <c r="AB1311" s="107">
        <v>0.0</v>
      </c>
      <c r="AC1311" s="107">
        <v>0.0</v>
      </c>
      <c r="AD1311" s="107">
        <v>0.0</v>
      </c>
      <c r="AE1311" s="80">
        <f t="shared" si="2"/>
        <v>0</v>
      </c>
      <c r="AF1311" s="140">
        <v>0.0</v>
      </c>
      <c r="AG1311" s="109">
        <v>0.0</v>
      </c>
      <c r="AH1311" s="109">
        <v>0.0</v>
      </c>
      <c r="AI1311" s="141">
        <v>0.0</v>
      </c>
      <c r="AJ1311" s="80">
        <f t="shared" si="3"/>
        <v>0</v>
      </c>
      <c r="AK1311" s="140">
        <v>0.0</v>
      </c>
      <c r="AL1311" s="109">
        <v>0.0</v>
      </c>
      <c r="AM1311" s="141">
        <v>0.0</v>
      </c>
      <c r="AN1311" s="80">
        <f t="shared" si="4"/>
        <v>0</v>
      </c>
      <c r="AO1311" s="140">
        <v>0.0</v>
      </c>
      <c r="AP1311" s="109">
        <v>0.0</v>
      </c>
      <c r="AQ1311" s="109">
        <v>57.0</v>
      </c>
      <c r="AR1311" s="80">
        <f t="shared" si="5"/>
        <v>57</v>
      </c>
      <c r="AS1311" s="110">
        <v>0.0</v>
      </c>
      <c r="AT1311" s="110">
        <v>0.0</v>
      </c>
      <c r="AU1311" s="110">
        <v>0.0</v>
      </c>
      <c r="AV1311" s="142">
        <v>0.0</v>
      </c>
      <c r="AW1311" s="80">
        <f t="shared" si="6"/>
        <v>0</v>
      </c>
      <c r="AX1311" s="113">
        <f t="shared" si="7"/>
        <v>57</v>
      </c>
      <c r="AY1311" s="117">
        <f t="shared" si="8"/>
        <v>0</v>
      </c>
      <c r="AZ1311" s="120">
        <f t="shared" si="9"/>
        <v>57</v>
      </c>
      <c r="BA1311" s="115">
        <v>0.0</v>
      </c>
      <c r="BB1311" s="89">
        <f t="shared" si="10"/>
        <v>57</v>
      </c>
      <c r="BC1311" s="132" t="s">
        <v>373</v>
      </c>
      <c r="BD1311" s="132" t="s">
        <v>178</v>
      </c>
      <c r="BE1311" s="132" t="s">
        <v>178</v>
      </c>
      <c r="BF1311" s="123"/>
      <c r="BG1311" s="83">
        <v>1178424.0</v>
      </c>
      <c r="BH1311" s="112"/>
      <c r="BI1311" s="112">
        <v>3.0</v>
      </c>
      <c r="BJ1311" s="98" t="s">
        <v>155</v>
      </c>
      <c r="BK1311" s="99">
        <f t="shared" si="11"/>
        <v>0</v>
      </c>
      <c r="BL1311" s="99">
        <f t="shared" si="12"/>
        <v>0</v>
      </c>
      <c r="BM1311" s="99" t="str">
        <f>IFERROR(__xludf.DUMMYFUNCTION("IFERROR(VLOOKUP(BG1311,IMPORTRANGE(""https://docs.google.com/spreadsheets/d/1juPI-Fb8LD0YtltB2mlGEnp_R3UVu1t3wSFPzgCyHXE/edit?gid=0#gid=0"",""GERAL!A2:C""),3,0),""-"")"),"CAMPO")</f>
        <v>CAMPO</v>
      </c>
    </row>
    <row r="1312" ht="15.75" customHeight="1">
      <c r="A1312" s="111" t="s">
        <v>1573</v>
      </c>
      <c r="B1312" s="83" t="s">
        <v>7353</v>
      </c>
      <c r="C1312" s="83" t="s">
        <v>164</v>
      </c>
      <c r="D1312" s="112">
        <v>1131860.0</v>
      </c>
      <c r="E1312" s="83">
        <v>1178423.0</v>
      </c>
      <c r="F1312" s="98">
        <v>2.9493188E7</v>
      </c>
      <c r="G1312" s="119" t="s">
        <v>7390</v>
      </c>
      <c r="H1312" s="91" t="s">
        <v>7391</v>
      </c>
      <c r="I1312" s="172" t="s">
        <v>7392</v>
      </c>
      <c r="J1312" s="83" t="s">
        <v>868</v>
      </c>
      <c r="K1312" s="83" t="s">
        <v>168</v>
      </c>
      <c r="L1312" s="83" t="s">
        <v>169</v>
      </c>
      <c r="M1312" s="82" t="str">
        <f>IFERROR(__xludf.DUMMYFUNCTION("IFERROR(VLOOKUP(D1312,
IMPORTRANGE(""https://docs.google.com/spreadsheets/d/1MjHtlUikwobi2MaWJgy7tfLeBmhj1u-dRFRs_8GwSoA/edit#gid=0"",""Gestores Escolares!D7:J""),3,0),""VERIFICAR CÓD SEC"")")," RAMON DE SA AMARAL")</f>
        <v> RAMON DE SA AMARAL</v>
      </c>
      <c r="N1312" s="82" t="str">
        <f>IFERROR(__xludf.DUMMYFUNCTION("IFERROR(VLOOKUP(D1312,
IMPORTRANGE(""https://docs.google.com/spreadsheets/d/1MjHtlUikwobi2MaWJgy7tfLeBmhj1u-dRFRs_8GwSoA/edit#gid=0"",""Gestores Escolares!D7:J""),4,0),""VERIFICAR CÓD SEC"")")," (77) 9 9191-3280")</f>
        <v> (77) 9 9191-3280</v>
      </c>
      <c r="O1312" s="82" t="str">
        <f>IFERROR(__xludf.DUMMYFUNCTION("IFERROR(VLOOKUP(D1312,
IMPORTRANGE(""https://docs.google.com/spreadsheets/d/1MjHtlUikwobi2MaWJgy7tfLeBmhj1u-dRFRs_8GwSoA/edit#gid=0"",""Gestores Escolares!D7:J""),6,0),""VERIFICAR CÓD SEC"")"),"DUCILENE DE OLIVEIRA SOUZA PEREIRA")</f>
        <v>DUCILENE DE OLIVEIRA SOUZA PEREIRA</v>
      </c>
      <c r="P1312" s="82" t="str">
        <f>IFERROR(__xludf.DUMMYFUNCTION("IFERROR(VLOOKUP(D1312,
IMPORTRANGE(""https://docs.google.com/spreadsheets/d/1MjHtlUikwobi2MaWJgy7tfLeBmhj1u-dRFRs_8GwSoA/edit#gid=0"",""Gestores Escolares!D7:J""),7,0),""VERIFICAR CÓD SEC"")"),"(77) 9 9995-7244")</f>
        <v>(77) 9 9995-7244</v>
      </c>
      <c r="Q1312" s="82" t="str">
        <f>IFERROR(__xludf.DUMMYFUNCTION("IFERROR(VLOOKUP(D1312,
IMPORTRANGE(""https://docs.google.com/spreadsheets/d/1MjHtlUikwobi2MaWJgy7tfLeBmhj1u-dRFRs_8GwSoA/edit#gid=0"",""Gestores Escolares!D7:m""),9,0),""VERIFICAR CÓD SEC"")"),"JULIANA LELES COSTA")</f>
        <v>JULIANA LELES COSTA</v>
      </c>
      <c r="R1312" s="82" t="str">
        <f>IFERROR(__xludf.DUMMYFUNCTION("IFERROR(VLOOKUP(D1312,
IMPORTRANGE(""https://docs.google.com/spreadsheets/d/1MjHtlUikwobi2MaWJgy7tfLeBmhj1u-dRFRs_8GwSoA/edit#gid=0"",""Gestores Escolares!D7:m""),10,0),""VERIFICAR CÓD SEC"")"),"(77) 9 9867-1838")</f>
        <v>(77) 9 9867-1838</v>
      </c>
      <c r="S1312" s="82"/>
      <c r="T1312" s="138">
        <v>5.0</v>
      </c>
      <c r="U1312" s="139">
        <v>4.0</v>
      </c>
      <c r="V1312" s="106">
        <v>0.0</v>
      </c>
      <c r="W1312" s="107">
        <v>0.0</v>
      </c>
      <c r="X1312" s="107">
        <v>0.0</v>
      </c>
      <c r="Y1312" s="107">
        <v>0.0</v>
      </c>
      <c r="Z1312" s="80">
        <f t="shared" si="1"/>
        <v>0</v>
      </c>
      <c r="AA1312" s="106">
        <v>0.0</v>
      </c>
      <c r="AB1312" s="107">
        <v>0.0</v>
      </c>
      <c r="AC1312" s="107">
        <v>0.0</v>
      </c>
      <c r="AD1312" s="107">
        <v>0.0</v>
      </c>
      <c r="AE1312" s="80">
        <f t="shared" si="2"/>
        <v>0</v>
      </c>
      <c r="AF1312" s="140">
        <v>0.0</v>
      </c>
      <c r="AG1312" s="109">
        <v>98.0</v>
      </c>
      <c r="AH1312" s="109">
        <v>0.0</v>
      </c>
      <c r="AI1312" s="141">
        <v>0.0</v>
      </c>
      <c r="AJ1312" s="80">
        <f t="shared" si="3"/>
        <v>98</v>
      </c>
      <c r="AK1312" s="140">
        <v>0.0</v>
      </c>
      <c r="AL1312" s="109">
        <v>0.0</v>
      </c>
      <c r="AM1312" s="141">
        <v>0.0</v>
      </c>
      <c r="AN1312" s="80">
        <f t="shared" si="4"/>
        <v>0</v>
      </c>
      <c r="AO1312" s="140">
        <v>0.0</v>
      </c>
      <c r="AP1312" s="109">
        <v>0.0</v>
      </c>
      <c r="AQ1312" s="109">
        <v>0.0</v>
      </c>
      <c r="AR1312" s="80">
        <f t="shared" si="5"/>
        <v>0</v>
      </c>
      <c r="AS1312" s="110">
        <v>0.0</v>
      </c>
      <c r="AT1312" s="110">
        <v>0.0</v>
      </c>
      <c r="AU1312" s="110">
        <v>0.0</v>
      </c>
      <c r="AV1312" s="142">
        <v>0.0</v>
      </c>
      <c r="AW1312" s="80">
        <f t="shared" si="6"/>
        <v>0</v>
      </c>
      <c r="AX1312" s="113">
        <f t="shared" si="7"/>
        <v>98</v>
      </c>
      <c r="AY1312" s="117">
        <f t="shared" si="8"/>
        <v>98</v>
      </c>
      <c r="AZ1312" s="120">
        <f t="shared" si="9"/>
        <v>0</v>
      </c>
      <c r="BA1312" s="115">
        <v>0.0</v>
      </c>
      <c r="BB1312" s="89">
        <f t="shared" si="10"/>
        <v>98</v>
      </c>
      <c r="BC1312" s="132" t="s">
        <v>373</v>
      </c>
      <c r="BD1312" s="132" t="s">
        <v>178</v>
      </c>
      <c r="BE1312" s="132" t="s">
        <v>178</v>
      </c>
      <c r="BF1312" s="123"/>
      <c r="BG1312" s="83">
        <v>1178423.0</v>
      </c>
      <c r="BH1312" s="112"/>
      <c r="BI1312" s="112">
        <v>4.0</v>
      </c>
      <c r="BJ1312" s="98" t="s">
        <v>155</v>
      </c>
      <c r="BK1312" s="99">
        <f t="shared" si="11"/>
        <v>0</v>
      </c>
      <c r="BL1312" s="99">
        <f t="shared" si="12"/>
        <v>98</v>
      </c>
      <c r="BM1312" s="99" t="str">
        <f>IFERROR(__xludf.DUMMYFUNCTION("IFERROR(VLOOKUP(BG1312,IMPORTRANGE(""https://docs.google.com/spreadsheets/d/1juPI-Fb8LD0YtltB2mlGEnp_R3UVu1t3wSFPzgCyHXE/edit?gid=0#gid=0"",""GERAL!A2:C""),3,0),""-"")"),"CAMPO")</f>
        <v>CAMPO</v>
      </c>
    </row>
    <row r="1313" ht="15.75" customHeight="1">
      <c r="A1313" s="111" t="s">
        <v>1573</v>
      </c>
      <c r="B1313" s="83" t="s">
        <v>7353</v>
      </c>
      <c r="C1313" s="83" t="s">
        <v>164</v>
      </c>
      <c r="D1313" s="112">
        <v>1131860.0</v>
      </c>
      <c r="E1313" s="146">
        <v>1178927.0</v>
      </c>
      <c r="F1313" s="98">
        <v>2.9493161E7</v>
      </c>
      <c r="G1313" s="119" t="s">
        <v>7393</v>
      </c>
      <c r="H1313" s="91"/>
      <c r="I1313" s="172" t="s">
        <v>7394</v>
      </c>
      <c r="J1313" s="83" t="s">
        <v>187</v>
      </c>
      <c r="K1313" s="83" t="s">
        <v>168</v>
      </c>
      <c r="L1313" s="83" t="s">
        <v>169</v>
      </c>
      <c r="M1313" s="82" t="str">
        <f>IFERROR(__xludf.DUMMYFUNCTION("IFERROR(VLOOKUP(D1313,
IMPORTRANGE(""https://docs.google.com/spreadsheets/d/1MjHtlUikwobi2MaWJgy7tfLeBmhj1u-dRFRs_8GwSoA/edit#gid=0"",""Gestores Escolares!D7:J""),3,0),""VERIFICAR CÓD SEC"")")," RAMON DE SA AMARAL")</f>
        <v> RAMON DE SA AMARAL</v>
      </c>
      <c r="N1313" s="82" t="str">
        <f>IFERROR(__xludf.DUMMYFUNCTION("IFERROR(VLOOKUP(D1313,
IMPORTRANGE(""https://docs.google.com/spreadsheets/d/1MjHtlUikwobi2MaWJgy7tfLeBmhj1u-dRFRs_8GwSoA/edit#gid=0"",""Gestores Escolares!D7:J""),4,0),""VERIFICAR CÓD SEC"")")," (77) 9 9191-3280")</f>
        <v> (77) 9 9191-3280</v>
      </c>
      <c r="O1313" s="82" t="str">
        <f>IFERROR(__xludf.DUMMYFUNCTION("IFERROR(VLOOKUP(D1313,
IMPORTRANGE(""https://docs.google.com/spreadsheets/d/1MjHtlUikwobi2MaWJgy7tfLeBmhj1u-dRFRs_8GwSoA/edit#gid=0"",""Gestores Escolares!D7:J""),6,0),""VERIFICAR CÓD SEC"")"),"DUCILENE DE OLIVEIRA SOUZA PEREIRA")</f>
        <v>DUCILENE DE OLIVEIRA SOUZA PEREIRA</v>
      </c>
      <c r="P1313" s="82" t="str">
        <f>IFERROR(__xludf.DUMMYFUNCTION("IFERROR(VLOOKUP(D1313,
IMPORTRANGE(""https://docs.google.com/spreadsheets/d/1MjHtlUikwobi2MaWJgy7tfLeBmhj1u-dRFRs_8GwSoA/edit#gid=0"",""Gestores Escolares!D7:J""),7,0),""VERIFICAR CÓD SEC"")"),"(77) 9 9995-7244")</f>
        <v>(77) 9 9995-7244</v>
      </c>
      <c r="Q1313" s="82" t="str">
        <f>IFERROR(__xludf.DUMMYFUNCTION("IFERROR(VLOOKUP(D1313,
IMPORTRANGE(""https://docs.google.com/spreadsheets/d/1MjHtlUikwobi2MaWJgy7tfLeBmhj1u-dRFRs_8GwSoA/edit#gid=0"",""Gestores Escolares!D7:m""),9,0),""VERIFICAR CÓD SEC"")"),"JULIANA LELES COSTA")</f>
        <v>JULIANA LELES COSTA</v>
      </c>
      <c r="R1313" s="82" t="str">
        <f>IFERROR(__xludf.DUMMYFUNCTION("IFERROR(VLOOKUP(D1313,
IMPORTRANGE(""https://docs.google.com/spreadsheets/d/1MjHtlUikwobi2MaWJgy7tfLeBmhj1u-dRFRs_8GwSoA/edit#gid=0"",""Gestores Escolares!D7:m""),10,0),""VERIFICAR CÓD SEC"")"),"(77) 9 9867-1838")</f>
        <v>(77) 9 9867-1838</v>
      </c>
      <c r="S1313" s="82"/>
      <c r="T1313" s="138">
        <v>5.0</v>
      </c>
      <c r="U1313" s="139">
        <v>3.0</v>
      </c>
      <c r="V1313" s="106">
        <v>0.0</v>
      </c>
      <c r="W1313" s="107">
        <v>0.0</v>
      </c>
      <c r="X1313" s="107">
        <v>0.0</v>
      </c>
      <c r="Y1313" s="107">
        <v>0.0</v>
      </c>
      <c r="Z1313" s="80">
        <f t="shared" si="1"/>
        <v>0</v>
      </c>
      <c r="AA1313" s="106">
        <v>0.0</v>
      </c>
      <c r="AB1313" s="107">
        <v>0.0</v>
      </c>
      <c r="AC1313" s="107">
        <v>0.0</v>
      </c>
      <c r="AD1313" s="107">
        <v>0.0</v>
      </c>
      <c r="AE1313" s="80">
        <f t="shared" si="2"/>
        <v>0</v>
      </c>
      <c r="AF1313" s="140">
        <v>0.0</v>
      </c>
      <c r="AG1313" s="109">
        <v>0.0</v>
      </c>
      <c r="AH1313" s="109">
        <v>0.0</v>
      </c>
      <c r="AI1313" s="141">
        <v>0.0</v>
      </c>
      <c r="AJ1313" s="80">
        <f t="shared" si="3"/>
        <v>0</v>
      </c>
      <c r="AK1313" s="140">
        <v>0.0</v>
      </c>
      <c r="AL1313" s="109">
        <v>0.0</v>
      </c>
      <c r="AM1313" s="141">
        <v>0.0</v>
      </c>
      <c r="AN1313" s="80">
        <f t="shared" si="4"/>
        <v>0</v>
      </c>
      <c r="AO1313" s="140">
        <v>0.0</v>
      </c>
      <c r="AP1313" s="109">
        <v>0.0</v>
      </c>
      <c r="AQ1313" s="109">
        <v>41.0</v>
      </c>
      <c r="AR1313" s="80">
        <f t="shared" si="5"/>
        <v>41</v>
      </c>
      <c r="AS1313" s="110">
        <v>0.0</v>
      </c>
      <c r="AT1313" s="110">
        <v>0.0</v>
      </c>
      <c r="AU1313" s="110">
        <v>0.0</v>
      </c>
      <c r="AV1313" s="142">
        <v>0.0</v>
      </c>
      <c r="AW1313" s="80">
        <f t="shared" si="6"/>
        <v>0</v>
      </c>
      <c r="AX1313" s="113">
        <f t="shared" si="7"/>
        <v>41</v>
      </c>
      <c r="AY1313" s="117">
        <f t="shared" si="8"/>
        <v>0</v>
      </c>
      <c r="AZ1313" s="120">
        <f t="shared" si="9"/>
        <v>41</v>
      </c>
      <c r="BA1313" s="115">
        <v>0.0</v>
      </c>
      <c r="BB1313" s="89">
        <f t="shared" si="10"/>
        <v>41</v>
      </c>
      <c r="BC1313" s="132" t="s">
        <v>373</v>
      </c>
      <c r="BD1313" s="132" t="s">
        <v>178</v>
      </c>
      <c r="BE1313" s="132" t="s">
        <v>178</v>
      </c>
      <c r="BF1313" s="156"/>
      <c r="BG1313" s="83">
        <v>1178927.0</v>
      </c>
      <c r="BH1313" s="112"/>
      <c r="BI1313" s="112">
        <v>3.0</v>
      </c>
      <c r="BJ1313" s="98" t="s">
        <v>155</v>
      </c>
      <c r="BK1313" s="99">
        <f t="shared" si="11"/>
        <v>0</v>
      </c>
      <c r="BL1313" s="99">
        <f t="shared" si="12"/>
        <v>0</v>
      </c>
      <c r="BM1313" s="99" t="str">
        <f>IFERROR(__xludf.DUMMYFUNCTION("IFERROR(VLOOKUP(BG1313,IMPORTRANGE(""https://docs.google.com/spreadsheets/d/1juPI-Fb8LD0YtltB2mlGEnp_R3UVu1t3wSFPzgCyHXE/edit?gid=0#gid=0"",""GERAL!A2:C""),3,0),""-"")"),"CAMPO")</f>
        <v>CAMPO</v>
      </c>
    </row>
    <row r="1314" ht="15.75" customHeight="1">
      <c r="A1314" s="111" t="s">
        <v>1573</v>
      </c>
      <c r="B1314" s="83" t="s">
        <v>7353</v>
      </c>
      <c r="C1314" s="83" t="s">
        <v>164</v>
      </c>
      <c r="D1314" s="112">
        <v>1131860.0</v>
      </c>
      <c r="E1314" s="83">
        <v>1178925.0</v>
      </c>
      <c r="F1314" s="98">
        <v>2.9493153E7</v>
      </c>
      <c r="G1314" s="119" t="s">
        <v>7395</v>
      </c>
      <c r="H1314" s="91" t="s">
        <v>7396</v>
      </c>
      <c r="I1314" s="172" t="s">
        <v>7397</v>
      </c>
      <c r="J1314" s="83" t="s">
        <v>464</v>
      </c>
      <c r="K1314" s="83" t="s">
        <v>168</v>
      </c>
      <c r="L1314" s="83" t="s">
        <v>169</v>
      </c>
      <c r="M1314" s="82" t="str">
        <f>IFERROR(__xludf.DUMMYFUNCTION("IFERROR(VLOOKUP(D1314,
IMPORTRANGE(""https://docs.google.com/spreadsheets/d/1MjHtlUikwobi2MaWJgy7tfLeBmhj1u-dRFRs_8GwSoA/edit#gid=0"",""Gestores Escolares!D7:J""),3,0),""VERIFICAR CÓD SEC"")")," RAMON DE SA AMARAL")</f>
        <v> RAMON DE SA AMARAL</v>
      </c>
      <c r="N1314" s="82" t="str">
        <f>IFERROR(__xludf.DUMMYFUNCTION("IFERROR(VLOOKUP(D1314,
IMPORTRANGE(""https://docs.google.com/spreadsheets/d/1MjHtlUikwobi2MaWJgy7tfLeBmhj1u-dRFRs_8GwSoA/edit#gid=0"",""Gestores Escolares!D7:J""),4,0),""VERIFICAR CÓD SEC"")")," (77) 9 9191-3280")</f>
        <v> (77) 9 9191-3280</v>
      </c>
      <c r="O1314" s="82" t="str">
        <f>IFERROR(__xludf.DUMMYFUNCTION("IFERROR(VLOOKUP(D1314,
IMPORTRANGE(""https://docs.google.com/spreadsheets/d/1MjHtlUikwobi2MaWJgy7tfLeBmhj1u-dRFRs_8GwSoA/edit#gid=0"",""Gestores Escolares!D7:J""),6,0),""VERIFICAR CÓD SEC"")"),"DUCILENE DE OLIVEIRA SOUZA PEREIRA")</f>
        <v>DUCILENE DE OLIVEIRA SOUZA PEREIRA</v>
      </c>
      <c r="P1314" s="82" t="str">
        <f>IFERROR(__xludf.DUMMYFUNCTION("IFERROR(VLOOKUP(D1314,
IMPORTRANGE(""https://docs.google.com/spreadsheets/d/1MjHtlUikwobi2MaWJgy7tfLeBmhj1u-dRFRs_8GwSoA/edit#gid=0"",""Gestores Escolares!D7:J""),7,0),""VERIFICAR CÓD SEC"")"),"(77) 9 9995-7244")</f>
        <v>(77) 9 9995-7244</v>
      </c>
      <c r="Q1314" s="82" t="str">
        <f>IFERROR(__xludf.DUMMYFUNCTION("IFERROR(VLOOKUP(D1314,
IMPORTRANGE(""https://docs.google.com/spreadsheets/d/1MjHtlUikwobi2MaWJgy7tfLeBmhj1u-dRFRs_8GwSoA/edit#gid=0"",""Gestores Escolares!D7:m""),9,0),""VERIFICAR CÓD SEC"")"),"JULIANA LELES COSTA")</f>
        <v>JULIANA LELES COSTA</v>
      </c>
      <c r="R1314" s="82" t="str">
        <f>IFERROR(__xludf.DUMMYFUNCTION("IFERROR(VLOOKUP(D1314,
IMPORTRANGE(""https://docs.google.com/spreadsheets/d/1MjHtlUikwobi2MaWJgy7tfLeBmhj1u-dRFRs_8GwSoA/edit#gid=0"",""Gestores Escolares!D7:m""),10,0),""VERIFICAR CÓD SEC"")"),"(77) 9 9867-1838")</f>
        <v>(77) 9 9867-1838</v>
      </c>
      <c r="S1314" s="82"/>
      <c r="T1314" s="138">
        <v>3.0</v>
      </c>
      <c r="U1314" s="139">
        <v>3.0</v>
      </c>
      <c r="V1314" s="106">
        <v>0.0</v>
      </c>
      <c r="W1314" s="107">
        <v>0.0</v>
      </c>
      <c r="X1314" s="107">
        <v>0.0</v>
      </c>
      <c r="Y1314" s="107">
        <v>0.0</v>
      </c>
      <c r="Z1314" s="80">
        <f t="shared" si="1"/>
        <v>0</v>
      </c>
      <c r="AA1314" s="106">
        <v>0.0</v>
      </c>
      <c r="AB1314" s="107">
        <v>0.0</v>
      </c>
      <c r="AC1314" s="107">
        <v>0.0</v>
      </c>
      <c r="AD1314" s="107">
        <v>0.0</v>
      </c>
      <c r="AE1314" s="80">
        <f t="shared" si="2"/>
        <v>0</v>
      </c>
      <c r="AF1314" s="140">
        <v>0.0</v>
      </c>
      <c r="AG1314" s="109">
        <v>0.0</v>
      </c>
      <c r="AH1314" s="109">
        <v>67.0</v>
      </c>
      <c r="AI1314" s="141">
        <v>0.0</v>
      </c>
      <c r="AJ1314" s="80">
        <f t="shared" si="3"/>
        <v>67</v>
      </c>
      <c r="AK1314" s="140">
        <v>0.0</v>
      </c>
      <c r="AL1314" s="109">
        <v>0.0</v>
      </c>
      <c r="AM1314" s="141">
        <v>0.0</v>
      </c>
      <c r="AN1314" s="80">
        <f t="shared" si="4"/>
        <v>0</v>
      </c>
      <c r="AO1314" s="140">
        <v>0.0</v>
      </c>
      <c r="AP1314" s="109">
        <v>0.0</v>
      </c>
      <c r="AQ1314" s="109">
        <v>0.0</v>
      </c>
      <c r="AR1314" s="80">
        <f t="shared" si="5"/>
        <v>0</v>
      </c>
      <c r="AS1314" s="110">
        <v>0.0</v>
      </c>
      <c r="AT1314" s="110">
        <v>0.0</v>
      </c>
      <c r="AU1314" s="110">
        <v>0.0</v>
      </c>
      <c r="AV1314" s="142">
        <v>0.0</v>
      </c>
      <c r="AW1314" s="80">
        <f t="shared" si="6"/>
        <v>0</v>
      </c>
      <c r="AX1314" s="113">
        <f t="shared" si="7"/>
        <v>67</v>
      </c>
      <c r="AY1314" s="117">
        <f t="shared" si="8"/>
        <v>0</v>
      </c>
      <c r="AZ1314" s="120">
        <f t="shared" si="9"/>
        <v>67</v>
      </c>
      <c r="BA1314" s="115">
        <v>0.0</v>
      </c>
      <c r="BB1314" s="89">
        <f t="shared" si="10"/>
        <v>67</v>
      </c>
      <c r="BC1314" s="132" t="s">
        <v>373</v>
      </c>
      <c r="BD1314" s="132" t="s">
        <v>178</v>
      </c>
      <c r="BE1314" s="132" t="s">
        <v>178</v>
      </c>
      <c r="BF1314" s="156"/>
      <c r="BG1314" s="83">
        <v>1178925.0</v>
      </c>
      <c r="BH1314" s="112"/>
      <c r="BI1314" s="112">
        <v>3.0</v>
      </c>
      <c r="BJ1314" s="98" t="s">
        <v>155</v>
      </c>
      <c r="BK1314" s="99">
        <f t="shared" si="11"/>
        <v>0</v>
      </c>
      <c r="BL1314" s="99">
        <f t="shared" si="12"/>
        <v>0</v>
      </c>
      <c r="BM1314" s="99" t="str">
        <f>IFERROR(__xludf.DUMMYFUNCTION("IFERROR(VLOOKUP(BG1314,IMPORTRANGE(""https://docs.google.com/spreadsheets/d/1juPI-Fb8LD0YtltB2mlGEnp_R3UVu1t3wSFPzgCyHXE/edit?gid=0#gid=0"",""GERAL!A2:C""),3,0),""-"")"),"CAMPO")</f>
        <v>CAMPO</v>
      </c>
    </row>
    <row r="1315" ht="15.75" customHeight="1">
      <c r="A1315" s="111" t="s">
        <v>1573</v>
      </c>
      <c r="B1315" s="83" t="s">
        <v>6946</v>
      </c>
      <c r="C1315" s="83" t="s">
        <v>45</v>
      </c>
      <c r="D1315" s="112">
        <v>1178386.0</v>
      </c>
      <c r="E1315" s="83"/>
      <c r="F1315" s="83">
        <v>2.9527201E7</v>
      </c>
      <c r="G1315" s="114" t="s">
        <v>7398</v>
      </c>
      <c r="H1315" s="91" t="s">
        <v>7399</v>
      </c>
      <c r="I1315" s="83" t="s">
        <v>149</v>
      </c>
      <c r="J1315" s="229" t="s">
        <v>4299</v>
      </c>
      <c r="K1315" s="83" t="s">
        <v>171</v>
      </c>
      <c r="L1315" s="83" t="s">
        <v>169</v>
      </c>
      <c r="M1315" s="82" t="str">
        <f>IFERROR(__xludf.DUMMYFUNCTION("IFERROR(VLOOKUP(D1315,
IMPORTRANGE(""https://docs.google.com/spreadsheets/d/1MjHtlUikwobi2MaWJgy7tfLeBmhj1u-dRFRs_8GwSoA/edit#gid=0"",""Gestores Escolares!D7:J""),3,0),""VERIFICAR CÓD SEC"")"),"MARIA ARLETE DA SILVA CARVALHO")</f>
        <v>MARIA ARLETE DA SILVA CARVALHO</v>
      </c>
      <c r="N1315" s="82" t="str">
        <f>IFERROR(__xludf.DUMMYFUNCTION("IFERROR(VLOOKUP(D1315,
IMPORTRANGE(""https://docs.google.com/spreadsheets/d/1MjHtlUikwobi2MaWJgy7tfLeBmhj1u-dRFRs_8GwSoA/edit#gid=0"",""Gestores Escolares!D7:J""),4,0),""VERIFICAR CÓD SEC"")"),"(77) 9 8108-1595")</f>
        <v>(77) 9 8108-1595</v>
      </c>
      <c r="O1315" s="82" t="str">
        <f>IFERROR(__xludf.DUMMYFUNCTION("IFERROR(VLOOKUP(D1315,
IMPORTRANGE(""https://docs.google.com/spreadsheets/d/1MjHtlUikwobi2MaWJgy7tfLeBmhj1u-dRFRs_8GwSoA/edit#gid=0"",""Gestores Escolares!D7:J""),6,0),""VERIFICAR CÓD SEC"")"),"")</f>
        <v/>
      </c>
      <c r="P1315" s="82" t="str">
        <f>IFERROR(__xludf.DUMMYFUNCTION("IFERROR(VLOOKUP(D1315,
IMPORTRANGE(""https://docs.google.com/spreadsheets/d/1MjHtlUikwobi2MaWJgy7tfLeBmhj1u-dRFRs_8GwSoA/edit#gid=0"",""Gestores Escolares!D7:J""),7,0),""VERIFICAR CÓD SEC"")"),"")</f>
        <v/>
      </c>
      <c r="Q1315" s="82" t="str">
        <f>IFERROR(__xludf.DUMMYFUNCTION("IFERROR(VLOOKUP(D1315,
IMPORTRANGE(""https://docs.google.com/spreadsheets/d/1MjHtlUikwobi2MaWJgy7tfLeBmhj1u-dRFRs_8GwSoA/edit#gid=0"",""Gestores Escolares!D7:m""),9,0),""VERIFICAR CÓD SEC"")"),"")</f>
        <v/>
      </c>
      <c r="R1315" s="82" t="str">
        <f>IFERROR(__xludf.DUMMYFUNCTION("IFERROR(VLOOKUP(D1315,
IMPORTRANGE(""https://docs.google.com/spreadsheets/d/1MjHtlUikwobi2MaWJgy7tfLeBmhj1u-dRFRs_8GwSoA/edit#gid=0"",""Gestores Escolares!D7:m""),10,0),""VERIFICAR CÓD SEC"")"),"")</f>
        <v/>
      </c>
      <c r="S1315" s="82"/>
      <c r="T1315" s="138">
        <v>4.0</v>
      </c>
      <c r="U1315" s="145">
        <v>2.0</v>
      </c>
      <c r="V1315" s="106">
        <v>0.0</v>
      </c>
      <c r="W1315" s="107">
        <v>0.0</v>
      </c>
      <c r="X1315" s="107">
        <v>0.0</v>
      </c>
      <c r="Y1315" s="107">
        <v>0.0</v>
      </c>
      <c r="Z1315" s="80">
        <f t="shared" si="1"/>
        <v>0</v>
      </c>
      <c r="AA1315" s="106">
        <v>0.0</v>
      </c>
      <c r="AB1315" s="107">
        <v>0.0</v>
      </c>
      <c r="AC1315" s="107">
        <v>0.0</v>
      </c>
      <c r="AD1315" s="107">
        <v>0.0</v>
      </c>
      <c r="AE1315" s="80">
        <f t="shared" si="2"/>
        <v>0</v>
      </c>
      <c r="AF1315" s="225">
        <v>0.0</v>
      </c>
      <c r="AG1315" s="226">
        <v>0.0</v>
      </c>
      <c r="AH1315" s="226">
        <v>0.0</v>
      </c>
      <c r="AI1315" s="227">
        <v>160.0</v>
      </c>
      <c r="AJ1315" s="80">
        <f t="shared" si="3"/>
        <v>160</v>
      </c>
      <c r="AK1315" s="140">
        <v>0.0</v>
      </c>
      <c r="AL1315" s="109">
        <v>0.0</v>
      </c>
      <c r="AM1315" s="141">
        <v>0.0</v>
      </c>
      <c r="AN1315" s="80">
        <f t="shared" si="4"/>
        <v>0</v>
      </c>
      <c r="AO1315" s="225">
        <v>0.0</v>
      </c>
      <c r="AP1315" s="226">
        <v>0.0</v>
      </c>
      <c r="AQ1315" s="226">
        <v>0.0</v>
      </c>
      <c r="AR1315" s="80">
        <f t="shared" si="5"/>
        <v>0</v>
      </c>
      <c r="AS1315" s="110">
        <v>0.0</v>
      </c>
      <c r="AT1315" s="110">
        <v>0.0</v>
      </c>
      <c r="AU1315" s="110">
        <v>0.0</v>
      </c>
      <c r="AV1315" s="142">
        <v>0.0</v>
      </c>
      <c r="AW1315" s="80">
        <f t="shared" si="6"/>
        <v>0</v>
      </c>
      <c r="AX1315" s="113">
        <f t="shared" si="7"/>
        <v>160</v>
      </c>
      <c r="AY1315" s="117">
        <f t="shared" si="8"/>
        <v>160</v>
      </c>
      <c r="AZ1315" s="120">
        <f t="shared" si="9"/>
        <v>0</v>
      </c>
      <c r="BA1315" s="115">
        <v>0.0</v>
      </c>
      <c r="BB1315" s="89">
        <f t="shared" si="10"/>
        <v>160</v>
      </c>
      <c r="BC1315" s="132" t="s">
        <v>178</v>
      </c>
      <c r="BD1315" s="132" t="s">
        <v>178</v>
      </c>
      <c r="BE1315" s="132" t="s">
        <v>178</v>
      </c>
      <c r="BF1315" s="123"/>
      <c r="BG1315" s="83">
        <v>1178386.0</v>
      </c>
      <c r="BH1315" s="112"/>
      <c r="BI1315" s="112">
        <v>4.0</v>
      </c>
      <c r="BJ1315" s="98" t="s">
        <v>155</v>
      </c>
      <c r="BK1315" s="99">
        <f t="shared" si="11"/>
        <v>160</v>
      </c>
      <c r="BL1315" s="99">
        <f t="shared" si="12"/>
        <v>0</v>
      </c>
      <c r="BM1315" s="99" t="str">
        <f>IFERROR(__xludf.DUMMYFUNCTION("IFERROR(VLOOKUP(BG1315,IMPORTRANGE(""https://docs.google.com/spreadsheets/d/1juPI-Fb8LD0YtltB2mlGEnp_R3UVu1t3wSFPzgCyHXE/edit?gid=0#gid=0"",""GERAL!A2:C""),3,0),""-"")"),"EFA")</f>
        <v>EFA</v>
      </c>
    </row>
    <row r="1316" ht="15.75" customHeight="1">
      <c r="A1316" s="111" t="s">
        <v>1573</v>
      </c>
      <c r="B1316" s="83" t="s">
        <v>6946</v>
      </c>
      <c r="C1316" s="83" t="s">
        <v>68</v>
      </c>
      <c r="D1316" s="112">
        <v>1132158.0</v>
      </c>
      <c r="E1316" s="83"/>
      <c r="F1316" s="83">
        <v>2.9015413E7</v>
      </c>
      <c r="G1316" s="147" t="s">
        <v>7400</v>
      </c>
      <c r="H1316" s="91" t="s">
        <v>7401</v>
      </c>
      <c r="I1316" s="172" t="s">
        <v>149</v>
      </c>
      <c r="J1316" s="83" t="s">
        <v>150</v>
      </c>
      <c r="K1316" s="83" t="s">
        <v>151</v>
      </c>
      <c r="L1316" s="98" t="s">
        <v>230</v>
      </c>
      <c r="M1316" s="82" t="str">
        <f>IFERROR(__xludf.DUMMYFUNCTION("IFERROR(VLOOKUP(D1316,
IMPORTRANGE(""https://docs.google.com/spreadsheets/d/1MjHtlUikwobi2MaWJgy7tfLeBmhj1u-dRFRs_8GwSoA/edit#gid=0"",""Gestores Escolares!D7:J""),3,0),""VERIFICAR CÓD SEC"")"),"NANCY ROSA PEREIRA")</f>
        <v>NANCY ROSA PEREIRA</v>
      </c>
      <c r="N1316" s="82" t="str">
        <f>IFERROR(__xludf.DUMMYFUNCTION("IFERROR(VLOOKUP(D1316,
IMPORTRANGE(""https://docs.google.com/spreadsheets/d/1MjHtlUikwobi2MaWJgy7tfLeBmhj1u-dRFRs_8GwSoA/edit#gid=0"",""Gestores Escolares!D7:J""),4,0),""VERIFICAR CÓD SEC"")"),"(77) 9 8102-0524")</f>
        <v>(77) 9 8102-0524</v>
      </c>
      <c r="O1316" s="82" t="str">
        <f>IFERROR(__xludf.DUMMYFUNCTION("IFERROR(VLOOKUP(D1316,
IMPORTRANGE(""https://docs.google.com/spreadsheets/d/1MjHtlUikwobi2MaWJgy7tfLeBmhj1u-dRFRs_8GwSoA/edit#gid=0"",""Gestores Escolares!D7:J""),6,0),""VERIFICAR CÓD SEC"")"),"MILENE ARAUJO OLIVEIRA SOUZA ")</f>
        <v>MILENE ARAUJO OLIVEIRA SOUZA </v>
      </c>
      <c r="P1316" s="82" t="str">
        <f>IFERROR(__xludf.DUMMYFUNCTION("IFERROR(VLOOKUP(D1316,
IMPORTRANGE(""https://docs.google.com/spreadsheets/d/1MjHtlUikwobi2MaWJgy7tfLeBmhj1u-dRFRs_8GwSoA/edit#gid=0"",""Gestores Escolares!D7:J""),7,0),""VERIFICAR CÓD SEC"")"),"(77) 9 8103-7458")</f>
        <v>(77) 9 8103-7458</v>
      </c>
      <c r="Q1316" s="82" t="str">
        <f>IFERROR(__xludf.DUMMYFUNCTION("IFERROR(VLOOKUP(D1316,
IMPORTRANGE(""https://docs.google.com/spreadsheets/d/1MjHtlUikwobi2MaWJgy7tfLeBmhj1u-dRFRs_8GwSoA/edit#gid=0"",""Gestores Escolares!D7:m""),9,0),""VERIFICAR CÓD SEC"")"),"MARA SELMA CEDRAZ CARNEIRO VELAME")</f>
        <v>MARA SELMA CEDRAZ CARNEIRO VELAME</v>
      </c>
      <c r="R1316" s="82" t="str">
        <f>IFERROR(__xludf.DUMMYFUNCTION("IFERROR(VLOOKUP(D1316,
IMPORTRANGE(""https://docs.google.com/spreadsheets/d/1MjHtlUikwobi2MaWJgy7tfLeBmhj1u-dRFRs_8GwSoA/edit#gid=0"",""Gestores Escolares!D7:m""),10,0),""VERIFICAR CÓD SEC"")"),"(77) 9 9825-6262")</f>
        <v>(77) 9 9825-6262</v>
      </c>
      <c r="S1316" s="82"/>
      <c r="T1316" s="138">
        <v>24.0</v>
      </c>
      <c r="U1316" s="145" t="s">
        <v>13881</v>
      </c>
      <c r="V1316" s="106">
        <v>0.0</v>
      </c>
      <c r="W1316" s="107">
        <v>0.0</v>
      </c>
      <c r="X1316" s="107">
        <v>0.0</v>
      </c>
      <c r="Y1316" s="107">
        <v>0.0</v>
      </c>
      <c r="Z1316" s="80">
        <f t="shared" si="1"/>
        <v>0</v>
      </c>
      <c r="AA1316" s="106">
        <v>0.0</v>
      </c>
      <c r="AB1316" s="107">
        <v>0.0</v>
      </c>
      <c r="AC1316" s="107">
        <v>0.0</v>
      </c>
      <c r="AD1316" s="107">
        <v>0.0</v>
      </c>
      <c r="AE1316" s="80">
        <f t="shared" si="2"/>
        <v>0</v>
      </c>
      <c r="AF1316" s="140">
        <v>241.0</v>
      </c>
      <c r="AG1316" s="109">
        <v>238.0</v>
      </c>
      <c r="AH1316" s="109">
        <v>0.0</v>
      </c>
      <c r="AI1316" s="141">
        <v>394.0</v>
      </c>
      <c r="AJ1316" s="80">
        <f t="shared" si="3"/>
        <v>873</v>
      </c>
      <c r="AK1316" s="140">
        <v>0.0</v>
      </c>
      <c r="AL1316" s="109">
        <v>0.0</v>
      </c>
      <c r="AM1316" s="141">
        <v>0.0</v>
      </c>
      <c r="AN1316" s="80">
        <f t="shared" si="4"/>
        <v>0</v>
      </c>
      <c r="AO1316" s="140">
        <v>0.0</v>
      </c>
      <c r="AP1316" s="109">
        <v>0.0</v>
      </c>
      <c r="AQ1316" s="109">
        <v>44.0</v>
      </c>
      <c r="AR1316" s="80">
        <f t="shared" si="5"/>
        <v>44</v>
      </c>
      <c r="AS1316" s="110">
        <v>56.0</v>
      </c>
      <c r="AT1316" s="110">
        <v>93.0</v>
      </c>
      <c r="AU1316" s="110">
        <v>0.0</v>
      </c>
      <c r="AV1316" s="142">
        <v>0.0</v>
      </c>
      <c r="AW1316" s="80">
        <f t="shared" si="6"/>
        <v>149</v>
      </c>
      <c r="AX1316" s="113">
        <f t="shared" si="7"/>
        <v>1066</v>
      </c>
      <c r="AY1316" s="117">
        <f t="shared" si="8"/>
        <v>1022</v>
      </c>
      <c r="AZ1316" s="120">
        <f t="shared" si="9"/>
        <v>44</v>
      </c>
      <c r="BA1316" s="115">
        <v>0.0</v>
      </c>
      <c r="BB1316" s="89">
        <f t="shared" si="10"/>
        <v>1066</v>
      </c>
      <c r="BC1316" s="132" t="s">
        <v>178</v>
      </c>
      <c r="BD1316" s="132" t="s">
        <v>178</v>
      </c>
      <c r="BE1316" s="132" t="s">
        <v>178</v>
      </c>
      <c r="BF1316" s="156"/>
      <c r="BG1316" s="83">
        <v>1132158.0</v>
      </c>
      <c r="BH1316" s="112"/>
      <c r="BI1316" s="112">
        <v>20.0</v>
      </c>
      <c r="BJ1316" s="98" t="s">
        <v>162</v>
      </c>
      <c r="BK1316" s="99">
        <f t="shared" si="11"/>
        <v>394</v>
      </c>
      <c r="BL1316" s="99">
        <f t="shared" si="12"/>
        <v>628</v>
      </c>
      <c r="BM1316" s="99" t="str">
        <f>IFERROR(__xludf.DUMMYFUNCTION("IFERROR(VLOOKUP(BG1316,IMPORTRANGE(""https://docs.google.com/spreadsheets/d/1juPI-Fb8LD0YtltB2mlGEnp_R3UVu1t3wSFPzgCyHXE/edit?gid=0#gid=0"",""GERAL!A2:C""),3,0),""-"")"),"-")</f>
        <v>-</v>
      </c>
    </row>
    <row r="1317" ht="15.75" customHeight="1">
      <c r="A1317" s="111" t="s">
        <v>1573</v>
      </c>
      <c r="B1317" s="83" t="s">
        <v>6946</v>
      </c>
      <c r="C1317" s="83" t="s">
        <v>164</v>
      </c>
      <c r="D1317" s="112">
        <v>1132158.0</v>
      </c>
      <c r="E1317" s="83">
        <v>1178928.0</v>
      </c>
      <c r="F1317" s="98">
        <v>2.9491932E7</v>
      </c>
      <c r="G1317" s="119" t="s">
        <v>7404</v>
      </c>
      <c r="H1317" s="91" t="s">
        <v>7405</v>
      </c>
      <c r="I1317" s="172" t="s">
        <v>7406</v>
      </c>
      <c r="J1317" s="83" t="s">
        <v>331</v>
      </c>
      <c r="K1317" s="83" t="s">
        <v>151</v>
      </c>
      <c r="L1317" s="83" t="s">
        <v>169</v>
      </c>
      <c r="M1317" s="82" t="str">
        <f>IFERROR(__xludf.DUMMYFUNCTION("IFERROR(VLOOKUP(D1317,
IMPORTRANGE(""https://docs.google.com/spreadsheets/d/1MjHtlUikwobi2MaWJgy7tfLeBmhj1u-dRFRs_8GwSoA/edit#gid=0"",""Gestores Escolares!D7:J""),3,0),""VERIFICAR CÓD SEC"")"),"NANCY ROSA PEREIRA")</f>
        <v>NANCY ROSA PEREIRA</v>
      </c>
      <c r="N1317" s="82" t="str">
        <f>IFERROR(__xludf.DUMMYFUNCTION("IFERROR(VLOOKUP(D1317,
IMPORTRANGE(""https://docs.google.com/spreadsheets/d/1MjHtlUikwobi2MaWJgy7tfLeBmhj1u-dRFRs_8GwSoA/edit#gid=0"",""Gestores Escolares!D7:J""),4,0),""VERIFICAR CÓD SEC"")"),"(77) 9 8102-0524")</f>
        <v>(77) 9 8102-0524</v>
      </c>
      <c r="O1317" s="82" t="str">
        <f>IFERROR(__xludf.DUMMYFUNCTION("IFERROR(VLOOKUP(D1317,
IMPORTRANGE(""https://docs.google.com/spreadsheets/d/1MjHtlUikwobi2MaWJgy7tfLeBmhj1u-dRFRs_8GwSoA/edit#gid=0"",""Gestores Escolares!D7:J""),6,0),""VERIFICAR CÓD SEC"")"),"MILENE ARAUJO OLIVEIRA SOUZA ")</f>
        <v>MILENE ARAUJO OLIVEIRA SOUZA </v>
      </c>
      <c r="P1317" s="82" t="str">
        <f>IFERROR(__xludf.DUMMYFUNCTION("IFERROR(VLOOKUP(D1317,
IMPORTRANGE(""https://docs.google.com/spreadsheets/d/1MjHtlUikwobi2MaWJgy7tfLeBmhj1u-dRFRs_8GwSoA/edit#gid=0"",""Gestores Escolares!D7:J""),7,0),""VERIFICAR CÓD SEC"")"),"(77) 9 8103-7458")</f>
        <v>(77) 9 8103-7458</v>
      </c>
      <c r="Q1317" s="82" t="str">
        <f>IFERROR(__xludf.DUMMYFUNCTION("IFERROR(VLOOKUP(D1317,
IMPORTRANGE(""https://docs.google.com/spreadsheets/d/1MjHtlUikwobi2MaWJgy7tfLeBmhj1u-dRFRs_8GwSoA/edit#gid=0"",""Gestores Escolares!D7:m""),9,0),""VERIFICAR CÓD SEC"")"),"MARA SELMA CEDRAZ CARNEIRO VELAME")</f>
        <v>MARA SELMA CEDRAZ CARNEIRO VELAME</v>
      </c>
      <c r="R1317" s="82" t="str">
        <f>IFERROR(__xludf.DUMMYFUNCTION("IFERROR(VLOOKUP(D1317,
IMPORTRANGE(""https://docs.google.com/spreadsheets/d/1MjHtlUikwobi2MaWJgy7tfLeBmhj1u-dRFRs_8GwSoA/edit#gid=0"",""Gestores Escolares!D7:m""),10,0),""VERIFICAR CÓD SEC"")"),"(77) 9 9825-6262")</f>
        <v>(77) 9 9825-6262</v>
      </c>
      <c r="S1317" s="82"/>
      <c r="T1317" s="138">
        <v>3.0</v>
      </c>
      <c r="U1317" s="139">
        <v>3.0</v>
      </c>
      <c r="V1317" s="106">
        <v>0.0</v>
      </c>
      <c r="W1317" s="107">
        <v>0.0</v>
      </c>
      <c r="X1317" s="107">
        <v>0.0</v>
      </c>
      <c r="Y1317" s="107">
        <v>0.0</v>
      </c>
      <c r="Z1317" s="80">
        <f t="shared" si="1"/>
        <v>0</v>
      </c>
      <c r="AA1317" s="106">
        <v>0.0</v>
      </c>
      <c r="AB1317" s="107">
        <v>0.0</v>
      </c>
      <c r="AC1317" s="107">
        <v>0.0</v>
      </c>
      <c r="AD1317" s="107">
        <v>0.0</v>
      </c>
      <c r="AE1317" s="80">
        <f t="shared" si="2"/>
        <v>0</v>
      </c>
      <c r="AF1317" s="140">
        <v>10.0</v>
      </c>
      <c r="AG1317" s="109">
        <v>0.0</v>
      </c>
      <c r="AH1317" s="109">
        <v>0.0</v>
      </c>
      <c r="AI1317" s="141">
        <v>0.0</v>
      </c>
      <c r="AJ1317" s="80">
        <f t="shared" si="3"/>
        <v>10</v>
      </c>
      <c r="AK1317" s="140">
        <v>0.0</v>
      </c>
      <c r="AL1317" s="109">
        <v>0.0</v>
      </c>
      <c r="AM1317" s="141">
        <v>0.0</v>
      </c>
      <c r="AN1317" s="80">
        <f t="shared" si="4"/>
        <v>0</v>
      </c>
      <c r="AO1317" s="140">
        <v>0.0</v>
      </c>
      <c r="AP1317" s="109">
        <v>0.0</v>
      </c>
      <c r="AQ1317" s="109">
        <v>20.0</v>
      </c>
      <c r="AR1317" s="80">
        <f t="shared" si="5"/>
        <v>20</v>
      </c>
      <c r="AS1317" s="110">
        <v>0.0</v>
      </c>
      <c r="AT1317" s="110">
        <v>0.0</v>
      </c>
      <c r="AU1317" s="110">
        <v>0.0</v>
      </c>
      <c r="AV1317" s="142">
        <v>0.0</v>
      </c>
      <c r="AW1317" s="80">
        <f t="shared" si="6"/>
        <v>0</v>
      </c>
      <c r="AX1317" s="113">
        <f t="shared" si="7"/>
        <v>30</v>
      </c>
      <c r="AY1317" s="117">
        <f t="shared" si="8"/>
        <v>10</v>
      </c>
      <c r="AZ1317" s="120">
        <f t="shared" si="9"/>
        <v>20</v>
      </c>
      <c r="BA1317" s="115">
        <v>0.0</v>
      </c>
      <c r="BB1317" s="89">
        <f t="shared" si="10"/>
        <v>30</v>
      </c>
      <c r="BC1317" s="132" t="s">
        <v>373</v>
      </c>
      <c r="BD1317" s="132" t="s">
        <v>178</v>
      </c>
      <c r="BE1317" s="132" t="s">
        <v>178</v>
      </c>
      <c r="BF1317" s="156"/>
      <c r="BG1317" s="83">
        <v>1178928.0</v>
      </c>
      <c r="BH1317" s="112"/>
      <c r="BI1317" s="112">
        <v>3.0</v>
      </c>
      <c r="BJ1317" s="98" t="s">
        <v>155</v>
      </c>
      <c r="BK1317" s="99">
        <f t="shared" si="11"/>
        <v>0</v>
      </c>
      <c r="BL1317" s="99">
        <f t="shared" si="12"/>
        <v>10</v>
      </c>
      <c r="BM1317" s="99" t="str">
        <f>IFERROR(__xludf.DUMMYFUNCTION("IFERROR(VLOOKUP(BG1317,IMPORTRANGE(""https://docs.google.com/spreadsheets/d/1juPI-Fb8LD0YtltB2mlGEnp_R3UVu1t3wSFPzgCyHXE/edit?gid=0#gid=0"",""GERAL!A2:C""),3,0),""-"")"),"CAMPO")</f>
        <v>CAMPO</v>
      </c>
    </row>
    <row r="1318" ht="15.75" customHeight="1">
      <c r="A1318" s="111" t="s">
        <v>1573</v>
      </c>
      <c r="B1318" s="83" t="s">
        <v>7414</v>
      </c>
      <c r="C1318" s="83" t="s">
        <v>68</v>
      </c>
      <c r="D1318" s="112">
        <v>1167741.0</v>
      </c>
      <c r="E1318" s="83"/>
      <c r="F1318" s="83">
        <v>2.9016339E7</v>
      </c>
      <c r="G1318" s="147" t="s">
        <v>7415</v>
      </c>
      <c r="H1318" s="91" t="s">
        <v>7416</v>
      </c>
      <c r="I1318" s="172" t="s">
        <v>149</v>
      </c>
      <c r="J1318" s="83" t="s">
        <v>150</v>
      </c>
      <c r="K1318" s="83" t="s">
        <v>151</v>
      </c>
      <c r="L1318" s="98" t="s">
        <v>230</v>
      </c>
      <c r="M1318" s="82" t="str">
        <f>IFERROR(__xludf.DUMMYFUNCTION("IFERROR(VLOOKUP(D1318,
IMPORTRANGE(""https://docs.google.com/spreadsheets/d/1MjHtlUikwobi2MaWJgy7tfLeBmhj1u-dRFRs_8GwSoA/edit#gid=0"",""Gestores Escolares!D7:J""),3,0),""VERIFICAR CÓD SEC"")"),"NOEL ANTONIO DE SOUZA")</f>
        <v>NOEL ANTONIO DE SOUZA</v>
      </c>
      <c r="N1318" s="82" t="str">
        <f>IFERROR(__xludf.DUMMYFUNCTION("IFERROR(VLOOKUP(D1318,
IMPORTRANGE(""https://docs.google.com/spreadsheets/d/1MjHtlUikwobi2MaWJgy7tfLeBmhj1u-dRFRs_8GwSoA/edit#gid=0"",""Gestores Escolares!D7:J""),4,0),""VERIFICAR CÓD SEC"")"),"(77) 9 9129-0657")</f>
        <v>(77) 9 9129-0657</v>
      </c>
      <c r="O1318" s="82" t="str">
        <f>IFERROR(__xludf.DUMMYFUNCTION("IFERROR(VLOOKUP(D1318,
IMPORTRANGE(""https://docs.google.com/spreadsheets/d/1MjHtlUikwobi2MaWJgy7tfLeBmhj1u-dRFRs_8GwSoA/edit#gid=0"",""Gestores Escolares!D7:J""),6,0),""VERIFICAR CÓD SEC"")"),"JOELIA DE MOURA FOGACA BELLO")</f>
        <v>JOELIA DE MOURA FOGACA BELLO</v>
      </c>
      <c r="P1318" s="82" t="str">
        <f>IFERROR(__xludf.DUMMYFUNCTION("IFERROR(VLOOKUP(D1318,
IMPORTRANGE(""https://docs.google.com/spreadsheets/d/1MjHtlUikwobi2MaWJgy7tfLeBmhj1u-dRFRs_8GwSoA/edit#gid=0"",""Gestores Escolares!D7:J""),7,0),""VERIFICAR CÓD SEC"")"),"(77) 9 9194-8077")</f>
        <v>(77) 9 9194-8077</v>
      </c>
      <c r="Q1318" s="82" t="str">
        <f>IFERROR(__xludf.DUMMYFUNCTION("IFERROR(VLOOKUP(D1318,
IMPORTRANGE(""https://docs.google.com/spreadsheets/d/1MjHtlUikwobi2MaWJgy7tfLeBmhj1u-dRFRs_8GwSoA/edit#gid=0"",""Gestores Escolares!D7:m""),9,0),""VERIFICAR CÓD SEC"")"),"RAFAEL NEVES MARQUES")</f>
        <v>RAFAEL NEVES MARQUES</v>
      </c>
      <c r="R1318" s="82" t="str">
        <f>IFERROR(__xludf.DUMMYFUNCTION("IFERROR(VLOOKUP(D1318,
IMPORTRANGE(""https://docs.google.com/spreadsheets/d/1MjHtlUikwobi2MaWJgy7tfLeBmhj1u-dRFRs_8GwSoA/edit#gid=0"",""Gestores Escolares!D7:m""),10,0),""VERIFICAR CÓD SEC"")"),"(77) 9 8144-6083")</f>
        <v>(77) 9 8144-6083</v>
      </c>
      <c r="S1318" s="82"/>
      <c r="T1318" s="138">
        <v>8.0</v>
      </c>
      <c r="U1318" s="145" t="s">
        <v>13882</v>
      </c>
      <c r="V1318" s="106">
        <v>0.0</v>
      </c>
      <c r="W1318" s="107">
        <v>0.0</v>
      </c>
      <c r="X1318" s="107">
        <v>0.0</v>
      </c>
      <c r="Y1318" s="107">
        <v>0.0</v>
      </c>
      <c r="Z1318" s="80">
        <f t="shared" si="1"/>
        <v>0</v>
      </c>
      <c r="AA1318" s="106">
        <v>0.0</v>
      </c>
      <c r="AB1318" s="107">
        <v>0.0</v>
      </c>
      <c r="AC1318" s="107">
        <v>0.0</v>
      </c>
      <c r="AD1318" s="107">
        <v>0.0</v>
      </c>
      <c r="AE1318" s="80">
        <f t="shared" si="2"/>
        <v>0</v>
      </c>
      <c r="AF1318" s="140">
        <v>114.0</v>
      </c>
      <c r="AG1318" s="109">
        <v>122.0</v>
      </c>
      <c r="AH1318" s="109">
        <v>0.0</v>
      </c>
      <c r="AI1318" s="141">
        <v>50.0</v>
      </c>
      <c r="AJ1318" s="80">
        <f t="shared" si="3"/>
        <v>286</v>
      </c>
      <c r="AK1318" s="140">
        <v>0.0</v>
      </c>
      <c r="AL1318" s="109">
        <v>0.0</v>
      </c>
      <c r="AM1318" s="141">
        <v>0.0</v>
      </c>
      <c r="AN1318" s="80">
        <f t="shared" si="4"/>
        <v>0</v>
      </c>
      <c r="AO1318" s="140">
        <v>0.0</v>
      </c>
      <c r="AP1318" s="109">
        <v>0.0</v>
      </c>
      <c r="AQ1318" s="109">
        <v>37.0</v>
      </c>
      <c r="AR1318" s="80">
        <f t="shared" si="5"/>
        <v>37</v>
      </c>
      <c r="AS1318" s="110">
        <v>77.0</v>
      </c>
      <c r="AT1318" s="110">
        <v>47.0</v>
      </c>
      <c r="AU1318" s="110">
        <v>20.0</v>
      </c>
      <c r="AV1318" s="142">
        <v>107.0</v>
      </c>
      <c r="AW1318" s="80">
        <f t="shared" si="6"/>
        <v>251</v>
      </c>
      <c r="AX1318" s="113">
        <f t="shared" si="7"/>
        <v>574</v>
      </c>
      <c r="AY1318" s="117">
        <f t="shared" si="8"/>
        <v>517</v>
      </c>
      <c r="AZ1318" s="120">
        <f t="shared" si="9"/>
        <v>57</v>
      </c>
      <c r="BA1318" s="115">
        <v>0.0</v>
      </c>
      <c r="BB1318" s="89">
        <f t="shared" si="10"/>
        <v>574</v>
      </c>
      <c r="BC1318" s="132" t="s">
        <v>178</v>
      </c>
      <c r="BD1318" s="132" t="s">
        <v>178</v>
      </c>
      <c r="BE1318" s="132" t="s">
        <v>178</v>
      </c>
      <c r="BF1318" s="156"/>
      <c r="BG1318" s="83">
        <v>1167741.0</v>
      </c>
      <c r="BH1318" s="112"/>
      <c r="BI1318" s="112">
        <v>6.0</v>
      </c>
      <c r="BJ1318" s="98" t="s">
        <v>155</v>
      </c>
      <c r="BK1318" s="99">
        <f t="shared" si="11"/>
        <v>157</v>
      </c>
      <c r="BL1318" s="99">
        <f t="shared" si="12"/>
        <v>360</v>
      </c>
      <c r="BM1318" s="99" t="str">
        <f>IFERROR(__xludf.DUMMYFUNCTION("IFERROR(VLOOKUP(BG1318,IMPORTRANGE(""https://docs.google.com/spreadsheets/d/1juPI-Fb8LD0YtltB2mlGEnp_R3UVu1t3wSFPzgCyHXE/edit?gid=0#gid=0"",""GERAL!A2:C""),3,0),""-"")"),"-")</f>
        <v>-</v>
      </c>
    </row>
    <row r="1319" ht="15.75" customHeight="1">
      <c r="A1319" s="111" t="s">
        <v>1573</v>
      </c>
      <c r="B1319" s="83" t="s">
        <v>7414</v>
      </c>
      <c r="C1319" s="83" t="s">
        <v>164</v>
      </c>
      <c r="D1319" s="112">
        <v>1167741.0</v>
      </c>
      <c r="E1319" s="83">
        <v>1179371.0</v>
      </c>
      <c r="F1319" s="98">
        <v>2.9491339E7</v>
      </c>
      <c r="G1319" s="147" t="s">
        <v>7431</v>
      </c>
      <c r="H1319" s="91" t="s">
        <v>7432</v>
      </c>
      <c r="I1319" s="83" t="s">
        <v>149</v>
      </c>
      <c r="J1319" s="83" t="s">
        <v>3645</v>
      </c>
      <c r="K1319" s="83" t="s">
        <v>168</v>
      </c>
      <c r="L1319" s="83" t="s">
        <v>169</v>
      </c>
      <c r="M1319" s="82" t="str">
        <f>IFERROR(__xludf.DUMMYFUNCTION("IFERROR(VLOOKUP(D1319,
IMPORTRANGE(""https://docs.google.com/spreadsheets/d/1MjHtlUikwobi2MaWJgy7tfLeBmhj1u-dRFRs_8GwSoA/edit#gid=0"",""Gestores Escolares!D7:J""),3,0),""VERIFICAR CÓD SEC"")"),"NOEL ANTONIO DE SOUZA")</f>
        <v>NOEL ANTONIO DE SOUZA</v>
      </c>
      <c r="N1319" s="82" t="str">
        <f>IFERROR(__xludf.DUMMYFUNCTION("IFERROR(VLOOKUP(D1319,
IMPORTRANGE(""https://docs.google.com/spreadsheets/d/1MjHtlUikwobi2MaWJgy7tfLeBmhj1u-dRFRs_8GwSoA/edit#gid=0"",""Gestores Escolares!D7:J""),4,0),""VERIFICAR CÓD SEC"")"),"(77) 9 9129-0657")</f>
        <v>(77) 9 9129-0657</v>
      </c>
      <c r="O1319" s="82" t="str">
        <f>IFERROR(__xludf.DUMMYFUNCTION("IFERROR(VLOOKUP(D1319,
IMPORTRANGE(""https://docs.google.com/spreadsheets/d/1MjHtlUikwobi2MaWJgy7tfLeBmhj1u-dRFRs_8GwSoA/edit#gid=0"",""Gestores Escolares!D7:J""),6,0),""VERIFICAR CÓD SEC"")"),"JOELIA DE MOURA FOGACA BELLO")</f>
        <v>JOELIA DE MOURA FOGACA BELLO</v>
      </c>
      <c r="P1319" s="82" t="str">
        <f>IFERROR(__xludf.DUMMYFUNCTION("IFERROR(VLOOKUP(D1319,
IMPORTRANGE(""https://docs.google.com/spreadsheets/d/1MjHtlUikwobi2MaWJgy7tfLeBmhj1u-dRFRs_8GwSoA/edit#gid=0"",""Gestores Escolares!D7:J""),7,0),""VERIFICAR CÓD SEC"")"),"(77) 9 9194-8077")</f>
        <v>(77) 9 9194-8077</v>
      </c>
      <c r="Q1319" s="82" t="str">
        <f>IFERROR(__xludf.DUMMYFUNCTION("IFERROR(VLOOKUP(D1319,
IMPORTRANGE(""https://docs.google.com/spreadsheets/d/1MjHtlUikwobi2MaWJgy7tfLeBmhj1u-dRFRs_8GwSoA/edit#gid=0"",""Gestores Escolares!D7:m""),9,0),""VERIFICAR CÓD SEC"")"),"RAFAEL NEVES MARQUES")</f>
        <v>RAFAEL NEVES MARQUES</v>
      </c>
      <c r="R1319" s="82" t="str">
        <f>IFERROR(__xludf.DUMMYFUNCTION("IFERROR(VLOOKUP(D1319,
IMPORTRANGE(""https://docs.google.com/spreadsheets/d/1MjHtlUikwobi2MaWJgy7tfLeBmhj1u-dRFRs_8GwSoA/edit#gid=0"",""Gestores Escolares!D7:m""),10,0),""VERIFICAR CÓD SEC"")"),"(77) 9 8144-6083")</f>
        <v>(77) 9 8144-6083</v>
      </c>
      <c r="S1319" s="82"/>
      <c r="T1319" s="138">
        <v>3.0</v>
      </c>
      <c r="U1319" s="145">
        <v>3.0</v>
      </c>
      <c r="V1319" s="106">
        <v>0.0</v>
      </c>
      <c r="W1319" s="107">
        <v>0.0</v>
      </c>
      <c r="X1319" s="107">
        <v>0.0</v>
      </c>
      <c r="Y1319" s="107">
        <v>0.0</v>
      </c>
      <c r="Z1319" s="80">
        <f t="shared" si="1"/>
        <v>0</v>
      </c>
      <c r="AA1319" s="106">
        <v>0.0</v>
      </c>
      <c r="AB1319" s="107">
        <v>0.0</v>
      </c>
      <c r="AC1319" s="107">
        <v>0.0</v>
      </c>
      <c r="AD1319" s="107">
        <v>0.0</v>
      </c>
      <c r="AE1319" s="80">
        <f t="shared" si="2"/>
        <v>0</v>
      </c>
      <c r="AF1319" s="222">
        <v>0.0</v>
      </c>
      <c r="AG1319" s="222">
        <v>0.0</v>
      </c>
      <c r="AH1319" s="222">
        <v>15.0</v>
      </c>
      <c r="AI1319" s="224">
        <v>0.0</v>
      </c>
      <c r="AJ1319" s="80">
        <f t="shared" si="3"/>
        <v>15</v>
      </c>
      <c r="AK1319" s="140">
        <v>0.0</v>
      </c>
      <c r="AL1319" s="109">
        <v>0.0</v>
      </c>
      <c r="AM1319" s="141">
        <v>0.0</v>
      </c>
      <c r="AN1319" s="80">
        <f t="shared" si="4"/>
        <v>0</v>
      </c>
      <c r="AO1319" s="222">
        <v>0.0</v>
      </c>
      <c r="AP1319" s="222">
        <v>0.0</v>
      </c>
      <c r="AQ1319" s="224">
        <v>0.0</v>
      </c>
      <c r="AR1319" s="80">
        <f t="shared" si="5"/>
        <v>0</v>
      </c>
      <c r="AS1319" s="110">
        <v>0.0</v>
      </c>
      <c r="AT1319" s="110">
        <v>0.0</v>
      </c>
      <c r="AU1319" s="110">
        <v>0.0</v>
      </c>
      <c r="AV1319" s="142">
        <v>0.0</v>
      </c>
      <c r="AW1319" s="80">
        <f t="shared" si="6"/>
        <v>0</v>
      </c>
      <c r="AX1319" s="113">
        <f t="shared" si="7"/>
        <v>15</v>
      </c>
      <c r="AY1319" s="117">
        <f t="shared" si="8"/>
        <v>0</v>
      </c>
      <c r="AZ1319" s="120">
        <f t="shared" si="9"/>
        <v>15</v>
      </c>
      <c r="BA1319" s="115">
        <v>0.0</v>
      </c>
      <c r="BB1319" s="89">
        <f t="shared" si="10"/>
        <v>15</v>
      </c>
      <c r="BC1319" s="132" t="s">
        <v>373</v>
      </c>
      <c r="BD1319" s="132" t="s">
        <v>178</v>
      </c>
      <c r="BE1319" s="132" t="s">
        <v>178</v>
      </c>
      <c r="BF1319" s="156"/>
      <c r="BG1319" s="83">
        <v>1179371.0</v>
      </c>
      <c r="BH1319" s="112"/>
      <c r="BI1319" s="112">
        <v>2.0</v>
      </c>
      <c r="BJ1319" s="98" t="s">
        <v>155</v>
      </c>
      <c r="BK1319" s="99">
        <f t="shared" si="11"/>
        <v>0</v>
      </c>
      <c r="BL1319" s="99">
        <f t="shared" si="12"/>
        <v>0</v>
      </c>
      <c r="BM1319" s="99" t="str">
        <f>IFERROR(__xludf.DUMMYFUNCTION("IFERROR(VLOOKUP(BG1319,IMPORTRANGE(""https://docs.google.com/spreadsheets/d/1juPI-Fb8LD0YtltB2mlGEnp_R3UVu1t3wSFPzgCyHXE/edit?gid=0#gid=0"",""GERAL!A2:C""),3,0),""-"")"),"CAMPO")</f>
        <v>CAMPO</v>
      </c>
    </row>
    <row r="1320" ht="15.75" customHeight="1">
      <c r="A1320" s="111" t="s">
        <v>1573</v>
      </c>
      <c r="B1320" s="83" t="s">
        <v>7414</v>
      </c>
      <c r="C1320" s="83" t="s">
        <v>164</v>
      </c>
      <c r="D1320" s="112">
        <v>1167741.0</v>
      </c>
      <c r="E1320" s="83">
        <v>1178930.0</v>
      </c>
      <c r="F1320" s="98">
        <v>2.949132E7</v>
      </c>
      <c r="G1320" s="147" t="s">
        <v>7435</v>
      </c>
      <c r="H1320" s="91" t="s">
        <v>7436</v>
      </c>
      <c r="I1320" s="83" t="s">
        <v>149</v>
      </c>
      <c r="J1320" s="146" t="s">
        <v>3227</v>
      </c>
      <c r="K1320" s="83" t="s">
        <v>168</v>
      </c>
      <c r="L1320" s="83" t="s">
        <v>169</v>
      </c>
      <c r="M1320" s="82" t="str">
        <f>IFERROR(__xludf.DUMMYFUNCTION("IFERROR(VLOOKUP(D1320,
IMPORTRANGE(""https://docs.google.com/spreadsheets/d/1MjHtlUikwobi2MaWJgy7tfLeBmhj1u-dRFRs_8GwSoA/edit#gid=0"",""Gestores Escolares!D7:J""),3,0),""VERIFICAR CÓD SEC"")"),"NOEL ANTONIO DE SOUZA")</f>
        <v>NOEL ANTONIO DE SOUZA</v>
      </c>
      <c r="N1320" s="82" t="str">
        <f>IFERROR(__xludf.DUMMYFUNCTION("IFERROR(VLOOKUP(D1320,
IMPORTRANGE(""https://docs.google.com/spreadsheets/d/1MjHtlUikwobi2MaWJgy7tfLeBmhj1u-dRFRs_8GwSoA/edit#gid=0"",""Gestores Escolares!D7:J""),4,0),""VERIFICAR CÓD SEC"")"),"(77) 9 9129-0657")</f>
        <v>(77) 9 9129-0657</v>
      </c>
      <c r="O1320" s="82" t="str">
        <f>IFERROR(__xludf.DUMMYFUNCTION("IFERROR(VLOOKUP(D1320,
IMPORTRANGE(""https://docs.google.com/spreadsheets/d/1MjHtlUikwobi2MaWJgy7tfLeBmhj1u-dRFRs_8GwSoA/edit#gid=0"",""Gestores Escolares!D7:J""),6,0),""VERIFICAR CÓD SEC"")"),"JOELIA DE MOURA FOGACA BELLO")</f>
        <v>JOELIA DE MOURA FOGACA BELLO</v>
      </c>
      <c r="P1320" s="82" t="str">
        <f>IFERROR(__xludf.DUMMYFUNCTION("IFERROR(VLOOKUP(D1320,
IMPORTRANGE(""https://docs.google.com/spreadsheets/d/1MjHtlUikwobi2MaWJgy7tfLeBmhj1u-dRFRs_8GwSoA/edit#gid=0"",""Gestores Escolares!D7:J""),7,0),""VERIFICAR CÓD SEC"")"),"(77) 9 9194-8077")</f>
        <v>(77) 9 9194-8077</v>
      </c>
      <c r="Q1320" s="82" t="str">
        <f>IFERROR(__xludf.DUMMYFUNCTION("IFERROR(VLOOKUP(D1320,
IMPORTRANGE(""https://docs.google.com/spreadsheets/d/1MjHtlUikwobi2MaWJgy7tfLeBmhj1u-dRFRs_8GwSoA/edit#gid=0"",""Gestores Escolares!D7:m""),9,0),""VERIFICAR CÓD SEC"")"),"RAFAEL NEVES MARQUES")</f>
        <v>RAFAEL NEVES MARQUES</v>
      </c>
      <c r="R1320" s="82" t="str">
        <f>IFERROR(__xludf.DUMMYFUNCTION("IFERROR(VLOOKUP(D1320,
IMPORTRANGE(""https://docs.google.com/spreadsheets/d/1MjHtlUikwobi2MaWJgy7tfLeBmhj1u-dRFRs_8GwSoA/edit#gid=0"",""Gestores Escolares!D7:m""),10,0),""VERIFICAR CÓD SEC"")"),"(77) 9 8144-6083")</f>
        <v>(77) 9 8144-6083</v>
      </c>
      <c r="S1320" s="82"/>
      <c r="T1320" s="138">
        <v>3.0</v>
      </c>
      <c r="U1320" s="139">
        <v>3.0</v>
      </c>
      <c r="V1320" s="106">
        <v>0.0</v>
      </c>
      <c r="W1320" s="107">
        <v>0.0</v>
      </c>
      <c r="X1320" s="107">
        <v>0.0</v>
      </c>
      <c r="Y1320" s="107">
        <v>0.0</v>
      </c>
      <c r="Z1320" s="80">
        <f t="shared" si="1"/>
        <v>0</v>
      </c>
      <c r="AA1320" s="106">
        <v>0.0</v>
      </c>
      <c r="AB1320" s="107">
        <v>0.0</v>
      </c>
      <c r="AC1320" s="107">
        <v>0.0</v>
      </c>
      <c r="AD1320" s="107">
        <v>0.0</v>
      </c>
      <c r="AE1320" s="80">
        <f t="shared" si="2"/>
        <v>0</v>
      </c>
      <c r="AF1320" s="140">
        <v>0.0</v>
      </c>
      <c r="AG1320" s="109">
        <v>0.0</v>
      </c>
      <c r="AH1320" s="109">
        <v>29.0</v>
      </c>
      <c r="AI1320" s="141">
        <v>0.0</v>
      </c>
      <c r="AJ1320" s="80">
        <f t="shared" si="3"/>
        <v>29</v>
      </c>
      <c r="AK1320" s="140">
        <v>0.0</v>
      </c>
      <c r="AL1320" s="109">
        <v>0.0</v>
      </c>
      <c r="AM1320" s="141">
        <v>0.0</v>
      </c>
      <c r="AN1320" s="80">
        <f t="shared" si="4"/>
        <v>0</v>
      </c>
      <c r="AO1320" s="140">
        <v>0.0</v>
      </c>
      <c r="AP1320" s="109">
        <v>0.0</v>
      </c>
      <c r="AQ1320" s="109">
        <v>0.0</v>
      </c>
      <c r="AR1320" s="80">
        <f t="shared" si="5"/>
        <v>0</v>
      </c>
      <c r="AS1320" s="110">
        <v>0.0</v>
      </c>
      <c r="AT1320" s="110">
        <v>0.0</v>
      </c>
      <c r="AU1320" s="110">
        <v>0.0</v>
      </c>
      <c r="AV1320" s="142">
        <v>0.0</v>
      </c>
      <c r="AW1320" s="80">
        <f t="shared" si="6"/>
        <v>0</v>
      </c>
      <c r="AX1320" s="113">
        <f t="shared" si="7"/>
        <v>29</v>
      </c>
      <c r="AY1320" s="117">
        <f t="shared" si="8"/>
        <v>0</v>
      </c>
      <c r="AZ1320" s="120">
        <f t="shared" si="9"/>
        <v>29</v>
      </c>
      <c r="BA1320" s="115">
        <v>0.0</v>
      </c>
      <c r="BB1320" s="89">
        <f t="shared" si="10"/>
        <v>29</v>
      </c>
      <c r="BC1320" s="132" t="s">
        <v>373</v>
      </c>
      <c r="BD1320" s="132" t="s">
        <v>178</v>
      </c>
      <c r="BE1320" s="132" t="s">
        <v>178</v>
      </c>
      <c r="BF1320" s="156"/>
      <c r="BG1320" s="83">
        <v>1178930.0</v>
      </c>
      <c r="BH1320" s="112"/>
      <c r="BI1320" s="112">
        <v>3.0</v>
      </c>
      <c r="BJ1320" s="98" t="s">
        <v>155</v>
      </c>
      <c r="BK1320" s="99">
        <f t="shared" si="11"/>
        <v>0</v>
      </c>
      <c r="BL1320" s="99">
        <f t="shared" si="12"/>
        <v>0</v>
      </c>
      <c r="BM1320" s="99" t="str">
        <f>IFERROR(__xludf.DUMMYFUNCTION("IFERROR(VLOOKUP(BG1320,IMPORTRANGE(""https://docs.google.com/spreadsheets/d/1juPI-Fb8LD0YtltB2mlGEnp_R3UVu1t3wSFPzgCyHXE/edit?gid=0#gid=0"",""GERAL!A2:C""),3,0),""-"")"),"CAMPO")</f>
        <v>CAMPO</v>
      </c>
    </row>
    <row r="1321" ht="15.75" customHeight="1">
      <c r="A1321" s="111" t="s">
        <v>1573</v>
      </c>
      <c r="B1321" s="83" t="s">
        <v>7440</v>
      </c>
      <c r="C1321" s="83" t="s">
        <v>68</v>
      </c>
      <c r="D1321" s="112">
        <v>1131798.0</v>
      </c>
      <c r="E1321" s="83"/>
      <c r="F1321" s="83">
        <v>2.9016916E7</v>
      </c>
      <c r="G1321" s="119" t="s">
        <v>7441</v>
      </c>
      <c r="H1321" s="91" t="s">
        <v>7442</v>
      </c>
      <c r="I1321" s="172" t="s">
        <v>149</v>
      </c>
      <c r="J1321" s="83" t="s">
        <v>150</v>
      </c>
      <c r="K1321" s="83" t="s">
        <v>151</v>
      </c>
      <c r="L1321" s="83" t="s">
        <v>152</v>
      </c>
      <c r="M1321" s="82" t="str">
        <f>IFERROR(__xludf.DUMMYFUNCTION("IFERROR(VLOOKUP(D1321,
IMPORTRANGE(""https://docs.google.com/spreadsheets/d/1MjHtlUikwobi2MaWJgy7tfLeBmhj1u-dRFRs_8GwSoA/edit#gid=0"",""Gestores Escolares!D7:J""),3,0),""VERIFICAR CÓD SEC"")"),"HION OLIVEIRA DE JESUS")</f>
        <v>HION OLIVEIRA DE JESUS</v>
      </c>
      <c r="N1321" s="82" t="str">
        <f>IFERROR(__xludf.DUMMYFUNCTION("IFERROR(VLOOKUP(D1321,
IMPORTRANGE(""https://docs.google.com/spreadsheets/d/1MjHtlUikwobi2MaWJgy7tfLeBmhj1u-dRFRs_8GwSoA/edit#gid=0"",""Gestores Escolares!D7:J""),4,0),""VERIFICAR CÓD SEC"")"),"(73) 9 9971-3080")</f>
        <v>(73) 9 9971-3080</v>
      </c>
      <c r="O1321" s="82" t="str">
        <f>IFERROR(__xludf.DUMMYFUNCTION("IFERROR(VLOOKUP(D1321,
IMPORTRANGE(""https://docs.google.com/spreadsheets/d/1MjHtlUikwobi2MaWJgy7tfLeBmhj1u-dRFRs_8GwSoA/edit#gid=0"",""Gestores Escolares!D7:J""),6,0),""VERIFICAR CÓD SEC"")")," ")</f>
        <v> </v>
      </c>
      <c r="P1321" s="82" t="str">
        <f>IFERROR(__xludf.DUMMYFUNCTION("IFERROR(VLOOKUP(D1321,
IMPORTRANGE(""https://docs.google.com/spreadsheets/d/1MjHtlUikwobi2MaWJgy7tfLeBmhj1u-dRFRs_8GwSoA/edit#gid=0"",""Gestores Escolares!D7:J""),7,0),""VERIFICAR CÓD SEC"")"),"")</f>
        <v/>
      </c>
      <c r="Q1321" s="82" t="str">
        <f>IFERROR(__xludf.DUMMYFUNCTION("IFERROR(VLOOKUP(D1321,
IMPORTRANGE(""https://docs.google.com/spreadsheets/d/1MjHtlUikwobi2MaWJgy7tfLeBmhj1u-dRFRs_8GwSoA/edit#gid=0"",""Gestores Escolares!D7:m""),9,0),""VERIFICAR CÓD SEC"")"),"")</f>
        <v/>
      </c>
      <c r="R1321" s="82" t="str">
        <f>IFERROR(__xludf.DUMMYFUNCTION("IFERROR(VLOOKUP(D1321,
IMPORTRANGE(""https://docs.google.com/spreadsheets/d/1MjHtlUikwobi2MaWJgy7tfLeBmhj1u-dRFRs_8GwSoA/edit#gid=0"",""Gestores Escolares!D7:m""),10,0),""VERIFICAR CÓD SEC"")"),"")</f>
        <v/>
      </c>
      <c r="S1321" s="82"/>
      <c r="T1321" s="138">
        <v>8.0</v>
      </c>
      <c r="U1321" s="145">
        <v>8.0</v>
      </c>
      <c r="V1321" s="106">
        <v>0.0</v>
      </c>
      <c r="W1321" s="107">
        <v>0.0</v>
      </c>
      <c r="X1321" s="107">
        <v>0.0</v>
      </c>
      <c r="Y1321" s="107">
        <v>0.0</v>
      </c>
      <c r="Z1321" s="80">
        <f t="shared" si="1"/>
        <v>0</v>
      </c>
      <c r="AA1321" s="106">
        <v>0.0</v>
      </c>
      <c r="AB1321" s="107">
        <v>0.0</v>
      </c>
      <c r="AC1321" s="107">
        <v>0.0</v>
      </c>
      <c r="AD1321" s="107">
        <v>0.0</v>
      </c>
      <c r="AE1321" s="80">
        <f t="shared" si="2"/>
        <v>0</v>
      </c>
      <c r="AF1321" s="140">
        <v>272.0</v>
      </c>
      <c r="AG1321" s="109">
        <v>126.0</v>
      </c>
      <c r="AH1321" s="109">
        <v>0.0</v>
      </c>
      <c r="AI1321" s="141">
        <v>33.0</v>
      </c>
      <c r="AJ1321" s="80">
        <f t="shared" si="3"/>
        <v>431</v>
      </c>
      <c r="AK1321" s="140">
        <v>0.0</v>
      </c>
      <c r="AL1321" s="109">
        <v>0.0</v>
      </c>
      <c r="AM1321" s="141">
        <v>0.0</v>
      </c>
      <c r="AN1321" s="80">
        <f t="shared" si="4"/>
        <v>0</v>
      </c>
      <c r="AO1321" s="140">
        <v>0.0</v>
      </c>
      <c r="AP1321" s="109">
        <v>0.0</v>
      </c>
      <c r="AQ1321" s="109">
        <v>30.0</v>
      </c>
      <c r="AR1321" s="80">
        <f t="shared" si="5"/>
        <v>30</v>
      </c>
      <c r="AS1321" s="110">
        <v>0.0</v>
      </c>
      <c r="AT1321" s="110">
        <v>67.0</v>
      </c>
      <c r="AU1321" s="110">
        <v>9.0</v>
      </c>
      <c r="AV1321" s="142">
        <v>0.0</v>
      </c>
      <c r="AW1321" s="80">
        <f t="shared" si="6"/>
        <v>76</v>
      </c>
      <c r="AX1321" s="113">
        <f t="shared" si="7"/>
        <v>537</v>
      </c>
      <c r="AY1321" s="117">
        <f t="shared" si="8"/>
        <v>498</v>
      </c>
      <c r="AZ1321" s="120">
        <f t="shared" si="9"/>
        <v>39</v>
      </c>
      <c r="BA1321" s="115">
        <v>0.0</v>
      </c>
      <c r="BB1321" s="89">
        <f t="shared" si="10"/>
        <v>537</v>
      </c>
      <c r="BC1321" s="132" t="s">
        <v>178</v>
      </c>
      <c r="BD1321" s="132" t="s">
        <v>178</v>
      </c>
      <c r="BE1321" s="132" t="s">
        <v>178</v>
      </c>
      <c r="BF1321" s="156"/>
      <c r="BG1321" s="83">
        <v>1131798.0</v>
      </c>
      <c r="BH1321" s="112"/>
      <c r="BI1321" s="112">
        <v>6.0</v>
      </c>
      <c r="BJ1321" s="98" t="s">
        <v>155</v>
      </c>
      <c r="BK1321" s="99">
        <f t="shared" si="11"/>
        <v>33</v>
      </c>
      <c r="BL1321" s="99">
        <f t="shared" si="12"/>
        <v>465</v>
      </c>
      <c r="BM1321" s="99" t="str">
        <f>IFERROR(__xludf.DUMMYFUNCTION("IFERROR(VLOOKUP(BG1321,IMPORTRANGE(""https://docs.google.com/spreadsheets/d/1juPI-Fb8LD0YtltB2mlGEnp_R3UVu1t3wSFPzgCyHXE/edit?gid=0#gid=0"",""GERAL!A2:C""),3,0),""-"")"),"-")</f>
        <v>-</v>
      </c>
    </row>
    <row r="1322" ht="15.75" customHeight="1">
      <c r="A1322" s="111" t="s">
        <v>1573</v>
      </c>
      <c r="B1322" s="83" t="s">
        <v>7440</v>
      </c>
      <c r="C1322" s="83" t="s">
        <v>164</v>
      </c>
      <c r="D1322" s="112">
        <v>1131798.0</v>
      </c>
      <c r="E1322" s="83">
        <v>1178952.0</v>
      </c>
      <c r="F1322" s="98">
        <v>2.9493277E7</v>
      </c>
      <c r="G1322" s="119" t="s">
        <v>7451</v>
      </c>
      <c r="H1322" s="91" t="s">
        <v>7452</v>
      </c>
      <c r="I1322" s="172" t="s">
        <v>7453</v>
      </c>
      <c r="J1322" s="83" t="s">
        <v>334</v>
      </c>
      <c r="K1322" s="83" t="s">
        <v>168</v>
      </c>
      <c r="L1322" s="83" t="s">
        <v>169</v>
      </c>
      <c r="M1322" s="82" t="str">
        <f>IFERROR(__xludf.DUMMYFUNCTION("IFERROR(VLOOKUP(D1322,
IMPORTRANGE(""https://docs.google.com/spreadsheets/d/1MjHtlUikwobi2MaWJgy7tfLeBmhj1u-dRFRs_8GwSoA/edit#gid=0"",""Gestores Escolares!D7:J""),3,0),""VERIFICAR CÓD SEC"")"),"HION OLIVEIRA DE JESUS")</f>
        <v>HION OLIVEIRA DE JESUS</v>
      </c>
      <c r="N1322" s="82" t="str">
        <f>IFERROR(__xludf.DUMMYFUNCTION("IFERROR(VLOOKUP(D1322,
IMPORTRANGE(""https://docs.google.com/spreadsheets/d/1MjHtlUikwobi2MaWJgy7tfLeBmhj1u-dRFRs_8GwSoA/edit#gid=0"",""Gestores Escolares!D7:J""),4,0),""VERIFICAR CÓD SEC"")"),"(73) 9 9971-3080")</f>
        <v>(73) 9 9971-3080</v>
      </c>
      <c r="O1322" s="82" t="str">
        <f>IFERROR(__xludf.DUMMYFUNCTION("IFERROR(VLOOKUP(D1322,
IMPORTRANGE(""https://docs.google.com/spreadsheets/d/1MjHtlUikwobi2MaWJgy7tfLeBmhj1u-dRFRs_8GwSoA/edit#gid=0"",""Gestores Escolares!D7:J""),6,0),""VERIFICAR CÓD SEC"")")," ")</f>
        <v> </v>
      </c>
      <c r="P1322" s="82" t="str">
        <f>IFERROR(__xludf.DUMMYFUNCTION("IFERROR(VLOOKUP(D1322,
IMPORTRANGE(""https://docs.google.com/spreadsheets/d/1MjHtlUikwobi2MaWJgy7tfLeBmhj1u-dRFRs_8GwSoA/edit#gid=0"",""Gestores Escolares!D7:J""),7,0),""VERIFICAR CÓD SEC"")"),"")</f>
        <v/>
      </c>
      <c r="Q1322" s="82" t="str">
        <f>IFERROR(__xludf.DUMMYFUNCTION("IFERROR(VLOOKUP(D1322,
IMPORTRANGE(""https://docs.google.com/spreadsheets/d/1MjHtlUikwobi2MaWJgy7tfLeBmhj1u-dRFRs_8GwSoA/edit#gid=0"",""Gestores Escolares!D7:m""),9,0),""VERIFICAR CÓD SEC"")"),"")</f>
        <v/>
      </c>
      <c r="R1322" s="82" t="str">
        <f>IFERROR(__xludf.DUMMYFUNCTION("IFERROR(VLOOKUP(D1322,
IMPORTRANGE(""https://docs.google.com/spreadsheets/d/1MjHtlUikwobi2MaWJgy7tfLeBmhj1u-dRFRs_8GwSoA/edit#gid=0"",""Gestores Escolares!D7:m""),10,0),""VERIFICAR CÓD SEC"")"),"")</f>
        <v/>
      </c>
      <c r="S1322" s="82"/>
      <c r="T1322" s="138">
        <v>3.0</v>
      </c>
      <c r="U1322" s="139">
        <v>3.0</v>
      </c>
      <c r="V1322" s="106">
        <v>0.0</v>
      </c>
      <c r="W1322" s="107">
        <v>0.0</v>
      </c>
      <c r="X1322" s="107">
        <v>0.0</v>
      </c>
      <c r="Y1322" s="107">
        <v>0.0</v>
      </c>
      <c r="Z1322" s="80">
        <f t="shared" si="1"/>
        <v>0</v>
      </c>
      <c r="AA1322" s="106">
        <v>0.0</v>
      </c>
      <c r="AB1322" s="107">
        <v>0.0</v>
      </c>
      <c r="AC1322" s="107">
        <v>0.0</v>
      </c>
      <c r="AD1322" s="107">
        <v>0.0</v>
      </c>
      <c r="AE1322" s="80">
        <f t="shared" si="2"/>
        <v>0</v>
      </c>
      <c r="AF1322" s="140">
        <v>0.0</v>
      </c>
      <c r="AG1322" s="109">
        <v>87.0</v>
      </c>
      <c r="AH1322" s="109">
        <v>0.0</v>
      </c>
      <c r="AI1322" s="141">
        <v>0.0</v>
      </c>
      <c r="AJ1322" s="80">
        <f t="shared" si="3"/>
        <v>87</v>
      </c>
      <c r="AK1322" s="140">
        <v>0.0</v>
      </c>
      <c r="AL1322" s="109">
        <v>0.0</v>
      </c>
      <c r="AM1322" s="141">
        <v>0.0</v>
      </c>
      <c r="AN1322" s="80">
        <f t="shared" si="4"/>
        <v>0</v>
      </c>
      <c r="AO1322" s="140">
        <v>0.0</v>
      </c>
      <c r="AP1322" s="109">
        <v>0.0</v>
      </c>
      <c r="AQ1322" s="109">
        <v>15.0</v>
      </c>
      <c r="AR1322" s="80">
        <f t="shared" si="5"/>
        <v>15</v>
      </c>
      <c r="AS1322" s="110">
        <v>0.0</v>
      </c>
      <c r="AT1322" s="110">
        <v>0.0</v>
      </c>
      <c r="AU1322" s="110">
        <v>0.0</v>
      </c>
      <c r="AV1322" s="142">
        <v>0.0</v>
      </c>
      <c r="AW1322" s="80">
        <f t="shared" si="6"/>
        <v>0</v>
      </c>
      <c r="AX1322" s="113">
        <f t="shared" si="7"/>
        <v>102</v>
      </c>
      <c r="AY1322" s="117">
        <f t="shared" si="8"/>
        <v>87</v>
      </c>
      <c r="AZ1322" s="120">
        <f t="shared" si="9"/>
        <v>15</v>
      </c>
      <c r="BA1322" s="115">
        <v>0.0</v>
      </c>
      <c r="BB1322" s="89">
        <f t="shared" si="10"/>
        <v>102</v>
      </c>
      <c r="BC1322" s="132" t="s">
        <v>373</v>
      </c>
      <c r="BD1322" s="132" t="s">
        <v>178</v>
      </c>
      <c r="BE1322" s="132" t="s">
        <v>178</v>
      </c>
      <c r="BF1322" s="156"/>
      <c r="BG1322" s="83">
        <v>1178952.0</v>
      </c>
      <c r="BH1322" s="112"/>
      <c r="BI1322" s="112">
        <v>3.0</v>
      </c>
      <c r="BJ1322" s="98" t="s">
        <v>155</v>
      </c>
      <c r="BK1322" s="99">
        <f t="shared" si="11"/>
        <v>0</v>
      </c>
      <c r="BL1322" s="99">
        <f t="shared" si="12"/>
        <v>87</v>
      </c>
      <c r="BM1322" s="99" t="str">
        <f>IFERROR(__xludf.DUMMYFUNCTION("IFERROR(VLOOKUP(BG1322,IMPORTRANGE(""https://docs.google.com/spreadsheets/d/1juPI-Fb8LD0YtltB2mlGEnp_R3UVu1t3wSFPzgCyHXE/edit?gid=0#gid=0"",""GERAL!A2:C""),3,0),""-"")"),"CAMPO")</f>
        <v>CAMPO</v>
      </c>
    </row>
    <row r="1323" ht="15.75" customHeight="1">
      <c r="A1323" s="111" t="s">
        <v>1573</v>
      </c>
      <c r="B1323" s="83" t="s">
        <v>2437</v>
      </c>
      <c r="C1323" s="83" t="s">
        <v>68</v>
      </c>
      <c r="D1323" s="112">
        <v>1131739.0</v>
      </c>
      <c r="E1323" s="83"/>
      <c r="F1323" s="83">
        <v>2.900988E7</v>
      </c>
      <c r="G1323" s="628" t="s">
        <v>13883</v>
      </c>
      <c r="H1323" s="91" t="s">
        <v>7459</v>
      </c>
      <c r="I1323" s="83" t="s">
        <v>149</v>
      </c>
      <c r="J1323" s="83" t="s">
        <v>150</v>
      </c>
      <c r="K1323" s="83" t="s">
        <v>151</v>
      </c>
      <c r="L1323" s="83" t="s">
        <v>76</v>
      </c>
      <c r="M1323" s="82" t="str">
        <f>IFERROR(__xludf.DUMMYFUNCTION("IFERROR(VLOOKUP(D1323,
IMPORTRANGE(""https://docs.google.com/spreadsheets/d/1MjHtlUikwobi2MaWJgy7tfLeBmhj1u-dRFRs_8GwSoA/edit#gid=0"",""Gestores Escolares!D7:J""),3,0),""VERIFICAR CÓD SEC"")"),"ANA PAULA DE CASTRO BRITO")</f>
        <v>ANA PAULA DE CASTRO BRITO</v>
      </c>
      <c r="N1323" s="82" t="str">
        <f>IFERROR(__xludf.DUMMYFUNCTION("IFERROR(VLOOKUP(D1323,
IMPORTRANGE(""https://docs.google.com/spreadsheets/d/1MjHtlUikwobi2MaWJgy7tfLeBmhj1u-dRFRs_8GwSoA/edit#gid=0"",""Gestores Escolares!D7:J""),4,0),""VERIFICAR CÓD SEC"")"),"(77) 9 9915-4190")</f>
        <v>(77) 9 9915-4190</v>
      </c>
      <c r="O1323" s="82" t="str">
        <f>IFERROR(__xludf.DUMMYFUNCTION("IFERROR(VLOOKUP(D1323,
IMPORTRANGE(""https://docs.google.com/spreadsheets/d/1MjHtlUikwobi2MaWJgy7tfLeBmhj1u-dRFRs_8GwSoA/edit#gid=0"",""Gestores Escolares!D7:J""),6,0),""VERIFICAR CÓD SEC"")"),"")</f>
        <v/>
      </c>
      <c r="P1323" s="82" t="str">
        <f>IFERROR(__xludf.DUMMYFUNCTION("IFERROR(VLOOKUP(D1323,
IMPORTRANGE(""https://docs.google.com/spreadsheets/d/1MjHtlUikwobi2MaWJgy7tfLeBmhj1u-dRFRs_8GwSoA/edit#gid=0"",""Gestores Escolares!D7:J""),7,0),""VERIFICAR CÓD SEC"")"),"")</f>
        <v/>
      </c>
      <c r="Q1323" s="82" t="str">
        <f>IFERROR(__xludf.DUMMYFUNCTION("IFERROR(VLOOKUP(D1323,
IMPORTRANGE(""https://docs.google.com/spreadsheets/d/1MjHtlUikwobi2MaWJgy7tfLeBmhj1u-dRFRs_8GwSoA/edit#gid=0"",""Gestores Escolares!D7:m""),9,0),""VERIFICAR CÓD SEC"")"),"")</f>
        <v/>
      </c>
      <c r="R1323" s="82" t="str">
        <f>IFERROR(__xludf.DUMMYFUNCTION("IFERROR(VLOOKUP(D1323,
IMPORTRANGE(""https://docs.google.com/spreadsheets/d/1MjHtlUikwobi2MaWJgy7tfLeBmhj1u-dRFRs_8GwSoA/edit#gid=0"",""Gestores Escolares!D7:m""),10,0),""VERIFICAR CÓD SEC"")"),"")</f>
        <v/>
      </c>
      <c r="S1323" s="82"/>
      <c r="T1323" s="138">
        <v>6.0</v>
      </c>
      <c r="U1323" s="139">
        <v>6.0</v>
      </c>
      <c r="V1323" s="106">
        <v>0.0</v>
      </c>
      <c r="W1323" s="107">
        <v>0.0</v>
      </c>
      <c r="X1323" s="107">
        <v>0.0</v>
      </c>
      <c r="Y1323" s="107">
        <v>0.0</v>
      </c>
      <c r="Z1323" s="80">
        <f t="shared" si="1"/>
        <v>0</v>
      </c>
      <c r="AA1323" s="106">
        <v>0.0</v>
      </c>
      <c r="AB1323" s="107">
        <v>0.0</v>
      </c>
      <c r="AC1323" s="107">
        <v>0.0</v>
      </c>
      <c r="AD1323" s="107">
        <v>0.0</v>
      </c>
      <c r="AE1323" s="80">
        <f t="shared" si="2"/>
        <v>0</v>
      </c>
      <c r="AF1323" s="140">
        <v>181.0</v>
      </c>
      <c r="AG1323" s="109">
        <v>166.0</v>
      </c>
      <c r="AH1323" s="109">
        <v>0.0</v>
      </c>
      <c r="AI1323" s="141">
        <v>0.0</v>
      </c>
      <c r="AJ1323" s="80">
        <f t="shared" si="3"/>
        <v>347</v>
      </c>
      <c r="AK1323" s="140">
        <v>0.0</v>
      </c>
      <c r="AL1323" s="109">
        <v>0.0</v>
      </c>
      <c r="AM1323" s="141">
        <v>0.0</v>
      </c>
      <c r="AN1323" s="80">
        <f t="shared" si="4"/>
        <v>0</v>
      </c>
      <c r="AO1323" s="140">
        <v>0.0</v>
      </c>
      <c r="AP1323" s="109">
        <v>0.0</v>
      </c>
      <c r="AQ1323" s="109">
        <v>0.0</v>
      </c>
      <c r="AR1323" s="80">
        <f t="shared" si="5"/>
        <v>0</v>
      </c>
      <c r="AS1323" s="110">
        <v>29.0</v>
      </c>
      <c r="AT1323" s="110">
        <v>0.0</v>
      </c>
      <c r="AU1323" s="110">
        <v>19.0</v>
      </c>
      <c r="AV1323" s="142">
        <v>0.0</v>
      </c>
      <c r="AW1323" s="80">
        <f t="shared" si="6"/>
        <v>48</v>
      </c>
      <c r="AX1323" s="113">
        <f t="shared" si="7"/>
        <v>395</v>
      </c>
      <c r="AY1323" s="117">
        <f t="shared" si="8"/>
        <v>376</v>
      </c>
      <c r="AZ1323" s="120">
        <f t="shared" si="9"/>
        <v>19</v>
      </c>
      <c r="BA1323" s="115">
        <v>0.0</v>
      </c>
      <c r="BB1323" s="89">
        <f t="shared" si="10"/>
        <v>395</v>
      </c>
      <c r="BC1323" s="132" t="s">
        <v>178</v>
      </c>
      <c r="BD1323" s="132" t="s">
        <v>178</v>
      </c>
      <c r="BE1323" s="132" t="s">
        <v>178</v>
      </c>
      <c r="BF1323" s="123"/>
      <c r="BG1323" s="83">
        <v>1131739.0</v>
      </c>
      <c r="BH1323" s="112"/>
      <c r="BI1323" s="112">
        <v>6.0</v>
      </c>
      <c r="BJ1323" s="98" t="s">
        <v>155</v>
      </c>
      <c r="BK1323" s="99">
        <f t="shared" si="11"/>
        <v>0</v>
      </c>
      <c r="BL1323" s="99">
        <f t="shared" si="12"/>
        <v>376</v>
      </c>
      <c r="BM1323" s="99" t="str">
        <f>IFERROR(__xludf.DUMMYFUNCTION("IFERROR(VLOOKUP(BG1323,IMPORTRANGE(""https://docs.google.com/spreadsheets/d/1juPI-Fb8LD0YtltB2mlGEnp_R3UVu1t3wSFPzgCyHXE/edit?gid=0#gid=0"",""GERAL!A2:C""),3,0),""-"")"),"-")</f>
        <v>-</v>
      </c>
    </row>
    <row r="1324">
      <c r="A1324" s="111" t="s">
        <v>1573</v>
      </c>
      <c r="B1324" s="83" t="s">
        <v>2437</v>
      </c>
      <c r="C1324" s="83" t="s">
        <v>164</v>
      </c>
      <c r="D1324" s="112">
        <v>1131739.0</v>
      </c>
      <c r="E1324" s="83">
        <v>1179173.0</v>
      </c>
      <c r="F1324" s="98">
        <v>2.9492653E7</v>
      </c>
      <c r="G1324" s="119" t="s">
        <v>7462</v>
      </c>
      <c r="H1324" s="91" t="s">
        <v>7463</v>
      </c>
      <c r="I1324" s="83" t="s">
        <v>149</v>
      </c>
      <c r="J1324" s="83" t="s">
        <v>767</v>
      </c>
      <c r="K1324" s="83" t="s">
        <v>168</v>
      </c>
      <c r="L1324" s="83" t="s">
        <v>169</v>
      </c>
      <c r="M1324" s="82" t="str">
        <f>IFERROR(__xludf.DUMMYFUNCTION("IFERROR(VLOOKUP(D1324,
IMPORTRANGE(""https://docs.google.com/spreadsheets/d/1MjHtlUikwobi2MaWJgy7tfLeBmhj1u-dRFRs_8GwSoA/edit#gid=0"",""Gestores Escolares!D7:J""),3,0),""VERIFICAR CÓD SEC"")"),"ANA PAULA DE CASTRO BRITO")</f>
        <v>ANA PAULA DE CASTRO BRITO</v>
      </c>
      <c r="N1324" s="82" t="str">
        <f>IFERROR(__xludf.DUMMYFUNCTION("IFERROR(VLOOKUP(D1324,
IMPORTRANGE(""https://docs.google.com/spreadsheets/d/1MjHtlUikwobi2MaWJgy7tfLeBmhj1u-dRFRs_8GwSoA/edit#gid=0"",""Gestores Escolares!D7:J""),4,0),""VERIFICAR CÓD SEC"")"),"(77) 9 9915-4190")</f>
        <v>(77) 9 9915-4190</v>
      </c>
      <c r="O1324" s="82" t="str">
        <f>IFERROR(__xludf.DUMMYFUNCTION("IFERROR(VLOOKUP(D1324,
IMPORTRANGE(""https://docs.google.com/spreadsheets/d/1MjHtlUikwobi2MaWJgy7tfLeBmhj1u-dRFRs_8GwSoA/edit#gid=0"",""Gestores Escolares!D7:J""),6,0),""VERIFICAR CÓD SEC"")"),"")</f>
        <v/>
      </c>
      <c r="P1324" s="82" t="str">
        <f>IFERROR(__xludf.DUMMYFUNCTION("IFERROR(VLOOKUP(D1324,
IMPORTRANGE(""https://docs.google.com/spreadsheets/d/1MjHtlUikwobi2MaWJgy7tfLeBmhj1u-dRFRs_8GwSoA/edit#gid=0"",""Gestores Escolares!D7:J""),7,0),""VERIFICAR CÓD SEC"")"),"")</f>
        <v/>
      </c>
      <c r="Q1324" s="82" t="str">
        <f>IFERROR(__xludf.DUMMYFUNCTION("IFERROR(VLOOKUP(D1324,
IMPORTRANGE(""https://docs.google.com/spreadsheets/d/1MjHtlUikwobi2MaWJgy7tfLeBmhj1u-dRFRs_8GwSoA/edit#gid=0"",""Gestores Escolares!D7:m""),9,0),""VERIFICAR CÓD SEC"")"),"")</f>
        <v/>
      </c>
      <c r="R1324" s="82" t="str">
        <f>IFERROR(__xludf.DUMMYFUNCTION("IFERROR(VLOOKUP(D1324,
IMPORTRANGE(""https://docs.google.com/spreadsheets/d/1MjHtlUikwobi2MaWJgy7tfLeBmhj1u-dRFRs_8GwSoA/edit#gid=0"",""Gestores Escolares!D7:m""),10,0),""VERIFICAR CÓD SEC"")"),"")</f>
        <v/>
      </c>
      <c r="S1324" s="82"/>
      <c r="T1324" s="138">
        <v>2.0</v>
      </c>
      <c r="U1324" s="139">
        <v>2.0</v>
      </c>
      <c r="V1324" s="106">
        <v>0.0</v>
      </c>
      <c r="W1324" s="107">
        <v>0.0</v>
      </c>
      <c r="X1324" s="107">
        <v>0.0</v>
      </c>
      <c r="Y1324" s="107">
        <v>0.0</v>
      </c>
      <c r="Z1324" s="80">
        <f t="shared" si="1"/>
        <v>0</v>
      </c>
      <c r="AA1324" s="106">
        <v>0.0</v>
      </c>
      <c r="AB1324" s="107">
        <v>0.0</v>
      </c>
      <c r="AC1324" s="107">
        <v>0.0</v>
      </c>
      <c r="AD1324" s="107">
        <v>0.0</v>
      </c>
      <c r="AE1324" s="80">
        <f t="shared" si="2"/>
        <v>0</v>
      </c>
      <c r="AF1324" s="140">
        <v>32.0</v>
      </c>
      <c r="AG1324" s="109">
        <v>0.0</v>
      </c>
      <c r="AH1324" s="109">
        <v>0.0</v>
      </c>
      <c r="AI1324" s="141">
        <v>0.0</v>
      </c>
      <c r="AJ1324" s="80">
        <f t="shared" si="3"/>
        <v>32</v>
      </c>
      <c r="AK1324" s="140">
        <v>0.0</v>
      </c>
      <c r="AL1324" s="109">
        <v>0.0</v>
      </c>
      <c r="AM1324" s="141">
        <v>0.0</v>
      </c>
      <c r="AN1324" s="80">
        <f t="shared" si="4"/>
        <v>0</v>
      </c>
      <c r="AO1324" s="140">
        <v>0.0</v>
      </c>
      <c r="AP1324" s="109">
        <v>0.0</v>
      </c>
      <c r="AQ1324" s="109">
        <v>0.0</v>
      </c>
      <c r="AR1324" s="80">
        <f t="shared" si="5"/>
        <v>0</v>
      </c>
      <c r="AS1324" s="110">
        <v>0.0</v>
      </c>
      <c r="AT1324" s="110">
        <v>0.0</v>
      </c>
      <c r="AU1324" s="110">
        <v>0.0</v>
      </c>
      <c r="AV1324" s="142">
        <v>0.0</v>
      </c>
      <c r="AW1324" s="80">
        <f t="shared" si="6"/>
        <v>0</v>
      </c>
      <c r="AX1324" s="113">
        <f t="shared" si="7"/>
        <v>32</v>
      </c>
      <c r="AY1324" s="117">
        <f t="shared" si="8"/>
        <v>32</v>
      </c>
      <c r="AZ1324" s="120">
        <f t="shared" si="9"/>
        <v>0</v>
      </c>
      <c r="BA1324" s="115">
        <v>0.0</v>
      </c>
      <c r="BB1324" s="89">
        <f t="shared" si="10"/>
        <v>32</v>
      </c>
      <c r="BC1324" s="132" t="s">
        <v>373</v>
      </c>
      <c r="BD1324" s="132" t="s">
        <v>178</v>
      </c>
      <c r="BE1324" s="132" t="s">
        <v>178</v>
      </c>
      <c r="BF1324" s="123"/>
      <c r="BG1324" s="83">
        <v>1179173.0</v>
      </c>
      <c r="BH1324" s="112"/>
      <c r="BI1324" s="112">
        <v>2.0</v>
      </c>
      <c r="BJ1324" s="98" t="s">
        <v>155</v>
      </c>
      <c r="BK1324" s="99">
        <f t="shared" si="11"/>
        <v>0</v>
      </c>
      <c r="BL1324" s="99">
        <f t="shared" si="12"/>
        <v>32</v>
      </c>
      <c r="BM1324" s="99" t="str">
        <f>IFERROR(__xludf.DUMMYFUNCTION("IFERROR(VLOOKUP(BG1324,IMPORTRANGE(""https://docs.google.com/spreadsheets/d/1juPI-Fb8LD0YtltB2mlGEnp_R3UVu1t3wSFPzgCyHXE/edit?gid=0#gid=0"",""GERAL!A2:C""),3,0),""-"")"),"CAMPO")</f>
        <v>CAMPO</v>
      </c>
    </row>
    <row r="1325" ht="15.75" customHeight="1">
      <c r="A1325" s="111" t="s">
        <v>1573</v>
      </c>
      <c r="B1325" s="83" t="s">
        <v>2437</v>
      </c>
      <c r="C1325" s="83" t="s">
        <v>164</v>
      </c>
      <c r="D1325" s="112">
        <v>1131739.0</v>
      </c>
      <c r="E1325" s="83">
        <v>1178904.0</v>
      </c>
      <c r="F1325" s="98">
        <v>2.9492637E7</v>
      </c>
      <c r="G1325" s="119" t="s">
        <v>7469</v>
      </c>
      <c r="H1325" s="91" t="s">
        <v>7470</v>
      </c>
      <c r="I1325" s="83" t="s">
        <v>149</v>
      </c>
      <c r="J1325" s="83" t="s">
        <v>252</v>
      </c>
      <c r="K1325" s="83" t="s">
        <v>168</v>
      </c>
      <c r="L1325" s="83" t="s">
        <v>169</v>
      </c>
      <c r="M1325" s="82" t="str">
        <f>IFERROR(__xludf.DUMMYFUNCTION("IFERROR(VLOOKUP(D1325,
IMPORTRANGE(""https://docs.google.com/spreadsheets/d/1MjHtlUikwobi2MaWJgy7tfLeBmhj1u-dRFRs_8GwSoA/edit#gid=0"",""Gestores Escolares!D7:J""),3,0),""VERIFICAR CÓD SEC"")"),"ANA PAULA DE CASTRO BRITO")</f>
        <v>ANA PAULA DE CASTRO BRITO</v>
      </c>
      <c r="N1325" s="82" t="str">
        <f>IFERROR(__xludf.DUMMYFUNCTION("IFERROR(VLOOKUP(D1325,
IMPORTRANGE(""https://docs.google.com/spreadsheets/d/1MjHtlUikwobi2MaWJgy7tfLeBmhj1u-dRFRs_8GwSoA/edit#gid=0"",""Gestores Escolares!D7:J""),4,0),""VERIFICAR CÓD SEC"")"),"(77) 9 9915-4190")</f>
        <v>(77) 9 9915-4190</v>
      </c>
      <c r="O1325" s="82" t="str">
        <f>IFERROR(__xludf.DUMMYFUNCTION("IFERROR(VLOOKUP(D1325,
IMPORTRANGE(""https://docs.google.com/spreadsheets/d/1MjHtlUikwobi2MaWJgy7tfLeBmhj1u-dRFRs_8GwSoA/edit#gid=0"",""Gestores Escolares!D7:J""),6,0),""VERIFICAR CÓD SEC"")"),"")</f>
        <v/>
      </c>
      <c r="P1325" s="82" t="str">
        <f>IFERROR(__xludf.DUMMYFUNCTION("IFERROR(VLOOKUP(D1325,
IMPORTRANGE(""https://docs.google.com/spreadsheets/d/1MjHtlUikwobi2MaWJgy7tfLeBmhj1u-dRFRs_8GwSoA/edit#gid=0"",""Gestores Escolares!D7:J""),7,0),""VERIFICAR CÓD SEC"")"),"")</f>
        <v/>
      </c>
      <c r="Q1325" s="82" t="str">
        <f>IFERROR(__xludf.DUMMYFUNCTION("IFERROR(VLOOKUP(D1325,
IMPORTRANGE(""https://docs.google.com/spreadsheets/d/1MjHtlUikwobi2MaWJgy7tfLeBmhj1u-dRFRs_8GwSoA/edit#gid=0"",""Gestores Escolares!D7:m""),9,0),""VERIFICAR CÓD SEC"")"),"")</f>
        <v/>
      </c>
      <c r="R1325" s="82" t="str">
        <f>IFERROR(__xludf.DUMMYFUNCTION("IFERROR(VLOOKUP(D1325,
IMPORTRANGE(""https://docs.google.com/spreadsheets/d/1MjHtlUikwobi2MaWJgy7tfLeBmhj1u-dRFRs_8GwSoA/edit#gid=0"",""Gestores Escolares!D7:m""),10,0),""VERIFICAR CÓD SEC"")"),"")</f>
        <v/>
      </c>
      <c r="S1325" s="82"/>
      <c r="T1325" s="138">
        <v>1.0</v>
      </c>
      <c r="U1325" s="139">
        <v>1.0</v>
      </c>
      <c r="V1325" s="106">
        <v>0.0</v>
      </c>
      <c r="W1325" s="107">
        <v>0.0</v>
      </c>
      <c r="X1325" s="107">
        <v>0.0</v>
      </c>
      <c r="Y1325" s="107">
        <v>0.0</v>
      </c>
      <c r="Z1325" s="80">
        <f t="shared" si="1"/>
        <v>0</v>
      </c>
      <c r="AA1325" s="106">
        <v>0.0</v>
      </c>
      <c r="AB1325" s="107">
        <v>0.0</v>
      </c>
      <c r="AC1325" s="107">
        <v>0.0</v>
      </c>
      <c r="AD1325" s="107">
        <v>0.0</v>
      </c>
      <c r="AE1325" s="80">
        <f t="shared" si="2"/>
        <v>0</v>
      </c>
      <c r="AF1325" s="140">
        <v>0.0</v>
      </c>
      <c r="AG1325" s="109">
        <v>117.0</v>
      </c>
      <c r="AH1325" s="109">
        <v>0.0</v>
      </c>
      <c r="AI1325" s="141">
        <v>0.0</v>
      </c>
      <c r="AJ1325" s="80">
        <f t="shared" si="3"/>
        <v>117</v>
      </c>
      <c r="AK1325" s="140">
        <v>0.0</v>
      </c>
      <c r="AL1325" s="109">
        <v>0.0</v>
      </c>
      <c r="AM1325" s="141">
        <v>0.0</v>
      </c>
      <c r="AN1325" s="80">
        <f t="shared" si="4"/>
        <v>0</v>
      </c>
      <c r="AO1325" s="140">
        <v>0.0</v>
      </c>
      <c r="AP1325" s="109">
        <v>0.0</v>
      </c>
      <c r="AQ1325" s="109">
        <v>0.0</v>
      </c>
      <c r="AR1325" s="80">
        <f t="shared" si="5"/>
        <v>0</v>
      </c>
      <c r="AS1325" s="110">
        <v>0.0</v>
      </c>
      <c r="AT1325" s="110">
        <v>0.0</v>
      </c>
      <c r="AU1325" s="110">
        <v>0.0</v>
      </c>
      <c r="AV1325" s="142">
        <v>0.0</v>
      </c>
      <c r="AW1325" s="80">
        <f t="shared" si="6"/>
        <v>0</v>
      </c>
      <c r="AX1325" s="113">
        <f t="shared" si="7"/>
        <v>117</v>
      </c>
      <c r="AY1325" s="117">
        <f t="shared" si="8"/>
        <v>117</v>
      </c>
      <c r="AZ1325" s="120">
        <f t="shared" si="9"/>
        <v>0</v>
      </c>
      <c r="BA1325" s="115">
        <v>0.0</v>
      </c>
      <c r="BB1325" s="89">
        <f t="shared" si="10"/>
        <v>117</v>
      </c>
      <c r="BC1325" s="132" t="s">
        <v>373</v>
      </c>
      <c r="BD1325" s="132" t="s">
        <v>178</v>
      </c>
      <c r="BE1325" s="132" t="s">
        <v>178</v>
      </c>
      <c r="BF1325" s="123"/>
      <c r="BG1325" s="83">
        <v>1178904.0</v>
      </c>
      <c r="BH1325" s="112"/>
      <c r="BI1325" s="112">
        <v>1.0</v>
      </c>
      <c r="BJ1325" s="98" t="s">
        <v>155</v>
      </c>
      <c r="BK1325" s="99">
        <f t="shared" si="11"/>
        <v>0</v>
      </c>
      <c r="BL1325" s="99">
        <f t="shared" si="12"/>
        <v>117</v>
      </c>
      <c r="BM1325" s="99" t="str">
        <f>IFERROR(__xludf.DUMMYFUNCTION("IFERROR(VLOOKUP(BG1325,IMPORTRANGE(""https://docs.google.com/spreadsheets/d/1juPI-Fb8LD0YtltB2mlGEnp_R3UVu1t3wSFPzgCyHXE/edit?gid=0#gid=0"",""GERAL!A2:C""),3,0),""-"")"),"CAMPO")</f>
        <v>CAMPO</v>
      </c>
    </row>
    <row r="1326" ht="15.75" customHeight="1">
      <c r="A1326" s="111" t="s">
        <v>1629</v>
      </c>
      <c r="B1326" s="136" t="s">
        <v>7471</v>
      </c>
      <c r="C1326" s="83" t="s">
        <v>68</v>
      </c>
      <c r="D1326" s="112">
        <v>1179245.0</v>
      </c>
      <c r="E1326" s="136"/>
      <c r="F1326" s="136">
        <v>2.9456886E7</v>
      </c>
      <c r="G1326" s="147" t="s">
        <v>7472</v>
      </c>
      <c r="H1326" s="91" t="s">
        <v>7475</v>
      </c>
      <c r="I1326" s="83" t="s">
        <v>7477</v>
      </c>
      <c r="J1326" s="83" t="s">
        <v>464</v>
      </c>
      <c r="K1326" s="83" t="s">
        <v>168</v>
      </c>
      <c r="L1326" s="83" t="s">
        <v>169</v>
      </c>
      <c r="M1326" s="82" t="str">
        <f>IFERROR(__xludf.DUMMYFUNCTION("IFERROR(VLOOKUP(D1326,
IMPORTRANGE(""https://docs.google.com/spreadsheets/d/1MjHtlUikwobi2MaWJgy7tfLeBmhj1u-dRFRs_8GwSoA/edit#gid=0"",""Gestores Escolares!D7:J""),3,0),""VERIFICAR CÓD SEC"")"),"SEM DIREÇÃO - TATIANE ARAÚJO DOS SANTOS (Coordenadora Indígena)")</f>
        <v>SEM DIREÇÃO - TATIANE ARAÚJO DOS SANTOS (Coordenadora Indígena)</v>
      </c>
      <c r="N1326" s="82" t="str">
        <f>IFERROR(__xludf.DUMMYFUNCTION("IFERROR(VLOOKUP(D1326,
IMPORTRANGE(""https://docs.google.com/spreadsheets/d/1MjHtlUikwobi2MaWJgy7tfLeBmhj1u-dRFRs_8GwSoA/edit#gid=0"",""Gestores Escolares!D7:J""),4,0),""VERIFICAR CÓD SEC"")")," (75) 9 8800-1574/9 9878-0467")</f>
        <v> (75) 9 8800-1574/9 9878-0467</v>
      </c>
      <c r="O1326" s="82" t="str">
        <f>IFERROR(__xludf.DUMMYFUNCTION("IFERROR(VLOOKUP(D1326,
IMPORTRANGE(""https://docs.google.com/spreadsheets/d/1MjHtlUikwobi2MaWJgy7tfLeBmhj1u-dRFRs_8GwSoA/edit#gid=0"",""Gestores Escolares!D7:J""),6,0),""VERIFICAR CÓD SEC"")"),"SEM VICE - MARIA SANTÍSSIMA DE AGUIAR SANTOS
(SECRETÁRIA ESCOLAR) - Consegue responder tudo sobre a escola")</f>
        <v>SEM VICE - MARIA SANTÍSSIMA DE AGUIAR SANTOS
(SECRETÁRIA ESCOLAR) - Consegue responder tudo sobre a escola</v>
      </c>
      <c r="P1326" s="82" t="str">
        <f>IFERROR(__xludf.DUMMYFUNCTION("IFERROR(VLOOKUP(D1326,
IMPORTRANGE(""https://docs.google.com/spreadsheets/d/1MjHtlUikwobi2MaWJgy7tfLeBmhj1u-dRFRs_8GwSoA/edit#gid=0"",""Gestores Escolares!D7:J""),7,0),""VERIFICAR CÓD SEC"")"),"(87) 9 9102 - 4258")</f>
        <v>(87) 9 9102 - 4258</v>
      </c>
      <c r="Q1326" s="82" t="str">
        <f>IFERROR(__xludf.DUMMYFUNCTION("IFERROR(VLOOKUP(D1326,
IMPORTRANGE(""https://docs.google.com/spreadsheets/d/1MjHtlUikwobi2MaWJgy7tfLeBmhj1u-dRFRs_8GwSoA/edit#gid=0"",""Gestores Escolares!D7:m""),9,0),""VERIFICAR CÓD SEC"")"),"")</f>
        <v/>
      </c>
      <c r="R1326" s="82" t="str">
        <f>IFERROR(__xludf.DUMMYFUNCTION("IFERROR(VLOOKUP(D1326,
IMPORTRANGE(""https://docs.google.com/spreadsheets/d/1MjHtlUikwobi2MaWJgy7tfLeBmhj1u-dRFRs_8GwSoA/edit#gid=0"",""Gestores Escolares!D7:m""),10,0),""VERIFICAR CÓD SEC"")"),"")</f>
        <v/>
      </c>
      <c r="S1326" s="82"/>
      <c r="T1326" s="138">
        <v>3.0</v>
      </c>
      <c r="U1326" s="152">
        <v>3.0</v>
      </c>
      <c r="V1326" s="106">
        <v>0.0</v>
      </c>
      <c r="W1326" s="107">
        <v>0.0</v>
      </c>
      <c r="X1326" s="107">
        <v>0.0</v>
      </c>
      <c r="Y1326" s="107">
        <v>0.0</v>
      </c>
      <c r="Z1326" s="80">
        <f t="shared" si="1"/>
        <v>0</v>
      </c>
      <c r="AA1326" s="106">
        <v>0.0</v>
      </c>
      <c r="AB1326" s="107">
        <v>0.0</v>
      </c>
      <c r="AC1326" s="107">
        <v>0.0</v>
      </c>
      <c r="AD1326" s="107">
        <v>0.0</v>
      </c>
      <c r="AE1326" s="80">
        <f t="shared" si="2"/>
        <v>0</v>
      </c>
      <c r="AF1326" s="140">
        <v>0.0</v>
      </c>
      <c r="AG1326" s="109">
        <v>60.0</v>
      </c>
      <c r="AH1326" s="109">
        <v>42.0</v>
      </c>
      <c r="AI1326" s="141">
        <v>0.0</v>
      </c>
      <c r="AJ1326" s="80">
        <f t="shared" si="3"/>
        <v>102</v>
      </c>
      <c r="AK1326" s="140">
        <v>0.0</v>
      </c>
      <c r="AL1326" s="109">
        <v>0.0</v>
      </c>
      <c r="AM1326" s="141">
        <v>0.0</v>
      </c>
      <c r="AN1326" s="80">
        <f t="shared" si="4"/>
        <v>0</v>
      </c>
      <c r="AO1326" s="140">
        <v>0.0</v>
      </c>
      <c r="AP1326" s="109">
        <v>0.0</v>
      </c>
      <c r="AQ1326" s="109">
        <v>0.0</v>
      </c>
      <c r="AR1326" s="80">
        <f t="shared" si="5"/>
        <v>0</v>
      </c>
      <c r="AS1326" s="110">
        <v>0.0</v>
      </c>
      <c r="AT1326" s="110">
        <v>0.0</v>
      </c>
      <c r="AU1326" s="110">
        <v>0.0</v>
      </c>
      <c r="AV1326" s="142">
        <v>0.0</v>
      </c>
      <c r="AW1326" s="80">
        <f t="shared" si="6"/>
        <v>0</v>
      </c>
      <c r="AX1326" s="113">
        <f t="shared" si="7"/>
        <v>102</v>
      </c>
      <c r="AY1326" s="117">
        <f t="shared" si="8"/>
        <v>60</v>
      </c>
      <c r="AZ1326" s="120">
        <f t="shared" si="9"/>
        <v>42</v>
      </c>
      <c r="BA1326" s="115">
        <v>0.0</v>
      </c>
      <c r="BB1326" s="89">
        <f t="shared" si="10"/>
        <v>102</v>
      </c>
      <c r="BC1326" s="143" t="s">
        <v>1294</v>
      </c>
      <c r="BD1326" s="132" t="s">
        <v>178</v>
      </c>
      <c r="BE1326" s="132" t="s">
        <v>178</v>
      </c>
      <c r="BF1326" s="156"/>
      <c r="BG1326" s="83">
        <v>1179245.0</v>
      </c>
      <c r="BH1326" s="629"/>
      <c r="BI1326" s="112">
        <v>3.0</v>
      </c>
      <c r="BJ1326" s="98" t="s">
        <v>155</v>
      </c>
      <c r="BK1326" s="99">
        <f t="shared" si="11"/>
        <v>0</v>
      </c>
      <c r="BL1326" s="99">
        <f t="shared" si="12"/>
        <v>60</v>
      </c>
      <c r="BM1326" s="99" t="str">
        <f>IFERROR(__xludf.DUMMYFUNCTION("IFERROR(VLOOKUP(BG1326,IMPORTRANGE(""https://docs.google.com/spreadsheets/d/1juPI-Fb8LD0YtltB2mlGEnp_R3UVu1t3wSFPzgCyHXE/edit?gid=0#gid=0"",""GERAL!A2:C""),3,0),""-"")"),"INDÍGENAS")</f>
        <v>INDÍGENAS</v>
      </c>
    </row>
    <row r="1327" ht="15.75" customHeight="1">
      <c r="A1327" s="111" t="s">
        <v>1629</v>
      </c>
      <c r="B1327" s="136" t="s">
        <v>7471</v>
      </c>
      <c r="C1327" s="83" t="s">
        <v>68</v>
      </c>
      <c r="D1327" s="112">
        <v>1113927.0</v>
      </c>
      <c r="E1327" s="136"/>
      <c r="F1327" s="136">
        <v>2.9033047E7</v>
      </c>
      <c r="G1327" s="187" t="s">
        <v>7487</v>
      </c>
      <c r="H1327" s="91" t="s">
        <v>7488</v>
      </c>
      <c r="I1327" s="136" t="s">
        <v>7489</v>
      </c>
      <c r="J1327" s="83" t="s">
        <v>923</v>
      </c>
      <c r="K1327" s="83" t="s">
        <v>168</v>
      </c>
      <c r="L1327" s="83" t="s">
        <v>169</v>
      </c>
      <c r="M1327" s="82" t="str">
        <f>IFERROR(__xludf.DUMMYFUNCTION("IFERROR(VLOOKUP(D1327,
IMPORTRANGE(""https://docs.google.com/spreadsheets/d/1MjHtlUikwobi2MaWJgy7tfLeBmhj1u-dRFRs_8GwSoA/edit#gid=0"",""Gestores Escolares!D7:J""),3,0),""VERIFICAR CÓD SEC"")"),"FATIMA CRISTIANE PEREIRA FONTES")</f>
        <v>FATIMA CRISTIANE PEREIRA FONTES</v>
      </c>
      <c r="N1327" s="82" t="str">
        <f>IFERROR(__xludf.DUMMYFUNCTION("IFERROR(VLOOKUP(D1327,
IMPORTRANGE(""https://docs.google.com/spreadsheets/d/1MjHtlUikwobi2MaWJgy7tfLeBmhj1u-dRFRs_8GwSoA/edit#gid=0"",""Gestores Escolares!D7:J""),4,0),""VERIFICAR CÓD SEC"")"),"(87) 9 9818 - 2110")</f>
        <v>(87) 9 9818 - 2110</v>
      </c>
      <c r="O1327" s="82" t="str">
        <f>IFERROR(__xludf.DUMMYFUNCTION("IFERROR(VLOOKUP(D1327,
IMPORTRANGE(""https://docs.google.com/spreadsheets/d/1MjHtlUikwobi2MaWJgy7tfLeBmhj1u-dRFRs_8GwSoA/edit#gid=0"",""Gestores Escolares!D7:J""),6,0),""VERIFICAR CÓD SEC"")"),"MARIA LUZANEIDE DOS SANTOS MAIA")</f>
        <v>MARIA LUZANEIDE DOS SANTOS MAIA</v>
      </c>
      <c r="P1327" s="82" t="str">
        <f>IFERROR(__xludf.DUMMYFUNCTION("IFERROR(VLOOKUP(D1327,
IMPORTRANGE(""https://docs.google.com/spreadsheets/d/1MjHtlUikwobi2MaWJgy7tfLeBmhj1u-dRFRs_8GwSoA/edit#gid=0"",""Gestores Escolares!D7:J""),7,0),""VERIFICAR CÓD SEC"")"),"(87) 9 9116 - 4535/ 9 9649 - 4006")</f>
        <v>(87) 9 9116 - 4535/ 9 9649 - 4006</v>
      </c>
      <c r="Q1327" s="82" t="str">
        <f>IFERROR(__xludf.DUMMYFUNCTION("IFERROR(VLOOKUP(D1327,
IMPORTRANGE(""https://docs.google.com/spreadsheets/d/1MjHtlUikwobi2MaWJgy7tfLeBmhj1u-dRFRs_8GwSoA/edit#gid=0"",""Gestores Escolares!D7:m""),9,0),""VERIFICAR CÓD SEC"")"),"")</f>
        <v/>
      </c>
      <c r="R1327" s="82" t="str">
        <f>IFERROR(__xludf.DUMMYFUNCTION("IFERROR(VLOOKUP(D1327,
IMPORTRANGE(""https://docs.google.com/spreadsheets/d/1MjHtlUikwobi2MaWJgy7tfLeBmhj1u-dRFRs_8GwSoA/edit#gid=0"",""Gestores Escolares!D7:m""),10,0),""VERIFICAR CÓD SEC"")"),"")</f>
        <v/>
      </c>
      <c r="S1327" s="82"/>
      <c r="T1327" s="138">
        <v>5.0</v>
      </c>
      <c r="U1327" s="217" t="s">
        <v>3035</v>
      </c>
      <c r="V1327" s="106">
        <v>0.0</v>
      </c>
      <c r="W1327" s="107">
        <v>0.0</v>
      </c>
      <c r="X1327" s="107">
        <v>0.0</v>
      </c>
      <c r="Y1327" s="107">
        <v>0.0</v>
      </c>
      <c r="Z1327" s="80">
        <f t="shared" si="1"/>
        <v>0</v>
      </c>
      <c r="AA1327" s="106">
        <v>0.0</v>
      </c>
      <c r="AB1327" s="107">
        <v>0.0</v>
      </c>
      <c r="AC1327" s="107">
        <v>0.0</v>
      </c>
      <c r="AD1327" s="107">
        <v>0.0</v>
      </c>
      <c r="AE1327" s="80">
        <f t="shared" si="2"/>
        <v>0</v>
      </c>
      <c r="AF1327" s="140">
        <v>97.0</v>
      </c>
      <c r="AG1327" s="109">
        <v>140.0</v>
      </c>
      <c r="AH1327" s="109">
        <v>0.0</v>
      </c>
      <c r="AI1327" s="141">
        <v>0.0</v>
      </c>
      <c r="AJ1327" s="80">
        <f t="shared" si="3"/>
        <v>237</v>
      </c>
      <c r="AK1327" s="140">
        <v>0.0</v>
      </c>
      <c r="AL1327" s="109">
        <v>0.0</v>
      </c>
      <c r="AM1327" s="141">
        <v>0.0</v>
      </c>
      <c r="AN1327" s="80">
        <f t="shared" si="4"/>
        <v>0</v>
      </c>
      <c r="AO1327" s="140">
        <v>0.0</v>
      </c>
      <c r="AP1327" s="109">
        <v>0.0</v>
      </c>
      <c r="AQ1327" s="109">
        <v>19.0</v>
      </c>
      <c r="AR1327" s="80">
        <f t="shared" si="5"/>
        <v>19</v>
      </c>
      <c r="AS1327" s="110">
        <v>0.0</v>
      </c>
      <c r="AT1327" s="110">
        <v>0.0</v>
      </c>
      <c r="AU1327" s="110">
        <v>0.0</v>
      </c>
      <c r="AV1327" s="142">
        <v>0.0</v>
      </c>
      <c r="AW1327" s="80">
        <f t="shared" si="6"/>
        <v>0</v>
      </c>
      <c r="AX1327" s="113">
        <f t="shared" si="7"/>
        <v>256</v>
      </c>
      <c r="AY1327" s="117">
        <f t="shared" si="8"/>
        <v>237</v>
      </c>
      <c r="AZ1327" s="120">
        <f t="shared" si="9"/>
        <v>19</v>
      </c>
      <c r="BA1327" s="115">
        <v>0.0</v>
      </c>
      <c r="BB1327" s="89">
        <f t="shared" si="10"/>
        <v>256</v>
      </c>
      <c r="BC1327" s="132" t="s">
        <v>373</v>
      </c>
      <c r="BD1327" s="132" t="s">
        <v>178</v>
      </c>
      <c r="BE1327" s="132" t="s">
        <v>178</v>
      </c>
      <c r="BF1327" s="123"/>
      <c r="BG1327" s="83">
        <v>1113927.0</v>
      </c>
      <c r="BH1327" s="98" t="s">
        <v>7490</v>
      </c>
      <c r="BI1327" s="112">
        <v>5.0</v>
      </c>
      <c r="BJ1327" s="98" t="s">
        <v>155</v>
      </c>
      <c r="BK1327" s="99">
        <f t="shared" si="11"/>
        <v>0</v>
      </c>
      <c r="BL1327" s="99">
        <f t="shared" si="12"/>
        <v>237</v>
      </c>
      <c r="BM1327" s="99" t="str">
        <f>IFERROR(__xludf.DUMMYFUNCTION("IFERROR(VLOOKUP(BG1327,IMPORTRANGE(""https://docs.google.com/spreadsheets/d/1juPI-Fb8LD0YtltB2mlGEnp_R3UVu1t3wSFPzgCyHXE/edit?gid=0#gid=0"",""GERAL!A2:C""),3,0),""-"")"),"CAMPO")</f>
        <v>CAMPO</v>
      </c>
    </row>
    <row r="1328" ht="15.75" customHeight="1">
      <c r="A1328" s="111" t="s">
        <v>1629</v>
      </c>
      <c r="B1328" s="136" t="s">
        <v>7471</v>
      </c>
      <c r="C1328" s="83" t="s">
        <v>68</v>
      </c>
      <c r="D1328" s="112">
        <v>1113960.0</v>
      </c>
      <c r="E1328" s="136"/>
      <c r="F1328" s="136">
        <v>2.9032539E7</v>
      </c>
      <c r="G1328" s="153" t="s">
        <v>7505</v>
      </c>
      <c r="H1328" s="108" t="s">
        <v>7506</v>
      </c>
      <c r="I1328" s="136" t="s">
        <v>149</v>
      </c>
      <c r="J1328" s="83" t="s">
        <v>150</v>
      </c>
      <c r="K1328" s="83" t="s">
        <v>151</v>
      </c>
      <c r="L1328" s="98" t="s">
        <v>230</v>
      </c>
      <c r="M1328" s="82" t="str">
        <f>IFERROR(__xludf.DUMMYFUNCTION("IFERROR(VLOOKUP(D1328,
IMPORTRANGE(""https://docs.google.com/spreadsheets/d/1MjHtlUikwobi2MaWJgy7tfLeBmhj1u-dRFRs_8GwSoA/edit#gid=0"",""Gestores Escolares!D7:J""),3,0),""VERIFICAR CÓD SEC"")")," ALISSON RICARDO DOS SANTOS")</f>
        <v> ALISSON RICARDO DOS SANTOS</v>
      </c>
      <c r="N1328" s="82" t="str">
        <f>IFERROR(__xludf.DUMMYFUNCTION("IFERROR(VLOOKUP(D1328,
IMPORTRANGE(""https://docs.google.com/spreadsheets/d/1MjHtlUikwobi2MaWJgy7tfLeBmhj1u-dRFRs_8GwSoA/edit#gid=0"",""Gestores Escolares!D7:J""),4,0),""VERIFICAR CÓD SEC"")"),"(75) 9 9826-6582
")</f>
        <v>(75) 9 9826-6582
</v>
      </c>
      <c r="O1328" s="82" t="str">
        <f>IFERROR(__xludf.DUMMYFUNCTION("IFERROR(VLOOKUP(D1328,
IMPORTRANGE(""https://docs.google.com/spreadsheets/d/1MjHtlUikwobi2MaWJgy7tfLeBmhj1u-dRFRs_8GwSoA/edit#gid=0"",""Gestores Escolares!D7:J""),6,0),""VERIFICAR CÓD SEC"")"),"ANTONIO FRANCISCO JERICO JUNIOR")</f>
        <v>ANTONIO FRANCISCO JERICO JUNIOR</v>
      </c>
      <c r="P1328" s="82" t="str">
        <f>IFERROR(__xludf.DUMMYFUNCTION("IFERROR(VLOOKUP(D1328,
IMPORTRANGE(""https://docs.google.com/spreadsheets/d/1MjHtlUikwobi2MaWJgy7tfLeBmhj1u-dRFRs_8GwSoA/edit#gid=0"",""Gestores Escolares!D7:J""),7,0),""VERIFICAR CÓD SEC"")"),"(74) 9 9943-8360")</f>
        <v>(74) 9 9943-8360</v>
      </c>
      <c r="Q1328" s="82" t="str">
        <f>IFERROR(__xludf.DUMMYFUNCTION("IFERROR(VLOOKUP(D1328,
IMPORTRANGE(""https://docs.google.com/spreadsheets/d/1MjHtlUikwobi2MaWJgy7tfLeBmhj1u-dRFRs_8GwSoA/edit#gid=0"",""Gestores Escolares!D7:m""),9,0),""VERIFICAR CÓD SEC"")"),"")</f>
        <v/>
      </c>
      <c r="R1328" s="82" t="str">
        <f>IFERROR(__xludf.DUMMYFUNCTION("IFERROR(VLOOKUP(D1328,
IMPORTRANGE(""https://docs.google.com/spreadsheets/d/1MjHtlUikwobi2MaWJgy7tfLeBmhj1u-dRFRs_8GwSoA/edit#gid=0"",""Gestores Escolares!D7:m""),10,0),""VERIFICAR CÓD SEC"")"),"")</f>
        <v/>
      </c>
      <c r="S1328" s="82"/>
      <c r="T1328" s="138">
        <v>10.0</v>
      </c>
      <c r="U1328" s="217">
        <v>12.0</v>
      </c>
      <c r="V1328" s="106">
        <v>0.0</v>
      </c>
      <c r="W1328" s="107">
        <v>0.0</v>
      </c>
      <c r="X1328" s="107">
        <v>0.0</v>
      </c>
      <c r="Y1328" s="107">
        <v>0.0</v>
      </c>
      <c r="Z1328" s="80">
        <f t="shared" si="1"/>
        <v>0</v>
      </c>
      <c r="AA1328" s="106">
        <v>0.0</v>
      </c>
      <c r="AB1328" s="107">
        <v>0.0</v>
      </c>
      <c r="AC1328" s="107">
        <v>0.0</v>
      </c>
      <c r="AD1328" s="107">
        <v>0.0</v>
      </c>
      <c r="AE1328" s="80">
        <f t="shared" si="2"/>
        <v>0</v>
      </c>
      <c r="AF1328" s="140">
        <v>0.0</v>
      </c>
      <c r="AG1328" s="109">
        <v>110.0</v>
      </c>
      <c r="AH1328" s="109">
        <v>0.0</v>
      </c>
      <c r="AI1328" s="141">
        <v>218.0</v>
      </c>
      <c r="AJ1328" s="80">
        <f t="shared" si="3"/>
        <v>328</v>
      </c>
      <c r="AK1328" s="140">
        <v>0.0</v>
      </c>
      <c r="AL1328" s="109">
        <v>0.0</v>
      </c>
      <c r="AM1328" s="141">
        <v>0.0</v>
      </c>
      <c r="AN1328" s="80">
        <f t="shared" si="4"/>
        <v>0</v>
      </c>
      <c r="AO1328" s="140">
        <v>0.0</v>
      </c>
      <c r="AP1328" s="109">
        <v>0.0</v>
      </c>
      <c r="AQ1328" s="109">
        <v>63.0</v>
      </c>
      <c r="AR1328" s="80">
        <f t="shared" si="5"/>
        <v>63</v>
      </c>
      <c r="AS1328" s="110">
        <v>0.0</v>
      </c>
      <c r="AT1328" s="110">
        <v>0.0</v>
      </c>
      <c r="AU1328" s="110">
        <v>0.0</v>
      </c>
      <c r="AV1328" s="142">
        <v>65.0</v>
      </c>
      <c r="AW1328" s="80">
        <f t="shared" si="6"/>
        <v>65</v>
      </c>
      <c r="AX1328" s="113">
        <f t="shared" si="7"/>
        <v>456</v>
      </c>
      <c r="AY1328" s="117">
        <f t="shared" si="8"/>
        <v>393</v>
      </c>
      <c r="AZ1328" s="120">
        <f t="shared" si="9"/>
        <v>63</v>
      </c>
      <c r="BA1328" s="115">
        <v>0.0</v>
      </c>
      <c r="BB1328" s="89">
        <f t="shared" si="10"/>
        <v>456</v>
      </c>
      <c r="BC1328" s="132" t="s">
        <v>178</v>
      </c>
      <c r="BD1328" s="132" t="s">
        <v>178</v>
      </c>
      <c r="BE1328" s="132" t="s">
        <v>178</v>
      </c>
      <c r="BF1328" s="123"/>
      <c r="BG1328" s="83">
        <v>1113960.0</v>
      </c>
      <c r="BH1328" s="98" t="s">
        <v>13884</v>
      </c>
      <c r="BI1328" s="112">
        <v>10.0</v>
      </c>
      <c r="BJ1328" s="98" t="s">
        <v>162</v>
      </c>
      <c r="BK1328" s="99">
        <f t="shared" si="11"/>
        <v>283</v>
      </c>
      <c r="BL1328" s="99">
        <f t="shared" si="12"/>
        <v>110</v>
      </c>
      <c r="BM1328" s="99" t="str">
        <f>IFERROR(__xludf.DUMMYFUNCTION("IFERROR(VLOOKUP(BG1328,IMPORTRANGE(""https://docs.google.com/spreadsheets/d/1juPI-Fb8LD0YtltB2mlGEnp_R3UVu1t3wSFPzgCyHXE/edit?gid=0#gid=0"",""GERAL!A2:C""),3,0),""-"")"),"-")</f>
        <v>-</v>
      </c>
    </row>
    <row r="1329" ht="15.75" customHeight="1">
      <c r="A1329" s="111" t="s">
        <v>1629</v>
      </c>
      <c r="B1329" s="83" t="s">
        <v>7471</v>
      </c>
      <c r="C1329" s="83" t="s">
        <v>164</v>
      </c>
      <c r="D1329" s="112">
        <v>1113960.0</v>
      </c>
      <c r="E1329" s="83">
        <v>1178576.0</v>
      </c>
      <c r="F1329" s="98">
        <v>2.949365E7</v>
      </c>
      <c r="G1329" s="119" t="s">
        <v>7516</v>
      </c>
      <c r="H1329" s="91" t="s">
        <v>7518</v>
      </c>
      <c r="I1329" s="136" t="s">
        <v>7520</v>
      </c>
      <c r="J1329" s="83" t="s">
        <v>252</v>
      </c>
      <c r="K1329" s="83" t="s">
        <v>168</v>
      </c>
      <c r="L1329" s="83" t="s">
        <v>169</v>
      </c>
      <c r="M1329" s="82" t="str">
        <f>IFERROR(__xludf.DUMMYFUNCTION("IFERROR(VLOOKUP(D1329,
IMPORTRANGE(""https://docs.google.com/spreadsheets/d/1MjHtlUikwobi2MaWJgy7tfLeBmhj1u-dRFRs_8GwSoA/edit#gid=0"",""Gestores Escolares!D7:J""),3,0),""VERIFICAR CÓD SEC"")")," ALISSON RICARDO DOS SANTOS")</f>
        <v> ALISSON RICARDO DOS SANTOS</v>
      </c>
      <c r="N1329" s="82" t="str">
        <f>IFERROR(__xludf.DUMMYFUNCTION("IFERROR(VLOOKUP(D1329,
IMPORTRANGE(""https://docs.google.com/spreadsheets/d/1MjHtlUikwobi2MaWJgy7tfLeBmhj1u-dRFRs_8GwSoA/edit#gid=0"",""Gestores Escolares!D7:J""),4,0),""VERIFICAR CÓD SEC"")"),"(75) 9 9826-6582
")</f>
        <v>(75) 9 9826-6582
</v>
      </c>
      <c r="O1329" s="82" t="str">
        <f>IFERROR(__xludf.DUMMYFUNCTION("IFERROR(VLOOKUP(D1329,
IMPORTRANGE(""https://docs.google.com/spreadsheets/d/1MjHtlUikwobi2MaWJgy7tfLeBmhj1u-dRFRs_8GwSoA/edit#gid=0"",""Gestores Escolares!D7:J""),6,0),""VERIFICAR CÓD SEC"")"),"ANTONIO FRANCISCO JERICO JUNIOR")</f>
        <v>ANTONIO FRANCISCO JERICO JUNIOR</v>
      </c>
      <c r="P1329" s="82" t="str">
        <f>IFERROR(__xludf.DUMMYFUNCTION("IFERROR(VLOOKUP(D1329,
IMPORTRANGE(""https://docs.google.com/spreadsheets/d/1MjHtlUikwobi2MaWJgy7tfLeBmhj1u-dRFRs_8GwSoA/edit#gid=0"",""Gestores Escolares!D7:J""),7,0),""VERIFICAR CÓD SEC"")"),"(74) 9 9943-8360")</f>
        <v>(74) 9 9943-8360</v>
      </c>
      <c r="Q1329" s="82" t="str">
        <f>IFERROR(__xludf.DUMMYFUNCTION("IFERROR(VLOOKUP(D1329,
IMPORTRANGE(""https://docs.google.com/spreadsheets/d/1MjHtlUikwobi2MaWJgy7tfLeBmhj1u-dRFRs_8GwSoA/edit#gid=0"",""Gestores Escolares!D7:m""),9,0),""VERIFICAR CÓD SEC"")"),"")</f>
        <v/>
      </c>
      <c r="R1329" s="82" t="str">
        <f>IFERROR(__xludf.DUMMYFUNCTION("IFERROR(VLOOKUP(D1329,
IMPORTRANGE(""https://docs.google.com/spreadsheets/d/1MjHtlUikwobi2MaWJgy7tfLeBmhj1u-dRFRs_8GwSoA/edit#gid=0"",""Gestores Escolares!D7:m""),10,0),""VERIFICAR CÓD SEC"")"),"")</f>
        <v/>
      </c>
      <c r="S1329" s="82"/>
      <c r="T1329" s="138">
        <v>2.0</v>
      </c>
      <c r="U1329" s="217">
        <v>2.0</v>
      </c>
      <c r="V1329" s="106">
        <v>0.0</v>
      </c>
      <c r="W1329" s="107">
        <v>0.0</v>
      </c>
      <c r="X1329" s="107">
        <v>0.0</v>
      </c>
      <c r="Y1329" s="107">
        <v>0.0</v>
      </c>
      <c r="Z1329" s="80">
        <f t="shared" si="1"/>
        <v>0</v>
      </c>
      <c r="AA1329" s="106">
        <v>0.0</v>
      </c>
      <c r="AB1329" s="107">
        <v>0.0</v>
      </c>
      <c r="AC1329" s="107">
        <v>0.0</v>
      </c>
      <c r="AD1329" s="107">
        <v>0.0</v>
      </c>
      <c r="AE1329" s="80">
        <f t="shared" si="2"/>
        <v>0</v>
      </c>
      <c r="AF1329" s="140">
        <v>9.0</v>
      </c>
      <c r="AG1329" s="109">
        <v>29.0</v>
      </c>
      <c r="AH1329" s="109">
        <v>0.0</v>
      </c>
      <c r="AI1329" s="141">
        <v>0.0</v>
      </c>
      <c r="AJ1329" s="80">
        <f t="shared" si="3"/>
        <v>38</v>
      </c>
      <c r="AK1329" s="140">
        <v>0.0</v>
      </c>
      <c r="AL1329" s="109">
        <v>0.0</v>
      </c>
      <c r="AM1329" s="141">
        <v>0.0</v>
      </c>
      <c r="AN1329" s="80">
        <f t="shared" si="4"/>
        <v>0</v>
      </c>
      <c r="AO1329" s="140">
        <v>0.0</v>
      </c>
      <c r="AP1329" s="109">
        <v>0.0</v>
      </c>
      <c r="AQ1329" s="109">
        <v>0.0</v>
      </c>
      <c r="AR1329" s="80">
        <f t="shared" si="5"/>
        <v>0</v>
      </c>
      <c r="AS1329" s="110">
        <v>0.0</v>
      </c>
      <c r="AT1329" s="110">
        <v>0.0</v>
      </c>
      <c r="AU1329" s="110">
        <v>0.0</v>
      </c>
      <c r="AV1329" s="142">
        <v>0.0</v>
      </c>
      <c r="AW1329" s="80">
        <f t="shared" si="6"/>
        <v>0</v>
      </c>
      <c r="AX1329" s="113">
        <f t="shared" si="7"/>
        <v>38</v>
      </c>
      <c r="AY1329" s="117">
        <f t="shared" si="8"/>
        <v>38</v>
      </c>
      <c r="AZ1329" s="120">
        <f t="shared" si="9"/>
        <v>0</v>
      </c>
      <c r="BA1329" s="115">
        <v>0.0</v>
      </c>
      <c r="BB1329" s="89">
        <f t="shared" si="10"/>
        <v>38</v>
      </c>
      <c r="BC1329" s="132" t="s">
        <v>373</v>
      </c>
      <c r="BD1329" s="132" t="s">
        <v>178</v>
      </c>
      <c r="BE1329" s="132" t="s">
        <v>178</v>
      </c>
      <c r="BF1329" s="123"/>
      <c r="BG1329" s="83">
        <v>1178576.0</v>
      </c>
      <c r="BH1329" s="144"/>
      <c r="BI1329" s="112">
        <v>2.0</v>
      </c>
      <c r="BJ1329" s="98" t="s">
        <v>155</v>
      </c>
      <c r="BK1329" s="99">
        <f t="shared" si="11"/>
        <v>0</v>
      </c>
      <c r="BL1329" s="99">
        <f t="shared" si="12"/>
        <v>38</v>
      </c>
      <c r="BM1329" s="99" t="str">
        <f>IFERROR(__xludf.DUMMYFUNCTION("IFERROR(VLOOKUP(BG1329,IMPORTRANGE(""https://docs.google.com/spreadsheets/d/1juPI-Fb8LD0YtltB2mlGEnp_R3UVu1t3wSFPzgCyHXE/edit?gid=0#gid=0"",""GERAL!A2:C""),3,0),""-"")"),"CAMPO")</f>
        <v>CAMPO</v>
      </c>
    </row>
    <row r="1330" ht="15.75" customHeight="1">
      <c r="A1330" s="111" t="s">
        <v>1629</v>
      </c>
      <c r="B1330" s="83" t="s">
        <v>7471</v>
      </c>
      <c r="C1330" s="83" t="s">
        <v>164</v>
      </c>
      <c r="D1330" s="112">
        <v>1113960.0</v>
      </c>
      <c r="E1330" s="83">
        <v>1178575.0</v>
      </c>
      <c r="F1330" s="98">
        <v>2.9491274E7</v>
      </c>
      <c r="G1330" s="119" t="s">
        <v>7526</v>
      </c>
      <c r="H1330" s="91" t="s">
        <v>7527</v>
      </c>
      <c r="I1330" s="136" t="s">
        <v>7528</v>
      </c>
      <c r="J1330" s="83" t="s">
        <v>7529</v>
      </c>
      <c r="K1330" s="83" t="s">
        <v>168</v>
      </c>
      <c r="L1330" s="83" t="s">
        <v>169</v>
      </c>
      <c r="M1330" s="82" t="str">
        <f>IFERROR(__xludf.DUMMYFUNCTION("IFERROR(VLOOKUP(D1330,
IMPORTRANGE(""https://docs.google.com/spreadsheets/d/1MjHtlUikwobi2MaWJgy7tfLeBmhj1u-dRFRs_8GwSoA/edit#gid=0"",""Gestores Escolares!D7:J""),3,0),""VERIFICAR CÓD SEC"")")," ALISSON RICARDO DOS SANTOS")</f>
        <v> ALISSON RICARDO DOS SANTOS</v>
      </c>
      <c r="N1330" s="82" t="str">
        <f>IFERROR(__xludf.DUMMYFUNCTION("IFERROR(VLOOKUP(D1330,
IMPORTRANGE(""https://docs.google.com/spreadsheets/d/1MjHtlUikwobi2MaWJgy7tfLeBmhj1u-dRFRs_8GwSoA/edit#gid=0"",""Gestores Escolares!D7:J""),4,0),""VERIFICAR CÓD SEC"")"),"(75) 9 9826-6582
")</f>
        <v>(75) 9 9826-6582
</v>
      </c>
      <c r="O1330" s="82" t="str">
        <f>IFERROR(__xludf.DUMMYFUNCTION("IFERROR(VLOOKUP(D1330,
IMPORTRANGE(""https://docs.google.com/spreadsheets/d/1MjHtlUikwobi2MaWJgy7tfLeBmhj1u-dRFRs_8GwSoA/edit#gid=0"",""Gestores Escolares!D7:J""),6,0),""VERIFICAR CÓD SEC"")"),"ANTONIO FRANCISCO JERICO JUNIOR")</f>
        <v>ANTONIO FRANCISCO JERICO JUNIOR</v>
      </c>
      <c r="P1330" s="82" t="str">
        <f>IFERROR(__xludf.DUMMYFUNCTION("IFERROR(VLOOKUP(D1330,
IMPORTRANGE(""https://docs.google.com/spreadsheets/d/1MjHtlUikwobi2MaWJgy7tfLeBmhj1u-dRFRs_8GwSoA/edit#gid=0"",""Gestores Escolares!D7:J""),7,0),""VERIFICAR CÓD SEC"")"),"(74) 9 9943-8360")</f>
        <v>(74) 9 9943-8360</v>
      </c>
      <c r="Q1330" s="82" t="str">
        <f>IFERROR(__xludf.DUMMYFUNCTION("IFERROR(VLOOKUP(D1330,
IMPORTRANGE(""https://docs.google.com/spreadsheets/d/1MjHtlUikwobi2MaWJgy7tfLeBmhj1u-dRFRs_8GwSoA/edit#gid=0"",""Gestores Escolares!D7:m""),9,0),""VERIFICAR CÓD SEC"")"),"")</f>
        <v/>
      </c>
      <c r="R1330" s="82" t="str">
        <f>IFERROR(__xludf.DUMMYFUNCTION("IFERROR(VLOOKUP(D1330,
IMPORTRANGE(""https://docs.google.com/spreadsheets/d/1MjHtlUikwobi2MaWJgy7tfLeBmhj1u-dRFRs_8GwSoA/edit#gid=0"",""Gestores Escolares!D7:m""),10,0),""VERIFICAR CÓD SEC"")"),"")</f>
        <v/>
      </c>
      <c r="S1330" s="82"/>
      <c r="T1330" s="138">
        <v>3.0</v>
      </c>
      <c r="U1330" s="152">
        <v>3.0</v>
      </c>
      <c r="V1330" s="106">
        <v>0.0</v>
      </c>
      <c r="W1330" s="107">
        <v>0.0</v>
      </c>
      <c r="X1330" s="107">
        <v>0.0</v>
      </c>
      <c r="Y1330" s="107">
        <v>0.0</v>
      </c>
      <c r="Z1330" s="80">
        <f t="shared" si="1"/>
        <v>0</v>
      </c>
      <c r="AA1330" s="106">
        <v>0.0</v>
      </c>
      <c r="AB1330" s="107">
        <v>0.0</v>
      </c>
      <c r="AC1330" s="107">
        <v>0.0</v>
      </c>
      <c r="AD1330" s="107">
        <v>0.0</v>
      </c>
      <c r="AE1330" s="80">
        <f t="shared" si="2"/>
        <v>0</v>
      </c>
      <c r="AF1330" s="140">
        <v>0.0</v>
      </c>
      <c r="AG1330" s="109">
        <v>53.0</v>
      </c>
      <c r="AH1330" s="109">
        <v>0.0</v>
      </c>
      <c r="AI1330" s="141">
        <v>0.0</v>
      </c>
      <c r="AJ1330" s="80">
        <f t="shared" si="3"/>
        <v>53</v>
      </c>
      <c r="AK1330" s="140">
        <v>0.0</v>
      </c>
      <c r="AL1330" s="109">
        <v>0.0</v>
      </c>
      <c r="AM1330" s="141">
        <v>0.0</v>
      </c>
      <c r="AN1330" s="80">
        <f t="shared" si="4"/>
        <v>0</v>
      </c>
      <c r="AO1330" s="140">
        <v>0.0</v>
      </c>
      <c r="AP1330" s="109">
        <v>0.0</v>
      </c>
      <c r="AQ1330" s="109">
        <v>0.0</v>
      </c>
      <c r="AR1330" s="80">
        <f t="shared" si="5"/>
        <v>0</v>
      </c>
      <c r="AS1330" s="110">
        <v>0.0</v>
      </c>
      <c r="AT1330" s="110">
        <v>0.0</v>
      </c>
      <c r="AU1330" s="110">
        <v>0.0</v>
      </c>
      <c r="AV1330" s="142">
        <v>0.0</v>
      </c>
      <c r="AW1330" s="80">
        <f t="shared" si="6"/>
        <v>0</v>
      </c>
      <c r="AX1330" s="113">
        <f t="shared" si="7"/>
        <v>53</v>
      </c>
      <c r="AY1330" s="117">
        <f t="shared" si="8"/>
        <v>53</v>
      </c>
      <c r="AZ1330" s="120">
        <f t="shared" si="9"/>
        <v>0</v>
      </c>
      <c r="BA1330" s="115">
        <v>0.0</v>
      </c>
      <c r="BB1330" s="89">
        <f t="shared" si="10"/>
        <v>53</v>
      </c>
      <c r="BC1330" s="132" t="s">
        <v>373</v>
      </c>
      <c r="BD1330" s="132" t="s">
        <v>178</v>
      </c>
      <c r="BE1330" s="132" t="s">
        <v>178</v>
      </c>
      <c r="BF1330" s="123"/>
      <c r="BG1330" s="83">
        <v>1178575.0</v>
      </c>
      <c r="BH1330" s="144"/>
      <c r="BI1330" s="112">
        <v>3.0</v>
      </c>
      <c r="BJ1330" s="98" t="s">
        <v>155</v>
      </c>
      <c r="BK1330" s="99">
        <f t="shared" si="11"/>
        <v>0</v>
      </c>
      <c r="BL1330" s="99">
        <f t="shared" si="12"/>
        <v>53</v>
      </c>
      <c r="BM1330" s="99" t="str">
        <f>IFERROR(__xludf.DUMMYFUNCTION("IFERROR(VLOOKUP(BG1330,IMPORTRANGE(""https://docs.google.com/spreadsheets/d/1juPI-Fb8LD0YtltB2mlGEnp_R3UVu1t3wSFPzgCyHXE/edit?gid=0#gid=0"",""GERAL!A2:C""),3,0),""-"")"),"CAMPO")</f>
        <v>CAMPO</v>
      </c>
    </row>
    <row r="1331" ht="15.75" customHeight="1">
      <c r="A1331" s="111" t="s">
        <v>1629</v>
      </c>
      <c r="B1331" s="83" t="s">
        <v>2190</v>
      </c>
      <c r="C1331" s="83" t="s">
        <v>68</v>
      </c>
      <c r="D1331" s="112">
        <v>1113994.0</v>
      </c>
      <c r="E1331" s="83"/>
      <c r="F1331" s="83">
        <v>2.9033187E7</v>
      </c>
      <c r="G1331" s="119" t="s">
        <v>7537</v>
      </c>
      <c r="H1331" s="91" t="s">
        <v>7538</v>
      </c>
      <c r="I1331" s="136" t="s">
        <v>7539</v>
      </c>
      <c r="J1331" s="83" t="s">
        <v>1074</v>
      </c>
      <c r="K1331" s="83" t="s">
        <v>168</v>
      </c>
      <c r="L1331" s="83" t="s">
        <v>169</v>
      </c>
      <c r="M1331" s="82" t="str">
        <f>IFERROR(__xludf.DUMMYFUNCTION("IFERROR(VLOOKUP(D1331,
IMPORTRANGE(""https://docs.google.com/spreadsheets/d/1MjHtlUikwobi2MaWJgy7tfLeBmhj1u-dRFRs_8GwSoA/edit#gid=0"",""Gestores Escolares!D7:J""),3,0),""VERIFICAR CÓD SEC"")"),"EMANOEL JACKSON BARBOSA PEREIRA")</f>
        <v>EMANOEL JACKSON BARBOSA PEREIRA</v>
      </c>
      <c r="N1331" s="82" t="str">
        <f>IFERROR(__xludf.DUMMYFUNCTION("IFERROR(VLOOKUP(D1331,
IMPORTRANGE(""https://docs.google.com/spreadsheets/d/1MjHtlUikwobi2MaWJgy7tfLeBmhj1u-dRFRs_8GwSoA/edit#gid=0"",""Gestores Escolares!D7:J""),4,0),""VERIFICAR CÓD SEC"")"),"(75) 9 9935 - 2517")</f>
        <v>(75) 9 9935 - 2517</v>
      </c>
      <c r="O1331" s="82" t="str">
        <f>IFERROR(__xludf.DUMMYFUNCTION("IFERROR(VLOOKUP(D1331,
IMPORTRANGE(""https://docs.google.com/spreadsheets/d/1MjHtlUikwobi2MaWJgy7tfLeBmhj1u-dRFRs_8GwSoA/edit#gid=0"",""Gestores Escolares!D7:J""),6,0),""VERIFICAR CÓD SEC"")"),"GLEICE SILVA LEITE")</f>
        <v>GLEICE SILVA LEITE</v>
      </c>
      <c r="P1331" s="82" t="str">
        <f>IFERROR(__xludf.DUMMYFUNCTION("IFERROR(VLOOKUP(D1331,
IMPORTRANGE(""https://docs.google.com/spreadsheets/d/1MjHtlUikwobi2MaWJgy7tfLeBmhj1u-dRFRs_8GwSoA/edit#gid=0"",""Gestores Escolares!D7:J""),7,0),""VERIFICAR CÓD SEC"")"),"(87) 9 9160-6449")</f>
        <v>(87) 9 9160-6449</v>
      </c>
      <c r="Q1331" s="82" t="str">
        <f>IFERROR(__xludf.DUMMYFUNCTION("IFERROR(VLOOKUP(D1331,
IMPORTRANGE(""https://docs.google.com/spreadsheets/d/1MjHtlUikwobi2MaWJgy7tfLeBmhj1u-dRFRs_8GwSoA/edit#gid=0"",""Gestores Escolares!D7:m""),9,0),""VERIFICAR CÓD SEC"")"),"")</f>
        <v/>
      </c>
      <c r="R1331" s="82" t="str">
        <f>IFERROR(__xludf.DUMMYFUNCTION("IFERROR(VLOOKUP(D1331,
IMPORTRANGE(""https://docs.google.com/spreadsheets/d/1MjHtlUikwobi2MaWJgy7tfLeBmhj1u-dRFRs_8GwSoA/edit#gid=0"",""Gestores Escolares!D7:m""),10,0),""VERIFICAR CÓD SEC"")"),"")</f>
        <v/>
      </c>
      <c r="S1331" s="82"/>
      <c r="T1331" s="138">
        <v>6.0</v>
      </c>
      <c r="U1331" s="145" t="s">
        <v>13885</v>
      </c>
      <c r="V1331" s="106">
        <v>0.0</v>
      </c>
      <c r="W1331" s="107">
        <v>0.0</v>
      </c>
      <c r="X1331" s="107">
        <v>0.0</v>
      </c>
      <c r="Y1331" s="107">
        <v>0.0</v>
      </c>
      <c r="Z1331" s="80">
        <f t="shared" si="1"/>
        <v>0</v>
      </c>
      <c r="AA1331" s="106">
        <v>0.0</v>
      </c>
      <c r="AB1331" s="107">
        <v>0.0</v>
      </c>
      <c r="AC1331" s="107">
        <v>0.0</v>
      </c>
      <c r="AD1331" s="107">
        <v>0.0</v>
      </c>
      <c r="AE1331" s="80">
        <f t="shared" si="2"/>
        <v>0</v>
      </c>
      <c r="AF1331" s="140">
        <v>96.0</v>
      </c>
      <c r="AG1331" s="109">
        <v>64.0</v>
      </c>
      <c r="AH1331" s="109">
        <v>0.0</v>
      </c>
      <c r="AI1331" s="141">
        <v>0.0</v>
      </c>
      <c r="AJ1331" s="80">
        <f t="shared" si="3"/>
        <v>160</v>
      </c>
      <c r="AK1331" s="140">
        <v>0.0</v>
      </c>
      <c r="AL1331" s="109">
        <v>0.0</v>
      </c>
      <c r="AM1331" s="141">
        <v>0.0</v>
      </c>
      <c r="AN1331" s="80">
        <f t="shared" si="4"/>
        <v>0</v>
      </c>
      <c r="AO1331" s="140">
        <v>0.0</v>
      </c>
      <c r="AP1331" s="109">
        <v>0.0</v>
      </c>
      <c r="AQ1331" s="109">
        <v>36.0</v>
      </c>
      <c r="AR1331" s="80">
        <f t="shared" si="5"/>
        <v>36</v>
      </c>
      <c r="AS1331" s="110">
        <v>0.0</v>
      </c>
      <c r="AT1331" s="110">
        <v>0.0</v>
      </c>
      <c r="AU1331" s="110">
        <v>0.0</v>
      </c>
      <c r="AV1331" s="142">
        <v>0.0</v>
      </c>
      <c r="AW1331" s="80">
        <f t="shared" si="6"/>
        <v>0</v>
      </c>
      <c r="AX1331" s="113">
        <f t="shared" si="7"/>
        <v>196</v>
      </c>
      <c r="AY1331" s="117">
        <f t="shared" si="8"/>
        <v>160</v>
      </c>
      <c r="AZ1331" s="120">
        <f t="shared" si="9"/>
        <v>36</v>
      </c>
      <c r="BA1331" s="115">
        <v>0.0</v>
      </c>
      <c r="BB1331" s="89">
        <f t="shared" si="10"/>
        <v>196</v>
      </c>
      <c r="BC1331" s="132" t="s">
        <v>373</v>
      </c>
      <c r="BD1331" s="132" t="s">
        <v>178</v>
      </c>
      <c r="BE1331" s="132" t="s">
        <v>178</v>
      </c>
      <c r="BF1331" s="123"/>
      <c r="BG1331" s="83">
        <v>1113994.0</v>
      </c>
      <c r="BH1331" s="112"/>
      <c r="BI1331" s="112">
        <v>6.0</v>
      </c>
      <c r="BJ1331" s="98" t="s">
        <v>155</v>
      </c>
      <c r="BK1331" s="99">
        <f t="shared" si="11"/>
        <v>0</v>
      </c>
      <c r="BL1331" s="99">
        <f t="shared" si="12"/>
        <v>160</v>
      </c>
      <c r="BM1331" s="99" t="str">
        <f>IFERROR(__xludf.DUMMYFUNCTION("IFERROR(VLOOKUP(BG1331,IMPORTRANGE(""https://docs.google.com/spreadsheets/d/1juPI-Fb8LD0YtltB2mlGEnp_R3UVu1t3wSFPzgCyHXE/edit?gid=0#gid=0"",""GERAL!A2:C""),3,0),""-"")"),"CAMPO")</f>
        <v>CAMPO</v>
      </c>
    </row>
    <row r="1332" ht="15.75" customHeight="1">
      <c r="A1332" s="111" t="s">
        <v>1629</v>
      </c>
      <c r="B1332" s="83" t="s">
        <v>2190</v>
      </c>
      <c r="C1332" s="83" t="s">
        <v>68</v>
      </c>
      <c r="D1332" s="112">
        <v>1178070.0</v>
      </c>
      <c r="E1332" s="83"/>
      <c r="F1332" s="83">
        <v>2.9424526E7</v>
      </c>
      <c r="G1332" s="153" t="s">
        <v>6040</v>
      </c>
      <c r="H1332" s="91" t="s">
        <v>7559</v>
      </c>
      <c r="I1332" s="136" t="s">
        <v>149</v>
      </c>
      <c r="J1332" s="83" t="s">
        <v>150</v>
      </c>
      <c r="K1332" s="83" t="s">
        <v>151</v>
      </c>
      <c r="L1332" s="98" t="s">
        <v>230</v>
      </c>
      <c r="M1332" s="82" t="str">
        <f>IFERROR(__xludf.DUMMYFUNCTION("IFERROR(VLOOKUP(D1332,
IMPORTRANGE(""https://docs.google.com/spreadsheets/d/1MjHtlUikwobi2MaWJgy7tfLeBmhj1u-dRFRs_8GwSoA/edit#gid=0"",""Gestores Escolares!D7:J""),3,0),""VERIFICAR CÓD SEC"")"),"JOANA DARC DA SILVA BELFORT")</f>
        <v>JOANA DARC DA SILVA BELFORT</v>
      </c>
      <c r="N1332" s="82" t="str">
        <f>IFERROR(__xludf.DUMMYFUNCTION("IFERROR(VLOOKUP(D1332,
IMPORTRANGE(""https://docs.google.com/spreadsheets/d/1MjHtlUikwobi2MaWJgy7tfLeBmhj1u-dRFRs_8GwSoA/edit#gid=0"",""Gestores Escolares!D7:J""),4,0),""VERIFICAR CÓD SEC"")")," (75) 9 9822-2073")</f>
        <v> (75) 9 9822-2073</v>
      </c>
      <c r="O1332" s="82" t="str">
        <f>IFERROR(__xludf.DUMMYFUNCTION("IFERROR(VLOOKUP(D1332,
IMPORTRANGE(""https://docs.google.com/spreadsheets/d/1MjHtlUikwobi2MaWJgy7tfLeBmhj1u-dRFRs_8GwSoA/edit#gid=0"",""Gestores Escolares!D7:J""),6,0),""VERIFICAR CÓD SEC"")"),"DANIEL DA SILVA COSTA")</f>
        <v>DANIEL DA SILVA COSTA</v>
      </c>
      <c r="P1332" s="82" t="str">
        <f>IFERROR(__xludf.DUMMYFUNCTION("IFERROR(VLOOKUP(D1332,
IMPORTRANGE(""https://docs.google.com/spreadsheets/d/1MjHtlUikwobi2MaWJgy7tfLeBmhj1u-dRFRs_8GwSoA/edit#gid=0"",""Gestores Escolares!D7:J""),7,0),""VERIFICAR CÓD SEC"")"),"(75) 9 9704-1956")</f>
        <v>(75) 9 9704-1956</v>
      </c>
      <c r="Q1332" s="82" t="str">
        <f>IFERROR(__xludf.DUMMYFUNCTION("IFERROR(VLOOKUP(D1332,
IMPORTRANGE(""https://docs.google.com/spreadsheets/d/1MjHtlUikwobi2MaWJgy7tfLeBmhj1u-dRFRs_8GwSoA/edit#gid=0"",""Gestores Escolares!D7:m""),9,0),""VERIFICAR CÓD SEC"")"),"ARTUR MAGNO FIAIS BARRETO")</f>
        <v>ARTUR MAGNO FIAIS BARRETO</v>
      </c>
      <c r="R1332" s="82" t="str">
        <f>IFERROR(__xludf.DUMMYFUNCTION("IFERROR(VLOOKUP(D1332,
IMPORTRANGE(""https://docs.google.com/spreadsheets/d/1MjHtlUikwobi2MaWJgy7tfLeBmhj1u-dRFRs_8GwSoA/edit#gid=0"",""Gestores Escolares!D7:m""),10,0),""VERIFICAR CÓD SEC"")"),"(71) 9 8338-1492")</f>
        <v>(71) 9 8338-1492</v>
      </c>
      <c r="S1332" s="82"/>
      <c r="T1332" s="138">
        <v>7.0</v>
      </c>
      <c r="U1332" s="145">
        <v>12.0</v>
      </c>
      <c r="V1332" s="106">
        <v>0.0</v>
      </c>
      <c r="W1332" s="107">
        <v>0.0</v>
      </c>
      <c r="X1332" s="107">
        <v>0.0</v>
      </c>
      <c r="Y1332" s="107">
        <v>0.0</v>
      </c>
      <c r="Z1332" s="80">
        <f t="shared" si="1"/>
        <v>0</v>
      </c>
      <c r="AA1332" s="106">
        <v>0.0</v>
      </c>
      <c r="AB1332" s="107">
        <v>0.0</v>
      </c>
      <c r="AC1332" s="107">
        <v>0.0</v>
      </c>
      <c r="AD1332" s="107">
        <v>0.0</v>
      </c>
      <c r="AE1332" s="80">
        <f t="shared" si="2"/>
        <v>0</v>
      </c>
      <c r="AF1332" s="140">
        <v>0.0</v>
      </c>
      <c r="AG1332" s="109">
        <v>144.0</v>
      </c>
      <c r="AH1332" s="109">
        <v>0.0</v>
      </c>
      <c r="AI1332" s="141">
        <v>31.0</v>
      </c>
      <c r="AJ1332" s="80">
        <f t="shared" si="3"/>
        <v>175</v>
      </c>
      <c r="AK1332" s="140">
        <v>0.0</v>
      </c>
      <c r="AL1332" s="109">
        <v>0.0</v>
      </c>
      <c r="AM1332" s="141">
        <v>0.0</v>
      </c>
      <c r="AN1332" s="80">
        <f t="shared" si="4"/>
        <v>0</v>
      </c>
      <c r="AO1332" s="140">
        <v>0.0</v>
      </c>
      <c r="AP1332" s="109">
        <v>0.0</v>
      </c>
      <c r="AQ1332" s="109">
        <v>0.0</v>
      </c>
      <c r="AR1332" s="80">
        <f t="shared" si="5"/>
        <v>0</v>
      </c>
      <c r="AS1332" s="110">
        <v>0.0</v>
      </c>
      <c r="AT1332" s="110">
        <v>0.0</v>
      </c>
      <c r="AU1332" s="110">
        <v>21.0</v>
      </c>
      <c r="AV1332" s="142">
        <v>78.0</v>
      </c>
      <c r="AW1332" s="80">
        <f t="shared" si="6"/>
        <v>99</v>
      </c>
      <c r="AX1332" s="113">
        <f t="shared" si="7"/>
        <v>274</v>
      </c>
      <c r="AY1332" s="117">
        <f t="shared" si="8"/>
        <v>253</v>
      </c>
      <c r="AZ1332" s="120">
        <f t="shared" si="9"/>
        <v>21</v>
      </c>
      <c r="BA1332" s="115">
        <v>0.0</v>
      </c>
      <c r="BB1332" s="89">
        <f t="shared" si="10"/>
        <v>274</v>
      </c>
      <c r="BC1332" s="132" t="s">
        <v>178</v>
      </c>
      <c r="BD1332" s="132" t="s">
        <v>178</v>
      </c>
      <c r="BE1332" s="132" t="s">
        <v>178</v>
      </c>
      <c r="BF1332" s="123"/>
      <c r="BG1332" s="83">
        <v>1178070.0</v>
      </c>
      <c r="BH1332" s="112"/>
      <c r="BI1332" s="112">
        <v>4.0</v>
      </c>
      <c r="BJ1332" s="98" t="s">
        <v>162</v>
      </c>
      <c r="BK1332" s="99">
        <f t="shared" si="11"/>
        <v>109</v>
      </c>
      <c r="BL1332" s="99">
        <f t="shared" si="12"/>
        <v>144</v>
      </c>
      <c r="BM1332" s="99" t="str">
        <f>IFERROR(__xludf.DUMMYFUNCTION("IFERROR(VLOOKUP(BG1332,IMPORTRANGE(""https://docs.google.com/spreadsheets/d/1juPI-Fb8LD0YtltB2mlGEnp_R3UVu1t3wSFPzgCyHXE/edit?gid=0#gid=0"",""GERAL!A2:C""),3,0),""-"")"),"-")</f>
        <v>-</v>
      </c>
    </row>
    <row r="1333" ht="15.75" customHeight="1">
      <c r="A1333" s="111" t="s">
        <v>1629</v>
      </c>
      <c r="B1333" s="83" t="s">
        <v>2190</v>
      </c>
      <c r="C1333" s="83" t="s">
        <v>164</v>
      </c>
      <c r="D1333" s="112">
        <v>1178070.0</v>
      </c>
      <c r="E1333" s="83">
        <v>1179528.0</v>
      </c>
      <c r="F1333" s="98">
        <v>2.9491355E7</v>
      </c>
      <c r="G1333" s="114" t="s">
        <v>7568</v>
      </c>
      <c r="H1333" s="91" t="s">
        <v>7569</v>
      </c>
      <c r="I1333" s="136" t="s">
        <v>7570</v>
      </c>
      <c r="J1333" s="83" t="s">
        <v>2461</v>
      </c>
      <c r="K1333" s="83" t="s">
        <v>151</v>
      </c>
      <c r="L1333" s="83" t="s">
        <v>169</v>
      </c>
      <c r="M1333" s="82" t="str">
        <f>IFERROR(__xludf.DUMMYFUNCTION("IFERROR(VLOOKUP(D1333,
IMPORTRANGE(""https://docs.google.com/spreadsheets/d/1MjHtlUikwobi2MaWJgy7tfLeBmhj1u-dRFRs_8GwSoA/edit#gid=0"",""Gestores Escolares!D7:J""),3,0),""VERIFICAR CÓD SEC"")"),"JOANA DARC DA SILVA BELFORT")</f>
        <v>JOANA DARC DA SILVA BELFORT</v>
      </c>
      <c r="N1333" s="630" t="str">
        <f>IFERROR(__xludf.DUMMYFUNCTION("IFERROR(VLOOKUP(D1333,
IMPORTRANGE(""https://docs.google.com/spreadsheets/d/1MjHtlUikwobi2MaWJgy7tfLeBmhj1u-dRFRs_8GwSoA/edit#gid=0"",""Gestores Escolares!D7:J""),4,0),""VERIFICAR CÓD SEC"")")," (75) 9 9822-2073")</f>
        <v> (75) 9 9822-2073</v>
      </c>
      <c r="O1333" s="82" t="str">
        <f>IFERROR(__xludf.DUMMYFUNCTION("IFERROR(VLOOKUP(D1333,
IMPORTRANGE(""https://docs.google.com/spreadsheets/d/1MjHtlUikwobi2MaWJgy7tfLeBmhj1u-dRFRs_8GwSoA/edit#gid=0"",""Gestores Escolares!D7:J""),6,0),""VERIFICAR CÓD SEC"")"),"DANIEL DA SILVA COSTA")</f>
        <v>DANIEL DA SILVA COSTA</v>
      </c>
      <c r="P1333" s="82" t="str">
        <f>IFERROR(__xludf.DUMMYFUNCTION("IFERROR(VLOOKUP(D1333,
IMPORTRANGE(""https://docs.google.com/spreadsheets/d/1MjHtlUikwobi2MaWJgy7tfLeBmhj1u-dRFRs_8GwSoA/edit#gid=0"",""Gestores Escolares!D7:J""),7,0),""VERIFICAR CÓD SEC"")"),"(75) 9 9704-1956")</f>
        <v>(75) 9 9704-1956</v>
      </c>
      <c r="Q1333" s="82" t="str">
        <f>IFERROR(__xludf.DUMMYFUNCTION("IFERROR(VLOOKUP(D1333,
IMPORTRANGE(""https://docs.google.com/spreadsheets/d/1MjHtlUikwobi2MaWJgy7tfLeBmhj1u-dRFRs_8GwSoA/edit#gid=0"",""Gestores Escolares!D7:m""),9,0),""VERIFICAR CÓD SEC"")"),"ARTUR MAGNO FIAIS BARRETO")</f>
        <v>ARTUR MAGNO FIAIS BARRETO</v>
      </c>
      <c r="R1333" s="82" t="str">
        <f>IFERROR(__xludf.DUMMYFUNCTION("IFERROR(VLOOKUP(D1333,
IMPORTRANGE(""https://docs.google.com/spreadsheets/d/1MjHtlUikwobi2MaWJgy7tfLeBmhj1u-dRFRs_8GwSoA/edit#gid=0"",""Gestores Escolares!D7:m""),10,0),""VERIFICAR CÓD SEC"")"),"(71) 9 8338-1492")</f>
        <v>(71) 9 8338-1492</v>
      </c>
      <c r="S1333" s="82"/>
      <c r="T1333" s="138">
        <v>5.0</v>
      </c>
      <c r="U1333" s="145" t="s">
        <v>13886</v>
      </c>
      <c r="V1333" s="106">
        <v>0.0</v>
      </c>
      <c r="W1333" s="107">
        <v>0.0</v>
      </c>
      <c r="X1333" s="107">
        <v>0.0</v>
      </c>
      <c r="Y1333" s="107">
        <v>0.0</v>
      </c>
      <c r="Z1333" s="80">
        <f t="shared" si="1"/>
        <v>0</v>
      </c>
      <c r="AA1333" s="106">
        <v>0.0</v>
      </c>
      <c r="AB1333" s="107">
        <v>0.0</v>
      </c>
      <c r="AC1333" s="107">
        <v>0.0</v>
      </c>
      <c r="AD1333" s="107">
        <v>0.0</v>
      </c>
      <c r="AE1333" s="80">
        <f t="shared" si="2"/>
        <v>0</v>
      </c>
      <c r="AF1333" s="140">
        <v>0.0</v>
      </c>
      <c r="AG1333" s="109">
        <v>81.0</v>
      </c>
      <c r="AH1333" s="109">
        <v>0.0</v>
      </c>
      <c r="AI1333" s="141">
        <v>0.0</v>
      </c>
      <c r="AJ1333" s="80">
        <f t="shared" si="3"/>
        <v>81</v>
      </c>
      <c r="AK1333" s="140">
        <v>0.0</v>
      </c>
      <c r="AL1333" s="109">
        <v>0.0</v>
      </c>
      <c r="AM1333" s="141">
        <v>0.0</v>
      </c>
      <c r="AN1333" s="80">
        <f t="shared" si="4"/>
        <v>0</v>
      </c>
      <c r="AO1333" s="140">
        <v>0.0</v>
      </c>
      <c r="AP1333" s="109">
        <v>0.0</v>
      </c>
      <c r="AQ1333" s="109">
        <v>0.0</v>
      </c>
      <c r="AR1333" s="80">
        <f t="shared" si="5"/>
        <v>0</v>
      </c>
      <c r="AS1333" s="110">
        <v>0.0</v>
      </c>
      <c r="AT1333" s="110">
        <v>0.0</v>
      </c>
      <c r="AU1333" s="110">
        <v>0.0</v>
      </c>
      <c r="AV1333" s="142">
        <v>0.0</v>
      </c>
      <c r="AW1333" s="80">
        <f t="shared" si="6"/>
        <v>0</v>
      </c>
      <c r="AX1333" s="113">
        <f t="shared" si="7"/>
        <v>81</v>
      </c>
      <c r="AY1333" s="117">
        <f t="shared" si="8"/>
        <v>81</v>
      </c>
      <c r="AZ1333" s="120">
        <f t="shared" si="9"/>
        <v>0</v>
      </c>
      <c r="BA1333" s="115">
        <v>0.0</v>
      </c>
      <c r="BB1333" s="89">
        <f t="shared" si="10"/>
        <v>81</v>
      </c>
      <c r="BC1333" s="132" t="s">
        <v>373</v>
      </c>
      <c r="BD1333" s="132" t="s">
        <v>178</v>
      </c>
      <c r="BE1333" s="132" t="s">
        <v>178</v>
      </c>
      <c r="BF1333" s="156"/>
      <c r="BG1333" s="83">
        <v>1179528.0</v>
      </c>
      <c r="BH1333" s="112"/>
      <c r="BI1333" s="112">
        <v>3.0</v>
      </c>
      <c r="BJ1333" s="98" t="s">
        <v>155</v>
      </c>
      <c r="BK1333" s="99">
        <f t="shared" si="11"/>
        <v>0</v>
      </c>
      <c r="BL1333" s="99">
        <f t="shared" si="12"/>
        <v>81</v>
      </c>
      <c r="BM1333" s="99" t="str">
        <f>IFERROR(__xludf.DUMMYFUNCTION("IFERROR(VLOOKUP(BG1333,IMPORTRANGE(""https://docs.google.com/spreadsheets/d/1juPI-Fb8LD0YtltB2mlGEnp_R3UVu1t3wSFPzgCyHXE/edit?gid=0#gid=0"",""GERAL!A2:C""),3,0),""-"")"),"-")</f>
        <v>-</v>
      </c>
    </row>
    <row r="1334" ht="15.75" customHeight="1">
      <c r="A1334" s="111" t="s">
        <v>1629</v>
      </c>
      <c r="B1334" s="83" t="s">
        <v>2381</v>
      </c>
      <c r="C1334" s="83" t="s">
        <v>68</v>
      </c>
      <c r="D1334" s="112">
        <v>1179203.0</v>
      </c>
      <c r="E1334" s="83"/>
      <c r="F1334" s="83">
        <v>2.9373018E7</v>
      </c>
      <c r="G1334" s="114" t="s">
        <v>7571</v>
      </c>
      <c r="H1334" s="91" t="s">
        <v>7572</v>
      </c>
      <c r="I1334" s="136" t="s">
        <v>7573</v>
      </c>
      <c r="J1334" s="83" t="s">
        <v>464</v>
      </c>
      <c r="K1334" s="83" t="s">
        <v>151</v>
      </c>
      <c r="L1334" s="83" t="s">
        <v>169</v>
      </c>
      <c r="M1334" s="82" t="str">
        <f>IFERROR(__xludf.DUMMYFUNCTION("IFERROR(VLOOKUP(D1334,
IMPORTRANGE(""https://docs.google.com/spreadsheets/d/1MjHtlUikwobi2MaWJgy7tfLeBmhj1u-dRFRs_8GwSoA/edit#gid=0"",""Gestores Escolares!D7:J""),3,0),""VERIFICAR CÓD SEC"")"),"JEANE THAYS SILVA OLIVEIRA - (Licença à Maternidade de 01.06 até 27/11)")</f>
        <v>JEANE THAYS SILVA OLIVEIRA - (Licença à Maternidade de 01.06 até 27/11)</v>
      </c>
      <c r="N1334" s="82" t="str">
        <f>IFERROR(__xludf.DUMMYFUNCTION("IFERROR(VLOOKUP(D1334,
IMPORTRANGE(""https://docs.google.com/spreadsheets/d/1MjHtlUikwobi2MaWJgy7tfLeBmhj1u-dRFRs_8GwSoA/edit#gid=0"",""Gestores Escolares!D7:J""),4,0),""VERIFICAR CÓD SEC"")"),"(75) 9 9268-0235")</f>
        <v>(75) 9 9268-0235</v>
      </c>
      <c r="O1334" s="82" t="str">
        <f>IFERROR(__xludf.DUMMYFUNCTION("IFERROR(VLOOKUP(D1334,
IMPORTRANGE(""https://docs.google.com/spreadsheets/d/1MjHtlUikwobi2MaWJgy7tfLeBmhj1u-dRFRs_8GwSoA/edit#gid=0"",""Gestores Escolares!D7:J""),6,0),""VERIFICAR CÓD SEC"")"),"")</f>
        <v/>
      </c>
      <c r="P1334" s="82" t="str">
        <f>IFERROR(__xludf.DUMMYFUNCTION("IFERROR(VLOOKUP(D1334,
IMPORTRANGE(""https://docs.google.com/spreadsheets/d/1MjHtlUikwobi2MaWJgy7tfLeBmhj1u-dRFRs_8GwSoA/edit#gid=0"",""Gestores Escolares!D7:J""),7,0),""VERIFICAR CÓD SEC"")"),"")</f>
        <v/>
      </c>
      <c r="Q1334" s="82" t="str">
        <f>IFERROR(__xludf.DUMMYFUNCTION("IFERROR(VLOOKUP(D1334,
IMPORTRANGE(""https://docs.google.com/spreadsheets/d/1MjHtlUikwobi2MaWJgy7tfLeBmhj1u-dRFRs_8GwSoA/edit#gid=0"",""Gestores Escolares!D7:m""),9,0),""VERIFICAR CÓD SEC"")"),"")</f>
        <v/>
      </c>
      <c r="R1334" s="82" t="str">
        <f>IFERROR(__xludf.DUMMYFUNCTION("IFERROR(VLOOKUP(D1334,
IMPORTRANGE(""https://docs.google.com/spreadsheets/d/1MjHtlUikwobi2MaWJgy7tfLeBmhj1u-dRFRs_8GwSoA/edit#gid=0"",""Gestores Escolares!D7:m""),10,0),""VERIFICAR CÓD SEC"")"),"")</f>
        <v/>
      </c>
      <c r="S1334" s="82"/>
      <c r="T1334" s="138">
        <v>2.0</v>
      </c>
      <c r="U1334" s="139">
        <v>2.0</v>
      </c>
      <c r="V1334" s="106">
        <v>0.0</v>
      </c>
      <c r="W1334" s="107">
        <v>15.0</v>
      </c>
      <c r="X1334" s="107">
        <v>0.0</v>
      </c>
      <c r="Y1334" s="107">
        <v>0.0</v>
      </c>
      <c r="Z1334" s="80">
        <f t="shared" si="1"/>
        <v>15</v>
      </c>
      <c r="AA1334" s="106">
        <v>4.0</v>
      </c>
      <c r="AB1334" s="107">
        <v>8.0</v>
      </c>
      <c r="AC1334" s="107">
        <v>0.0</v>
      </c>
      <c r="AD1334" s="107">
        <v>0.0</v>
      </c>
      <c r="AE1334" s="80">
        <f t="shared" si="2"/>
        <v>12</v>
      </c>
      <c r="AF1334" s="140">
        <v>0.0</v>
      </c>
      <c r="AG1334" s="109">
        <v>0.0</v>
      </c>
      <c r="AH1334" s="109">
        <v>0.0</v>
      </c>
      <c r="AI1334" s="141">
        <v>0.0</v>
      </c>
      <c r="AJ1334" s="80">
        <f t="shared" si="3"/>
        <v>0</v>
      </c>
      <c r="AK1334" s="140">
        <v>0.0</v>
      </c>
      <c r="AL1334" s="109">
        <v>0.0</v>
      </c>
      <c r="AM1334" s="141">
        <v>0.0</v>
      </c>
      <c r="AN1334" s="80">
        <f t="shared" si="4"/>
        <v>0</v>
      </c>
      <c r="AO1334" s="140">
        <v>0.0</v>
      </c>
      <c r="AP1334" s="109">
        <v>0.0</v>
      </c>
      <c r="AQ1334" s="109">
        <v>0.0</v>
      </c>
      <c r="AR1334" s="80">
        <f t="shared" si="5"/>
        <v>0</v>
      </c>
      <c r="AS1334" s="110">
        <v>0.0</v>
      </c>
      <c r="AT1334" s="110">
        <v>0.0</v>
      </c>
      <c r="AU1334" s="110">
        <v>0.0</v>
      </c>
      <c r="AV1334" s="142">
        <v>0.0</v>
      </c>
      <c r="AW1334" s="80">
        <f t="shared" si="6"/>
        <v>0</v>
      </c>
      <c r="AX1334" s="113">
        <f t="shared" si="7"/>
        <v>27</v>
      </c>
      <c r="AY1334" s="117">
        <f t="shared" si="8"/>
        <v>27</v>
      </c>
      <c r="AZ1334" s="120">
        <f t="shared" si="9"/>
        <v>0</v>
      </c>
      <c r="BA1334" s="115">
        <v>0.0</v>
      </c>
      <c r="BB1334" s="89">
        <f t="shared" si="10"/>
        <v>27</v>
      </c>
      <c r="BC1334" s="143" t="s">
        <v>1294</v>
      </c>
      <c r="BD1334" s="132" t="s">
        <v>178</v>
      </c>
      <c r="BE1334" s="132" t="s">
        <v>178</v>
      </c>
      <c r="BF1334" s="123"/>
      <c r="BG1334" s="83">
        <v>1179203.0</v>
      </c>
      <c r="BH1334" s="112"/>
      <c r="BI1334" s="112">
        <v>2.0</v>
      </c>
      <c r="BJ1334" s="98" t="s">
        <v>155</v>
      </c>
      <c r="BK1334" s="99">
        <f t="shared" si="11"/>
        <v>0</v>
      </c>
      <c r="BL1334" s="99">
        <f t="shared" si="12"/>
        <v>27</v>
      </c>
      <c r="BM1334" s="99" t="str">
        <f>IFERROR(__xludf.DUMMYFUNCTION("IFERROR(VLOOKUP(BG1334,IMPORTRANGE(""https://docs.google.com/spreadsheets/d/1juPI-Fb8LD0YtltB2mlGEnp_R3UVu1t3wSFPzgCyHXE/edit?gid=0#gid=0"",""GERAL!A2:C""),3,0),""-"")"),"INDÍGENAS")</f>
        <v>INDÍGENAS</v>
      </c>
    </row>
    <row r="1335" ht="15.75" customHeight="1">
      <c r="A1335" s="111" t="s">
        <v>1629</v>
      </c>
      <c r="B1335" s="83" t="s">
        <v>2381</v>
      </c>
      <c r="C1335" s="83" t="s">
        <v>68</v>
      </c>
      <c r="D1335" s="112">
        <v>1179479.0</v>
      </c>
      <c r="E1335" s="83"/>
      <c r="F1335" s="83">
        <v>2.9739624E7</v>
      </c>
      <c r="G1335" s="114" t="s">
        <v>7582</v>
      </c>
      <c r="H1335" s="91" t="s">
        <v>7583</v>
      </c>
      <c r="I1335" s="83" t="s">
        <v>7584</v>
      </c>
      <c r="J1335" s="83" t="s">
        <v>464</v>
      </c>
      <c r="K1335" s="83" t="s">
        <v>151</v>
      </c>
      <c r="L1335" s="83" t="s">
        <v>169</v>
      </c>
      <c r="M1335" s="82" t="str">
        <f>IFERROR(__xludf.DUMMYFUNCTION("IFERROR(VLOOKUP(D1335,
IMPORTRANGE(""https://docs.google.com/spreadsheets/d/1MjHtlUikwobi2MaWJgy7tfLeBmhj1u-dRFRs_8GwSoA/edit#gid=0"",""Gestores Escolares!D7:J""),3,0),""VERIFICAR CÓD SEC"")"),"SEM DIREÇÃO - (APOIO ADMINISTRATIVO- CONSEGUE RESPONDER ESTRUTURA DA ESCOLA) - POLIANA APARECIDA XAVIER CARVALHO")</f>
        <v>SEM DIREÇÃO - (APOIO ADMINISTRATIVO- CONSEGUE RESPONDER ESTRUTURA DA ESCOLA) - POLIANA APARECIDA XAVIER CARVALHO</v>
      </c>
      <c r="N1335" s="82" t="str">
        <f>IFERROR(__xludf.DUMMYFUNCTION("IFERROR(VLOOKUP(D1335,
IMPORTRANGE(""https://docs.google.com/spreadsheets/d/1MjHtlUikwobi2MaWJgy7tfLeBmhj1u-dRFRs_8GwSoA/edit#gid=0"",""Gestores Escolares!D7:J""),4,0),""VERIFICAR CÓD SEC"")"),"(75) 9 9158-3375")</f>
        <v>(75) 9 9158-3375</v>
      </c>
      <c r="O1335" s="82" t="str">
        <f>IFERROR(__xludf.DUMMYFUNCTION("IFERROR(VLOOKUP(D1335,
IMPORTRANGE(""https://docs.google.com/spreadsheets/d/1MjHtlUikwobi2MaWJgy7tfLeBmhj1u-dRFRs_8GwSoA/edit#gid=0"",""Gestores Escolares!D7:J""),6,0),""VERIFICAR CÓD SEC"")"),"SEM VICE - TATIANE ARAÚJO DOS SANTOS (Coordenadora Indígena)")</f>
        <v>SEM VICE - TATIANE ARAÚJO DOS SANTOS (Coordenadora Indígena)</v>
      </c>
      <c r="P1335" s="82" t="str">
        <f>IFERROR(__xludf.DUMMYFUNCTION("IFERROR(VLOOKUP(D1335,
IMPORTRANGE(""https://docs.google.com/spreadsheets/d/1MjHtlUikwobi2MaWJgy7tfLeBmhj1u-dRFRs_8GwSoA/edit#gid=0"",""Gestores Escolares!D7:J""),7,0),""VERIFICAR CÓD SEC"")")," (75) 9 8800-1574/9 9878-0467 ZAP")</f>
        <v> (75) 9 8800-1574/9 9878-0467 ZAP</v>
      </c>
      <c r="Q1335" s="82" t="str">
        <f>IFERROR(__xludf.DUMMYFUNCTION("IFERROR(VLOOKUP(D1335,
IMPORTRANGE(""https://docs.google.com/spreadsheets/d/1MjHtlUikwobi2MaWJgy7tfLeBmhj1u-dRFRs_8GwSoA/edit#gid=0"",""Gestores Escolares!D7:m""),9,0),""VERIFICAR CÓD SEC"")"),"")</f>
        <v/>
      </c>
      <c r="R1335" s="82" t="str">
        <f>IFERROR(__xludf.DUMMYFUNCTION("IFERROR(VLOOKUP(D1335,
IMPORTRANGE(""https://docs.google.com/spreadsheets/d/1MjHtlUikwobi2MaWJgy7tfLeBmhj1u-dRFRs_8GwSoA/edit#gid=0"",""Gestores Escolares!D7:m""),10,0),""VERIFICAR CÓD SEC"")"),"")</f>
        <v/>
      </c>
      <c r="S1335" s="82"/>
      <c r="T1335" s="138">
        <v>2.0</v>
      </c>
      <c r="U1335" s="139">
        <v>3.0</v>
      </c>
      <c r="V1335" s="106">
        <v>22.0</v>
      </c>
      <c r="W1335" s="107">
        <v>0.0</v>
      </c>
      <c r="X1335" s="107">
        <v>0.0</v>
      </c>
      <c r="Y1335" s="107">
        <v>0.0</v>
      </c>
      <c r="Z1335" s="80">
        <f t="shared" si="1"/>
        <v>22</v>
      </c>
      <c r="AA1335" s="106">
        <v>11.0</v>
      </c>
      <c r="AB1335" s="107">
        <v>24.0</v>
      </c>
      <c r="AC1335" s="107">
        <v>0.0</v>
      </c>
      <c r="AD1335" s="107">
        <v>0.0</v>
      </c>
      <c r="AE1335" s="80">
        <f t="shared" si="2"/>
        <v>35</v>
      </c>
      <c r="AF1335" s="140">
        <v>0.0</v>
      </c>
      <c r="AG1335" s="109">
        <v>0.0</v>
      </c>
      <c r="AH1335" s="109">
        <v>0.0</v>
      </c>
      <c r="AI1335" s="141">
        <v>0.0</v>
      </c>
      <c r="AJ1335" s="80">
        <f t="shared" si="3"/>
        <v>0</v>
      </c>
      <c r="AK1335" s="140">
        <v>0.0</v>
      </c>
      <c r="AL1335" s="109">
        <v>0.0</v>
      </c>
      <c r="AM1335" s="141">
        <v>0.0</v>
      </c>
      <c r="AN1335" s="80">
        <f t="shared" si="4"/>
        <v>0</v>
      </c>
      <c r="AO1335" s="140">
        <v>0.0</v>
      </c>
      <c r="AP1335" s="109">
        <v>0.0</v>
      </c>
      <c r="AQ1335" s="109">
        <v>0.0</v>
      </c>
      <c r="AR1335" s="80">
        <f t="shared" si="5"/>
        <v>0</v>
      </c>
      <c r="AS1335" s="110">
        <v>0.0</v>
      </c>
      <c r="AT1335" s="110">
        <v>0.0</v>
      </c>
      <c r="AU1335" s="110">
        <v>0.0</v>
      </c>
      <c r="AV1335" s="142">
        <v>0.0</v>
      </c>
      <c r="AW1335" s="80">
        <f t="shared" si="6"/>
        <v>0</v>
      </c>
      <c r="AX1335" s="113">
        <f t="shared" si="7"/>
        <v>57</v>
      </c>
      <c r="AY1335" s="117">
        <f t="shared" si="8"/>
        <v>57</v>
      </c>
      <c r="AZ1335" s="120">
        <f t="shared" si="9"/>
        <v>0</v>
      </c>
      <c r="BA1335" s="115">
        <v>0.0</v>
      </c>
      <c r="BB1335" s="89">
        <f t="shared" si="10"/>
        <v>57</v>
      </c>
      <c r="BC1335" s="143" t="s">
        <v>1294</v>
      </c>
      <c r="BD1335" s="132" t="s">
        <v>178</v>
      </c>
      <c r="BE1335" s="132" t="s">
        <v>178</v>
      </c>
      <c r="BF1335" s="156"/>
      <c r="BG1335" s="83">
        <v>1179479.0</v>
      </c>
      <c r="BH1335" s="112"/>
      <c r="BI1335" s="112">
        <v>3.0</v>
      </c>
      <c r="BJ1335" s="98" t="s">
        <v>155</v>
      </c>
      <c r="BK1335" s="99">
        <f t="shared" si="11"/>
        <v>0</v>
      </c>
      <c r="BL1335" s="99">
        <f t="shared" si="12"/>
        <v>57</v>
      </c>
      <c r="BM1335" s="99" t="str">
        <f>IFERROR(__xludf.DUMMYFUNCTION("IFERROR(VLOOKUP(BG1335,IMPORTRANGE(""https://docs.google.com/spreadsheets/d/1juPI-Fb8LD0YtltB2mlGEnp_R3UVu1t3wSFPzgCyHXE/edit?gid=0#gid=0"",""GERAL!A2:C""),3,0),""-"")"),"INDÍGENAS")</f>
        <v>INDÍGENAS</v>
      </c>
    </row>
    <row r="1336" ht="15.75" customHeight="1">
      <c r="A1336" s="111" t="s">
        <v>1629</v>
      </c>
      <c r="B1336" s="83" t="s">
        <v>2381</v>
      </c>
      <c r="C1336" s="83" t="s">
        <v>68</v>
      </c>
      <c r="D1336" s="112">
        <v>1179204.0</v>
      </c>
      <c r="E1336" s="83"/>
      <c r="F1336" s="83">
        <v>2.9366739E7</v>
      </c>
      <c r="G1336" s="119" t="s">
        <v>7586</v>
      </c>
      <c r="H1336" s="91" t="s">
        <v>7587</v>
      </c>
      <c r="I1336" s="83" t="s">
        <v>7588</v>
      </c>
      <c r="J1336" s="83" t="s">
        <v>923</v>
      </c>
      <c r="K1336" s="83" t="s">
        <v>151</v>
      </c>
      <c r="L1336" s="83" t="s">
        <v>169</v>
      </c>
      <c r="M1336" s="82" t="str">
        <f>IFERROR(__xludf.DUMMYFUNCTION("IFERROR(VLOOKUP(D1336,
IMPORTRANGE(""https://docs.google.com/spreadsheets/d/1MjHtlUikwobi2MaWJgy7tfLeBmhj1u-dRFRs_8GwSoA/edit#gid=0"",""Gestores Escolares!D7:J""),3,0),""VERIFICAR CÓD SEC"")"),"SEM DIREÇÃO - TATIANE ARAÚJO DOS SANTOS (Coordenadora Indígena)")</f>
        <v>SEM DIREÇÃO - TATIANE ARAÚJO DOS SANTOS (Coordenadora Indígena)</v>
      </c>
      <c r="N1336" s="82" t="str">
        <f>IFERROR(__xludf.DUMMYFUNCTION("IFERROR(VLOOKUP(D1336,
IMPORTRANGE(""https://docs.google.com/spreadsheets/d/1MjHtlUikwobi2MaWJgy7tfLeBmhj1u-dRFRs_8GwSoA/edit#gid=0"",""Gestores Escolares!D7:J""),4,0),""VERIFICAR CÓD SEC"")")," (75) 9 8800-1574/9 9878-0467 ZAP")</f>
        <v> (75) 9 8800-1574/9 9878-0467 ZAP</v>
      </c>
      <c r="O1336" s="82" t="str">
        <f>IFERROR(__xludf.DUMMYFUNCTION("IFERROR(VLOOKUP(D1336,
IMPORTRANGE(""https://docs.google.com/spreadsheets/d/1MjHtlUikwobi2MaWJgy7tfLeBmhj1u-dRFRs_8GwSoA/edit#gid=0"",""Gestores Escolares!D7:J""),6,0),""VERIFICAR CÓD SEC"")"),"")</f>
        <v/>
      </c>
      <c r="P1336" s="82" t="str">
        <f>IFERROR(__xludf.DUMMYFUNCTION("IFERROR(VLOOKUP(D1336,
IMPORTRANGE(""https://docs.google.com/spreadsheets/d/1MjHtlUikwobi2MaWJgy7tfLeBmhj1u-dRFRs_8GwSoA/edit#gid=0"",""Gestores Escolares!D7:J""),7,0),""VERIFICAR CÓD SEC"")"),"")</f>
        <v/>
      </c>
      <c r="Q1336" s="82" t="str">
        <f>IFERROR(__xludf.DUMMYFUNCTION("IFERROR(VLOOKUP(D1336,
IMPORTRANGE(""https://docs.google.com/spreadsheets/d/1MjHtlUikwobi2MaWJgy7tfLeBmhj1u-dRFRs_8GwSoA/edit#gid=0"",""Gestores Escolares!D7:m""),9,0),""VERIFICAR CÓD SEC"")"),"")</f>
        <v/>
      </c>
      <c r="R1336" s="82" t="str">
        <f>IFERROR(__xludf.DUMMYFUNCTION("IFERROR(VLOOKUP(D1336,
IMPORTRANGE(""https://docs.google.com/spreadsheets/d/1MjHtlUikwobi2MaWJgy7tfLeBmhj1u-dRFRs_8GwSoA/edit#gid=0"",""Gestores Escolares!D7:m""),10,0),""VERIFICAR CÓD SEC"")"),"")</f>
        <v/>
      </c>
      <c r="S1336" s="82"/>
      <c r="T1336" s="138">
        <v>4.0</v>
      </c>
      <c r="U1336" s="139">
        <v>4.0</v>
      </c>
      <c r="V1336" s="106">
        <v>0.0</v>
      </c>
      <c r="W1336" s="107">
        <v>13.0</v>
      </c>
      <c r="X1336" s="107">
        <v>0.0</v>
      </c>
      <c r="Y1336" s="107">
        <v>0.0</v>
      </c>
      <c r="Z1336" s="80">
        <f t="shared" si="1"/>
        <v>13</v>
      </c>
      <c r="AA1336" s="106">
        <v>32.0</v>
      </c>
      <c r="AB1336" s="107">
        <v>23.0</v>
      </c>
      <c r="AC1336" s="107">
        <v>0.0</v>
      </c>
      <c r="AD1336" s="107">
        <v>0.0</v>
      </c>
      <c r="AE1336" s="80">
        <f t="shared" si="2"/>
        <v>55</v>
      </c>
      <c r="AF1336" s="140">
        <v>0.0</v>
      </c>
      <c r="AG1336" s="109">
        <v>0.0</v>
      </c>
      <c r="AH1336" s="109">
        <v>0.0</v>
      </c>
      <c r="AI1336" s="141">
        <v>0.0</v>
      </c>
      <c r="AJ1336" s="80">
        <f t="shared" si="3"/>
        <v>0</v>
      </c>
      <c r="AK1336" s="140">
        <v>0.0</v>
      </c>
      <c r="AL1336" s="109">
        <v>0.0</v>
      </c>
      <c r="AM1336" s="141">
        <v>16.0</v>
      </c>
      <c r="AN1336" s="80">
        <f t="shared" si="4"/>
        <v>16</v>
      </c>
      <c r="AO1336" s="140">
        <v>0.0</v>
      </c>
      <c r="AP1336" s="109">
        <v>0.0</v>
      </c>
      <c r="AQ1336" s="109">
        <v>12.0</v>
      </c>
      <c r="AR1336" s="80">
        <f t="shared" si="5"/>
        <v>12</v>
      </c>
      <c r="AS1336" s="110">
        <v>0.0</v>
      </c>
      <c r="AT1336" s="110">
        <v>0.0</v>
      </c>
      <c r="AU1336" s="110">
        <v>0.0</v>
      </c>
      <c r="AV1336" s="142">
        <v>0.0</v>
      </c>
      <c r="AW1336" s="80">
        <f t="shared" si="6"/>
        <v>0</v>
      </c>
      <c r="AX1336" s="113">
        <f t="shared" si="7"/>
        <v>96</v>
      </c>
      <c r="AY1336" s="117">
        <f t="shared" si="8"/>
        <v>68</v>
      </c>
      <c r="AZ1336" s="120">
        <f t="shared" si="9"/>
        <v>28</v>
      </c>
      <c r="BA1336" s="115">
        <v>0.0</v>
      </c>
      <c r="BB1336" s="89">
        <f t="shared" si="10"/>
        <v>96</v>
      </c>
      <c r="BC1336" s="143" t="s">
        <v>1294</v>
      </c>
      <c r="BD1336" s="132" t="s">
        <v>178</v>
      </c>
      <c r="BE1336" s="132" t="s">
        <v>178</v>
      </c>
      <c r="BF1336" s="123"/>
      <c r="BG1336" s="83">
        <v>1179204.0</v>
      </c>
      <c r="BH1336" s="112"/>
      <c r="BI1336" s="112">
        <v>4.0</v>
      </c>
      <c r="BJ1336" s="98" t="s">
        <v>155</v>
      </c>
      <c r="BK1336" s="99">
        <f t="shared" si="11"/>
        <v>0</v>
      </c>
      <c r="BL1336" s="99">
        <f t="shared" si="12"/>
        <v>68</v>
      </c>
      <c r="BM1336" s="99" t="str">
        <f>IFERROR(__xludf.DUMMYFUNCTION("IFERROR(VLOOKUP(BG1336,IMPORTRANGE(""https://docs.google.com/spreadsheets/d/1juPI-Fb8LD0YtltB2mlGEnp_R3UVu1t3wSFPzgCyHXE/edit?gid=0#gid=0"",""GERAL!A2:C""),3,0),""-"")"),"INDÍGENAS")</f>
        <v>INDÍGENAS</v>
      </c>
    </row>
    <row r="1337" ht="15.75" customHeight="1">
      <c r="A1337" s="111" t="s">
        <v>1629</v>
      </c>
      <c r="B1337" s="83" t="s">
        <v>2381</v>
      </c>
      <c r="C1337" s="83" t="s">
        <v>68</v>
      </c>
      <c r="D1337" s="112">
        <v>1179202.0</v>
      </c>
      <c r="E1337" s="83"/>
      <c r="F1337" s="83">
        <v>2.903395E7</v>
      </c>
      <c r="G1337" s="119" t="s">
        <v>7591</v>
      </c>
      <c r="H1337" s="91" t="s">
        <v>7592</v>
      </c>
      <c r="I1337" s="83" t="s">
        <v>7593</v>
      </c>
      <c r="J1337" s="83" t="s">
        <v>641</v>
      </c>
      <c r="K1337" s="83" t="s">
        <v>151</v>
      </c>
      <c r="L1337" s="83" t="s">
        <v>169</v>
      </c>
      <c r="M1337" s="82" t="str">
        <f>IFERROR(__xludf.DUMMYFUNCTION("IFERROR(VLOOKUP(D1337,
IMPORTRANGE(""https://docs.google.com/spreadsheets/d/1MjHtlUikwobi2MaWJgy7tfLeBmhj1u-dRFRs_8GwSoA/edit#gid=0"",""Gestores Escolares!D7:J""),3,0),""VERIFICAR CÓD SEC"")"),"TELMA ARAUJO CRUZ")</f>
        <v>TELMA ARAUJO CRUZ</v>
      </c>
      <c r="N1337" s="82" t="str">
        <f>IFERROR(__xludf.DUMMYFUNCTION("IFERROR(VLOOKUP(D1337,
IMPORTRANGE(""https://docs.google.com/spreadsheets/d/1MjHtlUikwobi2MaWJgy7tfLeBmhj1u-dRFRs_8GwSoA/edit#gid=0"",""Gestores Escolares!D7:J""),4,0),""VERIFICAR CÓD SEC"")"),"(75) 9 8831 - 1492")</f>
        <v>(75) 9 8831 - 1492</v>
      </c>
      <c r="O1337" s="82" t="str">
        <f>IFERROR(__xludf.DUMMYFUNCTION("IFERROR(VLOOKUP(D1337,
IMPORTRANGE(""https://docs.google.com/spreadsheets/d/1MjHtlUikwobi2MaWJgy7tfLeBmhj1u-dRFRs_8GwSoA/edit#gid=0"",""Gestores Escolares!D7:J""),6,0),""VERIFICAR CÓD SEC"")"),"")</f>
        <v/>
      </c>
      <c r="P1337" s="82" t="str">
        <f>IFERROR(__xludf.DUMMYFUNCTION("IFERROR(VLOOKUP(D1337,
IMPORTRANGE(""https://docs.google.com/spreadsheets/d/1MjHtlUikwobi2MaWJgy7tfLeBmhj1u-dRFRs_8GwSoA/edit#gid=0"",""Gestores Escolares!D7:J""),7,0),""VERIFICAR CÓD SEC"")"),"")</f>
        <v/>
      </c>
      <c r="Q1337" s="82" t="str">
        <f>IFERROR(__xludf.DUMMYFUNCTION("IFERROR(VLOOKUP(D1337,
IMPORTRANGE(""https://docs.google.com/spreadsheets/d/1MjHtlUikwobi2MaWJgy7tfLeBmhj1u-dRFRs_8GwSoA/edit#gid=0"",""Gestores Escolares!D7:m""),9,0),""VERIFICAR CÓD SEC"")"),"")</f>
        <v/>
      </c>
      <c r="R1337" s="82" t="str">
        <f>IFERROR(__xludf.DUMMYFUNCTION("IFERROR(VLOOKUP(D1337,
IMPORTRANGE(""https://docs.google.com/spreadsheets/d/1MjHtlUikwobi2MaWJgy7tfLeBmhj1u-dRFRs_8GwSoA/edit#gid=0"",""Gestores Escolares!D7:m""),10,0),""VERIFICAR CÓD SEC"")"),"")</f>
        <v/>
      </c>
      <c r="S1337" s="82"/>
      <c r="T1337" s="138">
        <v>3.0</v>
      </c>
      <c r="U1337" s="139">
        <v>3.0</v>
      </c>
      <c r="V1337" s="106">
        <v>13.0</v>
      </c>
      <c r="W1337" s="107">
        <v>0.0</v>
      </c>
      <c r="X1337" s="107">
        <v>0.0</v>
      </c>
      <c r="Y1337" s="107">
        <v>0.0</v>
      </c>
      <c r="Z1337" s="80">
        <f t="shared" si="1"/>
        <v>13</v>
      </c>
      <c r="AA1337" s="106">
        <v>12.0</v>
      </c>
      <c r="AB1337" s="107">
        <v>22.0</v>
      </c>
      <c r="AC1337" s="107">
        <v>0.0</v>
      </c>
      <c r="AD1337" s="107">
        <v>0.0</v>
      </c>
      <c r="AE1337" s="80">
        <f t="shared" si="2"/>
        <v>34</v>
      </c>
      <c r="AF1337" s="140">
        <v>0.0</v>
      </c>
      <c r="AG1337" s="109">
        <v>0.0</v>
      </c>
      <c r="AH1337" s="109">
        <v>0.0</v>
      </c>
      <c r="AI1337" s="141">
        <v>0.0</v>
      </c>
      <c r="AJ1337" s="80">
        <f t="shared" si="3"/>
        <v>0</v>
      </c>
      <c r="AK1337" s="140">
        <v>0.0</v>
      </c>
      <c r="AL1337" s="109">
        <v>0.0</v>
      </c>
      <c r="AM1337" s="141">
        <v>17.0</v>
      </c>
      <c r="AN1337" s="80">
        <f t="shared" si="4"/>
        <v>17</v>
      </c>
      <c r="AO1337" s="140">
        <v>0.0</v>
      </c>
      <c r="AP1337" s="109">
        <v>0.0</v>
      </c>
      <c r="AQ1337" s="109">
        <v>16.0</v>
      </c>
      <c r="AR1337" s="80">
        <f t="shared" si="5"/>
        <v>16</v>
      </c>
      <c r="AS1337" s="110">
        <v>0.0</v>
      </c>
      <c r="AT1337" s="110">
        <v>0.0</v>
      </c>
      <c r="AU1337" s="110">
        <v>0.0</v>
      </c>
      <c r="AV1337" s="142">
        <v>0.0</v>
      </c>
      <c r="AW1337" s="80">
        <f t="shared" si="6"/>
        <v>0</v>
      </c>
      <c r="AX1337" s="113">
        <f t="shared" si="7"/>
        <v>80</v>
      </c>
      <c r="AY1337" s="117">
        <f t="shared" si="8"/>
        <v>47</v>
      </c>
      <c r="AZ1337" s="120">
        <f t="shared" si="9"/>
        <v>33</v>
      </c>
      <c r="BA1337" s="115">
        <v>0.0</v>
      </c>
      <c r="BB1337" s="89">
        <f t="shared" si="10"/>
        <v>80</v>
      </c>
      <c r="BC1337" s="143" t="s">
        <v>1294</v>
      </c>
      <c r="BD1337" s="132" t="s">
        <v>178</v>
      </c>
      <c r="BE1337" s="132" t="s">
        <v>178</v>
      </c>
      <c r="BF1337" s="123"/>
      <c r="BG1337" s="83">
        <v>1179202.0</v>
      </c>
      <c r="BH1337" s="112"/>
      <c r="BI1337" s="112">
        <v>3.0</v>
      </c>
      <c r="BJ1337" s="98" t="s">
        <v>155</v>
      </c>
      <c r="BK1337" s="99">
        <f t="shared" si="11"/>
        <v>0</v>
      </c>
      <c r="BL1337" s="99">
        <f t="shared" si="12"/>
        <v>47</v>
      </c>
      <c r="BM1337" s="99" t="str">
        <f>IFERROR(__xludf.DUMMYFUNCTION("IFERROR(VLOOKUP(BG1337,IMPORTRANGE(""https://docs.google.com/spreadsheets/d/1juPI-Fb8LD0YtltB2mlGEnp_R3UVu1t3wSFPzgCyHXE/edit?gid=0#gid=0"",""GERAL!A2:C""),3,0),""-"")"),"INDÍGENAS")</f>
        <v>INDÍGENAS</v>
      </c>
    </row>
    <row r="1338" ht="15.75" customHeight="1">
      <c r="A1338" s="111" t="s">
        <v>1629</v>
      </c>
      <c r="B1338" s="83" t="s">
        <v>2381</v>
      </c>
      <c r="C1338" s="83" t="s">
        <v>68</v>
      </c>
      <c r="D1338" s="112">
        <v>1179123.0</v>
      </c>
      <c r="E1338" s="83"/>
      <c r="F1338" s="83">
        <v>2.9354536E7</v>
      </c>
      <c r="G1338" s="119" t="s">
        <v>7596</v>
      </c>
      <c r="H1338" s="91" t="s">
        <v>7597</v>
      </c>
      <c r="I1338" s="136" t="s">
        <v>7598</v>
      </c>
      <c r="J1338" s="83" t="s">
        <v>150</v>
      </c>
      <c r="K1338" s="83" t="s">
        <v>151</v>
      </c>
      <c r="L1338" s="83" t="s">
        <v>169</v>
      </c>
      <c r="M1338" s="82" t="str">
        <f>IFERROR(__xludf.DUMMYFUNCTION("IFERROR(VLOOKUP(D1338,
IMPORTRANGE(""https://docs.google.com/spreadsheets/d/1MjHtlUikwobi2MaWJgy7tfLeBmhj1u-dRFRs_8GwSoA/edit#gid=0"",""Gestores Escolares!D7:J""),3,0),""VERIFICAR CÓD SEC"")"),"ELAINE PATRICIA DE SOUZA OLIVEIRA")</f>
        <v>ELAINE PATRICIA DE SOUZA OLIVEIRA</v>
      </c>
      <c r="N1338" s="82" t="str">
        <f>IFERROR(__xludf.DUMMYFUNCTION("IFERROR(VLOOKUP(D1338,
IMPORTRANGE(""https://docs.google.com/spreadsheets/d/1MjHtlUikwobi2MaWJgy7tfLeBmhj1u-dRFRs_8GwSoA/edit#gid=0"",""Gestores Escolares!D7:J""),4,0),""VERIFICAR CÓD SEC"")"),"(75) 9 8859-6628")</f>
        <v>(75) 9 8859-6628</v>
      </c>
      <c r="O1338" s="82" t="str">
        <f>IFERROR(__xludf.DUMMYFUNCTION("IFERROR(VLOOKUP(D1338,
IMPORTRANGE(""https://docs.google.com/spreadsheets/d/1MjHtlUikwobi2MaWJgy7tfLeBmhj1u-dRFRs_8GwSoA/edit#gid=0"",""Gestores Escolares!D7:J""),6,0),""VERIFICAR CÓD SEC"")"),"ROZILENE SILVA SA")</f>
        <v>ROZILENE SILVA SA</v>
      </c>
      <c r="P1338" s="82" t="str">
        <f>IFERROR(__xludf.DUMMYFUNCTION("IFERROR(VLOOKUP(D1338,
IMPORTRANGE(""https://docs.google.com/spreadsheets/d/1MjHtlUikwobi2MaWJgy7tfLeBmhj1u-dRFRs_8GwSoA/edit#gid=0"",""Gestores Escolares!D7:J""),7,0),""VERIFICAR CÓD SEC"")"),"(75) 9 8872-2970")</f>
        <v>(75) 9 8872-2970</v>
      </c>
      <c r="Q1338" s="82" t="str">
        <f>IFERROR(__xludf.DUMMYFUNCTION("IFERROR(VLOOKUP(D1338,
IMPORTRANGE(""https://docs.google.com/spreadsheets/d/1MjHtlUikwobi2MaWJgy7tfLeBmhj1u-dRFRs_8GwSoA/edit#gid=0"",""Gestores Escolares!D7:m""),9,0),""VERIFICAR CÓD SEC"")"),"")</f>
        <v/>
      </c>
      <c r="R1338" s="82" t="str">
        <f>IFERROR(__xludf.DUMMYFUNCTION("IFERROR(VLOOKUP(D1338,
IMPORTRANGE(""https://docs.google.com/spreadsheets/d/1MjHtlUikwobi2MaWJgy7tfLeBmhj1u-dRFRs_8GwSoA/edit#gid=0"",""Gestores Escolares!D7:m""),10,0),""VERIFICAR CÓD SEC"")"),"")</f>
        <v/>
      </c>
      <c r="S1338" s="82"/>
      <c r="T1338" s="138">
        <v>7.0</v>
      </c>
      <c r="U1338" s="139">
        <v>7.0</v>
      </c>
      <c r="V1338" s="106">
        <v>35.0</v>
      </c>
      <c r="W1338" s="107">
        <v>0.0</v>
      </c>
      <c r="X1338" s="107">
        <v>0.0</v>
      </c>
      <c r="Y1338" s="107">
        <v>0.0</v>
      </c>
      <c r="Z1338" s="80">
        <f t="shared" si="1"/>
        <v>35</v>
      </c>
      <c r="AA1338" s="106">
        <v>59.0</v>
      </c>
      <c r="AB1338" s="107">
        <v>108.0</v>
      </c>
      <c r="AC1338" s="107">
        <v>0.0</v>
      </c>
      <c r="AD1338" s="107">
        <v>0.0</v>
      </c>
      <c r="AE1338" s="80">
        <f t="shared" si="2"/>
        <v>167</v>
      </c>
      <c r="AF1338" s="140">
        <v>0.0</v>
      </c>
      <c r="AG1338" s="109">
        <v>11.0</v>
      </c>
      <c r="AH1338" s="109">
        <v>24.0</v>
      </c>
      <c r="AI1338" s="141">
        <v>0.0</v>
      </c>
      <c r="AJ1338" s="80">
        <f t="shared" si="3"/>
        <v>35</v>
      </c>
      <c r="AK1338" s="140">
        <v>0.0</v>
      </c>
      <c r="AL1338" s="109">
        <v>0.0</v>
      </c>
      <c r="AM1338" s="141">
        <v>22.0</v>
      </c>
      <c r="AN1338" s="80">
        <f t="shared" si="4"/>
        <v>22</v>
      </c>
      <c r="AO1338" s="140">
        <v>0.0</v>
      </c>
      <c r="AP1338" s="109">
        <v>0.0</v>
      </c>
      <c r="AQ1338" s="109">
        <v>13.0</v>
      </c>
      <c r="AR1338" s="80">
        <f t="shared" si="5"/>
        <v>13</v>
      </c>
      <c r="AS1338" s="110">
        <v>0.0</v>
      </c>
      <c r="AT1338" s="110">
        <v>0.0</v>
      </c>
      <c r="AU1338" s="110">
        <v>0.0</v>
      </c>
      <c r="AV1338" s="142">
        <v>0.0</v>
      </c>
      <c r="AW1338" s="80">
        <f t="shared" si="6"/>
        <v>0</v>
      </c>
      <c r="AX1338" s="113">
        <f t="shared" si="7"/>
        <v>272</v>
      </c>
      <c r="AY1338" s="117">
        <f t="shared" si="8"/>
        <v>213</v>
      </c>
      <c r="AZ1338" s="120">
        <f t="shared" si="9"/>
        <v>59</v>
      </c>
      <c r="BA1338" s="115">
        <v>0.0</v>
      </c>
      <c r="BB1338" s="89">
        <f t="shared" si="10"/>
        <v>272</v>
      </c>
      <c r="BC1338" s="143" t="s">
        <v>1294</v>
      </c>
      <c r="BD1338" s="132" t="s">
        <v>178</v>
      </c>
      <c r="BE1338" s="132" t="s">
        <v>178</v>
      </c>
      <c r="BF1338" s="123"/>
      <c r="BG1338" s="83">
        <v>1179123.0</v>
      </c>
      <c r="BH1338" s="112"/>
      <c r="BI1338" s="112">
        <v>7.0</v>
      </c>
      <c r="BJ1338" s="98" t="s">
        <v>155</v>
      </c>
      <c r="BK1338" s="99">
        <f t="shared" si="11"/>
        <v>0</v>
      </c>
      <c r="BL1338" s="99">
        <f t="shared" si="12"/>
        <v>213</v>
      </c>
      <c r="BM1338" s="99" t="str">
        <f>IFERROR(__xludf.DUMMYFUNCTION("IFERROR(VLOOKUP(BG1338,IMPORTRANGE(""https://docs.google.com/spreadsheets/d/1juPI-Fb8LD0YtltB2mlGEnp_R3UVu1t3wSFPzgCyHXE/edit?gid=0#gid=0"",""GERAL!A2:C""),3,0),""-"")"),"INDÍGENAS")</f>
        <v>INDÍGENAS</v>
      </c>
    </row>
    <row r="1339" ht="15.75" customHeight="1">
      <c r="A1339" s="111" t="s">
        <v>1629</v>
      </c>
      <c r="B1339" s="83" t="s">
        <v>2381</v>
      </c>
      <c r="C1339" s="83" t="s">
        <v>68</v>
      </c>
      <c r="D1339" s="98">
        <v>1179669.0</v>
      </c>
      <c r="E1339" s="83"/>
      <c r="F1339" s="98">
        <v>2.9493773E7</v>
      </c>
      <c r="G1339" s="119" t="s">
        <v>7600</v>
      </c>
      <c r="H1339" s="108" t="s">
        <v>7601</v>
      </c>
      <c r="I1339" s="83"/>
      <c r="J1339" s="83"/>
      <c r="K1339" s="83" t="s">
        <v>151</v>
      </c>
      <c r="L1339" s="83" t="s">
        <v>169</v>
      </c>
      <c r="M1339" s="82" t="str">
        <f>IFERROR(__xludf.DUMMYFUNCTION("IFERROR(VLOOKUP(D1339,
IMPORTRANGE(""https://docs.google.com/spreadsheets/d/1MjHtlUikwobi2MaWJgy7tfLeBmhj1u-dRFRs_8GwSoA/edit#gid=0"",""Gestores Escolares!D7:J""),3,0),""VERIFICAR CÓD SEC"")"),"SEM DIREÇÃO - AGUARDANDO INDICAÇÃO DO NTE  
TATIANE ARAÚJO DOS SANTOS (Coordenadora Indígena), Respondendo pela UEE")</f>
        <v>SEM DIREÇÃO - AGUARDANDO INDICAÇÃO DO NTE  
TATIANE ARAÚJO DOS SANTOS (Coordenadora Indígena), Respondendo pela UEE</v>
      </c>
      <c r="N1339" s="82" t="str">
        <f>IFERROR(__xludf.DUMMYFUNCTION("IFERROR(VLOOKUP(D1339,
IMPORTRANGE(""https://docs.google.com/spreadsheets/d/1MjHtlUikwobi2MaWJgy7tfLeBmhj1u-dRFRs_8GwSoA/edit#gid=0"",""Gestores Escolares!D7:J""),4,0),""VERIFICAR CÓD SEC"")")," (75) 9 8800-1574/9 9878-0467 ZAP")</f>
        <v> (75) 9 8800-1574/9 9878-0467 ZAP</v>
      </c>
      <c r="O1339" s="82" t="str">
        <f>IFERROR(__xludf.DUMMYFUNCTION("IFERROR(VLOOKUP(D1339,
IMPORTRANGE(""https://docs.google.com/spreadsheets/d/1MjHtlUikwobi2MaWJgy7tfLeBmhj1u-dRFRs_8GwSoA/edit#gid=0"",""Gestores Escolares!D7:J""),6,0),""VERIFICAR CÓD SEC"")"),"")</f>
        <v/>
      </c>
      <c r="P1339" s="82" t="str">
        <f>IFERROR(__xludf.DUMMYFUNCTION("IFERROR(VLOOKUP(D1339,
IMPORTRANGE(""https://docs.google.com/spreadsheets/d/1MjHtlUikwobi2MaWJgy7tfLeBmhj1u-dRFRs_8GwSoA/edit#gid=0"",""Gestores Escolares!D7:J""),7,0),""VERIFICAR CÓD SEC"")"),"")</f>
        <v/>
      </c>
      <c r="Q1339" s="82" t="str">
        <f>IFERROR(__xludf.DUMMYFUNCTION("IFERROR(VLOOKUP(D1339,
IMPORTRANGE(""https://docs.google.com/spreadsheets/d/1MjHtlUikwobi2MaWJgy7tfLeBmhj1u-dRFRs_8GwSoA/edit#gid=0"",""Gestores Escolares!D7:m""),9,0),""VERIFICAR CÓD SEC"")"),"")</f>
        <v/>
      </c>
      <c r="R1339" s="82" t="str">
        <f>IFERROR(__xludf.DUMMYFUNCTION("IFERROR(VLOOKUP(D1339,
IMPORTRANGE(""https://docs.google.com/spreadsheets/d/1MjHtlUikwobi2MaWJgy7tfLeBmhj1u-dRFRs_8GwSoA/edit#gid=0"",""Gestores Escolares!D7:m""),10,0),""VERIFICAR CÓD SEC"")"),"")</f>
        <v/>
      </c>
      <c r="S1339" s="82"/>
      <c r="T1339" s="138"/>
      <c r="U1339" s="217"/>
      <c r="V1339" s="106">
        <v>6.0</v>
      </c>
      <c r="W1339" s="107">
        <v>0.0</v>
      </c>
      <c r="X1339" s="107">
        <v>0.0</v>
      </c>
      <c r="Y1339" s="107">
        <v>0.0</v>
      </c>
      <c r="Z1339" s="80">
        <f t="shared" si="1"/>
        <v>6</v>
      </c>
      <c r="AA1339" s="106">
        <v>6.0</v>
      </c>
      <c r="AB1339" s="107">
        <v>17.0</v>
      </c>
      <c r="AC1339" s="107">
        <v>0.0</v>
      </c>
      <c r="AD1339" s="107">
        <v>0.0</v>
      </c>
      <c r="AE1339" s="80">
        <f t="shared" si="2"/>
        <v>23</v>
      </c>
      <c r="AF1339" s="140">
        <v>0.0</v>
      </c>
      <c r="AG1339" s="109">
        <v>0.0</v>
      </c>
      <c r="AH1339" s="109">
        <v>0.0</v>
      </c>
      <c r="AI1339" s="141">
        <v>0.0</v>
      </c>
      <c r="AJ1339" s="80">
        <f t="shared" si="3"/>
        <v>0</v>
      </c>
      <c r="AK1339" s="140">
        <v>0.0</v>
      </c>
      <c r="AL1339" s="109">
        <v>0.0</v>
      </c>
      <c r="AM1339" s="141">
        <v>8.0</v>
      </c>
      <c r="AN1339" s="80">
        <f t="shared" si="4"/>
        <v>8</v>
      </c>
      <c r="AO1339" s="140">
        <v>0.0</v>
      </c>
      <c r="AP1339" s="109">
        <v>0.0</v>
      </c>
      <c r="AQ1339" s="109">
        <v>18.0</v>
      </c>
      <c r="AR1339" s="80">
        <f t="shared" si="5"/>
        <v>18</v>
      </c>
      <c r="AS1339" s="110">
        <v>0.0</v>
      </c>
      <c r="AT1339" s="110">
        <v>0.0</v>
      </c>
      <c r="AU1339" s="110">
        <v>0.0</v>
      </c>
      <c r="AV1339" s="142">
        <v>0.0</v>
      </c>
      <c r="AW1339" s="80">
        <f t="shared" si="6"/>
        <v>0</v>
      </c>
      <c r="AX1339" s="113">
        <f t="shared" si="7"/>
        <v>55</v>
      </c>
      <c r="AY1339" s="117">
        <f t="shared" si="8"/>
        <v>29</v>
      </c>
      <c r="AZ1339" s="120">
        <f t="shared" si="9"/>
        <v>26</v>
      </c>
      <c r="BA1339" s="115">
        <v>0.0</v>
      </c>
      <c r="BB1339" s="89">
        <f t="shared" si="10"/>
        <v>55</v>
      </c>
      <c r="BC1339" s="143"/>
      <c r="BD1339" s="132"/>
      <c r="BE1339" s="132"/>
      <c r="BF1339" s="156"/>
      <c r="BG1339" s="98">
        <v>1179669.0</v>
      </c>
      <c r="BH1339" s="112"/>
      <c r="BI1339" s="112"/>
      <c r="BJ1339" s="98" t="s">
        <v>155</v>
      </c>
      <c r="BK1339" s="99">
        <f t="shared" si="11"/>
        <v>0</v>
      </c>
      <c r="BL1339" s="99">
        <f t="shared" si="12"/>
        <v>29</v>
      </c>
      <c r="BM1339" s="99" t="str">
        <f>IFERROR(__xludf.DUMMYFUNCTION("IFERROR(VLOOKUP(BG1339,IMPORTRANGE(""https://docs.google.com/spreadsheets/d/1juPI-Fb8LD0YtltB2mlGEnp_R3UVu1t3wSFPzgCyHXE/edit?gid=0#gid=0"",""GERAL!A2:C""),3,0),""-"")"),"INDÍGENAS")</f>
        <v>INDÍGENAS</v>
      </c>
    </row>
    <row r="1340" ht="15.75" customHeight="1">
      <c r="A1340" s="111" t="s">
        <v>1629</v>
      </c>
      <c r="B1340" s="83" t="s">
        <v>2381</v>
      </c>
      <c r="C1340" s="83" t="s">
        <v>68</v>
      </c>
      <c r="D1340" s="112">
        <v>1138504.0</v>
      </c>
      <c r="E1340" s="83"/>
      <c r="F1340" s="83">
        <v>2.9034205E7</v>
      </c>
      <c r="G1340" s="119" t="s">
        <v>7602</v>
      </c>
      <c r="H1340" s="91" t="s">
        <v>7603</v>
      </c>
      <c r="I1340" s="136" t="s">
        <v>149</v>
      </c>
      <c r="J1340" s="83" t="s">
        <v>150</v>
      </c>
      <c r="K1340" s="83" t="s">
        <v>151</v>
      </c>
      <c r="L1340" s="83" t="s">
        <v>152</v>
      </c>
      <c r="M1340" s="82" t="str">
        <f>IFERROR(__xludf.DUMMYFUNCTION("IFERROR(VLOOKUP(D1340,
IMPORTRANGE(""https://docs.google.com/spreadsheets/d/1MjHtlUikwobi2MaWJgy7tfLeBmhj1u-dRFRs_8GwSoA/edit#gid=0"",""Gestores Escolares!D7:J""),3,0),""VERIFICAR CÓD SEC"")"),"JOÃO PAULO DE SANTANA VIEIRA")</f>
        <v>JOÃO PAULO DE SANTANA VIEIRA</v>
      </c>
      <c r="N1340" s="82" t="str">
        <f>IFERROR(__xludf.DUMMYFUNCTION("IFERROR(VLOOKUP(D1340,
IMPORTRANGE(""https://docs.google.com/spreadsheets/d/1MjHtlUikwobi2MaWJgy7tfLeBmhj1u-dRFRs_8GwSoA/edit#gid=0"",""Gestores Escolares!D7:J""),4,0),""VERIFICAR CÓD SEC"")"),"(75) 9 9188-9300/ 9 9111-2791 (ZAP)")</f>
        <v>(75) 9 9188-9300/ 9 9111-2791 (ZAP)</v>
      </c>
      <c r="O1340" s="82" t="str">
        <f>IFERROR(__xludf.DUMMYFUNCTION("IFERROR(VLOOKUP(D1340,
IMPORTRANGE(""https://docs.google.com/spreadsheets/d/1MjHtlUikwobi2MaWJgy7tfLeBmhj1u-dRFRs_8GwSoA/edit#gid=0"",""Gestores Escolares!D7:J""),6,0),""VERIFICAR CÓD SEC"")"),"ALEXSANDRO DE LIMA PEREIRA	")</f>
        <v>ALEXSANDRO DE LIMA PEREIRA	</v>
      </c>
      <c r="P1340" s="82" t="str">
        <f>IFERROR(__xludf.DUMMYFUNCTION("IFERROR(VLOOKUP(D1340,
IMPORTRANGE(""https://docs.google.com/spreadsheets/d/1MjHtlUikwobi2MaWJgy7tfLeBmhj1u-dRFRs_8GwSoA/edit#gid=0"",""Gestores Escolares!D7:J""),7,0),""VERIFICAR CÓD SEC"")"),"(75) 9 8868-5535")</f>
        <v>(75) 9 8868-5535</v>
      </c>
      <c r="Q1340" s="82" t="str">
        <f>IFERROR(__xludf.DUMMYFUNCTION("IFERROR(VLOOKUP(D1340,
IMPORTRANGE(""https://docs.google.com/spreadsheets/d/1MjHtlUikwobi2MaWJgy7tfLeBmhj1u-dRFRs_8GwSoA/edit#gid=0"",""Gestores Escolares!D7:m""),9,0),""VERIFICAR CÓD SEC"")"),"")</f>
        <v/>
      </c>
      <c r="R1340" s="82" t="str">
        <f>IFERROR(__xludf.DUMMYFUNCTION("IFERROR(VLOOKUP(D1340,
IMPORTRANGE(""https://docs.google.com/spreadsheets/d/1MjHtlUikwobi2MaWJgy7tfLeBmhj1u-dRFRs_8GwSoA/edit#gid=0"",""Gestores Escolares!D7:m""),10,0),""VERIFICAR CÓD SEC"")"),"")</f>
        <v/>
      </c>
      <c r="S1340" s="82"/>
      <c r="T1340" s="138">
        <v>9.0</v>
      </c>
      <c r="U1340" s="145" t="s">
        <v>13887</v>
      </c>
      <c r="V1340" s="106">
        <v>0.0</v>
      </c>
      <c r="W1340" s="107">
        <v>0.0</v>
      </c>
      <c r="X1340" s="107">
        <v>0.0</v>
      </c>
      <c r="Y1340" s="107">
        <v>0.0</v>
      </c>
      <c r="Z1340" s="80">
        <f t="shared" si="1"/>
        <v>0</v>
      </c>
      <c r="AA1340" s="106">
        <v>0.0</v>
      </c>
      <c r="AB1340" s="107">
        <v>0.0</v>
      </c>
      <c r="AC1340" s="107">
        <v>0.0</v>
      </c>
      <c r="AD1340" s="107">
        <v>0.0</v>
      </c>
      <c r="AE1340" s="80">
        <f t="shared" si="2"/>
        <v>0</v>
      </c>
      <c r="AF1340" s="140">
        <v>190.0</v>
      </c>
      <c r="AG1340" s="109">
        <v>216.0</v>
      </c>
      <c r="AH1340" s="109">
        <v>0.0</v>
      </c>
      <c r="AI1340" s="141">
        <v>8.0</v>
      </c>
      <c r="AJ1340" s="80">
        <f t="shared" si="3"/>
        <v>414</v>
      </c>
      <c r="AK1340" s="140">
        <v>0.0</v>
      </c>
      <c r="AL1340" s="109">
        <v>0.0</v>
      </c>
      <c r="AM1340" s="141">
        <v>0.0</v>
      </c>
      <c r="AN1340" s="80">
        <f t="shared" si="4"/>
        <v>0</v>
      </c>
      <c r="AO1340" s="140">
        <v>0.0</v>
      </c>
      <c r="AP1340" s="109">
        <v>0.0</v>
      </c>
      <c r="AQ1340" s="109">
        <v>29.0</v>
      </c>
      <c r="AR1340" s="80">
        <f t="shared" si="5"/>
        <v>29</v>
      </c>
      <c r="AS1340" s="110">
        <v>0.0</v>
      </c>
      <c r="AT1340" s="110">
        <v>0.0</v>
      </c>
      <c r="AU1340" s="110">
        <v>24.0</v>
      </c>
      <c r="AV1340" s="142">
        <v>63.0</v>
      </c>
      <c r="AW1340" s="80">
        <f t="shared" si="6"/>
        <v>87</v>
      </c>
      <c r="AX1340" s="113">
        <f t="shared" si="7"/>
        <v>530</v>
      </c>
      <c r="AY1340" s="117">
        <f t="shared" si="8"/>
        <v>477</v>
      </c>
      <c r="AZ1340" s="120">
        <f t="shared" si="9"/>
        <v>53</v>
      </c>
      <c r="BA1340" s="115">
        <v>0.0</v>
      </c>
      <c r="BB1340" s="89">
        <f t="shared" si="10"/>
        <v>530</v>
      </c>
      <c r="BC1340" s="132" t="s">
        <v>178</v>
      </c>
      <c r="BD1340" s="132" t="s">
        <v>178</v>
      </c>
      <c r="BE1340" s="132" t="s">
        <v>178</v>
      </c>
      <c r="BF1340" s="156"/>
      <c r="BG1340" s="83">
        <v>1138504.0</v>
      </c>
      <c r="BH1340" s="112"/>
      <c r="BI1340" s="112">
        <v>8.0</v>
      </c>
      <c r="BJ1340" s="98" t="s">
        <v>5682</v>
      </c>
      <c r="BK1340" s="99">
        <f t="shared" si="11"/>
        <v>71</v>
      </c>
      <c r="BL1340" s="99">
        <f t="shared" si="12"/>
        <v>406</v>
      </c>
      <c r="BM1340" s="99" t="str">
        <f>IFERROR(__xludf.DUMMYFUNCTION("IFERROR(VLOOKUP(BG1340,IMPORTRANGE(""https://docs.google.com/spreadsheets/d/1juPI-Fb8LD0YtltB2mlGEnp_R3UVu1t3wSFPzgCyHXE/edit?gid=0#gid=0"",""GERAL!A2:C""),3,0),""-"")"),"-")</f>
        <v>-</v>
      </c>
    </row>
    <row r="1341" ht="15.75" customHeight="1">
      <c r="A1341" s="111" t="s">
        <v>1629</v>
      </c>
      <c r="B1341" s="83" t="s">
        <v>2381</v>
      </c>
      <c r="C1341" s="83" t="s">
        <v>164</v>
      </c>
      <c r="D1341" s="112">
        <v>1179123.0</v>
      </c>
      <c r="E1341" s="83">
        <v>1179125.0</v>
      </c>
      <c r="F1341" s="98">
        <v>2.9492033E7</v>
      </c>
      <c r="G1341" s="114" t="s">
        <v>7605</v>
      </c>
      <c r="H1341" s="91" t="s">
        <v>7606</v>
      </c>
      <c r="I1341" s="136" t="s">
        <v>7607</v>
      </c>
      <c r="J1341" s="83" t="s">
        <v>865</v>
      </c>
      <c r="K1341" s="83" t="s">
        <v>151</v>
      </c>
      <c r="L1341" s="83" t="s">
        <v>169</v>
      </c>
      <c r="M1341" s="82" t="str">
        <f>IFERROR(__xludf.DUMMYFUNCTION("IFERROR(VLOOKUP(D1341,
IMPORTRANGE(""https://docs.google.com/spreadsheets/d/1MjHtlUikwobi2MaWJgy7tfLeBmhj1u-dRFRs_8GwSoA/edit#gid=0"",""Gestores Escolares!D7:J""),3,0),""VERIFICAR CÓD SEC"")"),"ELAINE PATRICIA DE SOUZA OLIVEIRA")</f>
        <v>ELAINE PATRICIA DE SOUZA OLIVEIRA</v>
      </c>
      <c r="N1341" s="82" t="str">
        <f>IFERROR(__xludf.DUMMYFUNCTION("IFERROR(VLOOKUP(D1341,
IMPORTRANGE(""https://docs.google.com/spreadsheets/d/1MjHtlUikwobi2MaWJgy7tfLeBmhj1u-dRFRs_8GwSoA/edit#gid=0"",""Gestores Escolares!D7:J""),4,0),""VERIFICAR CÓD SEC"")"),"(75) 9 8859-6628")</f>
        <v>(75) 9 8859-6628</v>
      </c>
      <c r="O1341" s="82" t="str">
        <f>IFERROR(__xludf.DUMMYFUNCTION("IFERROR(VLOOKUP(D1341,
IMPORTRANGE(""https://docs.google.com/spreadsheets/d/1MjHtlUikwobi2MaWJgy7tfLeBmhj1u-dRFRs_8GwSoA/edit#gid=0"",""Gestores Escolares!D7:J""),6,0),""VERIFICAR CÓD SEC"")"),"ROZILENE SILVA SA")</f>
        <v>ROZILENE SILVA SA</v>
      </c>
      <c r="P1341" s="82" t="str">
        <f>IFERROR(__xludf.DUMMYFUNCTION("IFERROR(VLOOKUP(D1341,
IMPORTRANGE(""https://docs.google.com/spreadsheets/d/1MjHtlUikwobi2MaWJgy7tfLeBmhj1u-dRFRs_8GwSoA/edit#gid=0"",""Gestores Escolares!D7:J""),7,0),""VERIFICAR CÓD SEC"")"),"(75) 9 8872-2970")</f>
        <v>(75) 9 8872-2970</v>
      </c>
      <c r="Q1341" s="82" t="str">
        <f>IFERROR(__xludf.DUMMYFUNCTION("IFERROR(VLOOKUP(D1341,
IMPORTRANGE(""https://docs.google.com/spreadsheets/d/1MjHtlUikwobi2MaWJgy7tfLeBmhj1u-dRFRs_8GwSoA/edit#gid=0"",""Gestores Escolares!D7:m""),9,0),""VERIFICAR CÓD SEC"")"),"")</f>
        <v/>
      </c>
      <c r="R1341" s="82" t="str">
        <f>IFERROR(__xludf.DUMMYFUNCTION("IFERROR(VLOOKUP(D1341,
IMPORTRANGE(""https://docs.google.com/spreadsheets/d/1MjHtlUikwobi2MaWJgy7tfLeBmhj1u-dRFRs_8GwSoA/edit#gid=0"",""Gestores Escolares!D7:m""),10,0),""VERIFICAR CÓD SEC"")"),"")</f>
        <v/>
      </c>
      <c r="S1341" s="82"/>
      <c r="T1341" s="138">
        <v>3.0</v>
      </c>
      <c r="U1341" s="145">
        <v>3.0</v>
      </c>
      <c r="V1341" s="106">
        <v>7.0</v>
      </c>
      <c r="W1341" s="107">
        <v>0.0</v>
      </c>
      <c r="X1341" s="107">
        <v>0.0</v>
      </c>
      <c r="Y1341" s="107">
        <v>0.0</v>
      </c>
      <c r="Z1341" s="80">
        <f t="shared" si="1"/>
        <v>7</v>
      </c>
      <c r="AA1341" s="106">
        <v>17.0</v>
      </c>
      <c r="AB1341" s="107">
        <v>22.0</v>
      </c>
      <c r="AC1341" s="107">
        <v>0.0</v>
      </c>
      <c r="AD1341" s="107">
        <v>0.0</v>
      </c>
      <c r="AE1341" s="80">
        <f t="shared" si="2"/>
        <v>39</v>
      </c>
      <c r="AF1341" s="140">
        <v>0.0</v>
      </c>
      <c r="AG1341" s="109">
        <v>0.0</v>
      </c>
      <c r="AH1341" s="109">
        <v>9.0</v>
      </c>
      <c r="AI1341" s="141">
        <v>0.0</v>
      </c>
      <c r="AJ1341" s="80">
        <f t="shared" si="3"/>
        <v>9</v>
      </c>
      <c r="AK1341" s="140">
        <v>0.0</v>
      </c>
      <c r="AL1341" s="109">
        <v>0.0</v>
      </c>
      <c r="AM1341" s="141">
        <v>0.0</v>
      </c>
      <c r="AN1341" s="80">
        <f t="shared" si="4"/>
        <v>0</v>
      </c>
      <c r="AO1341" s="140">
        <v>0.0</v>
      </c>
      <c r="AP1341" s="109">
        <v>0.0</v>
      </c>
      <c r="AQ1341" s="109">
        <v>0.0</v>
      </c>
      <c r="AR1341" s="80">
        <f t="shared" si="5"/>
        <v>0</v>
      </c>
      <c r="AS1341" s="110">
        <v>0.0</v>
      </c>
      <c r="AT1341" s="110">
        <v>0.0</v>
      </c>
      <c r="AU1341" s="110">
        <v>0.0</v>
      </c>
      <c r="AV1341" s="142">
        <v>0.0</v>
      </c>
      <c r="AW1341" s="80">
        <f t="shared" si="6"/>
        <v>0</v>
      </c>
      <c r="AX1341" s="113">
        <f t="shared" si="7"/>
        <v>55</v>
      </c>
      <c r="AY1341" s="117">
        <f t="shared" si="8"/>
        <v>46</v>
      </c>
      <c r="AZ1341" s="120">
        <f t="shared" si="9"/>
        <v>9</v>
      </c>
      <c r="BA1341" s="115">
        <v>0.0</v>
      </c>
      <c r="BB1341" s="89">
        <f t="shared" si="10"/>
        <v>55</v>
      </c>
      <c r="BC1341" s="143" t="s">
        <v>1294</v>
      </c>
      <c r="BD1341" s="132" t="s">
        <v>178</v>
      </c>
      <c r="BE1341" s="132" t="s">
        <v>178</v>
      </c>
      <c r="BF1341" s="123"/>
      <c r="BG1341" s="83">
        <v>1179125.0</v>
      </c>
      <c r="BH1341" s="112"/>
      <c r="BI1341" s="112">
        <v>2.0</v>
      </c>
      <c r="BJ1341" s="98" t="s">
        <v>155</v>
      </c>
      <c r="BK1341" s="99">
        <f t="shared" si="11"/>
        <v>0</v>
      </c>
      <c r="BL1341" s="99">
        <f t="shared" si="12"/>
        <v>46</v>
      </c>
      <c r="BM1341" s="99" t="str">
        <f>IFERROR(__xludf.DUMMYFUNCTION("IFERROR(VLOOKUP(BG1341,IMPORTRANGE(""https://docs.google.com/spreadsheets/d/1juPI-Fb8LD0YtltB2mlGEnp_R3UVu1t3wSFPzgCyHXE/edit?gid=0#gid=0"",""GERAL!A2:C""),3,0),""-"")"),"INDÍGENAS")</f>
        <v>INDÍGENAS</v>
      </c>
    </row>
    <row r="1342" ht="15.75" customHeight="1">
      <c r="A1342" s="111" t="s">
        <v>1629</v>
      </c>
      <c r="B1342" s="83" t="s">
        <v>2381</v>
      </c>
      <c r="C1342" s="83" t="s">
        <v>164</v>
      </c>
      <c r="D1342" s="112">
        <v>1179123.0</v>
      </c>
      <c r="E1342" s="83">
        <v>1179124.0</v>
      </c>
      <c r="F1342" s="98">
        <v>2.9492025E7</v>
      </c>
      <c r="G1342" s="114" t="s">
        <v>7608</v>
      </c>
      <c r="H1342" s="91" t="s">
        <v>7609</v>
      </c>
      <c r="I1342" s="83" t="s">
        <v>7610</v>
      </c>
      <c r="J1342" s="83" t="s">
        <v>865</v>
      </c>
      <c r="K1342" s="83" t="s">
        <v>151</v>
      </c>
      <c r="L1342" s="83" t="s">
        <v>169</v>
      </c>
      <c r="M1342" s="82" t="str">
        <f>IFERROR(__xludf.DUMMYFUNCTION("IFERROR(VLOOKUP(D1342,
IMPORTRANGE(""https://docs.google.com/spreadsheets/d/1MjHtlUikwobi2MaWJgy7tfLeBmhj1u-dRFRs_8GwSoA/edit#gid=0"",""Gestores Escolares!D7:J""),3,0),""VERIFICAR CÓD SEC"")"),"ELAINE PATRICIA DE SOUZA OLIVEIRA")</f>
        <v>ELAINE PATRICIA DE SOUZA OLIVEIRA</v>
      </c>
      <c r="N1342" s="82" t="str">
        <f>IFERROR(__xludf.DUMMYFUNCTION("IFERROR(VLOOKUP(D1342,
IMPORTRANGE(""https://docs.google.com/spreadsheets/d/1MjHtlUikwobi2MaWJgy7tfLeBmhj1u-dRFRs_8GwSoA/edit#gid=0"",""Gestores Escolares!D7:J""),4,0),""VERIFICAR CÓD SEC"")"),"(75) 9 8859-6628")</f>
        <v>(75) 9 8859-6628</v>
      </c>
      <c r="O1342" s="82" t="str">
        <f>IFERROR(__xludf.DUMMYFUNCTION("IFERROR(VLOOKUP(D1342,
IMPORTRANGE(""https://docs.google.com/spreadsheets/d/1MjHtlUikwobi2MaWJgy7tfLeBmhj1u-dRFRs_8GwSoA/edit#gid=0"",""Gestores Escolares!D7:J""),6,0),""VERIFICAR CÓD SEC"")"),"ROZILENE SILVA SA")</f>
        <v>ROZILENE SILVA SA</v>
      </c>
      <c r="P1342" s="82" t="str">
        <f>IFERROR(__xludf.DUMMYFUNCTION("IFERROR(VLOOKUP(D1342,
IMPORTRANGE(""https://docs.google.com/spreadsheets/d/1MjHtlUikwobi2MaWJgy7tfLeBmhj1u-dRFRs_8GwSoA/edit#gid=0"",""Gestores Escolares!D7:J""),7,0),""VERIFICAR CÓD SEC"")"),"(75) 9 8872-2970")</f>
        <v>(75) 9 8872-2970</v>
      </c>
      <c r="Q1342" s="82" t="str">
        <f>IFERROR(__xludf.DUMMYFUNCTION("IFERROR(VLOOKUP(D1342,
IMPORTRANGE(""https://docs.google.com/spreadsheets/d/1MjHtlUikwobi2MaWJgy7tfLeBmhj1u-dRFRs_8GwSoA/edit#gid=0"",""Gestores Escolares!D7:m""),9,0),""VERIFICAR CÓD SEC"")"),"")</f>
        <v/>
      </c>
      <c r="R1342" s="82" t="str">
        <f>IFERROR(__xludf.DUMMYFUNCTION("IFERROR(VLOOKUP(D1342,
IMPORTRANGE(""https://docs.google.com/spreadsheets/d/1MjHtlUikwobi2MaWJgy7tfLeBmhj1u-dRFRs_8GwSoA/edit#gid=0"",""Gestores Escolares!D7:m""),10,0),""VERIFICAR CÓD SEC"")"),"")</f>
        <v/>
      </c>
      <c r="S1342" s="82"/>
      <c r="T1342" s="138">
        <v>1.0</v>
      </c>
      <c r="U1342" s="139">
        <v>1.0</v>
      </c>
      <c r="V1342" s="106">
        <v>2.0</v>
      </c>
      <c r="W1342" s="107">
        <v>0.0</v>
      </c>
      <c r="X1342" s="107">
        <v>0.0</v>
      </c>
      <c r="Y1342" s="107">
        <v>0.0</v>
      </c>
      <c r="Z1342" s="80">
        <f t="shared" si="1"/>
        <v>2</v>
      </c>
      <c r="AA1342" s="106">
        <v>3.0</v>
      </c>
      <c r="AB1342" s="107">
        <v>0.0</v>
      </c>
      <c r="AC1342" s="107">
        <v>0.0</v>
      </c>
      <c r="AD1342" s="107">
        <v>0.0</v>
      </c>
      <c r="AE1342" s="80">
        <f t="shared" si="2"/>
        <v>3</v>
      </c>
      <c r="AF1342" s="140">
        <v>0.0</v>
      </c>
      <c r="AG1342" s="109">
        <v>0.0</v>
      </c>
      <c r="AH1342" s="109">
        <v>0.0</v>
      </c>
      <c r="AI1342" s="141">
        <v>0.0</v>
      </c>
      <c r="AJ1342" s="80">
        <f t="shared" si="3"/>
        <v>0</v>
      </c>
      <c r="AK1342" s="140">
        <v>0.0</v>
      </c>
      <c r="AL1342" s="109">
        <v>0.0</v>
      </c>
      <c r="AM1342" s="141">
        <v>0.0</v>
      </c>
      <c r="AN1342" s="80">
        <f t="shared" si="4"/>
        <v>0</v>
      </c>
      <c r="AO1342" s="140">
        <v>0.0</v>
      </c>
      <c r="AP1342" s="109">
        <v>0.0</v>
      </c>
      <c r="AQ1342" s="109">
        <v>0.0</v>
      </c>
      <c r="AR1342" s="80">
        <f t="shared" si="5"/>
        <v>0</v>
      </c>
      <c r="AS1342" s="110">
        <v>0.0</v>
      </c>
      <c r="AT1342" s="110">
        <v>0.0</v>
      </c>
      <c r="AU1342" s="110">
        <v>0.0</v>
      </c>
      <c r="AV1342" s="142">
        <v>0.0</v>
      </c>
      <c r="AW1342" s="80">
        <f t="shared" si="6"/>
        <v>0</v>
      </c>
      <c r="AX1342" s="113">
        <f t="shared" si="7"/>
        <v>5</v>
      </c>
      <c r="AY1342" s="117">
        <f t="shared" si="8"/>
        <v>5</v>
      </c>
      <c r="AZ1342" s="120">
        <f t="shared" si="9"/>
        <v>0</v>
      </c>
      <c r="BA1342" s="115">
        <v>0.0</v>
      </c>
      <c r="BB1342" s="89">
        <f t="shared" si="10"/>
        <v>5</v>
      </c>
      <c r="BC1342" s="143" t="s">
        <v>1294</v>
      </c>
      <c r="BD1342" s="132" t="s">
        <v>178</v>
      </c>
      <c r="BE1342" s="132" t="s">
        <v>178</v>
      </c>
      <c r="BF1342" s="123"/>
      <c r="BG1342" s="83">
        <v>1179124.0</v>
      </c>
      <c r="BH1342" s="112"/>
      <c r="BI1342" s="112">
        <v>1.0</v>
      </c>
      <c r="BJ1342" s="98" t="s">
        <v>155</v>
      </c>
      <c r="BK1342" s="99">
        <f t="shared" si="11"/>
        <v>0</v>
      </c>
      <c r="BL1342" s="99">
        <f t="shared" si="12"/>
        <v>5</v>
      </c>
      <c r="BM1342" s="99" t="str">
        <f>IFERROR(__xludf.DUMMYFUNCTION("IFERROR(VLOOKUP(BG1342,IMPORTRANGE(""https://docs.google.com/spreadsheets/d/1juPI-Fb8LD0YtltB2mlGEnp_R3UVu1t3wSFPzgCyHXE/edit?gid=0#gid=0"",""GERAL!A2:C""),3,0),""-"")"),"INDÍGENAS")</f>
        <v>INDÍGENAS</v>
      </c>
    </row>
    <row r="1343" ht="15.75" customHeight="1">
      <c r="A1343" s="111" t="s">
        <v>1629</v>
      </c>
      <c r="B1343" s="136" t="s">
        <v>7612</v>
      </c>
      <c r="C1343" s="83" t="s">
        <v>68</v>
      </c>
      <c r="D1343" s="195">
        <v>1114265.0</v>
      </c>
      <c r="E1343" s="136"/>
      <c r="F1343" s="136">
        <v>2.903428E7</v>
      </c>
      <c r="G1343" s="292" t="s">
        <v>7613</v>
      </c>
      <c r="H1343" s="108" t="s">
        <v>7614</v>
      </c>
      <c r="I1343" s="83" t="s">
        <v>149</v>
      </c>
      <c r="J1343" s="83" t="s">
        <v>150</v>
      </c>
      <c r="K1343" s="83" t="s">
        <v>151</v>
      </c>
      <c r="L1343" s="98" t="s">
        <v>76</v>
      </c>
      <c r="M1343" s="82" t="str">
        <f>IFERROR(__xludf.DUMMYFUNCTION("IFERROR(VLOOKUP(D1343,
IMPORTRANGE(""https://docs.google.com/spreadsheets/d/1MjHtlUikwobi2MaWJgy7tfLeBmhj1u-dRFRs_8GwSoA/edit#gid=0"",""Gestores Escolares!D7:J""),3,0),""VERIFICAR CÓD SEC"")"),"NOEMI RAQUEL GOMES DE BRITO")</f>
        <v>NOEMI RAQUEL GOMES DE BRITO</v>
      </c>
      <c r="N1343" s="82" t="str">
        <f>IFERROR(__xludf.DUMMYFUNCTION("IFERROR(VLOOKUP(D1343,
IMPORTRANGE(""https://docs.google.com/spreadsheets/d/1MjHtlUikwobi2MaWJgy7tfLeBmhj1u-dRFRs_8GwSoA/edit#gid=0"",""Gestores Escolares!D7:J""),4,0),""VERIFICAR CÓD SEC"")"),"(75) 9 9933 - 9919")</f>
        <v>(75) 9 9933 - 9919</v>
      </c>
      <c r="O1343" s="82" t="str">
        <f>IFERROR(__xludf.DUMMYFUNCTION("IFERROR(VLOOKUP(D1343,
IMPORTRANGE(""https://docs.google.com/spreadsheets/d/1MjHtlUikwobi2MaWJgy7tfLeBmhj1u-dRFRs_8GwSoA/edit#gid=0"",""Gestores Escolares!D7:J""),6,0),""VERIFICAR CÓD SEC"")"),"JANDILEUSA DAMASCENO ALMEIDA GONCALVES")</f>
        <v>JANDILEUSA DAMASCENO ALMEIDA GONCALVES</v>
      </c>
      <c r="P1343" s="82" t="str">
        <f>IFERROR(__xludf.DUMMYFUNCTION("IFERROR(VLOOKUP(D1343,
IMPORTRANGE(""https://docs.google.com/spreadsheets/d/1MjHtlUikwobi2MaWJgy7tfLeBmhj1u-dRFRs_8GwSoA/edit#gid=0"",""Gestores Escolares!D7:J""),7,0),""VERIFICAR CÓD SEC"")"),"(74) 9 9917-7457")</f>
        <v>(74) 9 9917-7457</v>
      </c>
      <c r="Q1343" s="82" t="str">
        <f>IFERROR(__xludf.DUMMYFUNCTION("IFERROR(VLOOKUP(D1343,
IMPORTRANGE(""https://docs.google.com/spreadsheets/d/1MjHtlUikwobi2MaWJgy7tfLeBmhj1u-dRFRs_8GwSoA/edit#gid=0"",""Gestores Escolares!D7:m""),9,0),""VERIFICAR CÓD SEC"")"),"")</f>
        <v/>
      </c>
      <c r="R1343" s="82" t="str">
        <f>IFERROR(__xludf.DUMMYFUNCTION("IFERROR(VLOOKUP(D1343,
IMPORTRANGE(""https://docs.google.com/spreadsheets/d/1MjHtlUikwobi2MaWJgy7tfLeBmhj1u-dRFRs_8GwSoA/edit#gid=0"",""Gestores Escolares!D7:m""),10,0),""VERIFICAR CÓD SEC"")"),"")</f>
        <v/>
      </c>
      <c r="S1343" s="82"/>
      <c r="T1343" s="138">
        <v>6.0</v>
      </c>
      <c r="U1343" s="217" t="s">
        <v>13888</v>
      </c>
      <c r="V1343" s="106">
        <v>0.0</v>
      </c>
      <c r="W1343" s="107">
        <v>0.0</v>
      </c>
      <c r="X1343" s="107">
        <v>0.0</v>
      </c>
      <c r="Y1343" s="107">
        <v>0.0</v>
      </c>
      <c r="Z1343" s="80">
        <f t="shared" si="1"/>
        <v>0</v>
      </c>
      <c r="AA1343" s="106">
        <v>0.0</v>
      </c>
      <c r="AB1343" s="107">
        <v>0.0</v>
      </c>
      <c r="AC1343" s="107">
        <v>0.0</v>
      </c>
      <c r="AD1343" s="107">
        <v>0.0</v>
      </c>
      <c r="AE1343" s="80">
        <f t="shared" si="2"/>
        <v>0</v>
      </c>
      <c r="AF1343" s="140">
        <v>19.0</v>
      </c>
      <c r="AG1343" s="109">
        <v>0.0</v>
      </c>
      <c r="AH1343" s="109">
        <v>0.0</v>
      </c>
      <c r="AI1343" s="141">
        <v>106.0</v>
      </c>
      <c r="AJ1343" s="80">
        <f t="shared" si="3"/>
        <v>125</v>
      </c>
      <c r="AK1343" s="140">
        <v>0.0</v>
      </c>
      <c r="AL1343" s="109">
        <v>0.0</v>
      </c>
      <c r="AM1343" s="141">
        <v>0.0</v>
      </c>
      <c r="AN1343" s="80">
        <f t="shared" si="4"/>
        <v>0</v>
      </c>
      <c r="AO1343" s="140">
        <v>0.0</v>
      </c>
      <c r="AP1343" s="109">
        <v>0.0</v>
      </c>
      <c r="AQ1343" s="109">
        <v>37.0</v>
      </c>
      <c r="AR1343" s="80">
        <f t="shared" si="5"/>
        <v>37</v>
      </c>
      <c r="AS1343" s="110">
        <v>0.0</v>
      </c>
      <c r="AT1343" s="110">
        <v>0.0</v>
      </c>
      <c r="AU1343" s="110">
        <v>15.0</v>
      </c>
      <c r="AV1343" s="142">
        <v>28.0</v>
      </c>
      <c r="AW1343" s="80">
        <f t="shared" si="6"/>
        <v>43</v>
      </c>
      <c r="AX1343" s="113">
        <f t="shared" si="7"/>
        <v>205</v>
      </c>
      <c r="AY1343" s="117">
        <f t="shared" si="8"/>
        <v>153</v>
      </c>
      <c r="AZ1343" s="120">
        <f t="shared" si="9"/>
        <v>52</v>
      </c>
      <c r="BA1343" s="115">
        <v>0.0</v>
      </c>
      <c r="BB1343" s="89">
        <f t="shared" si="10"/>
        <v>205</v>
      </c>
      <c r="BC1343" s="132" t="s">
        <v>178</v>
      </c>
      <c r="BD1343" s="132" t="s">
        <v>178</v>
      </c>
      <c r="BE1343" s="132" t="s">
        <v>178</v>
      </c>
      <c r="BF1343" s="123"/>
      <c r="BG1343" s="136">
        <v>1114265.0</v>
      </c>
      <c r="BH1343" s="112"/>
      <c r="BI1343" s="112">
        <v>6.0</v>
      </c>
      <c r="BJ1343" s="98" t="s">
        <v>155</v>
      </c>
      <c r="BK1343" s="99">
        <f t="shared" si="11"/>
        <v>134</v>
      </c>
      <c r="BL1343" s="99">
        <f t="shared" si="12"/>
        <v>19</v>
      </c>
      <c r="BM1343" s="99" t="str">
        <f>IFERROR(__xludf.DUMMYFUNCTION("IFERROR(VLOOKUP(BG1343,IMPORTRANGE(""https://docs.google.com/spreadsheets/d/1juPI-Fb8LD0YtltB2mlGEnp_R3UVu1t3wSFPzgCyHXE/edit?gid=0#gid=0"",""GERAL!A2:C""),3,0),""-"")"),"-")</f>
        <v>-</v>
      </c>
    </row>
    <row r="1344" ht="15.75" customHeight="1">
      <c r="A1344" s="111" t="s">
        <v>1629</v>
      </c>
      <c r="B1344" s="136" t="s">
        <v>7612</v>
      </c>
      <c r="C1344" s="136" t="s">
        <v>164</v>
      </c>
      <c r="D1344" s="195">
        <v>1114265.0</v>
      </c>
      <c r="E1344" s="136">
        <v>1178582.0</v>
      </c>
      <c r="F1344" s="115">
        <v>2.9491045E7</v>
      </c>
      <c r="G1344" s="292" t="s">
        <v>7617</v>
      </c>
      <c r="H1344" s="91" t="s">
        <v>7618</v>
      </c>
      <c r="I1344" s="83" t="s">
        <v>149</v>
      </c>
      <c r="J1344" s="83" t="s">
        <v>865</v>
      </c>
      <c r="K1344" s="83" t="s">
        <v>168</v>
      </c>
      <c r="L1344" s="83" t="s">
        <v>169</v>
      </c>
      <c r="M1344" s="82" t="str">
        <f>IFERROR(__xludf.DUMMYFUNCTION("IFERROR(VLOOKUP(D1344,
IMPORTRANGE(""https://docs.google.com/spreadsheets/d/1MjHtlUikwobi2MaWJgy7tfLeBmhj1u-dRFRs_8GwSoA/edit#gid=0"",""Gestores Escolares!D7:J""),3,0),""VERIFICAR CÓD SEC"")"),"NOEMI RAQUEL GOMES DE BRITO")</f>
        <v>NOEMI RAQUEL GOMES DE BRITO</v>
      </c>
      <c r="N1344" s="82" t="str">
        <f>IFERROR(__xludf.DUMMYFUNCTION("IFERROR(VLOOKUP(D1344,
IMPORTRANGE(""https://docs.google.com/spreadsheets/d/1MjHtlUikwobi2MaWJgy7tfLeBmhj1u-dRFRs_8GwSoA/edit#gid=0"",""Gestores Escolares!D7:J""),4,0),""VERIFICAR CÓD SEC"")"),"(75) 9 9933 - 9919")</f>
        <v>(75) 9 9933 - 9919</v>
      </c>
      <c r="O1344" s="82" t="str">
        <f>IFERROR(__xludf.DUMMYFUNCTION("IFERROR(VLOOKUP(D1344,
IMPORTRANGE(""https://docs.google.com/spreadsheets/d/1MjHtlUikwobi2MaWJgy7tfLeBmhj1u-dRFRs_8GwSoA/edit#gid=0"",""Gestores Escolares!D7:J""),6,0),""VERIFICAR CÓD SEC"")"),"JANDILEUSA DAMASCENO ALMEIDA GONCALVES")</f>
        <v>JANDILEUSA DAMASCENO ALMEIDA GONCALVES</v>
      </c>
      <c r="P1344" s="82" t="str">
        <f>IFERROR(__xludf.DUMMYFUNCTION("IFERROR(VLOOKUP(D1344,
IMPORTRANGE(""https://docs.google.com/spreadsheets/d/1MjHtlUikwobi2MaWJgy7tfLeBmhj1u-dRFRs_8GwSoA/edit#gid=0"",""Gestores Escolares!D7:J""),7,0),""VERIFICAR CÓD SEC"")"),"(74) 9 9917-7457")</f>
        <v>(74) 9 9917-7457</v>
      </c>
      <c r="Q1344" s="82" t="str">
        <f>IFERROR(__xludf.DUMMYFUNCTION("IFERROR(VLOOKUP(D1344,
IMPORTRANGE(""https://docs.google.com/spreadsheets/d/1MjHtlUikwobi2MaWJgy7tfLeBmhj1u-dRFRs_8GwSoA/edit#gid=0"",""Gestores Escolares!D7:m""),9,0),""VERIFICAR CÓD SEC"")"),"")</f>
        <v/>
      </c>
      <c r="R1344" s="82" t="str">
        <f>IFERROR(__xludf.DUMMYFUNCTION("IFERROR(VLOOKUP(D1344,
IMPORTRANGE(""https://docs.google.com/spreadsheets/d/1MjHtlUikwobi2MaWJgy7tfLeBmhj1u-dRFRs_8GwSoA/edit#gid=0"",""Gestores Escolares!D7:m""),10,0),""VERIFICAR CÓD SEC"")"),"")</f>
        <v/>
      </c>
      <c r="S1344" s="82"/>
      <c r="T1344" s="138">
        <v>3.0</v>
      </c>
      <c r="U1344" s="152">
        <v>3.0</v>
      </c>
      <c r="V1344" s="106">
        <v>0.0</v>
      </c>
      <c r="W1344" s="107">
        <v>0.0</v>
      </c>
      <c r="X1344" s="107">
        <v>0.0</v>
      </c>
      <c r="Y1344" s="107">
        <v>0.0</v>
      </c>
      <c r="Z1344" s="80">
        <f t="shared" si="1"/>
        <v>0</v>
      </c>
      <c r="AA1344" s="106">
        <v>0.0</v>
      </c>
      <c r="AB1344" s="107">
        <v>0.0</v>
      </c>
      <c r="AC1344" s="107">
        <v>0.0</v>
      </c>
      <c r="AD1344" s="107">
        <v>0.0</v>
      </c>
      <c r="AE1344" s="80">
        <f t="shared" si="2"/>
        <v>0</v>
      </c>
      <c r="AF1344" s="140">
        <v>0.0</v>
      </c>
      <c r="AG1344" s="109">
        <v>33.0</v>
      </c>
      <c r="AH1344" s="109">
        <v>0.0</v>
      </c>
      <c r="AI1344" s="141">
        <v>0.0</v>
      </c>
      <c r="AJ1344" s="80">
        <f t="shared" si="3"/>
        <v>33</v>
      </c>
      <c r="AK1344" s="140">
        <v>0.0</v>
      </c>
      <c r="AL1344" s="109">
        <v>0.0</v>
      </c>
      <c r="AM1344" s="141">
        <v>0.0</v>
      </c>
      <c r="AN1344" s="80">
        <f t="shared" si="4"/>
        <v>0</v>
      </c>
      <c r="AO1344" s="140">
        <v>0.0</v>
      </c>
      <c r="AP1344" s="109">
        <v>0.0</v>
      </c>
      <c r="AQ1344" s="109">
        <v>0.0</v>
      </c>
      <c r="AR1344" s="80">
        <f t="shared" si="5"/>
        <v>0</v>
      </c>
      <c r="AS1344" s="110">
        <v>0.0</v>
      </c>
      <c r="AT1344" s="110">
        <v>0.0</v>
      </c>
      <c r="AU1344" s="110">
        <v>0.0</v>
      </c>
      <c r="AV1344" s="142">
        <v>0.0</v>
      </c>
      <c r="AW1344" s="80">
        <f t="shared" si="6"/>
        <v>0</v>
      </c>
      <c r="AX1344" s="113">
        <f t="shared" si="7"/>
        <v>33</v>
      </c>
      <c r="AY1344" s="117">
        <f t="shared" si="8"/>
        <v>33</v>
      </c>
      <c r="AZ1344" s="120">
        <f t="shared" si="9"/>
        <v>0</v>
      </c>
      <c r="BA1344" s="115">
        <v>0.0</v>
      </c>
      <c r="BB1344" s="89">
        <f t="shared" si="10"/>
        <v>33</v>
      </c>
      <c r="BC1344" s="132" t="s">
        <v>373</v>
      </c>
      <c r="BD1344" s="132" t="s">
        <v>178</v>
      </c>
      <c r="BE1344" s="132" t="s">
        <v>178</v>
      </c>
      <c r="BF1344" s="123"/>
      <c r="BG1344" s="136">
        <v>1178582.0</v>
      </c>
      <c r="BH1344" s="112"/>
      <c r="BI1344" s="112">
        <v>3.0</v>
      </c>
      <c r="BJ1344" s="98" t="s">
        <v>155</v>
      </c>
      <c r="BK1344" s="99">
        <f t="shared" si="11"/>
        <v>0</v>
      </c>
      <c r="BL1344" s="99">
        <f t="shared" si="12"/>
        <v>33</v>
      </c>
      <c r="BM1344" s="99" t="str">
        <f>IFERROR(__xludf.DUMMYFUNCTION("IFERROR(VLOOKUP(BG1344,IMPORTRANGE(""https://docs.google.com/spreadsheets/d/1juPI-Fb8LD0YtltB2mlGEnp_R3UVu1t3wSFPzgCyHXE/edit?gid=0#gid=0"",""GERAL!A2:C""),3,0),""-"")"),"CAMPO")</f>
        <v>CAMPO</v>
      </c>
    </row>
    <row r="1345" ht="15.75" customHeight="1">
      <c r="A1345" s="111" t="s">
        <v>1629</v>
      </c>
      <c r="B1345" s="136" t="s">
        <v>7612</v>
      </c>
      <c r="C1345" s="136" t="s">
        <v>164</v>
      </c>
      <c r="D1345" s="195">
        <v>1114265.0</v>
      </c>
      <c r="E1345" s="136">
        <v>1179213.0</v>
      </c>
      <c r="F1345" s="115">
        <v>2.903428E7</v>
      </c>
      <c r="G1345" s="292" t="s">
        <v>7619</v>
      </c>
      <c r="H1345" s="91" t="s">
        <v>7620</v>
      </c>
      <c r="I1345" s="83" t="s">
        <v>149</v>
      </c>
      <c r="J1345" s="83" t="s">
        <v>183</v>
      </c>
      <c r="K1345" s="83" t="s">
        <v>168</v>
      </c>
      <c r="L1345" s="83" t="s">
        <v>169</v>
      </c>
      <c r="M1345" s="82" t="str">
        <f>IFERROR(__xludf.DUMMYFUNCTION("IFERROR(VLOOKUP(D1345,
IMPORTRANGE(""https://docs.google.com/spreadsheets/d/1MjHtlUikwobi2MaWJgy7tfLeBmhj1u-dRFRs_8GwSoA/edit#gid=0"",""Gestores Escolares!D7:J""),3,0),""VERIFICAR CÓD SEC"")"),"NOEMI RAQUEL GOMES DE BRITO")</f>
        <v>NOEMI RAQUEL GOMES DE BRITO</v>
      </c>
      <c r="N1345" s="82" t="str">
        <f>IFERROR(__xludf.DUMMYFUNCTION("IFERROR(VLOOKUP(D1345,
IMPORTRANGE(""https://docs.google.com/spreadsheets/d/1MjHtlUikwobi2MaWJgy7tfLeBmhj1u-dRFRs_8GwSoA/edit#gid=0"",""Gestores Escolares!D7:J""),4,0),""VERIFICAR CÓD SEC"")"),"(75) 9 9933 - 9919")</f>
        <v>(75) 9 9933 - 9919</v>
      </c>
      <c r="O1345" s="82" t="str">
        <f>IFERROR(__xludf.DUMMYFUNCTION("IFERROR(VLOOKUP(D1345,
IMPORTRANGE(""https://docs.google.com/spreadsheets/d/1MjHtlUikwobi2MaWJgy7tfLeBmhj1u-dRFRs_8GwSoA/edit#gid=0"",""Gestores Escolares!D7:J""),6,0),""VERIFICAR CÓD SEC"")"),"JANDILEUSA DAMASCENO ALMEIDA GONCALVES")</f>
        <v>JANDILEUSA DAMASCENO ALMEIDA GONCALVES</v>
      </c>
      <c r="P1345" s="82" t="str">
        <f>IFERROR(__xludf.DUMMYFUNCTION("IFERROR(VLOOKUP(D1345,
IMPORTRANGE(""https://docs.google.com/spreadsheets/d/1MjHtlUikwobi2MaWJgy7tfLeBmhj1u-dRFRs_8GwSoA/edit#gid=0"",""Gestores Escolares!D7:J""),7,0),""VERIFICAR CÓD SEC"")"),"(74) 9 9917-7457")</f>
        <v>(74) 9 9917-7457</v>
      </c>
      <c r="Q1345" s="82" t="str">
        <f>IFERROR(__xludf.DUMMYFUNCTION("IFERROR(VLOOKUP(D1345,
IMPORTRANGE(""https://docs.google.com/spreadsheets/d/1MjHtlUikwobi2MaWJgy7tfLeBmhj1u-dRFRs_8GwSoA/edit#gid=0"",""Gestores Escolares!D7:m""),9,0),""VERIFICAR CÓD SEC"")"),"")</f>
        <v/>
      </c>
      <c r="R1345" s="82" t="str">
        <f>IFERROR(__xludf.DUMMYFUNCTION("IFERROR(VLOOKUP(D1345,
IMPORTRANGE(""https://docs.google.com/spreadsheets/d/1MjHtlUikwobi2MaWJgy7tfLeBmhj1u-dRFRs_8GwSoA/edit#gid=0"",""Gestores Escolares!D7:m""),10,0),""VERIFICAR CÓD SEC"")"),"")</f>
        <v/>
      </c>
      <c r="S1345" s="82"/>
      <c r="T1345" s="138">
        <v>3.0</v>
      </c>
      <c r="U1345" s="152">
        <v>3.0</v>
      </c>
      <c r="V1345" s="106">
        <v>0.0</v>
      </c>
      <c r="W1345" s="107">
        <v>0.0</v>
      </c>
      <c r="X1345" s="107">
        <v>0.0</v>
      </c>
      <c r="Y1345" s="107">
        <v>0.0</v>
      </c>
      <c r="Z1345" s="80">
        <f t="shared" si="1"/>
        <v>0</v>
      </c>
      <c r="AA1345" s="106">
        <v>0.0</v>
      </c>
      <c r="AB1345" s="107">
        <v>0.0</v>
      </c>
      <c r="AC1345" s="107">
        <v>0.0</v>
      </c>
      <c r="AD1345" s="107">
        <v>0.0</v>
      </c>
      <c r="AE1345" s="80">
        <f t="shared" si="2"/>
        <v>0</v>
      </c>
      <c r="AF1345" s="140">
        <v>0.0</v>
      </c>
      <c r="AG1345" s="109">
        <v>56.0</v>
      </c>
      <c r="AH1345" s="109">
        <v>0.0</v>
      </c>
      <c r="AI1345" s="141">
        <v>0.0</v>
      </c>
      <c r="AJ1345" s="80">
        <f t="shared" si="3"/>
        <v>56</v>
      </c>
      <c r="AK1345" s="140">
        <v>0.0</v>
      </c>
      <c r="AL1345" s="109">
        <v>0.0</v>
      </c>
      <c r="AM1345" s="141">
        <v>0.0</v>
      </c>
      <c r="AN1345" s="80">
        <f t="shared" si="4"/>
        <v>0</v>
      </c>
      <c r="AO1345" s="140">
        <v>0.0</v>
      </c>
      <c r="AP1345" s="109">
        <v>0.0</v>
      </c>
      <c r="AQ1345" s="109">
        <v>0.0</v>
      </c>
      <c r="AR1345" s="80">
        <f t="shared" si="5"/>
        <v>0</v>
      </c>
      <c r="AS1345" s="110">
        <v>0.0</v>
      </c>
      <c r="AT1345" s="110">
        <v>0.0</v>
      </c>
      <c r="AU1345" s="110">
        <v>0.0</v>
      </c>
      <c r="AV1345" s="142">
        <v>0.0</v>
      </c>
      <c r="AW1345" s="80">
        <f t="shared" si="6"/>
        <v>0</v>
      </c>
      <c r="AX1345" s="113">
        <f t="shared" si="7"/>
        <v>56</v>
      </c>
      <c r="AY1345" s="117">
        <f t="shared" si="8"/>
        <v>56</v>
      </c>
      <c r="AZ1345" s="120">
        <f t="shared" si="9"/>
        <v>0</v>
      </c>
      <c r="BA1345" s="115">
        <v>0.0</v>
      </c>
      <c r="BB1345" s="89">
        <f t="shared" si="10"/>
        <v>56</v>
      </c>
      <c r="BC1345" s="132" t="s">
        <v>373</v>
      </c>
      <c r="BD1345" s="132" t="s">
        <v>178</v>
      </c>
      <c r="BE1345" s="132" t="s">
        <v>178</v>
      </c>
      <c r="BF1345" s="123"/>
      <c r="BG1345" s="136">
        <v>1179213.0</v>
      </c>
      <c r="BH1345" s="112"/>
      <c r="BI1345" s="112">
        <v>3.0</v>
      </c>
      <c r="BJ1345" s="98" t="s">
        <v>155</v>
      </c>
      <c r="BK1345" s="99">
        <f t="shared" si="11"/>
        <v>0</v>
      </c>
      <c r="BL1345" s="99">
        <f t="shared" si="12"/>
        <v>56</v>
      </c>
      <c r="BM1345" s="99" t="str">
        <f>IFERROR(__xludf.DUMMYFUNCTION("IFERROR(VLOOKUP(BG1345,IMPORTRANGE(""https://docs.google.com/spreadsheets/d/1juPI-Fb8LD0YtltB2mlGEnp_R3UVu1t3wSFPzgCyHXE/edit?gid=0#gid=0"",""GERAL!A2:C""),3,0),""-"")"),"CAMPO")</f>
        <v>CAMPO</v>
      </c>
    </row>
    <row r="1346" ht="15.75" customHeight="1">
      <c r="A1346" s="111" t="s">
        <v>1629</v>
      </c>
      <c r="B1346" s="136" t="s">
        <v>7612</v>
      </c>
      <c r="C1346" s="136" t="s">
        <v>164</v>
      </c>
      <c r="D1346" s="195">
        <v>1114265.0</v>
      </c>
      <c r="E1346" s="136">
        <v>1178584.0</v>
      </c>
      <c r="F1346" s="115">
        <v>2.9491037E7</v>
      </c>
      <c r="G1346" s="292" t="s">
        <v>7622</v>
      </c>
      <c r="H1346" s="91" t="s">
        <v>1778</v>
      </c>
      <c r="I1346" s="83" t="s">
        <v>149</v>
      </c>
      <c r="J1346" s="83" t="s">
        <v>865</v>
      </c>
      <c r="K1346" s="83" t="s">
        <v>168</v>
      </c>
      <c r="L1346" s="83" t="s">
        <v>169</v>
      </c>
      <c r="M1346" s="82" t="str">
        <f>IFERROR(__xludf.DUMMYFUNCTION("IFERROR(VLOOKUP(D1346,
IMPORTRANGE(""https://docs.google.com/spreadsheets/d/1MjHtlUikwobi2MaWJgy7tfLeBmhj1u-dRFRs_8GwSoA/edit#gid=0"",""Gestores Escolares!D7:J""),3,0),""VERIFICAR CÓD SEC"")"),"NOEMI RAQUEL GOMES DE BRITO")</f>
        <v>NOEMI RAQUEL GOMES DE BRITO</v>
      </c>
      <c r="N1346" s="82" t="str">
        <f>IFERROR(__xludf.DUMMYFUNCTION("IFERROR(VLOOKUP(D1346,
IMPORTRANGE(""https://docs.google.com/spreadsheets/d/1MjHtlUikwobi2MaWJgy7tfLeBmhj1u-dRFRs_8GwSoA/edit#gid=0"",""Gestores Escolares!D7:J""),4,0),""VERIFICAR CÓD SEC"")"),"(75) 9 9933 - 9919")</f>
        <v>(75) 9 9933 - 9919</v>
      </c>
      <c r="O1346" s="82" t="str">
        <f>IFERROR(__xludf.DUMMYFUNCTION("IFERROR(VLOOKUP(D1346,
IMPORTRANGE(""https://docs.google.com/spreadsheets/d/1MjHtlUikwobi2MaWJgy7tfLeBmhj1u-dRFRs_8GwSoA/edit#gid=0"",""Gestores Escolares!D7:J""),6,0),""VERIFICAR CÓD SEC"")"),"JANDILEUSA DAMASCENO ALMEIDA GONCALVES")</f>
        <v>JANDILEUSA DAMASCENO ALMEIDA GONCALVES</v>
      </c>
      <c r="P1346" s="82" t="str">
        <f>IFERROR(__xludf.DUMMYFUNCTION("IFERROR(VLOOKUP(D1346,
IMPORTRANGE(""https://docs.google.com/spreadsheets/d/1MjHtlUikwobi2MaWJgy7tfLeBmhj1u-dRFRs_8GwSoA/edit#gid=0"",""Gestores Escolares!D7:J""),7,0),""VERIFICAR CÓD SEC"")"),"(74) 9 9917-7457")</f>
        <v>(74) 9 9917-7457</v>
      </c>
      <c r="Q1346" s="82" t="str">
        <f>IFERROR(__xludf.DUMMYFUNCTION("IFERROR(VLOOKUP(D1346,
IMPORTRANGE(""https://docs.google.com/spreadsheets/d/1MjHtlUikwobi2MaWJgy7tfLeBmhj1u-dRFRs_8GwSoA/edit#gid=0"",""Gestores Escolares!D7:m""),9,0),""VERIFICAR CÓD SEC"")"),"")</f>
        <v/>
      </c>
      <c r="R1346" s="82" t="str">
        <f>IFERROR(__xludf.DUMMYFUNCTION("IFERROR(VLOOKUP(D1346,
IMPORTRANGE(""https://docs.google.com/spreadsheets/d/1MjHtlUikwobi2MaWJgy7tfLeBmhj1u-dRFRs_8GwSoA/edit#gid=0"",""Gestores Escolares!D7:m""),10,0),""VERIFICAR CÓD SEC"")"),"")</f>
        <v/>
      </c>
      <c r="S1346" s="82"/>
      <c r="T1346" s="138">
        <v>3.0</v>
      </c>
      <c r="U1346" s="152">
        <v>3.0</v>
      </c>
      <c r="V1346" s="106">
        <v>0.0</v>
      </c>
      <c r="W1346" s="107">
        <v>0.0</v>
      </c>
      <c r="X1346" s="107">
        <v>0.0</v>
      </c>
      <c r="Y1346" s="107">
        <v>0.0</v>
      </c>
      <c r="Z1346" s="80">
        <f t="shared" si="1"/>
        <v>0</v>
      </c>
      <c r="AA1346" s="106">
        <v>0.0</v>
      </c>
      <c r="AB1346" s="107">
        <v>0.0</v>
      </c>
      <c r="AC1346" s="107">
        <v>0.0</v>
      </c>
      <c r="AD1346" s="107">
        <v>0.0</v>
      </c>
      <c r="AE1346" s="80">
        <f t="shared" si="2"/>
        <v>0</v>
      </c>
      <c r="AF1346" s="140">
        <v>29.0</v>
      </c>
      <c r="AG1346" s="109">
        <v>0.0</v>
      </c>
      <c r="AH1346" s="109">
        <v>0.0</v>
      </c>
      <c r="AI1346" s="141">
        <v>0.0</v>
      </c>
      <c r="AJ1346" s="80">
        <f t="shared" si="3"/>
        <v>29</v>
      </c>
      <c r="AK1346" s="140">
        <v>0.0</v>
      </c>
      <c r="AL1346" s="109">
        <v>0.0</v>
      </c>
      <c r="AM1346" s="141">
        <v>0.0</v>
      </c>
      <c r="AN1346" s="80">
        <f t="shared" si="4"/>
        <v>0</v>
      </c>
      <c r="AO1346" s="140">
        <v>0.0</v>
      </c>
      <c r="AP1346" s="109">
        <v>0.0</v>
      </c>
      <c r="AQ1346" s="109">
        <v>0.0</v>
      </c>
      <c r="AR1346" s="80">
        <f t="shared" si="5"/>
        <v>0</v>
      </c>
      <c r="AS1346" s="110">
        <v>0.0</v>
      </c>
      <c r="AT1346" s="110">
        <v>0.0</v>
      </c>
      <c r="AU1346" s="110">
        <v>0.0</v>
      </c>
      <c r="AV1346" s="142">
        <v>0.0</v>
      </c>
      <c r="AW1346" s="80">
        <f t="shared" si="6"/>
        <v>0</v>
      </c>
      <c r="AX1346" s="113">
        <f t="shared" si="7"/>
        <v>29</v>
      </c>
      <c r="AY1346" s="117">
        <f t="shared" si="8"/>
        <v>29</v>
      </c>
      <c r="AZ1346" s="120">
        <f t="shared" si="9"/>
        <v>0</v>
      </c>
      <c r="BA1346" s="115">
        <v>0.0</v>
      </c>
      <c r="BB1346" s="89">
        <f t="shared" si="10"/>
        <v>29</v>
      </c>
      <c r="BC1346" s="132" t="s">
        <v>373</v>
      </c>
      <c r="BD1346" s="132" t="s">
        <v>178</v>
      </c>
      <c r="BE1346" s="132" t="s">
        <v>178</v>
      </c>
      <c r="BF1346" s="123"/>
      <c r="BG1346" s="136">
        <v>1178584.0</v>
      </c>
      <c r="BH1346" s="112"/>
      <c r="BI1346" s="112">
        <v>3.0</v>
      </c>
      <c r="BJ1346" s="98" t="s">
        <v>155</v>
      </c>
      <c r="BK1346" s="99">
        <f t="shared" si="11"/>
        <v>0</v>
      </c>
      <c r="BL1346" s="99">
        <f t="shared" si="12"/>
        <v>29</v>
      </c>
      <c r="BM1346" s="99" t="str">
        <f>IFERROR(__xludf.DUMMYFUNCTION("IFERROR(VLOOKUP(BG1346,IMPORTRANGE(""https://docs.google.com/spreadsheets/d/1juPI-Fb8LD0YtltB2mlGEnp_R3UVu1t3wSFPzgCyHXE/edit?gid=0#gid=0"",""GERAL!A2:C""),3,0),""-"")"),"CAMPO")</f>
        <v>CAMPO</v>
      </c>
    </row>
    <row r="1347" ht="15.75" customHeight="1">
      <c r="A1347" s="111" t="s">
        <v>1629</v>
      </c>
      <c r="B1347" s="172" t="s">
        <v>7612</v>
      </c>
      <c r="C1347" s="172" t="s">
        <v>164</v>
      </c>
      <c r="D1347" s="195">
        <v>1114265.0</v>
      </c>
      <c r="E1347" s="172">
        <v>1178583.0</v>
      </c>
      <c r="F1347" s="229">
        <v>2.9491029E7</v>
      </c>
      <c r="G1347" s="610" t="s">
        <v>7623</v>
      </c>
      <c r="H1347" s="91" t="s">
        <v>7624</v>
      </c>
      <c r="I1347" s="83" t="s">
        <v>149</v>
      </c>
      <c r="J1347" s="83" t="s">
        <v>865</v>
      </c>
      <c r="K1347" s="83" t="s">
        <v>168</v>
      </c>
      <c r="L1347" s="83" t="s">
        <v>169</v>
      </c>
      <c r="M1347" s="82" t="str">
        <f>IFERROR(__xludf.DUMMYFUNCTION("IFERROR(VLOOKUP(D1347,
IMPORTRANGE(""https://docs.google.com/spreadsheets/d/1MjHtlUikwobi2MaWJgy7tfLeBmhj1u-dRFRs_8GwSoA/edit#gid=0"",""Gestores Escolares!D7:J""),3,0),""VERIFICAR CÓD SEC"")"),"NOEMI RAQUEL GOMES DE BRITO")</f>
        <v>NOEMI RAQUEL GOMES DE BRITO</v>
      </c>
      <c r="N1347" s="82" t="str">
        <f>IFERROR(__xludf.DUMMYFUNCTION("IFERROR(VLOOKUP(D1347,
IMPORTRANGE(""https://docs.google.com/spreadsheets/d/1MjHtlUikwobi2MaWJgy7tfLeBmhj1u-dRFRs_8GwSoA/edit#gid=0"",""Gestores Escolares!D7:J""),4,0),""VERIFICAR CÓD SEC"")"),"(75) 9 9933 - 9919")</f>
        <v>(75) 9 9933 - 9919</v>
      </c>
      <c r="O1347" s="82" t="str">
        <f>IFERROR(__xludf.DUMMYFUNCTION("IFERROR(VLOOKUP(D1347,
IMPORTRANGE(""https://docs.google.com/spreadsheets/d/1MjHtlUikwobi2MaWJgy7tfLeBmhj1u-dRFRs_8GwSoA/edit#gid=0"",""Gestores Escolares!D7:J""),6,0),""VERIFICAR CÓD SEC"")"),"JANDILEUSA DAMASCENO ALMEIDA GONCALVES")</f>
        <v>JANDILEUSA DAMASCENO ALMEIDA GONCALVES</v>
      </c>
      <c r="P1347" s="82" t="str">
        <f>IFERROR(__xludf.DUMMYFUNCTION("IFERROR(VLOOKUP(D1347,
IMPORTRANGE(""https://docs.google.com/spreadsheets/d/1MjHtlUikwobi2MaWJgy7tfLeBmhj1u-dRFRs_8GwSoA/edit#gid=0"",""Gestores Escolares!D7:J""),7,0),""VERIFICAR CÓD SEC"")"),"(74) 9 9917-7457")</f>
        <v>(74) 9 9917-7457</v>
      </c>
      <c r="Q1347" s="82" t="str">
        <f>IFERROR(__xludf.DUMMYFUNCTION("IFERROR(VLOOKUP(D1347,
IMPORTRANGE(""https://docs.google.com/spreadsheets/d/1MjHtlUikwobi2MaWJgy7tfLeBmhj1u-dRFRs_8GwSoA/edit#gid=0"",""Gestores Escolares!D7:m""),9,0),""VERIFICAR CÓD SEC"")"),"")</f>
        <v/>
      </c>
      <c r="R1347" s="82" t="str">
        <f>IFERROR(__xludf.DUMMYFUNCTION("IFERROR(VLOOKUP(D1347,
IMPORTRANGE(""https://docs.google.com/spreadsheets/d/1MjHtlUikwobi2MaWJgy7tfLeBmhj1u-dRFRs_8GwSoA/edit#gid=0"",""Gestores Escolares!D7:m""),10,0),""VERIFICAR CÓD SEC"")"),"")</f>
        <v/>
      </c>
      <c r="S1347" s="82"/>
      <c r="T1347" s="138">
        <v>3.0</v>
      </c>
      <c r="U1347" s="152">
        <v>3.0</v>
      </c>
      <c r="V1347" s="106">
        <v>0.0</v>
      </c>
      <c r="W1347" s="107">
        <v>0.0</v>
      </c>
      <c r="X1347" s="107">
        <v>0.0</v>
      </c>
      <c r="Y1347" s="107">
        <v>0.0</v>
      </c>
      <c r="Z1347" s="80">
        <f t="shared" si="1"/>
        <v>0</v>
      </c>
      <c r="AA1347" s="106">
        <v>0.0</v>
      </c>
      <c r="AB1347" s="107">
        <v>0.0</v>
      </c>
      <c r="AC1347" s="107">
        <v>0.0</v>
      </c>
      <c r="AD1347" s="107">
        <v>0.0</v>
      </c>
      <c r="AE1347" s="80">
        <f t="shared" si="2"/>
        <v>0</v>
      </c>
      <c r="AF1347" s="140">
        <v>30.0</v>
      </c>
      <c r="AG1347" s="109">
        <v>0.0</v>
      </c>
      <c r="AH1347" s="109">
        <v>0.0</v>
      </c>
      <c r="AI1347" s="141">
        <v>0.0</v>
      </c>
      <c r="AJ1347" s="80">
        <f t="shared" si="3"/>
        <v>30</v>
      </c>
      <c r="AK1347" s="140">
        <v>0.0</v>
      </c>
      <c r="AL1347" s="109">
        <v>0.0</v>
      </c>
      <c r="AM1347" s="141">
        <v>0.0</v>
      </c>
      <c r="AN1347" s="80">
        <f t="shared" si="4"/>
        <v>0</v>
      </c>
      <c r="AO1347" s="140">
        <v>0.0</v>
      </c>
      <c r="AP1347" s="109">
        <v>0.0</v>
      </c>
      <c r="AQ1347" s="109">
        <v>13.0</v>
      </c>
      <c r="AR1347" s="80">
        <f t="shared" si="5"/>
        <v>13</v>
      </c>
      <c r="AS1347" s="110">
        <v>0.0</v>
      </c>
      <c r="AT1347" s="110">
        <v>0.0</v>
      </c>
      <c r="AU1347" s="110">
        <v>0.0</v>
      </c>
      <c r="AV1347" s="142">
        <v>0.0</v>
      </c>
      <c r="AW1347" s="80">
        <f t="shared" si="6"/>
        <v>0</v>
      </c>
      <c r="AX1347" s="113">
        <f t="shared" si="7"/>
        <v>43</v>
      </c>
      <c r="AY1347" s="117">
        <f t="shared" si="8"/>
        <v>30</v>
      </c>
      <c r="AZ1347" s="120">
        <f t="shared" si="9"/>
        <v>13</v>
      </c>
      <c r="BA1347" s="115">
        <v>0.0</v>
      </c>
      <c r="BB1347" s="89">
        <f t="shared" si="10"/>
        <v>43</v>
      </c>
      <c r="BC1347" s="132" t="s">
        <v>373</v>
      </c>
      <c r="BD1347" s="132" t="s">
        <v>178</v>
      </c>
      <c r="BE1347" s="132" t="s">
        <v>178</v>
      </c>
      <c r="BF1347" s="123"/>
      <c r="BG1347" s="172">
        <v>1178583.0</v>
      </c>
      <c r="BH1347" s="112"/>
      <c r="BI1347" s="112">
        <v>3.0</v>
      </c>
      <c r="BJ1347" s="98" t="s">
        <v>155</v>
      </c>
      <c r="BK1347" s="99">
        <f t="shared" si="11"/>
        <v>0</v>
      </c>
      <c r="BL1347" s="99">
        <f t="shared" si="12"/>
        <v>30</v>
      </c>
      <c r="BM1347" s="99" t="str">
        <f>IFERROR(__xludf.DUMMYFUNCTION("IFERROR(VLOOKUP(BG1347,IMPORTRANGE(""https://docs.google.com/spreadsheets/d/1juPI-Fb8LD0YtltB2mlGEnp_R3UVu1t3wSFPzgCyHXE/edit?gid=0#gid=0"",""GERAL!A2:C""),3,0),""-"")"),"CAMPO")</f>
        <v>CAMPO</v>
      </c>
    </row>
    <row r="1348" ht="15.75" customHeight="1">
      <c r="A1348" s="111" t="s">
        <v>1629</v>
      </c>
      <c r="B1348" s="83" t="s">
        <v>7625</v>
      </c>
      <c r="C1348" s="83" t="s">
        <v>68</v>
      </c>
      <c r="D1348" s="112">
        <v>1176426.0</v>
      </c>
      <c r="E1348" s="136"/>
      <c r="F1348" s="136">
        <v>2.9389976E7</v>
      </c>
      <c r="G1348" s="292" t="s">
        <v>7626</v>
      </c>
      <c r="H1348" s="91" t="s">
        <v>7627</v>
      </c>
      <c r="I1348" s="136" t="s">
        <v>149</v>
      </c>
      <c r="J1348" s="136" t="s">
        <v>150</v>
      </c>
      <c r="K1348" s="136" t="s">
        <v>151</v>
      </c>
      <c r="L1348" s="136" t="s">
        <v>152</v>
      </c>
      <c r="M1348" s="82" t="str">
        <f>IFERROR(__xludf.DUMMYFUNCTION("IFERROR(VLOOKUP(D1348,
IMPORTRANGE(""https://docs.google.com/spreadsheets/d/1MjHtlUikwobi2MaWJgy7tfLeBmhj1u-dRFRs_8GwSoA/edit#gid=0"",""Gestores Escolares!D7:J""),3,0),""VERIFICAR CÓD SEC"")"),"ODINAELTON CARVALHO DE MORAES (ELTON)")</f>
        <v>ODINAELTON CARVALHO DE MORAES (ELTON)</v>
      </c>
      <c r="N1348" s="82" t="str">
        <f>IFERROR(__xludf.DUMMYFUNCTION("IFERROR(VLOOKUP(D1348,
IMPORTRANGE(""https://docs.google.com/spreadsheets/d/1MjHtlUikwobi2MaWJgy7tfLeBmhj1u-dRFRs_8GwSoA/edit#gid=0"",""Gestores Escolares!D7:J""),4,0),""VERIFICAR CÓD SEC"")"),"(75) 9 9153-8524")</f>
        <v>(75) 9 9153-8524</v>
      </c>
      <c r="O1348" s="82" t="str">
        <f>IFERROR(__xludf.DUMMYFUNCTION("IFERROR(VLOOKUP(D1348,
IMPORTRANGE(""https://docs.google.com/spreadsheets/d/1MjHtlUikwobi2MaWJgy7tfLeBmhj1u-dRFRs_8GwSoA/edit#gid=0"",""Gestores Escolares!D7:J""),6,0),""VERIFICAR CÓD SEC"")"),"ROSANA COSTA DA SILVA PAZ")</f>
        <v>ROSANA COSTA DA SILVA PAZ</v>
      </c>
      <c r="P1348" s="82" t="str">
        <f>IFERROR(__xludf.DUMMYFUNCTION("IFERROR(VLOOKUP(D1348,
IMPORTRANGE(""https://docs.google.com/spreadsheets/d/1MjHtlUikwobi2MaWJgy7tfLeBmhj1u-dRFRs_8GwSoA/edit#gid=0"",""Gestores Escolares!D7:J""),7,0),""VERIFICAR CÓD SEC"")"),"(75) 9 8881-2361")</f>
        <v>(75) 9 8881-2361</v>
      </c>
      <c r="Q1348" s="82" t="str">
        <f>IFERROR(__xludf.DUMMYFUNCTION("IFERROR(VLOOKUP(D1348,
IMPORTRANGE(""https://docs.google.com/spreadsheets/d/1MjHtlUikwobi2MaWJgy7tfLeBmhj1u-dRFRs_8GwSoA/edit#gid=0"",""Gestores Escolares!D7:m""),9,0),""VERIFICAR CÓD SEC"")"),"VERUSKA LEANDRA DE MENEZES GALLINDO")</f>
        <v>VERUSKA LEANDRA DE MENEZES GALLINDO</v>
      </c>
      <c r="R1348" s="82" t="str">
        <f>IFERROR(__xludf.DUMMYFUNCTION("IFERROR(VLOOKUP(D1348,
IMPORTRANGE(""https://docs.google.com/spreadsheets/d/1MjHtlUikwobi2MaWJgy7tfLeBmhj1u-dRFRs_8GwSoA/edit#gid=0"",""Gestores Escolares!D7:m""),10,0),""VERIFICAR CÓD SEC"")"),"(75) 9 8804-1073")</f>
        <v>(75) 9 8804-1073</v>
      </c>
      <c r="S1348" s="82"/>
      <c r="T1348" s="138">
        <v>15.0</v>
      </c>
      <c r="U1348" s="217" t="s">
        <v>13889</v>
      </c>
      <c r="V1348" s="106">
        <v>0.0</v>
      </c>
      <c r="W1348" s="107">
        <v>0.0</v>
      </c>
      <c r="X1348" s="107">
        <v>0.0</v>
      </c>
      <c r="Y1348" s="107">
        <v>0.0</v>
      </c>
      <c r="Z1348" s="80">
        <f t="shared" si="1"/>
        <v>0</v>
      </c>
      <c r="AA1348" s="106">
        <v>0.0</v>
      </c>
      <c r="AB1348" s="107">
        <v>0.0</v>
      </c>
      <c r="AC1348" s="107">
        <v>0.0</v>
      </c>
      <c r="AD1348" s="107">
        <v>0.0</v>
      </c>
      <c r="AE1348" s="80">
        <f t="shared" si="2"/>
        <v>0</v>
      </c>
      <c r="AF1348" s="140">
        <v>133.0</v>
      </c>
      <c r="AG1348" s="109">
        <v>170.0</v>
      </c>
      <c r="AH1348" s="109">
        <v>0.0</v>
      </c>
      <c r="AI1348" s="141">
        <v>0.0</v>
      </c>
      <c r="AJ1348" s="80">
        <f t="shared" si="3"/>
        <v>303</v>
      </c>
      <c r="AK1348" s="140">
        <v>0.0</v>
      </c>
      <c r="AL1348" s="109">
        <v>0.0</v>
      </c>
      <c r="AM1348" s="141">
        <v>0.0</v>
      </c>
      <c r="AN1348" s="80">
        <f t="shared" si="4"/>
        <v>0</v>
      </c>
      <c r="AO1348" s="140">
        <v>0.0</v>
      </c>
      <c r="AP1348" s="109">
        <v>0.0</v>
      </c>
      <c r="AQ1348" s="109">
        <v>0.0</v>
      </c>
      <c r="AR1348" s="80">
        <f t="shared" si="5"/>
        <v>0</v>
      </c>
      <c r="AS1348" s="110">
        <v>191.0</v>
      </c>
      <c r="AT1348" s="110">
        <v>146.0</v>
      </c>
      <c r="AU1348" s="110">
        <v>249.0</v>
      </c>
      <c r="AV1348" s="142">
        <v>16.0</v>
      </c>
      <c r="AW1348" s="80">
        <f t="shared" si="6"/>
        <v>602</v>
      </c>
      <c r="AX1348" s="113">
        <f t="shared" si="7"/>
        <v>905</v>
      </c>
      <c r="AY1348" s="117">
        <f t="shared" si="8"/>
        <v>656</v>
      </c>
      <c r="AZ1348" s="120">
        <f t="shared" si="9"/>
        <v>249</v>
      </c>
      <c r="BA1348" s="115">
        <v>0.0</v>
      </c>
      <c r="BB1348" s="89">
        <f t="shared" si="10"/>
        <v>905</v>
      </c>
      <c r="BC1348" s="132" t="s">
        <v>178</v>
      </c>
      <c r="BD1348" s="132" t="s">
        <v>178</v>
      </c>
      <c r="BE1348" s="132" t="s">
        <v>178</v>
      </c>
      <c r="BF1348" s="156"/>
      <c r="BG1348" s="83">
        <v>1176426.0</v>
      </c>
      <c r="BH1348" s="112"/>
      <c r="BI1348" s="112">
        <v>15.0</v>
      </c>
      <c r="BJ1348" s="98" t="s">
        <v>155</v>
      </c>
      <c r="BK1348" s="99">
        <f t="shared" si="11"/>
        <v>16</v>
      </c>
      <c r="BL1348" s="99">
        <f t="shared" si="12"/>
        <v>640</v>
      </c>
      <c r="BM1348" s="99" t="str">
        <f>IFERROR(__xludf.DUMMYFUNCTION("IFERROR(VLOOKUP(BG1348,IMPORTRANGE(""https://docs.google.com/spreadsheets/d/1juPI-Fb8LD0YtltB2mlGEnp_R3UVu1t3wSFPzgCyHXE/edit?gid=0#gid=0"",""GERAL!A2:C""),3,0),""-"")"),"-")</f>
        <v>-</v>
      </c>
    </row>
    <row r="1349" ht="15.75" customHeight="1">
      <c r="A1349" s="111" t="s">
        <v>1629</v>
      </c>
      <c r="B1349" s="83" t="s">
        <v>7625</v>
      </c>
      <c r="C1349" s="83" t="s">
        <v>68</v>
      </c>
      <c r="D1349" s="112">
        <v>1117779.0</v>
      </c>
      <c r="E1349" s="136"/>
      <c r="F1349" s="136">
        <v>2.9035007E7</v>
      </c>
      <c r="G1349" s="292" t="s">
        <v>7629</v>
      </c>
      <c r="H1349" s="91" t="s">
        <v>7630</v>
      </c>
      <c r="I1349" s="136" t="s">
        <v>149</v>
      </c>
      <c r="J1349" s="136" t="s">
        <v>150</v>
      </c>
      <c r="K1349" s="136" t="s">
        <v>151</v>
      </c>
      <c r="L1349" s="136" t="s">
        <v>152</v>
      </c>
      <c r="M1349" s="82" t="str">
        <f>IFERROR(__xludf.DUMMYFUNCTION("IFERROR(VLOOKUP(D1349,
IMPORTRANGE(""https://docs.google.com/spreadsheets/d/1MjHtlUikwobi2MaWJgy7tfLeBmhj1u-dRFRs_8GwSoA/edit#gid=0"",""Gestores Escolares!D7:J""),3,0),""VERIFICAR CÓD SEC"")"),"KLEILSON RODRIGUES DA SILVA ")</f>
        <v>KLEILSON RODRIGUES DA SILVA </v>
      </c>
      <c r="N1349" s="82" t="str">
        <f>IFERROR(__xludf.DUMMYFUNCTION("IFERROR(VLOOKUP(D1349,
IMPORTRANGE(""https://docs.google.com/spreadsheets/d/1MjHtlUikwobi2MaWJgy7tfLeBmhj1u-dRFRs_8GwSoA/edit#gid=0"",""Gestores Escolares!D7:J""),4,0),""VERIFICAR CÓD SEC"")"),"(75) 9 9191-3223")</f>
        <v>(75) 9 9191-3223</v>
      </c>
      <c r="O1349" s="82" t="str">
        <f>IFERROR(__xludf.DUMMYFUNCTION("IFERROR(VLOOKUP(D1349,
IMPORTRANGE(""https://docs.google.com/spreadsheets/d/1MjHtlUikwobi2MaWJgy7tfLeBmhj1u-dRFRs_8GwSoA/edit#gid=0"",""Gestores Escolares!D7:J""),6,0),""VERIFICAR CÓD SEC"")"),"CYNTIA PAULA GOMES ALCANTARA DE CARVALHO")</f>
        <v>CYNTIA PAULA GOMES ALCANTARA DE CARVALHO</v>
      </c>
      <c r="P1349" s="82" t="str">
        <f>IFERROR(__xludf.DUMMYFUNCTION("IFERROR(VLOOKUP(D1349,
IMPORTRANGE(""https://docs.google.com/spreadsheets/d/1MjHtlUikwobi2MaWJgy7tfLeBmhj1u-dRFRs_8GwSoA/edit#gid=0"",""Gestores Escolares!D7:J""),7,0),""VERIFICAR CÓD SEC"")"),"(75) 9 9125-6941")</f>
        <v>(75) 9 9125-6941</v>
      </c>
      <c r="Q1349" s="82" t="str">
        <f>IFERROR(__xludf.DUMMYFUNCTION("IFERROR(VLOOKUP(D1349,
IMPORTRANGE(""https://docs.google.com/spreadsheets/d/1MjHtlUikwobi2MaWJgy7tfLeBmhj1u-dRFRs_8GwSoA/edit#gid=0"",""Gestores Escolares!D7:m""),9,0),""VERIFICAR CÓD SEC"")"),"ARISMALDO LEITE OLIVEIRA")</f>
        <v>ARISMALDO LEITE OLIVEIRA</v>
      </c>
      <c r="R1349" s="82" t="str">
        <f>IFERROR(__xludf.DUMMYFUNCTION("IFERROR(VLOOKUP(D1349,
IMPORTRANGE(""https://docs.google.com/spreadsheets/d/1MjHtlUikwobi2MaWJgy7tfLeBmhj1u-dRFRs_8GwSoA/edit#gid=0"",""Gestores Escolares!D7:m""),10,0),""VERIFICAR CÓD SEC"")"),"(75) 9 9100-3758")</f>
        <v>(75) 9 9100-3758</v>
      </c>
      <c r="S1349" s="82"/>
      <c r="T1349" s="138">
        <v>14.0</v>
      </c>
      <c r="U1349" s="217" t="s">
        <v>13890</v>
      </c>
      <c r="V1349" s="106">
        <v>0.0</v>
      </c>
      <c r="W1349" s="107">
        <v>0.0</v>
      </c>
      <c r="X1349" s="107">
        <v>0.0</v>
      </c>
      <c r="Y1349" s="107">
        <v>0.0</v>
      </c>
      <c r="Z1349" s="80">
        <f t="shared" si="1"/>
        <v>0</v>
      </c>
      <c r="AA1349" s="106">
        <v>0.0</v>
      </c>
      <c r="AB1349" s="107">
        <v>0.0</v>
      </c>
      <c r="AC1349" s="107">
        <v>0.0</v>
      </c>
      <c r="AD1349" s="107">
        <v>0.0</v>
      </c>
      <c r="AE1349" s="80">
        <f t="shared" si="2"/>
        <v>0</v>
      </c>
      <c r="AF1349" s="140">
        <v>216.0</v>
      </c>
      <c r="AG1349" s="109">
        <v>150.0</v>
      </c>
      <c r="AH1349" s="109">
        <v>0.0</v>
      </c>
      <c r="AI1349" s="141">
        <v>273.0</v>
      </c>
      <c r="AJ1349" s="80">
        <f t="shared" si="3"/>
        <v>639</v>
      </c>
      <c r="AK1349" s="140">
        <v>0.0</v>
      </c>
      <c r="AL1349" s="109">
        <v>0.0</v>
      </c>
      <c r="AM1349" s="141">
        <v>0.0</v>
      </c>
      <c r="AN1349" s="80">
        <f t="shared" si="4"/>
        <v>0</v>
      </c>
      <c r="AO1349" s="140">
        <v>0.0</v>
      </c>
      <c r="AP1349" s="109">
        <v>0.0</v>
      </c>
      <c r="AQ1349" s="109">
        <v>38.0</v>
      </c>
      <c r="AR1349" s="80">
        <f t="shared" si="5"/>
        <v>38</v>
      </c>
      <c r="AS1349" s="110">
        <v>0.0</v>
      </c>
      <c r="AT1349" s="110">
        <v>0.0</v>
      </c>
      <c r="AU1349" s="110">
        <v>28.0</v>
      </c>
      <c r="AV1349" s="142">
        <v>23.0</v>
      </c>
      <c r="AW1349" s="80">
        <f t="shared" si="6"/>
        <v>51</v>
      </c>
      <c r="AX1349" s="113">
        <f t="shared" si="7"/>
        <v>728</v>
      </c>
      <c r="AY1349" s="117">
        <f t="shared" si="8"/>
        <v>662</v>
      </c>
      <c r="AZ1349" s="120">
        <f t="shared" si="9"/>
        <v>66</v>
      </c>
      <c r="BA1349" s="115">
        <v>0.0</v>
      </c>
      <c r="BB1349" s="89">
        <f t="shared" si="10"/>
        <v>728</v>
      </c>
      <c r="BC1349" s="132" t="s">
        <v>178</v>
      </c>
      <c r="BD1349" s="132" t="s">
        <v>178</v>
      </c>
      <c r="BE1349" s="132" t="s">
        <v>178</v>
      </c>
      <c r="BF1349" s="123"/>
      <c r="BG1349" s="83">
        <v>1117779.0</v>
      </c>
      <c r="BH1349" s="112"/>
      <c r="BI1349" s="112">
        <v>15.0</v>
      </c>
      <c r="BJ1349" s="98" t="s">
        <v>284</v>
      </c>
      <c r="BK1349" s="99">
        <f t="shared" si="11"/>
        <v>296</v>
      </c>
      <c r="BL1349" s="99">
        <f t="shared" si="12"/>
        <v>366</v>
      </c>
      <c r="BM1349" s="99" t="str">
        <f>IFERROR(__xludf.DUMMYFUNCTION("IFERROR(VLOOKUP(BG1349,IMPORTRANGE(""https://docs.google.com/spreadsheets/d/1juPI-Fb8LD0YtltB2mlGEnp_R3UVu1t3wSFPzgCyHXE/edit?gid=0#gid=0"",""GERAL!A2:C""),3,0),""-"")"),"-")</f>
        <v>-</v>
      </c>
    </row>
    <row r="1350" ht="15.75" customHeight="1">
      <c r="A1350" s="111" t="s">
        <v>1629</v>
      </c>
      <c r="B1350" s="83" t="s">
        <v>7625</v>
      </c>
      <c r="C1350" s="83" t="s">
        <v>68</v>
      </c>
      <c r="D1350" s="112">
        <v>1118040.0</v>
      </c>
      <c r="E1350" s="136"/>
      <c r="F1350" s="136">
        <v>2.903499E7</v>
      </c>
      <c r="G1350" s="292" t="s">
        <v>7632</v>
      </c>
      <c r="H1350" s="91" t="s">
        <v>7633</v>
      </c>
      <c r="I1350" s="136" t="s">
        <v>7634</v>
      </c>
      <c r="J1350" s="136" t="s">
        <v>150</v>
      </c>
      <c r="K1350" s="136" t="s">
        <v>151</v>
      </c>
      <c r="L1350" s="136" t="s">
        <v>152</v>
      </c>
      <c r="M1350" s="82" t="str">
        <f>IFERROR(__xludf.DUMMYFUNCTION("IFERROR(VLOOKUP(D1350,
IMPORTRANGE(""https://docs.google.com/spreadsheets/d/1MjHtlUikwobi2MaWJgy7tfLeBmhj1u-dRFRs_8GwSoA/edit#gid=0"",""Gestores Escolares!D7:J""),3,0),""VERIFICAR CÓD SEC"")"),"JOSELI FLORENTINO DE BRITO")</f>
        <v>JOSELI FLORENTINO DE BRITO</v>
      </c>
      <c r="N1350" s="82" t="str">
        <f>IFERROR(__xludf.DUMMYFUNCTION("IFERROR(VLOOKUP(D1350,
IMPORTRANGE(""https://docs.google.com/spreadsheets/d/1MjHtlUikwobi2MaWJgy7tfLeBmhj1u-dRFRs_8GwSoA/edit#gid=0"",""Gestores Escolares!D7:J""),4,0),""VERIFICAR CÓD SEC"")"),"(87) 9 8135-9989")</f>
        <v>(87) 9 8135-9989</v>
      </c>
      <c r="O1350" s="82" t="str">
        <f>IFERROR(__xludf.DUMMYFUNCTION("IFERROR(VLOOKUP(D1350,
IMPORTRANGE(""https://docs.google.com/spreadsheets/d/1MjHtlUikwobi2MaWJgy7tfLeBmhj1u-dRFRs_8GwSoA/edit#gid=0"",""Gestores Escolares!D7:J""),6,0),""VERIFICAR CÓD SEC"")"),"JANDISON CLEBER BEZERRA DA CRUZ")</f>
        <v>JANDISON CLEBER BEZERRA DA CRUZ</v>
      </c>
      <c r="P1350" s="82" t="str">
        <f>IFERROR(__xludf.DUMMYFUNCTION("IFERROR(VLOOKUP(D1350,
IMPORTRANGE(""https://docs.google.com/spreadsheets/d/1MjHtlUikwobi2MaWJgy7tfLeBmhj1u-dRFRs_8GwSoA/edit#gid=0"",""Gestores Escolares!D7:J""),7,0),""VERIFICAR CÓD SEC"")")," (75) 9 8872-1407")</f>
        <v> (75) 9 8872-1407</v>
      </c>
      <c r="Q1350" s="82" t="str">
        <f>IFERROR(__xludf.DUMMYFUNCTION("IFERROR(VLOOKUP(D1350,
IMPORTRANGE(""https://docs.google.com/spreadsheets/d/1MjHtlUikwobi2MaWJgy7tfLeBmhj1u-dRFRs_8GwSoA/edit#gid=0"",""Gestores Escolares!D7:m""),9,0),""VERIFICAR CÓD SEC"")"),"FELIPE ARAUJO DOS ANJOS")</f>
        <v>FELIPE ARAUJO DOS ANJOS</v>
      </c>
      <c r="R1350" s="82" t="str">
        <f>IFERROR(__xludf.DUMMYFUNCTION("IFERROR(VLOOKUP(D1350,
IMPORTRANGE(""https://docs.google.com/spreadsheets/d/1MjHtlUikwobi2MaWJgy7tfLeBmhj1u-dRFRs_8GwSoA/edit#gid=0"",""Gestores Escolares!D7:m""),10,0),""VERIFICAR CÓD SEC"")")," (79) 9 9948-6682")</f>
        <v> (79) 9 9948-6682</v>
      </c>
      <c r="S1350" s="82"/>
      <c r="T1350" s="138">
        <v>10.0</v>
      </c>
      <c r="U1350" s="217" t="s">
        <v>13891</v>
      </c>
      <c r="V1350" s="106">
        <v>0.0</v>
      </c>
      <c r="W1350" s="107">
        <v>0.0</v>
      </c>
      <c r="X1350" s="107">
        <v>0.0</v>
      </c>
      <c r="Y1350" s="107">
        <v>0.0</v>
      </c>
      <c r="Z1350" s="80">
        <f t="shared" si="1"/>
        <v>0</v>
      </c>
      <c r="AA1350" s="106">
        <v>0.0</v>
      </c>
      <c r="AB1350" s="107">
        <v>0.0</v>
      </c>
      <c r="AC1350" s="107">
        <v>0.0</v>
      </c>
      <c r="AD1350" s="107">
        <v>0.0</v>
      </c>
      <c r="AE1350" s="80">
        <f t="shared" si="2"/>
        <v>0</v>
      </c>
      <c r="AF1350" s="140">
        <v>0.0</v>
      </c>
      <c r="AG1350" s="109">
        <v>0.0</v>
      </c>
      <c r="AH1350" s="109">
        <v>0.0</v>
      </c>
      <c r="AI1350" s="141">
        <v>23.0</v>
      </c>
      <c r="AJ1350" s="80">
        <f t="shared" si="3"/>
        <v>23</v>
      </c>
      <c r="AK1350" s="140">
        <v>0.0</v>
      </c>
      <c r="AL1350" s="109">
        <v>0.0</v>
      </c>
      <c r="AM1350" s="141">
        <v>0.0</v>
      </c>
      <c r="AN1350" s="80">
        <f t="shared" si="4"/>
        <v>0</v>
      </c>
      <c r="AO1350" s="140">
        <v>0.0</v>
      </c>
      <c r="AP1350" s="109">
        <v>0.0</v>
      </c>
      <c r="AQ1350" s="109">
        <v>13.0</v>
      </c>
      <c r="AR1350" s="80">
        <f t="shared" si="5"/>
        <v>13</v>
      </c>
      <c r="AS1350" s="110">
        <v>0.0</v>
      </c>
      <c r="AT1350" s="110">
        <v>0.0</v>
      </c>
      <c r="AU1350" s="110">
        <v>77.0</v>
      </c>
      <c r="AV1350" s="142">
        <v>307.0</v>
      </c>
      <c r="AW1350" s="80">
        <f t="shared" si="6"/>
        <v>384</v>
      </c>
      <c r="AX1350" s="113">
        <f t="shared" si="7"/>
        <v>420</v>
      </c>
      <c r="AY1350" s="117">
        <f t="shared" si="8"/>
        <v>330</v>
      </c>
      <c r="AZ1350" s="120">
        <f t="shared" si="9"/>
        <v>90</v>
      </c>
      <c r="BA1350" s="115">
        <v>0.0</v>
      </c>
      <c r="BB1350" s="89">
        <f t="shared" si="10"/>
        <v>420</v>
      </c>
      <c r="BC1350" s="132" t="s">
        <v>178</v>
      </c>
      <c r="BD1350" s="132" t="s">
        <v>178</v>
      </c>
      <c r="BE1350" s="132" t="s">
        <v>178</v>
      </c>
      <c r="BF1350" s="123"/>
      <c r="BG1350" s="83">
        <v>1118040.0</v>
      </c>
      <c r="BH1350" s="112"/>
      <c r="BI1350" s="112">
        <v>9.0</v>
      </c>
      <c r="BJ1350" s="98" t="s">
        <v>284</v>
      </c>
      <c r="BK1350" s="99">
        <f t="shared" si="11"/>
        <v>330</v>
      </c>
      <c r="BL1350" s="99">
        <f t="shared" si="12"/>
        <v>0</v>
      </c>
      <c r="BM1350" s="99" t="str">
        <f>IFERROR(__xludf.DUMMYFUNCTION("IFERROR(VLOOKUP(BG1350,IMPORTRANGE(""https://docs.google.com/spreadsheets/d/1juPI-Fb8LD0YtltB2mlGEnp_R3UVu1t3wSFPzgCyHXE/edit?gid=0#gid=0"",""GERAL!A2:C""),3,0),""-"")"),"-")</f>
        <v>-</v>
      </c>
    </row>
    <row r="1351" ht="15.75" customHeight="1">
      <c r="A1351" s="111" t="s">
        <v>1629</v>
      </c>
      <c r="B1351" s="172" t="s">
        <v>7625</v>
      </c>
      <c r="C1351" s="83" t="s">
        <v>68</v>
      </c>
      <c r="D1351" s="112">
        <v>1174292.0</v>
      </c>
      <c r="E1351" s="136"/>
      <c r="F1351" s="136">
        <v>2.9034965E7</v>
      </c>
      <c r="G1351" s="292" t="s">
        <v>7636</v>
      </c>
      <c r="H1351" s="91" t="s">
        <v>7637</v>
      </c>
      <c r="I1351" s="136" t="s">
        <v>7638</v>
      </c>
      <c r="J1351" s="136" t="s">
        <v>150</v>
      </c>
      <c r="K1351" s="136" t="s">
        <v>151</v>
      </c>
      <c r="L1351" s="136" t="s">
        <v>230</v>
      </c>
      <c r="M1351" s="82" t="str">
        <f>IFERROR(__xludf.DUMMYFUNCTION("IFERROR(VLOOKUP(D1351,
IMPORTRANGE(""https://docs.google.com/spreadsheets/d/1MjHtlUikwobi2MaWJgy7tfLeBmhj1u-dRFRs_8GwSoA/edit#gid=0"",""Gestores Escolares!D7:J""),3,0),""VERIFICAR CÓD SEC"")"),"ANA PAULA CONCEICAO CANARIO")</f>
        <v>ANA PAULA CONCEICAO CANARIO</v>
      </c>
      <c r="N1351" s="82" t="str">
        <f>IFERROR(__xludf.DUMMYFUNCTION("IFERROR(VLOOKUP(D1351,
IMPORTRANGE(""https://docs.google.com/spreadsheets/d/1MjHtlUikwobi2MaWJgy7tfLeBmhj1u-dRFRs_8GwSoA/edit#gid=0"",""Gestores Escolares!D7:J""),4,0),""VERIFICAR CÓD SEC"")"),"(75) 9 8836-7573")</f>
        <v>(75) 9 8836-7573</v>
      </c>
      <c r="O1351" s="82" t="str">
        <f>IFERROR(__xludf.DUMMYFUNCTION("IFERROR(VLOOKUP(D1351,
IMPORTRANGE(""https://docs.google.com/spreadsheets/d/1MjHtlUikwobi2MaWJgy7tfLeBmhj1u-dRFRs_8GwSoA/edit#gid=0"",""Gestores Escolares!D7:J""),6,0),""VERIFICAR CÓD SEC"")"),"VALÉRIA CRISTINA LIVINO E SILVA")</f>
        <v>VALÉRIA CRISTINA LIVINO E SILVA</v>
      </c>
      <c r="P1351" s="82" t="str">
        <f>IFERROR(__xludf.DUMMYFUNCTION("IFERROR(VLOOKUP(D1351,
IMPORTRANGE(""https://docs.google.com/spreadsheets/d/1MjHtlUikwobi2MaWJgy7tfLeBmhj1u-dRFRs_8GwSoA/edit#gid=0"",""Gestores Escolares!D7:J""),7,0),""VERIFICAR CÓD SEC"")"),"(75) 9 8876 - 5946")</f>
        <v>(75) 9 8876 - 5946</v>
      </c>
      <c r="Q1351" s="82" t="str">
        <f>IFERROR(__xludf.DUMMYFUNCTION("IFERROR(VLOOKUP(D1351,
IMPORTRANGE(""https://docs.google.com/spreadsheets/d/1MjHtlUikwobi2MaWJgy7tfLeBmhj1u-dRFRs_8GwSoA/edit#gid=0"",""Gestores Escolares!D7:m""),9,0),""VERIFICAR CÓD SEC"")"),"JAMILLE DE SOUZA COELHO")</f>
        <v>JAMILLE DE SOUZA COELHO</v>
      </c>
      <c r="R1351" s="82" t="str">
        <f>IFERROR(__xludf.DUMMYFUNCTION("IFERROR(VLOOKUP(D1351,
IMPORTRANGE(""https://docs.google.com/spreadsheets/d/1MjHtlUikwobi2MaWJgy7tfLeBmhj1u-dRFRs_8GwSoA/edit#gid=0"",""Gestores Escolares!D7:m""),10,0),""VERIFICAR CÓD SEC"")"),"")</f>
        <v/>
      </c>
      <c r="S1351" s="82"/>
      <c r="T1351" s="138">
        <v>19.0</v>
      </c>
      <c r="U1351" s="217" t="s">
        <v>13892</v>
      </c>
      <c r="V1351" s="106">
        <v>0.0</v>
      </c>
      <c r="W1351" s="107">
        <v>0.0</v>
      </c>
      <c r="X1351" s="107">
        <v>0.0</v>
      </c>
      <c r="Y1351" s="107">
        <v>0.0</v>
      </c>
      <c r="Z1351" s="80">
        <f t="shared" si="1"/>
        <v>0</v>
      </c>
      <c r="AA1351" s="106">
        <v>0.0</v>
      </c>
      <c r="AB1351" s="107">
        <v>0.0</v>
      </c>
      <c r="AC1351" s="107">
        <v>0.0</v>
      </c>
      <c r="AD1351" s="107">
        <v>0.0</v>
      </c>
      <c r="AE1351" s="80">
        <f t="shared" si="2"/>
        <v>0</v>
      </c>
      <c r="AF1351" s="140">
        <v>99.0</v>
      </c>
      <c r="AG1351" s="109">
        <v>81.0</v>
      </c>
      <c r="AH1351" s="109">
        <v>0.0</v>
      </c>
      <c r="AI1351" s="141">
        <v>0.0</v>
      </c>
      <c r="AJ1351" s="80">
        <f t="shared" si="3"/>
        <v>180</v>
      </c>
      <c r="AK1351" s="140">
        <v>0.0</v>
      </c>
      <c r="AL1351" s="109">
        <v>0.0</v>
      </c>
      <c r="AM1351" s="141">
        <v>0.0</v>
      </c>
      <c r="AN1351" s="80">
        <f t="shared" si="4"/>
        <v>0</v>
      </c>
      <c r="AO1351" s="140">
        <v>0.0</v>
      </c>
      <c r="AP1351" s="109">
        <v>0.0</v>
      </c>
      <c r="AQ1351" s="109">
        <v>64.0</v>
      </c>
      <c r="AR1351" s="80">
        <f t="shared" si="5"/>
        <v>64</v>
      </c>
      <c r="AS1351" s="110">
        <v>251.0</v>
      </c>
      <c r="AT1351" s="110">
        <v>50.0</v>
      </c>
      <c r="AU1351" s="110">
        <v>159.0</v>
      </c>
      <c r="AV1351" s="142">
        <v>30.0</v>
      </c>
      <c r="AW1351" s="80">
        <f t="shared" si="6"/>
        <v>490</v>
      </c>
      <c r="AX1351" s="113">
        <f t="shared" si="7"/>
        <v>734</v>
      </c>
      <c r="AY1351" s="117">
        <f t="shared" si="8"/>
        <v>511</v>
      </c>
      <c r="AZ1351" s="120">
        <f t="shared" si="9"/>
        <v>223</v>
      </c>
      <c r="BA1351" s="115">
        <v>0.0</v>
      </c>
      <c r="BB1351" s="89">
        <f t="shared" si="10"/>
        <v>734</v>
      </c>
      <c r="BC1351" s="132" t="s">
        <v>178</v>
      </c>
      <c r="BD1351" s="132" t="s">
        <v>178</v>
      </c>
      <c r="BE1351" s="132" t="s">
        <v>178</v>
      </c>
      <c r="BF1351" s="156"/>
      <c r="BG1351" s="83">
        <v>1174292.0</v>
      </c>
      <c r="BH1351" s="112"/>
      <c r="BI1351" s="112">
        <v>9.0</v>
      </c>
      <c r="BJ1351" s="98" t="s">
        <v>155</v>
      </c>
      <c r="BK1351" s="99">
        <f t="shared" si="11"/>
        <v>30</v>
      </c>
      <c r="BL1351" s="99">
        <f t="shared" si="12"/>
        <v>481</v>
      </c>
      <c r="BM1351" s="99" t="str">
        <f>IFERROR(__xludf.DUMMYFUNCTION("IFERROR(VLOOKUP(BG1351,IMPORTRANGE(""https://docs.google.com/spreadsheets/d/1juPI-Fb8LD0YtltB2mlGEnp_R3UVu1t3wSFPzgCyHXE/edit?gid=0#gid=0"",""GERAL!A2:C""),3,0),""-"")"),"-")</f>
        <v>-</v>
      </c>
    </row>
    <row r="1352" ht="15.75" customHeight="1">
      <c r="A1352" s="111" t="s">
        <v>1629</v>
      </c>
      <c r="B1352" s="83" t="s">
        <v>7625</v>
      </c>
      <c r="C1352" s="83" t="s">
        <v>68</v>
      </c>
      <c r="D1352" s="112">
        <v>1176143.0</v>
      </c>
      <c r="E1352" s="136"/>
      <c r="F1352" s="136">
        <v>2.933223E7</v>
      </c>
      <c r="G1352" s="241" t="s">
        <v>7640</v>
      </c>
      <c r="H1352" s="91" t="s">
        <v>7641</v>
      </c>
      <c r="I1352" s="83" t="s">
        <v>7642</v>
      </c>
      <c r="J1352" s="83" t="s">
        <v>150</v>
      </c>
      <c r="K1352" s="83" t="s">
        <v>151</v>
      </c>
      <c r="L1352" s="83" t="s">
        <v>230</v>
      </c>
      <c r="M1352" s="82" t="str">
        <f>IFERROR(__xludf.DUMMYFUNCTION("IFERROR(VLOOKUP(D1352,
IMPORTRANGE(""https://docs.google.com/spreadsheets/d/1MjHtlUikwobi2MaWJgy7tfLeBmhj1u-dRFRs_8GwSoA/edit#gid=0"",""Gestores Escolares!D7:J""),3,0),""VERIFICAR CÓD SEC"")"),"BIANCA COELHO DE OLIVEIRA AGUIAR ")</f>
        <v>BIANCA COELHO DE OLIVEIRA AGUIAR </v>
      </c>
      <c r="N1352" s="82" t="str">
        <f>IFERROR(__xludf.DUMMYFUNCTION("IFERROR(VLOOKUP(D1352,
IMPORTRANGE(""https://docs.google.com/spreadsheets/d/1MjHtlUikwobi2MaWJgy7tfLeBmhj1u-dRFRs_8GwSoA/edit#gid=0"",""Gestores Escolares!D7:J""),4,0),""VERIFICAR CÓD SEC"")"),"(75) 9 9954-9091/ (71) 9 8301-2696")</f>
        <v>(75) 9 9954-9091/ (71) 9 8301-2696</v>
      </c>
      <c r="O1352" s="82" t="str">
        <f>IFERROR(__xludf.DUMMYFUNCTION("IFERROR(VLOOKUP(D1352,
IMPORTRANGE(""https://docs.google.com/spreadsheets/d/1MjHtlUikwobi2MaWJgy7tfLeBmhj1u-dRFRs_8GwSoA/edit#gid=0"",""Gestores Escolares!D7:J""),6,0),""VERIFICAR CÓD SEC"")"),"ADRIANA CRISTINA LIMA DE CARVALHO")</f>
        <v>ADRIANA CRISTINA LIMA DE CARVALHO</v>
      </c>
      <c r="P1352" s="82" t="str">
        <f>IFERROR(__xludf.DUMMYFUNCTION("IFERROR(VLOOKUP(D1352,
IMPORTRANGE(""https://docs.google.com/spreadsheets/d/1MjHtlUikwobi2MaWJgy7tfLeBmhj1u-dRFRs_8GwSoA/edit#gid=0"",""Gestores Escolares!D7:J""),7,0),""VERIFICAR CÓD SEC"")"),"(75) 9 8848-0630")</f>
        <v>(75) 9 8848-0630</v>
      </c>
      <c r="Q1352" s="82" t="str">
        <f>IFERROR(__xludf.DUMMYFUNCTION("IFERROR(VLOOKUP(D1352,
IMPORTRANGE(""https://docs.google.com/spreadsheets/d/1MjHtlUikwobi2MaWJgy7tfLeBmhj1u-dRFRs_8GwSoA/edit#gid=0"",""Gestores Escolares!D7:m""),9,0),""VERIFICAR CÓD SEC"")"),"EDGAR GOMES DA SILVA")</f>
        <v>EDGAR GOMES DA SILVA</v>
      </c>
      <c r="R1352" s="82" t="str">
        <f>IFERROR(__xludf.DUMMYFUNCTION("IFERROR(VLOOKUP(D1352,
IMPORTRANGE(""https://docs.google.com/spreadsheets/d/1MjHtlUikwobi2MaWJgy7tfLeBmhj1u-dRFRs_8GwSoA/edit#gid=0"",""Gestores Escolares!D7:m""),10,0),""VERIFICAR CÓD SEC"")"),"(75) 9 9940-1453")</f>
        <v>(75) 9 9940-1453</v>
      </c>
      <c r="S1352" s="82"/>
      <c r="T1352" s="138">
        <v>17.0</v>
      </c>
      <c r="U1352" s="152">
        <v>13.0</v>
      </c>
      <c r="V1352" s="106">
        <v>0.0</v>
      </c>
      <c r="W1352" s="107">
        <v>0.0</v>
      </c>
      <c r="X1352" s="107">
        <v>0.0</v>
      </c>
      <c r="Y1352" s="107">
        <v>0.0</v>
      </c>
      <c r="Z1352" s="80">
        <f t="shared" si="1"/>
        <v>0</v>
      </c>
      <c r="AA1352" s="106">
        <v>0.0</v>
      </c>
      <c r="AB1352" s="107">
        <v>0.0</v>
      </c>
      <c r="AC1352" s="107">
        <v>0.0</v>
      </c>
      <c r="AD1352" s="107">
        <v>0.0</v>
      </c>
      <c r="AE1352" s="80">
        <f t="shared" si="2"/>
        <v>0</v>
      </c>
      <c r="AF1352" s="140">
        <v>0.0</v>
      </c>
      <c r="AG1352" s="109">
        <v>0.0</v>
      </c>
      <c r="AH1352" s="109">
        <v>0.0</v>
      </c>
      <c r="AI1352" s="141">
        <v>0.0</v>
      </c>
      <c r="AJ1352" s="80">
        <f t="shared" si="3"/>
        <v>0</v>
      </c>
      <c r="AK1352" s="140">
        <v>0.0</v>
      </c>
      <c r="AL1352" s="109">
        <v>0.0</v>
      </c>
      <c r="AM1352" s="141">
        <v>0.0</v>
      </c>
      <c r="AN1352" s="80">
        <f t="shared" si="4"/>
        <v>0</v>
      </c>
      <c r="AO1352" s="140">
        <v>0.0</v>
      </c>
      <c r="AP1352" s="109">
        <v>0.0</v>
      </c>
      <c r="AQ1352" s="109">
        <v>0.0</v>
      </c>
      <c r="AR1352" s="80">
        <f t="shared" si="5"/>
        <v>0</v>
      </c>
      <c r="AS1352" s="110">
        <v>449.0</v>
      </c>
      <c r="AT1352" s="110">
        <v>408.0</v>
      </c>
      <c r="AU1352" s="110">
        <v>129.0</v>
      </c>
      <c r="AV1352" s="142">
        <v>0.0</v>
      </c>
      <c r="AW1352" s="80">
        <f t="shared" si="6"/>
        <v>986</v>
      </c>
      <c r="AX1352" s="113">
        <f t="shared" si="7"/>
        <v>986</v>
      </c>
      <c r="AY1352" s="117">
        <f t="shared" si="8"/>
        <v>857</v>
      </c>
      <c r="AZ1352" s="120">
        <f t="shared" si="9"/>
        <v>129</v>
      </c>
      <c r="BA1352" s="115">
        <v>0.0</v>
      </c>
      <c r="BB1352" s="89">
        <f t="shared" si="10"/>
        <v>986</v>
      </c>
      <c r="BC1352" s="132" t="s">
        <v>178</v>
      </c>
      <c r="BD1352" s="132" t="s">
        <v>522</v>
      </c>
      <c r="BE1352" s="132" t="s">
        <v>178</v>
      </c>
      <c r="BF1352" s="156"/>
      <c r="BG1352" s="83">
        <v>1176143.0</v>
      </c>
      <c r="BH1352" s="112"/>
      <c r="BI1352" s="112">
        <v>13.0</v>
      </c>
      <c r="BJ1352" s="98" t="s">
        <v>284</v>
      </c>
      <c r="BK1352" s="99">
        <f t="shared" si="11"/>
        <v>0</v>
      </c>
      <c r="BL1352" s="99">
        <f t="shared" si="12"/>
        <v>857</v>
      </c>
      <c r="BM1352" s="99" t="str">
        <f>IFERROR(__xludf.DUMMYFUNCTION("IFERROR(VLOOKUP(BG1352,IMPORTRANGE(""https://docs.google.com/spreadsheets/d/1juPI-Fb8LD0YtltB2mlGEnp_R3UVu1t3wSFPzgCyHXE/edit?gid=0#gid=0"",""GERAL!A2:C""),3,0),""-"")"),"-")</f>
        <v>-</v>
      </c>
    </row>
    <row r="1353" ht="15.75" customHeight="1">
      <c r="A1353" s="111" t="s">
        <v>1629</v>
      </c>
      <c r="B1353" s="83" t="s">
        <v>7625</v>
      </c>
      <c r="C1353" s="83" t="s">
        <v>68</v>
      </c>
      <c r="D1353" s="112">
        <v>1114257.0</v>
      </c>
      <c r="E1353" s="83"/>
      <c r="F1353" s="83">
        <v>2.9034922E7</v>
      </c>
      <c r="G1353" s="185" t="s">
        <v>7644</v>
      </c>
      <c r="H1353" s="91" t="s">
        <v>7645</v>
      </c>
      <c r="I1353" s="172" t="s">
        <v>7646</v>
      </c>
      <c r="J1353" s="83" t="s">
        <v>150</v>
      </c>
      <c r="K1353" s="83" t="s">
        <v>151</v>
      </c>
      <c r="L1353" s="83" t="s">
        <v>230</v>
      </c>
      <c r="M1353" s="82" t="str">
        <f>IFERROR(__xludf.DUMMYFUNCTION("IFERROR(VLOOKUP(D1353,
IMPORTRANGE(""https://docs.google.com/spreadsheets/d/1MjHtlUikwobi2MaWJgy7tfLeBmhj1u-dRFRs_8GwSoA/edit#gid=0"",""Gestores Escolares!D7:J""),3,0),""VERIFICAR CÓD SEC"")"),"WALLACE BEZERRA RIBEIRO ")</f>
        <v>WALLACE BEZERRA RIBEIRO </v>
      </c>
      <c r="N1353" s="82" t="str">
        <f>IFERROR(__xludf.DUMMYFUNCTION("IFERROR(VLOOKUP(D1353,
IMPORTRANGE(""https://docs.google.com/spreadsheets/d/1MjHtlUikwobi2MaWJgy7tfLeBmhj1u-dRFRs_8GwSoA/edit#gid=0"",""Gestores Escolares!D7:J""),4,0),""VERIFICAR CÓD SEC"")"),"(75) 9 8824-7475")</f>
        <v>(75) 9 8824-7475</v>
      </c>
      <c r="O1353" s="82" t="str">
        <f>IFERROR(__xludf.DUMMYFUNCTION("IFERROR(VLOOKUP(D1353,
IMPORTRANGE(""https://docs.google.com/spreadsheets/d/1MjHtlUikwobi2MaWJgy7tfLeBmhj1u-dRFRs_8GwSoA/edit#gid=0"",""Gestores Escolares!D7:J""),6,0),""VERIFICAR CÓD SEC"")"),"DANIELA MOURA DE OLIVEIRA")</f>
        <v>DANIELA MOURA DE OLIVEIRA</v>
      </c>
      <c r="P1353" s="82" t="str">
        <f>IFERROR(__xludf.DUMMYFUNCTION("IFERROR(VLOOKUP(D1353,
IMPORTRANGE(""https://docs.google.com/spreadsheets/d/1MjHtlUikwobi2MaWJgy7tfLeBmhj1u-dRFRs_8GwSoA/edit#gid=0"",""Gestores Escolares!D7:J""),7,0),""VERIFICAR CÓD SEC"")"),"(75) 9 8824-4932")</f>
        <v>(75) 9 8824-4932</v>
      </c>
      <c r="Q1353" s="82" t="str">
        <f>IFERROR(__xludf.DUMMYFUNCTION("IFERROR(VLOOKUP(D1353,
IMPORTRANGE(""https://docs.google.com/spreadsheets/d/1MjHtlUikwobi2MaWJgy7tfLeBmhj1u-dRFRs_8GwSoA/edit#gid=0"",""Gestores Escolares!D7:m""),9,0),""VERIFICAR CÓD SEC"")"),"BRUNA GOMES LISBOA")</f>
        <v>BRUNA GOMES LISBOA</v>
      </c>
      <c r="R1353" s="82" t="str">
        <f>IFERROR(__xludf.DUMMYFUNCTION("IFERROR(VLOOKUP(D1353,
IMPORTRANGE(""https://docs.google.com/spreadsheets/d/1MjHtlUikwobi2MaWJgy7tfLeBmhj1u-dRFRs_8GwSoA/edit#gid=0"",""Gestores Escolares!D7:m""),10,0),""VERIFICAR CÓD SEC"")"),"(75) 9 8833-6197")</f>
        <v>(75) 9 8833-6197</v>
      </c>
      <c r="S1353" s="82"/>
      <c r="T1353" s="138">
        <v>21.0</v>
      </c>
      <c r="U1353" s="152">
        <v>19.0</v>
      </c>
      <c r="V1353" s="106">
        <v>0.0</v>
      </c>
      <c r="W1353" s="107">
        <v>0.0</v>
      </c>
      <c r="X1353" s="107">
        <v>0.0</v>
      </c>
      <c r="Y1353" s="107">
        <v>0.0</v>
      </c>
      <c r="Z1353" s="80">
        <f t="shared" si="1"/>
        <v>0</v>
      </c>
      <c r="AA1353" s="106">
        <v>0.0</v>
      </c>
      <c r="AB1353" s="107">
        <v>0.0</v>
      </c>
      <c r="AC1353" s="107">
        <v>0.0</v>
      </c>
      <c r="AD1353" s="107">
        <v>0.0</v>
      </c>
      <c r="AE1353" s="80">
        <f t="shared" si="2"/>
        <v>0</v>
      </c>
      <c r="AF1353" s="140">
        <v>0.0</v>
      </c>
      <c r="AG1353" s="109">
        <v>0.0</v>
      </c>
      <c r="AH1353" s="109">
        <v>0.0</v>
      </c>
      <c r="AI1353" s="141">
        <v>0.0</v>
      </c>
      <c r="AJ1353" s="80">
        <f t="shared" si="3"/>
        <v>0</v>
      </c>
      <c r="AK1353" s="140">
        <v>0.0</v>
      </c>
      <c r="AL1353" s="109">
        <v>0.0</v>
      </c>
      <c r="AM1353" s="141">
        <v>0.0</v>
      </c>
      <c r="AN1353" s="80">
        <f t="shared" si="4"/>
        <v>0</v>
      </c>
      <c r="AO1353" s="140">
        <v>0.0</v>
      </c>
      <c r="AP1353" s="109">
        <v>0.0</v>
      </c>
      <c r="AQ1353" s="109">
        <v>0.0</v>
      </c>
      <c r="AR1353" s="80">
        <f t="shared" si="5"/>
        <v>0</v>
      </c>
      <c r="AS1353" s="110">
        <v>409.0</v>
      </c>
      <c r="AT1353" s="110">
        <v>256.0</v>
      </c>
      <c r="AU1353" s="110">
        <v>281.0</v>
      </c>
      <c r="AV1353" s="142">
        <v>0.0</v>
      </c>
      <c r="AW1353" s="80">
        <f t="shared" si="6"/>
        <v>946</v>
      </c>
      <c r="AX1353" s="113">
        <f t="shared" si="7"/>
        <v>946</v>
      </c>
      <c r="AY1353" s="117">
        <f t="shared" si="8"/>
        <v>665</v>
      </c>
      <c r="AZ1353" s="120">
        <f t="shared" si="9"/>
        <v>281</v>
      </c>
      <c r="BA1353" s="115">
        <v>0.0</v>
      </c>
      <c r="BB1353" s="89">
        <f t="shared" si="10"/>
        <v>946</v>
      </c>
      <c r="BC1353" s="132" t="s">
        <v>178</v>
      </c>
      <c r="BD1353" s="132" t="s">
        <v>522</v>
      </c>
      <c r="BE1353" s="132" t="s">
        <v>178</v>
      </c>
      <c r="BF1353" s="123"/>
      <c r="BG1353" s="83">
        <v>1114257.0</v>
      </c>
      <c r="BH1353" s="112"/>
      <c r="BI1353" s="112">
        <v>19.0</v>
      </c>
      <c r="BJ1353" s="98" t="s">
        <v>284</v>
      </c>
      <c r="BK1353" s="99">
        <f t="shared" si="11"/>
        <v>0</v>
      </c>
      <c r="BL1353" s="99">
        <f t="shared" si="12"/>
        <v>665</v>
      </c>
      <c r="BM1353" s="99" t="str">
        <f>IFERROR(__xludf.DUMMYFUNCTION("IFERROR(VLOOKUP(BG1353,IMPORTRANGE(""https://docs.google.com/spreadsheets/d/1juPI-Fb8LD0YtltB2mlGEnp_R3UVu1t3wSFPzgCyHXE/edit?gid=0#gid=0"",""GERAL!A2:C""),3,0),""-"")"),"-")</f>
        <v>-</v>
      </c>
    </row>
    <row r="1354" ht="15.75" customHeight="1">
      <c r="A1354" s="111" t="s">
        <v>1629</v>
      </c>
      <c r="B1354" s="83" t="s">
        <v>7625</v>
      </c>
      <c r="C1354" s="83" t="s">
        <v>164</v>
      </c>
      <c r="D1354" s="112">
        <v>1179204.0</v>
      </c>
      <c r="E1354" s="83">
        <v>1179290.0</v>
      </c>
      <c r="F1354" s="115">
        <v>2.9492424E7</v>
      </c>
      <c r="G1354" s="292" t="s">
        <v>7649</v>
      </c>
      <c r="H1354" s="91" t="s">
        <v>7650</v>
      </c>
      <c r="I1354" s="136" t="s">
        <v>149</v>
      </c>
      <c r="J1354" s="136" t="s">
        <v>923</v>
      </c>
      <c r="K1354" s="136" t="s">
        <v>1078</v>
      </c>
      <c r="L1354" s="136" t="s">
        <v>169</v>
      </c>
      <c r="M1354" s="82" t="str">
        <f>IFERROR(__xludf.DUMMYFUNCTION("IFERROR(VLOOKUP(D1354,
IMPORTRANGE(""https://docs.google.com/spreadsheets/d/1MjHtlUikwobi2MaWJgy7tfLeBmhj1u-dRFRs_8GwSoA/edit#gid=0"",""Gestores Escolares!D7:J""),3,0),""VERIFICAR CÓD SEC"")"),"SEM DIREÇÃO - TATIANE ARAÚJO DOS SANTOS (Coordenadora Indígena)")</f>
        <v>SEM DIREÇÃO - TATIANE ARAÚJO DOS SANTOS (Coordenadora Indígena)</v>
      </c>
      <c r="N1354" s="82" t="str">
        <f>IFERROR(__xludf.DUMMYFUNCTION("IFERROR(VLOOKUP(D1354,
IMPORTRANGE(""https://docs.google.com/spreadsheets/d/1MjHtlUikwobi2MaWJgy7tfLeBmhj1u-dRFRs_8GwSoA/edit#gid=0"",""Gestores Escolares!D7:J""),4,0),""VERIFICAR CÓD SEC"")")," (75) 9 8800-1574/9 9878-0467 ZAP")</f>
        <v> (75) 9 8800-1574/9 9878-0467 ZAP</v>
      </c>
      <c r="O1354" s="82" t="str">
        <f>IFERROR(__xludf.DUMMYFUNCTION("IFERROR(VLOOKUP(D1354,
IMPORTRANGE(""https://docs.google.com/spreadsheets/d/1MjHtlUikwobi2MaWJgy7tfLeBmhj1u-dRFRs_8GwSoA/edit#gid=0"",""Gestores Escolares!D7:J""),6,0),""VERIFICAR CÓD SEC"")"),"")</f>
        <v/>
      </c>
      <c r="P1354" s="82" t="str">
        <f>IFERROR(__xludf.DUMMYFUNCTION("IFERROR(VLOOKUP(D1354,
IMPORTRANGE(""https://docs.google.com/spreadsheets/d/1MjHtlUikwobi2MaWJgy7tfLeBmhj1u-dRFRs_8GwSoA/edit#gid=0"",""Gestores Escolares!D7:J""),7,0),""VERIFICAR CÓD SEC"")"),"")</f>
        <v/>
      </c>
      <c r="Q1354" s="82" t="str">
        <f>IFERROR(__xludf.DUMMYFUNCTION("IFERROR(VLOOKUP(D1354,
IMPORTRANGE(""https://docs.google.com/spreadsheets/d/1MjHtlUikwobi2MaWJgy7tfLeBmhj1u-dRFRs_8GwSoA/edit#gid=0"",""Gestores Escolares!D7:m""),9,0),""VERIFICAR CÓD SEC"")"),"")</f>
        <v/>
      </c>
      <c r="R1354" s="82" t="str">
        <f>IFERROR(__xludf.DUMMYFUNCTION("IFERROR(VLOOKUP(D1354,
IMPORTRANGE(""https://docs.google.com/spreadsheets/d/1MjHtlUikwobi2MaWJgy7tfLeBmhj1u-dRFRs_8GwSoA/edit#gid=0"",""Gestores Escolares!D7:m""),10,0),""VERIFICAR CÓD SEC"")"),"")</f>
        <v/>
      </c>
      <c r="S1354" s="82"/>
      <c r="T1354" s="138">
        <v>3.0</v>
      </c>
      <c r="U1354" s="152">
        <v>3.0</v>
      </c>
      <c r="V1354" s="106">
        <v>6.0</v>
      </c>
      <c r="W1354" s="107">
        <v>0.0</v>
      </c>
      <c r="X1354" s="107">
        <v>0.0</v>
      </c>
      <c r="Y1354" s="107">
        <v>0.0</v>
      </c>
      <c r="Z1354" s="80">
        <f t="shared" si="1"/>
        <v>6</v>
      </c>
      <c r="AA1354" s="106">
        <v>28.0</v>
      </c>
      <c r="AB1354" s="107">
        <v>15.0</v>
      </c>
      <c r="AC1354" s="107">
        <v>0.0</v>
      </c>
      <c r="AD1354" s="107">
        <v>0.0</v>
      </c>
      <c r="AE1354" s="80">
        <f t="shared" si="2"/>
        <v>43</v>
      </c>
      <c r="AF1354" s="140">
        <v>0.0</v>
      </c>
      <c r="AG1354" s="109">
        <v>7.0</v>
      </c>
      <c r="AH1354" s="109">
        <v>0.0</v>
      </c>
      <c r="AI1354" s="141">
        <v>0.0</v>
      </c>
      <c r="AJ1354" s="80">
        <f t="shared" si="3"/>
        <v>7</v>
      </c>
      <c r="AK1354" s="140">
        <v>0.0</v>
      </c>
      <c r="AL1354" s="109">
        <v>0.0</v>
      </c>
      <c r="AM1354" s="141">
        <v>0.0</v>
      </c>
      <c r="AN1354" s="80">
        <f t="shared" si="4"/>
        <v>0</v>
      </c>
      <c r="AO1354" s="140">
        <v>0.0</v>
      </c>
      <c r="AP1354" s="109">
        <v>0.0</v>
      </c>
      <c r="AQ1354" s="109">
        <v>0.0</v>
      </c>
      <c r="AR1354" s="80">
        <f t="shared" si="5"/>
        <v>0</v>
      </c>
      <c r="AS1354" s="110">
        <v>0.0</v>
      </c>
      <c r="AT1354" s="110">
        <v>0.0</v>
      </c>
      <c r="AU1354" s="110">
        <v>0.0</v>
      </c>
      <c r="AV1354" s="142">
        <v>0.0</v>
      </c>
      <c r="AW1354" s="80">
        <f t="shared" si="6"/>
        <v>0</v>
      </c>
      <c r="AX1354" s="113">
        <f t="shared" si="7"/>
        <v>56</v>
      </c>
      <c r="AY1354" s="117">
        <f t="shared" si="8"/>
        <v>56</v>
      </c>
      <c r="AZ1354" s="120">
        <f t="shared" si="9"/>
        <v>0</v>
      </c>
      <c r="BA1354" s="115">
        <v>0.0</v>
      </c>
      <c r="BB1354" s="89">
        <f t="shared" si="10"/>
        <v>56</v>
      </c>
      <c r="BC1354" s="143" t="s">
        <v>1294</v>
      </c>
      <c r="BD1354" s="132" t="s">
        <v>178</v>
      </c>
      <c r="BE1354" s="132" t="s">
        <v>178</v>
      </c>
      <c r="BF1354" s="156"/>
      <c r="BG1354" s="83">
        <v>1179290.0</v>
      </c>
      <c r="BH1354" s="112"/>
      <c r="BI1354" s="112">
        <v>3.0</v>
      </c>
      <c r="BJ1354" s="98" t="s">
        <v>155</v>
      </c>
      <c r="BK1354" s="99">
        <f t="shared" si="11"/>
        <v>0</v>
      </c>
      <c r="BL1354" s="99">
        <f t="shared" si="12"/>
        <v>56</v>
      </c>
      <c r="BM1354" s="99" t="str">
        <f>IFERROR(__xludf.DUMMYFUNCTION("IFERROR(VLOOKUP(BG1354,IMPORTRANGE(""https://docs.google.com/spreadsheets/d/1juPI-Fb8LD0YtltB2mlGEnp_R3UVu1t3wSFPzgCyHXE/edit?gid=0#gid=0"",""GERAL!A2:C""),3,0),""-"")"),"INDÍGENAS")</f>
        <v>INDÍGENAS</v>
      </c>
    </row>
    <row r="1355" ht="15.75" customHeight="1">
      <c r="A1355" s="111" t="s">
        <v>1629</v>
      </c>
      <c r="B1355" s="83" t="s">
        <v>7625</v>
      </c>
      <c r="C1355" s="83" t="s">
        <v>164</v>
      </c>
      <c r="D1355" s="112">
        <v>1118040.0</v>
      </c>
      <c r="E1355" s="83">
        <v>1179617.0</v>
      </c>
      <c r="F1355" s="115">
        <v>2.949051E7</v>
      </c>
      <c r="G1355" s="241" t="s">
        <v>7651</v>
      </c>
      <c r="H1355" s="91" t="s">
        <v>7652</v>
      </c>
      <c r="I1355" s="136" t="s">
        <v>7653</v>
      </c>
      <c r="J1355" s="136" t="s">
        <v>150</v>
      </c>
      <c r="K1355" s="136" t="s">
        <v>168</v>
      </c>
      <c r="L1355" s="136" t="s">
        <v>169</v>
      </c>
      <c r="M1355" s="82" t="str">
        <f>IFERROR(__xludf.DUMMYFUNCTION("IFERROR(VLOOKUP(D1355,
IMPORTRANGE(""https://docs.google.com/spreadsheets/d/1MjHtlUikwobi2MaWJgy7tfLeBmhj1u-dRFRs_8GwSoA/edit#gid=0"",""Gestores Escolares!D7:J""),3,0),""VERIFICAR CÓD SEC"")"),"JOSELI FLORENTINO DE BRITO")</f>
        <v>JOSELI FLORENTINO DE BRITO</v>
      </c>
      <c r="N1355" s="82" t="str">
        <f>IFERROR(__xludf.DUMMYFUNCTION("IFERROR(VLOOKUP(D1355,
IMPORTRANGE(""https://docs.google.com/spreadsheets/d/1MjHtlUikwobi2MaWJgy7tfLeBmhj1u-dRFRs_8GwSoA/edit#gid=0"",""Gestores Escolares!D7:J""),4,0),""VERIFICAR CÓD SEC"")"),"(87) 9 8135-9989")</f>
        <v>(87) 9 8135-9989</v>
      </c>
      <c r="O1355" s="82" t="str">
        <f>IFERROR(__xludf.DUMMYFUNCTION("IFERROR(VLOOKUP(D1355,
IMPORTRANGE(""https://docs.google.com/spreadsheets/d/1MjHtlUikwobi2MaWJgy7tfLeBmhj1u-dRFRs_8GwSoA/edit#gid=0"",""Gestores Escolares!D7:J""),6,0),""VERIFICAR CÓD SEC"")"),"JANDISON CLEBER BEZERRA DA CRUZ")</f>
        <v>JANDISON CLEBER BEZERRA DA CRUZ</v>
      </c>
      <c r="P1355" s="82" t="str">
        <f>IFERROR(__xludf.DUMMYFUNCTION("IFERROR(VLOOKUP(D1355,
IMPORTRANGE(""https://docs.google.com/spreadsheets/d/1MjHtlUikwobi2MaWJgy7tfLeBmhj1u-dRFRs_8GwSoA/edit#gid=0"",""Gestores Escolares!D7:J""),7,0),""VERIFICAR CÓD SEC"")")," (75) 9 8872-1407")</f>
        <v> (75) 9 8872-1407</v>
      </c>
      <c r="Q1355" s="82" t="str">
        <f>IFERROR(__xludf.DUMMYFUNCTION("IFERROR(VLOOKUP(D1355,
IMPORTRANGE(""https://docs.google.com/spreadsheets/d/1MjHtlUikwobi2MaWJgy7tfLeBmhj1u-dRFRs_8GwSoA/edit#gid=0"",""Gestores Escolares!D7:m""),9,0),""VERIFICAR CÓD SEC"")"),"FELIPE ARAUJO DOS ANJOS")</f>
        <v>FELIPE ARAUJO DOS ANJOS</v>
      </c>
      <c r="R1355" s="82" t="str">
        <f>IFERROR(__xludf.DUMMYFUNCTION("IFERROR(VLOOKUP(D1355,
IMPORTRANGE(""https://docs.google.com/spreadsheets/d/1MjHtlUikwobi2MaWJgy7tfLeBmhj1u-dRFRs_8GwSoA/edit#gid=0"",""Gestores Escolares!D7:m""),10,0),""VERIFICAR CÓD SEC"")")," (79) 9 9948-6682")</f>
        <v> (79) 9 9948-6682</v>
      </c>
      <c r="S1355" s="82"/>
      <c r="T1355" s="138">
        <v>3.0</v>
      </c>
      <c r="U1355" s="152">
        <v>2.0</v>
      </c>
      <c r="V1355" s="106">
        <v>0.0</v>
      </c>
      <c r="W1355" s="107">
        <v>0.0</v>
      </c>
      <c r="X1355" s="107">
        <v>0.0</v>
      </c>
      <c r="Y1355" s="107">
        <v>0.0</v>
      </c>
      <c r="Z1355" s="80">
        <f t="shared" si="1"/>
        <v>0</v>
      </c>
      <c r="AA1355" s="106">
        <v>0.0</v>
      </c>
      <c r="AB1355" s="107">
        <v>0.0</v>
      </c>
      <c r="AC1355" s="107">
        <v>0.0</v>
      </c>
      <c r="AD1355" s="107">
        <v>0.0</v>
      </c>
      <c r="AE1355" s="80">
        <f t="shared" si="2"/>
        <v>0</v>
      </c>
      <c r="AF1355" s="140">
        <v>0.0</v>
      </c>
      <c r="AG1355" s="109">
        <v>0.0</v>
      </c>
      <c r="AH1355" s="109">
        <v>0.0</v>
      </c>
      <c r="AI1355" s="141">
        <v>0.0</v>
      </c>
      <c r="AJ1355" s="80">
        <f t="shared" si="3"/>
        <v>0</v>
      </c>
      <c r="AK1355" s="140">
        <v>29.0</v>
      </c>
      <c r="AL1355" s="109">
        <v>23.0</v>
      </c>
      <c r="AM1355" s="141">
        <v>0.0</v>
      </c>
      <c r="AN1355" s="80">
        <f t="shared" si="4"/>
        <v>52</v>
      </c>
      <c r="AO1355" s="140">
        <v>0.0</v>
      </c>
      <c r="AP1355" s="109">
        <v>11.0</v>
      </c>
      <c r="AQ1355" s="109">
        <v>0.0</v>
      </c>
      <c r="AR1355" s="80">
        <f t="shared" si="5"/>
        <v>11</v>
      </c>
      <c r="AS1355" s="110">
        <v>0.0</v>
      </c>
      <c r="AT1355" s="110">
        <v>0.0</v>
      </c>
      <c r="AU1355" s="110">
        <v>0.0</v>
      </c>
      <c r="AV1355" s="142">
        <v>0.0</v>
      </c>
      <c r="AW1355" s="80">
        <f t="shared" si="6"/>
        <v>0</v>
      </c>
      <c r="AX1355" s="113">
        <f t="shared" si="7"/>
        <v>63</v>
      </c>
      <c r="AY1355" s="117">
        <f t="shared" si="8"/>
        <v>63</v>
      </c>
      <c r="AZ1355" s="120">
        <f t="shared" si="9"/>
        <v>0</v>
      </c>
      <c r="BA1355" s="115">
        <v>0.0</v>
      </c>
      <c r="BB1355" s="89">
        <f t="shared" si="10"/>
        <v>63</v>
      </c>
      <c r="BC1355" s="132" t="s">
        <v>563</v>
      </c>
      <c r="BD1355" s="132" t="s">
        <v>178</v>
      </c>
      <c r="BE1355" s="132" t="s">
        <v>178</v>
      </c>
      <c r="BF1355" s="156"/>
      <c r="BG1355" s="83">
        <v>1179617.0</v>
      </c>
      <c r="BH1355" s="112"/>
      <c r="BI1355" s="112">
        <v>2.0</v>
      </c>
      <c r="BJ1355" s="98" t="s">
        <v>284</v>
      </c>
      <c r="BK1355" s="99">
        <f t="shared" si="11"/>
        <v>0</v>
      </c>
      <c r="BL1355" s="99">
        <f t="shared" si="12"/>
        <v>63</v>
      </c>
      <c r="BM1355" s="99" t="str">
        <f>IFERROR(__xludf.DUMMYFUNCTION("IFERROR(VLOOKUP(BG1355,IMPORTRANGE(""https://docs.google.com/spreadsheets/d/1juPI-Fb8LD0YtltB2mlGEnp_R3UVu1t3wSFPzgCyHXE/edit?gid=0#gid=0"",""GERAL!A2:C""),3,0),""-"")"),"-")</f>
        <v>-</v>
      </c>
    </row>
    <row r="1356" ht="15.75" customHeight="1">
      <c r="A1356" s="111" t="s">
        <v>1629</v>
      </c>
      <c r="B1356" s="83" t="s">
        <v>7654</v>
      </c>
      <c r="C1356" s="83" t="s">
        <v>68</v>
      </c>
      <c r="D1356" s="112">
        <v>1178006.0</v>
      </c>
      <c r="E1356" s="83"/>
      <c r="F1356" s="83">
        <v>2.9423708E7</v>
      </c>
      <c r="G1356" s="119" t="s">
        <v>7655</v>
      </c>
      <c r="H1356" s="91" t="s">
        <v>7656</v>
      </c>
      <c r="I1356" s="136" t="s">
        <v>149</v>
      </c>
      <c r="J1356" s="136" t="s">
        <v>150</v>
      </c>
      <c r="K1356" s="83" t="s">
        <v>151</v>
      </c>
      <c r="L1356" s="83" t="s">
        <v>169</v>
      </c>
      <c r="M1356" s="82" t="str">
        <f>IFERROR(__xludf.DUMMYFUNCTION("IFERROR(VLOOKUP(D1356,
IMPORTRANGE(""https://docs.google.com/spreadsheets/d/1MjHtlUikwobi2MaWJgy7tfLeBmhj1u-dRFRs_8GwSoA/edit#gid=0"",""Gestores Escolares!D7:J""),3,0),""VERIFICAR CÓD SEC"")"),"ROSIVANIA DE ARAUJO ALMEIDA")</f>
        <v>ROSIVANIA DE ARAUJO ALMEIDA</v>
      </c>
      <c r="N1356" s="82" t="str">
        <f>IFERROR(__xludf.DUMMYFUNCTION("IFERROR(VLOOKUP(D1356,
IMPORTRANGE(""https://docs.google.com/spreadsheets/d/1MjHtlUikwobi2MaWJgy7tfLeBmhj1u-dRFRs_8GwSoA/edit#gid=0"",""Gestores Escolares!D7:J""),4,0),""VERIFICAR CÓD SEC"")"),"(75) 9 8821-7547")</f>
        <v>(75) 9 8821-7547</v>
      </c>
      <c r="O1356" s="82" t="str">
        <f>IFERROR(__xludf.DUMMYFUNCTION("IFERROR(VLOOKUP(D1356,
IMPORTRANGE(""https://docs.google.com/spreadsheets/d/1MjHtlUikwobi2MaWJgy7tfLeBmhj1u-dRFRs_8GwSoA/edit#gid=0"",""Gestores Escolares!D7:J""),6,0),""VERIFICAR CÓD SEC"")"),"OTAVIO VIEIRA DE ALMEIDA")</f>
        <v>OTAVIO VIEIRA DE ALMEIDA</v>
      </c>
      <c r="P1356" s="82" t="str">
        <f>IFERROR(__xludf.DUMMYFUNCTION("IFERROR(VLOOKUP(D1356,
IMPORTRANGE(""https://docs.google.com/spreadsheets/d/1MjHtlUikwobi2MaWJgy7tfLeBmhj1u-dRFRs_8GwSoA/edit#gid=0"",""Gestores Escolares!D7:J""),7,0),""VERIFICAR CÓD SEC"")"),"(75) 9 8858-2433")</f>
        <v>(75) 9 8858-2433</v>
      </c>
      <c r="Q1356" s="82" t="str">
        <f>IFERROR(__xludf.DUMMYFUNCTION("IFERROR(VLOOKUP(D1356,
IMPORTRANGE(""https://docs.google.com/spreadsheets/d/1MjHtlUikwobi2MaWJgy7tfLeBmhj1u-dRFRs_8GwSoA/edit#gid=0"",""Gestores Escolares!D7:m""),9,0),""VERIFICAR CÓD SEC"")"),"")</f>
        <v/>
      </c>
      <c r="R1356" s="82" t="str">
        <f>IFERROR(__xludf.DUMMYFUNCTION("IFERROR(VLOOKUP(D1356,
IMPORTRANGE(""https://docs.google.com/spreadsheets/d/1MjHtlUikwobi2MaWJgy7tfLeBmhj1u-dRFRs_8GwSoA/edit#gid=0"",""Gestores Escolares!D7:m""),10,0),""VERIFICAR CÓD SEC"")"),"")</f>
        <v/>
      </c>
      <c r="S1356" s="82"/>
      <c r="T1356" s="138">
        <v>8.0</v>
      </c>
      <c r="U1356" s="631" t="s">
        <v>6491</v>
      </c>
      <c r="V1356" s="106">
        <v>21.0</v>
      </c>
      <c r="W1356" s="107">
        <v>13.0</v>
      </c>
      <c r="X1356" s="107">
        <v>0.0</v>
      </c>
      <c r="Y1356" s="107">
        <v>0.0</v>
      </c>
      <c r="Z1356" s="80">
        <f t="shared" si="1"/>
        <v>34</v>
      </c>
      <c r="AA1356" s="106">
        <v>50.0</v>
      </c>
      <c r="AB1356" s="107">
        <v>103.0</v>
      </c>
      <c r="AC1356" s="107">
        <v>0.0</v>
      </c>
      <c r="AD1356" s="107">
        <v>0.0</v>
      </c>
      <c r="AE1356" s="80">
        <f t="shared" si="2"/>
        <v>153</v>
      </c>
      <c r="AF1356" s="140">
        <v>0.0</v>
      </c>
      <c r="AG1356" s="109">
        <v>0.0</v>
      </c>
      <c r="AH1356" s="109">
        <v>54.0</v>
      </c>
      <c r="AI1356" s="141">
        <v>0.0</v>
      </c>
      <c r="AJ1356" s="80">
        <f t="shared" si="3"/>
        <v>54</v>
      </c>
      <c r="AK1356" s="140">
        <v>0.0</v>
      </c>
      <c r="AL1356" s="109">
        <v>0.0</v>
      </c>
      <c r="AM1356" s="141">
        <v>5.0</v>
      </c>
      <c r="AN1356" s="80">
        <f t="shared" si="4"/>
        <v>5</v>
      </c>
      <c r="AO1356" s="140">
        <v>0.0</v>
      </c>
      <c r="AP1356" s="109">
        <v>0.0</v>
      </c>
      <c r="AQ1356" s="109">
        <v>8.0</v>
      </c>
      <c r="AR1356" s="80">
        <f t="shared" si="5"/>
        <v>8</v>
      </c>
      <c r="AS1356" s="110">
        <v>0.0</v>
      </c>
      <c r="AT1356" s="110">
        <v>0.0</v>
      </c>
      <c r="AU1356" s="110">
        <v>0.0</v>
      </c>
      <c r="AV1356" s="142">
        <v>0.0</v>
      </c>
      <c r="AW1356" s="80">
        <f t="shared" si="6"/>
        <v>0</v>
      </c>
      <c r="AX1356" s="113">
        <f t="shared" si="7"/>
        <v>254</v>
      </c>
      <c r="AY1356" s="117">
        <f t="shared" si="8"/>
        <v>187</v>
      </c>
      <c r="AZ1356" s="120">
        <f t="shared" si="9"/>
        <v>67</v>
      </c>
      <c r="BA1356" s="115">
        <v>0.0</v>
      </c>
      <c r="BB1356" s="89">
        <f t="shared" si="10"/>
        <v>254</v>
      </c>
      <c r="BC1356" s="132" t="s">
        <v>1294</v>
      </c>
      <c r="BD1356" s="132" t="s">
        <v>178</v>
      </c>
      <c r="BE1356" s="132" t="s">
        <v>178</v>
      </c>
      <c r="BF1356" s="156"/>
      <c r="BG1356" s="83">
        <v>1178006.0</v>
      </c>
      <c r="BH1356" s="112"/>
      <c r="BI1356" s="112">
        <v>5.0</v>
      </c>
      <c r="BJ1356" s="98" t="s">
        <v>155</v>
      </c>
      <c r="BK1356" s="99">
        <f t="shared" si="11"/>
        <v>0</v>
      </c>
      <c r="BL1356" s="99">
        <f t="shared" si="12"/>
        <v>187</v>
      </c>
      <c r="BM1356" s="99" t="str">
        <f>IFERROR(__xludf.DUMMYFUNCTION("IFERROR(VLOOKUP(BG1356,IMPORTRANGE(""https://docs.google.com/spreadsheets/d/1juPI-Fb8LD0YtltB2mlGEnp_R3UVu1t3wSFPzgCyHXE/edit?gid=0#gid=0"",""GERAL!A2:C""),3,0),""-"")"),"INDÍGENAS")</f>
        <v>INDÍGENAS</v>
      </c>
    </row>
    <row r="1357" ht="15.75" customHeight="1">
      <c r="A1357" s="111" t="s">
        <v>1629</v>
      </c>
      <c r="B1357" s="83" t="s">
        <v>7654</v>
      </c>
      <c r="C1357" s="83" t="s">
        <v>68</v>
      </c>
      <c r="D1357" s="112">
        <v>1114133.0</v>
      </c>
      <c r="E1357" s="83"/>
      <c r="F1357" s="83">
        <v>2.9036046E7</v>
      </c>
      <c r="G1357" s="119" t="s">
        <v>7659</v>
      </c>
      <c r="H1357" s="91" t="s">
        <v>7660</v>
      </c>
      <c r="I1357" s="136" t="s">
        <v>149</v>
      </c>
      <c r="J1357" s="136" t="s">
        <v>150</v>
      </c>
      <c r="K1357" s="83" t="s">
        <v>151</v>
      </c>
      <c r="L1357" s="83" t="s">
        <v>76</v>
      </c>
      <c r="M1357" s="82" t="str">
        <f>IFERROR(__xludf.DUMMYFUNCTION("IFERROR(VLOOKUP(D1357,
IMPORTRANGE(""https://docs.google.com/spreadsheets/d/1MjHtlUikwobi2MaWJgy7tfLeBmhj1u-dRFRs_8GwSoA/edit#gid=0"",""Gestores Escolares!D7:J""),3,0),""VERIFICAR CÓD SEC"")"),"ROSENILDE MARINA DA SILVA ")</f>
        <v>ROSENILDE MARINA DA SILVA </v>
      </c>
      <c r="N1357" s="82" t="str">
        <f>IFERROR(__xludf.DUMMYFUNCTION("IFERROR(VLOOKUP(D1357,
IMPORTRANGE(""https://docs.google.com/spreadsheets/d/1MjHtlUikwobi2MaWJgy7tfLeBmhj1u-dRFRs_8GwSoA/edit#gid=0"",""Gestores Escolares!D7:J""),4,0),""VERIFICAR CÓD SEC"")"),"(75) 9 8807-4263")</f>
        <v>(75) 9 8807-4263</v>
      </c>
      <c r="O1357" s="82" t="str">
        <f>IFERROR(__xludf.DUMMYFUNCTION("IFERROR(VLOOKUP(D1357,
IMPORTRANGE(""https://docs.google.com/spreadsheets/d/1MjHtlUikwobi2MaWJgy7tfLeBmhj1u-dRFRs_8GwSoA/edit#gid=0"",""Gestores Escolares!D7:J""),6,0),""VERIFICAR CÓD SEC"")"),"GILVANIA MOURA PERZENTINO SANTOS ")</f>
        <v>GILVANIA MOURA PERZENTINO SANTOS </v>
      </c>
      <c r="P1357" s="82" t="str">
        <f>IFERROR(__xludf.DUMMYFUNCTION("IFERROR(VLOOKUP(D1357,
IMPORTRANGE(""https://docs.google.com/spreadsheets/d/1MjHtlUikwobi2MaWJgy7tfLeBmhj1u-dRFRs_8GwSoA/edit#gid=0"",""Gestores Escolares!D7:J""),7,0),""VERIFICAR CÓD SEC"")"),"(75) 9 8849-6559")</f>
        <v>(75) 9 8849-6559</v>
      </c>
      <c r="Q1357" s="82" t="str">
        <f>IFERROR(__xludf.DUMMYFUNCTION("IFERROR(VLOOKUP(D1357,
IMPORTRANGE(""https://docs.google.com/spreadsheets/d/1MjHtlUikwobi2MaWJgy7tfLeBmhj1u-dRFRs_8GwSoA/edit#gid=0"",""Gestores Escolares!D7:m""),9,0),""VERIFICAR CÓD SEC"")"),"")</f>
        <v/>
      </c>
      <c r="R1357" s="82" t="str">
        <f>IFERROR(__xludf.DUMMYFUNCTION("IFERROR(VLOOKUP(D1357,
IMPORTRANGE(""https://docs.google.com/spreadsheets/d/1MjHtlUikwobi2MaWJgy7tfLeBmhj1u-dRFRs_8GwSoA/edit#gid=0"",""Gestores Escolares!D7:m""),10,0),""VERIFICAR CÓD SEC"")"),"")</f>
        <v/>
      </c>
      <c r="S1357" s="82"/>
      <c r="T1357" s="138">
        <v>7.0</v>
      </c>
      <c r="U1357" s="217" t="s">
        <v>13893</v>
      </c>
      <c r="V1357" s="106">
        <v>0.0</v>
      </c>
      <c r="W1357" s="107">
        <v>0.0</v>
      </c>
      <c r="X1357" s="107">
        <v>0.0</v>
      </c>
      <c r="Y1357" s="107">
        <v>0.0</v>
      </c>
      <c r="Z1357" s="80">
        <f t="shared" si="1"/>
        <v>0</v>
      </c>
      <c r="AA1357" s="106">
        <v>0.0</v>
      </c>
      <c r="AB1357" s="107">
        <v>0.0</v>
      </c>
      <c r="AC1357" s="107">
        <v>0.0</v>
      </c>
      <c r="AD1357" s="107">
        <v>0.0</v>
      </c>
      <c r="AE1357" s="80">
        <f t="shared" si="2"/>
        <v>0</v>
      </c>
      <c r="AF1357" s="140">
        <v>96.0</v>
      </c>
      <c r="AG1357" s="109">
        <v>95.0</v>
      </c>
      <c r="AH1357" s="109">
        <v>0.0</v>
      </c>
      <c r="AI1357" s="141">
        <v>74.0</v>
      </c>
      <c r="AJ1357" s="80">
        <f t="shared" si="3"/>
        <v>265</v>
      </c>
      <c r="AK1357" s="140">
        <v>0.0</v>
      </c>
      <c r="AL1357" s="109">
        <v>0.0</v>
      </c>
      <c r="AM1357" s="141">
        <v>0.0</v>
      </c>
      <c r="AN1357" s="80">
        <f t="shared" si="4"/>
        <v>0</v>
      </c>
      <c r="AO1357" s="140">
        <v>0.0</v>
      </c>
      <c r="AP1357" s="109">
        <v>0.0</v>
      </c>
      <c r="AQ1357" s="109">
        <v>39.0</v>
      </c>
      <c r="AR1357" s="80">
        <f t="shared" si="5"/>
        <v>39</v>
      </c>
      <c r="AS1357" s="110">
        <v>0.0</v>
      </c>
      <c r="AT1357" s="110">
        <v>37.0</v>
      </c>
      <c r="AU1357" s="110">
        <v>0.0</v>
      </c>
      <c r="AV1357" s="142">
        <v>0.0</v>
      </c>
      <c r="AW1357" s="80">
        <f t="shared" si="6"/>
        <v>37</v>
      </c>
      <c r="AX1357" s="113">
        <f t="shared" si="7"/>
        <v>341</v>
      </c>
      <c r="AY1357" s="117">
        <f t="shared" si="8"/>
        <v>302</v>
      </c>
      <c r="AZ1357" s="120">
        <f t="shared" si="9"/>
        <v>39</v>
      </c>
      <c r="BA1357" s="115">
        <v>0.0</v>
      </c>
      <c r="BB1357" s="89">
        <f t="shared" si="10"/>
        <v>341</v>
      </c>
      <c r="BC1357" s="132" t="s">
        <v>178</v>
      </c>
      <c r="BD1357" s="132" t="s">
        <v>178</v>
      </c>
      <c r="BE1357" s="132" t="s">
        <v>178</v>
      </c>
      <c r="BF1357" s="123"/>
      <c r="BG1357" s="83">
        <v>1114133.0</v>
      </c>
      <c r="BH1357" s="112"/>
      <c r="BI1357" s="112">
        <v>6.0</v>
      </c>
      <c r="BJ1357" s="98" t="s">
        <v>155</v>
      </c>
      <c r="BK1357" s="99">
        <f t="shared" si="11"/>
        <v>74</v>
      </c>
      <c r="BL1357" s="99">
        <f t="shared" si="12"/>
        <v>228</v>
      </c>
      <c r="BM1357" s="99" t="str">
        <f>IFERROR(__xludf.DUMMYFUNCTION("IFERROR(VLOOKUP(BG1357,IMPORTRANGE(""https://docs.google.com/spreadsheets/d/1juPI-Fb8LD0YtltB2mlGEnp_R3UVu1t3wSFPzgCyHXE/edit?gid=0#gid=0"",""GERAL!A2:C""),3,0),""-"")"),"-")</f>
        <v>-</v>
      </c>
    </row>
    <row r="1358" ht="15.75" customHeight="1">
      <c r="A1358" s="111" t="s">
        <v>1707</v>
      </c>
      <c r="B1358" s="83" t="s">
        <v>2110</v>
      </c>
      <c r="C1358" s="83" t="s">
        <v>68</v>
      </c>
      <c r="D1358" s="112">
        <v>1164998.0</v>
      </c>
      <c r="E1358" s="83"/>
      <c r="F1358" s="83">
        <v>2.9047501E7</v>
      </c>
      <c r="G1358" s="119" t="s">
        <v>7662</v>
      </c>
      <c r="H1358" s="91" t="s">
        <v>7663</v>
      </c>
      <c r="I1358" s="83" t="s">
        <v>149</v>
      </c>
      <c r="J1358" s="136" t="s">
        <v>150</v>
      </c>
      <c r="K1358" s="83" t="s">
        <v>151</v>
      </c>
      <c r="L1358" s="136" t="s">
        <v>152</v>
      </c>
      <c r="M1358" s="82" t="str">
        <f>IFERROR(__xludf.DUMMYFUNCTION("IFERROR(VLOOKUP(D1358,
IMPORTRANGE(""https://docs.google.com/spreadsheets/d/1MjHtlUikwobi2MaWJgy7tfLeBmhj1u-dRFRs_8GwSoA/edit#gid=0"",""Gestores Escolares!D7:J""),3,0),""VERIFICAR CÓD SEC"")"),"MEIDIMERE COUTINHO DA SILVA NASCIMENTO")</f>
        <v>MEIDIMERE COUTINHO DA SILVA NASCIMENTO</v>
      </c>
      <c r="N1358" s="82" t="str">
        <f>IFERROR(__xludf.DUMMYFUNCTION("IFERROR(VLOOKUP(D1358,
IMPORTRANGE(""https://docs.google.com/spreadsheets/d/1MjHtlUikwobi2MaWJgy7tfLeBmhj1u-dRFRs_8GwSoA/edit#gid=0"",""Gestores Escolares!D7:J""),4,0),""VERIFICAR CÓD SEC"")"),"(74) 9 9110-7086")</f>
        <v>(74) 9 9110-7086</v>
      </c>
      <c r="O1358" s="82" t="str">
        <f>IFERROR(__xludf.DUMMYFUNCTION("IFERROR(VLOOKUP(D1358,
IMPORTRANGE(""https://docs.google.com/spreadsheets/d/1MjHtlUikwobi2MaWJgy7tfLeBmhj1u-dRFRs_8GwSoA/edit#gid=0"",""Gestores Escolares!D7:J""),6,0),""VERIFICAR CÓD SEC"")"),"JOSMAR DEOLINO ALVES DOS REIS")</f>
        <v>JOSMAR DEOLINO ALVES DOS REIS</v>
      </c>
      <c r="P1358" s="82" t="str">
        <f>IFERROR(__xludf.DUMMYFUNCTION("IFERROR(VLOOKUP(D1358,
IMPORTRANGE(""https://docs.google.com/spreadsheets/d/1MjHtlUikwobi2MaWJgy7tfLeBmhj1u-dRFRs_8GwSoA/edit#gid=0"",""Gestores Escolares!D7:J""),7,0),""VERIFICAR CÓD SEC"")"),"(74) 9 9124-6523")</f>
        <v>(74) 9 9124-6523</v>
      </c>
      <c r="Q1358" s="82" t="str">
        <f>IFERROR(__xludf.DUMMYFUNCTION("IFERROR(VLOOKUP(D1358,
IMPORTRANGE(""https://docs.google.com/spreadsheets/d/1MjHtlUikwobi2MaWJgy7tfLeBmhj1u-dRFRs_8GwSoA/edit#gid=0"",""Gestores Escolares!D7:m""),9,0),""VERIFICAR CÓD SEC"")"),"MILTON BEZERRA DE ARAUJO")</f>
        <v>MILTON BEZERRA DE ARAUJO</v>
      </c>
      <c r="R1358" s="82" t="str">
        <f>IFERROR(__xludf.DUMMYFUNCTION("IFERROR(VLOOKUP(D1358,
IMPORTRANGE(""https://docs.google.com/spreadsheets/d/1MjHtlUikwobi2MaWJgy7tfLeBmhj1u-dRFRs_8GwSoA/edit#gid=0"",""Gestores Escolares!D7:m""),10,0),""VERIFICAR CÓD SEC"")"),"")</f>
        <v/>
      </c>
      <c r="S1358" s="82"/>
      <c r="T1358" s="138">
        <v>8.0</v>
      </c>
      <c r="U1358" s="145" t="s">
        <v>13894</v>
      </c>
      <c r="V1358" s="106">
        <v>0.0</v>
      </c>
      <c r="W1358" s="107">
        <v>0.0</v>
      </c>
      <c r="X1358" s="107">
        <v>0.0</v>
      </c>
      <c r="Y1358" s="107">
        <v>0.0</v>
      </c>
      <c r="Z1358" s="80">
        <f t="shared" si="1"/>
        <v>0</v>
      </c>
      <c r="AA1358" s="106">
        <v>0.0</v>
      </c>
      <c r="AB1358" s="107">
        <v>0.0</v>
      </c>
      <c r="AC1358" s="107">
        <v>0.0</v>
      </c>
      <c r="AD1358" s="107">
        <v>0.0</v>
      </c>
      <c r="AE1358" s="80">
        <f t="shared" si="2"/>
        <v>0</v>
      </c>
      <c r="AF1358" s="140">
        <v>0.0</v>
      </c>
      <c r="AG1358" s="109">
        <v>0.0</v>
      </c>
      <c r="AH1358" s="109">
        <v>0.0</v>
      </c>
      <c r="AI1358" s="141">
        <v>363.0</v>
      </c>
      <c r="AJ1358" s="80">
        <f t="shared" si="3"/>
        <v>363</v>
      </c>
      <c r="AK1358" s="140">
        <v>0.0</v>
      </c>
      <c r="AL1358" s="109">
        <v>0.0</v>
      </c>
      <c r="AM1358" s="141">
        <v>0.0</v>
      </c>
      <c r="AN1358" s="80">
        <f t="shared" si="4"/>
        <v>0</v>
      </c>
      <c r="AO1358" s="140">
        <v>0.0</v>
      </c>
      <c r="AP1358" s="109">
        <v>0.0</v>
      </c>
      <c r="AQ1358" s="109">
        <v>93.0</v>
      </c>
      <c r="AR1358" s="80">
        <f t="shared" si="5"/>
        <v>93</v>
      </c>
      <c r="AS1358" s="110">
        <v>0.0</v>
      </c>
      <c r="AT1358" s="110">
        <v>0.0</v>
      </c>
      <c r="AU1358" s="110">
        <v>0.0</v>
      </c>
      <c r="AV1358" s="142">
        <v>26.0</v>
      </c>
      <c r="AW1358" s="80">
        <f t="shared" si="6"/>
        <v>26</v>
      </c>
      <c r="AX1358" s="113">
        <f t="shared" si="7"/>
        <v>482</v>
      </c>
      <c r="AY1358" s="117">
        <f t="shared" si="8"/>
        <v>389</v>
      </c>
      <c r="AZ1358" s="120">
        <f t="shared" si="9"/>
        <v>93</v>
      </c>
      <c r="BA1358" s="115">
        <v>0.0</v>
      </c>
      <c r="BB1358" s="89">
        <f t="shared" si="10"/>
        <v>482</v>
      </c>
      <c r="BC1358" s="132" t="s">
        <v>373</v>
      </c>
      <c r="BD1358" s="132" t="s">
        <v>178</v>
      </c>
      <c r="BE1358" s="132" t="s">
        <v>178</v>
      </c>
      <c r="BF1358" s="156"/>
      <c r="BG1358" s="83">
        <v>1164998.0</v>
      </c>
      <c r="BH1358" s="98" t="s">
        <v>7664</v>
      </c>
      <c r="BI1358" s="112">
        <v>7.0</v>
      </c>
      <c r="BJ1358" s="98" t="s">
        <v>176</v>
      </c>
      <c r="BK1358" s="99">
        <f t="shared" si="11"/>
        <v>389</v>
      </c>
      <c r="BL1358" s="99">
        <f t="shared" si="12"/>
        <v>0</v>
      </c>
      <c r="BM1358" s="99" t="str">
        <f>IFERROR(__xludf.DUMMYFUNCTION("IFERROR(VLOOKUP(BG1358,IMPORTRANGE(""https://docs.google.com/spreadsheets/d/1juPI-Fb8LD0YtltB2mlGEnp_R3UVu1t3wSFPzgCyHXE/edit?gid=0#gid=0"",""GERAL!A2:C""),3,0),""-"")"),"CAMPO")</f>
        <v>CAMPO</v>
      </c>
    </row>
    <row r="1359" ht="15.75" customHeight="1">
      <c r="A1359" s="111" t="s">
        <v>1707</v>
      </c>
      <c r="B1359" s="83" t="s">
        <v>2110</v>
      </c>
      <c r="C1359" s="83" t="s">
        <v>164</v>
      </c>
      <c r="D1359" s="112">
        <v>1178039.0</v>
      </c>
      <c r="E1359" s="83">
        <v>1179135.0</v>
      </c>
      <c r="F1359" s="98">
        <v>2.949163E7</v>
      </c>
      <c r="G1359" s="119" t="s">
        <v>7666</v>
      </c>
      <c r="H1359" s="91" t="s">
        <v>7667</v>
      </c>
      <c r="I1359" s="83" t="s">
        <v>149</v>
      </c>
      <c r="J1359" s="83" t="s">
        <v>3227</v>
      </c>
      <c r="K1359" s="83" t="s">
        <v>168</v>
      </c>
      <c r="L1359" s="83" t="s">
        <v>76</v>
      </c>
      <c r="M1359" s="82" t="str">
        <f>IFERROR(__xludf.DUMMYFUNCTION("IFERROR(VLOOKUP(D1359,
IMPORTRANGE(""https://docs.google.com/spreadsheets/d/1MjHtlUikwobi2MaWJgy7tfLeBmhj1u-dRFRs_8GwSoA/edit#gid=0"",""Gestores Escolares!D7:J""),3,0),""VERIFICAR CÓD SEC"")"),"")</f>
        <v/>
      </c>
      <c r="N1359" s="82" t="str">
        <f>IFERROR(__xludf.DUMMYFUNCTION("IFERROR(VLOOKUP(D1359,
IMPORTRANGE(""https://docs.google.com/spreadsheets/d/1MjHtlUikwobi2MaWJgy7tfLeBmhj1u-dRFRs_8GwSoA/edit#gid=0"",""Gestores Escolares!D7:J""),4,0),""VERIFICAR CÓD SEC"")"),"")</f>
        <v/>
      </c>
      <c r="O1359" s="82" t="str">
        <f>IFERROR(__xludf.DUMMYFUNCTION("IFERROR(VLOOKUP(D1359,
IMPORTRANGE(""https://docs.google.com/spreadsheets/d/1MjHtlUikwobi2MaWJgy7tfLeBmhj1u-dRFRs_8GwSoA/edit#gid=0"",""Gestores Escolares!D7:J""),6,0),""VERIFICAR CÓD SEC"")"),"")</f>
        <v/>
      </c>
      <c r="P1359" s="82" t="str">
        <f>IFERROR(__xludf.DUMMYFUNCTION("IFERROR(VLOOKUP(D1359,
IMPORTRANGE(""https://docs.google.com/spreadsheets/d/1MjHtlUikwobi2MaWJgy7tfLeBmhj1u-dRFRs_8GwSoA/edit#gid=0"",""Gestores Escolares!D7:J""),7,0),""VERIFICAR CÓD SEC"")"),"")</f>
        <v/>
      </c>
      <c r="Q1359" s="82" t="str">
        <f>IFERROR(__xludf.DUMMYFUNCTION("IFERROR(VLOOKUP(D1359,
IMPORTRANGE(""https://docs.google.com/spreadsheets/d/1MjHtlUikwobi2MaWJgy7tfLeBmhj1u-dRFRs_8GwSoA/edit#gid=0"",""Gestores Escolares!D7:m""),9,0),""VERIFICAR CÓD SEC"")"),"")</f>
        <v/>
      </c>
      <c r="R1359" s="82" t="str">
        <f>IFERROR(__xludf.DUMMYFUNCTION("IFERROR(VLOOKUP(D1359,
IMPORTRANGE(""https://docs.google.com/spreadsheets/d/1MjHtlUikwobi2MaWJgy7tfLeBmhj1u-dRFRs_8GwSoA/edit#gid=0"",""Gestores Escolares!D7:m""),10,0),""VERIFICAR CÓD SEC"")"),"")</f>
        <v/>
      </c>
      <c r="S1359" s="82"/>
      <c r="T1359" s="138">
        <v>3.0</v>
      </c>
      <c r="U1359" s="139">
        <v>3.0</v>
      </c>
      <c r="V1359" s="106">
        <v>0.0</v>
      </c>
      <c r="W1359" s="107">
        <v>0.0</v>
      </c>
      <c r="X1359" s="107">
        <v>0.0</v>
      </c>
      <c r="Y1359" s="107">
        <v>0.0</v>
      </c>
      <c r="Z1359" s="80">
        <f t="shared" si="1"/>
        <v>0</v>
      </c>
      <c r="AA1359" s="106">
        <v>0.0</v>
      </c>
      <c r="AB1359" s="107">
        <v>0.0</v>
      </c>
      <c r="AC1359" s="107">
        <v>0.0</v>
      </c>
      <c r="AD1359" s="107">
        <v>0.0</v>
      </c>
      <c r="AE1359" s="80">
        <f t="shared" si="2"/>
        <v>0</v>
      </c>
      <c r="AF1359" s="140">
        <v>0.0</v>
      </c>
      <c r="AG1359" s="109">
        <v>0.0</v>
      </c>
      <c r="AH1359" s="109">
        <v>0.0</v>
      </c>
      <c r="AI1359" s="141">
        <v>0.0</v>
      </c>
      <c r="AJ1359" s="80">
        <f t="shared" si="3"/>
        <v>0</v>
      </c>
      <c r="AK1359" s="140">
        <v>0.0</v>
      </c>
      <c r="AL1359" s="109">
        <v>0.0</v>
      </c>
      <c r="AM1359" s="141">
        <v>0.0</v>
      </c>
      <c r="AN1359" s="80">
        <f t="shared" si="4"/>
        <v>0</v>
      </c>
      <c r="AO1359" s="140">
        <v>0.0</v>
      </c>
      <c r="AP1359" s="109">
        <v>0.0</v>
      </c>
      <c r="AQ1359" s="109">
        <v>18.0</v>
      </c>
      <c r="AR1359" s="80">
        <f t="shared" si="5"/>
        <v>18</v>
      </c>
      <c r="AS1359" s="110">
        <v>0.0</v>
      </c>
      <c r="AT1359" s="110">
        <v>0.0</v>
      </c>
      <c r="AU1359" s="110">
        <v>0.0</v>
      </c>
      <c r="AV1359" s="142">
        <v>0.0</v>
      </c>
      <c r="AW1359" s="80">
        <f t="shared" si="6"/>
        <v>0</v>
      </c>
      <c r="AX1359" s="113">
        <f t="shared" si="7"/>
        <v>18</v>
      </c>
      <c r="AY1359" s="117">
        <f t="shared" si="8"/>
        <v>0</v>
      </c>
      <c r="AZ1359" s="120">
        <f t="shared" si="9"/>
        <v>18</v>
      </c>
      <c r="BA1359" s="115">
        <v>0.0</v>
      </c>
      <c r="BB1359" s="89">
        <f t="shared" si="10"/>
        <v>18</v>
      </c>
      <c r="BC1359" s="132" t="s">
        <v>373</v>
      </c>
      <c r="BD1359" s="132" t="s">
        <v>178</v>
      </c>
      <c r="BE1359" s="132" t="s">
        <v>178</v>
      </c>
      <c r="BF1359" s="123"/>
      <c r="BG1359" s="83">
        <v>1179135.0</v>
      </c>
      <c r="BH1359" s="144"/>
      <c r="BI1359" s="112">
        <v>3.0</v>
      </c>
      <c r="BJ1359" s="98" t="s">
        <v>155</v>
      </c>
      <c r="BK1359" s="99">
        <f t="shared" si="11"/>
        <v>0</v>
      </c>
      <c r="BL1359" s="99">
        <f t="shared" si="12"/>
        <v>0</v>
      </c>
      <c r="BM1359" s="99" t="str">
        <f>IFERROR(__xludf.DUMMYFUNCTION("IFERROR(VLOOKUP(BG1359,IMPORTRANGE(""https://docs.google.com/spreadsheets/d/1juPI-Fb8LD0YtltB2mlGEnp_R3UVu1t3wSFPzgCyHXE/edit?gid=0#gid=0"",""GERAL!A2:C""),3,0),""-"")"),"CAMPO")</f>
        <v>CAMPO</v>
      </c>
    </row>
    <row r="1360" ht="15.75" customHeight="1">
      <c r="A1360" s="111" t="s">
        <v>1707</v>
      </c>
      <c r="B1360" s="83" t="s">
        <v>2110</v>
      </c>
      <c r="C1360" s="98" t="s">
        <v>164</v>
      </c>
      <c r="D1360" s="112">
        <v>1164998.0</v>
      </c>
      <c r="E1360" s="98">
        <v>1179764.0</v>
      </c>
      <c r="F1360" s="98">
        <v>2.9491622E7</v>
      </c>
      <c r="G1360" s="119" t="s">
        <v>7668</v>
      </c>
      <c r="H1360" s="108" t="s">
        <v>7669</v>
      </c>
      <c r="I1360" s="83"/>
      <c r="J1360" s="136"/>
      <c r="K1360" s="83" t="s">
        <v>151</v>
      </c>
      <c r="L1360" s="83" t="s">
        <v>169</v>
      </c>
      <c r="M1360" s="82" t="str">
        <f>IFERROR(__xludf.DUMMYFUNCTION("IFERROR(VLOOKUP(D1360,
IMPORTRANGE(""https://docs.google.com/spreadsheets/d/1MjHtlUikwobi2MaWJgy7tfLeBmhj1u-dRFRs_8GwSoA/edit#gid=0"",""Gestores Escolares!D7:J""),3,0),""VERIFICAR CÓD SEC"")"),"MEIDIMERE COUTINHO DA SILVA NASCIMENTO")</f>
        <v>MEIDIMERE COUTINHO DA SILVA NASCIMENTO</v>
      </c>
      <c r="N1360" s="82" t="str">
        <f>IFERROR(__xludf.DUMMYFUNCTION("IFERROR(VLOOKUP(D1360,
IMPORTRANGE(""https://docs.google.com/spreadsheets/d/1MjHtlUikwobi2MaWJgy7tfLeBmhj1u-dRFRs_8GwSoA/edit#gid=0"",""Gestores Escolares!D7:J""),4,0),""VERIFICAR CÓD SEC"")"),"(74) 9 9110-7086")</f>
        <v>(74) 9 9110-7086</v>
      </c>
      <c r="O1360" s="82" t="str">
        <f>IFERROR(__xludf.DUMMYFUNCTION("IFERROR(VLOOKUP(D1360,
IMPORTRANGE(""https://docs.google.com/spreadsheets/d/1MjHtlUikwobi2MaWJgy7tfLeBmhj1u-dRFRs_8GwSoA/edit#gid=0"",""Gestores Escolares!D7:J""),6,0),""VERIFICAR CÓD SEC"")"),"JOSMAR DEOLINO ALVES DOS REIS")</f>
        <v>JOSMAR DEOLINO ALVES DOS REIS</v>
      </c>
      <c r="P1360" s="82" t="str">
        <f>IFERROR(__xludf.DUMMYFUNCTION("IFERROR(VLOOKUP(D1360,
IMPORTRANGE(""https://docs.google.com/spreadsheets/d/1MjHtlUikwobi2MaWJgy7tfLeBmhj1u-dRFRs_8GwSoA/edit#gid=0"",""Gestores Escolares!D7:J""),7,0),""VERIFICAR CÓD SEC"")"),"(74) 9 9124-6523")</f>
        <v>(74) 9 9124-6523</v>
      </c>
      <c r="Q1360" s="82" t="str">
        <f>IFERROR(__xludf.DUMMYFUNCTION("IFERROR(VLOOKUP(D1360,
IMPORTRANGE(""https://docs.google.com/spreadsheets/d/1MjHtlUikwobi2MaWJgy7tfLeBmhj1u-dRFRs_8GwSoA/edit#gid=0"",""Gestores Escolares!D7:m""),9,0),""VERIFICAR CÓD SEC"")"),"MILTON BEZERRA DE ARAUJO")</f>
        <v>MILTON BEZERRA DE ARAUJO</v>
      </c>
      <c r="R1360" s="82" t="str">
        <f>IFERROR(__xludf.DUMMYFUNCTION("IFERROR(VLOOKUP(D1360,
IMPORTRANGE(""https://docs.google.com/spreadsheets/d/1MjHtlUikwobi2MaWJgy7tfLeBmhj1u-dRFRs_8GwSoA/edit#gid=0"",""Gestores Escolares!D7:m""),10,0),""VERIFICAR CÓD SEC"")"),"")</f>
        <v/>
      </c>
      <c r="S1360" s="82"/>
      <c r="T1360" s="138"/>
      <c r="U1360" s="145" t="s">
        <v>13895</v>
      </c>
      <c r="V1360" s="106">
        <v>0.0</v>
      </c>
      <c r="W1360" s="107">
        <v>0.0</v>
      </c>
      <c r="X1360" s="107">
        <v>0.0</v>
      </c>
      <c r="Y1360" s="107">
        <v>0.0</v>
      </c>
      <c r="Z1360" s="80">
        <f t="shared" si="1"/>
        <v>0</v>
      </c>
      <c r="AA1360" s="106">
        <v>0.0</v>
      </c>
      <c r="AB1360" s="107">
        <v>0.0</v>
      </c>
      <c r="AC1360" s="107">
        <v>0.0</v>
      </c>
      <c r="AD1360" s="107">
        <v>0.0</v>
      </c>
      <c r="AE1360" s="80">
        <f t="shared" si="2"/>
        <v>0</v>
      </c>
      <c r="AF1360" s="140">
        <v>59.0</v>
      </c>
      <c r="AG1360" s="109">
        <v>0.0</v>
      </c>
      <c r="AH1360" s="109">
        <v>0.0</v>
      </c>
      <c r="AI1360" s="141">
        <v>0.0</v>
      </c>
      <c r="AJ1360" s="80">
        <f t="shared" si="3"/>
        <v>59</v>
      </c>
      <c r="AK1360" s="140">
        <v>0.0</v>
      </c>
      <c r="AL1360" s="109">
        <v>0.0</v>
      </c>
      <c r="AM1360" s="141">
        <v>0.0</v>
      </c>
      <c r="AN1360" s="80">
        <f t="shared" si="4"/>
        <v>0</v>
      </c>
      <c r="AO1360" s="140">
        <v>0.0</v>
      </c>
      <c r="AP1360" s="109">
        <v>0.0</v>
      </c>
      <c r="AQ1360" s="109">
        <v>16.0</v>
      </c>
      <c r="AR1360" s="80">
        <f t="shared" si="5"/>
        <v>16</v>
      </c>
      <c r="AS1360" s="110">
        <v>0.0</v>
      </c>
      <c r="AT1360" s="110">
        <v>0.0</v>
      </c>
      <c r="AU1360" s="110">
        <v>0.0</v>
      </c>
      <c r="AV1360" s="142">
        <v>0.0</v>
      </c>
      <c r="AW1360" s="80">
        <f t="shared" si="6"/>
        <v>0</v>
      </c>
      <c r="AX1360" s="113">
        <f t="shared" si="7"/>
        <v>75</v>
      </c>
      <c r="AY1360" s="117">
        <f t="shared" si="8"/>
        <v>59</v>
      </c>
      <c r="AZ1360" s="120">
        <f t="shared" si="9"/>
        <v>16</v>
      </c>
      <c r="BA1360" s="115">
        <v>0.0</v>
      </c>
      <c r="BB1360" s="89">
        <f t="shared" si="10"/>
        <v>75</v>
      </c>
      <c r="BC1360" s="132" t="s">
        <v>178</v>
      </c>
      <c r="BD1360" s="132" t="s">
        <v>178</v>
      </c>
      <c r="BE1360" s="132" t="s">
        <v>178</v>
      </c>
      <c r="BF1360" s="123"/>
      <c r="BG1360" s="98">
        <v>1179764.0</v>
      </c>
      <c r="BH1360" s="128"/>
      <c r="BI1360" s="98">
        <v>0.0</v>
      </c>
      <c r="BJ1360" s="98" t="s">
        <v>155</v>
      </c>
      <c r="BK1360" s="99">
        <f t="shared" si="11"/>
        <v>0</v>
      </c>
      <c r="BL1360" s="99">
        <f t="shared" si="12"/>
        <v>59</v>
      </c>
      <c r="BM1360" s="99" t="str">
        <f>IFERROR(__xludf.DUMMYFUNCTION("IFERROR(VLOOKUP(BG1360,IMPORTRANGE(""https://docs.google.com/spreadsheets/d/1juPI-Fb8LD0YtltB2mlGEnp_R3UVu1t3wSFPzgCyHXE/edit?gid=0#gid=0"",""GERAL!A2:C""),3,0),""-"")"),"-")</f>
        <v>-</v>
      </c>
    </row>
    <row r="1361" ht="15.75" customHeight="1">
      <c r="A1361" s="111" t="s">
        <v>1707</v>
      </c>
      <c r="B1361" s="83" t="s">
        <v>7670</v>
      </c>
      <c r="C1361" s="83" t="s">
        <v>45</v>
      </c>
      <c r="D1361" s="112">
        <v>1172397.0</v>
      </c>
      <c r="E1361" s="83"/>
      <c r="F1361" s="83">
        <v>2.9522803E7</v>
      </c>
      <c r="G1361" s="114" t="s">
        <v>7671</v>
      </c>
      <c r="H1361" s="91" t="s">
        <v>7672</v>
      </c>
      <c r="I1361" s="83" t="s">
        <v>7673</v>
      </c>
      <c r="J1361" s="115" t="s">
        <v>1321</v>
      </c>
      <c r="K1361" s="83" t="s">
        <v>171</v>
      </c>
      <c r="L1361" s="83" t="s">
        <v>76</v>
      </c>
      <c r="M1361" s="82" t="str">
        <f>IFERROR(__xludf.DUMMYFUNCTION("IFERROR(VLOOKUP(D1361,
IMPORTRANGE(""https://docs.google.com/spreadsheets/d/1MjHtlUikwobi2MaWJgy7tfLeBmhj1u-dRFRs_8GwSoA/edit#gid=0"",""Gestores Escolares!D7:J""),3,0),""VERIFICAR CÓD SEC"")"),"ODAIR MORAIS CARDOSO")</f>
        <v>ODAIR MORAIS CARDOSO</v>
      </c>
      <c r="N1361" s="82" t="str">
        <f>IFERROR(__xludf.DUMMYFUNCTION("IFERROR(VLOOKUP(D1361,
IMPORTRANGE(""https://docs.google.com/spreadsheets/d/1MjHtlUikwobi2MaWJgy7tfLeBmhj1u-dRFRs_8GwSoA/edit#gid=0"",""Gestores Escolares!D7:J""),4,0),""VERIFICAR CÓD SEC"")"),"(74) 9 9111-7411 (INSTITUCIONAL)
(74) 9 9137-1395 (PESSOAL)")</f>
        <v>(74) 9 9111-7411 (INSTITUCIONAL)
(74) 9 9137-1395 (PESSOAL)</v>
      </c>
      <c r="O1361" s="82" t="str">
        <f>IFERROR(__xludf.DUMMYFUNCTION("IFERROR(VLOOKUP(D1361,
IMPORTRANGE(""https://docs.google.com/spreadsheets/d/1MjHtlUikwobi2MaWJgy7tfLeBmhj1u-dRFRs_8GwSoA/edit#gid=0"",""Gestores Escolares!D7:J""),6,0),""VERIFICAR CÓD SEC"")"),"")</f>
        <v/>
      </c>
      <c r="P1361" s="82" t="str">
        <f>IFERROR(__xludf.DUMMYFUNCTION("IFERROR(VLOOKUP(D1361,
IMPORTRANGE(""https://docs.google.com/spreadsheets/d/1MjHtlUikwobi2MaWJgy7tfLeBmhj1u-dRFRs_8GwSoA/edit#gid=0"",""Gestores Escolares!D7:J""),7,0),""VERIFICAR CÓD SEC"")"),"")</f>
        <v/>
      </c>
      <c r="Q1361" s="82" t="str">
        <f>IFERROR(__xludf.DUMMYFUNCTION("IFERROR(VLOOKUP(D1361,
IMPORTRANGE(""https://docs.google.com/spreadsheets/d/1MjHtlUikwobi2MaWJgy7tfLeBmhj1u-dRFRs_8GwSoA/edit#gid=0"",""Gestores Escolares!D7:m""),9,0),""VERIFICAR CÓD SEC"")"),"")</f>
        <v/>
      </c>
      <c r="R1361" s="82" t="str">
        <f>IFERROR(__xludf.DUMMYFUNCTION("IFERROR(VLOOKUP(D1361,
IMPORTRANGE(""https://docs.google.com/spreadsheets/d/1MjHtlUikwobi2MaWJgy7tfLeBmhj1u-dRFRs_8GwSoA/edit#gid=0"",""Gestores Escolares!D7:m""),10,0),""VERIFICAR CÓD SEC"")"),"")</f>
        <v/>
      </c>
      <c r="S1361" s="82"/>
      <c r="T1361" s="138">
        <v>8.0</v>
      </c>
      <c r="U1361" s="145">
        <v>8.0</v>
      </c>
      <c r="V1361" s="106">
        <v>0.0</v>
      </c>
      <c r="W1361" s="107">
        <v>0.0</v>
      </c>
      <c r="X1361" s="107">
        <v>0.0</v>
      </c>
      <c r="Y1361" s="107">
        <v>0.0</v>
      </c>
      <c r="Z1361" s="80">
        <f t="shared" si="1"/>
        <v>0</v>
      </c>
      <c r="AA1361" s="106">
        <v>0.0</v>
      </c>
      <c r="AB1361" s="107">
        <v>0.0</v>
      </c>
      <c r="AC1361" s="107">
        <v>0.0</v>
      </c>
      <c r="AD1361" s="107">
        <v>74.0</v>
      </c>
      <c r="AE1361" s="80">
        <f t="shared" si="2"/>
        <v>74</v>
      </c>
      <c r="AF1361" s="225">
        <v>0.0</v>
      </c>
      <c r="AG1361" s="226">
        <v>0.0</v>
      </c>
      <c r="AH1361" s="226">
        <v>0.0</v>
      </c>
      <c r="AI1361" s="227">
        <v>44.0</v>
      </c>
      <c r="AJ1361" s="80">
        <f t="shared" si="3"/>
        <v>44</v>
      </c>
      <c r="AK1361" s="140">
        <v>0.0</v>
      </c>
      <c r="AL1361" s="109">
        <v>0.0</v>
      </c>
      <c r="AM1361" s="141">
        <v>0.0</v>
      </c>
      <c r="AN1361" s="80">
        <f t="shared" si="4"/>
        <v>0</v>
      </c>
      <c r="AO1361" s="225">
        <v>0.0</v>
      </c>
      <c r="AP1361" s="226">
        <v>0.0</v>
      </c>
      <c r="AQ1361" s="226">
        <v>0.0</v>
      </c>
      <c r="AR1361" s="80">
        <f t="shared" si="5"/>
        <v>0</v>
      </c>
      <c r="AS1361" s="110">
        <v>0.0</v>
      </c>
      <c r="AT1361" s="110">
        <v>0.0</v>
      </c>
      <c r="AU1361" s="110">
        <v>0.0</v>
      </c>
      <c r="AV1361" s="142">
        <v>0.0</v>
      </c>
      <c r="AW1361" s="80">
        <f t="shared" si="6"/>
        <v>0</v>
      </c>
      <c r="AX1361" s="113">
        <f t="shared" si="7"/>
        <v>118</v>
      </c>
      <c r="AY1361" s="117">
        <f t="shared" si="8"/>
        <v>118</v>
      </c>
      <c r="AZ1361" s="120">
        <f t="shared" si="9"/>
        <v>0</v>
      </c>
      <c r="BA1361" s="115">
        <v>0.0</v>
      </c>
      <c r="BB1361" s="89">
        <f t="shared" si="10"/>
        <v>118</v>
      </c>
      <c r="BC1361" s="132" t="s">
        <v>178</v>
      </c>
      <c r="BD1361" s="132" t="s">
        <v>178</v>
      </c>
      <c r="BE1361" s="132" t="s">
        <v>178</v>
      </c>
      <c r="BF1361" s="156"/>
      <c r="BG1361" s="83">
        <v>1172397.0</v>
      </c>
      <c r="BH1361" s="632"/>
      <c r="BI1361" s="98" t="s">
        <v>171</v>
      </c>
      <c r="BJ1361" s="98" t="s">
        <v>155</v>
      </c>
      <c r="BK1361" s="99">
        <f t="shared" si="11"/>
        <v>118</v>
      </c>
      <c r="BL1361" s="99">
        <f t="shared" si="12"/>
        <v>0</v>
      </c>
      <c r="BM1361" s="99" t="str">
        <f>IFERROR(__xludf.DUMMYFUNCTION("IFERROR(VLOOKUP(BG1361,IMPORTRANGE(""https://docs.google.com/spreadsheets/d/1juPI-Fb8LD0YtltB2mlGEnp_R3UVu1t3wSFPzgCyHXE/edit?gid=0#gid=0"",""GERAL!A2:C""),3,0),""-"")"),"EFA")</f>
        <v>EFA</v>
      </c>
    </row>
    <row r="1362" ht="15.75" customHeight="1">
      <c r="A1362" s="111" t="s">
        <v>1707</v>
      </c>
      <c r="B1362" s="83" t="s">
        <v>7670</v>
      </c>
      <c r="C1362" s="83" t="s">
        <v>68</v>
      </c>
      <c r="D1362" s="112">
        <v>1119577.0</v>
      </c>
      <c r="E1362" s="83"/>
      <c r="F1362" s="83">
        <v>2.9048184E7</v>
      </c>
      <c r="G1362" s="153" t="s">
        <v>7675</v>
      </c>
      <c r="H1362" s="108" t="s">
        <v>7676</v>
      </c>
      <c r="I1362" s="172" t="s">
        <v>149</v>
      </c>
      <c r="J1362" s="136" t="s">
        <v>150</v>
      </c>
      <c r="K1362" s="83" t="s">
        <v>151</v>
      </c>
      <c r="L1362" s="83" t="s">
        <v>230</v>
      </c>
      <c r="M1362" s="82" t="str">
        <f>IFERROR(__xludf.DUMMYFUNCTION("IFERROR(VLOOKUP(D1362,
IMPORTRANGE(""https://docs.google.com/spreadsheets/d/1MjHtlUikwobi2MaWJgy7tfLeBmhj1u-dRFRs_8GwSoA/edit#gid=0"",""Gestores Escolares!D7:J""),3,0),""VERIFICAR CÓD SEC"")"),"VIVIANNE LEAL POMBO OLIVEIRA")</f>
        <v>VIVIANNE LEAL POMBO OLIVEIRA</v>
      </c>
      <c r="N1362" s="82" t="str">
        <f>IFERROR(__xludf.DUMMYFUNCTION("IFERROR(VLOOKUP(D1362,
IMPORTRANGE(""https://docs.google.com/spreadsheets/d/1MjHtlUikwobi2MaWJgy7tfLeBmhj1u-dRFRs_8GwSoA/edit#gid=0"",""Gestores Escolares!D7:J""),4,0),""VERIFICAR CÓD SEC"")"),"(74) 9 9106-0043")</f>
        <v>(74) 9 9106-0043</v>
      </c>
      <c r="O1362" s="82" t="str">
        <f>IFERROR(__xludf.DUMMYFUNCTION("IFERROR(VLOOKUP(D1362,
IMPORTRANGE(""https://docs.google.com/spreadsheets/d/1MjHtlUikwobi2MaWJgy7tfLeBmhj1u-dRFRs_8GwSoA/edit#gid=0"",""Gestores Escolares!D7:J""),6,0),""VERIFICAR CÓD SEC"")"),"YARA LIDIANNE NERES DE LIMA")</f>
        <v>YARA LIDIANNE NERES DE LIMA</v>
      </c>
      <c r="P1362" s="82" t="str">
        <f>IFERROR(__xludf.DUMMYFUNCTION("IFERROR(VLOOKUP(D1362,
IMPORTRANGE(""https://docs.google.com/spreadsheets/d/1MjHtlUikwobi2MaWJgy7tfLeBmhj1u-dRFRs_8GwSoA/edit#gid=0"",""Gestores Escolares!D7:J""),7,0),""VERIFICAR CÓD SEC"")"),"(74) 9 9193-3706")</f>
        <v>(74) 9 9193-3706</v>
      </c>
      <c r="Q1362" s="82" t="str">
        <f>IFERROR(__xludf.DUMMYFUNCTION("IFERROR(VLOOKUP(D1362,
IMPORTRANGE(""https://docs.google.com/spreadsheets/d/1MjHtlUikwobi2MaWJgy7tfLeBmhj1u-dRFRs_8GwSoA/edit#gid=0"",""Gestores Escolares!D7:m""),9,0),""VERIFICAR CÓD SEC"")"),"")</f>
        <v/>
      </c>
      <c r="R1362" s="82" t="str">
        <f>IFERROR(__xludf.DUMMYFUNCTION("IFERROR(VLOOKUP(D1362,
IMPORTRANGE(""https://docs.google.com/spreadsheets/d/1MjHtlUikwobi2MaWJgy7tfLeBmhj1u-dRFRs_8GwSoA/edit#gid=0"",""Gestores Escolares!D7:m""),10,0),""VERIFICAR CÓD SEC"")"),"")</f>
        <v/>
      </c>
      <c r="S1362" s="82"/>
      <c r="T1362" s="234">
        <v>12.0</v>
      </c>
      <c r="U1362" s="145">
        <v>12.0</v>
      </c>
      <c r="V1362" s="106">
        <v>0.0</v>
      </c>
      <c r="W1362" s="107">
        <v>0.0</v>
      </c>
      <c r="X1362" s="107">
        <v>0.0</v>
      </c>
      <c r="Y1362" s="107">
        <v>0.0</v>
      </c>
      <c r="Z1362" s="80">
        <f t="shared" si="1"/>
        <v>0</v>
      </c>
      <c r="AA1362" s="106">
        <v>0.0</v>
      </c>
      <c r="AB1362" s="107">
        <v>0.0</v>
      </c>
      <c r="AC1362" s="107">
        <v>0.0</v>
      </c>
      <c r="AD1362" s="107">
        <v>0.0</v>
      </c>
      <c r="AE1362" s="80">
        <f t="shared" si="2"/>
        <v>0</v>
      </c>
      <c r="AF1362" s="140">
        <v>0.0</v>
      </c>
      <c r="AG1362" s="109">
        <v>0.0</v>
      </c>
      <c r="AH1362" s="109">
        <v>0.0</v>
      </c>
      <c r="AI1362" s="141">
        <v>286.0</v>
      </c>
      <c r="AJ1362" s="80">
        <f t="shared" si="3"/>
        <v>286</v>
      </c>
      <c r="AK1362" s="140">
        <v>0.0</v>
      </c>
      <c r="AL1362" s="109">
        <v>0.0</v>
      </c>
      <c r="AM1362" s="141">
        <v>0.0</v>
      </c>
      <c r="AN1362" s="80">
        <f t="shared" si="4"/>
        <v>0</v>
      </c>
      <c r="AO1362" s="140">
        <v>0.0</v>
      </c>
      <c r="AP1362" s="109">
        <v>0.0</v>
      </c>
      <c r="AQ1362" s="109">
        <v>30.0</v>
      </c>
      <c r="AR1362" s="80">
        <f t="shared" si="5"/>
        <v>30</v>
      </c>
      <c r="AS1362" s="110">
        <v>0.0</v>
      </c>
      <c r="AT1362" s="110">
        <v>0.0</v>
      </c>
      <c r="AU1362" s="110">
        <v>23.0</v>
      </c>
      <c r="AV1362" s="142">
        <v>99.0</v>
      </c>
      <c r="AW1362" s="80">
        <f t="shared" si="6"/>
        <v>122</v>
      </c>
      <c r="AX1362" s="113">
        <f t="shared" si="7"/>
        <v>438</v>
      </c>
      <c r="AY1362" s="117">
        <f t="shared" si="8"/>
        <v>385</v>
      </c>
      <c r="AZ1362" s="120">
        <f t="shared" si="9"/>
        <v>53</v>
      </c>
      <c r="BA1362" s="115">
        <v>0.0</v>
      </c>
      <c r="BB1362" s="89">
        <f t="shared" si="10"/>
        <v>438</v>
      </c>
      <c r="BC1362" s="132" t="s">
        <v>178</v>
      </c>
      <c r="BD1362" s="132" t="s">
        <v>178</v>
      </c>
      <c r="BE1362" s="132" t="s">
        <v>178</v>
      </c>
      <c r="BF1362" s="123"/>
      <c r="BG1362" s="83">
        <v>1119577.0</v>
      </c>
      <c r="BH1362" s="137" t="s">
        <v>7677</v>
      </c>
      <c r="BI1362" s="98">
        <v>12.0</v>
      </c>
      <c r="BJ1362" s="98" t="s">
        <v>162</v>
      </c>
      <c r="BK1362" s="99">
        <f t="shared" si="11"/>
        <v>385</v>
      </c>
      <c r="BL1362" s="99">
        <f t="shared" si="12"/>
        <v>0</v>
      </c>
      <c r="BM1362" s="99" t="str">
        <f>IFERROR(__xludf.DUMMYFUNCTION("IFERROR(VLOOKUP(BG1362,IMPORTRANGE(""https://docs.google.com/spreadsheets/d/1juPI-Fb8LD0YtltB2mlGEnp_R3UVu1t3wSFPzgCyHXE/edit?gid=0#gid=0"",""GERAL!A2:C""),3,0),""-"")"),"-")</f>
        <v>-</v>
      </c>
    </row>
    <row r="1363" ht="15.75" customHeight="1">
      <c r="A1363" s="111" t="s">
        <v>1707</v>
      </c>
      <c r="B1363" s="172" t="s">
        <v>7678</v>
      </c>
      <c r="C1363" s="83" t="s">
        <v>68</v>
      </c>
      <c r="D1363" s="195">
        <v>1122020.0</v>
      </c>
      <c r="E1363" s="136"/>
      <c r="F1363" s="136">
        <v>2.9069106E7</v>
      </c>
      <c r="G1363" s="147" t="s">
        <v>7679</v>
      </c>
      <c r="H1363" s="91" t="s">
        <v>7680</v>
      </c>
      <c r="I1363" s="136" t="s">
        <v>149</v>
      </c>
      <c r="J1363" s="83" t="s">
        <v>150</v>
      </c>
      <c r="K1363" s="83" t="s">
        <v>151</v>
      </c>
      <c r="L1363" s="83" t="s">
        <v>152</v>
      </c>
      <c r="M1363" s="82" t="str">
        <f>IFERROR(__xludf.DUMMYFUNCTION("IFERROR(VLOOKUP(D1363,
IMPORTRANGE(""https://docs.google.com/spreadsheets/d/1MjHtlUikwobi2MaWJgy7tfLeBmhj1u-dRFRs_8GwSoA/edit#gid=0"",""Gestores Escolares!D7:J""),3,0),""VERIFICAR CÓD SEC"")"),"WELLITON SANTOS REIS ")</f>
        <v>WELLITON SANTOS REIS </v>
      </c>
      <c r="N1363" s="82" t="str">
        <f>IFERROR(__xludf.DUMMYFUNCTION("IFERROR(VLOOKUP(D1363,
IMPORTRANGE(""https://docs.google.com/spreadsheets/d/1MjHtlUikwobi2MaWJgy7tfLeBmhj1u-dRFRs_8GwSoA/edit#gid=0"",""Gestores Escolares!D7:J""),4,0),""VERIFICAR CÓD SEC"")"),"(74) 9 8101-1049")</f>
        <v>(74) 9 8101-1049</v>
      </c>
      <c r="O1363" s="82" t="str">
        <f>IFERROR(__xludf.DUMMYFUNCTION("IFERROR(VLOOKUP(D1363,
IMPORTRANGE(""https://docs.google.com/spreadsheets/d/1MjHtlUikwobi2MaWJgy7tfLeBmhj1u-dRFRs_8GwSoA/edit#gid=0"",""Gestores Escolares!D7:J""),6,0),""VERIFICAR CÓD SEC"")"),"MARCOS VINICIUS ARAUJO DA SILVA")</f>
        <v>MARCOS VINICIUS ARAUJO DA SILVA</v>
      </c>
      <c r="P1363" s="82" t="str">
        <f>IFERROR(__xludf.DUMMYFUNCTION("IFERROR(VLOOKUP(D1363,
IMPORTRANGE(""https://docs.google.com/spreadsheets/d/1MjHtlUikwobi2MaWJgy7tfLeBmhj1u-dRFRs_8GwSoA/edit#gid=0"",""Gestores Escolares!D7:J""),7,0),""VERIFICAR CÓD SEC"")"),"(74) 9 9961-3977")</f>
        <v>(74) 9 9961-3977</v>
      </c>
      <c r="Q1363" s="82" t="str">
        <f>IFERROR(__xludf.DUMMYFUNCTION("IFERROR(VLOOKUP(D1363,
IMPORTRANGE(""https://docs.google.com/spreadsheets/d/1MjHtlUikwobi2MaWJgy7tfLeBmhj1u-dRFRs_8GwSoA/edit#gid=0"",""Gestores Escolares!D7:m""),9,0),""VERIFICAR CÓD SEC"")"),"NANCY SANTOS GONCALVES")</f>
        <v>NANCY SANTOS GONCALVES</v>
      </c>
      <c r="R1363" s="82" t="str">
        <f>IFERROR(__xludf.DUMMYFUNCTION("IFERROR(VLOOKUP(D1363,
IMPORTRANGE(""https://docs.google.com/spreadsheets/d/1MjHtlUikwobi2MaWJgy7tfLeBmhj1u-dRFRs_8GwSoA/edit#gid=0"",""Gestores Escolares!D7:m""),10,0),""VERIFICAR CÓD SEC"")"),"(74) 9 8126-7115")</f>
        <v>(74) 9 8126-7115</v>
      </c>
      <c r="S1363" s="82"/>
      <c r="T1363" s="138">
        <v>11.0</v>
      </c>
      <c r="U1363" s="152">
        <v>7.0</v>
      </c>
      <c r="V1363" s="106">
        <v>0.0</v>
      </c>
      <c r="W1363" s="107">
        <v>0.0</v>
      </c>
      <c r="X1363" s="107">
        <v>0.0</v>
      </c>
      <c r="Y1363" s="107">
        <v>0.0</v>
      </c>
      <c r="Z1363" s="80">
        <f t="shared" si="1"/>
        <v>0</v>
      </c>
      <c r="AA1363" s="106">
        <v>0.0</v>
      </c>
      <c r="AB1363" s="107">
        <v>0.0</v>
      </c>
      <c r="AC1363" s="107">
        <v>0.0</v>
      </c>
      <c r="AD1363" s="107">
        <v>0.0</v>
      </c>
      <c r="AE1363" s="80">
        <f t="shared" si="2"/>
        <v>0</v>
      </c>
      <c r="AF1363" s="140">
        <v>249.0</v>
      </c>
      <c r="AG1363" s="109">
        <v>116.0</v>
      </c>
      <c r="AH1363" s="109">
        <v>0.0</v>
      </c>
      <c r="AI1363" s="141">
        <v>72.0</v>
      </c>
      <c r="AJ1363" s="80">
        <f t="shared" si="3"/>
        <v>437</v>
      </c>
      <c r="AK1363" s="140">
        <v>0.0</v>
      </c>
      <c r="AL1363" s="109">
        <v>0.0</v>
      </c>
      <c r="AM1363" s="141">
        <v>0.0</v>
      </c>
      <c r="AN1363" s="80">
        <f t="shared" si="4"/>
        <v>0</v>
      </c>
      <c r="AO1363" s="140">
        <v>0.0</v>
      </c>
      <c r="AP1363" s="109">
        <v>0.0</v>
      </c>
      <c r="AQ1363" s="109">
        <v>68.0</v>
      </c>
      <c r="AR1363" s="80">
        <f t="shared" si="5"/>
        <v>68</v>
      </c>
      <c r="AS1363" s="110">
        <v>0.0</v>
      </c>
      <c r="AT1363" s="110">
        <v>103.0</v>
      </c>
      <c r="AU1363" s="110">
        <v>0.0</v>
      </c>
      <c r="AV1363" s="142">
        <v>0.0</v>
      </c>
      <c r="AW1363" s="80">
        <f t="shared" si="6"/>
        <v>103</v>
      </c>
      <c r="AX1363" s="113">
        <f t="shared" si="7"/>
        <v>608</v>
      </c>
      <c r="AY1363" s="117">
        <f t="shared" si="8"/>
        <v>540</v>
      </c>
      <c r="AZ1363" s="120">
        <f t="shared" si="9"/>
        <v>68</v>
      </c>
      <c r="BA1363" s="115">
        <v>0.0</v>
      </c>
      <c r="BB1363" s="89">
        <f t="shared" si="10"/>
        <v>608</v>
      </c>
      <c r="BC1363" s="132" t="s">
        <v>178</v>
      </c>
      <c r="BD1363" s="132" t="s">
        <v>178</v>
      </c>
      <c r="BE1363" s="132" t="s">
        <v>178</v>
      </c>
      <c r="BF1363" s="123"/>
      <c r="BG1363" s="136">
        <v>1122020.0</v>
      </c>
      <c r="BH1363" s="112"/>
      <c r="BI1363" s="112">
        <v>7.0</v>
      </c>
      <c r="BJ1363" s="98" t="s">
        <v>155</v>
      </c>
      <c r="BK1363" s="99">
        <f t="shared" si="11"/>
        <v>72</v>
      </c>
      <c r="BL1363" s="99">
        <f t="shared" si="12"/>
        <v>468</v>
      </c>
      <c r="BM1363" s="99" t="str">
        <f>IFERROR(__xludf.DUMMYFUNCTION("IFERROR(VLOOKUP(BG1363,IMPORTRANGE(""https://docs.google.com/spreadsheets/d/1juPI-Fb8LD0YtltB2mlGEnp_R3UVu1t3wSFPzgCyHXE/edit?gid=0#gid=0"",""GERAL!A2:C""),3,0),""-"")"),"-")</f>
        <v>-</v>
      </c>
    </row>
    <row r="1364" ht="15.75" customHeight="1">
      <c r="A1364" s="111" t="s">
        <v>1707</v>
      </c>
      <c r="B1364" s="83" t="s">
        <v>7682</v>
      </c>
      <c r="C1364" s="83" t="s">
        <v>68</v>
      </c>
      <c r="D1364" s="112">
        <v>1179606.0</v>
      </c>
      <c r="E1364" s="83"/>
      <c r="F1364" s="83">
        <v>2.9470579E7</v>
      </c>
      <c r="G1364" s="220" t="s">
        <v>7683</v>
      </c>
      <c r="H1364" s="91" t="s">
        <v>7684</v>
      </c>
      <c r="I1364" s="136" t="s">
        <v>7685</v>
      </c>
      <c r="J1364" s="83" t="s">
        <v>1806</v>
      </c>
      <c r="K1364" s="83" t="s">
        <v>151</v>
      </c>
      <c r="L1364" s="83" t="s">
        <v>152</v>
      </c>
      <c r="M1364" s="82" t="str">
        <f>IFERROR(__xludf.DUMMYFUNCTION("IFERROR(VLOOKUP(D1364,
IMPORTRANGE(""https://docs.google.com/spreadsheets/d/1MjHtlUikwobi2MaWJgy7tfLeBmhj1u-dRFRs_8GwSoA/edit#gid=0"",""Gestores Escolares!D7:J""),3,0),""VERIFICAR CÓD SEC"")"),"IRIS LUAN DE OLIVEIRA MATOS")</f>
        <v>IRIS LUAN DE OLIVEIRA MATOS</v>
      </c>
      <c r="N1364" s="82" t="str">
        <f>IFERROR(__xludf.DUMMYFUNCTION("IFERROR(VLOOKUP(D1364,
IMPORTRANGE(""https://docs.google.com/spreadsheets/d/1MjHtlUikwobi2MaWJgy7tfLeBmhj1u-dRFRs_8GwSoA/edit#gid=0"",""Gestores Escolares!D7:J""),4,0),""VERIFICAR CÓD SEC"")"),"(74) 9 9880-7335/9 9116-0894")</f>
        <v>(74) 9 9880-7335/9 9116-0894</v>
      </c>
      <c r="O1364" s="82" t="str">
        <f>IFERROR(__xludf.DUMMYFUNCTION("IFERROR(VLOOKUP(D1364,
IMPORTRANGE(""https://docs.google.com/spreadsheets/d/1MjHtlUikwobi2MaWJgy7tfLeBmhj1u-dRFRs_8GwSoA/edit#gid=0"",""Gestores Escolares!D7:J""),6,0),""VERIFICAR CÓD SEC"")"),"EDINOELSON DA SILVA OLIVEIRA")</f>
        <v>EDINOELSON DA SILVA OLIVEIRA</v>
      </c>
      <c r="P1364" s="82" t="str">
        <f>IFERROR(__xludf.DUMMYFUNCTION("IFERROR(VLOOKUP(D1364,
IMPORTRANGE(""https://docs.google.com/spreadsheets/d/1MjHtlUikwobi2MaWJgy7tfLeBmhj1u-dRFRs_8GwSoA/edit#gid=0"",""Gestores Escolares!D7:J""),7,0),""VERIFICAR CÓD SEC"")"),"(74) 9 9124-8630")</f>
        <v>(74) 9 9124-8630</v>
      </c>
      <c r="Q1364" s="82" t="str">
        <f>IFERROR(__xludf.DUMMYFUNCTION("IFERROR(VLOOKUP(D1364,
IMPORTRANGE(""https://docs.google.com/spreadsheets/d/1MjHtlUikwobi2MaWJgy7tfLeBmhj1u-dRFRs_8GwSoA/edit#gid=0"",""Gestores Escolares!D7:m""),9,0),""VERIFICAR CÓD SEC"")"),"JUCILENE PINTO DA SILVA")</f>
        <v>JUCILENE PINTO DA SILVA</v>
      </c>
      <c r="R1364" s="82" t="str">
        <f>IFERROR(__xludf.DUMMYFUNCTION("IFERROR(VLOOKUP(D1364,
IMPORTRANGE(""https://docs.google.com/spreadsheets/d/1MjHtlUikwobi2MaWJgy7tfLeBmhj1u-dRFRs_8GwSoA/edit#gid=0"",""Gestores Escolares!D7:m""),10,0),""VERIFICAR CÓD SEC"")"),"(74) 9 9115-2343")</f>
        <v>(74) 9 9115-2343</v>
      </c>
      <c r="S1364" s="82"/>
      <c r="T1364" s="138">
        <v>9.0</v>
      </c>
      <c r="U1364" s="217" t="s">
        <v>13896</v>
      </c>
      <c r="V1364" s="106">
        <v>0.0</v>
      </c>
      <c r="W1364" s="107">
        <v>0.0</v>
      </c>
      <c r="X1364" s="107">
        <v>0.0</v>
      </c>
      <c r="Y1364" s="107">
        <v>0.0</v>
      </c>
      <c r="Z1364" s="80">
        <f t="shared" si="1"/>
        <v>0</v>
      </c>
      <c r="AA1364" s="106">
        <v>0.0</v>
      </c>
      <c r="AB1364" s="107">
        <v>0.0</v>
      </c>
      <c r="AC1364" s="107">
        <v>0.0</v>
      </c>
      <c r="AD1364" s="107">
        <v>0.0</v>
      </c>
      <c r="AE1364" s="80">
        <f t="shared" si="2"/>
        <v>0</v>
      </c>
      <c r="AF1364" s="140">
        <v>223.0</v>
      </c>
      <c r="AG1364" s="109">
        <v>156.0</v>
      </c>
      <c r="AH1364" s="109">
        <v>0.0</v>
      </c>
      <c r="AI1364" s="141">
        <v>0.0</v>
      </c>
      <c r="AJ1364" s="80">
        <f t="shared" si="3"/>
        <v>379</v>
      </c>
      <c r="AK1364" s="140">
        <v>0.0</v>
      </c>
      <c r="AL1364" s="109">
        <v>0.0</v>
      </c>
      <c r="AM1364" s="141">
        <v>0.0</v>
      </c>
      <c r="AN1364" s="80">
        <f t="shared" si="4"/>
        <v>0</v>
      </c>
      <c r="AO1364" s="140">
        <v>0.0</v>
      </c>
      <c r="AP1364" s="109">
        <v>0.0</v>
      </c>
      <c r="AQ1364" s="109">
        <v>69.0</v>
      </c>
      <c r="AR1364" s="80">
        <f t="shared" si="5"/>
        <v>69</v>
      </c>
      <c r="AS1364" s="110">
        <v>0.0</v>
      </c>
      <c r="AT1364" s="110">
        <v>0.0</v>
      </c>
      <c r="AU1364" s="110">
        <v>0.0</v>
      </c>
      <c r="AV1364" s="142">
        <v>60.0</v>
      </c>
      <c r="AW1364" s="80">
        <f t="shared" si="6"/>
        <v>60</v>
      </c>
      <c r="AX1364" s="113">
        <f t="shared" si="7"/>
        <v>508</v>
      </c>
      <c r="AY1364" s="117">
        <f t="shared" si="8"/>
        <v>439</v>
      </c>
      <c r="AZ1364" s="120">
        <f t="shared" si="9"/>
        <v>69</v>
      </c>
      <c r="BA1364" s="115">
        <v>0.0</v>
      </c>
      <c r="BB1364" s="89">
        <f t="shared" si="10"/>
        <v>508</v>
      </c>
      <c r="BC1364" s="132" t="s">
        <v>265</v>
      </c>
      <c r="BD1364" s="132" t="s">
        <v>178</v>
      </c>
      <c r="BE1364" s="132" t="s">
        <v>178</v>
      </c>
      <c r="BF1364" s="156"/>
      <c r="BG1364" s="83">
        <v>1179606.0</v>
      </c>
      <c r="BH1364" s="98"/>
      <c r="BI1364" s="98">
        <v>9.0</v>
      </c>
      <c r="BJ1364" s="98" t="s">
        <v>162</v>
      </c>
      <c r="BK1364" s="99">
        <f t="shared" si="11"/>
        <v>60</v>
      </c>
      <c r="BL1364" s="99">
        <f t="shared" si="12"/>
        <v>379</v>
      </c>
      <c r="BM1364" s="99" t="str">
        <f>IFERROR(__xludf.DUMMYFUNCTION("IFERROR(VLOOKUP(BG1364,IMPORTRANGE(""https://docs.google.com/spreadsheets/d/1juPI-Fb8LD0YtltB2mlGEnp_R3UVu1t3wSFPzgCyHXE/edit?gid=0#gid=0"",""GERAL!A2:C""),3,0),""-"")"),"QUILOMBOLAS")</f>
        <v>QUILOMBOLAS</v>
      </c>
    </row>
    <row r="1365" ht="15.75" customHeight="1">
      <c r="A1365" s="111" t="s">
        <v>1707</v>
      </c>
      <c r="B1365" s="83" t="s">
        <v>7682</v>
      </c>
      <c r="C1365" s="83" t="s">
        <v>68</v>
      </c>
      <c r="D1365" s="112">
        <v>1179314.0</v>
      </c>
      <c r="E1365" s="83"/>
      <c r="F1365" s="83">
        <v>2.946151E7</v>
      </c>
      <c r="G1365" s="119" t="s">
        <v>7688</v>
      </c>
      <c r="H1365" s="91" t="s">
        <v>7689</v>
      </c>
      <c r="I1365" s="83" t="s">
        <v>7690</v>
      </c>
      <c r="J1365" s="83" t="s">
        <v>774</v>
      </c>
      <c r="K1365" s="83" t="s">
        <v>151</v>
      </c>
      <c r="L1365" s="83" t="s">
        <v>169</v>
      </c>
      <c r="M1365" s="82" t="str">
        <f>IFERROR(__xludf.DUMMYFUNCTION("IFERROR(VLOOKUP(D1365,
IMPORTRANGE(""https://docs.google.com/spreadsheets/d/1MjHtlUikwobi2MaWJgy7tfLeBmhj1u-dRFRs_8GwSoA/edit#gid=0"",""Gestores Escolares!D7:J""),3,0),""VERIFICAR CÓD SEC"")"),"CARINA CRUZ NASCIMENTO")</f>
        <v>CARINA CRUZ NASCIMENTO</v>
      </c>
      <c r="N1365" s="82" t="str">
        <f>IFERROR(__xludf.DUMMYFUNCTION("IFERROR(VLOOKUP(D1365,
IMPORTRANGE(""https://docs.google.com/spreadsheets/d/1MjHtlUikwobi2MaWJgy7tfLeBmhj1u-dRFRs_8GwSoA/edit#gid=0"",""Gestores Escolares!D7:J""),4,0),""VERIFICAR CÓD SEC"")"),"(74) 9 9135-2032")</f>
        <v>(74) 9 9135-2032</v>
      </c>
      <c r="O1365" s="82" t="str">
        <f>IFERROR(__xludf.DUMMYFUNCTION("IFERROR(VLOOKUP(D1365,
IMPORTRANGE(""https://docs.google.com/spreadsheets/d/1MjHtlUikwobi2MaWJgy7tfLeBmhj1u-dRFRs_8GwSoA/edit#gid=0"",""Gestores Escolares!D7:J""),6,0),""VERIFICAR CÓD SEC"")"),"MARIA JAENE DA SILVA ALVES")</f>
        <v>MARIA JAENE DA SILVA ALVES</v>
      </c>
      <c r="P1365" s="82" t="str">
        <f>IFERROR(__xludf.DUMMYFUNCTION("IFERROR(VLOOKUP(D1365,
IMPORTRANGE(""https://docs.google.com/spreadsheets/d/1MjHtlUikwobi2MaWJgy7tfLeBmhj1u-dRFRs_8GwSoA/edit#gid=0"",""Gestores Escolares!D7:J""),7,0),""VERIFICAR CÓD SEC"")"),"(74) 9 9123-1022")</f>
        <v>(74) 9 9123-1022</v>
      </c>
      <c r="Q1365" s="82" t="str">
        <f>IFERROR(__xludf.DUMMYFUNCTION("IFERROR(VLOOKUP(D1365,
IMPORTRANGE(""https://docs.google.com/spreadsheets/d/1MjHtlUikwobi2MaWJgy7tfLeBmhj1u-dRFRs_8GwSoA/edit#gid=0"",""Gestores Escolares!D7:m""),9,0),""VERIFICAR CÓD SEC"")"),"")</f>
        <v/>
      </c>
      <c r="R1365" s="82" t="str">
        <f>IFERROR(__xludf.DUMMYFUNCTION("IFERROR(VLOOKUP(D1365,
IMPORTRANGE(""https://docs.google.com/spreadsheets/d/1MjHtlUikwobi2MaWJgy7tfLeBmhj1u-dRFRs_8GwSoA/edit#gid=0"",""Gestores Escolares!D7:m""),10,0),""VERIFICAR CÓD SEC"")"),"")</f>
        <v/>
      </c>
      <c r="S1365" s="82"/>
      <c r="T1365" s="138">
        <v>4.0</v>
      </c>
      <c r="U1365" s="217">
        <v>4.0</v>
      </c>
      <c r="V1365" s="106">
        <v>0.0</v>
      </c>
      <c r="W1365" s="107">
        <v>0.0</v>
      </c>
      <c r="X1365" s="107">
        <v>0.0</v>
      </c>
      <c r="Y1365" s="107">
        <v>0.0</v>
      </c>
      <c r="Z1365" s="80">
        <f t="shared" si="1"/>
        <v>0</v>
      </c>
      <c r="AA1365" s="106">
        <v>0.0</v>
      </c>
      <c r="AB1365" s="107">
        <v>0.0</v>
      </c>
      <c r="AC1365" s="107">
        <v>0.0</v>
      </c>
      <c r="AD1365" s="107">
        <v>0.0</v>
      </c>
      <c r="AE1365" s="80">
        <f t="shared" si="2"/>
        <v>0</v>
      </c>
      <c r="AF1365" s="140">
        <v>0.0</v>
      </c>
      <c r="AG1365" s="109">
        <v>0.0</v>
      </c>
      <c r="AH1365" s="109">
        <v>0.0</v>
      </c>
      <c r="AI1365" s="141">
        <v>103.0</v>
      </c>
      <c r="AJ1365" s="80">
        <f t="shared" si="3"/>
        <v>103</v>
      </c>
      <c r="AK1365" s="140">
        <v>0.0</v>
      </c>
      <c r="AL1365" s="109">
        <v>0.0</v>
      </c>
      <c r="AM1365" s="141">
        <v>0.0</v>
      </c>
      <c r="AN1365" s="80">
        <f t="shared" si="4"/>
        <v>0</v>
      </c>
      <c r="AO1365" s="140">
        <v>0.0</v>
      </c>
      <c r="AP1365" s="109">
        <v>0.0</v>
      </c>
      <c r="AQ1365" s="109">
        <v>50.0</v>
      </c>
      <c r="AR1365" s="80">
        <f t="shared" si="5"/>
        <v>50</v>
      </c>
      <c r="AS1365" s="110">
        <v>0.0</v>
      </c>
      <c r="AT1365" s="110">
        <v>0.0</v>
      </c>
      <c r="AU1365" s="110">
        <v>0.0</v>
      </c>
      <c r="AV1365" s="142">
        <v>0.0</v>
      </c>
      <c r="AW1365" s="80">
        <f t="shared" si="6"/>
        <v>0</v>
      </c>
      <c r="AX1365" s="113">
        <f t="shared" si="7"/>
        <v>153</v>
      </c>
      <c r="AY1365" s="117">
        <f t="shared" si="8"/>
        <v>103</v>
      </c>
      <c r="AZ1365" s="120">
        <f t="shared" si="9"/>
        <v>50</v>
      </c>
      <c r="BA1365" s="115">
        <v>0.0</v>
      </c>
      <c r="BB1365" s="89">
        <f t="shared" si="10"/>
        <v>153</v>
      </c>
      <c r="BC1365" s="132" t="s">
        <v>265</v>
      </c>
      <c r="BD1365" s="132" t="s">
        <v>178</v>
      </c>
      <c r="BE1365" s="132" t="s">
        <v>178</v>
      </c>
      <c r="BF1365" s="156"/>
      <c r="BG1365" s="83">
        <v>1179314.0</v>
      </c>
      <c r="BH1365" s="112"/>
      <c r="BI1365" s="112">
        <v>4.0</v>
      </c>
      <c r="BJ1365" s="98" t="s">
        <v>155</v>
      </c>
      <c r="BK1365" s="99">
        <f t="shared" si="11"/>
        <v>103</v>
      </c>
      <c r="BL1365" s="99">
        <f t="shared" si="12"/>
        <v>0</v>
      </c>
      <c r="BM1365" s="99" t="str">
        <f>IFERROR(__xludf.DUMMYFUNCTION("IFERROR(VLOOKUP(BG1365,IMPORTRANGE(""https://docs.google.com/spreadsheets/d/1juPI-Fb8LD0YtltB2mlGEnp_R3UVu1t3wSFPzgCyHXE/edit?gid=0#gid=0"",""GERAL!A2:C""),3,0),""-"")"),"QUILOMBOLAS")</f>
        <v>QUILOMBOLAS</v>
      </c>
    </row>
    <row r="1366" ht="15.75" customHeight="1">
      <c r="A1366" s="111" t="s">
        <v>1707</v>
      </c>
      <c r="B1366" s="83" t="s">
        <v>7682</v>
      </c>
      <c r="C1366" s="83" t="s">
        <v>68</v>
      </c>
      <c r="D1366" s="112">
        <v>1119828.0</v>
      </c>
      <c r="E1366" s="83"/>
      <c r="F1366" s="83">
        <v>2.9050057E7</v>
      </c>
      <c r="G1366" s="119" t="s">
        <v>7692</v>
      </c>
      <c r="H1366" s="91" t="s">
        <v>7693</v>
      </c>
      <c r="I1366" s="136" t="s">
        <v>149</v>
      </c>
      <c r="J1366" s="83" t="s">
        <v>150</v>
      </c>
      <c r="K1366" s="83" t="s">
        <v>151</v>
      </c>
      <c r="L1366" s="83" t="s">
        <v>230</v>
      </c>
      <c r="M1366" s="82" t="str">
        <f>IFERROR(__xludf.DUMMYFUNCTION("IFERROR(VLOOKUP(D1366,
IMPORTRANGE(""https://docs.google.com/spreadsheets/d/1MjHtlUikwobi2MaWJgy7tfLeBmhj1u-dRFRs_8GwSoA/edit#gid=0"",""Gestores Escolares!D7:J""),3,0),""VERIFICAR CÓD SEC"")"),"NIERIVANIA CUNHA DE OLIVEIRA SENA")</f>
        <v>NIERIVANIA CUNHA DE OLIVEIRA SENA</v>
      </c>
      <c r="N1366" s="82" t="str">
        <f>IFERROR(__xludf.DUMMYFUNCTION("IFERROR(VLOOKUP(D1366,
IMPORTRANGE(""https://docs.google.com/spreadsheets/d/1MjHtlUikwobi2MaWJgy7tfLeBmhj1u-dRFRs_8GwSoA/edit#gid=0"",""Gestores Escolares!D7:J""),4,0),""VERIFICAR CÓD SEC"")"),"(74) 9 9118-6264")</f>
        <v>(74) 9 9118-6264</v>
      </c>
      <c r="O1366" s="82" t="str">
        <f>IFERROR(__xludf.DUMMYFUNCTION("IFERROR(VLOOKUP(D1366,
IMPORTRANGE(""https://docs.google.com/spreadsheets/d/1MjHtlUikwobi2MaWJgy7tfLeBmhj1u-dRFRs_8GwSoA/edit#gid=0"",""Gestores Escolares!D7:J""),6,0),""VERIFICAR CÓD SEC"")"),"ACACIO CASSEANO DE SOUZA SILVA")</f>
        <v>ACACIO CASSEANO DE SOUZA SILVA</v>
      </c>
      <c r="P1366" s="82" t="str">
        <f>IFERROR(__xludf.DUMMYFUNCTION("IFERROR(VLOOKUP(D1366,
IMPORTRANGE(""https://docs.google.com/spreadsheets/d/1MjHtlUikwobi2MaWJgy7tfLeBmhj1u-dRFRs_8GwSoA/edit#gid=0"",""Gestores Escolares!D7:J""),7,0),""VERIFICAR CÓD SEC"")"),"(74) 9 9110-5602")</f>
        <v>(74) 9 9110-5602</v>
      </c>
      <c r="Q1366" s="82" t="str">
        <f>IFERROR(__xludf.DUMMYFUNCTION("IFERROR(VLOOKUP(D1366,
IMPORTRANGE(""https://docs.google.com/spreadsheets/d/1MjHtlUikwobi2MaWJgy7tfLeBmhj1u-dRFRs_8GwSoA/edit#gid=0"",""Gestores Escolares!D7:m""),9,0),""VERIFICAR CÓD SEC"")"),"LILIA SANDRA GUIMARAES REIS VERAS")</f>
        <v>LILIA SANDRA GUIMARAES REIS VERAS</v>
      </c>
      <c r="R1366" s="82" t="str">
        <f>IFERROR(__xludf.DUMMYFUNCTION("IFERROR(VLOOKUP(D1366,
IMPORTRANGE(""https://docs.google.com/spreadsheets/d/1MjHtlUikwobi2MaWJgy7tfLeBmhj1u-dRFRs_8GwSoA/edit#gid=0"",""Gestores Escolares!D7:m""),10,0),""VERIFICAR CÓD SEC"")"),"")</f>
        <v/>
      </c>
      <c r="S1366" s="82"/>
      <c r="T1366" s="138">
        <v>22.0</v>
      </c>
      <c r="U1366" s="217">
        <v>22.0</v>
      </c>
      <c r="V1366" s="106">
        <v>0.0</v>
      </c>
      <c r="W1366" s="107">
        <v>0.0</v>
      </c>
      <c r="X1366" s="107">
        <v>0.0</v>
      </c>
      <c r="Y1366" s="107">
        <v>0.0</v>
      </c>
      <c r="Z1366" s="80">
        <f t="shared" si="1"/>
        <v>0</v>
      </c>
      <c r="AA1366" s="106">
        <v>0.0</v>
      </c>
      <c r="AB1366" s="107">
        <v>0.0</v>
      </c>
      <c r="AC1366" s="107">
        <v>0.0</v>
      </c>
      <c r="AD1366" s="107">
        <v>0.0</v>
      </c>
      <c r="AE1366" s="80">
        <f t="shared" si="2"/>
        <v>0</v>
      </c>
      <c r="AF1366" s="140">
        <v>574.0</v>
      </c>
      <c r="AG1366" s="109">
        <v>490.0</v>
      </c>
      <c r="AH1366" s="109">
        <v>0.0</v>
      </c>
      <c r="AI1366" s="141">
        <v>284.0</v>
      </c>
      <c r="AJ1366" s="80">
        <f t="shared" si="3"/>
        <v>1348</v>
      </c>
      <c r="AK1366" s="140">
        <v>0.0</v>
      </c>
      <c r="AL1366" s="109">
        <v>0.0</v>
      </c>
      <c r="AM1366" s="141">
        <v>0.0</v>
      </c>
      <c r="AN1366" s="80">
        <f t="shared" si="4"/>
        <v>0</v>
      </c>
      <c r="AO1366" s="140">
        <v>0.0</v>
      </c>
      <c r="AP1366" s="109">
        <v>0.0</v>
      </c>
      <c r="AQ1366" s="109">
        <v>70.0</v>
      </c>
      <c r="AR1366" s="80">
        <f t="shared" si="5"/>
        <v>70</v>
      </c>
      <c r="AS1366" s="110">
        <v>0.0</v>
      </c>
      <c r="AT1366" s="110">
        <v>0.0</v>
      </c>
      <c r="AU1366" s="110">
        <v>0.0</v>
      </c>
      <c r="AV1366" s="142">
        <v>0.0</v>
      </c>
      <c r="AW1366" s="80">
        <f t="shared" si="6"/>
        <v>0</v>
      </c>
      <c r="AX1366" s="113">
        <f t="shared" si="7"/>
        <v>1418</v>
      </c>
      <c r="AY1366" s="117">
        <f t="shared" si="8"/>
        <v>1348</v>
      </c>
      <c r="AZ1366" s="120">
        <f t="shared" si="9"/>
        <v>70</v>
      </c>
      <c r="BA1366" s="115">
        <v>0.0</v>
      </c>
      <c r="BB1366" s="89">
        <f t="shared" si="10"/>
        <v>1418</v>
      </c>
      <c r="BC1366" s="132" t="s">
        <v>178</v>
      </c>
      <c r="BD1366" s="132" t="s">
        <v>178</v>
      </c>
      <c r="BE1366" s="132" t="s">
        <v>178</v>
      </c>
      <c r="BF1366" s="123"/>
      <c r="BG1366" s="83">
        <v>1119828.0</v>
      </c>
      <c r="BH1366" s="112"/>
      <c r="BI1366" s="112">
        <v>22.0</v>
      </c>
      <c r="BJ1366" s="98" t="s">
        <v>155</v>
      </c>
      <c r="BK1366" s="99">
        <f t="shared" si="11"/>
        <v>284</v>
      </c>
      <c r="BL1366" s="99">
        <f t="shared" si="12"/>
        <v>1064</v>
      </c>
      <c r="BM1366" s="99" t="str">
        <f>IFERROR(__xludf.DUMMYFUNCTION("IFERROR(VLOOKUP(BG1366,IMPORTRANGE(""https://docs.google.com/spreadsheets/d/1juPI-Fb8LD0YtltB2mlGEnp_R3UVu1t3wSFPzgCyHXE/edit?gid=0#gid=0"",""GERAL!A2:C""),3,0),""-"")"),"CAMPO")</f>
        <v>CAMPO</v>
      </c>
    </row>
    <row r="1367" ht="15.75" customHeight="1">
      <c r="A1367" s="111" t="s">
        <v>1707</v>
      </c>
      <c r="B1367" s="83" t="s">
        <v>7682</v>
      </c>
      <c r="C1367" s="98" t="s">
        <v>164</v>
      </c>
      <c r="D1367" s="112">
        <v>1179606.0</v>
      </c>
      <c r="E1367" s="98">
        <v>1178988.0</v>
      </c>
      <c r="F1367" s="98">
        <v>2.9493145E7</v>
      </c>
      <c r="G1367" s="119" t="s">
        <v>7695</v>
      </c>
      <c r="H1367" s="108" t="s">
        <v>7696</v>
      </c>
      <c r="I1367" s="136"/>
      <c r="J1367" s="83"/>
      <c r="K1367" s="98" t="s">
        <v>168</v>
      </c>
      <c r="L1367" s="83"/>
      <c r="M1367" s="82" t="str">
        <f>IFERROR(__xludf.DUMMYFUNCTION("IFERROR(VLOOKUP(D1367,
IMPORTRANGE(""https://docs.google.com/spreadsheets/d/1MjHtlUikwobi2MaWJgy7tfLeBmhj1u-dRFRs_8GwSoA/edit#gid=0"",""Gestores Escolares!D7:J""),3,0),""VERIFICAR CÓD SEC"")"),"IRIS LUAN DE OLIVEIRA MATOS")</f>
        <v>IRIS LUAN DE OLIVEIRA MATOS</v>
      </c>
      <c r="N1367" s="82" t="str">
        <f>IFERROR(__xludf.DUMMYFUNCTION("IFERROR(VLOOKUP(D1367,
IMPORTRANGE(""https://docs.google.com/spreadsheets/d/1MjHtlUikwobi2MaWJgy7tfLeBmhj1u-dRFRs_8GwSoA/edit#gid=0"",""Gestores Escolares!D7:J""),4,0),""VERIFICAR CÓD SEC"")"),"(74) 9 9880-7335/9 9116-0894")</f>
        <v>(74) 9 9880-7335/9 9116-0894</v>
      </c>
      <c r="O1367" s="82" t="str">
        <f>IFERROR(__xludf.DUMMYFUNCTION("IFERROR(VLOOKUP(D1367,
IMPORTRANGE(""https://docs.google.com/spreadsheets/d/1MjHtlUikwobi2MaWJgy7tfLeBmhj1u-dRFRs_8GwSoA/edit#gid=0"",""Gestores Escolares!D7:J""),6,0),""VERIFICAR CÓD SEC"")"),"EDINOELSON DA SILVA OLIVEIRA")</f>
        <v>EDINOELSON DA SILVA OLIVEIRA</v>
      </c>
      <c r="P1367" s="82" t="str">
        <f>IFERROR(__xludf.DUMMYFUNCTION("IFERROR(VLOOKUP(D1367,
IMPORTRANGE(""https://docs.google.com/spreadsheets/d/1MjHtlUikwobi2MaWJgy7tfLeBmhj1u-dRFRs_8GwSoA/edit#gid=0"",""Gestores Escolares!D7:J""),7,0),""VERIFICAR CÓD SEC"")"),"(74) 9 9124-8630")</f>
        <v>(74) 9 9124-8630</v>
      </c>
      <c r="Q1367" s="82" t="str">
        <f>IFERROR(__xludf.DUMMYFUNCTION("IFERROR(VLOOKUP(D1367,
IMPORTRANGE(""https://docs.google.com/spreadsheets/d/1MjHtlUikwobi2MaWJgy7tfLeBmhj1u-dRFRs_8GwSoA/edit#gid=0"",""Gestores Escolares!D7:m""),9,0),""VERIFICAR CÓD SEC"")"),"JUCILENE PINTO DA SILVA")</f>
        <v>JUCILENE PINTO DA SILVA</v>
      </c>
      <c r="R1367" s="82" t="str">
        <f>IFERROR(__xludf.DUMMYFUNCTION("IFERROR(VLOOKUP(D1367,
IMPORTRANGE(""https://docs.google.com/spreadsheets/d/1MjHtlUikwobi2MaWJgy7tfLeBmhj1u-dRFRs_8GwSoA/edit#gid=0"",""Gestores Escolares!D7:m""),10,0),""VERIFICAR CÓD SEC"")"),"(74) 9 9115-2343")</f>
        <v>(74) 9 9115-2343</v>
      </c>
      <c r="S1367" s="82"/>
      <c r="T1367" s="138"/>
      <c r="U1367" s="217">
        <v>3.0</v>
      </c>
      <c r="V1367" s="106">
        <v>0.0</v>
      </c>
      <c r="W1367" s="107">
        <v>0.0</v>
      </c>
      <c r="X1367" s="107">
        <v>0.0</v>
      </c>
      <c r="Y1367" s="107">
        <v>0.0</v>
      </c>
      <c r="Z1367" s="80">
        <f t="shared" si="1"/>
        <v>0</v>
      </c>
      <c r="AA1367" s="106">
        <v>0.0</v>
      </c>
      <c r="AB1367" s="107">
        <v>0.0</v>
      </c>
      <c r="AC1367" s="107">
        <v>0.0</v>
      </c>
      <c r="AD1367" s="107">
        <v>0.0</v>
      </c>
      <c r="AE1367" s="80">
        <f t="shared" si="2"/>
        <v>0</v>
      </c>
      <c r="AF1367" s="222">
        <v>0.0</v>
      </c>
      <c r="AG1367" s="222">
        <v>0.0</v>
      </c>
      <c r="AH1367" s="222">
        <v>0.0</v>
      </c>
      <c r="AI1367" s="224">
        <v>0.0</v>
      </c>
      <c r="AJ1367" s="80">
        <f t="shared" si="3"/>
        <v>0</v>
      </c>
      <c r="AK1367" s="140">
        <v>0.0</v>
      </c>
      <c r="AL1367" s="109">
        <v>0.0</v>
      </c>
      <c r="AM1367" s="141">
        <v>0.0</v>
      </c>
      <c r="AN1367" s="80">
        <f t="shared" si="4"/>
        <v>0</v>
      </c>
      <c r="AO1367" s="222">
        <v>0.0</v>
      </c>
      <c r="AP1367" s="222">
        <v>0.0</v>
      </c>
      <c r="AQ1367" s="224">
        <v>37.0</v>
      </c>
      <c r="AR1367" s="80">
        <f t="shared" si="5"/>
        <v>37</v>
      </c>
      <c r="AS1367" s="110">
        <v>0.0</v>
      </c>
      <c r="AT1367" s="110">
        <v>0.0</v>
      </c>
      <c r="AU1367" s="110">
        <v>0.0</v>
      </c>
      <c r="AV1367" s="142">
        <v>0.0</v>
      </c>
      <c r="AW1367" s="80">
        <f t="shared" si="6"/>
        <v>0</v>
      </c>
      <c r="AX1367" s="113">
        <f t="shared" si="7"/>
        <v>37</v>
      </c>
      <c r="AY1367" s="117">
        <f t="shared" si="8"/>
        <v>0</v>
      </c>
      <c r="AZ1367" s="120">
        <f t="shared" si="9"/>
        <v>37</v>
      </c>
      <c r="BA1367" s="115">
        <v>0.0</v>
      </c>
      <c r="BB1367" s="89">
        <f t="shared" si="10"/>
        <v>37</v>
      </c>
      <c r="BC1367" s="132"/>
      <c r="BD1367" s="132"/>
      <c r="BE1367" s="132"/>
      <c r="BF1367" s="123"/>
      <c r="BG1367" s="98">
        <v>1178988.0</v>
      </c>
      <c r="BH1367" s="98"/>
      <c r="BI1367" s="98"/>
      <c r="BJ1367" s="98" t="s">
        <v>155</v>
      </c>
      <c r="BK1367" s="99">
        <f t="shared" si="11"/>
        <v>0</v>
      </c>
      <c r="BL1367" s="99">
        <f t="shared" si="12"/>
        <v>0</v>
      </c>
      <c r="BM1367" s="99" t="str">
        <f>IFERROR(__xludf.DUMMYFUNCTION("IFERROR(VLOOKUP(BG1367,IMPORTRANGE(""https://docs.google.com/spreadsheets/d/1juPI-Fb8LD0YtltB2mlGEnp_R3UVu1t3wSFPzgCyHXE/edit?gid=0#gid=0"",""GERAL!A2:C""),3,0),""-"")"),"-")</f>
        <v>-</v>
      </c>
    </row>
    <row r="1368" ht="15.75" customHeight="1">
      <c r="A1368" s="111" t="s">
        <v>1707</v>
      </c>
      <c r="B1368" s="83" t="s">
        <v>7682</v>
      </c>
      <c r="C1368" s="83" t="s">
        <v>164</v>
      </c>
      <c r="D1368" s="98">
        <v>1179606.0</v>
      </c>
      <c r="E1368" s="83">
        <v>1178981.0</v>
      </c>
      <c r="F1368" s="98">
        <v>2.9493137E7</v>
      </c>
      <c r="G1368" s="119" t="s">
        <v>7704</v>
      </c>
      <c r="H1368" s="91" t="s">
        <v>7705</v>
      </c>
      <c r="I1368" s="136" t="s">
        <v>7706</v>
      </c>
      <c r="J1368" s="83" t="s">
        <v>461</v>
      </c>
      <c r="K1368" s="83" t="s">
        <v>168</v>
      </c>
      <c r="L1368" s="83" t="s">
        <v>230</v>
      </c>
      <c r="M1368" s="82" t="str">
        <f>IFERROR(__xludf.DUMMYFUNCTION("IFERROR(VLOOKUP(D1368,
IMPORTRANGE(""https://docs.google.com/spreadsheets/d/1MjHtlUikwobi2MaWJgy7tfLeBmhj1u-dRFRs_8GwSoA/edit#gid=0"",""Gestores Escolares!D7:J""),3,0),""VERIFICAR CÓD SEC"")"),"IRIS LUAN DE OLIVEIRA MATOS")</f>
        <v>IRIS LUAN DE OLIVEIRA MATOS</v>
      </c>
      <c r="N1368" s="82" t="str">
        <f>IFERROR(__xludf.DUMMYFUNCTION("IFERROR(VLOOKUP(D1368,
IMPORTRANGE(""https://docs.google.com/spreadsheets/d/1MjHtlUikwobi2MaWJgy7tfLeBmhj1u-dRFRs_8GwSoA/edit#gid=0"",""Gestores Escolares!D7:J""),4,0),""VERIFICAR CÓD SEC"")"),"(74) 9 9880-7335/9 9116-0894")</f>
        <v>(74) 9 9880-7335/9 9116-0894</v>
      </c>
      <c r="O1368" s="82" t="str">
        <f>IFERROR(__xludf.DUMMYFUNCTION("IFERROR(VLOOKUP(D1368,
IMPORTRANGE(""https://docs.google.com/spreadsheets/d/1MjHtlUikwobi2MaWJgy7tfLeBmhj1u-dRFRs_8GwSoA/edit#gid=0"",""Gestores Escolares!D7:J""),6,0),""VERIFICAR CÓD SEC"")"),"EDINOELSON DA SILVA OLIVEIRA")</f>
        <v>EDINOELSON DA SILVA OLIVEIRA</v>
      </c>
      <c r="P1368" s="82" t="str">
        <f>IFERROR(__xludf.DUMMYFUNCTION("IFERROR(VLOOKUP(D1368,
IMPORTRANGE(""https://docs.google.com/spreadsheets/d/1MjHtlUikwobi2MaWJgy7tfLeBmhj1u-dRFRs_8GwSoA/edit#gid=0"",""Gestores Escolares!D7:J""),7,0),""VERIFICAR CÓD SEC"")"),"(74) 9 9124-8630")</f>
        <v>(74) 9 9124-8630</v>
      </c>
      <c r="Q1368" s="82" t="str">
        <f>IFERROR(__xludf.DUMMYFUNCTION("IFERROR(VLOOKUP(D1368,
IMPORTRANGE(""https://docs.google.com/spreadsheets/d/1MjHtlUikwobi2MaWJgy7tfLeBmhj1u-dRFRs_8GwSoA/edit#gid=0"",""Gestores Escolares!D7:m""),9,0),""VERIFICAR CÓD SEC"")"),"JUCILENE PINTO DA SILVA")</f>
        <v>JUCILENE PINTO DA SILVA</v>
      </c>
      <c r="R1368" s="82" t="str">
        <f>IFERROR(__xludf.DUMMYFUNCTION("IFERROR(VLOOKUP(D1368,
IMPORTRANGE(""https://docs.google.com/spreadsheets/d/1MjHtlUikwobi2MaWJgy7tfLeBmhj1u-dRFRs_8GwSoA/edit#gid=0"",""Gestores Escolares!D7:m""),10,0),""VERIFICAR CÓD SEC"")"),"(74) 9 9115-2343")</f>
        <v>(74) 9 9115-2343</v>
      </c>
      <c r="S1368" s="82"/>
      <c r="T1368" s="138">
        <v>3.0</v>
      </c>
      <c r="U1368" s="217">
        <v>3.0</v>
      </c>
      <c r="V1368" s="106">
        <v>0.0</v>
      </c>
      <c r="W1368" s="107">
        <v>0.0</v>
      </c>
      <c r="X1368" s="107">
        <v>0.0</v>
      </c>
      <c r="Y1368" s="107">
        <v>0.0</v>
      </c>
      <c r="Z1368" s="80">
        <f t="shared" si="1"/>
        <v>0</v>
      </c>
      <c r="AA1368" s="106">
        <v>0.0</v>
      </c>
      <c r="AB1368" s="107">
        <v>0.0</v>
      </c>
      <c r="AC1368" s="107">
        <v>0.0</v>
      </c>
      <c r="AD1368" s="107">
        <v>0.0</v>
      </c>
      <c r="AE1368" s="80">
        <f t="shared" si="2"/>
        <v>0</v>
      </c>
      <c r="AF1368" s="140">
        <v>0.0</v>
      </c>
      <c r="AG1368" s="109">
        <v>0.0</v>
      </c>
      <c r="AH1368" s="109">
        <v>0.0</v>
      </c>
      <c r="AI1368" s="141">
        <v>0.0</v>
      </c>
      <c r="AJ1368" s="80">
        <f t="shared" si="3"/>
        <v>0</v>
      </c>
      <c r="AK1368" s="140">
        <v>0.0</v>
      </c>
      <c r="AL1368" s="109">
        <v>0.0</v>
      </c>
      <c r="AM1368" s="141">
        <v>0.0</v>
      </c>
      <c r="AN1368" s="80">
        <f t="shared" si="4"/>
        <v>0</v>
      </c>
      <c r="AO1368" s="140">
        <v>0.0</v>
      </c>
      <c r="AP1368" s="109">
        <v>0.0</v>
      </c>
      <c r="AQ1368" s="109">
        <v>53.0</v>
      </c>
      <c r="AR1368" s="80">
        <f t="shared" si="5"/>
        <v>53</v>
      </c>
      <c r="AS1368" s="110">
        <v>0.0</v>
      </c>
      <c r="AT1368" s="110">
        <v>0.0</v>
      </c>
      <c r="AU1368" s="110">
        <v>0.0</v>
      </c>
      <c r="AV1368" s="142">
        <v>0.0</v>
      </c>
      <c r="AW1368" s="80">
        <f t="shared" si="6"/>
        <v>0</v>
      </c>
      <c r="AX1368" s="113">
        <f t="shared" si="7"/>
        <v>53</v>
      </c>
      <c r="AY1368" s="117">
        <f t="shared" si="8"/>
        <v>0</v>
      </c>
      <c r="AZ1368" s="120">
        <f t="shared" si="9"/>
        <v>53</v>
      </c>
      <c r="BA1368" s="115">
        <v>0.0</v>
      </c>
      <c r="BB1368" s="89">
        <f t="shared" si="10"/>
        <v>53</v>
      </c>
      <c r="BC1368" s="132" t="s">
        <v>373</v>
      </c>
      <c r="BD1368" s="132" t="s">
        <v>178</v>
      </c>
      <c r="BE1368" s="132" t="s">
        <v>178</v>
      </c>
      <c r="BF1368" s="123"/>
      <c r="BG1368" s="83">
        <v>1178981.0</v>
      </c>
      <c r="BH1368" s="98"/>
      <c r="BI1368" s="98">
        <v>3.0</v>
      </c>
      <c r="BJ1368" s="98" t="s">
        <v>155</v>
      </c>
      <c r="BK1368" s="99">
        <f t="shared" si="11"/>
        <v>0</v>
      </c>
      <c r="BL1368" s="99">
        <f t="shared" si="12"/>
        <v>0</v>
      </c>
      <c r="BM1368" s="99" t="str">
        <f>IFERROR(__xludf.DUMMYFUNCTION("IFERROR(VLOOKUP(BG1368,IMPORTRANGE(""https://docs.google.com/spreadsheets/d/1juPI-Fb8LD0YtltB2mlGEnp_R3UVu1t3wSFPzgCyHXE/edit?gid=0#gid=0"",""GERAL!A2:C""),3,0),""-"")"),"CAMPO")</f>
        <v>CAMPO</v>
      </c>
    </row>
    <row r="1369" ht="15.75" customHeight="1">
      <c r="A1369" s="111" t="s">
        <v>1707</v>
      </c>
      <c r="B1369" s="83" t="s">
        <v>7682</v>
      </c>
      <c r="C1369" s="83" t="s">
        <v>164</v>
      </c>
      <c r="D1369" s="112">
        <v>1179314.0</v>
      </c>
      <c r="E1369" s="83">
        <v>1178984.0</v>
      </c>
      <c r="F1369" s="98">
        <v>2.9493129E7</v>
      </c>
      <c r="G1369" s="119" t="s">
        <v>7707</v>
      </c>
      <c r="H1369" s="91" t="s">
        <v>7708</v>
      </c>
      <c r="I1369" s="136" t="s">
        <v>7709</v>
      </c>
      <c r="J1369" s="83" t="s">
        <v>7710</v>
      </c>
      <c r="K1369" s="83" t="s">
        <v>168</v>
      </c>
      <c r="L1369" s="83" t="s">
        <v>230</v>
      </c>
      <c r="M1369" s="82" t="str">
        <f>IFERROR(__xludf.DUMMYFUNCTION("IFERROR(VLOOKUP(D1369,
IMPORTRANGE(""https://docs.google.com/spreadsheets/d/1MjHtlUikwobi2MaWJgy7tfLeBmhj1u-dRFRs_8GwSoA/edit#gid=0"",""Gestores Escolares!D7:J""),3,0),""VERIFICAR CÓD SEC"")"),"CARINA CRUZ NASCIMENTO")</f>
        <v>CARINA CRUZ NASCIMENTO</v>
      </c>
      <c r="N1369" s="82" t="str">
        <f>IFERROR(__xludf.DUMMYFUNCTION("IFERROR(VLOOKUP(D1369,
IMPORTRANGE(""https://docs.google.com/spreadsheets/d/1MjHtlUikwobi2MaWJgy7tfLeBmhj1u-dRFRs_8GwSoA/edit#gid=0"",""Gestores Escolares!D7:J""),4,0),""VERIFICAR CÓD SEC"")"),"(74) 9 9135-2032")</f>
        <v>(74) 9 9135-2032</v>
      </c>
      <c r="O1369" s="82" t="str">
        <f>IFERROR(__xludf.DUMMYFUNCTION("IFERROR(VLOOKUP(D1369,
IMPORTRANGE(""https://docs.google.com/spreadsheets/d/1MjHtlUikwobi2MaWJgy7tfLeBmhj1u-dRFRs_8GwSoA/edit#gid=0"",""Gestores Escolares!D7:J""),6,0),""VERIFICAR CÓD SEC"")"),"MARIA JAENE DA SILVA ALVES")</f>
        <v>MARIA JAENE DA SILVA ALVES</v>
      </c>
      <c r="P1369" s="82" t="str">
        <f>IFERROR(__xludf.DUMMYFUNCTION("IFERROR(VLOOKUP(D1369,
IMPORTRANGE(""https://docs.google.com/spreadsheets/d/1MjHtlUikwobi2MaWJgy7tfLeBmhj1u-dRFRs_8GwSoA/edit#gid=0"",""Gestores Escolares!D7:J""),7,0),""VERIFICAR CÓD SEC"")"),"(74) 9 9123-1022")</f>
        <v>(74) 9 9123-1022</v>
      </c>
      <c r="Q1369" s="82" t="str">
        <f>IFERROR(__xludf.DUMMYFUNCTION("IFERROR(VLOOKUP(D1369,
IMPORTRANGE(""https://docs.google.com/spreadsheets/d/1MjHtlUikwobi2MaWJgy7tfLeBmhj1u-dRFRs_8GwSoA/edit#gid=0"",""Gestores Escolares!D7:m""),9,0),""VERIFICAR CÓD SEC"")"),"")</f>
        <v/>
      </c>
      <c r="R1369" s="82" t="str">
        <f>IFERROR(__xludf.DUMMYFUNCTION("IFERROR(VLOOKUP(D1369,
IMPORTRANGE(""https://docs.google.com/spreadsheets/d/1MjHtlUikwobi2MaWJgy7tfLeBmhj1u-dRFRs_8GwSoA/edit#gid=0"",""Gestores Escolares!D7:m""),10,0),""VERIFICAR CÓD SEC"")"),"")</f>
        <v/>
      </c>
      <c r="S1369" s="82"/>
      <c r="T1369" s="138">
        <v>3.0</v>
      </c>
      <c r="U1369" s="217">
        <v>3.0</v>
      </c>
      <c r="V1369" s="106">
        <v>0.0</v>
      </c>
      <c r="W1369" s="107">
        <v>0.0</v>
      </c>
      <c r="X1369" s="107">
        <v>0.0</v>
      </c>
      <c r="Y1369" s="107">
        <v>0.0</v>
      </c>
      <c r="Z1369" s="80">
        <f t="shared" si="1"/>
        <v>0</v>
      </c>
      <c r="AA1369" s="106">
        <v>0.0</v>
      </c>
      <c r="AB1369" s="107">
        <v>0.0</v>
      </c>
      <c r="AC1369" s="107">
        <v>0.0</v>
      </c>
      <c r="AD1369" s="107">
        <v>0.0</v>
      </c>
      <c r="AE1369" s="80">
        <f t="shared" si="2"/>
        <v>0</v>
      </c>
      <c r="AF1369" s="140">
        <v>0.0</v>
      </c>
      <c r="AG1369" s="109">
        <v>0.0</v>
      </c>
      <c r="AH1369" s="109">
        <v>0.0</v>
      </c>
      <c r="AI1369" s="141">
        <v>0.0</v>
      </c>
      <c r="AJ1369" s="80">
        <f t="shared" si="3"/>
        <v>0</v>
      </c>
      <c r="AK1369" s="140">
        <v>0.0</v>
      </c>
      <c r="AL1369" s="109">
        <v>0.0</v>
      </c>
      <c r="AM1369" s="141">
        <v>0.0</v>
      </c>
      <c r="AN1369" s="80">
        <f t="shared" si="4"/>
        <v>0</v>
      </c>
      <c r="AO1369" s="140">
        <v>0.0</v>
      </c>
      <c r="AP1369" s="109">
        <v>0.0</v>
      </c>
      <c r="AQ1369" s="109">
        <v>33.0</v>
      </c>
      <c r="AR1369" s="80">
        <f t="shared" si="5"/>
        <v>33</v>
      </c>
      <c r="AS1369" s="110">
        <v>0.0</v>
      </c>
      <c r="AT1369" s="110">
        <v>0.0</v>
      </c>
      <c r="AU1369" s="110">
        <v>0.0</v>
      </c>
      <c r="AV1369" s="142">
        <v>0.0</v>
      </c>
      <c r="AW1369" s="80">
        <f t="shared" si="6"/>
        <v>0</v>
      </c>
      <c r="AX1369" s="113">
        <f t="shared" si="7"/>
        <v>33</v>
      </c>
      <c r="AY1369" s="117">
        <f t="shared" si="8"/>
        <v>0</v>
      </c>
      <c r="AZ1369" s="120">
        <f t="shared" si="9"/>
        <v>33</v>
      </c>
      <c r="BA1369" s="115">
        <v>0.0</v>
      </c>
      <c r="BB1369" s="89">
        <f t="shared" si="10"/>
        <v>33</v>
      </c>
      <c r="BC1369" s="132" t="s">
        <v>373</v>
      </c>
      <c r="BD1369" s="132" t="s">
        <v>178</v>
      </c>
      <c r="BE1369" s="132" t="s">
        <v>178</v>
      </c>
      <c r="BF1369" s="123"/>
      <c r="BG1369" s="83">
        <v>1178984.0</v>
      </c>
      <c r="BH1369" s="112"/>
      <c r="BI1369" s="112">
        <v>3.0</v>
      </c>
      <c r="BJ1369" s="98" t="s">
        <v>155</v>
      </c>
      <c r="BK1369" s="99">
        <f t="shared" si="11"/>
        <v>0</v>
      </c>
      <c r="BL1369" s="99">
        <f t="shared" si="12"/>
        <v>0</v>
      </c>
      <c r="BM1369" s="99" t="str">
        <f>IFERROR(__xludf.DUMMYFUNCTION("IFERROR(VLOOKUP(BG1369,IMPORTRANGE(""https://docs.google.com/spreadsheets/d/1juPI-Fb8LD0YtltB2mlGEnp_R3UVu1t3wSFPzgCyHXE/edit?gid=0#gid=0"",""GERAL!A2:C""),3,0),""-"")"),"CAMPO")</f>
        <v>CAMPO</v>
      </c>
    </row>
    <row r="1370" ht="15.75" customHeight="1">
      <c r="A1370" s="111" t="s">
        <v>1707</v>
      </c>
      <c r="B1370" s="83" t="s">
        <v>7682</v>
      </c>
      <c r="C1370" s="83" t="s">
        <v>164</v>
      </c>
      <c r="D1370" s="112">
        <v>1179314.0</v>
      </c>
      <c r="E1370" s="83">
        <v>1178986.0</v>
      </c>
      <c r="F1370" s="98">
        <v>2.949311E7</v>
      </c>
      <c r="G1370" s="119" t="s">
        <v>7712</v>
      </c>
      <c r="H1370" s="91" t="s">
        <v>7713</v>
      </c>
      <c r="I1370" s="136" t="s">
        <v>7714</v>
      </c>
      <c r="J1370" s="83" t="s">
        <v>508</v>
      </c>
      <c r="K1370" s="83" t="s">
        <v>168</v>
      </c>
      <c r="L1370" s="83" t="s">
        <v>230</v>
      </c>
      <c r="M1370" s="82" t="str">
        <f>IFERROR(__xludf.DUMMYFUNCTION("IFERROR(VLOOKUP(D1370,
IMPORTRANGE(""https://docs.google.com/spreadsheets/d/1MjHtlUikwobi2MaWJgy7tfLeBmhj1u-dRFRs_8GwSoA/edit#gid=0"",""Gestores Escolares!D7:J""),3,0),""VERIFICAR CÓD SEC"")"),"CARINA CRUZ NASCIMENTO")</f>
        <v>CARINA CRUZ NASCIMENTO</v>
      </c>
      <c r="N1370" s="82" t="str">
        <f>IFERROR(__xludf.DUMMYFUNCTION("IFERROR(VLOOKUP(D1370,
IMPORTRANGE(""https://docs.google.com/spreadsheets/d/1MjHtlUikwobi2MaWJgy7tfLeBmhj1u-dRFRs_8GwSoA/edit#gid=0"",""Gestores Escolares!D7:J""),4,0),""VERIFICAR CÓD SEC"")"),"(74) 9 9135-2032")</f>
        <v>(74) 9 9135-2032</v>
      </c>
      <c r="O1370" s="82" t="str">
        <f>IFERROR(__xludf.DUMMYFUNCTION("IFERROR(VLOOKUP(D1370,
IMPORTRANGE(""https://docs.google.com/spreadsheets/d/1MjHtlUikwobi2MaWJgy7tfLeBmhj1u-dRFRs_8GwSoA/edit#gid=0"",""Gestores Escolares!D7:J""),6,0),""VERIFICAR CÓD SEC"")"),"MARIA JAENE DA SILVA ALVES")</f>
        <v>MARIA JAENE DA SILVA ALVES</v>
      </c>
      <c r="P1370" s="82" t="str">
        <f>IFERROR(__xludf.DUMMYFUNCTION("IFERROR(VLOOKUP(D1370,
IMPORTRANGE(""https://docs.google.com/spreadsheets/d/1MjHtlUikwobi2MaWJgy7tfLeBmhj1u-dRFRs_8GwSoA/edit#gid=0"",""Gestores Escolares!D7:J""),7,0),""VERIFICAR CÓD SEC"")"),"(74) 9 9123-1022")</f>
        <v>(74) 9 9123-1022</v>
      </c>
      <c r="Q1370" s="82" t="str">
        <f>IFERROR(__xludf.DUMMYFUNCTION("IFERROR(VLOOKUP(D1370,
IMPORTRANGE(""https://docs.google.com/spreadsheets/d/1MjHtlUikwobi2MaWJgy7tfLeBmhj1u-dRFRs_8GwSoA/edit#gid=0"",""Gestores Escolares!D7:m""),9,0),""VERIFICAR CÓD SEC"")"),"")</f>
        <v/>
      </c>
      <c r="R1370" s="82" t="str">
        <f>IFERROR(__xludf.DUMMYFUNCTION("IFERROR(VLOOKUP(D1370,
IMPORTRANGE(""https://docs.google.com/spreadsheets/d/1MjHtlUikwobi2MaWJgy7tfLeBmhj1u-dRFRs_8GwSoA/edit#gid=0"",""Gestores Escolares!D7:m""),10,0),""VERIFICAR CÓD SEC"")"),"")</f>
        <v/>
      </c>
      <c r="S1370" s="82"/>
      <c r="T1370" s="138">
        <v>4.0</v>
      </c>
      <c r="U1370" s="152">
        <v>4.0</v>
      </c>
      <c r="V1370" s="106">
        <v>0.0</v>
      </c>
      <c r="W1370" s="107">
        <v>0.0</v>
      </c>
      <c r="X1370" s="107">
        <v>0.0</v>
      </c>
      <c r="Y1370" s="107">
        <v>0.0</v>
      </c>
      <c r="Z1370" s="80">
        <f t="shared" si="1"/>
        <v>0</v>
      </c>
      <c r="AA1370" s="106">
        <v>0.0</v>
      </c>
      <c r="AB1370" s="107">
        <v>0.0</v>
      </c>
      <c r="AC1370" s="107">
        <v>0.0</v>
      </c>
      <c r="AD1370" s="107">
        <v>0.0</v>
      </c>
      <c r="AE1370" s="80">
        <f t="shared" si="2"/>
        <v>0</v>
      </c>
      <c r="AF1370" s="140">
        <v>55.0</v>
      </c>
      <c r="AG1370" s="109">
        <v>0.0</v>
      </c>
      <c r="AH1370" s="109">
        <v>0.0</v>
      </c>
      <c r="AI1370" s="141">
        <v>0.0</v>
      </c>
      <c r="AJ1370" s="80">
        <f t="shared" si="3"/>
        <v>55</v>
      </c>
      <c r="AK1370" s="140">
        <v>0.0</v>
      </c>
      <c r="AL1370" s="109">
        <v>0.0</v>
      </c>
      <c r="AM1370" s="141">
        <v>0.0</v>
      </c>
      <c r="AN1370" s="80">
        <f t="shared" si="4"/>
        <v>0</v>
      </c>
      <c r="AO1370" s="140">
        <v>0.0</v>
      </c>
      <c r="AP1370" s="109">
        <v>0.0</v>
      </c>
      <c r="AQ1370" s="109">
        <v>30.0</v>
      </c>
      <c r="AR1370" s="80">
        <f t="shared" si="5"/>
        <v>30</v>
      </c>
      <c r="AS1370" s="110">
        <v>0.0</v>
      </c>
      <c r="AT1370" s="110">
        <v>0.0</v>
      </c>
      <c r="AU1370" s="110">
        <v>0.0</v>
      </c>
      <c r="AV1370" s="142">
        <v>0.0</v>
      </c>
      <c r="AW1370" s="80">
        <f t="shared" si="6"/>
        <v>0</v>
      </c>
      <c r="AX1370" s="113">
        <f t="shared" si="7"/>
        <v>85</v>
      </c>
      <c r="AY1370" s="117">
        <f t="shared" si="8"/>
        <v>55</v>
      </c>
      <c r="AZ1370" s="120">
        <f t="shared" si="9"/>
        <v>30</v>
      </c>
      <c r="BA1370" s="115">
        <v>0.0</v>
      </c>
      <c r="BB1370" s="89">
        <f t="shared" si="10"/>
        <v>85</v>
      </c>
      <c r="BC1370" s="132" t="s">
        <v>373</v>
      </c>
      <c r="BD1370" s="132" t="s">
        <v>178</v>
      </c>
      <c r="BE1370" s="132" t="s">
        <v>178</v>
      </c>
      <c r="BF1370" s="123"/>
      <c r="BG1370" s="83">
        <v>1178986.0</v>
      </c>
      <c r="BH1370" s="112"/>
      <c r="BI1370" s="112">
        <v>4.0</v>
      </c>
      <c r="BJ1370" s="98" t="s">
        <v>155</v>
      </c>
      <c r="BK1370" s="99">
        <f t="shared" si="11"/>
        <v>0</v>
      </c>
      <c r="BL1370" s="99">
        <f t="shared" si="12"/>
        <v>55</v>
      </c>
      <c r="BM1370" s="99" t="str">
        <f>IFERROR(__xludf.DUMMYFUNCTION("IFERROR(VLOOKUP(BG1370,IMPORTRANGE(""https://docs.google.com/spreadsheets/d/1juPI-Fb8LD0YtltB2mlGEnp_R3UVu1t3wSFPzgCyHXE/edit?gid=0#gid=0"",""GERAL!A2:C""),3,0),""-"")"),"CAMPO")</f>
        <v>CAMPO</v>
      </c>
    </row>
    <row r="1371" ht="15.75" customHeight="1">
      <c r="A1371" s="111" t="s">
        <v>1707</v>
      </c>
      <c r="B1371" s="83" t="s">
        <v>7682</v>
      </c>
      <c r="C1371" s="83" t="s">
        <v>164</v>
      </c>
      <c r="D1371" s="112">
        <v>1119828.0</v>
      </c>
      <c r="E1371" s="83">
        <v>1179039.0</v>
      </c>
      <c r="F1371" s="98">
        <v>2.9492912E7</v>
      </c>
      <c r="G1371" s="119" t="s">
        <v>7716</v>
      </c>
      <c r="H1371" s="91" t="s">
        <v>7717</v>
      </c>
      <c r="I1371" s="136" t="s">
        <v>7718</v>
      </c>
      <c r="J1371" s="83" t="s">
        <v>767</v>
      </c>
      <c r="K1371" s="83" t="s">
        <v>168</v>
      </c>
      <c r="L1371" s="83" t="s">
        <v>230</v>
      </c>
      <c r="M1371" s="82" t="str">
        <f>IFERROR(__xludf.DUMMYFUNCTION("IFERROR(VLOOKUP(D1371,
IMPORTRANGE(""https://docs.google.com/spreadsheets/d/1MjHtlUikwobi2MaWJgy7tfLeBmhj1u-dRFRs_8GwSoA/edit#gid=0"",""Gestores Escolares!D7:J""),3,0),""VERIFICAR CÓD SEC"")"),"NIERIVANIA CUNHA DE OLIVEIRA SENA")</f>
        <v>NIERIVANIA CUNHA DE OLIVEIRA SENA</v>
      </c>
      <c r="N1371" s="82" t="str">
        <f>IFERROR(__xludf.DUMMYFUNCTION("IFERROR(VLOOKUP(D1371,
IMPORTRANGE(""https://docs.google.com/spreadsheets/d/1MjHtlUikwobi2MaWJgy7tfLeBmhj1u-dRFRs_8GwSoA/edit#gid=0"",""Gestores Escolares!D7:J""),4,0),""VERIFICAR CÓD SEC"")"),"(74) 9 9118-6264")</f>
        <v>(74) 9 9118-6264</v>
      </c>
      <c r="O1371" s="82" t="str">
        <f>IFERROR(__xludf.DUMMYFUNCTION("IFERROR(VLOOKUP(D1371,
IMPORTRANGE(""https://docs.google.com/spreadsheets/d/1MjHtlUikwobi2MaWJgy7tfLeBmhj1u-dRFRs_8GwSoA/edit#gid=0"",""Gestores Escolares!D7:J""),6,0),""VERIFICAR CÓD SEC"")"),"ACACIO CASSEANO DE SOUZA SILVA")</f>
        <v>ACACIO CASSEANO DE SOUZA SILVA</v>
      </c>
      <c r="P1371" s="82" t="str">
        <f>IFERROR(__xludf.DUMMYFUNCTION("IFERROR(VLOOKUP(D1371,
IMPORTRANGE(""https://docs.google.com/spreadsheets/d/1MjHtlUikwobi2MaWJgy7tfLeBmhj1u-dRFRs_8GwSoA/edit#gid=0"",""Gestores Escolares!D7:J""),7,0),""VERIFICAR CÓD SEC"")"),"(74) 9 9110-5602")</f>
        <v>(74) 9 9110-5602</v>
      </c>
      <c r="Q1371" s="82" t="str">
        <f>IFERROR(__xludf.DUMMYFUNCTION("IFERROR(VLOOKUP(D1371,
IMPORTRANGE(""https://docs.google.com/spreadsheets/d/1MjHtlUikwobi2MaWJgy7tfLeBmhj1u-dRFRs_8GwSoA/edit#gid=0"",""Gestores Escolares!D7:m""),9,0),""VERIFICAR CÓD SEC"")"),"LILIA SANDRA GUIMARAES REIS VERAS")</f>
        <v>LILIA SANDRA GUIMARAES REIS VERAS</v>
      </c>
      <c r="R1371" s="82" t="str">
        <f>IFERROR(__xludf.DUMMYFUNCTION("IFERROR(VLOOKUP(D1371,
IMPORTRANGE(""https://docs.google.com/spreadsheets/d/1MjHtlUikwobi2MaWJgy7tfLeBmhj1u-dRFRs_8GwSoA/edit#gid=0"",""Gestores Escolares!D7:m""),10,0),""VERIFICAR CÓD SEC"")"),"")</f>
        <v/>
      </c>
      <c r="S1371" s="82"/>
      <c r="T1371" s="138">
        <v>6.0</v>
      </c>
      <c r="U1371" s="217">
        <v>6.0</v>
      </c>
      <c r="V1371" s="106">
        <v>0.0</v>
      </c>
      <c r="W1371" s="107">
        <v>0.0</v>
      </c>
      <c r="X1371" s="107">
        <v>0.0</v>
      </c>
      <c r="Y1371" s="107">
        <v>0.0</v>
      </c>
      <c r="Z1371" s="80">
        <f t="shared" si="1"/>
        <v>0</v>
      </c>
      <c r="AA1371" s="106">
        <v>0.0</v>
      </c>
      <c r="AB1371" s="107">
        <v>0.0</v>
      </c>
      <c r="AC1371" s="107">
        <v>0.0</v>
      </c>
      <c r="AD1371" s="107">
        <v>0.0</v>
      </c>
      <c r="AE1371" s="80">
        <f t="shared" si="2"/>
        <v>0</v>
      </c>
      <c r="AF1371" s="140">
        <v>0.0</v>
      </c>
      <c r="AG1371" s="109">
        <v>73.0</v>
      </c>
      <c r="AH1371" s="109">
        <v>0.0</v>
      </c>
      <c r="AI1371" s="141">
        <v>0.0</v>
      </c>
      <c r="AJ1371" s="80">
        <f t="shared" si="3"/>
        <v>73</v>
      </c>
      <c r="AK1371" s="140">
        <v>0.0</v>
      </c>
      <c r="AL1371" s="109">
        <v>0.0</v>
      </c>
      <c r="AM1371" s="141">
        <v>0.0</v>
      </c>
      <c r="AN1371" s="80">
        <f t="shared" si="4"/>
        <v>0</v>
      </c>
      <c r="AO1371" s="140">
        <v>0.0</v>
      </c>
      <c r="AP1371" s="109">
        <v>0.0</v>
      </c>
      <c r="AQ1371" s="109">
        <v>0.0</v>
      </c>
      <c r="AR1371" s="80">
        <f t="shared" si="5"/>
        <v>0</v>
      </c>
      <c r="AS1371" s="110">
        <v>0.0</v>
      </c>
      <c r="AT1371" s="110">
        <v>0.0</v>
      </c>
      <c r="AU1371" s="110">
        <v>0.0</v>
      </c>
      <c r="AV1371" s="142">
        <v>0.0</v>
      </c>
      <c r="AW1371" s="80">
        <f t="shared" si="6"/>
        <v>0</v>
      </c>
      <c r="AX1371" s="113">
        <f t="shared" si="7"/>
        <v>73</v>
      </c>
      <c r="AY1371" s="117">
        <f t="shared" si="8"/>
        <v>73</v>
      </c>
      <c r="AZ1371" s="120">
        <f t="shared" si="9"/>
        <v>0</v>
      </c>
      <c r="BA1371" s="115">
        <v>0.0</v>
      </c>
      <c r="BB1371" s="89">
        <f t="shared" si="10"/>
        <v>73</v>
      </c>
      <c r="BC1371" s="132" t="s">
        <v>373</v>
      </c>
      <c r="BD1371" s="132" t="s">
        <v>178</v>
      </c>
      <c r="BE1371" s="132" t="s">
        <v>178</v>
      </c>
      <c r="BF1371" s="123"/>
      <c r="BG1371" s="83">
        <v>1179039.0</v>
      </c>
      <c r="BH1371" s="98"/>
      <c r="BI1371" s="98">
        <v>6.0</v>
      </c>
      <c r="BJ1371" s="98" t="s">
        <v>155</v>
      </c>
      <c r="BK1371" s="99">
        <f t="shared" si="11"/>
        <v>0</v>
      </c>
      <c r="BL1371" s="99">
        <f t="shared" si="12"/>
        <v>73</v>
      </c>
      <c r="BM1371" s="99" t="str">
        <f>IFERROR(__xludf.DUMMYFUNCTION("IFERROR(VLOOKUP(BG1371,IMPORTRANGE(""https://docs.google.com/spreadsheets/d/1juPI-Fb8LD0YtltB2mlGEnp_R3UVu1t3wSFPzgCyHXE/edit?gid=0#gid=0"",""GERAL!A2:C""),3,0),""-"")"),"CAMPO")</f>
        <v>CAMPO</v>
      </c>
    </row>
    <row r="1372" ht="15.75" customHeight="1">
      <c r="A1372" s="111" t="s">
        <v>1707</v>
      </c>
      <c r="B1372" s="83" t="s">
        <v>7682</v>
      </c>
      <c r="C1372" s="83" t="s">
        <v>164</v>
      </c>
      <c r="D1372" s="112">
        <v>1119828.0</v>
      </c>
      <c r="E1372" s="83">
        <v>1178977.0</v>
      </c>
      <c r="F1372" s="98">
        <v>2.9492904E7</v>
      </c>
      <c r="G1372" s="119" t="s">
        <v>7720</v>
      </c>
      <c r="H1372" s="91" t="s">
        <v>7721</v>
      </c>
      <c r="I1372" s="136" t="s">
        <v>7722</v>
      </c>
      <c r="J1372" s="83" t="s">
        <v>705</v>
      </c>
      <c r="K1372" s="83" t="s">
        <v>168</v>
      </c>
      <c r="L1372" s="83" t="s">
        <v>230</v>
      </c>
      <c r="M1372" s="82" t="str">
        <f>IFERROR(__xludf.DUMMYFUNCTION("IFERROR(VLOOKUP(D1372,
IMPORTRANGE(""https://docs.google.com/spreadsheets/d/1MjHtlUikwobi2MaWJgy7tfLeBmhj1u-dRFRs_8GwSoA/edit#gid=0"",""Gestores Escolares!D7:J""),3,0),""VERIFICAR CÓD SEC"")"),"NIERIVANIA CUNHA DE OLIVEIRA SENA")</f>
        <v>NIERIVANIA CUNHA DE OLIVEIRA SENA</v>
      </c>
      <c r="N1372" s="82" t="str">
        <f>IFERROR(__xludf.DUMMYFUNCTION("IFERROR(VLOOKUP(D1372,
IMPORTRANGE(""https://docs.google.com/spreadsheets/d/1MjHtlUikwobi2MaWJgy7tfLeBmhj1u-dRFRs_8GwSoA/edit#gid=0"",""Gestores Escolares!D7:J""),4,0),""VERIFICAR CÓD SEC"")"),"(74) 9 9118-6264")</f>
        <v>(74) 9 9118-6264</v>
      </c>
      <c r="O1372" s="82" t="str">
        <f>IFERROR(__xludf.DUMMYFUNCTION("IFERROR(VLOOKUP(D1372,
IMPORTRANGE(""https://docs.google.com/spreadsheets/d/1MjHtlUikwobi2MaWJgy7tfLeBmhj1u-dRFRs_8GwSoA/edit#gid=0"",""Gestores Escolares!D7:J""),6,0),""VERIFICAR CÓD SEC"")"),"ACACIO CASSEANO DE SOUZA SILVA")</f>
        <v>ACACIO CASSEANO DE SOUZA SILVA</v>
      </c>
      <c r="P1372" s="82" t="str">
        <f>IFERROR(__xludf.DUMMYFUNCTION("IFERROR(VLOOKUP(D1372,
IMPORTRANGE(""https://docs.google.com/spreadsheets/d/1MjHtlUikwobi2MaWJgy7tfLeBmhj1u-dRFRs_8GwSoA/edit#gid=0"",""Gestores Escolares!D7:J""),7,0),""VERIFICAR CÓD SEC"")"),"(74) 9 9110-5602")</f>
        <v>(74) 9 9110-5602</v>
      </c>
      <c r="Q1372" s="82" t="str">
        <f>IFERROR(__xludf.DUMMYFUNCTION("IFERROR(VLOOKUP(D1372,
IMPORTRANGE(""https://docs.google.com/spreadsheets/d/1MjHtlUikwobi2MaWJgy7tfLeBmhj1u-dRFRs_8GwSoA/edit#gid=0"",""Gestores Escolares!D7:m""),9,0),""VERIFICAR CÓD SEC"")"),"LILIA SANDRA GUIMARAES REIS VERAS")</f>
        <v>LILIA SANDRA GUIMARAES REIS VERAS</v>
      </c>
      <c r="R1372" s="82" t="str">
        <f>IFERROR(__xludf.DUMMYFUNCTION("IFERROR(VLOOKUP(D1372,
IMPORTRANGE(""https://docs.google.com/spreadsheets/d/1MjHtlUikwobi2MaWJgy7tfLeBmhj1u-dRFRs_8GwSoA/edit#gid=0"",""Gestores Escolares!D7:m""),10,0),""VERIFICAR CÓD SEC"")"),"")</f>
        <v/>
      </c>
      <c r="S1372" s="82"/>
      <c r="T1372" s="138">
        <v>3.0</v>
      </c>
      <c r="U1372" s="152">
        <v>3.0</v>
      </c>
      <c r="V1372" s="106">
        <v>0.0</v>
      </c>
      <c r="W1372" s="107">
        <v>0.0</v>
      </c>
      <c r="X1372" s="107">
        <v>0.0</v>
      </c>
      <c r="Y1372" s="107">
        <v>0.0</v>
      </c>
      <c r="Z1372" s="80">
        <f t="shared" si="1"/>
        <v>0</v>
      </c>
      <c r="AA1372" s="106">
        <v>0.0</v>
      </c>
      <c r="AB1372" s="107">
        <v>0.0</v>
      </c>
      <c r="AC1372" s="107">
        <v>0.0</v>
      </c>
      <c r="AD1372" s="107">
        <v>0.0</v>
      </c>
      <c r="AE1372" s="80">
        <f t="shared" si="2"/>
        <v>0</v>
      </c>
      <c r="AF1372" s="140">
        <v>0.0</v>
      </c>
      <c r="AG1372" s="109">
        <v>0.0</v>
      </c>
      <c r="AH1372" s="109">
        <v>0.0</v>
      </c>
      <c r="AI1372" s="141">
        <v>0.0</v>
      </c>
      <c r="AJ1372" s="80">
        <f t="shared" si="3"/>
        <v>0</v>
      </c>
      <c r="AK1372" s="140">
        <v>0.0</v>
      </c>
      <c r="AL1372" s="109">
        <v>0.0</v>
      </c>
      <c r="AM1372" s="141">
        <v>0.0</v>
      </c>
      <c r="AN1372" s="80">
        <f t="shared" si="4"/>
        <v>0</v>
      </c>
      <c r="AO1372" s="140">
        <v>0.0</v>
      </c>
      <c r="AP1372" s="109">
        <v>0.0</v>
      </c>
      <c r="AQ1372" s="109">
        <v>48.0</v>
      </c>
      <c r="AR1372" s="80">
        <f t="shared" si="5"/>
        <v>48</v>
      </c>
      <c r="AS1372" s="110">
        <v>0.0</v>
      </c>
      <c r="AT1372" s="110">
        <v>0.0</v>
      </c>
      <c r="AU1372" s="110">
        <v>0.0</v>
      </c>
      <c r="AV1372" s="142">
        <v>0.0</v>
      </c>
      <c r="AW1372" s="80">
        <f t="shared" si="6"/>
        <v>0</v>
      </c>
      <c r="AX1372" s="113">
        <f t="shared" si="7"/>
        <v>48</v>
      </c>
      <c r="AY1372" s="117">
        <f t="shared" si="8"/>
        <v>0</v>
      </c>
      <c r="AZ1372" s="120">
        <f t="shared" si="9"/>
        <v>48</v>
      </c>
      <c r="BA1372" s="115">
        <v>0.0</v>
      </c>
      <c r="BB1372" s="89">
        <f t="shared" si="10"/>
        <v>48</v>
      </c>
      <c r="BC1372" s="132" t="s">
        <v>373</v>
      </c>
      <c r="BD1372" s="132" t="s">
        <v>178</v>
      </c>
      <c r="BE1372" s="132" t="s">
        <v>178</v>
      </c>
      <c r="BF1372" s="123"/>
      <c r="BG1372" s="83">
        <v>1178977.0</v>
      </c>
      <c r="BH1372" s="112"/>
      <c r="BI1372" s="112">
        <v>3.0</v>
      </c>
      <c r="BJ1372" s="98" t="s">
        <v>155</v>
      </c>
      <c r="BK1372" s="99">
        <f t="shared" si="11"/>
        <v>0</v>
      </c>
      <c r="BL1372" s="99">
        <f t="shared" si="12"/>
        <v>0</v>
      </c>
      <c r="BM1372" s="99" t="str">
        <f>IFERROR(__xludf.DUMMYFUNCTION("IFERROR(VLOOKUP(BG1372,IMPORTRANGE(""https://docs.google.com/spreadsheets/d/1juPI-Fb8LD0YtltB2mlGEnp_R3UVu1t3wSFPzgCyHXE/edit?gid=0#gid=0"",""GERAL!A2:C""),3,0),""-"")"),"CAMPO")</f>
        <v>CAMPO</v>
      </c>
    </row>
    <row r="1373" ht="15.75" customHeight="1">
      <c r="A1373" s="111" t="s">
        <v>1707</v>
      </c>
      <c r="B1373" s="83" t="s">
        <v>7682</v>
      </c>
      <c r="C1373" s="83" t="s">
        <v>164</v>
      </c>
      <c r="D1373" s="112">
        <v>1119828.0</v>
      </c>
      <c r="E1373" s="83">
        <v>1178980.0</v>
      </c>
      <c r="F1373" s="98">
        <v>2.949289E7</v>
      </c>
      <c r="G1373" s="119" t="s">
        <v>7724</v>
      </c>
      <c r="H1373" s="91" t="s">
        <v>7725</v>
      </c>
      <c r="I1373" s="136" t="s">
        <v>7726</v>
      </c>
      <c r="J1373" s="83" t="s">
        <v>471</v>
      </c>
      <c r="K1373" s="83" t="s">
        <v>168</v>
      </c>
      <c r="L1373" s="83" t="s">
        <v>230</v>
      </c>
      <c r="M1373" s="82" t="str">
        <f>IFERROR(__xludf.DUMMYFUNCTION("IFERROR(VLOOKUP(D1373,
IMPORTRANGE(""https://docs.google.com/spreadsheets/d/1MjHtlUikwobi2MaWJgy7tfLeBmhj1u-dRFRs_8GwSoA/edit#gid=0"",""Gestores Escolares!D7:J""),3,0),""VERIFICAR CÓD SEC"")"),"NIERIVANIA CUNHA DE OLIVEIRA SENA")</f>
        <v>NIERIVANIA CUNHA DE OLIVEIRA SENA</v>
      </c>
      <c r="N1373" s="82" t="str">
        <f>IFERROR(__xludf.DUMMYFUNCTION("IFERROR(VLOOKUP(D1373,
IMPORTRANGE(""https://docs.google.com/spreadsheets/d/1MjHtlUikwobi2MaWJgy7tfLeBmhj1u-dRFRs_8GwSoA/edit#gid=0"",""Gestores Escolares!D7:J""),4,0),""VERIFICAR CÓD SEC"")"),"(74) 9 9118-6264")</f>
        <v>(74) 9 9118-6264</v>
      </c>
      <c r="O1373" s="82" t="str">
        <f>IFERROR(__xludf.DUMMYFUNCTION("IFERROR(VLOOKUP(D1373,
IMPORTRANGE(""https://docs.google.com/spreadsheets/d/1MjHtlUikwobi2MaWJgy7tfLeBmhj1u-dRFRs_8GwSoA/edit#gid=0"",""Gestores Escolares!D7:J""),6,0),""VERIFICAR CÓD SEC"")"),"ACACIO CASSEANO DE SOUZA SILVA")</f>
        <v>ACACIO CASSEANO DE SOUZA SILVA</v>
      </c>
      <c r="P1373" s="82" t="str">
        <f>IFERROR(__xludf.DUMMYFUNCTION("IFERROR(VLOOKUP(D1373,
IMPORTRANGE(""https://docs.google.com/spreadsheets/d/1MjHtlUikwobi2MaWJgy7tfLeBmhj1u-dRFRs_8GwSoA/edit#gid=0"",""Gestores Escolares!D7:J""),7,0),""VERIFICAR CÓD SEC"")"),"(74) 9 9110-5602")</f>
        <v>(74) 9 9110-5602</v>
      </c>
      <c r="Q1373" s="82" t="str">
        <f>IFERROR(__xludf.DUMMYFUNCTION("IFERROR(VLOOKUP(D1373,
IMPORTRANGE(""https://docs.google.com/spreadsheets/d/1MjHtlUikwobi2MaWJgy7tfLeBmhj1u-dRFRs_8GwSoA/edit#gid=0"",""Gestores Escolares!D7:m""),9,0),""VERIFICAR CÓD SEC"")"),"LILIA SANDRA GUIMARAES REIS VERAS")</f>
        <v>LILIA SANDRA GUIMARAES REIS VERAS</v>
      </c>
      <c r="R1373" s="82" t="str">
        <f>IFERROR(__xludf.DUMMYFUNCTION("IFERROR(VLOOKUP(D1373,
IMPORTRANGE(""https://docs.google.com/spreadsheets/d/1MjHtlUikwobi2MaWJgy7tfLeBmhj1u-dRFRs_8GwSoA/edit#gid=0"",""Gestores Escolares!D7:m""),10,0),""VERIFICAR CÓD SEC"")"),"")</f>
        <v/>
      </c>
      <c r="S1373" s="82"/>
      <c r="T1373" s="138">
        <v>4.0</v>
      </c>
      <c r="U1373" s="217">
        <v>4.0</v>
      </c>
      <c r="V1373" s="106">
        <v>0.0</v>
      </c>
      <c r="W1373" s="107">
        <v>0.0</v>
      </c>
      <c r="X1373" s="107">
        <v>0.0</v>
      </c>
      <c r="Y1373" s="107">
        <v>0.0</v>
      </c>
      <c r="Z1373" s="80">
        <f t="shared" si="1"/>
        <v>0</v>
      </c>
      <c r="AA1373" s="106">
        <v>0.0</v>
      </c>
      <c r="AB1373" s="107">
        <v>0.0</v>
      </c>
      <c r="AC1373" s="107">
        <v>0.0</v>
      </c>
      <c r="AD1373" s="107">
        <v>0.0</v>
      </c>
      <c r="AE1373" s="80">
        <f t="shared" si="2"/>
        <v>0</v>
      </c>
      <c r="AF1373" s="140">
        <v>90.0</v>
      </c>
      <c r="AG1373" s="109">
        <v>108.0</v>
      </c>
      <c r="AH1373" s="109">
        <v>0.0</v>
      </c>
      <c r="AI1373" s="141">
        <v>0.0</v>
      </c>
      <c r="AJ1373" s="80">
        <f t="shared" si="3"/>
        <v>198</v>
      </c>
      <c r="AK1373" s="140">
        <v>0.0</v>
      </c>
      <c r="AL1373" s="109">
        <v>0.0</v>
      </c>
      <c r="AM1373" s="141">
        <v>0.0</v>
      </c>
      <c r="AN1373" s="80">
        <f t="shared" si="4"/>
        <v>0</v>
      </c>
      <c r="AO1373" s="140">
        <v>0.0</v>
      </c>
      <c r="AP1373" s="109">
        <v>0.0</v>
      </c>
      <c r="AQ1373" s="109">
        <v>26.0</v>
      </c>
      <c r="AR1373" s="80">
        <f t="shared" si="5"/>
        <v>26</v>
      </c>
      <c r="AS1373" s="110">
        <v>0.0</v>
      </c>
      <c r="AT1373" s="110">
        <v>0.0</v>
      </c>
      <c r="AU1373" s="110">
        <v>0.0</v>
      </c>
      <c r="AV1373" s="142">
        <v>0.0</v>
      </c>
      <c r="AW1373" s="80">
        <f t="shared" si="6"/>
        <v>0</v>
      </c>
      <c r="AX1373" s="113">
        <f t="shared" si="7"/>
        <v>224</v>
      </c>
      <c r="AY1373" s="117">
        <f t="shared" si="8"/>
        <v>198</v>
      </c>
      <c r="AZ1373" s="120">
        <f t="shared" si="9"/>
        <v>26</v>
      </c>
      <c r="BA1373" s="115">
        <v>0.0</v>
      </c>
      <c r="BB1373" s="89">
        <f t="shared" si="10"/>
        <v>224</v>
      </c>
      <c r="BC1373" s="132" t="s">
        <v>373</v>
      </c>
      <c r="BD1373" s="132" t="s">
        <v>178</v>
      </c>
      <c r="BE1373" s="132" t="s">
        <v>178</v>
      </c>
      <c r="BF1373" s="123"/>
      <c r="BG1373" s="83">
        <v>1178980.0</v>
      </c>
      <c r="BH1373" s="112"/>
      <c r="BI1373" s="112">
        <v>4.0</v>
      </c>
      <c r="BJ1373" s="98" t="s">
        <v>155</v>
      </c>
      <c r="BK1373" s="99">
        <f t="shared" si="11"/>
        <v>0</v>
      </c>
      <c r="BL1373" s="99">
        <f t="shared" si="12"/>
        <v>198</v>
      </c>
      <c r="BM1373" s="99" t="str">
        <f>IFERROR(__xludf.DUMMYFUNCTION("IFERROR(VLOOKUP(BG1373,IMPORTRANGE(""https://docs.google.com/spreadsheets/d/1juPI-Fb8LD0YtltB2mlGEnp_R3UVu1t3wSFPzgCyHXE/edit?gid=0#gid=0"",""GERAL!A2:C""),3,0),""-"")"),"CAMPO")</f>
        <v>CAMPO</v>
      </c>
    </row>
    <row r="1374" ht="15.75" customHeight="1">
      <c r="A1374" s="111" t="s">
        <v>1707</v>
      </c>
      <c r="B1374" s="83" t="s">
        <v>7682</v>
      </c>
      <c r="C1374" s="83" t="s">
        <v>164</v>
      </c>
      <c r="D1374" s="112">
        <v>1179286.0</v>
      </c>
      <c r="E1374" s="83">
        <v>1178985.0</v>
      </c>
      <c r="F1374" s="98">
        <v>2.9461529E7</v>
      </c>
      <c r="G1374" s="114" t="s">
        <v>7728</v>
      </c>
      <c r="H1374" s="91" t="s">
        <v>7729</v>
      </c>
      <c r="I1374" s="136" t="s">
        <v>7730</v>
      </c>
      <c r="J1374" s="83" t="s">
        <v>244</v>
      </c>
      <c r="K1374" s="83" t="s">
        <v>168</v>
      </c>
      <c r="L1374" s="83" t="s">
        <v>169</v>
      </c>
      <c r="M1374" s="82" t="str">
        <f>IFERROR(__xludf.DUMMYFUNCTION("IFERROR(VLOOKUP(D1374,
IMPORTRANGE(""https://docs.google.com/spreadsheets/d/1MjHtlUikwobi2MaWJgy7tfLeBmhj1u-dRFRs_8GwSoA/edit#gid=0"",""Gestores Escolares!D7:J""),3,0),""VERIFICAR CÓD SEC"")"),"GISELDA VIEIRA FEITOSA DE ALMEIDA")</f>
        <v>GISELDA VIEIRA FEITOSA DE ALMEIDA</v>
      </c>
      <c r="N1374" s="82" t="str">
        <f>IFERROR(__xludf.DUMMYFUNCTION("IFERROR(VLOOKUP(D1374,
IMPORTRANGE(""https://docs.google.com/spreadsheets/d/1MjHtlUikwobi2MaWJgy7tfLeBmhj1u-dRFRs_8GwSoA/edit#gid=0"",""Gestores Escolares!D7:J""),4,0),""VERIFICAR CÓD SEC"")"),"(74) 9 9148-3771")</f>
        <v>(74) 9 9148-3771</v>
      </c>
      <c r="O1374" s="82" t="str">
        <f>IFERROR(__xludf.DUMMYFUNCTION("IFERROR(VLOOKUP(D1374,
IMPORTRANGE(""https://docs.google.com/spreadsheets/d/1MjHtlUikwobi2MaWJgy7tfLeBmhj1u-dRFRs_8GwSoA/edit#gid=0"",""Gestores Escolares!D7:J""),6,0),""VERIFICAR CÓD SEC"")"),"JOSEFA CRISTINA DA SILVA RIBEIRO")</f>
        <v>JOSEFA CRISTINA DA SILVA RIBEIRO</v>
      </c>
      <c r="P1374" s="82" t="str">
        <f>IFERROR(__xludf.DUMMYFUNCTION("IFERROR(VLOOKUP(D1374,
IMPORTRANGE(""https://docs.google.com/spreadsheets/d/1MjHtlUikwobi2MaWJgy7tfLeBmhj1u-dRFRs_8GwSoA/edit#gid=0"",""Gestores Escolares!D7:J""),7,0),""VERIFICAR CÓD SEC"")"),"(74) 9 9111-4149")</f>
        <v>(74) 9 9111-4149</v>
      </c>
      <c r="Q1374" s="82" t="str">
        <f>IFERROR(__xludf.DUMMYFUNCTION("IFERROR(VLOOKUP(D1374,
IMPORTRANGE(""https://docs.google.com/spreadsheets/d/1MjHtlUikwobi2MaWJgy7tfLeBmhj1u-dRFRs_8GwSoA/edit#gid=0"",""Gestores Escolares!D7:m""),9,0),""VERIFICAR CÓD SEC"")"),"SANDRO ALMEIDA SILVA")</f>
        <v>SANDRO ALMEIDA SILVA</v>
      </c>
      <c r="R1374" s="82" t="str">
        <f>IFERROR(__xludf.DUMMYFUNCTION("IFERROR(VLOOKUP(D1374,
IMPORTRANGE(""https://docs.google.com/spreadsheets/d/1MjHtlUikwobi2MaWJgy7tfLeBmhj1u-dRFRs_8GwSoA/edit#gid=0"",""Gestores Escolares!D7:m""),10,0),""VERIFICAR CÓD SEC"")"),"(74) 9 9118-4604")</f>
        <v>(74) 9 9118-4604</v>
      </c>
      <c r="S1374" s="82"/>
      <c r="T1374" s="138">
        <v>3.0</v>
      </c>
      <c r="U1374" s="152">
        <v>3.0</v>
      </c>
      <c r="V1374" s="106">
        <v>0.0</v>
      </c>
      <c r="W1374" s="107">
        <v>0.0</v>
      </c>
      <c r="X1374" s="107">
        <v>0.0</v>
      </c>
      <c r="Y1374" s="107">
        <v>0.0</v>
      </c>
      <c r="Z1374" s="80">
        <f t="shared" si="1"/>
        <v>0</v>
      </c>
      <c r="AA1374" s="106">
        <v>0.0</v>
      </c>
      <c r="AB1374" s="107">
        <v>0.0</v>
      </c>
      <c r="AC1374" s="107">
        <v>0.0</v>
      </c>
      <c r="AD1374" s="107">
        <v>0.0</v>
      </c>
      <c r="AE1374" s="80">
        <f t="shared" si="2"/>
        <v>0</v>
      </c>
      <c r="AF1374" s="140">
        <v>0.0</v>
      </c>
      <c r="AG1374" s="109">
        <v>0.0</v>
      </c>
      <c r="AH1374" s="109">
        <v>47.0</v>
      </c>
      <c r="AI1374" s="141">
        <v>0.0</v>
      </c>
      <c r="AJ1374" s="80">
        <f t="shared" si="3"/>
        <v>47</v>
      </c>
      <c r="AK1374" s="140">
        <v>0.0</v>
      </c>
      <c r="AL1374" s="109">
        <v>0.0</v>
      </c>
      <c r="AM1374" s="141">
        <v>0.0</v>
      </c>
      <c r="AN1374" s="80">
        <f t="shared" si="4"/>
        <v>0</v>
      </c>
      <c r="AO1374" s="140">
        <v>0.0</v>
      </c>
      <c r="AP1374" s="109">
        <v>0.0</v>
      </c>
      <c r="AQ1374" s="109">
        <v>0.0</v>
      </c>
      <c r="AR1374" s="80">
        <f t="shared" si="5"/>
        <v>0</v>
      </c>
      <c r="AS1374" s="110">
        <v>0.0</v>
      </c>
      <c r="AT1374" s="110">
        <v>0.0</v>
      </c>
      <c r="AU1374" s="110">
        <v>0.0</v>
      </c>
      <c r="AV1374" s="142">
        <v>0.0</v>
      </c>
      <c r="AW1374" s="80">
        <f t="shared" si="6"/>
        <v>0</v>
      </c>
      <c r="AX1374" s="113">
        <f t="shared" si="7"/>
        <v>47</v>
      </c>
      <c r="AY1374" s="117">
        <f t="shared" si="8"/>
        <v>0</v>
      </c>
      <c r="AZ1374" s="120">
        <f t="shared" si="9"/>
        <v>47</v>
      </c>
      <c r="BA1374" s="115">
        <v>0.0</v>
      </c>
      <c r="BB1374" s="89">
        <f t="shared" si="10"/>
        <v>47</v>
      </c>
      <c r="BC1374" s="132" t="s">
        <v>178</v>
      </c>
      <c r="BD1374" s="143" t="s">
        <v>227</v>
      </c>
      <c r="BE1374" s="132" t="s">
        <v>178</v>
      </c>
      <c r="BF1374" s="123"/>
      <c r="BG1374" s="83">
        <v>1178985.0</v>
      </c>
      <c r="BH1374" s="112"/>
      <c r="BI1374" s="112">
        <v>3.0</v>
      </c>
      <c r="BJ1374" s="98" t="s">
        <v>155</v>
      </c>
      <c r="BK1374" s="99">
        <f t="shared" si="11"/>
        <v>0</v>
      </c>
      <c r="BL1374" s="99">
        <f t="shared" si="12"/>
        <v>0</v>
      </c>
      <c r="BM1374" s="99" t="str">
        <f>IFERROR(__xludf.DUMMYFUNCTION("IFERROR(VLOOKUP(BG1374,IMPORTRANGE(""https://docs.google.com/spreadsheets/d/1juPI-Fb8LD0YtltB2mlGEnp_R3UVu1t3wSFPzgCyHXE/edit?gid=0#gid=0"",""GERAL!A2:C""),3,0),""-"")"),"-")</f>
        <v>-</v>
      </c>
    </row>
    <row r="1375" ht="15.75" customHeight="1">
      <c r="A1375" s="111" t="s">
        <v>1707</v>
      </c>
      <c r="B1375" s="83" t="s">
        <v>7682</v>
      </c>
      <c r="C1375" s="83" t="s">
        <v>164</v>
      </c>
      <c r="D1375" s="112">
        <v>1179286.0</v>
      </c>
      <c r="E1375" s="83">
        <v>1178983.0</v>
      </c>
      <c r="F1375" s="98">
        <v>2.9461529E7</v>
      </c>
      <c r="G1375" s="114" t="s">
        <v>7731</v>
      </c>
      <c r="H1375" s="91" t="s">
        <v>7732</v>
      </c>
      <c r="I1375" s="136" t="s">
        <v>7733</v>
      </c>
      <c r="J1375" s="83" t="s">
        <v>315</v>
      </c>
      <c r="K1375" s="83" t="s">
        <v>168</v>
      </c>
      <c r="L1375" s="83" t="s">
        <v>169</v>
      </c>
      <c r="M1375" s="82" t="str">
        <f>IFERROR(__xludf.DUMMYFUNCTION("IFERROR(VLOOKUP(D1375,
IMPORTRANGE(""https://docs.google.com/spreadsheets/d/1MjHtlUikwobi2MaWJgy7tfLeBmhj1u-dRFRs_8GwSoA/edit#gid=0"",""Gestores Escolares!D7:J""),3,0),""VERIFICAR CÓD SEC"")"),"GISELDA VIEIRA FEITOSA DE ALMEIDA")</f>
        <v>GISELDA VIEIRA FEITOSA DE ALMEIDA</v>
      </c>
      <c r="N1375" s="82" t="str">
        <f>IFERROR(__xludf.DUMMYFUNCTION("IFERROR(VLOOKUP(D1375,
IMPORTRANGE(""https://docs.google.com/spreadsheets/d/1MjHtlUikwobi2MaWJgy7tfLeBmhj1u-dRFRs_8GwSoA/edit#gid=0"",""Gestores Escolares!D7:J""),4,0),""VERIFICAR CÓD SEC"")"),"(74) 9 9148-3771")</f>
        <v>(74) 9 9148-3771</v>
      </c>
      <c r="O1375" s="82" t="str">
        <f>IFERROR(__xludf.DUMMYFUNCTION("IFERROR(VLOOKUP(D1375,
IMPORTRANGE(""https://docs.google.com/spreadsheets/d/1MjHtlUikwobi2MaWJgy7tfLeBmhj1u-dRFRs_8GwSoA/edit#gid=0"",""Gestores Escolares!D7:J""),6,0),""VERIFICAR CÓD SEC"")"),"JOSEFA CRISTINA DA SILVA RIBEIRO")</f>
        <v>JOSEFA CRISTINA DA SILVA RIBEIRO</v>
      </c>
      <c r="P1375" s="82" t="str">
        <f>IFERROR(__xludf.DUMMYFUNCTION("IFERROR(VLOOKUP(D1375,
IMPORTRANGE(""https://docs.google.com/spreadsheets/d/1MjHtlUikwobi2MaWJgy7tfLeBmhj1u-dRFRs_8GwSoA/edit#gid=0"",""Gestores Escolares!D7:J""),7,0),""VERIFICAR CÓD SEC"")"),"(74) 9 9111-4149")</f>
        <v>(74) 9 9111-4149</v>
      </c>
      <c r="Q1375" s="82" t="str">
        <f>IFERROR(__xludf.DUMMYFUNCTION("IFERROR(VLOOKUP(D1375,
IMPORTRANGE(""https://docs.google.com/spreadsheets/d/1MjHtlUikwobi2MaWJgy7tfLeBmhj1u-dRFRs_8GwSoA/edit#gid=0"",""Gestores Escolares!D7:m""),9,0),""VERIFICAR CÓD SEC"")"),"SANDRO ALMEIDA SILVA")</f>
        <v>SANDRO ALMEIDA SILVA</v>
      </c>
      <c r="R1375" s="82" t="str">
        <f>IFERROR(__xludf.DUMMYFUNCTION("IFERROR(VLOOKUP(D1375,
IMPORTRANGE(""https://docs.google.com/spreadsheets/d/1MjHtlUikwobi2MaWJgy7tfLeBmhj1u-dRFRs_8GwSoA/edit#gid=0"",""Gestores Escolares!D7:m""),10,0),""VERIFICAR CÓD SEC"")"),"(74) 9 9118-4604")</f>
        <v>(74) 9 9118-4604</v>
      </c>
      <c r="S1375" s="82"/>
      <c r="T1375" s="138">
        <v>3.0</v>
      </c>
      <c r="U1375" s="152">
        <v>3.0</v>
      </c>
      <c r="V1375" s="106">
        <v>0.0</v>
      </c>
      <c r="W1375" s="107">
        <v>0.0</v>
      </c>
      <c r="X1375" s="107">
        <v>0.0</v>
      </c>
      <c r="Y1375" s="107">
        <v>0.0</v>
      </c>
      <c r="Z1375" s="80">
        <f t="shared" si="1"/>
        <v>0</v>
      </c>
      <c r="AA1375" s="106">
        <v>0.0</v>
      </c>
      <c r="AB1375" s="107">
        <v>0.0</v>
      </c>
      <c r="AC1375" s="107">
        <v>0.0</v>
      </c>
      <c r="AD1375" s="107">
        <v>0.0</v>
      </c>
      <c r="AE1375" s="80">
        <f t="shared" si="2"/>
        <v>0</v>
      </c>
      <c r="AF1375" s="140">
        <v>0.0</v>
      </c>
      <c r="AG1375" s="109">
        <v>0.0</v>
      </c>
      <c r="AH1375" s="109">
        <v>32.0</v>
      </c>
      <c r="AI1375" s="141">
        <v>0.0</v>
      </c>
      <c r="AJ1375" s="80">
        <f t="shared" si="3"/>
        <v>32</v>
      </c>
      <c r="AK1375" s="140">
        <v>0.0</v>
      </c>
      <c r="AL1375" s="109">
        <v>0.0</v>
      </c>
      <c r="AM1375" s="141">
        <v>0.0</v>
      </c>
      <c r="AN1375" s="80">
        <f t="shared" si="4"/>
        <v>0</v>
      </c>
      <c r="AO1375" s="140">
        <v>0.0</v>
      </c>
      <c r="AP1375" s="109">
        <v>0.0</v>
      </c>
      <c r="AQ1375" s="109">
        <v>0.0</v>
      </c>
      <c r="AR1375" s="80">
        <f t="shared" si="5"/>
        <v>0</v>
      </c>
      <c r="AS1375" s="110">
        <v>0.0</v>
      </c>
      <c r="AT1375" s="110">
        <v>0.0</v>
      </c>
      <c r="AU1375" s="110">
        <v>0.0</v>
      </c>
      <c r="AV1375" s="142">
        <v>0.0</v>
      </c>
      <c r="AW1375" s="80">
        <f t="shared" si="6"/>
        <v>0</v>
      </c>
      <c r="AX1375" s="113">
        <f t="shared" si="7"/>
        <v>32</v>
      </c>
      <c r="AY1375" s="117">
        <f t="shared" si="8"/>
        <v>0</v>
      </c>
      <c r="AZ1375" s="120">
        <f t="shared" si="9"/>
        <v>32</v>
      </c>
      <c r="BA1375" s="115">
        <v>0.0</v>
      </c>
      <c r="BB1375" s="89">
        <f t="shared" si="10"/>
        <v>32</v>
      </c>
      <c r="BC1375" s="132" t="s">
        <v>178</v>
      </c>
      <c r="BD1375" s="143" t="s">
        <v>227</v>
      </c>
      <c r="BE1375" s="132" t="s">
        <v>178</v>
      </c>
      <c r="BF1375" s="123"/>
      <c r="BG1375" s="83">
        <v>1178983.0</v>
      </c>
      <c r="BH1375" s="112"/>
      <c r="BI1375" s="112">
        <v>3.0</v>
      </c>
      <c r="BJ1375" s="98" t="s">
        <v>155</v>
      </c>
      <c r="BK1375" s="99">
        <f t="shared" si="11"/>
        <v>0</v>
      </c>
      <c r="BL1375" s="99">
        <f t="shared" si="12"/>
        <v>0</v>
      </c>
      <c r="BM1375" s="99" t="str">
        <f>IFERROR(__xludf.DUMMYFUNCTION("IFERROR(VLOOKUP(BG1375,IMPORTRANGE(""https://docs.google.com/spreadsheets/d/1juPI-Fb8LD0YtltB2mlGEnp_R3UVu1t3wSFPzgCyHXE/edit?gid=0#gid=0"",""GERAL!A2:C""),3,0),""-"")"),"-")</f>
        <v>-</v>
      </c>
    </row>
    <row r="1376" ht="15.75" customHeight="1">
      <c r="A1376" s="111" t="s">
        <v>1707</v>
      </c>
      <c r="B1376" s="83" t="s">
        <v>7735</v>
      </c>
      <c r="C1376" s="83" t="s">
        <v>68</v>
      </c>
      <c r="D1376" s="112">
        <v>1121172.0</v>
      </c>
      <c r="E1376" s="83"/>
      <c r="F1376" s="83">
        <v>2.905091E7</v>
      </c>
      <c r="G1376" s="119" t="s">
        <v>7736</v>
      </c>
      <c r="H1376" s="91" t="s">
        <v>7737</v>
      </c>
      <c r="I1376" s="83" t="s">
        <v>149</v>
      </c>
      <c r="J1376" s="83" t="s">
        <v>150</v>
      </c>
      <c r="K1376" s="83" t="s">
        <v>151</v>
      </c>
      <c r="L1376" s="98" t="s">
        <v>152</v>
      </c>
      <c r="M1376" s="82" t="str">
        <f>IFERROR(__xludf.DUMMYFUNCTION("IFERROR(VLOOKUP(D1376,
IMPORTRANGE(""https://docs.google.com/spreadsheets/d/1MjHtlUikwobi2MaWJgy7tfLeBmhj1u-dRFRs_8GwSoA/edit#gid=0"",""Gestores Escolares!D7:J""),3,0),""VERIFICAR CÓD SEC"")"),"SOLANGE BARROS MUNIZ MOTA")</f>
        <v>SOLANGE BARROS MUNIZ MOTA</v>
      </c>
      <c r="N1376" s="82" t="str">
        <f>IFERROR(__xludf.DUMMYFUNCTION("IFERROR(VLOOKUP(D1376,
IMPORTRANGE(""https://docs.google.com/spreadsheets/d/1MjHtlUikwobi2MaWJgy7tfLeBmhj1u-dRFRs_8GwSoA/edit#gid=0"",""Gestores Escolares!D7:J""),4,0),""VERIFICAR CÓD SEC"")"),"(74) 9 9961-6670")</f>
        <v>(74) 9 9961-6670</v>
      </c>
      <c r="O1376" s="82" t="str">
        <f>IFERROR(__xludf.DUMMYFUNCTION("IFERROR(VLOOKUP(D1376,
IMPORTRANGE(""https://docs.google.com/spreadsheets/d/1MjHtlUikwobi2MaWJgy7tfLeBmhj1u-dRFRs_8GwSoA/edit#gid=0"",""Gestores Escolares!D7:J""),6,0),""VERIFICAR CÓD SEC"")"),"SIMÔNICA BARROS MUNIZ ALEXANDRE")</f>
        <v>SIMÔNICA BARROS MUNIZ ALEXANDRE</v>
      </c>
      <c r="P1376" s="82" t="str">
        <f>IFERROR(__xludf.DUMMYFUNCTION("IFERROR(VLOOKUP(D1376,
IMPORTRANGE(""https://docs.google.com/spreadsheets/d/1MjHtlUikwobi2MaWJgy7tfLeBmhj1u-dRFRs_8GwSoA/edit#gid=0"",""Gestores Escolares!D7:J""),7,0),""VERIFICAR CÓD SEC"")"),"(74) 9 9961-5248")</f>
        <v>(74) 9 9961-5248</v>
      </c>
      <c r="Q1376" s="82" t="str">
        <f>IFERROR(__xludf.DUMMYFUNCTION("IFERROR(VLOOKUP(D1376,
IMPORTRANGE(""https://docs.google.com/spreadsheets/d/1MjHtlUikwobi2MaWJgy7tfLeBmhj1u-dRFRs_8GwSoA/edit#gid=0"",""Gestores Escolares!D7:m""),9,0),""VERIFICAR CÓD SEC"")"),"EVANICE DE ALMEIDA PEREIRA")</f>
        <v>EVANICE DE ALMEIDA PEREIRA</v>
      </c>
      <c r="R1376" s="82" t="str">
        <f>IFERROR(__xludf.DUMMYFUNCTION("IFERROR(VLOOKUP(D1376,
IMPORTRANGE(""https://docs.google.com/spreadsheets/d/1MjHtlUikwobi2MaWJgy7tfLeBmhj1u-dRFRs_8GwSoA/edit#gid=0"",""Gestores Escolares!D7:m""),10,0),""VERIFICAR CÓD SEC"")"),"(74) 9 9946-1933")</f>
        <v>(74) 9 9946-1933</v>
      </c>
      <c r="S1376" s="82"/>
      <c r="T1376" s="138">
        <v>11.0</v>
      </c>
      <c r="U1376" s="152" t="s">
        <v>13897</v>
      </c>
      <c r="V1376" s="106">
        <v>0.0</v>
      </c>
      <c r="W1376" s="107">
        <v>0.0</v>
      </c>
      <c r="X1376" s="107">
        <v>0.0</v>
      </c>
      <c r="Y1376" s="107">
        <v>0.0</v>
      </c>
      <c r="Z1376" s="80">
        <f t="shared" si="1"/>
        <v>0</v>
      </c>
      <c r="AA1376" s="106">
        <v>0.0</v>
      </c>
      <c r="AB1376" s="107">
        <v>0.0</v>
      </c>
      <c r="AC1376" s="107">
        <v>0.0</v>
      </c>
      <c r="AD1376" s="107">
        <v>0.0</v>
      </c>
      <c r="AE1376" s="80">
        <f t="shared" si="2"/>
        <v>0</v>
      </c>
      <c r="AF1376" s="140">
        <v>0.0</v>
      </c>
      <c r="AG1376" s="109">
        <v>141.0</v>
      </c>
      <c r="AH1376" s="109">
        <v>0.0</v>
      </c>
      <c r="AI1376" s="141">
        <v>451.0</v>
      </c>
      <c r="AJ1376" s="80">
        <f t="shared" si="3"/>
        <v>592</v>
      </c>
      <c r="AK1376" s="140">
        <v>0.0</v>
      </c>
      <c r="AL1376" s="109">
        <v>0.0</v>
      </c>
      <c r="AM1376" s="141">
        <v>0.0</v>
      </c>
      <c r="AN1376" s="80">
        <f t="shared" si="4"/>
        <v>0</v>
      </c>
      <c r="AO1376" s="140">
        <v>0.0</v>
      </c>
      <c r="AP1376" s="109">
        <v>0.0</v>
      </c>
      <c r="AQ1376" s="109">
        <v>78.0</v>
      </c>
      <c r="AR1376" s="80">
        <f t="shared" si="5"/>
        <v>78</v>
      </c>
      <c r="AS1376" s="110">
        <v>0.0</v>
      </c>
      <c r="AT1376" s="110">
        <v>0.0</v>
      </c>
      <c r="AU1376" s="110">
        <v>48.0</v>
      </c>
      <c r="AV1376" s="142">
        <v>35.0</v>
      </c>
      <c r="AW1376" s="80">
        <f t="shared" si="6"/>
        <v>83</v>
      </c>
      <c r="AX1376" s="113">
        <f t="shared" si="7"/>
        <v>753</v>
      </c>
      <c r="AY1376" s="117">
        <f t="shared" si="8"/>
        <v>627</v>
      </c>
      <c r="AZ1376" s="120">
        <f t="shared" si="9"/>
        <v>126</v>
      </c>
      <c r="BA1376" s="115">
        <v>0.0</v>
      </c>
      <c r="BB1376" s="89">
        <f t="shared" si="10"/>
        <v>753</v>
      </c>
      <c r="BC1376" s="132" t="s">
        <v>178</v>
      </c>
      <c r="BD1376" s="132" t="s">
        <v>178</v>
      </c>
      <c r="BE1376" s="132" t="s">
        <v>178</v>
      </c>
      <c r="BF1376" s="123"/>
      <c r="BG1376" s="83">
        <v>1121172.0</v>
      </c>
      <c r="BH1376" s="112"/>
      <c r="BI1376" s="112">
        <v>9.0</v>
      </c>
      <c r="BJ1376" s="98" t="s">
        <v>155</v>
      </c>
      <c r="BK1376" s="99">
        <f t="shared" si="11"/>
        <v>486</v>
      </c>
      <c r="BL1376" s="99">
        <f t="shared" si="12"/>
        <v>141</v>
      </c>
      <c r="BM1376" s="99" t="str">
        <f>IFERROR(__xludf.DUMMYFUNCTION("IFERROR(VLOOKUP(BG1376,IMPORTRANGE(""https://docs.google.com/spreadsheets/d/1juPI-Fb8LD0YtltB2mlGEnp_R3UVu1t3wSFPzgCyHXE/edit?gid=0#gid=0"",""GERAL!A2:C""),3,0),""-"")"),"-")</f>
        <v>-</v>
      </c>
    </row>
    <row r="1377" ht="15.75" customHeight="1">
      <c r="A1377" s="111" t="s">
        <v>1707</v>
      </c>
      <c r="B1377" s="83" t="s">
        <v>7739</v>
      </c>
      <c r="C1377" s="83" t="s">
        <v>68</v>
      </c>
      <c r="D1377" s="112">
        <v>1120257.0</v>
      </c>
      <c r="E1377" s="83"/>
      <c r="F1377" s="83">
        <v>2.9053544E7</v>
      </c>
      <c r="G1377" s="184" t="s">
        <v>7741</v>
      </c>
      <c r="H1377" s="91" t="s">
        <v>7742</v>
      </c>
      <c r="I1377" s="83" t="s">
        <v>7743</v>
      </c>
      <c r="J1377" s="83" t="s">
        <v>3345</v>
      </c>
      <c r="K1377" s="83" t="s">
        <v>151</v>
      </c>
      <c r="L1377" s="98" t="s">
        <v>152</v>
      </c>
      <c r="M1377" s="82" t="str">
        <f>IFERROR(__xludf.DUMMYFUNCTION("IFERROR(VLOOKUP(D1377,
IMPORTRANGE(""https://docs.google.com/spreadsheets/d/1MjHtlUikwobi2MaWJgy7tfLeBmhj1u-dRFRs_8GwSoA/edit#gid=0"",""Gestores Escolares!D7:J""),3,0),""VERIFICAR CÓD SEC"")"),"EDINEUZA DA SILVA REIS OLIVEIRA")</f>
        <v>EDINEUZA DA SILVA REIS OLIVEIRA</v>
      </c>
      <c r="N1377" s="82" t="str">
        <f>IFERROR(__xludf.DUMMYFUNCTION("IFERROR(VLOOKUP(D1377,
IMPORTRANGE(""https://docs.google.com/spreadsheets/d/1MjHtlUikwobi2MaWJgy7tfLeBmhj1u-dRFRs_8GwSoA/edit#gid=0"",""Gestores Escolares!D7:J""),4,0),""VERIFICAR CÓD SEC"")"),"(74) 9 9982 - 9254")</f>
        <v>(74) 9 9982 - 9254</v>
      </c>
      <c r="O1377" s="82" t="str">
        <f>IFERROR(__xludf.DUMMYFUNCTION("IFERROR(VLOOKUP(D1377,
IMPORTRANGE(""https://docs.google.com/spreadsheets/d/1MjHtlUikwobi2MaWJgy7tfLeBmhj1u-dRFRs_8GwSoA/edit#gid=0"",""Gestores Escolares!D7:J""),6,0),""VERIFICAR CÓD SEC"")"),"MARIA DA CONCEICAO PEREIRA DA SILVA")</f>
        <v>MARIA DA CONCEICAO PEREIRA DA SILVA</v>
      </c>
      <c r="P1377" s="82" t="str">
        <f>IFERROR(__xludf.DUMMYFUNCTION("IFERROR(VLOOKUP(D1377,
IMPORTRANGE(""https://docs.google.com/spreadsheets/d/1MjHtlUikwobi2MaWJgy7tfLeBmhj1u-dRFRs_8GwSoA/edit#gid=0"",""Gestores Escolares!D7:J""),7,0),""VERIFICAR CÓD SEC"")"),"(74) 9 9995-3665")</f>
        <v>(74) 9 9995-3665</v>
      </c>
      <c r="Q1377" s="82" t="str">
        <f>IFERROR(__xludf.DUMMYFUNCTION("IFERROR(VLOOKUP(D1377,
IMPORTRANGE(""https://docs.google.com/spreadsheets/d/1MjHtlUikwobi2MaWJgy7tfLeBmhj1u-dRFRs_8GwSoA/edit#gid=0"",""Gestores Escolares!D7:m""),9,0),""VERIFICAR CÓD SEC"")"),"")</f>
        <v/>
      </c>
      <c r="R1377" s="82" t="str">
        <f>IFERROR(__xludf.DUMMYFUNCTION("IFERROR(VLOOKUP(D1377,
IMPORTRANGE(""https://docs.google.com/spreadsheets/d/1MjHtlUikwobi2MaWJgy7tfLeBmhj1u-dRFRs_8GwSoA/edit#gid=0"",""Gestores Escolares!D7:m""),10,0),""VERIFICAR CÓD SEC"")"),"")</f>
        <v/>
      </c>
      <c r="S1377" s="82"/>
      <c r="T1377" s="138">
        <v>12.0</v>
      </c>
      <c r="U1377" s="152">
        <v>12.0</v>
      </c>
      <c r="V1377" s="106">
        <v>0.0</v>
      </c>
      <c r="W1377" s="107">
        <v>0.0</v>
      </c>
      <c r="X1377" s="107">
        <v>0.0</v>
      </c>
      <c r="Y1377" s="107">
        <v>0.0</v>
      </c>
      <c r="Z1377" s="80">
        <f t="shared" si="1"/>
        <v>0</v>
      </c>
      <c r="AA1377" s="106">
        <v>0.0</v>
      </c>
      <c r="AB1377" s="107">
        <v>0.0</v>
      </c>
      <c r="AC1377" s="107">
        <v>0.0</v>
      </c>
      <c r="AD1377" s="107">
        <v>0.0</v>
      </c>
      <c r="AE1377" s="80">
        <f t="shared" si="2"/>
        <v>0</v>
      </c>
      <c r="AF1377" s="140">
        <v>0.0</v>
      </c>
      <c r="AG1377" s="109">
        <v>0.0</v>
      </c>
      <c r="AH1377" s="109">
        <v>0.0</v>
      </c>
      <c r="AI1377" s="141">
        <v>360.0</v>
      </c>
      <c r="AJ1377" s="80">
        <f t="shared" si="3"/>
        <v>360</v>
      </c>
      <c r="AK1377" s="140">
        <v>0.0</v>
      </c>
      <c r="AL1377" s="109">
        <v>0.0</v>
      </c>
      <c r="AM1377" s="141">
        <v>0.0</v>
      </c>
      <c r="AN1377" s="80">
        <f t="shared" si="4"/>
        <v>0</v>
      </c>
      <c r="AO1377" s="140">
        <v>0.0</v>
      </c>
      <c r="AP1377" s="109">
        <v>0.0</v>
      </c>
      <c r="AQ1377" s="109">
        <v>0.0</v>
      </c>
      <c r="AR1377" s="80">
        <f t="shared" si="5"/>
        <v>0</v>
      </c>
      <c r="AS1377" s="110">
        <v>0.0</v>
      </c>
      <c r="AT1377" s="110">
        <v>0.0</v>
      </c>
      <c r="AU1377" s="110">
        <v>0.0</v>
      </c>
      <c r="AV1377" s="142">
        <v>0.0</v>
      </c>
      <c r="AW1377" s="80">
        <f t="shared" si="6"/>
        <v>0</v>
      </c>
      <c r="AX1377" s="113">
        <f t="shared" si="7"/>
        <v>360</v>
      </c>
      <c r="AY1377" s="117">
        <f t="shared" si="8"/>
        <v>360</v>
      </c>
      <c r="AZ1377" s="120">
        <f t="shared" si="9"/>
        <v>0</v>
      </c>
      <c r="BA1377" s="115">
        <v>0.0</v>
      </c>
      <c r="BB1377" s="89">
        <f t="shared" si="10"/>
        <v>360</v>
      </c>
      <c r="BC1377" s="132" t="s">
        <v>373</v>
      </c>
      <c r="BD1377" s="132" t="s">
        <v>178</v>
      </c>
      <c r="BE1377" s="132" t="s">
        <v>178</v>
      </c>
      <c r="BF1377" s="123"/>
      <c r="BG1377" s="83">
        <v>1120257.0</v>
      </c>
      <c r="BH1377" s="112"/>
      <c r="BI1377" s="112">
        <v>12.0</v>
      </c>
      <c r="BJ1377" s="98" t="s">
        <v>155</v>
      </c>
      <c r="BK1377" s="99">
        <f t="shared" si="11"/>
        <v>360</v>
      </c>
      <c r="BL1377" s="99">
        <f t="shared" si="12"/>
        <v>0</v>
      </c>
      <c r="BM1377" s="99" t="str">
        <f>IFERROR(__xludf.DUMMYFUNCTION("IFERROR(VLOOKUP(BG1377,IMPORTRANGE(""https://docs.google.com/spreadsheets/d/1juPI-Fb8LD0YtltB2mlGEnp_R3UVu1t3wSFPzgCyHXE/edit?gid=0#gid=0"",""GERAL!A2:C""),3,0),""-"")"),"CAMPO")</f>
        <v>CAMPO</v>
      </c>
    </row>
    <row r="1378" ht="15.75" customHeight="1">
      <c r="A1378" s="111" t="s">
        <v>1707</v>
      </c>
      <c r="B1378" s="83" t="s">
        <v>7739</v>
      </c>
      <c r="C1378" s="83" t="s">
        <v>68</v>
      </c>
      <c r="D1378" s="112">
        <v>1176700.0</v>
      </c>
      <c r="E1378" s="83"/>
      <c r="F1378" s="83">
        <v>2.9419468E7</v>
      </c>
      <c r="G1378" s="513" t="s">
        <v>7746</v>
      </c>
      <c r="H1378" s="91" t="s">
        <v>7747</v>
      </c>
      <c r="I1378" s="83" t="s">
        <v>149</v>
      </c>
      <c r="J1378" s="83" t="s">
        <v>150</v>
      </c>
      <c r="K1378" s="83" t="s">
        <v>151</v>
      </c>
      <c r="L1378" s="83" t="s">
        <v>230</v>
      </c>
      <c r="M1378" s="82" t="str">
        <f>IFERROR(__xludf.DUMMYFUNCTION("IFERROR(VLOOKUP(D1378,
IMPORTRANGE(""https://docs.google.com/spreadsheets/d/1MjHtlUikwobi2MaWJgy7tfLeBmhj1u-dRFRs_8GwSoA/edit#gid=0"",""Gestores Escolares!D7:J""),3,0),""VERIFICAR CÓD SEC"")"),"ADRIANA NASCIMENTO DE ARAUJO")</f>
        <v>ADRIANA NASCIMENTO DE ARAUJO</v>
      </c>
      <c r="N1378" s="82" t="str">
        <f>IFERROR(__xludf.DUMMYFUNCTION("IFERROR(VLOOKUP(D1378,
IMPORTRANGE(""https://docs.google.com/spreadsheets/d/1MjHtlUikwobi2MaWJgy7tfLeBmhj1u-dRFRs_8GwSoA/edit#gid=0"",""Gestores Escolares!D7:J""),4,0),""VERIFICAR CÓD SEC"")"),"(74) 9 9956-4293")</f>
        <v>(74) 9 9956-4293</v>
      </c>
      <c r="O1378" s="82" t="str">
        <f>IFERROR(__xludf.DUMMYFUNCTION("IFERROR(VLOOKUP(D1378,
IMPORTRANGE(""https://docs.google.com/spreadsheets/d/1MjHtlUikwobi2MaWJgy7tfLeBmhj1u-dRFRs_8GwSoA/edit#gid=0"",""Gestores Escolares!D7:J""),6,0),""VERIFICAR CÓD SEC"")"),"PEDRO BARROS JÚNIOR")</f>
        <v>PEDRO BARROS JÚNIOR</v>
      </c>
      <c r="P1378" s="82" t="str">
        <f>IFERROR(__xludf.DUMMYFUNCTION("IFERROR(VLOOKUP(D1378,
IMPORTRANGE(""https://docs.google.com/spreadsheets/d/1MjHtlUikwobi2MaWJgy7tfLeBmhj1u-dRFRs_8GwSoA/edit#gid=0"",""Gestores Escolares!D7:J""),7,0),""VERIFICAR CÓD SEC"")"),"(74) 9 9979 -8953")</f>
        <v>(74) 9 9979 -8953</v>
      </c>
      <c r="Q1378" s="82" t="str">
        <f>IFERROR(__xludf.DUMMYFUNCTION("IFERROR(VLOOKUP(D1378,
IMPORTRANGE(""https://docs.google.com/spreadsheets/d/1MjHtlUikwobi2MaWJgy7tfLeBmhj1u-dRFRs_8GwSoA/edit#gid=0"",""Gestores Escolares!D7:m""),9,0),""VERIFICAR CÓD SEC"")"),"MARIA CELESTE DOS SANTOS")</f>
        <v>MARIA CELESTE DOS SANTOS</v>
      </c>
      <c r="R1378" s="82" t="str">
        <f>IFERROR(__xludf.DUMMYFUNCTION("IFERROR(VLOOKUP(D1378,
IMPORTRANGE(""https://docs.google.com/spreadsheets/d/1MjHtlUikwobi2MaWJgy7tfLeBmhj1u-dRFRs_8GwSoA/edit#gid=0"",""Gestores Escolares!D7:m""),10,0),""VERIFICAR CÓD SEC"")"),"(74) 9  9962-2172")</f>
        <v>(74) 9  9962-2172</v>
      </c>
      <c r="S1378" s="82"/>
      <c r="T1378" s="138">
        <v>13.0</v>
      </c>
      <c r="U1378" s="145">
        <v>24.0</v>
      </c>
      <c r="V1378" s="106">
        <v>0.0</v>
      </c>
      <c r="W1378" s="107">
        <v>0.0</v>
      </c>
      <c r="X1378" s="107">
        <v>0.0</v>
      </c>
      <c r="Y1378" s="107">
        <v>0.0</v>
      </c>
      <c r="Z1378" s="80">
        <f t="shared" si="1"/>
        <v>0</v>
      </c>
      <c r="AA1378" s="106">
        <v>0.0</v>
      </c>
      <c r="AB1378" s="107">
        <v>0.0</v>
      </c>
      <c r="AC1378" s="107">
        <v>0.0</v>
      </c>
      <c r="AD1378" s="107">
        <v>0.0</v>
      </c>
      <c r="AE1378" s="80">
        <f t="shared" si="2"/>
        <v>0</v>
      </c>
      <c r="AF1378" s="140">
        <v>0.0</v>
      </c>
      <c r="AG1378" s="109">
        <v>0.0</v>
      </c>
      <c r="AH1378" s="109">
        <v>0.0</v>
      </c>
      <c r="AI1378" s="141">
        <v>21.0</v>
      </c>
      <c r="AJ1378" s="80">
        <f t="shared" si="3"/>
        <v>21</v>
      </c>
      <c r="AK1378" s="140">
        <v>0.0</v>
      </c>
      <c r="AL1378" s="109">
        <v>0.0</v>
      </c>
      <c r="AM1378" s="141">
        <v>0.0</v>
      </c>
      <c r="AN1378" s="80">
        <f t="shared" si="4"/>
        <v>0</v>
      </c>
      <c r="AO1378" s="140">
        <v>0.0</v>
      </c>
      <c r="AP1378" s="109">
        <v>0.0</v>
      </c>
      <c r="AQ1378" s="109">
        <v>52.0</v>
      </c>
      <c r="AR1378" s="80">
        <f t="shared" si="5"/>
        <v>52</v>
      </c>
      <c r="AS1378" s="110">
        <v>301.0</v>
      </c>
      <c r="AT1378" s="110">
        <v>145.0</v>
      </c>
      <c r="AU1378" s="110">
        <v>121.0</v>
      </c>
      <c r="AV1378" s="142">
        <v>235.0</v>
      </c>
      <c r="AW1378" s="80">
        <f t="shared" si="6"/>
        <v>802</v>
      </c>
      <c r="AX1378" s="113">
        <f t="shared" si="7"/>
        <v>875</v>
      </c>
      <c r="AY1378" s="117">
        <f t="shared" si="8"/>
        <v>702</v>
      </c>
      <c r="AZ1378" s="120">
        <f t="shared" si="9"/>
        <v>173</v>
      </c>
      <c r="BA1378" s="115">
        <v>0.0</v>
      </c>
      <c r="BB1378" s="89">
        <f t="shared" si="10"/>
        <v>875</v>
      </c>
      <c r="BC1378" s="132" t="s">
        <v>178</v>
      </c>
      <c r="BD1378" s="132" t="s">
        <v>522</v>
      </c>
      <c r="BE1378" s="132" t="s">
        <v>178</v>
      </c>
      <c r="BF1378" s="156"/>
      <c r="BG1378" s="83">
        <v>1176700.0</v>
      </c>
      <c r="BH1378" s="112"/>
      <c r="BI1378" s="112">
        <v>24.0</v>
      </c>
      <c r="BJ1378" s="98" t="s">
        <v>162</v>
      </c>
      <c r="BK1378" s="99">
        <f t="shared" si="11"/>
        <v>256</v>
      </c>
      <c r="BL1378" s="99">
        <f t="shared" si="12"/>
        <v>446</v>
      </c>
      <c r="BM1378" s="99" t="str">
        <f>IFERROR(__xludf.DUMMYFUNCTION("IFERROR(VLOOKUP(BG1378,IMPORTRANGE(""https://docs.google.com/spreadsheets/d/1juPI-Fb8LD0YtltB2mlGEnp_R3UVu1t3wSFPzgCyHXE/edit?gid=0#gid=0"",""GERAL!A2:C""),3,0),""-"")"),"-")</f>
        <v>-</v>
      </c>
    </row>
    <row r="1379" ht="15.75" customHeight="1">
      <c r="A1379" s="111" t="s">
        <v>1707</v>
      </c>
      <c r="B1379" s="83" t="s">
        <v>7739</v>
      </c>
      <c r="C1379" s="83" t="s">
        <v>164</v>
      </c>
      <c r="D1379" s="112">
        <v>1179286.0</v>
      </c>
      <c r="E1379" s="83">
        <v>1179000.0</v>
      </c>
      <c r="F1379" s="98">
        <v>2.9461529E7</v>
      </c>
      <c r="G1379" s="114" t="s">
        <v>7750</v>
      </c>
      <c r="H1379" s="91" t="s">
        <v>7751</v>
      </c>
      <c r="I1379" s="136" t="s">
        <v>7752</v>
      </c>
      <c r="J1379" s="83" t="s">
        <v>568</v>
      </c>
      <c r="K1379" s="83" t="s">
        <v>168</v>
      </c>
      <c r="L1379" s="83" t="s">
        <v>169</v>
      </c>
      <c r="M1379" s="82" t="str">
        <f>IFERROR(__xludf.DUMMYFUNCTION("IFERROR(VLOOKUP(D1379,
IMPORTRANGE(""https://docs.google.com/spreadsheets/d/1MjHtlUikwobi2MaWJgy7tfLeBmhj1u-dRFRs_8GwSoA/edit#gid=0"",""Gestores Escolares!D7:J""),3,0),""VERIFICAR CÓD SEC"")"),"GISELDA VIEIRA FEITOSA DE ALMEIDA")</f>
        <v>GISELDA VIEIRA FEITOSA DE ALMEIDA</v>
      </c>
      <c r="N1379" s="82" t="str">
        <f>IFERROR(__xludf.DUMMYFUNCTION("IFERROR(VLOOKUP(D1379,
IMPORTRANGE(""https://docs.google.com/spreadsheets/d/1MjHtlUikwobi2MaWJgy7tfLeBmhj1u-dRFRs_8GwSoA/edit#gid=0"",""Gestores Escolares!D7:J""),4,0),""VERIFICAR CÓD SEC"")"),"(74) 9 9148-3771")</f>
        <v>(74) 9 9148-3771</v>
      </c>
      <c r="O1379" s="82" t="str">
        <f>IFERROR(__xludf.DUMMYFUNCTION("IFERROR(VLOOKUP(D1379,
IMPORTRANGE(""https://docs.google.com/spreadsheets/d/1MjHtlUikwobi2MaWJgy7tfLeBmhj1u-dRFRs_8GwSoA/edit#gid=0"",""Gestores Escolares!D7:J""),6,0),""VERIFICAR CÓD SEC"")"),"JOSEFA CRISTINA DA SILVA RIBEIRO")</f>
        <v>JOSEFA CRISTINA DA SILVA RIBEIRO</v>
      </c>
      <c r="P1379" s="82" t="str">
        <f>IFERROR(__xludf.DUMMYFUNCTION("IFERROR(VLOOKUP(D1379,
IMPORTRANGE(""https://docs.google.com/spreadsheets/d/1MjHtlUikwobi2MaWJgy7tfLeBmhj1u-dRFRs_8GwSoA/edit#gid=0"",""Gestores Escolares!D7:J""),7,0),""VERIFICAR CÓD SEC"")"),"(74) 9 9111-4149")</f>
        <v>(74) 9 9111-4149</v>
      </c>
      <c r="Q1379" s="82" t="str">
        <f>IFERROR(__xludf.DUMMYFUNCTION("IFERROR(VLOOKUP(D1379,
IMPORTRANGE(""https://docs.google.com/spreadsheets/d/1MjHtlUikwobi2MaWJgy7tfLeBmhj1u-dRFRs_8GwSoA/edit#gid=0"",""Gestores Escolares!D7:m""),9,0),""VERIFICAR CÓD SEC"")"),"SANDRO ALMEIDA SILVA")</f>
        <v>SANDRO ALMEIDA SILVA</v>
      </c>
      <c r="R1379" s="82" t="str">
        <f>IFERROR(__xludf.DUMMYFUNCTION("IFERROR(VLOOKUP(D1379,
IMPORTRANGE(""https://docs.google.com/spreadsheets/d/1MjHtlUikwobi2MaWJgy7tfLeBmhj1u-dRFRs_8GwSoA/edit#gid=0"",""Gestores Escolares!D7:m""),10,0),""VERIFICAR CÓD SEC"")"),"(74) 9 9118-4604")</f>
        <v>(74) 9 9118-4604</v>
      </c>
      <c r="S1379" s="82"/>
      <c r="T1379" s="138">
        <v>3.0</v>
      </c>
      <c r="U1379" s="152">
        <v>3.0</v>
      </c>
      <c r="V1379" s="106">
        <v>0.0</v>
      </c>
      <c r="W1379" s="107">
        <v>0.0</v>
      </c>
      <c r="X1379" s="107">
        <v>0.0</v>
      </c>
      <c r="Y1379" s="107">
        <v>0.0</v>
      </c>
      <c r="Z1379" s="80">
        <f t="shared" si="1"/>
        <v>0</v>
      </c>
      <c r="AA1379" s="106">
        <v>0.0</v>
      </c>
      <c r="AB1379" s="107">
        <v>0.0</v>
      </c>
      <c r="AC1379" s="107">
        <v>0.0</v>
      </c>
      <c r="AD1379" s="107">
        <v>0.0</v>
      </c>
      <c r="AE1379" s="80">
        <f t="shared" si="2"/>
        <v>0</v>
      </c>
      <c r="AF1379" s="140">
        <v>0.0</v>
      </c>
      <c r="AG1379" s="109">
        <v>0.0</v>
      </c>
      <c r="AH1379" s="109">
        <v>55.0</v>
      </c>
      <c r="AI1379" s="141">
        <v>0.0</v>
      </c>
      <c r="AJ1379" s="80">
        <f t="shared" si="3"/>
        <v>55</v>
      </c>
      <c r="AK1379" s="140">
        <v>0.0</v>
      </c>
      <c r="AL1379" s="109">
        <v>0.0</v>
      </c>
      <c r="AM1379" s="141">
        <v>0.0</v>
      </c>
      <c r="AN1379" s="80">
        <f t="shared" si="4"/>
        <v>0</v>
      </c>
      <c r="AO1379" s="140">
        <v>0.0</v>
      </c>
      <c r="AP1379" s="109">
        <v>0.0</v>
      </c>
      <c r="AQ1379" s="109">
        <v>0.0</v>
      </c>
      <c r="AR1379" s="80">
        <f t="shared" si="5"/>
        <v>0</v>
      </c>
      <c r="AS1379" s="110">
        <v>0.0</v>
      </c>
      <c r="AT1379" s="110">
        <v>0.0</v>
      </c>
      <c r="AU1379" s="110">
        <v>0.0</v>
      </c>
      <c r="AV1379" s="142">
        <v>0.0</v>
      </c>
      <c r="AW1379" s="80">
        <f t="shared" si="6"/>
        <v>0</v>
      </c>
      <c r="AX1379" s="113">
        <f t="shared" si="7"/>
        <v>55</v>
      </c>
      <c r="AY1379" s="117">
        <f t="shared" si="8"/>
        <v>0</v>
      </c>
      <c r="AZ1379" s="120">
        <f t="shared" si="9"/>
        <v>55</v>
      </c>
      <c r="BA1379" s="115">
        <v>0.0</v>
      </c>
      <c r="BB1379" s="89">
        <f t="shared" si="10"/>
        <v>55</v>
      </c>
      <c r="BC1379" s="132" t="s">
        <v>178</v>
      </c>
      <c r="BD1379" s="143" t="s">
        <v>227</v>
      </c>
      <c r="BE1379" s="132" t="s">
        <v>178</v>
      </c>
      <c r="BF1379" s="123"/>
      <c r="BG1379" s="83">
        <v>1179000.0</v>
      </c>
      <c r="BH1379" s="112"/>
      <c r="BI1379" s="112">
        <v>3.0</v>
      </c>
      <c r="BJ1379" s="98" t="s">
        <v>155</v>
      </c>
      <c r="BK1379" s="99">
        <f t="shared" si="11"/>
        <v>0</v>
      </c>
      <c r="BL1379" s="99">
        <f t="shared" si="12"/>
        <v>0</v>
      </c>
      <c r="BM1379" s="99" t="str">
        <f>IFERROR(__xludf.DUMMYFUNCTION("IFERROR(VLOOKUP(BG1379,IMPORTRANGE(""https://docs.google.com/spreadsheets/d/1juPI-Fb8LD0YtltB2mlGEnp_R3UVu1t3wSFPzgCyHXE/edit?gid=0#gid=0"",""GERAL!A2:C""),3,0),""-"")"),"-")</f>
        <v>-</v>
      </c>
    </row>
    <row r="1380" ht="15.75" customHeight="1">
      <c r="A1380" s="111" t="s">
        <v>1707</v>
      </c>
      <c r="B1380" s="83" t="s">
        <v>7739</v>
      </c>
      <c r="C1380" s="83" t="s">
        <v>164</v>
      </c>
      <c r="D1380" s="112">
        <v>1179286.0</v>
      </c>
      <c r="E1380" s="83">
        <v>1178998.0</v>
      </c>
      <c r="F1380" s="98">
        <v>2.9461529E7</v>
      </c>
      <c r="G1380" s="114" t="s">
        <v>7753</v>
      </c>
      <c r="H1380" s="91" t="s">
        <v>7754</v>
      </c>
      <c r="I1380" s="136" t="s">
        <v>7755</v>
      </c>
      <c r="J1380" s="83" t="s">
        <v>315</v>
      </c>
      <c r="K1380" s="83" t="s">
        <v>168</v>
      </c>
      <c r="L1380" s="83" t="s">
        <v>169</v>
      </c>
      <c r="M1380" s="82" t="str">
        <f>IFERROR(__xludf.DUMMYFUNCTION("IFERROR(VLOOKUP(D1380,
IMPORTRANGE(""https://docs.google.com/spreadsheets/d/1MjHtlUikwobi2MaWJgy7tfLeBmhj1u-dRFRs_8GwSoA/edit#gid=0"",""Gestores Escolares!D7:J""),3,0),""VERIFICAR CÓD SEC"")"),"GISELDA VIEIRA FEITOSA DE ALMEIDA")</f>
        <v>GISELDA VIEIRA FEITOSA DE ALMEIDA</v>
      </c>
      <c r="N1380" s="82" t="str">
        <f>IFERROR(__xludf.DUMMYFUNCTION("IFERROR(VLOOKUP(D1380,
IMPORTRANGE(""https://docs.google.com/spreadsheets/d/1MjHtlUikwobi2MaWJgy7tfLeBmhj1u-dRFRs_8GwSoA/edit#gid=0"",""Gestores Escolares!D7:J""),4,0),""VERIFICAR CÓD SEC"")"),"(74) 9 9148-3771")</f>
        <v>(74) 9 9148-3771</v>
      </c>
      <c r="O1380" s="82" t="str">
        <f>IFERROR(__xludf.DUMMYFUNCTION("IFERROR(VLOOKUP(D1380,
IMPORTRANGE(""https://docs.google.com/spreadsheets/d/1MjHtlUikwobi2MaWJgy7tfLeBmhj1u-dRFRs_8GwSoA/edit#gid=0"",""Gestores Escolares!D7:J""),6,0),""VERIFICAR CÓD SEC"")"),"JOSEFA CRISTINA DA SILVA RIBEIRO")</f>
        <v>JOSEFA CRISTINA DA SILVA RIBEIRO</v>
      </c>
      <c r="P1380" s="82" t="str">
        <f>IFERROR(__xludf.DUMMYFUNCTION("IFERROR(VLOOKUP(D1380,
IMPORTRANGE(""https://docs.google.com/spreadsheets/d/1MjHtlUikwobi2MaWJgy7tfLeBmhj1u-dRFRs_8GwSoA/edit#gid=0"",""Gestores Escolares!D7:J""),7,0),""VERIFICAR CÓD SEC"")"),"(74) 9 9111-4149")</f>
        <v>(74) 9 9111-4149</v>
      </c>
      <c r="Q1380" s="82" t="str">
        <f>IFERROR(__xludf.DUMMYFUNCTION("IFERROR(VLOOKUP(D1380,
IMPORTRANGE(""https://docs.google.com/spreadsheets/d/1MjHtlUikwobi2MaWJgy7tfLeBmhj1u-dRFRs_8GwSoA/edit#gid=0"",""Gestores Escolares!D7:m""),9,0),""VERIFICAR CÓD SEC"")"),"SANDRO ALMEIDA SILVA")</f>
        <v>SANDRO ALMEIDA SILVA</v>
      </c>
      <c r="R1380" s="82" t="str">
        <f>IFERROR(__xludf.DUMMYFUNCTION("IFERROR(VLOOKUP(D1380,
IMPORTRANGE(""https://docs.google.com/spreadsheets/d/1MjHtlUikwobi2MaWJgy7tfLeBmhj1u-dRFRs_8GwSoA/edit#gid=0"",""Gestores Escolares!D7:m""),10,0),""VERIFICAR CÓD SEC"")"),"(74) 9 9118-4604")</f>
        <v>(74) 9 9118-4604</v>
      </c>
      <c r="S1380" s="82"/>
      <c r="T1380" s="138">
        <v>3.0</v>
      </c>
      <c r="U1380" s="152">
        <v>3.0</v>
      </c>
      <c r="V1380" s="106">
        <v>0.0</v>
      </c>
      <c r="W1380" s="107">
        <v>0.0</v>
      </c>
      <c r="X1380" s="107">
        <v>0.0</v>
      </c>
      <c r="Y1380" s="107">
        <v>0.0</v>
      </c>
      <c r="Z1380" s="80">
        <f t="shared" si="1"/>
        <v>0</v>
      </c>
      <c r="AA1380" s="106">
        <v>0.0</v>
      </c>
      <c r="AB1380" s="107">
        <v>0.0</v>
      </c>
      <c r="AC1380" s="107">
        <v>0.0</v>
      </c>
      <c r="AD1380" s="107">
        <v>0.0</v>
      </c>
      <c r="AE1380" s="80">
        <f t="shared" si="2"/>
        <v>0</v>
      </c>
      <c r="AF1380" s="140">
        <v>0.0</v>
      </c>
      <c r="AG1380" s="109">
        <v>0.0</v>
      </c>
      <c r="AH1380" s="109">
        <v>34.0</v>
      </c>
      <c r="AI1380" s="141">
        <v>0.0</v>
      </c>
      <c r="AJ1380" s="80">
        <f t="shared" si="3"/>
        <v>34</v>
      </c>
      <c r="AK1380" s="140">
        <v>0.0</v>
      </c>
      <c r="AL1380" s="109">
        <v>0.0</v>
      </c>
      <c r="AM1380" s="141">
        <v>0.0</v>
      </c>
      <c r="AN1380" s="80">
        <f t="shared" si="4"/>
        <v>0</v>
      </c>
      <c r="AO1380" s="140">
        <v>0.0</v>
      </c>
      <c r="AP1380" s="109">
        <v>0.0</v>
      </c>
      <c r="AQ1380" s="109">
        <v>0.0</v>
      </c>
      <c r="AR1380" s="80">
        <f t="shared" si="5"/>
        <v>0</v>
      </c>
      <c r="AS1380" s="110">
        <v>0.0</v>
      </c>
      <c r="AT1380" s="110">
        <v>0.0</v>
      </c>
      <c r="AU1380" s="110">
        <v>0.0</v>
      </c>
      <c r="AV1380" s="142">
        <v>0.0</v>
      </c>
      <c r="AW1380" s="80">
        <f t="shared" si="6"/>
        <v>0</v>
      </c>
      <c r="AX1380" s="113">
        <f t="shared" si="7"/>
        <v>34</v>
      </c>
      <c r="AY1380" s="117">
        <f t="shared" si="8"/>
        <v>0</v>
      </c>
      <c r="AZ1380" s="120">
        <f t="shared" si="9"/>
        <v>34</v>
      </c>
      <c r="BA1380" s="115">
        <v>0.0</v>
      </c>
      <c r="BB1380" s="89">
        <f t="shared" si="10"/>
        <v>34</v>
      </c>
      <c r="BC1380" s="132" t="s">
        <v>178</v>
      </c>
      <c r="BD1380" s="143" t="s">
        <v>227</v>
      </c>
      <c r="BE1380" s="132" t="s">
        <v>178</v>
      </c>
      <c r="BF1380" s="123"/>
      <c r="BG1380" s="83">
        <v>1178998.0</v>
      </c>
      <c r="BH1380" s="112"/>
      <c r="BI1380" s="112">
        <v>3.0</v>
      </c>
      <c r="BJ1380" s="98" t="s">
        <v>155</v>
      </c>
      <c r="BK1380" s="99">
        <f t="shared" si="11"/>
        <v>0</v>
      </c>
      <c r="BL1380" s="99">
        <f t="shared" si="12"/>
        <v>0</v>
      </c>
      <c r="BM1380" s="99" t="str">
        <f>IFERROR(__xludf.DUMMYFUNCTION("IFERROR(VLOOKUP(BG1380,IMPORTRANGE(""https://docs.google.com/spreadsheets/d/1juPI-Fb8LD0YtltB2mlGEnp_R3UVu1t3wSFPzgCyHXE/edit?gid=0#gid=0"",""GERAL!A2:C""),3,0),""-"")"),"-")</f>
        <v>-</v>
      </c>
    </row>
    <row r="1381" ht="15.75" customHeight="1">
      <c r="A1381" s="111" t="s">
        <v>1707</v>
      </c>
      <c r="B1381" s="83" t="s">
        <v>7757</v>
      </c>
      <c r="C1381" s="83" t="s">
        <v>68</v>
      </c>
      <c r="D1381" s="112">
        <v>1140452.0</v>
      </c>
      <c r="E1381" s="83"/>
      <c r="F1381" s="83">
        <v>2.9055075E7</v>
      </c>
      <c r="G1381" s="184" t="s">
        <v>7758</v>
      </c>
      <c r="H1381" s="91" t="s">
        <v>7759</v>
      </c>
      <c r="I1381" s="83" t="s">
        <v>149</v>
      </c>
      <c r="J1381" s="83" t="s">
        <v>240</v>
      </c>
      <c r="K1381" s="83" t="s">
        <v>151</v>
      </c>
      <c r="L1381" s="98" t="s">
        <v>76</v>
      </c>
      <c r="M1381" s="82" t="str">
        <f>IFERROR(__xludf.DUMMYFUNCTION("IFERROR(VLOOKUP(D1381,
IMPORTRANGE(""https://docs.google.com/spreadsheets/d/1MjHtlUikwobi2MaWJgy7tfLeBmhj1u-dRFRs_8GwSoA/edit#gid=0"",""Gestores Escolares!D7:J""),3,0),""VERIFICAR CÓD SEC"")"),"JORDANIA AZEVEDO DE MIRANDA SILVA")</f>
        <v>JORDANIA AZEVEDO DE MIRANDA SILVA</v>
      </c>
      <c r="N1381" s="82" t="str">
        <f>IFERROR(__xludf.DUMMYFUNCTION("IFERROR(VLOOKUP(D1381,
IMPORTRANGE(""https://docs.google.com/spreadsheets/d/1MjHtlUikwobi2MaWJgy7tfLeBmhj1u-dRFRs_8GwSoA/edit#gid=0"",""Gestores Escolares!D7:J""),4,0),""VERIFICAR CÓD SEC"")"),"(74) 9 9923-2067")</f>
        <v>(74) 9 9923-2067</v>
      </c>
      <c r="O1381" s="82" t="str">
        <f>IFERROR(__xludf.DUMMYFUNCTION("IFERROR(VLOOKUP(D1381,
IMPORTRANGE(""https://docs.google.com/spreadsheets/d/1MjHtlUikwobi2MaWJgy7tfLeBmhj1u-dRFRs_8GwSoA/edit#gid=0"",""Gestores Escolares!D7:J""),6,0),""VERIFICAR CÓD SEC"")"),"ROZANIA CARMO DOS SANTOS")</f>
        <v>ROZANIA CARMO DOS SANTOS</v>
      </c>
      <c r="P1381" s="82" t="str">
        <f>IFERROR(__xludf.DUMMYFUNCTION("IFERROR(VLOOKUP(D1381,
IMPORTRANGE(""https://docs.google.com/spreadsheets/d/1MjHtlUikwobi2MaWJgy7tfLeBmhj1u-dRFRs_8GwSoA/edit#gid=0"",""Gestores Escolares!D7:J""),7,0),""VERIFICAR CÓD SEC"")"),"(74) 9 9953-8967")</f>
        <v>(74) 9 9953-8967</v>
      </c>
      <c r="Q1381" s="82" t="str">
        <f>IFERROR(__xludf.DUMMYFUNCTION("IFERROR(VLOOKUP(D1381,
IMPORTRANGE(""https://docs.google.com/spreadsheets/d/1MjHtlUikwobi2MaWJgy7tfLeBmhj1u-dRFRs_8GwSoA/edit#gid=0"",""Gestores Escolares!D7:m""),9,0),""VERIFICAR CÓD SEC"")"),"")</f>
        <v/>
      </c>
      <c r="R1381" s="82" t="str">
        <f>IFERROR(__xludf.DUMMYFUNCTION("IFERROR(VLOOKUP(D1381,
IMPORTRANGE(""https://docs.google.com/spreadsheets/d/1MjHtlUikwobi2MaWJgy7tfLeBmhj1u-dRFRs_8GwSoA/edit#gid=0"",""Gestores Escolares!D7:m""),10,0),""VERIFICAR CÓD SEC"")"),"")</f>
        <v/>
      </c>
      <c r="S1381" s="82"/>
      <c r="T1381" s="138">
        <v>8.0</v>
      </c>
      <c r="U1381" s="145">
        <v>5.0</v>
      </c>
      <c r="V1381" s="106">
        <v>0.0</v>
      </c>
      <c r="W1381" s="107">
        <v>0.0</v>
      </c>
      <c r="X1381" s="107">
        <v>0.0</v>
      </c>
      <c r="Y1381" s="107">
        <v>0.0</v>
      </c>
      <c r="Z1381" s="80">
        <f t="shared" si="1"/>
        <v>0</v>
      </c>
      <c r="AA1381" s="106">
        <v>0.0</v>
      </c>
      <c r="AB1381" s="107">
        <v>0.0</v>
      </c>
      <c r="AC1381" s="107">
        <v>0.0</v>
      </c>
      <c r="AD1381" s="107">
        <v>0.0</v>
      </c>
      <c r="AE1381" s="80">
        <f t="shared" si="2"/>
        <v>0</v>
      </c>
      <c r="AF1381" s="140">
        <v>0.0</v>
      </c>
      <c r="AG1381" s="109">
        <v>33.0</v>
      </c>
      <c r="AH1381" s="109">
        <v>0.0</v>
      </c>
      <c r="AI1381" s="141">
        <v>110.0</v>
      </c>
      <c r="AJ1381" s="80">
        <f t="shared" si="3"/>
        <v>143</v>
      </c>
      <c r="AK1381" s="140">
        <v>0.0</v>
      </c>
      <c r="AL1381" s="109">
        <v>0.0</v>
      </c>
      <c r="AM1381" s="141">
        <v>0.0</v>
      </c>
      <c r="AN1381" s="80">
        <f t="shared" si="4"/>
        <v>0</v>
      </c>
      <c r="AO1381" s="140">
        <v>0.0</v>
      </c>
      <c r="AP1381" s="109">
        <v>0.0</v>
      </c>
      <c r="AQ1381" s="109">
        <v>19.0</v>
      </c>
      <c r="AR1381" s="80">
        <f t="shared" si="5"/>
        <v>19</v>
      </c>
      <c r="AS1381" s="110">
        <v>92.0</v>
      </c>
      <c r="AT1381" s="110">
        <v>0.0</v>
      </c>
      <c r="AU1381" s="110">
        <v>72.0</v>
      </c>
      <c r="AV1381" s="142">
        <v>0.0</v>
      </c>
      <c r="AW1381" s="80">
        <f t="shared" si="6"/>
        <v>164</v>
      </c>
      <c r="AX1381" s="113">
        <f t="shared" si="7"/>
        <v>326</v>
      </c>
      <c r="AY1381" s="117">
        <f t="shared" si="8"/>
        <v>235</v>
      </c>
      <c r="AZ1381" s="120">
        <f t="shared" si="9"/>
        <v>91</v>
      </c>
      <c r="BA1381" s="115">
        <v>0.0</v>
      </c>
      <c r="BB1381" s="89">
        <f t="shared" si="10"/>
        <v>326</v>
      </c>
      <c r="BC1381" s="132" t="s">
        <v>373</v>
      </c>
      <c r="BD1381" s="132" t="s">
        <v>178</v>
      </c>
      <c r="BE1381" s="132" t="s">
        <v>178</v>
      </c>
      <c r="BF1381" s="156"/>
      <c r="BG1381" s="83">
        <v>1140452.0</v>
      </c>
      <c r="BH1381" s="112"/>
      <c r="BI1381" s="112">
        <v>5.0</v>
      </c>
      <c r="BJ1381" s="98" t="s">
        <v>155</v>
      </c>
      <c r="BK1381" s="99">
        <f t="shared" si="11"/>
        <v>110</v>
      </c>
      <c r="BL1381" s="99">
        <f t="shared" si="12"/>
        <v>125</v>
      </c>
      <c r="BM1381" s="99" t="str">
        <f>IFERROR(__xludf.DUMMYFUNCTION("IFERROR(VLOOKUP(BG1381,IMPORTRANGE(""https://docs.google.com/spreadsheets/d/1juPI-Fb8LD0YtltB2mlGEnp_R3UVu1t3wSFPzgCyHXE/edit?gid=0#gid=0"",""GERAL!A2:C""),3,0),""-"")"),"CAMPO")</f>
        <v>CAMPO</v>
      </c>
    </row>
    <row r="1382" ht="15.75" customHeight="1">
      <c r="A1382" s="111" t="s">
        <v>1707</v>
      </c>
      <c r="B1382" s="83" t="s">
        <v>7757</v>
      </c>
      <c r="C1382" s="83" t="s">
        <v>68</v>
      </c>
      <c r="D1382" s="112">
        <v>1144032.0</v>
      </c>
      <c r="E1382" s="83"/>
      <c r="F1382" s="83">
        <v>2.9055067E7</v>
      </c>
      <c r="G1382" s="184" t="s">
        <v>7763</v>
      </c>
      <c r="H1382" s="91" t="s">
        <v>7764</v>
      </c>
      <c r="I1382" s="83" t="s">
        <v>149</v>
      </c>
      <c r="J1382" s="83" t="s">
        <v>150</v>
      </c>
      <c r="K1382" s="83" t="s">
        <v>151</v>
      </c>
      <c r="L1382" s="83" t="s">
        <v>152</v>
      </c>
      <c r="M1382" s="82" t="str">
        <f>IFERROR(__xludf.DUMMYFUNCTION("IFERROR(VLOOKUP(D1382,
IMPORTRANGE(""https://docs.google.com/spreadsheets/d/1MjHtlUikwobi2MaWJgy7tfLeBmhj1u-dRFRs_8GwSoA/edit#gid=0"",""Gestores Escolares!D7:J""),3,0),""VERIFICAR CÓD SEC"")"),"ALINE CAVALCANTE SANTOS")</f>
        <v>ALINE CAVALCANTE SANTOS</v>
      </c>
      <c r="N1382" s="82" t="str">
        <f>IFERROR(__xludf.DUMMYFUNCTION("IFERROR(VLOOKUP(D1382,
IMPORTRANGE(""https://docs.google.com/spreadsheets/d/1MjHtlUikwobi2MaWJgy7tfLeBmhj1u-dRFRs_8GwSoA/edit#gid=0"",""Gestores Escolares!D7:J""),4,0),""VERIFICAR CÓD SEC"")"),"(74) 9 9120 - 5744")</f>
        <v>(74) 9 9120 - 5744</v>
      </c>
      <c r="O1382" s="82" t="str">
        <f>IFERROR(__xludf.DUMMYFUNCTION("IFERROR(VLOOKUP(D1382,
IMPORTRANGE(""https://docs.google.com/spreadsheets/d/1MjHtlUikwobi2MaWJgy7tfLeBmhj1u-dRFRs_8GwSoA/edit#gid=0"",""Gestores Escolares!D7:J""),6,0),""VERIFICAR CÓD SEC"")")," ALESSANDRO JUSTO DA SILVA DIAS")</f>
        <v> ALESSANDRO JUSTO DA SILVA DIAS</v>
      </c>
      <c r="P1382" s="82" t="str">
        <f>IFERROR(__xludf.DUMMYFUNCTION("IFERROR(VLOOKUP(D1382,
IMPORTRANGE(""https://docs.google.com/spreadsheets/d/1MjHtlUikwobi2MaWJgy7tfLeBmhj1u-dRFRs_8GwSoA/edit#gid=0"",""Gestores Escolares!D7:J""),7,0),""VERIFICAR CÓD SEC"")"),"(74) 9 9129-4614")</f>
        <v>(74) 9 9129-4614</v>
      </c>
      <c r="Q1382" s="82" t="str">
        <f>IFERROR(__xludf.DUMMYFUNCTION("IFERROR(VLOOKUP(D1382,
IMPORTRANGE(""https://docs.google.com/spreadsheets/d/1MjHtlUikwobi2MaWJgy7tfLeBmhj1u-dRFRs_8GwSoA/edit#gid=0"",""Gestores Escolares!D7:m""),9,0),""VERIFICAR CÓD SEC"")"),"")</f>
        <v/>
      </c>
      <c r="R1382" s="82" t="str">
        <f>IFERROR(__xludf.DUMMYFUNCTION("IFERROR(VLOOKUP(D1382,
IMPORTRANGE(""https://docs.google.com/spreadsheets/d/1MjHtlUikwobi2MaWJgy7tfLeBmhj1u-dRFRs_8GwSoA/edit#gid=0"",""Gestores Escolares!D7:m""),10,0),""VERIFICAR CÓD SEC"")"),"")</f>
        <v/>
      </c>
      <c r="S1382" s="82"/>
      <c r="T1382" s="138">
        <v>8.0</v>
      </c>
      <c r="U1382" s="145">
        <v>12.0</v>
      </c>
      <c r="V1382" s="106">
        <v>0.0</v>
      </c>
      <c r="W1382" s="107">
        <v>0.0</v>
      </c>
      <c r="X1382" s="107">
        <v>0.0</v>
      </c>
      <c r="Y1382" s="107">
        <v>0.0</v>
      </c>
      <c r="Z1382" s="80">
        <f t="shared" si="1"/>
        <v>0</v>
      </c>
      <c r="AA1382" s="106">
        <v>0.0</v>
      </c>
      <c r="AB1382" s="107">
        <v>0.0</v>
      </c>
      <c r="AC1382" s="107">
        <v>0.0</v>
      </c>
      <c r="AD1382" s="107">
        <v>0.0</v>
      </c>
      <c r="AE1382" s="80">
        <f t="shared" si="2"/>
        <v>0</v>
      </c>
      <c r="AF1382" s="140">
        <v>103.0</v>
      </c>
      <c r="AG1382" s="109">
        <v>0.0</v>
      </c>
      <c r="AH1382" s="109">
        <v>0.0</v>
      </c>
      <c r="AI1382" s="141">
        <v>301.0</v>
      </c>
      <c r="AJ1382" s="80">
        <f t="shared" si="3"/>
        <v>404</v>
      </c>
      <c r="AK1382" s="140">
        <v>0.0</v>
      </c>
      <c r="AL1382" s="109">
        <v>0.0</v>
      </c>
      <c r="AM1382" s="141">
        <v>0.0</v>
      </c>
      <c r="AN1382" s="80">
        <f t="shared" si="4"/>
        <v>0</v>
      </c>
      <c r="AO1382" s="140">
        <v>0.0</v>
      </c>
      <c r="AP1382" s="109">
        <v>0.0</v>
      </c>
      <c r="AQ1382" s="109">
        <v>66.0</v>
      </c>
      <c r="AR1382" s="80">
        <f t="shared" si="5"/>
        <v>66</v>
      </c>
      <c r="AS1382" s="110">
        <v>0.0</v>
      </c>
      <c r="AT1382" s="110">
        <v>0.0</v>
      </c>
      <c r="AU1382" s="110">
        <v>13.0</v>
      </c>
      <c r="AV1382" s="142">
        <v>0.0</v>
      </c>
      <c r="AW1382" s="80">
        <f t="shared" si="6"/>
        <v>13</v>
      </c>
      <c r="AX1382" s="113">
        <f t="shared" si="7"/>
        <v>483</v>
      </c>
      <c r="AY1382" s="117">
        <f t="shared" si="8"/>
        <v>404</v>
      </c>
      <c r="AZ1382" s="120">
        <f t="shared" si="9"/>
        <v>79</v>
      </c>
      <c r="BA1382" s="115">
        <v>0.0</v>
      </c>
      <c r="BB1382" s="89">
        <f t="shared" si="10"/>
        <v>483</v>
      </c>
      <c r="BC1382" s="132" t="s">
        <v>178</v>
      </c>
      <c r="BD1382" s="132" t="s">
        <v>178</v>
      </c>
      <c r="BE1382" s="132" t="s">
        <v>178</v>
      </c>
      <c r="BF1382" s="156"/>
      <c r="BG1382" s="83">
        <v>1144032.0</v>
      </c>
      <c r="BH1382" s="112"/>
      <c r="BI1382" s="112">
        <v>7.0</v>
      </c>
      <c r="BJ1382" s="98" t="s">
        <v>155</v>
      </c>
      <c r="BK1382" s="99">
        <f t="shared" si="11"/>
        <v>301</v>
      </c>
      <c r="BL1382" s="99">
        <f t="shared" si="12"/>
        <v>103</v>
      </c>
      <c r="BM1382" s="99" t="str">
        <f>IFERROR(__xludf.DUMMYFUNCTION("IFERROR(VLOOKUP(BG1382,IMPORTRANGE(""https://docs.google.com/spreadsheets/d/1juPI-Fb8LD0YtltB2mlGEnp_R3UVu1t3wSFPzgCyHXE/edit?gid=0#gid=0"",""GERAL!A2:C""),3,0),""-"")"),"-")</f>
        <v>-</v>
      </c>
    </row>
    <row r="1383" ht="15.75" customHeight="1">
      <c r="A1383" s="111" t="s">
        <v>1707</v>
      </c>
      <c r="B1383" s="83" t="s">
        <v>7757</v>
      </c>
      <c r="C1383" s="83" t="s">
        <v>164</v>
      </c>
      <c r="D1383" s="112">
        <v>1179286.0</v>
      </c>
      <c r="E1383" s="83">
        <v>1179467.0</v>
      </c>
      <c r="F1383" s="98">
        <v>2.9461529E7</v>
      </c>
      <c r="G1383" s="185" t="s">
        <v>7769</v>
      </c>
      <c r="H1383" s="91" t="s">
        <v>7770</v>
      </c>
      <c r="I1383" s="83" t="s">
        <v>149</v>
      </c>
      <c r="J1383" s="83" t="s">
        <v>641</v>
      </c>
      <c r="K1383" s="83" t="s">
        <v>168</v>
      </c>
      <c r="L1383" s="83" t="s">
        <v>169</v>
      </c>
      <c r="M1383" s="82" t="str">
        <f>IFERROR(__xludf.DUMMYFUNCTION("IFERROR(VLOOKUP(D1383,
IMPORTRANGE(""https://docs.google.com/spreadsheets/d/1MjHtlUikwobi2MaWJgy7tfLeBmhj1u-dRFRs_8GwSoA/edit#gid=0"",""Gestores Escolares!D7:J""),3,0),""VERIFICAR CÓD SEC"")"),"GISELDA VIEIRA FEITOSA DE ALMEIDA")</f>
        <v>GISELDA VIEIRA FEITOSA DE ALMEIDA</v>
      </c>
      <c r="N1383" s="82" t="str">
        <f>IFERROR(__xludf.DUMMYFUNCTION("IFERROR(VLOOKUP(D1383,
IMPORTRANGE(""https://docs.google.com/spreadsheets/d/1MjHtlUikwobi2MaWJgy7tfLeBmhj1u-dRFRs_8GwSoA/edit#gid=0"",""Gestores Escolares!D7:J""),4,0),""VERIFICAR CÓD SEC"")"),"(74) 9 9148-3771")</f>
        <v>(74) 9 9148-3771</v>
      </c>
      <c r="O1383" s="82" t="str">
        <f>IFERROR(__xludf.DUMMYFUNCTION("IFERROR(VLOOKUP(D1383,
IMPORTRANGE(""https://docs.google.com/spreadsheets/d/1MjHtlUikwobi2MaWJgy7tfLeBmhj1u-dRFRs_8GwSoA/edit#gid=0"",""Gestores Escolares!D7:J""),6,0),""VERIFICAR CÓD SEC"")"),"JOSEFA CRISTINA DA SILVA RIBEIRO")</f>
        <v>JOSEFA CRISTINA DA SILVA RIBEIRO</v>
      </c>
      <c r="P1383" s="82" t="str">
        <f>IFERROR(__xludf.DUMMYFUNCTION("IFERROR(VLOOKUP(D1383,
IMPORTRANGE(""https://docs.google.com/spreadsheets/d/1MjHtlUikwobi2MaWJgy7tfLeBmhj1u-dRFRs_8GwSoA/edit#gid=0"",""Gestores Escolares!D7:J""),7,0),""VERIFICAR CÓD SEC"")"),"(74) 9 9111-4149")</f>
        <v>(74) 9 9111-4149</v>
      </c>
      <c r="Q1383" s="82" t="str">
        <f>IFERROR(__xludf.DUMMYFUNCTION("IFERROR(VLOOKUP(D1383,
IMPORTRANGE(""https://docs.google.com/spreadsheets/d/1MjHtlUikwobi2MaWJgy7tfLeBmhj1u-dRFRs_8GwSoA/edit#gid=0"",""Gestores Escolares!D7:m""),9,0),""VERIFICAR CÓD SEC"")"),"SANDRO ALMEIDA SILVA")</f>
        <v>SANDRO ALMEIDA SILVA</v>
      </c>
      <c r="R1383" s="82" t="str">
        <f>IFERROR(__xludf.DUMMYFUNCTION("IFERROR(VLOOKUP(D1383,
IMPORTRANGE(""https://docs.google.com/spreadsheets/d/1MjHtlUikwobi2MaWJgy7tfLeBmhj1u-dRFRs_8GwSoA/edit#gid=0"",""Gestores Escolares!D7:m""),10,0),""VERIFICAR CÓD SEC"")"),"(74) 9 9118-4604")</f>
        <v>(74) 9 9118-4604</v>
      </c>
      <c r="S1383" s="82"/>
      <c r="T1383" s="138">
        <v>2.0</v>
      </c>
      <c r="U1383" s="139">
        <v>2.0</v>
      </c>
      <c r="V1383" s="106">
        <v>0.0</v>
      </c>
      <c r="W1383" s="107">
        <v>0.0</v>
      </c>
      <c r="X1383" s="107">
        <v>0.0</v>
      </c>
      <c r="Y1383" s="107">
        <v>0.0</v>
      </c>
      <c r="Z1383" s="80">
        <f t="shared" si="1"/>
        <v>0</v>
      </c>
      <c r="AA1383" s="106">
        <v>0.0</v>
      </c>
      <c r="AB1383" s="107">
        <v>0.0</v>
      </c>
      <c r="AC1383" s="107">
        <v>0.0</v>
      </c>
      <c r="AD1383" s="107">
        <v>0.0</v>
      </c>
      <c r="AE1383" s="80">
        <f t="shared" si="2"/>
        <v>0</v>
      </c>
      <c r="AF1383" s="140">
        <v>0.0</v>
      </c>
      <c r="AG1383" s="109">
        <v>0.0</v>
      </c>
      <c r="AH1383" s="109">
        <v>28.0</v>
      </c>
      <c r="AI1383" s="141">
        <v>0.0</v>
      </c>
      <c r="AJ1383" s="80">
        <f t="shared" si="3"/>
        <v>28</v>
      </c>
      <c r="AK1383" s="140">
        <v>0.0</v>
      </c>
      <c r="AL1383" s="109">
        <v>0.0</v>
      </c>
      <c r="AM1383" s="141">
        <v>0.0</v>
      </c>
      <c r="AN1383" s="80">
        <f t="shared" si="4"/>
        <v>0</v>
      </c>
      <c r="AO1383" s="140">
        <v>0.0</v>
      </c>
      <c r="AP1383" s="109">
        <v>0.0</v>
      </c>
      <c r="AQ1383" s="109">
        <v>0.0</v>
      </c>
      <c r="AR1383" s="80">
        <f t="shared" si="5"/>
        <v>0</v>
      </c>
      <c r="AS1383" s="110">
        <v>0.0</v>
      </c>
      <c r="AT1383" s="110">
        <v>0.0</v>
      </c>
      <c r="AU1383" s="110">
        <v>0.0</v>
      </c>
      <c r="AV1383" s="142">
        <v>0.0</v>
      </c>
      <c r="AW1383" s="80">
        <f t="shared" si="6"/>
        <v>0</v>
      </c>
      <c r="AX1383" s="113">
        <f t="shared" si="7"/>
        <v>28</v>
      </c>
      <c r="AY1383" s="117">
        <f t="shared" si="8"/>
        <v>0</v>
      </c>
      <c r="AZ1383" s="120">
        <f t="shared" si="9"/>
        <v>28</v>
      </c>
      <c r="BA1383" s="115">
        <v>0.0</v>
      </c>
      <c r="BB1383" s="89">
        <f t="shared" si="10"/>
        <v>28</v>
      </c>
      <c r="BC1383" s="132" t="s">
        <v>265</v>
      </c>
      <c r="BD1383" s="183" t="s">
        <v>227</v>
      </c>
      <c r="BE1383" s="132" t="s">
        <v>178</v>
      </c>
      <c r="BF1383" s="156"/>
      <c r="BG1383" s="83">
        <v>1179467.0</v>
      </c>
      <c r="BH1383" s="112"/>
      <c r="BI1383" s="112">
        <v>2.0</v>
      </c>
      <c r="BJ1383" s="98" t="s">
        <v>155</v>
      </c>
      <c r="BK1383" s="99">
        <f t="shared" si="11"/>
        <v>0</v>
      </c>
      <c r="BL1383" s="99">
        <f t="shared" si="12"/>
        <v>0</v>
      </c>
      <c r="BM1383" s="99" t="str">
        <f>IFERROR(__xludf.DUMMYFUNCTION("IFERROR(VLOOKUP(BG1383,IMPORTRANGE(""https://docs.google.com/spreadsheets/d/1juPI-Fb8LD0YtltB2mlGEnp_R3UVu1t3wSFPzgCyHXE/edit?gid=0#gid=0"",""GERAL!A2:C""),3,0),""-"")"),"QUILOMBOLAS")</f>
        <v>QUILOMBOLAS</v>
      </c>
    </row>
    <row r="1384" ht="15.75" customHeight="1">
      <c r="A1384" s="111" t="s">
        <v>1707</v>
      </c>
      <c r="B1384" s="83" t="s">
        <v>7757</v>
      </c>
      <c r="C1384" s="83" t="s">
        <v>164</v>
      </c>
      <c r="D1384" s="112">
        <v>1179286.0</v>
      </c>
      <c r="E1384" s="83">
        <v>1179469.0</v>
      </c>
      <c r="F1384" s="98">
        <v>2.9461529E7</v>
      </c>
      <c r="G1384" s="185" t="s">
        <v>7772</v>
      </c>
      <c r="H1384" s="91" t="s">
        <v>7773</v>
      </c>
      <c r="I1384" s="83" t="s">
        <v>149</v>
      </c>
      <c r="J1384" s="83" t="s">
        <v>1074</v>
      </c>
      <c r="K1384" s="83" t="s">
        <v>168</v>
      </c>
      <c r="L1384" s="83" t="s">
        <v>169</v>
      </c>
      <c r="M1384" s="82" t="str">
        <f>IFERROR(__xludf.DUMMYFUNCTION("IFERROR(VLOOKUP(D1384,
IMPORTRANGE(""https://docs.google.com/spreadsheets/d/1MjHtlUikwobi2MaWJgy7tfLeBmhj1u-dRFRs_8GwSoA/edit#gid=0"",""Gestores Escolares!D7:J""),3,0),""VERIFICAR CÓD SEC"")"),"GISELDA VIEIRA FEITOSA DE ALMEIDA")</f>
        <v>GISELDA VIEIRA FEITOSA DE ALMEIDA</v>
      </c>
      <c r="N1384" s="82" t="str">
        <f>IFERROR(__xludf.DUMMYFUNCTION("IFERROR(VLOOKUP(D1384,
IMPORTRANGE(""https://docs.google.com/spreadsheets/d/1MjHtlUikwobi2MaWJgy7tfLeBmhj1u-dRFRs_8GwSoA/edit#gid=0"",""Gestores Escolares!D7:J""),4,0),""VERIFICAR CÓD SEC"")"),"(74) 9 9148-3771")</f>
        <v>(74) 9 9148-3771</v>
      </c>
      <c r="O1384" s="82" t="str">
        <f>IFERROR(__xludf.DUMMYFUNCTION("IFERROR(VLOOKUP(D1384,
IMPORTRANGE(""https://docs.google.com/spreadsheets/d/1MjHtlUikwobi2MaWJgy7tfLeBmhj1u-dRFRs_8GwSoA/edit#gid=0"",""Gestores Escolares!D7:J""),6,0),""VERIFICAR CÓD SEC"")"),"JOSEFA CRISTINA DA SILVA RIBEIRO")</f>
        <v>JOSEFA CRISTINA DA SILVA RIBEIRO</v>
      </c>
      <c r="P1384" s="82" t="str">
        <f>IFERROR(__xludf.DUMMYFUNCTION("IFERROR(VLOOKUP(D1384,
IMPORTRANGE(""https://docs.google.com/spreadsheets/d/1MjHtlUikwobi2MaWJgy7tfLeBmhj1u-dRFRs_8GwSoA/edit#gid=0"",""Gestores Escolares!D7:J""),7,0),""VERIFICAR CÓD SEC"")"),"(74) 9 9111-4149")</f>
        <v>(74) 9 9111-4149</v>
      </c>
      <c r="Q1384" s="82" t="str">
        <f>IFERROR(__xludf.DUMMYFUNCTION("IFERROR(VLOOKUP(D1384,
IMPORTRANGE(""https://docs.google.com/spreadsheets/d/1MjHtlUikwobi2MaWJgy7tfLeBmhj1u-dRFRs_8GwSoA/edit#gid=0"",""Gestores Escolares!D7:m""),9,0),""VERIFICAR CÓD SEC"")"),"SANDRO ALMEIDA SILVA")</f>
        <v>SANDRO ALMEIDA SILVA</v>
      </c>
      <c r="R1384" s="82" t="str">
        <f>IFERROR(__xludf.DUMMYFUNCTION("IFERROR(VLOOKUP(D1384,
IMPORTRANGE(""https://docs.google.com/spreadsheets/d/1MjHtlUikwobi2MaWJgy7tfLeBmhj1u-dRFRs_8GwSoA/edit#gid=0"",""Gestores Escolares!D7:m""),10,0),""VERIFICAR CÓD SEC"")"),"(74) 9 9118-4604")</f>
        <v>(74) 9 9118-4604</v>
      </c>
      <c r="S1384" s="82"/>
      <c r="T1384" s="138">
        <v>2.0</v>
      </c>
      <c r="U1384" s="139">
        <v>2.0</v>
      </c>
      <c r="V1384" s="106">
        <v>0.0</v>
      </c>
      <c r="W1384" s="107">
        <v>0.0</v>
      </c>
      <c r="X1384" s="107">
        <v>0.0</v>
      </c>
      <c r="Y1384" s="107">
        <v>0.0</v>
      </c>
      <c r="Z1384" s="80">
        <f t="shared" si="1"/>
        <v>0</v>
      </c>
      <c r="AA1384" s="106">
        <v>0.0</v>
      </c>
      <c r="AB1384" s="107">
        <v>0.0</v>
      </c>
      <c r="AC1384" s="107">
        <v>0.0</v>
      </c>
      <c r="AD1384" s="107">
        <v>0.0</v>
      </c>
      <c r="AE1384" s="80">
        <f t="shared" si="2"/>
        <v>0</v>
      </c>
      <c r="AF1384" s="140">
        <v>0.0</v>
      </c>
      <c r="AG1384" s="109">
        <v>0.0</v>
      </c>
      <c r="AH1384" s="109">
        <v>13.0</v>
      </c>
      <c r="AI1384" s="141">
        <v>0.0</v>
      </c>
      <c r="AJ1384" s="80">
        <f t="shared" si="3"/>
        <v>13</v>
      </c>
      <c r="AK1384" s="140">
        <v>0.0</v>
      </c>
      <c r="AL1384" s="109">
        <v>0.0</v>
      </c>
      <c r="AM1384" s="141">
        <v>0.0</v>
      </c>
      <c r="AN1384" s="80">
        <f t="shared" si="4"/>
        <v>0</v>
      </c>
      <c r="AO1384" s="140">
        <v>0.0</v>
      </c>
      <c r="AP1384" s="109">
        <v>0.0</v>
      </c>
      <c r="AQ1384" s="109">
        <v>0.0</v>
      </c>
      <c r="AR1384" s="80">
        <f t="shared" si="5"/>
        <v>0</v>
      </c>
      <c r="AS1384" s="110">
        <v>0.0</v>
      </c>
      <c r="AT1384" s="110">
        <v>0.0</v>
      </c>
      <c r="AU1384" s="110">
        <v>0.0</v>
      </c>
      <c r="AV1384" s="142">
        <v>0.0</v>
      </c>
      <c r="AW1384" s="80">
        <f t="shared" si="6"/>
        <v>0</v>
      </c>
      <c r="AX1384" s="113">
        <f t="shared" si="7"/>
        <v>13</v>
      </c>
      <c r="AY1384" s="117">
        <f t="shared" si="8"/>
        <v>0</v>
      </c>
      <c r="AZ1384" s="120">
        <f t="shared" si="9"/>
        <v>13</v>
      </c>
      <c r="BA1384" s="115">
        <v>0.0</v>
      </c>
      <c r="BB1384" s="89">
        <f t="shared" si="10"/>
        <v>13</v>
      </c>
      <c r="BC1384" s="132" t="s">
        <v>265</v>
      </c>
      <c r="BD1384" s="183" t="s">
        <v>227</v>
      </c>
      <c r="BE1384" s="132" t="s">
        <v>178</v>
      </c>
      <c r="BF1384" s="156"/>
      <c r="BG1384" s="83">
        <v>1179469.0</v>
      </c>
      <c r="BH1384" s="112"/>
      <c r="BI1384" s="112">
        <v>2.0</v>
      </c>
      <c r="BJ1384" s="98" t="s">
        <v>155</v>
      </c>
      <c r="BK1384" s="99">
        <f t="shared" si="11"/>
        <v>0</v>
      </c>
      <c r="BL1384" s="99">
        <f t="shared" si="12"/>
        <v>0</v>
      </c>
      <c r="BM1384" s="99" t="str">
        <f>IFERROR(__xludf.DUMMYFUNCTION("IFERROR(VLOOKUP(BG1384,IMPORTRANGE(""https://docs.google.com/spreadsheets/d/1juPI-Fb8LD0YtltB2mlGEnp_R3UVu1t3wSFPzgCyHXE/edit?gid=0#gid=0"",""GERAL!A2:C""),3,0),""-"")"),"QUILOMBOLAS")</f>
        <v>QUILOMBOLAS</v>
      </c>
    </row>
    <row r="1385" ht="15.75" customHeight="1">
      <c r="A1385" s="111" t="s">
        <v>1707</v>
      </c>
      <c r="B1385" s="83" t="s">
        <v>7774</v>
      </c>
      <c r="C1385" s="83" t="s">
        <v>68</v>
      </c>
      <c r="D1385" s="112">
        <v>1164947.0</v>
      </c>
      <c r="E1385" s="83"/>
      <c r="F1385" s="83">
        <v>2.9076846E7</v>
      </c>
      <c r="G1385" s="119" t="s">
        <v>7775</v>
      </c>
      <c r="H1385" s="91" t="s">
        <v>7776</v>
      </c>
      <c r="I1385" s="136" t="s">
        <v>149</v>
      </c>
      <c r="J1385" s="136" t="s">
        <v>150</v>
      </c>
      <c r="K1385" s="83" t="s">
        <v>151</v>
      </c>
      <c r="L1385" s="83" t="s">
        <v>152</v>
      </c>
      <c r="M1385" s="82" t="str">
        <f>IFERROR(__xludf.DUMMYFUNCTION("IFERROR(VLOOKUP(D1385,
IMPORTRANGE(""https://docs.google.com/spreadsheets/d/1MjHtlUikwobi2MaWJgy7tfLeBmhj1u-dRFRs_8GwSoA/edit#gid=0"",""Gestores Escolares!D7:J""),3,0),""VERIFICAR CÓD SEC"")"),"SILVANIA CARVALHO")</f>
        <v>SILVANIA CARVALHO</v>
      </c>
      <c r="N1385" s="82" t="str">
        <f>IFERROR(__xludf.DUMMYFUNCTION("IFERROR(VLOOKUP(D1385,
IMPORTRANGE(""https://docs.google.com/spreadsheets/d/1MjHtlUikwobi2MaWJgy7tfLeBmhj1u-dRFRs_8GwSoA/edit#gid=0"",""Gestores Escolares!D7:J""),4,0),""VERIFICAR CÓD SEC"")"),"(74) 9 8122-6299")</f>
        <v>(74) 9 8122-6299</v>
      </c>
      <c r="O1385" s="82" t="str">
        <f>IFERROR(__xludf.DUMMYFUNCTION("IFERROR(VLOOKUP(D1385,
IMPORTRANGE(""https://docs.google.com/spreadsheets/d/1MjHtlUikwobi2MaWJgy7tfLeBmhj1u-dRFRs_8GwSoA/edit#gid=0"",""Gestores Escolares!D7:J""),6,0),""VERIFICAR CÓD SEC"")"),"MARIA GORETH CANDIDA DA SILVA GAMA")</f>
        <v>MARIA GORETH CANDIDA DA SILVA GAMA</v>
      </c>
      <c r="P1385" s="82" t="str">
        <f>IFERROR(__xludf.DUMMYFUNCTION("IFERROR(VLOOKUP(D1385,
IMPORTRANGE(""https://docs.google.com/spreadsheets/d/1MjHtlUikwobi2MaWJgy7tfLeBmhj1u-dRFRs_8GwSoA/edit#gid=0"",""Gestores Escolares!D7:J""),7,0),""VERIFICAR CÓD SEC"")"),"(74) 9 8102-2454")</f>
        <v>(74) 9 8102-2454</v>
      </c>
      <c r="Q1385" s="82" t="str">
        <f>IFERROR(__xludf.DUMMYFUNCTION("IFERROR(VLOOKUP(D1385,
IMPORTRANGE(""https://docs.google.com/spreadsheets/d/1MjHtlUikwobi2MaWJgy7tfLeBmhj1u-dRFRs_8GwSoA/edit#gid=0"",""Gestores Escolares!D7:m""),9,0),""VERIFICAR CÓD SEC"")"),"SANDRA FERREIRA ARAUJO")</f>
        <v>SANDRA FERREIRA ARAUJO</v>
      </c>
      <c r="R1385" s="82" t="str">
        <f>IFERROR(__xludf.DUMMYFUNCTION("IFERROR(VLOOKUP(D1385,
IMPORTRANGE(""https://docs.google.com/spreadsheets/d/1MjHtlUikwobi2MaWJgy7tfLeBmhj1u-dRFRs_8GwSoA/edit#gid=0"",""Gestores Escolares!D7:m""),10,0),""VERIFICAR CÓD SEC"")"),"(74) 9 8111-4438")</f>
        <v>(74) 9 8111-4438</v>
      </c>
      <c r="S1385" s="82"/>
      <c r="T1385" s="138">
        <v>13.0</v>
      </c>
      <c r="U1385" s="145">
        <v>12.0</v>
      </c>
      <c r="V1385" s="106">
        <v>0.0</v>
      </c>
      <c r="W1385" s="107">
        <v>0.0</v>
      </c>
      <c r="X1385" s="107">
        <v>0.0</v>
      </c>
      <c r="Y1385" s="107">
        <v>0.0</v>
      </c>
      <c r="Z1385" s="80">
        <f t="shared" si="1"/>
        <v>0</v>
      </c>
      <c r="AA1385" s="106">
        <v>0.0</v>
      </c>
      <c r="AB1385" s="107">
        <v>0.0</v>
      </c>
      <c r="AC1385" s="107">
        <v>0.0</v>
      </c>
      <c r="AD1385" s="107">
        <v>0.0</v>
      </c>
      <c r="AE1385" s="80">
        <f t="shared" si="2"/>
        <v>0</v>
      </c>
      <c r="AF1385" s="140">
        <v>0.0</v>
      </c>
      <c r="AG1385" s="109">
        <v>25.0</v>
      </c>
      <c r="AH1385" s="109">
        <v>0.0</v>
      </c>
      <c r="AI1385" s="141">
        <v>423.0</v>
      </c>
      <c r="AJ1385" s="80">
        <f t="shared" si="3"/>
        <v>448</v>
      </c>
      <c r="AK1385" s="140">
        <v>0.0</v>
      </c>
      <c r="AL1385" s="109">
        <v>0.0</v>
      </c>
      <c r="AM1385" s="141">
        <v>0.0</v>
      </c>
      <c r="AN1385" s="80">
        <f t="shared" si="4"/>
        <v>0</v>
      </c>
      <c r="AO1385" s="140">
        <v>0.0</v>
      </c>
      <c r="AP1385" s="109">
        <v>0.0</v>
      </c>
      <c r="AQ1385" s="109">
        <v>210.0</v>
      </c>
      <c r="AR1385" s="80">
        <f t="shared" si="5"/>
        <v>210</v>
      </c>
      <c r="AS1385" s="110">
        <v>71.0</v>
      </c>
      <c r="AT1385" s="110">
        <v>0.0</v>
      </c>
      <c r="AU1385" s="110">
        <v>52.0</v>
      </c>
      <c r="AV1385" s="142">
        <v>0.0</v>
      </c>
      <c r="AW1385" s="80">
        <f t="shared" si="6"/>
        <v>123</v>
      </c>
      <c r="AX1385" s="113">
        <f t="shared" si="7"/>
        <v>781</v>
      </c>
      <c r="AY1385" s="117">
        <f t="shared" si="8"/>
        <v>519</v>
      </c>
      <c r="AZ1385" s="120">
        <f t="shared" si="9"/>
        <v>262</v>
      </c>
      <c r="BA1385" s="115">
        <v>0.0</v>
      </c>
      <c r="BB1385" s="89">
        <f t="shared" si="10"/>
        <v>781</v>
      </c>
      <c r="BC1385" s="132" t="s">
        <v>178</v>
      </c>
      <c r="BD1385" s="132" t="s">
        <v>178</v>
      </c>
      <c r="BE1385" s="132" t="s">
        <v>178</v>
      </c>
      <c r="BF1385" s="156"/>
      <c r="BG1385" s="83">
        <v>1164947.0</v>
      </c>
      <c r="BH1385" s="112"/>
      <c r="BI1385" s="112">
        <v>8.0</v>
      </c>
      <c r="BJ1385" s="98" t="s">
        <v>162</v>
      </c>
      <c r="BK1385" s="99">
        <f t="shared" si="11"/>
        <v>423</v>
      </c>
      <c r="BL1385" s="99">
        <f t="shared" si="12"/>
        <v>96</v>
      </c>
      <c r="BM1385" s="99" t="str">
        <f>IFERROR(__xludf.DUMMYFUNCTION("IFERROR(VLOOKUP(BG1385,IMPORTRANGE(""https://docs.google.com/spreadsheets/d/1juPI-Fb8LD0YtltB2mlGEnp_R3UVu1t3wSFPzgCyHXE/edit?gid=0#gid=0"",""GERAL!A2:C""),3,0),""-"")"),"-")</f>
        <v>-</v>
      </c>
    </row>
    <row r="1386" ht="15.75" customHeight="1">
      <c r="A1386" s="111" t="s">
        <v>1707</v>
      </c>
      <c r="B1386" s="83" t="s">
        <v>7774</v>
      </c>
      <c r="C1386" s="83" t="s">
        <v>164</v>
      </c>
      <c r="D1386" s="112">
        <v>1164947.0</v>
      </c>
      <c r="E1386" s="83">
        <v>1179001.0</v>
      </c>
      <c r="F1386" s="98">
        <v>2.9491134E7</v>
      </c>
      <c r="G1386" s="119" t="s">
        <v>7790</v>
      </c>
      <c r="H1386" s="108" t="s">
        <v>7791</v>
      </c>
      <c r="I1386" s="136" t="s">
        <v>149</v>
      </c>
      <c r="J1386" s="136" t="s">
        <v>5099</v>
      </c>
      <c r="K1386" s="83" t="s">
        <v>168</v>
      </c>
      <c r="L1386" s="83" t="s">
        <v>169</v>
      </c>
      <c r="M1386" s="82" t="str">
        <f>IFERROR(__xludf.DUMMYFUNCTION("IFERROR(VLOOKUP(D1386,
IMPORTRANGE(""https://docs.google.com/spreadsheets/d/1MjHtlUikwobi2MaWJgy7tfLeBmhj1u-dRFRs_8GwSoA/edit#gid=0"",""Gestores Escolares!D7:J""),3,0),""VERIFICAR CÓD SEC"")"),"SILVANIA CARVALHO")</f>
        <v>SILVANIA CARVALHO</v>
      </c>
      <c r="N1386" s="82" t="str">
        <f>IFERROR(__xludf.DUMMYFUNCTION("IFERROR(VLOOKUP(D1386,
IMPORTRANGE(""https://docs.google.com/spreadsheets/d/1MjHtlUikwobi2MaWJgy7tfLeBmhj1u-dRFRs_8GwSoA/edit#gid=0"",""Gestores Escolares!D7:J""),4,0),""VERIFICAR CÓD SEC"")"),"(74) 9 8122-6299")</f>
        <v>(74) 9 8122-6299</v>
      </c>
      <c r="O1386" s="82" t="str">
        <f>IFERROR(__xludf.DUMMYFUNCTION("IFERROR(VLOOKUP(D1386,
IMPORTRANGE(""https://docs.google.com/spreadsheets/d/1MjHtlUikwobi2MaWJgy7tfLeBmhj1u-dRFRs_8GwSoA/edit#gid=0"",""Gestores Escolares!D7:J""),6,0),""VERIFICAR CÓD SEC"")"),"MARIA GORETH CANDIDA DA SILVA GAMA")</f>
        <v>MARIA GORETH CANDIDA DA SILVA GAMA</v>
      </c>
      <c r="P1386" s="82" t="str">
        <f>IFERROR(__xludf.DUMMYFUNCTION("IFERROR(VLOOKUP(D1386,
IMPORTRANGE(""https://docs.google.com/spreadsheets/d/1MjHtlUikwobi2MaWJgy7tfLeBmhj1u-dRFRs_8GwSoA/edit#gid=0"",""Gestores Escolares!D7:J""),7,0),""VERIFICAR CÓD SEC"")"),"(74) 9 8102-2454")</f>
        <v>(74) 9 8102-2454</v>
      </c>
      <c r="Q1386" s="82" t="str">
        <f>IFERROR(__xludf.DUMMYFUNCTION("IFERROR(VLOOKUP(D1386,
IMPORTRANGE(""https://docs.google.com/spreadsheets/d/1MjHtlUikwobi2MaWJgy7tfLeBmhj1u-dRFRs_8GwSoA/edit#gid=0"",""Gestores Escolares!D7:m""),9,0),""VERIFICAR CÓD SEC"")"),"SANDRA FERREIRA ARAUJO")</f>
        <v>SANDRA FERREIRA ARAUJO</v>
      </c>
      <c r="R1386" s="82" t="str">
        <f>IFERROR(__xludf.DUMMYFUNCTION("IFERROR(VLOOKUP(D1386,
IMPORTRANGE(""https://docs.google.com/spreadsheets/d/1MjHtlUikwobi2MaWJgy7tfLeBmhj1u-dRFRs_8GwSoA/edit#gid=0"",""Gestores Escolares!D7:m""),10,0),""VERIFICAR CÓD SEC"")"),"(74) 9 8111-4438")</f>
        <v>(74) 9 8111-4438</v>
      </c>
      <c r="S1386" s="82"/>
      <c r="T1386" s="138">
        <v>3.0</v>
      </c>
      <c r="U1386" s="145">
        <v>4.0</v>
      </c>
      <c r="V1386" s="106">
        <v>0.0</v>
      </c>
      <c r="W1386" s="107">
        <v>0.0</v>
      </c>
      <c r="X1386" s="107">
        <v>0.0</v>
      </c>
      <c r="Y1386" s="107">
        <v>0.0</v>
      </c>
      <c r="Z1386" s="80">
        <f t="shared" si="1"/>
        <v>0</v>
      </c>
      <c r="AA1386" s="106">
        <v>0.0</v>
      </c>
      <c r="AB1386" s="107">
        <v>0.0</v>
      </c>
      <c r="AC1386" s="107">
        <v>0.0</v>
      </c>
      <c r="AD1386" s="107">
        <v>0.0</v>
      </c>
      <c r="AE1386" s="80">
        <f t="shared" si="2"/>
        <v>0</v>
      </c>
      <c r="AF1386" s="140">
        <v>0.0</v>
      </c>
      <c r="AG1386" s="109">
        <v>0.0</v>
      </c>
      <c r="AH1386" s="109">
        <v>0.0</v>
      </c>
      <c r="AI1386" s="141">
        <v>116.0</v>
      </c>
      <c r="AJ1386" s="80">
        <f t="shared" si="3"/>
        <v>116</v>
      </c>
      <c r="AK1386" s="140">
        <v>0.0</v>
      </c>
      <c r="AL1386" s="109">
        <v>0.0</v>
      </c>
      <c r="AM1386" s="141">
        <v>0.0</v>
      </c>
      <c r="AN1386" s="80">
        <f t="shared" si="4"/>
        <v>0</v>
      </c>
      <c r="AO1386" s="140">
        <v>0.0</v>
      </c>
      <c r="AP1386" s="109">
        <v>0.0</v>
      </c>
      <c r="AQ1386" s="109">
        <v>37.0</v>
      </c>
      <c r="AR1386" s="80">
        <f t="shared" si="5"/>
        <v>37</v>
      </c>
      <c r="AS1386" s="110">
        <v>0.0</v>
      </c>
      <c r="AT1386" s="110">
        <v>0.0</v>
      </c>
      <c r="AU1386" s="110">
        <v>0.0</v>
      </c>
      <c r="AV1386" s="142">
        <v>0.0</v>
      </c>
      <c r="AW1386" s="80">
        <f t="shared" si="6"/>
        <v>0</v>
      </c>
      <c r="AX1386" s="113">
        <f t="shared" si="7"/>
        <v>153</v>
      </c>
      <c r="AY1386" s="117">
        <f t="shared" si="8"/>
        <v>116</v>
      </c>
      <c r="AZ1386" s="120">
        <f t="shared" si="9"/>
        <v>37</v>
      </c>
      <c r="BA1386" s="115">
        <v>0.0</v>
      </c>
      <c r="BB1386" s="89">
        <f t="shared" si="10"/>
        <v>153</v>
      </c>
      <c r="BC1386" s="132" t="s">
        <v>178</v>
      </c>
      <c r="BD1386" s="132" t="s">
        <v>178</v>
      </c>
      <c r="BE1386" s="132" t="s">
        <v>178</v>
      </c>
      <c r="BF1386" s="123"/>
      <c r="BG1386" s="83">
        <v>1179001.0</v>
      </c>
      <c r="BH1386" s="112"/>
      <c r="BI1386" s="112">
        <v>6.0</v>
      </c>
      <c r="BJ1386" s="98" t="s">
        <v>155</v>
      </c>
      <c r="BK1386" s="99">
        <f t="shared" si="11"/>
        <v>116</v>
      </c>
      <c r="BL1386" s="99">
        <f t="shared" si="12"/>
        <v>0</v>
      </c>
      <c r="BM1386" s="99" t="str">
        <f>IFERROR(__xludf.DUMMYFUNCTION("IFERROR(VLOOKUP(BG1386,IMPORTRANGE(""https://docs.google.com/spreadsheets/d/1juPI-Fb8LD0YtltB2mlGEnp_R3UVu1t3wSFPzgCyHXE/edit?gid=0#gid=0"",""GERAL!A2:C""),3,0),""-"")"),"-")</f>
        <v>-</v>
      </c>
    </row>
    <row r="1387" ht="15.75" customHeight="1">
      <c r="A1387" s="111" t="s">
        <v>1707</v>
      </c>
      <c r="B1387" s="83" t="s">
        <v>7792</v>
      </c>
      <c r="C1387" s="83" t="s">
        <v>68</v>
      </c>
      <c r="D1387" s="112">
        <v>1178104.0</v>
      </c>
      <c r="E1387" s="83"/>
      <c r="F1387" s="83">
        <v>2.9433517E7</v>
      </c>
      <c r="G1387" s="481" t="s">
        <v>1536</v>
      </c>
      <c r="H1387" s="91" t="s">
        <v>7793</v>
      </c>
      <c r="I1387" s="172" t="s">
        <v>7794</v>
      </c>
      <c r="J1387" s="83" t="s">
        <v>150</v>
      </c>
      <c r="K1387" s="83" t="s">
        <v>151</v>
      </c>
      <c r="L1387" s="83" t="s">
        <v>152</v>
      </c>
      <c r="M1387" s="82" t="str">
        <f>IFERROR(__xludf.DUMMYFUNCTION("IFERROR(VLOOKUP(D1387,
IMPORTRANGE(""https://docs.google.com/spreadsheets/d/1MjHtlUikwobi2MaWJgy7tfLeBmhj1u-dRFRs_8GwSoA/edit#gid=0"",""Gestores Escolares!D7:J""),3,0),""VERIFICAR CÓD SEC"")"),"MARLY ANDRADE REIS")</f>
        <v>MARLY ANDRADE REIS</v>
      </c>
      <c r="N1387" s="82" t="str">
        <f>IFERROR(__xludf.DUMMYFUNCTION("IFERROR(VLOOKUP(D1387,
IMPORTRANGE(""https://docs.google.com/spreadsheets/d/1MjHtlUikwobi2MaWJgy7tfLeBmhj1u-dRFRs_8GwSoA/edit#gid=0"",""Gestores Escolares!D7:J""),4,0),""VERIFICAR CÓD SEC"")"),"(74) 9 9194 - 7501")</f>
        <v>(74) 9 9194 - 7501</v>
      </c>
      <c r="O1387" s="82" t="str">
        <f>IFERROR(__xludf.DUMMYFUNCTION("IFERROR(VLOOKUP(D1387,
IMPORTRANGE(""https://docs.google.com/spreadsheets/d/1MjHtlUikwobi2MaWJgy7tfLeBmhj1u-dRFRs_8GwSoA/edit#gid=0"",""Gestores Escolares!D7:J""),6,0),""VERIFICAR CÓD SEC"")"),"FELIPE DE SOUZA REIS")</f>
        <v>FELIPE DE SOUZA REIS</v>
      </c>
      <c r="P1387" s="82" t="str">
        <f>IFERROR(__xludf.DUMMYFUNCTION("IFERROR(VLOOKUP(D1387,
IMPORTRANGE(""https://docs.google.com/spreadsheets/d/1MjHtlUikwobi2MaWJgy7tfLeBmhj1u-dRFRs_8GwSoA/edit#gid=0"",""Gestores Escolares!D7:J""),7,0),""VERIFICAR CÓD SEC"")"),"")</f>
        <v/>
      </c>
      <c r="Q1387" s="82" t="str">
        <f>IFERROR(__xludf.DUMMYFUNCTION("IFERROR(VLOOKUP(D1387,
IMPORTRANGE(""https://docs.google.com/spreadsheets/d/1MjHtlUikwobi2MaWJgy7tfLeBmhj1u-dRFRs_8GwSoA/edit#gid=0"",""Gestores Escolares!D7:m""),9,0),""VERIFICAR CÓD SEC"")"),"")</f>
        <v/>
      </c>
      <c r="R1387" s="82" t="str">
        <f>IFERROR(__xludf.DUMMYFUNCTION("IFERROR(VLOOKUP(D1387,
IMPORTRANGE(""https://docs.google.com/spreadsheets/d/1MjHtlUikwobi2MaWJgy7tfLeBmhj1u-dRFRs_8GwSoA/edit#gid=0"",""Gestores Escolares!D7:m""),10,0),""VERIFICAR CÓD SEC"")"),"")</f>
        <v/>
      </c>
      <c r="S1387" s="82"/>
      <c r="T1387" s="138">
        <v>15.0</v>
      </c>
      <c r="U1387" s="145" t="s">
        <v>13898</v>
      </c>
      <c r="V1387" s="106">
        <v>0.0</v>
      </c>
      <c r="W1387" s="107">
        <v>0.0</v>
      </c>
      <c r="X1387" s="107">
        <v>0.0</v>
      </c>
      <c r="Y1387" s="107">
        <v>0.0</v>
      </c>
      <c r="Z1387" s="80">
        <f t="shared" si="1"/>
        <v>0</v>
      </c>
      <c r="AA1387" s="106">
        <v>0.0</v>
      </c>
      <c r="AB1387" s="107">
        <v>0.0</v>
      </c>
      <c r="AC1387" s="107">
        <v>0.0</v>
      </c>
      <c r="AD1387" s="107">
        <v>0.0</v>
      </c>
      <c r="AE1387" s="80">
        <f t="shared" si="2"/>
        <v>0</v>
      </c>
      <c r="AF1387" s="140">
        <v>0.0</v>
      </c>
      <c r="AG1387" s="109">
        <v>0.0</v>
      </c>
      <c r="AH1387" s="109">
        <v>0.0</v>
      </c>
      <c r="AI1387" s="141">
        <v>449.0</v>
      </c>
      <c r="AJ1387" s="80">
        <f t="shared" si="3"/>
        <v>449</v>
      </c>
      <c r="AK1387" s="140">
        <v>0.0</v>
      </c>
      <c r="AL1387" s="109">
        <v>0.0</v>
      </c>
      <c r="AM1387" s="141">
        <v>0.0</v>
      </c>
      <c r="AN1387" s="80">
        <f t="shared" si="4"/>
        <v>0</v>
      </c>
      <c r="AO1387" s="140">
        <v>0.0</v>
      </c>
      <c r="AP1387" s="109">
        <v>0.0</v>
      </c>
      <c r="AQ1387" s="109">
        <v>0.0</v>
      </c>
      <c r="AR1387" s="80">
        <f t="shared" si="5"/>
        <v>0</v>
      </c>
      <c r="AS1387" s="110">
        <v>0.0</v>
      </c>
      <c r="AT1387" s="110">
        <v>0.0</v>
      </c>
      <c r="AU1387" s="110">
        <v>0.0</v>
      </c>
      <c r="AV1387" s="142">
        <v>0.0</v>
      </c>
      <c r="AW1387" s="80">
        <f t="shared" si="6"/>
        <v>0</v>
      </c>
      <c r="AX1387" s="113">
        <f t="shared" si="7"/>
        <v>449</v>
      </c>
      <c r="AY1387" s="117">
        <f t="shared" si="8"/>
        <v>449</v>
      </c>
      <c r="AZ1387" s="120">
        <f t="shared" si="9"/>
        <v>0</v>
      </c>
      <c r="BA1387" s="115">
        <v>0.0</v>
      </c>
      <c r="BB1387" s="89">
        <f t="shared" si="10"/>
        <v>449</v>
      </c>
      <c r="BC1387" s="132" t="s">
        <v>178</v>
      </c>
      <c r="BD1387" s="132" t="s">
        <v>178</v>
      </c>
      <c r="BE1387" s="132" t="s">
        <v>178</v>
      </c>
      <c r="BF1387" s="123"/>
      <c r="BG1387" s="83">
        <v>1178104.0</v>
      </c>
      <c r="BH1387" s="112"/>
      <c r="BI1387" s="112">
        <v>15.0</v>
      </c>
      <c r="BJ1387" s="98" t="s">
        <v>284</v>
      </c>
      <c r="BK1387" s="99">
        <f t="shared" si="11"/>
        <v>449</v>
      </c>
      <c r="BL1387" s="99">
        <f t="shared" si="12"/>
        <v>0</v>
      </c>
      <c r="BM1387" s="99" t="str">
        <f>IFERROR(__xludf.DUMMYFUNCTION("IFERROR(VLOOKUP(BG1387,IMPORTRANGE(""https://docs.google.com/spreadsheets/d/1juPI-Fb8LD0YtltB2mlGEnp_R3UVu1t3wSFPzgCyHXE/edit?gid=0#gid=0"",""GERAL!A2:C""),3,0),""-"")"),"-")</f>
        <v>-</v>
      </c>
    </row>
    <row r="1388" ht="15.75" customHeight="1">
      <c r="A1388" s="111" t="s">
        <v>1707</v>
      </c>
      <c r="B1388" s="83" t="s">
        <v>7792</v>
      </c>
      <c r="C1388" s="83" t="s">
        <v>68</v>
      </c>
      <c r="D1388" s="112">
        <v>1120923.0</v>
      </c>
      <c r="E1388" s="83"/>
      <c r="F1388" s="83">
        <v>2.9056144E7</v>
      </c>
      <c r="G1388" s="184" t="s">
        <v>7797</v>
      </c>
      <c r="H1388" s="91" t="s">
        <v>7798</v>
      </c>
      <c r="I1388" s="83" t="s">
        <v>149</v>
      </c>
      <c r="J1388" s="83" t="s">
        <v>150</v>
      </c>
      <c r="K1388" s="83" t="s">
        <v>151</v>
      </c>
      <c r="L1388" s="83" t="s">
        <v>230</v>
      </c>
      <c r="M1388" s="82" t="str">
        <f>IFERROR(__xludf.DUMMYFUNCTION("IFERROR(VLOOKUP(D1388,
IMPORTRANGE(""https://docs.google.com/spreadsheets/d/1MjHtlUikwobi2MaWJgy7tfLeBmhj1u-dRFRs_8GwSoA/edit#gid=0"",""Gestores Escolares!D7:J""),3,0),""VERIFICAR CÓD SEC"")"),"CLEBER CARVALHO CHAVES")</f>
        <v>CLEBER CARVALHO CHAVES</v>
      </c>
      <c r="N1388" s="82" t="str">
        <f>IFERROR(__xludf.DUMMYFUNCTION("IFERROR(VLOOKUP(D1388,
IMPORTRANGE(""https://docs.google.com/spreadsheets/d/1MjHtlUikwobi2MaWJgy7tfLeBmhj1u-dRFRs_8GwSoA/edit#gid=0"",""Gestores Escolares!D7:J""),4,0),""VERIFICAR CÓD SEC"")"),"(74) 9 9122 - 3066")</f>
        <v>(74) 9 9122 - 3066</v>
      </c>
      <c r="O1388" s="82" t="str">
        <f>IFERROR(__xludf.DUMMYFUNCTION("IFERROR(VLOOKUP(D1388,
IMPORTRANGE(""https://docs.google.com/spreadsheets/d/1MjHtlUikwobi2MaWJgy7tfLeBmhj1u-dRFRs_8GwSoA/edit#gid=0"",""Gestores Escolares!D7:J""),6,0),""VERIFICAR CÓD SEC"")"),"JUCIANA GALINDO DOS SANTOS VERAS MARQUES")</f>
        <v>JUCIANA GALINDO DOS SANTOS VERAS MARQUES</v>
      </c>
      <c r="P1388" s="82" t="str">
        <f>IFERROR(__xludf.DUMMYFUNCTION("IFERROR(VLOOKUP(D1388,
IMPORTRANGE(""https://docs.google.com/spreadsheets/d/1MjHtlUikwobi2MaWJgy7tfLeBmhj1u-dRFRs_8GwSoA/edit#gid=0"",""Gestores Escolares!D7:J""),7,0),""VERIFICAR CÓD SEC"")"),"(74) 9 9116-6795")</f>
        <v>(74) 9 9116-6795</v>
      </c>
      <c r="Q1388" s="82" t="str">
        <f>IFERROR(__xludf.DUMMYFUNCTION("IFERROR(VLOOKUP(D1388,
IMPORTRANGE(""https://docs.google.com/spreadsheets/d/1MjHtlUikwobi2MaWJgy7tfLeBmhj1u-dRFRs_8GwSoA/edit#gid=0"",""Gestores Escolares!D7:m""),9,0),""VERIFICAR CÓD SEC"")"),"ANA PAULA ALMEIDA SOUZA")</f>
        <v>ANA PAULA ALMEIDA SOUZA</v>
      </c>
      <c r="R1388" s="82" t="str">
        <f>IFERROR(__xludf.DUMMYFUNCTION("IFERROR(VLOOKUP(D1388,
IMPORTRANGE(""https://docs.google.com/spreadsheets/d/1MjHtlUikwobi2MaWJgy7tfLeBmhj1u-dRFRs_8GwSoA/edit#gid=0"",""Gestores Escolares!D7:m""),10,0),""VERIFICAR CÓD SEC"")"),"(74) 9 9195-8024")</f>
        <v>(74) 9 9195-8024</v>
      </c>
      <c r="S1388" s="82"/>
      <c r="T1388" s="138">
        <v>10.0</v>
      </c>
      <c r="U1388" s="145" t="s">
        <v>13899</v>
      </c>
      <c r="V1388" s="106">
        <v>0.0</v>
      </c>
      <c r="W1388" s="107">
        <v>0.0</v>
      </c>
      <c r="X1388" s="107">
        <v>0.0</v>
      </c>
      <c r="Y1388" s="107">
        <v>0.0</v>
      </c>
      <c r="Z1388" s="80">
        <f t="shared" si="1"/>
        <v>0</v>
      </c>
      <c r="AA1388" s="106">
        <v>0.0</v>
      </c>
      <c r="AB1388" s="107">
        <v>0.0</v>
      </c>
      <c r="AC1388" s="107">
        <v>0.0</v>
      </c>
      <c r="AD1388" s="107">
        <v>0.0</v>
      </c>
      <c r="AE1388" s="80">
        <f t="shared" si="2"/>
        <v>0</v>
      </c>
      <c r="AF1388" s="140">
        <v>0.0</v>
      </c>
      <c r="AG1388" s="109">
        <v>0.0</v>
      </c>
      <c r="AH1388" s="109">
        <v>0.0</v>
      </c>
      <c r="AI1388" s="141">
        <v>222.0</v>
      </c>
      <c r="AJ1388" s="80">
        <f t="shared" si="3"/>
        <v>222</v>
      </c>
      <c r="AK1388" s="140">
        <v>0.0</v>
      </c>
      <c r="AL1388" s="109">
        <v>0.0</v>
      </c>
      <c r="AM1388" s="141">
        <v>0.0</v>
      </c>
      <c r="AN1388" s="80">
        <f t="shared" si="4"/>
        <v>0</v>
      </c>
      <c r="AO1388" s="140">
        <v>0.0</v>
      </c>
      <c r="AP1388" s="109">
        <v>0.0</v>
      </c>
      <c r="AQ1388" s="109">
        <v>101.0</v>
      </c>
      <c r="AR1388" s="80">
        <f t="shared" si="5"/>
        <v>101</v>
      </c>
      <c r="AS1388" s="110">
        <v>0.0</v>
      </c>
      <c r="AT1388" s="110">
        <v>0.0</v>
      </c>
      <c r="AU1388" s="110">
        <v>0.0</v>
      </c>
      <c r="AV1388" s="142">
        <v>0.0</v>
      </c>
      <c r="AW1388" s="80">
        <f t="shared" si="6"/>
        <v>0</v>
      </c>
      <c r="AX1388" s="113">
        <f t="shared" si="7"/>
        <v>323</v>
      </c>
      <c r="AY1388" s="117">
        <f t="shared" si="8"/>
        <v>222</v>
      </c>
      <c r="AZ1388" s="120">
        <f t="shared" si="9"/>
        <v>101</v>
      </c>
      <c r="BA1388" s="115">
        <v>0.0</v>
      </c>
      <c r="BB1388" s="89">
        <f t="shared" si="10"/>
        <v>323</v>
      </c>
      <c r="BC1388" s="132" t="s">
        <v>178</v>
      </c>
      <c r="BD1388" s="132" t="s">
        <v>178</v>
      </c>
      <c r="BE1388" s="132" t="s">
        <v>178</v>
      </c>
      <c r="BF1388" s="123"/>
      <c r="BG1388" s="83">
        <v>1120923.0</v>
      </c>
      <c r="BH1388" s="112"/>
      <c r="BI1388" s="112">
        <v>10.0</v>
      </c>
      <c r="BJ1388" s="98" t="s">
        <v>155</v>
      </c>
      <c r="BK1388" s="99">
        <f t="shared" si="11"/>
        <v>222</v>
      </c>
      <c r="BL1388" s="99">
        <f t="shared" si="12"/>
        <v>0</v>
      </c>
      <c r="BM1388" s="99" t="str">
        <f>IFERROR(__xludf.DUMMYFUNCTION("IFERROR(VLOOKUP(BG1388,IMPORTRANGE(""https://docs.google.com/spreadsheets/d/1juPI-Fb8LD0YtltB2mlGEnp_R3UVu1t3wSFPzgCyHXE/edit?gid=0#gid=0"",""GERAL!A2:C""),3,0),""-"")"),"-")</f>
        <v>-</v>
      </c>
    </row>
    <row r="1389" ht="15.75" customHeight="1">
      <c r="A1389" s="111" t="s">
        <v>1707</v>
      </c>
      <c r="B1389" s="83" t="s">
        <v>7792</v>
      </c>
      <c r="C1389" s="83" t="s">
        <v>68</v>
      </c>
      <c r="D1389" s="195">
        <v>1121156.0</v>
      </c>
      <c r="E1389" s="136"/>
      <c r="F1389" s="136">
        <v>2.905678E7</v>
      </c>
      <c r="G1389" s="292" t="s">
        <v>7802</v>
      </c>
      <c r="H1389" s="91" t="s">
        <v>7803</v>
      </c>
      <c r="I1389" s="83" t="s">
        <v>149</v>
      </c>
      <c r="J1389" s="83" t="s">
        <v>822</v>
      </c>
      <c r="K1389" s="83" t="s">
        <v>151</v>
      </c>
      <c r="L1389" s="98" t="s">
        <v>76</v>
      </c>
      <c r="M1389" s="82" t="str">
        <f>IFERROR(__xludf.DUMMYFUNCTION("IFERROR(VLOOKUP(D1389,
IMPORTRANGE(""https://docs.google.com/spreadsheets/d/1MjHtlUikwobi2MaWJgy7tfLeBmhj1u-dRFRs_8GwSoA/edit#gid=0"",""Gestores Escolares!D7:J""),3,0),""VERIFICAR CÓD SEC"")"),"VITORIA LIMA OLIVEIRA MORAIS")</f>
        <v>VITORIA LIMA OLIVEIRA MORAIS</v>
      </c>
      <c r="N1389" s="82" t="str">
        <f>IFERROR(__xludf.DUMMYFUNCTION("IFERROR(VLOOKUP(D1389,
IMPORTRANGE(""https://docs.google.com/spreadsheets/d/1MjHtlUikwobi2MaWJgy7tfLeBmhj1u-dRFRs_8GwSoA/edit#gid=0"",""Gestores Escolares!D7:J""),4,0),""VERIFICAR CÓD SEC"")"),"(75) 9 9920-0618")</f>
        <v>(75) 9 9920-0618</v>
      </c>
      <c r="O1389" s="82" t="str">
        <f>IFERROR(__xludf.DUMMYFUNCTION("IFERROR(VLOOKUP(D1389,
IMPORTRANGE(""https://docs.google.com/spreadsheets/d/1MjHtlUikwobi2MaWJgy7tfLeBmhj1u-dRFRs_8GwSoA/edit#gid=0"",""Gestores Escolares!D7:J""),6,0),""VERIFICAR CÓD SEC"")"),"VALSIONE PEREIRA DO VALE ")</f>
        <v>VALSIONE PEREIRA DO VALE </v>
      </c>
      <c r="P1389" s="82" t="str">
        <f>IFERROR(__xludf.DUMMYFUNCTION("IFERROR(VLOOKUP(D1389,
IMPORTRANGE(""https://docs.google.com/spreadsheets/d/1MjHtlUikwobi2MaWJgy7tfLeBmhj1u-dRFRs_8GwSoA/edit#gid=0"",""Gestores Escolares!D7:J""),7,0),""VERIFICAR CÓD SEC"")"),"(74) 9 9964-7288")</f>
        <v>(74) 9 9964-7288</v>
      </c>
      <c r="Q1389" s="82" t="str">
        <f>IFERROR(__xludf.DUMMYFUNCTION("IFERROR(VLOOKUP(D1389,
IMPORTRANGE(""https://docs.google.com/spreadsheets/d/1MjHtlUikwobi2MaWJgy7tfLeBmhj1u-dRFRs_8GwSoA/edit#gid=0"",""Gestores Escolares!D7:m""),9,0),""VERIFICAR CÓD SEC"")"),"")</f>
        <v/>
      </c>
      <c r="R1389" s="82" t="str">
        <f>IFERROR(__xludf.DUMMYFUNCTION("IFERROR(VLOOKUP(D1389,
IMPORTRANGE(""https://docs.google.com/spreadsheets/d/1MjHtlUikwobi2MaWJgy7tfLeBmhj1u-dRFRs_8GwSoA/edit#gid=0"",""Gestores Escolares!D7:m""),10,0),""VERIFICAR CÓD SEC"")"),"")</f>
        <v/>
      </c>
      <c r="S1389" s="82"/>
      <c r="T1389" s="138">
        <v>8.0</v>
      </c>
      <c r="U1389" s="145">
        <v>7.0</v>
      </c>
      <c r="V1389" s="106">
        <v>0.0</v>
      </c>
      <c r="W1389" s="107">
        <v>0.0</v>
      </c>
      <c r="X1389" s="107">
        <v>0.0</v>
      </c>
      <c r="Y1389" s="107">
        <v>0.0</v>
      </c>
      <c r="Z1389" s="80">
        <f t="shared" si="1"/>
        <v>0</v>
      </c>
      <c r="AA1389" s="106">
        <v>0.0</v>
      </c>
      <c r="AB1389" s="107">
        <v>0.0</v>
      </c>
      <c r="AC1389" s="107">
        <v>0.0</v>
      </c>
      <c r="AD1389" s="107">
        <v>0.0</v>
      </c>
      <c r="AE1389" s="80">
        <f t="shared" si="2"/>
        <v>0</v>
      </c>
      <c r="AF1389" s="140">
        <v>0.0</v>
      </c>
      <c r="AG1389" s="109">
        <v>0.0</v>
      </c>
      <c r="AH1389" s="109">
        <v>0.0</v>
      </c>
      <c r="AI1389" s="141">
        <v>220.0</v>
      </c>
      <c r="AJ1389" s="80">
        <f t="shared" si="3"/>
        <v>220</v>
      </c>
      <c r="AK1389" s="140">
        <v>0.0</v>
      </c>
      <c r="AL1389" s="109">
        <v>0.0</v>
      </c>
      <c r="AM1389" s="141">
        <v>0.0</v>
      </c>
      <c r="AN1389" s="80">
        <f t="shared" si="4"/>
        <v>0</v>
      </c>
      <c r="AO1389" s="140">
        <v>0.0</v>
      </c>
      <c r="AP1389" s="109">
        <v>0.0</v>
      </c>
      <c r="AQ1389" s="109">
        <v>56.0</v>
      </c>
      <c r="AR1389" s="80">
        <f t="shared" si="5"/>
        <v>56</v>
      </c>
      <c r="AS1389" s="110">
        <v>0.0</v>
      </c>
      <c r="AT1389" s="110">
        <v>0.0</v>
      </c>
      <c r="AU1389" s="110">
        <v>31.0</v>
      </c>
      <c r="AV1389" s="142">
        <v>0.0</v>
      </c>
      <c r="AW1389" s="80">
        <f t="shared" si="6"/>
        <v>31</v>
      </c>
      <c r="AX1389" s="113">
        <f t="shared" si="7"/>
        <v>307</v>
      </c>
      <c r="AY1389" s="117">
        <f t="shared" si="8"/>
        <v>220</v>
      </c>
      <c r="AZ1389" s="120">
        <f t="shared" si="9"/>
        <v>87</v>
      </c>
      <c r="BA1389" s="115">
        <v>0.0</v>
      </c>
      <c r="BB1389" s="89">
        <f t="shared" si="10"/>
        <v>307</v>
      </c>
      <c r="BC1389" s="132" t="s">
        <v>178</v>
      </c>
      <c r="BD1389" s="132" t="s">
        <v>178</v>
      </c>
      <c r="BE1389" s="132" t="s">
        <v>178</v>
      </c>
      <c r="BF1389" s="123"/>
      <c r="BG1389" s="136">
        <v>1121156.0</v>
      </c>
      <c r="BH1389" s="112"/>
      <c r="BI1389" s="112">
        <v>7.0</v>
      </c>
      <c r="BJ1389" s="98" t="s">
        <v>155</v>
      </c>
      <c r="BK1389" s="99">
        <f t="shared" si="11"/>
        <v>220</v>
      </c>
      <c r="BL1389" s="99">
        <f t="shared" si="12"/>
        <v>0</v>
      </c>
      <c r="BM1389" s="99" t="str">
        <f>IFERROR(__xludf.DUMMYFUNCTION("IFERROR(VLOOKUP(BG1389,IMPORTRANGE(""https://docs.google.com/spreadsheets/d/1juPI-Fb8LD0YtltB2mlGEnp_R3UVu1t3wSFPzgCyHXE/edit?gid=0#gid=0"",""GERAL!A2:C""),3,0),""-"")"),"CAMPO")</f>
        <v>CAMPO</v>
      </c>
    </row>
    <row r="1390" ht="15.75" customHeight="1">
      <c r="A1390" s="111" t="s">
        <v>1707</v>
      </c>
      <c r="B1390" s="83" t="s">
        <v>7792</v>
      </c>
      <c r="C1390" s="83" t="s">
        <v>68</v>
      </c>
      <c r="D1390" s="112">
        <v>1121261.0</v>
      </c>
      <c r="E1390" s="83"/>
      <c r="F1390" s="83">
        <v>2.9055393E7</v>
      </c>
      <c r="G1390" s="184" t="s">
        <v>7807</v>
      </c>
      <c r="H1390" s="91" t="s">
        <v>7808</v>
      </c>
      <c r="I1390" s="83" t="s">
        <v>149</v>
      </c>
      <c r="J1390" s="83" t="s">
        <v>150</v>
      </c>
      <c r="K1390" s="83" t="s">
        <v>151</v>
      </c>
      <c r="L1390" s="83" t="s">
        <v>230</v>
      </c>
      <c r="M1390" s="82" t="str">
        <f>IFERROR(__xludf.DUMMYFUNCTION("IFERROR(VLOOKUP(D1390,
IMPORTRANGE(""https://docs.google.com/spreadsheets/d/1MjHtlUikwobi2MaWJgy7tfLeBmhj1u-dRFRs_8GwSoA/edit#gid=0"",""Gestores Escolares!D7:J""),3,0),""VERIFICAR CÓD SEC"")"),"JOSÉ PEIXINHO DE MACEDO")</f>
        <v>JOSÉ PEIXINHO DE MACEDO</v>
      </c>
      <c r="N1390" s="82" t="str">
        <f>IFERROR(__xludf.DUMMYFUNCTION("IFERROR(VLOOKUP(D1390,
IMPORTRANGE(""https://docs.google.com/spreadsheets/d/1MjHtlUikwobi2MaWJgy7tfLeBmhj1u-dRFRs_8GwSoA/edit#gid=0"",""Gestores Escolares!D7:J""),4,0),""VERIFICAR CÓD SEC"")"),"(74) 9 9110 - 8694")</f>
        <v>(74) 9 9110 - 8694</v>
      </c>
      <c r="O1390" s="82" t="str">
        <f>IFERROR(__xludf.DUMMYFUNCTION("IFERROR(VLOOKUP(D1390,
IMPORTRANGE(""https://docs.google.com/spreadsheets/d/1MjHtlUikwobi2MaWJgy7tfLeBmhj1u-dRFRs_8GwSoA/edit#gid=0"",""Gestores Escolares!D7:J""),6,0),""VERIFICAR CÓD SEC"")"),"NORMARY ALVES CRUZ")</f>
        <v>NORMARY ALVES CRUZ</v>
      </c>
      <c r="P1390" s="82" t="str">
        <f>IFERROR(__xludf.DUMMYFUNCTION("IFERROR(VLOOKUP(D1390,
IMPORTRANGE(""https://docs.google.com/spreadsheets/d/1MjHtlUikwobi2MaWJgy7tfLeBmhj1u-dRFRs_8GwSoA/edit#gid=0"",""Gestores Escolares!D7:J""),7,0),""VERIFICAR CÓD SEC"")"),"(74) 9 8823-0818")</f>
        <v>(74) 9 8823-0818</v>
      </c>
      <c r="Q1390" s="82" t="str">
        <f>IFERROR(__xludf.DUMMYFUNCTION("IFERROR(VLOOKUP(D1390,
IMPORTRANGE(""https://docs.google.com/spreadsheets/d/1MjHtlUikwobi2MaWJgy7tfLeBmhj1u-dRFRs_8GwSoA/edit#gid=0"",""Gestores Escolares!D7:m""),9,0),""VERIFICAR CÓD SEC"")"),"EDMUNDO SOARES FILHO")</f>
        <v>EDMUNDO SOARES FILHO</v>
      </c>
      <c r="R1390" s="82" t="str">
        <f>IFERROR(__xludf.DUMMYFUNCTION("IFERROR(VLOOKUP(D1390,
IMPORTRANGE(""https://docs.google.com/spreadsheets/d/1MjHtlUikwobi2MaWJgy7tfLeBmhj1u-dRFRs_8GwSoA/edit#gid=0"",""Gestores Escolares!D7:m""),10,0),""VERIFICAR CÓD SEC"")"),"(74) 7400-9875")</f>
        <v>(74) 7400-9875</v>
      </c>
      <c r="S1390" s="82"/>
      <c r="T1390" s="138">
        <v>20.0</v>
      </c>
      <c r="U1390" s="388" t="s">
        <v>13900</v>
      </c>
      <c r="V1390" s="106">
        <v>0.0</v>
      </c>
      <c r="W1390" s="107">
        <v>0.0</v>
      </c>
      <c r="X1390" s="107">
        <v>0.0</v>
      </c>
      <c r="Y1390" s="107">
        <v>0.0</v>
      </c>
      <c r="Z1390" s="80">
        <f t="shared" si="1"/>
        <v>0</v>
      </c>
      <c r="AA1390" s="106">
        <v>0.0</v>
      </c>
      <c r="AB1390" s="107">
        <v>0.0</v>
      </c>
      <c r="AC1390" s="107">
        <v>0.0</v>
      </c>
      <c r="AD1390" s="107">
        <v>0.0</v>
      </c>
      <c r="AE1390" s="80">
        <f t="shared" si="2"/>
        <v>0</v>
      </c>
      <c r="AF1390" s="140">
        <v>0.0</v>
      </c>
      <c r="AG1390" s="109">
        <v>0.0</v>
      </c>
      <c r="AH1390" s="109">
        <v>0.0</v>
      </c>
      <c r="AI1390" s="141">
        <v>255.0</v>
      </c>
      <c r="AJ1390" s="80">
        <f t="shared" si="3"/>
        <v>255</v>
      </c>
      <c r="AK1390" s="140">
        <v>0.0</v>
      </c>
      <c r="AL1390" s="109">
        <v>0.0</v>
      </c>
      <c r="AM1390" s="141">
        <v>0.0</v>
      </c>
      <c r="AN1390" s="80">
        <f t="shared" si="4"/>
        <v>0</v>
      </c>
      <c r="AO1390" s="140">
        <v>0.0</v>
      </c>
      <c r="AP1390" s="109">
        <v>0.0</v>
      </c>
      <c r="AQ1390" s="109">
        <v>139.0</v>
      </c>
      <c r="AR1390" s="80">
        <f t="shared" si="5"/>
        <v>139</v>
      </c>
      <c r="AS1390" s="110">
        <v>0.0</v>
      </c>
      <c r="AT1390" s="110">
        <v>0.0</v>
      </c>
      <c r="AU1390" s="110">
        <v>0.0</v>
      </c>
      <c r="AV1390" s="142">
        <v>0.0</v>
      </c>
      <c r="AW1390" s="80">
        <f t="shared" si="6"/>
        <v>0</v>
      </c>
      <c r="AX1390" s="113">
        <f t="shared" si="7"/>
        <v>394</v>
      </c>
      <c r="AY1390" s="117">
        <f t="shared" si="8"/>
        <v>255</v>
      </c>
      <c r="AZ1390" s="120">
        <f t="shared" si="9"/>
        <v>139</v>
      </c>
      <c r="BA1390" s="115">
        <v>0.0</v>
      </c>
      <c r="BB1390" s="89">
        <f t="shared" si="10"/>
        <v>394</v>
      </c>
      <c r="BC1390" s="132" t="s">
        <v>178</v>
      </c>
      <c r="BD1390" s="132" t="s">
        <v>178</v>
      </c>
      <c r="BE1390" s="132" t="s">
        <v>178</v>
      </c>
      <c r="BF1390" s="123"/>
      <c r="BG1390" s="83">
        <v>1121261.0</v>
      </c>
      <c r="BH1390" s="112"/>
      <c r="BI1390" s="112">
        <v>16.0</v>
      </c>
      <c r="BJ1390" s="98" t="s">
        <v>284</v>
      </c>
      <c r="BK1390" s="99">
        <f t="shared" si="11"/>
        <v>255</v>
      </c>
      <c r="BL1390" s="99">
        <f t="shared" si="12"/>
        <v>0</v>
      </c>
      <c r="BM1390" s="99" t="str">
        <f>IFERROR(__xludf.DUMMYFUNCTION("IFERROR(VLOOKUP(BG1390,IMPORTRANGE(""https://docs.google.com/spreadsheets/d/1juPI-Fb8LD0YtltB2mlGEnp_R3UVu1t3wSFPzgCyHXE/edit?gid=0#gid=0"",""GERAL!A2:C""),3,0),""-"")"),"-")</f>
        <v>-</v>
      </c>
    </row>
    <row r="1391" ht="15.75" customHeight="1">
      <c r="A1391" s="111" t="s">
        <v>1707</v>
      </c>
      <c r="B1391" s="172" t="s">
        <v>7792</v>
      </c>
      <c r="C1391" s="83" t="s">
        <v>68</v>
      </c>
      <c r="D1391" s="112">
        <v>1179286.0</v>
      </c>
      <c r="E1391" s="83"/>
      <c r="F1391" s="83">
        <v>2.9461529E7</v>
      </c>
      <c r="G1391" s="241" t="s">
        <v>7811</v>
      </c>
      <c r="H1391" s="91" t="s">
        <v>7812</v>
      </c>
      <c r="I1391" s="172" t="s">
        <v>7813</v>
      </c>
      <c r="J1391" s="83" t="s">
        <v>150</v>
      </c>
      <c r="K1391" s="83" t="s">
        <v>151</v>
      </c>
      <c r="L1391" s="83" t="s">
        <v>230</v>
      </c>
      <c r="M1391" s="82" t="str">
        <f>IFERROR(__xludf.DUMMYFUNCTION("IFERROR(VLOOKUP(D1391,
IMPORTRANGE(""https://docs.google.com/spreadsheets/d/1MjHtlUikwobi2MaWJgy7tfLeBmhj1u-dRFRs_8GwSoA/edit#gid=0"",""Gestores Escolares!D7:J""),3,0),""VERIFICAR CÓD SEC"")"),"GISELDA VIEIRA FEITOSA DE ALMEIDA")</f>
        <v>GISELDA VIEIRA FEITOSA DE ALMEIDA</v>
      </c>
      <c r="N1391" s="82" t="str">
        <f>IFERROR(__xludf.DUMMYFUNCTION("IFERROR(VLOOKUP(D1391,
IMPORTRANGE(""https://docs.google.com/spreadsheets/d/1MjHtlUikwobi2MaWJgy7tfLeBmhj1u-dRFRs_8GwSoA/edit#gid=0"",""Gestores Escolares!D7:J""),4,0),""VERIFICAR CÓD SEC"")"),"(74) 9 9148-3771")</f>
        <v>(74) 9 9148-3771</v>
      </c>
      <c r="O1391" s="82" t="str">
        <f>IFERROR(__xludf.DUMMYFUNCTION("IFERROR(VLOOKUP(D1391,
IMPORTRANGE(""https://docs.google.com/spreadsheets/d/1MjHtlUikwobi2MaWJgy7tfLeBmhj1u-dRFRs_8GwSoA/edit#gid=0"",""Gestores Escolares!D7:J""),6,0),""VERIFICAR CÓD SEC"")"),"JOSEFA CRISTINA DA SILVA RIBEIRO")</f>
        <v>JOSEFA CRISTINA DA SILVA RIBEIRO</v>
      </c>
      <c r="P1391" s="82" t="str">
        <f>IFERROR(__xludf.DUMMYFUNCTION("IFERROR(VLOOKUP(D1391,
IMPORTRANGE(""https://docs.google.com/spreadsheets/d/1MjHtlUikwobi2MaWJgy7tfLeBmhj1u-dRFRs_8GwSoA/edit#gid=0"",""Gestores Escolares!D7:J""),7,0),""VERIFICAR CÓD SEC"")"),"(74) 9 9111-4149")</f>
        <v>(74) 9 9111-4149</v>
      </c>
      <c r="Q1391" s="82" t="str">
        <f>IFERROR(__xludf.DUMMYFUNCTION("IFERROR(VLOOKUP(D1391,
IMPORTRANGE(""https://docs.google.com/spreadsheets/d/1MjHtlUikwobi2MaWJgy7tfLeBmhj1u-dRFRs_8GwSoA/edit#gid=0"",""Gestores Escolares!D7:m""),9,0),""VERIFICAR CÓD SEC"")"),"SANDRO ALMEIDA SILVA")</f>
        <v>SANDRO ALMEIDA SILVA</v>
      </c>
      <c r="R1391" s="82" t="str">
        <f>IFERROR(__xludf.DUMMYFUNCTION("IFERROR(VLOOKUP(D1391,
IMPORTRANGE(""https://docs.google.com/spreadsheets/d/1MjHtlUikwobi2MaWJgy7tfLeBmhj1u-dRFRs_8GwSoA/edit#gid=0"",""Gestores Escolares!D7:m""),10,0),""VERIFICAR CÓD SEC"")"),"(74) 9 9118-4604")</f>
        <v>(74) 9 9118-4604</v>
      </c>
      <c r="S1391" s="82"/>
      <c r="T1391" s="138" t="s">
        <v>171</v>
      </c>
      <c r="U1391" s="404" t="s">
        <v>533</v>
      </c>
      <c r="V1391" s="106">
        <v>0.0</v>
      </c>
      <c r="W1391" s="107">
        <v>0.0</v>
      </c>
      <c r="X1391" s="107">
        <v>0.0</v>
      </c>
      <c r="Y1391" s="107">
        <v>0.0</v>
      </c>
      <c r="Z1391" s="80">
        <f t="shared" si="1"/>
        <v>0</v>
      </c>
      <c r="AA1391" s="106">
        <v>0.0</v>
      </c>
      <c r="AB1391" s="107">
        <v>0.0</v>
      </c>
      <c r="AC1391" s="107">
        <v>0.0</v>
      </c>
      <c r="AD1391" s="107">
        <v>0.0</v>
      </c>
      <c r="AE1391" s="80">
        <f t="shared" si="2"/>
        <v>0</v>
      </c>
      <c r="AF1391" s="140">
        <v>0.0</v>
      </c>
      <c r="AG1391" s="109">
        <v>0.0</v>
      </c>
      <c r="AH1391" s="109">
        <v>0.0</v>
      </c>
      <c r="AI1391" s="141">
        <v>0.0</v>
      </c>
      <c r="AJ1391" s="80">
        <f t="shared" si="3"/>
        <v>0</v>
      </c>
      <c r="AK1391" s="140">
        <v>0.0</v>
      </c>
      <c r="AL1391" s="109">
        <v>0.0</v>
      </c>
      <c r="AM1391" s="141">
        <v>0.0</v>
      </c>
      <c r="AN1391" s="80">
        <f t="shared" si="4"/>
        <v>0</v>
      </c>
      <c r="AO1391" s="140">
        <v>0.0</v>
      </c>
      <c r="AP1391" s="109">
        <v>0.0</v>
      </c>
      <c r="AQ1391" s="109">
        <v>0.0</v>
      </c>
      <c r="AR1391" s="80">
        <f t="shared" si="5"/>
        <v>0</v>
      </c>
      <c r="AS1391" s="110">
        <v>0.0</v>
      </c>
      <c r="AT1391" s="110">
        <v>0.0</v>
      </c>
      <c r="AU1391" s="110">
        <v>0.0</v>
      </c>
      <c r="AV1391" s="142">
        <v>0.0</v>
      </c>
      <c r="AW1391" s="80">
        <f t="shared" si="6"/>
        <v>0</v>
      </c>
      <c r="AX1391" s="113">
        <f t="shared" si="7"/>
        <v>0</v>
      </c>
      <c r="AY1391" s="117">
        <f t="shared" si="8"/>
        <v>0</v>
      </c>
      <c r="AZ1391" s="120">
        <f t="shared" si="9"/>
        <v>0</v>
      </c>
      <c r="BA1391" s="115">
        <v>0.0</v>
      </c>
      <c r="BB1391" s="89">
        <f t="shared" si="10"/>
        <v>0</v>
      </c>
      <c r="BC1391" s="132" t="s">
        <v>178</v>
      </c>
      <c r="BD1391" s="143" t="s">
        <v>227</v>
      </c>
      <c r="BE1391" s="132" t="s">
        <v>178</v>
      </c>
      <c r="BF1391" s="156" t="s">
        <v>534</v>
      </c>
      <c r="BG1391" s="83">
        <v>1179286.0</v>
      </c>
      <c r="BH1391" s="112"/>
      <c r="BI1391" s="112">
        <v>0.0</v>
      </c>
      <c r="BJ1391" s="98" t="s">
        <v>155</v>
      </c>
      <c r="BK1391" s="99">
        <f t="shared" si="11"/>
        <v>0</v>
      </c>
      <c r="BL1391" s="99">
        <f t="shared" si="12"/>
        <v>0</v>
      </c>
      <c r="BM1391" s="99" t="str">
        <f>IFERROR(__xludf.DUMMYFUNCTION("IFERROR(VLOOKUP(BG1391,IMPORTRANGE(""https://docs.google.com/spreadsheets/d/1juPI-Fb8LD0YtltB2mlGEnp_R3UVu1t3wSFPzgCyHXE/edit?gid=0#gid=0"",""GERAL!A2:C""),3,0),""-"")"),"-")</f>
        <v>-</v>
      </c>
    </row>
    <row r="1392" ht="15.75" customHeight="1">
      <c r="A1392" s="111" t="s">
        <v>1707</v>
      </c>
      <c r="B1392" s="172" t="s">
        <v>7792</v>
      </c>
      <c r="C1392" s="83" t="s">
        <v>68</v>
      </c>
      <c r="D1392" s="112">
        <v>1179287.0</v>
      </c>
      <c r="E1392" s="83"/>
      <c r="F1392" s="83">
        <v>2.9461871E7</v>
      </c>
      <c r="G1392" s="241" t="s">
        <v>7815</v>
      </c>
      <c r="H1392" s="91" t="s">
        <v>7816</v>
      </c>
      <c r="I1392" s="172" t="s">
        <v>7817</v>
      </c>
      <c r="J1392" s="83" t="s">
        <v>150</v>
      </c>
      <c r="K1392" s="83" t="s">
        <v>151</v>
      </c>
      <c r="L1392" s="83" t="s">
        <v>230</v>
      </c>
      <c r="M1392" s="82" t="str">
        <f>IFERROR(__xludf.DUMMYFUNCTION("IFERROR(VLOOKUP(D1392,
IMPORTRANGE(""https://docs.google.com/spreadsheets/d/1MjHtlUikwobi2MaWJgy7tfLeBmhj1u-dRFRs_8GwSoA/edit#gid=0"",""Gestores Escolares!D7:J""),3,0),""VERIFICAR CÓD SEC"")"),"JANAIR TORRES BORGES DE MELO")</f>
        <v>JANAIR TORRES BORGES DE MELO</v>
      </c>
      <c r="N1392" s="82" t="str">
        <f>IFERROR(__xludf.DUMMYFUNCTION("IFERROR(VLOOKUP(D1392,
IMPORTRANGE(""https://docs.google.com/spreadsheets/d/1MjHtlUikwobi2MaWJgy7tfLeBmhj1u-dRFRs_8GwSoA/edit#gid=0"",""Gestores Escolares!D7:J""),4,0),""VERIFICAR CÓD SEC"")"),"(74) 9 9119 - 7840")</f>
        <v>(74) 9 9119 - 7840</v>
      </c>
      <c r="O1392" s="82" t="str">
        <f>IFERROR(__xludf.DUMMYFUNCTION("IFERROR(VLOOKUP(D1392,
IMPORTRANGE(""https://docs.google.com/spreadsheets/d/1MjHtlUikwobi2MaWJgy7tfLeBmhj1u-dRFRs_8GwSoA/edit#gid=0"",""Gestores Escolares!D7:J""),6,0),""VERIFICAR CÓD SEC"")"),"ANGELITA SANTOS DE SOUZA")</f>
        <v>ANGELITA SANTOS DE SOUZA</v>
      </c>
      <c r="P1392" s="82" t="str">
        <f>IFERROR(__xludf.DUMMYFUNCTION("IFERROR(VLOOKUP(D1392,
IMPORTRANGE(""https://docs.google.com/spreadsheets/d/1MjHtlUikwobi2MaWJgy7tfLeBmhj1u-dRFRs_8GwSoA/edit#gid=0"",""Gestores Escolares!D7:J""),7,0),""VERIFICAR CÓD SEC"")"),"(74) 9 9115-6130")</f>
        <v>(74) 9 9115-6130</v>
      </c>
      <c r="Q1392" s="82" t="str">
        <f>IFERROR(__xludf.DUMMYFUNCTION("IFERROR(VLOOKUP(D1392,
IMPORTRANGE(""https://docs.google.com/spreadsheets/d/1MjHtlUikwobi2MaWJgy7tfLeBmhj1u-dRFRs_8GwSoA/edit#gid=0"",""Gestores Escolares!D7:m""),9,0),""VERIFICAR CÓD SEC"")"),"")</f>
        <v/>
      </c>
      <c r="R1392" s="82" t="str">
        <f>IFERROR(__xludf.DUMMYFUNCTION("IFERROR(VLOOKUP(D1392,
IMPORTRANGE(""https://docs.google.com/spreadsheets/d/1MjHtlUikwobi2MaWJgy7tfLeBmhj1u-dRFRs_8GwSoA/edit#gid=0"",""Gestores Escolares!D7:m""),10,0),""VERIFICAR CÓD SEC"")"),"")</f>
        <v/>
      </c>
      <c r="S1392" s="82"/>
      <c r="T1392" s="138" t="s">
        <v>171</v>
      </c>
      <c r="U1392" s="403" t="s">
        <v>171</v>
      </c>
      <c r="V1392" s="106">
        <v>0.0</v>
      </c>
      <c r="W1392" s="107">
        <v>0.0</v>
      </c>
      <c r="X1392" s="107">
        <v>0.0</v>
      </c>
      <c r="Y1392" s="107">
        <v>0.0</v>
      </c>
      <c r="Z1392" s="80">
        <f t="shared" si="1"/>
        <v>0</v>
      </c>
      <c r="AA1392" s="106">
        <v>0.0</v>
      </c>
      <c r="AB1392" s="107">
        <v>0.0</v>
      </c>
      <c r="AC1392" s="107">
        <v>0.0</v>
      </c>
      <c r="AD1392" s="107">
        <v>0.0</v>
      </c>
      <c r="AE1392" s="80">
        <f t="shared" si="2"/>
        <v>0</v>
      </c>
      <c r="AF1392" s="140">
        <v>0.0</v>
      </c>
      <c r="AG1392" s="109">
        <v>0.0</v>
      </c>
      <c r="AH1392" s="109">
        <v>0.0</v>
      </c>
      <c r="AI1392" s="141">
        <v>0.0</v>
      </c>
      <c r="AJ1392" s="80">
        <f t="shared" si="3"/>
        <v>0</v>
      </c>
      <c r="AK1392" s="140">
        <v>0.0</v>
      </c>
      <c r="AL1392" s="109">
        <v>0.0</v>
      </c>
      <c r="AM1392" s="141">
        <v>0.0</v>
      </c>
      <c r="AN1392" s="80">
        <f t="shared" si="4"/>
        <v>0</v>
      </c>
      <c r="AO1392" s="140">
        <v>0.0</v>
      </c>
      <c r="AP1392" s="109">
        <v>0.0</v>
      </c>
      <c r="AQ1392" s="109">
        <v>0.0</v>
      </c>
      <c r="AR1392" s="80">
        <f t="shared" si="5"/>
        <v>0</v>
      </c>
      <c r="AS1392" s="110">
        <v>0.0</v>
      </c>
      <c r="AT1392" s="110">
        <v>0.0</v>
      </c>
      <c r="AU1392" s="110">
        <v>0.0</v>
      </c>
      <c r="AV1392" s="142">
        <v>0.0</v>
      </c>
      <c r="AW1392" s="80">
        <f t="shared" si="6"/>
        <v>0</v>
      </c>
      <c r="AX1392" s="113">
        <f t="shared" si="7"/>
        <v>0</v>
      </c>
      <c r="AY1392" s="117">
        <f t="shared" si="8"/>
        <v>0</v>
      </c>
      <c r="AZ1392" s="120">
        <f t="shared" si="9"/>
        <v>0</v>
      </c>
      <c r="BA1392" s="168">
        <v>0.0</v>
      </c>
      <c r="BB1392" s="89">
        <f t="shared" si="10"/>
        <v>0</v>
      </c>
      <c r="BC1392" s="143" t="s">
        <v>547</v>
      </c>
      <c r="BD1392" s="143" t="s">
        <v>547</v>
      </c>
      <c r="BE1392" s="132" t="s">
        <v>178</v>
      </c>
      <c r="BF1392" s="156"/>
      <c r="BG1392" s="83">
        <v>1179287.0</v>
      </c>
      <c r="BH1392" s="112"/>
      <c r="BI1392" s="112">
        <v>0.0</v>
      </c>
      <c r="BJ1392" s="98" t="s">
        <v>155</v>
      </c>
      <c r="BK1392" s="99">
        <f t="shared" si="11"/>
        <v>0</v>
      </c>
      <c r="BL1392" s="99">
        <f t="shared" si="12"/>
        <v>0</v>
      </c>
      <c r="BM1392" s="99" t="str">
        <f>IFERROR(__xludf.DUMMYFUNCTION("IFERROR(VLOOKUP(BG1392,IMPORTRANGE(""https://docs.google.com/spreadsheets/d/1juPI-Fb8LD0YtltB2mlGEnp_R3UVu1t3wSFPzgCyHXE/edit?gid=0#gid=0"",""GERAL!A2:C""),3,0),""-"")"),"-")</f>
        <v>-</v>
      </c>
    </row>
    <row r="1393" ht="15.75" customHeight="1">
      <c r="A1393" s="111" t="s">
        <v>1707</v>
      </c>
      <c r="B1393" s="83" t="s">
        <v>7792</v>
      </c>
      <c r="C1393" s="83" t="s">
        <v>68</v>
      </c>
      <c r="D1393" s="112">
        <v>1164602.0</v>
      </c>
      <c r="E1393" s="83"/>
      <c r="F1393" s="83">
        <v>2.9055385E7</v>
      </c>
      <c r="G1393" s="430" t="s">
        <v>7826</v>
      </c>
      <c r="H1393" s="91" t="s">
        <v>7827</v>
      </c>
      <c r="I1393" s="83" t="s">
        <v>149</v>
      </c>
      <c r="J1393" s="83" t="s">
        <v>150</v>
      </c>
      <c r="K1393" s="83" t="s">
        <v>151</v>
      </c>
      <c r="L1393" s="83" t="s">
        <v>230</v>
      </c>
      <c r="M1393" s="82" t="str">
        <f>IFERROR(__xludf.DUMMYFUNCTION("IFERROR(VLOOKUP(D1393,
IMPORTRANGE(""https://docs.google.com/spreadsheets/d/1MjHtlUikwobi2MaWJgy7tfLeBmhj1u-dRFRs_8GwSoA/edit#gid=0"",""Gestores Escolares!D7:J""),3,0),""VERIFICAR CÓD SEC"")"),"ELAINE SILVA SANTOS DO NASCIMENTO")</f>
        <v>ELAINE SILVA SANTOS DO NASCIMENTO</v>
      </c>
      <c r="N1393" s="82" t="str">
        <f>IFERROR(__xludf.DUMMYFUNCTION("IFERROR(VLOOKUP(D1393,
IMPORTRANGE(""https://docs.google.com/spreadsheets/d/1MjHtlUikwobi2MaWJgy7tfLeBmhj1u-dRFRs_8GwSoA/edit#gid=0"",""Gestores Escolares!D7:J""),4,0),""VERIFICAR CÓD SEC"")"),"(74) 9 9979 - 6512")</f>
        <v>(74) 9 9979 - 6512</v>
      </c>
      <c r="O1393" s="82" t="str">
        <f>IFERROR(__xludf.DUMMYFUNCTION("IFERROR(VLOOKUP(D1393,
IMPORTRANGE(""https://docs.google.com/spreadsheets/d/1MjHtlUikwobi2MaWJgy7tfLeBmhj1u-dRFRs_8GwSoA/edit#gid=0"",""Gestores Escolares!D7:J""),6,0),""VERIFICAR CÓD SEC"")"),"ALYNE DAYHANA DIAS LEAL")</f>
        <v>ALYNE DAYHANA DIAS LEAL</v>
      </c>
      <c r="P1393" s="82" t="str">
        <f>IFERROR(__xludf.DUMMYFUNCTION("IFERROR(VLOOKUP(D1393,
IMPORTRANGE(""https://docs.google.com/spreadsheets/d/1MjHtlUikwobi2MaWJgy7tfLeBmhj1u-dRFRs_8GwSoA/edit#gid=0"",""Gestores Escolares!D7:J""),7,0),""VERIFICAR CÓD SEC"")"),"(74) 9 8132 - 9256")</f>
        <v>(74) 9 8132 - 9256</v>
      </c>
      <c r="Q1393" s="82" t="str">
        <f>IFERROR(__xludf.DUMMYFUNCTION("IFERROR(VLOOKUP(D1393,
IMPORTRANGE(""https://docs.google.com/spreadsheets/d/1MjHtlUikwobi2MaWJgy7tfLeBmhj1u-dRFRs_8GwSoA/edit#gid=0"",""Gestores Escolares!D7:m""),9,0),""VERIFICAR CÓD SEC"")"),"REGINA CELE SANTANA DA SILVA SOUZA")</f>
        <v>REGINA CELE SANTANA DA SILVA SOUZA</v>
      </c>
      <c r="R1393" s="82" t="str">
        <f>IFERROR(__xludf.DUMMYFUNCTION("IFERROR(VLOOKUP(D1393,
IMPORTRANGE(""https://docs.google.com/spreadsheets/d/1MjHtlUikwobi2MaWJgy7tfLeBmhj1u-dRFRs_8GwSoA/edit#gid=0"",""Gestores Escolares!D7:m""),10,0),""VERIFICAR CÓD SEC"")"),"(74) 9 9192-2112")</f>
        <v>(74) 9 9192-2112</v>
      </c>
      <c r="S1393" s="82"/>
      <c r="T1393" s="138">
        <v>21.0</v>
      </c>
      <c r="U1393" s="388">
        <v>24.0</v>
      </c>
      <c r="V1393" s="106">
        <v>0.0</v>
      </c>
      <c r="W1393" s="107">
        <v>0.0</v>
      </c>
      <c r="X1393" s="107">
        <v>0.0</v>
      </c>
      <c r="Y1393" s="107">
        <v>0.0</v>
      </c>
      <c r="Z1393" s="80">
        <f t="shared" si="1"/>
        <v>0</v>
      </c>
      <c r="AA1393" s="106">
        <v>0.0</v>
      </c>
      <c r="AB1393" s="107">
        <v>0.0</v>
      </c>
      <c r="AC1393" s="107">
        <v>0.0</v>
      </c>
      <c r="AD1393" s="107">
        <v>0.0</v>
      </c>
      <c r="AE1393" s="80">
        <f t="shared" si="2"/>
        <v>0</v>
      </c>
      <c r="AF1393" s="140">
        <v>0.0</v>
      </c>
      <c r="AG1393" s="109">
        <v>0.0</v>
      </c>
      <c r="AH1393" s="109">
        <v>0.0</v>
      </c>
      <c r="AI1393" s="141">
        <v>0.0</v>
      </c>
      <c r="AJ1393" s="80">
        <f t="shared" si="3"/>
        <v>0</v>
      </c>
      <c r="AK1393" s="140">
        <v>0.0</v>
      </c>
      <c r="AL1393" s="109">
        <v>0.0</v>
      </c>
      <c r="AM1393" s="141">
        <v>0.0</v>
      </c>
      <c r="AN1393" s="80">
        <f t="shared" si="4"/>
        <v>0</v>
      </c>
      <c r="AO1393" s="140">
        <v>0.0</v>
      </c>
      <c r="AP1393" s="109">
        <v>0.0</v>
      </c>
      <c r="AQ1393" s="109">
        <v>0.0</v>
      </c>
      <c r="AR1393" s="80">
        <f t="shared" si="5"/>
        <v>0</v>
      </c>
      <c r="AS1393" s="110">
        <v>413.0</v>
      </c>
      <c r="AT1393" s="110">
        <v>398.0</v>
      </c>
      <c r="AU1393" s="110">
        <v>321.0</v>
      </c>
      <c r="AV1393" s="142">
        <v>196.0</v>
      </c>
      <c r="AW1393" s="80">
        <f t="shared" si="6"/>
        <v>1328</v>
      </c>
      <c r="AX1393" s="113">
        <f t="shared" si="7"/>
        <v>1328</v>
      </c>
      <c r="AY1393" s="117">
        <f t="shared" si="8"/>
        <v>1007</v>
      </c>
      <c r="AZ1393" s="120">
        <f t="shared" si="9"/>
        <v>321</v>
      </c>
      <c r="BA1393" s="115">
        <v>0.0</v>
      </c>
      <c r="BB1393" s="89">
        <f t="shared" si="10"/>
        <v>1328</v>
      </c>
      <c r="BC1393" s="132" t="s">
        <v>178</v>
      </c>
      <c r="BD1393" s="132" t="s">
        <v>779</v>
      </c>
      <c r="BE1393" s="132" t="s">
        <v>178</v>
      </c>
      <c r="BF1393" s="156"/>
      <c r="BG1393" s="83">
        <v>1164602.0</v>
      </c>
      <c r="BH1393" s="112"/>
      <c r="BI1393" s="112">
        <v>24.0</v>
      </c>
      <c r="BJ1393" s="98" t="s">
        <v>162</v>
      </c>
      <c r="BK1393" s="99">
        <f t="shared" si="11"/>
        <v>196</v>
      </c>
      <c r="BL1393" s="99">
        <f t="shared" si="12"/>
        <v>811</v>
      </c>
      <c r="BM1393" s="99" t="str">
        <f>IFERROR(__xludf.DUMMYFUNCTION("IFERROR(VLOOKUP(BG1393,IMPORTRANGE(""https://docs.google.com/spreadsheets/d/1juPI-Fb8LD0YtltB2mlGEnp_R3UVu1t3wSFPzgCyHXE/edit?gid=0#gid=0"",""GERAL!A2:C""),3,0),""-"")"),"-")</f>
        <v>-</v>
      </c>
    </row>
    <row r="1394" ht="15.75" customHeight="1">
      <c r="A1394" s="111" t="s">
        <v>1707</v>
      </c>
      <c r="B1394" s="172" t="s">
        <v>7792</v>
      </c>
      <c r="C1394" s="83" t="s">
        <v>68</v>
      </c>
      <c r="D1394" s="195">
        <v>1144261.0</v>
      </c>
      <c r="E1394" s="136"/>
      <c r="F1394" s="136">
        <v>2.9056616E7</v>
      </c>
      <c r="G1394" s="292" t="s">
        <v>7834</v>
      </c>
      <c r="H1394" s="91" t="s">
        <v>7835</v>
      </c>
      <c r="I1394" s="83" t="s">
        <v>149</v>
      </c>
      <c r="J1394" s="83" t="s">
        <v>150</v>
      </c>
      <c r="K1394" s="83" t="s">
        <v>168</v>
      </c>
      <c r="L1394" s="83" t="s">
        <v>230</v>
      </c>
      <c r="M1394" s="82" t="str">
        <f>IFERROR(__xludf.DUMMYFUNCTION("IFERROR(VLOOKUP(D1394,
IMPORTRANGE(""https://docs.google.com/spreadsheets/d/1MjHtlUikwobi2MaWJgy7tfLeBmhj1u-dRFRs_8GwSoA/edit#gid=0"",""Gestores Escolares!D7:J""),3,0),""VERIFICAR CÓD SEC"")"),"LILIAN REGINA MARQUES BARTILOTTI")</f>
        <v>LILIAN REGINA MARQUES BARTILOTTI</v>
      </c>
      <c r="N1394" s="82" t="str">
        <f>IFERROR(__xludf.DUMMYFUNCTION("IFERROR(VLOOKUP(D1394,
IMPORTRANGE(""https://docs.google.com/spreadsheets/d/1MjHtlUikwobi2MaWJgy7tfLeBmhj1u-dRFRs_8GwSoA/edit#gid=0"",""Gestores Escolares!D7:J""),4,0),""VERIFICAR CÓD SEC"")"),"(74) 9 9117 - 1525")</f>
        <v>(74) 9 9117 - 1525</v>
      </c>
      <c r="O1394" s="82" t="str">
        <f>IFERROR(__xludf.DUMMYFUNCTION("IFERROR(VLOOKUP(D1394,
IMPORTRANGE(""https://docs.google.com/spreadsheets/d/1MjHtlUikwobi2MaWJgy7tfLeBmhj1u-dRFRs_8GwSoA/edit#gid=0"",""Gestores Escolares!D7:J""),6,0),""VERIFICAR CÓD SEC"")"),"")</f>
        <v/>
      </c>
      <c r="P1394" s="82" t="str">
        <f>IFERROR(__xludf.DUMMYFUNCTION("IFERROR(VLOOKUP(D1394,
IMPORTRANGE(""https://docs.google.com/spreadsheets/d/1MjHtlUikwobi2MaWJgy7tfLeBmhj1u-dRFRs_8GwSoA/edit#gid=0"",""Gestores Escolares!D7:J""),7,0),""VERIFICAR CÓD SEC"")"),"")</f>
        <v/>
      </c>
      <c r="Q1394" s="82" t="str">
        <f>IFERROR(__xludf.DUMMYFUNCTION("IFERROR(VLOOKUP(D1394,
IMPORTRANGE(""https://docs.google.com/spreadsheets/d/1MjHtlUikwobi2MaWJgy7tfLeBmhj1u-dRFRs_8GwSoA/edit#gid=0"",""Gestores Escolares!D7:m""),9,0),""VERIFICAR CÓD SEC"")"),"")</f>
        <v/>
      </c>
      <c r="R1394" s="82" t="str">
        <f>IFERROR(__xludf.DUMMYFUNCTION("IFERROR(VLOOKUP(D1394,
IMPORTRANGE(""https://docs.google.com/spreadsheets/d/1MjHtlUikwobi2MaWJgy7tfLeBmhj1u-dRFRs_8GwSoA/edit#gid=0"",""Gestores Escolares!D7:m""),10,0),""VERIFICAR CÓD SEC"")"),"")</f>
        <v/>
      </c>
      <c r="S1394" s="82"/>
      <c r="T1394" s="138">
        <v>12.0</v>
      </c>
      <c r="U1394" s="388">
        <v>12.0</v>
      </c>
      <c r="V1394" s="106">
        <v>0.0</v>
      </c>
      <c r="W1394" s="107">
        <v>0.0</v>
      </c>
      <c r="X1394" s="107">
        <v>0.0</v>
      </c>
      <c r="Y1394" s="107">
        <v>0.0</v>
      </c>
      <c r="Z1394" s="80">
        <f t="shared" si="1"/>
        <v>0</v>
      </c>
      <c r="AA1394" s="106">
        <v>0.0</v>
      </c>
      <c r="AB1394" s="107">
        <v>0.0</v>
      </c>
      <c r="AC1394" s="107">
        <v>0.0</v>
      </c>
      <c r="AD1394" s="107">
        <v>0.0</v>
      </c>
      <c r="AE1394" s="80">
        <f t="shared" si="2"/>
        <v>0</v>
      </c>
      <c r="AF1394" s="140">
        <v>0.0</v>
      </c>
      <c r="AG1394" s="109">
        <v>0.0</v>
      </c>
      <c r="AH1394" s="109">
        <v>0.0</v>
      </c>
      <c r="AI1394" s="141">
        <v>0.0</v>
      </c>
      <c r="AJ1394" s="80">
        <f t="shared" si="3"/>
        <v>0</v>
      </c>
      <c r="AK1394" s="140">
        <v>0.0</v>
      </c>
      <c r="AL1394" s="109">
        <v>0.0</v>
      </c>
      <c r="AM1394" s="141">
        <v>0.0</v>
      </c>
      <c r="AN1394" s="80">
        <f t="shared" si="4"/>
        <v>0</v>
      </c>
      <c r="AO1394" s="140">
        <v>0.0</v>
      </c>
      <c r="AP1394" s="109">
        <v>0.0</v>
      </c>
      <c r="AQ1394" s="109">
        <v>0.0</v>
      </c>
      <c r="AR1394" s="80">
        <f t="shared" si="5"/>
        <v>0</v>
      </c>
      <c r="AS1394" s="110">
        <v>0.0</v>
      </c>
      <c r="AT1394" s="110">
        <v>0.0</v>
      </c>
      <c r="AU1394" s="110">
        <v>0.0</v>
      </c>
      <c r="AV1394" s="142">
        <v>0.0</v>
      </c>
      <c r="AW1394" s="80">
        <f t="shared" si="6"/>
        <v>0</v>
      </c>
      <c r="AX1394" s="113">
        <f t="shared" si="7"/>
        <v>0</v>
      </c>
      <c r="AY1394" s="117">
        <f t="shared" si="8"/>
        <v>0</v>
      </c>
      <c r="AZ1394" s="120">
        <f t="shared" si="9"/>
        <v>0</v>
      </c>
      <c r="BA1394" s="168">
        <v>0.0</v>
      </c>
      <c r="BB1394" s="89">
        <f t="shared" si="10"/>
        <v>0</v>
      </c>
      <c r="BC1394" s="132" t="s">
        <v>553</v>
      </c>
      <c r="BD1394" s="132" t="s">
        <v>554</v>
      </c>
      <c r="BE1394" s="132" t="s">
        <v>178</v>
      </c>
      <c r="BF1394" s="156"/>
      <c r="BG1394" s="136">
        <v>1144261.0</v>
      </c>
      <c r="BH1394" s="112"/>
      <c r="BI1394" s="112">
        <v>12.0</v>
      </c>
      <c r="BJ1394" s="98" t="s">
        <v>155</v>
      </c>
      <c r="BK1394" s="99">
        <f t="shared" si="11"/>
        <v>0</v>
      </c>
      <c r="BL1394" s="99">
        <f t="shared" si="12"/>
        <v>0</v>
      </c>
      <c r="BM1394" s="99" t="str">
        <f>IFERROR(__xludf.DUMMYFUNCTION("IFERROR(VLOOKUP(BG1394,IMPORTRANGE(""https://docs.google.com/spreadsheets/d/1juPI-Fb8LD0YtltB2mlGEnp_R3UVu1t3wSFPzgCyHXE/edit?gid=0#gid=0"",""GERAL!A2:C""),3,0),""-"")"),"-")</f>
        <v>-</v>
      </c>
    </row>
    <row r="1395" ht="15.75" customHeight="1">
      <c r="A1395" s="111" t="s">
        <v>1707</v>
      </c>
      <c r="B1395" s="83" t="s">
        <v>7792</v>
      </c>
      <c r="C1395" s="136" t="s">
        <v>164</v>
      </c>
      <c r="D1395" s="112">
        <v>1179286.0</v>
      </c>
      <c r="E1395" s="136">
        <v>1179003.0</v>
      </c>
      <c r="F1395" s="115">
        <v>2.9461529E7</v>
      </c>
      <c r="G1395" s="241" t="s">
        <v>7840</v>
      </c>
      <c r="H1395" s="91" t="s">
        <v>7841</v>
      </c>
      <c r="I1395" s="136" t="s">
        <v>7842</v>
      </c>
      <c r="J1395" s="83" t="s">
        <v>5099</v>
      </c>
      <c r="K1395" s="83" t="s">
        <v>168</v>
      </c>
      <c r="L1395" s="83" t="s">
        <v>169</v>
      </c>
      <c r="M1395" s="82" t="str">
        <f>IFERROR(__xludf.DUMMYFUNCTION("IFERROR(VLOOKUP(D1395,
IMPORTRANGE(""https://docs.google.com/spreadsheets/d/1MjHtlUikwobi2MaWJgy7tfLeBmhj1u-dRFRs_8GwSoA/edit#gid=0"",""Gestores Escolares!D7:J""),3,0),""VERIFICAR CÓD SEC"")"),"GISELDA VIEIRA FEITOSA DE ALMEIDA")</f>
        <v>GISELDA VIEIRA FEITOSA DE ALMEIDA</v>
      </c>
      <c r="N1395" s="82" t="str">
        <f>IFERROR(__xludf.DUMMYFUNCTION("IFERROR(VLOOKUP(D1395,
IMPORTRANGE(""https://docs.google.com/spreadsheets/d/1MjHtlUikwobi2MaWJgy7tfLeBmhj1u-dRFRs_8GwSoA/edit#gid=0"",""Gestores Escolares!D7:J""),4,0),""VERIFICAR CÓD SEC"")"),"(74) 9 9148-3771")</f>
        <v>(74) 9 9148-3771</v>
      </c>
      <c r="O1395" s="82" t="str">
        <f>IFERROR(__xludf.DUMMYFUNCTION("IFERROR(VLOOKUP(D1395,
IMPORTRANGE(""https://docs.google.com/spreadsheets/d/1MjHtlUikwobi2MaWJgy7tfLeBmhj1u-dRFRs_8GwSoA/edit#gid=0"",""Gestores Escolares!D7:J""),6,0),""VERIFICAR CÓD SEC"")"),"JOSEFA CRISTINA DA SILVA RIBEIRO")</f>
        <v>JOSEFA CRISTINA DA SILVA RIBEIRO</v>
      </c>
      <c r="P1395" s="82" t="str">
        <f>IFERROR(__xludf.DUMMYFUNCTION("IFERROR(VLOOKUP(D1395,
IMPORTRANGE(""https://docs.google.com/spreadsheets/d/1MjHtlUikwobi2MaWJgy7tfLeBmhj1u-dRFRs_8GwSoA/edit#gid=0"",""Gestores Escolares!D7:J""),7,0),""VERIFICAR CÓD SEC"")"),"(74) 9 9111-4149")</f>
        <v>(74) 9 9111-4149</v>
      </c>
      <c r="Q1395" s="82" t="str">
        <f>IFERROR(__xludf.DUMMYFUNCTION("IFERROR(VLOOKUP(D1395,
IMPORTRANGE(""https://docs.google.com/spreadsheets/d/1MjHtlUikwobi2MaWJgy7tfLeBmhj1u-dRFRs_8GwSoA/edit#gid=0"",""Gestores Escolares!D7:m""),9,0),""VERIFICAR CÓD SEC"")"),"SANDRO ALMEIDA SILVA")</f>
        <v>SANDRO ALMEIDA SILVA</v>
      </c>
      <c r="R1395" s="82" t="str">
        <f>IFERROR(__xludf.DUMMYFUNCTION("IFERROR(VLOOKUP(D1395,
IMPORTRANGE(""https://docs.google.com/spreadsheets/d/1MjHtlUikwobi2MaWJgy7tfLeBmhj1u-dRFRs_8GwSoA/edit#gid=0"",""Gestores Escolares!D7:m""),10,0),""VERIFICAR CÓD SEC"")"),"(74) 9 9118-4604")</f>
        <v>(74) 9 9118-4604</v>
      </c>
      <c r="S1395" s="82"/>
      <c r="T1395" s="138">
        <v>3.0</v>
      </c>
      <c r="U1395" s="403">
        <v>3.0</v>
      </c>
      <c r="V1395" s="106">
        <v>0.0</v>
      </c>
      <c r="W1395" s="107">
        <v>0.0</v>
      </c>
      <c r="X1395" s="107">
        <v>0.0</v>
      </c>
      <c r="Y1395" s="107">
        <v>0.0</v>
      </c>
      <c r="Z1395" s="80">
        <f t="shared" si="1"/>
        <v>0</v>
      </c>
      <c r="AA1395" s="106">
        <v>0.0</v>
      </c>
      <c r="AB1395" s="107">
        <v>0.0</v>
      </c>
      <c r="AC1395" s="107">
        <v>0.0</v>
      </c>
      <c r="AD1395" s="107">
        <v>0.0</v>
      </c>
      <c r="AE1395" s="80">
        <f t="shared" si="2"/>
        <v>0</v>
      </c>
      <c r="AF1395" s="140">
        <v>0.0</v>
      </c>
      <c r="AG1395" s="109">
        <v>0.0</v>
      </c>
      <c r="AH1395" s="109">
        <v>23.0</v>
      </c>
      <c r="AI1395" s="141">
        <v>0.0</v>
      </c>
      <c r="AJ1395" s="80">
        <f t="shared" si="3"/>
        <v>23</v>
      </c>
      <c r="AK1395" s="140">
        <v>0.0</v>
      </c>
      <c r="AL1395" s="109">
        <v>0.0</v>
      </c>
      <c r="AM1395" s="141">
        <v>0.0</v>
      </c>
      <c r="AN1395" s="80">
        <f t="shared" si="4"/>
        <v>0</v>
      </c>
      <c r="AO1395" s="140">
        <v>0.0</v>
      </c>
      <c r="AP1395" s="109">
        <v>0.0</v>
      </c>
      <c r="AQ1395" s="109">
        <v>0.0</v>
      </c>
      <c r="AR1395" s="80">
        <f t="shared" si="5"/>
        <v>0</v>
      </c>
      <c r="AS1395" s="110">
        <v>0.0</v>
      </c>
      <c r="AT1395" s="110">
        <v>0.0</v>
      </c>
      <c r="AU1395" s="110">
        <v>0.0</v>
      </c>
      <c r="AV1395" s="142">
        <v>0.0</v>
      </c>
      <c r="AW1395" s="80">
        <f t="shared" si="6"/>
        <v>0</v>
      </c>
      <c r="AX1395" s="113">
        <f t="shared" si="7"/>
        <v>23</v>
      </c>
      <c r="AY1395" s="117">
        <f t="shared" si="8"/>
        <v>0</v>
      </c>
      <c r="AZ1395" s="120">
        <f t="shared" si="9"/>
        <v>23</v>
      </c>
      <c r="BA1395" s="115">
        <v>0.0</v>
      </c>
      <c r="BB1395" s="89">
        <f t="shared" si="10"/>
        <v>23</v>
      </c>
      <c r="BC1395" s="132" t="s">
        <v>265</v>
      </c>
      <c r="BD1395" s="183" t="s">
        <v>227</v>
      </c>
      <c r="BE1395" s="132" t="s">
        <v>178</v>
      </c>
      <c r="BF1395" s="123"/>
      <c r="BG1395" s="136">
        <v>1179003.0</v>
      </c>
      <c r="BH1395" s="112"/>
      <c r="BI1395" s="112">
        <v>3.0</v>
      </c>
      <c r="BJ1395" s="98" t="s">
        <v>155</v>
      </c>
      <c r="BK1395" s="99">
        <f t="shared" si="11"/>
        <v>0</v>
      </c>
      <c r="BL1395" s="99">
        <f t="shared" si="12"/>
        <v>0</v>
      </c>
      <c r="BM1395" s="99" t="str">
        <f>IFERROR(__xludf.DUMMYFUNCTION("IFERROR(VLOOKUP(BG1395,IMPORTRANGE(""https://docs.google.com/spreadsheets/d/1juPI-Fb8LD0YtltB2mlGEnp_R3UVu1t3wSFPzgCyHXE/edit?gid=0#gid=0"",""GERAL!A2:C""),3,0),""-"")"),"QUILOMBOLAS")</f>
        <v>QUILOMBOLAS</v>
      </c>
    </row>
    <row r="1396" ht="15.75" customHeight="1">
      <c r="A1396" s="111" t="s">
        <v>1707</v>
      </c>
      <c r="B1396" s="83" t="s">
        <v>7792</v>
      </c>
      <c r="C1396" s="136" t="s">
        <v>164</v>
      </c>
      <c r="D1396" s="112">
        <v>1179286.0</v>
      </c>
      <c r="E1396" s="136">
        <v>1179366.0</v>
      </c>
      <c r="F1396" s="115">
        <v>2.9461529E7</v>
      </c>
      <c r="G1396" s="241" t="s">
        <v>7844</v>
      </c>
      <c r="H1396" s="91" t="s">
        <v>7845</v>
      </c>
      <c r="I1396" s="136" t="s">
        <v>4215</v>
      </c>
      <c r="J1396" s="83" t="s">
        <v>1386</v>
      </c>
      <c r="K1396" s="83" t="s">
        <v>168</v>
      </c>
      <c r="L1396" s="83" t="s">
        <v>169</v>
      </c>
      <c r="M1396" s="82" t="str">
        <f>IFERROR(__xludf.DUMMYFUNCTION("IFERROR(VLOOKUP(D1396,
IMPORTRANGE(""https://docs.google.com/spreadsheets/d/1MjHtlUikwobi2MaWJgy7tfLeBmhj1u-dRFRs_8GwSoA/edit#gid=0"",""Gestores Escolares!D7:J""),3,0),""VERIFICAR CÓD SEC"")"),"GISELDA VIEIRA FEITOSA DE ALMEIDA")</f>
        <v>GISELDA VIEIRA FEITOSA DE ALMEIDA</v>
      </c>
      <c r="N1396" s="82" t="str">
        <f>IFERROR(__xludf.DUMMYFUNCTION("IFERROR(VLOOKUP(D1396,
IMPORTRANGE(""https://docs.google.com/spreadsheets/d/1MjHtlUikwobi2MaWJgy7tfLeBmhj1u-dRFRs_8GwSoA/edit#gid=0"",""Gestores Escolares!D7:J""),4,0),""VERIFICAR CÓD SEC"")"),"(74) 9 9148-3771")</f>
        <v>(74) 9 9148-3771</v>
      </c>
      <c r="O1396" s="82" t="str">
        <f>IFERROR(__xludf.DUMMYFUNCTION("IFERROR(VLOOKUP(D1396,
IMPORTRANGE(""https://docs.google.com/spreadsheets/d/1MjHtlUikwobi2MaWJgy7tfLeBmhj1u-dRFRs_8GwSoA/edit#gid=0"",""Gestores Escolares!D7:J""),6,0),""VERIFICAR CÓD SEC"")"),"JOSEFA CRISTINA DA SILVA RIBEIRO")</f>
        <v>JOSEFA CRISTINA DA SILVA RIBEIRO</v>
      </c>
      <c r="P1396" s="82" t="str">
        <f>IFERROR(__xludf.DUMMYFUNCTION("IFERROR(VLOOKUP(D1396,
IMPORTRANGE(""https://docs.google.com/spreadsheets/d/1MjHtlUikwobi2MaWJgy7tfLeBmhj1u-dRFRs_8GwSoA/edit#gid=0"",""Gestores Escolares!D7:J""),7,0),""VERIFICAR CÓD SEC"")"),"(74) 9 9111-4149")</f>
        <v>(74) 9 9111-4149</v>
      </c>
      <c r="Q1396" s="82" t="str">
        <f>IFERROR(__xludf.DUMMYFUNCTION("IFERROR(VLOOKUP(D1396,
IMPORTRANGE(""https://docs.google.com/spreadsheets/d/1MjHtlUikwobi2MaWJgy7tfLeBmhj1u-dRFRs_8GwSoA/edit#gid=0"",""Gestores Escolares!D7:m""),9,0),""VERIFICAR CÓD SEC"")"),"SANDRO ALMEIDA SILVA")</f>
        <v>SANDRO ALMEIDA SILVA</v>
      </c>
      <c r="R1396" s="82" t="str">
        <f>IFERROR(__xludf.DUMMYFUNCTION("IFERROR(VLOOKUP(D1396,
IMPORTRANGE(""https://docs.google.com/spreadsheets/d/1MjHtlUikwobi2MaWJgy7tfLeBmhj1u-dRFRs_8GwSoA/edit#gid=0"",""Gestores Escolares!D7:m""),10,0),""VERIFICAR CÓD SEC"")"),"(74) 9 9118-4604")</f>
        <v>(74) 9 9118-4604</v>
      </c>
      <c r="S1396" s="82"/>
      <c r="T1396" s="138">
        <v>2.0</v>
      </c>
      <c r="U1396" s="152">
        <v>2.0</v>
      </c>
      <c r="V1396" s="106">
        <v>0.0</v>
      </c>
      <c r="W1396" s="107">
        <v>0.0</v>
      </c>
      <c r="X1396" s="107">
        <v>0.0</v>
      </c>
      <c r="Y1396" s="107">
        <v>0.0</v>
      </c>
      <c r="Z1396" s="80">
        <f t="shared" si="1"/>
        <v>0</v>
      </c>
      <c r="AA1396" s="106">
        <v>0.0</v>
      </c>
      <c r="AB1396" s="107">
        <v>0.0</v>
      </c>
      <c r="AC1396" s="107">
        <v>0.0</v>
      </c>
      <c r="AD1396" s="107">
        <v>0.0</v>
      </c>
      <c r="AE1396" s="80">
        <f t="shared" si="2"/>
        <v>0</v>
      </c>
      <c r="AF1396" s="140">
        <v>0.0</v>
      </c>
      <c r="AG1396" s="109">
        <v>0.0</v>
      </c>
      <c r="AH1396" s="109">
        <v>34.0</v>
      </c>
      <c r="AI1396" s="141">
        <v>0.0</v>
      </c>
      <c r="AJ1396" s="80">
        <f t="shared" si="3"/>
        <v>34</v>
      </c>
      <c r="AK1396" s="140">
        <v>0.0</v>
      </c>
      <c r="AL1396" s="109">
        <v>0.0</v>
      </c>
      <c r="AM1396" s="141">
        <v>0.0</v>
      </c>
      <c r="AN1396" s="80">
        <f t="shared" si="4"/>
        <v>0</v>
      </c>
      <c r="AO1396" s="140">
        <v>0.0</v>
      </c>
      <c r="AP1396" s="109">
        <v>0.0</v>
      </c>
      <c r="AQ1396" s="109">
        <v>0.0</v>
      </c>
      <c r="AR1396" s="80">
        <f t="shared" si="5"/>
        <v>0</v>
      </c>
      <c r="AS1396" s="110">
        <v>0.0</v>
      </c>
      <c r="AT1396" s="110">
        <v>0.0</v>
      </c>
      <c r="AU1396" s="110">
        <v>0.0</v>
      </c>
      <c r="AV1396" s="142">
        <v>0.0</v>
      </c>
      <c r="AW1396" s="80">
        <f t="shared" si="6"/>
        <v>0</v>
      </c>
      <c r="AX1396" s="113">
        <f t="shared" si="7"/>
        <v>34</v>
      </c>
      <c r="AY1396" s="117">
        <f t="shared" si="8"/>
        <v>0</v>
      </c>
      <c r="AZ1396" s="120">
        <f t="shared" si="9"/>
        <v>34</v>
      </c>
      <c r="BA1396" s="115">
        <v>0.0</v>
      </c>
      <c r="BB1396" s="89">
        <f t="shared" si="10"/>
        <v>34</v>
      </c>
      <c r="BC1396" s="132" t="s">
        <v>265</v>
      </c>
      <c r="BD1396" s="183" t="s">
        <v>227</v>
      </c>
      <c r="BE1396" s="132" t="s">
        <v>178</v>
      </c>
      <c r="BF1396" s="156"/>
      <c r="BG1396" s="136">
        <v>1179366.0</v>
      </c>
      <c r="BH1396" s="112"/>
      <c r="BI1396" s="112">
        <v>2.0</v>
      </c>
      <c r="BJ1396" s="98" t="s">
        <v>155</v>
      </c>
      <c r="BK1396" s="99">
        <f t="shared" si="11"/>
        <v>0</v>
      </c>
      <c r="BL1396" s="99">
        <f t="shared" si="12"/>
        <v>0</v>
      </c>
      <c r="BM1396" s="99" t="str">
        <f>IFERROR(__xludf.DUMMYFUNCTION("IFERROR(VLOOKUP(BG1396,IMPORTRANGE(""https://docs.google.com/spreadsheets/d/1juPI-Fb8LD0YtltB2mlGEnp_R3UVu1t3wSFPzgCyHXE/edit?gid=0#gid=0"",""GERAL!A2:C""),3,0),""-"")"),"QUILOMBOLAS")</f>
        <v>QUILOMBOLAS</v>
      </c>
    </row>
    <row r="1397" ht="15.75" customHeight="1">
      <c r="A1397" s="111" t="s">
        <v>1707</v>
      </c>
      <c r="B1397" s="83" t="s">
        <v>7792</v>
      </c>
      <c r="C1397" s="136" t="s">
        <v>164</v>
      </c>
      <c r="D1397" s="112">
        <v>1120923.0</v>
      </c>
      <c r="E1397" s="136">
        <v>1179629.0</v>
      </c>
      <c r="F1397" s="115">
        <v>2.9493358E7</v>
      </c>
      <c r="G1397" s="292" t="s">
        <v>7846</v>
      </c>
      <c r="H1397" s="91" t="s">
        <v>7847</v>
      </c>
      <c r="I1397" s="83" t="s">
        <v>7848</v>
      </c>
      <c r="J1397" s="83" t="s">
        <v>5099</v>
      </c>
      <c r="K1397" s="83" t="s">
        <v>151</v>
      </c>
      <c r="L1397" s="83" t="s">
        <v>169</v>
      </c>
      <c r="M1397" s="82" t="str">
        <f>IFERROR(__xludf.DUMMYFUNCTION("IFERROR(VLOOKUP(D1397,
IMPORTRANGE(""https://docs.google.com/spreadsheets/d/1MjHtlUikwobi2MaWJgy7tfLeBmhj1u-dRFRs_8GwSoA/edit#gid=0"",""Gestores Escolares!D7:J""),3,0),""VERIFICAR CÓD SEC"")"),"CLEBER CARVALHO CHAVES")</f>
        <v>CLEBER CARVALHO CHAVES</v>
      </c>
      <c r="N1397" s="82" t="str">
        <f>IFERROR(__xludf.DUMMYFUNCTION("IFERROR(VLOOKUP(D1397,
IMPORTRANGE(""https://docs.google.com/spreadsheets/d/1MjHtlUikwobi2MaWJgy7tfLeBmhj1u-dRFRs_8GwSoA/edit#gid=0"",""Gestores Escolares!D7:J""),4,0),""VERIFICAR CÓD SEC"")"),"(74) 9 9122 - 3066")</f>
        <v>(74) 9 9122 - 3066</v>
      </c>
      <c r="O1397" s="82" t="str">
        <f>IFERROR(__xludf.DUMMYFUNCTION("IFERROR(VLOOKUP(D1397,
IMPORTRANGE(""https://docs.google.com/spreadsheets/d/1MjHtlUikwobi2MaWJgy7tfLeBmhj1u-dRFRs_8GwSoA/edit#gid=0"",""Gestores Escolares!D7:J""),6,0),""VERIFICAR CÓD SEC"")"),"JUCIANA GALINDO DOS SANTOS VERAS MARQUES")</f>
        <v>JUCIANA GALINDO DOS SANTOS VERAS MARQUES</v>
      </c>
      <c r="P1397" s="82" t="str">
        <f>IFERROR(__xludf.DUMMYFUNCTION("IFERROR(VLOOKUP(D1397,
IMPORTRANGE(""https://docs.google.com/spreadsheets/d/1MjHtlUikwobi2MaWJgy7tfLeBmhj1u-dRFRs_8GwSoA/edit#gid=0"",""Gestores Escolares!D7:J""),7,0),""VERIFICAR CÓD SEC"")"),"(74) 9 9116-6795")</f>
        <v>(74) 9 9116-6795</v>
      </c>
      <c r="Q1397" s="82" t="str">
        <f>IFERROR(__xludf.DUMMYFUNCTION("IFERROR(VLOOKUP(D1397,
IMPORTRANGE(""https://docs.google.com/spreadsheets/d/1MjHtlUikwobi2MaWJgy7tfLeBmhj1u-dRFRs_8GwSoA/edit#gid=0"",""Gestores Escolares!D7:m""),9,0),""VERIFICAR CÓD SEC"")"),"ANA PAULA ALMEIDA SOUZA")</f>
        <v>ANA PAULA ALMEIDA SOUZA</v>
      </c>
      <c r="R1397" s="82" t="str">
        <f>IFERROR(__xludf.DUMMYFUNCTION("IFERROR(VLOOKUP(D1397,
IMPORTRANGE(""https://docs.google.com/spreadsheets/d/1MjHtlUikwobi2MaWJgy7tfLeBmhj1u-dRFRs_8GwSoA/edit#gid=0"",""Gestores Escolares!D7:m""),10,0),""VERIFICAR CÓD SEC"")"),"(74) 9 9195-8024")</f>
        <v>(74) 9 9195-8024</v>
      </c>
      <c r="S1397" s="82"/>
      <c r="T1397" s="138">
        <v>5.0</v>
      </c>
      <c r="U1397" s="403">
        <v>3.0</v>
      </c>
      <c r="V1397" s="106">
        <v>0.0</v>
      </c>
      <c r="W1397" s="107">
        <v>0.0</v>
      </c>
      <c r="X1397" s="107">
        <v>0.0</v>
      </c>
      <c r="Y1397" s="107">
        <v>0.0</v>
      </c>
      <c r="Z1397" s="80">
        <f t="shared" si="1"/>
        <v>0</v>
      </c>
      <c r="AA1397" s="106">
        <v>0.0</v>
      </c>
      <c r="AB1397" s="107">
        <v>0.0</v>
      </c>
      <c r="AC1397" s="107">
        <v>0.0</v>
      </c>
      <c r="AD1397" s="107">
        <v>0.0</v>
      </c>
      <c r="AE1397" s="80">
        <f t="shared" si="2"/>
        <v>0</v>
      </c>
      <c r="AF1397" s="140">
        <v>46.0</v>
      </c>
      <c r="AG1397" s="109">
        <v>0.0</v>
      </c>
      <c r="AH1397" s="109">
        <v>0.0</v>
      </c>
      <c r="AI1397" s="141">
        <v>0.0</v>
      </c>
      <c r="AJ1397" s="80">
        <f t="shared" si="3"/>
        <v>46</v>
      </c>
      <c r="AK1397" s="140">
        <v>0.0</v>
      </c>
      <c r="AL1397" s="109">
        <v>0.0</v>
      </c>
      <c r="AM1397" s="141">
        <v>0.0</v>
      </c>
      <c r="AN1397" s="80">
        <f t="shared" si="4"/>
        <v>0</v>
      </c>
      <c r="AO1397" s="140">
        <v>0.0</v>
      </c>
      <c r="AP1397" s="109">
        <v>0.0</v>
      </c>
      <c r="AQ1397" s="109">
        <v>26.0</v>
      </c>
      <c r="AR1397" s="80">
        <f t="shared" si="5"/>
        <v>26</v>
      </c>
      <c r="AS1397" s="110">
        <v>0.0</v>
      </c>
      <c r="AT1397" s="110">
        <v>0.0</v>
      </c>
      <c r="AU1397" s="110">
        <v>0.0</v>
      </c>
      <c r="AV1397" s="142">
        <v>0.0</v>
      </c>
      <c r="AW1397" s="80">
        <f t="shared" si="6"/>
        <v>0</v>
      </c>
      <c r="AX1397" s="113">
        <f t="shared" si="7"/>
        <v>72</v>
      </c>
      <c r="AY1397" s="117">
        <f t="shared" si="8"/>
        <v>46</v>
      </c>
      <c r="AZ1397" s="120">
        <f t="shared" si="9"/>
        <v>26</v>
      </c>
      <c r="BA1397" s="115">
        <v>0.0</v>
      </c>
      <c r="BB1397" s="89">
        <f t="shared" si="10"/>
        <v>72</v>
      </c>
      <c r="BC1397" s="132" t="s">
        <v>178</v>
      </c>
      <c r="BD1397" s="132" t="s">
        <v>178</v>
      </c>
      <c r="BE1397" s="132" t="s">
        <v>178</v>
      </c>
      <c r="BF1397" s="156"/>
      <c r="BG1397" s="136">
        <v>1179629.0</v>
      </c>
      <c r="BH1397" s="112"/>
      <c r="BI1397" s="112">
        <v>3.0</v>
      </c>
      <c r="BJ1397" s="98" t="s">
        <v>155</v>
      </c>
      <c r="BK1397" s="99">
        <f t="shared" si="11"/>
        <v>0</v>
      </c>
      <c r="BL1397" s="99">
        <f t="shared" si="12"/>
        <v>46</v>
      </c>
      <c r="BM1397" s="99" t="str">
        <f>IFERROR(__xludf.DUMMYFUNCTION("IFERROR(VLOOKUP(BG1397,IMPORTRANGE(""https://docs.google.com/spreadsheets/d/1juPI-Fb8LD0YtltB2mlGEnp_R3UVu1t3wSFPzgCyHXE/edit?gid=0#gid=0"",""GERAL!A2:C""),3,0),""-"")"),"-")</f>
        <v>-</v>
      </c>
    </row>
    <row r="1398" ht="15.75" customHeight="1">
      <c r="A1398" s="111" t="s">
        <v>1707</v>
      </c>
      <c r="B1398" s="83" t="s">
        <v>7792</v>
      </c>
      <c r="C1398" s="136" t="s">
        <v>164</v>
      </c>
      <c r="D1398" s="112">
        <v>1120923.0</v>
      </c>
      <c r="E1398" s="136">
        <v>1179002.0</v>
      </c>
      <c r="F1398" s="115">
        <v>2.9493366E7</v>
      </c>
      <c r="G1398" s="292" t="s">
        <v>7849</v>
      </c>
      <c r="H1398" s="91" t="s">
        <v>7850</v>
      </c>
      <c r="I1398" s="172" t="s">
        <v>4215</v>
      </c>
      <c r="J1398" s="83" t="s">
        <v>694</v>
      </c>
      <c r="K1398" s="83" t="s">
        <v>168</v>
      </c>
      <c r="L1398" s="83" t="s">
        <v>169</v>
      </c>
      <c r="M1398" s="82" t="str">
        <f>IFERROR(__xludf.DUMMYFUNCTION("IFERROR(VLOOKUP(D1398,
IMPORTRANGE(""https://docs.google.com/spreadsheets/d/1MjHtlUikwobi2MaWJgy7tfLeBmhj1u-dRFRs_8GwSoA/edit#gid=0"",""Gestores Escolares!D7:J""),3,0),""VERIFICAR CÓD SEC"")"),"CLEBER CARVALHO CHAVES")</f>
        <v>CLEBER CARVALHO CHAVES</v>
      </c>
      <c r="N1398" s="82" t="str">
        <f>IFERROR(__xludf.DUMMYFUNCTION("IFERROR(VLOOKUP(D1398,
IMPORTRANGE(""https://docs.google.com/spreadsheets/d/1MjHtlUikwobi2MaWJgy7tfLeBmhj1u-dRFRs_8GwSoA/edit#gid=0"",""Gestores Escolares!D7:J""),4,0),""VERIFICAR CÓD SEC"")"),"(74) 9 9122 - 3066")</f>
        <v>(74) 9 9122 - 3066</v>
      </c>
      <c r="O1398" s="82" t="str">
        <f>IFERROR(__xludf.DUMMYFUNCTION("IFERROR(VLOOKUP(D1398,
IMPORTRANGE(""https://docs.google.com/spreadsheets/d/1MjHtlUikwobi2MaWJgy7tfLeBmhj1u-dRFRs_8GwSoA/edit#gid=0"",""Gestores Escolares!D7:J""),6,0),""VERIFICAR CÓD SEC"")"),"JUCIANA GALINDO DOS SANTOS VERAS MARQUES")</f>
        <v>JUCIANA GALINDO DOS SANTOS VERAS MARQUES</v>
      </c>
      <c r="P1398" s="82" t="str">
        <f>IFERROR(__xludf.DUMMYFUNCTION("IFERROR(VLOOKUP(D1398,
IMPORTRANGE(""https://docs.google.com/spreadsheets/d/1MjHtlUikwobi2MaWJgy7tfLeBmhj1u-dRFRs_8GwSoA/edit#gid=0"",""Gestores Escolares!D7:J""),7,0),""VERIFICAR CÓD SEC"")"),"(74) 9 9116-6795")</f>
        <v>(74) 9 9116-6795</v>
      </c>
      <c r="Q1398" s="82" t="str">
        <f>IFERROR(__xludf.DUMMYFUNCTION("IFERROR(VLOOKUP(D1398,
IMPORTRANGE(""https://docs.google.com/spreadsheets/d/1MjHtlUikwobi2MaWJgy7tfLeBmhj1u-dRFRs_8GwSoA/edit#gid=0"",""Gestores Escolares!D7:m""),9,0),""VERIFICAR CÓD SEC"")"),"ANA PAULA ALMEIDA SOUZA")</f>
        <v>ANA PAULA ALMEIDA SOUZA</v>
      </c>
      <c r="R1398" s="82" t="str">
        <f>IFERROR(__xludf.DUMMYFUNCTION("IFERROR(VLOOKUP(D1398,
IMPORTRANGE(""https://docs.google.com/spreadsheets/d/1MjHtlUikwobi2MaWJgy7tfLeBmhj1u-dRFRs_8GwSoA/edit#gid=0"",""Gestores Escolares!D7:m""),10,0),""VERIFICAR CÓD SEC"")"),"(74) 9 9195-8024")</f>
        <v>(74) 9 9195-8024</v>
      </c>
      <c r="S1398" s="82"/>
      <c r="T1398" s="138">
        <v>5.0</v>
      </c>
      <c r="U1398" s="403">
        <v>3.0</v>
      </c>
      <c r="V1398" s="106">
        <v>0.0</v>
      </c>
      <c r="W1398" s="107">
        <v>0.0</v>
      </c>
      <c r="X1398" s="107">
        <v>0.0</v>
      </c>
      <c r="Y1398" s="107">
        <v>0.0</v>
      </c>
      <c r="Z1398" s="80">
        <f t="shared" si="1"/>
        <v>0</v>
      </c>
      <c r="AA1398" s="106">
        <v>0.0</v>
      </c>
      <c r="AB1398" s="107">
        <v>0.0</v>
      </c>
      <c r="AC1398" s="107">
        <v>0.0</v>
      </c>
      <c r="AD1398" s="107">
        <v>0.0</v>
      </c>
      <c r="AE1398" s="80">
        <f t="shared" si="2"/>
        <v>0</v>
      </c>
      <c r="AF1398" s="140">
        <v>0.0</v>
      </c>
      <c r="AG1398" s="109">
        <v>79.0</v>
      </c>
      <c r="AH1398" s="109">
        <v>0.0</v>
      </c>
      <c r="AI1398" s="141">
        <v>0.0</v>
      </c>
      <c r="AJ1398" s="80">
        <f t="shared" si="3"/>
        <v>79</v>
      </c>
      <c r="AK1398" s="140">
        <v>0.0</v>
      </c>
      <c r="AL1398" s="109">
        <v>0.0</v>
      </c>
      <c r="AM1398" s="141">
        <v>0.0</v>
      </c>
      <c r="AN1398" s="80">
        <f t="shared" si="4"/>
        <v>0</v>
      </c>
      <c r="AO1398" s="140">
        <v>0.0</v>
      </c>
      <c r="AP1398" s="109">
        <v>0.0</v>
      </c>
      <c r="AQ1398" s="109">
        <v>48.0</v>
      </c>
      <c r="AR1398" s="80">
        <f t="shared" si="5"/>
        <v>48</v>
      </c>
      <c r="AS1398" s="110">
        <v>0.0</v>
      </c>
      <c r="AT1398" s="110">
        <v>0.0</v>
      </c>
      <c r="AU1398" s="110">
        <v>0.0</v>
      </c>
      <c r="AV1398" s="142">
        <v>0.0</v>
      </c>
      <c r="AW1398" s="80">
        <f t="shared" si="6"/>
        <v>0</v>
      </c>
      <c r="AX1398" s="113">
        <f t="shared" si="7"/>
        <v>127</v>
      </c>
      <c r="AY1398" s="117">
        <f t="shared" si="8"/>
        <v>79</v>
      </c>
      <c r="AZ1398" s="120">
        <f t="shared" si="9"/>
        <v>48</v>
      </c>
      <c r="BA1398" s="115">
        <v>0.0</v>
      </c>
      <c r="BB1398" s="89">
        <f t="shared" si="10"/>
        <v>127</v>
      </c>
      <c r="BC1398" s="132" t="s">
        <v>265</v>
      </c>
      <c r="BD1398" s="132" t="s">
        <v>178</v>
      </c>
      <c r="BE1398" s="132" t="s">
        <v>178</v>
      </c>
      <c r="BF1398" s="123"/>
      <c r="BG1398" s="136">
        <v>1179002.0</v>
      </c>
      <c r="BH1398" s="112"/>
      <c r="BI1398" s="112">
        <v>3.0</v>
      </c>
      <c r="BJ1398" s="98" t="s">
        <v>155</v>
      </c>
      <c r="BK1398" s="99">
        <f t="shared" si="11"/>
        <v>0</v>
      </c>
      <c r="BL1398" s="99">
        <f t="shared" si="12"/>
        <v>79</v>
      </c>
      <c r="BM1398" s="99" t="str">
        <f>IFERROR(__xludf.DUMMYFUNCTION("IFERROR(VLOOKUP(BG1398,IMPORTRANGE(""https://docs.google.com/spreadsheets/d/1juPI-Fb8LD0YtltB2mlGEnp_R3UVu1t3wSFPzgCyHXE/edit?gid=0#gid=0"",""GERAL!A2:C""),3,0),""-"")"),"QUILOMBOLAS")</f>
        <v>QUILOMBOLAS</v>
      </c>
    </row>
    <row r="1399" ht="15.75" customHeight="1">
      <c r="A1399" s="111" t="s">
        <v>1707</v>
      </c>
      <c r="B1399" s="83" t="s">
        <v>7792</v>
      </c>
      <c r="C1399" s="136" t="s">
        <v>164</v>
      </c>
      <c r="D1399" s="112">
        <v>1121261.0</v>
      </c>
      <c r="E1399" s="136">
        <v>1179004.0</v>
      </c>
      <c r="F1399" s="115">
        <v>2.9491371E7</v>
      </c>
      <c r="G1399" s="292" t="s">
        <v>7852</v>
      </c>
      <c r="H1399" s="91" t="s">
        <v>7853</v>
      </c>
      <c r="I1399" s="136" t="s">
        <v>7854</v>
      </c>
      <c r="J1399" s="83" t="s">
        <v>767</v>
      </c>
      <c r="K1399" s="83" t="s">
        <v>168</v>
      </c>
      <c r="L1399" s="83" t="s">
        <v>169</v>
      </c>
      <c r="M1399" s="82" t="str">
        <f>IFERROR(__xludf.DUMMYFUNCTION("IFERROR(VLOOKUP(D1399,
IMPORTRANGE(""https://docs.google.com/spreadsheets/d/1MjHtlUikwobi2MaWJgy7tfLeBmhj1u-dRFRs_8GwSoA/edit#gid=0"",""Gestores Escolares!D7:J""),3,0),""VERIFICAR CÓD SEC"")"),"JOSÉ PEIXINHO DE MACEDO")</f>
        <v>JOSÉ PEIXINHO DE MACEDO</v>
      </c>
      <c r="N1399" s="82" t="str">
        <f>IFERROR(__xludf.DUMMYFUNCTION("IFERROR(VLOOKUP(D1399,
IMPORTRANGE(""https://docs.google.com/spreadsheets/d/1MjHtlUikwobi2MaWJgy7tfLeBmhj1u-dRFRs_8GwSoA/edit#gid=0"",""Gestores Escolares!D7:J""),4,0),""VERIFICAR CÓD SEC"")"),"(74) 9 9110 - 8694")</f>
        <v>(74) 9 9110 - 8694</v>
      </c>
      <c r="O1399" s="82" t="str">
        <f>IFERROR(__xludf.DUMMYFUNCTION("IFERROR(VLOOKUP(D1399,
IMPORTRANGE(""https://docs.google.com/spreadsheets/d/1MjHtlUikwobi2MaWJgy7tfLeBmhj1u-dRFRs_8GwSoA/edit#gid=0"",""Gestores Escolares!D7:J""),6,0),""VERIFICAR CÓD SEC"")"),"NORMARY ALVES CRUZ")</f>
        <v>NORMARY ALVES CRUZ</v>
      </c>
      <c r="P1399" s="82" t="str">
        <f>IFERROR(__xludf.DUMMYFUNCTION("IFERROR(VLOOKUP(D1399,
IMPORTRANGE(""https://docs.google.com/spreadsheets/d/1MjHtlUikwobi2MaWJgy7tfLeBmhj1u-dRFRs_8GwSoA/edit#gid=0"",""Gestores Escolares!D7:J""),7,0),""VERIFICAR CÓD SEC"")"),"(74) 9 8823-0818")</f>
        <v>(74) 9 8823-0818</v>
      </c>
      <c r="Q1399" s="82" t="str">
        <f>IFERROR(__xludf.DUMMYFUNCTION("IFERROR(VLOOKUP(D1399,
IMPORTRANGE(""https://docs.google.com/spreadsheets/d/1MjHtlUikwobi2MaWJgy7tfLeBmhj1u-dRFRs_8GwSoA/edit#gid=0"",""Gestores Escolares!D7:m""),9,0),""VERIFICAR CÓD SEC"")"),"EDMUNDO SOARES FILHO")</f>
        <v>EDMUNDO SOARES FILHO</v>
      </c>
      <c r="R1399" s="82" t="str">
        <f>IFERROR(__xludf.DUMMYFUNCTION("IFERROR(VLOOKUP(D1399,
IMPORTRANGE(""https://docs.google.com/spreadsheets/d/1MjHtlUikwobi2MaWJgy7tfLeBmhj1u-dRFRs_8GwSoA/edit#gid=0"",""Gestores Escolares!D7:m""),10,0),""VERIFICAR CÓD SEC"")"),"(74) 7400-9875")</f>
        <v>(74) 7400-9875</v>
      </c>
      <c r="S1399" s="82"/>
      <c r="T1399" s="138">
        <v>6.0</v>
      </c>
      <c r="U1399" s="403">
        <v>3.0</v>
      </c>
      <c r="V1399" s="106">
        <v>0.0</v>
      </c>
      <c r="W1399" s="107">
        <v>0.0</v>
      </c>
      <c r="X1399" s="107">
        <v>0.0</v>
      </c>
      <c r="Y1399" s="107">
        <v>0.0</v>
      </c>
      <c r="Z1399" s="80">
        <f t="shared" si="1"/>
        <v>0</v>
      </c>
      <c r="AA1399" s="106">
        <v>0.0</v>
      </c>
      <c r="AB1399" s="107">
        <v>0.0</v>
      </c>
      <c r="AC1399" s="107">
        <v>0.0</v>
      </c>
      <c r="AD1399" s="107">
        <v>0.0</v>
      </c>
      <c r="AE1399" s="80">
        <f t="shared" si="2"/>
        <v>0</v>
      </c>
      <c r="AF1399" s="140">
        <v>0.0</v>
      </c>
      <c r="AG1399" s="109">
        <v>0.0</v>
      </c>
      <c r="AH1399" s="109">
        <v>0.0</v>
      </c>
      <c r="AI1399" s="141">
        <v>0.0</v>
      </c>
      <c r="AJ1399" s="80">
        <f t="shared" si="3"/>
        <v>0</v>
      </c>
      <c r="AK1399" s="140">
        <v>0.0</v>
      </c>
      <c r="AL1399" s="109">
        <v>0.0</v>
      </c>
      <c r="AM1399" s="141">
        <v>0.0</v>
      </c>
      <c r="AN1399" s="80">
        <f t="shared" si="4"/>
        <v>0</v>
      </c>
      <c r="AO1399" s="140">
        <v>0.0</v>
      </c>
      <c r="AP1399" s="109">
        <v>0.0</v>
      </c>
      <c r="AQ1399" s="109">
        <v>58.0</v>
      </c>
      <c r="AR1399" s="80">
        <f t="shared" si="5"/>
        <v>58</v>
      </c>
      <c r="AS1399" s="110">
        <v>0.0</v>
      </c>
      <c r="AT1399" s="110">
        <v>0.0</v>
      </c>
      <c r="AU1399" s="110">
        <v>0.0</v>
      </c>
      <c r="AV1399" s="142">
        <v>0.0</v>
      </c>
      <c r="AW1399" s="80">
        <f t="shared" si="6"/>
        <v>0</v>
      </c>
      <c r="AX1399" s="113">
        <f t="shared" si="7"/>
        <v>58</v>
      </c>
      <c r="AY1399" s="117">
        <f t="shared" si="8"/>
        <v>0</v>
      </c>
      <c r="AZ1399" s="120">
        <f t="shared" si="9"/>
        <v>58</v>
      </c>
      <c r="BA1399" s="115">
        <v>0.0</v>
      </c>
      <c r="BB1399" s="89">
        <f t="shared" si="10"/>
        <v>58</v>
      </c>
      <c r="BC1399" s="132" t="s">
        <v>178</v>
      </c>
      <c r="BD1399" s="132" t="s">
        <v>178</v>
      </c>
      <c r="BE1399" s="132" t="s">
        <v>178</v>
      </c>
      <c r="BF1399" s="123"/>
      <c r="BG1399" s="136">
        <v>1179004.0</v>
      </c>
      <c r="BH1399" s="112"/>
      <c r="BI1399" s="112">
        <v>3.0</v>
      </c>
      <c r="BJ1399" s="98" t="s">
        <v>155</v>
      </c>
      <c r="BK1399" s="99">
        <f t="shared" si="11"/>
        <v>0</v>
      </c>
      <c r="BL1399" s="99">
        <f t="shared" si="12"/>
        <v>0</v>
      </c>
      <c r="BM1399" s="99" t="str">
        <f>IFERROR(__xludf.DUMMYFUNCTION("IFERROR(VLOOKUP(BG1399,IMPORTRANGE(""https://docs.google.com/spreadsheets/d/1juPI-Fb8LD0YtltB2mlGEnp_R3UVu1t3wSFPzgCyHXE/edit?gid=0#gid=0"",""GERAL!A2:C""),3,0),""-"")"),"-")</f>
        <v>-</v>
      </c>
    </row>
    <row r="1400" ht="15.75" customHeight="1">
      <c r="A1400" s="111" t="s">
        <v>1707</v>
      </c>
      <c r="B1400" s="83" t="s">
        <v>7792</v>
      </c>
      <c r="C1400" s="136" t="s">
        <v>164</v>
      </c>
      <c r="D1400" s="112">
        <v>1121261.0</v>
      </c>
      <c r="E1400" s="136">
        <v>1179605.0</v>
      </c>
      <c r="F1400" s="115">
        <v>2.9491363E7</v>
      </c>
      <c r="G1400" s="292" t="s">
        <v>7855</v>
      </c>
      <c r="H1400" s="91" t="s">
        <v>7856</v>
      </c>
      <c r="I1400" s="172" t="s">
        <v>7857</v>
      </c>
      <c r="J1400" s="83" t="s">
        <v>1386</v>
      </c>
      <c r="K1400" s="83" t="s">
        <v>151</v>
      </c>
      <c r="L1400" s="83" t="s">
        <v>169</v>
      </c>
      <c r="M1400" s="82" t="str">
        <f>IFERROR(__xludf.DUMMYFUNCTION("IFERROR(VLOOKUP(D1400,
IMPORTRANGE(""https://docs.google.com/spreadsheets/d/1MjHtlUikwobi2MaWJgy7tfLeBmhj1u-dRFRs_8GwSoA/edit#gid=0"",""Gestores Escolares!D7:J""),3,0),""VERIFICAR CÓD SEC"")"),"JOSÉ PEIXINHO DE MACEDO")</f>
        <v>JOSÉ PEIXINHO DE MACEDO</v>
      </c>
      <c r="N1400" s="82" t="str">
        <f>IFERROR(__xludf.DUMMYFUNCTION("IFERROR(VLOOKUP(D1400,
IMPORTRANGE(""https://docs.google.com/spreadsheets/d/1MjHtlUikwobi2MaWJgy7tfLeBmhj1u-dRFRs_8GwSoA/edit#gid=0"",""Gestores Escolares!D7:J""),4,0),""VERIFICAR CÓD SEC"")"),"(74) 9 9110 - 8694")</f>
        <v>(74) 9 9110 - 8694</v>
      </c>
      <c r="O1400" s="82" t="str">
        <f>IFERROR(__xludf.DUMMYFUNCTION("IFERROR(VLOOKUP(D1400,
IMPORTRANGE(""https://docs.google.com/spreadsheets/d/1MjHtlUikwobi2MaWJgy7tfLeBmhj1u-dRFRs_8GwSoA/edit#gid=0"",""Gestores Escolares!D7:J""),6,0),""VERIFICAR CÓD SEC"")"),"NORMARY ALVES CRUZ")</f>
        <v>NORMARY ALVES CRUZ</v>
      </c>
      <c r="P1400" s="82" t="str">
        <f>IFERROR(__xludf.DUMMYFUNCTION("IFERROR(VLOOKUP(D1400,
IMPORTRANGE(""https://docs.google.com/spreadsheets/d/1MjHtlUikwobi2MaWJgy7tfLeBmhj1u-dRFRs_8GwSoA/edit#gid=0"",""Gestores Escolares!D7:J""),7,0),""VERIFICAR CÓD SEC"")"),"(74) 9 8823-0818")</f>
        <v>(74) 9 8823-0818</v>
      </c>
      <c r="Q1400" s="82" t="str">
        <f>IFERROR(__xludf.DUMMYFUNCTION("IFERROR(VLOOKUP(D1400,
IMPORTRANGE(""https://docs.google.com/spreadsheets/d/1MjHtlUikwobi2MaWJgy7tfLeBmhj1u-dRFRs_8GwSoA/edit#gid=0"",""Gestores Escolares!D7:m""),9,0),""VERIFICAR CÓD SEC"")"),"EDMUNDO SOARES FILHO")</f>
        <v>EDMUNDO SOARES FILHO</v>
      </c>
      <c r="R1400" s="82" t="str">
        <f>IFERROR(__xludf.DUMMYFUNCTION("IFERROR(VLOOKUP(D1400,
IMPORTRANGE(""https://docs.google.com/spreadsheets/d/1MjHtlUikwobi2MaWJgy7tfLeBmhj1u-dRFRs_8GwSoA/edit#gid=0"",""Gestores Escolares!D7:m""),10,0),""VERIFICAR CÓD SEC"")"),"(74) 7400-9875")</f>
        <v>(74) 7400-9875</v>
      </c>
      <c r="S1400" s="82"/>
      <c r="T1400" s="138">
        <v>4.0</v>
      </c>
      <c r="U1400" s="403">
        <v>3.0</v>
      </c>
      <c r="V1400" s="106">
        <v>0.0</v>
      </c>
      <c r="W1400" s="107">
        <v>0.0</v>
      </c>
      <c r="X1400" s="107">
        <v>0.0</v>
      </c>
      <c r="Y1400" s="107">
        <v>0.0</v>
      </c>
      <c r="Z1400" s="80">
        <f t="shared" si="1"/>
        <v>0</v>
      </c>
      <c r="AA1400" s="106">
        <v>0.0</v>
      </c>
      <c r="AB1400" s="107">
        <v>0.0</v>
      </c>
      <c r="AC1400" s="107">
        <v>0.0</v>
      </c>
      <c r="AD1400" s="107">
        <v>0.0</v>
      </c>
      <c r="AE1400" s="80">
        <f t="shared" si="2"/>
        <v>0</v>
      </c>
      <c r="AF1400" s="140">
        <v>53.0</v>
      </c>
      <c r="AG1400" s="109">
        <v>0.0</v>
      </c>
      <c r="AH1400" s="109">
        <v>0.0</v>
      </c>
      <c r="AI1400" s="141">
        <v>0.0</v>
      </c>
      <c r="AJ1400" s="80">
        <f t="shared" si="3"/>
        <v>53</v>
      </c>
      <c r="AK1400" s="140">
        <v>0.0</v>
      </c>
      <c r="AL1400" s="109">
        <v>0.0</v>
      </c>
      <c r="AM1400" s="141">
        <v>0.0</v>
      </c>
      <c r="AN1400" s="80">
        <f t="shared" si="4"/>
        <v>0</v>
      </c>
      <c r="AO1400" s="140">
        <v>0.0</v>
      </c>
      <c r="AP1400" s="109">
        <v>0.0</v>
      </c>
      <c r="AQ1400" s="109">
        <v>28.0</v>
      </c>
      <c r="AR1400" s="80">
        <f t="shared" si="5"/>
        <v>28</v>
      </c>
      <c r="AS1400" s="110">
        <v>0.0</v>
      </c>
      <c r="AT1400" s="110">
        <v>0.0</v>
      </c>
      <c r="AU1400" s="110">
        <v>0.0</v>
      </c>
      <c r="AV1400" s="142">
        <v>0.0</v>
      </c>
      <c r="AW1400" s="80">
        <f t="shared" si="6"/>
        <v>0</v>
      </c>
      <c r="AX1400" s="113">
        <f t="shared" si="7"/>
        <v>81</v>
      </c>
      <c r="AY1400" s="117">
        <f t="shared" si="8"/>
        <v>53</v>
      </c>
      <c r="AZ1400" s="120">
        <f t="shared" si="9"/>
        <v>28</v>
      </c>
      <c r="BA1400" s="115">
        <v>0.0</v>
      </c>
      <c r="BB1400" s="89">
        <f t="shared" si="10"/>
        <v>81</v>
      </c>
      <c r="BC1400" s="132" t="s">
        <v>178</v>
      </c>
      <c r="BD1400" s="132" t="s">
        <v>178</v>
      </c>
      <c r="BE1400" s="132" t="s">
        <v>178</v>
      </c>
      <c r="BF1400" s="156"/>
      <c r="BG1400" s="136">
        <v>1179605.0</v>
      </c>
      <c r="BH1400" s="112"/>
      <c r="BI1400" s="112">
        <v>3.0</v>
      </c>
      <c r="BJ1400" s="98" t="s">
        <v>155</v>
      </c>
      <c r="BK1400" s="99">
        <f t="shared" si="11"/>
        <v>0</v>
      </c>
      <c r="BL1400" s="99">
        <f t="shared" si="12"/>
        <v>53</v>
      </c>
      <c r="BM1400" s="99" t="str">
        <f>IFERROR(__xludf.DUMMYFUNCTION("IFERROR(VLOOKUP(BG1400,IMPORTRANGE(""https://docs.google.com/spreadsheets/d/1juPI-Fb8LD0YtltB2mlGEnp_R3UVu1t3wSFPzgCyHXE/edit?gid=0#gid=0"",""GERAL!A2:C""),3,0),""-"")"),"-")</f>
        <v>-</v>
      </c>
    </row>
    <row r="1401" ht="15.75" customHeight="1">
      <c r="A1401" s="111" t="s">
        <v>1785</v>
      </c>
      <c r="B1401" s="83" t="s">
        <v>2197</v>
      </c>
      <c r="C1401" s="83" t="s">
        <v>68</v>
      </c>
      <c r="D1401" s="112">
        <v>1178420.0</v>
      </c>
      <c r="E1401" s="83"/>
      <c r="F1401" s="83">
        <v>2.9397863E7</v>
      </c>
      <c r="G1401" s="220" t="s">
        <v>7858</v>
      </c>
      <c r="H1401" s="91" t="s">
        <v>7859</v>
      </c>
      <c r="I1401" s="83" t="s">
        <v>7860</v>
      </c>
      <c r="J1401" s="83" t="s">
        <v>7861</v>
      </c>
      <c r="K1401" s="83" t="s">
        <v>151</v>
      </c>
      <c r="L1401" s="83" t="s">
        <v>230</v>
      </c>
      <c r="M1401" s="82" t="str">
        <f>IFERROR(__xludf.DUMMYFUNCTION("IFERROR(VLOOKUP(D1401,
IMPORTRANGE(""https://docs.google.com/spreadsheets/d/1MjHtlUikwobi2MaWJgy7tfLeBmhj1u-dRFRs_8GwSoA/edit#gid=0"",""Gestores Escolares!D7:J""),3,0),""VERIFICAR CÓD SEC"")"),"  GUILHERMINA DA SILVA SOUZA")</f>
        <v>  GUILHERMINA DA SILVA SOUZA</v>
      </c>
      <c r="N1401" s="82" t="str">
        <f>IFERROR(__xludf.DUMMYFUNCTION("IFERROR(VLOOKUP(D1401,
IMPORTRANGE(""https://docs.google.com/spreadsheets/d/1MjHtlUikwobi2MaWJgy7tfLeBmhj1u-dRFRs_8GwSoA/edit#gid=0"",""Gestores Escolares!D7:J""),4,0),""VERIFICAR CÓD SEC"")"),"(71) 9 9101-7684")</f>
        <v>(71) 9 9101-7684</v>
      </c>
      <c r="O1401" s="82" t="str">
        <f>IFERROR(__xludf.DUMMYFUNCTION("IFERROR(VLOOKUP(D1401,
IMPORTRANGE(""https://docs.google.com/spreadsheets/d/1MjHtlUikwobi2MaWJgy7tfLeBmhj1u-dRFRs_8GwSoA/edit#gid=0"",""Gestores Escolares!D7:J""),6,0),""VERIFICAR CÓD SEC"")"),"SAULO DE JARSO FIGUEREDO GRECCO")</f>
        <v>SAULO DE JARSO FIGUEREDO GRECCO</v>
      </c>
      <c r="P1401" s="82" t="str">
        <f>IFERROR(__xludf.DUMMYFUNCTION("IFERROR(VLOOKUP(D1401,
IMPORTRANGE(""https://docs.google.com/spreadsheets/d/1MjHtlUikwobi2MaWJgy7tfLeBmhj1u-dRFRs_8GwSoA/edit#gid=0"",""Gestores Escolares!D7:J""),7,0),""VERIFICAR CÓD SEC"")"),"(71) 9 8742-9217")</f>
        <v>(71) 9 8742-9217</v>
      </c>
      <c r="Q1401" s="82" t="str">
        <f>IFERROR(__xludf.DUMMYFUNCTION("IFERROR(VLOOKUP(D1401,
IMPORTRANGE(""https://docs.google.com/spreadsheets/d/1MjHtlUikwobi2MaWJgy7tfLeBmhj1u-dRFRs_8GwSoA/edit#gid=0"",""Gestores Escolares!D7:m""),9,0),""VERIFICAR CÓD SEC"")"),"ADRIANA CAVALCANTE PAVA LIMA")</f>
        <v>ADRIANA CAVALCANTE PAVA LIMA</v>
      </c>
      <c r="R1401" s="82" t="str">
        <f>IFERROR(__xludf.DUMMYFUNCTION("IFERROR(VLOOKUP(D1401,
IMPORTRANGE(""https://docs.google.com/spreadsheets/d/1MjHtlUikwobi2MaWJgy7tfLeBmhj1u-dRFRs_8GwSoA/edit#gid=0"",""Gestores Escolares!D7:m""),10,0),""VERIFICAR CÓD SEC"")"),"(71) 9 8799-1041")</f>
        <v>(71) 9 8799-1041</v>
      </c>
      <c r="S1401" s="82"/>
      <c r="T1401" s="138">
        <v>18.0</v>
      </c>
      <c r="U1401" s="388" t="s">
        <v>13901</v>
      </c>
      <c r="V1401" s="106">
        <v>0.0</v>
      </c>
      <c r="W1401" s="107">
        <v>0.0</v>
      </c>
      <c r="X1401" s="107">
        <v>0.0</v>
      </c>
      <c r="Y1401" s="107">
        <v>0.0</v>
      </c>
      <c r="Z1401" s="80">
        <f t="shared" si="1"/>
        <v>0</v>
      </c>
      <c r="AA1401" s="106">
        <v>0.0</v>
      </c>
      <c r="AB1401" s="107">
        <v>0.0</v>
      </c>
      <c r="AC1401" s="107">
        <v>0.0</v>
      </c>
      <c r="AD1401" s="107">
        <v>0.0</v>
      </c>
      <c r="AE1401" s="80">
        <f t="shared" si="2"/>
        <v>0</v>
      </c>
      <c r="AF1401" s="140">
        <v>319.0</v>
      </c>
      <c r="AG1401" s="109">
        <v>225.0</v>
      </c>
      <c r="AH1401" s="109">
        <v>0.0</v>
      </c>
      <c r="AI1401" s="141">
        <v>0.0</v>
      </c>
      <c r="AJ1401" s="80">
        <f t="shared" si="3"/>
        <v>544</v>
      </c>
      <c r="AK1401" s="140">
        <v>0.0</v>
      </c>
      <c r="AL1401" s="109">
        <v>0.0</v>
      </c>
      <c r="AM1401" s="141">
        <v>0.0</v>
      </c>
      <c r="AN1401" s="80">
        <f t="shared" si="4"/>
        <v>0</v>
      </c>
      <c r="AO1401" s="140">
        <v>0.0</v>
      </c>
      <c r="AP1401" s="109">
        <v>0.0</v>
      </c>
      <c r="AQ1401" s="109">
        <v>146.0</v>
      </c>
      <c r="AR1401" s="80">
        <f t="shared" si="5"/>
        <v>146</v>
      </c>
      <c r="AS1401" s="110">
        <v>99.0</v>
      </c>
      <c r="AT1401" s="110">
        <v>76.0</v>
      </c>
      <c r="AU1401" s="110">
        <v>92.0</v>
      </c>
      <c r="AV1401" s="142">
        <v>0.0</v>
      </c>
      <c r="AW1401" s="80">
        <f t="shared" si="6"/>
        <v>267</v>
      </c>
      <c r="AX1401" s="113">
        <f t="shared" si="7"/>
        <v>957</v>
      </c>
      <c r="AY1401" s="117">
        <f t="shared" si="8"/>
        <v>719</v>
      </c>
      <c r="AZ1401" s="120">
        <f t="shared" si="9"/>
        <v>238</v>
      </c>
      <c r="BA1401" s="115">
        <v>0.0</v>
      </c>
      <c r="BB1401" s="89">
        <f t="shared" si="10"/>
        <v>957</v>
      </c>
      <c r="BC1401" s="132" t="s">
        <v>178</v>
      </c>
      <c r="BD1401" s="132" t="s">
        <v>178</v>
      </c>
      <c r="BE1401" s="132" t="s">
        <v>178</v>
      </c>
      <c r="BF1401" s="123"/>
      <c r="BG1401" s="83">
        <v>1178420.0</v>
      </c>
      <c r="BH1401" s="112"/>
      <c r="BI1401" s="112">
        <v>17.0</v>
      </c>
      <c r="BJ1401" s="98" t="s">
        <v>162</v>
      </c>
      <c r="BK1401" s="99">
        <f t="shared" si="11"/>
        <v>0</v>
      </c>
      <c r="BL1401" s="99">
        <f t="shared" si="12"/>
        <v>719</v>
      </c>
      <c r="BM1401" s="99" t="str">
        <f>IFERROR(__xludf.DUMMYFUNCTION("IFERROR(VLOOKUP(BG1401,IMPORTRANGE(""https://docs.google.com/spreadsheets/d/1juPI-Fb8LD0YtltB2mlGEnp_R3UVu1t3wSFPzgCyHXE/edit?gid=0#gid=0"",""GERAL!A2:C""),3,0),""-"")"),"-")</f>
        <v>-</v>
      </c>
    </row>
    <row r="1402" ht="15.75" customHeight="1">
      <c r="A1402" s="111" t="s">
        <v>1785</v>
      </c>
      <c r="B1402" s="83" t="s">
        <v>2197</v>
      </c>
      <c r="C1402" s="83" t="s">
        <v>68</v>
      </c>
      <c r="D1402" s="112">
        <v>1104707.0</v>
      </c>
      <c r="E1402" s="211"/>
      <c r="F1402" s="83">
        <v>2.917595E7</v>
      </c>
      <c r="G1402" s="293" t="s">
        <v>7863</v>
      </c>
      <c r="H1402" s="91" t="s">
        <v>7864</v>
      </c>
      <c r="I1402" s="83" t="s">
        <v>149</v>
      </c>
      <c r="J1402" s="83" t="s">
        <v>150</v>
      </c>
      <c r="K1402" s="83" t="s">
        <v>151</v>
      </c>
      <c r="L1402" s="83" t="s">
        <v>230</v>
      </c>
      <c r="M1402" s="82" t="str">
        <f>IFERROR(__xludf.DUMMYFUNCTION("IFERROR(VLOOKUP(D1402,
IMPORTRANGE(""https://docs.google.com/spreadsheets/d/1MjHtlUikwobi2MaWJgy7tfLeBmhj1u-dRFRs_8GwSoA/edit#gid=0"",""Gestores Escolares!D7:J""),3,0),""VERIFICAR CÓD SEC"")"),"VIVIANA OLIVEIRA MATEUS")</f>
        <v>VIVIANA OLIVEIRA MATEUS</v>
      </c>
      <c r="N1402" s="82" t="str">
        <f>IFERROR(__xludf.DUMMYFUNCTION("IFERROR(VLOOKUP(D1402,
IMPORTRANGE(""https://docs.google.com/spreadsheets/d/1MjHtlUikwobi2MaWJgy7tfLeBmhj1u-dRFRs_8GwSoA/edit#gid=0"",""Gestores Escolares!D7:J""),4,0),""VERIFICAR CÓD SEC"")"),"(71) 9 9196-8524")</f>
        <v>(71) 9 9196-8524</v>
      </c>
      <c r="O1402" s="82" t="str">
        <f>IFERROR(__xludf.DUMMYFUNCTION("IFERROR(VLOOKUP(D1402,
IMPORTRANGE(""https://docs.google.com/spreadsheets/d/1MjHtlUikwobi2MaWJgy7tfLeBmhj1u-dRFRs_8GwSoA/edit#gid=0"",""Gestores Escolares!D7:J""),6,0),""VERIFICAR CÓD SEC"")"),"ZITA MARIA BISPO DE SINO")</f>
        <v>ZITA MARIA BISPO DE SINO</v>
      </c>
      <c r="P1402" s="82" t="str">
        <f>IFERROR(__xludf.DUMMYFUNCTION("IFERROR(VLOOKUP(D1402,
IMPORTRANGE(""https://docs.google.com/spreadsheets/d/1MjHtlUikwobi2MaWJgy7tfLeBmhj1u-dRFRs_8GwSoA/edit#gid=0"",""Gestores Escolares!D7:J""),7,0),""VERIFICAR CÓD SEC"")"),"(71) 9 8233-6220")</f>
        <v>(71) 9 8233-6220</v>
      </c>
      <c r="Q1402" s="82" t="str">
        <f>IFERROR(__xludf.DUMMYFUNCTION("IFERROR(VLOOKUP(D1402,
IMPORTRANGE(""https://docs.google.com/spreadsheets/d/1MjHtlUikwobi2MaWJgy7tfLeBmhj1u-dRFRs_8GwSoA/edit#gid=0"",""Gestores Escolares!D7:m""),9,0),""VERIFICAR CÓD SEC"")"),"ADRIANA BARROS DE OLIVEIRA")</f>
        <v>ADRIANA BARROS DE OLIVEIRA</v>
      </c>
      <c r="R1402" s="82" t="str">
        <f>IFERROR(__xludf.DUMMYFUNCTION("IFERROR(VLOOKUP(D1402,
IMPORTRANGE(""https://docs.google.com/spreadsheets/d/1MjHtlUikwobi2MaWJgy7tfLeBmhj1u-dRFRs_8GwSoA/edit#gid=0"",""Gestores Escolares!D7:m""),10,0),""VERIFICAR CÓD SEC"")"),"(71) 9 8300-2624")</f>
        <v>(71) 9 8300-2624</v>
      </c>
      <c r="S1402" s="82"/>
      <c r="T1402" s="138">
        <v>20.0</v>
      </c>
      <c r="U1402" s="388">
        <v>20.0</v>
      </c>
      <c r="V1402" s="106">
        <v>0.0</v>
      </c>
      <c r="W1402" s="107">
        <v>0.0</v>
      </c>
      <c r="X1402" s="107">
        <v>0.0</v>
      </c>
      <c r="Y1402" s="107">
        <v>0.0</v>
      </c>
      <c r="Z1402" s="80">
        <f t="shared" si="1"/>
        <v>0</v>
      </c>
      <c r="AA1402" s="106">
        <v>0.0</v>
      </c>
      <c r="AB1402" s="107">
        <v>0.0</v>
      </c>
      <c r="AC1402" s="107">
        <v>0.0</v>
      </c>
      <c r="AD1402" s="107">
        <v>0.0</v>
      </c>
      <c r="AE1402" s="80">
        <f t="shared" si="2"/>
        <v>0</v>
      </c>
      <c r="AF1402" s="140">
        <v>755.0</v>
      </c>
      <c r="AG1402" s="109">
        <v>610.0</v>
      </c>
      <c r="AH1402" s="109">
        <v>0.0</v>
      </c>
      <c r="AI1402" s="141">
        <v>0.0</v>
      </c>
      <c r="AJ1402" s="80">
        <f t="shared" si="3"/>
        <v>1365</v>
      </c>
      <c r="AK1402" s="140">
        <v>0.0</v>
      </c>
      <c r="AL1402" s="109">
        <v>0.0</v>
      </c>
      <c r="AM1402" s="141">
        <v>0.0</v>
      </c>
      <c r="AN1402" s="80">
        <f t="shared" si="4"/>
        <v>0</v>
      </c>
      <c r="AO1402" s="140">
        <v>0.0</v>
      </c>
      <c r="AP1402" s="109">
        <v>0.0</v>
      </c>
      <c r="AQ1402" s="109">
        <v>151.0</v>
      </c>
      <c r="AR1402" s="80">
        <f t="shared" si="5"/>
        <v>151</v>
      </c>
      <c r="AS1402" s="110">
        <v>0.0</v>
      </c>
      <c r="AT1402" s="110">
        <v>0.0</v>
      </c>
      <c r="AU1402" s="110">
        <v>29.0</v>
      </c>
      <c r="AV1402" s="142">
        <v>0.0</v>
      </c>
      <c r="AW1402" s="80">
        <f t="shared" si="6"/>
        <v>29</v>
      </c>
      <c r="AX1402" s="113">
        <f t="shared" si="7"/>
        <v>1545</v>
      </c>
      <c r="AY1402" s="117">
        <f t="shared" si="8"/>
        <v>1365</v>
      </c>
      <c r="AZ1402" s="120">
        <f t="shared" si="9"/>
        <v>180</v>
      </c>
      <c r="BA1402" s="115">
        <v>0.0</v>
      </c>
      <c r="BB1402" s="89">
        <f t="shared" si="10"/>
        <v>1545</v>
      </c>
      <c r="BC1402" s="132" t="s">
        <v>178</v>
      </c>
      <c r="BD1402" s="132" t="s">
        <v>178</v>
      </c>
      <c r="BE1402" s="132" t="s">
        <v>178</v>
      </c>
      <c r="BF1402" s="123"/>
      <c r="BG1402" s="83">
        <v>1104707.0</v>
      </c>
      <c r="BH1402" s="112"/>
      <c r="BI1402" s="112">
        <v>20.0</v>
      </c>
      <c r="BJ1402" s="98" t="s">
        <v>284</v>
      </c>
      <c r="BK1402" s="99">
        <f t="shared" si="11"/>
        <v>0</v>
      </c>
      <c r="BL1402" s="99">
        <f t="shared" si="12"/>
        <v>1365</v>
      </c>
      <c r="BM1402" s="99" t="str">
        <f>IFERROR(__xludf.DUMMYFUNCTION("IFERROR(VLOOKUP(BG1402,IMPORTRANGE(""https://docs.google.com/spreadsheets/d/1juPI-Fb8LD0YtltB2mlGEnp_R3UVu1t3wSFPzgCyHXE/edit?gid=0#gid=0"",""GERAL!A2:C""),3,0),""-"")"),"-")</f>
        <v>-</v>
      </c>
    </row>
    <row r="1403" ht="15.75" customHeight="1">
      <c r="A1403" s="111" t="s">
        <v>1785</v>
      </c>
      <c r="B1403" s="83" t="s">
        <v>2197</v>
      </c>
      <c r="C1403" s="83" t="s">
        <v>68</v>
      </c>
      <c r="D1403" s="112">
        <v>1102259.0</v>
      </c>
      <c r="E1403" s="83"/>
      <c r="F1403" s="485">
        <v>2.9175518E7</v>
      </c>
      <c r="G1403" s="119" t="s">
        <v>7868</v>
      </c>
      <c r="H1403" s="91" t="s">
        <v>7869</v>
      </c>
      <c r="I1403" s="238" t="s">
        <v>7870</v>
      </c>
      <c r="J1403" s="83" t="s">
        <v>150</v>
      </c>
      <c r="K1403" s="83" t="s">
        <v>151</v>
      </c>
      <c r="L1403" s="83" t="s">
        <v>230</v>
      </c>
      <c r="M1403" s="82" t="str">
        <f>IFERROR(__xludf.DUMMYFUNCTION("IFERROR(VLOOKUP(D1403,
IMPORTRANGE(""https://docs.google.com/spreadsheets/d/1MjHtlUikwobi2MaWJgy7tfLeBmhj1u-dRFRs_8GwSoA/edit#gid=0"",""Gestores Escolares!D7:J""),3,0),""VERIFICAR CÓD SEC"")"),"CÍNTIA LIMA DE SOUZA DA SILVA")</f>
        <v>CÍNTIA LIMA DE SOUZA DA SILVA</v>
      </c>
      <c r="N1403" s="82" t="str">
        <f>IFERROR(__xludf.DUMMYFUNCTION("IFERROR(VLOOKUP(D1403,
IMPORTRANGE(""https://docs.google.com/spreadsheets/d/1MjHtlUikwobi2MaWJgy7tfLeBmhj1u-dRFRs_8GwSoA/edit#gid=0"",""Gestores Escolares!D7:J""),4,0),""VERIFICAR CÓD SEC"")"),"(71) 9 8751-2741")</f>
        <v>(71) 9 8751-2741</v>
      </c>
      <c r="O1403" s="82" t="str">
        <f>IFERROR(__xludf.DUMMYFUNCTION("IFERROR(VLOOKUP(D1403,
IMPORTRANGE(""https://docs.google.com/spreadsheets/d/1MjHtlUikwobi2MaWJgy7tfLeBmhj1u-dRFRs_8GwSoA/edit#gid=0"",""Gestores Escolares!D7:J""),6,0),""VERIFICAR CÓD SEC"")"),"EFREM JOSE MENESES RIBEIRO")</f>
        <v>EFREM JOSE MENESES RIBEIRO</v>
      </c>
      <c r="P1403" s="82" t="str">
        <f>IFERROR(__xludf.DUMMYFUNCTION("IFERROR(VLOOKUP(D1403,
IMPORTRANGE(""https://docs.google.com/spreadsheets/d/1MjHtlUikwobi2MaWJgy7tfLeBmhj1u-dRFRs_8GwSoA/edit#gid=0"",""Gestores Escolares!D7:J""),7,0),""VERIFICAR CÓD SEC"")"),"(79) 9 8842-5069")</f>
        <v>(79) 9 8842-5069</v>
      </c>
      <c r="Q1403" s="82" t="str">
        <f>IFERROR(__xludf.DUMMYFUNCTION("IFERROR(VLOOKUP(D1403,
IMPORTRANGE(""https://docs.google.com/spreadsheets/d/1MjHtlUikwobi2MaWJgy7tfLeBmhj1u-dRFRs_8GwSoA/edit#gid=0"",""Gestores Escolares!D7:m""),9,0),""VERIFICAR CÓD SEC"")"),"TIARA ALESSANDRA OLIVEIRA BARR")</f>
        <v>TIARA ALESSANDRA OLIVEIRA BARR</v>
      </c>
      <c r="R1403" s="82" t="str">
        <f>IFERROR(__xludf.DUMMYFUNCTION("IFERROR(VLOOKUP(D1403,
IMPORTRANGE(""https://docs.google.com/spreadsheets/d/1MjHtlUikwobi2MaWJgy7tfLeBmhj1u-dRFRs_8GwSoA/edit#gid=0"",""Gestores Escolares!D7:m""),10,0),""VERIFICAR CÓD SEC"")"),"(71) 9 9408-0956")</f>
        <v>(71) 9 9408-0956</v>
      </c>
      <c r="S1403" s="82"/>
      <c r="T1403" s="138">
        <v>27.0</v>
      </c>
      <c r="U1403" s="388">
        <v>37.0</v>
      </c>
      <c r="V1403" s="106">
        <v>0.0</v>
      </c>
      <c r="W1403" s="107">
        <v>0.0</v>
      </c>
      <c r="X1403" s="107">
        <v>0.0</v>
      </c>
      <c r="Y1403" s="107">
        <v>0.0</v>
      </c>
      <c r="Z1403" s="80">
        <f t="shared" si="1"/>
        <v>0</v>
      </c>
      <c r="AA1403" s="106">
        <v>0.0</v>
      </c>
      <c r="AB1403" s="107">
        <v>0.0</v>
      </c>
      <c r="AC1403" s="107">
        <v>0.0</v>
      </c>
      <c r="AD1403" s="107">
        <v>0.0</v>
      </c>
      <c r="AE1403" s="80">
        <f t="shared" si="2"/>
        <v>0</v>
      </c>
      <c r="AF1403" s="140">
        <v>305.0</v>
      </c>
      <c r="AG1403" s="109">
        <v>287.0</v>
      </c>
      <c r="AH1403" s="109">
        <v>0.0</v>
      </c>
      <c r="AI1403" s="141">
        <v>85.0</v>
      </c>
      <c r="AJ1403" s="80">
        <f t="shared" si="3"/>
        <v>677</v>
      </c>
      <c r="AK1403" s="140">
        <v>0.0</v>
      </c>
      <c r="AL1403" s="109">
        <v>0.0</v>
      </c>
      <c r="AM1403" s="141">
        <v>0.0</v>
      </c>
      <c r="AN1403" s="80">
        <f t="shared" si="4"/>
        <v>0</v>
      </c>
      <c r="AO1403" s="140">
        <v>0.0</v>
      </c>
      <c r="AP1403" s="109">
        <v>0.0</v>
      </c>
      <c r="AQ1403" s="109">
        <v>171.0</v>
      </c>
      <c r="AR1403" s="80">
        <f t="shared" si="5"/>
        <v>171</v>
      </c>
      <c r="AS1403" s="110">
        <v>359.0</v>
      </c>
      <c r="AT1403" s="110">
        <v>210.0</v>
      </c>
      <c r="AU1403" s="110">
        <v>125.0</v>
      </c>
      <c r="AV1403" s="142">
        <v>350.0</v>
      </c>
      <c r="AW1403" s="80">
        <f t="shared" si="6"/>
        <v>1044</v>
      </c>
      <c r="AX1403" s="113">
        <f t="shared" si="7"/>
        <v>1892</v>
      </c>
      <c r="AY1403" s="117">
        <f t="shared" si="8"/>
        <v>1596</v>
      </c>
      <c r="AZ1403" s="120">
        <f t="shared" si="9"/>
        <v>296</v>
      </c>
      <c r="BA1403" s="115">
        <v>0.0</v>
      </c>
      <c r="BB1403" s="89">
        <f t="shared" si="10"/>
        <v>1892</v>
      </c>
      <c r="BC1403" s="132" t="s">
        <v>178</v>
      </c>
      <c r="BD1403" s="132" t="s">
        <v>178</v>
      </c>
      <c r="BE1403" s="132" t="s">
        <v>178</v>
      </c>
      <c r="BF1403" s="123"/>
      <c r="BG1403" s="83">
        <v>1102259.0</v>
      </c>
      <c r="BH1403" s="112"/>
      <c r="BI1403" s="112">
        <v>28.0</v>
      </c>
      <c r="BJ1403" s="98" t="s">
        <v>284</v>
      </c>
      <c r="BK1403" s="99">
        <f t="shared" si="11"/>
        <v>435</v>
      </c>
      <c r="BL1403" s="99">
        <f t="shared" si="12"/>
        <v>1161</v>
      </c>
      <c r="BM1403" s="99" t="str">
        <f>IFERROR(__xludf.DUMMYFUNCTION("IFERROR(VLOOKUP(BG1403,IMPORTRANGE(""https://docs.google.com/spreadsheets/d/1juPI-Fb8LD0YtltB2mlGEnp_R3UVu1t3wSFPzgCyHXE/edit?gid=0#gid=0"",""GERAL!A2:C""),3,0),""-"")"),"-")</f>
        <v>-</v>
      </c>
    </row>
    <row r="1404" ht="15.75" customHeight="1">
      <c r="A1404" s="111" t="s">
        <v>1785</v>
      </c>
      <c r="B1404" s="83" t="s">
        <v>2197</v>
      </c>
      <c r="C1404" s="83" t="s">
        <v>68</v>
      </c>
      <c r="D1404" s="84">
        <v>1101961.0</v>
      </c>
      <c r="E1404" s="82"/>
      <c r="F1404" s="83">
        <v>2.9175771E7</v>
      </c>
      <c r="G1404" s="126" t="s">
        <v>7875</v>
      </c>
      <c r="H1404" s="91" t="s">
        <v>7876</v>
      </c>
      <c r="I1404" s="83" t="s">
        <v>7877</v>
      </c>
      <c r="J1404" s="83" t="s">
        <v>150</v>
      </c>
      <c r="K1404" s="83" t="s">
        <v>151</v>
      </c>
      <c r="L1404" s="83" t="s">
        <v>230</v>
      </c>
      <c r="M1404" s="82" t="str">
        <f>IFERROR(__xludf.DUMMYFUNCTION("IFERROR(VLOOKUP(D1404,
IMPORTRANGE(""https://docs.google.com/spreadsheets/d/1MjHtlUikwobi2MaWJgy7tfLeBmhj1u-dRFRs_8GwSoA/edit#gid=0"",""Gestores Escolares!D7:J""),3,0),""VERIFICAR CÓD SEC"")"),"MARIA JOSE DOS SANTOS")</f>
        <v>MARIA JOSE DOS SANTOS</v>
      </c>
      <c r="N1404" s="82" t="str">
        <f>IFERROR(__xludf.DUMMYFUNCTION("IFERROR(VLOOKUP(D1404,
IMPORTRANGE(""https://docs.google.com/spreadsheets/d/1MjHtlUikwobi2MaWJgy7tfLeBmhj1u-dRFRs_8GwSoA/edit#gid=0"",""Gestores Escolares!D7:J""),4,0),""VERIFICAR CÓD SEC"")"),"(71) 9 8316-4280")</f>
        <v>(71) 9 8316-4280</v>
      </c>
      <c r="O1404" s="82" t="str">
        <f>IFERROR(__xludf.DUMMYFUNCTION("IFERROR(VLOOKUP(D1404,
IMPORTRANGE(""https://docs.google.com/spreadsheets/d/1MjHtlUikwobi2MaWJgy7tfLeBmhj1u-dRFRs_8GwSoA/edit#gid=0"",""Gestores Escolares!D7:J""),6,0),""VERIFICAR CÓD SEC"")"),"ANDRE MONTEIRO DOS SANTOS")</f>
        <v>ANDRE MONTEIRO DOS SANTOS</v>
      </c>
      <c r="P1404" s="82" t="str">
        <f>IFERROR(__xludf.DUMMYFUNCTION("IFERROR(VLOOKUP(D1404,
IMPORTRANGE(""https://docs.google.com/spreadsheets/d/1MjHtlUikwobi2MaWJgy7tfLeBmhj1u-dRFRs_8GwSoA/edit#gid=0"",""Gestores Escolares!D7:J""),7,0),""VERIFICAR CÓD SEC"")"),"(71) 9 8718-9645")</f>
        <v>(71) 9 8718-9645</v>
      </c>
      <c r="Q1404" s="82" t="str">
        <f>IFERROR(__xludf.DUMMYFUNCTION("IFERROR(VLOOKUP(D1404,
IMPORTRANGE(""https://docs.google.com/spreadsheets/d/1MjHtlUikwobi2MaWJgy7tfLeBmhj1u-dRFRs_8GwSoA/edit#gid=0"",""Gestores Escolares!D7:m""),9,0),""VERIFICAR CÓD SEC"")"),"CAREN BARBOSA DE LIMA BAHIA")</f>
        <v>CAREN BARBOSA DE LIMA BAHIA</v>
      </c>
      <c r="R1404" s="82" t="str">
        <f>IFERROR(__xludf.DUMMYFUNCTION("IFERROR(VLOOKUP(D1404,
IMPORTRANGE(""https://docs.google.com/spreadsheets/d/1MjHtlUikwobi2MaWJgy7tfLeBmhj1u-dRFRs_8GwSoA/edit#gid=0"",""Gestores Escolares!D7:m""),10,0),""VERIFICAR CÓD SEC"")"),"(71) 9 9183-1041")</f>
        <v>(71) 9 9183-1041</v>
      </c>
      <c r="S1404" s="82"/>
      <c r="T1404" s="138">
        <v>11.0</v>
      </c>
      <c r="U1404" s="470" t="s">
        <v>13902</v>
      </c>
      <c r="V1404" s="106">
        <v>0.0</v>
      </c>
      <c r="W1404" s="107">
        <v>0.0</v>
      </c>
      <c r="X1404" s="107">
        <v>0.0</v>
      </c>
      <c r="Y1404" s="107">
        <v>0.0</v>
      </c>
      <c r="Z1404" s="80">
        <f t="shared" si="1"/>
        <v>0</v>
      </c>
      <c r="AA1404" s="106">
        <v>0.0</v>
      </c>
      <c r="AB1404" s="107">
        <v>0.0</v>
      </c>
      <c r="AC1404" s="107">
        <v>0.0</v>
      </c>
      <c r="AD1404" s="107">
        <v>0.0</v>
      </c>
      <c r="AE1404" s="80">
        <f t="shared" si="2"/>
        <v>0</v>
      </c>
      <c r="AF1404" s="140">
        <v>190.0</v>
      </c>
      <c r="AG1404" s="109">
        <v>163.0</v>
      </c>
      <c r="AH1404" s="109">
        <v>0.0</v>
      </c>
      <c r="AI1404" s="141">
        <v>427.0</v>
      </c>
      <c r="AJ1404" s="80">
        <f t="shared" si="3"/>
        <v>780</v>
      </c>
      <c r="AK1404" s="140">
        <v>0.0</v>
      </c>
      <c r="AL1404" s="109">
        <v>0.0</v>
      </c>
      <c r="AM1404" s="141">
        <v>0.0</v>
      </c>
      <c r="AN1404" s="80">
        <f t="shared" si="4"/>
        <v>0</v>
      </c>
      <c r="AO1404" s="140">
        <v>0.0</v>
      </c>
      <c r="AP1404" s="109">
        <v>0.0</v>
      </c>
      <c r="AQ1404" s="109">
        <v>378.0</v>
      </c>
      <c r="AR1404" s="80">
        <f t="shared" si="5"/>
        <v>378</v>
      </c>
      <c r="AS1404" s="110">
        <v>0.0</v>
      </c>
      <c r="AT1404" s="110">
        <v>17.0</v>
      </c>
      <c r="AU1404" s="110">
        <v>117.0</v>
      </c>
      <c r="AV1404" s="142">
        <v>280.0</v>
      </c>
      <c r="AW1404" s="80">
        <f t="shared" si="6"/>
        <v>414</v>
      </c>
      <c r="AX1404" s="113">
        <f t="shared" si="7"/>
        <v>1572</v>
      </c>
      <c r="AY1404" s="117">
        <f t="shared" si="8"/>
        <v>1077</v>
      </c>
      <c r="AZ1404" s="120">
        <f t="shared" si="9"/>
        <v>495</v>
      </c>
      <c r="BA1404" s="115">
        <v>0.0</v>
      </c>
      <c r="BB1404" s="89">
        <f t="shared" si="10"/>
        <v>1572</v>
      </c>
      <c r="BC1404" s="132" t="s">
        <v>178</v>
      </c>
      <c r="BD1404" s="132" t="s">
        <v>178</v>
      </c>
      <c r="BE1404" s="132" t="s">
        <v>178</v>
      </c>
      <c r="BF1404" s="123"/>
      <c r="BG1404" s="83">
        <v>1101961.0</v>
      </c>
      <c r="BH1404" s="112"/>
      <c r="BI1404" s="112">
        <v>11.0</v>
      </c>
      <c r="BJ1404" s="98" t="s">
        <v>162</v>
      </c>
      <c r="BK1404" s="99">
        <f t="shared" si="11"/>
        <v>707</v>
      </c>
      <c r="BL1404" s="99">
        <f t="shared" si="12"/>
        <v>370</v>
      </c>
      <c r="BM1404" s="99" t="str">
        <f>IFERROR(__xludf.DUMMYFUNCTION("IFERROR(VLOOKUP(BG1404,IMPORTRANGE(""https://docs.google.com/spreadsheets/d/1juPI-Fb8LD0YtltB2mlGEnp_R3UVu1t3wSFPzgCyHXE/edit?gid=0#gid=0"",""GERAL!A2:C""),3,0),""-"")"),"-")</f>
        <v>-</v>
      </c>
    </row>
    <row r="1405" ht="15.75" customHeight="1">
      <c r="A1405" s="111" t="s">
        <v>1785</v>
      </c>
      <c r="B1405" s="83" t="s">
        <v>2197</v>
      </c>
      <c r="C1405" s="83" t="s">
        <v>68</v>
      </c>
      <c r="D1405" s="112">
        <v>1178400.0</v>
      </c>
      <c r="E1405" s="83"/>
      <c r="F1405" s="83">
        <v>2.9982758E7</v>
      </c>
      <c r="G1405" s="119" t="s">
        <v>7887</v>
      </c>
      <c r="H1405" s="91" t="s">
        <v>7888</v>
      </c>
      <c r="I1405" s="83" t="s">
        <v>7889</v>
      </c>
      <c r="J1405" s="83" t="s">
        <v>7890</v>
      </c>
      <c r="K1405" s="98" t="s">
        <v>151</v>
      </c>
      <c r="L1405" s="83" t="s">
        <v>230</v>
      </c>
      <c r="M1405" s="82" t="str">
        <f>IFERROR(__xludf.DUMMYFUNCTION("IFERROR(VLOOKUP(D1405,
IMPORTRANGE(""https://docs.google.com/spreadsheets/d/1MjHtlUikwobi2MaWJgy7tfLeBmhj1u-dRFRs_8GwSoA/edit#gid=0"",""Gestores Escolares!D7:J""),3,0),""VERIFICAR CÓD SEC"")"),"CLAUDIA CRISTINA ARAUJO DE OLIVEIRA")</f>
        <v>CLAUDIA CRISTINA ARAUJO DE OLIVEIRA</v>
      </c>
      <c r="N1405" s="82" t="str">
        <f>IFERROR(__xludf.DUMMYFUNCTION("IFERROR(VLOOKUP(D1405,
IMPORTRANGE(""https://docs.google.com/spreadsheets/d/1MjHtlUikwobi2MaWJgy7tfLeBmhj1u-dRFRs_8GwSoA/edit#gid=0"",""Gestores Escolares!D7:J""),4,0),""VERIFICAR CÓD SEC"")"),"(71) 9 8113-6472")</f>
        <v>(71) 9 8113-6472</v>
      </c>
      <c r="O1405" s="82" t="str">
        <f>IFERROR(__xludf.DUMMYFUNCTION("IFERROR(VLOOKUP(D1405,
IMPORTRANGE(""https://docs.google.com/spreadsheets/d/1MjHtlUikwobi2MaWJgy7tfLeBmhj1u-dRFRs_8GwSoA/edit#gid=0"",""Gestores Escolares!D7:J""),6,0),""VERIFICAR CÓD SEC"")"),"EDSON MELO DE BRITO")</f>
        <v>EDSON MELO DE BRITO</v>
      </c>
      <c r="P1405" s="82" t="str">
        <f>IFERROR(__xludf.DUMMYFUNCTION("IFERROR(VLOOKUP(D1405,
IMPORTRANGE(""https://docs.google.com/spreadsheets/d/1MjHtlUikwobi2MaWJgy7tfLeBmhj1u-dRFRs_8GwSoA/edit#gid=0"",""Gestores Escolares!D7:J""),7,0),""VERIFICAR CÓD SEC"")"),"(71) 9 8883-3693")</f>
        <v>(71) 9 8883-3693</v>
      </c>
      <c r="Q1405" s="82" t="str">
        <f>IFERROR(__xludf.DUMMYFUNCTION("IFERROR(VLOOKUP(D1405,
IMPORTRANGE(""https://docs.google.com/spreadsheets/d/1MjHtlUikwobi2MaWJgy7tfLeBmhj1u-dRFRs_8GwSoA/edit#gid=0"",""Gestores Escolares!D7:m""),9,0),""VERIFICAR CÓD SEC"")"),"MARGARETI HITOMI NACAMURA MENEZES")</f>
        <v>MARGARETI HITOMI NACAMURA MENEZES</v>
      </c>
      <c r="R1405" s="82" t="str">
        <f>IFERROR(__xludf.DUMMYFUNCTION("IFERROR(VLOOKUP(D1405,
IMPORTRANGE(""https://docs.google.com/spreadsheets/d/1MjHtlUikwobi2MaWJgy7tfLeBmhj1u-dRFRs_8GwSoA/edit#gid=0"",""Gestores Escolares!D7:m""),10,0),""VERIFICAR CÓD SEC"")"),"")</f>
        <v/>
      </c>
      <c r="S1405" s="82"/>
      <c r="T1405" s="138">
        <v>15.0</v>
      </c>
      <c r="U1405" s="388" t="s">
        <v>13903</v>
      </c>
      <c r="V1405" s="106">
        <v>0.0</v>
      </c>
      <c r="W1405" s="107">
        <v>0.0</v>
      </c>
      <c r="X1405" s="107">
        <v>0.0</v>
      </c>
      <c r="Y1405" s="107">
        <v>0.0</v>
      </c>
      <c r="Z1405" s="80">
        <f t="shared" si="1"/>
        <v>0</v>
      </c>
      <c r="AA1405" s="106">
        <v>0.0</v>
      </c>
      <c r="AB1405" s="107">
        <v>0.0</v>
      </c>
      <c r="AC1405" s="107">
        <v>0.0</v>
      </c>
      <c r="AD1405" s="107">
        <v>0.0</v>
      </c>
      <c r="AE1405" s="80">
        <f t="shared" si="2"/>
        <v>0</v>
      </c>
      <c r="AF1405" s="140">
        <v>27.0</v>
      </c>
      <c r="AG1405" s="109">
        <v>36.0</v>
      </c>
      <c r="AH1405" s="109">
        <v>0.0</v>
      </c>
      <c r="AI1405" s="141">
        <v>1118.0</v>
      </c>
      <c r="AJ1405" s="80">
        <f t="shared" si="3"/>
        <v>1181</v>
      </c>
      <c r="AK1405" s="140">
        <v>0.0</v>
      </c>
      <c r="AL1405" s="109">
        <v>0.0</v>
      </c>
      <c r="AM1405" s="141">
        <v>0.0</v>
      </c>
      <c r="AN1405" s="80">
        <f t="shared" si="4"/>
        <v>0</v>
      </c>
      <c r="AO1405" s="140">
        <v>0.0</v>
      </c>
      <c r="AP1405" s="109">
        <v>0.0</v>
      </c>
      <c r="AQ1405" s="109">
        <v>417.0</v>
      </c>
      <c r="AR1405" s="80">
        <f t="shared" si="5"/>
        <v>417</v>
      </c>
      <c r="AS1405" s="110">
        <v>0.0</v>
      </c>
      <c r="AT1405" s="110">
        <v>0.0</v>
      </c>
      <c r="AU1405" s="110">
        <v>86.0</v>
      </c>
      <c r="AV1405" s="142">
        <v>153.0</v>
      </c>
      <c r="AW1405" s="80">
        <f t="shared" si="6"/>
        <v>239</v>
      </c>
      <c r="AX1405" s="113">
        <f t="shared" si="7"/>
        <v>1837</v>
      </c>
      <c r="AY1405" s="117">
        <f t="shared" si="8"/>
        <v>1334</v>
      </c>
      <c r="AZ1405" s="120">
        <f t="shared" si="9"/>
        <v>503</v>
      </c>
      <c r="BA1405" s="115">
        <v>1.0</v>
      </c>
      <c r="BB1405" s="89">
        <f t="shared" si="10"/>
        <v>1838</v>
      </c>
      <c r="BC1405" s="132" t="s">
        <v>178</v>
      </c>
      <c r="BD1405" s="132" t="s">
        <v>178</v>
      </c>
      <c r="BE1405" s="132" t="s">
        <v>178</v>
      </c>
      <c r="BF1405" s="123"/>
      <c r="BG1405" s="83">
        <v>1178400.0</v>
      </c>
      <c r="BH1405" s="112"/>
      <c r="BI1405" s="112">
        <v>15.0</v>
      </c>
      <c r="BJ1405" s="98" t="s">
        <v>176</v>
      </c>
      <c r="BK1405" s="99">
        <f t="shared" si="11"/>
        <v>1271</v>
      </c>
      <c r="BL1405" s="99">
        <f t="shared" si="12"/>
        <v>63</v>
      </c>
      <c r="BM1405" s="99" t="str">
        <f>IFERROR(__xludf.DUMMYFUNCTION("IFERROR(VLOOKUP(BG1405,IMPORTRANGE(""https://docs.google.com/spreadsheets/d/1juPI-Fb8LD0YtltB2mlGEnp_R3UVu1t3wSFPzgCyHXE/edit?gid=0#gid=0"",""GERAL!A2:C""),3,0),""-"")"),"-")</f>
        <v>-</v>
      </c>
    </row>
    <row r="1406" ht="15.75" customHeight="1">
      <c r="A1406" s="111" t="s">
        <v>1785</v>
      </c>
      <c r="B1406" s="83" t="s">
        <v>2197</v>
      </c>
      <c r="C1406" s="83" t="s">
        <v>68</v>
      </c>
      <c r="D1406" s="112">
        <v>1178399.0</v>
      </c>
      <c r="E1406" s="83"/>
      <c r="F1406" s="83">
        <v>2.9362016E7</v>
      </c>
      <c r="G1406" s="220" t="s">
        <v>7900</v>
      </c>
      <c r="H1406" s="91" t="s">
        <v>7901</v>
      </c>
      <c r="I1406" s="83" t="s">
        <v>7902</v>
      </c>
      <c r="J1406" s="83" t="s">
        <v>7903</v>
      </c>
      <c r="K1406" s="83" t="s">
        <v>151</v>
      </c>
      <c r="L1406" s="83" t="s">
        <v>230</v>
      </c>
      <c r="M1406" s="82" t="str">
        <f>IFERROR(__xludf.DUMMYFUNCTION("IFERROR(VLOOKUP(D1406,
IMPORTRANGE(""https://docs.google.com/spreadsheets/d/1MjHtlUikwobi2MaWJgy7tfLeBmhj1u-dRFRs_8GwSoA/edit#gid=0"",""Gestores Escolares!D7:J""),3,0),""VERIFICAR CÓD SEC"")"),"CREONICE MARIA CAMPOS")</f>
        <v>CREONICE MARIA CAMPOS</v>
      </c>
      <c r="N1406" s="82" t="str">
        <f>IFERROR(__xludf.DUMMYFUNCTION("IFERROR(VLOOKUP(D1406,
IMPORTRANGE(""https://docs.google.com/spreadsheets/d/1MjHtlUikwobi2MaWJgy7tfLeBmhj1u-dRFRs_8GwSoA/edit#gid=0"",""Gestores Escolares!D7:J""),4,0),""VERIFICAR CÓD SEC"")"),"(71) 9 9698-7476/ 3674-1379")</f>
        <v>(71) 9 9698-7476/ 3674-1379</v>
      </c>
      <c r="O1406" s="82" t="str">
        <f>IFERROR(__xludf.DUMMYFUNCTION("IFERROR(VLOOKUP(D1406,
IMPORTRANGE(""https://docs.google.com/spreadsheets/d/1MjHtlUikwobi2MaWJgy7tfLeBmhj1u-dRFRs_8GwSoA/edit#gid=0"",""Gestores Escolares!D7:J""),6,0),""VERIFICAR CÓD SEC"")"),"TELMA CRISTINA DA SILVA LISBOA")</f>
        <v>TELMA CRISTINA DA SILVA LISBOA</v>
      </c>
      <c r="P1406" s="82" t="str">
        <f>IFERROR(__xludf.DUMMYFUNCTION("IFERROR(VLOOKUP(D1406,
IMPORTRANGE(""https://docs.google.com/spreadsheets/d/1MjHtlUikwobi2MaWJgy7tfLeBmhj1u-dRFRs_8GwSoA/edit#gid=0"",""Gestores Escolares!D7:J""),7,0),""VERIFICAR CÓD SEC"")"),"(71) 9 9725-0572")</f>
        <v>(71) 9 9725-0572</v>
      </c>
      <c r="Q1406" s="82" t="str">
        <f>IFERROR(__xludf.DUMMYFUNCTION("IFERROR(VLOOKUP(D1406,
IMPORTRANGE(""https://docs.google.com/spreadsheets/d/1MjHtlUikwobi2MaWJgy7tfLeBmhj1u-dRFRs_8GwSoA/edit#gid=0"",""Gestores Escolares!D7:m""),9,0),""VERIFICAR CÓD SEC"")"),"")</f>
        <v/>
      </c>
      <c r="R1406" s="82" t="str">
        <f>IFERROR(__xludf.DUMMYFUNCTION("IFERROR(VLOOKUP(D1406,
IMPORTRANGE(""https://docs.google.com/spreadsheets/d/1MjHtlUikwobi2MaWJgy7tfLeBmhj1u-dRFRs_8GwSoA/edit#gid=0"",""Gestores Escolares!D7:m""),10,0),""VERIFICAR CÓD SEC"")"),"")</f>
        <v/>
      </c>
      <c r="S1406" s="82"/>
      <c r="T1406" s="138">
        <v>9.0</v>
      </c>
      <c r="U1406" s="388" t="s">
        <v>13904</v>
      </c>
      <c r="V1406" s="106">
        <v>0.0</v>
      </c>
      <c r="W1406" s="107">
        <v>0.0</v>
      </c>
      <c r="X1406" s="107">
        <v>0.0</v>
      </c>
      <c r="Y1406" s="107">
        <v>0.0</v>
      </c>
      <c r="Z1406" s="80">
        <f t="shared" si="1"/>
        <v>0</v>
      </c>
      <c r="AA1406" s="106">
        <v>0.0</v>
      </c>
      <c r="AB1406" s="107">
        <v>0.0</v>
      </c>
      <c r="AC1406" s="107">
        <v>0.0</v>
      </c>
      <c r="AD1406" s="107">
        <v>0.0</v>
      </c>
      <c r="AE1406" s="80">
        <f t="shared" si="2"/>
        <v>0</v>
      </c>
      <c r="AF1406" s="140">
        <v>106.0</v>
      </c>
      <c r="AG1406" s="109">
        <v>89.0</v>
      </c>
      <c r="AH1406" s="109">
        <v>0.0</v>
      </c>
      <c r="AI1406" s="141">
        <v>442.0</v>
      </c>
      <c r="AJ1406" s="80">
        <f t="shared" si="3"/>
        <v>637</v>
      </c>
      <c r="AK1406" s="140">
        <v>0.0</v>
      </c>
      <c r="AL1406" s="109">
        <v>0.0</v>
      </c>
      <c r="AM1406" s="141">
        <v>0.0</v>
      </c>
      <c r="AN1406" s="80">
        <f t="shared" si="4"/>
        <v>0</v>
      </c>
      <c r="AO1406" s="140">
        <v>0.0</v>
      </c>
      <c r="AP1406" s="109">
        <v>0.0</v>
      </c>
      <c r="AQ1406" s="109">
        <v>250.0</v>
      </c>
      <c r="AR1406" s="80">
        <f t="shared" si="5"/>
        <v>250</v>
      </c>
      <c r="AS1406" s="110">
        <v>0.0</v>
      </c>
      <c r="AT1406" s="110">
        <v>0.0</v>
      </c>
      <c r="AU1406" s="110">
        <v>0.0</v>
      </c>
      <c r="AV1406" s="142">
        <v>0.0</v>
      </c>
      <c r="AW1406" s="80">
        <f t="shared" si="6"/>
        <v>0</v>
      </c>
      <c r="AX1406" s="113">
        <f t="shared" si="7"/>
        <v>887</v>
      </c>
      <c r="AY1406" s="117">
        <f t="shared" si="8"/>
        <v>637</v>
      </c>
      <c r="AZ1406" s="120">
        <f t="shared" si="9"/>
        <v>250</v>
      </c>
      <c r="BA1406" s="115">
        <v>0.0</v>
      </c>
      <c r="BB1406" s="89">
        <f t="shared" si="10"/>
        <v>887</v>
      </c>
      <c r="BC1406" s="132" t="s">
        <v>178</v>
      </c>
      <c r="BD1406" s="132" t="s">
        <v>178</v>
      </c>
      <c r="BE1406" s="132" t="s">
        <v>178</v>
      </c>
      <c r="BF1406" s="123"/>
      <c r="BG1406" s="83">
        <v>1178399.0</v>
      </c>
      <c r="BH1406" s="98"/>
      <c r="BI1406" s="98">
        <v>9.0</v>
      </c>
      <c r="BJ1406" s="98" t="s">
        <v>162</v>
      </c>
      <c r="BK1406" s="99">
        <f t="shared" si="11"/>
        <v>442</v>
      </c>
      <c r="BL1406" s="99">
        <f t="shared" si="12"/>
        <v>195</v>
      </c>
      <c r="BM1406" s="99" t="str">
        <f>IFERROR(__xludf.DUMMYFUNCTION("IFERROR(VLOOKUP(BG1406,IMPORTRANGE(""https://docs.google.com/spreadsheets/d/1juPI-Fb8LD0YtltB2mlGEnp_R3UVu1t3wSFPzgCyHXE/edit?gid=0#gid=0"",""GERAL!A2:C""),3,0),""-"")"),"-")</f>
        <v>-</v>
      </c>
    </row>
    <row r="1407" ht="15.75" customHeight="1">
      <c r="A1407" s="111" t="s">
        <v>1785</v>
      </c>
      <c r="B1407" s="83" t="s">
        <v>2197</v>
      </c>
      <c r="C1407" s="83" t="s">
        <v>68</v>
      </c>
      <c r="D1407" s="112">
        <v>1177090.0</v>
      </c>
      <c r="E1407" s="83"/>
      <c r="F1407" s="83">
        <v>2.941368E7</v>
      </c>
      <c r="G1407" s="296" t="s">
        <v>7912</v>
      </c>
      <c r="H1407" s="91" t="s">
        <v>7913</v>
      </c>
      <c r="I1407" s="83" t="s">
        <v>149</v>
      </c>
      <c r="J1407" s="83" t="s">
        <v>150</v>
      </c>
      <c r="K1407" s="83" t="s">
        <v>151</v>
      </c>
      <c r="L1407" s="83" t="s">
        <v>230</v>
      </c>
      <c r="M1407" s="82" t="str">
        <f>IFERROR(__xludf.DUMMYFUNCTION("IFERROR(VLOOKUP(D1407,
IMPORTRANGE(""https://docs.google.com/spreadsheets/d/1MjHtlUikwobi2MaWJgy7tfLeBmhj1u-dRFRs_8GwSoA/edit#gid=0"",""Gestores Escolares!D7:J""),3,0),""VERIFICAR CÓD SEC"")"),"CELESTE MARIA DE SANTANA DOS SANTOS")</f>
        <v>CELESTE MARIA DE SANTANA DOS SANTOS</v>
      </c>
      <c r="N1407" s="82" t="str">
        <f>IFERROR(__xludf.DUMMYFUNCTION("IFERROR(VLOOKUP(D1407,
IMPORTRANGE(""https://docs.google.com/spreadsheets/d/1MjHtlUikwobi2MaWJgy7tfLeBmhj1u-dRFRs_8GwSoA/edit#gid=0"",""Gestores Escolares!D7:J""),4,0),""VERIFICAR CÓD SEC"")"),"(71) 9 9178-4939")</f>
        <v>(71) 9 9178-4939</v>
      </c>
      <c r="O1407" s="82" t="str">
        <f>IFERROR(__xludf.DUMMYFUNCTION("IFERROR(VLOOKUP(D1407,
IMPORTRANGE(""https://docs.google.com/spreadsheets/d/1MjHtlUikwobi2MaWJgy7tfLeBmhj1u-dRFRs_8GwSoA/edit#gid=0"",""Gestores Escolares!D7:J""),6,0),""VERIFICAR CÓD SEC"")"),"JOANA DARC SILVA SANTOS")</f>
        <v>JOANA DARC SILVA SANTOS</v>
      </c>
      <c r="P1407" s="82" t="str">
        <f>IFERROR(__xludf.DUMMYFUNCTION("IFERROR(VLOOKUP(D1407,
IMPORTRANGE(""https://docs.google.com/spreadsheets/d/1MjHtlUikwobi2MaWJgy7tfLeBmhj1u-dRFRs_8GwSoA/edit#gid=0"",""Gestores Escolares!D7:J""),7,0),""VERIFICAR CÓD SEC"")"),"(71) 9 9276-7438")</f>
        <v>(71) 9 9276-7438</v>
      </c>
      <c r="Q1407" s="82" t="str">
        <f>IFERROR(__xludf.DUMMYFUNCTION("IFERROR(VLOOKUP(D1407,
IMPORTRANGE(""https://docs.google.com/spreadsheets/d/1MjHtlUikwobi2MaWJgy7tfLeBmhj1u-dRFRs_8GwSoA/edit#gid=0"",""Gestores Escolares!D7:m""),9,0),""VERIFICAR CÓD SEC"")"),"FLAVIO DE CARVALHO PEREIRA")</f>
        <v>FLAVIO DE CARVALHO PEREIRA</v>
      </c>
      <c r="R1407" s="82" t="str">
        <f>IFERROR(__xludf.DUMMYFUNCTION("IFERROR(VLOOKUP(D1407,
IMPORTRANGE(""https://docs.google.com/spreadsheets/d/1MjHtlUikwobi2MaWJgy7tfLeBmhj1u-dRFRs_8GwSoA/edit#gid=0"",""Gestores Escolares!D7:m""),10,0),""VERIFICAR CÓD SEC"")"),"(71) 9 9186-5586")</f>
        <v>(71) 9 9186-5586</v>
      </c>
      <c r="S1407" s="82"/>
      <c r="T1407" s="138">
        <v>18.0</v>
      </c>
      <c r="U1407" s="388" t="s">
        <v>13905</v>
      </c>
      <c r="V1407" s="106">
        <v>0.0</v>
      </c>
      <c r="W1407" s="107">
        <v>0.0</v>
      </c>
      <c r="X1407" s="107">
        <v>0.0</v>
      </c>
      <c r="Y1407" s="107">
        <v>0.0</v>
      </c>
      <c r="Z1407" s="80">
        <f t="shared" si="1"/>
        <v>0</v>
      </c>
      <c r="AA1407" s="106">
        <v>0.0</v>
      </c>
      <c r="AB1407" s="107">
        <v>0.0</v>
      </c>
      <c r="AC1407" s="107">
        <v>0.0</v>
      </c>
      <c r="AD1407" s="107">
        <v>0.0</v>
      </c>
      <c r="AE1407" s="80">
        <f t="shared" si="2"/>
        <v>0</v>
      </c>
      <c r="AF1407" s="140">
        <v>707.0</v>
      </c>
      <c r="AG1407" s="109">
        <v>635.0</v>
      </c>
      <c r="AH1407" s="109">
        <v>0.0</v>
      </c>
      <c r="AI1407" s="141">
        <v>0.0</v>
      </c>
      <c r="AJ1407" s="80">
        <f t="shared" si="3"/>
        <v>1342</v>
      </c>
      <c r="AK1407" s="140">
        <v>0.0</v>
      </c>
      <c r="AL1407" s="109">
        <v>0.0</v>
      </c>
      <c r="AM1407" s="141">
        <v>0.0</v>
      </c>
      <c r="AN1407" s="80">
        <f t="shared" si="4"/>
        <v>0</v>
      </c>
      <c r="AO1407" s="140">
        <v>0.0</v>
      </c>
      <c r="AP1407" s="109">
        <v>0.0</v>
      </c>
      <c r="AQ1407" s="109">
        <v>376.0</v>
      </c>
      <c r="AR1407" s="80">
        <f t="shared" si="5"/>
        <v>376</v>
      </c>
      <c r="AS1407" s="110">
        <v>0.0</v>
      </c>
      <c r="AT1407" s="110">
        <v>0.0</v>
      </c>
      <c r="AU1407" s="110">
        <v>0.0</v>
      </c>
      <c r="AV1407" s="142">
        <v>0.0</v>
      </c>
      <c r="AW1407" s="80">
        <f t="shared" si="6"/>
        <v>0</v>
      </c>
      <c r="AX1407" s="113">
        <f t="shared" si="7"/>
        <v>1718</v>
      </c>
      <c r="AY1407" s="117">
        <f t="shared" si="8"/>
        <v>1342</v>
      </c>
      <c r="AZ1407" s="120">
        <f t="shared" si="9"/>
        <v>376</v>
      </c>
      <c r="BA1407" s="115">
        <v>0.0</v>
      </c>
      <c r="BB1407" s="89">
        <f t="shared" si="10"/>
        <v>1718</v>
      </c>
      <c r="BC1407" s="132" t="s">
        <v>178</v>
      </c>
      <c r="BD1407" s="132" t="s">
        <v>178</v>
      </c>
      <c r="BE1407" s="132" t="s">
        <v>178</v>
      </c>
      <c r="BF1407" s="361"/>
      <c r="BG1407" s="83">
        <v>1177090.0</v>
      </c>
      <c r="BH1407" s="112"/>
      <c r="BI1407" s="112">
        <v>18.0</v>
      </c>
      <c r="BJ1407" s="98" t="s">
        <v>284</v>
      </c>
      <c r="BK1407" s="99">
        <f t="shared" si="11"/>
        <v>0</v>
      </c>
      <c r="BL1407" s="99">
        <f t="shared" si="12"/>
        <v>1342</v>
      </c>
      <c r="BM1407" s="99" t="str">
        <f>IFERROR(__xludf.DUMMYFUNCTION("IFERROR(VLOOKUP(BG1407,IMPORTRANGE(""https://docs.google.com/spreadsheets/d/1juPI-Fb8LD0YtltB2mlGEnp_R3UVu1t3wSFPzgCyHXE/edit?gid=0#gid=0"",""GERAL!A2:C""),3,0),""-"")"),"-")</f>
        <v>-</v>
      </c>
    </row>
    <row r="1408" ht="15.75" customHeight="1">
      <c r="A1408" s="111" t="s">
        <v>1785</v>
      </c>
      <c r="B1408" s="83" t="s">
        <v>2197</v>
      </c>
      <c r="C1408" s="83" t="s">
        <v>68</v>
      </c>
      <c r="D1408" s="112">
        <v>1178445.0</v>
      </c>
      <c r="E1408" s="83"/>
      <c r="F1408" s="83">
        <v>2.9448018E7</v>
      </c>
      <c r="G1408" s="220" t="s">
        <v>7925</v>
      </c>
      <c r="H1408" s="91" t="s">
        <v>7926</v>
      </c>
      <c r="I1408" s="83" t="s">
        <v>149</v>
      </c>
      <c r="J1408" s="83" t="s">
        <v>7927</v>
      </c>
      <c r="K1408" s="83" t="s">
        <v>151</v>
      </c>
      <c r="L1408" s="83" t="s">
        <v>230</v>
      </c>
      <c r="M1408" s="82" t="str">
        <f>IFERROR(__xludf.DUMMYFUNCTION("IFERROR(VLOOKUP(D1408,
IMPORTRANGE(""https://docs.google.com/spreadsheets/d/1MjHtlUikwobi2MaWJgy7tfLeBmhj1u-dRFRs_8GwSoA/edit#gid=0"",""Gestores Escolares!D7:J""),3,0),""VERIFICAR CÓD SEC"")"),"RICARDO DA ENCARNACAO CONCEICAO")</f>
        <v>RICARDO DA ENCARNACAO CONCEICAO</v>
      </c>
      <c r="N1408" s="82" t="str">
        <f>IFERROR(__xludf.DUMMYFUNCTION("IFERROR(VLOOKUP(D1408,
IMPORTRANGE(""https://docs.google.com/spreadsheets/d/1MjHtlUikwobi2MaWJgy7tfLeBmhj1u-dRFRs_8GwSoA/edit#gid=0"",""Gestores Escolares!D7:J""),4,0),""VERIFICAR CÓD SEC"")"),"(71) 9 9662-2895")</f>
        <v>(71) 9 9662-2895</v>
      </c>
      <c r="O1408" s="82" t="str">
        <f>IFERROR(__xludf.DUMMYFUNCTION("IFERROR(VLOOKUP(D1408,
IMPORTRANGE(""https://docs.google.com/spreadsheets/d/1MjHtlUikwobi2MaWJgy7tfLeBmhj1u-dRFRs_8GwSoA/edit#gid=0"",""Gestores Escolares!D7:J""),6,0),""VERIFICAR CÓD SEC"")"),"LEIDE VIRGINIA MARINHO DE CARVALHO")</f>
        <v>LEIDE VIRGINIA MARINHO DE CARVALHO</v>
      </c>
      <c r="P1408" s="82" t="str">
        <f>IFERROR(__xludf.DUMMYFUNCTION("IFERROR(VLOOKUP(D1408,
IMPORTRANGE(""https://docs.google.com/spreadsheets/d/1MjHtlUikwobi2MaWJgy7tfLeBmhj1u-dRFRs_8GwSoA/edit#gid=0"",""Gestores Escolares!D7:J""),7,0),""VERIFICAR CÓD SEC"")"),"(71) 9 9917-7804")</f>
        <v>(71) 9 9917-7804</v>
      </c>
      <c r="Q1408" s="82" t="str">
        <f>IFERROR(__xludf.DUMMYFUNCTION("IFERROR(VLOOKUP(D1408,
IMPORTRANGE(""https://docs.google.com/spreadsheets/d/1MjHtlUikwobi2MaWJgy7tfLeBmhj1u-dRFRs_8GwSoA/edit#gid=0"",""Gestores Escolares!D7:m""),9,0),""VERIFICAR CÓD SEC"")"),"GUSTAVO PEREIRA DE SOUZA")</f>
        <v>GUSTAVO PEREIRA DE SOUZA</v>
      </c>
      <c r="R1408" s="82" t="str">
        <f>IFERROR(__xludf.DUMMYFUNCTION("IFERROR(VLOOKUP(D1408,
IMPORTRANGE(""https://docs.google.com/spreadsheets/d/1MjHtlUikwobi2MaWJgy7tfLeBmhj1u-dRFRs_8GwSoA/edit#gid=0"",""Gestores Escolares!D7:m""),10,0),""VERIFICAR CÓD SEC"")"),"(71) 9 9223-6735")</f>
        <v>(71) 9 9223-6735</v>
      </c>
      <c r="S1408" s="82"/>
      <c r="T1408" s="138">
        <v>11.0</v>
      </c>
      <c r="U1408" s="388" t="s">
        <v>13906</v>
      </c>
      <c r="V1408" s="106">
        <v>0.0</v>
      </c>
      <c r="W1408" s="107">
        <v>0.0</v>
      </c>
      <c r="X1408" s="107">
        <v>0.0</v>
      </c>
      <c r="Y1408" s="107">
        <v>0.0</v>
      </c>
      <c r="Z1408" s="80">
        <f t="shared" si="1"/>
        <v>0</v>
      </c>
      <c r="AA1408" s="106">
        <v>0.0</v>
      </c>
      <c r="AB1408" s="107">
        <v>0.0</v>
      </c>
      <c r="AC1408" s="107">
        <v>0.0</v>
      </c>
      <c r="AD1408" s="107">
        <v>0.0</v>
      </c>
      <c r="AE1408" s="80">
        <f t="shared" si="2"/>
        <v>0</v>
      </c>
      <c r="AF1408" s="140">
        <v>0.0</v>
      </c>
      <c r="AG1408" s="109">
        <v>0.0</v>
      </c>
      <c r="AH1408" s="109">
        <v>0.0</v>
      </c>
      <c r="AI1408" s="141">
        <v>319.0</v>
      </c>
      <c r="AJ1408" s="80">
        <f t="shared" si="3"/>
        <v>319</v>
      </c>
      <c r="AK1408" s="140">
        <v>0.0</v>
      </c>
      <c r="AL1408" s="109">
        <v>0.0</v>
      </c>
      <c r="AM1408" s="141">
        <v>0.0</v>
      </c>
      <c r="AN1408" s="80">
        <f t="shared" si="4"/>
        <v>0</v>
      </c>
      <c r="AO1408" s="140">
        <v>0.0</v>
      </c>
      <c r="AP1408" s="109">
        <v>0.0</v>
      </c>
      <c r="AQ1408" s="109">
        <v>190.0</v>
      </c>
      <c r="AR1408" s="80">
        <f t="shared" si="5"/>
        <v>190</v>
      </c>
      <c r="AS1408" s="110">
        <v>0.0</v>
      </c>
      <c r="AT1408" s="110">
        <v>0.0</v>
      </c>
      <c r="AU1408" s="110">
        <v>91.0</v>
      </c>
      <c r="AV1408" s="142">
        <v>116.0</v>
      </c>
      <c r="AW1408" s="80">
        <f t="shared" si="6"/>
        <v>207</v>
      </c>
      <c r="AX1408" s="113">
        <f t="shared" si="7"/>
        <v>716</v>
      </c>
      <c r="AY1408" s="117">
        <f t="shared" si="8"/>
        <v>435</v>
      </c>
      <c r="AZ1408" s="120">
        <f t="shared" si="9"/>
        <v>281</v>
      </c>
      <c r="BA1408" s="115">
        <v>2.0</v>
      </c>
      <c r="BB1408" s="89">
        <f t="shared" si="10"/>
        <v>718</v>
      </c>
      <c r="BC1408" s="132" t="s">
        <v>178</v>
      </c>
      <c r="BD1408" s="132" t="s">
        <v>178</v>
      </c>
      <c r="BE1408" s="132" t="s">
        <v>178</v>
      </c>
      <c r="BF1408" s="123"/>
      <c r="BG1408" s="83">
        <v>1178445.0</v>
      </c>
      <c r="BH1408" s="112"/>
      <c r="BI1408" s="112">
        <v>9.0</v>
      </c>
      <c r="BJ1408" s="98" t="s">
        <v>162</v>
      </c>
      <c r="BK1408" s="99">
        <f t="shared" si="11"/>
        <v>435</v>
      </c>
      <c r="BL1408" s="99">
        <f t="shared" si="12"/>
        <v>0</v>
      </c>
      <c r="BM1408" s="99" t="str">
        <f>IFERROR(__xludf.DUMMYFUNCTION("IFERROR(VLOOKUP(BG1408,IMPORTRANGE(""https://docs.google.com/spreadsheets/d/1juPI-Fb8LD0YtltB2mlGEnp_R3UVu1t3wSFPzgCyHXE/edit?gid=0#gid=0"",""GERAL!A2:C""),3,0),""-"")"),"-")</f>
        <v>-</v>
      </c>
    </row>
    <row r="1409" ht="15.75" customHeight="1">
      <c r="A1409" s="111" t="s">
        <v>1785</v>
      </c>
      <c r="B1409" s="83" t="s">
        <v>2197</v>
      </c>
      <c r="C1409" s="83" t="s">
        <v>68</v>
      </c>
      <c r="D1409" s="112">
        <v>1176611.0</v>
      </c>
      <c r="E1409" s="83"/>
      <c r="F1409" s="83">
        <v>2.9447348E7</v>
      </c>
      <c r="G1409" s="187" t="s">
        <v>7936</v>
      </c>
      <c r="H1409" s="91" t="s">
        <v>7937</v>
      </c>
      <c r="I1409" s="83" t="s">
        <v>149</v>
      </c>
      <c r="J1409" s="83" t="s">
        <v>150</v>
      </c>
      <c r="K1409" s="83" t="s">
        <v>151</v>
      </c>
      <c r="L1409" s="83" t="s">
        <v>230</v>
      </c>
      <c r="M1409" s="82" t="str">
        <f>IFERROR(__xludf.DUMMYFUNCTION("IFERROR(VLOOKUP(D1409,
IMPORTRANGE(""https://docs.google.com/spreadsheets/d/1MjHtlUikwobi2MaWJgy7tfLeBmhj1u-dRFRs_8GwSoA/edit#gid=0"",""Gestores Escolares!D7:J""),3,0),""VERIFICAR CÓD SEC"")"),"MONICA MARIA ARAUJO DOS SANTOS")</f>
        <v>MONICA MARIA ARAUJO DOS SANTOS</v>
      </c>
      <c r="N1409" s="82" t="str">
        <f>IFERROR(__xludf.DUMMYFUNCTION("IFERROR(VLOOKUP(D1409,
IMPORTRANGE(""https://docs.google.com/spreadsheets/d/1MjHtlUikwobi2MaWJgy7tfLeBmhj1u-dRFRs_8GwSoA/edit#gid=0"",""Gestores Escolares!D7:J""),4,0),""VERIFICAR CÓD SEC"")"),"(71) 9 8862-8551/9 8174-3003 ")</f>
        <v>(71) 9 8862-8551/9 8174-3003 </v>
      </c>
      <c r="O1409" s="82" t="str">
        <f>IFERROR(__xludf.DUMMYFUNCTION("IFERROR(VLOOKUP(D1409,
IMPORTRANGE(""https://docs.google.com/spreadsheets/d/1MjHtlUikwobi2MaWJgy7tfLeBmhj1u-dRFRs_8GwSoA/edit#gid=0"",""Gestores Escolares!D7:J""),6,0),""VERIFICAR CÓD SEC"")"),"CLAUDIO DA SILVA SANTOS")</f>
        <v>CLAUDIO DA SILVA SANTOS</v>
      </c>
      <c r="P1409" s="82" t="str">
        <f>IFERROR(__xludf.DUMMYFUNCTION("IFERROR(VLOOKUP(D1409,
IMPORTRANGE(""https://docs.google.com/spreadsheets/d/1MjHtlUikwobi2MaWJgy7tfLeBmhj1u-dRFRs_8GwSoA/edit#gid=0"",""Gestores Escolares!D7:J""),7,0),""VERIFICAR CÓD SEC"")"),"(71) 9 9910-3837")</f>
        <v>(71) 9 9910-3837</v>
      </c>
      <c r="Q1409" s="82" t="str">
        <f>IFERROR(__xludf.DUMMYFUNCTION("IFERROR(VLOOKUP(D1409,
IMPORTRANGE(""https://docs.google.com/spreadsheets/d/1MjHtlUikwobi2MaWJgy7tfLeBmhj1u-dRFRs_8GwSoA/edit#gid=0"",""Gestores Escolares!D7:m""),9,0),""VERIFICAR CÓD SEC"")"),"RENATA MANOELA SANTOS")</f>
        <v>RENATA MANOELA SANTOS</v>
      </c>
      <c r="R1409" s="82" t="str">
        <f>IFERROR(__xludf.DUMMYFUNCTION("IFERROR(VLOOKUP(D1409,
IMPORTRANGE(""https://docs.google.com/spreadsheets/d/1MjHtlUikwobi2MaWJgy7tfLeBmhj1u-dRFRs_8GwSoA/edit#gid=0"",""Gestores Escolares!D7:m""),10,0),""VERIFICAR CÓD SEC"")"),"(71) 9 8603-7699")</f>
        <v>(71) 9 8603-7699</v>
      </c>
      <c r="S1409" s="82"/>
      <c r="T1409" s="138">
        <v>15.0</v>
      </c>
      <c r="U1409" s="388">
        <v>16.0</v>
      </c>
      <c r="V1409" s="106">
        <v>0.0</v>
      </c>
      <c r="W1409" s="107">
        <v>0.0</v>
      </c>
      <c r="X1409" s="107">
        <v>0.0</v>
      </c>
      <c r="Y1409" s="107">
        <v>0.0</v>
      </c>
      <c r="Z1409" s="80">
        <f t="shared" si="1"/>
        <v>0</v>
      </c>
      <c r="AA1409" s="106">
        <v>0.0</v>
      </c>
      <c r="AB1409" s="107">
        <v>0.0</v>
      </c>
      <c r="AC1409" s="107">
        <v>0.0</v>
      </c>
      <c r="AD1409" s="107">
        <v>0.0</v>
      </c>
      <c r="AE1409" s="80">
        <f t="shared" si="2"/>
        <v>0</v>
      </c>
      <c r="AF1409" s="140">
        <v>0.0</v>
      </c>
      <c r="AG1409" s="109">
        <v>0.0</v>
      </c>
      <c r="AH1409" s="109">
        <v>0.0</v>
      </c>
      <c r="AI1409" s="141">
        <v>0.0</v>
      </c>
      <c r="AJ1409" s="80">
        <f t="shared" si="3"/>
        <v>0</v>
      </c>
      <c r="AK1409" s="140">
        <v>0.0</v>
      </c>
      <c r="AL1409" s="109">
        <v>0.0</v>
      </c>
      <c r="AM1409" s="141">
        <v>0.0</v>
      </c>
      <c r="AN1409" s="80">
        <f t="shared" si="4"/>
        <v>0</v>
      </c>
      <c r="AO1409" s="140">
        <v>0.0</v>
      </c>
      <c r="AP1409" s="109">
        <v>0.0</v>
      </c>
      <c r="AQ1409" s="109">
        <v>0.0</v>
      </c>
      <c r="AR1409" s="80">
        <f t="shared" si="5"/>
        <v>0</v>
      </c>
      <c r="AS1409" s="110">
        <v>633.0</v>
      </c>
      <c r="AT1409" s="110">
        <v>595.0</v>
      </c>
      <c r="AU1409" s="110">
        <v>198.0</v>
      </c>
      <c r="AV1409" s="142">
        <v>0.0</v>
      </c>
      <c r="AW1409" s="80">
        <f t="shared" si="6"/>
        <v>1426</v>
      </c>
      <c r="AX1409" s="113">
        <f t="shared" si="7"/>
        <v>1426</v>
      </c>
      <c r="AY1409" s="117">
        <f t="shared" si="8"/>
        <v>1228</v>
      </c>
      <c r="AZ1409" s="120">
        <f t="shared" si="9"/>
        <v>198</v>
      </c>
      <c r="BA1409" s="115">
        <v>0.0</v>
      </c>
      <c r="BB1409" s="89">
        <f t="shared" si="10"/>
        <v>1426</v>
      </c>
      <c r="BC1409" s="132" t="s">
        <v>178</v>
      </c>
      <c r="BD1409" s="132" t="s">
        <v>522</v>
      </c>
      <c r="BE1409" s="132" t="s">
        <v>178</v>
      </c>
      <c r="BF1409" s="156"/>
      <c r="BG1409" s="83">
        <v>1176611.0</v>
      </c>
      <c r="BH1409" s="112"/>
      <c r="BI1409" s="112">
        <v>13.0</v>
      </c>
      <c r="BJ1409" s="98" t="s">
        <v>155</v>
      </c>
      <c r="BK1409" s="99">
        <f t="shared" si="11"/>
        <v>0</v>
      </c>
      <c r="BL1409" s="99">
        <f t="shared" si="12"/>
        <v>1228</v>
      </c>
      <c r="BM1409" s="99" t="str">
        <f>IFERROR(__xludf.DUMMYFUNCTION("IFERROR(VLOOKUP(BG1409,IMPORTRANGE(""https://docs.google.com/spreadsheets/d/1juPI-Fb8LD0YtltB2mlGEnp_R3UVu1t3wSFPzgCyHXE/edit?gid=0#gid=0"",""GERAL!A2:C""),3,0),""-"")"),"-")</f>
        <v>-</v>
      </c>
    </row>
    <row r="1410" ht="15.75" customHeight="1">
      <c r="A1410" s="111" t="s">
        <v>1785</v>
      </c>
      <c r="B1410" s="83" t="s">
        <v>2197</v>
      </c>
      <c r="C1410" s="83" t="s">
        <v>164</v>
      </c>
      <c r="D1410" s="112">
        <v>1102259.0</v>
      </c>
      <c r="E1410" s="83">
        <v>1179297.0</v>
      </c>
      <c r="F1410" s="98">
        <v>2.9491126E7</v>
      </c>
      <c r="G1410" s="119" t="s">
        <v>7941</v>
      </c>
      <c r="H1410" s="91" t="s">
        <v>7942</v>
      </c>
      <c r="I1410" s="83" t="s">
        <v>7943</v>
      </c>
      <c r="J1410" s="83" t="s">
        <v>7944</v>
      </c>
      <c r="K1410" s="83" t="s">
        <v>168</v>
      </c>
      <c r="L1410" s="83" t="s">
        <v>169</v>
      </c>
      <c r="M1410" s="82" t="str">
        <f>IFERROR(__xludf.DUMMYFUNCTION("IFERROR(VLOOKUP(D1410,
IMPORTRANGE(""https://docs.google.com/spreadsheets/d/1MjHtlUikwobi2MaWJgy7tfLeBmhj1u-dRFRs_8GwSoA/edit#gid=0"",""Gestores Escolares!D7:J""),3,0),""VERIFICAR CÓD SEC"")"),"CÍNTIA LIMA DE SOUZA DA SILVA")</f>
        <v>CÍNTIA LIMA DE SOUZA DA SILVA</v>
      </c>
      <c r="N1410" s="82" t="str">
        <f>IFERROR(__xludf.DUMMYFUNCTION("IFERROR(VLOOKUP(D1410,
IMPORTRANGE(""https://docs.google.com/spreadsheets/d/1MjHtlUikwobi2MaWJgy7tfLeBmhj1u-dRFRs_8GwSoA/edit#gid=0"",""Gestores Escolares!D7:J""),4,0),""VERIFICAR CÓD SEC"")"),"(71) 9 8751-2741")</f>
        <v>(71) 9 8751-2741</v>
      </c>
      <c r="O1410" s="82" t="str">
        <f>IFERROR(__xludf.DUMMYFUNCTION("IFERROR(VLOOKUP(D1410,
IMPORTRANGE(""https://docs.google.com/spreadsheets/d/1MjHtlUikwobi2MaWJgy7tfLeBmhj1u-dRFRs_8GwSoA/edit#gid=0"",""Gestores Escolares!D7:J""),6,0),""VERIFICAR CÓD SEC"")"),"EFREM JOSE MENESES RIBEIRO")</f>
        <v>EFREM JOSE MENESES RIBEIRO</v>
      </c>
      <c r="P1410" s="82" t="str">
        <f>IFERROR(__xludf.DUMMYFUNCTION("IFERROR(VLOOKUP(D1410,
IMPORTRANGE(""https://docs.google.com/spreadsheets/d/1MjHtlUikwobi2MaWJgy7tfLeBmhj1u-dRFRs_8GwSoA/edit#gid=0"",""Gestores Escolares!D7:J""),7,0),""VERIFICAR CÓD SEC"")"),"(79) 9 8842-5069")</f>
        <v>(79) 9 8842-5069</v>
      </c>
      <c r="Q1410" s="82" t="str">
        <f>IFERROR(__xludf.DUMMYFUNCTION("IFERROR(VLOOKUP(D1410,
IMPORTRANGE(""https://docs.google.com/spreadsheets/d/1MjHtlUikwobi2MaWJgy7tfLeBmhj1u-dRFRs_8GwSoA/edit#gid=0"",""Gestores Escolares!D7:m""),9,0),""VERIFICAR CÓD SEC"")"),"TIARA ALESSANDRA OLIVEIRA BARR")</f>
        <v>TIARA ALESSANDRA OLIVEIRA BARR</v>
      </c>
      <c r="R1410" s="82" t="str">
        <f>IFERROR(__xludf.DUMMYFUNCTION("IFERROR(VLOOKUP(D1410,
IMPORTRANGE(""https://docs.google.com/spreadsheets/d/1MjHtlUikwobi2MaWJgy7tfLeBmhj1u-dRFRs_8GwSoA/edit#gid=0"",""Gestores Escolares!D7:m""),10,0),""VERIFICAR CÓD SEC"")"),"(71) 9 9408-0956")</f>
        <v>(71) 9 9408-0956</v>
      </c>
      <c r="S1410" s="82"/>
      <c r="T1410" s="138">
        <v>2.0</v>
      </c>
      <c r="U1410" s="388">
        <v>3.0</v>
      </c>
      <c r="V1410" s="106">
        <v>0.0</v>
      </c>
      <c r="W1410" s="107">
        <v>0.0</v>
      </c>
      <c r="X1410" s="107">
        <v>0.0</v>
      </c>
      <c r="Y1410" s="107">
        <v>0.0</v>
      </c>
      <c r="Z1410" s="80">
        <f t="shared" si="1"/>
        <v>0</v>
      </c>
      <c r="AA1410" s="106">
        <v>0.0</v>
      </c>
      <c r="AB1410" s="107">
        <v>0.0</v>
      </c>
      <c r="AC1410" s="107">
        <v>0.0</v>
      </c>
      <c r="AD1410" s="107">
        <v>0.0</v>
      </c>
      <c r="AE1410" s="80">
        <f t="shared" si="2"/>
        <v>0</v>
      </c>
      <c r="AF1410" s="140">
        <v>0.0</v>
      </c>
      <c r="AG1410" s="109">
        <v>0.0</v>
      </c>
      <c r="AH1410" s="109">
        <v>0.0</v>
      </c>
      <c r="AI1410" s="141">
        <v>0.0</v>
      </c>
      <c r="AJ1410" s="80">
        <f t="shared" si="3"/>
        <v>0</v>
      </c>
      <c r="AK1410" s="140">
        <v>0.0</v>
      </c>
      <c r="AL1410" s="109">
        <v>0.0</v>
      </c>
      <c r="AM1410" s="141">
        <v>0.0</v>
      </c>
      <c r="AN1410" s="80">
        <f t="shared" si="4"/>
        <v>0</v>
      </c>
      <c r="AO1410" s="140">
        <v>13.0</v>
      </c>
      <c r="AP1410" s="109">
        <v>0.0</v>
      </c>
      <c r="AQ1410" s="109">
        <v>0.0</v>
      </c>
      <c r="AR1410" s="80">
        <f t="shared" si="5"/>
        <v>13</v>
      </c>
      <c r="AS1410" s="110">
        <v>0.0</v>
      </c>
      <c r="AT1410" s="110">
        <v>0.0</v>
      </c>
      <c r="AU1410" s="110">
        <v>0.0</v>
      </c>
      <c r="AV1410" s="142">
        <v>0.0</v>
      </c>
      <c r="AW1410" s="80">
        <f t="shared" si="6"/>
        <v>0</v>
      </c>
      <c r="AX1410" s="113">
        <f t="shared" si="7"/>
        <v>13</v>
      </c>
      <c r="AY1410" s="117">
        <f t="shared" si="8"/>
        <v>13</v>
      </c>
      <c r="AZ1410" s="120">
        <f t="shared" si="9"/>
        <v>0</v>
      </c>
      <c r="BA1410" s="168">
        <v>0.0</v>
      </c>
      <c r="BB1410" s="89">
        <f t="shared" si="10"/>
        <v>13</v>
      </c>
      <c r="BC1410" s="132" t="s">
        <v>10138</v>
      </c>
      <c r="BD1410" s="132" t="s">
        <v>178</v>
      </c>
      <c r="BE1410" s="132" t="s">
        <v>178</v>
      </c>
      <c r="BF1410" s="83"/>
      <c r="BG1410" s="83">
        <v>1179297.0</v>
      </c>
      <c r="BH1410" s="112"/>
      <c r="BI1410" s="112">
        <v>2.0</v>
      </c>
      <c r="BJ1410" s="98" t="s">
        <v>155</v>
      </c>
      <c r="BK1410" s="99">
        <f t="shared" si="11"/>
        <v>0</v>
      </c>
      <c r="BL1410" s="99">
        <f t="shared" si="12"/>
        <v>13</v>
      </c>
      <c r="BM1410" s="99" t="str">
        <f>IFERROR(__xludf.DUMMYFUNCTION("IFERROR(VLOOKUP(BG1410,IMPORTRANGE(""https://docs.google.com/spreadsheets/d/1juPI-Fb8LD0YtltB2mlGEnp_R3UVu1t3wSFPzgCyHXE/edit?gid=0#gid=0"",""GERAL!A2:C""),3,0),""-"")"),"-")</f>
        <v>-</v>
      </c>
    </row>
    <row r="1411" ht="15.75" customHeight="1">
      <c r="A1411" s="111" t="s">
        <v>1785</v>
      </c>
      <c r="B1411" s="83" t="s">
        <v>2197</v>
      </c>
      <c r="C1411" s="136" t="s">
        <v>164</v>
      </c>
      <c r="D1411" s="112">
        <v>1178420.0</v>
      </c>
      <c r="E1411" s="83">
        <v>1178569.0</v>
      </c>
      <c r="F1411" s="98">
        <v>2.9493013E7</v>
      </c>
      <c r="G1411" s="296" t="s">
        <v>7947</v>
      </c>
      <c r="H1411" s="91" t="s">
        <v>7948</v>
      </c>
      <c r="I1411" s="193" t="s">
        <v>171</v>
      </c>
      <c r="J1411" s="98" t="s">
        <v>7949</v>
      </c>
      <c r="K1411" s="83" t="s">
        <v>168</v>
      </c>
      <c r="L1411" s="83" t="s">
        <v>512</v>
      </c>
      <c r="M1411" s="82" t="str">
        <f>IFERROR(__xludf.DUMMYFUNCTION("IFERROR(VLOOKUP(D1411,
IMPORTRANGE(""https://docs.google.com/spreadsheets/d/1MjHtlUikwobi2MaWJgy7tfLeBmhj1u-dRFRs_8GwSoA/edit#gid=0"",""Gestores Escolares!D7:J""),3,0),""VERIFICAR CÓD SEC"")"),"  GUILHERMINA DA SILVA SOUZA")</f>
        <v>  GUILHERMINA DA SILVA SOUZA</v>
      </c>
      <c r="N1411" s="82" t="str">
        <f>IFERROR(__xludf.DUMMYFUNCTION("IFERROR(VLOOKUP(D1411,
IMPORTRANGE(""https://docs.google.com/spreadsheets/d/1MjHtlUikwobi2MaWJgy7tfLeBmhj1u-dRFRs_8GwSoA/edit#gid=0"",""Gestores Escolares!D7:J""),4,0),""VERIFICAR CÓD SEC"")"),"(71) 9 9101-7684")</f>
        <v>(71) 9 9101-7684</v>
      </c>
      <c r="O1411" s="82" t="str">
        <f>IFERROR(__xludf.DUMMYFUNCTION("IFERROR(VLOOKUP(D1411,
IMPORTRANGE(""https://docs.google.com/spreadsheets/d/1MjHtlUikwobi2MaWJgy7tfLeBmhj1u-dRFRs_8GwSoA/edit#gid=0"",""Gestores Escolares!D7:J""),6,0),""VERIFICAR CÓD SEC"")"),"SAULO DE JARSO FIGUEREDO GRECCO")</f>
        <v>SAULO DE JARSO FIGUEREDO GRECCO</v>
      </c>
      <c r="P1411" s="82" t="str">
        <f>IFERROR(__xludf.DUMMYFUNCTION("IFERROR(VLOOKUP(D1411,
IMPORTRANGE(""https://docs.google.com/spreadsheets/d/1MjHtlUikwobi2MaWJgy7tfLeBmhj1u-dRFRs_8GwSoA/edit#gid=0"",""Gestores Escolares!D7:J""),7,0),""VERIFICAR CÓD SEC"")"),"(71) 9 8742-9217")</f>
        <v>(71) 9 8742-9217</v>
      </c>
      <c r="Q1411" s="82" t="str">
        <f>IFERROR(__xludf.DUMMYFUNCTION("IFERROR(VLOOKUP(D1411,
IMPORTRANGE(""https://docs.google.com/spreadsheets/d/1MjHtlUikwobi2MaWJgy7tfLeBmhj1u-dRFRs_8GwSoA/edit#gid=0"",""Gestores Escolares!D7:m""),9,0),""VERIFICAR CÓD SEC"")"),"ADRIANA CAVALCANTE PAVA LIMA")</f>
        <v>ADRIANA CAVALCANTE PAVA LIMA</v>
      </c>
      <c r="R1411" s="82" t="str">
        <f>IFERROR(__xludf.DUMMYFUNCTION("IFERROR(VLOOKUP(D1411,
IMPORTRANGE(""https://docs.google.com/spreadsheets/d/1MjHtlUikwobi2MaWJgy7tfLeBmhj1u-dRFRs_8GwSoA/edit#gid=0"",""Gestores Escolares!D7:m""),10,0),""VERIFICAR CÓD SEC"")"),"(71) 9 8799-1041")</f>
        <v>(71) 9 8799-1041</v>
      </c>
      <c r="S1411" s="82"/>
      <c r="T1411" s="138" t="s">
        <v>171</v>
      </c>
      <c r="U1411" s="388" t="s">
        <v>171</v>
      </c>
      <c r="V1411" s="106">
        <v>0.0</v>
      </c>
      <c r="W1411" s="107">
        <v>0.0</v>
      </c>
      <c r="X1411" s="107">
        <v>0.0</v>
      </c>
      <c r="Y1411" s="107">
        <v>0.0</v>
      </c>
      <c r="Z1411" s="80">
        <f t="shared" si="1"/>
        <v>0</v>
      </c>
      <c r="AA1411" s="106">
        <v>0.0</v>
      </c>
      <c r="AB1411" s="107">
        <v>0.0</v>
      </c>
      <c r="AC1411" s="107">
        <v>0.0</v>
      </c>
      <c r="AD1411" s="107">
        <v>0.0</v>
      </c>
      <c r="AE1411" s="80">
        <f t="shared" si="2"/>
        <v>0</v>
      </c>
      <c r="AF1411" s="140">
        <v>0.0</v>
      </c>
      <c r="AG1411" s="109">
        <v>0.0</v>
      </c>
      <c r="AH1411" s="109">
        <v>0.0</v>
      </c>
      <c r="AI1411" s="141">
        <v>0.0</v>
      </c>
      <c r="AJ1411" s="80">
        <f t="shared" si="3"/>
        <v>0</v>
      </c>
      <c r="AK1411" s="140">
        <v>0.0</v>
      </c>
      <c r="AL1411" s="109">
        <v>0.0</v>
      </c>
      <c r="AM1411" s="141">
        <v>0.0</v>
      </c>
      <c r="AN1411" s="80">
        <f t="shared" si="4"/>
        <v>0</v>
      </c>
      <c r="AO1411" s="140">
        <v>0.0</v>
      </c>
      <c r="AP1411" s="109">
        <v>0.0</v>
      </c>
      <c r="AQ1411" s="109">
        <v>41.0</v>
      </c>
      <c r="AR1411" s="80">
        <f t="shared" si="5"/>
        <v>41</v>
      </c>
      <c r="AS1411" s="110">
        <v>0.0</v>
      </c>
      <c r="AT1411" s="110">
        <v>0.0</v>
      </c>
      <c r="AU1411" s="110">
        <v>0.0</v>
      </c>
      <c r="AV1411" s="142">
        <v>0.0</v>
      </c>
      <c r="AW1411" s="80">
        <f t="shared" si="6"/>
        <v>0</v>
      </c>
      <c r="AX1411" s="113">
        <f t="shared" si="7"/>
        <v>41</v>
      </c>
      <c r="AY1411" s="117">
        <f t="shared" si="8"/>
        <v>0</v>
      </c>
      <c r="AZ1411" s="120">
        <f t="shared" si="9"/>
        <v>41</v>
      </c>
      <c r="BA1411" s="115">
        <v>0.0</v>
      </c>
      <c r="BB1411" s="89">
        <f t="shared" si="10"/>
        <v>41</v>
      </c>
      <c r="BC1411" s="132" t="s">
        <v>178</v>
      </c>
      <c r="BD1411" s="132" t="s">
        <v>178</v>
      </c>
      <c r="BE1411" s="132" t="s">
        <v>178</v>
      </c>
      <c r="BF1411" s="123"/>
      <c r="BG1411" s="83">
        <v>1178569.0</v>
      </c>
      <c r="BH1411" s="112"/>
      <c r="BI1411" s="112">
        <v>0.0</v>
      </c>
      <c r="BJ1411" s="98" t="s">
        <v>155</v>
      </c>
      <c r="BK1411" s="99">
        <f t="shared" si="11"/>
        <v>0</v>
      </c>
      <c r="BL1411" s="99">
        <f t="shared" si="12"/>
        <v>0</v>
      </c>
      <c r="BM1411" s="99" t="str">
        <f>IFERROR(__xludf.DUMMYFUNCTION("IFERROR(VLOOKUP(BG1411,IMPORTRANGE(""https://docs.google.com/spreadsheets/d/1juPI-Fb8LD0YtltB2mlGEnp_R3UVu1t3wSFPzgCyHXE/edit?gid=0#gid=0"",""GERAL!A2:C""),3,0),""-"")"),"-")</f>
        <v>-</v>
      </c>
    </row>
    <row r="1412" ht="15.75" customHeight="1">
      <c r="A1412" s="111" t="s">
        <v>1785</v>
      </c>
      <c r="B1412" s="83" t="s">
        <v>6403</v>
      </c>
      <c r="C1412" s="83" t="s">
        <v>68</v>
      </c>
      <c r="D1412" s="112">
        <v>1103719.0</v>
      </c>
      <c r="E1412" s="83"/>
      <c r="F1412" s="83">
        <v>2.917709E7</v>
      </c>
      <c r="G1412" s="119" t="s">
        <v>7956</v>
      </c>
      <c r="H1412" s="91" t="s">
        <v>7957</v>
      </c>
      <c r="I1412" s="83" t="s">
        <v>149</v>
      </c>
      <c r="J1412" s="83" t="s">
        <v>150</v>
      </c>
      <c r="K1412" s="83" t="s">
        <v>151</v>
      </c>
      <c r="L1412" s="83" t="s">
        <v>152</v>
      </c>
      <c r="M1412" s="82" t="str">
        <f>IFERROR(__xludf.DUMMYFUNCTION("IFERROR(VLOOKUP(D1412,
IMPORTRANGE(""https://docs.google.com/spreadsheets/d/1MjHtlUikwobi2MaWJgy7tfLeBmhj1u-dRFRs_8GwSoA/edit#gid=0"",""Gestores Escolares!D7:J""),3,0),""VERIFICAR CÓD SEC"")"),"WALDENILMA CARDOSO DE SANTANA DA SILVA")</f>
        <v>WALDENILMA CARDOSO DE SANTANA DA SILVA</v>
      </c>
      <c r="N1412" s="82" t="str">
        <f>IFERROR(__xludf.DUMMYFUNCTION("IFERROR(VLOOKUP(D1412,
IMPORTRANGE(""https://docs.google.com/spreadsheets/d/1MjHtlUikwobi2MaWJgy7tfLeBmhj1u-dRFRs_8GwSoA/edit#gid=0"",""Gestores Escolares!D7:J""),4,0),""VERIFICAR CÓD SEC"")"),"(71) 9 9201 0065")</f>
        <v>(71) 9 9201 0065</v>
      </c>
      <c r="O1412" s="82" t="str">
        <f>IFERROR(__xludf.DUMMYFUNCTION("IFERROR(VLOOKUP(D1412,
IMPORTRANGE(""https://docs.google.com/spreadsheets/d/1MjHtlUikwobi2MaWJgy7tfLeBmhj1u-dRFRs_8GwSoA/edit#gid=0"",""Gestores Escolares!D7:J""),6,0),""VERIFICAR CÓD SEC"")"),"JORGENETE ANDRADE MORAES DE CARVALHO")</f>
        <v>JORGENETE ANDRADE MORAES DE CARVALHO</v>
      </c>
      <c r="P1412" s="82" t="str">
        <f>IFERROR(__xludf.DUMMYFUNCTION("IFERROR(VLOOKUP(D1412,
IMPORTRANGE(""https://docs.google.com/spreadsheets/d/1MjHtlUikwobi2MaWJgy7tfLeBmhj1u-dRFRs_8GwSoA/edit#gid=0"",""Gestores Escolares!D7:J""),7,0),""VERIFICAR CÓD SEC"")"),"(71) 9 9248-3887")</f>
        <v>(71) 9 9248-3887</v>
      </c>
      <c r="Q1412" s="82" t="str">
        <f>IFERROR(__xludf.DUMMYFUNCTION("IFERROR(VLOOKUP(D1412,
IMPORTRANGE(""https://docs.google.com/spreadsheets/d/1MjHtlUikwobi2MaWJgy7tfLeBmhj1u-dRFRs_8GwSoA/edit#gid=0"",""Gestores Escolares!D7:m""),9,0),""VERIFICAR CÓD SEC"")"),"GIOLANDA MUNIZ ROCHA")</f>
        <v>GIOLANDA MUNIZ ROCHA</v>
      </c>
      <c r="R1412" s="82" t="str">
        <f>IFERROR(__xludf.DUMMYFUNCTION("IFERROR(VLOOKUP(D1412,
IMPORTRANGE(""https://docs.google.com/spreadsheets/d/1MjHtlUikwobi2MaWJgy7tfLeBmhj1u-dRFRs_8GwSoA/edit#gid=0"",""Gestores Escolares!D7:m""),10,0),""VERIFICAR CÓD SEC"")"),"(71) 9 9954-4249")</f>
        <v>(71) 9 9954-4249</v>
      </c>
      <c r="S1412" s="82"/>
      <c r="T1412" s="138">
        <v>8.0</v>
      </c>
      <c r="U1412" s="388">
        <v>7.0</v>
      </c>
      <c r="V1412" s="106">
        <v>0.0</v>
      </c>
      <c r="W1412" s="107">
        <v>0.0</v>
      </c>
      <c r="X1412" s="107">
        <v>0.0</v>
      </c>
      <c r="Y1412" s="107">
        <v>0.0</v>
      </c>
      <c r="Z1412" s="80">
        <f t="shared" si="1"/>
        <v>0</v>
      </c>
      <c r="AA1412" s="106">
        <v>0.0</v>
      </c>
      <c r="AB1412" s="107">
        <v>0.0</v>
      </c>
      <c r="AC1412" s="107">
        <v>0.0</v>
      </c>
      <c r="AD1412" s="107">
        <v>0.0</v>
      </c>
      <c r="AE1412" s="80">
        <f t="shared" si="2"/>
        <v>0</v>
      </c>
      <c r="AF1412" s="140">
        <v>294.0</v>
      </c>
      <c r="AG1412" s="109">
        <v>251.0</v>
      </c>
      <c r="AH1412" s="109">
        <v>0.0</v>
      </c>
      <c r="AI1412" s="141">
        <v>0.0</v>
      </c>
      <c r="AJ1412" s="80">
        <f t="shared" si="3"/>
        <v>545</v>
      </c>
      <c r="AK1412" s="140">
        <v>0.0</v>
      </c>
      <c r="AL1412" s="109">
        <v>0.0</v>
      </c>
      <c r="AM1412" s="141">
        <v>0.0</v>
      </c>
      <c r="AN1412" s="80">
        <f t="shared" si="4"/>
        <v>0</v>
      </c>
      <c r="AO1412" s="140">
        <v>0.0</v>
      </c>
      <c r="AP1412" s="109">
        <v>0.0</v>
      </c>
      <c r="AQ1412" s="109">
        <v>69.0</v>
      </c>
      <c r="AR1412" s="80">
        <f t="shared" si="5"/>
        <v>69</v>
      </c>
      <c r="AS1412" s="110">
        <v>0.0</v>
      </c>
      <c r="AT1412" s="110">
        <v>0.0</v>
      </c>
      <c r="AU1412" s="110">
        <v>11.0</v>
      </c>
      <c r="AV1412" s="142">
        <v>0.0</v>
      </c>
      <c r="AW1412" s="80">
        <f t="shared" si="6"/>
        <v>11</v>
      </c>
      <c r="AX1412" s="113">
        <f t="shared" si="7"/>
        <v>625</v>
      </c>
      <c r="AY1412" s="117">
        <f t="shared" si="8"/>
        <v>545</v>
      </c>
      <c r="AZ1412" s="120">
        <f t="shared" si="9"/>
        <v>80</v>
      </c>
      <c r="BA1412" s="115">
        <v>0.0</v>
      </c>
      <c r="BB1412" s="89">
        <f t="shared" si="10"/>
        <v>625</v>
      </c>
      <c r="BC1412" s="132" t="s">
        <v>178</v>
      </c>
      <c r="BD1412" s="132" t="s">
        <v>178</v>
      </c>
      <c r="BE1412" s="132" t="s">
        <v>178</v>
      </c>
      <c r="BF1412" s="123"/>
      <c r="BG1412" s="83">
        <v>1103719.0</v>
      </c>
      <c r="BH1412" s="112"/>
      <c r="BI1412" s="112">
        <v>7.0</v>
      </c>
      <c r="BJ1412" s="98" t="s">
        <v>155</v>
      </c>
      <c r="BK1412" s="99">
        <f t="shared" si="11"/>
        <v>0</v>
      </c>
      <c r="BL1412" s="99">
        <f t="shared" si="12"/>
        <v>545</v>
      </c>
      <c r="BM1412" s="99" t="str">
        <f>IFERROR(__xludf.DUMMYFUNCTION("IFERROR(VLOOKUP(BG1412,IMPORTRANGE(""https://docs.google.com/spreadsheets/d/1juPI-Fb8LD0YtltB2mlGEnp_R3UVu1t3wSFPzgCyHXE/edit?gid=0#gid=0"",""GERAL!A2:C""),3,0),""-"")"),"-")</f>
        <v>-</v>
      </c>
    </row>
    <row r="1413" ht="90.0" customHeight="1">
      <c r="A1413" s="111" t="s">
        <v>1785</v>
      </c>
      <c r="B1413" s="83" t="s">
        <v>6403</v>
      </c>
      <c r="C1413" s="83" t="s">
        <v>68</v>
      </c>
      <c r="D1413" s="112">
        <v>1104863.0</v>
      </c>
      <c r="E1413" s="83"/>
      <c r="F1413" s="83">
        <v>2.9176808E7</v>
      </c>
      <c r="G1413" s="119" t="s">
        <v>7959</v>
      </c>
      <c r="H1413" s="91" t="s">
        <v>7960</v>
      </c>
      <c r="I1413" s="83" t="s">
        <v>7961</v>
      </c>
      <c r="J1413" s="83" t="s">
        <v>150</v>
      </c>
      <c r="K1413" s="83" t="s">
        <v>151</v>
      </c>
      <c r="L1413" s="83" t="s">
        <v>152</v>
      </c>
      <c r="M1413" s="82" t="str">
        <f>IFERROR(__xludf.DUMMYFUNCTION("IFERROR(VLOOKUP(D1413,
IMPORTRANGE(""https://docs.google.com/spreadsheets/d/1MjHtlUikwobi2MaWJgy7tfLeBmhj1u-dRFRs_8GwSoA/edit#gid=0"",""Gestores Escolares!D7:J""),3,0),""VERIFICAR CÓD SEC"")"),"MARILENE SACRAMENTO MIRANDA")</f>
        <v>MARILENE SACRAMENTO MIRANDA</v>
      </c>
      <c r="N1413" s="82" t="str">
        <f>IFERROR(__xludf.DUMMYFUNCTION("IFERROR(VLOOKUP(D1413,
IMPORTRANGE(""https://docs.google.com/spreadsheets/d/1MjHtlUikwobi2MaWJgy7tfLeBmhj1u-dRFRs_8GwSoA/edit#gid=0"",""Gestores Escolares!D7:J""),4,0),""VERIFICAR CÓD SEC"")"),"(71) 9 8663-0306")</f>
        <v>(71) 9 8663-0306</v>
      </c>
      <c r="O1413" s="82" t="str">
        <f>IFERROR(__xludf.DUMMYFUNCTION("IFERROR(VLOOKUP(D1413,
IMPORTRANGE(""https://docs.google.com/spreadsheets/d/1MjHtlUikwobi2MaWJgy7tfLeBmhj1u-dRFRs_8GwSoA/edit#gid=0"",""Gestores Escolares!D7:J""),6,0),""VERIFICAR CÓD SEC"")"),"DIEGO CRUZ ARGOLO")</f>
        <v>DIEGO CRUZ ARGOLO</v>
      </c>
      <c r="P1413" s="82" t="str">
        <f>IFERROR(__xludf.DUMMYFUNCTION("IFERROR(VLOOKUP(D1413,
IMPORTRANGE(""https://docs.google.com/spreadsheets/d/1MjHtlUikwobi2MaWJgy7tfLeBmhj1u-dRFRs_8GwSoA/edit#gid=0"",""Gestores Escolares!D7:J""),7,0),""VERIFICAR CÓD SEC"")"),"(71) 9 9251-9241")</f>
        <v>(71) 9 9251-9241</v>
      </c>
      <c r="Q1413" s="82" t="str">
        <f>IFERROR(__xludf.DUMMYFUNCTION("IFERROR(VLOOKUP(D1413,
IMPORTRANGE(""https://docs.google.com/spreadsheets/d/1MjHtlUikwobi2MaWJgy7tfLeBmhj1u-dRFRs_8GwSoA/edit#gid=0"",""Gestores Escolares!D7:m""),9,0),""VERIFICAR CÓD SEC"")"),"RAILDA MARIA DA CRUZ DOS SANTOS")</f>
        <v>RAILDA MARIA DA CRUZ DOS SANTOS</v>
      </c>
      <c r="R1413" s="82" t="str">
        <f>IFERROR(__xludf.DUMMYFUNCTION("IFERROR(VLOOKUP(D1413,
IMPORTRANGE(""https://docs.google.com/spreadsheets/d/1MjHtlUikwobi2MaWJgy7tfLeBmhj1u-dRFRs_8GwSoA/edit#gid=0"",""Gestores Escolares!D7:m""),10,0),""VERIFICAR CÓD SEC"")"),"(71) 9 9722-7498")</f>
        <v>(71) 9 9722-7498</v>
      </c>
      <c r="S1413" s="82"/>
      <c r="T1413" s="138">
        <v>5.0</v>
      </c>
      <c r="U1413" s="388" t="s">
        <v>13907</v>
      </c>
      <c r="V1413" s="106">
        <v>0.0</v>
      </c>
      <c r="W1413" s="107">
        <v>0.0</v>
      </c>
      <c r="X1413" s="107">
        <v>0.0</v>
      </c>
      <c r="Y1413" s="107">
        <v>0.0</v>
      </c>
      <c r="Z1413" s="80">
        <f t="shared" si="1"/>
        <v>0</v>
      </c>
      <c r="AA1413" s="106">
        <v>0.0</v>
      </c>
      <c r="AB1413" s="107">
        <v>0.0</v>
      </c>
      <c r="AC1413" s="107">
        <v>0.0</v>
      </c>
      <c r="AD1413" s="107">
        <v>0.0</v>
      </c>
      <c r="AE1413" s="80">
        <f t="shared" si="2"/>
        <v>0</v>
      </c>
      <c r="AF1413" s="140">
        <v>191.0</v>
      </c>
      <c r="AG1413" s="109">
        <v>157.0</v>
      </c>
      <c r="AH1413" s="109">
        <v>0.0</v>
      </c>
      <c r="AI1413" s="141">
        <v>0.0</v>
      </c>
      <c r="AJ1413" s="80">
        <f t="shared" si="3"/>
        <v>348</v>
      </c>
      <c r="AK1413" s="140">
        <v>0.0</v>
      </c>
      <c r="AL1413" s="109">
        <v>0.0</v>
      </c>
      <c r="AM1413" s="141">
        <v>0.0</v>
      </c>
      <c r="AN1413" s="80">
        <f t="shared" si="4"/>
        <v>0</v>
      </c>
      <c r="AO1413" s="140">
        <v>0.0</v>
      </c>
      <c r="AP1413" s="109">
        <v>0.0</v>
      </c>
      <c r="AQ1413" s="109">
        <v>86.0</v>
      </c>
      <c r="AR1413" s="80">
        <f t="shared" si="5"/>
        <v>86</v>
      </c>
      <c r="AS1413" s="110">
        <v>36.0</v>
      </c>
      <c r="AT1413" s="110">
        <v>62.0</v>
      </c>
      <c r="AU1413" s="110">
        <v>93.0</v>
      </c>
      <c r="AV1413" s="142">
        <v>0.0</v>
      </c>
      <c r="AW1413" s="80">
        <f t="shared" si="6"/>
        <v>191</v>
      </c>
      <c r="AX1413" s="113">
        <f t="shared" si="7"/>
        <v>625</v>
      </c>
      <c r="AY1413" s="117">
        <f t="shared" si="8"/>
        <v>446</v>
      </c>
      <c r="AZ1413" s="120">
        <f t="shared" si="9"/>
        <v>179</v>
      </c>
      <c r="BA1413" s="115">
        <v>1.0</v>
      </c>
      <c r="BB1413" s="89">
        <f t="shared" si="10"/>
        <v>626</v>
      </c>
      <c r="BC1413" s="132" t="s">
        <v>178</v>
      </c>
      <c r="BD1413" s="132" t="s">
        <v>178</v>
      </c>
      <c r="BE1413" s="132" t="s">
        <v>178</v>
      </c>
      <c r="BF1413" s="123"/>
      <c r="BG1413" s="83">
        <v>1104863.0</v>
      </c>
      <c r="BH1413" s="112"/>
      <c r="BI1413" s="112">
        <v>12.0</v>
      </c>
      <c r="BJ1413" s="98" t="s">
        <v>155</v>
      </c>
      <c r="BK1413" s="99">
        <f t="shared" si="11"/>
        <v>0</v>
      </c>
      <c r="BL1413" s="99">
        <f t="shared" si="12"/>
        <v>446</v>
      </c>
      <c r="BM1413" s="99" t="str">
        <f>IFERROR(__xludf.DUMMYFUNCTION("IFERROR(VLOOKUP(BG1413,IMPORTRANGE(""https://docs.google.com/spreadsheets/d/1juPI-Fb8LD0YtltB2mlGEnp_R3UVu1t3wSFPzgCyHXE/edit?gid=0#gid=0"",""GERAL!A2:C""),3,0),""-"")"),"-")</f>
        <v>-</v>
      </c>
    </row>
    <row r="1414" ht="15.75" customHeight="1">
      <c r="A1414" s="111" t="s">
        <v>1785</v>
      </c>
      <c r="B1414" s="83" t="s">
        <v>6403</v>
      </c>
      <c r="C1414" s="83" t="s">
        <v>68</v>
      </c>
      <c r="D1414" s="112">
        <v>1177099.0</v>
      </c>
      <c r="E1414" s="83"/>
      <c r="F1414" s="83">
        <v>2.9415969E7</v>
      </c>
      <c r="G1414" s="119" t="s">
        <v>7964</v>
      </c>
      <c r="H1414" s="91" t="s">
        <v>7960</v>
      </c>
      <c r="I1414" s="83" t="s">
        <v>7961</v>
      </c>
      <c r="J1414" s="83" t="s">
        <v>150</v>
      </c>
      <c r="K1414" s="83" t="s">
        <v>168</v>
      </c>
      <c r="L1414" s="83" t="s">
        <v>76</v>
      </c>
      <c r="M1414" s="82" t="str">
        <f>IFERROR(__xludf.DUMMYFUNCTION("IFERROR(VLOOKUP(D1414,
IMPORTRANGE(""https://docs.google.com/spreadsheets/d/1MjHtlUikwobi2MaWJgy7tfLeBmhj1u-dRFRs_8GwSoA/edit#gid=0"",""Gestores Escolares!D7:J""),3,0),""VERIFICAR CÓD SEC"")"),"AMELIA GOMES DOS SANTOS")</f>
        <v>AMELIA GOMES DOS SANTOS</v>
      </c>
      <c r="N1414" s="82" t="str">
        <f>IFERROR(__xludf.DUMMYFUNCTION("IFERROR(VLOOKUP(D1414,
IMPORTRANGE(""https://docs.google.com/spreadsheets/d/1MjHtlUikwobi2MaWJgy7tfLeBmhj1u-dRFRs_8GwSoA/edit#gid=0"",""Gestores Escolares!D7:J""),4,0),""VERIFICAR CÓD SEC"")"),"(71) 9 9974-1273")</f>
        <v>(71) 9 9974-1273</v>
      </c>
      <c r="O1414" s="82" t="str">
        <f>IFERROR(__xludf.DUMMYFUNCTION("IFERROR(VLOOKUP(D1414,
IMPORTRANGE(""https://docs.google.com/spreadsheets/d/1MjHtlUikwobi2MaWJgy7tfLeBmhj1u-dRFRs_8GwSoA/edit#gid=0"",""Gestores Escolares!D7:J""),6,0),""VERIFICAR CÓD SEC"")"),"ANA MARIA DA SILVA CERQUEIRA")</f>
        <v>ANA MARIA DA SILVA CERQUEIRA</v>
      </c>
      <c r="P1414" s="82" t="str">
        <f>IFERROR(__xludf.DUMMYFUNCTION("IFERROR(VLOOKUP(D1414,
IMPORTRANGE(""https://docs.google.com/spreadsheets/d/1MjHtlUikwobi2MaWJgy7tfLeBmhj1u-dRFRs_8GwSoA/edit#gid=0"",""Gestores Escolares!D7:J""),7,0),""VERIFICAR CÓD SEC"")"),"(71) 9 9988-0495")</f>
        <v>(71) 9 9988-0495</v>
      </c>
      <c r="Q1414" s="82" t="str">
        <f>IFERROR(__xludf.DUMMYFUNCTION("IFERROR(VLOOKUP(D1414,
IMPORTRANGE(""https://docs.google.com/spreadsheets/d/1MjHtlUikwobi2MaWJgy7tfLeBmhj1u-dRFRs_8GwSoA/edit#gid=0"",""Gestores Escolares!D7:m""),9,0),""VERIFICAR CÓD SEC"")"),"")</f>
        <v/>
      </c>
      <c r="R1414" s="82" t="str">
        <f>IFERROR(__xludf.DUMMYFUNCTION("IFERROR(VLOOKUP(D1414,
IMPORTRANGE(""https://docs.google.com/spreadsheets/d/1MjHtlUikwobi2MaWJgy7tfLeBmhj1u-dRFRs_8GwSoA/edit#gid=0"",""Gestores Escolares!D7:m""),10,0),""VERIFICAR CÓD SEC"")"),"")</f>
        <v/>
      </c>
      <c r="S1414" s="82"/>
      <c r="T1414" s="138">
        <v>7.0</v>
      </c>
      <c r="U1414" s="388" t="s">
        <v>13908</v>
      </c>
      <c r="V1414" s="106">
        <v>0.0</v>
      </c>
      <c r="W1414" s="107">
        <v>0.0</v>
      </c>
      <c r="X1414" s="107">
        <v>0.0</v>
      </c>
      <c r="Y1414" s="107">
        <v>0.0</v>
      </c>
      <c r="Z1414" s="80">
        <f t="shared" si="1"/>
        <v>0</v>
      </c>
      <c r="AA1414" s="106">
        <v>0.0</v>
      </c>
      <c r="AB1414" s="107">
        <v>0.0</v>
      </c>
      <c r="AC1414" s="107">
        <v>0.0</v>
      </c>
      <c r="AD1414" s="107">
        <v>0.0</v>
      </c>
      <c r="AE1414" s="80">
        <f t="shared" si="2"/>
        <v>0</v>
      </c>
      <c r="AF1414" s="140">
        <v>294.0</v>
      </c>
      <c r="AG1414" s="109">
        <v>243.0</v>
      </c>
      <c r="AH1414" s="109">
        <v>0.0</v>
      </c>
      <c r="AI1414" s="141">
        <v>0.0</v>
      </c>
      <c r="AJ1414" s="80">
        <f t="shared" si="3"/>
        <v>537</v>
      </c>
      <c r="AK1414" s="140">
        <v>0.0</v>
      </c>
      <c r="AL1414" s="109">
        <v>0.0</v>
      </c>
      <c r="AM1414" s="141">
        <v>0.0</v>
      </c>
      <c r="AN1414" s="80">
        <f t="shared" si="4"/>
        <v>0</v>
      </c>
      <c r="AO1414" s="140">
        <v>0.0</v>
      </c>
      <c r="AP1414" s="109">
        <v>0.0</v>
      </c>
      <c r="AQ1414" s="109">
        <v>84.0</v>
      </c>
      <c r="AR1414" s="80">
        <f t="shared" si="5"/>
        <v>84</v>
      </c>
      <c r="AS1414" s="110">
        <v>0.0</v>
      </c>
      <c r="AT1414" s="110">
        <v>0.0</v>
      </c>
      <c r="AU1414" s="110">
        <v>0.0</v>
      </c>
      <c r="AV1414" s="142">
        <v>0.0</v>
      </c>
      <c r="AW1414" s="80">
        <f t="shared" si="6"/>
        <v>0</v>
      </c>
      <c r="AX1414" s="113">
        <f t="shared" si="7"/>
        <v>621</v>
      </c>
      <c r="AY1414" s="117">
        <f t="shared" si="8"/>
        <v>537</v>
      </c>
      <c r="AZ1414" s="120">
        <f t="shared" si="9"/>
        <v>84</v>
      </c>
      <c r="BA1414" s="115">
        <v>0.0</v>
      </c>
      <c r="BB1414" s="89">
        <f t="shared" si="10"/>
        <v>621</v>
      </c>
      <c r="BC1414" s="132" t="s">
        <v>178</v>
      </c>
      <c r="BD1414" s="132" t="s">
        <v>178</v>
      </c>
      <c r="BE1414" s="132" t="s">
        <v>178</v>
      </c>
      <c r="BF1414" s="156"/>
      <c r="BG1414" s="83">
        <v>1177099.0</v>
      </c>
      <c r="BH1414" s="112"/>
      <c r="BI1414" s="112">
        <v>7.0</v>
      </c>
      <c r="BJ1414" s="98" t="s">
        <v>155</v>
      </c>
      <c r="BK1414" s="99">
        <f t="shared" si="11"/>
        <v>0</v>
      </c>
      <c r="BL1414" s="99">
        <f t="shared" si="12"/>
        <v>537</v>
      </c>
      <c r="BM1414" s="99" t="str">
        <f>IFERROR(__xludf.DUMMYFUNCTION("IFERROR(VLOOKUP(BG1414,IMPORTRANGE(""https://docs.google.com/spreadsheets/d/1juPI-Fb8LD0YtltB2mlGEnp_R3UVu1t3wSFPzgCyHXE/edit?gid=0#gid=0"",""GERAL!A2:C""),3,0),""-"")"),"-")</f>
        <v>-</v>
      </c>
    </row>
    <row r="1415" ht="15.75" customHeight="1">
      <c r="A1415" s="111" t="s">
        <v>1785</v>
      </c>
      <c r="B1415" s="83" t="s">
        <v>6403</v>
      </c>
      <c r="C1415" s="83" t="s">
        <v>68</v>
      </c>
      <c r="D1415" s="112">
        <v>1176410.0</v>
      </c>
      <c r="E1415" s="83"/>
      <c r="F1415" s="83">
        <v>2.9383234E7</v>
      </c>
      <c r="G1415" s="153" t="s">
        <v>7966</v>
      </c>
      <c r="H1415" s="91" t="s">
        <v>7967</v>
      </c>
      <c r="I1415" s="83" t="s">
        <v>149</v>
      </c>
      <c r="J1415" s="83" t="s">
        <v>150</v>
      </c>
      <c r="K1415" s="83" t="s">
        <v>151</v>
      </c>
      <c r="L1415" s="83" t="s">
        <v>230</v>
      </c>
      <c r="M1415" s="82" t="str">
        <f>IFERROR(__xludf.DUMMYFUNCTION("IFERROR(VLOOKUP(D1415,
IMPORTRANGE(""https://docs.google.com/spreadsheets/d/1MjHtlUikwobi2MaWJgy7tfLeBmhj1u-dRFRs_8GwSoA/edit#gid=0"",""Gestores Escolares!D7:J""),3,0),""VERIFICAR CÓD SEC"")"),"DIREÇÃO DA ESCOLA: ROBERT DA CRUZ COSTA - (71) 9 9987-4102
DIREÇÃO DA UNIDADE PM: Tenente Coronel QOPM WELLINGTON MORAIS DOS SANTOS - (71) 9 8873-1245
DIREÇÃO DO ADJUNTO:  Capitão QOPM MÁRCIO DOS SANTOS CAMPOS - (71) 9 8649-1429")</f>
        <v>DIREÇÃO DA ESCOLA: ROBERT DA CRUZ COSTA - (71) 9 9987-4102
DIREÇÃO DA UNIDADE PM: Tenente Coronel QOPM WELLINGTON MORAIS DOS SANTOS - (71) 9 8873-1245
DIREÇÃO DO ADJUNTO:  Capitão QOPM MÁRCIO DOS SANTOS CAMPOS - (71) 9 8649-1429</v>
      </c>
      <c r="N1415" s="82" t="str">
        <f>IFERROR(__xludf.DUMMYFUNCTION("IFERROR(VLOOKUP(D1415,
IMPORTRANGE(""https://docs.google.com/spreadsheets/d/1MjHtlUikwobi2MaWJgy7tfLeBmhj1u-dRFRs_8GwSoA/edit#gid=0"",""Gestores Escolares!D7:J""),4,0),""VERIFICAR CÓD SEC"")"),"-")</f>
        <v>-</v>
      </c>
      <c r="O1415" s="82" t="str">
        <f>IFERROR(__xludf.DUMMYFUNCTION("IFERROR(VLOOKUP(D1415,
IMPORTRANGE(""https://docs.google.com/spreadsheets/d/1MjHtlUikwobi2MaWJgy7tfLeBmhj1u-dRFRs_8GwSoA/edit#gid=0"",""Gestores Escolares!D7:J""),6,0),""VERIFICAR CÓD SEC"")"),"TATIANE DE SOUZA FRANCISCO")</f>
        <v>TATIANE DE SOUZA FRANCISCO</v>
      </c>
      <c r="P1415" s="82" t="str">
        <f>IFERROR(__xludf.DUMMYFUNCTION("IFERROR(VLOOKUP(D1415,
IMPORTRANGE(""https://docs.google.com/spreadsheets/d/1MjHtlUikwobi2MaWJgy7tfLeBmhj1u-dRFRs_8GwSoA/edit#gid=0"",""Gestores Escolares!D7:J""),7,0),""VERIFICAR CÓD SEC"")"),"(75) 9 8878-6186")</f>
        <v>(75) 9 8878-6186</v>
      </c>
      <c r="Q1415" s="82" t="str">
        <f>IFERROR(__xludf.DUMMYFUNCTION("IFERROR(VLOOKUP(D1415,
IMPORTRANGE(""https://docs.google.com/spreadsheets/d/1MjHtlUikwobi2MaWJgy7tfLeBmhj1u-dRFRs_8GwSoA/edit#gid=0"",""Gestores Escolares!D7:m""),9,0),""VERIFICAR CÓD SEC"")"),"")</f>
        <v/>
      </c>
      <c r="R1415" s="82" t="str">
        <f>IFERROR(__xludf.DUMMYFUNCTION("IFERROR(VLOOKUP(D1415,
IMPORTRANGE(""https://docs.google.com/spreadsheets/d/1MjHtlUikwobi2MaWJgy7tfLeBmhj1u-dRFRs_8GwSoA/edit#gid=0"",""Gestores Escolares!D7:m""),10,0),""VERIFICAR CÓD SEC"")"),"")</f>
        <v/>
      </c>
      <c r="S1415" s="82"/>
      <c r="T1415" s="138">
        <v>12.0</v>
      </c>
      <c r="U1415" s="388">
        <v>12.0</v>
      </c>
      <c r="V1415" s="106">
        <v>0.0</v>
      </c>
      <c r="W1415" s="107">
        <v>0.0</v>
      </c>
      <c r="X1415" s="107">
        <v>0.0</v>
      </c>
      <c r="Y1415" s="107">
        <v>0.0</v>
      </c>
      <c r="Z1415" s="80">
        <f t="shared" si="1"/>
        <v>0</v>
      </c>
      <c r="AA1415" s="106">
        <v>0.0</v>
      </c>
      <c r="AB1415" s="107">
        <v>251.0</v>
      </c>
      <c r="AC1415" s="107">
        <v>0.0</v>
      </c>
      <c r="AD1415" s="107">
        <v>319.0</v>
      </c>
      <c r="AE1415" s="80">
        <f t="shared" si="2"/>
        <v>570</v>
      </c>
      <c r="AF1415" s="140">
        <v>482.0</v>
      </c>
      <c r="AG1415" s="109">
        <v>0.0</v>
      </c>
      <c r="AH1415" s="109">
        <v>0.0</v>
      </c>
      <c r="AI1415" s="141">
        <v>0.0</v>
      </c>
      <c r="AJ1415" s="80">
        <f t="shared" si="3"/>
        <v>482</v>
      </c>
      <c r="AK1415" s="140">
        <v>0.0</v>
      </c>
      <c r="AL1415" s="109">
        <v>0.0</v>
      </c>
      <c r="AM1415" s="141">
        <v>0.0</v>
      </c>
      <c r="AN1415" s="80">
        <f t="shared" si="4"/>
        <v>0</v>
      </c>
      <c r="AO1415" s="140">
        <v>0.0</v>
      </c>
      <c r="AP1415" s="109">
        <v>0.0</v>
      </c>
      <c r="AQ1415" s="109">
        <v>0.0</v>
      </c>
      <c r="AR1415" s="80">
        <f t="shared" si="5"/>
        <v>0</v>
      </c>
      <c r="AS1415" s="110">
        <v>0.0</v>
      </c>
      <c r="AT1415" s="110">
        <v>0.0</v>
      </c>
      <c r="AU1415" s="110">
        <v>0.0</v>
      </c>
      <c r="AV1415" s="142">
        <v>0.0</v>
      </c>
      <c r="AW1415" s="80">
        <f t="shared" si="6"/>
        <v>0</v>
      </c>
      <c r="AX1415" s="113">
        <f t="shared" si="7"/>
        <v>1052</v>
      </c>
      <c r="AY1415" s="117">
        <f t="shared" si="8"/>
        <v>1052</v>
      </c>
      <c r="AZ1415" s="120">
        <f t="shared" si="9"/>
        <v>0</v>
      </c>
      <c r="BA1415" s="115">
        <v>0.0</v>
      </c>
      <c r="BB1415" s="89">
        <f t="shared" si="10"/>
        <v>1052</v>
      </c>
      <c r="BC1415" s="143" t="s">
        <v>1014</v>
      </c>
      <c r="BD1415" s="132" t="s">
        <v>178</v>
      </c>
      <c r="BE1415" s="132" t="s">
        <v>178</v>
      </c>
      <c r="BF1415" s="156"/>
      <c r="BG1415" s="83">
        <v>1176410.0</v>
      </c>
      <c r="BH1415" s="112"/>
      <c r="BI1415" s="112">
        <v>12.0</v>
      </c>
      <c r="BJ1415" s="98" t="s">
        <v>162</v>
      </c>
      <c r="BK1415" s="99">
        <f t="shared" si="11"/>
        <v>319</v>
      </c>
      <c r="BL1415" s="99">
        <f t="shared" si="12"/>
        <v>733</v>
      </c>
      <c r="BM1415" s="99" t="str">
        <f>IFERROR(__xludf.DUMMYFUNCTION("IFERROR(VLOOKUP(BG1415,IMPORTRANGE(""https://docs.google.com/spreadsheets/d/1juPI-Fb8LD0YtltB2mlGEnp_R3UVu1t3wSFPzgCyHXE/edit?gid=0#gid=0"",""GERAL!A2:C""),3,0),""-"")"),"-")</f>
        <v>-</v>
      </c>
    </row>
    <row r="1416" ht="15.75" customHeight="1">
      <c r="A1416" s="111" t="s">
        <v>1785</v>
      </c>
      <c r="B1416" s="83" t="s">
        <v>6403</v>
      </c>
      <c r="C1416" s="83" t="s">
        <v>68</v>
      </c>
      <c r="D1416" s="112">
        <v>1104669.0</v>
      </c>
      <c r="E1416" s="83"/>
      <c r="F1416" s="83">
        <v>2.9176409E7</v>
      </c>
      <c r="G1416" s="119" t="s">
        <v>7975</v>
      </c>
      <c r="H1416" s="91" t="s">
        <v>7976</v>
      </c>
      <c r="I1416" s="83" t="s">
        <v>7977</v>
      </c>
      <c r="J1416" s="83" t="s">
        <v>150</v>
      </c>
      <c r="K1416" s="83" t="s">
        <v>151</v>
      </c>
      <c r="L1416" s="83" t="s">
        <v>152</v>
      </c>
      <c r="M1416" s="82" t="str">
        <f>IFERROR(__xludf.DUMMYFUNCTION("IFERROR(VLOOKUP(D1416,
IMPORTRANGE(""https://docs.google.com/spreadsheets/d/1MjHtlUikwobi2MaWJgy7tfLeBmhj1u-dRFRs_8GwSoA/edit#gid=0"",""Gestores Escolares!D7:J""),3,0),""VERIFICAR CÓD SEC"")"),"MANOEL GONCALVES DA SILVA FILHO")</f>
        <v>MANOEL GONCALVES DA SILVA FILHO</v>
      </c>
      <c r="N1416" s="82" t="str">
        <f>IFERROR(__xludf.DUMMYFUNCTION("IFERROR(VLOOKUP(D1416,
IMPORTRANGE(""https://docs.google.com/spreadsheets/d/1MjHtlUikwobi2MaWJgy7tfLeBmhj1u-dRFRs_8GwSoA/edit#gid=0"",""Gestores Escolares!D7:J""),4,0),""VERIFICAR CÓD SEC"")"),"(71) 9 8219-3004")</f>
        <v>(71) 9 8219-3004</v>
      </c>
      <c r="O1416" s="82" t="str">
        <f>IFERROR(__xludf.DUMMYFUNCTION("IFERROR(VLOOKUP(D1416,
IMPORTRANGE(""https://docs.google.com/spreadsheets/d/1MjHtlUikwobi2MaWJgy7tfLeBmhj1u-dRFRs_8GwSoA/edit#gid=0"",""Gestores Escolares!D7:J""),6,0),""VERIFICAR CÓD SEC"")"),"")</f>
        <v/>
      </c>
      <c r="P1416" s="82" t="str">
        <f>IFERROR(__xludf.DUMMYFUNCTION("IFERROR(VLOOKUP(D1416,
IMPORTRANGE(""https://docs.google.com/spreadsheets/d/1MjHtlUikwobi2MaWJgy7tfLeBmhj1u-dRFRs_8GwSoA/edit#gid=0"",""Gestores Escolares!D7:J""),7,0),""VERIFICAR CÓD SEC"")"),"")</f>
        <v/>
      </c>
      <c r="Q1416" s="82" t="str">
        <f>IFERROR(__xludf.DUMMYFUNCTION("IFERROR(VLOOKUP(D1416,
IMPORTRANGE(""https://docs.google.com/spreadsheets/d/1MjHtlUikwobi2MaWJgy7tfLeBmhj1u-dRFRs_8GwSoA/edit#gid=0"",""Gestores Escolares!D7:m""),9,0),""VERIFICAR CÓD SEC"")"),"")</f>
        <v/>
      </c>
      <c r="R1416" s="82" t="str">
        <f>IFERROR(__xludf.DUMMYFUNCTION("IFERROR(VLOOKUP(D1416,
IMPORTRANGE(""https://docs.google.com/spreadsheets/d/1MjHtlUikwobi2MaWJgy7tfLeBmhj1u-dRFRs_8GwSoA/edit#gid=0"",""Gestores Escolares!D7:m""),10,0),""VERIFICAR CÓD SEC"")"),"")</f>
        <v/>
      </c>
      <c r="S1416" s="82"/>
      <c r="T1416" s="138">
        <v>21.0</v>
      </c>
      <c r="U1416" s="388" t="s">
        <v>13909</v>
      </c>
      <c r="V1416" s="106">
        <v>0.0</v>
      </c>
      <c r="W1416" s="107">
        <v>0.0</v>
      </c>
      <c r="X1416" s="107">
        <v>0.0</v>
      </c>
      <c r="Y1416" s="107">
        <v>0.0</v>
      </c>
      <c r="Z1416" s="80">
        <f t="shared" si="1"/>
        <v>0</v>
      </c>
      <c r="AA1416" s="106">
        <v>0.0</v>
      </c>
      <c r="AB1416" s="107">
        <v>0.0</v>
      </c>
      <c r="AC1416" s="107">
        <v>0.0</v>
      </c>
      <c r="AD1416" s="107">
        <v>0.0</v>
      </c>
      <c r="AE1416" s="80">
        <f t="shared" si="2"/>
        <v>0</v>
      </c>
      <c r="AF1416" s="140">
        <v>0.0</v>
      </c>
      <c r="AG1416" s="109">
        <v>0.0</v>
      </c>
      <c r="AH1416" s="109">
        <v>0.0</v>
      </c>
      <c r="AI1416" s="141">
        <v>28.0</v>
      </c>
      <c r="AJ1416" s="80">
        <f t="shared" si="3"/>
        <v>28</v>
      </c>
      <c r="AK1416" s="140">
        <v>0.0</v>
      </c>
      <c r="AL1416" s="109">
        <v>0.0</v>
      </c>
      <c r="AM1416" s="141">
        <v>0.0</v>
      </c>
      <c r="AN1416" s="80">
        <f t="shared" si="4"/>
        <v>0</v>
      </c>
      <c r="AO1416" s="140">
        <v>0.0</v>
      </c>
      <c r="AP1416" s="109">
        <v>0.0</v>
      </c>
      <c r="AQ1416" s="109">
        <v>26.0</v>
      </c>
      <c r="AR1416" s="80">
        <f t="shared" si="5"/>
        <v>26</v>
      </c>
      <c r="AS1416" s="110">
        <v>116.0</v>
      </c>
      <c r="AT1416" s="110">
        <v>76.0</v>
      </c>
      <c r="AU1416" s="110">
        <v>172.0</v>
      </c>
      <c r="AV1416" s="142">
        <v>186.0</v>
      </c>
      <c r="AW1416" s="80">
        <f t="shared" si="6"/>
        <v>550</v>
      </c>
      <c r="AX1416" s="113">
        <f t="shared" si="7"/>
        <v>604</v>
      </c>
      <c r="AY1416" s="117">
        <f t="shared" si="8"/>
        <v>406</v>
      </c>
      <c r="AZ1416" s="120">
        <f t="shared" si="9"/>
        <v>198</v>
      </c>
      <c r="BA1416" s="115">
        <v>0.0</v>
      </c>
      <c r="BB1416" s="89">
        <f t="shared" si="10"/>
        <v>604</v>
      </c>
      <c r="BC1416" s="132" t="s">
        <v>178</v>
      </c>
      <c r="BD1416" s="132" t="s">
        <v>178</v>
      </c>
      <c r="BE1416" s="132" t="s">
        <v>178</v>
      </c>
      <c r="BF1416" s="123"/>
      <c r="BG1416" s="83">
        <v>1104669.0</v>
      </c>
      <c r="BH1416" s="112"/>
      <c r="BI1416" s="112">
        <v>15.0</v>
      </c>
      <c r="BJ1416" s="98" t="s">
        <v>155</v>
      </c>
      <c r="BK1416" s="99">
        <f t="shared" si="11"/>
        <v>214</v>
      </c>
      <c r="BL1416" s="99">
        <f t="shared" si="12"/>
        <v>192</v>
      </c>
      <c r="BM1416" s="99" t="str">
        <f>IFERROR(__xludf.DUMMYFUNCTION("IFERROR(VLOOKUP(BG1416,IMPORTRANGE(""https://docs.google.com/spreadsheets/d/1juPI-Fb8LD0YtltB2mlGEnp_R3UVu1t3wSFPzgCyHXE/edit?gid=0#gid=0"",""GERAL!A2:C""),3,0),""-"")"),"-")</f>
        <v>-</v>
      </c>
    </row>
    <row r="1417" ht="32.25" customHeight="1">
      <c r="A1417" s="111" t="s">
        <v>1785</v>
      </c>
      <c r="B1417" s="83" t="s">
        <v>6403</v>
      </c>
      <c r="C1417" s="83" t="s">
        <v>164</v>
      </c>
      <c r="D1417" s="112">
        <v>1104669.0</v>
      </c>
      <c r="E1417" s="83">
        <v>1176940.0</v>
      </c>
      <c r="F1417" s="98">
        <v>2.9492858E7</v>
      </c>
      <c r="G1417" s="119" t="s">
        <v>7980</v>
      </c>
      <c r="H1417" s="91" t="s">
        <v>7981</v>
      </c>
      <c r="I1417" s="136" t="s">
        <v>7983</v>
      </c>
      <c r="J1417" s="83" t="s">
        <v>694</v>
      </c>
      <c r="K1417" s="83" t="s">
        <v>168</v>
      </c>
      <c r="L1417" s="83" t="s">
        <v>169</v>
      </c>
      <c r="M1417" s="82" t="str">
        <f>IFERROR(__xludf.DUMMYFUNCTION("IFERROR(VLOOKUP(D1417,
IMPORTRANGE(""https://docs.google.com/spreadsheets/d/1MjHtlUikwobi2MaWJgy7tfLeBmhj1u-dRFRs_8GwSoA/edit#gid=0"",""Gestores Escolares!D7:J""),3,0),""VERIFICAR CÓD SEC"")"),"MANOEL GONCALVES DA SILVA FILHO")</f>
        <v>MANOEL GONCALVES DA SILVA FILHO</v>
      </c>
      <c r="N1417" s="82" t="str">
        <f>IFERROR(__xludf.DUMMYFUNCTION("IFERROR(VLOOKUP(D1417,
IMPORTRANGE(""https://docs.google.com/spreadsheets/d/1MjHtlUikwobi2MaWJgy7tfLeBmhj1u-dRFRs_8GwSoA/edit#gid=0"",""Gestores Escolares!D7:J""),4,0),""VERIFICAR CÓD SEC"")"),"(71) 9 8219-3004")</f>
        <v>(71) 9 8219-3004</v>
      </c>
      <c r="O1417" s="82" t="str">
        <f>IFERROR(__xludf.DUMMYFUNCTION("IFERROR(VLOOKUP(D1417,
IMPORTRANGE(""https://docs.google.com/spreadsheets/d/1MjHtlUikwobi2MaWJgy7tfLeBmhj1u-dRFRs_8GwSoA/edit#gid=0"",""Gestores Escolares!D7:J""),6,0),""VERIFICAR CÓD SEC"")"),"")</f>
        <v/>
      </c>
      <c r="P1417" s="82" t="str">
        <f>IFERROR(__xludf.DUMMYFUNCTION("IFERROR(VLOOKUP(D1417,
IMPORTRANGE(""https://docs.google.com/spreadsheets/d/1MjHtlUikwobi2MaWJgy7tfLeBmhj1u-dRFRs_8GwSoA/edit#gid=0"",""Gestores Escolares!D7:J""),7,0),""VERIFICAR CÓD SEC"")"),"")</f>
        <v/>
      </c>
      <c r="Q1417" s="82" t="str">
        <f>IFERROR(__xludf.DUMMYFUNCTION("IFERROR(VLOOKUP(D1417,
IMPORTRANGE(""https://docs.google.com/spreadsheets/d/1MjHtlUikwobi2MaWJgy7tfLeBmhj1u-dRFRs_8GwSoA/edit#gid=0"",""Gestores Escolares!D7:m""),9,0),""VERIFICAR CÓD SEC"")"),"")</f>
        <v/>
      </c>
      <c r="R1417" s="82" t="str">
        <f>IFERROR(__xludf.DUMMYFUNCTION("IFERROR(VLOOKUP(D1417,
IMPORTRANGE(""https://docs.google.com/spreadsheets/d/1MjHtlUikwobi2MaWJgy7tfLeBmhj1u-dRFRs_8GwSoA/edit#gid=0"",""Gestores Escolares!D7:m""),10,0),""VERIFICAR CÓD SEC"")"),"")</f>
        <v/>
      </c>
      <c r="S1417" s="82"/>
      <c r="T1417" s="138">
        <v>3.0</v>
      </c>
      <c r="U1417" s="388">
        <v>3.0</v>
      </c>
      <c r="V1417" s="106">
        <v>0.0</v>
      </c>
      <c r="W1417" s="107">
        <v>0.0</v>
      </c>
      <c r="X1417" s="107">
        <v>0.0</v>
      </c>
      <c r="Y1417" s="107">
        <v>0.0</v>
      </c>
      <c r="Z1417" s="80">
        <f t="shared" si="1"/>
        <v>0</v>
      </c>
      <c r="AA1417" s="106">
        <v>0.0</v>
      </c>
      <c r="AB1417" s="107">
        <v>0.0</v>
      </c>
      <c r="AC1417" s="107">
        <v>0.0</v>
      </c>
      <c r="AD1417" s="107">
        <v>0.0</v>
      </c>
      <c r="AE1417" s="80">
        <f t="shared" si="2"/>
        <v>0</v>
      </c>
      <c r="AF1417" s="140">
        <v>0.0</v>
      </c>
      <c r="AG1417" s="109">
        <v>0.0</v>
      </c>
      <c r="AH1417" s="109">
        <v>54.0</v>
      </c>
      <c r="AI1417" s="141">
        <v>0.0</v>
      </c>
      <c r="AJ1417" s="80">
        <f t="shared" si="3"/>
        <v>54</v>
      </c>
      <c r="AK1417" s="140">
        <v>0.0</v>
      </c>
      <c r="AL1417" s="109">
        <v>0.0</v>
      </c>
      <c r="AM1417" s="141">
        <v>0.0</v>
      </c>
      <c r="AN1417" s="80">
        <f t="shared" si="4"/>
        <v>0</v>
      </c>
      <c r="AO1417" s="140">
        <v>0.0</v>
      </c>
      <c r="AP1417" s="109">
        <v>0.0</v>
      </c>
      <c r="AQ1417" s="109">
        <v>0.0</v>
      </c>
      <c r="AR1417" s="80">
        <f t="shared" si="5"/>
        <v>0</v>
      </c>
      <c r="AS1417" s="110">
        <v>0.0</v>
      </c>
      <c r="AT1417" s="110">
        <v>0.0</v>
      </c>
      <c r="AU1417" s="110">
        <v>0.0</v>
      </c>
      <c r="AV1417" s="142">
        <v>0.0</v>
      </c>
      <c r="AW1417" s="80">
        <f t="shared" si="6"/>
        <v>0</v>
      </c>
      <c r="AX1417" s="113">
        <f t="shared" si="7"/>
        <v>54</v>
      </c>
      <c r="AY1417" s="117">
        <f t="shared" si="8"/>
        <v>0</v>
      </c>
      <c r="AZ1417" s="120">
        <f t="shared" si="9"/>
        <v>54</v>
      </c>
      <c r="BA1417" s="115">
        <v>0.0</v>
      </c>
      <c r="BB1417" s="89">
        <f t="shared" si="10"/>
        <v>54</v>
      </c>
      <c r="BC1417" s="132" t="s">
        <v>373</v>
      </c>
      <c r="BD1417" s="132" t="s">
        <v>178</v>
      </c>
      <c r="BE1417" s="132" t="s">
        <v>178</v>
      </c>
      <c r="BF1417" s="156"/>
      <c r="BG1417" s="83">
        <v>1176940.0</v>
      </c>
      <c r="BH1417" s="112"/>
      <c r="BI1417" s="112">
        <v>3.0</v>
      </c>
      <c r="BJ1417" s="98" t="s">
        <v>155</v>
      </c>
      <c r="BK1417" s="99">
        <f t="shared" si="11"/>
        <v>0</v>
      </c>
      <c r="BL1417" s="99">
        <f t="shared" si="12"/>
        <v>0</v>
      </c>
      <c r="BM1417" s="99" t="str">
        <f>IFERROR(__xludf.DUMMYFUNCTION("IFERROR(VLOOKUP(BG1417,IMPORTRANGE(""https://docs.google.com/spreadsheets/d/1juPI-Fb8LD0YtltB2mlGEnp_R3UVu1t3wSFPzgCyHXE/edit?gid=0#gid=0"",""GERAL!A2:C""),3,0),""-"")"),"CAMPO")</f>
        <v>CAMPO</v>
      </c>
    </row>
    <row r="1418" ht="15.75" customHeight="1">
      <c r="A1418" s="111" t="s">
        <v>1785</v>
      </c>
      <c r="B1418" s="83" t="s">
        <v>6403</v>
      </c>
      <c r="C1418" s="83" t="s">
        <v>164</v>
      </c>
      <c r="D1418" s="112">
        <v>1104863.0</v>
      </c>
      <c r="E1418" s="83">
        <v>1179293.0</v>
      </c>
      <c r="F1418" s="98">
        <v>2.9492718E7</v>
      </c>
      <c r="G1418" s="119" t="s">
        <v>7986</v>
      </c>
      <c r="H1418" s="91" t="s">
        <v>7987</v>
      </c>
      <c r="I1418" s="83" t="s">
        <v>7988</v>
      </c>
      <c r="J1418" s="83" t="s">
        <v>1012</v>
      </c>
      <c r="K1418" s="83" t="s">
        <v>151</v>
      </c>
      <c r="L1418" s="83" t="s">
        <v>169</v>
      </c>
      <c r="M1418" s="82" t="str">
        <f>IFERROR(__xludf.DUMMYFUNCTION("IFERROR(VLOOKUP(D1418,
IMPORTRANGE(""https://docs.google.com/spreadsheets/d/1MjHtlUikwobi2MaWJgy7tfLeBmhj1u-dRFRs_8GwSoA/edit#gid=0"",""Gestores Escolares!D7:J""),3,0),""VERIFICAR CÓD SEC"")"),"MARILENE SACRAMENTO MIRANDA")</f>
        <v>MARILENE SACRAMENTO MIRANDA</v>
      </c>
      <c r="N1418" s="82" t="str">
        <f>IFERROR(__xludf.DUMMYFUNCTION("IFERROR(VLOOKUP(D1418,
IMPORTRANGE(""https://docs.google.com/spreadsheets/d/1MjHtlUikwobi2MaWJgy7tfLeBmhj1u-dRFRs_8GwSoA/edit#gid=0"",""Gestores Escolares!D7:J""),4,0),""VERIFICAR CÓD SEC"")"),"(71) 9 8663-0306")</f>
        <v>(71) 9 8663-0306</v>
      </c>
      <c r="O1418" s="82" t="str">
        <f>IFERROR(__xludf.DUMMYFUNCTION("IFERROR(VLOOKUP(D1418,
IMPORTRANGE(""https://docs.google.com/spreadsheets/d/1MjHtlUikwobi2MaWJgy7tfLeBmhj1u-dRFRs_8GwSoA/edit#gid=0"",""Gestores Escolares!D7:J""),6,0),""VERIFICAR CÓD SEC"")"),"DIEGO CRUZ ARGOLO")</f>
        <v>DIEGO CRUZ ARGOLO</v>
      </c>
      <c r="P1418" s="82" t="str">
        <f>IFERROR(__xludf.DUMMYFUNCTION("IFERROR(VLOOKUP(D1418,
IMPORTRANGE(""https://docs.google.com/spreadsheets/d/1MjHtlUikwobi2MaWJgy7tfLeBmhj1u-dRFRs_8GwSoA/edit#gid=0"",""Gestores Escolares!D7:J""),7,0),""VERIFICAR CÓD SEC"")"),"(71) 9 9251-9241")</f>
        <v>(71) 9 9251-9241</v>
      </c>
      <c r="Q1418" s="82" t="str">
        <f>IFERROR(__xludf.DUMMYFUNCTION("IFERROR(VLOOKUP(D1418,
IMPORTRANGE(""https://docs.google.com/spreadsheets/d/1MjHtlUikwobi2MaWJgy7tfLeBmhj1u-dRFRs_8GwSoA/edit#gid=0"",""Gestores Escolares!D7:m""),9,0),""VERIFICAR CÓD SEC"")"),"RAILDA MARIA DA CRUZ DOS SANTOS")</f>
        <v>RAILDA MARIA DA CRUZ DOS SANTOS</v>
      </c>
      <c r="R1418" s="82" t="str">
        <f>IFERROR(__xludf.DUMMYFUNCTION("IFERROR(VLOOKUP(D1418,
IMPORTRANGE(""https://docs.google.com/spreadsheets/d/1MjHtlUikwobi2MaWJgy7tfLeBmhj1u-dRFRs_8GwSoA/edit#gid=0"",""Gestores Escolares!D7:m""),10,0),""VERIFICAR CÓD SEC"")"),"(71) 9 9722-7498")</f>
        <v>(71) 9 9722-7498</v>
      </c>
      <c r="S1418" s="82"/>
      <c r="T1418" s="138">
        <v>6.0</v>
      </c>
      <c r="U1418" s="145">
        <v>4.0</v>
      </c>
      <c r="V1418" s="106">
        <v>0.0</v>
      </c>
      <c r="W1418" s="107">
        <v>0.0</v>
      </c>
      <c r="X1418" s="107">
        <v>0.0</v>
      </c>
      <c r="Y1418" s="107">
        <v>0.0</v>
      </c>
      <c r="Z1418" s="80">
        <f t="shared" si="1"/>
        <v>0</v>
      </c>
      <c r="AA1418" s="106">
        <v>0.0</v>
      </c>
      <c r="AB1418" s="107">
        <v>0.0</v>
      </c>
      <c r="AC1418" s="107">
        <v>0.0</v>
      </c>
      <c r="AD1418" s="107">
        <v>0.0</v>
      </c>
      <c r="AE1418" s="80">
        <f t="shared" si="2"/>
        <v>0</v>
      </c>
      <c r="AF1418" s="140">
        <v>0.0</v>
      </c>
      <c r="AG1418" s="109">
        <v>0.0</v>
      </c>
      <c r="AH1418" s="109">
        <v>0.0</v>
      </c>
      <c r="AI1418" s="141">
        <v>0.0</v>
      </c>
      <c r="AJ1418" s="80">
        <f t="shared" si="3"/>
        <v>0</v>
      </c>
      <c r="AK1418" s="140">
        <v>0.0</v>
      </c>
      <c r="AL1418" s="109">
        <v>0.0</v>
      </c>
      <c r="AM1418" s="141">
        <v>0.0</v>
      </c>
      <c r="AN1418" s="80">
        <f t="shared" si="4"/>
        <v>0</v>
      </c>
      <c r="AO1418" s="140">
        <v>0.0</v>
      </c>
      <c r="AP1418" s="109">
        <v>0.0</v>
      </c>
      <c r="AQ1418" s="109">
        <v>0.0</v>
      </c>
      <c r="AR1418" s="80">
        <f t="shared" si="5"/>
        <v>0</v>
      </c>
      <c r="AS1418" s="110">
        <v>114.0</v>
      </c>
      <c r="AT1418" s="110">
        <v>56.0</v>
      </c>
      <c r="AU1418" s="110">
        <v>0.0</v>
      </c>
      <c r="AV1418" s="142">
        <v>0.0</v>
      </c>
      <c r="AW1418" s="80">
        <f t="shared" si="6"/>
        <v>170</v>
      </c>
      <c r="AX1418" s="113">
        <f t="shared" si="7"/>
        <v>170</v>
      </c>
      <c r="AY1418" s="117">
        <f t="shared" si="8"/>
        <v>170</v>
      </c>
      <c r="AZ1418" s="120">
        <f t="shared" si="9"/>
        <v>0</v>
      </c>
      <c r="BA1418" s="115">
        <v>0.0</v>
      </c>
      <c r="BB1418" s="89">
        <f t="shared" si="10"/>
        <v>170</v>
      </c>
      <c r="BC1418" s="132" t="s">
        <v>373</v>
      </c>
      <c r="BD1418" s="132" t="s">
        <v>178</v>
      </c>
      <c r="BE1418" s="132" t="s">
        <v>178</v>
      </c>
      <c r="BF1418" s="83"/>
      <c r="BG1418" s="83">
        <v>1179293.0</v>
      </c>
      <c r="BH1418" s="112"/>
      <c r="BI1418" s="112">
        <v>4.0</v>
      </c>
      <c r="BJ1418" s="98" t="s">
        <v>155</v>
      </c>
      <c r="BK1418" s="99">
        <f t="shared" si="11"/>
        <v>0</v>
      </c>
      <c r="BL1418" s="99">
        <f t="shared" si="12"/>
        <v>170</v>
      </c>
      <c r="BM1418" s="99" t="str">
        <f>IFERROR(__xludf.DUMMYFUNCTION("IFERROR(VLOOKUP(BG1418,IMPORTRANGE(""https://docs.google.com/spreadsheets/d/1juPI-Fb8LD0YtltB2mlGEnp_R3UVu1t3wSFPzgCyHXE/edit?gid=0#gid=0"",""GERAL!A2:C""),3,0),""-"")"),"CAMPO")</f>
        <v>CAMPO</v>
      </c>
    </row>
    <row r="1419" ht="15.75" customHeight="1">
      <c r="A1419" s="111" t="s">
        <v>1785</v>
      </c>
      <c r="B1419" s="83" t="s">
        <v>7989</v>
      </c>
      <c r="C1419" s="83" t="s">
        <v>68</v>
      </c>
      <c r="D1419" s="112">
        <v>1178035.0</v>
      </c>
      <c r="E1419" s="83"/>
      <c r="F1419" s="83">
        <v>2.9427959E7</v>
      </c>
      <c r="G1419" s="119" t="s">
        <v>7990</v>
      </c>
      <c r="H1419" s="91" t="s">
        <v>7991</v>
      </c>
      <c r="I1419" s="83" t="s">
        <v>149</v>
      </c>
      <c r="J1419" s="83" t="s">
        <v>150</v>
      </c>
      <c r="K1419" s="83" t="s">
        <v>151</v>
      </c>
      <c r="L1419" s="83" t="s">
        <v>230</v>
      </c>
      <c r="M1419" s="82" t="str">
        <f>IFERROR(__xludf.DUMMYFUNCTION("IFERROR(VLOOKUP(D1419,
IMPORTRANGE(""https://docs.google.com/spreadsheets/d/1MjHtlUikwobi2MaWJgy7tfLeBmhj1u-dRFRs_8GwSoA/edit#gid=0"",""Gestores Escolares!D7:J""),3,0),""VERIFICAR CÓD SEC"")"),"NANCY ARAÚJO DE JESUS")</f>
        <v>NANCY ARAÚJO DE JESUS</v>
      </c>
      <c r="N1419" s="82" t="str">
        <f>IFERROR(__xludf.DUMMYFUNCTION("IFERROR(VLOOKUP(D1419,
IMPORTRANGE(""https://docs.google.com/spreadsheets/d/1MjHtlUikwobi2MaWJgy7tfLeBmhj1u-dRFRs_8GwSoA/edit#gid=0"",""Gestores Escolares!D7:J""),4,0),""VERIFICAR CÓD SEC"")"),"(71) 9 9987-1102")</f>
        <v>(71) 9 9987-1102</v>
      </c>
      <c r="O1419" s="82" t="str">
        <f>IFERROR(__xludf.DUMMYFUNCTION("IFERROR(VLOOKUP(D1419,
IMPORTRANGE(""https://docs.google.com/spreadsheets/d/1MjHtlUikwobi2MaWJgy7tfLeBmhj1u-dRFRs_8GwSoA/edit#gid=0"",""Gestores Escolares!D7:J""),6,0),""VERIFICAR CÓD SEC"")"),"CATARINA CANDIDO DE OLIVEIRA")</f>
        <v>CATARINA CANDIDO DE OLIVEIRA</v>
      </c>
      <c r="P1419" s="82" t="str">
        <f>IFERROR(__xludf.DUMMYFUNCTION("IFERROR(VLOOKUP(D1419,
IMPORTRANGE(""https://docs.google.com/spreadsheets/d/1MjHtlUikwobi2MaWJgy7tfLeBmhj1u-dRFRs_8GwSoA/edit#gid=0"",""Gestores Escolares!D7:J""),7,0),""VERIFICAR CÓD SEC"")"),"(71) 9 8639-1074")</f>
        <v>(71) 9 8639-1074</v>
      </c>
      <c r="Q1419" s="82" t="str">
        <f>IFERROR(__xludf.DUMMYFUNCTION("IFERROR(VLOOKUP(D1419,
IMPORTRANGE(""https://docs.google.com/spreadsheets/d/1MjHtlUikwobi2MaWJgy7tfLeBmhj1u-dRFRs_8GwSoA/edit#gid=0"",""Gestores Escolares!D7:m""),9,0),""VERIFICAR CÓD SEC"")"),"JOSE MARCELO LIMA COSTA")</f>
        <v>JOSE MARCELO LIMA COSTA</v>
      </c>
      <c r="R1419" s="82" t="str">
        <f>IFERROR(__xludf.DUMMYFUNCTION("IFERROR(VLOOKUP(D1419,
IMPORTRANGE(""https://docs.google.com/spreadsheets/d/1MjHtlUikwobi2MaWJgy7tfLeBmhj1u-dRFRs_8GwSoA/edit#gid=0"",""Gestores Escolares!D7:m""),10,0),""VERIFICAR CÓD SEC"")"),"(71) 9 8617-4794")</f>
        <v>(71) 9 8617-4794</v>
      </c>
      <c r="S1419" s="82"/>
      <c r="T1419" s="138">
        <v>16.0</v>
      </c>
      <c r="U1419" s="217" t="s">
        <v>13910</v>
      </c>
      <c r="V1419" s="106">
        <v>0.0</v>
      </c>
      <c r="W1419" s="107">
        <v>0.0</v>
      </c>
      <c r="X1419" s="107">
        <v>0.0</v>
      </c>
      <c r="Y1419" s="107">
        <v>0.0</v>
      </c>
      <c r="Z1419" s="80">
        <f t="shared" si="1"/>
        <v>0</v>
      </c>
      <c r="AA1419" s="106">
        <v>0.0</v>
      </c>
      <c r="AB1419" s="107">
        <v>0.0</v>
      </c>
      <c r="AC1419" s="107">
        <v>0.0</v>
      </c>
      <c r="AD1419" s="107">
        <v>0.0</v>
      </c>
      <c r="AE1419" s="80">
        <f t="shared" si="2"/>
        <v>0</v>
      </c>
      <c r="AF1419" s="140">
        <v>499.0</v>
      </c>
      <c r="AG1419" s="109">
        <v>456.0</v>
      </c>
      <c r="AH1419" s="109">
        <v>0.0</v>
      </c>
      <c r="AI1419" s="141">
        <v>53.0</v>
      </c>
      <c r="AJ1419" s="80">
        <f t="shared" si="3"/>
        <v>1008</v>
      </c>
      <c r="AK1419" s="140">
        <v>0.0</v>
      </c>
      <c r="AL1419" s="109">
        <v>0.0</v>
      </c>
      <c r="AM1419" s="141">
        <v>0.0</v>
      </c>
      <c r="AN1419" s="80">
        <f t="shared" si="4"/>
        <v>0</v>
      </c>
      <c r="AO1419" s="140">
        <v>0.0</v>
      </c>
      <c r="AP1419" s="109">
        <v>0.0</v>
      </c>
      <c r="AQ1419" s="109">
        <v>241.0</v>
      </c>
      <c r="AR1419" s="80">
        <f t="shared" si="5"/>
        <v>241</v>
      </c>
      <c r="AS1419" s="110">
        <v>0.0</v>
      </c>
      <c r="AT1419" s="110">
        <v>0.0</v>
      </c>
      <c r="AU1419" s="110">
        <v>0.0</v>
      </c>
      <c r="AV1419" s="142">
        <v>0.0</v>
      </c>
      <c r="AW1419" s="80">
        <f t="shared" si="6"/>
        <v>0</v>
      </c>
      <c r="AX1419" s="113">
        <f t="shared" si="7"/>
        <v>1249</v>
      </c>
      <c r="AY1419" s="117">
        <f t="shared" si="8"/>
        <v>1008</v>
      </c>
      <c r="AZ1419" s="120">
        <f t="shared" si="9"/>
        <v>241</v>
      </c>
      <c r="BA1419" s="115">
        <v>0.0</v>
      </c>
      <c r="BB1419" s="89">
        <f t="shared" si="10"/>
        <v>1249</v>
      </c>
      <c r="BC1419" s="132" t="s">
        <v>178</v>
      </c>
      <c r="BD1419" s="132" t="s">
        <v>178</v>
      </c>
      <c r="BE1419" s="132" t="s">
        <v>178</v>
      </c>
      <c r="BF1419" s="123"/>
      <c r="BG1419" s="83">
        <v>1178035.0</v>
      </c>
      <c r="BH1419" s="112"/>
      <c r="BI1419" s="112">
        <v>14.0</v>
      </c>
      <c r="BJ1419" s="98" t="s">
        <v>155</v>
      </c>
      <c r="BK1419" s="99">
        <f t="shared" si="11"/>
        <v>53</v>
      </c>
      <c r="BL1419" s="99">
        <f t="shared" si="12"/>
        <v>955</v>
      </c>
      <c r="BM1419" s="99" t="str">
        <f>IFERROR(__xludf.DUMMYFUNCTION("IFERROR(VLOOKUP(BG1419,IMPORTRANGE(""https://docs.google.com/spreadsheets/d/1juPI-Fb8LD0YtltB2mlGEnp_R3UVu1t3wSFPzgCyHXE/edit?gid=0#gid=0"",""GERAL!A2:C""),3,0),""-"")"),"-")</f>
        <v>-</v>
      </c>
    </row>
    <row r="1420" ht="15.75" customHeight="1">
      <c r="A1420" s="111" t="s">
        <v>1785</v>
      </c>
      <c r="B1420" s="83" t="s">
        <v>7989</v>
      </c>
      <c r="C1420" s="83" t="s">
        <v>68</v>
      </c>
      <c r="D1420" s="112">
        <v>1179670.0</v>
      </c>
      <c r="E1420" s="491"/>
      <c r="F1420" s="83">
        <v>2.9475082E7</v>
      </c>
      <c r="G1420" s="153" t="s">
        <v>8001</v>
      </c>
      <c r="H1420" s="108" t="s">
        <v>8002</v>
      </c>
      <c r="I1420" s="83" t="s">
        <v>149</v>
      </c>
      <c r="J1420" s="83" t="s">
        <v>150</v>
      </c>
      <c r="K1420" s="98" t="s">
        <v>151</v>
      </c>
      <c r="L1420" s="83" t="s">
        <v>230</v>
      </c>
      <c r="M1420" s="82" t="str">
        <f>IFERROR(__xludf.DUMMYFUNCTION("IFERROR(VLOOKUP(D1420,
IMPORTRANGE(""https://docs.google.com/spreadsheets/d/1MjHtlUikwobi2MaWJgy7tfLeBmhj1u-dRFRs_8GwSoA/edit#gid=0"",""Gestores Escolares!D7:J""),3,0),""VERIFICAR CÓD SEC"")"),"ALICE QUEIROZ OLIVEIRA")</f>
        <v>ALICE QUEIROZ OLIVEIRA</v>
      </c>
      <c r="N1420" s="82" t="str">
        <f>IFERROR(__xludf.DUMMYFUNCTION("IFERROR(VLOOKUP(D1420,
IMPORTRANGE(""https://docs.google.com/spreadsheets/d/1MjHtlUikwobi2MaWJgy7tfLeBmhj1u-dRFRs_8GwSoA/edit#gid=0"",""Gestores Escolares!D7:J""),4,0),""VERIFICAR CÓD SEC"")"),"(71) 9 8556-7930")</f>
        <v>(71) 9 8556-7930</v>
      </c>
      <c r="O1420" s="82" t="str">
        <f>IFERROR(__xludf.DUMMYFUNCTION("IFERROR(VLOOKUP(D1420,
IMPORTRANGE(""https://docs.google.com/spreadsheets/d/1MjHtlUikwobi2MaWJgy7tfLeBmhj1u-dRFRs_8GwSoA/edit#gid=0"",""Gestores Escolares!D7:J""),6,0),""VERIFICAR CÓD SEC"")"),"TAIS ALMEIDA SILVA")</f>
        <v>TAIS ALMEIDA SILVA</v>
      </c>
      <c r="P1420" s="82" t="str">
        <f>IFERROR(__xludf.DUMMYFUNCTION("IFERROR(VLOOKUP(D1420,
IMPORTRANGE(""https://docs.google.com/spreadsheets/d/1MjHtlUikwobi2MaWJgy7tfLeBmhj1u-dRFRs_8GwSoA/edit#gid=0"",""Gestores Escolares!D7:J""),7,0),""VERIFICAR CÓD SEC"")"),"(71) 9 9708-5082")</f>
        <v>(71) 9 9708-5082</v>
      </c>
      <c r="Q1420" s="82" t="str">
        <f>IFERROR(__xludf.DUMMYFUNCTION("IFERROR(VLOOKUP(D1420,
IMPORTRANGE(""https://docs.google.com/spreadsheets/d/1MjHtlUikwobi2MaWJgy7tfLeBmhj1u-dRFRs_8GwSoA/edit#gid=0"",""Gestores Escolares!D7:m""),9,0),""VERIFICAR CÓD SEC"")"),"DILSON DE ALMEIDA LIMA SANTANA")</f>
        <v>DILSON DE ALMEIDA LIMA SANTANA</v>
      </c>
      <c r="R1420" s="82" t="str">
        <f>IFERROR(__xludf.DUMMYFUNCTION("IFERROR(VLOOKUP(D1420,
IMPORTRANGE(""https://docs.google.com/spreadsheets/d/1MjHtlUikwobi2MaWJgy7tfLeBmhj1u-dRFRs_8GwSoA/edit#gid=0"",""Gestores Escolares!D7:m""),10,0),""VERIFICAR CÓD SEC"")"),"(71) 9 9195-3187")</f>
        <v>(71) 9 9195-3187</v>
      </c>
      <c r="S1420" s="82"/>
      <c r="T1420" s="138">
        <v>13.0</v>
      </c>
      <c r="U1420" s="145" t="s">
        <v>13911</v>
      </c>
      <c r="V1420" s="106">
        <v>0.0</v>
      </c>
      <c r="W1420" s="107">
        <v>0.0</v>
      </c>
      <c r="X1420" s="107">
        <v>0.0</v>
      </c>
      <c r="Y1420" s="107">
        <v>0.0</v>
      </c>
      <c r="Z1420" s="80">
        <f t="shared" si="1"/>
        <v>0</v>
      </c>
      <c r="AA1420" s="106">
        <v>0.0</v>
      </c>
      <c r="AB1420" s="107">
        <v>0.0</v>
      </c>
      <c r="AC1420" s="107">
        <v>0.0</v>
      </c>
      <c r="AD1420" s="107">
        <v>0.0</v>
      </c>
      <c r="AE1420" s="80">
        <f t="shared" si="2"/>
        <v>0</v>
      </c>
      <c r="AF1420" s="140">
        <v>0.0</v>
      </c>
      <c r="AG1420" s="109">
        <v>0.0</v>
      </c>
      <c r="AH1420" s="109">
        <v>0.0</v>
      </c>
      <c r="AI1420" s="141">
        <v>0.0</v>
      </c>
      <c r="AJ1420" s="80">
        <f t="shared" si="3"/>
        <v>0</v>
      </c>
      <c r="AK1420" s="140">
        <v>0.0</v>
      </c>
      <c r="AL1420" s="109">
        <v>0.0</v>
      </c>
      <c r="AM1420" s="141">
        <v>0.0</v>
      </c>
      <c r="AN1420" s="80">
        <f t="shared" si="4"/>
        <v>0</v>
      </c>
      <c r="AO1420" s="140">
        <v>0.0</v>
      </c>
      <c r="AP1420" s="109">
        <v>0.0</v>
      </c>
      <c r="AQ1420" s="109">
        <v>51.0</v>
      </c>
      <c r="AR1420" s="80">
        <f t="shared" si="5"/>
        <v>51</v>
      </c>
      <c r="AS1420" s="110">
        <v>384.0</v>
      </c>
      <c r="AT1420" s="110">
        <v>266.0</v>
      </c>
      <c r="AU1420" s="110">
        <v>376.0</v>
      </c>
      <c r="AV1420" s="142">
        <v>627.0</v>
      </c>
      <c r="AW1420" s="80">
        <f t="shared" si="6"/>
        <v>1653</v>
      </c>
      <c r="AX1420" s="113">
        <f t="shared" si="7"/>
        <v>1704</v>
      </c>
      <c r="AY1420" s="117">
        <f t="shared" si="8"/>
        <v>1277</v>
      </c>
      <c r="AZ1420" s="120">
        <f t="shared" si="9"/>
        <v>427</v>
      </c>
      <c r="BA1420" s="115">
        <v>0.0</v>
      </c>
      <c r="BB1420" s="89">
        <f t="shared" si="10"/>
        <v>1704</v>
      </c>
      <c r="BC1420" s="132" t="s">
        <v>178</v>
      </c>
      <c r="BD1420" s="132" t="s">
        <v>522</v>
      </c>
      <c r="BE1420" s="132" t="s">
        <v>178</v>
      </c>
      <c r="BF1420" s="156"/>
      <c r="BG1420" s="83">
        <v>1179670.0</v>
      </c>
      <c r="BH1420" s="112"/>
      <c r="BI1420" s="112">
        <v>9.0</v>
      </c>
      <c r="BJ1420" s="98" t="s">
        <v>162</v>
      </c>
      <c r="BK1420" s="99">
        <f t="shared" si="11"/>
        <v>627</v>
      </c>
      <c r="BL1420" s="99">
        <f t="shared" si="12"/>
        <v>650</v>
      </c>
      <c r="BM1420" s="99" t="str">
        <f>IFERROR(__xludf.DUMMYFUNCTION("IFERROR(VLOOKUP(BG1420,IMPORTRANGE(""https://docs.google.com/spreadsheets/d/1juPI-Fb8LD0YtltB2mlGEnp_R3UVu1t3wSFPzgCyHXE/edit?gid=0#gid=0"",""GERAL!A2:C""),3,0),""-"")"),"-")</f>
        <v>-</v>
      </c>
    </row>
    <row r="1421" ht="15.75" customHeight="1">
      <c r="A1421" s="111" t="s">
        <v>1785</v>
      </c>
      <c r="B1421" s="136" t="s">
        <v>7989</v>
      </c>
      <c r="C1421" s="115" t="s">
        <v>164</v>
      </c>
      <c r="D1421" s="112">
        <v>1179670.0</v>
      </c>
      <c r="E1421" s="136">
        <v>1178204.0</v>
      </c>
      <c r="F1421" s="115">
        <v>2.9489938E7</v>
      </c>
      <c r="G1421" s="147" t="s">
        <v>8017</v>
      </c>
      <c r="H1421" s="91"/>
      <c r="I1421" s="83"/>
      <c r="J1421" s="83"/>
      <c r="K1421" s="98" t="s">
        <v>168</v>
      </c>
      <c r="L1421" s="83"/>
      <c r="M1421" s="82" t="str">
        <f>IFERROR(__xludf.DUMMYFUNCTION("IFERROR(VLOOKUP(D1421,
IMPORTRANGE(""https://docs.google.com/spreadsheets/d/1MjHtlUikwobi2MaWJgy7tfLeBmhj1u-dRFRs_8GwSoA/edit#gid=0"",""Gestores Escolares!D7:J""),3,0),""VERIFICAR CÓD SEC"")"),"ALICE QUEIROZ OLIVEIRA")</f>
        <v>ALICE QUEIROZ OLIVEIRA</v>
      </c>
      <c r="N1421" s="82" t="str">
        <f>IFERROR(__xludf.DUMMYFUNCTION("IFERROR(VLOOKUP(D1421,
IMPORTRANGE(""https://docs.google.com/spreadsheets/d/1MjHtlUikwobi2MaWJgy7tfLeBmhj1u-dRFRs_8GwSoA/edit#gid=0"",""Gestores Escolares!D7:J""),4,0),""VERIFICAR CÓD SEC"")"),"(71) 9 8556-7930")</f>
        <v>(71) 9 8556-7930</v>
      </c>
      <c r="O1421" s="82" t="str">
        <f>IFERROR(__xludf.DUMMYFUNCTION("IFERROR(VLOOKUP(D1421,
IMPORTRANGE(""https://docs.google.com/spreadsheets/d/1MjHtlUikwobi2MaWJgy7tfLeBmhj1u-dRFRs_8GwSoA/edit#gid=0"",""Gestores Escolares!D7:J""),6,0),""VERIFICAR CÓD SEC"")"),"TAIS ALMEIDA SILVA")</f>
        <v>TAIS ALMEIDA SILVA</v>
      </c>
      <c r="P1421" s="82" t="str">
        <f>IFERROR(__xludf.DUMMYFUNCTION("IFERROR(VLOOKUP(D1421,
IMPORTRANGE(""https://docs.google.com/spreadsheets/d/1MjHtlUikwobi2MaWJgy7tfLeBmhj1u-dRFRs_8GwSoA/edit#gid=0"",""Gestores Escolares!D7:J""),7,0),""VERIFICAR CÓD SEC"")"),"(71) 9 9708-5082")</f>
        <v>(71) 9 9708-5082</v>
      </c>
      <c r="Q1421" s="82" t="str">
        <f>IFERROR(__xludf.DUMMYFUNCTION("IFERROR(VLOOKUP(D1421,
IMPORTRANGE(""https://docs.google.com/spreadsheets/d/1MjHtlUikwobi2MaWJgy7tfLeBmhj1u-dRFRs_8GwSoA/edit#gid=0"",""Gestores Escolares!D7:m""),9,0),""VERIFICAR CÓD SEC"")"),"DILSON DE ALMEIDA LIMA SANTANA")</f>
        <v>DILSON DE ALMEIDA LIMA SANTANA</v>
      </c>
      <c r="R1421" s="82" t="str">
        <f>IFERROR(__xludf.DUMMYFUNCTION("IFERROR(VLOOKUP(D1421,
IMPORTRANGE(""https://docs.google.com/spreadsheets/d/1MjHtlUikwobi2MaWJgy7tfLeBmhj1u-dRFRs_8GwSoA/edit#gid=0"",""Gestores Escolares!D7:m""),10,0),""VERIFICAR CÓD SEC"")"),"(71) 9 9195-3187")</f>
        <v>(71) 9 9195-3187</v>
      </c>
      <c r="S1421" s="82"/>
      <c r="T1421" s="138"/>
      <c r="U1421" s="217"/>
      <c r="V1421" s="106">
        <v>0.0</v>
      </c>
      <c r="W1421" s="107">
        <v>0.0</v>
      </c>
      <c r="X1421" s="107">
        <v>0.0</v>
      </c>
      <c r="Y1421" s="107">
        <v>0.0</v>
      </c>
      <c r="Z1421" s="80">
        <f t="shared" si="1"/>
        <v>0</v>
      </c>
      <c r="AA1421" s="106">
        <v>0.0</v>
      </c>
      <c r="AB1421" s="107">
        <v>0.0</v>
      </c>
      <c r="AC1421" s="107">
        <v>0.0</v>
      </c>
      <c r="AD1421" s="107">
        <v>0.0</v>
      </c>
      <c r="AE1421" s="80">
        <f t="shared" si="2"/>
        <v>0</v>
      </c>
      <c r="AF1421" s="140">
        <v>0.0</v>
      </c>
      <c r="AG1421" s="109">
        <v>0.0</v>
      </c>
      <c r="AH1421" s="109">
        <v>0.0</v>
      </c>
      <c r="AI1421" s="141">
        <v>0.0</v>
      </c>
      <c r="AJ1421" s="80">
        <f t="shared" si="3"/>
        <v>0</v>
      </c>
      <c r="AK1421" s="140">
        <v>0.0</v>
      </c>
      <c r="AL1421" s="109">
        <v>0.0</v>
      </c>
      <c r="AM1421" s="141">
        <v>0.0</v>
      </c>
      <c r="AN1421" s="80">
        <f t="shared" si="4"/>
        <v>0</v>
      </c>
      <c r="AO1421" s="140">
        <v>0.0</v>
      </c>
      <c r="AP1421" s="109">
        <v>0.0</v>
      </c>
      <c r="AQ1421" s="109">
        <v>83.0</v>
      </c>
      <c r="AR1421" s="80">
        <f t="shared" si="5"/>
        <v>83</v>
      </c>
      <c r="AS1421" s="110">
        <v>0.0</v>
      </c>
      <c r="AT1421" s="110">
        <v>0.0</v>
      </c>
      <c r="AU1421" s="110">
        <v>0.0</v>
      </c>
      <c r="AV1421" s="142">
        <v>0.0</v>
      </c>
      <c r="AW1421" s="80">
        <f t="shared" si="6"/>
        <v>0</v>
      </c>
      <c r="AX1421" s="113">
        <f t="shared" si="7"/>
        <v>83</v>
      </c>
      <c r="AY1421" s="117">
        <f t="shared" si="8"/>
        <v>0</v>
      </c>
      <c r="AZ1421" s="120">
        <f t="shared" si="9"/>
        <v>83</v>
      </c>
      <c r="BA1421" s="115">
        <v>0.0</v>
      </c>
      <c r="BB1421" s="89">
        <f t="shared" si="10"/>
        <v>83</v>
      </c>
      <c r="BC1421" s="132"/>
      <c r="BD1421" s="132"/>
      <c r="BE1421" s="132"/>
      <c r="BF1421" s="123"/>
      <c r="BG1421" s="98">
        <v>1178204.0</v>
      </c>
      <c r="BH1421" s="112"/>
      <c r="BI1421" s="112"/>
      <c r="BJ1421" s="98" t="s">
        <v>155</v>
      </c>
      <c r="BK1421" s="99">
        <f t="shared" si="11"/>
        <v>0</v>
      </c>
      <c r="BL1421" s="99">
        <f t="shared" si="12"/>
        <v>0</v>
      </c>
      <c r="BM1421" s="99" t="str">
        <f>IFERROR(__xludf.DUMMYFUNCTION("IFERROR(VLOOKUP(BG1421,IMPORTRANGE(""https://docs.google.com/spreadsheets/d/1juPI-Fb8LD0YtltB2mlGEnp_R3UVu1t3wSFPzgCyHXE/edit?gid=0#gid=0"",""GERAL!A2:C""),3,0),""-"")"),"-")</f>
        <v>-</v>
      </c>
    </row>
    <row r="1422" ht="15.75" customHeight="1">
      <c r="A1422" s="111" t="s">
        <v>1785</v>
      </c>
      <c r="B1422" s="83" t="s">
        <v>2135</v>
      </c>
      <c r="C1422" s="83" t="s">
        <v>68</v>
      </c>
      <c r="D1422" s="112">
        <v>1102453.0</v>
      </c>
      <c r="E1422" s="83"/>
      <c r="F1422" s="83">
        <v>2.9177812E7</v>
      </c>
      <c r="G1422" s="487" t="s">
        <v>4961</v>
      </c>
      <c r="H1422" s="108" t="s">
        <v>8019</v>
      </c>
      <c r="I1422" s="83" t="s">
        <v>149</v>
      </c>
      <c r="J1422" s="83" t="s">
        <v>150</v>
      </c>
      <c r="K1422" s="83" t="s">
        <v>151</v>
      </c>
      <c r="L1422" s="83" t="s">
        <v>230</v>
      </c>
      <c r="M1422" s="82" t="str">
        <f>IFERROR(__xludf.DUMMYFUNCTION("IFERROR(VLOOKUP(D1422,
IMPORTRANGE(""https://docs.google.com/spreadsheets/d/1MjHtlUikwobi2MaWJgy7tfLeBmhj1u-dRFRs_8GwSoA/edit#gid=0"",""Gestores Escolares!D7:J""),3,0),""VERIFICAR CÓD SEC"")"),"ANDERSON JOSE DO NASCIMENTO SANTOS")</f>
        <v>ANDERSON JOSE DO NASCIMENTO SANTOS</v>
      </c>
      <c r="N1422" s="82" t="str">
        <f>IFERROR(__xludf.DUMMYFUNCTION("IFERROR(VLOOKUP(D1422,
IMPORTRANGE(""https://docs.google.com/spreadsheets/d/1MjHtlUikwobi2MaWJgy7tfLeBmhj1u-dRFRs_8GwSoA/edit#gid=0"",""Gestores Escolares!D7:J""),4,0),""VERIFICAR CÓD SEC"")")," (71) 9 9341-0133")</f>
        <v> (71) 9 9341-0133</v>
      </c>
      <c r="O1422" s="82" t="str">
        <f>IFERROR(__xludf.DUMMYFUNCTION("IFERROR(VLOOKUP(D1422,
IMPORTRANGE(""https://docs.google.com/spreadsheets/d/1MjHtlUikwobi2MaWJgy7tfLeBmhj1u-dRFRs_8GwSoA/edit#gid=0"",""Gestores Escolares!D7:J""),6,0),""VERIFICAR CÓD SEC"")"),"JOSÉ GONÇALVES DE ARAÚJO")</f>
        <v>JOSÉ GONÇALVES DE ARAÚJO</v>
      </c>
      <c r="P1422" s="82" t="str">
        <f>IFERROR(__xludf.DUMMYFUNCTION("IFERROR(VLOOKUP(D1422,
IMPORTRANGE(""https://docs.google.com/spreadsheets/d/1MjHtlUikwobi2MaWJgy7tfLeBmhj1u-dRFRs_8GwSoA/edit#gid=0"",""Gestores Escolares!D7:J""),7,0),""VERIFICAR CÓD SEC"")"),"(71) 9 8855-8864 ")</f>
        <v>(71) 9 8855-8864 </v>
      </c>
      <c r="Q1422" s="82" t="str">
        <f>IFERROR(__xludf.DUMMYFUNCTION("IFERROR(VLOOKUP(D1422,
IMPORTRANGE(""https://docs.google.com/spreadsheets/d/1MjHtlUikwobi2MaWJgy7tfLeBmhj1u-dRFRs_8GwSoA/edit#gid=0"",""Gestores Escolares!D7:m""),9,0),""VERIFICAR CÓD SEC"")"),"OSVANIL ROQUE DE PAULA JUNIOR")</f>
        <v>OSVANIL ROQUE DE PAULA JUNIOR</v>
      </c>
      <c r="R1422" s="82" t="str">
        <f>IFERROR(__xludf.DUMMYFUNCTION("IFERROR(VLOOKUP(D1422,
IMPORTRANGE(""https://docs.google.com/spreadsheets/d/1MjHtlUikwobi2MaWJgy7tfLeBmhj1u-dRFRs_8GwSoA/edit#gid=0"",""Gestores Escolares!D7:m""),10,0),""VERIFICAR CÓD SEC"")"),"(71) 9 8722-2497")</f>
        <v>(71) 9 8722-2497</v>
      </c>
      <c r="S1422" s="82"/>
      <c r="T1422" s="138">
        <v>9.0</v>
      </c>
      <c r="U1422" s="145" t="s">
        <v>13912</v>
      </c>
      <c r="V1422" s="106">
        <v>0.0</v>
      </c>
      <c r="W1422" s="107">
        <v>0.0</v>
      </c>
      <c r="X1422" s="107">
        <v>0.0</v>
      </c>
      <c r="Y1422" s="107">
        <v>0.0</v>
      </c>
      <c r="Z1422" s="80">
        <f t="shared" si="1"/>
        <v>0</v>
      </c>
      <c r="AA1422" s="106">
        <v>0.0</v>
      </c>
      <c r="AB1422" s="107">
        <v>0.0</v>
      </c>
      <c r="AC1422" s="107">
        <v>0.0</v>
      </c>
      <c r="AD1422" s="107">
        <v>0.0</v>
      </c>
      <c r="AE1422" s="80">
        <f t="shared" si="2"/>
        <v>0</v>
      </c>
      <c r="AF1422" s="140">
        <v>0.0</v>
      </c>
      <c r="AG1422" s="109">
        <v>156.0</v>
      </c>
      <c r="AH1422" s="109">
        <v>0.0</v>
      </c>
      <c r="AI1422" s="141">
        <v>536.0</v>
      </c>
      <c r="AJ1422" s="80">
        <f t="shared" si="3"/>
        <v>692</v>
      </c>
      <c r="AK1422" s="140">
        <v>0.0</v>
      </c>
      <c r="AL1422" s="109">
        <v>0.0</v>
      </c>
      <c r="AM1422" s="141">
        <v>0.0</v>
      </c>
      <c r="AN1422" s="80">
        <f t="shared" si="4"/>
        <v>0</v>
      </c>
      <c r="AO1422" s="140">
        <v>0.0</v>
      </c>
      <c r="AP1422" s="109">
        <v>0.0</v>
      </c>
      <c r="AQ1422" s="109">
        <v>187.0</v>
      </c>
      <c r="AR1422" s="80">
        <f t="shared" si="5"/>
        <v>187</v>
      </c>
      <c r="AS1422" s="110">
        <v>0.0</v>
      </c>
      <c r="AT1422" s="110">
        <v>0.0</v>
      </c>
      <c r="AU1422" s="110">
        <v>11.0</v>
      </c>
      <c r="AV1422" s="142">
        <v>98.0</v>
      </c>
      <c r="AW1422" s="80">
        <f t="shared" si="6"/>
        <v>109</v>
      </c>
      <c r="AX1422" s="113">
        <f t="shared" si="7"/>
        <v>988</v>
      </c>
      <c r="AY1422" s="117">
        <f t="shared" si="8"/>
        <v>790</v>
      </c>
      <c r="AZ1422" s="120">
        <f t="shared" si="9"/>
        <v>198</v>
      </c>
      <c r="BA1422" s="115">
        <v>0.0</v>
      </c>
      <c r="BB1422" s="89">
        <f t="shared" si="10"/>
        <v>988</v>
      </c>
      <c r="BC1422" s="132" t="s">
        <v>178</v>
      </c>
      <c r="BD1422" s="132" t="s">
        <v>178</v>
      </c>
      <c r="BE1422" s="132" t="s">
        <v>178</v>
      </c>
      <c r="BF1422" s="123"/>
      <c r="BG1422" s="83">
        <v>1102453.0</v>
      </c>
      <c r="BH1422" s="112"/>
      <c r="BI1422" s="112">
        <v>9.0</v>
      </c>
      <c r="BJ1422" s="98" t="s">
        <v>162</v>
      </c>
      <c r="BK1422" s="99">
        <f t="shared" si="11"/>
        <v>634</v>
      </c>
      <c r="BL1422" s="99">
        <f t="shared" si="12"/>
        <v>156</v>
      </c>
      <c r="BM1422" s="99" t="str">
        <f>IFERROR(__xludf.DUMMYFUNCTION("IFERROR(VLOOKUP(BG1422,IMPORTRANGE(""https://docs.google.com/spreadsheets/d/1juPI-Fb8LD0YtltB2mlGEnp_R3UVu1t3wSFPzgCyHXE/edit?gid=0#gid=0"",""GERAL!A2:C""),3,0),""-"")"),"-")</f>
        <v>-</v>
      </c>
    </row>
    <row r="1423" ht="15.75" customHeight="1">
      <c r="A1423" s="111" t="s">
        <v>1785</v>
      </c>
      <c r="B1423" s="83" t="s">
        <v>2021</v>
      </c>
      <c r="C1423" s="83" t="s">
        <v>68</v>
      </c>
      <c r="D1423" s="112">
        <v>1176364.0</v>
      </c>
      <c r="E1423" s="83"/>
      <c r="F1423" s="83">
        <v>2.9359635E7</v>
      </c>
      <c r="G1423" s="184" t="s">
        <v>8029</v>
      </c>
      <c r="H1423" s="91" t="s">
        <v>8030</v>
      </c>
      <c r="I1423" s="83" t="s">
        <v>149</v>
      </c>
      <c r="J1423" s="83" t="s">
        <v>150</v>
      </c>
      <c r="K1423" s="83" t="s">
        <v>151</v>
      </c>
      <c r="L1423" s="83" t="s">
        <v>230</v>
      </c>
      <c r="M1423" s="82" t="str">
        <f>IFERROR(__xludf.DUMMYFUNCTION("IFERROR(VLOOKUP(D1423,
IMPORTRANGE(""https://docs.google.com/spreadsheets/d/1MjHtlUikwobi2MaWJgy7tfLeBmhj1u-dRFRs_8GwSoA/edit#gid=0"",""Gestores Escolares!D7:J""),3,0),""VERIFICAR CÓD SEC"")"),"ELIENE DOS SANTOS SANTOS DE JESUS")</f>
        <v>ELIENE DOS SANTOS SANTOS DE JESUS</v>
      </c>
      <c r="N1423" s="82" t="str">
        <f>IFERROR(__xludf.DUMMYFUNCTION("IFERROR(VLOOKUP(D1423,
IMPORTRANGE(""https://docs.google.com/spreadsheets/d/1MjHtlUikwobi2MaWJgy7tfLeBmhj1u-dRFRs_8GwSoA/edit#gid=0"",""Gestores Escolares!D7:J""),4,0),""VERIFICAR CÓD SEC"")"),"(71) 9 8895-3771")</f>
        <v>(71) 9 8895-3771</v>
      </c>
      <c r="O1423" s="82" t="str">
        <f>IFERROR(__xludf.DUMMYFUNCTION("IFERROR(VLOOKUP(D1423,
IMPORTRANGE(""https://docs.google.com/spreadsheets/d/1MjHtlUikwobi2MaWJgy7tfLeBmhj1u-dRFRs_8GwSoA/edit#gid=0"",""Gestores Escolares!D7:J""),6,0),""VERIFICAR CÓD SEC"")"),"KARINA RAMOS BARBOSA DE SANTANA")</f>
        <v>KARINA RAMOS BARBOSA DE SANTANA</v>
      </c>
      <c r="P1423" s="82" t="str">
        <f>IFERROR(__xludf.DUMMYFUNCTION("IFERROR(VLOOKUP(D1423,
IMPORTRANGE(""https://docs.google.com/spreadsheets/d/1MjHtlUikwobi2MaWJgy7tfLeBmhj1u-dRFRs_8GwSoA/edit#gid=0"",""Gestores Escolares!D7:J""),7,0),""VERIFICAR CÓD SEC"")"),"(71) 9 8486-6866")</f>
        <v>(71) 9 8486-6866</v>
      </c>
      <c r="Q1423" s="82" t="str">
        <f>IFERROR(__xludf.DUMMYFUNCTION("IFERROR(VLOOKUP(D1423,
IMPORTRANGE(""https://docs.google.com/spreadsheets/d/1MjHtlUikwobi2MaWJgy7tfLeBmhj1u-dRFRs_8GwSoA/edit#gid=0"",""Gestores Escolares!D7:m""),9,0),""VERIFICAR CÓD SEC"")"),"GIOVANA BERBERT MARQUES DE CASTRO FARJALA")</f>
        <v>GIOVANA BERBERT MARQUES DE CASTRO FARJALA</v>
      </c>
      <c r="R1423" s="82" t="str">
        <f>IFERROR(__xludf.DUMMYFUNCTION("IFERROR(VLOOKUP(D1423,
IMPORTRANGE(""https://docs.google.com/spreadsheets/d/1MjHtlUikwobi2MaWJgy7tfLeBmhj1u-dRFRs_8GwSoA/edit#gid=0"",""Gestores Escolares!D7:m""),10,0),""VERIFICAR CÓD SEC"")"),"")</f>
        <v/>
      </c>
      <c r="S1423" s="82"/>
      <c r="T1423" s="138">
        <v>14.0</v>
      </c>
      <c r="U1423" s="152">
        <v>14.0</v>
      </c>
      <c r="V1423" s="106">
        <v>0.0</v>
      </c>
      <c r="W1423" s="107">
        <v>0.0</v>
      </c>
      <c r="X1423" s="107">
        <v>0.0</v>
      </c>
      <c r="Y1423" s="107">
        <v>0.0</v>
      </c>
      <c r="Z1423" s="80">
        <f t="shared" si="1"/>
        <v>0</v>
      </c>
      <c r="AA1423" s="106">
        <v>0.0</v>
      </c>
      <c r="AB1423" s="107">
        <v>0.0</v>
      </c>
      <c r="AC1423" s="107">
        <v>0.0</v>
      </c>
      <c r="AD1423" s="107">
        <v>0.0</v>
      </c>
      <c r="AE1423" s="80">
        <f t="shared" si="2"/>
        <v>0</v>
      </c>
      <c r="AF1423" s="140">
        <v>564.0</v>
      </c>
      <c r="AG1423" s="109">
        <v>349.0</v>
      </c>
      <c r="AH1423" s="109">
        <v>0.0</v>
      </c>
      <c r="AI1423" s="141">
        <v>0.0</v>
      </c>
      <c r="AJ1423" s="80">
        <f t="shared" si="3"/>
        <v>913</v>
      </c>
      <c r="AK1423" s="140">
        <v>0.0</v>
      </c>
      <c r="AL1423" s="109">
        <v>0.0</v>
      </c>
      <c r="AM1423" s="141">
        <v>0.0</v>
      </c>
      <c r="AN1423" s="80">
        <f t="shared" si="4"/>
        <v>0</v>
      </c>
      <c r="AO1423" s="140">
        <v>0.0</v>
      </c>
      <c r="AP1423" s="109">
        <v>0.0</v>
      </c>
      <c r="AQ1423" s="109">
        <v>316.0</v>
      </c>
      <c r="AR1423" s="80">
        <f t="shared" si="5"/>
        <v>316</v>
      </c>
      <c r="AS1423" s="110">
        <v>0.0</v>
      </c>
      <c r="AT1423" s="110">
        <v>0.0</v>
      </c>
      <c r="AU1423" s="110">
        <v>0.0</v>
      </c>
      <c r="AV1423" s="142">
        <v>0.0</v>
      </c>
      <c r="AW1423" s="80">
        <f t="shared" si="6"/>
        <v>0</v>
      </c>
      <c r="AX1423" s="113">
        <f t="shared" si="7"/>
        <v>1229</v>
      </c>
      <c r="AY1423" s="117">
        <f t="shared" si="8"/>
        <v>913</v>
      </c>
      <c r="AZ1423" s="120">
        <f t="shared" si="9"/>
        <v>316</v>
      </c>
      <c r="BA1423" s="115">
        <v>1.0</v>
      </c>
      <c r="BB1423" s="89">
        <f t="shared" si="10"/>
        <v>1230</v>
      </c>
      <c r="BC1423" s="132" t="s">
        <v>178</v>
      </c>
      <c r="BD1423" s="132" t="s">
        <v>178</v>
      </c>
      <c r="BE1423" s="132" t="s">
        <v>178</v>
      </c>
      <c r="BF1423" s="156"/>
      <c r="BG1423" s="83">
        <v>1176364.0</v>
      </c>
      <c r="BH1423" s="112"/>
      <c r="BI1423" s="112">
        <v>14.0</v>
      </c>
      <c r="BJ1423" s="98" t="s">
        <v>155</v>
      </c>
      <c r="BK1423" s="99">
        <f t="shared" si="11"/>
        <v>0</v>
      </c>
      <c r="BL1423" s="99">
        <f t="shared" si="12"/>
        <v>913</v>
      </c>
      <c r="BM1423" s="99" t="str">
        <f>IFERROR(__xludf.DUMMYFUNCTION("IFERROR(VLOOKUP(BG1423,IMPORTRANGE(""https://docs.google.com/spreadsheets/d/1juPI-Fb8LD0YtltB2mlGEnp_R3UVu1t3wSFPzgCyHXE/edit?gid=0#gid=0"",""GERAL!A2:C""),3,0),""-"")"),"-")</f>
        <v>-</v>
      </c>
    </row>
    <row r="1424" ht="15.75" customHeight="1">
      <c r="A1424" s="111" t="s">
        <v>1785</v>
      </c>
      <c r="B1424" s="83" t="s">
        <v>2021</v>
      </c>
      <c r="C1424" s="83" t="s">
        <v>68</v>
      </c>
      <c r="D1424" s="112">
        <v>1110081.0</v>
      </c>
      <c r="E1424" s="83"/>
      <c r="F1424" s="83">
        <v>2.9178584E7</v>
      </c>
      <c r="G1424" s="184" t="s">
        <v>8035</v>
      </c>
      <c r="H1424" s="91" t="s">
        <v>8037</v>
      </c>
      <c r="I1424" s="83" t="s">
        <v>8039</v>
      </c>
      <c r="J1424" s="83" t="s">
        <v>150</v>
      </c>
      <c r="K1424" s="83" t="s">
        <v>151</v>
      </c>
      <c r="L1424" s="83" t="s">
        <v>152</v>
      </c>
      <c r="M1424" s="82" t="str">
        <f>IFERROR(__xludf.DUMMYFUNCTION("IFERROR(VLOOKUP(D1424,
IMPORTRANGE(""https://docs.google.com/spreadsheets/d/1MjHtlUikwobi2MaWJgy7tfLeBmhj1u-dRFRs_8GwSoA/edit#gid=0"",""Gestores Escolares!D7:J""),3,0),""VERIFICAR CÓD SEC"")"),"ALZIRA CRISTINA CORREIA DA SILVA SANTOS")</f>
        <v>ALZIRA CRISTINA CORREIA DA SILVA SANTOS</v>
      </c>
      <c r="N1424" s="82" t="str">
        <f>IFERROR(__xludf.DUMMYFUNCTION("IFERROR(VLOOKUP(D1424,
IMPORTRANGE(""https://docs.google.com/spreadsheets/d/1MjHtlUikwobi2MaWJgy7tfLeBmhj1u-dRFRs_8GwSoA/edit#gid=0"",""Gestores Escolares!D7:J""),4,0),""VERIFICAR CÓD SEC"")"),"(71) 9 8835-7387")</f>
        <v>(71) 9 8835-7387</v>
      </c>
      <c r="O1424" s="82" t="str">
        <f>IFERROR(__xludf.DUMMYFUNCTION("IFERROR(VLOOKUP(D1424,
IMPORTRANGE(""https://docs.google.com/spreadsheets/d/1MjHtlUikwobi2MaWJgy7tfLeBmhj1u-dRFRs_8GwSoA/edit#gid=0"",""Gestores Escolares!D7:J""),6,0),""VERIFICAR CÓD SEC"")"),"KASSANDRA SOARES RODRIGUES")</f>
        <v>KASSANDRA SOARES RODRIGUES</v>
      </c>
      <c r="P1424" s="82" t="str">
        <f>IFERROR(__xludf.DUMMYFUNCTION("IFERROR(VLOOKUP(D1424,
IMPORTRANGE(""https://docs.google.com/spreadsheets/d/1MjHtlUikwobi2MaWJgy7tfLeBmhj1u-dRFRs_8GwSoA/edit#gid=0"",""Gestores Escolares!D7:J""),7,0),""VERIFICAR CÓD SEC"")"),"(71) 9 9107-5355")</f>
        <v>(71) 9 9107-5355</v>
      </c>
      <c r="Q1424" s="82" t="str">
        <f>IFERROR(__xludf.DUMMYFUNCTION("IFERROR(VLOOKUP(D1424,
IMPORTRANGE(""https://docs.google.com/spreadsheets/d/1MjHtlUikwobi2MaWJgy7tfLeBmhj1u-dRFRs_8GwSoA/edit#gid=0"",""Gestores Escolares!D7:m""),9,0),""VERIFICAR CÓD SEC"")"),"PATRICIA SOUZA PLESSYM")</f>
        <v>PATRICIA SOUZA PLESSYM</v>
      </c>
      <c r="R1424" s="82" t="str">
        <f>IFERROR(__xludf.DUMMYFUNCTION("IFERROR(VLOOKUP(D1424,
IMPORTRANGE(""https://docs.google.com/spreadsheets/d/1MjHtlUikwobi2MaWJgy7tfLeBmhj1u-dRFRs_8GwSoA/edit#gid=0"",""Gestores Escolares!D7:m""),10,0),""VERIFICAR CÓD SEC"")"),"(71) 9 9963-9333")</f>
        <v>(71) 9 9963-9333</v>
      </c>
      <c r="S1424" s="82"/>
      <c r="T1424" s="138">
        <v>7.0</v>
      </c>
      <c r="U1424" s="139">
        <v>7.0</v>
      </c>
      <c r="V1424" s="106">
        <v>0.0</v>
      </c>
      <c r="W1424" s="107">
        <v>0.0</v>
      </c>
      <c r="X1424" s="107">
        <v>0.0</v>
      </c>
      <c r="Y1424" s="107">
        <v>0.0</v>
      </c>
      <c r="Z1424" s="80">
        <f t="shared" si="1"/>
        <v>0</v>
      </c>
      <c r="AA1424" s="106">
        <v>0.0</v>
      </c>
      <c r="AB1424" s="107">
        <v>0.0</v>
      </c>
      <c r="AC1424" s="107">
        <v>0.0</v>
      </c>
      <c r="AD1424" s="107">
        <v>0.0</v>
      </c>
      <c r="AE1424" s="80">
        <f t="shared" si="2"/>
        <v>0</v>
      </c>
      <c r="AF1424" s="140">
        <v>298.0</v>
      </c>
      <c r="AG1424" s="109">
        <v>243.0</v>
      </c>
      <c r="AH1424" s="109">
        <v>0.0</v>
      </c>
      <c r="AI1424" s="141">
        <v>0.0</v>
      </c>
      <c r="AJ1424" s="80">
        <f t="shared" si="3"/>
        <v>541</v>
      </c>
      <c r="AK1424" s="140">
        <v>0.0</v>
      </c>
      <c r="AL1424" s="109">
        <v>0.0</v>
      </c>
      <c r="AM1424" s="141">
        <v>0.0</v>
      </c>
      <c r="AN1424" s="80">
        <f t="shared" si="4"/>
        <v>0</v>
      </c>
      <c r="AO1424" s="140">
        <v>0.0</v>
      </c>
      <c r="AP1424" s="109">
        <v>0.0</v>
      </c>
      <c r="AQ1424" s="109">
        <v>206.0</v>
      </c>
      <c r="AR1424" s="80">
        <f t="shared" si="5"/>
        <v>206</v>
      </c>
      <c r="AS1424" s="110">
        <v>0.0</v>
      </c>
      <c r="AT1424" s="110">
        <v>0.0</v>
      </c>
      <c r="AU1424" s="110">
        <v>0.0</v>
      </c>
      <c r="AV1424" s="142">
        <v>0.0</v>
      </c>
      <c r="AW1424" s="80">
        <f t="shared" si="6"/>
        <v>0</v>
      </c>
      <c r="AX1424" s="113">
        <f t="shared" si="7"/>
        <v>747</v>
      </c>
      <c r="AY1424" s="117">
        <f t="shared" si="8"/>
        <v>541</v>
      </c>
      <c r="AZ1424" s="120">
        <f t="shared" si="9"/>
        <v>206</v>
      </c>
      <c r="BA1424" s="115">
        <v>0.0</v>
      </c>
      <c r="BB1424" s="89">
        <f t="shared" si="10"/>
        <v>747</v>
      </c>
      <c r="BC1424" s="132" t="s">
        <v>178</v>
      </c>
      <c r="BD1424" s="132" t="s">
        <v>178</v>
      </c>
      <c r="BE1424" s="132" t="s">
        <v>178</v>
      </c>
      <c r="BF1424" s="123"/>
      <c r="BG1424" s="83">
        <v>1110081.0</v>
      </c>
      <c r="BH1424" s="112"/>
      <c r="BI1424" s="112">
        <v>7.0</v>
      </c>
      <c r="BJ1424" s="98" t="s">
        <v>155</v>
      </c>
      <c r="BK1424" s="99">
        <f t="shared" si="11"/>
        <v>0</v>
      </c>
      <c r="BL1424" s="99">
        <f t="shared" si="12"/>
        <v>541</v>
      </c>
      <c r="BM1424" s="99" t="str">
        <f>IFERROR(__xludf.DUMMYFUNCTION("IFERROR(VLOOKUP(BG1424,IMPORTRANGE(""https://docs.google.com/spreadsheets/d/1juPI-Fb8LD0YtltB2mlGEnp_R3UVu1t3wSFPzgCyHXE/edit?gid=0#gid=0"",""GERAL!A2:C""),3,0),""-"")"),"-")</f>
        <v>-</v>
      </c>
    </row>
    <row r="1425" ht="15.75" customHeight="1">
      <c r="A1425" s="111" t="s">
        <v>1785</v>
      </c>
      <c r="B1425" s="83" t="s">
        <v>2021</v>
      </c>
      <c r="C1425" s="83" t="s">
        <v>68</v>
      </c>
      <c r="D1425" s="112">
        <v>1102470.0</v>
      </c>
      <c r="E1425" s="83"/>
      <c r="F1425" s="83">
        <v>2.917855E7</v>
      </c>
      <c r="G1425" s="487" t="s">
        <v>8043</v>
      </c>
      <c r="H1425" s="91" t="s">
        <v>8044</v>
      </c>
      <c r="I1425" s="136" t="s">
        <v>8045</v>
      </c>
      <c r="J1425" s="136" t="s">
        <v>150</v>
      </c>
      <c r="K1425" s="83" t="s">
        <v>151</v>
      </c>
      <c r="L1425" s="83" t="s">
        <v>230</v>
      </c>
      <c r="M1425" s="82" t="str">
        <f>IFERROR(__xludf.DUMMYFUNCTION("IFERROR(VLOOKUP(D1425,
IMPORTRANGE(""https://docs.google.com/spreadsheets/d/1MjHtlUikwobi2MaWJgy7tfLeBmhj1u-dRFRs_8GwSoA/edit#gid=0"",""Gestores Escolares!D7:J""),3,0),""VERIFICAR CÓD SEC"")"),"MURILO JOSE RIBEIRO CERQUEIRA")</f>
        <v>MURILO JOSE RIBEIRO CERQUEIRA</v>
      </c>
      <c r="N1425" s="82" t="str">
        <f>IFERROR(__xludf.DUMMYFUNCTION("IFERROR(VLOOKUP(D1425,
IMPORTRANGE(""https://docs.google.com/spreadsheets/d/1MjHtlUikwobi2MaWJgy7tfLeBmhj1u-dRFRs_8GwSoA/edit#gid=0"",""Gestores Escolares!D7:J""),4,0),""VERIFICAR CÓD SEC"")"),"(75) 9 9966-1980")</f>
        <v>(75) 9 9966-1980</v>
      </c>
      <c r="O1425" s="82" t="str">
        <f>IFERROR(__xludf.DUMMYFUNCTION("IFERROR(VLOOKUP(D1425,
IMPORTRANGE(""https://docs.google.com/spreadsheets/d/1MjHtlUikwobi2MaWJgy7tfLeBmhj1u-dRFRs_8GwSoA/edit#gid=0"",""Gestores Escolares!D7:J""),6,0),""VERIFICAR CÓD SEC"")"),"GENESIA MAIA DE OLIVEIRA")</f>
        <v>GENESIA MAIA DE OLIVEIRA</v>
      </c>
      <c r="P1425" s="82" t="str">
        <f>IFERROR(__xludf.DUMMYFUNCTION("IFERROR(VLOOKUP(D1425,
IMPORTRANGE(""https://docs.google.com/spreadsheets/d/1MjHtlUikwobi2MaWJgy7tfLeBmhj1u-dRFRs_8GwSoA/edit#gid=0"",""Gestores Escolares!D7:J""),7,0),""VERIFICAR CÓD SEC"")"),"(71) 9 8893 3412")</f>
        <v>(71) 9 8893 3412</v>
      </c>
      <c r="Q1425" s="82" t="str">
        <f>IFERROR(__xludf.DUMMYFUNCTION("IFERROR(VLOOKUP(D1425,
IMPORTRANGE(""https://docs.google.com/spreadsheets/d/1MjHtlUikwobi2MaWJgy7tfLeBmhj1u-dRFRs_8GwSoA/edit#gid=0"",""Gestores Escolares!D7:m""),9,0),""VERIFICAR CÓD SEC"")"),"PAULO CESAR DA SILVA GONCALVES")</f>
        <v>PAULO CESAR DA SILVA GONCALVES</v>
      </c>
      <c r="R1425" s="82" t="str">
        <f>IFERROR(__xludf.DUMMYFUNCTION("IFERROR(VLOOKUP(D1425,
IMPORTRANGE(""https://docs.google.com/spreadsheets/d/1MjHtlUikwobi2MaWJgy7tfLeBmhj1u-dRFRs_8GwSoA/edit#gid=0"",""Gestores Escolares!D7:m""),10,0),""VERIFICAR CÓD SEC"")"),"(71) 9 8760-3807")</f>
        <v>(71) 9 8760-3807</v>
      </c>
      <c r="S1425" s="82"/>
      <c r="T1425" s="138">
        <v>8.0</v>
      </c>
      <c r="U1425" s="217" t="s">
        <v>13913</v>
      </c>
      <c r="V1425" s="106">
        <v>0.0</v>
      </c>
      <c r="W1425" s="107">
        <v>0.0</v>
      </c>
      <c r="X1425" s="107">
        <v>0.0</v>
      </c>
      <c r="Y1425" s="107">
        <v>0.0</v>
      </c>
      <c r="Z1425" s="80">
        <f t="shared" si="1"/>
        <v>0</v>
      </c>
      <c r="AA1425" s="106">
        <v>0.0</v>
      </c>
      <c r="AB1425" s="107">
        <v>0.0</v>
      </c>
      <c r="AC1425" s="107">
        <v>0.0</v>
      </c>
      <c r="AD1425" s="107">
        <v>0.0</v>
      </c>
      <c r="AE1425" s="80">
        <f t="shared" si="2"/>
        <v>0</v>
      </c>
      <c r="AF1425" s="140">
        <v>0.0</v>
      </c>
      <c r="AG1425" s="109">
        <v>0.0</v>
      </c>
      <c r="AH1425" s="109">
        <v>0.0</v>
      </c>
      <c r="AI1425" s="141">
        <v>486.0</v>
      </c>
      <c r="AJ1425" s="80">
        <f t="shared" si="3"/>
        <v>486</v>
      </c>
      <c r="AK1425" s="140">
        <v>0.0</v>
      </c>
      <c r="AL1425" s="109">
        <v>0.0</v>
      </c>
      <c r="AM1425" s="141">
        <v>0.0</v>
      </c>
      <c r="AN1425" s="80">
        <f t="shared" si="4"/>
        <v>0</v>
      </c>
      <c r="AO1425" s="140">
        <v>0.0</v>
      </c>
      <c r="AP1425" s="109">
        <v>0.0</v>
      </c>
      <c r="AQ1425" s="109">
        <v>204.0</v>
      </c>
      <c r="AR1425" s="80">
        <f t="shared" si="5"/>
        <v>204</v>
      </c>
      <c r="AS1425" s="110">
        <v>0.0</v>
      </c>
      <c r="AT1425" s="110">
        <v>0.0</v>
      </c>
      <c r="AU1425" s="110">
        <v>0.0</v>
      </c>
      <c r="AV1425" s="142">
        <v>65.0</v>
      </c>
      <c r="AW1425" s="80">
        <f t="shared" si="6"/>
        <v>65</v>
      </c>
      <c r="AX1425" s="113">
        <f t="shared" si="7"/>
        <v>755</v>
      </c>
      <c r="AY1425" s="117">
        <f t="shared" si="8"/>
        <v>551</v>
      </c>
      <c r="AZ1425" s="120">
        <f t="shared" si="9"/>
        <v>204</v>
      </c>
      <c r="BA1425" s="115">
        <v>1.0</v>
      </c>
      <c r="BB1425" s="89">
        <f t="shared" si="10"/>
        <v>756</v>
      </c>
      <c r="BC1425" s="132" t="s">
        <v>178</v>
      </c>
      <c r="BD1425" s="132" t="s">
        <v>178</v>
      </c>
      <c r="BE1425" s="132" t="s">
        <v>178</v>
      </c>
      <c r="BF1425" s="235" t="s">
        <v>12193</v>
      </c>
      <c r="BG1425" s="83">
        <v>1102470.0</v>
      </c>
      <c r="BH1425" s="112"/>
      <c r="BI1425" s="112">
        <v>7.0</v>
      </c>
      <c r="BJ1425" s="98" t="s">
        <v>162</v>
      </c>
      <c r="BK1425" s="99">
        <f t="shared" si="11"/>
        <v>551</v>
      </c>
      <c r="BL1425" s="99">
        <f t="shared" si="12"/>
        <v>0</v>
      </c>
      <c r="BM1425" s="99" t="str">
        <f>IFERROR(__xludf.DUMMYFUNCTION("IFERROR(VLOOKUP(BG1425,IMPORTRANGE(""https://docs.google.com/spreadsheets/d/1juPI-Fb8LD0YtltB2mlGEnp_R3UVu1t3wSFPzgCyHXE/edit?gid=0#gid=0"",""GERAL!A2:C""),3,0),""-"")"),"-")</f>
        <v>-</v>
      </c>
    </row>
    <row r="1426" ht="15.75" customHeight="1">
      <c r="A1426" s="111" t="s">
        <v>1785</v>
      </c>
      <c r="B1426" s="83" t="s">
        <v>2021</v>
      </c>
      <c r="C1426" s="83" t="s">
        <v>68</v>
      </c>
      <c r="D1426" s="112">
        <v>1100809.0</v>
      </c>
      <c r="E1426" s="83"/>
      <c r="F1426" s="83">
        <v>2.9178231E7</v>
      </c>
      <c r="G1426" s="292" t="s">
        <v>8055</v>
      </c>
      <c r="H1426" s="91" t="s">
        <v>8056</v>
      </c>
      <c r="I1426" s="136" t="s">
        <v>149</v>
      </c>
      <c r="J1426" s="136" t="s">
        <v>150</v>
      </c>
      <c r="K1426" s="83" t="s">
        <v>151</v>
      </c>
      <c r="L1426" s="83" t="s">
        <v>230</v>
      </c>
      <c r="M1426" s="82" t="str">
        <f>IFERROR(__xludf.DUMMYFUNCTION("IFERROR(VLOOKUP(D1426,
IMPORTRANGE(""https://docs.google.com/spreadsheets/d/1MjHtlUikwobi2MaWJgy7tfLeBmhj1u-dRFRs_8GwSoA/edit#gid=0"",""Gestores Escolares!D7:J""),3,0),""VERIFICAR CÓD SEC"")"),"JANIRIO LUCIANO DE SOUSA")</f>
        <v>JANIRIO LUCIANO DE SOUSA</v>
      </c>
      <c r="N1426" s="82" t="str">
        <f>IFERROR(__xludf.DUMMYFUNCTION("IFERROR(VLOOKUP(D1426,
IMPORTRANGE(""https://docs.google.com/spreadsheets/d/1MjHtlUikwobi2MaWJgy7tfLeBmhj1u-dRFRs_8GwSoA/edit#gid=0"",""Gestores Escolares!D7:J""),4,0),""VERIFICAR CÓD SEC"")"),"(71) 9 9305-8228
")</f>
        <v>(71) 9 9305-8228
</v>
      </c>
      <c r="O1426" s="82" t="str">
        <f>IFERROR(__xludf.DUMMYFUNCTION("IFERROR(VLOOKUP(D1426,
IMPORTRANGE(""https://docs.google.com/spreadsheets/d/1MjHtlUikwobi2MaWJgy7tfLeBmhj1u-dRFRs_8GwSoA/edit#gid=0"",""Gestores Escolares!D7:J""),6,0),""VERIFICAR CÓD SEC"")"),"MILA OLIVEIRA ARAUJO")</f>
        <v>MILA OLIVEIRA ARAUJO</v>
      </c>
      <c r="P1426" s="82" t="str">
        <f>IFERROR(__xludf.DUMMYFUNCTION("IFERROR(VLOOKUP(D1426,
IMPORTRANGE(""https://docs.google.com/spreadsheets/d/1MjHtlUikwobi2MaWJgy7tfLeBmhj1u-dRFRs_8GwSoA/edit#gid=0"",""Gestores Escolares!D7:J""),7,0),""VERIFICAR CÓD SEC"")"),"(71) 9 8811-1052")</f>
        <v>(71) 9 8811-1052</v>
      </c>
      <c r="Q1426" s="82" t="str">
        <f>IFERROR(__xludf.DUMMYFUNCTION("IFERROR(VLOOKUP(D1426,
IMPORTRANGE(""https://docs.google.com/spreadsheets/d/1MjHtlUikwobi2MaWJgy7tfLeBmhj1u-dRFRs_8GwSoA/edit#gid=0"",""Gestores Escolares!D7:m""),9,0),""VERIFICAR CÓD SEC"")"),"")</f>
        <v/>
      </c>
      <c r="R1426" s="82" t="str">
        <f>IFERROR(__xludf.DUMMYFUNCTION("IFERROR(VLOOKUP(D1426,
IMPORTRANGE(""https://docs.google.com/spreadsheets/d/1MjHtlUikwobi2MaWJgy7tfLeBmhj1u-dRFRs_8GwSoA/edit#gid=0"",""Gestores Escolares!D7:m""),10,0),""VERIFICAR CÓD SEC"")"),"")</f>
        <v/>
      </c>
      <c r="S1426" s="82"/>
      <c r="T1426" s="138">
        <v>19.0</v>
      </c>
      <c r="U1426" s="145">
        <v>21.0</v>
      </c>
      <c r="V1426" s="106">
        <v>0.0</v>
      </c>
      <c r="W1426" s="107">
        <v>0.0</v>
      </c>
      <c r="X1426" s="107">
        <v>0.0</v>
      </c>
      <c r="Y1426" s="107">
        <v>0.0</v>
      </c>
      <c r="Z1426" s="80">
        <f t="shared" si="1"/>
        <v>0</v>
      </c>
      <c r="AA1426" s="106">
        <v>0.0</v>
      </c>
      <c r="AB1426" s="107">
        <v>0.0</v>
      </c>
      <c r="AC1426" s="107">
        <v>0.0</v>
      </c>
      <c r="AD1426" s="107">
        <v>0.0</v>
      </c>
      <c r="AE1426" s="80">
        <f t="shared" si="2"/>
        <v>0</v>
      </c>
      <c r="AF1426" s="140">
        <v>432.0</v>
      </c>
      <c r="AG1426" s="109">
        <v>202.0</v>
      </c>
      <c r="AH1426" s="109">
        <v>0.0</v>
      </c>
      <c r="AI1426" s="141">
        <v>25.0</v>
      </c>
      <c r="AJ1426" s="80">
        <f t="shared" si="3"/>
        <v>659</v>
      </c>
      <c r="AK1426" s="140">
        <v>0.0</v>
      </c>
      <c r="AL1426" s="109">
        <v>0.0</v>
      </c>
      <c r="AM1426" s="141">
        <v>0.0</v>
      </c>
      <c r="AN1426" s="80">
        <f t="shared" si="4"/>
        <v>0</v>
      </c>
      <c r="AO1426" s="140">
        <v>0.0</v>
      </c>
      <c r="AP1426" s="109">
        <v>0.0</v>
      </c>
      <c r="AQ1426" s="109">
        <v>81.0</v>
      </c>
      <c r="AR1426" s="80">
        <f t="shared" si="5"/>
        <v>81</v>
      </c>
      <c r="AS1426" s="110">
        <v>55.0</v>
      </c>
      <c r="AT1426" s="110">
        <v>0.0</v>
      </c>
      <c r="AU1426" s="110">
        <v>5.0</v>
      </c>
      <c r="AV1426" s="142">
        <v>0.0</v>
      </c>
      <c r="AW1426" s="80">
        <f t="shared" si="6"/>
        <v>60</v>
      </c>
      <c r="AX1426" s="113">
        <f t="shared" si="7"/>
        <v>800</v>
      </c>
      <c r="AY1426" s="117">
        <f t="shared" si="8"/>
        <v>714</v>
      </c>
      <c r="AZ1426" s="120">
        <f t="shared" si="9"/>
        <v>86</v>
      </c>
      <c r="BA1426" s="115">
        <v>0.0</v>
      </c>
      <c r="BB1426" s="89">
        <f t="shared" si="10"/>
        <v>800</v>
      </c>
      <c r="BC1426" s="132" t="s">
        <v>178</v>
      </c>
      <c r="BD1426" s="132" t="s">
        <v>178</v>
      </c>
      <c r="BE1426" s="132" t="s">
        <v>178</v>
      </c>
      <c r="BF1426" s="123"/>
      <c r="BG1426" s="83">
        <v>1100809.0</v>
      </c>
      <c r="BH1426" s="112"/>
      <c r="BI1426" s="112">
        <v>17.0</v>
      </c>
      <c r="BJ1426" s="98" t="s">
        <v>155</v>
      </c>
      <c r="BK1426" s="99">
        <f t="shared" si="11"/>
        <v>25</v>
      </c>
      <c r="BL1426" s="99">
        <f t="shared" si="12"/>
        <v>689</v>
      </c>
      <c r="BM1426" s="99" t="str">
        <f>IFERROR(__xludf.DUMMYFUNCTION("IFERROR(VLOOKUP(BG1426,IMPORTRANGE(""https://docs.google.com/spreadsheets/d/1juPI-Fb8LD0YtltB2mlGEnp_R3UVu1t3wSFPzgCyHXE/edit?gid=0#gid=0"",""GERAL!A2:C""),3,0),""-"")"),"-")</f>
        <v>-</v>
      </c>
    </row>
    <row r="1427" ht="15.75" customHeight="1">
      <c r="A1427" s="111" t="s">
        <v>1785</v>
      </c>
      <c r="B1427" s="83" t="s">
        <v>2021</v>
      </c>
      <c r="C1427" s="83" t="s">
        <v>68</v>
      </c>
      <c r="D1427" s="112">
        <v>1100477.0</v>
      </c>
      <c r="E1427" s="83"/>
      <c r="F1427" s="83">
        <v>2.9178487E7</v>
      </c>
      <c r="G1427" s="184" t="s">
        <v>8058</v>
      </c>
      <c r="H1427" s="91" t="s">
        <v>8059</v>
      </c>
      <c r="I1427" s="83" t="s">
        <v>149</v>
      </c>
      <c r="J1427" s="83" t="s">
        <v>150</v>
      </c>
      <c r="K1427" s="83" t="s">
        <v>151</v>
      </c>
      <c r="L1427" s="83" t="s">
        <v>230</v>
      </c>
      <c r="M1427" s="82" t="str">
        <f>IFERROR(__xludf.DUMMYFUNCTION("IFERROR(VLOOKUP(D1427,
IMPORTRANGE(""https://docs.google.com/spreadsheets/d/1MjHtlUikwobi2MaWJgy7tfLeBmhj1u-dRFRs_8GwSoA/edit#gid=0"",""Gestores Escolares!D7:J""),3,0),""VERIFICAR CÓD SEC"")"),"VIRGINIA ROCHA COSTA")</f>
        <v>VIRGINIA ROCHA COSTA</v>
      </c>
      <c r="N1427" s="82" t="str">
        <f>IFERROR(__xludf.DUMMYFUNCTION("IFERROR(VLOOKUP(D1427,
IMPORTRANGE(""https://docs.google.com/spreadsheets/d/1MjHtlUikwobi2MaWJgy7tfLeBmhj1u-dRFRs_8GwSoA/edit#gid=0"",""Gestores Escolares!D7:J""),4,0),""VERIFICAR CÓD SEC"")"),"(71) 9 9122-1032")</f>
        <v>(71) 9 9122-1032</v>
      </c>
      <c r="O1427" s="82" t="str">
        <f>IFERROR(__xludf.DUMMYFUNCTION("IFERROR(VLOOKUP(D1427,
IMPORTRANGE(""https://docs.google.com/spreadsheets/d/1MjHtlUikwobi2MaWJgy7tfLeBmhj1u-dRFRs_8GwSoA/edit#gid=0"",""Gestores Escolares!D7:J""),6,0),""VERIFICAR CÓD SEC"")"),"LUÍSA MÁRCIA DE ALMEIDA SERRAVALLE COSTA")</f>
        <v>LUÍSA MÁRCIA DE ALMEIDA SERRAVALLE COSTA</v>
      </c>
      <c r="P1427" s="82" t="str">
        <f>IFERROR(__xludf.DUMMYFUNCTION("IFERROR(VLOOKUP(D1427,
IMPORTRANGE(""https://docs.google.com/spreadsheets/d/1MjHtlUikwobi2MaWJgy7tfLeBmhj1u-dRFRs_8GwSoA/edit#gid=0"",""Gestores Escolares!D7:J""),7,0),""VERIFICAR CÓD SEC"")"),"(71) 9 9203-1856")</f>
        <v>(71) 9 9203-1856</v>
      </c>
      <c r="Q1427" s="82" t="str">
        <f>IFERROR(__xludf.DUMMYFUNCTION("IFERROR(VLOOKUP(D1427,
IMPORTRANGE(""https://docs.google.com/spreadsheets/d/1MjHtlUikwobi2MaWJgy7tfLeBmhj1u-dRFRs_8GwSoA/edit#gid=0"",""Gestores Escolares!D7:m""),9,0),""VERIFICAR CÓD SEC"")"),"EDUARDO SANDRO BORGES ARGOLE")</f>
        <v>EDUARDO SANDRO BORGES ARGOLE</v>
      </c>
      <c r="R1427" s="82" t="str">
        <f>IFERROR(__xludf.DUMMYFUNCTION("IFERROR(VLOOKUP(D1427,
IMPORTRANGE(""https://docs.google.com/spreadsheets/d/1MjHtlUikwobi2MaWJgy7tfLeBmhj1u-dRFRs_8GwSoA/edit#gid=0"",""Gestores Escolares!D7:m""),10,0),""VERIFICAR CÓD SEC"")"),"(71) 9 8835-3523")</f>
        <v>(71) 9 8835-3523</v>
      </c>
      <c r="S1427" s="82"/>
      <c r="T1427" s="138">
        <v>14.0</v>
      </c>
      <c r="U1427" s="145">
        <v>14.0</v>
      </c>
      <c r="V1427" s="106">
        <v>0.0</v>
      </c>
      <c r="W1427" s="107">
        <v>0.0</v>
      </c>
      <c r="X1427" s="107">
        <v>0.0</v>
      </c>
      <c r="Y1427" s="107">
        <v>0.0</v>
      </c>
      <c r="Z1427" s="80">
        <f t="shared" si="1"/>
        <v>0</v>
      </c>
      <c r="AA1427" s="106">
        <v>0.0</v>
      </c>
      <c r="AB1427" s="107">
        <v>0.0</v>
      </c>
      <c r="AC1427" s="107">
        <v>0.0</v>
      </c>
      <c r="AD1427" s="107">
        <v>0.0</v>
      </c>
      <c r="AE1427" s="80">
        <f t="shared" si="2"/>
        <v>0</v>
      </c>
      <c r="AF1427" s="140">
        <v>559.0</v>
      </c>
      <c r="AG1427" s="109">
        <v>106.0</v>
      </c>
      <c r="AH1427" s="109">
        <v>0.0</v>
      </c>
      <c r="AI1427" s="141">
        <v>0.0</v>
      </c>
      <c r="AJ1427" s="80">
        <f t="shared" si="3"/>
        <v>665</v>
      </c>
      <c r="AK1427" s="140">
        <v>0.0</v>
      </c>
      <c r="AL1427" s="109">
        <v>0.0</v>
      </c>
      <c r="AM1427" s="141">
        <v>0.0</v>
      </c>
      <c r="AN1427" s="80">
        <f t="shared" si="4"/>
        <v>0</v>
      </c>
      <c r="AO1427" s="140">
        <v>0.0</v>
      </c>
      <c r="AP1427" s="109">
        <v>0.0</v>
      </c>
      <c r="AQ1427" s="109">
        <v>80.0</v>
      </c>
      <c r="AR1427" s="80">
        <f t="shared" si="5"/>
        <v>80</v>
      </c>
      <c r="AS1427" s="110">
        <v>0.0</v>
      </c>
      <c r="AT1427" s="110">
        <v>0.0</v>
      </c>
      <c r="AU1427" s="110">
        <v>0.0</v>
      </c>
      <c r="AV1427" s="142">
        <v>0.0</v>
      </c>
      <c r="AW1427" s="80">
        <f t="shared" si="6"/>
        <v>0</v>
      </c>
      <c r="AX1427" s="113">
        <f t="shared" si="7"/>
        <v>745</v>
      </c>
      <c r="AY1427" s="117">
        <f t="shared" si="8"/>
        <v>665</v>
      </c>
      <c r="AZ1427" s="120">
        <f t="shared" si="9"/>
        <v>80</v>
      </c>
      <c r="BA1427" s="115">
        <v>0.0</v>
      </c>
      <c r="BB1427" s="89">
        <f t="shared" si="10"/>
        <v>745</v>
      </c>
      <c r="BC1427" s="132" t="s">
        <v>178</v>
      </c>
      <c r="BD1427" s="132" t="s">
        <v>178</v>
      </c>
      <c r="BE1427" s="132" t="s">
        <v>178</v>
      </c>
      <c r="BF1427" s="123"/>
      <c r="BG1427" s="83">
        <v>1100477.0</v>
      </c>
      <c r="BH1427" s="98"/>
      <c r="BI1427" s="98">
        <v>13.0</v>
      </c>
      <c r="BJ1427" s="98" t="s">
        <v>155</v>
      </c>
      <c r="BK1427" s="99">
        <f t="shared" si="11"/>
        <v>0</v>
      </c>
      <c r="BL1427" s="99">
        <f t="shared" si="12"/>
        <v>665</v>
      </c>
      <c r="BM1427" s="99" t="str">
        <f>IFERROR(__xludf.DUMMYFUNCTION("IFERROR(VLOOKUP(BG1427,IMPORTRANGE(""https://docs.google.com/spreadsheets/d/1juPI-Fb8LD0YtltB2mlGEnp_R3UVu1t3wSFPzgCyHXE/edit?gid=0#gid=0"",""GERAL!A2:C""),3,0),""-"")"),"-")</f>
        <v>-</v>
      </c>
    </row>
    <row r="1428" ht="15.75" customHeight="1">
      <c r="A1428" s="111" t="s">
        <v>1785</v>
      </c>
      <c r="B1428" s="83" t="s">
        <v>2021</v>
      </c>
      <c r="C1428" s="83" t="s">
        <v>68</v>
      </c>
      <c r="D1428" s="112">
        <v>1100256.0</v>
      </c>
      <c r="E1428" s="83"/>
      <c r="F1428" s="83">
        <v>2.917832E7</v>
      </c>
      <c r="G1428" s="184" t="s">
        <v>8068</v>
      </c>
      <c r="H1428" s="91" t="s">
        <v>8069</v>
      </c>
      <c r="I1428" s="83" t="s">
        <v>8039</v>
      </c>
      <c r="J1428" s="83" t="s">
        <v>150</v>
      </c>
      <c r="K1428" s="83" t="s">
        <v>151</v>
      </c>
      <c r="L1428" s="83" t="s">
        <v>230</v>
      </c>
      <c r="M1428" s="82" t="str">
        <f>IFERROR(__xludf.DUMMYFUNCTION("IFERROR(VLOOKUP(D1428,
IMPORTRANGE(""https://docs.google.com/spreadsheets/d/1MjHtlUikwobi2MaWJgy7tfLeBmhj1u-dRFRs_8GwSoA/edit#gid=0"",""Gestores Escolares!D7:J""),3,0),""VERIFICAR CÓD SEC"")"),"ANA PATRICIA DOS SANTOS ROCHA")</f>
        <v>ANA PATRICIA DOS SANTOS ROCHA</v>
      </c>
      <c r="N1428" s="82" t="str">
        <f>IFERROR(__xludf.DUMMYFUNCTION("IFERROR(VLOOKUP(D1428,
IMPORTRANGE(""https://docs.google.com/spreadsheets/d/1MjHtlUikwobi2MaWJgy7tfLeBmhj1u-dRFRs_8GwSoA/edit#gid=0"",""Gestores Escolares!D7:J""),4,0),""VERIFICAR CÓD SEC"")"),"(71) 9 8757-4759 3371-4754")</f>
        <v>(71) 9 8757-4759 3371-4754</v>
      </c>
      <c r="O1428" s="82" t="str">
        <f>IFERROR(__xludf.DUMMYFUNCTION("IFERROR(VLOOKUP(D1428,
IMPORTRANGE(""https://docs.google.com/spreadsheets/d/1MjHtlUikwobi2MaWJgy7tfLeBmhj1u-dRFRs_8GwSoA/edit#gid=0"",""Gestores Escolares!D7:J""),6,0),""VERIFICAR CÓD SEC"")"),"MAILDES FONSECA DE MENEZES")</f>
        <v>MAILDES FONSECA DE MENEZES</v>
      </c>
      <c r="P1428" s="82" t="str">
        <f>IFERROR(__xludf.DUMMYFUNCTION("IFERROR(VLOOKUP(D1428,
IMPORTRANGE(""https://docs.google.com/spreadsheets/d/1MjHtlUikwobi2MaWJgy7tfLeBmhj1u-dRFRs_8GwSoA/edit#gid=0"",""Gestores Escolares!D7:J""),7,0),""VERIFICAR CÓD SEC"")"),"(71) 9 9321-1716")</f>
        <v>(71) 9 9321-1716</v>
      </c>
      <c r="Q1428" s="82" t="str">
        <f>IFERROR(__xludf.DUMMYFUNCTION("IFERROR(VLOOKUP(D1428,
IMPORTRANGE(""https://docs.google.com/spreadsheets/d/1MjHtlUikwobi2MaWJgy7tfLeBmhj1u-dRFRs_8GwSoA/edit#gid=0"",""Gestores Escolares!D7:m""),9,0),""VERIFICAR CÓD SEC"")"),"HELANYA SANTANA CARNEIRO")</f>
        <v>HELANYA SANTANA CARNEIRO</v>
      </c>
      <c r="R1428" s="82" t="str">
        <f>IFERROR(__xludf.DUMMYFUNCTION("IFERROR(VLOOKUP(D1428,
IMPORTRANGE(""https://docs.google.com/spreadsheets/d/1MjHtlUikwobi2MaWJgy7tfLeBmhj1u-dRFRs_8GwSoA/edit#gid=0"",""Gestores Escolares!D7:m""),10,0),""VERIFICAR CÓD SEC"")"),"(75) 9 9158-1330")</f>
        <v>(75) 9 9158-1330</v>
      </c>
      <c r="S1428" s="82"/>
      <c r="T1428" s="138">
        <v>16.0</v>
      </c>
      <c r="U1428" s="145">
        <v>16.0</v>
      </c>
      <c r="V1428" s="106">
        <v>0.0</v>
      </c>
      <c r="W1428" s="107">
        <v>0.0</v>
      </c>
      <c r="X1428" s="107">
        <v>0.0</v>
      </c>
      <c r="Y1428" s="107">
        <v>0.0</v>
      </c>
      <c r="Z1428" s="80">
        <f t="shared" si="1"/>
        <v>0</v>
      </c>
      <c r="AA1428" s="106">
        <v>0.0</v>
      </c>
      <c r="AB1428" s="107">
        <v>0.0</v>
      </c>
      <c r="AC1428" s="107">
        <v>0.0</v>
      </c>
      <c r="AD1428" s="107">
        <v>0.0</v>
      </c>
      <c r="AE1428" s="80">
        <f t="shared" si="2"/>
        <v>0</v>
      </c>
      <c r="AF1428" s="140">
        <v>586.0</v>
      </c>
      <c r="AG1428" s="109">
        <v>417.0</v>
      </c>
      <c r="AH1428" s="109">
        <v>0.0</v>
      </c>
      <c r="AI1428" s="141">
        <v>0.0</v>
      </c>
      <c r="AJ1428" s="80">
        <f t="shared" si="3"/>
        <v>1003</v>
      </c>
      <c r="AK1428" s="140">
        <v>0.0</v>
      </c>
      <c r="AL1428" s="109">
        <v>0.0</v>
      </c>
      <c r="AM1428" s="141">
        <v>0.0</v>
      </c>
      <c r="AN1428" s="80">
        <f t="shared" si="4"/>
        <v>0</v>
      </c>
      <c r="AO1428" s="140">
        <v>0.0</v>
      </c>
      <c r="AP1428" s="109">
        <v>0.0</v>
      </c>
      <c r="AQ1428" s="109">
        <v>155.0</v>
      </c>
      <c r="AR1428" s="80">
        <f t="shared" si="5"/>
        <v>155</v>
      </c>
      <c r="AS1428" s="110">
        <v>0.0</v>
      </c>
      <c r="AT1428" s="110">
        <v>0.0</v>
      </c>
      <c r="AU1428" s="110">
        <v>56.0</v>
      </c>
      <c r="AV1428" s="142">
        <v>0.0</v>
      </c>
      <c r="AW1428" s="80">
        <f t="shared" si="6"/>
        <v>56</v>
      </c>
      <c r="AX1428" s="113">
        <f t="shared" si="7"/>
        <v>1214</v>
      </c>
      <c r="AY1428" s="117">
        <f t="shared" si="8"/>
        <v>1003</v>
      </c>
      <c r="AZ1428" s="120">
        <f t="shared" si="9"/>
        <v>211</v>
      </c>
      <c r="BA1428" s="115">
        <v>17.0</v>
      </c>
      <c r="BB1428" s="89">
        <f t="shared" si="10"/>
        <v>1231</v>
      </c>
      <c r="BC1428" s="132" t="s">
        <v>178</v>
      </c>
      <c r="BD1428" s="132" t="s">
        <v>178</v>
      </c>
      <c r="BE1428" s="132" t="s">
        <v>178</v>
      </c>
      <c r="BF1428" s="123"/>
      <c r="BG1428" s="83">
        <v>1100256.0</v>
      </c>
      <c r="BH1428" s="112"/>
      <c r="BI1428" s="112">
        <v>15.0</v>
      </c>
      <c r="BJ1428" s="98" t="s">
        <v>155</v>
      </c>
      <c r="BK1428" s="99">
        <f t="shared" si="11"/>
        <v>0</v>
      </c>
      <c r="BL1428" s="99">
        <f t="shared" si="12"/>
        <v>1003</v>
      </c>
      <c r="BM1428" s="99" t="str">
        <f>IFERROR(__xludf.DUMMYFUNCTION("IFERROR(VLOOKUP(BG1428,IMPORTRANGE(""https://docs.google.com/spreadsheets/d/1juPI-Fb8LD0YtltB2mlGEnp_R3UVu1t3wSFPzgCyHXE/edit?gid=0#gid=0"",""GERAL!A2:C""),3,0),""-"")"),"-")</f>
        <v>-</v>
      </c>
    </row>
    <row r="1429" ht="15.75" customHeight="1">
      <c r="A1429" s="111" t="s">
        <v>1785</v>
      </c>
      <c r="B1429" s="83" t="s">
        <v>2021</v>
      </c>
      <c r="C1429" s="83" t="s">
        <v>68</v>
      </c>
      <c r="D1429" s="112">
        <v>1178431.0</v>
      </c>
      <c r="E1429" s="83"/>
      <c r="F1429" s="83">
        <v>2.9398673E7</v>
      </c>
      <c r="G1429" s="513" t="s">
        <v>8074</v>
      </c>
      <c r="H1429" s="91" t="s">
        <v>8076</v>
      </c>
      <c r="I1429" s="83" t="s">
        <v>149</v>
      </c>
      <c r="J1429" s="83" t="s">
        <v>150</v>
      </c>
      <c r="K1429" s="83" t="s">
        <v>151</v>
      </c>
      <c r="L1429" s="82" t="s">
        <v>230</v>
      </c>
      <c r="M1429" s="82" t="str">
        <f>IFERROR(__xludf.DUMMYFUNCTION("IFERROR(VLOOKUP(D1429,
IMPORTRANGE(""https://docs.google.com/spreadsheets/d/1MjHtlUikwobi2MaWJgy7tfLeBmhj1u-dRFRs_8GwSoA/edit#gid=0"",""Gestores Escolares!D7:J""),3,0),""VERIFICAR CÓD SEC"")"),"DENIS RIOS DALTRO")</f>
        <v>DENIS RIOS DALTRO</v>
      </c>
      <c r="N1429" s="82" t="str">
        <f>IFERROR(__xludf.DUMMYFUNCTION("IFERROR(VLOOKUP(D1429,
IMPORTRANGE(""https://docs.google.com/spreadsheets/d/1MjHtlUikwobi2MaWJgy7tfLeBmhj1u-dRFRs_8GwSoA/edit#gid=0"",""Gestores Escolares!D7:J""),4,0),""VERIFICAR CÓD SEC"")"),"(71) 9 8506-4811")</f>
        <v>(71) 9 8506-4811</v>
      </c>
      <c r="O1429" s="82" t="str">
        <f>IFERROR(__xludf.DUMMYFUNCTION("IFERROR(VLOOKUP(D1429,
IMPORTRANGE(""https://docs.google.com/spreadsheets/d/1MjHtlUikwobi2MaWJgy7tfLeBmhj1u-dRFRs_8GwSoA/edit#gid=0"",""Gestores Escolares!D7:J""),6,0),""VERIFICAR CÓD SEC"")"),"JESSICA FREITAS DO ESPIRITO SANTO")</f>
        <v>JESSICA FREITAS DO ESPIRITO SANTO</v>
      </c>
      <c r="P1429" s="82" t="str">
        <f>IFERROR(__xludf.DUMMYFUNCTION("IFERROR(VLOOKUP(D1429,
IMPORTRANGE(""https://docs.google.com/spreadsheets/d/1MjHtlUikwobi2MaWJgy7tfLeBmhj1u-dRFRs_8GwSoA/edit#gid=0"",""Gestores Escolares!D7:J""),7,0),""VERIFICAR CÓD SEC"")"),"(71) 9 9162-8732")</f>
        <v>(71) 9 9162-8732</v>
      </c>
      <c r="Q1429" s="82" t="str">
        <f>IFERROR(__xludf.DUMMYFUNCTION("IFERROR(VLOOKUP(D1429,
IMPORTRANGE(""https://docs.google.com/spreadsheets/d/1MjHtlUikwobi2MaWJgy7tfLeBmhj1u-dRFRs_8GwSoA/edit#gid=0"",""Gestores Escolares!D7:m""),9,0),""VERIFICAR CÓD SEC"")"),"LUCIO JOSE SILVA GALVAO")</f>
        <v>LUCIO JOSE SILVA GALVAO</v>
      </c>
      <c r="R1429" s="82" t="str">
        <f>IFERROR(__xludf.DUMMYFUNCTION("IFERROR(VLOOKUP(D1429,
IMPORTRANGE(""https://docs.google.com/spreadsheets/d/1MjHtlUikwobi2MaWJgy7tfLeBmhj1u-dRFRs_8GwSoA/edit#gid=0"",""Gestores Escolares!D7:m""),10,0),""VERIFICAR CÓD SEC"")"),"(71) 9 8749-5170")</f>
        <v>(71) 9 8749-5170</v>
      </c>
      <c r="S1429" s="82"/>
      <c r="T1429" s="138">
        <v>14.0</v>
      </c>
      <c r="U1429" s="145" t="s">
        <v>13914</v>
      </c>
      <c r="V1429" s="106">
        <v>0.0</v>
      </c>
      <c r="W1429" s="107">
        <v>0.0</v>
      </c>
      <c r="X1429" s="107">
        <v>0.0</v>
      </c>
      <c r="Y1429" s="107">
        <v>0.0</v>
      </c>
      <c r="Z1429" s="80">
        <f t="shared" si="1"/>
        <v>0</v>
      </c>
      <c r="AA1429" s="106">
        <v>0.0</v>
      </c>
      <c r="AB1429" s="107">
        <v>0.0</v>
      </c>
      <c r="AC1429" s="107">
        <v>0.0</v>
      </c>
      <c r="AD1429" s="107">
        <v>0.0</v>
      </c>
      <c r="AE1429" s="80">
        <f t="shared" si="2"/>
        <v>0</v>
      </c>
      <c r="AF1429" s="140">
        <v>0.0</v>
      </c>
      <c r="AG1429" s="109">
        <v>0.0</v>
      </c>
      <c r="AH1429" s="109">
        <v>0.0</v>
      </c>
      <c r="AI1429" s="141">
        <v>0.0</v>
      </c>
      <c r="AJ1429" s="80">
        <f t="shared" si="3"/>
        <v>0</v>
      </c>
      <c r="AK1429" s="140">
        <v>0.0</v>
      </c>
      <c r="AL1429" s="109">
        <v>0.0</v>
      </c>
      <c r="AM1429" s="141">
        <v>0.0</v>
      </c>
      <c r="AN1429" s="80">
        <f t="shared" si="4"/>
        <v>0</v>
      </c>
      <c r="AO1429" s="140">
        <v>0.0</v>
      </c>
      <c r="AP1429" s="109">
        <v>0.0</v>
      </c>
      <c r="AQ1429" s="109">
        <v>0.0</v>
      </c>
      <c r="AR1429" s="80">
        <f t="shared" si="5"/>
        <v>0</v>
      </c>
      <c r="AS1429" s="110">
        <v>863.0</v>
      </c>
      <c r="AT1429" s="110">
        <v>869.0</v>
      </c>
      <c r="AU1429" s="110">
        <v>38.0</v>
      </c>
      <c r="AV1429" s="142">
        <v>0.0</v>
      </c>
      <c r="AW1429" s="80">
        <f t="shared" si="6"/>
        <v>1770</v>
      </c>
      <c r="AX1429" s="113">
        <f t="shared" si="7"/>
        <v>1770</v>
      </c>
      <c r="AY1429" s="117">
        <f t="shared" si="8"/>
        <v>1732</v>
      </c>
      <c r="AZ1429" s="120">
        <f t="shared" si="9"/>
        <v>38</v>
      </c>
      <c r="BA1429" s="115">
        <v>1.0</v>
      </c>
      <c r="BB1429" s="89">
        <f t="shared" si="10"/>
        <v>1771</v>
      </c>
      <c r="BC1429" s="132" t="s">
        <v>178</v>
      </c>
      <c r="BD1429" s="132" t="s">
        <v>779</v>
      </c>
      <c r="BE1429" s="132" t="s">
        <v>178</v>
      </c>
      <c r="BF1429" s="123"/>
      <c r="BG1429" s="83">
        <v>1178431.0</v>
      </c>
      <c r="BH1429" s="112"/>
      <c r="BI1429" s="112">
        <v>24.0</v>
      </c>
      <c r="BJ1429" s="98" t="s">
        <v>162</v>
      </c>
      <c r="BK1429" s="99">
        <f t="shared" si="11"/>
        <v>0</v>
      </c>
      <c r="BL1429" s="99">
        <f t="shared" si="12"/>
        <v>1732</v>
      </c>
      <c r="BM1429" s="99" t="str">
        <f>IFERROR(__xludf.DUMMYFUNCTION("IFERROR(VLOOKUP(BG1429,IMPORTRANGE(""https://docs.google.com/spreadsheets/d/1juPI-Fb8LD0YtltB2mlGEnp_R3UVu1t3wSFPzgCyHXE/edit?gid=0#gid=0"",""GERAL!A2:C""),3,0),""-"")"),"CAMPO")</f>
        <v>CAMPO</v>
      </c>
    </row>
    <row r="1430" ht="15.75" customHeight="1">
      <c r="A1430" s="111" t="s">
        <v>1785</v>
      </c>
      <c r="B1430" s="83" t="s">
        <v>2021</v>
      </c>
      <c r="C1430" s="83" t="s">
        <v>164</v>
      </c>
      <c r="D1430" s="112">
        <v>1100477.0</v>
      </c>
      <c r="E1430" s="83">
        <v>1178599.0</v>
      </c>
      <c r="F1430" s="98">
        <v>2.9490073E7</v>
      </c>
      <c r="G1430" s="185" t="s">
        <v>8079</v>
      </c>
      <c r="H1430" s="91" t="s">
        <v>8080</v>
      </c>
      <c r="I1430" s="83" t="s">
        <v>149</v>
      </c>
      <c r="J1430" s="83" t="s">
        <v>150</v>
      </c>
      <c r="K1430" s="83" t="s">
        <v>151</v>
      </c>
      <c r="L1430" s="83" t="s">
        <v>169</v>
      </c>
      <c r="M1430" s="82" t="str">
        <f>IFERROR(__xludf.DUMMYFUNCTION("IFERROR(VLOOKUP(D1430,
IMPORTRANGE(""https://docs.google.com/spreadsheets/d/1MjHtlUikwobi2MaWJgy7tfLeBmhj1u-dRFRs_8GwSoA/edit#gid=0"",""Gestores Escolares!D7:J""),3,0),""VERIFICAR CÓD SEC"")"),"VIRGINIA ROCHA COSTA")</f>
        <v>VIRGINIA ROCHA COSTA</v>
      </c>
      <c r="N1430" s="82" t="str">
        <f>IFERROR(__xludf.DUMMYFUNCTION("IFERROR(VLOOKUP(D1430,
IMPORTRANGE(""https://docs.google.com/spreadsheets/d/1MjHtlUikwobi2MaWJgy7tfLeBmhj1u-dRFRs_8GwSoA/edit#gid=0"",""Gestores Escolares!D7:J""),4,0),""VERIFICAR CÓD SEC"")"),"(71) 9 9122-1032")</f>
        <v>(71) 9 9122-1032</v>
      </c>
      <c r="O1430" s="82" t="str">
        <f>IFERROR(__xludf.DUMMYFUNCTION("IFERROR(VLOOKUP(D1430,
IMPORTRANGE(""https://docs.google.com/spreadsheets/d/1MjHtlUikwobi2MaWJgy7tfLeBmhj1u-dRFRs_8GwSoA/edit#gid=0"",""Gestores Escolares!D7:J""),6,0),""VERIFICAR CÓD SEC"")"),"LUÍSA MÁRCIA DE ALMEIDA SERRAVALLE COSTA")</f>
        <v>LUÍSA MÁRCIA DE ALMEIDA SERRAVALLE COSTA</v>
      </c>
      <c r="P1430" s="82" t="str">
        <f>IFERROR(__xludf.DUMMYFUNCTION("IFERROR(VLOOKUP(D1430,
IMPORTRANGE(""https://docs.google.com/spreadsheets/d/1MjHtlUikwobi2MaWJgy7tfLeBmhj1u-dRFRs_8GwSoA/edit#gid=0"",""Gestores Escolares!D7:J""),7,0),""VERIFICAR CÓD SEC"")"),"(71) 9 9203-1856")</f>
        <v>(71) 9 9203-1856</v>
      </c>
      <c r="Q1430" s="82" t="str">
        <f>IFERROR(__xludf.DUMMYFUNCTION("IFERROR(VLOOKUP(D1430,
IMPORTRANGE(""https://docs.google.com/spreadsheets/d/1MjHtlUikwobi2MaWJgy7tfLeBmhj1u-dRFRs_8GwSoA/edit#gid=0"",""Gestores Escolares!D7:m""),9,0),""VERIFICAR CÓD SEC"")"),"EDUARDO SANDRO BORGES ARGOLE")</f>
        <v>EDUARDO SANDRO BORGES ARGOLE</v>
      </c>
      <c r="R1430" s="82" t="str">
        <f>IFERROR(__xludf.DUMMYFUNCTION("IFERROR(VLOOKUP(D1430,
IMPORTRANGE(""https://docs.google.com/spreadsheets/d/1MjHtlUikwobi2MaWJgy7tfLeBmhj1u-dRFRs_8GwSoA/edit#gid=0"",""Gestores Escolares!D7:m""),10,0),""VERIFICAR CÓD SEC"")"),"(71) 9 8835-3523")</f>
        <v>(71) 9 8835-3523</v>
      </c>
      <c r="S1430" s="82"/>
      <c r="T1430" s="138">
        <v>3.0</v>
      </c>
      <c r="U1430" s="152">
        <v>1.0</v>
      </c>
      <c r="V1430" s="106">
        <v>0.0</v>
      </c>
      <c r="W1430" s="107">
        <v>0.0</v>
      </c>
      <c r="X1430" s="107">
        <v>0.0</v>
      </c>
      <c r="Y1430" s="107">
        <v>0.0</v>
      </c>
      <c r="Z1430" s="80">
        <f t="shared" si="1"/>
        <v>0</v>
      </c>
      <c r="AA1430" s="106">
        <v>0.0</v>
      </c>
      <c r="AB1430" s="107">
        <v>0.0</v>
      </c>
      <c r="AC1430" s="107">
        <v>0.0</v>
      </c>
      <c r="AD1430" s="107">
        <v>0.0</v>
      </c>
      <c r="AE1430" s="80">
        <f t="shared" si="2"/>
        <v>0</v>
      </c>
      <c r="AF1430" s="140">
        <v>0.0</v>
      </c>
      <c r="AG1430" s="109">
        <v>0.0</v>
      </c>
      <c r="AH1430" s="109">
        <v>0.0</v>
      </c>
      <c r="AI1430" s="141">
        <v>0.0</v>
      </c>
      <c r="AJ1430" s="80">
        <f t="shared" si="3"/>
        <v>0</v>
      </c>
      <c r="AK1430" s="140">
        <v>48.0</v>
      </c>
      <c r="AL1430" s="109">
        <v>30.0</v>
      </c>
      <c r="AM1430" s="141">
        <v>0.0</v>
      </c>
      <c r="AN1430" s="80">
        <f t="shared" si="4"/>
        <v>78</v>
      </c>
      <c r="AO1430" s="140">
        <v>0.0</v>
      </c>
      <c r="AP1430" s="109">
        <v>0.0</v>
      </c>
      <c r="AQ1430" s="109">
        <v>0.0</v>
      </c>
      <c r="AR1430" s="80">
        <f t="shared" si="5"/>
        <v>0</v>
      </c>
      <c r="AS1430" s="110">
        <v>0.0</v>
      </c>
      <c r="AT1430" s="110">
        <v>0.0</v>
      </c>
      <c r="AU1430" s="110">
        <v>0.0</v>
      </c>
      <c r="AV1430" s="142">
        <v>0.0</v>
      </c>
      <c r="AW1430" s="80">
        <f t="shared" si="6"/>
        <v>0</v>
      </c>
      <c r="AX1430" s="113">
        <f t="shared" si="7"/>
        <v>78</v>
      </c>
      <c r="AY1430" s="117">
        <f t="shared" si="8"/>
        <v>78</v>
      </c>
      <c r="AZ1430" s="120">
        <f t="shared" si="9"/>
        <v>0</v>
      </c>
      <c r="BA1430" s="115">
        <v>0.0</v>
      </c>
      <c r="BB1430" s="89">
        <f t="shared" si="10"/>
        <v>78</v>
      </c>
      <c r="BC1430" s="132" t="s">
        <v>563</v>
      </c>
      <c r="BD1430" s="132" t="s">
        <v>178</v>
      </c>
      <c r="BE1430" s="132" t="s">
        <v>178</v>
      </c>
      <c r="BF1430" s="123"/>
      <c r="BG1430" s="83">
        <v>1178599.0</v>
      </c>
      <c r="BH1430" s="112"/>
      <c r="BI1430" s="112">
        <v>1.0</v>
      </c>
      <c r="BJ1430" s="98" t="s">
        <v>155</v>
      </c>
      <c r="BK1430" s="99">
        <f t="shared" si="11"/>
        <v>0</v>
      </c>
      <c r="BL1430" s="99">
        <f t="shared" si="12"/>
        <v>78</v>
      </c>
      <c r="BM1430" s="99" t="str">
        <f>IFERROR(__xludf.DUMMYFUNCTION("IFERROR(VLOOKUP(BG1430,IMPORTRANGE(""https://docs.google.com/spreadsheets/d/1juPI-Fb8LD0YtltB2mlGEnp_R3UVu1t3wSFPzgCyHXE/edit?gid=0#gid=0"",""GERAL!A2:C""),3,0),""-"")"),"-")</f>
        <v>-</v>
      </c>
    </row>
    <row r="1431" ht="15.75" customHeight="1">
      <c r="A1431" s="111" t="s">
        <v>1785</v>
      </c>
      <c r="B1431" s="83" t="s">
        <v>8086</v>
      </c>
      <c r="C1431" s="83" t="s">
        <v>68</v>
      </c>
      <c r="D1431" s="112">
        <v>1101147.0</v>
      </c>
      <c r="E1431" s="83"/>
      <c r="F1431" s="83">
        <v>2.917922E7</v>
      </c>
      <c r="G1431" s="114" t="s">
        <v>8089</v>
      </c>
      <c r="H1431" s="91" t="s">
        <v>8090</v>
      </c>
      <c r="I1431" s="83" t="s">
        <v>149</v>
      </c>
      <c r="J1431" s="83" t="s">
        <v>150</v>
      </c>
      <c r="K1431" s="83" t="s">
        <v>151</v>
      </c>
      <c r="L1431" s="83" t="s">
        <v>230</v>
      </c>
      <c r="M1431" s="82" t="str">
        <f>IFERROR(__xludf.DUMMYFUNCTION("IFERROR(VLOOKUP(D1431,
IMPORTRANGE(""https://docs.google.com/spreadsheets/d/1MjHtlUikwobi2MaWJgy7tfLeBmhj1u-dRFRs_8GwSoA/edit#gid=0"",""Gestores Escolares!D7:J""),3,0),""VERIFICAR CÓD SEC"")"),"KLINSMANN PATRICK DOS SANTOS")</f>
        <v>KLINSMANN PATRICK DOS SANTOS</v>
      </c>
      <c r="N1431" s="82" t="str">
        <f>IFERROR(__xludf.DUMMYFUNCTION("IFERROR(VLOOKUP(D1431,
IMPORTRANGE(""https://docs.google.com/spreadsheets/d/1MjHtlUikwobi2MaWJgy7tfLeBmhj1u-dRFRs_8GwSoA/edit#gid=0"",""Gestores Escolares!D7:J""),4,0),""VERIFICAR CÓD SEC"")"),"(75) 9 9175-7524")</f>
        <v>(75) 9 9175-7524</v>
      </c>
      <c r="O1431" s="82" t="str">
        <f>IFERROR(__xludf.DUMMYFUNCTION("IFERROR(VLOOKUP(D1431,
IMPORTRANGE(""https://docs.google.com/spreadsheets/d/1MjHtlUikwobi2MaWJgy7tfLeBmhj1u-dRFRs_8GwSoA/edit#gid=0"",""Gestores Escolares!D7:J""),6,0),""VERIFICAR CÓD SEC"")"),"ELIETE DE SANTANA ROCHA")</f>
        <v>ELIETE DE SANTANA ROCHA</v>
      </c>
      <c r="P1431" s="82" t="str">
        <f>IFERROR(__xludf.DUMMYFUNCTION("IFERROR(VLOOKUP(D1431,
IMPORTRANGE(""https://docs.google.com/spreadsheets/d/1MjHtlUikwobi2MaWJgy7tfLeBmhj1u-dRFRs_8GwSoA/edit#gid=0"",""Gestores Escolares!D7:J""),7,0),""VERIFICAR CÓD SEC"")"),"(71) 9 9188-0874")</f>
        <v>(71) 9 9188-0874</v>
      </c>
      <c r="Q1431" s="82" t="str">
        <f>IFERROR(__xludf.DUMMYFUNCTION("IFERROR(VLOOKUP(D1431,
IMPORTRANGE(""https://docs.google.com/spreadsheets/d/1MjHtlUikwobi2MaWJgy7tfLeBmhj1u-dRFRs_8GwSoA/edit#gid=0"",""Gestores Escolares!D7:m""),9,0),""VERIFICAR CÓD SEC"")"),"")</f>
        <v/>
      </c>
      <c r="R1431" s="82" t="str">
        <f>IFERROR(__xludf.DUMMYFUNCTION("IFERROR(VLOOKUP(D1431,
IMPORTRANGE(""https://docs.google.com/spreadsheets/d/1MjHtlUikwobi2MaWJgy7tfLeBmhj1u-dRFRs_8GwSoA/edit#gid=0"",""Gestores Escolares!D7:m""),10,0),""VERIFICAR CÓD SEC"")"),"")</f>
        <v/>
      </c>
      <c r="S1431" s="82"/>
      <c r="T1431" s="138">
        <v>11.0</v>
      </c>
      <c r="U1431" s="145" t="s">
        <v>6322</v>
      </c>
      <c r="V1431" s="106">
        <v>0.0</v>
      </c>
      <c r="W1431" s="107">
        <v>0.0</v>
      </c>
      <c r="X1431" s="107">
        <v>0.0</v>
      </c>
      <c r="Y1431" s="107">
        <v>0.0</v>
      </c>
      <c r="Z1431" s="80">
        <f t="shared" si="1"/>
        <v>0</v>
      </c>
      <c r="AA1431" s="106">
        <v>0.0</v>
      </c>
      <c r="AB1431" s="107">
        <v>0.0</v>
      </c>
      <c r="AC1431" s="107">
        <v>0.0</v>
      </c>
      <c r="AD1431" s="107">
        <v>0.0</v>
      </c>
      <c r="AE1431" s="80">
        <f t="shared" si="2"/>
        <v>0</v>
      </c>
      <c r="AF1431" s="140">
        <v>167.0</v>
      </c>
      <c r="AG1431" s="109">
        <v>125.0</v>
      </c>
      <c r="AH1431" s="109">
        <v>0.0</v>
      </c>
      <c r="AI1431" s="141">
        <v>105.0</v>
      </c>
      <c r="AJ1431" s="80">
        <f t="shared" si="3"/>
        <v>397</v>
      </c>
      <c r="AK1431" s="140">
        <v>0.0</v>
      </c>
      <c r="AL1431" s="109">
        <v>0.0</v>
      </c>
      <c r="AM1431" s="141">
        <v>0.0</v>
      </c>
      <c r="AN1431" s="80">
        <f t="shared" si="4"/>
        <v>0</v>
      </c>
      <c r="AO1431" s="140">
        <v>0.0</v>
      </c>
      <c r="AP1431" s="109">
        <v>0.0</v>
      </c>
      <c r="AQ1431" s="109">
        <v>145.0</v>
      </c>
      <c r="AR1431" s="80">
        <f t="shared" si="5"/>
        <v>145</v>
      </c>
      <c r="AS1431" s="110">
        <v>123.0</v>
      </c>
      <c r="AT1431" s="110">
        <v>87.0</v>
      </c>
      <c r="AU1431" s="110">
        <v>28.0</v>
      </c>
      <c r="AV1431" s="142">
        <v>0.0</v>
      </c>
      <c r="AW1431" s="80">
        <f t="shared" si="6"/>
        <v>238</v>
      </c>
      <c r="AX1431" s="113">
        <f t="shared" si="7"/>
        <v>780</v>
      </c>
      <c r="AY1431" s="117">
        <f t="shared" si="8"/>
        <v>607</v>
      </c>
      <c r="AZ1431" s="120">
        <f t="shared" si="9"/>
        <v>173</v>
      </c>
      <c r="BA1431" s="115">
        <v>0.0</v>
      </c>
      <c r="BB1431" s="89">
        <f t="shared" si="10"/>
        <v>780</v>
      </c>
      <c r="BC1431" s="132" t="s">
        <v>178</v>
      </c>
      <c r="BD1431" s="132" t="s">
        <v>178</v>
      </c>
      <c r="BE1431" s="132" t="s">
        <v>178</v>
      </c>
      <c r="BF1431" s="123"/>
      <c r="BG1431" s="83">
        <v>1101147.0</v>
      </c>
      <c r="BH1431" s="112"/>
      <c r="BI1431" s="112">
        <v>11.0</v>
      </c>
      <c r="BJ1431" s="98" t="s">
        <v>155</v>
      </c>
      <c r="BK1431" s="99">
        <f t="shared" si="11"/>
        <v>105</v>
      </c>
      <c r="BL1431" s="99">
        <f t="shared" si="12"/>
        <v>502</v>
      </c>
      <c r="BM1431" s="99" t="str">
        <f>IFERROR(__xludf.DUMMYFUNCTION("IFERROR(VLOOKUP(BG1431,IMPORTRANGE(""https://docs.google.com/spreadsheets/d/1juPI-Fb8LD0YtltB2mlGEnp_R3UVu1t3wSFPzgCyHXE/edit?gid=0#gid=0"",""GERAL!A2:C""),3,0),""-"")"),"-")</f>
        <v>-</v>
      </c>
    </row>
    <row r="1432" ht="15.75" customHeight="1">
      <c r="A1432" s="111" t="s">
        <v>1785</v>
      </c>
      <c r="B1432" s="83" t="s">
        <v>2378</v>
      </c>
      <c r="C1432" s="83" t="s">
        <v>68</v>
      </c>
      <c r="D1432" s="112">
        <v>1134134.0</v>
      </c>
      <c r="E1432" s="83"/>
      <c r="F1432" s="83">
        <v>2.9159539E7</v>
      </c>
      <c r="G1432" s="147" t="s">
        <v>8093</v>
      </c>
      <c r="H1432" s="91" t="s">
        <v>8094</v>
      </c>
      <c r="I1432" s="136" t="s">
        <v>149</v>
      </c>
      <c r="J1432" s="136" t="s">
        <v>150</v>
      </c>
      <c r="K1432" s="136" t="s">
        <v>151</v>
      </c>
      <c r="L1432" s="136" t="s">
        <v>152</v>
      </c>
      <c r="M1432" s="82" t="str">
        <f>IFERROR(__xludf.DUMMYFUNCTION("IFERROR(VLOOKUP(D1432,
IMPORTRANGE(""https://docs.google.com/spreadsheets/d/1MjHtlUikwobi2MaWJgy7tfLeBmhj1u-dRFRs_8GwSoA/edit#gid=0"",""Gestores Escolares!D7:J""),3,0),""VERIFICAR CÓD SEC"")"),"FREDY SILVA SILVEIRA")</f>
        <v>FREDY SILVA SILVEIRA</v>
      </c>
      <c r="N1432" s="82" t="str">
        <f>IFERROR(__xludf.DUMMYFUNCTION("IFERROR(VLOOKUP(D1432,
IMPORTRANGE(""https://docs.google.com/spreadsheets/d/1MjHtlUikwobi2MaWJgy7tfLeBmhj1u-dRFRs_8GwSoA/edit#gid=0"",""Gestores Escolares!D7:J""),4,0),""VERIFICAR CÓD SEC"")"),"(71) 9 9670-7667")</f>
        <v>(71) 9 9670-7667</v>
      </c>
      <c r="O1432" s="82" t="str">
        <f>IFERROR(__xludf.DUMMYFUNCTION("IFERROR(VLOOKUP(D1432,
IMPORTRANGE(""https://docs.google.com/spreadsheets/d/1MjHtlUikwobi2MaWJgy7tfLeBmhj1u-dRFRs_8GwSoA/edit#gid=0"",""Gestores Escolares!D7:J""),6,0),""VERIFICAR CÓD SEC"")"),"CLEA MARIA RODRIGUES DOS SANTOS")</f>
        <v>CLEA MARIA RODRIGUES DOS SANTOS</v>
      </c>
      <c r="P1432" s="82" t="str">
        <f>IFERROR(__xludf.DUMMYFUNCTION("IFERROR(VLOOKUP(D1432,
IMPORTRANGE(""https://docs.google.com/spreadsheets/d/1MjHtlUikwobi2MaWJgy7tfLeBmhj1u-dRFRs_8GwSoA/edit#gid=0"",""Gestores Escolares!D7:J""),7,0),""VERIFICAR CÓD SEC"")"),"(71) 9 8652-0718/9 9265-1615")</f>
        <v>(71) 9 8652-0718/9 9265-1615</v>
      </c>
      <c r="Q1432" s="82" t="str">
        <f>IFERROR(__xludf.DUMMYFUNCTION("IFERROR(VLOOKUP(D1432,
IMPORTRANGE(""https://docs.google.com/spreadsheets/d/1MjHtlUikwobi2MaWJgy7tfLeBmhj1u-dRFRs_8GwSoA/edit#gid=0"",""Gestores Escolares!D7:m""),9,0),""VERIFICAR CÓD SEC"")"),"SIMONE SANTOS MARTINS")</f>
        <v>SIMONE SANTOS MARTINS</v>
      </c>
      <c r="R1432" s="82" t="str">
        <f>IFERROR(__xludf.DUMMYFUNCTION("IFERROR(VLOOKUP(D1432,
IMPORTRANGE(""https://docs.google.com/spreadsheets/d/1MjHtlUikwobi2MaWJgy7tfLeBmhj1u-dRFRs_8GwSoA/edit#gid=0"",""Gestores Escolares!D7:m""),10,0),""VERIFICAR CÓD SEC"")"),"(71) 9 9607-9394")</f>
        <v>(71) 9 9607-9394</v>
      </c>
      <c r="S1432" s="82"/>
      <c r="T1432" s="138">
        <v>9.0</v>
      </c>
      <c r="U1432" s="145">
        <v>10.0</v>
      </c>
      <c r="V1432" s="106">
        <v>0.0</v>
      </c>
      <c r="W1432" s="107">
        <v>0.0</v>
      </c>
      <c r="X1432" s="107">
        <v>0.0</v>
      </c>
      <c r="Y1432" s="107">
        <v>0.0</v>
      </c>
      <c r="Z1432" s="80">
        <f t="shared" si="1"/>
        <v>0</v>
      </c>
      <c r="AA1432" s="106">
        <v>0.0</v>
      </c>
      <c r="AB1432" s="107">
        <v>0.0</v>
      </c>
      <c r="AC1432" s="107">
        <v>0.0</v>
      </c>
      <c r="AD1432" s="107">
        <v>0.0</v>
      </c>
      <c r="AE1432" s="80">
        <f t="shared" si="2"/>
        <v>0</v>
      </c>
      <c r="AF1432" s="140">
        <v>194.0</v>
      </c>
      <c r="AG1432" s="109">
        <v>119.0</v>
      </c>
      <c r="AH1432" s="109">
        <v>0.0</v>
      </c>
      <c r="AI1432" s="141">
        <v>448.0</v>
      </c>
      <c r="AJ1432" s="80">
        <f t="shared" si="3"/>
        <v>761</v>
      </c>
      <c r="AK1432" s="140">
        <v>0.0</v>
      </c>
      <c r="AL1432" s="109">
        <v>0.0</v>
      </c>
      <c r="AM1432" s="141">
        <v>0.0</v>
      </c>
      <c r="AN1432" s="80">
        <f t="shared" si="4"/>
        <v>0</v>
      </c>
      <c r="AO1432" s="140">
        <v>0.0</v>
      </c>
      <c r="AP1432" s="109">
        <v>0.0</v>
      </c>
      <c r="AQ1432" s="109">
        <v>128.0</v>
      </c>
      <c r="AR1432" s="80">
        <f t="shared" si="5"/>
        <v>128</v>
      </c>
      <c r="AS1432" s="110">
        <v>0.0</v>
      </c>
      <c r="AT1432" s="110">
        <v>0.0</v>
      </c>
      <c r="AU1432" s="110">
        <v>8.0</v>
      </c>
      <c r="AV1432" s="142">
        <v>0.0</v>
      </c>
      <c r="AW1432" s="80">
        <f t="shared" si="6"/>
        <v>8</v>
      </c>
      <c r="AX1432" s="113">
        <f t="shared" si="7"/>
        <v>897</v>
      </c>
      <c r="AY1432" s="117">
        <f t="shared" si="8"/>
        <v>761</v>
      </c>
      <c r="AZ1432" s="120">
        <f t="shared" si="9"/>
        <v>136</v>
      </c>
      <c r="BA1432" s="115">
        <v>1.0</v>
      </c>
      <c r="BB1432" s="89">
        <f t="shared" si="10"/>
        <v>898</v>
      </c>
      <c r="BC1432" s="132" t="s">
        <v>178</v>
      </c>
      <c r="BD1432" s="132" t="s">
        <v>178</v>
      </c>
      <c r="BE1432" s="132" t="s">
        <v>178</v>
      </c>
      <c r="BF1432" s="156"/>
      <c r="BG1432" s="83">
        <v>1134134.0</v>
      </c>
      <c r="BH1432" s="112"/>
      <c r="BI1432" s="112">
        <v>9.0</v>
      </c>
      <c r="BJ1432" s="98" t="s">
        <v>155</v>
      </c>
      <c r="BK1432" s="99">
        <f t="shared" si="11"/>
        <v>448</v>
      </c>
      <c r="BL1432" s="99">
        <f t="shared" si="12"/>
        <v>313</v>
      </c>
      <c r="BM1432" s="99" t="str">
        <f>IFERROR(__xludf.DUMMYFUNCTION("IFERROR(VLOOKUP(BG1432,IMPORTRANGE(""https://docs.google.com/spreadsheets/d/1juPI-Fb8LD0YtltB2mlGEnp_R3UVu1t3wSFPzgCyHXE/edit?gid=0#gid=0"",""GERAL!A2:C""),3,0),""-"")"),"-")</f>
        <v>-</v>
      </c>
    </row>
    <row r="1433" ht="15.75" customHeight="1">
      <c r="A1433" s="111" t="s">
        <v>1785</v>
      </c>
      <c r="B1433" s="83" t="s">
        <v>2378</v>
      </c>
      <c r="C1433" s="83" t="s">
        <v>68</v>
      </c>
      <c r="D1433" s="112">
        <v>1176073.0</v>
      </c>
      <c r="E1433" s="83"/>
      <c r="F1433" s="83">
        <v>2.9160227E7</v>
      </c>
      <c r="G1433" s="114" t="s">
        <v>8107</v>
      </c>
      <c r="H1433" s="91" t="s">
        <v>8108</v>
      </c>
      <c r="I1433" s="83" t="s">
        <v>149</v>
      </c>
      <c r="J1433" s="83" t="s">
        <v>183</v>
      </c>
      <c r="K1433" s="83" t="s">
        <v>151</v>
      </c>
      <c r="L1433" s="83" t="s">
        <v>230</v>
      </c>
      <c r="M1433" s="82" t="str">
        <f>IFERROR(__xludf.DUMMYFUNCTION("IFERROR(VLOOKUP(D1433,
IMPORTRANGE(""https://docs.google.com/spreadsheets/d/1MjHtlUikwobi2MaWJgy7tfLeBmhj1u-dRFRs_8GwSoA/edit#gid=0"",""Gestores Escolares!D7:J""),3,0),""VERIFICAR CÓD SEC"")"),"ANDRÉA PENALVA DE OLIVEIRA")</f>
        <v>ANDRÉA PENALVA DE OLIVEIRA</v>
      </c>
      <c r="N1433" s="82" t="str">
        <f>IFERROR(__xludf.DUMMYFUNCTION("IFERROR(VLOOKUP(D1433,
IMPORTRANGE(""https://docs.google.com/spreadsheets/d/1MjHtlUikwobi2MaWJgy7tfLeBmhj1u-dRFRs_8GwSoA/edit#gid=0"",""Gestores Escolares!D7:J""),4,0),""VERIFICAR CÓD SEC"")"),"(71) 9 9715-1504")</f>
        <v>(71) 9 9715-1504</v>
      </c>
      <c r="O1433" s="82" t="str">
        <f>IFERROR(__xludf.DUMMYFUNCTION("IFERROR(VLOOKUP(D1433,
IMPORTRANGE(""https://docs.google.com/spreadsheets/d/1MjHtlUikwobi2MaWJgy7tfLeBmhj1u-dRFRs_8GwSoA/edit#gid=0"",""Gestores Escolares!D7:J""),6,0),""VERIFICAR CÓD SEC"")"),"CLAUDIA ALVES SILVA DE ANDRADE")</f>
        <v>CLAUDIA ALVES SILVA DE ANDRADE</v>
      </c>
      <c r="P1433" s="82" t="str">
        <f>IFERROR(__xludf.DUMMYFUNCTION("IFERROR(VLOOKUP(D1433,
IMPORTRANGE(""https://docs.google.com/spreadsheets/d/1MjHtlUikwobi2MaWJgy7tfLeBmhj1u-dRFRs_8GwSoA/edit#gid=0"",""Gestores Escolares!D7:J""),7,0),""VERIFICAR CÓD SEC"")"),"(77) 9 8824-3009")</f>
        <v>(77) 9 8824-3009</v>
      </c>
      <c r="Q1433" s="82" t="str">
        <f>IFERROR(__xludf.DUMMYFUNCTION("IFERROR(VLOOKUP(D1433,
IMPORTRANGE(""https://docs.google.com/spreadsheets/d/1MjHtlUikwobi2MaWJgy7tfLeBmhj1u-dRFRs_8GwSoA/edit#gid=0"",""Gestores Escolares!D7:m""),9,0),""VERIFICAR CÓD SEC"")"),"EDUARDO LIMA GARCIA")</f>
        <v>EDUARDO LIMA GARCIA</v>
      </c>
      <c r="R1433" s="82" t="str">
        <f>IFERROR(__xludf.DUMMYFUNCTION("IFERROR(VLOOKUP(D1433,
IMPORTRANGE(""https://docs.google.com/spreadsheets/d/1MjHtlUikwobi2MaWJgy7tfLeBmhj1u-dRFRs_8GwSoA/edit#gid=0"",""Gestores Escolares!D7:m""),10,0),""VERIFICAR CÓD SEC"")"),"(71) 9 8181-8819")</f>
        <v>(71) 9 8181-8819</v>
      </c>
      <c r="S1433" s="82"/>
      <c r="T1433" s="138">
        <v>13.0</v>
      </c>
      <c r="U1433" s="145" t="s">
        <v>13915</v>
      </c>
      <c r="V1433" s="106">
        <v>0.0</v>
      </c>
      <c r="W1433" s="107">
        <v>0.0</v>
      </c>
      <c r="X1433" s="107">
        <v>0.0</v>
      </c>
      <c r="Y1433" s="107">
        <v>0.0</v>
      </c>
      <c r="Z1433" s="80">
        <f t="shared" si="1"/>
        <v>0</v>
      </c>
      <c r="AA1433" s="106">
        <v>0.0</v>
      </c>
      <c r="AB1433" s="107">
        <v>0.0</v>
      </c>
      <c r="AC1433" s="107">
        <v>0.0</v>
      </c>
      <c r="AD1433" s="107">
        <v>0.0</v>
      </c>
      <c r="AE1433" s="80">
        <f t="shared" si="2"/>
        <v>0</v>
      </c>
      <c r="AF1433" s="140">
        <v>127.0</v>
      </c>
      <c r="AG1433" s="109">
        <v>69.0</v>
      </c>
      <c r="AH1433" s="109">
        <v>0.0</v>
      </c>
      <c r="AI1433" s="141">
        <v>402.0</v>
      </c>
      <c r="AJ1433" s="80">
        <f t="shared" si="3"/>
        <v>598</v>
      </c>
      <c r="AK1433" s="140">
        <v>0.0</v>
      </c>
      <c r="AL1433" s="109">
        <v>0.0</v>
      </c>
      <c r="AM1433" s="141">
        <v>0.0</v>
      </c>
      <c r="AN1433" s="80">
        <f t="shared" si="4"/>
        <v>0</v>
      </c>
      <c r="AO1433" s="140">
        <v>0.0</v>
      </c>
      <c r="AP1433" s="109">
        <v>0.0</v>
      </c>
      <c r="AQ1433" s="109">
        <v>198.0</v>
      </c>
      <c r="AR1433" s="80">
        <f t="shared" si="5"/>
        <v>198</v>
      </c>
      <c r="AS1433" s="110">
        <v>0.0</v>
      </c>
      <c r="AT1433" s="110">
        <v>0.0</v>
      </c>
      <c r="AU1433" s="110">
        <v>9.0</v>
      </c>
      <c r="AV1433" s="142">
        <v>0.0</v>
      </c>
      <c r="AW1433" s="80">
        <f t="shared" si="6"/>
        <v>9</v>
      </c>
      <c r="AX1433" s="113">
        <f t="shared" si="7"/>
        <v>805</v>
      </c>
      <c r="AY1433" s="117">
        <f t="shared" si="8"/>
        <v>598</v>
      </c>
      <c r="AZ1433" s="120">
        <f t="shared" si="9"/>
        <v>207</v>
      </c>
      <c r="BA1433" s="115">
        <v>0.0</v>
      </c>
      <c r="BB1433" s="89">
        <f t="shared" si="10"/>
        <v>805</v>
      </c>
      <c r="BC1433" s="132" t="s">
        <v>178</v>
      </c>
      <c r="BD1433" s="132" t="s">
        <v>178</v>
      </c>
      <c r="BE1433" s="132" t="s">
        <v>178</v>
      </c>
      <c r="BF1433" s="156"/>
      <c r="BG1433" s="83">
        <v>1176073.0</v>
      </c>
      <c r="BH1433" s="112"/>
      <c r="BI1433" s="112">
        <v>13.0</v>
      </c>
      <c r="BJ1433" s="98" t="s">
        <v>155</v>
      </c>
      <c r="BK1433" s="99">
        <f t="shared" si="11"/>
        <v>402</v>
      </c>
      <c r="BL1433" s="99">
        <f t="shared" si="12"/>
        <v>196</v>
      </c>
      <c r="BM1433" s="99" t="str">
        <f>IFERROR(__xludf.DUMMYFUNCTION("IFERROR(VLOOKUP(BG1433,IMPORTRANGE(""https://docs.google.com/spreadsheets/d/1juPI-Fb8LD0YtltB2mlGEnp_R3UVu1t3wSFPzgCyHXE/edit?gid=0#gid=0"",""GERAL!A2:C""),3,0),""-"")"),"-")</f>
        <v>-</v>
      </c>
    </row>
    <row r="1434" ht="15.75" customHeight="1">
      <c r="A1434" s="111" t="s">
        <v>1785</v>
      </c>
      <c r="B1434" s="83" t="s">
        <v>8111</v>
      </c>
      <c r="C1434" s="83" t="s">
        <v>45</v>
      </c>
      <c r="D1434" s="98">
        <v>1179763.0</v>
      </c>
      <c r="E1434" s="98"/>
      <c r="F1434" s="98">
        <v>2.9477697E7</v>
      </c>
      <c r="G1434" s="292" t="s">
        <v>8112</v>
      </c>
      <c r="H1434" s="91" t="s">
        <v>8113</v>
      </c>
      <c r="I1434" s="115" t="s">
        <v>8114</v>
      </c>
      <c r="J1434" s="115" t="s">
        <v>150</v>
      </c>
      <c r="K1434" s="83" t="s">
        <v>151</v>
      </c>
      <c r="L1434" s="83" t="s">
        <v>169</v>
      </c>
      <c r="M1434" s="82" t="str">
        <f>IFERROR(__xludf.DUMMYFUNCTION("IFERROR(VLOOKUP(D1434,
IMPORTRANGE(""https://docs.google.com/spreadsheets/d/1MjHtlUikwobi2MaWJgy7tfLeBmhj1u-dRFRs_8GwSoA/edit#gid=0"",""Gestores Escolares!D7:J""),3,0),""VERIFICAR CÓD SEC"")"),"LUSENICE RODRIGUES VACCARI")</f>
        <v>LUSENICE RODRIGUES VACCARI</v>
      </c>
      <c r="N1434" s="82" t="str">
        <f>IFERROR(__xludf.DUMMYFUNCTION("IFERROR(VLOOKUP(D1434,
IMPORTRANGE(""https://docs.google.com/spreadsheets/d/1MjHtlUikwobi2MaWJgy7tfLeBmhj1u-dRFRs_8GwSoA/edit#gid=0"",""Gestores Escolares!D7:J""),4,0),""VERIFICAR CÓD SEC"")"),"(71) 9 9919-5139")</f>
        <v>(71) 9 9919-5139</v>
      </c>
      <c r="O1434" s="82" t="str">
        <f>IFERROR(__xludf.DUMMYFUNCTION("IFERROR(VLOOKUP(D1434,
IMPORTRANGE(""https://docs.google.com/spreadsheets/d/1MjHtlUikwobi2MaWJgy7tfLeBmhj1u-dRFRs_8GwSoA/edit#gid=0"",""Gestores Escolares!D7:J""),6,0),""VERIFICAR CÓD SEC"")"),"")</f>
        <v/>
      </c>
      <c r="P1434" s="82" t="str">
        <f>IFERROR(__xludf.DUMMYFUNCTION("IFERROR(VLOOKUP(D1434,
IMPORTRANGE(""https://docs.google.com/spreadsheets/d/1MjHtlUikwobi2MaWJgy7tfLeBmhj1u-dRFRs_8GwSoA/edit#gid=0"",""Gestores Escolares!D7:J""),7,0),""VERIFICAR CÓD SEC"")"),"")</f>
        <v/>
      </c>
      <c r="Q1434" s="82" t="str">
        <f>IFERROR(__xludf.DUMMYFUNCTION("IFERROR(VLOOKUP(D1434,
IMPORTRANGE(""https://docs.google.com/spreadsheets/d/1MjHtlUikwobi2MaWJgy7tfLeBmhj1u-dRFRs_8GwSoA/edit#gid=0"",""Gestores Escolares!D7:m""),9,0),""VERIFICAR CÓD SEC"")"),"")</f>
        <v/>
      </c>
      <c r="R1434" s="82" t="str">
        <f>IFERROR(__xludf.DUMMYFUNCTION("IFERROR(VLOOKUP(D1434,
IMPORTRANGE(""https://docs.google.com/spreadsheets/d/1MjHtlUikwobi2MaWJgy7tfLeBmhj1u-dRFRs_8GwSoA/edit#gid=0"",""Gestores Escolares!D7:m""),10,0),""VERIFICAR CÓD SEC"")"),"")</f>
        <v/>
      </c>
      <c r="S1434" s="82"/>
      <c r="T1434" s="138">
        <v>9.0</v>
      </c>
      <c r="U1434" s="145">
        <v>9.0</v>
      </c>
      <c r="V1434" s="106">
        <v>0.0</v>
      </c>
      <c r="W1434" s="107">
        <v>0.0</v>
      </c>
      <c r="X1434" s="107">
        <v>0.0</v>
      </c>
      <c r="Y1434" s="107">
        <v>0.0</v>
      </c>
      <c r="Z1434" s="80">
        <f t="shared" si="1"/>
        <v>0</v>
      </c>
      <c r="AA1434" s="106">
        <v>0.0</v>
      </c>
      <c r="AB1434" s="107">
        <v>0.0</v>
      </c>
      <c r="AC1434" s="107">
        <v>0.0</v>
      </c>
      <c r="AD1434" s="107">
        <v>0.0</v>
      </c>
      <c r="AE1434" s="80">
        <f t="shared" si="2"/>
        <v>0</v>
      </c>
      <c r="AF1434" s="225">
        <v>0.0</v>
      </c>
      <c r="AG1434" s="226">
        <v>0.0</v>
      </c>
      <c r="AH1434" s="226">
        <v>0.0</v>
      </c>
      <c r="AI1434" s="227">
        <v>167.0</v>
      </c>
      <c r="AJ1434" s="80">
        <f t="shared" si="3"/>
        <v>167</v>
      </c>
      <c r="AK1434" s="140">
        <v>0.0</v>
      </c>
      <c r="AL1434" s="109">
        <v>0.0</v>
      </c>
      <c r="AM1434" s="141">
        <v>0.0</v>
      </c>
      <c r="AN1434" s="80">
        <f t="shared" si="4"/>
        <v>0</v>
      </c>
      <c r="AO1434" s="225">
        <v>0.0</v>
      </c>
      <c r="AP1434" s="226">
        <v>0.0</v>
      </c>
      <c r="AQ1434" s="226">
        <v>0.0</v>
      </c>
      <c r="AR1434" s="80">
        <f t="shared" si="5"/>
        <v>0</v>
      </c>
      <c r="AS1434" s="110">
        <v>0.0</v>
      </c>
      <c r="AT1434" s="110">
        <v>0.0</v>
      </c>
      <c r="AU1434" s="110">
        <v>0.0</v>
      </c>
      <c r="AV1434" s="142">
        <v>0.0</v>
      </c>
      <c r="AW1434" s="80">
        <f t="shared" si="6"/>
        <v>0</v>
      </c>
      <c r="AX1434" s="113">
        <f t="shared" si="7"/>
        <v>167</v>
      </c>
      <c r="AY1434" s="117">
        <f t="shared" si="8"/>
        <v>167</v>
      </c>
      <c r="AZ1434" s="120">
        <f t="shared" si="9"/>
        <v>0</v>
      </c>
      <c r="BA1434" s="115">
        <v>0.0</v>
      </c>
      <c r="BB1434" s="89">
        <f t="shared" si="10"/>
        <v>167</v>
      </c>
      <c r="BC1434" s="132" t="s">
        <v>178</v>
      </c>
      <c r="BD1434" s="132" t="s">
        <v>178</v>
      </c>
      <c r="BE1434" s="132" t="s">
        <v>178</v>
      </c>
      <c r="BF1434" s="156"/>
      <c r="BG1434" s="98">
        <v>1179763.0</v>
      </c>
      <c r="BH1434" s="112"/>
      <c r="BI1434" s="112">
        <v>9.0</v>
      </c>
      <c r="BJ1434" s="98" t="s">
        <v>155</v>
      </c>
      <c r="BK1434" s="99">
        <f t="shared" si="11"/>
        <v>167</v>
      </c>
      <c r="BL1434" s="99">
        <f t="shared" si="12"/>
        <v>0</v>
      </c>
      <c r="BM1434" s="99" t="str">
        <f>IFERROR(__xludf.DUMMYFUNCTION("IFERROR(VLOOKUP(BG1434,IMPORTRANGE(""https://docs.google.com/spreadsheets/d/1juPI-Fb8LD0YtltB2mlGEnp_R3UVu1t3wSFPzgCyHXE/edit?gid=0#gid=0"",""GERAL!A2:C""),3,0),""-"")"),"EFA")</f>
        <v>EFA</v>
      </c>
    </row>
    <row r="1435" ht="15.75" customHeight="1">
      <c r="A1435" s="111" t="s">
        <v>1785</v>
      </c>
      <c r="B1435" s="83" t="s">
        <v>8111</v>
      </c>
      <c r="C1435" s="83" t="s">
        <v>68</v>
      </c>
      <c r="D1435" s="112">
        <v>1166354.0</v>
      </c>
      <c r="E1435" s="83"/>
      <c r="F1435" s="83">
        <v>2.9160502E7</v>
      </c>
      <c r="G1435" s="185" t="s">
        <v>8116</v>
      </c>
      <c r="H1435" s="91" t="s">
        <v>8117</v>
      </c>
      <c r="I1435" s="136" t="s">
        <v>149</v>
      </c>
      <c r="J1435" s="136" t="s">
        <v>150</v>
      </c>
      <c r="K1435" s="83" t="s">
        <v>151</v>
      </c>
      <c r="L1435" s="83" t="s">
        <v>152</v>
      </c>
      <c r="M1435" s="82" t="str">
        <f>IFERROR(__xludf.DUMMYFUNCTION("IFERROR(VLOOKUP(D1435,
IMPORTRANGE(""https://docs.google.com/spreadsheets/d/1MjHtlUikwobi2MaWJgy7tfLeBmhj1u-dRFRs_8GwSoA/edit#gid=0"",""Gestores Escolares!D7:J""),3,0),""VERIFICAR CÓD SEC"")"),"ANALICE SILVA JORGE SOBRINHA")</f>
        <v>ANALICE SILVA JORGE SOBRINHA</v>
      </c>
      <c r="N1435" s="82" t="str">
        <f>IFERROR(__xludf.DUMMYFUNCTION("IFERROR(VLOOKUP(D1435,
IMPORTRANGE(""https://docs.google.com/spreadsheets/d/1MjHtlUikwobi2MaWJgy7tfLeBmhj1u-dRFRs_8GwSoA/edit#gid=0"",""Gestores Escolares!D7:J""),4,0),""VERIFICAR CÓD SEC"")"),"(71) 9 9682-5781")</f>
        <v>(71) 9 9682-5781</v>
      </c>
      <c r="O1435" s="82" t="str">
        <f>IFERROR(__xludf.DUMMYFUNCTION("IFERROR(VLOOKUP(D1435,
IMPORTRANGE(""https://docs.google.com/spreadsheets/d/1MjHtlUikwobi2MaWJgy7tfLeBmhj1u-dRFRs_8GwSoA/edit#gid=0"",""Gestores Escolares!D7:J""),6,0),""VERIFICAR CÓD SEC"")"),"FRANCISCO DE ASSIS DA SILVA REGO")</f>
        <v>FRANCISCO DE ASSIS DA SILVA REGO</v>
      </c>
      <c r="P1435" s="82" t="str">
        <f>IFERROR(__xludf.DUMMYFUNCTION("IFERROR(VLOOKUP(D1435,
IMPORTRANGE(""https://docs.google.com/spreadsheets/d/1MjHtlUikwobi2MaWJgy7tfLeBmhj1u-dRFRs_8GwSoA/edit#gid=0"",""Gestores Escolares!D7:J""),7,0),""VERIFICAR CÓD SEC"")"),"(71) 9 9998-3773")</f>
        <v>(71) 9 9998-3773</v>
      </c>
      <c r="Q1435" s="82" t="str">
        <f>IFERROR(__xludf.DUMMYFUNCTION("IFERROR(VLOOKUP(D1435,
IMPORTRANGE(""https://docs.google.com/spreadsheets/d/1MjHtlUikwobi2MaWJgy7tfLeBmhj1u-dRFRs_8GwSoA/edit#gid=0"",""Gestores Escolares!D7:m""),9,0),""VERIFICAR CÓD SEC"")"),"TAISE LOPES FERREIRA")</f>
        <v>TAISE LOPES FERREIRA</v>
      </c>
      <c r="R1435" s="82" t="str">
        <f>IFERROR(__xludf.DUMMYFUNCTION("IFERROR(VLOOKUP(D1435,
IMPORTRANGE(""https://docs.google.com/spreadsheets/d/1MjHtlUikwobi2MaWJgy7tfLeBmhj1u-dRFRs_8GwSoA/edit#gid=0"",""Gestores Escolares!D7:m""),10,0),""VERIFICAR CÓD SEC"")"),"(71) 9 8637-2102")</f>
        <v>(71) 9 8637-2102</v>
      </c>
      <c r="S1435" s="82"/>
      <c r="T1435" s="138">
        <v>10.0</v>
      </c>
      <c r="U1435" s="139">
        <v>9.0</v>
      </c>
      <c r="V1435" s="106">
        <v>0.0</v>
      </c>
      <c r="W1435" s="107">
        <v>0.0</v>
      </c>
      <c r="X1435" s="107">
        <v>0.0</v>
      </c>
      <c r="Y1435" s="107">
        <v>0.0</v>
      </c>
      <c r="Z1435" s="80">
        <f t="shared" si="1"/>
        <v>0</v>
      </c>
      <c r="AA1435" s="106">
        <v>0.0</v>
      </c>
      <c r="AB1435" s="107">
        <v>0.0</v>
      </c>
      <c r="AC1435" s="107">
        <v>0.0</v>
      </c>
      <c r="AD1435" s="107">
        <v>0.0</v>
      </c>
      <c r="AE1435" s="80">
        <f t="shared" si="2"/>
        <v>0</v>
      </c>
      <c r="AF1435" s="140">
        <v>345.0</v>
      </c>
      <c r="AG1435" s="109">
        <v>306.0</v>
      </c>
      <c r="AH1435" s="109">
        <v>0.0</v>
      </c>
      <c r="AI1435" s="141">
        <v>0.0</v>
      </c>
      <c r="AJ1435" s="80">
        <f t="shared" si="3"/>
        <v>651</v>
      </c>
      <c r="AK1435" s="140">
        <v>0.0</v>
      </c>
      <c r="AL1435" s="109">
        <v>0.0</v>
      </c>
      <c r="AM1435" s="141">
        <v>0.0</v>
      </c>
      <c r="AN1435" s="80">
        <f t="shared" si="4"/>
        <v>0</v>
      </c>
      <c r="AO1435" s="140">
        <v>0.0</v>
      </c>
      <c r="AP1435" s="109">
        <v>0.0</v>
      </c>
      <c r="AQ1435" s="109">
        <v>307.0</v>
      </c>
      <c r="AR1435" s="80">
        <f t="shared" si="5"/>
        <v>307</v>
      </c>
      <c r="AS1435" s="110">
        <v>0.0</v>
      </c>
      <c r="AT1435" s="110">
        <v>0.0</v>
      </c>
      <c r="AU1435" s="110">
        <v>0.0</v>
      </c>
      <c r="AV1435" s="142">
        <v>0.0</v>
      </c>
      <c r="AW1435" s="80">
        <f t="shared" si="6"/>
        <v>0</v>
      </c>
      <c r="AX1435" s="113">
        <f t="shared" si="7"/>
        <v>958</v>
      </c>
      <c r="AY1435" s="117">
        <f t="shared" si="8"/>
        <v>651</v>
      </c>
      <c r="AZ1435" s="120">
        <f t="shared" si="9"/>
        <v>307</v>
      </c>
      <c r="BA1435" s="115">
        <v>0.0</v>
      </c>
      <c r="BB1435" s="89">
        <f t="shared" si="10"/>
        <v>958</v>
      </c>
      <c r="BC1435" s="132" t="s">
        <v>178</v>
      </c>
      <c r="BD1435" s="132" t="s">
        <v>178</v>
      </c>
      <c r="BE1435" s="132" t="s">
        <v>178</v>
      </c>
      <c r="BF1435" s="156"/>
      <c r="BG1435" s="83">
        <v>1166354.0</v>
      </c>
      <c r="BH1435" s="112"/>
      <c r="BI1435" s="112">
        <v>9.0</v>
      </c>
      <c r="BJ1435" s="98" t="s">
        <v>155</v>
      </c>
      <c r="BK1435" s="99">
        <f t="shared" si="11"/>
        <v>0</v>
      </c>
      <c r="BL1435" s="99">
        <f t="shared" si="12"/>
        <v>651</v>
      </c>
      <c r="BM1435" s="99" t="str">
        <f>IFERROR(__xludf.DUMMYFUNCTION("IFERROR(VLOOKUP(BG1435,IMPORTRANGE(""https://docs.google.com/spreadsheets/d/1juPI-Fb8LD0YtltB2mlGEnp_R3UVu1t3wSFPzgCyHXE/edit?gid=0#gid=0"",""GERAL!A2:C""),3,0),""-"")"),"-")</f>
        <v>-</v>
      </c>
    </row>
    <row r="1436" ht="15.75" customHeight="1">
      <c r="A1436" s="111" t="s">
        <v>1785</v>
      </c>
      <c r="B1436" s="83" t="s">
        <v>8111</v>
      </c>
      <c r="C1436" s="83" t="s">
        <v>68</v>
      </c>
      <c r="D1436" s="112">
        <v>1176461.0</v>
      </c>
      <c r="E1436" s="83"/>
      <c r="F1436" s="83">
        <v>2.9391253E7</v>
      </c>
      <c r="G1436" s="231" t="s">
        <v>8120</v>
      </c>
      <c r="H1436" s="91" t="s">
        <v>8121</v>
      </c>
      <c r="I1436" s="136" t="s">
        <v>149</v>
      </c>
      <c r="J1436" s="136" t="s">
        <v>150</v>
      </c>
      <c r="K1436" s="83" t="s">
        <v>151</v>
      </c>
      <c r="L1436" s="83" t="s">
        <v>152</v>
      </c>
      <c r="M1436" s="82" t="str">
        <f>IFERROR(__xludf.DUMMYFUNCTION("IFERROR(VLOOKUP(D1436,
IMPORTRANGE(""https://docs.google.com/spreadsheets/d/1MjHtlUikwobi2MaWJgy7tfLeBmhj1u-dRFRs_8GwSoA/edit#gid=0"",""Gestores Escolares!D7:J""),3,0),""VERIFICAR CÓD SEC"")"),"WANIA IMBRAHIM ALVES GOMES")</f>
        <v>WANIA IMBRAHIM ALVES GOMES</v>
      </c>
      <c r="N1436" s="82" t="str">
        <f>IFERROR(__xludf.DUMMYFUNCTION("IFERROR(VLOOKUP(D1436,
IMPORTRANGE(""https://docs.google.com/spreadsheets/d/1MjHtlUikwobi2MaWJgy7tfLeBmhj1u-dRFRs_8GwSoA/edit#gid=0"",""Gestores Escolares!D7:J""),4,0),""VERIFICAR CÓD SEC"")"),"(71) 9 9961-9532")</f>
        <v>(71) 9 9961-9532</v>
      </c>
      <c r="O1436" s="82" t="str">
        <f>IFERROR(__xludf.DUMMYFUNCTION("IFERROR(VLOOKUP(D1436,
IMPORTRANGE(""https://docs.google.com/spreadsheets/d/1MjHtlUikwobi2MaWJgy7tfLeBmhj1u-dRFRs_8GwSoA/edit#gid=0"",""Gestores Escolares!D7:J""),6,0),""VERIFICAR CÓD SEC"")"),"IRANI ROQUE SANTOS RIBEIRO")</f>
        <v>IRANI ROQUE SANTOS RIBEIRO</v>
      </c>
      <c r="P1436" s="82" t="str">
        <f>IFERROR(__xludf.DUMMYFUNCTION("IFERROR(VLOOKUP(D1436,
IMPORTRANGE(""https://docs.google.com/spreadsheets/d/1MjHtlUikwobi2MaWJgy7tfLeBmhj1u-dRFRs_8GwSoA/edit#gid=0"",""Gestores Escolares!D7:J""),7,0),""VERIFICAR CÓD SEC"")"),"(71) 9 9949-0964")</f>
        <v>(71) 9 9949-0964</v>
      </c>
      <c r="Q1436" s="82" t="str">
        <f>IFERROR(__xludf.DUMMYFUNCTION("IFERROR(VLOOKUP(D1436,
IMPORTRANGE(""https://docs.google.com/spreadsheets/d/1MjHtlUikwobi2MaWJgy7tfLeBmhj1u-dRFRs_8GwSoA/edit#gid=0"",""Gestores Escolares!D7:m""),9,0),""VERIFICAR CÓD SEC"")"),"")</f>
        <v/>
      </c>
      <c r="R1436" s="82" t="str">
        <f>IFERROR(__xludf.DUMMYFUNCTION("IFERROR(VLOOKUP(D1436,
IMPORTRANGE(""https://docs.google.com/spreadsheets/d/1MjHtlUikwobi2MaWJgy7tfLeBmhj1u-dRFRs_8GwSoA/edit#gid=0"",""Gestores Escolares!D7:m""),10,0),""VERIFICAR CÓD SEC"")"),"")</f>
        <v/>
      </c>
      <c r="S1436" s="82"/>
      <c r="T1436" s="138">
        <v>16.0</v>
      </c>
      <c r="U1436" s="145" t="s">
        <v>13916</v>
      </c>
      <c r="V1436" s="106">
        <v>0.0</v>
      </c>
      <c r="W1436" s="107">
        <v>0.0</v>
      </c>
      <c r="X1436" s="107">
        <v>0.0</v>
      </c>
      <c r="Y1436" s="107">
        <v>0.0</v>
      </c>
      <c r="Z1436" s="80">
        <f t="shared" si="1"/>
        <v>0</v>
      </c>
      <c r="AA1436" s="106">
        <v>0.0</v>
      </c>
      <c r="AB1436" s="107">
        <v>0.0</v>
      </c>
      <c r="AC1436" s="107">
        <v>0.0</v>
      </c>
      <c r="AD1436" s="107">
        <v>0.0</v>
      </c>
      <c r="AE1436" s="80">
        <f t="shared" si="2"/>
        <v>0</v>
      </c>
      <c r="AF1436" s="140">
        <v>0.0</v>
      </c>
      <c r="AG1436" s="109">
        <v>0.0</v>
      </c>
      <c r="AH1436" s="109">
        <v>0.0</v>
      </c>
      <c r="AI1436" s="141">
        <v>286.0</v>
      </c>
      <c r="AJ1436" s="80">
        <f t="shared" si="3"/>
        <v>286</v>
      </c>
      <c r="AK1436" s="140">
        <v>0.0</v>
      </c>
      <c r="AL1436" s="109">
        <v>0.0</v>
      </c>
      <c r="AM1436" s="141">
        <v>0.0</v>
      </c>
      <c r="AN1436" s="80">
        <f t="shared" si="4"/>
        <v>0</v>
      </c>
      <c r="AO1436" s="140">
        <v>0.0</v>
      </c>
      <c r="AP1436" s="109">
        <v>0.0</v>
      </c>
      <c r="AQ1436" s="109">
        <v>106.0</v>
      </c>
      <c r="AR1436" s="80">
        <f t="shared" si="5"/>
        <v>106</v>
      </c>
      <c r="AS1436" s="110">
        <v>0.0</v>
      </c>
      <c r="AT1436" s="110">
        <v>0.0</v>
      </c>
      <c r="AU1436" s="110">
        <v>213.0</v>
      </c>
      <c r="AV1436" s="142">
        <v>29.0</v>
      </c>
      <c r="AW1436" s="80">
        <f t="shared" si="6"/>
        <v>242</v>
      </c>
      <c r="AX1436" s="113">
        <f t="shared" si="7"/>
        <v>634</v>
      </c>
      <c r="AY1436" s="117">
        <f t="shared" si="8"/>
        <v>315</v>
      </c>
      <c r="AZ1436" s="120">
        <f t="shared" si="9"/>
        <v>319</v>
      </c>
      <c r="BA1436" s="115">
        <v>0.0</v>
      </c>
      <c r="BB1436" s="89">
        <f t="shared" si="10"/>
        <v>634</v>
      </c>
      <c r="BC1436" s="132" t="s">
        <v>178</v>
      </c>
      <c r="BD1436" s="132" t="s">
        <v>178</v>
      </c>
      <c r="BE1436" s="132" t="s">
        <v>178</v>
      </c>
      <c r="BF1436" s="156"/>
      <c r="BG1436" s="83">
        <v>1176461.0</v>
      </c>
      <c r="BH1436" s="112"/>
      <c r="BI1436" s="112">
        <v>12.0</v>
      </c>
      <c r="BJ1436" s="98" t="s">
        <v>155</v>
      </c>
      <c r="BK1436" s="99">
        <f t="shared" si="11"/>
        <v>315</v>
      </c>
      <c r="BL1436" s="99">
        <f t="shared" si="12"/>
        <v>0</v>
      </c>
      <c r="BM1436" s="99" t="str">
        <f>IFERROR(__xludf.DUMMYFUNCTION("IFERROR(VLOOKUP(BG1436,IMPORTRANGE(""https://docs.google.com/spreadsheets/d/1juPI-Fb8LD0YtltB2mlGEnp_R3UVu1t3wSFPzgCyHXE/edit?gid=0#gid=0"",""GERAL!A2:C""),3,0),""-"")"),"-")</f>
        <v>-</v>
      </c>
    </row>
    <row r="1437" ht="15.75" customHeight="1">
      <c r="A1437" s="111" t="s">
        <v>1785</v>
      </c>
      <c r="B1437" s="83" t="s">
        <v>1994</v>
      </c>
      <c r="C1437" s="83" t="s">
        <v>68</v>
      </c>
      <c r="D1437" s="112">
        <v>1103492.0</v>
      </c>
      <c r="E1437" s="83"/>
      <c r="F1437" s="83">
        <v>2.9188695E7</v>
      </c>
      <c r="G1437" s="114" t="s">
        <v>8127</v>
      </c>
      <c r="H1437" s="91" t="s">
        <v>8131</v>
      </c>
      <c r="I1437" s="136" t="s">
        <v>8133</v>
      </c>
      <c r="J1437" s="136" t="s">
        <v>150</v>
      </c>
      <c r="K1437" s="83" t="s">
        <v>168</v>
      </c>
      <c r="L1437" s="83" t="s">
        <v>152</v>
      </c>
      <c r="M1437" s="82" t="str">
        <f>IFERROR(__xludf.DUMMYFUNCTION("IFERROR(VLOOKUP(D1437,
IMPORTRANGE(""https://docs.google.com/spreadsheets/d/1MjHtlUikwobi2MaWJgy7tfLeBmhj1u-dRFRs_8GwSoA/edit#gid=0"",""Gestores Escolares!D7:J""),3,0),""VERIFICAR CÓD SEC"")"),"VALDEZE ANTONIA SILVA E SILVA")</f>
        <v>VALDEZE ANTONIA SILVA E SILVA</v>
      </c>
      <c r="N1437" s="82" t="str">
        <f>IFERROR(__xludf.DUMMYFUNCTION("IFERROR(VLOOKUP(D1437,
IMPORTRANGE(""https://docs.google.com/spreadsheets/d/1MjHtlUikwobi2MaWJgy7tfLeBmhj1u-dRFRs_8GwSoA/edit#gid=0"",""Gestores Escolares!D7:J""),4,0),""VERIFICAR CÓD SEC"")"),"(71) 9 8831-6168")</f>
        <v>(71) 9 8831-6168</v>
      </c>
      <c r="O1437" s="82" t="str">
        <f>IFERROR(__xludf.DUMMYFUNCTION("IFERROR(VLOOKUP(D1437,
IMPORTRANGE(""https://docs.google.com/spreadsheets/d/1MjHtlUikwobi2MaWJgy7tfLeBmhj1u-dRFRs_8GwSoA/edit#gid=0"",""Gestores Escolares!D7:J""),6,0),""VERIFICAR CÓD SEC"")"),"DIVA ALVES DE SOUZA")</f>
        <v>DIVA ALVES DE SOUZA</v>
      </c>
      <c r="P1437" s="82" t="str">
        <f>IFERROR(__xludf.DUMMYFUNCTION("IFERROR(VLOOKUP(D1437,
IMPORTRANGE(""https://docs.google.com/spreadsheets/d/1MjHtlUikwobi2MaWJgy7tfLeBmhj1u-dRFRs_8GwSoA/edit#gid=0"",""Gestores Escolares!D7:J""),7,0),""VERIFICAR CÓD SEC"")"),"(71) 9 8751-1582")</f>
        <v>(71) 9 8751-1582</v>
      </c>
      <c r="Q1437" s="82" t="str">
        <f>IFERROR(__xludf.DUMMYFUNCTION("IFERROR(VLOOKUP(D1437,
IMPORTRANGE(""https://docs.google.com/spreadsheets/d/1MjHtlUikwobi2MaWJgy7tfLeBmhj1u-dRFRs_8GwSoA/edit#gid=0"",""Gestores Escolares!D7:m""),9,0),""VERIFICAR CÓD SEC"")"),"IVONILDE ESPIRITO SANTO DE ANDRADE")</f>
        <v>IVONILDE ESPIRITO SANTO DE ANDRADE</v>
      </c>
      <c r="R1437" s="82" t="str">
        <f>IFERROR(__xludf.DUMMYFUNCTION("IFERROR(VLOOKUP(D1437,
IMPORTRANGE(""https://docs.google.com/spreadsheets/d/1MjHtlUikwobi2MaWJgy7tfLeBmhj1u-dRFRs_8GwSoA/edit#gid=0"",""Gestores Escolares!D7:m""),10,0),""VERIFICAR CÓD SEC"")"),"(71) 9 99151-8793")</f>
        <v>(71) 9 99151-8793</v>
      </c>
      <c r="S1437" s="82"/>
      <c r="T1437" s="138">
        <v>14.0</v>
      </c>
      <c r="U1437" s="152">
        <v>14.0</v>
      </c>
      <c r="V1437" s="106">
        <v>0.0</v>
      </c>
      <c r="W1437" s="107">
        <v>0.0</v>
      </c>
      <c r="X1437" s="107">
        <v>0.0</v>
      </c>
      <c r="Y1437" s="107">
        <v>0.0</v>
      </c>
      <c r="Z1437" s="80">
        <f t="shared" si="1"/>
        <v>0</v>
      </c>
      <c r="AA1437" s="106">
        <v>374.0</v>
      </c>
      <c r="AB1437" s="107">
        <v>203.0</v>
      </c>
      <c r="AC1437" s="107">
        <v>0.0</v>
      </c>
      <c r="AD1437" s="107">
        <v>0.0</v>
      </c>
      <c r="AE1437" s="80">
        <f t="shared" si="2"/>
        <v>577</v>
      </c>
      <c r="AF1437" s="140">
        <v>0.0</v>
      </c>
      <c r="AG1437" s="109">
        <v>0.0</v>
      </c>
      <c r="AH1437" s="109">
        <v>0.0</v>
      </c>
      <c r="AI1437" s="141">
        <v>0.0</v>
      </c>
      <c r="AJ1437" s="80">
        <f t="shared" si="3"/>
        <v>0</v>
      </c>
      <c r="AK1437" s="140">
        <v>0.0</v>
      </c>
      <c r="AL1437" s="109">
        <v>0.0</v>
      </c>
      <c r="AM1437" s="141">
        <v>0.0</v>
      </c>
      <c r="AN1437" s="80">
        <f t="shared" si="4"/>
        <v>0</v>
      </c>
      <c r="AO1437" s="140">
        <v>0.0</v>
      </c>
      <c r="AP1437" s="109">
        <v>0.0</v>
      </c>
      <c r="AQ1437" s="109">
        <v>0.0</v>
      </c>
      <c r="AR1437" s="80">
        <f t="shared" si="5"/>
        <v>0</v>
      </c>
      <c r="AS1437" s="110">
        <v>0.0</v>
      </c>
      <c r="AT1437" s="110">
        <v>0.0</v>
      </c>
      <c r="AU1437" s="110">
        <v>0.0</v>
      </c>
      <c r="AV1437" s="142">
        <v>0.0</v>
      </c>
      <c r="AW1437" s="80">
        <f t="shared" si="6"/>
        <v>0</v>
      </c>
      <c r="AX1437" s="113">
        <f t="shared" si="7"/>
        <v>577</v>
      </c>
      <c r="AY1437" s="117">
        <f t="shared" si="8"/>
        <v>577</v>
      </c>
      <c r="AZ1437" s="120">
        <f t="shared" si="9"/>
        <v>0</v>
      </c>
      <c r="BA1437" s="115">
        <v>0.0</v>
      </c>
      <c r="BB1437" s="89">
        <f t="shared" si="10"/>
        <v>577</v>
      </c>
      <c r="BC1437" s="132" t="s">
        <v>178</v>
      </c>
      <c r="BD1437" s="132" t="s">
        <v>178</v>
      </c>
      <c r="BE1437" s="132" t="s">
        <v>178</v>
      </c>
      <c r="BF1437" s="123"/>
      <c r="BG1437" s="83">
        <v>1103492.0</v>
      </c>
      <c r="BH1437" s="98" t="s">
        <v>8136</v>
      </c>
      <c r="BI1437" s="112">
        <v>14.0</v>
      </c>
      <c r="BJ1437" s="98" t="s">
        <v>155</v>
      </c>
      <c r="BK1437" s="99">
        <f t="shared" si="11"/>
        <v>0</v>
      </c>
      <c r="BL1437" s="99">
        <f t="shared" si="12"/>
        <v>577</v>
      </c>
      <c r="BM1437" s="99" t="str">
        <f>IFERROR(__xludf.DUMMYFUNCTION("IFERROR(VLOOKUP(BG1437,IMPORTRANGE(""https://docs.google.com/spreadsheets/d/1juPI-Fb8LD0YtltB2mlGEnp_R3UVu1t3wSFPzgCyHXE/edit?gid=0#gid=0"",""GERAL!A2:C""),3,0),""-"")"),"-")</f>
        <v>-</v>
      </c>
    </row>
    <row r="1438" ht="15.75" customHeight="1">
      <c r="A1438" s="111" t="s">
        <v>1785</v>
      </c>
      <c r="B1438" s="83" t="s">
        <v>1994</v>
      </c>
      <c r="C1438" s="83" t="s">
        <v>68</v>
      </c>
      <c r="D1438" s="112">
        <v>1103506.0</v>
      </c>
      <c r="E1438" s="83"/>
      <c r="F1438" s="83">
        <v>2.9187346E7</v>
      </c>
      <c r="G1438" s="114" t="s">
        <v>8138</v>
      </c>
      <c r="H1438" s="91" t="s">
        <v>8139</v>
      </c>
      <c r="I1438" s="136" t="s">
        <v>3098</v>
      </c>
      <c r="J1438" s="136" t="s">
        <v>150</v>
      </c>
      <c r="K1438" s="83" t="s">
        <v>151</v>
      </c>
      <c r="L1438" s="83" t="s">
        <v>152</v>
      </c>
      <c r="M1438" s="82" t="str">
        <f>IFERROR(__xludf.DUMMYFUNCTION("IFERROR(VLOOKUP(D1438,
IMPORTRANGE(""https://docs.google.com/spreadsheets/d/1MjHtlUikwobi2MaWJgy7tfLeBmhj1u-dRFRs_8GwSoA/edit#gid=0"",""Gestores Escolares!D7:J""),3,0),""VERIFICAR CÓD SEC"")"),"ETHEL ROCHA SILVEIRA DE CARVALHO")</f>
        <v>ETHEL ROCHA SILVEIRA DE CARVALHO</v>
      </c>
      <c r="N1438" s="82" t="str">
        <f>IFERROR(__xludf.DUMMYFUNCTION("IFERROR(VLOOKUP(D1438,
IMPORTRANGE(""https://docs.google.com/spreadsheets/d/1MjHtlUikwobi2MaWJgy7tfLeBmhj1u-dRFRs_8GwSoA/edit#gid=0"",""Gestores Escolares!D7:J""),4,0),""VERIFICAR CÓD SEC"")"),"(71) 9 9914-5911")</f>
        <v>(71) 9 9914-5911</v>
      </c>
      <c r="O1438" s="82" t="str">
        <f>IFERROR(__xludf.DUMMYFUNCTION("IFERROR(VLOOKUP(D1438,
IMPORTRANGE(""https://docs.google.com/spreadsheets/d/1MjHtlUikwobi2MaWJgy7tfLeBmhj1u-dRFRs_8GwSoA/edit#gid=0"",""Gestores Escolares!D7:J""),6,0),""VERIFICAR CÓD SEC"")"),"TATIANA COSTA BAHIA")</f>
        <v>TATIANA COSTA BAHIA</v>
      </c>
      <c r="P1438" s="82" t="str">
        <f>IFERROR(__xludf.DUMMYFUNCTION("IFERROR(VLOOKUP(D1438,
IMPORTRANGE(""https://docs.google.com/spreadsheets/d/1MjHtlUikwobi2MaWJgy7tfLeBmhj1u-dRFRs_8GwSoA/edit#gid=0"",""Gestores Escolares!D7:J""),7,0),""VERIFICAR CÓD SEC"")"),"(71) 9 9353-7404")</f>
        <v>(71) 9 9353-7404</v>
      </c>
      <c r="Q1438" s="82" t="str">
        <f>IFERROR(__xludf.DUMMYFUNCTION("IFERROR(VLOOKUP(D1438,
IMPORTRANGE(""https://docs.google.com/spreadsheets/d/1MjHtlUikwobi2MaWJgy7tfLeBmhj1u-dRFRs_8GwSoA/edit#gid=0"",""Gestores Escolares!D7:m""),9,0),""VERIFICAR CÓD SEC"")"),"")</f>
        <v/>
      </c>
      <c r="R1438" s="82" t="str">
        <f>IFERROR(__xludf.DUMMYFUNCTION("IFERROR(VLOOKUP(D1438,
IMPORTRANGE(""https://docs.google.com/spreadsheets/d/1MjHtlUikwobi2MaWJgy7tfLeBmhj1u-dRFRs_8GwSoA/edit#gid=0"",""Gestores Escolares!D7:m""),10,0),""VERIFICAR CÓD SEC"")"),"")</f>
        <v/>
      </c>
      <c r="S1438" s="82"/>
      <c r="T1438" s="138">
        <v>8.0</v>
      </c>
      <c r="U1438" s="152">
        <v>8.0</v>
      </c>
      <c r="V1438" s="106">
        <v>0.0</v>
      </c>
      <c r="W1438" s="107">
        <v>0.0</v>
      </c>
      <c r="X1438" s="107">
        <v>0.0</v>
      </c>
      <c r="Y1438" s="107">
        <v>0.0</v>
      </c>
      <c r="Z1438" s="80">
        <f t="shared" si="1"/>
        <v>0</v>
      </c>
      <c r="AA1438" s="106">
        <v>116.0</v>
      </c>
      <c r="AB1438" s="107">
        <v>53.0</v>
      </c>
      <c r="AC1438" s="107">
        <v>0.0</v>
      </c>
      <c r="AD1438" s="107">
        <v>136.0</v>
      </c>
      <c r="AE1438" s="80">
        <f t="shared" si="2"/>
        <v>305</v>
      </c>
      <c r="AF1438" s="140">
        <v>0.0</v>
      </c>
      <c r="AG1438" s="109">
        <v>0.0</v>
      </c>
      <c r="AH1438" s="109">
        <v>0.0</v>
      </c>
      <c r="AI1438" s="141">
        <v>0.0</v>
      </c>
      <c r="AJ1438" s="80">
        <f t="shared" si="3"/>
        <v>0</v>
      </c>
      <c r="AK1438" s="140">
        <v>0.0</v>
      </c>
      <c r="AL1438" s="109">
        <v>0.0</v>
      </c>
      <c r="AM1438" s="141">
        <v>37.0</v>
      </c>
      <c r="AN1438" s="80">
        <f t="shared" si="4"/>
        <v>37</v>
      </c>
      <c r="AO1438" s="140">
        <v>0.0</v>
      </c>
      <c r="AP1438" s="109">
        <v>0.0</v>
      </c>
      <c r="AQ1438" s="109">
        <v>0.0</v>
      </c>
      <c r="AR1438" s="80">
        <f t="shared" si="5"/>
        <v>0</v>
      </c>
      <c r="AS1438" s="110">
        <v>0.0</v>
      </c>
      <c r="AT1438" s="110">
        <v>0.0</v>
      </c>
      <c r="AU1438" s="110">
        <v>0.0</v>
      </c>
      <c r="AV1438" s="142">
        <v>0.0</v>
      </c>
      <c r="AW1438" s="80">
        <f t="shared" si="6"/>
        <v>0</v>
      </c>
      <c r="AX1438" s="113">
        <f t="shared" si="7"/>
        <v>342</v>
      </c>
      <c r="AY1438" s="117">
        <f t="shared" si="8"/>
        <v>305</v>
      </c>
      <c r="AZ1438" s="120">
        <f t="shared" si="9"/>
        <v>37</v>
      </c>
      <c r="BA1438" s="115">
        <v>1.0</v>
      </c>
      <c r="BB1438" s="89">
        <f t="shared" si="10"/>
        <v>343</v>
      </c>
      <c r="BC1438" s="132" t="s">
        <v>178</v>
      </c>
      <c r="BD1438" s="132" t="s">
        <v>178</v>
      </c>
      <c r="BE1438" s="132" t="s">
        <v>178</v>
      </c>
      <c r="BF1438" s="123"/>
      <c r="BG1438" s="83">
        <v>1103506.0</v>
      </c>
      <c r="BH1438" s="171" t="s">
        <v>8140</v>
      </c>
      <c r="BI1438" s="112">
        <v>8.0</v>
      </c>
      <c r="BJ1438" s="98" t="s">
        <v>155</v>
      </c>
      <c r="BK1438" s="99">
        <f t="shared" si="11"/>
        <v>136</v>
      </c>
      <c r="BL1438" s="99">
        <f t="shared" si="12"/>
        <v>169</v>
      </c>
      <c r="BM1438" s="99" t="str">
        <f>IFERROR(__xludf.DUMMYFUNCTION("IFERROR(VLOOKUP(BG1438,IMPORTRANGE(""https://docs.google.com/spreadsheets/d/1juPI-Fb8LD0YtltB2mlGEnp_R3UVu1t3wSFPzgCyHXE/edit?gid=0#gid=0"",""GERAL!A2:C""),3,0),""-"")"),"-")</f>
        <v>-</v>
      </c>
    </row>
    <row r="1439" ht="15.75" customHeight="1">
      <c r="A1439" s="111" t="s">
        <v>1785</v>
      </c>
      <c r="B1439" s="83" t="s">
        <v>1994</v>
      </c>
      <c r="C1439" s="83" t="s">
        <v>68</v>
      </c>
      <c r="D1439" s="112">
        <v>1104022.0</v>
      </c>
      <c r="E1439" s="83"/>
      <c r="F1439" s="83">
        <v>2.9188431E7</v>
      </c>
      <c r="G1439" s="114" t="s">
        <v>8141</v>
      </c>
      <c r="H1439" s="91" t="s">
        <v>8142</v>
      </c>
      <c r="I1439" s="136" t="s">
        <v>8143</v>
      </c>
      <c r="J1439" s="136" t="s">
        <v>150</v>
      </c>
      <c r="K1439" s="83" t="s">
        <v>151</v>
      </c>
      <c r="L1439" s="83" t="s">
        <v>152</v>
      </c>
      <c r="M1439" s="82" t="str">
        <f>IFERROR(__xludf.DUMMYFUNCTION("IFERROR(VLOOKUP(D1439,
IMPORTRANGE(""https://docs.google.com/spreadsheets/d/1MjHtlUikwobi2MaWJgy7tfLeBmhj1u-dRFRs_8GwSoA/edit#gid=0"",""Gestores Escolares!D7:J""),3,0),""VERIFICAR CÓD SEC"")"),"ELISAMGELA PEREIRA DE OLIVEIRA")</f>
        <v>ELISAMGELA PEREIRA DE OLIVEIRA</v>
      </c>
      <c r="N1439" s="82" t="str">
        <f>IFERROR(__xludf.DUMMYFUNCTION("IFERROR(VLOOKUP(D1439,
IMPORTRANGE(""https://docs.google.com/spreadsheets/d/1MjHtlUikwobi2MaWJgy7tfLeBmhj1u-dRFRs_8GwSoA/edit#gid=0"",""Gestores Escolares!D7:J""),4,0),""VERIFICAR CÓD SEC"")"),"(71) 9 9278-6369")</f>
        <v>(71) 9 9278-6369</v>
      </c>
      <c r="O1439" s="82" t="str">
        <f>IFERROR(__xludf.DUMMYFUNCTION("IFERROR(VLOOKUP(D1439,
IMPORTRANGE(""https://docs.google.com/spreadsheets/d/1MjHtlUikwobi2MaWJgy7tfLeBmhj1u-dRFRs_8GwSoA/edit#gid=0"",""Gestores Escolares!D7:J""),6,0),""VERIFICAR CÓD SEC"")"),"MILENE MABEL SANTOS GUSMAO")</f>
        <v>MILENE MABEL SANTOS GUSMAO</v>
      </c>
      <c r="P1439" s="82" t="str">
        <f>IFERROR(__xludf.DUMMYFUNCTION("IFERROR(VLOOKUP(D1439,
IMPORTRANGE(""https://docs.google.com/spreadsheets/d/1MjHtlUikwobi2MaWJgy7tfLeBmhj1u-dRFRs_8GwSoA/edit#gid=0"",""Gestores Escolares!D7:J""),7,0),""VERIFICAR CÓD SEC"")"),"(75) 9 9991-6417")</f>
        <v>(75) 9 9991-6417</v>
      </c>
      <c r="Q1439" s="82" t="str">
        <f>IFERROR(__xludf.DUMMYFUNCTION("IFERROR(VLOOKUP(D1439,
IMPORTRANGE(""https://docs.google.com/spreadsheets/d/1MjHtlUikwobi2MaWJgy7tfLeBmhj1u-dRFRs_8GwSoA/edit#gid=0"",""Gestores Escolares!D7:m""),9,0),""VERIFICAR CÓD SEC"")"),"DANIELE SANTANA SANTOS")</f>
        <v>DANIELE SANTANA SANTOS</v>
      </c>
      <c r="R1439" s="82" t="str">
        <f>IFERROR(__xludf.DUMMYFUNCTION("IFERROR(VLOOKUP(D1439,
IMPORTRANGE(""https://docs.google.com/spreadsheets/d/1MjHtlUikwobi2MaWJgy7tfLeBmhj1u-dRFRs_8GwSoA/edit#gid=0"",""Gestores Escolares!D7:m""),10,0),""VERIFICAR CÓD SEC"")"),"(71) 9 8602-9942")</f>
        <v>(71) 9 8602-9942</v>
      </c>
      <c r="S1439" s="82"/>
      <c r="T1439" s="138">
        <v>13.0</v>
      </c>
      <c r="U1439" s="152">
        <v>12.0</v>
      </c>
      <c r="V1439" s="106">
        <v>0.0</v>
      </c>
      <c r="W1439" s="107">
        <v>0.0</v>
      </c>
      <c r="X1439" s="107">
        <v>0.0</v>
      </c>
      <c r="Y1439" s="107">
        <v>0.0</v>
      </c>
      <c r="Z1439" s="80">
        <f t="shared" si="1"/>
        <v>0</v>
      </c>
      <c r="AA1439" s="106">
        <v>335.0</v>
      </c>
      <c r="AB1439" s="107">
        <v>329.0</v>
      </c>
      <c r="AC1439" s="107">
        <v>0.0</v>
      </c>
      <c r="AD1439" s="107">
        <v>35.0</v>
      </c>
      <c r="AE1439" s="80">
        <f t="shared" si="2"/>
        <v>699</v>
      </c>
      <c r="AF1439" s="140">
        <v>0.0</v>
      </c>
      <c r="AG1439" s="109">
        <v>0.0</v>
      </c>
      <c r="AH1439" s="109">
        <v>0.0</v>
      </c>
      <c r="AI1439" s="141">
        <v>0.0</v>
      </c>
      <c r="AJ1439" s="80">
        <f t="shared" si="3"/>
        <v>0</v>
      </c>
      <c r="AK1439" s="140">
        <v>0.0</v>
      </c>
      <c r="AL1439" s="109">
        <v>0.0</v>
      </c>
      <c r="AM1439" s="141">
        <v>148.0</v>
      </c>
      <c r="AN1439" s="80">
        <f t="shared" si="4"/>
        <v>148</v>
      </c>
      <c r="AO1439" s="140">
        <v>0.0</v>
      </c>
      <c r="AP1439" s="109">
        <v>0.0</v>
      </c>
      <c r="AQ1439" s="109">
        <v>0.0</v>
      </c>
      <c r="AR1439" s="80">
        <f t="shared" si="5"/>
        <v>0</v>
      </c>
      <c r="AS1439" s="110">
        <v>0.0</v>
      </c>
      <c r="AT1439" s="110">
        <v>0.0</v>
      </c>
      <c r="AU1439" s="110">
        <v>0.0</v>
      </c>
      <c r="AV1439" s="142">
        <v>0.0</v>
      </c>
      <c r="AW1439" s="80">
        <f t="shared" si="6"/>
        <v>0</v>
      </c>
      <c r="AX1439" s="113">
        <f t="shared" si="7"/>
        <v>847</v>
      </c>
      <c r="AY1439" s="117">
        <f t="shared" si="8"/>
        <v>699</v>
      </c>
      <c r="AZ1439" s="120">
        <f t="shared" si="9"/>
        <v>148</v>
      </c>
      <c r="BA1439" s="115">
        <v>0.0</v>
      </c>
      <c r="BB1439" s="89">
        <f t="shared" si="10"/>
        <v>847</v>
      </c>
      <c r="BC1439" s="132" t="s">
        <v>178</v>
      </c>
      <c r="BD1439" s="132" t="s">
        <v>178</v>
      </c>
      <c r="BE1439" s="132" t="s">
        <v>178</v>
      </c>
      <c r="BF1439" s="123"/>
      <c r="BG1439" s="83">
        <v>1104022.0</v>
      </c>
      <c r="BH1439" s="98" t="s">
        <v>8144</v>
      </c>
      <c r="BI1439" s="112">
        <v>12.0</v>
      </c>
      <c r="BJ1439" s="98" t="s">
        <v>155</v>
      </c>
      <c r="BK1439" s="99">
        <f t="shared" si="11"/>
        <v>35</v>
      </c>
      <c r="BL1439" s="99">
        <f t="shared" si="12"/>
        <v>664</v>
      </c>
      <c r="BM1439" s="99" t="str">
        <f>IFERROR(__xludf.DUMMYFUNCTION("IFERROR(VLOOKUP(BG1439,IMPORTRANGE(""https://docs.google.com/spreadsheets/d/1juPI-Fb8LD0YtltB2mlGEnp_R3UVu1t3wSFPzgCyHXE/edit?gid=0#gid=0"",""GERAL!A2:C""),3,0),""-"")"),"-")</f>
        <v>-</v>
      </c>
    </row>
    <row r="1440" ht="15.75" customHeight="1">
      <c r="A1440" s="111" t="s">
        <v>1785</v>
      </c>
      <c r="B1440" s="83" t="s">
        <v>1994</v>
      </c>
      <c r="C1440" s="83" t="s">
        <v>68</v>
      </c>
      <c r="D1440" s="112">
        <v>1176392.0</v>
      </c>
      <c r="E1440" s="83"/>
      <c r="F1440" s="83">
        <v>2.9374677E7</v>
      </c>
      <c r="G1440" s="114" t="s">
        <v>8145</v>
      </c>
      <c r="H1440" s="91" t="s">
        <v>8146</v>
      </c>
      <c r="I1440" s="136" t="s">
        <v>4828</v>
      </c>
      <c r="J1440" s="136" t="s">
        <v>150</v>
      </c>
      <c r="K1440" s="83" t="s">
        <v>151</v>
      </c>
      <c r="L1440" s="83" t="s">
        <v>152</v>
      </c>
      <c r="M1440" s="82" t="str">
        <f>IFERROR(__xludf.DUMMYFUNCTION("IFERROR(VLOOKUP(D1440,
IMPORTRANGE(""https://docs.google.com/spreadsheets/d/1MjHtlUikwobi2MaWJgy7tfLeBmhj1u-dRFRs_8GwSoA/edit#gid=0"",""Gestores Escolares!D7:J""),3,0),""VERIFICAR CÓD SEC"")"),"ANA PAULA NEVES DOS SANTOS RODRIGUES")</f>
        <v>ANA PAULA NEVES DOS SANTOS RODRIGUES</v>
      </c>
      <c r="N1440" s="82" t="str">
        <f>IFERROR(__xludf.DUMMYFUNCTION("IFERROR(VLOOKUP(D1440,
IMPORTRANGE(""https://docs.google.com/spreadsheets/d/1MjHtlUikwobi2MaWJgy7tfLeBmhj1u-dRFRs_8GwSoA/edit#gid=0"",""Gestores Escolares!D7:J""),4,0),""VERIFICAR CÓD SEC"")"),"(71) 9 9136-8264 ")</f>
        <v>(71) 9 9136-8264 </v>
      </c>
      <c r="O1440" s="82" t="str">
        <f>IFERROR(__xludf.DUMMYFUNCTION("IFERROR(VLOOKUP(D1440,
IMPORTRANGE(""https://docs.google.com/spreadsheets/d/1MjHtlUikwobi2MaWJgy7tfLeBmhj1u-dRFRs_8GwSoA/edit#gid=0"",""Gestores Escolares!D7:J""),6,0),""VERIFICAR CÓD SEC"")"),"NIVEA MERCIA BATISTA NEVES")</f>
        <v>NIVEA MERCIA BATISTA NEVES</v>
      </c>
      <c r="P1440" s="82" t="str">
        <f>IFERROR(__xludf.DUMMYFUNCTION("IFERROR(VLOOKUP(D1440,
IMPORTRANGE(""https://docs.google.com/spreadsheets/d/1MjHtlUikwobi2MaWJgy7tfLeBmhj1u-dRFRs_8GwSoA/edit#gid=0"",""Gestores Escolares!D7:J""),7,0),""VERIFICAR CÓD SEC"")"),"(71) 9 9615-1012")</f>
        <v>(71) 9 9615-1012</v>
      </c>
      <c r="Q1440" s="82" t="str">
        <f>IFERROR(__xludf.DUMMYFUNCTION("IFERROR(VLOOKUP(D1440,
IMPORTRANGE(""https://docs.google.com/spreadsheets/d/1MjHtlUikwobi2MaWJgy7tfLeBmhj1u-dRFRs_8GwSoA/edit#gid=0"",""Gestores Escolares!D7:m""),9,0),""VERIFICAR CÓD SEC"")"),"")</f>
        <v/>
      </c>
      <c r="R1440" s="82" t="str">
        <f>IFERROR(__xludf.DUMMYFUNCTION("IFERROR(VLOOKUP(D1440,
IMPORTRANGE(""https://docs.google.com/spreadsheets/d/1MjHtlUikwobi2MaWJgy7tfLeBmhj1u-dRFRs_8GwSoA/edit#gid=0"",""Gestores Escolares!D7:m""),10,0),""VERIFICAR CÓD SEC"")"),"")</f>
        <v/>
      </c>
      <c r="S1440" s="82"/>
      <c r="T1440" s="138">
        <v>19.0</v>
      </c>
      <c r="U1440" s="152">
        <v>17.0</v>
      </c>
      <c r="V1440" s="106">
        <v>0.0</v>
      </c>
      <c r="W1440" s="107">
        <v>0.0</v>
      </c>
      <c r="X1440" s="107">
        <v>0.0</v>
      </c>
      <c r="Y1440" s="107">
        <v>0.0</v>
      </c>
      <c r="Z1440" s="80">
        <f t="shared" si="1"/>
        <v>0</v>
      </c>
      <c r="AA1440" s="106">
        <v>0.0</v>
      </c>
      <c r="AB1440" s="107">
        <v>0.0</v>
      </c>
      <c r="AC1440" s="107">
        <v>0.0</v>
      </c>
      <c r="AD1440" s="107">
        <v>335.0</v>
      </c>
      <c r="AE1440" s="80">
        <f t="shared" si="2"/>
        <v>335</v>
      </c>
      <c r="AF1440" s="140">
        <v>0.0</v>
      </c>
      <c r="AG1440" s="109">
        <v>0.0</v>
      </c>
      <c r="AH1440" s="109">
        <v>0.0</v>
      </c>
      <c r="AI1440" s="141">
        <v>0.0</v>
      </c>
      <c r="AJ1440" s="80">
        <f t="shared" si="3"/>
        <v>0</v>
      </c>
      <c r="AK1440" s="140">
        <v>0.0</v>
      </c>
      <c r="AL1440" s="109">
        <v>0.0</v>
      </c>
      <c r="AM1440" s="141">
        <v>0.0</v>
      </c>
      <c r="AN1440" s="80">
        <f t="shared" si="4"/>
        <v>0</v>
      </c>
      <c r="AO1440" s="140">
        <v>0.0</v>
      </c>
      <c r="AP1440" s="109">
        <v>0.0</v>
      </c>
      <c r="AQ1440" s="109">
        <v>0.0</v>
      </c>
      <c r="AR1440" s="80">
        <f t="shared" si="5"/>
        <v>0</v>
      </c>
      <c r="AS1440" s="110">
        <v>0.0</v>
      </c>
      <c r="AT1440" s="110">
        <v>0.0</v>
      </c>
      <c r="AU1440" s="110">
        <v>0.0</v>
      </c>
      <c r="AV1440" s="142">
        <v>0.0</v>
      </c>
      <c r="AW1440" s="80">
        <f t="shared" si="6"/>
        <v>0</v>
      </c>
      <c r="AX1440" s="113">
        <f t="shared" si="7"/>
        <v>335</v>
      </c>
      <c r="AY1440" s="117">
        <f t="shared" si="8"/>
        <v>335</v>
      </c>
      <c r="AZ1440" s="120">
        <f t="shared" si="9"/>
        <v>0</v>
      </c>
      <c r="BA1440" s="115">
        <v>0.0</v>
      </c>
      <c r="BB1440" s="89">
        <f t="shared" si="10"/>
        <v>335</v>
      </c>
      <c r="BC1440" s="132" t="s">
        <v>178</v>
      </c>
      <c r="BD1440" s="132" t="s">
        <v>178</v>
      </c>
      <c r="BE1440" s="132" t="s">
        <v>178</v>
      </c>
      <c r="BF1440" s="156"/>
      <c r="BG1440" s="83">
        <v>1176392.0</v>
      </c>
      <c r="BH1440" s="98" t="s">
        <v>8147</v>
      </c>
      <c r="BI1440" s="112">
        <v>17.0</v>
      </c>
      <c r="BJ1440" s="98" t="s">
        <v>155</v>
      </c>
      <c r="BK1440" s="99">
        <f t="shared" si="11"/>
        <v>335</v>
      </c>
      <c r="BL1440" s="99">
        <f t="shared" si="12"/>
        <v>0</v>
      </c>
      <c r="BM1440" s="99" t="str">
        <f>IFERROR(__xludf.DUMMYFUNCTION("IFERROR(VLOOKUP(BG1440,IMPORTRANGE(""https://docs.google.com/spreadsheets/d/1juPI-Fb8LD0YtltB2mlGEnp_R3UVu1t3wSFPzgCyHXE/edit?gid=0#gid=0"",""GERAL!A2:C""),3,0),""-"")"),"-")</f>
        <v>-</v>
      </c>
    </row>
    <row r="1441" ht="15.75" customHeight="1">
      <c r="A1441" s="111" t="s">
        <v>1785</v>
      </c>
      <c r="B1441" s="83" t="s">
        <v>1994</v>
      </c>
      <c r="C1441" s="83" t="s">
        <v>68</v>
      </c>
      <c r="D1441" s="112">
        <v>1141998.0</v>
      </c>
      <c r="E1441" s="83"/>
      <c r="F1441" s="83">
        <v>2.9192218E7</v>
      </c>
      <c r="G1441" s="114" t="s">
        <v>8148</v>
      </c>
      <c r="H1441" s="91" t="s">
        <v>8149</v>
      </c>
      <c r="I1441" s="136" t="s">
        <v>8150</v>
      </c>
      <c r="J1441" s="136" t="s">
        <v>150</v>
      </c>
      <c r="K1441" s="83" t="s">
        <v>151</v>
      </c>
      <c r="L1441" s="83" t="s">
        <v>152</v>
      </c>
      <c r="M1441" s="82" t="str">
        <f>IFERROR(__xludf.DUMMYFUNCTION("IFERROR(VLOOKUP(D1441,
IMPORTRANGE(""https://docs.google.com/spreadsheets/d/1MjHtlUikwobi2MaWJgy7tfLeBmhj1u-dRFRs_8GwSoA/edit#gid=0"",""Gestores Escolares!D7:J""),3,0),""VERIFICAR CÓD SEC"")"),"SABRINA LIMA DE SOUZA")</f>
        <v>SABRINA LIMA DE SOUZA</v>
      </c>
      <c r="N1441" s="82" t="str">
        <f>IFERROR(__xludf.DUMMYFUNCTION("IFERROR(VLOOKUP(D1441,
IMPORTRANGE(""https://docs.google.com/spreadsheets/d/1MjHtlUikwobi2MaWJgy7tfLeBmhj1u-dRFRs_8GwSoA/edit#gid=0"",""Gestores Escolares!D7:J""),4,0),""VERIFICAR CÓD SEC"")"),"(71)  9 8759-6218")</f>
        <v>(71)  9 8759-6218</v>
      </c>
      <c r="O1441" s="82" t="str">
        <f>IFERROR(__xludf.DUMMYFUNCTION("IFERROR(VLOOKUP(D1441,
IMPORTRANGE(""https://docs.google.com/spreadsheets/d/1MjHtlUikwobi2MaWJgy7tfLeBmhj1u-dRFRs_8GwSoA/edit#gid=0"",""Gestores Escolares!D7:J""),6,0),""VERIFICAR CÓD SEC"")"),"EMANUEL JACKSON SILVA JERONIMO")</f>
        <v>EMANUEL JACKSON SILVA JERONIMO</v>
      </c>
      <c r="P1441" s="82" t="str">
        <f>IFERROR(__xludf.DUMMYFUNCTION("IFERROR(VLOOKUP(D1441,
IMPORTRANGE(""https://docs.google.com/spreadsheets/d/1MjHtlUikwobi2MaWJgy7tfLeBmhj1u-dRFRs_8GwSoA/edit#gid=0"",""Gestores Escolares!D7:J""),7,0),""VERIFICAR CÓD SEC"")"),"(71) 9 8186-0218")</f>
        <v>(71) 9 8186-0218</v>
      </c>
      <c r="Q1441" s="82" t="str">
        <f>IFERROR(__xludf.DUMMYFUNCTION("IFERROR(VLOOKUP(D1441,
IMPORTRANGE(""https://docs.google.com/spreadsheets/d/1MjHtlUikwobi2MaWJgy7tfLeBmhj1u-dRFRs_8GwSoA/edit#gid=0"",""Gestores Escolares!D7:m""),9,0),""VERIFICAR CÓD SEC"")"),"")</f>
        <v/>
      </c>
      <c r="R1441" s="82" t="str">
        <f>IFERROR(__xludf.DUMMYFUNCTION("IFERROR(VLOOKUP(D1441,
IMPORTRANGE(""https://docs.google.com/spreadsheets/d/1MjHtlUikwobi2MaWJgy7tfLeBmhj1u-dRFRs_8GwSoA/edit#gid=0"",""Gestores Escolares!D7:m""),10,0),""VERIFICAR CÓD SEC"")"),"")</f>
        <v/>
      </c>
      <c r="S1441" s="82"/>
      <c r="T1441" s="138">
        <v>16.0</v>
      </c>
      <c r="U1441" s="152">
        <v>11.0</v>
      </c>
      <c r="V1441" s="106">
        <v>0.0</v>
      </c>
      <c r="W1441" s="107">
        <v>0.0</v>
      </c>
      <c r="X1441" s="107">
        <v>0.0</v>
      </c>
      <c r="Y1441" s="107">
        <v>0.0</v>
      </c>
      <c r="Z1441" s="80">
        <f t="shared" si="1"/>
        <v>0</v>
      </c>
      <c r="AA1441" s="106">
        <v>357.0</v>
      </c>
      <c r="AB1441" s="107">
        <v>318.0</v>
      </c>
      <c r="AC1441" s="107">
        <v>0.0</v>
      </c>
      <c r="AD1441" s="107">
        <v>107.0</v>
      </c>
      <c r="AE1441" s="80">
        <f t="shared" si="2"/>
        <v>782</v>
      </c>
      <c r="AF1441" s="222">
        <v>0.0</v>
      </c>
      <c r="AG1441" s="222">
        <v>0.0</v>
      </c>
      <c r="AH1441" s="222">
        <v>0.0</v>
      </c>
      <c r="AI1441" s="224">
        <v>0.0</v>
      </c>
      <c r="AJ1441" s="80">
        <f t="shared" si="3"/>
        <v>0</v>
      </c>
      <c r="AK1441" s="140">
        <v>0.0</v>
      </c>
      <c r="AL1441" s="109">
        <v>0.0</v>
      </c>
      <c r="AM1441" s="141">
        <v>0.0</v>
      </c>
      <c r="AN1441" s="80">
        <f t="shared" si="4"/>
        <v>0</v>
      </c>
      <c r="AO1441" s="222">
        <v>0.0</v>
      </c>
      <c r="AP1441" s="222">
        <v>0.0</v>
      </c>
      <c r="AQ1441" s="224">
        <v>0.0</v>
      </c>
      <c r="AR1441" s="80">
        <f t="shared" si="5"/>
        <v>0</v>
      </c>
      <c r="AS1441" s="110">
        <v>0.0</v>
      </c>
      <c r="AT1441" s="110">
        <v>0.0</v>
      </c>
      <c r="AU1441" s="110">
        <v>0.0</v>
      </c>
      <c r="AV1441" s="142">
        <v>0.0</v>
      </c>
      <c r="AW1441" s="80">
        <f t="shared" si="6"/>
        <v>0</v>
      </c>
      <c r="AX1441" s="113">
        <f t="shared" si="7"/>
        <v>782</v>
      </c>
      <c r="AY1441" s="117">
        <f t="shared" si="8"/>
        <v>782</v>
      </c>
      <c r="AZ1441" s="120">
        <f t="shared" si="9"/>
        <v>0</v>
      </c>
      <c r="BA1441" s="115">
        <v>0.0</v>
      </c>
      <c r="BB1441" s="89">
        <f t="shared" si="10"/>
        <v>782</v>
      </c>
      <c r="BC1441" s="132" t="s">
        <v>178</v>
      </c>
      <c r="BD1441" s="132" t="s">
        <v>178</v>
      </c>
      <c r="BE1441" s="132" t="s">
        <v>178</v>
      </c>
      <c r="BF1441" s="156"/>
      <c r="BG1441" s="83">
        <v>1141998.0</v>
      </c>
      <c r="BH1441" s="98" t="s">
        <v>8151</v>
      </c>
      <c r="BI1441" s="112">
        <v>11.0</v>
      </c>
      <c r="BJ1441" s="98" t="s">
        <v>155</v>
      </c>
      <c r="BK1441" s="99">
        <f t="shared" si="11"/>
        <v>107</v>
      </c>
      <c r="BL1441" s="99">
        <f t="shared" si="12"/>
        <v>675</v>
      </c>
      <c r="BM1441" s="99" t="str">
        <f>IFERROR(__xludf.DUMMYFUNCTION("IFERROR(VLOOKUP(BG1441,IMPORTRANGE(""https://docs.google.com/spreadsheets/d/1juPI-Fb8LD0YtltB2mlGEnp_R3UVu1t3wSFPzgCyHXE/edit?gid=0#gid=0"",""GERAL!A2:C""),3,0),""-"")"),"-")</f>
        <v>-</v>
      </c>
    </row>
    <row r="1442" ht="15.75" customHeight="1">
      <c r="A1442" s="111" t="s">
        <v>1785</v>
      </c>
      <c r="B1442" s="83" t="s">
        <v>1994</v>
      </c>
      <c r="C1442" s="83" t="s">
        <v>68</v>
      </c>
      <c r="D1442" s="112">
        <v>1102917.0</v>
      </c>
      <c r="E1442" s="83"/>
      <c r="F1442" s="83">
        <v>2.9186552E7</v>
      </c>
      <c r="G1442" s="114" t="s">
        <v>8152</v>
      </c>
      <c r="H1442" s="91" t="s">
        <v>8153</v>
      </c>
      <c r="I1442" s="136" t="s">
        <v>8154</v>
      </c>
      <c r="J1442" s="136" t="s">
        <v>150</v>
      </c>
      <c r="K1442" s="83" t="s">
        <v>151</v>
      </c>
      <c r="L1442" s="98" t="s">
        <v>76</v>
      </c>
      <c r="M1442" s="82" t="str">
        <f>IFERROR(__xludf.DUMMYFUNCTION("IFERROR(VLOOKUP(D1442,
IMPORTRANGE(""https://docs.google.com/spreadsheets/d/1MjHtlUikwobi2MaWJgy7tfLeBmhj1u-dRFRs_8GwSoA/edit#gid=0"",""Gestores Escolares!D7:J""),3,0),""VERIFICAR CÓD SEC"")"),"HILMARIA CONCEIÇÃO CERQUEIRA")</f>
        <v>HILMARIA CONCEIÇÃO CERQUEIRA</v>
      </c>
      <c r="N1442" s="82" t="str">
        <f>IFERROR(__xludf.DUMMYFUNCTION("IFERROR(VLOOKUP(D1442,
IMPORTRANGE(""https://docs.google.com/spreadsheets/d/1MjHtlUikwobi2MaWJgy7tfLeBmhj1u-dRFRs_8GwSoA/edit#gid=0"",""Gestores Escolares!D7:J""),4,0),""VERIFICAR CÓD SEC"")"),"(71) 9 9128-8430/ 
9 9977-8430")</f>
        <v>(71) 9 9128-8430/ 
9 9977-8430</v>
      </c>
      <c r="O1442" s="82" t="str">
        <f>IFERROR(__xludf.DUMMYFUNCTION("IFERROR(VLOOKUP(D1442,
IMPORTRANGE(""https://docs.google.com/spreadsheets/d/1MjHtlUikwobi2MaWJgy7tfLeBmhj1u-dRFRs_8GwSoA/edit#gid=0"",""Gestores Escolares!D7:J""),6,0),""VERIFICAR CÓD SEC"")"),"")</f>
        <v/>
      </c>
      <c r="P1442" s="82" t="str">
        <f>IFERROR(__xludf.DUMMYFUNCTION("IFERROR(VLOOKUP(D1442,
IMPORTRANGE(""https://docs.google.com/spreadsheets/d/1MjHtlUikwobi2MaWJgy7tfLeBmhj1u-dRFRs_8GwSoA/edit#gid=0"",""Gestores Escolares!D7:J""),7,0),""VERIFICAR CÓD SEC"")"),"")</f>
        <v/>
      </c>
      <c r="Q1442" s="82" t="str">
        <f>IFERROR(__xludf.DUMMYFUNCTION("IFERROR(VLOOKUP(D1442,
IMPORTRANGE(""https://docs.google.com/spreadsheets/d/1MjHtlUikwobi2MaWJgy7tfLeBmhj1u-dRFRs_8GwSoA/edit#gid=0"",""Gestores Escolares!D7:m""),9,0),""VERIFICAR CÓD SEC"")"),"")</f>
        <v/>
      </c>
      <c r="R1442" s="82" t="str">
        <f>IFERROR(__xludf.DUMMYFUNCTION("IFERROR(VLOOKUP(D1442,
IMPORTRANGE(""https://docs.google.com/spreadsheets/d/1MjHtlUikwobi2MaWJgy7tfLeBmhj1u-dRFRs_8GwSoA/edit#gid=0"",""Gestores Escolares!D7:m""),10,0),""VERIFICAR CÓD SEC"")"),"")</f>
        <v/>
      </c>
      <c r="S1442" s="82"/>
      <c r="T1442" s="138">
        <v>7.0</v>
      </c>
      <c r="U1442" s="152">
        <v>7.0</v>
      </c>
      <c r="V1442" s="106">
        <v>0.0</v>
      </c>
      <c r="W1442" s="107">
        <v>0.0</v>
      </c>
      <c r="X1442" s="107">
        <v>0.0</v>
      </c>
      <c r="Y1442" s="107">
        <v>0.0</v>
      </c>
      <c r="Z1442" s="80">
        <f t="shared" si="1"/>
        <v>0</v>
      </c>
      <c r="AA1442" s="106">
        <v>0.0</v>
      </c>
      <c r="AB1442" s="107">
        <v>0.0</v>
      </c>
      <c r="AC1442" s="107">
        <v>0.0</v>
      </c>
      <c r="AD1442" s="107">
        <v>254.0</v>
      </c>
      <c r="AE1442" s="80">
        <f t="shared" si="2"/>
        <v>254</v>
      </c>
      <c r="AF1442" s="140">
        <v>0.0</v>
      </c>
      <c r="AG1442" s="109">
        <v>0.0</v>
      </c>
      <c r="AH1442" s="109">
        <v>0.0</v>
      </c>
      <c r="AI1442" s="141">
        <v>0.0</v>
      </c>
      <c r="AJ1442" s="80">
        <f t="shared" si="3"/>
        <v>0</v>
      </c>
      <c r="AK1442" s="140">
        <v>0.0</v>
      </c>
      <c r="AL1442" s="109">
        <v>0.0</v>
      </c>
      <c r="AM1442" s="141">
        <v>0.0</v>
      </c>
      <c r="AN1442" s="80">
        <f t="shared" si="4"/>
        <v>0</v>
      </c>
      <c r="AO1442" s="140">
        <v>0.0</v>
      </c>
      <c r="AP1442" s="109">
        <v>0.0</v>
      </c>
      <c r="AQ1442" s="109">
        <v>0.0</v>
      </c>
      <c r="AR1442" s="80">
        <f t="shared" si="5"/>
        <v>0</v>
      </c>
      <c r="AS1442" s="110">
        <v>0.0</v>
      </c>
      <c r="AT1442" s="110">
        <v>0.0</v>
      </c>
      <c r="AU1442" s="110">
        <v>0.0</v>
      </c>
      <c r="AV1442" s="142">
        <v>0.0</v>
      </c>
      <c r="AW1442" s="80">
        <f t="shared" si="6"/>
        <v>0</v>
      </c>
      <c r="AX1442" s="113">
        <f t="shared" si="7"/>
        <v>254</v>
      </c>
      <c r="AY1442" s="117">
        <f t="shared" si="8"/>
        <v>254</v>
      </c>
      <c r="AZ1442" s="120">
        <f t="shared" si="9"/>
        <v>0</v>
      </c>
      <c r="BA1442" s="115">
        <v>0.0</v>
      </c>
      <c r="BB1442" s="89">
        <f t="shared" si="10"/>
        <v>254</v>
      </c>
      <c r="BC1442" s="132" t="s">
        <v>178</v>
      </c>
      <c r="BD1442" s="132" t="s">
        <v>178</v>
      </c>
      <c r="BE1442" s="132" t="s">
        <v>178</v>
      </c>
      <c r="BF1442" s="123"/>
      <c r="BG1442" s="83">
        <v>1102917.0</v>
      </c>
      <c r="BH1442" s="98" t="s">
        <v>8155</v>
      </c>
      <c r="BI1442" s="112">
        <v>7.0</v>
      </c>
      <c r="BJ1442" s="98" t="s">
        <v>155</v>
      </c>
      <c r="BK1442" s="99">
        <f t="shared" si="11"/>
        <v>254</v>
      </c>
      <c r="BL1442" s="99">
        <f t="shared" si="12"/>
        <v>0</v>
      </c>
      <c r="BM1442" s="99" t="str">
        <f>IFERROR(__xludf.DUMMYFUNCTION("IFERROR(VLOOKUP(BG1442,IMPORTRANGE(""https://docs.google.com/spreadsheets/d/1juPI-Fb8LD0YtltB2mlGEnp_R3UVu1t3wSFPzgCyHXE/edit?gid=0#gid=0"",""GERAL!A2:C""),3,0),""-"")"),"-")</f>
        <v>-</v>
      </c>
    </row>
    <row r="1443" ht="15.75" customHeight="1">
      <c r="A1443" s="111" t="s">
        <v>1785</v>
      </c>
      <c r="B1443" s="83" t="s">
        <v>1994</v>
      </c>
      <c r="C1443" s="83" t="s">
        <v>68</v>
      </c>
      <c r="D1443" s="112">
        <v>1176074.0</v>
      </c>
      <c r="E1443" s="83"/>
      <c r="F1443" s="83">
        <v>2.9185408E7</v>
      </c>
      <c r="G1443" s="114" t="s">
        <v>8156</v>
      </c>
      <c r="H1443" s="91" t="s">
        <v>8157</v>
      </c>
      <c r="I1443" s="136" t="s">
        <v>8158</v>
      </c>
      <c r="J1443" s="136" t="s">
        <v>150</v>
      </c>
      <c r="K1443" s="83" t="s">
        <v>151</v>
      </c>
      <c r="L1443" s="83" t="s">
        <v>152</v>
      </c>
      <c r="M1443" s="82" t="str">
        <f>IFERROR(__xludf.DUMMYFUNCTION("IFERROR(VLOOKUP(D1443,
IMPORTRANGE(""https://docs.google.com/spreadsheets/d/1MjHtlUikwobi2MaWJgy7tfLeBmhj1u-dRFRs_8GwSoA/edit#gid=0"",""Gestores Escolares!D7:J""),3,0),""VERIFICAR CÓD SEC"")"),"LUCIENE OLIVEIRA LIMA")</f>
        <v>LUCIENE OLIVEIRA LIMA</v>
      </c>
      <c r="N1443" s="82" t="str">
        <f>IFERROR(__xludf.DUMMYFUNCTION("IFERROR(VLOOKUP(D1443,
IMPORTRANGE(""https://docs.google.com/spreadsheets/d/1MjHtlUikwobi2MaWJgy7tfLeBmhj1u-dRFRs_8GwSoA/edit#gid=0"",""Gestores Escolares!D7:J""),4,0),""VERIFICAR CÓD SEC"")"),"(71) 9 8729-2835")</f>
        <v>(71) 9 8729-2835</v>
      </c>
      <c r="O1443" s="82" t="str">
        <f>IFERROR(__xludf.DUMMYFUNCTION("IFERROR(VLOOKUP(D1443,
IMPORTRANGE(""https://docs.google.com/spreadsheets/d/1MjHtlUikwobi2MaWJgy7tfLeBmhj1u-dRFRs_8GwSoA/edit#gid=0"",""Gestores Escolares!D7:J""),6,0),""VERIFICAR CÓD SEC"")"),"DIRCEU DO SOCORRO PEREIRA")</f>
        <v>DIRCEU DO SOCORRO PEREIRA</v>
      </c>
      <c r="P1443" s="82" t="str">
        <f>IFERROR(__xludf.DUMMYFUNCTION("IFERROR(VLOOKUP(D1443,
IMPORTRANGE(""https://docs.google.com/spreadsheets/d/1MjHtlUikwobi2MaWJgy7tfLeBmhj1u-dRFRs_8GwSoA/edit#gid=0"",""Gestores Escolares!D7:J""),7,0),""VERIFICAR CÓD SEC"")"),"(71) 9 9263-0085")</f>
        <v>(71) 9 9263-0085</v>
      </c>
      <c r="Q1443" s="82" t="str">
        <f>IFERROR(__xludf.DUMMYFUNCTION("IFERROR(VLOOKUP(D1443,
IMPORTRANGE(""https://docs.google.com/spreadsheets/d/1MjHtlUikwobi2MaWJgy7tfLeBmhj1u-dRFRs_8GwSoA/edit#gid=0"",""Gestores Escolares!D7:m""),9,0),""VERIFICAR CÓD SEC"")"),"ANTONIO FERNANDO BARBOSA DE ANDRADE")</f>
        <v>ANTONIO FERNANDO BARBOSA DE ANDRADE</v>
      </c>
      <c r="R1443" s="82" t="str">
        <f>IFERROR(__xludf.DUMMYFUNCTION("IFERROR(VLOOKUP(D1443,
IMPORTRANGE(""https://docs.google.com/spreadsheets/d/1MjHtlUikwobi2MaWJgy7tfLeBmhj1u-dRFRs_8GwSoA/edit#gid=0"",""Gestores Escolares!D7:m""),10,0),""VERIFICAR CÓD SEC"")"),"(71) 9 9179-1483")</f>
        <v>(71) 9 9179-1483</v>
      </c>
      <c r="S1443" s="82"/>
      <c r="T1443" s="138">
        <v>16.0</v>
      </c>
      <c r="U1443" s="152">
        <v>16.0</v>
      </c>
      <c r="V1443" s="106">
        <v>0.0</v>
      </c>
      <c r="W1443" s="107">
        <v>0.0</v>
      </c>
      <c r="X1443" s="107">
        <v>0.0</v>
      </c>
      <c r="Y1443" s="107">
        <v>0.0</v>
      </c>
      <c r="Z1443" s="80">
        <f t="shared" si="1"/>
        <v>0</v>
      </c>
      <c r="AA1443" s="106">
        <v>0.0</v>
      </c>
      <c r="AB1443" s="107">
        <v>77.0</v>
      </c>
      <c r="AC1443" s="107">
        <v>0.0</v>
      </c>
      <c r="AD1443" s="107">
        <v>440.0</v>
      </c>
      <c r="AE1443" s="80">
        <f t="shared" si="2"/>
        <v>517</v>
      </c>
      <c r="AF1443" s="140">
        <v>0.0</v>
      </c>
      <c r="AG1443" s="109">
        <v>0.0</v>
      </c>
      <c r="AH1443" s="109">
        <v>0.0</v>
      </c>
      <c r="AI1443" s="141">
        <v>0.0</v>
      </c>
      <c r="AJ1443" s="80">
        <f t="shared" si="3"/>
        <v>0</v>
      </c>
      <c r="AK1443" s="140">
        <v>0.0</v>
      </c>
      <c r="AL1443" s="109">
        <v>0.0</v>
      </c>
      <c r="AM1443" s="141">
        <v>0.0</v>
      </c>
      <c r="AN1443" s="80">
        <f t="shared" si="4"/>
        <v>0</v>
      </c>
      <c r="AO1443" s="140">
        <v>0.0</v>
      </c>
      <c r="AP1443" s="109">
        <v>0.0</v>
      </c>
      <c r="AQ1443" s="109">
        <v>0.0</v>
      </c>
      <c r="AR1443" s="80">
        <f t="shared" si="5"/>
        <v>0</v>
      </c>
      <c r="AS1443" s="110">
        <v>0.0</v>
      </c>
      <c r="AT1443" s="110">
        <v>0.0</v>
      </c>
      <c r="AU1443" s="110">
        <v>0.0</v>
      </c>
      <c r="AV1443" s="142">
        <v>0.0</v>
      </c>
      <c r="AW1443" s="80">
        <f t="shared" si="6"/>
        <v>0</v>
      </c>
      <c r="AX1443" s="113">
        <f t="shared" si="7"/>
        <v>517</v>
      </c>
      <c r="AY1443" s="117">
        <f t="shared" si="8"/>
        <v>517</v>
      </c>
      <c r="AZ1443" s="120">
        <f t="shared" si="9"/>
        <v>0</v>
      </c>
      <c r="BA1443" s="115">
        <v>0.0</v>
      </c>
      <c r="BB1443" s="89">
        <f t="shared" si="10"/>
        <v>517</v>
      </c>
      <c r="BC1443" s="132" t="s">
        <v>178</v>
      </c>
      <c r="BD1443" s="132" t="s">
        <v>178</v>
      </c>
      <c r="BE1443" s="132" t="s">
        <v>178</v>
      </c>
      <c r="BF1443" s="156"/>
      <c r="BG1443" s="83">
        <v>1176074.0</v>
      </c>
      <c r="BH1443" s="385" t="s">
        <v>8159</v>
      </c>
      <c r="BI1443" s="112">
        <v>16.0</v>
      </c>
      <c r="BJ1443" s="98" t="s">
        <v>155</v>
      </c>
      <c r="BK1443" s="99">
        <f t="shared" si="11"/>
        <v>440</v>
      </c>
      <c r="BL1443" s="99">
        <f t="shared" si="12"/>
        <v>77</v>
      </c>
      <c r="BM1443" s="99" t="str">
        <f>IFERROR(__xludf.DUMMYFUNCTION("IFERROR(VLOOKUP(BG1443,IMPORTRANGE(""https://docs.google.com/spreadsheets/d/1juPI-Fb8LD0YtltB2mlGEnp_R3UVu1t3wSFPzgCyHXE/edit?gid=0#gid=0"",""GERAL!A2:C""),3,0),""-"")"),"-")</f>
        <v>-</v>
      </c>
    </row>
    <row r="1444" ht="15.75" customHeight="1">
      <c r="A1444" s="111" t="s">
        <v>1785</v>
      </c>
      <c r="B1444" s="83" t="s">
        <v>1994</v>
      </c>
      <c r="C1444" s="83" t="s">
        <v>68</v>
      </c>
      <c r="D1444" s="112">
        <v>1104375.0</v>
      </c>
      <c r="E1444" s="83"/>
      <c r="F1444" s="83">
        <v>2.9183839E7</v>
      </c>
      <c r="G1444" s="114" t="s">
        <v>8160</v>
      </c>
      <c r="H1444" s="91" t="s">
        <v>8161</v>
      </c>
      <c r="I1444" s="136" t="s">
        <v>8162</v>
      </c>
      <c r="J1444" s="136" t="s">
        <v>150</v>
      </c>
      <c r="K1444" s="83" t="s">
        <v>8163</v>
      </c>
      <c r="L1444" s="83" t="s">
        <v>152</v>
      </c>
      <c r="M1444" s="82" t="str">
        <f>IFERROR(__xludf.DUMMYFUNCTION("IFERROR(VLOOKUP(D1444,
IMPORTRANGE(""https://docs.google.com/spreadsheets/d/1MjHtlUikwobi2MaWJgy7tfLeBmhj1u-dRFRs_8GwSoA/edit#gid=0"",""Gestores Escolares!D7:J""),3,0),""VERIFICAR CÓD SEC"")"),"LUIS PAULO DE SOUSA PINTO COSTA")</f>
        <v>LUIS PAULO DE SOUSA PINTO COSTA</v>
      </c>
      <c r="N1444" s="82" t="str">
        <f>IFERROR(__xludf.DUMMYFUNCTION("IFERROR(VLOOKUP(D1444,
IMPORTRANGE(""https://docs.google.com/spreadsheets/d/1MjHtlUikwobi2MaWJgy7tfLeBmhj1u-dRFRs_8GwSoA/edit#gid=0"",""Gestores Escolares!D7:J""),4,0),""VERIFICAR CÓD SEC"")"),"(71) 9 9717-8627/
9 9323-5414")</f>
        <v>(71) 9 9717-8627/
9 9323-5414</v>
      </c>
      <c r="O1444" s="82" t="str">
        <f>IFERROR(__xludf.DUMMYFUNCTION("IFERROR(VLOOKUP(D1444,
IMPORTRANGE(""https://docs.google.com/spreadsheets/d/1MjHtlUikwobi2MaWJgy7tfLeBmhj1u-dRFRs_8GwSoA/edit#gid=0"",""Gestores Escolares!D7:J""),6,0),""VERIFICAR CÓD SEC"")"),"ITALO ALMEIDA DE OLIVEIRA")</f>
        <v>ITALO ALMEIDA DE OLIVEIRA</v>
      </c>
      <c r="P1444" s="82" t="str">
        <f>IFERROR(__xludf.DUMMYFUNCTION("IFERROR(VLOOKUP(D1444,
IMPORTRANGE(""https://docs.google.com/spreadsheets/d/1MjHtlUikwobi2MaWJgy7tfLeBmhj1u-dRFRs_8GwSoA/edit#gid=0"",""Gestores Escolares!D7:J""),7,0),""VERIFICAR CÓD SEC"")"),"(71) 9 9139-9318")</f>
        <v>(71) 9 9139-9318</v>
      </c>
      <c r="Q1444" s="82" t="str">
        <f>IFERROR(__xludf.DUMMYFUNCTION("IFERROR(VLOOKUP(D1444,
IMPORTRANGE(""https://docs.google.com/spreadsheets/d/1MjHtlUikwobi2MaWJgy7tfLeBmhj1u-dRFRs_8GwSoA/edit#gid=0"",""Gestores Escolares!D7:m""),9,0),""VERIFICAR CÓD SEC"")"),"")</f>
        <v/>
      </c>
      <c r="R1444" s="82" t="str">
        <f>IFERROR(__xludf.DUMMYFUNCTION("IFERROR(VLOOKUP(D1444,
IMPORTRANGE(""https://docs.google.com/spreadsheets/d/1MjHtlUikwobi2MaWJgy7tfLeBmhj1u-dRFRs_8GwSoA/edit#gid=0"",""Gestores Escolares!D7:m""),10,0),""VERIFICAR CÓD SEC"")"),"")</f>
        <v/>
      </c>
      <c r="S1444" s="82"/>
      <c r="T1444" s="138">
        <v>15.0</v>
      </c>
      <c r="U1444" s="152">
        <v>15.0</v>
      </c>
      <c r="V1444" s="106">
        <v>0.0</v>
      </c>
      <c r="W1444" s="107">
        <v>0.0</v>
      </c>
      <c r="X1444" s="107">
        <v>0.0</v>
      </c>
      <c r="Y1444" s="107">
        <v>0.0</v>
      </c>
      <c r="Z1444" s="80">
        <f t="shared" si="1"/>
        <v>0</v>
      </c>
      <c r="AA1444" s="106">
        <v>356.0</v>
      </c>
      <c r="AB1444" s="107">
        <v>293.0</v>
      </c>
      <c r="AC1444" s="107">
        <v>0.0</v>
      </c>
      <c r="AD1444" s="107">
        <v>0.0</v>
      </c>
      <c r="AE1444" s="80">
        <f t="shared" si="2"/>
        <v>649</v>
      </c>
      <c r="AF1444" s="140">
        <v>0.0</v>
      </c>
      <c r="AG1444" s="109">
        <v>0.0</v>
      </c>
      <c r="AH1444" s="109">
        <v>0.0</v>
      </c>
      <c r="AI1444" s="141">
        <v>0.0</v>
      </c>
      <c r="AJ1444" s="80">
        <f t="shared" si="3"/>
        <v>0</v>
      </c>
      <c r="AK1444" s="140">
        <v>0.0</v>
      </c>
      <c r="AL1444" s="109">
        <v>0.0</v>
      </c>
      <c r="AM1444" s="141">
        <v>0.0</v>
      </c>
      <c r="AN1444" s="80">
        <f t="shared" si="4"/>
        <v>0</v>
      </c>
      <c r="AO1444" s="140">
        <v>0.0</v>
      </c>
      <c r="AP1444" s="109">
        <v>0.0</v>
      </c>
      <c r="AQ1444" s="109">
        <v>0.0</v>
      </c>
      <c r="AR1444" s="80">
        <f t="shared" si="5"/>
        <v>0</v>
      </c>
      <c r="AS1444" s="110">
        <v>0.0</v>
      </c>
      <c r="AT1444" s="110">
        <v>0.0</v>
      </c>
      <c r="AU1444" s="110">
        <v>0.0</v>
      </c>
      <c r="AV1444" s="142">
        <v>0.0</v>
      </c>
      <c r="AW1444" s="80">
        <f t="shared" si="6"/>
        <v>0</v>
      </c>
      <c r="AX1444" s="113">
        <f t="shared" si="7"/>
        <v>649</v>
      </c>
      <c r="AY1444" s="117">
        <f t="shared" si="8"/>
        <v>649</v>
      </c>
      <c r="AZ1444" s="120">
        <f t="shared" si="9"/>
        <v>0</v>
      </c>
      <c r="BA1444" s="115">
        <v>0.0</v>
      </c>
      <c r="BB1444" s="89">
        <f t="shared" si="10"/>
        <v>649</v>
      </c>
      <c r="BC1444" s="132" t="s">
        <v>178</v>
      </c>
      <c r="BD1444" s="132" t="s">
        <v>178</v>
      </c>
      <c r="BE1444" s="132" t="s">
        <v>178</v>
      </c>
      <c r="BF1444" s="179"/>
      <c r="BG1444" s="83">
        <v>1104375.0</v>
      </c>
      <c r="BH1444" s="98" t="s">
        <v>8164</v>
      </c>
      <c r="BI1444" s="112">
        <v>15.0</v>
      </c>
      <c r="BJ1444" s="98" t="s">
        <v>155</v>
      </c>
      <c r="BK1444" s="99">
        <f t="shared" si="11"/>
        <v>0</v>
      </c>
      <c r="BL1444" s="99">
        <f t="shared" si="12"/>
        <v>649</v>
      </c>
      <c r="BM1444" s="99" t="str">
        <f>IFERROR(__xludf.DUMMYFUNCTION("IFERROR(VLOOKUP(BG1444,IMPORTRANGE(""https://docs.google.com/spreadsheets/d/1juPI-Fb8LD0YtltB2mlGEnp_R3UVu1t3wSFPzgCyHXE/edit?gid=0#gid=0"",""GERAL!A2:C""),3,0),""-"")"),"-")</f>
        <v>-</v>
      </c>
    </row>
    <row r="1445" ht="15.75" customHeight="1">
      <c r="A1445" s="111" t="s">
        <v>1785</v>
      </c>
      <c r="B1445" s="83" t="s">
        <v>1994</v>
      </c>
      <c r="C1445" s="83" t="s">
        <v>68</v>
      </c>
      <c r="D1445" s="112">
        <v>1176800.0</v>
      </c>
      <c r="E1445" s="83"/>
      <c r="F1445" s="83">
        <v>2.9404312E7</v>
      </c>
      <c r="G1445" s="114" t="s">
        <v>8165</v>
      </c>
      <c r="H1445" s="91" t="s">
        <v>8166</v>
      </c>
      <c r="I1445" s="83" t="s">
        <v>8167</v>
      </c>
      <c r="J1445" s="83" t="s">
        <v>150</v>
      </c>
      <c r="K1445" s="83" t="s">
        <v>151</v>
      </c>
      <c r="L1445" s="83" t="s">
        <v>76</v>
      </c>
      <c r="M1445" s="82" t="str">
        <f>IFERROR(__xludf.DUMMYFUNCTION("IFERROR(VLOOKUP(D1445,
IMPORTRANGE(""https://docs.google.com/spreadsheets/d/1MjHtlUikwobi2MaWJgy7tfLeBmhj1u-dRFRs_8GwSoA/edit#gid=0"",""Gestores Escolares!D7:J""),3,0),""VERIFICAR CÓD SEC"")"),"TELMA LIMA DA CRUZ")</f>
        <v>TELMA LIMA DA CRUZ</v>
      </c>
      <c r="N1445" s="82" t="str">
        <f>IFERROR(__xludf.DUMMYFUNCTION("IFERROR(VLOOKUP(D1445,
IMPORTRANGE(""https://docs.google.com/spreadsheets/d/1MjHtlUikwobi2MaWJgy7tfLeBmhj1u-dRFRs_8GwSoA/edit#gid=0"",""Gestores Escolares!D7:J""),4,0),""VERIFICAR CÓD SEC"")"),"(71) 9 8747-1516/
9 9323-2507")</f>
        <v>(71) 9 8747-1516/
9 9323-2507</v>
      </c>
      <c r="O1445" s="82" t="str">
        <f>IFERROR(__xludf.DUMMYFUNCTION("IFERROR(VLOOKUP(D1445,
IMPORTRANGE(""https://docs.google.com/spreadsheets/d/1MjHtlUikwobi2MaWJgy7tfLeBmhj1u-dRFRs_8GwSoA/edit#gid=0"",""Gestores Escolares!D7:J""),6,0),""VERIFICAR CÓD SEC"")"),"VILMAN FERREIRA SOLIDADE BARBOSA")</f>
        <v>VILMAN FERREIRA SOLIDADE BARBOSA</v>
      </c>
      <c r="P1445" s="82" t="str">
        <f>IFERROR(__xludf.DUMMYFUNCTION("IFERROR(VLOOKUP(D1445,
IMPORTRANGE(""https://docs.google.com/spreadsheets/d/1MjHtlUikwobi2MaWJgy7tfLeBmhj1u-dRFRs_8GwSoA/edit#gid=0"",""Gestores Escolares!D7:J""),7,0),""VERIFICAR CÓD SEC"")"),"(71) 9 8147 1356")</f>
        <v>(71) 9 8147 1356</v>
      </c>
      <c r="Q1445" s="82" t="str">
        <f>IFERROR(__xludf.DUMMYFUNCTION("IFERROR(VLOOKUP(D1445,
IMPORTRANGE(""https://docs.google.com/spreadsheets/d/1MjHtlUikwobi2MaWJgy7tfLeBmhj1u-dRFRs_8GwSoA/edit#gid=0"",""Gestores Escolares!D7:m""),9,0),""VERIFICAR CÓD SEC"")"),"")</f>
        <v/>
      </c>
      <c r="R1445" s="82" t="str">
        <f>IFERROR(__xludf.DUMMYFUNCTION("IFERROR(VLOOKUP(D1445,
IMPORTRANGE(""https://docs.google.com/spreadsheets/d/1MjHtlUikwobi2MaWJgy7tfLeBmhj1u-dRFRs_8GwSoA/edit#gid=0"",""Gestores Escolares!D7:m""),10,0),""VERIFICAR CÓD SEC"")"),"")</f>
        <v/>
      </c>
      <c r="S1445" s="82"/>
      <c r="T1445" s="138">
        <v>7.0</v>
      </c>
      <c r="U1445" s="152">
        <v>7.0</v>
      </c>
      <c r="V1445" s="106">
        <v>0.0</v>
      </c>
      <c r="W1445" s="107">
        <v>0.0</v>
      </c>
      <c r="X1445" s="107">
        <v>0.0</v>
      </c>
      <c r="Y1445" s="107">
        <v>0.0</v>
      </c>
      <c r="Z1445" s="80">
        <f t="shared" si="1"/>
        <v>0</v>
      </c>
      <c r="AA1445" s="106">
        <v>237.0</v>
      </c>
      <c r="AB1445" s="107">
        <v>234.0</v>
      </c>
      <c r="AC1445" s="107">
        <v>0.0</v>
      </c>
      <c r="AD1445" s="107">
        <v>0.0</v>
      </c>
      <c r="AE1445" s="80">
        <f t="shared" si="2"/>
        <v>471</v>
      </c>
      <c r="AF1445" s="140">
        <v>0.0</v>
      </c>
      <c r="AG1445" s="109">
        <v>0.0</v>
      </c>
      <c r="AH1445" s="109">
        <v>0.0</v>
      </c>
      <c r="AI1445" s="141">
        <v>0.0</v>
      </c>
      <c r="AJ1445" s="80">
        <f t="shared" si="3"/>
        <v>0</v>
      </c>
      <c r="AK1445" s="140">
        <v>0.0</v>
      </c>
      <c r="AL1445" s="109">
        <v>0.0</v>
      </c>
      <c r="AM1445" s="141">
        <v>0.0</v>
      </c>
      <c r="AN1445" s="80">
        <f t="shared" si="4"/>
        <v>0</v>
      </c>
      <c r="AO1445" s="140">
        <v>0.0</v>
      </c>
      <c r="AP1445" s="109">
        <v>0.0</v>
      </c>
      <c r="AQ1445" s="109">
        <v>0.0</v>
      </c>
      <c r="AR1445" s="80">
        <f t="shared" si="5"/>
        <v>0</v>
      </c>
      <c r="AS1445" s="110">
        <v>0.0</v>
      </c>
      <c r="AT1445" s="110">
        <v>0.0</v>
      </c>
      <c r="AU1445" s="110">
        <v>0.0</v>
      </c>
      <c r="AV1445" s="142">
        <v>0.0</v>
      </c>
      <c r="AW1445" s="80">
        <f t="shared" si="6"/>
        <v>0</v>
      </c>
      <c r="AX1445" s="113">
        <f t="shared" si="7"/>
        <v>471</v>
      </c>
      <c r="AY1445" s="117">
        <f t="shared" si="8"/>
        <v>471</v>
      </c>
      <c r="AZ1445" s="120">
        <f t="shared" si="9"/>
        <v>0</v>
      </c>
      <c r="BA1445" s="115">
        <v>0.0</v>
      </c>
      <c r="BB1445" s="89">
        <f t="shared" si="10"/>
        <v>471</v>
      </c>
      <c r="BC1445" s="132" t="s">
        <v>178</v>
      </c>
      <c r="BD1445" s="132" t="s">
        <v>178</v>
      </c>
      <c r="BE1445" s="132" t="s">
        <v>178</v>
      </c>
      <c r="BF1445" s="156"/>
      <c r="BG1445" s="83">
        <v>1176800.0</v>
      </c>
      <c r="BH1445" s="98" t="s">
        <v>8168</v>
      </c>
      <c r="BI1445" s="112">
        <v>7.0</v>
      </c>
      <c r="BJ1445" s="98" t="s">
        <v>155</v>
      </c>
      <c r="BK1445" s="99">
        <f t="shared" si="11"/>
        <v>0</v>
      </c>
      <c r="BL1445" s="99">
        <f t="shared" si="12"/>
        <v>471</v>
      </c>
      <c r="BM1445" s="99" t="str">
        <f>IFERROR(__xludf.DUMMYFUNCTION("IFERROR(VLOOKUP(BG1445,IMPORTRANGE(""https://docs.google.com/spreadsheets/d/1juPI-Fb8LD0YtltB2mlGEnp_R3UVu1t3wSFPzgCyHXE/edit?gid=0#gid=0"",""GERAL!A2:C""),3,0),""-"")"),"-")</f>
        <v>-</v>
      </c>
    </row>
    <row r="1446" ht="15.75" customHeight="1">
      <c r="A1446" s="111" t="s">
        <v>1785</v>
      </c>
      <c r="B1446" s="83" t="s">
        <v>1994</v>
      </c>
      <c r="C1446" s="83" t="s">
        <v>68</v>
      </c>
      <c r="D1446" s="112">
        <v>1104715.0</v>
      </c>
      <c r="E1446" s="83"/>
      <c r="F1446" s="83">
        <v>2.9187079E7</v>
      </c>
      <c r="G1446" s="114" t="s">
        <v>8169</v>
      </c>
      <c r="H1446" s="91" t="s">
        <v>8170</v>
      </c>
      <c r="I1446" s="83" t="s">
        <v>8171</v>
      </c>
      <c r="J1446" s="83" t="s">
        <v>150</v>
      </c>
      <c r="K1446" s="83" t="s">
        <v>151</v>
      </c>
      <c r="L1446" s="83" t="s">
        <v>152</v>
      </c>
      <c r="M1446" s="82" t="str">
        <f>IFERROR(__xludf.DUMMYFUNCTION("IFERROR(VLOOKUP(D1446,
IMPORTRANGE(""https://docs.google.com/spreadsheets/d/1MjHtlUikwobi2MaWJgy7tfLeBmhj1u-dRFRs_8GwSoA/edit#gid=0"",""Gestores Escolares!D7:J""),3,0),""VERIFICAR CÓD SEC"")"),"VIVIANE CARLA BANDEIRA SANTOS")</f>
        <v>VIVIANE CARLA BANDEIRA SANTOS</v>
      </c>
      <c r="N1446" s="82" t="str">
        <f>IFERROR(__xludf.DUMMYFUNCTION("IFERROR(VLOOKUP(D1446,
IMPORTRANGE(""https://docs.google.com/spreadsheets/d/1MjHtlUikwobi2MaWJgy7tfLeBmhj1u-dRFRs_8GwSoA/edit#gid=0"",""Gestores Escolares!D7:J""),4,0),""VERIFICAR CÓD SEC"")"),"(71) 9 9121-7060")</f>
        <v>(71) 9 9121-7060</v>
      </c>
      <c r="O1446" s="82" t="str">
        <f>IFERROR(__xludf.DUMMYFUNCTION("IFERROR(VLOOKUP(D1446,
IMPORTRANGE(""https://docs.google.com/spreadsheets/d/1MjHtlUikwobi2MaWJgy7tfLeBmhj1u-dRFRs_8GwSoA/edit#gid=0"",""Gestores Escolares!D7:J""),6,0),""VERIFICAR CÓD SEC"")"),"GEISA PALMEIRA SILVA SANTOS")</f>
        <v>GEISA PALMEIRA SILVA SANTOS</v>
      </c>
      <c r="P1446" s="82" t="str">
        <f>IFERROR(__xludf.DUMMYFUNCTION("IFERROR(VLOOKUP(D1446,
IMPORTRANGE(""https://docs.google.com/spreadsheets/d/1MjHtlUikwobi2MaWJgy7tfLeBmhj1u-dRFRs_8GwSoA/edit#gid=0"",""Gestores Escolares!D7:J""),7,0),""VERIFICAR CÓD SEC"")"),"(71) 9 8708-0515")</f>
        <v>(71) 9 8708-0515</v>
      </c>
      <c r="Q1446" s="82" t="str">
        <f>IFERROR(__xludf.DUMMYFUNCTION("IFERROR(VLOOKUP(D1446,
IMPORTRANGE(""https://docs.google.com/spreadsheets/d/1MjHtlUikwobi2MaWJgy7tfLeBmhj1u-dRFRs_8GwSoA/edit#gid=0"",""Gestores Escolares!D7:m""),9,0),""VERIFICAR CÓD SEC"")"),"JOSEFA MARLENE DA SILVA")</f>
        <v>JOSEFA MARLENE DA SILVA</v>
      </c>
      <c r="R1446" s="82" t="str">
        <f>IFERROR(__xludf.DUMMYFUNCTION("IFERROR(VLOOKUP(D1446,
IMPORTRANGE(""https://docs.google.com/spreadsheets/d/1MjHtlUikwobi2MaWJgy7tfLeBmhj1u-dRFRs_8GwSoA/edit#gid=0"",""Gestores Escolares!D7:m""),10,0),""VERIFICAR CÓD SEC"")")," (71) 9 9720-5557")</f>
        <v> (71) 9 9720-5557</v>
      </c>
      <c r="S1446" s="82"/>
      <c r="T1446" s="138">
        <v>15.0</v>
      </c>
      <c r="U1446" s="152" t="s">
        <v>13917</v>
      </c>
      <c r="V1446" s="106">
        <v>0.0</v>
      </c>
      <c r="W1446" s="107">
        <v>0.0</v>
      </c>
      <c r="X1446" s="107">
        <v>0.0</v>
      </c>
      <c r="Y1446" s="107">
        <v>0.0</v>
      </c>
      <c r="Z1446" s="80">
        <f t="shared" si="1"/>
        <v>0</v>
      </c>
      <c r="AA1446" s="106">
        <v>313.0</v>
      </c>
      <c r="AB1446" s="107">
        <v>214.0</v>
      </c>
      <c r="AC1446" s="107">
        <v>0.0</v>
      </c>
      <c r="AD1446" s="107">
        <v>151.0</v>
      </c>
      <c r="AE1446" s="80">
        <f t="shared" si="2"/>
        <v>678</v>
      </c>
      <c r="AF1446" s="140">
        <v>0.0</v>
      </c>
      <c r="AG1446" s="109">
        <v>0.0</v>
      </c>
      <c r="AH1446" s="109">
        <v>0.0</v>
      </c>
      <c r="AI1446" s="141">
        <v>0.0</v>
      </c>
      <c r="AJ1446" s="80">
        <f t="shared" si="3"/>
        <v>0</v>
      </c>
      <c r="AK1446" s="140">
        <v>0.0</v>
      </c>
      <c r="AL1446" s="109">
        <v>0.0</v>
      </c>
      <c r="AM1446" s="141">
        <v>49.0</v>
      </c>
      <c r="AN1446" s="80">
        <f t="shared" si="4"/>
        <v>49</v>
      </c>
      <c r="AO1446" s="140">
        <v>0.0</v>
      </c>
      <c r="AP1446" s="109">
        <v>0.0</v>
      </c>
      <c r="AQ1446" s="109">
        <v>0.0</v>
      </c>
      <c r="AR1446" s="80">
        <f t="shared" si="5"/>
        <v>0</v>
      </c>
      <c r="AS1446" s="110">
        <v>0.0</v>
      </c>
      <c r="AT1446" s="110">
        <v>0.0</v>
      </c>
      <c r="AU1446" s="110">
        <v>0.0</v>
      </c>
      <c r="AV1446" s="142">
        <v>0.0</v>
      </c>
      <c r="AW1446" s="80">
        <f t="shared" si="6"/>
        <v>0</v>
      </c>
      <c r="AX1446" s="113">
        <f t="shared" si="7"/>
        <v>727</v>
      </c>
      <c r="AY1446" s="117">
        <f t="shared" si="8"/>
        <v>678</v>
      </c>
      <c r="AZ1446" s="120">
        <f t="shared" si="9"/>
        <v>49</v>
      </c>
      <c r="BA1446" s="115">
        <v>2.0</v>
      </c>
      <c r="BB1446" s="89">
        <f t="shared" si="10"/>
        <v>729</v>
      </c>
      <c r="BC1446" s="132" t="s">
        <v>178</v>
      </c>
      <c r="BD1446" s="132" t="s">
        <v>178</v>
      </c>
      <c r="BE1446" s="132" t="s">
        <v>178</v>
      </c>
      <c r="BF1446" s="123"/>
      <c r="BG1446" s="83">
        <v>1104715.0</v>
      </c>
      <c r="BH1446" s="98" t="s">
        <v>8172</v>
      </c>
      <c r="BI1446" s="112">
        <v>15.0</v>
      </c>
      <c r="BJ1446" s="98" t="s">
        <v>155</v>
      </c>
      <c r="BK1446" s="99">
        <f t="shared" si="11"/>
        <v>151</v>
      </c>
      <c r="BL1446" s="99">
        <f t="shared" si="12"/>
        <v>527</v>
      </c>
      <c r="BM1446" s="99" t="str">
        <f>IFERROR(__xludf.DUMMYFUNCTION("IFERROR(VLOOKUP(BG1446,IMPORTRANGE(""https://docs.google.com/spreadsheets/d/1juPI-Fb8LD0YtltB2mlGEnp_R3UVu1t3wSFPzgCyHXE/edit?gid=0#gid=0"",""GERAL!A2:C""),3,0),""-"")"),"-")</f>
        <v>-</v>
      </c>
    </row>
    <row r="1447" ht="15.75" customHeight="1">
      <c r="A1447" s="111" t="s">
        <v>1785</v>
      </c>
      <c r="B1447" s="83" t="s">
        <v>1994</v>
      </c>
      <c r="C1447" s="83" t="s">
        <v>68</v>
      </c>
      <c r="D1447" s="112">
        <v>1101759.0</v>
      </c>
      <c r="E1447" s="83"/>
      <c r="F1447" s="83">
        <v>2.9187877E7</v>
      </c>
      <c r="G1447" s="114" t="s">
        <v>8173</v>
      </c>
      <c r="H1447" s="91" t="s">
        <v>8174</v>
      </c>
      <c r="I1447" s="83" t="s">
        <v>8175</v>
      </c>
      <c r="J1447" s="83" t="s">
        <v>150</v>
      </c>
      <c r="K1447" s="83" t="s">
        <v>151</v>
      </c>
      <c r="L1447" s="83" t="s">
        <v>152</v>
      </c>
      <c r="M1447" s="82" t="str">
        <f>IFERROR(__xludf.DUMMYFUNCTION("IFERROR(VLOOKUP(D1447,
IMPORTRANGE(""https://docs.google.com/spreadsheets/d/1MjHtlUikwobi2MaWJgy7tfLeBmhj1u-dRFRs_8GwSoA/edit#gid=0"",""Gestores Escolares!D7:J""),3,0),""VERIFICAR CÓD SEC"")"),"ANDRE DE OLIVEIRA ROCHA")</f>
        <v>ANDRE DE OLIVEIRA ROCHA</v>
      </c>
      <c r="N1447" s="82" t="str">
        <f>IFERROR(__xludf.DUMMYFUNCTION("IFERROR(VLOOKUP(D1447,
IMPORTRANGE(""https://docs.google.com/spreadsheets/d/1MjHtlUikwobi2MaWJgy7tfLeBmhj1u-dRFRs_8GwSoA/edit#gid=0"",""Gestores Escolares!D7:J""),4,0),""VERIFICAR CÓD SEC"")"),"(71) 9 8746-6812/
9 8318-6262")</f>
        <v>(71) 9 8746-6812/
9 8318-6262</v>
      </c>
      <c r="O1447" s="82" t="str">
        <f>IFERROR(__xludf.DUMMYFUNCTION("IFERROR(VLOOKUP(D1447,
IMPORTRANGE(""https://docs.google.com/spreadsheets/d/1MjHtlUikwobi2MaWJgy7tfLeBmhj1u-dRFRs_8GwSoA/edit#gid=0"",""Gestores Escolares!D7:J""),6,0),""VERIFICAR CÓD SEC"")"),"KARINE SOARES FREIRE DE OLIVEIRA")</f>
        <v>KARINE SOARES FREIRE DE OLIVEIRA</v>
      </c>
      <c r="P1447" s="82" t="str">
        <f>IFERROR(__xludf.DUMMYFUNCTION("IFERROR(VLOOKUP(D1447,
IMPORTRANGE(""https://docs.google.com/spreadsheets/d/1MjHtlUikwobi2MaWJgy7tfLeBmhj1u-dRFRs_8GwSoA/edit#gid=0"",""Gestores Escolares!D7:J""),7,0),""VERIFICAR CÓD SEC"")"),"")</f>
        <v/>
      </c>
      <c r="Q1447" s="82" t="str">
        <f>IFERROR(__xludf.DUMMYFUNCTION("IFERROR(VLOOKUP(D1447,
IMPORTRANGE(""https://docs.google.com/spreadsheets/d/1MjHtlUikwobi2MaWJgy7tfLeBmhj1u-dRFRs_8GwSoA/edit#gid=0"",""Gestores Escolares!D7:m""),9,0),""VERIFICAR CÓD SEC"")"),"")</f>
        <v/>
      </c>
      <c r="R1447" s="82" t="str">
        <f>IFERROR(__xludf.DUMMYFUNCTION("IFERROR(VLOOKUP(D1447,
IMPORTRANGE(""https://docs.google.com/spreadsheets/d/1MjHtlUikwobi2MaWJgy7tfLeBmhj1u-dRFRs_8GwSoA/edit#gid=0"",""Gestores Escolares!D7:m""),10,0),""VERIFICAR CÓD SEC"")"),"")</f>
        <v/>
      </c>
      <c r="S1447" s="82"/>
      <c r="T1447" s="138">
        <v>8.0</v>
      </c>
      <c r="U1447" s="152">
        <v>8.0</v>
      </c>
      <c r="V1447" s="106">
        <v>0.0</v>
      </c>
      <c r="W1447" s="107">
        <v>0.0</v>
      </c>
      <c r="X1447" s="107">
        <v>0.0</v>
      </c>
      <c r="Y1447" s="107">
        <v>0.0</v>
      </c>
      <c r="Z1447" s="80">
        <f t="shared" si="1"/>
        <v>0</v>
      </c>
      <c r="AA1447" s="106">
        <v>269.0</v>
      </c>
      <c r="AB1447" s="107">
        <v>257.0</v>
      </c>
      <c r="AC1447" s="107">
        <v>0.0</v>
      </c>
      <c r="AD1447" s="107">
        <v>0.0</v>
      </c>
      <c r="AE1447" s="80">
        <f t="shared" si="2"/>
        <v>526</v>
      </c>
      <c r="AF1447" s="140">
        <v>0.0</v>
      </c>
      <c r="AG1447" s="109">
        <v>0.0</v>
      </c>
      <c r="AH1447" s="109">
        <v>0.0</v>
      </c>
      <c r="AI1447" s="141">
        <v>0.0</v>
      </c>
      <c r="AJ1447" s="80">
        <f t="shared" si="3"/>
        <v>0</v>
      </c>
      <c r="AK1447" s="140">
        <v>0.0</v>
      </c>
      <c r="AL1447" s="109">
        <v>0.0</v>
      </c>
      <c r="AM1447" s="141">
        <v>0.0</v>
      </c>
      <c r="AN1447" s="80">
        <f t="shared" si="4"/>
        <v>0</v>
      </c>
      <c r="AO1447" s="140">
        <v>0.0</v>
      </c>
      <c r="AP1447" s="109">
        <v>0.0</v>
      </c>
      <c r="AQ1447" s="109">
        <v>0.0</v>
      </c>
      <c r="AR1447" s="80">
        <f t="shared" si="5"/>
        <v>0</v>
      </c>
      <c r="AS1447" s="110">
        <v>0.0</v>
      </c>
      <c r="AT1447" s="110">
        <v>0.0</v>
      </c>
      <c r="AU1447" s="110">
        <v>0.0</v>
      </c>
      <c r="AV1447" s="142">
        <v>0.0</v>
      </c>
      <c r="AW1447" s="80">
        <f t="shared" si="6"/>
        <v>0</v>
      </c>
      <c r="AX1447" s="113">
        <f t="shared" si="7"/>
        <v>526</v>
      </c>
      <c r="AY1447" s="117">
        <f t="shared" si="8"/>
        <v>526</v>
      </c>
      <c r="AZ1447" s="120">
        <f t="shared" si="9"/>
        <v>0</v>
      </c>
      <c r="BA1447" s="115">
        <v>0.0</v>
      </c>
      <c r="BB1447" s="89">
        <f t="shared" si="10"/>
        <v>526</v>
      </c>
      <c r="BC1447" s="132" t="s">
        <v>178</v>
      </c>
      <c r="BD1447" s="132" t="s">
        <v>178</v>
      </c>
      <c r="BE1447" s="132" t="s">
        <v>178</v>
      </c>
      <c r="BF1447" s="123"/>
      <c r="BG1447" s="83">
        <v>1101759.0</v>
      </c>
      <c r="BH1447" s="98" t="s">
        <v>8176</v>
      </c>
      <c r="BI1447" s="112">
        <v>8.0</v>
      </c>
      <c r="BJ1447" s="98" t="s">
        <v>155</v>
      </c>
      <c r="BK1447" s="99">
        <f t="shared" si="11"/>
        <v>0</v>
      </c>
      <c r="BL1447" s="99">
        <f t="shared" si="12"/>
        <v>526</v>
      </c>
      <c r="BM1447" s="99" t="str">
        <f>IFERROR(__xludf.DUMMYFUNCTION("IFERROR(VLOOKUP(BG1447,IMPORTRANGE(""https://docs.google.com/spreadsheets/d/1juPI-Fb8LD0YtltB2mlGEnp_R3UVu1t3wSFPzgCyHXE/edit?gid=0#gid=0"",""GERAL!A2:C""),3,0),""-"")"),"-")</f>
        <v>-</v>
      </c>
    </row>
    <row r="1448" ht="15.75" customHeight="1">
      <c r="A1448" s="111" t="s">
        <v>1785</v>
      </c>
      <c r="B1448" s="83" t="s">
        <v>1994</v>
      </c>
      <c r="C1448" s="83" t="s">
        <v>68</v>
      </c>
      <c r="D1448" s="112">
        <v>1103557.0</v>
      </c>
      <c r="E1448" s="83"/>
      <c r="F1448" s="83">
        <v>2.9186749E7</v>
      </c>
      <c r="G1448" s="114" t="s">
        <v>8177</v>
      </c>
      <c r="H1448" s="91" t="s">
        <v>8178</v>
      </c>
      <c r="I1448" s="83" t="s">
        <v>8179</v>
      </c>
      <c r="J1448" s="83" t="s">
        <v>150</v>
      </c>
      <c r="K1448" s="83" t="s">
        <v>151</v>
      </c>
      <c r="L1448" s="83" t="s">
        <v>152</v>
      </c>
      <c r="M1448" s="82" t="str">
        <f>IFERROR(__xludf.DUMMYFUNCTION("IFERROR(VLOOKUP(D1448,
IMPORTRANGE(""https://docs.google.com/spreadsheets/d/1MjHtlUikwobi2MaWJgy7tfLeBmhj1u-dRFRs_8GwSoA/edit#gid=0"",""Gestores Escolares!D7:J""),3,0),""VERIFICAR CÓD SEC"")"),"REJANE CUNHA FREIRE BANDEIRA")</f>
        <v>REJANE CUNHA FREIRE BANDEIRA</v>
      </c>
      <c r="N1448" s="82" t="str">
        <f>IFERROR(__xludf.DUMMYFUNCTION("IFERROR(VLOOKUP(D1448,
IMPORTRANGE(""https://docs.google.com/spreadsheets/d/1MjHtlUikwobi2MaWJgy7tfLeBmhj1u-dRFRs_8GwSoA/edit#gid=0"",""Gestores Escolares!D7:J""),4,0),""VERIFICAR CÓD SEC"")"),"(71) 9 8888-2952")</f>
        <v>(71) 9 8888-2952</v>
      </c>
      <c r="O1448" s="82" t="str">
        <f>IFERROR(__xludf.DUMMYFUNCTION("IFERROR(VLOOKUP(D1448,
IMPORTRANGE(""https://docs.google.com/spreadsheets/d/1MjHtlUikwobi2MaWJgy7tfLeBmhj1u-dRFRs_8GwSoA/edit#gid=0"",""Gestores Escolares!D7:J""),6,0),""VERIFICAR CÓD SEC"")"),"")</f>
        <v/>
      </c>
      <c r="P1448" s="82" t="str">
        <f>IFERROR(__xludf.DUMMYFUNCTION("IFERROR(VLOOKUP(D1448,
IMPORTRANGE(""https://docs.google.com/spreadsheets/d/1MjHtlUikwobi2MaWJgy7tfLeBmhj1u-dRFRs_8GwSoA/edit#gid=0"",""Gestores Escolares!D7:J""),7,0),""VERIFICAR CÓD SEC"")"),"")</f>
        <v/>
      </c>
      <c r="Q1448" s="82" t="str">
        <f>IFERROR(__xludf.DUMMYFUNCTION("IFERROR(VLOOKUP(D1448,
IMPORTRANGE(""https://docs.google.com/spreadsheets/d/1MjHtlUikwobi2MaWJgy7tfLeBmhj1u-dRFRs_8GwSoA/edit#gid=0"",""Gestores Escolares!D7:m""),9,0),""VERIFICAR CÓD SEC"")"),"")</f>
        <v/>
      </c>
      <c r="R1448" s="82" t="str">
        <f>IFERROR(__xludf.DUMMYFUNCTION("IFERROR(VLOOKUP(D1448,
IMPORTRANGE(""https://docs.google.com/spreadsheets/d/1MjHtlUikwobi2MaWJgy7tfLeBmhj1u-dRFRs_8GwSoA/edit#gid=0"",""Gestores Escolares!D7:m""),10,0),""VERIFICAR CÓD SEC"")"),"")</f>
        <v/>
      </c>
      <c r="S1448" s="82"/>
      <c r="T1448" s="138">
        <v>12.0</v>
      </c>
      <c r="U1448" s="152">
        <v>12.0</v>
      </c>
      <c r="V1448" s="106">
        <v>0.0</v>
      </c>
      <c r="W1448" s="107">
        <v>0.0</v>
      </c>
      <c r="X1448" s="107">
        <v>0.0</v>
      </c>
      <c r="Y1448" s="107">
        <v>0.0</v>
      </c>
      <c r="Z1448" s="80">
        <f t="shared" si="1"/>
        <v>0</v>
      </c>
      <c r="AA1448" s="106">
        <v>178.0</v>
      </c>
      <c r="AB1448" s="107">
        <v>161.0</v>
      </c>
      <c r="AC1448" s="107">
        <v>0.0</v>
      </c>
      <c r="AD1448" s="107">
        <v>224.0</v>
      </c>
      <c r="AE1448" s="80">
        <f t="shared" si="2"/>
        <v>563</v>
      </c>
      <c r="AF1448" s="140">
        <v>0.0</v>
      </c>
      <c r="AG1448" s="109">
        <v>0.0</v>
      </c>
      <c r="AH1448" s="109">
        <v>0.0</v>
      </c>
      <c r="AI1448" s="141">
        <v>0.0</v>
      </c>
      <c r="AJ1448" s="80">
        <f t="shared" si="3"/>
        <v>0</v>
      </c>
      <c r="AK1448" s="140">
        <v>0.0</v>
      </c>
      <c r="AL1448" s="109">
        <v>0.0</v>
      </c>
      <c r="AM1448" s="141">
        <v>0.0</v>
      </c>
      <c r="AN1448" s="80">
        <f t="shared" si="4"/>
        <v>0</v>
      </c>
      <c r="AO1448" s="140">
        <v>0.0</v>
      </c>
      <c r="AP1448" s="109">
        <v>0.0</v>
      </c>
      <c r="AQ1448" s="109">
        <v>0.0</v>
      </c>
      <c r="AR1448" s="80">
        <f t="shared" si="5"/>
        <v>0</v>
      </c>
      <c r="AS1448" s="110">
        <v>0.0</v>
      </c>
      <c r="AT1448" s="110">
        <v>0.0</v>
      </c>
      <c r="AU1448" s="110">
        <v>0.0</v>
      </c>
      <c r="AV1448" s="142">
        <v>0.0</v>
      </c>
      <c r="AW1448" s="80">
        <f t="shared" si="6"/>
        <v>0</v>
      </c>
      <c r="AX1448" s="113">
        <f t="shared" si="7"/>
        <v>563</v>
      </c>
      <c r="AY1448" s="117">
        <f t="shared" si="8"/>
        <v>563</v>
      </c>
      <c r="AZ1448" s="120">
        <f t="shared" si="9"/>
        <v>0</v>
      </c>
      <c r="BA1448" s="115">
        <v>0.0</v>
      </c>
      <c r="BB1448" s="89">
        <f t="shared" si="10"/>
        <v>563</v>
      </c>
      <c r="BC1448" s="132" t="s">
        <v>178</v>
      </c>
      <c r="BD1448" s="132" t="s">
        <v>178</v>
      </c>
      <c r="BE1448" s="132" t="s">
        <v>178</v>
      </c>
      <c r="BF1448" s="123"/>
      <c r="BG1448" s="83">
        <v>1103557.0</v>
      </c>
      <c r="BH1448" s="137" t="s">
        <v>8180</v>
      </c>
      <c r="BI1448" s="112">
        <v>12.0</v>
      </c>
      <c r="BJ1448" s="98" t="s">
        <v>155</v>
      </c>
      <c r="BK1448" s="99">
        <f t="shared" si="11"/>
        <v>224</v>
      </c>
      <c r="BL1448" s="99">
        <f t="shared" si="12"/>
        <v>339</v>
      </c>
      <c r="BM1448" s="99" t="str">
        <f>IFERROR(__xludf.DUMMYFUNCTION("IFERROR(VLOOKUP(BG1448,IMPORTRANGE(""https://docs.google.com/spreadsheets/d/1juPI-Fb8LD0YtltB2mlGEnp_R3UVu1t3wSFPzgCyHXE/edit?gid=0#gid=0"",""GERAL!A2:C""),3,0),""-"")"),"-")</f>
        <v>-</v>
      </c>
    </row>
    <row r="1449" ht="15.75" customHeight="1">
      <c r="A1449" s="111" t="s">
        <v>1785</v>
      </c>
      <c r="B1449" s="83" t="s">
        <v>1994</v>
      </c>
      <c r="C1449" s="83" t="s">
        <v>68</v>
      </c>
      <c r="D1449" s="112">
        <v>1102836.0</v>
      </c>
      <c r="E1449" s="83"/>
      <c r="F1449" s="83">
        <v>2.9193656E7</v>
      </c>
      <c r="G1449" s="114" t="s">
        <v>8181</v>
      </c>
      <c r="H1449" s="91" t="s">
        <v>8182</v>
      </c>
      <c r="I1449" s="83" t="s">
        <v>8183</v>
      </c>
      <c r="J1449" s="83" t="s">
        <v>150</v>
      </c>
      <c r="K1449" s="83" t="s">
        <v>151</v>
      </c>
      <c r="L1449" s="83" t="s">
        <v>76</v>
      </c>
      <c r="M1449" s="82" t="str">
        <f>IFERROR(__xludf.DUMMYFUNCTION("IFERROR(VLOOKUP(D1449,
IMPORTRANGE(""https://docs.google.com/spreadsheets/d/1MjHtlUikwobi2MaWJgy7tfLeBmhj1u-dRFRs_8GwSoA/edit#gid=0"",""Gestores Escolares!D7:J""),3,0),""VERIFICAR CÓD SEC"")"),"MARIA DAS GRAÇAS DE OLIVEIRA")</f>
        <v>MARIA DAS GRAÇAS DE OLIVEIRA</v>
      </c>
      <c r="N1449" s="82" t="str">
        <f>IFERROR(__xludf.DUMMYFUNCTION("IFERROR(VLOOKUP(D1449,
IMPORTRANGE(""https://docs.google.com/spreadsheets/d/1MjHtlUikwobi2MaWJgy7tfLeBmhj1u-dRFRs_8GwSoA/edit#gid=0"",""Gestores Escolares!D7:J""),4,0),""VERIFICAR CÓD SEC"")"),"(71) 9 9113-8127")</f>
        <v>(71) 9 9113-8127</v>
      </c>
      <c r="O1449" s="82" t="str">
        <f>IFERROR(__xludf.DUMMYFUNCTION("IFERROR(VLOOKUP(D1449,
IMPORTRANGE(""https://docs.google.com/spreadsheets/d/1MjHtlUikwobi2MaWJgy7tfLeBmhj1u-dRFRs_8GwSoA/edit#gid=0"",""Gestores Escolares!D7:J""),6,0),""VERIFICAR CÓD SEC"")"),"HARILDA MARIA DE ALMEIDA LIMA CORREIA")</f>
        <v>HARILDA MARIA DE ALMEIDA LIMA CORREIA</v>
      </c>
      <c r="P1449" s="82" t="str">
        <f>IFERROR(__xludf.DUMMYFUNCTION("IFERROR(VLOOKUP(D1449,
IMPORTRANGE(""https://docs.google.com/spreadsheets/d/1MjHtlUikwobi2MaWJgy7tfLeBmhj1u-dRFRs_8GwSoA/edit#gid=0"",""Gestores Escolares!D7:J""),7,0),""VERIFICAR CÓD SEC"")"),"(71) 9 9652-0724/
9 9113-8127")</f>
        <v>(71) 9 9652-0724/
9 9113-8127</v>
      </c>
      <c r="Q1449" s="82" t="str">
        <f>IFERROR(__xludf.DUMMYFUNCTION("IFERROR(VLOOKUP(D1449,
IMPORTRANGE(""https://docs.google.com/spreadsheets/d/1MjHtlUikwobi2MaWJgy7tfLeBmhj1u-dRFRs_8GwSoA/edit#gid=0"",""Gestores Escolares!D7:m""),9,0),""VERIFICAR CÓD SEC"")"),"")</f>
        <v/>
      </c>
      <c r="R1449" s="82" t="str">
        <f>IFERROR(__xludf.DUMMYFUNCTION("IFERROR(VLOOKUP(D1449,
IMPORTRANGE(""https://docs.google.com/spreadsheets/d/1MjHtlUikwobi2MaWJgy7tfLeBmhj1u-dRFRs_8GwSoA/edit#gid=0"",""Gestores Escolares!D7:m""),10,0),""VERIFICAR CÓD SEC"")"),"")</f>
        <v/>
      </c>
      <c r="S1449" s="82"/>
      <c r="T1449" s="138">
        <v>8.0</v>
      </c>
      <c r="U1449" s="152">
        <v>8.0</v>
      </c>
      <c r="V1449" s="106">
        <v>0.0</v>
      </c>
      <c r="W1449" s="107">
        <v>0.0</v>
      </c>
      <c r="X1449" s="107">
        <v>0.0</v>
      </c>
      <c r="Y1449" s="107">
        <v>0.0</v>
      </c>
      <c r="Z1449" s="80">
        <f t="shared" si="1"/>
        <v>0</v>
      </c>
      <c r="AA1449" s="106">
        <v>171.0</v>
      </c>
      <c r="AB1449" s="107">
        <v>117.0</v>
      </c>
      <c r="AC1449" s="107">
        <v>0.0</v>
      </c>
      <c r="AD1449" s="107">
        <v>0.0</v>
      </c>
      <c r="AE1449" s="80">
        <f t="shared" si="2"/>
        <v>288</v>
      </c>
      <c r="AF1449" s="140">
        <v>0.0</v>
      </c>
      <c r="AG1449" s="109">
        <v>0.0</v>
      </c>
      <c r="AH1449" s="109">
        <v>0.0</v>
      </c>
      <c r="AI1449" s="141">
        <v>0.0</v>
      </c>
      <c r="AJ1449" s="80">
        <f t="shared" si="3"/>
        <v>0</v>
      </c>
      <c r="AK1449" s="140">
        <v>0.0</v>
      </c>
      <c r="AL1449" s="109">
        <v>0.0</v>
      </c>
      <c r="AM1449" s="141">
        <v>148.0</v>
      </c>
      <c r="AN1449" s="80">
        <f t="shared" si="4"/>
        <v>148</v>
      </c>
      <c r="AO1449" s="140">
        <v>0.0</v>
      </c>
      <c r="AP1449" s="109">
        <v>0.0</v>
      </c>
      <c r="AQ1449" s="109">
        <v>0.0</v>
      </c>
      <c r="AR1449" s="80">
        <f t="shared" si="5"/>
        <v>0</v>
      </c>
      <c r="AS1449" s="110">
        <v>0.0</v>
      </c>
      <c r="AT1449" s="110">
        <v>0.0</v>
      </c>
      <c r="AU1449" s="110">
        <v>0.0</v>
      </c>
      <c r="AV1449" s="142">
        <v>0.0</v>
      </c>
      <c r="AW1449" s="80">
        <f t="shared" si="6"/>
        <v>0</v>
      </c>
      <c r="AX1449" s="113">
        <f t="shared" si="7"/>
        <v>436</v>
      </c>
      <c r="AY1449" s="117">
        <f t="shared" si="8"/>
        <v>288</v>
      </c>
      <c r="AZ1449" s="120">
        <f t="shared" si="9"/>
        <v>148</v>
      </c>
      <c r="BA1449" s="115">
        <v>0.0</v>
      </c>
      <c r="BB1449" s="89">
        <f t="shared" si="10"/>
        <v>436</v>
      </c>
      <c r="BC1449" s="132" t="s">
        <v>178</v>
      </c>
      <c r="BD1449" s="132" t="s">
        <v>178</v>
      </c>
      <c r="BE1449" s="132" t="s">
        <v>178</v>
      </c>
      <c r="BF1449" s="123"/>
      <c r="BG1449" s="83">
        <v>1102836.0</v>
      </c>
      <c r="BH1449" s="98" t="s">
        <v>8184</v>
      </c>
      <c r="BI1449" s="112">
        <v>8.0</v>
      </c>
      <c r="BJ1449" s="98" t="s">
        <v>155</v>
      </c>
      <c r="BK1449" s="99">
        <f t="shared" si="11"/>
        <v>0</v>
      </c>
      <c r="BL1449" s="99">
        <f t="shared" si="12"/>
        <v>288</v>
      </c>
      <c r="BM1449" s="99" t="str">
        <f>IFERROR(__xludf.DUMMYFUNCTION("IFERROR(VLOOKUP(BG1449,IMPORTRANGE(""https://docs.google.com/spreadsheets/d/1juPI-Fb8LD0YtltB2mlGEnp_R3UVu1t3wSFPzgCyHXE/edit?gid=0#gid=0"",""GERAL!A2:C""),3,0),""-"")"),"-")</f>
        <v>-</v>
      </c>
    </row>
    <row r="1450" ht="15.75" customHeight="1">
      <c r="A1450" s="111" t="s">
        <v>1785</v>
      </c>
      <c r="B1450" s="83" t="s">
        <v>1994</v>
      </c>
      <c r="C1450" s="83" t="s">
        <v>68</v>
      </c>
      <c r="D1450" s="112">
        <v>1176202.0</v>
      </c>
      <c r="E1450" s="83"/>
      <c r="F1450" s="83">
        <v>2.9357624E7</v>
      </c>
      <c r="G1450" s="114" t="s">
        <v>8185</v>
      </c>
      <c r="H1450" s="91" t="s">
        <v>8186</v>
      </c>
      <c r="I1450" s="83" t="s">
        <v>8187</v>
      </c>
      <c r="J1450" s="83" t="s">
        <v>150</v>
      </c>
      <c r="K1450" s="83" t="s">
        <v>151</v>
      </c>
      <c r="L1450" s="83" t="s">
        <v>76</v>
      </c>
      <c r="M1450" s="82" t="str">
        <f>IFERROR(__xludf.DUMMYFUNCTION("IFERROR(VLOOKUP(D1450,
IMPORTRANGE(""https://docs.google.com/spreadsheets/d/1MjHtlUikwobi2MaWJgy7tfLeBmhj1u-dRFRs_8GwSoA/edit#gid=0"",""Gestores Escolares!D7:J""),3,0),""VERIFICAR CÓD SEC"")"),"IVANA PEREIRA DE SOUZA PINHEIRO")</f>
        <v>IVANA PEREIRA DE SOUZA PINHEIRO</v>
      </c>
      <c r="N1450" s="82" t="str">
        <f>IFERROR(__xludf.DUMMYFUNCTION("IFERROR(VLOOKUP(D1450,
IMPORTRANGE(""https://docs.google.com/spreadsheets/d/1MjHtlUikwobi2MaWJgy7tfLeBmhj1u-dRFRs_8GwSoA/edit#gid=0"",""Gestores Escolares!D7:J""),4,0),""VERIFICAR CÓD SEC"")"),"(71) 9 9153-8751/9 8715-0419")</f>
        <v>(71) 9 9153-8751/9 8715-0419</v>
      </c>
      <c r="O1450" s="82" t="str">
        <f>IFERROR(__xludf.DUMMYFUNCTION("IFERROR(VLOOKUP(D1450,
IMPORTRANGE(""https://docs.google.com/spreadsheets/d/1MjHtlUikwobi2MaWJgy7tfLeBmhj1u-dRFRs_8GwSoA/edit#gid=0"",""Gestores Escolares!D7:J""),6,0),""VERIFICAR CÓD SEC"")"),"ADRIANO CURVELO PENA JUNIOR")</f>
        <v>ADRIANO CURVELO PENA JUNIOR</v>
      </c>
      <c r="P1450" s="82" t="str">
        <f>IFERROR(__xludf.DUMMYFUNCTION("IFERROR(VLOOKUP(D1450,
IMPORTRANGE(""https://docs.google.com/spreadsheets/d/1MjHtlUikwobi2MaWJgy7tfLeBmhj1u-dRFRs_8GwSoA/edit#gid=0"",""Gestores Escolares!D7:J""),7,0),""VERIFICAR CÓD SEC"")"),"(71) 9 8810-9661")</f>
        <v>(71) 9 8810-9661</v>
      </c>
      <c r="Q1450" s="82" t="str">
        <f>IFERROR(__xludf.DUMMYFUNCTION("IFERROR(VLOOKUP(D1450,
IMPORTRANGE(""https://docs.google.com/spreadsheets/d/1MjHtlUikwobi2MaWJgy7tfLeBmhj1u-dRFRs_8GwSoA/edit#gid=0"",""Gestores Escolares!D7:m""),9,0),""VERIFICAR CÓD SEC"")"),"")</f>
        <v/>
      </c>
      <c r="R1450" s="82" t="str">
        <f>IFERROR(__xludf.DUMMYFUNCTION("IFERROR(VLOOKUP(D1450,
IMPORTRANGE(""https://docs.google.com/spreadsheets/d/1MjHtlUikwobi2MaWJgy7tfLeBmhj1u-dRFRs_8GwSoA/edit#gid=0"",""Gestores Escolares!D7:m""),10,0),""VERIFICAR CÓD SEC"")"),"")</f>
        <v/>
      </c>
      <c r="S1450" s="82"/>
      <c r="T1450" s="138">
        <v>7.0</v>
      </c>
      <c r="U1450" s="152">
        <v>7.0</v>
      </c>
      <c r="V1450" s="106">
        <v>0.0</v>
      </c>
      <c r="W1450" s="107">
        <v>0.0</v>
      </c>
      <c r="X1450" s="107">
        <v>0.0</v>
      </c>
      <c r="Y1450" s="107">
        <v>0.0</v>
      </c>
      <c r="Z1450" s="80">
        <f t="shared" si="1"/>
        <v>0</v>
      </c>
      <c r="AA1450" s="106">
        <v>0.0</v>
      </c>
      <c r="AB1450" s="107">
        <v>0.0</v>
      </c>
      <c r="AC1450" s="107">
        <v>0.0</v>
      </c>
      <c r="AD1450" s="107">
        <v>247.0</v>
      </c>
      <c r="AE1450" s="80">
        <f t="shared" si="2"/>
        <v>247</v>
      </c>
      <c r="AF1450" s="140">
        <v>0.0</v>
      </c>
      <c r="AG1450" s="109">
        <v>0.0</v>
      </c>
      <c r="AH1450" s="109">
        <v>0.0</v>
      </c>
      <c r="AI1450" s="141">
        <v>0.0</v>
      </c>
      <c r="AJ1450" s="80">
        <f t="shared" si="3"/>
        <v>0</v>
      </c>
      <c r="AK1450" s="140">
        <v>0.0</v>
      </c>
      <c r="AL1450" s="109">
        <v>0.0</v>
      </c>
      <c r="AM1450" s="141">
        <v>0.0</v>
      </c>
      <c r="AN1450" s="80">
        <f t="shared" si="4"/>
        <v>0</v>
      </c>
      <c r="AO1450" s="140">
        <v>0.0</v>
      </c>
      <c r="AP1450" s="109">
        <v>0.0</v>
      </c>
      <c r="AQ1450" s="109">
        <v>0.0</v>
      </c>
      <c r="AR1450" s="80">
        <f t="shared" si="5"/>
        <v>0</v>
      </c>
      <c r="AS1450" s="110">
        <v>0.0</v>
      </c>
      <c r="AT1450" s="110">
        <v>0.0</v>
      </c>
      <c r="AU1450" s="110">
        <v>0.0</v>
      </c>
      <c r="AV1450" s="142">
        <v>0.0</v>
      </c>
      <c r="AW1450" s="80">
        <f t="shared" si="6"/>
        <v>0</v>
      </c>
      <c r="AX1450" s="113">
        <f t="shared" si="7"/>
        <v>247</v>
      </c>
      <c r="AY1450" s="117">
        <f t="shared" si="8"/>
        <v>247</v>
      </c>
      <c r="AZ1450" s="120">
        <f t="shared" si="9"/>
        <v>0</v>
      </c>
      <c r="BA1450" s="115">
        <v>0.0</v>
      </c>
      <c r="BB1450" s="89">
        <f t="shared" si="10"/>
        <v>247</v>
      </c>
      <c r="BC1450" s="132" t="s">
        <v>178</v>
      </c>
      <c r="BD1450" s="132" t="s">
        <v>178</v>
      </c>
      <c r="BE1450" s="132" t="s">
        <v>178</v>
      </c>
      <c r="BF1450" s="156"/>
      <c r="BG1450" s="83">
        <v>1176202.0</v>
      </c>
      <c r="BH1450" s="98" t="s">
        <v>8188</v>
      </c>
      <c r="BI1450" s="112">
        <v>7.0</v>
      </c>
      <c r="BJ1450" s="98" t="s">
        <v>155</v>
      </c>
      <c r="BK1450" s="99">
        <f t="shared" si="11"/>
        <v>247</v>
      </c>
      <c r="BL1450" s="99">
        <f t="shared" si="12"/>
        <v>0</v>
      </c>
      <c r="BM1450" s="99" t="str">
        <f>IFERROR(__xludf.DUMMYFUNCTION("IFERROR(VLOOKUP(BG1450,IMPORTRANGE(""https://docs.google.com/spreadsheets/d/1juPI-Fb8LD0YtltB2mlGEnp_R3UVu1t3wSFPzgCyHXE/edit?gid=0#gid=0"",""GERAL!A2:C""),3,0),""-"")"),"-")</f>
        <v>-</v>
      </c>
    </row>
    <row r="1451" ht="15.75" customHeight="1">
      <c r="A1451" s="111" t="s">
        <v>1785</v>
      </c>
      <c r="B1451" s="83" t="s">
        <v>1994</v>
      </c>
      <c r="C1451" s="83" t="s">
        <v>68</v>
      </c>
      <c r="D1451" s="112">
        <v>1102909.0</v>
      </c>
      <c r="E1451" s="83"/>
      <c r="F1451" s="83">
        <v>2.9188784E7</v>
      </c>
      <c r="G1451" s="114" t="s">
        <v>8189</v>
      </c>
      <c r="H1451" s="91" t="s">
        <v>8190</v>
      </c>
      <c r="I1451" s="83" t="s">
        <v>8191</v>
      </c>
      <c r="J1451" s="83" t="s">
        <v>150</v>
      </c>
      <c r="K1451" s="83" t="s">
        <v>151</v>
      </c>
      <c r="L1451" s="83" t="s">
        <v>76</v>
      </c>
      <c r="M1451" s="82" t="str">
        <f>IFERROR(__xludf.DUMMYFUNCTION("IFERROR(VLOOKUP(D1451,
IMPORTRANGE(""https://docs.google.com/spreadsheets/d/1MjHtlUikwobi2MaWJgy7tfLeBmhj1u-dRFRs_8GwSoA/edit#gid=0"",""Gestores Escolares!D7:J""),3,0),""VERIFICAR CÓD SEC"")"),"PALOMA VANDERLEY DA SILVA")</f>
        <v>PALOMA VANDERLEY DA SILVA</v>
      </c>
      <c r="N1451" s="82" t="str">
        <f>IFERROR(__xludf.DUMMYFUNCTION("IFERROR(VLOOKUP(D1451,
IMPORTRANGE(""https://docs.google.com/spreadsheets/d/1MjHtlUikwobi2MaWJgy7tfLeBmhj1u-dRFRs_8GwSoA/edit#gid=0"",""Gestores Escolares!D7:J""),4,0),""VERIFICAR CÓD SEC"")"),"(71) 9 9190-1021")</f>
        <v>(71) 9 9190-1021</v>
      </c>
      <c r="O1451" s="82" t="str">
        <f>IFERROR(__xludf.DUMMYFUNCTION("IFERROR(VLOOKUP(D1451,
IMPORTRANGE(""https://docs.google.com/spreadsheets/d/1MjHtlUikwobi2MaWJgy7tfLeBmhj1u-dRFRs_8GwSoA/edit#gid=0"",""Gestores Escolares!D7:J""),6,0),""VERIFICAR CÓD SEC"")")," FABIO SOUZA DOS SANTOS")</f>
        <v> FABIO SOUZA DOS SANTOS</v>
      </c>
      <c r="P1451" s="82" t="str">
        <f>IFERROR(__xludf.DUMMYFUNCTION("IFERROR(VLOOKUP(D1451,
IMPORTRANGE(""https://docs.google.com/spreadsheets/d/1MjHtlUikwobi2MaWJgy7tfLeBmhj1u-dRFRs_8GwSoA/edit#gid=0"",""Gestores Escolares!D7:J""),7,0),""VERIFICAR CÓD SEC"")"),"(71) 9 9687-5726")</f>
        <v>(71) 9 9687-5726</v>
      </c>
      <c r="Q1451" s="82" t="str">
        <f>IFERROR(__xludf.DUMMYFUNCTION("IFERROR(VLOOKUP(D1451,
IMPORTRANGE(""https://docs.google.com/spreadsheets/d/1MjHtlUikwobi2MaWJgy7tfLeBmhj1u-dRFRs_8GwSoA/edit#gid=0"",""Gestores Escolares!D7:m""),9,0),""VERIFICAR CÓD SEC"")"),"")</f>
        <v/>
      </c>
      <c r="R1451" s="82" t="str">
        <f>IFERROR(__xludf.DUMMYFUNCTION("IFERROR(VLOOKUP(D1451,
IMPORTRANGE(""https://docs.google.com/spreadsheets/d/1MjHtlUikwobi2MaWJgy7tfLeBmhj1u-dRFRs_8GwSoA/edit#gid=0"",""Gestores Escolares!D7:m""),10,0),""VERIFICAR CÓD SEC"")"),"")</f>
        <v/>
      </c>
      <c r="S1451" s="82"/>
      <c r="T1451" s="138">
        <v>8.0</v>
      </c>
      <c r="U1451" s="152" t="s">
        <v>13918</v>
      </c>
      <c r="V1451" s="106">
        <v>0.0</v>
      </c>
      <c r="W1451" s="107">
        <v>0.0</v>
      </c>
      <c r="X1451" s="107">
        <v>0.0</v>
      </c>
      <c r="Y1451" s="107">
        <v>0.0</v>
      </c>
      <c r="Z1451" s="80">
        <f t="shared" si="1"/>
        <v>0</v>
      </c>
      <c r="AA1451" s="106">
        <v>0.0</v>
      </c>
      <c r="AB1451" s="107">
        <v>0.0</v>
      </c>
      <c r="AC1451" s="107">
        <v>0.0</v>
      </c>
      <c r="AD1451" s="107">
        <v>263.0</v>
      </c>
      <c r="AE1451" s="80">
        <f t="shared" si="2"/>
        <v>263</v>
      </c>
      <c r="AF1451" s="140">
        <v>0.0</v>
      </c>
      <c r="AG1451" s="109">
        <v>0.0</v>
      </c>
      <c r="AH1451" s="109">
        <v>0.0</v>
      </c>
      <c r="AI1451" s="141">
        <v>0.0</v>
      </c>
      <c r="AJ1451" s="80">
        <f t="shared" si="3"/>
        <v>0</v>
      </c>
      <c r="AK1451" s="140">
        <v>0.0</v>
      </c>
      <c r="AL1451" s="109">
        <v>0.0</v>
      </c>
      <c r="AM1451" s="141">
        <v>0.0</v>
      </c>
      <c r="AN1451" s="80">
        <f t="shared" si="4"/>
        <v>0</v>
      </c>
      <c r="AO1451" s="140">
        <v>0.0</v>
      </c>
      <c r="AP1451" s="109">
        <v>0.0</v>
      </c>
      <c r="AQ1451" s="109">
        <v>0.0</v>
      </c>
      <c r="AR1451" s="80">
        <f t="shared" si="5"/>
        <v>0</v>
      </c>
      <c r="AS1451" s="110">
        <v>0.0</v>
      </c>
      <c r="AT1451" s="110">
        <v>0.0</v>
      </c>
      <c r="AU1451" s="110">
        <v>0.0</v>
      </c>
      <c r="AV1451" s="142">
        <v>0.0</v>
      </c>
      <c r="AW1451" s="80">
        <f t="shared" si="6"/>
        <v>0</v>
      </c>
      <c r="AX1451" s="113">
        <f t="shared" si="7"/>
        <v>263</v>
      </c>
      <c r="AY1451" s="117">
        <f t="shared" si="8"/>
        <v>263</v>
      </c>
      <c r="AZ1451" s="120">
        <f t="shared" si="9"/>
        <v>0</v>
      </c>
      <c r="BA1451" s="115">
        <v>0.0</v>
      </c>
      <c r="BB1451" s="89">
        <f t="shared" si="10"/>
        <v>263</v>
      </c>
      <c r="BC1451" s="132" t="s">
        <v>178</v>
      </c>
      <c r="BD1451" s="132" t="s">
        <v>178</v>
      </c>
      <c r="BE1451" s="132" t="s">
        <v>178</v>
      </c>
      <c r="BF1451" s="123"/>
      <c r="BG1451" s="83">
        <v>1102909.0</v>
      </c>
      <c r="BH1451" s="98" t="s">
        <v>8192</v>
      </c>
      <c r="BI1451" s="112">
        <v>7.0</v>
      </c>
      <c r="BJ1451" s="98" t="s">
        <v>155</v>
      </c>
      <c r="BK1451" s="99">
        <f t="shared" si="11"/>
        <v>263</v>
      </c>
      <c r="BL1451" s="99">
        <f t="shared" si="12"/>
        <v>0</v>
      </c>
      <c r="BM1451" s="99" t="str">
        <f>IFERROR(__xludf.DUMMYFUNCTION("IFERROR(VLOOKUP(BG1451,IMPORTRANGE(""https://docs.google.com/spreadsheets/d/1juPI-Fb8LD0YtltB2mlGEnp_R3UVu1t3wSFPzgCyHXE/edit?gid=0#gid=0"",""GERAL!A2:C""),3,0),""-"")"),"-")</f>
        <v>-</v>
      </c>
    </row>
    <row r="1452" ht="15.75" customHeight="1">
      <c r="A1452" s="111" t="s">
        <v>1785</v>
      </c>
      <c r="B1452" s="83" t="s">
        <v>1994</v>
      </c>
      <c r="C1452" s="83" t="s">
        <v>68</v>
      </c>
      <c r="D1452" s="112">
        <v>1101546.0</v>
      </c>
      <c r="E1452" s="83"/>
      <c r="F1452" s="83">
        <v>2.918995E7</v>
      </c>
      <c r="G1452" s="114" t="s">
        <v>8193</v>
      </c>
      <c r="H1452" s="91" t="s">
        <v>8194</v>
      </c>
      <c r="I1452" s="83" t="s">
        <v>8195</v>
      </c>
      <c r="J1452" s="83" t="s">
        <v>150</v>
      </c>
      <c r="K1452" s="83" t="s">
        <v>151</v>
      </c>
      <c r="L1452" s="83" t="s">
        <v>76</v>
      </c>
      <c r="M1452" s="82" t="str">
        <f>IFERROR(__xludf.DUMMYFUNCTION("IFERROR(VLOOKUP(D1452,
IMPORTRANGE(""https://docs.google.com/spreadsheets/d/1MjHtlUikwobi2MaWJgy7tfLeBmhj1u-dRFRs_8GwSoA/edit#gid=0"",""Gestores Escolares!D7:J""),3,0),""VERIFICAR CÓD SEC"")"),"ELAINE CRISTINA BARBOSA MONTEIRO ")</f>
        <v>ELAINE CRISTINA BARBOSA MONTEIRO </v>
      </c>
      <c r="N1452" s="82" t="str">
        <f>IFERROR(__xludf.DUMMYFUNCTION("IFERROR(VLOOKUP(D1452,
IMPORTRANGE(""https://docs.google.com/spreadsheets/d/1MjHtlUikwobi2MaWJgy7tfLeBmhj1u-dRFRs_8GwSoA/edit#gid=0"",""Gestores Escolares!D7:J""),4,0),""VERIFICAR CÓD SEC"")"),"(71) 9 8211-7253")</f>
        <v>(71) 9 8211-7253</v>
      </c>
      <c r="O1452" s="82" t="str">
        <f>IFERROR(__xludf.DUMMYFUNCTION("IFERROR(VLOOKUP(D1452,
IMPORTRANGE(""https://docs.google.com/spreadsheets/d/1MjHtlUikwobi2MaWJgy7tfLeBmhj1u-dRFRs_8GwSoA/edit#gid=0"",""Gestores Escolares!D7:J""),6,0),""VERIFICAR CÓD SEC"")"),"FERNANDA DE CASTRO AGRARIO")</f>
        <v>FERNANDA DE CASTRO AGRARIO</v>
      </c>
      <c r="P1452" s="82" t="str">
        <f>IFERROR(__xludf.DUMMYFUNCTION("IFERROR(VLOOKUP(D1452,
IMPORTRANGE(""https://docs.google.com/spreadsheets/d/1MjHtlUikwobi2MaWJgy7tfLeBmhj1u-dRFRs_8GwSoA/edit#gid=0"",""Gestores Escolares!D7:J""),7,0),""VERIFICAR CÓD SEC"")"),"(71) 9 9914-2749")</f>
        <v>(71) 9 9914-2749</v>
      </c>
      <c r="Q1452" s="82" t="str">
        <f>IFERROR(__xludf.DUMMYFUNCTION("IFERROR(VLOOKUP(D1452,
IMPORTRANGE(""https://docs.google.com/spreadsheets/d/1MjHtlUikwobi2MaWJgy7tfLeBmhj1u-dRFRs_8GwSoA/edit#gid=0"",""Gestores Escolares!D7:m""),9,0),""VERIFICAR CÓD SEC"")"),"")</f>
        <v/>
      </c>
      <c r="R1452" s="82" t="str">
        <f>IFERROR(__xludf.DUMMYFUNCTION("IFERROR(VLOOKUP(D1452,
IMPORTRANGE(""https://docs.google.com/spreadsheets/d/1MjHtlUikwobi2MaWJgy7tfLeBmhj1u-dRFRs_8GwSoA/edit#gid=0"",""Gestores Escolares!D7:m""),10,0),""VERIFICAR CÓD SEC"")"),"")</f>
        <v/>
      </c>
      <c r="S1452" s="82"/>
      <c r="T1452" s="138">
        <v>13.0</v>
      </c>
      <c r="U1452" s="152">
        <v>13.0</v>
      </c>
      <c r="V1452" s="106">
        <v>0.0</v>
      </c>
      <c r="W1452" s="107">
        <v>0.0</v>
      </c>
      <c r="X1452" s="107">
        <v>0.0</v>
      </c>
      <c r="Y1452" s="107">
        <v>0.0</v>
      </c>
      <c r="Z1452" s="80">
        <f t="shared" si="1"/>
        <v>0</v>
      </c>
      <c r="AA1452" s="106">
        <v>151.0</v>
      </c>
      <c r="AB1452" s="107">
        <v>102.0</v>
      </c>
      <c r="AC1452" s="107">
        <v>0.0</v>
      </c>
      <c r="AD1452" s="107">
        <v>0.0</v>
      </c>
      <c r="AE1452" s="80">
        <f t="shared" si="2"/>
        <v>253</v>
      </c>
      <c r="AF1452" s="140">
        <v>0.0</v>
      </c>
      <c r="AG1452" s="109">
        <v>0.0</v>
      </c>
      <c r="AH1452" s="109">
        <v>0.0</v>
      </c>
      <c r="AI1452" s="141">
        <v>0.0</v>
      </c>
      <c r="AJ1452" s="80">
        <f t="shared" si="3"/>
        <v>0</v>
      </c>
      <c r="AK1452" s="140">
        <v>0.0</v>
      </c>
      <c r="AL1452" s="109">
        <v>0.0</v>
      </c>
      <c r="AM1452" s="141">
        <v>0.0</v>
      </c>
      <c r="AN1452" s="80">
        <f t="shared" si="4"/>
        <v>0</v>
      </c>
      <c r="AO1452" s="140">
        <v>0.0</v>
      </c>
      <c r="AP1452" s="109">
        <v>0.0</v>
      </c>
      <c r="AQ1452" s="109">
        <v>0.0</v>
      </c>
      <c r="AR1452" s="80">
        <f t="shared" si="5"/>
        <v>0</v>
      </c>
      <c r="AS1452" s="110">
        <v>0.0</v>
      </c>
      <c r="AT1452" s="110">
        <v>0.0</v>
      </c>
      <c r="AU1452" s="110">
        <v>0.0</v>
      </c>
      <c r="AV1452" s="142">
        <v>0.0</v>
      </c>
      <c r="AW1452" s="80">
        <f t="shared" si="6"/>
        <v>0</v>
      </c>
      <c r="AX1452" s="113">
        <f t="shared" si="7"/>
        <v>253</v>
      </c>
      <c r="AY1452" s="117">
        <f t="shared" si="8"/>
        <v>253</v>
      </c>
      <c r="AZ1452" s="120">
        <f t="shared" si="9"/>
        <v>0</v>
      </c>
      <c r="BA1452" s="115">
        <v>0.0</v>
      </c>
      <c r="BB1452" s="89">
        <f t="shared" si="10"/>
        <v>253</v>
      </c>
      <c r="BC1452" s="132" t="s">
        <v>178</v>
      </c>
      <c r="BD1452" s="132" t="s">
        <v>178</v>
      </c>
      <c r="BE1452" s="132" t="s">
        <v>178</v>
      </c>
      <c r="BF1452" s="123"/>
      <c r="BG1452" s="83">
        <v>1101546.0</v>
      </c>
      <c r="BH1452" s="98" t="s">
        <v>8197</v>
      </c>
      <c r="BI1452" s="112">
        <v>13.0</v>
      </c>
      <c r="BJ1452" s="98" t="s">
        <v>155</v>
      </c>
      <c r="BK1452" s="99">
        <f t="shared" si="11"/>
        <v>0</v>
      </c>
      <c r="BL1452" s="99">
        <f t="shared" si="12"/>
        <v>253</v>
      </c>
      <c r="BM1452" s="99" t="str">
        <f>IFERROR(__xludf.DUMMYFUNCTION("IFERROR(VLOOKUP(BG1452,IMPORTRANGE(""https://docs.google.com/spreadsheets/d/1juPI-Fb8LD0YtltB2mlGEnp_R3UVu1t3wSFPzgCyHXE/edit?gid=0#gid=0"",""GERAL!A2:C""),3,0),""-"")"),"-")</f>
        <v>-</v>
      </c>
    </row>
    <row r="1453" ht="15.75" customHeight="1">
      <c r="A1453" s="111" t="s">
        <v>1785</v>
      </c>
      <c r="B1453" s="83" t="s">
        <v>1994</v>
      </c>
      <c r="C1453" s="83" t="s">
        <v>68</v>
      </c>
      <c r="D1453" s="112">
        <v>1104367.0</v>
      </c>
      <c r="E1453" s="83"/>
      <c r="F1453" s="83">
        <v>2.9200296E7</v>
      </c>
      <c r="G1453" s="147" t="s">
        <v>8201</v>
      </c>
      <c r="H1453" s="91" t="s">
        <v>8202</v>
      </c>
      <c r="I1453" s="83" t="s">
        <v>8204</v>
      </c>
      <c r="J1453" s="83" t="s">
        <v>150</v>
      </c>
      <c r="K1453" s="83" t="s">
        <v>151</v>
      </c>
      <c r="L1453" s="83" t="s">
        <v>230</v>
      </c>
      <c r="M1453" s="82" t="str">
        <f>IFERROR(__xludf.DUMMYFUNCTION("IFERROR(VLOOKUP(D1453,
IMPORTRANGE(""https://docs.google.com/spreadsheets/d/1MjHtlUikwobi2MaWJgy7tfLeBmhj1u-dRFRs_8GwSoA/edit#gid=0"",""Gestores Escolares!D7:J""),3,0),""VERIFICAR CÓD SEC"")"),"PATRICIA PEREIRA DA SILVA MACHADO")</f>
        <v>PATRICIA PEREIRA DA SILVA MACHADO</v>
      </c>
      <c r="N1453" s="82" t="str">
        <f>IFERROR(__xludf.DUMMYFUNCTION("IFERROR(VLOOKUP(D1453,
IMPORTRANGE(""https://docs.google.com/spreadsheets/d/1MjHtlUikwobi2MaWJgy7tfLeBmhj1u-dRFRs_8GwSoA/edit#gid=0"",""Gestores Escolares!D7:J""),4,0),""VERIFICAR CÓD SEC"")"),"(71) 9 9949-0693")</f>
        <v>(71) 9 9949-0693</v>
      </c>
      <c r="O1453" s="82" t="str">
        <f>IFERROR(__xludf.DUMMYFUNCTION("IFERROR(VLOOKUP(D1453,
IMPORTRANGE(""https://docs.google.com/spreadsheets/d/1MjHtlUikwobi2MaWJgy7tfLeBmhj1u-dRFRs_8GwSoA/edit#gid=0"",""Gestores Escolares!D7:J""),6,0),""VERIFICAR CÓD SEC"")"),"ANA CIBELE MENDONCA DA SILVA")</f>
        <v>ANA CIBELE MENDONCA DA SILVA</v>
      </c>
      <c r="P1453" s="82" t="str">
        <f>IFERROR(__xludf.DUMMYFUNCTION("IFERROR(VLOOKUP(D1453,
IMPORTRANGE(""https://docs.google.com/spreadsheets/d/1MjHtlUikwobi2MaWJgy7tfLeBmhj1u-dRFRs_8GwSoA/edit#gid=0"",""Gestores Escolares!D7:J""),7,0),""VERIFICAR CÓD SEC"")"),"(71) 9 9126-9788")</f>
        <v>(71) 9 9126-9788</v>
      </c>
      <c r="Q1453" s="82" t="str">
        <f>IFERROR(__xludf.DUMMYFUNCTION("IFERROR(VLOOKUP(D1453,
IMPORTRANGE(""https://docs.google.com/spreadsheets/d/1MjHtlUikwobi2MaWJgy7tfLeBmhj1u-dRFRs_8GwSoA/edit#gid=0"",""Gestores Escolares!D7:m""),9,0),""VERIFICAR CÓD SEC"")"),"")</f>
        <v/>
      </c>
      <c r="R1453" s="82" t="str">
        <f>IFERROR(__xludf.DUMMYFUNCTION("IFERROR(VLOOKUP(D1453,
IMPORTRANGE(""https://docs.google.com/spreadsheets/d/1MjHtlUikwobi2MaWJgy7tfLeBmhj1u-dRFRs_8GwSoA/edit#gid=0"",""Gestores Escolares!D7:m""),10,0),""VERIFICAR CÓD SEC"")"),"")</f>
        <v/>
      </c>
      <c r="S1453" s="82"/>
      <c r="T1453" s="138">
        <v>13.0</v>
      </c>
      <c r="U1453" s="152">
        <v>10.0</v>
      </c>
      <c r="V1453" s="106">
        <v>0.0</v>
      </c>
      <c r="W1453" s="107">
        <v>0.0</v>
      </c>
      <c r="X1453" s="107">
        <v>0.0</v>
      </c>
      <c r="Y1453" s="107">
        <v>0.0</v>
      </c>
      <c r="Z1453" s="80">
        <f t="shared" si="1"/>
        <v>0</v>
      </c>
      <c r="AA1453" s="106">
        <v>7.0</v>
      </c>
      <c r="AB1453" s="107">
        <v>15.0</v>
      </c>
      <c r="AC1453" s="107">
        <v>0.0</v>
      </c>
      <c r="AD1453" s="107">
        <v>0.0</v>
      </c>
      <c r="AE1453" s="80">
        <f t="shared" si="2"/>
        <v>22</v>
      </c>
      <c r="AF1453" s="140">
        <v>6.0</v>
      </c>
      <c r="AG1453" s="109">
        <v>0.0</v>
      </c>
      <c r="AH1453" s="109">
        <v>0.0</v>
      </c>
      <c r="AI1453" s="141">
        <v>0.0</v>
      </c>
      <c r="AJ1453" s="80">
        <f t="shared" si="3"/>
        <v>6</v>
      </c>
      <c r="AK1453" s="140">
        <v>3.0</v>
      </c>
      <c r="AL1453" s="109">
        <v>3.0</v>
      </c>
      <c r="AM1453" s="141">
        <v>0.0</v>
      </c>
      <c r="AN1453" s="80">
        <f t="shared" si="4"/>
        <v>6</v>
      </c>
      <c r="AO1453" s="140">
        <v>5.0</v>
      </c>
      <c r="AP1453" s="109">
        <v>0.0</v>
      </c>
      <c r="AQ1453" s="109">
        <v>0.0</v>
      </c>
      <c r="AR1453" s="80">
        <f t="shared" si="5"/>
        <v>5</v>
      </c>
      <c r="AS1453" s="110">
        <v>0.0</v>
      </c>
      <c r="AT1453" s="110">
        <v>0.0</v>
      </c>
      <c r="AU1453" s="110">
        <v>0.0</v>
      </c>
      <c r="AV1453" s="142">
        <v>0.0</v>
      </c>
      <c r="AW1453" s="80">
        <f t="shared" si="6"/>
        <v>0</v>
      </c>
      <c r="AX1453" s="113">
        <f t="shared" si="7"/>
        <v>39</v>
      </c>
      <c r="AY1453" s="117">
        <f t="shared" si="8"/>
        <v>39</v>
      </c>
      <c r="AZ1453" s="120">
        <f t="shared" si="9"/>
        <v>0</v>
      </c>
      <c r="BA1453" s="168">
        <v>0.0</v>
      </c>
      <c r="BB1453" s="89">
        <f t="shared" si="10"/>
        <v>39</v>
      </c>
      <c r="BC1453" s="132" t="s">
        <v>553</v>
      </c>
      <c r="BD1453" s="132" t="s">
        <v>178</v>
      </c>
      <c r="BE1453" s="132" t="s">
        <v>178</v>
      </c>
      <c r="BF1453" s="123"/>
      <c r="BG1453" s="83">
        <v>1104367.0</v>
      </c>
      <c r="BH1453" s="98" t="s">
        <v>8205</v>
      </c>
      <c r="BI1453" s="112">
        <v>10.0</v>
      </c>
      <c r="BJ1453" s="98" t="s">
        <v>155</v>
      </c>
      <c r="BK1453" s="99">
        <f t="shared" si="11"/>
        <v>0</v>
      </c>
      <c r="BL1453" s="99">
        <f t="shared" si="12"/>
        <v>39</v>
      </c>
      <c r="BM1453" s="99" t="str">
        <f>IFERROR(__xludf.DUMMYFUNCTION("IFERROR(VLOOKUP(BG1453,IMPORTRANGE(""https://docs.google.com/spreadsheets/d/1juPI-Fb8LD0YtltB2mlGEnp_R3UVu1t3wSFPzgCyHXE/edit?gid=0#gid=0"",""GERAL!A2:C""),3,0),""-"")"),"-")</f>
        <v>-</v>
      </c>
    </row>
    <row r="1454" ht="15.75" customHeight="1">
      <c r="A1454" s="111" t="s">
        <v>1785</v>
      </c>
      <c r="B1454" s="83" t="s">
        <v>1994</v>
      </c>
      <c r="C1454" s="83" t="s">
        <v>68</v>
      </c>
      <c r="D1454" s="112">
        <v>1176390.0</v>
      </c>
      <c r="E1454" s="83"/>
      <c r="F1454" s="83">
        <v>2.935814E7</v>
      </c>
      <c r="G1454" s="114" t="s">
        <v>8206</v>
      </c>
      <c r="H1454" s="91" t="s">
        <v>8207</v>
      </c>
      <c r="I1454" s="83" t="s">
        <v>8208</v>
      </c>
      <c r="J1454" s="83" t="s">
        <v>150</v>
      </c>
      <c r="K1454" s="83" t="s">
        <v>151</v>
      </c>
      <c r="L1454" s="83" t="s">
        <v>152</v>
      </c>
      <c r="M1454" s="82" t="str">
        <f>IFERROR(__xludf.DUMMYFUNCTION("IFERROR(VLOOKUP(D1454,
IMPORTRANGE(""https://docs.google.com/spreadsheets/d/1MjHtlUikwobi2MaWJgy7tfLeBmhj1u-dRFRs_8GwSoA/edit#gid=0"",""Gestores Escolares!D7:J""),3,0),""VERIFICAR CÓD SEC"")"),"ANA CAROLINA QUEIROS FONSECA PAIM")</f>
        <v>ANA CAROLINA QUEIROS FONSECA PAIM</v>
      </c>
      <c r="N1454" s="82" t="str">
        <f>IFERROR(__xludf.DUMMYFUNCTION("IFERROR(VLOOKUP(D1454,
IMPORTRANGE(""https://docs.google.com/spreadsheets/d/1MjHtlUikwobi2MaWJgy7tfLeBmhj1u-dRFRs_8GwSoA/edit#gid=0"",""Gestores Escolares!D7:J""),4,0),""VERIFICAR CÓD SEC"")"),"(71) 9 9399-0405")</f>
        <v>(71) 9 9399-0405</v>
      </c>
      <c r="O1454" s="82" t="str">
        <f>IFERROR(__xludf.DUMMYFUNCTION("IFERROR(VLOOKUP(D1454,
IMPORTRANGE(""https://docs.google.com/spreadsheets/d/1MjHtlUikwobi2MaWJgy7tfLeBmhj1u-dRFRs_8GwSoA/edit#gid=0"",""Gestores Escolares!D7:J""),6,0),""VERIFICAR CÓD SEC"")"),"ELISANGELA DAS NEVES AGUIAR")</f>
        <v>ELISANGELA DAS NEVES AGUIAR</v>
      </c>
      <c r="P1454" s="82" t="str">
        <f>IFERROR(__xludf.DUMMYFUNCTION("IFERROR(VLOOKUP(D1454,
IMPORTRANGE(""https://docs.google.com/spreadsheets/d/1MjHtlUikwobi2MaWJgy7tfLeBmhj1u-dRFRs_8GwSoA/edit#gid=0"",""Gestores Escolares!D7:J""),7,0),""VERIFICAR CÓD SEC"")"),"(71) 9 8877-8929")</f>
        <v>(71) 9 8877-8929</v>
      </c>
      <c r="Q1454" s="82" t="str">
        <f>IFERROR(__xludf.DUMMYFUNCTION("IFERROR(VLOOKUP(D1454,
IMPORTRANGE(""https://docs.google.com/spreadsheets/d/1MjHtlUikwobi2MaWJgy7tfLeBmhj1u-dRFRs_8GwSoA/edit#gid=0"",""Gestores Escolares!D7:m""),9,0),""VERIFICAR CÓD SEC"")"),"")</f>
        <v/>
      </c>
      <c r="R1454" s="82" t="str">
        <f>IFERROR(__xludf.DUMMYFUNCTION("IFERROR(VLOOKUP(D1454,
IMPORTRANGE(""https://docs.google.com/spreadsheets/d/1MjHtlUikwobi2MaWJgy7tfLeBmhj1u-dRFRs_8GwSoA/edit#gid=0"",""Gestores Escolares!D7:m""),10,0),""VERIFICAR CÓD SEC"")"),"")</f>
        <v/>
      </c>
      <c r="S1454" s="82"/>
      <c r="T1454" s="138">
        <v>22.0</v>
      </c>
      <c r="U1454" s="152">
        <v>16.0</v>
      </c>
      <c r="V1454" s="106">
        <v>0.0</v>
      </c>
      <c r="W1454" s="107">
        <v>0.0</v>
      </c>
      <c r="X1454" s="107">
        <v>0.0</v>
      </c>
      <c r="Y1454" s="107">
        <v>0.0</v>
      </c>
      <c r="Z1454" s="80">
        <f t="shared" si="1"/>
        <v>0</v>
      </c>
      <c r="AA1454" s="106">
        <v>0.0</v>
      </c>
      <c r="AB1454" s="107">
        <v>0.0</v>
      </c>
      <c r="AC1454" s="107">
        <v>0.0</v>
      </c>
      <c r="AD1454" s="107">
        <v>375.0</v>
      </c>
      <c r="AE1454" s="80">
        <f t="shared" si="2"/>
        <v>375</v>
      </c>
      <c r="AF1454" s="140">
        <v>0.0</v>
      </c>
      <c r="AG1454" s="109">
        <v>0.0</v>
      </c>
      <c r="AH1454" s="109">
        <v>0.0</v>
      </c>
      <c r="AI1454" s="141">
        <v>0.0</v>
      </c>
      <c r="AJ1454" s="80">
        <f t="shared" si="3"/>
        <v>0</v>
      </c>
      <c r="AK1454" s="140">
        <v>0.0</v>
      </c>
      <c r="AL1454" s="109">
        <v>0.0</v>
      </c>
      <c r="AM1454" s="141">
        <v>0.0</v>
      </c>
      <c r="AN1454" s="80">
        <f t="shared" si="4"/>
        <v>0</v>
      </c>
      <c r="AO1454" s="140">
        <v>0.0</v>
      </c>
      <c r="AP1454" s="109">
        <v>0.0</v>
      </c>
      <c r="AQ1454" s="109">
        <v>0.0</v>
      </c>
      <c r="AR1454" s="80">
        <f t="shared" si="5"/>
        <v>0</v>
      </c>
      <c r="AS1454" s="110">
        <v>0.0</v>
      </c>
      <c r="AT1454" s="110">
        <v>0.0</v>
      </c>
      <c r="AU1454" s="110">
        <v>0.0</v>
      </c>
      <c r="AV1454" s="142">
        <v>0.0</v>
      </c>
      <c r="AW1454" s="80">
        <f t="shared" si="6"/>
        <v>0</v>
      </c>
      <c r="AX1454" s="113">
        <f t="shared" si="7"/>
        <v>375</v>
      </c>
      <c r="AY1454" s="117">
        <f t="shared" si="8"/>
        <v>375</v>
      </c>
      <c r="AZ1454" s="120">
        <f t="shared" si="9"/>
        <v>0</v>
      </c>
      <c r="BA1454" s="115">
        <v>0.0</v>
      </c>
      <c r="BB1454" s="89">
        <f t="shared" si="10"/>
        <v>375</v>
      </c>
      <c r="BC1454" s="132" t="s">
        <v>178</v>
      </c>
      <c r="BD1454" s="132" t="s">
        <v>178</v>
      </c>
      <c r="BE1454" s="132" t="s">
        <v>178</v>
      </c>
      <c r="BF1454" s="156"/>
      <c r="BG1454" s="83">
        <v>1176390.0</v>
      </c>
      <c r="BH1454" s="98" t="s">
        <v>8209</v>
      </c>
      <c r="BI1454" s="112">
        <v>16.0</v>
      </c>
      <c r="BJ1454" s="98" t="s">
        <v>155</v>
      </c>
      <c r="BK1454" s="99">
        <f t="shared" si="11"/>
        <v>375</v>
      </c>
      <c r="BL1454" s="99">
        <f t="shared" si="12"/>
        <v>0</v>
      </c>
      <c r="BM1454" s="99" t="str">
        <f>IFERROR(__xludf.DUMMYFUNCTION("IFERROR(VLOOKUP(BG1454,IMPORTRANGE(""https://docs.google.com/spreadsheets/d/1juPI-Fb8LD0YtltB2mlGEnp_R3UVu1t3wSFPzgCyHXE/edit?gid=0#gid=0"",""GERAL!A2:C""),3,0),""-"")"),"-")</f>
        <v>-</v>
      </c>
    </row>
    <row r="1455" ht="15.75" customHeight="1">
      <c r="A1455" s="111" t="s">
        <v>1785</v>
      </c>
      <c r="B1455" s="83" t="s">
        <v>1994</v>
      </c>
      <c r="C1455" s="83" t="s">
        <v>68</v>
      </c>
      <c r="D1455" s="112">
        <v>1101791.0</v>
      </c>
      <c r="E1455" s="83"/>
      <c r="F1455" s="83">
        <v>2.9191637E7</v>
      </c>
      <c r="G1455" s="114" t="s">
        <v>8217</v>
      </c>
      <c r="H1455" s="91" t="s">
        <v>8218</v>
      </c>
      <c r="I1455" s="83" t="s">
        <v>8219</v>
      </c>
      <c r="J1455" s="83" t="s">
        <v>150</v>
      </c>
      <c r="K1455" s="83" t="s">
        <v>151</v>
      </c>
      <c r="L1455" s="83" t="s">
        <v>152</v>
      </c>
      <c r="M1455" s="82" t="str">
        <f>IFERROR(__xludf.DUMMYFUNCTION("IFERROR(VLOOKUP(D1455,
IMPORTRANGE(""https://docs.google.com/spreadsheets/d/1MjHtlUikwobi2MaWJgy7tfLeBmhj1u-dRFRs_8GwSoA/edit#gid=0"",""Gestores Escolares!D7:J""),3,0),""VERIFICAR CÓD SEC"")"),"GERUZA DE ARAÚJO")</f>
        <v>GERUZA DE ARAÚJO</v>
      </c>
      <c r="N1455" s="82" t="str">
        <f>IFERROR(__xludf.DUMMYFUNCTION("IFERROR(VLOOKUP(D1455,
IMPORTRANGE(""https://docs.google.com/spreadsheets/d/1MjHtlUikwobi2MaWJgy7tfLeBmhj1u-dRFRs_8GwSoA/edit#gid=0"",""Gestores Escolares!D7:J""),4,0),""VERIFICAR CÓD SEC"")"),"(71) 9 9952-6339")</f>
        <v>(71) 9 9952-6339</v>
      </c>
      <c r="O1455" s="82" t="str">
        <f>IFERROR(__xludf.DUMMYFUNCTION("IFERROR(VLOOKUP(D1455,
IMPORTRANGE(""https://docs.google.com/spreadsheets/d/1MjHtlUikwobi2MaWJgy7tfLeBmhj1u-dRFRs_8GwSoA/edit#gid=0"",""Gestores Escolares!D7:J""),6,0),""VERIFICAR CÓD SEC"")"),"MÁRCIO MOTTA MALTEZ")</f>
        <v>MÁRCIO MOTTA MALTEZ</v>
      </c>
      <c r="P1455" s="82" t="str">
        <f>IFERROR(__xludf.DUMMYFUNCTION("IFERROR(VLOOKUP(D1455,
IMPORTRANGE(""https://docs.google.com/spreadsheets/d/1MjHtlUikwobi2MaWJgy7tfLeBmhj1u-dRFRs_8GwSoA/edit#gid=0"",""Gestores Escolares!D7:J""),7,0),""VERIFICAR CÓD SEC"")"),"(71) 9 8700-9497")</f>
        <v>(71) 9 8700-9497</v>
      </c>
      <c r="Q1455" s="82" t="str">
        <f>IFERROR(__xludf.DUMMYFUNCTION("IFERROR(VLOOKUP(D1455,
IMPORTRANGE(""https://docs.google.com/spreadsheets/d/1MjHtlUikwobi2MaWJgy7tfLeBmhj1u-dRFRs_8GwSoA/edit#gid=0"",""Gestores Escolares!D7:m""),9,0),""VERIFICAR CÓD SEC"")"),"")</f>
        <v/>
      </c>
      <c r="R1455" s="82" t="str">
        <f>IFERROR(__xludf.DUMMYFUNCTION("IFERROR(VLOOKUP(D1455,
IMPORTRANGE(""https://docs.google.com/spreadsheets/d/1MjHtlUikwobi2MaWJgy7tfLeBmhj1u-dRFRs_8GwSoA/edit#gid=0"",""Gestores Escolares!D7:m""),10,0),""VERIFICAR CÓD SEC"")"),"")</f>
        <v/>
      </c>
      <c r="S1455" s="82"/>
      <c r="T1455" s="138">
        <v>9.0</v>
      </c>
      <c r="U1455" s="152">
        <v>9.0</v>
      </c>
      <c r="V1455" s="106">
        <v>0.0</v>
      </c>
      <c r="W1455" s="107">
        <v>0.0</v>
      </c>
      <c r="X1455" s="107">
        <v>0.0</v>
      </c>
      <c r="Y1455" s="107">
        <v>0.0</v>
      </c>
      <c r="Z1455" s="80">
        <f t="shared" si="1"/>
        <v>0</v>
      </c>
      <c r="AA1455" s="106">
        <v>340.0</v>
      </c>
      <c r="AB1455" s="107">
        <v>312.0</v>
      </c>
      <c r="AC1455" s="107">
        <v>0.0</v>
      </c>
      <c r="AD1455" s="107">
        <v>0.0</v>
      </c>
      <c r="AE1455" s="80">
        <f t="shared" si="2"/>
        <v>652</v>
      </c>
      <c r="AF1455" s="140">
        <v>0.0</v>
      </c>
      <c r="AG1455" s="109">
        <v>0.0</v>
      </c>
      <c r="AH1455" s="109">
        <v>0.0</v>
      </c>
      <c r="AI1455" s="141">
        <v>0.0</v>
      </c>
      <c r="AJ1455" s="80">
        <f t="shared" si="3"/>
        <v>0</v>
      </c>
      <c r="AK1455" s="140">
        <v>0.0</v>
      </c>
      <c r="AL1455" s="109">
        <v>0.0</v>
      </c>
      <c r="AM1455" s="141">
        <v>0.0</v>
      </c>
      <c r="AN1455" s="80">
        <f t="shared" si="4"/>
        <v>0</v>
      </c>
      <c r="AO1455" s="140">
        <v>0.0</v>
      </c>
      <c r="AP1455" s="109">
        <v>0.0</v>
      </c>
      <c r="AQ1455" s="109">
        <v>0.0</v>
      </c>
      <c r="AR1455" s="80">
        <f t="shared" si="5"/>
        <v>0</v>
      </c>
      <c r="AS1455" s="110">
        <v>0.0</v>
      </c>
      <c r="AT1455" s="110">
        <v>0.0</v>
      </c>
      <c r="AU1455" s="110">
        <v>0.0</v>
      </c>
      <c r="AV1455" s="142">
        <v>0.0</v>
      </c>
      <c r="AW1455" s="80">
        <f t="shared" si="6"/>
        <v>0</v>
      </c>
      <c r="AX1455" s="113">
        <f t="shared" si="7"/>
        <v>652</v>
      </c>
      <c r="AY1455" s="117">
        <f t="shared" si="8"/>
        <v>652</v>
      </c>
      <c r="AZ1455" s="120">
        <f t="shared" si="9"/>
        <v>0</v>
      </c>
      <c r="BA1455" s="115">
        <v>0.0</v>
      </c>
      <c r="BB1455" s="89">
        <f t="shared" si="10"/>
        <v>652</v>
      </c>
      <c r="BC1455" s="132" t="s">
        <v>178</v>
      </c>
      <c r="BD1455" s="132" t="s">
        <v>178</v>
      </c>
      <c r="BE1455" s="132" t="s">
        <v>178</v>
      </c>
      <c r="BF1455" s="123"/>
      <c r="BG1455" s="83">
        <v>1101791.0</v>
      </c>
      <c r="BH1455" s="98" t="s">
        <v>8220</v>
      </c>
      <c r="BI1455" s="112">
        <v>9.0</v>
      </c>
      <c r="BJ1455" s="98" t="s">
        <v>155</v>
      </c>
      <c r="BK1455" s="99">
        <f t="shared" si="11"/>
        <v>0</v>
      </c>
      <c r="BL1455" s="99">
        <f t="shared" si="12"/>
        <v>652</v>
      </c>
      <c r="BM1455" s="99" t="str">
        <f>IFERROR(__xludf.DUMMYFUNCTION("IFERROR(VLOOKUP(BG1455,IMPORTRANGE(""https://docs.google.com/spreadsheets/d/1juPI-Fb8LD0YtltB2mlGEnp_R3UVu1t3wSFPzgCyHXE/edit?gid=0#gid=0"",""GERAL!A2:C""),3,0),""-"")"),"-")</f>
        <v>-</v>
      </c>
    </row>
    <row r="1456" ht="15.75" customHeight="1">
      <c r="A1456" s="111" t="s">
        <v>1785</v>
      </c>
      <c r="B1456" s="83" t="s">
        <v>1994</v>
      </c>
      <c r="C1456" s="83" t="s">
        <v>68</v>
      </c>
      <c r="D1456" s="112">
        <v>1168837.0</v>
      </c>
      <c r="E1456" s="83"/>
      <c r="F1456" s="83">
        <v>2.9182182E7</v>
      </c>
      <c r="G1456" s="119" t="s">
        <v>8222</v>
      </c>
      <c r="H1456" s="91" t="s">
        <v>8223</v>
      </c>
      <c r="I1456" s="83" t="s">
        <v>8224</v>
      </c>
      <c r="J1456" s="83" t="s">
        <v>150</v>
      </c>
      <c r="K1456" s="83" t="s">
        <v>151</v>
      </c>
      <c r="L1456" s="83" t="s">
        <v>169</v>
      </c>
      <c r="M1456" s="82" t="str">
        <f>IFERROR(__xludf.DUMMYFUNCTION("IFERROR(VLOOKUP(D1456,
IMPORTRANGE(""https://docs.google.com/spreadsheets/d/1MjHtlUikwobi2MaWJgy7tfLeBmhj1u-dRFRs_8GwSoA/edit#gid=0"",""Gestores Escolares!D7:J""),3,0),""VERIFICAR CÓD SEC"")"),"SEM DIREÇÃO - SE APOSENTOU NO DOE NO DIA 08/08/2026")</f>
        <v>SEM DIREÇÃO - SE APOSENTOU NO DOE NO DIA 08/08/2026</v>
      </c>
      <c r="N1456" s="82" t="str">
        <f>IFERROR(__xludf.DUMMYFUNCTION("IFERROR(VLOOKUP(D1456,
IMPORTRANGE(""https://docs.google.com/spreadsheets/d/1MjHtlUikwobi2MaWJgy7tfLeBmhj1u-dRFRs_8GwSoA/edit#gid=0"",""Gestores Escolares!D7:J""),4,0),""VERIFICAR CÓD SEC"")"),"")</f>
        <v/>
      </c>
      <c r="O1456" s="82" t="str">
        <f>IFERROR(__xludf.DUMMYFUNCTION("IFERROR(VLOOKUP(D1456,
IMPORTRANGE(""https://docs.google.com/spreadsheets/d/1MjHtlUikwobi2MaWJgy7tfLeBmhj1u-dRFRs_8GwSoA/edit#gid=0"",""Gestores Escolares!D7:J""),6,0),""VERIFICAR CÓD SEC"")"),"ERICO DA HORA SANTOS NETO")</f>
        <v>ERICO DA HORA SANTOS NETO</v>
      </c>
      <c r="P1456" s="82" t="str">
        <f>IFERROR(__xludf.DUMMYFUNCTION("IFERROR(VLOOKUP(D1456,
IMPORTRANGE(""https://docs.google.com/spreadsheets/d/1MjHtlUikwobi2MaWJgy7tfLeBmhj1u-dRFRs_8GwSoA/edit#gid=0"",""Gestores Escolares!D7:J""),7,0),""VERIFICAR CÓD SEC"")"),"(71) 9 9100-3793")</f>
        <v>(71) 9 9100-3793</v>
      </c>
      <c r="Q1456" s="82" t="str">
        <f>IFERROR(__xludf.DUMMYFUNCTION("IFERROR(VLOOKUP(D1456,
IMPORTRANGE(""https://docs.google.com/spreadsheets/d/1MjHtlUikwobi2MaWJgy7tfLeBmhj1u-dRFRs_8GwSoA/edit#gid=0"",""Gestores Escolares!D7:m""),9,0),""VERIFICAR CÓD SEC"")"),"")</f>
        <v/>
      </c>
      <c r="R1456" s="82" t="str">
        <f>IFERROR(__xludf.DUMMYFUNCTION("IFERROR(VLOOKUP(D1456,
IMPORTRANGE(""https://docs.google.com/spreadsheets/d/1MjHtlUikwobi2MaWJgy7tfLeBmhj1u-dRFRs_8GwSoA/edit#gid=0"",""Gestores Escolares!D7:m""),10,0),""VERIFICAR CÓD SEC"")"),"")</f>
        <v/>
      </c>
      <c r="S1456" s="82"/>
      <c r="T1456" s="138">
        <v>17.0</v>
      </c>
      <c r="U1456" s="152">
        <v>14.0</v>
      </c>
      <c r="V1456" s="106">
        <v>0.0</v>
      </c>
      <c r="W1456" s="107">
        <v>0.0</v>
      </c>
      <c r="X1456" s="107">
        <v>0.0</v>
      </c>
      <c r="Y1456" s="107">
        <v>0.0</v>
      </c>
      <c r="Z1456" s="80">
        <f t="shared" si="1"/>
        <v>0</v>
      </c>
      <c r="AA1456" s="106">
        <v>0.0</v>
      </c>
      <c r="AB1456" s="107">
        <v>0.0</v>
      </c>
      <c r="AC1456" s="107">
        <v>0.0</v>
      </c>
      <c r="AD1456" s="107">
        <v>89.0</v>
      </c>
      <c r="AE1456" s="80">
        <f t="shared" si="2"/>
        <v>89</v>
      </c>
      <c r="AF1456" s="140">
        <v>0.0</v>
      </c>
      <c r="AG1456" s="109">
        <v>0.0</v>
      </c>
      <c r="AH1456" s="109">
        <v>0.0</v>
      </c>
      <c r="AI1456" s="141">
        <v>54.0</v>
      </c>
      <c r="AJ1456" s="80">
        <f t="shared" si="3"/>
        <v>54</v>
      </c>
      <c r="AK1456" s="140">
        <v>0.0</v>
      </c>
      <c r="AL1456" s="109">
        <v>0.0</v>
      </c>
      <c r="AM1456" s="141">
        <v>0.0</v>
      </c>
      <c r="AN1456" s="80">
        <f t="shared" si="4"/>
        <v>0</v>
      </c>
      <c r="AO1456" s="140">
        <v>0.0</v>
      </c>
      <c r="AP1456" s="109">
        <v>0.0</v>
      </c>
      <c r="AQ1456" s="109">
        <v>0.0</v>
      </c>
      <c r="AR1456" s="80">
        <f t="shared" si="5"/>
        <v>0</v>
      </c>
      <c r="AS1456" s="110">
        <v>0.0</v>
      </c>
      <c r="AT1456" s="110">
        <v>0.0</v>
      </c>
      <c r="AU1456" s="110">
        <v>0.0</v>
      </c>
      <c r="AV1456" s="142">
        <v>6.0</v>
      </c>
      <c r="AW1456" s="80">
        <f t="shared" si="6"/>
        <v>6</v>
      </c>
      <c r="AX1456" s="113">
        <f t="shared" si="7"/>
        <v>149</v>
      </c>
      <c r="AY1456" s="117">
        <f t="shared" si="8"/>
        <v>149</v>
      </c>
      <c r="AZ1456" s="120">
        <f t="shared" si="9"/>
        <v>0</v>
      </c>
      <c r="BA1456" s="115">
        <v>0.0</v>
      </c>
      <c r="BB1456" s="89">
        <f t="shared" si="10"/>
        <v>149</v>
      </c>
      <c r="BC1456" s="132" t="s">
        <v>178</v>
      </c>
      <c r="BD1456" s="132" t="s">
        <v>178</v>
      </c>
      <c r="BE1456" s="132" t="s">
        <v>178</v>
      </c>
      <c r="BF1456" s="156"/>
      <c r="BG1456" s="83">
        <v>1168837.0</v>
      </c>
      <c r="BH1456" s="98" t="s">
        <v>8225</v>
      </c>
      <c r="BI1456" s="112">
        <v>14.0</v>
      </c>
      <c r="BJ1456" s="98" t="s">
        <v>155</v>
      </c>
      <c r="BK1456" s="99">
        <f t="shared" si="11"/>
        <v>149</v>
      </c>
      <c r="BL1456" s="99">
        <f t="shared" si="12"/>
        <v>0</v>
      </c>
      <c r="BM1456" s="99" t="str">
        <f>IFERROR(__xludf.DUMMYFUNCTION("IFERROR(VLOOKUP(BG1456,IMPORTRANGE(""https://docs.google.com/spreadsheets/d/1juPI-Fb8LD0YtltB2mlGEnp_R3UVu1t3wSFPzgCyHXE/edit?gid=0#gid=0"",""GERAL!A2:C""),3,0),""-"")"),"-")</f>
        <v>-</v>
      </c>
    </row>
    <row r="1457" ht="15.75" customHeight="1">
      <c r="A1457" s="111" t="s">
        <v>1785</v>
      </c>
      <c r="B1457" s="83" t="s">
        <v>1994</v>
      </c>
      <c r="C1457" s="83" t="s">
        <v>68</v>
      </c>
      <c r="D1457" s="112">
        <v>1135998.0</v>
      </c>
      <c r="E1457" s="83"/>
      <c r="F1457" s="83">
        <v>2.9191173E7</v>
      </c>
      <c r="G1457" s="119" t="s">
        <v>2256</v>
      </c>
      <c r="H1457" s="91" t="s">
        <v>8227</v>
      </c>
      <c r="I1457" s="83" t="s">
        <v>8219</v>
      </c>
      <c r="J1457" s="83" t="s">
        <v>150</v>
      </c>
      <c r="K1457" s="83" t="s">
        <v>151</v>
      </c>
      <c r="L1457" s="83" t="s">
        <v>152</v>
      </c>
      <c r="M1457" s="82" t="str">
        <f>IFERROR(__xludf.DUMMYFUNCTION("IFERROR(VLOOKUP(D1457,
IMPORTRANGE(""https://docs.google.com/spreadsheets/d/1MjHtlUikwobi2MaWJgy7tfLeBmhj1u-dRFRs_8GwSoA/edit#gid=0"",""Gestores Escolares!D7:J""),3,0),""VERIFICAR CÓD SEC"")"),"GIULEMAR DE SOUZA SANTANA")</f>
        <v>GIULEMAR DE SOUZA SANTANA</v>
      </c>
      <c r="N1457" s="82" t="str">
        <f>IFERROR(__xludf.DUMMYFUNCTION("IFERROR(VLOOKUP(D1457,
IMPORTRANGE(""https://docs.google.com/spreadsheets/d/1MjHtlUikwobi2MaWJgy7tfLeBmhj1u-dRFRs_8GwSoA/edit#gid=0"",""Gestores Escolares!D7:J""),4,0),""VERIFICAR CÓD SEC"")"),"  (71) 9 9153-8212")</f>
        <v>  (71) 9 9153-8212</v>
      </c>
      <c r="O1457" s="82" t="str">
        <f>IFERROR(__xludf.DUMMYFUNCTION("IFERROR(VLOOKUP(D1457,
IMPORTRANGE(""https://docs.google.com/spreadsheets/d/1MjHtlUikwobi2MaWJgy7tfLeBmhj1u-dRFRs_8GwSoA/edit#gid=0"",""Gestores Escolares!D7:J""),6,0),""VERIFICAR CÓD SEC"")"),"EGELZA GOMES SOUZA")</f>
        <v>EGELZA GOMES SOUZA</v>
      </c>
      <c r="P1457" s="82" t="str">
        <f>IFERROR(__xludf.DUMMYFUNCTION("IFERROR(VLOOKUP(D1457,
IMPORTRANGE(""https://docs.google.com/spreadsheets/d/1MjHtlUikwobi2MaWJgy7tfLeBmhj1u-dRFRs_8GwSoA/edit#gid=0"",""Gestores Escolares!D7:J""),7,0),""VERIFICAR CÓD SEC"")"),"(71) 9 8876-7551")</f>
        <v>(71) 9 8876-7551</v>
      </c>
      <c r="Q1457" s="82" t="str">
        <f>IFERROR(__xludf.DUMMYFUNCTION("IFERROR(VLOOKUP(D1457,
IMPORTRANGE(""https://docs.google.com/spreadsheets/d/1MjHtlUikwobi2MaWJgy7tfLeBmhj1u-dRFRs_8GwSoA/edit#gid=0"",""Gestores Escolares!D7:m""),9,0),""VERIFICAR CÓD SEC"")"),"LINDOMAR ANDRADE PORTUGAL")</f>
        <v>LINDOMAR ANDRADE PORTUGAL</v>
      </c>
      <c r="R1457" s="82" t="str">
        <f>IFERROR(__xludf.DUMMYFUNCTION("IFERROR(VLOOKUP(D1457,
IMPORTRANGE(""https://docs.google.com/spreadsheets/d/1MjHtlUikwobi2MaWJgy7tfLeBmhj1u-dRFRs_8GwSoA/edit#gid=0"",""Gestores Escolares!D7:m""),10,0),""VERIFICAR CÓD SEC"")"),"(71) 9 8255-1055")</f>
        <v>(71) 9 8255-1055</v>
      </c>
      <c r="S1457" s="82"/>
      <c r="T1457" s="138">
        <v>7.0</v>
      </c>
      <c r="U1457" s="152">
        <v>7.0</v>
      </c>
      <c r="V1457" s="106">
        <v>0.0</v>
      </c>
      <c r="W1457" s="107">
        <v>0.0</v>
      </c>
      <c r="X1457" s="107">
        <v>0.0</v>
      </c>
      <c r="Y1457" s="107">
        <v>0.0</v>
      </c>
      <c r="Z1457" s="80">
        <f t="shared" si="1"/>
        <v>0</v>
      </c>
      <c r="AA1457" s="106">
        <v>0.0</v>
      </c>
      <c r="AB1457" s="107">
        <v>0.0</v>
      </c>
      <c r="AC1457" s="107">
        <v>0.0</v>
      </c>
      <c r="AD1457" s="107">
        <v>0.0</v>
      </c>
      <c r="AE1457" s="80">
        <f t="shared" si="2"/>
        <v>0</v>
      </c>
      <c r="AF1457" s="140">
        <v>0.0</v>
      </c>
      <c r="AG1457" s="109">
        <v>0.0</v>
      </c>
      <c r="AH1457" s="109">
        <v>0.0</v>
      </c>
      <c r="AI1457" s="141">
        <v>154.0</v>
      </c>
      <c r="AJ1457" s="80">
        <f t="shared" si="3"/>
        <v>154</v>
      </c>
      <c r="AK1457" s="140">
        <v>0.0</v>
      </c>
      <c r="AL1457" s="109">
        <v>0.0</v>
      </c>
      <c r="AM1457" s="141">
        <v>0.0</v>
      </c>
      <c r="AN1457" s="80">
        <f t="shared" si="4"/>
        <v>0</v>
      </c>
      <c r="AO1457" s="140">
        <v>0.0</v>
      </c>
      <c r="AP1457" s="109">
        <v>0.0</v>
      </c>
      <c r="AQ1457" s="109">
        <v>90.0</v>
      </c>
      <c r="AR1457" s="80">
        <f t="shared" si="5"/>
        <v>90</v>
      </c>
      <c r="AS1457" s="110">
        <v>0.0</v>
      </c>
      <c r="AT1457" s="110">
        <v>0.0</v>
      </c>
      <c r="AU1457" s="110">
        <v>0.0</v>
      </c>
      <c r="AV1457" s="142">
        <v>0.0</v>
      </c>
      <c r="AW1457" s="80">
        <f t="shared" si="6"/>
        <v>0</v>
      </c>
      <c r="AX1457" s="113">
        <f t="shared" si="7"/>
        <v>244</v>
      </c>
      <c r="AY1457" s="117">
        <f t="shared" si="8"/>
        <v>154</v>
      </c>
      <c r="AZ1457" s="120">
        <f t="shared" si="9"/>
        <v>90</v>
      </c>
      <c r="BA1457" s="115">
        <v>0.0</v>
      </c>
      <c r="BB1457" s="89">
        <f t="shared" si="10"/>
        <v>244</v>
      </c>
      <c r="BC1457" s="132" t="s">
        <v>178</v>
      </c>
      <c r="BD1457" s="132" t="s">
        <v>178</v>
      </c>
      <c r="BE1457" s="132" t="s">
        <v>178</v>
      </c>
      <c r="BF1457" s="156"/>
      <c r="BG1457" s="83">
        <v>1135998.0</v>
      </c>
      <c r="BH1457" s="98" t="s">
        <v>8228</v>
      </c>
      <c r="BI1457" s="112">
        <v>7.0</v>
      </c>
      <c r="BJ1457" s="98" t="s">
        <v>155</v>
      </c>
      <c r="BK1457" s="99">
        <f t="shared" si="11"/>
        <v>154</v>
      </c>
      <c r="BL1457" s="99">
        <f t="shared" si="12"/>
        <v>0</v>
      </c>
      <c r="BM1457" s="99" t="str">
        <f>IFERROR(__xludf.DUMMYFUNCTION("IFERROR(VLOOKUP(BG1457,IMPORTRANGE(""https://docs.google.com/spreadsheets/d/1juPI-Fb8LD0YtltB2mlGEnp_R3UVu1t3wSFPzgCyHXE/edit?gid=0#gid=0"",""GERAL!A2:C""),3,0),""-"")"),"-")</f>
        <v>-</v>
      </c>
    </row>
    <row r="1458" ht="15.75" customHeight="1">
      <c r="A1458" s="111" t="s">
        <v>1785</v>
      </c>
      <c r="B1458" s="83" t="s">
        <v>1994</v>
      </c>
      <c r="C1458" s="83" t="s">
        <v>68</v>
      </c>
      <c r="D1458" s="112">
        <v>1103085.0</v>
      </c>
      <c r="E1458" s="83"/>
      <c r="F1458" s="83">
        <v>2.9191165E7</v>
      </c>
      <c r="G1458" s="119" t="s">
        <v>8231</v>
      </c>
      <c r="H1458" s="91" t="s">
        <v>8232</v>
      </c>
      <c r="I1458" s="83" t="s">
        <v>8233</v>
      </c>
      <c r="J1458" s="83" t="s">
        <v>150</v>
      </c>
      <c r="K1458" s="83" t="s">
        <v>151</v>
      </c>
      <c r="L1458" s="83" t="s">
        <v>76</v>
      </c>
      <c r="M1458" s="82" t="str">
        <f>IFERROR(__xludf.DUMMYFUNCTION("IFERROR(VLOOKUP(D1458,
IMPORTRANGE(""https://docs.google.com/spreadsheets/d/1MjHtlUikwobi2MaWJgy7tfLeBmhj1u-dRFRs_8GwSoA/edit#gid=0"",""Gestores Escolares!D7:J""),3,0),""VERIFICAR CÓD SEC"")"),"EDILENE SOUZA DE SENA")</f>
        <v>EDILENE SOUZA DE SENA</v>
      </c>
      <c r="N1458" s="82" t="str">
        <f>IFERROR(__xludf.DUMMYFUNCTION("IFERROR(VLOOKUP(D1458,
IMPORTRANGE(""https://docs.google.com/spreadsheets/d/1MjHtlUikwobi2MaWJgy7tfLeBmhj1u-dRFRs_8GwSoA/edit#gid=0"",""Gestores Escolares!D7:J""),4,0),""VERIFICAR CÓD SEC"")"),"(71) 9 8555-3207")</f>
        <v>(71) 9 8555-3207</v>
      </c>
      <c r="O1458" s="82" t="str">
        <f>IFERROR(__xludf.DUMMYFUNCTION("IFERROR(VLOOKUP(D1458,
IMPORTRANGE(""https://docs.google.com/spreadsheets/d/1MjHtlUikwobi2MaWJgy7tfLeBmhj1u-dRFRs_8GwSoA/edit#gid=0"",""Gestores Escolares!D7:J""),6,0),""VERIFICAR CÓD SEC"")"),"")</f>
        <v/>
      </c>
      <c r="P1458" s="82" t="str">
        <f>IFERROR(__xludf.DUMMYFUNCTION("IFERROR(VLOOKUP(D1458,
IMPORTRANGE(""https://docs.google.com/spreadsheets/d/1MjHtlUikwobi2MaWJgy7tfLeBmhj1u-dRFRs_8GwSoA/edit#gid=0"",""Gestores Escolares!D7:J""),7,0),""VERIFICAR CÓD SEC"")"),"")</f>
        <v/>
      </c>
      <c r="Q1458" s="82" t="str">
        <f>IFERROR(__xludf.DUMMYFUNCTION("IFERROR(VLOOKUP(D1458,
IMPORTRANGE(""https://docs.google.com/spreadsheets/d/1MjHtlUikwobi2MaWJgy7tfLeBmhj1u-dRFRs_8GwSoA/edit#gid=0"",""Gestores Escolares!D7:m""),9,0),""VERIFICAR CÓD SEC"")"),"")</f>
        <v/>
      </c>
      <c r="R1458" s="82" t="str">
        <f>IFERROR(__xludf.DUMMYFUNCTION("IFERROR(VLOOKUP(D1458,
IMPORTRANGE(""https://docs.google.com/spreadsheets/d/1MjHtlUikwobi2MaWJgy7tfLeBmhj1u-dRFRs_8GwSoA/edit#gid=0"",""Gestores Escolares!D7:m""),10,0),""VERIFICAR CÓD SEC"")"),"")</f>
        <v/>
      </c>
      <c r="S1458" s="82"/>
      <c r="T1458" s="138">
        <v>8.0</v>
      </c>
      <c r="U1458" s="152">
        <v>8.0</v>
      </c>
      <c r="V1458" s="106">
        <v>0.0</v>
      </c>
      <c r="W1458" s="107">
        <v>0.0</v>
      </c>
      <c r="X1458" s="107">
        <v>0.0</v>
      </c>
      <c r="Y1458" s="107">
        <v>0.0</v>
      </c>
      <c r="Z1458" s="80">
        <f t="shared" si="1"/>
        <v>0</v>
      </c>
      <c r="AA1458" s="106">
        <v>336.0</v>
      </c>
      <c r="AB1458" s="107">
        <v>315.0</v>
      </c>
      <c r="AC1458" s="107">
        <v>0.0</v>
      </c>
      <c r="AD1458" s="107">
        <v>0.0</v>
      </c>
      <c r="AE1458" s="80">
        <f t="shared" si="2"/>
        <v>651</v>
      </c>
      <c r="AF1458" s="140">
        <v>0.0</v>
      </c>
      <c r="AG1458" s="109">
        <v>0.0</v>
      </c>
      <c r="AH1458" s="109">
        <v>0.0</v>
      </c>
      <c r="AI1458" s="141">
        <v>0.0</v>
      </c>
      <c r="AJ1458" s="80">
        <f t="shared" si="3"/>
        <v>0</v>
      </c>
      <c r="AK1458" s="140">
        <v>0.0</v>
      </c>
      <c r="AL1458" s="109">
        <v>0.0</v>
      </c>
      <c r="AM1458" s="141">
        <v>0.0</v>
      </c>
      <c r="AN1458" s="80">
        <f t="shared" si="4"/>
        <v>0</v>
      </c>
      <c r="AO1458" s="140">
        <v>0.0</v>
      </c>
      <c r="AP1458" s="109">
        <v>0.0</v>
      </c>
      <c r="AQ1458" s="109">
        <v>0.0</v>
      </c>
      <c r="AR1458" s="80">
        <f t="shared" si="5"/>
        <v>0</v>
      </c>
      <c r="AS1458" s="110">
        <v>0.0</v>
      </c>
      <c r="AT1458" s="110">
        <v>0.0</v>
      </c>
      <c r="AU1458" s="110">
        <v>0.0</v>
      </c>
      <c r="AV1458" s="142">
        <v>0.0</v>
      </c>
      <c r="AW1458" s="80">
        <f t="shared" si="6"/>
        <v>0</v>
      </c>
      <c r="AX1458" s="113">
        <f t="shared" si="7"/>
        <v>651</v>
      </c>
      <c r="AY1458" s="117">
        <f t="shared" si="8"/>
        <v>651</v>
      </c>
      <c r="AZ1458" s="120">
        <f t="shared" si="9"/>
        <v>0</v>
      </c>
      <c r="BA1458" s="115">
        <v>0.0</v>
      </c>
      <c r="BB1458" s="89">
        <f t="shared" si="10"/>
        <v>651</v>
      </c>
      <c r="BC1458" s="132" t="s">
        <v>178</v>
      </c>
      <c r="BD1458" s="132" t="s">
        <v>178</v>
      </c>
      <c r="BE1458" s="132" t="s">
        <v>178</v>
      </c>
      <c r="BF1458" s="123"/>
      <c r="BG1458" s="83">
        <v>1103085.0</v>
      </c>
      <c r="BH1458" s="98" t="s">
        <v>8234</v>
      </c>
      <c r="BI1458" s="112">
        <v>8.0</v>
      </c>
      <c r="BJ1458" s="98" t="s">
        <v>155</v>
      </c>
      <c r="BK1458" s="99">
        <f t="shared" si="11"/>
        <v>0</v>
      </c>
      <c r="BL1458" s="99">
        <f t="shared" si="12"/>
        <v>651</v>
      </c>
      <c r="BM1458" s="99" t="str">
        <f>IFERROR(__xludf.DUMMYFUNCTION("IFERROR(VLOOKUP(BG1458,IMPORTRANGE(""https://docs.google.com/spreadsheets/d/1juPI-Fb8LD0YtltB2mlGEnp_R3UVu1t3wSFPzgCyHXE/edit?gid=0#gid=0"",""GERAL!A2:C""),3,0),""-"")"),"-")</f>
        <v>-</v>
      </c>
    </row>
    <row r="1459" ht="15.75" customHeight="1">
      <c r="A1459" s="111" t="s">
        <v>1785</v>
      </c>
      <c r="B1459" s="83" t="s">
        <v>1994</v>
      </c>
      <c r="C1459" s="83" t="s">
        <v>68</v>
      </c>
      <c r="D1459" s="112">
        <v>1176760.0</v>
      </c>
      <c r="E1459" s="83"/>
      <c r="F1459" s="83">
        <v>2.9404304E7</v>
      </c>
      <c r="G1459" s="220" t="s">
        <v>8236</v>
      </c>
      <c r="H1459" s="91" t="s">
        <v>8237</v>
      </c>
      <c r="I1459" s="83" t="s">
        <v>8238</v>
      </c>
      <c r="J1459" s="83" t="s">
        <v>150</v>
      </c>
      <c r="K1459" s="83" t="s">
        <v>151</v>
      </c>
      <c r="L1459" s="98" t="s">
        <v>230</v>
      </c>
      <c r="M1459" s="82" t="str">
        <f>IFERROR(__xludf.DUMMYFUNCTION("IFERROR(VLOOKUP(D1459,
IMPORTRANGE(""https://docs.google.com/spreadsheets/d/1MjHtlUikwobi2MaWJgy7tfLeBmhj1u-dRFRs_8GwSoA/edit#gid=0"",""Gestores Escolares!D7:J""),3,0),""VERIFICAR CÓD SEC"")"),"FERNANDA SIMOES NASCIMENTO")</f>
        <v>FERNANDA SIMOES NASCIMENTO</v>
      </c>
      <c r="N1459" s="82" t="str">
        <f>IFERROR(__xludf.DUMMYFUNCTION("IFERROR(VLOOKUP(D1459,
IMPORTRANGE(""https://docs.google.com/spreadsheets/d/1MjHtlUikwobi2MaWJgy7tfLeBmhj1u-dRFRs_8GwSoA/edit#gid=0"",""Gestores Escolares!D7:J""),4,0),""VERIFICAR CÓD SEC"")"),"(71) 9 9960 - 4720")</f>
        <v>(71) 9 9960 - 4720</v>
      </c>
      <c r="O1459" s="82" t="str">
        <f>IFERROR(__xludf.DUMMYFUNCTION("IFERROR(VLOOKUP(D1459,
IMPORTRANGE(""https://docs.google.com/spreadsheets/d/1MjHtlUikwobi2MaWJgy7tfLeBmhj1u-dRFRs_8GwSoA/edit#gid=0"",""Gestores Escolares!D7:J""),6,0),""VERIFICAR CÓD SEC"")")," MARYLUZ VIEIRA LIMA")</f>
        <v> MARYLUZ VIEIRA LIMA</v>
      </c>
      <c r="P1459" s="82" t="str">
        <f>IFERROR(__xludf.DUMMYFUNCTION("IFERROR(VLOOKUP(D1459,
IMPORTRANGE(""https://docs.google.com/spreadsheets/d/1MjHtlUikwobi2MaWJgy7tfLeBmhj1u-dRFRs_8GwSoA/edit#gid=0"",""Gestores Escolares!D7:J""),7,0),""VERIFICAR CÓD SEC"")"),"(71) 9 8811-6150")</f>
        <v>(71) 9 8811-6150</v>
      </c>
      <c r="Q1459" s="82" t="str">
        <f>IFERROR(__xludf.DUMMYFUNCTION("IFERROR(VLOOKUP(D1459,
IMPORTRANGE(""https://docs.google.com/spreadsheets/d/1MjHtlUikwobi2MaWJgy7tfLeBmhj1u-dRFRs_8GwSoA/edit#gid=0"",""Gestores Escolares!D7:m""),9,0),""VERIFICAR CÓD SEC"")"),"ALTHIELIS SANTOS DE JESUS")</f>
        <v>ALTHIELIS SANTOS DE JESUS</v>
      </c>
      <c r="R1459" s="82" t="str">
        <f>IFERROR(__xludf.DUMMYFUNCTION("IFERROR(VLOOKUP(D1459,
IMPORTRANGE(""https://docs.google.com/spreadsheets/d/1MjHtlUikwobi2MaWJgy7tfLeBmhj1u-dRFRs_8GwSoA/edit#gid=0"",""Gestores Escolares!D7:m""),10,0),""VERIFICAR CÓD SEC"")"),"(71) 9 8162-1818")</f>
        <v>(71) 9 8162-1818</v>
      </c>
      <c r="S1459" s="82"/>
      <c r="T1459" s="138">
        <v>39.0</v>
      </c>
      <c r="U1459" s="152">
        <v>35.0</v>
      </c>
      <c r="V1459" s="106">
        <v>0.0</v>
      </c>
      <c r="W1459" s="107">
        <v>0.0</v>
      </c>
      <c r="X1459" s="107">
        <v>0.0</v>
      </c>
      <c r="Y1459" s="107">
        <v>0.0</v>
      </c>
      <c r="Z1459" s="80">
        <f t="shared" si="1"/>
        <v>0</v>
      </c>
      <c r="AA1459" s="106">
        <v>0.0</v>
      </c>
      <c r="AB1459" s="107">
        <v>0.0</v>
      </c>
      <c r="AC1459" s="107">
        <v>0.0</v>
      </c>
      <c r="AD1459" s="107">
        <v>219.0</v>
      </c>
      <c r="AE1459" s="80">
        <f t="shared" si="2"/>
        <v>219</v>
      </c>
      <c r="AF1459" s="140">
        <v>0.0</v>
      </c>
      <c r="AG1459" s="109">
        <v>0.0</v>
      </c>
      <c r="AH1459" s="109">
        <v>0.0</v>
      </c>
      <c r="AI1459" s="141">
        <v>792.0</v>
      </c>
      <c r="AJ1459" s="80">
        <f t="shared" si="3"/>
        <v>792</v>
      </c>
      <c r="AK1459" s="140">
        <v>0.0</v>
      </c>
      <c r="AL1459" s="109">
        <v>0.0</v>
      </c>
      <c r="AM1459" s="141">
        <v>0.0</v>
      </c>
      <c r="AN1459" s="80">
        <f t="shared" si="4"/>
        <v>0</v>
      </c>
      <c r="AO1459" s="140">
        <v>0.0</v>
      </c>
      <c r="AP1459" s="109">
        <v>0.0</v>
      </c>
      <c r="AQ1459" s="109">
        <v>109.0</v>
      </c>
      <c r="AR1459" s="80">
        <f t="shared" si="5"/>
        <v>109</v>
      </c>
      <c r="AS1459" s="110">
        <v>0.0</v>
      </c>
      <c r="AT1459" s="110">
        <v>0.0</v>
      </c>
      <c r="AU1459" s="110">
        <v>114.0</v>
      </c>
      <c r="AV1459" s="142">
        <v>110.0</v>
      </c>
      <c r="AW1459" s="80">
        <f t="shared" si="6"/>
        <v>224</v>
      </c>
      <c r="AX1459" s="113">
        <f t="shared" si="7"/>
        <v>1344</v>
      </c>
      <c r="AY1459" s="117">
        <f t="shared" si="8"/>
        <v>1121</v>
      </c>
      <c r="AZ1459" s="120">
        <f t="shared" si="9"/>
        <v>223</v>
      </c>
      <c r="BA1459" s="115">
        <v>0.0</v>
      </c>
      <c r="BB1459" s="89">
        <f t="shared" si="10"/>
        <v>1344</v>
      </c>
      <c r="BC1459" s="132" t="s">
        <v>178</v>
      </c>
      <c r="BD1459" s="132" t="s">
        <v>178</v>
      </c>
      <c r="BE1459" s="132" t="s">
        <v>178</v>
      </c>
      <c r="BF1459" s="156"/>
      <c r="BG1459" s="83">
        <v>1176760.0</v>
      </c>
      <c r="BH1459" s="98" t="s">
        <v>8239</v>
      </c>
      <c r="BI1459" s="112">
        <v>35.0</v>
      </c>
      <c r="BJ1459" s="98" t="s">
        <v>162</v>
      </c>
      <c r="BK1459" s="99">
        <f t="shared" si="11"/>
        <v>1121</v>
      </c>
      <c r="BL1459" s="99">
        <f t="shared" si="12"/>
        <v>0</v>
      </c>
      <c r="BM1459" s="99" t="str">
        <f>IFERROR(__xludf.DUMMYFUNCTION("IFERROR(VLOOKUP(BG1459,IMPORTRANGE(""https://docs.google.com/spreadsheets/d/1juPI-Fb8LD0YtltB2mlGEnp_R3UVu1t3wSFPzgCyHXE/edit?gid=0#gid=0"",""GERAL!A2:C""),3,0),""-"")"),"-")</f>
        <v>-</v>
      </c>
    </row>
    <row r="1460" ht="15.75" customHeight="1">
      <c r="A1460" s="111" t="s">
        <v>1785</v>
      </c>
      <c r="B1460" s="83" t="s">
        <v>1994</v>
      </c>
      <c r="C1460" s="83" t="s">
        <v>68</v>
      </c>
      <c r="D1460" s="112">
        <v>1104243.0</v>
      </c>
      <c r="E1460" s="83"/>
      <c r="F1460" s="83">
        <v>2.9191157E7</v>
      </c>
      <c r="G1460" s="119" t="s">
        <v>8240</v>
      </c>
      <c r="H1460" s="91" t="s">
        <v>8241</v>
      </c>
      <c r="I1460" s="83" t="s">
        <v>8242</v>
      </c>
      <c r="J1460" s="83" t="s">
        <v>150</v>
      </c>
      <c r="K1460" s="83" t="s">
        <v>8243</v>
      </c>
      <c r="L1460" s="83" t="s">
        <v>152</v>
      </c>
      <c r="M1460" s="82" t="str">
        <f>IFERROR(__xludf.DUMMYFUNCTION("IFERROR(VLOOKUP(D1460,
IMPORTRANGE(""https://docs.google.com/spreadsheets/d/1MjHtlUikwobi2MaWJgy7tfLeBmhj1u-dRFRs_8GwSoA/edit#gid=0"",""Gestores Escolares!D7:J""),3,0),""VERIFICAR CÓD SEC"")"),"VLADIMIR DE CASTRO MORAES")</f>
        <v>VLADIMIR DE CASTRO MORAES</v>
      </c>
      <c r="N1460" s="82" t="str">
        <f>IFERROR(__xludf.DUMMYFUNCTION("IFERROR(VLOOKUP(D1460,
IMPORTRANGE(""https://docs.google.com/spreadsheets/d/1MjHtlUikwobi2MaWJgy7tfLeBmhj1u-dRFRs_8GwSoA/edit#gid=0"",""Gestores Escolares!D7:J""),4,0),""VERIFICAR CÓD SEC"")"),"(77) 9 9959-5630")</f>
        <v>(77) 9 9959-5630</v>
      </c>
      <c r="O1460" s="82" t="str">
        <f>IFERROR(__xludf.DUMMYFUNCTION("IFERROR(VLOOKUP(D1460,
IMPORTRANGE(""https://docs.google.com/spreadsheets/d/1MjHtlUikwobi2MaWJgy7tfLeBmhj1u-dRFRs_8GwSoA/edit#gid=0"",""Gestores Escolares!D7:J""),6,0),""VERIFICAR CÓD SEC"")"),"JULIETE FERREIRA CASTELO BRANCO")</f>
        <v>JULIETE FERREIRA CASTELO BRANCO</v>
      </c>
      <c r="P1460" s="82" t="str">
        <f>IFERROR(__xludf.DUMMYFUNCTION("IFERROR(VLOOKUP(D1460,
IMPORTRANGE(""https://docs.google.com/spreadsheets/d/1MjHtlUikwobi2MaWJgy7tfLeBmhj1u-dRFRs_8GwSoA/edit#gid=0"",""Gestores Escolares!D7:J""),7,0),""VERIFICAR CÓD SEC"")"),"(71) 9 9201-6009")</f>
        <v>(71) 9 9201-6009</v>
      </c>
      <c r="Q1460" s="82" t="str">
        <f>IFERROR(__xludf.DUMMYFUNCTION("IFERROR(VLOOKUP(D1460,
IMPORTRANGE(""https://docs.google.com/spreadsheets/d/1MjHtlUikwobi2MaWJgy7tfLeBmhj1u-dRFRs_8GwSoA/edit#gid=0"",""Gestores Escolares!D7:m""),9,0),""VERIFICAR CÓD SEC"")"),"LILIAN MARIA DA SILVA SANTOS")</f>
        <v>LILIAN MARIA DA SILVA SANTOS</v>
      </c>
      <c r="R1460" s="82" t="str">
        <f>IFERROR(__xludf.DUMMYFUNCTION("IFERROR(VLOOKUP(D1460,
IMPORTRANGE(""https://docs.google.com/spreadsheets/d/1MjHtlUikwobi2MaWJgy7tfLeBmhj1u-dRFRs_8GwSoA/edit#gid=0"",""Gestores Escolares!D7:m""),10,0),""VERIFICAR CÓD SEC"")"),"(71) 9 8225-6165")</f>
        <v>(71) 9 8225-6165</v>
      </c>
      <c r="S1460" s="82"/>
      <c r="T1460" s="138">
        <v>12.0</v>
      </c>
      <c r="U1460" s="152">
        <v>12.0</v>
      </c>
      <c r="V1460" s="106">
        <v>0.0</v>
      </c>
      <c r="W1460" s="107">
        <v>0.0</v>
      </c>
      <c r="X1460" s="107">
        <v>0.0</v>
      </c>
      <c r="Y1460" s="107">
        <v>0.0</v>
      </c>
      <c r="Z1460" s="80">
        <f t="shared" si="1"/>
        <v>0</v>
      </c>
      <c r="AA1460" s="106">
        <v>217.0</v>
      </c>
      <c r="AB1460" s="107">
        <v>233.0</v>
      </c>
      <c r="AC1460" s="107">
        <v>0.0</v>
      </c>
      <c r="AD1460" s="107">
        <v>0.0</v>
      </c>
      <c r="AE1460" s="80">
        <f t="shared" si="2"/>
        <v>450</v>
      </c>
      <c r="AF1460" s="140">
        <v>183.0</v>
      </c>
      <c r="AG1460" s="109">
        <v>115.0</v>
      </c>
      <c r="AH1460" s="109">
        <v>0.0</v>
      </c>
      <c r="AI1460" s="141">
        <v>0.0</v>
      </c>
      <c r="AJ1460" s="80">
        <f t="shared" si="3"/>
        <v>298</v>
      </c>
      <c r="AK1460" s="140">
        <v>0.0</v>
      </c>
      <c r="AL1460" s="109">
        <v>0.0</v>
      </c>
      <c r="AM1460" s="141">
        <v>64.0</v>
      </c>
      <c r="AN1460" s="80">
        <f t="shared" si="4"/>
        <v>64</v>
      </c>
      <c r="AO1460" s="140">
        <v>0.0</v>
      </c>
      <c r="AP1460" s="109">
        <v>0.0</v>
      </c>
      <c r="AQ1460" s="109">
        <v>195.0</v>
      </c>
      <c r="AR1460" s="80">
        <f t="shared" si="5"/>
        <v>195</v>
      </c>
      <c r="AS1460" s="110">
        <v>0.0</v>
      </c>
      <c r="AT1460" s="110">
        <v>0.0</v>
      </c>
      <c r="AU1460" s="110">
        <v>85.0</v>
      </c>
      <c r="AV1460" s="142">
        <v>0.0</v>
      </c>
      <c r="AW1460" s="80">
        <f t="shared" si="6"/>
        <v>85</v>
      </c>
      <c r="AX1460" s="113">
        <f t="shared" si="7"/>
        <v>1092</v>
      </c>
      <c r="AY1460" s="117">
        <f t="shared" si="8"/>
        <v>748</v>
      </c>
      <c r="AZ1460" s="120">
        <f t="shared" si="9"/>
        <v>344</v>
      </c>
      <c r="BA1460" s="115">
        <v>0.0</v>
      </c>
      <c r="BB1460" s="89">
        <f t="shared" si="10"/>
        <v>1092</v>
      </c>
      <c r="BC1460" s="132" t="s">
        <v>178</v>
      </c>
      <c r="BD1460" s="132" t="s">
        <v>178</v>
      </c>
      <c r="BE1460" s="132" t="s">
        <v>178</v>
      </c>
      <c r="BF1460" s="123"/>
      <c r="BG1460" s="83">
        <v>1104243.0</v>
      </c>
      <c r="BH1460" s="98" t="s">
        <v>8244</v>
      </c>
      <c r="BI1460" s="112">
        <v>12.0</v>
      </c>
      <c r="BJ1460" s="98" t="s">
        <v>155</v>
      </c>
      <c r="BK1460" s="99">
        <f t="shared" si="11"/>
        <v>0</v>
      </c>
      <c r="BL1460" s="99">
        <f t="shared" si="12"/>
        <v>748</v>
      </c>
      <c r="BM1460" s="99" t="str">
        <f>IFERROR(__xludf.DUMMYFUNCTION("IFERROR(VLOOKUP(BG1460,IMPORTRANGE(""https://docs.google.com/spreadsheets/d/1juPI-Fb8LD0YtltB2mlGEnp_R3UVu1t3wSFPzgCyHXE/edit?gid=0#gid=0"",""GERAL!A2:C""),3,0),""-"")"),"-")</f>
        <v>-</v>
      </c>
    </row>
    <row r="1461" ht="15.75" customHeight="1">
      <c r="A1461" s="111" t="s">
        <v>1785</v>
      </c>
      <c r="B1461" s="83" t="s">
        <v>1994</v>
      </c>
      <c r="C1461" s="83" t="s">
        <v>68</v>
      </c>
      <c r="D1461" s="112">
        <v>1136072.0</v>
      </c>
      <c r="E1461" s="83"/>
      <c r="F1461" s="83">
        <v>2.9192226E7</v>
      </c>
      <c r="G1461" s="119" t="s">
        <v>8245</v>
      </c>
      <c r="H1461" s="91" t="s">
        <v>8246</v>
      </c>
      <c r="I1461" s="83" t="s">
        <v>8247</v>
      </c>
      <c r="J1461" s="83" t="s">
        <v>150</v>
      </c>
      <c r="K1461" s="83" t="s">
        <v>151</v>
      </c>
      <c r="L1461" s="83" t="s">
        <v>152</v>
      </c>
      <c r="M1461" s="82" t="str">
        <f>IFERROR(__xludf.DUMMYFUNCTION("IFERROR(VLOOKUP(D1461,
IMPORTRANGE(""https://docs.google.com/spreadsheets/d/1MjHtlUikwobi2MaWJgy7tfLeBmhj1u-dRFRs_8GwSoA/edit#gid=0"",""Gestores Escolares!D7:J""),3,0),""VERIFICAR CÓD SEC"")"),"SERGIO RICARDO DE CARVALHO FURTADO")</f>
        <v>SERGIO RICARDO DE CARVALHO FURTADO</v>
      </c>
      <c r="N1461" s="82" t="str">
        <f>IFERROR(__xludf.DUMMYFUNCTION("IFERROR(VLOOKUP(D1461,
IMPORTRANGE(""https://docs.google.com/spreadsheets/d/1MjHtlUikwobi2MaWJgy7tfLeBmhj1u-dRFRs_8GwSoA/edit#gid=0"",""Gestores Escolares!D7:J""),4,0),""VERIFICAR CÓD SEC"")"),"(71) 9 9999-3637")</f>
        <v>(71) 9 9999-3637</v>
      </c>
      <c r="O1461" s="82" t="str">
        <f>IFERROR(__xludf.DUMMYFUNCTION("IFERROR(VLOOKUP(D1461,
IMPORTRANGE(""https://docs.google.com/spreadsheets/d/1MjHtlUikwobi2MaWJgy7tfLeBmhj1u-dRFRs_8GwSoA/edit#gid=0"",""Gestores Escolares!D7:J""),6,0),""VERIFICAR CÓD SEC"")"),"ANDREA FELIX DE SANTANA DA SILVA")</f>
        <v>ANDREA FELIX DE SANTANA DA SILVA</v>
      </c>
      <c r="P1461" s="82" t="str">
        <f>IFERROR(__xludf.DUMMYFUNCTION("IFERROR(VLOOKUP(D1461,
IMPORTRANGE(""https://docs.google.com/spreadsheets/d/1MjHtlUikwobi2MaWJgy7tfLeBmhj1u-dRFRs_8GwSoA/edit#gid=0"",""Gestores Escolares!D7:J""),7,0),""VERIFICAR CÓD SEC"")"),"(71) 9 8603-7506 ")</f>
        <v>(71) 9 8603-7506 </v>
      </c>
      <c r="Q1461" s="82" t="str">
        <f>IFERROR(__xludf.DUMMYFUNCTION("IFERROR(VLOOKUP(D1461,
IMPORTRANGE(""https://docs.google.com/spreadsheets/d/1MjHtlUikwobi2MaWJgy7tfLeBmhj1u-dRFRs_8GwSoA/edit#gid=0"",""Gestores Escolares!D7:m""),9,0),""VERIFICAR CÓD SEC"")"),"IZABEL DE SOUZA LEMOS RAMOS")</f>
        <v>IZABEL DE SOUZA LEMOS RAMOS</v>
      </c>
      <c r="R1461" s="82" t="str">
        <f>IFERROR(__xludf.DUMMYFUNCTION("IFERROR(VLOOKUP(D1461,
IMPORTRANGE(""https://docs.google.com/spreadsheets/d/1MjHtlUikwobi2MaWJgy7tfLeBmhj1u-dRFRs_8GwSoA/edit#gid=0"",""Gestores Escolares!D7:m""),10,0),""VERIFICAR CÓD SEC"")"),"(71) 9 9994-4705 ")</f>
        <v>(71) 9 9994-4705 </v>
      </c>
      <c r="S1461" s="82"/>
      <c r="T1461" s="138">
        <v>22.0</v>
      </c>
      <c r="U1461" s="152">
        <v>21.0</v>
      </c>
      <c r="V1461" s="106">
        <v>0.0</v>
      </c>
      <c r="W1461" s="107">
        <v>0.0</v>
      </c>
      <c r="X1461" s="107">
        <v>0.0</v>
      </c>
      <c r="Y1461" s="107">
        <v>0.0</v>
      </c>
      <c r="Z1461" s="80">
        <f t="shared" si="1"/>
        <v>0</v>
      </c>
      <c r="AA1461" s="106">
        <v>452.0</v>
      </c>
      <c r="AB1461" s="107">
        <v>195.0</v>
      </c>
      <c r="AC1461" s="107">
        <v>0.0</v>
      </c>
      <c r="AD1461" s="107">
        <v>0.0</v>
      </c>
      <c r="AE1461" s="80">
        <f t="shared" si="2"/>
        <v>647</v>
      </c>
      <c r="AF1461" s="140">
        <v>213.0</v>
      </c>
      <c r="AG1461" s="109">
        <v>90.0</v>
      </c>
      <c r="AH1461" s="109">
        <v>0.0</v>
      </c>
      <c r="AI1461" s="141">
        <v>0.0</v>
      </c>
      <c r="AJ1461" s="80">
        <f t="shared" si="3"/>
        <v>303</v>
      </c>
      <c r="AK1461" s="140">
        <v>0.0</v>
      </c>
      <c r="AL1461" s="109">
        <v>0.0</v>
      </c>
      <c r="AM1461" s="141">
        <v>0.0</v>
      </c>
      <c r="AN1461" s="80">
        <f t="shared" si="4"/>
        <v>0</v>
      </c>
      <c r="AO1461" s="140">
        <v>0.0</v>
      </c>
      <c r="AP1461" s="109">
        <v>0.0</v>
      </c>
      <c r="AQ1461" s="109">
        <v>152.0</v>
      </c>
      <c r="AR1461" s="80">
        <f t="shared" si="5"/>
        <v>152</v>
      </c>
      <c r="AS1461" s="110">
        <v>0.0</v>
      </c>
      <c r="AT1461" s="110">
        <v>0.0</v>
      </c>
      <c r="AU1461" s="110">
        <v>0.0</v>
      </c>
      <c r="AV1461" s="142">
        <v>0.0</v>
      </c>
      <c r="AW1461" s="80">
        <f t="shared" si="6"/>
        <v>0</v>
      </c>
      <c r="AX1461" s="113">
        <f t="shared" si="7"/>
        <v>1102</v>
      </c>
      <c r="AY1461" s="117">
        <f t="shared" si="8"/>
        <v>950</v>
      </c>
      <c r="AZ1461" s="120">
        <f t="shared" si="9"/>
        <v>152</v>
      </c>
      <c r="BA1461" s="115">
        <v>2.0</v>
      </c>
      <c r="BB1461" s="89">
        <f t="shared" si="10"/>
        <v>1104</v>
      </c>
      <c r="BC1461" s="132" t="s">
        <v>178</v>
      </c>
      <c r="BD1461" s="132" t="s">
        <v>178</v>
      </c>
      <c r="BE1461" s="132" t="s">
        <v>178</v>
      </c>
      <c r="BF1461" s="156"/>
      <c r="BG1461" s="83">
        <v>1136072.0</v>
      </c>
      <c r="BH1461" s="137" t="s">
        <v>8248</v>
      </c>
      <c r="BI1461" s="112">
        <v>21.0</v>
      </c>
      <c r="BJ1461" s="98" t="s">
        <v>155</v>
      </c>
      <c r="BK1461" s="99">
        <f t="shared" si="11"/>
        <v>0</v>
      </c>
      <c r="BL1461" s="99">
        <f t="shared" si="12"/>
        <v>950</v>
      </c>
      <c r="BM1461" s="99" t="str">
        <f>IFERROR(__xludf.DUMMYFUNCTION("IFERROR(VLOOKUP(BG1461,IMPORTRANGE(""https://docs.google.com/spreadsheets/d/1juPI-Fb8LD0YtltB2mlGEnp_R3UVu1t3wSFPzgCyHXE/edit?gid=0#gid=0"",""GERAL!A2:C""),3,0),""-"")"),"-")</f>
        <v>-</v>
      </c>
    </row>
    <row r="1462" ht="15.75" customHeight="1">
      <c r="A1462" s="111" t="s">
        <v>1785</v>
      </c>
      <c r="B1462" s="83" t="s">
        <v>1994</v>
      </c>
      <c r="C1462" s="83" t="s">
        <v>68</v>
      </c>
      <c r="D1462" s="112">
        <v>1103751.0</v>
      </c>
      <c r="E1462" s="83"/>
      <c r="F1462" s="83">
        <v>2.918228E7</v>
      </c>
      <c r="G1462" s="119" t="s">
        <v>8249</v>
      </c>
      <c r="H1462" s="91" t="s">
        <v>8250</v>
      </c>
      <c r="I1462" s="172" t="s">
        <v>8251</v>
      </c>
      <c r="J1462" s="83" t="s">
        <v>150</v>
      </c>
      <c r="K1462" s="83" t="s">
        <v>151</v>
      </c>
      <c r="L1462" s="83" t="s">
        <v>152</v>
      </c>
      <c r="M1462" s="82" t="str">
        <f>IFERROR(__xludf.DUMMYFUNCTION("IFERROR(VLOOKUP(D1462,
IMPORTRANGE(""https://docs.google.com/spreadsheets/d/1MjHtlUikwobi2MaWJgy7tfLeBmhj1u-dRFRs_8GwSoA/edit#gid=0"",""Gestores Escolares!D7:J""),3,0),""VERIFICAR CÓD SEC"")"),"FERNANDA MAGALHAES DANTAS")</f>
        <v>FERNANDA MAGALHAES DANTAS</v>
      </c>
      <c r="N1462" s="82" t="str">
        <f>IFERROR(__xludf.DUMMYFUNCTION("IFERROR(VLOOKUP(D1462,
IMPORTRANGE(""https://docs.google.com/spreadsheets/d/1MjHtlUikwobi2MaWJgy7tfLeBmhj1u-dRFRs_8GwSoA/edit#gid=0"",""Gestores Escolares!D7:J""),4,0),""VERIFICAR CÓD SEC"")"),"(71) 9 8894-1349")</f>
        <v>(71) 9 8894-1349</v>
      </c>
      <c r="O1462" s="82" t="str">
        <f>IFERROR(__xludf.DUMMYFUNCTION("IFERROR(VLOOKUP(D1462,
IMPORTRANGE(""https://docs.google.com/spreadsheets/d/1MjHtlUikwobi2MaWJgy7tfLeBmhj1u-dRFRs_8GwSoA/edit#gid=0"",""Gestores Escolares!D7:J""),6,0),""VERIFICAR CÓD SEC"")"),"BIANCA JEZLER LIMA CONTE")</f>
        <v>BIANCA JEZLER LIMA CONTE</v>
      </c>
      <c r="P1462" s="82" t="str">
        <f>IFERROR(__xludf.DUMMYFUNCTION("IFERROR(VLOOKUP(D1462,
IMPORTRANGE(""https://docs.google.com/spreadsheets/d/1MjHtlUikwobi2MaWJgy7tfLeBmhj1u-dRFRs_8GwSoA/edit#gid=0"",""Gestores Escolares!D7:J""),7,0),""VERIFICAR CÓD SEC"")"),"(71) 9 8132-0899 ")</f>
        <v>(71) 9 8132-0899 </v>
      </c>
      <c r="Q1462" s="82" t="str">
        <f>IFERROR(__xludf.DUMMYFUNCTION("IFERROR(VLOOKUP(D1462,
IMPORTRANGE(""https://docs.google.com/spreadsheets/d/1MjHtlUikwobi2MaWJgy7tfLeBmhj1u-dRFRs_8GwSoA/edit#gid=0"",""Gestores Escolares!D7:m""),9,0),""VERIFICAR CÓD SEC"")"),"")</f>
        <v/>
      </c>
      <c r="R1462" s="82" t="str">
        <f>IFERROR(__xludf.DUMMYFUNCTION("IFERROR(VLOOKUP(D1462,
IMPORTRANGE(""https://docs.google.com/spreadsheets/d/1MjHtlUikwobi2MaWJgy7tfLeBmhj1u-dRFRs_8GwSoA/edit#gid=0"",""Gestores Escolares!D7:m""),10,0),""VERIFICAR CÓD SEC"")"),"")</f>
        <v/>
      </c>
      <c r="S1462" s="82"/>
      <c r="T1462" s="138">
        <v>12.0</v>
      </c>
      <c r="U1462" s="152">
        <v>15.0</v>
      </c>
      <c r="V1462" s="106">
        <v>0.0</v>
      </c>
      <c r="W1462" s="107">
        <v>0.0</v>
      </c>
      <c r="X1462" s="107">
        <v>0.0</v>
      </c>
      <c r="Y1462" s="107">
        <v>0.0</v>
      </c>
      <c r="Z1462" s="80">
        <f t="shared" si="1"/>
        <v>0</v>
      </c>
      <c r="AA1462" s="106">
        <v>105.0</v>
      </c>
      <c r="AB1462" s="107">
        <v>67.0</v>
      </c>
      <c r="AC1462" s="107">
        <v>0.0</v>
      </c>
      <c r="AD1462" s="107">
        <v>67.0</v>
      </c>
      <c r="AE1462" s="80">
        <f t="shared" si="2"/>
        <v>239</v>
      </c>
      <c r="AF1462" s="140">
        <v>0.0</v>
      </c>
      <c r="AG1462" s="109">
        <v>0.0</v>
      </c>
      <c r="AH1462" s="109">
        <v>0.0</v>
      </c>
      <c r="AI1462" s="141">
        <v>0.0</v>
      </c>
      <c r="AJ1462" s="80">
        <f t="shared" si="3"/>
        <v>0</v>
      </c>
      <c r="AK1462" s="140">
        <v>0.0</v>
      </c>
      <c r="AL1462" s="109">
        <v>0.0</v>
      </c>
      <c r="AM1462" s="141">
        <v>0.0</v>
      </c>
      <c r="AN1462" s="80">
        <f t="shared" si="4"/>
        <v>0</v>
      </c>
      <c r="AO1462" s="140">
        <v>0.0</v>
      </c>
      <c r="AP1462" s="109">
        <v>0.0</v>
      </c>
      <c r="AQ1462" s="109">
        <v>0.0</v>
      </c>
      <c r="AR1462" s="80">
        <f t="shared" si="5"/>
        <v>0</v>
      </c>
      <c r="AS1462" s="110">
        <v>0.0</v>
      </c>
      <c r="AT1462" s="110">
        <v>0.0</v>
      </c>
      <c r="AU1462" s="110">
        <v>0.0</v>
      </c>
      <c r="AV1462" s="142">
        <v>0.0</v>
      </c>
      <c r="AW1462" s="80">
        <f t="shared" si="6"/>
        <v>0</v>
      </c>
      <c r="AX1462" s="113">
        <f t="shared" si="7"/>
        <v>239</v>
      </c>
      <c r="AY1462" s="117">
        <f t="shared" si="8"/>
        <v>239</v>
      </c>
      <c r="AZ1462" s="120">
        <f t="shared" si="9"/>
        <v>0</v>
      </c>
      <c r="BA1462" s="115">
        <v>0.0</v>
      </c>
      <c r="BB1462" s="89">
        <f t="shared" si="10"/>
        <v>239</v>
      </c>
      <c r="BC1462" s="132" t="s">
        <v>178</v>
      </c>
      <c r="BD1462" s="132" t="s">
        <v>178</v>
      </c>
      <c r="BE1462" s="132" t="s">
        <v>178</v>
      </c>
      <c r="BF1462" s="123"/>
      <c r="BG1462" s="83">
        <v>1103751.0</v>
      </c>
      <c r="BH1462" s="137" t="s">
        <v>8252</v>
      </c>
      <c r="BI1462" s="112">
        <v>15.0</v>
      </c>
      <c r="BJ1462" s="98" t="s">
        <v>155</v>
      </c>
      <c r="BK1462" s="99">
        <f t="shared" si="11"/>
        <v>67</v>
      </c>
      <c r="BL1462" s="99">
        <f t="shared" si="12"/>
        <v>172</v>
      </c>
      <c r="BM1462" s="99" t="str">
        <f>IFERROR(__xludf.DUMMYFUNCTION("IFERROR(VLOOKUP(BG1462,IMPORTRANGE(""https://docs.google.com/spreadsheets/d/1juPI-Fb8LD0YtltB2mlGEnp_R3UVu1t3wSFPzgCyHXE/edit?gid=0#gid=0"",""GERAL!A2:C""),3,0),""-"")"),"-")</f>
        <v>-</v>
      </c>
    </row>
    <row r="1463" ht="15.75" customHeight="1">
      <c r="A1463" s="111" t="s">
        <v>1785</v>
      </c>
      <c r="B1463" s="83" t="s">
        <v>1994</v>
      </c>
      <c r="C1463" s="83" t="s">
        <v>68</v>
      </c>
      <c r="D1463" s="112">
        <v>1176377.0</v>
      </c>
      <c r="E1463" s="83"/>
      <c r="F1463" s="83">
        <v>2.9357861E7</v>
      </c>
      <c r="G1463" s="119" t="s">
        <v>8253</v>
      </c>
      <c r="H1463" s="91" t="s">
        <v>8254</v>
      </c>
      <c r="I1463" s="83" t="s">
        <v>8255</v>
      </c>
      <c r="J1463" s="83" t="s">
        <v>150</v>
      </c>
      <c r="K1463" s="83" t="s">
        <v>151</v>
      </c>
      <c r="L1463" s="83" t="s">
        <v>152</v>
      </c>
      <c r="M1463" s="82" t="str">
        <f>IFERROR(__xludf.DUMMYFUNCTION("IFERROR(VLOOKUP(D1463,
IMPORTRANGE(""https://docs.google.com/spreadsheets/d/1MjHtlUikwobi2MaWJgy7tfLeBmhj1u-dRFRs_8GwSoA/edit#gid=0"",""Gestores Escolares!D7:J""),3,0),""VERIFICAR CÓD SEC"")"),"ELISANGELA LOPES MARQUES")</f>
        <v>ELISANGELA LOPES MARQUES</v>
      </c>
      <c r="N1463" s="82" t="str">
        <f>IFERROR(__xludf.DUMMYFUNCTION("IFERROR(VLOOKUP(D1463,
IMPORTRANGE(""https://docs.google.com/spreadsheets/d/1MjHtlUikwobi2MaWJgy7tfLeBmhj1u-dRFRs_8GwSoA/edit#gid=0"",""Gestores Escolares!D7:J""),4,0),""VERIFICAR CÓD SEC"")"),"(71) 9 9660 - 2441")</f>
        <v>(71) 9 9660 - 2441</v>
      </c>
      <c r="O1463" s="82" t="str">
        <f>IFERROR(__xludf.DUMMYFUNCTION("IFERROR(VLOOKUP(D1463,
IMPORTRANGE(""https://docs.google.com/spreadsheets/d/1MjHtlUikwobi2MaWJgy7tfLeBmhj1u-dRFRs_8GwSoA/edit#gid=0"",""Gestores Escolares!D7:J""),6,0),""VERIFICAR CÓD SEC"")"),"MARIA AMÉLIA OLIVEIRA DE FARIAS MOTA")</f>
        <v>MARIA AMÉLIA OLIVEIRA DE FARIAS MOTA</v>
      </c>
      <c r="P1463" s="82" t="str">
        <f>IFERROR(__xludf.DUMMYFUNCTION("IFERROR(VLOOKUP(D1463,
IMPORTRANGE(""https://docs.google.com/spreadsheets/d/1MjHtlUikwobi2MaWJgy7tfLeBmhj1u-dRFRs_8GwSoA/edit#gid=0"",""Gestores Escolares!D7:J""),7,0),""VERIFICAR CÓD SEC"")"),"(71) 9 8669-8089")</f>
        <v>(71) 9 8669-8089</v>
      </c>
      <c r="Q1463" s="82" t="str">
        <f>IFERROR(__xludf.DUMMYFUNCTION("IFERROR(VLOOKUP(D1463,
IMPORTRANGE(""https://docs.google.com/spreadsheets/d/1MjHtlUikwobi2MaWJgy7tfLeBmhj1u-dRFRs_8GwSoA/edit#gid=0"",""Gestores Escolares!D7:m""),9,0),""VERIFICAR CÓD SEC"")"),"LEIDA BARACAT OLIVEIRA")</f>
        <v>LEIDA BARACAT OLIVEIRA</v>
      </c>
      <c r="R1463" s="82" t="str">
        <f>IFERROR(__xludf.DUMMYFUNCTION("IFERROR(VLOOKUP(D1463,
IMPORTRANGE(""https://docs.google.com/spreadsheets/d/1MjHtlUikwobi2MaWJgy7tfLeBmhj1u-dRFRs_8GwSoA/edit#gid=0"",""Gestores Escolares!D7:m""),10,0),""VERIFICAR CÓD SEC"")"),"(71) 9 8715-9663")</f>
        <v>(71) 9 8715-9663</v>
      </c>
      <c r="S1463" s="82"/>
      <c r="T1463" s="138">
        <v>27.0</v>
      </c>
      <c r="U1463" s="152" t="s">
        <v>13919</v>
      </c>
      <c r="V1463" s="106">
        <v>0.0</v>
      </c>
      <c r="W1463" s="107">
        <v>0.0</v>
      </c>
      <c r="X1463" s="107">
        <v>0.0</v>
      </c>
      <c r="Y1463" s="107">
        <v>0.0</v>
      </c>
      <c r="Z1463" s="80">
        <f t="shared" si="1"/>
        <v>0</v>
      </c>
      <c r="AA1463" s="106">
        <v>0.0</v>
      </c>
      <c r="AB1463" s="107">
        <v>0.0</v>
      </c>
      <c r="AC1463" s="107">
        <v>0.0</v>
      </c>
      <c r="AD1463" s="107">
        <v>0.0</v>
      </c>
      <c r="AE1463" s="80">
        <f t="shared" si="2"/>
        <v>0</v>
      </c>
      <c r="AF1463" s="140">
        <v>631.0</v>
      </c>
      <c r="AG1463" s="109">
        <v>57.0</v>
      </c>
      <c r="AH1463" s="109">
        <v>0.0</v>
      </c>
      <c r="AI1463" s="141">
        <v>0.0</v>
      </c>
      <c r="AJ1463" s="80">
        <f t="shared" si="3"/>
        <v>688</v>
      </c>
      <c r="AK1463" s="140">
        <v>0.0</v>
      </c>
      <c r="AL1463" s="109">
        <v>0.0</v>
      </c>
      <c r="AM1463" s="141">
        <v>0.0</v>
      </c>
      <c r="AN1463" s="80">
        <f t="shared" si="4"/>
        <v>0</v>
      </c>
      <c r="AO1463" s="140">
        <v>0.0</v>
      </c>
      <c r="AP1463" s="109">
        <v>0.0</v>
      </c>
      <c r="AQ1463" s="109">
        <v>18.0</v>
      </c>
      <c r="AR1463" s="80">
        <f t="shared" si="5"/>
        <v>18</v>
      </c>
      <c r="AS1463" s="110">
        <v>0.0</v>
      </c>
      <c r="AT1463" s="110">
        <v>184.0</v>
      </c>
      <c r="AU1463" s="110">
        <v>245.0</v>
      </c>
      <c r="AV1463" s="142">
        <v>0.0</v>
      </c>
      <c r="AW1463" s="80">
        <f t="shared" si="6"/>
        <v>429</v>
      </c>
      <c r="AX1463" s="113">
        <f t="shared" si="7"/>
        <v>1135</v>
      </c>
      <c r="AY1463" s="117">
        <f t="shared" si="8"/>
        <v>872</v>
      </c>
      <c r="AZ1463" s="120">
        <f t="shared" si="9"/>
        <v>263</v>
      </c>
      <c r="BA1463" s="115">
        <v>0.0</v>
      </c>
      <c r="BB1463" s="89">
        <f t="shared" si="10"/>
        <v>1135</v>
      </c>
      <c r="BC1463" s="132" t="s">
        <v>178</v>
      </c>
      <c r="BD1463" s="132" t="s">
        <v>178</v>
      </c>
      <c r="BE1463" s="132" t="s">
        <v>178</v>
      </c>
      <c r="BF1463" s="156"/>
      <c r="BG1463" s="83">
        <v>1176377.0</v>
      </c>
      <c r="BH1463" s="98" t="s">
        <v>8256</v>
      </c>
      <c r="BI1463" s="112">
        <v>20.0</v>
      </c>
      <c r="BJ1463" s="98" t="s">
        <v>284</v>
      </c>
      <c r="BK1463" s="99">
        <f t="shared" si="11"/>
        <v>0</v>
      </c>
      <c r="BL1463" s="99">
        <f t="shared" si="12"/>
        <v>872</v>
      </c>
      <c r="BM1463" s="99" t="str">
        <f>IFERROR(__xludf.DUMMYFUNCTION("IFERROR(VLOOKUP(BG1463,IMPORTRANGE(""https://docs.google.com/spreadsheets/d/1juPI-Fb8LD0YtltB2mlGEnp_R3UVu1t3wSFPzgCyHXE/edit?gid=0#gid=0"",""GERAL!A2:C""),3,0),""-"")"),"-")</f>
        <v>-</v>
      </c>
    </row>
    <row r="1464" ht="15.75" customHeight="1">
      <c r="A1464" s="111" t="s">
        <v>1785</v>
      </c>
      <c r="B1464" s="83" t="s">
        <v>1994</v>
      </c>
      <c r="C1464" s="83" t="s">
        <v>68</v>
      </c>
      <c r="D1464" s="112">
        <v>1103654.0</v>
      </c>
      <c r="E1464" s="83"/>
      <c r="F1464" s="83">
        <v>2.9188458E7</v>
      </c>
      <c r="G1464" s="114" t="s">
        <v>8257</v>
      </c>
      <c r="H1464" s="91" t="s">
        <v>8258</v>
      </c>
      <c r="I1464" s="83" t="s">
        <v>8259</v>
      </c>
      <c r="J1464" s="83" t="s">
        <v>150</v>
      </c>
      <c r="K1464" s="83" t="s">
        <v>151</v>
      </c>
      <c r="L1464" s="83" t="s">
        <v>152</v>
      </c>
      <c r="M1464" s="82" t="str">
        <f>IFERROR(__xludf.DUMMYFUNCTION("IFERROR(VLOOKUP(D1464,
IMPORTRANGE(""https://docs.google.com/spreadsheets/d/1MjHtlUikwobi2MaWJgy7tfLeBmhj1u-dRFRs_8GwSoA/edit#gid=0"",""Gestores Escolares!D7:J""),3,0),""VERIFICAR CÓD SEC"")"),"DIVANEY DOS SANTOS VIEIRA")</f>
        <v>DIVANEY DOS SANTOS VIEIRA</v>
      </c>
      <c r="N1464" s="82" t="str">
        <f>IFERROR(__xludf.DUMMYFUNCTION("IFERROR(VLOOKUP(D1464,
IMPORTRANGE(""https://docs.google.com/spreadsheets/d/1MjHtlUikwobi2MaWJgy7tfLeBmhj1u-dRFRs_8GwSoA/edit#gid=0"",""Gestores Escolares!D7:J""),4,0),""VERIFICAR CÓD SEC"")"),"(71) 9 9118-0558/ 
9 8807-5733")</f>
        <v>(71) 9 9118-0558/ 
9 8807-5733</v>
      </c>
      <c r="O1464" s="82" t="str">
        <f>IFERROR(__xludf.DUMMYFUNCTION("IFERROR(VLOOKUP(D1464,
IMPORTRANGE(""https://docs.google.com/spreadsheets/d/1MjHtlUikwobi2MaWJgy7tfLeBmhj1u-dRFRs_8GwSoA/edit#gid=0"",""Gestores Escolares!D7:J""),6,0),""VERIFICAR CÓD SEC"")"),"ANTONIA DA SILVA PINTO")</f>
        <v>ANTONIA DA SILVA PINTO</v>
      </c>
      <c r="P1464" s="82" t="str">
        <f>IFERROR(__xludf.DUMMYFUNCTION("IFERROR(VLOOKUP(D1464,
IMPORTRANGE(""https://docs.google.com/spreadsheets/d/1MjHtlUikwobi2MaWJgy7tfLeBmhj1u-dRFRs_8GwSoA/edit#gid=0"",""Gestores Escolares!D7:J""),7,0),""VERIFICAR CÓD SEC"")"),"(71) 9 8885-5702")</f>
        <v>(71) 9 8885-5702</v>
      </c>
      <c r="Q1464" s="82" t="str">
        <f>IFERROR(__xludf.DUMMYFUNCTION("IFERROR(VLOOKUP(D1464,
IMPORTRANGE(""https://docs.google.com/spreadsheets/d/1MjHtlUikwobi2MaWJgy7tfLeBmhj1u-dRFRs_8GwSoA/edit#gid=0"",""Gestores Escolares!D7:m""),9,0),""VERIFICAR CÓD SEC"")"),"")</f>
        <v/>
      </c>
      <c r="R1464" s="82" t="str">
        <f>IFERROR(__xludf.DUMMYFUNCTION("IFERROR(VLOOKUP(D1464,
IMPORTRANGE(""https://docs.google.com/spreadsheets/d/1MjHtlUikwobi2MaWJgy7tfLeBmhj1u-dRFRs_8GwSoA/edit#gid=0"",""Gestores Escolares!D7:m""),10,0),""VERIFICAR CÓD SEC"")"),"")</f>
        <v/>
      </c>
      <c r="S1464" s="82"/>
      <c r="T1464" s="138">
        <v>11.0</v>
      </c>
      <c r="U1464" s="152">
        <v>10.0</v>
      </c>
      <c r="V1464" s="106">
        <v>0.0</v>
      </c>
      <c r="W1464" s="107">
        <v>0.0</v>
      </c>
      <c r="X1464" s="107">
        <v>0.0</v>
      </c>
      <c r="Y1464" s="107">
        <v>0.0</v>
      </c>
      <c r="Z1464" s="80">
        <f t="shared" si="1"/>
        <v>0</v>
      </c>
      <c r="AA1464" s="106">
        <v>135.0</v>
      </c>
      <c r="AB1464" s="107">
        <v>0.0</v>
      </c>
      <c r="AC1464" s="107">
        <v>0.0</v>
      </c>
      <c r="AD1464" s="107">
        <v>138.0</v>
      </c>
      <c r="AE1464" s="80">
        <f t="shared" si="2"/>
        <v>273</v>
      </c>
      <c r="AF1464" s="140">
        <v>0.0</v>
      </c>
      <c r="AG1464" s="109">
        <v>0.0</v>
      </c>
      <c r="AH1464" s="109">
        <v>0.0</v>
      </c>
      <c r="AI1464" s="141">
        <v>0.0</v>
      </c>
      <c r="AJ1464" s="80">
        <f t="shared" si="3"/>
        <v>0</v>
      </c>
      <c r="AK1464" s="140">
        <v>0.0</v>
      </c>
      <c r="AL1464" s="109">
        <v>0.0</v>
      </c>
      <c r="AM1464" s="141">
        <v>72.0</v>
      </c>
      <c r="AN1464" s="80">
        <f t="shared" si="4"/>
        <v>72</v>
      </c>
      <c r="AO1464" s="140">
        <v>0.0</v>
      </c>
      <c r="AP1464" s="109">
        <v>0.0</v>
      </c>
      <c r="AQ1464" s="109">
        <v>160.0</v>
      </c>
      <c r="AR1464" s="80">
        <f t="shared" si="5"/>
        <v>160</v>
      </c>
      <c r="AS1464" s="110">
        <v>0.0</v>
      </c>
      <c r="AT1464" s="110">
        <v>0.0</v>
      </c>
      <c r="AU1464" s="110">
        <v>0.0</v>
      </c>
      <c r="AV1464" s="142">
        <v>0.0</v>
      </c>
      <c r="AW1464" s="80">
        <f t="shared" si="6"/>
        <v>0</v>
      </c>
      <c r="AX1464" s="113">
        <f t="shared" si="7"/>
        <v>505</v>
      </c>
      <c r="AY1464" s="117">
        <f t="shared" si="8"/>
        <v>273</v>
      </c>
      <c r="AZ1464" s="120">
        <f t="shared" si="9"/>
        <v>232</v>
      </c>
      <c r="BA1464" s="115">
        <v>0.0</v>
      </c>
      <c r="BB1464" s="89">
        <f t="shared" si="10"/>
        <v>505</v>
      </c>
      <c r="BC1464" s="132" t="s">
        <v>178</v>
      </c>
      <c r="BD1464" s="132" t="s">
        <v>178</v>
      </c>
      <c r="BE1464" s="132" t="s">
        <v>178</v>
      </c>
      <c r="BF1464" s="123"/>
      <c r="BG1464" s="83">
        <v>1103654.0</v>
      </c>
      <c r="BH1464" s="98" t="s">
        <v>8260</v>
      </c>
      <c r="BI1464" s="112">
        <v>10.0</v>
      </c>
      <c r="BJ1464" s="98" t="s">
        <v>155</v>
      </c>
      <c r="BK1464" s="99">
        <f t="shared" si="11"/>
        <v>138</v>
      </c>
      <c r="BL1464" s="99">
        <f t="shared" si="12"/>
        <v>135</v>
      </c>
      <c r="BM1464" s="99" t="str">
        <f>IFERROR(__xludf.DUMMYFUNCTION("IFERROR(VLOOKUP(BG1464,IMPORTRANGE(""https://docs.google.com/spreadsheets/d/1juPI-Fb8LD0YtltB2mlGEnp_R3UVu1t3wSFPzgCyHXE/edit?gid=0#gid=0"",""GERAL!A2:C""),3,0),""-"")"),"-")</f>
        <v>-</v>
      </c>
    </row>
    <row r="1465" ht="15.75" customHeight="1">
      <c r="A1465" s="111" t="s">
        <v>1785</v>
      </c>
      <c r="B1465" s="83" t="s">
        <v>1994</v>
      </c>
      <c r="C1465" s="83" t="s">
        <v>68</v>
      </c>
      <c r="D1465" s="112">
        <v>1104820.0</v>
      </c>
      <c r="E1465" s="83"/>
      <c r="F1465" s="83">
        <v>2.918205E7</v>
      </c>
      <c r="G1465" s="114" t="s">
        <v>8262</v>
      </c>
      <c r="H1465" s="91" t="s">
        <v>8263</v>
      </c>
      <c r="I1465" s="193" t="s">
        <v>8175</v>
      </c>
      <c r="J1465" s="83" t="s">
        <v>150</v>
      </c>
      <c r="K1465" s="83" t="s">
        <v>151</v>
      </c>
      <c r="L1465" s="83" t="s">
        <v>152</v>
      </c>
      <c r="M1465" s="82" t="str">
        <f>IFERROR(__xludf.DUMMYFUNCTION("IFERROR(VLOOKUP(D1465,
IMPORTRANGE(""https://docs.google.com/spreadsheets/d/1MjHtlUikwobi2MaWJgy7tfLeBmhj1u-dRFRs_8GwSoA/edit#gid=0"",""Gestores Escolares!D7:J""),3,0),""VERIFICAR CÓD SEC"")"),"JAIRO DIAS DA COSTA")</f>
        <v>JAIRO DIAS DA COSTA</v>
      </c>
      <c r="N1465" s="82" t="str">
        <f>IFERROR(__xludf.DUMMYFUNCTION("IFERROR(VLOOKUP(D1465,
IMPORTRANGE(""https://docs.google.com/spreadsheets/d/1MjHtlUikwobi2MaWJgy7tfLeBmhj1u-dRFRs_8GwSoA/edit#gid=0"",""Gestores Escolares!D7:J""),4,0),""VERIFICAR CÓD SEC"")"),"(71) 9 9963-4801")</f>
        <v>(71) 9 9963-4801</v>
      </c>
      <c r="O1465" s="82" t="str">
        <f>IFERROR(__xludf.DUMMYFUNCTION("IFERROR(VLOOKUP(D1465,
IMPORTRANGE(""https://docs.google.com/spreadsheets/d/1MjHtlUikwobi2MaWJgy7tfLeBmhj1u-dRFRs_8GwSoA/edit#gid=0"",""Gestores Escolares!D7:J""),6,0),""VERIFICAR CÓD SEC"")"),"MIRAILDES TEIXEIRA LOPES TELES")</f>
        <v>MIRAILDES TEIXEIRA LOPES TELES</v>
      </c>
      <c r="P1465" s="82" t="str">
        <f>IFERROR(__xludf.DUMMYFUNCTION("IFERROR(VLOOKUP(D1465,
IMPORTRANGE(""https://docs.google.com/spreadsheets/d/1MjHtlUikwobi2MaWJgy7tfLeBmhj1u-dRFRs_8GwSoA/edit#gid=0"",""Gestores Escolares!D7:J""),7,0),""VERIFICAR CÓD SEC"")"),"(71) 9 9403-9039")</f>
        <v>(71) 9 9403-9039</v>
      </c>
      <c r="Q1465" s="82" t="str">
        <f>IFERROR(__xludf.DUMMYFUNCTION("IFERROR(VLOOKUP(D1465,
IMPORTRANGE(""https://docs.google.com/spreadsheets/d/1MjHtlUikwobi2MaWJgy7tfLeBmhj1u-dRFRs_8GwSoA/edit#gid=0"",""Gestores Escolares!D7:m""),9,0),""VERIFICAR CÓD SEC"")"),"")</f>
        <v/>
      </c>
      <c r="R1465" s="82" t="str">
        <f>IFERROR(__xludf.DUMMYFUNCTION("IFERROR(VLOOKUP(D1465,
IMPORTRANGE(""https://docs.google.com/spreadsheets/d/1MjHtlUikwobi2MaWJgy7tfLeBmhj1u-dRFRs_8GwSoA/edit#gid=0"",""Gestores Escolares!D7:m""),10,0),""VERIFICAR CÓD SEC"")"),"")</f>
        <v/>
      </c>
      <c r="S1465" s="82"/>
      <c r="T1465" s="138">
        <v>18.0</v>
      </c>
      <c r="U1465" s="152">
        <v>17.0</v>
      </c>
      <c r="V1465" s="106">
        <v>0.0</v>
      </c>
      <c r="W1465" s="107">
        <v>0.0</v>
      </c>
      <c r="X1465" s="107">
        <v>0.0</v>
      </c>
      <c r="Y1465" s="107">
        <v>0.0</v>
      </c>
      <c r="Z1465" s="80">
        <f t="shared" si="1"/>
        <v>0</v>
      </c>
      <c r="AA1465" s="106">
        <v>192.0</v>
      </c>
      <c r="AB1465" s="107">
        <v>0.0</v>
      </c>
      <c r="AC1465" s="107">
        <v>0.0</v>
      </c>
      <c r="AD1465" s="107">
        <v>161.0</v>
      </c>
      <c r="AE1465" s="80">
        <f t="shared" si="2"/>
        <v>353</v>
      </c>
      <c r="AF1465" s="140">
        <v>0.0</v>
      </c>
      <c r="AG1465" s="109">
        <v>172.0</v>
      </c>
      <c r="AH1465" s="109">
        <v>0.0</v>
      </c>
      <c r="AI1465" s="141">
        <v>0.0</v>
      </c>
      <c r="AJ1465" s="80">
        <f t="shared" si="3"/>
        <v>172</v>
      </c>
      <c r="AK1465" s="140">
        <v>0.0</v>
      </c>
      <c r="AL1465" s="109">
        <v>0.0</v>
      </c>
      <c r="AM1465" s="141">
        <v>0.0</v>
      </c>
      <c r="AN1465" s="80">
        <f t="shared" si="4"/>
        <v>0</v>
      </c>
      <c r="AO1465" s="140">
        <v>0.0</v>
      </c>
      <c r="AP1465" s="109">
        <v>0.0</v>
      </c>
      <c r="AQ1465" s="109">
        <v>0.0</v>
      </c>
      <c r="AR1465" s="80">
        <f t="shared" si="5"/>
        <v>0</v>
      </c>
      <c r="AS1465" s="110">
        <v>0.0</v>
      </c>
      <c r="AT1465" s="110">
        <v>0.0</v>
      </c>
      <c r="AU1465" s="110">
        <v>0.0</v>
      </c>
      <c r="AV1465" s="142">
        <v>0.0</v>
      </c>
      <c r="AW1465" s="80">
        <f t="shared" si="6"/>
        <v>0</v>
      </c>
      <c r="AX1465" s="113">
        <f t="shared" si="7"/>
        <v>525</v>
      </c>
      <c r="AY1465" s="117">
        <f t="shared" si="8"/>
        <v>525</v>
      </c>
      <c r="AZ1465" s="120">
        <f t="shared" si="9"/>
        <v>0</v>
      </c>
      <c r="BA1465" s="115">
        <v>0.0</v>
      </c>
      <c r="BB1465" s="89">
        <f t="shared" si="10"/>
        <v>525</v>
      </c>
      <c r="BC1465" s="132" t="s">
        <v>178</v>
      </c>
      <c r="BD1465" s="132" t="s">
        <v>178</v>
      </c>
      <c r="BE1465" s="132" t="s">
        <v>178</v>
      </c>
      <c r="BF1465" s="123"/>
      <c r="BG1465" s="83">
        <v>1104820.0</v>
      </c>
      <c r="BH1465" s="98" t="s">
        <v>8264</v>
      </c>
      <c r="BI1465" s="112">
        <v>17.0</v>
      </c>
      <c r="BJ1465" s="98" t="s">
        <v>155</v>
      </c>
      <c r="BK1465" s="99">
        <f t="shared" si="11"/>
        <v>161</v>
      </c>
      <c r="BL1465" s="99">
        <f t="shared" si="12"/>
        <v>364</v>
      </c>
      <c r="BM1465" s="99" t="str">
        <f>IFERROR(__xludf.DUMMYFUNCTION("IFERROR(VLOOKUP(BG1465,IMPORTRANGE(""https://docs.google.com/spreadsheets/d/1juPI-Fb8LD0YtltB2mlGEnp_R3UVu1t3wSFPzgCyHXE/edit?gid=0#gid=0"",""GERAL!A2:C""),3,0),""-"")"),"-")</f>
        <v>-</v>
      </c>
    </row>
    <row r="1466" ht="15.75" customHeight="1">
      <c r="A1466" s="111" t="s">
        <v>1785</v>
      </c>
      <c r="B1466" s="83" t="s">
        <v>1994</v>
      </c>
      <c r="C1466" s="83" t="s">
        <v>68</v>
      </c>
      <c r="D1466" s="112">
        <v>1104537.0</v>
      </c>
      <c r="E1466" s="83"/>
      <c r="F1466" s="83">
        <v>2.9191149E7</v>
      </c>
      <c r="G1466" s="114" t="s">
        <v>8270</v>
      </c>
      <c r="H1466" s="91" t="s">
        <v>8271</v>
      </c>
      <c r="I1466" s="83" t="s">
        <v>8272</v>
      </c>
      <c r="J1466" s="83" t="s">
        <v>150</v>
      </c>
      <c r="K1466" s="83" t="s">
        <v>151</v>
      </c>
      <c r="L1466" s="83" t="s">
        <v>230</v>
      </c>
      <c r="M1466" s="82" t="str">
        <f>IFERROR(__xludf.DUMMYFUNCTION("IFERROR(VLOOKUP(D1466,
IMPORTRANGE(""https://docs.google.com/spreadsheets/d/1MjHtlUikwobi2MaWJgy7tfLeBmhj1u-dRFRs_8GwSoA/edit#gid=0"",""Gestores Escolares!D7:J""),3,0),""VERIFICAR CÓD SEC"")"),"LEILA MARIA SOUZA DE CARVALHO")</f>
        <v>LEILA MARIA SOUZA DE CARVALHO</v>
      </c>
      <c r="N1466" s="82" t="str">
        <f>IFERROR(__xludf.DUMMYFUNCTION("IFERROR(VLOOKUP(D1466,
IMPORTRANGE(""https://docs.google.com/spreadsheets/d/1MjHtlUikwobi2MaWJgy7tfLeBmhj1u-dRFRs_8GwSoA/edit#gid=0"",""Gestores Escolares!D7:J""),4,0),""VERIFICAR CÓD SEC"")"),"(71) 9 9608-2345")</f>
        <v>(71) 9 9608-2345</v>
      </c>
      <c r="O1466" s="82" t="str">
        <f>IFERROR(__xludf.DUMMYFUNCTION("IFERROR(VLOOKUP(D1466,
IMPORTRANGE(""https://docs.google.com/spreadsheets/d/1MjHtlUikwobi2MaWJgy7tfLeBmhj1u-dRFRs_8GwSoA/edit#gid=0"",""Gestores Escolares!D7:J""),6,0),""VERIFICAR CÓD SEC"")"),"NEIVA MARIA SANTANA GUERRA")</f>
        <v>NEIVA MARIA SANTANA GUERRA</v>
      </c>
      <c r="P1466" s="82" t="str">
        <f>IFERROR(__xludf.DUMMYFUNCTION("IFERROR(VLOOKUP(D1466,
IMPORTRANGE(""https://docs.google.com/spreadsheets/d/1MjHtlUikwobi2MaWJgy7tfLeBmhj1u-dRFRs_8GwSoA/edit#gid=0"",""Gestores Escolares!D7:J""),7,0),""VERIFICAR CÓD SEC"")"),"(71) 9 8431-3873")</f>
        <v>(71) 9 8431-3873</v>
      </c>
      <c r="Q1466" s="82" t="str">
        <f>IFERROR(__xludf.DUMMYFUNCTION("IFERROR(VLOOKUP(D1466,
IMPORTRANGE(""https://docs.google.com/spreadsheets/d/1MjHtlUikwobi2MaWJgy7tfLeBmhj1u-dRFRs_8GwSoA/edit#gid=0"",""Gestores Escolares!D7:m""),9,0),""VERIFICAR CÓD SEC"")"),"")</f>
        <v/>
      </c>
      <c r="R1466" s="82" t="str">
        <f>IFERROR(__xludf.DUMMYFUNCTION("IFERROR(VLOOKUP(D1466,
IMPORTRANGE(""https://docs.google.com/spreadsheets/d/1MjHtlUikwobi2MaWJgy7tfLeBmhj1u-dRFRs_8GwSoA/edit#gid=0"",""Gestores Escolares!D7:m""),10,0),""VERIFICAR CÓD SEC"")"),"")</f>
        <v/>
      </c>
      <c r="S1466" s="82"/>
      <c r="T1466" s="138">
        <v>20.0</v>
      </c>
      <c r="U1466" s="152" t="s">
        <v>13920</v>
      </c>
      <c r="V1466" s="106">
        <v>0.0</v>
      </c>
      <c r="W1466" s="107">
        <v>0.0</v>
      </c>
      <c r="X1466" s="107">
        <v>0.0</v>
      </c>
      <c r="Y1466" s="107">
        <v>0.0</v>
      </c>
      <c r="Z1466" s="80">
        <f t="shared" si="1"/>
        <v>0</v>
      </c>
      <c r="AA1466" s="106">
        <v>0.0</v>
      </c>
      <c r="AB1466" s="107">
        <v>0.0</v>
      </c>
      <c r="AC1466" s="107">
        <v>0.0</v>
      </c>
      <c r="AD1466" s="107">
        <v>0.0</v>
      </c>
      <c r="AE1466" s="80">
        <f t="shared" si="2"/>
        <v>0</v>
      </c>
      <c r="AF1466" s="140">
        <v>280.0</v>
      </c>
      <c r="AG1466" s="109">
        <v>0.0</v>
      </c>
      <c r="AH1466" s="109">
        <v>0.0</v>
      </c>
      <c r="AI1466" s="141">
        <v>142.0</v>
      </c>
      <c r="AJ1466" s="80">
        <f t="shared" si="3"/>
        <v>422</v>
      </c>
      <c r="AK1466" s="140">
        <v>0.0</v>
      </c>
      <c r="AL1466" s="109">
        <v>0.0</v>
      </c>
      <c r="AM1466" s="141">
        <v>0.0</v>
      </c>
      <c r="AN1466" s="80">
        <f t="shared" si="4"/>
        <v>0</v>
      </c>
      <c r="AO1466" s="140">
        <v>0.0</v>
      </c>
      <c r="AP1466" s="109">
        <v>0.0</v>
      </c>
      <c r="AQ1466" s="109">
        <v>318.0</v>
      </c>
      <c r="AR1466" s="80">
        <f t="shared" si="5"/>
        <v>318</v>
      </c>
      <c r="AS1466" s="110">
        <v>0.0</v>
      </c>
      <c r="AT1466" s="110">
        <v>0.0</v>
      </c>
      <c r="AU1466" s="110">
        <v>0.0</v>
      </c>
      <c r="AV1466" s="142">
        <v>0.0</v>
      </c>
      <c r="AW1466" s="80">
        <f t="shared" si="6"/>
        <v>0</v>
      </c>
      <c r="AX1466" s="113">
        <f t="shared" si="7"/>
        <v>740</v>
      </c>
      <c r="AY1466" s="117">
        <f t="shared" si="8"/>
        <v>422</v>
      </c>
      <c r="AZ1466" s="120">
        <f t="shared" si="9"/>
        <v>318</v>
      </c>
      <c r="BA1466" s="115">
        <v>2.0</v>
      </c>
      <c r="BB1466" s="89">
        <f t="shared" si="10"/>
        <v>742</v>
      </c>
      <c r="BC1466" s="132" t="s">
        <v>178</v>
      </c>
      <c r="BD1466" s="132" t="s">
        <v>178</v>
      </c>
      <c r="BE1466" s="132" t="s">
        <v>178</v>
      </c>
      <c r="BF1466" s="123"/>
      <c r="BG1466" s="83">
        <v>1104537.0</v>
      </c>
      <c r="BH1466" s="98" t="s">
        <v>8273</v>
      </c>
      <c r="BI1466" s="112">
        <v>13.0</v>
      </c>
      <c r="BJ1466" s="98" t="s">
        <v>155</v>
      </c>
      <c r="BK1466" s="99">
        <f t="shared" si="11"/>
        <v>142</v>
      </c>
      <c r="BL1466" s="99">
        <f t="shared" si="12"/>
        <v>280</v>
      </c>
      <c r="BM1466" s="99" t="str">
        <f>IFERROR(__xludf.DUMMYFUNCTION("IFERROR(VLOOKUP(BG1466,IMPORTRANGE(""https://docs.google.com/spreadsheets/d/1juPI-Fb8LD0YtltB2mlGEnp_R3UVu1t3wSFPzgCyHXE/edit?gid=0#gid=0"",""GERAL!A2:C""),3,0),""-"")"),"-")</f>
        <v>-</v>
      </c>
    </row>
    <row r="1467" ht="15.75" customHeight="1">
      <c r="A1467" s="111" t="s">
        <v>1785</v>
      </c>
      <c r="B1467" s="83" t="s">
        <v>1994</v>
      </c>
      <c r="C1467" s="83" t="s">
        <v>68</v>
      </c>
      <c r="D1467" s="112">
        <v>1176610.0</v>
      </c>
      <c r="E1467" s="83"/>
      <c r="F1467" s="83">
        <v>2.9404266E7</v>
      </c>
      <c r="G1467" s="119" t="s">
        <v>8274</v>
      </c>
      <c r="H1467" s="91" t="s">
        <v>8276</v>
      </c>
      <c r="I1467" s="83" t="s">
        <v>8278</v>
      </c>
      <c r="J1467" s="83" t="s">
        <v>150</v>
      </c>
      <c r="K1467" s="83" t="s">
        <v>8280</v>
      </c>
      <c r="L1467" s="83" t="s">
        <v>152</v>
      </c>
      <c r="M1467" s="82" t="str">
        <f>IFERROR(__xludf.DUMMYFUNCTION("IFERROR(VLOOKUP(D1467,
IMPORTRANGE(""https://docs.google.com/spreadsheets/d/1MjHtlUikwobi2MaWJgy7tfLeBmhj1u-dRFRs_8GwSoA/edit#gid=0"",""Gestores Escolares!D7:J""),3,0),""VERIFICAR CÓD SEC"")"),"DIÓGENES RIBEIRO DA SILVA")</f>
        <v>DIÓGENES RIBEIRO DA SILVA</v>
      </c>
      <c r="N1467" s="82" t="str">
        <f>IFERROR(__xludf.DUMMYFUNCTION("IFERROR(VLOOKUP(D1467,
IMPORTRANGE(""https://docs.google.com/spreadsheets/d/1MjHtlUikwobi2MaWJgy7tfLeBmhj1u-dRFRs_8GwSoA/edit#gid=0"",""Gestores Escolares!D7:J""),4,0),""VERIFICAR CÓD SEC"")"),"(71) 9 9147-3680  ")</f>
        <v>(71) 9 9147-3680  </v>
      </c>
      <c r="O1467" s="82" t="str">
        <f>IFERROR(__xludf.DUMMYFUNCTION("IFERROR(VLOOKUP(D1467,
IMPORTRANGE(""https://docs.google.com/spreadsheets/d/1MjHtlUikwobi2MaWJgy7tfLeBmhj1u-dRFRs_8GwSoA/edit#gid=0"",""Gestores Escolares!D7:J""),6,0),""VERIFICAR CÓD SEC"")"),"MARIA GRACIETE SILVA SACRAMENTO")</f>
        <v>MARIA GRACIETE SILVA SACRAMENTO</v>
      </c>
      <c r="P1467" s="82" t="str">
        <f>IFERROR(__xludf.DUMMYFUNCTION("IFERROR(VLOOKUP(D1467,
IMPORTRANGE(""https://docs.google.com/spreadsheets/d/1MjHtlUikwobi2MaWJgy7tfLeBmhj1u-dRFRs_8GwSoA/edit#gid=0"",""Gestores Escolares!D7:J""),7,0),""VERIFICAR CÓD SEC"")"),"(71) 9 8642-9080")</f>
        <v>(71) 9 8642-9080</v>
      </c>
      <c r="Q1467" s="82" t="str">
        <f>IFERROR(__xludf.DUMMYFUNCTION("IFERROR(VLOOKUP(D1467,
IMPORTRANGE(""https://docs.google.com/spreadsheets/d/1MjHtlUikwobi2MaWJgy7tfLeBmhj1u-dRFRs_8GwSoA/edit#gid=0"",""Gestores Escolares!D7:m""),9,0),""VERIFICAR CÓD SEC"")"),"")</f>
        <v/>
      </c>
      <c r="R1467" s="82" t="str">
        <f>IFERROR(__xludf.DUMMYFUNCTION("IFERROR(VLOOKUP(D1467,
IMPORTRANGE(""https://docs.google.com/spreadsheets/d/1MjHtlUikwobi2MaWJgy7tfLeBmhj1u-dRFRs_8GwSoA/edit#gid=0"",""Gestores Escolares!D7:m""),10,0),""VERIFICAR CÓD SEC"")"),"")</f>
        <v/>
      </c>
      <c r="S1467" s="82"/>
      <c r="T1467" s="138">
        <v>11.0</v>
      </c>
      <c r="U1467" s="152">
        <v>10.0</v>
      </c>
      <c r="V1467" s="106">
        <v>0.0</v>
      </c>
      <c r="W1467" s="107">
        <v>0.0</v>
      </c>
      <c r="X1467" s="107">
        <v>0.0</v>
      </c>
      <c r="Y1467" s="107">
        <v>0.0</v>
      </c>
      <c r="Z1467" s="80">
        <f t="shared" si="1"/>
        <v>0</v>
      </c>
      <c r="AA1467" s="106">
        <v>109.0</v>
      </c>
      <c r="AB1467" s="107">
        <v>299.0</v>
      </c>
      <c r="AC1467" s="107">
        <v>0.0</v>
      </c>
      <c r="AD1467" s="107">
        <v>0.0</v>
      </c>
      <c r="AE1467" s="80">
        <f t="shared" si="2"/>
        <v>408</v>
      </c>
      <c r="AF1467" s="140">
        <v>218.0</v>
      </c>
      <c r="AG1467" s="109">
        <v>0.0</v>
      </c>
      <c r="AH1467" s="109">
        <v>0.0</v>
      </c>
      <c r="AI1467" s="141">
        <v>0.0</v>
      </c>
      <c r="AJ1467" s="80">
        <f t="shared" si="3"/>
        <v>218</v>
      </c>
      <c r="AK1467" s="140">
        <v>0.0</v>
      </c>
      <c r="AL1467" s="109">
        <v>0.0</v>
      </c>
      <c r="AM1467" s="141">
        <v>21.0</v>
      </c>
      <c r="AN1467" s="80">
        <f t="shared" si="4"/>
        <v>21</v>
      </c>
      <c r="AO1467" s="140">
        <v>0.0</v>
      </c>
      <c r="AP1467" s="109">
        <v>0.0</v>
      </c>
      <c r="AQ1467" s="109">
        <v>65.0</v>
      </c>
      <c r="AR1467" s="80">
        <f t="shared" si="5"/>
        <v>65</v>
      </c>
      <c r="AS1467" s="110">
        <v>0.0</v>
      </c>
      <c r="AT1467" s="110">
        <v>0.0</v>
      </c>
      <c r="AU1467" s="110">
        <v>0.0</v>
      </c>
      <c r="AV1467" s="142">
        <v>0.0</v>
      </c>
      <c r="AW1467" s="80">
        <f t="shared" si="6"/>
        <v>0</v>
      </c>
      <c r="AX1467" s="113">
        <f t="shared" si="7"/>
        <v>712</v>
      </c>
      <c r="AY1467" s="117">
        <f t="shared" si="8"/>
        <v>626</v>
      </c>
      <c r="AZ1467" s="120">
        <f t="shared" si="9"/>
        <v>86</v>
      </c>
      <c r="BA1467" s="115">
        <v>0.0</v>
      </c>
      <c r="BB1467" s="89">
        <f t="shared" si="10"/>
        <v>712</v>
      </c>
      <c r="BC1467" s="132" t="s">
        <v>178</v>
      </c>
      <c r="BD1467" s="132" t="s">
        <v>178</v>
      </c>
      <c r="BE1467" s="132" t="s">
        <v>178</v>
      </c>
      <c r="BF1467" s="156"/>
      <c r="BG1467" s="83">
        <v>1176610.0</v>
      </c>
      <c r="BH1467" s="98" t="s">
        <v>171</v>
      </c>
      <c r="BI1467" s="112">
        <v>10.0</v>
      </c>
      <c r="BJ1467" s="98" t="s">
        <v>155</v>
      </c>
      <c r="BK1467" s="99">
        <f t="shared" si="11"/>
        <v>0</v>
      </c>
      <c r="BL1467" s="99">
        <f t="shared" si="12"/>
        <v>626</v>
      </c>
      <c r="BM1467" s="99" t="str">
        <f>IFERROR(__xludf.DUMMYFUNCTION("IFERROR(VLOOKUP(BG1467,IMPORTRANGE(""https://docs.google.com/spreadsheets/d/1juPI-Fb8LD0YtltB2mlGEnp_R3UVu1t3wSFPzgCyHXE/edit?gid=0#gid=0"",""GERAL!A2:C""),3,0),""-"")"),"-")</f>
        <v>-</v>
      </c>
    </row>
    <row r="1468" ht="15.75" customHeight="1">
      <c r="A1468" s="111" t="s">
        <v>1785</v>
      </c>
      <c r="B1468" s="83" t="s">
        <v>1994</v>
      </c>
      <c r="C1468" s="83" t="s">
        <v>68</v>
      </c>
      <c r="D1468" s="112">
        <v>1103387.0</v>
      </c>
      <c r="E1468" s="83"/>
      <c r="F1468" s="83">
        <v>2.918155E7</v>
      </c>
      <c r="G1468" s="119" t="s">
        <v>4362</v>
      </c>
      <c r="H1468" s="91" t="s">
        <v>8282</v>
      </c>
      <c r="I1468" s="83" t="s">
        <v>8283</v>
      </c>
      <c r="J1468" s="83" t="s">
        <v>150</v>
      </c>
      <c r="K1468" s="83" t="s">
        <v>151</v>
      </c>
      <c r="L1468" s="83" t="s">
        <v>152</v>
      </c>
      <c r="M1468" s="82" t="str">
        <f>IFERROR(__xludf.DUMMYFUNCTION("IFERROR(VLOOKUP(D1468,
IMPORTRANGE(""https://docs.google.com/spreadsheets/d/1MjHtlUikwobi2MaWJgy7tfLeBmhj1u-dRFRs_8GwSoA/edit#gid=0"",""Gestores Escolares!D7:J""),3,0),""VERIFICAR CÓD SEC"")"),"MARISTELA NEVES MACHADO")</f>
        <v>MARISTELA NEVES MACHADO</v>
      </c>
      <c r="N1468" s="82" t="str">
        <f>IFERROR(__xludf.DUMMYFUNCTION("IFERROR(VLOOKUP(D1468,
IMPORTRANGE(""https://docs.google.com/spreadsheets/d/1MjHtlUikwobi2MaWJgy7tfLeBmhj1u-dRFRs_8GwSoA/edit#gid=0"",""Gestores Escolares!D7:J""),4,0),""VERIFICAR CÓD SEC"")"),"(71)  9 9934-5773/ 3385-3336")</f>
        <v>(71)  9 9934-5773/ 3385-3336</v>
      </c>
      <c r="O1468" s="82" t="str">
        <f>IFERROR(__xludf.DUMMYFUNCTION("IFERROR(VLOOKUP(D1468,
IMPORTRANGE(""https://docs.google.com/spreadsheets/d/1MjHtlUikwobi2MaWJgy7tfLeBmhj1u-dRFRs_8GwSoA/edit#gid=0"",""Gestores Escolares!D7:J""),6,0),""VERIFICAR CÓD SEC"")"),"")</f>
        <v/>
      </c>
      <c r="P1468" s="82" t="str">
        <f>IFERROR(__xludf.DUMMYFUNCTION("IFERROR(VLOOKUP(D1468,
IMPORTRANGE(""https://docs.google.com/spreadsheets/d/1MjHtlUikwobi2MaWJgy7tfLeBmhj1u-dRFRs_8GwSoA/edit#gid=0"",""Gestores Escolares!D7:J""),7,0),""VERIFICAR CÓD SEC"")"),"")</f>
        <v/>
      </c>
      <c r="Q1468" s="82" t="str">
        <f>IFERROR(__xludf.DUMMYFUNCTION("IFERROR(VLOOKUP(D1468,
IMPORTRANGE(""https://docs.google.com/spreadsheets/d/1MjHtlUikwobi2MaWJgy7tfLeBmhj1u-dRFRs_8GwSoA/edit#gid=0"",""Gestores Escolares!D7:m""),9,0),""VERIFICAR CÓD SEC"")"),"")</f>
        <v/>
      </c>
      <c r="R1468" s="82" t="str">
        <f>IFERROR(__xludf.DUMMYFUNCTION("IFERROR(VLOOKUP(D1468,
IMPORTRANGE(""https://docs.google.com/spreadsheets/d/1MjHtlUikwobi2MaWJgy7tfLeBmhj1u-dRFRs_8GwSoA/edit#gid=0"",""Gestores Escolares!D7:m""),10,0),""VERIFICAR CÓD SEC"")"),"")</f>
        <v/>
      </c>
      <c r="S1468" s="82"/>
      <c r="T1468" s="138">
        <v>19.0</v>
      </c>
      <c r="U1468" s="152">
        <v>19.0</v>
      </c>
      <c r="V1468" s="106">
        <v>0.0</v>
      </c>
      <c r="W1468" s="107">
        <v>0.0</v>
      </c>
      <c r="X1468" s="107">
        <v>0.0</v>
      </c>
      <c r="Y1468" s="107">
        <v>0.0</v>
      </c>
      <c r="Z1468" s="80">
        <f t="shared" si="1"/>
        <v>0</v>
      </c>
      <c r="AA1468" s="106">
        <v>0.0</v>
      </c>
      <c r="AB1468" s="107">
        <v>0.0</v>
      </c>
      <c r="AC1468" s="107">
        <v>0.0</v>
      </c>
      <c r="AD1468" s="107">
        <v>0.0</v>
      </c>
      <c r="AE1468" s="80">
        <f t="shared" si="2"/>
        <v>0</v>
      </c>
      <c r="AF1468" s="140">
        <v>469.0</v>
      </c>
      <c r="AG1468" s="109">
        <v>0.0</v>
      </c>
      <c r="AH1468" s="109">
        <v>0.0</v>
      </c>
      <c r="AI1468" s="141">
        <v>128.0</v>
      </c>
      <c r="AJ1468" s="80">
        <f t="shared" si="3"/>
        <v>597</v>
      </c>
      <c r="AK1468" s="140">
        <v>0.0</v>
      </c>
      <c r="AL1468" s="109">
        <v>0.0</v>
      </c>
      <c r="AM1468" s="141">
        <v>0.0</v>
      </c>
      <c r="AN1468" s="80">
        <f t="shared" si="4"/>
        <v>0</v>
      </c>
      <c r="AO1468" s="140">
        <v>0.0</v>
      </c>
      <c r="AP1468" s="109">
        <v>0.0</v>
      </c>
      <c r="AQ1468" s="109">
        <v>0.0</v>
      </c>
      <c r="AR1468" s="80">
        <f t="shared" si="5"/>
        <v>0</v>
      </c>
      <c r="AS1468" s="110">
        <v>0.0</v>
      </c>
      <c r="AT1468" s="110">
        <v>0.0</v>
      </c>
      <c r="AU1468" s="110">
        <v>0.0</v>
      </c>
      <c r="AV1468" s="142">
        <v>0.0</v>
      </c>
      <c r="AW1468" s="80">
        <f t="shared" si="6"/>
        <v>0</v>
      </c>
      <c r="AX1468" s="113">
        <f t="shared" si="7"/>
        <v>597</v>
      </c>
      <c r="AY1468" s="117">
        <f t="shared" si="8"/>
        <v>597</v>
      </c>
      <c r="AZ1468" s="120">
        <f t="shared" si="9"/>
        <v>0</v>
      </c>
      <c r="BA1468" s="115">
        <v>0.0</v>
      </c>
      <c r="BB1468" s="89">
        <f t="shared" si="10"/>
        <v>597</v>
      </c>
      <c r="BC1468" s="132" t="s">
        <v>178</v>
      </c>
      <c r="BD1468" s="132" t="s">
        <v>178</v>
      </c>
      <c r="BE1468" s="132" t="s">
        <v>178</v>
      </c>
      <c r="BF1468" s="123"/>
      <c r="BG1468" s="83">
        <v>1103387.0</v>
      </c>
      <c r="BH1468" s="98" t="s">
        <v>8284</v>
      </c>
      <c r="BI1468" s="112">
        <v>19.0</v>
      </c>
      <c r="BJ1468" s="98" t="s">
        <v>155</v>
      </c>
      <c r="BK1468" s="99">
        <f t="shared" si="11"/>
        <v>128</v>
      </c>
      <c r="BL1468" s="99">
        <f t="shared" si="12"/>
        <v>469</v>
      </c>
      <c r="BM1468" s="99" t="str">
        <f>IFERROR(__xludf.DUMMYFUNCTION("IFERROR(VLOOKUP(BG1468,IMPORTRANGE(""https://docs.google.com/spreadsheets/d/1juPI-Fb8LD0YtltB2mlGEnp_R3UVu1t3wSFPzgCyHXE/edit?gid=0#gid=0"",""GERAL!A2:C""),3,0),""-"")"),"-")</f>
        <v>-</v>
      </c>
    </row>
    <row r="1469" ht="15.75" customHeight="1">
      <c r="A1469" s="111" t="s">
        <v>1785</v>
      </c>
      <c r="B1469" s="83" t="s">
        <v>1994</v>
      </c>
      <c r="C1469" s="83" t="s">
        <v>68</v>
      </c>
      <c r="D1469" s="112">
        <v>1103239.0</v>
      </c>
      <c r="E1469" s="83"/>
      <c r="F1469" s="83">
        <v>2.919113E7</v>
      </c>
      <c r="G1469" s="119" t="s">
        <v>8292</v>
      </c>
      <c r="H1469" s="91" t="s">
        <v>8293</v>
      </c>
      <c r="I1469" s="83" t="s">
        <v>8294</v>
      </c>
      <c r="J1469" s="83" t="s">
        <v>150</v>
      </c>
      <c r="K1469" s="83" t="s">
        <v>151</v>
      </c>
      <c r="L1469" s="83" t="s">
        <v>152</v>
      </c>
      <c r="M1469" s="82" t="str">
        <f>IFERROR(__xludf.DUMMYFUNCTION("IFERROR(VLOOKUP(D1469,
IMPORTRANGE(""https://docs.google.com/spreadsheets/d/1MjHtlUikwobi2MaWJgy7tfLeBmhj1u-dRFRs_8GwSoA/edit#gid=0"",""Gestores Escolares!D7:J""),3,0),""VERIFICAR CÓD SEC"")"),"SOANE NASCIMENTO LIMA")</f>
        <v>SOANE NASCIMENTO LIMA</v>
      </c>
      <c r="N1469" s="82" t="str">
        <f>IFERROR(__xludf.DUMMYFUNCTION("IFERROR(VLOOKUP(D1469,
IMPORTRANGE(""https://docs.google.com/spreadsheets/d/1MjHtlUikwobi2MaWJgy7tfLeBmhj1u-dRFRs_8GwSoA/edit#gid=0"",""Gestores Escolares!D7:J""),4,0),""VERIFICAR CÓD SEC"")"),"(71) 9 9936-3927")</f>
        <v>(71) 9 9936-3927</v>
      </c>
      <c r="O1469" s="82" t="str">
        <f>IFERROR(__xludf.DUMMYFUNCTION("IFERROR(VLOOKUP(D1469,
IMPORTRANGE(""https://docs.google.com/spreadsheets/d/1MjHtlUikwobi2MaWJgy7tfLeBmhj1u-dRFRs_8GwSoA/edit#gid=0"",""Gestores Escolares!D7:J""),6,0),""VERIFICAR CÓD SEC"")"),"GUSTAVO EMILIO DE JESUS CONDE")</f>
        <v>GUSTAVO EMILIO DE JESUS CONDE</v>
      </c>
      <c r="P1469" s="82" t="str">
        <f>IFERROR(__xludf.DUMMYFUNCTION("IFERROR(VLOOKUP(D1469,
IMPORTRANGE(""https://docs.google.com/spreadsheets/d/1MjHtlUikwobi2MaWJgy7tfLeBmhj1u-dRFRs_8GwSoA/edit#gid=0"",""Gestores Escolares!D7:J""),7,0),""VERIFICAR CÓD SEC"")"),"(71) 9 9991-0813")</f>
        <v>(71) 9 9991-0813</v>
      </c>
      <c r="Q1469" s="82" t="str">
        <f>IFERROR(__xludf.DUMMYFUNCTION("IFERROR(VLOOKUP(D1469,
IMPORTRANGE(""https://docs.google.com/spreadsheets/d/1MjHtlUikwobi2MaWJgy7tfLeBmhj1u-dRFRs_8GwSoA/edit#gid=0"",""Gestores Escolares!D7:m""),9,0),""VERIFICAR CÓD SEC"")"),"CLEONICE FERREIRA DA SILVA")</f>
        <v>CLEONICE FERREIRA DA SILVA</v>
      </c>
      <c r="R1469" s="82" t="str">
        <f>IFERROR(__xludf.DUMMYFUNCTION("IFERROR(VLOOKUP(D1469,
IMPORTRANGE(""https://docs.google.com/spreadsheets/d/1MjHtlUikwobi2MaWJgy7tfLeBmhj1u-dRFRs_8GwSoA/edit#gid=0"",""Gestores Escolares!D7:m""),10,0),""VERIFICAR CÓD SEC"")"),"(71) 9 9944-6879")</f>
        <v>(71) 9 9944-6879</v>
      </c>
      <c r="S1469" s="82"/>
      <c r="T1469" s="138">
        <v>14.0</v>
      </c>
      <c r="U1469" s="152">
        <v>14.0</v>
      </c>
      <c r="V1469" s="106">
        <v>0.0</v>
      </c>
      <c r="W1469" s="107">
        <v>0.0</v>
      </c>
      <c r="X1469" s="107">
        <v>0.0</v>
      </c>
      <c r="Y1469" s="107">
        <v>0.0</v>
      </c>
      <c r="Z1469" s="80">
        <f t="shared" si="1"/>
        <v>0</v>
      </c>
      <c r="AA1469" s="106">
        <v>206.0</v>
      </c>
      <c r="AB1469" s="107">
        <v>0.0</v>
      </c>
      <c r="AC1469" s="107">
        <v>0.0</v>
      </c>
      <c r="AD1469" s="107">
        <v>173.0</v>
      </c>
      <c r="AE1469" s="80">
        <f t="shared" si="2"/>
        <v>379</v>
      </c>
      <c r="AF1469" s="140">
        <v>0.0</v>
      </c>
      <c r="AG1469" s="109">
        <v>0.0</v>
      </c>
      <c r="AH1469" s="109">
        <v>0.0</v>
      </c>
      <c r="AI1469" s="141">
        <v>0.0</v>
      </c>
      <c r="AJ1469" s="80">
        <f t="shared" si="3"/>
        <v>0</v>
      </c>
      <c r="AK1469" s="140">
        <v>0.0</v>
      </c>
      <c r="AL1469" s="109">
        <v>32.0</v>
      </c>
      <c r="AM1469" s="141">
        <v>35.0</v>
      </c>
      <c r="AN1469" s="80">
        <f t="shared" si="4"/>
        <v>67</v>
      </c>
      <c r="AO1469" s="140">
        <v>0.0</v>
      </c>
      <c r="AP1469" s="109">
        <v>0.0</v>
      </c>
      <c r="AQ1469" s="109">
        <v>36.0</v>
      </c>
      <c r="AR1469" s="80">
        <f t="shared" si="5"/>
        <v>36</v>
      </c>
      <c r="AS1469" s="110">
        <v>0.0</v>
      </c>
      <c r="AT1469" s="110">
        <v>0.0</v>
      </c>
      <c r="AU1469" s="110">
        <v>22.0</v>
      </c>
      <c r="AV1469" s="142">
        <v>0.0</v>
      </c>
      <c r="AW1469" s="80">
        <f t="shared" si="6"/>
        <v>22</v>
      </c>
      <c r="AX1469" s="113">
        <f t="shared" si="7"/>
        <v>504</v>
      </c>
      <c r="AY1469" s="117">
        <f t="shared" si="8"/>
        <v>411</v>
      </c>
      <c r="AZ1469" s="120">
        <f t="shared" si="9"/>
        <v>93</v>
      </c>
      <c r="BA1469" s="115">
        <v>0.0</v>
      </c>
      <c r="BB1469" s="89">
        <f t="shared" si="10"/>
        <v>504</v>
      </c>
      <c r="BC1469" s="132" t="s">
        <v>178</v>
      </c>
      <c r="BD1469" s="132" t="s">
        <v>178</v>
      </c>
      <c r="BE1469" s="132" t="s">
        <v>178</v>
      </c>
      <c r="BF1469" s="123"/>
      <c r="BG1469" s="83">
        <v>1103239.0</v>
      </c>
      <c r="BH1469" s="98" t="s">
        <v>8295</v>
      </c>
      <c r="BI1469" s="112">
        <v>14.0</v>
      </c>
      <c r="BJ1469" s="98" t="s">
        <v>155</v>
      </c>
      <c r="BK1469" s="99">
        <f t="shared" si="11"/>
        <v>173</v>
      </c>
      <c r="BL1469" s="99">
        <f t="shared" si="12"/>
        <v>238</v>
      </c>
      <c r="BM1469" s="99" t="str">
        <f>IFERROR(__xludf.DUMMYFUNCTION("IFERROR(VLOOKUP(BG1469,IMPORTRANGE(""https://docs.google.com/spreadsheets/d/1juPI-Fb8LD0YtltB2mlGEnp_R3UVu1t3wSFPzgCyHXE/edit?gid=0#gid=0"",""GERAL!A2:C""),3,0),""-"")"),"-")</f>
        <v>-</v>
      </c>
    </row>
    <row r="1470" ht="15.75" customHeight="1">
      <c r="A1470" s="111" t="s">
        <v>1785</v>
      </c>
      <c r="B1470" s="83" t="s">
        <v>1994</v>
      </c>
      <c r="C1470" s="83" t="s">
        <v>68</v>
      </c>
      <c r="D1470" s="112">
        <v>1103212.0</v>
      </c>
      <c r="E1470" s="83"/>
      <c r="F1470" s="83">
        <v>2.9200075E7</v>
      </c>
      <c r="G1470" s="114" t="s">
        <v>8296</v>
      </c>
      <c r="H1470" s="91" t="s">
        <v>8297</v>
      </c>
      <c r="I1470" s="83" t="s">
        <v>8298</v>
      </c>
      <c r="J1470" s="83" t="s">
        <v>150</v>
      </c>
      <c r="K1470" s="83" t="s">
        <v>151</v>
      </c>
      <c r="L1470" s="83" t="s">
        <v>152</v>
      </c>
      <c r="M1470" s="82" t="str">
        <f>IFERROR(__xludf.DUMMYFUNCTION("IFERROR(VLOOKUP(D1470,
IMPORTRANGE(""https://docs.google.com/spreadsheets/d/1MjHtlUikwobi2MaWJgy7tfLeBmhj1u-dRFRs_8GwSoA/edit#gid=0"",""Gestores Escolares!D7:J""),3,0),""VERIFICAR CÓD SEC"")"),"ROSILENE FRANCA ARAUJO REIS")</f>
        <v>ROSILENE FRANCA ARAUJO REIS</v>
      </c>
      <c r="N1470" s="82" t="str">
        <f>IFERROR(__xludf.DUMMYFUNCTION("IFERROR(VLOOKUP(D1470,
IMPORTRANGE(""https://docs.google.com/spreadsheets/d/1MjHtlUikwobi2MaWJgy7tfLeBmhj1u-dRFRs_8GwSoA/edit#gid=0"",""Gestores Escolares!D7:J""),4,0),""VERIFICAR CÓD SEC"")"),"(71) 9 8629-3606")</f>
        <v>(71) 9 8629-3606</v>
      </c>
      <c r="O1470" s="82" t="str">
        <f>IFERROR(__xludf.DUMMYFUNCTION("IFERROR(VLOOKUP(D1470,
IMPORTRANGE(""https://docs.google.com/spreadsheets/d/1MjHtlUikwobi2MaWJgy7tfLeBmhj1u-dRFRs_8GwSoA/edit#gid=0"",""Gestores Escolares!D7:J""),6,0),""VERIFICAR CÓD SEC"")"),"ROBERVAL DE MOURA MONTEIRO")</f>
        <v>ROBERVAL DE MOURA MONTEIRO</v>
      </c>
      <c r="P1470" s="82" t="str">
        <f>IFERROR(__xludf.DUMMYFUNCTION("IFERROR(VLOOKUP(D1470,
IMPORTRANGE(""https://docs.google.com/spreadsheets/d/1MjHtlUikwobi2MaWJgy7tfLeBmhj1u-dRFRs_8GwSoA/edit#gid=0"",""Gestores Escolares!D7:J""),7,0),""VERIFICAR CÓD SEC"")"),"(71) 9 9244-9138/ 
9 8764-0081")</f>
        <v>(71) 9 9244-9138/ 
9 8764-0081</v>
      </c>
      <c r="Q1470" s="82" t="str">
        <f>IFERROR(__xludf.DUMMYFUNCTION("IFERROR(VLOOKUP(D1470,
IMPORTRANGE(""https://docs.google.com/spreadsheets/d/1MjHtlUikwobi2MaWJgy7tfLeBmhj1u-dRFRs_8GwSoA/edit#gid=0"",""Gestores Escolares!D7:m""),9,0),""VERIFICAR CÓD SEC"")"),"ELISANGELA SOBRAL DOS SANTOS")</f>
        <v>ELISANGELA SOBRAL DOS SANTOS</v>
      </c>
      <c r="R1470" s="82" t="str">
        <f>IFERROR(__xludf.DUMMYFUNCTION("IFERROR(VLOOKUP(D1470,
IMPORTRANGE(""https://docs.google.com/spreadsheets/d/1MjHtlUikwobi2MaWJgy7tfLeBmhj1u-dRFRs_8GwSoA/edit#gid=0"",""Gestores Escolares!D7:m""),10,0),""VERIFICAR CÓD SEC"")"),"(71) 9 9274-1357")</f>
        <v>(71) 9 9274-1357</v>
      </c>
      <c r="S1470" s="82"/>
      <c r="T1470" s="138">
        <v>13.0</v>
      </c>
      <c r="U1470" s="152">
        <v>12.0</v>
      </c>
      <c r="V1470" s="106">
        <v>0.0</v>
      </c>
      <c r="W1470" s="107">
        <v>0.0</v>
      </c>
      <c r="X1470" s="107">
        <v>0.0</v>
      </c>
      <c r="Y1470" s="107">
        <v>0.0</v>
      </c>
      <c r="Z1470" s="80">
        <f t="shared" si="1"/>
        <v>0</v>
      </c>
      <c r="AA1470" s="106">
        <v>434.0</v>
      </c>
      <c r="AB1470" s="107">
        <v>92.0</v>
      </c>
      <c r="AC1470" s="107">
        <v>0.0</v>
      </c>
      <c r="AD1470" s="107">
        <v>0.0</v>
      </c>
      <c r="AE1470" s="80">
        <f t="shared" si="2"/>
        <v>526</v>
      </c>
      <c r="AF1470" s="140">
        <v>0.0</v>
      </c>
      <c r="AG1470" s="109">
        <v>247.0</v>
      </c>
      <c r="AH1470" s="109">
        <v>0.0</v>
      </c>
      <c r="AI1470" s="141">
        <v>0.0</v>
      </c>
      <c r="AJ1470" s="80">
        <f t="shared" si="3"/>
        <v>247</v>
      </c>
      <c r="AK1470" s="140">
        <v>0.0</v>
      </c>
      <c r="AL1470" s="109">
        <v>0.0</v>
      </c>
      <c r="AM1470" s="141">
        <v>37.0</v>
      </c>
      <c r="AN1470" s="80">
        <f t="shared" si="4"/>
        <v>37</v>
      </c>
      <c r="AO1470" s="140">
        <v>0.0</v>
      </c>
      <c r="AP1470" s="109">
        <v>0.0</v>
      </c>
      <c r="AQ1470" s="109">
        <v>113.0</v>
      </c>
      <c r="AR1470" s="80">
        <f t="shared" si="5"/>
        <v>113</v>
      </c>
      <c r="AS1470" s="110">
        <v>0.0</v>
      </c>
      <c r="AT1470" s="110">
        <v>58.0</v>
      </c>
      <c r="AU1470" s="110">
        <v>90.0</v>
      </c>
      <c r="AV1470" s="142">
        <v>0.0</v>
      </c>
      <c r="AW1470" s="80">
        <f t="shared" si="6"/>
        <v>148</v>
      </c>
      <c r="AX1470" s="113">
        <f t="shared" si="7"/>
        <v>1071</v>
      </c>
      <c r="AY1470" s="117">
        <f t="shared" si="8"/>
        <v>831</v>
      </c>
      <c r="AZ1470" s="120">
        <f t="shared" si="9"/>
        <v>240</v>
      </c>
      <c r="BA1470" s="115">
        <v>0.0</v>
      </c>
      <c r="BB1470" s="89">
        <f t="shared" si="10"/>
        <v>1071</v>
      </c>
      <c r="BC1470" s="132" t="s">
        <v>178</v>
      </c>
      <c r="BD1470" s="132" t="s">
        <v>178</v>
      </c>
      <c r="BE1470" s="132" t="s">
        <v>178</v>
      </c>
      <c r="BF1470" s="123"/>
      <c r="BG1470" s="83">
        <v>1103212.0</v>
      </c>
      <c r="BH1470" s="98" t="s">
        <v>8299</v>
      </c>
      <c r="BI1470" s="112">
        <v>12.0</v>
      </c>
      <c r="BJ1470" s="98" t="s">
        <v>155</v>
      </c>
      <c r="BK1470" s="99">
        <f t="shared" si="11"/>
        <v>0</v>
      </c>
      <c r="BL1470" s="99">
        <f t="shared" si="12"/>
        <v>831</v>
      </c>
      <c r="BM1470" s="99" t="str">
        <f>IFERROR(__xludf.DUMMYFUNCTION("IFERROR(VLOOKUP(BG1470,IMPORTRANGE(""https://docs.google.com/spreadsheets/d/1juPI-Fb8LD0YtltB2mlGEnp_R3UVu1t3wSFPzgCyHXE/edit?gid=0#gid=0"",""GERAL!A2:C""),3,0),""-"")"),"-")</f>
        <v>-</v>
      </c>
    </row>
    <row r="1471" ht="15.75" customHeight="1">
      <c r="A1471" s="111" t="s">
        <v>1785</v>
      </c>
      <c r="B1471" s="83" t="s">
        <v>1994</v>
      </c>
      <c r="C1471" s="83" t="s">
        <v>68</v>
      </c>
      <c r="D1471" s="112">
        <v>1101520.0</v>
      </c>
      <c r="E1471" s="83"/>
      <c r="F1471" s="83">
        <v>2.918827E7</v>
      </c>
      <c r="G1471" s="114" t="s">
        <v>8305</v>
      </c>
      <c r="H1471" s="91" t="s">
        <v>8306</v>
      </c>
      <c r="I1471" s="83" t="s">
        <v>8307</v>
      </c>
      <c r="J1471" s="83" t="s">
        <v>150</v>
      </c>
      <c r="K1471" s="83" t="s">
        <v>151</v>
      </c>
      <c r="L1471" s="83" t="s">
        <v>152</v>
      </c>
      <c r="M1471" s="82" t="str">
        <f>IFERROR(__xludf.DUMMYFUNCTION("IFERROR(VLOOKUP(D1471,
IMPORTRANGE(""https://docs.google.com/spreadsheets/d/1MjHtlUikwobi2MaWJgy7tfLeBmhj1u-dRFRs_8GwSoA/edit#gid=0"",""Gestores Escolares!D7:J""),3,0),""VERIFICAR CÓD SEC"")"),"MIRIAN OLIVEIRA MACHADO")</f>
        <v>MIRIAN OLIVEIRA MACHADO</v>
      </c>
      <c r="N1471" s="82" t="str">
        <f>IFERROR(__xludf.DUMMYFUNCTION("IFERROR(VLOOKUP(D1471,
IMPORTRANGE(""https://docs.google.com/spreadsheets/d/1MjHtlUikwobi2MaWJgy7tfLeBmhj1u-dRFRs_8GwSoA/edit#gid=0"",""Gestores Escolares!D7:J""),4,0),""VERIFICAR CÓD SEC"")"),"(71) 9 8703-1017 9 9672-2166")</f>
        <v>(71) 9 8703-1017 9 9672-2166</v>
      </c>
      <c r="O1471" s="82" t="str">
        <f>IFERROR(__xludf.DUMMYFUNCTION("IFERROR(VLOOKUP(D1471,
IMPORTRANGE(""https://docs.google.com/spreadsheets/d/1MjHtlUikwobi2MaWJgy7tfLeBmhj1u-dRFRs_8GwSoA/edit#gid=0"",""Gestores Escolares!D7:J""),6,0),""VERIFICAR CÓD SEC"")"),"JORGE LUIZ MOTA PORTO")</f>
        <v>JORGE LUIZ MOTA PORTO</v>
      </c>
      <c r="P1471" s="82" t="str">
        <f>IFERROR(__xludf.DUMMYFUNCTION("IFERROR(VLOOKUP(D1471,
IMPORTRANGE(""https://docs.google.com/spreadsheets/d/1MjHtlUikwobi2MaWJgy7tfLeBmhj1u-dRFRs_8GwSoA/edit#gid=0"",""Gestores Escolares!D7:J""),7,0),""VERIFICAR CÓD SEC"")"),"(71) 9 9947-5983")</f>
        <v>(71) 9 9947-5983</v>
      </c>
      <c r="Q1471" s="82" t="str">
        <f>IFERROR(__xludf.DUMMYFUNCTION("IFERROR(VLOOKUP(D1471,
IMPORTRANGE(""https://docs.google.com/spreadsheets/d/1MjHtlUikwobi2MaWJgy7tfLeBmhj1u-dRFRs_8GwSoA/edit#gid=0"",""Gestores Escolares!D7:m""),9,0),""VERIFICAR CÓD SEC"")"),"ADILTON DO NASCIMENTO CARDOSO")</f>
        <v>ADILTON DO NASCIMENTO CARDOSO</v>
      </c>
      <c r="R1471" s="82" t="str">
        <f>IFERROR(__xludf.DUMMYFUNCTION("IFERROR(VLOOKUP(D1471,
IMPORTRANGE(""https://docs.google.com/spreadsheets/d/1MjHtlUikwobi2MaWJgy7tfLeBmhj1u-dRFRs_8GwSoA/edit#gid=0"",""Gestores Escolares!D7:m""),10,0),""VERIFICAR CÓD SEC"")"),"(71) 9 8723-2893")</f>
        <v>(71) 9 8723-2893</v>
      </c>
      <c r="S1471" s="82"/>
      <c r="T1471" s="138">
        <v>10.0</v>
      </c>
      <c r="U1471" s="152">
        <v>10.0</v>
      </c>
      <c r="V1471" s="106">
        <v>0.0</v>
      </c>
      <c r="W1471" s="107">
        <v>0.0</v>
      </c>
      <c r="X1471" s="107">
        <v>0.0</v>
      </c>
      <c r="Y1471" s="107">
        <v>0.0</v>
      </c>
      <c r="Z1471" s="80">
        <f t="shared" si="1"/>
        <v>0</v>
      </c>
      <c r="AA1471" s="106">
        <v>70.0</v>
      </c>
      <c r="AB1471" s="107">
        <v>316.0</v>
      </c>
      <c r="AC1471" s="107">
        <v>0.0</v>
      </c>
      <c r="AD1471" s="107">
        <v>0.0</v>
      </c>
      <c r="AE1471" s="80">
        <f t="shared" si="2"/>
        <v>386</v>
      </c>
      <c r="AF1471" s="140">
        <v>201.0</v>
      </c>
      <c r="AG1471" s="109">
        <v>0.0</v>
      </c>
      <c r="AH1471" s="109">
        <v>0.0</v>
      </c>
      <c r="AI1471" s="141">
        <v>0.0</v>
      </c>
      <c r="AJ1471" s="80">
        <f t="shared" si="3"/>
        <v>201</v>
      </c>
      <c r="AK1471" s="140">
        <v>0.0</v>
      </c>
      <c r="AL1471" s="109">
        <v>0.0</v>
      </c>
      <c r="AM1471" s="141">
        <v>32.0</v>
      </c>
      <c r="AN1471" s="80">
        <f t="shared" si="4"/>
        <v>32</v>
      </c>
      <c r="AO1471" s="140">
        <v>0.0</v>
      </c>
      <c r="AP1471" s="109">
        <v>0.0</v>
      </c>
      <c r="AQ1471" s="109">
        <v>70.0</v>
      </c>
      <c r="AR1471" s="80">
        <f t="shared" si="5"/>
        <v>70</v>
      </c>
      <c r="AS1471" s="110">
        <v>0.0</v>
      </c>
      <c r="AT1471" s="110">
        <v>0.0</v>
      </c>
      <c r="AU1471" s="110">
        <v>106.0</v>
      </c>
      <c r="AV1471" s="142">
        <v>0.0</v>
      </c>
      <c r="AW1471" s="80">
        <f t="shared" si="6"/>
        <v>106</v>
      </c>
      <c r="AX1471" s="113">
        <f t="shared" si="7"/>
        <v>795</v>
      </c>
      <c r="AY1471" s="117">
        <f t="shared" si="8"/>
        <v>587</v>
      </c>
      <c r="AZ1471" s="120">
        <f t="shared" si="9"/>
        <v>208</v>
      </c>
      <c r="BA1471" s="115">
        <v>1.0</v>
      </c>
      <c r="BB1471" s="89">
        <f t="shared" si="10"/>
        <v>796</v>
      </c>
      <c r="BC1471" s="132" t="s">
        <v>178</v>
      </c>
      <c r="BD1471" s="132" t="s">
        <v>178</v>
      </c>
      <c r="BE1471" s="132" t="s">
        <v>178</v>
      </c>
      <c r="BF1471" s="123"/>
      <c r="BG1471" s="83">
        <v>1101520.0</v>
      </c>
      <c r="BH1471" s="98" t="s">
        <v>8308</v>
      </c>
      <c r="BI1471" s="112">
        <v>10.0</v>
      </c>
      <c r="BJ1471" s="98" t="s">
        <v>155</v>
      </c>
      <c r="BK1471" s="99">
        <f t="shared" si="11"/>
        <v>0</v>
      </c>
      <c r="BL1471" s="99">
        <f t="shared" si="12"/>
        <v>587</v>
      </c>
      <c r="BM1471" s="99" t="str">
        <f>IFERROR(__xludf.DUMMYFUNCTION("IFERROR(VLOOKUP(BG1471,IMPORTRANGE(""https://docs.google.com/spreadsheets/d/1juPI-Fb8LD0YtltB2mlGEnp_R3UVu1t3wSFPzgCyHXE/edit?gid=0#gid=0"",""GERAL!A2:C""),3,0),""-"")"),"-")</f>
        <v>-</v>
      </c>
    </row>
    <row r="1472" ht="15.75" customHeight="1">
      <c r="A1472" s="111" t="s">
        <v>1785</v>
      </c>
      <c r="B1472" s="83" t="s">
        <v>1994</v>
      </c>
      <c r="C1472" s="83" t="s">
        <v>68</v>
      </c>
      <c r="D1472" s="112">
        <v>1103972.0</v>
      </c>
      <c r="E1472" s="83"/>
      <c r="F1472" s="83">
        <v>2.9191114E7</v>
      </c>
      <c r="G1472" s="119" t="s">
        <v>8311</v>
      </c>
      <c r="H1472" s="91" t="s">
        <v>8312</v>
      </c>
      <c r="I1472" s="83" t="s">
        <v>8313</v>
      </c>
      <c r="J1472" s="83" t="s">
        <v>150</v>
      </c>
      <c r="K1472" s="83" t="s">
        <v>151</v>
      </c>
      <c r="L1472" s="83" t="s">
        <v>152</v>
      </c>
      <c r="M1472" s="82" t="str">
        <f>IFERROR(__xludf.DUMMYFUNCTION("IFERROR(VLOOKUP(D1472,
IMPORTRANGE(""https://docs.google.com/spreadsheets/d/1MjHtlUikwobi2MaWJgy7tfLeBmhj1u-dRFRs_8GwSoA/edit#gid=0"",""Gestores Escolares!D7:J""),3,0),""VERIFICAR CÓD SEC"")"),"DORIS MONTEIRO RIBEIRO SOARES ")</f>
        <v>DORIS MONTEIRO RIBEIRO SOARES </v>
      </c>
      <c r="N1472" s="82" t="str">
        <f>IFERROR(__xludf.DUMMYFUNCTION("IFERROR(VLOOKUP(D1472,
IMPORTRANGE(""https://docs.google.com/spreadsheets/d/1MjHtlUikwobi2MaWJgy7tfLeBmhj1u-dRFRs_8GwSoA/edit#gid=0"",""Gestores Escolares!D7:J""),4,0),""VERIFICAR CÓD SEC"")"),"(71) 9 9235-0443")</f>
        <v>(71) 9 9235-0443</v>
      </c>
      <c r="O1472" s="82" t="str">
        <f>IFERROR(__xludf.DUMMYFUNCTION("IFERROR(VLOOKUP(D1472,
IMPORTRANGE(""https://docs.google.com/spreadsheets/d/1MjHtlUikwobi2MaWJgy7tfLeBmhj1u-dRFRs_8GwSoA/edit#gid=0"",""Gestores Escolares!D7:J""),6,0),""VERIFICAR CÓD SEC"")"),"NILDETE COSTA DA MATA")</f>
        <v>NILDETE COSTA DA MATA</v>
      </c>
      <c r="P1472" s="82" t="str">
        <f>IFERROR(__xludf.DUMMYFUNCTION("IFERROR(VLOOKUP(D1472,
IMPORTRANGE(""https://docs.google.com/spreadsheets/d/1MjHtlUikwobi2MaWJgy7tfLeBmhj1u-dRFRs_8GwSoA/edit#gid=0"",""Gestores Escolares!D7:J""),7,0),""VERIFICAR CÓD SEC"")"),"(71) 9 8899-3203 ")</f>
        <v>(71) 9 8899-3203 </v>
      </c>
      <c r="Q1472" s="82" t="str">
        <f>IFERROR(__xludf.DUMMYFUNCTION("IFERROR(VLOOKUP(D1472,
IMPORTRANGE(""https://docs.google.com/spreadsheets/d/1MjHtlUikwobi2MaWJgy7tfLeBmhj1u-dRFRs_8GwSoA/edit#gid=0"",""Gestores Escolares!D7:m""),9,0),""VERIFICAR CÓD SEC"")"),"RICARDO GEORGE SOUZA SANTANA")</f>
        <v>RICARDO GEORGE SOUZA SANTANA</v>
      </c>
      <c r="R1472" s="82" t="str">
        <f>IFERROR(__xludf.DUMMYFUNCTION("IFERROR(VLOOKUP(D1472,
IMPORTRANGE(""https://docs.google.com/spreadsheets/d/1MjHtlUikwobi2MaWJgy7tfLeBmhj1u-dRFRs_8GwSoA/edit#gid=0"",""Gestores Escolares!D7:m""),10,0),""VERIFICAR CÓD SEC"")"),"")</f>
        <v/>
      </c>
      <c r="S1472" s="82"/>
      <c r="T1472" s="138">
        <v>12.0</v>
      </c>
      <c r="U1472" s="152">
        <v>12.0</v>
      </c>
      <c r="V1472" s="106">
        <v>0.0</v>
      </c>
      <c r="W1472" s="107">
        <v>0.0</v>
      </c>
      <c r="X1472" s="107">
        <v>0.0</v>
      </c>
      <c r="Y1472" s="107">
        <v>0.0</v>
      </c>
      <c r="Z1472" s="80">
        <f t="shared" si="1"/>
        <v>0</v>
      </c>
      <c r="AA1472" s="106">
        <v>455.0</v>
      </c>
      <c r="AB1472" s="107">
        <v>446.0</v>
      </c>
      <c r="AC1472" s="107">
        <v>0.0</v>
      </c>
      <c r="AD1472" s="107">
        <v>0.0</v>
      </c>
      <c r="AE1472" s="80">
        <f t="shared" si="2"/>
        <v>901</v>
      </c>
      <c r="AF1472" s="140">
        <v>0.0</v>
      </c>
      <c r="AG1472" s="109">
        <v>0.0</v>
      </c>
      <c r="AH1472" s="109">
        <v>0.0</v>
      </c>
      <c r="AI1472" s="141">
        <v>0.0</v>
      </c>
      <c r="AJ1472" s="80">
        <f t="shared" si="3"/>
        <v>0</v>
      </c>
      <c r="AK1472" s="140">
        <v>0.0</v>
      </c>
      <c r="AL1472" s="109">
        <v>0.0</v>
      </c>
      <c r="AM1472" s="141">
        <v>50.0</v>
      </c>
      <c r="AN1472" s="80">
        <f t="shared" si="4"/>
        <v>50</v>
      </c>
      <c r="AO1472" s="140">
        <v>0.0</v>
      </c>
      <c r="AP1472" s="109">
        <v>0.0</v>
      </c>
      <c r="AQ1472" s="109">
        <v>34.0</v>
      </c>
      <c r="AR1472" s="80">
        <f t="shared" si="5"/>
        <v>34</v>
      </c>
      <c r="AS1472" s="110">
        <v>0.0</v>
      </c>
      <c r="AT1472" s="110">
        <v>0.0</v>
      </c>
      <c r="AU1472" s="110">
        <v>0.0</v>
      </c>
      <c r="AV1472" s="142">
        <v>0.0</v>
      </c>
      <c r="AW1472" s="80">
        <f t="shared" si="6"/>
        <v>0</v>
      </c>
      <c r="AX1472" s="113">
        <f t="shared" si="7"/>
        <v>985</v>
      </c>
      <c r="AY1472" s="117">
        <f t="shared" si="8"/>
        <v>901</v>
      </c>
      <c r="AZ1472" s="120">
        <f t="shared" si="9"/>
        <v>84</v>
      </c>
      <c r="BA1472" s="115">
        <v>4.0</v>
      </c>
      <c r="BB1472" s="89">
        <f t="shared" si="10"/>
        <v>989</v>
      </c>
      <c r="BC1472" s="132" t="s">
        <v>178</v>
      </c>
      <c r="BD1472" s="132" t="s">
        <v>178</v>
      </c>
      <c r="BE1472" s="132" t="s">
        <v>178</v>
      </c>
      <c r="BF1472" s="123"/>
      <c r="BG1472" s="83">
        <v>1103972.0</v>
      </c>
      <c r="BH1472" s="98" t="s">
        <v>8308</v>
      </c>
      <c r="BI1472" s="112">
        <v>12.0</v>
      </c>
      <c r="BJ1472" s="98" t="s">
        <v>155</v>
      </c>
      <c r="BK1472" s="99">
        <f t="shared" si="11"/>
        <v>0</v>
      </c>
      <c r="BL1472" s="99">
        <f t="shared" si="12"/>
        <v>901</v>
      </c>
      <c r="BM1472" s="99" t="str">
        <f>IFERROR(__xludf.DUMMYFUNCTION("IFERROR(VLOOKUP(BG1472,IMPORTRANGE(""https://docs.google.com/spreadsheets/d/1juPI-Fb8LD0YtltB2mlGEnp_R3UVu1t3wSFPzgCyHXE/edit?gid=0#gid=0"",""GERAL!A2:C""),3,0),""-"")"),"-")</f>
        <v>-</v>
      </c>
    </row>
    <row r="1473" ht="15.75" customHeight="1">
      <c r="A1473" s="111" t="s">
        <v>1785</v>
      </c>
      <c r="B1473" s="83" t="s">
        <v>1994</v>
      </c>
      <c r="C1473" s="83" t="s">
        <v>68</v>
      </c>
      <c r="D1473" s="112">
        <v>1103905.0</v>
      </c>
      <c r="E1473" s="83"/>
      <c r="F1473" s="83">
        <v>2.9182735E7</v>
      </c>
      <c r="G1473" s="114" t="s">
        <v>8321</v>
      </c>
      <c r="H1473" s="91" t="s">
        <v>8322</v>
      </c>
      <c r="I1473" s="193" t="s">
        <v>5746</v>
      </c>
      <c r="J1473" s="83" t="s">
        <v>150</v>
      </c>
      <c r="K1473" s="83" t="s">
        <v>151</v>
      </c>
      <c r="L1473" s="83" t="s">
        <v>230</v>
      </c>
      <c r="M1473" s="82" t="str">
        <f>IFERROR(__xludf.DUMMYFUNCTION("IFERROR(VLOOKUP(D1473,
IMPORTRANGE(""https://docs.google.com/spreadsheets/d/1MjHtlUikwobi2MaWJgy7tfLeBmhj1u-dRFRs_8GwSoA/edit#gid=0"",""Gestores Escolares!D7:J""),3,0),""VERIFICAR CÓD SEC"")"),"ANTONIO LAZARO PIMENTA DE ARAUJO")</f>
        <v>ANTONIO LAZARO PIMENTA DE ARAUJO</v>
      </c>
      <c r="N1473" s="82" t="str">
        <f>IFERROR(__xludf.DUMMYFUNCTION("IFERROR(VLOOKUP(D1473,
IMPORTRANGE(""https://docs.google.com/spreadsheets/d/1MjHtlUikwobi2MaWJgy7tfLeBmhj1u-dRFRs_8GwSoA/edit#gid=0"",""Gestores Escolares!D7:J""),4,0),""VERIFICAR CÓD SEC"")"),"(71) 9 9735-0674")</f>
        <v>(71) 9 9735-0674</v>
      </c>
      <c r="O1473" s="82" t="str">
        <f>IFERROR(__xludf.DUMMYFUNCTION("IFERROR(VLOOKUP(D1473,
IMPORTRANGE(""https://docs.google.com/spreadsheets/d/1MjHtlUikwobi2MaWJgy7tfLeBmhj1u-dRFRs_8GwSoA/edit#gid=0"",""Gestores Escolares!D7:J""),6,0),""VERIFICAR CÓD SEC"")"),"SÉRGIO BARBOSA CABRAL DE SOUZA")</f>
        <v>SÉRGIO BARBOSA CABRAL DE SOUZA</v>
      </c>
      <c r="P1473" s="82" t="str">
        <f>IFERROR(__xludf.DUMMYFUNCTION("IFERROR(VLOOKUP(D1473,
IMPORTRANGE(""https://docs.google.com/spreadsheets/d/1MjHtlUikwobi2MaWJgy7tfLeBmhj1u-dRFRs_8GwSoA/edit#gid=0"",""Gestores Escolares!D7:J""),7,0),""VERIFICAR CÓD SEC"")"),"(71) 9 9101-4408")</f>
        <v>(71) 9 9101-4408</v>
      </c>
      <c r="Q1473" s="82" t="str">
        <f>IFERROR(__xludf.DUMMYFUNCTION("IFERROR(VLOOKUP(D1473,
IMPORTRANGE(""https://docs.google.com/spreadsheets/d/1MjHtlUikwobi2MaWJgy7tfLeBmhj1u-dRFRs_8GwSoA/edit#gid=0"",""Gestores Escolares!D7:m""),9,0),""VERIFICAR CÓD SEC"")"),"MARIA ANITA DOS REIS")</f>
        <v>MARIA ANITA DOS REIS</v>
      </c>
      <c r="R1473" s="82" t="str">
        <f>IFERROR(__xludf.DUMMYFUNCTION("IFERROR(VLOOKUP(D1473,
IMPORTRANGE(""https://docs.google.com/spreadsheets/d/1MjHtlUikwobi2MaWJgy7tfLeBmhj1u-dRFRs_8GwSoA/edit#gid=0"",""Gestores Escolares!D7:m""),10,0),""VERIFICAR CÓD SEC"")"),"(71) 9 9259-6999
")</f>
        <v>(71) 9 9259-6999
</v>
      </c>
      <c r="S1473" s="82"/>
      <c r="T1473" s="138">
        <v>18.0</v>
      </c>
      <c r="U1473" s="152">
        <v>15.0</v>
      </c>
      <c r="V1473" s="106">
        <v>0.0</v>
      </c>
      <c r="W1473" s="107">
        <v>0.0</v>
      </c>
      <c r="X1473" s="107">
        <v>0.0</v>
      </c>
      <c r="Y1473" s="107">
        <v>0.0</v>
      </c>
      <c r="Z1473" s="80">
        <f t="shared" si="1"/>
        <v>0</v>
      </c>
      <c r="AA1473" s="106">
        <v>0.0</v>
      </c>
      <c r="AB1473" s="107">
        <v>104.0</v>
      </c>
      <c r="AC1473" s="107">
        <v>0.0</v>
      </c>
      <c r="AD1473" s="107">
        <v>221.0</v>
      </c>
      <c r="AE1473" s="80">
        <f t="shared" si="2"/>
        <v>325</v>
      </c>
      <c r="AF1473" s="140">
        <v>139.0</v>
      </c>
      <c r="AG1473" s="109">
        <v>0.0</v>
      </c>
      <c r="AH1473" s="109">
        <v>0.0</v>
      </c>
      <c r="AI1473" s="141">
        <v>0.0</v>
      </c>
      <c r="AJ1473" s="80">
        <f t="shared" si="3"/>
        <v>139</v>
      </c>
      <c r="AK1473" s="140">
        <v>0.0</v>
      </c>
      <c r="AL1473" s="109">
        <v>0.0</v>
      </c>
      <c r="AM1473" s="141">
        <v>0.0</v>
      </c>
      <c r="AN1473" s="80">
        <f t="shared" si="4"/>
        <v>0</v>
      </c>
      <c r="AO1473" s="140">
        <v>0.0</v>
      </c>
      <c r="AP1473" s="109">
        <v>0.0</v>
      </c>
      <c r="AQ1473" s="109">
        <v>86.0</v>
      </c>
      <c r="AR1473" s="80">
        <f t="shared" si="5"/>
        <v>86</v>
      </c>
      <c r="AS1473" s="110">
        <v>64.0</v>
      </c>
      <c r="AT1473" s="110">
        <v>0.0</v>
      </c>
      <c r="AU1473" s="110">
        <v>206.0</v>
      </c>
      <c r="AV1473" s="142">
        <v>0.0</v>
      </c>
      <c r="AW1473" s="80">
        <f t="shared" si="6"/>
        <v>270</v>
      </c>
      <c r="AX1473" s="113">
        <f t="shared" si="7"/>
        <v>820</v>
      </c>
      <c r="AY1473" s="117">
        <f t="shared" si="8"/>
        <v>528</v>
      </c>
      <c r="AZ1473" s="120">
        <f t="shared" si="9"/>
        <v>292</v>
      </c>
      <c r="BA1473" s="115">
        <v>27.0</v>
      </c>
      <c r="BB1473" s="89">
        <f t="shared" si="10"/>
        <v>847</v>
      </c>
      <c r="BC1473" s="132" t="s">
        <v>178</v>
      </c>
      <c r="BD1473" s="132" t="s">
        <v>178</v>
      </c>
      <c r="BE1473" s="132" t="s">
        <v>178</v>
      </c>
      <c r="BF1473" s="123"/>
      <c r="BG1473" s="83">
        <v>1103905.0</v>
      </c>
      <c r="BH1473" s="98" t="s">
        <v>8323</v>
      </c>
      <c r="BI1473" s="112">
        <v>15.0</v>
      </c>
      <c r="BJ1473" s="98" t="s">
        <v>155</v>
      </c>
      <c r="BK1473" s="99">
        <f t="shared" si="11"/>
        <v>221</v>
      </c>
      <c r="BL1473" s="99">
        <f t="shared" si="12"/>
        <v>307</v>
      </c>
      <c r="BM1473" s="99" t="str">
        <f>IFERROR(__xludf.DUMMYFUNCTION("IFERROR(VLOOKUP(BG1473,IMPORTRANGE(""https://docs.google.com/spreadsheets/d/1juPI-Fb8LD0YtltB2mlGEnp_R3UVu1t3wSFPzgCyHXE/edit?gid=0#gid=0"",""GERAL!A2:C""),3,0),""-"")"),"-")</f>
        <v>-</v>
      </c>
    </row>
    <row r="1474" ht="15.75" customHeight="1">
      <c r="A1474" s="111" t="s">
        <v>1785</v>
      </c>
      <c r="B1474" s="83" t="s">
        <v>1994</v>
      </c>
      <c r="C1474" s="83" t="s">
        <v>68</v>
      </c>
      <c r="D1474" s="112">
        <v>1176210.0</v>
      </c>
      <c r="E1474" s="83"/>
      <c r="F1474" s="83">
        <v>2.936096E7</v>
      </c>
      <c r="G1474" s="114" t="s">
        <v>8325</v>
      </c>
      <c r="H1474" s="91" t="s">
        <v>8326</v>
      </c>
      <c r="I1474" s="83" t="s">
        <v>8327</v>
      </c>
      <c r="J1474" s="83" t="s">
        <v>150</v>
      </c>
      <c r="K1474" s="83" t="s">
        <v>5791</v>
      </c>
      <c r="L1474" s="83" t="s">
        <v>76</v>
      </c>
      <c r="M1474" s="82" t="str">
        <f>IFERROR(__xludf.DUMMYFUNCTION("IFERROR(VLOOKUP(D1474,
IMPORTRANGE(""https://docs.google.com/spreadsheets/d/1MjHtlUikwobi2MaWJgy7tfLeBmhj1u-dRFRs_8GwSoA/edit#gid=0"",""Gestores Escolares!D7:J""),3,0),""VERIFICAR CÓD SEC"")"),"ANA PAULA BITTENCOURT DA PAIXAO")</f>
        <v>ANA PAULA BITTENCOURT DA PAIXAO</v>
      </c>
      <c r="N1474" s="82" t="str">
        <f>IFERROR(__xludf.DUMMYFUNCTION("IFERROR(VLOOKUP(D1474,
IMPORTRANGE(""https://docs.google.com/spreadsheets/d/1MjHtlUikwobi2MaWJgy7tfLeBmhj1u-dRFRs_8GwSoA/edit#gid=0"",""Gestores Escolares!D7:J""),4,0),""VERIFICAR CÓD SEC"")"),"(71) 9 8163-6123")</f>
        <v>(71) 9 8163-6123</v>
      </c>
      <c r="O1474" s="82" t="str">
        <f>IFERROR(__xludf.DUMMYFUNCTION("IFERROR(VLOOKUP(D1474,
IMPORTRANGE(""https://docs.google.com/spreadsheets/d/1MjHtlUikwobi2MaWJgy7tfLeBmhj1u-dRFRs_8GwSoA/edit#gid=0"",""Gestores Escolares!D7:J""),6,0),""VERIFICAR CÓD SEC"")"),"MARIA CRISTINA REIS ARAUJO")</f>
        <v>MARIA CRISTINA REIS ARAUJO</v>
      </c>
      <c r="P1474" s="82" t="str">
        <f>IFERROR(__xludf.DUMMYFUNCTION("IFERROR(VLOOKUP(D1474,
IMPORTRANGE(""https://docs.google.com/spreadsheets/d/1MjHtlUikwobi2MaWJgy7tfLeBmhj1u-dRFRs_8GwSoA/edit#gid=0"",""Gestores Escolares!D7:J""),7,0),""VERIFICAR CÓD SEC"")"),"(71) 9 8868-4242")</f>
        <v>(71) 9 8868-4242</v>
      </c>
      <c r="Q1474" s="82" t="str">
        <f>IFERROR(__xludf.DUMMYFUNCTION("IFERROR(VLOOKUP(D1474,
IMPORTRANGE(""https://docs.google.com/spreadsheets/d/1MjHtlUikwobi2MaWJgy7tfLeBmhj1u-dRFRs_8GwSoA/edit#gid=0"",""Gestores Escolares!D7:m""),9,0),""VERIFICAR CÓD SEC"")"),"")</f>
        <v/>
      </c>
      <c r="R1474" s="82" t="str">
        <f>IFERROR(__xludf.DUMMYFUNCTION("IFERROR(VLOOKUP(D1474,
IMPORTRANGE(""https://docs.google.com/spreadsheets/d/1MjHtlUikwobi2MaWJgy7tfLeBmhj1u-dRFRs_8GwSoA/edit#gid=0"",""Gestores Escolares!D7:m""),10,0),""VERIFICAR CÓD SEC"")"),"")</f>
        <v/>
      </c>
      <c r="S1474" s="82"/>
      <c r="T1474" s="138">
        <v>18.0</v>
      </c>
      <c r="U1474" s="152">
        <v>16.0</v>
      </c>
      <c r="V1474" s="106">
        <v>0.0</v>
      </c>
      <c r="W1474" s="107">
        <v>0.0</v>
      </c>
      <c r="X1474" s="107">
        <v>0.0</v>
      </c>
      <c r="Y1474" s="107">
        <v>0.0</v>
      </c>
      <c r="Z1474" s="80">
        <f t="shared" si="1"/>
        <v>0</v>
      </c>
      <c r="AA1474" s="106">
        <v>0.0</v>
      </c>
      <c r="AB1474" s="107">
        <v>0.0</v>
      </c>
      <c r="AC1474" s="107">
        <v>0.0</v>
      </c>
      <c r="AD1474" s="107">
        <v>0.0</v>
      </c>
      <c r="AE1474" s="80">
        <f t="shared" si="2"/>
        <v>0</v>
      </c>
      <c r="AF1474" s="140">
        <v>0.0</v>
      </c>
      <c r="AG1474" s="109">
        <v>0.0</v>
      </c>
      <c r="AH1474" s="109">
        <v>0.0</v>
      </c>
      <c r="AI1474" s="141">
        <v>0.0</v>
      </c>
      <c r="AJ1474" s="80">
        <f t="shared" si="3"/>
        <v>0</v>
      </c>
      <c r="AK1474" s="140">
        <v>0.0</v>
      </c>
      <c r="AL1474" s="109">
        <v>0.0</v>
      </c>
      <c r="AM1474" s="141">
        <v>0.0</v>
      </c>
      <c r="AN1474" s="80">
        <f t="shared" si="4"/>
        <v>0</v>
      </c>
      <c r="AO1474" s="140">
        <v>0.0</v>
      </c>
      <c r="AP1474" s="109">
        <v>0.0</v>
      </c>
      <c r="AQ1474" s="109">
        <v>0.0</v>
      </c>
      <c r="AR1474" s="80">
        <f t="shared" si="5"/>
        <v>0</v>
      </c>
      <c r="AS1474" s="110">
        <v>66.0</v>
      </c>
      <c r="AT1474" s="110">
        <v>27.0</v>
      </c>
      <c r="AU1474" s="110">
        <v>163.0</v>
      </c>
      <c r="AV1474" s="142">
        <v>0.0</v>
      </c>
      <c r="AW1474" s="80">
        <f t="shared" si="6"/>
        <v>256</v>
      </c>
      <c r="AX1474" s="113">
        <f t="shared" si="7"/>
        <v>256</v>
      </c>
      <c r="AY1474" s="117">
        <f t="shared" si="8"/>
        <v>93</v>
      </c>
      <c r="AZ1474" s="120">
        <f t="shared" si="9"/>
        <v>163</v>
      </c>
      <c r="BA1474" s="115">
        <v>0.0</v>
      </c>
      <c r="BB1474" s="89">
        <f t="shared" si="10"/>
        <v>256</v>
      </c>
      <c r="BC1474" s="132" t="s">
        <v>178</v>
      </c>
      <c r="BD1474" s="132" t="s">
        <v>178</v>
      </c>
      <c r="BE1474" s="132" t="s">
        <v>178</v>
      </c>
      <c r="BF1474" s="156"/>
      <c r="BG1474" s="83">
        <v>1176210.0</v>
      </c>
      <c r="BH1474" s="98" t="s">
        <v>8331</v>
      </c>
      <c r="BI1474" s="112">
        <v>16.0</v>
      </c>
      <c r="BJ1474" s="98" t="s">
        <v>155</v>
      </c>
      <c r="BK1474" s="99">
        <f t="shared" si="11"/>
        <v>0</v>
      </c>
      <c r="BL1474" s="99">
        <f t="shared" si="12"/>
        <v>93</v>
      </c>
      <c r="BM1474" s="99" t="str">
        <f>IFERROR(__xludf.DUMMYFUNCTION("IFERROR(VLOOKUP(BG1474,IMPORTRANGE(""https://docs.google.com/spreadsheets/d/1juPI-Fb8LD0YtltB2mlGEnp_R3UVu1t3wSFPzgCyHXE/edit?gid=0#gid=0"",""GERAL!A2:C""),3,0),""-"")"),"-")</f>
        <v>-</v>
      </c>
    </row>
    <row r="1475" ht="15.75" customHeight="1">
      <c r="A1475" s="111" t="s">
        <v>1785</v>
      </c>
      <c r="B1475" s="83" t="s">
        <v>1994</v>
      </c>
      <c r="C1475" s="83" t="s">
        <v>68</v>
      </c>
      <c r="D1475" s="112">
        <v>1103344.0</v>
      </c>
      <c r="E1475" s="83"/>
      <c r="F1475" s="83">
        <v>2.9200024E7</v>
      </c>
      <c r="G1475" s="114" t="s">
        <v>8336</v>
      </c>
      <c r="H1475" s="91" t="s">
        <v>8337</v>
      </c>
      <c r="I1475" s="172" t="s">
        <v>3098</v>
      </c>
      <c r="J1475" s="83" t="s">
        <v>150</v>
      </c>
      <c r="K1475" s="83" t="s">
        <v>151</v>
      </c>
      <c r="L1475" s="83" t="s">
        <v>230</v>
      </c>
      <c r="M1475" s="82" t="str">
        <f>IFERROR(__xludf.DUMMYFUNCTION("IFERROR(VLOOKUP(D1475,
IMPORTRANGE(""https://docs.google.com/spreadsheets/d/1MjHtlUikwobi2MaWJgy7tfLeBmhj1u-dRFRs_8GwSoA/edit#gid=0"",""Gestores Escolares!D7:J""),3,0),""VERIFICAR CÓD SEC"")"),"ANA CARINE ARAUJO DOS SANTOS MORAIS")</f>
        <v>ANA CARINE ARAUJO DOS SANTOS MORAIS</v>
      </c>
      <c r="N1475" s="82" t="str">
        <f>IFERROR(__xludf.DUMMYFUNCTION("IFERROR(VLOOKUP(D1475,
IMPORTRANGE(""https://docs.google.com/spreadsheets/d/1MjHtlUikwobi2MaWJgy7tfLeBmhj1u-dRFRs_8GwSoA/edit#gid=0"",""Gestores Escolares!D7:J""),4,0),""VERIFICAR CÓD SEC"")"),"(71) 9 9365-3266")</f>
        <v>(71) 9 9365-3266</v>
      </c>
      <c r="O1475" s="82" t="str">
        <f>IFERROR(__xludf.DUMMYFUNCTION("IFERROR(VLOOKUP(D1475,
IMPORTRANGE(""https://docs.google.com/spreadsheets/d/1MjHtlUikwobi2MaWJgy7tfLeBmhj1u-dRFRs_8GwSoA/edit#gid=0"",""Gestores Escolares!D7:J""),6,0),""VERIFICAR CÓD SEC"")"),"VIVALDO MARCOS NASCIMENTO DOS SANTOS")</f>
        <v>VIVALDO MARCOS NASCIMENTO DOS SANTOS</v>
      </c>
      <c r="P1475" s="82" t="str">
        <f>IFERROR(__xludf.DUMMYFUNCTION("IFERROR(VLOOKUP(D1475,
IMPORTRANGE(""https://docs.google.com/spreadsheets/d/1MjHtlUikwobi2MaWJgy7tfLeBmhj1u-dRFRs_8GwSoA/edit#gid=0"",""Gestores Escolares!D7:J""),7,0),""VERIFICAR CÓD SEC"")"),"(71) 9 9191-6359")</f>
        <v>(71) 9 9191-6359</v>
      </c>
      <c r="Q1475" s="82" t="str">
        <f>IFERROR(__xludf.DUMMYFUNCTION("IFERROR(VLOOKUP(D1475,
IMPORTRANGE(""https://docs.google.com/spreadsheets/d/1MjHtlUikwobi2MaWJgy7tfLeBmhj1u-dRFRs_8GwSoA/edit#gid=0"",""Gestores Escolares!D7:m""),9,0),""VERIFICAR CÓD SEC"")")," IVANILDES OLIVEIRA BATISTA")</f>
        <v> IVANILDES OLIVEIRA BATISTA</v>
      </c>
      <c r="R1475" s="82" t="str">
        <f>IFERROR(__xludf.DUMMYFUNCTION("IFERROR(VLOOKUP(D1475,
IMPORTRANGE(""https://docs.google.com/spreadsheets/d/1MjHtlUikwobi2MaWJgy7tfLeBmhj1u-dRFRs_8GwSoA/edit#gid=0"",""Gestores Escolares!D7:m""),10,0),""VERIFICAR CÓD SEC"")"),"(71) 9 9270-8717")</f>
        <v>(71) 9 9270-8717</v>
      </c>
      <c r="S1475" s="82"/>
      <c r="T1475" s="138">
        <v>24.0</v>
      </c>
      <c r="U1475" s="152">
        <v>22.0</v>
      </c>
      <c r="V1475" s="106">
        <v>0.0</v>
      </c>
      <c r="W1475" s="107">
        <v>0.0</v>
      </c>
      <c r="X1475" s="107">
        <v>0.0</v>
      </c>
      <c r="Y1475" s="107">
        <v>0.0</v>
      </c>
      <c r="Z1475" s="80">
        <f t="shared" si="1"/>
        <v>0</v>
      </c>
      <c r="AA1475" s="106">
        <v>308.0</v>
      </c>
      <c r="AB1475" s="107">
        <v>269.0</v>
      </c>
      <c r="AC1475" s="107">
        <v>0.0</v>
      </c>
      <c r="AD1475" s="107">
        <v>0.0</v>
      </c>
      <c r="AE1475" s="80">
        <f t="shared" si="2"/>
        <v>577</v>
      </c>
      <c r="AF1475" s="140">
        <v>336.0</v>
      </c>
      <c r="AG1475" s="109">
        <v>202.0</v>
      </c>
      <c r="AH1475" s="109">
        <v>0.0</v>
      </c>
      <c r="AI1475" s="141">
        <v>0.0</v>
      </c>
      <c r="AJ1475" s="80">
        <f t="shared" si="3"/>
        <v>538</v>
      </c>
      <c r="AK1475" s="140">
        <v>0.0</v>
      </c>
      <c r="AL1475" s="109">
        <v>0.0</v>
      </c>
      <c r="AM1475" s="141">
        <v>0.0</v>
      </c>
      <c r="AN1475" s="80">
        <f t="shared" si="4"/>
        <v>0</v>
      </c>
      <c r="AO1475" s="140">
        <v>0.0</v>
      </c>
      <c r="AP1475" s="109">
        <v>0.0</v>
      </c>
      <c r="AQ1475" s="109">
        <v>225.0</v>
      </c>
      <c r="AR1475" s="80">
        <f t="shared" si="5"/>
        <v>225</v>
      </c>
      <c r="AS1475" s="110">
        <v>0.0</v>
      </c>
      <c r="AT1475" s="110">
        <v>0.0</v>
      </c>
      <c r="AU1475" s="110">
        <v>0.0</v>
      </c>
      <c r="AV1475" s="142">
        <v>0.0</v>
      </c>
      <c r="AW1475" s="80">
        <f t="shared" si="6"/>
        <v>0</v>
      </c>
      <c r="AX1475" s="113">
        <f t="shared" si="7"/>
        <v>1340</v>
      </c>
      <c r="AY1475" s="117">
        <f t="shared" si="8"/>
        <v>1115</v>
      </c>
      <c r="AZ1475" s="120">
        <f t="shared" si="9"/>
        <v>225</v>
      </c>
      <c r="BA1475" s="115">
        <v>0.0</v>
      </c>
      <c r="BB1475" s="89">
        <f t="shared" si="10"/>
        <v>1340</v>
      </c>
      <c r="BC1475" s="132" t="s">
        <v>178</v>
      </c>
      <c r="BD1475" s="132" t="s">
        <v>178</v>
      </c>
      <c r="BE1475" s="132" t="s">
        <v>178</v>
      </c>
      <c r="BF1475" s="123"/>
      <c r="BG1475" s="83">
        <v>1103344.0</v>
      </c>
      <c r="BH1475" s="98" t="s">
        <v>8338</v>
      </c>
      <c r="BI1475" s="112">
        <v>22.0</v>
      </c>
      <c r="BJ1475" s="98" t="s">
        <v>155</v>
      </c>
      <c r="BK1475" s="99">
        <f t="shared" si="11"/>
        <v>0</v>
      </c>
      <c r="BL1475" s="99">
        <f t="shared" si="12"/>
        <v>1115</v>
      </c>
      <c r="BM1475" s="99" t="str">
        <f>IFERROR(__xludf.DUMMYFUNCTION("IFERROR(VLOOKUP(BG1475,IMPORTRANGE(""https://docs.google.com/spreadsheets/d/1juPI-Fb8LD0YtltB2mlGEnp_R3UVu1t3wSFPzgCyHXE/edit?gid=0#gid=0"",""GERAL!A2:C""),3,0),""-"")"),"-")</f>
        <v>-</v>
      </c>
    </row>
    <row r="1476" ht="15.75" customHeight="1">
      <c r="A1476" s="111" t="s">
        <v>1785</v>
      </c>
      <c r="B1476" s="83" t="s">
        <v>1994</v>
      </c>
      <c r="C1476" s="83" t="s">
        <v>68</v>
      </c>
      <c r="D1476" s="112">
        <v>1103301.0</v>
      </c>
      <c r="E1476" s="83"/>
      <c r="F1476" s="83">
        <v>2.9185173E7</v>
      </c>
      <c r="G1476" s="114" t="s">
        <v>8341</v>
      </c>
      <c r="H1476" s="91" t="s">
        <v>8342</v>
      </c>
      <c r="I1476" s="83" t="s">
        <v>8343</v>
      </c>
      <c r="J1476" s="83" t="s">
        <v>150</v>
      </c>
      <c r="K1476" s="83" t="s">
        <v>151</v>
      </c>
      <c r="L1476" s="83" t="s">
        <v>152</v>
      </c>
      <c r="M1476" s="82" t="str">
        <f>IFERROR(__xludf.DUMMYFUNCTION("IFERROR(VLOOKUP(D1476,
IMPORTRANGE(""https://docs.google.com/spreadsheets/d/1MjHtlUikwobi2MaWJgy7tfLeBmhj1u-dRFRs_8GwSoA/edit#gid=0"",""Gestores Escolares!D7:J""),3,0),""VERIFICAR CÓD SEC"")"),"TATIANA FRANCA SOUZA")</f>
        <v>TATIANA FRANCA SOUZA</v>
      </c>
      <c r="N1476" s="82" t="str">
        <f>IFERROR(__xludf.DUMMYFUNCTION("IFERROR(VLOOKUP(D1476,
IMPORTRANGE(""https://docs.google.com/spreadsheets/d/1MjHtlUikwobi2MaWJgy7tfLeBmhj1u-dRFRs_8GwSoA/edit#gid=0"",""Gestores Escolares!D7:J""),4,0),""VERIFICAR CÓD SEC"")"),"(71) 9 9281-0494")</f>
        <v>(71) 9 9281-0494</v>
      </c>
      <c r="O1476" s="82" t="str">
        <f>IFERROR(__xludf.DUMMYFUNCTION("IFERROR(VLOOKUP(D1476,
IMPORTRANGE(""https://docs.google.com/spreadsheets/d/1MjHtlUikwobi2MaWJgy7tfLeBmhj1u-dRFRs_8GwSoA/edit#gid=0"",""Gestores Escolares!D7:J""),6,0),""VERIFICAR CÓD SEC"")"),"DEMOSTENES SOARES JUNIOR")</f>
        <v>DEMOSTENES SOARES JUNIOR</v>
      </c>
      <c r="P1476" s="82" t="str">
        <f>IFERROR(__xludf.DUMMYFUNCTION("IFERROR(VLOOKUP(D1476,
IMPORTRANGE(""https://docs.google.com/spreadsheets/d/1MjHtlUikwobi2MaWJgy7tfLeBmhj1u-dRFRs_8GwSoA/edit#gid=0"",""Gestores Escolares!D7:J""),7,0),""VERIFICAR CÓD SEC"")"),"(71) 9 8273-7320")</f>
        <v>(71) 9 8273-7320</v>
      </c>
      <c r="Q1476" s="82" t="str">
        <f>IFERROR(__xludf.DUMMYFUNCTION("IFERROR(VLOOKUP(D1476,
IMPORTRANGE(""https://docs.google.com/spreadsheets/d/1MjHtlUikwobi2MaWJgy7tfLeBmhj1u-dRFRs_8GwSoA/edit#gid=0"",""Gestores Escolares!D7:m""),9,0),""VERIFICAR CÓD SEC"")"),"JOSINALDO PINTO DE SOUZA")</f>
        <v>JOSINALDO PINTO DE SOUZA</v>
      </c>
      <c r="R1476" s="82" t="str">
        <f>IFERROR(__xludf.DUMMYFUNCTION("IFERROR(VLOOKUP(D1476,
IMPORTRANGE(""https://docs.google.com/spreadsheets/d/1MjHtlUikwobi2MaWJgy7tfLeBmhj1u-dRFRs_8GwSoA/edit#gid=0"",""Gestores Escolares!D7:m""),10,0),""VERIFICAR CÓD SEC"")"),"(71) 9 9129-4455")</f>
        <v>(71) 9 9129-4455</v>
      </c>
      <c r="S1476" s="82"/>
      <c r="T1476" s="138">
        <v>11.0</v>
      </c>
      <c r="U1476" s="152">
        <v>11.0</v>
      </c>
      <c r="V1476" s="106">
        <v>0.0</v>
      </c>
      <c r="W1476" s="107">
        <v>0.0</v>
      </c>
      <c r="X1476" s="107">
        <v>0.0</v>
      </c>
      <c r="Y1476" s="107">
        <v>0.0</v>
      </c>
      <c r="Z1476" s="80">
        <f t="shared" si="1"/>
        <v>0</v>
      </c>
      <c r="AA1476" s="106">
        <v>0.0</v>
      </c>
      <c r="AB1476" s="107">
        <v>103.0</v>
      </c>
      <c r="AC1476" s="107">
        <v>0.0</v>
      </c>
      <c r="AD1476" s="107">
        <v>0.0</v>
      </c>
      <c r="AE1476" s="80">
        <f t="shared" si="2"/>
        <v>103</v>
      </c>
      <c r="AF1476" s="140">
        <v>255.0</v>
      </c>
      <c r="AG1476" s="109">
        <v>28.0</v>
      </c>
      <c r="AH1476" s="109">
        <v>0.0</v>
      </c>
      <c r="AI1476" s="141">
        <v>9.0</v>
      </c>
      <c r="AJ1476" s="80">
        <f t="shared" si="3"/>
        <v>292</v>
      </c>
      <c r="AK1476" s="140">
        <v>0.0</v>
      </c>
      <c r="AL1476" s="109">
        <v>0.0</v>
      </c>
      <c r="AM1476" s="141">
        <v>0.0</v>
      </c>
      <c r="AN1476" s="80">
        <f t="shared" si="4"/>
        <v>0</v>
      </c>
      <c r="AO1476" s="140">
        <v>0.0</v>
      </c>
      <c r="AP1476" s="109">
        <v>0.0</v>
      </c>
      <c r="AQ1476" s="109">
        <v>105.0</v>
      </c>
      <c r="AR1476" s="80">
        <f t="shared" si="5"/>
        <v>105</v>
      </c>
      <c r="AS1476" s="110">
        <v>0.0</v>
      </c>
      <c r="AT1476" s="110">
        <v>0.0</v>
      </c>
      <c r="AU1476" s="110">
        <v>0.0</v>
      </c>
      <c r="AV1476" s="142">
        <v>0.0</v>
      </c>
      <c r="AW1476" s="80">
        <f t="shared" si="6"/>
        <v>0</v>
      </c>
      <c r="AX1476" s="113">
        <f t="shared" si="7"/>
        <v>500</v>
      </c>
      <c r="AY1476" s="117">
        <f t="shared" si="8"/>
        <v>395</v>
      </c>
      <c r="AZ1476" s="120">
        <f t="shared" si="9"/>
        <v>105</v>
      </c>
      <c r="BA1476" s="115">
        <v>0.0</v>
      </c>
      <c r="BB1476" s="89">
        <f t="shared" si="10"/>
        <v>500</v>
      </c>
      <c r="BC1476" s="132" t="s">
        <v>178</v>
      </c>
      <c r="BD1476" s="132" t="s">
        <v>178</v>
      </c>
      <c r="BE1476" s="132" t="s">
        <v>178</v>
      </c>
      <c r="BF1476" s="123"/>
      <c r="BG1476" s="83">
        <v>1103301.0</v>
      </c>
      <c r="BH1476" s="98" t="s">
        <v>8344</v>
      </c>
      <c r="BI1476" s="112">
        <v>11.0</v>
      </c>
      <c r="BJ1476" s="98" t="s">
        <v>155</v>
      </c>
      <c r="BK1476" s="99">
        <f t="shared" si="11"/>
        <v>9</v>
      </c>
      <c r="BL1476" s="99">
        <f t="shared" si="12"/>
        <v>386</v>
      </c>
      <c r="BM1476" s="99" t="str">
        <f>IFERROR(__xludf.DUMMYFUNCTION("IFERROR(VLOOKUP(BG1476,IMPORTRANGE(""https://docs.google.com/spreadsheets/d/1juPI-Fb8LD0YtltB2mlGEnp_R3UVu1t3wSFPzgCyHXE/edit?gid=0#gid=0"",""GERAL!A2:C""),3,0),""-"")"),"-")</f>
        <v>-</v>
      </c>
    </row>
    <row r="1477" ht="15.75" customHeight="1">
      <c r="A1477" s="111" t="s">
        <v>1785</v>
      </c>
      <c r="B1477" s="83" t="s">
        <v>1994</v>
      </c>
      <c r="C1477" s="83" t="s">
        <v>68</v>
      </c>
      <c r="D1477" s="112">
        <v>1176071.0</v>
      </c>
      <c r="E1477" s="83"/>
      <c r="F1477" s="83">
        <v>2.9192331E7</v>
      </c>
      <c r="G1477" s="114" t="s">
        <v>8345</v>
      </c>
      <c r="H1477" s="91" t="s">
        <v>8346</v>
      </c>
      <c r="I1477" s="83" t="s">
        <v>8347</v>
      </c>
      <c r="J1477" s="83" t="s">
        <v>150</v>
      </c>
      <c r="K1477" s="83" t="s">
        <v>151</v>
      </c>
      <c r="L1477" s="83" t="s">
        <v>152</v>
      </c>
      <c r="M1477" s="82" t="str">
        <f>IFERROR(__xludf.DUMMYFUNCTION("IFERROR(VLOOKUP(D1477,
IMPORTRANGE(""https://docs.google.com/spreadsheets/d/1MjHtlUikwobi2MaWJgy7tfLeBmhj1u-dRFRs_8GwSoA/edit#gid=0"",""Gestores Escolares!D7:J""),3,0),""VERIFICAR CÓD SEC"")"),"LAURA RODRIGUES SOUZA SILVA")</f>
        <v>LAURA RODRIGUES SOUZA SILVA</v>
      </c>
      <c r="N1477" s="82" t="str">
        <f>IFERROR(__xludf.DUMMYFUNCTION("IFERROR(VLOOKUP(D1477,
IMPORTRANGE(""https://docs.google.com/spreadsheets/d/1MjHtlUikwobi2MaWJgy7tfLeBmhj1u-dRFRs_8GwSoA/edit#gid=0"",""Gestores Escolares!D7:J""),4,0),""VERIFICAR CÓD SEC"")"),"(71) 9 8836-7546")</f>
        <v>(71) 9 8836-7546</v>
      </c>
      <c r="O1477" s="82" t="str">
        <f>IFERROR(__xludf.DUMMYFUNCTION("IFERROR(VLOOKUP(D1477,
IMPORTRANGE(""https://docs.google.com/spreadsheets/d/1MjHtlUikwobi2MaWJgy7tfLeBmhj1u-dRFRs_8GwSoA/edit#gid=0"",""Gestores Escolares!D7:J""),6,0),""VERIFICAR CÓD SEC"")"),"TANIA REGINA SALDANHA LELLIS")</f>
        <v>TANIA REGINA SALDANHA LELLIS</v>
      </c>
      <c r="P1477" s="82" t="str">
        <f>IFERROR(__xludf.DUMMYFUNCTION("IFERROR(VLOOKUP(D1477,
IMPORTRANGE(""https://docs.google.com/spreadsheets/d/1MjHtlUikwobi2MaWJgy7tfLeBmhj1u-dRFRs_8GwSoA/edit#gid=0"",""Gestores Escolares!D7:J""),7,0),""VERIFICAR CÓD SEC"")"),"(71) 9 8153-9822")</f>
        <v>(71) 9 8153-9822</v>
      </c>
      <c r="Q1477" s="82" t="str">
        <f>IFERROR(__xludf.DUMMYFUNCTION("IFERROR(VLOOKUP(D1477,
IMPORTRANGE(""https://docs.google.com/spreadsheets/d/1MjHtlUikwobi2MaWJgy7tfLeBmhj1u-dRFRs_8GwSoA/edit#gid=0"",""Gestores Escolares!D7:m""),9,0),""VERIFICAR CÓD SEC"")"),"CRISTIANILDES BARROSO DE OLIVEIRA")</f>
        <v>CRISTIANILDES BARROSO DE OLIVEIRA</v>
      </c>
      <c r="R1477" s="82" t="str">
        <f>IFERROR(__xludf.DUMMYFUNCTION("IFERROR(VLOOKUP(D1477,
IMPORTRANGE(""https://docs.google.com/spreadsheets/d/1MjHtlUikwobi2MaWJgy7tfLeBmhj1u-dRFRs_8GwSoA/edit#gid=0"",""Gestores Escolares!D7:m""),10,0),""VERIFICAR CÓD SEC"")"),"(71) 9 8811-8604")</f>
        <v>(71) 9 8811-8604</v>
      </c>
      <c r="S1477" s="82"/>
      <c r="T1477" s="138">
        <v>11.0</v>
      </c>
      <c r="U1477" s="152">
        <v>11.0</v>
      </c>
      <c r="V1477" s="106">
        <v>0.0</v>
      </c>
      <c r="W1477" s="107">
        <v>0.0</v>
      </c>
      <c r="X1477" s="107">
        <v>0.0</v>
      </c>
      <c r="Y1477" s="107">
        <v>0.0</v>
      </c>
      <c r="Z1477" s="80">
        <f t="shared" si="1"/>
        <v>0</v>
      </c>
      <c r="AA1477" s="106">
        <v>0.0</v>
      </c>
      <c r="AB1477" s="107">
        <v>281.0</v>
      </c>
      <c r="AC1477" s="107">
        <v>0.0</v>
      </c>
      <c r="AD1477" s="107">
        <v>0.0</v>
      </c>
      <c r="AE1477" s="80">
        <f t="shared" si="2"/>
        <v>281</v>
      </c>
      <c r="AF1477" s="140">
        <v>353.0</v>
      </c>
      <c r="AG1477" s="109">
        <v>62.0</v>
      </c>
      <c r="AH1477" s="109">
        <v>0.0</v>
      </c>
      <c r="AI1477" s="141">
        <v>0.0</v>
      </c>
      <c r="AJ1477" s="80">
        <f t="shared" si="3"/>
        <v>415</v>
      </c>
      <c r="AK1477" s="140">
        <v>0.0</v>
      </c>
      <c r="AL1477" s="109">
        <v>0.0</v>
      </c>
      <c r="AM1477" s="141">
        <v>0.0</v>
      </c>
      <c r="AN1477" s="80">
        <f t="shared" si="4"/>
        <v>0</v>
      </c>
      <c r="AO1477" s="140">
        <v>0.0</v>
      </c>
      <c r="AP1477" s="109">
        <v>0.0</v>
      </c>
      <c r="AQ1477" s="109">
        <v>142.0</v>
      </c>
      <c r="AR1477" s="80">
        <f t="shared" si="5"/>
        <v>142</v>
      </c>
      <c r="AS1477" s="110">
        <v>0.0</v>
      </c>
      <c r="AT1477" s="110">
        <v>0.0</v>
      </c>
      <c r="AU1477" s="110">
        <v>0.0</v>
      </c>
      <c r="AV1477" s="142">
        <v>0.0</v>
      </c>
      <c r="AW1477" s="80">
        <f t="shared" si="6"/>
        <v>0</v>
      </c>
      <c r="AX1477" s="113">
        <f t="shared" si="7"/>
        <v>838</v>
      </c>
      <c r="AY1477" s="117">
        <f t="shared" si="8"/>
        <v>696</v>
      </c>
      <c r="AZ1477" s="120">
        <f t="shared" si="9"/>
        <v>142</v>
      </c>
      <c r="BA1477" s="115">
        <v>0.0</v>
      </c>
      <c r="BB1477" s="89">
        <f t="shared" si="10"/>
        <v>838</v>
      </c>
      <c r="BC1477" s="132" t="s">
        <v>178</v>
      </c>
      <c r="BD1477" s="132" t="s">
        <v>178</v>
      </c>
      <c r="BE1477" s="132" t="s">
        <v>178</v>
      </c>
      <c r="BF1477" s="156"/>
      <c r="BG1477" s="83">
        <v>1176071.0</v>
      </c>
      <c r="BH1477" s="98" t="s">
        <v>8348</v>
      </c>
      <c r="BI1477" s="112">
        <v>11.0</v>
      </c>
      <c r="BJ1477" s="98" t="s">
        <v>155</v>
      </c>
      <c r="BK1477" s="99">
        <f t="shared" si="11"/>
        <v>0</v>
      </c>
      <c r="BL1477" s="99">
        <f t="shared" si="12"/>
        <v>696</v>
      </c>
      <c r="BM1477" s="99" t="str">
        <f>IFERROR(__xludf.DUMMYFUNCTION("IFERROR(VLOOKUP(BG1477,IMPORTRANGE(""https://docs.google.com/spreadsheets/d/1juPI-Fb8LD0YtltB2mlGEnp_R3UVu1t3wSFPzgCyHXE/edit?gid=0#gid=0"",""GERAL!A2:C""),3,0),""-"")"),"-")</f>
        <v>-</v>
      </c>
    </row>
    <row r="1478" ht="15.75" customHeight="1">
      <c r="A1478" s="111" t="s">
        <v>1785</v>
      </c>
      <c r="B1478" s="83" t="s">
        <v>1994</v>
      </c>
      <c r="C1478" s="83" t="s">
        <v>68</v>
      </c>
      <c r="D1478" s="112">
        <v>1176765.0</v>
      </c>
      <c r="E1478" s="83"/>
      <c r="F1478" s="83">
        <v>2.940424E7</v>
      </c>
      <c r="G1478" s="119" t="s">
        <v>8349</v>
      </c>
      <c r="H1478" s="91" t="s">
        <v>8350</v>
      </c>
      <c r="I1478" s="83" t="s">
        <v>8278</v>
      </c>
      <c r="J1478" s="83" t="s">
        <v>150</v>
      </c>
      <c r="K1478" s="83" t="s">
        <v>8351</v>
      </c>
      <c r="L1478" s="83" t="s">
        <v>152</v>
      </c>
      <c r="M1478" s="82" t="str">
        <f>IFERROR(__xludf.DUMMYFUNCTION("IFERROR(VLOOKUP(D1478,
IMPORTRANGE(""https://docs.google.com/spreadsheets/d/1MjHtlUikwobi2MaWJgy7tfLeBmhj1u-dRFRs_8GwSoA/edit#gid=0"",""Gestores Escolares!D7:J""),3,0),""VERIFICAR CÓD SEC"")"),"ESTER ALVES MARINHO DE LIMA MARINHO")</f>
        <v>ESTER ALVES MARINHO DE LIMA MARINHO</v>
      </c>
      <c r="N1478" s="82" t="str">
        <f>IFERROR(__xludf.DUMMYFUNCTION("IFERROR(VLOOKUP(D1478,
IMPORTRANGE(""https://docs.google.com/spreadsheets/d/1MjHtlUikwobi2MaWJgy7tfLeBmhj1u-dRFRs_8GwSoA/edit#gid=0"",""Gestores Escolares!D7:J""),4,0),""VERIFICAR CÓD SEC"")"),"(71) 9 9205-2979")</f>
        <v>(71) 9 9205-2979</v>
      </c>
      <c r="O1478" s="82" t="str">
        <f>IFERROR(__xludf.DUMMYFUNCTION("IFERROR(VLOOKUP(D1478,
IMPORTRANGE(""https://docs.google.com/spreadsheets/d/1MjHtlUikwobi2MaWJgy7tfLeBmhj1u-dRFRs_8GwSoA/edit#gid=0"",""Gestores Escolares!D7:J""),6,0),""VERIFICAR CÓD SEC"")"),"ROSANGELA MOTA BURGOS")</f>
        <v>ROSANGELA MOTA BURGOS</v>
      </c>
      <c r="P1478" s="82" t="str">
        <f>IFERROR(__xludf.DUMMYFUNCTION("IFERROR(VLOOKUP(D1478,
IMPORTRANGE(""https://docs.google.com/spreadsheets/d/1MjHtlUikwobi2MaWJgy7tfLeBmhj1u-dRFRs_8GwSoA/edit#gid=0"",""Gestores Escolares!D7:J""),7,0),""VERIFICAR CÓD SEC"")"),"(71) 9 8850-4405")</f>
        <v>(71) 9 8850-4405</v>
      </c>
      <c r="Q1478" s="82" t="str">
        <f>IFERROR(__xludf.DUMMYFUNCTION("IFERROR(VLOOKUP(D1478,
IMPORTRANGE(""https://docs.google.com/spreadsheets/d/1MjHtlUikwobi2MaWJgy7tfLeBmhj1u-dRFRs_8GwSoA/edit#gid=0"",""Gestores Escolares!D7:m""),9,0),""VERIFICAR CÓD SEC"")"),"ALBANI OLIVEIRA DO CARMO SANTOS")</f>
        <v>ALBANI OLIVEIRA DO CARMO SANTOS</v>
      </c>
      <c r="R1478" s="82" t="str">
        <f>IFERROR(__xludf.DUMMYFUNCTION("IFERROR(VLOOKUP(D1478,
IMPORTRANGE(""https://docs.google.com/spreadsheets/d/1MjHtlUikwobi2MaWJgy7tfLeBmhj1u-dRFRs_8GwSoA/edit#gid=0"",""Gestores Escolares!D7:m""),10,0),""VERIFICAR CÓD SEC"")")," (71) 9 8666-5816")</f>
        <v> (71) 9 8666-5816</v>
      </c>
      <c r="S1478" s="82"/>
      <c r="T1478" s="138">
        <v>12.0</v>
      </c>
      <c r="U1478" s="152">
        <v>12.0</v>
      </c>
      <c r="V1478" s="106">
        <v>0.0</v>
      </c>
      <c r="W1478" s="107">
        <v>0.0</v>
      </c>
      <c r="X1478" s="107">
        <v>0.0</v>
      </c>
      <c r="Y1478" s="107">
        <v>0.0</v>
      </c>
      <c r="Z1478" s="80">
        <f t="shared" si="1"/>
        <v>0</v>
      </c>
      <c r="AA1478" s="106">
        <v>275.0</v>
      </c>
      <c r="AB1478" s="107">
        <v>151.0</v>
      </c>
      <c r="AC1478" s="107">
        <v>0.0</v>
      </c>
      <c r="AD1478" s="107">
        <v>0.0</v>
      </c>
      <c r="AE1478" s="80">
        <f t="shared" si="2"/>
        <v>426</v>
      </c>
      <c r="AF1478" s="140">
        <v>0.0</v>
      </c>
      <c r="AG1478" s="109">
        <v>0.0</v>
      </c>
      <c r="AH1478" s="109">
        <v>0.0</v>
      </c>
      <c r="AI1478" s="141">
        <v>0.0</v>
      </c>
      <c r="AJ1478" s="80">
        <f t="shared" si="3"/>
        <v>0</v>
      </c>
      <c r="AK1478" s="140">
        <v>0.0</v>
      </c>
      <c r="AL1478" s="109">
        <v>0.0</v>
      </c>
      <c r="AM1478" s="141">
        <v>0.0</v>
      </c>
      <c r="AN1478" s="80">
        <f t="shared" si="4"/>
        <v>0</v>
      </c>
      <c r="AO1478" s="140">
        <v>0.0</v>
      </c>
      <c r="AP1478" s="109">
        <v>0.0</v>
      </c>
      <c r="AQ1478" s="109">
        <v>0.0</v>
      </c>
      <c r="AR1478" s="80">
        <f t="shared" si="5"/>
        <v>0</v>
      </c>
      <c r="AS1478" s="110">
        <v>0.0</v>
      </c>
      <c r="AT1478" s="110">
        <v>0.0</v>
      </c>
      <c r="AU1478" s="110">
        <v>0.0</v>
      </c>
      <c r="AV1478" s="142">
        <v>0.0</v>
      </c>
      <c r="AW1478" s="80">
        <f t="shared" si="6"/>
        <v>0</v>
      </c>
      <c r="AX1478" s="113">
        <f t="shared" si="7"/>
        <v>426</v>
      </c>
      <c r="AY1478" s="117">
        <f t="shared" si="8"/>
        <v>426</v>
      </c>
      <c r="AZ1478" s="120">
        <f t="shared" si="9"/>
        <v>0</v>
      </c>
      <c r="BA1478" s="115">
        <v>0.0</v>
      </c>
      <c r="BB1478" s="89">
        <f t="shared" si="10"/>
        <v>426</v>
      </c>
      <c r="BC1478" s="132" t="s">
        <v>178</v>
      </c>
      <c r="BD1478" s="132" t="s">
        <v>178</v>
      </c>
      <c r="BE1478" s="132" t="s">
        <v>178</v>
      </c>
      <c r="BF1478" s="156"/>
      <c r="BG1478" s="83">
        <v>1176765.0</v>
      </c>
      <c r="BH1478" s="98" t="s">
        <v>8352</v>
      </c>
      <c r="BI1478" s="112">
        <v>12.0</v>
      </c>
      <c r="BJ1478" s="98" t="s">
        <v>155</v>
      </c>
      <c r="BK1478" s="99">
        <f t="shared" si="11"/>
        <v>0</v>
      </c>
      <c r="BL1478" s="99">
        <f t="shared" si="12"/>
        <v>426</v>
      </c>
      <c r="BM1478" s="99" t="str">
        <f>IFERROR(__xludf.DUMMYFUNCTION("IFERROR(VLOOKUP(BG1478,IMPORTRANGE(""https://docs.google.com/spreadsheets/d/1juPI-Fb8LD0YtltB2mlGEnp_R3UVu1t3wSFPzgCyHXE/edit?gid=0#gid=0"",""GERAL!A2:C""),3,0),""-"")"),"-")</f>
        <v>-</v>
      </c>
    </row>
    <row r="1479" ht="15.75" customHeight="1">
      <c r="A1479" s="111" t="s">
        <v>1785</v>
      </c>
      <c r="B1479" s="83" t="s">
        <v>1994</v>
      </c>
      <c r="C1479" s="83" t="s">
        <v>68</v>
      </c>
      <c r="D1479" s="112">
        <v>1176880.0</v>
      </c>
      <c r="E1479" s="83"/>
      <c r="F1479" s="83">
        <v>2.9404339E7</v>
      </c>
      <c r="G1479" s="114" t="s">
        <v>8353</v>
      </c>
      <c r="H1479" s="91" t="s">
        <v>8354</v>
      </c>
      <c r="I1479" s="83" t="s">
        <v>8162</v>
      </c>
      <c r="J1479" s="83" t="s">
        <v>150</v>
      </c>
      <c r="K1479" s="83" t="s">
        <v>8355</v>
      </c>
      <c r="L1479" s="83" t="s">
        <v>152</v>
      </c>
      <c r="M1479" s="82" t="str">
        <f>IFERROR(__xludf.DUMMYFUNCTION("IFERROR(VLOOKUP(D1479,
IMPORTRANGE(""https://docs.google.com/spreadsheets/d/1MjHtlUikwobi2MaWJgy7tfLeBmhj1u-dRFRs_8GwSoA/edit#gid=0"",""Gestores Escolares!D7:J""),3,0),""VERIFICAR CÓD SEC"")"),"BARBARA DE CASSIA VIEIRA")</f>
        <v>BARBARA DE CASSIA VIEIRA</v>
      </c>
      <c r="N1479" s="82" t="str">
        <f>IFERROR(__xludf.DUMMYFUNCTION("IFERROR(VLOOKUP(D1479,
IMPORTRANGE(""https://docs.google.com/spreadsheets/d/1MjHtlUikwobi2MaWJgy7tfLeBmhj1u-dRFRs_8GwSoA/edit#gid=0"",""Gestores Escolares!D7:J""),4,0),""VERIFICAR CÓD SEC"")"),"(71) 98600-8123  ")</f>
        <v>(71) 98600-8123  </v>
      </c>
      <c r="O1479" s="82" t="str">
        <f>IFERROR(__xludf.DUMMYFUNCTION("IFERROR(VLOOKUP(D1479,
IMPORTRANGE(""https://docs.google.com/spreadsheets/d/1MjHtlUikwobi2MaWJgy7tfLeBmhj1u-dRFRs_8GwSoA/edit#gid=0"",""Gestores Escolares!D7:J""),6,0),""VERIFICAR CÓD SEC"")"),"KLEBER CRISTIANO DOS SANTOS ALMEIDA")</f>
        <v>KLEBER CRISTIANO DOS SANTOS ALMEIDA</v>
      </c>
      <c r="P1479" s="82" t="str">
        <f>IFERROR(__xludf.DUMMYFUNCTION("IFERROR(VLOOKUP(D1479,
IMPORTRANGE(""https://docs.google.com/spreadsheets/d/1MjHtlUikwobi2MaWJgy7tfLeBmhj1u-dRFRs_8GwSoA/edit#gid=0"",""Gestores Escolares!D7:J""),7,0),""VERIFICAR CÓD SEC"")"),"(71) 9 8717-7803")</f>
        <v>(71) 9 8717-7803</v>
      </c>
      <c r="Q1479" s="82" t="str">
        <f>IFERROR(__xludf.DUMMYFUNCTION("IFERROR(VLOOKUP(D1479,
IMPORTRANGE(""https://docs.google.com/spreadsheets/d/1MjHtlUikwobi2MaWJgy7tfLeBmhj1u-dRFRs_8GwSoA/edit#gid=0"",""Gestores Escolares!D7:m""),9,0),""VERIFICAR CÓD SEC"")"),"FERCY PINTO PEDREIRA ")</f>
        <v>FERCY PINTO PEDREIRA </v>
      </c>
      <c r="R1479" s="82" t="str">
        <f>IFERROR(__xludf.DUMMYFUNCTION("IFERROR(VLOOKUP(D1479,
IMPORTRANGE(""https://docs.google.com/spreadsheets/d/1MjHtlUikwobi2MaWJgy7tfLeBmhj1u-dRFRs_8GwSoA/edit#gid=0"",""Gestores Escolares!D7:m""),10,0),""VERIFICAR CÓD SEC"")"),"(71) 9 8600-8123 / 9 8214-5875")</f>
        <v>(71) 9 8600-8123 / 9 8214-5875</v>
      </c>
      <c r="S1479" s="82"/>
      <c r="T1479" s="138">
        <v>11.0</v>
      </c>
      <c r="U1479" s="152">
        <v>10.0</v>
      </c>
      <c r="V1479" s="106">
        <v>0.0</v>
      </c>
      <c r="W1479" s="107">
        <v>0.0</v>
      </c>
      <c r="X1479" s="107">
        <v>0.0</v>
      </c>
      <c r="Y1479" s="107">
        <v>0.0</v>
      </c>
      <c r="Z1479" s="80">
        <f t="shared" si="1"/>
        <v>0</v>
      </c>
      <c r="AA1479" s="106">
        <v>0.0</v>
      </c>
      <c r="AB1479" s="107">
        <v>80.0</v>
      </c>
      <c r="AC1479" s="107">
        <v>0.0</v>
      </c>
      <c r="AD1479" s="107">
        <v>0.0</v>
      </c>
      <c r="AE1479" s="80">
        <f t="shared" si="2"/>
        <v>80</v>
      </c>
      <c r="AF1479" s="140">
        <v>420.0</v>
      </c>
      <c r="AG1479" s="109">
        <v>250.0</v>
      </c>
      <c r="AH1479" s="109">
        <v>0.0</v>
      </c>
      <c r="AI1479" s="141">
        <v>0.0</v>
      </c>
      <c r="AJ1479" s="80">
        <f t="shared" si="3"/>
        <v>670</v>
      </c>
      <c r="AK1479" s="140">
        <v>0.0</v>
      </c>
      <c r="AL1479" s="109">
        <v>0.0</v>
      </c>
      <c r="AM1479" s="141">
        <v>63.0</v>
      </c>
      <c r="AN1479" s="80">
        <f t="shared" si="4"/>
        <v>63</v>
      </c>
      <c r="AO1479" s="140">
        <v>0.0</v>
      </c>
      <c r="AP1479" s="109">
        <v>0.0</v>
      </c>
      <c r="AQ1479" s="109">
        <v>152.0</v>
      </c>
      <c r="AR1479" s="80">
        <f t="shared" si="5"/>
        <v>152</v>
      </c>
      <c r="AS1479" s="110">
        <v>0.0</v>
      </c>
      <c r="AT1479" s="110">
        <v>0.0</v>
      </c>
      <c r="AU1479" s="110">
        <v>107.0</v>
      </c>
      <c r="AV1479" s="142">
        <v>0.0</v>
      </c>
      <c r="AW1479" s="80">
        <f t="shared" si="6"/>
        <v>107</v>
      </c>
      <c r="AX1479" s="113">
        <f t="shared" si="7"/>
        <v>1072</v>
      </c>
      <c r="AY1479" s="117">
        <f t="shared" si="8"/>
        <v>750</v>
      </c>
      <c r="AZ1479" s="120">
        <f t="shared" si="9"/>
        <v>322</v>
      </c>
      <c r="BA1479" s="115">
        <v>0.0</v>
      </c>
      <c r="BB1479" s="89">
        <f t="shared" si="10"/>
        <v>1072</v>
      </c>
      <c r="BC1479" s="132" t="s">
        <v>178</v>
      </c>
      <c r="BD1479" s="132" t="s">
        <v>178</v>
      </c>
      <c r="BE1479" s="132" t="s">
        <v>178</v>
      </c>
      <c r="BF1479" s="156"/>
      <c r="BG1479" s="83">
        <v>1176880.0</v>
      </c>
      <c r="BH1479" s="98" t="s">
        <v>8356</v>
      </c>
      <c r="BI1479" s="112">
        <v>10.0</v>
      </c>
      <c r="BJ1479" s="98" t="s">
        <v>155</v>
      </c>
      <c r="BK1479" s="99">
        <f t="shared" si="11"/>
        <v>0</v>
      </c>
      <c r="BL1479" s="99">
        <f t="shared" si="12"/>
        <v>750</v>
      </c>
      <c r="BM1479" s="99" t="str">
        <f>IFERROR(__xludf.DUMMYFUNCTION("IFERROR(VLOOKUP(BG1479,IMPORTRANGE(""https://docs.google.com/spreadsheets/d/1juPI-Fb8LD0YtltB2mlGEnp_R3UVu1t3wSFPzgCyHXE/edit?gid=0#gid=0"",""GERAL!A2:C""),3,0),""-"")"),"-")</f>
        <v>-</v>
      </c>
    </row>
    <row r="1480" ht="15.75" customHeight="1">
      <c r="A1480" s="111" t="s">
        <v>1785</v>
      </c>
      <c r="B1480" s="83" t="s">
        <v>1994</v>
      </c>
      <c r="C1480" s="83" t="s">
        <v>68</v>
      </c>
      <c r="D1480" s="112">
        <v>1174772.0</v>
      </c>
      <c r="E1480" s="83"/>
      <c r="F1480" s="83">
        <v>2.919208E7</v>
      </c>
      <c r="G1480" s="119" t="s">
        <v>8361</v>
      </c>
      <c r="H1480" s="91" t="s">
        <v>8362</v>
      </c>
      <c r="I1480" s="83" t="s">
        <v>8363</v>
      </c>
      <c r="J1480" s="83" t="s">
        <v>150</v>
      </c>
      <c r="K1480" s="83" t="s">
        <v>151</v>
      </c>
      <c r="L1480" s="83" t="s">
        <v>152</v>
      </c>
      <c r="M1480" s="82" t="str">
        <f>IFERROR(__xludf.DUMMYFUNCTION("IFERROR(VLOOKUP(D1480,
IMPORTRANGE(""https://docs.google.com/spreadsheets/d/1MjHtlUikwobi2MaWJgy7tfLeBmhj1u-dRFRs_8GwSoA/edit#gid=0"",""Gestores Escolares!D7:J""),3,0),""VERIFICAR CÓD SEC"")"),"CLAUDIO LUIS GOMES DOS SANTOS")</f>
        <v>CLAUDIO LUIS GOMES DOS SANTOS</v>
      </c>
      <c r="N1480" s="82" t="str">
        <f>IFERROR(__xludf.DUMMYFUNCTION("IFERROR(VLOOKUP(D1480,
IMPORTRANGE(""https://docs.google.com/spreadsheets/d/1MjHtlUikwobi2MaWJgy7tfLeBmhj1u-dRFRs_8GwSoA/edit#gid=0"",""Gestores Escolares!D7:J""),4,0),""VERIFICAR CÓD SEC"")"),"(71) 9 9665-3114/ 9 9724-1407")</f>
        <v>(71) 9 9665-3114/ 9 9724-1407</v>
      </c>
      <c r="O1480" s="82" t="str">
        <f>IFERROR(__xludf.DUMMYFUNCTION("IFERROR(VLOOKUP(D1480,
IMPORTRANGE(""https://docs.google.com/spreadsheets/d/1MjHtlUikwobi2MaWJgy7tfLeBmhj1u-dRFRs_8GwSoA/edit#gid=0"",""Gestores Escolares!D7:J""),6,0),""VERIFICAR CÓD SEC"")"),"ROBSON LUIS SANTOS LIMA")</f>
        <v>ROBSON LUIS SANTOS LIMA</v>
      </c>
      <c r="P1480" s="82" t="str">
        <f>IFERROR(__xludf.DUMMYFUNCTION("IFERROR(VLOOKUP(D1480,
IMPORTRANGE(""https://docs.google.com/spreadsheets/d/1MjHtlUikwobi2MaWJgy7tfLeBmhj1u-dRFRs_8GwSoA/edit#gid=0"",""Gestores Escolares!D7:J""),7,0),""VERIFICAR CÓD SEC"")"),"(71) 9 8898-8107")</f>
        <v>(71) 9 8898-8107</v>
      </c>
      <c r="Q1480" s="82" t="str">
        <f>IFERROR(__xludf.DUMMYFUNCTION("IFERROR(VLOOKUP(D1480,
IMPORTRANGE(""https://docs.google.com/spreadsheets/d/1MjHtlUikwobi2MaWJgy7tfLeBmhj1u-dRFRs_8GwSoA/edit#gid=0"",""Gestores Escolares!D7:m""),9,0),""VERIFICAR CÓD SEC"")"),"ERIVALDO VIEIRA ADORNO")</f>
        <v>ERIVALDO VIEIRA ADORNO</v>
      </c>
      <c r="R1480" s="82" t="str">
        <f>IFERROR(__xludf.DUMMYFUNCTION("IFERROR(VLOOKUP(D1480,
IMPORTRANGE(""https://docs.google.com/spreadsheets/d/1MjHtlUikwobi2MaWJgy7tfLeBmhj1u-dRFRs_8GwSoA/edit#gid=0"",""Gestores Escolares!D7:m""),10,0),""VERIFICAR CÓD SEC"")")," (71) 9 8321-3380")</f>
        <v> (71) 9 8321-3380</v>
      </c>
      <c r="S1480" s="82"/>
      <c r="T1480" s="138">
        <v>12.0</v>
      </c>
      <c r="U1480" s="152">
        <v>12.0</v>
      </c>
      <c r="V1480" s="106">
        <v>0.0</v>
      </c>
      <c r="W1480" s="107">
        <v>0.0</v>
      </c>
      <c r="X1480" s="107">
        <v>0.0</v>
      </c>
      <c r="Y1480" s="107">
        <v>0.0</v>
      </c>
      <c r="Z1480" s="80">
        <f t="shared" si="1"/>
        <v>0</v>
      </c>
      <c r="AA1480" s="106">
        <v>69.0</v>
      </c>
      <c r="AB1480" s="107">
        <v>311.0</v>
      </c>
      <c r="AC1480" s="107">
        <v>0.0</v>
      </c>
      <c r="AD1480" s="107">
        <v>0.0</v>
      </c>
      <c r="AE1480" s="80">
        <f t="shared" si="2"/>
        <v>380</v>
      </c>
      <c r="AF1480" s="140">
        <v>209.0</v>
      </c>
      <c r="AG1480" s="109">
        <v>0.0</v>
      </c>
      <c r="AH1480" s="109">
        <v>0.0</v>
      </c>
      <c r="AI1480" s="141">
        <v>42.0</v>
      </c>
      <c r="AJ1480" s="80">
        <f t="shared" si="3"/>
        <v>251</v>
      </c>
      <c r="AK1480" s="140">
        <v>0.0</v>
      </c>
      <c r="AL1480" s="109">
        <v>0.0</v>
      </c>
      <c r="AM1480" s="141">
        <v>69.0</v>
      </c>
      <c r="AN1480" s="80">
        <f t="shared" si="4"/>
        <v>69</v>
      </c>
      <c r="AO1480" s="140">
        <v>0.0</v>
      </c>
      <c r="AP1480" s="109">
        <v>0.0</v>
      </c>
      <c r="AQ1480" s="109">
        <v>126.0</v>
      </c>
      <c r="AR1480" s="80">
        <f t="shared" si="5"/>
        <v>126</v>
      </c>
      <c r="AS1480" s="110">
        <v>0.0</v>
      </c>
      <c r="AT1480" s="110">
        <v>0.0</v>
      </c>
      <c r="AU1480" s="110">
        <v>18.0</v>
      </c>
      <c r="AV1480" s="142">
        <v>0.0</v>
      </c>
      <c r="AW1480" s="80">
        <f t="shared" si="6"/>
        <v>18</v>
      </c>
      <c r="AX1480" s="113">
        <f t="shared" si="7"/>
        <v>844</v>
      </c>
      <c r="AY1480" s="117">
        <f t="shared" si="8"/>
        <v>631</v>
      </c>
      <c r="AZ1480" s="120">
        <f t="shared" si="9"/>
        <v>213</v>
      </c>
      <c r="BA1480" s="115">
        <v>0.0</v>
      </c>
      <c r="BB1480" s="89">
        <f t="shared" si="10"/>
        <v>844</v>
      </c>
      <c r="BC1480" s="132" t="s">
        <v>178</v>
      </c>
      <c r="BD1480" s="132" t="s">
        <v>178</v>
      </c>
      <c r="BE1480" s="132" t="s">
        <v>178</v>
      </c>
      <c r="BF1480" s="156"/>
      <c r="BG1480" s="83">
        <v>1174772.0</v>
      </c>
      <c r="BH1480" s="98" t="s">
        <v>8364</v>
      </c>
      <c r="BI1480" s="112">
        <v>12.0</v>
      </c>
      <c r="BJ1480" s="98" t="s">
        <v>155</v>
      </c>
      <c r="BK1480" s="99">
        <f t="shared" si="11"/>
        <v>42</v>
      </c>
      <c r="BL1480" s="99">
        <f t="shared" si="12"/>
        <v>589</v>
      </c>
      <c r="BM1480" s="99" t="str">
        <f>IFERROR(__xludf.DUMMYFUNCTION("IFERROR(VLOOKUP(BG1480,IMPORTRANGE(""https://docs.google.com/spreadsheets/d/1juPI-Fb8LD0YtltB2mlGEnp_R3UVu1t3wSFPzgCyHXE/edit?gid=0#gid=0"",""GERAL!A2:C""),3,0),""-"")"),"-")</f>
        <v>-</v>
      </c>
    </row>
    <row r="1481" ht="15.75" customHeight="1">
      <c r="A1481" s="111" t="s">
        <v>1785</v>
      </c>
      <c r="B1481" s="83" t="s">
        <v>1994</v>
      </c>
      <c r="C1481" s="83" t="s">
        <v>68</v>
      </c>
      <c r="D1481" s="112">
        <v>1100884.0</v>
      </c>
      <c r="E1481" s="83"/>
      <c r="F1481" s="83">
        <v>2.9184983E7</v>
      </c>
      <c r="G1481" s="119" t="s">
        <v>8367</v>
      </c>
      <c r="H1481" s="91" t="s">
        <v>8369</v>
      </c>
      <c r="I1481" s="83" t="s">
        <v>8150</v>
      </c>
      <c r="J1481" s="83" t="s">
        <v>150</v>
      </c>
      <c r="K1481" s="83" t="s">
        <v>151</v>
      </c>
      <c r="L1481" s="83" t="s">
        <v>169</v>
      </c>
      <c r="M1481" s="82" t="str">
        <f>IFERROR(__xludf.DUMMYFUNCTION("IFERROR(VLOOKUP(D1481,
IMPORTRANGE(""https://docs.google.com/spreadsheets/d/1MjHtlUikwobi2MaWJgy7tfLeBmhj1u-dRFRs_8GwSoA/edit#gid=0"",""Gestores Escolares!D7:J""),3,0),""VERIFICAR CÓD SEC"")"),"IVANILTON DE SANTANA SILVA")</f>
        <v>IVANILTON DE SANTANA SILVA</v>
      </c>
      <c r="N1481" s="82" t="str">
        <f>IFERROR(__xludf.DUMMYFUNCTION("IFERROR(VLOOKUP(D1481,
IMPORTRANGE(""https://docs.google.com/spreadsheets/d/1MjHtlUikwobi2MaWJgy7tfLeBmhj1u-dRFRs_8GwSoA/edit#gid=0"",""Gestores Escolares!D7:J""),4,0),""VERIFICAR CÓD SEC"")"),"(71) 9 8745-9778/9 9935-0598")</f>
        <v>(71) 9 8745-9778/9 9935-0598</v>
      </c>
      <c r="O1481" s="82" t="str">
        <f>IFERROR(__xludf.DUMMYFUNCTION("IFERROR(VLOOKUP(D1481,
IMPORTRANGE(""https://docs.google.com/spreadsheets/d/1MjHtlUikwobi2MaWJgy7tfLeBmhj1u-dRFRs_8GwSoA/edit#gid=0"",""Gestores Escolares!D7:J""),6,0),""VERIFICAR CÓD SEC"")"),"ADILSON SILVA NEVES")</f>
        <v>ADILSON SILVA NEVES</v>
      </c>
      <c r="P1481" s="82" t="str">
        <f>IFERROR(__xludf.DUMMYFUNCTION("IFERROR(VLOOKUP(D1481,
IMPORTRANGE(""https://docs.google.com/spreadsheets/d/1MjHtlUikwobi2MaWJgy7tfLeBmhj1u-dRFRs_8GwSoA/edit#gid=0"",""Gestores Escolares!D7:J""),7,0),""VERIFICAR CÓD SEC"")"),"(71) 9 9309-6522")</f>
        <v>(71) 9 9309-6522</v>
      </c>
      <c r="Q1481" s="82" t="str">
        <f>IFERROR(__xludf.DUMMYFUNCTION("IFERROR(VLOOKUP(D1481,
IMPORTRANGE(""https://docs.google.com/spreadsheets/d/1MjHtlUikwobi2MaWJgy7tfLeBmhj1u-dRFRs_8GwSoA/edit#gid=0"",""Gestores Escolares!D7:m""),9,0),""VERIFICAR CÓD SEC"")"),"")</f>
        <v/>
      </c>
      <c r="R1481" s="82" t="str">
        <f>IFERROR(__xludf.DUMMYFUNCTION("IFERROR(VLOOKUP(D1481,
IMPORTRANGE(""https://docs.google.com/spreadsheets/d/1MjHtlUikwobi2MaWJgy7tfLeBmhj1u-dRFRs_8GwSoA/edit#gid=0"",""Gestores Escolares!D7:m""),10,0),""VERIFICAR CÓD SEC"")"),"")</f>
        <v/>
      </c>
      <c r="S1481" s="82"/>
      <c r="T1481" s="138">
        <v>10.0</v>
      </c>
      <c r="U1481" s="152">
        <v>10.0</v>
      </c>
      <c r="V1481" s="106">
        <v>0.0</v>
      </c>
      <c r="W1481" s="107">
        <v>0.0</v>
      </c>
      <c r="X1481" s="107">
        <v>0.0</v>
      </c>
      <c r="Y1481" s="107">
        <v>0.0</v>
      </c>
      <c r="Z1481" s="80">
        <f t="shared" si="1"/>
        <v>0</v>
      </c>
      <c r="AA1481" s="106">
        <v>140.0</v>
      </c>
      <c r="AB1481" s="107">
        <v>0.0</v>
      </c>
      <c r="AC1481" s="107">
        <v>0.0</v>
      </c>
      <c r="AD1481" s="107">
        <v>129.0</v>
      </c>
      <c r="AE1481" s="80">
        <f t="shared" si="2"/>
        <v>269</v>
      </c>
      <c r="AF1481" s="140">
        <v>0.0</v>
      </c>
      <c r="AG1481" s="109">
        <v>0.0</v>
      </c>
      <c r="AH1481" s="109">
        <v>0.0</v>
      </c>
      <c r="AI1481" s="141">
        <v>0.0</v>
      </c>
      <c r="AJ1481" s="80">
        <f t="shared" si="3"/>
        <v>0</v>
      </c>
      <c r="AK1481" s="140">
        <v>0.0</v>
      </c>
      <c r="AL1481" s="109">
        <v>0.0</v>
      </c>
      <c r="AM1481" s="141">
        <v>0.0</v>
      </c>
      <c r="AN1481" s="80">
        <f t="shared" si="4"/>
        <v>0</v>
      </c>
      <c r="AO1481" s="140">
        <v>0.0</v>
      </c>
      <c r="AP1481" s="109">
        <v>0.0</v>
      </c>
      <c r="AQ1481" s="109">
        <v>0.0</v>
      </c>
      <c r="AR1481" s="80">
        <f t="shared" si="5"/>
        <v>0</v>
      </c>
      <c r="AS1481" s="110">
        <v>0.0</v>
      </c>
      <c r="AT1481" s="110">
        <v>0.0</v>
      </c>
      <c r="AU1481" s="110">
        <v>0.0</v>
      </c>
      <c r="AV1481" s="142">
        <v>0.0</v>
      </c>
      <c r="AW1481" s="80">
        <f t="shared" si="6"/>
        <v>0</v>
      </c>
      <c r="AX1481" s="113">
        <f t="shared" si="7"/>
        <v>269</v>
      </c>
      <c r="AY1481" s="117">
        <f t="shared" si="8"/>
        <v>269</v>
      </c>
      <c r="AZ1481" s="120">
        <f t="shared" si="9"/>
        <v>0</v>
      </c>
      <c r="BA1481" s="115">
        <v>1.0</v>
      </c>
      <c r="BB1481" s="89">
        <f t="shared" si="10"/>
        <v>270</v>
      </c>
      <c r="BC1481" s="132" t="s">
        <v>178</v>
      </c>
      <c r="BD1481" s="132" t="s">
        <v>178</v>
      </c>
      <c r="BE1481" s="132" t="s">
        <v>178</v>
      </c>
      <c r="BF1481" s="181"/>
      <c r="BG1481" s="83">
        <v>1100884.0</v>
      </c>
      <c r="BH1481" s="98" t="s">
        <v>8372</v>
      </c>
      <c r="BI1481" s="112">
        <v>10.0</v>
      </c>
      <c r="BJ1481" s="98" t="s">
        <v>155</v>
      </c>
      <c r="BK1481" s="99">
        <f t="shared" si="11"/>
        <v>129</v>
      </c>
      <c r="BL1481" s="99">
        <f t="shared" si="12"/>
        <v>140</v>
      </c>
      <c r="BM1481" s="99" t="str">
        <f>IFERROR(__xludf.DUMMYFUNCTION("IFERROR(VLOOKUP(BG1481,IMPORTRANGE(""https://docs.google.com/spreadsheets/d/1juPI-Fb8LD0YtltB2mlGEnp_R3UVu1t3wSFPzgCyHXE/edit?gid=0#gid=0"",""GERAL!A2:C""),3,0),""-"")"),"-")</f>
        <v>-</v>
      </c>
    </row>
    <row r="1482" ht="15.75" customHeight="1">
      <c r="A1482" s="111" t="s">
        <v>1785</v>
      </c>
      <c r="B1482" s="83" t="s">
        <v>1994</v>
      </c>
      <c r="C1482" s="83" t="s">
        <v>68</v>
      </c>
      <c r="D1482" s="112">
        <v>1101619.0</v>
      </c>
      <c r="E1482" s="83"/>
      <c r="F1482" s="83">
        <v>2.919265E7</v>
      </c>
      <c r="G1482" s="119" t="s">
        <v>8375</v>
      </c>
      <c r="H1482" s="91" t="s">
        <v>8376</v>
      </c>
      <c r="I1482" s="83" t="s">
        <v>8377</v>
      </c>
      <c r="J1482" s="83" t="s">
        <v>150</v>
      </c>
      <c r="K1482" s="83" t="s">
        <v>151</v>
      </c>
      <c r="L1482" s="83" t="s">
        <v>76</v>
      </c>
      <c r="M1482" s="82" t="str">
        <f>IFERROR(__xludf.DUMMYFUNCTION("IFERROR(VLOOKUP(D1482,
IMPORTRANGE(""https://docs.google.com/spreadsheets/d/1MjHtlUikwobi2MaWJgy7tfLeBmhj1u-dRFRs_8GwSoA/edit#gid=0"",""Gestores Escolares!D7:J""),3,0),""VERIFICAR CÓD SEC"")"),"ARMANDO IDALÊNCIO DOS SANTOS FILHO")</f>
        <v>ARMANDO IDALÊNCIO DOS SANTOS FILHO</v>
      </c>
      <c r="N1482" s="82" t="str">
        <f>IFERROR(__xludf.DUMMYFUNCTION("IFERROR(VLOOKUP(D1482,
IMPORTRANGE(""https://docs.google.com/spreadsheets/d/1MjHtlUikwobi2MaWJgy7tfLeBmhj1u-dRFRs_8GwSoA/edit#gid=0"",""Gestores Escolares!D7:J""),4,0),""VERIFICAR CÓD SEC"")"),"(71) 9 9982-3260")</f>
        <v>(71) 9 9982-3260</v>
      </c>
      <c r="O1482" s="82" t="str">
        <f>IFERROR(__xludf.DUMMYFUNCTION("IFERROR(VLOOKUP(D1482,
IMPORTRANGE(""https://docs.google.com/spreadsheets/d/1MjHtlUikwobi2MaWJgy7tfLeBmhj1u-dRFRs_8GwSoA/edit#gid=0"",""Gestores Escolares!D7:J""),6,0),""VERIFICAR CÓD SEC"")"),"EDWARD GOMES DOS SANTOS NETO")</f>
        <v>EDWARD GOMES DOS SANTOS NETO</v>
      </c>
      <c r="P1482" s="82" t="str">
        <f>IFERROR(__xludf.DUMMYFUNCTION("IFERROR(VLOOKUP(D1482,
IMPORTRANGE(""https://docs.google.com/spreadsheets/d/1MjHtlUikwobi2MaWJgy7tfLeBmhj1u-dRFRs_8GwSoA/edit#gid=0"",""Gestores Escolares!D7:J""),7,0),""VERIFICAR CÓD SEC"")"),"(71) 9 8115-0406/ 9 9128-4448/ 9 8780-5413")</f>
        <v>(71) 9 8115-0406/ 9 9128-4448/ 9 8780-5413</v>
      </c>
      <c r="Q1482" s="82" t="str">
        <f>IFERROR(__xludf.DUMMYFUNCTION("IFERROR(VLOOKUP(D1482,
IMPORTRANGE(""https://docs.google.com/spreadsheets/d/1MjHtlUikwobi2MaWJgy7tfLeBmhj1u-dRFRs_8GwSoA/edit#gid=0"",""Gestores Escolares!D7:m""),9,0),""VERIFICAR CÓD SEC"")"),"")</f>
        <v/>
      </c>
      <c r="R1482" s="82" t="str">
        <f>IFERROR(__xludf.DUMMYFUNCTION("IFERROR(VLOOKUP(D1482,
IMPORTRANGE(""https://docs.google.com/spreadsheets/d/1MjHtlUikwobi2MaWJgy7tfLeBmhj1u-dRFRs_8GwSoA/edit#gid=0"",""Gestores Escolares!D7:m""),10,0),""VERIFICAR CÓD SEC"")"),"")</f>
        <v/>
      </c>
      <c r="S1482" s="82"/>
      <c r="T1482" s="138">
        <v>12.0</v>
      </c>
      <c r="U1482" s="152">
        <v>12.0</v>
      </c>
      <c r="V1482" s="106">
        <v>0.0</v>
      </c>
      <c r="W1482" s="107">
        <v>0.0</v>
      </c>
      <c r="X1482" s="107">
        <v>0.0</v>
      </c>
      <c r="Y1482" s="107">
        <v>0.0</v>
      </c>
      <c r="Z1482" s="80">
        <f t="shared" si="1"/>
        <v>0</v>
      </c>
      <c r="AA1482" s="106">
        <v>238.0</v>
      </c>
      <c r="AB1482" s="107">
        <v>0.0</v>
      </c>
      <c r="AC1482" s="107">
        <v>0.0</v>
      </c>
      <c r="AD1482" s="107">
        <v>0.0</v>
      </c>
      <c r="AE1482" s="80">
        <f t="shared" si="2"/>
        <v>238</v>
      </c>
      <c r="AF1482" s="140">
        <v>133.0</v>
      </c>
      <c r="AG1482" s="109">
        <v>0.0</v>
      </c>
      <c r="AH1482" s="109">
        <v>0.0</v>
      </c>
      <c r="AI1482" s="141">
        <v>0.0</v>
      </c>
      <c r="AJ1482" s="80">
        <f t="shared" si="3"/>
        <v>133</v>
      </c>
      <c r="AK1482" s="140">
        <v>0.0</v>
      </c>
      <c r="AL1482" s="109">
        <v>0.0</v>
      </c>
      <c r="AM1482" s="141">
        <v>0.0</v>
      </c>
      <c r="AN1482" s="80">
        <f t="shared" si="4"/>
        <v>0</v>
      </c>
      <c r="AO1482" s="140">
        <v>0.0</v>
      </c>
      <c r="AP1482" s="109">
        <v>0.0</v>
      </c>
      <c r="AQ1482" s="109">
        <v>111.0</v>
      </c>
      <c r="AR1482" s="80">
        <f t="shared" si="5"/>
        <v>111</v>
      </c>
      <c r="AS1482" s="110">
        <v>0.0</v>
      </c>
      <c r="AT1482" s="110">
        <v>0.0</v>
      </c>
      <c r="AU1482" s="110">
        <v>0.0</v>
      </c>
      <c r="AV1482" s="142">
        <v>0.0</v>
      </c>
      <c r="AW1482" s="80">
        <f t="shared" si="6"/>
        <v>0</v>
      </c>
      <c r="AX1482" s="113">
        <f t="shared" si="7"/>
        <v>482</v>
      </c>
      <c r="AY1482" s="117">
        <f t="shared" si="8"/>
        <v>371</v>
      </c>
      <c r="AZ1482" s="120">
        <f t="shared" si="9"/>
        <v>111</v>
      </c>
      <c r="BA1482" s="115">
        <v>0.0</v>
      </c>
      <c r="BB1482" s="89">
        <f t="shared" si="10"/>
        <v>482</v>
      </c>
      <c r="BC1482" s="132" t="s">
        <v>178</v>
      </c>
      <c r="BD1482" s="132" t="s">
        <v>178</v>
      </c>
      <c r="BE1482" s="132" t="s">
        <v>178</v>
      </c>
      <c r="BF1482" s="123"/>
      <c r="BG1482" s="83">
        <v>1101619.0</v>
      </c>
      <c r="BH1482" s="98" t="s">
        <v>8378</v>
      </c>
      <c r="BI1482" s="112">
        <v>12.0</v>
      </c>
      <c r="BJ1482" s="98" t="s">
        <v>155</v>
      </c>
      <c r="BK1482" s="99">
        <f t="shared" si="11"/>
        <v>0</v>
      </c>
      <c r="BL1482" s="99">
        <f t="shared" si="12"/>
        <v>371</v>
      </c>
      <c r="BM1482" s="99" t="str">
        <f>IFERROR(__xludf.DUMMYFUNCTION("IFERROR(VLOOKUP(BG1482,IMPORTRANGE(""https://docs.google.com/spreadsheets/d/1juPI-Fb8LD0YtltB2mlGEnp_R3UVu1t3wSFPzgCyHXE/edit?gid=0#gid=0"",""GERAL!A2:C""),3,0),""-"")"),"-")</f>
        <v>-</v>
      </c>
    </row>
    <row r="1483" ht="15.75" customHeight="1">
      <c r="A1483" s="111" t="s">
        <v>1785</v>
      </c>
      <c r="B1483" s="83" t="s">
        <v>1994</v>
      </c>
      <c r="C1483" s="83" t="s">
        <v>68</v>
      </c>
      <c r="D1483" s="112">
        <v>1101120.0</v>
      </c>
      <c r="E1483" s="83"/>
      <c r="F1483" s="83">
        <v>2.9187419E7</v>
      </c>
      <c r="G1483" s="119" t="s">
        <v>8380</v>
      </c>
      <c r="H1483" s="91" t="s">
        <v>8381</v>
      </c>
      <c r="I1483" s="83" t="s">
        <v>8382</v>
      </c>
      <c r="J1483" s="83" t="s">
        <v>150</v>
      </c>
      <c r="K1483" s="83" t="s">
        <v>151</v>
      </c>
      <c r="L1483" s="83" t="s">
        <v>152</v>
      </c>
      <c r="M1483" s="82" t="str">
        <f>IFERROR(__xludf.DUMMYFUNCTION("IFERROR(VLOOKUP(D1483,
IMPORTRANGE(""https://docs.google.com/spreadsheets/d/1MjHtlUikwobi2MaWJgy7tfLeBmhj1u-dRFRs_8GwSoA/edit#gid=0"",""Gestores Escolares!D7:J""),3,0),""VERIFICAR CÓD SEC"")"),"VÂNIA MARIA NASCIMENTO FONSECA GLÓRIA")</f>
        <v>VÂNIA MARIA NASCIMENTO FONSECA GLÓRIA</v>
      </c>
      <c r="N1483" s="82" t="str">
        <f>IFERROR(__xludf.DUMMYFUNCTION("IFERROR(VLOOKUP(D1483,
IMPORTRANGE(""https://docs.google.com/spreadsheets/d/1MjHtlUikwobi2MaWJgy7tfLeBmhj1u-dRFRs_8GwSoA/edit#gid=0"",""Gestores Escolares!D7:J""),4,0),""VERIFICAR CÓD SEC"")"),"(71) 9 8633-1415")</f>
        <v>(71) 9 8633-1415</v>
      </c>
      <c r="O1483" s="82" t="str">
        <f>IFERROR(__xludf.DUMMYFUNCTION("IFERROR(VLOOKUP(D1483,
IMPORTRANGE(""https://docs.google.com/spreadsheets/d/1MjHtlUikwobi2MaWJgy7tfLeBmhj1u-dRFRs_8GwSoA/edit#gid=0"",""Gestores Escolares!D7:J""),6,0),""VERIFICAR CÓD SEC"")"),"DIANA SOUTO DOS REIS")</f>
        <v>DIANA SOUTO DOS REIS</v>
      </c>
      <c r="P1483" s="82" t="str">
        <f>IFERROR(__xludf.DUMMYFUNCTION("IFERROR(VLOOKUP(D1483,
IMPORTRANGE(""https://docs.google.com/spreadsheets/d/1MjHtlUikwobi2MaWJgy7tfLeBmhj1u-dRFRs_8GwSoA/edit#gid=0"",""Gestores Escolares!D7:J""),7,0),""VERIFICAR CÓD SEC"")"),"(71) 9 8746-9968")</f>
        <v>(71) 9 8746-9968</v>
      </c>
      <c r="Q1483" s="82" t="str">
        <f>IFERROR(__xludf.DUMMYFUNCTION("IFERROR(VLOOKUP(D1483,
IMPORTRANGE(""https://docs.google.com/spreadsheets/d/1MjHtlUikwobi2MaWJgy7tfLeBmhj1u-dRFRs_8GwSoA/edit#gid=0"",""Gestores Escolares!D7:m""),9,0),""VERIFICAR CÓD SEC"")"),"CARLOS ROBERTO BARRETO DOS SANTOS JUNIOR")</f>
        <v>CARLOS ROBERTO BARRETO DOS SANTOS JUNIOR</v>
      </c>
      <c r="R1483" s="82" t="str">
        <f>IFERROR(__xludf.DUMMYFUNCTION("IFERROR(VLOOKUP(D1483,
IMPORTRANGE(""https://docs.google.com/spreadsheets/d/1MjHtlUikwobi2MaWJgy7tfLeBmhj1u-dRFRs_8GwSoA/edit#gid=0"",""Gestores Escolares!D7:m""),10,0),""VERIFICAR CÓD SEC"")"),"(71) 9 9165-9722")</f>
        <v>(71) 9 9165-9722</v>
      </c>
      <c r="S1483" s="82"/>
      <c r="T1483" s="138">
        <v>11.0</v>
      </c>
      <c r="U1483" s="152">
        <v>11.0</v>
      </c>
      <c r="V1483" s="106">
        <v>0.0</v>
      </c>
      <c r="W1483" s="107">
        <v>0.0</v>
      </c>
      <c r="X1483" s="107">
        <v>0.0</v>
      </c>
      <c r="Y1483" s="107">
        <v>0.0</v>
      </c>
      <c r="Z1483" s="80">
        <f t="shared" si="1"/>
        <v>0</v>
      </c>
      <c r="AA1483" s="106">
        <v>145.0</v>
      </c>
      <c r="AB1483" s="107">
        <v>86.0</v>
      </c>
      <c r="AC1483" s="107">
        <v>0.0</v>
      </c>
      <c r="AD1483" s="107">
        <v>181.0</v>
      </c>
      <c r="AE1483" s="80">
        <f t="shared" si="2"/>
        <v>412</v>
      </c>
      <c r="AF1483" s="140">
        <v>0.0</v>
      </c>
      <c r="AG1483" s="109">
        <v>0.0</v>
      </c>
      <c r="AH1483" s="109">
        <v>0.0</v>
      </c>
      <c r="AI1483" s="141">
        <v>0.0</v>
      </c>
      <c r="AJ1483" s="80">
        <f t="shared" si="3"/>
        <v>0</v>
      </c>
      <c r="AK1483" s="140">
        <v>0.0</v>
      </c>
      <c r="AL1483" s="109">
        <v>0.0</v>
      </c>
      <c r="AM1483" s="141">
        <v>0.0</v>
      </c>
      <c r="AN1483" s="80">
        <f t="shared" si="4"/>
        <v>0</v>
      </c>
      <c r="AO1483" s="140">
        <v>0.0</v>
      </c>
      <c r="AP1483" s="109">
        <v>0.0</v>
      </c>
      <c r="AQ1483" s="109">
        <v>0.0</v>
      </c>
      <c r="AR1483" s="80">
        <f t="shared" si="5"/>
        <v>0</v>
      </c>
      <c r="AS1483" s="110">
        <v>0.0</v>
      </c>
      <c r="AT1483" s="110">
        <v>0.0</v>
      </c>
      <c r="AU1483" s="110">
        <v>0.0</v>
      </c>
      <c r="AV1483" s="142">
        <v>0.0</v>
      </c>
      <c r="AW1483" s="80">
        <f t="shared" si="6"/>
        <v>0</v>
      </c>
      <c r="AX1483" s="113">
        <f t="shared" si="7"/>
        <v>412</v>
      </c>
      <c r="AY1483" s="117">
        <f t="shared" si="8"/>
        <v>412</v>
      </c>
      <c r="AZ1483" s="120">
        <f t="shared" si="9"/>
        <v>0</v>
      </c>
      <c r="BA1483" s="115">
        <v>0.0</v>
      </c>
      <c r="BB1483" s="89">
        <f t="shared" si="10"/>
        <v>412</v>
      </c>
      <c r="BC1483" s="132" t="s">
        <v>178</v>
      </c>
      <c r="BD1483" s="132" t="s">
        <v>178</v>
      </c>
      <c r="BE1483" s="132" t="s">
        <v>178</v>
      </c>
      <c r="BF1483" s="123"/>
      <c r="BG1483" s="83">
        <v>1101120.0</v>
      </c>
      <c r="BH1483" s="98" t="s">
        <v>8383</v>
      </c>
      <c r="BI1483" s="112">
        <v>11.0</v>
      </c>
      <c r="BJ1483" s="98" t="s">
        <v>155</v>
      </c>
      <c r="BK1483" s="99">
        <f t="shared" si="11"/>
        <v>181</v>
      </c>
      <c r="BL1483" s="99">
        <f t="shared" si="12"/>
        <v>231</v>
      </c>
      <c r="BM1483" s="99" t="str">
        <f>IFERROR(__xludf.DUMMYFUNCTION("IFERROR(VLOOKUP(BG1483,IMPORTRANGE(""https://docs.google.com/spreadsheets/d/1juPI-Fb8LD0YtltB2mlGEnp_R3UVu1t3wSFPzgCyHXE/edit?gid=0#gid=0"",""GERAL!A2:C""),3,0),""-"")"),"-")</f>
        <v>-</v>
      </c>
    </row>
    <row r="1484" ht="15.75" customHeight="1">
      <c r="A1484" s="111" t="s">
        <v>1785</v>
      </c>
      <c r="B1484" s="83" t="s">
        <v>1994</v>
      </c>
      <c r="C1484" s="83" t="s">
        <v>68</v>
      </c>
      <c r="D1484" s="112">
        <v>1146094.0</v>
      </c>
      <c r="E1484" s="83"/>
      <c r="F1484" s="83">
        <v>2.9191343E7</v>
      </c>
      <c r="G1484" s="220" t="s">
        <v>8384</v>
      </c>
      <c r="H1484" s="91" t="s">
        <v>8385</v>
      </c>
      <c r="I1484" s="83" t="s">
        <v>8386</v>
      </c>
      <c r="J1484" s="83" t="s">
        <v>150</v>
      </c>
      <c r="K1484" s="83" t="s">
        <v>151</v>
      </c>
      <c r="L1484" s="83" t="s">
        <v>230</v>
      </c>
      <c r="M1484" s="82" t="str">
        <f>IFERROR(__xludf.DUMMYFUNCTION("IFERROR(VLOOKUP(D1484,
IMPORTRANGE(""https://docs.google.com/spreadsheets/d/1MjHtlUikwobi2MaWJgy7tfLeBmhj1u-dRFRs_8GwSoA/edit#gid=0"",""Gestores Escolares!D7:J""),3,0),""VERIFICAR CÓD SEC"")"),"ELISIO SOUZA SANTOS")</f>
        <v>ELISIO SOUZA SANTOS</v>
      </c>
      <c r="N1484" s="82" t="str">
        <f>IFERROR(__xludf.DUMMYFUNCTION("IFERROR(VLOOKUP(D1484,
IMPORTRANGE(""https://docs.google.com/spreadsheets/d/1MjHtlUikwobi2MaWJgy7tfLeBmhj1u-dRFRs_8GwSoA/edit#gid=0"",""Gestores Escolares!D7:J""),4,0),""VERIFICAR CÓD SEC"")"),"(71) 9 9990-2509")</f>
        <v>(71) 9 9990-2509</v>
      </c>
      <c r="O1484" s="82" t="str">
        <f>IFERROR(__xludf.DUMMYFUNCTION("IFERROR(VLOOKUP(D1484,
IMPORTRANGE(""https://docs.google.com/spreadsheets/d/1MjHtlUikwobi2MaWJgy7tfLeBmhj1u-dRFRs_8GwSoA/edit#gid=0"",""Gestores Escolares!D7:J""),6,0),""VERIFICAR CÓD SEC"")"),"LUISE ALVES DE OLIVEIRA MOREIRA")</f>
        <v>LUISE ALVES DE OLIVEIRA MOREIRA</v>
      </c>
      <c r="P1484" s="82" t="str">
        <f>IFERROR(__xludf.DUMMYFUNCTION("IFERROR(VLOOKUP(D1484,
IMPORTRANGE(""https://docs.google.com/spreadsheets/d/1MjHtlUikwobi2MaWJgy7tfLeBmhj1u-dRFRs_8GwSoA/edit#gid=0"",""Gestores Escolares!D7:J""),7,0),""VERIFICAR CÓD SEC"")"),"(71) 9 9901-2417/ 9 9957-1356")</f>
        <v>(71) 9 9901-2417/ 9 9957-1356</v>
      </c>
      <c r="Q1484" s="82" t="str">
        <f>IFERROR(__xludf.DUMMYFUNCTION("IFERROR(VLOOKUP(D1484,
IMPORTRANGE(""https://docs.google.com/spreadsheets/d/1MjHtlUikwobi2MaWJgy7tfLeBmhj1u-dRFRs_8GwSoA/edit#gid=0"",""Gestores Escolares!D7:m""),9,0),""VERIFICAR CÓD SEC"")"),"CRISTIANE PINTO NUNES")</f>
        <v>CRISTIANE PINTO NUNES</v>
      </c>
      <c r="R1484" s="82" t="str">
        <f>IFERROR(__xludf.DUMMYFUNCTION("IFERROR(VLOOKUP(D1484,
IMPORTRANGE(""https://docs.google.com/spreadsheets/d/1MjHtlUikwobi2MaWJgy7tfLeBmhj1u-dRFRs_8GwSoA/edit#gid=0"",""Gestores Escolares!D7:m""),10,0),""VERIFICAR CÓD SEC"")"),"(71) 9 8199-0232")</f>
        <v>(71) 9 8199-0232</v>
      </c>
      <c r="S1484" s="82"/>
      <c r="T1484" s="138">
        <v>20.0</v>
      </c>
      <c r="U1484" s="152">
        <v>24.0</v>
      </c>
      <c r="V1484" s="106">
        <v>0.0</v>
      </c>
      <c r="W1484" s="107">
        <v>0.0</v>
      </c>
      <c r="X1484" s="107">
        <v>0.0</v>
      </c>
      <c r="Y1484" s="107">
        <v>0.0</v>
      </c>
      <c r="Z1484" s="80">
        <f t="shared" si="1"/>
        <v>0</v>
      </c>
      <c r="AA1484" s="106">
        <v>0.0</v>
      </c>
      <c r="AB1484" s="107">
        <v>0.0</v>
      </c>
      <c r="AC1484" s="107">
        <v>0.0</v>
      </c>
      <c r="AD1484" s="107">
        <v>0.0</v>
      </c>
      <c r="AE1484" s="80">
        <f t="shared" si="2"/>
        <v>0</v>
      </c>
      <c r="AF1484" s="140">
        <v>0.0</v>
      </c>
      <c r="AG1484" s="109">
        <v>0.0</v>
      </c>
      <c r="AH1484" s="109">
        <v>0.0</v>
      </c>
      <c r="AI1484" s="141">
        <v>598.0</v>
      </c>
      <c r="AJ1484" s="80">
        <f t="shared" si="3"/>
        <v>598</v>
      </c>
      <c r="AK1484" s="140">
        <v>0.0</v>
      </c>
      <c r="AL1484" s="109">
        <v>0.0</v>
      </c>
      <c r="AM1484" s="141">
        <v>0.0</v>
      </c>
      <c r="AN1484" s="80">
        <f t="shared" si="4"/>
        <v>0</v>
      </c>
      <c r="AO1484" s="140">
        <v>0.0</v>
      </c>
      <c r="AP1484" s="109">
        <v>0.0</v>
      </c>
      <c r="AQ1484" s="109">
        <v>182.0</v>
      </c>
      <c r="AR1484" s="80">
        <f t="shared" si="5"/>
        <v>182</v>
      </c>
      <c r="AS1484" s="110">
        <v>195.0</v>
      </c>
      <c r="AT1484" s="110">
        <v>227.0</v>
      </c>
      <c r="AU1484" s="110">
        <v>110.0</v>
      </c>
      <c r="AV1484" s="142">
        <v>0.0</v>
      </c>
      <c r="AW1484" s="80">
        <f t="shared" si="6"/>
        <v>532</v>
      </c>
      <c r="AX1484" s="113">
        <f t="shared" si="7"/>
        <v>1312</v>
      </c>
      <c r="AY1484" s="117">
        <f t="shared" si="8"/>
        <v>1020</v>
      </c>
      <c r="AZ1484" s="120">
        <f t="shared" si="9"/>
        <v>292</v>
      </c>
      <c r="BA1484" s="115">
        <v>1.0</v>
      </c>
      <c r="BB1484" s="89">
        <f t="shared" si="10"/>
        <v>1313</v>
      </c>
      <c r="BC1484" s="132" t="s">
        <v>178</v>
      </c>
      <c r="BD1484" s="132" t="s">
        <v>178</v>
      </c>
      <c r="BE1484" s="132" t="s">
        <v>178</v>
      </c>
      <c r="BF1484" s="156"/>
      <c r="BG1484" s="83">
        <v>1146094.0</v>
      </c>
      <c r="BH1484" s="137" t="s">
        <v>8388</v>
      </c>
      <c r="BI1484" s="112">
        <v>24.0</v>
      </c>
      <c r="BJ1484" s="98" t="s">
        <v>162</v>
      </c>
      <c r="BK1484" s="99">
        <f t="shared" si="11"/>
        <v>598</v>
      </c>
      <c r="BL1484" s="99">
        <f t="shared" si="12"/>
        <v>422</v>
      </c>
      <c r="BM1484" s="99" t="str">
        <f>IFERROR(__xludf.DUMMYFUNCTION("IFERROR(VLOOKUP(BG1484,IMPORTRANGE(""https://docs.google.com/spreadsheets/d/1juPI-Fb8LD0YtltB2mlGEnp_R3UVu1t3wSFPzgCyHXE/edit?gid=0#gid=0"",""GERAL!A2:C""),3,0),""-"")"),"-")</f>
        <v>-</v>
      </c>
    </row>
    <row r="1485" ht="15.75" customHeight="1">
      <c r="A1485" s="111" t="s">
        <v>1785</v>
      </c>
      <c r="B1485" s="83" t="s">
        <v>1994</v>
      </c>
      <c r="C1485" s="83" t="s">
        <v>68</v>
      </c>
      <c r="D1485" s="112">
        <v>1176661.0</v>
      </c>
      <c r="E1485" s="83"/>
      <c r="F1485" s="83">
        <v>2.940429E7</v>
      </c>
      <c r="G1485" s="119" t="s">
        <v>8389</v>
      </c>
      <c r="H1485" s="91" t="s">
        <v>8390</v>
      </c>
      <c r="I1485" s="83" t="s">
        <v>8391</v>
      </c>
      <c r="J1485" s="83" t="s">
        <v>150</v>
      </c>
      <c r="K1485" s="83" t="s">
        <v>151</v>
      </c>
      <c r="L1485" s="83" t="s">
        <v>152</v>
      </c>
      <c r="M1485" s="82" t="str">
        <f>IFERROR(__xludf.DUMMYFUNCTION("IFERROR(VLOOKUP(D1485,
IMPORTRANGE(""https://docs.google.com/spreadsheets/d/1MjHtlUikwobi2MaWJgy7tfLeBmhj1u-dRFRs_8GwSoA/edit#gid=0"",""Gestores Escolares!D7:J""),3,0),""VERIFICAR CÓD SEC"")"),"AGDA CELESTE DOS SANTOS")</f>
        <v>AGDA CELESTE DOS SANTOS</v>
      </c>
      <c r="N1485" s="82" t="str">
        <f>IFERROR(__xludf.DUMMYFUNCTION("IFERROR(VLOOKUP(D1485,
IMPORTRANGE(""https://docs.google.com/spreadsheets/d/1MjHtlUikwobi2MaWJgy7tfLeBmhj1u-dRFRs_8GwSoA/edit#gid=0"",""Gestores Escolares!D7:J""),4,0),""VERIFICAR CÓD SEC"")"),"(71) 9 8887-2466")</f>
        <v>(71) 9 8887-2466</v>
      </c>
      <c r="O1485" s="82" t="str">
        <f>IFERROR(__xludf.DUMMYFUNCTION("IFERROR(VLOOKUP(D1485,
IMPORTRANGE(""https://docs.google.com/spreadsheets/d/1MjHtlUikwobi2MaWJgy7tfLeBmhj1u-dRFRs_8GwSoA/edit#gid=0"",""Gestores Escolares!D7:J""),6,0),""VERIFICAR CÓD SEC"")"),"JOSE ROBERTO FERREIRA RIBEIRO")</f>
        <v>JOSE ROBERTO FERREIRA RIBEIRO</v>
      </c>
      <c r="P1485" s="82" t="str">
        <f>IFERROR(__xludf.DUMMYFUNCTION("IFERROR(VLOOKUP(D1485,
IMPORTRANGE(""https://docs.google.com/spreadsheets/d/1MjHtlUikwobi2MaWJgy7tfLeBmhj1u-dRFRs_8GwSoA/edit#gid=0"",""Gestores Escolares!D7:J""),7,0),""VERIFICAR CÓD SEC"")"),"(71) 9 8699-2091")</f>
        <v>(71) 9 8699-2091</v>
      </c>
      <c r="Q1485" s="82" t="str">
        <f>IFERROR(__xludf.DUMMYFUNCTION("IFERROR(VLOOKUP(D1485,
IMPORTRANGE(""https://docs.google.com/spreadsheets/d/1MjHtlUikwobi2MaWJgy7tfLeBmhj1u-dRFRs_8GwSoA/edit#gid=0"",""Gestores Escolares!D7:m""),9,0),""VERIFICAR CÓD SEC"")"),"")</f>
        <v/>
      </c>
      <c r="R1485" s="82" t="str">
        <f>IFERROR(__xludf.DUMMYFUNCTION("IFERROR(VLOOKUP(D1485,
IMPORTRANGE(""https://docs.google.com/spreadsheets/d/1MjHtlUikwobi2MaWJgy7tfLeBmhj1u-dRFRs_8GwSoA/edit#gid=0"",""Gestores Escolares!D7:m""),10,0),""VERIFICAR CÓD SEC"")"),"")</f>
        <v/>
      </c>
      <c r="S1485" s="82"/>
      <c r="T1485" s="138">
        <v>14.0</v>
      </c>
      <c r="U1485" s="152">
        <v>9.0</v>
      </c>
      <c r="V1485" s="106">
        <v>0.0</v>
      </c>
      <c r="W1485" s="107">
        <v>0.0</v>
      </c>
      <c r="X1485" s="107">
        <v>0.0</v>
      </c>
      <c r="Y1485" s="107">
        <v>0.0</v>
      </c>
      <c r="Z1485" s="80">
        <f t="shared" si="1"/>
        <v>0</v>
      </c>
      <c r="AA1485" s="106">
        <v>0.0</v>
      </c>
      <c r="AB1485" s="107">
        <v>165.0</v>
      </c>
      <c r="AC1485" s="107">
        <v>0.0</v>
      </c>
      <c r="AD1485" s="107">
        <v>0.0</v>
      </c>
      <c r="AE1485" s="80">
        <f t="shared" si="2"/>
        <v>165</v>
      </c>
      <c r="AF1485" s="140">
        <v>126.0</v>
      </c>
      <c r="AG1485" s="109">
        <v>0.0</v>
      </c>
      <c r="AH1485" s="109">
        <v>0.0</v>
      </c>
      <c r="AI1485" s="141">
        <v>17.0</v>
      </c>
      <c r="AJ1485" s="80">
        <f t="shared" si="3"/>
        <v>143</v>
      </c>
      <c r="AK1485" s="140">
        <v>0.0</v>
      </c>
      <c r="AL1485" s="109">
        <v>0.0</v>
      </c>
      <c r="AM1485" s="141">
        <v>0.0</v>
      </c>
      <c r="AN1485" s="80">
        <f t="shared" si="4"/>
        <v>0</v>
      </c>
      <c r="AO1485" s="140">
        <v>0.0</v>
      </c>
      <c r="AP1485" s="109">
        <v>0.0</v>
      </c>
      <c r="AQ1485" s="109">
        <v>28.0</v>
      </c>
      <c r="AR1485" s="80">
        <f t="shared" si="5"/>
        <v>28</v>
      </c>
      <c r="AS1485" s="110">
        <v>0.0</v>
      </c>
      <c r="AT1485" s="110">
        <v>0.0</v>
      </c>
      <c r="AU1485" s="110">
        <v>0.0</v>
      </c>
      <c r="AV1485" s="142">
        <v>0.0</v>
      </c>
      <c r="AW1485" s="80">
        <f t="shared" si="6"/>
        <v>0</v>
      </c>
      <c r="AX1485" s="113">
        <f t="shared" si="7"/>
        <v>336</v>
      </c>
      <c r="AY1485" s="117">
        <f t="shared" si="8"/>
        <v>308</v>
      </c>
      <c r="AZ1485" s="120">
        <f t="shared" si="9"/>
        <v>28</v>
      </c>
      <c r="BA1485" s="115">
        <v>0.0</v>
      </c>
      <c r="BB1485" s="89">
        <f t="shared" si="10"/>
        <v>336</v>
      </c>
      <c r="BC1485" s="132" t="s">
        <v>178</v>
      </c>
      <c r="BD1485" s="132" t="s">
        <v>178</v>
      </c>
      <c r="BE1485" s="132" t="s">
        <v>178</v>
      </c>
      <c r="BF1485" s="156"/>
      <c r="BG1485" s="83">
        <v>1176661.0</v>
      </c>
      <c r="BH1485" s="137" t="s">
        <v>8392</v>
      </c>
      <c r="BI1485" s="112">
        <v>9.0</v>
      </c>
      <c r="BJ1485" s="98" t="s">
        <v>155</v>
      </c>
      <c r="BK1485" s="99">
        <f t="shared" si="11"/>
        <v>17</v>
      </c>
      <c r="BL1485" s="99">
        <f t="shared" si="12"/>
        <v>291</v>
      </c>
      <c r="BM1485" s="99" t="str">
        <f>IFERROR(__xludf.DUMMYFUNCTION("IFERROR(VLOOKUP(BG1485,IMPORTRANGE(""https://docs.google.com/spreadsheets/d/1juPI-Fb8LD0YtltB2mlGEnp_R3UVu1t3wSFPzgCyHXE/edit?gid=0#gid=0"",""GERAL!A2:C""),3,0),""-"")"),"-")</f>
        <v>-</v>
      </c>
    </row>
    <row r="1486" ht="15.75" customHeight="1">
      <c r="A1486" s="111" t="s">
        <v>1785</v>
      </c>
      <c r="B1486" s="83" t="s">
        <v>1994</v>
      </c>
      <c r="C1486" s="83" t="s">
        <v>68</v>
      </c>
      <c r="D1486" s="112">
        <v>1176189.0</v>
      </c>
      <c r="E1486" s="83"/>
      <c r="F1486" s="83">
        <v>2.91853E7</v>
      </c>
      <c r="G1486" s="119" t="s">
        <v>8395</v>
      </c>
      <c r="H1486" s="91" t="s">
        <v>8396</v>
      </c>
      <c r="I1486" s="83" t="s">
        <v>8347</v>
      </c>
      <c r="J1486" s="83" t="s">
        <v>150</v>
      </c>
      <c r="K1486" s="83" t="s">
        <v>8397</v>
      </c>
      <c r="L1486" s="83" t="s">
        <v>152</v>
      </c>
      <c r="M1486" s="82" t="str">
        <f>IFERROR(__xludf.DUMMYFUNCTION("IFERROR(VLOOKUP(D1486,
IMPORTRANGE(""https://docs.google.com/spreadsheets/d/1MjHtlUikwobi2MaWJgy7tfLeBmhj1u-dRFRs_8GwSoA/edit#gid=0"",""Gestores Escolares!D7:J""),3,0),""VERIFICAR CÓD SEC"")"),"JOSE ANTONIO SOUZA MATOS")</f>
        <v>JOSE ANTONIO SOUZA MATOS</v>
      </c>
      <c r="N1486" s="82" t="str">
        <f>IFERROR(__xludf.DUMMYFUNCTION("IFERROR(VLOOKUP(D1486,
IMPORTRANGE(""https://docs.google.com/spreadsheets/d/1MjHtlUikwobi2MaWJgy7tfLeBmhj1u-dRFRs_8GwSoA/edit#gid=0"",""Gestores Escolares!D7:J""),4,0),""VERIFICAR CÓD SEC"")"),"(71) 9 9924-4079")</f>
        <v>(71) 9 9924-4079</v>
      </c>
      <c r="O1486" s="82" t="str">
        <f>IFERROR(__xludf.DUMMYFUNCTION("IFERROR(VLOOKUP(D1486,
IMPORTRANGE(""https://docs.google.com/spreadsheets/d/1MjHtlUikwobi2MaWJgy7tfLeBmhj1u-dRFRs_8GwSoA/edit#gid=0"",""Gestores Escolares!D7:J""),6,0),""VERIFICAR CÓD SEC"")"),"GILSON ALVES LIMA")</f>
        <v>GILSON ALVES LIMA</v>
      </c>
      <c r="P1486" s="82" t="str">
        <f>IFERROR(__xludf.DUMMYFUNCTION("IFERROR(VLOOKUP(D1486,
IMPORTRANGE(""https://docs.google.com/spreadsheets/d/1MjHtlUikwobi2MaWJgy7tfLeBmhj1u-dRFRs_8GwSoA/edit#gid=0"",""Gestores Escolares!D7:J""),7,0),""VERIFICAR CÓD SEC"")"),"(71) 9 8849-6875")</f>
        <v>(71) 9 8849-6875</v>
      </c>
      <c r="Q1486" s="82" t="str">
        <f>IFERROR(__xludf.DUMMYFUNCTION("IFERROR(VLOOKUP(D1486,
IMPORTRANGE(""https://docs.google.com/spreadsheets/d/1MjHtlUikwobi2MaWJgy7tfLeBmhj1u-dRFRs_8GwSoA/edit#gid=0"",""Gestores Escolares!D7:m""),9,0),""VERIFICAR CÓD SEC"")")," EDNALDO SILVA DE FREITAS")</f>
        <v> EDNALDO SILVA DE FREITAS</v>
      </c>
      <c r="R1486" s="82" t="str">
        <f>IFERROR(__xludf.DUMMYFUNCTION("IFERROR(VLOOKUP(D1486,
IMPORTRANGE(""https://docs.google.com/spreadsheets/d/1MjHtlUikwobi2MaWJgy7tfLeBmhj1u-dRFRs_8GwSoA/edit#gid=0"",""Gestores Escolares!D7:m""),10,0),""VERIFICAR CÓD SEC"")"),"(71) 9 8819-9195")</f>
        <v>(71) 9 8819-9195</v>
      </c>
      <c r="S1486" s="82"/>
      <c r="T1486" s="138">
        <v>35.0</v>
      </c>
      <c r="U1486" s="152">
        <v>38.0</v>
      </c>
      <c r="V1486" s="106">
        <v>0.0</v>
      </c>
      <c r="W1486" s="107">
        <v>0.0</v>
      </c>
      <c r="X1486" s="107">
        <v>0.0</v>
      </c>
      <c r="Y1486" s="107">
        <v>0.0</v>
      </c>
      <c r="Z1486" s="80">
        <f t="shared" si="1"/>
        <v>0</v>
      </c>
      <c r="AA1486" s="106">
        <v>0.0</v>
      </c>
      <c r="AB1486" s="107">
        <v>0.0</v>
      </c>
      <c r="AC1486" s="107">
        <v>0.0</v>
      </c>
      <c r="AD1486" s="107">
        <v>0.0</v>
      </c>
      <c r="AE1486" s="80">
        <f t="shared" si="2"/>
        <v>0</v>
      </c>
      <c r="AF1486" s="140">
        <v>0.0</v>
      </c>
      <c r="AG1486" s="109">
        <v>0.0</v>
      </c>
      <c r="AH1486" s="109">
        <v>0.0</v>
      </c>
      <c r="AI1486" s="141">
        <v>0.0</v>
      </c>
      <c r="AJ1486" s="80">
        <f t="shared" si="3"/>
        <v>0</v>
      </c>
      <c r="AK1486" s="140">
        <v>593.0</v>
      </c>
      <c r="AL1486" s="109">
        <v>572.0</v>
      </c>
      <c r="AM1486" s="141">
        <v>242.0</v>
      </c>
      <c r="AN1486" s="80">
        <f t="shared" si="4"/>
        <v>1407</v>
      </c>
      <c r="AO1486" s="140">
        <v>88.0</v>
      </c>
      <c r="AP1486" s="109">
        <v>152.0</v>
      </c>
      <c r="AQ1486" s="109">
        <v>104.0</v>
      </c>
      <c r="AR1486" s="80">
        <f t="shared" si="5"/>
        <v>344</v>
      </c>
      <c r="AS1486" s="110">
        <v>0.0</v>
      </c>
      <c r="AT1486" s="110">
        <v>0.0</v>
      </c>
      <c r="AU1486" s="110">
        <v>0.0</v>
      </c>
      <c r="AV1486" s="142">
        <v>0.0</v>
      </c>
      <c r="AW1486" s="80">
        <f t="shared" si="6"/>
        <v>0</v>
      </c>
      <c r="AX1486" s="113">
        <f t="shared" si="7"/>
        <v>1751</v>
      </c>
      <c r="AY1486" s="117">
        <f t="shared" si="8"/>
        <v>1405</v>
      </c>
      <c r="AZ1486" s="120">
        <f t="shared" si="9"/>
        <v>346</v>
      </c>
      <c r="BA1486" s="115">
        <v>48.0</v>
      </c>
      <c r="BB1486" s="89">
        <f t="shared" si="10"/>
        <v>1799</v>
      </c>
      <c r="BC1486" s="132" t="s">
        <v>563</v>
      </c>
      <c r="BD1486" s="132" t="s">
        <v>178</v>
      </c>
      <c r="BE1486" s="132" t="s">
        <v>178</v>
      </c>
      <c r="BF1486" s="156"/>
      <c r="BG1486" s="83">
        <v>1176189.0</v>
      </c>
      <c r="BH1486" s="137" t="s">
        <v>8398</v>
      </c>
      <c r="BI1486" s="112">
        <v>38.0</v>
      </c>
      <c r="BJ1486" s="98" t="s">
        <v>155</v>
      </c>
      <c r="BK1486" s="99">
        <f t="shared" si="11"/>
        <v>0</v>
      </c>
      <c r="BL1486" s="99">
        <f t="shared" si="12"/>
        <v>1405</v>
      </c>
      <c r="BM1486" s="99" t="str">
        <f>IFERROR(__xludf.DUMMYFUNCTION("IFERROR(VLOOKUP(BG1486,IMPORTRANGE(""https://docs.google.com/spreadsheets/d/1juPI-Fb8LD0YtltB2mlGEnp_R3UVu1t3wSFPzgCyHXE/edit?gid=0#gid=0"",""GERAL!A2:C""),3,0),""-"")"),"-")</f>
        <v>-</v>
      </c>
    </row>
    <row r="1487" ht="15.75" customHeight="1">
      <c r="A1487" s="111" t="s">
        <v>1785</v>
      </c>
      <c r="B1487" s="83" t="s">
        <v>1994</v>
      </c>
      <c r="C1487" s="83" t="s">
        <v>68</v>
      </c>
      <c r="D1487" s="112">
        <v>1100833.0</v>
      </c>
      <c r="E1487" s="83"/>
      <c r="F1487" s="83">
        <v>2.9184932E7</v>
      </c>
      <c r="G1487" s="119" t="s">
        <v>8399</v>
      </c>
      <c r="H1487" s="91" t="s">
        <v>8400</v>
      </c>
      <c r="I1487" s="83" t="s">
        <v>8391</v>
      </c>
      <c r="J1487" s="83" t="s">
        <v>150</v>
      </c>
      <c r="K1487" s="83" t="s">
        <v>151</v>
      </c>
      <c r="L1487" s="83" t="s">
        <v>152</v>
      </c>
      <c r="M1487" s="82" t="str">
        <f>IFERROR(__xludf.DUMMYFUNCTION("IFERROR(VLOOKUP(D1487,
IMPORTRANGE(""https://docs.google.com/spreadsheets/d/1MjHtlUikwobi2MaWJgy7tfLeBmhj1u-dRFRs_8GwSoA/edit#gid=0"",""Gestores Escolares!D7:J""),3,0),""VERIFICAR CÓD SEC"")"),"DILCE MARIA SOUTO DE ASSIS")</f>
        <v>DILCE MARIA SOUTO DE ASSIS</v>
      </c>
      <c r="N1487" s="82" t="str">
        <f>IFERROR(__xludf.DUMMYFUNCTION("IFERROR(VLOOKUP(D1487,
IMPORTRANGE(""https://docs.google.com/spreadsheets/d/1MjHtlUikwobi2MaWJgy7tfLeBmhj1u-dRFRs_8GwSoA/edit#gid=0"",""Gestores Escolares!D7:J""),4,0),""VERIFICAR CÓD SEC"")"),"(71) 9 9136-6667   ")</f>
        <v>(71) 9 9136-6667   </v>
      </c>
      <c r="O1487" s="82" t="str">
        <f>IFERROR(__xludf.DUMMYFUNCTION("IFERROR(VLOOKUP(D1487,
IMPORTRANGE(""https://docs.google.com/spreadsheets/d/1MjHtlUikwobi2MaWJgy7tfLeBmhj1u-dRFRs_8GwSoA/edit#gid=0"",""Gestores Escolares!D7:J""),6,0),""VERIFICAR CÓD SEC"")"),"ERIC CAMPOS DA SILVA SOUSA")</f>
        <v>ERIC CAMPOS DA SILVA SOUSA</v>
      </c>
      <c r="P1487" s="82" t="str">
        <f>IFERROR(__xludf.DUMMYFUNCTION("IFERROR(VLOOKUP(D1487,
IMPORTRANGE(""https://docs.google.com/spreadsheets/d/1MjHtlUikwobi2MaWJgy7tfLeBmhj1u-dRFRs_8GwSoA/edit#gid=0"",""Gestores Escolares!D7:J""),7,0),""VERIFICAR CÓD SEC"")"),"(71) 9 9126-6488")</f>
        <v>(71) 9 9126-6488</v>
      </c>
      <c r="Q1487" s="82" t="str">
        <f>IFERROR(__xludf.DUMMYFUNCTION("IFERROR(VLOOKUP(D1487,
IMPORTRANGE(""https://docs.google.com/spreadsheets/d/1MjHtlUikwobi2MaWJgy7tfLeBmhj1u-dRFRs_8GwSoA/edit#gid=0"",""Gestores Escolares!D7:m""),9,0),""VERIFICAR CÓD SEC"")"),"WELBER CESAR DE ALCANTARA ROCHA")</f>
        <v>WELBER CESAR DE ALCANTARA ROCHA</v>
      </c>
      <c r="R1487" s="82" t="str">
        <f>IFERROR(__xludf.DUMMYFUNCTION("IFERROR(VLOOKUP(D1487,
IMPORTRANGE(""https://docs.google.com/spreadsheets/d/1MjHtlUikwobi2MaWJgy7tfLeBmhj1u-dRFRs_8GwSoA/edit#gid=0"",""Gestores Escolares!D7:m""),10,0),""VERIFICAR CÓD SEC"")"),"(71) 9 8837-4212")</f>
        <v>(71) 9 8837-4212</v>
      </c>
      <c r="S1487" s="82"/>
      <c r="T1487" s="138">
        <v>14.0</v>
      </c>
      <c r="U1487" s="152">
        <v>13.0</v>
      </c>
      <c r="V1487" s="106">
        <v>0.0</v>
      </c>
      <c r="W1487" s="107">
        <v>0.0</v>
      </c>
      <c r="X1487" s="107">
        <v>0.0</v>
      </c>
      <c r="Y1487" s="107">
        <v>0.0</v>
      </c>
      <c r="Z1487" s="80">
        <f t="shared" si="1"/>
        <v>0</v>
      </c>
      <c r="AA1487" s="106">
        <v>213.0</v>
      </c>
      <c r="AB1487" s="107">
        <v>145.0</v>
      </c>
      <c r="AC1487" s="107">
        <v>0.0</v>
      </c>
      <c r="AD1487" s="107">
        <v>0.0</v>
      </c>
      <c r="AE1487" s="80">
        <f t="shared" si="2"/>
        <v>358</v>
      </c>
      <c r="AF1487" s="140">
        <v>222.0</v>
      </c>
      <c r="AG1487" s="109">
        <v>191.0</v>
      </c>
      <c r="AH1487" s="109">
        <v>0.0</v>
      </c>
      <c r="AI1487" s="141">
        <v>0.0</v>
      </c>
      <c r="AJ1487" s="80">
        <f t="shared" si="3"/>
        <v>413</v>
      </c>
      <c r="AK1487" s="140">
        <v>0.0</v>
      </c>
      <c r="AL1487" s="109">
        <v>0.0</v>
      </c>
      <c r="AM1487" s="141">
        <v>30.0</v>
      </c>
      <c r="AN1487" s="80">
        <f t="shared" si="4"/>
        <v>30</v>
      </c>
      <c r="AO1487" s="140">
        <v>0.0</v>
      </c>
      <c r="AP1487" s="109">
        <v>0.0</v>
      </c>
      <c r="AQ1487" s="109">
        <v>102.0</v>
      </c>
      <c r="AR1487" s="80">
        <f t="shared" si="5"/>
        <v>102</v>
      </c>
      <c r="AS1487" s="110">
        <v>0.0</v>
      </c>
      <c r="AT1487" s="110">
        <v>0.0</v>
      </c>
      <c r="AU1487" s="110">
        <v>0.0</v>
      </c>
      <c r="AV1487" s="142">
        <v>0.0</v>
      </c>
      <c r="AW1487" s="80">
        <f t="shared" si="6"/>
        <v>0</v>
      </c>
      <c r="AX1487" s="113">
        <f t="shared" si="7"/>
        <v>903</v>
      </c>
      <c r="AY1487" s="117">
        <f t="shared" si="8"/>
        <v>771</v>
      </c>
      <c r="AZ1487" s="120">
        <f t="shared" si="9"/>
        <v>132</v>
      </c>
      <c r="BA1487" s="115">
        <v>0.0</v>
      </c>
      <c r="BB1487" s="89">
        <f t="shared" si="10"/>
        <v>903</v>
      </c>
      <c r="BC1487" s="132" t="s">
        <v>178</v>
      </c>
      <c r="BD1487" s="132" t="s">
        <v>178</v>
      </c>
      <c r="BE1487" s="132" t="s">
        <v>178</v>
      </c>
      <c r="BF1487" s="123"/>
      <c r="BG1487" s="83">
        <v>1100833.0</v>
      </c>
      <c r="BH1487" s="137" t="s">
        <v>8401</v>
      </c>
      <c r="BI1487" s="112">
        <v>13.0</v>
      </c>
      <c r="BJ1487" s="98" t="s">
        <v>155</v>
      </c>
      <c r="BK1487" s="99">
        <f t="shared" si="11"/>
        <v>0</v>
      </c>
      <c r="BL1487" s="99">
        <f t="shared" si="12"/>
        <v>771</v>
      </c>
      <c r="BM1487" s="99" t="str">
        <f>IFERROR(__xludf.DUMMYFUNCTION("IFERROR(VLOOKUP(BG1487,IMPORTRANGE(""https://docs.google.com/spreadsheets/d/1juPI-Fb8LD0YtltB2mlGEnp_R3UVu1t3wSFPzgCyHXE/edit?gid=0#gid=0"",""GERAL!A2:C""),3,0),""-"")"),"-")</f>
        <v>-</v>
      </c>
    </row>
    <row r="1488" ht="15.75" customHeight="1">
      <c r="A1488" s="111" t="s">
        <v>1785</v>
      </c>
      <c r="B1488" s="83" t="s">
        <v>1994</v>
      </c>
      <c r="C1488" s="83" t="s">
        <v>68</v>
      </c>
      <c r="D1488" s="112">
        <v>1176109.0</v>
      </c>
      <c r="E1488" s="83"/>
      <c r="F1488" s="83">
        <v>2.934316E7</v>
      </c>
      <c r="G1488" s="633" t="s">
        <v>8402</v>
      </c>
      <c r="H1488" s="91" t="s">
        <v>8403</v>
      </c>
      <c r="I1488" s="83" t="s">
        <v>8278</v>
      </c>
      <c r="J1488" s="83" t="s">
        <v>150</v>
      </c>
      <c r="K1488" s="83" t="s">
        <v>151</v>
      </c>
      <c r="L1488" s="83" t="s">
        <v>152</v>
      </c>
      <c r="M1488" s="82" t="str">
        <f>IFERROR(__xludf.DUMMYFUNCTION("IFERROR(VLOOKUP(D1488,
IMPORTRANGE(""https://docs.google.com/spreadsheets/d/1MjHtlUikwobi2MaWJgy7tfLeBmhj1u-dRFRs_8GwSoA/edit#gid=0"",""Gestores Escolares!D7:J""),3,0),""VERIFICAR CÓD SEC"")"),"EDIMILSON MERCES OLIVEIRA")</f>
        <v>EDIMILSON MERCES OLIVEIRA</v>
      </c>
      <c r="N1488" s="82" t="str">
        <f>IFERROR(__xludf.DUMMYFUNCTION("IFERROR(VLOOKUP(D1488,
IMPORTRANGE(""https://docs.google.com/spreadsheets/d/1MjHtlUikwobi2MaWJgy7tfLeBmhj1u-dRFRs_8GwSoA/edit#gid=0"",""Gestores Escolares!D7:J""),4,0),""VERIFICAR CÓD SEC"")"),"(71) 9 9953-0911 / 9 8877-3933")</f>
        <v>(71) 9 9953-0911 / 9 8877-3933</v>
      </c>
      <c r="O1488" s="82" t="str">
        <f>IFERROR(__xludf.DUMMYFUNCTION("IFERROR(VLOOKUP(D1488,
IMPORTRANGE(""https://docs.google.com/spreadsheets/d/1MjHtlUikwobi2MaWJgy7tfLeBmhj1u-dRFRs_8GwSoA/edit#gid=0"",""Gestores Escolares!D7:J""),6,0),""VERIFICAR CÓD SEC"")"),"VAGNER DE CERQUEIRA PAIM")</f>
        <v>VAGNER DE CERQUEIRA PAIM</v>
      </c>
      <c r="P1488" s="82" t="str">
        <f>IFERROR(__xludf.DUMMYFUNCTION("IFERROR(VLOOKUP(D1488,
IMPORTRANGE(""https://docs.google.com/spreadsheets/d/1MjHtlUikwobi2MaWJgy7tfLeBmhj1u-dRFRs_8GwSoA/edit#gid=0"",""Gestores Escolares!D7:J""),7,0),""VERIFICAR CÓD SEC"")"),"(71) 9 9982-2780")</f>
        <v>(71) 9 9982-2780</v>
      </c>
      <c r="Q1488" s="82" t="str">
        <f>IFERROR(__xludf.DUMMYFUNCTION("IFERROR(VLOOKUP(D1488,
IMPORTRANGE(""https://docs.google.com/spreadsheets/d/1MjHtlUikwobi2MaWJgy7tfLeBmhj1u-dRFRs_8GwSoA/edit#gid=0"",""Gestores Escolares!D7:m""),9,0),""VERIFICAR CÓD SEC"")"),"RAIMUNDO LEAL BARRETO")</f>
        <v>RAIMUNDO LEAL BARRETO</v>
      </c>
      <c r="R1488" s="82" t="str">
        <f>IFERROR(__xludf.DUMMYFUNCTION("IFERROR(VLOOKUP(D1488,
IMPORTRANGE(""https://docs.google.com/spreadsheets/d/1MjHtlUikwobi2MaWJgy7tfLeBmhj1u-dRFRs_8GwSoA/edit#gid=0"",""Gestores Escolares!D7:m""),10,0),""VERIFICAR CÓD SEC"")"),"")</f>
        <v/>
      </c>
      <c r="S1488" s="82"/>
      <c r="T1488" s="138">
        <v>12.0</v>
      </c>
      <c r="U1488" s="152">
        <v>12.0</v>
      </c>
      <c r="V1488" s="106">
        <v>0.0</v>
      </c>
      <c r="W1488" s="107">
        <v>0.0</v>
      </c>
      <c r="X1488" s="107">
        <v>0.0</v>
      </c>
      <c r="Y1488" s="107">
        <v>0.0</v>
      </c>
      <c r="Z1488" s="80">
        <f t="shared" si="1"/>
        <v>0</v>
      </c>
      <c r="AA1488" s="106">
        <v>201.0</v>
      </c>
      <c r="AB1488" s="107">
        <v>177.0</v>
      </c>
      <c r="AC1488" s="107">
        <v>0.0</v>
      </c>
      <c r="AD1488" s="107">
        <v>0.0</v>
      </c>
      <c r="AE1488" s="80">
        <f t="shared" si="2"/>
        <v>378</v>
      </c>
      <c r="AF1488" s="140">
        <v>194.0</v>
      </c>
      <c r="AG1488" s="109">
        <v>66.0</v>
      </c>
      <c r="AH1488" s="109">
        <v>0.0</v>
      </c>
      <c r="AI1488" s="141">
        <v>0.0</v>
      </c>
      <c r="AJ1488" s="80">
        <f t="shared" si="3"/>
        <v>260</v>
      </c>
      <c r="AK1488" s="140">
        <v>0.0</v>
      </c>
      <c r="AL1488" s="109">
        <v>0.0</v>
      </c>
      <c r="AM1488" s="141">
        <v>0.0</v>
      </c>
      <c r="AN1488" s="80">
        <f t="shared" si="4"/>
        <v>0</v>
      </c>
      <c r="AO1488" s="140">
        <v>0.0</v>
      </c>
      <c r="AP1488" s="109">
        <v>0.0</v>
      </c>
      <c r="AQ1488" s="109">
        <v>38.0</v>
      </c>
      <c r="AR1488" s="80">
        <f t="shared" si="5"/>
        <v>38</v>
      </c>
      <c r="AS1488" s="110">
        <v>0.0</v>
      </c>
      <c r="AT1488" s="110">
        <v>12.0</v>
      </c>
      <c r="AU1488" s="110">
        <v>98.0</v>
      </c>
      <c r="AV1488" s="142">
        <v>9.0</v>
      </c>
      <c r="AW1488" s="80">
        <f t="shared" si="6"/>
        <v>119</v>
      </c>
      <c r="AX1488" s="113">
        <f t="shared" si="7"/>
        <v>795</v>
      </c>
      <c r="AY1488" s="117">
        <f t="shared" si="8"/>
        <v>659</v>
      </c>
      <c r="AZ1488" s="120">
        <f t="shared" si="9"/>
        <v>136</v>
      </c>
      <c r="BA1488" s="115">
        <v>0.0</v>
      </c>
      <c r="BB1488" s="89">
        <f t="shared" si="10"/>
        <v>795</v>
      </c>
      <c r="BC1488" s="132" t="s">
        <v>178</v>
      </c>
      <c r="BD1488" s="132" t="s">
        <v>178</v>
      </c>
      <c r="BE1488" s="132" t="s">
        <v>178</v>
      </c>
      <c r="BF1488" s="156"/>
      <c r="BG1488" s="83">
        <v>1176109.0</v>
      </c>
      <c r="BH1488" s="137" t="s">
        <v>8404</v>
      </c>
      <c r="BI1488" s="112">
        <v>12.0</v>
      </c>
      <c r="BJ1488" s="98" t="s">
        <v>155</v>
      </c>
      <c r="BK1488" s="99">
        <f t="shared" si="11"/>
        <v>9</v>
      </c>
      <c r="BL1488" s="99">
        <f t="shared" si="12"/>
        <v>650</v>
      </c>
      <c r="BM1488" s="99" t="str">
        <f>IFERROR(__xludf.DUMMYFUNCTION("IFERROR(VLOOKUP(BG1488,IMPORTRANGE(""https://docs.google.com/spreadsheets/d/1juPI-Fb8LD0YtltB2mlGEnp_R3UVu1t3wSFPzgCyHXE/edit?gid=0#gid=0"",""GERAL!A2:C""),3,0),""-"")"),"-")</f>
        <v>-</v>
      </c>
    </row>
    <row r="1489" ht="15.75" customHeight="1">
      <c r="A1489" s="111" t="s">
        <v>1785</v>
      </c>
      <c r="B1489" s="83" t="s">
        <v>1994</v>
      </c>
      <c r="C1489" s="83" t="s">
        <v>68</v>
      </c>
      <c r="D1489" s="112">
        <v>1176095.0</v>
      </c>
      <c r="E1489" s="83"/>
      <c r="F1489" s="83">
        <v>2.9336473E7</v>
      </c>
      <c r="G1489" s="119" t="s">
        <v>8405</v>
      </c>
      <c r="H1489" s="91" t="s">
        <v>8406</v>
      </c>
      <c r="I1489" s="146" t="s">
        <v>8391</v>
      </c>
      <c r="J1489" s="83" t="s">
        <v>150</v>
      </c>
      <c r="K1489" s="83" t="s">
        <v>151</v>
      </c>
      <c r="L1489" s="83" t="s">
        <v>152</v>
      </c>
      <c r="M1489" s="82" t="str">
        <f>IFERROR(__xludf.DUMMYFUNCTION("IFERROR(VLOOKUP(D1489,
IMPORTRANGE(""https://docs.google.com/spreadsheets/d/1MjHtlUikwobi2MaWJgy7tfLeBmhj1u-dRFRs_8GwSoA/edit#gid=0"",""Gestores Escolares!D7:J""),3,0),""VERIFICAR CÓD SEC"")"),"ROBERTO SOUZA FREITAS")</f>
        <v>ROBERTO SOUZA FREITAS</v>
      </c>
      <c r="N1489" s="82" t="str">
        <f>IFERROR(__xludf.DUMMYFUNCTION("IFERROR(VLOOKUP(D1489,
IMPORTRANGE(""https://docs.google.com/spreadsheets/d/1MjHtlUikwobi2MaWJgy7tfLeBmhj1u-dRFRs_8GwSoA/edit#gid=0"",""Gestores Escolares!D7:J""),4,0),""VERIFICAR CÓD SEC"")"),"(71) 9 8717-1926")</f>
        <v>(71) 9 8717-1926</v>
      </c>
      <c r="O1489" s="82" t="str">
        <f>IFERROR(__xludf.DUMMYFUNCTION("IFERROR(VLOOKUP(D1489,
IMPORTRANGE(""https://docs.google.com/spreadsheets/d/1MjHtlUikwobi2MaWJgy7tfLeBmhj1u-dRFRs_8GwSoA/edit#gid=0"",""Gestores Escolares!D7:J""),6,0),""VERIFICAR CÓD SEC"")"),"EDILENE BRITO BARBOSA")</f>
        <v>EDILENE BRITO BARBOSA</v>
      </c>
      <c r="P1489" s="82" t="str">
        <f>IFERROR(__xludf.DUMMYFUNCTION("IFERROR(VLOOKUP(D1489,
IMPORTRANGE(""https://docs.google.com/spreadsheets/d/1MjHtlUikwobi2MaWJgy7tfLeBmhj1u-dRFRs_8GwSoA/edit#gid=0"",""Gestores Escolares!D7:J""),7,0),""VERIFICAR CÓD SEC"")"),"  (71) 9 8885-5093")</f>
        <v>  (71) 9 8885-5093</v>
      </c>
      <c r="Q1489" s="82" t="str">
        <f>IFERROR(__xludf.DUMMYFUNCTION("IFERROR(VLOOKUP(D1489,
IMPORTRANGE(""https://docs.google.com/spreadsheets/d/1MjHtlUikwobi2MaWJgy7tfLeBmhj1u-dRFRs_8GwSoA/edit#gid=0"",""Gestores Escolares!D7:m""),9,0),""VERIFICAR CÓD SEC"")"),"LENILDES DE OLIVEIRA ALVES SANTOS")</f>
        <v>LENILDES DE OLIVEIRA ALVES SANTOS</v>
      </c>
      <c r="R1489" s="82" t="str">
        <f>IFERROR(__xludf.DUMMYFUNCTION("IFERROR(VLOOKUP(D1489,
IMPORTRANGE(""https://docs.google.com/spreadsheets/d/1MjHtlUikwobi2MaWJgy7tfLeBmhj1u-dRFRs_8GwSoA/edit#gid=0"",""Gestores Escolares!D7:m""),10,0),""VERIFICAR CÓD SEC"")"),"(71) 9 9100-4744  ")</f>
        <v>(71) 9 9100-4744  </v>
      </c>
      <c r="S1489" s="82"/>
      <c r="T1489" s="138">
        <v>12.0</v>
      </c>
      <c r="U1489" s="152">
        <v>12.0</v>
      </c>
      <c r="V1489" s="106">
        <v>0.0</v>
      </c>
      <c r="W1489" s="107">
        <v>0.0</v>
      </c>
      <c r="X1489" s="107">
        <v>0.0</v>
      </c>
      <c r="Y1489" s="107">
        <v>0.0</v>
      </c>
      <c r="Z1489" s="80">
        <f t="shared" si="1"/>
        <v>0</v>
      </c>
      <c r="AA1489" s="106">
        <v>212.0</v>
      </c>
      <c r="AB1489" s="107">
        <v>237.0</v>
      </c>
      <c r="AC1489" s="107">
        <v>0.0</v>
      </c>
      <c r="AD1489" s="107">
        <v>0.0</v>
      </c>
      <c r="AE1489" s="80">
        <f t="shared" si="2"/>
        <v>449</v>
      </c>
      <c r="AF1489" s="140">
        <v>225.0</v>
      </c>
      <c r="AG1489" s="109">
        <v>128.0</v>
      </c>
      <c r="AH1489" s="109">
        <v>0.0</v>
      </c>
      <c r="AI1489" s="141">
        <v>0.0</v>
      </c>
      <c r="AJ1489" s="80">
        <f t="shared" si="3"/>
        <v>353</v>
      </c>
      <c r="AK1489" s="140">
        <v>0.0</v>
      </c>
      <c r="AL1489" s="109">
        <v>0.0</v>
      </c>
      <c r="AM1489" s="141">
        <v>0.0</v>
      </c>
      <c r="AN1489" s="80">
        <f t="shared" si="4"/>
        <v>0</v>
      </c>
      <c r="AO1489" s="140">
        <v>0.0</v>
      </c>
      <c r="AP1489" s="109">
        <v>0.0</v>
      </c>
      <c r="AQ1489" s="109">
        <v>95.0</v>
      </c>
      <c r="AR1489" s="80">
        <f t="shared" si="5"/>
        <v>95</v>
      </c>
      <c r="AS1489" s="110">
        <v>0.0</v>
      </c>
      <c r="AT1489" s="110">
        <v>0.0</v>
      </c>
      <c r="AU1489" s="110">
        <v>0.0</v>
      </c>
      <c r="AV1489" s="142">
        <v>0.0</v>
      </c>
      <c r="AW1489" s="80">
        <f t="shared" si="6"/>
        <v>0</v>
      </c>
      <c r="AX1489" s="113">
        <f t="shared" si="7"/>
        <v>897</v>
      </c>
      <c r="AY1489" s="117">
        <f t="shared" si="8"/>
        <v>802</v>
      </c>
      <c r="AZ1489" s="120">
        <f t="shared" si="9"/>
        <v>95</v>
      </c>
      <c r="BA1489" s="115">
        <v>0.0</v>
      </c>
      <c r="BB1489" s="89">
        <f t="shared" si="10"/>
        <v>897</v>
      </c>
      <c r="BC1489" s="132" t="s">
        <v>178</v>
      </c>
      <c r="BD1489" s="132" t="s">
        <v>178</v>
      </c>
      <c r="BE1489" s="132" t="s">
        <v>178</v>
      </c>
      <c r="BF1489" s="156"/>
      <c r="BG1489" s="83">
        <v>1176095.0</v>
      </c>
      <c r="BH1489" s="98" t="s">
        <v>8407</v>
      </c>
      <c r="BI1489" s="112">
        <v>12.0</v>
      </c>
      <c r="BJ1489" s="98" t="s">
        <v>155</v>
      </c>
      <c r="BK1489" s="99">
        <f t="shared" si="11"/>
        <v>0</v>
      </c>
      <c r="BL1489" s="99">
        <f t="shared" si="12"/>
        <v>802</v>
      </c>
      <c r="BM1489" s="99" t="str">
        <f>IFERROR(__xludf.DUMMYFUNCTION("IFERROR(VLOOKUP(BG1489,IMPORTRANGE(""https://docs.google.com/spreadsheets/d/1juPI-Fb8LD0YtltB2mlGEnp_R3UVu1t3wSFPzgCyHXE/edit?gid=0#gid=0"",""GERAL!A2:C""),3,0),""-"")"),"-")</f>
        <v>-</v>
      </c>
    </row>
    <row r="1490" ht="15.75" customHeight="1">
      <c r="A1490" s="111" t="s">
        <v>1785</v>
      </c>
      <c r="B1490" s="83" t="s">
        <v>1994</v>
      </c>
      <c r="C1490" s="83" t="s">
        <v>68</v>
      </c>
      <c r="D1490" s="112">
        <v>1176720.0</v>
      </c>
      <c r="E1490" s="83"/>
      <c r="F1490" s="83">
        <v>2.9404371E7</v>
      </c>
      <c r="G1490" s="114" t="s">
        <v>8415</v>
      </c>
      <c r="H1490" s="91" t="s">
        <v>8416</v>
      </c>
      <c r="I1490" s="83" t="s">
        <v>8417</v>
      </c>
      <c r="J1490" s="83" t="s">
        <v>150</v>
      </c>
      <c r="K1490" s="83" t="s">
        <v>151</v>
      </c>
      <c r="L1490" s="83" t="s">
        <v>76</v>
      </c>
      <c r="M1490" s="82" t="str">
        <f>IFERROR(__xludf.DUMMYFUNCTION("IFERROR(VLOOKUP(D1490,
IMPORTRANGE(""https://docs.google.com/spreadsheets/d/1MjHtlUikwobi2MaWJgy7tfLeBmhj1u-dRFRs_8GwSoA/edit#gid=0"",""Gestores Escolares!D7:J""),3,0),""VERIFICAR CÓD SEC"")"),"JEANE ALICE DA SILVA LEITE LORDELO")</f>
        <v>JEANE ALICE DA SILVA LEITE LORDELO</v>
      </c>
      <c r="N1490" s="82" t="str">
        <f>IFERROR(__xludf.DUMMYFUNCTION("IFERROR(VLOOKUP(D1490,
IMPORTRANGE(""https://docs.google.com/spreadsheets/d/1MjHtlUikwobi2MaWJgy7tfLeBmhj1u-dRFRs_8GwSoA/edit#gid=0"",""Gestores Escolares!D7:J""),4,0),""VERIFICAR CÓD SEC"")"),"(71) 9 9995-3172")</f>
        <v>(71) 9 9995-3172</v>
      </c>
      <c r="O1490" s="82" t="str">
        <f>IFERROR(__xludf.DUMMYFUNCTION("IFERROR(VLOOKUP(D1490,
IMPORTRANGE(""https://docs.google.com/spreadsheets/d/1MjHtlUikwobi2MaWJgy7tfLeBmhj1u-dRFRs_8GwSoA/edit#gid=0"",""Gestores Escolares!D7:J""),6,0),""VERIFICAR CÓD SEC"")")," ANNA VERENA DOS REIS FERREIRA")</f>
        <v> ANNA VERENA DOS REIS FERREIRA</v>
      </c>
      <c r="P1490" s="82" t="str">
        <f>IFERROR(__xludf.DUMMYFUNCTION("IFERROR(VLOOKUP(D1490,
IMPORTRANGE(""https://docs.google.com/spreadsheets/d/1MjHtlUikwobi2MaWJgy7tfLeBmhj1u-dRFRs_8GwSoA/edit#gid=0"",""Gestores Escolares!D7:J""),7,0),""VERIFICAR CÓD SEC"")"),"(71) 9 8815-7669")</f>
        <v>(71) 9 8815-7669</v>
      </c>
      <c r="Q1490" s="82" t="str">
        <f>IFERROR(__xludf.DUMMYFUNCTION("IFERROR(VLOOKUP(D1490,
IMPORTRANGE(""https://docs.google.com/spreadsheets/d/1MjHtlUikwobi2MaWJgy7tfLeBmhj1u-dRFRs_8GwSoA/edit#gid=0"",""Gestores Escolares!D7:m""),9,0),""VERIFICAR CÓD SEC"")"),"")</f>
        <v/>
      </c>
      <c r="R1490" s="82" t="str">
        <f>IFERROR(__xludf.DUMMYFUNCTION("IFERROR(VLOOKUP(D1490,
IMPORTRANGE(""https://docs.google.com/spreadsheets/d/1MjHtlUikwobi2MaWJgy7tfLeBmhj1u-dRFRs_8GwSoA/edit#gid=0"",""Gestores Escolares!D7:m""),10,0),""VERIFICAR CÓD SEC"")"),"")</f>
        <v/>
      </c>
      <c r="S1490" s="82"/>
      <c r="T1490" s="138">
        <v>10.0</v>
      </c>
      <c r="U1490" s="152">
        <v>9.0</v>
      </c>
      <c r="V1490" s="106">
        <v>0.0</v>
      </c>
      <c r="W1490" s="107">
        <v>0.0</v>
      </c>
      <c r="X1490" s="107">
        <v>0.0</v>
      </c>
      <c r="Y1490" s="107">
        <v>0.0</v>
      </c>
      <c r="Z1490" s="80">
        <f t="shared" si="1"/>
        <v>0</v>
      </c>
      <c r="AA1490" s="106">
        <v>60.0</v>
      </c>
      <c r="AB1490" s="107">
        <v>59.0</v>
      </c>
      <c r="AC1490" s="107">
        <v>0.0</v>
      </c>
      <c r="AD1490" s="107">
        <v>0.0</v>
      </c>
      <c r="AE1490" s="80">
        <f t="shared" si="2"/>
        <v>119</v>
      </c>
      <c r="AF1490" s="140">
        <v>148.0</v>
      </c>
      <c r="AG1490" s="109">
        <v>103.0</v>
      </c>
      <c r="AH1490" s="109">
        <v>0.0</v>
      </c>
      <c r="AI1490" s="141">
        <v>0.0</v>
      </c>
      <c r="AJ1490" s="80">
        <f t="shared" si="3"/>
        <v>251</v>
      </c>
      <c r="AK1490" s="140">
        <v>0.0</v>
      </c>
      <c r="AL1490" s="109">
        <v>0.0</v>
      </c>
      <c r="AM1490" s="141">
        <v>0.0</v>
      </c>
      <c r="AN1490" s="80">
        <f t="shared" si="4"/>
        <v>0</v>
      </c>
      <c r="AO1490" s="140">
        <v>0.0</v>
      </c>
      <c r="AP1490" s="109">
        <v>0.0</v>
      </c>
      <c r="AQ1490" s="109">
        <v>0.0</v>
      </c>
      <c r="AR1490" s="80">
        <f t="shared" si="5"/>
        <v>0</v>
      </c>
      <c r="AS1490" s="110">
        <v>0.0</v>
      </c>
      <c r="AT1490" s="110">
        <v>0.0</v>
      </c>
      <c r="AU1490" s="110">
        <v>0.0</v>
      </c>
      <c r="AV1490" s="142">
        <v>0.0</v>
      </c>
      <c r="AW1490" s="80">
        <f t="shared" si="6"/>
        <v>0</v>
      </c>
      <c r="AX1490" s="113">
        <f t="shared" si="7"/>
        <v>370</v>
      </c>
      <c r="AY1490" s="117">
        <f t="shared" si="8"/>
        <v>370</v>
      </c>
      <c r="AZ1490" s="120">
        <f t="shared" si="9"/>
        <v>0</v>
      </c>
      <c r="BA1490" s="115">
        <v>0.0</v>
      </c>
      <c r="BB1490" s="89">
        <f t="shared" si="10"/>
        <v>370</v>
      </c>
      <c r="BC1490" s="132" t="s">
        <v>178</v>
      </c>
      <c r="BD1490" s="132" t="s">
        <v>178</v>
      </c>
      <c r="BE1490" s="132" t="s">
        <v>178</v>
      </c>
      <c r="BF1490" s="156"/>
      <c r="BG1490" s="83">
        <v>1176720.0</v>
      </c>
      <c r="BH1490" s="98" t="s">
        <v>8352</v>
      </c>
      <c r="BI1490" s="112">
        <v>9.0</v>
      </c>
      <c r="BJ1490" s="98" t="s">
        <v>155</v>
      </c>
      <c r="BK1490" s="99">
        <f t="shared" si="11"/>
        <v>0</v>
      </c>
      <c r="BL1490" s="99">
        <f t="shared" si="12"/>
        <v>370</v>
      </c>
      <c r="BM1490" s="99" t="str">
        <f>IFERROR(__xludf.DUMMYFUNCTION("IFERROR(VLOOKUP(BG1490,IMPORTRANGE(""https://docs.google.com/spreadsheets/d/1juPI-Fb8LD0YtltB2mlGEnp_R3UVu1t3wSFPzgCyHXE/edit?gid=0#gid=0"",""GERAL!A2:C""),3,0),""-"")"),"-")</f>
        <v>-</v>
      </c>
    </row>
    <row r="1491" ht="15.75" customHeight="1">
      <c r="A1491" s="111" t="s">
        <v>1785</v>
      </c>
      <c r="B1491" s="83" t="s">
        <v>1994</v>
      </c>
      <c r="C1491" s="83" t="s">
        <v>68</v>
      </c>
      <c r="D1491" s="112">
        <v>1104219.0</v>
      </c>
      <c r="E1491" s="83"/>
      <c r="F1491" s="83">
        <v>2.9187095E7</v>
      </c>
      <c r="G1491" s="114" t="s">
        <v>8419</v>
      </c>
      <c r="H1491" s="91" t="s">
        <v>8420</v>
      </c>
      <c r="I1491" s="83" t="s">
        <v>1288</v>
      </c>
      <c r="J1491" s="83" t="s">
        <v>150</v>
      </c>
      <c r="K1491" s="83" t="s">
        <v>151</v>
      </c>
      <c r="L1491" s="83" t="s">
        <v>76</v>
      </c>
      <c r="M1491" s="82" t="str">
        <f>IFERROR(__xludf.DUMMYFUNCTION("IFERROR(VLOOKUP(D1491,
IMPORTRANGE(""https://docs.google.com/spreadsheets/d/1MjHtlUikwobi2MaWJgy7tfLeBmhj1u-dRFRs_8GwSoA/edit#gid=0"",""Gestores Escolares!D7:J""),3,0),""VERIFICAR CÓD SEC"")"),"KATIUSSIA FELIX DOS SANTOS")</f>
        <v>KATIUSSIA FELIX DOS SANTOS</v>
      </c>
      <c r="N1491" s="82" t="str">
        <f>IFERROR(__xludf.DUMMYFUNCTION("IFERROR(VLOOKUP(D1491,
IMPORTRANGE(""https://docs.google.com/spreadsheets/d/1MjHtlUikwobi2MaWJgy7tfLeBmhj1u-dRFRs_8GwSoA/edit#gid=0"",""Gestores Escolares!D7:J""),4,0),""VERIFICAR CÓD SEC"")"),"(74) 9 9199-3621")</f>
        <v>(74) 9 9199-3621</v>
      </c>
      <c r="O1491" s="82" t="str">
        <f>IFERROR(__xludf.DUMMYFUNCTION("IFERROR(VLOOKUP(D1491,
IMPORTRANGE(""https://docs.google.com/spreadsheets/d/1MjHtlUikwobi2MaWJgy7tfLeBmhj1u-dRFRs_8GwSoA/edit#gid=0"",""Gestores Escolares!D7:J""),6,0),""VERIFICAR CÓD SEC"")"),"JAQUELINE CONCEICAO OLIVEIRA LIMA RAMOS")</f>
        <v>JAQUELINE CONCEICAO OLIVEIRA LIMA RAMOS</v>
      </c>
      <c r="P1491" s="82" t="str">
        <f>IFERROR(__xludf.DUMMYFUNCTION("IFERROR(VLOOKUP(D1491,
IMPORTRANGE(""https://docs.google.com/spreadsheets/d/1MjHtlUikwobi2MaWJgy7tfLeBmhj1u-dRFRs_8GwSoA/edit#gid=0"",""Gestores Escolares!D7:J""),7,0),""VERIFICAR CÓD SEC"")"),"(71) 9 9166-9516")</f>
        <v>(71) 9 9166-9516</v>
      </c>
      <c r="Q1491" s="82" t="str">
        <f>IFERROR(__xludf.DUMMYFUNCTION("IFERROR(VLOOKUP(D1491,
IMPORTRANGE(""https://docs.google.com/spreadsheets/d/1MjHtlUikwobi2MaWJgy7tfLeBmhj1u-dRFRs_8GwSoA/edit#gid=0"",""Gestores Escolares!D7:m""),9,0),""VERIFICAR CÓD SEC"")"),"")</f>
        <v/>
      </c>
      <c r="R1491" s="82" t="str">
        <f>IFERROR(__xludf.DUMMYFUNCTION("IFERROR(VLOOKUP(D1491,
IMPORTRANGE(""https://docs.google.com/spreadsheets/d/1MjHtlUikwobi2MaWJgy7tfLeBmhj1u-dRFRs_8GwSoA/edit#gid=0"",""Gestores Escolares!D7:m""),10,0),""VERIFICAR CÓD SEC"")"),"")</f>
        <v/>
      </c>
      <c r="S1491" s="82"/>
      <c r="T1491" s="138">
        <v>12.0</v>
      </c>
      <c r="U1491" s="152">
        <v>12.0</v>
      </c>
      <c r="V1491" s="106">
        <v>0.0</v>
      </c>
      <c r="W1491" s="107">
        <v>0.0</v>
      </c>
      <c r="X1491" s="107">
        <v>0.0</v>
      </c>
      <c r="Y1491" s="107">
        <v>0.0</v>
      </c>
      <c r="Z1491" s="80">
        <f t="shared" si="1"/>
        <v>0</v>
      </c>
      <c r="AA1491" s="106">
        <v>130.0</v>
      </c>
      <c r="AB1491" s="107">
        <v>0.0</v>
      </c>
      <c r="AC1491" s="107">
        <v>0.0</v>
      </c>
      <c r="AD1491" s="107">
        <v>0.0</v>
      </c>
      <c r="AE1491" s="80">
        <f t="shared" si="2"/>
        <v>130</v>
      </c>
      <c r="AF1491" s="140">
        <v>0.0</v>
      </c>
      <c r="AG1491" s="109">
        <v>0.0</v>
      </c>
      <c r="AH1491" s="109">
        <v>0.0</v>
      </c>
      <c r="AI1491" s="141">
        <v>0.0</v>
      </c>
      <c r="AJ1491" s="80">
        <f t="shared" si="3"/>
        <v>0</v>
      </c>
      <c r="AK1491" s="140">
        <v>0.0</v>
      </c>
      <c r="AL1491" s="109">
        <v>0.0</v>
      </c>
      <c r="AM1491" s="141">
        <v>15.0</v>
      </c>
      <c r="AN1491" s="80">
        <f t="shared" si="4"/>
        <v>15</v>
      </c>
      <c r="AO1491" s="140">
        <v>0.0</v>
      </c>
      <c r="AP1491" s="109">
        <v>0.0</v>
      </c>
      <c r="AQ1491" s="109">
        <v>35.0</v>
      </c>
      <c r="AR1491" s="80">
        <f t="shared" si="5"/>
        <v>35</v>
      </c>
      <c r="AS1491" s="110">
        <v>0.0</v>
      </c>
      <c r="AT1491" s="110">
        <v>0.0</v>
      </c>
      <c r="AU1491" s="110">
        <v>0.0</v>
      </c>
      <c r="AV1491" s="142">
        <v>0.0</v>
      </c>
      <c r="AW1491" s="80">
        <f t="shared" si="6"/>
        <v>0</v>
      </c>
      <c r="AX1491" s="113">
        <f t="shared" si="7"/>
        <v>180</v>
      </c>
      <c r="AY1491" s="117">
        <f t="shared" si="8"/>
        <v>130</v>
      </c>
      <c r="AZ1491" s="120">
        <f t="shared" si="9"/>
        <v>50</v>
      </c>
      <c r="BA1491" s="115">
        <v>0.0</v>
      </c>
      <c r="BB1491" s="89">
        <f t="shared" si="10"/>
        <v>180</v>
      </c>
      <c r="BC1491" s="132" t="s">
        <v>178</v>
      </c>
      <c r="BD1491" s="132" t="s">
        <v>178</v>
      </c>
      <c r="BE1491" s="132" t="s">
        <v>178</v>
      </c>
      <c r="BF1491" s="123"/>
      <c r="BG1491" s="83">
        <v>1104219.0</v>
      </c>
      <c r="BH1491" s="98" t="s">
        <v>8423</v>
      </c>
      <c r="BI1491" s="112">
        <v>12.0</v>
      </c>
      <c r="BJ1491" s="98" t="s">
        <v>155</v>
      </c>
      <c r="BK1491" s="99">
        <f t="shared" si="11"/>
        <v>0</v>
      </c>
      <c r="BL1491" s="99">
        <f t="shared" si="12"/>
        <v>130</v>
      </c>
      <c r="BM1491" s="99" t="str">
        <f>IFERROR(__xludf.DUMMYFUNCTION("IFERROR(VLOOKUP(BG1491,IMPORTRANGE(""https://docs.google.com/spreadsheets/d/1juPI-Fb8LD0YtltB2mlGEnp_R3UVu1t3wSFPzgCyHXE/edit?gid=0#gid=0"",""GERAL!A2:C""),3,0),""-"")"),"-")</f>
        <v>-</v>
      </c>
    </row>
    <row r="1492" ht="15.75" customHeight="1">
      <c r="A1492" s="111" t="s">
        <v>1785</v>
      </c>
      <c r="B1492" s="83" t="s">
        <v>1994</v>
      </c>
      <c r="C1492" s="83" t="s">
        <v>68</v>
      </c>
      <c r="D1492" s="112">
        <v>1104677.0</v>
      </c>
      <c r="E1492" s="83"/>
      <c r="F1492" s="83">
        <v>2.918701E7</v>
      </c>
      <c r="G1492" s="187" t="s">
        <v>8425</v>
      </c>
      <c r="H1492" s="91" t="s">
        <v>8426</v>
      </c>
      <c r="I1492" s="83" t="s">
        <v>8272</v>
      </c>
      <c r="J1492" s="83" t="s">
        <v>150</v>
      </c>
      <c r="K1492" s="83" t="s">
        <v>151</v>
      </c>
      <c r="L1492" s="83" t="s">
        <v>152</v>
      </c>
      <c r="M1492" s="82" t="str">
        <f>IFERROR(__xludf.DUMMYFUNCTION("IFERROR(VLOOKUP(D1492,
IMPORTRANGE(""https://docs.google.com/spreadsheets/d/1MjHtlUikwobi2MaWJgy7tfLeBmhj1u-dRFRs_8GwSoA/edit#gid=0"",""Gestores Escolares!D7:J""),3,0),""VERIFICAR CÓD SEC"")"),"MARLENE BISPO SANTOS")</f>
        <v>MARLENE BISPO SANTOS</v>
      </c>
      <c r="N1492" s="82" t="str">
        <f>IFERROR(__xludf.DUMMYFUNCTION("IFERROR(VLOOKUP(D1492,
IMPORTRANGE(""https://docs.google.com/spreadsheets/d/1MjHtlUikwobi2MaWJgy7tfLeBmhj1u-dRFRs_8GwSoA/edit#gid=0"",""Gestores Escolares!D7:J""),4,0),""VERIFICAR CÓD SEC"")"),"(71) 9 9978-4597")</f>
        <v>(71) 9 9978-4597</v>
      </c>
      <c r="O1492" s="82" t="str">
        <f>IFERROR(__xludf.DUMMYFUNCTION("IFERROR(VLOOKUP(D1492,
IMPORTRANGE(""https://docs.google.com/spreadsheets/d/1MjHtlUikwobi2MaWJgy7tfLeBmhj1u-dRFRs_8GwSoA/edit#gid=0"",""Gestores Escolares!D7:J""),6,0),""VERIFICAR CÓD SEC"")"),"MARCOS MAIA DOS SANTOS")</f>
        <v>MARCOS MAIA DOS SANTOS</v>
      </c>
      <c r="P1492" s="82" t="str">
        <f>IFERROR(__xludf.DUMMYFUNCTION("IFERROR(VLOOKUP(D1492,
IMPORTRANGE(""https://docs.google.com/spreadsheets/d/1MjHtlUikwobi2MaWJgy7tfLeBmhj1u-dRFRs_8GwSoA/edit#gid=0"",""Gestores Escolares!D7:J""),7,0),""VERIFICAR CÓD SEC"")"),"(71) 9 9708-1822")</f>
        <v>(71) 9 9708-1822</v>
      </c>
      <c r="Q1492" s="82" t="str">
        <f>IFERROR(__xludf.DUMMYFUNCTION("IFERROR(VLOOKUP(D1492,
IMPORTRANGE(""https://docs.google.com/spreadsheets/d/1MjHtlUikwobi2MaWJgy7tfLeBmhj1u-dRFRs_8GwSoA/edit#gid=0"",""Gestores Escolares!D7:m""),9,0),""VERIFICAR CÓD SEC"")"),"")</f>
        <v/>
      </c>
      <c r="R1492" s="82" t="str">
        <f>IFERROR(__xludf.DUMMYFUNCTION("IFERROR(VLOOKUP(D1492,
IMPORTRANGE(""https://docs.google.com/spreadsheets/d/1MjHtlUikwobi2MaWJgy7tfLeBmhj1u-dRFRs_8GwSoA/edit#gid=0"",""Gestores Escolares!D7:m""),10,0),""VERIFICAR CÓD SEC"")"),"")</f>
        <v/>
      </c>
      <c r="S1492" s="82"/>
      <c r="T1492" s="138">
        <v>13.0</v>
      </c>
      <c r="U1492" s="152" t="s">
        <v>13921</v>
      </c>
      <c r="V1492" s="106">
        <v>0.0</v>
      </c>
      <c r="W1492" s="107">
        <v>0.0</v>
      </c>
      <c r="X1492" s="107">
        <v>0.0</v>
      </c>
      <c r="Y1492" s="107">
        <v>0.0</v>
      </c>
      <c r="Z1492" s="80">
        <f t="shared" si="1"/>
        <v>0</v>
      </c>
      <c r="AA1492" s="106">
        <v>372.0</v>
      </c>
      <c r="AB1492" s="107">
        <v>292.0</v>
      </c>
      <c r="AC1492" s="107">
        <v>0.0</v>
      </c>
      <c r="AD1492" s="107">
        <v>0.0</v>
      </c>
      <c r="AE1492" s="80">
        <f t="shared" si="2"/>
        <v>664</v>
      </c>
      <c r="AF1492" s="140">
        <v>0.0</v>
      </c>
      <c r="AG1492" s="109">
        <v>0.0</v>
      </c>
      <c r="AH1492" s="109">
        <v>0.0</v>
      </c>
      <c r="AI1492" s="141">
        <v>0.0</v>
      </c>
      <c r="AJ1492" s="80">
        <f t="shared" si="3"/>
        <v>0</v>
      </c>
      <c r="AK1492" s="140">
        <v>0.0</v>
      </c>
      <c r="AL1492" s="109">
        <v>0.0</v>
      </c>
      <c r="AM1492" s="141">
        <v>0.0</v>
      </c>
      <c r="AN1492" s="80">
        <f t="shared" si="4"/>
        <v>0</v>
      </c>
      <c r="AO1492" s="140">
        <v>0.0</v>
      </c>
      <c r="AP1492" s="109">
        <v>0.0</v>
      </c>
      <c r="AQ1492" s="109">
        <v>0.0</v>
      </c>
      <c r="AR1492" s="80">
        <f t="shared" si="5"/>
        <v>0</v>
      </c>
      <c r="AS1492" s="110">
        <v>0.0</v>
      </c>
      <c r="AT1492" s="110">
        <v>0.0</v>
      </c>
      <c r="AU1492" s="110">
        <v>0.0</v>
      </c>
      <c r="AV1492" s="142">
        <v>0.0</v>
      </c>
      <c r="AW1492" s="80">
        <f t="shared" si="6"/>
        <v>0</v>
      </c>
      <c r="AX1492" s="113">
        <f t="shared" si="7"/>
        <v>664</v>
      </c>
      <c r="AY1492" s="117">
        <f t="shared" si="8"/>
        <v>664</v>
      </c>
      <c r="AZ1492" s="120">
        <f t="shared" si="9"/>
        <v>0</v>
      </c>
      <c r="BA1492" s="115">
        <v>0.0</v>
      </c>
      <c r="BB1492" s="89">
        <f t="shared" si="10"/>
        <v>664</v>
      </c>
      <c r="BC1492" s="132" t="s">
        <v>178</v>
      </c>
      <c r="BD1492" s="132" t="s">
        <v>178</v>
      </c>
      <c r="BE1492" s="132" t="s">
        <v>178</v>
      </c>
      <c r="BF1492" s="123"/>
      <c r="BG1492" s="83">
        <v>1104677.0</v>
      </c>
      <c r="BH1492" s="98" t="s">
        <v>8427</v>
      </c>
      <c r="BI1492" s="112">
        <v>13.0</v>
      </c>
      <c r="BJ1492" s="98" t="s">
        <v>155</v>
      </c>
      <c r="BK1492" s="99">
        <f t="shared" si="11"/>
        <v>0</v>
      </c>
      <c r="BL1492" s="99">
        <f t="shared" si="12"/>
        <v>664</v>
      </c>
      <c r="BM1492" s="99" t="str">
        <f>IFERROR(__xludf.DUMMYFUNCTION("IFERROR(VLOOKUP(BG1492,IMPORTRANGE(""https://docs.google.com/spreadsheets/d/1juPI-Fb8LD0YtltB2mlGEnp_R3UVu1t3wSFPzgCyHXE/edit?gid=0#gid=0"",""GERAL!A2:C""),3,0),""-"")"),"-")</f>
        <v>-</v>
      </c>
    </row>
    <row r="1493" ht="15.75" customHeight="1">
      <c r="A1493" s="111" t="s">
        <v>1785</v>
      </c>
      <c r="B1493" s="83" t="s">
        <v>1994</v>
      </c>
      <c r="C1493" s="83" t="s">
        <v>68</v>
      </c>
      <c r="D1493" s="112">
        <v>1104731.0</v>
      </c>
      <c r="E1493" s="83"/>
      <c r="F1493" s="83">
        <v>2.9187001E7</v>
      </c>
      <c r="G1493" s="114" t="s">
        <v>8428</v>
      </c>
      <c r="H1493" s="91" t="s">
        <v>8429</v>
      </c>
      <c r="I1493" s="83" t="s">
        <v>8294</v>
      </c>
      <c r="J1493" s="83" t="s">
        <v>150</v>
      </c>
      <c r="K1493" s="83" t="s">
        <v>151</v>
      </c>
      <c r="L1493" s="83" t="s">
        <v>152</v>
      </c>
      <c r="M1493" s="82" t="str">
        <f>IFERROR(__xludf.DUMMYFUNCTION("IFERROR(VLOOKUP(D1493,
IMPORTRANGE(""https://docs.google.com/spreadsheets/d/1MjHtlUikwobi2MaWJgy7tfLeBmhj1u-dRFRs_8GwSoA/edit#gid=0"",""Gestores Escolares!D7:J""),3,0),""VERIFICAR CÓD SEC"")"),"ANTONIO JORGE PEREIRA DE ABREU")</f>
        <v>ANTONIO JORGE PEREIRA DE ABREU</v>
      </c>
      <c r="N1493" s="82" t="str">
        <f>IFERROR(__xludf.DUMMYFUNCTION("IFERROR(VLOOKUP(D1493,
IMPORTRANGE(""https://docs.google.com/spreadsheets/d/1MjHtlUikwobi2MaWJgy7tfLeBmhj1u-dRFRs_8GwSoA/edit#gid=0"",""Gestores Escolares!D7:J""),4,0),""VERIFICAR CÓD SEC"")"),"(71) 9 8607-0070")</f>
        <v>(71) 9 8607-0070</v>
      </c>
      <c r="O1493" s="82" t="str">
        <f>IFERROR(__xludf.DUMMYFUNCTION("IFERROR(VLOOKUP(D1493,
IMPORTRANGE(""https://docs.google.com/spreadsheets/d/1MjHtlUikwobi2MaWJgy7tfLeBmhj1u-dRFRs_8GwSoA/edit#gid=0"",""Gestores Escolares!D7:J""),6,0),""VERIFICAR CÓD SEC"")"),"CERISE TOSTA PEDREIRA SANTOS")</f>
        <v>CERISE TOSTA PEDREIRA SANTOS</v>
      </c>
      <c r="P1493" s="82" t="str">
        <f>IFERROR(__xludf.DUMMYFUNCTION("IFERROR(VLOOKUP(D1493,
IMPORTRANGE(""https://docs.google.com/spreadsheets/d/1MjHtlUikwobi2MaWJgy7tfLeBmhj1u-dRFRs_8GwSoA/edit#gid=0"",""Gestores Escolares!D7:J""),7,0),""VERIFICAR CÓD SEC"")"),"(71) 9 8248-8937")</f>
        <v>(71) 9 8248-8937</v>
      </c>
      <c r="Q1493" s="82" t="str">
        <f>IFERROR(__xludf.DUMMYFUNCTION("IFERROR(VLOOKUP(D1493,
IMPORTRANGE(""https://docs.google.com/spreadsheets/d/1MjHtlUikwobi2MaWJgy7tfLeBmhj1u-dRFRs_8GwSoA/edit#gid=0"",""Gestores Escolares!D7:m""),9,0),""VERIFICAR CÓD SEC"")"),"MARIA CONCEICAO FERREIRA DOS SANTOS")</f>
        <v>MARIA CONCEICAO FERREIRA DOS SANTOS</v>
      </c>
      <c r="R1493" s="82" t="str">
        <f>IFERROR(__xludf.DUMMYFUNCTION("IFERROR(VLOOKUP(D1493,
IMPORTRANGE(""https://docs.google.com/spreadsheets/d/1MjHtlUikwobi2MaWJgy7tfLeBmhj1u-dRFRs_8GwSoA/edit#gid=0"",""Gestores Escolares!D7:m""),10,0),""VERIFICAR CÓD SEC"")"),"(71) 9 8381-1359")</f>
        <v>(71) 9 8381-1359</v>
      </c>
      <c r="S1493" s="82"/>
      <c r="T1493" s="138">
        <v>12.0</v>
      </c>
      <c r="U1493" s="152">
        <v>12.0</v>
      </c>
      <c r="V1493" s="106">
        <v>0.0</v>
      </c>
      <c r="W1493" s="107">
        <v>0.0</v>
      </c>
      <c r="X1493" s="107">
        <v>0.0</v>
      </c>
      <c r="Y1493" s="107">
        <v>0.0</v>
      </c>
      <c r="Z1493" s="80">
        <f t="shared" si="1"/>
        <v>0</v>
      </c>
      <c r="AA1493" s="106">
        <v>0.0</v>
      </c>
      <c r="AB1493" s="107">
        <v>0.0</v>
      </c>
      <c r="AC1493" s="107">
        <v>0.0</v>
      </c>
      <c r="AD1493" s="107">
        <v>0.0</v>
      </c>
      <c r="AE1493" s="80">
        <f t="shared" si="2"/>
        <v>0</v>
      </c>
      <c r="AF1493" s="140">
        <v>271.0</v>
      </c>
      <c r="AG1493" s="109">
        <v>0.0</v>
      </c>
      <c r="AH1493" s="109">
        <v>0.0</v>
      </c>
      <c r="AI1493" s="141">
        <v>18.0</v>
      </c>
      <c r="AJ1493" s="80">
        <f t="shared" si="3"/>
        <v>289</v>
      </c>
      <c r="AK1493" s="140">
        <v>0.0</v>
      </c>
      <c r="AL1493" s="109">
        <v>0.0</v>
      </c>
      <c r="AM1493" s="141">
        <v>0.0</v>
      </c>
      <c r="AN1493" s="80">
        <f t="shared" si="4"/>
        <v>0</v>
      </c>
      <c r="AO1493" s="140">
        <v>0.0</v>
      </c>
      <c r="AP1493" s="109">
        <v>0.0</v>
      </c>
      <c r="AQ1493" s="109">
        <v>235.0</v>
      </c>
      <c r="AR1493" s="80">
        <f t="shared" si="5"/>
        <v>235</v>
      </c>
      <c r="AS1493" s="110">
        <v>0.0</v>
      </c>
      <c r="AT1493" s="110">
        <v>0.0</v>
      </c>
      <c r="AU1493" s="110">
        <v>0.0</v>
      </c>
      <c r="AV1493" s="142">
        <v>0.0</v>
      </c>
      <c r="AW1493" s="80">
        <f t="shared" si="6"/>
        <v>0</v>
      </c>
      <c r="AX1493" s="113">
        <f t="shared" si="7"/>
        <v>524</v>
      </c>
      <c r="AY1493" s="117">
        <f t="shared" si="8"/>
        <v>289</v>
      </c>
      <c r="AZ1493" s="120">
        <f t="shared" si="9"/>
        <v>235</v>
      </c>
      <c r="BA1493" s="115">
        <v>0.0</v>
      </c>
      <c r="BB1493" s="89">
        <f t="shared" si="10"/>
        <v>524</v>
      </c>
      <c r="BC1493" s="132" t="s">
        <v>178</v>
      </c>
      <c r="BD1493" s="132" t="s">
        <v>178</v>
      </c>
      <c r="BE1493" s="132" t="s">
        <v>178</v>
      </c>
      <c r="BF1493" s="123"/>
      <c r="BG1493" s="83">
        <v>1104731.0</v>
      </c>
      <c r="BH1493" s="137" t="s">
        <v>8430</v>
      </c>
      <c r="BI1493" s="112">
        <v>12.0</v>
      </c>
      <c r="BJ1493" s="98" t="s">
        <v>155</v>
      </c>
      <c r="BK1493" s="99">
        <f t="shared" si="11"/>
        <v>18</v>
      </c>
      <c r="BL1493" s="99">
        <f t="shared" si="12"/>
        <v>271</v>
      </c>
      <c r="BM1493" s="99" t="str">
        <f>IFERROR(__xludf.DUMMYFUNCTION("IFERROR(VLOOKUP(BG1493,IMPORTRANGE(""https://docs.google.com/spreadsheets/d/1juPI-Fb8LD0YtltB2mlGEnp_R3UVu1t3wSFPzgCyHXE/edit?gid=0#gid=0"",""GERAL!A2:C""),3,0),""-"")"),"-")</f>
        <v>-</v>
      </c>
    </row>
    <row r="1494" ht="15.75" customHeight="1">
      <c r="A1494" s="111" t="s">
        <v>1785</v>
      </c>
      <c r="B1494" s="83" t="s">
        <v>1994</v>
      </c>
      <c r="C1494" s="83" t="s">
        <v>68</v>
      </c>
      <c r="D1494" s="112">
        <v>1104626.0</v>
      </c>
      <c r="E1494" s="83"/>
      <c r="F1494" s="83">
        <v>2.9199026E7</v>
      </c>
      <c r="G1494" s="187" t="s">
        <v>8431</v>
      </c>
      <c r="H1494" s="91" t="s">
        <v>8432</v>
      </c>
      <c r="I1494" s="83" t="s">
        <v>8433</v>
      </c>
      <c r="J1494" s="83" t="s">
        <v>150</v>
      </c>
      <c r="K1494" s="83" t="s">
        <v>151</v>
      </c>
      <c r="L1494" s="83" t="s">
        <v>152</v>
      </c>
      <c r="M1494" s="82" t="str">
        <f>IFERROR(__xludf.DUMMYFUNCTION("IFERROR(VLOOKUP(D1494,
IMPORTRANGE(""https://docs.google.com/spreadsheets/d/1MjHtlUikwobi2MaWJgy7tfLeBmhj1u-dRFRs_8GwSoA/edit#gid=0"",""Gestores Escolares!D7:J""),3,0),""VERIFICAR CÓD SEC"")"),"TELMA MARIA DOURADO DE ANDRADE")</f>
        <v>TELMA MARIA DOURADO DE ANDRADE</v>
      </c>
      <c r="N1494" s="82" t="str">
        <f>IFERROR(__xludf.DUMMYFUNCTION("IFERROR(VLOOKUP(D1494,
IMPORTRANGE(""https://docs.google.com/spreadsheets/d/1MjHtlUikwobi2MaWJgy7tfLeBmhj1u-dRFRs_8GwSoA/edit#gid=0"",""Gestores Escolares!D7:J""),4,0),""VERIFICAR CÓD SEC"")"),"(71) 9 9911-4980")</f>
        <v>(71) 9 9911-4980</v>
      </c>
      <c r="O1494" s="82" t="str">
        <f>IFERROR(__xludf.DUMMYFUNCTION("IFERROR(VLOOKUP(D1494,
IMPORTRANGE(""https://docs.google.com/spreadsheets/d/1MjHtlUikwobi2MaWJgy7tfLeBmhj1u-dRFRs_8GwSoA/edit#gid=0"",""Gestores Escolares!D7:J""),6,0),""VERIFICAR CÓD SEC"")")," ADEMILSON SANTANA DE OLIVEIRA")</f>
        <v> ADEMILSON SANTANA DE OLIVEIRA</v>
      </c>
      <c r="P1494" s="82" t="str">
        <f>IFERROR(__xludf.DUMMYFUNCTION("IFERROR(VLOOKUP(D1494,
IMPORTRANGE(""https://docs.google.com/spreadsheets/d/1MjHtlUikwobi2MaWJgy7tfLeBmhj1u-dRFRs_8GwSoA/edit#gid=0"",""Gestores Escolares!D7:J""),7,0),""VERIFICAR CÓD SEC"")"),"(71) 9 9717-0205")</f>
        <v>(71) 9 9717-0205</v>
      </c>
      <c r="Q1494" s="82" t="str">
        <f>IFERROR(__xludf.DUMMYFUNCTION("IFERROR(VLOOKUP(D1494,
IMPORTRANGE(""https://docs.google.com/spreadsheets/d/1MjHtlUikwobi2MaWJgy7tfLeBmhj1u-dRFRs_8GwSoA/edit#gid=0"",""Gestores Escolares!D7:m""),9,0),""VERIFICAR CÓD SEC"")"),"")</f>
        <v/>
      </c>
      <c r="R1494" s="82" t="str">
        <f>IFERROR(__xludf.DUMMYFUNCTION("IFERROR(VLOOKUP(D1494,
IMPORTRANGE(""https://docs.google.com/spreadsheets/d/1MjHtlUikwobi2MaWJgy7tfLeBmhj1u-dRFRs_8GwSoA/edit#gid=0"",""Gestores Escolares!D7:m""),10,0),""VERIFICAR CÓD SEC"")"),"")</f>
        <v/>
      </c>
      <c r="S1494" s="82"/>
      <c r="T1494" s="138">
        <v>22.0</v>
      </c>
      <c r="U1494" s="152">
        <v>23.0</v>
      </c>
      <c r="V1494" s="106">
        <v>0.0</v>
      </c>
      <c r="W1494" s="107">
        <v>0.0</v>
      </c>
      <c r="X1494" s="107">
        <v>0.0</v>
      </c>
      <c r="Y1494" s="107">
        <v>0.0</v>
      </c>
      <c r="Z1494" s="80">
        <f t="shared" si="1"/>
        <v>0</v>
      </c>
      <c r="AA1494" s="106">
        <v>0.0</v>
      </c>
      <c r="AB1494" s="107">
        <v>0.0</v>
      </c>
      <c r="AC1494" s="107">
        <v>0.0</v>
      </c>
      <c r="AD1494" s="107">
        <v>0.0</v>
      </c>
      <c r="AE1494" s="80">
        <f t="shared" si="2"/>
        <v>0</v>
      </c>
      <c r="AF1494" s="140">
        <v>247.0</v>
      </c>
      <c r="AG1494" s="109">
        <v>0.0</v>
      </c>
      <c r="AH1494" s="109">
        <v>0.0</v>
      </c>
      <c r="AI1494" s="141">
        <v>0.0</v>
      </c>
      <c r="AJ1494" s="80">
        <f t="shared" si="3"/>
        <v>247</v>
      </c>
      <c r="AK1494" s="140">
        <v>0.0</v>
      </c>
      <c r="AL1494" s="109">
        <v>0.0</v>
      </c>
      <c r="AM1494" s="141">
        <v>0.0</v>
      </c>
      <c r="AN1494" s="80">
        <f t="shared" si="4"/>
        <v>0</v>
      </c>
      <c r="AO1494" s="140">
        <v>0.0</v>
      </c>
      <c r="AP1494" s="109">
        <v>0.0</v>
      </c>
      <c r="AQ1494" s="109">
        <v>135.0</v>
      </c>
      <c r="AR1494" s="80">
        <f t="shared" si="5"/>
        <v>135</v>
      </c>
      <c r="AS1494" s="110">
        <v>29.0</v>
      </c>
      <c r="AT1494" s="110">
        <v>0.0</v>
      </c>
      <c r="AU1494" s="110">
        <v>0.0</v>
      </c>
      <c r="AV1494" s="142">
        <v>0.0</v>
      </c>
      <c r="AW1494" s="80">
        <f t="shared" si="6"/>
        <v>29</v>
      </c>
      <c r="AX1494" s="113">
        <f t="shared" si="7"/>
        <v>411</v>
      </c>
      <c r="AY1494" s="117">
        <f t="shared" si="8"/>
        <v>276</v>
      </c>
      <c r="AZ1494" s="120">
        <f t="shared" si="9"/>
        <v>135</v>
      </c>
      <c r="BA1494" s="115">
        <v>0.0</v>
      </c>
      <c r="BB1494" s="89">
        <f t="shared" si="10"/>
        <v>411</v>
      </c>
      <c r="BC1494" s="132" t="s">
        <v>178</v>
      </c>
      <c r="BD1494" s="132" t="s">
        <v>178</v>
      </c>
      <c r="BE1494" s="132" t="s">
        <v>178</v>
      </c>
      <c r="BF1494" s="123"/>
      <c r="BG1494" s="83">
        <v>1104626.0</v>
      </c>
      <c r="BH1494" s="137" t="s">
        <v>8435</v>
      </c>
      <c r="BI1494" s="112">
        <v>23.0</v>
      </c>
      <c r="BJ1494" s="98" t="s">
        <v>155</v>
      </c>
      <c r="BK1494" s="99">
        <f t="shared" si="11"/>
        <v>0</v>
      </c>
      <c r="BL1494" s="99">
        <f t="shared" si="12"/>
        <v>276</v>
      </c>
      <c r="BM1494" s="99" t="str">
        <f>IFERROR(__xludf.DUMMYFUNCTION("IFERROR(VLOOKUP(BG1494,IMPORTRANGE(""https://docs.google.com/spreadsheets/d/1juPI-Fb8LD0YtltB2mlGEnp_R3UVu1t3wSFPzgCyHXE/edit?gid=0#gid=0"",""GERAL!A2:C""),3,0),""-"")"),"-")</f>
        <v>-</v>
      </c>
    </row>
    <row r="1495" ht="15.75" customHeight="1">
      <c r="A1495" s="111" t="s">
        <v>1785</v>
      </c>
      <c r="B1495" s="83" t="s">
        <v>1994</v>
      </c>
      <c r="C1495" s="83" t="s">
        <v>68</v>
      </c>
      <c r="D1495" s="112">
        <v>1102348.0</v>
      </c>
      <c r="E1495" s="83"/>
      <c r="F1495" s="83">
        <v>2.9186935E7</v>
      </c>
      <c r="G1495" s="119" t="s">
        <v>8436</v>
      </c>
      <c r="H1495" s="91" t="s">
        <v>8437</v>
      </c>
      <c r="I1495" s="83" t="s">
        <v>8438</v>
      </c>
      <c r="J1495" s="83" t="s">
        <v>150</v>
      </c>
      <c r="K1495" s="83" t="s">
        <v>151</v>
      </c>
      <c r="L1495" s="83" t="s">
        <v>152</v>
      </c>
      <c r="M1495" s="82" t="str">
        <f>IFERROR(__xludf.DUMMYFUNCTION("IFERROR(VLOOKUP(D1495,
IMPORTRANGE(""https://docs.google.com/spreadsheets/d/1MjHtlUikwobi2MaWJgy7tfLeBmhj1u-dRFRs_8GwSoA/edit#gid=0"",""Gestores Escolares!D7:J""),3,0),""VERIFICAR CÓD SEC"")"),"CONCEICAO MARIA DE CASTRO")</f>
        <v>CONCEICAO MARIA DE CASTRO</v>
      </c>
      <c r="N1495" s="82" t="str">
        <f>IFERROR(__xludf.DUMMYFUNCTION("IFERROR(VLOOKUP(D1495,
IMPORTRANGE(""https://docs.google.com/spreadsheets/d/1MjHtlUikwobi2MaWJgy7tfLeBmhj1u-dRFRs_8GwSoA/edit#gid=0"",""Gestores Escolares!D7:J""),4,0),""VERIFICAR CÓD SEC"")"),"(71) 9 8701-2576/
9 9129-8915")</f>
        <v>(71) 9 8701-2576/
9 9129-8915</v>
      </c>
      <c r="O1495" s="82" t="str">
        <f>IFERROR(__xludf.DUMMYFUNCTION("IFERROR(VLOOKUP(D1495,
IMPORTRANGE(""https://docs.google.com/spreadsheets/d/1MjHtlUikwobi2MaWJgy7tfLeBmhj1u-dRFRs_8GwSoA/edit#gid=0"",""Gestores Escolares!D7:J""),6,0),""VERIFICAR CÓD SEC"")"),"RITA DE CÁSSIA PEREIRA DE SOUSA")</f>
        <v>RITA DE CÁSSIA PEREIRA DE SOUSA</v>
      </c>
      <c r="P1495" s="82" t="str">
        <f>IFERROR(__xludf.DUMMYFUNCTION("IFERROR(VLOOKUP(D1495,
IMPORTRANGE(""https://docs.google.com/spreadsheets/d/1MjHtlUikwobi2MaWJgy7tfLeBmhj1u-dRFRs_8GwSoA/edit#gid=0"",""Gestores Escolares!D7:J""),7,0),""VERIFICAR CÓD SEC"")"),"(71) 9 9218-6770")</f>
        <v>(71) 9 9218-6770</v>
      </c>
      <c r="Q1495" s="82" t="str">
        <f>IFERROR(__xludf.DUMMYFUNCTION("IFERROR(VLOOKUP(D1495,
IMPORTRANGE(""https://docs.google.com/spreadsheets/d/1MjHtlUikwobi2MaWJgy7tfLeBmhj1u-dRFRs_8GwSoA/edit#gid=0"",""Gestores Escolares!D7:m""),9,0),""VERIFICAR CÓD SEC"")"),"MARCOS JOSE DOS SANTOS DE OLIVEIRA")</f>
        <v>MARCOS JOSE DOS SANTOS DE OLIVEIRA</v>
      </c>
      <c r="R1495" s="82" t="str">
        <f>IFERROR(__xludf.DUMMYFUNCTION("IFERROR(VLOOKUP(D1495,
IMPORTRANGE(""https://docs.google.com/spreadsheets/d/1MjHtlUikwobi2MaWJgy7tfLeBmhj1u-dRFRs_8GwSoA/edit#gid=0"",""Gestores Escolares!D7:m""),10,0),""VERIFICAR CÓD SEC"")"),"(71) 9 9110-3341")</f>
        <v>(71) 9 9110-3341</v>
      </c>
      <c r="S1495" s="82"/>
      <c r="T1495" s="138">
        <v>10.0</v>
      </c>
      <c r="U1495" s="152">
        <v>10.0</v>
      </c>
      <c r="V1495" s="106">
        <v>0.0</v>
      </c>
      <c r="W1495" s="107">
        <v>0.0</v>
      </c>
      <c r="X1495" s="107">
        <v>0.0</v>
      </c>
      <c r="Y1495" s="107">
        <v>0.0</v>
      </c>
      <c r="Z1495" s="80">
        <f t="shared" si="1"/>
        <v>0</v>
      </c>
      <c r="AA1495" s="106">
        <v>128.0</v>
      </c>
      <c r="AB1495" s="107">
        <v>244.0</v>
      </c>
      <c r="AC1495" s="107">
        <v>0.0</v>
      </c>
      <c r="AD1495" s="107">
        <v>0.0</v>
      </c>
      <c r="AE1495" s="80">
        <f t="shared" si="2"/>
        <v>372</v>
      </c>
      <c r="AF1495" s="140">
        <v>259.0</v>
      </c>
      <c r="AG1495" s="109">
        <v>117.0</v>
      </c>
      <c r="AH1495" s="109">
        <v>0.0</v>
      </c>
      <c r="AI1495" s="141">
        <v>0.0</v>
      </c>
      <c r="AJ1495" s="80">
        <f t="shared" si="3"/>
        <v>376</v>
      </c>
      <c r="AK1495" s="140">
        <v>0.0</v>
      </c>
      <c r="AL1495" s="109">
        <v>0.0</v>
      </c>
      <c r="AM1495" s="141">
        <v>28.0</v>
      </c>
      <c r="AN1495" s="80">
        <f t="shared" si="4"/>
        <v>28</v>
      </c>
      <c r="AO1495" s="140">
        <v>0.0</v>
      </c>
      <c r="AP1495" s="109">
        <v>0.0</v>
      </c>
      <c r="AQ1495" s="109">
        <v>120.0</v>
      </c>
      <c r="AR1495" s="80">
        <f t="shared" si="5"/>
        <v>120</v>
      </c>
      <c r="AS1495" s="110">
        <v>0.0</v>
      </c>
      <c r="AT1495" s="110">
        <v>0.0</v>
      </c>
      <c r="AU1495" s="110">
        <v>0.0</v>
      </c>
      <c r="AV1495" s="142">
        <v>0.0</v>
      </c>
      <c r="AW1495" s="80">
        <f t="shared" si="6"/>
        <v>0</v>
      </c>
      <c r="AX1495" s="113">
        <f t="shared" si="7"/>
        <v>896</v>
      </c>
      <c r="AY1495" s="117">
        <f t="shared" si="8"/>
        <v>748</v>
      </c>
      <c r="AZ1495" s="120">
        <f t="shared" si="9"/>
        <v>148</v>
      </c>
      <c r="BA1495" s="115">
        <v>0.0</v>
      </c>
      <c r="BB1495" s="89">
        <f t="shared" si="10"/>
        <v>896</v>
      </c>
      <c r="BC1495" s="132" t="s">
        <v>178</v>
      </c>
      <c r="BD1495" s="132" t="s">
        <v>178</v>
      </c>
      <c r="BE1495" s="132" t="s">
        <v>178</v>
      </c>
      <c r="BF1495" s="123"/>
      <c r="BG1495" s="83">
        <v>1102348.0</v>
      </c>
      <c r="BH1495" s="137" t="s">
        <v>8439</v>
      </c>
      <c r="BI1495" s="112">
        <v>10.0</v>
      </c>
      <c r="BJ1495" s="98" t="s">
        <v>155</v>
      </c>
      <c r="BK1495" s="99">
        <f t="shared" si="11"/>
        <v>0</v>
      </c>
      <c r="BL1495" s="99">
        <f t="shared" si="12"/>
        <v>748</v>
      </c>
      <c r="BM1495" s="99" t="str">
        <f>IFERROR(__xludf.DUMMYFUNCTION("IFERROR(VLOOKUP(BG1495,IMPORTRANGE(""https://docs.google.com/spreadsheets/d/1juPI-Fb8LD0YtltB2mlGEnp_R3UVu1t3wSFPzgCyHXE/edit?gid=0#gid=0"",""GERAL!A2:C""),3,0),""-"")"),"-")</f>
        <v>-</v>
      </c>
    </row>
    <row r="1496" ht="15.75" customHeight="1">
      <c r="A1496" s="111" t="s">
        <v>1785</v>
      </c>
      <c r="B1496" s="83" t="s">
        <v>1994</v>
      </c>
      <c r="C1496" s="83" t="s">
        <v>68</v>
      </c>
      <c r="D1496" s="112">
        <v>1176387.0</v>
      </c>
      <c r="E1496" s="83"/>
      <c r="F1496" s="83">
        <v>2.9382017E7</v>
      </c>
      <c r="G1496" s="119" t="s">
        <v>8440</v>
      </c>
      <c r="H1496" s="91" t="s">
        <v>8441</v>
      </c>
      <c r="I1496" s="83" t="s">
        <v>8442</v>
      </c>
      <c r="J1496" s="83" t="s">
        <v>150</v>
      </c>
      <c r="K1496" s="83" t="s">
        <v>151</v>
      </c>
      <c r="L1496" s="83" t="s">
        <v>152</v>
      </c>
      <c r="M1496" s="82" t="str">
        <f>IFERROR(__xludf.DUMMYFUNCTION("IFERROR(VLOOKUP(D1496,
IMPORTRANGE(""https://docs.google.com/spreadsheets/d/1MjHtlUikwobi2MaWJgy7tfLeBmhj1u-dRFRs_8GwSoA/edit#gid=0"",""Gestores Escolares!D7:J""),3,0),""VERIFICAR CÓD SEC"")"),"EDUARDO PEREIRA SANTOS")</f>
        <v>EDUARDO PEREIRA SANTOS</v>
      </c>
      <c r="N1496" s="82" t="str">
        <f>IFERROR(__xludf.DUMMYFUNCTION("IFERROR(VLOOKUP(D1496,
IMPORTRANGE(""https://docs.google.com/spreadsheets/d/1MjHtlUikwobi2MaWJgy7tfLeBmhj1u-dRFRs_8GwSoA/edit#gid=0"",""Gestores Escolares!D7:J""),4,0),""VERIFICAR CÓD SEC"")"),"(71) 9 8868-9395/9 9237-3900")</f>
        <v>(71) 9 8868-9395/9 9237-3900</v>
      </c>
      <c r="O1496" s="82" t="str">
        <f>IFERROR(__xludf.DUMMYFUNCTION("IFERROR(VLOOKUP(D1496,
IMPORTRANGE(""https://docs.google.com/spreadsheets/d/1MjHtlUikwobi2MaWJgy7tfLeBmhj1u-dRFRs_8GwSoA/edit#gid=0"",""Gestores Escolares!D7:J""),6,0),""VERIFICAR CÓD SEC"")")," ANA RITA SANTOS DO NASCIMENTO")</f>
        <v> ANA RITA SANTOS DO NASCIMENTO</v>
      </c>
      <c r="P1496" s="82" t="str">
        <f>IFERROR(__xludf.DUMMYFUNCTION("IFERROR(VLOOKUP(D1496,
IMPORTRANGE(""https://docs.google.com/spreadsheets/d/1MjHtlUikwobi2MaWJgy7tfLeBmhj1u-dRFRs_8GwSoA/edit#gid=0"",""Gestores Escolares!D7:J""),7,0),""VERIFICAR CÓD SEC"")"),"(71) 9 9907-7691")</f>
        <v>(71) 9 9907-7691</v>
      </c>
      <c r="Q1496" s="82" t="str">
        <f>IFERROR(__xludf.DUMMYFUNCTION("IFERROR(VLOOKUP(D1496,
IMPORTRANGE(""https://docs.google.com/spreadsheets/d/1MjHtlUikwobi2MaWJgy7tfLeBmhj1u-dRFRs_8GwSoA/edit#gid=0"",""Gestores Escolares!D7:m""),9,0),""VERIFICAR CÓD SEC"")"),"")</f>
        <v/>
      </c>
      <c r="R1496" s="82" t="str">
        <f>IFERROR(__xludf.DUMMYFUNCTION("IFERROR(VLOOKUP(D1496,
IMPORTRANGE(""https://docs.google.com/spreadsheets/d/1MjHtlUikwobi2MaWJgy7tfLeBmhj1u-dRFRs_8GwSoA/edit#gid=0"",""Gestores Escolares!D7:m""),10,0),""VERIFICAR CÓD SEC"")"),"")</f>
        <v/>
      </c>
      <c r="S1496" s="82"/>
      <c r="T1496" s="138">
        <v>12.0</v>
      </c>
      <c r="U1496" s="152">
        <v>12.0</v>
      </c>
      <c r="V1496" s="106">
        <v>0.0</v>
      </c>
      <c r="W1496" s="107">
        <v>0.0</v>
      </c>
      <c r="X1496" s="107">
        <v>0.0</v>
      </c>
      <c r="Y1496" s="107">
        <v>0.0</v>
      </c>
      <c r="Z1496" s="80">
        <f t="shared" si="1"/>
        <v>0</v>
      </c>
      <c r="AA1496" s="106">
        <v>179.0</v>
      </c>
      <c r="AB1496" s="107">
        <v>178.0</v>
      </c>
      <c r="AC1496" s="107">
        <v>0.0</v>
      </c>
      <c r="AD1496" s="107">
        <v>0.0</v>
      </c>
      <c r="AE1496" s="80">
        <f t="shared" si="2"/>
        <v>357</v>
      </c>
      <c r="AF1496" s="140">
        <v>0.0</v>
      </c>
      <c r="AG1496" s="109">
        <v>0.0</v>
      </c>
      <c r="AH1496" s="109">
        <v>0.0</v>
      </c>
      <c r="AI1496" s="141">
        <v>196.0</v>
      </c>
      <c r="AJ1496" s="80">
        <f t="shared" si="3"/>
        <v>196</v>
      </c>
      <c r="AK1496" s="140">
        <v>0.0</v>
      </c>
      <c r="AL1496" s="109">
        <v>0.0</v>
      </c>
      <c r="AM1496" s="141">
        <v>0.0</v>
      </c>
      <c r="AN1496" s="80">
        <f t="shared" si="4"/>
        <v>0</v>
      </c>
      <c r="AO1496" s="140">
        <v>0.0</v>
      </c>
      <c r="AP1496" s="109">
        <v>0.0</v>
      </c>
      <c r="AQ1496" s="109">
        <v>0.0</v>
      </c>
      <c r="AR1496" s="80">
        <f t="shared" si="5"/>
        <v>0</v>
      </c>
      <c r="AS1496" s="110">
        <v>0.0</v>
      </c>
      <c r="AT1496" s="110">
        <v>0.0</v>
      </c>
      <c r="AU1496" s="110">
        <v>0.0</v>
      </c>
      <c r="AV1496" s="142">
        <v>0.0</v>
      </c>
      <c r="AW1496" s="80">
        <f t="shared" si="6"/>
        <v>0</v>
      </c>
      <c r="AX1496" s="113">
        <f t="shared" si="7"/>
        <v>553</v>
      </c>
      <c r="AY1496" s="117">
        <f t="shared" si="8"/>
        <v>553</v>
      </c>
      <c r="AZ1496" s="120">
        <f t="shared" si="9"/>
        <v>0</v>
      </c>
      <c r="BA1496" s="115">
        <v>0.0</v>
      </c>
      <c r="BB1496" s="89">
        <f t="shared" si="10"/>
        <v>553</v>
      </c>
      <c r="BC1496" s="132" t="s">
        <v>178</v>
      </c>
      <c r="BD1496" s="132" t="s">
        <v>178</v>
      </c>
      <c r="BE1496" s="132" t="s">
        <v>178</v>
      </c>
      <c r="BF1496" s="156"/>
      <c r="BG1496" s="83">
        <v>1176387.0</v>
      </c>
      <c r="BH1496" s="137" t="s">
        <v>8443</v>
      </c>
      <c r="BI1496" s="112">
        <v>12.0</v>
      </c>
      <c r="BJ1496" s="98" t="s">
        <v>155</v>
      </c>
      <c r="BK1496" s="99">
        <f t="shared" si="11"/>
        <v>196</v>
      </c>
      <c r="BL1496" s="99">
        <f t="shared" si="12"/>
        <v>357</v>
      </c>
      <c r="BM1496" s="99" t="str">
        <f>IFERROR(__xludf.DUMMYFUNCTION("IFERROR(VLOOKUP(BG1496,IMPORTRANGE(""https://docs.google.com/spreadsheets/d/1juPI-Fb8LD0YtltB2mlGEnp_R3UVu1t3wSFPzgCyHXE/edit?gid=0#gid=0"",""GERAL!A2:C""),3,0),""-"")"),"-")</f>
        <v>-</v>
      </c>
    </row>
    <row r="1497" ht="15.75" customHeight="1">
      <c r="A1497" s="111" t="s">
        <v>1785</v>
      </c>
      <c r="B1497" s="83" t="s">
        <v>1994</v>
      </c>
      <c r="C1497" s="83" t="s">
        <v>68</v>
      </c>
      <c r="D1497" s="112">
        <v>1104103.0</v>
      </c>
      <c r="E1497" s="83"/>
      <c r="F1497" s="83">
        <v>2.9194776E7</v>
      </c>
      <c r="G1497" s="114" t="s">
        <v>8444</v>
      </c>
      <c r="H1497" s="91" t="s">
        <v>8445</v>
      </c>
      <c r="I1497" s="83" t="s">
        <v>8446</v>
      </c>
      <c r="J1497" s="83" t="s">
        <v>150</v>
      </c>
      <c r="K1497" s="83" t="s">
        <v>8447</v>
      </c>
      <c r="L1497" s="83" t="s">
        <v>152</v>
      </c>
      <c r="M1497" s="82" t="str">
        <f>IFERROR(__xludf.DUMMYFUNCTION("IFERROR(VLOOKUP(D1497,
IMPORTRANGE(""https://docs.google.com/spreadsheets/d/1MjHtlUikwobi2MaWJgy7tfLeBmhj1u-dRFRs_8GwSoA/edit#gid=0"",""Gestores Escolares!D7:J""),3,0),""VERIFICAR CÓD SEC"")"),"WILSON SANTOS DE SANTANA")</f>
        <v>WILSON SANTOS DE SANTANA</v>
      </c>
      <c r="N1497" s="82" t="str">
        <f>IFERROR(__xludf.DUMMYFUNCTION("IFERROR(VLOOKUP(D1497,
IMPORTRANGE(""https://docs.google.com/spreadsheets/d/1MjHtlUikwobi2MaWJgy7tfLeBmhj1u-dRFRs_8GwSoA/edit#gid=0"",""Gestores Escolares!D7:J""),4,0),""VERIFICAR CÓD SEC"")"),"(71) 9 9643-2800")</f>
        <v>(71) 9 9643-2800</v>
      </c>
      <c r="O1497" s="82" t="str">
        <f>IFERROR(__xludf.DUMMYFUNCTION("IFERROR(VLOOKUP(D1497,
IMPORTRANGE(""https://docs.google.com/spreadsheets/d/1MjHtlUikwobi2MaWJgy7tfLeBmhj1u-dRFRs_8GwSoA/edit#gid=0"",""Gestores Escolares!D7:J""),6,0),""VERIFICAR CÓD SEC"")"),"WELITO SANTA BARBARA FRANCO")</f>
        <v>WELITO SANTA BARBARA FRANCO</v>
      </c>
      <c r="P1497" s="82" t="str">
        <f>IFERROR(__xludf.DUMMYFUNCTION("IFERROR(VLOOKUP(D1497,
IMPORTRANGE(""https://docs.google.com/spreadsheets/d/1MjHtlUikwobi2MaWJgy7tfLeBmhj1u-dRFRs_8GwSoA/edit#gid=0"",""Gestores Escolares!D7:J""),7,0),""VERIFICAR CÓD SEC"")"),"(71) 9 8212-1970")</f>
        <v>(71) 9 8212-1970</v>
      </c>
      <c r="Q1497" s="82" t="str">
        <f>IFERROR(__xludf.DUMMYFUNCTION("IFERROR(VLOOKUP(D1497,
IMPORTRANGE(""https://docs.google.com/spreadsheets/d/1MjHtlUikwobi2MaWJgy7tfLeBmhj1u-dRFRs_8GwSoA/edit#gid=0"",""Gestores Escolares!D7:m""),9,0),""VERIFICAR CÓD SEC"")"),"THIEGO HURBATH DA SILVA")</f>
        <v>THIEGO HURBATH DA SILVA</v>
      </c>
      <c r="R1497" s="82" t="str">
        <f>IFERROR(__xludf.DUMMYFUNCTION("IFERROR(VLOOKUP(D1497,
IMPORTRANGE(""https://docs.google.com/spreadsheets/d/1MjHtlUikwobi2MaWJgy7tfLeBmhj1u-dRFRs_8GwSoA/edit#gid=0"",""Gestores Escolares!D7:m""),10,0),""VERIFICAR CÓD SEC"")")," (71) 9 9225-2432")</f>
        <v> (71) 9 9225-2432</v>
      </c>
      <c r="S1497" s="82"/>
      <c r="T1497" s="138">
        <v>16.0</v>
      </c>
      <c r="U1497" s="152">
        <v>13.0</v>
      </c>
      <c r="V1497" s="106">
        <v>0.0</v>
      </c>
      <c r="W1497" s="107">
        <v>0.0</v>
      </c>
      <c r="X1497" s="107">
        <v>0.0</v>
      </c>
      <c r="Y1497" s="107">
        <v>0.0</v>
      </c>
      <c r="Z1497" s="80">
        <f t="shared" si="1"/>
        <v>0</v>
      </c>
      <c r="AA1497" s="106">
        <v>28.0</v>
      </c>
      <c r="AB1497" s="107">
        <v>0.0</v>
      </c>
      <c r="AC1497" s="107">
        <v>0.0</v>
      </c>
      <c r="AD1497" s="107">
        <v>133.0</v>
      </c>
      <c r="AE1497" s="80">
        <f t="shared" si="2"/>
        <v>161</v>
      </c>
      <c r="AF1497" s="140">
        <v>0.0</v>
      </c>
      <c r="AG1497" s="109">
        <v>0.0</v>
      </c>
      <c r="AH1497" s="109">
        <v>0.0</v>
      </c>
      <c r="AI1497" s="141">
        <v>0.0</v>
      </c>
      <c r="AJ1497" s="80">
        <f t="shared" si="3"/>
        <v>0</v>
      </c>
      <c r="AK1497" s="140">
        <v>0.0</v>
      </c>
      <c r="AL1497" s="109">
        <v>0.0</v>
      </c>
      <c r="AM1497" s="141">
        <v>0.0</v>
      </c>
      <c r="AN1497" s="80">
        <f t="shared" si="4"/>
        <v>0</v>
      </c>
      <c r="AO1497" s="140">
        <v>0.0</v>
      </c>
      <c r="AP1497" s="109">
        <v>0.0</v>
      </c>
      <c r="AQ1497" s="109">
        <v>0.0</v>
      </c>
      <c r="AR1497" s="80">
        <f t="shared" si="5"/>
        <v>0</v>
      </c>
      <c r="AS1497" s="110">
        <v>0.0</v>
      </c>
      <c r="AT1497" s="110">
        <v>0.0</v>
      </c>
      <c r="AU1497" s="110">
        <v>0.0</v>
      </c>
      <c r="AV1497" s="142">
        <v>0.0</v>
      </c>
      <c r="AW1497" s="80">
        <f t="shared" si="6"/>
        <v>0</v>
      </c>
      <c r="AX1497" s="113">
        <f t="shared" si="7"/>
        <v>161</v>
      </c>
      <c r="AY1497" s="117">
        <f t="shared" si="8"/>
        <v>161</v>
      </c>
      <c r="AZ1497" s="120">
        <f t="shared" si="9"/>
        <v>0</v>
      </c>
      <c r="BA1497" s="115">
        <v>0.0</v>
      </c>
      <c r="BB1497" s="89">
        <f t="shared" si="10"/>
        <v>161</v>
      </c>
      <c r="BC1497" s="132" t="s">
        <v>178</v>
      </c>
      <c r="BD1497" s="132" t="s">
        <v>178</v>
      </c>
      <c r="BE1497" s="132" t="s">
        <v>178</v>
      </c>
      <c r="BF1497" s="123"/>
      <c r="BG1497" s="83">
        <v>1104103.0</v>
      </c>
      <c r="BH1497" s="137" t="s">
        <v>8449</v>
      </c>
      <c r="BI1497" s="112">
        <v>13.0</v>
      </c>
      <c r="BJ1497" s="98" t="s">
        <v>155</v>
      </c>
      <c r="BK1497" s="99">
        <f t="shared" si="11"/>
        <v>133</v>
      </c>
      <c r="BL1497" s="99">
        <f t="shared" si="12"/>
        <v>28</v>
      </c>
      <c r="BM1497" s="99" t="str">
        <f>IFERROR(__xludf.DUMMYFUNCTION("IFERROR(VLOOKUP(BG1497,IMPORTRANGE(""https://docs.google.com/spreadsheets/d/1juPI-Fb8LD0YtltB2mlGEnp_R3UVu1t3wSFPzgCyHXE/edit?gid=0#gid=0"",""GERAL!A2:C""),3,0),""-"")"),"-")</f>
        <v>-</v>
      </c>
    </row>
    <row r="1498" ht="15.75" customHeight="1">
      <c r="A1498" s="111" t="s">
        <v>1785</v>
      </c>
      <c r="B1498" s="83" t="s">
        <v>1994</v>
      </c>
      <c r="C1498" s="83" t="s">
        <v>68</v>
      </c>
      <c r="D1498" s="112">
        <v>1104111.0</v>
      </c>
      <c r="E1498" s="83"/>
      <c r="F1498" s="83">
        <v>2.919475E7</v>
      </c>
      <c r="G1498" s="119" t="s">
        <v>8450</v>
      </c>
      <c r="H1498" s="91" t="s">
        <v>8451</v>
      </c>
      <c r="I1498" s="83" t="s">
        <v>8363</v>
      </c>
      <c r="J1498" s="83" t="s">
        <v>150</v>
      </c>
      <c r="K1498" s="83" t="s">
        <v>151</v>
      </c>
      <c r="L1498" s="83" t="s">
        <v>152</v>
      </c>
      <c r="M1498" s="82" t="str">
        <f>IFERROR(__xludf.DUMMYFUNCTION("IFERROR(VLOOKUP(D1498,
IMPORTRANGE(""https://docs.google.com/spreadsheets/d/1MjHtlUikwobi2MaWJgy7tfLeBmhj1u-dRFRs_8GwSoA/edit#gid=0"",""Gestores Escolares!D7:J""),3,0),""VERIFICAR CÓD SEC"")"),"CÁSSIA CILENE DE ALMEIDA ARAGÃO")</f>
        <v>CÁSSIA CILENE DE ALMEIDA ARAGÃO</v>
      </c>
      <c r="N1498" s="82" t="str">
        <f>IFERROR(__xludf.DUMMYFUNCTION("IFERROR(VLOOKUP(D1498,
IMPORTRANGE(""https://docs.google.com/spreadsheets/d/1MjHtlUikwobi2MaWJgy7tfLeBmhj1u-dRFRs_8GwSoA/edit#gid=0"",""Gestores Escolares!D7:J""),4,0),""VERIFICAR CÓD SEC"")"),"(71) 9 8797-3267")</f>
        <v>(71) 9 8797-3267</v>
      </c>
      <c r="O1498" s="82" t="str">
        <f>IFERROR(__xludf.DUMMYFUNCTION("IFERROR(VLOOKUP(D1498,
IMPORTRANGE(""https://docs.google.com/spreadsheets/d/1MjHtlUikwobi2MaWJgy7tfLeBmhj1u-dRFRs_8GwSoA/edit#gid=0"",""Gestores Escolares!D7:J""),6,0),""VERIFICAR CÓD SEC"")"),"CÁSSIO MURILO DE ALMEIDA")</f>
        <v>CÁSSIO MURILO DE ALMEIDA</v>
      </c>
      <c r="P1498" s="82" t="str">
        <f>IFERROR(__xludf.DUMMYFUNCTION("IFERROR(VLOOKUP(D1498,
IMPORTRANGE(""https://docs.google.com/spreadsheets/d/1MjHtlUikwobi2MaWJgy7tfLeBmhj1u-dRFRs_8GwSoA/edit#gid=0"",""Gestores Escolares!D7:J""),7,0),""VERIFICAR CÓD SEC"")"),"(71) 9 8768-9678")</f>
        <v>(71) 9 8768-9678</v>
      </c>
      <c r="Q1498" s="82" t="str">
        <f>IFERROR(__xludf.DUMMYFUNCTION("IFERROR(VLOOKUP(D1498,
IMPORTRANGE(""https://docs.google.com/spreadsheets/d/1MjHtlUikwobi2MaWJgy7tfLeBmhj1u-dRFRs_8GwSoA/edit#gid=0"",""Gestores Escolares!D7:m""),9,0),""VERIFICAR CÓD SEC"")"),"")</f>
        <v/>
      </c>
      <c r="R1498" s="82" t="str">
        <f>IFERROR(__xludf.DUMMYFUNCTION("IFERROR(VLOOKUP(D1498,
IMPORTRANGE(""https://docs.google.com/spreadsheets/d/1MjHtlUikwobi2MaWJgy7tfLeBmhj1u-dRFRs_8GwSoA/edit#gid=0"",""Gestores Escolares!D7:m""),10,0),""VERIFICAR CÓD SEC"")"),"")</f>
        <v/>
      </c>
      <c r="S1498" s="82"/>
      <c r="T1498" s="138">
        <v>9.0</v>
      </c>
      <c r="U1498" s="152">
        <v>9.0</v>
      </c>
      <c r="V1498" s="106">
        <v>0.0</v>
      </c>
      <c r="W1498" s="107">
        <v>0.0</v>
      </c>
      <c r="X1498" s="107">
        <v>0.0</v>
      </c>
      <c r="Y1498" s="107">
        <v>0.0</v>
      </c>
      <c r="Z1498" s="80">
        <f t="shared" si="1"/>
        <v>0</v>
      </c>
      <c r="AA1498" s="106">
        <v>0.0</v>
      </c>
      <c r="AB1498" s="107">
        <v>231.0</v>
      </c>
      <c r="AC1498" s="107">
        <v>0.0</v>
      </c>
      <c r="AD1498" s="107">
        <v>0.0</v>
      </c>
      <c r="AE1498" s="80">
        <f t="shared" si="2"/>
        <v>231</v>
      </c>
      <c r="AF1498" s="140">
        <v>203.0</v>
      </c>
      <c r="AG1498" s="109">
        <v>0.0</v>
      </c>
      <c r="AH1498" s="109">
        <v>0.0</v>
      </c>
      <c r="AI1498" s="141">
        <v>0.0</v>
      </c>
      <c r="AJ1498" s="80">
        <f t="shared" si="3"/>
        <v>203</v>
      </c>
      <c r="AK1498" s="140">
        <v>0.0</v>
      </c>
      <c r="AL1498" s="109">
        <v>0.0</v>
      </c>
      <c r="AM1498" s="141">
        <v>0.0</v>
      </c>
      <c r="AN1498" s="80">
        <f t="shared" si="4"/>
        <v>0</v>
      </c>
      <c r="AO1498" s="140">
        <v>0.0</v>
      </c>
      <c r="AP1498" s="109">
        <v>0.0</v>
      </c>
      <c r="AQ1498" s="109">
        <v>123.0</v>
      </c>
      <c r="AR1498" s="80">
        <f t="shared" si="5"/>
        <v>123</v>
      </c>
      <c r="AS1498" s="110">
        <v>0.0</v>
      </c>
      <c r="AT1498" s="110">
        <v>0.0</v>
      </c>
      <c r="AU1498" s="110">
        <v>0.0</v>
      </c>
      <c r="AV1498" s="142">
        <v>0.0</v>
      </c>
      <c r="AW1498" s="80">
        <f t="shared" si="6"/>
        <v>0</v>
      </c>
      <c r="AX1498" s="113">
        <f t="shared" si="7"/>
        <v>557</v>
      </c>
      <c r="AY1498" s="117">
        <f t="shared" si="8"/>
        <v>434</v>
      </c>
      <c r="AZ1498" s="120">
        <f t="shared" si="9"/>
        <v>123</v>
      </c>
      <c r="BA1498" s="115">
        <v>0.0</v>
      </c>
      <c r="BB1498" s="89">
        <f t="shared" si="10"/>
        <v>557</v>
      </c>
      <c r="BC1498" s="132" t="s">
        <v>178</v>
      </c>
      <c r="BD1498" s="132" t="s">
        <v>178</v>
      </c>
      <c r="BE1498" s="132" t="s">
        <v>178</v>
      </c>
      <c r="BF1498" s="123"/>
      <c r="BG1498" s="83">
        <v>1104111.0</v>
      </c>
      <c r="BH1498" s="137" t="s">
        <v>8452</v>
      </c>
      <c r="BI1498" s="112">
        <v>9.0</v>
      </c>
      <c r="BJ1498" s="98" t="s">
        <v>155</v>
      </c>
      <c r="BK1498" s="99">
        <f t="shared" si="11"/>
        <v>0</v>
      </c>
      <c r="BL1498" s="99">
        <f t="shared" si="12"/>
        <v>434</v>
      </c>
      <c r="BM1498" s="99" t="str">
        <f>IFERROR(__xludf.DUMMYFUNCTION("IFERROR(VLOOKUP(BG1498,IMPORTRANGE(""https://docs.google.com/spreadsheets/d/1juPI-Fb8LD0YtltB2mlGEnp_R3UVu1t3wSFPzgCyHXE/edit?gid=0#gid=0"",""GERAL!A2:C""),3,0),""-"")"),"-")</f>
        <v>-</v>
      </c>
    </row>
    <row r="1499" ht="15.75" customHeight="1">
      <c r="A1499" s="111" t="s">
        <v>1785</v>
      </c>
      <c r="B1499" s="83" t="s">
        <v>1994</v>
      </c>
      <c r="C1499" s="83" t="s">
        <v>68</v>
      </c>
      <c r="D1499" s="112">
        <v>1100701.0</v>
      </c>
      <c r="E1499" s="83"/>
      <c r="F1499" s="83">
        <v>2.919217E7</v>
      </c>
      <c r="G1499" s="119" t="s">
        <v>8459</v>
      </c>
      <c r="H1499" s="91" t="s">
        <v>8460</v>
      </c>
      <c r="I1499" s="83" t="s">
        <v>8461</v>
      </c>
      <c r="J1499" s="83" t="s">
        <v>150</v>
      </c>
      <c r="K1499" s="83" t="s">
        <v>151</v>
      </c>
      <c r="L1499" s="98" t="s">
        <v>152</v>
      </c>
      <c r="M1499" s="82" t="str">
        <f>IFERROR(__xludf.DUMMYFUNCTION("IFERROR(VLOOKUP(D1499,
IMPORTRANGE(""https://docs.google.com/spreadsheets/d/1MjHtlUikwobi2MaWJgy7tfLeBmhj1u-dRFRs_8GwSoA/edit#gid=0"",""Gestores Escolares!D7:J""),3,0),""VERIFICAR CÓD SEC"")"),"ROSANA DE CARVALHO SOUZA ANDRADE")</f>
        <v>ROSANA DE CARVALHO SOUZA ANDRADE</v>
      </c>
      <c r="N1499" s="82" t="str">
        <f>IFERROR(__xludf.DUMMYFUNCTION("IFERROR(VLOOKUP(D1499,
IMPORTRANGE(""https://docs.google.com/spreadsheets/d/1MjHtlUikwobi2MaWJgy7tfLeBmhj1u-dRFRs_8GwSoA/edit#gid=0"",""Gestores Escolares!D7:J""),4,0),""VERIFICAR CÓD SEC"")"),"(71) 9 9211-1134")</f>
        <v>(71) 9 9211-1134</v>
      </c>
      <c r="O1499" s="82" t="str">
        <f>IFERROR(__xludf.DUMMYFUNCTION("IFERROR(VLOOKUP(D1499,
IMPORTRANGE(""https://docs.google.com/spreadsheets/d/1MjHtlUikwobi2MaWJgy7tfLeBmhj1u-dRFRs_8GwSoA/edit#gid=0"",""Gestores Escolares!D7:J""),6,0),""VERIFICAR CÓD SEC"")"),"SEFORA JOCA MACIEL")</f>
        <v>SEFORA JOCA MACIEL</v>
      </c>
      <c r="P1499" s="82" t="str">
        <f>IFERROR(__xludf.DUMMYFUNCTION("IFERROR(VLOOKUP(D1499,
IMPORTRANGE(""https://docs.google.com/spreadsheets/d/1MjHtlUikwobi2MaWJgy7tfLeBmhj1u-dRFRs_8GwSoA/edit#gid=0"",""Gestores Escolares!D7:J""),7,0),""VERIFICAR CÓD SEC"")"),"(71) 9 9127-8588")</f>
        <v>(71) 9 9127-8588</v>
      </c>
      <c r="Q1499" s="82" t="str">
        <f>IFERROR(__xludf.DUMMYFUNCTION("IFERROR(VLOOKUP(D1499,
IMPORTRANGE(""https://docs.google.com/spreadsheets/d/1MjHtlUikwobi2MaWJgy7tfLeBmhj1u-dRFRs_8GwSoA/edit#gid=0"",""Gestores Escolares!D7:m""),9,0),""VERIFICAR CÓD SEC"")"),"")</f>
        <v/>
      </c>
      <c r="R1499" s="82" t="str">
        <f>IFERROR(__xludf.DUMMYFUNCTION("IFERROR(VLOOKUP(D1499,
IMPORTRANGE(""https://docs.google.com/spreadsheets/d/1MjHtlUikwobi2MaWJgy7tfLeBmhj1u-dRFRs_8GwSoA/edit#gid=0"",""Gestores Escolares!D7:m""),10,0),""VERIFICAR CÓD SEC"")"),"")</f>
        <v/>
      </c>
      <c r="S1499" s="82"/>
      <c r="T1499" s="138">
        <v>10.0</v>
      </c>
      <c r="U1499" s="152">
        <v>10.0</v>
      </c>
      <c r="V1499" s="106">
        <v>0.0</v>
      </c>
      <c r="W1499" s="107">
        <v>0.0</v>
      </c>
      <c r="X1499" s="107">
        <v>0.0</v>
      </c>
      <c r="Y1499" s="107">
        <v>0.0</v>
      </c>
      <c r="Z1499" s="80">
        <f t="shared" si="1"/>
        <v>0</v>
      </c>
      <c r="AA1499" s="106">
        <v>64.0</v>
      </c>
      <c r="AB1499" s="107">
        <v>0.0</v>
      </c>
      <c r="AC1499" s="107">
        <v>0.0</v>
      </c>
      <c r="AD1499" s="107">
        <v>177.0</v>
      </c>
      <c r="AE1499" s="80">
        <f t="shared" si="2"/>
        <v>241</v>
      </c>
      <c r="AF1499" s="140">
        <v>0.0</v>
      </c>
      <c r="AG1499" s="109">
        <v>0.0</v>
      </c>
      <c r="AH1499" s="109">
        <v>0.0</v>
      </c>
      <c r="AI1499" s="141">
        <v>130.0</v>
      </c>
      <c r="AJ1499" s="80">
        <f t="shared" si="3"/>
        <v>130</v>
      </c>
      <c r="AK1499" s="140">
        <v>0.0</v>
      </c>
      <c r="AL1499" s="109">
        <v>0.0</v>
      </c>
      <c r="AM1499" s="141">
        <v>0.0</v>
      </c>
      <c r="AN1499" s="80">
        <f t="shared" si="4"/>
        <v>0</v>
      </c>
      <c r="AO1499" s="140">
        <v>0.0</v>
      </c>
      <c r="AP1499" s="109">
        <v>0.0</v>
      </c>
      <c r="AQ1499" s="109">
        <v>0.0</v>
      </c>
      <c r="AR1499" s="80">
        <f t="shared" si="5"/>
        <v>0</v>
      </c>
      <c r="AS1499" s="110">
        <v>0.0</v>
      </c>
      <c r="AT1499" s="110">
        <v>0.0</v>
      </c>
      <c r="AU1499" s="110">
        <v>0.0</v>
      </c>
      <c r="AV1499" s="142">
        <v>0.0</v>
      </c>
      <c r="AW1499" s="80">
        <f t="shared" si="6"/>
        <v>0</v>
      </c>
      <c r="AX1499" s="113">
        <f t="shared" si="7"/>
        <v>371</v>
      </c>
      <c r="AY1499" s="117">
        <f t="shared" si="8"/>
        <v>371</v>
      </c>
      <c r="AZ1499" s="120">
        <f t="shared" si="9"/>
        <v>0</v>
      </c>
      <c r="BA1499" s="115">
        <v>0.0</v>
      </c>
      <c r="BB1499" s="89">
        <f t="shared" si="10"/>
        <v>371</v>
      </c>
      <c r="BC1499" s="132" t="s">
        <v>178</v>
      </c>
      <c r="BD1499" s="132" t="s">
        <v>178</v>
      </c>
      <c r="BE1499" s="132" t="s">
        <v>178</v>
      </c>
      <c r="BF1499" s="123"/>
      <c r="BG1499" s="83">
        <v>1100701.0</v>
      </c>
      <c r="BH1499" s="137" t="s">
        <v>8462</v>
      </c>
      <c r="BI1499" s="112">
        <v>10.0</v>
      </c>
      <c r="BJ1499" s="98" t="s">
        <v>155</v>
      </c>
      <c r="BK1499" s="99">
        <f t="shared" si="11"/>
        <v>307</v>
      </c>
      <c r="BL1499" s="99">
        <f t="shared" si="12"/>
        <v>64</v>
      </c>
      <c r="BM1499" s="99" t="str">
        <f>IFERROR(__xludf.DUMMYFUNCTION("IFERROR(VLOOKUP(BG1499,IMPORTRANGE(""https://docs.google.com/spreadsheets/d/1juPI-Fb8LD0YtltB2mlGEnp_R3UVu1t3wSFPzgCyHXE/edit?gid=0#gid=0"",""GERAL!A2:C""),3,0),""-"")"),"-")</f>
        <v>-</v>
      </c>
    </row>
    <row r="1500" ht="15.75" customHeight="1">
      <c r="A1500" s="111" t="s">
        <v>1785</v>
      </c>
      <c r="B1500" s="83" t="s">
        <v>1994</v>
      </c>
      <c r="C1500" s="83" t="s">
        <v>68</v>
      </c>
      <c r="D1500" s="112">
        <v>1146140.0</v>
      </c>
      <c r="E1500" s="83"/>
      <c r="F1500" s="83">
        <v>2.919993E7</v>
      </c>
      <c r="G1500" s="119" t="s">
        <v>8463</v>
      </c>
      <c r="H1500" s="91" t="s">
        <v>8464</v>
      </c>
      <c r="I1500" s="83" t="s">
        <v>8465</v>
      </c>
      <c r="J1500" s="83" t="s">
        <v>150</v>
      </c>
      <c r="K1500" s="83" t="s">
        <v>151</v>
      </c>
      <c r="L1500" s="83" t="s">
        <v>152</v>
      </c>
      <c r="M1500" s="82" t="str">
        <f>IFERROR(__xludf.DUMMYFUNCTION("IFERROR(VLOOKUP(D1500,
IMPORTRANGE(""https://docs.google.com/spreadsheets/d/1MjHtlUikwobi2MaWJgy7tfLeBmhj1u-dRFRs_8GwSoA/edit#gid=0"",""Gestores Escolares!D7:J""),3,0),""VERIFICAR CÓD SEC"")"),"LUIS CLAUDIO PURIFICACAO BASTOS")</f>
        <v>LUIS CLAUDIO PURIFICACAO BASTOS</v>
      </c>
      <c r="N1500" s="82" t="str">
        <f>IFERROR(__xludf.DUMMYFUNCTION("IFERROR(VLOOKUP(D1500,
IMPORTRANGE(""https://docs.google.com/spreadsheets/d/1MjHtlUikwobi2MaWJgy7tfLeBmhj1u-dRFRs_8GwSoA/edit#gid=0"",""Gestores Escolares!D7:J""),4,0),""VERIFICAR CÓD SEC"")"),"(71) 9 9328-6434")</f>
        <v>(71) 9 9328-6434</v>
      </c>
      <c r="O1500" s="82" t="str">
        <f>IFERROR(__xludf.DUMMYFUNCTION("IFERROR(VLOOKUP(D1500,
IMPORTRANGE(""https://docs.google.com/spreadsheets/d/1MjHtlUikwobi2MaWJgy7tfLeBmhj1u-dRFRs_8GwSoA/edit#gid=0"",""Gestores Escolares!D7:J""),6,0),""VERIFICAR CÓD SEC"")"),"CRISTINA JOAU PEREZ KELER")</f>
        <v>CRISTINA JOAU PEREZ KELER</v>
      </c>
      <c r="P1500" s="82" t="str">
        <f>IFERROR(__xludf.DUMMYFUNCTION("IFERROR(VLOOKUP(D1500,
IMPORTRANGE(""https://docs.google.com/spreadsheets/d/1MjHtlUikwobi2MaWJgy7tfLeBmhj1u-dRFRs_8GwSoA/edit#gid=0"",""Gestores Escolares!D7:J""),7,0),""VERIFICAR CÓD SEC"")"),"(71) 9 9971-8583")</f>
        <v>(71) 9 9971-8583</v>
      </c>
      <c r="Q1500" s="82" t="str">
        <f>IFERROR(__xludf.DUMMYFUNCTION("IFERROR(VLOOKUP(D1500,
IMPORTRANGE(""https://docs.google.com/spreadsheets/d/1MjHtlUikwobi2MaWJgy7tfLeBmhj1u-dRFRs_8GwSoA/edit#gid=0"",""Gestores Escolares!D7:m""),9,0),""VERIFICAR CÓD SEC"")"),"RAFAEL AZEVEDO WYZYKOWSK")</f>
        <v>RAFAEL AZEVEDO WYZYKOWSK</v>
      </c>
      <c r="R1500" s="82" t="str">
        <f>IFERROR(__xludf.DUMMYFUNCTION("IFERROR(VLOOKUP(D1500,
IMPORTRANGE(""https://docs.google.com/spreadsheets/d/1MjHtlUikwobi2MaWJgy7tfLeBmhj1u-dRFRs_8GwSoA/edit#gid=0"",""Gestores Escolares!D7:m""),10,0),""VERIFICAR CÓD SEC"")"),"(71) 9 8847-4377")</f>
        <v>(71) 9 8847-4377</v>
      </c>
      <c r="S1500" s="82"/>
      <c r="T1500" s="138">
        <v>13.0</v>
      </c>
      <c r="U1500" s="152">
        <v>13.0</v>
      </c>
      <c r="V1500" s="106">
        <v>0.0</v>
      </c>
      <c r="W1500" s="107">
        <v>0.0</v>
      </c>
      <c r="X1500" s="107">
        <v>0.0</v>
      </c>
      <c r="Y1500" s="107">
        <v>0.0</v>
      </c>
      <c r="Z1500" s="80">
        <f t="shared" si="1"/>
        <v>0</v>
      </c>
      <c r="AA1500" s="106">
        <v>0.0</v>
      </c>
      <c r="AB1500" s="107">
        <v>499.0</v>
      </c>
      <c r="AC1500" s="107">
        <v>0.0</v>
      </c>
      <c r="AD1500" s="107">
        <v>0.0</v>
      </c>
      <c r="AE1500" s="80">
        <f t="shared" si="2"/>
        <v>499</v>
      </c>
      <c r="AF1500" s="140">
        <v>427.0</v>
      </c>
      <c r="AG1500" s="109">
        <v>0.0</v>
      </c>
      <c r="AH1500" s="109">
        <v>0.0</v>
      </c>
      <c r="AI1500" s="141">
        <v>0.0</v>
      </c>
      <c r="AJ1500" s="80">
        <f t="shared" si="3"/>
        <v>427</v>
      </c>
      <c r="AK1500" s="140">
        <v>0.0</v>
      </c>
      <c r="AL1500" s="109">
        <v>0.0</v>
      </c>
      <c r="AM1500" s="141">
        <v>53.0</v>
      </c>
      <c r="AN1500" s="80">
        <f t="shared" si="4"/>
        <v>53</v>
      </c>
      <c r="AO1500" s="140">
        <v>0.0</v>
      </c>
      <c r="AP1500" s="109">
        <v>0.0</v>
      </c>
      <c r="AQ1500" s="109">
        <v>153.0</v>
      </c>
      <c r="AR1500" s="80">
        <f t="shared" si="5"/>
        <v>153</v>
      </c>
      <c r="AS1500" s="110">
        <v>0.0</v>
      </c>
      <c r="AT1500" s="110">
        <v>0.0</v>
      </c>
      <c r="AU1500" s="110">
        <v>38.0</v>
      </c>
      <c r="AV1500" s="142">
        <v>0.0</v>
      </c>
      <c r="AW1500" s="80">
        <f t="shared" si="6"/>
        <v>38</v>
      </c>
      <c r="AX1500" s="113">
        <f t="shared" si="7"/>
        <v>1170</v>
      </c>
      <c r="AY1500" s="117">
        <f t="shared" si="8"/>
        <v>926</v>
      </c>
      <c r="AZ1500" s="120">
        <f t="shared" si="9"/>
        <v>244</v>
      </c>
      <c r="BA1500" s="115">
        <v>4.0</v>
      </c>
      <c r="BB1500" s="89">
        <f t="shared" si="10"/>
        <v>1174</v>
      </c>
      <c r="BC1500" s="132" t="s">
        <v>178</v>
      </c>
      <c r="BD1500" s="132" t="s">
        <v>178</v>
      </c>
      <c r="BE1500" s="132" t="s">
        <v>178</v>
      </c>
      <c r="BF1500" s="156"/>
      <c r="BG1500" s="83">
        <v>1146140.0</v>
      </c>
      <c r="BH1500" s="137" t="s">
        <v>8467</v>
      </c>
      <c r="BI1500" s="112">
        <v>13.0</v>
      </c>
      <c r="BJ1500" s="98" t="s">
        <v>155</v>
      </c>
      <c r="BK1500" s="99">
        <f t="shared" si="11"/>
        <v>0</v>
      </c>
      <c r="BL1500" s="99">
        <f t="shared" si="12"/>
        <v>926</v>
      </c>
      <c r="BM1500" s="99" t="str">
        <f>IFERROR(__xludf.DUMMYFUNCTION("IFERROR(VLOOKUP(BG1500,IMPORTRANGE(""https://docs.google.com/spreadsheets/d/1juPI-Fb8LD0YtltB2mlGEnp_R3UVu1t3wSFPzgCyHXE/edit?gid=0#gid=0"",""GERAL!A2:C""),3,0),""-"")"),"-")</f>
        <v>-</v>
      </c>
    </row>
    <row r="1501" ht="15.75" customHeight="1">
      <c r="A1501" s="111" t="s">
        <v>1785</v>
      </c>
      <c r="B1501" s="83" t="s">
        <v>1994</v>
      </c>
      <c r="C1501" s="83" t="s">
        <v>68</v>
      </c>
      <c r="D1501" s="112">
        <v>1172320.0</v>
      </c>
      <c r="E1501" s="83"/>
      <c r="F1501" s="83">
        <v>2.9192242E7</v>
      </c>
      <c r="G1501" s="114" t="s">
        <v>8475</v>
      </c>
      <c r="H1501" s="91" t="s">
        <v>8476</v>
      </c>
      <c r="I1501" s="83" t="s">
        <v>8477</v>
      </c>
      <c r="J1501" s="83" t="s">
        <v>150</v>
      </c>
      <c r="K1501" s="83" t="s">
        <v>151</v>
      </c>
      <c r="L1501" s="83" t="s">
        <v>169</v>
      </c>
      <c r="M1501" s="82" t="str">
        <f>IFERROR(__xludf.DUMMYFUNCTION("IFERROR(VLOOKUP(D1501,
IMPORTRANGE(""https://docs.google.com/spreadsheets/d/1MjHtlUikwobi2MaWJgy7tfLeBmhj1u-dRFRs_8GwSoA/edit#gid=0"",""Gestores Escolares!D7:J""),3,0),""VERIFICAR CÓD SEC"")"),"RODRENICE SANTANA BORGES")</f>
        <v>RODRENICE SANTANA BORGES</v>
      </c>
      <c r="N1501" s="82" t="str">
        <f>IFERROR(__xludf.DUMMYFUNCTION("IFERROR(VLOOKUP(D1501,
IMPORTRANGE(""https://docs.google.com/spreadsheets/d/1MjHtlUikwobi2MaWJgy7tfLeBmhj1u-dRFRs_8GwSoA/edit#gid=0"",""Gestores Escolares!D7:J""),4,0),""VERIFICAR CÓD SEC"")"),"(71) 9 8769-5322")</f>
        <v>(71) 9 8769-5322</v>
      </c>
      <c r="O1501" s="82" t="str">
        <f>IFERROR(__xludf.DUMMYFUNCTION("IFERROR(VLOOKUP(D1501,
IMPORTRANGE(""https://docs.google.com/spreadsheets/d/1MjHtlUikwobi2MaWJgy7tfLeBmhj1u-dRFRs_8GwSoA/edit#gid=0"",""Gestores Escolares!D7:J""),6,0),""VERIFICAR CÓD SEC"")"),"")</f>
        <v/>
      </c>
      <c r="P1501" s="82" t="str">
        <f>IFERROR(__xludf.DUMMYFUNCTION("IFERROR(VLOOKUP(D1501,
IMPORTRANGE(""https://docs.google.com/spreadsheets/d/1MjHtlUikwobi2MaWJgy7tfLeBmhj1u-dRFRs_8GwSoA/edit#gid=0"",""Gestores Escolares!D7:J""),7,0),""VERIFICAR CÓD SEC"")"),"")</f>
        <v/>
      </c>
      <c r="Q1501" s="82" t="str">
        <f>IFERROR(__xludf.DUMMYFUNCTION("IFERROR(VLOOKUP(D1501,
IMPORTRANGE(""https://docs.google.com/spreadsheets/d/1MjHtlUikwobi2MaWJgy7tfLeBmhj1u-dRFRs_8GwSoA/edit#gid=0"",""Gestores Escolares!D7:m""),9,0),""VERIFICAR CÓD SEC"")"),"")</f>
        <v/>
      </c>
      <c r="R1501" s="82" t="str">
        <f>IFERROR(__xludf.DUMMYFUNCTION("IFERROR(VLOOKUP(D1501,
IMPORTRANGE(""https://docs.google.com/spreadsheets/d/1MjHtlUikwobi2MaWJgy7tfLeBmhj1u-dRFRs_8GwSoA/edit#gid=0"",""Gestores Escolares!D7:m""),10,0),""VERIFICAR CÓD SEC"")"),"")</f>
        <v/>
      </c>
      <c r="S1501" s="82"/>
      <c r="T1501" s="138">
        <v>12.0</v>
      </c>
      <c r="U1501" s="152">
        <v>12.0</v>
      </c>
      <c r="V1501" s="106">
        <v>0.0</v>
      </c>
      <c r="W1501" s="107">
        <v>0.0</v>
      </c>
      <c r="X1501" s="107">
        <v>0.0</v>
      </c>
      <c r="Y1501" s="107">
        <v>0.0</v>
      </c>
      <c r="Z1501" s="80">
        <f t="shared" si="1"/>
        <v>0</v>
      </c>
      <c r="AA1501" s="106">
        <v>0.0</v>
      </c>
      <c r="AB1501" s="107">
        <v>0.0</v>
      </c>
      <c r="AC1501" s="107">
        <v>0.0</v>
      </c>
      <c r="AD1501" s="107">
        <v>75.0</v>
      </c>
      <c r="AE1501" s="80">
        <f t="shared" si="2"/>
        <v>75</v>
      </c>
      <c r="AF1501" s="140">
        <v>0.0</v>
      </c>
      <c r="AG1501" s="109">
        <v>0.0</v>
      </c>
      <c r="AH1501" s="109">
        <v>0.0</v>
      </c>
      <c r="AI1501" s="141">
        <v>0.0</v>
      </c>
      <c r="AJ1501" s="80">
        <f t="shared" si="3"/>
        <v>0</v>
      </c>
      <c r="AK1501" s="140">
        <v>0.0</v>
      </c>
      <c r="AL1501" s="109">
        <v>0.0</v>
      </c>
      <c r="AM1501" s="141">
        <v>44.0</v>
      </c>
      <c r="AN1501" s="80">
        <f t="shared" si="4"/>
        <v>44</v>
      </c>
      <c r="AO1501" s="140">
        <v>0.0</v>
      </c>
      <c r="AP1501" s="109">
        <v>0.0</v>
      </c>
      <c r="AQ1501" s="109">
        <v>46.0</v>
      </c>
      <c r="AR1501" s="80">
        <f t="shared" si="5"/>
        <v>46</v>
      </c>
      <c r="AS1501" s="110">
        <v>15.0</v>
      </c>
      <c r="AT1501" s="110">
        <v>0.0</v>
      </c>
      <c r="AU1501" s="110">
        <v>41.0</v>
      </c>
      <c r="AV1501" s="142">
        <v>0.0</v>
      </c>
      <c r="AW1501" s="80">
        <f t="shared" si="6"/>
        <v>56</v>
      </c>
      <c r="AX1501" s="113">
        <f t="shared" si="7"/>
        <v>221</v>
      </c>
      <c r="AY1501" s="117">
        <f t="shared" si="8"/>
        <v>90</v>
      </c>
      <c r="AZ1501" s="120">
        <f t="shared" si="9"/>
        <v>131</v>
      </c>
      <c r="BA1501" s="115">
        <v>0.0</v>
      </c>
      <c r="BB1501" s="89">
        <f t="shared" si="10"/>
        <v>221</v>
      </c>
      <c r="BC1501" s="132" t="s">
        <v>178</v>
      </c>
      <c r="BD1501" s="132" t="s">
        <v>178</v>
      </c>
      <c r="BE1501" s="132" t="s">
        <v>178</v>
      </c>
      <c r="BF1501" s="156"/>
      <c r="BG1501" s="83">
        <v>1172320.0</v>
      </c>
      <c r="BH1501" s="137" t="s">
        <v>8478</v>
      </c>
      <c r="BI1501" s="112">
        <v>12.0</v>
      </c>
      <c r="BJ1501" s="98" t="s">
        <v>155</v>
      </c>
      <c r="BK1501" s="99">
        <f t="shared" si="11"/>
        <v>75</v>
      </c>
      <c r="BL1501" s="99">
        <f t="shared" si="12"/>
        <v>15</v>
      </c>
      <c r="BM1501" s="99" t="str">
        <f>IFERROR(__xludf.DUMMYFUNCTION("IFERROR(VLOOKUP(BG1501,IMPORTRANGE(""https://docs.google.com/spreadsheets/d/1juPI-Fb8LD0YtltB2mlGEnp_R3UVu1t3wSFPzgCyHXE/edit?gid=0#gid=0"",""GERAL!A2:C""),3,0),""-"")"),"-")</f>
        <v>-</v>
      </c>
    </row>
    <row r="1502" ht="39.75" customHeight="1">
      <c r="A1502" s="111" t="s">
        <v>1785</v>
      </c>
      <c r="B1502" s="83" t="s">
        <v>1994</v>
      </c>
      <c r="C1502" s="83" t="s">
        <v>68</v>
      </c>
      <c r="D1502" s="112">
        <v>1102852.0</v>
      </c>
      <c r="E1502" s="83"/>
      <c r="F1502" s="83">
        <v>2.9182204E7</v>
      </c>
      <c r="G1502" s="114" t="s">
        <v>8480</v>
      </c>
      <c r="H1502" s="91" t="s">
        <v>8481</v>
      </c>
      <c r="I1502" s="83" t="s">
        <v>8482</v>
      </c>
      <c r="J1502" s="83" t="s">
        <v>150</v>
      </c>
      <c r="K1502" s="83" t="s">
        <v>151</v>
      </c>
      <c r="L1502" s="98" t="s">
        <v>152</v>
      </c>
      <c r="M1502" s="82" t="str">
        <f>IFERROR(__xludf.DUMMYFUNCTION("IFERROR(VLOOKUP(D1502,
IMPORTRANGE(""https://docs.google.com/spreadsheets/d/1MjHtlUikwobi2MaWJgy7tfLeBmhj1u-dRFRs_8GwSoA/edit#gid=0"",""Gestores Escolares!D7:J""),3,0),""VERIFICAR CÓD SEC"")"),"MARCIA MARIA CONCEICAO DUARTE")</f>
        <v>MARCIA MARIA CONCEICAO DUARTE</v>
      </c>
      <c r="N1502" s="82" t="str">
        <f>IFERROR(__xludf.DUMMYFUNCTION("IFERROR(VLOOKUP(D1502,
IMPORTRANGE(""https://docs.google.com/spreadsheets/d/1MjHtlUikwobi2MaWJgy7tfLeBmhj1u-dRFRs_8GwSoA/edit#gid=0"",""Gestores Escolares!D7:J""),4,0),""VERIFICAR CÓD SEC"")"),"(71) 9 8168-2588")</f>
        <v>(71) 9 8168-2588</v>
      </c>
      <c r="O1502" s="82" t="str">
        <f>IFERROR(__xludf.DUMMYFUNCTION("IFERROR(VLOOKUP(D1502,
IMPORTRANGE(""https://docs.google.com/spreadsheets/d/1MjHtlUikwobi2MaWJgy7tfLeBmhj1u-dRFRs_8GwSoA/edit#gid=0"",""Gestores Escolares!D7:J""),6,0),""VERIFICAR CÓD SEC"")"),"EDVALDO JORGE SENA GUIMARAES")</f>
        <v>EDVALDO JORGE SENA GUIMARAES</v>
      </c>
      <c r="P1502" s="82" t="str">
        <f>IFERROR(__xludf.DUMMYFUNCTION("IFERROR(VLOOKUP(D1502,
IMPORTRANGE(""https://docs.google.com/spreadsheets/d/1MjHtlUikwobi2MaWJgy7tfLeBmhj1u-dRFRs_8GwSoA/edit#gid=0"",""Gestores Escolares!D7:J""),7,0),""VERIFICAR CÓD SEC"")"),"(71) 9 8615-2557")</f>
        <v>(71) 9 8615-2557</v>
      </c>
      <c r="Q1502" s="82" t="str">
        <f>IFERROR(__xludf.DUMMYFUNCTION("IFERROR(VLOOKUP(D1502,
IMPORTRANGE(""https://docs.google.com/spreadsheets/d/1MjHtlUikwobi2MaWJgy7tfLeBmhj1u-dRFRs_8GwSoA/edit#gid=0"",""Gestores Escolares!D7:m""),9,0),""VERIFICAR CÓD SEC"")"),"")</f>
        <v/>
      </c>
      <c r="R1502" s="82" t="str">
        <f>IFERROR(__xludf.DUMMYFUNCTION("IFERROR(VLOOKUP(D1502,
IMPORTRANGE(""https://docs.google.com/spreadsheets/d/1MjHtlUikwobi2MaWJgy7tfLeBmhj1u-dRFRs_8GwSoA/edit#gid=0"",""Gestores Escolares!D7:m""),10,0),""VERIFICAR CÓD SEC"")"),"")</f>
        <v/>
      </c>
      <c r="S1502" s="82"/>
      <c r="T1502" s="138">
        <v>13.0</v>
      </c>
      <c r="U1502" s="152">
        <v>15.0</v>
      </c>
      <c r="V1502" s="106">
        <v>0.0</v>
      </c>
      <c r="W1502" s="107">
        <v>0.0</v>
      </c>
      <c r="X1502" s="107">
        <v>0.0</v>
      </c>
      <c r="Y1502" s="107">
        <v>0.0</v>
      </c>
      <c r="Z1502" s="80">
        <f t="shared" si="1"/>
        <v>0</v>
      </c>
      <c r="AA1502" s="106">
        <v>0.0</v>
      </c>
      <c r="AB1502" s="107">
        <v>0.0</v>
      </c>
      <c r="AC1502" s="107">
        <v>0.0</v>
      </c>
      <c r="AD1502" s="107">
        <v>276.0</v>
      </c>
      <c r="AE1502" s="80">
        <f t="shared" si="2"/>
        <v>276</v>
      </c>
      <c r="AF1502" s="140">
        <v>0.0</v>
      </c>
      <c r="AG1502" s="109">
        <v>0.0</v>
      </c>
      <c r="AH1502" s="109">
        <v>0.0</v>
      </c>
      <c r="AI1502" s="141">
        <v>90.0</v>
      </c>
      <c r="AJ1502" s="80">
        <f t="shared" si="3"/>
        <v>90</v>
      </c>
      <c r="AK1502" s="140">
        <v>0.0</v>
      </c>
      <c r="AL1502" s="109">
        <v>0.0</v>
      </c>
      <c r="AM1502" s="141">
        <v>0.0</v>
      </c>
      <c r="AN1502" s="80">
        <f t="shared" si="4"/>
        <v>0</v>
      </c>
      <c r="AO1502" s="140">
        <v>0.0</v>
      </c>
      <c r="AP1502" s="109">
        <v>0.0</v>
      </c>
      <c r="AQ1502" s="109">
        <v>0.0</v>
      </c>
      <c r="AR1502" s="80">
        <f t="shared" si="5"/>
        <v>0</v>
      </c>
      <c r="AS1502" s="110">
        <v>0.0</v>
      </c>
      <c r="AT1502" s="110">
        <v>0.0</v>
      </c>
      <c r="AU1502" s="110">
        <v>0.0</v>
      </c>
      <c r="AV1502" s="142">
        <v>0.0</v>
      </c>
      <c r="AW1502" s="80">
        <f t="shared" si="6"/>
        <v>0</v>
      </c>
      <c r="AX1502" s="113">
        <f t="shared" si="7"/>
        <v>366</v>
      </c>
      <c r="AY1502" s="117">
        <f t="shared" si="8"/>
        <v>366</v>
      </c>
      <c r="AZ1502" s="120">
        <f t="shared" si="9"/>
        <v>0</v>
      </c>
      <c r="BA1502" s="115">
        <v>0.0</v>
      </c>
      <c r="BB1502" s="89">
        <f t="shared" si="10"/>
        <v>366</v>
      </c>
      <c r="BC1502" s="132" t="s">
        <v>178</v>
      </c>
      <c r="BD1502" s="132" t="s">
        <v>178</v>
      </c>
      <c r="BE1502" s="132" t="s">
        <v>178</v>
      </c>
      <c r="BF1502" s="123"/>
      <c r="BG1502" s="83">
        <v>1102852.0</v>
      </c>
      <c r="BH1502" s="137" t="s">
        <v>8483</v>
      </c>
      <c r="BI1502" s="112">
        <v>15.0</v>
      </c>
      <c r="BJ1502" s="98" t="s">
        <v>155</v>
      </c>
      <c r="BK1502" s="99">
        <f t="shared" si="11"/>
        <v>366</v>
      </c>
      <c r="BL1502" s="99">
        <f t="shared" si="12"/>
        <v>0</v>
      </c>
      <c r="BM1502" s="99" t="str">
        <f>IFERROR(__xludf.DUMMYFUNCTION("IFERROR(VLOOKUP(BG1502,IMPORTRANGE(""https://docs.google.com/spreadsheets/d/1juPI-Fb8LD0YtltB2mlGEnp_R3UVu1t3wSFPzgCyHXE/edit?gid=0#gid=0"",""GERAL!A2:C""),3,0),""-"")"),"-")</f>
        <v>-</v>
      </c>
    </row>
    <row r="1503" ht="15.75" customHeight="1">
      <c r="A1503" s="111" t="s">
        <v>1785</v>
      </c>
      <c r="B1503" s="83" t="s">
        <v>1994</v>
      </c>
      <c r="C1503" s="83" t="s">
        <v>68</v>
      </c>
      <c r="D1503" s="112">
        <v>1102844.0</v>
      </c>
      <c r="E1503" s="83"/>
      <c r="F1503" s="83">
        <v>2.9185394E7</v>
      </c>
      <c r="G1503" s="119" t="s">
        <v>8491</v>
      </c>
      <c r="H1503" s="91" t="s">
        <v>8492</v>
      </c>
      <c r="I1503" s="83" t="s">
        <v>4828</v>
      </c>
      <c r="J1503" s="83" t="s">
        <v>150</v>
      </c>
      <c r="K1503" s="83" t="s">
        <v>151</v>
      </c>
      <c r="L1503" s="83" t="s">
        <v>152</v>
      </c>
      <c r="M1503" s="82" t="str">
        <f>IFERROR(__xludf.DUMMYFUNCTION("IFERROR(VLOOKUP(D1503,
IMPORTRANGE(""https://docs.google.com/spreadsheets/d/1MjHtlUikwobi2MaWJgy7tfLeBmhj1u-dRFRs_8GwSoA/edit#gid=0"",""Gestores Escolares!D7:J""),3,0),""VERIFICAR CÓD SEC"")"),"JULIANA CONCEICAO DE OLIVEIRA")</f>
        <v>JULIANA CONCEICAO DE OLIVEIRA</v>
      </c>
      <c r="N1503" s="82" t="str">
        <f>IFERROR(__xludf.DUMMYFUNCTION("IFERROR(VLOOKUP(D1503,
IMPORTRANGE(""https://docs.google.com/spreadsheets/d/1MjHtlUikwobi2MaWJgy7tfLeBmhj1u-dRFRs_8GwSoA/edit#gid=0"",""Gestores Escolares!D7:J""),4,0),""VERIFICAR CÓD SEC"")"),"(71) 9 9907-4740")</f>
        <v>(71) 9 9907-4740</v>
      </c>
      <c r="O1503" s="82" t="str">
        <f>IFERROR(__xludf.DUMMYFUNCTION("IFERROR(VLOOKUP(D1503,
IMPORTRANGE(""https://docs.google.com/spreadsheets/d/1MjHtlUikwobi2MaWJgy7tfLeBmhj1u-dRFRs_8GwSoA/edit#gid=0"",""Gestores Escolares!D7:J""),6,0),""VERIFICAR CÓD SEC"")"),"VIRGINIA APARECIDA MARTINS DE CERQUEIRA")</f>
        <v>VIRGINIA APARECIDA MARTINS DE CERQUEIRA</v>
      </c>
      <c r="P1503" s="82" t="str">
        <f>IFERROR(__xludf.DUMMYFUNCTION("IFERROR(VLOOKUP(D1503,
IMPORTRANGE(""https://docs.google.com/spreadsheets/d/1MjHtlUikwobi2MaWJgy7tfLeBmhj1u-dRFRs_8GwSoA/edit#gid=0"",""Gestores Escolares!D7:J""),7,0),""VERIFICAR CÓD SEC"")"),"(71) 9 9349-4469")</f>
        <v>(71) 9 9349-4469</v>
      </c>
      <c r="Q1503" s="82" t="str">
        <f>IFERROR(__xludf.DUMMYFUNCTION("IFERROR(VLOOKUP(D1503,
IMPORTRANGE(""https://docs.google.com/spreadsheets/d/1MjHtlUikwobi2MaWJgy7tfLeBmhj1u-dRFRs_8GwSoA/edit#gid=0"",""Gestores Escolares!D7:m""),9,0),""VERIFICAR CÓD SEC"")"),"")</f>
        <v/>
      </c>
      <c r="R1503" s="82" t="str">
        <f>IFERROR(__xludf.DUMMYFUNCTION("IFERROR(VLOOKUP(D1503,
IMPORTRANGE(""https://docs.google.com/spreadsheets/d/1MjHtlUikwobi2MaWJgy7tfLeBmhj1u-dRFRs_8GwSoA/edit#gid=0"",""Gestores Escolares!D7:m""),10,0),""VERIFICAR CÓD SEC"")"),"")</f>
        <v/>
      </c>
      <c r="S1503" s="82"/>
      <c r="T1503" s="138">
        <v>25.0</v>
      </c>
      <c r="U1503" s="152">
        <v>24.0</v>
      </c>
      <c r="V1503" s="106">
        <v>0.0</v>
      </c>
      <c r="W1503" s="107">
        <v>0.0</v>
      </c>
      <c r="X1503" s="107">
        <v>0.0</v>
      </c>
      <c r="Y1503" s="107">
        <v>0.0</v>
      </c>
      <c r="Z1503" s="80">
        <f t="shared" si="1"/>
        <v>0</v>
      </c>
      <c r="AA1503" s="106">
        <v>0.0</v>
      </c>
      <c r="AB1503" s="107">
        <v>0.0</v>
      </c>
      <c r="AC1503" s="107">
        <v>0.0</v>
      </c>
      <c r="AD1503" s="107">
        <v>0.0</v>
      </c>
      <c r="AE1503" s="80">
        <f t="shared" si="2"/>
        <v>0</v>
      </c>
      <c r="AF1503" s="140">
        <v>599.0</v>
      </c>
      <c r="AG1503" s="109">
        <v>104.0</v>
      </c>
      <c r="AH1503" s="109">
        <v>0.0</v>
      </c>
      <c r="AI1503" s="141">
        <v>0.0</v>
      </c>
      <c r="AJ1503" s="80">
        <f t="shared" si="3"/>
        <v>703</v>
      </c>
      <c r="AK1503" s="140">
        <v>0.0</v>
      </c>
      <c r="AL1503" s="109">
        <v>0.0</v>
      </c>
      <c r="AM1503" s="141">
        <v>0.0</v>
      </c>
      <c r="AN1503" s="80">
        <f t="shared" si="4"/>
        <v>0</v>
      </c>
      <c r="AO1503" s="140">
        <v>0.0</v>
      </c>
      <c r="AP1503" s="109">
        <v>0.0</v>
      </c>
      <c r="AQ1503" s="109">
        <v>0.0</v>
      </c>
      <c r="AR1503" s="80">
        <f t="shared" si="5"/>
        <v>0</v>
      </c>
      <c r="AS1503" s="110">
        <v>0.0</v>
      </c>
      <c r="AT1503" s="110">
        <v>33.0</v>
      </c>
      <c r="AU1503" s="110">
        <v>0.0</v>
      </c>
      <c r="AV1503" s="142">
        <v>0.0</v>
      </c>
      <c r="AW1503" s="80">
        <f t="shared" si="6"/>
        <v>33</v>
      </c>
      <c r="AX1503" s="113">
        <f t="shared" si="7"/>
        <v>736</v>
      </c>
      <c r="AY1503" s="117">
        <f t="shared" si="8"/>
        <v>736</v>
      </c>
      <c r="AZ1503" s="120">
        <f t="shared" si="9"/>
        <v>0</v>
      </c>
      <c r="BA1503" s="115">
        <v>0.0</v>
      </c>
      <c r="BB1503" s="89">
        <f t="shared" si="10"/>
        <v>736</v>
      </c>
      <c r="BC1503" s="132" t="s">
        <v>178</v>
      </c>
      <c r="BD1503" s="132" t="s">
        <v>178</v>
      </c>
      <c r="BE1503" s="132" t="s">
        <v>178</v>
      </c>
      <c r="BF1503" s="123"/>
      <c r="BG1503" s="83">
        <v>1102844.0</v>
      </c>
      <c r="BH1503" s="137" t="s">
        <v>8493</v>
      </c>
      <c r="BI1503" s="112">
        <v>24.0</v>
      </c>
      <c r="BJ1503" s="98" t="s">
        <v>155</v>
      </c>
      <c r="BK1503" s="99">
        <f t="shared" si="11"/>
        <v>0</v>
      </c>
      <c r="BL1503" s="99">
        <f t="shared" si="12"/>
        <v>736</v>
      </c>
      <c r="BM1503" s="99" t="str">
        <f>IFERROR(__xludf.DUMMYFUNCTION("IFERROR(VLOOKUP(BG1503,IMPORTRANGE(""https://docs.google.com/spreadsheets/d/1juPI-Fb8LD0YtltB2mlGEnp_R3UVu1t3wSFPzgCyHXE/edit?gid=0#gid=0"",""GERAL!A2:C""),3,0),""-"")"),"-")</f>
        <v>-</v>
      </c>
    </row>
    <row r="1504" ht="15.75" customHeight="1">
      <c r="A1504" s="111" t="s">
        <v>1785</v>
      </c>
      <c r="B1504" s="83" t="s">
        <v>1994</v>
      </c>
      <c r="C1504" s="83" t="s">
        <v>68</v>
      </c>
      <c r="D1504" s="112">
        <v>1102747.0</v>
      </c>
      <c r="E1504" s="83"/>
      <c r="F1504" s="83">
        <v>2.9193567E7</v>
      </c>
      <c r="G1504" s="119" t="s">
        <v>8494</v>
      </c>
      <c r="H1504" s="91" t="s">
        <v>8495</v>
      </c>
      <c r="I1504" s="83" t="s">
        <v>8247</v>
      </c>
      <c r="J1504" s="83" t="s">
        <v>150</v>
      </c>
      <c r="K1504" s="83" t="s">
        <v>151</v>
      </c>
      <c r="L1504" s="83" t="s">
        <v>152</v>
      </c>
      <c r="M1504" s="82" t="str">
        <f>IFERROR(__xludf.DUMMYFUNCTION("IFERROR(VLOOKUP(D1504,
IMPORTRANGE(""https://docs.google.com/spreadsheets/d/1MjHtlUikwobi2MaWJgy7tfLeBmhj1u-dRFRs_8GwSoA/edit#gid=0"",""Gestores Escolares!D7:J""),3,0),""VERIFICAR CÓD SEC"")"),"CARLA MAYNART CALO DA SILVA SOUSA")</f>
        <v>CARLA MAYNART CALO DA SILVA SOUSA</v>
      </c>
      <c r="N1504" s="82" t="str">
        <f>IFERROR(__xludf.DUMMYFUNCTION("IFERROR(VLOOKUP(D1504,
IMPORTRANGE(""https://docs.google.com/spreadsheets/d/1MjHtlUikwobi2MaWJgy7tfLeBmhj1u-dRFRs_8GwSoA/edit#gid=0"",""Gestores Escolares!D7:J""),4,0),""VERIFICAR CÓD SEC"")"),"(71) 9 9289-8331")</f>
        <v>(71) 9 9289-8331</v>
      </c>
      <c r="O1504" s="82" t="str">
        <f>IFERROR(__xludf.DUMMYFUNCTION("IFERROR(VLOOKUP(D1504,
IMPORTRANGE(""https://docs.google.com/spreadsheets/d/1MjHtlUikwobi2MaWJgy7tfLeBmhj1u-dRFRs_8GwSoA/edit#gid=0"",""Gestores Escolares!D7:J""),6,0),""VERIFICAR CÓD SEC"")"),"HUGO ERNANE LEITE BOMFIM")</f>
        <v>HUGO ERNANE LEITE BOMFIM</v>
      </c>
      <c r="P1504" s="82" t="str">
        <f>IFERROR(__xludf.DUMMYFUNCTION("IFERROR(VLOOKUP(D1504,
IMPORTRANGE(""https://docs.google.com/spreadsheets/d/1MjHtlUikwobi2MaWJgy7tfLeBmhj1u-dRFRs_8GwSoA/edit#gid=0"",""Gestores Escolares!D7:J""),7,0),""VERIFICAR CÓD SEC"")"),"(71) 9 9256-3315")</f>
        <v>(71) 9 9256-3315</v>
      </c>
      <c r="Q1504" s="82" t="str">
        <f>IFERROR(__xludf.DUMMYFUNCTION("IFERROR(VLOOKUP(D1504,
IMPORTRANGE(""https://docs.google.com/spreadsheets/d/1MjHtlUikwobi2MaWJgy7tfLeBmhj1u-dRFRs_8GwSoA/edit#gid=0"",""Gestores Escolares!D7:m""),9,0),""VERIFICAR CÓD SEC"")"),"LEYLA SANTOS MONTEIRO")</f>
        <v>LEYLA SANTOS MONTEIRO</v>
      </c>
      <c r="R1504" s="82" t="str">
        <f>IFERROR(__xludf.DUMMYFUNCTION("IFERROR(VLOOKUP(D1504,
IMPORTRANGE(""https://docs.google.com/spreadsheets/d/1MjHtlUikwobi2MaWJgy7tfLeBmhj1u-dRFRs_8GwSoA/edit#gid=0"",""Gestores Escolares!D7:m""),10,0),""VERIFICAR CÓD SEC"")"),"(71) 9 8226-6312")</f>
        <v>(71) 9 8226-6312</v>
      </c>
      <c r="S1504" s="82"/>
      <c r="T1504" s="138">
        <v>10.0</v>
      </c>
      <c r="U1504" s="152">
        <v>9.0</v>
      </c>
      <c r="V1504" s="106">
        <v>0.0</v>
      </c>
      <c r="W1504" s="107">
        <v>0.0</v>
      </c>
      <c r="X1504" s="107">
        <v>0.0</v>
      </c>
      <c r="Y1504" s="107">
        <v>0.0</v>
      </c>
      <c r="Z1504" s="80">
        <f t="shared" si="1"/>
        <v>0</v>
      </c>
      <c r="AA1504" s="106">
        <v>77.0</v>
      </c>
      <c r="AB1504" s="107">
        <v>33.0</v>
      </c>
      <c r="AC1504" s="107">
        <v>0.0</v>
      </c>
      <c r="AD1504" s="107">
        <v>28.0</v>
      </c>
      <c r="AE1504" s="80">
        <f t="shared" si="2"/>
        <v>138</v>
      </c>
      <c r="AF1504" s="140">
        <v>147.0</v>
      </c>
      <c r="AG1504" s="109">
        <v>0.0</v>
      </c>
      <c r="AH1504" s="109">
        <v>0.0</v>
      </c>
      <c r="AI1504" s="141">
        <v>0.0</v>
      </c>
      <c r="AJ1504" s="80">
        <f t="shared" si="3"/>
        <v>147</v>
      </c>
      <c r="AK1504" s="140">
        <v>0.0</v>
      </c>
      <c r="AL1504" s="109">
        <v>0.0</v>
      </c>
      <c r="AM1504" s="141">
        <v>62.0</v>
      </c>
      <c r="AN1504" s="80">
        <f t="shared" si="4"/>
        <v>62</v>
      </c>
      <c r="AO1504" s="140">
        <v>0.0</v>
      </c>
      <c r="AP1504" s="109">
        <v>0.0</v>
      </c>
      <c r="AQ1504" s="109">
        <v>126.0</v>
      </c>
      <c r="AR1504" s="80">
        <f t="shared" si="5"/>
        <v>126</v>
      </c>
      <c r="AS1504" s="110">
        <v>0.0</v>
      </c>
      <c r="AT1504" s="110">
        <v>0.0</v>
      </c>
      <c r="AU1504" s="110">
        <v>0.0</v>
      </c>
      <c r="AV1504" s="142">
        <v>0.0</v>
      </c>
      <c r="AW1504" s="80">
        <f t="shared" si="6"/>
        <v>0</v>
      </c>
      <c r="AX1504" s="113">
        <f t="shared" si="7"/>
        <v>473</v>
      </c>
      <c r="AY1504" s="117">
        <f t="shared" si="8"/>
        <v>285</v>
      </c>
      <c r="AZ1504" s="120">
        <f t="shared" si="9"/>
        <v>188</v>
      </c>
      <c r="BA1504" s="115">
        <v>0.0</v>
      </c>
      <c r="BB1504" s="89">
        <f t="shared" si="10"/>
        <v>473</v>
      </c>
      <c r="BC1504" s="132" t="s">
        <v>178</v>
      </c>
      <c r="BD1504" s="132" t="s">
        <v>178</v>
      </c>
      <c r="BE1504" s="132" t="s">
        <v>178</v>
      </c>
      <c r="BF1504" s="123"/>
      <c r="BG1504" s="83">
        <v>1102747.0</v>
      </c>
      <c r="BH1504" s="137" t="s">
        <v>8496</v>
      </c>
      <c r="BI1504" s="112">
        <v>9.0</v>
      </c>
      <c r="BJ1504" s="98" t="s">
        <v>155</v>
      </c>
      <c r="BK1504" s="99">
        <f t="shared" si="11"/>
        <v>28</v>
      </c>
      <c r="BL1504" s="99">
        <f t="shared" si="12"/>
        <v>257</v>
      </c>
      <c r="BM1504" s="99" t="str">
        <f>IFERROR(__xludf.DUMMYFUNCTION("IFERROR(VLOOKUP(BG1504,IMPORTRANGE(""https://docs.google.com/spreadsheets/d/1juPI-Fb8LD0YtltB2mlGEnp_R3UVu1t3wSFPzgCyHXE/edit?gid=0#gid=0"",""GERAL!A2:C""),3,0),""-"")"),"-")</f>
        <v>-</v>
      </c>
    </row>
    <row r="1505" ht="15.75" customHeight="1">
      <c r="A1505" s="111" t="s">
        <v>1785</v>
      </c>
      <c r="B1505" s="83" t="s">
        <v>1994</v>
      </c>
      <c r="C1505" s="83" t="s">
        <v>68</v>
      </c>
      <c r="D1505" s="112">
        <v>1103107.0</v>
      </c>
      <c r="E1505" s="83"/>
      <c r="F1505" s="83">
        <v>2.9193532E7</v>
      </c>
      <c r="G1505" s="119" t="s">
        <v>8497</v>
      </c>
      <c r="H1505" s="91" t="s">
        <v>8498</v>
      </c>
      <c r="I1505" s="83" t="s">
        <v>8219</v>
      </c>
      <c r="J1505" s="83" t="s">
        <v>150</v>
      </c>
      <c r="K1505" s="83" t="s">
        <v>151</v>
      </c>
      <c r="L1505" s="83" t="s">
        <v>152</v>
      </c>
      <c r="M1505" s="82" t="str">
        <f>IFERROR(__xludf.DUMMYFUNCTION("IFERROR(VLOOKUP(D1505,
IMPORTRANGE(""https://docs.google.com/spreadsheets/d/1MjHtlUikwobi2MaWJgy7tfLeBmhj1u-dRFRs_8GwSoA/edit#gid=0"",""Gestores Escolares!D7:J""),3,0),""VERIFICAR CÓD SEC"")"),"ANA AMÉLIA MESSIAS CÂMARA")</f>
        <v>ANA AMÉLIA MESSIAS CÂMARA</v>
      </c>
      <c r="N1505" s="82" t="str">
        <f>IFERROR(__xludf.DUMMYFUNCTION("IFERROR(VLOOKUP(D1505,
IMPORTRANGE(""https://docs.google.com/spreadsheets/d/1MjHtlUikwobi2MaWJgy7tfLeBmhj1u-dRFRs_8GwSoA/edit#gid=0"",""Gestores Escolares!D7:J""),4,0),""VERIFICAR CÓD SEC"")"),"(71) 9 9137-6204/ 
9 9938-2710")</f>
        <v>(71) 9 9137-6204/ 
9 9938-2710</v>
      </c>
      <c r="O1505" s="82" t="str">
        <f>IFERROR(__xludf.DUMMYFUNCTION("IFERROR(VLOOKUP(D1505,
IMPORTRANGE(""https://docs.google.com/spreadsheets/d/1MjHtlUikwobi2MaWJgy7tfLeBmhj1u-dRFRs_8GwSoA/edit#gid=0"",""Gestores Escolares!D7:J""),6,0),""VERIFICAR CÓD SEC"")"),"LEILA MILA LIMA CAVALCANTE RUFINO")</f>
        <v>LEILA MILA LIMA CAVALCANTE RUFINO</v>
      </c>
      <c r="P1505" s="82" t="str">
        <f>IFERROR(__xludf.DUMMYFUNCTION("IFERROR(VLOOKUP(D1505,
IMPORTRANGE(""https://docs.google.com/spreadsheets/d/1MjHtlUikwobi2MaWJgy7tfLeBmhj1u-dRFRs_8GwSoA/edit#gid=0"",""Gestores Escolares!D7:J""),7,0),""VERIFICAR CÓD SEC"")"),"(71) 9 9121-5249")</f>
        <v>(71) 9 9121-5249</v>
      </c>
      <c r="Q1505" s="82" t="str">
        <f>IFERROR(__xludf.DUMMYFUNCTION("IFERROR(VLOOKUP(D1505,
IMPORTRANGE(""https://docs.google.com/spreadsheets/d/1MjHtlUikwobi2MaWJgy7tfLeBmhj1u-dRFRs_8GwSoA/edit#gid=0"",""Gestores Escolares!D7:m""),9,0),""VERIFICAR CÓD SEC"")"),"")</f>
        <v/>
      </c>
      <c r="R1505" s="82" t="str">
        <f>IFERROR(__xludf.DUMMYFUNCTION("IFERROR(VLOOKUP(D1505,
IMPORTRANGE(""https://docs.google.com/spreadsheets/d/1MjHtlUikwobi2MaWJgy7tfLeBmhj1u-dRFRs_8GwSoA/edit#gid=0"",""Gestores Escolares!D7:m""),10,0),""VERIFICAR CÓD SEC"")"),"")</f>
        <v/>
      </c>
      <c r="S1505" s="82"/>
      <c r="T1505" s="138">
        <v>14.0</v>
      </c>
      <c r="U1505" s="152">
        <v>14.0</v>
      </c>
      <c r="V1505" s="106">
        <v>0.0</v>
      </c>
      <c r="W1505" s="107">
        <v>0.0</v>
      </c>
      <c r="X1505" s="107">
        <v>0.0</v>
      </c>
      <c r="Y1505" s="107">
        <v>0.0</v>
      </c>
      <c r="Z1505" s="80">
        <f t="shared" si="1"/>
        <v>0</v>
      </c>
      <c r="AA1505" s="106">
        <v>472.0</v>
      </c>
      <c r="AB1505" s="107">
        <v>438.0</v>
      </c>
      <c r="AC1505" s="107">
        <v>0.0</v>
      </c>
      <c r="AD1505" s="107">
        <v>0.0</v>
      </c>
      <c r="AE1505" s="80">
        <f t="shared" si="2"/>
        <v>910</v>
      </c>
      <c r="AF1505" s="140">
        <v>0.0</v>
      </c>
      <c r="AG1505" s="109">
        <v>0.0</v>
      </c>
      <c r="AH1505" s="109">
        <v>0.0</v>
      </c>
      <c r="AI1505" s="141">
        <v>0.0</v>
      </c>
      <c r="AJ1505" s="80">
        <f t="shared" si="3"/>
        <v>0</v>
      </c>
      <c r="AK1505" s="140">
        <v>0.0</v>
      </c>
      <c r="AL1505" s="109">
        <v>0.0</v>
      </c>
      <c r="AM1505" s="141">
        <v>0.0</v>
      </c>
      <c r="AN1505" s="80">
        <f t="shared" si="4"/>
        <v>0</v>
      </c>
      <c r="AO1505" s="140">
        <v>0.0</v>
      </c>
      <c r="AP1505" s="109">
        <v>0.0</v>
      </c>
      <c r="AQ1505" s="109">
        <v>0.0</v>
      </c>
      <c r="AR1505" s="80">
        <f t="shared" si="5"/>
        <v>0</v>
      </c>
      <c r="AS1505" s="110">
        <v>0.0</v>
      </c>
      <c r="AT1505" s="110">
        <v>0.0</v>
      </c>
      <c r="AU1505" s="110">
        <v>0.0</v>
      </c>
      <c r="AV1505" s="142">
        <v>0.0</v>
      </c>
      <c r="AW1505" s="80">
        <f t="shared" si="6"/>
        <v>0</v>
      </c>
      <c r="AX1505" s="113">
        <f t="shared" si="7"/>
        <v>910</v>
      </c>
      <c r="AY1505" s="117">
        <f t="shared" si="8"/>
        <v>910</v>
      </c>
      <c r="AZ1505" s="120">
        <f t="shared" si="9"/>
        <v>0</v>
      </c>
      <c r="BA1505" s="115">
        <v>0.0</v>
      </c>
      <c r="BB1505" s="89">
        <f t="shared" si="10"/>
        <v>910</v>
      </c>
      <c r="BC1505" s="132" t="s">
        <v>178</v>
      </c>
      <c r="BD1505" s="132" t="s">
        <v>178</v>
      </c>
      <c r="BE1505" s="132" t="s">
        <v>178</v>
      </c>
      <c r="BF1505" s="123"/>
      <c r="BG1505" s="83">
        <v>1103107.0</v>
      </c>
      <c r="BH1505" s="195" t="s">
        <v>8499</v>
      </c>
      <c r="BI1505" s="112">
        <v>14.0</v>
      </c>
      <c r="BJ1505" s="98" t="s">
        <v>155</v>
      </c>
      <c r="BK1505" s="99">
        <f t="shared" si="11"/>
        <v>0</v>
      </c>
      <c r="BL1505" s="99">
        <f t="shared" si="12"/>
        <v>910</v>
      </c>
      <c r="BM1505" s="99" t="str">
        <f>IFERROR(__xludf.DUMMYFUNCTION("IFERROR(VLOOKUP(BG1505,IMPORTRANGE(""https://docs.google.com/spreadsheets/d/1juPI-Fb8LD0YtltB2mlGEnp_R3UVu1t3wSFPzgCyHXE/edit?gid=0#gid=0"",""GERAL!A2:C""),3,0),""-"")"),"-")</f>
        <v>-</v>
      </c>
    </row>
    <row r="1506" ht="15.75" customHeight="1">
      <c r="A1506" s="111" t="s">
        <v>1785</v>
      </c>
      <c r="B1506" s="83" t="s">
        <v>1994</v>
      </c>
      <c r="C1506" s="83" t="s">
        <v>68</v>
      </c>
      <c r="D1506" s="112">
        <v>1102704.0</v>
      </c>
      <c r="E1506" s="83"/>
      <c r="F1506" s="83">
        <v>2.9183987E7</v>
      </c>
      <c r="G1506" s="119" t="s">
        <v>8500</v>
      </c>
      <c r="H1506" s="91" t="s">
        <v>8501</v>
      </c>
      <c r="I1506" s="83" t="s">
        <v>8502</v>
      </c>
      <c r="J1506" s="83" t="s">
        <v>150</v>
      </c>
      <c r="K1506" s="83" t="s">
        <v>168</v>
      </c>
      <c r="L1506" s="83" t="s">
        <v>152</v>
      </c>
      <c r="M1506" s="82" t="str">
        <f>IFERROR(__xludf.DUMMYFUNCTION("IFERROR(VLOOKUP(D1506,
IMPORTRANGE(""https://docs.google.com/spreadsheets/d/1MjHtlUikwobi2MaWJgy7tfLeBmhj1u-dRFRs_8GwSoA/edit#gid=0"",""Gestores Escolares!D7:J""),3,0),""VERIFICAR CÓD SEC"")"),"ANTONIO EDSON DE LIMA SOUZA")</f>
        <v>ANTONIO EDSON DE LIMA SOUZA</v>
      </c>
      <c r="N1506" s="82" t="str">
        <f>IFERROR(__xludf.DUMMYFUNCTION("IFERROR(VLOOKUP(D1506,
IMPORTRANGE(""https://docs.google.com/spreadsheets/d/1MjHtlUikwobi2MaWJgy7tfLeBmhj1u-dRFRs_8GwSoA/edit#gid=0"",""Gestores Escolares!D7:J""),4,0),""VERIFICAR CÓD SEC"")"),"(71) 9 9913-4329")</f>
        <v>(71) 9 9913-4329</v>
      </c>
      <c r="O1506" s="82" t="str">
        <f>IFERROR(__xludf.DUMMYFUNCTION("IFERROR(VLOOKUP(D1506,
IMPORTRANGE(""https://docs.google.com/spreadsheets/d/1MjHtlUikwobi2MaWJgy7tfLeBmhj1u-dRFRs_8GwSoA/edit#gid=0"",""Gestores Escolares!D7:J""),6,0),""VERIFICAR CÓD SEC"")"),"DAIANA ANDRADE GONDIM")</f>
        <v>DAIANA ANDRADE GONDIM</v>
      </c>
      <c r="P1506" s="82" t="str">
        <f>IFERROR(__xludf.DUMMYFUNCTION("IFERROR(VLOOKUP(D1506,
IMPORTRANGE(""https://docs.google.com/spreadsheets/d/1MjHtlUikwobi2MaWJgy7tfLeBmhj1u-dRFRs_8GwSoA/edit#gid=0"",""Gestores Escolares!D7:J""),7,0),""VERIFICAR CÓD SEC"")"),"(71) 9 8835-0856/ 3565-7143")</f>
        <v>(71) 9 8835-0856/ 3565-7143</v>
      </c>
      <c r="Q1506" s="82" t="str">
        <f>IFERROR(__xludf.DUMMYFUNCTION("IFERROR(VLOOKUP(D1506,
IMPORTRANGE(""https://docs.google.com/spreadsheets/d/1MjHtlUikwobi2MaWJgy7tfLeBmhj1u-dRFRs_8GwSoA/edit#gid=0"",""Gestores Escolares!D7:m""),9,0),""VERIFICAR CÓD SEC"")")," JOIACY JESUS DOS SANTOS")</f>
        <v> JOIACY JESUS DOS SANTOS</v>
      </c>
      <c r="R1506" s="82" t="str">
        <f>IFERROR(__xludf.DUMMYFUNCTION("IFERROR(VLOOKUP(D1506,
IMPORTRANGE(""https://docs.google.com/spreadsheets/d/1MjHtlUikwobi2MaWJgy7tfLeBmhj1u-dRFRs_8GwSoA/edit#gid=0"",""Gestores Escolares!D7:m""),10,0),""VERIFICAR CÓD SEC"")"),"(71) 9 9943-0033")</f>
        <v>(71) 9 9943-0033</v>
      </c>
      <c r="S1506" s="82"/>
      <c r="T1506" s="138">
        <v>14.0</v>
      </c>
      <c r="U1506" s="152">
        <v>12.0</v>
      </c>
      <c r="V1506" s="106">
        <v>0.0</v>
      </c>
      <c r="W1506" s="107">
        <v>0.0</v>
      </c>
      <c r="X1506" s="107">
        <v>0.0</v>
      </c>
      <c r="Y1506" s="107">
        <v>0.0</v>
      </c>
      <c r="Z1506" s="80">
        <f t="shared" si="1"/>
        <v>0</v>
      </c>
      <c r="AA1506" s="106">
        <v>108.0</v>
      </c>
      <c r="AB1506" s="107">
        <v>0.0</v>
      </c>
      <c r="AC1506" s="107">
        <v>0.0</v>
      </c>
      <c r="AD1506" s="107">
        <v>0.0</v>
      </c>
      <c r="AE1506" s="80">
        <f t="shared" si="2"/>
        <v>108</v>
      </c>
      <c r="AF1506" s="140">
        <v>0.0</v>
      </c>
      <c r="AG1506" s="109">
        <v>0.0</v>
      </c>
      <c r="AH1506" s="109">
        <v>0.0</v>
      </c>
      <c r="AI1506" s="141">
        <v>145.0</v>
      </c>
      <c r="AJ1506" s="80">
        <f t="shared" si="3"/>
        <v>145</v>
      </c>
      <c r="AK1506" s="140">
        <v>0.0</v>
      </c>
      <c r="AL1506" s="109">
        <v>0.0</v>
      </c>
      <c r="AM1506" s="141">
        <v>0.0</v>
      </c>
      <c r="AN1506" s="80">
        <f t="shared" si="4"/>
        <v>0</v>
      </c>
      <c r="AO1506" s="140">
        <v>0.0</v>
      </c>
      <c r="AP1506" s="109">
        <v>0.0</v>
      </c>
      <c r="AQ1506" s="109">
        <v>23.0</v>
      </c>
      <c r="AR1506" s="80">
        <f t="shared" si="5"/>
        <v>23</v>
      </c>
      <c r="AS1506" s="110">
        <v>0.0</v>
      </c>
      <c r="AT1506" s="110">
        <v>0.0</v>
      </c>
      <c r="AU1506" s="110">
        <v>0.0</v>
      </c>
      <c r="AV1506" s="142">
        <v>0.0</v>
      </c>
      <c r="AW1506" s="80">
        <f t="shared" si="6"/>
        <v>0</v>
      </c>
      <c r="AX1506" s="113">
        <f t="shared" si="7"/>
        <v>276</v>
      </c>
      <c r="AY1506" s="117">
        <f t="shared" si="8"/>
        <v>253</v>
      </c>
      <c r="AZ1506" s="120">
        <f t="shared" si="9"/>
        <v>23</v>
      </c>
      <c r="BA1506" s="115">
        <v>0.0</v>
      </c>
      <c r="BB1506" s="89">
        <f t="shared" si="10"/>
        <v>276</v>
      </c>
      <c r="BC1506" s="132" t="s">
        <v>178</v>
      </c>
      <c r="BD1506" s="132" t="s">
        <v>178</v>
      </c>
      <c r="BE1506" s="132" t="s">
        <v>178</v>
      </c>
      <c r="BF1506" s="123"/>
      <c r="BG1506" s="83">
        <v>1102704.0</v>
      </c>
      <c r="BH1506" s="188" t="s">
        <v>8503</v>
      </c>
      <c r="BI1506" s="112">
        <v>12.0</v>
      </c>
      <c r="BJ1506" s="98" t="s">
        <v>155</v>
      </c>
      <c r="BK1506" s="99">
        <f t="shared" si="11"/>
        <v>145</v>
      </c>
      <c r="BL1506" s="99">
        <f t="shared" si="12"/>
        <v>108</v>
      </c>
      <c r="BM1506" s="99" t="str">
        <f>IFERROR(__xludf.DUMMYFUNCTION("IFERROR(VLOOKUP(BG1506,IMPORTRANGE(""https://docs.google.com/spreadsheets/d/1juPI-Fb8LD0YtltB2mlGEnp_R3UVu1t3wSFPzgCyHXE/edit?gid=0#gid=0"",""GERAL!A2:C""),3,0),""-"")"),"-")</f>
        <v>-</v>
      </c>
    </row>
    <row r="1507" ht="15.75" customHeight="1">
      <c r="A1507" s="111" t="s">
        <v>1785</v>
      </c>
      <c r="B1507" s="83" t="s">
        <v>1994</v>
      </c>
      <c r="C1507" s="83" t="s">
        <v>68</v>
      </c>
      <c r="D1507" s="112">
        <v>1104898.0</v>
      </c>
      <c r="E1507" s="136"/>
      <c r="F1507" s="136">
        <v>2.9192021E7</v>
      </c>
      <c r="G1507" s="187" t="s">
        <v>8504</v>
      </c>
      <c r="H1507" s="91" t="s">
        <v>8505</v>
      </c>
      <c r="I1507" s="83" t="s">
        <v>8506</v>
      </c>
      <c r="J1507" s="83" t="s">
        <v>150</v>
      </c>
      <c r="K1507" s="83" t="s">
        <v>151</v>
      </c>
      <c r="L1507" s="83" t="s">
        <v>152</v>
      </c>
      <c r="M1507" s="82" t="str">
        <f>IFERROR(__xludf.DUMMYFUNCTION("IFERROR(VLOOKUP(D1507,
IMPORTRANGE(""https://docs.google.com/spreadsheets/d/1MjHtlUikwobi2MaWJgy7tfLeBmhj1u-dRFRs_8GwSoA/edit#gid=0"",""Gestores Escolares!D7:J""),3,0),""VERIFICAR CÓD SEC"")"),"NADILSON JOSÉ ANDRADE SILVA")</f>
        <v>NADILSON JOSÉ ANDRADE SILVA</v>
      </c>
      <c r="N1507" s="82" t="str">
        <f>IFERROR(__xludf.DUMMYFUNCTION("IFERROR(VLOOKUP(D1507,
IMPORTRANGE(""https://docs.google.com/spreadsheets/d/1MjHtlUikwobi2MaWJgy7tfLeBmhj1u-dRFRs_8GwSoA/edit#gid=0"",""Gestores Escolares!D7:J""),4,0),""VERIFICAR CÓD SEC"")"),"(71) 9 8835-2956  ")</f>
        <v>(71) 9 8835-2956  </v>
      </c>
      <c r="O1507" s="82" t="str">
        <f>IFERROR(__xludf.DUMMYFUNCTION("IFERROR(VLOOKUP(D1507,
IMPORTRANGE(""https://docs.google.com/spreadsheets/d/1MjHtlUikwobi2MaWJgy7tfLeBmhj1u-dRFRs_8GwSoA/edit#gid=0"",""Gestores Escolares!D7:J""),6,0),""VERIFICAR CÓD SEC"")"),"HÁLISSON FERRER BATISTA")</f>
        <v>HÁLISSON FERRER BATISTA</v>
      </c>
      <c r="P1507" s="82" t="str">
        <f>IFERROR(__xludf.DUMMYFUNCTION("IFERROR(VLOOKUP(D1507,
IMPORTRANGE(""https://docs.google.com/spreadsheets/d/1MjHtlUikwobi2MaWJgy7tfLeBmhj1u-dRFRs_8GwSoA/edit#gid=0"",""Gestores Escolares!D7:J""),7,0),""VERIFICAR CÓD SEC"")"),"(71) 9 9139-2611")</f>
        <v>(71) 9 9139-2611</v>
      </c>
      <c r="Q1507" s="82" t="str">
        <f>IFERROR(__xludf.DUMMYFUNCTION("IFERROR(VLOOKUP(D1507,
IMPORTRANGE(""https://docs.google.com/spreadsheets/d/1MjHtlUikwobi2MaWJgy7tfLeBmhj1u-dRFRs_8GwSoA/edit#gid=0"",""Gestores Escolares!D7:m""),9,0),""VERIFICAR CÓD SEC"")"),"JAIRO DE OLIVEIRA RAMOS")</f>
        <v>JAIRO DE OLIVEIRA RAMOS</v>
      </c>
      <c r="R1507" s="82" t="str">
        <f>IFERROR(__xludf.DUMMYFUNCTION("IFERROR(VLOOKUP(D1507,
IMPORTRANGE(""https://docs.google.com/spreadsheets/d/1MjHtlUikwobi2MaWJgy7tfLeBmhj1u-dRFRs_8GwSoA/edit#gid=0"",""Gestores Escolares!D7:m""),10,0),""VERIFICAR CÓD SEC"")"),"(71) 9 8796-1355")</f>
        <v>(71) 9 8796-1355</v>
      </c>
      <c r="S1507" s="82"/>
      <c r="T1507" s="138">
        <v>10.0</v>
      </c>
      <c r="U1507" s="152">
        <v>10.0</v>
      </c>
      <c r="V1507" s="106">
        <v>0.0</v>
      </c>
      <c r="W1507" s="107">
        <v>0.0</v>
      </c>
      <c r="X1507" s="107">
        <v>0.0</v>
      </c>
      <c r="Y1507" s="107">
        <v>0.0</v>
      </c>
      <c r="Z1507" s="80">
        <f t="shared" si="1"/>
        <v>0</v>
      </c>
      <c r="AA1507" s="106">
        <v>0.0</v>
      </c>
      <c r="AB1507" s="107">
        <v>249.0</v>
      </c>
      <c r="AC1507" s="107">
        <v>0.0</v>
      </c>
      <c r="AD1507" s="107">
        <v>0.0</v>
      </c>
      <c r="AE1507" s="80">
        <f t="shared" si="2"/>
        <v>249</v>
      </c>
      <c r="AF1507" s="140">
        <v>288.0</v>
      </c>
      <c r="AG1507" s="109">
        <v>19.0</v>
      </c>
      <c r="AH1507" s="109">
        <v>0.0</v>
      </c>
      <c r="AI1507" s="141">
        <v>0.0</v>
      </c>
      <c r="AJ1507" s="80">
        <f t="shared" si="3"/>
        <v>307</v>
      </c>
      <c r="AK1507" s="140">
        <v>0.0</v>
      </c>
      <c r="AL1507" s="109">
        <v>0.0</v>
      </c>
      <c r="AM1507" s="141">
        <v>41.0</v>
      </c>
      <c r="AN1507" s="80">
        <f t="shared" si="4"/>
        <v>41</v>
      </c>
      <c r="AO1507" s="140">
        <v>0.0</v>
      </c>
      <c r="AP1507" s="109">
        <v>0.0</v>
      </c>
      <c r="AQ1507" s="109">
        <v>97.0</v>
      </c>
      <c r="AR1507" s="80">
        <f t="shared" si="5"/>
        <v>97</v>
      </c>
      <c r="AS1507" s="110">
        <v>0.0</v>
      </c>
      <c r="AT1507" s="110">
        <v>0.0</v>
      </c>
      <c r="AU1507" s="110">
        <v>16.0</v>
      </c>
      <c r="AV1507" s="142">
        <v>0.0</v>
      </c>
      <c r="AW1507" s="80">
        <f t="shared" si="6"/>
        <v>16</v>
      </c>
      <c r="AX1507" s="113">
        <f t="shared" si="7"/>
        <v>710</v>
      </c>
      <c r="AY1507" s="117">
        <f t="shared" si="8"/>
        <v>556</v>
      </c>
      <c r="AZ1507" s="120">
        <f t="shared" si="9"/>
        <v>154</v>
      </c>
      <c r="BA1507" s="115">
        <v>0.0</v>
      </c>
      <c r="BB1507" s="89">
        <f t="shared" si="10"/>
        <v>710</v>
      </c>
      <c r="BC1507" s="132" t="s">
        <v>178</v>
      </c>
      <c r="BD1507" s="132" t="s">
        <v>178</v>
      </c>
      <c r="BE1507" s="132" t="s">
        <v>178</v>
      </c>
      <c r="BF1507" s="123"/>
      <c r="BG1507" s="83">
        <v>1104898.0</v>
      </c>
      <c r="BH1507" s="137" t="s">
        <v>8507</v>
      </c>
      <c r="BI1507" s="112">
        <v>10.0</v>
      </c>
      <c r="BJ1507" s="98" t="s">
        <v>155</v>
      </c>
      <c r="BK1507" s="99">
        <f t="shared" si="11"/>
        <v>0</v>
      </c>
      <c r="BL1507" s="99">
        <f t="shared" si="12"/>
        <v>556</v>
      </c>
      <c r="BM1507" s="99" t="str">
        <f>IFERROR(__xludf.DUMMYFUNCTION("IFERROR(VLOOKUP(BG1507,IMPORTRANGE(""https://docs.google.com/spreadsheets/d/1juPI-Fb8LD0YtltB2mlGEnp_R3UVu1t3wSFPzgCyHXE/edit?gid=0#gid=0"",""GERAL!A2:C""),3,0),""-"")"),"-")</f>
        <v>-</v>
      </c>
    </row>
    <row r="1508" ht="15.75" customHeight="1">
      <c r="A1508" s="111" t="s">
        <v>1785</v>
      </c>
      <c r="B1508" s="83" t="s">
        <v>1994</v>
      </c>
      <c r="C1508" s="83" t="s">
        <v>68</v>
      </c>
      <c r="D1508" s="112">
        <v>1104880.0</v>
      </c>
      <c r="E1508" s="136"/>
      <c r="F1508" s="136">
        <v>2.9187303E7</v>
      </c>
      <c r="G1508" s="187" t="s">
        <v>8508</v>
      </c>
      <c r="H1508" s="91" t="s">
        <v>8509</v>
      </c>
      <c r="I1508" s="83" t="s">
        <v>8510</v>
      </c>
      <c r="J1508" s="83" t="s">
        <v>150</v>
      </c>
      <c r="K1508" s="83" t="s">
        <v>151</v>
      </c>
      <c r="L1508" s="83" t="s">
        <v>152</v>
      </c>
      <c r="M1508" s="82" t="str">
        <f>IFERROR(__xludf.DUMMYFUNCTION("IFERROR(VLOOKUP(D1508,
IMPORTRANGE(""https://docs.google.com/spreadsheets/d/1MjHtlUikwobi2MaWJgy7tfLeBmhj1u-dRFRs_8GwSoA/edit#gid=0"",""Gestores Escolares!D7:J""),3,0),""VERIFICAR CÓD SEC"")"),"ÂNGELO SOUZA OLIVEIRA")</f>
        <v>ÂNGELO SOUZA OLIVEIRA</v>
      </c>
      <c r="N1508" s="82" t="str">
        <f>IFERROR(__xludf.DUMMYFUNCTION("IFERROR(VLOOKUP(D1508,
IMPORTRANGE(""https://docs.google.com/spreadsheets/d/1MjHtlUikwobi2MaWJgy7tfLeBmhj1u-dRFRs_8GwSoA/edit#gid=0"",""Gestores Escolares!D7:J""),4,0),""VERIFICAR CÓD SEC"")"),"(71) 9 9951-9847")</f>
        <v>(71) 9 9951-9847</v>
      </c>
      <c r="O1508" s="82" t="str">
        <f>IFERROR(__xludf.DUMMYFUNCTION("IFERROR(VLOOKUP(D1508,
IMPORTRANGE(""https://docs.google.com/spreadsheets/d/1MjHtlUikwobi2MaWJgy7tfLeBmhj1u-dRFRs_8GwSoA/edit#gid=0"",""Gestores Escolares!D7:J""),6,0),""VERIFICAR CÓD SEC"")"),"ALEX HUDSON REIS MATOS")</f>
        <v>ALEX HUDSON REIS MATOS</v>
      </c>
      <c r="P1508" s="82" t="str">
        <f>IFERROR(__xludf.DUMMYFUNCTION("IFERROR(VLOOKUP(D1508,
IMPORTRANGE(""https://docs.google.com/spreadsheets/d/1MjHtlUikwobi2MaWJgy7tfLeBmhj1u-dRFRs_8GwSoA/edit#gid=0"",""Gestores Escolares!D7:J""),7,0),""VERIFICAR CÓD SEC"")"),"(71) 9 9962-9188/ 3395-3373")</f>
        <v>(71) 9 9962-9188/ 3395-3373</v>
      </c>
      <c r="Q1508" s="82" t="str">
        <f>IFERROR(__xludf.DUMMYFUNCTION("IFERROR(VLOOKUP(D1508,
IMPORTRANGE(""https://docs.google.com/spreadsheets/d/1MjHtlUikwobi2MaWJgy7tfLeBmhj1u-dRFRs_8GwSoA/edit#gid=0"",""Gestores Escolares!D7:m""),9,0),""VERIFICAR CÓD SEC"")"),"RAIMUNDO JORGE PEREIRA DOS SANTOS")</f>
        <v>RAIMUNDO JORGE PEREIRA DOS SANTOS</v>
      </c>
      <c r="R1508" s="82" t="str">
        <f>IFERROR(__xludf.DUMMYFUNCTION("IFERROR(VLOOKUP(D1508,
IMPORTRANGE(""https://docs.google.com/spreadsheets/d/1MjHtlUikwobi2MaWJgy7tfLeBmhj1u-dRFRs_8GwSoA/edit#gid=0"",""Gestores Escolares!D7:m""),10,0),""VERIFICAR CÓD SEC"")"),"(71) 9 8147-8524")</f>
        <v>(71) 9 8147-8524</v>
      </c>
      <c r="S1508" s="82"/>
      <c r="T1508" s="138">
        <v>8.0</v>
      </c>
      <c r="U1508" s="152">
        <v>8.0</v>
      </c>
      <c r="V1508" s="106">
        <v>0.0</v>
      </c>
      <c r="W1508" s="107">
        <v>0.0</v>
      </c>
      <c r="X1508" s="107">
        <v>0.0</v>
      </c>
      <c r="Y1508" s="107">
        <v>0.0</v>
      </c>
      <c r="Z1508" s="80">
        <f t="shared" si="1"/>
        <v>0</v>
      </c>
      <c r="AA1508" s="106">
        <v>0.0</v>
      </c>
      <c r="AB1508" s="107">
        <v>0.0</v>
      </c>
      <c r="AC1508" s="107">
        <v>0.0</v>
      </c>
      <c r="AD1508" s="107">
        <v>290.0</v>
      </c>
      <c r="AE1508" s="80">
        <f t="shared" si="2"/>
        <v>290</v>
      </c>
      <c r="AF1508" s="140">
        <v>0.0</v>
      </c>
      <c r="AG1508" s="109">
        <v>0.0</v>
      </c>
      <c r="AH1508" s="109">
        <v>0.0</v>
      </c>
      <c r="AI1508" s="141">
        <v>0.0</v>
      </c>
      <c r="AJ1508" s="80">
        <f t="shared" si="3"/>
        <v>0</v>
      </c>
      <c r="AK1508" s="140">
        <v>0.0</v>
      </c>
      <c r="AL1508" s="109">
        <v>0.0</v>
      </c>
      <c r="AM1508" s="141">
        <v>0.0</v>
      </c>
      <c r="AN1508" s="80">
        <f t="shared" si="4"/>
        <v>0</v>
      </c>
      <c r="AO1508" s="140">
        <v>0.0</v>
      </c>
      <c r="AP1508" s="109">
        <v>0.0</v>
      </c>
      <c r="AQ1508" s="109">
        <v>0.0</v>
      </c>
      <c r="AR1508" s="80">
        <f t="shared" si="5"/>
        <v>0</v>
      </c>
      <c r="AS1508" s="110">
        <v>0.0</v>
      </c>
      <c r="AT1508" s="110">
        <v>0.0</v>
      </c>
      <c r="AU1508" s="110">
        <v>0.0</v>
      </c>
      <c r="AV1508" s="142">
        <v>0.0</v>
      </c>
      <c r="AW1508" s="80">
        <f t="shared" si="6"/>
        <v>0</v>
      </c>
      <c r="AX1508" s="113">
        <f t="shared" si="7"/>
        <v>290</v>
      </c>
      <c r="AY1508" s="117">
        <f t="shared" si="8"/>
        <v>290</v>
      </c>
      <c r="AZ1508" s="120">
        <f t="shared" si="9"/>
        <v>0</v>
      </c>
      <c r="BA1508" s="115">
        <v>0.0</v>
      </c>
      <c r="BB1508" s="89">
        <f t="shared" si="10"/>
        <v>290</v>
      </c>
      <c r="BC1508" s="132" t="s">
        <v>178</v>
      </c>
      <c r="BD1508" s="132" t="s">
        <v>178</v>
      </c>
      <c r="BE1508" s="132" t="s">
        <v>178</v>
      </c>
      <c r="BF1508" s="123"/>
      <c r="BG1508" s="83">
        <v>1104880.0</v>
      </c>
      <c r="BH1508" s="188" t="s">
        <v>8511</v>
      </c>
      <c r="BI1508" s="112">
        <v>8.0</v>
      </c>
      <c r="BJ1508" s="98" t="s">
        <v>155</v>
      </c>
      <c r="BK1508" s="99">
        <f t="shared" si="11"/>
        <v>290</v>
      </c>
      <c r="BL1508" s="99">
        <f t="shared" si="12"/>
        <v>0</v>
      </c>
      <c r="BM1508" s="99" t="str">
        <f>IFERROR(__xludf.DUMMYFUNCTION("IFERROR(VLOOKUP(BG1508,IMPORTRANGE(""https://docs.google.com/spreadsheets/d/1juPI-Fb8LD0YtltB2mlGEnp_R3UVu1t3wSFPzgCyHXE/edit?gid=0#gid=0"",""GERAL!A2:C""),3,0),""-"")"),"-")</f>
        <v>-</v>
      </c>
    </row>
    <row r="1509" ht="15.75" customHeight="1">
      <c r="A1509" s="111" t="s">
        <v>1785</v>
      </c>
      <c r="B1509" s="83" t="s">
        <v>1994</v>
      </c>
      <c r="C1509" s="83" t="s">
        <v>68</v>
      </c>
      <c r="D1509" s="112">
        <v>1102542.0</v>
      </c>
      <c r="E1509" s="136"/>
      <c r="F1509" s="136">
        <v>2.9190908E7</v>
      </c>
      <c r="G1509" s="187" t="s">
        <v>8512</v>
      </c>
      <c r="H1509" s="91" t="s">
        <v>8513</v>
      </c>
      <c r="I1509" s="83" t="s">
        <v>8417</v>
      </c>
      <c r="J1509" s="83" t="s">
        <v>150</v>
      </c>
      <c r="K1509" s="83" t="s">
        <v>151</v>
      </c>
      <c r="L1509" s="83" t="s">
        <v>152</v>
      </c>
      <c r="M1509" s="82" t="str">
        <f>IFERROR(__xludf.DUMMYFUNCTION("IFERROR(VLOOKUP(D1509,
IMPORTRANGE(""https://docs.google.com/spreadsheets/d/1MjHtlUikwobi2MaWJgy7tfLeBmhj1u-dRFRs_8GwSoA/edit#gid=0"",""Gestores Escolares!D7:J""),3,0),""VERIFICAR CÓD SEC"")"),"MARCONI EDUARDO SILVA DE JESUS")</f>
        <v>MARCONI EDUARDO SILVA DE JESUS</v>
      </c>
      <c r="N1509" s="82" t="str">
        <f>IFERROR(__xludf.DUMMYFUNCTION("IFERROR(VLOOKUP(D1509,
IMPORTRANGE(""https://docs.google.com/spreadsheets/d/1MjHtlUikwobi2MaWJgy7tfLeBmhj1u-dRFRs_8GwSoA/edit#gid=0"",""Gestores Escolares!D7:J""),4,0),""VERIFICAR CÓD SEC"")")," (71) 9 8803-5208 ")</f>
        <v> (71) 9 8803-5208 </v>
      </c>
      <c r="O1509" s="82" t="str">
        <f>IFERROR(__xludf.DUMMYFUNCTION("IFERROR(VLOOKUP(D1509,
IMPORTRANGE(""https://docs.google.com/spreadsheets/d/1MjHtlUikwobi2MaWJgy7tfLeBmhj1u-dRFRs_8GwSoA/edit#gid=0"",""Gestores Escolares!D7:J""),6,0),""VERIFICAR CÓD SEC"")"),"RODOLFO PINHEIRO REGIS")</f>
        <v>RODOLFO PINHEIRO REGIS</v>
      </c>
      <c r="P1509" s="82" t="str">
        <f>IFERROR(__xludf.DUMMYFUNCTION("IFERROR(VLOOKUP(D1509,
IMPORTRANGE(""https://docs.google.com/spreadsheets/d/1MjHtlUikwobi2MaWJgy7tfLeBmhj1u-dRFRs_8GwSoA/edit#gid=0"",""Gestores Escolares!D7:J""),7,0),""VERIFICAR CÓD SEC"")"),"(71) 9 9920-5370")</f>
        <v>(71) 9 9920-5370</v>
      </c>
      <c r="Q1509" s="82" t="str">
        <f>IFERROR(__xludf.DUMMYFUNCTION("IFERROR(VLOOKUP(D1509,
IMPORTRANGE(""https://docs.google.com/spreadsheets/d/1MjHtlUikwobi2MaWJgy7tfLeBmhj1u-dRFRs_8GwSoA/edit#gid=0"",""Gestores Escolares!D7:m""),9,0),""VERIFICAR CÓD SEC"")"),"")</f>
        <v/>
      </c>
      <c r="R1509" s="82" t="str">
        <f>IFERROR(__xludf.DUMMYFUNCTION("IFERROR(VLOOKUP(D1509,
IMPORTRANGE(""https://docs.google.com/spreadsheets/d/1MjHtlUikwobi2MaWJgy7tfLeBmhj1u-dRFRs_8GwSoA/edit#gid=0"",""Gestores Escolares!D7:m""),10,0),""VERIFICAR CÓD SEC"")"),"")</f>
        <v/>
      </c>
      <c r="S1509" s="82"/>
      <c r="T1509" s="138">
        <v>9.0</v>
      </c>
      <c r="U1509" s="217" t="s">
        <v>13922</v>
      </c>
      <c r="V1509" s="106">
        <v>0.0</v>
      </c>
      <c r="W1509" s="107">
        <v>0.0</v>
      </c>
      <c r="X1509" s="107">
        <v>0.0</v>
      </c>
      <c r="Y1509" s="107">
        <v>0.0</v>
      </c>
      <c r="Z1509" s="80">
        <f t="shared" si="1"/>
        <v>0</v>
      </c>
      <c r="AA1509" s="106">
        <v>0.0</v>
      </c>
      <c r="AB1509" s="107">
        <v>0.0</v>
      </c>
      <c r="AC1509" s="107">
        <v>0.0</v>
      </c>
      <c r="AD1509" s="107">
        <v>0.0</v>
      </c>
      <c r="AE1509" s="80">
        <f t="shared" si="2"/>
        <v>0</v>
      </c>
      <c r="AF1509" s="140">
        <v>231.0</v>
      </c>
      <c r="AG1509" s="109">
        <v>110.0</v>
      </c>
      <c r="AH1509" s="109">
        <v>0.0</v>
      </c>
      <c r="AI1509" s="141">
        <v>24.0</v>
      </c>
      <c r="AJ1509" s="80">
        <f t="shared" si="3"/>
        <v>365</v>
      </c>
      <c r="AK1509" s="140">
        <v>0.0</v>
      </c>
      <c r="AL1509" s="109">
        <v>0.0</v>
      </c>
      <c r="AM1509" s="141">
        <v>0.0</v>
      </c>
      <c r="AN1509" s="80">
        <f t="shared" si="4"/>
        <v>0</v>
      </c>
      <c r="AO1509" s="140">
        <v>0.0</v>
      </c>
      <c r="AP1509" s="109">
        <v>0.0</v>
      </c>
      <c r="AQ1509" s="109">
        <v>73.0</v>
      </c>
      <c r="AR1509" s="80">
        <f t="shared" si="5"/>
        <v>73</v>
      </c>
      <c r="AS1509" s="110">
        <v>0.0</v>
      </c>
      <c r="AT1509" s="110">
        <v>0.0</v>
      </c>
      <c r="AU1509" s="110">
        <v>0.0</v>
      </c>
      <c r="AV1509" s="142">
        <v>0.0</v>
      </c>
      <c r="AW1509" s="80">
        <f t="shared" si="6"/>
        <v>0</v>
      </c>
      <c r="AX1509" s="113">
        <f t="shared" si="7"/>
        <v>438</v>
      </c>
      <c r="AY1509" s="117">
        <f t="shared" si="8"/>
        <v>365</v>
      </c>
      <c r="AZ1509" s="120">
        <f t="shared" si="9"/>
        <v>73</v>
      </c>
      <c r="BA1509" s="115">
        <v>4.0</v>
      </c>
      <c r="BB1509" s="89">
        <f t="shared" si="10"/>
        <v>442</v>
      </c>
      <c r="BC1509" s="132" t="s">
        <v>178</v>
      </c>
      <c r="BD1509" s="132" t="s">
        <v>178</v>
      </c>
      <c r="BE1509" s="132" t="s">
        <v>178</v>
      </c>
      <c r="BF1509" s="123"/>
      <c r="BG1509" s="83">
        <v>1102542.0</v>
      </c>
      <c r="BH1509" s="137" t="s">
        <v>8514</v>
      </c>
      <c r="BI1509" s="112">
        <v>9.0</v>
      </c>
      <c r="BJ1509" s="98" t="s">
        <v>155</v>
      </c>
      <c r="BK1509" s="99">
        <f t="shared" si="11"/>
        <v>24</v>
      </c>
      <c r="BL1509" s="99">
        <f t="shared" si="12"/>
        <v>341</v>
      </c>
      <c r="BM1509" s="99" t="str">
        <f>IFERROR(__xludf.DUMMYFUNCTION("IFERROR(VLOOKUP(BG1509,IMPORTRANGE(""https://docs.google.com/spreadsheets/d/1juPI-Fb8LD0YtltB2mlGEnp_R3UVu1t3wSFPzgCyHXE/edit?gid=0#gid=0"",""GERAL!A2:C""),3,0),""-"")"),"-")</f>
        <v>-</v>
      </c>
    </row>
    <row r="1510" ht="15.75" customHeight="1">
      <c r="A1510" s="111" t="s">
        <v>1785</v>
      </c>
      <c r="B1510" s="83" t="s">
        <v>1994</v>
      </c>
      <c r="C1510" s="83" t="s">
        <v>68</v>
      </c>
      <c r="D1510" s="112">
        <v>1176446.0</v>
      </c>
      <c r="E1510" s="136"/>
      <c r="F1510" s="136">
        <v>2.9386535E7</v>
      </c>
      <c r="G1510" s="147" t="s">
        <v>8515</v>
      </c>
      <c r="H1510" s="91" t="s">
        <v>8516</v>
      </c>
      <c r="I1510" s="83" t="s">
        <v>8517</v>
      </c>
      <c r="J1510" s="83" t="s">
        <v>150</v>
      </c>
      <c r="K1510" s="83" t="s">
        <v>151</v>
      </c>
      <c r="L1510" s="83" t="s">
        <v>169</v>
      </c>
      <c r="M1510" s="82" t="str">
        <f>IFERROR(__xludf.DUMMYFUNCTION("IFERROR(VLOOKUP(D1510,
IMPORTRANGE(""https://docs.google.com/spreadsheets/d/1MjHtlUikwobi2MaWJgy7tfLeBmhj1u-dRFRs_8GwSoA/edit#gid=0"",""Gestores Escolares!D7:J""),3,0),""VERIFICAR CÓD SEC"")"),"RAILDA FERNANDES MATO GROSSO")</f>
        <v>RAILDA FERNANDES MATO GROSSO</v>
      </c>
      <c r="N1510" s="82" t="str">
        <f>IFERROR(__xludf.DUMMYFUNCTION("IFERROR(VLOOKUP(D1510,
IMPORTRANGE(""https://docs.google.com/spreadsheets/d/1MjHtlUikwobi2MaWJgy7tfLeBmhj1u-dRFRs_8GwSoA/edit#gid=0"",""Gestores Escolares!D7:J""),4,0),""VERIFICAR CÓD SEC"")"),"(71) 9 8824-2615/
9 8127-1347/ 3401-4999")</f>
        <v>(71) 9 8824-2615/
9 8127-1347/ 3401-4999</v>
      </c>
      <c r="O1510" s="82" t="str">
        <f>IFERROR(__xludf.DUMMYFUNCTION("IFERROR(VLOOKUP(D1510,
IMPORTRANGE(""https://docs.google.com/spreadsheets/d/1MjHtlUikwobi2MaWJgy7tfLeBmhj1u-dRFRs_8GwSoA/edit#gid=0"",""Gestores Escolares!D7:J""),6,0),""VERIFICAR CÓD SEC"")"),"ELIANA DE LIMA COSTA")</f>
        <v>ELIANA DE LIMA COSTA</v>
      </c>
      <c r="P1510" s="82" t="str">
        <f>IFERROR(__xludf.DUMMYFUNCTION("IFERROR(VLOOKUP(D1510,
IMPORTRANGE(""https://docs.google.com/spreadsheets/d/1MjHtlUikwobi2MaWJgy7tfLeBmhj1u-dRFRs_8GwSoA/edit#gid=0"",""Gestores Escolares!D7:J""),7,0),""VERIFICAR CÓD SEC"")")," (71) 9 8684-5083/ 3401-1278    ")</f>
        <v> (71) 9 8684-5083/ 3401-1278    </v>
      </c>
      <c r="Q1510" s="82" t="str">
        <f>IFERROR(__xludf.DUMMYFUNCTION("IFERROR(VLOOKUP(D1510,
IMPORTRANGE(""https://docs.google.com/spreadsheets/d/1MjHtlUikwobi2MaWJgy7tfLeBmhj1u-dRFRs_8GwSoA/edit#gid=0"",""Gestores Escolares!D7:m""),9,0),""VERIFICAR CÓD SEC"")"),"")</f>
        <v/>
      </c>
      <c r="R1510" s="82" t="str">
        <f>IFERROR(__xludf.DUMMYFUNCTION("IFERROR(VLOOKUP(D1510,
IMPORTRANGE(""https://docs.google.com/spreadsheets/d/1MjHtlUikwobi2MaWJgy7tfLeBmhj1u-dRFRs_8GwSoA/edit#gid=0"",""Gestores Escolares!D7:m""),10,0),""VERIFICAR CÓD SEC"")"),"")</f>
        <v/>
      </c>
      <c r="S1510" s="82"/>
      <c r="T1510" s="138">
        <v>11.0</v>
      </c>
      <c r="U1510" s="217" t="s">
        <v>13923</v>
      </c>
      <c r="V1510" s="106">
        <v>0.0</v>
      </c>
      <c r="W1510" s="107">
        <v>0.0</v>
      </c>
      <c r="X1510" s="107">
        <v>0.0</v>
      </c>
      <c r="Y1510" s="107">
        <v>0.0</v>
      </c>
      <c r="Z1510" s="80">
        <f t="shared" si="1"/>
        <v>0</v>
      </c>
      <c r="AA1510" s="106">
        <v>112.0</v>
      </c>
      <c r="AB1510" s="107">
        <v>69.0</v>
      </c>
      <c r="AC1510" s="107">
        <v>0.0</v>
      </c>
      <c r="AD1510" s="107">
        <v>0.0</v>
      </c>
      <c r="AE1510" s="80">
        <f t="shared" si="2"/>
        <v>181</v>
      </c>
      <c r="AF1510" s="140">
        <v>0.0</v>
      </c>
      <c r="AG1510" s="109">
        <v>0.0</v>
      </c>
      <c r="AH1510" s="109">
        <v>0.0</v>
      </c>
      <c r="AI1510" s="141">
        <v>0.0</v>
      </c>
      <c r="AJ1510" s="80">
        <f t="shared" si="3"/>
        <v>0</v>
      </c>
      <c r="AK1510" s="140">
        <v>0.0</v>
      </c>
      <c r="AL1510" s="109">
        <v>0.0</v>
      </c>
      <c r="AM1510" s="141">
        <v>0.0</v>
      </c>
      <c r="AN1510" s="80">
        <f t="shared" si="4"/>
        <v>0</v>
      </c>
      <c r="AO1510" s="140">
        <v>0.0</v>
      </c>
      <c r="AP1510" s="109">
        <v>0.0</v>
      </c>
      <c r="AQ1510" s="109">
        <v>0.0</v>
      </c>
      <c r="AR1510" s="80">
        <f t="shared" si="5"/>
        <v>0</v>
      </c>
      <c r="AS1510" s="110">
        <v>0.0</v>
      </c>
      <c r="AT1510" s="110">
        <v>0.0</v>
      </c>
      <c r="AU1510" s="110">
        <v>0.0</v>
      </c>
      <c r="AV1510" s="142">
        <v>0.0</v>
      </c>
      <c r="AW1510" s="80">
        <f t="shared" si="6"/>
        <v>0</v>
      </c>
      <c r="AX1510" s="113">
        <f t="shared" si="7"/>
        <v>181</v>
      </c>
      <c r="AY1510" s="117">
        <f t="shared" si="8"/>
        <v>181</v>
      </c>
      <c r="AZ1510" s="120">
        <f t="shared" si="9"/>
        <v>0</v>
      </c>
      <c r="BA1510" s="115">
        <v>0.0</v>
      </c>
      <c r="BB1510" s="89">
        <f t="shared" si="10"/>
        <v>181</v>
      </c>
      <c r="BC1510" s="132" t="s">
        <v>178</v>
      </c>
      <c r="BD1510" s="132" t="s">
        <v>178</v>
      </c>
      <c r="BE1510" s="132" t="s">
        <v>178</v>
      </c>
      <c r="BF1510" s="156"/>
      <c r="BG1510" s="83">
        <v>1176446.0</v>
      </c>
      <c r="BH1510" s="137" t="s">
        <v>8518</v>
      </c>
      <c r="BI1510" s="112">
        <v>11.0</v>
      </c>
      <c r="BJ1510" s="98" t="s">
        <v>155</v>
      </c>
      <c r="BK1510" s="99">
        <f t="shared" si="11"/>
        <v>0</v>
      </c>
      <c r="BL1510" s="99">
        <f t="shared" si="12"/>
        <v>181</v>
      </c>
      <c r="BM1510" s="99" t="str">
        <f>IFERROR(__xludf.DUMMYFUNCTION("IFERROR(VLOOKUP(BG1510,IMPORTRANGE(""https://docs.google.com/spreadsheets/d/1juPI-Fb8LD0YtltB2mlGEnp_R3UVu1t3wSFPzgCyHXE/edit?gid=0#gid=0"",""GERAL!A2:C""),3,0),""-"")"),"-")</f>
        <v>-</v>
      </c>
    </row>
    <row r="1511" ht="15.75" customHeight="1">
      <c r="A1511" s="111" t="s">
        <v>1785</v>
      </c>
      <c r="B1511" s="83" t="s">
        <v>1994</v>
      </c>
      <c r="C1511" s="83" t="s">
        <v>68</v>
      </c>
      <c r="D1511" s="112">
        <v>1101333.0</v>
      </c>
      <c r="E1511" s="136"/>
      <c r="F1511" s="136">
        <v>2.9185351E7</v>
      </c>
      <c r="G1511" s="187" t="s">
        <v>8519</v>
      </c>
      <c r="H1511" s="91" t="s">
        <v>8520</v>
      </c>
      <c r="I1511" s="83" t="s">
        <v>8183</v>
      </c>
      <c r="J1511" s="83" t="s">
        <v>150</v>
      </c>
      <c r="K1511" s="83" t="s">
        <v>151</v>
      </c>
      <c r="L1511" s="83" t="s">
        <v>76</v>
      </c>
      <c r="M1511" s="82" t="str">
        <f>IFERROR(__xludf.DUMMYFUNCTION("IFERROR(VLOOKUP(D1511,
IMPORTRANGE(""https://docs.google.com/spreadsheets/d/1MjHtlUikwobi2MaWJgy7tfLeBmhj1u-dRFRs_8GwSoA/edit#gid=0"",""Gestores Escolares!D7:J""),3,0),""VERIFICAR CÓD SEC"")"),"MARIA INÊS SILVA VASCONCELOS")</f>
        <v>MARIA INÊS SILVA VASCONCELOS</v>
      </c>
      <c r="N1511" s="82" t="str">
        <f>IFERROR(__xludf.DUMMYFUNCTION("IFERROR(VLOOKUP(D1511,
IMPORTRANGE(""https://docs.google.com/spreadsheets/d/1MjHtlUikwobi2MaWJgy7tfLeBmhj1u-dRFRs_8GwSoA/edit#gid=0"",""Gestores Escolares!D7:J""),4,0),""VERIFICAR CÓD SEC"")"),"(71) 9 8892-0339/ 
9 9984-9244/ 
9 9106-6928")</f>
        <v>(71) 9 8892-0339/ 
9 9984-9244/ 
9 9106-6928</v>
      </c>
      <c r="O1511" s="82" t="str">
        <f>IFERROR(__xludf.DUMMYFUNCTION("IFERROR(VLOOKUP(D1511,
IMPORTRANGE(""https://docs.google.com/spreadsheets/d/1MjHtlUikwobi2MaWJgy7tfLeBmhj1u-dRFRs_8GwSoA/edit#gid=0"",""Gestores Escolares!D7:J""),6,0),""VERIFICAR CÓD SEC"")"),"MARCOS SANTOS INVENCAO")</f>
        <v>MARCOS SANTOS INVENCAO</v>
      </c>
      <c r="P1511" s="82" t="str">
        <f>IFERROR(__xludf.DUMMYFUNCTION("IFERROR(VLOOKUP(D1511,
IMPORTRANGE(""https://docs.google.com/spreadsheets/d/1MjHtlUikwobi2MaWJgy7tfLeBmhj1u-dRFRs_8GwSoA/edit#gid=0"",""Gestores Escolares!D7:J""),7,0),""VERIFICAR CÓD SEC"")"),"(71) 9 9172-7760")</f>
        <v>(71) 9 9172-7760</v>
      </c>
      <c r="Q1511" s="82" t="str">
        <f>IFERROR(__xludf.DUMMYFUNCTION("IFERROR(VLOOKUP(D1511,
IMPORTRANGE(""https://docs.google.com/spreadsheets/d/1MjHtlUikwobi2MaWJgy7tfLeBmhj1u-dRFRs_8GwSoA/edit#gid=0"",""Gestores Escolares!D7:m""),9,0),""VERIFICAR CÓD SEC"")"),"")</f>
        <v/>
      </c>
      <c r="R1511" s="82" t="str">
        <f>IFERROR(__xludf.DUMMYFUNCTION("IFERROR(VLOOKUP(D1511,
IMPORTRANGE(""https://docs.google.com/spreadsheets/d/1MjHtlUikwobi2MaWJgy7tfLeBmhj1u-dRFRs_8GwSoA/edit#gid=0"",""Gestores Escolares!D7:m""),10,0),""VERIFICAR CÓD SEC"")"),"")</f>
        <v/>
      </c>
      <c r="S1511" s="82"/>
      <c r="T1511" s="138">
        <v>12.0</v>
      </c>
      <c r="U1511" s="217" t="s">
        <v>13924</v>
      </c>
      <c r="V1511" s="106">
        <v>0.0</v>
      </c>
      <c r="W1511" s="107">
        <v>0.0</v>
      </c>
      <c r="X1511" s="107">
        <v>0.0</v>
      </c>
      <c r="Y1511" s="107">
        <v>0.0</v>
      </c>
      <c r="Z1511" s="80">
        <f t="shared" si="1"/>
        <v>0</v>
      </c>
      <c r="AA1511" s="106">
        <v>0.0</v>
      </c>
      <c r="AB1511" s="107">
        <v>0.0</v>
      </c>
      <c r="AC1511" s="107">
        <v>0.0</v>
      </c>
      <c r="AD1511" s="107">
        <v>223.0</v>
      </c>
      <c r="AE1511" s="80">
        <f t="shared" si="2"/>
        <v>223</v>
      </c>
      <c r="AF1511" s="140">
        <v>0.0</v>
      </c>
      <c r="AG1511" s="109">
        <v>0.0</v>
      </c>
      <c r="AH1511" s="109">
        <v>0.0</v>
      </c>
      <c r="AI1511" s="141">
        <v>0.0</v>
      </c>
      <c r="AJ1511" s="80">
        <f t="shared" si="3"/>
        <v>0</v>
      </c>
      <c r="AK1511" s="140">
        <v>16.0</v>
      </c>
      <c r="AL1511" s="109">
        <v>0.0</v>
      </c>
      <c r="AM1511" s="141">
        <v>0.0</v>
      </c>
      <c r="AN1511" s="80">
        <f t="shared" si="4"/>
        <v>16</v>
      </c>
      <c r="AO1511" s="140">
        <v>0.0</v>
      </c>
      <c r="AP1511" s="109">
        <v>0.0</v>
      </c>
      <c r="AQ1511" s="109">
        <v>0.0</v>
      </c>
      <c r="AR1511" s="80">
        <f t="shared" si="5"/>
        <v>0</v>
      </c>
      <c r="AS1511" s="110">
        <v>0.0</v>
      </c>
      <c r="AT1511" s="110">
        <v>0.0</v>
      </c>
      <c r="AU1511" s="110">
        <v>0.0</v>
      </c>
      <c r="AV1511" s="142">
        <v>0.0</v>
      </c>
      <c r="AW1511" s="80">
        <f t="shared" si="6"/>
        <v>0</v>
      </c>
      <c r="AX1511" s="113">
        <f t="shared" si="7"/>
        <v>239</v>
      </c>
      <c r="AY1511" s="117">
        <f t="shared" si="8"/>
        <v>239</v>
      </c>
      <c r="AZ1511" s="120">
        <f t="shared" si="9"/>
        <v>0</v>
      </c>
      <c r="BA1511" s="115">
        <v>0.0</v>
      </c>
      <c r="BB1511" s="89">
        <f t="shared" si="10"/>
        <v>239</v>
      </c>
      <c r="BC1511" s="132" t="s">
        <v>178</v>
      </c>
      <c r="BD1511" s="132" t="s">
        <v>178</v>
      </c>
      <c r="BE1511" s="132" t="s">
        <v>178</v>
      </c>
      <c r="BF1511" s="123"/>
      <c r="BG1511" s="83">
        <v>1101333.0</v>
      </c>
      <c r="BH1511" s="137" t="s">
        <v>8521</v>
      </c>
      <c r="BI1511" s="112">
        <v>11.0</v>
      </c>
      <c r="BJ1511" s="98" t="s">
        <v>155</v>
      </c>
      <c r="BK1511" s="99">
        <f t="shared" si="11"/>
        <v>223</v>
      </c>
      <c r="BL1511" s="99">
        <f t="shared" si="12"/>
        <v>16</v>
      </c>
      <c r="BM1511" s="99" t="str">
        <f>IFERROR(__xludf.DUMMYFUNCTION("IFERROR(VLOOKUP(BG1511,IMPORTRANGE(""https://docs.google.com/spreadsheets/d/1juPI-Fb8LD0YtltB2mlGEnp_R3UVu1t3wSFPzgCyHXE/edit?gid=0#gid=0"",""GERAL!A2:C""),3,0),""-"")"),"-")</f>
        <v>-</v>
      </c>
    </row>
    <row r="1512" ht="15.75" customHeight="1">
      <c r="A1512" s="111" t="s">
        <v>1785</v>
      </c>
      <c r="B1512" s="83" t="s">
        <v>1994</v>
      </c>
      <c r="C1512" s="83" t="s">
        <v>68</v>
      </c>
      <c r="D1512" s="112">
        <v>1102445.0</v>
      </c>
      <c r="E1512" s="83"/>
      <c r="F1512" s="83">
        <v>2.9191009E7</v>
      </c>
      <c r="G1512" s="114" t="s">
        <v>8523</v>
      </c>
      <c r="H1512" s="91" t="s">
        <v>8524</v>
      </c>
      <c r="I1512" s="83" t="s">
        <v>8158</v>
      </c>
      <c r="J1512" s="83" t="s">
        <v>150</v>
      </c>
      <c r="K1512" s="83" t="s">
        <v>151</v>
      </c>
      <c r="L1512" s="83" t="s">
        <v>152</v>
      </c>
      <c r="M1512" s="82" t="str">
        <f>IFERROR(__xludf.DUMMYFUNCTION("IFERROR(VLOOKUP(D1512,
IMPORTRANGE(""https://docs.google.com/spreadsheets/d/1MjHtlUikwobi2MaWJgy7tfLeBmhj1u-dRFRs_8GwSoA/edit#gid=0"",""Gestores Escolares!D7:J""),3,0),""VERIFICAR CÓD SEC"")"),"EDMILSON GAMA SILVA ")</f>
        <v>EDMILSON GAMA SILVA </v>
      </c>
      <c r="N1512" s="82" t="str">
        <f>IFERROR(__xludf.DUMMYFUNCTION("IFERROR(VLOOKUP(D1512,
IMPORTRANGE(""https://docs.google.com/spreadsheets/d/1MjHtlUikwobi2MaWJgy7tfLeBmhj1u-dRFRs_8GwSoA/edit#gid=0"",""Gestores Escolares!D7:J""),4,0),""VERIFICAR CÓD SEC"")"),"(71) 9 9285-8959")</f>
        <v>(71) 9 9285-8959</v>
      </c>
      <c r="O1512" s="82" t="str">
        <f>IFERROR(__xludf.DUMMYFUNCTION("IFERROR(VLOOKUP(D1512,
IMPORTRANGE(""https://docs.google.com/spreadsheets/d/1MjHtlUikwobi2MaWJgy7tfLeBmhj1u-dRFRs_8GwSoA/edit#gid=0"",""Gestores Escolares!D7:J""),6,0),""VERIFICAR CÓD SEC"")"),"MARTA TATIANI ALVES TEIXEIRA")</f>
        <v>MARTA TATIANI ALVES TEIXEIRA</v>
      </c>
      <c r="P1512" s="82" t="str">
        <f>IFERROR(__xludf.DUMMYFUNCTION("IFERROR(VLOOKUP(D1512,
IMPORTRANGE(""https://docs.google.com/spreadsheets/d/1MjHtlUikwobi2MaWJgy7tfLeBmhj1u-dRFRs_8GwSoA/edit#gid=0"",""Gestores Escolares!D7:J""),7,0),""VERIFICAR CÓD SEC"")"),"(71) 9 9289-9352")</f>
        <v>(71) 9 9289-9352</v>
      </c>
      <c r="Q1512" s="82" t="str">
        <f>IFERROR(__xludf.DUMMYFUNCTION("IFERROR(VLOOKUP(D1512,
IMPORTRANGE(""https://docs.google.com/spreadsheets/d/1MjHtlUikwobi2MaWJgy7tfLeBmhj1u-dRFRs_8GwSoA/edit#gid=0"",""Gestores Escolares!D7:m""),9,0),""VERIFICAR CÓD SEC"")"),"SUELY MARCELO MARQUES DE SOUZA")</f>
        <v>SUELY MARCELO MARQUES DE SOUZA</v>
      </c>
      <c r="R1512" s="82" t="str">
        <f>IFERROR(__xludf.DUMMYFUNCTION("IFERROR(VLOOKUP(D1512,
IMPORTRANGE(""https://docs.google.com/spreadsheets/d/1MjHtlUikwobi2MaWJgy7tfLeBmhj1u-dRFRs_8GwSoA/edit#gid=0"",""Gestores Escolares!D7:m""),10,0),""VERIFICAR CÓD SEC"")"),"(71) 9 8666-0340")</f>
        <v>(71) 9 8666-0340</v>
      </c>
      <c r="S1512" s="82"/>
      <c r="T1512" s="138">
        <v>12.0</v>
      </c>
      <c r="U1512" s="152">
        <v>12.0</v>
      </c>
      <c r="V1512" s="106">
        <v>0.0</v>
      </c>
      <c r="W1512" s="107">
        <v>0.0</v>
      </c>
      <c r="X1512" s="107">
        <v>0.0</v>
      </c>
      <c r="Y1512" s="107">
        <v>0.0</v>
      </c>
      <c r="Z1512" s="80">
        <f t="shared" si="1"/>
        <v>0</v>
      </c>
      <c r="AA1512" s="106">
        <v>0.0</v>
      </c>
      <c r="AB1512" s="107">
        <v>0.0</v>
      </c>
      <c r="AC1512" s="107">
        <v>0.0</v>
      </c>
      <c r="AD1512" s="107">
        <v>0.0</v>
      </c>
      <c r="AE1512" s="80">
        <f t="shared" si="2"/>
        <v>0</v>
      </c>
      <c r="AF1512" s="140">
        <v>0.0</v>
      </c>
      <c r="AG1512" s="109">
        <v>0.0</v>
      </c>
      <c r="AH1512" s="109">
        <v>0.0</v>
      </c>
      <c r="AI1512" s="141">
        <v>212.0</v>
      </c>
      <c r="AJ1512" s="80">
        <f t="shared" si="3"/>
        <v>212</v>
      </c>
      <c r="AK1512" s="140">
        <v>0.0</v>
      </c>
      <c r="AL1512" s="109">
        <v>0.0</v>
      </c>
      <c r="AM1512" s="141">
        <v>49.0</v>
      </c>
      <c r="AN1512" s="80">
        <f t="shared" si="4"/>
        <v>49</v>
      </c>
      <c r="AO1512" s="140">
        <v>0.0</v>
      </c>
      <c r="AP1512" s="109">
        <v>0.0</v>
      </c>
      <c r="AQ1512" s="109">
        <v>237.0</v>
      </c>
      <c r="AR1512" s="80">
        <f t="shared" si="5"/>
        <v>237</v>
      </c>
      <c r="AS1512" s="110">
        <v>0.0</v>
      </c>
      <c r="AT1512" s="110">
        <v>0.0</v>
      </c>
      <c r="AU1512" s="110">
        <v>74.0</v>
      </c>
      <c r="AV1512" s="142">
        <v>0.0</v>
      </c>
      <c r="AW1512" s="80">
        <f t="shared" si="6"/>
        <v>74</v>
      </c>
      <c r="AX1512" s="113">
        <f t="shared" si="7"/>
        <v>572</v>
      </c>
      <c r="AY1512" s="117">
        <f t="shared" si="8"/>
        <v>212</v>
      </c>
      <c r="AZ1512" s="120">
        <f t="shared" si="9"/>
        <v>360</v>
      </c>
      <c r="BA1512" s="115">
        <v>0.0</v>
      </c>
      <c r="BB1512" s="89">
        <f t="shared" si="10"/>
        <v>572</v>
      </c>
      <c r="BC1512" s="132" t="s">
        <v>178</v>
      </c>
      <c r="BD1512" s="132" t="s">
        <v>178</v>
      </c>
      <c r="BE1512" s="132" t="s">
        <v>178</v>
      </c>
      <c r="BF1512" s="123"/>
      <c r="BG1512" s="83">
        <v>1102445.0</v>
      </c>
      <c r="BH1512" s="137" t="s">
        <v>8525</v>
      </c>
      <c r="BI1512" s="112">
        <v>12.0</v>
      </c>
      <c r="BJ1512" s="98" t="s">
        <v>155</v>
      </c>
      <c r="BK1512" s="99">
        <f t="shared" si="11"/>
        <v>212</v>
      </c>
      <c r="BL1512" s="99">
        <f t="shared" si="12"/>
        <v>0</v>
      </c>
      <c r="BM1512" s="99" t="str">
        <f>IFERROR(__xludf.DUMMYFUNCTION("IFERROR(VLOOKUP(BG1512,IMPORTRANGE(""https://docs.google.com/spreadsheets/d/1juPI-Fb8LD0YtltB2mlGEnp_R3UVu1t3wSFPzgCyHXE/edit?gid=0#gid=0"",""GERAL!A2:C""),3,0),""-"")"),"-")</f>
        <v>-</v>
      </c>
    </row>
    <row r="1513" ht="15.75" customHeight="1">
      <c r="A1513" s="111" t="s">
        <v>1785</v>
      </c>
      <c r="B1513" s="83" t="s">
        <v>1994</v>
      </c>
      <c r="C1513" s="83" t="s">
        <v>68</v>
      </c>
      <c r="D1513" s="112">
        <v>1102364.0</v>
      </c>
      <c r="E1513" s="83"/>
      <c r="F1513" s="83">
        <v>2.9188768E7</v>
      </c>
      <c r="G1513" s="114" t="s">
        <v>8526</v>
      </c>
      <c r="H1513" s="91" t="s">
        <v>8527</v>
      </c>
      <c r="I1513" s="83" t="s">
        <v>8417</v>
      </c>
      <c r="J1513" s="83" t="s">
        <v>150</v>
      </c>
      <c r="K1513" s="83" t="s">
        <v>151</v>
      </c>
      <c r="L1513" s="83" t="s">
        <v>152</v>
      </c>
      <c r="M1513" s="82" t="str">
        <f>IFERROR(__xludf.DUMMYFUNCTION("IFERROR(VLOOKUP(D1513,
IMPORTRANGE(""https://docs.google.com/spreadsheets/d/1MjHtlUikwobi2MaWJgy7tfLeBmhj1u-dRFRs_8GwSoA/edit#gid=0"",""Gestores Escolares!D7:J""),3,0),""VERIFICAR CÓD SEC"")"),"RITA DE CÁSSIA COELHO MEDEIROS")</f>
        <v>RITA DE CÁSSIA COELHO MEDEIROS</v>
      </c>
      <c r="N1513" s="82" t="str">
        <f>IFERROR(__xludf.DUMMYFUNCTION("IFERROR(VLOOKUP(D1513,
IMPORTRANGE(""https://docs.google.com/spreadsheets/d/1MjHtlUikwobi2MaWJgy7tfLeBmhj1u-dRFRs_8GwSoA/edit#gid=0"",""Gestores Escolares!D7:J""),4,0),""VERIFICAR CÓD SEC"")"),"(71) 9 8763-6929 /  99615-3689")</f>
        <v>(71) 9 8763-6929 /  99615-3689</v>
      </c>
      <c r="O1513" s="82" t="str">
        <f>IFERROR(__xludf.DUMMYFUNCTION("IFERROR(VLOOKUP(D1513,
IMPORTRANGE(""https://docs.google.com/spreadsheets/d/1MjHtlUikwobi2MaWJgy7tfLeBmhj1u-dRFRs_8GwSoA/edit#gid=0"",""Gestores Escolares!D7:J""),6,0),""VERIFICAR CÓD SEC"")"),"MARCOS APARECIDO BARBOSA DA SILVA")</f>
        <v>MARCOS APARECIDO BARBOSA DA SILVA</v>
      </c>
      <c r="P1513" s="82" t="str">
        <f>IFERROR(__xludf.DUMMYFUNCTION("IFERROR(VLOOKUP(D1513,
IMPORTRANGE(""https://docs.google.com/spreadsheets/d/1MjHtlUikwobi2MaWJgy7tfLeBmhj1u-dRFRs_8GwSoA/edit#gid=0"",""Gestores Escolares!D7:J""),7,0),""VERIFICAR CÓD SEC"")"),"(71) 9 8718-1866	")</f>
        <v>(71) 9 8718-1866	</v>
      </c>
      <c r="Q1513" s="82" t="str">
        <f>IFERROR(__xludf.DUMMYFUNCTION("IFERROR(VLOOKUP(D1513,
IMPORTRANGE(""https://docs.google.com/spreadsheets/d/1MjHtlUikwobi2MaWJgy7tfLeBmhj1u-dRFRs_8GwSoA/edit#gid=0"",""Gestores Escolares!D7:m""),9,0),""VERIFICAR CÓD SEC"")"),"")</f>
        <v/>
      </c>
      <c r="R1513" s="82" t="str">
        <f>IFERROR(__xludf.DUMMYFUNCTION("IFERROR(VLOOKUP(D1513,
IMPORTRANGE(""https://docs.google.com/spreadsheets/d/1MjHtlUikwobi2MaWJgy7tfLeBmhj1u-dRFRs_8GwSoA/edit#gid=0"",""Gestores Escolares!D7:m""),10,0),""VERIFICAR CÓD SEC"")"),"")</f>
        <v/>
      </c>
      <c r="S1513" s="82"/>
      <c r="T1513" s="138">
        <v>8.0</v>
      </c>
      <c r="U1513" s="217" t="s">
        <v>13925</v>
      </c>
      <c r="V1513" s="106">
        <v>0.0</v>
      </c>
      <c r="W1513" s="107">
        <v>0.0</v>
      </c>
      <c r="X1513" s="107">
        <v>0.0</v>
      </c>
      <c r="Y1513" s="107">
        <v>0.0</v>
      </c>
      <c r="Z1513" s="80">
        <f t="shared" si="1"/>
        <v>0</v>
      </c>
      <c r="AA1513" s="106">
        <v>248.0</v>
      </c>
      <c r="AB1513" s="107">
        <v>221.0</v>
      </c>
      <c r="AC1513" s="107">
        <v>0.0</v>
      </c>
      <c r="AD1513" s="107">
        <v>33.0</v>
      </c>
      <c r="AE1513" s="80">
        <f t="shared" si="2"/>
        <v>502</v>
      </c>
      <c r="AF1513" s="140">
        <v>0.0</v>
      </c>
      <c r="AG1513" s="109">
        <v>0.0</v>
      </c>
      <c r="AH1513" s="109">
        <v>0.0</v>
      </c>
      <c r="AI1513" s="141">
        <v>0.0</v>
      </c>
      <c r="AJ1513" s="80">
        <f t="shared" si="3"/>
        <v>0</v>
      </c>
      <c r="AK1513" s="140">
        <v>0.0</v>
      </c>
      <c r="AL1513" s="109">
        <v>0.0</v>
      </c>
      <c r="AM1513" s="141">
        <v>36.0</v>
      </c>
      <c r="AN1513" s="80">
        <f t="shared" si="4"/>
        <v>36</v>
      </c>
      <c r="AO1513" s="140">
        <v>0.0</v>
      </c>
      <c r="AP1513" s="109">
        <v>0.0</v>
      </c>
      <c r="AQ1513" s="109">
        <v>0.0</v>
      </c>
      <c r="AR1513" s="80">
        <f t="shared" si="5"/>
        <v>0</v>
      </c>
      <c r="AS1513" s="110">
        <v>0.0</v>
      </c>
      <c r="AT1513" s="110">
        <v>0.0</v>
      </c>
      <c r="AU1513" s="110">
        <v>0.0</v>
      </c>
      <c r="AV1513" s="142">
        <v>0.0</v>
      </c>
      <c r="AW1513" s="80">
        <f t="shared" si="6"/>
        <v>0</v>
      </c>
      <c r="AX1513" s="113">
        <f t="shared" si="7"/>
        <v>538</v>
      </c>
      <c r="AY1513" s="117">
        <f t="shared" si="8"/>
        <v>502</v>
      </c>
      <c r="AZ1513" s="120">
        <f t="shared" si="9"/>
        <v>36</v>
      </c>
      <c r="BA1513" s="115">
        <v>0.0</v>
      </c>
      <c r="BB1513" s="89">
        <f t="shared" si="10"/>
        <v>538</v>
      </c>
      <c r="BC1513" s="132" t="s">
        <v>178</v>
      </c>
      <c r="BD1513" s="132" t="s">
        <v>178</v>
      </c>
      <c r="BE1513" s="132" t="s">
        <v>178</v>
      </c>
      <c r="BF1513" s="123"/>
      <c r="BG1513" s="83">
        <v>1102364.0</v>
      </c>
      <c r="BH1513" s="137" t="s">
        <v>8528</v>
      </c>
      <c r="BI1513" s="112">
        <v>8.0</v>
      </c>
      <c r="BJ1513" s="98" t="s">
        <v>155</v>
      </c>
      <c r="BK1513" s="99">
        <f t="shared" si="11"/>
        <v>33</v>
      </c>
      <c r="BL1513" s="99">
        <f t="shared" si="12"/>
        <v>469</v>
      </c>
      <c r="BM1513" s="99" t="str">
        <f>IFERROR(__xludf.DUMMYFUNCTION("IFERROR(VLOOKUP(BG1513,IMPORTRANGE(""https://docs.google.com/spreadsheets/d/1juPI-Fb8LD0YtltB2mlGEnp_R3UVu1t3wSFPzgCyHXE/edit?gid=0#gid=0"",""GERAL!A2:C""),3,0),""-"")"),"-")</f>
        <v>-</v>
      </c>
    </row>
    <row r="1514" ht="15.75" customHeight="1">
      <c r="A1514" s="111" t="s">
        <v>1785</v>
      </c>
      <c r="B1514" s="83" t="s">
        <v>1994</v>
      </c>
      <c r="C1514" s="83" t="s">
        <v>68</v>
      </c>
      <c r="D1514" s="112">
        <v>1101988.0</v>
      </c>
      <c r="E1514" s="83"/>
      <c r="F1514" s="83">
        <v>2.9190991E7</v>
      </c>
      <c r="G1514" s="114" t="s">
        <v>8529</v>
      </c>
      <c r="H1514" s="91" t="s">
        <v>8530</v>
      </c>
      <c r="I1514" s="83" t="s">
        <v>426</v>
      </c>
      <c r="J1514" s="83" t="s">
        <v>150</v>
      </c>
      <c r="K1514" s="83" t="s">
        <v>151</v>
      </c>
      <c r="L1514" s="83" t="s">
        <v>76</v>
      </c>
      <c r="M1514" s="82" t="str">
        <f>IFERROR(__xludf.DUMMYFUNCTION("IFERROR(VLOOKUP(D1514,
IMPORTRANGE(""https://docs.google.com/spreadsheets/d/1MjHtlUikwobi2MaWJgy7tfLeBmhj1u-dRFRs_8GwSoA/edit#gid=0"",""Gestores Escolares!D7:J""),3,0),""VERIFICAR CÓD SEC"")"),"LAIZA COSTA LIMA")</f>
        <v>LAIZA COSTA LIMA</v>
      </c>
      <c r="N1514" s="82" t="str">
        <f>IFERROR(__xludf.DUMMYFUNCTION("IFERROR(VLOOKUP(D1514,
IMPORTRANGE(""https://docs.google.com/spreadsheets/d/1MjHtlUikwobi2MaWJgy7tfLeBmhj1u-dRFRs_8GwSoA/edit#gid=0"",""Gestores Escolares!D7:J""),4,0),""VERIFICAR CÓD SEC"")"),"(71) 9 9958-0110")</f>
        <v>(71) 9 9958-0110</v>
      </c>
      <c r="O1514" s="82" t="str">
        <f>IFERROR(__xludf.DUMMYFUNCTION("IFERROR(VLOOKUP(D1514,
IMPORTRANGE(""https://docs.google.com/spreadsheets/d/1MjHtlUikwobi2MaWJgy7tfLeBmhj1u-dRFRs_8GwSoA/edit#gid=0"",""Gestores Escolares!D7:J""),6,0),""VERIFICAR CÓD SEC"")"),"GIOVANI DAMICO")</f>
        <v>GIOVANI DAMICO</v>
      </c>
      <c r="P1514" s="82" t="str">
        <f>IFERROR(__xludf.DUMMYFUNCTION("IFERROR(VLOOKUP(D1514,
IMPORTRANGE(""https://docs.google.com/spreadsheets/d/1MjHtlUikwobi2MaWJgy7tfLeBmhj1u-dRFRs_8GwSoA/edit#gid=0"",""Gestores Escolares!D7:J""),7,0),""VERIFICAR CÓD SEC"")"),"")</f>
        <v/>
      </c>
      <c r="Q1514" s="82" t="str">
        <f>IFERROR(__xludf.DUMMYFUNCTION("IFERROR(VLOOKUP(D1514,
IMPORTRANGE(""https://docs.google.com/spreadsheets/d/1MjHtlUikwobi2MaWJgy7tfLeBmhj1u-dRFRs_8GwSoA/edit#gid=0"",""Gestores Escolares!D7:m""),9,0),""VERIFICAR CÓD SEC"")"),"")</f>
        <v/>
      </c>
      <c r="R1514" s="82" t="str">
        <f>IFERROR(__xludf.DUMMYFUNCTION("IFERROR(VLOOKUP(D1514,
IMPORTRANGE(""https://docs.google.com/spreadsheets/d/1MjHtlUikwobi2MaWJgy7tfLeBmhj1u-dRFRs_8GwSoA/edit#gid=0"",""Gestores Escolares!D7:m""),10,0),""VERIFICAR CÓD SEC"")"),"")</f>
        <v/>
      </c>
      <c r="S1514" s="82"/>
      <c r="T1514" s="138">
        <v>10.0</v>
      </c>
      <c r="U1514" s="139">
        <v>9.0</v>
      </c>
      <c r="V1514" s="106">
        <v>0.0</v>
      </c>
      <c r="W1514" s="107">
        <v>0.0</v>
      </c>
      <c r="X1514" s="107">
        <v>0.0</v>
      </c>
      <c r="Y1514" s="107">
        <v>0.0</v>
      </c>
      <c r="Z1514" s="80">
        <f t="shared" si="1"/>
        <v>0</v>
      </c>
      <c r="AA1514" s="106">
        <v>66.0</v>
      </c>
      <c r="AB1514" s="107">
        <v>134.0</v>
      </c>
      <c r="AC1514" s="107">
        <v>0.0</v>
      </c>
      <c r="AD1514" s="107">
        <v>0.0</v>
      </c>
      <c r="AE1514" s="80">
        <f t="shared" si="2"/>
        <v>200</v>
      </c>
      <c r="AF1514" s="140">
        <v>182.0</v>
      </c>
      <c r="AG1514" s="109">
        <v>0.0</v>
      </c>
      <c r="AH1514" s="109">
        <v>0.0</v>
      </c>
      <c r="AI1514" s="141">
        <v>0.0</v>
      </c>
      <c r="AJ1514" s="80">
        <f t="shared" si="3"/>
        <v>182</v>
      </c>
      <c r="AK1514" s="140">
        <v>0.0</v>
      </c>
      <c r="AL1514" s="109">
        <v>0.0</v>
      </c>
      <c r="AM1514" s="141">
        <v>0.0</v>
      </c>
      <c r="AN1514" s="80">
        <f t="shared" si="4"/>
        <v>0</v>
      </c>
      <c r="AO1514" s="140">
        <v>0.0</v>
      </c>
      <c r="AP1514" s="109">
        <v>0.0</v>
      </c>
      <c r="AQ1514" s="109">
        <v>55.0</v>
      </c>
      <c r="AR1514" s="80">
        <f t="shared" si="5"/>
        <v>55</v>
      </c>
      <c r="AS1514" s="110">
        <v>0.0</v>
      </c>
      <c r="AT1514" s="110">
        <v>0.0</v>
      </c>
      <c r="AU1514" s="110">
        <v>0.0</v>
      </c>
      <c r="AV1514" s="142">
        <v>0.0</v>
      </c>
      <c r="AW1514" s="80">
        <f t="shared" si="6"/>
        <v>0</v>
      </c>
      <c r="AX1514" s="113">
        <f t="shared" si="7"/>
        <v>437</v>
      </c>
      <c r="AY1514" s="117">
        <f t="shared" si="8"/>
        <v>382</v>
      </c>
      <c r="AZ1514" s="120">
        <f t="shared" si="9"/>
        <v>55</v>
      </c>
      <c r="BA1514" s="115">
        <v>0.0</v>
      </c>
      <c r="BB1514" s="89">
        <f t="shared" si="10"/>
        <v>437</v>
      </c>
      <c r="BC1514" s="132" t="s">
        <v>178</v>
      </c>
      <c r="BD1514" s="132" t="s">
        <v>178</v>
      </c>
      <c r="BE1514" s="132" t="s">
        <v>178</v>
      </c>
      <c r="BF1514" s="123"/>
      <c r="BG1514" s="83">
        <v>1101988.0</v>
      </c>
      <c r="BH1514" s="137" t="s">
        <v>8532</v>
      </c>
      <c r="BI1514" s="112">
        <v>9.0</v>
      </c>
      <c r="BJ1514" s="98" t="s">
        <v>155</v>
      </c>
      <c r="BK1514" s="99">
        <f t="shared" si="11"/>
        <v>0</v>
      </c>
      <c r="BL1514" s="99">
        <f t="shared" si="12"/>
        <v>382</v>
      </c>
      <c r="BM1514" s="99" t="str">
        <f>IFERROR(__xludf.DUMMYFUNCTION("IFERROR(VLOOKUP(BG1514,IMPORTRANGE(""https://docs.google.com/spreadsheets/d/1juPI-Fb8LD0YtltB2mlGEnp_R3UVu1t3wSFPzgCyHXE/edit?gid=0#gid=0"",""GERAL!A2:C""),3,0),""-"")"),"-")</f>
        <v>-</v>
      </c>
    </row>
    <row r="1515" ht="15.75" customHeight="1">
      <c r="A1515" s="111" t="s">
        <v>1785</v>
      </c>
      <c r="B1515" s="83" t="s">
        <v>1994</v>
      </c>
      <c r="C1515" s="83" t="s">
        <v>68</v>
      </c>
      <c r="D1515" s="112">
        <v>1101953.0</v>
      </c>
      <c r="E1515" s="83"/>
      <c r="F1515" s="83">
        <v>2.9193095E7</v>
      </c>
      <c r="G1515" s="119" t="s">
        <v>8539</v>
      </c>
      <c r="H1515" s="91" t="s">
        <v>8540</v>
      </c>
      <c r="I1515" s="83" t="s">
        <v>8502</v>
      </c>
      <c r="J1515" s="83" t="s">
        <v>150</v>
      </c>
      <c r="K1515" s="83" t="s">
        <v>151</v>
      </c>
      <c r="L1515" s="83" t="s">
        <v>76</v>
      </c>
      <c r="M1515" s="82" t="str">
        <f>IFERROR(__xludf.DUMMYFUNCTION("IFERROR(VLOOKUP(D1515,
IMPORTRANGE(""https://docs.google.com/spreadsheets/d/1MjHtlUikwobi2MaWJgy7tfLeBmhj1u-dRFRs_8GwSoA/edit#gid=0"",""Gestores Escolares!D7:J""),3,0),""VERIFICAR CÓD SEC"")"),"ROSILANE MARIA GOMES DE JESUS")</f>
        <v>ROSILANE MARIA GOMES DE JESUS</v>
      </c>
      <c r="N1515" s="82" t="str">
        <f>IFERROR(__xludf.DUMMYFUNCTION("IFERROR(VLOOKUP(D1515,
IMPORTRANGE(""https://docs.google.com/spreadsheets/d/1MjHtlUikwobi2MaWJgy7tfLeBmhj1u-dRFRs_8GwSoA/edit#gid=0"",""Gestores Escolares!D7:J""),4,0),""VERIFICAR CÓD SEC"")"),"(71) 9 9928-6209")</f>
        <v>(71) 9 9928-6209</v>
      </c>
      <c r="O1515" s="82" t="str">
        <f>IFERROR(__xludf.DUMMYFUNCTION("IFERROR(VLOOKUP(D1515,
IMPORTRANGE(""https://docs.google.com/spreadsheets/d/1MjHtlUikwobi2MaWJgy7tfLeBmhj1u-dRFRs_8GwSoA/edit#gid=0"",""Gestores Escolares!D7:J""),6,0),""VERIFICAR CÓD SEC"")"),"MARIO SERGIO DE FREITAS ARAGÃO")</f>
        <v>MARIO SERGIO DE FREITAS ARAGÃO</v>
      </c>
      <c r="P1515" s="82" t="str">
        <f>IFERROR(__xludf.DUMMYFUNCTION("IFERROR(VLOOKUP(D1515,
IMPORTRANGE(""https://docs.google.com/spreadsheets/d/1MjHtlUikwobi2MaWJgy7tfLeBmhj1u-dRFRs_8GwSoA/edit#gid=0"",""Gestores Escolares!D7:J""),7,0),""VERIFICAR CÓD SEC"")"),"(71) 9 9121-1032/ 
9 9978-0584")</f>
        <v>(71) 9 9121-1032/ 
9 9978-0584</v>
      </c>
      <c r="Q1515" s="82" t="str">
        <f>IFERROR(__xludf.DUMMYFUNCTION("IFERROR(VLOOKUP(D1515,
IMPORTRANGE(""https://docs.google.com/spreadsheets/d/1MjHtlUikwobi2MaWJgy7tfLeBmhj1u-dRFRs_8GwSoA/edit#gid=0"",""Gestores Escolares!D7:m""),9,0),""VERIFICAR CÓD SEC"")"),"")</f>
        <v/>
      </c>
      <c r="R1515" s="82" t="str">
        <f>IFERROR(__xludf.DUMMYFUNCTION("IFERROR(VLOOKUP(D1515,
IMPORTRANGE(""https://docs.google.com/spreadsheets/d/1MjHtlUikwobi2MaWJgy7tfLeBmhj1u-dRFRs_8GwSoA/edit#gid=0"",""Gestores Escolares!D7:m""),10,0),""VERIFICAR CÓD SEC"")"),"")</f>
        <v/>
      </c>
      <c r="S1515" s="82"/>
      <c r="T1515" s="138">
        <v>9.0</v>
      </c>
      <c r="U1515" s="152">
        <v>9.0</v>
      </c>
      <c r="V1515" s="106">
        <v>0.0</v>
      </c>
      <c r="W1515" s="107">
        <v>0.0</v>
      </c>
      <c r="X1515" s="107">
        <v>0.0</v>
      </c>
      <c r="Y1515" s="107">
        <v>0.0</v>
      </c>
      <c r="Z1515" s="80">
        <f t="shared" si="1"/>
        <v>0</v>
      </c>
      <c r="AA1515" s="106">
        <v>127.0</v>
      </c>
      <c r="AB1515" s="107">
        <v>148.0</v>
      </c>
      <c r="AC1515" s="107">
        <v>0.0</v>
      </c>
      <c r="AD1515" s="107">
        <v>0.0</v>
      </c>
      <c r="AE1515" s="80">
        <f t="shared" si="2"/>
        <v>275</v>
      </c>
      <c r="AF1515" s="140">
        <v>98.0</v>
      </c>
      <c r="AG1515" s="109">
        <v>70.0</v>
      </c>
      <c r="AH1515" s="109">
        <v>0.0</v>
      </c>
      <c r="AI1515" s="141">
        <v>0.0</v>
      </c>
      <c r="AJ1515" s="80">
        <f t="shared" si="3"/>
        <v>168</v>
      </c>
      <c r="AK1515" s="140">
        <v>0.0</v>
      </c>
      <c r="AL1515" s="109">
        <v>0.0</v>
      </c>
      <c r="AM1515" s="141">
        <v>0.0</v>
      </c>
      <c r="AN1515" s="80">
        <f t="shared" si="4"/>
        <v>0</v>
      </c>
      <c r="AO1515" s="140">
        <v>0.0</v>
      </c>
      <c r="AP1515" s="109">
        <v>0.0</v>
      </c>
      <c r="AQ1515" s="109">
        <v>37.0</v>
      </c>
      <c r="AR1515" s="80">
        <f t="shared" si="5"/>
        <v>37</v>
      </c>
      <c r="AS1515" s="110">
        <v>0.0</v>
      </c>
      <c r="AT1515" s="110">
        <v>0.0</v>
      </c>
      <c r="AU1515" s="110">
        <v>0.0</v>
      </c>
      <c r="AV1515" s="142">
        <v>0.0</v>
      </c>
      <c r="AW1515" s="80">
        <f t="shared" si="6"/>
        <v>0</v>
      </c>
      <c r="AX1515" s="113">
        <f t="shared" si="7"/>
        <v>480</v>
      </c>
      <c r="AY1515" s="117">
        <f t="shared" si="8"/>
        <v>443</v>
      </c>
      <c r="AZ1515" s="120">
        <f t="shared" si="9"/>
        <v>37</v>
      </c>
      <c r="BA1515" s="115">
        <v>0.0</v>
      </c>
      <c r="BB1515" s="89">
        <f t="shared" si="10"/>
        <v>480</v>
      </c>
      <c r="BC1515" s="132" t="s">
        <v>178</v>
      </c>
      <c r="BD1515" s="132" t="s">
        <v>178</v>
      </c>
      <c r="BE1515" s="132" t="s">
        <v>178</v>
      </c>
      <c r="BF1515" s="123"/>
      <c r="BG1515" s="83">
        <v>1101953.0</v>
      </c>
      <c r="BH1515" s="137" t="s">
        <v>8541</v>
      </c>
      <c r="BI1515" s="112">
        <v>9.0</v>
      </c>
      <c r="BJ1515" s="98" t="s">
        <v>155</v>
      </c>
      <c r="BK1515" s="99">
        <f t="shared" si="11"/>
        <v>0</v>
      </c>
      <c r="BL1515" s="99">
        <f t="shared" si="12"/>
        <v>443</v>
      </c>
      <c r="BM1515" s="99" t="str">
        <f>IFERROR(__xludf.DUMMYFUNCTION("IFERROR(VLOOKUP(BG1515,IMPORTRANGE(""https://docs.google.com/spreadsheets/d/1juPI-Fb8LD0YtltB2mlGEnp_R3UVu1t3wSFPzgCyHXE/edit?gid=0#gid=0"",""GERAL!A2:C""),3,0),""-"")"),"-")</f>
        <v>-</v>
      </c>
    </row>
    <row r="1516" ht="15.75" customHeight="1">
      <c r="A1516" s="111" t="s">
        <v>1785</v>
      </c>
      <c r="B1516" s="83" t="s">
        <v>1994</v>
      </c>
      <c r="C1516" s="83" t="s">
        <v>68</v>
      </c>
      <c r="D1516" s="112">
        <v>1104413.0</v>
      </c>
      <c r="E1516" s="83"/>
      <c r="F1516" s="83">
        <v>2.919279E7</v>
      </c>
      <c r="G1516" s="119" t="s">
        <v>8543</v>
      </c>
      <c r="H1516" s="91" t="s">
        <v>8544</v>
      </c>
      <c r="I1516" s="83" t="s">
        <v>8545</v>
      </c>
      <c r="J1516" s="83" t="s">
        <v>150</v>
      </c>
      <c r="K1516" s="83" t="s">
        <v>151</v>
      </c>
      <c r="L1516" s="83" t="s">
        <v>152</v>
      </c>
      <c r="M1516" s="82" t="str">
        <f>IFERROR(__xludf.DUMMYFUNCTION("IFERROR(VLOOKUP(D1516,
IMPORTRANGE(""https://docs.google.com/spreadsheets/d/1MjHtlUikwobi2MaWJgy7tfLeBmhj1u-dRFRs_8GwSoA/edit#gid=0"",""Gestores Escolares!D7:J""),3,0),""VERIFICAR CÓD SEC"")"),"MERCIA MARIA DE SOUZA SANTOS")</f>
        <v>MERCIA MARIA DE SOUZA SANTOS</v>
      </c>
      <c r="N1516" s="82" t="str">
        <f>IFERROR(__xludf.DUMMYFUNCTION("IFERROR(VLOOKUP(D1516,
IMPORTRANGE(""https://docs.google.com/spreadsheets/d/1MjHtlUikwobi2MaWJgy7tfLeBmhj1u-dRFRs_8GwSoA/edit#gid=0"",""Gestores Escolares!D7:J""),4,0),""VERIFICAR CÓD SEC"")"),"(71) 9 9104-2262")</f>
        <v>(71) 9 9104-2262</v>
      </c>
      <c r="O1516" s="82" t="str">
        <f>IFERROR(__xludf.DUMMYFUNCTION("IFERROR(VLOOKUP(D1516,
IMPORTRANGE(""https://docs.google.com/spreadsheets/d/1MjHtlUikwobi2MaWJgy7tfLeBmhj1u-dRFRs_8GwSoA/edit#gid=0"",""Gestores Escolares!D7:J""),6,0),""VERIFICAR CÓD SEC"")"),"JAIME ANTONIO TEIXEIRA OLIVEIRA")</f>
        <v>JAIME ANTONIO TEIXEIRA OLIVEIRA</v>
      </c>
      <c r="P1516" s="82" t="str">
        <f>IFERROR(__xludf.DUMMYFUNCTION("IFERROR(VLOOKUP(D1516,
IMPORTRANGE(""https://docs.google.com/spreadsheets/d/1MjHtlUikwobi2MaWJgy7tfLeBmhj1u-dRFRs_8GwSoA/edit#gid=0"",""Gestores Escolares!D7:J""),7,0),""VERIFICAR CÓD SEC"")"),"(71) 9 9109-4937")</f>
        <v>(71) 9 9109-4937</v>
      </c>
      <c r="Q1516" s="82" t="str">
        <f>IFERROR(__xludf.DUMMYFUNCTION("IFERROR(VLOOKUP(D1516,
IMPORTRANGE(""https://docs.google.com/spreadsheets/d/1MjHtlUikwobi2MaWJgy7tfLeBmhj1u-dRFRs_8GwSoA/edit#gid=0"",""Gestores Escolares!D7:m""),9,0),""VERIFICAR CÓD SEC"")"),"")</f>
        <v/>
      </c>
      <c r="R1516" s="82" t="str">
        <f>IFERROR(__xludf.DUMMYFUNCTION("IFERROR(VLOOKUP(D1516,
IMPORTRANGE(""https://docs.google.com/spreadsheets/d/1MjHtlUikwobi2MaWJgy7tfLeBmhj1u-dRFRs_8GwSoA/edit#gid=0"",""Gestores Escolares!D7:m""),10,0),""VERIFICAR CÓD SEC"")"),"")</f>
        <v/>
      </c>
      <c r="S1516" s="82"/>
      <c r="T1516" s="138">
        <v>14.0</v>
      </c>
      <c r="U1516" s="152">
        <v>14.0</v>
      </c>
      <c r="V1516" s="106">
        <v>0.0</v>
      </c>
      <c r="W1516" s="107">
        <v>0.0</v>
      </c>
      <c r="X1516" s="107">
        <v>0.0</v>
      </c>
      <c r="Y1516" s="107">
        <v>0.0</v>
      </c>
      <c r="Z1516" s="80">
        <f t="shared" si="1"/>
        <v>0</v>
      </c>
      <c r="AA1516" s="106">
        <v>28.0</v>
      </c>
      <c r="AB1516" s="107">
        <v>0.0</v>
      </c>
      <c r="AC1516" s="107">
        <v>0.0</v>
      </c>
      <c r="AD1516" s="107">
        <v>145.0</v>
      </c>
      <c r="AE1516" s="80">
        <f t="shared" si="2"/>
        <v>173</v>
      </c>
      <c r="AF1516" s="140">
        <v>171.0</v>
      </c>
      <c r="AG1516" s="109">
        <v>0.0</v>
      </c>
      <c r="AH1516" s="109">
        <v>0.0</v>
      </c>
      <c r="AI1516" s="141">
        <v>0.0</v>
      </c>
      <c r="AJ1516" s="80">
        <f t="shared" si="3"/>
        <v>171</v>
      </c>
      <c r="AK1516" s="140">
        <v>0.0</v>
      </c>
      <c r="AL1516" s="109">
        <v>0.0</v>
      </c>
      <c r="AM1516" s="141">
        <v>0.0</v>
      </c>
      <c r="AN1516" s="80">
        <f t="shared" si="4"/>
        <v>0</v>
      </c>
      <c r="AO1516" s="140">
        <v>0.0</v>
      </c>
      <c r="AP1516" s="109">
        <v>0.0</v>
      </c>
      <c r="AQ1516" s="109">
        <v>95.0</v>
      </c>
      <c r="AR1516" s="80">
        <f t="shared" si="5"/>
        <v>95</v>
      </c>
      <c r="AS1516" s="110">
        <v>21.0</v>
      </c>
      <c r="AT1516" s="110">
        <v>0.0</v>
      </c>
      <c r="AU1516" s="110">
        <v>13.0</v>
      </c>
      <c r="AV1516" s="142">
        <v>0.0</v>
      </c>
      <c r="AW1516" s="80">
        <f t="shared" si="6"/>
        <v>34</v>
      </c>
      <c r="AX1516" s="113">
        <f t="shared" si="7"/>
        <v>473</v>
      </c>
      <c r="AY1516" s="117">
        <f t="shared" si="8"/>
        <v>365</v>
      </c>
      <c r="AZ1516" s="120">
        <f t="shared" si="9"/>
        <v>108</v>
      </c>
      <c r="BA1516" s="115">
        <v>0.0</v>
      </c>
      <c r="BB1516" s="89">
        <f t="shared" si="10"/>
        <v>473</v>
      </c>
      <c r="BC1516" s="132" t="s">
        <v>178</v>
      </c>
      <c r="BD1516" s="132" t="s">
        <v>178</v>
      </c>
      <c r="BE1516" s="132" t="s">
        <v>178</v>
      </c>
      <c r="BF1516" s="123"/>
      <c r="BG1516" s="83">
        <v>1104413.0</v>
      </c>
      <c r="BH1516" s="137" t="s">
        <v>8546</v>
      </c>
      <c r="BI1516" s="112">
        <v>14.0</v>
      </c>
      <c r="BJ1516" s="98" t="s">
        <v>155</v>
      </c>
      <c r="BK1516" s="99">
        <f t="shared" si="11"/>
        <v>145</v>
      </c>
      <c r="BL1516" s="99">
        <f t="shared" si="12"/>
        <v>220</v>
      </c>
      <c r="BM1516" s="99" t="str">
        <f>IFERROR(__xludf.DUMMYFUNCTION("IFERROR(VLOOKUP(BG1516,IMPORTRANGE(""https://docs.google.com/spreadsheets/d/1juPI-Fb8LD0YtltB2mlGEnp_R3UVu1t3wSFPzgCyHXE/edit?gid=0#gid=0"",""GERAL!A2:C""),3,0),""-"")"),"-")</f>
        <v>-</v>
      </c>
    </row>
    <row r="1517" ht="15.75" customHeight="1">
      <c r="A1517" s="111" t="s">
        <v>1785</v>
      </c>
      <c r="B1517" s="83" t="s">
        <v>1994</v>
      </c>
      <c r="C1517" s="83" t="s">
        <v>68</v>
      </c>
      <c r="D1517" s="112">
        <v>1103220.0</v>
      </c>
      <c r="E1517" s="83"/>
      <c r="F1517" s="83">
        <v>2.9182042E7</v>
      </c>
      <c r="G1517" s="114" t="s">
        <v>8551</v>
      </c>
      <c r="H1517" s="91" t="s">
        <v>8552</v>
      </c>
      <c r="I1517" s="83" t="s">
        <v>8553</v>
      </c>
      <c r="J1517" s="83" t="s">
        <v>150</v>
      </c>
      <c r="K1517" s="83" t="s">
        <v>151</v>
      </c>
      <c r="L1517" s="83" t="s">
        <v>152</v>
      </c>
      <c r="M1517" s="82" t="str">
        <f>IFERROR(__xludf.DUMMYFUNCTION("IFERROR(VLOOKUP(D1517,
IMPORTRANGE(""https://docs.google.com/spreadsheets/d/1MjHtlUikwobi2MaWJgy7tfLeBmhj1u-dRFRs_8GwSoA/edit#gid=0"",""Gestores Escolares!D7:J""),3,0),""VERIFICAR CÓD SEC"")"),"TATIANE COELHO DOS SANTOS")</f>
        <v>TATIANE COELHO DOS SANTOS</v>
      </c>
      <c r="N1517" s="82" t="str">
        <f>IFERROR(__xludf.DUMMYFUNCTION("IFERROR(VLOOKUP(D1517,
IMPORTRANGE(""https://docs.google.com/spreadsheets/d/1MjHtlUikwobi2MaWJgy7tfLeBmhj1u-dRFRs_8GwSoA/edit#gid=0"",""Gestores Escolares!D7:J""),4,0),""VERIFICAR CÓD SEC"")"),"(71) 9 9681-3656")</f>
        <v>(71) 9 9681-3656</v>
      </c>
      <c r="O1517" s="82" t="str">
        <f>IFERROR(__xludf.DUMMYFUNCTION("IFERROR(VLOOKUP(D1517,
IMPORTRANGE(""https://docs.google.com/spreadsheets/d/1MjHtlUikwobi2MaWJgy7tfLeBmhj1u-dRFRs_8GwSoA/edit#gid=0"",""Gestores Escolares!D7:J""),6,0),""VERIFICAR CÓD SEC"")"),"MARIA FERNANDA ALVES DE CERQUEIRA")</f>
        <v>MARIA FERNANDA ALVES DE CERQUEIRA</v>
      </c>
      <c r="P1517" s="82" t="str">
        <f>IFERROR(__xludf.DUMMYFUNCTION("IFERROR(VLOOKUP(D1517,
IMPORTRANGE(""https://docs.google.com/spreadsheets/d/1MjHtlUikwobi2MaWJgy7tfLeBmhj1u-dRFRs_8GwSoA/edit#gid=0"",""Gestores Escolares!D7:J""),7,0),""VERIFICAR CÓD SEC"")"),"(71) 9 8794-1315")</f>
        <v>(71) 9 8794-1315</v>
      </c>
      <c r="Q1517" s="82" t="str">
        <f>IFERROR(__xludf.DUMMYFUNCTION("IFERROR(VLOOKUP(D1517,
IMPORTRANGE(""https://docs.google.com/spreadsheets/d/1MjHtlUikwobi2MaWJgy7tfLeBmhj1u-dRFRs_8GwSoA/edit#gid=0"",""Gestores Escolares!D7:m""),9,0),""VERIFICAR CÓD SEC"")"),"MARCIO CARVALHO ALONSO")</f>
        <v>MARCIO CARVALHO ALONSO</v>
      </c>
      <c r="R1517" s="82" t="str">
        <f>IFERROR(__xludf.DUMMYFUNCTION("IFERROR(VLOOKUP(D1517,
IMPORTRANGE(""https://docs.google.com/spreadsheets/d/1MjHtlUikwobi2MaWJgy7tfLeBmhj1u-dRFRs_8GwSoA/edit#gid=0"",""Gestores Escolares!D7:m""),10,0),""VERIFICAR CÓD SEC"")"),"(71) 9 8722-0615")</f>
        <v>(71) 9 8722-0615</v>
      </c>
      <c r="S1517" s="82"/>
      <c r="T1517" s="138">
        <v>11.0</v>
      </c>
      <c r="U1517" s="152">
        <v>11.0</v>
      </c>
      <c r="V1517" s="106">
        <v>0.0</v>
      </c>
      <c r="W1517" s="107">
        <v>0.0</v>
      </c>
      <c r="X1517" s="107">
        <v>0.0</v>
      </c>
      <c r="Y1517" s="107">
        <v>0.0</v>
      </c>
      <c r="Z1517" s="80">
        <f t="shared" si="1"/>
        <v>0</v>
      </c>
      <c r="AA1517" s="106">
        <v>0.0</v>
      </c>
      <c r="AB1517" s="107">
        <v>0.0</v>
      </c>
      <c r="AC1517" s="107">
        <v>0.0</v>
      </c>
      <c r="AD1517" s="107">
        <v>164.0</v>
      </c>
      <c r="AE1517" s="80">
        <f t="shared" si="2"/>
        <v>164</v>
      </c>
      <c r="AF1517" s="140">
        <v>0.0</v>
      </c>
      <c r="AG1517" s="109">
        <v>0.0</v>
      </c>
      <c r="AH1517" s="109">
        <v>0.0</v>
      </c>
      <c r="AI1517" s="141">
        <v>84.0</v>
      </c>
      <c r="AJ1517" s="80">
        <f t="shared" si="3"/>
        <v>84</v>
      </c>
      <c r="AK1517" s="140">
        <v>0.0</v>
      </c>
      <c r="AL1517" s="109">
        <v>0.0</v>
      </c>
      <c r="AM1517" s="141">
        <v>0.0</v>
      </c>
      <c r="AN1517" s="80">
        <f t="shared" si="4"/>
        <v>0</v>
      </c>
      <c r="AO1517" s="140">
        <v>0.0</v>
      </c>
      <c r="AP1517" s="109">
        <v>0.0</v>
      </c>
      <c r="AQ1517" s="109">
        <v>44.0</v>
      </c>
      <c r="AR1517" s="80">
        <f t="shared" si="5"/>
        <v>44</v>
      </c>
      <c r="AS1517" s="110">
        <v>0.0</v>
      </c>
      <c r="AT1517" s="110">
        <v>0.0</v>
      </c>
      <c r="AU1517" s="110">
        <v>0.0</v>
      </c>
      <c r="AV1517" s="142">
        <v>0.0</v>
      </c>
      <c r="AW1517" s="80">
        <f t="shared" si="6"/>
        <v>0</v>
      </c>
      <c r="AX1517" s="113">
        <f t="shared" si="7"/>
        <v>292</v>
      </c>
      <c r="AY1517" s="117">
        <f t="shared" si="8"/>
        <v>248</v>
      </c>
      <c r="AZ1517" s="120">
        <f t="shared" si="9"/>
        <v>44</v>
      </c>
      <c r="BA1517" s="115">
        <v>0.0</v>
      </c>
      <c r="BB1517" s="89">
        <f t="shared" si="10"/>
        <v>292</v>
      </c>
      <c r="BC1517" s="132" t="s">
        <v>178</v>
      </c>
      <c r="BD1517" s="132" t="s">
        <v>178</v>
      </c>
      <c r="BE1517" s="132" t="s">
        <v>178</v>
      </c>
      <c r="BF1517" s="123"/>
      <c r="BG1517" s="83">
        <v>1103220.0</v>
      </c>
      <c r="BH1517" s="137" t="s">
        <v>8554</v>
      </c>
      <c r="BI1517" s="112">
        <v>11.0</v>
      </c>
      <c r="BJ1517" s="98" t="s">
        <v>155</v>
      </c>
      <c r="BK1517" s="99">
        <f t="shared" si="11"/>
        <v>248</v>
      </c>
      <c r="BL1517" s="99">
        <f t="shared" si="12"/>
        <v>0</v>
      </c>
      <c r="BM1517" s="99" t="str">
        <f>IFERROR(__xludf.DUMMYFUNCTION("IFERROR(VLOOKUP(BG1517,IMPORTRANGE(""https://docs.google.com/spreadsheets/d/1juPI-Fb8LD0YtltB2mlGEnp_R3UVu1t3wSFPzgCyHXE/edit?gid=0#gid=0"",""GERAL!A2:C""),3,0),""-"")"),"-")</f>
        <v>-</v>
      </c>
    </row>
    <row r="1518" ht="15.75" customHeight="1">
      <c r="A1518" s="111" t="s">
        <v>1785</v>
      </c>
      <c r="B1518" s="83" t="s">
        <v>1994</v>
      </c>
      <c r="C1518" s="83" t="s">
        <v>68</v>
      </c>
      <c r="D1518" s="112">
        <v>1136498.0</v>
      </c>
      <c r="E1518" s="83"/>
      <c r="F1518" s="83">
        <v>2.9190967E7</v>
      </c>
      <c r="G1518" s="119" t="s">
        <v>8558</v>
      </c>
      <c r="H1518" s="91" t="s">
        <v>8560</v>
      </c>
      <c r="I1518" s="83" t="s">
        <v>8561</v>
      </c>
      <c r="J1518" s="83" t="s">
        <v>150</v>
      </c>
      <c r="K1518" s="83" t="s">
        <v>151</v>
      </c>
      <c r="L1518" s="83" t="s">
        <v>152</v>
      </c>
      <c r="M1518" s="82" t="str">
        <f>IFERROR(__xludf.DUMMYFUNCTION("IFERROR(VLOOKUP(D1518,
IMPORTRANGE(""https://docs.google.com/spreadsheets/d/1MjHtlUikwobi2MaWJgy7tfLeBmhj1u-dRFRs_8GwSoA/edit#gid=0"",""Gestores Escolares!D7:J""),3,0),""VERIFICAR CÓD SEC"")"),"JOSE ALBERTO DE JESUS")</f>
        <v>JOSE ALBERTO DE JESUS</v>
      </c>
      <c r="N1518" s="82" t="str">
        <f>IFERROR(__xludf.DUMMYFUNCTION("IFERROR(VLOOKUP(D1518,
IMPORTRANGE(""https://docs.google.com/spreadsheets/d/1MjHtlUikwobi2MaWJgy7tfLeBmhj1u-dRFRs_8GwSoA/edit#gid=0"",""Gestores Escolares!D7:J""),4,0),""VERIFICAR CÓD SEC"")"),"(71) 9 9113-0500")</f>
        <v>(71) 9 9113-0500</v>
      </c>
      <c r="O1518" s="82" t="str">
        <f>IFERROR(__xludf.DUMMYFUNCTION("IFERROR(VLOOKUP(D1518,
IMPORTRANGE(""https://docs.google.com/spreadsheets/d/1MjHtlUikwobi2MaWJgy7tfLeBmhj1u-dRFRs_8GwSoA/edit#gid=0"",""Gestores Escolares!D7:J""),6,0),""VERIFICAR CÓD SEC"")"),"ELLEM LARA CARNEIRO")</f>
        <v>ELLEM LARA CARNEIRO</v>
      </c>
      <c r="P1518" s="82" t="str">
        <f>IFERROR(__xludf.DUMMYFUNCTION("IFERROR(VLOOKUP(D1518,
IMPORTRANGE(""https://docs.google.com/spreadsheets/d/1MjHtlUikwobi2MaWJgy7tfLeBmhj1u-dRFRs_8GwSoA/edit#gid=0"",""Gestores Escolares!D7:J""),7,0),""VERIFICAR CÓD SEC"")"),"(71) 9 8616-2221")</f>
        <v>(71) 9 8616-2221</v>
      </c>
      <c r="Q1518" s="82" t="str">
        <f>IFERROR(__xludf.DUMMYFUNCTION("IFERROR(VLOOKUP(D1518,
IMPORTRANGE(""https://docs.google.com/spreadsheets/d/1MjHtlUikwobi2MaWJgy7tfLeBmhj1u-dRFRs_8GwSoA/edit#gid=0"",""Gestores Escolares!D7:m""),9,0),""VERIFICAR CÓD SEC"")"),"")</f>
        <v/>
      </c>
      <c r="R1518" s="82" t="str">
        <f>IFERROR(__xludf.DUMMYFUNCTION("IFERROR(VLOOKUP(D1518,
IMPORTRANGE(""https://docs.google.com/spreadsheets/d/1MjHtlUikwobi2MaWJgy7tfLeBmhj1u-dRFRs_8GwSoA/edit#gid=0"",""Gestores Escolares!D7:m""),10,0),""VERIFICAR CÓD SEC"")"),"")</f>
        <v/>
      </c>
      <c r="S1518" s="82"/>
      <c r="T1518" s="138">
        <v>15.0</v>
      </c>
      <c r="U1518" s="152">
        <v>17.0</v>
      </c>
      <c r="V1518" s="106">
        <v>0.0</v>
      </c>
      <c r="W1518" s="107">
        <v>0.0</v>
      </c>
      <c r="X1518" s="107">
        <v>0.0</v>
      </c>
      <c r="Y1518" s="107">
        <v>0.0</v>
      </c>
      <c r="Z1518" s="80">
        <f t="shared" si="1"/>
        <v>0</v>
      </c>
      <c r="AA1518" s="106">
        <v>195.0</v>
      </c>
      <c r="AB1518" s="107">
        <v>106.0</v>
      </c>
      <c r="AC1518" s="107">
        <v>0.0</v>
      </c>
      <c r="AD1518" s="107">
        <v>196.0</v>
      </c>
      <c r="AE1518" s="80">
        <f t="shared" si="2"/>
        <v>497</v>
      </c>
      <c r="AF1518" s="140">
        <v>0.0</v>
      </c>
      <c r="AG1518" s="109">
        <v>0.0</v>
      </c>
      <c r="AH1518" s="109">
        <v>0.0</v>
      </c>
      <c r="AI1518" s="141">
        <v>0.0</v>
      </c>
      <c r="AJ1518" s="80">
        <f t="shared" si="3"/>
        <v>0</v>
      </c>
      <c r="AK1518" s="140">
        <v>0.0</v>
      </c>
      <c r="AL1518" s="109">
        <v>0.0</v>
      </c>
      <c r="AM1518" s="141">
        <v>0.0</v>
      </c>
      <c r="AN1518" s="80">
        <f t="shared" si="4"/>
        <v>0</v>
      </c>
      <c r="AO1518" s="140">
        <v>0.0</v>
      </c>
      <c r="AP1518" s="109">
        <v>0.0</v>
      </c>
      <c r="AQ1518" s="109">
        <v>0.0</v>
      </c>
      <c r="AR1518" s="80">
        <f t="shared" si="5"/>
        <v>0</v>
      </c>
      <c r="AS1518" s="110">
        <v>0.0</v>
      </c>
      <c r="AT1518" s="110">
        <v>0.0</v>
      </c>
      <c r="AU1518" s="110">
        <v>0.0</v>
      </c>
      <c r="AV1518" s="142">
        <v>0.0</v>
      </c>
      <c r="AW1518" s="80">
        <f t="shared" si="6"/>
        <v>0</v>
      </c>
      <c r="AX1518" s="113">
        <f t="shared" si="7"/>
        <v>497</v>
      </c>
      <c r="AY1518" s="117">
        <f t="shared" si="8"/>
        <v>497</v>
      </c>
      <c r="AZ1518" s="120">
        <f t="shared" si="9"/>
        <v>0</v>
      </c>
      <c r="BA1518" s="115">
        <v>0.0</v>
      </c>
      <c r="BB1518" s="89">
        <f t="shared" si="10"/>
        <v>497</v>
      </c>
      <c r="BC1518" s="132" t="s">
        <v>178</v>
      </c>
      <c r="BD1518" s="132" t="s">
        <v>178</v>
      </c>
      <c r="BE1518" s="132" t="s">
        <v>178</v>
      </c>
      <c r="BF1518" s="156"/>
      <c r="BG1518" s="83">
        <v>1136498.0</v>
      </c>
      <c r="BH1518" s="137" t="s">
        <v>8563</v>
      </c>
      <c r="BI1518" s="112">
        <v>17.0</v>
      </c>
      <c r="BJ1518" s="98" t="s">
        <v>155</v>
      </c>
      <c r="BK1518" s="99">
        <f t="shared" si="11"/>
        <v>196</v>
      </c>
      <c r="BL1518" s="99">
        <f t="shared" si="12"/>
        <v>301</v>
      </c>
      <c r="BM1518" s="99" t="str">
        <f>IFERROR(__xludf.DUMMYFUNCTION("IFERROR(VLOOKUP(BG1518,IMPORTRANGE(""https://docs.google.com/spreadsheets/d/1juPI-Fb8LD0YtltB2mlGEnp_R3UVu1t3wSFPzgCyHXE/edit?gid=0#gid=0"",""GERAL!A2:C""),3,0),""-"")"),"-")</f>
        <v>-</v>
      </c>
    </row>
    <row r="1519" ht="15.75" customHeight="1">
      <c r="A1519" s="111" t="s">
        <v>1785</v>
      </c>
      <c r="B1519" s="83" t="s">
        <v>1994</v>
      </c>
      <c r="C1519" s="83" t="s">
        <v>68</v>
      </c>
      <c r="D1519" s="112">
        <v>1101872.0</v>
      </c>
      <c r="E1519" s="83"/>
      <c r="F1519" s="83">
        <v>2.9182166E7</v>
      </c>
      <c r="G1519" s="114" t="s">
        <v>8568</v>
      </c>
      <c r="H1519" s="91" t="s">
        <v>8569</v>
      </c>
      <c r="I1519" s="83" t="s">
        <v>8570</v>
      </c>
      <c r="J1519" s="83" t="s">
        <v>150</v>
      </c>
      <c r="K1519" s="83" t="s">
        <v>151</v>
      </c>
      <c r="L1519" s="83" t="s">
        <v>152</v>
      </c>
      <c r="M1519" s="82" t="str">
        <f>IFERROR(__xludf.DUMMYFUNCTION("IFERROR(VLOOKUP(D1519,
IMPORTRANGE(""https://docs.google.com/spreadsheets/d/1MjHtlUikwobi2MaWJgy7tfLeBmhj1u-dRFRs_8GwSoA/edit#gid=0"",""Gestores Escolares!D7:J""),3,0),""VERIFICAR CÓD SEC"")"),"LÚCIA GRACIETE FRAGA DE BRITO")</f>
        <v>LÚCIA GRACIETE FRAGA DE BRITO</v>
      </c>
      <c r="N1519" s="82" t="str">
        <f>IFERROR(__xludf.DUMMYFUNCTION("IFERROR(VLOOKUP(D1519,
IMPORTRANGE(""https://docs.google.com/spreadsheets/d/1MjHtlUikwobi2MaWJgy7tfLeBmhj1u-dRFRs_8GwSoA/edit#gid=0"",""Gestores Escolares!D7:J""),4,0),""VERIFICAR CÓD SEC"")"),"(71) 9 9253-2974")</f>
        <v>(71) 9 9253-2974</v>
      </c>
      <c r="O1519" s="82" t="str">
        <f>IFERROR(__xludf.DUMMYFUNCTION("IFERROR(VLOOKUP(D1519,
IMPORTRANGE(""https://docs.google.com/spreadsheets/d/1MjHtlUikwobi2MaWJgy7tfLeBmhj1u-dRFRs_8GwSoA/edit#gid=0"",""Gestores Escolares!D7:J""),6,0),""VERIFICAR CÓD SEC"")"),"SAFIRA LIMA GUIMARÃES LOPES")</f>
        <v>SAFIRA LIMA GUIMARÃES LOPES</v>
      </c>
      <c r="P1519" s="82" t="str">
        <f>IFERROR(__xludf.DUMMYFUNCTION("IFERROR(VLOOKUP(D1519,
IMPORTRANGE(""https://docs.google.com/spreadsheets/d/1MjHtlUikwobi2MaWJgy7tfLeBmhj1u-dRFRs_8GwSoA/edit#gid=0"",""Gestores Escolares!D7:J""),7,0),""VERIFICAR CÓD SEC"")"),"(71) 9 8632-0743")</f>
        <v>(71) 9 8632-0743</v>
      </c>
      <c r="Q1519" s="82" t="str">
        <f>IFERROR(__xludf.DUMMYFUNCTION("IFERROR(VLOOKUP(D1519,
IMPORTRANGE(""https://docs.google.com/spreadsheets/d/1MjHtlUikwobi2MaWJgy7tfLeBmhj1u-dRFRs_8GwSoA/edit#gid=0"",""Gestores Escolares!D7:m""),9,0),""VERIFICAR CÓD SEC"")"),"AUGUSTO CÉSAR PELLEGRINE BARROS")</f>
        <v>AUGUSTO CÉSAR PELLEGRINE BARROS</v>
      </c>
      <c r="R1519" s="82" t="str">
        <f>IFERROR(__xludf.DUMMYFUNCTION("IFERROR(VLOOKUP(D1519,
IMPORTRANGE(""https://docs.google.com/spreadsheets/d/1MjHtlUikwobi2MaWJgy7tfLeBmhj1u-dRFRs_8GwSoA/edit#gid=0"",""Gestores Escolares!D7:m""),10,0),""VERIFICAR CÓD SEC"")"),"(71) 9 8248-7687")</f>
        <v>(71) 9 8248-7687</v>
      </c>
      <c r="S1519" s="82"/>
      <c r="T1519" s="138">
        <v>18.0</v>
      </c>
      <c r="U1519" s="152">
        <v>18.0</v>
      </c>
      <c r="V1519" s="106">
        <v>0.0</v>
      </c>
      <c r="W1519" s="107">
        <v>0.0</v>
      </c>
      <c r="X1519" s="107">
        <v>0.0</v>
      </c>
      <c r="Y1519" s="107">
        <v>0.0</v>
      </c>
      <c r="Z1519" s="80">
        <f t="shared" si="1"/>
        <v>0</v>
      </c>
      <c r="AA1519" s="106">
        <v>0.0</v>
      </c>
      <c r="AB1519" s="107">
        <v>0.0</v>
      </c>
      <c r="AC1519" s="107">
        <v>0.0</v>
      </c>
      <c r="AD1519" s="107">
        <v>0.0</v>
      </c>
      <c r="AE1519" s="80">
        <f t="shared" si="2"/>
        <v>0</v>
      </c>
      <c r="AF1519" s="140">
        <v>0.0</v>
      </c>
      <c r="AG1519" s="109">
        <v>37.0</v>
      </c>
      <c r="AH1519" s="109">
        <v>0.0</v>
      </c>
      <c r="AI1519" s="141">
        <v>69.0</v>
      </c>
      <c r="AJ1519" s="80">
        <f t="shared" si="3"/>
        <v>106</v>
      </c>
      <c r="AK1519" s="140">
        <v>0.0</v>
      </c>
      <c r="AL1519" s="109">
        <v>0.0</v>
      </c>
      <c r="AM1519" s="141">
        <v>0.0</v>
      </c>
      <c r="AN1519" s="80">
        <f t="shared" si="4"/>
        <v>0</v>
      </c>
      <c r="AO1519" s="140">
        <v>0.0</v>
      </c>
      <c r="AP1519" s="109">
        <v>0.0</v>
      </c>
      <c r="AQ1519" s="109">
        <v>111.0</v>
      </c>
      <c r="AR1519" s="80">
        <f t="shared" si="5"/>
        <v>111</v>
      </c>
      <c r="AS1519" s="110">
        <v>350.0</v>
      </c>
      <c r="AT1519" s="110">
        <v>63.0</v>
      </c>
      <c r="AU1519" s="110">
        <v>72.0</v>
      </c>
      <c r="AV1519" s="142">
        <v>0.0</v>
      </c>
      <c r="AW1519" s="80">
        <f t="shared" si="6"/>
        <v>485</v>
      </c>
      <c r="AX1519" s="113">
        <f t="shared" si="7"/>
        <v>702</v>
      </c>
      <c r="AY1519" s="117">
        <f t="shared" si="8"/>
        <v>519</v>
      </c>
      <c r="AZ1519" s="120">
        <f t="shared" si="9"/>
        <v>183</v>
      </c>
      <c r="BA1519" s="115">
        <v>7.0</v>
      </c>
      <c r="BB1519" s="89">
        <f t="shared" si="10"/>
        <v>709</v>
      </c>
      <c r="BC1519" s="132" t="s">
        <v>178</v>
      </c>
      <c r="BD1519" s="132" t="s">
        <v>178</v>
      </c>
      <c r="BE1519" s="132" t="s">
        <v>178</v>
      </c>
      <c r="BF1519" s="123"/>
      <c r="BG1519" s="83">
        <v>1101872.0</v>
      </c>
      <c r="BH1519" s="137" t="s">
        <v>8571</v>
      </c>
      <c r="BI1519" s="112">
        <v>18.0</v>
      </c>
      <c r="BJ1519" s="98" t="s">
        <v>155</v>
      </c>
      <c r="BK1519" s="99">
        <f t="shared" si="11"/>
        <v>69</v>
      </c>
      <c r="BL1519" s="99">
        <f t="shared" si="12"/>
        <v>450</v>
      </c>
      <c r="BM1519" s="99" t="str">
        <f>IFERROR(__xludf.DUMMYFUNCTION("IFERROR(VLOOKUP(BG1519,IMPORTRANGE(""https://docs.google.com/spreadsheets/d/1juPI-Fb8LD0YtltB2mlGEnp_R3UVu1t3wSFPzgCyHXE/edit?gid=0#gid=0"",""GERAL!A2:C""),3,0),""-"")"),"-")</f>
        <v>-</v>
      </c>
    </row>
    <row r="1520" ht="15.75" customHeight="1">
      <c r="A1520" s="111" t="s">
        <v>1785</v>
      </c>
      <c r="B1520" s="83" t="s">
        <v>1994</v>
      </c>
      <c r="C1520" s="83" t="s">
        <v>68</v>
      </c>
      <c r="D1520" s="112">
        <v>1176205.0</v>
      </c>
      <c r="E1520" s="83"/>
      <c r="F1520" s="83">
        <v>2.9359597E7</v>
      </c>
      <c r="G1520" s="119" t="s">
        <v>8574</v>
      </c>
      <c r="H1520" s="91" t="s">
        <v>8575</v>
      </c>
      <c r="I1520" s="83" t="s">
        <v>8133</v>
      </c>
      <c r="J1520" s="83" t="s">
        <v>150</v>
      </c>
      <c r="K1520" s="83" t="s">
        <v>151</v>
      </c>
      <c r="L1520" s="83" t="s">
        <v>152</v>
      </c>
      <c r="M1520" s="82" t="str">
        <f>IFERROR(__xludf.DUMMYFUNCTION("IFERROR(VLOOKUP(D1520,
IMPORTRANGE(""https://docs.google.com/spreadsheets/d/1MjHtlUikwobi2MaWJgy7tfLeBmhj1u-dRFRs_8GwSoA/edit#gid=0"",""Gestores Escolares!D7:J""),3,0),""VERIFICAR CÓD SEC"")"),"EVERALDO CONCEICAO DUARTE JUNIOR")</f>
        <v>EVERALDO CONCEICAO DUARTE JUNIOR</v>
      </c>
      <c r="N1520" s="82" t="str">
        <f>IFERROR(__xludf.DUMMYFUNCTION("IFERROR(VLOOKUP(D1520,
IMPORTRANGE(""https://docs.google.com/spreadsheets/d/1MjHtlUikwobi2MaWJgy7tfLeBmhj1u-dRFRs_8GwSoA/edit#gid=0"",""Gestores Escolares!D7:J""),4,0),""VERIFICAR CÓD SEC"")"),"(71) 9 8797-3803")</f>
        <v>(71) 9 8797-3803</v>
      </c>
      <c r="O1520" s="82" t="str">
        <f>IFERROR(__xludf.DUMMYFUNCTION("IFERROR(VLOOKUP(D1520,
IMPORTRANGE(""https://docs.google.com/spreadsheets/d/1MjHtlUikwobi2MaWJgy7tfLeBmhj1u-dRFRs_8GwSoA/edit#gid=0"",""Gestores Escolares!D7:J""),6,0),""VERIFICAR CÓD SEC"")"),"RICARDO JOVINIANO DE SANTANA NETO")</f>
        <v>RICARDO JOVINIANO DE SANTANA NETO</v>
      </c>
      <c r="P1520" s="82" t="str">
        <f>IFERROR(__xludf.DUMMYFUNCTION("IFERROR(VLOOKUP(D1520,
IMPORTRANGE(""https://docs.google.com/spreadsheets/d/1MjHtlUikwobi2MaWJgy7tfLeBmhj1u-dRFRs_8GwSoA/edit#gid=0"",""Gestores Escolares!D7:J""),7,0),""VERIFICAR CÓD SEC"")"),"(71) 9 8196-8683")</f>
        <v>(71) 9 8196-8683</v>
      </c>
      <c r="Q1520" s="82" t="str">
        <f>IFERROR(__xludf.DUMMYFUNCTION("IFERROR(VLOOKUP(D1520,
IMPORTRANGE(""https://docs.google.com/spreadsheets/d/1MjHtlUikwobi2MaWJgy7tfLeBmhj1u-dRFRs_8GwSoA/edit#gid=0"",""Gestores Escolares!D7:m""),9,0),""VERIFICAR CÓD SEC"")"),"")</f>
        <v/>
      </c>
      <c r="R1520" s="82" t="str">
        <f>IFERROR(__xludf.DUMMYFUNCTION("IFERROR(VLOOKUP(D1520,
IMPORTRANGE(""https://docs.google.com/spreadsheets/d/1MjHtlUikwobi2MaWJgy7tfLeBmhj1u-dRFRs_8GwSoA/edit#gid=0"",""Gestores Escolares!D7:m""),10,0),""VERIFICAR CÓD SEC"")"),"")</f>
        <v/>
      </c>
      <c r="S1520" s="82"/>
      <c r="T1520" s="138">
        <v>14.0</v>
      </c>
      <c r="U1520" s="152">
        <v>14.0</v>
      </c>
      <c r="V1520" s="106">
        <v>0.0</v>
      </c>
      <c r="W1520" s="107">
        <v>0.0</v>
      </c>
      <c r="X1520" s="107">
        <v>0.0</v>
      </c>
      <c r="Y1520" s="107">
        <v>0.0</v>
      </c>
      <c r="Z1520" s="80">
        <f t="shared" si="1"/>
        <v>0</v>
      </c>
      <c r="AA1520" s="106">
        <v>158.0</v>
      </c>
      <c r="AB1520" s="107">
        <v>72.0</v>
      </c>
      <c r="AC1520" s="107">
        <v>0.0</v>
      </c>
      <c r="AD1520" s="107">
        <v>150.0</v>
      </c>
      <c r="AE1520" s="80">
        <f t="shared" si="2"/>
        <v>380</v>
      </c>
      <c r="AF1520" s="140">
        <v>0.0</v>
      </c>
      <c r="AG1520" s="109">
        <v>0.0</v>
      </c>
      <c r="AH1520" s="109">
        <v>0.0</v>
      </c>
      <c r="AI1520" s="141">
        <v>0.0</v>
      </c>
      <c r="AJ1520" s="80">
        <f t="shared" si="3"/>
        <v>0</v>
      </c>
      <c r="AK1520" s="140">
        <v>0.0</v>
      </c>
      <c r="AL1520" s="109">
        <v>0.0</v>
      </c>
      <c r="AM1520" s="141">
        <v>0.0</v>
      </c>
      <c r="AN1520" s="80">
        <f t="shared" si="4"/>
        <v>0</v>
      </c>
      <c r="AO1520" s="140">
        <v>0.0</v>
      </c>
      <c r="AP1520" s="109">
        <v>0.0</v>
      </c>
      <c r="AQ1520" s="109">
        <v>0.0</v>
      </c>
      <c r="AR1520" s="80">
        <f t="shared" si="5"/>
        <v>0</v>
      </c>
      <c r="AS1520" s="110">
        <v>0.0</v>
      </c>
      <c r="AT1520" s="110">
        <v>0.0</v>
      </c>
      <c r="AU1520" s="110">
        <v>0.0</v>
      </c>
      <c r="AV1520" s="142">
        <v>0.0</v>
      </c>
      <c r="AW1520" s="80">
        <f t="shared" si="6"/>
        <v>0</v>
      </c>
      <c r="AX1520" s="113">
        <f t="shared" si="7"/>
        <v>380</v>
      </c>
      <c r="AY1520" s="117">
        <f t="shared" si="8"/>
        <v>380</v>
      </c>
      <c r="AZ1520" s="120">
        <f t="shared" si="9"/>
        <v>0</v>
      </c>
      <c r="BA1520" s="115">
        <v>1.0</v>
      </c>
      <c r="BB1520" s="89">
        <f t="shared" si="10"/>
        <v>381</v>
      </c>
      <c r="BC1520" s="132" t="s">
        <v>178</v>
      </c>
      <c r="BD1520" s="132" t="s">
        <v>178</v>
      </c>
      <c r="BE1520" s="132" t="s">
        <v>178</v>
      </c>
      <c r="BF1520" s="156"/>
      <c r="BG1520" s="83">
        <v>1176205.0</v>
      </c>
      <c r="BH1520" s="137" t="s">
        <v>8576</v>
      </c>
      <c r="BI1520" s="112">
        <v>14.0</v>
      </c>
      <c r="BJ1520" s="98" t="s">
        <v>155</v>
      </c>
      <c r="BK1520" s="99">
        <f t="shared" si="11"/>
        <v>150</v>
      </c>
      <c r="BL1520" s="99">
        <f t="shared" si="12"/>
        <v>230</v>
      </c>
      <c r="BM1520" s="99" t="str">
        <f>IFERROR(__xludf.DUMMYFUNCTION("IFERROR(VLOOKUP(BG1520,IMPORTRANGE(""https://docs.google.com/spreadsheets/d/1juPI-Fb8LD0YtltB2mlGEnp_R3UVu1t3wSFPzgCyHXE/edit?gid=0#gid=0"",""GERAL!A2:C""),3,0),""-"")"),"-")</f>
        <v>-</v>
      </c>
    </row>
    <row r="1521" ht="15.75" customHeight="1">
      <c r="A1521" s="111" t="s">
        <v>1785</v>
      </c>
      <c r="B1521" s="83" t="s">
        <v>1994</v>
      </c>
      <c r="C1521" s="83" t="s">
        <v>68</v>
      </c>
      <c r="D1521" s="112">
        <v>1102976.0</v>
      </c>
      <c r="E1521" s="83"/>
      <c r="F1521" s="83">
        <v>2.9190932E7</v>
      </c>
      <c r="G1521" s="114" t="s">
        <v>8577</v>
      </c>
      <c r="H1521" s="91" t="s">
        <v>8578</v>
      </c>
      <c r="I1521" s="83" t="s">
        <v>8579</v>
      </c>
      <c r="J1521" s="83" t="s">
        <v>150</v>
      </c>
      <c r="K1521" s="83" t="s">
        <v>151</v>
      </c>
      <c r="L1521" s="83" t="s">
        <v>152</v>
      </c>
      <c r="M1521" s="82" t="str">
        <f>IFERROR(__xludf.DUMMYFUNCTION("IFERROR(VLOOKUP(D1521,
IMPORTRANGE(""https://docs.google.com/spreadsheets/d/1MjHtlUikwobi2MaWJgy7tfLeBmhj1u-dRFRs_8GwSoA/edit#gid=0"",""Gestores Escolares!D7:J""),3,0),""VERIFICAR CÓD SEC"")"),"SANDRA DOS SANTOS CONCEIÇÃO")</f>
        <v>SANDRA DOS SANTOS CONCEIÇÃO</v>
      </c>
      <c r="N1521" s="82" t="str">
        <f>IFERROR(__xludf.DUMMYFUNCTION("IFERROR(VLOOKUP(D1521,
IMPORTRANGE(""https://docs.google.com/spreadsheets/d/1MjHtlUikwobi2MaWJgy7tfLeBmhj1u-dRFRs_8GwSoA/edit#gid=0"",""Gestores Escolares!D7:J""),4,0),""VERIFICAR CÓD SEC"")"),"(71) 9 9963-9286")</f>
        <v>(71) 9 9963-9286</v>
      </c>
      <c r="O1521" s="82" t="str">
        <f>IFERROR(__xludf.DUMMYFUNCTION("IFERROR(VLOOKUP(D1521,
IMPORTRANGE(""https://docs.google.com/spreadsheets/d/1MjHtlUikwobi2MaWJgy7tfLeBmhj1u-dRFRs_8GwSoA/edit#gid=0"",""Gestores Escolares!D7:J""),6,0),""VERIFICAR CÓD SEC"")"),"LUCINETE CALMON DE ARAUJO")</f>
        <v>LUCINETE CALMON DE ARAUJO</v>
      </c>
      <c r="P1521" s="82" t="str">
        <f>IFERROR(__xludf.DUMMYFUNCTION("IFERROR(VLOOKUP(D1521,
IMPORTRANGE(""https://docs.google.com/spreadsheets/d/1MjHtlUikwobi2MaWJgy7tfLeBmhj1u-dRFRs_8GwSoA/edit#gid=0"",""Gestores Escolares!D7:J""),7,0),""VERIFICAR CÓD SEC"")"),"(71) 9 9373-2996")</f>
        <v>(71) 9 9373-2996</v>
      </c>
      <c r="Q1521" s="82" t="str">
        <f>IFERROR(__xludf.DUMMYFUNCTION("IFERROR(VLOOKUP(D1521,
IMPORTRANGE(""https://docs.google.com/spreadsheets/d/1MjHtlUikwobi2MaWJgy7tfLeBmhj1u-dRFRs_8GwSoA/edit#gid=0"",""Gestores Escolares!D7:m""),9,0),""VERIFICAR CÓD SEC"")"),"GIOVANNA FERREIRA NUNES")</f>
        <v>GIOVANNA FERREIRA NUNES</v>
      </c>
      <c r="R1521" s="82" t="str">
        <f>IFERROR(__xludf.DUMMYFUNCTION("IFERROR(VLOOKUP(D1521,
IMPORTRANGE(""https://docs.google.com/spreadsheets/d/1MjHtlUikwobi2MaWJgy7tfLeBmhj1u-dRFRs_8GwSoA/edit#gid=0"",""Gestores Escolares!D7:m""),10,0),""VERIFICAR CÓD SEC"")"),"(71) 9 9227-9376")</f>
        <v>(71) 9 9227-9376</v>
      </c>
      <c r="S1521" s="82"/>
      <c r="T1521" s="138">
        <v>14.0</v>
      </c>
      <c r="U1521" s="152">
        <v>14.0</v>
      </c>
      <c r="V1521" s="106">
        <v>0.0</v>
      </c>
      <c r="W1521" s="107">
        <v>0.0</v>
      </c>
      <c r="X1521" s="107">
        <v>0.0</v>
      </c>
      <c r="Y1521" s="107">
        <v>0.0</v>
      </c>
      <c r="Z1521" s="80">
        <f t="shared" si="1"/>
        <v>0</v>
      </c>
      <c r="AA1521" s="106">
        <v>347.0</v>
      </c>
      <c r="AB1521" s="107">
        <v>277.0</v>
      </c>
      <c r="AC1521" s="107">
        <v>0.0</v>
      </c>
      <c r="AD1521" s="107">
        <v>128.0</v>
      </c>
      <c r="AE1521" s="80">
        <f t="shared" si="2"/>
        <v>752</v>
      </c>
      <c r="AF1521" s="140">
        <v>0.0</v>
      </c>
      <c r="AG1521" s="109">
        <v>0.0</v>
      </c>
      <c r="AH1521" s="109">
        <v>0.0</v>
      </c>
      <c r="AI1521" s="141">
        <v>0.0</v>
      </c>
      <c r="AJ1521" s="80">
        <f t="shared" si="3"/>
        <v>0</v>
      </c>
      <c r="AK1521" s="140">
        <v>0.0</v>
      </c>
      <c r="AL1521" s="109">
        <v>0.0</v>
      </c>
      <c r="AM1521" s="141">
        <v>124.0</v>
      </c>
      <c r="AN1521" s="80">
        <f t="shared" si="4"/>
        <v>124</v>
      </c>
      <c r="AO1521" s="140">
        <v>0.0</v>
      </c>
      <c r="AP1521" s="109">
        <v>0.0</v>
      </c>
      <c r="AQ1521" s="109">
        <v>0.0</v>
      </c>
      <c r="AR1521" s="80">
        <f t="shared" si="5"/>
        <v>0</v>
      </c>
      <c r="AS1521" s="110">
        <v>0.0</v>
      </c>
      <c r="AT1521" s="110">
        <v>0.0</v>
      </c>
      <c r="AU1521" s="110">
        <v>0.0</v>
      </c>
      <c r="AV1521" s="142">
        <v>0.0</v>
      </c>
      <c r="AW1521" s="80">
        <f t="shared" si="6"/>
        <v>0</v>
      </c>
      <c r="AX1521" s="113">
        <f t="shared" si="7"/>
        <v>876</v>
      </c>
      <c r="AY1521" s="117">
        <f t="shared" si="8"/>
        <v>752</v>
      </c>
      <c r="AZ1521" s="120">
        <f t="shared" si="9"/>
        <v>124</v>
      </c>
      <c r="BA1521" s="115">
        <v>0.0</v>
      </c>
      <c r="BB1521" s="89">
        <f t="shared" si="10"/>
        <v>876</v>
      </c>
      <c r="BC1521" s="132" t="s">
        <v>178</v>
      </c>
      <c r="BD1521" s="132" t="s">
        <v>178</v>
      </c>
      <c r="BE1521" s="132" t="s">
        <v>178</v>
      </c>
      <c r="BF1521" s="123"/>
      <c r="BG1521" s="83">
        <v>1102976.0</v>
      </c>
      <c r="BH1521" s="137" t="s">
        <v>8580</v>
      </c>
      <c r="BI1521" s="112">
        <v>14.0</v>
      </c>
      <c r="BJ1521" s="98" t="s">
        <v>155</v>
      </c>
      <c r="BK1521" s="99">
        <f t="shared" si="11"/>
        <v>128</v>
      </c>
      <c r="BL1521" s="99">
        <f t="shared" si="12"/>
        <v>624</v>
      </c>
      <c r="BM1521" s="99" t="str">
        <f>IFERROR(__xludf.DUMMYFUNCTION("IFERROR(VLOOKUP(BG1521,IMPORTRANGE(""https://docs.google.com/spreadsheets/d/1juPI-Fb8LD0YtltB2mlGEnp_R3UVu1t3wSFPzgCyHXE/edit?gid=0#gid=0"",""GERAL!A2:C""),3,0),""-"")"),"-")</f>
        <v>-</v>
      </c>
    </row>
    <row r="1522" ht="15.75" customHeight="1">
      <c r="A1522" s="111" t="s">
        <v>1785</v>
      </c>
      <c r="B1522" s="83" t="s">
        <v>1994</v>
      </c>
      <c r="C1522" s="83" t="s">
        <v>68</v>
      </c>
      <c r="D1522" s="112">
        <v>1101449.0</v>
      </c>
      <c r="E1522" s="83"/>
      <c r="F1522" s="83">
        <v>2.919192E7</v>
      </c>
      <c r="G1522" s="114" t="s">
        <v>8582</v>
      </c>
      <c r="H1522" s="91" t="s">
        <v>8583</v>
      </c>
      <c r="I1522" s="83" t="s">
        <v>8584</v>
      </c>
      <c r="J1522" s="83" t="s">
        <v>150</v>
      </c>
      <c r="K1522" s="83" t="s">
        <v>151</v>
      </c>
      <c r="L1522" s="83" t="s">
        <v>152</v>
      </c>
      <c r="M1522" s="82" t="str">
        <f>IFERROR(__xludf.DUMMYFUNCTION("IFERROR(VLOOKUP(D1522,
IMPORTRANGE(""https://docs.google.com/spreadsheets/d/1MjHtlUikwobi2MaWJgy7tfLeBmhj1u-dRFRs_8GwSoA/edit#gid=0"",""Gestores Escolares!D7:J""),3,0),""VERIFICAR CÓD SEC"")"),"CRISTIANE LIMA MAGALHAES DOS SANTOS")</f>
        <v>CRISTIANE LIMA MAGALHAES DOS SANTOS</v>
      </c>
      <c r="N1522" s="82" t="str">
        <f>IFERROR(__xludf.DUMMYFUNCTION("IFERROR(VLOOKUP(D1522,
IMPORTRANGE(""https://docs.google.com/spreadsheets/d/1MjHtlUikwobi2MaWJgy7tfLeBmhj1u-dRFRs_8GwSoA/edit#gid=0"",""Gestores Escolares!D7:J""),4,0),""VERIFICAR CÓD SEC"")"),"(71) 9 8876-5684")</f>
        <v>(71) 9 8876-5684</v>
      </c>
      <c r="O1522" s="82" t="str">
        <f>IFERROR(__xludf.DUMMYFUNCTION("IFERROR(VLOOKUP(D1522,
IMPORTRANGE(""https://docs.google.com/spreadsheets/d/1MjHtlUikwobi2MaWJgy7tfLeBmhj1u-dRFRs_8GwSoA/edit#gid=0"",""Gestores Escolares!D7:J""),6,0),""VERIFICAR CÓD SEC"")"),"RONALDO DANTAS DOS SANTOS")</f>
        <v>RONALDO DANTAS DOS SANTOS</v>
      </c>
      <c r="P1522" s="82" t="str">
        <f>IFERROR(__xludf.DUMMYFUNCTION("IFERROR(VLOOKUP(D1522,
IMPORTRANGE(""https://docs.google.com/spreadsheets/d/1MjHtlUikwobi2MaWJgy7tfLeBmhj1u-dRFRs_8GwSoA/edit#gid=0"",""Gestores Escolares!D7:J""),7,0),""VERIFICAR CÓD SEC"")"),"(71) 9 9904-5066")</f>
        <v>(71) 9 9904-5066</v>
      </c>
      <c r="Q1522" s="82" t="str">
        <f>IFERROR(__xludf.DUMMYFUNCTION("IFERROR(VLOOKUP(D1522,
IMPORTRANGE(""https://docs.google.com/spreadsheets/d/1MjHtlUikwobi2MaWJgy7tfLeBmhj1u-dRFRs_8GwSoA/edit#gid=0"",""Gestores Escolares!D7:m""),9,0),""VERIFICAR CÓD SEC"")"),"DANIELA VILAS BOAS DE OLIVEIRA RIBEIRO")</f>
        <v>DANIELA VILAS BOAS DE OLIVEIRA RIBEIRO</v>
      </c>
      <c r="R1522" s="82" t="str">
        <f>IFERROR(__xludf.DUMMYFUNCTION("IFERROR(VLOOKUP(D1522,
IMPORTRANGE(""https://docs.google.com/spreadsheets/d/1MjHtlUikwobi2MaWJgy7tfLeBmhj1u-dRFRs_8GwSoA/edit#gid=0"",""Gestores Escolares!D7:m""),10,0),""VERIFICAR CÓD SEC"")"),"(71) 9 9135-3623")</f>
        <v>(71) 9 9135-3623</v>
      </c>
      <c r="S1522" s="82"/>
      <c r="T1522" s="138">
        <v>16.0</v>
      </c>
      <c r="U1522" s="152">
        <v>14.0</v>
      </c>
      <c r="V1522" s="106">
        <v>0.0</v>
      </c>
      <c r="W1522" s="107">
        <v>0.0</v>
      </c>
      <c r="X1522" s="107">
        <v>0.0</v>
      </c>
      <c r="Y1522" s="107">
        <v>0.0</v>
      </c>
      <c r="Z1522" s="80">
        <f t="shared" si="1"/>
        <v>0</v>
      </c>
      <c r="AA1522" s="106">
        <v>449.0</v>
      </c>
      <c r="AB1522" s="107">
        <v>161.0</v>
      </c>
      <c r="AC1522" s="107">
        <v>0.0</v>
      </c>
      <c r="AD1522" s="107">
        <v>0.0</v>
      </c>
      <c r="AE1522" s="80">
        <f t="shared" si="2"/>
        <v>610</v>
      </c>
      <c r="AF1522" s="140">
        <v>0.0</v>
      </c>
      <c r="AG1522" s="109">
        <v>277.0</v>
      </c>
      <c r="AH1522" s="109">
        <v>0.0</v>
      </c>
      <c r="AI1522" s="141">
        <v>0.0</v>
      </c>
      <c r="AJ1522" s="80">
        <f t="shared" si="3"/>
        <v>277</v>
      </c>
      <c r="AK1522" s="140">
        <v>0.0</v>
      </c>
      <c r="AL1522" s="109">
        <v>0.0</v>
      </c>
      <c r="AM1522" s="141">
        <v>0.0</v>
      </c>
      <c r="AN1522" s="80">
        <f t="shared" si="4"/>
        <v>0</v>
      </c>
      <c r="AO1522" s="140">
        <v>0.0</v>
      </c>
      <c r="AP1522" s="109">
        <v>0.0</v>
      </c>
      <c r="AQ1522" s="109">
        <v>149.0</v>
      </c>
      <c r="AR1522" s="80">
        <f t="shared" si="5"/>
        <v>149</v>
      </c>
      <c r="AS1522" s="110">
        <v>27.0</v>
      </c>
      <c r="AT1522" s="110">
        <v>0.0</v>
      </c>
      <c r="AU1522" s="110">
        <v>8.0</v>
      </c>
      <c r="AV1522" s="142">
        <v>0.0</v>
      </c>
      <c r="AW1522" s="80">
        <f t="shared" si="6"/>
        <v>35</v>
      </c>
      <c r="AX1522" s="113">
        <f t="shared" si="7"/>
        <v>1071</v>
      </c>
      <c r="AY1522" s="117">
        <f t="shared" si="8"/>
        <v>914</v>
      </c>
      <c r="AZ1522" s="120">
        <f t="shared" si="9"/>
        <v>157</v>
      </c>
      <c r="BA1522" s="115">
        <v>0.0</v>
      </c>
      <c r="BB1522" s="89">
        <f t="shared" si="10"/>
        <v>1071</v>
      </c>
      <c r="BC1522" s="132" t="s">
        <v>178</v>
      </c>
      <c r="BD1522" s="132" t="s">
        <v>178</v>
      </c>
      <c r="BE1522" s="132" t="s">
        <v>178</v>
      </c>
      <c r="BF1522" s="123"/>
      <c r="BG1522" s="83">
        <v>1101449.0</v>
      </c>
      <c r="BH1522" s="137" t="s">
        <v>8585</v>
      </c>
      <c r="BI1522" s="112">
        <v>14.0</v>
      </c>
      <c r="BJ1522" s="98" t="s">
        <v>155</v>
      </c>
      <c r="BK1522" s="99">
        <f t="shared" si="11"/>
        <v>0</v>
      </c>
      <c r="BL1522" s="99">
        <f t="shared" si="12"/>
        <v>914</v>
      </c>
      <c r="BM1522" s="99" t="str">
        <f>IFERROR(__xludf.DUMMYFUNCTION("IFERROR(VLOOKUP(BG1522,IMPORTRANGE(""https://docs.google.com/spreadsheets/d/1juPI-Fb8LD0YtltB2mlGEnp_R3UVu1t3wSFPzgCyHXE/edit?gid=0#gid=0"",""GERAL!A2:C""),3,0),""-"")"),"-")</f>
        <v>-</v>
      </c>
    </row>
    <row r="1523" ht="15.75" customHeight="1">
      <c r="A1523" s="111" t="s">
        <v>1785</v>
      </c>
      <c r="B1523" s="83" t="s">
        <v>1994</v>
      </c>
      <c r="C1523" s="83" t="s">
        <v>68</v>
      </c>
      <c r="D1523" s="112">
        <v>1100957.0</v>
      </c>
      <c r="E1523" s="83"/>
      <c r="F1523" s="83">
        <v>2.9190916E7</v>
      </c>
      <c r="G1523" s="119" t="s">
        <v>8586</v>
      </c>
      <c r="H1523" s="91" t="s">
        <v>8587</v>
      </c>
      <c r="I1523" s="83" t="s">
        <v>8588</v>
      </c>
      <c r="J1523" s="136" t="s">
        <v>150</v>
      </c>
      <c r="K1523" s="83" t="s">
        <v>151</v>
      </c>
      <c r="L1523" s="83" t="s">
        <v>76</v>
      </c>
      <c r="M1523" s="82" t="str">
        <f>IFERROR(__xludf.DUMMYFUNCTION("IFERROR(VLOOKUP(D1523,
IMPORTRANGE(""https://docs.google.com/spreadsheets/d/1MjHtlUikwobi2MaWJgy7tfLeBmhj1u-dRFRs_8GwSoA/edit#gid=0"",""Gestores Escolares!D7:J""),3,0),""VERIFICAR CÓD SEC"")"),"ROGÉRIA MARTINS DOS SANTOS SOUZA")</f>
        <v>ROGÉRIA MARTINS DOS SANTOS SOUZA</v>
      </c>
      <c r="N1523" s="82" t="str">
        <f>IFERROR(__xludf.DUMMYFUNCTION("IFERROR(VLOOKUP(D1523,
IMPORTRANGE(""https://docs.google.com/spreadsheets/d/1MjHtlUikwobi2MaWJgy7tfLeBmhj1u-dRFRs_8GwSoA/edit#gid=0"",""Gestores Escolares!D7:J""),4,0),""VERIFICAR CÓD SEC"")"),"(71) 9 9673-5284 3489-7059")</f>
        <v>(71) 9 9673-5284 3489-7059</v>
      </c>
      <c r="O1523" s="82" t="str">
        <f>IFERROR(__xludf.DUMMYFUNCTION("IFERROR(VLOOKUP(D1523,
IMPORTRANGE(""https://docs.google.com/spreadsheets/d/1MjHtlUikwobi2MaWJgy7tfLeBmhj1u-dRFRs_8GwSoA/edit#gid=0"",""Gestores Escolares!D7:J""),6,0),""VERIFICAR CÓD SEC"")"),"CELIO ROBERTO DE ARAUJO")</f>
        <v>CELIO ROBERTO DE ARAUJO</v>
      </c>
      <c r="P1523" s="82" t="str">
        <f>IFERROR(__xludf.DUMMYFUNCTION("IFERROR(VLOOKUP(D1523,
IMPORTRANGE(""https://docs.google.com/spreadsheets/d/1MjHtlUikwobi2MaWJgy7tfLeBmhj1u-dRFRs_8GwSoA/edit#gid=0"",""Gestores Escolares!D7:J""),7,0),""VERIFICAR CÓD SEC"")"),"")</f>
        <v/>
      </c>
      <c r="Q1523" s="82" t="str">
        <f>IFERROR(__xludf.DUMMYFUNCTION("IFERROR(VLOOKUP(D1523,
IMPORTRANGE(""https://docs.google.com/spreadsheets/d/1MjHtlUikwobi2MaWJgy7tfLeBmhj1u-dRFRs_8GwSoA/edit#gid=0"",""Gestores Escolares!D7:m""),9,0),""VERIFICAR CÓD SEC"")"),"")</f>
        <v/>
      </c>
      <c r="R1523" s="82" t="str">
        <f>IFERROR(__xludf.DUMMYFUNCTION("IFERROR(VLOOKUP(D1523,
IMPORTRANGE(""https://docs.google.com/spreadsheets/d/1MjHtlUikwobi2MaWJgy7tfLeBmhj1u-dRFRs_8GwSoA/edit#gid=0"",""Gestores Escolares!D7:m""),10,0),""VERIFICAR CÓD SEC"")"),"")</f>
        <v/>
      </c>
      <c r="S1523" s="82"/>
      <c r="T1523" s="138">
        <v>8.0</v>
      </c>
      <c r="U1523" s="152">
        <v>8.0</v>
      </c>
      <c r="V1523" s="106">
        <v>0.0</v>
      </c>
      <c r="W1523" s="107">
        <v>0.0</v>
      </c>
      <c r="X1523" s="107">
        <v>0.0</v>
      </c>
      <c r="Y1523" s="107">
        <v>0.0</v>
      </c>
      <c r="Z1523" s="80">
        <f t="shared" si="1"/>
        <v>0</v>
      </c>
      <c r="AA1523" s="106">
        <v>268.0</v>
      </c>
      <c r="AB1523" s="107">
        <v>256.0</v>
      </c>
      <c r="AC1523" s="107">
        <v>0.0</v>
      </c>
      <c r="AD1523" s="107">
        <v>0.0</v>
      </c>
      <c r="AE1523" s="80">
        <f t="shared" si="2"/>
        <v>524</v>
      </c>
      <c r="AF1523" s="140">
        <v>0.0</v>
      </c>
      <c r="AG1523" s="109">
        <v>0.0</v>
      </c>
      <c r="AH1523" s="109">
        <v>0.0</v>
      </c>
      <c r="AI1523" s="141">
        <v>0.0</v>
      </c>
      <c r="AJ1523" s="80">
        <f t="shared" si="3"/>
        <v>0</v>
      </c>
      <c r="AK1523" s="140">
        <v>0.0</v>
      </c>
      <c r="AL1523" s="109">
        <v>0.0</v>
      </c>
      <c r="AM1523" s="141">
        <v>0.0</v>
      </c>
      <c r="AN1523" s="80">
        <f t="shared" si="4"/>
        <v>0</v>
      </c>
      <c r="AO1523" s="140">
        <v>0.0</v>
      </c>
      <c r="AP1523" s="109">
        <v>0.0</v>
      </c>
      <c r="AQ1523" s="109">
        <v>0.0</v>
      </c>
      <c r="AR1523" s="80">
        <f t="shared" si="5"/>
        <v>0</v>
      </c>
      <c r="AS1523" s="110">
        <v>0.0</v>
      </c>
      <c r="AT1523" s="110">
        <v>0.0</v>
      </c>
      <c r="AU1523" s="110">
        <v>0.0</v>
      </c>
      <c r="AV1523" s="142">
        <v>0.0</v>
      </c>
      <c r="AW1523" s="80">
        <f t="shared" si="6"/>
        <v>0</v>
      </c>
      <c r="AX1523" s="113">
        <f t="shared" si="7"/>
        <v>524</v>
      </c>
      <c r="AY1523" s="117">
        <f t="shared" si="8"/>
        <v>524</v>
      </c>
      <c r="AZ1523" s="120">
        <f t="shared" si="9"/>
        <v>0</v>
      </c>
      <c r="BA1523" s="115">
        <v>0.0</v>
      </c>
      <c r="BB1523" s="89">
        <f t="shared" si="10"/>
        <v>524</v>
      </c>
      <c r="BC1523" s="132" t="s">
        <v>178</v>
      </c>
      <c r="BD1523" s="132" t="s">
        <v>178</v>
      </c>
      <c r="BE1523" s="132" t="s">
        <v>178</v>
      </c>
      <c r="BF1523" s="123"/>
      <c r="BG1523" s="83">
        <v>1100957.0</v>
      </c>
      <c r="BH1523" s="137" t="s">
        <v>8589</v>
      </c>
      <c r="BI1523" s="112">
        <v>8.0</v>
      </c>
      <c r="BJ1523" s="98" t="s">
        <v>155</v>
      </c>
      <c r="BK1523" s="99">
        <f t="shared" si="11"/>
        <v>0</v>
      </c>
      <c r="BL1523" s="99">
        <f t="shared" si="12"/>
        <v>524</v>
      </c>
      <c r="BM1523" s="99" t="str">
        <f>IFERROR(__xludf.DUMMYFUNCTION("IFERROR(VLOOKUP(BG1523,IMPORTRANGE(""https://docs.google.com/spreadsheets/d/1juPI-Fb8LD0YtltB2mlGEnp_R3UVu1t3wSFPzgCyHXE/edit?gid=0#gid=0"",""GERAL!A2:C""),3,0),""-"")"),"-")</f>
        <v>-</v>
      </c>
    </row>
    <row r="1524" ht="15.75" customHeight="1">
      <c r="A1524" s="111" t="s">
        <v>1785</v>
      </c>
      <c r="B1524" s="83" t="s">
        <v>1994</v>
      </c>
      <c r="C1524" s="83" t="s">
        <v>68</v>
      </c>
      <c r="D1524" s="112">
        <v>1102160.0</v>
      </c>
      <c r="E1524" s="83"/>
      <c r="F1524" s="83">
        <v>2.9190754E7</v>
      </c>
      <c r="G1524" s="114" t="s">
        <v>8591</v>
      </c>
      <c r="H1524" s="91" t="s">
        <v>8592</v>
      </c>
      <c r="I1524" s="83" t="s">
        <v>8593</v>
      </c>
      <c r="J1524" s="136" t="s">
        <v>150</v>
      </c>
      <c r="K1524" s="83" t="s">
        <v>151</v>
      </c>
      <c r="L1524" s="83" t="s">
        <v>152</v>
      </c>
      <c r="M1524" s="82" t="str">
        <f>IFERROR(__xludf.DUMMYFUNCTION("IFERROR(VLOOKUP(D1524,
IMPORTRANGE(""https://docs.google.com/spreadsheets/d/1MjHtlUikwobi2MaWJgy7tfLeBmhj1u-dRFRs_8GwSoA/edit#gid=0"",""Gestores Escolares!D7:J""),3,0),""VERIFICAR CÓD SEC"")"),"TANIA MARCIA MAIA DE CARVALHO")</f>
        <v>TANIA MARCIA MAIA DE CARVALHO</v>
      </c>
      <c r="N1524" s="82" t="str">
        <f>IFERROR(__xludf.DUMMYFUNCTION("IFERROR(VLOOKUP(D1524,
IMPORTRANGE(""https://docs.google.com/spreadsheets/d/1MjHtlUikwobi2MaWJgy7tfLeBmhj1u-dRFRs_8GwSoA/edit#gid=0"",""Gestores Escolares!D7:J""),4,0),""VERIFICAR CÓD SEC"")"),"(71) 9 8648-9351")</f>
        <v>(71) 9 8648-9351</v>
      </c>
      <c r="O1524" s="82" t="str">
        <f>IFERROR(__xludf.DUMMYFUNCTION("IFERROR(VLOOKUP(D1524,
IMPORTRANGE(""https://docs.google.com/spreadsheets/d/1MjHtlUikwobi2MaWJgy7tfLeBmhj1u-dRFRs_8GwSoA/edit#gid=0"",""Gestores Escolares!D7:J""),6,0),""VERIFICAR CÓD SEC"")"),"JOSE RICARDO FREITAS MOTA")</f>
        <v>JOSE RICARDO FREITAS MOTA</v>
      </c>
      <c r="P1524" s="82" t="str">
        <f>IFERROR(__xludf.DUMMYFUNCTION("IFERROR(VLOOKUP(D1524,
IMPORTRANGE(""https://docs.google.com/spreadsheets/d/1MjHtlUikwobi2MaWJgy7tfLeBmhj1u-dRFRs_8GwSoA/edit#gid=0"",""Gestores Escolares!D7:J""),7,0),""VERIFICAR CÓD SEC"")"),"(71) 9 8778-7207")</f>
        <v>(71) 9 8778-7207</v>
      </c>
      <c r="Q1524" s="82" t="str">
        <f>IFERROR(__xludf.DUMMYFUNCTION("IFERROR(VLOOKUP(D1524,
IMPORTRANGE(""https://docs.google.com/spreadsheets/d/1MjHtlUikwobi2MaWJgy7tfLeBmhj1u-dRFRs_8GwSoA/edit#gid=0"",""Gestores Escolares!D7:m""),9,0),""VERIFICAR CÓD SEC"")"),"NOEMI MAGALHAES DE MELLO DANTAS")</f>
        <v>NOEMI MAGALHAES DE MELLO DANTAS</v>
      </c>
      <c r="R1524" s="82" t="str">
        <f>IFERROR(__xludf.DUMMYFUNCTION("IFERROR(VLOOKUP(D1524,
IMPORTRANGE(""https://docs.google.com/spreadsheets/d/1MjHtlUikwobi2MaWJgy7tfLeBmhj1u-dRFRs_8GwSoA/edit#gid=0"",""Gestores Escolares!D7:m""),10,0),""VERIFICAR CÓD SEC"")"),"(71) 9 8831-2321")</f>
        <v>(71) 9 8831-2321</v>
      </c>
      <c r="S1524" s="82"/>
      <c r="T1524" s="138">
        <v>22.0</v>
      </c>
      <c r="U1524" s="152">
        <v>22.0</v>
      </c>
      <c r="V1524" s="106">
        <v>0.0</v>
      </c>
      <c r="W1524" s="107">
        <v>0.0</v>
      </c>
      <c r="X1524" s="107">
        <v>0.0</v>
      </c>
      <c r="Y1524" s="107">
        <v>0.0</v>
      </c>
      <c r="Z1524" s="80">
        <f t="shared" si="1"/>
        <v>0</v>
      </c>
      <c r="AA1524" s="106">
        <v>246.0</v>
      </c>
      <c r="AB1524" s="107">
        <v>111.0</v>
      </c>
      <c r="AC1524" s="107">
        <v>0.0</v>
      </c>
      <c r="AD1524" s="107">
        <v>105.0</v>
      </c>
      <c r="AE1524" s="80">
        <f t="shared" si="2"/>
        <v>462</v>
      </c>
      <c r="AF1524" s="140">
        <v>120.0</v>
      </c>
      <c r="AG1524" s="109">
        <v>74.0</v>
      </c>
      <c r="AH1524" s="109">
        <v>0.0</v>
      </c>
      <c r="AI1524" s="141">
        <v>0.0</v>
      </c>
      <c r="AJ1524" s="80">
        <f t="shared" si="3"/>
        <v>194</v>
      </c>
      <c r="AK1524" s="140">
        <v>0.0</v>
      </c>
      <c r="AL1524" s="109">
        <v>0.0</v>
      </c>
      <c r="AM1524" s="141">
        <v>0.0</v>
      </c>
      <c r="AN1524" s="80">
        <f t="shared" si="4"/>
        <v>0</v>
      </c>
      <c r="AO1524" s="140">
        <v>0.0</v>
      </c>
      <c r="AP1524" s="109">
        <v>0.0</v>
      </c>
      <c r="AQ1524" s="109">
        <v>104.0</v>
      </c>
      <c r="AR1524" s="80">
        <f t="shared" si="5"/>
        <v>104</v>
      </c>
      <c r="AS1524" s="110">
        <v>0.0</v>
      </c>
      <c r="AT1524" s="110">
        <v>0.0</v>
      </c>
      <c r="AU1524" s="110">
        <v>21.0</v>
      </c>
      <c r="AV1524" s="142">
        <v>0.0</v>
      </c>
      <c r="AW1524" s="80">
        <f t="shared" si="6"/>
        <v>21</v>
      </c>
      <c r="AX1524" s="113">
        <f t="shared" si="7"/>
        <v>781</v>
      </c>
      <c r="AY1524" s="117">
        <f t="shared" si="8"/>
        <v>656</v>
      </c>
      <c r="AZ1524" s="120">
        <f t="shared" si="9"/>
        <v>125</v>
      </c>
      <c r="BA1524" s="115">
        <v>1.0</v>
      </c>
      <c r="BB1524" s="89">
        <f t="shared" si="10"/>
        <v>782</v>
      </c>
      <c r="BC1524" s="132" t="s">
        <v>178</v>
      </c>
      <c r="BD1524" s="132" t="s">
        <v>178</v>
      </c>
      <c r="BE1524" s="132" t="s">
        <v>178</v>
      </c>
      <c r="BF1524" s="123"/>
      <c r="BG1524" s="83">
        <v>1102160.0</v>
      </c>
      <c r="BH1524" s="137" t="s">
        <v>8594</v>
      </c>
      <c r="BI1524" s="112">
        <v>22.0</v>
      </c>
      <c r="BJ1524" s="98" t="s">
        <v>155</v>
      </c>
      <c r="BK1524" s="99">
        <f t="shared" si="11"/>
        <v>105</v>
      </c>
      <c r="BL1524" s="99">
        <f t="shared" si="12"/>
        <v>551</v>
      </c>
      <c r="BM1524" s="99" t="str">
        <f>IFERROR(__xludf.DUMMYFUNCTION("IFERROR(VLOOKUP(BG1524,IMPORTRANGE(""https://docs.google.com/spreadsheets/d/1juPI-Fb8LD0YtltB2mlGEnp_R3UVu1t3wSFPzgCyHXE/edit?gid=0#gid=0"",""GERAL!A2:C""),3,0),""-"")"),"-")</f>
        <v>-</v>
      </c>
    </row>
    <row r="1525" ht="15.75" customHeight="1">
      <c r="A1525" s="111" t="s">
        <v>1785</v>
      </c>
      <c r="B1525" s="83" t="s">
        <v>1994</v>
      </c>
      <c r="C1525" s="83" t="s">
        <v>68</v>
      </c>
      <c r="D1525" s="112">
        <v>1100337.0</v>
      </c>
      <c r="E1525" s="83"/>
      <c r="F1525" s="83">
        <v>2.9189012E7</v>
      </c>
      <c r="G1525" s="119" t="s">
        <v>8596</v>
      </c>
      <c r="H1525" s="91" t="s">
        <v>8597</v>
      </c>
      <c r="I1525" s="83" t="s">
        <v>8327</v>
      </c>
      <c r="J1525" s="136" t="s">
        <v>150</v>
      </c>
      <c r="K1525" s="83" t="s">
        <v>151</v>
      </c>
      <c r="L1525" s="83" t="s">
        <v>152</v>
      </c>
      <c r="M1525" s="82" t="str">
        <f>IFERROR(__xludf.DUMMYFUNCTION("IFERROR(VLOOKUP(D1525,
IMPORTRANGE(""https://docs.google.com/spreadsheets/d/1MjHtlUikwobi2MaWJgy7tfLeBmhj1u-dRFRs_8GwSoA/edit#gid=0"",""Gestores Escolares!D7:J""),3,0),""VERIFICAR CÓD SEC"")"),"JAQUELINE BARBOSA PINHEIRO")</f>
        <v>JAQUELINE BARBOSA PINHEIRO</v>
      </c>
      <c r="N1525" s="82" t="str">
        <f>IFERROR(__xludf.DUMMYFUNCTION("IFERROR(VLOOKUP(D1525,
IMPORTRANGE(""https://docs.google.com/spreadsheets/d/1MjHtlUikwobi2MaWJgy7tfLeBmhj1u-dRFRs_8GwSoA/edit#gid=0"",""Gestores Escolares!D7:J""),4,0),""VERIFICAR CÓD SEC"")"),"  (71) 9 9607-0908")</f>
        <v>  (71) 9 9607-0908</v>
      </c>
      <c r="O1525" s="82" t="str">
        <f>IFERROR(__xludf.DUMMYFUNCTION("IFERROR(VLOOKUP(D1525,
IMPORTRANGE(""https://docs.google.com/spreadsheets/d/1MjHtlUikwobi2MaWJgy7tfLeBmhj1u-dRFRs_8GwSoA/edit#gid=0"",""Gestores Escolares!D7:J""),6,0),""VERIFICAR CÓD SEC"")"),"JANICE DOS SANTOS MACHADO DA CONCEICAO")</f>
        <v>JANICE DOS SANTOS MACHADO DA CONCEICAO</v>
      </c>
      <c r="P1525" s="82" t="str">
        <f>IFERROR(__xludf.DUMMYFUNCTION("IFERROR(VLOOKUP(D1525,
IMPORTRANGE(""https://docs.google.com/spreadsheets/d/1MjHtlUikwobi2MaWJgy7tfLeBmhj1u-dRFRs_8GwSoA/edit#gid=0"",""Gestores Escolares!D7:J""),7,0),""VERIFICAR CÓD SEC"")"),"(71) 9 9215-4560")</f>
        <v>(71) 9 9215-4560</v>
      </c>
      <c r="Q1525" s="82" t="str">
        <f>IFERROR(__xludf.DUMMYFUNCTION("IFERROR(VLOOKUP(D1525,
IMPORTRANGE(""https://docs.google.com/spreadsheets/d/1MjHtlUikwobi2MaWJgy7tfLeBmhj1u-dRFRs_8GwSoA/edit#gid=0"",""Gestores Escolares!D7:m""),9,0),""VERIFICAR CÓD SEC"")"),"LUIS CARLOS NOVAIS DA ENCARNACAO")</f>
        <v>LUIS CARLOS NOVAIS DA ENCARNACAO</v>
      </c>
      <c r="R1525" s="82" t="str">
        <f>IFERROR(__xludf.DUMMYFUNCTION("IFERROR(VLOOKUP(D1525,
IMPORTRANGE(""https://docs.google.com/spreadsheets/d/1MjHtlUikwobi2MaWJgy7tfLeBmhj1u-dRFRs_8GwSoA/edit#gid=0"",""Gestores Escolares!D7:m""),10,0),""VERIFICAR CÓD SEC"")"),"(71) 9 8811-1086")</f>
        <v>(71) 9 8811-1086</v>
      </c>
      <c r="S1525" s="82"/>
      <c r="T1525" s="138">
        <v>14.0</v>
      </c>
      <c r="U1525" s="152">
        <v>13.0</v>
      </c>
      <c r="V1525" s="106">
        <v>0.0</v>
      </c>
      <c r="W1525" s="107">
        <v>0.0</v>
      </c>
      <c r="X1525" s="107">
        <v>0.0</v>
      </c>
      <c r="Y1525" s="107">
        <v>0.0</v>
      </c>
      <c r="Z1525" s="80">
        <f t="shared" si="1"/>
        <v>0</v>
      </c>
      <c r="AA1525" s="106">
        <v>0.0</v>
      </c>
      <c r="AB1525" s="107">
        <v>0.0</v>
      </c>
      <c r="AC1525" s="107">
        <v>0.0</v>
      </c>
      <c r="AD1525" s="107">
        <v>0.0</v>
      </c>
      <c r="AE1525" s="80">
        <f t="shared" si="2"/>
        <v>0</v>
      </c>
      <c r="AF1525" s="140">
        <v>147.0</v>
      </c>
      <c r="AG1525" s="109">
        <v>69.0</v>
      </c>
      <c r="AH1525" s="109">
        <v>0.0</v>
      </c>
      <c r="AI1525" s="141">
        <v>0.0</v>
      </c>
      <c r="AJ1525" s="80">
        <f t="shared" si="3"/>
        <v>216</v>
      </c>
      <c r="AK1525" s="140">
        <v>0.0</v>
      </c>
      <c r="AL1525" s="109">
        <v>0.0</v>
      </c>
      <c r="AM1525" s="141">
        <v>0.0</v>
      </c>
      <c r="AN1525" s="80">
        <f t="shared" si="4"/>
        <v>0</v>
      </c>
      <c r="AO1525" s="140">
        <v>0.0</v>
      </c>
      <c r="AP1525" s="109">
        <v>0.0</v>
      </c>
      <c r="AQ1525" s="109">
        <v>106.0</v>
      </c>
      <c r="AR1525" s="80">
        <f t="shared" si="5"/>
        <v>106</v>
      </c>
      <c r="AS1525" s="110">
        <v>174.0</v>
      </c>
      <c r="AT1525" s="110">
        <v>46.0</v>
      </c>
      <c r="AU1525" s="110">
        <v>417.0</v>
      </c>
      <c r="AV1525" s="142">
        <v>0.0</v>
      </c>
      <c r="AW1525" s="80">
        <f t="shared" si="6"/>
        <v>637</v>
      </c>
      <c r="AX1525" s="113">
        <f t="shared" si="7"/>
        <v>959</v>
      </c>
      <c r="AY1525" s="117">
        <f t="shared" si="8"/>
        <v>436</v>
      </c>
      <c r="AZ1525" s="120">
        <f t="shared" si="9"/>
        <v>523</v>
      </c>
      <c r="BA1525" s="115">
        <v>2.0</v>
      </c>
      <c r="BB1525" s="89">
        <f t="shared" si="10"/>
        <v>961</v>
      </c>
      <c r="BC1525" s="132" t="s">
        <v>178</v>
      </c>
      <c r="BD1525" s="132" t="s">
        <v>178</v>
      </c>
      <c r="BE1525" s="132" t="s">
        <v>178</v>
      </c>
      <c r="BF1525" s="123"/>
      <c r="BG1525" s="83">
        <v>1100337.0</v>
      </c>
      <c r="BH1525" s="188" t="s">
        <v>8598</v>
      </c>
      <c r="BI1525" s="112">
        <v>13.0</v>
      </c>
      <c r="BJ1525" s="98" t="s">
        <v>155</v>
      </c>
      <c r="BK1525" s="99">
        <f t="shared" si="11"/>
        <v>0</v>
      </c>
      <c r="BL1525" s="99">
        <f t="shared" si="12"/>
        <v>436</v>
      </c>
      <c r="BM1525" s="99" t="str">
        <f>IFERROR(__xludf.DUMMYFUNCTION("IFERROR(VLOOKUP(BG1525,IMPORTRANGE(""https://docs.google.com/spreadsheets/d/1juPI-Fb8LD0YtltB2mlGEnp_R3UVu1t3wSFPzgCyHXE/edit?gid=0#gid=0"",""GERAL!A2:C""),3,0),""-"")"),"-")</f>
        <v>-</v>
      </c>
    </row>
    <row r="1526" ht="15.75" customHeight="1">
      <c r="A1526" s="111" t="s">
        <v>1785</v>
      </c>
      <c r="B1526" s="83" t="s">
        <v>1994</v>
      </c>
      <c r="C1526" s="83" t="s">
        <v>68</v>
      </c>
      <c r="D1526" s="112">
        <v>1163924.0</v>
      </c>
      <c r="E1526" s="83"/>
      <c r="F1526" s="83">
        <v>2.9192277E7</v>
      </c>
      <c r="G1526" s="119" t="s">
        <v>8599</v>
      </c>
      <c r="H1526" s="91" t="s">
        <v>8600</v>
      </c>
      <c r="I1526" s="83" t="s">
        <v>8601</v>
      </c>
      <c r="J1526" s="136" t="s">
        <v>150</v>
      </c>
      <c r="K1526" s="83" t="s">
        <v>151</v>
      </c>
      <c r="L1526" s="83" t="s">
        <v>230</v>
      </c>
      <c r="M1526" s="82" t="str">
        <f>IFERROR(__xludf.DUMMYFUNCTION("IFERROR(VLOOKUP(D1526,
IMPORTRANGE(""https://docs.google.com/spreadsheets/d/1MjHtlUikwobi2MaWJgy7tfLeBmhj1u-dRFRs_8GwSoA/edit#gid=0"",""Gestores Escolares!D7:J""),3,0),""VERIFICAR CÓD SEC"")"),"PATRÍCIA BONFIM POCEIRO")</f>
        <v>PATRÍCIA BONFIM POCEIRO</v>
      </c>
      <c r="N1526" s="82" t="str">
        <f>IFERROR(__xludf.DUMMYFUNCTION("IFERROR(VLOOKUP(D1526,
IMPORTRANGE(""https://docs.google.com/spreadsheets/d/1MjHtlUikwobi2MaWJgy7tfLeBmhj1u-dRFRs_8GwSoA/edit#gid=0"",""Gestores Escolares!D7:J""),4,0),""VERIFICAR CÓD SEC"")"),"(71) 9 8638-7547")</f>
        <v>(71) 9 8638-7547</v>
      </c>
      <c r="O1526" s="82" t="str">
        <f>IFERROR(__xludf.DUMMYFUNCTION("IFERROR(VLOOKUP(D1526,
IMPORTRANGE(""https://docs.google.com/spreadsheets/d/1MjHtlUikwobi2MaWJgy7tfLeBmhj1u-dRFRs_8GwSoA/edit#gid=0"",""Gestores Escolares!D7:J""),6,0),""VERIFICAR CÓD SEC"")"),"ADEILTON COSTA")</f>
        <v>ADEILTON COSTA</v>
      </c>
      <c r="P1526" s="82" t="str">
        <f>IFERROR(__xludf.DUMMYFUNCTION("IFERROR(VLOOKUP(D1526,
IMPORTRANGE(""https://docs.google.com/spreadsheets/d/1MjHtlUikwobi2MaWJgy7tfLeBmhj1u-dRFRs_8GwSoA/edit#gid=0"",""Gestores Escolares!D7:J""),7,0),""VERIFICAR CÓD SEC"")"),"(71) 9 8821-0756")</f>
        <v>(71) 9 8821-0756</v>
      </c>
      <c r="Q1526" s="82" t="str">
        <f>IFERROR(__xludf.DUMMYFUNCTION("IFERROR(VLOOKUP(D1526,
IMPORTRANGE(""https://docs.google.com/spreadsheets/d/1MjHtlUikwobi2MaWJgy7tfLeBmhj1u-dRFRs_8GwSoA/edit#gid=0"",""Gestores Escolares!D7:m""),9,0),""VERIFICAR CÓD SEC"")"),"")</f>
        <v/>
      </c>
      <c r="R1526" s="82" t="str">
        <f>IFERROR(__xludf.DUMMYFUNCTION("IFERROR(VLOOKUP(D1526,
IMPORTRANGE(""https://docs.google.com/spreadsheets/d/1MjHtlUikwobi2MaWJgy7tfLeBmhj1u-dRFRs_8GwSoA/edit#gid=0"",""Gestores Escolares!D7:m""),10,0),""VERIFICAR CÓD SEC"")"),"")</f>
        <v/>
      </c>
      <c r="S1526" s="82"/>
      <c r="T1526" s="138">
        <v>14.0</v>
      </c>
      <c r="U1526" s="152">
        <v>14.0</v>
      </c>
      <c r="V1526" s="106">
        <v>0.0</v>
      </c>
      <c r="W1526" s="107">
        <v>0.0</v>
      </c>
      <c r="X1526" s="107">
        <v>0.0</v>
      </c>
      <c r="Y1526" s="107">
        <v>0.0</v>
      </c>
      <c r="Z1526" s="80">
        <f t="shared" si="1"/>
        <v>0</v>
      </c>
      <c r="AA1526" s="106">
        <v>246.0</v>
      </c>
      <c r="AB1526" s="107">
        <v>269.0</v>
      </c>
      <c r="AC1526" s="107">
        <v>0.0</v>
      </c>
      <c r="AD1526" s="107">
        <v>0.0</v>
      </c>
      <c r="AE1526" s="80">
        <f t="shared" si="2"/>
        <v>515</v>
      </c>
      <c r="AF1526" s="140">
        <v>207.0</v>
      </c>
      <c r="AG1526" s="109">
        <v>110.0</v>
      </c>
      <c r="AH1526" s="109">
        <v>0.0</v>
      </c>
      <c r="AI1526" s="141">
        <v>0.0</v>
      </c>
      <c r="AJ1526" s="80">
        <f t="shared" si="3"/>
        <v>317</v>
      </c>
      <c r="AK1526" s="140">
        <v>0.0</v>
      </c>
      <c r="AL1526" s="109">
        <v>0.0</v>
      </c>
      <c r="AM1526" s="141">
        <v>59.0</v>
      </c>
      <c r="AN1526" s="80">
        <f t="shared" si="4"/>
        <v>59</v>
      </c>
      <c r="AO1526" s="140">
        <v>0.0</v>
      </c>
      <c r="AP1526" s="109">
        <v>0.0</v>
      </c>
      <c r="AQ1526" s="109">
        <v>160.0</v>
      </c>
      <c r="AR1526" s="80">
        <f t="shared" si="5"/>
        <v>160</v>
      </c>
      <c r="AS1526" s="110">
        <v>0.0</v>
      </c>
      <c r="AT1526" s="110">
        <v>0.0</v>
      </c>
      <c r="AU1526" s="110">
        <v>0.0</v>
      </c>
      <c r="AV1526" s="142">
        <v>0.0</v>
      </c>
      <c r="AW1526" s="80">
        <f t="shared" si="6"/>
        <v>0</v>
      </c>
      <c r="AX1526" s="113">
        <f t="shared" si="7"/>
        <v>1051</v>
      </c>
      <c r="AY1526" s="117">
        <f t="shared" si="8"/>
        <v>832</v>
      </c>
      <c r="AZ1526" s="120">
        <f t="shared" si="9"/>
        <v>219</v>
      </c>
      <c r="BA1526" s="115">
        <v>0.0</v>
      </c>
      <c r="BB1526" s="89">
        <f t="shared" si="10"/>
        <v>1051</v>
      </c>
      <c r="BC1526" s="132" t="s">
        <v>178</v>
      </c>
      <c r="BD1526" s="132" t="s">
        <v>178</v>
      </c>
      <c r="BE1526" s="132" t="s">
        <v>178</v>
      </c>
      <c r="BF1526" s="156"/>
      <c r="BG1526" s="83">
        <v>1163924.0</v>
      </c>
      <c r="BH1526" s="137" t="s">
        <v>8602</v>
      </c>
      <c r="BI1526" s="112">
        <v>14.0</v>
      </c>
      <c r="BJ1526" s="98" t="s">
        <v>155</v>
      </c>
      <c r="BK1526" s="99">
        <f t="shared" si="11"/>
        <v>0</v>
      </c>
      <c r="BL1526" s="99">
        <f t="shared" si="12"/>
        <v>832</v>
      </c>
      <c r="BM1526" s="99" t="str">
        <f>IFERROR(__xludf.DUMMYFUNCTION("IFERROR(VLOOKUP(BG1526,IMPORTRANGE(""https://docs.google.com/spreadsheets/d/1juPI-Fb8LD0YtltB2mlGEnp_R3UVu1t3wSFPzgCyHXE/edit?gid=0#gid=0"",""GERAL!A2:C""),3,0),""-"")"),"-")</f>
        <v>-</v>
      </c>
    </row>
    <row r="1527" ht="15.75" customHeight="1">
      <c r="A1527" s="111" t="s">
        <v>1785</v>
      </c>
      <c r="B1527" s="83" t="s">
        <v>1994</v>
      </c>
      <c r="C1527" s="83" t="s">
        <v>68</v>
      </c>
      <c r="D1527" s="112">
        <v>1100949.0</v>
      </c>
      <c r="E1527" s="83"/>
      <c r="F1527" s="83">
        <v>2.9192889E7</v>
      </c>
      <c r="G1527" s="114" t="s">
        <v>8607</v>
      </c>
      <c r="H1527" s="91" t="s">
        <v>8608</v>
      </c>
      <c r="I1527" s="83" t="s">
        <v>8609</v>
      </c>
      <c r="J1527" s="83" t="s">
        <v>150</v>
      </c>
      <c r="K1527" s="83" t="s">
        <v>151</v>
      </c>
      <c r="L1527" s="83" t="s">
        <v>152</v>
      </c>
      <c r="M1527" s="82" t="str">
        <f>IFERROR(__xludf.DUMMYFUNCTION("IFERROR(VLOOKUP(D1527,
IMPORTRANGE(""https://docs.google.com/spreadsheets/d/1MjHtlUikwobi2MaWJgy7tfLeBmhj1u-dRFRs_8GwSoA/edit#gid=0"",""Gestores Escolares!D7:J""),3,0),""VERIFICAR CÓD SEC"")"),"SILVONILTON CARVALHO BASTOS")</f>
        <v>SILVONILTON CARVALHO BASTOS</v>
      </c>
      <c r="N1527" s="82" t="str">
        <f>IFERROR(__xludf.DUMMYFUNCTION("IFERROR(VLOOKUP(D1527,
IMPORTRANGE(""https://docs.google.com/spreadsheets/d/1MjHtlUikwobi2MaWJgy7tfLeBmhj1u-dRFRs_8GwSoA/edit#gid=0"",""Gestores Escolares!D7:J""),4,0),""VERIFICAR CÓD SEC"")"),"(71) 9 9204-8095")</f>
        <v>(71) 9 9204-8095</v>
      </c>
      <c r="O1527" s="82" t="str">
        <f>IFERROR(__xludf.DUMMYFUNCTION("IFERROR(VLOOKUP(D1527,
IMPORTRANGE(""https://docs.google.com/spreadsheets/d/1MjHtlUikwobi2MaWJgy7tfLeBmhj1u-dRFRs_8GwSoA/edit#gid=0"",""Gestores Escolares!D7:J""),6,0),""VERIFICAR CÓD SEC"")"),"CRISTIANE DE ASSIS LIMA")</f>
        <v>CRISTIANE DE ASSIS LIMA</v>
      </c>
      <c r="P1527" s="82" t="str">
        <f>IFERROR(__xludf.DUMMYFUNCTION("IFERROR(VLOOKUP(D1527,
IMPORTRANGE(""https://docs.google.com/spreadsheets/d/1MjHtlUikwobi2MaWJgy7tfLeBmhj1u-dRFRs_8GwSoA/edit#gid=0"",""Gestores Escolares!D7:J""),7,0),""VERIFICAR CÓD SEC"")"),"(71) 9 9608-7882")</f>
        <v>(71) 9 9608-7882</v>
      </c>
      <c r="Q1527" s="82" t="str">
        <f>IFERROR(__xludf.DUMMYFUNCTION("IFERROR(VLOOKUP(D1527,
IMPORTRANGE(""https://docs.google.com/spreadsheets/d/1MjHtlUikwobi2MaWJgy7tfLeBmhj1u-dRFRs_8GwSoA/edit#gid=0"",""Gestores Escolares!D7:m""),9,0),""VERIFICAR CÓD SEC"")"),"ROSENEI BASTOS DE OLIVEIRA")</f>
        <v>ROSENEI BASTOS DE OLIVEIRA</v>
      </c>
      <c r="R1527" s="82" t="str">
        <f>IFERROR(__xludf.DUMMYFUNCTION("IFERROR(VLOOKUP(D1527,
IMPORTRANGE(""https://docs.google.com/spreadsheets/d/1MjHtlUikwobi2MaWJgy7tfLeBmhj1u-dRFRs_8GwSoA/edit#gid=0"",""Gestores Escolares!D7:m""),10,0),""VERIFICAR CÓD SEC"")"),"   (71) 9 9125-3457")</f>
        <v>   (71) 9 9125-3457</v>
      </c>
      <c r="S1527" s="82"/>
      <c r="T1527" s="138">
        <v>14.0</v>
      </c>
      <c r="U1527" s="152">
        <v>13.0</v>
      </c>
      <c r="V1527" s="106">
        <v>0.0</v>
      </c>
      <c r="W1527" s="107">
        <v>0.0</v>
      </c>
      <c r="X1527" s="107">
        <v>0.0</v>
      </c>
      <c r="Y1527" s="107">
        <v>0.0</v>
      </c>
      <c r="Z1527" s="80">
        <f t="shared" si="1"/>
        <v>0</v>
      </c>
      <c r="AA1527" s="106">
        <v>0.0</v>
      </c>
      <c r="AB1527" s="107">
        <v>339.0</v>
      </c>
      <c r="AC1527" s="107">
        <v>0.0</v>
      </c>
      <c r="AD1527" s="107">
        <v>0.0</v>
      </c>
      <c r="AE1527" s="80">
        <f t="shared" si="2"/>
        <v>339</v>
      </c>
      <c r="AF1527" s="140">
        <v>383.0</v>
      </c>
      <c r="AG1527" s="109">
        <v>0.0</v>
      </c>
      <c r="AH1527" s="109">
        <v>0.0</v>
      </c>
      <c r="AI1527" s="141">
        <v>0.0</v>
      </c>
      <c r="AJ1527" s="80">
        <f t="shared" si="3"/>
        <v>383</v>
      </c>
      <c r="AK1527" s="140">
        <v>0.0</v>
      </c>
      <c r="AL1527" s="109">
        <v>0.0</v>
      </c>
      <c r="AM1527" s="141">
        <v>25.0</v>
      </c>
      <c r="AN1527" s="80">
        <f t="shared" si="4"/>
        <v>25</v>
      </c>
      <c r="AO1527" s="140">
        <v>0.0</v>
      </c>
      <c r="AP1527" s="109">
        <v>0.0</v>
      </c>
      <c r="AQ1527" s="109">
        <v>141.0</v>
      </c>
      <c r="AR1527" s="80">
        <f t="shared" si="5"/>
        <v>141</v>
      </c>
      <c r="AS1527" s="110">
        <v>0.0</v>
      </c>
      <c r="AT1527" s="110">
        <v>0.0</v>
      </c>
      <c r="AU1527" s="110">
        <v>0.0</v>
      </c>
      <c r="AV1527" s="142">
        <v>0.0</v>
      </c>
      <c r="AW1527" s="80">
        <f t="shared" si="6"/>
        <v>0</v>
      </c>
      <c r="AX1527" s="113">
        <f t="shared" si="7"/>
        <v>888</v>
      </c>
      <c r="AY1527" s="117">
        <f t="shared" si="8"/>
        <v>722</v>
      </c>
      <c r="AZ1527" s="120">
        <f t="shared" si="9"/>
        <v>166</v>
      </c>
      <c r="BA1527" s="115">
        <v>0.0</v>
      </c>
      <c r="BB1527" s="89">
        <f t="shared" si="10"/>
        <v>888</v>
      </c>
      <c r="BC1527" s="132" t="s">
        <v>178</v>
      </c>
      <c r="BD1527" s="132" t="s">
        <v>178</v>
      </c>
      <c r="BE1527" s="132" t="s">
        <v>178</v>
      </c>
      <c r="BF1527" s="123"/>
      <c r="BG1527" s="83">
        <v>1100949.0</v>
      </c>
      <c r="BH1527" s="137" t="s">
        <v>8610</v>
      </c>
      <c r="BI1527" s="112">
        <v>13.0</v>
      </c>
      <c r="BJ1527" s="98" t="s">
        <v>155</v>
      </c>
      <c r="BK1527" s="99">
        <f t="shared" si="11"/>
        <v>0</v>
      </c>
      <c r="BL1527" s="99">
        <f t="shared" si="12"/>
        <v>722</v>
      </c>
      <c r="BM1527" s="99" t="str">
        <f>IFERROR(__xludf.DUMMYFUNCTION("IFERROR(VLOOKUP(BG1527,IMPORTRANGE(""https://docs.google.com/spreadsheets/d/1juPI-Fb8LD0YtltB2mlGEnp_R3UVu1t3wSFPzgCyHXE/edit?gid=0#gid=0"",""GERAL!A2:C""),3,0),""-"")"),"-")</f>
        <v>-</v>
      </c>
    </row>
    <row r="1528" ht="15.75" customHeight="1">
      <c r="A1528" s="111" t="s">
        <v>1785</v>
      </c>
      <c r="B1528" s="83" t="s">
        <v>1994</v>
      </c>
      <c r="C1528" s="83" t="s">
        <v>68</v>
      </c>
      <c r="D1528" s="112">
        <v>1101376.0</v>
      </c>
      <c r="E1528" s="83"/>
      <c r="F1528" s="83">
        <v>2.9182247E7</v>
      </c>
      <c r="G1528" s="119" t="s">
        <v>8611</v>
      </c>
      <c r="H1528" s="91" t="s">
        <v>8612</v>
      </c>
      <c r="I1528" s="83" t="s">
        <v>8588</v>
      </c>
      <c r="J1528" s="83" t="s">
        <v>150</v>
      </c>
      <c r="K1528" s="83" t="s">
        <v>151</v>
      </c>
      <c r="L1528" s="83" t="s">
        <v>152</v>
      </c>
      <c r="M1528" s="82" t="str">
        <f>IFERROR(__xludf.DUMMYFUNCTION("IFERROR(VLOOKUP(D1528,
IMPORTRANGE(""https://docs.google.com/spreadsheets/d/1MjHtlUikwobi2MaWJgy7tfLeBmhj1u-dRFRs_8GwSoA/edit#gid=0"",""Gestores Escolares!D7:J""),3,0),""VERIFICAR CÓD SEC"")"),"ALDAIR ALMEIDA DANTAS")</f>
        <v>ALDAIR ALMEIDA DANTAS</v>
      </c>
      <c r="N1528" s="82" t="str">
        <f>IFERROR(__xludf.DUMMYFUNCTION("IFERROR(VLOOKUP(D1528,
IMPORTRANGE(""https://docs.google.com/spreadsheets/d/1MjHtlUikwobi2MaWJgy7tfLeBmhj1u-dRFRs_8GwSoA/edit#gid=0"",""Gestores Escolares!D7:J""),4,0),""VERIFICAR CÓD SEC"")"),"(71) 9 8755-3254 ")</f>
        <v>(71) 9 8755-3254 </v>
      </c>
      <c r="O1528" s="82" t="str">
        <f>IFERROR(__xludf.DUMMYFUNCTION("IFERROR(VLOOKUP(D1528,
IMPORTRANGE(""https://docs.google.com/spreadsheets/d/1MjHtlUikwobi2MaWJgy7tfLeBmhj1u-dRFRs_8GwSoA/edit#gid=0"",""Gestores Escolares!D7:J""),6,0),""VERIFICAR CÓD SEC"")"),"JAQUELINE PINTO DOS SANTOS BORRONI")</f>
        <v>JAQUELINE PINTO DOS SANTOS BORRONI</v>
      </c>
      <c r="P1528" s="82" t="str">
        <f>IFERROR(__xludf.DUMMYFUNCTION("IFERROR(VLOOKUP(D1528,
IMPORTRANGE(""https://docs.google.com/spreadsheets/d/1MjHtlUikwobi2MaWJgy7tfLeBmhj1u-dRFRs_8GwSoA/edit#gid=0"",""Gestores Escolares!D7:J""),7,0),""VERIFICAR CÓD SEC"")"),"(71) 9 9213-5851/ 
9 8618-9709")</f>
        <v>(71) 9 9213-5851/ 
9 8618-9709</v>
      </c>
      <c r="Q1528" s="82" t="str">
        <f>IFERROR(__xludf.DUMMYFUNCTION("IFERROR(VLOOKUP(D1528,
IMPORTRANGE(""https://docs.google.com/spreadsheets/d/1MjHtlUikwobi2MaWJgy7tfLeBmhj1u-dRFRs_8GwSoA/edit#gid=0"",""Gestores Escolares!D7:m""),9,0),""VERIFICAR CÓD SEC"")"),"")</f>
        <v/>
      </c>
      <c r="R1528" s="82" t="str">
        <f>IFERROR(__xludf.DUMMYFUNCTION("IFERROR(VLOOKUP(D1528,
IMPORTRANGE(""https://docs.google.com/spreadsheets/d/1MjHtlUikwobi2MaWJgy7tfLeBmhj1u-dRFRs_8GwSoA/edit#gid=0"",""Gestores Escolares!D7:m""),10,0),""VERIFICAR CÓD SEC"")"),"")</f>
        <v/>
      </c>
      <c r="S1528" s="82"/>
      <c r="T1528" s="138">
        <v>13.0</v>
      </c>
      <c r="U1528" s="152">
        <v>12.0</v>
      </c>
      <c r="V1528" s="106">
        <v>0.0</v>
      </c>
      <c r="W1528" s="107">
        <v>0.0</v>
      </c>
      <c r="X1528" s="107">
        <v>0.0</v>
      </c>
      <c r="Y1528" s="107">
        <v>0.0</v>
      </c>
      <c r="Z1528" s="80">
        <f t="shared" si="1"/>
        <v>0</v>
      </c>
      <c r="AA1528" s="106">
        <v>0.0</v>
      </c>
      <c r="AB1528" s="107">
        <v>0.0</v>
      </c>
      <c r="AC1528" s="107">
        <v>0.0</v>
      </c>
      <c r="AD1528" s="107">
        <v>0.0</v>
      </c>
      <c r="AE1528" s="80">
        <f t="shared" si="2"/>
        <v>0</v>
      </c>
      <c r="AF1528" s="140">
        <v>93.0</v>
      </c>
      <c r="AG1528" s="109">
        <v>0.0</v>
      </c>
      <c r="AH1528" s="109">
        <v>0.0</v>
      </c>
      <c r="AI1528" s="141">
        <v>0.0</v>
      </c>
      <c r="AJ1528" s="80">
        <f t="shared" si="3"/>
        <v>93</v>
      </c>
      <c r="AK1528" s="140">
        <v>0.0</v>
      </c>
      <c r="AL1528" s="109">
        <v>0.0</v>
      </c>
      <c r="AM1528" s="141">
        <v>0.0</v>
      </c>
      <c r="AN1528" s="80">
        <f t="shared" si="4"/>
        <v>0</v>
      </c>
      <c r="AO1528" s="140">
        <v>0.0</v>
      </c>
      <c r="AP1528" s="109">
        <v>0.0</v>
      </c>
      <c r="AQ1528" s="109">
        <v>0.0</v>
      </c>
      <c r="AR1528" s="80">
        <f t="shared" si="5"/>
        <v>0</v>
      </c>
      <c r="AS1528" s="110">
        <v>142.0</v>
      </c>
      <c r="AT1528" s="110">
        <v>0.0</v>
      </c>
      <c r="AU1528" s="110">
        <v>0.0</v>
      </c>
      <c r="AV1528" s="142">
        <v>0.0</v>
      </c>
      <c r="AW1528" s="80">
        <f t="shared" si="6"/>
        <v>142</v>
      </c>
      <c r="AX1528" s="113">
        <f t="shared" si="7"/>
        <v>235</v>
      </c>
      <c r="AY1528" s="117">
        <f t="shared" si="8"/>
        <v>235</v>
      </c>
      <c r="AZ1528" s="120">
        <f t="shared" si="9"/>
        <v>0</v>
      </c>
      <c r="BA1528" s="115">
        <v>0.0</v>
      </c>
      <c r="BB1528" s="89">
        <f t="shared" si="10"/>
        <v>235</v>
      </c>
      <c r="BC1528" s="132" t="s">
        <v>178</v>
      </c>
      <c r="BD1528" s="132" t="s">
        <v>178</v>
      </c>
      <c r="BE1528" s="132" t="s">
        <v>178</v>
      </c>
      <c r="BF1528" s="123"/>
      <c r="BG1528" s="83">
        <v>1101376.0</v>
      </c>
      <c r="BH1528" s="137" t="s">
        <v>8613</v>
      </c>
      <c r="BI1528" s="112">
        <v>12.0</v>
      </c>
      <c r="BJ1528" s="98" t="s">
        <v>155</v>
      </c>
      <c r="BK1528" s="99">
        <f t="shared" si="11"/>
        <v>0</v>
      </c>
      <c r="BL1528" s="99">
        <f t="shared" si="12"/>
        <v>235</v>
      </c>
      <c r="BM1528" s="99" t="str">
        <f>IFERROR(__xludf.DUMMYFUNCTION("IFERROR(VLOOKUP(BG1528,IMPORTRANGE(""https://docs.google.com/spreadsheets/d/1juPI-Fb8LD0YtltB2mlGEnp_R3UVu1t3wSFPzgCyHXE/edit?gid=0#gid=0"",""GERAL!A2:C""),3,0),""-"")"),"-")</f>
        <v>-</v>
      </c>
    </row>
    <row r="1529" ht="15.75" customHeight="1">
      <c r="A1529" s="111" t="s">
        <v>1785</v>
      </c>
      <c r="B1529" s="83" t="s">
        <v>1994</v>
      </c>
      <c r="C1529" s="83" t="s">
        <v>68</v>
      </c>
      <c r="D1529" s="112">
        <v>1104642.0</v>
      </c>
      <c r="E1529" s="83"/>
      <c r="F1529" s="83">
        <v>2.9184916E7</v>
      </c>
      <c r="G1529" s="119" t="s">
        <v>8614</v>
      </c>
      <c r="H1529" s="91" t="s">
        <v>8615</v>
      </c>
      <c r="I1529" s="83" t="s">
        <v>8391</v>
      </c>
      <c r="J1529" s="83" t="s">
        <v>150</v>
      </c>
      <c r="K1529" s="83" t="s">
        <v>151</v>
      </c>
      <c r="L1529" s="83" t="s">
        <v>152</v>
      </c>
      <c r="M1529" s="82" t="str">
        <f>IFERROR(__xludf.DUMMYFUNCTION("IFERROR(VLOOKUP(D1529,
IMPORTRANGE(""https://docs.google.com/spreadsheets/d/1MjHtlUikwobi2MaWJgy7tfLeBmhj1u-dRFRs_8GwSoA/edit#gid=0"",""Gestores Escolares!D7:J""),3,0),""VERIFICAR CÓD SEC"")")," ELNEIDE JESUS ARIANY")</f>
        <v> ELNEIDE JESUS ARIANY</v>
      </c>
      <c r="N1529" s="82" t="str">
        <f>IFERROR(__xludf.DUMMYFUNCTION("IFERROR(VLOOKUP(D1529,
IMPORTRANGE(""https://docs.google.com/spreadsheets/d/1MjHtlUikwobi2MaWJgy7tfLeBmhj1u-dRFRs_8GwSoA/edit#gid=0"",""Gestores Escolares!D7:J""),4,0),""VERIFICAR CÓD SEC"")"),"(71) 9 8656-5665")</f>
        <v>(71) 9 8656-5665</v>
      </c>
      <c r="O1529" s="82" t="str">
        <f>IFERROR(__xludf.DUMMYFUNCTION("IFERROR(VLOOKUP(D1529,
IMPORTRANGE(""https://docs.google.com/spreadsheets/d/1MjHtlUikwobi2MaWJgy7tfLeBmhj1u-dRFRs_8GwSoA/edit#gid=0"",""Gestores Escolares!D7:J""),6,0),""VERIFICAR CÓD SEC"")"),"EMERSON COSTA FARIA")</f>
        <v>EMERSON COSTA FARIA</v>
      </c>
      <c r="P1529" s="82" t="str">
        <f>IFERROR(__xludf.DUMMYFUNCTION("IFERROR(VLOOKUP(D1529,
IMPORTRANGE(""https://docs.google.com/spreadsheets/d/1MjHtlUikwobi2MaWJgy7tfLeBmhj1u-dRFRs_8GwSoA/edit#gid=0"",""Gestores Escolares!D7:J""),7,0),""VERIFICAR CÓD SEC"")"),"(71) 9 9239-5481")</f>
        <v>(71) 9 9239-5481</v>
      </c>
      <c r="Q1529" s="82" t="str">
        <f>IFERROR(__xludf.DUMMYFUNCTION("IFERROR(VLOOKUP(D1529,
IMPORTRANGE(""https://docs.google.com/spreadsheets/d/1MjHtlUikwobi2MaWJgy7tfLeBmhj1u-dRFRs_8GwSoA/edit#gid=0"",""Gestores Escolares!D7:m""),9,0),""VERIFICAR CÓD SEC"")"),"NELMA MARIA OLIVEIRA GALLIZA")</f>
        <v>NELMA MARIA OLIVEIRA GALLIZA</v>
      </c>
      <c r="R1529" s="82" t="str">
        <f>IFERROR(__xludf.DUMMYFUNCTION("IFERROR(VLOOKUP(D1529,
IMPORTRANGE(""https://docs.google.com/spreadsheets/d/1MjHtlUikwobi2MaWJgy7tfLeBmhj1u-dRFRs_8GwSoA/edit#gid=0"",""Gestores Escolares!D7:m""),10,0),""VERIFICAR CÓD SEC"")"),"(71) 9 9404-2000")</f>
        <v>(71) 9 9404-2000</v>
      </c>
      <c r="S1529" s="82"/>
      <c r="T1529" s="138">
        <v>12.0</v>
      </c>
      <c r="U1529" s="152">
        <v>12.0</v>
      </c>
      <c r="V1529" s="106">
        <v>0.0</v>
      </c>
      <c r="W1529" s="107">
        <v>0.0</v>
      </c>
      <c r="X1529" s="107">
        <v>0.0</v>
      </c>
      <c r="Y1529" s="107">
        <v>0.0</v>
      </c>
      <c r="Z1529" s="80">
        <f t="shared" si="1"/>
        <v>0</v>
      </c>
      <c r="AA1529" s="106">
        <v>375.0</v>
      </c>
      <c r="AB1529" s="107">
        <v>103.0</v>
      </c>
      <c r="AC1529" s="107">
        <v>0.0</v>
      </c>
      <c r="AD1529" s="107">
        <v>0.0</v>
      </c>
      <c r="AE1529" s="80">
        <f t="shared" si="2"/>
        <v>478</v>
      </c>
      <c r="AF1529" s="140">
        <v>0.0</v>
      </c>
      <c r="AG1529" s="109">
        <v>184.0</v>
      </c>
      <c r="AH1529" s="109">
        <v>0.0</v>
      </c>
      <c r="AI1529" s="141">
        <v>0.0</v>
      </c>
      <c r="AJ1529" s="80">
        <f t="shared" si="3"/>
        <v>184</v>
      </c>
      <c r="AK1529" s="140">
        <v>0.0</v>
      </c>
      <c r="AL1529" s="109">
        <v>0.0</v>
      </c>
      <c r="AM1529" s="141">
        <v>144.0</v>
      </c>
      <c r="AN1529" s="80">
        <f t="shared" si="4"/>
        <v>144</v>
      </c>
      <c r="AO1529" s="140">
        <v>0.0</v>
      </c>
      <c r="AP1529" s="109">
        <v>0.0</v>
      </c>
      <c r="AQ1529" s="109">
        <v>240.0</v>
      </c>
      <c r="AR1529" s="80">
        <f t="shared" si="5"/>
        <v>240</v>
      </c>
      <c r="AS1529" s="110">
        <v>0.0</v>
      </c>
      <c r="AT1529" s="110">
        <v>0.0</v>
      </c>
      <c r="AU1529" s="110">
        <v>0.0</v>
      </c>
      <c r="AV1529" s="142">
        <v>0.0</v>
      </c>
      <c r="AW1529" s="80">
        <f t="shared" si="6"/>
        <v>0</v>
      </c>
      <c r="AX1529" s="113">
        <f t="shared" si="7"/>
        <v>1046</v>
      </c>
      <c r="AY1529" s="117">
        <f t="shared" si="8"/>
        <v>662</v>
      </c>
      <c r="AZ1529" s="120">
        <f t="shared" si="9"/>
        <v>384</v>
      </c>
      <c r="BA1529" s="115">
        <v>0.0</v>
      </c>
      <c r="BB1529" s="89">
        <f t="shared" si="10"/>
        <v>1046</v>
      </c>
      <c r="BC1529" s="132" t="s">
        <v>178</v>
      </c>
      <c r="BD1529" s="132" t="s">
        <v>178</v>
      </c>
      <c r="BE1529" s="132" t="s">
        <v>178</v>
      </c>
      <c r="BF1529" s="123"/>
      <c r="BG1529" s="83">
        <v>1104642.0</v>
      </c>
      <c r="BH1529" s="137" t="s">
        <v>8616</v>
      </c>
      <c r="BI1529" s="112">
        <v>12.0</v>
      </c>
      <c r="BJ1529" s="98" t="s">
        <v>155</v>
      </c>
      <c r="BK1529" s="99">
        <f t="shared" si="11"/>
        <v>0</v>
      </c>
      <c r="BL1529" s="99">
        <f t="shared" si="12"/>
        <v>662</v>
      </c>
      <c r="BM1529" s="99" t="str">
        <f>IFERROR(__xludf.DUMMYFUNCTION("IFERROR(VLOOKUP(BG1529,IMPORTRANGE(""https://docs.google.com/spreadsheets/d/1juPI-Fb8LD0YtltB2mlGEnp_R3UVu1t3wSFPzgCyHXE/edit?gid=0#gid=0"",""GERAL!A2:C""),3,0),""-"")"),"-")</f>
        <v>-</v>
      </c>
    </row>
    <row r="1530" ht="15.75" customHeight="1">
      <c r="A1530" s="111" t="s">
        <v>1785</v>
      </c>
      <c r="B1530" s="83" t="s">
        <v>1994</v>
      </c>
      <c r="C1530" s="83" t="s">
        <v>68</v>
      </c>
      <c r="D1530" s="112">
        <v>1173946.0</v>
      </c>
      <c r="E1530" s="83"/>
      <c r="F1530" s="83">
        <v>2.9182131E7</v>
      </c>
      <c r="G1530" s="119" t="s">
        <v>8617</v>
      </c>
      <c r="H1530" s="91" t="s">
        <v>8618</v>
      </c>
      <c r="I1530" s="83" t="s">
        <v>8619</v>
      </c>
      <c r="J1530" s="83" t="s">
        <v>150</v>
      </c>
      <c r="K1530" s="83" t="s">
        <v>151</v>
      </c>
      <c r="L1530" s="83" t="s">
        <v>230</v>
      </c>
      <c r="M1530" s="82" t="str">
        <f>IFERROR(__xludf.DUMMYFUNCTION("IFERROR(VLOOKUP(D1530,
IMPORTRANGE(""https://docs.google.com/spreadsheets/d/1MjHtlUikwobi2MaWJgy7tfLeBmhj1u-dRFRs_8GwSoA/edit#gid=0"",""Gestores Escolares!D7:J""),3,0),""VERIFICAR CÓD SEC"")"),"RICARDO LEITE TEIXEIRA")</f>
        <v>RICARDO LEITE TEIXEIRA</v>
      </c>
      <c r="N1530" s="82" t="str">
        <f>IFERROR(__xludf.DUMMYFUNCTION("IFERROR(VLOOKUP(D1530,
IMPORTRANGE(""https://docs.google.com/spreadsheets/d/1MjHtlUikwobi2MaWJgy7tfLeBmhj1u-dRFRs_8GwSoA/edit#gid=0"",""Gestores Escolares!D7:J""),4,0),""VERIFICAR CÓD SEC"")"),"(71) 9 9207-1617/ 
9 9936-2998
9 9314-0591")</f>
        <v>(71) 9 9207-1617/ 
9 9936-2998
9 9314-0591</v>
      </c>
      <c r="O1530" s="82" t="str">
        <f>IFERROR(__xludf.DUMMYFUNCTION("IFERROR(VLOOKUP(D1530,
IMPORTRANGE(""https://docs.google.com/spreadsheets/d/1MjHtlUikwobi2MaWJgy7tfLeBmhj1u-dRFRs_8GwSoA/edit#gid=0"",""Gestores Escolares!D7:J""),6,0),""VERIFICAR CÓD SEC"")"),"JOSÉ MARIO REGIS COSTA")</f>
        <v>JOSÉ MARIO REGIS COSTA</v>
      </c>
      <c r="P1530" s="82" t="str">
        <f>IFERROR(__xludf.DUMMYFUNCTION("IFERROR(VLOOKUP(D1530,
IMPORTRANGE(""https://docs.google.com/spreadsheets/d/1MjHtlUikwobi2MaWJgy7tfLeBmhj1u-dRFRs_8GwSoA/edit#gid=0"",""Gestores Escolares!D7:J""),7,0),""VERIFICAR CÓD SEC"")"),"(71) 9 8849-0491/9 8822-0406")</f>
        <v>(71) 9 8849-0491/9 8822-0406</v>
      </c>
      <c r="Q1530" s="82" t="str">
        <f>IFERROR(__xludf.DUMMYFUNCTION("IFERROR(VLOOKUP(D1530,
IMPORTRANGE(""https://docs.google.com/spreadsheets/d/1MjHtlUikwobi2MaWJgy7tfLeBmhj1u-dRFRs_8GwSoA/edit#gid=0"",""Gestores Escolares!D7:m""),9,0),""VERIFICAR CÓD SEC"")"),"DANIELA CRISTINA DA SILVA GUEDES")</f>
        <v>DANIELA CRISTINA DA SILVA GUEDES</v>
      </c>
      <c r="R1530" s="82" t="str">
        <f>IFERROR(__xludf.DUMMYFUNCTION("IFERROR(VLOOKUP(D1530,
IMPORTRANGE(""https://docs.google.com/spreadsheets/d/1MjHtlUikwobi2MaWJgy7tfLeBmhj1u-dRFRs_8GwSoA/edit#gid=0"",""Gestores Escolares!D7:m""),10,0),""VERIFICAR CÓD SEC"")"),"(71) 9 8320-7078")</f>
        <v>(71) 9 8320-7078</v>
      </c>
      <c r="S1530" s="82"/>
      <c r="T1530" s="138">
        <v>31.0</v>
      </c>
      <c r="U1530" s="152">
        <v>31.0</v>
      </c>
      <c r="V1530" s="106">
        <v>0.0</v>
      </c>
      <c r="W1530" s="107">
        <v>0.0</v>
      </c>
      <c r="X1530" s="107">
        <v>0.0</v>
      </c>
      <c r="Y1530" s="107">
        <v>0.0</v>
      </c>
      <c r="Z1530" s="80">
        <f t="shared" si="1"/>
        <v>0</v>
      </c>
      <c r="AA1530" s="106">
        <v>0.0</v>
      </c>
      <c r="AB1530" s="107">
        <v>0.0</v>
      </c>
      <c r="AC1530" s="107">
        <v>0.0</v>
      </c>
      <c r="AD1530" s="107">
        <v>0.0</v>
      </c>
      <c r="AE1530" s="80">
        <f t="shared" si="2"/>
        <v>0</v>
      </c>
      <c r="AF1530" s="140">
        <v>54.0</v>
      </c>
      <c r="AG1530" s="109">
        <v>0.0</v>
      </c>
      <c r="AH1530" s="109">
        <v>0.0</v>
      </c>
      <c r="AI1530" s="141">
        <v>137.0</v>
      </c>
      <c r="AJ1530" s="80">
        <f t="shared" si="3"/>
        <v>191</v>
      </c>
      <c r="AK1530" s="140">
        <v>0.0</v>
      </c>
      <c r="AL1530" s="109">
        <v>0.0</v>
      </c>
      <c r="AM1530" s="141">
        <v>0.0</v>
      </c>
      <c r="AN1530" s="80">
        <f t="shared" si="4"/>
        <v>0</v>
      </c>
      <c r="AO1530" s="140">
        <v>0.0</v>
      </c>
      <c r="AP1530" s="109">
        <v>0.0</v>
      </c>
      <c r="AQ1530" s="109">
        <v>106.0</v>
      </c>
      <c r="AR1530" s="80">
        <f t="shared" si="5"/>
        <v>106</v>
      </c>
      <c r="AS1530" s="110">
        <v>0.0</v>
      </c>
      <c r="AT1530" s="110">
        <v>0.0</v>
      </c>
      <c r="AU1530" s="110">
        <v>80.0</v>
      </c>
      <c r="AV1530" s="142">
        <v>14.0</v>
      </c>
      <c r="AW1530" s="80">
        <f t="shared" si="6"/>
        <v>94</v>
      </c>
      <c r="AX1530" s="113">
        <f t="shared" si="7"/>
        <v>391</v>
      </c>
      <c r="AY1530" s="117">
        <f t="shared" si="8"/>
        <v>205</v>
      </c>
      <c r="AZ1530" s="120">
        <f t="shared" si="9"/>
        <v>186</v>
      </c>
      <c r="BA1530" s="115">
        <v>0.0</v>
      </c>
      <c r="BB1530" s="89">
        <f t="shared" si="10"/>
        <v>391</v>
      </c>
      <c r="BC1530" s="132" t="s">
        <v>178</v>
      </c>
      <c r="BD1530" s="132" t="s">
        <v>178</v>
      </c>
      <c r="BE1530" s="132" t="s">
        <v>178</v>
      </c>
      <c r="BF1530" s="156"/>
      <c r="BG1530" s="83">
        <v>1173946.0</v>
      </c>
      <c r="BH1530" s="188" t="s">
        <v>8620</v>
      </c>
      <c r="BI1530" s="112">
        <v>31.0</v>
      </c>
      <c r="BJ1530" s="98" t="s">
        <v>155</v>
      </c>
      <c r="BK1530" s="99">
        <f t="shared" si="11"/>
        <v>151</v>
      </c>
      <c r="BL1530" s="99">
        <f t="shared" si="12"/>
        <v>54</v>
      </c>
      <c r="BM1530" s="99" t="str">
        <f>IFERROR(__xludf.DUMMYFUNCTION("IFERROR(VLOOKUP(BG1530,IMPORTRANGE(""https://docs.google.com/spreadsheets/d/1juPI-Fb8LD0YtltB2mlGEnp_R3UVu1t3wSFPzgCyHXE/edit?gid=0#gid=0"",""GERAL!A2:C""),3,0),""-"")"),"-")</f>
        <v>-</v>
      </c>
    </row>
    <row r="1531" ht="15.75" customHeight="1">
      <c r="A1531" s="111" t="s">
        <v>1785</v>
      </c>
      <c r="B1531" s="83" t="s">
        <v>1994</v>
      </c>
      <c r="C1531" s="83" t="s">
        <v>68</v>
      </c>
      <c r="D1531" s="112">
        <v>1104570.0</v>
      </c>
      <c r="E1531" s="83"/>
      <c r="F1531" s="83">
        <v>2.919136E7</v>
      </c>
      <c r="G1531" s="114" t="s">
        <v>8621</v>
      </c>
      <c r="H1531" s="91" t="s">
        <v>8622</v>
      </c>
      <c r="I1531" s="136" t="s">
        <v>8570</v>
      </c>
      <c r="J1531" s="83" t="s">
        <v>150</v>
      </c>
      <c r="K1531" s="83" t="s">
        <v>151</v>
      </c>
      <c r="L1531" s="83" t="s">
        <v>76</v>
      </c>
      <c r="M1531" s="82" t="str">
        <f>IFERROR(__xludf.DUMMYFUNCTION("IFERROR(VLOOKUP(D1531,
IMPORTRANGE(""https://docs.google.com/spreadsheets/d/1MjHtlUikwobi2MaWJgy7tfLeBmhj1u-dRFRs_8GwSoA/edit#gid=0"",""Gestores Escolares!D7:J""),3,0),""VERIFICAR CÓD SEC"")"),"SELMA SAMPAIO CORREIA")</f>
        <v>SELMA SAMPAIO CORREIA</v>
      </c>
      <c r="N1531" s="82" t="str">
        <f>IFERROR(__xludf.DUMMYFUNCTION("IFERROR(VLOOKUP(D1531,
IMPORTRANGE(""https://docs.google.com/spreadsheets/d/1MjHtlUikwobi2MaWJgy7tfLeBmhj1u-dRFRs_8GwSoA/edit#gid=0"",""Gestores Escolares!D7:J""),4,0),""VERIFICAR CÓD SEC"")"),"(71) 9 9263-1776")</f>
        <v>(71) 9 9263-1776</v>
      </c>
      <c r="O1531" s="82" t="str">
        <f>IFERROR(__xludf.DUMMYFUNCTION("IFERROR(VLOOKUP(D1531,
IMPORTRANGE(""https://docs.google.com/spreadsheets/d/1MjHtlUikwobi2MaWJgy7tfLeBmhj1u-dRFRs_8GwSoA/edit#gid=0"",""Gestores Escolares!D7:J""),6,0),""VERIFICAR CÓD SEC"")"),"ANA CRISTINA DE PINHO ESTRELLA")</f>
        <v>ANA CRISTINA DE PINHO ESTRELLA</v>
      </c>
      <c r="P1531" s="82" t="str">
        <f>IFERROR(__xludf.DUMMYFUNCTION("IFERROR(VLOOKUP(D1531,
IMPORTRANGE(""https://docs.google.com/spreadsheets/d/1MjHtlUikwobi2MaWJgy7tfLeBmhj1u-dRFRs_8GwSoA/edit#gid=0"",""Gestores Escolares!D7:J""),7,0),""VERIFICAR CÓD SEC"")"),"(71) 9 9234-4451")</f>
        <v>(71) 9 9234-4451</v>
      </c>
      <c r="Q1531" s="82" t="str">
        <f>IFERROR(__xludf.DUMMYFUNCTION("IFERROR(VLOOKUP(D1531,
IMPORTRANGE(""https://docs.google.com/spreadsheets/d/1MjHtlUikwobi2MaWJgy7tfLeBmhj1u-dRFRs_8GwSoA/edit#gid=0"",""Gestores Escolares!D7:m""),9,0),""VERIFICAR CÓD SEC"")"),"")</f>
        <v/>
      </c>
      <c r="R1531" s="82" t="str">
        <f>IFERROR(__xludf.DUMMYFUNCTION("IFERROR(VLOOKUP(D1531,
IMPORTRANGE(""https://docs.google.com/spreadsheets/d/1MjHtlUikwobi2MaWJgy7tfLeBmhj1u-dRFRs_8GwSoA/edit#gid=0"",""Gestores Escolares!D7:m""),10,0),""VERIFICAR CÓD SEC"")"),"")</f>
        <v/>
      </c>
      <c r="S1531" s="82"/>
      <c r="T1531" s="138">
        <v>8.0</v>
      </c>
      <c r="U1531" s="152">
        <v>8.0</v>
      </c>
      <c r="V1531" s="106">
        <v>0.0</v>
      </c>
      <c r="W1531" s="107">
        <v>0.0</v>
      </c>
      <c r="X1531" s="107">
        <v>0.0</v>
      </c>
      <c r="Y1531" s="107">
        <v>0.0</v>
      </c>
      <c r="Z1531" s="80">
        <f t="shared" si="1"/>
        <v>0</v>
      </c>
      <c r="AA1531" s="106">
        <v>0.0</v>
      </c>
      <c r="AB1531" s="107">
        <v>0.0</v>
      </c>
      <c r="AC1531" s="107">
        <v>0.0</v>
      </c>
      <c r="AD1531" s="107">
        <v>192.0</v>
      </c>
      <c r="AE1531" s="80">
        <f t="shared" si="2"/>
        <v>192</v>
      </c>
      <c r="AF1531" s="140">
        <v>0.0</v>
      </c>
      <c r="AG1531" s="109">
        <v>0.0</v>
      </c>
      <c r="AH1531" s="109">
        <v>0.0</v>
      </c>
      <c r="AI1531" s="141">
        <v>0.0</v>
      </c>
      <c r="AJ1531" s="80">
        <f t="shared" si="3"/>
        <v>0</v>
      </c>
      <c r="AK1531" s="140">
        <v>0.0</v>
      </c>
      <c r="AL1531" s="109">
        <v>0.0</v>
      </c>
      <c r="AM1531" s="141">
        <v>0.0</v>
      </c>
      <c r="AN1531" s="80">
        <f t="shared" si="4"/>
        <v>0</v>
      </c>
      <c r="AO1531" s="140">
        <v>0.0</v>
      </c>
      <c r="AP1531" s="109">
        <v>0.0</v>
      </c>
      <c r="AQ1531" s="109">
        <v>0.0</v>
      </c>
      <c r="AR1531" s="80">
        <f t="shared" si="5"/>
        <v>0</v>
      </c>
      <c r="AS1531" s="110">
        <v>0.0</v>
      </c>
      <c r="AT1531" s="110">
        <v>0.0</v>
      </c>
      <c r="AU1531" s="110">
        <v>0.0</v>
      </c>
      <c r="AV1531" s="142">
        <v>0.0</v>
      </c>
      <c r="AW1531" s="80">
        <f t="shared" si="6"/>
        <v>0</v>
      </c>
      <c r="AX1531" s="113">
        <f t="shared" si="7"/>
        <v>192</v>
      </c>
      <c r="AY1531" s="117">
        <f t="shared" si="8"/>
        <v>192</v>
      </c>
      <c r="AZ1531" s="120">
        <f t="shared" si="9"/>
        <v>0</v>
      </c>
      <c r="BA1531" s="115">
        <v>0.0</v>
      </c>
      <c r="BB1531" s="89">
        <f t="shared" si="10"/>
        <v>192</v>
      </c>
      <c r="BC1531" s="132" t="s">
        <v>178</v>
      </c>
      <c r="BD1531" s="132" t="s">
        <v>178</v>
      </c>
      <c r="BE1531" s="132" t="s">
        <v>178</v>
      </c>
      <c r="BF1531" s="123"/>
      <c r="BG1531" s="83">
        <v>1104570.0</v>
      </c>
      <c r="BH1531" s="137" t="s">
        <v>8623</v>
      </c>
      <c r="BI1531" s="112">
        <v>8.0</v>
      </c>
      <c r="BJ1531" s="98" t="s">
        <v>155</v>
      </c>
      <c r="BK1531" s="99">
        <f t="shared" si="11"/>
        <v>192</v>
      </c>
      <c r="BL1531" s="99">
        <f t="shared" si="12"/>
        <v>0</v>
      </c>
      <c r="BM1531" s="99" t="str">
        <f>IFERROR(__xludf.DUMMYFUNCTION("IFERROR(VLOOKUP(BG1531,IMPORTRANGE(""https://docs.google.com/spreadsheets/d/1juPI-Fb8LD0YtltB2mlGEnp_R3UVu1t3wSFPzgCyHXE/edit?gid=0#gid=0"",""GERAL!A2:C""),3,0),""-"")"),"-")</f>
        <v>-</v>
      </c>
    </row>
    <row r="1532" ht="15.75" customHeight="1">
      <c r="A1532" s="111" t="s">
        <v>1785</v>
      </c>
      <c r="B1532" s="83" t="s">
        <v>1994</v>
      </c>
      <c r="C1532" s="83" t="s">
        <v>68</v>
      </c>
      <c r="D1532" s="112">
        <v>1100981.0</v>
      </c>
      <c r="E1532" s="83"/>
      <c r="F1532" s="83">
        <v>2.918446E7</v>
      </c>
      <c r="G1532" s="187" t="s">
        <v>8626</v>
      </c>
      <c r="H1532" s="91" t="s">
        <v>8627</v>
      </c>
      <c r="I1532" s="136" t="s">
        <v>8417</v>
      </c>
      <c r="J1532" s="83" t="s">
        <v>150</v>
      </c>
      <c r="K1532" s="83" t="s">
        <v>151</v>
      </c>
      <c r="L1532" s="83" t="s">
        <v>230</v>
      </c>
      <c r="M1532" s="82" t="str">
        <f>IFERROR(__xludf.DUMMYFUNCTION("IFERROR(VLOOKUP(D1532,
IMPORTRANGE(""https://docs.google.com/spreadsheets/d/1MjHtlUikwobi2MaWJgy7tfLeBmhj1u-dRFRs_8GwSoA/edit#gid=0"",""Gestores Escolares!D7:J""),3,0),""VERIFICAR CÓD SEC"")"),"ANTÔNIO MAXIMO DANTAS ABREU")</f>
        <v>ANTÔNIO MAXIMO DANTAS ABREU</v>
      </c>
      <c r="N1532" s="82" t="str">
        <f>IFERROR(__xludf.DUMMYFUNCTION("IFERROR(VLOOKUP(D1532,
IMPORTRANGE(""https://docs.google.com/spreadsheets/d/1MjHtlUikwobi2MaWJgy7tfLeBmhj1u-dRFRs_8GwSoA/edit#gid=0"",""Gestores Escolares!D7:J""),4,0),""VERIFICAR CÓD SEC"")"),"(71) 9 9978-1933/ 9 9329-4435/ ")</f>
        <v>(71) 9 9978-1933/ 9 9329-4435/ </v>
      </c>
      <c r="O1532" s="82" t="str">
        <f>IFERROR(__xludf.DUMMYFUNCTION("IFERROR(VLOOKUP(D1532,
IMPORTRANGE(""https://docs.google.com/spreadsheets/d/1MjHtlUikwobi2MaWJgy7tfLeBmhj1u-dRFRs_8GwSoA/edit#gid=0"",""Gestores Escolares!D7:J""),6,0),""VERIFICAR CÓD SEC"")"),"GUTEMBERG DA SILVA CAZAIS FERREIRA")</f>
        <v>GUTEMBERG DA SILVA CAZAIS FERREIRA</v>
      </c>
      <c r="P1532" s="82" t="str">
        <f>IFERROR(__xludf.DUMMYFUNCTION("IFERROR(VLOOKUP(D1532,
IMPORTRANGE(""https://docs.google.com/spreadsheets/d/1MjHtlUikwobi2MaWJgy7tfLeBmhj1u-dRFRs_8GwSoA/edit#gid=0"",""Gestores Escolares!D7:J""),7,0),""VERIFICAR CÓD SEC"")"),"(71) 9 8864-4877")</f>
        <v>(71) 9 8864-4877</v>
      </c>
      <c r="Q1532" s="82" t="str">
        <f>IFERROR(__xludf.DUMMYFUNCTION("IFERROR(VLOOKUP(D1532,
IMPORTRANGE(""https://docs.google.com/spreadsheets/d/1MjHtlUikwobi2MaWJgy7tfLeBmhj1u-dRFRs_8GwSoA/edit#gid=0"",""Gestores Escolares!D7:m""),9,0),""VERIFICAR CÓD SEC"")"),"ALCIDES SANTOS DE MAGALHAES")</f>
        <v>ALCIDES SANTOS DE MAGALHAES</v>
      </c>
      <c r="R1532" s="82" t="str">
        <f>IFERROR(__xludf.DUMMYFUNCTION("IFERROR(VLOOKUP(D1532,
IMPORTRANGE(""https://docs.google.com/spreadsheets/d/1MjHtlUikwobi2MaWJgy7tfLeBmhj1u-dRFRs_8GwSoA/edit#gid=0"",""Gestores Escolares!D7:m""),10,0),""VERIFICAR CÓD SEC"")"),"(71) 9 8753-8592")</f>
        <v>(71) 9 8753-8592</v>
      </c>
      <c r="S1532" s="82"/>
      <c r="T1532" s="138">
        <v>21.0</v>
      </c>
      <c r="U1532" s="145">
        <v>21.0</v>
      </c>
      <c r="V1532" s="106">
        <v>0.0</v>
      </c>
      <c r="W1532" s="107">
        <v>0.0</v>
      </c>
      <c r="X1532" s="107">
        <v>0.0</v>
      </c>
      <c r="Y1532" s="107">
        <v>0.0</v>
      </c>
      <c r="Z1532" s="80">
        <f t="shared" si="1"/>
        <v>0</v>
      </c>
      <c r="AA1532" s="106">
        <v>0.0</v>
      </c>
      <c r="AB1532" s="107">
        <v>385.0</v>
      </c>
      <c r="AC1532" s="107">
        <v>0.0</v>
      </c>
      <c r="AD1532" s="107">
        <v>0.0</v>
      </c>
      <c r="AE1532" s="80">
        <f t="shared" si="2"/>
        <v>385</v>
      </c>
      <c r="AF1532" s="140">
        <v>494.0</v>
      </c>
      <c r="AG1532" s="109">
        <v>36.0</v>
      </c>
      <c r="AH1532" s="109">
        <v>0.0</v>
      </c>
      <c r="AI1532" s="141">
        <v>0.0</v>
      </c>
      <c r="AJ1532" s="80">
        <f t="shared" si="3"/>
        <v>530</v>
      </c>
      <c r="AK1532" s="140">
        <v>0.0</v>
      </c>
      <c r="AL1532" s="109">
        <v>0.0</v>
      </c>
      <c r="AM1532" s="141">
        <v>0.0</v>
      </c>
      <c r="AN1532" s="80">
        <f t="shared" si="4"/>
        <v>0</v>
      </c>
      <c r="AO1532" s="140">
        <v>0.0</v>
      </c>
      <c r="AP1532" s="109">
        <v>0.0</v>
      </c>
      <c r="AQ1532" s="109">
        <v>146.0</v>
      </c>
      <c r="AR1532" s="80">
        <f t="shared" si="5"/>
        <v>146</v>
      </c>
      <c r="AS1532" s="110">
        <v>88.0</v>
      </c>
      <c r="AT1532" s="110">
        <v>0.0</v>
      </c>
      <c r="AU1532" s="110">
        <v>82.0</v>
      </c>
      <c r="AV1532" s="142">
        <v>0.0</v>
      </c>
      <c r="AW1532" s="80">
        <f t="shared" si="6"/>
        <v>170</v>
      </c>
      <c r="AX1532" s="113">
        <f t="shared" si="7"/>
        <v>1231</v>
      </c>
      <c r="AY1532" s="117">
        <f t="shared" si="8"/>
        <v>1003</v>
      </c>
      <c r="AZ1532" s="120">
        <f t="shared" si="9"/>
        <v>228</v>
      </c>
      <c r="BA1532" s="115">
        <v>0.0</v>
      </c>
      <c r="BB1532" s="89">
        <f t="shared" si="10"/>
        <v>1231</v>
      </c>
      <c r="BC1532" s="132" t="s">
        <v>178</v>
      </c>
      <c r="BD1532" s="132" t="s">
        <v>178</v>
      </c>
      <c r="BE1532" s="132" t="s">
        <v>178</v>
      </c>
      <c r="BF1532" s="123"/>
      <c r="BG1532" s="83">
        <v>1100981.0</v>
      </c>
      <c r="BH1532" s="137" t="s">
        <v>8628</v>
      </c>
      <c r="BI1532" s="112">
        <v>18.0</v>
      </c>
      <c r="BJ1532" s="98" t="s">
        <v>155</v>
      </c>
      <c r="BK1532" s="99">
        <f t="shared" si="11"/>
        <v>0</v>
      </c>
      <c r="BL1532" s="99">
        <f t="shared" si="12"/>
        <v>1003</v>
      </c>
      <c r="BM1532" s="99" t="str">
        <f>IFERROR(__xludf.DUMMYFUNCTION("IFERROR(VLOOKUP(BG1532,IMPORTRANGE(""https://docs.google.com/spreadsheets/d/1juPI-Fb8LD0YtltB2mlGEnp_R3UVu1t3wSFPzgCyHXE/edit?gid=0#gid=0"",""GERAL!A2:C""),3,0),""-"")"),"-")</f>
        <v>-</v>
      </c>
    </row>
    <row r="1533" ht="15.75" customHeight="1">
      <c r="A1533" s="111" t="s">
        <v>1785</v>
      </c>
      <c r="B1533" s="83" t="s">
        <v>1994</v>
      </c>
      <c r="C1533" s="83" t="s">
        <v>68</v>
      </c>
      <c r="D1533" s="112">
        <v>1100973.0</v>
      </c>
      <c r="E1533" s="83"/>
      <c r="F1533" s="83">
        <v>2.9191092E7</v>
      </c>
      <c r="G1533" s="119" t="s">
        <v>8629</v>
      </c>
      <c r="H1533" s="91" t="s">
        <v>8630</v>
      </c>
      <c r="I1533" s="83" t="s">
        <v>8461</v>
      </c>
      <c r="J1533" s="83" t="s">
        <v>150</v>
      </c>
      <c r="K1533" s="83" t="s">
        <v>151</v>
      </c>
      <c r="L1533" s="83" t="s">
        <v>230</v>
      </c>
      <c r="M1533" s="82" t="str">
        <f>IFERROR(__xludf.DUMMYFUNCTION("IFERROR(VLOOKUP(D1533,
IMPORTRANGE(""https://docs.google.com/spreadsheets/d/1MjHtlUikwobi2MaWJgy7tfLeBmhj1u-dRFRs_8GwSoA/edit#gid=0"",""Gestores Escolares!D7:J""),3,0),""VERIFICAR CÓD SEC"")"),"ANDERSON DE ARAUJO ROSA")</f>
        <v>ANDERSON DE ARAUJO ROSA</v>
      </c>
      <c r="N1533" s="82" t="str">
        <f>IFERROR(__xludf.DUMMYFUNCTION("IFERROR(VLOOKUP(D1533,
IMPORTRANGE(""https://docs.google.com/spreadsheets/d/1MjHtlUikwobi2MaWJgy7tfLeBmhj1u-dRFRs_8GwSoA/edit#gid=0"",""Gestores Escolares!D7:J""),4,0),""VERIFICAR CÓD SEC"")"),"(71) 9 8727-7140")</f>
        <v>(71) 9 8727-7140</v>
      </c>
      <c r="O1533" s="82" t="str">
        <f>IFERROR(__xludf.DUMMYFUNCTION("IFERROR(VLOOKUP(D1533,
IMPORTRANGE(""https://docs.google.com/spreadsheets/d/1MjHtlUikwobi2MaWJgy7tfLeBmhj1u-dRFRs_8GwSoA/edit#gid=0"",""Gestores Escolares!D7:J""),6,0),""VERIFICAR CÓD SEC"")")," DENISE SOUZA DE ARAUJO")</f>
        <v> DENISE SOUZA DE ARAUJO</v>
      </c>
      <c r="P1533" s="82" t="str">
        <f>IFERROR(__xludf.DUMMYFUNCTION("IFERROR(VLOOKUP(D1533,
IMPORTRANGE(""https://docs.google.com/spreadsheets/d/1MjHtlUikwobi2MaWJgy7tfLeBmhj1u-dRFRs_8GwSoA/edit#gid=0"",""Gestores Escolares!D7:J""),7,0),""VERIFICAR CÓD SEC"")"),"(71) 9 8154-8736")</f>
        <v>(71) 9 8154-8736</v>
      </c>
      <c r="Q1533" s="82" t="str">
        <f>IFERROR(__xludf.DUMMYFUNCTION("IFERROR(VLOOKUP(D1533,
IMPORTRANGE(""https://docs.google.com/spreadsheets/d/1MjHtlUikwobi2MaWJgy7tfLeBmhj1u-dRFRs_8GwSoA/edit#gid=0"",""Gestores Escolares!D7:m""),9,0),""VERIFICAR CÓD SEC"")"),"MATHEUS OLIVEIRA DE MORAES")</f>
        <v>MATHEUS OLIVEIRA DE MORAES</v>
      </c>
      <c r="R1533" s="82" t="str">
        <f>IFERROR(__xludf.DUMMYFUNCTION("IFERROR(VLOOKUP(D1533,
IMPORTRANGE(""https://docs.google.com/spreadsheets/d/1MjHtlUikwobi2MaWJgy7tfLeBmhj1u-dRFRs_8GwSoA/edit#gid=0"",""Gestores Escolares!D7:m""),10,0),""VERIFICAR CÓD SEC"")"),"(77) 9 9969-5492")</f>
        <v>(77) 9 9969-5492</v>
      </c>
      <c r="S1533" s="82"/>
      <c r="T1533" s="138">
        <v>14.0</v>
      </c>
      <c r="U1533" s="152">
        <v>10.0</v>
      </c>
      <c r="V1533" s="106">
        <v>0.0</v>
      </c>
      <c r="W1533" s="107">
        <v>0.0</v>
      </c>
      <c r="X1533" s="107">
        <v>0.0</v>
      </c>
      <c r="Y1533" s="107">
        <v>0.0</v>
      </c>
      <c r="Z1533" s="80">
        <f t="shared" si="1"/>
        <v>0</v>
      </c>
      <c r="AA1533" s="106">
        <v>307.0</v>
      </c>
      <c r="AB1533" s="107">
        <v>288.0</v>
      </c>
      <c r="AC1533" s="107">
        <v>0.0</v>
      </c>
      <c r="AD1533" s="107">
        <v>0.0</v>
      </c>
      <c r="AE1533" s="80">
        <f t="shared" si="2"/>
        <v>595</v>
      </c>
      <c r="AF1533" s="140">
        <v>0.0</v>
      </c>
      <c r="AG1533" s="109">
        <v>0.0</v>
      </c>
      <c r="AH1533" s="109">
        <v>0.0</v>
      </c>
      <c r="AI1533" s="141">
        <v>23.0</v>
      </c>
      <c r="AJ1533" s="80">
        <f t="shared" si="3"/>
        <v>23</v>
      </c>
      <c r="AK1533" s="140">
        <v>0.0</v>
      </c>
      <c r="AL1533" s="109">
        <v>0.0</v>
      </c>
      <c r="AM1533" s="141">
        <v>26.0</v>
      </c>
      <c r="AN1533" s="80">
        <f t="shared" si="4"/>
        <v>26</v>
      </c>
      <c r="AO1533" s="140">
        <v>0.0</v>
      </c>
      <c r="AP1533" s="109">
        <v>0.0</v>
      </c>
      <c r="AQ1533" s="109">
        <v>112.0</v>
      </c>
      <c r="AR1533" s="80">
        <f t="shared" si="5"/>
        <v>112</v>
      </c>
      <c r="AS1533" s="110">
        <v>173.0</v>
      </c>
      <c r="AT1533" s="110">
        <v>57.0</v>
      </c>
      <c r="AU1533" s="110">
        <v>13.0</v>
      </c>
      <c r="AV1533" s="142">
        <v>27.0</v>
      </c>
      <c r="AW1533" s="80">
        <f t="shared" si="6"/>
        <v>270</v>
      </c>
      <c r="AX1533" s="113">
        <f t="shared" si="7"/>
        <v>1026</v>
      </c>
      <c r="AY1533" s="117">
        <f t="shared" si="8"/>
        <v>875</v>
      </c>
      <c r="AZ1533" s="120">
        <f t="shared" si="9"/>
        <v>151</v>
      </c>
      <c r="BA1533" s="115">
        <v>4.0</v>
      </c>
      <c r="BB1533" s="89">
        <f t="shared" si="10"/>
        <v>1030</v>
      </c>
      <c r="BC1533" s="132" t="s">
        <v>178</v>
      </c>
      <c r="BD1533" s="132" t="s">
        <v>178</v>
      </c>
      <c r="BE1533" s="132" t="s">
        <v>178</v>
      </c>
      <c r="BF1533" s="123"/>
      <c r="BG1533" s="83">
        <v>1100973.0</v>
      </c>
      <c r="BH1533" s="137" t="s">
        <v>8631</v>
      </c>
      <c r="BI1533" s="112">
        <v>10.0</v>
      </c>
      <c r="BJ1533" s="98" t="s">
        <v>155</v>
      </c>
      <c r="BK1533" s="99">
        <f t="shared" si="11"/>
        <v>50</v>
      </c>
      <c r="BL1533" s="99">
        <f t="shared" si="12"/>
        <v>825</v>
      </c>
      <c r="BM1533" s="99" t="str">
        <f>IFERROR(__xludf.DUMMYFUNCTION("IFERROR(VLOOKUP(BG1533,IMPORTRANGE(""https://docs.google.com/spreadsheets/d/1juPI-Fb8LD0YtltB2mlGEnp_R3UVu1t3wSFPzgCyHXE/edit?gid=0#gid=0"",""GERAL!A2:C""),3,0),""-"")"),"-")</f>
        <v>-</v>
      </c>
    </row>
    <row r="1534" ht="15.75" customHeight="1">
      <c r="A1534" s="111" t="s">
        <v>1785</v>
      </c>
      <c r="B1534" s="83" t="s">
        <v>1994</v>
      </c>
      <c r="C1534" s="83" t="s">
        <v>68</v>
      </c>
      <c r="D1534" s="112">
        <v>1178076.0</v>
      </c>
      <c r="E1534" s="83"/>
      <c r="F1534" s="83">
        <v>2.9436877E7</v>
      </c>
      <c r="G1534" s="119" t="s">
        <v>8640</v>
      </c>
      <c r="H1534" s="91" t="s">
        <v>8641</v>
      </c>
      <c r="I1534" s="83" t="s">
        <v>8642</v>
      </c>
      <c r="J1534" s="83" t="s">
        <v>150</v>
      </c>
      <c r="K1534" s="83" t="s">
        <v>5791</v>
      </c>
      <c r="L1534" s="83" t="s">
        <v>152</v>
      </c>
      <c r="M1534" s="82" t="str">
        <f>IFERROR(__xludf.DUMMYFUNCTION("IFERROR(VLOOKUP(D1534,
IMPORTRANGE(""https://docs.google.com/spreadsheets/d/1MjHtlUikwobi2MaWJgy7tfLeBmhj1u-dRFRs_8GwSoA/edit#gid=0"",""Gestores Escolares!D7:J""),3,0),""VERIFICAR CÓD SEC"")"),"ADRINA MENDES BARBOSA")</f>
        <v>ADRINA MENDES BARBOSA</v>
      </c>
      <c r="N1534" s="82" t="str">
        <f>IFERROR(__xludf.DUMMYFUNCTION("IFERROR(VLOOKUP(D1534,
IMPORTRANGE(""https://docs.google.com/spreadsheets/d/1MjHtlUikwobi2MaWJgy7tfLeBmhj1u-dRFRs_8GwSoA/edit#gid=0"",""Gestores Escolares!D7:J""),4,0),""VERIFICAR CÓD SEC"")"),"(71) 9 9924-2534 Zap/9 9371-3603")</f>
        <v>(71) 9 9924-2534 Zap/9 9371-3603</v>
      </c>
      <c r="O1534" s="82" t="str">
        <f>IFERROR(__xludf.DUMMYFUNCTION("IFERROR(VLOOKUP(D1534,
IMPORTRANGE(""https://docs.google.com/spreadsheets/d/1MjHtlUikwobi2MaWJgy7tfLeBmhj1u-dRFRs_8GwSoA/edit#gid=0"",""Gestores Escolares!D7:J""),6,0),""VERIFICAR CÓD SEC"")"),"ANA CRISTINA SOUZA ARAÚJO")</f>
        <v>ANA CRISTINA SOUZA ARAÚJO</v>
      </c>
      <c r="P1534" s="82" t="str">
        <f>IFERROR(__xludf.DUMMYFUNCTION("IFERROR(VLOOKUP(D1534,
IMPORTRANGE(""https://docs.google.com/spreadsheets/d/1MjHtlUikwobi2MaWJgy7tfLeBmhj1u-dRFRs_8GwSoA/edit#gid=0"",""Gestores Escolares!D7:J""),7,0),""VERIFICAR CÓD SEC"")"),"(71) 9 9284-7767")</f>
        <v>(71) 9 9284-7767</v>
      </c>
      <c r="Q1534" s="82" t="str">
        <f>IFERROR(__xludf.DUMMYFUNCTION("IFERROR(VLOOKUP(D1534,
IMPORTRANGE(""https://docs.google.com/spreadsheets/d/1MjHtlUikwobi2MaWJgy7tfLeBmhj1u-dRFRs_8GwSoA/edit#gid=0"",""Gestores Escolares!D7:m""),9,0),""VERIFICAR CÓD SEC"")"),"")</f>
        <v/>
      </c>
      <c r="R1534" s="82" t="str">
        <f>IFERROR(__xludf.DUMMYFUNCTION("IFERROR(VLOOKUP(D1534,
IMPORTRANGE(""https://docs.google.com/spreadsheets/d/1MjHtlUikwobi2MaWJgy7tfLeBmhj1u-dRFRs_8GwSoA/edit#gid=0"",""Gestores Escolares!D7:m""),10,0),""VERIFICAR CÓD SEC"")"),"")</f>
        <v/>
      </c>
      <c r="S1534" s="82"/>
      <c r="T1534" s="138">
        <v>13.0</v>
      </c>
      <c r="U1534" s="145">
        <v>11.0</v>
      </c>
      <c r="V1534" s="106">
        <v>0.0</v>
      </c>
      <c r="W1534" s="107">
        <v>0.0</v>
      </c>
      <c r="X1534" s="107">
        <v>0.0</v>
      </c>
      <c r="Y1534" s="107">
        <v>0.0</v>
      </c>
      <c r="Z1534" s="80">
        <f t="shared" si="1"/>
        <v>0</v>
      </c>
      <c r="AA1534" s="106">
        <v>105.0</v>
      </c>
      <c r="AB1534" s="107">
        <v>301.0</v>
      </c>
      <c r="AC1534" s="107">
        <v>0.0</v>
      </c>
      <c r="AD1534" s="107">
        <v>0.0</v>
      </c>
      <c r="AE1534" s="80">
        <f t="shared" si="2"/>
        <v>406</v>
      </c>
      <c r="AF1534" s="140">
        <v>122.0</v>
      </c>
      <c r="AG1534" s="109">
        <v>0.0</v>
      </c>
      <c r="AH1534" s="109">
        <v>0.0</v>
      </c>
      <c r="AI1534" s="141">
        <v>79.0</v>
      </c>
      <c r="AJ1534" s="80">
        <f t="shared" si="3"/>
        <v>201</v>
      </c>
      <c r="AK1534" s="140">
        <v>0.0</v>
      </c>
      <c r="AL1534" s="109">
        <v>0.0</v>
      </c>
      <c r="AM1534" s="141">
        <v>0.0</v>
      </c>
      <c r="AN1534" s="80">
        <f t="shared" si="4"/>
        <v>0</v>
      </c>
      <c r="AO1534" s="140">
        <v>0.0</v>
      </c>
      <c r="AP1534" s="109">
        <v>0.0</v>
      </c>
      <c r="AQ1534" s="109">
        <v>0.0</v>
      </c>
      <c r="AR1534" s="80">
        <f t="shared" si="5"/>
        <v>0</v>
      </c>
      <c r="AS1534" s="110">
        <v>0.0</v>
      </c>
      <c r="AT1534" s="110">
        <v>0.0</v>
      </c>
      <c r="AU1534" s="110">
        <v>0.0</v>
      </c>
      <c r="AV1534" s="142">
        <v>31.0</v>
      </c>
      <c r="AW1534" s="80">
        <f t="shared" si="6"/>
        <v>31</v>
      </c>
      <c r="AX1534" s="113">
        <f t="shared" si="7"/>
        <v>638</v>
      </c>
      <c r="AY1534" s="117">
        <f t="shared" si="8"/>
        <v>638</v>
      </c>
      <c r="AZ1534" s="120">
        <f t="shared" si="9"/>
        <v>0</v>
      </c>
      <c r="BA1534" s="115">
        <v>0.0</v>
      </c>
      <c r="BB1534" s="89">
        <f t="shared" si="10"/>
        <v>638</v>
      </c>
      <c r="BC1534" s="132" t="s">
        <v>178</v>
      </c>
      <c r="BD1534" s="132" t="s">
        <v>178</v>
      </c>
      <c r="BE1534" s="132" t="s">
        <v>178</v>
      </c>
      <c r="BF1534" s="123"/>
      <c r="BG1534" s="83">
        <v>1178076.0</v>
      </c>
      <c r="BH1534" s="385" t="s">
        <v>8643</v>
      </c>
      <c r="BI1534" s="112">
        <v>10.0</v>
      </c>
      <c r="BJ1534" s="98" t="s">
        <v>155</v>
      </c>
      <c r="BK1534" s="99">
        <f t="shared" si="11"/>
        <v>110</v>
      </c>
      <c r="BL1534" s="99">
        <f t="shared" si="12"/>
        <v>528</v>
      </c>
      <c r="BM1534" s="99" t="str">
        <f>IFERROR(__xludf.DUMMYFUNCTION("IFERROR(VLOOKUP(BG1534,IMPORTRANGE(""https://docs.google.com/spreadsheets/d/1juPI-Fb8LD0YtltB2mlGEnp_R3UVu1t3wSFPzgCyHXE/edit?gid=0#gid=0"",""GERAL!A2:C""),3,0),""-"")"),"-")</f>
        <v>-</v>
      </c>
    </row>
    <row r="1535" ht="15.75" customHeight="1">
      <c r="A1535" s="111" t="s">
        <v>1785</v>
      </c>
      <c r="B1535" s="83" t="s">
        <v>1994</v>
      </c>
      <c r="C1535" s="83" t="s">
        <v>68</v>
      </c>
      <c r="D1535" s="112">
        <v>1178325.0</v>
      </c>
      <c r="E1535" s="83"/>
      <c r="F1535" s="83">
        <v>2.9842727E7</v>
      </c>
      <c r="G1535" s="384" t="s">
        <v>8644</v>
      </c>
      <c r="H1535" s="91" t="s">
        <v>8645</v>
      </c>
      <c r="I1535" s="136" t="s">
        <v>8646</v>
      </c>
      <c r="J1535" s="83" t="s">
        <v>150</v>
      </c>
      <c r="K1535" s="83" t="s">
        <v>151</v>
      </c>
      <c r="L1535" s="98" t="s">
        <v>230</v>
      </c>
      <c r="M1535" s="82" t="str">
        <f>IFERROR(__xludf.DUMMYFUNCTION("IFERROR(VLOOKUP(D1535,
IMPORTRANGE(""https://docs.google.com/spreadsheets/d/1MjHtlUikwobi2MaWJgy7tfLeBmhj1u-dRFRs_8GwSoA/edit#gid=0"",""Gestores Escolares!D7:J""),3,0),""VERIFICAR CÓD SEC"")"),"MONICA BONFIM DE SANTANA")</f>
        <v>MONICA BONFIM DE SANTANA</v>
      </c>
      <c r="N1535" s="82" t="str">
        <f>IFERROR(__xludf.DUMMYFUNCTION("IFERROR(VLOOKUP(D1535,
IMPORTRANGE(""https://docs.google.com/spreadsheets/d/1MjHtlUikwobi2MaWJgy7tfLeBmhj1u-dRFRs_8GwSoA/edit#gid=0"",""Gestores Escolares!D7:J""),4,0),""VERIFICAR CÓD SEC"")"),"(71) 9 9951-7266")</f>
        <v>(71) 9 9951-7266</v>
      </c>
      <c r="O1535" s="82" t="str">
        <f>IFERROR(__xludf.DUMMYFUNCTION("IFERROR(VLOOKUP(D1535,
IMPORTRANGE(""https://docs.google.com/spreadsheets/d/1MjHtlUikwobi2MaWJgy7tfLeBmhj1u-dRFRs_8GwSoA/edit#gid=0"",""Gestores Escolares!D7:J""),6,0),""VERIFICAR CÓD SEC"")"),"MARIA ISABEL LOPES ARAUJO")</f>
        <v>MARIA ISABEL LOPES ARAUJO</v>
      </c>
      <c r="P1535" s="82" t="str">
        <f>IFERROR(__xludf.DUMMYFUNCTION("IFERROR(VLOOKUP(D1535,
IMPORTRANGE(""https://docs.google.com/spreadsheets/d/1MjHtlUikwobi2MaWJgy7tfLeBmhj1u-dRFRs_8GwSoA/edit#gid=0"",""Gestores Escolares!D7:J""),7,0),""VERIFICAR CÓD SEC"")"),"(71) 9 9254-7075")</f>
        <v>(71) 9 9254-7075</v>
      </c>
      <c r="Q1535" s="82" t="str">
        <f>IFERROR(__xludf.DUMMYFUNCTION("IFERROR(VLOOKUP(D1535,
IMPORTRANGE(""https://docs.google.com/spreadsheets/d/1MjHtlUikwobi2MaWJgy7tfLeBmhj1u-dRFRs_8GwSoA/edit#gid=0"",""Gestores Escolares!D7:m""),9,0),""VERIFICAR CÓD SEC"")")," DAVI SOUZA SANTOS")</f>
        <v> DAVI SOUZA SANTOS</v>
      </c>
      <c r="R1535" s="82" t="str">
        <f>IFERROR(__xludf.DUMMYFUNCTION("IFERROR(VLOOKUP(D1535,
IMPORTRANGE(""https://docs.google.com/spreadsheets/d/1MjHtlUikwobi2MaWJgy7tfLeBmhj1u-dRFRs_8GwSoA/edit#gid=0"",""Gestores Escolares!D7:m""),10,0),""VERIFICAR CÓD SEC"")"),"(71) 9 8888-0326")</f>
        <v>(71) 9 8888-0326</v>
      </c>
      <c r="S1535" s="82"/>
      <c r="T1535" s="138">
        <v>9.0</v>
      </c>
      <c r="U1535" s="145" t="s">
        <v>13926</v>
      </c>
      <c r="V1535" s="106">
        <v>0.0</v>
      </c>
      <c r="W1535" s="107">
        <v>0.0</v>
      </c>
      <c r="X1535" s="107">
        <v>0.0</v>
      </c>
      <c r="Y1535" s="107">
        <v>0.0</v>
      </c>
      <c r="Z1535" s="80">
        <f t="shared" si="1"/>
        <v>0</v>
      </c>
      <c r="AA1535" s="106">
        <v>0.0</v>
      </c>
      <c r="AB1535" s="107">
        <v>0.0</v>
      </c>
      <c r="AC1535" s="107">
        <v>0.0</v>
      </c>
      <c r="AD1535" s="107">
        <v>0.0</v>
      </c>
      <c r="AE1535" s="80">
        <f t="shared" si="2"/>
        <v>0</v>
      </c>
      <c r="AF1535" s="140">
        <v>0.0</v>
      </c>
      <c r="AG1535" s="109">
        <v>0.0</v>
      </c>
      <c r="AH1535" s="109">
        <v>0.0</v>
      </c>
      <c r="AI1535" s="141">
        <v>892.0</v>
      </c>
      <c r="AJ1535" s="80">
        <f t="shared" si="3"/>
        <v>892</v>
      </c>
      <c r="AK1535" s="140">
        <v>0.0</v>
      </c>
      <c r="AL1535" s="109">
        <v>0.0</v>
      </c>
      <c r="AM1535" s="141">
        <v>0.0</v>
      </c>
      <c r="AN1535" s="80">
        <f t="shared" si="4"/>
        <v>0</v>
      </c>
      <c r="AO1535" s="140">
        <v>0.0</v>
      </c>
      <c r="AP1535" s="109">
        <v>0.0</v>
      </c>
      <c r="AQ1535" s="109">
        <v>437.0</v>
      </c>
      <c r="AR1535" s="80">
        <f t="shared" si="5"/>
        <v>437</v>
      </c>
      <c r="AS1535" s="110">
        <v>0.0</v>
      </c>
      <c r="AT1535" s="110">
        <v>0.0</v>
      </c>
      <c r="AU1535" s="110">
        <v>22.0</v>
      </c>
      <c r="AV1535" s="142">
        <v>34.0</v>
      </c>
      <c r="AW1535" s="80">
        <f t="shared" si="6"/>
        <v>56</v>
      </c>
      <c r="AX1535" s="113">
        <f t="shared" si="7"/>
        <v>1385</v>
      </c>
      <c r="AY1535" s="117">
        <f t="shared" si="8"/>
        <v>926</v>
      </c>
      <c r="AZ1535" s="120">
        <f t="shared" si="9"/>
        <v>459</v>
      </c>
      <c r="BA1535" s="115">
        <v>0.0</v>
      </c>
      <c r="BB1535" s="89">
        <f t="shared" si="10"/>
        <v>1385</v>
      </c>
      <c r="BC1535" s="132" t="s">
        <v>178</v>
      </c>
      <c r="BD1535" s="132" t="s">
        <v>178</v>
      </c>
      <c r="BE1535" s="132" t="s">
        <v>178</v>
      </c>
      <c r="BF1535" s="123"/>
      <c r="BG1535" s="83">
        <v>1178325.0</v>
      </c>
      <c r="BH1535" s="137" t="s">
        <v>8647</v>
      </c>
      <c r="BI1535" s="112">
        <v>35.0</v>
      </c>
      <c r="BJ1535" s="98" t="s">
        <v>162</v>
      </c>
      <c r="BK1535" s="99">
        <f t="shared" si="11"/>
        <v>926</v>
      </c>
      <c r="BL1535" s="99">
        <f t="shared" si="12"/>
        <v>0</v>
      </c>
      <c r="BM1535" s="99" t="str">
        <f>IFERROR(__xludf.DUMMYFUNCTION("IFERROR(VLOOKUP(BG1535,IMPORTRANGE(""https://docs.google.com/spreadsheets/d/1juPI-Fb8LD0YtltB2mlGEnp_R3UVu1t3wSFPzgCyHXE/edit?gid=0#gid=0"",""GERAL!A2:C""),3,0),""-"")"),"-")</f>
        <v>-</v>
      </c>
    </row>
    <row r="1536" ht="15.75" customHeight="1">
      <c r="A1536" s="111" t="s">
        <v>1785</v>
      </c>
      <c r="B1536" s="83" t="s">
        <v>1994</v>
      </c>
      <c r="C1536" s="83" t="s">
        <v>68</v>
      </c>
      <c r="D1536" s="112">
        <v>1103859.0</v>
      </c>
      <c r="E1536" s="83"/>
      <c r="F1536" s="83">
        <v>2.9182565E7</v>
      </c>
      <c r="G1536" s="119" t="s">
        <v>8650</v>
      </c>
      <c r="H1536" s="91" t="s">
        <v>8651</v>
      </c>
      <c r="I1536" s="83" t="s">
        <v>8219</v>
      </c>
      <c r="J1536" s="83" t="s">
        <v>150</v>
      </c>
      <c r="K1536" s="83" t="s">
        <v>168</v>
      </c>
      <c r="L1536" s="83" t="s">
        <v>230</v>
      </c>
      <c r="M1536" s="82" t="str">
        <f>IFERROR(__xludf.DUMMYFUNCTION("IFERROR(VLOOKUP(D1536,
IMPORTRANGE(""https://docs.google.com/spreadsheets/d/1MjHtlUikwobi2MaWJgy7tfLeBmhj1u-dRFRs_8GwSoA/edit#gid=0"",""Gestores Escolares!D7:J""),3,0),""VERIFICAR CÓD SEC"")"),"DIOGO SPINOLA SODRE")</f>
        <v>DIOGO SPINOLA SODRE</v>
      </c>
      <c r="N1536" s="82" t="str">
        <f>IFERROR(__xludf.DUMMYFUNCTION("IFERROR(VLOOKUP(D1536,
IMPORTRANGE(""https://docs.google.com/spreadsheets/d/1MjHtlUikwobi2MaWJgy7tfLeBmhj1u-dRFRs_8GwSoA/edit#gid=0"",""Gestores Escolares!D7:J""),4,0),""VERIFICAR CÓD SEC"")"),"(71) 9 9229-7590")</f>
        <v>(71) 9 9229-7590</v>
      </c>
      <c r="O1536" s="82" t="str">
        <f>IFERROR(__xludf.DUMMYFUNCTION("IFERROR(VLOOKUP(D1536,
IMPORTRANGE(""https://docs.google.com/spreadsheets/d/1MjHtlUikwobi2MaWJgy7tfLeBmhj1u-dRFRs_8GwSoA/edit#gid=0"",""Gestores Escolares!D7:J""),6,0),""VERIFICAR CÓD SEC"")")," ANTONIO FERNANDO BORGES LEAL")</f>
        <v> ANTONIO FERNANDO BORGES LEAL</v>
      </c>
      <c r="P1536" s="82" t="str">
        <f>IFERROR(__xludf.DUMMYFUNCTION("IFERROR(VLOOKUP(D1536,
IMPORTRANGE(""https://docs.google.com/spreadsheets/d/1MjHtlUikwobi2MaWJgy7tfLeBmhj1u-dRFRs_8GwSoA/edit#gid=0"",""Gestores Escolares!D7:J""),7,0),""VERIFICAR CÓD SEC"")"),"(71)  9 9253-5073")</f>
        <v>(71)  9 9253-5073</v>
      </c>
      <c r="Q1536" s="82" t="str">
        <f>IFERROR(__xludf.DUMMYFUNCTION("IFERROR(VLOOKUP(D1536,
IMPORTRANGE(""https://docs.google.com/spreadsheets/d/1MjHtlUikwobi2MaWJgy7tfLeBmhj1u-dRFRs_8GwSoA/edit#gid=0"",""Gestores Escolares!D7:m""),9,0),""VERIFICAR CÓD SEC"")")," LUIS CARLOS SANTOS DE SANTANA")</f>
        <v> LUIS CARLOS SANTOS DE SANTANA</v>
      </c>
      <c r="R1536" s="82" t="str">
        <f>IFERROR(__xludf.DUMMYFUNCTION("IFERROR(VLOOKUP(D1536,
IMPORTRANGE(""https://docs.google.com/spreadsheets/d/1MjHtlUikwobi2MaWJgy7tfLeBmhj1u-dRFRs_8GwSoA/edit#gid=0"",""Gestores Escolares!D7:m""),10,0),""VERIFICAR CÓD SEC"")"),"(71) 9 8765-9634")</f>
        <v>(71) 9 8765-9634</v>
      </c>
      <c r="S1536" s="82"/>
      <c r="T1536" s="138">
        <v>35.0</v>
      </c>
      <c r="U1536" s="152">
        <v>26.0</v>
      </c>
      <c r="V1536" s="106">
        <v>0.0</v>
      </c>
      <c r="W1536" s="107">
        <v>0.0</v>
      </c>
      <c r="X1536" s="107">
        <v>0.0</v>
      </c>
      <c r="Y1536" s="107">
        <v>0.0</v>
      </c>
      <c r="Z1536" s="80">
        <f t="shared" si="1"/>
        <v>0</v>
      </c>
      <c r="AA1536" s="106">
        <v>0.0</v>
      </c>
      <c r="AB1536" s="107">
        <v>118.0</v>
      </c>
      <c r="AC1536" s="107">
        <v>0.0</v>
      </c>
      <c r="AD1536" s="107">
        <v>104.0</v>
      </c>
      <c r="AE1536" s="80">
        <f t="shared" si="2"/>
        <v>222</v>
      </c>
      <c r="AF1536" s="140">
        <v>505.0</v>
      </c>
      <c r="AG1536" s="109">
        <v>297.0</v>
      </c>
      <c r="AH1536" s="109">
        <v>0.0</v>
      </c>
      <c r="AI1536" s="141">
        <v>55.0</v>
      </c>
      <c r="AJ1536" s="80">
        <f t="shared" si="3"/>
        <v>857</v>
      </c>
      <c r="AK1536" s="140">
        <v>0.0</v>
      </c>
      <c r="AL1536" s="109">
        <v>0.0</v>
      </c>
      <c r="AM1536" s="141">
        <v>32.0</v>
      </c>
      <c r="AN1536" s="80">
        <f t="shared" si="4"/>
        <v>32</v>
      </c>
      <c r="AO1536" s="140">
        <v>0.0</v>
      </c>
      <c r="AP1536" s="109">
        <v>0.0</v>
      </c>
      <c r="AQ1536" s="109">
        <v>167.0</v>
      </c>
      <c r="AR1536" s="80">
        <f t="shared" si="5"/>
        <v>167</v>
      </c>
      <c r="AS1536" s="110">
        <v>23.0</v>
      </c>
      <c r="AT1536" s="110">
        <v>0.0</v>
      </c>
      <c r="AU1536" s="110">
        <v>0.0</v>
      </c>
      <c r="AV1536" s="142">
        <v>0.0</v>
      </c>
      <c r="AW1536" s="80">
        <f t="shared" si="6"/>
        <v>23</v>
      </c>
      <c r="AX1536" s="113">
        <f t="shared" si="7"/>
        <v>1301</v>
      </c>
      <c r="AY1536" s="117">
        <f t="shared" si="8"/>
        <v>1102</v>
      </c>
      <c r="AZ1536" s="120">
        <f t="shared" si="9"/>
        <v>199</v>
      </c>
      <c r="BA1536" s="115">
        <v>1.0</v>
      </c>
      <c r="BB1536" s="89">
        <f t="shared" si="10"/>
        <v>1302</v>
      </c>
      <c r="BC1536" s="132" t="s">
        <v>178</v>
      </c>
      <c r="BD1536" s="132" t="s">
        <v>178</v>
      </c>
      <c r="BE1536" s="132" t="s">
        <v>178</v>
      </c>
      <c r="BF1536" s="123"/>
      <c r="BG1536" s="83">
        <v>1103859.0</v>
      </c>
      <c r="BH1536" s="137" t="s">
        <v>8652</v>
      </c>
      <c r="BI1536" s="112">
        <v>26.0</v>
      </c>
      <c r="BJ1536" s="98" t="s">
        <v>155</v>
      </c>
      <c r="BK1536" s="99">
        <f t="shared" si="11"/>
        <v>159</v>
      </c>
      <c r="BL1536" s="99">
        <f t="shared" si="12"/>
        <v>943</v>
      </c>
      <c r="BM1536" s="99" t="str">
        <f>IFERROR(__xludf.DUMMYFUNCTION("IFERROR(VLOOKUP(BG1536,IMPORTRANGE(""https://docs.google.com/spreadsheets/d/1juPI-Fb8LD0YtltB2mlGEnp_R3UVu1t3wSFPzgCyHXE/edit?gid=0#gid=0"",""GERAL!A2:C""),3,0),""-"")"),"-")</f>
        <v>-</v>
      </c>
    </row>
    <row r="1537" ht="15.75" customHeight="1">
      <c r="A1537" s="111" t="s">
        <v>1785</v>
      </c>
      <c r="B1537" s="83" t="s">
        <v>1994</v>
      </c>
      <c r="C1537" s="83" t="s">
        <v>68</v>
      </c>
      <c r="D1537" s="112">
        <v>1103417.0</v>
      </c>
      <c r="E1537" s="83"/>
      <c r="F1537" s="83">
        <v>2.9187583E7</v>
      </c>
      <c r="G1537" s="119" t="s">
        <v>8653</v>
      </c>
      <c r="H1537" s="91" t="s">
        <v>8654</v>
      </c>
      <c r="I1537" s="83" t="s">
        <v>8307</v>
      </c>
      <c r="J1537" s="83" t="s">
        <v>150</v>
      </c>
      <c r="K1537" s="83" t="s">
        <v>151</v>
      </c>
      <c r="L1537" s="83" t="s">
        <v>152</v>
      </c>
      <c r="M1537" s="82" t="str">
        <f>IFERROR(__xludf.DUMMYFUNCTION("IFERROR(VLOOKUP(D1537,
IMPORTRANGE(""https://docs.google.com/spreadsheets/d/1MjHtlUikwobi2MaWJgy7tfLeBmhj1u-dRFRs_8GwSoA/edit#gid=0"",""Gestores Escolares!D7:J""),3,0),""VERIFICAR CÓD SEC"")"),"ANDREA DE FÁTIMA CRUZ SENHORINHO")</f>
        <v>ANDREA DE FÁTIMA CRUZ SENHORINHO</v>
      </c>
      <c r="N1537" s="82" t="str">
        <f>IFERROR(__xludf.DUMMYFUNCTION("IFERROR(VLOOKUP(D1537,
IMPORTRANGE(""https://docs.google.com/spreadsheets/d/1MjHtlUikwobi2MaWJgy7tfLeBmhj1u-dRFRs_8GwSoA/edit#gid=0"",""Gestores Escolares!D7:J""),4,0),""VERIFICAR CÓD SEC"")"),"(71) 9 8199-9559")</f>
        <v>(71) 9 8199-9559</v>
      </c>
      <c r="O1537" s="82" t="str">
        <f>IFERROR(__xludf.DUMMYFUNCTION("IFERROR(VLOOKUP(D1537,
IMPORTRANGE(""https://docs.google.com/spreadsheets/d/1MjHtlUikwobi2MaWJgy7tfLeBmhj1u-dRFRs_8GwSoA/edit#gid=0"",""Gestores Escolares!D7:J""),6,0),""VERIFICAR CÓD SEC"")"),"JOÃO MILTON DA SILVA SANTOS JÚNIOR")</f>
        <v>JOÃO MILTON DA SILVA SANTOS JÚNIOR</v>
      </c>
      <c r="P1537" s="82" t="str">
        <f>IFERROR(__xludf.DUMMYFUNCTION("IFERROR(VLOOKUP(D1537,
IMPORTRANGE(""https://docs.google.com/spreadsheets/d/1MjHtlUikwobi2MaWJgy7tfLeBmhj1u-dRFRs_8GwSoA/edit#gid=0"",""Gestores Escolares!D7:J""),7,0),""VERIFICAR CÓD SEC"")"),"(71) 9 8953-6325/
9 9136-3754")</f>
        <v>(71) 9 8953-6325/
9 9136-3754</v>
      </c>
      <c r="Q1537" s="82" t="str">
        <f>IFERROR(__xludf.DUMMYFUNCTION("IFERROR(VLOOKUP(D1537,
IMPORTRANGE(""https://docs.google.com/spreadsheets/d/1MjHtlUikwobi2MaWJgy7tfLeBmhj1u-dRFRs_8GwSoA/edit#gid=0"",""Gestores Escolares!D7:m""),9,0),""VERIFICAR CÓD SEC"")"),"LUCAS SILVA DE ALMEIDA")</f>
        <v>LUCAS SILVA DE ALMEIDA</v>
      </c>
      <c r="R1537" s="82" t="str">
        <f>IFERROR(__xludf.DUMMYFUNCTION("IFERROR(VLOOKUP(D1537,
IMPORTRANGE(""https://docs.google.com/spreadsheets/d/1MjHtlUikwobi2MaWJgy7tfLeBmhj1u-dRFRs_8GwSoA/edit#gid=0"",""Gestores Escolares!D7:m""),10,0),""VERIFICAR CÓD SEC"")"),"(73) 9 9194-8285/ 
9 8898-4779")</f>
        <v>(73) 9 9194-8285/ 
9 8898-4779</v>
      </c>
      <c r="S1537" s="82"/>
      <c r="T1537" s="138">
        <v>14.0</v>
      </c>
      <c r="U1537" s="152">
        <v>13.0</v>
      </c>
      <c r="V1537" s="106">
        <v>0.0</v>
      </c>
      <c r="W1537" s="107">
        <v>0.0</v>
      </c>
      <c r="X1537" s="107">
        <v>0.0</v>
      </c>
      <c r="Y1537" s="107">
        <v>0.0</v>
      </c>
      <c r="Z1537" s="80">
        <f t="shared" si="1"/>
        <v>0</v>
      </c>
      <c r="AA1537" s="106">
        <v>112.0</v>
      </c>
      <c r="AB1537" s="107">
        <v>310.0</v>
      </c>
      <c r="AC1537" s="107">
        <v>0.0</v>
      </c>
      <c r="AD1537" s="107">
        <v>35.0</v>
      </c>
      <c r="AE1537" s="80">
        <f t="shared" si="2"/>
        <v>457</v>
      </c>
      <c r="AF1537" s="140">
        <v>221.0</v>
      </c>
      <c r="AG1537" s="109">
        <v>0.0</v>
      </c>
      <c r="AH1537" s="109">
        <v>0.0</v>
      </c>
      <c r="AI1537" s="141">
        <v>24.0</v>
      </c>
      <c r="AJ1537" s="80">
        <f t="shared" si="3"/>
        <v>245</v>
      </c>
      <c r="AK1537" s="140">
        <v>0.0</v>
      </c>
      <c r="AL1537" s="109">
        <v>0.0</v>
      </c>
      <c r="AM1537" s="141">
        <v>0.0</v>
      </c>
      <c r="AN1537" s="80">
        <f t="shared" si="4"/>
        <v>0</v>
      </c>
      <c r="AO1537" s="140">
        <v>0.0</v>
      </c>
      <c r="AP1537" s="109">
        <v>0.0</v>
      </c>
      <c r="AQ1537" s="109">
        <v>106.0</v>
      </c>
      <c r="AR1537" s="80">
        <f t="shared" si="5"/>
        <v>106</v>
      </c>
      <c r="AS1537" s="110">
        <v>0.0</v>
      </c>
      <c r="AT1537" s="110">
        <v>0.0</v>
      </c>
      <c r="AU1537" s="110">
        <v>0.0</v>
      </c>
      <c r="AV1537" s="142">
        <v>0.0</v>
      </c>
      <c r="AW1537" s="80">
        <f t="shared" si="6"/>
        <v>0</v>
      </c>
      <c r="AX1537" s="113">
        <f t="shared" si="7"/>
        <v>808</v>
      </c>
      <c r="AY1537" s="117">
        <f t="shared" si="8"/>
        <v>702</v>
      </c>
      <c r="AZ1537" s="120">
        <f t="shared" si="9"/>
        <v>106</v>
      </c>
      <c r="BA1537" s="115">
        <v>0.0</v>
      </c>
      <c r="BB1537" s="89">
        <f t="shared" si="10"/>
        <v>808</v>
      </c>
      <c r="BC1537" s="132" t="s">
        <v>178</v>
      </c>
      <c r="BD1537" s="132" t="s">
        <v>178</v>
      </c>
      <c r="BE1537" s="132" t="s">
        <v>178</v>
      </c>
      <c r="BF1537" s="123"/>
      <c r="BG1537" s="83">
        <v>1103417.0</v>
      </c>
      <c r="BH1537" s="188" t="s">
        <v>8655</v>
      </c>
      <c r="BI1537" s="112">
        <v>13.0</v>
      </c>
      <c r="BJ1537" s="98" t="s">
        <v>155</v>
      </c>
      <c r="BK1537" s="99">
        <f t="shared" si="11"/>
        <v>59</v>
      </c>
      <c r="BL1537" s="99">
        <f t="shared" si="12"/>
        <v>643</v>
      </c>
      <c r="BM1537" s="99" t="str">
        <f>IFERROR(__xludf.DUMMYFUNCTION("IFERROR(VLOOKUP(BG1537,IMPORTRANGE(""https://docs.google.com/spreadsheets/d/1juPI-Fb8LD0YtltB2mlGEnp_R3UVu1t3wSFPzgCyHXE/edit?gid=0#gid=0"",""GERAL!A2:C""),3,0),""-"")"),"-")</f>
        <v>-</v>
      </c>
    </row>
    <row r="1538" ht="15.75" customHeight="1">
      <c r="A1538" s="111" t="s">
        <v>1785</v>
      </c>
      <c r="B1538" s="83" t="s">
        <v>1994</v>
      </c>
      <c r="C1538" s="83" t="s">
        <v>68</v>
      </c>
      <c r="D1538" s="112">
        <v>1103336.0</v>
      </c>
      <c r="E1538" s="83"/>
      <c r="F1538" s="83">
        <v>2.9182271E7</v>
      </c>
      <c r="G1538" s="119" t="s">
        <v>8656</v>
      </c>
      <c r="H1538" s="91" t="s">
        <v>8657</v>
      </c>
      <c r="I1538" s="83" t="s">
        <v>8294</v>
      </c>
      <c r="J1538" s="83" t="s">
        <v>150</v>
      </c>
      <c r="K1538" s="83" t="s">
        <v>151</v>
      </c>
      <c r="L1538" s="83" t="s">
        <v>230</v>
      </c>
      <c r="M1538" s="82" t="str">
        <f>IFERROR(__xludf.DUMMYFUNCTION("IFERROR(VLOOKUP(D1538,
IMPORTRANGE(""https://docs.google.com/spreadsheets/d/1MjHtlUikwobi2MaWJgy7tfLeBmhj1u-dRFRs_8GwSoA/edit#gid=0"",""Gestores Escolares!D7:J""),3,0),""VERIFICAR CÓD SEC"")"),"DENISE LAGO DE MIRANDA")</f>
        <v>DENISE LAGO DE MIRANDA</v>
      </c>
      <c r="N1538" s="82" t="str">
        <f>IFERROR(__xludf.DUMMYFUNCTION("IFERROR(VLOOKUP(D1538,
IMPORTRANGE(""https://docs.google.com/spreadsheets/d/1MjHtlUikwobi2MaWJgy7tfLeBmhj1u-dRFRs_8GwSoA/edit#gid=0"",""Gestores Escolares!D7:J""),4,0),""VERIFICAR CÓD SEC"")"),"(71) 9 8168-5089")</f>
        <v>(71) 9 8168-5089</v>
      </c>
      <c r="O1538" s="82" t="str">
        <f>IFERROR(__xludf.DUMMYFUNCTION("IFERROR(VLOOKUP(D1538,
IMPORTRANGE(""https://docs.google.com/spreadsheets/d/1MjHtlUikwobi2MaWJgy7tfLeBmhj1u-dRFRs_8GwSoA/edit#gid=0"",""Gestores Escolares!D7:J""),6,0),""VERIFICAR CÓD SEC"")"),"ALESSANDRA SOUZA DE SANTANA PONTES")</f>
        <v>ALESSANDRA SOUZA DE SANTANA PONTES</v>
      </c>
      <c r="P1538" s="82" t="str">
        <f>IFERROR(__xludf.DUMMYFUNCTION("IFERROR(VLOOKUP(D1538,
IMPORTRANGE(""https://docs.google.com/spreadsheets/d/1MjHtlUikwobi2MaWJgy7tfLeBmhj1u-dRFRs_8GwSoA/edit#gid=0"",""Gestores Escolares!D7:J""),7,0),""VERIFICAR CÓD SEC"")"),"(71) 9 9127-5994")</f>
        <v>(71) 9 9127-5994</v>
      </c>
      <c r="Q1538" s="82" t="str">
        <f>IFERROR(__xludf.DUMMYFUNCTION("IFERROR(VLOOKUP(D1538,
IMPORTRANGE(""https://docs.google.com/spreadsheets/d/1MjHtlUikwobi2MaWJgy7tfLeBmhj1u-dRFRs_8GwSoA/edit#gid=0"",""Gestores Escolares!D7:m""),9,0),""VERIFICAR CÓD SEC"")"),"MARIA APARECIDA ABOLIN MARINHO")</f>
        <v>MARIA APARECIDA ABOLIN MARINHO</v>
      </c>
      <c r="R1538" s="82" t="str">
        <f>IFERROR(__xludf.DUMMYFUNCTION("IFERROR(VLOOKUP(D1538,
IMPORTRANGE(""https://docs.google.com/spreadsheets/d/1MjHtlUikwobi2MaWJgy7tfLeBmhj1u-dRFRs_8GwSoA/edit#gid=0"",""Gestores Escolares!D7:m""),10,0),""VERIFICAR CÓD SEC"")"),"(71) 9 9924-3344")</f>
        <v>(71) 9 9924-3344</v>
      </c>
      <c r="S1538" s="82"/>
      <c r="T1538" s="138">
        <v>24.0</v>
      </c>
      <c r="U1538" s="152">
        <v>24.0</v>
      </c>
      <c r="V1538" s="106">
        <v>0.0</v>
      </c>
      <c r="W1538" s="107">
        <v>0.0</v>
      </c>
      <c r="X1538" s="107">
        <v>0.0</v>
      </c>
      <c r="Y1538" s="107">
        <v>0.0</v>
      </c>
      <c r="Z1538" s="80">
        <f t="shared" si="1"/>
        <v>0</v>
      </c>
      <c r="AA1538" s="106">
        <v>517.0</v>
      </c>
      <c r="AB1538" s="107">
        <v>67.0</v>
      </c>
      <c r="AC1538" s="107">
        <v>0.0</v>
      </c>
      <c r="AD1538" s="107">
        <v>0.0</v>
      </c>
      <c r="AE1538" s="80">
        <f t="shared" si="2"/>
        <v>584</v>
      </c>
      <c r="AF1538" s="140">
        <v>417.0</v>
      </c>
      <c r="AG1538" s="109">
        <v>326.0</v>
      </c>
      <c r="AH1538" s="109">
        <v>0.0</v>
      </c>
      <c r="AI1538" s="141">
        <v>65.0</v>
      </c>
      <c r="AJ1538" s="80">
        <f t="shared" si="3"/>
        <v>808</v>
      </c>
      <c r="AK1538" s="140">
        <v>0.0</v>
      </c>
      <c r="AL1538" s="109">
        <v>0.0</v>
      </c>
      <c r="AM1538" s="141">
        <v>0.0</v>
      </c>
      <c r="AN1538" s="80">
        <f t="shared" si="4"/>
        <v>0</v>
      </c>
      <c r="AO1538" s="140">
        <v>0.0</v>
      </c>
      <c r="AP1538" s="109">
        <v>0.0</v>
      </c>
      <c r="AQ1538" s="109">
        <v>0.0</v>
      </c>
      <c r="AR1538" s="80">
        <f t="shared" si="5"/>
        <v>0</v>
      </c>
      <c r="AS1538" s="110">
        <v>0.0</v>
      </c>
      <c r="AT1538" s="110">
        <v>0.0</v>
      </c>
      <c r="AU1538" s="110">
        <v>0.0</v>
      </c>
      <c r="AV1538" s="142">
        <v>0.0</v>
      </c>
      <c r="AW1538" s="80">
        <f t="shared" si="6"/>
        <v>0</v>
      </c>
      <c r="AX1538" s="113">
        <f t="shared" si="7"/>
        <v>1392</v>
      </c>
      <c r="AY1538" s="117">
        <f t="shared" si="8"/>
        <v>1392</v>
      </c>
      <c r="AZ1538" s="120">
        <f t="shared" si="9"/>
        <v>0</v>
      </c>
      <c r="BA1538" s="115">
        <v>0.0</v>
      </c>
      <c r="BB1538" s="89">
        <f t="shared" si="10"/>
        <v>1392</v>
      </c>
      <c r="BC1538" s="132" t="s">
        <v>178</v>
      </c>
      <c r="BD1538" s="132" t="s">
        <v>178</v>
      </c>
      <c r="BE1538" s="132" t="s">
        <v>178</v>
      </c>
      <c r="BF1538" s="123"/>
      <c r="BG1538" s="83">
        <v>1103336.0</v>
      </c>
      <c r="BH1538" s="137" t="s">
        <v>8658</v>
      </c>
      <c r="BI1538" s="112">
        <v>24.0</v>
      </c>
      <c r="BJ1538" s="98" t="s">
        <v>155</v>
      </c>
      <c r="BK1538" s="99">
        <f t="shared" si="11"/>
        <v>65</v>
      </c>
      <c r="BL1538" s="99">
        <f t="shared" si="12"/>
        <v>1327</v>
      </c>
      <c r="BM1538" s="99" t="str">
        <f>IFERROR(__xludf.DUMMYFUNCTION("IFERROR(VLOOKUP(BG1538,IMPORTRANGE(""https://docs.google.com/spreadsheets/d/1juPI-Fb8LD0YtltB2mlGEnp_R3UVu1t3wSFPzgCyHXE/edit?gid=0#gid=0"",""GERAL!A2:C""),3,0),""-"")"),"-")</f>
        <v>-</v>
      </c>
    </row>
    <row r="1539" ht="15.75" customHeight="1">
      <c r="A1539" s="111" t="s">
        <v>1785</v>
      </c>
      <c r="B1539" s="83" t="s">
        <v>1994</v>
      </c>
      <c r="C1539" s="83" t="s">
        <v>68</v>
      </c>
      <c r="D1539" s="112">
        <v>1176660.0</v>
      </c>
      <c r="E1539" s="83"/>
      <c r="F1539" s="83">
        <v>2.9404274E7</v>
      </c>
      <c r="G1539" s="119" t="s">
        <v>8659</v>
      </c>
      <c r="H1539" s="91" t="s">
        <v>8660</v>
      </c>
      <c r="I1539" s="83" t="s">
        <v>8446</v>
      </c>
      <c r="J1539" s="83" t="s">
        <v>150</v>
      </c>
      <c r="K1539" s="83" t="s">
        <v>151</v>
      </c>
      <c r="L1539" s="83" t="s">
        <v>230</v>
      </c>
      <c r="M1539" s="82" t="str">
        <f>IFERROR(__xludf.DUMMYFUNCTION("IFERROR(VLOOKUP(D1539,
IMPORTRANGE(""https://docs.google.com/spreadsheets/d/1MjHtlUikwobi2MaWJgy7tfLeBmhj1u-dRFRs_8GwSoA/edit#gid=0"",""Gestores Escolares!D7:J""),3,0),""VERIFICAR CÓD SEC"")"),"LUCIANO MELLO DE CARVALHO")</f>
        <v>LUCIANO MELLO DE CARVALHO</v>
      </c>
      <c r="N1539" s="82" t="str">
        <f>IFERROR(__xludf.DUMMYFUNCTION("IFERROR(VLOOKUP(D1539,
IMPORTRANGE(""https://docs.google.com/spreadsheets/d/1MjHtlUikwobi2MaWJgy7tfLeBmhj1u-dRFRs_8GwSoA/edit#gid=0"",""Gestores Escolares!D7:J""),4,0),""VERIFICAR CÓD SEC"")"),"(71) 9 8641-2619")</f>
        <v>(71) 9 8641-2619</v>
      </c>
      <c r="O1539" s="82" t="str">
        <f>IFERROR(__xludf.DUMMYFUNCTION("IFERROR(VLOOKUP(D1539,
IMPORTRANGE(""https://docs.google.com/spreadsheets/d/1MjHtlUikwobi2MaWJgy7tfLeBmhj1u-dRFRs_8GwSoA/edit#gid=0"",""Gestores Escolares!D7:J""),6,0),""VERIFICAR CÓD SEC"")"),"JOSE ROBERTO DE SOUZA SILVA")</f>
        <v>JOSE ROBERTO DE SOUZA SILVA</v>
      </c>
      <c r="P1539" s="82" t="str">
        <f>IFERROR(__xludf.DUMMYFUNCTION("IFERROR(VLOOKUP(D1539,
IMPORTRANGE(""https://docs.google.com/spreadsheets/d/1MjHtlUikwobi2MaWJgy7tfLeBmhj1u-dRFRs_8GwSoA/edit#gid=0"",""Gestores Escolares!D7:J""),7,0),""VERIFICAR CÓD SEC"")"),"(71) 9 8556-4880")</f>
        <v>(71) 9 8556-4880</v>
      </c>
      <c r="Q1539" s="82" t="str">
        <f>IFERROR(__xludf.DUMMYFUNCTION("IFERROR(VLOOKUP(D1539,
IMPORTRANGE(""https://docs.google.com/spreadsheets/d/1MjHtlUikwobi2MaWJgy7tfLeBmhj1u-dRFRs_8GwSoA/edit#gid=0"",""Gestores Escolares!D7:m""),9,0),""VERIFICAR CÓD SEC"")"),"DRIELE CASTRO LIMA DOS SANTOS")</f>
        <v>DRIELE CASTRO LIMA DOS SANTOS</v>
      </c>
      <c r="R1539" s="82" t="str">
        <f>IFERROR(__xludf.DUMMYFUNCTION("IFERROR(VLOOKUP(D1539,
IMPORTRANGE(""https://docs.google.com/spreadsheets/d/1MjHtlUikwobi2MaWJgy7tfLeBmhj1u-dRFRs_8GwSoA/edit#gid=0"",""Gestores Escolares!D7:m""),10,0),""VERIFICAR CÓD SEC"")"),"(71) 9 8875-2172")</f>
        <v>(71) 9 8875-2172</v>
      </c>
      <c r="S1539" s="82"/>
      <c r="T1539" s="138">
        <v>24.0</v>
      </c>
      <c r="U1539" s="152">
        <v>23.0</v>
      </c>
      <c r="V1539" s="106">
        <v>0.0</v>
      </c>
      <c r="W1539" s="107">
        <v>0.0</v>
      </c>
      <c r="X1539" s="107">
        <v>0.0</v>
      </c>
      <c r="Y1539" s="107">
        <v>0.0</v>
      </c>
      <c r="Z1539" s="80">
        <f t="shared" si="1"/>
        <v>0</v>
      </c>
      <c r="AA1539" s="106">
        <v>138.0</v>
      </c>
      <c r="AB1539" s="107">
        <v>0.0</v>
      </c>
      <c r="AC1539" s="107">
        <v>0.0</v>
      </c>
      <c r="AD1539" s="107">
        <v>431.0</v>
      </c>
      <c r="AE1539" s="80">
        <f t="shared" si="2"/>
        <v>569</v>
      </c>
      <c r="AF1539" s="140">
        <v>307.0</v>
      </c>
      <c r="AG1539" s="109">
        <v>0.0</v>
      </c>
      <c r="AH1539" s="109">
        <v>0.0</v>
      </c>
      <c r="AI1539" s="141">
        <v>33.0</v>
      </c>
      <c r="AJ1539" s="80">
        <f t="shared" si="3"/>
        <v>340</v>
      </c>
      <c r="AK1539" s="140">
        <v>0.0</v>
      </c>
      <c r="AL1539" s="109">
        <v>0.0</v>
      </c>
      <c r="AM1539" s="141">
        <v>0.0</v>
      </c>
      <c r="AN1539" s="80">
        <f t="shared" si="4"/>
        <v>0</v>
      </c>
      <c r="AO1539" s="140">
        <v>0.0</v>
      </c>
      <c r="AP1539" s="109">
        <v>0.0</v>
      </c>
      <c r="AQ1539" s="109">
        <v>271.0</v>
      </c>
      <c r="AR1539" s="80">
        <f t="shared" si="5"/>
        <v>271</v>
      </c>
      <c r="AS1539" s="110">
        <v>0.0</v>
      </c>
      <c r="AT1539" s="110">
        <v>459.0</v>
      </c>
      <c r="AU1539" s="110">
        <v>203.0</v>
      </c>
      <c r="AV1539" s="142">
        <v>0.0</v>
      </c>
      <c r="AW1539" s="80">
        <f t="shared" si="6"/>
        <v>662</v>
      </c>
      <c r="AX1539" s="113">
        <f t="shared" si="7"/>
        <v>1842</v>
      </c>
      <c r="AY1539" s="117">
        <f t="shared" si="8"/>
        <v>1368</v>
      </c>
      <c r="AZ1539" s="120">
        <f t="shared" si="9"/>
        <v>474</v>
      </c>
      <c r="BA1539" s="115">
        <v>0.0</v>
      </c>
      <c r="BB1539" s="89">
        <f t="shared" si="10"/>
        <v>1842</v>
      </c>
      <c r="BC1539" s="132" t="s">
        <v>178</v>
      </c>
      <c r="BD1539" s="132" t="s">
        <v>178</v>
      </c>
      <c r="BE1539" s="132" t="s">
        <v>178</v>
      </c>
      <c r="BF1539" s="156"/>
      <c r="BG1539" s="83">
        <v>1176660.0</v>
      </c>
      <c r="BH1539" s="137" t="s">
        <v>8661</v>
      </c>
      <c r="BI1539" s="112">
        <v>23.0</v>
      </c>
      <c r="BJ1539" s="98" t="s">
        <v>155</v>
      </c>
      <c r="BK1539" s="99">
        <f t="shared" si="11"/>
        <v>464</v>
      </c>
      <c r="BL1539" s="99">
        <f t="shared" si="12"/>
        <v>904</v>
      </c>
      <c r="BM1539" s="99" t="str">
        <f>IFERROR(__xludf.DUMMYFUNCTION("IFERROR(VLOOKUP(BG1539,IMPORTRANGE(""https://docs.google.com/spreadsheets/d/1juPI-Fb8LD0YtltB2mlGEnp_R3UVu1t3wSFPzgCyHXE/edit?gid=0#gid=0"",""GERAL!A2:C""),3,0),""-"")"),"-")</f>
        <v>-</v>
      </c>
    </row>
    <row r="1540" ht="15.75" customHeight="1">
      <c r="A1540" s="111" t="s">
        <v>1785</v>
      </c>
      <c r="B1540" s="83" t="s">
        <v>1994</v>
      </c>
      <c r="C1540" s="83" t="s">
        <v>68</v>
      </c>
      <c r="D1540" s="112">
        <v>1176810.0</v>
      </c>
      <c r="E1540" s="83"/>
      <c r="F1540" s="83">
        <v>2.9411491E7</v>
      </c>
      <c r="G1540" s="119" t="s">
        <v>13927</v>
      </c>
      <c r="H1540" s="91" t="s">
        <v>8358</v>
      </c>
      <c r="I1540" s="83" t="s">
        <v>8133</v>
      </c>
      <c r="J1540" s="83" t="s">
        <v>150</v>
      </c>
      <c r="K1540" s="83" t="s">
        <v>8359</v>
      </c>
      <c r="L1540" s="83" t="s">
        <v>230</v>
      </c>
      <c r="M1540" s="82" t="str">
        <f>IFERROR(__xludf.DUMMYFUNCTION("IFERROR(VLOOKUP(D1540,
IMPORTRANGE(""https://docs.google.com/spreadsheets/d/1MjHtlUikwobi2MaWJgy7tfLeBmhj1u-dRFRs_8GwSoA/edit#gid=0"",""Gestores Escolares!D7:J""),3,0),""VERIFICAR CÓD SEC"")"),"CLECIO ROULLET DE AZEVEDO")</f>
        <v>CLECIO ROULLET DE AZEVEDO</v>
      </c>
      <c r="N1540" s="82" t="str">
        <f>IFERROR(__xludf.DUMMYFUNCTION("IFERROR(VLOOKUP(D1540,
IMPORTRANGE(""https://docs.google.com/spreadsheets/d/1MjHtlUikwobi2MaWJgy7tfLeBmhj1u-dRFRs_8GwSoA/edit#gid=0"",""Gestores Escolares!D7:J""),4,0),""VERIFICAR CÓD SEC"")"),"(71) 9 9964-7572")</f>
        <v>(71) 9 9964-7572</v>
      </c>
      <c r="O1540" s="82" t="str">
        <f>IFERROR(__xludf.DUMMYFUNCTION("IFERROR(VLOOKUP(D1540,
IMPORTRANGE(""https://docs.google.com/spreadsheets/d/1MjHtlUikwobi2MaWJgy7tfLeBmhj1u-dRFRs_8GwSoA/edit#gid=0"",""Gestores Escolares!D7:J""),6,0),""VERIFICAR CÓD SEC"")"),"MARIA DE FATIMA BATISTA DO ESPIRITO SANTO")</f>
        <v>MARIA DE FATIMA BATISTA DO ESPIRITO SANTO</v>
      </c>
      <c r="P1540" s="82" t="str">
        <f>IFERROR(__xludf.DUMMYFUNCTION("IFERROR(VLOOKUP(D1540,
IMPORTRANGE(""https://docs.google.com/spreadsheets/d/1MjHtlUikwobi2MaWJgy7tfLeBmhj1u-dRFRs_8GwSoA/edit#gid=0"",""Gestores Escolares!D7:J""),7,0),""VERIFICAR CÓD SEC"")"),"(71) 9 9131-2084")</f>
        <v>(71) 9 9131-2084</v>
      </c>
      <c r="Q1540" s="82" t="str">
        <f>IFERROR(__xludf.DUMMYFUNCTION("IFERROR(VLOOKUP(D1540,
IMPORTRANGE(""https://docs.google.com/spreadsheets/d/1MjHtlUikwobi2MaWJgy7tfLeBmhj1u-dRFRs_8GwSoA/edit#gid=0"",""Gestores Escolares!D7:m""),9,0),""VERIFICAR CÓD SEC"")"),"EDILTON AGARENO DE SOUZA JR.")</f>
        <v>EDILTON AGARENO DE SOUZA JR.</v>
      </c>
      <c r="R1540" s="82" t="str">
        <f>IFERROR(__xludf.DUMMYFUNCTION("IFERROR(VLOOKUP(D1540,
IMPORTRANGE(""https://docs.google.com/spreadsheets/d/1MjHtlUikwobi2MaWJgy7tfLeBmhj1u-dRFRs_8GwSoA/edit#gid=0"",""Gestores Escolares!D7:m""),10,0),""VERIFICAR CÓD SEC"")"),"(71) 9 8852-7033")</f>
        <v>(71) 9 8852-7033</v>
      </c>
      <c r="S1540" s="82"/>
      <c r="T1540" s="138">
        <v>8.0</v>
      </c>
      <c r="U1540" s="152">
        <v>7.0</v>
      </c>
      <c r="V1540" s="106">
        <v>0.0</v>
      </c>
      <c r="W1540" s="107">
        <v>0.0</v>
      </c>
      <c r="X1540" s="107">
        <v>0.0</v>
      </c>
      <c r="Y1540" s="107">
        <v>0.0</v>
      </c>
      <c r="Z1540" s="80">
        <f t="shared" si="1"/>
        <v>0</v>
      </c>
      <c r="AA1540" s="106">
        <v>0.0</v>
      </c>
      <c r="AB1540" s="107">
        <v>40.0</v>
      </c>
      <c r="AC1540" s="107">
        <v>0.0</v>
      </c>
      <c r="AD1540" s="107">
        <v>0.0</v>
      </c>
      <c r="AE1540" s="80">
        <f t="shared" si="2"/>
        <v>40</v>
      </c>
      <c r="AF1540" s="140">
        <v>279.0</v>
      </c>
      <c r="AG1540" s="109">
        <v>191.0</v>
      </c>
      <c r="AH1540" s="109">
        <v>0.0</v>
      </c>
      <c r="AI1540" s="141">
        <v>0.0</v>
      </c>
      <c r="AJ1540" s="80">
        <f t="shared" si="3"/>
        <v>470</v>
      </c>
      <c r="AK1540" s="140">
        <v>0.0</v>
      </c>
      <c r="AL1540" s="109">
        <v>0.0</v>
      </c>
      <c r="AM1540" s="141">
        <v>96.0</v>
      </c>
      <c r="AN1540" s="80">
        <f t="shared" si="4"/>
        <v>96</v>
      </c>
      <c r="AO1540" s="140">
        <v>0.0</v>
      </c>
      <c r="AP1540" s="109">
        <v>0.0</v>
      </c>
      <c r="AQ1540" s="109">
        <v>0.0</v>
      </c>
      <c r="AR1540" s="80">
        <f t="shared" si="5"/>
        <v>0</v>
      </c>
      <c r="AS1540" s="110">
        <v>0.0</v>
      </c>
      <c r="AT1540" s="110">
        <v>0.0</v>
      </c>
      <c r="AU1540" s="110">
        <v>0.0</v>
      </c>
      <c r="AV1540" s="142">
        <v>0.0</v>
      </c>
      <c r="AW1540" s="80">
        <f t="shared" si="6"/>
        <v>0</v>
      </c>
      <c r="AX1540" s="113">
        <f t="shared" si="7"/>
        <v>606</v>
      </c>
      <c r="AY1540" s="117">
        <f t="shared" si="8"/>
        <v>510</v>
      </c>
      <c r="AZ1540" s="120">
        <f t="shared" si="9"/>
        <v>96</v>
      </c>
      <c r="BA1540" s="115">
        <v>0.0</v>
      </c>
      <c r="BB1540" s="89">
        <f t="shared" si="10"/>
        <v>606</v>
      </c>
      <c r="BC1540" s="132" t="s">
        <v>178</v>
      </c>
      <c r="BD1540" s="132" t="s">
        <v>178</v>
      </c>
      <c r="BE1540" s="132" t="s">
        <v>178</v>
      </c>
      <c r="BF1540" s="156"/>
      <c r="BG1540" s="83">
        <v>1176810.0</v>
      </c>
      <c r="BH1540" s="98" t="s">
        <v>8360</v>
      </c>
      <c r="BI1540" s="112">
        <v>7.0</v>
      </c>
      <c r="BJ1540" s="98" t="s">
        <v>155</v>
      </c>
      <c r="BK1540" s="99">
        <f t="shared" si="11"/>
        <v>0</v>
      </c>
      <c r="BL1540" s="99">
        <f t="shared" si="12"/>
        <v>510</v>
      </c>
      <c r="BM1540" s="99" t="str">
        <f>IFERROR(__xludf.DUMMYFUNCTION("IFERROR(VLOOKUP(BG1540,IMPORTRANGE(""https://docs.google.com/spreadsheets/d/1juPI-Fb8LD0YtltB2mlGEnp_R3UVu1t3wSFPzgCyHXE/edit?gid=0#gid=0"",""GERAL!A2:C""),3,0),""-"")"),"-")</f>
        <v>-</v>
      </c>
    </row>
    <row r="1541" ht="15.75" customHeight="1">
      <c r="A1541" s="111" t="s">
        <v>1785</v>
      </c>
      <c r="B1541" s="83" t="s">
        <v>1994</v>
      </c>
      <c r="C1541" s="83" t="s">
        <v>68</v>
      </c>
      <c r="D1541" s="112">
        <v>1176445.0</v>
      </c>
      <c r="E1541" s="83"/>
      <c r="F1541" s="83">
        <v>2.9386543E7</v>
      </c>
      <c r="G1541" s="353" t="s">
        <v>8662</v>
      </c>
      <c r="H1541" s="91" t="s">
        <v>8663</v>
      </c>
      <c r="I1541" s="83" t="s">
        <v>8233</v>
      </c>
      <c r="J1541" s="83" t="s">
        <v>150</v>
      </c>
      <c r="K1541" s="83" t="s">
        <v>151</v>
      </c>
      <c r="L1541" s="83" t="s">
        <v>152</v>
      </c>
      <c r="M1541" s="82" t="str">
        <f>IFERROR(__xludf.DUMMYFUNCTION("IFERROR(VLOOKUP(D1541,
IMPORTRANGE(""https://docs.google.com/spreadsheets/d/1MjHtlUikwobi2MaWJgy7tfLeBmhj1u-dRFRs_8GwSoA/edit#gid=0"",""Gestores Escolares!D7:J""),3,0),""VERIFICAR CÓD SEC"")"),"CARLUCE MESSIAS NEVES")</f>
        <v>CARLUCE MESSIAS NEVES</v>
      </c>
      <c r="N1541" s="82" t="str">
        <f>IFERROR(__xludf.DUMMYFUNCTION("IFERROR(VLOOKUP(D1541,
IMPORTRANGE(""https://docs.google.com/spreadsheets/d/1MjHtlUikwobi2MaWJgy7tfLeBmhj1u-dRFRs_8GwSoA/edit#gid=0"",""Gestores Escolares!D7:J""),4,0),""VERIFICAR CÓD SEC"")"),"(71) 9 9210-7264")</f>
        <v>(71) 9 9210-7264</v>
      </c>
      <c r="O1541" s="82" t="str">
        <f>IFERROR(__xludf.DUMMYFUNCTION("IFERROR(VLOOKUP(D1541,
IMPORTRANGE(""https://docs.google.com/spreadsheets/d/1MjHtlUikwobi2MaWJgy7tfLeBmhj1u-dRFRs_8GwSoA/edit#gid=0"",""Gestores Escolares!D7:J""),6,0),""VERIFICAR CÓD SEC"")"),"AUDIVAL FERREIRA DE SENA JÚNIOR")</f>
        <v>AUDIVAL FERREIRA DE SENA JÚNIOR</v>
      </c>
      <c r="P1541" s="82" t="str">
        <f>IFERROR(__xludf.DUMMYFUNCTION("IFERROR(VLOOKUP(D1541,
IMPORTRANGE(""https://docs.google.com/spreadsheets/d/1MjHtlUikwobi2MaWJgy7tfLeBmhj1u-dRFRs_8GwSoA/edit#gid=0"",""Gestores Escolares!D7:J""),7,0),""VERIFICAR CÓD SEC"")"),"(71) 9 9185-2941")</f>
        <v>(71) 9 9185-2941</v>
      </c>
      <c r="Q1541" s="82" t="str">
        <f>IFERROR(__xludf.DUMMYFUNCTION("IFERROR(VLOOKUP(D1541,
IMPORTRANGE(""https://docs.google.com/spreadsheets/d/1MjHtlUikwobi2MaWJgy7tfLeBmhj1u-dRFRs_8GwSoA/edit#gid=0"",""Gestores Escolares!D7:m""),9,0),""VERIFICAR CÓD SEC"")"),"SONIA SANTOS DE OLIVEIRA")</f>
        <v>SONIA SANTOS DE OLIVEIRA</v>
      </c>
      <c r="R1541" s="82" t="str">
        <f>IFERROR(__xludf.DUMMYFUNCTION("IFERROR(VLOOKUP(D1541,
IMPORTRANGE(""https://docs.google.com/spreadsheets/d/1MjHtlUikwobi2MaWJgy7tfLeBmhj1u-dRFRs_8GwSoA/edit#gid=0"",""Gestores Escolares!D7:m""),10,0),""VERIFICAR CÓD SEC"")"),"(71) 9 8856-0802")</f>
        <v>(71) 9 8856-0802</v>
      </c>
      <c r="S1541" s="82"/>
      <c r="T1541" s="138">
        <v>16.0</v>
      </c>
      <c r="U1541" s="152">
        <v>15.0</v>
      </c>
      <c r="V1541" s="106">
        <v>0.0</v>
      </c>
      <c r="W1541" s="107">
        <v>0.0</v>
      </c>
      <c r="X1541" s="107">
        <v>0.0</v>
      </c>
      <c r="Y1541" s="107">
        <v>0.0</v>
      </c>
      <c r="Z1541" s="80">
        <f t="shared" si="1"/>
        <v>0</v>
      </c>
      <c r="AA1541" s="106">
        <v>626.0</v>
      </c>
      <c r="AB1541" s="107">
        <v>208.0</v>
      </c>
      <c r="AC1541" s="107">
        <v>0.0</v>
      </c>
      <c r="AD1541" s="107">
        <v>0.0</v>
      </c>
      <c r="AE1541" s="80">
        <f t="shared" si="2"/>
        <v>834</v>
      </c>
      <c r="AF1541" s="140">
        <v>0.0</v>
      </c>
      <c r="AG1541" s="109">
        <v>368.0</v>
      </c>
      <c r="AH1541" s="109">
        <v>0.0</v>
      </c>
      <c r="AI1541" s="141">
        <v>0.0</v>
      </c>
      <c r="AJ1541" s="80">
        <f t="shared" si="3"/>
        <v>368</v>
      </c>
      <c r="AK1541" s="140">
        <v>0.0</v>
      </c>
      <c r="AL1541" s="109">
        <v>0.0</v>
      </c>
      <c r="AM1541" s="141">
        <v>0.0</v>
      </c>
      <c r="AN1541" s="80">
        <f t="shared" si="4"/>
        <v>0</v>
      </c>
      <c r="AO1541" s="140">
        <v>0.0</v>
      </c>
      <c r="AP1541" s="109">
        <v>0.0</v>
      </c>
      <c r="AQ1541" s="109">
        <v>200.0</v>
      </c>
      <c r="AR1541" s="80">
        <f t="shared" si="5"/>
        <v>200</v>
      </c>
      <c r="AS1541" s="110">
        <v>0.0</v>
      </c>
      <c r="AT1541" s="110">
        <v>0.0</v>
      </c>
      <c r="AU1541" s="110">
        <v>0.0</v>
      </c>
      <c r="AV1541" s="142">
        <v>0.0</v>
      </c>
      <c r="AW1541" s="80">
        <f t="shared" si="6"/>
        <v>0</v>
      </c>
      <c r="AX1541" s="113">
        <f t="shared" si="7"/>
        <v>1402</v>
      </c>
      <c r="AY1541" s="117">
        <f t="shared" si="8"/>
        <v>1202</v>
      </c>
      <c r="AZ1541" s="120">
        <f t="shared" si="9"/>
        <v>200</v>
      </c>
      <c r="BA1541" s="115">
        <v>0.0</v>
      </c>
      <c r="BB1541" s="89">
        <f t="shared" si="10"/>
        <v>1402</v>
      </c>
      <c r="BC1541" s="132" t="s">
        <v>178</v>
      </c>
      <c r="BD1541" s="132" t="s">
        <v>178</v>
      </c>
      <c r="BE1541" s="132" t="s">
        <v>178</v>
      </c>
      <c r="BF1541" s="156"/>
      <c r="BG1541" s="83">
        <v>1176445.0</v>
      </c>
      <c r="BH1541" s="171" t="s">
        <v>8664</v>
      </c>
      <c r="BI1541" s="112">
        <v>15.0</v>
      </c>
      <c r="BJ1541" s="98" t="s">
        <v>155</v>
      </c>
      <c r="BK1541" s="99">
        <f t="shared" si="11"/>
        <v>0</v>
      </c>
      <c r="BL1541" s="99">
        <f t="shared" si="12"/>
        <v>1202</v>
      </c>
      <c r="BM1541" s="99" t="str">
        <f>IFERROR(__xludf.DUMMYFUNCTION("IFERROR(VLOOKUP(BG1541,IMPORTRANGE(""https://docs.google.com/spreadsheets/d/1juPI-Fb8LD0YtltB2mlGEnp_R3UVu1t3wSFPzgCyHXE/edit?gid=0#gid=0"",""GERAL!A2:C""),3,0),""-"")"),"-")</f>
        <v>-</v>
      </c>
    </row>
    <row r="1542" ht="15.75" customHeight="1">
      <c r="A1542" s="111" t="s">
        <v>1785</v>
      </c>
      <c r="B1542" s="83" t="s">
        <v>1994</v>
      </c>
      <c r="C1542" s="83" t="s">
        <v>68</v>
      </c>
      <c r="D1542" s="112">
        <v>1100817.0</v>
      </c>
      <c r="E1542" s="83"/>
      <c r="F1542" s="83">
        <v>2.9192617E7</v>
      </c>
      <c r="G1542" s="119" t="s">
        <v>8667</v>
      </c>
      <c r="H1542" s="91" t="s">
        <v>8668</v>
      </c>
      <c r="I1542" s="83" t="s">
        <v>8669</v>
      </c>
      <c r="J1542" s="83" t="s">
        <v>150</v>
      </c>
      <c r="K1542" s="83" t="s">
        <v>151</v>
      </c>
      <c r="L1542" s="98" t="s">
        <v>76</v>
      </c>
      <c r="M1542" s="82" t="str">
        <f>IFERROR(__xludf.DUMMYFUNCTION("IFERROR(VLOOKUP(D1542,
IMPORTRANGE(""https://docs.google.com/spreadsheets/d/1MjHtlUikwobi2MaWJgy7tfLeBmhj1u-dRFRs_8GwSoA/edit#gid=0"",""Gestores Escolares!D7:J""),3,0),""VERIFICAR CÓD SEC"")"),"ILCA GUIMARAES DA SILVA")</f>
        <v>ILCA GUIMARAES DA SILVA</v>
      </c>
      <c r="N1542" s="82" t="str">
        <f>IFERROR(__xludf.DUMMYFUNCTION("IFERROR(VLOOKUP(D1542,
IMPORTRANGE(""https://docs.google.com/spreadsheets/d/1MjHtlUikwobi2MaWJgy7tfLeBmhj1u-dRFRs_8GwSoA/edit#gid=0"",""Gestores Escolares!D7:J""),4,0),""VERIFICAR CÓD SEC"")"),"(71) 9 9274-3798")</f>
        <v>(71) 9 9274-3798</v>
      </c>
      <c r="O1542" s="82" t="str">
        <f>IFERROR(__xludf.DUMMYFUNCTION("IFERROR(VLOOKUP(D1542,
IMPORTRANGE(""https://docs.google.com/spreadsheets/d/1MjHtlUikwobi2MaWJgy7tfLeBmhj1u-dRFRs_8GwSoA/edit#gid=0"",""Gestores Escolares!D7:J""),6,0),""VERIFICAR CÓD SEC"")"),"MARIANA PRATES SACRAMENTO")</f>
        <v>MARIANA PRATES SACRAMENTO</v>
      </c>
      <c r="P1542" s="82" t="str">
        <f>IFERROR(__xludf.DUMMYFUNCTION("IFERROR(VLOOKUP(D1542,
IMPORTRANGE(""https://docs.google.com/spreadsheets/d/1MjHtlUikwobi2MaWJgy7tfLeBmhj1u-dRFRs_8GwSoA/edit#gid=0"",""Gestores Escolares!D7:J""),7,0),""VERIFICAR CÓD SEC"")"),"(71) 9 9643-0789")</f>
        <v>(71) 9 9643-0789</v>
      </c>
      <c r="Q1542" s="82" t="str">
        <f>IFERROR(__xludf.DUMMYFUNCTION("IFERROR(VLOOKUP(D1542,
IMPORTRANGE(""https://docs.google.com/spreadsheets/d/1MjHtlUikwobi2MaWJgy7tfLeBmhj1u-dRFRs_8GwSoA/edit#gid=0"",""Gestores Escolares!D7:m""),9,0),""VERIFICAR CÓD SEC"")"),"")</f>
        <v/>
      </c>
      <c r="R1542" s="82" t="str">
        <f>IFERROR(__xludf.DUMMYFUNCTION("IFERROR(VLOOKUP(D1542,
IMPORTRANGE(""https://docs.google.com/spreadsheets/d/1MjHtlUikwobi2MaWJgy7tfLeBmhj1u-dRFRs_8GwSoA/edit#gid=0"",""Gestores Escolares!D7:m""),10,0),""VERIFICAR CÓD SEC"")"),"")</f>
        <v/>
      </c>
      <c r="S1542" s="82"/>
      <c r="T1542" s="138">
        <v>13.0</v>
      </c>
      <c r="U1542" s="152">
        <v>13.0</v>
      </c>
      <c r="V1542" s="106">
        <v>0.0</v>
      </c>
      <c r="W1542" s="107">
        <v>0.0</v>
      </c>
      <c r="X1542" s="107">
        <v>0.0</v>
      </c>
      <c r="Y1542" s="107">
        <v>0.0</v>
      </c>
      <c r="Z1542" s="80">
        <f t="shared" si="1"/>
        <v>0</v>
      </c>
      <c r="AA1542" s="106">
        <v>0.0</v>
      </c>
      <c r="AB1542" s="107">
        <v>0.0</v>
      </c>
      <c r="AC1542" s="107">
        <v>0.0</v>
      </c>
      <c r="AD1542" s="107">
        <v>239.0</v>
      </c>
      <c r="AE1542" s="80">
        <f t="shared" si="2"/>
        <v>239</v>
      </c>
      <c r="AF1542" s="140">
        <v>0.0</v>
      </c>
      <c r="AG1542" s="109">
        <v>0.0</v>
      </c>
      <c r="AH1542" s="109">
        <v>0.0</v>
      </c>
      <c r="AI1542" s="141">
        <v>77.0</v>
      </c>
      <c r="AJ1542" s="80">
        <f t="shared" si="3"/>
        <v>77</v>
      </c>
      <c r="AK1542" s="140">
        <v>0.0</v>
      </c>
      <c r="AL1542" s="109">
        <v>0.0</v>
      </c>
      <c r="AM1542" s="141">
        <v>0.0</v>
      </c>
      <c r="AN1542" s="80">
        <f t="shared" si="4"/>
        <v>0</v>
      </c>
      <c r="AO1542" s="140">
        <v>0.0</v>
      </c>
      <c r="AP1542" s="109">
        <v>0.0</v>
      </c>
      <c r="AQ1542" s="109">
        <v>0.0</v>
      </c>
      <c r="AR1542" s="80">
        <f t="shared" si="5"/>
        <v>0</v>
      </c>
      <c r="AS1542" s="110">
        <v>0.0</v>
      </c>
      <c r="AT1542" s="110">
        <v>0.0</v>
      </c>
      <c r="AU1542" s="110">
        <v>0.0</v>
      </c>
      <c r="AV1542" s="142">
        <v>0.0</v>
      </c>
      <c r="AW1542" s="80">
        <f t="shared" si="6"/>
        <v>0</v>
      </c>
      <c r="AX1542" s="113">
        <f t="shared" si="7"/>
        <v>316</v>
      </c>
      <c r="AY1542" s="117">
        <f t="shared" si="8"/>
        <v>316</v>
      </c>
      <c r="AZ1542" s="120">
        <f t="shared" si="9"/>
        <v>0</v>
      </c>
      <c r="BA1542" s="115">
        <v>0.0</v>
      </c>
      <c r="BB1542" s="89">
        <f t="shared" si="10"/>
        <v>316</v>
      </c>
      <c r="BC1542" s="132" t="s">
        <v>178</v>
      </c>
      <c r="BD1542" s="132" t="s">
        <v>178</v>
      </c>
      <c r="BE1542" s="132" t="s">
        <v>178</v>
      </c>
      <c r="BF1542" s="123"/>
      <c r="BG1542" s="83">
        <v>1100817.0</v>
      </c>
      <c r="BH1542" s="137" t="s">
        <v>8670</v>
      </c>
      <c r="BI1542" s="112">
        <v>13.0</v>
      </c>
      <c r="BJ1542" s="98" t="s">
        <v>155</v>
      </c>
      <c r="BK1542" s="99">
        <f t="shared" si="11"/>
        <v>316</v>
      </c>
      <c r="BL1542" s="99">
        <f t="shared" si="12"/>
        <v>0</v>
      </c>
      <c r="BM1542" s="99" t="str">
        <f>IFERROR(__xludf.DUMMYFUNCTION("IFERROR(VLOOKUP(BG1542,IMPORTRANGE(""https://docs.google.com/spreadsheets/d/1juPI-Fb8LD0YtltB2mlGEnp_R3UVu1t3wSFPzgCyHXE/edit?gid=0#gid=0"",""GERAL!A2:C""),3,0),""-"")"),"-")</f>
        <v>-</v>
      </c>
    </row>
    <row r="1543" ht="15.75" customHeight="1">
      <c r="A1543" s="111" t="s">
        <v>1785</v>
      </c>
      <c r="B1543" s="83" t="s">
        <v>1994</v>
      </c>
      <c r="C1543" s="83" t="s">
        <v>68</v>
      </c>
      <c r="D1543" s="112">
        <v>1104600.0</v>
      </c>
      <c r="E1543" s="83"/>
      <c r="F1543" s="83">
        <v>2.9182174E7</v>
      </c>
      <c r="G1543" s="220" t="s">
        <v>8677</v>
      </c>
      <c r="H1543" s="91" t="s">
        <v>8678</v>
      </c>
      <c r="I1543" s="83" t="s">
        <v>8233</v>
      </c>
      <c r="J1543" s="83" t="s">
        <v>150</v>
      </c>
      <c r="K1543" s="83" t="s">
        <v>151</v>
      </c>
      <c r="L1543" s="98" t="s">
        <v>230</v>
      </c>
      <c r="M1543" s="82" t="str">
        <f>IFERROR(__xludf.DUMMYFUNCTION("IFERROR(VLOOKUP(D1543,
IMPORTRANGE(""https://docs.google.com/spreadsheets/d/1MjHtlUikwobi2MaWJgy7tfLeBmhj1u-dRFRs_8GwSoA/edit#gid=0"",""Gestores Escolares!D7:J""),3,0),""VERIFICAR CÓD SEC"")"),"LILIANE FONSECA DO CARMO")</f>
        <v>LILIANE FONSECA DO CARMO</v>
      </c>
      <c r="N1543" s="82" t="str">
        <f>IFERROR(__xludf.DUMMYFUNCTION("IFERROR(VLOOKUP(D1543,
IMPORTRANGE(""https://docs.google.com/spreadsheets/d/1MjHtlUikwobi2MaWJgy7tfLeBmhj1u-dRFRs_8GwSoA/edit#gid=0"",""Gestores Escolares!D7:J""),4,0),""VERIFICAR CÓD SEC"")")," (71) 9 8152-8974 ZAP DA UEE /
9 8745-2789/ 
9 9700-9015/ 
9 8314-2660")</f>
        <v> (71) 9 8152-8974 ZAP DA UEE /
9 8745-2789/ 
9 9700-9015/ 
9 8314-2660</v>
      </c>
      <c r="O1543" s="82" t="str">
        <f>IFERROR(__xludf.DUMMYFUNCTION("IFERROR(VLOOKUP(D1543,
IMPORTRANGE(""https://docs.google.com/spreadsheets/d/1MjHtlUikwobi2MaWJgy7tfLeBmhj1u-dRFRs_8GwSoA/edit#gid=0"",""Gestores Escolares!D7:J""),6,0),""VERIFICAR CÓD SEC"")"),"ARISVAL SANTOS DA COSTA")</f>
        <v>ARISVAL SANTOS DA COSTA</v>
      </c>
      <c r="P1543" s="82" t="str">
        <f>IFERROR(__xludf.DUMMYFUNCTION("IFERROR(VLOOKUP(D1543,
IMPORTRANGE(""https://docs.google.com/spreadsheets/d/1MjHtlUikwobi2MaWJgy7tfLeBmhj1u-dRFRs_8GwSoA/edit#gid=0"",""Gestores Escolares!D7:J""),7,0),""VERIFICAR CÓD SEC"")")," (71) 9 9988-4078")</f>
        <v> (71) 9 9988-4078</v>
      </c>
      <c r="Q1543" s="82" t="str">
        <f>IFERROR(__xludf.DUMMYFUNCTION("IFERROR(VLOOKUP(D1543,
IMPORTRANGE(""https://docs.google.com/spreadsheets/d/1MjHtlUikwobi2MaWJgy7tfLeBmhj1u-dRFRs_8GwSoA/edit#gid=0"",""Gestores Escolares!D7:m""),9,0),""VERIFICAR CÓD SEC"")"),"ANA MARIA POMPILIO BASTOS")</f>
        <v>ANA MARIA POMPILIO BASTOS</v>
      </c>
      <c r="R1543" s="82" t="str">
        <f>IFERROR(__xludf.DUMMYFUNCTION("IFERROR(VLOOKUP(D1543,
IMPORTRANGE(""https://docs.google.com/spreadsheets/d/1MjHtlUikwobi2MaWJgy7tfLeBmhj1u-dRFRs_8GwSoA/edit#gid=0"",""Gestores Escolares!D7:m""),10,0),""VERIFICAR CÓD SEC"")"),"(71) 9 9142-8508")</f>
        <v>(71) 9 9142-8508</v>
      </c>
      <c r="S1543" s="82"/>
      <c r="T1543" s="138">
        <v>16.0</v>
      </c>
      <c r="U1543" s="145">
        <v>30.0</v>
      </c>
      <c r="V1543" s="106">
        <v>0.0</v>
      </c>
      <c r="W1543" s="107">
        <v>0.0</v>
      </c>
      <c r="X1543" s="107">
        <v>0.0</v>
      </c>
      <c r="Y1543" s="107">
        <v>0.0</v>
      </c>
      <c r="Z1543" s="80">
        <f t="shared" si="1"/>
        <v>0</v>
      </c>
      <c r="AA1543" s="106">
        <v>0.0</v>
      </c>
      <c r="AB1543" s="107">
        <v>0.0</v>
      </c>
      <c r="AC1543" s="107">
        <v>0.0</v>
      </c>
      <c r="AD1543" s="107">
        <v>0.0</v>
      </c>
      <c r="AE1543" s="80">
        <f t="shared" si="2"/>
        <v>0</v>
      </c>
      <c r="AF1543" s="140">
        <v>0.0</v>
      </c>
      <c r="AG1543" s="109">
        <v>0.0</v>
      </c>
      <c r="AH1543" s="109">
        <v>0.0</v>
      </c>
      <c r="AI1543" s="141">
        <v>374.0</v>
      </c>
      <c r="AJ1543" s="80">
        <f t="shared" si="3"/>
        <v>374</v>
      </c>
      <c r="AK1543" s="140">
        <v>0.0</v>
      </c>
      <c r="AL1543" s="109">
        <v>0.0</v>
      </c>
      <c r="AM1543" s="141">
        <v>0.0</v>
      </c>
      <c r="AN1543" s="80">
        <f t="shared" si="4"/>
        <v>0</v>
      </c>
      <c r="AO1543" s="140">
        <v>0.0</v>
      </c>
      <c r="AP1543" s="109">
        <v>0.0</v>
      </c>
      <c r="AQ1543" s="109">
        <v>278.0</v>
      </c>
      <c r="AR1543" s="80">
        <f t="shared" si="5"/>
        <v>278</v>
      </c>
      <c r="AS1543" s="110">
        <v>0.0</v>
      </c>
      <c r="AT1543" s="110">
        <v>0.0</v>
      </c>
      <c r="AU1543" s="110">
        <v>100.0</v>
      </c>
      <c r="AV1543" s="142">
        <v>512.0</v>
      </c>
      <c r="AW1543" s="80">
        <f t="shared" si="6"/>
        <v>612</v>
      </c>
      <c r="AX1543" s="113">
        <f t="shared" si="7"/>
        <v>1264</v>
      </c>
      <c r="AY1543" s="117">
        <f t="shared" si="8"/>
        <v>886</v>
      </c>
      <c r="AZ1543" s="120">
        <f t="shared" si="9"/>
        <v>378</v>
      </c>
      <c r="BA1543" s="115">
        <v>0.0</v>
      </c>
      <c r="BB1543" s="89">
        <f t="shared" si="10"/>
        <v>1264</v>
      </c>
      <c r="BC1543" s="132" t="s">
        <v>178</v>
      </c>
      <c r="BD1543" s="132" t="s">
        <v>178</v>
      </c>
      <c r="BE1543" s="132" t="s">
        <v>178</v>
      </c>
      <c r="BF1543" s="123"/>
      <c r="BG1543" s="83">
        <v>1104600.0</v>
      </c>
      <c r="BH1543" s="137" t="s">
        <v>8679</v>
      </c>
      <c r="BI1543" s="112">
        <v>30.0</v>
      </c>
      <c r="BJ1543" s="98" t="s">
        <v>162</v>
      </c>
      <c r="BK1543" s="99">
        <f t="shared" si="11"/>
        <v>886</v>
      </c>
      <c r="BL1543" s="99">
        <f t="shared" si="12"/>
        <v>0</v>
      </c>
      <c r="BM1543" s="99" t="str">
        <f>IFERROR(__xludf.DUMMYFUNCTION("IFERROR(VLOOKUP(BG1543,IMPORTRANGE(""https://docs.google.com/spreadsheets/d/1juPI-Fb8LD0YtltB2mlGEnp_R3UVu1t3wSFPzgCyHXE/edit?gid=0#gid=0"",""GERAL!A2:C""),3,0),""-"")"),"-")</f>
        <v>-</v>
      </c>
    </row>
    <row r="1544" ht="15.75" customHeight="1">
      <c r="A1544" s="111" t="s">
        <v>1785</v>
      </c>
      <c r="B1544" s="83" t="s">
        <v>1994</v>
      </c>
      <c r="C1544" s="83" t="s">
        <v>68</v>
      </c>
      <c r="D1544" s="112">
        <v>1174721.0</v>
      </c>
      <c r="E1544" s="83"/>
      <c r="F1544" s="83">
        <v>2.9195462E7</v>
      </c>
      <c r="G1544" s="119" t="s">
        <v>8680</v>
      </c>
      <c r="H1544" s="108" t="s">
        <v>8681</v>
      </c>
      <c r="I1544" s="83" t="s">
        <v>8294</v>
      </c>
      <c r="J1544" s="83" t="s">
        <v>150</v>
      </c>
      <c r="K1544" s="83" t="s">
        <v>151</v>
      </c>
      <c r="L1544" s="83" t="s">
        <v>76</v>
      </c>
      <c r="M1544" s="82" t="str">
        <f>IFERROR(__xludf.DUMMYFUNCTION("IFERROR(VLOOKUP(D1544,
IMPORTRANGE(""https://docs.google.com/spreadsheets/d/1MjHtlUikwobi2MaWJgy7tfLeBmhj1u-dRFRs_8GwSoA/edit#gid=0"",""Gestores Escolares!D7:J""),3,0),""VERIFICAR CÓD SEC"")"),"MARCELO DA CRUZ NASCIMENTO")</f>
        <v>MARCELO DA CRUZ NASCIMENTO</v>
      </c>
      <c r="N1544" s="82" t="str">
        <f>IFERROR(__xludf.DUMMYFUNCTION("IFERROR(VLOOKUP(D1544,
IMPORTRANGE(""https://docs.google.com/spreadsheets/d/1MjHtlUikwobi2MaWJgy7tfLeBmhj1u-dRFRs_8GwSoA/edit#gid=0"",""Gestores Escolares!D7:J""),4,0),""VERIFICAR CÓD SEC"")"),"(71) 9 8820-6102/ 9 9215-6186")</f>
        <v>(71) 9 8820-6102/ 9 9215-6186</v>
      </c>
      <c r="O1544" s="82" t="str">
        <f>IFERROR(__xludf.DUMMYFUNCTION("IFERROR(VLOOKUP(D1544,
IMPORTRANGE(""https://docs.google.com/spreadsheets/d/1MjHtlUikwobi2MaWJgy7tfLeBmhj1u-dRFRs_8GwSoA/edit#gid=0"",""Gestores Escolares!D7:J""),6,0),""VERIFICAR CÓD SEC"")"),"MAYRA PANIAGO")</f>
        <v>MAYRA PANIAGO</v>
      </c>
      <c r="P1544" s="82" t="str">
        <f>IFERROR(__xludf.DUMMYFUNCTION("IFERROR(VLOOKUP(D1544,
IMPORTRANGE(""https://docs.google.com/spreadsheets/d/1MjHtlUikwobi2MaWJgy7tfLeBmhj1u-dRFRs_8GwSoA/edit#gid=0"",""Gestores Escolares!D7:J""),7,0),""VERIFICAR CÓD SEC"")"),"(75) 9 9171-1731")</f>
        <v>(75) 9 9171-1731</v>
      </c>
      <c r="Q1544" s="82" t="str">
        <f>IFERROR(__xludf.DUMMYFUNCTION("IFERROR(VLOOKUP(D1544,
IMPORTRANGE(""https://docs.google.com/spreadsheets/d/1MjHtlUikwobi2MaWJgy7tfLeBmhj1u-dRFRs_8GwSoA/edit#gid=0"",""Gestores Escolares!D7:m""),9,0),""VERIFICAR CÓD SEC"")"),"")</f>
        <v/>
      </c>
      <c r="R1544" s="82" t="str">
        <f>IFERROR(__xludf.DUMMYFUNCTION("IFERROR(VLOOKUP(D1544,
IMPORTRANGE(""https://docs.google.com/spreadsheets/d/1MjHtlUikwobi2MaWJgy7tfLeBmhj1u-dRFRs_8GwSoA/edit#gid=0"",""Gestores Escolares!D7:m""),10,0),""VERIFICAR CÓD SEC"")"),"")</f>
        <v/>
      </c>
      <c r="S1544" s="82"/>
      <c r="T1544" s="138">
        <v>12.0</v>
      </c>
      <c r="U1544" s="152">
        <v>12.0</v>
      </c>
      <c r="V1544" s="106">
        <v>0.0</v>
      </c>
      <c r="W1544" s="107">
        <v>0.0</v>
      </c>
      <c r="X1544" s="107">
        <v>0.0</v>
      </c>
      <c r="Y1544" s="107">
        <v>0.0</v>
      </c>
      <c r="Z1544" s="80">
        <f t="shared" si="1"/>
        <v>0</v>
      </c>
      <c r="AA1544" s="106">
        <v>0.0</v>
      </c>
      <c r="AB1544" s="107">
        <v>0.0</v>
      </c>
      <c r="AC1544" s="107">
        <v>0.0</v>
      </c>
      <c r="AD1544" s="107">
        <v>269.0</v>
      </c>
      <c r="AE1544" s="80">
        <f t="shared" si="2"/>
        <v>269</v>
      </c>
      <c r="AF1544" s="140">
        <v>0.0</v>
      </c>
      <c r="AG1544" s="109">
        <v>0.0</v>
      </c>
      <c r="AH1544" s="109">
        <v>0.0</v>
      </c>
      <c r="AI1544" s="141">
        <v>0.0</v>
      </c>
      <c r="AJ1544" s="80">
        <f t="shared" si="3"/>
        <v>0</v>
      </c>
      <c r="AK1544" s="140">
        <v>0.0</v>
      </c>
      <c r="AL1544" s="109">
        <v>0.0</v>
      </c>
      <c r="AM1544" s="141">
        <v>0.0</v>
      </c>
      <c r="AN1544" s="80">
        <f t="shared" si="4"/>
        <v>0</v>
      </c>
      <c r="AO1544" s="140">
        <v>0.0</v>
      </c>
      <c r="AP1544" s="109">
        <v>0.0</v>
      </c>
      <c r="AQ1544" s="109">
        <v>0.0</v>
      </c>
      <c r="AR1544" s="80">
        <f t="shared" si="5"/>
        <v>0</v>
      </c>
      <c r="AS1544" s="110">
        <v>0.0</v>
      </c>
      <c r="AT1544" s="110">
        <v>0.0</v>
      </c>
      <c r="AU1544" s="110">
        <v>0.0</v>
      </c>
      <c r="AV1544" s="142">
        <v>0.0</v>
      </c>
      <c r="AW1544" s="80">
        <f t="shared" si="6"/>
        <v>0</v>
      </c>
      <c r="AX1544" s="113">
        <f t="shared" si="7"/>
        <v>269</v>
      </c>
      <c r="AY1544" s="117">
        <f t="shared" si="8"/>
        <v>269</v>
      </c>
      <c r="AZ1544" s="120">
        <f t="shared" si="9"/>
        <v>0</v>
      </c>
      <c r="BA1544" s="115">
        <v>0.0</v>
      </c>
      <c r="BB1544" s="89">
        <f t="shared" si="10"/>
        <v>269</v>
      </c>
      <c r="BC1544" s="132" t="s">
        <v>178</v>
      </c>
      <c r="BD1544" s="132" t="s">
        <v>178</v>
      </c>
      <c r="BE1544" s="132" t="s">
        <v>178</v>
      </c>
      <c r="BF1544" s="156"/>
      <c r="BG1544" s="83">
        <v>1174721.0</v>
      </c>
      <c r="BH1544" s="137" t="s">
        <v>8683</v>
      </c>
      <c r="BI1544" s="112">
        <v>12.0</v>
      </c>
      <c r="BJ1544" s="98" t="s">
        <v>155</v>
      </c>
      <c r="BK1544" s="99">
        <f t="shared" si="11"/>
        <v>269</v>
      </c>
      <c r="BL1544" s="99">
        <f t="shared" si="12"/>
        <v>0</v>
      </c>
      <c r="BM1544" s="99" t="str">
        <f>IFERROR(__xludf.DUMMYFUNCTION("IFERROR(VLOOKUP(BG1544,IMPORTRANGE(""https://docs.google.com/spreadsheets/d/1juPI-Fb8LD0YtltB2mlGEnp_R3UVu1t3wSFPzgCyHXE/edit?gid=0#gid=0"",""GERAL!A2:C""),3,0),""-"")"),"-")</f>
        <v>-</v>
      </c>
    </row>
    <row r="1545" ht="15.75" customHeight="1">
      <c r="A1545" s="111" t="s">
        <v>1785</v>
      </c>
      <c r="B1545" s="83" t="s">
        <v>1994</v>
      </c>
      <c r="C1545" s="83" t="s">
        <v>68</v>
      </c>
      <c r="D1545" s="112">
        <v>1102925.0</v>
      </c>
      <c r="E1545" s="83"/>
      <c r="F1545" s="83">
        <v>2.9192153E7</v>
      </c>
      <c r="G1545" s="119" t="s">
        <v>8688</v>
      </c>
      <c r="H1545" s="91" t="s">
        <v>8689</v>
      </c>
      <c r="I1545" s="83" t="s">
        <v>8690</v>
      </c>
      <c r="J1545" s="83" t="s">
        <v>150</v>
      </c>
      <c r="K1545" s="83" t="s">
        <v>151</v>
      </c>
      <c r="L1545" s="83" t="s">
        <v>152</v>
      </c>
      <c r="M1545" s="82" t="str">
        <f>IFERROR(__xludf.DUMMYFUNCTION("IFERROR(VLOOKUP(D1545,
IMPORTRANGE(""https://docs.google.com/spreadsheets/d/1MjHtlUikwobi2MaWJgy7tfLeBmhj1u-dRFRs_8GwSoA/edit#gid=0"",""Gestores Escolares!D7:J""),3,0),""VERIFICAR CÓD SEC"")"),"ANTONIO MARCELO DE OLIVEIRA FERREIRA")</f>
        <v>ANTONIO MARCELO DE OLIVEIRA FERREIRA</v>
      </c>
      <c r="N1545" s="82" t="str">
        <f>IFERROR(__xludf.DUMMYFUNCTION("IFERROR(VLOOKUP(D1545,
IMPORTRANGE(""https://docs.google.com/spreadsheets/d/1MjHtlUikwobi2MaWJgy7tfLeBmhj1u-dRFRs_8GwSoA/edit#gid=0"",""Gestores Escolares!D7:J""),4,0),""VERIFICAR CÓD SEC"")"),"(71) 9 9977-0051")</f>
        <v>(71) 9 9977-0051</v>
      </c>
      <c r="O1545" s="82" t="str">
        <f>IFERROR(__xludf.DUMMYFUNCTION("IFERROR(VLOOKUP(D1545,
IMPORTRANGE(""https://docs.google.com/spreadsheets/d/1MjHtlUikwobi2MaWJgy7tfLeBmhj1u-dRFRs_8GwSoA/edit#gid=0"",""Gestores Escolares!D7:J""),6,0),""VERIFICAR CÓD SEC"")"),"CRISTIANE CARVALHO SANTANA")</f>
        <v>CRISTIANE CARVALHO SANTANA</v>
      </c>
      <c r="P1545" s="82" t="str">
        <f>IFERROR(__xludf.DUMMYFUNCTION("IFERROR(VLOOKUP(D1545,
IMPORTRANGE(""https://docs.google.com/spreadsheets/d/1MjHtlUikwobi2MaWJgy7tfLeBmhj1u-dRFRs_8GwSoA/edit#gid=0"",""Gestores Escolares!D7:J""),7,0),""VERIFICAR CÓD SEC"")"),"(71) 9 8812-2927")</f>
        <v>(71) 9 8812-2927</v>
      </c>
      <c r="Q1545" s="82" t="str">
        <f>IFERROR(__xludf.DUMMYFUNCTION("IFERROR(VLOOKUP(D1545,
IMPORTRANGE(""https://docs.google.com/spreadsheets/d/1MjHtlUikwobi2MaWJgy7tfLeBmhj1u-dRFRs_8GwSoA/edit#gid=0"",""Gestores Escolares!D7:m""),9,0),""VERIFICAR CÓD SEC"")"),"ERICO BOMFIM NOVATO")</f>
        <v>ERICO BOMFIM NOVATO</v>
      </c>
      <c r="R1545" s="82" t="str">
        <f>IFERROR(__xludf.DUMMYFUNCTION("IFERROR(VLOOKUP(D1545,
IMPORTRANGE(""https://docs.google.com/spreadsheets/d/1MjHtlUikwobi2MaWJgy7tfLeBmhj1u-dRFRs_8GwSoA/edit#gid=0"",""Gestores Escolares!D7:m""),10,0),""VERIFICAR CÓD SEC"")"),"(71) 9 9347-9394")</f>
        <v>(71) 9 9347-9394</v>
      </c>
      <c r="S1545" s="82"/>
      <c r="T1545" s="138">
        <v>11.0</v>
      </c>
      <c r="U1545" s="152">
        <v>11.0</v>
      </c>
      <c r="V1545" s="106">
        <v>0.0</v>
      </c>
      <c r="W1545" s="107">
        <v>0.0</v>
      </c>
      <c r="X1545" s="107">
        <v>0.0</v>
      </c>
      <c r="Y1545" s="107">
        <v>0.0</v>
      </c>
      <c r="Z1545" s="80">
        <f t="shared" si="1"/>
        <v>0</v>
      </c>
      <c r="AA1545" s="106">
        <v>149.0</v>
      </c>
      <c r="AB1545" s="107">
        <v>79.0</v>
      </c>
      <c r="AC1545" s="107">
        <v>0.0</v>
      </c>
      <c r="AD1545" s="107">
        <v>0.0</v>
      </c>
      <c r="AE1545" s="80">
        <f t="shared" si="2"/>
        <v>228</v>
      </c>
      <c r="AF1545" s="140">
        <v>146.0</v>
      </c>
      <c r="AG1545" s="109">
        <v>97.0</v>
      </c>
      <c r="AH1545" s="109">
        <v>0.0</v>
      </c>
      <c r="AI1545" s="141">
        <v>29.0</v>
      </c>
      <c r="AJ1545" s="80">
        <f t="shared" si="3"/>
        <v>272</v>
      </c>
      <c r="AK1545" s="140">
        <v>0.0</v>
      </c>
      <c r="AL1545" s="109">
        <v>0.0</v>
      </c>
      <c r="AM1545" s="141">
        <v>119.0</v>
      </c>
      <c r="AN1545" s="80">
        <f t="shared" si="4"/>
        <v>119</v>
      </c>
      <c r="AO1545" s="140">
        <v>0.0</v>
      </c>
      <c r="AP1545" s="109">
        <v>0.0</v>
      </c>
      <c r="AQ1545" s="109">
        <v>166.0</v>
      </c>
      <c r="AR1545" s="80">
        <f t="shared" si="5"/>
        <v>166</v>
      </c>
      <c r="AS1545" s="110">
        <v>0.0</v>
      </c>
      <c r="AT1545" s="110">
        <v>0.0</v>
      </c>
      <c r="AU1545" s="110">
        <v>34.0</v>
      </c>
      <c r="AV1545" s="142">
        <v>0.0</v>
      </c>
      <c r="AW1545" s="80">
        <f t="shared" si="6"/>
        <v>34</v>
      </c>
      <c r="AX1545" s="113">
        <f t="shared" si="7"/>
        <v>819</v>
      </c>
      <c r="AY1545" s="117">
        <f t="shared" si="8"/>
        <v>500</v>
      </c>
      <c r="AZ1545" s="120">
        <f t="shared" si="9"/>
        <v>319</v>
      </c>
      <c r="BA1545" s="115">
        <v>0.0</v>
      </c>
      <c r="BB1545" s="89">
        <f t="shared" si="10"/>
        <v>819</v>
      </c>
      <c r="BC1545" s="132" t="s">
        <v>178</v>
      </c>
      <c r="BD1545" s="132" t="s">
        <v>178</v>
      </c>
      <c r="BE1545" s="132" t="s">
        <v>178</v>
      </c>
      <c r="BF1545" s="123"/>
      <c r="BG1545" s="83">
        <v>1102925.0</v>
      </c>
      <c r="BH1545" s="137" t="s">
        <v>8691</v>
      </c>
      <c r="BI1545" s="112">
        <v>11.0</v>
      </c>
      <c r="BJ1545" s="98" t="s">
        <v>155</v>
      </c>
      <c r="BK1545" s="99">
        <f t="shared" si="11"/>
        <v>29</v>
      </c>
      <c r="BL1545" s="99">
        <f t="shared" si="12"/>
        <v>471</v>
      </c>
      <c r="BM1545" s="99" t="str">
        <f>IFERROR(__xludf.DUMMYFUNCTION("IFERROR(VLOOKUP(BG1545,IMPORTRANGE(""https://docs.google.com/spreadsheets/d/1juPI-Fb8LD0YtltB2mlGEnp_R3UVu1t3wSFPzgCyHXE/edit?gid=0#gid=0"",""GERAL!A2:C""),3,0),""-"")"),"-")</f>
        <v>-</v>
      </c>
    </row>
    <row r="1546" ht="15.75" customHeight="1">
      <c r="A1546" s="111" t="s">
        <v>1785</v>
      </c>
      <c r="B1546" s="83" t="s">
        <v>1994</v>
      </c>
      <c r="C1546" s="83" t="s">
        <v>68</v>
      </c>
      <c r="D1546" s="112">
        <v>1104057.0</v>
      </c>
      <c r="E1546" s="83"/>
      <c r="F1546" s="83">
        <v>2.9191068E7</v>
      </c>
      <c r="G1546" s="119" t="s">
        <v>8697</v>
      </c>
      <c r="H1546" s="91" t="s">
        <v>8699</v>
      </c>
      <c r="I1546" s="83" t="s">
        <v>8150</v>
      </c>
      <c r="J1546" s="83" t="s">
        <v>150</v>
      </c>
      <c r="K1546" s="83" t="s">
        <v>151</v>
      </c>
      <c r="L1546" s="83" t="s">
        <v>152</v>
      </c>
      <c r="M1546" s="82" t="str">
        <f>IFERROR(__xludf.DUMMYFUNCTION("IFERROR(VLOOKUP(D1546,
IMPORTRANGE(""https://docs.google.com/spreadsheets/d/1MjHtlUikwobi2MaWJgy7tfLeBmhj1u-dRFRs_8GwSoA/edit#gid=0"",""Gestores Escolares!D7:J""),3,0),""VERIFICAR CÓD SEC"")"),"MELISSA SOUZA MELLO")</f>
        <v>MELISSA SOUZA MELLO</v>
      </c>
      <c r="N1546" s="82" t="str">
        <f>IFERROR(__xludf.DUMMYFUNCTION("IFERROR(VLOOKUP(D1546,
IMPORTRANGE(""https://docs.google.com/spreadsheets/d/1MjHtlUikwobi2MaWJgy7tfLeBmhj1u-dRFRs_8GwSoA/edit#gid=0"",""Gestores Escolares!D7:J""),4,0),""VERIFICAR CÓD SEC"")"),"(71) 9 8124-0403")</f>
        <v>(71) 9 8124-0403</v>
      </c>
      <c r="O1546" s="82" t="str">
        <f>IFERROR(__xludf.DUMMYFUNCTION("IFERROR(VLOOKUP(D1546,
IMPORTRANGE(""https://docs.google.com/spreadsheets/d/1MjHtlUikwobi2MaWJgy7tfLeBmhj1u-dRFRs_8GwSoA/edit#gid=0"",""Gestores Escolares!D7:J""),6,0),""VERIFICAR CÓD SEC"")"),"MARIA CRISTINA SANTOS DE ALBUQUERQUE")</f>
        <v>MARIA CRISTINA SANTOS DE ALBUQUERQUE</v>
      </c>
      <c r="P1546" s="82" t="str">
        <f>IFERROR(__xludf.DUMMYFUNCTION("IFERROR(VLOOKUP(D1546,
IMPORTRANGE(""https://docs.google.com/spreadsheets/d/1MjHtlUikwobi2MaWJgy7tfLeBmhj1u-dRFRs_8GwSoA/edit#gid=0"",""Gestores Escolares!D7:J""),7,0),""VERIFICAR CÓD SEC"")"),"(71) 9 98705-9583")</f>
        <v>(71) 9 98705-9583</v>
      </c>
      <c r="Q1546" s="82" t="str">
        <f>IFERROR(__xludf.DUMMYFUNCTION("IFERROR(VLOOKUP(D1546,
IMPORTRANGE(""https://docs.google.com/spreadsheets/d/1MjHtlUikwobi2MaWJgy7tfLeBmhj1u-dRFRs_8GwSoA/edit#gid=0"",""Gestores Escolares!D7:m""),9,0),""VERIFICAR CÓD SEC"")"),"RUY VIDERO CALDAS")</f>
        <v>RUY VIDERO CALDAS</v>
      </c>
      <c r="R1546" s="82" t="str">
        <f>IFERROR(__xludf.DUMMYFUNCTION("IFERROR(VLOOKUP(D1546,
IMPORTRANGE(""https://docs.google.com/spreadsheets/d/1MjHtlUikwobi2MaWJgy7tfLeBmhj1u-dRFRs_8GwSoA/edit#gid=0"",""Gestores Escolares!D7:m""),10,0),""VERIFICAR CÓD SEC"")"),"(71) 9 9709-4482")</f>
        <v>(71) 9 9709-4482</v>
      </c>
      <c r="S1546" s="82"/>
      <c r="T1546" s="138">
        <v>15.0</v>
      </c>
      <c r="U1546" s="145" t="s">
        <v>13928</v>
      </c>
      <c r="V1546" s="106">
        <v>0.0</v>
      </c>
      <c r="W1546" s="107">
        <v>0.0</v>
      </c>
      <c r="X1546" s="107">
        <v>0.0</v>
      </c>
      <c r="Y1546" s="107">
        <v>0.0</v>
      </c>
      <c r="Z1546" s="80">
        <f t="shared" si="1"/>
        <v>0</v>
      </c>
      <c r="AA1546" s="106">
        <v>0.0</v>
      </c>
      <c r="AB1546" s="107">
        <v>0.0</v>
      </c>
      <c r="AC1546" s="107">
        <v>0.0</v>
      </c>
      <c r="AD1546" s="107">
        <v>0.0</v>
      </c>
      <c r="AE1546" s="80">
        <f t="shared" si="2"/>
        <v>0</v>
      </c>
      <c r="AF1546" s="140">
        <v>40.0</v>
      </c>
      <c r="AG1546" s="109">
        <v>15.0</v>
      </c>
      <c r="AH1546" s="109">
        <v>0.0</v>
      </c>
      <c r="AI1546" s="141">
        <v>158.0</v>
      </c>
      <c r="AJ1546" s="80">
        <f t="shared" si="3"/>
        <v>213</v>
      </c>
      <c r="AK1546" s="140">
        <v>0.0</v>
      </c>
      <c r="AL1546" s="109">
        <v>0.0</v>
      </c>
      <c r="AM1546" s="141">
        <v>29.0</v>
      </c>
      <c r="AN1546" s="80">
        <f t="shared" si="4"/>
        <v>29</v>
      </c>
      <c r="AO1546" s="140">
        <v>0.0</v>
      </c>
      <c r="AP1546" s="109">
        <v>0.0</v>
      </c>
      <c r="AQ1546" s="109">
        <v>100.0</v>
      </c>
      <c r="AR1546" s="80">
        <f t="shared" si="5"/>
        <v>100</v>
      </c>
      <c r="AS1546" s="110">
        <v>0.0</v>
      </c>
      <c r="AT1546" s="110">
        <v>0.0</v>
      </c>
      <c r="AU1546" s="110">
        <v>6.0</v>
      </c>
      <c r="AV1546" s="142">
        <v>132.0</v>
      </c>
      <c r="AW1546" s="80">
        <f t="shared" si="6"/>
        <v>138</v>
      </c>
      <c r="AX1546" s="113">
        <f t="shared" si="7"/>
        <v>480</v>
      </c>
      <c r="AY1546" s="117">
        <f t="shared" si="8"/>
        <v>345</v>
      </c>
      <c r="AZ1546" s="120">
        <f t="shared" si="9"/>
        <v>135</v>
      </c>
      <c r="BA1546" s="115">
        <v>0.0</v>
      </c>
      <c r="BB1546" s="89">
        <f t="shared" si="10"/>
        <v>480</v>
      </c>
      <c r="BC1546" s="132" t="s">
        <v>178</v>
      </c>
      <c r="BD1546" s="132" t="s">
        <v>178</v>
      </c>
      <c r="BE1546" s="132" t="s">
        <v>178</v>
      </c>
      <c r="BF1546" s="123"/>
      <c r="BG1546" s="83">
        <v>1104057.0</v>
      </c>
      <c r="BH1546" s="137" t="s">
        <v>8701</v>
      </c>
      <c r="BI1546" s="112">
        <v>15.0</v>
      </c>
      <c r="BJ1546" s="98" t="s">
        <v>155</v>
      </c>
      <c r="BK1546" s="99">
        <f t="shared" si="11"/>
        <v>290</v>
      </c>
      <c r="BL1546" s="99">
        <f t="shared" si="12"/>
        <v>55</v>
      </c>
      <c r="BM1546" s="99" t="str">
        <f>IFERROR(__xludf.DUMMYFUNCTION("IFERROR(VLOOKUP(BG1546,IMPORTRANGE(""https://docs.google.com/spreadsheets/d/1juPI-Fb8LD0YtltB2mlGEnp_R3UVu1t3wSFPzgCyHXE/edit?gid=0#gid=0"",""GERAL!A2:C""),3,0),""-"")"),"-")</f>
        <v>-</v>
      </c>
    </row>
    <row r="1547" ht="15.75" customHeight="1">
      <c r="A1547" s="111" t="s">
        <v>1785</v>
      </c>
      <c r="B1547" s="83" t="s">
        <v>1994</v>
      </c>
      <c r="C1547" s="83" t="s">
        <v>68</v>
      </c>
      <c r="D1547" s="112">
        <v>1103662.0</v>
      </c>
      <c r="E1547" s="83"/>
      <c r="F1547" s="83">
        <v>2.9182239E7</v>
      </c>
      <c r="G1547" s="119" t="s">
        <v>2447</v>
      </c>
      <c r="H1547" s="91" t="s">
        <v>8702</v>
      </c>
      <c r="I1547" s="83" t="s">
        <v>8703</v>
      </c>
      <c r="J1547" s="83" t="s">
        <v>150</v>
      </c>
      <c r="K1547" s="83" t="s">
        <v>151</v>
      </c>
      <c r="L1547" s="83" t="s">
        <v>152</v>
      </c>
      <c r="M1547" s="82" t="str">
        <f>IFERROR(__xludf.DUMMYFUNCTION("IFERROR(VLOOKUP(D1547,
IMPORTRANGE(""https://docs.google.com/spreadsheets/d/1MjHtlUikwobi2MaWJgy7tfLeBmhj1u-dRFRs_8GwSoA/edit#gid=0"",""Gestores Escolares!D7:J""),3,0),""VERIFICAR CÓD SEC"")"),"JORGE ALBERTO CARDOSO CASTRO")</f>
        <v>JORGE ALBERTO CARDOSO CASTRO</v>
      </c>
      <c r="N1547" s="82" t="str">
        <f>IFERROR(__xludf.DUMMYFUNCTION("IFERROR(VLOOKUP(D1547,
IMPORTRANGE(""https://docs.google.com/spreadsheets/d/1MjHtlUikwobi2MaWJgy7tfLeBmhj1u-dRFRs_8GwSoA/edit#gid=0"",""Gestores Escolares!D7:J""),4,0),""VERIFICAR CÓD SEC"")"),"(71) 9 9955-0704")</f>
        <v>(71) 9 9955-0704</v>
      </c>
      <c r="O1547" s="82" t="str">
        <f>IFERROR(__xludf.DUMMYFUNCTION("IFERROR(VLOOKUP(D1547,
IMPORTRANGE(""https://docs.google.com/spreadsheets/d/1MjHtlUikwobi2MaWJgy7tfLeBmhj1u-dRFRs_8GwSoA/edit#gid=0"",""Gestores Escolares!D7:J""),6,0),""VERIFICAR CÓD SEC"")"),"CLAUDIO ROBERTO SAMPAIO AMORIM")</f>
        <v>CLAUDIO ROBERTO SAMPAIO AMORIM</v>
      </c>
      <c r="P1547" s="82" t="str">
        <f>IFERROR(__xludf.DUMMYFUNCTION("IFERROR(VLOOKUP(D1547,
IMPORTRANGE(""https://docs.google.com/spreadsheets/d/1MjHtlUikwobi2MaWJgy7tfLeBmhj1u-dRFRs_8GwSoA/edit#gid=0"",""Gestores Escolares!D7:J""),7,0),""VERIFICAR CÓD SEC"")"),"(71) 9 9255-8017")</f>
        <v>(71) 9 9255-8017</v>
      </c>
      <c r="Q1547" s="82" t="str">
        <f>IFERROR(__xludf.DUMMYFUNCTION("IFERROR(VLOOKUP(D1547,
IMPORTRANGE(""https://docs.google.com/spreadsheets/d/1MjHtlUikwobi2MaWJgy7tfLeBmhj1u-dRFRs_8GwSoA/edit#gid=0"",""Gestores Escolares!D7:m""),9,0),""VERIFICAR CÓD SEC"")"),"SILVIA REGINA HELENO MOURA")</f>
        <v>SILVIA REGINA HELENO MOURA</v>
      </c>
      <c r="R1547" s="82" t="str">
        <f>IFERROR(__xludf.DUMMYFUNCTION("IFERROR(VLOOKUP(D1547,
IMPORTRANGE(""https://docs.google.com/spreadsheets/d/1MjHtlUikwobi2MaWJgy7tfLeBmhj1u-dRFRs_8GwSoA/edit#gid=0"",""Gestores Escolares!D7:m""),10,0),""VERIFICAR CÓD SEC"")"),"(71) 9 9924-0726")</f>
        <v>(71) 9 9924-0726</v>
      </c>
      <c r="S1547" s="82"/>
      <c r="T1547" s="138">
        <v>24.0</v>
      </c>
      <c r="U1547" s="152">
        <v>29.0</v>
      </c>
      <c r="V1547" s="106">
        <v>0.0</v>
      </c>
      <c r="W1547" s="107">
        <v>0.0</v>
      </c>
      <c r="X1547" s="107">
        <v>0.0</v>
      </c>
      <c r="Y1547" s="107">
        <v>0.0</v>
      </c>
      <c r="Z1547" s="80">
        <f t="shared" si="1"/>
        <v>0</v>
      </c>
      <c r="AA1547" s="106">
        <v>0.0</v>
      </c>
      <c r="AB1547" s="107">
        <v>414.0</v>
      </c>
      <c r="AC1547" s="107">
        <v>0.0</v>
      </c>
      <c r="AD1547" s="107">
        <v>0.0</v>
      </c>
      <c r="AE1547" s="80">
        <f t="shared" si="2"/>
        <v>414</v>
      </c>
      <c r="AF1547" s="140">
        <v>447.0</v>
      </c>
      <c r="AG1547" s="109">
        <v>0.0</v>
      </c>
      <c r="AH1547" s="109">
        <v>0.0</v>
      </c>
      <c r="AI1547" s="141">
        <v>0.0</v>
      </c>
      <c r="AJ1547" s="80">
        <f t="shared" si="3"/>
        <v>447</v>
      </c>
      <c r="AK1547" s="140">
        <v>0.0</v>
      </c>
      <c r="AL1547" s="109">
        <v>0.0</v>
      </c>
      <c r="AM1547" s="141">
        <v>0.0</v>
      </c>
      <c r="AN1547" s="80">
        <f t="shared" si="4"/>
        <v>0</v>
      </c>
      <c r="AO1547" s="140">
        <v>0.0</v>
      </c>
      <c r="AP1547" s="109">
        <v>0.0</v>
      </c>
      <c r="AQ1547" s="109">
        <v>41.0</v>
      </c>
      <c r="AR1547" s="80">
        <f t="shared" si="5"/>
        <v>41</v>
      </c>
      <c r="AS1547" s="110">
        <v>30.0</v>
      </c>
      <c r="AT1547" s="110">
        <v>0.0</v>
      </c>
      <c r="AU1547" s="110">
        <v>171.0</v>
      </c>
      <c r="AV1547" s="142">
        <v>0.0</v>
      </c>
      <c r="AW1547" s="80">
        <f t="shared" si="6"/>
        <v>201</v>
      </c>
      <c r="AX1547" s="113">
        <f t="shared" si="7"/>
        <v>1103</v>
      </c>
      <c r="AY1547" s="117">
        <f t="shared" si="8"/>
        <v>891</v>
      </c>
      <c r="AZ1547" s="120">
        <f t="shared" si="9"/>
        <v>212</v>
      </c>
      <c r="BA1547" s="115">
        <v>1.0</v>
      </c>
      <c r="BB1547" s="89">
        <f t="shared" si="10"/>
        <v>1104</v>
      </c>
      <c r="BC1547" s="132" t="s">
        <v>178</v>
      </c>
      <c r="BD1547" s="132" t="s">
        <v>178</v>
      </c>
      <c r="BE1547" s="132" t="s">
        <v>178</v>
      </c>
      <c r="BF1547" s="123"/>
      <c r="BG1547" s="83">
        <v>1103662.0</v>
      </c>
      <c r="BH1547" s="171" t="s">
        <v>8705</v>
      </c>
      <c r="BI1547" s="112">
        <v>29.0</v>
      </c>
      <c r="BJ1547" s="98" t="s">
        <v>155</v>
      </c>
      <c r="BK1547" s="99">
        <f t="shared" si="11"/>
        <v>0</v>
      </c>
      <c r="BL1547" s="99">
        <f t="shared" si="12"/>
        <v>891</v>
      </c>
      <c r="BM1547" s="99" t="str">
        <f>IFERROR(__xludf.DUMMYFUNCTION("IFERROR(VLOOKUP(BG1547,IMPORTRANGE(""https://docs.google.com/spreadsheets/d/1juPI-Fb8LD0YtltB2mlGEnp_R3UVu1t3wSFPzgCyHXE/edit?gid=0#gid=0"",""GERAL!A2:C""),3,0),""-"")"),"-")</f>
        <v>-</v>
      </c>
    </row>
    <row r="1548" ht="15.75" customHeight="1">
      <c r="A1548" s="111" t="s">
        <v>1785</v>
      </c>
      <c r="B1548" s="83" t="s">
        <v>1994</v>
      </c>
      <c r="C1548" s="83" t="s">
        <v>68</v>
      </c>
      <c r="D1548" s="112">
        <v>1176422.0</v>
      </c>
      <c r="E1548" s="83"/>
      <c r="F1548" s="83">
        <v>2.9392861E7</v>
      </c>
      <c r="G1548" s="147" t="s">
        <v>8706</v>
      </c>
      <c r="H1548" s="91" t="s">
        <v>8707</v>
      </c>
      <c r="I1548" s="83" t="s">
        <v>8154</v>
      </c>
      <c r="J1548" s="83" t="s">
        <v>150</v>
      </c>
      <c r="K1548" s="83" t="s">
        <v>151</v>
      </c>
      <c r="L1548" s="83" t="s">
        <v>152</v>
      </c>
      <c r="M1548" s="82" t="str">
        <f>IFERROR(__xludf.DUMMYFUNCTION("IFERROR(VLOOKUP(D1548,
IMPORTRANGE(""https://docs.google.com/spreadsheets/d/1MjHtlUikwobi2MaWJgy7tfLeBmhj1u-dRFRs_8GwSoA/edit#gid=0"",""Gestores Escolares!D7:J""),3,0),""VERIFICAR CÓD SEC"")"),"MARCIA REGO MENEZES MARQUES")</f>
        <v>MARCIA REGO MENEZES MARQUES</v>
      </c>
      <c r="N1548" s="82" t="str">
        <f>IFERROR(__xludf.DUMMYFUNCTION("IFERROR(VLOOKUP(D1548,
IMPORTRANGE(""https://docs.google.com/spreadsheets/d/1MjHtlUikwobi2MaWJgy7tfLeBmhj1u-dRFRs_8GwSoA/edit#gid=0"",""Gestores Escolares!D7:J""),4,0),""VERIFICAR CÓD SEC"")"),"(71) 9 9109-5773")</f>
        <v>(71) 9 9109-5773</v>
      </c>
      <c r="O1548" s="82" t="str">
        <f>IFERROR(__xludf.DUMMYFUNCTION("IFERROR(VLOOKUP(D1548,
IMPORTRANGE(""https://docs.google.com/spreadsheets/d/1MjHtlUikwobi2MaWJgy7tfLeBmhj1u-dRFRs_8GwSoA/edit#gid=0"",""Gestores Escolares!D7:J""),6,0),""VERIFICAR CÓD SEC"")"),"ITAMARA MARIA BEZERRA TAVARES")</f>
        <v>ITAMARA MARIA BEZERRA TAVARES</v>
      </c>
      <c r="P1548" s="82" t="str">
        <f>IFERROR(__xludf.DUMMYFUNCTION("IFERROR(VLOOKUP(D1548,
IMPORTRANGE(""https://docs.google.com/spreadsheets/d/1MjHtlUikwobi2MaWJgy7tfLeBmhj1u-dRFRs_8GwSoA/edit#gid=0"",""Gestores Escolares!D7:J""),7,0),""VERIFICAR CÓD SEC"")"),"(71) 9 8808-3396")</f>
        <v>(71) 9 8808-3396</v>
      </c>
      <c r="Q1548" s="82" t="str">
        <f>IFERROR(__xludf.DUMMYFUNCTION("IFERROR(VLOOKUP(D1548,
IMPORTRANGE(""https://docs.google.com/spreadsheets/d/1MjHtlUikwobi2MaWJgy7tfLeBmhj1u-dRFRs_8GwSoA/edit#gid=0"",""Gestores Escolares!D7:m""),9,0),""VERIFICAR CÓD SEC"")"),"")</f>
        <v/>
      </c>
      <c r="R1548" s="82" t="str">
        <f>IFERROR(__xludf.DUMMYFUNCTION("IFERROR(VLOOKUP(D1548,
IMPORTRANGE(""https://docs.google.com/spreadsheets/d/1MjHtlUikwobi2MaWJgy7tfLeBmhj1u-dRFRs_8GwSoA/edit#gid=0"",""Gestores Escolares!D7:m""),10,0),""VERIFICAR CÓD SEC"")"),"")</f>
        <v/>
      </c>
      <c r="S1548" s="82"/>
      <c r="T1548" s="138">
        <v>21.0</v>
      </c>
      <c r="U1548" s="152">
        <v>21.0</v>
      </c>
      <c r="V1548" s="106">
        <v>0.0</v>
      </c>
      <c r="W1548" s="107">
        <v>0.0</v>
      </c>
      <c r="X1548" s="107">
        <v>0.0</v>
      </c>
      <c r="Y1548" s="107">
        <v>0.0</v>
      </c>
      <c r="Z1548" s="80">
        <f t="shared" si="1"/>
        <v>0</v>
      </c>
      <c r="AA1548" s="106">
        <v>0.0</v>
      </c>
      <c r="AB1548" s="107">
        <v>0.0</v>
      </c>
      <c r="AC1548" s="107">
        <v>0.0</v>
      </c>
      <c r="AD1548" s="107">
        <v>0.0</v>
      </c>
      <c r="AE1548" s="80">
        <f t="shared" si="2"/>
        <v>0</v>
      </c>
      <c r="AF1548" s="140">
        <v>424.0</v>
      </c>
      <c r="AG1548" s="109">
        <v>217.0</v>
      </c>
      <c r="AH1548" s="109">
        <v>0.0</v>
      </c>
      <c r="AI1548" s="141">
        <v>134.0</v>
      </c>
      <c r="AJ1548" s="80">
        <f t="shared" si="3"/>
        <v>775</v>
      </c>
      <c r="AK1548" s="140">
        <v>0.0</v>
      </c>
      <c r="AL1548" s="109">
        <v>0.0</v>
      </c>
      <c r="AM1548" s="141">
        <v>0.0</v>
      </c>
      <c r="AN1548" s="80">
        <f t="shared" si="4"/>
        <v>0</v>
      </c>
      <c r="AO1548" s="140">
        <v>0.0</v>
      </c>
      <c r="AP1548" s="109">
        <v>0.0</v>
      </c>
      <c r="AQ1548" s="109">
        <v>0.0</v>
      </c>
      <c r="AR1548" s="80">
        <f t="shared" si="5"/>
        <v>0</v>
      </c>
      <c r="AS1548" s="110">
        <v>0.0</v>
      </c>
      <c r="AT1548" s="110">
        <v>0.0</v>
      </c>
      <c r="AU1548" s="110">
        <v>0.0</v>
      </c>
      <c r="AV1548" s="142">
        <v>0.0</v>
      </c>
      <c r="AW1548" s="80">
        <f t="shared" si="6"/>
        <v>0</v>
      </c>
      <c r="AX1548" s="113">
        <f t="shared" si="7"/>
        <v>775</v>
      </c>
      <c r="AY1548" s="117">
        <f t="shared" si="8"/>
        <v>775</v>
      </c>
      <c r="AZ1548" s="120">
        <f t="shared" si="9"/>
        <v>0</v>
      </c>
      <c r="BA1548" s="115">
        <v>0.0</v>
      </c>
      <c r="BB1548" s="89">
        <f t="shared" si="10"/>
        <v>775</v>
      </c>
      <c r="BC1548" s="132" t="s">
        <v>178</v>
      </c>
      <c r="BD1548" s="132" t="s">
        <v>178</v>
      </c>
      <c r="BE1548" s="132" t="s">
        <v>178</v>
      </c>
      <c r="BF1548" s="156"/>
      <c r="BG1548" s="83">
        <v>1176422.0</v>
      </c>
      <c r="BH1548" s="137" t="s">
        <v>8708</v>
      </c>
      <c r="BI1548" s="112">
        <v>21.0</v>
      </c>
      <c r="BJ1548" s="98" t="s">
        <v>155</v>
      </c>
      <c r="BK1548" s="99">
        <f t="shared" si="11"/>
        <v>134</v>
      </c>
      <c r="BL1548" s="99">
        <f t="shared" si="12"/>
        <v>641</v>
      </c>
      <c r="BM1548" s="99" t="str">
        <f>IFERROR(__xludf.DUMMYFUNCTION("IFERROR(VLOOKUP(BG1548,IMPORTRANGE(""https://docs.google.com/spreadsheets/d/1juPI-Fb8LD0YtltB2mlGEnp_R3UVu1t3wSFPzgCyHXE/edit?gid=0#gid=0"",""GERAL!A2:C""),3,0),""-"")"),"-")</f>
        <v>-</v>
      </c>
    </row>
    <row r="1549" ht="15.75" customHeight="1">
      <c r="A1549" s="111" t="s">
        <v>1785</v>
      </c>
      <c r="B1549" s="83" t="s">
        <v>1994</v>
      </c>
      <c r="C1549" s="83" t="s">
        <v>68</v>
      </c>
      <c r="D1549" s="112">
        <v>1104596.0</v>
      </c>
      <c r="E1549" s="83"/>
      <c r="F1549" s="83">
        <v>2.9181534E7</v>
      </c>
      <c r="G1549" s="119" t="s">
        <v>8710</v>
      </c>
      <c r="H1549" s="91" t="s">
        <v>8711</v>
      </c>
      <c r="I1549" s="83" t="s">
        <v>8363</v>
      </c>
      <c r="J1549" s="83" t="s">
        <v>150</v>
      </c>
      <c r="K1549" s="83" t="s">
        <v>151</v>
      </c>
      <c r="L1549" s="83" t="s">
        <v>230</v>
      </c>
      <c r="M1549" s="82" t="str">
        <f>IFERROR(__xludf.DUMMYFUNCTION("IFERROR(VLOOKUP(D1549,
IMPORTRANGE(""https://docs.google.com/spreadsheets/d/1MjHtlUikwobi2MaWJgy7tfLeBmhj1u-dRFRs_8GwSoA/edit#gid=0"",""Gestores Escolares!D7:J""),3,0),""VERIFICAR CÓD SEC"")"),"OLIVIA VIRGINIA VIEIRA COSTA")</f>
        <v>OLIVIA VIRGINIA VIEIRA COSTA</v>
      </c>
      <c r="N1549" s="82" t="str">
        <f>IFERROR(__xludf.DUMMYFUNCTION("IFERROR(VLOOKUP(D1549,
IMPORTRANGE(""https://docs.google.com/spreadsheets/d/1MjHtlUikwobi2MaWJgy7tfLeBmhj1u-dRFRs_8GwSoA/edit#gid=0"",""Gestores Escolares!D7:J""),4,0),""VERIFICAR CÓD SEC"")"),"(71) 9 9206-3919")</f>
        <v>(71) 9 9206-3919</v>
      </c>
      <c r="O1549" s="82" t="str">
        <f>IFERROR(__xludf.DUMMYFUNCTION("IFERROR(VLOOKUP(D1549,
IMPORTRANGE(""https://docs.google.com/spreadsheets/d/1MjHtlUikwobi2MaWJgy7tfLeBmhj1u-dRFRs_8GwSoA/edit#gid=0"",""Gestores Escolares!D7:J""),6,0),""VERIFICAR CÓD SEC"")"),"JULIO SOUZA DE JESUS")</f>
        <v>JULIO SOUZA DE JESUS</v>
      </c>
      <c r="P1549" s="82" t="str">
        <f>IFERROR(__xludf.DUMMYFUNCTION("IFERROR(VLOOKUP(D1549,
IMPORTRANGE(""https://docs.google.com/spreadsheets/d/1MjHtlUikwobi2MaWJgy7tfLeBmhj1u-dRFRs_8GwSoA/edit#gid=0"",""Gestores Escolares!D7:J""),7,0),""VERIFICAR CÓD SEC"")"),"(75) 9 9200-6801/
9 8129-3254")</f>
        <v>(75) 9 9200-6801/
9 8129-3254</v>
      </c>
      <c r="Q1549" s="82" t="str">
        <f>IFERROR(__xludf.DUMMYFUNCTION("IFERROR(VLOOKUP(D1549,
IMPORTRANGE(""https://docs.google.com/spreadsheets/d/1MjHtlUikwobi2MaWJgy7tfLeBmhj1u-dRFRs_8GwSoA/edit#gid=0"",""Gestores Escolares!D7:m""),9,0),""VERIFICAR CÓD SEC"")")," ADERBAL PEREIRA SANTANA FILHO")</f>
        <v> ADERBAL PEREIRA SANTANA FILHO</v>
      </c>
      <c r="R1549" s="82" t="str">
        <f>IFERROR(__xludf.DUMMYFUNCTION("IFERROR(VLOOKUP(D1549,
IMPORTRANGE(""https://docs.google.com/spreadsheets/d/1MjHtlUikwobi2MaWJgy7tfLeBmhj1u-dRFRs_8GwSoA/edit#gid=0"",""Gestores Escolares!D7:m""),10,0),""VERIFICAR CÓD SEC"")"),"")</f>
        <v/>
      </c>
      <c r="S1549" s="82"/>
      <c r="T1549" s="138">
        <v>24.0</v>
      </c>
      <c r="U1549" s="152">
        <v>27.0</v>
      </c>
      <c r="V1549" s="106">
        <v>0.0</v>
      </c>
      <c r="W1549" s="107">
        <v>0.0</v>
      </c>
      <c r="X1549" s="107">
        <v>0.0</v>
      </c>
      <c r="Y1549" s="107">
        <v>0.0</v>
      </c>
      <c r="Z1549" s="80">
        <f t="shared" si="1"/>
        <v>0</v>
      </c>
      <c r="AA1549" s="106">
        <v>0.0</v>
      </c>
      <c r="AB1549" s="107">
        <v>489.0</v>
      </c>
      <c r="AC1549" s="107">
        <v>0.0</v>
      </c>
      <c r="AD1549" s="107">
        <v>0.0</v>
      </c>
      <c r="AE1549" s="80">
        <f t="shared" si="2"/>
        <v>489</v>
      </c>
      <c r="AF1549" s="140">
        <v>467.0</v>
      </c>
      <c r="AG1549" s="109">
        <v>0.0</v>
      </c>
      <c r="AH1549" s="109">
        <v>0.0</v>
      </c>
      <c r="AI1549" s="141">
        <v>354.0</v>
      </c>
      <c r="AJ1549" s="80">
        <f t="shared" si="3"/>
        <v>821</v>
      </c>
      <c r="AK1549" s="140">
        <v>0.0</v>
      </c>
      <c r="AL1549" s="109">
        <v>0.0</v>
      </c>
      <c r="AM1549" s="141">
        <v>39.0</v>
      </c>
      <c r="AN1549" s="80">
        <f t="shared" si="4"/>
        <v>39</v>
      </c>
      <c r="AO1549" s="140">
        <v>0.0</v>
      </c>
      <c r="AP1549" s="109">
        <v>0.0</v>
      </c>
      <c r="AQ1549" s="109">
        <v>219.0</v>
      </c>
      <c r="AR1549" s="80">
        <f t="shared" si="5"/>
        <v>219</v>
      </c>
      <c r="AS1549" s="110">
        <v>127.0</v>
      </c>
      <c r="AT1549" s="110">
        <v>0.0</v>
      </c>
      <c r="AU1549" s="110">
        <v>14.0</v>
      </c>
      <c r="AV1549" s="142">
        <v>0.0</v>
      </c>
      <c r="AW1549" s="80">
        <f t="shared" si="6"/>
        <v>141</v>
      </c>
      <c r="AX1549" s="113">
        <f t="shared" si="7"/>
        <v>1709</v>
      </c>
      <c r="AY1549" s="117">
        <f t="shared" si="8"/>
        <v>1437</v>
      </c>
      <c r="AZ1549" s="120">
        <f t="shared" si="9"/>
        <v>272</v>
      </c>
      <c r="BA1549" s="115">
        <v>2.0</v>
      </c>
      <c r="BB1549" s="89">
        <f t="shared" si="10"/>
        <v>1711</v>
      </c>
      <c r="BC1549" s="132" t="s">
        <v>178</v>
      </c>
      <c r="BD1549" s="132" t="s">
        <v>178</v>
      </c>
      <c r="BE1549" s="132" t="s">
        <v>178</v>
      </c>
      <c r="BF1549" s="123"/>
      <c r="BG1549" s="83">
        <v>1104596.0</v>
      </c>
      <c r="BH1549" s="137" t="s">
        <v>8715</v>
      </c>
      <c r="BI1549" s="112">
        <v>27.0</v>
      </c>
      <c r="BJ1549" s="98" t="s">
        <v>155</v>
      </c>
      <c r="BK1549" s="99">
        <f t="shared" si="11"/>
        <v>354</v>
      </c>
      <c r="BL1549" s="99">
        <f t="shared" si="12"/>
        <v>1083</v>
      </c>
      <c r="BM1549" s="99" t="str">
        <f>IFERROR(__xludf.DUMMYFUNCTION("IFERROR(VLOOKUP(BG1549,IMPORTRANGE(""https://docs.google.com/spreadsheets/d/1juPI-Fb8LD0YtltB2mlGEnp_R3UVu1t3wSFPzgCyHXE/edit?gid=0#gid=0"",""GERAL!A2:C""),3,0),""-"")"),"-")</f>
        <v>-</v>
      </c>
    </row>
    <row r="1550" ht="15.75" customHeight="1">
      <c r="A1550" s="111" t="s">
        <v>1785</v>
      </c>
      <c r="B1550" s="83" t="s">
        <v>1994</v>
      </c>
      <c r="C1550" s="83" t="s">
        <v>68</v>
      </c>
      <c r="D1550" s="112">
        <v>1100426.0</v>
      </c>
      <c r="E1550" s="83"/>
      <c r="F1550" s="83">
        <v>2.919203E7</v>
      </c>
      <c r="G1550" s="119" t="s">
        <v>8720</v>
      </c>
      <c r="H1550" s="91" t="s">
        <v>8721</v>
      </c>
      <c r="I1550" s="83" t="s">
        <v>8158</v>
      </c>
      <c r="J1550" s="83" t="s">
        <v>150</v>
      </c>
      <c r="K1550" s="83" t="s">
        <v>151</v>
      </c>
      <c r="L1550" s="83" t="s">
        <v>152</v>
      </c>
      <c r="M1550" s="82" t="str">
        <f>IFERROR(__xludf.DUMMYFUNCTION("IFERROR(VLOOKUP(D1550,
IMPORTRANGE(""https://docs.google.com/spreadsheets/d/1MjHtlUikwobi2MaWJgy7tfLeBmhj1u-dRFRs_8GwSoA/edit#gid=0"",""Gestores Escolares!D7:J""),3,0),""VERIFICAR CÓD SEC"")"),"ANDREIA NASCIMENTO PASSOS")</f>
        <v>ANDREIA NASCIMENTO PASSOS</v>
      </c>
      <c r="N1550" s="82" t="str">
        <f>IFERROR(__xludf.DUMMYFUNCTION("IFERROR(VLOOKUP(D1550,
IMPORTRANGE(""https://docs.google.com/spreadsheets/d/1MjHtlUikwobi2MaWJgy7tfLeBmhj1u-dRFRs_8GwSoA/edit#gid=0"",""Gestores Escolares!D7:J""),4,0),""VERIFICAR CÓD SEC"")"),"(71) 9 9954-4242")</f>
        <v>(71) 9 9954-4242</v>
      </c>
      <c r="O1550" s="82" t="str">
        <f>IFERROR(__xludf.DUMMYFUNCTION("IFERROR(VLOOKUP(D1550,
IMPORTRANGE(""https://docs.google.com/spreadsheets/d/1MjHtlUikwobi2MaWJgy7tfLeBmhj1u-dRFRs_8GwSoA/edit#gid=0"",""Gestores Escolares!D7:J""),6,0),""VERIFICAR CÓD SEC"")"),"ADRIANA MAIA CERQUEIRA")</f>
        <v>ADRIANA MAIA CERQUEIRA</v>
      </c>
      <c r="P1550" s="82" t="str">
        <f>IFERROR(__xludf.DUMMYFUNCTION("IFERROR(VLOOKUP(D1550,
IMPORTRANGE(""https://docs.google.com/spreadsheets/d/1MjHtlUikwobi2MaWJgy7tfLeBmhj1u-dRFRs_8GwSoA/edit#gid=0"",""Gestores Escolares!D7:J""),7,0),""VERIFICAR CÓD SEC"")"),"(71) 9 9122-2691")</f>
        <v>(71) 9 9122-2691</v>
      </c>
      <c r="Q1550" s="82" t="str">
        <f>IFERROR(__xludf.DUMMYFUNCTION("IFERROR(VLOOKUP(D1550,
IMPORTRANGE(""https://docs.google.com/spreadsheets/d/1MjHtlUikwobi2MaWJgy7tfLeBmhj1u-dRFRs_8GwSoA/edit#gid=0"",""Gestores Escolares!D7:m""),9,0),""VERIFICAR CÓD SEC"")"),"BARBARA ANDRESA RIBEIRO BARBOZA")</f>
        <v>BARBARA ANDRESA RIBEIRO BARBOZA</v>
      </c>
      <c r="R1550" s="82" t="str">
        <f>IFERROR(__xludf.DUMMYFUNCTION("IFERROR(VLOOKUP(D1550,
IMPORTRANGE(""https://docs.google.com/spreadsheets/d/1MjHtlUikwobi2MaWJgy7tfLeBmhj1u-dRFRs_8GwSoA/edit#gid=0"",""Gestores Escolares!D7:m""),10,0),""VERIFICAR CÓD SEC"")"),"(71) 9 9959-3748")</f>
        <v>(71) 9 9959-3748</v>
      </c>
      <c r="S1550" s="82"/>
      <c r="T1550" s="138">
        <v>25.0</v>
      </c>
      <c r="U1550" s="599" t="s">
        <v>13929</v>
      </c>
      <c r="V1550" s="106">
        <v>0.0</v>
      </c>
      <c r="W1550" s="107">
        <v>0.0</v>
      </c>
      <c r="X1550" s="107">
        <v>0.0</v>
      </c>
      <c r="Y1550" s="107">
        <v>0.0</v>
      </c>
      <c r="Z1550" s="80">
        <f t="shared" si="1"/>
        <v>0</v>
      </c>
      <c r="AA1550" s="106">
        <v>0.0</v>
      </c>
      <c r="AB1550" s="107">
        <v>0.0</v>
      </c>
      <c r="AC1550" s="107">
        <v>0.0</v>
      </c>
      <c r="AD1550" s="107">
        <v>0.0</v>
      </c>
      <c r="AE1550" s="80">
        <f t="shared" si="2"/>
        <v>0</v>
      </c>
      <c r="AF1550" s="140">
        <v>277.0</v>
      </c>
      <c r="AG1550" s="109">
        <v>0.0</v>
      </c>
      <c r="AH1550" s="109">
        <v>0.0</v>
      </c>
      <c r="AI1550" s="141">
        <v>108.0</v>
      </c>
      <c r="AJ1550" s="80">
        <f t="shared" si="3"/>
        <v>385</v>
      </c>
      <c r="AK1550" s="140">
        <v>0.0</v>
      </c>
      <c r="AL1550" s="109">
        <v>0.0</v>
      </c>
      <c r="AM1550" s="141">
        <v>0.0</v>
      </c>
      <c r="AN1550" s="80">
        <f t="shared" si="4"/>
        <v>0</v>
      </c>
      <c r="AO1550" s="140">
        <v>0.0</v>
      </c>
      <c r="AP1550" s="109">
        <v>0.0</v>
      </c>
      <c r="AQ1550" s="109">
        <v>131.0</v>
      </c>
      <c r="AR1550" s="80">
        <f t="shared" si="5"/>
        <v>131</v>
      </c>
      <c r="AS1550" s="110">
        <v>199.0</v>
      </c>
      <c r="AT1550" s="110">
        <v>0.0</v>
      </c>
      <c r="AU1550" s="110">
        <v>288.0</v>
      </c>
      <c r="AV1550" s="142">
        <v>0.0</v>
      </c>
      <c r="AW1550" s="80">
        <f t="shared" si="6"/>
        <v>487</v>
      </c>
      <c r="AX1550" s="113">
        <f t="shared" si="7"/>
        <v>1003</v>
      </c>
      <c r="AY1550" s="117">
        <f t="shared" si="8"/>
        <v>584</v>
      </c>
      <c r="AZ1550" s="120">
        <f t="shared" si="9"/>
        <v>419</v>
      </c>
      <c r="BA1550" s="115">
        <v>0.0</v>
      </c>
      <c r="BB1550" s="89">
        <f t="shared" si="10"/>
        <v>1003</v>
      </c>
      <c r="BC1550" s="132" t="s">
        <v>178</v>
      </c>
      <c r="BD1550" s="132" t="s">
        <v>178</v>
      </c>
      <c r="BE1550" s="132" t="s">
        <v>178</v>
      </c>
      <c r="BF1550" s="123"/>
      <c r="BG1550" s="83">
        <v>1100426.0</v>
      </c>
      <c r="BH1550" s="137" t="s">
        <v>8722</v>
      </c>
      <c r="BI1550" s="112">
        <v>23.0</v>
      </c>
      <c r="BJ1550" s="98" t="s">
        <v>155</v>
      </c>
      <c r="BK1550" s="99">
        <f t="shared" si="11"/>
        <v>108</v>
      </c>
      <c r="BL1550" s="99">
        <f t="shared" si="12"/>
        <v>476</v>
      </c>
      <c r="BM1550" s="99" t="str">
        <f>IFERROR(__xludf.DUMMYFUNCTION("IFERROR(VLOOKUP(BG1550,IMPORTRANGE(""https://docs.google.com/spreadsheets/d/1juPI-Fb8LD0YtltB2mlGEnp_R3UVu1t3wSFPzgCyHXE/edit?gid=0#gid=0"",""GERAL!A2:C""),3,0),""-"")"),"-")</f>
        <v>-</v>
      </c>
    </row>
    <row r="1551" ht="15.75" customHeight="1">
      <c r="A1551" s="111" t="s">
        <v>1785</v>
      </c>
      <c r="B1551" s="83" t="s">
        <v>1994</v>
      </c>
      <c r="C1551" s="83" t="s">
        <v>68</v>
      </c>
      <c r="D1551" s="112">
        <v>1178138.0</v>
      </c>
      <c r="E1551" s="83"/>
      <c r="F1551" s="83">
        <v>2.9438934E7</v>
      </c>
      <c r="G1551" s="119" t="s">
        <v>8723</v>
      </c>
      <c r="H1551" s="91" t="s">
        <v>8724</v>
      </c>
      <c r="I1551" s="83" t="s">
        <v>8725</v>
      </c>
      <c r="J1551" s="83" t="s">
        <v>150</v>
      </c>
      <c r="K1551" s="83" t="s">
        <v>151</v>
      </c>
      <c r="L1551" s="98" t="s">
        <v>230</v>
      </c>
      <c r="M1551" s="82" t="str">
        <f>IFERROR(__xludf.DUMMYFUNCTION("IFERROR(VLOOKUP(D1551,
IMPORTRANGE(""https://docs.google.com/spreadsheets/d/1MjHtlUikwobi2MaWJgy7tfLeBmhj1u-dRFRs_8GwSoA/edit#gid=0"",""Gestores Escolares!D7:J""),3,0),""VERIFICAR CÓD SEC"")"),"FERNANDO DO NASCIMENTO LIMA")</f>
        <v>FERNANDO DO NASCIMENTO LIMA</v>
      </c>
      <c r="N1551" s="82" t="str">
        <f>IFERROR(__xludf.DUMMYFUNCTION("IFERROR(VLOOKUP(D1551,
IMPORTRANGE(""https://docs.google.com/spreadsheets/d/1MjHtlUikwobi2MaWJgy7tfLeBmhj1u-dRFRs_8GwSoA/edit#gid=0"",""Gestores Escolares!D7:J""),4,0),""VERIFICAR CÓD SEC"")"),"(71) 9 9962-1091")</f>
        <v>(71) 9 9962-1091</v>
      </c>
      <c r="O1551" s="82" t="str">
        <f>IFERROR(__xludf.DUMMYFUNCTION("IFERROR(VLOOKUP(D1551,
IMPORTRANGE(""https://docs.google.com/spreadsheets/d/1MjHtlUikwobi2MaWJgy7tfLeBmhj1u-dRFRs_8GwSoA/edit#gid=0"",""Gestores Escolares!D7:J""),6,0),""VERIFICAR CÓD SEC"")"),"THIAGO NERI DA CONCEICAO")</f>
        <v>THIAGO NERI DA CONCEICAO</v>
      </c>
      <c r="P1551" s="82" t="str">
        <f>IFERROR(__xludf.DUMMYFUNCTION("IFERROR(VLOOKUP(D1551,
IMPORTRANGE(""https://docs.google.com/spreadsheets/d/1MjHtlUikwobi2MaWJgy7tfLeBmhj1u-dRFRs_8GwSoA/edit#gid=0"",""Gestores Escolares!D7:J""),7,0),""VERIFICAR CÓD SEC"")"),"(71) 9 8863-7510")</f>
        <v>(71) 9 8863-7510</v>
      </c>
      <c r="Q1551" s="82" t="str">
        <f>IFERROR(__xludf.DUMMYFUNCTION("IFERROR(VLOOKUP(D1551,
IMPORTRANGE(""https://docs.google.com/spreadsheets/d/1MjHtlUikwobi2MaWJgy7tfLeBmhj1u-dRFRs_8GwSoA/edit#gid=0"",""Gestores Escolares!D7:m""),9,0),""VERIFICAR CÓD SEC"")"),"MIVIA MARIA QUEIROZ DE JESUS")</f>
        <v>MIVIA MARIA QUEIROZ DE JESUS</v>
      </c>
      <c r="R1551" s="82" t="str">
        <f>IFERROR(__xludf.DUMMYFUNCTION("IFERROR(VLOOKUP(D1551,
IMPORTRANGE(""https://docs.google.com/spreadsheets/d/1MjHtlUikwobi2MaWJgy7tfLeBmhj1u-dRFRs_8GwSoA/edit#gid=0"",""Gestores Escolares!D7:m""),10,0),""VERIFICAR CÓD SEC"")"),"(71) 9 9195-1694")</f>
        <v>(71) 9 9195-1694</v>
      </c>
      <c r="S1551" s="82"/>
      <c r="T1551" s="138">
        <v>13.0</v>
      </c>
      <c r="U1551" s="145">
        <v>16.0</v>
      </c>
      <c r="V1551" s="106">
        <v>0.0</v>
      </c>
      <c r="W1551" s="107">
        <v>0.0</v>
      </c>
      <c r="X1551" s="107">
        <v>0.0</v>
      </c>
      <c r="Y1551" s="107">
        <v>0.0</v>
      </c>
      <c r="Z1551" s="80">
        <f t="shared" si="1"/>
        <v>0</v>
      </c>
      <c r="AA1551" s="106">
        <v>0.0</v>
      </c>
      <c r="AB1551" s="107">
        <v>153.0</v>
      </c>
      <c r="AC1551" s="107">
        <v>0.0</v>
      </c>
      <c r="AD1551" s="107">
        <v>0.0</v>
      </c>
      <c r="AE1551" s="80">
        <f t="shared" si="2"/>
        <v>153</v>
      </c>
      <c r="AF1551" s="140">
        <v>235.0</v>
      </c>
      <c r="AG1551" s="109">
        <v>121.0</v>
      </c>
      <c r="AH1551" s="109">
        <v>0.0</v>
      </c>
      <c r="AI1551" s="141">
        <v>90.0</v>
      </c>
      <c r="AJ1551" s="80">
        <f t="shared" si="3"/>
        <v>446</v>
      </c>
      <c r="AK1551" s="140">
        <v>0.0</v>
      </c>
      <c r="AL1551" s="109">
        <v>0.0</v>
      </c>
      <c r="AM1551" s="141">
        <v>0.0</v>
      </c>
      <c r="AN1551" s="80">
        <f t="shared" si="4"/>
        <v>0</v>
      </c>
      <c r="AO1551" s="140">
        <v>0.0</v>
      </c>
      <c r="AP1551" s="109">
        <v>0.0</v>
      </c>
      <c r="AQ1551" s="109">
        <v>244.0</v>
      </c>
      <c r="AR1551" s="80">
        <f t="shared" si="5"/>
        <v>244</v>
      </c>
      <c r="AS1551" s="110">
        <v>186.0</v>
      </c>
      <c r="AT1551" s="110">
        <v>73.0</v>
      </c>
      <c r="AU1551" s="110">
        <v>39.0</v>
      </c>
      <c r="AV1551" s="142">
        <v>0.0</v>
      </c>
      <c r="AW1551" s="80">
        <f t="shared" si="6"/>
        <v>298</v>
      </c>
      <c r="AX1551" s="113">
        <f t="shared" si="7"/>
        <v>1141</v>
      </c>
      <c r="AY1551" s="117">
        <f t="shared" si="8"/>
        <v>858</v>
      </c>
      <c r="AZ1551" s="120">
        <f t="shared" si="9"/>
        <v>283</v>
      </c>
      <c r="BA1551" s="115">
        <v>0.0</v>
      </c>
      <c r="BB1551" s="89">
        <f t="shared" si="10"/>
        <v>1141</v>
      </c>
      <c r="BC1551" s="132" t="s">
        <v>178</v>
      </c>
      <c r="BD1551" s="132" t="s">
        <v>178</v>
      </c>
      <c r="BE1551" s="132" t="s">
        <v>178</v>
      </c>
      <c r="BF1551" s="123"/>
      <c r="BG1551" s="83">
        <v>1178138.0</v>
      </c>
      <c r="BH1551" s="137" t="s">
        <v>8726</v>
      </c>
      <c r="BI1551" s="112">
        <v>13.0</v>
      </c>
      <c r="BJ1551" s="98" t="s">
        <v>155</v>
      </c>
      <c r="BK1551" s="99">
        <f t="shared" si="11"/>
        <v>90</v>
      </c>
      <c r="BL1551" s="99">
        <f t="shared" si="12"/>
        <v>768</v>
      </c>
      <c r="BM1551" s="99" t="str">
        <f>IFERROR(__xludf.DUMMYFUNCTION("IFERROR(VLOOKUP(BG1551,IMPORTRANGE(""https://docs.google.com/spreadsheets/d/1juPI-Fb8LD0YtltB2mlGEnp_R3UVu1t3wSFPzgCyHXE/edit?gid=0#gid=0"",""GERAL!A2:C""),3,0),""-"")"),"-")</f>
        <v>-</v>
      </c>
    </row>
    <row r="1552" ht="15.75" customHeight="1">
      <c r="A1552" s="111" t="s">
        <v>1785</v>
      </c>
      <c r="B1552" s="83" t="s">
        <v>1994</v>
      </c>
      <c r="C1552" s="83" t="s">
        <v>68</v>
      </c>
      <c r="D1552" s="112">
        <v>1102984.0</v>
      </c>
      <c r="E1552" s="83"/>
      <c r="F1552" s="83">
        <v>2.9193699E7</v>
      </c>
      <c r="G1552" s="119" t="s">
        <v>8727</v>
      </c>
      <c r="H1552" s="91" t="s">
        <v>8728</v>
      </c>
      <c r="I1552" s="83" t="s">
        <v>8545</v>
      </c>
      <c r="J1552" s="83" t="s">
        <v>150</v>
      </c>
      <c r="K1552" s="83" t="s">
        <v>151</v>
      </c>
      <c r="L1552" s="83" t="s">
        <v>152</v>
      </c>
      <c r="M1552" s="82" t="str">
        <f>IFERROR(__xludf.DUMMYFUNCTION("IFERROR(VLOOKUP(D1552,
IMPORTRANGE(""https://docs.google.com/spreadsheets/d/1MjHtlUikwobi2MaWJgy7tfLeBmhj1u-dRFRs_8GwSoA/edit#gid=0"",""Gestores Escolares!D7:J""),3,0),""VERIFICAR CÓD SEC"")"),"MANOEL BARBOSA DE JESUS")</f>
        <v>MANOEL BARBOSA DE JESUS</v>
      </c>
      <c r="N1552" s="82" t="str">
        <f>IFERROR(__xludf.DUMMYFUNCTION("IFERROR(VLOOKUP(D1552,
IMPORTRANGE(""https://docs.google.com/spreadsheets/d/1MjHtlUikwobi2MaWJgy7tfLeBmhj1u-dRFRs_8GwSoA/edit#gid=0"",""Gestores Escolares!D7:J""),4,0),""VERIFICAR CÓD SEC"")"),"(71) 9 8821-5430")</f>
        <v>(71) 9 8821-5430</v>
      </c>
      <c r="O1552" s="82" t="str">
        <f>IFERROR(__xludf.DUMMYFUNCTION("IFERROR(VLOOKUP(D1552,
IMPORTRANGE(""https://docs.google.com/spreadsheets/d/1MjHtlUikwobi2MaWJgy7tfLeBmhj1u-dRFRs_8GwSoA/edit#gid=0"",""Gestores Escolares!D7:J""),6,0),""VERIFICAR CÓD SEC"")"),"EULINA LOUREIRO MESSIAS DE FIGUEIREDO")</f>
        <v>EULINA LOUREIRO MESSIAS DE FIGUEIREDO</v>
      </c>
      <c r="P1552" s="82" t="str">
        <f>IFERROR(__xludf.DUMMYFUNCTION("IFERROR(VLOOKUP(D1552,
IMPORTRANGE(""https://docs.google.com/spreadsheets/d/1MjHtlUikwobi2MaWJgy7tfLeBmhj1u-dRFRs_8GwSoA/edit#gid=0"",""Gestores Escolares!D7:J""),7,0),""VERIFICAR CÓD SEC"")"),"(71) 9 9262-0136")</f>
        <v>(71) 9 9262-0136</v>
      </c>
      <c r="Q1552" s="82" t="str">
        <f>IFERROR(__xludf.DUMMYFUNCTION("IFERROR(VLOOKUP(D1552,
IMPORTRANGE(""https://docs.google.com/spreadsheets/d/1MjHtlUikwobi2MaWJgy7tfLeBmhj1u-dRFRs_8GwSoA/edit#gid=0"",""Gestores Escolares!D7:m""),9,0),""VERIFICAR CÓD SEC"")"),"MILENA BARBOSA LIMA")</f>
        <v>MILENA BARBOSA LIMA</v>
      </c>
      <c r="R1552" s="82" t="str">
        <f>IFERROR(__xludf.DUMMYFUNCTION("IFERROR(VLOOKUP(D1552,
IMPORTRANGE(""https://docs.google.com/spreadsheets/d/1MjHtlUikwobi2MaWJgy7tfLeBmhj1u-dRFRs_8GwSoA/edit#gid=0"",""Gestores Escolares!D7:m""),10,0),""VERIFICAR CÓD SEC"")"),"(71) 9 8792-6575")</f>
        <v>(71) 9 8792-6575</v>
      </c>
      <c r="S1552" s="82"/>
      <c r="T1552" s="138">
        <v>8.0</v>
      </c>
      <c r="U1552" s="152">
        <v>9.0</v>
      </c>
      <c r="V1552" s="106">
        <v>0.0</v>
      </c>
      <c r="W1552" s="107">
        <v>0.0</v>
      </c>
      <c r="X1552" s="107">
        <v>0.0</v>
      </c>
      <c r="Y1552" s="107">
        <v>0.0</v>
      </c>
      <c r="Z1552" s="80">
        <f t="shared" si="1"/>
        <v>0</v>
      </c>
      <c r="AA1552" s="106">
        <v>0.0</v>
      </c>
      <c r="AB1552" s="107">
        <v>0.0</v>
      </c>
      <c r="AC1552" s="107">
        <v>0.0</v>
      </c>
      <c r="AD1552" s="107">
        <v>198.0</v>
      </c>
      <c r="AE1552" s="80">
        <f t="shared" si="2"/>
        <v>198</v>
      </c>
      <c r="AF1552" s="140">
        <v>117.0</v>
      </c>
      <c r="AG1552" s="109">
        <v>62.0</v>
      </c>
      <c r="AH1552" s="109">
        <v>0.0</v>
      </c>
      <c r="AI1552" s="141">
        <v>0.0</v>
      </c>
      <c r="AJ1552" s="80">
        <f t="shared" si="3"/>
        <v>179</v>
      </c>
      <c r="AK1552" s="140">
        <v>0.0</v>
      </c>
      <c r="AL1552" s="109">
        <v>0.0</v>
      </c>
      <c r="AM1552" s="141">
        <v>28.0</v>
      </c>
      <c r="AN1552" s="80">
        <f t="shared" si="4"/>
        <v>28</v>
      </c>
      <c r="AO1552" s="140">
        <v>0.0</v>
      </c>
      <c r="AP1552" s="109">
        <v>0.0</v>
      </c>
      <c r="AQ1552" s="109">
        <v>97.0</v>
      </c>
      <c r="AR1552" s="80">
        <f t="shared" si="5"/>
        <v>97</v>
      </c>
      <c r="AS1552" s="110">
        <v>0.0</v>
      </c>
      <c r="AT1552" s="110">
        <v>0.0</v>
      </c>
      <c r="AU1552" s="110">
        <v>0.0</v>
      </c>
      <c r="AV1552" s="142">
        <v>0.0</v>
      </c>
      <c r="AW1552" s="80">
        <f t="shared" si="6"/>
        <v>0</v>
      </c>
      <c r="AX1552" s="113">
        <f t="shared" si="7"/>
        <v>502</v>
      </c>
      <c r="AY1552" s="117">
        <f t="shared" si="8"/>
        <v>377</v>
      </c>
      <c r="AZ1552" s="120">
        <f t="shared" si="9"/>
        <v>125</v>
      </c>
      <c r="BA1552" s="115">
        <v>0.0</v>
      </c>
      <c r="BB1552" s="89">
        <f t="shared" si="10"/>
        <v>502</v>
      </c>
      <c r="BC1552" s="132" t="s">
        <v>178</v>
      </c>
      <c r="BD1552" s="132" t="s">
        <v>178</v>
      </c>
      <c r="BE1552" s="132" t="s">
        <v>178</v>
      </c>
      <c r="BF1552" s="123"/>
      <c r="BG1552" s="83">
        <v>1102984.0</v>
      </c>
      <c r="BH1552" s="137" t="s">
        <v>8729</v>
      </c>
      <c r="BI1552" s="112">
        <v>9.0</v>
      </c>
      <c r="BJ1552" s="98" t="s">
        <v>155</v>
      </c>
      <c r="BK1552" s="99">
        <f t="shared" si="11"/>
        <v>198</v>
      </c>
      <c r="BL1552" s="99">
        <f t="shared" si="12"/>
        <v>179</v>
      </c>
      <c r="BM1552" s="99" t="str">
        <f>IFERROR(__xludf.DUMMYFUNCTION("IFERROR(VLOOKUP(BG1552,IMPORTRANGE(""https://docs.google.com/spreadsheets/d/1juPI-Fb8LD0YtltB2mlGEnp_R3UVu1t3wSFPzgCyHXE/edit?gid=0#gid=0"",""GERAL!A2:C""),3,0),""-"")"),"-")</f>
        <v>-</v>
      </c>
    </row>
    <row r="1553" ht="15.75" customHeight="1">
      <c r="A1553" s="111" t="s">
        <v>1785</v>
      </c>
      <c r="B1553" s="83" t="s">
        <v>1994</v>
      </c>
      <c r="C1553" s="83" t="s">
        <v>68</v>
      </c>
      <c r="D1553" s="112">
        <v>1102666.0</v>
      </c>
      <c r="E1553" s="83"/>
      <c r="F1553" s="83">
        <v>2.91815E7</v>
      </c>
      <c r="G1553" s="119" t="s">
        <v>8730</v>
      </c>
      <c r="H1553" s="91" t="s">
        <v>8731</v>
      </c>
      <c r="I1553" s="83" t="s">
        <v>8579</v>
      </c>
      <c r="J1553" s="83" t="s">
        <v>150</v>
      </c>
      <c r="K1553" s="83" t="s">
        <v>151</v>
      </c>
      <c r="L1553" s="83" t="s">
        <v>230</v>
      </c>
      <c r="M1553" s="82" t="str">
        <f>IFERROR(__xludf.DUMMYFUNCTION("IFERROR(VLOOKUP(D1553,
IMPORTRANGE(""https://docs.google.com/spreadsheets/d/1MjHtlUikwobi2MaWJgy7tfLeBmhj1u-dRFRs_8GwSoA/edit#gid=0"",""Gestores Escolares!D7:J""),3,0),""VERIFICAR CÓD SEC"")"),"LUCIANO ELOY SANTOS ALVES")</f>
        <v>LUCIANO ELOY SANTOS ALVES</v>
      </c>
      <c r="N1553" s="82" t="str">
        <f>IFERROR(__xludf.DUMMYFUNCTION("IFERROR(VLOOKUP(D1553,
IMPORTRANGE(""https://docs.google.com/spreadsheets/d/1MjHtlUikwobi2MaWJgy7tfLeBmhj1u-dRFRs_8GwSoA/edit#gid=0"",""Gestores Escolares!D7:J""),4,0),""VERIFICAR CÓD SEC"")"),"(71) 9 9913-9408")</f>
        <v>(71) 9 9913-9408</v>
      </c>
      <c r="O1553" s="82" t="str">
        <f>IFERROR(__xludf.DUMMYFUNCTION("IFERROR(VLOOKUP(D1553,
IMPORTRANGE(""https://docs.google.com/spreadsheets/d/1MjHtlUikwobi2MaWJgy7tfLeBmhj1u-dRFRs_8GwSoA/edit#gid=0"",""Gestores Escolares!D7:J""),6,0),""VERIFICAR CÓD SEC"")"),"ALAN MELLO TEIXEIRA")</f>
        <v>ALAN MELLO TEIXEIRA</v>
      </c>
      <c r="P1553" s="82" t="str">
        <f>IFERROR(__xludf.DUMMYFUNCTION("IFERROR(VLOOKUP(D1553,
IMPORTRANGE(""https://docs.google.com/spreadsheets/d/1MjHtlUikwobi2MaWJgy7tfLeBmhj1u-dRFRs_8GwSoA/edit#gid=0"",""Gestores Escolares!D7:J""),7,0),""VERIFICAR CÓD SEC"")"),"(71) 9 9971-0012")</f>
        <v>(71) 9 9971-0012</v>
      </c>
      <c r="Q1553" s="82" t="str">
        <f>IFERROR(__xludf.DUMMYFUNCTION("IFERROR(VLOOKUP(D1553,
IMPORTRANGE(""https://docs.google.com/spreadsheets/d/1MjHtlUikwobi2MaWJgy7tfLeBmhj1u-dRFRs_8GwSoA/edit#gid=0"",""Gestores Escolares!D7:m""),9,0),""VERIFICAR CÓD SEC"")"),"ADRIANO CESAR DOS REIS PEREIRA")</f>
        <v>ADRIANO CESAR DOS REIS PEREIRA</v>
      </c>
      <c r="R1553" s="82" t="str">
        <f>IFERROR(__xludf.DUMMYFUNCTION("IFERROR(VLOOKUP(D1553,
IMPORTRANGE(""https://docs.google.com/spreadsheets/d/1MjHtlUikwobi2MaWJgy7tfLeBmhj1u-dRFRs_8GwSoA/edit#gid=0"",""Gestores Escolares!D7:m""),10,0),""VERIFICAR CÓD SEC"")"),"(71) 9 8228-7836")</f>
        <v>(71) 9 8228-7836</v>
      </c>
      <c r="S1553" s="82"/>
      <c r="T1553" s="138">
        <v>26.0</v>
      </c>
      <c r="U1553" s="152">
        <v>24.0</v>
      </c>
      <c r="V1553" s="106">
        <v>0.0</v>
      </c>
      <c r="W1553" s="107">
        <v>0.0</v>
      </c>
      <c r="X1553" s="107">
        <v>0.0</v>
      </c>
      <c r="Y1553" s="107">
        <v>0.0</v>
      </c>
      <c r="Z1553" s="80">
        <f t="shared" si="1"/>
        <v>0</v>
      </c>
      <c r="AA1553" s="106">
        <v>0.0</v>
      </c>
      <c r="AB1553" s="107">
        <v>0.0</v>
      </c>
      <c r="AC1553" s="107">
        <v>0.0</v>
      </c>
      <c r="AD1553" s="107">
        <v>0.0</v>
      </c>
      <c r="AE1553" s="80">
        <f t="shared" si="2"/>
        <v>0</v>
      </c>
      <c r="AF1553" s="140">
        <v>801.0</v>
      </c>
      <c r="AG1553" s="109">
        <v>206.0</v>
      </c>
      <c r="AH1553" s="109">
        <v>0.0</v>
      </c>
      <c r="AI1553" s="141">
        <v>70.0</v>
      </c>
      <c r="AJ1553" s="80">
        <f t="shared" si="3"/>
        <v>1077</v>
      </c>
      <c r="AK1553" s="140">
        <v>0.0</v>
      </c>
      <c r="AL1553" s="109">
        <v>0.0</v>
      </c>
      <c r="AM1553" s="141">
        <v>0.0</v>
      </c>
      <c r="AN1553" s="80">
        <f t="shared" si="4"/>
        <v>0</v>
      </c>
      <c r="AO1553" s="140">
        <v>0.0</v>
      </c>
      <c r="AP1553" s="109">
        <v>0.0</v>
      </c>
      <c r="AQ1553" s="109">
        <v>248.0</v>
      </c>
      <c r="AR1553" s="80">
        <f t="shared" si="5"/>
        <v>248</v>
      </c>
      <c r="AS1553" s="110">
        <v>0.0</v>
      </c>
      <c r="AT1553" s="110">
        <v>8.0</v>
      </c>
      <c r="AU1553" s="110">
        <v>55.0</v>
      </c>
      <c r="AV1553" s="142">
        <v>0.0</v>
      </c>
      <c r="AW1553" s="80">
        <f t="shared" si="6"/>
        <v>63</v>
      </c>
      <c r="AX1553" s="113">
        <f t="shared" si="7"/>
        <v>1388</v>
      </c>
      <c r="AY1553" s="117">
        <f t="shared" si="8"/>
        <v>1085</v>
      </c>
      <c r="AZ1553" s="120">
        <f t="shared" si="9"/>
        <v>303</v>
      </c>
      <c r="BA1553" s="115">
        <v>10.0</v>
      </c>
      <c r="BB1553" s="89">
        <f t="shared" si="10"/>
        <v>1398</v>
      </c>
      <c r="BC1553" s="132" t="s">
        <v>178</v>
      </c>
      <c r="BD1553" s="132" t="s">
        <v>178</v>
      </c>
      <c r="BE1553" s="132" t="s">
        <v>178</v>
      </c>
      <c r="BF1553" s="123"/>
      <c r="BG1553" s="83">
        <v>1102666.0</v>
      </c>
      <c r="BH1553" s="137" t="s">
        <v>8732</v>
      </c>
      <c r="BI1553" s="112">
        <v>24.0</v>
      </c>
      <c r="BJ1553" s="98" t="s">
        <v>155</v>
      </c>
      <c r="BK1553" s="99">
        <f t="shared" si="11"/>
        <v>70</v>
      </c>
      <c r="BL1553" s="99">
        <f t="shared" si="12"/>
        <v>1015</v>
      </c>
      <c r="BM1553" s="99" t="str">
        <f>IFERROR(__xludf.DUMMYFUNCTION("IFERROR(VLOOKUP(BG1553,IMPORTRANGE(""https://docs.google.com/spreadsheets/d/1juPI-Fb8LD0YtltB2mlGEnp_R3UVu1t3wSFPzgCyHXE/edit?gid=0#gid=0"",""GERAL!A2:C""),3,0),""-"")"),"-")</f>
        <v>-</v>
      </c>
    </row>
    <row r="1554" ht="15.75" customHeight="1">
      <c r="A1554" s="111" t="s">
        <v>1785</v>
      </c>
      <c r="B1554" s="83" t="s">
        <v>1994</v>
      </c>
      <c r="C1554" s="83" t="s">
        <v>68</v>
      </c>
      <c r="D1554" s="112">
        <v>1101899.0</v>
      </c>
      <c r="E1554" s="83"/>
      <c r="F1554" s="83">
        <v>2.9181488E7</v>
      </c>
      <c r="G1554" s="119" t="s">
        <v>13930</v>
      </c>
      <c r="H1554" s="91" t="s">
        <v>8566</v>
      </c>
      <c r="I1554" s="83" t="s">
        <v>8219</v>
      </c>
      <c r="J1554" s="83" t="s">
        <v>150</v>
      </c>
      <c r="K1554" s="83" t="s">
        <v>151</v>
      </c>
      <c r="L1554" s="83" t="s">
        <v>152</v>
      </c>
      <c r="M1554" s="82" t="str">
        <f>IFERROR(__xludf.DUMMYFUNCTION("IFERROR(VLOOKUP(D1554,
IMPORTRANGE(""https://docs.google.com/spreadsheets/d/1MjHtlUikwobi2MaWJgy7tfLeBmhj1u-dRFRs_8GwSoA/edit#gid=0"",""Gestores Escolares!D7:J""),3,0),""VERIFICAR CÓD SEC"")"),"JOSE RICARDO MONTEIRO NASCIMENTO")</f>
        <v>JOSE RICARDO MONTEIRO NASCIMENTO</v>
      </c>
      <c r="N1554" s="82" t="str">
        <f>IFERROR(__xludf.DUMMYFUNCTION("IFERROR(VLOOKUP(D1554,
IMPORTRANGE(""https://docs.google.com/spreadsheets/d/1MjHtlUikwobi2MaWJgy7tfLeBmhj1u-dRFRs_8GwSoA/edit#gid=0"",""Gestores Escolares!D7:J""),4,0),""VERIFICAR CÓD SEC"")"),"(71) 9 9131-7076")</f>
        <v>(71) 9 9131-7076</v>
      </c>
      <c r="O1554" s="82" t="str">
        <f>IFERROR(__xludf.DUMMYFUNCTION("IFERROR(VLOOKUP(D1554,
IMPORTRANGE(""https://docs.google.com/spreadsheets/d/1MjHtlUikwobi2MaWJgy7tfLeBmhj1u-dRFRs_8GwSoA/edit#gid=0"",""Gestores Escolares!D7:J""),6,0),""VERIFICAR CÓD SEC"")"),"TANIA CONCEICAO BARBOZA DE SOUZA SANTOS")</f>
        <v>TANIA CONCEICAO BARBOZA DE SOUZA SANTOS</v>
      </c>
      <c r="P1554" s="82" t="str">
        <f>IFERROR(__xludf.DUMMYFUNCTION("IFERROR(VLOOKUP(D1554,
IMPORTRANGE(""https://docs.google.com/spreadsheets/d/1MjHtlUikwobi2MaWJgy7tfLeBmhj1u-dRFRs_8GwSoA/edit#gid=0"",""Gestores Escolares!D7:J""),7,0),""VERIFICAR CÓD SEC"")"),"(71) 9 8155-8337")</f>
        <v>(71) 9 8155-8337</v>
      </c>
      <c r="Q1554" s="82" t="str">
        <f>IFERROR(__xludf.DUMMYFUNCTION("IFERROR(VLOOKUP(D1554,
IMPORTRANGE(""https://docs.google.com/spreadsheets/d/1MjHtlUikwobi2MaWJgy7tfLeBmhj1u-dRFRs_8GwSoA/edit#gid=0"",""Gestores Escolares!D7:m""),9,0),""VERIFICAR CÓD SEC"")"),"")</f>
        <v/>
      </c>
      <c r="R1554" s="82" t="str">
        <f>IFERROR(__xludf.DUMMYFUNCTION("IFERROR(VLOOKUP(D1554,
IMPORTRANGE(""https://docs.google.com/spreadsheets/d/1MjHtlUikwobi2MaWJgy7tfLeBmhj1u-dRFRs_8GwSoA/edit#gid=0"",""Gestores Escolares!D7:m""),10,0),""VERIFICAR CÓD SEC"")"),"")</f>
        <v/>
      </c>
      <c r="S1554" s="82"/>
      <c r="T1554" s="138">
        <v>19.0</v>
      </c>
      <c r="U1554" s="152">
        <v>26.0</v>
      </c>
      <c r="V1554" s="106">
        <v>0.0</v>
      </c>
      <c r="W1554" s="107">
        <v>0.0</v>
      </c>
      <c r="X1554" s="107">
        <v>0.0</v>
      </c>
      <c r="Y1554" s="107">
        <v>0.0</v>
      </c>
      <c r="Z1554" s="80">
        <f t="shared" si="1"/>
        <v>0</v>
      </c>
      <c r="AA1554" s="106">
        <v>0.0</v>
      </c>
      <c r="AB1554" s="107">
        <v>0.0</v>
      </c>
      <c r="AC1554" s="107">
        <v>0.0</v>
      </c>
      <c r="AD1554" s="107">
        <v>0.0</v>
      </c>
      <c r="AE1554" s="80">
        <f t="shared" si="2"/>
        <v>0</v>
      </c>
      <c r="AF1554" s="140">
        <v>0.0</v>
      </c>
      <c r="AG1554" s="109">
        <v>0.0</v>
      </c>
      <c r="AH1554" s="109">
        <v>0.0</v>
      </c>
      <c r="AI1554" s="141">
        <v>536.0</v>
      </c>
      <c r="AJ1554" s="80">
        <f t="shared" si="3"/>
        <v>536</v>
      </c>
      <c r="AK1554" s="140">
        <v>0.0</v>
      </c>
      <c r="AL1554" s="109">
        <v>0.0</v>
      </c>
      <c r="AM1554" s="141">
        <v>0.0</v>
      </c>
      <c r="AN1554" s="80">
        <f t="shared" si="4"/>
        <v>0</v>
      </c>
      <c r="AO1554" s="140">
        <v>0.0</v>
      </c>
      <c r="AP1554" s="109">
        <v>0.0</v>
      </c>
      <c r="AQ1554" s="109">
        <v>0.0</v>
      </c>
      <c r="AR1554" s="80">
        <f t="shared" si="5"/>
        <v>0</v>
      </c>
      <c r="AS1554" s="110">
        <v>0.0</v>
      </c>
      <c r="AT1554" s="110">
        <v>0.0</v>
      </c>
      <c r="AU1554" s="110">
        <v>0.0</v>
      </c>
      <c r="AV1554" s="142">
        <v>0.0</v>
      </c>
      <c r="AW1554" s="80">
        <f t="shared" si="6"/>
        <v>0</v>
      </c>
      <c r="AX1554" s="113">
        <f t="shared" si="7"/>
        <v>536</v>
      </c>
      <c r="AY1554" s="117">
        <f t="shared" si="8"/>
        <v>536</v>
      </c>
      <c r="AZ1554" s="120">
        <f t="shared" si="9"/>
        <v>0</v>
      </c>
      <c r="BA1554" s="115">
        <v>0.0</v>
      </c>
      <c r="BB1554" s="89">
        <f t="shared" si="10"/>
        <v>536</v>
      </c>
      <c r="BC1554" s="132" t="s">
        <v>178</v>
      </c>
      <c r="BD1554" s="132" t="s">
        <v>178</v>
      </c>
      <c r="BE1554" s="132" t="s">
        <v>178</v>
      </c>
      <c r="BF1554" s="123"/>
      <c r="BG1554" s="83">
        <v>1101899.0</v>
      </c>
      <c r="BH1554" s="137" t="s">
        <v>8567</v>
      </c>
      <c r="BI1554" s="112">
        <v>26.0</v>
      </c>
      <c r="BJ1554" s="98" t="s">
        <v>284</v>
      </c>
      <c r="BK1554" s="99">
        <f t="shared" si="11"/>
        <v>536</v>
      </c>
      <c r="BL1554" s="99">
        <f t="shared" si="12"/>
        <v>0</v>
      </c>
      <c r="BM1554" s="99" t="str">
        <f>IFERROR(__xludf.DUMMYFUNCTION("IFERROR(VLOOKUP(BG1554,IMPORTRANGE(""https://docs.google.com/spreadsheets/d/1juPI-Fb8LD0YtltB2mlGEnp_R3UVu1t3wSFPzgCyHXE/edit?gid=0#gid=0"",""GERAL!A2:C""),3,0),""-"")"),"-")</f>
        <v>-</v>
      </c>
    </row>
    <row r="1555" ht="15.75" customHeight="1">
      <c r="A1555" s="111" t="s">
        <v>1785</v>
      </c>
      <c r="B1555" s="83" t="s">
        <v>1994</v>
      </c>
      <c r="C1555" s="83" t="s">
        <v>68</v>
      </c>
      <c r="D1555" s="112">
        <v>1103816.0</v>
      </c>
      <c r="E1555" s="83"/>
      <c r="F1555" s="83">
        <v>2.9190894E7</v>
      </c>
      <c r="G1555" s="153" t="s">
        <v>8733</v>
      </c>
      <c r="H1555" s="91" t="s">
        <v>8734</v>
      </c>
      <c r="I1555" s="83" t="s">
        <v>8735</v>
      </c>
      <c r="J1555" s="83" t="s">
        <v>150</v>
      </c>
      <c r="K1555" s="83" t="s">
        <v>151</v>
      </c>
      <c r="L1555" s="98" t="s">
        <v>230</v>
      </c>
      <c r="M1555" s="82" t="str">
        <f>IFERROR(__xludf.DUMMYFUNCTION("IFERROR(VLOOKUP(D1555,
IMPORTRANGE(""https://docs.google.com/spreadsheets/d/1MjHtlUikwobi2MaWJgy7tfLeBmhj1u-dRFRs_8GwSoA/edit#gid=0"",""Gestores Escolares!D7:J""),3,0),""VERIFICAR CÓD SEC"")"),"JANE CLEIA DA SILVA CARNEIRO")</f>
        <v>JANE CLEIA DA SILVA CARNEIRO</v>
      </c>
      <c r="N1555" s="82" t="str">
        <f>IFERROR(__xludf.DUMMYFUNCTION("IFERROR(VLOOKUP(D1555,
IMPORTRANGE(""https://docs.google.com/spreadsheets/d/1MjHtlUikwobi2MaWJgy7tfLeBmhj1u-dRFRs_8GwSoA/edit#gid=0"",""Gestores Escolares!D7:J""),4,0),""VERIFICAR CÓD SEC"")"),"(71) 9 9956-0460")</f>
        <v>(71) 9 9956-0460</v>
      </c>
      <c r="O1555" s="82" t="str">
        <f>IFERROR(__xludf.DUMMYFUNCTION("IFERROR(VLOOKUP(D1555,
IMPORTRANGE(""https://docs.google.com/spreadsheets/d/1MjHtlUikwobi2MaWJgy7tfLeBmhj1u-dRFRs_8GwSoA/edit#gid=0"",""Gestores Escolares!D7:J""),6,0),""VERIFICAR CÓD SEC"")"),"
ROBERTO RIVELINO BOAVENTURA DE OLIVEIRA")</f>
        <v>
ROBERTO RIVELINO BOAVENTURA DE OLIVEIRA</v>
      </c>
      <c r="P1555" s="82" t="str">
        <f>IFERROR(__xludf.DUMMYFUNCTION("IFERROR(VLOOKUP(D1555,
IMPORTRANGE(""https://docs.google.com/spreadsheets/d/1MjHtlUikwobi2MaWJgy7tfLeBmhj1u-dRFRs_8GwSoA/edit#gid=0"",""Gestores Escolares!D7:J""),7,0),""VERIFICAR CÓD SEC"")"),"(71) 9 8737-2229")</f>
        <v>(71) 9 8737-2229</v>
      </c>
      <c r="Q1555" s="82" t="str">
        <f>IFERROR(__xludf.DUMMYFUNCTION("IFERROR(VLOOKUP(D1555,
IMPORTRANGE(""https://docs.google.com/spreadsheets/d/1MjHtlUikwobi2MaWJgy7tfLeBmhj1u-dRFRs_8GwSoA/edit#gid=0"",""Gestores Escolares!D7:m""),9,0),""VERIFICAR CÓD SEC"")"),"JORGE LUIZ ECA DOS SANTOS")</f>
        <v>JORGE LUIZ ECA DOS SANTOS</v>
      </c>
      <c r="R1555" s="82" t="str">
        <f>IFERROR(__xludf.DUMMYFUNCTION("IFERROR(VLOOKUP(D1555,
IMPORTRANGE(""https://docs.google.com/spreadsheets/d/1MjHtlUikwobi2MaWJgy7tfLeBmhj1u-dRFRs_8GwSoA/edit#gid=0"",""Gestores Escolares!D7:m""),10,0),""VERIFICAR CÓD SEC"")"),"(71) 9 9715-9209")</f>
        <v>(71) 9 9715-9209</v>
      </c>
      <c r="S1555" s="82"/>
      <c r="T1555" s="138">
        <v>18.0</v>
      </c>
      <c r="U1555" s="217">
        <v>36.0</v>
      </c>
      <c r="V1555" s="106">
        <v>0.0</v>
      </c>
      <c r="W1555" s="107">
        <v>0.0</v>
      </c>
      <c r="X1555" s="107">
        <v>0.0</v>
      </c>
      <c r="Y1555" s="107">
        <v>0.0</v>
      </c>
      <c r="Z1555" s="80">
        <f t="shared" si="1"/>
        <v>0</v>
      </c>
      <c r="AA1555" s="106">
        <v>0.0</v>
      </c>
      <c r="AB1555" s="107">
        <v>10.0</v>
      </c>
      <c r="AC1555" s="107">
        <v>0.0</v>
      </c>
      <c r="AD1555" s="107">
        <v>630.0</v>
      </c>
      <c r="AE1555" s="80">
        <f t="shared" si="2"/>
        <v>640</v>
      </c>
      <c r="AF1555" s="140">
        <v>0.0</v>
      </c>
      <c r="AG1555" s="109">
        <v>0.0</v>
      </c>
      <c r="AH1555" s="109">
        <v>0.0</v>
      </c>
      <c r="AI1555" s="141">
        <v>151.0</v>
      </c>
      <c r="AJ1555" s="80">
        <f t="shared" si="3"/>
        <v>151</v>
      </c>
      <c r="AK1555" s="140">
        <v>0.0</v>
      </c>
      <c r="AL1555" s="109">
        <v>0.0</v>
      </c>
      <c r="AM1555" s="141">
        <v>0.0</v>
      </c>
      <c r="AN1555" s="80">
        <f t="shared" si="4"/>
        <v>0</v>
      </c>
      <c r="AO1555" s="140">
        <v>0.0</v>
      </c>
      <c r="AP1555" s="109">
        <v>0.0</v>
      </c>
      <c r="AQ1555" s="109">
        <v>58.0</v>
      </c>
      <c r="AR1555" s="80">
        <f t="shared" si="5"/>
        <v>58</v>
      </c>
      <c r="AS1555" s="110">
        <v>0.0</v>
      </c>
      <c r="AT1555" s="110">
        <v>0.0</v>
      </c>
      <c r="AU1555" s="110">
        <v>55.0</v>
      </c>
      <c r="AV1555" s="142">
        <v>200.0</v>
      </c>
      <c r="AW1555" s="80">
        <f t="shared" si="6"/>
        <v>255</v>
      </c>
      <c r="AX1555" s="113">
        <f t="shared" si="7"/>
        <v>1104</v>
      </c>
      <c r="AY1555" s="117">
        <f t="shared" si="8"/>
        <v>991</v>
      </c>
      <c r="AZ1555" s="120">
        <f t="shared" si="9"/>
        <v>113</v>
      </c>
      <c r="BA1555" s="115">
        <v>1.0</v>
      </c>
      <c r="BB1555" s="89">
        <f t="shared" si="10"/>
        <v>1105</v>
      </c>
      <c r="BC1555" s="132" t="s">
        <v>178</v>
      </c>
      <c r="BD1555" s="132" t="s">
        <v>178</v>
      </c>
      <c r="BE1555" s="132" t="s">
        <v>178</v>
      </c>
      <c r="BF1555" s="123"/>
      <c r="BG1555" s="83">
        <v>1103816.0</v>
      </c>
      <c r="BH1555" s="137" t="s">
        <v>8736</v>
      </c>
      <c r="BI1555" s="112">
        <v>14.0</v>
      </c>
      <c r="BJ1555" s="98" t="s">
        <v>162</v>
      </c>
      <c r="BK1555" s="99">
        <f t="shared" si="11"/>
        <v>981</v>
      </c>
      <c r="BL1555" s="99">
        <f t="shared" si="12"/>
        <v>10</v>
      </c>
      <c r="BM1555" s="99" t="str">
        <f>IFERROR(__xludf.DUMMYFUNCTION("IFERROR(VLOOKUP(BG1555,IMPORTRANGE(""https://docs.google.com/spreadsheets/d/1juPI-Fb8LD0YtltB2mlGEnp_R3UVu1t3wSFPzgCyHXE/edit?gid=0#gid=0"",""GERAL!A2:C""),3,0),""-"")"),"-")</f>
        <v>-</v>
      </c>
    </row>
    <row r="1556" ht="15.75" customHeight="1">
      <c r="A1556" s="111" t="s">
        <v>1785</v>
      </c>
      <c r="B1556" s="83" t="s">
        <v>1994</v>
      </c>
      <c r="C1556" s="83" t="s">
        <v>68</v>
      </c>
      <c r="D1556" s="112">
        <v>1175280.0</v>
      </c>
      <c r="E1556" s="83"/>
      <c r="F1556" s="83">
        <v>2.9192307E7</v>
      </c>
      <c r="G1556" s="119" t="s">
        <v>8737</v>
      </c>
      <c r="H1556" s="91" t="s">
        <v>8738</v>
      </c>
      <c r="I1556" s="83" t="s">
        <v>8461</v>
      </c>
      <c r="J1556" s="83" t="s">
        <v>150</v>
      </c>
      <c r="K1556" s="83" t="s">
        <v>151</v>
      </c>
      <c r="L1556" s="83" t="s">
        <v>152</v>
      </c>
      <c r="M1556" s="82" t="str">
        <f>IFERROR(__xludf.DUMMYFUNCTION("IFERROR(VLOOKUP(D1556,
IMPORTRANGE(""https://docs.google.com/spreadsheets/d/1MjHtlUikwobi2MaWJgy7tfLeBmhj1u-dRFRs_8GwSoA/edit#gid=0"",""Gestores Escolares!D7:J""),3,0),""VERIFICAR CÓD SEC"")"),"WENDEL COSTA DA SILVA")</f>
        <v>WENDEL COSTA DA SILVA</v>
      </c>
      <c r="N1556" s="82" t="str">
        <f>IFERROR(__xludf.DUMMYFUNCTION("IFERROR(VLOOKUP(D1556,
IMPORTRANGE(""https://docs.google.com/spreadsheets/d/1MjHtlUikwobi2MaWJgy7tfLeBmhj1u-dRFRs_8GwSoA/edit#gid=0"",""Gestores Escolares!D7:J""),4,0),""VERIFICAR CÓD SEC"")"),"(71) 9 8762-2342/9 8131-3661/9 9658-4879")</f>
        <v>(71) 9 8762-2342/9 8131-3661/9 9658-4879</v>
      </c>
      <c r="O1556" s="82" t="str">
        <f>IFERROR(__xludf.DUMMYFUNCTION("IFERROR(VLOOKUP(D1556,
IMPORTRANGE(""https://docs.google.com/spreadsheets/d/1MjHtlUikwobi2MaWJgy7tfLeBmhj1u-dRFRs_8GwSoA/edit#gid=0"",""Gestores Escolares!D7:J""),6,0),""VERIFICAR CÓD SEC"")"),"CARLOS ALBERTO ARAGÃO ALVES")</f>
        <v>CARLOS ALBERTO ARAGÃO ALVES</v>
      </c>
      <c r="P1556" s="82" t="str">
        <f>IFERROR(__xludf.DUMMYFUNCTION("IFERROR(VLOOKUP(D1556,
IMPORTRANGE(""https://docs.google.com/spreadsheets/d/1MjHtlUikwobi2MaWJgy7tfLeBmhj1u-dRFRs_8GwSoA/edit#gid=0"",""Gestores Escolares!D7:J""),7,0),""VERIFICAR CÓD SEC"")"),"(71) 9 9712-0203 ")</f>
        <v>(71) 9 9712-0203 </v>
      </c>
      <c r="Q1556" s="82" t="str">
        <f>IFERROR(__xludf.DUMMYFUNCTION("IFERROR(VLOOKUP(D1556,
IMPORTRANGE(""https://docs.google.com/spreadsheets/d/1MjHtlUikwobi2MaWJgy7tfLeBmhj1u-dRFRs_8GwSoA/edit#gid=0"",""Gestores Escolares!D7:m""),9,0),""VERIFICAR CÓD SEC"")"),"CARLA MARIA NEVES ELEUTERIO BORGES")</f>
        <v>CARLA MARIA NEVES ELEUTERIO BORGES</v>
      </c>
      <c r="R1556" s="82" t="str">
        <f>IFERROR(__xludf.DUMMYFUNCTION("IFERROR(VLOOKUP(D1556,
IMPORTRANGE(""https://docs.google.com/spreadsheets/d/1MjHtlUikwobi2MaWJgy7tfLeBmhj1u-dRFRs_8GwSoA/edit#gid=0"",""Gestores Escolares!D7:m""),10,0),""VERIFICAR CÓD SEC"")"),"(71) 9 9926-9862")</f>
        <v>(71) 9 9926-9862</v>
      </c>
      <c r="S1556" s="82"/>
      <c r="T1556" s="138">
        <v>13.0</v>
      </c>
      <c r="U1556" s="152">
        <v>13.0</v>
      </c>
      <c r="V1556" s="106">
        <v>0.0</v>
      </c>
      <c r="W1556" s="107">
        <v>0.0</v>
      </c>
      <c r="X1556" s="107">
        <v>0.0</v>
      </c>
      <c r="Y1556" s="107">
        <v>0.0</v>
      </c>
      <c r="Z1556" s="80">
        <f t="shared" si="1"/>
        <v>0</v>
      </c>
      <c r="AA1556" s="106">
        <v>0.0</v>
      </c>
      <c r="AB1556" s="107">
        <v>0.0</v>
      </c>
      <c r="AC1556" s="107">
        <v>0.0</v>
      </c>
      <c r="AD1556" s="107">
        <v>0.0</v>
      </c>
      <c r="AE1556" s="80">
        <f t="shared" si="2"/>
        <v>0</v>
      </c>
      <c r="AF1556" s="140">
        <v>150.0</v>
      </c>
      <c r="AG1556" s="109">
        <v>0.0</v>
      </c>
      <c r="AH1556" s="109">
        <v>0.0</v>
      </c>
      <c r="AI1556" s="141">
        <v>195.0</v>
      </c>
      <c r="AJ1556" s="80">
        <f t="shared" si="3"/>
        <v>345</v>
      </c>
      <c r="AK1556" s="140">
        <v>0.0</v>
      </c>
      <c r="AL1556" s="109">
        <v>0.0</v>
      </c>
      <c r="AM1556" s="141">
        <v>0.0</v>
      </c>
      <c r="AN1556" s="80">
        <f t="shared" si="4"/>
        <v>0</v>
      </c>
      <c r="AO1556" s="140">
        <v>0.0</v>
      </c>
      <c r="AP1556" s="109">
        <v>0.0</v>
      </c>
      <c r="AQ1556" s="109">
        <v>127.0</v>
      </c>
      <c r="AR1556" s="80">
        <f t="shared" si="5"/>
        <v>127</v>
      </c>
      <c r="AS1556" s="110">
        <v>0.0</v>
      </c>
      <c r="AT1556" s="110">
        <v>0.0</v>
      </c>
      <c r="AU1556" s="110">
        <v>0.0</v>
      </c>
      <c r="AV1556" s="142">
        <v>0.0</v>
      </c>
      <c r="AW1556" s="80">
        <f t="shared" si="6"/>
        <v>0</v>
      </c>
      <c r="AX1556" s="113">
        <f t="shared" si="7"/>
        <v>472</v>
      </c>
      <c r="AY1556" s="117">
        <f t="shared" si="8"/>
        <v>345</v>
      </c>
      <c r="AZ1556" s="120">
        <f t="shared" si="9"/>
        <v>127</v>
      </c>
      <c r="BA1556" s="115">
        <v>2.0</v>
      </c>
      <c r="BB1556" s="89">
        <f t="shared" si="10"/>
        <v>474</v>
      </c>
      <c r="BC1556" s="132" t="s">
        <v>178</v>
      </c>
      <c r="BD1556" s="132" t="s">
        <v>178</v>
      </c>
      <c r="BE1556" s="132" t="s">
        <v>178</v>
      </c>
      <c r="BF1556" s="156"/>
      <c r="BG1556" s="83">
        <v>1175280.0</v>
      </c>
      <c r="BH1556" s="137" t="s">
        <v>8739</v>
      </c>
      <c r="BI1556" s="112">
        <v>13.0</v>
      </c>
      <c r="BJ1556" s="98" t="s">
        <v>155</v>
      </c>
      <c r="BK1556" s="99">
        <f t="shared" si="11"/>
        <v>195</v>
      </c>
      <c r="BL1556" s="99">
        <f t="shared" si="12"/>
        <v>150</v>
      </c>
      <c r="BM1556" s="99" t="str">
        <f>IFERROR(__xludf.DUMMYFUNCTION("IFERROR(VLOOKUP(BG1556,IMPORTRANGE(""https://docs.google.com/spreadsheets/d/1juPI-Fb8LD0YtltB2mlGEnp_R3UVu1t3wSFPzgCyHXE/edit?gid=0#gid=0"",""GERAL!A2:C""),3,0),""-"")"),"-")</f>
        <v>-</v>
      </c>
    </row>
    <row r="1557" ht="15.75" customHeight="1">
      <c r="A1557" s="111" t="s">
        <v>1785</v>
      </c>
      <c r="B1557" s="83" t="s">
        <v>1994</v>
      </c>
      <c r="C1557" s="83" t="s">
        <v>68</v>
      </c>
      <c r="D1557" s="112">
        <v>1141939.0</v>
      </c>
      <c r="E1557" s="83"/>
      <c r="F1557" s="83">
        <v>2.9192293E7</v>
      </c>
      <c r="G1557" s="119" t="s">
        <v>8740</v>
      </c>
      <c r="H1557" s="91" t="s">
        <v>8741</v>
      </c>
      <c r="I1557" s="83" t="s">
        <v>8382</v>
      </c>
      <c r="J1557" s="83" t="s">
        <v>150</v>
      </c>
      <c r="K1557" s="83" t="s">
        <v>151</v>
      </c>
      <c r="L1557" s="83" t="s">
        <v>152</v>
      </c>
      <c r="M1557" s="82" t="str">
        <f>IFERROR(__xludf.DUMMYFUNCTION("IFERROR(VLOOKUP(D1557,
IMPORTRANGE(""https://docs.google.com/spreadsheets/d/1MjHtlUikwobi2MaWJgy7tfLeBmhj1u-dRFRs_8GwSoA/edit#gid=0"",""Gestores Escolares!D7:J""),3,0),""VERIFICAR CÓD SEC"")"),"JEANA LEMOS DE OLIVEIRA")</f>
        <v>JEANA LEMOS DE OLIVEIRA</v>
      </c>
      <c r="N1557" s="82" t="str">
        <f>IFERROR(__xludf.DUMMYFUNCTION("IFERROR(VLOOKUP(D1557,
IMPORTRANGE(""https://docs.google.com/spreadsheets/d/1MjHtlUikwobi2MaWJgy7tfLeBmhj1u-dRFRs_8GwSoA/edit#gid=0"",""Gestores Escolares!D7:J""),4,0),""VERIFICAR CÓD SEC"")"),"(71) 9 8819-5502")</f>
        <v>(71) 9 8819-5502</v>
      </c>
      <c r="O1557" s="82" t="str">
        <f>IFERROR(__xludf.DUMMYFUNCTION("IFERROR(VLOOKUP(D1557,
IMPORTRANGE(""https://docs.google.com/spreadsheets/d/1MjHtlUikwobi2MaWJgy7tfLeBmhj1u-dRFRs_8GwSoA/edit#gid=0"",""Gestores Escolares!D7:J""),6,0),""VERIFICAR CÓD SEC"")"),"LEONARDO SACRAMENTO CANCISSU")</f>
        <v>LEONARDO SACRAMENTO CANCISSU</v>
      </c>
      <c r="P1557" s="82" t="str">
        <f>IFERROR(__xludf.DUMMYFUNCTION("IFERROR(VLOOKUP(D1557,
IMPORTRANGE(""https://docs.google.com/spreadsheets/d/1MjHtlUikwobi2MaWJgy7tfLeBmhj1u-dRFRs_8GwSoA/edit#gid=0"",""Gestores Escolares!D7:J""),7,0),""VERIFICAR CÓD SEC"")"),"(71) 9 9185-8755")</f>
        <v>(71) 9 9185-8755</v>
      </c>
      <c r="Q1557" s="82" t="str">
        <f>IFERROR(__xludf.DUMMYFUNCTION("IFERROR(VLOOKUP(D1557,
IMPORTRANGE(""https://docs.google.com/spreadsheets/d/1MjHtlUikwobi2MaWJgy7tfLeBmhj1u-dRFRs_8GwSoA/edit#gid=0"",""Gestores Escolares!D7:m""),9,0),""VERIFICAR CÓD SEC"")"),"CRISTIANO ALVES COSTA")</f>
        <v>CRISTIANO ALVES COSTA</v>
      </c>
      <c r="R1557" s="82" t="str">
        <f>IFERROR(__xludf.DUMMYFUNCTION("IFERROR(VLOOKUP(D1557,
IMPORTRANGE(""https://docs.google.com/spreadsheets/d/1MjHtlUikwobi2MaWJgy7tfLeBmhj1u-dRFRs_8GwSoA/edit#gid=0"",""Gestores Escolares!D7:m""),10,0),""VERIFICAR CÓD SEC"")"),"(71) 9 9624-0765")</f>
        <v>(71) 9 9624-0765</v>
      </c>
      <c r="S1557" s="82"/>
      <c r="T1557" s="138">
        <v>17.0</v>
      </c>
      <c r="U1557" s="152">
        <v>17.0</v>
      </c>
      <c r="V1557" s="106">
        <v>0.0</v>
      </c>
      <c r="W1557" s="107">
        <v>0.0</v>
      </c>
      <c r="X1557" s="107">
        <v>0.0</v>
      </c>
      <c r="Y1557" s="107">
        <v>0.0</v>
      </c>
      <c r="Z1557" s="80">
        <f t="shared" si="1"/>
        <v>0</v>
      </c>
      <c r="AA1557" s="106">
        <v>186.0</v>
      </c>
      <c r="AB1557" s="107">
        <v>140.0</v>
      </c>
      <c r="AC1557" s="107">
        <v>0.0</v>
      </c>
      <c r="AD1557" s="107">
        <v>0.0</v>
      </c>
      <c r="AE1557" s="80">
        <f t="shared" si="2"/>
        <v>326</v>
      </c>
      <c r="AF1557" s="140">
        <v>219.0</v>
      </c>
      <c r="AG1557" s="109">
        <v>178.0</v>
      </c>
      <c r="AH1557" s="109">
        <v>0.0</v>
      </c>
      <c r="AI1557" s="141">
        <v>72.0</v>
      </c>
      <c r="AJ1557" s="80">
        <f t="shared" si="3"/>
        <v>469</v>
      </c>
      <c r="AK1557" s="140">
        <v>0.0</v>
      </c>
      <c r="AL1557" s="109">
        <v>0.0</v>
      </c>
      <c r="AM1557" s="141">
        <v>0.0</v>
      </c>
      <c r="AN1557" s="80">
        <f t="shared" si="4"/>
        <v>0</v>
      </c>
      <c r="AO1557" s="140">
        <v>0.0</v>
      </c>
      <c r="AP1557" s="109">
        <v>0.0</v>
      </c>
      <c r="AQ1557" s="109">
        <v>119.0</v>
      </c>
      <c r="AR1557" s="80">
        <f t="shared" si="5"/>
        <v>119</v>
      </c>
      <c r="AS1557" s="110">
        <v>0.0</v>
      </c>
      <c r="AT1557" s="110">
        <v>0.0</v>
      </c>
      <c r="AU1557" s="110">
        <v>20.0</v>
      </c>
      <c r="AV1557" s="142">
        <v>34.0</v>
      </c>
      <c r="AW1557" s="80">
        <f t="shared" si="6"/>
        <v>54</v>
      </c>
      <c r="AX1557" s="113">
        <f t="shared" si="7"/>
        <v>968</v>
      </c>
      <c r="AY1557" s="117">
        <f t="shared" si="8"/>
        <v>829</v>
      </c>
      <c r="AZ1557" s="120">
        <f t="shared" si="9"/>
        <v>139</v>
      </c>
      <c r="BA1557" s="115">
        <v>1.0</v>
      </c>
      <c r="BB1557" s="89">
        <f t="shared" si="10"/>
        <v>969</v>
      </c>
      <c r="BC1557" s="132" t="s">
        <v>178</v>
      </c>
      <c r="BD1557" s="132" t="s">
        <v>178</v>
      </c>
      <c r="BE1557" s="132" t="s">
        <v>178</v>
      </c>
      <c r="BF1557" s="156"/>
      <c r="BG1557" s="83">
        <v>1141939.0</v>
      </c>
      <c r="BH1557" s="137" t="s">
        <v>8742</v>
      </c>
      <c r="BI1557" s="112">
        <v>17.0</v>
      </c>
      <c r="BJ1557" s="98" t="s">
        <v>155</v>
      </c>
      <c r="BK1557" s="99">
        <f t="shared" si="11"/>
        <v>106</v>
      </c>
      <c r="BL1557" s="99">
        <f t="shared" si="12"/>
        <v>723</v>
      </c>
      <c r="BM1557" s="99" t="str">
        <f>IFERROR(__xludf.DUMMYFUNCTION("IFERROR(VLOOKUP(BG1557,IMPORTRANGE(""https://docs.google.com/spreadsheets/d/1juPI-Fb8LD0YtltB2mlGEnp_R3UVu1t3wSFPzgCyHXE/edit?gid=0#gid=0"",""GERAL!A2:C""),3,0),""-"")"),"-")</f>
        <v>-</v>
      </c>
    </row>
    <row r="1558" ht="15.75" customHeight="1">
      <c r="A1558" s="111" t="s">
        <v>1785</v>
      </c>
      <c r="B1558" s="83" t="s">
        <v>1994</v>
      </c>
      <c r="C1558" s="83" t="s">
        <v>68</v>
      </c>
      <c r="D1558" s="112">
        <v>1103786.0</v>
      </c>
      <c r="E1558" s="83"/>
      <c r="F1558" s="83">
        <v>2.9181496E7</v>
      </c>
      <c r="G1558" s="119" t="s">
        <v>8743</v>
      </c>
      <c r="H1558" s="91" t="s">
        <v>8744</v>
      </c>
      <c r="I1558" s="83" t="s">
        <v>8133</v>
      </c>
      <c r="J1558" s="83" t="s">
        <v>150</v>
      </c>
      <c r="K1558" s="83" t="s">
        <v>151</v>
      </c>
      <c r="L1558" s="83" t="s">
        <v>230</v>
      </c>
      <c r="M1558" s="82" t="str">
        <f>IFERROR(__xludf.DUMMYFUNCTION("IFERROR(VLOOKUP(D1558,
IMPORTRANGE(""https://docs.google.com/spreadsheets/d/1MjHtlUikwobi2MaWJgy7tfLeBmhj1u-dRFRs_8GwSoA/edit#gid=0"",""Gestores Escolares!D7:J""),3,0),""VERIFICAR CÓD SEC"")"),"ADSON MORADILLO DA SILVA")</f>
        <v>ADSON MORADILLO DA SILVA</v>
      </c>
      <c r="N1558" s="82" t="str">
        <f>IFERROR(__xludf.DUMMYFUNCTION("IFERROR(VLOOKUP(D1558,
IMPORTRANGE(""https://docs.google.com/spreadsheets/d/1MjHtlUikwobi2MaWJgy7tfLeBmhj1u-dRFRs_8GwSoA/edit#gid=0"",""Gestores Escolares!D7:J""),4,0),""VERIFICAR CÓD SEC"")"),"(71) 9 8215-2245")</f>
        <v>(71) 9 8215-2245</v>
      </c>
      <c r="O1558" s="82" t="str">
        <f>IFERROR(__xludf.DUMMYFUNCTION("IFERROR(VLOOKUP(D1558,
IMPORTRANGE(""https://docs.google.com/spreadsheets/d/1MjHtlUikwobi2MaWJgy7tfLeBmhj1u-dRFRs_8GwSoA/edit#gid=0"",""Gestores Escolares!D7:J""),6,0),""VERIFICAR CÓD SEC"")"),"WLADICLECIO REGIS DOS SANTOS")</f>
        <v>WLADICLECIO REGIS DOS SANTOS</v>
      </c>
      <c r="P1558" s="82" t="str">
        <f>IFERROR(__xludf.DUMMYFUNCTION("IFERROR(VLOOKUP(D1558,
IMPORTRANGE(""https://docs.google.com/spreadsheets/d/1MjHtlUikwobi2MaWJgy7tfLeBmhj1u-dRFRs_8GwSoA/edit#gid=0"",""Gestores Escolares!D7:J""),7,0),""VERIFICAR CÓD SEC"")"),"(71) 9 9236-3919/ 9 8895-5192")</f>
        <v>(71) 9 9236-3919/ 9 8895-5192</v>
      </c>
      <c r="Q1558" s="82" t="str">
        <f>IFERROR(__xludf.DUMMYFUNCTION("IFERROR(VLOOKUP(D1558,
IMPORTRANGE(""https://docs.google.com/spreadsheets/d/1MjHtlUikwobi2MaWJgy7tfLeBmhj1u-dRFRs_8GwSoA/edit#gid=0"",""Gestores Escolares!D7:m""),9,0),""VERIFICAR CÓD SEC"")"),"JOSÉ DOMINGOS DE OLIVEIRA NETTO")</f>
        <v>JOSÉ DOMINGOS DE OLIVEIRA NETTO</v>
      </c>
      <c r="R1558" s="82" t="str">
        <f>IFERROR(__xludf.DUMMYFUNCTION("IFERROR(VLOOKUP(D1558,
IMPORTRANGE(""https://docs.google.com/spreadsheets/d/1MjHtlUikwobi2MaWJgy7tfLeBmhj1u-dRFRs_8GwSoA/edit#gid=0"",""Gestores Escolares!D7:m""),10,0),""VERIFICAR CÓD SEC"")"),"(71) 9 9968-0050/ 3272-0520")</f>
        <v>(71) 9 9968-0050/ 3272-0520</v>
      </c>
      <c r="S1558" s="82"/>
      <c r="T1558" s="138">
        <v>24.0</v>
      </c>
      <c r="U1558" s="145">
        <v>26.0</v>
      </c>
      <c r="V1558" s="106">
        <v>0.0</v>
      </c>
      <c r="W1558" s="107">
        <v>0.0</v>
      </c>
      <c r="X1558" s="107">
        <v>0.0</v>
      </c>
      <c r="Y1558" s="107">
        <v>0.0</v>
      </c>
      <c r="Z1558" s="80">
        <f t="shared" si="1"/>
        <v>0</v>
      </c>
      <c r="AA1558" s="106">
        <v>0.0</v>
      </c>
      <c r="AB1558" s="107">
        <v>0.0</v>
      </c>
      <c r="AC1558" s="107">
        <v>0.0</v>
      </c>
      <c r="AD1558" s="107">
        <v>0.0</v>
      </c>
      <c r="AE1558" s="80">
        <f t="shared" si="2"/>
        <v>0</v>
      </c>
      <c r="AF1558" s="140">
        <v>505.0</v>
      </c>
      <c r="AG1558" s="109">
        <v>203.0</v>
      </c>
      <c r="AH1558" s="109">
        <v>0.0</v>
      </c>
      <c r="AI1558" s="141">
        <v>90.0</v>
      </c>
      <c r="AJ1558" s="80">
        <f t="shared" si="3"/>
        <v>798</v>
      </c>
      <c r="AK1558" s="140">
        <v>0.0</v>
      </c>
      <c r="AL1558" s="109">
        <v>0.0</v>
      </c>
      <c r="AM1558" s="141">
        <v>0.0</v>
      </c>
      <c r="AN1558" s="80">
        <f t="shared" si="4"/>
        <v>0</v>
      </c>
      <c r="AO1558" s="140">
        <v>0.0</v>
      </c>
      <c r="AP1558" s="109">
        <v>0.0</v>
      </c>
      <c r="AQ1558" s="109">
        <v>182.0</v>
      </c>
      <c r="AR1558" s="80">
        <f t="shared" si="5"/>
        <v>182</v>
      </c>
      <c r="AS1558" s="110">
        <v>140.0</v>
      </c>
      <c r="AT1558" s="110">
        <v>22.0</v>
      </c>
      <c r="AU1558" s="110">
        <v>219.0</v>
      </c>
      <c r="AV1558" s="142">
        <v>161.0</v>
      </c>
      <c r="AW1558" s="80">
        <f t="shared" si="6"/>
        <v>542</v>
      </c>
      <c r="AX1558" s="113">
        <f t="shared" si="7"/>
        <v>1522</v>
      </c>
      <c r="AY1558" s="117">
        <f t="shared" si="8"/>
        <v>1121</v>
      </c>
      <c r="AZ1558" s="120">
        <f t="shared" si="9"/>
        <v>401</v>
      </c>
      <c r="BA1558" s="115">
        <v>2.0</v>
      </c>
      <c r="BB1558" s="89">
        <f t="shared" si="10"/>
        <v>1524</v>
      </c>
      <c r="BC1558" s="132" t="s">
        <v>178</v>
      </c>
      <c r="BD1558" s="132" t="s">
        <v>178</v>
      </c>
      <c r="BE1558" s="132" t="s">
        <v>178</v>
      </c>
      <c r="BF1558" s="123"/>
      <c r="BG1558" s="83">
        <v>1103786.0</v>
      </c>
      <c r="BH1558" s="171" t="s">
        <v>8745</v>
      </c>
      <c r="BI1558" s="112">
        <v>28.0</v>
      </c>
      <c r="BJ1558" s="98" t="s">
        <v>155</v>
      </c>
      <c r="BK1558" s="99">
        <f t="shared" si="11"/>
        <v>251</v>
      </c>
      <c r="BL1558" s="99">
        <f t="shared" si="12"/>
        <v>870</v>
      </c>
      <c r="BM1558" s="99" t="str">
        <f>IFERROR(__xludf.DUMMYFUNCTION("IFERROR(VLOOKUP(BG1558,IMPORTRANGE(""https://docs.google.com/spreadsheets/d/1juPI-Fb8LD0YtltB2mlGEnp_R3UVu1t3wSFPzgCyHXE/edit?gid=0#gid=0"",""GERAL!A2:C""),3,0),""-"")"),"-")</f>
        <v>-</v>
      </c>
    </row>
    <row r="1559" ht="15.75" customHeight="1">
      <c r="A1559" s="111" t="s">
        <v>1785</v>
      </c>
      <c r="B1559" s="83" t="s">
        <v>1994</v>
      </c>
      <c r="C1559" s="83" t="s">
        <v>68</v>
      </c>
      <c r="D1559" s="112">
        <v>1102992.0</v>
      </c>
      <c r="E1559" s="83"/>
      <c r="F1559" s="83">
        <v>2.9182158E7</v>
      </c>
      <c r="G1559" s="119" t="s">
        <v>8746</v>
      </c>
      <c r="H1559" s="91" t="s">
        <v>8747</v>
      </c>
      <c r="I1559" s="83" t="s">
        <v>8204</v>
      </c>
      <c r="J1559" s="83" t="s">
        <v>150</v>
      </c>
      <c r="K1559" s="83" t="s">
        <v>151</v>
      </c>
      <c r="L1559" s="83" t="s">
        <v>152</v>
      </c>
      <c r="M1559" s="82" t="str">
        <f>IFERROR(__xludf.DUMMYFUNCTION("IFERROR(VLOOKUP(D1559,
IMPORTRANGE(""https://docs.google.com/spreadsheets/d/1MjHtlUikwobi2MaWJgy7tfLeBmhj1u-dRFRs_8GwSoA/edit#gid=0"",""Gestores Escolares!D7:J""),3,0),""VERIFICAR CÓD SEC"")"),"ANA RITA SILVA")</f>
        <v>ANA RITA SILVA</v>
      </c>
      <c r="N1559" s="82" t="str">
        <f>IFERROR(__xludf.DUMMYFUNCTION("IFERROR(VLOOKUP(D1559,
IMPORTRANGE(""https://docs.google.com/spreadsheets/d/1MjHtlUikwobi2MaWJgy7tfLeBmhj1u-dRFRs_8GwSoA/edit#gid=0"",""Gestores Escolares!D7:J""),4,0),""VERIFICAR CÓD SEC"")"),"(71) 9 8875-3634")</f>
        <v>(71) 9 8875-3634</v>
      </c>
      <c r="O1559" s="82" t="str">
        <f>IFERROR(__xludf.DUMMYFUNCTION("IFERROR(VLOOKUP(D1559,
IMPORTRANGE(""https://docs.google.com/spreadsheets/d/1MjHtlUikwobi2MaWJgy7tfLeBmhj1u-dRFRs_8GwSoA/edit#gid=0"",""Gestores Escolares!D7:J""),6,0),""VERIFICAR CÓD SEC"")"),"LUCIENE PINTO DA ROCHA JUNQUEIRA AYRES")</f>
        <v>LUCIENE PINTO DA ROCHA JUNQUEIRA AYRES</v>
      </c>
      <c r="P1559" s="82" t="str">
        <f>IFERROR(__xludf.DUMMYFUNCTION("IFERROR(VLOOKUP(D1559,
IMPORTRANGE(""https://docs.google.com/spreadsheets/d/1MjHtlUikwobi2MaWJgy7tfLeBmhj1u-dRFRs_8GwSoA/edit#gid=0"",""Gestores Escolares!D7:J""),7,0),""VERIFICAR CÓD SEC"")"),"(71) 9 9914-6118")</f>
        <v>(71) 9 9914-6118</v>
      </c>
      <c r="Q1559" s="82" t="str">
        <f>IFERROR(__xludf.DUMMYFUNCTION("IFERROR(VLOOKUP(D1559,
IMPORTRANGE(""https://docs.google.com/spreadsheets/d/1MjHtlUikwobi2MaWJgy7tfLeBmhj1u-dRFRs_8GwSoA/edit#gid=0"",""Gestores Escolares!D7:m""),9,0),""VERIFICAR CÓD SEC"")"),"ANDERSON TORRES MORADILLO")</f>
        <v>ANDERSON TORRES MORADILLO</v>
      </c>
      <c r="R1559" s="82" t="str">
        <f>IFERROR(__xludf.DUMMYFUNCTION("IFERROR(VLOOKUP(D1559,
IMPORTRANGE(""https://docs.google.com/spreadsheets/d/1MjHtlUikwobi2MaWJgy7tfLeBmhj1u-dRFRs_8GwSoA/edit#gid=0"",""Gestores Escolares!D7:m""),10,0),""VERIFICAR CÓD SEC"")"),"(71) 9 8362-4735")</f>
        <v>(71) 9 8362-4735</v>
      </c>
      <c r="S1559" s="82"/>
      <c r="T1559" s="138">
        <v>16.0</v>
      </c>
      <c r="U1559" s="152">
        <v>11.0</v>
      </c>
      <c r="V1559" s="106">
        <v>0.0</v>
      </c>
      <c r="W1559" s="107">
        <v>0.0</v>
      </c>
      <c r="X1559" s="107">
        <v>0.0</v>
      </c>
      <c r="Y1559" s="107">
        <v>0.0</v>
      </c>
      <c r="Z1559" s="80">
        <f t="shared" si="1"/>
        <v>0</v>
      </c>
      <c r="AA1559" s="106">
        <v>0.0</v>
      </c>
      <c r="AB1559" s="107">
        <v>0.0</v>
      </c>
      <c r="AC1559" s="107">
        <v>0.0</v>
      </c>
      <c r="AD1559" s="107">
        <v>171.0</v>
      </c>
      <c r="AE1559" s="80">
        <f t="shared" si="2"/>
        <v>171</v>
      </c>
      <c r="AF1559" s="140">
        <v>0.0</v>
      </c>
      <c r="AG1559" s="109">
        <v>0.0</v>
      </c>
      <c r="AH1559" s="109">
        <v>0.0</v>
      </c>
      <c r="AI1559" s="141">
        <v>91.0</v>
      </c>
      <c r="AJ1559" s="80">
        <f t="shared" si="3"/>
        <v>91</v>
      </c>
      <c r="AK1559" s="140">
        <v>0.0</v>
      </c>
      <c r="AL1559" s="109">
        <v>0.0</v>
      </c>
      <c r="AM1559" s="141">
        <v>0.0</v>
      </c>
      <c r="AN1559" s="80">
        <f t="shared" si="4"/>
        <v>0</v>
      </c>
      <c r="AO1559" s="140">
        <v>0.0</v>
      </c>
      <c r="AP1559" s="109">
        <v>0.0</v>
      </c>
      <c r="AQ1559" s="109">
        <v>40.0</v>
      </c>
      <c r="AR1559" s="80">
        <f t="shared" si="5"/>
        <v>40</v>
      </c>
      <c r="AS1559" s="110">
        <v>0.0</v>
      </c>
      <c r="AT1559" s="110">
        <v>0.0</v>
      </c>
      <c r="AU1559" s="110">
        <v>0.0</v>
      </c>
      <c r="AV1559" s="142">
        <v>0.0</v>
      </c>
      <c r="AW1559" s="80">
        <f t="shared" si="6"/>
        <v>0</v>
      </c>
      <c r="AX1559" s="113">
        <f t="shared" si="7"/>
        <v>302</v>
      </c>
      <c r="AY1559" s="117">
        <f t="shared" si="8"/>
        <v>262</v>
      </c>
      <c r="AZ1559" s="120">
        <f t="shared" si="9"/>
        <v>40</v>
      </c>
      <c r="BA1559" s="115">
        <v>0.0</v>
      </c>
      <c r="BB1559" s="89">
        <f t="shared" si="10"/>
        <v>302</v>
      </c>
      <c r="BC1559" s="132" t="s">
        <v>178</v>
      </c>
      <c r="BD1559" s="132" t="s">
        <v>178</v>
      </c>
      <c r="BE1559" s="132" t="s">
        <v>178</v>
      </c>
      <c r="BF1559" s="123"/>
      <c r="BG1559" s="83">
        <v>1102992.0</v>
      </c>
      <c r="BH1559" s="98" t="s">
        <v>8748</v>
      </c>
      <c r="BI1559" s="112">
        <v>11.0</v>
      </c>
      <c r="BJ1559" s="98" t="s">
        <v>155</v>
      </c>
      <c r="BK1559" s="99">
        <f t="shared" si="11"/>
        <v>262</v>
      </c>
      <c r="BL1559" s="99">
        <f t="shared" si="12"/>
        <v>0</v>
      </c>
      <c r="BM1559" s="99" t="str">
        <f>IFERROR(__xludf.DUMMYFUNCTION("IFERROR(VLOOKUP(BG1559,IMPORTRANGE(""https://docs.google.com/spreadsheets/d/1juPI-Fb8LD0YtltB2mlGEnp_R3UVu1t3wSFPzgCyHXE/edit?gid=0#gid=0"",""GERAL!A2:C""),3,0),""-"")"),"-")</f>
        <v>-</v>
      </c>
    </row>
    <row r="1560" ht="15.75" customHeight="1">
      <c r="A1560" s="111" t="s">
        <v>1785</v>
      </c>
      <c r="B1560" s="83" t="s">
        <v>1994</v>
      </c>
      <c r="C1560" s="83" t="s">
        <v>68</v>
      </c>
      <c r="D1560" s="112">
        <v>1104588.0</v>
      </c>
      <c r="E1560" s="83"/>
      <c r="F1560" s="83">
        <v>2.919184E7</v>
      </c>
      <c r="G1560" s="119" t="s">
        <v>8749</v>
      </c>
      <c r="H1560" s="91" t="s">
        <v>8750</v>
      </c>
      <c r="I1560" s="83" t="s">
        <v>8751</v>
      </c>
      <c r="J1560" s="83" t="s">
        <v>150</v>
      </c>
      <c r="K1560" s="83" t="s">
        <v>151</v>
      </c>
      <c r="L1560" s="83" t="s">
        <v>230</v>
      </c>
      <c r="M1560" s="82" t="str">
        <f>IFERROR(__xludf.DUMMYFUNCTION("IFERROR(VLOOKUP(D1560,
IMPORTRANGE(""https://docs.google.com/spreadsheets/d/1MjHtlUikwobi2MaWJgy7tfLeBmhj1u-dRFRs_8GwSoA/edit#gid=0"",""Gestores Escolares!D7:J""),3,0),""VERIFICAR CÓD SEC"")"),"FIRMINA VITERBO DE AZEVEDO")</f>
        <v>FIRMINA VITERBO DE AZEVEDO</v>
      </c>
      <c r="N1560" s="82" t="str">
        <f>IFERROR(__xludf.DUMMYFUNCTION("IFERROR(VLOOKUP(D1560,
IMPORTRANGE(""https://docs.google.com/spreadsheets/d/1MjHtlUikwobi2MaWJgy7tfLeBmhj1u-dRFRs_8GwSoA/edit#gid=0"",""Gestores Escolares!D7:J""),4,0),""VERIFICAR CÓD SEC"")"),"(71) 9 8798-4484")</f>
        <v>(71) 9 8798-4484</v>
      </c>
      <c r="O1560" s="82" t="str">
        <f>IFERROR(__xludf.DUMMYFUNCTION("IFERROR(VLOOKUP(D1560,
IMPORTRANGE(""https://docs.google.com/spreadsheets/d/1MjHtlUikwobi2MaWJgy7tfLeBmhj1u-dRFRs_8GwSoA/edit#gid=0"",""Gestores Escolares!D7:J""),6,0),""VERIFICAR CÓD SEC"")"),"ROSANE SANTOS FERREIRA")</f>
        <v>ROSANE SANTOS FERREIRA</v>
      </c>
      <c r="P1560" s="82" t="str">
        <f>IFERROR(__xludf.DUMMYFUNCTION("IFERROR(VLOOKUP(D1560,
IMPORTRANGE(""https://docs.google.com/spreadsheets/d/1MjHtlUikwobi2MaWJgy7tfLeBmhj1u-dRFRs_8GwSoA/edit#gid=0"",""Gestores Escolares!D7:J""),7,0),""VERIFICAR CÓD SEC"")"),"(71) 9 8843-5099/9 9949-1499")</f>
        <v>(71) 9 8843-5099/9 9949-1499</v>
      </c>
      <c r="Q1560" s="82" t="str">
        <f>IFERROR(__xludf.DUMMYFUNCTION("IFERROR(VLOOKUP(D1560,
IMPORTRANGE(""https://docs.google.com/spreadsheets/d/1MjHtlUikwobi2MaWJgy7tfLeBmhj1u-dRFRs_8GwSoA/edit#gid=0"",""Gestores Escolares!D7:m""),9,0),""VERIFICAR CÓD SEC"")"),"	ADRIANO RAFAEL SILVA BEZERRA")</f>
        <v>	ADRIANO RAFAEL SILVA BEZERRA</v>
      </c>
      <c r="R1560" s="82" t="str">
        <f>IFERROR(__xludf.DUMMYFUNCTION("IFERROR(VLOOKUP(D1560,
IMPORTRANGE(""https://docs.google.com/spreadsheets/d/1MjHtlUikwobi2MaWJgy7tfLeBmhj1u-dRFRs_8GwSoA/edit#gid=0"",""Gestores Escolares!D7:m""),10,0),""VERIFICAR CÓD SEC"")"),"(71) 9 9605-7922")</f>
        <v>(71) 9 9605-7922</v>
      </c>
      <c r="S1560" s="82"/>
      <c r="T1560" s="138">
        <v>25.0</v>
      </c>
      <c r="U1560" s="152">
        <v>25.0</v>
      </c>
      <c r="V1560" s="106">
        <v>0.0</v>
      </c>
      <c r="W1560" s="107">
        <v>0.0</v>
      </c>
      <c r="X1560" s="107">
        <v>0.0</v>
      </c>
      <c r="Y1560" s="107">
        <v>0.0</v>
      </c>
      <c r="Z1560" s="80">
        <f t="shared" si="1"/>
        <v>0</v>
      </c>
      <c r="AA1560" s="106">
        <v>0.0</v>
      </c>
      <c r="AB1560" s="107">
        <v>0.0</v>
      </c>
      <c r="AC1560" s="107">
        <v>0.0</v>
      </c>
      <c r="AD1560" s="107">
        <v>0.0</v>
      </c>
      <c r="AE1560" s="80">
        <f t="shared" si="2"/>
        <v>0</v>
      </c>
      <c r="AF1560" s="140">
        <v>401.0</v>
      </c>
      <c r="AG1560" s="109">
        <v>211.0</v>
      </c>
      <c r="AH1560" s="109">
        <v>0.0</v>
      </c>
      <c r="AI1560" s="141">
        <v>176.0</v>
      </c>
      <c r="AJ1560" s="80">
        <f t="shared" si="3"/>
        <v>788</v>
      </c>
      <c r="AK1560" s="140">
        <v>0.0</v>
      </c>
      <c r="AL1560" s="109">
        <v>0.0</v>
      </c>
      <c r="AM1560" s="141">
        <v>0.0</v>
      </c>
      <c r="AN1560" s="80">
        <f t="shared" si="4"/>
        <v>0</v>
      </c>
      <c r="AO1560" s="140">
        <v>0.0</v>
      </c>
      <c r="AP1560" s="109">
        <v>0.0</v>
      </c>
      <c r="AQ1560" s="109">
        <v>53.0</v>
      </c>
      <c r="AR1560" s="80">
        <f t="shared" si="5"/>
        <v>53</v>
      </c>
      <c r="AS1560" s="110">
        <v>68.0</v>
      </c>
      <c r="AT1560" s="110">
        <v>251.0</v>
      </c>
      <c r="AU1560" s="110">
        <v>80.0</v>
      </c>
      <c r="AV1560" s="142">
        <v>0.0</v>
      </c>
      <c r="AW1560" s="80">
        <f t="shared" si="6"/>
        <v>399</v>
      </c>
      <c r="AX1560" s="113">
        <f t="shared" si="7"/>
        <v>1240</v>
      </c>
      <c r="AY1560" s="117">
        <f t="shared" si="8"/>
        <v>1107</v>
      </c>
      <c r="AZ1560" s="120">
        <f t="shared" si="9"/>
        <v>133</v>
      </c>
      <c r="BA1560" s="115">
        <v>4.0</v>
      </c>
      <c r="BB1560" s="89">
        <f t="shared" si="10"/>
        <v>1244</v>
      </c>
      <c r="BC1560" s="132" t="s">
        <v>178</v>
      </c>
      <c r="BD1560" s="132" t="s">
        <v>178</v>
      </c>
      <c r="BE1560" s="132" t="s">
        <v>178</v>
      </c>
      <c r="BF1560" s="123"/>
      <c r="BG1560" s="83">
        <v>1104588.0</v>
      </c>
      <c r="BH1560" s="98" t="s">
        <v>8752</v>
      </c>
      <c r="BI1560" s="112">
        <v>25.0</v>
      </c>
      <c r="BJ1560" s="98" t="s">
        <v>155</v>
      </c>
      <c r="BK1560" s="99">
        <f t="shared" si="11"/>
        <v>176</v>
      </c>
      <c r="BL1560" s="99">
        <f t="shared" si="12"/>
        <v>931</v>
      </c>
      <c r="BM1560" s="99" t="str">
        <f>IFERROR(__xludf.DUMMYFUNCTION("IFERROR(VLOOKUP(BG1560,IMPORTRANGE(""https://docs.google.com/spreadsheets/d/1juPI-Fb8LD0YtltB2mlGEnp_R3UVu1t3wSFPzgCyHXE/edit?gid=0#gid=0"",""GERAL!A2:C""),3,0),""-"")"),"-")</f>
        <v>-</v>
      </c>
    </row>
    <row r="1561" ht="15.75" customHeight="1">
      <c r="A1561" s="111" t="s">
        <v>1785</v>
      </c>
      <c r="B1561" s="83" t="s">
        <v>1994</v>
      </c>
      <c r="C1561" s="83" t="s">
        <v>68</v>
      </c>
      <c r="D1561" s="112">
        <v>1176096.0</v>
      </c>
      <c r="E1561" s="83"/>
      <c r="F1561" s="83">
        <v>2.9336708E7</v>
      </c>
      <c r="G1561" s="119" t="s">
        <v>8753</v>
      </c>
      <c r="H1561" s="91" t="s">
        <v>8754</v>
      </c>
      <c r="I1561" s="83" t="s">
        <v>8755</v>
      </c>
      <c r="J1561" s="83" t="s">
        <v>150</v>
      </c>
      <c r="K1561" s="83" t="s">
        <v>151</v>
      </c>
      <c r="L1561" s="83" t="s">
        <v>230</v>
      </c>
      <c r="M1561" s="82" t="str">
        <f>IFERROR(__xludf.DUMMYFUNCTION("IFERROR(VLOOKUP(D1561,
IMPORTRANGE(""https://docs.google.com/spreadsheets/d/1MjHtlUikwobi2MaWJgy7tfLeBmhj1u-dRFRs_8GwSoA/edit#gid=0"",""Gestores Escolares!D7:J""),3,0),""VERIFICAR CÓD SEC"")"),"IVANI ALMEIDA TELES DA SILVA")</f>
        <v>IVANI ALMEIDA TELES DA SILVA</v>
      </c>
      <c r="N1561" s="82" t="str">
        <f>IFERROR(__xludf.DUMMYFUNCTION("IFERROR(VLOOKUP(D1561,
IMPORTRANGE(""https://docs.google.com/spreadsheets/d/1MjHtlUikwobi2MaWJgy7tfLeBmhj1u-dRFRs_8GwSoA/edit#gid=0"",""Gestores Escolares!D7:J""),4,0),""VERIFICAR CÓD SEC"")"),"(71) 9 8722-4877/9 9143-6388")</f>
        <v>(71) 9 8722-4877/9 9143-6388</v>
      </c>
      <c r="O1561" s="82" t="str">
        <f>IFERROR(__xludf.DUMMYFUNCTION("IFERROR(VLOOKUP(D1561,
IMPORTRANGE(""https://docs.google.com/spreadsheets/d/1MjHtlUikwobi2MaWJgy7tfLeBmhj1u-dRFRs_8GwSoA/edit#gid=0"",""Gestores Escolares!D7:J""),6,0),""VERIFICAR CÓD SEC"")"),"MARTA ANDRÉA DA S. PACHECO GOMES")</f>
        <v>MARTA ANDRÉA DA S. PACHECO GOMES</v>
      </c>
      <c r="P1561" s="82" t="str">
        <f>IFERROR(__xludf.DUMMYFUNCTION("IFERROR(VLOOKUP(D1561,
IMPORTRANGE(""https://docs.google.com/spreadsheets/d/1MjHtlUikwobi2MaWJgy7tfLeBmhj1u-dRFRs_8GwSoA/edit#gid=0"",""Gestores Escolares!D7:J""),7,0),""VERIFICAR CÓD SEC"")"),"(71) 9 8807-8749")</f>
        <v>(71) 9 8807-8749</v>
      </c>
      <c r="Q1561" s="82" t="str">
        <f>IFERROR(__xludf.DUMMYFUNCTION("IFERROR(VLOOKUP(D1561,
IMPORTRANGE(""https://docs.google.com/spreadsheets/d/1MjHtlUikwobi2MaWJgy7tfLeBmhj1u-dRFRs_8GwSoA/edit#gid=0"",""Gestores Escolares!D7:m""),9,0),""VERIFICAR CÓD SEC"")"),"CLERIVALDO DE SOUSA SANTOS")</f>
        <v>CLERIVALDO DE SOUSA SANTOS</v>
      </c>
      <c r="R1561" s="82" t="str">
        <f>IFERROR(__xludf.DUMMYFUNCTION("IFERROR(VLOOKUP(D1561,
IMPORTRANGE(""https://docs.google.com/spreadsheets/d/1MjHtlUikwobi2MaWJgy7tfLeBmhj1u-dRFRs_8GwSoA/edit#gid=0"",""Gestores Escolares!D7:m""),10,0),""VERIFICAR CÓD SEC"")"),"(71) 9 8878-9205")</f>
        <v>(71) 9 8878-9205</v>
      </c>
      <c r="S1561" s="82"/>
      <c r="T1561" s="138">
        <v>21.0</v>
      </c>
      <c r="U1561" s="152">
        <v>21.0</v>
      </c>
      <c r="V1561" s="106">
        <v>0.0</v>
      </c>
      <c r="W1561" s="107">
        <v>0.0</v>
      </c>
      <c r="X1561" s="107">
        <v>0.0</v>
      </c>
      <c r="Y1561" s="107">
        <v>0.0</v>
      </c>
      <c r="Z1561" s="80">
        <f t="shared" si="1"/>
        <v>0</v>
      </c>
      <c r="AA1561" s="106">
        <v>79.0</v>
      </c>
      <c r="AB1561" s="107">
        <v>754.0</v>
      </c>
      <c r="AC1561" s="107">
        <v>0.0</v>
      </c>
      <c r="AD1561" s="107">
        <v>0.0</v>
      </c>
      <c r="AE1561" s="80">
        <f t="shared" si="2"/>
        <v>833</v>
      </c>
      <c r="AF1561" s="140">
        <v>703.0</v>
      </c>
      <c r="AG1561" s="109">
        <v>0.0</v>
      </c>
      <c r="AH1561" s="109">
        <v>0.0</v>
      </c>
      <c r="AI1561" s="141">
        <v>29.0</v>
      </c>
      <c r="AJ1561" s="80">
        <f t="shared" si="3"/>
        <v>732</v>
      </c>
      <c r="AK1561" s="140">
        <v>0.0</v>
      </c>
      <c r="AL1561" s="109">
        <v>0.0</v>
      </c>
      <c r="AM1561" s="141">
        <v>55.0</v>
      </c>
      <c r="AN1561" s="80">
        <f t="shared" si="4"/>
        <v>55</v>
      </c>
      <c r="AO1561" s="140">
        <v>0.0</v>
      </c>
      <c r="AP1561" s="109">
        <v>0.0</v>
      </c>
      <c r="AQ1561" s="109">
        <v>108.0</v>
      </c>
      <c r="AR1561" s="80">
        <f t="shared" si="5"/>
        <v>108</v>
      </c>
      <c r="AS1561" s="110">
        <v>0.0</v>
      </c>
      <c r="AT1561" s="110">
        <v>0.0</v>
      </c>
      <c r="AU1561" s="110">
        <v>30.0</v>
      </c>
      <c r="AV1561" s="142">
        <v>0.0</v>
      </c>
      <c r="AW1561" s="80">
        <f t="shared" si="6"/>
        <v>30</v>
      </c>
      <c r="AX1561" s="113">
        <f t="shared" si="7"/>
        <v>1758</v>
      </c>
      <c r="AY1561" s="117">
        <f t="shared" si="8"/>
        <v>1565</v>
      </c>
      <c r="AZ1561" s="120">
        <f t="shared" si="9"/>
        <v>193</v>
      </c>
      <c r="BA1561" s="115">
        <v>0.0</v>
      </c>
      <c r="BB1561" s="89">
        <f t="shared" si="10"/>
        <v>1758</v>
      </c>
      <c r="BC1561" s="132" t="s">
        <v>178</v>
      </c>
      <c r="BD1561" s="132" t="s">
        <v>178</v>
      </c>
      <c r="BE1561" s="132" t="s">
        <v>178</v>
      </c>
      <c r="BF1561" s="156"/>
      <c r="BG1561" s="83">
        <v>1176096.0</v>
      </c>
      <c r="BH1561" s="137" t="s">
        <v>8756</v>
      </c>
      <c r="BI1561" s="112">
        <v>21.0</v>
      </c>
      <c r="BJ1561" s="98" t="s">
        <v>155</v>
      </c>
      <c r="BK1561" s="99">
        <f t="shared" si="11"/>
        <v>29</v>
      </c>
      <c r="BL1561" s="99">
        <f t="shared" si="12"/>
        <v>1536</v>
      </c>
      <c r="BM1561" s="99" t="str">
        <f>IFERROR(__xludf.DUMMYFUNCTION("IFERROR(VLOOKUP(BG1561,IMPORTRANGE(""https://docs.google.com/spreadsheets/d/1juPI-Fb8LD0YtltB2mlGEnp_R3UVu1t3wSFPzgCyHXE/edit?gid=0#gid=0"",""GERAL!A2:C""),3,0),""-"")"),"-")</f>
        <v>-</v>
      </c>
    </row>
    <row r="1562" ht="15.75" customHeight="1">
      <c r="A1562" s="111" t="s">
        <v>1785</v>
      </c>
      <c r="B1562" s="83" t="s">
        <v>1994</v>
      </c>
      <c r="C1562" s="83" t="s">
        <v>68</v>
      </c>
      <c r="D1562" s="112">
        <v>1101163.0</v>
      </c>
      <c r="E1562" s="83"/>
      <c r="F1562" s="83">
        <v>2.918049E7</v>
      </c>
      <c r="G1562" s="119" t="s">
        <v>8757</v>
      </c>
      <c r="H1562" s="91" t="s">
        <v>8758</v>
      </c>
      <c r="I1562" s="83" t="s">
        <v>8759</v>
      </c>
      <c r="J1562" s="83" t="s">
        <v>150</v>
      </c>
      <c r="K1562" s="83" t="s">
        <v>151</v>
      </c>
      <c r="L1562" s="83" t="s">
        <v>152</v>
      </c>
      <c r="M1562" s="82" t="str">
        <f>IFERROR(__xludf.DUMMYFUNCTION("IFERROR(VLOOKUP(D1562,
IMPORTRANGE(""https://docs.google.com/spreadsheets/d/1MjHtlUikwobi2MaWJgy7tfLeBmhj1u-dRFRs_8GwSoA/edit#gid=0"",""Gestores Escolares!D7:J""),3,0),""VERIFICAR CÓD SEC"")"),"JAIRO FRANCISCO DOS SANTOS")</f>
        <v>JAIRO FRANCISCO DOS SANTOS</v>
      </c>
      <c r="N1562" s="82" t="str">
        <f>IFERROR(__xludf.DUMMYFUNCTION("IFERROR(VLOOKUP(D1562,
IMPORTRANGE(""https://docs.google.com/spreadsheets/d/1MjHtlUikwobi2MaWJgy7tfLeBmhj1u-dRFRs_8GwSoA/edit#gid=0"",""Gestores Escolares!D7:J""),4,0),""VERIFICAR CÓD SEC"")"),"(71) 9 8123-9080")</f>
        <v>(71) 9 8123-9080</v>
      </c>
      <c r="O1562" s="82" t="str">
        <f>IFERROR(__xludf.DUMMYFUNCTION("IFERROR(VLOOKUP(D1562,
IMPORTRANGE(""https://docs.google.com/spreadsheets/d/1MjHtlUikwobi2MaWJgy7tfLeBmhj1u-dRFRs_8GwSoA/edit#gid=0"",""Gestores Escolares!D7:J""),6,0),""VERIFICAR CÓD SEC"")"),"ROSANA BEZERRA PIRES LIMA")</f>
        <v>ROSANA BEZERRA PIRES LIMA</v>
      </c>
      <c r="P1562" s="82" t="str">
        <f>IFERROR(__xludf.DUMMYFUNCTION("IFERROR(VLOOKUP(D1562,
IMPORTRANGE(""https://docs.google.com/spreadsheets/d/1MjHtlUikwobi2MaWJgy7tfLeBmhj1u-dRFRs_8GwSoA/edit#gid=0"",""Gestores Escolares!D7:J""),7,0),""VERIFICAR CÓD SEC"")"),"(71) 9 8784-5486/ 
9 9157-4870   ")</f>
        <v>(71) 9 8784-5486/ 
9 9157-4870   </v>
      </c>
      <c r="Q1562" s="82" t="str">
        <f>IFERROR(__xludf.DUMMYFUNCTION("IFERROR(VLOOKUP(D1562,
IMPORTRANGE(""https://docs.google.com/spreadsheets/d/1MjHtlUikwobi2MaWJgy7tfLeBmhj1u-dRFRs_8GwSoA/edit#gid=0"",""Gestores Escolares!D7:m""),9,0),""VERIFICAR CÓD SEC"")"),"MARISTELA DE SANTANA MENEZES")</f>
        <v>MARISTELA DE SANTANA MENEZES</v>
      </c>
      <c r="R1562" s="82" t="str">
        <f>IFERROR(__xludf.DUMMYFUNCTION("IFERROR(VLOOKUP(D1562,
IMPORTRANGE(""https://docs.google.com/spreadsheets/d/1MjHtlUikwobi2MaWJgy7tfLeBmhj1u-dRFRs_8GwSoA/edit#gid=0"",""Gestores Escolares!D7:m""),10,0),""VERIFICAR CÓD SEC"")"),"(71) 9 8503-6250")</f>
        <v>(71) 9 8503-6250</v>
      </c>
      <c r="S1562" s="82"/>
      <c r="T1562" s="138">
        <v>21.0</v>
      </c>
      <c r="U1562" s="152">
        <v>21.0</v>
      </c>
      <c r="V1562" s="106">
        <v>0.0</v>
      </c>
      <c r="W1562" s="107">
        <v>0.0</v>
      </c>
      <c r="X1562" s="107">
        <v>0.0</v>
      </c>
      <c r="Y1562" s="107">
        <v>0.0</v>
      </c>
      <c r="Z1562" s="80">
        <f t="shared" si="1"/>
        <v>0</v>
      </c>
      <c r="AA1562" s="106">
        <v>0.0</v>
      </c>
      <c r="AB1562" s="107">
        <v>0.0</v>
      </c>
      <c r="AC1562" s="107">
        <v>0.0</v>
      </c>
      <c r="AD1562" s="107">
        <v>0.0</v>
      </c>
      <c r="AE1562" s="80">
        <f t="shared" si="2"/>
        <v>0</v>
      </c>
      <c r="AF1562" s="140">
        <v>130.0</v>
      </c>
      <c r="AG1562" s="109">
        <v>0.0</v>
      </c>
      <c r="AH1562" s="109">
        <v>0.0</v>
      </c>
      <c r="AI1562" s="141">
        <v>90.0</v>
      </c>
      <c r="AJ1562" s="80">
        <f t="shared" si="3"/>
        <v>220</v>
      </c>
      <c r="AK1562" s="140">
        <v>0.0</v>
      </c>
      <c r="AL1562" s="109">
        <v>0.0</v>
      </c>
      <c r="AM1562" s="141">
        <v>0.0</v>
      </c>
      <c r="AN1562" s="80">
        <f t="shared" si="4"/>
        <v>0</v>
      </c>
      <c r="AO1562" s="140">
        <v>0.0</v>
      </c>
      <c r="AP1562" s="109">
        <v>0.0</v>
      </c>
      <c r="AQ1562" s="109">
        <v>61.0</v>
      </c>
      <c r="AR1562" s="80">
        <f t="shared" si="5"/>
        <v>61</v>
      </c>
      <c r="AS1562" s="110">
        <v>50.0</v>
      </c>
      <c r="AT1562" s="110">
        <v>0.0</v>
      </c>
      <c r="AU1562" s="110">
        <v>228.0</v>
      </c>
      <c r="AV1562" s="142">
        <v>0.0</v>
      </c>
      <c r="AW1562" s="80">
        <f t="shared" si="6"/>
        <v>278</v>
      </c>
      <c r="AX1562" s="113">
        <f t="shared" si="7"/>
        <v>559</v>
      </c>
      <c r="AY1562" s="117">
        <f t="shared" si="8"/>
        <v>270</v>
      </c>
      <c r="AZ1562" s="120">
        <f t="shared" si="9"/>
        <v>289</v>
      </c>
      <c r="BA1562" s="115">
        <v>1.0</v>
      </c>
      <c r="BB1562" s="89">
        <f t="shared" si="10"/>
        <v>560</v>
      </c>
      <c r="BC1562" s="132" t="s">
        <v>178</v>
      </c>
      <c r="BD1562" s="132" t="s">
        <v>178</v>
      </c>
      <c r="BE1562" s="132" t="s">
        <v>178</v>
      </c>
      <c r="BF1562" s="123"/>
      <c r="BG1562" s="83">
        <v>1101163.0</v>
      </c>
      <c r="BH1562" s="98" t="s">
        <v>8760</v>
      </c>
      <c r="BI1562" s="112">
        <v>21.0</v>
      </c>
      <c r="BJ1562" s="98" t="s">
        <v>155</v>
      </c>
      <c r="BK1562" s="99">
        <f t="shared" si="11"/>
        <v>90</v>
      </c>
      <c r="BL1562" s="99">
        <f t="shared" si="12"/>
        <v>180</v>
      </c>
      <c r="BM1562" s="99" t="str">
        <f>IFERROR(__xludf.DUMMYFUNCTION("IFERROR(VLOOKUP(BG1562,IMPORTRANGE(""https://docs.google.com/spreadsheets/d/1juPI-Fb8LD0YtltB2mlGEnp_R3UVu1t3wSFPzgCyHXE/edit?gid=0#gid=0"",""GERAL!A2:C""),3,0),""-"")"),"-")</f>
        <v>-</v>
      </c>
    </row>
    <row r="1563" ht="15.75" customHeight="1">
      <c r="A1563" s="111" t="s">
        <v>1785</v>
      </c>
      <c r="B1563" s="83" t="s">
        <v>1994</v>
      </c>
      <c r="C1563" s="83" t="s">
        <v>68</v>
      </c>
      <c r="D1563" s="112">
        <v>1101856.0</v>
      </c>
      <c r="E1563" s="83"/>
      <c r="F1563" s="83">
        <v>2.918147E7</v>
      </c>
      <c r="G1563" s="147" t="s">
        <v>5563</v>
      </c>
      <c r="H1563" s="91" t="s">
        <v>8761</v>
      </c>
      <c r="I1563" s="83" t="s">
        <v>8175</v>
      </c>
      <c r="J1563" s="136" t="s">
        <v>150</v>
      </c>
      <c r="K1563" s="83" t="s">
        <v>151</v>
      </c>
      <c r="L1563" s="83" t="s">
        <v>230</v>
      </c>
      <c r="M1563" s="82" t="str">
        <f>IFERROR(__xludf.DUMMYFUNCTION("IFERROR(VLOOKUP(D1563,
IMPORTRANGE(""https://docs.google.com/spreadsheets/d/1MjHtlUikwobi2MaWJgy7tfLeBmhj1u-dRFRs_8GwSoA/edit#gid=0"",""Gestores Escolares!D7:J""),3,0),""VERIFICAR CÓD SEC"")"),"ELIETE DOS SANTOS SILVA")</f>
        <v>ELIETE DOS SANTOS SILVA</v>
      </c>
      <c r="N1563" s="82" t="str">
        <f>IFERROR(__xludf.DUMMYFUNCTION("IFERROR(VLOOKUP(D1563,
IMPORTRANGE(""https://docs.google.com/spreadsheets/d/1MjHtlUikwobi2MaWJgy7tfLeBmhj1u-dRFRs_8GwSoA/edit#gid=0"",""Gestores Escolares!D7:J""),4,0),""VERIFICAR CÓD SEC"")"),"(71) 9 9609-6951  ")</f>
        <v>(71) 9 9609-6951  </v>
      </c>
      <c r="O1563" s="82" t="str">
        <f>IFERROR(__xludf.DUMMYFUNCTION("IFERROR(VLOOKUP(D1563,
IMPORTRANGE(""https://docs.google.com/spreadsheets/d/1MjHtlUikwobi2MaWJgy7tfLeBmhj1u-dRFRs_8GwSoA/edit#gid=0"",""Gestores Escolares!D7:J""),6,0),""VERIFICAR CÓD SEC"")"),"MARCIA EUGENIA SANTOS MEDRADO ALMEIDA")</f>
        <v>MARCIA EUGENIA SANTOS MEDRADO ALMEIDA</v>
      </c>
      <c r="P1563" s="82" t="str">
        <f>IFERROR(__xludf.DUMMYFUNCTION("IFERROR(VLOOKUP(D1563,
IMPORTRANGE(""https://docs.google.com/spreadsheets/d/1MjHtlUikwobi2MaWJgy7tfLeBmhj1u-dRFRs_8GwSoA/edit#gid=0"",""Gestores Escolares!D7:J""),7,0),""VERIFICAR CÓD SEC"")"),"(71) 9 8839-5445")</f>
        <v>(71) 9 8839-5445</v>
      </c>
      <c r="Q1563" s="82" t="str">
        <f>IFERROR(__xludf.DUMMYFUNCTION("IFERROR(VLOOKUP(D1563,
IMPORTRANGE(""https://docs.google.com/spreadsheets/d/1MjHtlUikwobi2MaWJgy7tfLeBmhj1u-dRFRs_8GwSoA/edit#gid=0"",""Gestores Escolares!D7:m""),9,0),""VERIFICAR CÓD SEC"")"),"")</f>
        <v/>
      </c>
      <c r="R1563" s="82" t="str">
        <f>IFERROR(__xludf.DUMMYFUNCTION("IFERROR(VLOOKUP(D1563,
IMPORTRANGE(""https://docs.google.com/spreadsheets/d/1MjHtlUikwobi2MaWJgy7tfLeBmhj1u-dRFRs_8GwSoA/edit#gid=0"",""Gestores Escolares!D7:m""),10,0),""VERIFICAR CÓD SEC"")"),"")</f>
        <v/>
      </c>
      <c r="S1563" s="82"/>
      <c r="T1563" s="138">
        <v>32.0</v>
      </c>
      <c r="U1563" s="152">
        <v>29.0</v>
      </c>
      <c r="V1563" s="106">
        <v>0.0</v>
      </c>
      <c r="W1563" s="107">
        <v>0.0</v>
      </c>
      <c r="X1563" s="107">
        <v>0.0</v>
      </c>
      <c r="Y1563" s="107">
        <v>0.0</v>
      </c>
      <c r="Z1563" s="80">
        <f t="shared" si="1"/>
        <v>0</v>
      </c>
      <c r="AA1563" s="106">
        <v>0.0</v>
      </c>
      <c r="AB1563" s="107">
        <v>424.0</v>
      </c>
      <c r="AC1563" s="107">
        <v>0.0</v>
      </c>
      <c r="AD1563" s="107">
        <v>33.0</v>
      </c>
      <c r="AE1563" s="80">
        <f t="shared" si="2"/>
        <v>457</v>
      </c>
      <c r="AF1563" s="140">
        <v>378.0</v>
      </c>
      <c r="AG1563" s="109">
        <v>194.0</v>
      </c>
      <c r="AH1563" s="109">
        <v>0.0</v>
      </c>
      <c r="AI1563" s="141">
        <v>0.0</v>
      </c>
      <c r="AJ1563" s="80">
        <f t="shared" si="3"/>
        <v>572</v>
      </c>
      <c r="AK1563" s="140">
        <v>0.0</v>
      </c>
      <c r="AL1563" s="109">
        <v>0.0</v>
      </c>
      <c r="AM1563" s="141">
        <v>39.0</v>
      </c>
      <c r="AN1563" s="80">
        <f t="shared" si="4"/>
        <v>39</v>
      </c>
      <c r="AO1563" s="140">
        <v>0.0</v>
      </c>
      <c r="AP1563" s="109">
        <v>0.0</v>
      </c>
      <c r="AQ1563" s="109">
        <v>210.0</v>
      </c>
      <c r="AR1563" s="80">
        <f t="shared" si="5"/>
        <v>210</v>
      </c>
      <c r="AS1563" s="110">
        <v>110.0</v>
      </c>
      <c r="AT1563" s="110">
        <v>39.0</v>
      </c>
      <c r="AU1563" s="110">
        <v>128.0</v>
      </c>
      <c r="AV1563" s="142">
        <v>0.0</v>
      </c>
      <c r="AW1563" s="80">
        <f t="shared" si="6"/>
        <v>277</v>
      </c>
      <c r="AX1563" s="113">
        <f t="shared" si="7"/>
        <v>1555</v>
      </c>
      <c r="AY1563" s="117">
        <f t="shared" si="8"/>
        <v>1178</v>
      </c>
      <c r="AZ1563" s="120">
        <f t="shared" si="9"/>
        <v>377</v>
      </c>
      <c r="BA1563" s="115">
        <v>0.0</v>
      </c>
      <c r="BB1563" s="89">
        <f t="shared" si="10"/>
        <v>1555</v>
      </c>
      <c r="BC1563" s="132" t="s">
        <v>178</v>
      </c>
      <c r="BD1563" s="132" t="s">
        <v>178</v>
      </c>
      <c r="BE1563" s="132" t="s">
        <v>178</v>
      </c>
      <c r="BF1563" s="123"/>
      <c r="BG1563" s="83">
        <v>1101856.0</v>
      </c>
      <c r="BH1563" s="98" t="s">
        <v>8762</v>
      </c>
      <c r="BI1563" s="112">
        <v>29.0</v>
      </c>
      <c r="BJ1563" s="98" t="s">
        <v>155</v>
      </c>
      <c r="BK1563" s="99">
        <f t="shared" si="11"/>
        <v>33</v>
      </c>
      <c r="BL1563" s="99">
        <f t="shared" si="12"/>
        <v>1145</v>
      </c>
      <c r="BM1563" s="99" t="str">
        <f>IFERROR(__xludf.DUMMYFUNCTION("IFERROR(VLOOKUP(BG1563,IMPORTRANGE(""https://docs.google.com/spreadsheets/d/1juPI-Fb8LD0YtltB2mlGEnp_R3UVu1t3wSFPzgCyHXE/edit?gid=0#gid=0"",""GERAL!A2:C""),3,0),""-"")"),"-")</f>
        <v>-</v>
      </c>
    </row>
    <row r="1564" ht="15.75" customHeight="1">
      <c r="A1564" s="111" t="s">
        <v>1785</v>
      </c>
      <c r="B1564" s="83" t="s">
        <v>1994</v>
      </c>
      <c r="C1564" s="83" t="s">
        <v>68</v>
      </c>
      <c r="D1564" s="112">
        <v>1100868.0</v>
      </c>
      <c r="E1564" s="83"/>
      <c r="F1564" s="83">
        <v>2.9191572E7</v>
      </c>
      <c r="G1564" s="119" t="s">
        <v>8763</v>
      </c>
      <c r="H1564" s="91" t="s">
        <v>8764</v>
      </c>
      <c r="I1564" s="83" t="s">
        <v>8609</v>
      </c>
      <c r="J1564" s="83" t="s">
        <v>150</v>
      </c>
      <c r="K1564" s="83" t="s">
        <v>151</v>
      </c>
      <c r="L1564" s="83" t="s">
        <v>152</v>
      </c>
      <c r="M1564" s="82" t="str">
        <f>IFERROR(__xludf.DUMMYFUNCTION("IFERROR(VLOOKUP(D1564,
IMPORTRANGE(""https://docs.google.com/spreadsheets/d/1MjHtlUikwobi2MaWJgy7tfLeBmhj1u-dRFRs_8GwSoA/edit#gid=0"",""Gestores Escolares!D7:J""),3,0),""VERIFICAR CÓD SEC"")"),"TARCISIO FERREIRA DE JESUS")</f>
        <v>TARCISIO FERREIRA DE JESUS</v>
      </c>
      <c r="N1564" s="82" t="str">
        <f>IFERROR(__xludf.DUMMYFUNCTION("IFERROR(VLOOKUP(D1564,
IMPORTRANGE(""https://docs.google.com/spreadsheets/d/1MjHtlUikwobi2MaWJgy7tfLeBmhj1u-dRFRs_8GwSoA/edit#gid=0"",""Gestores Escolares!D7:J""),4,0),""VERIFICAR CÓD SEC"")"),"(71) 9 8760-6639/ 9 9189-5290")</f>
        <v>(71) 9 8760-6639/ 9 9189-5290</v>
      </c>
      <c r="O1564" s="82" t="str">
        <f>IFERROR(__xludf.DUMMYFUNCTION("IFERROR(VLOOKUP(D1564,
IMPORTRANGE(""https://docs.google.com/spreadsheets/d/1MjHtlUikwobi2MaWJgy7tfLeBmhj1u-dRFRs_8GwSoA/edit#gid=0"",""Gestores Escolares!D7:J""),6,0),""VERIFICAR CÓD SEC"")"),"LUCIANA DA SILVA VIANA")</f>
        <v>LUCIANA DA SILVA VIANA</v>
      </c>
      <c r="P1564" s="82" t="str">
        <f>IFERROR(__xludf.DUMMYFUNCTION("IFERROR(VLOOKUP(D1564,
IMPORTRANGE(""https://docs.google.com/spreadsheets/d/1MjHtlUikwobi2MaWJgy7tfLeBmhj1u-dRFRs_8GwSoA/edit#gid=0"",""Gestores Escolares!D7:J""),7,0),""VERIFICAR CÓD SEC"")")," (71) 9 9947-0125")</f>
        <v> (71) 9 9947-0125</v>
      </c>
      <c r="Q1564" s="82" t="str">
        <f>IFERROR(__xludf.DUMMYFUNCTION("IFERROR(VLOOKUP(D1564,
IMPORTRANGE(""https://docs.google.com/spreadsheets/d/1MjHtlUikwobi2MaWJgy7tfLeBmhj1u-dRFRs_8GwSoA/edit#gid=0"",""Gestores Escolares!D7:m""),9,0),""VERIFICAR CÓD SEC"")"),"ANA CRISTINA SILVA DA PURIFICACAO")</f>
        <v>ANA CRISTINA SILVA DA PURIFICACAO</v>
      </c>
      <c r="R1564" s="82" t="str">
        <f>IFERROR(__xludf.DUMMYFUNCTION("IFERROR(VLOOKUP(D1564,
IMPORTRANGE(""https://docs.google.com/spreadsheets/d/1MjHtlUikwobi2MaWJgy7tfLeBmhj1u-dRFRs_8GwSoA/edit#gid=0"",""Gestores Escolares!D7:m""),10,0),""VERIFICAR CÓD SEC"")"),"(71) 9 9694-8625/9 9133-9968")</f>
        <v>(71) 9 9694-8625/9 9133-9968</v>
      </c>
      <c r="S1564" s="82"/>
      <c r="T1564" s="138">
        <v>9.0</v>
      </c>
      <c r="U1564" s="152">
        <v>8.0</v>
      </c>
      <c r="V1564" s="106">
        <v>0.0</v>
      </c>
      <c r="W1564" s="107">
        <v>0.0</v>
      </c>
      <c r="X1564" s="107">
        <v>0.0</v>
      </c>
      <c r="Y1564" s="107">
        <v>0.0</v>
      </c>
      <c r="Z1564" s="80">
        <f t="shared" si="1"/>
        <v>0</v>
      </c>
      <c r="AA1564" s="106">
        <v>186.0</v>
      </c>
      <c r="AB1564" s="107">
        <v>133.0</v>
      </c>
      <c r="AC1564" s="107">
        <v>0.0</v>
      </c>
      <c r="AD1564" s="107">
        <v>27.0</v>
      </c>
      <c r="AE1564" s="80">
        <f t="shared" si="2"/>
        <v>346</v>
      </c>
      <c r="AF1564" s="140">
        <v>0.0</v>
      </c>
      <c r="AG1564" s="109">
        <v>0.0</v>
      </c>
      <c r="AH1564" s="109">
        <v>0.0</v>
      </c>
      <c r="AI1564" s="141">
        <v>0.0</v>
      </c>
      <c r="AJ1564" s="80">
        <f t="shared" si="3"/>
        <v>0</v>
      </c>
      <c r="AK1564" s="140">
        <v>0.0</v>
      </c>
      <c r="AL1564" s="109">
        <v>0.0</v>
      </c>
      <c r="AM1564" s="141">
        <v>101.0</v>
      </c>
      <c r="AN1564" s="80">
        <f t="shared" si="4"/>
        <v>101</v>
      </c>
      <c r="AO1564" s="140">
        <v>0.0</v>
      </c>
      <c r="AP1564" s="109">
        <v>0.0</v>
      </c>
      <c r="AQ1564" s="109">
        <v>0.0</v>
      </c>
      <c r="AR1564" s="80">
        <f t="shared" si="5"/>
        <v>0</v>
      </c>
      <c r="AS1564" s="110">
        <v>0.0</v>
      </c>
      <c r="AT1564" s="110">
        <v>0.0</v>
      </c>
      <c r="AU1564" s="110">
        <v>0.0</v>
      </c>
      <c r="AV1564" s="142">
        <v>0.0</v>
      </c>
      <c r="AW1564" s="80">
        <f t="shared" si="6"/>
        <v>0</v>
      </c>
      <c r="AX1564" s="113">
        <f t="shared" si="7"/>
        <v>447</v>
      </c>
      <c r="AY1564" s="117">
        <f t="shared" si="8"/>
        <v>346</v>
      </c>
      <c r="AZ1564" s="120">
        <f t="shared" si="9"/>
        <v>101</v>
      </c>
      <c r="BA1564" s="115">
        <v>2.0</v>
      </c>
      <c r="BB1564" s="89">
        <f t="shared" si="10"/>
        <v>449</v>
      </c>
      <c r="BC1564" s="132" t="s">
        <v>178</v>
      </c>
      <c r="BD1564" s="132" t="s">
        <v>178</v>
      </c>
      <c r="BE1564" s="132" t="s">
        <v>178</v>
      </c>
      <c r="BF1564" s="123"/>
      <c r="BG1564" s="83">
        <v>1100868.0</v>
      </c>
      <c r="BH1564" s="98" t="s">
        <v>8765</v>
      </c>
      <c r="BI1564" s="112">
        <v>8.0</v>
      </c>
      <c r="BJ1564" s="98" t="s">
        <v>155</v>
      </c>
      <c r="BK1564" s="99">
        <f t="shared" si="11"/>
        <v>27</v>
      </c>
      <c r="BL1564" s="99">
        <f t="shared" si="12"/>
        <v>319</v>
      </c>
      <c r="BM1564" s="99" t="str">
        <f>IFERROR(__xludf.DUMMYFUNCTION("IFERROR(VLOOKUP(BG1564,IMPORTRANGE(""https://docs.google.com/spreadsheets/d/1juPI-Fb8LD0YtltB2mlGEnp_R3UVu1t3wSFPzgCyHXE/edit?gid=0#gid=0"",""GERAL!A2:C""),3,0),""-"")"),"-")</f>
        <v>-</v>
      </c>
    </row>
    <row r="1565" ht="15.75" customHeight="1">
      <c r="A1565" s="111" t="s">
        <v>1785</v>
      </c>
      <c r="B1565" s="83" t="s">
        <v>1994</v>
      </c>
      <c r="C1565" s="83" t="s">
        <v>68</v>
      </c>
      <c r="D1565" s="112">
        <v>1163967.0</v>
      </c>
      <c r="E1565" s="83"/>
      <c r="F1565" s="83">
        <v>2.9192137E7</v>
      </c>
      <c r="G1565" s="119" t="s">
        <v>8768</v>
      </c>
      <c r="H1565" s="91" t="s">
        <v>8769</v>
      </c>
      <c r="I1565" s="83" t="s">
        <v>8446</v>
      </c>
      <c r="J1565" s="83" t="s">
        <v>150</v>
      </c>
      <c r="K1565" s="83" t="s">
        <v>151</v>
      </c>
      <c r="L1565" s="83" t="s">
        <v>76</v>
      </c>
      <c r="M1565" s="82" t="str">
        <f>IFERROR(__xludf.DUMMYFUNCTION("IFERROR(VLOOKUP(D1565,
IMPORTRANGE(""https://docs.google.com/spreadsheets/d/1MjHtlUikwobi2MaWJgy7tfLeBmhj1u-dRFRs_8GwSoA/edit#gid=0"",""Gestores Escolares!D7:J""),3,0),""VERIFICAR CÓD SEC"")"),"CRISTIANE CUNHA LIMA SODRÉ LÉ")</f>
        <v>CRISTIANE CUNHA LIMA SODRÉ LÉ</v>
      </c>
      <c r="N1565" s="82" t="str">
        <f>IFERROR(__xludf.DUMMYFUNCTION("IFERROR(VLOOKUP(D1565,
IMPORTRANGE(""https://docs.google.com/spreadsheets/d/1MjHtlUikwobi2MaWJgy7tfLeBmhj1u-dRFRs_8GwSoA/edit#gid=0"",""Gestores Escolares!D7:J""),4,0),""VERIFICAR CÓD SEC"")"),"(71) 9 8817-3649")</f>
        <v>(71) 9 8817-3649</v>
      </c>
      <c r="O1565" s="82" t="str">
        <f>IFERROR(__xludf.DUMMYFUNCTION("IFERROR(VLOOKUP(D1565,
IMPORTRANGE(""https://docs.google.com/spreadsheets/d/1MjHtlUikwobi2MaWJgy7tfLeBmhj1u-dRFRs_8GwSoA/edit#gid=0"",""Gestores Escolares!D7:J""),6,0),""VERIFICAR CÓD SEC"")"),"VANESSA MARIA ROSA DE CARVALHO")</f>
        <v>VANESSA MARIA ROSA DE CARVALHO</v>
      </c>
      <c r="P1565" s="82" t="str">
        <f>IFERROR(__xludf.DUMMYFUNCTION("IFERROR(VLOOKUP(D1565,
IMPORTRANGE(""https://docs.google.com/spreadsheets/d/1MjHtlUikwobi2MaWJgy7tfLeBmhj1u-dRFRs_8GwSoA/edit#gid=0"",""Gestores Escolares!D7:J""),7,0),""VERIFICAR CÓD SEC"")"),"(71) 9 9375-9133")</f>
        <v>(71) 9 9375-9133</v>
      </c>
      <c r="Q1565" s="82" t="str">
        <f>IFERROR(__xludf.DUMMYFUNCTION("IFERROR(VLOOKUP(D1565,
IMPORTRANGE(""https://docs.google.com/spreadsheets/d/1MjHtlUikwobi2MaWJgy7tfLeBmhj1u-dRFRs_8GwSoA/edit#gid=0"",""Gestores Escolares!D7:m""),9,0),""VERIFICAR CÓD SEC"")"),"")</f>
        <v/>
      </c>
      <c r="R1565" s="82" t="str">
        <f>IFERROR(__xludf.DUMMYFUNCTION("IFERROR(VLOOKUP(D1565,
IMPORTRANGE(""https://docs.google.com/spreadsheets/d/1MjHtlUikwobi2MaWJgy7tfLeBmhj1u-dRFRs_8GwSoA/edit#gid=0"",""Gestores Escolares!D7:m""),10,0),""VERIFICAR CÓD SEC"")"),"")</f>
        <v/>
      </c>
      <c r="S1565" s="82"/>
      <c r="T1565" s="138">
        <v>10.0</v>
      </c>
      <c r="U1565" s="152">
        <v>10.0</v>
      </c>
      <c r="V1565" s="106">
        <v>0.0</v>
      </c>
      <c r="W1565" s="107">
        <v>0.0</v>
      </c>
      <c r="X1565" s="107">
        <v>0.0</v>
      </c>
      <c r="Y1565" s="107">
        <v>0.0</v>
      </c>
      <c r="Z1565" s="80">
        <f t="shared" si="1"/>
        <v>0</v>
      </c>
      <c r="AA1565" s="106">
        <v>0.0</v>
      </c>
      <c r="AB1565" s="107">
        <v>47.0</v>
      </c>
      <c r="AC1565" s="107">
        <v>0.0</v>
      </c>
      <c r="AD1565" s="107">
        <v>0.0</v>
      </c>
      <c r="AE1565" s="80">
        <f t="shared" si="2"/>
        <v>47</v>
      </c>
      <c r="AF1565" s="140">
        <v>163.0</v>
      </c>
      <c r="AG1565" s="109">
        <v>0.0</v>
      </c>
      <c r="AH1565" s="109">
        <v>0.0</v>
      </c>
      <c r="AI1565" s="141">
        <v>0.0</v>
      </c>
      <c r="AJ1565" s="80">
        <f t="shared" si="3"/>
        <v>163</v>
      </c>
      <c r="AK1565" s="140">
        <v>0.0</v>
      </c>
      <c r="AL1565" s="109">
        <v>0.0</v>
      </c>
      <c r="AM1565" s="141">
        <v>22.0</v>
      </c>
      <c r="AN1565" s="80">
        <f t="shared" si="4"/>
        <v>22</v>
      </c>
      <c r="AO1565" s="140">
        <v>0.0</v>
      </c>
      <c r="AP1565" s="109">
        <v>0.0</v>
      </c>
      <c r="AQ1565" s="109">
        <v>54.0</v>
      </c>
      <c r="AR1565" s="80">
        <f t="shared" si="5"/>
        <v>54</v>
      </c>
      <c r="AS1565" s="110">
        <v>0.0</v>
      </c>
      <c r="AT1565" s="110">
        <v>86.0</v>
      </c>
      <c r="AU1565" s="110">
        <v>69.0</v>
      </c>
      <c r="AV1565" s="142">
        <v>58.0</v>
      </c>
      <c r="AW1565" s="80">
        <f t="shared" si="6"/>
        <v>213</v>
      </c>
      <c r="AX1565" s="113">
        <f t="shared" si="7"/>
        <v>499</v>
      </c>
      <c r="AY1565" s="117">
        <f t="shared" si="8"/>
        <v>354</v>
      </c>
      <c r="AZ1565" s="120">
        <f t="shared" si="9"/>
        <v>145</v>
      </c>
      <c r="BA1565" s="115">
        <v>0.0</v>
      </c>
      <c r="BB1565" s="89">
        <f t="shared" si="10"/>
        <v>499</v>
      </c>
      <c r="BC1565" s="132" t="s">
        <v>178</v>
      </c>
      <c r="BD1565" s="132" t="s">
        <v>178</v>
      </c>
      <c r="BE1565" s="132" t="s">
        <v>178</v>
      </c>
      <c r="BF1565" s="156"/>
      <c r="BG1565" s="83">
        <v>1163967.0</v>
      </c>
      <c r="BH1565" s="137" t="s">
        <v>8770</v>
      </c>
      <c r="BI1565" s="112">
        <v>10.0</v>
      </c>
      <c r="BJ1565" s="98" t="s">
        <v>155</v>
      </c>
      <c r="BK1565" s="99">
        <f t="shared" si="11"/>
        <v>58</v>
      </c>
      <c r="BL1565" s="99">
        <f t="shared" si="12"/>
        <v>296</v>
      </c>
      <c r="BM1565" s="99" t="str">
        <f>IFERROR(__xludf.DUMMYFUNCTION("IFERROR(VLOOKUP(BG1565,IMPORTRANGE(""https://docs.google.com/spreadsheets/d/1juPI-Fb8LD0YtltB2mlGEnp_R3UVu1t3wSFPzgCyHXE/edit?gid=0#gid=0"",""GERAL!A2:C""),3,0),""-"")"),"-")</f>
        <v>-</v>
      </c>
    </row>
    <row r="1566" ht="15.75" customHeight="1">
      <c r="A1566" s="111" t="s">
        <v>1785</v>
      </c>
      <c r="B1566" s="83" t="s">
        <v>1994</v>
      </c>
      <c r="C1566" s="83" t="s">
        <v>68</v>
      </c>
      <c r="D1566" s="112">
        <v>1176795.0</v>
      </c>
      <c r="E1566" s="83"/>
      <c r="F1566" s="83">
        <v>2.9404282E7</v>
      </c>
      <c r="G1566" s="119" t="s">
        <v>8771</v>
      </c>
      <c r="H1566" s="91" t="s">
        <v>8772</v>
      </c>
      <c r="I1566" s="136" t="s">
        <v>8363</v>
      </c>
      <c r="J1566" s="83" t="s">
        <v>150</v>
      </c>
      <c r="K1566" s="83" t="s">
        <v>151</v>
      </c>
      <c r="L1566" s="83" t="s">
        <v>152</v>
      </c>
      <c r="M1566" s="82" t="str">
        <f>IFERROR(__xludf.DUMMYFUNCTION("IFERROR(VLOOKUP(D1566,
IMPORTRANGE(""https://docs.google.com/spreadsheets/d/1MjHtlUikwobi2MaWJgy7tfLeBmhj1u-dRFRs_8GwSoA/edit#gid=0"",""Gestores Escolares!D7:J""),3,0),""VERIFICAR CÓD SEC"")"),"ROSELENE MESQUITA DE PAULA")</f>
        <v>ROSELENE MESQUITA DE PAULA</v>
      </c>
      <c r="N1566" s="82" t="str">
        <f>IFERROR(__xludf.DUMMYFUNCTION("IFERROR(VLOOKUP(D1566,
IMPORTRANGE(""https://docs.google.com/spreadsheets/d/1MjHtlUikwobi2MaWJgy7tfLeBmhj1u-dRFRs_8GwSoA/edit#gid=0"",""Gestores Escolares!D7:J""),4,0),""VERIFICAR CÓD SEC"")")," (71) 9 9126-2044/ 
9 8886-5567")</f>
        <v> (71) 9 9126-2044/ 
9 8886-5567</v>
      </c>
      <c r="O1566" s="82" t="str">
        <f>IFERROR(__xludf.DUMMYFUNCTION("IFERROR(VLOOKUP(D1566,
IMPORTRANGE(""https://docs.google.com/spreadsheets/d/1MjHtlUikwobi2MaWJgy7tfLeBmhj1u-dRFRs_8GwSoA/edit#gid=0"",""Gestores Escolares!D7:J""),6,0),""VERIFICAR CÓD SEC"")"),"WLAMIR NASCIMENTO DOS SANTOS JUNIOR")</f>
        <v>WLAMIR NASCIMENTO DOS SANTOS JUNIOR</v>
      </c>
      <c r="P1566" s="82" t="str">
        <f>IFERROR(__xludf.DUMMYFUNCTION("IFERROR(VLOOKUP(D1566,
IMPORTRANGE(""https://docs.google.com/spreadsheets/d/1MjHtlUikwobi2MaWJgy7tfLeBmhj1u-dRFRs_8GwSoA/edit#gid=0"",""Gestores Escolares!D7:J""),7,0),""VERIFICAR CÓD SEC"")"),"(71) 9 9629-9167")</f>
        <v>(71) 9 9629-9167</v>
      </c>
      <c r="Q1566" s="82" t="str">
        <f>IFERROR(__xludf.DUMMYFUNCTION("IFERROR(VLOOKUP(D1566,
IMPORTRANGE(""https://docs.google.com/spreadsheets/d/1MjHtlUikwobi2MaWJgy7tfLeBmhj1u-dRFRs_8GwSoA/edit#gid=0"",""Gestores Escolares!D7:m""),9,0),""VERIFICAR CÓD SEC"")"),"JOSEMIR UPINHO CAETANO DO NASCIMENTO")</f>
        <v>JOSEMIR UPINHO CAETANO DO NASCIMENTO</v>
      </c>
      <c r="R1566" s="82" t="str">
        <f>IFERROR(__xludf.DUMMYFUNCTION("IFERROR(VLOOKUP(D1566,
IMPORTRANGE(""https://docs.google.com/spreadsheets/d/1MjHtlUikwobi2MaWJgy7tfLeBmhj1u-dRFRs_8GwSoA/edit#gid=0"",""Gestores Escolares!D7:m""),10,0),""VERIFICAR CÓD SEC"")"),"(71) 9 9373-3539")</f>
        <v>(71) 9 9373-3539</v>
      </c>
      <c r="S1566" s="82"/>
      <c r="T1566" s="138">
        <v>24.0</v>
      </c>
      <c r="U1566" s="152">
        <v>24.0</v>
      </c>
      <c r="V1566" s="106">
        <v>0.0</v>
      </c>
      <c r="W1566" s="107">
        <v>0.0</v>
      </c>
      <c r="X1566" s="107">
        <v>0.0</v>
      </c>
      <c r="Y1566" s="107">
        <v>0.0</v>
      </c>
      <c r="Z1566" s="80">
        <f t="shared" si="1"/>
        <v>0</v>
      </c>
      <c r="AA1566" s="106">
        <v>312.0</v>
      </c>
      <c r="AB1566" s="107">
        <v>94.0</v>
      </c>
      <c r="AC1566" s="107">
        <v>0.0</v>
      </c>
      <c r="AD1566" s="107">
        <v>232.0</v>
      </c>
      <c r="AE1566" s="80">
        <f t="shared" si="2"/>
        <v>638</v>
      </c>
      <c r="AF1566" s="140">
        <v>194.0</v>
      </c>
      <c r="AG1566" s="109">
        <v>170.0</v>
      </c>
      <c r="AH1566" s="109">
        <v>0.0</v>
      </c>
      <c r="AI1566" s="141">
        <v>0.0</v>
      </c>
      <c r="AJ1566" s="80">
        <f t="shared" si="3"/>
        <v>364</v>
      </c>
      <c r="AK1566" s="140">
        <v>0.0</v>
      </c>
      <c r="AL1566" s="109">
        <v>0.0</v>
      </c>
      <c r="AM1566" s="141">
        <v>8.0</v>
      </c>
      <c r="AN1566" s="80">
        <f t="shared" si="4"/>
        <v>8</v>
      </c>
      <c r="AO1566" s="140">
        <v>0.0</v>
      </c>
      <c r="AP1566" s="109">
        <v>0.0</v>
      </c>
      <c r="AQ1566" s="109">
        <v>26.0</v>
      </c>
      <c r="AR1566" s="80">
        <f t="shared" si="5"/>
        <v>26</v>
      </c>
      <c r="AS1566" s="110">
        <v>0.0</v>
      </c>
      <c r="AT1566" s="110">
        <v>0.0</v>
      </c>
      <c r="AU1566" s="110">
        <v>0.0</v>
      </c>
      <c r="AV1566" s="142">
        <v>0.0</v>
      </c>
      <c r="AW1566" s="80">
        <f t="shared" si="6"/>
        <v>0</v>
      </c>
      <c r="AX1566" s="113">
        <f t="shared" si="7"/>
        <v>1036</v>
      </c>
      <c r="AY1566" s="117">
        <f t="shared" si="8"/>
        <v>1002</v>
      </c>
      <c r="AZ1566" s="120">
        <f t="shared" si="9"/>
        <v>34</v>
      </c>
      <c r="BA1566" s="115">
        <v>0.0</v>
      </c>
      <c r="BB1566" s="89">
        <f t="shared" si="10"/>
        <v>1036</v>
      </c>
      <c r="BC1566" s="132" t="s">
        <v>178</v>
      </c>
      <c r="BD1566" s="132" t="s">
        <v>178</v>
      </c>
      <c r="BE1566" s="132" t="s">
        <v>178</v>
      </c>
      <c r="BF1566" s="156"/>
      <c r="BG1566" s="83">
        <v>1176795.0</v>
      </c>
      <c r="BH1566" s="171" t="s">
        <v>8773</v>
      </c>
      <c r="BI1566" s="112">
        <v>24.0</v>
      </c>
      <c r="BJ1566" s="98" t="s">
        <v>155</v>
      </c>
      <c r="BK1566" s="99">
        <f t="shared" si="11"/>
        <v>232</v>
      </c>
      <c r="BL1566" s="99">
        <f t="shared" si="12"/>
        <v>770</v>
      </c>
      <c r="BM1566" s="99" t="str">
        <f>IFERROR(__xludf.DUMMYFUNCTION("IFERROR(VLOOKUP(BG1566,IMPORTRANGE(""https://docs.google.com/spreadsheets/d/1juPI-Fb8LD0YtltB2mlGEnp_R3UVu1t3wSFPzgCyHXE/edit?gid=0#gid=0"",""GERAL!A2:C""),3,0),""-"")"),"-")</f>
        <v>-</v>
      </c>
    </row>
    <row r="1567" ht="15.75" customHeight="1">
      <c r="A1567" s="111" t="s">
        <v>1785</v>
      </c>
      <c r="B1567" s="83" t="s">
        <v>1994</v>
      </c>
      <c r="C1567" s="83" t="s">
        <v>68</v>
      </c>
      <c r="D1567" s="112">
        <v>1142463.0</v>
      </c>
      <c r="E1567" s="83"/>
      <c r="F1567" s="83">
        <v>2.9191335E7</v>
      </c>
      <c r="G1567" s="119" t="s">
        <v>8778</v>
      </c>
      <c r="H1567" s="91" t="s">
        <v>8779</v>
      </c>
      <c r="I1567" s="83" t="s">
        <v>8191</v>
      </c>
      <c r="J1567" s="83" t="s">
        <v>150</v>
      </c>
      <c r="K1567" s="83" t="s">
        <v>151</v>
      </c>
      <c r="L1567" s="83" t="s">
        <v>76</v>
      </c>
      <c r="M1567" s="82" t="str">
        <f>IFERROR(__xludf.DUMMYFUNCTION("IFERROR(VLOOKUP(D1567,
IMPORTRANGE(""https://docs.google.com/spreadsheets/d/1MjHtlUikwobi2MaWJgy7tfLeBmhj1u-dRFRs_8GwSoA/edit#gid=0"",""Gestores Escolares!D7:J""),3,0),""VERIFICAR CÓD SEC"")"),"RENILDO MANOEL DA HORA CONCEICAO")</f>
        <v>RENILDO MANOEL DA HORA CONCEICAO</v>
      </c>
      <c r="N1567" s="82" t="str">
        <f>IFERROR(__xludf.DUMMYFUNCTION("IFERROR(VLOOKUP(D1567,
IMPORTRANGE(""https://docs.google.com/spreadsheets/d/1MjHtlUikwobi2MaWJgy7tfLeBmhj1u-dRFRs_8GwSoA/edit#gid=0"",""Gestores Escolares!D7:J""),4,0),""VERIFICAR CÓD SEC"")"),"(71) 9 8765-0235")</f>
        <v>(71) 9 8765-0235</v>
      </c>
      <c r="O1567" s="82" t="str">
        <f>IFERROR(__xludf.DUMMYFUNCTION("IFERROR(VLOOKUP(D1567,
IMPORTRANGE(""https://docs.google.com/spreadsheets/d/1MjHtlUikwobi2MaWJgy7tfLeBmhj1u-dRFRs_8GwSoA/edit#gid=0"",""Gestores Escolares!D7:J""),6,0),""VERIFICAR CÓD SEC"")"),"MARCUS ANTONIO SILVA SANTOS FILHO")</f>
        <v>MARCUS ANTONIO SILVA SANTOS FILHO</v>
      </c>
      <c r="P1567" s="82" t="str">
        <f>IFERROR(__xludf.DUMMYFUNCTION("IFERROR(VLOOKUP(D1567,
IMPORTRANGE(""https://docs.google.com/spreadsheets/d/1MjHtlUikwobi2MaWJgy7tfLeBmhj1u-dRFRs_8GwSoA/edit#gid=0"",""Gestores Escolares!D7:J""),7,0),""VERIFICAR CÓD SEC"")"),"(75) 9 9247-6122")</f>
        <v>(75) 9 9247-6122</v>
      </c>
      <c r="Q1567" s="82" t="str">
        <f>IFERROR(__xludf.DUMMYFUNCTION("IFERROR(VLOOKUP(D1567,
IMPORTRANGE(""https://docs.google.com/spreadsheets/d/1MjHtlUikwobi2MaWJgy7tfLeBmhj1u-dRFRs_8GwSoA/edit#gid=0"",""Gestores Escolares!D7:m""),9,0),""VERIFICAR CÓD SEC"")"),"")</f>
        <v/>
      </c>
      <c r="R1567" s="82" t="str">
        <f>IFERROR(__xludf.DUMMYFUNCTION("IFERROR(VLOOKUP(D1567,
IMPORTRANGE(""https://docs.google.com/spreadsheets/d/1MjHtlUikwobi2MaWJgy7tfLeBmhj1u-dRFRs_8GwSoA/edit#gid=0"",""Gestores Escolares!D7:m""),10,0),""VERIFICAR CÓD SEC"")"),"")</f>
        <v/>
      </c>
      <c r="S1567" s="82"/>
      <c r="T1567" s="138">
        <v>9.0</v>
      </c>
      <c r="U1567" s="152">
        <v>9.0</v>
      </c>
      <c r="V1567" s="106">
        <v>0.0</v>
      </c>
      <c r="W1567" s="107">
        <v>0.0</v>
      </c>
      <c r="X1567" s="107">
        <v>0.0</v>
      </c>
      <c r="Y1567" s="107">
        <v>0.0</v>
      </c>
      <c r="Z1567" s="80">
        <f t="shared" si="1"/>
        <v>0</v>
      </c>
      <c r="AA1567" s="106">
        <v>0.0</v>
      </c>
      <c r="AB1567" s="107">
        <v>0.0</v>
      </c>
      <c r="AC1567" s="107">
        <v>0.0</v>
      </c>
      <c r="AD1567" s="107">
        <v>250.0</v>
      </c>
      <c r="AE1567" s="80">
        <f t="shared" si="2"/>
        <v>250</v>
      </c>
      <c r="AF1567" s="140">
        <v>0.0</v>
      </c>
      <c r="AG1567" s="109">
        <v>0.0</v>
      </c>
      <c r="AH1567" s="109">
        <v>0.0</v>
      </c>
      <c r="AI1567" s="141">
        <v>0.0</v>
      </c>
      <c r="AJ1567" s="80">
        <f t="shared" si="3"/>
        <v>0</v>
      </c>
      <c r="AK1567" s="140">
        <v>0.0</v>
      </c>
      <c r="AL1567" s="109">
        <v>0.0</v>
      </c>
      <c r="AM1567" s="141">
        <v>0.0</v>
      </c>
      <c r="AN1567" s="80">
        <f t="shared" si="4"/>
        <v>0</v>
      </c>
      <c r="AO1567" s="140">
        <v>0.0</v>
      </c>
      <c r="AP1567" s="109">
        <v>0.0</v>
      </c>
      <c r="AQ1567" s="109">
        <v>0.0</v>
      </c>
      <c r="AR1567" s="80">
        <f t="shared" si="5"/>
        <v>0</v>
      </c>
      <c r="AS1567" s="110">
        <v>0.0</v>
      </c>
      <c r="AT1567" s="110">
        <v>0.0</v>
      </c>
      <c r="AU1567" s="110">
        <v>0.0</v>
      </c>
      <c r="AV1567" s="142">
        <v>0.0</v>
      </c>
      <c r="AW1567" s="80">
        <f t="shared" si="6"/>
        <v>0</v>
      </c>
      <c r="AX1567" s="113">
        <f t="shared" si="7"/>
        <v>250</v>
      </c>
      <c r="AY1567" s="117">
        <f t="shared" si="8"/>
        <v>250</v>
      </c>
      <c r="AZ1567" s="120">
        <f t="shared" si="9"/>
        <v>0</v>
      </c>
      <c r="BA1567" s="115">
        <v>0.0</v>
      </c>
      <c r="BB1567" s="89">
        <f t="shared" si="10"/>
        <v>250</v>
      </c>
      <c r="BC1567" s="132" t="s">
        <v>178</v>
      </c>
      <c r="BD1567" s="132" t="s">
        <v>178</v>
      </c>
      <c r="BE1567" s="132" t="s">
        <v>178</v>
      </c>
      <c r="BF1567" s="156"/>
      <c r="BG1567" s="83">
        <v>1142463.0</v>
      </c>
      <c r="BH1567" s="137" t="s">
        <v>8780</v>
      </c>
      <c r="BI1567" s="112">
        <v>9.0</v>
      </c>
      <c r="BJ1567" s="98" t="s">
        <v>155</v>
      </c>
      <c r="BK1567" s="99">
        <f t="shared" si="11"/>
        <v>250</v>
      </c>
      <c r="BL1567" s="99">
        <f t="shared" si="12"/>
        <v>0</v>
      </c>
      <c r="BM1567" s="99" t="str">
        <f>IFERROR(__xludf.DUMMYFUNCTION("IFERROR(VLOOKUP(BG1567,IMPORTRANGE(""https://docs.google.com/spreadsheets/d/1juPI-Fb8LD0YtltB2mlGEnp_R3UVu1t3wSFPzgCyHXE/edit?gid=0#gid=0"",""GERAL!A2:C""),3,0),""-"")"),"-")</f>
        <v>-</v>
      </c>
    </row>
    <row r="1568" ht="15.75" customHeight="1">
      <c r="A1568" s="111" t="s">
        <v>1785</v>
      </c>
      <c r="B1568" s="172" t="s">
        <v>1994</v>
      </c>
      <c r="C1568" s="83" t="s">
        <v>68</v>
      </c>
      <c r="D1568" s="195">
        <v>1100370.0</v>
      </c>
      <c r="E1568" s="83"/>
      <c r="F1568" s="83">
        <v>2.9191661E7</v>
      </c>
      <c r="G1568" s="220" t="s">
        <v>8781</v>
      </c>
      <c r="H1568" s="91" t="s">
        <v>8782</v>
      </c>
      <c r="I1568" s="83" t="s">
        <v>8278</v>
      </c>
      <c r="J1568" s="83" t="s">
        <v>150</v>
      </c>
      <c r="K1568" s="83" t="s">
        <v>151</v>
      </c>
      <c r="L1568" s="98" t="s">
        <v>230</v>
      </c>
      <c r="M1568" s="82" t="str">
        <f>IFERROR(__xludf.DUMMYFUNCTION("IFERROR(VLOOKUP(D1568,
IMPORTRANGE(""https://docs.google.com/spreadsheets/d/1MjHtlUikwobi2MaWJgy7tfLeBmhj1u-dRFRs_8GwSoA/edit#gid=0"",""Gestores Escolares!D7:J""),3,0),""VERIFICAR CÓD SEC"")"),"RUI CÉSAR CERQUEIRA DA SILVA")</f>
        <v>RUI CÉSAR CERQUEIRA DA SILVA</v>
      </c>
      <c r="N1568" s="82" t="str">
        <f>IFERROR(__xludf.DUMMYFUNCTION("IFERROR(VLOOKUP(D1568,
IMPORTRANGE(""https://docs.google.com/spreadsheets/d/1MjHtlUikwobi2MaWJgy7tfLeBmhj1u-dRFRs_8GwSoA/edit#gid=0"",""Gestores Escolares!D7:J""),4,0),""VERIFICAR CÓD SEC"")"),"(71) 9 9913-5456/ 
9 9240-2357")</f>
        <v>(71) 9 9913-5456/ 
9 9240-2357</v>
      </c>
      <c r="O1568" s="82" t="str">
        <f>IFERROR(__xludf.DUMMYFUNCTION("IFERROR(VLOOKUP(D1568,
IMPORTRANGE(""https://docs.google.com/spreadsheets/d/1MjHtlUikwobi2MaWJgy7tfLeBmhj1u-dRFRs_8GwSoA/edit#gid=0"",""Gestores Escolares!D7:J""),6,0),""VERIFICAR CÓD SEC"")"),"ELISABETE NETO MACHADO")</f>
        <v>ELISABETE NETO MACHADO</v>
      </c>
      <c r="P1568" s="82" t="str">
        <f>IFERROR(__xludf.DUMMYFUNCTION("IFERROR(VLOOKUP(D1568,
IMPORTRANGE(""https://docs.google.com/spreadsheets/d/1MjHtlUikwobi2MaWJgy7tfLeBmhj1u-dRFRs_8GwSoA/edit#gid=0"",""Gestores Escolares!D7:J""),7,0),""VERIFICAR CÓD SEC"")"),"(71) 9 8602-6215/9 8725-3903")</f>
        <v>(71) 9 8602-6215/9 8725-3903</v>
      </c>
      <c r="Q1568" s="82" t="str">
        <f>IFERROR(__xludf.DUMMYFUNCTION("IFERROR(VLOOKUP(D1568,
IMPORTRANGE(""https://docs.google.com/spreadsheets/d/1MjHtlUikwobi2MaWJgy7tfLeBmhj1u-dRFRs_8GwSoA/edit#gid=0"",""Gestores Escolares!D7:m""),9,0),""VERIFICAR CÓD SEC"")"),"DEYSE LUCIANO DE JESUS SANTOS")</f>
        <v>DEYSE LUCIANO DE JESUS SANTOS</v>
      </c>
      <c r="R1568" s="82" t="str">
        <f>IFERROR(__xludf.DUMMYFUNCTION("IFERROR(VLOOKUP(D1568,
IMPORTRANGE(""https://docs.google.com/spreadsheets/d/1MjHtlUikwobi2MaWJgy7tfLeBmhj1u-dRFRs_8GwSoA/edit#gid=0"",""Gestores Escolares!D7:m""),10,0),""VERIFICAR CÓD SEC"")"),"(71) 9 9376-3558")</f>
        <v>(71) 9 9376-3558</v>
      </c>
      <c r="S1568" s="82"/>
      <c r="T1568" s="138">
        <v>29.0</v>
      </c>
      <c r="U1568" s="145" t="s">
        <v>13931</v>
      </c>
      <c r="V1568" s="106">
        <v>0.0</v>
      </c>
      <c r="W1568" s="107">
        <v>0.0</v>
      </c>
      <c r="X1568" s="107">
        <v>0.0</v>
      </c>
      <c r="Y1568" s="107">
        <v>0.0</v>
      </c>
      <c r="Z1568" s="80">
        <f t="shared" si="1"/>
        <v>0</v>
      </c>
      <c r="AA1568" s="106">
        <v>0.0</v>
      </c>
      <c r="AB1568" s="107">
        <v>0.0</v>
      </c>
      <c r="AC1568" s="107">
        <v>0.0</v>
      </c>
      <c r="AD1568" s="107">
        <v>0.0</v>
      </c>
      <c r="AE1568" s="80">
        <f t="shared" si="2"/>
        <v>0</v>
      </c>
      <c r="AF1568" s="140">
        <v>302.0</v>
      </c>
      <c r="AG1568" s="109">
        <v>158.0</v>
      </c>
      <c r="AH1568" s="109">
        <v>0.0</v>
      </c>
      <c r="AI1568" s="141">
        <v>643.0</v>
      </c>
      <c r="AJ1568" s="80">
        <f t="shared" si="3"/>
        <v>1103</v>
      </c>
      <c r="AK1568" s="140">
        <v>0.0</v>
      </c>
      <c r="AL1568" s="109">
        <v>0.0</v>
      </c>
      <c r="AM1568" s="141">
        <v>0.0</v>
      </c>
      <c r="AN1568" s="80">
        <f t="shared" si="4"/>
        <v>0</v>
      </c>
      <c r="AO1568" s="140">
        <v>0.0</v>
      </c>
      <c r="AP1568" s="109">
        <v>0.0</v>
      </c>
      <c r="AQ1568" s="109">
        <v>104.0</v>
      </c>
      <c r="AR1568" s="80">
        <f t="shared" si="5"/>
        <v>104</v>
      </c>
      <c r="AS1568" s="110">
        <v>27.0</v>
      </c>
      <c r="AT1568" s="110">
        <v>39.0</v>
      </c>
      <c r="AU1568" s="110">
        <v>216.0</v>
      </c>
      <c r="AV1568" s="142">
        <v>69.0</v>
      </c>
      <c r="AW1568" s="80">
        <f t="shared" si="6"/>
        <v>351</v>
      </c>
      <c r="AX1568" s="113">
        <f t="shared" si="7"/>
        <v>1558</v>
      </c>
      <c r="AY1568" s="117">
        <f t="shared" si="8"/>
        <v>1238</v>
      </c>
      <c r="AZ1568" s="120">
        <f t="shared" si="9"/>
        <v>320</v>
      </c>
      <c r="BA1568" s="115">
        <v>0.0</v>
      </c>
      <c r="BB1568" s="89">
        <f t="shared" si="10"/>
        <v>1558</v>
      </c>
      <c r="BC1568" s="132" t="s">
        <v>178</v>
      </c>
      <c r="BD1568" s="132" t="s">
        <v>178</v>
      </c>
      <c r="BE1568" s="132" t="s">
        <v>178</v>
      </c>
      <c r="BF1568" s="123"/>
      <c r="BG1568" s="136">
        <v>1100370.0</v>
      </c>
      <c r="BH1568" s="137" t="s">
        <v>8783</v>
      </c>
      <c r="BI1568" s="112">
        <v>25.0</v>
      </c>
      <c r="BJ1568" s="98" t="s">
        <v>162</v>
      </c>
      <c r="BK1568" s="99">
        <f t="shared" si="11"/>
        <v>712</v>
      </c>
      <c r="BL1568" s="99">
        <f t="shared" si="12"/>
        <v>526</v>
      </c>
      <c r="BM1568" s="99" t="str">
        <f>IFERROR(__xludf.DUMMYFUNCTION("IFERROR(VLOOKUP(BG1568,IMPORTRANGE(""https://docs.google.com/spreadsheets/d/1juPI-Fb8LD0YtltB2mlGEnp_R3UVu1t3wSFPzgCyHXE/edit?gid=0#gid=0"",""GERAL!A2:C""),3,0),""-"")"),"-")</f>
        <v>-</v>
      </c>
    </row>
    <row r="1569" ht="15.75" customHeight="1">
      <c r="A1569" s="111" t="s">
        <v>1785</v>
      </c>
      <c r="B1569" s="172" t="s">
        <v>1994</v>
      </c>
      <c r="C1569" s="83" t="s">
        <v>68</v>
      </c>
      <c r="D1569" s="112">
        <v>1102879.0</v>
      </c>
      <c r="E1569" s="136"/>
      <c r="F1569" s="136">
        <v>2.9181143E7</v>
      </c>
      <c r="G1569" s="147" t="s">
        <v>8791</v>
      </c>
      <c r="H1569" s="91" t="s">
        <v>8792</v>
      </c>
      <c r="I1569" s="83" t="s">
        <v>8570</v>
      </c>
      <c r="J1569" s="83" t="s">
        <v>150</v>
      </c>
      <c r="K1569" s="83" t="s">
        <v>151</v>
      </c>
      <c r="L1569" s="98" t="s">
        <v>230</v>
      </c>
      <c r="M1569" s="82" t="str">
        <f>IFERROR(__xludf.DUMMYFUNCTION("IFERROR(VLOOKUP(D1569,
IMPORTRANGE(""https://docs.google.com/spreadsheets/d/1MjHtlUikwobi2MaWJgy7tfLeBmhj1u-dRFRs_8GwSoA/edit#gid=0"",""Gestores Escolares!D7:J""),3,0),""VERIFICAR CÓD SEC"")"),"ANA PAULA CARDOSO RAMOS")</f>
        <v>ANA PAULA CARDOSO RAMOS</v>
      </c>
      <c r="N1569" s="82" t="str">
        <f>IFERROR(__xludf.DUMMYFUNCTION("IFERROR(VLOOKUP(D1569,
IMPORTRANGE(""https://docs.google.com/spreadsheets/d/1MjHtlUikwobi2MaWJgy7tfLeBmhj1u-dRFRs_8GwSoA/edit#gid=0"",""Gestores Escolares!D7:J""),4,0),""VERIFICAR CÓD SEC"")"),"(71) 9 9905-8653")</f>
        <v>(71) 9 9905-8653</v>
      </c>
      <c r="O1569" s="82" t="str">
        <f>IFERROR(__xludf.DUMMYFUNCTION("IFERROR(VLOOKUP(D1569,
IMPORTRANGE(""https://docs.google.com/spreadsheets/d/1MjHtlUikwobi2MaWJgy7tfLeBmhj1u-dRFRs_8GwSoA/edit#gid=0"",""Gestores Escolares!D7:J""),6,0),""VERIFICAR CÓD SEC"")"),"ALICE MARY DIAS BISPO")</f>
        <v>ALICE MARY DIAS BISPO</v>
      </c>
      <c r="P1569" s="82" t="str">
        <f>IFERROR(__xludf.DUMMYFUNCTION("IFERROR(VLOOKUP(D1569,
IMPORTRANGE(""https://docs.google.com/spreadsheets/d/1MjHtlUikwobi2MaWJgy7tfLeBmhj1u-dRFRs_8GwSoA/edit#gid=0"",""Gestores Escolares!D7:J""),7,0),""VERIFICAR CÓD SEC"")"),"(71) 9 9117-7818")</f>
        <v>(71) 9 9117-7818</v>
      </c>
      <c r="Q1569" s="82" t="str">
        <f>IFERROR(__xludf.DUMMYFUNCTION("IFERROR(VLOOKUP(D1569,
IMPORTRANGE(""https://docs.google.com/spreadsheets/d/1MjHtlUikwobi2MaWJgy7tfLeBmhj1u-dRFRs_8GwSoA/edit#gid=0"",""Gestores Escolares!D7:m""),9,0),""VERIFICAR CÓD SEC"")"),"RENATA DA CRUZ PEREIRA ARGOLO")</f>
        <v>RENATA DA CRUZ PEREIRA ARGOLO</v>
      </c>
      <c r="R1569" s="82" t="str">
        <f>IFERROR(__xludf.DUMMYFUNCTION("IFERROR(VLOOKUP(D1569,
IMPORTRANGE(""https://docs.google.com/spreadsheets/d/1MjHtlUikwobi2MaWJgy7tfLeBmhj1u-dRFRs_8GwSoA/edit#gid=0"",""Gestores Escolares!D7:m""),10,0),""VERIFICAR CÓD SEC"")")," (71) 9 9996-7923")</f>
        <v> (71) 9 9996-7923</v>
      </c>
      <c r="S1569" s="82"/>
      <c r="T1569" s="138">
        <v>57.0</v>
      </c>
      <c r="U1569" s="145" t="s">
        <v>13932</v>
      </c>
      <c r="V1569" s="106">
        <v>0.0</v>
      </c>
      <c r="W1569" s="107">
        <v>0.0</v>
      </c>
      <c r="X1569" s="107">
        <v>0.0</v>
      </c>
      <c r="Y1569" s="107">
        <v>0.0</v>
      </c>
      <c r="Z1569" s="80">
        <f t="shared" si="1"/>
        <v>0</v>
      </c>
      <c r="AA1569" s="106">
        <v>0.0</v>
      </c>
      <c r="AB1569" s="107">
        <v>0.0</v>
      </c>
      <c r="AC1569" s="107">
        <v>0.0</v>
      </c>
      <c r="AD1569" s="107">
        <v>0.0</v>
      </c>
      <c r="AE1569" s="80">
        <f t="shared" si="2"/>
        <v>0</v>
      </c>
      <c r="AF1569" s="140">
        <v>316.0</v>
      </c>
      <c r="AG1569" s="109">
        <v>0.0</v>
      </c>
      <c r="AH1569" s="109">
        <v>0.0</v>
      </c>
      <c r="AI1569" s="141">
        <v>78.0</v>
      </c>
      <c r="AJ1569" s="80">
        <f t="shared" si="3"/>
        <v>394</v>
      </c>
      <c r="AK1569" s="140">
        <v>0.0</v>
      </c>
      <c r="AL1569" s="109">
        <v>0.0</v>
      </c>
      <c r="AM1569" s="141">
        <v>0.0</v>
      </c>
      <c r="AN1569" s="80">
        <f t="shared" si="4"/>
        <v>0</v>
      </c>
      <c r="AO1569" s="140">
        <v>0.0</v>
      </c>
      <c r="AP1569" s="109">
        <v>0.0</v>
      </c>
      <c r="AQ1569" s="109">
        <v>100.0</v>
      </c>
      <c r="AR1569" s="80">
        <f t="shared" si="5"/>
        <v>100</v>
      </c>
      <c r="AS1569" s="110">
        <v>125.0</v>
      </c>
      <c r="AT1569" s="110">
        <v>0.0</v>
      </c>
      <c r="AU1569" s="110">
        <v>303.0</v>
      </c>
      <c r="AV1569" s="142">
        <v>0.0</v>
      </c>
      <c r="AW1569" s="80">
        <f t="shared" si="6"/>
        <v>428</v>
      </c>
      <c r="AX1569" s="113">
        <f t="shared" si="7"/>
        <v>922</v>
      </c>
      <c r="AY1569" s="117">
        <f t="shared" si="8"/>
        <v>519</v>
      </c>
      <c r="AZ1569" s="120">
        <f t="shared" si="9"/>
        <v>403</v>
      </c>
      <c r="BA1569" s="115">
        <v>1.0</v>
      </c>
      <c r="BB1569" s="89">
        <f t="shared" si="10"/>
        <v>923</v>
      </c>
      <c r="BC1569" s="132" t="s">
        <v>178</v>
      </c>
      <c r="BD1569" s="132" t="s">
        <v>178</v>
      </c>
      <c r="BE1569" s="132" t="s">
        <v>178</v>
      </c>
      <c r="BF1569" s="123"/>
      <c r="BG1569" s="83">
        <v>1102879.0</v>
      </c>
      <c r="BH1569" s="98" t="s">
        <v>8793</v>
      </c>
      <c r="BI1569" s="112">
        <v>33.0</v>
      </c>
      <c r="BJ1569" s="98" t="s">
        <v>155</v>
      </c>
      <c r="BK1569" s="99">
        <f t="shared" si="11"/>
        <v>78</v>
      </c>
      <c r="BL1569" s="99">
        <f t="shared" si="12"/>
        <v>441</v>
      </c>
      <c r="BM1569" s="99" t="str">
        <f>IFERROR(__xludf.DUMMYFUNCTION("IFERROR(VLOOKUP(BG1569,IMPORTRANGE(""https://docs.google.com/spreadsheets/d/1juPI-Fb8LD0YtltB2mlGEnp_R3UVu1t3wSFPzgCyHXE/edit?gid=0#gid=0"",""GERAL!A2:C""),3,0),""-"")"),"-")</f>
        <v>-</v>
      </c>
    </row>
    <row r="1570" ht="15.75" customHeight="1">
      <c r="A1570" s="111" t="s">
        <v>1785</v>
      </c>
      <c r="B1570" s="83" t="s">
        <v>1994</v>
      </c>
      <c r="C1570" s="83" t="s">
        <v>68</v>
      </c>
      <c r="D1570" s="112">
        <v>1177094.0</v>
      </c>
      <c r="E1570" s="83"/>
      <c r="F1570" s="83">
        <v>2.9414903E7</v>
      </c>
      <c r="G1570" s="119" t="s">
        <v>8794</v>
      </c>
      <c r="H1570" s="91" t="s">
        <v>8795</v>
      </c>
      <c r="I1570" s="136" t="s">
        <v>8417</v>
      </c>
      <c r="J1570" s="83" t="s">
        <v>150</v>
      </c>
      <c r="K1570" s="98" t="s">
        <v>5997</v>
      </c>
      <c r="L1570" s="83" t="s">
        <v>76</v>
      </c>
      <c r="M1570" s="82" t="str">
        <f>IFERROR(__xludf.DUMMYFUNCTION("IFERROR(VLOOKUP(D1570,
IMPORTRANGE(""https://docs.google.com/spreadsheets/d/1MjHtlUikwobi2MaWJgy7tfLeBmhj1u-dRFRs_8GwSoA/edit#gid=0"",""Gestores Escolares!D7:J""),3,0),""VERIFICAR CÓD SEC"")"),"ANDREA DA SILVEIRA CORDEIRO CUNHA")</f>
        <v>ANDREA DA SILVEIRA CORDEIRO CUNHA</v>
      </c>
      <c r="N1570" s="82" t="str">
        <f>IFERROR(__xludf.DUMMYFUNCTION("IFERROR(VLOOKUP(D1570,
IMPORTRANGE(""https://docs.google.com/spreadsheets/d/1MjHtlUikwobi2MaWJgy7tfLeBmhj1u-dRFRs_8GwSoA/edit#gid=0"",""Gestores Escolares!D7:J""),4,0),""VERIFICAR CÓD SEC"")"),"(71) 9 9923-8639")</f>
        <v>(71) 9 9923-8639</v>
      </c>
      <c r="O1570" s="82" t="str">
        <f>IFERROR(__xludf.DUMMYFUNCTION("IFERROR(VLOOKUP(D1570,
IMPORTRANGE(""https://docs.google.com/spreadsheets/d/1MjHtlUikwobi2MaWJgy7tfLeBmhj1u-dRFRs_8GwSoA/edit#gid=0"",""Gestores Escolares!D7:J""),6,0),""VERIFICAR CÓD SEC"")"),"JOSE ARTUR SANTANA CATRAMBY")</f>
        <v>JOSE ARTUR SANTANA CATRAMBY</v>
      </c>
      <c r="P1570" s="82" t="str">
        <f>IFERROR(__xludf.DUMMYFUNCTION("IFERROR(VLOOKUP(D1570,
IMPORTRANGE(""https://docs.google.com/spreadsheets/d/1MjHtlUikwobi2MaWJgy7tfLeBmhj1u-dRFRs_8GwSoA/edit#gid=0"",""Gestores Escolares!D7:J""),7,0),""VERIFICAR CÓD SEC"")"),"(71) 9 9132-8144")</f>
        <v>(71) 9 9132-8144</v>
      </c>
      <c r="Q1570" s="82" t="str">
        <f>IFERROR(__xludf.DUMMYFUNCTION("IFERROR(VLOOKUP(D1570,
IMPORTRANGE(""https://docs.google.com/spreadsheets/d/1MjHtlUikwobi2MaWJgy7tfLeBmhj1u-dRFRs_8GwSoA/edit#gid=0"",""Gestores Escolares!D7:m""),9,0),""VERIFICAR CÓD SEC"")"),"")</f>
        <v/>
      </c>
      <c r="R1570" s="82" t="str">
        <f>IFERROR(__xludf.DUMMYFUNCTION("IFERROR(VLOOKUP(D1570,
IMPORTRANGE(""https://docs.google.com/spreadsheets/d/1MjHtlUikwobi2MaWJgy7tfLeBmhj1u-dRFRs_8GwSoA/edit#gid=0"",""Gestores Escolares!D7:m""),10,0),""VERIFICAR CÓD SEC"")"),"")</f>
        <v/>
      </c>
      <c r="S1570" s="82"/>
      <c r="T1570" s="138">
        <v>11.0</v>
      </c>
      <c r="U1570" s="152">
        <v>10.0</v>
      </c>
      <c r="V1570" s="106">
        <v>0.0</v>
      </c>
      <c r="W1570" s="107">
        <v>0.0</v>
      </c>
      <c r="X1570" s="107">
        <v>0.0</v>
      </c>
      <c r="Y1570" s="107">
        <v>0.0</v>
      </c>
      <c r="Z1570" s="80">
        <f t="shared" si="1"/>
        <v>0</v>
      </c>
      <c r="AA1570" s="106">
        <v>96.0</v>
      </c>
      <c r="AB1570" s="107">
        <v>85.0</v>
      </c>
      <c r="AC1570" s="107">
        <v>0.0</v>
      </c>
      <c r="AD1570" s="107">
        <v>140.0</v>
      </c>
      <c r="AE1570" s="80">
        <f t="shared" si="2"/>
        <v>321</v>
      </c>
      <c r="AF1570" s="140">
        <v>0.0</v>
      </c>
      <c r="AG1570" s="109">
        <v>0.0</v>
      </c>
      <c r="AH1570" s="109">
        <v>0.0</v>
      </c>
      <c r="AI1570" s="141">
        <v>0.0</v>
      </c>
      <c r="AJ1570" s="80">
        <f t="shared" si="3"/>
        <v>0</v>
      </c>
      <c r="AK1570" s="140">
        <v>0.0</v>
      </c>
      <c r="AL1570" s="109">
        <v>0.0</v>
      </c>
      <c r="AM1570" s="141">
        <v>0.0</v>
      </c>
      <c r="AN1570" s="80">
        <f t="shared" si="4"/>
        <v>0</v>
      </c>
      <c r="AO1570" s="140">
        <v>0.0</v>
      </c>
      <c r="AP1570" s="109">
        <v>0.0</v>
      </c>
      <c r="AQ1570" s="109">
        <v>0.0</v>
      </c>
      <c r="AR1570" s="80">
        <f t="shared" si="5"/>
        <v>0</v>
      </c>
      <c r="AS1570" s="110">
        <v>0.0</v>
      </c>
      <c r="AT1570" s="110">
        <v>0.0</v>
      </c>
      <c r="AU1570" s="110">
        <v>0.0</v>
      </c>
      <c r="AV1570" s="142">
        <v>0.0</v>
      </c>
      <c r="AW1570" s="80">
        <f t="shared" si="6"/>
        <v>0</v>
      </c>
      <c r="AX1570" s="113">
        <f t="shared" si="7"/>
        <v>321</v>
      </c>
      <c r="AY1570" s="117">
        <f t="shared" si="8"/>
        <v>321</v>
      </c>
      <c r="AZ1570" s="120">
        <f t="shared" si="9"/>
        <v>0</v>
      </c>
      <c r="BA1570" s="115">
        <v>0.0</v>
      </c>
      <c r="BB1570" s="89">
        <f t="shared" si="10"/>
        <v>321</v>
      </c>
      <c r="BC1570" s="132" t="s">
        <v>178</v>
      </c>
      <c r="BD1570" s="132" t="s">
        <v>178</v>
      </c>
      <c r="BE1570" s="132" t="s">
        <v>178</v>
      </c>
      <c r="BF1570" s="156"/>
      <c r="BG1570" s="83">
        <v>1177094.0</v>
      </c>
      <c r="BH1570" s="98" t="s">
        <v>8796</v>
      </c>
      <c r="BI1570" s="112">
        <v>10.0</v>
      </c>
      <c r="BJ1570" s="98" t="s">
        <v>155</v>
      </c>
      <c r="BK1570" s="99">
        <f t="shared" si="11"/>
        <v>140</v>
      </c>
      <c r="BL1570" s="99">
        <f t="shared" si="12"/>
        <v>181</v>
      </c>
      <c r="BM1570" s="99" t="str">
        <f>IFERROR(__xludf.DUMMYFUNCTION("IFERROR(VLOOKUP(BG1570,IMPORTRANGE(""https://docs.google.com/spreadsheets/d/1juPI-Fb8LD0YtltB2mlGEnp_R3UVu1t3wSFPzgCyHXE/edit?gid=0#gid=0"",""GERAL!A2:C""),3,0),""-"")"),"-")</f>
        <v>-</v>
      </c>
    </row>
    <row r="1571" ht="15.75" customHeight="1">
      <c r="A1571" s="111" t="s">
        <v>1785</v>
      </c>
      <c r="B1571" s="83" t="s">
        <v>1994</v>
      </c>
      <c r="C1571" s="83" t="s">
        <v>68</v>
      </c>
      <c r="D1571" s="112">
        <v>1179485.0</v>
      </c>
      <c r="E1571" s="83"/>
      <c r="F1571" s="83">
        <v>2.9467934E7</v>
      </c>
      <c r="G1571" s="119" t="s">
        <v>8797</v>
      </c>
      <c r="H1571" s="114" t="s">
        <v>8798</v>
      </c>
      <c r="I1571" s="83" t="s">
        <v>8799</v>
      </c>
      <c r="J1571" s="83" t="s">
        <v>150</v>
      </c>
      <c r="K1571" s="83" t="s">
        <v>168</v>
      </c>
      <c r="L1571" s="83" t="s">
        <v>152</v>
      </c>
      <c r="M1571" s="82" t="str">
        <f>IFERROR(__xludf.DUMMYFUNCTION("IFERROR(VLOOKUP(D1571,
IMPORTRANGE(""https://docs.google.com/spreadsheets/d/1MjHtlUikwobi2MaWJgy7tfLeBmhj1u-dRFRs_8GwSoA/edit#gid=0"",""Gestores Escolares!D7:J""),3,0),""VERIFICAR CÓD SEC"")"),"LUZIA MARIA ANDRADE PEREIRA")</f>
        <v>LUZIA MARIA ANDRADE PEREIRA</v>
      </c>
      <c r="N1571" s="82" t="str">
        <f>IFERROR(__xludf.DUMMYFUNCTION("IFERROR(VLOOKUP(D1571,
IMPORTRANGE(""https://docs.google.com/spreadsheets/d/1MjHtlUikwobi2MaWJgy7tfLeBmhj1u-dRFRs_8GwSoA/edit#gid=0"",""Gestores Escolares!D7:J""),4,0),""VERIFICAR CÓD SEC"")"),"(71) 9 8790-6734")</f>
        <v>(71) 9 8790-6734</v>
      </c>
      <c r="O1571" s="82" t="str">
        <f>IFERROR(__xludf.DUMMYFUNCTION("IFERROR(VLOOKUP(D1571,
IMPORTRANGE(""https://docs.google.com/spreadsheets/d/1MjHtlUikwobi2MaWJgy7tfLeBmhj1u-dRFRs_8GwSoA/edit#gid=0"",""Gestores Escolares!D7:J""),6,0),""VERIFICAR CÓD SEC"")"),"PAULA PATRICIA LIMA BRITO")</f>
        <v>PAULA PATRICIA LIMA BRITO</v>
      </c>
      <c r="P1571" s="82" t="str">
        <f>IFERROR(__xludf.DUMMYFUNCTION("IFERROR(VLOOKUP(D1571,
IMPORTRANGE(""https://docs.google.com/spreadsheets/d/1MjHtlUikwobi2MaWJgy7tfLeBmhj1u-dRFRs_8GwSoA/edit#gid=0"",""Gestores Escolares!D7:J""),7,0),""VERIFICAR CÓD SEC"")"),"(71) 9 9177-8293")</f>
        <v>(71) 9 9177-8293</v>
      </c>
      <c r="Q1571" s="82" t="str">
        <f>IFERROR(__xludf.DUMMYFUNCTION("IFERROR(VLOOKUP(D1571,
IMPORTRANGE(""https://docs.google.com/spreadsheets/d/1MjHtlUikwobi2MaWJgy7tfLeBmhj1u-dRFRs_8GwSoA/edit#gid=0"",""Gestores Escolares!D7:m""),9,0),""VERIFICAR CÓD SEC"")"),"")</f>
        <v/>
      </c>
      <c r="R1571" s="82" t="str">
        <f>IFERROR(__xludf.DUMMYFUNCTION("IFERROR(VLOOKUP(D1571,
IMPORTRANGE(""https://docs.google.com/spreadsheets/d/1MjHtlUikwobi2MaWJgy7tfLeBmhj1u-dRFRs_8GwSoA/edit#gid=0"",""Gestores Escolares!D7:m""),10,0),""VERIFICAR CÓD SEC"")"),"")</f>
        <v/>
      </c>
      <c r="S1571" s="82"/>
      <c r="T1571" s="138">
        <v>7.0</v>
      </c>
      <c r="U1571" s="152">
        <v>8.0</v>
      </c>
      <c r="V1571" s="106">
        <v>0.0</v>
      </c>
      <c r="W1571" s="107">
        <v>0.0</v>
      </c>
      <c r="X1571" s="107">
        <v>0.0</v>
      </c>
      <c r="Y1571" s="107">
        <v>0.0</v>
      </c>
      <c r="Z1571" s="80">
        <f t="shared" si="1"/>
        <v>0</v>
      </c>
      <c r="AA1571" s="106">
        <v>120.0</v>
      </c>
      <c r="AB1571" s="107">
        <v>189.0</v>
      </c>
      <c r="AC1571" s="107">
        <v>0.0</v>
      </c>
      <c r="AD1571" s="107">
        <v>0.0</v>
      </c>
      <c r="AE1571" s="80">
        <f t="shared" si="2"/>
        <v>309</v>
      </c>
      <c r="AF1571" s="140">
        <v>302.0</v>
      </c>
      <c r="AG1571" s="109">
        <v>226.0</v>
      </c>
      <c r="AH1571" s="109">
        <v>0.0</v>
      </c>
      <c r="AI1571" s="141">
        <v>0.0</v>
      </c>
      <c r="AJ1571" s="80">
        <f t="shared" si="3"/>
        <v>528</v>
      </c>
      <c r="AK1571" s="140">
        <v>0.0</v>
      </c>
      <c r="AL1571" s="109">
        <v>0.0</v>
      </c>
      <c r="AM1571" s="141">
        <v>0.0</v>
      </c>
      <c r="AN1571" s="80">
        <f t="shared" si="4"/>
        <v>0</v>
      </c>
      <c r="AO1571" s="140">
        <v>0.0</v>
      </c>
      <c r="AP1571" s="109">
        <v>0.0</v>
      </c>
      <c r="AQ1571" s="109">
        <v>0.0</v>
      </c>
      <c r="AR1571" s="80">
        <f t="shared" si="5"/>
        <v>0</v>
      </c>
      <c r="AS1571" s="110">
        <v>0.0</v>
      </c>
      <c r="AT1571" s="110">
        <v>0.0</v>
      </c>
      <c r="AU1571" s="110">
        <v>0.0</v>
      </c>
      <c r="AV1571" s="142">
        <v>0.0</v>
      </c>
      <c r="AW1571" s="80">
        <f t="shared" si="6"/>
        <v>0</v>
      </c>
      <c r="AX1571" s="113">
        <f t="shared" si="7"/>
        <v>837</v>
      </c>
      <c r="AY1571" s="117">
        <f t="shared" si="8"/>
        <v>837</v>
      </c>
      <c r="AZ1571" s="120">
        <f t="shared" si="9"/>
        <v>0</v>
      </c>
      <c r="BA1571" s="115">
        <v>4.0</v>
      </c>
      <c r="BB1571" s="89">
        <f t="shared" si="10"/>
        <v>841</v>
      </c>
      <c r="BC1571" s="132" t="s">
        <v>178</v>
      </c>
      <c r="BD1571" s="132" t="s">
        <v>178</v>
      </c>
      <c r="BE1571" s="132" t="s">
        <v>178</v>
      </c>
      <c r="BF1571" s="156"/>
      <c r="BG1571" s="83">
        <v>1179485.0</v>
      </c>
      <c r="BH1571" s="98" t="s">
        <v>8800</v>
      </c>
      <c r="BI1571" s="112">
        <v>8.0</v>
      </c>
      <c r="BJ1571" s="98" t="s">
        <v>155</v>
      </c>
      <c r="BK1571" s="99">
        <f t="shared" si="11"/>
        <v>0</v>
      </c>
      <c r="BL1571" s="99">
        <f t="shared" si="12"/>
        <v>837</v>
      </c>
      <c r="BM1571" s="99" t="str">
        <f>IFERROR(__xludf.DUMMYFUNCTION("IFERROR(VLOOKUP(BG1571,IMPORTRANGE(""https://docs.google.com/spreadsheets/d/1juPI-Fb8LD0YtltB2mlGEnp_R3UVu1t3wSFPzgCyHXE/edit?gid=0#gid=0"",""GERAL!A2:C""),3,0),""-"")"),"-")</f>
        <v>-</v>
      </c>
    </row>
    <row r="1572" ht="131.25" customHeight="1">
      <c r="A1572" s="111" t="s">
        <v>1785</v>
      </c>
      <c r="B1572" s="83" t="s">
        <v>1994</v>
      </c>
      <c r="C1572" s="83" t="s">
        <v>68</v>
      </c>
      <c r="D1572" s="112">
        <v>1174713.0</v>
      </c>
      <c r="E1572" s="83"/>
      <c r="F1572" s="83">
        <v>2.9191211E7</v>
      </c>
      <c r="G1572" s="119" t="s">
        <v>8801</v>
      </c>
      <c r="H1572" s="114" t="s">
        <v>8802</v>
      </c>
      <c r="I1572" s="83" t="s">
        <v>8803</v>
      </c>
      <c r="J1572" s="83" t="s">
        <v>150</v>
      </c>
      <c r="K1572" s="83" t="s">
        <v>151</v>
      </c>
      <c r="L1572" s="83" t="s">
        <v>1326</v>
      </c>
      <c r="M1572" s="82" t="str">
        <f>IFERROR(__xludf.DUMMYFUNCTION("IFERROR(VLOOKUP(D1572,
IMPORTRANGE(""https://docs.google.com/spreadsheets/d/1MjHtlUikwobi2MaWJgy7tfLeBmhj1u-dRFRs_8GwSoA/edit#gid=0"",""Gestores Escolares!D7:J""),3,0),""VERIFICAR CÓD SEC"")"),"VALDENICE CERQUEIRA ESTRELA DE SOUSA")</f>
        <v>VALDENICE CERQUEIRA ESTRELA DE SOUSA</v>
      </c>
      <c r="N1572" s="82" t="str">
        <f>IFERROR(__xludf.DUMMYFUNCTION("IFERROR(VLOOKUP(D1572,
IMPORTRANGE(""https://docs.google.com/spreadsheets/d/1MjHtlUikwobi2MaWJgy7tfLeBmhj1u-dRFRs_8GwSoA/edit#gid=0"",""Gestores Escolares!D7:J""),4,0),""VERIFICAR CÓD SEC"")"),"(71) 9 9676-1412        ")</f>
        <v>(71) 9 9676-1412        </v>
      </c>
      <c r="O1572" s="82" t="str">
        <f>IFERROR(__xludf.DUMMYFUNCTION("IFERROR(VLOOKUP(D1572,
IMPORTRANGE(""https://docs.google.com/spreadsheets/d/1MjHtlUikwobi2MaWJgy7tfLeBmhj1u-dRFRs_8GwSoA/edit#gid=0"",""Gestores Escolares!D7:J""),6,0),""VERIFICAR CÓD SEC"")"),"JOÃO MAURÍCIO BASTOS PORTELA")</f>
        <v>JOÃO MAURÍCIO BASTOS PORTELA</v>
      </c>
      <c r="P1572" s="82" t="str">
        <f>IFERROR(__xludf.DUMMYFUNCTION("IFERROR(VLOOKUP(D1572,
IMPORTRANGE(""https://docs.google.com/spreadsheets/d/1MjHtlUikwobi2MaWJgy7tfLeBmhj1u-dRFRs_8GwSoA/edit#gid=0"",""Gestores Escolares!D7:J""),7,0),""VERIFICAR CÓD SEC"")"),"(71) 9 9983-9853")</f>
        <v>(71) 9 9983-9853</v>
      </c>
      <c r="Q1572" s="82" t="str">
        <f>IFERROR(__xludf.DUMMYFUNCTION("IFERROR(VLOOKUP(D1572,
IMPORTRANGE(""https://docs.google.com/spreadsheets/d/1MjHtlUikwobi2MaWJgy7tfLeBmhj1u-dRFRs_8GwSoA/edit#gid=0"",""Gestores Escolares!D7:m""),9,0),""VERIFICAR CÓD SEC"")"),"")</f>
        <v/>
      </c>
      <c r="R1572" s="82" t="str">
        <f>IFERROR(__xludf.DUMMYFUNCTION("IFERROR(VLOOKUP(D1572,
IMPORTRANGE(""https://docs.google.com/spreadsheets/d/1MjHtlUikwobi2MaWJgy7tfLeBmhj1u-dRFRs_8GwSoA/edit#gid=0"",""Gestores Escolares!D7:m""),10,0),""VERIFICAR CÓD SEC"")"),"")</f>
        <v/>
      </c>
      <c r="S1572" s="82"/>
      <c r="T1572" s="138">
        <v>18.0</v>
      </c>
      <c r="U1572" s="152">
        <v>18.0</v>
      </c>
      <c r="V1572" s="106">
        <v>0.0</v>
      </c>
      <c r="W1572" s="107">
        <v>0.0</v>
      </c>
      <c r="X1572" s="107">
        <v>0.0</v>
      </c>
      <c r="Y1572" s="107">
        <v>0.0</v>
      </c>
      <c r="Z1572" s="80">
        <f t="shared" si="1"/>
        <v>0</v>
      </c>
      <c r="AA1572" s="106">
        <v>0.0</v>
      </c>
      <c r="AB1572" s="107">
        <v>0.0</v>
      </c>
      <c r="AC1572" s="107">
        <v>0.0</v>
      </c>
      <c r="AD1572" s="107">
        <v>0.0</v>
      </c>
      <c r="AE1572" s="80">
        <f t="shared" si="2"/>
        <v>0</v>
      </c>
      <c r="AF1572" s="140">
        <v>330.0</v>
      </c>
      <c r="AG1572" s="109">
        <v>301.0</v>
      </c>
      <c r="AH1572" s="109">
        <v>0.0</v>
      </c>
      <c r="AI1572" s="141">
        <v>61.0</v>
      </c>
      <c r="AJ1572" s="80">
        <f t="shared" si="3"/>
        <v>692</v>
      </c>
      <c r="AK1572" s="140">
        <v>0.0</v>
      </c>
      <c r="AL1572" s="109">
        <v>0.0</v>
      </c>
      <c r="AM1572" s="141">
        <v>0.0</v>
      </c>
      <c r="AN1572" s="80">
        <f t="shared" si="4"/>
        <v>0</v>
      </c>
      <c r="AO1572" s="140">
        <v>0.0</v>
      </c>
      <c r="AP1572" s="109">
        <v>0.0</v>
      </c>
      <c r="AQ1572" s="109">
        <v>0.0</v>
      </c>
      <c r="AR1572" s="80">
        <f t="shared" si="5"/>
        <v>0</v>
      </c>
      <c r="AS1572" s="110">
        <v>144.0</v>
      </c>
      <c r="AT1572" s="110">
        <v>113.0</v>
      </c>
      <c r="AU1572" s="110">
        <v>0.0</v>
      </c>
      <c r="AV1572" s="142">
        <v>96.0</v>
      </c>
      <c r="AW1572" s="80">
        <f t="shared" si="6"/>
        <v>353</v>
      </c>
      <c r="AX1572" s="113">
        <f t="shared" si="7"/>
        <v>1045</v>
      </c>
      <c r="AY1572" s="117">
        <f t="shared" si="8"/>
        <v>1045</v>
      </c>
      <c r="AZ1572" s="120">
        <f t="shared" si="9"/>
        <v>0</v>
      </c>
      <c r="BA1572" s="115">
        <v>0.0</v>
      </c>
      <c r="BB1572" s="89">
        <f t="shared" si="10"/>
        <v>1045</v>
      </c>
      <c r="BC1572" s="132" t="s">
        <v>178</v>
      </c>
      <c r="BD1572" s="132" t="s">
        <v>178</v>
      </c>
      <c r="BE1572" s="132" t="s">
        <v>178</v>
      </c>
      <c r="BF1572" s="156"/>
      <c r="BG1572" s="83">
        <v>1174713.0</v>
      </c>
      <c r="BH1572" s="98" t="s">
        <v>8804</v>
      </c>
      <c r="BI1572" s="112">
        <v>18.0</v>
      </c>
      <c r="BJ1572" s="98" t="s">
        <v>155</v>
      </c>
      <c r="BK1572" s="99">
        <f t="shared" si="11"/>
        <v>157</v>
      </c>
      <c r="BL1572" s="99">
        <f t="shared" si="12"/>
        <v>888</v>
      </c>
      <c r="BM1572" s="99" t="str">
        <f>IFERROR(__xludf.DUMMYFUNCTION("IFERROR(VLOOKUP(BG1572,IMPORTRANGE(""https://docs.google.com/spreadsheets/d/1juPI-Fb8LD0YtltB2mlGEnp_R3UVu1t3wSFPzgCyHXE/edit?gid=0#gid=0"",""GERAL!A2:C""),3,0),""-"")"),"-")</f>
        <v>-</v>
      </c>
    </row>
    <row r="1573" ht="15.75" customHeight="1">
      <c r="A1573" s="111" t="s">
        <v>1785</v>
      </c>
      <c r="B1573" s="83" t="s">
        <v>1994</v>
      </c>
      <c r="C1573" s="83" t="s">
        <v>68</v>
      </c>
      <c r="D1573" s="112">
        <v>1176094.0</v>
      </c>
      <c r="E1573" s="83"/>
      <c r="F1573" s="83">
        <v>2.9336627E7</v>
      </c>
      <c r="G1573" s="119" t="s">
        <v>8805</v>
      </c>
      <c r="H1573" s="91" t="s">
        <v>8806</v>
      </c>
      <c r="I1573" s="83" t="s">
        <v>8162</v>
      </c>
      <c r="J1573" s="83" t="s">
        <v>150</v>
      </c>
      <c r="K1573" s="83" t="s">
        <v>151</v>
      </c>
      <c r="L1573" s="83" t="s">
        <v>230</v>
      </c>
      <c r="M1573" s="82" t="str">
        <f>IFERROR(__xludf.DUMMYFUNCTION("IFERROR(VLOOKUP(D1573,
IMPORTRANGE(""https://docs.google.com/spreadsheets/d/1MjHtlUikwobi2MaWJgy7tfLeBmhj1u-dRFRs_8GwSoA/edit#gid=0"",""Gestores Escolares!D7:J""),3,0),""VERIFICAR CÓD SEC"")"),"MARÍLIA MALHADO DE ARAUJO SANTOS")</f>
        <v>MARÍLIA MALHADO DE ARAUJO SANTOS</v>
      </c>
      <c r="N1573" s="82" t="str">
        <f>IFERROR(__xludf.DUMMYFUNCTION("IFERROR(VLOOKUP(D1573,
IMPORTRANGE(""https://docs.google.com/spreadsheets/d/1MjHtlUikwobi2MaWJgy7tfLeBmhj1u-dRFRs_8GwSoA/edit#gid=0"",""Gestores Escolares!D7:J""),4,0),""VERIFICAR CÓD SEC"")"),"(71) 9 9122-4926")</f>
        <v>(71) 9 9122-4926</v>
      </c>
      <c r="O1573" s="82" t="str">
        <f>IFERROR(__xludf.DUMMYFUNCTION("IFERROR(VLOOKUP(D1573,
IMPORTRANGE(""https://docs.google.com/spreadsheets/d/1MjHtlUikwobi2MaWJgy7tfLeBmhj1u-dRFRs_8GwSoA/edit#gid=0"",""Gestores Escolares!D7:J""),6,0),""VERIFICAR CÓD SEC"")"),"ISABELA SOUZA SANTANA")</f>
        <v>ISABELA SOUZA SANTANA</v>
      </c>
      <c r="P1573" s="82" t="str">
        <f>IFERROR(__xludf.DUMMYFUNCTION("IFERROR(VLOOKUP(D1573,
IMPORTRANGE(""https://docs.google.com/spreadsheets/d/1MjHtlUikwobi2MaWJgy7tfLeBmhj1u-dRFRs_8GwSoA/edit#gid=0"",""Gestores Escolares!D7:J""),7,0),""VERIFICAR CÓD SEC"")"),"(71) 9 9213-2442 ")</f>
        <v>(71) 9 9213-2442 </v>
      </c>
      <c r="Q1573" s="82" t="str">
        <f>IFERROR(__xludf.DUMMYFUNCTION("IFERROR(VLOOKUP(D1573,
IMPORTRANGE(""https://docs.google.com/spreadsheets/d/1MjHtlUikwobi2MaWJgy7tfLeBmhj1u-dRFRs_8GwSoA/edit#gid=0"",""Gestores Escolares!D7:m""),9,0),""VERIFICAR CÓD SEC"")"),"FABIA GERTRUDES DE MELO CARNEIRO")</f>
        <v>FABIA GERTRUDES DE MELO CARNEIRO</v>
      </c>
      <c r="R1573" s="82" t="str">
        <f>IFERROR(__xludf.DUMMYFUNCTION("IFERROR(VLOOKUP(D1573,
IMPORTRANGE(""https://docs.google.com/spreadsheets/d/1MjHtlUikwobi2MaWJgy7tfLeBmhj1u-dRFRs_8GwSoA/edit#gid=0"",""Gestores Escolares!D7:m""),10,0),""VERIFICAR CÓD SEC"")"),"(71) 9 9164-1908")</f>
        <v>(71) 9 9164-1908</v>
      </c>
      <c r="S1573" s="82"/>
      <c r="T1573" s="138">
        <v>24.0</v>
      </c>
      <c r="U1573" s="152">
        <v>24.0</v>
      </c>
      <c r="V1573" s="106">
        <v>0.0</v>
      </c>
      <c r="W1573" s="107">
        <v>0.0</v>
      </c>
      <c r="X1573" s="107">
        <v>0.0</v>
      </c>
      <c r="Y1573" s="107">
        <v>0.0</v>
      </c>
      <c r="Z1573" s="80">
        <f t="shared" si="1"/>
        <v>0</v>
      </c>
      <c r="AA1573" s="106">
        <v>0.0</v>
      </c>
      <c r="AB1573" s="107">
        <v>0.0</v>
      </c>
      <c r="AC1573" s="107">
        <v>0.0</v>
      </c>
      <c r="AD1573" s="107">
        <v>0.0</v>
      </c>
      <c r="AE1573" s="80">
        <f t="shared" si="2"/>
        <v>0</v>
      </c>
      <c r="AF1573" s="140">
        <v>616.0</v>
      </c>
      <c r="AG1573" s="109">
        <v>224.0</v>
      </c>
      <c r="AH1573" s="109">
        <v>0.0</v>
      </c>
      <c r="AI1573" s="141">
        <v>0.0</v>
      </c>
      <c r="AJ1573" s="80">
        <f t="shared" si="3"/>
        <v>840</v>
      </c>
      <c r="AK1573" s="140">
        <v>0.0</v>
      </c>
      <c r="AL1573" s="109">
        <v>0.0</v>
      </c>
      <c r="AM1573" s="141">
        <v>0.0</v>
      </c>
      <c r="AN1573" s="80">
        <f t="shared" si="4"/>
        <v>0</v>
      </c>
      <c r="AO1573" s="140">
        <v>0.0</v>
      </c>
      <c r="AP1573" s="109">
        <v>0.0</v>
      </c>
      <c r="AQ1573" s="109">
        <v>149.0</v>
      </c>
      <c r="AR1573" s="80">
        <f t="shared" si="5"/>
        <v>149</v>
      </c>
      <c r="AS1573" s="110">
        <v>0.0</v>
      </c>
      <c r="AT1573" s="110">
        <v>0.0</v>
      </c>
      <c r="AU1573" s="110">
        <v>0.0</v>
      </c>
      <c r="AV1573" s="142">
        <v>0.0</v>
      </c>
      <c r="AW1573" s="80">
        <f t="shared" si="6"/>
        <v>0</v>
      </c>
      <c r="AX1573" s="113">
        <f t="shared" si="7"/>
        <v>989</v>
      </c>
      <c r="AY1573" s="117">
        <f t="shared" si="8"/>
        <v>840</v>
      </c>
      <c r="AZ1573" s="120">
        <f t="shared" si="9"/>
        <v>149</v>
      </c>
      <c r="BA1573" s="115">
        <v>0.0</v>
      </c>
      <c r="BB1573" s="89">
        <f t="shared" si="10"/>
        <v>989</v>
      </c>
      <c r="BC1573" s="132" t="s">
        <v>178</v>
      </c>
      <c r="BD1573" s="132" t="s">
        <v>178</v>
      </c>
      <c r="BE1573" s="132" t="s">
        <v>178</v>
      </c>
      <c r="BF1573" s="156"/>
      <c r="BG1573" s="83">
        <v>1176094.0</v>
      </c>
      <c r="BH1573" s="98" t="s">
        <v>8616</v>
      </c>
      <c r="BI1573" s="112">
        <v>24.0</v>
      </c>
      <c r="BJ1573" s="98" t="s">
        <v>155</v>
      </c>
      <c r="BK1573" s="99">
        <f t="shared" si="11"/>
        <v>0</v>
      </c>
      <c r="BL1573" s="99">
        <f t="shared" si="12"/>
        <v>840</v>
      </c>
      <c r="BM1573" s="99" t="str">
        <f>IFERROR(__xludf.DUMMYFUNCTION("IFERROR(VLOOKUP(BG1573,IMPORTRANGE(""https://docs.google.com/spreadsheets/d/1juPI-Fb8LD0YtltB2mlGEnp_R3UVu1t3wSFPzgCyHXE/edit?gid=0#gid=0"",""GERAL!A2:C""),3,0),""-"")"),"-")</f>
        <v>-</v>
      </c>
    </row>
    <row r="1574" ht="15.75" customHeight="1">
      <c r="A1574" s="111" t="s">
        <v>1785</v>
      </c>
      <c r="B1574" s="83" t="s">
        <v>1994</v>
      </c>
      <c r="C1574" s="83" t="s">
        <v>68</v>
      </c>
      <c r="D1574" s="112">
        <v>1100523.0</v>
      </c>
      <c r="E1574" s="83"/>
      <c r="F1574" s="83">
        <v>2.9190738E7</v>
      </c>
      <c r="G1574" s="114" t="s">
        <v>8807</v>
      </c>
      <c r="H1574" s="91" t="s">
        <v>8808</v>
      </c>
      <c r="I1574" s="193" t="s">
        <v>8809</v>
      </c>
      <c r="J1574" s="83" t="s">
        <v>150</v>
      </c>
      <c r="K1574" s="83" t="s">
        <v>151</v>
      </c>
      <c r="L1574" s="83" t="s">
        <v>76</v>
      </c>
      <c r="M1574" s="82" t="str">
        <f>IFERROR(__xludf.DUMMYFUNCTION("IFERROR(VLOOKUP(D1574,
IMPORTRANGE(""https://docs.google.com/spreadsheets/d/1MjHtlUikwobi2MaWJgy7tfLeBmhj1u-dRFRs_8GwSoA/edit#gid=0"",""Gestores Escolares!D7:J""),3,0),""VERIFICAR CÓD SEC"")"),"SILVIA CELESTE FERREIRA DA CONCEIÇÃO")</f>
        <v>SILVIA CELESTE FERREIRA DA CONCEIÇÃO</v>
      </c>
      <c r="N1574" s="82" t="str">
        <f>IFERROR(__xludf.DUMMYFUNCTION("IFERROR(VLOOKUP(D1574,
IMPORTRANGE(""https://docs.google.com/spreadsheets/d/1MjHtlUikwobi2MaWJgy7tfLeBmhj1u-dRFRs_8GwSoA/edit#gid=0"",""Gestores Escolares!D7:J""),4,0),""VERIFICAR CÓD SEC"")"),"(71) 9 8256-4595")</f>
        <v>(71) 9 8256-4595</v>
      </c>
      <c r="O1574" s="82" t="str">
        <f>IFERROR(__xludf.DUMMYFUNCTION("IFERROR(VLOOKUP(D1574,
IMPORTRANGE(""https://docs.google.com/spreadsheets/d/1MjHtlUikwobi2MaWJgy7tfLeBmhj1u-dRFRs_8GwSoA/edit#gid=0"",""Gestores Escolares!D7:J""),6,0),""VERIFICAR CÓD SEC"")"),"")</f>
        <v/>
      </c>
      <c r="P1574" s="82" t="str">
        <f>IFERROR(__xludf.DUMMYFUNCTION("IFERROR(VLOOKUP(D1574,
IMPORTRANGE(""https://docs.google.com/spreadsheets/d/1MjHtlUikwobi2MaWJgy7tfLeBmhj1u-dRFRs_8GwSoA/edit#gid=0"",""Gestores Escolares!D7:J""),7,0),""VERIFICAR CÓD SEC"")"),"")</f>
        <v/>
      </c>
      <c r="Q1574" s="82" t="str">
        <f>IFERROR(__xludf.DUMMYFUNCTION("IFERROR(VLOOKUP(D1574,
IMPORTRANGE(""https://docs.google.com/spreadsheets/d/1MjHtlUikwobi2MaWJgy7tfLeBmhj1u-dRFRs_8GwSoA/edit#gid=0"",""Gestores Escolares!D7:m""),9,0),""VERIFICAR CÓD SEC"")"),"")</f>
        <v/>
      </c>
      <c r="R1574" s="82" t="str">
        <f>IFERROR(__xludf.DUMMYFUNCTION("IFERROR(VLOOKUP(D1574,
IMPORTRANGE(""https://docs.google.com/spreadsheets/d/1MjHtlUikwobi2MaWJgy7tfLeBmhj1u-dRFRs_8GwSoA/edit#gid=0"",""Gestores Escolares!D7:m""),10,0),""VERIFICAR CÓD SEC"")"),"")</f>
        <v/>
      </c>
      <c r="S1574" s="82"/>
      <c r="T1574" s="138">
        <v>7.0</v>
      </c>
      <c r="U1574" s="152">
        <v>7.0</v>
      </c>
      <c r="V1574" s="106">
        <v>0.0</v>
      </c>
      <c r="W1574" s="107">
        <v>0.0</v>
      </c>
      <c r="X1574" s="107">
        <v>0.0</v>
      </c>
      <c r="Y1574" s="107">
        <v>0.0</v>
      </c>
      <c r="Z1574" s="80">
        <f t="shared" si="1"/>
        <v>0</v>
      </c>
      <c r="AA1574" s="106">
        <v>29.0</v>
      </c>
      <c r="AB1574" s="107">
        <v>164.0</v>
      </c>
      <c r="AC1574" s="107">
        <v>0.0</v>
      </c>
      <c r="AD1574" s="107">
        <v>0.0</v>
      </c>
      <c r="AE1574" s="80">
        <f t="shared" si="2"/>
        <v>193</v>
      </c>
      <c r="AF1574" s="140">
        <v>160.0</v>
      </c>
      <c r="AG1574" s="109">
        <v>0.0</v>
      </c>
      <c r="AH1574" s="109">
        <v>0.0</v>
      </c>
      <c r="AI1574" s="141">
        <v>0.0</v>
      </c>
      <c r="AJ1574" s="80">
        <f t="shared" si="3"/>
        <v>160</v>
      </c>
      <c r="AK1574" s="140">
        <v>0.0</v>
      </c>
      <c r="AL1574" s="109">
        <v>0.0</v>
      </c>
      <c r="AM1574" s="141">
        <v>0.0</v>
      </c>
      <c r="AN1574" s="80">
        <f t="shared" si="4"/>
        <v>0</v>
      </c>
      <c r="AO1574" s="140">
        <v>0.0</v>
      </c>
      <c r="AP1574" s="109">
        <v>0.0</v>
      </c>
      <c r="AQ1574" s="109">
        <v>0.0</v>
      </c>
      <c r="AR1574" s="80">
        <f t="shared" si="5"/>
        <v>0</v>
      </c>
      <c r="AS1574" s="110">
        <v>0.0</v>
      </c>
      <c r="AT1574" s="110">
        <v>0.0</v>
      </c>
      <c r="AU1574" s="110">
        <v>0.0</v>
      </c>
      <c r="AV1574" s="142">
        <v>0.0</v>
      </c>
      <c r="AW1574" s="80">
        <f t="shared" si="6"/>
        <v>0</v>
      </c>
      <c r="AX1574" s="113">
        <f t="shared" si="7"/>
        <v>353</v>
      </c>
      <c r="AY1574" s="117">
        <f t="shared" si="8"/>
        <v>353</v>
      </c>
      <c r="AZ1574" s="120">
        <f t="shared" si="9"/>
        <v>0</v>
      </c>
      <c r="BA1574" s="115">
        <v>0.0</v>
      </c>
      <c r="BB1574" s="89">
        <f t="shared" si="10"/>
        <v>353</v>
      </c>
      <c r="BC1574" s="132" t="s">
        <v>178</v>
      </c>
      <c r="BD1574" s="132" t="s">
        <v>178</v>
      </c>
      <c r="BE1574" s="132" t="s">
        <v>178</v>
      </c>
      <c r="BF1574" s="123"/>
      <c r="BG1574" s="83">
        <v>1100523.0</v>
      </c>
      <c r="BH1574" s="98" t="s">
        <v>8810</v>
      </c>
      <c r="BI1574" s="112">
        <v>7.0</v>
      </c>
      <c r="BJ1574" s="98" t="s">
        <v>155</v>
      </c>
      <c r="BK1574" s="99">
        <f t="shared" si="11"/>
        <v>0</v>
      </c>
      <c r="BL1574" s="99">
        <f t="shared" si="12"/>
        <v>353</v>
      </c>
      <c r="BM1574" s="99" t="str">
        <f>IFERROR(__xludf.DUMMYFUNCTION("IFERROR(VLOOKUP(BG1574,IMPORTRANGE(""https://docs.google.com/spreadsheets/d/1juPI-Fb8LD0YtltB2mlGEnp_R3UVu1t3wSFPzgCyHXE/edit?gid=0#gid=0"",""GERAL!A2:C""),3,0),""-"")"),"-")</f>
        <v>-</v>
      </c>
    </row>
    <row r="1575" ht="15.75" customHeight="1">
      <c r="A1575" s="111" t="s">
        <v>1785</v>
      </c>
      <c r="B1575" s="83" t="s">
        <v>1994</v>
      </c>
      <c r="C1575" s="83" t="s">
        <v>68</v>
      </c>
      <c r="D1575" s="112">
        <v>1100493.0</v>
      </c>
      <c r="E1575" s="83"/>
      <c r="F1575" s="83">
        <v>2.919072E7</v>
      </c>
      <c r="G1575" s="114" t="s">
        <v>8811</v>
      </c>
      <c r="H1575" s="91" t="s">
        <v>8812</v>
      </c>
      <c r="I1575" s="136" t="s">
        <v>8162</v>
      </c>
      <c r="J1575" s="83" t="s">
        <v>150</v>
      </c>
      <c r="K1575" s="83" t="s">
        <v>8813</v>
      </c>
      <c r="L1575" s="83" t="s">
        <v>152</v>
      </c>
      <c r="M1575" s="82" t="str">
        <f>IFERROR(__xludf.DUMMYFUNCTION("IFERROR(VLOOKUP(D1575,
IMPORTRANGE(""https://docs.google.com/spreadsheets/d/1MjHtlUikwobi2MaWJgy7tfLeBmhj1u-dRFRs_8GwSoA/edit#gid=0"",""Gestores Escolares!D7:J""),3,0),""VERIFICAR CÓD SEC"")"),"RANY DE FÁTIMA SALDANHA CARNEIRO")</f>
        <v>RANY DE FÁTIMA SALDANHA CARNEIRO</v>
      </c>
      <c r="N1575" s="82" t="str">
        <f>IFERROR(__xludf.DUMMYFUNCTION("IFERROR(VLOOKUP(D1575,
IMPORTRANGE(""https://docs.google.com/spreadsheets/d/1MjHtlUikwobi2MaWJgy7tfLeBmhj1u-dRFRs_8GwSoA/edit#gid=0"",""Gestores Escolares!D7:J""),4,0),""VERIFICAR CÓD SEC"")"),"(71) 9 9146-5189")</f>
        <v>(71) 9 9146-5189</v>
      </c>
      <c r="O1575" s="82" t="str">
        <f>IFERROR(__xludf.DUMMYFUNCTION("IFERROR(VLOOKUP(D1575,
IMPORTRANGE(""https://docs.google.com/spreadsheets/d/1MjHtlUikwobi2MaWJgy7tfLeBmhj1u-dRFRs_8GwSoA/edit#gid=0"",""Gestores Escolares!D7:J""),6,0),""VERIFICAR CÓD SEC"")"),"LUIS ALBERTO ALVES DE JESUS")</f>
        <v>LUIS ALBERTO ALVES DE JESUS</v>
      </c>
      <c r="P1575" s="82" t="str">
        <f>IFERROR(__xludf.DUMMYFUNCTION("IFERROR(VLOOKUP(D1575,
IMPORTRANGE(""https://docs.google.com/spreadsheets/d/1MjHtlUikwobi2MaWJgy7tfLeBmhj1u-dRFRs_8GwSoA/edit#gid=0"",""Gestores Escolares!D7:J""),7,0),""VERIFICAR CÓD SEC"")"),"(71) 9 8617-9262")</f>
        <v>(71) 9 8617-9262</v>
      </c>
      <c r="Q1575" s="82" t="str">
        <f>IFERROR(__xludf.DUMMYFUNCTION("IFERROR(VLOOKUP(D1575,
IMPORTRANGE(""https://docs.google.com/spreadsheets/d/1MjHtlUikwobi2MaWJgy7tfLeBmhj1u-dRFRs_8GwSoA/edit#gid=0"",""Gestores Escolares!D7:m""),9,0),""VERIFICAR CÓD SEC"")"),"")</f>
        <v/>
      </c>
      <c r="R1575" s="82" t="str">
        <f>IFERROR(__xludf.DUMMYFUNCTION("IFERROR(VLOOKUP(D1575,
IMPORTRANGE(""https://docs.google.com/spreadsheets/d/1MjHtlUikwobi2MaWJgy7tfLeBmhj1u-dRFRs_8GwSoA/edit#gid=0"",""Gestores Escolares!D7:m""),10,0),""VERIFICAR CÓD SEC"")"),"")</f>
        <v/>
      </c>
      <c r="S1575" s="82"/>
      <c r="T1575" s="138">
        <v>9.0</v>
      </c>
      <c r="U1575" s="152">
        <v>9.0</v>
      </c>
      <c r="V1575" s="106">
        <v>0.0</v>
      </c>
      <c r="W1575" s="107">
        <v>0.0</v>
      </c>
      <c r="X1575" s="107">
        <v>0.0</v>
      </c>
      <c r="Y1575" s="107">
        <v>0.0</v>
      </c>
      <c r="Z1575" s="80">
        <f t="shared" si="1"/>
        <v>0</v>
      </c>
      <c r="AA1575" s="106">
        <v>254.0</v>
      </c>
      <c r="AB1575" s="107">
        <v>248.0</v>
      </c>
      <c r="AC1575" s="107">
        <v>0.0</v>
      </c>
      <c r="AD1575" s="107">
        <v>0.0</v>
      </c>
      <c r="AE1575" s="80">
        <f t="shared" si="2"/>
        <v>502</v>
      </c>
      <c r="AF1575" s="140">
        <v>0.0</v>
      </c>
      <c r="AG1575" s="109">
        <v>0.0</v>
      </c>
      <c r="AH1575" s="109">
        <v>0.0</v>
      </c>
      <c r="AI1575" s="141">
        <v>0.0</v>
      </c>
      <c r="AJ1575" s="80">
        <f t="shared" si="3"/>
        <v>0</v>
      </c>
      <c r="AK1575" s="140">
        <v>0.0</v>
      </c>
      <c r="AL1575" s="109">
        <v>0.0</v>
      </c>
      <c r="AM1575" s="141">
        <v>69.0</v>
      </c>
      <c r="AN1575" s="80">
        <f t="shared" si="4"/>
        <v>69</v>
      </c>
      <c r="AO1575" s="140">
        <v>0.0</v>
      </c>
      <c r="AP1575" s="109">
        <v>0.0</v>
      </c>
      <c r="AQ1575" s="109">
        <v>111.0</v>
      </c>
      <c r="AR1575" s="80">
        <f t="shared" si="5"/>
        <v>111</v>
      </c>
      <c r="AS1575" s="110">
        <v>0.0</v>
      </c>
      <c r="AT1575" s="110">
        <v>0.0</v>
      </c>
      <c r="AU1575" s="110">
        <v>8.0</v>
      </c>
      <c r="AV1575" s="142">
        <v>0.0</v>
      </c>
      <c r="AW1575" s="80">
        <f t="shared" si="6"/>
        <v>8</v>
      </c>
      <c r="AX1575" s="113">
        <f t="shared" si="7"/>
        <v>690</v>
      </c>
      <c r="AY1575" s="117">
        <f t="shared" si="8"/>
        <v>502</v>
      </c>
      <c r="AZ1575" s="120">
        <f t="shared" si="9"/>
        <v>188</v>
      </c>
      <c r="BA1575" s="115">
        <v>0.0</v>
      </c>
      <c r="BB1575" s="89">
        <f t="shared" si="10"/>
        <v>690</v>
      </c>
      <c r="BC1575" s="132" t="s">
        <v>178</v>
      </c>
      <c r="BD1575" s="132" t="s">
        <v>178</v>
      </c>
      <c r="BE1575" s="132" t="s">
        <v>178</v>
      </c>
      <c r="BF1575" s="123"/>
      <c r="BG1575" s="83">
        <v>1100493.0</v>
      </c>
      <c r="BH1575" s="98" t="s">
        <v>8814</v>
      </c>
      <c r="BI1575" s="112">
        <v>9.0</v>
      </c>
      <c r="BJ1575" s="98" t="s">
        <v>155</v>
      </c>
      <c r="BK1575" s="99">
        <f t="shared" si="11"/>
        <v>0</v>
      </c>
      <c r="BL1575" s="99">
        <f t="shared" si="12"/>
        <v>502</v>
      </c>
      <c r="BM1575" s="99" t="str">
        <f>IFERROR(__xludf.DUMMYFUNCTION("IFERROR(VLOOKUP(BG1575,IMPORTRANGE(""https://docs.google.com/spreadsheets/d/1juPI-Fb8LD0YtltB2mlGEnp_R3UVu1t3wSFPzgCyHXE/edit?gid=0#gid=0"",""GERAL!A2:C""),3,0),""-"")"),"-")</f>
        <v>-</v>
      </c>
    </row>
    <row r="1576">
      <c r="A1576" s="111" t="s">
        <v>1785</v>
      </c>
      <c r="B1576" s="83" t="s">
        <v>1994</v>
      </c>
      <c r="C1576" s="83" t="s">
        <v>68</v>
      </c>
      <c r="D1576" s="112">
        <v>1176206.0</v>
      </c>
      <c r="E1576" s="83"/>
      <c r="F1576" s="83">
        <v>2.9357829E7</v>
      </c>
      <c r="G1576" s="119" t="s">
        <v>8815</v>
      </c>
      <c r="H1576" s="91" t="s">
        <v>8816</v>
      </c>
      <c r="I1576" s="115" t="s">
        <v>8327</v>
      </c>
      <c r="J1576" s="83" t="s">
        <v>150</v>
      </c>
      <c r="K1576" s="83" t="s">
        <v>151</v>
      </c>
      <c r="L1576" s="83" t="s">
        <v>152</v>
      </c>
      <c r="M1576" s="82" t="str">
        <f>IFERROR(__xludf.DUMMYFUNCTION("IFERROR(VLOOKUP(D1576,
IMPORTRANGE(""https://docs.google.com/spreadsheets/d/1MjHtlUikwobi2MaWJgy7tfLeBmhj1u-dRFRs_8GwSoA/edit#gid=0"",""Gestores Escolares!D7:J""),3,0),""VERIFICAR CÓD SEC"")"),"MÁRCIA MARIA ARAÚJO RIBEIRO ")</f>
        <v>MÁRCIA MARIA ARAÚJO RIBEIRO </v>
      </c>
      <c r="N1576" s="82" t="str">
        <f>IFERROR(__xludf.DUMMYFUNCTION("IFERROR(VLOOKUP(D1576,
IMPORTRANGE(""https://docs.google.com/spreadsheets/d/1MjHtlUikwobi2MaWJgy7tfLeBmhj1u-dRFRs_8GwSoA/edit#gid=0"",""Gestores Escolares!D7:J""),4,0),""VERIFICAR CÓD SEC"")"),"(71) 9 8626-0083")</f>
        <v>(71) 9 8626-0083</v>
      </c>
      <c r="O1576" s="82" t="str">
        <f>IFERROR(__xludf.DUMMYFUNCTION("IFERROR(VLOOKUP(D1576,
IMPORTRANGE(""https://docs.google.com/spreadsheets/d/1MjHtlUikwobi2MaWJgy7tfLeBmhj1u-dRFRs_8GwSoA/edit#gid=0"",""Gestores Escolares!D7:J""),6,0),""VERIFICAR CÓD SEC"")"),"CARLOS ALBERTO BRITO DA SILVA")</f>
        <v>CARLOS ALBERTO BRITO DA SILVA</v>
      </c>
      <c r="P1576" s="82" t="str">
        <f>IFERROR(__xludf.DUMMYFUNCTION("IFERROR(VLOOKUP(D1576,
IMPORTRANGE(""https://docs.google.com/spreadsheets/d/1MjHtlUikwobi2MaWJgy7tfLeBmhj1u-dRFRs_8GwSoA/edit#gid=0"",""Gestores Escolares!D7:J""),7,0),""VERIFICAR CÓD SEC"")"),"(71) 9 8814-8567/ 9 9929-4111")</f>
        <v>(71) 9 8814-8567/ 9 9929-4111</v>
      </c>
      <c r="Q1576" s="82" t="str">
        <f>IFERROR(__xludf.DUMMYFUNCTION("IFERROR(VLOOKUP(D1576,
IMPORTRANGE(""https://docs.google.com/spreadsheets/d/1MjHtlUikwobi2MaWJgy7tfLeBmhj1u-dRFRs_8GwSoA/edit#gid=0"",""Gestores Escolares!D7:m""),9,0),""VERIFICAR CÓD SEC"")"),"")</f>
        <v/>
      </c>
      <c r="R1576" s="82" t="str">
        <f>IFERROR(__xludf.DUMMYFUNCTION("IFERROR(VLOOKUP(D1576,
IMPORTRANGE(""https://docs.google.com/spreadsheets/d/1MjHtlUikwobi2MaWJgy7tfLeBmhj1u-dRFRs_8GwSoA/edit#gid=0"",""Gestores Escolares!D7:m""),10,0),""VERIFICAR CÓD SEC"")"),"")</f>
        <v/>
      </c>
      <c r="S1576" s="82"/>
      <c r="T1576" s="138">
        <v>15.0</v>
      </c>
      <c r="U1576" s="152">
        <v>15.0</v>
      </c>
      <c r="V1576" s="106">
        <v>0.0</v>
      </c>
      <c r="W1576" s="107">
        <v>0.0</v>
      </c>
      <c r="X1576" s="107">
        <v>0.0</v>
      </c>
      <c r="Y1576" s="107">
        <v>0.0</v>
      </c>
      <c r="Z1576" s="80">
        <f t="shared" si="1"/>
        <v>0</v>
      </c>
      <c r="AA1576" s="106">
        <v>0.0</v>
      </c>
      <c r="AB1576" s="107">
        <v>0.0</v>
      </c>
      <c r="AC1576" s="107">
        <v>0.0</v>
      </c>
      <c r="AD1576" s="107">
        <v>296.0</v>
      </c>
      <c r="AE1576" s="80">
        <f t="shared" si="2"/>
        <v>296</v>
      </c>
      <c r="AF1576" s="140">
        <v>0.0</v>
      </c>
      <c r="AG1576" s="109">
        <v>0.0</v>
      </c>
      <c r="AH1576" s="109">
        <v>0.0</v>
      </c>
      <c r="AI1576" s="141">
        <v>0.0</v>
      </c>
      <c r="AJ1576" s="80">
        <f t="shared" si="3"/>
        <v>0</v>
      </c>
      <c r="AK1576" s="140">
        <v>0.0</v>
      </c>
      <c r="AL1576" s="109">
        <v>0.0</v>
      </c>
      <c r="AM1576" s="141">
        <v>0.0</v>
      </c>
      <c r="AN1576" s="80">
        <f t="shared" si="4"/>
        <v>0</v>
      </c>
      <c r="AO1576" s="140">
        <v>0.0</v>
      </c>
      <c r="AP1576" s="109">
        <v>0.0</v>
      </c>
      <c r="AQ1576" s="109">
        <v>0.0</v>
      </c>
      <c r="AR1576" s="80">
        <f t="shared" si="5"/>
        <v>0</v>
      </c>
      <c r="AS1576" s="110">
        <v>0.0</v>
      </c>
      <c r="AT1576" s="110">
        <v>0.0</v>
      </c>
      <c r="AU1576" s="110">
        <v>0.0</v>
      </c>
      <c r="AV1576" s="142">
        <v>0.0</v>
      </c>
      <c r="AW1576" s="80">
        <f t="shared" si="6"/>
        <v>0</v>
      </c>
      <c r="AX1576" s="113">
        <f t="shared" si="7"/>
        <v>296</v>
      </c>
      <c r="AY1576" s="117">
        <f t="shared" si="8"/>
        <v>296</v>
      </c>
      <c r="AZ1576" s="120">
        <f t="shared" si="9"/>
        <v>0</v>
      </c>
      <c r="BA1576" s="115">
        <v>0.0</v>
      </c>
      <c r="BB1576" s="89">
        <f t="shared" si="10"/>
        <v>296</v>
      </c>
      <c r="BC1576" s="132" t="s">
        <v>178</v>
      </c>
      <c r="BD1576" s="132" t="s">
        <v>178</v>
      </c>
      <c r="BE1576" s="132" t="s">
        <v>178</v>
      </c>
      <c r="BF1576" s="156"/>
      <c r="BG1576" s="83">
        <v>1176206.0</v>
      </c>
      <c r="BH1576" s="98" t="s">
        <v>8817</v>
      </c>
      <c r="BI1576" s="112">
        <v>15.0</v>
      </c>
      <c r="BJ1576" s="98" t="s">
        <v>155</v>
      </c>
      <c r="BK1576" s="99">
        <f t="shared" si="11"/>
        <v>296</v>
      </c>
      <c r="BL1576" s="99">
        <f t="shared" si="12"/>
        <v>0</v>
      </c>
      <c r="BM1576" s="99" t="str">
        <f>IFERROR(__xludf.DUMMYFUNCTION("IFERROR(VLOOKUP(BG1576,IMPORTRANGE(""https://docs.google.com/spreadsheets/d/1juPI-Fb8LD0YtltB2mlGEnp_R3UVu1t3wSFPzgCyHXE/edit?gid=0#gid=0"",""GERAL!A2:C""),3,0),""-"")"),"-")</f>
        <v>-</v>
      </c>
    </row>
    <row r="1577" ht="15.75" customHeight="1">
      <c r="A1577" s="111" t="s">
        <v>1785</v>
      </c>
      <c r="B1577" s="83" t="s">
        <v>1994</v>
      </c>
      <c r="C1577" s="83" t="s">
        <v>68</v>
      </c>
      <c r="D1577" s="112">
        <v>1100345.0</v>
      </c>
      <c r="E1577" s="83"/>
      <c r="F1577" s="83">
        <v>2.9182123E7</v>
      </c>
      <c r="G1577" s="119" t="s">
        <v>8818</v>
      </c>
      <c r="H1577" s="91" t="s">
        <v>8819</v>
      </c>
      <c r="I1577" s="136" t="s">
        <v>8820</v>
      </c>
      <c r="J1577" s="83" t="s">
        <v>150</v>
      </c>
      <c r="K1577" s="83" t="s">
        <v>151</v>
      </c>
      <c r="L1577" s="83" t="s">
        <v>230</v>
      </c>
      <c r="M1577" s="82" t="str">
        <f>IFERROR(__xludf.DUMMYFUNCTION("IFERROR(VLOOKUP(D1577,
IMPORTRANGE(""https://docs.google.com/spreadsheets/d/1MjHtlUikwobi2MaWJgy7tfLeBmhj1u-dRFRs_8GwSoA/edit#gid=0"",""Gestores Escolares!D7:J""),3,0),""VERIFICAR CÓD SEC"")"),"ROSENILDA MESQUITA DE SANTANA")</f>
        <v>ROSENILDA MESQUITA DE SANTANA</v>
      </c>
      <c r="N1577" s="82" t="str">
        <f>IFERROR(__xludf.DUMMYFUNCTION("IFERROR(VLOOKUP(D1577,
IMPORTRANGE(""https://docs.google.com/spreadsheets/d/1MjHtlUikwobi2MaWJgy7tfLeBmhj1u-dRFRs_8GwSoA/edit#gid=0"",""Gestores Escolares!D7:J""),4,0),""VERIFICAR CÓD SEC"")"),"(71) 9 8838-1022 ")</f>
        <v>(71) 9 8838-1022 </v>
      </c>
      <c r="O1577" s="82" t="str">
        <f>IFERROR(__xludf.DUMMYFUNCTION("IFERROR(VLOOKUP(D1577,
IMPORTRANGE(""https://docs.google.com/spreadsheets/d/1MjHtlUikwobi2MaWJgy7tfLeBmhj1u-dRFRs_8GwSoA/edit#gid=0"",""Gestores Escolares!D7:J""),6,0),""VERIFICAR CÓD SEC"")"),"JESUS GOES ORGE")</f>
        <v>JESUS GOES ORGE</v>
      </c>
      <c r="P1577" s="82" t="str">
        <f>IFERROR(__xludf.DUMMYFUNCTION("IFERROR(VLOOKUP(D1577,
IMPORTRANGE(""https://docs.google.com/spreadsheets/d/1MjHtlUikwobi2MaWJgy7tfLeBmhj1u-dRFRs_8GwSoA/edit#gid=0"",""Gestores Escolares!D7:J""),7,0),""VERIFICAR CÓD SEC"")"),"(71) 9 8804-0239 ")</f>
        <v>(71) 9 8804-0239 </v>
      </c>
      <c r="Q1577" s="82" t="str">
        <f>IFERROR(__xludf.DUMMYFUNCTION("IFERROR(VLOOKUP(D1577,
IMPORTRANGE(""https://docs.google.com/spreadsheets/d/1MjHtlUikwobi2MaWJgy7tfLeBmhj1u-dRFRs_8GwSoA/edit#gid=0"",""Gestores Escolares!D7:m""),9,0),""VERIFICAR CÓD SEC"")"),"CRISTIANE GOMES SANCHES")</f>
        <v>CRISTIANE GOMES SANCHES</v>
      </c>
      <c r="R1577" s="82" t="str">
        <f>IFERROR(__xludf.DUMMYFUNCTION("IFERROR(VLOOKUP(D1577,
IMPORTRANGE(""https://docs.google.com/spreadsheets/d/1MjHtlUikwobi2MaWJgy7tfLeBmhj1u-dRFRs_8GwSoA/edit#gid=0"",""Gestores Escolares!D7:m""),10,0),""VERIFICAR CÓD SEC"")"),"(71) 9 8264-0215")</f>
        <v>(71) 9 8264-0215</v>
      </c>
      <c r="S1577" s="82"/>
      <c r="T1577" s="138">
        <v>25.0</v>
      </c>
      <c r="U1577" s="139">
        <v>24.0</v>
      </c>
      <c r="V1577" s="106">
        <v>0.0</v>
      </c>
      <c r="W1577" s="107">
        <v>0.0</v>
      </c>
      <c r="X1577" s="107">
        <v>0.0</v>
      </c>
      <c r="Y1577" s="107">
        <v>0.0</v>
      </c>
      <c r="Z1577" s="80">
        <f t="shared" si="1"/>
        <v>0</v>
      </c>
      <c r="AA1577" s="106">
        <v>0.0</v>
      </c>
      <c r="AB1577" s="107">
        <v>0.0</v>
      </c>
      <c r="AC1577" s="107">
        <v>0.0</v>
      </c>
      <c r="AD1577" s="107">
        <v>0.0</v>
      </c>
      <c r="AE1577" s="80">
        <f t="shared" si="2"/>
        <v>0</v>
      </c>
      <c r="AF1577" s="140">
        <v>549.0</v>
      </c>
      <c r="AG1577" s="109">
        <v>0.0</v>
      </c>
      <c r="AH1577" s="109">
        <v>0.0</v>
      </c>
      <c r="AI1577" s="141">
        <v>0.0</v>
      </c>
      <c r="AJ1577" s="80">
        <f t="shared" si="3"/>
        <v>549</v>
      </c>
      <c r="AK1577" s="140">
        <v>0.0</v>
      </c>
      <c r="AL1577" s="109">
        <v>0.0</v>
      </c>
      <c r="AM1577" s="141">
        <v>0.0</v>
      </c>
      <c r="AN1577" s="80">
        <f t="shared" si="4"/>
        <v>0</v>
      </c>
      <c r="AO1577" s="140">
        <v>0.0</v>
      </c>
      <c r="AP1577" s="109">
        <v>19.0</v>
      </c>
      <c r="AQ1577" s="109">
        <v>63.0</v>
      </c>
      <c r="AR1577" s="80">
        <f t="shared" si="5"/>
        <v>82</v>
      </c>
      <c r="AS1577" s="110">
        <v>186.0</v>
      </c>
      <c r="AT1577" s="110">
        <v>71.0</v>
      </c>
      <c r="AU1577" s="110">
        <v>85.0</v>
      </c>
      <c r="AV1577" s="142">
        <v>0.0</v>
      </c>
      <c r="AW1577" s="80">
        <f t="shared" si="6"/>
        <v>342</v>
      </c>
      <c r="AX1577" s="113">
        <f t="shared" si="7"/>
        <v>973</v>
      </c>
      <c r="AY1577" s="117">
        <f t="shared" si="8"/>
        <v>825</v>
      </c>
      <c r="AZ1577" s="120">
        <f t="shared" si="9"/>
        <v>148</v>
      </c>
      <c r="BA1577" s="115">
        <v>0.0</v>
      </c>
      <c r="BB1577" s="89">
        <f t="shared" si="10"/>
        <v>973</v>
      </c>
      <c r="BC1577" s="132" t="s">
        <v>178</v>
      </c>
      <c r="BD1577" s="132" t="s">
        <v>178</v>
      </c>
      <c r="BE1577" s="132" t="s">
        <v>178</v>
      </c>
      <c r="BF1577" s="123"/>
      <c r="BG1577" s="83">
        <v>1100345.0</v>
      </c>
      <c r="BH1577" s="98" t="s">
        <v>8821</v>
      </c>
      <c r="BI1577" s="112">
        <v>24.0</v>
      </c>
      <c r="BJ1577" s="98" t="s">
        <v>155</v>
      </c>
      <c r="BK1577" s="99">
        <f t="shared" si="11"/>
        <v>0</v>
      </c>
      <c r="BL1577" s="99">
        <f t="shared" si="12"/>
        <v>825</v>
      </c>
      <c r="BM1577" s="99" t="str">
        <f>IFERROR(__xludf.DUMMYFUNCTION("IFERROR(VLOOKUP(BG1577,IMPORTRANGE(""https://docs.google.com/spreadsheets/d/1juPI-Fb8LD0YtltB2mlGEnp_R3UVu1t3wSFPzgCyHXE/edit?gid=0#gid=0"",""GERAL!A2:C""),3,0),""-"")"),"-")</f>
        <v>-</v>
      </c>
    </row>
    <row r="1578" ht="15.75" customHeight="1">
      <c r="A1578" s="111" t="s">
        <v>1785</v>
      </c>
      <c r="B1578" s="83" t="s">
        <v>1994</v>
      </c>
      <c r="C1578" s="83" t="s">
        <v>68</v>
      </c>
      <c r="D1578" s="112">
        <v>1102097.0</v>
      </c>
      <c r="E1578" s="83"/>
      <c r="F1578" s="83">
        <v>2.9190878E7</v>
      </c>
      <c r="G1578" s="114" t="s">
        <v>8824</v>
      </c>
      <c r="H1578" s="91" t="s">
        <v>8825</v>
      </c>
      <c r="I1578" s="136" t="s">
        <v>8826</v>
      </c>
      <c r="J1578" s="83" t="s">
        <v>150</v>
      </c>
      <c r="K1578" s="83" t="s">
        <v>151</v>
      </c>
      <c r="L1578" s="83" t="s">
        <v>152</v>
      </c>
      <c r="M1578" s="82" t="str">
        <f>IFERROR(__xludf.DUMMYFUNCTION("IFERROR(VLOOKUP(D1578,
IMPORTRANGE(""https://docs.google.com/spreadsheets/d/1MjHtlUikwobi2MaWJgy7tfLeBmhj1u-dRFRs_8GwSoA/edit#gid=0"",""Gestores Escolares!D7:J""),3,0),""VERIFICAR CÓD SEC"")"),"IZANIA EVANGELISTA SANTOS DOS SANTOS")</f>
        <v>IZANIA EVANGELISTA SANTOS DOS SANTOS</v>
      </c>
      <c r="N1578" s="82" t="str">
        <f>IFERROR(__xludf.DUMMYFUNCTION("IFERROR(VLOOKUP(D1578,
IMPORTRANGE(""https://docs.google.com/spreadsheets/d/1MjHtlUikwobi2MaWJgy7tfLeBmhj1u-dRFRs_8GwSoA/edit#gid=0"",""Gestores Escolares!D7:J""),4,0),""VERIFICAR CÓD SEC"")"),"(71) 9 9966-2804")</f>
        <v>(71) 9 9966-2804</v>
      </c>
      <c r="O1578" s="82" t="str">
        <f>IFERROR(__xludf.DUMMYFUNCTION("IFERROR(VLOOKUP(D1578,
IMPORTRANGE(""https://docs.google.com/spreadsheets/d/1MjHtlUikwobi2MaWJgy7tfLeBmhj1u-dRFRs_8GwSoA/edit#gid=0"",""Gestores Escolares!D7:J""),6,0),""VERIFICAR CÓD SEC"")")," GELSON SAO PEDRO SILVA")</f>
        <v> GELSON SAO PEDRO SILVA</v>
      </c>
      <c r="P1578" s="82" t="str">
        <f>IFERROR(__xludf.DUMMYFUNCTION("IFERROR(VLOOKUP(D1578,
IMPORTRANGE(""https://docs.google.com/spreadsheets/d/1MjHtlUikwobi2MaWJgy7tfLeBmhj1u-dRFRs_8GwSoA/edit#gid=0"",""Gestores Escolares!D7:J""),7,0),""VERIFICAR CÓD SEC"")"),"(71) 9 8842-7328")</f>
        <v>(71) 9 8842-7328</v>
      </c>
      <c r="Q1578" s="82" t="str">
        <f>IFERROR(__xludf.DUMMYFUNCTION("IFERROR(VLOOKUP(D1578,
IMPORTRANGE(""https://docs.google.com/spreadsheets/d/1MjHtlUikwobi2MaWJgy7tfLeBmhj1u-dRFRs_8GwSoA/edit#gid=0"",""Gestores Escolares!D7:m""),9,0),""VERIFICAR CÓD SEC"")"),"")</f>
        <v/>
      </c>
      <c r="R1578" s="82" t="str">
        <f>IFERROR(__xludf.DUMMYFUNCTION("IFERROR(VLOOKUP(D1578,
IMPORTRANGE(""https://docs.google.com/spreadsheets/d/1MjHtlUikwobi2MaWJgy7tfLeBmhj1u-dRFRs_8GwSoA/edit#gid=0"",""Gestores Escolares!D7:m""),10,0),""VERIFICAR CÓD SEC"")"),"")</f>
        <v/>
      </c>
      <c r="S1578" s="82"/>
      <c r="T1578" s="138">
        <v>13.0</v>
      </c>
      <c r="U1578" s="152">
        <v>13.0</v>
      </c>
      <c r="V1578" s="106">
        <v>0.0</v>
      </c>
      <c r="W1578" s="107">
        <v>0.0</v>
      </c>
      <c r="X1578" s="107">
        <v>0.0</v>
      </c>
      <c r="Y1578" s="107">
        <v>0.0</v>
      </c>
      <c r="Z1578" s="80">
        <f t="shared" si="1"/>
        <v>0</v>
      </c>
      <c r="AA1578" s="106">
        <v>73.0</v>
      </c>
      <c r="AB1578" s="107">
        <v>314.0</v>
      </c>
      <c r="AC1578" s="107">
        <v>0.0</v>
      </c>
      <c r="AD1578" s="107">
        <v>0.0</v>
      </c>
      <c r="AE1578" s="80">
        <f t="shared" si="2"/>
        <v>387</v>
      </c>
      <c r="AF1578" s="140">
        <v>213.0</v>
      </c>
      <c r="AG1578" s="109">
        <v>90.0</v>
      </c>
      <c r="AH1578" s="109">
        <v>0.0</v>
      </c>
      <c r="AI1578" s="141">
        <v>0.0</v>
      </c>
      <c r="AJ1578" s="80">
        <f t="shared" si="3"/>
        <v>303</v>
      </c>
      <c r="AK1578" s="140">
        <v>0.0</v>
      </c>
      <c r="AL1578" s="109">
        <v>0.0</v>
      </c>
      <c r="AM1578" s="141">
        <v>83.0</v>
      </c>
      <c r="AN1578" s="80">
        <f t="shared" si="4"/>
        <v>83</v>
      </c>
      <c r="AO1578" s="140">
        <v>0.0</v>
      </c>
      <c r="AP1578" s="109">
        <v>0.0</v>
      </c>
      <c r="AQ1578" s="109">
        <v>161.0</v>
      </c>
      <c r="AR1578" s="80">
        <f t="shared" si="5"/>
        <v>161</v>
      </c>
      <c r="AS1578" s="110">
        <v>80.0</v>
      </c>
      <c r="AT1578" s="110">
        <v>0.0</v>
      </c>
      <c r="AU1578" s="110">
        <v>14.0</v>
      </c>
      <c r="AV1578" s="142">
        <v>0.0</v>
      </c>
      <c r="AW1578" s="80">
        <f t="shared" si="6"/>
        <v>94</v>
      </c>
      <c r="AX1578" s="113">
        <f t="shared" si="7"/>
        <v>1028</v>
      </c>
      <c r="AY1578" s="117">
        <f t="shared" si="8"/>
        <v>770</v>
      </c>
      <c r="AZ1578" s="120">
        <f t="shared" si="9"/>
        <v>258</v>
      </c>
      <c r="BA1578" s="115">
        <v>2.0</v>
      </c>
      <c r="BB1578" s="89">
        <f t="shared" si="10"/>
        <v>1030</v>
      </c>
      <c r="BC1578" s="132" t="s">
        <v>178</v>
      </c>
      <c r="BD1578" s="132" t="s">
        <v>178</v>
      </c>
      <c r="BE1578" s="132" t="s">
        <v>178</v>
      </c>
      <c r="BF1578" s="123"/>
      <c r="BG1578" s="83">
        <v>1102097.0</v>
      </c>
      <c r="BH1578" s="98" t="s">
        <v>8827</v>
      </c>
      <c r="BI1578" s="112">
        <v>13.0</v>
      </c>
      <c r="BJ1578" s="98" t="s">
        <v>155</v>
      </c>
      <c r="BK1578" s="99">
        <f t="shared" si="11"/>
        <v>0</v>
      </c>
      <c r="BL1578" s="99">
        <f t="shared" si="12"/>
        <v>770</v>
      </c>
      <c r="BM1578" s="99" t="str">
        <f>IFERROR(__xludf.DUMMYFUNCTION("IFERROR(VLOOKUP(BG1578,IMPORTRANGE(""https://docs.google.com/spreadsheets/d/1juPI-Fb8LD0YtltB2mlGEnp_R3UVu1t3wSFPzgCyHXE/edit?gid=0#gid=0"",""GERAL!A2:C""),3,0),""-"")"),"-")</f>
        <v>-</v>
      </c>
    </row>
    <row r="1579" ht="15.75" customHeight="1">
      <c r="A1579" s="111" t="s">
        <v>1785</v>
      </c>
      <c r="B1579" s="83" t="s">
        <v>1994</v>
      </c>
      <c r="C1579" s="83" t="s">
        <v>68</v>
      </c>
      <c r="D1579" s="112">
        <v>1104260.0</v>
      </c>
      <c r="E1579" s="83"/>
      <c r="F1579" s="83">
        <v>2.9190363E7</v>
      </c>
      <c r="G1579" s="119" t="s">
        <v>8829</v>
      </c>
      <c r="H1579" s="91" t="s">
        <v>8830</v>
      </c>
      <c r="I1579" s="83" t="s">
        <v>8831</v>
      </c>
      <c r="J1579" s="83" t="s">
        <v>150</v>
      </c>
      <c r="K1579" s="83" t="s">
        <v>151</v>
      </c>
      <c r="L1579" s="83" t="s">
        <v>152</v>
      </c>
      <c r="M1579" s="82" t="str">
        <f>IFERROR(__xludf.DUMMYFUNCTION("IFERROR(VLOOKUP(D1579,
IMPORTRANGE(""https://docs.google.com/spreadsheets/d/1MjHtlUikwobi2MaWJgy7tfLeBmhj1u-dRFRs_8GwSoA/edit#gid=0"",""Gestores Escolares!D7:J""),3,0),""VERIFICAR CÓD SEC"")"),"CLAUDIA FERREIRA NUNES")</f>
        <v>CLAUDIA FERREIRA NUNES</v>
      </c>
      <c r="N1579" s="82" t="str">
        <f>IFERROR(__xludf.DUMMYFUNCTION("IFERROR(VLOOKUP(D1579,
IMPORTRANGE(""https://docs.google.com/spreadsheets/d/1MjHtlUikwobi2MaWJgy7tfLeBmhj1u-dRFRs_8GwSoA/edit#gid=0"",""Gestores Escolares!D7:J""),4,0),""VERIFICAR CÓD SEC"")"),"(73) 9 9187-3942")</f>
        <v>(73) 9 9187-3942</v>
      </c>
      <c r="O1579" s="82" t="str">
        <f>IFERROR(__xludf.DUMMYFUNCTION("IFERROR(VLOOKUP(D1579,
IMPORTRANGE(""https://docs.google.com/spreadsheets/d/1MjHtlUikwobi2MaWJgy7tfLeBmhj1u-dRFRs_8GwSoA/edit#gid=0"",""Gestores Escolares!D7:J""),6,0),""VERIFICAR CÓD SEC"")"),"SELMIR ESTRELADO FERNANDES SANTOS")</f>
        <v>SELMIR ESTRELADO FERNANDES SANTOS</v>
      </c>
      <c r="P1579" s="82" t="str">
        <f>IFERROR(__xludf.DUMMYFUNCTION("IFERROR(VLOOKUP(D1579,
IMPORTRANGE(""https://docs.google.com/spreadsheets/d/1MjHtlUikwobi2MaWJgy7tfLeBmhj1u-dRFRs_8GwSoA/edit#gid=0"",""Gestores Escolares!D7:J""),7,0),""VERIFICAR CÓD SEC"")"),"(71) 9 9260-8412/ 3386-1649")</f>
        <v>(71) 9 9260-8412/ 3386-1649</v>
      </c>
      <c r="Q1579" s="82" t="str">
        <f>IFERROR(__xludf.DUMMYFUNCTION("IFERROR(VLOOKUP(D1579,
IMPORTRANGE(""https://docs.google.com/spreadsheets/d/1MjHtlUikwobi2MaWJgy7tfLeBmhj1u-dRFRs_8GwSoA/edit#gid=0"",""Gestores Escolares!D7:m""),9,0),""VERIFICAR CÓD SEC"")"),"JOSETE FERREIRA NUNES")</f>
        <v>JOSETE FERREIRA NUNES</v>
      </c>
      <c r="R1579" s="82" t="str">
        <f>IFERROR(__xludf.DUMMYFUNCTION("IFERROR(VLOOKUP(D1579,
IMPORTRANGE(""https://docs.google.com/spreadsheets/d/1MjHtlUikwobi2MaWJgy7tfLeBmhj1u-dRFRs_8GwSoA/edit#gid=0"",""Gestores Escolares!D7:m""),10,0),""VERIFICAR CÓD SEC"")")," (73) 9 9124-6024")</f>
        <v> (73) 9 9124-6024</v>
      </c>
      <c r="S1579" s="82"/>
      <c r="T1579" s="138">
        <v>10.0</v>
      </c>
      <c r="U1579" s="152">
        <v>10.0</v>
      </c>
      <c r="V1579" s="106">
        <v>0.0</v>
      </c>
      <c r="W1579" s="107">
        <v>0.0</v>
      </c>
      <c r="X1579" s="107">
        <v>0.0</v>
      </c>
      <c r="Y1579" s="107">
        <v>0.0</v>
      </c>
      <c r="Z1579" s="80">
        <f t="shared" si="1"/>
        <v>0</v>
      </c>
      <c r="AA1579" s="106">
        <v>0.0</v>
      </c>
      <c r="AB1579" s="107">
        <v>60.0</v>
      </c>
      <c r="AC1579" s="107">
        <v>0.0</v>
      </c>
      <c r="AD1579" s="107">
        <v>163.0</v>
      </c>
      <c r="AE1579" s="80">
        <f t="shared" si="2"/>
        <v>223</v>
      </c>
      <c r="AF1579" s="140">
        <v>0.0</v>
      </c>
      <c r="AG1579" s="109">
        <v>0.0</v>
      </c>
      <c r="AH1579" s="109">
        <v>0.0</v>
      </c>
      <c r="AI1579" s="141">
        <v>80.0</v>
      </c>
      <c r="AJ1579" s="80">
        <f t="shared" si="3"/>
        <v>80</v>
      </c>
      <c r="AK1579" s="140">
        <v>0.0</v>
      </c>
      <c r="AL1579" s="109">
        <v>0.0</v>
      </c>
      <c r="AM1579" s="141">
        <v>0.0</v>
      </c>
      <c r="AN1579" s="80">
        <f t="shared" si="4"/>
        <v>0</v>
      </c>
      <c r="AO1579" s="140">
        <v>0.0</v>
      </c>
      <c r="AP1579" s="109">
        <v>0.0</v>
      </c>
      <c r="AQ1579" s="109">
        <v>27.0</v>
      </c>
      <c r="AR1579" s="80">
        <f t="shared" si="5"/>
        <v>27</v>
      </c>
      <c r="AS1579" s="110">
        <v>0.0</v>
      </c>
      <c r="AT1579" s="110">
        <v>0.0</v>
      </c>
      <c r="AU1579" s="110">
        <v>0.0</v>
      </c>
      <c r="AV1579" s="142">
        <v>0.0</v>
      </c>
      <c r="AW1579" s="80">
        <f t="shared" si="6"/>
        <v>0</v>
      </c>
      <c r="AX1579" s="113">
        <f t="shared" si="7"/>
        <v>330</v>
      </c>
      <c r="AY1579" s="117">
        <f t="shared" si="8"/>
        <v>303</v>
      </c>
      <c r="AZ1579" s="120">
        <f t="shared" si="9"/>
        <v>27</v>
      </c>
      <c r="BA1579" s="115">
        <v>0.0</v>
      </c>
      <c r="BB1579" s="89">
        <f t="shared" si="10"/>
        <v>330</v>
      </c>
      <c r="BC1579" s="132" t="s">
        <v>178</v>
      </c>
      <c r="BD1579" s="132" t="s">
        <v>178</v>
      </c>
      <c r="BE1579" s="132" t="s">
        <v>178</v>
      </c>
      <c r="BF1579" s="123"/>
      <c r="BG1579" s="83">
        <v>1104260.0</v>
      </c>
      <c r="BH1579" s="98" t="s">
        <v>8833</v>
      </c>
      <c r="BI1579" s="112">
        <v>10.0</v>
      </c>
      <c r="BJ1579" s="98" t="s">
        <v>155</v>
      </c>
      <c r="BK1579" s="99">
        <f t="shared" si="11"/>
        <v>243</v>
      </c>
      <c r="BL1579" s="99">
        <f t="shared" si="12"/>
        <v>60</v>
      </c>
      <c r="BM1579" s="99" t="str">
        <f>IFERROR(__xludf.DUMMYFUNCTION("IFERROR(VLOOKUP(BG1579,IMPORTRANGE(""https://docs.google.com/spreadsheets/d/1juPI-Fb8LD0YtltB2mlGEnp_R3UVu1t3wSFPzgCyHXE/edit?gid=0#gid=0"",""GERAL!A2:C""),3,0),""-"")"),"-")</f>
        <v>-</v>
      </c>
    </row>
    <row r="1580" ht="15.75" customHeight="1">
      <c r="A1580" s="111" t="s">
        <v>1785</v>
      </c>
      <c r="B1580" s="83" t="s">
        <v>1994</v>
      </c>
      <c r="C1580" s="83" t="s">
        <v>68</v>
      </c>
      <c r="D1580" s="112">
        <v>1102151.0</v>
      </c>
      <c r="E1580" s="83"/>
      <c r="F1580" s="83">
        <v>2.9182697E7</v>
      </c>
      <c r="G1580" s="114" t="s">
        <v>8838</v>
      </c>
      <c r="H1580" s="91" t="s">
        <v>8839</v>
      </c>
      <c r="I1580" s="83" t="s">
        <v>8840</v>
      </c>
      <c r="J1580" s="83" t="s">
        <v>150</v>
      </c>
      <c r="K1580" s="83" t="s">
        <v>151</v>
      </c>
      <c r="L1580" s="83" t="s">
        <v>230</v>
      </c>
      <c r="M1580" s="82" t="str">
        <f>IFERROR(__xludf.DUMMYFUNCTION("IFERROR(VLOOKUP(D1580,
IMPORTRANGE(""https://docs.google.com/spreadsheets/d/1MjHtlUikwobi2MaWJgy7tfLeBmhj1u-dRFRs_8GwSoA/edit#gid=0"",""Gestores Escolares!D7:J""),3,0),""VERIFICAR CÓD SEC"")"),"ANTÔNIO AUGUSTO COSTA")</f>
        <v>ANTÔNIO AUGUSTO COSTA</v>
      </c>
      <c r="N1580" s="82" t="str">
        <f>IFERROR(__xludf.DUMMYFUNCTION("IFERROR(VLOOKUP(D1580,
IMPORTRANGE(""https://docs.google.com/spreadsheets/d/1MjHtlUikwobi2MaWJgy7tfLeBmhj1u-dRFRs_8GwSoA/edit#gid=0"",""Gestores Escolares!D7:J""),4,0),""VERIFICAR CÓD SEC"")"),"(71) 9 9277-2424/ 3392-7562")</f>
        <v>(71) 9 9277-2424/ 3392-7562</v>
      </c>
      <c r="O1580" s="82" t="str">
        <f>IFERROR(__xludf.DUMMYFUNCTION("IFERROR(VLOOKUP(D1580,
IMPORTRANGE(""https://docs.google.com/spreadsheets/d/1MjHtlUikwobi2MaWJgy7tfLeBmhj1u-dRFRs_8GwSoA/edit#gid=0"",""Gestores Escolares!D7:J""),6,0),""VERIFICAR CÓD SEC"")"),"                DAVI DIOGO VIANA MONTEIRO")</f>
        <v>                DAVI DIOGO VIANA MONTEIRO</v>
      </c>
      <c r="P1580" s="82" t="str">
        <f>IFERROR(__xludf.DUMMYFUNCTION("IFERROR(VLOOKUP(D1580,
IMPORTRANGE(""https://docs.google.com/spreadsheets/d/1MjHtlUikwobi2MaWJgy7tfLeBmhj1u-dRFRs_8GwSoA/edit#gid=0"",""Gestores Escolares!D7:J""),7,0),""VERIFICAR CÓD SEC"")"),"(71) 9 9262-9775/ 9 8804-2611")</f>
        <v>(71) 9 9262-9775/ 9 8804-2611</v>
      </c>
      <c r="Q1580" s="82" t="str">
        <f>IFERROR(__xludf.DUMMYFUNCTION("IFERROR(VLOOKUP(D1580,
IMPORTRANGE(""https://docs.google.com/spreadsheets/d/1MjHtlUikwobi2MaWJgy7tfLeBmhj1u-dRFRs_8GwSoA/edit#gid=0"",""Gestores Escolares!D7:m""),9,0),""VERIFICAR CÓD SEC"")"),"LILIAM SOUSA SALES")</f>
        <v>LILIAM SOUSA SALES</v>
      </c>
      <c r="R1580" s="82" t="str">
        <f>IFERROR(__xludf.DUMMYFUNCTION("IFERROR(VLOOKUP(D1580,
IMPORTRANGE(""https://docs.google.com/spreadsheets/d/1MjHtlUikwobi2MaWJgy7tfLeBmhj1u-dRFRs_8GwSoA/edit#gid=0"",""Gestores Escolares!D7:m""),10,0),""VERIFICAR CÓD SEC"")"),"(71) 9 9188-9521")</f>
        <v>(71) 9 9188-9521</v>
      </c>
      <c r="S1580" s="82"/>
      <c r="T1580" s="138">
        <v>20.0</v>
      </c>
      <c r="U1580" s="152">
        <v>20.0</v>
      </c>
      <c r="V1580" s="106">
        <v>0.0</v>
      </c>
      <c r="W1580" s="107">
        <v>0.0</v>
      </c>
      <c r="X1580" s="107">
        <v>0.0</v>
      </c>
      <c r="Y1580" s="107">
        <v>0.0</v>
      </c>
      <c r="Z1580" s="80">
        <f t="shared" si="1"/>
        <v>0</v>
      </c>
      <c r="AA1580" s="106">
        <v>0.0</v>
      </c>
      <c r="AB1580" s="107">
        <v>443.0</v>
      </c>
      <c r="AC1580" s="107">
        <v>0.0</v>
      </c>
      <c r="AD1580" s="107">
        <v>0.0</v>
      </c>
      <c r="AE1580" s="80">
        <f t="shared" si="2"/>
        <v>443</v>
      </c>
      <c r="AF1580" s="140">
        <v>554.0</v>
      </c>
      <c r="AG1580" s="109">
        <v>0.0</v>
      </c>
      <c r="AH1580" s="109">
        <v>0.0</v>
      </c>
      <c r="AI1580" s="141">
        <v>0.0</v>
      </c>
      <c r="AJ1580" s="80">
        <f t="shared" si="3"/>
        <v>554</v>
      </c>
      <c r="AK1580" s="140">
        <v>0.0</v>
      </c>
      <c r="AL1580" s="109">
        <v>0.0</v>
      </c>
      <c r="AM1580" s="141">
        <v>31.0</v>
      </c>
      <c r="AN1580" s="80">
        <f t="shared" si="4"/>
        <v>31</v>
      </c>
      <c r="AO1580" s="140">
        <v>0.0</v>
      </c>
      <c r="AP1580" s="109">
        <v>0.0</v>
      </c>
      <c r="AQ1580" s="109">
        <v>156.0</v>
      </c>
      <c r="AR1580" s="80">
        <f t="shared" si="5"/>
        <v>156</v>
      </c>
      <c r="AS1580" s="110">
        <v>79.0</v>
      </c>
      <c r="AT1580" s="110">
        <v>0.0</v>
      </c>
      <c r="AU1580" s="110">
        <v>211.0</v>
      </c>
      <c r="AV1580" s="142">
        <v>0.0</v>
      </c>
      <c r="AW1580" s="80">
        <f t="shared" si="6"/>
        <v>290</v>
      </c>
      <c r="AX1580" s="113">
        <f t="shared" si="7"/>
        <v>1474</v>
      </c>
      <c r="AY1580" s="117">
        <f t="shared" si="8"/>
        <v>1076</v>
      </c>
      <c r="AZ1580" s="120">
        <f t="shared" si="9"/>
        <v>398</v>
      </c>
      <c r="BA1580" s="115">
        <v>2.0</v>
      </c>
      <c r="BB1580" s="89">
        <f t="shared" si="10"/>
        <v>1476</v>
      </c>
      <c r="BC1580" s="132" t="s">
        <v>178</v>
      </c>
      <c r="BD1580" s="132" t="s">
        <v>178</v>
      </c>
      <c r="BE1580" s="132" t="s">
        <v>178</v>
      </c>
      <c r="BF1580" s="123"/>
      <c r="BG1580" s="83">
        <v>1102151.0</v>
      </c>
      <c r="BH1580" s="98" t="s">
        <v>8841</v>
      </c>
      <c r="BI1580" s="112">
        <v>20.0</v>
      </c>
      <c r="BJ1580" s="98" t="s">
        <v>155</v>
      </c>
      <c r="BK1580" s="99">
        <f t="shared" si="11"/>
        <v>0</v>
      </c>
      <c r="BL1580" s="99">
        <f t="shared" si="12"/>
        <v>1076</v>
      </c>
      <c r="BM1580" s="99" t="str">
        <f>IFERROR(__xludf.DUMMYFUNCTION("IFERROR(VLOOKUP(BG1580,IMPORTRANGE(""https://docs.google.com/spreadsheets/d/1juPI-Fb8LD0YtltB2mlGEnp_R3UVu1t3wSFPzgCyHXE/edit?gid=0#gid=0"",""GERAL!A2:C""),3,0),""-"")"),"-")</f>
        <v>-</v>
      </c>
    </row>
    <row r="1581" ht="15.75" customHeight="1">
      <c r="A1581" s="111" t="s">
        <v>1785</v>
      </c>
      <c r="B1581" s="83" t="s">
        <v>1994</v>
      </c>
      <c r="C1581" s="83" t="s">
        <v>68</v>
      </c>
      <c r="D1581" s="112">
        <v>1102534.0</v>
      </c>
      <c r="E1581" s="83"/>
      <c r="F1581" s="83">
        <v>2.9191378E7</v>
      </c>
      <c r="G1581" s="147" t="s">
        <v>8843</v>
      </c>
      <c r="H1581" s="91" t="s">
        <v>8844</v>
      </c>
      <c r="I1581" s="83" t="s">
        <v>8845</v>
      </c>
      <c r="J1581" s="83" t="s">
        <v>150</v>
      </c>
      <c r="K1581" s="83" t="s">
        <v>151</v>
      </c>
      <c r="L1581" s="83" t="s">
        <v>152</v>
      </c>
      <c r="M1581" s="82" t="str">
        <f>IFERROR(__xludf.DUMMYFUNCTION("IFERROR(VLOOKUP(D1581,
IMPORTRANGE(""https://docs.google.com/spreadsheets/d/1MjHtlUikwobi2MaWJgy7tfLeBmhj1u-dRFRs_8GwSoA/edit#gid=0"",""Gestores Escolares!D7:J""),3,0),""VERIFICAR CÓD SEC"")"),"MARCOS CESAR GUIMARAES DOS SANTOS")</f>
        <v>MARCOS CESAR GUIMARAES DOS SANTOS</v>
      </c>
      <c r="N1581" s="82" t="str">
        <f>IFERROR(__xludf.DUMMYFUNCTION("IFERROR(VLOOKUP(D1581,
IMPORTRANGE(""https://docs.google.com/spreadsheets/d/1MjHtlUikwobi2MaWJgy7tfLeBmhj1u-dRFRs_8GwSoA/edit#gid=0"",""Gestores Escolares!D7:J""),4,0),""VERIFICAR CÓD SEC"")"),"(71) 9 9223-7098")</f>
        <v>(71) 9 9223-7098</v>
      </c>
      <c r="O1581" s="82" t="str">
        <f>IFERROR(__xludf.DUMMYFUNCTION("IFERROR(VLOOKUP(D1581,
IMPORTRANGE(""https://docs.google.com/spreadsheets/d/1MjHtlUikwobi2MaWJgy7tfLeBmhj1u-dRFRs_8GwSoA/edit#gid=0"",""Gestores Escolares!D7:J""),6,0),""VERIFICAR CÓD SEC"")"),"ANA MARIA MARTINS SOUTO")</f>
        <v>ANA MARIA MARTINS SOUTO</v>
      </c>
      <c r="P1581" s="82" t="str">
        <f>IFERROR(__xludf.DUMMYFUNCTION("IFERROR(VLOOKUP(D1581,
IMPORTRANGE(""https://docs.google.com/spreadsheets/d/1MjHtlUikwobi2MaWJgy7tfLeBmhj1u-dRFRs_8GwSoA/edit#gid=0"",""Gestores Escolares!D7:J""),7,0),""VERIFICAR CÓD SEC"")"),"(71) 9 9341-0124")</f>
        <v>(71) 9 9341-0124</v>
      </c>
      <c r="Q1581" s="82" t="str">
        <f>IFERROR(__xludf.DUMMYFUNCTION("IFERROR(VLOOKUP(D1581,
IMPORTRANGE(""https://docs.google.com/spreadsheets/d/1MjHtlUikwobi2MaWJgy7tfLeBmhj1u-dRFRs_8GwSoA/edit#gid=0"",""Gestores Escolares!D7:m""),9,0),""VERIFICAR CÓD SEC"")"),"SANDRA DA CRUZ CALDAS")</f>
        <v>SANDRA DA CRUZ CALDAS</v>
      </c>
      <c r="R1581" s="82" t="str">
        <f>IFERROR(__xludf.DUMMYFUNCTION("IFERROR(VLOOKUP(D1581,
IMPORTRANGE(""https://docs.google.com/spreadsheets/d/1MjHtlUikwobi2MaWJgy7tfLeBmhj1u-dRFRs_8GwSoA/edit#gid=0"",""Gestores Escolares!D7:m""),10,0),""VERIFICAR CÓD SEC"")")," (71) 9 9717-9980")</f>
        <v> (71) 9 9717-9980</v>
      </c>
      <c r="S1581" s="82"/>
      <c r="T1581" s="138">
        <v>17.0</v>
      </c>
      <c r="U1581" s="152">
        <v>16.0</v>
      </c>
      <c r="V1581" s="106">
        <v>0.0</v>
      </c>
      <c r="W1581" s="107">
        <v>0.0</v>
      </c>
      <c r="X1581" s="107">
        <v>0.0</v>
      </c>
      <c r="Y1581" s="107">
        <v>0.0</v>
      </c>
      <c r="Z1581" s="80">
        <f t="shared" si="1"/>
        <v>0</v>
      </c>
      <c r="AA1581" s="106">
        <v>194.0</v>
      </c>
      <c r="AB1581" s="107">
        <v>109.0</v>
      </c>
      <c r="AC1581" s="107">
        <v>0.0</v>
      </c>
      <c r="AD1581" s="107">
        <v>0.0</v>
      </c>
      <c r="AE1581" s="80">
        <f t="shared" si="2"/>
        <v>303</v>
      </c>
      <c r="AF1581" s="140">
        <v>96.0</v>
      </c>
      <c r="AG1581" s="109">
        <v>16.0</v>
      </c>
      <c r="AH1581" s="109">
        <v>0.0</v>
      </c>
      <c r="AI1581" s="141">
        <v>93.0</v>
      </c>
      <c r="AJ1581" s="80">
        <f t="shared" si="3"/>
        <v>205</v>
      </c>
      <c r="AK1581" s="140">
        <v>0.0</v>
      </c>
      <c r="AL1581" s="109">
        <v>0.0</v>
      </c>
      <c r="AM1581" s="141">
        <v>57.0</v>
      </c>
      <c r="AN1581" s="80">
        <f t="shared" si="4"/>
        <v>57</v>
      </c>
      <c r="AO1581" s="140">
        <v>0.0</v>
      </c>
      <c r="AP1581" s="109">
        <v>0.0</v>
      </c>
      <c r="AQ1581" s="109">
        <v>100.0</v>
      </c>
      <c r="AR1581" s="80">
        <f t="shared" si="5"/>
        <v>100</v>
      </c>
      <c r="AS1581" s="110">
        <v>0.0</v>
      </c>
      <c r="AT1581" s="110">
        <v>26.0</v>
      </c>
      <c r="AU1581" s="110">
        <v>82.0</v>
      </c>
      <c r="AV1581" s="142">
        <v>0.0</v>
      </c>
      <c r="AW1581" s="80">
        <f t="shared" si="6"/>
        <v>108</v>
      </c>
      <c r="AX1581" s="113">
        <f t="shared" si="7"/>
        <v>773</v>
      </c>
      <c r="AY1581" s="117">
        <f t="shared" si="8"/>
        <v>534</v>
      </c>
      <c r="AZ1581" s="120">
        <f t="shared" si="9"/>
        <v>239</v>
      </c>
      <c r="BA1581" s="115">
        <v>2.0</v>
      </c>
      <c r="BB1581" s="89">
        <f t="shared" si="10"/>
        <v>775</v>
      </c>
      <c r="BC1581" s="132" t="s">
        <v>178</v>
      </c>
      <c r="BD1581" s="132" t="s">
        <v>178</v>
      </c>
      <c r="BE1581" s="132" t="s">
        <v>178</v>
      </c>
      <c r="BF1581" s="123"/>
      <c r="BG1581" s="83">
        <v>1102534.0</v>
      </c>
      <c r="BH1581" s="98" t="s">
        <v>8846</v>
      </c>
      <c r="BI1581" s="112">
        <v>16.0</v>
      </c>
      <c r="BJ1581" s="98" t="s">
        <v>155</v>
      </c>
      <c r="BK1581" s="99">
        <f t="shared" si="11"/>
        <v>93</v>
      </c>
      <c r="BL1581" s="99">
        <f t="shared" si="12"/>
        <v>441</v>
      </c>
      <c r="BM1581" s="99" t="str">
        <f>IFERROR(__xludf.DUMMYFUNCTION("IFERROR(VLOOKUP(BG1581,IMPORTRANGE(""https://docs.google.com/spreadsheets/d/1juPI-Fb8LD0YtltB2mlGEnp_R3UVu1t3wSFPzgCyHXE/edit?gid=0#gid=0"",""GERAL!A2:C""),3,0),""-"")"),"-")</f>
        <v>-</v>
      </c>
    </row>
    <row r="1582" ht="15.75" customHeight="1">
      <c r="A1582" s="111" t="s">
        <v>1785</v>
      </c>
      <c r="B1582" s="83" t="s">
        <v>1994</v>
      </c>
      <c r="C1582" s="83" t="s">
        <v>68</v>
      </c>
      <c r="D1582" s="112">
        <v>1102011.0</v>
      </c>
      <c r="E1582" s="83"/>
      <c r="F1582" s="83">
        <v>2.919086E7</v>
      </c>
      <c r="G1582" s="114" t="s">
        <v>8847</v>
      </c>
      <c r="H1582" s="91" t="s">
        <v>8848</v>
      </c>
      <c r="I1582" s="83" t="s">
        <v>8183</v>
      </c>
      <c r="J1582" s="83" t="s">
        <v>150</v>
      </c>
      <c r="K1582" s="83" t="s">
        <v>151</v>
      </c>
      <c r="L1582" s="83" t="s">
        <v>152</v>
      </c>
      <c r="M1582" s="82" t="str">
        <f>IFERROR(__xludf.DUMMYFUNCTION("IFERROR(VLOOKUP(D1582,
IMPORTRANGE(""https://docs.google.com/spreadsheets/d/1MjHtlUikwobi2MaWJgy7tfLeBmhj1u-dRFRs_8GwSoA/edit#gid=0"",""Gestores Escolares!D7:J""),3,0),""VERIFICAR CÓD SEC"")")," ANTONIO FERNANDO SILVA DOS SANTOS")</f>
        <v> ANTONIO FERNANDO SILVA DOS SANTOS</v>
      </c>
      <c r="N1582" s="82" t="str">
        <f>IFERROR(__xludf.DUMMYFUNCTION("IFERROR(VLOOKUP(D1582,
IMPORTRANGE(""https://docs.google.com/spreadsheets/d/1MjHtlUikwobi2MaWJgy7tfLeBmhj1u-dRFRs_8GwSoA/edit#gid=0"",""Gestores Escolares!D7:J""),4,0),""VERIFICAR CÓD SEC"")"),"(71) 9 9651-0161")</f>
        <v>(71) 9 9651-0161</v>
      </c>
      <c r="O1582" s="82" t="str">
        <f>IFERROR(__xludf.DUMMYFUNCTION("IFERROR(VLOOKUP(D1582,
IMPORTRANGE(""https://docs.google.com/spreadsheets/d/1MjHtlUikwobi2MaWJgy7tfLeBmhj1u-dRFRs_8GwSoA/edit#gid=0"",""Gestores Escolares!D7:J""),6,0),""VERIFICAR CÓD SEC"")")," TANIA NOVAIS VIEIRA")</f>
        <v> TANIA NOVAIS VIEIRA</v>
      </c>
      <c r="P1582" s="82" t="str">
        <f>IFERROR(__xludf.DUMMYFUNCTION("IFERROR(VLOOKUP(D1582,
IMPORTRANGE(""https://docs.google.com/spreadsheets/d/1MjHtlUikwobi2MaWJgy7tfLeBmhj1u-dRFRs_8GwSoA/edit#gid=0"",""Gestores Escolares!D7:J""),7,0),""VERIFICAR CÓD SEC"")"),"(71) 9 8812-5859")</f>
        <v>(71) 9 8812-5859</v>
      </c>
      <c r="Q1582" s="82" t="str">
        <f>IFERROR(__xludf.DUMMYFUNCTION("IFERROR(VLOOKUP(D1582,
IMPORTRANGE(""https://docs.google.com/spreadsheets/d/1MjHtlUikwobi2MaWJgy7tfLeBmhj1u-dRFRs_8GwSoA/edit#gid=0"",""Gestores Escolares!D7:m""),9,0),""VERIFICAR CÓD SEC"")"),"")</f>
        <v/>
      </c>
      <c r="R1582" s="82" t="str">
        <f>IFERROR(__xludf.DUMMYFUNCTION("IFERROR(VLOOKUP(D1582,
IMPORTRANGE(""https://docs.google.com/spreadsheets/d/1MjHtlUikwobi2MaWJgy7tfLeBmhj1u-dRFRs_8GwSoA/edit#gid=0"",""Gestores Escolares!D7:m""),10,0),""VERIFICAR CÓD SEC"")"),"")</f>
        <v/>
      </c>
      <c r="S1582" s="82"/>
      <c r="T1582" s="138">
        <v>15.0</v>
      </c>
      <c r="U1582" s="152">
        <v>17.0</v>
      </c>
      <c r="V1582" s="106">
        <v>0.0</v>
      </c>
      <c r="W1582" s="107">
        <v>0.0</v>
      </c>
      <c r="X1582" s="107">
        <v>0.0</v>
      </c>
      <c r="Y1582" s="107">
        <v>0.0</v>
      </c>
      <c r="Z1582" s="80">
        <f t="shared" si="1"/>
        <v>0</v>
      </c>
      <c r="AA1582" s="106">
        <v>0.0</v>
      </c>
      <c r="AB1582" s="107">
        <v>0.0</v>
      </c>
      <c r="AC1582" s="107">
        <v>0.0</v>
      </c>
      <c r="AD1582" s="107">
        <v>0.0</v>
      </c>
      <c r="AE1582" s="80">
        <f t="shared" si="2"/>
        <v>0</v>
      </c>
      <c r="AF1582" s="140">
        <v>260.0</v>
      </c>
      <c r="AG1582" s="109">
        <v>0.0</v>
      </c>
      <c r="AH1582" s="109">
        <v>0.0</v>
      </c>
      <c r="AI1582" s="141">
        <v>0.0</v>
      </c>
      <c r="AJ1582" s="80">
        <f t="shared" si="3"/>
        <v>260</v>
      </c>
      <c r="AK1582" s="140">
        <v>0.0</v>
      </c>
      <c r="AL1582" s="109">
        <v>0.0</v>
      </c>
      <c r="AM1582" s="141">
        <v>0.0</v>
      </c>
      <c r="AN1582" s="80">
        <f t="shared" si="4"/>
        <v>0</v>
      </c>
      <c r="AO1582" s="140">
        <v>0.0</v>
      </c>
      <c r="AP1582" s="109">
        <v>0.0</v>
      </c>
      <c r="AQ1582" s="109">
        <v>161.0</v>
      </c>
      <c r="AR1582" s="80">
        <f t="shared" si="5"/>
        <v>161</v>
      </c>
      <c r="AS1582" s="110">
        <v>0.0</v>
      </c>
      <c r="AT1582" s="110">
        <v>6.0</v>
      </c>
      <c r="AU1582" s="110">
        <v>232.0</v>
      </c>
      <c r="AV1582" s="142">
        <v>0.0</v>
      </c>
      <c r="AW1582" s="80">
        <f t="shared" si="6"/>
        <v>238</v>
      </c>
      <c r="AX1582" s="113">
        <f t="shared" si="7"/>
        <v>659</v>
      </c>
      <c r="AY1582" s="117">
        <f t="shared" si="8"/>
        <v>266</v>
      </c>
      <c r="AZ1582" s="120">
        <f t="shared" si="9"/>
        <v>393</v>
      </c>
      <c r="BA1582" s="115">
        <v>4.0</v>
      </c>
      <c r="BB1582" s="89">
        <f t="shared" si="10"/>
        <v>663</v>
      </c>
      <c r="BC1582" s="132" t="s">
        <v>178</v>
      </c>
      <c r="BD1582" s="132" t="s">
        <v>178</v>
      </c>
      <c r="BE1582" s="132" t="s">
        <v>178</v>
      </c>
      <c r="BF1582" s="123"/>
      <c r="BG1582" s="83">
        <v>1102011.0</v>
      </c>
      <c r="BH1582" s="98" t="s">
        <v>8850</v>
      </c>
      <c r="BI1582" s="112">
        <v>17.0</v>
      </c>
      <c r="BJ1582" s="98" t="s">
        <v>155</v>
      </c>
      <c r="BK1582" s="99">
        <f t="shared" si="11"/>
        <v>0</v>
      </c>
      <c r="BL1582" s="99">
        <f t="shared" si="12"/>
        <v>266</v>
      </c>
      <c r="BM1582" s="99" t="str">
        <f>IFERROR(__xludf.DUMMYFUNCTION("IFERROR(VLOOKUP(BG1582,IMPORTRANGE(""https://docs.google.com/spreadsheets/d/1juPI-Fb8LD0YtltB2mlGEnp_R3UVu1t3wSFPzgCyHXE/edit?gid=0#gid=0"",""GERAL!A2:C""),3,0),""-"")"),"-")</f>
        <v>-</v>
      </c>
    </row>
    <row r="1583" ht="15.75" customHeight="1">
      <c r="A1583" s="111" t="s">
        <v>1785</v>
      </c>
      <c r="B1583" s="83" t="s">
        <v>1994</v>
      </c>
      <c r="C1583" s="83" t="s">
        <v>68</v>
      </c>
      <c r="D1583" s="112">
        <v>1101937.0</v>
      </c>
      <c r="E1583" s="83"/>
      <c r="F1583" s="83">
        <v>2.9190851E7</v>
      </c>
      <c r="G1583" s="119" t="s">
        <v>8856</v>
      </c>
      <c r="H1583" s="91" t="s">
        <v>8857</v>
      </c>
      <c r="I1583" s="83" t="s">
        <v>8143</v>
      </c>
      <c r="J1583" s="83" t="s">
        <v>150</v>
      </c>
      <c r="K1583" s="83" t="s">
        <v>151</v>
      </c>
      <c r="L1583" s="83" t="s">
        <v>152</v>
      </c>
      <c r="M1583" s="82" t="str">
        <f>IFERROR(__xludf.DUMMYFUNCTION("IFERROR(VLOOKUP(D1583,
IMPORTRANGE(""https://docs.google.com/spreadsheets/d/1MjHtlUikwobi2MaWJgy7tfLeBmhj1u-dRFRs_8GwSoA/edit#gid=0"",""Gestores Escolares!D7:J""),3,0),""VERIFICAR CÓD SEC"")"),"AUGUSTO CESAR PENELU DA SILVA")</f>
        <v>AUGUSTO CESAR PENELU DA SILVA</v>
      </c>
      <c r="N1583" s="82" t="str">
        <f>IFERROR(__xludf.DUMMYFUNCTION("IFERROR(VLOOKUP(D1583,
IMPORTRANGE(""https://docs.google.com/spreadsheets/d/1MjHtlUikwobi2MaWJgy7tfLeBmhj1u-dRFRs_8GwSoA/edit#gid=0"",""Gestores Escolares!D7:J""),4,0),""VERIFICAR CÓD SEC"")"),"(71) 9 8868-8578/ 9 9227-6844")</f>
        <v>(71) 9 8868-8578/ 9 9227-6844</v>
      </c>
      <c r="O1583" s="82" t="str">
        <f>IFERROR(__xludf.DUMMYFUNCTION("IFERROR(VLOOKUP(D1583,
IMPORTRANGE(""https://docs.google.com/spreadsheets/d/1MjHtlUikwobi2MaWJgy7tfLeBmhj1u-dRFRs_8GwSoA/edit#gid=0"",""Gestores Escolares!D7:J""),6,0),""VERIFICAR CÓD SEC"")"),"JOSÉ RAMALHO DE OLIVEIRA LIMA")</f>
        <v>JOSÉ RAMALHO DE OLIVEIRA LIMA</v>
      </c>
      <c r="P1583" s="82" t="str">
        <f>IFERROR(__xludf.DUMMYFUNCTION("IFERROR(VLOOKUP(D1583,
IMPORTRANGE(""https://docs.google.com/spreadsheets/d/1MjHtlUikwobi2MaWJgy7tfLeBmhj1u-dRFRs_8GwSoA/edit#gid=0"",""Gestores Escolares!D7:J""),7,0),""VERIFICAR CÓD SEC"")"),"(71) 9 9395-2345")</f>
        <v>(71) 9 9395-2345</v>
      </c>
      <c r="Q1583" s="82" t="str">
        <f>IFERROR(__xludf.DUMMYFUNCTION("IFERROR(VLOOKUP(D1583,
IMPORTRANGE(""https://docs.google.com/spreadsheets/d/1MjHtlUikwobi2MaWJgy7tfLeBmhj1u-dRFRs_8GwSoA/edit#gid=0"",""Gestores Escolares!D7:m""),9,0),""VERIFICAR CÓD SEC"")"),"JOÃO CAETANO DA ANUNCIAÇÃO")</f>
        <v>JOÃO CAETANO DA ANUNCIAÇÃO</v>
      </c>
      <c r="R1583" s="82" t="str">
        <f>IFERROR(__xludf.DUMMYFUNCTION("IFERROR(VLOOKUP(D1583,
IMPORTRANGE(""https://docs.google.com/spreadsheets/d/1MjHtlUikwobi2MaWJgy7tfLeBmhj1u-dRFRs_8GwSoA/edit#gid=0"",""Gestores Escolares!D7:m""),10,0),""VERIFICAR CÓD SEC"")"),"(71) 9 8893-0456")</f>
        <v>(71) 9 8893-0456</v>
      </c>
      <c r="S1583" s="82"/>
      <c r="T1583" s="138">
        <v>14.0</v>
      </c>
      <c r="U1583" s="152">
        <v>14.0</v>
      </c>
      <c r="V1583" s="106">
        <v>0.0</v>
      </c>
      <c r="W1583" s="107">
        <v>0.0</v>
      </c>
      <c r="X1583" s="107">
        <v>0.0</v>
      </c>
      <c r="Y1583" s="107">
        <v>0.0</v>
      </c>
      <c r="Z1583" s="80">
        <f t="shared" si="1"/>
        <v>0</v>
      </c>
      <c r="AA1583" s="106">
        <v>0.0</v>
      </c>
      <c r="AB1583" s="107">
        <v>0.0</v>
      </c>
      <c r="AC1583" s="107">
        <v>0.0</v>
      </c>
      <c r="AD1583" s="107">
        <v>0.0</v>
      </c>
      <c r="AE1583" s="80">
        <f t="shared" si="2"/>
        <v>0</v>
      </c>
      <c r="AF1583" s="140">
        <v>172.0</v>
      </c>
      <c r="AG1583" s="109">
        <v>0.0</v>
      </c>
      <c r="AH1583" s="109">
        <v>0.0</v>
      </c>
      <c r="AI1583" s="141">
        <v>0.0</v>
      </c>
      <c r="AJ1583" s="80">
        <f t="shared" si="3"/>
        <v>172</v>
      </c>
      <c r="AK1583" s="140">
        <v>0.0</v>
      </c>
      <c r="AL1583" s="109">
        <v>0.0</v>
      </c>
      <c r="AM1583" s="141">
        <v>0.0</v>
      </c>
      <c r="AN1583" s="80">
        <f t="shared" si="4"/>
        <v>0</v>
      </c>
      <c r="AO1583" s="140">
        <v>0.0</v>
      </c>
      <c r="AP1583" s="109">
        <v>0.0</v>
      </c>
      <c r="AQ1583" s="109">
        <v>54.0</v>
      </c>
      <c r="AR1583" s="80">
        <f t="shared" si="5"/>
        <v>54</v>
      </c>
      <c r="AS1583" s="110">
        <v>0.0</v>
      </c>
      <c r="AT1583" s="110">
        <v>0.0</v>
      </c>
      <c r="AU1583" s="110">
        <v>0.0</v>
      </c>
      <c r="AV1583" s="142">
        <v>38.0</v>
      </c>
      <c r="AW1583" s="80">
        <f t="shared" si="6"/>
        <v>38</v>
      </c>
      <c r="AX1583" s="113">
        <f t="shared" si="7"/>
        <v>264</v>
      </c>
      <c r="AY1583" s="117">
        <f t="shared" si="8"/>
        <v>210</v>
      </c>
      <c r="AZ1583" s="120">
        <f t="shared" si="9"/>
        <v>54</v>
      </c>
      <c r="BA1583" s="115">
        <v>0.0</v>
      </c>
      <c r="BB1583" s="89">
        <f t="shared" si="10"/>
        <v>264</v>
      </c>
      <c r="BC1583" s="132" t="s">
        <v>178</v>
      </c>
      <c r="BD1583" s="132" t="s">
        <v>178</v>
      </c>
      <c r="BE1583" s="132" t="s">
        <v>178</v>
      </c>
      <c r="BF1583" s="123"/>
      <c r="BG1583" s="83">
        <v>1101937.0</v>
      </c>
      <c r="BH1583" s="98" t="s">
        <v>8858</v>
      </c>
      <c r="BI1583" s="112">
        <v>14.0</v>
      </c>
      <c r="BJ1583" s="98" t="s">
        <v>155</v>
      </c>
      <c r="BK1583" s="99">
        <f t="shared" si="11"/>
        <v>38</v>
      </c>
      <c r="BL1583" s="99">
        <f t="shared" si="12"/>
        <v>172</v>
      </c>
      <c r="BM1583" s="99" t="str">
        <f>IFERROR(__xludf.DUMMYFUNCTION("IFERROR(VLOOKUP(BG1583,IMPORTRANGE(""https://docs.google.com/spreadsheets/d/1juPI-Fb8LD0YtltB2mlGEnp_R3UVu1t3wSFPzgCyHXE/edit?gid=0#gid=0"",""GERAL!A2:C""),3,0),""-"")"),"-")</f>
        <v>-</v>
      </c>
    </row>
    <row r="1584" ht="15.75" customHeight="1">
      <c r="A1584" s="111" t="s">
        <v>1785</v>
      </c>
      <c r="B1584" s="83" t="s">
        <v>1994</v>
      </c>
      <c r="C1584" s="83" t="s">
        <v>68</v>
      </c>
      <c r="D1584" s="112">
        <v>1176079.0</v>
      </c>
      <c r="E1584" s="83"/>
      <c r="F1584" s="83">
        <v>2.9192188E7</v>
      </c>
      <c r="G1584" s="114" t="s">
        <v>8859</v>
      </c>
      <c r="H1584" s="91" t="s">
        <v>8860</v>
      </c>
      <c r="I1584" s="83" t="s">
        <v>8347</v>
      </c>
      <c r="J1584" s="83" t="s">
        <v>150</v>
      </c>
      <c r="K1584" s="83" t="s">
        <v>151</v>
      </c>
      <c r="L1584" s="83" t="s">
        <v>76</v>
      </c>
      <c r="M1584" s="82" t="str">
        <f>IFERROR(__xludf.DUMMYFUNCTION("IFERROR(VLOOKUP(D1584,
IMPORTRANGE(""https://docs.google.com/spreadsheets/d/1MjHtlUikwobi2MaWJgy7tfLeBmhj1u-dRFRs_8GwSoA/edit#gid=0"",""Gestores Escolares!D7:J""),3,0),""VERIFICAR CÓD SEC"")"),"CLAUDIANE BOMFIM OLIVEIRA")</f>
        <v>CLAUDIANE BOMFIM OLIVEIRA</v>
      </c>
      <c r="N1584" s="82" t="str">
        <f>IFERROR(__xludf.DUMMYFUNCTION("IFERROR(VLOOKUP(D1584,
IMPORTRANGE(""https://docs.google.com/spreadsheets/d/1MjHtlUikwobi2MaWJgy7tfLeBmhj1u-dRFRs_8GwSoA/edit#gid=0"",""Gestores Escolares!D7:J""),4,0),""VERIFICAR CÓD SEC"")"),"(71) 9 9100-9658")</f>
        <v>(71) 9 9100-9658</v>
      </c>
      <c r="O1584" s="82" t="str">
        <f>IFERROR(__xludf.DUMMYFUNCTION("IFERROR(VLOOKUP(D1584,
IMPORTRANGE(""https://docs.google.com/spreadsheets/d/1MjHtlUikwobi2MaWJgy7tfLeBmhj1u-dRFRs_8GwSoA/edit#gid=0"",""Gestores Escolares!D7:J""),6,0),""VERIFICAR CÓD SEC"")"),"CLEONICE NONATO DOS ANJOS")</f>
        <v>CLEONICE NONATO DOS ANJOS</v>
      </c>
      <c r="P1584" s="82" t="str">
        <f>IFERROR(__xludf.DUMMYFUNCTION("IFERROR(VLOOKUP(D1584,
IMPORTRANGE(""https://docs.google.com/spreadsheets/d/1MjHtlUikwobi2MaWJgy7tfLeBmhj1u-dRFRs_8GwSoA/edit#gid=0"",""Gestores Escolares!D7:J""),7,0),""VERIFICAR CÓD SEC"")"),"(71) 9 9202-8893")</f>
        <v>(71) 9 9202-8893</v>
      </c>
      <c r="Q1584" s="82" t="str">
        <f>IFERROR(__xludf.DUMMYFUNCTION("IFERROR(VLOOKUP(D1584,
IMPORTRANGE(""https://docs.google.com/spreadsheets/d/1MjHtlUikwobi2MaWJgy7tfLeBmhj1u-dRFRs_8GwSoA/edit#gid=0"",""Gestores Escolares!D7:m""),9,0),""VERIFICAR CÓD SEC"")"),"")</f>
        <v/>
      </c>
      <c r="R1584" s="82" t="str">
        <f>IFERROR(__xludf.DUMMYFUNCTION("IFERROR(VLOOKUP(D1584,
IMPORTRANGE(""https://docs.google.com/spreadsheets/d/1MjHtlUikwobi2MaWJgy7tfLeBmhj1u-dRFRs_8GwSoA/edit#gid=0"",""Gestores Escolares!D7:m""),10,0),""VERIFICAR CÓD SEC"")"),"")</f>
        <v/>
      </c>
      <c r="S1584" s="82"/>
      <c r="T1584" s="138">
        <v>7.0</v>
      </c>
      <c r="U1584" s="152">
        <v>7.0</v>
      </c>
      <c r="V1584" s="106">
        <v>0.0</v>
      </c>
      <c r="W1584" s="107">
        <v>0.0</v>
      </c>
      <c r="X1584" s="107">
        <v>0.0</v>
      </c>
      <c r="Y1584" s="107">
        <v>0.0</v>
      </c>
      <c r="Z1584" s="80">
        <f t="shared" si="1"/>
        <v>0</v>
      </c>
      <c r="AA1584" s="106">
        <v>0.0</v>
      </c>
      <c r="AB1584" s="107">
        <v>0.0</v>
      </c>
      <c r="AC1584" s="107">
        <v>0.0</v>
      </c>
      <c r="AD1584" s="107">
        <v>0.0</v>
      </c>
      <c r="AE1584" s="80">
        <f t="shared" si="2"/>
        <v>0</v>
      </c>
      <c r="AF1584" s="140">
        <v>27.0</v>
      </c>
      <c r="AG1584" s="109">
        <v>14.0</v>
      </c>
      <c r="AH1584" s="109">
        <v>0.0</v>
      </c>
      <c r="AI1584" s="141">
        <v>124.0</v>
      </c>
      <c r="AJ1584" s="80">
        <f t="shared" si="3"/>
        <v>165</v>
      </c>
      <c r="AK1584" s="140">
        <v>0.0</v>
      </c>
      <c r="AL1584" s="109">
        <v>0.0</v>
      </c>
      <c r="AM1584" s="141">
        <v>0.0</v>
      </c>
      <c r="AN1584" s="80">
        <f t="shared" si="4"/>
        <v>0</v>
      </c>
      <c r="AO1584" s="140">
        <v>0.0</v>
      </c>
      <c r="AP1584" s="109">
        <v>0.0</v>
      </c>
      <c r="AQ1584" s="109">
        <v>52.0</v>
      </c>
      <c r="AR1584" s="80">
        <f t="shared" si="5"/>
        <v>52</v>
      </c>
      <c r="AS1584" s="110">
        <v>0.0</v>
      </c>
      <c r="AT1584" s="110">
        <v>0.0</v>
      </c>
      <c r="AU1584" s="110">
        <v>0.0</v>
      </c>
      <c r="AV1584" s="142">
        <v>0.0</v>
      </c>
      <c r="AW1584" s="80">
        <f t="shared" si="6"/>
        <v>0</v>
      </c>
      <c r="AX1584" s="113">
        <f t="shared" si="7"/>
        <v>217</v>
      </c>
      <c r="AY1584" s="117">
        <f t="shared" si="8"/>
        <v>165</v>
      </c>
      <c r="AZ1584" s="120">
        <f t="shared" si="9"/>
        <v>52</v>
      </c>
      <c r="BA1584" s="115">
        <v>0.0</v>
      </c>
      <c r="BB1584" s="89">
        <f t="shared" si="10"/>
        <v>217</v>
      </c>
      <c r="BC1584" s="132" t="s">
        <v>178</v>
      </c>
      <c r="BD1584" s="132" t="s">
        <v>178</v>
      </c>
      <c r="BE1584" s="132" t="s">
        <v>178</v>
      </c>
      <c r="BF1584" s="156"/>
      <c r="BG1584" s="83">
        <v>1176079.0</v>
      </c>
      <c r="BH1584" s="98" t="s">
        <v>8861</v>
      </c>
      <c r="BI1584" s="112">
        <v>7.0</v>
      </c>
      <c r="BJ1584" s="98" t="s">
        <v>155</v>
      </c>
      <c r="BK1584" s="99">
        <f t="shared" si="11"/>
        <v>124</v>
      </c>
      <c r="BL1584" s="99">
        <f t="shared" si="12"/>
        <v>41</v>
      </c>
      <c r="BM1584" s="99" t="str">
        <f>IFERROR(__xludf.DUMMYFUNCTION("IFERROR(VLOOKUP(BG1584,IMPORTRANGE(""https://docs.google.com/spreadsheets/d/1juPI-Fb8LD0YtltB2mlGEnp_R3UVu1t3wSFPzgCyHXE/edit?gid=0#gid=0"",""GERAL!A2:C""),3,0),""-"")"),"-")</f>
        <v>-</v>
      </c>
    </row>
    <row r="1585" ht="15.75" customHeight="1">
      <c r="A1585" s="111" t="s">
        <v>1785</v>
      </c>
      <c r="B1585" s="83" t="s">
        <v>1994</v>
      </c>
      <c r="C1585" s="83" t="s">
        <v>68</v>
      </c>
      <c r="D1585" s="112">
        <v>1101074.0</v>
      </c>
      <c r="E1585" s="83"/>
      <c r="F1585" s="83">
        <v>2.9190835E7</v>
      </c>
      <c r="G1585" s="114" t="s">
        <v>8865</v>
      </c>
      <c r="H1585" s="91" t="s">
        <v>8867</v>
      </c>
      <c r="I1585" s="83" t="s">
        <v>8868</v>
      </c>
      <c r="J1585" s="83" t="s">
        <v>150</v>
      </c>
      <c r="K1585" s="83" t="s">
        <v>151</v>
      </c>
      <c r="L1585" s="83" t="s">
        <v>152</v>
      </c>
      <c r="M1585" s="82" t="str">
        <f>IFERROR(__xludf.DUMMYFUNCTION("IFERROR(VLOOKUP(D1585,
IMPORTRANGE(""https://docs.google.com/spreadsheets/d/1MjHtlUikwobi2MaWJgy7tfLeBmhj1u-dRFRs_8GwSoA/edit#gid=0"",""Gestores Escolares!D7:J""),3,0),""VERIFICAR CÓD SEC"")"),"NEIDE MARIA OLIVEIRA AZEVEDO DE ALMEIDA")</f>
        <v>NEIDE MARIA OLIVEIRA AZEVEDO DE ALMEIDA</v>
      </c>
      <c r="N1585" s="82" t="str">
        <f>IFERROR(__xludf.DUMMYFUNCTION("IFERROR(VLOOKUP(D1585,
IMPORTRANGE(""https://docs.google.com/spreadsheets/d/1MjHtlUikwobi2MaWJgy7tfLeBmhj1u-dRFRs_8GwSoA/edit#gid=0"",""Gestores Escolares!D7:J""),4,0),""VERIFICAR CÓD SEC"")"),"(71) 9 9952-2268/ 3233-9903")</f>
        <v>(71) 9 9952-2268/ 3233-9903</v>
      </c>
      <c r="O1585" s="82" t="str">
        <f>IFERROR(__xludf.DUMMYFUNCTION("IFERROR(VLOOKUP(D1585,
IMPORTRANGE(""https://docs.google.com/spreadsheets/d/1MjHtlUikwobi2MaWJgy7tfLeBmhj1u-dRFRs_8GwSoA/edit#gid=0"",""Gestores Escolares!D7:J""),6,0),""VERIFICAR CÓD SEC"")"),"CYOMARA DA COSTA PITANGA")</f>
        <v>CYOMARA DA COSTA PITANGA</v>
      </c>
      <c r="P1585" s="82" t="str">
        <f>IFERROR(__xludf.DUMMYFUNCTION("IFERROR(VLOOKUP(D1585,
IMPORTRANGE(""https://docs.google.com/spreadsheets/d/1MjHtlUikwobi2MaWJgy7tfLeBmhj1u-dRFRs_8GwSoA/edit#gid=0"",""Gestores Escolares!D7:J""),7,0),""VERIFICAR CÓD SEC"")"),"(71) 9 9373-6599")</f>
        <v>(71) 9 9373-6599</v>
      </c>
      <c r="Q1585" s="82" t="str">
        <f>IFERROR(__xludf.DUMMYFUNCTION("IFERROR(VLOOKUP(D1585,
IMPORTRANGE(""https://docs.google.com/spreadsheets/d/1MjHtlUikwobi2MaWJgy7tfLeBmhj1u-dRFRs_8GwSoA/edit#gid=0"",""Gestores Escolares!D7:m""),9,0),""VERIFICAR CÓD SEC"")"),"")</f>
        <v/>
      </c>
      <c r="R1585" s="82" t="str">
        <f>IFERROR(__xludf.DUMMYFUNCTION("IFERROR(VLOOKUP(D1585,
IMPORTRANGE(""https://docs.google.com/spreadsheets/d/1MjHtlUikwobi2MaWJgy7tfLeBmhj1u-dRFRs_8GwSoA/edit#gid=0"",""Gestores Escolares!D7:m""),10,0),""VERIFICAR CÓD SEC"")"),"")</f>
        <v/>
      </c>
      <c r="S1585" s="82"/>
      <c r="T1585" s="138">
        <v>13.0</v>
      </c>
      <c r="U1585" s="152">
        <v>14.0</v>
      </c>
      <c r="V1585" s="106">
        <v>0.0</v>
      </c>
      <c r="W1585" s="107">
        <v>0.0</v>
      </c>
      <c r="X1585" s="107">
        <v>0.0</v>
      </c>
      <c r="Y1585" s="107">
        <v>0.0</v>
      </c>
      <c r="Z1585" s="80">
        <f t="shared" si="1"/>
        <v>0</v>
      </c>
      <c r="AA1585" s="106">
        <v>69.0</v>
      </c>
      <c r="AB1585" s="107">
        <v>246.0</v>
      </c>
      <c r="AC1585" s="107">
        <v>0.0</v>
      </c>
      <c r="AD1585" s="107">
        <v>0.0</v>
      </c>
      <c r="AE1585" s="80">
        <f t="shared" si="2"/>
        <v>315</v>
      </c>
      <c r="AF1585" s="140">
        <v>314.0</v>
      </c>
      <c r="AG1585" s="109">
        <v>63.0</v>
      </c>
      <c r="AH1585" s="109">
        <v>0.0</v>
      </c>
      <c r="AI1585" s="141">
        <v>0.0</v>
      </c>
      <c r="AJ1585" s="80">
        <f t="shared" si="3"/>
        <v>377</v>
      </c>
      <c r="AK1585" s="140">
        <v>0.0</v>
      </c>
      <c r="AL1585" s="109">
        <v>0.0</v>
      </c>
      <c r="AM1585" s="141">
        <v>17.0</v>
      </c>
      <c r="AN1585" s="80">
        <f t="shared" si="4"/>
        <v>17</v>
      </c>
      <c r="AO1585" s="140">
        <v>0.0</v>
      </c>
      <c r="AP1585" s="109">
        <v>0.0</v>
      </c>
      <c r="AQ1585" s="109">
        <v>75.0</v>
      </c>
      <c r="AR1585" s="80">
        <f t="shared" si="5"/>
        <v>75</v>
      </c>
      <c r="AS1585" s="110">
        <v>0.0</v>
      </c>
      <c r="AT1585" s="110">
        <v>0.0</v>
      </c>
      <c r="AU1585" s="110">
        <v>0.0</v>
      </c>
      <c r="AV1585" s="142">
        <v>0.0</v>
      </c>
      <c r="AW1585" s="80">
        <f t="shared" si="6"/>
        <v>0</v>
      </c>
      <c r="AX1585" s="113">
        <f t="shared" si="7"/>
        <v>784</v>
      </c>
      <c r="AY1585" s="117">
        <f t="shared" si="8"/>
        <v>692</v>
      </c>
      <c r="AZ1585" s="120">
        <f t="shared" si="9"/>
        <v>92</v>
      </c>
      <c r="BA1585" s="115">
        <v>0.0</v>
      </c>
      <c r="BB1585" s="89">
        <f t="shared" si="10"/>
        <v>784</v>
      </c>
      <c r="BC1585" s="132" t="s">
        <v>178</v>
      </c>
      <c r="BD1585" s="132" t="s">
        <v>178</v>
      </c>
      <c r="BE1585" s="132" t="s">
        <v>178</v>
      </c>
      <c r="BF1585" s="123"/>
      <c r="BG1585" s="83">
        <v>1101074.0</v>
      </c>
      <c r="BH1585" s="98" t="s">
        <v>8870</v>
      </c>
      <c r="BI1585" s="112">
        <v>14.0</v>
      </c>
      <c r="BJ1585" s="98" t="s">
        <v>155</v>
      </c>
      <c r="BK1585" s="99">
        <f t="shared" si="11"/>
        <v>0</v>
      </c>
      <c r="BL1585" s="99">
        <f t="shared" si="12"/>
        <v>692</v>
      </c>
      <c r="BM1585" s="99" t="str">
        <f>IFERROR(__xludf.DUMMYFUNCTION("IFERROR(VLOOKUP(BG1585,IMPORTRANGE(""https://docs.google.com/spreadsheets/d/1juPI-Fb8LD0YtltB2mlGEnp_R3UVu1t3wSFPzgCyHXE/edit?gid=0#gid=0"",""GERAL!A2:C""),3,0),""-"")"),"-")</f>
        <v>-</v>
      </c>
    </row>
    <row r="1586" ht="15.75" customHeight="1">
      <c r="A1586" s="111" t="s">
        <v>1785</v>
      </c>
      <c r="B1586" s="83" t="s">
        <v>1994</v>
      </c>
      <c r="C1586" s="83" t="s">
        <v>68</v>
      </c>
      <c r="D1586" s="112">
        <v>1145829.0</v>
      </c>
      <c r="E1586" s="83"/>
      <c r="F1586" s="83">
        <v>2.919127E7</v>
      </c>
      <c r="G1586" s="114" t="s">
        <v>8871</v>
      </c>
      <c r="H1586" s="91" t="s">
        <v>8872</v>
      </c>
      <c r="I1586" s="83" t="s">
        <v>8609</v>
      </c>
      <c r="J1586" s="83" t="s">
        <v>150</v>
      </c>
      <c r="K1586" s="83" t="s">
        <v>151</v>
      </c>
      <c r="L1586" s="83" t="s">
        <v>152</v>
      </c>
      <c r="M1586" s="82" t="str">
        <f>IFERROR(__xludf.DUMMYFUNCTION("IFERROR(VLOOKUP(D1586,
IMPORTRANGE(""https://docs.google.com/spreadsheets/d/1MjHtlUikwobi2MaWJgy7tfLeBmhj1u-dRFRs_8GwSoA/edit#gid=0"",""Gestores Escolares!D7:J""),3,0),""VERIFICAR CÓD SEC"")"),"ANDRE LUIZ FAGUNDES")</f>
        <v>ANDRE LUIZ FAGUNDES</v>
      </c>
      <c r="N1586" s="82" t="str">
        <f>IFERROR(__xludf.DUMMYFUNCTION("IFERROR(VLOOKUP(D1586,
IMPORTRANGE(""https://docs.google.com/spreadsheets/d/1MjHtlUikwobi2MaWJgy7tfLeBmhj1u-dRFRs_8GwSoA/edit#gid=0"",""Gestores Escolares!D7:J""),4,0),""VERIFICAR CÓD SEC"")"),"(71) 9 8116-0482/9 9326-6123")</f>
        <v>(71) 9 8116-0482/9 9326-6123</v>
      </c>
      <c r="O1586" s="82" t="str">
        <f>IFERROR(__xludf.DUMMYFUNCTION("IFERROR(VLOOKUP(D1586,
IMPORTRANGE(""https://docs.google.com/spreadsheets/d/1MjHtlUikwobi2MaWJgy7tfLeBmhj1u-dRFRs_8GwSoA/edit#gid=0"",""Gestores Escolares!D7:J""),6,0),""VERIFICAR CÓD SEC"")"),"GABRIEL OLIVEIRA ROCHA")</f>
        <v>GABRIEL OLIVEIRA ROCHA</v>
      </c>
      <c r="P1586" s="82" t="str">
        <f>IFERROR(__xludf.DUMMYFUNCTION("IFERROR(VLOOKUP(D1586,
IMPORTRANGE(""https://docs.google.com/spreadsheets/d/1MjHtlUikwobi2MaWJgy7tfLeBmhj1u-dRFRs_8GwSoA/edit#gid=0"",""Gestores Escolares!D7:J""),7,0),""VERIFICAR CÓD SEC"")"),"(71) 9 9222-3455")</f>
        <v>(71) 9 9222-3455</v>
      </c>
      <c r="Q1586" s="82" t="str">
        <f>IFERROR(__xludf.DUMMYFUNCTION("IFERROR(VLOOKUP(D1586,
IMPORTRANGE(""https://docs.google.com/spreadsheets/d/1MjHtlUikwobi2MaWJgy7tfLeBmhj1u-dRFRs_8GwSoA/edit#gid=0"",""Gestores Escolares!D7:m""),9,0),""VERIFICAR CÓD SEC"")")," CRISTIANE CIPRIANO DOS SANTOS")</f>
        <v> CRISTIANE CIPRIANO DOS SANTOS</v>
      </c>
      <c r="R1586" s="82" t="str">
        <f>IFERROR(__xludf.DUMMYFUNCTION("IFERROR(VLOOKUP(D1586,
IMPORTRANGE(""https://docs.google.com/spreadsheets/d/1MjHtlUikwobi2MaWJgy7tfLeBmhj1u-dRFRs_8GwSoA/edit#gid=0"",""Gestores Escolares!D7:m""),10,0),""VERIFICAR CÓD SEC"")")," (71) 9 9729-9524")</f>
        <v> (71) 9 9729-9524</v>
      </c>
      <c r="S1586" s="82"/>
      <c r="T1586" s="138">
        <v>13.0</v>
      </c>
      <c r="U1586" s="152" t="s">
        <v>13933</v>
      </c>
      <c r="V1586" s="106">
        <v>0.0</v>
      </c>
      <c r="W1586" s="107">
        <v>0.0</v>
      </c>
      <c r="X1586" s="107">
        <v>0.0</v>
      </c>
      <c r="Y1586" s="107">
        <v>0.0</v>
      </c>
      <c r="Z1586" s="80">
        <f t="shared" si="1"/>
        <v>0</v>
      </c>
      <c r="AA1586" s="106">
        <v>380.0</v>
      </c>
      <c r="AB1586" s="107">
        <v>335.0</v>
      </c>
      <c r="AC1586" s="107">
        <v>0.0</v>
      </c>
      <c r="AD1586" s="107">
        <v>0.0</v>
      </c>
      <c r="AE1586" s="80">
        <f t="shared" si="2"/>
        <v>715</v>
      </c>
      <c r="AF1586" s="140">
        <v>0.0</v>
      </c>
      <c r="AG1586" s="109">
        <v>0.0</v>
      </c>
      <c r="AH1586" s="109">
        <v>0.0</v>
      </c>
      <c r="AI1586" s="141">
        <v>0.0</v>
      </c>
      <c r="AJ1586" s="80">
        <f t="shared" si="3"/>
        <v>0</v>
      </c>
      <c r="AK1586" s="140">
        <v>0.0</v>
      </c>
      <c r="AL1586" s="109">
        <v>0.0</v>
      </c>
      <c r="AM1586" s="141">
        <v>0.0</v>
      </c>
      <c r="AN1586" s="80">
        <f t="shared" si="4"/>
        <v>0</v>
      </c>
      <c r="AO1586" s="140">
        <v>0.0</v>
      </c>
      <c r="AP1586" s="109">
        <v>0.0</v>
      </c>
      <c r="AQ1586" s="109">
        <v>100.0</v>
      </c>
      <c r="AR1586" s="80">
        <f t="shared" si="5"/>
        <v>100</v>
      </c>
      <c r="AS1586" s="110">
        <v>0.0</v>
      </c>
      <c r="AT1586" s="110">
        <v>0.0</v>
      </c>
      <c r="AU1586" s="110">
        <v>0.0</v>
      </c>
      <c r="AV1586" s="142">
        <v>0.0</v>
      </c>
      <c r="AW1586" s="80">
        <f t="shared" si="6"/>
        <v>0</v>
      </c>
      <c r="AX1586" s="113">
        <f t="shared" si="7"/>
        <v>815</v>
      </c>
      <c r="AY1586" s="117">
        <f t="shared" si="8"/>
        <v>715</v>
      </c>
      <c r="AZ1586" s="120">
        <f t="shared" si="9"/>
        <v>100</v>
      </c>
      <c r="BA1586" s="115">
        <v>1.0</v>
      </c>
      <c r="BB1586" s="89">
        <f t="shared" si="10"/>
        <v>816</v>
      </c>
      <c r="BC1586" s="132" t="s">
        <v>178</v>
      </c>
      <c r="BD1586" s="132" t="s">
        <v>178</v>
      </c>
      <c r="BE1586" s="132" t="s">
        <v>178</v>
      </c>
      <c r="BF1586" s="156"/>
      <c r="BG1586" s="83">
        <v>1145829.0</v>
      </c>
      <c r="BH1586" s="98" t="s">
        <v>8873</v>
      </c>
      <c r="BI1586" s="112">
        <v>13.0</v>
      </c>
      <c r="BJ1586" s="98" t="s">
        <v>155</v>
      </c>
      <c r="BK1586" s="99">
        <f t="shared" si="11"/>
        <v>0</v>
      </c>
      <c r="BL1586" s="99">
        <f t="shared" si="12"/>
        <v>715</v>
      </c>
      <c r="BM1586" s="99" t="str">
        <f>IFERROR(__xludf.DUMMYFUNCTION("IFERROR(VLOOKUP(BG1586,IMPORTRANGE(""https://docs.google.com/spreadsheets/d/1juPI-Fb8LD0YtltB2mlGEnp_R3UVu1t3wSFPzgCyHXE/edit?gid=0#gid=0"",""GERAL!A2:C""),3,0),""-"")"),"-")</f>
        <v>-</v>
      </c>
    </row>
    <row r="1587" ht="15.75" customHeight="1">
      <c r="A1587" s="111" t="s">
        <v>1785</v>
      </c>
      <c r="B1587" s="83" t="s">
        <v>1994</v>
      </c>
      <c r="C1587" s="83" t="s">
        <v>68</v>
      </c>
      <c r="D1587" s="112">
        <v>1101031.0</v>
      </c>
      <c r="E1587" s="83"/>
      <c r="F1587" s="83">
        <v>2.9182093E7</v>
      </c>
      <c r="G1587" s="119" t="s">
        <v>8874</v>
      </c>
      <c r="H1587" s="91" t="s">
        <v>8875</v>
      </c>
      <c r="I1587" s="83" t="s">
        <v>8876</v>
      </c>
      <c r="J1587" s="83" t="s">
        <v>150</v>
      </c>
      <c r="K1587" s="83" t="s">
        <v>151</v>
      </c>
      <c r="L1587" s="83" t="s">
        <v>76</v>
      </c>
      <c r="M1587" s="82" t="str">
        <f>IFERROR(__xludf.DUMMYFUNCTION("IFERROR(VLOOKUP(D1587,
IMPORTRANGE(""https://docs.google.com/spreadsheets/d/1MjHtlUikwobi2MaWJgy7tfLeBmhj1u-dRFRs_8GwSoA/edit#gid=0"",""Gestores Escolares!D7:J""),3,0),""VERIFICAR CÓD SEC"")"),"ELIANA TELES DOS ANJOS")</f>
        <v>ELIANA TELES DOS ANJOS</v>
      </c>
      <c r="N1587" s="82" t="str">
        <f>IFERROR(__xludf.DUMMYFUNCTION("IFERROR(VLOOKUP(D1587,
IMPORTRANGE(""https://docs.google.com/spreadsheets/d/1MjHtlUikwobi2MaWJgy7tfLeBmhj1u-dRFRs_8GwSoA/edit#gid=0"",""Gestores Escolares!D7:J""),4,0),""VERIFICAR CÓD SEC"")"),"(71) 9 9977-6361")</f>
        <v>(71) 9 9977-6361</v>
      </c>
      <c r="O1587" s="82" t="str">
        <f>IFERROR(__xludf.DUMMYFUNCTION("IFERROR(VLOOKUP(D1587,
IMPORTRANGE(""https://docs.google.com/spreadsheets/d/1MjHtlUikwobi2MaWJgy7tfLeBmhj1u-dRFRs_8GwSoA/edit#gid=0"",""Gestores Escolares!D7:J""),6,0),""VERIFICAR CÓD SEC"")"),"JAIR GOMES DA SILVA")</f>
        <v>JAIR GOMES DA SILVA</v>
      </c>
      <c r="P1587" s="82" t="str">
        <f>IFERROR(__xludf.DUMMYFUNCTION("IFERROR(VLOOKUP(D1587,
IMPORTRANGE(""https://docs.google.com/spreadsheets/d/1MjHtlUikwobi2MaWJgy7tfLeBmhj1u-dRFRs_8GwSoA/edit#gid=0"",""Gestores Escolares!D7:J""),7,0),""VERIFICAR CÓD SEC"")"),"(71) 9 8172-5048")</f>
        <v>(71) 9 8172-5048</v>
      </c>
      <c r="Q1587" s="82" t="str">
        <f>IFERROR(__xludf.DUMMYFUNCTION("IFERROR(VLOOKUP(D1587,
IMPORTRANGE(""https://docs.google.com/spreadsheets/d/1MjHtlUikwobi2MaWJgy7tfLeBmhj1u-dRFRs_8GwSoA/edit#gid=0"",""Gestores Escolares!D7:m""),9,0),""VERIFICAR CÓD SEC"")"),"")</f>
        <v/>
      </c>
      <c r="R1587" s="82" t="str">
        <f>IFERROR(__xludf.DUMMYFUNCTION("IFERROR(VLOOKUP(D1587,
IMPORTRANGE(""https://docs.google.com/spreadsheets/d/1MjHtlUikwobi2MaWJgy7tfLeBmhj1u-dRFRs_8GwSoA/edit#gid=0"",""Gestores Escolares!D7:m""),10,0),""VERIFICAR CÓD SEC"")"),"")</f>
        <v/>
      </c>
      <c r="S1587" s="82"/>
      <c r="T1587" s="138">
        <v>9.0</v>
      </c>
      <c r="U1587" s="152">
        <v>24.0</v>
      </c>
      <c r="V1587" s="106">
        <v>0.0</v>
      </c>
      <c r="W1587" s="107">
        <v>0.0</v>
      </c>
      <c r="X1587" s="107">
        <v>0.0</v>
      </c>
      <c r="Y1587" s="107">
        <v>0.0</v>
      </c>
      <c r="Z1587" s="80">
        <f t="shared" si="1"/>
        <v>0</v>
      </c>
      <c r="AA1587" s="106">
        <v>30.0</v>
      </c>
      <c r="AB1587" s="107">
        <v>19.0</v>
      </c>
      <c r="AC1587" s="107">
        <v>0.0</v>
      </c>
      <c r="AD1587" s="107">
        <v>56.0</v>
      </c>
      <c r="AE1587" s="80">
        <f t="shared" si="2"/>
        <v>105</v>
      </c>
      <c r="AF1587" s="140">
        <v>0.0</v>
      </c>
      <c r="AG1587" s="109">
        <v>0.0</v>
      </c>
      <c r="AH1587" s="109">
        <v>0.0</v>
      </c>
      <c r="AI1587" s="141">
        <v>0.0</v>
      </c>
      <c r="AJ1587" s="80">
        <f t="shared" si="3"/>
        <v>0</v>
      </c>
      <c r="AK1587" s="140">
        <v>0.0</v>
      </c>
      <c r="AL1587" s="109">
        <v>0.0</v>
      </c>
      <c r="AM1587" s="141">
        <v>34.0</v>
      </c>
      <c r="AN1587" s="80">
        <f t="shared" si="4"/>
        <v>34</v>
      </c>
      <c r="AO1587" s="140">
        <v>0.0</v>
      </c>
      <c r="AP1587" s="109">
        <v>0.0</v>
      </c>
      <c r="AQ1587" s="109">
        <v>45.0</v>
      </c>
      <c r="AR1587" s="80">
        <f t="shared" si="5"/>
        <v>45</v>
      </c>
      <c r="AS1587" s="110">
        <v>0.0</v>
      </c>
      <c r="AT1587" s="110">
        <v>0.0</v>
      </c>
      <c r="AU1587" s="110">
        <v>59.0</v>
      </c>
      <c r="AV1587" s="142">
        <v>0.0</v>
      </c>
      <c r="AW1587" s="80">
        <f t="shared" si="6"/>
        <v>59</v>
      </c>
      <c r="AX1587" s="113">
        <f t="shared" si="7"/>
        <v>243</v>
      </c>
      <c r="AY1587" s="117">
        <f t="shared" si="8"/>
        <v>105</v>
      </c>
      <c r="AZ1587" s="120">
        <f t="shared" si="9"/>
        <v>138</v>
      </c>
      <c r="BA1587" s="115">
        <v>0.0</v>
      </c>
      <c r="BB1587" s="89">
        <f t="shared" si="10"/>
        <v>243</v>
      </c>
      <c r="BC1587" s="132" t="s">
        <v>178</v>
      </c>
      <c r="BD1587" s="132" t="s">
        <v>178</v>
      </c>
      <c r="BE1587" s="132" t="s">
        <v>178</v>
      </c>
      <c r="BF1587" s="123"/>
      <c r="BG1587" s="83">
        <v>1101031.0</v>
      </c>
      <c r="BH1587" s="98" t="s">
        <v>8877</v>
      </c>
      <c r="BI1587" s="112">
        <v>24.0</v>
      </c>
      <c r="BJ1587" s="98" t="s">
        <v>155</v>
      </c>
      <c r="BK1587" s="99">
        <f t="shared" si="11"/>
        <v>56</v>
      </c>
      <c r="BL1587" s="99">
        <f t="shared" si="12"/>
        <v>49</v>
      </c>
      <c r="BM1587" s="99" t="str">
        <f>IFERROR(__xludf.DUMMYFUNCTION("IFERROR(VLOOKUP(BG1587,IMPORTRANGE(""https://docs.google.com/spreadsheets/d/1juPI-Fb8LD0YtltB2mlGEnp_R3UVu1t3wSFPzgCyHXE/edit?gid=0#gid=0"",""GERAL!A2:C""),3,0),""-"")"),"-")</f>
        <v>-</v>
      </c>
    </row>
    <row r="1588" ht="15.75" customHeight="1">
      <c r="A1588" s="111" t="s">
        <v>1785</v>
      </c>
      <c r="B1588" s="83" t="s">
        <v>1994</v>
      </c>
      <c r="C1588" s="83" t="s">
        <v>68</v>
      </c>
      <c r="D1588" s="112">
        <v>1100388.0</v>
      </c>
      <c r="E1588" s="83"/>
      <c r="F1588" s="83">
        <v>2.9189454E7</v>
      </c>
      <c r="G1588" s="119" t="s">
        <v>8878</v>
      </c>
      <c r="H1588" s="91" t="s">
        <v>8879</v>
      </c>
      <c r="I1588" s="83" t="s">
        <v>8391</v>
      </c>
      <c r="J1588" s="83" t="s">
        <v>150</v>
      </c>
      <c r="K1588" s="83" t="s">
        <v>151</v>
      </c>
      <c r="L1588" s="83" t="s">
        <v>152</v>
      </c>
      <c r="M1588" s="82" t="str">
        <f>IFERROR(__xludf.DUMMYFUNCTION("IFERROR(VLOOKUP(D1588,
IMPORTRANGE(""https://docs.google.com/spreadsheets/d/1MjHtlUikwobi2MaWJgy7tfLeBmhj1u-dRFRs_8GwSoA/edit#gid=0"",""Gestores Escolares!D7:J""),3,0),""VERIFICAR CÓD SEC"")"),"NOEMI DA SILVA CALMON SANTANA")</f>
        <v>NOEMI DA SILVA CALMON SANTANA</v>
      </c>
      <c r="N1588" s="82" t="str">
        <f>IFERROR(__xludf.DUMMYFUNCTION("IFERROR(VLOOKUP(D1588,
IMPORTRANGE(""https://docs.google.com/spreadsheets/d/1MjHtlUikwobi2MaWJgy7tfLeBmhj1u-dRFRs_8GwSoA/edit#gid=0"",""Gestores Escolares!D7:J""),4,0),""VERIFICAR CÓD SEC"")"),"(71) 9 9264-6338 / 3214-9032")</f>
        <v>(71) 9 9264-6338 / 3214-9032</v>
      </c>
      <c r="O1588" s="82" t="str">
        <f>IFERROR(__xludf.DUMMYFUNCTION("IFERROR(VLOOKUP(D1588,
IMPORTRANGE(""https://docs.google.com/spreadsheets/d/1MjHtlUikwobi2MaWJgy7tfLeBmhj1u-dRFRs_8GwSoA/edit#gid=0"",""Gestores Escolares!D7:J""),6,0),""VERIFICAR CÓD SEC"")"),"ANA BARBARA BARROS BITENCOURT")</f>
        <v>ANA BARBARA BARROS BITENCOURT</v>
      </c>
      <c r="P1588" s="82" t="str">
        <f>IFERROR(__xludf.DUMMYFUNCTION("IFERROR(VLOOKUP(D1588,
IMPORTRANGE(""https://docs.google.com/spreadsheets/d/1MjHtlUikwobi2MaWJgy7tfLeBmhj1u-dRFRs_8GwSoA/edit#gid=0"",""Gestores Escolares!D7:J""),7,0),""VERIFICAR CÓD SEC"")"),"(71) 9 8837-3255")</f>
        <v>(71) 9 8837-3255</v>
      </c>
      <c r="Q1588" s="82" t="str">
        <f>IFERROR(__xludf.DUMMYFUNCTION("IFERROR(VLOOKUP(D1588,
IMPORTRANGE(""https://docs.google.com/spreadsheets/d/1MjHtlUikwobi2MaWJgy7tfLeBmhj1u-dRFRs_8GwSoA/edit#gid=0"",""Gestores Escolares!D7:m""),9,0),""VERIFICAR CÓD SEC"")"),"DALVAILDES DE JESUS ANDRADE DOS SANTOS")</f>
        <v>DALVAILDES DE JESUS ANDRADE DOS SANTOS</v>
      </c>
      <c r="R1588" s="82" t="str">
        <f>IFERROR(__xludf.DUMMYFUNCTION("IFERROR(VLOOKUP(D1588,
IMPORTRANGE(""https://docs.google.com/spreadsheets/d/1MjHtlUikwobi2MaWJgy7tfLeBmhj1u-dRFRs_8GwSoA/edit#gid=0"",""Gestores Escolares!D7:m""),10,0),""VERIFICAR CÓD SEC"")"),"(71) 9 8837-2849")</f>
        <v>(71) 9 8837-2849</v>
      </c>
      <c r="S1588" s="82"/>
      <c r="T1588" s="138">
        <v>14.0</v>
      </c>
      <c r="U1588" s="152">
        <v>12.0</v>
      </c>
      <c r="V1588" s="106">
        <v>0.0</v>
      </c>
      <c r="W1588" s="107">
        <v>0.0</v>
      </c>
      <c r="X1588" s="107">
        <v>0.0</v>
      </c>
      <c r="Y1588" s="107">
        <v>0.0</v>
      </c>
      <c r="Z1588" s="80">
        <f t="shared" si="1"/>
        <v>0</v>
      </c>
      <c r="AA1588" s="106">
        <v>30.0</v>
      </c>
      <c r="AB1588" s="107">
        <v>265.0</v>
      </c>
      <c r="AC1588" s="107">
        <v>0.0</v>
      </c>
      <c r="AD1588" s="107">
        <v>0.0</v>
      </c>
      <c r="AE1588" s="80">
        <f t="shared" si="2"/>
        <v>295</v>
      </c>
      <c r="AF1588" s="140">
        <v>236.0</v>
      </c>
      <c r="AG1588" s="109">
        <v>15.0</v>
      </c>
      <c r="AH1588" s="109">
        <v>0.0</v>
      </c>
      <c r="AI1588" s="141">
        <v>0.0</v>
      </c>
      <c r="AJ1588" s="80">
        <f t="shared" si="3"/>
        <v>251</v>
      </c>
      <c r="AK1588" s="140">
        <v>0.0</v>
      </c>
      <c r="AL1588" s="109">
        <v>0.0</v>
      </c>
      <c r="AM1588" s="141">
        <v>0.0</v>
      </c>
      <c r="AN1588" s="80">
        <f t="shared" si="4"/>
        <v>0</v>
      </c>
      <c r="AO1588" s="140">
        <v>0.0</v>
      </c>
      <c r="AP1588" s="109">
        <v>0.0</v>
      </c>
      <c r="AQ1588" s="109">
        <v>52.0</v>
      </c>
      <c r="AR1588" s="80">
        <f t="shared" si="5"/>
        <v>52</v>
      </c>
      <c r="AS1588" s="110">
        <v>0.0</v>
      </c>
      <c r="AT1588" s="110">
        <v>0.0</v>
      </c>
      <c r="AU1588" s="110">
        <v>0.0</v>
      </c>
      <c r="AV1588" s="142">
        <v>0.0</v>
      </c>
      <c r="AW1588" s="80">
        <f t="shared" si="6"/>
        <v>0</v>
      </c>
      <c r="AX1588" s="113">
        <f t="shared" si="7"/>
        <v>598</v>
      </c>
      <c r="AY1588" s="117">
        <f t="shared" si="8"/>
        <v>546</v>
      </c>
      <c r="AZ1588" s="120">
        <f t="shared" si="9"/>
        <v>52</v>
      </c>
      <c r="BA1588" s="115">
        <v>0.0</v>
      </c>
      <c r="BB1588" s="89">
        <f t="shared" si="10"/>
        <v>598</v>
      </c>
      <c r="BC1588" s="132" t="s">
        <v>178</v>
      </c>
      <c r="BD1588" s="132" t="s">
        <v>178</v>
      </c>
      <c r="BE1588" s="132" t="s">
        <v>178</v>
      </c>
      <c r="BF1588" s="123"/>
      <c r="BG1588" s="83">
        <v>1100388.0</v>
      </c>
      <c r="BH1588" s="98" t="s">
        <v>8880</v>
      </c>
      <c r="BI1588" s="112">
        <v>12.0</v>
      </c>
      <c r="BJ1588" s="98" t="s">
        <v>155</v>
      </c>
      <c r="BK1588" s="99">
        <f t="shared" si="11"/>
        <v>0</v>
      </c>
      <c r="BL1588" s="99">
        <f t="shared" si="12"/>
        <v>546</v>
      </c>
      <c r="BM1588" s="99" t="str">
        <f>IFERROR(__xludf.DUMMYFUNCTION("IFERROR(VLOOKUP(BG1588,IMPORTRANGE(""https://docs.google.com/spreadsheets/d/1juPI-Fb8LD0YtltB2mlGEnp_R3UVu1t3wSFPzgCyHXE/edit?gid=0#gid=0"",""GERAL!A2:C""),3,0),""-"")"),"-")</f>
        <v>-</v>
      </c>
    </row>
    <row r="1589" ht="15.75" customHeight="1">
      <c r="A1589" s="111" t="s">
        <v>1785</v>
      </c>
      <c r="B1589" s="83" t="s">
        <v>1994</v>
      </c>
      <c r="C1589" s="83" t="s">
        <v>68</v>
      </c>
      <c r="D1589" s="112">
        <v>1102372.0</v>
      </c>
      <c r="E1589" s="83"/>
      <c r="F1589" s="83">
        <v>2.9188792E7</v>
      </c>
      <c r="G1589" s="119" t="s">
        <v>8881</v>
      </c>
      <c r="H1589" s="91" t="s">
        <v>8882</v>
      </c>
      <c r="I1589" s="83" t="s">
        <v>8883</v>
      </c>
      <c r="J1589" s="83" t="s">
        <v>150</v>
      </c>
      <c r="K1589" s="83" t="s">
        <v>151</v>
      </c>
      <c r="L1589" s="83" t="s">
        <v>152</v>
      </c>
      <c r="M1589" s="82" t="str">
        <f>IFERROR(__xludf.DUMMYFUNCTION("IFERROR(VLOOKUP(D1589,
IMPORTRANGE(""https://docs.google.com/spreadsheets/d/1MjHtlUikwobi2MaWJgy7tfLeBmhj1u-dRFRs_8GwSoA/edit#gid=0"",""Gestores Escolares!D7:J""),3,0),""VERIFICAR CÓD SEC"")"),"VALERIA SOUZA LIMA VILARONGA")</f>
        <v>VALERIA SOUZA LIMA VILARONGA</v>
      </c>
      <c r="N1589" s="82" t="str">
        <f>IFERROR(__xludf.DUMMYFUNCTION("IFERROR(VLOOKUP(D1589,
IMPORTRANGE(""https://docs.google.com/spreadsheets/d/1MjHtlUikwobi2MaWJgy7tfLeBmhj1u-dRFRs_8GwSoA/edit#gid=0"",""Gestores Escolares!D7:J""),4,0),""VERIFICAR CÓD SEC"")"),"(71) 9 8724-3418")</f>
        <v>(71) 9 8724-3418</v>
      </c>
      <c r="O1589" s="82" t="str">
        <f>IFERROR(__xludf.DUMMYFUNCTION("IFERROR(VLOOKUP(D1589,
IMPORTRANGE(""https://docs.google.com/spreadsheets/d/1MjHtlUikwobi2MaWJgy7tfLeBmhj1u-dRFRs_8GwSoA/edit#gid=0"",""Gestores Escolares!D7:J""),6,0),""VERIFICAR CÓD SEC"")"),"EDGAR DA SILVA BARAUNA")</f>
        <v>EDGAR DA SILVA BARAUNA</v>
      </c>
      <c r="P1589" s="82" t="str">
        <f>IFERROR(__xludf.DUMMYFUNCTION("IFERROR(VLOOKUP(D1589,
IMPORTRANGE(""https://docs.google.com/spreadsheets/d/1MjHtlUikwobi2MaWJgy7tfLeBmhj1u-dRFRs_8GwSoA/edit#gid=0"",""Gestores Escolares!D7:J""),7,0),""VERIFICAR CÓD SEC"")"),"(71) 9 8826-8650")</f>
        <v>(71) 9 8826-8650</v>
      </c>
      <c r="Q1589" s="82" t="str">
        <f>IFERROR(__xludf.DUMMYFUNCTION("IFERROR(VLOOKUP(D1589,
IMPORTRANGE(""https://docs.google.com/spreadsheets/d/1MjHtlUikwobi2MaWJgy7tfLeBmhj1u-dRFRs_8GwSoA/edit#gid=0"",""Gestores Escolares!D7:m""),9,0),""VERIFICAR CÓD SEC"")"),"ROBERTA DO CRUZ DA SILVA")</f>
        <v>ROBERTA DO CRUZ DA SILVA</v>
      </c>
      <c r="R1589" s="82" t="str">
        <f>IFERROR(__xludf.DUMMYFUNCTION("IFERROR(VLOOKUP(D1589,
IMPORTRANGE(""https://docs.google.com/spreadsheets/d/1MjHtlUikwobi2MaWJgy7tfLeBmhj1u-dRFRs_8GwSoA/edit#gid=0"",""Gestores Escolares!D7:m""),10,0),""VERIFICAR CÓD SEC"")"),"(71) 9 8851-0182")</f>
        <v>(71) 9 8851-0182</v>
      </c>
      <c r="S1589" s="82"/>
      <c r="T1589" s="138">
        <v>13.0</v>
      </c>
      <c r="U1589" s="152">
        <v>12.0</v>
      </c>
      <c r="V1589" s="106">
        <v>0.0</v>
      </c>
      <c r="W1589" s="107">
        <v>0.0</v>
      </c>
      <c r="X1589" s="107">
        <v>0.0</v>
      </c>
      <c r="Y1589" s="107">
        <v>0.0</v>
      </c>
      <c r="Z1589" s="80">
        <f t="shared" si="1"/>
        <v>0</v>
      </c>
      <c r="AA1589" s="106">
        <v>0.0</v>
      </c>
      <c r="AB1589" s="107">
        <v>0.0</v>
      </c>
      <c r="AC1589" s="107">
        <v>0.0</v>
      </c>
      <c r="AD1589" s="107">
        <v>0.0</v>
      </c>
      <c r="AE1589" s="80">
        <f t="shared" si="2"/>
        <v>0</v>
      </c>
      <c r="AF1589" s="140">
        <v>386.0</v>
      </c>
      <c r="AG1589" s="109">
        <v>185.0</v>
      </c>
      <c r="AH1589" s="109">
        <v>0.0</v>
      </c>
      <c r="AI1589" s="141">
        <v>0.0</v>
      </c>
      <c r="AJ1589" s="80">
        <f t="shared" si="3"/>
        <v>571</v>
      </c>
      <c r="AK1589" s="140">
        <v>0.0</v>
      </c>
      <c r="AL1589" s="109">
        <v>0.0</v>
      </c>
      <c r="AM1589" s="141">
        <v>0.0</v>
      </c>
      <c r="AN1589" s="80">
        <f t="shared" si="4"/>
        <v>0</v>
      </c>
      <c r="AO1589" s="140">
        <v>0.0</v>
      </c>
      <c r="AP1589" s="109">
        <v>0.0</v>
      </c>
      <c r="AQ1589" s="109">
        <v>130.0</v>
      </c>
      <c r="AR1589" s="80">
        <f t="shared" si="5"/>
        <v>130</v>
      </c>
      <c r="AS1589" s="110">
        <v>0.0</v>
      </c>
      <c r="AT1589" s="110">
        <v>0.0</v>
      </c>
      <c r="AU1589" s="110">
        <v>0.0</v>
      </c>
      <c r="AV1589" s="142">
        <v>0.0</v>
      </c>
      <c r="AW1589" s="80">
        <f t="shared" si="6"/>
        <v>0</v>
      </c>
      <c r="AX1589" s="113">
        <f t="shared" si="7"/>
        <v>701</v>
      </c>
      <c r="AY1589" s="117">
        <f t="shared" si="8"/>
        <v>571</v>
      </c>
      <c r="AZ1589" s="120">
        <f t="shared" si="9"/>
        <v>130</v>
      </c>
      <c r="BA1589" s="115">
        <v>1.0</v>
      </c>
      <c r="BB1589" s="89">
        <f t="shared" si="10"/>
        <v>702</v>
      </c>
      <c r="BC1589" s="132" t="s">
        <v>178</v>
      </c>
      <c r="BD1589" s="132" t="s">
        <v>178</v>
      </c>
      <c r="BE1589" s="132" t="s">
        <v>178</v>
      </c>
      <c r="BF1589" s="123"/>
      <c r="BG1589" s="83">
        <v>1102372.0</v>
      </c>
      <c r="BH1589" s="98" t="s">
        <v>8884</v>
      </c>
      <c r="BI1589" s="112">
        <v>12.0</v>
      </c>
      <c r="BJ1589" s="98" t="s">
        <v>155</v>
      </c>
      <c r="BK1589" s="99">
        <f t="shared" si="11"/>
        <v>0</v>
      </c>
      <c r="BL1589" s="99">
        <f t="shared" si="12"/>
        <v>571</v>
      </c>
      <c r="BM1589" s="99" t="str">
        <f>IFERROR(__xludf.DUMMYFUNCTION("IFERROR(VLOOKUP(BG1589,IMPORTRANGE(""https://docs.google.com/spreadsheets/d/1juPI-Fb8LD0YtltB2mlGEnp_R3UVu1t3wSFPzgCyHXE/edit?gid=0#gid=0"",""GERAL!A2:C""),3,0),""-"")"),"-")</f>
        <v>-</v>
      </c>
    </row>
    <row r="1590" ht="15.75" customHeight="1">
      <c r="A1590" s="111" t="s">
        <v>1785</v>
      </c>
      <c r="B1590" s="83" t="s">
        <v>1994</v>
      </c>
      <c r="C1590" s="83" t="s">
        <v>68</v>
      </c>
      <c r="D1590" s="112">
        <v>1100612.0</v>
      </c>
      <c r="E1590" s="83"/>
      <c r="F1590" s="83">
        <v>2.9182034E7</v>
      </c>
      <c r="G1590" s="365" t="s">
        <v>8885</v>
      </c>
      <c r="H1590" s="91" t="s">
        <v>8886</v>
      </c>
      <c r="I1590" s="83" t="s">
        <v>8888</v>
      </c>
      <c r="J1590" s="83" t="s">
        <v>150</v>
      </c>
      <c r="K1590" s="83" t="s">
        <v>151</v>
      </c>
      <c r="L1590" s="83" t="s">
        <v>152</v>
      </c>
      <c r="M1590" s="82" t="str">
        <f>IFERROR(__xludf.DUMMYFUNCTION("IFERROR(VLOOKUP(D1590,
IMPORTRANGE(""https://docs.google.com/spreadsheets/d/1MjHtlUikwobi2MaWJgy7tfLeBmhj1u-dRFRs_8GwSoA/edit#gid=0"",""Gestores Escolares!D7:J""),3,0),""VERIFICAR CÓD SEC"")"),"ANTONIO MARCELINO BARREIROS GAVAZZA")</f>
        <v>ANTONIO MARCELINO BARREIROS GAVAZZA</v>
      </c>
      <c r="N1590" s="82" t="str">
        <f>IFERROR(__xludf.DUMMYFUNCTION("IFERROR(VLOOKUP(D1590,
IMPORTRANGE(""https://docs.google.com/spreadsheets/d/1MjHtlUikwobi2MaWJgy7tfLeBmhj1u-dRFRs_8GwSoA/edit#gid=0"",""Gestores Escolares!D7:J""),4,0),""VERIFICAR CÓD SEC"")"),"(71) 9 9122-5564")</f>
        <v>(71) 9 9122-5564</v>
      </c>
      <c r="O1590" s="82" t="str">
        <f>IFERROR(__xludf.DUMMYFUNCTION("IFERROR(VLOOKUP(D1590,
IMPORTRANGE(""https://docs.google.com/spreadsheets/d/1MjHtlUikwobi2MaWJgy7tfLeBmhj1u-dRFRs_8GwSoA/edit#gid=0"",""Gestores Escolares!D7:J""),6,0),""VERIFICAR CÓD SEC"")"),"ITALO LEITE DE MELO")</f>
        <v>ITALO LEITE DE MELO</v>
      </c>
      <c r="P1590" s="82" t="str">
        <f>IFERROR(__xludf.DUMMYFUNCTION("IFERROR(VLOOKUP(D1590,
IMPORTRANGE(""https://docs.google.com/spreadsheets/d/1MjHtlUikwobi2MaWJgy7tfLeBmhj1u-dRFRs_8GwSoA/edit#gid=0"",""Gestores Escolares!D7:J""),7,0),""VERIFICAR CÓD SEC"")"),"(71) 9 9608-5057")</f>
        <v>(71) 9 9608-5057</v>
      </c>
      <c r="Q1590" s="82" t="str">
        <f>IFERROR(__xludf.DUMMYFUNCTION("IFERROR(VLOOKUP(D1590,
IMPORTRANGE(""https://docs.google.com/spreadsheets/d/1MjHtlUikwobi2MaWJgy7tfLeBmhj1u-dRFRs_8GwSoA/edit#gid=0"",""Gestores Escolares!D7:m""),9,0),""VERIFICAR CÓD SEC"")"),"")</f>
        <v/>
      </c>
      <c r="R1590" s="82" t="str">
        <f>IFERROR(__xludf.DUMMYFUNCTION("IFERROR(VLOOKUP(D1590,
IMPORTRANGE(""https://docs.google.com/spreadsheets/d/1MjHtlUikwobi2MaWJgy7tfLeBmhj1u-dRFRs_8GwSoA/edit#gid=0"",""Gestores Escolares!D7:m""),10,0),""VERIFICAR CÓD SEC"")"),"")</f>
        <v/>
      </c>
      <c r="S1590" s="82"/>
      <c r="T1590" s="138">
        <v>25.0</v>
      </c>
      <c r="U1590" s="152">
        <v>18.0</v>
      </c>
      <c r="V1590" s="106">
        <v>0.0</v>
      </c>
      <c r="W1590" s="107">
        <v>0.0</v>
      </c>
      <c r="X1590" s="107">
        <v>0.0</v>
      </c>
      <c r="Y1590" s="107">
        <v>0.0</v>
      </c>
      <c r="Z1590" s="80">
        <f t="shared" si="1"/>
        <v>0</v>
      </c>
      <c r="AA1590" s="106">
        <v>194.0</v>
      </c>
      <c r="AB1590" s="107">
        <v>0.0</v>
      </c>
      <c r="AC1590" s="107">
        <v>0.0</v>
      </c>
      <c r="AD1590" s="107">
        <v>133.0</v>
      </c>
      <c r="AE1590" s="80">
        <f t="shared" si="2"/>
        <v>327</v>
      </c>
      <c r="AF1590" s="140">
        <v>81.0</v>
      </c>
      <c r="AG1590" s="109">
        <v>0.0</v>
      </c>
      <c r="AH1590" s="109">
        <v>0.0</v>
      </c>
      <c r="AI1590" s="141">
        <v>0.0</v>
      </c>
      <c r="AJ1590" s="80">
        <f t="shared" si="3"/>
        <v>81</v>
      </c>
      <c r="AK1590" s="140">
        <v>0.0</v>
      </c>
      <c r="AL1590" s="109">
        <v>0.0</v>
      </c>
      <c r="AM1590" s="141">
        <v>0.0</v>
      </c>
      <c r="AN1590" s="80">
        <f t="shared" si="4"/>
        <v>0</v>
      </c>
      <c r="AO1590" s="140">
        <v>0.0</v>
      </c>
      <c r="AP1590" s="109">
        <v>0.0</v>
      </c>
      <c r="AQ1590" s="109">
        <v>0.0</v>
      </c>
      <c r="AR1590" s="80">
        <f t="shared" si="5"/>
        <v>0</v>
      </c>
      <c r="AS1590" s="110">
        <v>0.0</v>
      </c>
      <c r="AT1590" s="110">
        <v>0.0</v>
      </c>
      <c r="AU1590" s="110">
        <v>0.0</v>
      </c>
      <c r="AV1590" s="142">
        <v>0.0</v>
      </c>
      <c r="AW1590" s="80">
        <f t="shared" si="6"/>
        <v>0</v>
      </c>
      <c r="AX1590" s="113">
        <f t="shared" si="7"/>
        <v>408</v>
      </c>
      <c r="AY1590" s="117">
        <f t="shared" si="8"/>
        <v>408</v>
      </c>
      <c r="AZ1590" s="120">
        <f t="shared" si="9"/>
        <v>0</v>
      </c>
      <c r="BA1590" s="115">
        <v>0.0</v>
      </c>
      <c r="BB1590" s="89">
        <f t="shared" si="10"/>
        <v>408</v>
      </c>
      <c r="BC1590" s="132" t="s">
        <v>178</v>
      </c>
      <c r="BD1590" s="132" t="s">
        <v>178</v>
      </c>
      <c r="BE1590" s="132" t="s">
        <v>178</v>
      </c>
      <c r="BF1590" s="123"/>
      <c r="BG1590" s="83">
        <v>1100612.0</v>
      </c>
      <c r="BH1590" s="98" t="s">
        <v>8670</v>
      </c>
      <c r="BI1590" s="112">
        <v>18.0</v>
      </c>
      <c r="BJ1590" s="98" t="s">
        <v>155</v>
      </c>
      <c r="BK1590" s="99">
        <f t="shared" si="11"/>
        <v>133</v>
      </c>
      <c r="BL1590" s="99">
        <f t="shared" si="12"/>
        <v>275</v>
      </c>
      <c r="BM1590" s="99" t="str">
        <f>IFERROR(__xludf.DUMMYFUNCTION("IFERROR(VLOOKUP(BG1590,IMPORTRANGE(""https://docs.google.com/spreadsheets/d/1juPI-Fb8LD0YtltB2mlGEnp_R3UVu1t3wSFPzgCyHXE/edit?gid=0#gid=0"",""GERAL!A2:C""),3,0),""-"")"),"-")</f>
        <v>-</v>
      </c>
    </row>
    <row r="1591" ht="15.75" customHeight="1">
      <c r="A1591" s="111" t="s">
        <v>1785</v>
      </c>
      <c r="B1591" s="83" t="s">
        <v>1994</v>
      </c>
      <c r="C1591" s="83" t="s">
        <v>68</v>
      </c>
      <c r="D1591" s="112">
        <v>1100540.0</v>
      </c>
      <c r="E1591" s="83"/>
      <c r="F1591" s="83">
        <v>2.9189241E7</v>
      </c>
      <c r="G1591" s="633" t="s">
        <v>8898</v>
      </c>
      <c r="H1591" s="91" t="s">
        <v>8899</v>
      </c>
      <c r="I1591" s="83" t="s">
        <v>8465</v>
      </c>
      <c r="J1591" s="83" t="s">
        <v>150</v>
      </c>
      <c r="K1591" s="83" t="s">
        <v>151</v>
      </c>
      <c r="L1591" s="83" t="s">
        <v>152</v>
      </c>
      <c r="M1591" s="82" t="str">
        <f>IFERROR(__xludf.DUMMYFUNCTION("IFERROR(VLOOKUP(D1591,
IMPORTRANGE(""https://docs.google.com/spreadsheets/d/1MjHtlUikwobi2MaWJgy7tfLeBmhj1u-dRFRs_8GwSoA/edit#gid=0"",""Gestores Escolares!D7:J""),3,0),""VERIFICAR CÓD SEC"")"),"MARIA DA CONCEICAO S. SOUZA DE CARVALHO")</f>
        <v>MARIA DA CONCEICAO S. SOUZA DE CARVALHO</v>
      </c>
      <c r="N1591" s="82" t="str">
        <f>IFERROR(__xludf.DUMMYFUNCTION("IFERROR(VLOOKUP(D1591,
IMPORTRANGE(""https://docs.google.com/spreadsheets/d/1MjHtlUikwobi2MaWJgy7tfLeBmhj1u-dRFRs_8GwSoA/edit#gid=0"",""Gestores Escolares!D7:J""),4,0),""VERIFICAR CÓD SEC"")"),"(71) 9 9267-2007/ 9 9926-2107")</f>
        <v>(71) 9 9267-2007/ 9 9926-2107</v>
      </c>
      <c r="O1591" s="82" t="str">
        <f>IFERROR(__xludf.DUMMYFUNCTION("IFERROR(VLOOKUP(D1591,
IMPORTRANGE(""https://docs.google.com/spreadsheets/d/1MjHtlUikwobi2MaWJgy7tfLeBmhj1u-dRFRs_8GwSoA/edit#gid=0"",""Gestores Escolares!D7:J""),6,0),""VERIFICAR CÓD SEC"")"),"MARIA CANDIDA SANTOS BARBOSA")</f>
        <v>MARIA CANDIDA SANTOS BARBOSA</v>
      </c>
      <c r="P1591" s="82" t="str">
        <f>IFERROR(__xludf.DUMMYFUNCTION("IFERROR(VLOOKUP(D1591,
IMPORTRANGE(""https://docs.google.com/spreadsheets/d/1MjHtlUikwobi2MaWJgy7tfLeBmhj1u-dRFRs_8GwSoA/edit#gid=0"",""Gestores Escolares!D7:J""),7,0),""VERIFICAR CÓD SEC"")"),"(71) 9 8808-0926")</f>
        <v>(71) 9 8808-0926</v>
      </c>
      <c r="Q1591" s="82" t="str">
        <f>IFERROR(__xludf.DUMMYFUNCTION("IFERROR(VLOOKUP(D1591,
IMPORTRANGE(""https://docs.google.com/spreadsheets/d/1MjHtlUikwobi2MaWJgy7tfLeBmhj1u-dRFRs_8GwSoA/edit#gid=0"",""Gestores Escolares!D7:m""),9,0),""VERIFICAR CÓD SEC"")"),"")</f>
        <v/>
      </c>
      <c r="R1591" s="82" t="str">
        <f>IFERROR(__xludf.DUMMYFUNCTION("IFERROR(VLOOKUP(D1591,
IMPORTRANGE(""https://docs.google.com/spreadsheets/d/1MjHtlUikwobi2MaWJgy7tfLeBmhj1u-dRFRs_8GwSoA/edit#gid=0"",""Gestores Escolares!D7:m""),10,0),""VERIFICAR CÓD SEC"")"),"")</f>
        <v/>
      </c>
      <c r="S1591" s="82"/>
      <c r="T1591" s="138">
        <v>14.0</v>
      </c>
      <c r="U1591" s="152">
        <v>14.0</v>
      </c>
      <c r="V1591" s="106">
        <v>0.0</v>
      </c>
      <c r="W1591" s="107">
        <v>0.0</v>
      </c>
      <c r="X1591" s="107">
        <v>0.0</v>
      </c>
      <c r="Y1591" s="107">
        <v>0.0</v>
      </c>
      <c r="Z1591" s="80">
        <f t="shared" si="1"/>
        <v>0</v>
      </c>
      <c r="AA1591" s="106">
        <v>164.0</v>
      </c>
      <c r="AB1591" s="107">
        <v>122.0</v>
      </c>
      <c r="AC1591" s="107">
        <v>0.0</v>
      </c>
      <c r="AD1591" s="107">
        <v>0.0</v>
      </c>
      <c r="AE1591" s="80">
        <f t="shared" si="2"/>
        <v>286</v>
      </c>
      <c r="AF1591" s="140">
        <v>0.0</v>
      </c>
      <c r="AG1591" s="109">
        <v>0.0</v>
      </c>
      <c r="AH1591" s="109">
        <v>0.0</v>
      </c>
      <c r="AI1591" s="141">
        <v>224.0</v>
      </c>
      <c r="AJ1591" s="80">
        <f t="shared" si="3"/>
        <v>224</v>
      </c>
      <c r="AK1591" s="140">
        <v>0.0</v>
      </c>
      <c r="AL1591" s="109">
        <v>0.0</v>
      </c>
      <c r="AM1591" s="141">
        <v>0.0</v>
      </c>
      <c r="AN1591" s="80">
        <f t="shared" si="4"/>
        <v>0</v>
      </c>
      <c r="AO1591" s="140">
        <v>0.0</v>
      </c>
      <c r="AP1591" s="109">
        <v>0.0</v>
      </c>
      <c r="AQ1591" s="109">
        <v>0.0</v>
      </c>
      <c r="AR1591" s="80">
        <f t="shared" si="5"/>
        <v>0</v>
      </c>
      <c r="AS1591" s="110">
        <v>0.0</v>
      </c>
      <c r="AT1591" s="110">
        <v>0.0</v>
      </c>
      <c r="AU1591" s="110">
        <v>0.0</v>
      </c>
      <c r="AV1591" s="142">
        <v>0.0</v>
      </c>
      <c r="AW1591" s="80">
        <f t="shared" si="6"/>
        <v>0</v>
      </c>
      <c r="AX1591" s="113">
        <f t="shared" si="7"/>
        <v>510</v>
      </c>
      <c r="AY1591" s="117">
        <f t="shared" si="8"/>
        <v>510</v>
      </c>
      <c r="AZ1591" s="120">
        <f t="shared" si="9"/>
        <v>0</v>
      </c>
      <c r="BA1591" s="115">
        <v>0.0</v>
      </c>
      <c r="BB1591" s="89">
        <f t="shared" si="10"/>
        <v>510</v>
      </c>
      <c r="BC1591" s="132" t="s">
        <v>178</v>
      </c>
      <c r="BD1591" s="132" t="s">
        <v>178</v>
      </c>
      <c r="BE1591" s="132" t="s">
        <v>178</v>
      </c>
      <c r="BF1591" s="123"/>
      <c r="BG1591" s="83">
        <v>1100540.0</v>
      </c>
      <c r="BH1591" s="98" t="s">
        <v>8900</v>
      </c>
      <c r="BI1591" s="112">
        <v>14.0</v>
      </c>
      <c r="BJ1591" s="98" t="s">
        <v>155</v>
      </c>
      <c r="BK1591" s="99">
        <f t="shared" si="11"/>
        <v>224</v>
      </c>
      <c r="BL1591" s="99">
        <f t="shared" si="12"/>
        <v>286</v>
      </c>
      <c r="BM1591" s="99" t="str">
        <f>IFERROR(__xludf.DUMMYFUNCTION("IFERROR(VLOOKUP(BG1591,IMPORTRANGE(""https://docs.google.com/spreadsheets/d/1juPI-Fb8LD0YtltB2mlGEnp_R3UVu1t3wSFPzgCyHXE/edit?gid=0#gid=0"",""GERAL!A2:C""),3,0),""-"")"),"-")</f>
        <v>-</v>
      </c>
    </row>
    <row r="1592" ht="15.75" customHeight="1">
      <c r="A1592" s="111" t="s">
        <v>1785</v>
      </c>
      <c r="B1592" s="83" t="s">
        <v>1994</v>
      </c>
      <c r="C1592" s="83" t="s">
        <v>68</v>
      </c>
      <c r="D1592" s="98">
        <v>1179805.0</v>
      </c>
      <c r="E1592" s="83"/>
      <c r="F1592" s="98">
        <v>2.949401E7</v>
      </c>
      <c r="G1592" s="119" t="s">
        <v>8901</v>
      </c>
      <c r="H1592" s="108" t="s">
        <v>8902</v>
      </c>
      <c r="I1592" s="83"/>
      <c r="J1592" s="83"/>
      <c r="K1592" s="83" t="s">
        <v>151</v>
      </c>
      <c r="L1592" s="98" t="s">
        <v>230</v>
      </c>
      <c r="M1592" s="82" t="str">
        <f>IFERROR(__xludf.DUMMYFUNCTION("IFERROR(VLOOKUP(D1592,
IMPORTRANGE(""https://docs.google.com/spreadsheets/d/1MjHtlUikwobi2MaWJgy7tfLeBmhj1u-dRFRs_8GwSoA/edit#gid=0"",""Gestores Escolares!D7:J""),3,0),""VERIFICAR CÓD SEC"")"),"GISELLY SOUZA DE OLIVEIRA")</f>
        <v>GISELLY SOUZA DE OLIVEIRA</v>
      </c>
      <c r="N1592" s="82" t="str">
        <f>IFERROR(__xludf.DUMMYFUNCTION("IFERROR(VLOOKUP(D1592,
IMPORTRANGE(""https://docs.google.com/spreadsheets/d/1MjHtlUikwobi2MaWJgy7tfLeBmhj1u-dRFRs_8GwSoA/edit#gid=0"",""Gestores Escolares!D7:J""),4,0),""VERIFICAR CÓD SEC"")"),"(74) 9 9123-8757")</f>
        <v>(74) 9 9123-8757</v>
      </c>
      <c r="O1592" s="82" t="str">
        <f>IFERROR(__xludf.DUMMYFUNCTION("IFERROR(VLOOKUP(D1592,
IMPORTRANGE(""https://docs.google.com/spreadsheets/d/1MjHtlUikwobi2MaWJgy7tfLeBmhj1u-dRFRs_8GwSoA/edit#gid=0"",""Gestores Escolares!D7:J""),6,0),""VERIFICAR CÓD SEC"")"),"AMANDA DA SILVA ROMEIRO")</f>
        <v>AMANDA DA SILVA ROMEIRO</v>
      </c>
      <c r="P1592" s="82" t="str">
        <f>IFERROR(__xludf.DUMMYFUNCTION("IFERROR(VLOOKUP(D1592,
IMPORTRANGE(""https://docs.google.com/spreadsheets/d/1MjHtlUikwobi2MaWJgy7tfLeBmhj1u-dRFRs_8GwSoA/edit#gid=0"",""Gestores Escolares!D7:J""),7,0),""VERIFICAR CÓD SEC"")"),"(71) 9 9226-3258")</f>
        <v>(71) 9 9226-3258</v>
      </c>
      <c r="Q1592" s="82" t="str">
        <f>IFERROR(__xludf.DUMMYFUNCTION("IFERROR(VLOOKUP(D1592,
IMPORTRANGE(""https://docs.google.com/spreadsheets/d/1MjHtlUikwobi2MaWJgy7tfLeBmhj1u-dRFRs_8GwSoA/edit#gid=0"",""Gestores Escolares!D7:m""),9,0),""VERIFICAR CÓD SEC"")"),"")</f>
        <v/>
      </c>
      <c r="R1592" s="82" t="str">
        <f>IFERROR(__xludf.DUMMYFUNCTION("IFERROR(VLOOKUP(D1592,
IMPORTRANGE(""https://docs.google.com/spreadsheets/d/1MjHtlUikwobi2MaWJgy7tfLeBmhj1u-dRFRs_8GwSoA/edit#gid=0"",""Gestores Escolares!D7:m""),10,0),""VERIFICAR CÓD SEC"")"),"")</f>
        <v/>
      </c>
      <c r="S1592" s="82"/>
      <c r="T1592" s="138"/>
      <c r="U1592" s="152"/>
      <c r="V1592" s="106">
        <v>0.0</v>
      </c>
      <c r="W1592" s="107">
        <v>0.0</v>
      </c>
      <c r="X1592" s="107">
        <v>0.0</v>
      </c>
      <c r="Y1592" s="107">
        <v>0.0</v>
      </c>
      <c r="Z1592" s="80">
        <f t="shared" si="1"/>
        <v>0</v>
      </c>
      <c r="AA1592" s="106">
        <v>0.0</v>
      </c>
      <c r="AB1592" s="107">
        <v>0.0</v>
      </c>
      <c r="AC1592" s="107">
        <v>0.0</v>
      </c>
      <c r="AD1592" s="107">
        <v>0.0</v>
      </c>
      <c r="AE1592" s="80">
        <f t="shared" si="2"/>
        <v>0</v>
      </c>
      <c r="AF1592" s="140">
        <v>0.0</v>
      </c>
      <c r="AG1592" s="109">
        <v>0.0</v>
      </c>
      <c r="AH1592" s="109">
        <v>0.0</v>
      </c>
      <c r="AI1592" s="141">
        <v>0.0</v>
      </c>
      <c r="AJ1592" s="80">
        <f t="shared" si="3"/>
        <v>0</v>
      </c>
      <c r="AK1592" s="140">
        <v>0.0</v>
      </c>
      <c r="AL1592" s="109">
        <v>0.0</v>
      </c>
      <c r="AM1592" s="141">
        <v>0.0</v>
      </c>
      <c r="AN1592" s="80">
        <f t="shared" si="4"/>
        <v>0</v>
      </c>
      <c r="AO1592" s="140">
        <v>0.0</v>
      </c>
      <c r="AP1592" s="109">
        <v>0.0</v>
      </c>
      <c r="AQ1592" s="109">
        <v>0.0</v>
      </c>
      <c r="AR1592" s="80">
        <f t="shared" si="5"/>
        <v>0</v>
      </c>
      <c r="AS1592" s="110">
        <v>0.0</v>
      </c>
      <c r="AT1592" s="110">
        <v>0.0</v>
      </c>
      <c r="AU1592" s="110">
        <v>0.0</v>
      </c>
      <c r="AV1592" s="142">
        <v>0.0</v>
      </c>
      <c r="AW1592" s="80">
        <f t="shared" si="6"/>
        <v>0</v>
      </c>
      <c r="AX1592" s="113">
        <f t="shared" si="7"/>
        <v>0</v>
      </c>
      <c r="AY1592" s="117">
        <f t="shared" si="8"/>
        <v>0</v>
      </c>
      <c r="AZ1592" s="120">
        <f t="shared" si="9"/>
        <v>0</v>
      </c>
      <c r="BA1592" s="115">
        <v>0.0</v>
      </c>
      <c r="BB1592" s="89">
        <f t="shared" si="10"/>
        <v>0</v>
      </c>
      <c r="BC1592" s="132"/>
      <c r="BD1592" s="132"/>
      <c r="BE1592" s="132"/>
      <c r="BF1592" s="156"/>
      <c r="BG1592" s="98">
        <v>1179805.0</v>
      </c>
      <c r="BH1592" s="112"/>
      <c r="BI1592" s="112"/>
      <c r="BJ1592" s="98"/>
      <c r="BK1592" s="99">
        <f t="shared" si="11"/>
        <v>0</v>
      </c>
      <c r="BL1592" s="99">
        <f t="shared" si="12"/>
        <v>0</v>
      </c>
      <c r="BM1592" s="99" t="str">
        <f>IFERROR(__xludf.DUMMYFUNCTION("IFERROR(VLOOKUP(BG1592,IMPORTRANGE(""https://docs.google.com/spreadsheets/d/1juPI-Fb8LD0YtltB2mlGEnp_R3UVu1t3wSFPzgCyHXE/edit?gid=0#gid=0"",""GERAL!A2:C""),3,0),""-"")"),"-")</f>
        <v>-</v>
      </c>
    </row>
    <row r="1593" ht="15.75" customHeight="1">
      <c r="A1593" s="111" t="s">
        <v>1785</v>
      </c>
      <c r="B1593" s="83" t="s">
        <v>1994</v>
      </c>
      <c r="C1593" s="83" t="s">
        <v>68</v>
      </c>
      <c r="D1593" s="112">
        <v>1178157.0</v>
      </c>
      <c r="E1593" s="83"/>
      <c r="F1593" s="83">
        <v>2.9444667E7</v>
      </c>
      <c r="G1593" s="119" t="s">
        <v>8909</v>
      </c>
      <c r="H1593" s="91" t="s">
        <v>8910</v>
      </c>
      <c r="I1593" s="83" t="s">
        <v>8465</v>
      </c>
      <c r="J1593" s="83" t="s">
        <v>150</v>
      </c>
      <c r="K1593" s="83" t="s">
        <v>151</v>
      </c>
      <c r="L1593" s="83" t="s">
        <v>152</v>
      </c>
      <c r="M1593" s="82" t="str">
        <f>IFERROR(__xludf.DUMMYFUNCTION("IFERROR(VLOOKUP(D1593,
IMPORTRANGE(""https://docs.google.com/spreadsheets/d/1MjHtlUikwobi2MaWJgy7tfLeBmhj1u-dRFRs_8GwSoA/edit#gid=0"",""Gestores Escolares!D7:J""),3,0),""VERIFICAR CÓD SEC"")"),"CARLOS HENRIQUE DA SILVA CUNHA")</f>
        <v>CARLOS HENRIQUE DA SILVA CUNHA</v>
      </c>
      <c r="N1593" s="82" t="str">
        <f>IFERROR(__xludf.DUMMYFUNCTION("IFERROR(VLOOKUP(D1593,
IMPORTRANGE(""https://docs.google.com/spreadsheets/d/1MjHtlUikwobi2MaWJgy7tfLeBmhj1u-dRFRs_8GwSoA/edit#gid=0"",""Gestores Escolares!D7:J""),4,0),""VERIFICAR CÓD SEC"")"),"(71) 9 9151-3584")</f>
        <v>(71) 9 9151-3584</v>
      </c>
      <c r="O1593" s="82" t="str">
        <f>IFERROR(__xludf.DUMMYFUNCTION("IFERROR(VLOOKUP(D1593,
IMPORTRANGE(""https://docs.google.com/spreadsheets/d/1MjHtlUikwobi2MaWJgy7tfLeBmhj1u-dRFRs_8GwSoA/edit#gid=0"",""Gestores Escolares!D7:J""),6,0),""VERIFICAR CÓD SEC"")"),"MARIA ALICE DOS SANTOS LIMA")</f>
        <v>MARIA ALICE DOS SANTOS LIMA</v>
      </c>
      <c r="P1593" s="82" t="str">
        <f>IFERROR(__xludf.DUMMYFUNCTION("IFERROR(VLOOKUP(D1593,
IMPORTRANGE(""https://docs.google.com/spreadsheets/d/1MjHtlUikwobi2MaWJgy7tfLeBmhj1u-dRFRs_8GwSoA/edit#gid=0"",""Gestores Escolares!D7:J""),7,0),""VERIFICAR CÓD SEC"")"),"(71) 9 8808-4176")</f>
        <v>(71) 9 8808-4176</v>
      </c>
      <c r="Q1593" s="82" t="str">
        <f>IFERROR(__xludf.DUMMYFUNCTION("IFERROR(VLOOKUP(D1593,
IMPORTRANGE(""https://docs.google.com/spreadsheets/d/1MjHtlUikwobi2MaWJgy7tfLeBmhj1u-dRFRs_8GwSoA/edit#gid=0"",""Gestores Escolares!D7:m""),9,0),""VERIFICAR CÓD SEC"")"),"EDER LIMA DE SOUZA")</f>
        <v>EDER LIMA DE SOUZA</v>
      </c>
      <c r="R1593" s="82" t="str">
        <f>IFERROR(__xludf.DUMMYFUNCTION("IFERROR(VLOOKUP(D1593,
IMPORTRANGE(""https://docs.google.com/spreadsheets/d/1MjHtlUikwobi2MaWJgy7tfLeBmhj1u-dRFRs_8GwSoA/edit#gid=0"",""Gestores Escolares!D7:m""),10,0),""VERIFICAR CÓD SEC"")"),"(71) 9 8876-6460")</f>
        <v>(71) 9 8876-6460</v>
      </c>
      <c r="S1593" s="82"/>
      <c r="T1593" s="138">
        <v>11.0</v>
      </c>
      <c r="U1593" s="152">
        <v>10.0</v>
      </c>
      <c r="V1593" s="106">
        <v>0.0</v>
      </c>
      <c r="W1593" s="107">
        <v>0.0</v>
      </c>
      <c r="X1593" s="107">
        <v>0.0</v>
      </c>
      <c r="Y1593" s="107">
        <v>0.0</v>
      </c>
      <c r="Z1593" s="80">
        <f t="shared" si="1"/>
        <v>0</v>
      </c>
      <c r="AA1593" s="106">
        <v>104.0</v>
      </c>
      <c r="AB1593" s="107">
        <v>275.0</v>
      </c>
      <c r="AC1593" s="107">
        <v>0.0</v>
      </c>
      <c r="AD1593" s="107">
        <v>0.0</v>
      </c>
      <c r="AE1593" s="80">
        <f t="shared" si="2"/>
        <v>379</v>
      </c>
      <c r="AF1593" s="140">
        <v>216.0</v>
      </c>
      <c r="AG1593" s="109">
        <v>0.0</v>
      </c>
      <c r="AH1593" s="109">
        <v>0.0</v>
      </c>
      <c r="AI1593" s="141">
        <v>0.0</v>
      </c>
      <c r="AJ1593" s="80">
        <f t="shared" si="3"/>
        <v>216</v>
      </c>
      <c r="AK1593" s="140">
        <v>0.0</v>
      </c>
      <c r="AL1593" s="109">
        <v>0.0</v>
      </c>
      <c r="AM1593" s="141">
        <v>0.0</v>
      </c>
      <c r="AN1593" s="80">
        <f t="shared" si="4"/>
        <v>0</v>
      </c>
      <c r="AO1593" s="140">
        <v>0.0</v>
      </c>
      <c r="AP1593" s="109">
        <v>0.0</v>
      </c>
      <c r="AQ1593" s="109">
        <v>71.0</v>
      </c>
      <c r="AR1593" s="80">
        <f t="shared" si="5"/>
        <v>71</v>
      </c>
      <c r="AS1593" s="110">
        <v>0.0</v>
      </c>
      <c r="AT1593" s="110">
        <v>0.0</v>
      </c>
      <c r="AU1593" s="110">
        <v>74.0</v>
      </c>
      <c r="AV1593" s="142">
        <v>0.0</v>
      </c>
      <c r="AW1593" s="80">
        <f t="shared" si="6"/>
        <v>74</v>
      </c>
      <c r="AX1593" s="113">
        <f t="shared" si="7"/>
        <v>740</v>
      </c>
      <c r="AY1593" s="117">
        <f t="shared" si="8"/>
        <v>595</v>
      </c>
      <c r="AZ1593" s="120">
        <f t="shared" si="9"/>
        <v>145</v>
      </c>
      <c r="BA1593" s="115">
        <v>0.0</v>
      </c>
      <c r="BB1593" s="89">
        <f t="shared" si="10"/>
        <v>740</v>
      </c>
      <c r="BC1593" s="132" t="s">
        <v>178</v>
      </c>
      <c r="BD1593" s="132" t="s">
        <v>178</v>
      </c>
      <c r="BE1593" s="132" t="s">
        <v>178</v>
      </c>
      <c r="BF1593" s="123"/>
      <c r="BG1593" s="83">
        <v>1178157.0</v>
      </c>
      <c r="BH1593" s="98" t="s">
        <v>8911</v>
      </c>
      <c r="BI1593" s="112">
        <v>10.0</v>
      </c>
      <c r="BJ1593" s="98" t="s">
        <v>155</v>
      </c>
      <c r="BK1593" s="99">
        <f t="shared" si="11"/>
        <v>0</v>
      </c>
      <c r="BL1593" s="99">
        <f t="shared" si="12"/>
        <v>595</v>
      </c>
      <c r="BM1593" s="99" t="str">
        <f>IFERROR(__xludf.DUMMYFUNCTION("IFERROR(VLOOKUP(BG1593,IMPORTRANGE(""https://docs.google.com/spreadsheets/d/1juPI-Fb8LD0YtltB2mlGEnp_R3UVu1t3wSFPzgCyHXE/edit?gid=0#gid=0"",""GERAL!A2:C""),3,0),""-"")"),"-")</f>
        <v>-</v>
      </c>
    </row>
    <row r="1594" ht="15.75" customHeight="1">
      <c r="A1594" s="111" t="s">
        <v>1785</v>
      </c>
      <c r="B1594" s="83" t="s">
        <v>1994</v>
      </c>
      <c r="C1594" s="83" t="s">
        <v>68</v>
      </c>
      <c r="D1594" s="112">
        <v>1100485.0</v>
      </c>
      <c r="E1594" s="83"/>
      <c r="F1594" s="83">
        <v>2.9192013E7</v>
      </c>
      <c r="G1594" s="114" t="s">
        <v>8912</v>
      </c>
      <c r="H1594" s="91" t="s">
        <v>8914</v>
      </c>
      <c r="I1594" s="83" t="s">
        <v>8442</v>
      </c>
      <c r="J1594" s="83" t="s">
        <v>150</v>
      </c>
      <c r="K1594" s="83" t="s">
        <v>151</v>
      </c>
      <c r="L1594" s="83" t="s">
        <v>152</v>
      </c>
      <c r="M1594" s="82" t="str">
        <f>IFERROR(__xludf.DUMMYFUNCTION("IFERROR(VLOOKUP(D1594,
IMPORTRANGE(""https://docs.google.com/spreadsheets/d/1MjHtlUikwobi2MaWJgy7tfLeBmhj1u-dRFRs_8GwSoA/edit#gid=0"",""Gestores Escolares!D7:J""),3,0),""VERIFICAR CÓD SEC"")"),"MANOEL MENEZES DA SILVA")</f>
        <v>MANOEL MENEZES DA SILVA</v>
      </c>
      <c r="N1594" s="82" t="str">
        <f>IFERROR(__xludf.DUMMYFUNCTION("IFERROR(VLOOKUP(D1594,
IMPORTRANGE(""https://docs.google.com/spreadsheets/d/1MjHtlUikwobi2MaWJgy7tfLeBmhj1u-dRFRs_8GwSoA/edit#gid=0"",""Gestores Escolares!D7:J""),4,0),""VERIFICAR CÓD SEC"")"),"(71) 9 8742-0165")</f>
        <v>(71) 9 8742-0165</v>
      </c>
      <c r="O1594" s="82" t="str">
        <f>IFERROR(__xludf.DUMMYFUNCTION("IFERROR(VLOOKUP(D1594,
IMPORTRANGE(""https://docs.google.com/spreadsheets/d/1MjHtlUikwobi2MaWJgy7tfLeBmhj1u-dRFRs_8GwSoA/edit#gid=0"",""Gestores Escolares!D7:J""),6,0),""VERIFICAR CÓD SEC"")"),"CARLOS RENATO GONCALVES DOS SANTOS")</f>
        <v>CARLOS RENATO GONCALVES DOS SANTOS</v>
      </c>
      <c r="P1594" s="82" t="str">
        <f>IFERROR(__xludf.DUMMYFUNCTION("IFERROR(VLOOKUP(D1594,
IMPORTRANGE(""https://docs.google.com/spreadsheets/d/1MjHtlUikwobi2MaWJgy7tfLeBmhj1u-dRFRs_8GwSoA/edit#gid=0"",""Gestores Escolares!D7:J""),7,0),""VERIFICAR CÓD SEC"")"),"(71) 9 9320-8629")</f>
        <v>(71) 9 9320-8629</v>
      </c>
      <c r="Q1594" s="82" t="str">
        <f>IFERROR(__xludf.DUMMYFUNCTION("IFERROR(VLOOKUP(D1594,
IMPORTRANGE(""https://docs.google.com/spreadsheets/d/1MjHtlUikwobi2MaWJgy7tfLeBmhj1u-dRFRs_8GwSoA/edit#gid=0"",""Gestores Escolares!D7:m""),9,0),""VERIFICAR CÓD SEC"")"),"CLEO RICARDO BITENCOURT")</f>
        <v>CLEO RICARDO BITENCOURT</v>
      </c>
      <c r="R1594" s="82" t="str">
        <f>IFERROR(__xludf.DUMMYFUNCTION("IFERROR(VLOOKUP(D1594,
IMPORTRANGE(""https://docs.google.com/spreadsheets/d/1MjHtlUikwobi2MaWJgy7tfLeBmhj1u-dRFRs_8GwSoA/edit#gid=0"",""Gestores Escolares!D7:m""),10,0),""VERIFICAR CÓD SEC"")"),"(71) 9 9146-3944")</f>
        <v>(71) 9 9146-3944</v>
      </c>
      <c r="S1594" s="82"/>
      <c r="T1594" s="138">
        <v>13.0</v>
      </c>
      <c r="U1594" s="152">
        <v>12.0</v>
      </c>
      <c r="V1594" s="106">
        <v>0.0</v>
      </c>
      <c r="W1594" s="107">
        <v>0.0</v>
      </c>
      <c r="X1594" s="107">
        <v>0.0</v>
      </c>
      <c r="Y1594" s="107">
        <v>0.0</v>
      </c>
      <c r="Z1594" s="80">
        <f t="shared" si="1"/>
        <v>0</v>
      </c>
      <c r="AA1594" s="106">
        <v>476.0</v>
      </c>
      <c r="AB1594" s="107">
        <v>0.0</v>
      </c>
      <c r="AC1594" s="107">
        <v>0.0</v>
      </c>
      <c r="AD1594" s="107">
        <v>0.0</v>
      </c>
      <c r="AE1594" s="80">
        <f t="shared" si="2"/>
        <v>476</v>
      </c>
      <c r="AF1594" s="140">
        <v>0.0</v>
      </c>
      <c r="AG1594" s="109">
        <v>455.0</v>
      </c>
      <c r="AH1594" s="109">
        <v>0.0</v>
      </c>
      <c r="AI1594" s="141">
        <v>0.0</v>
      </c>
      <c r="AJ1594" s="80">
        <f t="shared" si="3"/>
        <v>455</v>
      </c>
      <c r="AK1594" s="140">
        <v>0.0</v>
      </c>
      <c r="AL1594" s="109">
        <v>0.0</v>
      </c>
      <c r="AM1594" s="141">
        <v>50.0</v>
      </c>
      <c r="AN1594" s="80">
        <f t="shared" si="4"/>
        <v>50</v>
      </c>
      <c r="AO1594" s="140">
        <v>0.0</v>
      </c>
      <c r="AP1594" s="109">
        <v>0.0</v>
      </c>
      <c r="AQ1594" s="109">
        <v>156.0</v>
      </c>
      <c r="AR1594" s="80">
        <f t="shared" si="5"/>
        <v>156</v>
      </c>
      <c r="AS1594" s="110">
        <v>0.0</v>
      </c>
      <c r="AT1594" s="110">
        <v>0.0</v>
      </c>
      <c r="AU1594" s="110">
        <v>0.0</v>
      </c>
      <c r="AV1594" s="142">
        <v>0.0</v>
      </c>
      <c r="AW1594" s="80">
        <f t="shared" si="6"/>
        <v>0</v>
      </c>
      <c r="AX1594" s="113">
        <f t="shared" si="7"/>
        <v>1137</v>
      </c>
      <c r="AY1594" s="117">
        <f t="shared" si="8"/>
        <v>931</v>
      </c>
      <c r="AZ1594" s="120">
        <f t="shared" si="9"/>
        <v>206</v>
      </c>
      <c r="BA1594" s="115">
        <v>0.0</v>
      </c>
      <c r="BB1594" s="89">
        <f t="shared" si="10"/>
        <v>1137</v>
      </c>
      <c r="BC1594" s="132" t="s">
        <v>178</v>
      </c>
      <c r="BD1594" s="132" t="s">
        <v>178</v>
      </c>
      <c r="BE1594" s="132" t="s">
        <v>178</v>
      </c>
      <c r="BF1594" s="123"/>
      <c r="BG1594" s="83">
        <v>1100485.0</v>
      </c>
      <c r="BH1594" s="98" t="s">
        <v>8918</v>
      </c>
      <c r="BI1594" s="112">
        <v>12.0</v>
      </c>
      <c r="BJ1594" s="98" t="s">
        <v>284</v>
      </c>
      <c r="BK1594" s="99">
        <f t="shared" si="11"/>
        <v>0</v>
      </c>
      <c r="BL1594" s="99">
        <f t="shared" si="12"/>
        <v>931</v>
      </c>
      <c r="BM1594" s="99" t="str">
        <f>IFERROR(__xludf.DUMMYFUNCTION("IFERROR(VLOOKUP(BG1594,IMPORTRANGE(""https://docs.google.com/spreadsheets/d/1juPI-Fb8LD0YtltB2mlGEnp_R3UVu1t3wSFPzgCyHXE/edit?gid=0#gid=0"",""GERAL!A2:C""),3,0),""-"")"),"-")</f>
        <v>-</v>
      </c>
    </row>
    <row r="1595" ht="15.75" customHeight="1">
      <c r="A1595" s="111" t="s">
        <v>1785</v>
      </c>
      <c r="B1595" s="83" t="s">
        <v>1994</v>
      </c>
      <c r="C1595" s="83" t="s">
        <v>68</v>
      </c>
      <c r="D1595" s="112">
        <v>1100400.0</v>
      </c>
      <c r="E1595" s="83"/>
      <c r="F1595" s="83">
        <v>2.9182689E7</v>
      </c>
      <c r="G1595" s="119" t="s">
        <v>8919</v>
      </c>
      <c r="H1595" s="91" t="s">
        <v>8920</v>
      </c>
      <c r="I1595" s="83" t="s">
        <v>8278</v>
      </c>
      <c r="J1595" s="83" t="s">
        <v>150</v>
      </c>
      <c r="K1595" s="83" t="s">
        <v>151</v>
      </c>
      <c r="L1595" s="83" t="s">
        <v>230</v>
      </c>
      <c r="M1595" s="82" t="str">
        <f>IFERROR(__xludf.DUMMYFUNCTION("IFERROR(VLOOKUP(D1595,
IMPORTRANGE(""https://docs.google.com/spreadsheets/d/1MjHtlUikwobi2MaWJgy7tfLeBmhj1u-dRFRs_8GwSoA/edit#gid=0"",""Gestores Escolares!D7:J""),3,0),""VERIFICAR CÓD SEC"")"),"ADRIANA SILVA DO ROSARIO")</f>
        <v>ADRIANA SILVA DO ROSARIO</v>
      </c>
      <c r="N1595" s="82" t="str">
        <f>IFERROR(__xludf.DUMMYFUNCTION("IFERROR(VLOOKUP(D1595,
IMPORTRANGE(""https://docs.google.com/spreadsheets/d/1MjHtlUikwobi2MaWJgy7tfLeBmhj1u-dRFRs_8GwSoA/edit#gid=0"",""Gestores Escolares!D7:J""),4,0),""VERIFICAR CÓD SEC"")"),"(71) 9 9196-0356 / 9 8613-3561")</f>
        <v>(71) 9 9196-0356 / 9 8613-3561</v>
      </c>
      <c r="O1595" s="82" t="str">
        <f>IFERROR(__xludf.DUMMYFUNCTION("IFERROR(VLOOKUP(D1595,
IMPORTRANGE(""https://docs.google.com/spreadsheets/d/1MjHtlUikwobi2MaWJgy7tfLeBmhj1u-dRFRs_8GwSoA/edit#gid=0"",""Gestores Escolares!D7:J""),6,0),""VERIFICAR CÓD SEC"")"),"LILIAN CRUZ SANTOS")</f>
        <v>LILIAN CRUZ SANTOS</v>
      </c>
      <c r="P1595" s="82" t="str">
        <f>IFERROR(__xludf.DUMMYFUNCTION("IFERROR(VLOOKUP(D1595,
IMPORTRANGE(""https://docs.google.com/spreadsheets/d/1MjHtlUikwobi2MaWJgy7tfLeBmhj1u-dRFRs_8GwSoA/edit#gid=0"",""Gestores Escolares!D7:J""),7,0),""VERIFICAR CÓD SEC"")"),"(75) 9 9264-0298/ (71) 9 8150-7955")</f>
        <v>(75) 9 9264-0298/ (71) 9 8150-7955</v>
      </c>
      <c r="Q1595" s="82" t="str">
        <f>IFERROR(__xludf.DUMMYFUNCTION("IFERROR(VLOOKUP(D1595,
IMPORTRANGE(""https://docs.google.com/spreadsheets/d/1MjHtlUikwobi2MaWJgy7tfLeBmhj1u-dRFRs_8GwSoA/edit#gid=0"",""Gestores Escolares!D7:m""),9,0),""VERIFICAR CÓD SEC"")"),"MARLEY AMARAL DA SILVA NEVES")</f>
        <v>MARLEY AMARAL DA SILVA NEVES</v>
      </c>
      <c r="R1595" s="82" t="str">
        <f>IFERROR(__xludf.DUMMYFUNCTION("IFERROR(VLOOKUP(D1595,
IMPORTRANGE(""https://docs.google.com/spreadsheets/d/1MjHtlUikwobi2MaWJgy7tfLeBmhj1u-dRFRs_8GwSoA/edit#gid=0"",""Gestores Escolares!D7:m""),10,0),""VERIFICAR CÓD SEC"")"),"")</f>
        <v/>
      </c>
      <c r="S1595" s="82"/>
      <c r="T1595" s="138">
        <v>21.0</v>
      </c>
      <c r="U1595" s="152">
        <v>20.0</v>
      </c>
      <c r="V1595" s="106">
        <v>0.0</v>
      </c>
      <c r="W1595" s="107">
        <v>0.0</v>
      </c>
      <c r="X1595" s="107">
        <v>0.0</v>
      </c>
      <c r="Y1595" s="107">
        <v>0.0</v>
      </c>
      <c r="Z1595" s="80">
        <f t="shared" si="1"/>
        <v>0</v>
      </c>
      <c r="AA1595" s="106">
        <v>547.0</v>
      </c>
      <c r="AB1595" s="107">
        <v>448.0</v>
      </c>
      <c r="AC1595" s="107">
        <v>0.0</v>
      </c>
      <c r="AD1595" s="107">
        <v>0.0</v>
      </c>
      <c r="AE1595" s="80">
        <f t="shared" si="2"/>
        <v>995</v>
      </c>
      <c r="AF1595" s="140">
        <v>387.0</v>
      </c>
      <c r="AG1595" s="109">
        <v>386.0</v>
      </c>
      <c r="AH1595" s="109">
        <v>0.0</v>
      </c>
      <c r="AI1595" s="141">
        <v>0.0</v>
      </c>
      <c r="AJ1595" s="80">
        <f t="shared" si="3"/>
        <v>773</v>
      </c>
      <c r="AK1595" s="140">
        <v>0.0</v>
      </c>
      <c r="AL1595" s="109">
        <v>0.0</v>
      </c>
      <c r="AM1595" s="141">
        <v>219.0</v>
      </c>
      <c r="AN1595" s="80">
        <f t="shared" si="4"/>
        <v>219</v>
      </c>
      <c r="AO1595" s="140">
        <v>0.0</v>
      </c>
      <c r="AP1595" s="109">
        <v>0.0</v>
      </c>
      <c r="AQ1595" s="109">
        <v>421.0</v>
      </c>
      <c r="AR1595" s="80">
        <f t="shared" si="5"/>
        <v>421</v>
      </c>
      <c r="AS1595" s="110">
        <v>0.0</v>
      </c>
      <c r="AT1595" s="110">
        <v>0.0</v>
      </c>
      <c r="AU1595" s="110">
        <v>0.0</v>
      </c>
      <c r="AV1595" s="142">
        <v>0.0</v>
      </c>
      <c r="AW1595" s="80">
        <f t="shared" si="6"/>
        <v>0</v>
      </c>
      <c r="AX1595" s="113">
        <f t="shared" si="7"/>
        <v>2408</v>
      </c>
      <c r="AY1595" s="117">
        <f t="shared" si="8"/>
        <v>1768</v>
      </c>
      <c r="AZ1595" s="120">
        <f t="shared" si="9"/>
        <v>640</v>
      </c>
      <c r="BA1595" s="115">
        <v>0.0</v>
      </c>
      <c r="BB1595" s="89">
        <f t="shared" si="10"/>
        <v>2408</v>
      </c>
      <c r="BC1595" s="132" t="s">
        <v>178</v>
      </c>
      <c r="BD1595" s="132" t="s">
        <v>178</v>
      </c>
      <c r="BE1595" s="132" t="s">
        <v>178</v>
      </c>
      <c r="BF1595" s="123"/>
      <c r="BG1595" s="83">
        <v>1100400.0</v>
      </c>
      <c r="BH1595" s="98" t="s">
        <v>8921</v>
      </c>
      <c r="BI1595" s="112">
        <v>20.0</v>
      </c>
      <c r="BJ1595" s="98" t="s">
        <v>155</v>
      </c>
      <c r="BK1595" s="99">
        <f t="shared" si="11"/>
        <v>0</v>
      </c>
      <c r="BL1595" s="99">
        <f t="shared" si="12"/>
        <v>1768</v>
      </c>
      <c r="BM1595" s="99" t="str">
        <f>IFERROR(__xludf.DUMMYFUNCTION("IFERROR(VLOOKUP(BG1595,IMPORTRANGE(""https://docs.google.com/spreadsheets/d/1juPI-Fb8LD0YtltB2mlGEnp_R3UVu1t3wSFPzgCyHXE/edit?gid=0#gid=0"",""GERAL!A2:C""),3,0),""-"")"),"-")</f>
        <v>-</v>
      </c>
    </row>
    <row r="1596" ht="15.75" customHeight="1">
      <c r="A1596" s="111" t="s">
        <v>1785</v>
      </c>
      <c r="B1596" s="83" t="s">
        <v>1994</v>
      </c>
      <c r="C1596" s="83" t="s">
        <v>68</v>
      </c>
      <c r="D1596" s="112">
        <v>1100434.0</v>
      </c>
      <c r="E1596" s="83"/>
      <c r="F1596" s="83">
        <v>2.9182077E7</v>
      </c>
      <c r="G1596" s="114" t="s">
        <v>8928</v>
      </c>
      <c r="H1596" s="91" t="s">
        <v>8929</v>
      </c>
      <c r="I1596" s="83" t="s">
        <v>8433</v>
      </c>
      <c r="J1596" s="83" t="s">
        <v>150</v>
      </c>
      <c r="K1596" s="83" t="s">
        <v>151</v>
      </c>
      <c r="L1596" s="83" t="s">
        <v>230</v>
      </c>
      <c r="M1596" s="82" t="str">
        <f>IFERROR(__xludf.DUMMYFUNCTION("IFERROR(VLOOKUP(D1596,
IMPORTRANGE(""https://docs.google.com/spreadsheets/d/1MjHtlUikwobi2MaWJgy7tfLeBmhj1u-dRFRs_8GwSoA/edit#gid=0"",""Gestores Escolares!D7:J""),3,0),""VERIFICAR CÓD SEC"")"),"MÁRCIA DA SILVA SOARES")</f>
        <v>MÁRCIA DA SILVA SOARES</v>
      </c>
      <c r="N1596" s="82" t="str">
        <f>IFERROR(__xludf.DUMMYFUNCTION("IFERROR(VLOOKUP(D1596,
IMPORTRANGE(""https://docs.google.com/spreadsheets/d/1MjHtlUikwobi2MaWJgy7tfLeBmhj1u-dRFRs_8GwSoA/edit#gid=0"",""Gestores Escolares!D7:J""),4,0),""VERIFICAR CÓD SEC"")"),"(71) 9 9213-2949")</f>
        <v>(71) 9 9213-2949</v>
      </c>
      <c r="O1596" s="82" t="str">
        <f>IFERROR(__xludf.DUMMYFUNCTION("IFERROR(VLOOKUP(D1596,
IMPORTRANGE(""https://docs.google.com/spreadsheets/d/1MjHtlUikwobi2MaWJgy7tfLeBmhj1u-dRFRs_8GwSoA/edit#gid=0"",""Gestores Escolares!D7:J""),6,0),""VERIFICAR CÓD SEC"")"),"CRISTIANE MASCARENHAS LEITE")</f>
        <v>CRISTIANE MASCARENHAS LEITE</v>
      </c>
      <c r="P1596" s="82" t="str">
        <f>IFERROR(__xludf.DUMMYFUNCTION("IFERROR(VLOOKUP(D1596,
IMPORTRANGE(""https://docs.google.com/spreadsheets/d/1MjHtlUikwobi2MaWJgy7tfLeBmhj1u-dRFRs_8GwSoA/edit#gid=0"",""Gestores Escolares!D7:J""),7,0),""VERIFICAR CÓD SEC"")"),"(71) 9 9991-3083")</f>
        <v>(71) 9 9991-3083</v>
      </c>
      <c r="Q1596" s="82" t="str">
        <f>IFERROR(__xludf.DUMMYFUNCTION("IFERROR(VLOOKUP(D1596,
IMPORTRANGE(""https://docs.google.com/spreadsheets/d/1MjHtlUikwobi2MaWJgy7tfLeBmhj1u-dRFRs_8GwSoA/edit#gid=0"",""Gestores Escolares!D7:m""),9,0),""VERIFICAR CÓD SEC"")"),"")</f>
        <v/>
      </c>
      <c r="R1596" s="82" t="str">
        <f>IFERROR(__xludf.DUMMYFUNCTION("IFERROR(VLOOKUP(D1596,
IMPORTRANGE(""https://docs.google.com/spreadsheets/d/1MjHtlUikwobi2MaWJgy7tfLeBmhj1u-dRFRs_8GwSoA/edit#gid=0"",""Gestores Escolares!D7:m""),10,0),""VERIFICAR CÓD SEC"")"),"")</f>
        <v/>
      </c>
      <c r="S1596" s="82"/>
      <c r="T1596" s="138">
        <v>18.0</v>
      </c>
      <c r="U1596" s="152">
        <v>19.0</v>
      </c>
      <c r="V1596" s="106">
        <v>0.0</v>
      </c>
      <c r="W1596" s="107">
        <v>0.0</v>
      </c>
      <c r="X1596" s="107">
        <v>0.0</v>
      </c>
      <c r="Y1596" s="107">
        <v>0.0</v>
      </c>
      <c r="Z1596" s="80">
        <f t="shared" si="1"/>
        <v>0</v>
      </c>
      <c r="AA1596" s="106">
        <v>0.0</v>
      </c>
      <c r="AB1596" s="107">
        <v>0.0</v>
      </c>
      <c r="AC1596" s="107">
        <v>0.0</v>
      </c>
      <c r="AD1596" s="107">
        <v>0.0</v>
      </c>
      <c r="AE1596" s="80">
        <f t="shared" si="2"/>
        <v>0</v>
      </c>
      <c r="AF1596" s="140">
        <v>447.0</v>
      </c>
      <c r="AG1596" s="109">
        <v>72.0</v>
      </c>
      <c r="AH1596" s="109">
        <v>0.0</v>
      </c>
      <c r="AI1596" s="141">
        <v>0.0</v>
      </c>
      <c r="AJ1596" s="80">
        <f t="shared" si="3"/>
        <v>519</v>
      </c>
      <c r="AK1596" s="140">
        <v>0.0</v>
      </c>
      <c r="AL1596" s="109">
        <v>0.0</v>
      </c>
      <c r="AM1596" s="141">
        <v>0.0</v>
      </c>
      <c r="AN1596" s="80">
        <f t="shared" si="4"/>
        <v>0</v>
      </c>
      <c r="AO1596" s="140">
        <v>0.0</v>
      </c>
      <c r="AP1596" s="109">
        <v>0.0</v>
      </c>
      <c r="AQ1596" s="109">
        <v>0.0</v>
      </c>
      <c r="AR1596" s="80">
        <f t="shared" si="5"/>
        <v>0</v>
      </c>
      <c r="AS1596" s="110">
        <v>307.0</v>
      </c>
      <c r="AT1596" s="110">
        <v>336.0</v>
      </c>
      <c r="AU1596" s="110">
        <v>520.0</v>
      </c>
      <c r="AV1596" s="142">
        <v>0.0</v>
      </c>
      <c r="AW1596" s="80">
        <f t="shared" si="6"/>
        <v>1163</v>
      </c>
      <c r="AX1596" s="113">
        <f t="shared" si="7"/>
        <v>1682</v>
      </c>
      <c r="AY1596" s="117">
        <f t="shared" si="8"/>
        <v>1162</v>
      </c>
      <c r="AZ1596" s="120">
        <f t="shared" si="9"/>
        <v>520</v>
      </c>
      <c r="BA1596" s="115">
        <v>22.0</v>
      </c>
      <c r="BB1596" s="89">
        <f t="shared" si="10"/>
        <v>1704</v>
      </c>
      <c r="BC1596" s="132" t="s">
        <v>178</v>
      </c>
      <c r="BD1596" s="132" t="s">
        <v>178</v>
      </c>
      <c r="BE1596" s="132" t="s">
        <v>178</v>
      </c>
      <c r="BF1596" s="123"/>
      <c r="BG1596" s="83">
        <v>1100434.0</v>
      </c>
      <c r="BH1596" s="98" t="s">
        <v>8930</v>
      </c>
      <c r="BI1596" s="112">
        <v>19.0</v>
      </c>
      <c r="BJ1596" s="98" t="s">
        <v>155</v>
      </c>
      <c r="BK1596" s="99">
        <f t="shared" si="11"/>
        <v>0</v>
      </c>
      <c r="BL1596" s="99">
        <f t="shared" si="12"/>
        <v>1162</v>
      </c>
      <c r="BM1596" s="99" t="str">
        <f>IFERROR(__xludf.DUMMYFUNCTION("IFERROR(VLOOKUP(BG1596,IMPORTRANGE(""https://docs.google.com/spreadsheets/d/1juPI-Fb8LD0YtltB2mlGEnp_R3UVu1t3wSFPzgCyHXE/edit?gid=0#gid=0"",""GERAL!A2:C""),3,0),""-"")"),"-")</f>
        <v>-</v>
      </c>
    </row>
    <row r="1597" ht="15.75" customHeight="1">
      <c r="A1597" s="111" t="s">
        <v>1785</v>
      </c>
      <c r="B1597" s="83" t="s">
        <v>1994</v>
      </c>
      <c r="C1597" s="83" t="s">
        <v>68</v>
      </c>
      <c r="D1597" s="112">
        <v>1100418.0</v>
      </c>
      <c r="E1597" s="83"/>
      <c r="F1597" s="83">
        <v>2.918908E7</v>
      </c>
      <c r="G1597" s="119" t="s">
        <v>13934</v>
      </c>
      <c r="H1597" s="91" t="s">
        <v>8932</v>
      </c>
      <c r="I1597" s="83" t="s">
        <v>8579</v>
      </c>
      <c r="J1597" s="83" t="s">
        <v>150</v>
      </c>
      <c r="K1597" s="83" t="s">
        <v>151</v>
      </c>
      <c r="L1597" s="83" t="s">
        <v>76</v>
      </c>
      <c r="M1597" s="82" t="str">
        <f>IFERROR(__xludf.DUMMYFUNCTION("IFERROR(VLOOKUP(D1597,
IMPORTRANGE(""https://docs.google.com/spreadsheets/d/1MjHtlUikwobi2MaWJgy7tfLeBmhj1u-dRFRs_8GwSoA/edit#gid=0"",""Gestores Escolares!D7:J""),3,0),""VERIFICAR CÓD SEC"")"),"EDMILSON DOS SANTOS CARDOSO")</f>
        <v>EDMILSON DOS SANTOS CARDOSO</v>
      </c>
      <c r="N1597" s="82" t="str">
        <f>IFERROR(__xludf.DUMMYFUNCTION("IFERROR(VLOOKUP(D1597,
IMPORTRANGE(""https://docs.google.com/spreadsheets/d/1MjHtlUikwobi2MaWJgy7tfLeBmhj1u-dRFRs_8GwSoA/edit#gid=0"",""Gestores Escolares!D7:J""),4,0),""VERIFICAR CÓD SEC"")"),"(71) 9 9380-3118")</f>
        <v>(71) 9 9380-3118</v>
      </c>
      <c r="O1597" s="82" t="str">
        <f>IFERROR(__xludf.DUMMYFUNCTION("IFERROR(VLOOKUP(D1597,
IMPORTRANGE(""https://docs.google.com/spreadsheets/d/1MjHtlUikwobi2MaWJgy7tfLeBmhj1u-dRFRs_8GwSoA/edit#gid=0"",""Gestores Escolares!D7:J""),6,0),""VERIFICAR CÓD SEC"")"),"EDELCLIDES DE SANTANA ALCÂNTARA")</f>
        <v>EDELCLIDES DE SANTANA ALCÂNTARA</v>
      </c>
      <c r="P1597" s="82" t="str">
        <f>IFERROR(__xludf.DUMMYFUNCTION("IFERROR(VLOOKUP(D1597,
IMPORTRANGE(""https://docs.google.com/spreadsheets/d/1MjHtlUikwobi2MaWJgy7tfLeBmhj1u-dRFRs_8GwSoA/edit#gid=0"",""Gestores Escolares!D7:J""),7,0),""VERIFICAR CÓD SEC"")"),"(71) 9 9122-0481 ")</f>
        <v>(71) 9 9122-0481 </v>
      </c>
      <c r="Q1597" s="82" t="str">
        <f>IFERROR(__xludf.DUMMYFUNCTION("IFERROR(VLOOKUP(D1597,
IMPORTRANGE(""https://docs.google.com/spreadsheets/d/1MjHtlUikwobi2MaWJgy7tfLeBmhj1u-dRFRs_8GwSoA/edit#gid=0"",""Gestores Escolares!D7:m""),9,0),""VERIFICAR CÓD SEC"")"),"")</f>
        <v/>
      </c>
      <c r="R1597" s="82" t="str">
        <f>IFERROR(__xludf.DUMMYFUNCTION("IFERROR(VLOOKUP(D1597,
IMPORTRANGE(""https://docs.google.com/spreadsheets/d/1MjHtlUikwobi2MaWJgy7tfLeBmhj1u-dRFRs_8GwSoA/edit#gid=0"",""Gestores Escolares!D7:m""),10,0),""VERIFICAR CÓD SEC"")"),"")</f>
        <v/>
      </c>
      <c r="S1597" s="82"/>
      <c r="T1597" s="138">
        <v>11.0</v>
      </c>
      <c r="U1597" s="152">
        <v>13.0</v>
      </c>
      <c r="V1597" s="106">
        <v>0.0</v>
      </c>
      <c r="W1597" s="107">
        <v>0.0</v>
      </c>
      <c r="X1597" s="107">
        <v>0.0</v>
      </c>
      <c r="Y1597" s="107">
        <v>0.0</v>
      </c>
      <c r="Z1597" s="80">
        <f t="shared" si="1"/>
        <v>0</v>
      </c>
      <c r="AA1597" s="106">
        <v>0.0</v>
      </c>
      <c r="AB1597" s="107">
        <v>0.0</v>
      </c>
      <c r="AC1597" s="107">
        <v>0.0</v>
      </c>
      <c r="AD1597" s="107">
        <v>281.0</v>
      </c>
      <c r="AE1597" s="80">
        <f t="shared" si="2"/>
        <v>281</v>
      </c>
      <c r="AF1597" s="140">
        <v>0.0</v>
      </c>
      <c r="AG1597" s="109">
        <v>0.0</v>
      </c>
      <c r="AH1597" s="109">
        <v>0.0</v>
      </c>
      <c r="AI1597" s="141">
        <v>0.0</v>
      </c>
      <c r="AJ1597" s="80">
        <f t="shared" si="3"/>
        <v>0</v>
      </c>
      <c r="AK1597" s="140">
        <v>0.0</v>
      </c>
      <c r="AL1597" s="109">
        <v>0.0</v>
      </c>
      <c r="AM1597" s="141">
        <v>0.0</v>
      </c>
      <c r="AN1597" s="80">
        <f t="shared" si="4"/>
        <v>0</v>
      </c>
      <c r="AO1597" s="140">
        <v>0.0</v>
      </c>
      <c r="AP1597" s="109">
        <v>0.0</v>
      </c>
      <c r="AQ1597" s="109">
        <v>0.0</v>
      </c>
      <c r="AR1597" s="80">
        <f t="shared" si="5"/>
        <v>0</v>
      </c>
      <c r="AS1597" s="110">
        <v>0.0</v>
      </c>
      <c r="AT1597" s="110">
        <v>0.0</v>
      </c>
      <c r="AU1597" s="110">
        <v>0.0</v>
      </c>
      <c r="AV1597" s="142">
        <v>0.0</v>
      </c>
      <c r="AW1597" s="80">
        <f t="shared" si="6"/>
        <v>0</v>
      </c>
      <c r="AX1597" s="113">
        <f t="shared" si="7"/>
        <v>281</v>
      </c>
      <c r="AY1597" s="117">
        <f t="shared" si="8"/>
        <v>281</v>
      </c>
      <c r="AZ1597" s="120">
        <f t="shared" si="9"/>
        <v>0</v>
      </c>
      <c r="BA1597" s="115">
        <v>0.0</v>
      </c>
      <c r="BB1597" s="89">
        <f t="shared" si="10"/>
        <v>281</v>
      </c>
      <c r="BC1597" s="132" t="s">
        <v>178</v>
      </c>
      <c r="BD1597" s="132" t="s">
        <v>178</v>
      </c>
      <c r="BE1597" s="132" t="s">
        <v>178</v>
      </c>
      <c r="BF1597" s="123"/>
      <c r="BG1597" s="83">
        <v>1100418.0</v>
      </c>
      <c r="BH1597" s="98" t="s">
        <v>8933</v>
      </c>
      <c r="BI1597" s="112">
        <v>13.0</v>
      </c>
      <c r="BJ1597" s="98" t="s">
        <v>155</v>
      </c>
      <c r="BK1597" s="99">
        <f t="shared" si="11"/>
        <v>281</v>
      </c>
      <c r="BL1597" s="99">
        <f t="shared" si="12"/>
        <v>0</v>
      </c>
      <c r="BM1597" s="99" t="str">
        <f>IFERROR(__xludf.DUMMYFUNCTION("IFERROR(VLOOKUP(BG1597,IMPORTRANGE(""https://docs.google.com/spreadsheets/d/1juPI-Fb8LD0YtltB2mlGEnp_R3UVu1t3wSFPzgCyHXE/edit?gid=0#gid=0"",""GERAL!A2:C""),3,0),""-"")"),"-")</f>
        <v>-</v>
      </c>
    </row>
    <row r="1598" ht="105.75" customHeight="1">
      <c r="A1598" s="111" t="s">
        <v>1785</v>
      </c>
      <c r="B1598" s="83" t="s">
        <v>1994</v>
      </c>
      <c r="C1598" s="83" t="s">
        <v>68</v>
      </c>
      <c r="D1598" s="112">
        <v>1100221.0</v>
      </c>
      <c r="E1598" s="83"/>
      <c r="F1598" s="83">
        <v>2.9189047E7</v>
      </c>
      <c r="G1598" s="119" t="s">
        <v>8935</v>
      </c>
      <c r="H1598" s="91" t="s">
        <v>8936</v>
      </c>
      <c r="I1598" s="83" t="s">
        <v>8937</v>
      </c>
      <c r="J1598" s="83" t="s">
        <v>150</v>
      </c>
      <c r="K1598" s="83" t="s">
        <v>151</v>
      </c>
      <c r="L1598" s="83" t="s">
        <v>230</v>
      </c>
      <c r="M1598" s="82" t="str">
        <f>IFERROR(__xludf.DUMMYFUNCTION("IFERROR(VLOOKUP(D1598,
IMPORTRANGE(""https://docs.google.com/spreadsheets/d/1MjHtlUikwobi2MaWJgy7tfLeBmhj1u-dRFRs_8GwSoA/edit#gid=0"",""Gestores Escolares!D7:J""),3,0),""VERIFICAR CÓD SEC"")"),"JOSILENE FERNANDES SALES")</f>
        <v>JOSILENE FERNANDES SALES</v>
      </c>
      <c r="N1598" s="82" t="str">
        <f>IFERROR(__xludf.DUMMYFUNCTION("IFERROR(VLOOKUP(D1598,
IMPORTRANGE(""https://docs.google.com/spreadsheets/d/1MjHtlUikwobi2MaWJgy7tfLeBmhj1u-dRFRs_8GwSoA/edit#gid=0"",""Gestores Escolares!D7:J""),4,0),""VERIFICAR CÓD SEC"")"),"(71) 9 8892-4372")</f>
        <v>(71) 9 8892-4372</v>
      </c>
      <c r="O1598" s="82" t="str">
        <f>IFERROR(__xludf.DUMMYFUNCTION("IFERROR(VLOOKUP(D1598,
IMPORTRANGE(""https://docs.google.com/spreadsheets/d/1MjHtlUikwobi2MaWJgy7tfLeBmhj1u-dRFRs_8GwSoA/edit#gid=0"",""Gestores Escolares!D7:J""),6,0),""VERIFICAR CÓD SEC"")"),"GESSE SOUZA BURI")</f>
        <v>GESSE SOUZA BURI</v>
      </c>
      <c r="P1598" s="82" t="str">
        <f>IFERROR(__xludf.DUMMYFUNCTION("IFERROR(VLOOKUP(D1598,
IMPORTRANGE(""https://docs.google.com/spreadsheets/d/1MjHtlUikwobi2MaWJgy7tfLeBmhj1u-dRFRs_8GwSoA/edit#gid=0"",""Gestores Escolares!D7:J""),7,0),""VERIFICAR CÓD SEC"")"),"(71) 9 8755-0519")</f>
        <v>(71) 9 8755-0519</v>
      </c>
      <c r="Q1598" s="82" t="str">
        <f>IFERROR(__xludf.DUMMYFUNCTION("IFERROR(VLOOKUP(D1598,
IMPORTRANGE(""https://docs.google.com/spreadsheets/d/1MjHtlUikwobi2MaWJgy7tfLeBmhj1u-dRFRs_8GwSoA/edit#gid=0"",""Gestores Escolares!D7:m""),9,0),""VERIFICAR CÓD SEC"")"),"MARIO SERGIO CALDAS DA SILVA")</f>
        <v>MARIO SERGIO CALDAS DA SILVA</v>
      </c>
      <c r="R1598" s="82" t="str">
        <f>IFERROR(__xludf.DUMMYFUNCTION("IFERROR(VLOOKUP(D1598,
IMPORTRANGE(""https://docs.google.com/spreadsheets/d/1MjHtlUikwobi2MaWJgy7tfLeBmhj1u-dRFRs_8GwSoA/edit#gid=0"",""Gestores Escolares!D7:m""),10,0),""VERIFICAR CÓD SEC"")"),"(71) 9 9991-0755")</f>
        <v>(71) 9 9991-0755</v>
      </c>
      <c r="S1598" s="82"/>
      <c r="T1598" s="138">
        <v>12.0</v>
      </c>
      <c r="U1598" s="152">
        <v>12.0</v>
      </c>
      <c r="V1598" s="106">
        <v>0.0</v>
      </c>
      <c r="W1598" s="107">
        <v>0.0</v>
      </c>
      <c r="X1598" s="107">
        <v>0.0</v>
      </c>
      <c r="Y1598" s="107">
        <v>0.0</v>
      </c>
      <c r="Z1598" s="80">
        <f t="shared" si="1"/>
        <v>0</v>
      </c>
      <c r="AA1598" s="106">
        <v>175.0</v>
      </c>
      <c r="AB1598" s="107">
        <v>116.0</v>
      </c>
      <c r="AC1598" s="107">
        <v>0.0</v>
      </c>
      <c r="AD1598" s="107">
        <v>0.0</v>
      </c>
      <c r="AE1598" s="80">
        <f t="shared" si="2"/>
        <v>291</v>
      </c>
      <c r="AF1598" s="140">
        <v>0.0</v>
      </c>
      <c r="AG1598" s="109">
        <v>0.0</v>
      </c>
      <c r="AH1598" s="109">
        <v>0.0</v>
      </c>
      <c r="AI1598" s="141">
        <v>156.0</v>
      </c>
      <c r="AJ1598" s="80">
        <f t="shared" si="3"/>
        <v>156</v>
      </c>
      <c r="AK1598" s="140">
        <v>0.0</v>
      </c>
      <c r="AL1598" s="109">
        <v>0.0</v>
      </c>
      <c r="AM1598" s="141">
        <v>0.0</v>
      </c>
      <c r="AN1598" s="80">
        <f t="shared" si="4"/>
        <v>0</v>
      </c>
      <c r="AO1598" s="140">
        <v>0.0</v>
      </c>
      <c r="AP1598" s="109">
        <v>0.0</v>
      </c>
      <c r="AQ1598" s="109">
        <v>109.0</v>
      </c>
      <c r="AR1598" s="80">
        <f t="shared" si="5"/>
        <v>109</v>
      </c>
      <c r="AS1598" s="110">
        <v>0.0</v>
      </c>
      <c r="AT1598" s="110">
        <v>0.0</v>
      </c>
      <c r="AU1598" s="110">
        <v>0.0</v>
      </c>
      <c r="AV1598" s="142">
        <v>0.0</v>
      </c>
      <c r="AW1598" s="80">
        <f t="shared" si="6"/>
        <v>0</v>
      </c>
      <c r="AX1598" s="113">
        <f t="shared" si="7"/>
        <v>556</v>
      </c>
      <c r="AY1598" s="117">
        <f t="shared" si="8"/>
        <v>447</v>
      </c>
      <c r="AZ1598" s="120">
        <f t="shared" si="9"/>
        <v>109</v>
      </c>
      <c r="BA1598" s="115">
        <v>0.0</v>
      </c>
      <c r="BB1598" s="89">
        <f t="shared" si="10"/>
        <v>556</v>
      </c>
      <c r="BC1598" s="132" t="s">
        <v>178</v>
      </c>
      <c r="BD1598" s="132" t="s">
        <v>178</v>
      </c>
      <c r="BE1598" s="132" t="s">
        <v>178</v>
      </c>
      <c r="BF1598" s="123"/>
      <c r="BG1598" s="83">
        <v>1100221.0</v>
      </c>
      <c r="BH1598" s="98" t="s">
        <v>8938</v>
      </c>
      <c r="BI1598" s="112">
        <v>12.0</v>
      </c>
      <c r="BJ1598" s="98" t="s">
        <v>155</v>
      </c>
      <c r="BK1598" s="99">
        <f t="shared" si="11"/>
        <v>156</v>
      </c>
      <c r="BL1598" s="99">
        <f t="shared" si="12"/>
        <v>291</v>
      </c>
      <c r="BM1598" s="99" t="str">
        <f>IFERROR(__xludf.DUMMYFUNCTION("IFERROR(VLOOKUP(BG1598,IMPORTRANGE(""https://docs.google.com/spreadsheets/d/1juPI-Fb8LD0YtltB2mlGEnp_R3UVu1t3wSFPzgCyHXE/edit?gid=0#gid=0"",""GERAL!A2:C""),3,0),""-"")"),"-")</f>
        <v>-</v>
      </c>
    </row>
    <row r="1599" ht="15.75" customHeight="1">
      <c r="A1599" s="111" t="s">
        <v>1785</v>
      </c>
      <c r="B1599" s="83" t="s">
        <v>1994</v>
      </c>
      <c r="C1599" s="83" t="s">
        <v>68</v>
      </c>
      <c r="D1599" s="112">
        <v>1101651.0</v>
      </c>
      <c r="E1599" s="83"/>
      <c r="F1599" s="83">
        <v>2.919077E7</v>
      </c>
      <c r="G1599" s="119" t="s">
        <v>8940</v>
      </c>
      <c r="H1599" s="91" t="s">
        <v>8941</v>
      </c>
      <c r="I1599" s="83" t="s">
        <v>8143</v>
      </c>
      <c r="J1599" s="146" t="s">
        <v>150</v>
      </c>
      <c r="K1599" s="83" t="s">
        <v>151</v>
      </c>
      <c r="L1599" s="83" t="s">
        <v>152</v>
      </c>
      <c r="M1599" s="82" t="str">
        <f>IFERROR(__xludf.DUMMYFUNCTION("IFERROR(VLOOKUP(D1599,
IMPORTRANGE(""https://docs.google.com/spreadsheets/d/1MjHtlUikwobi2MaWJgy7tfLeBmhj1u-dRFRs_8GwSoA/edit#gid=0"",""Gestores Escolares!D7:J""),3,0),""VERIFICAR CÓD SEC"")"),"SÉRGIO NOGUEIRA NONATO")</f>
        <v>SÉRGIO NOGUEIRA NONATO</v>
      </c>
      <c r="N1599" s="82" t="str">
        <f>IFERROR(__xludf.DUMMYFUNCTION("IFERROR(VLOOKUP(D1599,
IMPORTRANGE(""https://docs.google.com/spreadsheets/d/1MjHtlUikwobi2MaWJgy7tfLeBmhj1u-dRFRs_8GwSoA/edit#gid=0"",""Gestores Escolares!D7:J""),4,0),""VERIFICAR CÓD SEC"")"),"(71) 9 8878-3345")</f>
        <v>(71) 9 8878-3345</v>
      </c>
      <c r="O1599" s="82" t="str">
        <f>IFERROR(__xludf.DUMMYFUNCTION("IFERROR(VLOOKUP(D1599,
IMPORTRANGE(""https://docs.google.com/spreadsheets/d/1MjHtlUikwobi2MaWJgy7tfLeBmhj1u-dRFRs_8GwSoA/edit#gid=0"",""Gestores Escolares!D7:J""),6,0),""VERIFICAR CÓD SEC"")"),"THIAGO FONTES DA HORA SILVA")</f>
        <v>THIAGO FONTES DA HORA SILVA</v>
      </c>
      <c r="P1599" s="82" t="str">
        <f>IFERROR(__xludf.DUMMYFUNCTION("IFERROR(VLOOKUP(D1599,
IMPORTRANGE(""https://docs.google.com/spreadsheets/d/1MjHtlUikwobi2MaWJgy7tfLeBmhj1u-dRFRs_8GwSoA/edit#gid=0"",""Gestores Escolares!D7:J""),7,0),""VERIFICAR CÓD SEC"")"),"(73) 9 9111-7022")</f>
        <v>(73) 9 9111-7022</v>
      </c>
      <c r="Q1599" s="82" t="str">
        <f>IFERROR(__xludf.DUMMYFUNCTION("IFERROR(VLOOKUP(D1599,
IMPORTRANGE(""https://docs.google.com/spreadsheets/d/1MjHtlUikwobi2MaWJgy7tfLeBmhj1u-dRFRs_8GwSoA/edit#gid=0"",""Gestores Escolares!D7:m""),9,0),""VERIFICAR CÓD SEC"")"),"OBEDE AMORIM DA SILVA")</f>
        <v>OBEDE AMORIM DA SILVA</v>
      </c>
      <c r="R1599" s="82" t="str">
        <f>IFERROR(__xludf.DUMMYFUNCTION("IFERROR(VLOOKUP(D1599,
IMPORTRANGE(""https://docs.google.com/spreadsheets/d/1MjHtlUikwobi2MaWJgy7tfLeBmhj1u-dRFRs_8GwSoA/edit#gid=0"",""Gestores Escolares!D7:m""),10,0),""VERIFICAR CÓD SEC"")"),"")</f>
        <v/>
      </c>
      <c r="S1599" s="82"/>
      <c r="T1599" s="138">
        <v>14.0</v>
      </c>
      <c r="U1599" s="152">
        <v>14.0</v>
      </c>
      <c r="V1599" s="106">
        <v>0.0</v>
      </c>
      <c r="W1599" s="107">
        <v>0.0</v>
      </c>
      <c r="X1599" s="107">
        <v>0.0</v>
      </c>
      <c r="Y1599" s="107">
        <v>0.0</v>
      </c>
      <c r="Z1599" s="80">
        <f t="shared" si="1"/>
        <v>0</v>
      </c>
      <c r="AA1599" s="106">
        <v>0.0</v>
      </c>
      <c r="AB1599" s="107">
        <v>0.0</v>
      </c>
      <c r="AC1599" s="107">
        <v>0.0</v>
      </c>
      <c r="AD1599" s="107">
        <v>0.0</v>
      </c>
      <c r="AE1599" s="80">
        <f t="shared" si="2"/>
        <v>0</v>
      </c>
      <c r="AF1599" s="140">
        <v>302.0</v>
      </c>
      <c r="AG1599" s="109">
        <v>142.0</v>
      </c>
      <c r="AH1599" s="109">
        <v>0.0</v>
      </c>
      <c r="AI1599" s="141">
        <v>0.0</v>
      </c>
      <c r="AJ1599" s="80">
        <f t="shared" si="3"/>
        <v>444</v>
      </c>
      <c r="AK1599" s="140">
        <v>0.0</v>
      </c>
      <c r="AL1599" s="109">
        <v>0.0</v>
      </c>
      <c r="AM1599" s="141">
        <v>0.0</v>
      </c>
      <c r="AN1599" s="80">
        <f t="shared" si="4"/>
        <v>0</v>
      </c>
      <c r="AO1599" s="140">
        <v>0.0</v>
      </c>
      <c r="AP1599" s="109">
        <v>0.0</v>
      </c>
      <c r="AQ1599" s="109">
        <v>218.0</v>
      </c>
      <c r="AR1599" s="80">
        <f t="shared" si="5"/>
        <v>218</v>
      </c>
      <c r="AS1599" s="110">
        <v>86.0</v>
      </c>
      <c r="AT1599" s="110">
        <v>70.0</v>
      </c>
      <c r="AU1599" s="110">
        <v>23.0</v>
      </c>
      <c r="AV1599" s="142">
        <v>0.0</v>
      </c>
      <c r="AW1599" s="80">
        <f t="shared" si="6"/>
        <v>179</v>
      </c>
      <c r="AX1599" s="113">
        <f t="shared" si="7"/>
        <v>841</v>
      </c>
      <c r="AY1599" s="117">
        <f t="shared" si="8"/>
        <v>600</v>
      </c>
      <c r="AZ1599" s="120">
        <f t="shared" si="9"/>
        <v>241</v>
      </c>
      <c r="BA1599" s="115">
        <v>1.0</v>
      </c>
      <c r="BB1599" s="89">
        <f t="shared" si="10"/>
        <v>842</v>
      </c>
      <c r="BC1599" s="132" t="s">
        <v>178</v>
      </c>
      <c r="BD1599" s="132" t="s">
        <v>178</v>
      </c>
      <c r="BE1599" s="132" t="s">
        <v>178</v>
      </c>
      <c r="BF1599" s="123"/>
      <c r="BG1599" s="83">
        <v>1101651.0</v>
      </c>
      <c r="BH1599" s="98" t="s">
        <v>8944</v>
      </c>
      <c r="BI1599" s="112">
        <v>14.0</v>
      </c>
      <c r="BJ1599" s="98" t="s">
        <v>155</v>
      </c>
      <c r="BK1599" s="99">
        <f t="shared" si="11"/>
        <v>0</v>
      </c>
      <c r="BL1599" s="99">
        <f t="shared" si="12"/>
        <v>600</v>
      </c>
      <c r="BM1599" s="99" t="str">
        <f>IFERROR(__xludf.DUMMYFUNCTION("IFERROR(VLOOKUP(BG1599,IMPORTRANGE(""https://docs.google.com/spreadsheets/d/1juPI-Fb8LD0YtltB2mlGEnp_R3UVu1t3wSFPzgCyHXE/edit?gid=0#gid=0"",""GERAL!A2:C""),3,0),""-"")"),"-")</f>
        <v>-</v>
      </c>
    </row>
    <row r="1600" ht="15.75" customHeight="1">
      <c r="A1600" s="111" t="s">
        <v>1785</v>
      </c>
      <c r="B1600" s="83" t="s">
        <v>1994</v>
      </c>
      <c r="C1600" s="83" t="s">
        <v>68</v>
      </c>
      <c r="D1600" s="112">
        <v>1176391.0</v>
      </c>
      <c r="E1600" s="83"/>
      <c r="F1600" s="83">
        <v>2.9357896E7</v>
      </c>
      <c r="G1600" s="119" t="s">
        <v>8948</v>
      </c>
      <c r="H1600" s="91" t="s">
        <v>8949</v>
      </c>
      <c r="I1600" s="83" t="s">
        <v>8950</v>
      </c>
      <c r="J1600" s="83" t="s">
        <v>150</v>
      </c>
      <c r="K1600" s="83" t="s">
        <v>151</v>
      </c>
      <c r="L1600" s="136" t="s">
        <v>152</v>
      </c>
      <c r="M1600" s="82" t="str">
        <f>IFERROR(__xludf.DUMMYFUNCTION("IFERROR(VLOOKUP(D1600,
IMPORTRANGE(""https://docs.google.com/spreadsheets/d/1MjHtlUikwobi2MaWJgy7tfLeBmhj1u-dRFRs_8GwSoA/edit#gid=0"",""Gestores Escolares!D7:J""),3,0),""VERIFICAR CÓD SEC"")"),"DIREÇÃO DE ESCOLA: KEUCILENE ANDRADE CUNHA - (71) 9 9741-2160
DIREÇÃO DA UNIDADE PM: Tenente Coronel QOPM GEORGETE CRISTINA CELESTINO CACHO - (71) 9 8153-3738
DIREÇÃO DO ADJUNTO: MAJOR PM BONFIM DE OLIVEIRA ALCÂNTARA - 
(71) 9 8796-1695")</f>
        <v>DIREÇÃO DE ESCOLA: KEUCILENE ANDRADE CUNHA - (71) 9 9741-2160
DIREÇÃO DA UNIDADE PM: Tenente Coronel QOPM GEORGETE CRISTINA CELESTINO CACHO - (71) 9 8153-3738
DIREÇÃO DO ADJUNTO: MAJOR PM BONFIM DE OLIVEIRA ALCÂNTARA - 
(71) 9 8796-1695</v>
      </c>
      <c r="N1600" s="82" t="str">
        <f>IFERROR(__xludf.DUMMYFUNCTION("IFERROR(VLOOKUP(D1600,
IMPORTRANGE(""https://docs.google.com/spreadsheets/d/1MjHtlUikwobi2MaWJgy7tfLeBmhj1u-dRFRs_8GwSoA/edit#gid=0"",""Gestores Escolares!D7:J""),4,0),""VERIFICAR CÓD SEC"")"),"-")</f>
        <v>-</v>
      </c>
      <c r="O1600" s="82" t="str">
        <f>IFERROR(__xludf.DUMMYFUNCTION("IFERROR(VLOOKUP(D1600,
IMPORTRANGE(""https://docs.google.com/spreadsheets/d/1MjHtlUikwobi2MaWJgy7tfLeBmhj1u-dRFRs_8GwSoA/edit#gid=0"",""Gestores Escolares!D7:J""),6,0),""VERIFICAR CÓD SEC"")"),"RITA DE CASSIA DE LIMA BATISTA")</f>
        <v>RITA DE CASSIA DE LIMA BATISTA</v>
      </c>
      <c r="P1600" s="82" t="str">
        <f>IFERROR(__xludf.DUMMYFUNCTION("IFERROR(VLOOKUP(D1600,
IMPORTRANGE(""https://docs.google.com/spreadsheets/d/1MjHtlUikwobi2MaWJgy7tfLeBmhj1u-dRFRs_8GwSoA/edit#gid=0"",""Gestores Escolares!D7:J""),7,0),""VERIFICAR CÓD SEC"")"),"(71) 9 8643-4826")</f>
        <v>(71) 9 8643-4826</v>
      </c>
      <c r="Q1600" s="82" t="str">
        <f>IFERROR(__xludf.DUMMYFUNCTION("IFERROR(VLOOKUP(D1600,
IMPORTRANGE(""https://docs.google.com/spreadsheets/d/1MjHtlUikwobi2MaWJgy7tfLeBmhj1u-dRFRs_8GwSoA/edit#gid=0"",""Gestores Escolares!D7:m""),9,0),""VERIFICAR CÓD SEC"")"),"")</f>
        <v/>
      </c>
      <c r="R1600" s="82" t="str">
        <f>IFERROR(__xludf.DUMMYFUNCTION("IFERROR(VLOOKUP(D1600,
IMPORTRANGE(""https://docs.google.com/spreadsheets/d/1MjHtlUikwobi2MaWJgy7tfLeBmhj1u-dRFRs_8GwSoA/edit#gid=0"",""Gestores Escolares!D7:m""),10,0),""VERIFICAR CÓD SEC"")"),"")</f>
        <v/>
      </c>
      <c r="S1600" s="82"/>
      <c r="T1600" s="138">
        <v>18.0</v>
      </c>
      <c r="U1600" s="152">
        <v>16.0</v>
      </c>
      <c r="V1600" s="106">
        <v>0.0</v>
      </c>
      <c r="W1600" s="107">
        <v>0.0</v>
      </c>
      <c r="X1600" s="107">
        <v>0.0</v>
      </c>
      <c r="Y1600" s="107">
        <v>0.0</v>
      </c>
      <c r="Z1600" s="80">
        <f t="shared" si="1"/>
        <v>0</v>
      </c>
      <c r="AA1600" s="106">
        <v>175.0</v>
      </c>
      <c r="AB1600" s="107">
        <v>505.0</v>
      </c>
      <c r="AC1600" s="107">
        <v>0.0</v>
      </c>
      <c r="AD1600" s="107">
        <v>0.0</v>
      </c>
      <c r="AE1600" s="80">
        <f t="shared" si="2"/>
        <v>680</v>
      </c>
      <c r="AF1600" s="140">
        <v>441.0</v>
      </c>
      <c r="AG1600" s="109">
        <v>0.0</v>
      </c>
      <c r="AH1600" s="109">
        <v>0.0</v>
      </c>
      <c r="AI1600" s="141">
        <v>0.0</v>
      </c>
      <c r="AJ1600" s="80">
        <f t="shared" si="3"/>
        <v>441</v>
      </c>
      <c r="AK1600" s="140">
        <v>0.0</v>
      </c>
      <c r="AL1600" s="109">
        <v>0.0</v>
      </c>
      <c r="AM1600" s="141">
        <v>0.0</v>
      </c>
      <c r="AN1600" s="80">
        <f t="shared" si="4"/>
        <v>0</v>
      </c>
      <c r="AO1600" s="140">
        <v>0.0</v>
      </c>
      <c r="AP1600" s="109">
        <v>0.0</v>
      </c>
      <c r="AQ1600" s="109">
        <v>0.0</v>
      </c>
      <c r="AR1600" s="80">
        <f t="shared" si="5"/>
        <v>0</v>
      </c>
      <c r="AS1600" s="110">
        <v>0.0</v>
      </c>
      <c r="AT1600" s="110">
        <v>0.0</v>
      </c>
      <c r="AU1600" s="110">
        <v>0.0</v>
      </c>
      <c r="AV1600" s="142">
        <v>0.0</v>
      </c>
      <c r="AW1600" s="80">
        <f t="shared" si="6"/>
        <v>0</v>
      </c>
      <c r="AX1600" s="113">
        <f t="shared" si="7"/>
        <v>1121</v>
      </c>
      <c r="AY1600" s="117">
        <f t="shared" si="8"/>
        <v>1121</v>
      </c>
      <c r="AZ1600" s="120">
        <f t="shared" si="9"/>
        <v>0</v>
      </c>
      <c r="BA1600" s="115">
        <v>0.0</v>
      </c>
      <c r="BB1600" s="89">
        <f t="shared" si="10"/>
        <v>1121</v>
      </c>
      <c r="BC1600" s="143" t="s">
        <v>1014</v>
      </c>
      <c r="BD1600" s="132" t="s">
        <v>178</v>
      </c>
      <c r="BE1600" s="132" t="s">
        <v>178</v>
      </c>
      <c r="BF1600" s="156"/>
      <c r="BG1600" s="83">
        <v>1176391.0</v>
      </c>
      <c r="BH1600" s="98" t="s">
        <v>8951</v>
      </c>
      <c r="BI1600" s="112">
        <v>16.0</v>
      </c>
      <c r="BJ1600" s="98" t="s">
        <v>155</v>
      </c>
      <c r="BK1600" s="99">
        <f t="shared" si="11"/>
        <v>0</v>
      </c>
      <c r="BL1600" s="99">
        <f t="shared" si="12"/>
        <v>1121</v>
      </c>
      <c r="BM1600" s="99" t="str">
        <f>IFERROR(__xludf.DUMMYFUNCTION("IFERROR(VLOOKUP(BG1600,IMPORTRANGE(""https://docs.google.com/spreadsheets/d/1juPI-Fb8LD0YtltB2mlGEnp_R3UVu1t3wSFPzgCyHXE/edit?gid=0#gid=0"",""GERAL!A2:C""),3,0),""-"")"),"-")</f>
        <v>-</v>
      </c>
    </row>
    <row r="1601" ht="15.75" customHeight="1">
      <c r="A1601" s="111" t="s">
        <v>1785</v>
      </c>
      <c r="B1601" s="83" t="s">
        <v>1994</v>
      </c>
      <c r="C1601" s="83" t="s">
        <v>68</v>
      </c>
      <c r="D1601" s="112">
        <v>1176389.0</v>
      </c>
      <c r="E1601" s="83"/>
      <c r="F1601" s="83">
        <v>2.9437377E7</v>
      </c>
      <c r="G1601" s="153" t="s">
        <v>8957</v>
      </c>
      <c r="H1601" s="91" t="s">
        <v>8959</v>
      </c>
      <c r="I1601" s="83" t="s">
        <v>8327</v>
      </c>
      <c r="J1601" s="83" t="s">
        <v>150</v>
      </c>
      <c r="K1601" s="98" t="s">
        <v>3467</v>
      </c>
      <c r="L1601" s="98" t="s">
        <v>230</v>
      </c>
      <c r="M1601" s="82" t="str">
        <f>IFERROR(__xludf.DUMMYFUNCTION("IFERROR(VLOOKUP(D1601,
IMPORTRANGE(""https://docs.google.com/spreadsheets/d/1MjHtlUikwobi2MaWJgy7tfLeBmhj1u-dRFRs_8GwSoA/edit#gid=0"",""Gestores Escolares!D7:J""),3,0),""VERIFICAR CÓD SEC"")"),"DIREÇÃO DE ESCOLA:  ISA DOS SANTOS BARBOSA - (71) 9 8742-7136
DIREÇÃO DA UNIDADE PM: Tenente Coronel QOPM HAMILTON FERREIRA DOS SANTOS - (75) 9 9153-3068
DIREÇÃO DO ADJUNTO: Major QOPM ALEXSANDRO ALEXANDRE DE JESUS NEVES MESSIAS -  (71) 9 8810-9593")</f>
        <v>DIREÇÃO DE ESCOLA:  ISA DOS SANTOS BARBOSA - (71) 9 8742-7136
DIREÇÃO DA UNIDADE PM: Tenente Coronel QOPM HAMILTON FERREIRA DOS SANTOS - (75) 9 9153-3068
DIREÇÃO DO ADJUNTO: Major QOPM ALEXSANDRO ALEXANDRE DE JESUS NEVES MESSIAS -  (71) 9 8810-9593</v>
      </c>
      <c r="N1601" s="82" t="str">
        <f>IFERROR(__xludf.DUMMYFUNCTION("IFERROR(VLOOKUP(D1601,
IMPORTRANGE(""https://docs.google.com/spreadsheets/d/1MjHtlUikwobi2MaWJgy7tfLeBmhj1u-dRFRs_8GwSoA/edit#gid=0"",""Gestores Escolares!D7:J""),4,0),""VERIFICAR CÓD SEC"")"),"-")</f>
        <v>-</v>
      </c>
      <c r="O1601" s="82" t="str">
        <f>IFERROR(__xludf.DUMMYFUNCTION("IFERROR(VLOOKUP(D1601,
IMPORTRANGE(""https://docs.google.com/spreadsheets/d/1MjHtlUikwobi2MaWJgy7tfLeBmhj1u-dRFRs_8GwSoA/edit#gid=0"",""Gestores Escolares!D7:J""),6,0),""VERIFICAR CÓD SEC"")"),"")</f>
        <v/>
      </c>
      <c r="P1601" s="82" t="str">
        <f>IFERROR(__xludf.DUMMYFUNCTION("IFERROR(VLOOKUP(D1601,
IMPORTRANGE(""https://docs.google.com/spreadsheets/d/1MjHtlUikwobi2MaWJgy7tfLeBmhj1u-dRFRs_8GwSoA/edit#gid=0"",""Gestores Escolares!D7:J""),7,0),""VERIFICAR CÓD SEC"")"),"")</f>
        <v/>
      </c>
      <c r="Q1601" s="82" t="str">
        <f>IFERROR(__xludf.DUMMYFUNCTION("IFERROR(VLOOKUP(D1601,
IMPORTRANGE(""https://docs.google.com/spreadsheets/d/1MjHtlUikwobi2MaWJgy7tfLeBmhj1u-dRFRs_8GwSoA/edit#gid=0"",""Gestores Escolares!D7:m""),9,0),""VERIFICAR CÓD SEC"")"),"")</f>
        <v/>
      </c>
      <c r="R1601" s="82" t="str">
        <f>IFERROR(__xludf.DUMMYFUNCTION("IFERROR(VLOOKUP(D1601,
IMPORTRANGE(""https://docs.google.com/spreadsheets/d/1MjHtlUikwobi2MaWJgy7tfLeBmhj1u-dRFRs_8GwSoA/edit#gid=0"",""Gestores Escolares!D7:m""),10,0),""VERIFICAR CÓD SEC"")"),"")</f>
        <v/>
      </c>
      <c r="S1601" s="82"/>
      <c r="T1601" s="138">
        <v>24.0</v>
      </c>
      <c r="U1601" s="139">
        <v>24.0</v>
      </c>
      <c r="V1601" s="106">
        <v>0.0</v>
      </c>
      <c r="W1601" s="107">
        <v>0.0</v>
      </c>
      <c r="X1601" s="107">
        <v>0.0</v>
      </c>
      <c r="Y1601" s="107">
        <v>0.0</v>
      </c>
      <c r="Z1601" s="80">
        <f t="shared" si="1"/>
        <v>0</v>
      </c>
      <c r="AA1601" s="106">
        <v>0.0</v>
      </c>
      <c r="AB1601" s="107">
        <v>589.0</v>
      </c>
      <c r="AC1601" s="107">
        <v>0.0</v>
      </c>
      <c r="AD1601" s="107">
        <v>0.0</v>
      </c>
      <c r="AE1601" s="80">
        <f t="shared" si="2"/>
        <v>589</v>
      </c>
      <c r="AF1601" s="140">
        <v>537.0</v>
      </c>
      <c r="AG1601" s="109">
        <v>0.0</v>
      </c>
      <c r="AH1601" s="109">
        <v>0.0</v>
      </c>
      <c r="AI1601" s="141">
        <v>103.0</v>
      </c>
      <c r="AJ1601" s="80">
        <f t="shared" si="3"/>
        <v>640</v>
      </c>
      <c r="AK1601" s="140">
        <v>0.0</v>
      </c>
      <c r="AL1601" s="109">
        <v>0.0</v>
      </c>
      <c r="AM1601" s="141">
        <v>0.0</v>
      </c>
      <c r="AN1601" s="80">
        <f t="shared" si="4"/>
        <v>0</v>
      </c>
      <c r="AO1601" s="140">
        <v>0.0</v>
      </c>
      <c r="AP1601" s="109">
        <v>0.0</v>
      </c>
      <c r="AQ1601" s="109">
        <v>0.0</v>
      </c>
      <c r="AR1601" s="80">
        <f t="shared" si="5"/>
        <v>0</v>
      </c>
      <c r="AS1601" s="110">
        <v>0.0</v>
      </c>
      <c r="AT1601" s="110">
        <v>0.0</v>
      </c>
      <c r="AU1601" s="110">
        <v>0.0</v>
      </c>
      <c r="AV1601" s="142">
        <v>0.0</v>
      </c>
      <c r="AW1601" s="80">
        <f t="shared" si="6"/>
        <v>0</v>
      </c>
      <c r="AX1601" s="113">
        <f t="shared" si="7"/>
        <v>1229</v>
      </c>
      <c r="AY1601" s="117">
        <f t="shared" si="8"/>
        <v>1229</v>
      </c>
      <c r="AZ1601" s="120">
        <f t="shared" si="9"/>
        <v>0</v>
      </c>
      <c r="BA1601" s="115">
        <v>0.0</v>
      </c>
      <c r="BB1601" s="89">
        <f t="shared" si="10"/>
        <v>1229</v>
      </c>
      <c r="BC1601" s="143" t="s">
        <v>1014</v>
      </c>
      <c r="BD1601" s="132" t="s">
        <v>178</v>
      </c>
      <c r="BE1601" s="132" t="s">
        <v>178</v>
      </c>
      <c r="BF1601" s="156"/>
      <c r="BG1601" s="83">
        <v>1176389.0</v>
      </c>
      <c r="BH1601" s="98" t="s">
        <v>8338</v>
      </c>
      <c r="BI1601" s="112">
        <v>24.0</v>
      </c>
      <c r="BJ1601" s="98" t="s">
        <v>162</v>
      </c>
      <c r="BK1601" s="99">
        <f t="shared" si="11"/>
        <v>103</v>
      </c>
      <c r="BL1601" s="99">
        <f t="shared" si="12"/>
        <v>1126</v>
      </c>
      <c r="BM1601" s="99" t="str">
        <f>IFERROR(__xludf.DUMMYFUNCTION("IFERROR(VLOOKUP(BG1601,IMPORTRANGE(""https://docs.google.com/spreadsheets/d/1juPI-Fb8LD0YtltB2mlGEnp_R3UVu1t3wSFPzgCyHXE/edit?gid=0#gid=0"",""GERAL!A2:C""),3,0),""-"")"),"-")</f>
        <v>-</v>
      </c>
    </row>
    <row r="1602" ht="70.5" customHeight="1">
      <c r="A1602" s="111" t="s">
        <v>1785</v>
      </c>
      <c r="B1602" s="83" t="s">
        <v>1994</v>
      </c>
      <c r="C1602" s="83" t="s">
        <v>68</v>
      </c>
      <c r="D1602" s="112">
        <v>1102046.0</v>
      </c>
      <c r="E1602" s="83"/>
      <c r="F1602" s="83">
        <v>2.918219E7</v>
      </c>
      <c r="G1602" s="114" t="s">
        <v>8963</v>
      </c>
      <c r="H1602" s="91" t="s">
        <v>8964</v>
      </c>
      <c r="I1602" s="83" t="s">
        <v>8171</v>
      </c>
      <c r="J1602" s="83" t="s">
        <v>150</v>
      </c>
      <c r="K1602" s="83" t="s">
        <v>151</v>
      </c>
      <c r="L1602" s="136" t="s">
        <v>152</v>
      </c>
      <c r="M1602" s="82" t="str">
        <f>IFERROR(__xludf.DUMMYFUNCTION("IFERROR(VLOOKUP(D1602,
IMPORTRANGE(""https://docs.google.com/spreadsheets/d/1MjHtlUikwobi2MaWJgy7tfLeBmhj1u-dRFRs_8GwSoA/edit#gid=0"",""Gestores Escolares!D7:J""),3,0),""VERIFICAR CÓD SEC"")"),"DIREÇÃO DE ESCOLA: ROBERTO ARAUJO ALVES - (71) 9 8884-1969
DIREÇÃO DA UNIDADE PM: Tenente Coronel QOPM SERGIO MARCOS RIBEIRO PAZ - 
(71) 9 8769-8184
DIREÇÃO DO ADJUNTO: Major QOPM ABIMAEL DAMIÃO ALENCAR DE OLIVEIRA JÚNIOR - (71) 9 9110-5626")</f>
        <v>DIREÇÃO DE ESCOLA: ROBERTO ARAUJO ALVES - (71) 9 8884-1969
DIREÇÃO DA UNIDADE PM: Tenente Coronel QOPM SERGIO MARCOS RIBEIRO PAZ - 
(71) 9 8769-8184
DIREÇÃO DO ADJUNTO: Major QOPM ABIMAEL DAMIÃO ALENCAR DE OLIVEIRA JÚNIOR - (71) 9 9110-5626</v>
      </c>
      <c r="N1602" s="82" t="str">
        <f>IFERROR(__xludf.DUMMYFUNCTION("IFERROR(VLOOKUP(D1602,
IMPORTRANGE(""https://docs.google.com/spreadsheets/d/1MjHtlUikwobi2MaWJgy7tfLeBmhj1u-dRFRs_8GwSoA/edit#gid=0"",""Gestores Escolares!D7:J""),4,0),""VERIFICAR CÓD SEC"")"),"-")</f>
        <v>-</v>
      </c>
      <c r="O1602" s="82" t="str">
        <f>IFERROR(__xludf.DUMMYFUNCTION("IFERROR(VLOOKUP(D1602,
IMPORTRANGE(""https://docs.google.com/spreadsheets/d/1MjHtlUikwobi2MaWJgy7tfLeBmhj1u-dRFRs_8GwSoA/edit#gid=0"",""Gestores Escolares!D7:J""),6,0),""VERIFICAR CÓD SEC"")")," JOSENILTON CERQUEIRA SANTOS")</f>
        <v> JOSENILTON CERQUEIRA SANTOS</v>
      </c>
      <c r="P1602" s="82" t="str">
        <f>IFERROR(__xludf.DUMMYFUNCTION("IFERROR(VLOOKUP(D1602,
IMPORTRANGE(""https://docs.google.com/spreadsheets/d/1MjHtlUikwobi2MaWJgy7tfLeBmhj1u-dRFRs_8GwSoA/edit#gid=0"",""Gestores Escolares!D7:J""),7,0),""VERIFICAR CÓD SEC"")"),"(71) 9 8242-7465")</f>
        <v>(71) 9 8242-7465</v>
      </c>
      <c r="Q1602" s="82" t="str">
        <f>IFERROR(__xludf.DUMMYFUNCTION("IFERROR(VLOOKUP(D1602,
IMPORTRANGE(""https://docs.google.com/spreadsheets/d/1MjHtlUikwobi2MaWJgy7tfLeBmhj1u-dRFRs_8GwSoA/edit#gid=0"",""Gestores Escolares!D7:m""),9,0),""VERIFICAR CÓD SEC"")"),"COORDENADORA PEDAGÓGICA: ANA FLAVIA FERREIRA DE BRITO OLIVEIRA - (71) 9 8733-9886")</f>
        <v>COORDENADORA PEDAGÓGICA: ANA FLAVIA FERREIRA DE BRITO OLIVEIRA - (71) 9 8733-9886</v>
      </c>
      <c r="R1602" s="82" t="str">
        <f>IFERROR(__xludf.DUMMYFUNCTION("IFERROR(VLOOKUP(D1602,
IMPORTRANGE(""https://docs.google.com/spreadsheets/d/1MjHtlUikwobi2MaWJgy7tfLeBmhj1u-dRFRs_8GwSoA/edit#gid=0"",""Gestores Escolares!D7:m""),10,0),""VERIFICAR CÓD SEC"")"),"")</f>
        <v/>
      </c>
      <c r="S1602" s="82"/>
      <c r="T1602" s="138">
        <v>16.0</v>
      </c>
      <c r="U1602" s="152">
        <v>16.0</v>
      </c>
      <c r="V1602" s="106">
        <v>0.0</v>
      </c>
      <c r="W1602" s="107">
        <v>0.0</v>
      </c>
      <c r="X1602" s="107">
        <v>0.0</v>
      </c>
      <c r="Y1602" s="107">
        <v>0.0</v>
      </c>
      <c r="Z1602" s="80">
        <f t="shared" si="1"/>
        <v>0</v>
      </c>
      <c r="AA1602" s="106">
        <v>0.0</v>
      </c>
      <c r="AB1602" s="107">
        <v>501.0</v>
      </c>
      <c r="AC1602" s="107">
        <v>0.0</v>
      </c>
      <c r="AD1602" s="107">
        <v>0.0</v>
      </c>
      <c r="AE1602" s="80">
        <f t="shared" si="2"/>
        <v>501</v>
      </c>
      <c r="AF1602" s="140">
        <v>405.0</v>
      </c>
      <c r="AG1602" s="109">
        <v>0.0</v>
      </c>
      <c r="AH1602" s="109">
        <v>0.0</v>
      </c>
      <c r="AI1602" s="141">
        <v>0.0</v>
      </c>
      <c r="AJ1602" s="80">
        <f t="shared" si="3"/>
        <v>405</v>
      </c>
      <c r="AK1602" s="140">
        <v>0.0</v>
      </c>
      <c r="AL1602" s="109">
        <v>0.0</v>
      </c>
      <c r="AM1602" s="141">
        <v>0.0</v>
      </c>
      <c r="AN1602" s="80">
        <f t="shared" si="4"/>
        <v>0</v>
      </c>
      <c r="AO1602" s="140">
        <v>0.0</v>
      </c>
      <c r="AP1602" s="109">
        <v>0.0</v>
      </c>
      <c r="AQ1602" s="109">
        <v>0.0</v>
      </c>
      <c r="AR1602" s="80">
        <f t="shared" si="5"/>
        <v>0</v>
      </c>
      <c r="AS1602" s="110">
        <v>0.0</v>
      </c>
      <c r="AT1602" s="110">
        <v>0.0</v>
      </c>
      <c r="AU1602" s="110">
        <v>0.0</v>
      </c>
      <c r="AV1602" s="142">
        <v>0.0</v>
      </c>
      <c r="AW1602" s="80">
        <f t="shared" si="6"/>
        <v>0</v>
      </c>
      <c r="AX1602" s="113">
        <f t="shared" si="7"/>
        <v>906</v>
      </c>
      <c r="AY1602" s="117">
        <f t="shared" si="8"/>
        <v>906</v>
      </c>
      <c r="AZ1602" s="120">
        <f t="shared" si="9"/>
        <v>0</v>
      </c>
      <c r="BA1602" s="115">
        <v>0.0</v>
      </c>
      <c r="BB1602" s="89">
        <f t="shared" si="10"/>
        <v>906</v>
      </c>
      <c r="BC1602" s="143" t="s">
        <v>1014</v>
      </c>
      <c r="BD1602" s="132" t="s">
        <v>178</v>
      </c>
      <c r="BE1602" s="132" t="s">
        <v>178</v>
      </c>
      <c r="BF1602" s="123"/>
      <c r="BG1602" s="83">
        <v>1102046.0</v>
      </c>
      <c r="BH1602" s="98" t="s">
        <v>8965</v>
      </c>
      <c r="BI1602" s="112">
        <v>16.0</v>
      </c>
      <c r="BJ1602" s="98" t="s">
        <v>155</v>
      </c>
      <c r="BK1602" s="99">
        <f t="shared" si="11"/>
        <v>0</v>
      </c>
      <c r="BL1602" s="99">
        <f t="shared" si="12"/>
        <v>906</v>
      </c>
      <c r="BM1602" s="99" t="str">
        <f>IFERROR(__xludf.DUMMYFUNCTION("IFERROR(VLOOKUP(BG1602,IMPORTRANGE(""https://docs.google.com/spreadsheets/d/1juPI-Fb8LD0YtltB2mlGEnp_R3UVu1t3wSFPzgCyHXE/edit?gid=0#gid=0"",""GERAL!A2:C""),3,0),""-"")"),"-")</f>
        <v>-</v>
      </c>
    </row>
    <row r="1603" ht="15.75" customHeight="1">
      <c r="A1603" s="111" t="s">
        <v>1785</v>
      </c>
      <c r="B1603" s="83" t="s">
        <v>1994</v>
      </c>
      <c r="C1603" s="83" t="s">
        <v>68</v>
      </c>
      <c r="D1603" s="112">
        <v>1176080.0</v>
      </c>
      <c r="E1603" s="83"/>
      <c r="F1603" s="83">
        <v>2.9182115E7</v>
      </c>
      <c r="G1603" s="119" t="s">
        <v>8972</v>
      </c>
      <c r="H1603" s="91" t="s">
        <v>8973</v>
      </c>
      <c r="I1603" s="83" t="s">
        <v>8601</v>
      </c>
      <c r="J1603" s="83" t="s">
        <v>150</v>
      </c>
      <c r="K1603" s="83" t="s">
        <v>151</v>
      </c>
      <c r="L1603" s="136" t="s">
        <v>152</v>
      </c>
      <c r="M1603" s="82" t="str">
        <f>IFERROR(__xludf.DUMMYFUNCTION("IFERROR(VLOOKUP(D1603,
IMPORTRANGE(""https://docs.google.com/spreadsheets/d/1MjHtlUikwobi2MaWJgy7tfLeBmhj1u-dRFRs_8GwSoA/edit#gid=0"",""Gestores Escolares!D7:J""),3,0),""VERIFICAR CÓD SEC"")"),"DIREÇÃO DA ESCOLA: LUIZ CARLOS DO ESPIRITO SANTO GUIMARÃES - (71) 9 8755-2578 
DIREÇÃO DA UNIDADE PM:  Tenente Coronel QOPM CLAUDIO MÁRCIO FERREIRA GUANAES MINEIRO -  (71) 9 9684-6166
DIREÇÃO DO ADJUNTO: Major Cesar Mendes - (71) 9 9988-7929")</f>
        <v>DIREÇÃO DA ESCOLA: LUIZ CARLOS DO ESPIRITO SANTO GUIMARÃES - (71) 9 8755-2578 
DIREÇÃO DA UNIDADE PM:  Tenente Coronel QOPM CLAUDIO MÁRCIO FERREIRA GUANAES MINEIRO -  (71) 9 9684-6166
DIREÇÃO DO ADJUNTO: Major Cesar Mendes - (71) 9 9988-7929</v>
      </c>
      <c r="N1603" s="82" t="str">
        <f>IFERROR(__xludf.DUMMYFUNCTION("IFERROR(VLOOKUP(D1603,
IMPORTRANGE(""https://docs.google.com/spreadsheets/d/1MjHtlUikwobi2MaWJgy7tfLeBmhj1u-dRFRs_8GwSoA/edit#gid=0"",""Gestores Escolares!D7:J""),4,0),""VERIFICAR CÓD SEC"")"),"-")</f>
        <v>-</v>
      </c>
      <c r="O1603" s="82" t="str">
        <f>IFERROR(__xludf.DUMMYFUNCTION("IFERROR(VLOOKUP(D1603,
IMPORTRANGE(""https://docs.google.com/spreadsheets/d/1MjHtlUikwobi2MaWJgy7tfLeBmhj1u-dRFRs_8GwSoA/edit#gid=0"",""Gestores Escolares!D7:J""),6,0),""VERIFICAR CÓD SEC"")"),"GUSTAVO FERNANDO FRANÇA MENEZES")</f>
        <v>GUSTAVO FERNANDO FRANÇA MENEZES</v>
      </c>
      <c r="P1603" s="82" t="str">
        <f>IFERROR(__xludf.DUMMYFUNCTION("IFERROR(VLOOKUP(D1603,
IMPORTRANGE(""https://docs.google.com/spreadsheets/d/1MjHtlUikwobi2MaWJgy7tfLeBmhj1u-dRFRs_8GwSoA/edit#gid=0"",""Gestores Escolares!D7:J""),7,0),""VERIFICAR CÓD SEC"")"),"(71) 9 8801-1959")</f>
        <v>(71) 9 8801-1959</v>
      </c>
      <c r="Q1603" s="82" t="str">
        <f>IFERROR(__xludf.DUMMYFUNCTION("IFERROR(VLOOKUP(D1603,
IMPORTRANGE(""https://docs.google.com/spreadsheets/d/1MjHtlUikwobi2MaWJgy7tfLeBmhj1u-dRFRs_8GwSoA/edit#gid=0"",""Gestores Escolares!D7:m""),9,0),""VERIFICAR CÓD SEC"")"),"")</f>
        <v/>
      </c>
      <c r="R1603" s="82" t="str">
        <f>IFERROR(__xludf.DUMMYFUNCTION("IFERROR(VLOOKUP(D1603,
IMPORTRANGE(""https://docs.google.com/spreadsheets/d/1MjHtlUikwobi2MaWJgy7tfLeBmhj1u-dRFRs_8GwSoA/edit#gid=0"",""Gestores Escolares!D7:m""),10,0),""VERIFICAR CÓD SEC"")"),"")</f>
        <v/>
      </c>
      <c r="S1603" s="82"/>
      <c r="T1603" s="138">
        <v>15.0</v>
      </c>
      <c r="U1603" s="152">
        <v>13.0</v>
      </c>
      <c r="V1603" s="106">
        <v>0.0</v>
      </c>
      <c r="W1603" s="107">
        <v>0.0</v>
      </c>
      <c r="X1603" s="107">
        <v>0.0</v>
      </c>
      <c r="Y1603" s="107">
        <v>0.0</v>
      </c>
      <c r="Z1603" s="80">
        <f t="shared" si="1"/>
        <v>0</v>
      </c>
      <c r="AA1603" s="106">
        <v>37.0</v>
      </c>
      <c r="AB1603" s="107">
        <v>384.0</v>
      </c>
      <c r="AC1603" s="107">
        <v>0.0</v>
      </c>
      <c r="AD1603" s="107">
        <v>0.0</v>
      </c>
      <c r="AE1603" s="80">
        <f t="shared" si="2"/>
        <v>421</v>
      </c>
      <c r="AF1603" s="140">
        <v>372.0</v>
      </c>
      <c r="AG1603" s="109">
        <v>0.0</v>
      </c>
      <c r="AH1603" s="109">
        <v>0.0</v>
      </c>
      <c r="AI1603" s="141">
        <v>0.0</v>
      </c>
      <c r="AJ1603" s="80">
        <f t="shared" si="3"/>
        <v>372</v>
      </c>
      <c r="AK1603" s="140">
        <v>0.0</v>
      </c>
      <c r="AL1603" s="109">
        <v>0.0</v>
      </c>
      <c r="AM1603" s="141">
        <v>0.0</v>
      </c>
      <c r="AN1603" s="80">
        <f t="shared" si="4"/>
        <v>0</v>
      </c>
      <c r="AO1603" s="140">
        <v>0.0</v>
      </c>
      <c r="AP1603" s="109">
        <v>0.0</v>
      </c>
      <c r="AQ1603" s="109">
        <v>0.0</v>
      </c>
      <c r="AR1603" s="80">
        <f t="shared" si="5"/>
        <v>0</v>
      </c>
      <c r="AS1603" s="110">
        <v>0.0</v>
      </c>
      <c r="AT1603" s="110">
        <v>0.0</v>
      </c>
      <c r="AU1603" s="110">
        <v>0.0</v>
      </c>
      <c r="AV1603" s="142">
        <v>0.0</v>
      </c>
      <c r="AW1603" s="80">
        <f t="shared" si="6"/>
        <v>0</v>
      </c>
      <c r="AX1603" s="113">
        <f t="shared" si="7"/>
        <v>793</v>
      </c>
      <c r="AY1603" s="117">
        <f t="shared" si="8"/>
        <v>793</v>
      </c>
      <c r="AZ1603" s="120">
        <f t="shared" si="9"/>
        <v>0</v>
      </c>
      <c r="BA1603" s="115">
        <v>0.0</v>
      </c>
      <c r="BB1603" s="89">
        <f t="shared" si="10"/>
        <v>793</v>
      </c>
      <c r="BC1603" s="143" t="s">
        <v>1014</v>
      </c>
      <c r="BD1603" s="132" t="s">
        <v>178</v>
      </c>
      <c r="BE1603" s="132" t="s">
        <v>178</v>
      </c>
      <c r="BF1603" s="156"/>
      <c r="BG1603" s="83">
        <v>1176080.0</v>
      </c>
      <c r="BH1603" s="98" t="s">
        <v>8974</v>
      </c>
      <c r="BI1603" s="112">
        <v>13.0</v>
      </c>
      <c r="BJ1603" s="98" t="s">
        <v>155</v>
      </c>
      <c r="BK1603" s="99">
        <f t="shared" si="11"/>
        <v>0</v>
      </c>
      <c r="BL1603" s="99">
        <f t="shared" si="12"/>
        <v>793</v>
      </c>
      <c r="BM1603" s="99" t="str">
        <f>IFERROR(__xludf.DUMMYFUNCTION("IFERROR(VLOOKUP(BG1603,IMPORTRANGE(""https://docs.google.com/spreadsheets/d/1juPI-Fb8LD0YtltB2mlGEnp_R3UVu1t3wSFPzgCyHXE/edit?gid=0#gid=0"",""GERAL!A2:C""),3,0),""-"")"),"-")</f>
        <v>-</v>
      </c>
    </row>
    <row r="1604" ht="15.75" customHeight="1">
      <c r="A1604" s="111" t="s">
        <v>1785</v>
      </c>
      <c r="B1604" s="83" t="s">
        <v>1994</v>
      </c>
      <c r="C1604" s="83" t="s">
        <v>68</v>
      </c>
      <c r="D1604" s="112">
        <v>1104650.0</v>
      </c>
      <c r="E1604" s="83"/>
      <c r="F1604" s="83">
        <v>2.9181429E7</v>
      </c>
      <c r="G1604" s="119" t="s">
        <v>8975</v>
      </c>
      <c r="H1604" s="91" t="s">
        <v>8977</v>
      </c>
      <c r="I1604" s="193" t="s">
        <v>8433</v>
      </c>
      <c r="J1604" s="83" t="s">
        <v>150</v>
      </c>
      <c r="K1604" s="83" t="s">
        <v>151</v>
      </c>
      <c r="L1604" s="83" t="s">
        <v>230</v>
      </c>
      <c r="M1604" s="82" t="str">
        <f>IFERROR(__xludf.DUMMYFUNCTION("IFERROR(VLOOKUP(D1604,
IMPORTRANGE(""https://docs.google.com/spreadsheets/d/1MjHtlUikwobi2MaWJgy7tfLeBmhj1u-dRFRs_8GwSoA/edit#gid=0"",""Gestores Escolares!D7:J""),3,0),""VERIFICAR CÓD SEC"")"),"DIREÇÃO DA ESCOLA: MARIA DO CARMO COSTA DE JESUS SANTOS - (71) 9 8881-7411 
DIREÇÃO DA UNIDADE PM: Tenente Coronel QOPM CÉSAR AUGUSTO SANTIAGO PIEDADE - (71) 9 9714-9860
DIREÇÃO DO ADJUNTO: Major QOPM GUSTAVO DA COSTA OLIVEIRA - (71) 9 8288-8604")</f>
        <v>DIREÇÃO DA ESCOLA: MARIA DO CARMO COSTA DE JESUS SANTOS - (71) 9 8881-7411 
DIREÇÃO DA UNIDADE PM: Tenente Coronel QOPM CÉSAR AUGUSTO SANTIAGO PIEDADE - (71) 9 9714-9860
DIREÇÃO DO ADJUNTO: Major QOPM GUSTAVO DA COSTA OLIVEIRA - (71) 9 8288-8604</v>
      </c>
      <c r="N1604" s="82" t="str">
        <f>IFERROR(__xludf.DUMMYFUNCTION("IFERROR(VLOOKUP(D1604,
IMPORTRANGE(""https://docs.google.com/spreadsheets/d/1MjHtlUikwobi2MaWJgy7tfLeBmhj1u-dRFRs_8GwSoA/edit#gid=0"",""Gestores Escolares!D7:J""),4,0),""VERIFICAR CÓD SEC"")"),"-")</f>
        <v>-</v>
      </c>
      <c r="O1604" s="82" t="str">
        <f>IFERROR(__xludf.DUMMYFUNCTION("IFERROR(VLOOKUP(D1604,
IMPORTRANGE(""https://docs.google.com/spreadsheets/d/1MjHtlUikwobi2MaWJgy7tfLeBmhj1u-dRFRs_8GwSoA/edit#gid=0"",""Gestores Escolares!D7:J""),6,0),""VERIFICAR CÓD SEC"")"),"ANTONIO JOSE BARRETO DE OLIVEIRA")</f>
        <v>ANTONIO JOSE BARRETO DE OLIVEIRA</v>
      </c>
      <c r="P1604" s="82" t="str">
        <f>IFERROR(__xludf.DUMMYFUNCTION("IFERROR(VLOOKUP(D1604,
IMPORTRANGE(""https://docs.google.com/spreadsheets/d/1MjHtlUikwobi2MaWJgy7tfLeBmhj1u-dRFRs_8GwSoA/edit#gid=0"",""Gestores Escolares!D7:J""),7,0),""VERIFICAR CÓD SEC"")"),"(71) 9 9938-6622")</f>
        <v>(71) 9 9938-6622</v>
      </c>
      <c r="Q1604" s="82" t="str">
        <f>IFERROR(__xludf.DUMMYFUNCTION("IFERROR(VLOOKUP(D1604,
IMPORTRANGE(""https://docs.google.com/spreadsheets/d/1MjHtlUikwobi2MaWJgy7tfLeBmhj1u-dRFRs_8GwSoA/edit#gid=0"",""Gestores Escolares!D7:m""),9,0),""VERIFICAR CÓD SEC"")"),"")</f>
        <v/>
      </c>
      <c r="R1604" s="82" t="str">
        <f>IFERROR(__xludf.DUMMYFUNCTION("IFERROR(VLOOKUP(D1604,
IMPORTRANGE(""https://docs.google.com/spreadsheets/d/1MjHtlUikwobi2MaWJgy7tfLeBmhj1u-dRFRs_8GwSoA/edit#gid=0"",""Gestores Escolares!D7:m""),10,0),""VERIFICAR CÓD SEC"")"),"")</f>
        <v/>
      </c>
      <c r="S1604" s="82"/>
      <c r="T1604" s="138">
        <v>50.0</v>
      </c>
      <c r="U1604" s="152">
        <v>53.0</v>
      </c>
      <c r="V1604" s="106">
        <v>0.0</v>
      </c>
      <c r="W1604" s="107">
        <v>0.0</v>
      </c>
      <c r="X1604" s="107">
        <v>0.0</v>
      </c>
      <c r="Y1604" s="107">
        <v>0.0</v>
      </c>
      <c r="Z1604" s="80">
        <f t="shared" si="1"/>
        <v>0</v>
      </c>
      <c r="AA1604" s="106">
        <v>503.0</v>
      </c>
      <c r="AB1604" s="107">
        <v>863.0</v>
      </c>
      <c r="AC1604" s="107">
        <v>0.0</v>
      </c>
      <c r="AD1604" s="107">
        <v>0.0</v>
      </c>
      <c r="AE1604" s="80">
        <f t="shared" si="2"/>
        <v>1366</v>
      </c>
      <c r="AF1604" s="140">
        <v>606.0</v>
      </c>
      <c r="AG1604" s="109">
        <v>0.0</v>
      </c>
      <c r="AH1604" s="109">
        <v>0.0</v>
      </c>
      <c r="AI1604" s="141">
        <v>0.0</v>
      </c>
      <c r="AJ1604" s="80">
        <f t="shared" si="3"/>
        <v>606</v>
      </c>
      <c r="AK1604" s="140">
        <v>0.0</v>
      </c>
      <c r="AL1604" s="109">
        <v>0.0</v>
      </c>
      <c r="AM1604" s="141">
        <v>0.0</v>
      </c>
      <c r="AN1604" s="80">
        <f t="shared" si="4"/>
        <v>0</v>
      </c>
      <c r="AO1604" s="140">
        <v>0.0</v>
      </c>
      <c r="AP1604" s="109">
        <v>0.0</v>
      </c>
      <c r="AQ1604" s="109">
        <v>0.0</v>
      </c>
      <c r="AR1604" s="80">
        <f t="shared" si="5"/>
        <v>0</v>
      </c>
      <c r="AS1604" s="110">
        <v>0.0</v>
      </c>
      <c r="AT1604" s="110">
        <v>0.0</v>
      </c>
      <c r="AU1604" s="110">
        <v>0.0</v>
      </c>
      <c r="AV1604" s="142">
        <v>0.0</v>
      </c>
      <c r="AW1604" s="80">
        <f t="shared" si="6"/>
        <v>0</v>
      </c>
      <c r="AX1604" s="113">
        <f t="shared" si="7"/>
        <v>1972</v>
      </c>
      <c r="AY1604" s="117">
        <f t="shared" si="8"/>
        <v>1972</v>
      </c>
      <c r="AZ1604" s="120">
        <f t="shared" si="9"/>
        <v>0</v>
      </c>
      <c r="BA1604" s="115">
        <v>0.0</v>
      </c>
      <c r="BB1604" s="89">
        <f t="shared" si="10"/>
        <v>1972</v>
      </c>
      <c r="BC1604" s="143" t="s">
        <v>1014</v>
      </c>
      <c r="BD1604" s="132" t="s">
        <v>178</v>
      </c>
      <c r="BE1604" s="132" t="s">
        <v>178</v>
      </c>
      <c r="BF1604" s="123"/>
      <c r="BG1604" s="83">
        <v>1104650.0</v>
      </c>
      <c r="BH1604" s="98" t="s">
        <v>8978</v>
      </c>
      <c r="BI1604" s="112">
        <v>53.0</v>
      </c>
      <c r="BJ1604" s="98" t="s">
        <v>155</v>
      </c>
      <c r="BK1604" s="99">
        <f t="shared" si="11"/>
        <v>0</v>
      </c>
      <c r="BL1604" s="99">
        <f t="shared" si="12"/>
        <v>1972</v>
      </c>
      <c r="BM1604" s="99" t="str">
        <f>IFERROR(__xludf.DUMMYFUNCTION("IFERROR(VLOOKUP(BG1604,IMPORTRANGE(""https://docs.google.com/spreadsheets/d/1juPI-Fb8LD0YtltB2mlGEnp_R3UVu1t3wSFPzgCyHXE/edit?gid=0#gid=0"",""GERAL!A2:C""),3,0),""-"")"),"-")</f>
        <v>-</v>
      </c>
    </row>
    <row r="1605" ht="15.75" customHeight="1">
      <c r="A1605" s="111" t="s">
        <v>1785</v>
      </c>
      <c r="B1605" s="83" t="s">
        <v>1994</v>
      </c>
      <c r="C1605" s="83" t="s">
        <v>68</v>
      </c>
      <c r="D1605" s="112">
        <v>1179208.0</v>
      </c>
      <c r="E1605" s="83"/>
      <c r="F1605" s="83">
        <v>2.9460026E7</v>
      </c>
      <c r="G1605" s="114" t="s">
        <v>8986</v>
      </c>
      <c r="H1605" s="91" t="s">
        <v>8987</v>
      </c>
      <c r="I1605" s="136" t="s">
        <v>8820</v>
      </c>
      <c r="J1605" s="83" t="s">
        <v>150</v>
      </c>
      <c r="K1605" s="83" t="s">
        <v>151</v>
      </c>
      <c r="L1605" s="136" t="s">
        <v>230</v>
      </c>
      <c r="M1605" s="82" t="str">
        <f>IFERROR(__xludf.DUMMYFUNCTION("IFERROR(VLOOKUP(D1605,
IMPORTRANGE(""https://docs.google.com/spreadsheets/d/1MjHtlUikwobi2MaWJgy7tfLeBmhj1u-dRFRs_8GwSoA/edit#gid=0"",""Gestores Escolares!D7:J""),3,0),""VERIFICAR CÓD SEC"")"),"ISABEL CRISTINA DAS VIRGENS")</f>
        <v>ISABEL CRISTINA DAS VIRGENS</v>
      </c>
      <c r="N1605" s="82" t="str">
        <f>IFERROR(__xludf.DUMMYFUNCTION("IFERROR(VLOOKUP(D1605,
IMPORTRANGE(""https://docs.google.com/spreadsheets/d/1MjHtlUikwobi2MaWJgy7tfLeBmhj1u-dRFRs_8GwSoA/edit#gid=0"",""Gestores Escolares!D7:J""),4,0),""VERIFICAR CÓD SEC"")"),"(71) 9 8844-3725/9 9123-9224")</f>
        <v>(71) 9 8844-3725/9 9123-9224</v>
      </c>
      <c r="O1605" s="82" t="str">
        <f>IFERROR(__xludf.DUMMYFUNCTION("IFERROR(VLOOKUP(D1605,
IMPORTRANGE(""https://docs.google.com/spreadsheets/d/1MjHtlUikwobi2MaWJgy7tfLeBmhj1u-dRFRs_8GwSoA/edit#gid=0"",""Gestores Escolares!D7:J""),6,0),""VERIFICAR CÓD SEC"")"),"RICARDO FERNANDES DE SOUZA")</f>
        <v>RICARDO FERNANDES DE SOUZA</v>
      </c>
      <c r="P1605" s="82" t="str">
        <f>IFERROR(__xludf.DUMMYFUNCTION("IFERROR(VLOOKUP(D1605,
IMPORTRANGE(""https://docs.google.com/spreadsheets/d/1MjHtlUikwobi2MaWJgy7tfLeBmhj1u-dRFRs_8GwSoA/edit#gid=0"",""Gestores Escolares!D7:J""),7,0),""VERIFICAR CÓD SEC"")"),"(71) 9 9131-0059 ")</f>
        <v>(71) 9 9131-0059 </v>
      </c>
      <c r="Q1605" s="82" t="str">
        <f>IFERROR(__xludf.DUMMYFUNCTION("IFERROR(VLOOKUP(D1605,
IMPORTRANGE(""https://docs.google.com/spreadsheets/d/1MjHtlUikwobi2MaWJgy7tfLeBmhj1u-dRFRs_8GwSoA/edit#gid=0"",""Gestores Escolares!D7:m""),9,0),""VERIFICAR CÓD SEC"")"),"")</f>
        <v/>
      </c>
      <c r="R1605" s="82" t="str">
        <f>IFERROR(__xludf.DUMMYFUNCTION("IFERROR(VLOOKUP(D1605,
IMPORTRANGE(""https://docs.google.com/spreadsheets/d/1MjHtlUikwobi2MaWJgy7tfLeBmhj1u-dRFRs_8GwSoA/edit#gid=0"",""Gestores Escolares!D7:m""),10,0),""VERIFICAR CÓD SEC"")"),"")</f>
        <v/>
      </c>
      <c r="S1605" s="82"/>
      <c r="T1605" s="138" t="s">
        <v>171</v>
      </c>
      <c r="U1605" s="152" t="s">
        <v>171</v>
      </c>
      <c r="V1605" s="106">
        <v>0.0</v>
      </c>
      <c r="W1605" s="107">
        <v>0.0</v>
      </c>
      <c r="X1605" s="107">
        <v>0.0</v>
      </c>
      <c r="Y1605" s="107">
        <v>0.0</v>
      </c>
      <c r="Z1605" s="80">
        <f t="shared" si="1"/>
        <v>0</v>
      </c>
      <c r="AA1605" s="106">
        <v>0.0</v>
      </c>
      <c r="AB1605" s="107">
        <v>0.0</v>
      </c>
      <c r="AC1605" s="107">
        <v>0.0</v>
      </c>
      <c r="AD1605" s="107">
        <v>0.0</v>
      </c>
      <c r="AE1605" s="80">
        <f t="shared" si="2"/>
        <v>0</v>
      </c>
      <c r="AF1605" s="140">
        <v>0.0</v>
      </c>
      <c r="AG1605" s="109">
        <v>0.0</v>
      </c>
      <c r="AH1605" s="109">
        <v>0.0</v>
      </c>
      <c r="AI1605" s="141">
        <v>0.0</v>
      </c>
      <c r="AJ1605" s="80">
        <f t="shared" si="3"/>
        <v>0</v>
      </c>
      <c r="AK1605" s="140">
        <v>0.0</v>
      </c>
      <c r="AL1605" s="109">
        <v>0.0</v>
      </c>
      <c r="AM1605" s="141">
        <v>0.0</v>
      </c>
      <c r="AN1605" s="80">
        <f t="shared" si="4"/>
        <v>0</v>
      </c>
      <c r="AO1605" s="140">
        <v>0.0</v>
      </c>
      <c r="AP1605" s="109">
        <v>0.0</v>
      </c>
      <c r="AQ1605" s="109">
        <v>0.0</v>
      </c>
      <c r="AR1605" s="80">
        <f t="shared" si="5"/>
        <v>0</v>
      </c>
      <c r="AS1605" s="110">
        <v>0.0</v>
      </c>
      <c r="AT1605" s="110">
        <v>0.0</v>
      </c>
      <c r="AU1605" s="110">
        <v>0.0</v>
      </c>
      <c r="AV1605" s="142">
        <v>0.0</v>
      </c>
      <c r="AW1605" s="80">
        <f t="shared" si="6"/>
        <v>0</v>
      </c>
      <c r="AX1605" s="113">
        <f t="shared" si="7"/>
        <v>0</v>
      </c>
      <c r="AY1605" s="117">
        <f t="shared" si="8"/>
        <v>0</v>
      </c>
      <c r="AZ1605" s="120">
        <f t="shared" si="9"/>
        <v>0</v>
      </c>
      <c r="BA1605" s="168">
        <v>0.0</v>
      </c>
      <c r="BB1605" s="89">
        <f t="shared" si="10"/>
        <v>0</v>
      </c>
      <c r="BC1605" s="143" t="s">
        <v>547</v>
      </c>
      <c r="BD1605" s="143" t="s">
        <v>547</v>
      </c>
      <c r="BE1605" s="132" t="s">
        <v>178</v>
      </c>
      <c r="BF1605" s="123"/>
      <c r="BG1605" s="83">
        <v>1179208.0</v>
      </c>
      <c r="BH1605" s="98" t="s">
        <v>8988</v>
      </c>
      <c r="BI1605" s="112">
        <v>0.0</v>
      </c>
      <c r="BJ1605" s="98" t="s">
        <v>155</v>
      </c>
      <c r="BK1605" s="99">
        <f t="shared" si="11"/>
        <v>0</v>
      </c>
      <c r="BL1605" s="99">
        <f t="shared" si="12"/>
        <v>0</v>
      </c>
      <c r="BM1605" s="99" t="str">
        <f>IFERROR(__xludf.DUMMYFUNCTION("IFERROR(VLOOKUP(BG1605,IMPORTRANGE(""https://docs.google.com/spreadsheets/d/1juPI-Fb8LD0YtltB2mlGEnp_R3UVu1t3wSFPzgCyHXE/edit?gid=0#gid=0"",""GERAL!A2:C""),3,0),""-"")"),"-")</f>
        <v>-</v>
      </c>
    </row>
    <row r="1606" ht="15.75" customHeight="1">
      <c r="A1606" s="111" t="s">
        <v>1785</v>
      </c>
      <c r="B1606" s="172" t="s">
        <v>1994</v>
      </c>
      <c r="C1606" s="83" t="s">
        <v>68</v>
      </c>
      <c r="D1606" s="112">
        <v>1104693.0</v>
      </c>
      <c r="E1606" s="83"/>
      <c r="F1606" s="83">
        <v>2.9181631E7</v>
      </c>
      <c r="G1606" s="384" t="s">
        <v>8989</v>
      </c>
      <c r="H1606" s="91" t="s">
        <v>8990</v>
      </c>
      <c r="I1606" s="83" t="s">
        <v>8133</v>
      </c>
      <c r="J1606" s="83" t="s">
        <v>150</v>
      </c>
      <c r="K1606" s="83" t="s">
        <v>151</v>
      </c>
      <c r="L1606" s="98" t="s">
        <v>230</v>
      </c>
      <c r="M1606" s="82" t="str">
        <f>IFERROR(__xludf.DUMMYFUNCTION("IFERROR(VLOOKUP(D1606,
IMPORTRANGE(""https://docs.google.com/spreadsheets/d/1MjHtlUikwobi2MaWJgy7tfLeBmhj1u-dRFRs_8GwSoA/edit#gid=0"",""Gestores Escolares!D7:J""),3,0),""VERIFICAR CÓD SEC"")"),"CAETANO CUPOLO DO SACRAMENTO")</f>
        <v>CAETANO CUPOLO DO SACRAMENTO</v>
      </c>
      <c r="N1606" s="82" t="str">
        <f>IFERROR(__xludf.DUMMYFUNCTION("IFERROR(VLOOKUP(D1606,
IMPORTRANGE(""https://docs.google.com/spreadsheets/d/1MjHtlUikwobi2MaWJgy7tfLeBmhj1u-dRFRs_8GwSoA/edit#gid=0"",""Gestores Escolares!D7:J""),4,0),""VERIFICAR CÓD SEC"")"),"(73) 9 9923-0511")</f>
        <v>(73) 9 9923-0511</v>
      </c>
      <c r="O1606" s="82" t="str">
        <f>IFERROR(__xludf.DUMMYFUNCTION("IFERROR(VLOOKUP(D1606,
IMPORTRANGE(""https://docs.google.com/spreadsheets/d/1MjHtlUikwobi2MaWJgy7tfLeBmhj1u-dRFRs_8GwSoA/edit#gid=0"",""Gestores Escolares!D7:J""),6,0),""VERIFICAR CÓD SEC"")"),"SANDRA INES PINHO DOS SANTOS")</f>
        <v>SANDRA INES PINHO DOS SANTOS</v>
      </c>
      <c r="P1606" s="82" t="str">
        <f>IFERROR(__xludf.DUMMYFUNCTION("IFERROR(VLOOKUP(D1606,
IMPORTRANGE(""https://docs.google.com/spreadsheets/d/1MjHtlUikwobi2MaWJgy7tfLeBmhj1u-dRFRs_8GwSoA/edit#gid=0"",""Gestores Escolares!D7:J""),7,0),""VERIFICAR CÓD SEC"")"),"(71) 9 9609-3190")</f>
        <v>(71) 9 9609-3190</v>
      </c>
      <c r="Q1606" s="82" t="str">
        <f>IFERROR(__xludf.DUMMYFUNCTION("IFERROR(VLOOKUP(D1606,
IMPORTRANGE(""https://docs.google.com/spreadsheets/d/1MjHtlUikwobi2MaWJgy7tfLeBmhj1u-dRFRs_8GwSoA/edit#gid=0"",""Gestores Escolares!D7:m""),9,0),""VERIFICAR CÓD SEC"")"),"OLDEMAR SANTOS GALVAO")</f>
        <v>OLDEMAR SANTOS GALVAO</v>
      </c>
      <c r="R1606" s="82" t="str">
        <f>IFERROR(__xludf.DUMMYFUNCTION("IFERROR(VLOOKUP(D1606,
IMPORTRANGE(""https://docs.google.com/spreadsheets/d/1MjHtlUikwobi2MaWJgy7tfLeBmhj1u-dRFRs_8GwSoA/edit#gid=0"",""Gestores Escolares!D7:m""),10,0),""VERIFICAR CÓD SEC"")"),"(71) 9 8243-3171")</f>
        <v>(71) 9 8243-3171</v>
      </c>
      <c r="S1606" s="82"/>
      <c r="T1606" s="138">
        <v>17.0</v>
      </c>
      <c r="U1606" s="217">
        <v>42.0</v>
      </c>
      <c r="V1606" s="106">
        <v>0.0</v>
      </c>
      <c r="W1606" s="107">
        <v>0.0</v>
      </c>
      <c r="X1606" s="107">
        <v>0.0</v>
      </c>
      <c r="Y1606" s="107">
        <v>0.0</v>
      </c>
      <c r="Z1606" s="80">
        <f t="shared" si="1"/>
        <v>0</v>
      </c>
      <c r="AA1606" s="106">
        <v>0.0</v>
      </c>
      <c r="AB1606" s="107">
        <v>0.0</v>
      </c>
      <c r="AC1606" s="107">
        <v>0.0</v>
      </c>
      <c r="AD1606" s="107">
        <v>0.0</v>
      </c>
      <c r="AE1606" s="80">
        <f t="shared" si="2"/>
        <v>0</v>
      </c>
      <c r="AF1606" s="140">
        <v>0.0</v>
      </c>
      <c r="AG1606" s="109">
        <v>0.0</v>
      </c>
      <c r="AH1606" s="109">
        <v>0.0</v>
      </c>
      <c r="AI1606" s="141">
        <v>370.0</v>
      </c>
      <c r="AJ1606" s="80">
        <f t="shared" si="3"/>
        <v>370</v>
      </c>
      <c r="AK1606" s="140">
        <v>0.0</v>
      </c>
      <c r="AL1606" s="109">
        <v>0.0</v>
      </c>
      <c r="AM1606" s="141">
        <v>0.0</v>
      </c>
      <c r="AN1606" s="80">
        <f t="shared" si="4"/>
        <v>0</v>
      </c>
      <c r="AO1606" s="140">
        <v>0.0</v>
      </c>
      <c r="AP1606" s="109">
        <v>0.0</v>
      </c>
      <c r="AQ1606" s="109">
        <v>0.0</v>
      </c>
      <c r="AR1606" s="80">
        <f t="shared" si="5"/>
        <v>0</v>
      </c>
      <c r="AS1606" s="110">
        <v>81.0</v>
      </c>
      <c r="AT1606" s="110">
        <v>53.0</v>
      </c>
      <c r="AU1606" s="110">
        <v>760.0</v>
      </c>
      <c r="AV1606" s="142">
        <v>418.0</v>
      </c>
      <c r="AW1606" s="80">
        <f t="shared" si="6"/>
        <v>1312</v>
      </c>
      <c r="AX1606" s="113">
        <f t="shared" si="7"/>
        <v>1682</v>
      </c>
      <c r="AY1606" s="117">
        <f t="shared" si="8"/>
        <v>922</v>
      </c>
      <c r="AZ1606" s="120">
        <f t="shared" si="9"/>
        <v>760</v>
      </c>
      <c r="BA1606" s="115">
        <v>2.0</v>
      </c>
      <c r="BB1606" s="89">
        <f t="shared" si="10"/>
        <v>1684</v>
      </c>
      <c r="BC1606" s="132" t="s">
        <v>178</v>
      </c>
      <c r="BD1606" s="132" t="s">
        <v>13417</v>
      </c>
      <c r="BE1606" s="132" t="s">
        <v>178</v>
      </c>
      <c r="BF1606" s="123"/>
      <c r="BG1606" s="83">
        <v>1104693.0</v>
      </c>
      <c r="BH1606" s="98" t="s">
        <v>8993</v>
      </c>
      <c r="BI1606" s="112">
        <v>42.0</v>
      </c>
      <c r="BJ1606" s="98" t="s">
        <v>162</v>
      </c>
      <c r="BK1606" s="99">
        <f t="shared" si="11"/>
        <v>788</v>
      </c>
      <c r="BL1606" s="99">
        <f t="shared" si="12"/>
        <v>134</v>
      </c>
      <c r="BM1606" s="99" t="str">
        <f>IFERROR(__xludf.DUMMYFUNCTION("IFERROR(VLOOKUP(BG1606,IMPORTRANGE(""https://docs.google.com/spreadsheets/d/1juPI-Fb8LD0YtltB2mlGEnp_R3UVu1t3wSFPzgCyHXE/edit?gid=0#gid=0"",""GERAL!A2:C""),3,0),""-"")"),"-")</f>
        <v>-</v>
      </c>
    </row>
    <row r="1607" ht="15.75" customHeight="1">
      <c r="A1607" s="111" t="s">
        <v>1785</v>
      </c>
      <c r="B1607" s="83" t="s">
        <v>1994</v>
      </c>
      <c r="C1607" s="83" t="s">
        <v>68</v>
      </c>
      <c r="D1607" s="112">
        <v>1103778.0</v>
      </c>
      <c r="E1607" s="83"/>
      <c r="F1607" s="83">
        <v>2.9199387E7</v>
      </c>
      <c r="G1607" s="114" t="s">
        <v>8997</v>
      </c>
      <c r="H1607" s="91" t="s">
        <v>8999</v>
      </c>
      <c r="I1607" s="83" t="s">
        <v>9000</v>
      </c>
      <c r="J1607" s="83" t="s">
        <v>150</v>
      </c>
      <c r="K1607" s="83" t="s">
        <v>151</v>
      </c>
      <c r="L1607" s="136" t="s">
        <v>230</v>
      </c>
      <c r="M1607" s="82" t="str">
        <f>IFERROR(__xludf.DUMMYFUNCTION("IFERROR(VLOOKUP(D1607,
IMPORTRANGE(""https://docs.google.com/spreadsheets/d/1MjHtlUikwobi2MaWJgy7tfLeBmhj1u-dRFRs_8GwSoA/edit#gid=0"",""Gestores Escolares!D7:J""),3,0),""VERIFICAR CÓD SEC"")"),"MARIBEL COSTA SILVA")</f>
        <v>MARIBEL COSTA SILVA</v>
      </c>
      <c r="N1607" s="82" t="str">
        <f>IFERROR(__xludf.DUMMYFUNCTION("IFERROR(VLOOKUP(D1607,
IMPORTRANGE(""https://docs.google.com/spreadsheets/d/1MjHtlUikwobi2MaWJgy7tfLeBmhj1u-dRFRs_8GwSoA/edit#gid=0"",""Gestores Escolares!D7:J""),4,0),""VERIFICAR CÓD SEC"")"),"(71) 9 8730-1975")</f>
        <v>(71) 9 8730-1975</v>
      </c>
      <c r="O1607" s="82" t="str">
        <f>IFERROR(__xludf.DUMMYFUNCTION("IFERROR(VLOOKUP(D1607,
IMPORTRANGE(""https://docs.google.com/spreadsheets/d/1MjHtlUikwobi2MaWJgy7tfLeBmhj1u-dRFRs_8GwSoA/edit#gid=0"",""Gestores Escolares!D7:J""),6,0),""VERIFICAR CÓD SEC"")"),"MARIANGELA BARRETO SANTOS FREITAS")</f>
        <v>MARIANGELA BARRETO SANTOS FREITAS</v>
      </c>
      <c r="P1607" s="82" t="str">
        <f>IFERROR(__xludf.DUMMYFUNCTION("IFERROR(VLOOKUP(D1607,
IMPORTRANGE(""https://docs.google.com/spreadsheets/d/1MjHtlUikwobi2MaWJgy7tfLeBmhj1u-dRFRs_8GwSoA/edit#gid=0"",""Gestores Escolares!D7:J""),7,0),""VERIFICAR CÓD SEC"")"),"(75) 9 8837-2208 ")</f>
        <v>(75) 9 8837-2208 </v>
      </c>
      <c r="Q1607" s="82" t="str">
        <f>IFERROR(__xludf.DUMMYFUNCTION("IFERROR(VLOOKUP(D1607,
IMPORTRANGE(""https://docs.google.com/spreadsheets/d/1MjHtlUikwobi2MaWJgy7tfLeBmhj1u-dRFRs_8GwSoA/edit#gid=0"",""Gestores Escolares!D7:m""),9,0),""VERIFICAR CÓD SEC"")"),"IVONE ROCHA TEIXEIRA")</f>
        <v>IVONE ROCHA TEIXEIRA</v>
      </c>
      <c r="R1607" s="82" t="str">
        <f>IFERROR(__xludf.DUMMYFUNCTION("IFERROR(VLOOKUP(D1607,
IMPORTRANGE(""https://docs.google.com/spreadsheets/d/1MjHtlUikwobi2MaWJgy7tfLeBmhj1u-dRFRs_8GwSoA/edit#gid=0"",""Gestores Escolares!D7:m""),10,0),""VERIFICAR CÓD SEC"")"),"(71) 9 9913-9769")</f>
        <v>(71) 9 9913-9769</v>
      </c>
      <c r="S1607" s="82"/>
      <c r="T1607" s="138">
        <v>45.0</v>
      </c>
      <c r="U1607" s="217">
        <v>60.0</v>
      </c>
      <c r="V1607" s="106">
        <v>0.0</v>
      </c>
      <c r="W1607" s="107">
        <v>0.0</v>
      </c>
      <c r="X1607" s="107">
        <v>0.0</v>
      </c>
      <c r="Y1607" s="107">
        <v>0.0</v>
      </c>
      <c r="Z1607" s="80">
        <f t="shared" si="1"/>
        <v>0</v>
      </c>
      <c r="AA1607" s="106">
        <v>0.0</v>
      </c>
      <c r="AB1607" s="107">
        <v>0.0</v>
      </c>
      <c r="AC1607" s="107">
        <v>0.0</v>
      </c>
      <c r="AD1607" s="107">
        <v>0.0</v>
      </c>
      <c r="AE1607" s="80">
        <f t="shared" si="2"/>
        <v>0</v>
      </c>
      <c r="AF1607" s="140">
        <v>0.0</v>
      </c>
      <c r="AG1607" s="109">
        <v>0.0</v>
      </c>
      <c r="AH1607" s="109">
        <v>0.0</v>
      </c>
      <c r="AI1607" s="141">
        <v>0.0</v>
      </c>
      <c r="AJ1607" s="80">
        <f t="shared" si="3"/>
        <v>0</v>
      </c>
      <c r="AK1607" s="140">
        <v>0.0</v>
      </c>
      <c r="AL1607" s="109">
        <v>0.0</v>
      </c>
      <c r="AM1607" s="141">
        <v>0.0</v>
      </c>
      <c r="AN1607" s="80">
        <f t="shared" si="4"/>
        <v>0</v>
      </c>
      <c r="AO1607" s="140">
        <v>0.0</v>
      </c>
      <c r="AP1607" s="109">
        <v>0.0</v>
      </c>
      <c r="AQ1607" s="109">
        <v>0.0</v>
      </c>
      <c r="AR1607" s="80">
        <f t="shared" si="5"/>
        <v>0</v>
      </c>
      <c r="AS1607" s="110">
        <v>771.0</v>
      </c>
      <c r="AT1607" s="110">
        <v>266.0</v>
      </c>
      <c r="AU1607" s="110">
        <v>500.0</v>
      </c>
      <c r="AV1607" s="142">
        <v>0.0</v>
      </c>
      <c r="AW1607" s="80">
        <f t="shared" si="6"/>
        <v>1537</v>
      </c>
      <c r="AX1607" s="113">
        <f t="shared" si="7"/>
        <v>1537</v>
      </c>
      <c r="AY1607" s="117">
        <f t="shared" si="8"/>
        <v>1037</v>
      </c>
      <c r="AZ1607" s="120">
        <f t="shared" si="9"/>
        <v>500</v>
      </c>
      <c r="BA1607" s="115">
        <v>0.0</v>
      </c>
      <c r="BB1607" s="89">
        <f t="shared" si="10"/>
        <v>1537</v>
      </c>
      <c r="BC1607" s="132" t="s">
        <v>178</v>
      </c>
      <c r="BD1607" s="132" t="s">
        <v>779</v>
      </c>
      <c r="BE1607" s="132" t="s">
        <v>178</v>
      </c>
      <c r="BF1607" s="123"/>
      <c r="BG1607" s="83">
        <v>1103778.0</v>
      </c>
      <c r="BH1607" s="98" t="s">
        <v>9001</v>
      </c>
      <c r="BI1607" s="112">
        <v>29.0</v>
      </c>
      <c r="BJ1607" s="98" t="s">
        <v>155</v>
      </c>
      <c r="BK1607" s="99">
        <f t="shared" si="11"/>
        <v>0</v>
      </c>
      <c r="BL1607" s="99">
        <f t="shared" si="12"/>
        <v>1037</v>
      </c>
      <c r="BM1607" s="99" t="str">
        <f>IFERROR(__xludf.DUMMYFUNCTION("IFERROR(VLOOKUP(BG1607,IMPORTRANGE(""https://docs.google.com/spreadsheets/d/1juPI-Fb8LD0YtltB2mlGEnp_R3UVu1t3wSFPzgCyHXE/edit?gid=0#gid=0"",""GERAL!A2:C""),3,0),""-"")"),"-")</f>
        <v>-</v>
      </c>
    </row>
    <row r="1608" ht="15.75" customHeight="1">
      <c r="A1608" s="111" t="s">
        <v>1785</v>
      </c>
      <c r="B1608" s="83" t="s">
        <v>1994</v>
      </c>
      <c r="C1608" s="83" t="s">
        <v>68</v>
      </c>
      <c r="D1608" s="112">
        <v>1178323.0</v>
      </c>
      <c r="E1608" s="83"/>
      <c r="F1608" s="83">
        <v>2.9882729E7</v>
      </c>
      <c r="G1608" s="114" t="s">
        <v>9003</v>
      </c>
      <c r="H1608" s="91" t="s">
        <v>9004</v>
      </c>
      <c r="I1608" s="83" t="s">
        <v>9005</v>
      </c>
      <c r="J1608" s="83" t="s">
        <v>150</v>
      </c>
      <c r="K1608" s="83" t="s">
        <v>168</v>
      </c>
      <c r="L1608" s="136" t="s">
        <v>230</v>
      </c>
      <c r="M1608" s="82" t="str">
        <f>IFERROR(__xludf.DUMMYFUNCTION("IFERROR(VLOOKUP(D1608,
IMPORTRANGE(""https://docs.google.com/spreadsheets/d/1MjHtlUikwobi2MaWJgy7tfLeBmhj1u-dRFRs_8GwSoA/edit#gid=0"",""Gestores Escolares!D7:J""),3,0),""VERIFICAR CÓD SEC"")")," ILINALVA DAS VIRGENS FRANCA PEREIRA")</f>
        <v> ILINALVA DAS VIRGENS FRANCA PEREIRA</v>
      </c>
      <c r="N1608" s="82" t="str">
        <f>IFERROR(__xludf.DUMMYFUNCTION("IFERROR(VLOOKUP(D1608,
IMPORTRANGE(""https://docs.google.com/spreadsheets/d/1MjHtlUikwobi2MaWJgy7tfLeBmhj1u-dRFRs_8GwSoA/edit#gid=0"",""Gestores Escolares!D7:J""),4,0),""VERIFICAR CÓD SEC"")"),"(71) 9 8108-0590")</f>
        <v>(71) 9 8108-0590</v>
      </c>
      <c r="O1608" s="82" t="str">
        <f>IFERROR(__xludf.DUMMYFUNCTION("IFERROR(VLOOKUP(D1608,
IMPORTRANGE(""https://docs.google.com/spreadsheets/d/1MjHtlUikwobi2MaWJgy7tfLeBmhj1u-dRFRs_8GwSoA/edit#gid=0"",""Gestores Escolares!D7:J""),6,0),""VERIFICAR CÓD SEC"")"),"ARIEDALVA LOPES DE BRITO")</f>
        <v>ARIEDALVA LOPES DE BRITO</v>
      </c>
      <c r="P1608" s="82" t="str">
        <f>IFERROR(__xludf.DUMMYFUNCTION("IFERROR(VLOOKUP(D1608,
IMPORTRANGE(""https://docs.google.com/spreadsheets/d/1MjHtlUikwobi2MaWJgy7tfLeBmhj1u-dRFRs_8GwSoA/edit#gid=0"",""Gestores Escolares!D7:J""),7,0),""VERIFICAR CÓD SEC"")"),"(71) 9 9104-7919")</f>
        <v>(71) 9 9104-7919</v>
      </c>
      <c r="Q1608" s="82" t="str">
        <f>IFERROR(__xludf.DUMMYFUNCTION("IFERROR(VLOOKUP(D1608,
IMPORTRANGE(""https://docs.google.com/spreadsheets/d/1MjHtlUikwobi2MaWJgy7tfLeBmhj1u-dRFRs_8GwSoA/edit#gid=0"",""Gestores Escolares!D7:m""),9,0),""VERIFICAR CÓD SEC"")")," RAFAEL COPELLO")</f>
        <v> RAFAEL COPELLO</v>
      </c>
      <c r="R1608" s="82" t="str">
        <f>IFERROR(__xludf.DUMMYFUNCTION("IFERROR(VLOOKUP(D1608,
IMPORTRANGE(""https://docs.google.com/spreadsheets/d/1MjHtlUikwobi2MaWJgy7tfLeBmhj1u-dRFRs_8GwSoA/edit#gid=0"",""Gestores Escolares!D7:m""),10,0),""VERIFICAR CÓD SEC"")"),"(71) 9 9178-7724")</f>
        <v>(71) 9 9178-7724</v>
      </c>
      <c r="S1608" s="82"/>
      <c r="T1608" s="138">
        <v>30.0</v>
      </c>
      <c r="U1608" s="152">
        <v>20.0</v>
      </c>
      <c r="V1608" s="106">
        <v>0.0</v>
      </c>
      <c r="W1608" s="107">
        <v>0.0</v>
      </c>
      <c r="X1608" s="107">
        <v>0.0</v>
      </c>
      <c r="Y1608" s="107">
        <v>0.0</v>
      </c>
      <c r="Z1608" s="80">
        <f t="shared" si="1"/>
        <v>0</v>
      </c>
      <c r="AA1608" s="106">
        <v>0.0</v>
      </c>
      <c r="AB1608" s="107">
        <v>0.0</v>
      </c>
      <c r="AC1608" s="107">
        <v>0.0</v>
      </c>
      <c r="AD1608" s="107">
        <v>0.0</v>
      </c>
      <c r="AE1608" s="80">
        <f t="shared" si="2"/>
        <v>0</v>
      </c>
      <c r="AF1608" s="140">
        <v>0.0</v>
      </c>
      <c r="AG1608" s="109">
        <v>0.0</v>
      </c>
      <c r="AH1608" s="109">
        <v>0.0</v>
      </c>
      <c r="AI1608" s="141">
        <v>0.0</v>
      </c>
      <c r="AJ1608" s="80">
        <f t="shared" si="3"/>
        <v>0</v>
      </c>
      <c r="AK1608" s="140">
        <v>0.0</v>
      </c>
      <c r="AL1608" s="109">
        <v>0.0</v>
      </c>
      <c r="AM1608" s="141">
        <v>0.0</v>
      </c>
      <c r="AN1608" s="80">
        <f t="shared" si="4"/>
        <v>0</v>
      </c>
      <c r="AO1608" s="140">
        <v>0.0</v>
      </c>
      <c r="AP1608" s="109">
        <v>0.0</v>
      </c>
      <c r="AQ1608" s="109">
        <v>0.0</v>
      </c>
      <c r="AR1608" s="80">
        <f t="shared" si="5"/>
        <v>0</v>
      </c>
      <c r="AS1608" s="110">
        <v>68.0</v>
      </c>
      <c r="AT1608" s="110">
        <v>247.0</v>
      </c>
      <c r="AU1608" s="110">
        <v>329.0</v>
      </c>
      <c r="AV1608" s="142">
        <v>0.0</v>
      </c>
      <c r="AW1608" s="80">
        <f t="shared" si="6"/>
        <v>644</v>
      </c>
      <c r="AX1608" s="113">
        <f t="shared" si="7"/>
        <v>644</v>
      </c>
      <c r="AY1608" s="117">
        <f t="shared" si="8"/>
        <v>315</v>
      </c>
      <c r="AZ1608" s="120">
        <f t="shared" si="9"/>
        <v>329</v>
      </c>
      <c r="BA1608" s="115">
        <v>2.0</v>
      </c>
      <c r="BB1608" s="89">
        <f t="shared" si="10"/>
        <v>646</v>
      </c>
      <c r="BC1608" s="132" t="s">
        <v>178</v>
      </c>
      <c r="BD1608" s="132" t="s">
        <v>779</v>
      </c>
      <c r="BE1608" s="132" t="s">
        <v>178</v>
      </c>
      <c r="BF1608" s="123"/>
      <c r="BG1608" s="83">
        <v>1178323.0</v>
      </c>
      <c r="BH1608" s="98" t="s">
        <v>9006</v>
      </c>
      <c r="BI1608" s="112">
        <v>20.0</v>
      </c>
      <c r="BJ1608" s="98" t="s">
        <v>155</v>
      </c>
      <c r="BK1608" s="99">
        <f t="shared" si="11"/>
        <v>0</v>
      </c>
      <c r="BL1608" s="99">
        <f t="shared" si="12"/>
        <v>315</v>
      </c>
      <c r="BM1608" s="99" t="str">
        <f>IFERROR(__xludf.DUMMYFUNCTION("IFERROR(VLOOKUP(BG1608,IMPORTRANGE(""https://docs.google.com/spreadsheets/d/1juPI-Fb8LD0YtltB2mlGEnp_R3UVu1t3wSFPzgCyHXE/edit?gid=0#gid=0"",""GERAL!A2:C""),3,0),""-"")"),"-")</f>
        <v>-</v>
      </c>
    </row>
    <row r="1609" ht="15.75" customHeight="1">
      <c r="A1609" s="111" t="s">
        <v>1785</v>
      </c>
      <c r="B1609" s="83" t="s">
        <v>1994</v>
      </c>
      <c r="C1609" s="83" t="s">
        <v>68</v>
      </c>
      <c r="D1609" s="112">
        <v>1102186.0</v>
      </c>
      <c r="E1609" s="83"/>
      <c r="F1609" s="83">
        <v>2.919119E7</v>
      </c>
      <c r="G1609" s="119" t="s">
        <v>2530</v>
      </c>
      <c r="H1609" s="91" t="s">
        <v>9007</v>
      </c>
      <c r="I1609" s="83" t="s">
        <v>9008</v>
      </c>
      <c r="J1609" s="83" t="s">
        <v>150</v>
      </c>
      <c r="K1609" s="83" t="s">
        <v>151</v>
      </c>
      <c r="L1609" s="83" t="s">
        <v>230</v>
      </c>
      <c r="M1609" s="82" t="str">
        <f>IFERROR(__xludf.DUMMYFUNCTION("IFERROR(VLOOKUP(D1609,
IMPORTRANGE(""https://docs.google.com/spreadsheets/d/1MjHtlUikwobi2MaWJgy7tfLeBmhj1u-dRFRs_8GwSoA/edit#gid=0"",""Gestores Escolares!D7:J""),3,0),""VERIFICAR CÓD SEC"")"),"PATRICIA ANDRADE DO CARMO")</f>
        <v>PATRICIA ANDRADE DO CARMO</v>
      </c>
      <c r="N1609" s="82" t="str">
        <f>IFERROR(__xludf.DUMMYFUNCTION("IFERROR(VLOOKUP(D1609,
IMPORTRANGE(""https://docs.google.com/spreadsheets/d/1MjHtlUikwobi2MaWJgy7tfLeBmhj1u-dRFRs_8GwSoA/edit#gid=0"",""Gestores Escolares!D7:J""),4,0),""VERIFICAR CÓD SEC"")"),"(71) 9 9999-4636")</f>
        <v>(71) 9 9999-4636</v>
      </c>
      <c r="O1609" s="82" t="str">
        <f>IFERROR(__xludf.DUMMYFUNCTION("IFERROR(VLOOKUP(D1609,
IMPORTRANGE(""https://docs.google.com/spreadsheets/d/1MjHtlUikwobi2MaWJgy7tfLeBmhj1u-dRFRs_8GwSoA/edit#gid=0"",""Gestores Escolares!D7:J""),6,0),""VERIFICAR CÓD SEC"")"),"VALTER DE ANDRADE E SILVA JUNIOR")</f>
        <v>VALTER DE ANDRADE E SILVA JUNIOR</v>
      </c>
      <c r="P1609" s="82" t="str">
        <f>IFERROR(__xludf.DUMMYFUNCTION("IFERROR(VLOOKUP(D1609,
IMPORTRANGE(""https://docs.google.com/spreadsheets/d/1MjHtlUikwobi2MaWJgy7tfLeBmhj1u-dRFRs_8GwSoA/edit#gid=0"",""Gestores Escolares!D7:J""),7,0),""VERIFICAR CÓD SEC"")"),"(71) 9 9917-5017")</f>
        <v>(71) 9 9917-5017</v>
      </c>
      <c r="Q1609" s="82" t="str">
        <f>IFERROR(__xludf.DUMMYFUNCTION("IFERROR(VLOOKUP(D1609,
IMPORTRANGE(""https://docs.google.com/spreadsheets/d/1MjHtlUikwobi2MaWJgy7tfLeBmhj1u-dRFRs_8GwSoA/edit#gid=0"",""Gestores Escolares!D7:m""),9,0),""VERIFICAR CÓD SEC"")"),"JOAO PAULO FRAGA DINIZ GUERRA")</f>
        <v>JOAO PAULO FRAGA DINIZ GUERRA</v>
      </c>
      <c r="R1609" s="82" t="str">
        <f>IFERROR(__xludf.DUMMYFUNCTION("IFERROR(VLOOKUP(D1609,
IMPORTRANGE(""https://docs.google.com/spreadsheets/d/1MjHtlUikwobi2MaWJgy7tfLeBmhj1u-dRFRs_8GwSoA/edit#gid=0"",""Gestores Escolares!D7:m""),10,0),""VERIFICAR CÓD SEC"")"),"(71) 9 9998-3533")</f>
        <v>(71) 9 9998-3533</v>
      </c>
      <c r="S1609" s="82"/>
      <c r="T1609" s="138">
        <v>21.0</v>
      </c>
      <c r="U1609" s="152">
        <v>20.0</v>
      </c>
      <c r="V1609" s="106">
        <v>0.0</v>
      </c>
      <c r="W1609" s="107">
        <v>0.0</v>
      </c>
      <c r="X1609" s="107">
        <v>0.0</v>
      </c>
      <c r="Y1609" s="107">
        <v>0.0</v>
      </c>
      <c r="Z1609" s="80">
        <f t="shared" si="1"/>
        <v>0</v>
      </c>
      <c r="AA1609" s="106">
        <v>0.0</v>
      </c>
      <c r="AB1609" s="107">
        <v>0.0</v>
      </c>
      <c r="AC1609" s="107">
        <v>0.0</v>
      </c>
      <c r="AD1609" s="107">
        <v>278.0</v>
      </c>
      <c r="AE1609" s="80">
        <f t="shared" si="2"/>
        <v>278</v>
      </c>
      <c r="AF1609" s="140">
        <v>0.0</v>
      </c>
      <c r="AG1609" s="109">
        <v>0.0</v>
      </c>
      <c r="AH1609" s="109">
        <v>0.0</v>
      </c>
      <c r="AI1609" s="141">
        <v>0.0</v>
      </c>
      <c r="AJ1609" s="80">
        <f t="shared" si="3"/>
        <v>0</v>
      </c>
      <c r="AK1609" s="140">
        <v>0.0</v>
      </c>
      <c r="AL1609" s="109">
        <v>0.0</v>
      </c>
      <c r="AM1609" s="141">
        <v>61.0</v>
      </c>
      <c r="AN1609" s="80">
        <f t="shared" si="4"/>
        <v>61</v>
      </c>
      <c r="AO1609" s="140">
        <v>0.0</v>
      </c>
      <c r="AP1609" s="109">
        <v>0.0</v>
      </c>
      <c r="AQ1609" s="109">
        <v>0.0</v>
      </c>
      <c r="AR1609" s="80">
        <f t="shared" si="5"/>
        <v>0</v>
      </c>
      <c r="AS1609" s="110">
        <v>194.0</v>
      </c>
      <c r="AT1609" s="110">
        <v>174.0</v>
      </c>
      <c r="AU1609" s="110">
        <v>315.0</v>
      </c>
      <c r="AV1609" s="142">
        <v>0.0</v>
      </c>
      <c r="AW1609" s="80">
        <f t="shared" si="6"/>
        <v>683</v>
      </c>
      <c r="AX1609" s="113">
        <f t="shared" si="7"/>
        <v>1022</v>
      </c>
      <c r="AY1609" s="117">
        <f t="shared" si="8"/>
        <v>646</v>
      </c>
      <c r="AZ1609" s="120">
        <f t="shared" si="9"/>
        <v>376</v>
      </c>
      <c r="BA1609" s="115">
        <v>5.0</v>
      </c>
      <c r="BB1609" s="89">
        <f t="shared" si="10"/>
        <v>1027</v>
      </c>
      <c r="BC1609" s="132" t="s">
        <v>178</v>
      </c>
      <c r="BD1609" s="132" t="s">
        <v>779</v>
      </c>
      <c r="BE1609" s="132" t="s">
        <v>178</v>
      </c>
      <c r="BF1609" s="123"/>
      <c r="BG1609" s="83">
        <v>1102186.0</v>
      </c>
      <c r="BH1609" s="98" t="s">
        <v>9009</v>
      </c>
      <c r="BI1609" s="112">
        <v>20.0</v>
      </c>
      <c r="BJ1609" s="98" t="s">
        <v>155</v>
      </c>
      <c r="BK1609" s="99">
        <f t="shared" si="11"/>
        <v>278</v>
      </c>
      <c r="BL1609" s="99">
        <f t="shared" si="12"/>
        <v>368</v>
      </c>
      <c r="BM1609" s="99" t="str">
        <f>IFERROR(__xludf.DUMMYFUNCTION("IFERROR(VLOOKUP(BG1609,IMPORTRANGE(""https://docs.google.com/spreadsheets/d/1juPI-Fb8LD0YtltB2mlGEnp_R3UVu1t3wSFPzgCyHXE/edit?gid=0#gid=0"",""GERAL!A2:C""),3,0),""-"")"),"-")</f>
        <v>-</v>
      </c>
    </row>
    <row r="1610" ht="15.75" customHeight="1">
      <c r="A1610" s="111" t="s">
        <v>1785</v>
      </c>
      <c r="B1610" s="83" t="s">
        <v>1994</v>
      </c>
      <c r="C1610" s="83" t="s">
        <v>68</v>
      </c>
      <c r="D1610" s="112">
        <v>1100736.0</v>
      </c>
      <c r="E1610" s="83"/>
      <c r="F1610" s="83">
        <v>2.9181151E7</v>
      </c>
      <c r="G1610" s="114" t="s">
        <v>9019</v>
      </c>
      <c r="H1610" s="91" t="s">
        <v>8207</v>
      </c>
      <c r="I1610" s="83" t="s">
        <v>8208</v>
      </c>
      <c r="J1610" s="83" t="s">
        <v>150</v>
      </c>
      <c r="K1610" s="83" t="s">
        <v>151</v>
      </c>
      <c r="L1610" s="83" t="s">
        <v>230</v>
      </c>
      <c r="M1610" s="82" t="str">
        <f>IFERROR(__xludf.DUMMYFUNCTION("IFERROR(VLOOKUP(D1610,
IMPORTRANGE(""https://docs.google.com/spreadsheets/d/1MjHtlUikwobi2MaWJgy7tfLeBmhj1u-dRFRs_8GwSoA/edit#gid=0"",""Gestores Escolares!D7:J""),3,0),""VERIFICAR CÓD SEC"")"),"VERÔNICA LISBOA RAMOS")</f>
        <v>VERÔNICA LISBOA RAMOS</v>
      </c>
      <c r="N1610" s="82" t="str">
        <f>IFERROR(__xludf.DUMMYFUNCTION("IFERROR(VLOOKUP(D1610,
IMPORTRANGE(""https://docs.google.com/spreadsheets/d/1MjHtlUikwobi2MaWJgy7tfLeBmhj1u-dRFRs_8GwSoA/edit#gid=0"",""Gestores Escolares!D7:J""),4,0),""VERIFICAR CÓD SEC"")"),"(71) 9 9231-2902")</f>
        <v>(71) 9 9231-2902</v>
      </c>
      <c r="O1610" s="82" t="str">
        <f>IFERROR(__xludf.DUMMYFUNCTION("IFERROR(VLOOKUP(D1610,
IMPORTRANGE(""https://docs.google.com/spreadsheets/d/1MjHtlUikwobi2MaWJgy7tfLeBmhj1u-dRFRs_8GwSoA/edit#gid=0"",""Gestores Escolares!D7:J""),6,0),""VERIFICAR CÓD SEC"")"),"CIRIA TEIXEIRA DE CASTRO CUNHA ")</f>
        <v>CIRIA TEIXEIRA DE CASTRO CUNHA </v>
      </c>
      <c r="P1610" s="82" t="str">
        <f>IFERROR(__xludf.DUMMYFUNCTION("IFERROR(VLOOKUP(D1610,
IMPORTRANGE(""https://docs.google.com/spreadsheets/d/1MjHtlUikwobi2MaWJgy7tfLeBmhj1u-dRFRs_8GwSoA/edit#gid=0"",""Gestores Escolares!D7:J""),7,0),""VERIFICAR CÓD SEC"")"),"(71) 9 9945-2514")</f>
        <v>(71) 9 9945-2514</v>
      </c>
      <c r="Q1610" s="82" t="str">
        <f>IFERROR(__xludf.DUMMYFUNCTION("IFERROR(VLOOKUP(D1610,
IMPORTRANGE(""https://docs.google.com/spreadsheets/d/1MjHtlUikwobi2MaWJgy7tfLeBmhj1u-dRFRs_8GwSoA/edit#gid=0"",""Gestores Escolares!D7:m""),9,0),""VERIFICAR CÓD SEC"")"),"MERCIA BEATRIZ ELPIDIO FERREIRA")</f>
        <v>MERCIA BEATRIZ ELPIDIO FERREIRA</v>
      </c>
      <c r="R1610" s="82" t="str">
        <f>IFERROR(__xludf.DUMMYFUNCTION("IFERROR(VLOOKUP(D1610,
IMPORTRANGE(""https://docs.google.com/spreadsheets/d/1MjHtlUikwobi2MaWJgy7tfLeBmhj1u-dRFRs_8GwSoA/edit#gid=0"",""Gestores Escolares!D7:m""),10,0),""VERIFICAR CÓD SEC"")"),"(71) 9 9994-3566")</f>
        <v>(71) 9 9994-3566</v>
      </c>
      <c r="S1610" s="82"/>
      <c r="T1610" s="138">
        <v>33.0</v>
      </c>
      <c r="U1610" s="152">
        <v>36.0</v>
      </c>
      <c r="V1610" s="106">
        <v>0.0</v>
      </c>
      <c r="W1610" s="107">
        <v>0.0</v>
      </c>
      <c r="X1610" s="107">
        <v>0.0</v>
      </c>
      <c r="Y1610" s="107">
        <v>0.0</v>
      </c>
      <c r="Z1610" s="80">
        <f t="shared" si="1"/>
        <v>0</v>
      </c>
      <c r="AA1610" s="106">
        <v>0.0</v>
      </c>
      <c r="AB1610" s="107">
        <v>0.0</v>
      </c>
      <c r="AC1610" s="107">
        <v>0.0</v>
      </c>
      <c r="AD1610" s="107">
        <v>0.0</v>
      </c>
      <c r="AE1610" s="80">
        <f t="shared" si="2"/>
        <v>0</v>
      </c>
      <c r="AF1610" s="140">
        <v>0.0</v>
      </c>
      <c r="AG1610" s="109">
        <v>0.0</v>
      </c>
      <c r="AH1610" s="109">
        <v>0.0</v>
      </c>
      <c r="AI1610" s="141">
        <v>0.0</v>
      </c>
      <c r="AJ1610" s="80">
        <f t="shared" si="3"/>
        <v>0</v>
      </c>
      <c r="AK1610" s="140">
        <v>0.0</v>
      </c>
      <c r="AL1610" s="109">
        <v>0.0</v>
      </c>
      <c r="AM1610" s="141">
        <v>0.0</v>
      </c>
      <c r="AN1610" s="80">
        <f t="shared" si="4"/>
        <v>0</v>
      </c>
      <c r="AO1610" s="140">
        <v>0.0</v>
      </c>
      <c r="AP1610" s="109">
        <v>0.0</v>
      </c>
      <c r="AQ1610" s="109">
        <v>0.0</v>
      </c>
      <c r="AR1610" s="80">
        <f t="shared" si="5"/>
        <v>0</v>
      </c>
      <c r="AS1610" s="110">
        <v>429.0</v>
      </c>
      <c r="AT1610" s="110">
        <v>67.0</v>
      </c>
      <c r="AU1610" s="110">
        <v>378.0</v>
      </c>
      <c r="AV1610" s="142">
        <v>0.0</v>
      </c>
      <c r="AW1610" s="80">
        <f t="shared" si="6"/>
        <v>874</v>
      </c>
      <c r="AX1610" s="113">
        <f t="shared" si="7"/>
        <v>874</v>
      </c>
      <c r="AY1610" s="117">
        <f t="shared" si="8"/>
        <v>496</v>
      </c>
      <c r="AZ1610" s="120">
        <f t="shared" si="9"/>
        <v>378</v>
      </c>
      <c r="BA1610" s="115">
        <v>5.0</v>
      </c>
      <c r="BB1610" s="89">
        <f t="shared" si="10"/>
        <v>879</v>
      </c>
      <c r="BC1610" s="132" t="s">
        <v>178</v>
      </c>
      <c r="BD1610" s="132" t="s">
        <v>779</v>
      </c>
      <c r="BE1610" s="132" t="s">
        <v>178</v>
      </c>
      <c r="BF1610" s="123"/>
      <c r="BG1610" s="83">
        <v>1100736.0</v>
      </c>
      <c r="BH1610" s="98" t="s">
        <v>9020</v>
      </c>
      <c r="BI1610" s="112">
        <v>36.0</v>
      </c>
      <c r="BJ1610" s="98" t="s">
        <v>155</v>
      </c>
      <c r="BK1610" s="99">
        <f t="shared" si="11"/>
        <v>0</v>
      </c>
      <c r="BL1610" s="99">
        <f t="shared" si="12"/>
        <v>496</v>
      </c>
      <c r="BM1610" s="99" t="str">
        <f>IFERROR(__xludf.DUMMYFUNCTION("IFERROR(VLOOKUP(BG1610,IMPORTRANGE(""https://docs.google.com/spreadsheets/d/1juPI-Fb8LD0YtltB2mlGEnp_R3UVu1t3wSFPzgCyHXE/edit?gid=0#gid=0"",""GERAL!A2:C""),3,0),""-"")"),"-")</f>
        <v>-</v>
      </c>
    </row>
    <row r="1611" ht="15.75" customHeight="1">
      <c r="A1611" s="111" t="s">
        <v>1785</v>
      </c>
      <c r="B1611" s="83" t="s">
        <v>1994</v>
      </c>
      <c r="C1611" s="83" t="s">
        <v>68</v>
      </c>
      <c r="D1611" s="112">
        <v>1178175.0</v>
      </c>
      <c r="E1611" s="83"/>
      <c r="F1611" s="83">
        <v>2.9447151E7</v>
      </c>
      <c r="G1611" s="114" t="s">
        <v>9021</v>
      </c>
      <c r="H1611" s="108" t="s">
        <v>9022</v>
      </c>
      <c r="I1611" s="98" t="s">
        <v>8619</v>
      </c>
      <c r="J1611" s="83" t="s">
        <v>150</v>
      </c>
      <c r="K1611" s="83" t="s">
        <v>151</v>
      </c>
      <c r="L1611" s="83" t="s">
        <v>230</v>
      </c>
      <c r="M1611" s="82" t="str">
        <f>IFERROR(__xludf.DUMMYFUNCTION("IFERROR(VLOOKUP(D1611,
IMPORTRANGE(""https://docs.google.com/spreadsheets/d/1MjHtlUikwobi2MaWJgy7tfLeBmhj1u-dRFRs_8GwSoA/edit#gid=0"",""Gestores Escolares!D7:J""),3,0),""VERIFICAR CÓD SEC"")"),"CRISTINA MARIA CARVALHO NASCIMENTO")</f>
        <v>CRISTINA MARIA CARVALHO NASCIMENTO</v>
      </c>
      <c r="N1611" s="82" t="str">
        <f>IFERROR(__xludf.DUMMYFUNCTION("IFERROR(VLOOKUP(D1611,
IMPORTRANGE(""https://docs.google.com/spreadsheets/d/1MjHtlUikwobi2MaWJgy7tfLeBmhj1u-dRFRs_8GwSoA/edit#gid=0"",""Gestores Escolares!D7:J""),4,0),""VERIFICAR CÓD SEC"")"),"(71) 9 8179-0722")</f>
        <v>(71) 9 8179-0722</v>
      </c>
      <c r="O1611" s="82" t="str">
        <f>IFERROR(__xludf.DUMMYFUNCTION("IFERROR(VLOOKUP(D1611,
IMPORTRANGE(""https://docs.google.com/spreadsheets/d/1MjHtlUikwobi2MaWJgy7tfLeBmhj1u-dRFRs_8GwSoA/edit#gid=0"",""Gestores Escolares!D7:J""),6,0),""VERIFICAR CÓD SEC"")"),"IZABEL ANDRADE")</f>
        <v>IZABEL ANDRADE</v>
      </c>
      <c r="P1611" s="82" t="str">
        <f>IFERROR(__xludf.DUMMYFUNCTION("IFERROR(VLOOKUP(D1611,
IMPORTRANGE(""https://docs.google.com/spreadsheets/d/1MjHtlUikwobi2MaWJgy7tfLeBmhj1u-dRFRs_8GwSoA/edit#gid=0"",""Gestores Escolares!D7:J""),7,0),""VERIFICAR CÓD SEC"")"),"(71) 9 9926-9212")</f>
        <v>(71) 9 9926-9212</v>
      </c>
      <c r="Q1611" s="82" t="str">
        <f>IFERROR(__xludf.DUMMYFUNCTION("IFERROR(VLOOKUP(D1611,
IMPORTRANGE(""https://docs.google.com/spreadsheets/d/1MjHtlUikwobi2MaWJgy7tfLeBmhj1u-dRFRs_8GwSoA/edit#gid=0"",""Gestores Escolares!D7:m""),9,0),""VERIFICAR CÓD SEC"")"),"EDUARDO COSTA FERREIRA")</f>
        <v>EDUARDO COSTA FERREIRA</v>
      </c>
      <c r="R1611" s="82" t="str">
        <f>IFERROR(__xludf.DUMMYFUNCTION("IFERROR(VLOOKUP(D1611,
IMPORTRANGE(""https://docs.google.com/spreadsheets/d/1MjHtlUikwobi2MaWJgy7tfLeBmhj1u-dRFRs_8GwSoA/edit#gid=0"",""Gestores Escolares!D7:m""),10,0),""VERIFICAR CÓD SEC"")"),"(71) 9 8770-6948")</f>
        <v>(71) 9 8770-6948</v>
      </c>
      <c r="S1611" s="82"/>
      <c r="T1611" s="138">
        <v>21.0</v>
      </c>
      <c r="U1611" s="152">
        <v>12.0</v>
      </c>
      <c r="V1611" s="106">
        <v>0.0</v>
      </c>
      <c r="W1611" s="107">
        <v>0.0</v>
      </c>
      <c r="X1611" s="107">
        <v>0.0</v>
      </c>
      <c r="Y1611" s="107">
        <v>0.0</v>
      </c>
      <c r="Z1611" s="80">
        <f t="shared" si="1"/>
        <v>0</v>
      </c>
      <c r="AA1611" s="106">
        <v>0.0</v>
      </c>
      <c r="AB1611" s="107">
        <v>0.0</v>
      </c>
      <c r="AC1611" s="107">
        <v>0.0</v>
      </c>
      <c r="AD1611" s="107">
        <v>0.0</v>
      </c>
      <c r="AE1611" s="80">
        <f t="shared" si="2"/>
        <v>0</v>
      </c>
      <c r="AF1611" s="140">
        <v>0.0</v>
      </c>
      <c r="AG1611" s="109">
        <v>0.0</v>
      </c>
      <c r="AH1611" s="109">
        <v>0.0</v>
      </c>
      <c r="AI1611" s="141">
        <v>0.0</v>
      </c>
      <c r="AJ1611" s="80">
        <f t="shared" si="3"/>
        <v>0</v>
      </c>
      <c r="AK1611" s="140">
        <v>0.0</v>
      </c>
      <c r="AL1611" s="109">
        <v>0.0</v>
      </c>
      <c r="AM1611" s="141">
        <v>0.0</v>
      </c>
      <c r="AN1611" s="80">
        <f t="shared" si="4"/>
        <v>0</v>
      </c>
      <c r="AO1611" s="140">
        <v>0.0</v>
      </c>
      <c r="AP1611" s="109">
        <v>0.0</v>
      </c>
      <c r="AQ1611" s="109">
        <v>0.0</v>
      </c>
      <c r="AR1611" s="80">
        <f t="shared" si="5"/>
        <v>0</v>
      </c>
      <c r="AS1611" s="110">
        <v>0.0</v>
      </c>
      <c r="AT1611" s="110">
        <v>151.0</v>
      </c>
      <c r="AU1611" s="110">
        <v>190.0</v>
      </c>
      <c r="AV1611" s="142">
        <v>0.0</v>
      </c>
      <c r="AW1611" s="80">
        <f t="shared" si="6"/>
        <v>341</v>
      </c>
      <c r="AX1611" s="113">
        <f t="shared" si="7"/>
        <v>341</v>
      </c>
      <c r="AY1611" s="117">
        <f t="shared" si="8"/>
        <v>151</v>
      </c>
      <c r="AZ1611" s="120">
        <f t="shared" si="9"/>
        <v>190</v>
      </c>
      <c r="BA1611" s="115">
        <v>5.0</v>
      </c>
      <c r="BB1611" s="89">
        <f t="shared" si="10"/>
        <v>346</v>
      </c>
      <c r="BC1611" s="132" t="s">
        <v>178</v>
      </c>
      <c r="BD1611" s="132" t="s">
        <v>779</v>
      </c>
      <c r="BE1611" s="132" t="s">
        <v>178</v>
      </c>
      <c r="BF1611" s="123"/>
      <c r="BG1611" s="83">
        <v>1178175.0</v>
      </c>
      <c r="BH1611" s="98" t="s">
        <v>9023</v>
      </c>
      <c r="BI1611" s="112">
        <v>12.0</v>
      </c>
      <c r="BJ1611" s="98" t="s">
        <v>155</v>
      </c>
      <c r="BK1611" s="99">
        <f t="shared" si="11"/>
        <v>0</v>
      </c>
      <c r="BL1611" s="99">
        <f t="shared" si="12"/>
        <v>151</v>
      </c>
      <c r="BM1611" s="99" t="str">
        <f>IFERROR(__xludf.DUMMYFUNCTION("IFERROR(VLOOKUP(BG1611,IMPORTRANGE(""https://docs.google.com/spreadsheets/d/1juPI-Fb8LD0YtltB2mlGEnp_R3UVu1t3wSFPzgCyHXE/edit?gid=0#gid=0"",""GERAL!A2:C""),3,0),""-"")"),"-")</f>
        <v>-</v>
      </c>
    </row>
    <row r="1612" ht="15.75" customHeight="1">
      <c r="A1612" s="111" t="s">
        <v>1785</v>
      </c>
      <c r="B1612" s="83" t="s">
        <v>1994</v>
      </c>
      <c r="C1612" s="83" t="s">
        <v>68</v>
      </c>
      <c r="D1612" s="112">
        <v>1102550.0</v>
      </c>
      <c r="E1612" s="83"/>
      <c r="F1612" s="83">
        <v>2.9180104E7</v>
      </c>
      <c r="G1612" s="114" t="s">
        <v>9029</v>
      </c>
      <c r="H1612" s="91" t="s">
        <v>9030</v>
      </c>
      <c r="I1612" s="83" t="s">
        <v>8391</v>
      </c>
      <c r="J1612" s="83" t="s">
        <v>150</v>
      </c>
      <c r="K1612" s="83" t="s">
        <v>151</v>
      </c>
      <c r="L1612" s="83" t="s">
        <v>230</v>
      </c>
      <c r="M1612" s="82" t="str">
        <f>IFERROR(__xludf.DUMMYFUNCTION("IFERROR(VLOOKUP(D1612,
IMPORTRANGE(""https://docs.google.com/spreadsheets/d/1MjHtlUikwobi2MaWJgy7tfLeBmhj1u-dRFRs_8GwSoA/edit#gid=0"",""Gestores Escolares!D7:J""),3,0),""VERIFICAR CÓD SEC"")"),"ARIOSVALDO SILVA")</f>
        <v>ARIOSVALDO SILVA</v>
      </c>
      <c r="N1612" s="82" t="str">
        <f>IFERROR(__xludf.DUMMYFUNCTION("IFERROR(VLOOKUP(D1612,
IMPORTRANGE(""https://docs.google.com/spreadsheets/d/1MjHtlUikwobi2MaWJgy7tfLeBmhj1u-dRFRs_8GwSoA/edit#gid=0"",""Gestores Escolares!D7:J""),4,0),""VERIFICAR CÓD SEC"")"),"(71) 9 8884-7963")</f>
        <v>(71) 9 8884-7963</v>
      </c>
      <c r="O1612" s="82" t="str">
        <f>IFERROR(__xludf.DUMMYFUNCTION("IFERROR(VLOOKUP(D1612,
IMPORTRANGE(""https://docs.google.com/spreadsheets/d/1MjHtlUikwobi2MaWJgy7tfLeBmhj1u-dRFRs_8GwSoA/edit#gid=0"",""Gestores Escolares!D7:J""),6,0),""VERIFICAR CÓD SEC"")"),"GILSON LUCIANO PARENTE DE CARVALHO")</f>
        <v>GILSON LUCIANO PARENTE DE CARVALHO</v>
      </c>
      <c r="P1612" s="82" t="str">
        <f>IFERROR(__xludf.DUMMYFUNCTION("IFERROR(VLOOKUP(D1612,
IMPORTRANGE(""https://docs.google.com/spreadsheets/d/1MjHtlUikwobi2MaWJgy7tfLeBmhj1u-dRFRs_8GwSoA/edit#gid=0"",""Gestores Escolares!D7:J""),7,0),""VERIFICAR CÓD SEC"")"),"(71) 9 9302-7000")</f>
        <v>(71) 9 9302-7000</v>
      </c>
      <c r="Q1612" s="82" t="str">
        <f>IFERROR(__xludf.DUMMYFUNCTION("IFERROR(VLOOKUP(D1612,
IMPORTRANGE(""https://docs.google.com/spreadsheets/d/1MjHtlUikwobi2MaWJgy7tfLeBmhj1u-dRFRs_8GwSoA/edit#gid=0"",""Gestores Escolares!D7:m""),9,0),""VERIFICAR CÓD SEC"")"),"DANIELA MIRANDA RAMOS SANTANA")</f>
        <v>DANIELA MIRANDA RAMOS SANTANA</v>
      </c>
      <c r="R1612" s="82" t="str">
        <f>IFERROR(__xludf.DUMMYFUNCTION("IFERROR(VLOOKUP(D1612,
IMPORTRANGE(""https://docs.google.com/spreadsheets/d/1MjHtlUikwobi2MaWJgy7tfLeBmhj1u-dRFRs_8GwSoA/edit#gid=0"",""Gestores Escolares!D7:m""),10,0),""VERIFICAR CÓD SEC"")"),"(71) 9 9671-3391")</f>
        <v>(71) 9 9671-3391</v>
      </c>
      <c r="S1612" s="82"/>
      <c r="T1612" s="138">
        <v>22.0</v>
      </c>
      <c r="U1612" s="152">
        <v>25.0</v>
      </c>
      <c r="V1612" s="106">
        <v>0.0</v>
      </c>
      <c r="W1612" s="107">
        <v>0.0</v>
      </c>
      <c r="X1612" s="107">
        <v>0.0</v>
      </c>
      <c r="Y1612" s="107">
        <v>0.0</v>
      </c>
      <c r="Z1612" s="80">
        <f t="shared" si="1"/>
        <v>0</v>
      </c>
      <c r="AA1612" s="106">
        <v>0.0</v>
      </c>
      <c r="AB1612" s="107">
        <v>0.0</v>
      </c>
      <c r="AC1612" s="107">
        <v>0.0</v>
      </c>
      <c r="AD1612" s="107">
        <v>0.0</v>
      </c>
      <c r="AE1612" s="80">
        <f t="shared" si="2"/>
        <v>0</v>
      </c>
      <c r="AF1612" s="140">
        <v>0.0</v>
      </c>
      <c r="AG1612" s="109">
        <v>0.0</v>
      </c>
      <c r="AH1612" s="109">
        <v>0.0</v>
      </c>
      <c r="AI1612" s="141">
        <v>0.0</v>
      </c>
      <c r="AJ1612" s="80">
        <f t="shared" si="3"/>
        <v>0</v>
      </c>
      <c r="AK1612" s="140">
        <v>0.0</v>
      </c>
      <c r="AL1612" s="109">
        <v>0.0</v>
      </c>
      <c r="AM1612" s="141">
        <v>0.0</v>
      </c>
      <c r="AN1612" s="80">
        <f t="shared" si="4"/>
        <v>0</v>
      </c>
      <c r="AO1612" s="140">
        <v>0.0</v>
      </c>
      <c r="AP1612" s="109">
        <v>0.0</v>
      </c>
      <c r="AQ1612" s="109">
        <v>0.0</v>
      </c>
      <c r="AR1612" s="80">
        <f t="shared" si="5"/>
        <v>0</v>
      </c>
      <c r="AS1612" s="110">
        <v>684.0</v>
      </c>
      <c r="AT1612" s="110">
        <v>456.0</v>
      </c>
      <c r="AU1612" s="110">
        <v>453.0</v>
      </c>
      <c r="AV1612" s="142">
        <v>0.0</v>
      </c>
      <c r="AW1612" s="80">
        <f t="shared" si="6"/>
        <v>1593</v>
      </c>
      <c r="AX1612" s="113">
        <f t="shared" si="7"/>
        <v>1593</v>
      </c>
      <c r="AY1612" s="117">
        <f t="shared" si="8"/>
        <v>1140</v>
      </c>
      <c r="AZ1612" s="120">
        <f t="shared" si="9"/>
        <v>453</v>
      </c>
      <c r="BA1612" s="115">
        <v>3.0</v>
      </c>
      <c r="BB1612" s="89">
        <f t="shared" si="10"/>
        <v>1596</v>
      </c>
      <c r="BC1612" s="132" t="s">
        <v>178</v>
      </c>
      <c r="BD1612" s="132" t="s">
        <v>779</v>
      </c>
      <c r="BE1612" s="132" t="s">
        <v>178</v>
      </c>
      <c r="BF1612" s="123"/>
      <c r="BG1612" s="83">
        <v>1102550.0</v>
      </c>
      <c r="BH1612" s="98" t="s">
        <v>9031</v>
      </c>
      <c r="BI1612" s="112">
        <v>25.0</v>
      </c>
      <c r="BJ1612" s="98" t="s">
        <v>155</v>
      </c>
      <c r="BK1612" s="99">
        <f t="shared" si="11"/>
        <v>0</v>
      </c>
      <c r="BL1612" s="99">
        <f t="shared" si="12"/>
        <v>1140</v>
      </c>
      <c r="BM1612" s="99" t="str">
        <f>IFERROR(__xludf.DUMMYFUNCTION("IFERROR(VLOOKUP(BG1612,IMPORTRANGE(""https://docs.google.com/spreadsheets/d/1juPI-Fb8LD0YtltB2mlGEnp_R3UVu1t3wSFPzgCyHXE/edit?gid=0#gid=0"",""GERAL!A2:C""),3,0),""-"")"),"-")</f>
        <v>-</v>
      </c>
    </row>
    <row r="1613" ht="15.75" customHeight="1">
      <c r="A1613" s="111" t="s">
        <v>1785</v>
      </c>
      <c r="B1613" s="83" t="s">
        <v>1994</v>
      </c>
      <c r="C1613" s="83" t="s">
        <v>68</v>
      </c>
      <c r="D1613" s="112">
        <v>1103514.0</v>
      </c>
      <c r="E1613" s="83"/>
      <c r="F1613" s="83">
        <v>2.9181542E7</v>
      </c>
      <c r="G1613" s="114" t="s">
        <v>9034</v>
      </c>
      <c r="H1613" s="91" t="s">
        <v>9035</v>
      </c>
      <c r="I1613" s="83" t="s">
        <v>8820</v>
      </c>
      <c r="J1613" s="83" t="s">
        <v>150</v>
      </c>
      <c r="K1613" s="83" t="s">
        <v>151</v>
      </c>
      <c r="L1613" s="83" t="s">
        <v>230</v>
      </c>
      <c r="M1613" s="82" t="str">
        <f>IFERROR(__xludf.DUMMYFUNCTION("IFERROR(VLOOKUP(D1613,
IMPORTRANGE(""https://docs.google.com/spreadsheets/d/1MjHtlUikwobi2MaWJgy7tfLeBmhj1u-dRFRs_8GwSoA/edit#gid=0"",""Gestores Escolares!D7:J""),3,0),""VERIFICAR CÓD SEC"")"),"JUÇARA SILVA SANTOS")</f>
        <v>JUÇARA SILVA SANTOS</v>
      </c>
      <c r="N1613" s="82" t="str">
        <f>IFERROR(__xludf.DUMMYFUNCTION("IFERROR(VLOOKUP(D1613,
IMPORTRANGE(""https://docs.google.com/spreadsheets/d/1MjHtlUikwobi2MaWJgy7tfLeBmhj1u-dRFRs_8GwSoA/edit#gid=0"",""Gestores Escolares!D7:J""),4,0),""VERIFICAR CÓD SEC"")"),"(71) 9 9303-5076 / 9 8896-0918")</f>
        <v>(71) 9 9303-5076 / 9 8896-0918</v>
      </c>
      <c r="O1613" s="82" t="str">
        <f>IFERROR(__xludf.DUMMYFUNCTION("IFERROR(VLOOKUP(D1613,
IMPORTRANGE(""https://docs.google.com/spreadsheets/d/1MjHtlUikwobi2MaWJgy7tfLeBmhj1u-dRFRs_8GwSoA/edit#gid=0"",""Gestores Escolares!D7:J""),6,0),""VERIFICAR CÓD SEC"")"),"CRISTIANO OLIVEIRA RIOS")</f>
        <v>CRISTIANO OLIVEIRA RIOS</v>
      </c>
      <c r="P1613" s="82" t="str">
        <f>IFERROR(__xludf.DUMMYFUNCTION("IFERROR(VLOOKUP(D1613,
IMPORTRANGE(""https://docs.google.com/spreadsheets/d/1MjHtlUikwobi2MaWJgy7tfLeBmhj1u-dRFRs_8GwSoA/edit#gid=0"",""Gestores Escolares!D7:J""),7,0),""VERIFICAR CÓD SEC"")"),"(71) 9 9692-0018")</f>
        <v>(71) 9 9692-0018</v>
      </c>
      <c r="Q1613" s="82" t="str">
        <f>IFERROR(__xludf.DUMMYFUNCTION("IFERROR(VLOOKUP(D1613,
IMPORTRANGE(""https://docs.google.com/spreadsheets/d/1MjHtlUikwobi2MaWJgy7tfLeBmhj1u-dRFRs_8GwSoA/edit#gid=0"",""Gestores Escolares!D7:m""),9,0),""VERIFICAR CÓD SEC"")"),"")</f>
        <v/>
      </c>
      <c r="R1613" s="82" t="str">
        <f>IFERROR(__xludf.DUMMYFUNCTION("IFERROR(VLOOKUP(D1613,
IMPORTRANGE(""https://docs.google.com/spreadsheets/d/1MjHtlUikwobi2MaWJgy7tfLeBmhj1u-dRFRs_8GwSoA/edit#gid=0"",""Gestores Escolares!D7:m""),10,0),""VERIFICAR CÓD SEC"")"),"")</f>
        <v/>
      </c>
      <c r="S1613" s="82"/>
      <c r="T1613" s="138">
        <v>31.0</v>
      </c>
      <c r="U1613" s="152">
        <v>31.0</v>
      </c>
      <c r="V1613" s="106">
        <v>0.0</v>
      </c>
      <c r="W1613" s="107">
        <v>0.0</v>
      </c>
      <c r="X1613" s="107">
        <v>0.0</v>
      </c>
      <c r="Y1613" s="107">
        <v>0.0</v>
      </c>
      <c r="Z1613" s="80">
        <f t="shared" si="1"/>
        <v>0</v>
      </c>
      <c r="AA1613" s="106">
        <v>0.0</v>
      </c>
      <c r="AB1613" s="107">
        <v>0.0</v>
      </c>
      <c r="AC1613" s="107">
        <v>0.0</v>
      </c>
      <c r="AD1613" s="107">
        <v>0.0</v>
      </c>
      <c r="AE1613" s="80">
        <f t="shared" si="2"/>
        <v>0</v>
      </c>
      <c r="AF1613" s="140">
        <v>0.0</v>
      </c>
      <c r="AG1613" s="109">
        <v>0.0</v>
      </c>
      <c r="AH1613" s="109">
        <v>0.0</v>
      </c>
      <c r="AI1613" s="141">
        <v>0.0</v>
      </c>
      <c r="AJ1613" s="80">
        <f t="shared" si="3"/>
        <v>0</v>
      </c>
      <c r="AK1613" s="140">
        <v>0.0</v>
      </c>
      <c r="AL1613" s="109">
        <v>0.0</v>
      </c>
      <c r="AM1613" s="141">
        <v>0.0</v>
      </c>
      <c r="AN1613" s="80">
        <f t="shared" si="4"/>
        <v>0</v>
      </c>
      <c r="AO1613" s="140">
        <v>0.0</v>
      </c>
      <c r="AP1613" s="109">
        <v>0.0</v>
      </c>
      <c r="AQ1613" s="109">
        <v>0.0</v>
      </c>
      <c r="AR1613" s="80">
        <f t="shared" si="5"/>
        <v>0</v>
      </c>
      <c r="AS1613" s="110">
        <v>536.0</v>
      </c>
      <c r="AT1613" s="110">
        <v>161.0</v>
      </c>
      <c r="AU1613" s="110">
        <v>457.0</v>
      </c>
      <c r="AV1613" s="142">
        <v>0.0</v>
      </c>
      <c r="AW1613" s="80">
        <f t="shared" si="6"/>
        <v>1154</v>
      </c>
      <c r="AX1613" s="113">
        <f t="shared" si="7"/>
        <v>1154</v>
      </c>
      <c r="AY1613" s="117">
        <f t="shared" si="8"/>
        <v>697</v>
      </c>
      <c r="AZ1613" s="120">
        <f t="shared" si="9"/>
        <v>457</v>
      </c>
      <c r="BA1613" s="115">
        <v>0.0</v>
      </c>
      <c r="BB1613" s="89">
        <f t="shared" si="10"/>
        <v>1154</v>
      </c>
      <c r="BC1613" s="132" t="s">
        <v>178</v>
      </c>
      <c r="BD1613" s="132" t="s">
        <v>779</v>
      </c>
      <c r="BE1613" s="132" t="s">
        <v>178</v>
      </c>
      <c r="BF1613" s="123"/>
      <c r="BG1613" s="83">
        <v>1103514.0</v>
      </c>
      <c r="BH1613" s="98" t="s">
        <v>9036</v>
      </c>
      <c r="BI1613" s="112">
        <v>31.0</v>
      </c>
      <c r="BJ1613" s="98" t="s">
        <v>155</v>
      </c>
      <c r="BK1613" s="99">
        <f t="shared" si="11"/>
        <v>0</v>
      </c>
      <c r="BL1613" s="99">
        <f t="shared" si="12"/>
        <v>697</v>
      </c>
      <c r="BM1613" s="99" t="str">
        <f>IFERROR(__xludf.DUMMYFUNCTION("IFERROR(VLOOKUP(BG1613,IMPORTRANGE(""https://docs.google.com/spreadsheets/d/1juPI-Fb8LD0YtltB2mlGEnp_R3UVu1t3wSFPzgCyHXE/edit?gid=0#gid=0"",""GERAL!A2:C""),3,0),""-"")"),"-")</f>
        <v>-</v>
      </c>
    </row>
    <row r="1614" ht="15.75" customHeight="1">
      <c r="A1614" s="111" t="s">
        <v>1785</v>
      </c>
      <c r="B1614" s="83" t="s">
        <v>1994</v>
      </c>
      <c r="C1614" s="83" t="s">
        <v>68</v>
      </c>
      <c r="D1614" s="112">
        <v>1104936.0</v>
      </c>
      <c r="E1614" s="83"/>
      <c r="F1614" s="83">
        <v>2.918732E7</v>
      </c>
      <c r="G1614" s="114" t="s">
        <v>9042</v>
      </c>
      <c r="H1614" s="91" t="s">
        <v>9043</v>
      </c>
      <c r="I1614" s="136" t="s">
        <v>9044</v>
      </c>
      <c r="J1614" s="83" t="s">
        <v>150</v>
      </c>
      <c r="K1614" s="83" t="s">
        <v>151</v>
      </c>
      <c r="L1614" s="83" t="s">
        <v>230</v>
      </c>
      <c r="M1614" s="82" t="str">
        <f>IFERROR(__xludf.DUMMYFUNCTION("IFERROR(VLOOKUP(D1614,
IMPORTRANGE(""https://docs.google.com/spreadsheets/d/1MjHtlUikwobi2MaWJgy7tfLeBmhj1u-dRFRs_8GwSoA/edit#gid=0"",""Gestores Escolares!D7:J""),3,0),""VERIFICAR CÓD SEC"")"),"TEREZA CRISTINA RESENDE DA SILVA")</f>
        <v>TEREZA CRISTINA RESENDE DA SILVA</v>
      </c>
      <c r="N1614" s="82" t="str">
        <f>IFERROR(__xludf.DUMMYFUNCTION("IFERROR(VLOOKUP(D1614,
IMPORTRANGE(""https://docs.google.com/spreadsheets/d/1MjHtlUikwobi2MaWJgy7tfLeBmhj1u-dRFRs_8GwSoA/edit#gid=0"",""Gestores Escolares!D7:J""),4,0),""VERIFICAR CÓD SEC"")"),"(71) 9 9971-9214 / 3243-9207 / 3243-0784")</f>
        <v>(71) 9 9971-9214 / 3243-9207 / 3243-0784</v>
      </c>
      <c r="O1614" s="82" t="str">
        <f>IFERROR(__xludf.DUMMYFUNCTION("IFERROR(VLOOKUP(D1614,
IMPORTRANGE(""https://docs.google.com/spreadsheets/d/1MjHtlUikwobi2MaWJgy7tfLeBmhj1u-dRFRs_8GwSoA/edit#gid=0"",""Gestores Escolares!D7:J""),6,0),""VERIFICAR CÓD SEC"")"),"MARCIA DO CARMO GRASSI")</f>
        <v>MARCIA DO CARMO GRASSI</v>
      </c>
      <c r="P1614" s="82" t="str">
        <f>IFERROR(__xludf.DUMMYFUNCTION("IFERROR(VLOOKUP(D1614,
IMPORTRANGE(""https://docs.google.com/spreadsheets/d/1MjHtlUikwobi2MaWJgy7tfLeBmhj1u-dRFRs_8GwSoA/edit#gid=0"",""Gestores Escolares!D7:J""),7,0),""VERIFICAR CÓD SEC"")"),"(71) 9 9191-7495")</f>
        <v>(71) 9 9191-7495</v>
      </c>
      <c r="Q1614" s="82" t="str">
        <f>IFERROR(__xludf.DUMMYFUNCTION("IFERROR(VLOOKUP(D1614,
IMPORTRANGE(""https://docs.google.com/spreadsheets/d/1MjHtlUikwobi2MaWJgy7tfLeBmhj1u-dRFRs_8GwSoA/edit#gid=0"",""Gestores Escolares!D7:m""),9,0),""VERIFICAR CÓD SEC"")"),"MARIA EVELYN HABIB BAPTISTA LIMA")</f>
        <v>MARIA EVELYN HABIB BAPTISTA LIMA</v>
      </c>
      <c r="R1614" s="82" t="str">
        <f>IFERROR(__xludf.DUMMYFUNCTION("IFERROR(VLOOKUP(D1614,
IMPORTRANGE(""https://docs.google.com/spreadsheets/d/1MjHtlUikwobi2MaWJgy7tfLeBmhj1u-dRFRs_8GwSoA/edit#gid=0"",""Gestores Escolares!D7:m""),10,0),""VERIFICAR CÓD SEC"")"),"(71) 9 8857-2307  99634-8945")</f>
        <v>(71) 9 8857-2307  99634-8945</v>
      </c>
      <c r="S1614" s="82"/>
      <c r="T1614" s="138">
        <v>36.0</v>
      </c>
      <c r="U1614" s="152">
        <v>32.0</v>
      </c>
      <c r="V1614" s="106">
        <v>0.0</v>
      </c>
      <c r="W1614" s="107">
        <v>0.0</v>
      </c>
      <c r="X1614" s="107">
        <v>0.0</v>
      </c>
      <c r="Y1614" s="107">
        <v>0.0</v>
      </c>
      <c r="Z1614" s="80">
        <f t="shared" si="1"/>
        <v>0</v>
      </c>
      <c r="AA1614" s="106">
        <v>0.0</v>
      </c>
      <c r="AB1614" s="107">
        <v>0.0</v>
      </c>
      <c r="AC1614" s="107">
        <v>0.0</v>
      </c>
      <c r="AD1614" s="107">
        <v>0.0</v>
      </c>
      <c r="AE1614" s="80">
        <f t="shared" si="2"/>
        <v>0</v>
      </c>
      <c r="AF1614" s="140">
        <v>0.0</v>
      </c>
      <c r="AG1614" s="109">
        <v>0.0</v>
      </c>
      <c r="AH1614" s="109">
        <v>0.0</v>
      </c>
      <c r="AI1614" s="141">
        <v>0.0</v>
      </c>
      <c r="AJ1614" s="80">
        <f t="shared" si="3"/>
        <v>0</v>
      </c>
      <c r="AK1614" s="140">
        <v>0.0</v>
      </c>
      <c r="AL1614" s="109">
        <v>0.0</v>
      </c>
      <c r="AM1614" s="141">
        <v>0.0</v>
      </c>
      <c r="AN1614" s="80">
        <f t="shared" si="4"/>
        <v>0</v>
      </c>
      <c r="AO1614" s="140">
        <v>0.0</v>
      </c>
      <c r="AP1614" s="109">
        <v>0.0</v>
      </c>
      <c r="AQ1614" s="109">
        <v>0.0</v>
      </c>
      <c r="AR1614" s="80">
        <f t="shared" si="5"/>
        <v>0</v>
      </c>
      <c r="AS1614" s="110">
        <v>301.0</v>
      </c>
      <c r="AT1614" s="110">
        <v>91.0</v>
      </c>
      <c r="AU1614" s="110">
        <v>217.0</v>
      </c>
      <c r="AV1614" s="142">
        <v>0.0</v>
      </c>
      <c r="AW1614" s="80">
        <f t="shared" si="6"/>
        <v>609</v>
      </c>
      <c r="AX1614" s="113">
        <f t="shared" si="7"/>
        <v>609</v>
      </c>
      <c r="AY1614" s="117">
        <f t="shared" si="8"/>
        <v>392</v>
      </c>
      <c r="AZ1614" s="120">
        <f t="shared" si="9"/>
        <v>217</v>
      </c>
      <c r="BA1614" s="115">
        <v>8.0</v>
      </c>
      <c r="BB1614" s="89">
        <f t="shared" si="10"/>
        <v>617</v>
      </c>
      <c r="BC1614" s="132" t="s">
        <v>178</v>
      </c>
      <c r="BD1614" s="132" t="s">
        <v>779</v>
      </c>
      <c r="BE1614" s="132" t="s">
        <v>178</v>
      </c>
      <c r="BF1614" s="123"/>
      <c r="BG1614" s="83">
        <v>1104936.0</v>
      </c>
      <c r="BH1614" s="98" t="s">
        <v>9045</v>
      </c>
      <c r="BI1614" s="112">
        <v>32.0</v>
      </c>
      <c r="BJ1614" s="98" t="s">
        <v>284</v>
      </c>
      <c r="BK1614" s="99">
        <f t="shared" si="11"/>
        <v>0</v>
      </c>
      <c r="BL1614" s="99">
        <f t="shared" si="12"/>
        <v>392</v>
      </c>
      <c r="BM1614" s="99" t="str">
        <f>IFERROR(__xludf.DUMMYFUNCTION("IFERROR(VLOOKUP(BG1614,IMPORTRANGE(""https://docs.google.com/spreadsheets/d/1juPI-Fb8LD0YtltB2mlGEnp_R3UVu1t3wSFPzgCyHXE/edit?gid=0#gid=0"",""GERAL!A2:C""),3,0),""-"")"),"-")</f>
        <v>-</v>
      </c>
    </row>
    <row r="1615" ht="15.75" customHeight="1">
      <c r="A1615" s="111" t="s">
        <v>1785</v>
      </c>
      <c r="B1615" s="83" t="s">
        <v>1994</v>
      </c>
      <c r="C1615" s="83" t="s">
        <v>68</v>
      </c>
      <c r="D1615" s="112">
        <v>1102941.0</v>
      </c>
      <c r="E1615" s="83"/>
      <c r="F1615" s="83">
        <v>2.9196434E7</v>
      </c>
      <c r="G1615" s="114" t="s">
        <v>9046</v>
      </c>
      <c r="H1615" s="91" t="s">
        <v>9047</v>
      </c>
      <c r="I1615" s="83" t="s">
        <v>8150</v>
      </c>
      <c r="J1615" s="83" t="s">
        <v>150</v>
      </c>
      <c r="K1615" s="83" t="s">
        <v>151</v>
      </c>
      <c r="L1615" s="83" t="s">
        <v>230</v>
      </c>
      <c r="M1615" s="82" t="str">
        <f>IFERROR(__xludf.DUMMYFUNCTION("IFERROR(VLOOKUP(D1615,
IMPORTRANGE(""https://docs.google.com/spreadsheets/d/1MjHtlUikwobi2MaWJgy7tfLeBmhj1u-dRFRs_8GwSoA/edit#gid=0"",""Gestores Escolares!D7:J""),3,0),""VERIFICAR CÓD SEC"")"),"GEORGE MATOS DA SILVA")</f>
        <v>GEORGE MATOS DA SILVA</v>
      </c>
      <c r="N1615" s="82" t="str">
        <f>IFERROR(__xludf.DUMMYFUNCTION("IFERROR(VLOOKUP(D1615,
IMPORTRANGE(""https://docs.google.com/spreadsheets/d/1MjHtlUikwobi2MaWJgy7tfLeBmhj1u-dRFRs_8GwSoA/edit#gid=0"",""Gestores Escolares!D7:J""),4,0),""VERIFICAR CÓD SEC"")"),"(71) 9 8681-8003")</f>
        <v>(71) 9 8681-8003</v>
      </c>
      <c r="O1615" s="82" t="str">
        <f>IFERROR(__xludf.DUMMYFUNCTION("IFERROR(VLOOKUP(D1615,
IMPORTRANGE(""https://docs.google.com/spreadsheets/d/1MjHtlUikwobi2MaWJgy7tfLeBmhj1u-dRFRs_8GwSoA/edit#gid=0"",""Gestores Escolares!D7:J""),6,0),""VERIFICAR CÓD SEC"")"),"DENISE CARDOSO DA PAIXÃO")</f>
        <v>DENISE CARDOSO DA PAIXÃO</v>
      </c>
      <c r="P1615" s="82" t="str">
        <f>IFERROR(__xludf.DUMMYFUNCTION("IFERROR(VLOOKUP(D1615,
IMPORTRANGE(""https://docs.google.com/spreadsheets/d/1MjHtlUikwobi2MaWJgy7tfLeBmhj1u-dRFRs_8GwSoA/edit#gid=0"",""Gestores Escolares!D7:J""),7,0),""VERIFICAR CÓD SEC"")"),"(71) 9 8866-5596")</f>
        <v>(71) 9 8866-5596</v>
      </c>
      <c r="Q1615" s="82" t="str">
        <f>IFERROR(__xludf.DUMMYFUNCTION("IFERROR(VLOOKUP(D1615,
IMPORTRANGE(""https://docs.google.com/spreadsheets/d/1MjHtlUikwobi2MaWJgy7tfLeBmhj1u-dRFRs_8GwSoA/edit#gid=0"",""Gestores Escolares!D7:m""),9,0),""VERIFICAR CÓD SEC"")"),"EDILMA CRISTINA MOTA COSTA")</f>
        <v>EDILMA CRISTINA MOTA COSTA</v>
      </c>
      <c r="R1615" s="82" t="str">
        <f>IFERROR(__xludf.DUMMYFUNCTION("IFERROR(VLOOKUP(D1615,
IMPORTRANGE(""https://docs.google.com/spreadsheets/d/1MjHtlUikwobi2MaWJgy7tfLeBmhj1u-dRFRs_8GwSoA/edit#gid=0"",""Gestores Escolares!D7:m""),10,0),""VERIFICAR CÓD SEC"")"),"(71) 9 9131-7701")</f>
        <v>(71) 9 9131-7701</v>
      </c>
      <c r="S1615" s="82"/>
      <c r="T1615" s="138">
        <v>23.0</v>
      </c>
      <c r="U1615" s="152">
        <v>20.0</v>
      </c>
      <c r="V1615" s="106">
        <v>0.0</v>
      </c>
      <c r="W1615" s="107">
        <v>0.0</v>
      </c>
      <c r="X1615" s="107">
        <v>0.0</v>
      </c>
      <c r="Y1615" s="107">
        <v>0.0</v>
      </c>
      <c r="Z1615" s="80">
        <f t="shared" si="1"/>
        <v>0</v>
      </c>
      <c r="AA1615" s="106">
        <v>0.0</v>
      </c>
      <c r="AB1615" s="107">
        <v>0.0</v>
      </c>
      <c r="AC1615" s="107">
        <v>0.0</v>
      </c>
      <c r="AD1615" s="107">
        <v>0.0</v>
      </c>
      <c r="AE1615" s="80">
        <f t="shared" si="2"/>
        <v>0</v>
      </c>
      <c r="AF1615" s="140">
        <v>0.0</v>
      </c>
      <c r="AG1615" s="109">
        <v>0.0</v>
      </c>
      <c r="AH1615" s="109">
        <v>0.0</v>
      </c>
      <c r="AI1615" s="141">
        <v>0.0</v>
      </c>
      <c r="AJ1615" s="80">
        <f t="shared" si="3"/>
        <v>0</v>
      </c>
      <c r="AK1615" s="140">
        <v>0.0</v>
      </c>
      <c r="AL1615" s="109">
        <v>0.0</v>
      </c>
      <c r="AM1615" s="141">
        <v>0.0</v>
      </c>
      <c r="AN1615" s="80">
        <f t="shared" si="4"/>
        <v>0</v>
      </c>
      <c r="AO1615" s="140">
        <v>0.0</v>
      </c>
      <c r="AP1615" s="109">
        <v>0.0</v>
      </c>
      <c r="AQ1615" s="109">
        <v>0.0</v>
      </c>
      <c r="AR1615" s="80">
        <f t="shared" si="5"/>
        <v>0</v>
      </c>
      <c r="AS1615" s="110">
        <v>704.0</v>
      </c>
      <c r="AT1615" s="110">
        <v>354.0</v>
      </c>
      <c r="AU1615" s="110">
        <v>330.0</v>
      </c>
      <c r="AV1615" s="142">
        <v>0.0</v>
      </c>
      <c r="AW1615" s="80">
        <f t="shared" si="6"/>
        <v>1388</v>
      </c>
      <c r="AX1615" s="113">
        <f t="shared" si="7"/>
        <v>1388</v>
      </c>
      <c r="AY1615" s="117">
        <f t="shared" si="8"/>
        <v>1058</v>
      </c>
      <c r="AZ1615" s="120">
        <f t="shared" si="9"/>
        <v>330</v>
      </c>
      <c r="BA1615" s="115">
        <v>26.0</v>
      </c>
      <c r="BB1615" s="89">
        <f t="shared" si="10"/>
        <v>1414</v>
      </c>
      <c r="BC1615" s="132" t="s">
        <v>178</v>
      </c>
      <c r="BD1615" s="132" t="s">
        <v>779</v>
      </c>
      <c r="BE1615" s="132" t="s">
        <v>178</v>
      </c>
      <c r="BF1615" s="123"/>
      <c r="BG1615" s="83">
        <v>1102941.0</v>
      </c>
      <c r="BH1615" s="98" t="s">
        <v>9048</v>
      </c>
      <c r="BI1615" s="112">
        <v>20.0</v>
      </c>
      <c r="BJ1615" s="98" t="s">
        <v>155</v>
      </c>
      <c r="BK1615" s="99">
        <f t="shared" si="11"/>
        <v>0</v>
      </c>
      <c r="BL1615" s="99">
        <f t="shared" si="12"/>
        <v>1058</v>
      </c>
      <c r="BM1615" s="99" t="str">
        <f>IFERROR(__xludf.DUMMYFUNCTION("IFERROR(VLOOKUP(BG1615,IMPORTRANGE(""https://docs.google.com/spreadsheets/d/1juPI-Fb8LD0YtltB2mlGEnp_R3UVu1t3wSFPzgCyHXE/edit?gid=0#gid=0"",""GERAL!A2:C""),3,0),""-"")"),"-")</f>
        <v>-</v>
      </c>
    </row>
    <row r="1616" ht="15.75" customHeight="1">
      <c r="A1616" s="111" t="s">
        <v>1785</v>
      </c>
      <c r="B1616" s="83" t="s">
        <v>1994</v>
      </c>
      <c r="C1616" s="83" t="s">
        <v>68</v>
      </c>
      <c r="D1616" s="112">
        <v>1104049.0</v>
      </c>
      <c r="E1616" s="83"/>
      <c r="F1616" s="83">
        <v>2.9200342E7</v>
      </c>
      <c r="G1616" s="114" t="s">
        <v>9053</v>
      </c>
      <c r="H1616" s="91" t="s">
        <v>9054</v>
      </c>
      <c r="I1616" s="83" t="s">
        <v>8204</v>
      </c>
      <c r="J1616" s="83" t="s">
        <v>150</v>
      </c>
      <c r="K1616" s="83" t="s">
        <v>151</v>
      </c>
      <c r="L1616" s="83" t="s">
        <v>230</v>
      </c>
      <c r="M1616" s="82" t="str">
        <f>IFERROR(__xludf.DUMMYFUNCTION("IFERROR(VLOOKUP(D1616,
IMPORTRANGE(""https://docs.google.com/spreadsheets/d/1MjHtlUikwobi2MaWJgy7tfLeBmhj1u-dRFRs_8GwSoA/edit#gid=0"",""Gestores Escolares!D7:J""),3,0),""VERIFICAR CÓD SEC"")"),"MARIA EUGENIA SEIXAS RIBEIRO")</f>
        <v>MARIA EUGENIA SEIXAS RIBEIRO</v>
      </c>
      <c r="N1616" s="82" t="str">
        <f>IFERROR(__xludf.DUMMYFUNCTION("IFERROR(VLOOKUP(D1616,
IMPORTRANGE(""https://docs.google.com/spreadsheets/d/1MjHtlUikwobi2MaWJgy7tfLeBmhj1u-dRFRs_8GwSoA/edit#gid=0"",""Gestores Escolares!D7:J""),4,0),""VERIFICAR CÓD SEC"")"),"(71) 9 9934-9811")</f>
        <v>(71) 9 9934-9811</v>
      </c>
      <c r="O1616" s="82" t="str">
        <f>IFERROR(__xludf.DUMMYFUNCTION("IFERROR(VLOOKUP(D1616,
IMPORTRANGE(""https://docs.google.com/spreadsheets/d/1MjHtlUikwobi2MaWJgy7tfLeBmhj1u-dRFRs_8GwSoA/edit#gid=0"",""Gestores Escolares!D7:J""),6,0),""VERIFICAR CÓD SEC"")"),"SIMONE PEREIRA LISBOA FREIRE")</f>
        <v>SIMONE PEREIRA LISBOA FREIRE</v>
      </c>
      <c r="P1616" s="82" t="str">
        <f>IFERROR(__xludf.DUMMYFUNCTION("IFERROR(VLOOKUP(D1616,
IMPORTRANGE(""https://docs.google.com/spreadsheets/d/1MjHtlUikwobi2MaWJgy7tfLeBmhj1u-dRFRs_8GwSoA/edit#gid=0"",""Gestores Escolares!D7:J""),7,0),""VERIFICAR CÓD SEC"")"),"(71) 9 9209-8248")</f>
        <v>(71) 9 9209-8248</v>
      </c>
      <c r="Q1616" s="82" t="str">
        <f>IFERROR(__xludf.DUMMYFUNCTION("IFERROR(VLOOKUP(D1616,
IMPORTRANGE(""https://docs.google.com/spreadsheets/d/1MjHtlUikwobi2MaWJgy7tfLeBmhj1u-dRFRs_8GwSoA/edit#gid=0"",""Gestores Escolares!D7:m""),9,0),""VERIFICAR CÓD SEC"")"),"")</f>
        <v/>
      </c>
      <c r="R1616" s="82" t="str">
        <f>IFERROR(__xludf.DUMMYFUNCTION("IFERROR(VLOOKUP(D1616,
IMPORTRANGE(""https://docs.google.com/spreadsheets/d/1MjHtlUikwobi2MaWJgy7tfLeBmhj1u-dRFRs_8GwSoA/edit#gid=0"",""Gestores Escolares!D7:m""),10,0),""VERIFICAR CÓD SEC"")"),"")</f>
        <v/>
      </c>
      <c r="S1616" s="82"/>
      <c r="T1616" s="138">
        <v>48.0</v>
      </c>
      <c r="U1616" s="152">
        <v>24.0</v>
      </c>
      <c r="V1616" s="106">
        <v>0.0</v>
      </c>
      <c r="W1616" s="107">
        <v>0.0</v>
      </c>
      <c r="X1616" s="107">
        <v>0.0</v>
      </c>
      <c r="Y1616" s="107">
        <v>0.0</v>
      </c>
      <c r="Z1616" s="80">
        <f t="shared" si="1"/>
        <v>0</v>
      </c>
      <c r="AA1616" s="106">
        <v>0.0</v>
      </c>
      <c r="AB1616" s="107">
        <v>0.0</v>
      </c>
      <c r="AC1616" s="107">
        <v>0.0</v>
      </c>
      <c r="AD1616" s="107">
        <v>0.0</v>
      </c>
      <c r="AE1616" s="80">
        <f t="shared" si="2"/>
        <v>0</v>
      </c>
      <c r="AF1616" s="140">
        <v>0.0</v>
      </c>
      <c r="AG1616" s="109">
        <v>0.0</v>
      </c>
      <c r="AH1616" s="109">
        <v>0.0</v>
      </c>
      <c r="AI1616" s="141">
        <v>0.0</v>
      </c>
      <c r="AJ1616" s="80">
        <f t="shared" si="3"/>
        <v>0</v>
      </c>
      <c r="AK1616" s="140">
        <v>0.0</v>
      </c>
      <c r="AL1616" s="109">
        <v>0.0</v>
      </c>
      <c r="AM1616" s="141">
        <v>0.0</v>
      </c>
      <c r="AN1616" s="80">
        <f t="shared" si="4"/>
        <v>0</v>
      </c>
      <c r="AO1616" s="140">
        <v>0.0</v>
      </c>
      <c r="AP1616" s="109">
        <v>0.0</v>
      </c>
      <c r="AQ1616" s="109">
        <v>0.0</v>
      </c>
      <c r="AR1616" s="80">
        <f t="shared" si="5"/>
        <v>0</v>
      </c>
      <c r="AS1616" s="110">
        <v>0.0</v>
      </c>
      <c r="AT1616" s="110">
        <v>0.0</v>
      </c>
      <c r="AU1616" s="110">
        <v>0.0</v>
      </c>
      <c r="AV1616" s="142">
        <v>0.0</v>
      </c>
      <c r="AW1616" s="80">
        <f t="shared" si="6"/>
        <v>0</v>
      </c>
      <c r="AX1616" s="113">
        <f t="shared" si="7"/>
        <v>0</v>
      </c>
      <c r="AY1616" s="117">
        <f t="shared" si="8"/>
        <v>0</v>
      </c>
      <c r="AZ1616" s="120">
        <f t="shared" si="9"/>
        <v>0</v>
      </c>
      <c r="BA1616" s="168">
        <v>1.0</v>
      </c>
      <c r="BB1616" s="89">
        <f t="shared" si="10"/>
        <v>1</v>
      </c>
      <c r="BC1616" s="132" t="s">
        <v>553</v>
      </c>
      <c r="BD1616" s="132" t="s">
        <v>554</v>
      </c>
      <c r="BE1616" s="132" t="s">
        <v>178</v>
      </c>
      <c r="BF1616" s="123"/>
      <c r="BG1616" s="83">
        <v>1104049.0</v>
      </c>
      <c r="BH1616" s="98" t="s">
        <v>9055</v>
      </c>
      <c r="BI1616" s="112">
        <v>24.0</v>
      </c>
      <c r="BJ1616" s="98" t="s">
        <v>155</v>
      </c>
      <c r="BK1616" s="99">
        <f t="shared" si="11"/>
        <v>0</v>
      </c>
      <c r="BL1616" s="99">
        <f t="shared" si="12"/>
        <v>0</v>
      </c>
      <c r="BM1616" s="99" t="str">
        <f>IFERROR(__xludf.DUMMYFUNCTION("IFERROR(VLOOKUP(BG1616,IMPORTRANGE(""https://docs.google.com/spreadsheets/d/1juPI-Fb8LD0YtltB2mlGEnp_R3UVu1t3wSFPzgCyHXE/edit?gid=0#gid=0"",""GERAL!A2:C""),3,0),""-"")"),"-")</f>
        <v>-</v>
      </c>
    </row>
    <row r="1617" ht="15.75" customHeight="1">
      <c r="A1617" s="111" t="s">
        <v>1785</v>
      </c>
      <c r="B1617" s="172" t="s">
        <v>1994</v>
      </c>
      <c r="C1617" s="83" t="s">
        <v>68</v>
      </c>
      <c r="D1617" s="112">
        <v>1101511.0</v>
      </c>
      <c r="E1617" s="83"/>
      <c r="F1617" s="83">
        <v>2.998372E7</v>
      </c>
      <c r="G1617" s="114" t="s">
        <v>9065</v>
      </c>
      <c r="H1617" s="91" t="s">
        <v>9066</v>
      </c>
      <c r="I1617" s="83" t="s">
        <v>8208</v>
      </c>
      <c r="J1617" s="83" t="s">
        <v>150</v>
      </c>
      <c r="K1617" s="83" t="s">
        <v>151</v>
      </c>
      <c r="L1617" s="136" t="s">
        <v>1326</v>
      </c>
      <c r="M1617" s="82" t="str">
        <f>IFERROR(__xludf.DUMMYFUNCTION("IFERROR(VLOOKUP(D1617,
IMPORTRANGE(""https://docs.google.com/spreadsheets/d/1MjHtlUikwobi2MaWJgy7tfLeBmhj1u-dRFRs_8GwSoA/edit#gid=0"",""Gestores Escolares!D7:J""),3,0),""VERIFICAR CÓD SEC"")"),"NEIDE BASTOS PEREIRA DOS SANTOS")</f>
        <v>NEIDE BASTOS PEREIRA DOS SANTOS</v>
      </c>
      <c r="N1617" s="82" t="str">
        <f>IFERROR(__xludf.DUMMYFUNCTION("IFERROR(VLOOKUP(D1617,
IMPORTRANGE(""https://docs.google.com/spreadsheets/d/1MjHtlUikwobi2MaWJgy7tfLeBmhj1u-dRFRs_8GwSoA/edit#gid=0"",""Gestores Escolares!D7:J""),4,0),""VERIFICAR CÓD SEC"")"),"(71) 9 8870-2887/ 
9 9270-3781 (ZAP)")</f>
        <v>(71) 9 8870-2887/ 
9 9270-3781 (ZAP)</v>
      </c>
      <c r="O1617" s="82" t="str">
        <f>IFERROR(__xludf.DUMMYFUNCTION("IFERROR(VLOOKUP(D1617,
IMPORTRANGE(""https://docs.google.com/spreadsheets/d/1MjHtlUikwobi2MaWJgy7tfLeBmhj1u-dRFRs_8GwSoA/edit#gid=0"",""Gestores Escolares!D7:J""),6,0),""VERIFICAR CÓD SEC"")"),"")</f>
        <v/>
      </c>
      <c r="P1617" s="82" t="str">
        <f>IFERROR(__xludf.DUMMYFUNCTION("IFERROR(VLOOKUP(D1617,
IMPORTRANGE(""https://docs.google.com/spreadsheets/d/1MjHtlUikwobi2MaWJgy7tfLeBmhj1u-dRFRs_8GwSoA/edit#gid=0"",""Gestores Escolares!D7:J""),7,0),""VERIFICAR CÓD SEC"")"),"")</f>
        <v/>
      </c>
      <c r="Q1617" s="82" t="str">
        <f>IFERROR(__xludf.DUMMYFUNCTION("IFERROR(VLOOKUP(D1617,
IMPORTRANGE(""https://docs.google.com/spreadsheets/d/1MjHtlUikwobi2MaWJgy7tfLeBmhj1u-dRFRs_8GwSoA/edit#gid=0"",""Gestores Escolares!D7:m""),9,0),""VERIFICAR CÓD SEC"")"),"")</f>
        <v/>
      </c>
      <c r="R1617" s="82" t="str">
        <f>IFERROR(__xludf.DUMMYFUNCTION("IFERROR(VLOOKUP(D1617,
IMPORTRANGE(""https://docs.google.com/spreadsheets/d/1MjHtlUikwobi2MaWJgy7tfLeBmhj1u-dRFRs_8GwSoA/edit#gid=0"",""Gestores Escolares!D7:m""),10,0),""VERIFICAR CÓD SEC"")"),"")</f>
        <v/>
      </c>
      <c r="S1617" s="82"/>
      <c r="T1617" s="138" t="s">
        <v>171</v>
      </c>
      <c r="U1617" s="145">
        <v>31.0</v>
      </c>
      <c r="V1617" s="106">
        <v>0.0</v>
      </c>
      <c r="W1617" s="107">
        <v>0.0</v>
      </c>
      <c r="X1617" s="107">
        <v>0.0</v>
      </c>
      <c r="Y1617" s="107">
        <v>0.0</v>
      </c>
      <c r="Z1617" s="80">
        <f t="shared" si="1"/>
        <v>0</v>
      </c>
      <c r="AA1617" s="106">
        <v>0.0</v>
      </c>
      <c r="AB1617" s="107">
        <v>0.0</v>
      </c>
      <c r="AC1617" s="107">
        <v>0.0</v>
      </c>
      <c r="AD1617" s="107">
        <v>0.0</v>
      </c>
      <c r="AE1617" s="80">
        <f t="shared" si="2"/>
        <v>0</v>
      </c>
      <c r="AF1617" s="140">
        <v>0.0</v>
      </c>
      <c r="AG1617" s="109">
        <v>0.0</v>
      </c>
      <c r="AH1617" s="109">
        <v>0.0</v>
      </c>
      <c r="AI1617" s="141">
        <v>0.0</v>
      </c>
      <c r="AJ1617" s="80">
        <f t="shared" si="3"/>
        <v>0</v>
      </c>
      <c r="AK1617" s="140">
        <v>0.0</v>
      </c>
      <c r="AL1617" s="109">
        <v>0.0</v>
      </c>
      <c r="AM1617" s="141">
        <v>0.0</v>
      </c>
      <c r="AN1617" s="80">
        <f t="shared" si="4"/>
        <v>0</v>
      </c>
      <c r="AO1617" s="140">
        <v>0.0</v>
      </c>
      <c r="AP1617" s="109">
        <v>0.0</v>
      </c>
      <c r="AQ1617" s="109">
        <v>0.0</v>
      </c>
      <c r="AR1617" s="80">
        <f t="shared" si="5"/>
        <v>0</v>
      </c>
      <c r="AS1617" s="110">
        <v>0.0</v>
      </c>
      <c r="AT1617" s="110">
        <v>0.0</v>
      </c>
      <c r="AU1617" s="110">
        <v>0.0</v>
      </c>
      <c r="AV1617" s="142">
        <v>0.0</v>
      </c>
      <c r="AW1617" s="80">
        <f t="shared" si="6"/>
        <v>0</v>
      </c>
      <c r="AX1617" s="113">
        <f t="shared" si="7"/>
        <v>0</v>
      </c>
      <c r="AY1617" s="117">
        <f t="shared" si="8"/>
        <v>0</v>
      </c>
      <c r="AZ1617" s="120">
        <f t="shared" si="9"/>
        <v>0</v>
      </c>
      <c r="BA1617" s="115">
        <v>0.0</v>
      </c>
      <c r="BB1617" s="89">
        <f t="shared" si="10"/>
        <v>0</v>
      </c>
      <c r="BC1617" s="132" t="s">
        <v>178</v>
      </c>
      <c r="BD1617" s="132" t="s">
        <v>178</v>
      </c>
      <c r="BE1617" s="132" t="s">
        <v>178</v>
      </c>
      <c r="BF1617" s="123"/>
      <c r="BG1617" s="83">
        <v>1101511.0</v>
      </c>
      <c r="BH1617" s="98" t="s">
        <v>9067</v>
      </c>
      <c r="BI1617" s="112">
        <v>12.0</v>
      </c>
      <c r="BJ1617" s="98" t="s">
        <v>155</v>
      </c>
      <c r="BK1617" s="99">
        <f t="shared" si="11"/>
        <v>0</v>
      </c>
      <c r="BL1617" s="99">
        <f t="shared" si="12"/>
        <v>0</v>
      </c>
      <c r="BM1617" s="99" t="str">
        <f>IFERROR(__xludf.DUMMYFUNCTION("IFERROR(VLOOKUP(BG1617,IMPORTRANGE(""https://docs.google.com/spreadsheets/d/1juPI-Fb8LD0YtltB2mlGEnp_R3UVu1t3wSFPzgCyHXE/edit?gid=0#gid=0"",""GERAL!A2:C""),3,0),""-"")"),"-")</f>
        <v>-</v>
      </c>
    </row>
    <row r="1618" ht="15.75" customHeight="1">
      <c r="A1618" s="111" t="s">
        <v>1785</v>
      </c>
      <c r="B1618" s="83" t="s">
        <v>1994</v>
      </c>
      <c r="C1618" s="83" t="s">
        <v>68</v>
      </c>
      <c r="D1618" s="112">
        <v>1101490.0</v>
      </c>
      <c r="E1618" s="83"/>
      <c r="F1618" s="83">
        <v>2.9179491E7</v>
      </c>
      <c r="G1618" s="187" t="s">
        <v>9069</v>
      </c>
      <c r="H1618" s="91" t="s">
        <v>9070</v>
      </c>
      <c r="I1618" s="83" t="s">
        <v>8208</v>
      </c>
      <c r="J1618" s="83" t="s">
        <v>150</v>
      </c>
      <c r="K1618" s="83" t="s">
        <v>151</v>
      </c>
      <c r="L1618" s="98" t="s">
        <v>152</v>
      </c>
      <c r="M1618" s="82" t="str">
        <f>IFERROR(__xludf.DUMMYFUNCTION("IFERROR(VLOOKUP(D1618,
IMPORTRANGE(""https://docs.google.com/spreadsheets/d/1MjHtlUikwobi2MaWJgy7tfLeBmhj1u-dRFRs_8GwSoA/edit#gid=0"",""Gestores Escolares!D7:J""),3,0),""VERIFICAR CÓD SEC"")"),"LOURDES CONCEICAO BARBUDA AMARAL DOS SANTOS")</f>
        <v>LOURDES CONCEICAO BARBUDA AMARAL DOS SANTOS</v>
      </c>
      <c r="N1618" s="82" t="str">
        <f>IFERROR(__xludf.DUMMYFUNCTION("IFERROR(VLOOKUP(D1618,
IMPORTRANGE(""https://docs.google.com/spreadsheets/d/1MjHtlUikwobi2MaWJgy7tfLeBmhj1u-dRFRs_8GwSoA/edit#gid=0"",""Gestores Escolares!D7:J""),4,0),""VERIFICAR CÓD SEC"")"),"(71) 9 9196-3616/ 
9 9973-1353")</f>
        <v>(71) 9 9196-3616/ 
9 9973-1353</v>
      </c>
      <c r="O1618" s="82" t="str">
        <f>IFERROR(__xludf.DUMMYFUNCTION("IFERROR(VLOOKUP(D1618,
IMPORTRANGE(""https://docs.google.com/spreadsheets/d/1MjHtlUikwobi2MaWJgy7tfLeBmhj1u-dRFRs_8GwSoA/edit#gid=0"",""Gestores Escolares!D7:J""),6,0),""VERIFICAR CÓD SEC"")"),"RONALDO DANTAS DOS SANTOS")</f>
        <v>RONALDO DANTAS DOS SANTOS</v>
      </c>
      <c r="P1618" s="82" t="str">
        <f>IFERROR(__xludf.DUMMYFUNCTION("IFERROR(VLOOKUP(D1618,
IMPORTRANGE(""https://docs.google.com/spreadsheets/d/1MjHtlUikwobi2MaWJgy7tfLeBmhj1u-dRFRs_8GwSoA/edit#gid=0"",""Gestores Escolares!D7:J""),7,0),""VERIFICAR CÓD SEC"")"),"(71) 9 9284-4573")</f>
        <v>(71) 9 9284-4573</v>
      </c>
      <c r="Q1618" s="82" t="str">
        <f>IFERROR(__xludf.DUMMYFUNCTION("IFERROR(VLOOKUP(D1618,
IMPORTRANGE(""https://docs.google.com/spreadsheets/d/1MjHtlUikwobi2MaWJgy7tfLeBmhj1u-dRFRs_8GwSoA/edit#gid=0"",""Gestores Escolares!D7:m""),9,0),""VERIFICAR CÓD SEC"")"),"")</f>
        <v/>
      </c>
      <c r="R1618" s="82" t="str">
        <f>IFERROR(__xludf.DUMMYFUNCTION("IFERROR(VLOOKUP(D1618,
IMPORTRANGE(""https://docs.google.com/spreadsheets/d/1MjHtlUikwobi2MaWJgy7tfLeBmhj1u-dRFRs_8GwSoA/edit#gid=0"",""Gestores Escolares!D7:m""),10,0),""VERIFICAR CÓD SEC"")"),"")</f>
        <v/>
      </c>
      <c r="S1618" s="82"/>
      <c r="T1618" s="138">
        <v>12.0</v>
      </c>
      <c r="U1618" s="152">
        <v>12.0</v>
      </c>
      <c r="V1618" s="106">
        <v>0.0</v>
      </c>
      <c r="W1618" s="107">
        <v>0.0</v>
      </c>
      <c r="X1618" s="107">
        <v>0.0</v>
      </c>
      <c r="Y1618" s="107">
        <v>0.0</v>
      </c>
      <c r="Z1618" s="80">
        <f t="shared" si="1"/>
        <v>0</v>
      </c>
      <c r="AA1618" s="106">
        <v>0.0</v>
      </c>
      <c r="AB1618" s="107">
        <v>0.0</v>
      </c>
      <c r="AC1618" s="107">
        <v>0.0</v>
      </c>
      <c r="AD1618" s="107">
        <v>0.0</v>
      </c>
      <c r="AE1618" s="80">
        <f t="shared" si="2"/>
        <v>0</v>
      </c>
      <c r="AF1618" s="140">
        <v>237.0</v>
      </c>
      <c r="AG1618" s="109">
        <v>50.0</v>
      </c>
      <c r="AH1618" s="109">
        <v>0.0</v>
      </c>
      <c r="AI1618" s="141">
        <v>0.0</v>
      </c>
      <c r="AJ1618" s="80">
        <f t="shared" si="3"/>
        <v>287</v>
      </c>
      <c r="AK1618" s="140">
        <v>0.0</v>
      </c>
      <c r="AL1618" s="109">
        <v>0.0</v>
      </c>
      <c r="AM1618" s="141">
        <v>0.0</v>
      </c>
      <c r="AN1618" s="80">
        <f t="shared" si="4"/>
        <v>0</v>
      </c>
      <c r="AO1618" s="140">
        <v>0.0</v>
      </c>
      <c r="AP1618" s="109">
        <v>0.0</v>
      </c>
      <c r="AQ1618" s="109">
        <v>133.0</v>
      </c>
      <c r="AR1618" s="80">
        <f t="shared" si="5"/>
        <v>133</v>
      </c>
      <c r="AS1618" s="110">
        <v>0.0</v>
      </c>
      <c r="AT1618" s="110">
        <v>52.0</v>
      </c>
      <c r="AU1618" s="110">
        <v>49.0</v>
      </c>
      <c r="AV1618" s="142">
        <v>0.0</v>
      </c>
      <c r="AW1618" s="80">
        <f t="shared" si="6"/>
        <v>101</v>
      </c>
      <c r="AX1618" s="113">
        <f t="shared" si="7"/>
        <v>521</v>
      </c>
      <c r="AY1618" s="117">
        <f t="shared" si="8"/>
        <v>339</v>
      </c>
      <c r="AZ1618" s="120">
        <f t="shared" si="9"/>
        <v>182</v>
      </c>
      <c r="BA1618" s="115">
        <v>1.0</v>
      </c>
      <c r="BB1618" s="89">
        <f t="shared" si="10"/>
        <v>522</v>
      </c>
      <c r="BC1618" s="132" t="s">
        <v>178</v>
      </c>
      <c r="BD1618" s="132" t="s">
        <v>178</v>
      </c>
      <c r="BE1618" s="132" t="s">
        <v>178</v>
      </c>
      <c r="BF1618" s="123"/>
      <c r="BG1618" s="83">
        <v>1101490.0</v>
      </c>
      <c r="BH1618" s="98" t="s">
        <v>9073</v>
      </c>
      <c r="BI1618" s="112">
        <v>12.0</v>
      </c>
      <c r="BJ1618" s="98" t="s">
        <v>155</v>
      </c>
      <c r="BK1618" s="99">
        <f t="shared" si="11"/>
        <v>0</v>
      </c>
      <c r="BL1618" s="99">
        <f t="shared" si="12"/>
        <v>339</v>
      </c>
      <c r="BM1618" s="99" t="str">
        <f>IFERROR(__xludf.DUMMYFUNCTION("IFERROR(VLOOKUP(BG1618,IMPORTRANGE(""https://docs.google.com/spreadsheets/d/1juPI-Fb8LD0YtltB2mlGEnp_R3UVu1t3wSFPzgCyHXE/edit?gid=0#gid=0"",""GERAL!A2:C""),3,0),""-"")"),"-")</f>
        <v>-</v>
      </c>
    </row>
    <row r="1619" ht="15.75" customHeight="1">
      <c r="A1619" s="111" t="s">
        <v>1785</v>
      </c>
      <c r="B1619" s="83" t="s">
        <v>1994</v>
      </c>
      <c r="C1619" s="83" t="s">
        <v>68</v>
      </c>
      <c r="D1619" s="112">
        <v>1101430.0</v>
      </c>
      <c r="E1619" s="83"/>
      <c r="F1619" s="83">
        <v>2.9179629E7</v>
      </c>
      <c r="G1619" s="187" t="s">
        <v>9078</v>
      </c>
      <c r="H1619" s="91" t="s">
        <v>9079</v>
      </c>
      <c r="I1619" s="83" t="s">
        <v>8482</v>
      </c>
      <c r="J1619" s="83" t="s">
        <v>150</v>
      </c>
      <c r="K1619" s="83" t="s">
        <v>151</v>
      </c>
      <c r="L1619" s="83" t="s">
        <v>152</v>
      </c>
      <c r="M1619" s="82" t="str">
        <f>IFERROR(__xludf.DUMMYFUNCTION("IFERROR(VLOOKUP(D1619,
IMPORTRANGE(""https://docs.google.com/spreadsheets/d/1MjHtlUikwobi2MaWJgy7tfLeBmhj1u-dRFRs_8GwSoA/edit#gid=0"",""Gestores Escolares!D7:J""),3,0),""VERIFICAR CÓD SEC"")"),"IVANIR SANTOS GANEM")</f>
        <v>IVANIR SANTOS GANEM</v>
      </c>
      <c r="N1619" s="82" t="str">
        <f>IFERROR(__xludf.DUMMYFUNCTION("IFERROR(VLOOKUP(D1619,
IMPORTRANGE(""https://docs.google.com/spreadsheets/d/1MjHtlUikwobi2MaWJgy7tfLeBmhj1u-dRFRs_8GwSoA/edit#gid=0"",""Gestores Escolares!D7:J""),4,0),""VERIFICAR CÓD SEC"")"),"(71) 9 9220-8899/ 
9 8801-9766")</f>
        <v>(71) 9 9220-8899/ 
9 8801-9766</v>
      </c>
      <c r="O1619" s="82" t="str">
        <f>IFERROR(__xludf.DUMMYFUNCTION("IFERROR(VLOOKUP(D1619,
IMPORTRANGE(""https://docs.google.com/spreadsheets/d/1MjHtlUikwobi2MaWJgy7tfLeBmhj1u-dRFRs_8GwSoA/edit#gid=0"",""Gestores Escolares!D7:J""),6,0),""VERIFICAR CÓD SEC"")"),"IVANA MORAIS ALMEIDA")</f>
        <v>IVANA MORAIS ALMEIDA</v>
      </c>
      <c r="P1619" s="82" t="str">
        <f>IFERROR(__xludf.DUMMYFUNCTION("IFERROR(VLOOKUP(D1619,
IMPORTRANGE(""https://docs.google.com/spreadsheets/d/1MjHtlUikwobi2MaWJgy7tfLeBmhj1u-dRFRs_8GwSoA/edit#gid=0"",""Gestores Escolares!D7:J""),7,0),""VERIFICAR CÓD SEC"")"),"(71) 9 8812-3406")</f>
        <v>(71) 9 8812-3406</v>
      </c>
      <c r="Q1619" s="82" t="str">
        <f>IFERROR(__xludf.DUMMYFUNCTION("IFERROR(VLOOKUP(D1619,
IMPORTRANGE(""https://docs.google.com/spreadsheets/d/1MjHtlUikwobi2MaWJgy7tfLeBmhj1u-dRFRs_8GwSoA/edit#gid=0"",""Gestores Escolares!D7:m""),9,0),""VERIFICAR CÓD SEC"")"),"JOSELENE DOS SANTOS SOUZA")</f>
        <v>JOSELENE DOS SANTOS SOUZA</v>
      </c>
      <c r="R1619" s="82" t="str">
        <f>IFERROR(__xludf.DUMMYFUNCTION("IFERROR(VLOOKUP(D1619,
IMPORTRANGE(""https://docs.google.com/spreadsheets/d/1MjHtlUikwobi2MaWJgy7tfLeBmhj1u-dRFRs_8GwSoA/edit#gid=0"",""Gestores Escolares!D7:m""),10,0),""VERIFICAR CÓD SEC"")"),"(75) 9 8824-6749")</f>
        <v>(75) 9 8824-6749</v>
      </c>
      <c r="S1619" s="82"/>
      <c r="T1619" s="138">
        <v>16.0</v>
      </c>
      <c r="U1619" s="152">
        <v>18.0</v>
      </c>
      <c r="V1619" s="106">
        <v>0.0</v>
      </c>
      <c r="W1619" s="107">
        <v>0.0</v>
      </c>
      <c r="X1619" s="107">
        <v>0.0</v>
      </c>
      <c r="Y1619" s="107">
        <v>0.0</v>
      </c>
      <c r="Z1619" s="80">
        <f t="shared" si="1"/>
        <v>0</v>
      </c>
      <c r="AA1619" s="106">
        <v>201.0</v>
      </c>
      <c r="AB1619" s="107">
        <v>163.0</v>
      </c>
      <c r="AC1619" s="107">
        <v>0.0</v>
      </c>
      <c r="AD1619" s="107">
        <v>108.0</v>
      </c>
      <c r="AE1619" s="80">
        <f t="shared" si="2"/>
        <v>472</v>
      </c>
      <c r="AF1619" s="140">
        <v>0.0</v>
      </c>
      <c r="AG1619" s="109">
        <v>0.0</v>
      </c>
      <c r="AH1619" s="109">
        <v>0.0</v>
      </c>
      <c r="AI1619" s="141">
        <v>0.0</v>
      </c>
      <c r="AJ1619" s="80">
        <f t="shared" si="3"/>
        <v>0</v>
      </c>
      <c r="AK1619" s="140">
        <v>0.0</v>
      </c>
      <c r="AL1619" s="109">
        <v>0.0</v>
      </c>
      <c r="AM1619" s="141">
        <v>68.0</v>
      </c>
      <c r="AN1619" s="80">
        <f t="shared" si="4"/>
        <v>68</v>
      </c>
      <c r="AO1619" s="140">
        <v>0.0</v>
      </c>
      <c r="AP1619" s="109">
        <v>0.0</v>
      </c>
      <c r="AQ1619" s="109">
        <v>160.0</v>
      </c>
      <c r="AR1619" s="80">
        <f t="shared" si="5"/>
        <v>160</v>
      </c>
      <c r="AS1619" s="110">
        <v>0.0</v>
      </c>
      <c r="AT1619" s="110">
        <v>0.0</v>
      </c>
      <c r="AU1619" s="110">
        <v>0.0</v>
      </c>
      <c r="AV1619" s="142">
        <v>0.0</v>
      </c>
      <c r="AW1619" s="80">
        <f t="shared" si="6"/>
        <v>0</v>
      </c>
      <c r="AX1619" s="113">
        <f t="shared" si="7"/>
        <v>700</v>
      </c>
      <c r="AY1619" s="117">
        <f t="shared" si="8"/>
        <v>472</v>
      </c>
      <c r="AZ1619" s="120">
        <f t="shared" si="9"/>
        <v>228</v>
      </c>
      <c r="BA1619" s="115">
        <v>0.0</v>
      </c>
      <c r="BB1619" s="89">
        <f t="shared" si="10"/>
        <v>700</v>
      </c>
      <c r="BC1619" s="132" t="s">
        <v>178</v>
      </c>
      <c r="BD1619" s="132" t="s">
        <v>178</v>
      </c>
      <c r="BE1619" s="132" t="s">
        <v>178</v>
      </c>
      <c r="BF1619" s="123"/>
      <c r="BG1619" s="83">
        <v>1101430.0</v>
      </c>
      <c r="BH1619" s="98" t="s">
        <v>9080</v>
      </c>
      <c r="BI1619" s="112">
        <v>18.0</v>
      </c>
      <c r="BJ1619" s="98" t="s">
        <v>155</v>
      </c>
      <c r="BK1619" s="99">
        <f t="shared" si="11"/>
        <v>108</v>
      </c>
      <c r="BL1619" s="99">
        <f t="shared" si="12"/>
        <v>364</v>
      </c>
      <c r="BM1619" s="99" t="str">
        <f>IFERROR(__xludf.DUMMYFUNCTION("IFERROR(VLOOKUP(BG1619,IMPORTRANGE(""https://docs.google.com/spreadsheets/d/1juPI-Fb8LD0YtltB2mlGEnp_R3UVu1t3wSFPzgCyHXE/edit?gid=0#gid=0"",""GERAL!A2:C""),3,0),""-"")"),"-")</f>
        <v>-</v>
      </c>
    </row>
    <row r="1620" ht="15.75" customHeight="1">
      <c r="A1620" s="111" t="s">
        <v>1785</v>
      </c>
      <c r="B1620" s="83" t="s">
        <v>1994</v>
      </c>
      <c r="C1620" s="83" t="s">
        <v>68</v>
      </c>
      <c r="D1620" s="112">
        <v>1101368.0</v>
      </c>
      <c r="E1620" s="83"/>
      <c r="F1620" s="83">
        <v>2.9179394E7</v>
      </c>
      <c r="G1620" s="187" t="s">
        <v>9085</v>
      </c>
      <c r="H1620" s="91" t="s">
        <v>9087</v>
      </c>
      <c r="I1620" s="83" t="s">
        <v>9089</v>
      </c>
      <c r="J1620" s="83" t="s">
        <v>150</v>
      </c>
      <c r="K1620" s="83" t="s">
        <v>151</v>
      </c>
      <c r="L1620" s="83" t="s">
        <v>152</v>
      </c>
      <c r="M1620" s="82" t="str">
        <f>IFERROR(__xludf.DUMMYFUNCTION("IFERROR(VLOOKUP(D1620,
IMPORTRANGE(""https://docs.google.com/spreadsheets/d/1MjHtlUikwobi2MaWJgy7tfLeBmhj1u-dRFRs_8GwSoA/edit#gid=0"",""Gestores Escolares!D7:J""),3,0),""VERIFICAR CÓD SEC"")"),"NEUZA RIBEIRO DOS SANTOS")</f>
        <v>NEUZA RIBEIRO DOS SANTOS</v>
      </c>
      <c r="N1620" s="82" t="str">
        <f>IFERROR(__xludf.DUMMYFUNCTION("IFERROR(VLOOKUP(D1620,
IMPORTRANGE(""https://docs.google.com/spreadsheets/d/1MjHtlUikwobi2MaWJgy7tfLeBmhj1u-dRFRs_8GwSoA/edit#gid=0"",""Gestores Escolares!D7:J""),4,0),""VERIFICAR CÓD SEC"")"),"(71) 9 9135-8705")</f>
        <v>(71) 9 9135-8705</v>
      </c>
      <c r="O1620" s="82" t="str">
        <f>IFERROR(__xludf.DUMMYFUNCTION("IFERROR(VLOOKUP(D1620,
IMPORTRANGE(""https://docs.google.com/spreadsheets/d/1MjHtlUikwobi2MaWJgy7tfLeBmhj1u-dRFRs_8GwSoA/edit#gid=0"",""Gestores Escolares!D7:J""),6,0),""VERIFICAR CÓD SEC"")"),"PEDRO NORBERTO NOBRE NETO")</f>
        <v>PEDRO NORBERTO NOBRE NETO</v>
      </c>
      <c r="P1620" s="82" t="str">
        <f>IFERROR(__xludf.DUMMYFUNCTION("IFERROR(VLOOKUP(D1620,
IMPORTRANGE(""https://docs.google.com/spreadsheets/d/1MjHtlUikwobi2MaWJgy7tfLeBmhj1u-dRFRs_8GwSoA/edit#gid=0"",""Gestores Escolares!D7:J""),7,0),""VERIFICAR CÓD SEC"")"),"(71) 9 9997-3095")</f>
        <v>(71) 9 9997-3095</v>
      </c>
      <c r="Q1620" s="82" t="str">
        <f>IFERROR(__xludf.DUMMYFUNCTION("IFERROR(VLOOKUP(D1620,
IMPORTRANGE(""https://docs.google.com/spreadsheets/d/1MjHtlUikwobi2MaWJgy7tfLeBmhj1u-dRFRs_8GwSoA/edit#gid=0"",""Gestores Escolares!D7:m""),9,0),""VERIFICAR CÓD SEC"")"),"")</f>
        <v/>
      </c>
      <c r="R1620" s="82" t="str">
        <f>IFERROR(__xludf.DUMMYFUNCTION("IFERROR(VLOOKUP(D1620,
IMPORTRANGE(""https://docs.google.com/spreadsheets/d/1MjHtlUikwobi2MaWJgy7tfLeBmhj1u-dRFRs_8GwSoA/edit#gid=0"",""Gestores Escolares!D7:m""),10,0),""VERIFICAR CÓD SEC"")"),"")</f>
        <v/>
      </c>
      <c r="S1620" s="82"/>
      <c r="T1620" s="138">
        <v>20.0</v>
      </c>
      <c r="U1620" s="152">
        <v>26.0</v>
      </c>
      <c r="V1620" s="106">
        <v>0.0</v>
      </c>
      <c r="W1620" s="107">
        <v>0.0</v>
      </c>
      <c r="X1620" s="107">
        <v>0.0</v>
      </c>
      <c r="Y1620" s="107">
        <v>0.0</v>
      </c>
      <c r="Z1620" s="80">
        <f t="shared" si="1"/>
        <v>0</v>
      </c>
      <c r="AA1620" s="106">
        <v>317.0</v>
      </c>
      <c r="AB1620" s="107">
        <v>0.0</v>
      </c>
      <c r="AC1620" s="107">
        <v>0.0</v>
      </c>
      <c r="AD1620" s="107">
        <v>0.0</v>
      </c>
      <c r="AE1620" s="80">
        <f t="shared" si="2"/>
        <v>317</v>
      </c>
      <c r="AF1620" s="140">
        <v>200.0</v>
      </c>
      <c r="AG1620" s="109">
        <v>0.0</v>
      </c>
      <c r="AH1620" s="109">
        <v>0.0</v>
      </c>
      <c r="AI1620" s="141">
        <v>0.0</v>
      </c>
      <c r="AJ1620" s="80">
        <f t="shared" si="3"/>
        <v>200</v>
      </c>
      <c r="AK1620" s="140">
        <v>0.0</v>
      </c>
      <c r="AL1620" s="109">
        <v>0.0</v>
      </c>
      <c r="AM1620" s="141">
        <v>0.0</v>
      </c>
      <c r="AN1620" s="80">
        <f t="shared" si="4"/>
        <v>0</v>
      </c>
      <c r="AO1620" s="140">
        <v>0.0</v>
      </c>
      <c r="AP1620" s="109">
        <v>0.0</v>
      </c>
      <c r="AQ1620" s="109">
        <v>0.0</v>
      </c>
      <c r="AR1620" s="80">
        <f t="shared" si="5"/>
        <v>0</v>
      </c>
      <c r="AS1620" s="110">
        <v>0.0</v>
      </c>
      <c r="AT1620" s="110">
        <v>0.0</v>
      </c>
      <c r="AU1620" s="110">
        <v>0.0</v>
      </c>
      <c r="AV1620" s="142">
        <v>0.0</v>
      </c>
      <c r="AW1620" s="80">
        <f t="shared" si="6"/>
        <v>0</v>
      </c>
      <c r="AX1620" s="113">
        <f t="shared" si="7"/>
        <v>517</v>
      </c>
      <c r="AY1620" s="117">
        <f t="shared" si="8"/>
        <v>517</v>
      </c>
      <c r="AZ1620" s="120">
        <f t="shared" si="9"/>
        <v>0</v>
      </c>
      <c r="BA1620" s="115">
        <v>0.0</v>
      </c>
      <c r="BB1620" s="89">
        <f t="shared" si="10"/>
        <v>517</v>
      </c>
      <c r="BC1620" s="132" t="s">
        <v>178</v>
      </c>
      <c r="BD1620" s="132" t="s">
        <v>178</v>
      </c>
      <c r="BE1620" s="132" t="s">
        <v>178</v>
      </c>
      <c r="BF1620" s="123"/>
      <c r="BG1620" s="83">
        <v>1101368.0</v>
      </c>
      <c r="BH1620" s="98" t="s">
        <v>9091</v>
      </c>
      <c r="BI1620" s="112">
        <v>26.0</v>
      </c>
      <c r="BJ1620" s="98" t="s">
        <v>155</v>
      </c>
      <c r="BK1620" s="99">
        <f t="shared" si="11"/>
        <v>0</v>
      </c>
      <c r="BL1620" s="99">
        <f t="shared" si="12"/>
        <v>517</v>
      </c>
      <c r="BM1620" s="99" t="str">
        <f>IFERROR(__xludf.DUMMYFUNCTION("IFERROR(VLOOKUP(BG1620,IMPORTRANGE(""https://docs.google.com/spreadsheets/d/1juPI-Fb8LD0YtltB2mlGEnp_R3UVu1t3wSFPzgCyHXE/edit?gid=0#gid=0"",""GERAL!A2:C""),3,0),""-"")"),"-")</f>
        <v>-</v>
      </c>
    </row>
    <row r="1621" ht="15.75" customHeight="1">
      <c r="A1621" s="111" t="s">
        <v>1785</v>
      </c>
      <c r="B1621" s="83" t="s">
        <v>1994</v>
      </c>
      <c r="C1621" s="83" t="s">
        <v>68</v>
      </c>
      <c r="D1621" s="112">
        <v>1101309.0</v>
      </c>
      <c r="E1621" s="83"/>
      <c r="F1621" s="83">
        <v>2.9179548E7</v>
      </c>
      <c r="G1621" s="187" t="s">
        <v>9093</v>
      </c>
      <c r="H1621" s="91" t="s">
        <v>9094</v>
      </c>
      <c r="I1621" s="83" t="s">
        <v>9089</v>
      </c>
      <c r="J1621" s="83" t="s">
        <v>150</v>
      </c>
      <c r="K1621" s="83" t="s">
        <v>151</v>
      </c>
      <c r="L1621" s="83" t="s">
        <v>152</v>
      </c>
      <c r="M1621" s="82" t="str">
        <f>IFERROR(__xludf.DUMMYFUNCTION("IFERROR(VLOOKUP(D1621,
IMPORTRANGE(""https://docs.google.com/spreadsheets/d/1MjHtlUikwobi2MaWJgy7tfLeBmhj1u-dRFRs_8GwSoA/edit#gid=0"",""Gestores Escolares!D7:J""),3,0),""VERIFICAR CÓD SEC"")"),"CARLA DIAS ROCHA")</f>
        <v>CARLA DIAS ROCHA</v>
      </c>
      <c r="N1621" s="82" t="str">
        <f>IFERROR(__xludf.DUMMYFUNCTION("IFERROR(VLOOKUP(D1621,
IMPORTRANGE(""https://docs.google.com/spreadsheets/d/1MjHtlUikwobi2MaWJgy7tfLeBmhj1u-dRFRs_8GwSoA/edit#gid=0"",""Gestores Escolares!D7:J""),4,0),""VERIFICAR CÓD SEC"")"),"(71) 9 8799-9554")</f>
        <v>(71) 9 8799-9554</v>
      </c>
      <c r="O1621" s="82" t="str">
        <f>IFERROR(__xludf.DUMMYFUNCTION("IFERROR(VLOOKUP(D1621,
IMPORTRANGE(""https://docs.google.com/spreadsheets/d/1MjHtlUikwobi2MaWJgy7tfLeBmhj1u-dRFRs_8GwSoA/edit#gid=0"",""Gestores Escolares!D7:J""),6,0),""VERIFICAR CÓD SEC"")"),"ROQUELINE MARIA ALMEIDA")</f>
        <v>ROQUELINE MARIA ALMEIDA</v>
      </c>
      <c r="P1621" s="82" t="str">
        <f>IFERROR(__xludf.DUMMYFUNCTION("IFERROR(VLOOKUP(D1621,
IMPORTRANGE(""https://docs.google.com/spreadsheets/d/1MjHtlUikwobi2MaWJgy7tfLeBmhj1u-dRFRs_8GwSoA/edit#gid=0"",""Gestores Escolares!D7:J""),7,0),""VERIFICAR CÓD SEC"")"),"(71) 9 8793-1956  ")</f>
        <v>(71) 9 8793-1956  </v>
      </c>
      <c r="Q1621" s="82" t="str">
        <f>IFERROR(__xludf.DUMMYFUNCTION("IFERROR(VLOOKUP(D1621,
IMPORTRANGE(""https://docs.google.com/spreadsheets/d/1MjHtlUikwobi2MaWJgy7tfLeBmhj1u-dRFRs_8GwSoA/edit#gid=0"",""Gestores Escolares!D7:m""),9,0),""VERIFICAR CÓD SEC"")"),"MATEUS NONATO BONFIM DE MELO")</f>
        <v>MATEUS NONATO BONFIM DE MELO</v>
      </c>
      <c r="R1621" s="82" t="str">
        <f>IFERROR(__xludf.DUMMYFUNCTION("IFERROR(VLOOKUP(D1621,
IMPORTRANGE(""https://docs.google.com/spreadsheets/d/1MjHtlUikwobi2MaWJgy7tfLeBmhj1u-dRFRs_8GwSoA/edit#gid=0"",""Gestores Escolares!D7:m""),10,0),""VERIFICAR CÓD SEC"")"),"(71) 9 8510-3367/ 3230-5697")</f>
        <v>(71) 9 8510-3367/ 3230-5697</v>
      </c>
      <c r="S1621" s="82"/>
      <c r="T1621" s="138">
        <v>14.0</v>
      </c>
      <c r="U1621" s="152" t="s">
        <v>13521</v>
      </c>
      <c r="V1621" s="106">
        <v>0.0</v>
      </c>
      <c r="W1621" s="107">
        <v>0.0</v>
      </c>
      <c r="X1621" s="107">
        <v>0.0</v>
      </c>
      <c r="Y1621" s="107">
        <v>0.0</v>
      </c>
      <c r="Z1621" s="80">
        <f t="shared" si="1"/>
        <v>0</v>
      </c>
      <c r="AA1621" s="106">
        <v>325.0</v>
      </c>
      <c r="AB1621" s="107">
        <v>0.0</v>
      </c>
      <c r="AC1621" s="107">
        <v>0.0</v>
      </c>
      <c r="AD1621" s="107">
        <v>0.0</v>
      </c>
      <c r="AE1621" s="80">
        <f t="shared" si="2"/>
        <v>325</v>
      </c>
      <c r="AF1621" s="140">
        <v>0.0</v>
      </c>
      <c r="AG1621" s="109">
        <v>0.0</v>
      </c>
      <c r="AH1621" s="109">
        <v>0.0</v>
      </c>
      <c r="AI1621" s="141">
        <v>0.0</v>
      </c>
      <c r="AJ1621" s="80">
        <f t="shared" si="3"/>
        <v>0</v>
      </c>
      <c r="AK1621" s="140">
        <v>0.0</v>
      </c>
      <c r="AL1621" s="109">
        <v>0.0</v>
      </c>
      <c r="AM1621" s="141">
        <v>56.0</v>
      </c>
      <c r="AN1621" s="80">
        <f t="shared" si="4"/>
        <v>56</v>
      </c>
      <c r="AO1621" s="140">
        <v>0.0</v>
      </c>
      <c r="AP1621" s="109">
        <v>0.0</v>
      </c>
      <c r="AQ1621" s="109">
        <v>0.0</v>
      </c>
      <c r="AR1621" s="80">
        <f t="shared" si="5"/>
        <v>0</v>
      </c>
      <c r="AS1621" s="110">
        <v>40.0</v>
      </c>
      <c r="AT1621" s="110">
        <v>0.0</v>
      </c>
      <c r="AU1621" s="110">
        <v>83.0</v>
      </c>
      <c r="AV1621" s="142">
        <v>0.0</v>
      </c>
      <c r="AW1621" s="80">
        <f t="shared" si="6"/>
        <v>123</v>
      </c>
      <c r="AX1621" s="113">
        <f t="shared" si="7"/>
        <v>504</v>
      </c>
      <c r="AY1621" s="117">
        <f t="shared" si="8"/>
        <v>365</v>
      </c>
      <c r="AZ1621" s="120">
        <f t="shared" si="9"/>
        <v>139</v>
      </c>
      <c r="BA1621" s="115">
        <v>0.0</v>
      </c>
      <c r="BB1621" s="89">
        <f t="shared" si="10"/>
        <v>504</v>
      </c>
      <c r="BC1621" s="132" t="s">
        <v>178</v>
      </c>
      <c r="BD1621" s="132" t="s">
        <v>178</v>
      </c>
      <c r="BE1621" s="132" t="s">
        <v>178</v>
      </c>
      <c r="BF1621" s="123"/>
      <c r="BG1621" s="83">
        <v>1101309.0</v>
      </c>
      <c r="BH1621" s="98" t="s">
        <v>9095</v>
      </c>
      <c r="BI1621" s="112">
        <v>14.0</v>
      </c>
      <c r="BJ1621" s="98" t="s">
        <v>155</v>
      </c>
      <c r="BK1621" s="99">
        <f t="shared" si="11"/>
        <v>0</v>
      </c>
      <c r="BL1621" s="99">
        <f t="shared" si="12"/>
        <v>365</v>
      </c>
      <c r="BM1621" s="99" t="str">
        <f>IFERROR(__xludf.DUMMYFUNCTION("IFERROR(VLOOKUP(BG1621,IMPORTRANGE(""https://docs.google.com/spreadsheets/d/1juPI-Fb8LD0YtltB2mlGEnp_R3UVu1t3wSFPzgCyHXE/edit?gid=0#gid=0"",""GERAL!A2:C""),3,0),""-"")"),"-")</f>
        <v>-</v>
      </c>
    </row>
    <row r="1622" ht="15.75" customHeight="1">
      <c r="A1622" s="111" t="s">
        <v>1785</v>
      </c>
      <c r="B1622" s="83" t="s">
        <v>1994</v>
      </c>
      <c r="C1622" s="83" t="s">
        <v>68</v>
      </c>
      <c r="D1622" s="112">
        <v>1174500.0</v>
      </c>
      <c r="E1622" s="83"/>
      <c r="F1622" s="83">
        <v>2.9179815E7</v>
      </c>
      <c r="G1622" s="187" t="s">
        <v>9101</v>
      </c>
      <c r="H1622" s="91" t="s">
        <v>9103</v>
      </c>
      <c r="I1622" s="83" t="s">
        <v>8204</v>
      </c>
      <c r="J1622" s="83" t="s">
        <v>150</v>
      </c>
      <c r="K1622" s="83" t="s">
        <v>151</v>
      </c>
      <c r="L1622" s="83" t="s">
        <v>230</v>
      </c>
      <c r="M1622" s="82" t="str">
        <f>IFERROR(__xludf.DUMMYFUNCTION("IFERROR(VLOOKUP(D1622,
IMPORTRANGE(""https://docs.google.com/spreadsheets/d/1MjHtlUikwobi2MaWJgy7tfLeBmhj1u-dRFRs_8GwSoA/edit#gid=0"",""Gestores Escolares!D7:J""),3,0),""VERIFICAR CÓD SEC"")"),"SIDENISE ESTRELADO SOUSA")</f>
        <v>SIDENISE ESTRELADO SOUSA</v>
      </c>
      <c r="N1622" s="82" t="str">
        <f>IFERROR(__xludf.DUMMYFUNCTION("IFERROR(VLOOKUP(D1622,
IMPORTRANGE(""https://docs.google.com/spreadsheets/d/1MjHtlUikwobi2MaWJgy7tfLeBmhj1u-dRFRs_8GwSoA/edit#gid=0"",""Gestores Escolares!D7:J""),4,0),""VERIFICAR CÓD SEC"")"),"(71) 9 9979-3027")</f>
        <v>(71) 9 9979-3027</v>
      </c>
      <c r="O1622" s="82" t="str">
        <f>IFERROR(__xludf.DUMMYFUNCTION("IFERROR(VLOOKUP(D1622,
IMPORTRANGE(""https://docs.google.com/spreadsheets/d/1MjHtlUikwobi2MaWJgy7tfLeBmhj1u-dRFRs_8GwSoA/edit#gid=0"",""Gestores Escolares!D7:J""),6,0),""VERIFICAR CÓD SEC"")"),"NEEMIAS FRAGA CUNHA ARAUJO")</f>
        <v>NEEMIAS FRAGA CUNHA ARAUJO</v>
      </c>
      <c r="P1622" s="82" t="str">
        <f>IFERROR(__xludf.DUMMYFUNCTION("IFERROR(VLOOKUP(D1622,
IMPORTRANGE(""https://docs.google.com/spreadsheets/d/1MjHtlUikwobi2MaWJgy7tfLeBmhj1u-dRFRs_8GwSoA/edit#gid=0"",""Gestores Escolares!D7:J""),7,0),""VERIFICAR CÓD SEC"")"),"(71) 9 9223 9034")</f>
        <v>(71) 9 9223 9034</v>
      </c>
      <c r="Q1622" s="82" t="str">
        <f>IFERROR(__xludf.DUMMYFUNCTION("IFERROR(VLOOKUP(D1622,
IMPORTRANGE(""https://docs.google.com/spreadsheets/d/1MjHtlUikwobi2MaWJgy7tfLeBmhj1u-dRFRs_8GwSoA/edit#gid=0"",""Gestores Escolares!D7:m""),9,0),""VERIFICAR CÓD SEC"")"),"")</f>
        <v/>
      </c>
      <c r="R1622" s="82" t="str">
        <f>IFERROR(__xludf.DUMMYFUNCTION("IFERROR(VLOOKUP(D1622,
IMPORTRANGE(""https://docs.google.com/spreadsheets/d/1MjHtlUikwobi2MaWJgy7tfLeBmhj1u-dRFRs_8GwSoA/edit#gid=0"",""Gestores Escolares!D7:m""),10,0),""VERIFICAR CÓD SEC"")"),"")</f>
        <v/>
      </c>
      <c r="S1622" s="82"/>
      <c r="T1622" s="138">
        <v>37.0</v>
      </c>
      <c r="U1622" s="152">
        <v>24.0</v>
      </c>
      <c r="V1622" s="106">
        <v>0.0</v>
      </c>
      <c r="W1622" s="107">
        <v>0.0</v>
      </c>
      <c r="X1622" s="107">
        <v>0.0</v>
      </c>
      <c r="Y1622" s="107">
        <v>0.0</v>
      </c>
      <c r="Z1622" s="80">
        <f t="shared" si="1"/>
        <v>0</v>
      </c>
      <c r="AA1622" s="106">
        <v>0.0</v>
      </c>
      <c r="AB1622" s="107">
        <v>0.0</v>
      </c>
      <c r="AC1622" s="107">
        <v>0.0</v>
      </c>
      <c r="AD1622" s="107">
        <v>0.0</v>
      </c>
      <c r="AE1622" s="80">
        <f t="shared" si="2"/>
        <v>0</v>
      </c>
      <c r="AF1622" s="140">
        <v>0.0</v>
      </c>
      <c r="AG1622" s="109">
        <v>0.0</v>
      </c>
      <c r="AH1622" s="109">
        <v>0.0</v>
      </c>
      <c r="AI1622" s="141">
        <v>0.0</v>
      </c>
      <c r="AJ1622" s="80">
        <f t="shared" si="3"/>
        <v>0</v>
      </c>
      <c r="AK1622" s="140">
        <v>0.0</v>
      </c>
      <c r="AL1622" s="109">
        <v>0.0</v>
      </c>
      <c r="AM1622" s="141">
        <v>0.0</v>
      </c>
      <c r="AN1622" s="80">
        <f t="shared" si="4"/>
        <v>0</v>
      </c>
      <c r="AO1622" s="140">
        <v>0.0</v>
      </c>
      <c r="AP1622" s="109">
        <v>0.0</v>
      </c>
      <c r="AQ1622" s="109">
        <v>0.0</v>
      </c>
      <c r="AR1622" s="80">
        <f t="shared" si="5"/>
        <v>0</v>
      </c>
      <c r="AS1622" s="110">
        <v>0.0</v>
      </c>
      <c r="AT1622" s="110">
        <v>0.0</v>
      </c>
      <c r="AU1622" s="110">
        <v>0.0</v>
      </c>
      <c r="AV1622" s="142">
        <v>0.0</v>
      </c>
      <c r="AW1622" s="80">
        <f t="shared" si="6"/>
        <v>0</v>
      </c>
      <c r="AX1622" s="113">
        <f t="shared" si="7"/>
        <v>0</v>
      </c>
      <c r="AY1622" s="117">
        <f t="shared" si="8"/>
        <v>0</v>
      </c>
      <c r="AZ1622" s="120">
        <f t="shared" si="9"/>
        <v>0</v>
      </c>
      <c r="BA1622" s="168">
        <v>1.0</v>
      </c>
      <c r="BB1622" s="89">
        <f t="shared" si="10"/>
        <v>1</v>
      </c>
      <c r="BC1622" s="132" t="s">
        <v>553</v>
      </c>
      <c r="BD1622" s="132" t="s">
        <v>554</v>
      </c>
      <c r="BE1622" s="132" t="s">
        <v>178</v>
      </c>
      <c r="BF1622" s="156"/>
      <c r="BG1622" s="83">
        <v>1174500.0</v>
      </c>
      <c r="BH1622" s="98" t="s">
        <v>9104</v>
      </c>
      <c r="BI1622" s="112">
        <v>24.0</v>
      </c>
      <c r="BJ1622" s="98" t="s">
        <v>155</v>
      </c>
      <c r="BK1622" s="99">
        <f t="shared" si="11"/>
        <v>0</v>
      </c>
      <c r="BL1622" s="99">
        <f t="shared" si="12"/>
        <v>0</v>
      </c>
      <c r="BM1622" s="99" t="str">
        <f>IFERROR(__xludf.DUMMYFUNCTION("IFERROR(VLOOKUP(BG1622,IMPORTRANGE(""https://docs.google.com/spreadsheets/d/1juPI-Fb8LD0YtltB2mlGEnp_R3UVu1t3wSFPzgCyHXE/edit?gid=0#gid=0"",""GERAL!A2:C""),3,0),""-"")"),"-")</f>
        <v>-</v>
      </c>
    </row>
    <row r="1623" ht="15.75" customHeight="1">
      <c r="A1623" s="111" t="s">
        <v>1785</v>
      </c>
      <c r="B1623" s="83" t="s">
        <v>1994</v>
      </c>
      <c r="C1623" s="83" t="s">
        <v>68</v>
      </c>
      <c r="D1623" s="112">
        <v>1103441.0</v>
      </c>
      <c r="E1623" s="83"/>
      <c r="F1623" s="83">
        <v>2.9199182E7</v>
      </c>
      <c r="G1623" s="187" t="s">
        <v>9105</v>
      </c>
      <c r="H1623" s="108" t="s">
        <v>9106</v>
      </c>
      <c r="I1623" s="83" t="s">
        <v>9000</v>
      </c>
      <c r="J1623" s="83" t="s">
        <v>150</v>
      </c>
      <c r="K1623" s="83" t="s">
        <v>5791</v>
      </c>
      <c r="L1623" s="98" t="s">
        <v>230</v>
      </c>
      <c r="M1623" s="82" t="str">
        <f>IFERROR(__xludf.DUMMYFUNCTION("IFERROR(VLOOKUP(D1623,
IMPORTRANGE(""https://docs.google.com/spreadsheets/d/1MjHtlUikwobi2MaWJgy7tfLeBmhj1u-dRFRs_8GwSoA/edit#gid=0"",""Gestores Escolares!D7:J""),3,0),""VERIFICAR CÓD SEC"")"),"REUVAN SODRÉ DE OLIVEIRA ")</f>
        <v>REUVAN SODRÉ DE OLIVEIRA </v>
      </c>
      <c r="N1623" s="82" t="str">
        <f>IFERROR(__xludf.DUMMYFUNCTION("IFERROR(VLOOKUP(D1623,
IMPORTRANGE(""https://docs.google.com/spreadsheets/d/1MjHtlUikwobi2MaWJgy7tfLeBmhj1u-dRFRs_8GwSoA/edit#gid=0"",""Gestores Escolares!D7:J""),4,0),""VERIFICAR CÓD SEC"")"),"(71) 9 8876-8575")</f>
        <v>(71) 9 8876-8575</v>
      </c>
      <c r="O1623" s="82" t="str">
        <f>IFERROR(__xludf.DUMMYFUNCTION("IFERROR(VLOOKUP(D1623,
IMPORTRANGE(""https://docs.google.com/spreadsheets/d/1MjHtlUikwobi2MaWJgy7tfLeBmhj1u-dRFRs_8GwSoA/edit#gid=0"",""Gestores Escolares!D7:J""),6,0),""VERIFICAR CÓD SEC"")")," MARTHA MARIA FERRAZ DO CARMO DA SILVA")</f>
        <v> MARTHA MARIA FERRAZ DO CARMO DA SILVA</v>
      </c>
      <c r="P1623" s="82" t="str">
        <f>IFERROR(__xludf.DUMMYFUNCTION("IFERROR(VLOOKUP(D1623,
IMPORTRANGE(""https://docs.google.com/spreadsheets/d/1MjHtlUikwobi2MaWJgy7tfLeBmhj1u-dRFRs_8GwSoA/edit#gid=0"",""Gestores Escolares!D7:J""),7,0),""VERIFICAR CÓD SEC"")"),"(71) 9 9294-5963")</f>
        <v>(71) 9 9294-5963</v>
      </c>
      <c r="Q1623" s="82" t="str">
        <f>IFERROR(__xludf.DUMMYFUNCTION("IFERROR(VLOOKUP(D1623,
IMPORTRANGE(""https://docs.google.com/spreadsheets/d/1MjHtlUikwobi2MaWJgy7tfLeBmhj1u-dRFRs_8GwSoA/edit#gid=0"",""Gestores Escolares!D7:m""),9,0),""VERIFICAR CÓD SEC"")"),"")</f>
        <v/>
      </c>
      <c r="R1623" s="82" t="str">
        <f>IFERROR(__xludf.DUMMYFUNCTION("IFERROR(VLOOKUP(D1623,
IMPORTRANGE(""https://docs.google.com/spreadsheets/d/1MjHtlUikwobi2MaWJgy7tfLeBmhj1u-dRFRs_8GwSoA/edit#gid=0"",""Gestores Escolares!D7:m""),10,0),""VERIFICAR CÓD SEC"")"),"")</f>
        <v/>
      </c>
      <c r="S1623" s="82"/>
      <c r="T1623" s="138">
        <v>22.0</v>
      </c>
      <c r="U1623" s="152">
        <v>26.0</v>
      </c>
      <c r="V1623" s="106">
        <v>0.0</v>
      </c>
      <c r="W1623" s="107">
        <v>0.0</v>
      </c>
      <c r="X1623" s="107">
        <v>0.0</v>
      </c>
      <c r="Y1623" s="107">
        <v>0.0</v>
      </c>
      <c r="Z1623" s="80">
        <f t="shared" si="1"/>
        <v>0</v>
      </c>
      <c r="AA1623" s="106">
        <v>0.0</v>
      </c>
      <c r="AB1623" s="107">
        <v>0.0</v>
      </c>
      <c r="AC1623" s="107">
        <v>0.0</v>
      </c>
      <c r="AD1623" s="107">
        <v>0.0</v>
      </c>
      <c r="AE1623" s="80">
        <f t="shared" si="2"/>
        <v>0</v>
      </c>
      <c r="AF1623" s="140">
        <v>0.0</v>
      </c>
      <c r="AG1623" s="109">
        <v>0.0</v>
      </c>
      <c r="AH1623" s="109">
        <v>0.0</v>
      </c>
      <c r="AI1623" s="141">
        <v>0.0</v>
      </c>
      <c r="AJ1623" s="80">
        <f t="shared" si="3"/>
        <v>0</v>
      </c>
      <c r="AK1623" s="140">
        <v>0.0</v>
      </c>
      <c r="AL1623" s="109">
        <v>0.0</v>
      </c>
      <c r="AM1623" s="141">
        <v>0.0</v>
      </c>
      <c r="AN1623" s="80">
        <f t="shared" si="4"/>
        <v>0</v>
      </c>
      <c r="AO1623" s="140">
        <v>0.0</v>
      </c>
      <c r="AP1623" s="109">
        <v>0.0</v>
      </c>
      <c r="AQ1623" s="109">
        <v>0.0</v>
      </c>
      <c r="AR1623" s="80">
        <f t="shared" si="5"/>
        <v>0</v>
      </c>
      <c r="AS1623" s="110">
        <v>0.0</v>
      </c>
      <c r="AT1623" s="110">
        <v>0.0</v>
      </c>
      <c r="AU1623" s="110">
        <v>0.0</v>
      </c>
      <c r="AV1623" s="142">
        <v>0.0</v>
      </c>
      <c r="AW1623" s="80">
        <f t="shared" si="6"/>
        <v>0</v>
      </c>
      <c r="AX1623" s="113">
        <f t="shared" si="7"/>
        <v>0</v>
      </c>
      <c r="AY1623" s="117">
        <f t="shared" si="8"/>
        <v>0</v>
      </c>
      <c r="AZ1623" s="120">
        <f t="shared" si="9"/>
        <v>0</v>
      </c>
      <c r="BA1623" s="168">
        <v>1.0</v>
      </c>
      <c r="BB1623" s="89">
        <f t="shared" si="10"/>
        <v>1</v>
      </c>
      <c r="BC1623" s="132" t="s">
        <v>553</v>
      </c>
      <c r="BD1623" s="132" t="s">
        <v>178</v>
      </c>
      <c r="BE1623" s="132" t="s">
        <v>178</v>
      </c>
      <c r="BF1623" s="123"/>
      <c r="BG1623" s="83">
        <v>1103441.0</v>
      </c>
      <c r="BH1623" s="112"/>
      <c r="BI1623" s="112">
        <v>26.0</v>
      </c>
      <c r="BJ1623" s="98" t="s">
        <v>155</v>
      </c>
      <c r="BK1623" s="99">
        <f t="shared" si="11"/>
        <v>0</v>
      </c>
      <c r="BL1623" s="99">
        <f t="shared" si="12"/>
        <v>0</v>
      </c>
      <c r="BM1623" s="99" t="str">
        <f>IFERROR(__xludf.DUMMYFUNCTION("IFERROR(VLOOKUP(BG1623,IMPORTRANGE(""https://docs.google.com/spreadsheets/d/1juPI-Fb8LD0YtltB2mlGEnp_R3UVu1t3wSFPzgCyHXE/edit?gid=0#gid=0"",""GERAL!A2:C""),3,0),""-"")"),"-")</f>
        <v>-</v>
      </c>
    </row>
    <row r="1624" ht="15.75" customHeight="1">
      <c r="A1624" s="111" t="s">
        <v>1785</v>
      </c>
      <c r="B1624" s="83" t="s">
        <v>1994</v>
      </c>
      <c r="C1624" s="83" t="s">
        <v>68</v>
      </c>
      <c r="D1624" s="112">
        <v>1176420.0</v>
      </c>
      <c r="E1624" s="83"/>
      <c r="F1624" s="83">
        <v>2.9386632E7</v>
      </c>
      <c r="G1624" s="187" t="s">
        <v>9110</v>
      </c>
      <c r="H1624" s="91" t="s">
        <v>9112</v>
      </c>
      <c r="I1624" s="136" t="s">
        <v>9113</v>
      </c>
      <c r="J1624" s="83" t="s">
        <v>150</v>
      </c>
      <c r="K1624" s="83" t="s">
        <v>151</v>
      </c>
      <c r="L1624" s="83" t="s">
        <v>230</v>
      </c>
      <c r="M1624" s="82" t="str">
        <f>IFERROR(__xludf.DUMMYFUNCTION("IFERROR(VLOOKUP(D1624,
IMPORTRANGE(""https://docs.google.com/spreadsheets/d/1MjHtlUikwobi2MaWJgy7tfLeBmhj1u-dRFRs_8GwSoA/edit#gid=0"",""Gestores Escolares!D7:J""),3,0),""VERIFICAR CÓD SEC"")"),"RIVER CARVALHO DE AZEVEDO SANTANA")</f>
        <v>RIVER CARVALHO DE AZEVEDO SANTANA</v>
      </c>
      <c r="N1624" s="82" t="str">
        <f>IFERROR(__xludf.DUMMYFUNCTION("IFERROR(VLOOKUP(D1624,
IMPORTRANGE(""https://docs.google.com/spreadsheets/d/1MjHtlUikwobi2MaWJgy7tfLeBmhj1u-dRFRs_8GwSoA/edit#gid=0"",""Gestores Escolares!D7:J""),4,0),""VERIFICAR CÓD SEC"")"),"(71) 9 9999-1073/ 
9 8671-1551")</f>
        <v>(71) 9 9999-1073/ 
9 8671-1551</v>
      </c>
      <c r="O1624" s="82" t="str">
        <f>IFERROR(__xludf.DUMMYFUNCTION("IFERROR(VLOOKUP(D1624,
IMPORTRANGE(""https://docs.google.com/spreadsheets/d/1MjHtlUikwobi2MaWJgy7tfLeBmhj1u-dRFRs_8GwSoA/edit#gid=0"",""Gestores Escolares!D7:J""),6,0),""VERIFICAR CÓD SEC"")"),"JUSSARA VILELA BOMFIM")</f>
        <v>JUSSARA VILELA BOMFIM</v>
      </c>
      <c r="P1624" s="82" t="str">
        <f>IFERROR(__xludf.DUMMYFUNCTION("IFERROR(VLOOKUP(D1624,
IMPORTRANGE(""https://docs.google.com/spreadsheets/d/1MjHtlUikwobi2MaWJgy7tfLeBmhj1u-dRFRs_8GwSoA/edit#gid=0"",""Gestores Escolares!D7:J""),7,0),""VERIFICAR CÓD SEC"")"),"(71) 9 9215-7806")</f>
        <v>(71) 9 9215-7806</v>
      </c>
      <c r="Q1624" s="82" t="str">
        <f>IFERROR(__xludf.DUMMYFUNCTION("IFERROR(VLOOKUP(D1624,
IMPORTRANGE(""https://docs.google.com/spreadsheets/d/1MjHtlUikwobi2MaWJgy7tfLeBmhj1u-dRFRs_8GwSoA/edit#gid=0"",""Gestores Escolares!D7:m""),9,0),""VERIFICAR CÓD SEC"")"),"")</f>
        <v/>
      </c>
      <c r="R1624" s="82" t="str">
        <f>IFERROR(__xludf.DUMMYFUNCTION("IFERROR(VLOOKUP(D1624,
IMPORTRANGE(""https://docs.google.com/spreadsheets/d/1MjHtlUikwobi2MaWJgy7tfLeBmhj1u-dRFRs_8GwSoA/edit#gid=0"",""Gestores Escolares!D7:m""),10,0),""VERIFICAR CÓD SEC"")"),"")</f>
        <v/>
      </c>
      <c r="S1624" s="82"/>
      <c r="T1624" s="138">
        <v>26.0</v>
      </c>
      <c r="U1624" s="152">
        <v>10.0</v>
      </c>
      <c r="V1624" s="106">
        <v>0.0</v>
      </c>
      <c r="W1624" s="107">
        <v>0.0</v>
      </c>
      <c r="X1624" s="107">
        <v>0.0</v>
      </c>
      <c r="Y1624" s="107">
        <v>0.0</v>
      </c>
      <c r="Z1624" s="80">
        <f t="shared" si="1"/>
        <v>0</v>
      </c>
      <c r="AA1624" s="106">
        <v>0.0</v>
      </c>
      <c r="AB1624" s="107">
        <v>0.0</v>
      </c>
      <c r="AC1624" s="107">
        <v>0.0</v>
      </c>
      <c r="AD1624" s="107">
        <v>0.0</v>
      </c>
      <c r="AE1624" s="80">
        <f t="shared" si="2"/>
        <v>0</v>
      </c>
      <c r="AF1624" s="140">
        <v>0.0</v>
      </c>
      <c r="AG1624" s="109">
        <v>0.0</v>
      </c>
      <c r="AH1624" s="109">
        <v>0.0</v>
      </c>
      <c r="AI1624" s="141">
        <v>0.0</v>
      </c>
      <c r="AJ1624" s="80">
        <f t="shared" si="3"/>
        <v>0</v>
      </c>
      <c r="AK1624" s="140">
        <v>0.0</v>
      </c>
      <c r="AL1624" s="109">
        <v>0.0</v>
      </c>
      <c r="AM1624" s="141">
        <v>0.0</v>
      </c>
      <c r="AN1624" s="80">
        <f t="shared" si="4"/>
        <v>0</v>
      </c>
      <c r="AO1624" s="140">
        <v>0.0</v>
      </c>
      <c r="AP1624" s="109">
        <v>0.0</v>
      </c>
      <c r="AQ1624" s="109">
        <v>0.0</v>
      </c>
      <c r="AR1624" s="80">
        <f t="shared" si="5"/>
        <v>0</v>
      </c>
      <c r="AS1624" s="110">
        <v>0.0</v>
      </c>
      <c r="AT1624" s="110">
        <v>0.0</v>
      </c>
      <c r="AU1624" s="110">
        <v>0.0</v>
      </c>
      <c r="AV1624" s="142">
        <v>0.0</v>
      </c>
      <c r="AW1624" s="80">
        <f t="shared" si="6"/>
        <v>0</v>
      </c>
      <c r="AX1624" s="113">
        <f t="shared" si="7"/>
        <v>0</v>
      </c>
      <c r="AY1624" s="117">
        <f t="shared" si="8"/>
        <v>0</v>
      </c>
      <c r="AZ1624" s="120">
        <f t="shared" si="9"/>
        <v>0</v>
      </c>
      <c r="BA1624" s="168">
        <v>3.0</v>
      </c>
      <c r="BB1624" s="89">
        <f t="shared" si="10"/>
        <v>3</v>
      </c>
      <c r="BC1624" s="132" t="s">
        <v>553</v>
      </c>
      <c r="BD1624" s="132" t="s">
        <v>554</v>
      </c>
      <c r="BE1624" s="132" t="s">
        <v>178</v>
      </c>
      <c r="BF1624" s="156"/>
      <c r="BG1624" s="83">
        <v>1176420.0</v>
      </c>
      <c r="BH1624" s="98" t="s">
        <v>9116</v>
      </c>
      <c r="BI1624" s="112">
        <v>10.0</v>
      </c>
      <c r="BJ1624" s="98" t="s">
        <v>155</v>
      </c>
      <c r="BK1624" s="99">
        <f t="shared" si="11"/>
        <v>0</v>
      </c>
      <c r="BL1624" s="99">
        <f t="shared" si="12"/>
        <v>0</v>
      </c>
      <c r="BM1624" s="99" t="str">
        <f>IFERROR(__xludf.DUMMYFUNCTION("IFERROR(VLOOKUP(BG1624,IMPORTRANGE(""https://docs.google.com/spreadsheets/d/1juPI-Fb8LD0YtltB2mlGEnp_R3UVu1t3wSFPzgCyHXE/edit?gid=0#gid=0"",""GERAL!A2:C""),3,0),""-"")"),"-")</f>
        <v>-</v>
      </c>
    </row>
    <row r="1625" ht="15.75" customHeight="1">
      <c r="A1625" s="111" t="s">
        <v>1785</v>
      </c>
      <c r="B1625" s="83" t="s">
        <v>1994</v>
      </c>
      <c r="C1625" s="83" t="s">
        <v>68</v>
      </c>
      <c r="D1625" s="112">
        <v>1179480.0</v>
      </c>
      <c r="E1625" s="83"/>
      <c r="F1625" s="98">
        <v>41500.0</v>
      </c>
      <c r="G1625" s="114" t="s">
        <v>9118</v>
      </c>
      <c r="H1625" s="108" t="s">
        <v>9119</v>
      </c>
      <c r="I1625" s="136" t="s">
        <v>8247</v>
      </c>
      <c r="J1625" s="98" t="s">
        <v>150</v>
      </c>
      <c r="K1625" s="186" t="s">
        <v>151</v>
      </c>
      <c r="L1625" s="83" t="s">
        <v>230</v>
      </c>
      <c r="M1625" s="82" t="str">
        <f>IFERROR(__xludf.DUMMYFUNCTION("IFERROR(VLOOKUP(D1625,
IMPORTRANGE(""https://docs.google.com/spreadsheets/d/1MjHtlUikwobi2MaWJgy7tfLeBmhj1u-dRFRs_8GwSoA/edit#gid=0"",""Gestores Escolares!D7:J""),3,0),""VERIFICAR CÓD SEC"")"),"FLAVIA BARBOSA DE CARVALHO")</f>
        <v>FLAVIA BARBOSA DE CARVALHO</v>
      </c>
      <c r="N1625" s="82" t="str">
        <f>IFERROR(__xludf.DUMMYFUNCTION("IFERROR(VLOOKUP(D1625,
IMPORTRANGE(""https://docs.google.com/spreadsheets/d/1MjHtlUikwobi2MaWJgy7tfLeBmhj1u-dRFRs_8GwSoA/edit#gid=0"",""Gestores Escolares!D7:J""),4,0),""VERIFICAR CÓD SEC"")"),"(71) 9 8898-1628")</f>
        <v>(71) 9 8898-1628</v>
      </c>
      <c r="O1625" s="82" t="str">
        <f>IFERROR(__xludf.DUMMYFUNCTION("IFERROR(VLOOKUP(D1625,
IMPORTRANGE(""https://docs.google.com/spreadsheets/d/1MjHtlUikwobi2MaWJgy7tfLeBmhj1u-dRFRs_8GwSoA/edit#gid=0"",""Gestores Escolares!D7:J""),6,0),""VERIFICAR CÓD SEC"")"),"JOSE FRANCISCO BARRETTO NETO")</f>
        <v>JOSE FRANCISCO BARRETTO NETO</v>
      </c>
      <c r="P1625" s="82" t="str">
        <f>IFERROR(__xludf.DUMMYFUNCTION("IFERROR(VLOOKUP(D1625,
IMPORTRANGE(""https://docs.google.com/spreadsheets/d/1MjHtlUikwobi2MaWJgy7tfLeBmhj1u-dRFRs_8GwSoA/edit#gid=0"",""Gestores Escolares!D7:J""),7,0),""VERIFICAR CÓD SEC"")"),"(71) 9 8182-7455")</f>
        <v>(71) 9 8182-7455</v>
      </c>
      <c r="Q1625" s="82" t="str">
        <f>IFERROR(__xludf.DUMMYFUNCTION("IFERROR(VLOOKUP(D1625,
IMPORTRANGE(""https://docs.google.com/spreadsheets/d/1MjHtlUikwobi2MaWJgy7tfLeBmhj1u-dRFRs_8GwSoA/edit#gid=0"",""Gestores Escolares!D7:m""),9,0),""VERIFICAR CÓD SEC"")"),"DILCLEIA SANTANA DE OLIVEIRA SOARES DA SILVA")</f>
        <v>DILCLEIA SANTANA DE OLIVEIRA SOARES DA SILVA</v>
      </c>
      <c r="R1625" s="82" t="str">
        <f>IFERROR(__xludf.DUMMYFUNCTION("IFERROR(VLOOKUP(D1625,
IMPORTRANGE(""https://docs.google.com/spreadsheets/d/1MjHtlUikwobi2MaWJgy7tfLeBmhj1u-dRFRs_8GwSoA/edit#gid=0"",""Gestores Escolares!D7:m""),10,0),""VERIFICAR CÓD SEC"")"),"(71) 9 9301-6024")</f>
        <v>(71) 9 9301-6024</v>
      </c>
      <c r="S1625" s="82"/>
      <c r="T1625" s="138" t="s">
        <v>171</v>
      </c>
      <c r="U1625" s="152" t="s">
        <v>171</v>
      </c>
      <c r="V1625" s="106">
        <v>0.0</v>
      </c>
      <c r="W1625" s="107">
        <v>0.0</v>
      </c>
      <c r="X1625" s="107">
        <v>0.0</v>
      </c>
      <c r="Y1625" s="107">
        <v>0.0</v>
      </c>
      <c r="Z1625" s="80">
        <f t="shared" si="1"/>
        <v>0</v>
      </c>
      <c r="AA1625" s="106">
        <v>0.0</v>
      </c>
      <c r="AB1625" s="107">
        <v>0.0</v>
      </c>
      <c r="AC1625" s="107">
        <v>0.0</v>
      </c>
      <c r="AD1625" s="107">
        <v>0.0</v>
      </c>
      <c r="AE1625" s="80">
        <f t="shared" si="2"/>
        <v>0</v>
      </c>
      <c r="AF1625" s="140">
        <v>0.0</v>
      </c>
      <c r="AG1625" s="109">
        <v>0.0</v>
      </c>
      <c r="AH1625" s="109">
        <v>0.0</v>
      </c>
      <c r="AI1625" s="141">
        <v>0.0</v>
      </c>
      <c r="AJ1625" s="80">
        <f t="shared" si="3"/>
        <v>0</v>
      </c>
      <c r="AK1625" s="140">
        <v>0.0</v>
      </c>
      <c r="AL1625" s="109">
        <v>0.0</v>
      </c>
      <c r="AM1625" s="141">
        <v>0.0</v>
      </c>
      <c r="AN1625" s="80">
        <f t="shared" si="4"/>
        <v>0</v>
      </c>
      <c r="AO1625" s="140">
        <v>0.0</v>
      </c>
      <c r="AP1625" s="109">
        <v>0.0</v>
      </c>
      <c r="AQ1625" s="109">
        <v>0.0</v>
      </c>
      <c r="AR1625" s="80">
        <f t="shared" si="5"/>
        <v>0</v>
      </c>
      <c r="AS1625" s="110">
        <v>0.0</v>
      </c>
      <c r="AT1625" s="110">
        <v>0.0</v>
      </c>
      <c r="AU1625" s="110">
        <v>0.0</v>
      </c>
      <c r="AV1625" s="142">
        <v>0.0</v>
      </c>
      <c r="AW1625" s="80">
        <f t="shared" si="6"/>
        <v>0</v>
      </c>
      <c r="AX1625" s="113">
        <f t="shared" si="7"/>
        <v>0</v>
      </c>
      <c r="AY1625" s="117">
        <f t="shared" si="8"/>
        <v>0</v>
      </c>
      <c r="AZ1625" s="120">
        <f t="shared" si="9"/>
        <v>0</v>
      </c>
      <c r="BA1625" s="115">
        <v>0.0</v>
      </c>
      <c r="BB1625" s="89">
        <f t="shared" si="10"/>
        <v>0</v>
      </c>
      <c r="BC1625" s="132" t="s">
        <v>178</v>
      </c>
      <c r="BD1625" s="143" t="s">
        <v>227</v>
      </c>
      <c r="BE1625" s="132" t="s">
        <v>178</v>
      </c>
      <c r="BF1625" s="156" t="s">
        <v>534</v>
      </c>
      <c r="BG1625" s="83">
        <v>1179480.0</v>
      </c>
      <c r="BH1625" s="112"/>
      <c r="BI1625" s="112">
        <v>0.0</v>
      </c>
      <c r="BJ1625" s="98" t="s">
        <v>155</v>
      </c>
      <c r="BK1625" s="99">
        <f t="shared" si="11"/>
        <v>0</v>
      </c>
      <c r="BL1625" s="99">
        <f t="shared" si="12"/>
        <v>0</v>
      </c>
      <c r="BM1625" s="99" t="str">
        <f>IFERROR(__xludf.DUMMYFUNCTION("IFERROR(VLOOKUP(BG1625,IMPORTRANGE(""https://docs.google.com/spreadsheets/d/1juPI-Fb8LD0YtltB2mlGEnp_R3UVu1t3wSFPzgCyHXE/edit?gid=0#gid=0"",""GERAL!A2:C""),3,0),""-"")"),"-")</f>
        <v>-</v>
      </c>
    </row>
    <row r="1626" ht="15.75" customHeight="1">
      <c r="A1626" s="111" t="s">
        <v>1785</v>
      </c>
      <c r="B1626" s="83" t="s">
        <v>1994</v>
      </c>
      <c r="C1626" s="83" t="s">
        <v>164</v>
      </c>
      <c r="D1626" s="112">
        <v>1176880.0</v>
      </c>
      <c r="E1626" s="83">
        <v>1178415.0</v>
      </c>
      <c r="F1626" s="98">
        <v>2.9489733E7</v>
      </c>
      <c r="G1626" s="114" t="s">
        <v>9122</v>
      </c>
      <c r="H1626" s="91" t="s">
        <v>9123</v>
      </c>
      <c r="I1626" s="136" t="s">
        <v>8247</v>
      </c>
      <c r="J1626" s="136" t="s">
        <v>150</v>
      </c>
      <c r="K1626" s="83" t="s">
        <v>9124</v>
      </c>
      <c r="L1626" s="83" t="s">
        <v>169</v>
      </c>
      <c r="M1626" s="82" t="str">
        <f>IFERROR(__xludf.DUMMYFUNCTION("IFERROR(VLOOKUP(D1626,
IMPORTRANGE(""https://docs.google.com/spreadsheets/d/1MjHtlUikwobi2MaWJgy7tfLeBmhj1u-dRFRs_8GwSoA/edit#gid=0"",""Gestores Escolares!D7:J""),3,0),""VERIFICAR CÓD SEC"")"),"BARBARA DE CASSIA VIEIRA")</f>
        <v>BARBARA DE CASSIA VIEIRA</v>
      </c>
      <c r="N1626" s="82" t="str">
        <f>IFERROR(__xludf.DUMMYFUNCTION("IFERROR(VLOOKUP(D1626,
IMPORTRANGE(""https://docs.google.com/spreadsheets/d/1MjHtlUikwobi2MaWJgy7tfLeBmhj1u-dRFRs_8GwSoA/edit#gid=0"",""Gestores Escolares!D7:J""),4,0),""VERIFICAR CÓD SEC"")"),"(71) 98600-8123  ")</f>
        <v>(71) 98600-8123  </v>
      </c>
      <c r="O1626" s="82" t="str">
        <f>IFERROR(__xludf.DUMMYFUNCTION("IFERROR(VLOOKUP(D1626,
IMPORTRANGE(""https://docs.google.com/spreadsheets/d/1MjHtlUikwobi2MaWJgy7tfLeBmhj1u-dRFRs_8GwSoA/edit#gid=0"",""Gestores Escolares!D7:J""),6,0),""VERIFICAR CÓD SEC"")"),"KLEBER CRISTIANO DOS SANTOS ALMEIDA")</f>
        <v>KLEBER CRISTIANO DOS SANTOS ALMEIDA</v>
      </c>
      <c r="P1626" s="82" t="str">
        <f>IFERROR(__xludf.DUMMYFUNCTION("IFERROR(VLOOKUP(D1626,
IMPORTRANGE(""https://docs.google.com/spreadsheets/d/1MjHtlUikwobi2MaWJgy7tfLeBmhj1u-dRFRs_8GwSoA/edit#gid=0"",""Gestores Escolares!D7:J""),7,0),""VERIFICAR CÓD SEC"")"),"(71) 9 8717-7803")</f>
        <v>(71) 9 8717-7803</v>
      </c>
      <c r="Q1626" s="82" t="str">
        <f>IFERROR(__xludf.DUMMYFUNCTION("IFERROR(VLOOKUP(D1626,
IMPORTRANGE(""https://docs.google.com/spreadsheets/d/1MjHtlUikwobi2MaWJgy7tfLeBmhj1u-dRFRs_8GwSoA/edit#gid=0"",""Gestores Escolares!D7:m""),9,0),""VERIFICAR CÓD SEC"")"),"FERCY PINTO PEDREIRA ")</f>
        <v>FERCY PINTO PEDREIRA </v>
      </c>
      <c r="R1626" s="82" t="str">
        <f>IFERROR(__xludf.DUMMYFUNCTION("IFERROR(VLOOKUP(D1626,
IMPORTRANGE(""https://docs.google.com/spreadsheets/d/1MjHtlUikwobi2MaWJgy7tfLeBmhj1u-dRFRs_8GwSoA/edit#gid=0"",""Gestores Escolares!D7:m""),10,0),""VERIFICAR CÓD SEC"")"),"(71) 9 8600-8123 / 9 8214-5875")</f>
        <v>(71) 9 8600-8123 / 9 8214-5875</v>
      </c>
      <c r="S1626" s="82"/>
      <c r="T1626" s="138">
        <v>5.0</v>
      </c>
      <c r="U1626" s="152">
        <v>5.0</v>
      </c>
      <c r="V1626" s="106">
        <v>0.0</v>
      </c>
      <c r="W1626" s="107">
        <v>0.0</v>
      </c>
      <c r="X1626" s="107">
        <v>0.0</v>
      </c>
      <c r="Y1626" s="107">
        <v>0.0</v>
      </c>
      <c r="Z1626" s="80">
        <f t="shared" si="1"/>
        <v>0</v>
      </c>
      <c r="AA1626" s="106">
        <v>219.0</v>
      </c>
      <c r="AB1626" s="107">
        <v>202.0</v>
      </c>
      <c r="AC1626" s="107">
        <v>0.0</v>
      </c>
      <c r="AD1626" s="107">
        <v>0.0</v>
      </c>
      <c r="AE1626" s="80">
        <f t="shared" si="2"/>
        <v>421</v>
      </c>
      <c r="AF1626" s="140">
        <v>0.0</v>
      </c>
      <c r="AG1626" s="109">
        <v>0.0</v>
      </c>
      <c r="AH1626" s="109">
        <v>0.0</v>
      </c>
      <c r="AI1626" s="141">
        <v>0.0</v>
      </c>
      <c r="AJ1626" s="80">
        <f t="shared" si="3"/>
        <v>0</v>
      </c>
      <c r="AK1626" s="140">
        <v>0.0</v>
      </c>
      <c r="AL1626" s="109">
        <v>0.0</v>
      </c>
      <c r="AM1626" s="141">
        <v>0.0</v>
      </c>
      <c r="AN1626" s="80">
        <f t="shared" si="4"/>
        <v>0</v>
      </c>
      <c r="AO1626" s="140">
        <v>0.0</v>
      </c>
      <c r="AP1626" s="109">
        <v>0.0</v>
      </c>
      <c r="AQ1626" s="109">
        <v>0.0</v>
      </c>
      <c r="AR1626" s="80">
        <f t="shared" si="5"/>
        <v>0</v>
      </c>
      <c r="AS1626" s="110">
        <v>0.0</v>
      </c>
      <c r="AT1626" s="110">
        <v>0.0</v>
      </c>
      <c r="AU1626" s="110">
        <v>0.0</v>
      </c>
      <c r="AV1626" s="142">
        <v>0.0</v>
      </c>
      <c r="AW1626" s="80">
        <f t="shared" si="6"/>
        <v>0</v>
      </c>
      <c r="AX1626" s="113">
        <f t="shared" si="7"/>
        <v>421</v>
      </c>
      <c r="AY1626" s="117">
        <f t="shared" si="8"/>
        <v>421</v>
      </c>
      <c r="AZ1626" s="120">
        <f t="shared" si="9"/>
        <v>0</v>
      </c>
      <c r="BA1626" s="115">
        <v>0.0</v>
      </c>
      <c r="BB1626" s="89">
        <f t="shared" si="10"/>
        <v>421</v>
      </c>
      <c r="BC1626" s="132" t="s">
        <v>178</v>
      </c>
      <c r="BD1626" s="132" t="s">
        <v>178</v>
      </c>
      <c r="BE1626" s="132" t="s">
        <v>178</v>
      </c>
      <c r="BF1626" s="123"/>
      <c r="BG1626" s="83">
        <v>1178415.0</v>
      </c>
      <c r="BH1626" s="112"/>
      <c r="BI1626" s="112">
        <v>5.0</v>
      </c>
      <c r="BJ1626" s="98" t="s">
        <v>155</v>
      </c>
      <c r="BK1626" s="99">
        <f t="shared" si="11"/>
        <v>0</v>
      </c>
      <c r="BL1626" s="99">
        <f t="shared" si="12"/>
        <v>421</v>
      </c>
      <c r="BM1626" s="99" t="str">
        <f>IFERROR(__xludf.DUMMYFUNCTION("IFERROR(VLOOKUP(BG1626,IMPORTRANGE(""https://docs.google.com/spreadsheets/d/1juPI-Fb8LD0YtltB2mlGEnp_R3UVu1t3wSFPzgCyHXE/edit?gid=0#gid=0"",""GERAL!A2:C""),3,0),""-"")"),"-")</f>
        <v>-</v>
      </c>
    </row>
    <row r="1627" ht="15.75" customHeight="1">
      <c r="A1627" s="111" t="s">
        <v>1785</v>
      </c>
      <c r="B1627" s="83" t="s">
        <v>1994</v>
      </c>
      <c r="C1627" s="83" t="s">
        <v>164</v>
      </c>
      <c r="D1627" s="112">
        <v>1176810.0</v>
      </c>
      <c r="E1627" s="83">
        <v>1178567.0</v>
      </c>
      <c r="F1627" s="98">
        <v>2.948975E7</v>
      </c>
      <c r="G1627" s="119" t="s">
        <v>9125</v>
      </c>
      <c r="H1627" s="91" t="s">
        <v>9126</v>
      </c>
      <c r="I1627" s="136" t="s">
        <v>8133</v>
      </c>
      <c r="J1627" s="136" t="s">
        <v>150</v>
      </c>
      <c r="K1627" s="83" t="s">
        <v>1078</v>
      </c>
      <c r="L1627" s="83" t="s">
        <v>169</v>
      </c>
      <c r="M1627" s="82" t="str">
        <f>IFERROR(__xludf.DUMMYFUNCTION("IFERROR(VLOOKUP(D1627,
IMPORTRANGE(""https://docs.google.com/spreadsheets/d/1MjHtlUikwobi2MaWJgy7tfLeBmhj1u-dRFRs_8GwSoA/edit#gid=0"",""Gestores Escolares!D7:J""),3,0),""VERIFICAR CÓD SEC"")"),"CLECIO ROULLET DE AZEVEDO")</f>
        <v>CLECIO ROULLET DE AZEVEDO</v>
      </c>
      <c r="N1627" s="82" t="str">
        <f>IFERROR(__xludf.DUMMYFUNCTION("IFERROR(VLOOKUP(D1627,
IMPORTRANGE(""https://docs.google.com/spreadsheets/d/1MjHtlUikwobi2MaWJgy7tfLeBmhj1u-dRFRs_8GwSoA/edit#gid=0"",""Gestores Escolares!D7:J""),4,0),""VERIFICAR CÓD SEC"")"),"(71) 9 9964-7572")</f>
        <v>(71) 9 9964-7572</v>
      </c>
      <c r="O1627" s="82" t="str">
        <f>IFERROR(__xludf.DUMMYFUNCTION("IFERROR(VLOOKUP(D1627,
IMPORTRANGE(""https://docs.google.com/spreadsheets/d/1MjHtlUikwobi2MaWJgy7tfLeBmhj1u-dRFRs_8GwSoA/edit#gid=0"",""Gestores Escolares!D7:J""),6,0),""VERIFICAR CÓD SEC"")"),"MARIA DE FATIMA BATISTA DO ESPIRITO SANTO")</f>
        <v>MARIA DE FATIMA BATISTA DO ESPIRITO SANTO</v>
      </c>
      <c r="P1627" s="82" t="str">
        <f>IFERROR(__xludf.DUMMYFUNCTION("IFERROR(VLOOKUP(D1627,
IMPORTRANGE(""https://docs.google.com/spreadsheets/d/1MjHtlUikwobi2MaWJgy7tfLeBmhj1u-dRFRs_8GwSoA/edit#gid=0"",""Gestores Escolares!D7:J""),7,0),""VERIFICAR CÓD SEC"")"),"(71) 9 9131-2084")</f>
        <v>(71) 9 9131-2084</v>
      </c>
      <c r="Q1627" s="82" t="str">
        <f>IFERROR(__xludf.DUMMYFUNCTION("IFERROR(VLOOKUP(D1627,
IMPORTRANGE(""https://docs.google.com/spreadsheets/d/1MjHtlUikwobi2MaWJgy7tfLeBmhj1u-dRFRs_8GwSoA/edit#gid=0"",""Gestores Escolares!D7:m""),9,0),""VERIFICAR CÓD SEC"")"),"EDILTON AGARENO DE SOUZA JR.")</f>
        <v>EDILTON AGARENO DE SOUZA JR.</v>
      </c>
      <c r="R1627" s="82" t="str">
        <f>IFERROR(__xludf.DUMMYFUNCTION("IFERROR(VLOOKUP(D1627,
IMPORTRANGE(""https://docs.google.com/spreadsheets/d/1MjHtlUikwobi2MaWJgy7tfLeBmhj1u-dRFRs_8GwSoA/edit#gid=0"",""Gestores Escolares!D7:m""),10,0),""VERIFICAR CÓD SEC"")"),"(71) 9 8852-7033")</f>
        <v>(71) 9 8852-7033</v>
      </c>
      <c r="S1627" s="82"/>
      <c r="T1627" s="138">
        <v>9.0</v>
      </c>
      <c r="U1627" s="152">
        <v>9.0</v>
      </c>
      <c r="V1627" s="106">
        <v>0.0</v>
      </c>
      <c r="W1627" s="107">
        <v>0.0</v>
      </c>
      <c r="X1627" s="107">
        <v>0.0</v>
      </c>
      <c r="Y1627" s="107">
        <v>0.0</v>
      </c>
      <c r="Z1627" s="80">
        <f t="shared" si="1"/>
        <v>0</v>
      </c>
      <c r="AA1627" s="106">
        <v>365.0</v>
      </c>
      <c r="AB1627" s="107">
        <v>363.0</v>
      </c>
      <c r="AC1627" s="107">
        <v>0.0</v>
      </c>
      <c r="AD1627" s="107">
        <v>0.0</v>
      </c>
      <c r="AE1627" s="80">
        <f t="shared" si="2"/>
        <v>728</v>
      </c>
      <c r="AF1627" s="140">
        <v>0.0</v>
      </c>
      <c r="AG1627" s="109">
        <v>0.0</v>
      </c>
      <c r="AH1627" s="109">
        <v>0.0</v>
      </c>
      <c r="AI1627" s="141">
        <v>0.0</v>
      </c>
      <c r="AJ1627" s="80">
        <f t="shared" si="3"/>
        <v>0</v>
      </c>
      <c r="AK1627" s="140">
        <v>0.0</v>
      </c>
      <c r="AL1627" s="109">
        <v>0.0</v>
      </c>
      <c r="AM1627" s="141">
        <v>0.0</v>
      </c>
      <c r="AN1627" s="80">
        <f t="shared" si="4"/>
        <v>0</v>
      </c>
      <c r="AO1627" s="140">
        <v>0.0</v>
      </c>
      <c r="AP1627" s="109">
        <v>0.0</v>
      </c>
      <c r="AQ1627" s="109">
        <v>235.0</v>
      </c>
      <c r="AR1627" s="80">
        <f t="shared" si="5"/>
        <v>235</v>
      </c>
      <c r="AS1627" s="110">
        <v>0.0</v>
      </c>
      <c r="AT1627" s="110">
        <v>0.0</v>
      </c>
      <c r="AU1627" s="110">
        <v>0.0</v>
      </c>
      <c r="AV1627" s="142">
        <v>0.0</v>
      </c>
      <c r="AW1627" s="80">
        <f t="shared" si="6"/>
        <v>0</v>
      </c>
      <c r="AX1627" s="113">
        <f t="shared" si="7"/>
        <v>963</v>
      </c>
      <c r="AY1627" s="117">
        <f t="shared" si="8"/>
        <v>728</v>
      </c>
      <c r="AZ1627" s="120">
        <f t="shared" si="9"/>
        <v>235</v>
      </c>
      <c r="BA1627" s="115">
        <v>0.0</v>
      </c>
      <c r="BB1627" s="89">
        <f t="shared" si="10"/>
        <v>963</v>
      </c>
      <c r="BC1627" s="132" t="s">
        <v>178</v>
      </c>
      <c r="BD1627" s="132" t="s">
        <v>178</v>
      </c>
      <c r="BE1627" s="132" t="s">
        <v>178</v>
      </c>
      <c r="BF1627" s="123"/>
      <c r="BG1627" s="83">
        <v>1178567.0</v>
      </c>
      <c r="BH1627" s="112"/>
      <c r="BI1627" s="112">
        <v>9.0</v>
      </c>
      <c r="BJ1627" s="98" t="s">
        <v>155</v>
      </c>
      <c r="BK1627" s="99">
        <f t="shared" si="11"/>
        <v>0</v>
      </c>
      <c r="BL1627" s="99">
        <f t="shared" si="12"/>
        <v>728</v>
      </c>
      <c r="BM1627" s="99" t="str">
        <f>IFERROR(__xludf.DUMMYFUNCTION("IFERROR(VLOOKUP(BG1627,IMPORTRANGE(""https://docs.google.com/spreadsheets/d/1juPI-Fb8LD0YtltB2mlGEnp_R3UVu1t3wSFPzgCyHXE/edit?gid=0#gid=0"",""GERAL!A2:C""),3,0),""-"")"),"-")</f>
        <v>-</v>
      </c>
    </row>
    <row r="1628" ht="15.75" customHeight="1">
      <c r="A1628" s="111" t="s">
        <v>1785</v>
      </c>
      <c r="B1628" s="83" t="s">
        <v>1994</v>
      </c>
      <c r="C1628" s="83" t="s">
        <v>68</v>
      </c>
      <c r="D1628" s="112">
        <v>1103174.0</v>
      </c>
      <c r="E1628" s="83"/>
      <c r="F1628" s="83">
        <v>2.9182719E7</v>
      </c>
      <c r="G1628" s="119" t="s">
        <v>13935</v>
      </c>
      <c r="H1628" s="91" t="s">
        <v>9129</v>
      </c>
      <c r="I1628" s="83" t="s">
        <v>8868</v>
      </c>
      <c r="J1628" s="83" t="s">
        <v>150</v>
      </c>
      <c r="K1628" s="83" t="s">
        <v>151</v>
      </c>
      <c r="L1628" s="83" t="s">
        <v>152</v>
      </c>
      <c r="M1628" s="82" t="str">
        <f>IFERROR(__xludf.DUMMYFUNCTION("IFERROR(VLOOKUP(D1628,
IMPORTRANGE(""https://docs.google.com/spreadsheets/d/1MjHtlUikwobi2MaWJgy7tfLeBmhj1u-dRFRs_8GwSoA/edit#gid=0"",""Gestores Escolares!D7:J""),3,0),""VERIFICAR CÓD SEC"")"),"ROSEMEIRE ALFAIA DE SANTANA")</f>
        <v>ROSEMEIRE ALFAIA DE SANTANA</v>
      </c>
      <c r="N1628" s="82" t="str">
        <f>IFERROR(__xludf.DUMMYFUNCTION("IFERROR(VLOOKUP(D1628,
IMPORTRANGE(""https://docs.google.com/spreadsheets/d/1MjHtlUikwobi2MaWJgy7tfLeBmhj1u-dRFRs_8GwSoA/edit#gid=0"",""Gestores Escolares!D7:J""),4,0),""VERIFICAR CÓD SEC"")"),"(71) 9 9714-6001")</f>
        <v>(71) 9 9714-6001</v>
      </c>
      <c r="O1628" s="82" t="str">
        <f>IFERROR(__xludf.DUMMYFUNCTION("IFERROR(VLOOKUP(D1628,
IMPORTRANGE(""https://docs.google.com/spreadsheets/d/1MjHtlUikwobi2MaWJgy7tfLeBmhj1u-dRFRs_8GwSoA/edit#gid=0"",""Gestores Escolares!D7:J""),6,0),""VERIFICAR CÓD SEC"")"),"HILDETE PURIFICAÇÃO DE MELHOR")</f>
        <v>HILDETE PURIFICAÇÃO DE MELHOR</v>
      </c>
      <c r="P1628" s="82" t="str">
        <f>IFERROR(__xludf.DUMMYFUNCTION("IFERROR(VLOOKUP(D1628,
IMPORTRANGE(""https://docs.google.com/spreadsheets/d/1MjHtlUikwobi2MaWJgy7tfLeBmhj1u-dRFRs_8GwSoA/edit#gid=0"",""Gestores Escolares!D7:J""),7,0),""VERIFICAR CÓD SEC"")"),"(71) 9 9238-5649")</f>
        <v>(71) 9 9238-5649</v>
      </c>
      <c r="Q1628" s="82" t="str">
        <f>IFERROR(__xludf.DUMMYFUNCTION("IFERROR(VLOOKUP(D1628,
IMPORTRANGE(""https://docs.google.com/spreadsheets/d/1MjHtlUikwobi2MaWJgy7tfLeBmhj1u-dRFRs_8GwSoA/edit#gid=0"",""Gestores Escolares!D7:m""),9,0),""VERIFICAR CÓD SEC"")"),"")</f>
        <v/>
      </c>
      <c r="R1628" s="82" t="str">
        <f>IFERROR(__xludf.DUMMYFUNCTION("IFERROR(VLOOKUP(D1628,
IMPORTRANGE(""https://docs.google.com/spreadsheets/d/1MjHtlUikwobi2MaWJgy7tfLeBmhj1u-dRFRs_8GwSoA/edit#gid=0"",""Gestores Escolares!D7:m""),10,0),""VERIFICAR CÓD SEC"")"),"")</f>
        <v/>
      </c>
      <c r="S1628" s="82"/>
      <c r="T1628" s="138">
        <v>13.0</v>
      </c>
      <c r="U1628" s="152">
        <v>13.0</v>
      </c>
      <c r="V1628" s="106">
        <v>0.0</v>
      </c>
      <c r="W1628" s="107">
        <v>0.0</v>
      </c>
      <c r="X1628" s="107">
        <v>0.0</v>
      </c>
      <c r="Y1628" s="107">
        <v>0.0</v>
      </c>
      <c r="Z1628" s="80">
        <f t="shared" si="1"/>
        <v>0</v>
      </c>
      <c r="AA1628" s="106">
        <v>139.0</v>
      </c>
      <c r="AB1628" s="107">
        <v>45.0</v>
      </c>
      <c r="AC1628" s="107">
        <v>0.0</v>
      </c>
      <c r="AD1628" s="107">
        <v>149.0</v>
      </c>
      <c r="AE1628" s="80">
        <f t="shared" si="2"/>
        <v>333</v>
      </c>
      <c r="AF1628" s="140">
        <v>226.0</v>
      </c>
      <c r="AG1628" s="109">
        <v>75.0</v>
      </c>
      <c r="AH1628" s="109">
        <v>0.0</v>
      </c>
      <c r="AI1628" s="141">
        <v>0.0</v>
      </c>
      <c r="AJ1628" s="80">
        <f t="shared" si="3"/>
        <v>301</v>
      </c>
      <c r="AK1628" s="140">
        <v>0.0</v>
      </c>
      <c r="AL1628" s="109">
        <v>0.0</v>
      </c>
      <c r="AM1628" s="141">
        <v>0.0</v>
      </c>
      <c r="AN1628" s="80">
        <f t="shared" si="4"/>
        <v>0</v>
      </c>
      <c r="AO1628" s="140">
        <v>0.0</v>
      </c>
      <c r="AP1628" s="109">
        <v>0.0</v>
      </c>
      <c r="AQ1628" s="109">
        <v>0.0</v>
      </c>
      <c r="AR1628" s="80">
        <f t="shared" si="5"/>
        <v>0</v>
      </c>
      <c r="AS1628" s="110">
        <v>0.0</v>
      </c>
      <c r="AT1628" s="110">
        <v>0.0</v>
      </c>
      <c r="AU1628" s="110">
        <v>0.0</v>
      </c>
      <c r="AV1628" s="142">
        <v>0.0</v>
      </c>
      <c r="AW1628" s="80">
        <f t="shared" si="6"/>
        <v>0</v>
      </c>
      <c r="AX1628" s="113">
        <f t="shared" si="7"/>
        <v>634</v>
      </c>
      <c r="AY1628" s="117">
        <f t="shared" si="8"/>
        <v>634</v>
      </c>
      <c r="AZ1628" s="120">
        <f t="shared" si="9"/>
        <v>0</v>
      </c>
      <c r="BA1628" s="115">
        <v>0.0</v>
      </c>
      <c r="BB1628" s="89">
        <f t="shared" si="10"/>
        <v>634</v>
      </c>
      <c r="BC1628" s="132" t="s">
        <v>178</v>
      </c>
      <c r="BD1628" s="132" t="s">
        <v>178</v>
      </c>
      <c r="BE1628" s="132" t="s">
        <v>178</v>
      </c>
      <c r="BF1628" s="123"/>
      <c r="BG1628" s="83">
        <v>1103174.0</v>
      </c>
      <c r="BH1628" s="98" t="s">
        <v>9130</v>
      </c>
      <c r="BI1628" s="112">
        <v>13.0</v>
      </c>
      <c r="BJ1628" s="98" t="s">
        <v>155</v>
      </c>
      <c r="BK1628" s="99">
        <f t="shared" si="11"/>
        <v>149</v>
      </c>
      <c r="BL1628" s="99">
        <f t="shared" si="12"/>
        <v>485</v>
      </c>
      <c r="BM1628" s="99" t="str">
        <f>IFERROR(__xludf.DUMMYFUNCTION("IFERROR(VLOOKUP(BG1628,IMPORTRANGE(""https://docs.google.com/spreadsheets/d/1juPI-Fb8LD0YtltB2mlGEnp_R3UVu1t3wSFPzgCyHXE/edit?gid=0#gid=0"",""GERAL!A2:C""),3,0),""-"")"),"-")</f>
        <v>-</v>
      </c>
    </row>
    <row r="1629" ht="15.75" customHeight="1">
      <c r="A1629" s="111" t="s">
        <v>1785</v>
      </c>
      <c r="B1629" s="83" t="s">
        <v>1994</v>
      </c>
      <c r="C1629" s="83" t="s">
        <v>68</v>
      </c>
      <c r="D1629" s="112">
        <v>1102232.0</v>
      </c>
      <c r="E1629" s="83"/>
      <c r="F1629" s="83">
        <v>2.9181526E7</v>
      </c>
      <c r="G1629" s="218" t="s">
        <v>13936</v>
      </c>
      <c r="H1629" s="91" t="s">
        <v>9132</v>
      </c>
      <c r="I1629" s="83" t="s">
        <v>8171</v>
      </c>
      <c r="J1629" s="83" t="s">
        <v>150</v>
      </c>
      <c r="K1629" s="83" t="s">
        <v>151</v>
      </c>
      <c r="L1629" s="83" t="s">
        <v>230</v>
      </c>
      <c r="M1629" s="82" t="str">
        <f>IFERROR(__xludf.DUMMYFUNCTION("IFERROR(VLOOKUP(D1629,
IMPORTRANGE(""https://docs.google.com/spreadsheets/d/1MjHtlUikwobi2MaWJgy7tfLeBmhj1u-dRFRs_8GwSoA/edit#gid=0"",""Gestores Escolares!D7:J""),3,0),""VERIFICAR CÓD SEC"")"),"RAIMUNDO NONATO COSTA MELO")</f>
        <v>RAIMUNDO NONATO COSTA MELO</v>
      </c>
      <c r="N1629" s="82" t="str">
        <f>IFERROR(__xludf.DUMMYFUNCTION("IFERROR(VLOOKUP(D1629,
IMPORTRANGE(""https://docs.google.com/spreadsheets/d/1MjHtlUikwobi2MaWJgy7tfLeBmhj1u-dRFRs_8GwSoA/edit#gid=0"",""Gestores Escolares!D7:J""),4,0),""VERIFICAR CÓD SEC"")"),"(71) 9 9910-8414 ")</f>
        <v>(71) 9 9910-8414 </v>
      </c>
      <c r="O1629" s="82" t="str">
        <f>IFERROR(__xludf.DUMMYFUNCTION("IFERROR(VLOOKUP(D1629,
IMPORTRANGE(""https://docs.google.com/spreadsheets/d/1MjHtlUikwobi2MaWJgy7tfLeBmhj1u-dRFRs_8GwSoA/edit#gid=0"",""Gestores Escolares!D7:J""),6,0),""VERIFICAR CÓD SEC"")"),"	NILCEIA MONTEIRO COSTA")</f>
        <v>	NILCEIA MONTEIRO COSTA</v>
      </c>
      <c r="P1629" s="82" t="str">
        <f>IFERROR(__xludf.DUMMYFUNCTION("IFERROR(VLOOKUP(D1629,
IMPORTRANGE(""https://docs.google.com/spreadsheets/d/1MjHtlUikwobi2MaWJgy7tfLeBmhj1u-dRFRs_8GwSoA/edit#gid=0"",""Gestores Escolares!D7:J""),7,0),""VERIFICAR CÓD SEC"")"),"(71) 9 9963-2784")</f>
        <v>(71) 9 9963-2784</v>
      </c>
      <c r="Q1629" s="82" t="str">
        <f>IFERROR(__xludf.DUMMYFUNCTION("IFERROR(VLOOKUP(D1629,
IMPORTRANGE(""https://docs.google.com/spreadsheets/d/1MjHtlUikwobi2MaWJgy7tfLeBmhj1u-dRFRs_8GwSoA/edit#gid=0"",""Gestores Escolares!D7:m""),9,0),""VERIFICAR CÓD SEC"")"),"INAIA BRANDAO PEREIRA")</f>
        <v>INAIA BRANDAO PEREIRA</v>
      </c>
      <c r="R1629" s="82" t="str">
        <f>IFERROR(__xludf.DUMMYFUNCTION("IFERROR(VLOOKUP(D1629,
IMPORTRANGE(""https://docs.google.com/spreadsheets/d/1MjHtlUikwobi2MaWJgy7tfLeBmhj1u-dRFRs_8GwSoA/edit#gid=0"",""Gestores Escolares!D7:m""),10,0),""VERIFICAR CÓD SEC"")"),"(71) 9 9286-2868")</f>
        <v>(71) 9 9286-2868</v>
      </c>
      <c r="S1629" s="82"/>
      <c r="T1629" s="138">
        <v>26.0</v>
      </c>
      <c r="U1629" s="403" t="s">
        <v>13937</v>
      </c>
      <c r="V1629" s="106">
        <v>0.0</v>
      </c>
      <c r="W1629" s="107">
        <v>0.0</v>
      </c>
      <c r="X1629" s="107">
        <v>0.0</v>
      </c>
      <c r="Y1629" s="107">
        <v>0.0</v>
      </c>
      <c r="Z1629" s="80">
        <f t="shared" si="1"/>
        <v>0</v>
      </c>
      <c r="AA1629" s="106">
        <v>0.0</v>
      </c>
      <c r="AB1629" s="107">
        <v>0.0</v>
      </c>
      <c r="AC1629" s="107">
        <v>0.0</v>
      </c>
      <c r="AD1629" s="107">
        <v>0.0</v>
      </c>
      <c r="AE1629" s="80">
        <f t="shared" si="2"/>
        <v>0</v>
      </c>
      <c r="AF1629" s="140">
        <v>773.0</v>
      </c>
      <c r="AG1629" s="109">
        <v>159.0</v>
      </c>
      <c r="AH1629" s="109">
        <v>0.0</v>
      </c>
      <c r="AI1629" s="141">
        <v>42.0</v>
      </c>
      <c r="AJ1629" s="80">
        <f t="shared" si="3"/>
        <v>974</v>
      </c>
      <c r="AK1629" s="140">
        <v>0.0</v>
      </c>
      <c r="AL1629" s="109">
        <v>0.0</v>
      </c>
      <c r="AM1629" s="141">
        <v>0.0</v>
      </c>
      <c r="AN1629" s="80">
        <f t="shared" si="4"/>
        <v>0</v>
      </c>
      <c r="AO1629" s="140">
        <v>0.0</v>
      </c>
      <c r="AP1629" s="109">
        <v>0.0</v>
      </c>
      <c r="AQ1629" s="109">
        <v>126.0</v>
      </c>
      <c r="AR1629" s="80">
        <f t="shared" si="5"/>
        <v>126</v>
      </c>
      <c r="AS1629" s="110">
        <v>0.0</v>
      </c>
      <c r="AT1629" s="110">
        <v>240.0</v>
      </c>
      <c r="AU1629" s="110">
        <v>118.0</v>
      </c>
      <c r="AV1629" s="142">
        <v>0.0</v>
      </c>
      <c r="AW1629" s="80">
        <f t="shared" si="6"/>
        <v>358</v>
      </c>
      <c r="AX1629" s="113">
        <f t="shared" si="7"/>
        <v>1458</v>
      </c>
      <c r="AY1629" s="117">
        <f t="shared" si="8"/>
        <v>1214</v>
      </c>
      <c r="AZ1629" s="120">
        <f t="shared" si="9"/>
        <v>244</v>
      </c>
      <c r="BA1629" s="115">
        <v>0.0</v>
      </c>
      <c r="BB1629" s="89">
        <f t="shared" si="10"/>
        <v>1458</v>
      </c>
      <c r="BC1629" s="132" t="s">
        <v>178</v>
      </c>
      <c r="BD1629" s="132" t="s">
        <v>178</v>
      </c>
      <c r="BE1629" s="132" t="s">
        <v>178</v>
      </c>
      <c r="BF1629" s="123"/>
      <c r="BG1629" s="83">
        <v>1102232.0</v>
      </c>
      <c r="BH1629" s="98" t="s">
        <v>9133</v>
      </c>
      <c r="BI1629" s="112">
        <v>23.0</v>
      </c>
      <c r="BJ1629" s="98" t="s">
        <v>155</v>
      </c>
      <c r="BK1629" s="99">
        <f t="shared" si="11"/>
        <v>42</v>
      </c>
      <c r="BL1629" s="99">
        <f t="shared" si="12"/>
        <v>1172</v>
      </c>
      <c r="BM1629" s="99" t="str">
        <f>IFERROR(__xludf.DUMMYFUNCTION("IFERROR(VLOOKUP(BG1629,IMPORTRANGE(""https://docs.google.com/spreadsheets/d/1juPI-Fb8LD0YtltB2mlGEnp_R3UVu1t3wSFPzgCyHXE/edit?gid=0#gid=0"",""GERAL!A2:C""),3,0),""-"")"),"-")</f>
        <v>-</v>
      </c>
    </row>
    <row r="1630" ht="15.75" customHeight="1">
      <c r="A1630" s="111" t="s">
        <v>1785</v>
      </c>
      <c r="B1630" s="172" t="s">
        <v>9135</v>
      </c>
      <c r="C1630" s="83" t="s">
        <v>68</v>
      </c>
      <c r="D1630" s="112">
        <v>1134851.0</v>
      </c>
      <c r="E1630" s="83"/>
      <c r="F1630" s="83">
        <v>2.9200482E7</v>
      </c>
      <c r="G1630" s="147" t="s">
        <v>9136</v>
      </c>
      <c r="H1630" s="91" t="s">
        <v>9137</v>
      </c>
      <c r="I1630" s="83" t="s">
        <v>149</v>
      </c>
      <c r="J1630" s="83" t="s">
        <v>150</v>
      </c>
      <c r="K1630" s="83" t="s">
        <v>151</v>
      </c>
      <c r="L1630" s="98" t="s">
        <v>230</v>
      </c>
      <c r="M1630" s="82" t="str">
        <f>IFERROR(__xludf.DUMMYFUNCTION("IFERROR(VLOOKUP(D1630,
IMPORTRANGE(""https://docs.google.com/spreadsheets/d/1MjHtlUikwobi2MaWJgy7tfLeBmhj1u-dRFRs_8GwSoA/edit#gid=0"",""Gestores Escolares!D7:J""),3,0),""VERIFICAR CÓD SEC"")"),"JOSE RAIMUNDO DE OLIVEIRA RIBEIRO")</f>
        <v>JOSE RAIMUNDO DE OLIVEIRA RIBEIRO</v>
      </c>
      <c r="N1630" s="82" t="str">
        <f>IFERROR(__xludf.DUMMYFUNCTION("IFERROR(VLOOKUP(D1630,
IMPORTRANGE(""https://docs.google.com/spreadsheets/d/1MjHtlUikwobi2MaWJgy7tfLeBmhj1u-dRFRs_8GwSoA/edit#gid=0"",""Gestores Escolares!D7:J""),4,0),""VERIFICAR CÓD SEC"")"),"(71) 9 8807-6151")</f>
        <v>(71) 9 8807-6151</v>
      </c>
      <c r="O1630" s="82" t="str">
        <f>IFERROR(__xludf.DUMMYFUNCTION("IFERROR(VLOOKUP(D1630,
IMPORTRANGE(""https://docs.google.com/spreadsheets/d/1MjHtlUikwobi2MaWJgy7tfLeBmhj1u-dRFRs_8GwSoA/edit#gid=0"",""Gestores Escolares!D7:J""),6,0),""VERIFICAR CÓD SEC"")"),"LIA DAIANE GONCALVES BARRETO BONESS")</f>
        <v>LIA DAIANE GONCALVES BARRETO BONESS</v>
      </c>
      <c r="P1630" s="82" t="str">
        <f>IFERROR(__xludf.DUMMYFUNCTION("IFERROR(VLOOKUP(D1630,
IMPORTRANGE(""https://docs.google.com/spreadsheets/d/1MjHtlUikwobi2MaWJgy7tfLeBmhj1u-dRFRs_8GwSoA/edit#gid=0"",""Gestores Escolares!D7:J""),7,0),""VERIFICAR CÓD SEC"")"),"(74) 9 8822-2726")</f>
        <v>(74) 9 8822-2726</v>
      </c>
      <c r="Q1630" s="82" t="str">
        <f>IFERROR(__xludf.DUMMYFUNCTION("IFERROR(VLOOKUP(D1630,
IMPORTRANGE(""https://docs.google.com/spreadsheets/d/1MjHtlUikwobi2MaWJgy7tfLeBmhj1u-dRFRs_8GwSoA/edit#gid=0"",""Gestores Escolares!D7:m""),9,0),""VERIFICAR CÓD SEC"")"),"GILZANA MARIA LIMA DOS SANTOS")</f>
        <v>GILZANA MARIA LIMA DOS SANTOS</v>
      </c>
      <c r="R1630" s="82" t="str">
        <f>IFERROR(__xludf.DUMMYFUNCTION("IFERROR(VLOOKUP(D1630,
IMPORTRANGE(""https://docs.google.com/spreadsheets/d/1MjHtlUikwobi2MaWJgy7tfLeBmhj1u-dRFRs_8GwSoA/edit#gid=0"",""Gestores Escolares!D7:m""),10,0),""VERIFICAR CÓD SEC"")"),"(71) 9 9333-5342")</f>
        <v>(71) 9 9333-5342</v>
      </c>
      <c r="S1630" s="82"/>
      <c r="T1630" s="138">
        <v>12.0</v>
      </c>
      <c r="U1630" s="145" t="s">
        <v>13938</v>
      </c>
      <c r="V1630" s="106">
        <v>0.0</v>
      </c>
      <c r="W1630" s="107">
        <v>0.0</v>
      </c>
      <c r="X1630" s="107">
        <v>0.0</v>
      </c>
      <c r="Y1630" s="107">
        <v>0.0</v>
      </c>
      <c r="Z1630" s="80">
        <f t="shared" si="1"/>
        <v>0</v>
      </c>
      <c r="AA1630" s="106">
        <v>0.0</v>
      </c>
      <c r="AB1630" s="107">
        <v>0.0</v>
      </c>
      <c r="AC1630" s="107">
        <v>0.0</v>
      </c>
      <c r="AD1630" s="107">
        <v>0.0</v>
      </c>
      <c r="AE1630" s="80">
        <f t="shared" si="2"/>
        <v>0</v>
      </c>
      <c r="AF1630" s="140">
        <v>0.0</v>
      </c>
      <c r="AG1630" s="109">
        <v>0.0</v>
      </c>
      <c r="AH1630" s="109">
        <v>0.0</v>
      </c>
      <c r="AI1630" s="141">
        <v>514.0</v>
      </c>
      <c r="AJ1630" s="80">
        <f t="shared" si="3"/>
        <v>514</v>
      </c>
      <c r="AK1630" s="140">
        <v>0.0</v>
      </c>
      <c r="AL1630" s="109">
        <v>0.0</v>
      </c>
      <c r="AM1630" s="141">
        <v>0.0</v>
      </c>
      <c r="AN1630" s="80">
        <f t="shared" si="4"/>
        <v>0</v>
      </c>
      <c r="AO1630" s="140">
        <v>0.0</v>
      </c>
      <c r="AP1630" s="109">
        <v>0.0</v>
      </c>
      <c r="AQ1630" s="109">
        <v>181.0</v>
      </c>
      <c r="AR1630" s="80">
        <f t="shared" si="5"/>
        <v>181</v>
      </c>
      <c r="AS1630" s="110">
        <v>81.0</v>
      </c>
      <c r="AT1630" s="110">
        <v>46.0</v>
      </c>
      <c r="AU1630" s="110">
        <v>0.0</v>
      </c>
      <c r="AV1630" s="142">
        <v>0.0</v>
      </c>
      <c r="AW1630" s="80">
        <f t="shared" si="6"/>
        <v>127</v>
      </c>
      <c r="AX1630" s="113">
        <f t="shared" si="7"/>
        <v>822</v>
      </c>
      <c r="AY1630" s="117">
        <f t="shared" si="8"/>
        <v>641</v>
      </c>
      <c r="AZ1630" s="120">
        <f t="shared" si="9"/>
        <v>181</v>
      </c>
      <c r="BA1630" s="115">
        <v>0.0</v>
      </c>
      <c r="BB1630" s="89">
        <f t="shared" si="10"/>
        <v>822</v>
      </c>
      <c r="BC1630" s="132" t="s">
        <v>178</v>
      </c>
      <c r="BD1630" s="132" t="s">
        <v>178</v>
      </c>
      <c r="BE1630" s="132" t="s">
        <v>178</v>
      </c>
      <c r="BF1630" s="156"/>
      <c r="BG1630" s="83">
        <v>1134851.0</v>
      </c>
      <c r="BH1630" s="98" t="s">
        <v>9138</v>
      </c>
      <c r="BI1630" s="112">
        <v>12.0</v>
      </c>
      <c r="BJ1630" s="98" t="s">
        <v>162</v>
      </c>
      <c r="BK1630" s="99">
        <f t="shared" si="11"/>
        <v>514</v>
      </c>
      <c r="BL1630" s="99">
        <f t="shared" si="12"/>
        <v>127</v>
      </c>
      <c r="BM1630" s="99" t="str">
        <f>IFERROR(__xludf.DUMMYFUNCTION("IFERROR(VLOOKUP(BG1630,IMPORTRANGE(""https://docs.google.com/spreadsheets/d/1juPI-Fb8LD0YtltB2mlGEnp_R3UVu1t3wSFPzgCyHXE/edit?gid=0#gid=0"",""GERAL!A2:C""),3,0),""-"")"),"-")</f>
        <v>-</v>
      </c>
    </row>
    <row r="1631" ht="15.75" customHeight="1">
      <c r="A1631" s="111" t="s">
        <v>1785</v>
      </c>
      <c r="B1631" s="83" t="s">
        <v>9135</v>
      </c>
      <c r="C1631" s="83" t="s">
        <v>68</v>
      </c>
      <c r="D1631" s="112">
        <v>1176408.0</v>
      </c>
      <c r="E1631" s="83"/>
      <c r="F1631" s="83">
        <v>2.9383528E7</v>
      </c>
      <c r="G1631" s="153" t="s">
        <v>9139</v>
      </c>
      <c r="H1631" s="108" t="s">
        <v>9140</v>
      </c>
      <c r="I1631" s="83" t="s">
        <v>9141</v>
      </c>
      <c r="J1631" s="83" t="s">
        <v>9142</v>
      </c>
      <c r="K1631" s="83" t="s">
        <v>151</v>
      </c>
      <c r="L1631" s="98" t="s">
        <v>230</v>
      </c>
      <c r="M1631" s="82" t="str">
        <f>IFERROR(__xludf.DUMMYFUNCTION("IFERROR(VLOOKUP(D1631,
IMPORTRANGE(""https://docs.google.com/spreadsheets/d/1MjHtlUikwobi2MaWJgy7tfLeBmhj1u-dRFRs_8GwSoA/edit#gid=0"",""Gestores Escolares!D7:J""),3,0),""VERIFICAR CÓD SEC"")"),"JOILMA MENEZES SALES DA CRUZ")</f>
        <v>JOILMA MENEZES SALES DA CRUZ</v>
      </c>
      <c r="N1631" s="82" t="str">
        <f>IFERROR(__xludf.DUMMYFUNCTION("IFERROR(VLOOKUP(D1631,
IMPORTRANGE(""https://docs.google.com/spreadsheets/d/1MjHtlUikwobi2MaWJgy7tfLeBmhj1u-dRFRs_8GwSoA/edit#gid=0"",""Gestores Escolares!D7:J""),4,0),""VERIFICAR CÓD SEC"")"),"(71) 9 9114-0218 zap/ 9 8793-2618 ")</f>
        <v>(71) 9 9114-0218 zap/ 9 8793-2618 </v>
      </c>
      <c r="O1631" s="82" t="str">
        <f>IFERROR(__xludf.DUMMYFUNCTION("IFERROR(VLOOKUP(D1631,
IMPORTRANGE(""https://docs.google.com/spreadsheets/d/1MjHtlUikwobi2MaWJgy7tfLeBmhj1u-dRFRs_8GwSoA/edit#gid=0"",""Gestores Escolares!D7:J""),6,0),""VERIFICAR CÓD SEC"")"),"ILANA AMARAL ASSIS")</f>
        <v>ILANA AMARAL ASSIS</v>
      </c>
      <c r="P1631" s="82" t="str">
        <f>IFERROR(__xludf.DUMMYFUNCTION("IFERROR(VLOOKUP(D1631,
IMPORTRANGE(""https://docs.google.com/spreadsheets/d/1MjHtlUikwobi2MaWJgy7tfLeBmhj1u-dRFRs_8GwSoA/edit#gid=0"",""Gestores Escolares!D7:J""),7,0),""VERIFICAR CÓD SEC"")"),"(71) 9 9135-0498")</f>
        <v>(71) 9 9135-0498</v>
      </c>
      <c r="Q1631" s="82" t="str">
        <f>IFERROR(__xludf.DUMMYFUNCTION("IFERROR(VLOOKUP(D1631,
IMPORTRANGE(""https://docs.google.com/spreadsheets/d/1MjHtlUikwobi2MaWJgy7tfLeBmhj1u-dRFRs_8GwSoA/edit#gid=0"",""Gestores Escolares!D7:m""),9,0),""VERIFICAR CÓD SEC"")"),"SIDNEI ROCHA DOS ANJOS")</f>
        <v>SIDNEI ROCHA DOS ANJOS</v>
      </c>
      <c r="R1631" s="82" t="str">
        <f>IFERROR(__xludf.DUMMYFUNCTION("IFERROR(VLOOKUP(D1631,
IMPORTRANGE(""https://docs.google.com/spreadsheets/d/1MjHtlUikwobi2MaWJgy7tfLeBmhj1u-dRFRs_8GwSoA/edit#gid=0"",""Gestores Escolares!D7:m""),10,0),""VERIFICAR CÓD SEC"")"),"(71) 9 9609-3559")</f>
        <v>(71) 9 9609-3559</v>
      </c>
      <c r="S1631" s="82"/>
      <c r="T1631" s="138">
        <v>6.0</v>
      </c>
      <c r="U1631" s="145">
        <v>12.0</v>
      </c>
      <c r="V1631" s="106">
        <v>0.0</v>
      </c>
      <c r="W1631" s="107">
        <v>0.0</v>
      </c>
      <c r="X1631" s="107">
        <v>0.0</v>
      </c>
      <c r="Y1631" s="107">
        <v>0.0</v>
      </c>
      <c r="Z1631" s="80">
        <f t="shared" si="1"/>
        <v>0</v>
      </c>
      <c r="AA1631" s="106">
        <v>0.0</v>
      </c>
      <c r="AB1631" s="107">
        <v>0.0</v>
      </c>
      <c r="AC1631" s="107">
        <v>0.0</v>
      </c>
      <c r="AD1631" s="107">
        <v>0.0</v>
      </c>
      <c r="AE1631" s="80">
        <f t="shared" si="2"/>
        <v>0</v>
      </c>
      <c r="AF1631" s="140">
        <v>0.0</v>
      </c>
      <c r="AG1631" s="109">
        <v>33.0</v>
      </c>
      <c r="AH1631" s="109">
        <v>0.0</v>
      </c>
      <c r="AI1631" s="141">
        <v>311.0</v>
      </c>
      <c r="AJ1631" s="80">
        <f t="shared" si="3"/>
        <v>344</v>
      </c>
      <c r="AK1631" s="140">
        <v>0.0</v>
      </c>
      <c r="AL1631" s="109">
        <v>0.0</v>
      </c>
      <c r="AM1631" s="141">
        <v>0.0</v>
      </c>
      <c r="AN1631" s="80">
        <f t="shared" si="4"/>
        <v>0</v>
      </c>
      <c r="AO1631" s="140">
        <v>0.0</v>
      </c>
      <c r="AP1631" s="109">
        <v>0.0</v>
      </c>
      <c r="AQ1631" s="109">
        <v>123.0</v>
      </c>
      <c r="AR1631" s="80">
        <f t="shared" si="5"/>
        <v>123</v>
      </c>
      <c r="AS1631" s="110">
        <v>25.0</v>
      </c>
      <c r="AT1631" s="110">
        <v>47.0</v>
      </c>
      <c r="AU1631" s="110">
        <v>76.0</v>
      </c>
      <c r="AV1631" s="142">
        <v>33.0</v>
      </c>
      <c r="AW1631" s="80">
        <f t="shared" si="6"/>
        <v>181</v>
      </c>
      <c r="AX1631" s="113">
        <f t="shared" si="7"/>
        <v>648</v>
      </c>
      <c r="AY1631" s="117">
        <f t="shared" si="8"/>
        <v>449</v>
      </c>
      <c r="AZ1631" s="120">
        <f t="shared" si="9"/>
        <v>199</v>
      </c>
      <c r="BA1631" s="115">
        <v>1.0</v>
      </c>
      <c r="BB1631" s="89">
        <f t="shared" si="10"/>
        <v>649</v>
      </c>
      <c r="BC1631" s="132" t="s">
        <v>373</v>
      </c>
      <c r="BD1631" s="132" t="s">
        <v>178</v>
      </c>
      <c r="BE1631" s="132" t="s">
        <v>178</v>
      </c>
      <c r="BF1631" s="156"/>
      <c r="BG1631" s="83">
        <v>1176408.0</v>
      </c>
      <c r="BH1631" s="98" t="s">
        <v>9143</v>
      </c>
      <c r="BI1631" s="112">
        <v>6.0</v>
      </c>
      <c r="BJ1631" s="98" t="s">
        <v>162</v>
      </c>
      <c r="BK1631" s="99">
        <f t="shared" si="11"/>
        <v>344</v>
      </c>
      <c r="BL1631" s="99">
        <f t="shared" si="12"/>
        <v>105</v>
      </c>
      <c r="BM1631" s="99" t="str">
        <f>IFERROR(__xludf.DUMMYFUNCTION("IFERROR(VLOOKUP(BG1631,IMPORTRANGE(""https://docs.google.com/spreadsheets/d/1juPI-Fb8LD0YtltB2mlGEnp_R3UVu1t3wSFPzgCyHXE/edit?gid=0#gid=0"",""GERAL!A2:C""),3,0),""-"")"),"CAMPO")</f>
        <v>CAMPO</v>
      </c>
    </row>
    <row r="1632" ht="15.75" customHeight="1">
      <c r="A1632" s="111" t="s">
        <v>1785</v>
      </c>
      <c r="B1632" s="83" t="s">
        <v>9148</v>
      </c>
      <c r="C1632" s="83" t="s">
        <v>68</v>
      </c>
      <c r="D1632" s="112">
        <v>1135190.0</v>
      </c>
      <c r="E1632" s="83"/>
      <c r="F1632" s="83">
        <v>2.9160774E7</v>
      </c>
      <c r="G1632" s="119" t="s">
        <v>9150</v>
      </c>
      <c r="H1632" s="91" t="s">
        <v>9151</v>
      </c>
      <c r="I1632" s="83" t="s">
        <v>149</v>
      </c>
      <c r="J1632" s="83" t="s">
        <v>150</v>
      </c>
      <c r="K1632" s="83" t="s">
        <v>151</v>
      </c>
      <c r="L1632" s="83" t="s">
        <v>152</v>
      </c>
      <c r="M1632" s="82" t="str">
        <f>IFERROR(__xludf.DUMMYFUNCTION("IFERROR(VLOOKUP(D1632,
IMPORTRANGE(""https://docs.google.com/spreadsheets/d/1MjHtlUikwobi2MaWJgy7tfLeBmhj1u-dRFRs_8GwSoA/edit#gid=0"",""Gestores Escolares!D7:J""),3,0),""VERIFICAR CÓD SEC"")"),"EVANICE PEREIRA DOS SANTOS")</f>
        <v>EVANICE PEREIRA DOS SANTOS</v>
      </c>
      <c r="N1632" s="82" t="str">
        <f>IFERROR(__xludf.DUMMYFUNCTION("IFERROR(VLOOKUP(D1632,
IMPORTRANGE(""https://docs.google.com/spreadsheets/d/1MjHtlUikwobi2MaWJgy7tfLeBmhj1u-dRFRs_8GwSoA/edit#gid=0"",""Gestores Escolares!D7:J""),4,0),""VERIFICAR CÓD SEC"")"),"(71) 9 9331-5462")</f>
        <v>(71) 9 9331-5462</v>
      </c>
      <c r="O1632" s="82" t="str">
        <f>IFERROR(__xludf.DUMMYFUNCTION("IFERROR(VLOOKUP(D1632,
IMPORTRANGE(""https://docs.google.com/spreadsheets/d/1MjHtlUikwobi2MaWJgy7tfLeBmhj1u-dRFRs_8GwSoA/edit#gid=0"",""Gestores Escolares!D7:J""),6,0),""VERIFICAR CÓD SEC"")"),"OSVALDO RODRIGUES DE SOUZA")</f>
        <v>OSVALDO RODRIGUES DE SOUZA</v>
      </c>
      <c r="P1632" s="82" t="str">
        <f>IFERROR(__xludf.DUMMYFUNCTION("IFERROR(VLOOKUP(D1632,
IMPORTRANGE(""https://docs.google.com/spreadsheets/d/1MjHtlUikwobi2MaWJgy7tfLeBmhj1u-dRFRs_8GwSoA/edit#gid=0"",""Gestores Escolares!D7:J""),7,0),""VERIFICAR CÓD SEC"")"),"(71) 9 9143-7828")</f>
        <v>(71) 9 9143-7828</v>
      </c>
      <c r="Q1632" s="82" t="str">
        <f>IFERROR(__xludf.DUMMYFUNCTION("IFERROR(VLOOKUP(D1632,
IMPORTRANGE(""https://docs.google.com/spreadsheets/d/1MjHtlUikwobi2MaWJgy7tfLeBmhj1u-dRFRs_8GwSoA/edit#gid=0"",""Gestores Escolares!D7:m""),9,0),""VERIFICAR CÓD SEC"")"),"MARIA VIVALDA MOTA SANTOS ")</f>
        <v>MARIA VIVALDA MOTA SANTOS </v>
      </c>
      <c r="R1632" s="82" t="str">
        <f>IFERROR(__xludf.DUMMYFUNCTION("IFERROR(VLOOKUP(D1632,
IMPORTRANGE(""https://docs.google.com/spreadsheets/d/1MjHtlUikwobi2MaWJgy7tfLeBmhj1u-dRFRs_8GwSoA/edit#gid=0"",""Gestores Escolares!D7:m""),10,0),""VERIFICAR CÓD SEC"")"),"(71) 9 9988-8611")</f>
        <v>(71) 9 9988-8611</v>
      </c>
      <c r="S1632" s="82"/>
      <c r="T1632" s="138">
        <v>16.0</v>
      </c>
      <c r="U1632" s="139">
        <v>16.0</v>
      </c>
      <c r="V1632" s="106">
        <v>0.0</v>
      </c>
      <c r="W1632" s="107">
        <v>0.0</v>
      </c>
      <c r="X1632" s="107">
        <v>0.0</v>
      </c>
      <c r="Y1632" s="107">
        <v>0.0</v>
      </c>
      <c r="Z1632" s="80">
        <f t="shared" si="1"/>
        <v>0</v>
      </c>
      <c r="AA1632" s="106">
        <v>0.0</v>
      </c>
      <c r="AB1632" s="107">
        <v>0.0</v>
      </c>
      <c r="AC1632" s="107">
        <v>0.0</v>
      </c>
      <c r="AD1632" s="107">
        <v>0.0</v>
      </c>
      <c r="AE1632" s="80">
        <f t="shared" si="2"/>
        <v>0</v>
      </c>
      <c r="AF1632" s="140">
        <v>365.0</v>
      </c>
      <c r="AG1632" s="109">
        <v>193.0</v>
      </c>
      <c r="AH1632" s="109">
        <v>0.0</v>
      </c>
      <c r="AI1632" s="141">
        <v>153.0</v>
      </c>
      <c r="AJ1632" s="80">
        <f t="shared" si="3"/>
        <v>711</v>
      </c>
      <c r="AK1632" s="140">
        <v>0.0</v>
      </c>
      <c r="AL1632" s="109">
        <v>0.0</v>
      </c>
      <c r="AM1632" s="141">
        <v>0.0</v>
      </c>
      <c r="AN1632" s="80">
        <f t="shared" si="4"/>
        <v>0</v>
      </c>
      <c r="AO1632" s="140">
        <v>0.0</v>
      </c>
      <c r="AP1632" s="109">
        <v>0.0</v>
      </c>
      <c r="AQ1632" s="109">
        <v>76.0</v>
      </c>
      <c r="AR1632" s="80">
        <f t="shared" si="5"/>
        <v>76</v>
      </c>
      <c r="AS1632" s="110">
        <v>0.0</v>
      </c>
      <c r="AT1632" s="110">
        <v>0.0</v>
      </c>
      <c r="AU1632" s="110">
        <v>0.0</v>
      </c>
      <c r="AV1632" s="142">
        <v>0.0</v>
      </c>
      <c r="AW1632" s="80">
        <f t="shared" si="6"/>
        <v>0</v>
      </c>
      <c r="AX1632" s="113">
        <f t="shared" si="7"/>
        <v>787</v>
      </c>
      <c r="AY1632" s="117">
        <f t="shared" si="8"/>
        <v>711</v>
      </c>
      <c r="AZ1632" s="120">
        <f t="shared" si="9"/>
        <v>76</v>
      </c>
      <c r="BA1632" s="115">
        <v>1.0</v>
      </c>
      <c r="BB1632" s="89">
        <f t="shared" si="10"/>
        <v>788</v>
      </c>
      <c r="BC1632" s="132" t="s">
        <v>178</v>
      </c>
      <c r="BD1632" s="132" t="s">
        <v>178</v>
      </c>
      <c r="BE1632" s="132" t="s">
        <v>178</v>
      </c>
      <c r="BF1632" s="156"/>
      <c r="BG1632" s="83">
        <v>1135190.0</v>
      </c>
      <c r="BH1632" s="98" t="s">
        <v>9152</v>
      </c>
      <c r="BI1632" s="112">
        <v>16.0</v>
      </c>
      <c r="BJ1632" s="98" t="s">
        <v>155</v>
      </c>
      <c r="BK1632" s="99">
        <f t="shared" si="11"/>
        <v>153</v>
      </c>
      <c r="BL1632" s="99">
        <f t="shared" si="12"/>
        <v>558</v>
      </c>
      <c r="BM1632" s="99" t="str">
        <f>IFERROR(__xludf.DUMMYFUNCTION("IFERROR(VLOOKUP(BG1632,IMPORTRANGE(""https://docs.google.com/spreadsheets/d/1juPI-Fb8LD0YtltB2mlGEnp_R3UVu1t3wSFPzgCyHXE/edit?gid=0#gid=0"",""GERAL!A2:C""),3,0),""-"")"),"-")</f>
        <v>-</v>
      </c>
    </row>
    <row r="1633" ht="15.75" customHeight="1">
      <c r="A1633" s="111" t="s">
        <v>1785</v>
      </c>
      <c r="B1633" s="83" t="s">
        <v>9148</v>
      </c>
      <c r="C1633" s="83" t="s">
        <v>68</v>
      </c>
      <c r="D1633" s="112">
        <v>1176915.0</v>
      </c>
      <c r="E1633" s="83"/>
      <c r="F1633" s="83">
        <v>2.9410835E7</v>
      </c>
      <c r="G1633" s="114" t="s">
        <v>9156</v>
      </c>
      <c r="H1633" s="91" t="s">
        <v>9158</v>
      </c>
      <c r="I1633" s="172" t="s">
        <v>149</v>
      </c>
      <c r="J1633" s="83" t="s">
        <v>150</v>
      </c>
      <c r="K1633" s="83" t="s">
        <v>151</v>
      </c>
      <c r="L1633" s="83" t="s">
        <v>152</v>
      </c>
      <c r="M1633" s="82" t="str">
        <f>IFERROR(__xludf.DUMMYFUNCTION("IFERROR(VLOOKUP(D1633,
IMPORTRANGE(""https://docs.google.com/spreadsheets/d/1MjHtlUikwobi2MaWJgy7tfLeBmhj1u-dRFRs_8GwSoA/edit#gid=0"",""Gestores Escolares!D7:J""),3,0),""VERIFICAR CÓD SEC"")"),"ERICO DOS SANTOS SILVA")</f>
        <v>ERICO DOS SANTOS SILVA</v>
      </c>
      <c r="N1633" s="82" t="str">
        <f>IFERROR(__xludf.DUMMYFUNCTION("IFERROR(VLOOKUP(D1633,
IMPORTRANGE(""https://docs.google.com/spreadsheets/d/1MjHtlUikwobi2MaWJgy7tfLeBmhj1u-dRFRs_8GwSoA/edit#gid=0"",""Gestores Escolares!D7:J""),4,0),""VERIFICAR CÓD SEC"")"),"(71) 9 9706-8670")</f>
        <v>(71) 9 9706-8670</v>
      </c>
      <c r="O1633" s="82" t="str">
        <f>IFERROR(__xludf.DUMMYFUNCTION("IFERROR(VLOOKUP(D1633,
IMPORTRANGE(""https://docs.google.com/spreadsheets/d/1MjHtlUikwobi2MaWJgy7tfLeBmhj1u-dRFRs_8GwSoA/edit#gid=0"",""Gestores Escolares!D7:J""),6,0),""VERIFICAR CÓD SEC"")"),"SUELY DO NASCIMENTO DOS SANTOS")</f>
        <v>SUELY DO NASCIMENTO DOS SANTOS</v>
      </c>
      <c r="P1633" s="82" t="str">
        <f>IFERROR(__xludf.DUMMYFUNCTION("IFERROR(VLOOKUP(D1633,
IMPORTRANGE(""https://docs.google.com/spreadsheets/d/1MjHtlUikwobi2MaWJgy7tfLeBmhj1u-dRFRs_8GwSoA/edit#gid=0"",""Gestores Escolares!D7:J""),7,0),""VERIFICAR CÓD SEC"")"),"(71) 9 8761-3040")</f>
        <v>(71) 9 8761-3040</v>
      </c>
      <c r="Q1633" s="82" t="str">
        <f>IFERROR(__xludf.DUMMYFUNCTION("IFERROR(VLOOKUP(D1633,
IMPORTRANGE(""https://docs.google.com/spreadsheets/d/1MjHtlUikwobi2MaWJgy7tfLeBmhj1u-dRFRs_8GwSoA/edit#gid=0"",""Gestores Escolares!D7:m""),9,0),""VERIFICAR CÓD SEC"")"),"")</f>
        <v/>
      </c>
      <c r="R1633" s="82" t="str">
        <f>IFERROR(__xludf.DUMMYFUNCTION("IFERROR(VLOOKUP(D1633,
IMPORTRANGE(""https://docs.google.com/spreadsheets/d/1MjHtlUikwobi2MaWJgy7tfLeBmhj1u-dRFRs_8GwSoA/edit#gid=0"",""Gestores Escolares!D7:m""),10,0),""VERIFICAR CÓD SEC"")"),"")</f>
        <v/>
      </c>
      <c r="S1633" s="82"/>
      <c r="T1633" s="138">
        <v>12.0</v>
      </c>
      <c r="U1633" s="145">
        <v>12.0</v>
      </c>
      <c r="V1633" s="106">
        <v>0.0</v>
      </c>
      <c r="W1633" s="107">
        <v>0.0</v>
      </c>
      <c r="X1633" s="107">
        <v>0.0</v>
      </c>
      <c r="Y1633" s="107">
        <v>0.0</v>
      </c>
      <c r="Z1633" s="80">
        <f t="shared" si="1"/>
        <v>0</v>
      </c>
      <c r="AA1633" s="106">
        <v>0.0</v>
      </c>
      <c r="AB1633" s="107">
        <v>0.0</v>
      </c>
      <c r="AC1633" s="107">
        <v>0.0</v>
      </c>
      <c r="AD1633" s="107">
        <v>0.0</v>
      </c>
      <c r="AE1633" s="80">
        <f t="shared" si="2"/>
        <v>0</v>
      </c>
      <c r="AF1633" s="140">
        <v>274.0</v>
      </c>
      <c r="AG1633" s="109">
        <v>0.0</v>
      </c>
      <c r="AH1633" s="109">
        <v>0.0</v>
      </c>
      <c r="AI1633" s="141">
        <v>0.0</v>
      </c>
      <c r="AJ1633" s="80">
        <f t="shared" si="3"/>
        <v>274</v>
      </c>
      <c r="AK1633" s="140">
        <v>0.0</v>
      </c>
      <c r="AL1633" s="109">
        <v>0.0</v>
      </c>
      <c r="AM1633" s="141">
        <v>0.0</v>
      </c>
      <c r="AN1633" s="80">
        <f t="shared" si="4"/>
        <v>0</v>
      </c>
      <c r="AO1633" s="140">
        <v>0.0</v>
      </c>
      <c r="AP1633" s="109">
        <v>0.0</v>
      </c>
      <c r="AQ1633" s="109">
        <v>99.0</v>
      </c>
      <c r="AR1633" s="80">
        <f t="shared" si="5"/>
        <v>99</v>
      </c>
      <c r="AS1633" s="110">
        <v>0.0</v>
      </c>
      <c r="AT1633" s="110">
        <v>0.0</v>
      </c>
      <c r="AU1633" s="110">
        <v>97.0</v>
      </c>
      <c r="AV1633" s="142">
        <v>0.0</v>
      </c>
      <c r="AW1633" s="80">
        <f t="shared" si="6"/>
        <v>97</v>
      </c>
      <c r="AX1633" s="113">
        <f t="shared" si="7"/>
        <v>470</v>
      </c>
      <c r="AY1633" s="117">
        <f t="shared" si="8"/>
        <v>274</v>
      </c>
      <c r="AZ1633" s="120">
        <f t="shared" si="9"/>
        <v>196</v>
      </c>
      <c r="BA1633" s="115">
        <v>1.0</v>
      </c>
      <c r="BB1633" s="89">
        <f t="shared" si="10"/>
        <v>471</v>
      </c>
      <c r="BC1633" s="132" t="s">
        <v>178</v>
      </c>
      <c r="BD1633" s="132" t="s">
        <v>178</v>
      </c>
      <c r="BE1633" s="132" t="s">
        <v>178</v>
      </c>
      <c r="BF1633" s="156"/>
      <c r="BG1633" s="83">
        <v>1176915.0</v>
      </c>
      <c r="BH1633" s="98" t="s">
        <v>9161</v>
      </c>
      <c r="BI1633" s="112">
        <v>11.0</v>
      </c>
      <c r="BJ1633" s="98" t="s">
        <v>155</v>
      </c>
      <c r="BK1633" s="99">
        <f t="shared" si="11"/>
        <v>0</v>
      </c>
      <c r="BL1633" s="99">
        <f t="shared" si="12"/>
        <v>274</v>
      </c>
      <c r="BM1633" s="99" t="str">
        <f>IFERROR(__xludf.DUMMYFUNCTION("IFERROR(VLOOKUP(BG1633,IMPORTRANGE(""https://docs.google.com/spreadsheets/d/1juPI-Fb8LD0YtltB2mlGEnp_R3UVu1t3wSFPzgCyHXE/edit?gid=0#gid=0"",""GERAL!A2:C""),3,0),""-"")"),"-")</f>
        <v>-</v>
      </c>
    </row>
    <row r="1634" ht="15.75" customHeight="1">
      <c r="A1634" s="111" t="s">
        <v>1785</v>
      </c>
      <c r="B1634" s="83" t="s">
        <v>9148</v>
      </c>
      <c r="C1634" s="83" t="s">
        <v>164</v>
      </c>
      <c r="D1634" s="112">
        <v>1176915.0</v>
      </c>
      <c r="E1634" s="83">
        <v>1179024.0</v>
      </c>
      <c r="F1634" s="98">
        <v>2.9490561E7</v>
      </c>
      <c r="G1634" s="119" t="s">
        <v>9163</v>
      </c>
      <c r="H1634" s="91" t="s">
        <v>9164</v>
      </c>
      <c r="I1634" s="172" t="s">
        <v>9165</v>
      </c>
      <c r="J1634" s="83" t="s">
        <v>2025</v>
      </c>
      <c r="K1634" s="83" t="s">
        <v>168</v>
      </c>
      <c r="L1634" s="83" t="s">
        <v>169</v>
      </c>
      <c r="M1634" s="82" t="str">
        <f>IFERROR(__xludf.DUMMYFUNCTION("IFERROR(VLOOKUP(D1634,
IMPORTRANGE(""https://docs.google.com/spreadsheets/d/1MjHtlUikwobi2MaWJgy7tfLeBmhj1u-dRFRs_8GwSoA/edit#gid=0"",""Gestores Escolares!D7:J""),3,0),""VERIFICAR CÓD SEC"")"),"ERICO DOS SANTOS SILVA")</f>
        <v>ERICO DOS SANTOS SILVA</v>
      </c>
      <c r="N1634" s="82" t="str">
        <f>IFERROR(__xludf.DUMMYFUNCTION("IFERROR(VLOOKUP(D1634,
IMPORTRANGE(""https://docs.google.com/spreadsheets/d/1MjHtlUikwobi2MaWJgy7tfLeBmhj1u-dRFRs_8GwSoA/edit#gid=0"",""Gestores Escolares!D7:J""),4,0),""VERIFICAR CÓD SEC"")"),"(71) 9 9706-8670")</f>
        <v>(71) 9 9706-8670</v>
      </c>
      <c r="O1634" s="82" t="str">
        <f>IFERROR(__xludf.DUMMYFUNCTION("IFERROR(VLOOKUP(D1634,
IMPORTRANGE(""https://docs.google.com/spreadsheets/d/1MjHtlUikwobi2MaWJgy7tfLeBmhj1u-dRFRs_8GwSoA/edit#gid=0"",""Gestores Escolares!D7:J""),6,0),""VERIFICAR CÓD SEC"")"),"SUELY DO NASCIMENTO DOS SANTOS")</f>
        <v>SUELY DO NASCIMENTO DOS SANTOS</v>
      </c>
      <c r="P1634" s="82" t="str">
        <f>IFERROR(__xludf.DUMMYFUNCTION("IFERROR(VLOOKUP(D1634,
IMPORTRANGE(""https://docs.google.com/spreadsheets/d/1MjHtlUikwobi2MaWJgy7tfLeBmhj1u-dRFRs_8GwSoA/edit#gid=0"",""Gestores Escolares!D7:J""),7,0),""VERIFICAR CÓD SEC"")"),"(71) 9 8761-3040")</f>
        <v>(71) 9 8761-3040</v>
      </c>
      <c r="Q1634" s="82" t="str">
        <f>IFERROR(__xludf.DUMMYFUNCTION("IFERROR(VLOOKUP(D1634,
IMPORTRANGE(""https://docs.google.com/spreadsheets/d/1MjHtlUikwobi2MaWJgy7tfLeBmhj1u-dRFRs_8GwSoA/edit#gid=0"",""Gestores Escolares!D7:m""),9,0),""VERIFICAR CÓD SEC"")"),"")</f>
        <v/>
      </c>
      <c r="R1634" s="82" t="str">
        <f>IFERROR(__xludf.DUMMYFUNCTION("IFERROR(VLOOKUP(D1634,
IMPORTRANGE(""https://docs.google.com/spreadsheets/d/1MjHtlUikwobi2MaWJgy7tfLeBmhj1u-dRFRs_8GwSoA/edit#gid=0"",""Gestores Escolares!D7:m""),10,0),""VERIFICAR CÓD SEC"")"),"")</f>
        <v/>
      </c>
      <c r="S1634" s="82"/>
      <c r="T1634" s="138">
        <v>5.0</v>
      </c>
      <c r="U1634" s="145">
        <v>3.0</v>
      </c>
      <c r="V1634" s="106">
        <v>0.0</v>
      </c>
      <c r="W1634" s="107">
        <v>0.0</v>
      </c>
      <c r="X1634" s="107">
        <v>0.0</v>
      </c>
      <c r="Y1634" s="107">
        <v>0.0</v>
      </c>
      <c r="Z1634" s="80">
        <f t="shared" si="1"/>
        <v>0</v>
      </c>
      <c r="AA1634" s="106">
        <v>0.0</v>
      </c>
      <c r="AB1634" s="107">
        <v>0.0</v>
      </c>
      <c r="AC1634" s="107">
        <v>0.0</v>
      </c>
      <c r="AD1634" s="107">
        <v>0.0</v>
      </c>
      <c r="AE1634" s="80">
        <f t="shared" si="2"/>
        <v>0</v>
      </c>
      <c r="AF1634" s="140">
        <v>63.0</v>
      </c>
      <c r="AG1634" s="109">
        <v>20.0</v>
      </c>
      <c r="AH1634" s="109">
        <v>0.0</v>
      </c>
      <c r="AI1634" s="141">
        <v>0.0</v>
      </c>
      <c r="AJ1634" s="80">
        <f t="shared" si="3"/>
        <v>83</v>
      </c>
      <c r="AK1634" s="140">
        <v>0.0</v>
      </c>
      <c r="AL1634" s="109">
        <v>0.0</v>
      </c>
      <c r="AM1634" s="141">
        <v>0.0</v>
      </c>
      <c r="AN1634" s="80">
        <f t="shared" si="4"/>
        <v>0</v>
      </c>
      <c r="AO1634" s="140">
        <v>0.0</v>
      </c>
      <c r="AP1634" s="109">
        <v>0.0</v>
      </c>
      <c r="AQ1634" s="109">
        <v>34.0</v>
      </c>
      <c r="AR1634" s="80">
        <f t="shared" si="5"/>
        <v>34</v>
      </c>
      <c r="AS1634" s="110">
        <v>0.0</v>
      </c>
      <c r="AT1634" s="110">
        <v>0.0</v>
      </c>
      <c r="AU1634" s="110">
        <v>0.0</v>
      </c>
      <c r="AV1634" s="142">
        <v>0.0</v>
      </c>
      <c r="AW1634" s="80">
        <f t="shared" si="6"/>
        <v>0</v>
      </c>
      <c r="AX1634" s="113">
        <f t="shared" si="7"/>
        <v>117</v>
      </c>
      <c r="AY1634" s="117">
        <f t="shared" si="8"/>
        <v>83</v>
      </c>
      <c r="AZ1634" s="120">
        <f t="shared" si="9"/>
        <v>34</v>
      </c>
      <c r="BA1634" s="115">
        <v>0.0</v>
      </c>
      <c r="BB1634" s="89">
        <f t="shared" si="10"/>
        <v>117</v>
      </c>
      <c r="BC1634" s="132" t="s">
        <v>373</v>
      </c>
      <c r="BD1634" s="132" t="s">
        <v>178</v>
      </c>
      <c r="BE1634" s="132" t="s">
        <v>178</v>
      </c>
      <c r="BF1634" s="123"/>
      <c r="BG1634" s="83">
        <v>1179024.0</v>
      </c>
      <c r="BH1634" s="112"/>
      <c r="BI1634" s="112">
        <v>9.0</v>
      </c>
      <c r="BJ1634" s="98" t="s">
        <v>155</v>
      </c>
      <c r="BK1634" s="99">
        <f t="shared" si="11"/>
        <v>0</v>
      </c>
      <c r="BL1634" s="99">
        <f t="shared" si="12"/>
        <v>83</v>
      </c>
      <c r="BM1634" s="99" t="str">
        <f>IFERROR(__xludf.DUMMYFUNCTION("IFERROR(VLOOKUP(BG1634,IMPORTRANGE(""https://docs.google.com/spreadsheets/d/1juPI-Fb8LD0YtltB2mlGEnp_R3UVu1t3wSFPzgCyHXE/edit?gid=0#gid=0"",""GERAL!A2:C""),3,0),""-"")"),"CAMPO")</f>
        <v>CAMPO</v>
      </c>
    </row>
    <row r="1635" ht="15.75" customHeight="1">
      <c r="A1635" s="111" t="s">
        <v>1785</v>
      </c>
      <c r="B1635" s="83" t="s">
        <v>2361</v>
      </c>
      <c r="C1635" s="83" t="s">
        <v>68</v>
      </c>
      <c r="D1635" s="112">
        <v>1103395.0</v>
      </c>
      <c r="E1635" s="83"/>
      <c r="F1635" s="83">
        <v>2.9201853E7</v>
      </c>
      <c r="G1635" s="184" t="s">
        <v>9172</v>
      </c>
      <c r="H1635" s="91" t="s">
        <v>9174</v>
      </c>
      <c r="I1635" s="512" t="s">
        <v>149</v>
      </c>
      <c r="J1635" s="83" t="s">
        <v>150</v>
      </c>
      <c r="K1635" s="83" t="s">
        <v>151</v>
      </c>
      <c r="L1635" s="83" t="s">
        <v>152</v>
      </c>
      <c r="M1635" s="82" t="str">
        <f>IFERROR(__xludf.DUMMYFUNCTION("IFERROR(VLOOKUP(D1635,
IMPORTRANGE(""https://docs.google.com/spreadsheets/d/1MjHtlUikwobi2MaWJgy7tfLeBmhj1u-dRFRs_8GwSoA/edit#gid=0"",""Gestores Escolares!D7:J""),3,0),""VERIFICAR CÓD SEC"")"),"SHEILA MACEDO PINTO DE SOUSA")</f>
        <v>SHEILA MACEDO PINTO DE SOUSA</v>
      </c>
      <c r="N1635" s="82" t="str">
        <f>IFERROR(__xludf.DUMMYFUNCTION("IFERROR(VLOOKUP(D1635,
IMPORTRANGE(""https://docs.google.com/spreadsheets/d/1MjHtlUikwobi2MaWJgy7tfLeBmhj1u-dRFRs_8GwSoA/edit#gid=0"",""Gestores Escolares!D7:J""),4,0),""VERIFICAR CÓD SEC"")"),"(71)  9 9956-9912 (ZAP)")</f>
        <v>(71)  9 9956-9912 (ZAP)</v>
      </c>
      <c r="O1635" s="82" t="str">
        <f>IFERROR(__xludf.DUMMYFUNCTION("IFERROR(VLOOKUP(D1635,
IMPORTRANGE(""https://docs.google.com/spreadsheets/d/1MjHtlUikwobi2MaWJgy7tfLeBmhj1u-dRFRs_8GwSoA/edit#gid=0"",""Gestores Escolares!D7:J""),6,0),""VERIFICAR CÓD SEC"")"),"SIMONE DAMIÃO DA SILVA")</f>
        <v>SIMONE DAMIÃO DA SILVA</v>
      </c>
      <c r="P1635" s="82" t="str">
        <f>IFERROR(__xludf.DUMMYFUNCTION("IFERROR(VLOOKUP(D1635,
IMPORTRANGE(""https://docs.google.com/spreadsheets/d/1MjHtlUikwobi2MaWJgy7tfLeBmhj1u-dRFRs_8GwSoA/edit#gid=0"",""Gestores Escolares!D7:J""),7,0),""VERIFICAR CÓD SEC"")"),"(71) 9 9909-1615")</f>
        <v>(71) 9 9909-1615</v>
      </c>
      <c r="Q1635" s="82" t="str">
        <f>IFERROR(__xludf.DUMMYFUNCTION("IFERROR(VLOOKUP(D1635,
IMPORTRANGE(""https://docs.google.com/spreadsheets/d/1MjHtlUikwobi2MaWJgy7tfLeBmhj1u-dRFRs_8GwSoA/edit#gid=0"",""Gestores Escolares!D7:m""),9,0),""VERIFICAR CÓD SEC"")"),"JULIMARA CONCEICAO SANTOS")</f>
        <v>JULIMARA CONCEICAO SANTOS</v>
      </c>
      <c r="R1635" s="82" t="str">
        <f>IFERROR(__xludf.DUMMYFUNCTION("IFERROR(VLOOKUP(D1635,
IMPORTRANGE(""https://docs.google.com/spreadsheets/d/1MjHtlUikwobi2MaWJgy7tfLeBmhj1u-dRFRs_8GwSoA/edit#gid=0"",""Gestores Escolares!D7:m""),10,0),""VERIFICAR CÓD SEC"")"),"(71) 9 8741-0700")</f>
        <v>(71) 9 8741-0700</v>
      </c>
      <c r="S1635" s="82"/>
      <c r="T1635" s="138">
        <v>7.0</v>
      </c>
      <c r="U1635" s="499">
        <v>7.0</v>
      </c>
      <c r="V1635" s="106">
        <v>0.0</v>
      </c>
      <c r="W1635" s="107">
        <v>0.0</v>
      </c>
      <c r="X1635" s="107">
        <v>0.0</v>
      </c>
      <c r="Y1635" s="107">
        <v>0.0</v>
      </c>
      <c r="Z1635" s="80">
        <f t="shared" si="1"/>
        <v>0</v>
      </c>
      <c r="AA1635" s="106">
        <v>0.0</v>
      </c>
      <c r="AB1635" s="107">
        <v>182.0</v>
      </c>
      <c r="AC1635" s="107">
        <v>0.0</v>
      </c>
      <c r="AD1635" s="107">
        <v>0.0</v>
      </c>
      <c r="AE1635" s="80">
        <f t="shared" si="2"/>
        <v>182</v>
      </c>
      <c r="AF1635" s="140">
        <v>170.0</v>
      </c>
      <c r="AG1635" s="109">
        <v>0.0</v>
      </c>
      <c r="AH1635" s="109">
        <v>0.0</v>
      </c>
      <c r="AI1635" s="141">
        <v>0.0</v>
      </c>
      <c r="AJ1635" s="80">
        <f t="shared" si="3"/>
        <v>170</v>
      </c>
      <c r="AK1635" s="140">
        <v>0.0</v>
      </c>
      <c r="AL1635" s="109">
        <v>0.0</v>
      </c>
      <c r="AM1635" s="141">
        <v>0.0</v>
      </c>
      <c r="AN1635" s="80">
        <f t="shared" si="4"/>
        <v>0</v>
      </c>
      <c r="AO1635" s="140">
        <v>0.0</v>
      </c>
      <c r="AP1635" s="109">
        <v>0.0</v>
      </c>
      <c r="AQ1635" s="109">
        <v>82.0</v>
      </c>
      <c r="AR1635" s="80">
        <f t="shared" si="5"/>
        <v>82</v>
      </c>
      <c r="AS1635" s="110">
        <v>0.0</v>
      </c>
      <c r="AT1635" s="110">
        <v>0.0</v>
      </c>
      <c r="AU1635" s="110">
        <v>0.0</v>
      </c>
      <c r="AV1635" s="142">
        <v>0.0</v>
      </c>
      <c r="AW1635" s="80">
        <f t="shared" si="6"/>
        <v>0</v>
      </c>
      <c r="AX1635" s="113">
        <f t="shared" si="7"/>
        <v>434</v>
      </c>
      <c r="AY1635" s="117">
        <f t="shared" si="8"/>
        <v>352</v>
      </c>
      <c r="AZ1635" s="120">
        <f t="shared" si="9"/>
        <v>82</v>
      </c>
      <c r="BA1635" s="115">
        <v>0.0</v>
      </c>
      <c r="BB1635" s="89">
        <f t="shared" si="10"/>
        <v>434</v>
      </c>
      <c r="BC1635" s="132" t="s">
        <v>178</v>
      </c>
      <c r="BD1635" s="132" t="s">
        <v>178</v>
      </c>
      <c r="BE1635" s="132" t="s">
        <v>178</v>
      </c>
      <c r="BF1635" s="123"/>
      <c r="BG1635" s="83">
        <v>1103395.0</v>
      </c>
      <c r="BH1635" s="98" t="s">
        <v>9176</v>
      </c>
      <c r="BI1635" s="112">
        <v>7.0</v>
      </c>
      <c r="BJ1635" s="98" t="s">
        <v>155</v>
      </c>
      <c r="BK1635" s="99">
        <f t="shared" si="11"/>
        <v>0</v>
      </c>
      <c r="BL1635" s="99">
        <f t="shared" si="12"/>
        <v>352</v>
      </c>
      <c r="BM1635" s="99" t="str">
        <f>IFERROR(__xludf.DUMMYFUNCTION("IFERROR(VLOOKUP(BG1635,IMPORTRANGE(""https://docs.google.com/spreadsheets/d/1juPI-Fb8LD0YtltB2mlGEnp_R3UVu1t3wSFPzgCyHXE/edit?gid=0#gid=0"",""GERAL!A2:C""),3,0),""-"")"),"-")</f>
        <v>-</v>
      </c>
    </row>
    <row r="1636" ht="15.75" customHeight="1">
      <c r="A1636" s="111" t="s">
        <v>1785</v>
      </c>
      <c r="B1636" s="83" t="s">
        <v>2361</v>
      </c>
      <c r="C1636" s="83" t="s">
        <v>68</v>
      </c>
      <c r="D1636" s="112">
        <v>1177009.0</v>
      </c>
      <c r="E1636" s="83"/>
      <c r="F1636" s="83">
        <v>2.940446E7</v>
      </c>
      <c r="G1636" s="184" t="s">
        <v>9177</v>
      </c>
      <c r="H1636" s="91" t="s">
        <v>9179</v>
      </c>
      <c r="I1636" s="512" t="s">
        <v>149</v>
      </c>
      <c r="J1636" s="83" t="s">
        <v>150</v>
      </c>
      <c r="K1636" s="83" t="s">
        <v>151</v>
      </c>
      <c r="L1636" s="83" t="s">
        <v>152</v>
      </c>
      <c r="M1636" s="82" t="str">
        <f>IFERROR(__xludf.DUMMYFUNCTION("IFERROR(VLOOKUP(D1636,
IMPORTRANGE(""https://docs.google.com/spreadsheets/d/1MjHtlUikwobi2MaWJgy7tfLeBmhj1u-dRFRs_8GwSoA/edit#gid=0"",""Gestores Escolares!D7:J""),3,0),""VERIFICAR CÓD SEC"")"),"EDIMAR DOS SANTOS SANTO")</f>
        <v>EDIMAR DOS SANTOS SANTO</v>
      </c>
      <c r="N1636" s="82" t="str">
        <f>IFERROR(__xludf.DUMMYFUNCTION("IFERROR(VLOOKUP(D1636,
IMPORTRANGE(""https://docs.google.com/spreadsheets/d/1MjHtlUikwobi2MaWJgy7tfLeBmhj1u-dRFRs_8GwSoA/edit#gid=0"",""Gestores Escolares!D7:J""),4,0),""VERIFICAR CÓD SEC"")"),"(71) 9 9266-5431")</f>
        <v>(71) 9 9266-5431</v>
      </c>
      <c r="O1636" s="82" t="str">
        <f>IFERROR(__xludf.DUMMYFUNCTION("IFERROR(VLOOKUP(D1636,
IMPORTRANGE(""https://docs.google.com/spreadsheets/d/1MjHtlUikwobi2MaWJgy7tfLeBmhj1u-dRFRs_8GwSoA/edit#gid=0"",""Gestores Escolares!D7:J""),6,0),""VERIFICAR CÓD SEC"")"),"ROSANGELA MARIA DOS SANTOS")</f>
        <v>ROSANGELA MARIA DOS SANTOS</v>
      </c>
      <c r="P1636" s="82" t="str">
        <f>IFERROR(__xludf.DUMMYFUNCTION("IFERROR(VLOOKUP(D1636,
IMPORTRANGE(""https://docs.google.com/spreadsheets/d/1MjHtlUikwobi2MaWJgy7tfLeBmhj1u-dRFRs_8GwSoA/edit#gid=0"",""Gestores Escolares!D7:J""),7,0),""VERIFICAR CÓD SEC"")"),"(71) 9 9620-2595")</f>
        <v>(71) 9 9620-2595</v>
      </c>
      <c r="Q1636" s="82" t="str">
        <f>IFERROR(__xludf.DUMMYFUNCTION("IFERROR(VLOOKUP(D1636,
IMPORTRANGE(""https://docs.google.com/spreadsheets/d/1MjHtlUikwobi2MaWJgy7tfLeBmhj1u-dRFRs_8GwSoA/edit#gid=0"",""Gestores Escolares!D7:m""),9,0),""VERIFICAR CÓD SEC"")"),"ANA CLAUDIA SOUZA DE JESUS")</f>
        <v>ANA CLAUDIA SOUZA DE JESUS</v>
      </c>
      <c r="R1636" s="82" t="str">
        <f>IFERROR(__xludf.DUMMYFUNCTION("IFERROR(VLOOKUP(D1636,
IMPORTRANGE(""https://docs.google.com/spreadsheets/d/1MjHtlUikwobi2MaWJgy7tfLeBmhj1u-dRFRs_8GwSoA/edit#gid=0"",""Gestores Escolares!D7:m""),10,0),""VERIFICAR CÓD SEC"")"),"(71) 9 9291-0050")</f>
        <v>(71) 9 9291-0050</v>
      </c>
      <c r="S1636" s="82"/>
      <c r="T1636" s="138">
        <v>11.0</v>
      </c>
      <c r="U1636" s="499" t="s">
        <v>13939</v>
      </c>
      <c r="V1636" s="106">
        <v>0.0</v>
      </c>
      <c r="W1636" s="107">
        <v>0.0</v>
      </c>
      <c r="X1636" s="107">
        <v>0.0</v>
      </c>
      <c r="Y1636" s="107">
        <v>0.0</v>
      </c>
      <c r="Z1636" s="80">
        <f t="shared" si="1"/>
        <v>0</v>
      </c>
      <c r="AA1636" s="106">
        <v>0.0</v>
      </c>
      <c r="AB1636" s="107">
        <v>0.0</v>
      </c>
      <c r="AC1636" s="107">
        <v>0.0</v>
      </c>
      <c r="AD1636" s="107">
        <v>0.0</v>
      </c>
      <c r="AE1636" s="80">
        <f t="shared" si="2"/>
        <v>0</v>
      </c>
      <c r="AF1636" s="140">
        <v>385.0</v>
      </c>
      <c r="AG1636" s="109">
        <v>128.0</v>
      </c>
      <c r="AH1636" s="109">
        <v>0.0</v>
      </c>
      <c r="AI1636" s="141">
        <v>0.0</v>
      </c>
      <c r="AJ1636" s="80">
        <f t="shared" si="3"/>
        <v>513</v>
      </c>
      <c r="AK1636" s="140">
        <v>0.0</v>
      </c>
      <c r="AL1636" s="109">
        <v>0.0</v>
      </c>
      <c r="AM1636" s="141">
        <v>0.0</v>
      </c>
      <c r="AN1636" s="80">
        <f t="shared" si="4"/>
        <v>0</v>
      </c>
      <c r="AO1636" s="140">
        <v>0.0</v>
      </c>
      <c r="AP1636" s="109">
        <v>21.0</v>
      </c>
      <c r="AQ1636" s="109">
        <v>238.0</v>
      </c>
      <c r="AR1636" s="80">
        <f t="shared" si="5"/>
        <v>259</v>
      </c>
      <c r="AS1636" s="110">
        <v>0.0</v>
      </c>
      <c r="AT1636" s="110">
        <v>0.0</v>
      </c>
      <c r="AU1636" s="110">
        <v>0.0</v>
      </c>
      <c r="AV1636" s="142">
        <v>0.0</v>
      </c>
      <c r="AW1636" s="80">
        <f t="shared" si="6"/>
        <v>0</v>
      </c>
      <c r="AX1636" s="113">
        <f t="shared" si="7"/>
        <v>772</v>
      </c>
      <c r="AY1636" s="117">
        <f t="shared" si="8"/>
        <v>534</v>
      </c>
      <c r="AZ1636" s="120">
        <f t="shared" si="9"/>
        <v>238</v>
      </c>
      <c r="BA1636" s="115">
        <v>0.0</v>
      </c>
      <c r="BB1636" s="89">
        <f t="shared" si="10"/>
        <v>772</v>
      </c>
      <c r="BC1636" s="132" t="s">
        <v>178</v>
      </c>
      <c r="BD1636" s="132" t="s">
        <v>178</v>
      </c>
      <c r="BE1636" s="132" t="s">
        <v>178</v>
      </c>
      <c r="BF1636" s="156"/>
      <c r="BG1636" s="83">
        <v>1177009.0</v>
      </c>
      <c r="BH1636" s="98" t="s">
        <v>9180</v>
      </c>
      <c r="BI1636" s="112">
        <v>11.0</v>
      </c>
      <c r="BJ1636" s="98" t="s">
        <v>155</v>
      </c>
      <c r="BK1636" s="99">
        <f t="shared" si="11"/>
        <v>0</v>
      </c>
      <c r="BL1636" s="99">
        <f t="shared" si="12"/>
        <v>534</v>
      </c>
      <c r="BM1636" s="99" t="str">
        <f>IFERROR(__xludf.DUMMYFUNCTION("IFERROR(VLOOKUP(BG1636,IMPORTRANGE(""https://docs.google.com/spreadsheets/d/1juPI-Fb8LD0YtltB2mlGEnp_R3UVu1t3wSFPzgCyHXE/edit?gid=0#gid=0"",""GERAL!A2:C""),3,0),""-"")"),"-")</f>
        <v>-</v>
      </c>
    </row>
    <row r="1637" ht="15.75" customHeight="1">
      <c r="A1637" s="111" t="s">
        <v>1785</v>
      </c>
      <c r="B1637" s="83" t="s">
        <v>2361</v>
      </c>
      <c r="C1637" s="83" t="s">
        <v>68</v>
      </c>
      <c r="D1637" s="112">
        <v>1104928.0</v>
      </c>
      <c r="E1637" s="83"/>
      <c r="F1637" s="83">
        <v>2.9201535E7</v>
      </c>
      <c r="G1637" s="184" t="s">
        <v>9181</v>
      </c>
      <c r="H1637" s="91" t="s">
        <v>9182</v>
      </c>
      <c r="I1637" s="512" t="s">
        <v>149</v>
      </c>
      <c r="J1637" s="83" t="s">
        <v>9183</v>
      </c>
      <c r="K1637" s="83" t="s">
        <v>151</v>
      </c>
      <c r="L1637" s="83" t="s">
        <v>76</v>
      </c>
      <c r="M1637" s="82" t="str">
        <f>IFERROR(__xludf.DUMMYFUNCTION("IFERROR(VLOOKUP(D1637,
IMPORTRANGE(""https://docs.google.com/spreadsheets/d/1MjHtlUikwobi2MaWJgy7tfLeBmhj1u-dRFRs_8GwSoA/edit#gid=0"",""Gestores Escolares!D7:J""),3,0),""VERIFICAR CÓD SEC"")"),"IRADIS TEOLINA FERREIRA DA SILVA")</f>
        <v>IRADIS TEOLINA FERREIRA DA SILVA</v>
      </c>
      <c r="N1637" s="82" t="str">
        <f>IFERROR(__xludf.DUMMYFUNCTION("IFERROR(VLOOKUP(D1637,
IMPORTRANGE(""https://docs.google.com/spreadsheets/d/1MjHtlUikwobi2MaWJgy7tfLeBmhj1u-dRFRs_8GwSoA/edit#gid=0"",""Gestores Escolares!D7:J""),4,0),""VERIFICAR CÓD SEC"")"),"(71) 9 9302-3504/9 8884-8782")</f>
        <v>(71) 9 9302-3504/9 8884-8782</v>
      </c>
      <c r="O1637" s="82" t="str">
        <f>IFERROR(__xludf.DUMMYFUNCTION("IFERROR(VLOOKUP(D1637,
IMPORTRANGE(""https://docs.google.com/spreadsheets/d/1MjHtlUikwobi2MaWJgy7tfLeBmhj1u-dRFRs_8GwSoA/edit#gid=0"",""Gestores Escolares!D7:J""),6,0),""VERIFICAR CÓD SEC"")"),"SERGIO ANDRADE DE CASTRO")</f>
        <v>SERGIO ANDRADE DE CASTRO</v>
      </c>
      <c r="P1637" s="82" t="str">
        <f>IFERROR(__xludf.DUMMYFUNCTION("IFERROR(VLOOKUP(D1637,
IMPORTRANGE(""https://docs.google.com/spreadsheets/d/1MjHtlUikwobi2MaWJgy7tfLeBmhj1u-dRFRs_8GwSoA/edit#gid=0"",""Gestores Escolares!D7:J""),7,0),""VERIFICAR CÓD SEC"")"),"(71)  9 9173-7850")</f>
        <v>(71)  9 9173-7850</v>
      </c>
      <c r="Q1637" s="82" t="str">
        <f>IFERROR(__xludf.DUMMYFUNCTION("IFERROR(VLOOKUP(D1637,
IMPORTRANGE(""https://docs.google.com/spreadsheets/d/1MjHtlUikwobi2MaWJgy7tfLeBmhj1u-dRFRs_8GwSoA/edit#gid=0"",""Gestores Escolares!D7:m""),9,0),""VERIFICAR CÓD SEC"")"),"")</f>
        <v/>
      </c>
      <c r="R1637" s="82" t="str">
        <f>IFERROR(__xludf.DUMMYFUNCTION("IFERROR(VLOOKUP(D1637,
IMPORTRANGE(""https://docs.google.com/spreadsheets/d/1MjHtlUikwobi2MaWJgy7tfLeBmhj1u-dRFRs_8GwSoA/edit#gid=0"",""Gestores Escolares!D7:m""),10,0),""VERIFICAR CÓD SEC"")"),"")</f>
        <v/>
      </c>
      <c r="S1637" s="82"/>
      <c r="T1637" s="138">
        <v>9.0</v>
      </c>
      <c r="U1637" s="499">
        <v>7.0</v>
      </c>
      <c r="V1637" s="106">
        <v>0.0</v>
      </c>
      <c r="W1637" s="107">
        <v>0.0</v>
      </c>
      <c r="X1637" s="107">
        <v>0.0</v>
      </c>
      <c r="Y1637" s="107">
        <v>0.0</v>
      </c>
      <c r="Z1637" s="80">
        <f t="shared" si="1"/>
        <v>0</v>
      </c>
      <c r="AA1637" s="106">
        <v>0.0</v>
      </c>
      <c r="AB1637" s="107">
        <v>0.0</v>
      </c>
      <c r="AC1637" s="107">
        <v>0.0</v>
      </c>
      <c r="AD1637" s="107">
        <v>0.0</v>
      </c>
      <c r="AE1637" s="80">
        <f t="shared" si="2"/>
        <v>0</v>
      </c>
      <c r="AF1637" s="140">
        <v>43.0</v>
      </c>
      <c r="AG1637" s="109">
        <v>0.0</v>
      </c>
      <c r="AH1637" s="109">
        <v>0.0</v>
      </c>
      <c r="AI1637" s="141">
        <v>44.0</v>
      </c>
      <c r="AJ1637" s="80">
        <f t="shared" si="3"/>
        <v>87</v>
      </c>
      <c r="AK1637" s="140">
        <v>0.0</v>
      </c>
      <c r="AL1637" s="109">
        <v>0.0</v>
      </c>
      <c r="AM1637" s="141">
        <v>0.0</v>
      </c>
      <c r="AN1637" s="80">
        <f t="shared" si="4"/>
        <v>0</v>
      </c>
      <c r="AO1637" s="140">
        <v>0.0</v>
      </c>
      <c r="AP1637" s="109">
        <v>0.0</v>
      </c>
      <c r="AQ1637" s="109">
        <v>45.0</v>
      </c>
      <c r="AR1637" s="80">
        <f t="shared" si="5"/>
        <v>45</v>
      </c>
      <c r="AS1637" s="110">
        <v>44.0</v>
      </c>
      <c r="AT1637" s="110">
        <v>0.0</v>
      </c>
      <c r="AU1637" s="110">
        <v>7.0</v>
      </c>
      <c r="AV1637" s="142">
        <v>0.0</v>
      </c>
      <c r="AW1637" s="80">
        <f t="shared" si="6"/>
        <v>51</v>
      </c>
      <c r="AX1637" s="113">
        <f t="shared" si="7"/>
        <v>183</v>
      </c>
      <c r="AY1637" s="117">
        <f t="shared" si="8"/>
        <v>131</v>
      </c>
      <c r="AZ1637" s="120">
        <f t="shared" si="9"/>
        <v>52</v>
      </c>
      <c r="BA1637" s="115">
        <v>0.0</v>
      </c>
      <c r="BB1637" s="89">
        <f t="shared" si="10"/>
        <v>183</v>
      </c>
      <c r="BC1637" s="132" t="s">
        <v>373</v>
      </c>
      <c r="BD1637" s="132" t="s">
        <v>178</v>
      </c>
      <c r="BE1637" s="132" t="s">
        <v>178</v>
      </c>
      <c r="BF1637" s="123"/>
      <c r="BG1637" s="83">
        <v>1104928.0</v>
      </c>
      <c r="BH1637" s="98" t="s">
        <v>9184</v>
      </c>
      <c r="BI1637" s="112">
        <v>5.0</v>
      </c>
      <c r="BJ1637" s="98" t="s">
        <v>155</v>
      </c>
      <c r="BK1637" s="99">
        <f t="shared" si="11"/>
        <v>44</v>
      </c>
      <c r="BL1637" s="99">
        <f t="shared" si="12"/>
        <v>87</v>
      </c>
      <c r="BM1637" s="99" t="str">
        <f>IFERROR(__xludf.DUMMYFUNCTION("IFERROR(VLOOKUP(BG1637,IMPORTRANGE(""https://docs.google.com/spreadsheets/d/1juPI-Fb8LD0YtltB2mlGEnp_R3UVu1t3wSFPzgCyHXE/edit?gid=0#gid=0"",""GERAL!A2:C""),3,0),""-"")"),"CAMPO")</f>
        <v>CAMPO</v>
      </c>
    </row>
    <row r="1638" ht="15.75" customHeight="1">
      <c r="A1638" s="111" t="s">
        <v>1785</v>
      </c>
      <c r="B1638" s="83" t="s">
        <v>2361</v>
      </c>
      <c r="C1638" s="83" t="s">
        <v>68</v>
      </c>
      <c r="D1638" s="112">
        <v>1100930.0</v>
      </c>
      <c r="E1638" s="83"/>
      <c r="F1638" s="83">
        <v>2.9201527E7</v>
      </c>
      <c r="G1638" s="184" t="s">
        <v>9185</v>
      </c>
      <c r="H1638" s="91" t="s">
        <v>9186</v>
      </c>
      <c r="I1638" s="512" t="s">
        <v>9188</v>
      </c>
      <c r="J1638" s="83" t="s">
        <v>150</v>
      </c>
      <c r="K1638" s="83" t="s">
        <v>151</v>
      </c>
      <c r="L1638" s="83" t="s">
        <v>76</v>
      </c>
      <c r="M1638" s="82" t="str">
        <f>IFERROR(__xludf.DUMMYFUNCTION("IFERROR(VLOOKUP(D1638,
IMPORTRANGE(""https://docs.google.com/spreadsheets/d/1MjHtlUikwobi2MaWJgy7tfLeBmhj1u-dRFRs_8GwSoA/edit#gid=0"",""Gestores Escolares!D7:J""),3,0),""VERIFICAR CÓD SEC"")"),"IRILENE DE SANTANA SOUZA")</f>
        <v>IRILENE DE SANTANA SOUZA</v>
      </c>
      <c r="N1638" s="82" t="str">
        <f>IFERROR(__xludf.DUMMYFUNCTION("IFERROR(VLOOKUP(D1638,
IMPORTRANGE(""https://docs.google.com/spreadsheets/d/1MjHtlUikwobi2MaWJgy7tfLeBmhj1u-dRFRs_8GwSoA/edit#gid=0"",""Gestores Escolares!D7:J""),4,0),""VERIFICAR CÓD SEC"")"),"(71) 9 8601-1983")</f>
        <v>(71) 9 8601-1983</v>
      </c>
      <c r="O1638" s="82" t="str">
        <f>IFERROR(__xludf.DUMMYFUNCTION("IFERROR(VLOOKUP(D1638,
IMPORTRANGE(""https://docs.google.com/spreadsheets/d/1MjHtlUikwobi2MaWJgy7tfLeBmhj1u-dRFRs_8GwSoA/edit#gid=0"",""Gestores Escolares!D7:J""),6,0),""VERIFICAR CÓD SEC"")"),"")</f>
        <v/>
      </c>
      <c r="P1638" s="82" t="str">
        <f>IFERROR(__xludf.DUMMYFUNCTION("IFERROR(VLOOKUP(D1638,
IMPORTRANGE(""https://docs.google.com/spreadsheets/d/1MjHtlUikwobi2MaWJgy7tfLeBmhj1u-dRFRs_8GwSoA/edit#gid=0"",""Gestores Escolares!D7:J""),7,0),""VERIFICAR CÓD SEC"")"),"")</f>
        <v/>
      </c>
      <c r="Q1638" s="82" t="str">
        <f>IFERROR(__xludf.DUMMYFUNCTION("IFERROR(VLOOKUP(D1638,
IMPORTRANGE(""https://docs.google.com/spreadsheets/d/1MjHtlUikwobi2MaWJgy7tfLeBmhj1u-dRFRs_8GwSoA/edit#gid=0"",""Gestores Escolares!D7:m""),9,0),""VERIFICAR CÓD SEC"")"),"")</f>
        <v/>
      </c>
      <c r="R1638" s="82" t="str">
        <f>IFERROR(__xludf.DUMMYFUNCTION("IFERROR(VLOOKUP(D1638,
IMPORTRANGE(""https://docs.google.com/spreadsheets/d/1MjHtlUikwobi2MaWJgy7tfLeBmhj1u-dRFRs_8GwSoA/edit#gid=0"",""Gestores Escolares!D7:m""),10,0),""VERIFICAR CÓD SEC"")"),"")</f>
        <v/>
      </c>
      <c r="S1638" s="82"/>
      <c r="T1638" s="138">
        <v>7.0</v>
      </c>
      <c r="U1638" s="499" t="s">
        <v>13940</v>
      </c>
      <c r="V1638" s="106">
        <v>0.0</v>
      </c>
      <c r="W1638" s="107">
        <v>0.0</v>
      </c>
      <c r="X1638" s="107">
        <v>0.0</v>
      </c>
      <c r="Y1638" s="107">
        <v>0.0</v>
      </c>
      <c r="Z1638" s="80">
        <f t="shared" si="1"/>
        <v>0</v>
      </c>
      <c r="AA1638" s="106">
        <v>209.0</v>
      </c>
      <c r="AB1638" s="107">
        <v>198.0</v>
      </c>
      <c r="AC1638" s="107">
        <v>0.0</v>
      </c>
      <c r="AD1638" s="107">
        <v>0.0</v>
      </c>
      <c r="AE1638" s="80">
        <f t="shared" si="2"/>
        <v>407</v>
      </c>
      <c r="AF1638" s="140">
        <v>0.0</v>
      </c>
      <c r="AG1638" s="109">
        <v>0.0</v>
      </c>
      <c r="AH1638" s="109">
        <v>0.0</v>
      </c>
      <c r="AI1638" s="141">
        <v>0.0</v>
      </c>
      <c r="AJ1638" s="80">
        <f t="shared" si="3"/>
        <v>0</v>
      </c>
      <c r="AK1638" s="140">
        <v>0.0</v>
      </c>
      <c r="AL1638" s="109">
        <v>0.0</v>
      </c>
      <c r="AM1638" s="141">
        <v>0.0</v>
      </c>
      <c r="AN1638" s="80">
        <f t="shared" si="4"/>
        <v>0</v>
      </c>
      <c r="AO1638" s="140">
        <v>0.0</v>
      </c>
      <c r="AP1638" s="109">
        <v>0.0</v>
      </c>
      <c r="AQ1638" s="109">
        <v>0.0</v>
      </c>
      <c r="AR1638" s="80">
        <f t="shared" si="5"/>
        <v>0</v>
      </c>
      <c r="AS1638" s="110">
        <v>0.0</v>
      </c>
      <c r="AT1638" s="110">
        <v>0.0</v>
      </c>
      <c r="AU1638" s="110">
        <v>0.0</v>
      </c>
      <c r="AV1638" s="142">
        <v>0.0</v>
      </c>
      <c r="AW1638" s="80">
        <f t="shared" si="6"/>
        <v>0</v>
      </c>
      <c r="AX1638" s="113">
        <f t="shared" si="7"/>
        <v>407</v>
      </c>
      <c r="AY1638" s="117">
        <f t="shared" si="8"/>
        <v>407</v>
      </c>
      <c r="AZ1638" s="120">
        <f t="shared" si="9"/>
        <v>0</v>
      </c>
      <c r="BA1638" s="115">
        <v>0.0</v>
      </c>
      <c r="BB1638" s="89">
        <f t="shared" si="10"/>
        <v>407</v>
      </c>
      <c r="BC1638" s="132" t="s">
        <v>178</v>
      </c>
      <c r="BD1638" s="132" t="s">
        <v>178</v>
      </c>
      <c r="BE1638" s="132" t="s">
        <v>178</v>
      </c>
      <c r="BF1638" s="123"/>
      <c r="BG1638" s="83">
        <v>1100930.0</v>
      </c>
      <c r="BH1638" s="98" t="s">
        <v>9189</v>
      </c>
      <c r="BI1638" s="112">
        <v>6.0</v>
      </c>
      <c r="BJ1638" s="98" t="s">
        <v>155</v>
      </c>
      <c r="BK1638" s="99">
        <f t="shared" si="11"/>
        <v>0</v>
      </c>
      <c r="BL1638" s="99">
        <f t="shared" si="12"/>
        <v>407</v>
      </c>
      <c r="BM1638" s="99" t="str">
        <f>IFERROR(__xludf.DUMMYFUNCTION("IFERROR(VLOOKUP(BG1638,IMPORTRANGE(""https://docs.google.com/spreadsheets/d/1juPI-Fb8LD0YtltB2mlGEnp_R3UVu1t3wSFPzgCyHXE/edit?gid=0#gid=0"",""GERAL!A2:C""),3,0),""-"")"),"-")</f>
        <v>-</v>
      </c>
    </row>
    <row r="1639" ht="15.75" customHeight="1">
      <c r="A1639" s="111" t="s">
        <v>1785</v>
      </c>
      <c r="B1639" s="83" t="s">
        <v>2361</v>
      </c>
      <c r="C1639" s="83" t="s">
        <v>68</v>
      </c>
      <c r="D1639" s="112">
        <v>1103000.0</v>
      </c>
      <c r="E1639" s="83"/>
      <c r="F1639" s="83">
        <v>2.9201063E7</v>
      </c>
      <c r="G1639" s="184" t="s">
        <v>9190</v>
      </c>
      <c r="H1639" s="91" t="s">
        <v>9191</v>
      </c>
      <c r="I1639" s="512" t="s">
        <v>9188</v>
      </c>
      <c r="J1639" s="83" t="s">
        <v>150</v>
      </c>
      <c r="K1639" s="83" t="s">
        <v>151</v>
      </c>
      <c r="L1639" s="83" t="s">
        <v>230</v>
      </c>
      <c r="M1639" s="82" t="str">
        <f>IFERROR(__xludf.DUMMYFUNCTION("IFERROR(VLOOKUP(D1639,
IMPORTRANGE(""https://docs.google.com/spreadsheets/d/1MjHtlUikwobi2MaWJgy7tfLeBmhj1u-dRFRs_8GwSoA/edit#gid=0"",""Gestores Escolares!D7:J""),3,0),""VERIFICAR CÓD SEC"")"),"EUDES RODRIGUES DA SILVA")</f>
        <v>EUDES RODRIGUES DA SILVA</v>
      </c>
      <c r="N1639" s="82" t="str">
        <f>IFERROR(__xludf.DUMMYFUNCTION("IFERROR(VLOOKUP(D1639,
IMPORTRANGE(""https://docs.google.com/spreadsheets/d/1MjHtlUikwobi2MaWJgy7tfLeBmhj1u-dRFRs_8GwSoA/edit#gid=0"",""Gestores Escolares!D7:J""),4,0),""VERIFICAR CÓD SEC"")"),"(71) 9 8648-4845")</f>
        <v>(71) 9 8648-4845</v>
      </c>
      <c r="O1639" s="82" t="str">
        <f>IFERROR(__xludf.DUMMYFUNCTION("IFERROR(VLOOKUP(D1639,
IMPORTRANGE(""https://docs.google.com/spreadsheets/d/1MjHtlUikwobi2MaWJgy7tfLeBmhj1u-dRFRs_8GwSoA/edit#gid=0"",""Gestores Escolares!D7:J""),6,0),""VERIFICAR CÓD SEC"")"),"ÉRICA DO COUTO MARTINS")</f>
        <v>ÉRICA DO COUTO MARTINS</v>
      </c>
      <c r="P1639" s="82" t="str">
        <f>IFERROR(__xludf.DUMMYFUNCTION("IFERROR(VLOOKUP(D1639,
IMPORTRANGE(""https://docs.google.com/spreadsheets/d/1MjHtlUikwobi2MaWJgy7tfLeBmhj1u-dRFRs_8GwSoA/edit#gid=0"",""Gestores Escolares!D7:J""),7,0),""VERIFICAR CÓD SEC"")"),"(71) 9 8745-7015")</f>
        <v>(71) 9 8745-7015</v>
      </c>
      <c r="Q1639" s="82" t="str">
        <f>IFERROR(__xludf.DUMMYFUNCTION("IFERROR(VLOOKUP(D1639,
IMPORTRANGE(""https://docs.google.com/spreadsheets/d/1MjHtlUikwobi2MaWJgy7tfLeBmhj1u-dRFRs_8GwSoA/edit#gid=0"",""Gestores Escolares!D7:m""),9,0),""VERIFICAR CÓD SEC"")"),"ELISANGELA RAMOS DA SILVA DE SOUZA")</f>
        <v>ELISANGELA RAMOS DA SILVA DE SOUZA</v>
      </c>
      <c r="R1639" s="82" t="str">
        <f>IFERROR(__xludf.DUMMYFUNCTION("IFERROR(VLOOKUP(D1639,
IMPORTRANGE(""https://docs.google.com/spreadsheets/d/1MjHtlUikwobi2MaWJgy7tfLeBmhj1u-dRFRs_8GwSoA/edit#gid=0"",""Gestores Escolares!D7:m""),10,0),""VERIFICAR CÓD SEC"")"),"(71) 9 8769-0984")</f>
        <v>(71) 9 8769-0984</v>
      </c>
      <c r="S1639" s="82"/>
      <c r="T1639" s="138">
        <v>17.0</v>
      </c>
      <c r="U1639" s="499" t="s">
        <v>13941</v>
      </c>
      <c r="V1639" s="106">
        <v>0.0</v>
      </c>
      <c r="W1639" s="107">
        <v>0.0</v>
      </c>
      <c r="X1639" s="107">
        <v>0.0</v>
      </c>
      <c r="Y1639" s="107">
        <v>0.0</v>
      </c>
      <c r="Z1639" s="80">
        <f t="shared" si="1"/>
        <v>0</v>
      </c>
      <c r="AA1639" s="106">
        <v>0.0</v>
      </c>
      <c r="AB1639" s="107">
        <v>0.0</v>
      </c>
      <c r="AC1639" s="107">
        <v>0.0</v>
      </c>
      <c r="AD1639" s="107">
        <v>0.0</v>
      </c>
      <c r="AE1639" s="80">
        <f t="shared" si="2"/>
        <v>0</v>
      </c>
      <c r="AF1639" s="140">
        <v>179.0</v>
      </c>
      <c r="AG1639" s="109">
        <v>60.0</v>
      </c>
      <c r="AH1639" s="109">
        <v>0.0</v>
      </c>
      <c r="AI1639" s="141">
        <v>0.0</v>
      </c>
      <c r="AJ1639" s="80">
        <f t="shared" si="3"/>
        <v>239</v>
      </c>
      <c r="AK1639" s="140">
        <v>0.0</v>
      </c>
      <c r="AL1639" s="109">
        <v>0.0</v>
      </c>
      <c r="AM1639" s="141">
        <v>0.0</v>
      </c>
      <c r="AN1639" s="80">
        <f t="shared" si="4"/>
        <v>0</v>
      </c>
      <c r="AO1639" s="140">
        <v>0.0</v>
      </c>
      <c r="AP1639" s="109">
        <v>0.0</v>
      </c>
      <c r="AQ1639" s="109">
        <v>44.0</v>
      </c>
      <c r="AR1639" s="80">
        <f t="shared" si="5"/>
        <v>44</v>
      </c>
      <c r="AS1639" s="110">
        <v>362.0</v>
      </c>
      <c r="AT1639" s="110">
        <v>252.0</v>
      </c>
      <c r="AU1639" s="110">
        <v>260.0</v>
      </c>
      <c r="AV1639" s="142">
        <v>0.0</v>
      </c>
      <c r="AW1639" s="80">
        <f t="shared" si="6"/>
        <v>874</v>
      </c>
      <c r="AX1639" s="113">
        <f t="shared" si="7"/>
        <v>1157</v>
      </c>
      <c r="AY1639" s="117">
        <f t="shared" si="8"/>
        <v>853</v>
      </c>
      <c r="AZ1639" s="120">
        <f t="shared" si="9"/>
        <v>304</v>
      </c>
      <c r="BA1639" s="115">
        <v>2.0</v>
      </c>
      <c r="BB1639" s="89">
        <f t="shared" si="10"/>
        <v>1159</v>
      </c>
      <c r="BC1639" s="132" t="s">
        <v>178</v>
      </c>
      <c r="BD1639" s="132" t="s">
        <v>178</v>
      </c>
      <c r="BE1639" s="132" t="s">
        <v>178</v>
      </c>
      <c r="BF1639" s="123"/>
      <c r="BG1639" s="83">
        <v>1103000.0</v>
      </c>
      <c r="BH1639" s="98" t="s">
        <v>9192</v>
      </c>
      <c r="BI1639" s="112">
        <v>17.0</v>
      </c>
      <c r="BJ1639" s="98" t="s">
        <v>155</v>
      </c>
      <c r="BK1639" s="99">
        <f t="shared" si="11"/>
        <v>0</v>
      </c>
      <c r="BL1639" s="99">
        <f t="shared" si="12"/>
        <v>853</v>
      </c>
      <c r="BM1639" s="99" t="str">
        <f>IFERROR(__xludf.DUMMYFUNCTION("IFERROR(VLOOKUP(BG1639,IMPORTRANGE(""https://docs.google.com/spreadsheets/d/1juPI-Fb8LD0YtltB2mlGEnp_R3UVu1t3wSFPzgCyHXE/edit?gid=0#gid=0"",""GERAL!A2:C""),3,0),""-"")"),"-")</f>
        <v>-</v>
      </c>
    </row>
    <row r="1640" ht="15.75" customHeight="1">
      <c r="A1640" s="111" t="s">
        <v>1785</v>
      </c>
      <c r="B1640" s="83" t="s">
        <v>2361</v>
      </c>
      <c r="C1640" s="83" t="s">
        <v>68</v>
      </c>
      <c r="D1640" s="112">
        <v>1104723.0</v>
      </c>
      <c r="E1640" s="83"/>
      <c r="F1640" s="83">
        <v>2.9201373E7</v>
      </c>
      <c r="G1640" s="184" t="s">
        <v>9194</v>
      </c>
      <c r="H1640" s="91" t="s">
        <v>9195</v>
      </c>
      <c r="I1640" s="512" t="s">
        <v>9196</v>
      </c>
      <c r="J1640" s="83" t="s">
        <v>150</v>
      </c>
      <c r="K1640" s="83" t="s">
        <v>1022</v>
      </c>
      <c r="L1640" s="83" t="s">
        <v>152</v>
      </c>
      <c r="M1640" s="82" t="str">
        <f>IFERROR(__xludf.DUMMYFUNCTION("IFERROR(VLOOKUP(D1640,
IMPORTRANGE(""https://docs.google.com/spreadsheets/d/1MjHtlUikwobi2MaWJgy7tfLeBmhj1u-dRFRs_8GwSoA/edit#gid=0"",""Gestores Escolares!D7:J""),3,0),""VERIFICAR CÓD SEC"")"),"JOSENILDA MOITINHO SENA")</f>
        <v>JOSENILDA MOITINHO SENA</v>
      </c>
      <c r="N1640" s="82" t="str">
        <f>IFERROR(__xludf.DUMMYFUNCTION("IFERROR(VLOOKUP(D1640,
IMPORTRANGE(""https://docs.google.com/spreadsheets/d/1MjHtlUikwobi2MaWJgy7tfLeBmhj1u-dRFRs_8GwSoA/edit#gid=0"",""Gestores Escolares!D7:J""),4,0),""VERIFICAR CÓD SEC"")"),"(71) 9 9224-1931/9 8788-9409")</f>
        <v>(71) 9 9224-1931/9 8788-9409</v>
      </c>
      <c r="O1640" s="82" t="str">
        <f>IFERROR(__xludf.DUMMYFUNCTION("IFERROR(VLOOKUP(D1640,
IMPORTRANGE(""https://docs.google.com/spreadsheets/d/1MjHtlUikwobi2MaWJgy7tfLeBmhj1u-dRFRs_8GwSoA/edit#gid=0"",""Gestores Escolares!D7:J""),6,0),""VERIFICAR CÓD SEC"")"),"TATIANA RIBEIRO CALLEIA")</f>
        <v>TATIANA RIBEIRO CALLEIA</v>
      </c>
      <c r="P1640" s="82" t="str">
        <f>IFERROR(__xludf.DUMMYFUNCTION("IFERROR(VLOOKUP(D1640,
IMPORTRANGE(""https://docs.google.com/spreadsheets/d/1MjHtlUikwobi2MaWJgy7tfLeBmhj1u-dRFRs_8GwSoA/edit#gid=0"",""Gestores Escolares!D7:J""),7,0),""VERIFICAR CÓD SEC"")"),"(71) 9 8802-4677")</f>
        <v>(71) 9 8802-4677</v>
      </c>
      <c r="Q1640" s="82" t="str">
        <f>IFERROR(__xludf.DUMMYFUNCTION("IFERROR(VLOOKUP(D1640,
IMPORTRANGE(""https://docs.google.com/spreadsheets/d/1MjHtlUikwobi2MaWJgy7tfLeBmhj1u-dRFRs_8GwSoA/edit#gid=0"",""Gestores Escolares!D7:m""),9,0),""VERIFICAR CÓD SEC"")"),"")</f>
        <v/>
      </c>
      <c r="R1640" s="82" t="str">
        <f>IFERROR(__xludf.DUMMYFUNCTION("IFERROR(VLOOKUP(D1640,
IMPORTRANGE(""https://docs.google.com/spreadsheets/d/1MjHtlUikwobi2MaWJgy7tfLeBmhj1u-dRFRs_8GwSoA/edit#gid=0"",""Gestores Escolares!D7:m""),10,0),""VERIFICAR CÓD SEC"")"),"")</f>
        <v/>
      </c>
      <c r="S1640" s="82"/>
      <c r="T1640" s="138">
        <v>15.0</v>
      </c>
      <c r="U1640" s="499">
        <v>13.0</v>
      </c>
      <c r="V1640" s="106">
        <v>0.0</v>
      </c>
      <c r="W1640" s="107">
        <v>0.0</v>
      </c>
      <c r="X1640" s="107">
        <v>0.0</v>
      </c>
      <c r="Y1640" s="107">
        <v>0.0</v>
      </c>
      <c r="Z1640" s="80">
        <f t="shared" si="1"/>
        <v>0</v>
      </c>
      <c r="AA1640" s="106">
        <v>235.0</v>
      </c>
      <c r="AB1640" s="107">
        <v>194.0</v>
      </c>
      <c r="AC1640" s="107">
        <v>0.0</v>
      </c>
      <c r="AD1640" s="107">
        <v>0.0</v>
      </c>
      <c r="AE1640" s="80">
        <f t="shared" si="2"/>
        <v>429</v>
      </c>
      <c r="AF1640" s="140">
        <v>128.0</v>
      </c>
      <c r="AG1640" s="109">
        <v>65.0</v>
      </c>
      <c r="AH1640" s="109">
        <v>0.0</v>
      </c>
      <c r="AI1640" s="141">
        <v>0.0</v>
      </c>
      <c r="AJ1640" s="80">
        <f t="shared" si="3"/>
        <v>193</v>
      </c>
      <c r="AK1640" s="140">
        <v>0.0</v>
      </c>
      <c r="AL1640" s="109">
        <v>0.0</v>
      </c>
      <c r="AM1640" s="141">
        <v>0.0</v>
      </c>
      <c r="AN1640" s="80">
        <f t="shared" si="4"/>
        <v>0</v>
      </c>
      <c r="AO1640" s="140">
        <v>0.0</v>
      </c>
      <c r="AP1640" s="109">
        <v>0.0</v>
      </c>
      <c r="AQ1640" s="109">
        <v>83.0</v>
      </c>
      <c r="AR1640" s="80">
        <f t="shared" si="5"/>
        <v>83</v>
      </c>
      <c r="AS1640" s="110">
        <v>0.0</v>
      </c>
      <c r="AT1640" s="110">
        <v>0.0</v>
      </c>
      <c r="AU1640" s="110">
        <v>0.0</v>
      </c>
      <c r="AV1640" s="142">
        <v>0.0</v>
      </c>
      <c r="AW1640" s="80">
        <f t="shared" si="6"/>
        <v>0</v>
      </c>
      <c r="AX1640" s="113">
        <f t="shared" si="7"/>
        <v>705</v>
      </c>
      <c r="AY1640" s="117">
        <f t="shared" si="8"/>
        <v>622</v>
      </c>
      <c r="AZ1640" s="120">
        <f t="shared" si="9"/>
        <v>83</v>
      </c>
      <c r="BA1640" s="115">
        <v>0.0</v>
      </c>
      <c r="BB1640" s="89">
        <f t="shared" si="10"/>
        <v>705</v>
      </c>
      <c r="BC1640" s="132" t="s">
        <v>178</v>
      </c>
      <c r="BD1640" s="132" t="s">
        <v>178</v>
      </c>
      <c r="BE1640" s="132" t="s">
        <v>178</v>
      </c>
      <c r="BF1640" s="123"/>
      <c r="BG1640" s="83">
        <v>1104723.0</v>
      </c>
      <c r="BH1640" s="112"/>
      <c r="BI1640" s="112">
        <v>13.0</v>
      </c>
      <c r="BJ1640" s="98" t="s">
        <v>155</v>
      </c>
      <c r="BK1640" s="99">
        <f t="shared" si="11"/>
        <v>0</v>
      </c>
      <c r="BL1640" s="99">
        <f t="shared" si="12"/>
        <v>622</v>
      </c>
      <c r="BM1640" s="99" t="str">
        <f>IFERROR(__xludf.DUMMYFUNCTION("IFERROR(VLOOKUP(BG1640,IMPORTRANGE(""https://docs.google.com/spreadsheets/d/1juPI-Fb8LD0YtltB2mlGEnp_R3UVu1t3wSFPzgCyHXE/edit?gid=0#gid=0"",""GERAL!A2:C""),3,0),""-"")"),"-")</f>
        <v>-</v>
      </c>
    </row>
    <row r="1641" ht="15.75" customHeight="1">
      <c r="A1641" s="111" t="s">
        <v>1785</v>
      </c>
      <c r="B1641" s="83" t="s">
        <v>2361</v>
      </c>
      <c r="C1641" s="83" t="s">
        <v>68</v>
      </c>
      <c r="D1641" s="112">
        <v>1100159.0</v>
      </c>
      <c r="E1641" s="83"/>
      <c r="F1641" s="83">
        <v>2.920139E7</v>
      </c>
      <c r="G1641" s="610" t="s">
        <v>9198</v>
      </c>
      <c r="H1641" s="91" t="s">
        <v>9199</v>
      </c>
      <c r="I1641" s="83" t="s">
        <v>149</v>
      </c>
      <c r="J1641" s="83" t="s">
        <v>150</v>
      </c>
      <c r="K1641" s="83" t="s">
        <v>151</v>
      </c>
      <c r="L1641" s="83" t="s">
        <v>230</v>
      </c>
      <c r="M1641" s="82" t="str">
        <f>IFERROR(__xludf.DUMMYFUNCTION("IFERROR(VLOOKUP(D1641,
IMPORTRANGE(""https://docs.google.com/spreadsheets/d/1MjHtlUikwobi2MaWJgy7tfLeBmhj1u-dRFRs_8GwSoA/edit#gid=0"",""Gestores Escolares!D7:J""),3,0),""VERIFICAR CÓD SEC"")"),"EMILE DE JESUS DE LIMA")</f>
        <v>EMILE DE JESUS DE LIMA</v>
      </c>
      <c r="N1641" s="82" t="str">
        <f>IFERROR(__xludf.DUMMYFUNCTION("IFERROR(VLOOKUP(D1641,
IMPORTRANGE(""https://docs.google.com/spreadsheets/d/1MjHtlUikwobi2MaWJgy7tfLeBmhj1u-dRFRs_8GwSoA/edit#gid=0"",""Gestores Escolares!D7:J""),4,0),""VERIFICAR CÓD SEC"")"),"(71) 9 8203-1630")</f>
        <v>(71) 9 8203-1630</v>
      </c>
      <c r="O1641" s="82" t="str">
        <f>IFERROR(__xludf.DUMMYFUNCTION("IFERROR(VLOOKUP(D1641,
IMPORTRANGE(""https://docs.google.com/spreadsheets/d/1MjHtlUikwobi2MaWJgy7tfLeBmhj1u-dRFRs_8GwSoA/edit#gid=0"",""Gestores Escolares!D7:J""),6,0),""VERIFICAR CÓD SEC"")"),"ERIC PEREIRA BARBOSA")</f>
        <v>ERIC PEREIRA BARBOSA</v>
      </c>
      <c r="P1641" s="82" t="str">
        <f>IFERROR(__xludf.DUMMYFUNCTION("IFERROR(VLOOKUP(D1641,
IMPORTRANGE(""https://docs.google.com/spreadsheets/d/1MjHtlUikwobi2MaWJgy7tfLeBmhj1u-dRFRs_8GwSoA/edit#gid=0"",""Gestores Escolares!D7:J""),7,0),""VERIFICAR CÓD SEC"")"),"(71) 9 9616-9837")</f>
        <v>(71) 9 9616-9837</v>
      </c>
      <c r="Q1641" s="82" t="str">
        <f>IFERROR(__xludf.DUMMYFUNCTION("IFERROR(VLOOKUP(D1641,
IMPORTRANGE(""https://docs.google.com/spreadsheets/d/1MjHtlUikwobi2MaWJgy7tfLeBmhj1u-dRFRs_8GwSoA/edit#gid=0"",""Gestores Escolares!D7:m""),9,0),""VERIFICAR CÓD SEC"")"),"JODIAEL SIMOES DOS SANTOS")</f>
        <v>JODIAEL SIMOES DOS SANTOS</v>
      </c>
      <c r="R1641" s="82" t="str">
        <f>IFERROR(__xludf.DUMMYFUNCTION("IFERROR(VLOOKUP(D1641,
IMPORTRANGE(""https://docs.google.com/spreadsheets/d/1MjHtlUikwobi2MaWJgy7tfLeBmhj1u-dRFRs_8GwSoA/edit#gid=0"",""Gestores Escolares!D7:m""),10,0),""VERIFICAR CÓD SEC"")")," (71) 9 9175-9474")</f>
        <v> (71) 9 9175-9474</v>
      </c>
      <c r="S1641" s="82"/>
      <c r="T1641" s="138">
        <v>13.0</v>
      </c>
      <c r="U1641" s="499" t="s">
        <v>8320</v>
      </c>
      <c r="V1641" s="106">
        <v>0.0</v>
      </c>
      <c r="W1641" s="107">
        <v>0.0</v>
      </c>
      <c r="X1641" s="107">
        <v>0.0</v>
      </c>
      <c r="Y1641" s="107">
        <v>0.0</v>
      </c>
      <c r="Z1641" s="80">
        <f t="shared" si="1"/>
        <v>0</v>
      </c>
      <c r="AA1641" s="106">
        <v>0.0</v>
      </c>
      <c r="AB1641" s="107">
        <v>0.0</v>
      </c>
      <c r="AC1641" s="107">
        <v>0.0</v>
      </c>
      <c r="AD1641" s="107">
        <v>0.0</v>
      </c>
      <c r="AE1641" s="80">
        <f t="shared" si="2"/>
        <v>0</v>
      </c>
      <c r="AF1641" s="140">
        <v>336.0</v>
      </c>
      <c r="AG1641" s="109">
        <v>302.0</v>
      </c>
      <c r="AH1641" s="109">
        <v>0.0</v>
      </c>
      <c r="AI1641" s="141">
        <v>35.0</v>
      </c>
      <c r="AJ1641" s="80">
        <f t="shared" si="3"/>
        <v>673</v>
      </c>
      <c r="AK1641" s="140">
        <v>0.0</v>
      </c>
      <c r="AL1641" s="109">
        <v>0.0</v>
      </c>
      <c r="AM1641" s="141">
        <v>0.0</v>
      </c>
      <c r="AN1641" s="80">
        <f t="shared" si="4"/>
        <v>0</v>
      </c>
      <c r="AO1641" s="140">
        <v>0.0</v>
      </c>
      <c r="AP1641" s="109">
        <v>0.0</v>
      </c>
      <c r="AQ1641" s="109">
        <v>180.0</v>
      </c>
      <c r="AR1641" s="80">
        <f t="shared" si="5"/>
        <v>180</v>
      </c>
      <c r="AS1641" s="110">
        <v>0.0</v>
      </c>
      <c r="AT1641" s="110">
        <v>0.0</v>
      </c>
      <c r="AU1641" s="110">
        <v>0.0</v>
      </c>
      <c r="AV1641" s="142">
        <v>0.0</v>
      </c>
      <c r="AW1641" s="80">
        <f t="shared" si="6"/>
        <v>0</v>
      </c>
      <c r="AX1641" s="113">
        <f t="shared" si="7"/>
        <v>853</v>
      </c>
      <c r="AY1641" s="117">
        <f t="shared" si="8"/>
        <v>673</v>
      </c>
      <c r="AZ1641" s="120">
        <f t="shared" si="9"/>
        <v>180</v>
      </c>
      <c r="BA1641" s="115">
        <v>0.0</v>
      </c>
      <c r="BB1641" s="89">
        <f t="shared" si="10"/>
        <v>853</v>
      </c>
      <c r="BC1641" s="132" t="s">
        <v>178</v>
      </c>
      <c r="BD1641" s="132" t="s">
        <v>178</v>
      </c>
      <c r="BE1641" s="132" t="s">
        <v>178</v>
      </c>
      <c r="BF1641" s="123"/>
      <c r="BG1641" s="83">
        <v>1100159.0</v>
      </c>
      <c r="BH1641" s="98" t="s">
        <v>9184</v>
      </c>
      <c r="BI1641" s="112">
        <v>13.0</v>
      </c>
      <c r="BJ1641" s="98" t="s">
        <v>155</v>
      </c>
      <c r="BK1641" s="99">
        <f t="shared" si="11"/>
        <v>35</v>
      </c>
      <c r="BL1641" s="99">
        <f t="shared" si="12"/>
        <v>638</v>
      </c>
      <c r="BM1641" s="99" t="str">
        <f>IFERROR(__xludf.DUMMYFUNCTION("IFERROR(VLOOKUP(BG1641,IMPORTRANGE(""https://docs.google.com/spreadsheets/d/1juPI-Fb8LD0YtltB2mlGEnp_R3UVu1t3wSFPzgCyHXE/edit?gid=0#gid=0"",""GERAL!A2:C""),3,0),""-"")"),"-")</f>
        <v>-</v>
      </c>
    </row>
    <row r="1642" ht="15.75" customHeight="1">
      <c r="A1642" s="111" t="s">
        <v>1785</v>
      </c>
      <c r="B1642" s="83" t="s">
        <v>2361</v>
      </c>
      <c r="C1642" s="83" t="s">
        <v>68</v>
      </c>
      <c r="D1642" s="112">
        <v>1100655.0</v>
      </c>
      <c r="E1642" s="83"/>
      <c r="F1642" s="83">
        <v>2.9201608E7</v>
      </c>
      <c r="G1642" s="184" t="s">
        <v>9201</v>
      </c>
      <c r="H1642" s="91" t="s">
        <v>9202</v>
      </c>
      <c r="I1642" s="512" t="s">
        <v>9203</v>
      </c>
      <c r="J1642" s="83" t="s">
        <v>150</v>
      </c>
      <c r="K1642" s="83" t="s">
        <v>151</v>
      </c>
      <c r="L1642" s="83" t="s">
        <v>152</v>
      </c>
      <c r="M1642" s="82" t="str">
        <f>IFERROR(__xludf.DUMMYFUNCTION("IFERROR(VLOOKUP(D1642,
IMPORTRANGE(""https://docs.google.com/spreadsheets/d/1MjHtlUikwobi2MaWJgy7tfLeBmhj1u-dRFRs_8GwSoA/edit#gid=0"",""Gestores Escolares!D7:J""),3,0),""VERIFICAR CÓD SEC"")"),"MARIA DE FÁTIMA CARVALHO DOS SANTOS")</f>
        <v>MARIA DE FÁTIMA CARVALHO DOS SANTOS</v>
      </c>
      <c r="N1642" s="82" t="str">
        <f>IFERROR(__xludf.DUMMYFUNCTION("IFERROR(VLOOKUP(D1642,
IMPORTRANGE(""https://docs.google.com/spreadsheets/d/1MjHtlUikwobi2MaWJgy7tfLeBmhj1u-dRFRs_8GwSoA/edit#gid=0"",""Gestores Escolares!D7:J""),4,0),""VERIFICAR CÓD SEC"")"),"(71) 9 9977-2727")</f>
        <v>(71) 9 9977-2727</v>
      </c>
      <c r="O1642" s="82" t="str">
        <f>IFERROR(__xludf.DUMMYFUNCTION("IFERROR(VLOOKUP(D1642,
IMPORTRANGE(""https://docs.google.com/spreadsheets/d/1MjHtlUikwobi2MaWJgy7tfLeBmhj1u-dRFRs_8GwSoA/edit#gid=0"",""Gestores Escolares!D7:J""),6,0),""VERIFICAR CÓD SEC"")"),"MARIA APARECIDA DOS SANTOS CONCEIÇÃO")</f>
        <v>MARIA APARECIDA DOS SANTOS CONCEIÇÃO</v>
      </c>
      <c r="P1642" s="82" t="str">
        <f>IFERROR(__xludf.DUMMYFUNCTION("IFERROR(VLOOKUP(D1642,
IMPORTRANGE(""https://docs.google.com/spreadsheets/d/1MjHtlUikwobi2MaWJgy7tfLeBmhj1u-dRFRs_8GwSoA/edit#gid=0"",""Gestores Escolares!D7:J""),7,0),""VERIFICAR CÓD SEC"")"),"(71) 9 9257-8221")</f>
        <v>(71) 9 9257-8221</v>
      </c>
      <c r="Q1642" s="82" t="str">
        <f>IFERROR(__xludf.DUMMYFUNCTION("IFERROR(VLOOKUP(D1642,
IMPORTRANGE(""https://docs.google.com/spreadsheets/d/1MjHtlUikwobi2MaWJgy7tfLeBmhj1u-dRFRs_8GwSoA/edit#gid=0"",""Gestores Escolares!D7:m""),9,0),""VERIFICAR CÓD SEC"")"),"CELIA MARIA DA SILVA")</f>
        <v>CELIA MARIA DA SILVA</v>
      </c>
      <c r="R1642" s="82" t="str">
        <f>IFERROR(__xludf.DUMMYFUNCTION("IFERROR(VLOOKUP(D1642,
IMPORTRANGE(""https://docs.google.com/spreadsheets/d/1MjHtlUikwobi2MaWJgy7tfLeBmhj1u-dRFRs_8GwSoA/edit#gid=0"",""Gestores Escolares!D7:m""),10,0),""VERIFICAR CÓD SEC"")"),"(71) 9 9966-1215/ 
9 9946-4767")</f>
        <v>(71) 9 9966-1215/ 
9 9946-4767</v>
      </c>
      <c r="S1642" s="82"/>
      <c r="T1642" s="138">
        <v>10.0</v>
      </c>
      <c r="U1642" s="499">
        <v>10.0</v>
      </c>
      <c r="V1642" s="106">
        <v>0.0</v>
      </c>
      <c r="W1642" s="107">
        <v>0.0</v>
      </c>
      <c r="X1642" s="107">
        <v>0.0</v>
      </c>
      <c r="Y1642" s="107">
        <v>0.0</v>
      </c>
      <c r="Z1642" s="80">
        <f t="shared" si="1"/>
        <v>0</v>
      </c>
      <c r="AA1642" s="106">
        <v>0.0</v>
      </c>
      <c r="AB1642" s="107">
        <v>0.0</v>
      </c>
      <c r="AC1642" s="107">
        <v>0.0</v>
      </c>
      <c r="AD1642" s="107">
        <v>0.0</v>
      </c>
      <c r="AE1642" s="80">
        <f t="shared" si="2"/>
        <v>0</v>
      </c>
      <c r="AF1642" s="140">
        <v>281.0</v>
      </c>
      <c r="AG1642" s="109">
        <v>196.0</v>
      </c>
      <c r="AH1642" s="109">
        <v>0.0</v>
      </c>
      <c r="AI1642" s="141">
        <v>0.0</v>
      </c>
      <c r="AJ1642" s="80">
        <f t="shared" si="3"/>
        <v>477</v>
      </c>
      <c r="AK1642" s="140">
        <v>0.0</v>
      </c>
      <c r="AL1642" s="109">
        <v>0.0</v>
      </c>
      <c r="AM1642" s="141">
        <v>0.0</v>
      </c>
      <c r="AN1642" s="80">
        <f t="shared" si="4"/>
        <v>0</v>
      </c>
      <c r="AO1642" s="140">
        <v>0.0</v>
      </c>
      <c r="AP1642" s="109">
        <v>0.0</v>
      </c>
      <c r="AQ1642" s="109">
        <v>73.0</v>
      </c>
      <c r="AR1642" s="80">
        <f t="shared" si="5"/>
        <v>73</v>
      </c>
      <c r="AS1642" s="110">
        <v>0.0</v>
      </c>
      <c r="AT1642" s="110">
        <v>0.0</v>
      </c>
      <c r="AU1642" s="110">
        <v>0.0</v>
      </c>
      <c r="AV1642" s="142">
        <v>0.0</v>
      </c>
      <c r="AW1642" s="80">
        <f t="shared" si="6"/>
        <v>0</v>
      </c>
      <c r="AX1642" s="113">
        <f t="shared" si="7"/>
        <v>550</v>
      </c>
      <c r="AY1642" s="117">
        <f t="shared" si="8"/>
        <v>477</v>
      </c>
      <c r="AZ1642" s="120">
        <f t="shared" si="9"/>
        <v>73</v>
      </c>
      <c r="BA1642" s="115">
        <v>0.0</v>
      </c>
      <c r="BB1642" s="89">
        <f t="shared" si="10"/>
        <v>550</v>
      </c>
      <c r="BC1642" s="132" t="s">
        <v>178</v>
      </c>
      <c r="BD1642" s="132" t="s">
        <v>178</v>
      </c>
      <c r="BE1642" s="132" t="s">
        <v>178</v>
      </c>
      <c r="BF1642" s="181"/>
      <c r="BG1642" s="83">
        <v>1100655.0</v>
      </c>
      <c r="BH1642" s="98" t="s">
        <v>9204</v>
      </c>
      <c r="BI1642" s="112">
        <v>10.0</v>
      </c>
      <c r="BJ1642" s="98" t="s">
        <v>155</v>
      </c>
      <c r="BK1642" s="99">
        <f t="shared" si="11"/>
        <v>0</v>
      </c>
      <c r="BL1642" s="99">
        <f t="shared" si="12"/>
        <v>477</v>
      </c>
      <c r="BM1642" s="99" t="str">
        <f>IFERROR(__xludf.DUMMYFUNCTION("IFERROR(VLOOKUP(BG1642,IMPORTRANGE(""https://docs.google.com/spreadsheets/d/1juPI-Fb8LD0YtltB2mlGEnp_R3UVu1t3wSFPzgCyHXE/edit?gid=0#gid=0"",""GERAL!A2:C""),3,0),""-"")"),"-")</f>
        <v>-</v>
      </c>
    </row>
    <row r="1643" ht="15.75" customHeight="1">
      <c r="A1643" s="111" t="s">
        <v>1785</v>
      </c>
      <c r="B1643" s="83" t="s">
        <v>2361</v>
      </c>
      <c r="C1643" s="83" t="s">
        <v>68</v>
      </c>
      <c r="D1643" s="112">
        <v>1176072.0</v>
      </c>
      <c r="E1643" s="83"/>
      <c r="F1643" s="83">
        <v>2.9201632E7</v>
      </c>
      <c r="G1643" s="185" t="s">
        <v>9205</v>
      </c>
      <c r="H1643" s="91" t="s">
        <v>9206</v>
      </c>
      <c r="I1643" s="83" t="s">
        <v>9203</v>
      </c>
      <c r="J1643" s="83" t="s">
        <v>150</v>
      </c>
      <c r="K1643" s="83" t="s">
        <v>151</v>
      </c>
      <c r="L1643" s="83" t="s">
        <v>230</v>
      </c>
      <c r="M1643" s="82" t="str">
        <f>IFERROR(__xludf.DUMMYFUNCTION("IFERROR(VLOOKUP(D1643,
IMPORTRANGE(""https://docs.google.com/spreadsheets/d/1MjHtlUikwobi2MaWJgy7tfLeBmhj1u-dRFRs_8GwSoA/edit#gid=0"",""Gestores Escolares!D7:J""),3,0),""VERIFICAR CÓD SEC"")"),"DÉBORA BELTOSO CRUZ")</f>
        <v>DÉBORA BELTOSO CRUZ</v>
      </c>
      <c r="N1643" s="82" t="str">
        <f>IFERROR(__xludf.DUMMYFUNCTION("IFERROR(VLOOKUP(D1643,
IMPORTRANGE(""https://docs.google.com/spreadsheets/d/1MjHtlUikwobi2MaWJgy7tfLeBmhj1u-dRFRs_8GwSoA/edit#gid=0"",""Gestores Escolares!D7:J""),4,0),""VERIFICAR CÓD SEC"")"),"(71) 9 8860-5177/9 8401-2222")</f>
        <v>(71) 9 8860-5177/9 8401-2222</v>
      </c>
      <c r="O1643" s="82" t="str">
        <f>IFERROR(__xludf.DUMMYFUNCTION("IFERROR(VLOOKUP(D1643,
IMPORTRANGE(""https://docs.google.com/spreadsheets/d/1MjHtlUikwobi2MaWJgy7tfLeBmhj1u-dRFRs_8GwSoA/edit#gid=0"",""Gestores Escolares!D7:J""),6,0),""VERIFICAR CÓD SEC"")"),"RENATO SOUZA SANTOS")</f>
        <v>RENATO SOUZA SANTOS</v>
      </c>
      <c r="P1643" s="82" t="str">
        <f>IFERROR(__xludf.DUMMYFUNCTION("IFERROR(VLOOKUP(D1643,
IMPORTRANGE(""https://docs.google.com/spreadsheets/d/1MjHtlUikwobi2MaWJgy7tfLeBmhj1u-dRFRs_8GwSoA/edit#gid=0"",""Gestores Escolares!D7:J""),7,0),""VERIFICAR CÓD SEC"")"),"(71) 9 9989-4415")</f>
        <v>(71) 9 9989-4415</v>
      </c>
      <c r="Q1643" s="82" t="str">
        <f>IFERROR(__xludf.DUMMYFUNCTION("IFERROR(VLOOKUP(D1643,
IMPORTRANGE(""https://docs.google.com/spreadsheets/d/1MjHtlUikwobi2MaWJgy7tfLeBmhj1u-dRFRs_8GwSoA/edit#gid=0"",""Gestores Escolares!D7:m""),9,0),""VERIFICAR CÓD SEC"")"),"ALEXANDRO MOREIRA DA PAIXÃO")</f>
        <v>ALEXANDRO MOREIRA DA PAIXÃO</v>
      </c>
      <c r="R1643" s="82" t="str">
        <f>IFERROR(__xludf.DUMMYFUNCTION("IFERROR(VLOOKUP(D1643,
IMPORTRANGE(""https://docs.google.com/spreadsheets/d/1MjHtlUikwobi2MaWJgy7tfLeBmhj1u-dRFRs_8GwSoA/edit#gid=0"",""Gestores Escolares!D7:m""),10,0),""VERIFICAR CÓD SEC"")"),"(71) 9 8771-0693")</f>
        <v>(71) 9 8771-0693</v>
      </c>
      <c r="S1643" s="82"/>
      <c r="T1643" s="138">
        <v>23.0</v>
      </c>
      <c r="U1643" s="499">
        <v>22.0</v>
      </c>
      <c r="V1643" s="106">
        <v>0.0</v>
      </c>
      <c r="W1643" s="107">
        <v>0.0</v>
      </c>
      <c r="X1643" s="107">
        <v>0.0</v>
      </c>
      <c r="Y1643" s="107">
        <v>0.0</v>
      </c>
      <c r="Z1643" s="80">
        <f t="shared" si="1"/>
        <v>0</v>
      </c>
      <c r="AA1643" s="106">
        <v>0.0</v>
      </c>
      <c r="AB1643" s="107">
        <v>0.0</v>
      </c>
      <c r="AC1643" s="107">
        <v>0.0</v>
      </c>
      <c r="AD1643" s="107">
        <v>0.0</v>
      </c>
      <c r="AE1643" s="80">
        <f t="shared" si="2"/>
        <v>0</v>
      </c>
      <c r="AF1643" s="140">
        <v>0.0</v>
      </c>
      <c r="AG1643" s="109">
        <v>0.0</v>
      </c>
      <c r="AH1643" s="109">
        <v>0.0</v>
      </c>
      <c r="AI1643" s="141">
        <v>0.0</v>
      </c>
      <c r="AJ1643" s="80">
        <f t="shared" si="3"/>
        <v>0</v>
      </c>
      <c r="AK1643" s="140">
        <v>0.0</v>
      </c>
      <c r="AL1643" s="109">
        <v>0.0</v>
      </c>
      <c r="AM1643" s="141">
        <v>0.0</v>
      </c>
      <c r="AN1643" s="80">
        <f t="shared" si="4"/>
        <v>0</v>
      </c>
      <c r="AO1643" s="140">
        <v>0.0</v>
      </c>
      <c r="AP1643" s="109">
        <v>0.0</v>
      </c>
      <c r="AQ1643" s="109">
        <v>0.0</v>
      </c>
      <c r="AR1643" s="80">
        <f t="shared" si="5"/>
        <v>0</v>
      </c>
      <c r="AS1643" s="110">
        <v>825.0</v>
      </c>
      <c r="AT1643" s="110">
        <v>0.0</v>
      </c>
      <c r="AU1643" s="110">
        <v>470.0</v>
      </c>
      <c r="AV1643" s="142">
        <v>0.0</v>
      </c>
      <c r="AW1643" s="80">
        <f t="shared" si="6"/>
        <v>1295</v>
      </c>
      <c r="AX1643" s="113">
        <f t="shared" si="7"/>
        <v>1295</v>
      </c>
      <c r="AY1643" s="117">
        <f t="shared" si="8"/>
        <v>825</v>
      </c>
      <c r="AZ1643" s="120">
        <f t="shared" si="9"/>
        <v>470</v>
      </c>
      <c r="BA1643" s="115">
        <v>1.0</v>
      </c>
      <c r="BB1643" s="89">
        <f t="shared" si="10"/>
        <v>1296</v>
      </c>
      <c r="BC1643" s="132" t="s">
        <v>178</v>
      </c>
      <c r="BD1643" s="132" t="s">
        <v>779</v>
      </c>
      <c r="BE1643" s="132" t="s">
        <v>178</v>
      </c>
      <c r="BF1643" s="156"/>
      <c r="BG1643" s="83">
        <v>1176072.0</v>
      </c>
      <c r="BH1643" s="98" t="s">
        <v>9207</v>
      </c>
      <c r="BI1643" s="112">
        <v>22.0</v>
      </c>
      <c r="BJ1643" s="98" t="s">
        <v>155</v>
      </c>
      <c r="BK1643" s="99">
        <f t="shared" si="11"/>
        <v>0</v>
      </c>
      <c r="BL1643" s="99">
        <f t="shared" si="12"/>
        <v>825</v>
      </c>
      <c r="BM1643" s="99" t="str">
        <f>IFERROR(__xludf.DUMMYFUNCTION("IFERROR(VLOOKUP(BG1643,IMPORTRANGE(""https://docs.google.com/spreadsheets/d/1juPI-Fb8LD0YtltB2mlGEnp_R3UVu1t3wSFPzgCyHXE/edit?gid=0#gid=0"",""GERAL!A2:C""),3,0),""-"")"),"-")</f>
        <v>-</v>
      </c>
    </row>
    <row r="1644" ht="15.75" customHeight="1">
      <c r="A1644" s="111" t="s">
        <v>1785</v>
      </c>
      <c r="B1644" s="83" t="s">
        <v>2361</v>
      </c>
      <c r="C1644" s="83" t="s">
        <v>68</v>
      </c>
      <c r="D1644" s="112">
        <v>1144520.0</v>
      </c>
      <c r="E1644" s="83"/>
      <c r="F1644" s="83">
        <v>2.920102E7</v>
      </c>
      <c r="G1644" s="185" t="s">
        <v>9210</v>
      </c>
      <c r="H1644" s="91" t="s">
        <v>9211</v>
      </c>
      <c r="I1644" s="83" t="s">
        <v>149</v>
      </c>
      <c r="J1644" s="83" t="s">
        <v>150</v>
      </c>
      <c r="K1644" s="83" t="s">
        <v>168</v>
      </c>
      <c r="L1644" s="83" t="s">
        <v>76</v>
      </c>
      <c r="M1644" s="82" t="str">
        <f>IFERROR(__xludf.DUMMYFUNCTION("IFERROR(VLOOKUP(D1644,
IMPORTRANGE(""https://docs.google.com/spreadsheets/d/1MjHtlUikwobi2MaWJgy7tfLeBmhj1u-dRFRs_8GwSoA/edit#gid=0"",""Gestores Escolares!D7:J""),3,0),""VERIFICAR CÓD SEC"")"),"MÁRCIA ANTÔNIA DE BARROS SANTOS")</f>
        <v>MÁRCIA ANTÔNIA DE BARROS SANTOS</v>
      </c>
      <c r="N1644" s="82" t="str">
        <f>IFERROR(__xludf.DUMMYFUNCTION("IFERROR(VLOOKUP(D1644,
IMPORTRANGE(""https://docs.google.com/spreadsheets/d/1MjHtlUikwobi2MaWJgy7tfLeBmhj1u-dRFRs_8GwSoA/edit#gid=0"",""Gestores Escolares!D7:J""),4,0),""VERIFICAR CÓD SEC"")"),"(71) 9 8160-1184")</f>
        <v>(71) 9 8160-1184</v>
      </c>
      <c r="O1644" s="82" t="str">
        <f>IFERROR(__xludf.DUMMYFUNCTION("IFERROR(VLOOKUP(D1644,
IMPORTRANGE(""https://docs.google.com/spreadsheets/d/1MjHtlUikwobi2MaWJgy7tfLeBmhj1u-dRFRs_8GwSoA/edit#gid=0"",""Gestores Escolares!D7:J""),6,0),""VERIFICAR CÓD SEC"")")," CLEITON REIMAO DOS SANTOS")</f>
        <v> CLEITON REIMAO DOS SANTOS</v>
      </c>
      <c r="P1644" s="82" t="str">
        <f>IFERROR(__xludf.DUMMYFUNCTION("IFERROR(VLOOKUP(D1644,
IMPORTRANGE(""https://docs.google.com/spreadsheets/d/1MjHtlUikwobi2MaWJgy7tfLeBmhj1u-dRFRs_8GwSoA/edit#gid=0"",""Gestores Escolares!D7:J""),7,0),""VERIFICAR CÓD SEC"")"),"(71) 9 9104-6917")</f>
        <v>(71) 9 9104-6917</v>
      </c>
      <c r="Q1644" s="82" t="str">
        <f>IFERROR(__xludf.DUMMYFUNCTION("IFERROR(VLOOKUP(D1644,
IMPORTRANGE(""https://docs.google.com/spreadsheets/d/1MjHtlUikwobi2MaWJgy7tfLeBmhj1u-dRFRs_8GwSoA/edit#gid=0"",""Gestores Escolares!D7:m""),9,0),""VERIFICAR CÓD SEC"")"),"")</f>
        <v/>
      </c>
      <c r="R1644" s="82" t="str">
        <f>IFERROR(__xludf.DUMMYFUNCTION("IFERROR(VLOOKUP(D1644,
IMPORTRANGE(""https://docs.google.com/spreadsheets/d/1MjHtlUikwobi2MaWJgy7tfLeBmhj1u-dRFRs_8GwSoA/edit#gid=0"",""Gestores Escolares!D7:m""),10,0),""VERIFICAR CÓD SEC"")"),"")</f>
        <v/>
      </c>
      <c r="S1644" s="82"/>
      <c r="T1644" s="138">
        <v>13.0</v>
      </c>
      <c r="U1644" s="499" t="s">
        <v>13942</v>
      </c>
      <c r="V1644" s="106">
        <v>0.0</v>
      </c>
      <c r="W1644" s="107">
        <v>0.0</v>
      </c>
      <c r="X1644" s="107">
        <v>0.0</v>
      </c>
      <c r="Y1644" s="107">
        <v>0.0</v>
      </c>
      <c r="Z1644" s="80">
        <f t="shared" si="1"/>
        <v>0</v>
      </c>
      <c r="AA1644" s="106">
        <v>272.0</v>
      </c>
      <c r="AB1644" s="107">
        <v>273.0</v>
      </c>
      <c r="AC1644" s="107">
        <v>0.0</v>
      </c>
      <c r="AD1644" s="107">
        <v>0.0</v>
      </c>
      <c r="AE1644" s="80">
        <f t="shared" si="2"/>
        <v>545</v>
      </c>
      <c r="AF1644" s="140">
        <v>0.0</v>
      </c>
      <c r="AG1644" s="109">
        <v>0.0</v>
      </c>
      <c r="AH1644" s="109">
        <v>0.0</v>
      </c>
      <c r="AI1644" s="141">
        <v>0.0</v>
      </c>
      <c r="AJ1644" s="80">
        <f t="shared" si="3"/>
        <v>0</v>
      </c>
      <c r="AK1644" s="140">
        <v>0.0</v>
      </c>
      <c r="AL1644" s="109">
        <v>0.0</v>
      </c>
      <c r="AM1644" s="141">
        <v>0.0</v>
      </c>
      <c r="AN1644" s="80">
        <f t="shared" si="4"/>
        <v>0</v>
      </c>
      <c r="AO1644" s="140">
        <v>0.0</v>
      </c>
      <c r="AP1644" s="109">
        <v>0.0</v>
      </c>
      <c r="AQ1644" s="109">
        <v>0.0</v>
      </c>
      <c r="AR1644" s="80">
        <f t="shared" si="5"/>
        <v>0</v>
      </c>
      <c r="AS1644" s="110">
        <v>0.0</v>
      </c>
      <c r="AT1644" s="110">
        <v>0.0</v>
      </c>
      <c r="AU1644" s="110">
        <v>0.0</v>
      </c>
      <c r="AV1644" s="142">
        <v>0.0</v>
      </c>
      <c r="AW1644" s="80">
        <f t="shared" si="6"/>
        <v>0</v>
      </c>
      <c r="AX1644" s="113">
        <f t="shared" si="7"/>
        <v>545</v>
      </c>
      <c r="AY1644" s="117">
        <f t="shared" si="8"/>
        <v>545</v>
      </c>
      <c r="AZ1644" s="120">
        <f t="shared" si="9"/>
        <v>0</v>
      </c>
      <c r="BA1644" s="115">
        <v>0.0</v>
      </c>
      <c r="BB1644" s="89">
        <f t="shared" si="10"/>
        <v>545</v>
      </c>
      <c r="BC1644" s="132" t="s">
        <v>178</v>
      </c>
      <c r="BD1644" s="132" t="s">
        <v>178</v>
      </c>
      <c r="BE1644" s="132" t="s">
        <v>178</v>
      </c>
      <c r="BF1644" s="156"/>
      <c r="BG1644" s="83">
        <v>1144520.0</v>
      </c>
      <c r="BH1644" s="98" t="s">
        <v>9213</v>
      </c>
      <c r="BI1644" s="112">
        <v>8.0</v>
      </c>
      <c r="BJ1644" s="98" t="s">
        <v>155</v>
      </c>
      <c r="BK1644" s="99">
        <f t="shared" si="11"/>
        <v>0</v>
      </c>
      <c r="BL1644" s="99">
        <f t="shared" si="12"/>
        <v>545</v>
      </c>
      <c r="BM1644" s="99" t="str">
        <f>IFERROR(__xludf.DUMMYFUNCTION("IFERROR(VLOOKUP(BG1644,IMPORTRANGE(""https://docs.google.com/spreadsheets/d/1juPI-Fb8LD0YtltB2mlGEnp_R3UVu1t3wSFPzgCyHXE/edit?gid=0#gid=0"",""GERAL!A2:C""),3,0),""-"")"),"-")</f>
        <v>-</v>
      </c>
    </row>
    <row r="1645" ht="15.75" customHeight="1">
      <c r="A1645" s="111" t="s">
        <v>1785</v>
      </c>
      <c r="B1645" s="83" t="s">
        <v>2361</v>
      </c>
      <c r="C1645" s="83" t="s">
        <v>164</v>
      </c>
      <c r="D1645" s="112">
        <v>1104928.0</v>
      </c>
      <c r="E1645" s="83">
        <v>1178433.0</v>
      </c>
      <c r="F1645" s="98">
        <v>2.9491894E7</v>
      </c>
      <c r="G1645" s="184" t="s">
        <v>9225</v>
      </c>
      <c r="H1645" s="91" t="s">
        <v>9227</v>
      </c>
      <c r="I1645" s="512" t="s">
        <v>149</v>
      </c>
      <c r="J1645" s="83" t="s">
        <v>2704</v>
      </c>
      <c r="K1645" s="83" t="s">
        <v>168</v>
      </c>
      <c r="L1645" s="83" t="s">
        <v>169</v>
      </c>
      <c r="M1645" s="82" t="str">
        <f>IFERROR(__xludf.DUMMYFUNCTION("IFERROR(VLOOKUP(D1645,
IMPORTRANGE(""https://docs.google.com/spreadsheets/d/1MjHtlUikwobi2MaWJgy7tfLeBmhj1u-dRFRs_8GwSoA/edit#gid=0"",""Gestores Escolares!D7:J""),3,0),""VERIFICAR CÓD SEC"")"),"IRADIS TEOLINA FERREIRA DA SILVA")</f>
        <v>IRADIS TEOLINA FERREIRA DA SILVA</v>
      </c>
      <c r="N1645" s="82" t="str">
        <f>IFERROR(__xludf.DUMMYFUNCTION("IFERROR(VLOOKUP(D1645,
IMPORTRANGE(""https://docs.google.com/spreadsheets/d/1MjHtlUikwobi2MaWJgy7tfLeBmhj1u-dRFRs_8GwSoA/edit#gid=0"",""Gestores Escolares!D7:J""),4,0),""VERIFICAR CÓD SEC"")"),"(71) 9 9302-3504/9 8884-8782")</f>
        <v>(71) 9 9302-3504/9 8884-8782</v>
      </c>
      <c r="O1645" s="82" t="str">
        <f>IFERROR(__xludf.DUMMYFUNCTION("IFERROR(VLOOKUP(D1645,
IMPORTRANGE(""https://docs.google.com/spreadsheets/d/1MjHtlUikwobi2MaWJgy7tfLeBmhj1u-dRFRs_8GwSoA/edit#gid=0"",""Gestores Escolares!D7:J""),6,0),""VERIFICAR CÓD SEC"")"),"SERGIO ANDRADE DE CASTRO")</f>
        <v>SERGIO ANDRADE DE CASTRO</v>
      </c>
      <c r="P1645" s="82" t="str">
        <f>IFERROR(__xludf.DUMMYFUNCTION("IFERROR(VLOOKUP(D1645,
IMPORTRANGE(""https://docs.google.com/spreadsheets/d/1MjHtlUikwobi2MaWJgy7tfLeBmhj1u-dRFRs_8GwSoA/edit#gid=0"",""Gestores Escolares!D7:J""),7,0),""VERIFICAR CÓD SEC"")"),"(71)  9 9173-7850")</f>
        <v>(71)  9 9173-7850</v>
      </c>
      <c r="Q1645" s="82" t="str">
        <f>IFERROR(__xludf.DUMMYFUNCTION("IFERROR(VLOOKUP(D1645,
IMPORTRANGE(""https://docs.google.com/spreadsheets/d/1MjHtlUikwobi2MaWJgy7tfLeBmhj1u-dRFRs_8GwSoA/edit#gid=0"",""Gestores Escolares!D7:m""),9,0),""VERIFICAR CÓD SEC"")"),"")</f>
        <v/>
      </c>
      <c r="R1645" s="82" t="str">
        <f>IFERROR(__xludf.DUMMYFUNCTION("IFERROR(VLOOKUP(D1645,
IMPORTRANGE(""https://docs.google.com/spreadsheets/d/1MjHtlUikwobi2MaWJgy7tfLeBmhj1u-dRFRs_8GwSoA/edit#gid=0"",""Gestores Escolares!D7:m""),10,0),""VERIFICAR CÓD SEC"")"),"")</f>
        <v/>
      </c>
      <c r="S1645" s="82"/>
      <c r="T1645" s="138">
        <v>4.0</v>
      </c>
      <c r="U1645" s="152">
        <v>3.0</v>
      </c>
      <c r="V1645" s="106">
        <v>0.0</v>
      </c>
      <c r="W1645" s="107">
        <v>0.0</v>
      </c>
      <c r="X1645" s="107">
        <v>0.0</v>
      </c>
      <c r="Y1645" s="107">
        <v>0.0</v>
      </c>
      <c r="Z1645" s="80">
        <f t="shared" si="1"/>
        <v>0</v>
      </c>
      <c r="AA1645" s="106">
        <v>0.0</v>
      </c>
      <c r="AB1645" s="107">
        <v>0.0</v>
      </c>
      <c r="AC1645" s="107">
        <v>0.0</v>
      </c>
      <c r="AD1645" s="107">
        <v>0.0</v>
      </c>
      <c r="AE1645" s="80">
        <f t="shared" si="2"/>
        <v>0</v>
      </c>
      <c r="AF1645" s="140">
        <v>0.0</v>
      </c>
      <c r="AG1645" s="109">
        <v>0.0</v>
      </c>
      <c r="AH1645" s="109">
        <v>0.0</v>
      </c>
      <c r="AI1645" s="141">
        <v>0.0</v>
      </c>
      <c r="AJ1645" s="80">
        <f t="shared" si="3"/>
        <v>0</v>
      </c>
      <c r="AK1645" s="140">
        <v>0.0</v>
      </c>
      <c r="AL1645" s="109">
        <v>0.0</v>
      </c>
      <c r="AM1645" s="141">
        <v>0.0</v>
      </c>
      <c r="AN1645" s="80">
        <f t="shared" si="4"/>
        <v>0</v>
      </c>
      <c r="AO1645" s="140">
        <v>0.0</v>
      </c>
      <c r="AP1645" s="109">
        <v>0.0</v>
      </c>
      <c r="AQ1645" s="109">
        <v>35.0</v>
      </c>
      <c r="AR1645" s="80">
        <f t="shared" si="5"/>
        <v>35</v>
      </c>
      <c r="AS1645" s="110">
        <v>0.0</v>
      </c>
      <c r="AT1645" s="110">
        <v>0.0</v>
      </c>
      <c r="AU1645" s="110">
        <v>0.0</v>
      </c>
      <c r="AV1645" s="142">
        <v>0.0</v>
      </c>
      <c r="AW1645" s="80">
        <f t="shared" si="6"/>
        <v>0</v>
      </c>
      <c r="AX1645" s="113">
        <f t="shared" si="7"/>
        <v>35</v>
      </c>
      <c r="AY1645" s="117">
        <f t="shared" si="8"/>
        <v>0</v>
      </c>
      <c r="AZ1645" s="120">
        <f t="shared" si="9"/>
        <v>35</v>
      </c>
      <c r="BA1645" s="115">
        <v>0.0</v>
      </c>
      <c r="BB1645" s="89">
        <f t="shared" si="10"/>
        <v>35</v>
      </c>
      <c r="BC1645" s="132" t="s">
        <v>373</v>
      </c>
      <c r="BD1645" s="132" t="s">
        <v>178</v>
      </c>
      <c r="BE1645" s="132" t="s">
        <v>178</v>
      </c>
      <c r="BF1645" s="123"/>
      <c r="BG1645" s="83">
        <v>1178433.0</v>
      </c>
      <c r="BH1645" s="112"/>
      <c r="BI1645" s="112">
        <v>3.0</v>
      </c>
      <c r="BJ1645" s="98" t="s">
        <v>155</v>
      </c>
      <c r="BK1645" s="99">
        <f t="shared" si="11"/>
        <v>0</v>
      </c>
      <c r="BL1645" s="99">
        <f t="shared" si="12"/>
        <v>0</v>
      </c>
      <c r="BM1645" s="99" t="str">
        <f>IFERROR(__xludf.DUMMYFUNCTION("IFERROR(VLOOKUP(BG1645,IMPORTRANGE(""https://docs.google.com/spreadsheets/d/1juPI-Fb8LD0YtltB2mlGEnp_R3UVu1t3wSFPzgCyHXE/edit?gid=0#gid=0"",""GERAL!A2:C""),3,0),""-"")"),"CAMPO")</f>
        <v>CAMPO</v>
      </c>
    </row>
    <row r="1646" ht="15.75" customHeight="1">
      <c r="A1646" s="111" t="s">
        <v>1785</v>
      </c>
      <c r="B1646" s="83" t="s">
        <v>2361</v>
      </c>
      <c r="C1646" s="83" t="s">
        <v>164</v>
      </c>
      <c r="D1646" s="208">
        <v>1100930.0</v>
      </c>
      <c r="E1646" s="189">
        <v>1178573.0</v>
      </c>
      <c r="F1646" s="98">
        <v>2.9491819E7</v>
      </c>
      <c r="G1646" s="294" t="s">
        <v>9231</v>
      </c>
      <c r="H1646" s="91" t="s">
        <v>9232</v>
      </c>
      <c r="I1646" s="512" t="s">
        <v>3124</v>
      </c>
      <c r="J1646" s="83" t="s">
        <v>150</v>
      </c>
      <c r="K1646" s="83" t="s">
        <v>168</v>
      </c>
      <c r="L1646" s="82" t="s">
        <v>169</v>
      </c>
      <c r="M1646" s="82" t="str">
        <f>IFERROR(__xludf.DUMMYFUNCTION("IFERROR(VLOOKUP(D1646,
IMPORTRANGE(""https://docs.google.com/spreadsheets/d/1MjHtlUikwobi2MaWJgy7tfLeBmhj1u-dRFRs_8GwSoA/edit#gid=0"",""Gestores Escolares!D7:J""),3,0),""VERIFICAR CÓD SEC"")"),"IRILENE DE SANTANA SOUZA")</f>
        <v>IRILENE DE SANTANA SOUZA</v>
      </c>
      <c r="N1646" s="82" t="str">
        <f>IFERROR(__xludf.DUMMYFUNCTION("IFERROR(VLOOKUP(D1646,
IMPORTRANGE(""https://docs.google.com/spreadsheets/d/1MjHtlUikwobi2MaWJgy7tfLeBmhj1u-dRFRs_8GwSoA/edit#gid=0"",""Gestores Escolares!D7:J""),4,0),""VERIFICAR CÓD SEC"")"),"(71) 9 8601-1983")</f>
        <v>(71) 9 8601-1983</v>
      </c>
      <c r="O1646" s="82" t="str">
        <f>IFERROR(__xludf.DUMMYFUNCTION("IFERROR(VLOOKUP(D1646,
IMPORTRANGE(""https://docs.google.com/spreadsheets/d/1MjHtlUikwobi2MaWJgy7tfLeBmhj1u-dRFRs_8GwSoA/edit#gid=0"",""Gestores Escolares!D7:J""),6,0),""VERIFICAR CÓD SEC"")"),"")</f>
        <v/>
      </c>
      <c r="P1646" s="82" t="str">
        <f>IFERROR(__xludf.DUMMYFUNCTION("IFERROR(VLOOKUP(D1646,
IMPORTRANGE(""https://docs.google.com/spreadsheets/d/1MjHtlUikwobi2MaWJgy7tfLeBmhj1u-dRFRs_8GwSoA/edit#gid=0"",""Gestores Escolares!D7:J""),7,0),""VERIFICAR CÓD SEC"")"),"")</f>
        <v/>
      </c>
      <c r="Q1646" s="82" t="str">
        <f>IFERROR(__xludf.DUMMYFUNCTION("IFERROR(VLOOKUP(D1646,
IMPORTRANGE(""https://docs.google.com/spreadsheets/d/1MjHtlUikwobi2MaWJgy7tfLeBmhj1u-dRFRs_8GwSoA/edit#gid=0"",""Gestores Escolares!D7:m""),9,0),""VERIFICAR CÓD SEC"")"),"")</f>
        <v/>
      </c>
      <c r="R1646" s="82" t="str">
        <f>IFERROR(__xludf.DUMMYFUNCTION("IFERROR(VLOOKUP(D1646,
IMPORTRANGE(""https://docs.google.com/spreadsheets/d/1MjHtlUikwobi2MaWJgy7tfLeBmhj1u-dRFRs_8GwSoA/edit#gid=0"",""Gestores Escolares!D7:m""),10,0),""VERIFICAR CÓD SEC"")"),"")</f>
        <v/>
      </c>
      <c r="S1646" s="82"/>
      <c r="T1646" s="138">
        <v>3.0</v>
      </c>
      <c r="U1646" s="152">
        <v>1.0</v>
      </c>
      <c r="V1646" s="106">
        <v>0.0</v>
      </c>
      <c r="W1646" s="107">
        <v>0.0</v>
      </c>
      <c r="X1646" s="107">
        <v>0.0</v>
      </c>
      <c r="Y1646" s="107">
        <v>0.0</v>
      </c>
      <c r="Z1646" s="80">
        <f t="shared" si="1"/>
        <v>0</v>
      </c>
      <c r="AA1646" s="106">
        <v>0.0</v>
      </c>
      <c r="AB1646" s="107">
        <v>0.0</v>
      </c>
      <c r="AC1646" s="107">
        <v>0.0</v>
      </c>
      <c r="AD1646" s="107">
        <v>0.0</v>
      </c>
      <c r="AE1646" s="80">
        <f t="shared" si="2"/>
        <v>0</v>
      </c>
      <c r="AF1646" s="140">
        <v>0.0</v>
      </c>
      <c r="AG1646" s="109">
        <v>0.0</v>
      </c>
      <c r="AH1646" s="109">
        <v>0.0</v>
      </c>
      <c r="AI1646" s="141">
        <v>0.0</v>
      </c>
      <c r="AJ1646" s="80">
        <f t="shared" si="3"/>
        <v>0</v>
      </c>
      <c r="AK1646" s="140">
        <v>37.0</v>
      </c>
      <c r="AL1646" s="109">
        <v>35.0</v>
      </c>
      <c r="AM1646" s="141">
        <v>0.0</v>
      </c>
      <c r="AN1646" s="80">
        <f t="shared" si="4"/>
        <v>72</v>
      </c>
      <c r="AO1646" s="140">
        <v>0.0</v>
      </c>
      <c r="AP1646" s="109">
        <v>0.0</v>
      </c>
      <c r="AQ1646" s="109">
        <v>0.0</v>
      </c>
      <c r="AR1646" s="80">
        <f t="shared" si="5"/>
        <v>0</v>
      </c>
      <c r="AS1646" s="110">
        <v>0.0</v>
      </c>
      <c r="AT1646" s="110">
        <v>0.0</v>
      </c>
      <c r="AU1646" s="110">
        <v>0.0</v>
      </c>
      <c r="AV1646" s="142">
        <v>0.0</v>
      </c>
      <c r="AW1646" s="80">
        <f t="shared" si="6"/>
        <v>0</v>
      </c>
      <c r="AX1646" s="113">
        <f t="shared" si="7"/>
        <v>72</v>
      </c>
      <c r="AY1646" s="117">
        <f t="shared" si="8"/>
        <v>72</v>
      </c>
      <c r="AZ1646" s="120">
        <f t="shared" si="9"/>
        <v>0</v>
      </c>
      <c r="BA1646" s="115">
        <v>2.0</v>
      </c>
      <c r="BB1646" s="89">
        <f t="shared" si="10"/>
        <v>74</v>
      </c>
      <c r="BC1646" s="132" t="s">
        <v>563</v>
      </c>
      <c r="BD1646" s="132" t="s">
        <v>178</v>
      </c>
      <c r="BE1646" s="132" t="s">
        <v>178</v>
      </c>
      <c r="BF1646" s="156" t="s">
        <v>632</v>
      </c>
      <c r="BG1646" s="189">
        <v>1178573.0</v>
      </c>
      <c r="BH1646" s="208"/>
      <c r="BI1646" s="112">
        <v>1.0</v>
      </c>
      <c r="BJ1646" s="98" t="s">
        <v>155</v>
      </c>
      <c r="BK1646" s="99">
        <f t="shared" si="11"/>
        <v>0</v>
      </c>
      <c r="BL1646" s="99">
        <f t="shared" si="12"/>
        <v>72</v>
      </c>
      <c r="BM1646" s="99" t="str">
        <f>IFERROR(__xludf.DUMMYFUNCTION("IFERROR(VLOOKUP(BG1646,IMPORTRANGE(""https://docs.google.com/spreadsheets/d/1juPI-Fb8LD0YtltB2mlGEnp_R3UVu1t3wSFPzgCyHXE/edit?gid=0#gid=0"",""GERAL!A2:C""),3,0),""-"")"),"-")</f>
        <v>-</v>
      </c>
    </row>
    <row r="1647" ht="15.75" customHeight="1">
      <c r="A1647" s="127" t="s">
        <v>1785</v>
      </c>
      <c r="B1647" s="98" t="s">
        <v>2361</v>
      </c>
      <c r="C1647" s="98" t="s">
        <v>164</v>
      </c>
      <c r="D1647" s="98">
        <v>1104600.0</v>
      </c>
      <c r="E1647" s="98">
        <v>1179835.0</v>
      </c>
      <c r="F1647" s="98">
        <v>2.9489741E7</v>
      </c>
      <c r="G1647" s="147" t="s">
        <v>9234</v>
      </c>
      <c r="H1647" s="108" t="s">
        <v>9235</v>
      </c>
      <c r="I1647" s="83"/>
      <c r="J1647" s="83"/>
      <c r="K1647" s="98" t="s">
        <v>151</v>
      </c>
      <c r="L1647" s="83" t="s">
        <v>512</v>
      </c>
      <c r="M1647" s="82" t="str">
        <f>IFERROR(__xludf.DUMMYFUNCTION("IFERROR(VLOOKUP(D1647,
IMPORTRANGE(""https://docs.google.com/spreadsheets/d/1MjHtlUikwobi2MaWJgy7tfLeBmhj1u-dRFRs_8GwSoA/edit#gid=0"",""Gestores Escolares!D7:J""),3,0),""VERIFICAR CÓD SEC"")"),"LILIANE FONSECA DO CARMO")</f>
        <v>LILIANE FONSECA DO CARMO</v>
      </c>
      <c r="N1647" s="82" t="str">
        <f>IFERROR(__xludf.DUMMYFUNCTION("IFERROR(VLOOKUP(D1647,
IMPORTRANGE(""https://docs.google.com/spreadsheets/d/1MjHtlUikwobi2MaWJgy7tfLeBmhj1u-dRFRs_8GwSoA/edit#gid=0"",""Gestores Escolares!D7:J""),4,0),""VERIFICAR CÓD SEC"")")," (71) 9 8152-8974 ZAP DA UEE /
9 8745-2789/ 
9 9700-9015/ 
9 8314-2660")</f>
        <v> (71) 9 8152-8974 ZAP DA UEE /
9 8745-2789/ 
9 9700-9015/ 
9 8314-2660</v>
      </c>
      <c r="O1647" s="82" t="str">
        <f>IFERROR(__xludf.DUMMYFUNCTION("IFERROR(VLOOKUP(D1647,
IMPORTRANGE(""https://docs.google.com/spreadsheets/d/1MjHtlUikwobi2MaWJgy7tfLeBmhj1u-dRFRs_8GwSoA/edit#gid=0"",""Gestores Escolares!D7:J""),6,0),""VERIFICAR CÓD SEC"")"),"ARISVAL SANTOS DA COSTA")</f>
        <v>ARISVAL SANTOS DA COSTA</v>
      </c>
      <c r="P1647" s="82" t="str">
        <f>IFERROR(__xludf.DUMMYFUNCTION("IFERROR(VLOOKUP(D1647,
IMPORTRANGE(""https://docs.google.com/spreadsheets/d/1MjHtlUikwobi2MaWJgy7tfLeBmhj1u-dRFRs_8GwSoA/edit#gid=0"",""Gestores Escolares!D7:J""),7,0),""VERIFICAR CÓD SEC"")")," (71) 9 9988-4078")</f>
        <v> (71) 9 9988-4078</v>
      </c>
      <c r="Q1647" s="82" t="str">
        <f>IFERROR(__xludf.DUMMYFUNCTION("IFERROR(VLOOKUP(D1647,
IMPORTRANGE(""https://docs.google.com/spreadsheets/d/1MjHtlUikwobi2MaWJgy7tfLeBmhj1u-dRFRs_8GwSoA/edit#gid=0"",""Gestores Escolares!D7:m""),9,0),""VERIFICAR CÓD SEC"")"),"ANA MARIA POMPILIO BASTOS")</f>
        <v>ANA MARIA POMPILIO BASTOS</v>
      </c>
      <c r="R1647" s="82" t="str">
        <f>IFERROR(__xludf.DUMMYFUNCTION("IFERROR(VLOOKUP(D1647,
IMPORTRANGE(""https://docs.google.com/spreadsheets/d/1MjHtlUikwobi2MaWJgy7tfLeBmhj1u-dRFRs_8GwSoA/edit#gid=0"",""Gestores Escolares!D7:m""),10,0),""VERIFICAR CÓD SEC"")"),"(71) 9 9142-8508")</f>
        <v>(71) 9 9142-8508</v>
      </c>
      <c r="S1647" s="82"/>
      <c r="T1647" s="138"/>
      <c r="U1647" s="403"/>
      <c r="V1647" s="106">
        <v>0.0</v>
      </c>
      <c r="W1647" s="107">
        <v>0.0</v>
      </c>
      <c r="X1647" s="107">
        <v>0.0</v>
      </c>
      <c r="Y1647" s="107">
        <v>0.0</v>
      </c>
      <c r="Z1647" s="80">
        <f t="shared" si="1"/>
        <v>0</v>
      </c>
      <c r="AA1647" s="106">
        <v>0.0</v>
      </c>
      <c r="AB1647" s="107">
        <v>0.0</v>
      </c>
      <c r="AC1647" s="107">
        <v>0.0</v>
      </c>
      <c r="AD1647" s="107">
        <v>0.0</v>
      </c>
      <c r="AE1647" s="80">
        <f t="shared" si="2"/>
        <v>0</v>
      </c>
      <c r="AF1647" s="140">
        <v>0.0</v>
      </c>
      <c r="AG1647" s="109">
        <v>0.0</v>
      </c>
      <c r="AH1647" s="109">
        <v>0.0</v>
      </c>
      <c r="AI1647" s="141">
        <v>0.0</v>
      </c>
      <c r="AJ1647" s="80">
        <f t="shared" si="3"/>
        <v>0</v>
      </c>
      <c r="AK1647" s="140">
        <v>0.0</v>
      </c>
      <c r="AL1647" s="109">
        <v>0.0</v>
      </c>
      <c r="AM1647" s="141">
        <v>0.0</v>
      </c>
      <c r="AN1647" s="80">
        <f t="shared" si="4"/>
        <v>0</v>
      </c>
      <c r="AO1647" s="140">
        <v>8.0</v>
      </c>
      <c r="AP1647" s="109">
        <v>19.0</v>
      </c>
      <c r="AQ1647" s="109">
        <v>0.0</v>
      </c>
      <c r="AR1647" s="80">
        <f t="shared" si="5"/>
        <v>27</v>
      </c>
      <c r="AS1647" s="110">
        <v>0.0</v>
      </c>
      <c r="AT1647" s="110">
        <v>0.0</v>
      </c>
      <c r="AU1647" s="110">
        <v>0.0</v>
      </c>
      <c r="AV1647" s="142">
        <v>0.0</v>
      </c>
      <c r="AW1647" s="80">
        <f t="shared" si="6"/>
        <v>0</v>
      </c>
      <c r="AX1647" s="113">
        <f t="shared" si="7"/>
        <v>27</v>
      </c>
      <c r="AY1647" s="117">
        <f t="shared" si="8"/>
        <v>27</v>
      </c>
      <c r="AZ1647" s="120">
        <f t="shared" si="9"/>
        <v>0</v>
      </c>
      <c r="BA1647" s="115">
        <v>0.0</v>
      </c>
      <c r="BB1647" s="89">
        <f t="shared" si="10"/>
        <v>27</v>
      </c>
      <c r="BC1647" s="132" t="s">
        <v>10138</v>
      </c>
      <c r="BD1647" s="132" t="s">
        <v>178</v>
      </c>
      <c r="BE1647" s="132" t="s">
        <v>178</v>
      </c>
      <c r="BF1647" s="123"/>
      <c r="BG1647" s="98">
        <v>1179835.0</v>
      </c>
      <c r="BH1647" s="112"/>
      <c r="BI1647" s="112"/>
      <c r="BJ1647" s="98"/>
      <c r="BK1647" s="99">
        <f t="shared" si="11"/>
        <v>0</v>
      </c>
      <c r="BL1647" s="99">
        <f t="shared" si="12"/>
        <v>27</v>
      </c>
      <c r="BM1647" s="99" t="str">
        <f>IFERROR(__xludf.DUMMYFUNCTION("IFERROR(VLOOKUP(BG1647,IMPORTRANGE(""https://docs.google.com/spreadsheets/d/1juPI-Fb8LD0YtltB2mlGEnp_R3UVu1t3wSFPzgCyHXE/edit?gid=0#gid=0"",""GERAL!A2:C""),3,0),""-"")"),"-")</f>
        <v>-</v>
      </c>
    </row>
    <row r="1648" ht="15.75" customHeight="1">
      <c r="A1648" s="111" t="s">
        <v>1785</v>
      </c>
      <c r="B1648" s="83" t="s">
        <v>9236</v>
      </c>
      <c r="C1648" s="83" t="s">
        <v>68</v>
      </c>
      <c r="D1648" s="112">
        <v>1102410.0</v>
      </c>
      <c r="E1648" s="83"/>
      <c r="F1648" s="83">
        <v>2.9202493E7</v>
      </c>
      <c r="G1648" s="119" t="s">
        <v>9237</v>
      </c>
      <c r="H1648" s="91" t="s">
        <v>9238</v>
      </c>
      <c r="I1648" s="83" t="s">
        <v>9239</v>
      </c>
      <c r="J1648" s="83" t="s">
        <v>187</v>
      </c>
      <c r="K1648" s="83" t="s">
        <v>151</v>
      </c>
      <c r="L1648" s="83" t="s">
        <v>169</v>
      </c>
      <c r="M1648" s="82" t="str">
        <f>IFERROR(__xludf.DUMMYFUNCTION("IFERROR(VLOOKUP(D1648,
IMPORTRANGE(""https://docs.google.com/spreadsheets/d/1MjHtlUikwobi2MaWJgy7tfLeBmhj1u-dRFRs_8GwSoA/edit#gid=0"",""Gestores Escolares!D7:J""),3,0),""VERIFICAR CÓD SEC"")"),"CLAUDIA MARIA DA SILVA MENEZES")</f>
        <v>CLAUDIA MARIA DA SILVA MENEZES</v>
      </c>
      <c r="N1648" s="82" t="str">
        <f>IFERROR(__xludf.DUMMYFUNCTION("IFERROR(VLOOKUP(D1648,
IMPORTRANGE(""https://docs.google.com/spreadsheets/d/1MjHtlUikwobi2MaWJgy7tfLeBmhj1u-dRFRs_8GwSoA/edit#gid=0"",""Gestores Escolares!D7:J""),4,0),""VERIFICAR CÓD SEC"")"),"(71) 9 9135-2868")</f>
        <v>(71) 9 9135-2868</v>
      </c>
      <c r="O1648" s="82" t="str">
        <f>IFERROR(__xludf.DUMMYFUNCTION("IFERROR(VLOOKUP(D1648,
IMPORTRANGE(""https://docs.google.com/spreadsheets/d/1MjHtlUikwobi2MaWJgy7tfLeBmhj1u-dRFRs_8GwSoA/edit#gid=0"",""Gestores Escolares!D7:J""),6,0),""VERIFICAR CÓD SEC"")"),"ELIZANGELA DE JESUS VAZ")</f>
        <v>ELIZANGELA DE JESUS VAZ</v>
      </c>
      <c r="P1648" s="82" t="str">
        <f>IFERROR(__xludf.DUMMYFUNCTION("IFERROR(VLOOKUP(D1648,
IMPORTRANGE(""https://docs.google.com/spreadsheets/d/1MjHtlUikwobi2MaWJgy7tfLeBmhj1u-dRFRs_8GwSoA/edit#gid=0"",""Gestores Escolares!D7:J""),7,0),""VERIFICAR CÓD SEC"")"),"(71) 9 9353-8464/ 
9 8717-7817")</f>
        <v>(71) 9 9353-8464/ 
9 8717-7817</v>
      </c>
      <c r="Q1648" s="82" t="str">
        <f>IFERROR(__xludf.DUMMYFUNCTION("IFERROR(VLOOKUP(D1648,
IMPORTRANGE(""https://docs.google.com/spreadsheets/d/1MjHtlUikwobi2MaWJgy7tfLeBmhj1u-dRFRs_8GwSoA/edit#gid=0"",""Gestores Escolares!D7:m""),9,0),""VERIFICAR CÓD SEC"")"),"")</f>
        <v/>
      </c>
      <c r="R1648" s="82" t="str">
        <f>IFERROR(__xludf.DUMMYFUNCTION("IFERROR(VLOOKUP(D1648,
IMPORTRANGE(""https://docs.google.com/spreadsheets/d/1MjHtlUikwobi2MaWJgy7tfLeBmhj1u-dRFRs_8GwSoA/edit#gid=0"",""Gestores Escolares!D7:m""),10,0),""VERIFICAR CÓD SEC"")"),"")</f>
        <v/>
      </c>
      <c r="S1648" s="82"/>
      <c r="T1648" s="138">
        <v>5.0</v>
      </c>
      <c r="U1648" s="388">
        <v>5.0</v>
      </c>
      <c r="V1648" s="106">
        <v>0.0</v>
      </c>
      <c r="W1648" s="107">
        <v>0.0</v>
      </c>
      <c r="X1648" s="107">
        <v>0.0</v>
      </c>
      <c r="Y1648" s="107">
        <v>0.0</v>
      </c>
      <c r="Z1648" s="80">
        <f t="shared" si="1"/>
        <v>0</v>
      </c>
      <c r="AA1648" s="106">
        <v>0.0</v>
      </c>
      <c r="AB1648" s="107">
        <v>0.0</v>
      </c>
      <c r="AC1648" s="107">
        <v>0.0</v>
      </c>
      <c r="AD1648" s="107">
        <v>0.0</v>
      </c>
      <c r="AE1648" s="80">
        <f t="shared" si="2"/>
        <v>0</v>
      </c>
      <c r="AF1648" s="140">
        <v>90.0</v>
      </c>
      <c r="AG1648" s="109">
        <v>43.0</v>
      </c>
      <c r="AH1648" s="109">
        <v>0.0</v>
      </c>
      <c r="AI1648" s="141">
        <v>34.0</v>
      </c>
      <c r="AJ1648" s="80">
        <f t="shared" si="3"/>
        <v>167</v>
      </c>
      <c r="AK1648" s="140">
        <v>0.0</v>
      </c>
      <c r="AL1648" s="109">
        <v>0.0</v>
      </c>
      <c r="AM1648" s="141">
        <v>0.0</v>
      </c>
      <c r="AN1648" s="80">
        <f t="shared" si="4"/>
        <v>0</v>
      </c>
      <c r="AO1648" s="140">
        <v>0.0</v>
      </c>
      <c r="AP1648" s="109">
        <v>0.0</v>
      </c>
      <c r="AQ1648" s="109">
        <v>37.0</v>
      </c>
      <c r="AR1648" s="80">
        <f t="shared" si="5"/>
        <v>37</v>
      </c>
      <c r="AS1648" s="110">
        <v>0.0</v>
      </c>
      <c r="AT1648" s="110">
        <v>0.0</v>
      </c>
      <c r="AU1648" s="110">
        <v>0.0</v>
      </c>
      <c r="AV1648" s="142">
        <v>0.0</v>
      </c>
      <c r="AW1648" s="80">
        <f t="shared" si="6"/>
        <v>0</v>
      </c>
      <c r="AX1648" s="113">
        <f t="shared" si="7"/>
        <v>204</v>
      </c>
      <c r="AY1648" s="117">
        <f t="shared" si="8"/>
        <v>167</v>
      </c>
      <c r="AZ1648" s="120">
        <f t="shared" si="9"/>
        <v>37</v>
      </c>
      <c r="BA1648" s="115">
        <v>0.0</v>
      </c>
      <c r="BB1648" s="89">
        <f t="shared" si="10"/>
        <v>204</v>
      </c>
      <c r="BC1648" s="132" t="s">
        <v>373</v>
      </c>
      <c r="BD1648" s="132" t="s">
        <v>178</v>
      </c>
      <c r="BE1648" s="132" t="s">
        <v>178</v>
      </c>
      <c r="BF1648" s="123"/>
      <c r="BG1648" s="83">
        <v>1102410.0</v>
      </c>
      <c r="BH1648" s="98" t="s">
        <v>9242</v>
      </c>
      <c r="BI1648" s="112">
        <v>5.0</v>
      </c>
      <c r="BJ1648" s="98" t="s">
        <v>155</v>
      </c>
      <c r="BK1648" s="99">
        <f t="shared" si="11"/>
        <v>34</v>
      </c>
      <c r="BL1648" s="99">
        <f t="shared" si="12"/>
        <v>133</v>
      </c>
      <c r="BM1648" s="99" t="str">
        <f>IFERROR(__xludf.DUMMYFUNCTION("IFERROR(VLOOKUP(BG1648,IMPORTRANGE(""https://docs.google.com/spreadsheets/d/1juPI-Fb8LD0YtltB2mlGEnp_R3UVu1t3wSFPzgCyHXE/edit?gid=0#gid=0"",""GERAL!A2:C""),3,0),""-"")"),"CAMPO")</f>
        <v>CAMPO</v>
      </c>
    </row>
    <row r="1649" ht="15.75" customHeight="1">
      <c r="A1649" s="111" t="s">
        <v>1785</v>
      </c>
      <c r="B1649" s="172" t="s">
        <v>9236</v>
      </c>
      <c r="C1649" s="83" t="s">
        <v>68</v>
      </c>
      <c r="D1649" s="112">
        <v>1102402.0</v>
      </c>
      <c r="E1649" s="83"/>
      <c r="F1649" s="83">
        <v>2.9202604E7</v>
      </c>
      <c r="G1649" s="147" t="s">
        <v>9251</v>
      </c>
      <c r="H1649" s="91" t="s">
        <v>9252</v>
      </c>
      <c r="I1649" s="136" t="s">
        <v>9253</v>
      </c>
      <c r="J1649" s="83" t="s">
        <v>150</v>
      </c>
      <c r="K1649" s="83" t="s">
        <v>151</v>
      </c>
      <c r="L1649" s="83" t="s">
        <v>230</v>
      </c>
      <c r="M1649" s="82" t="str">
        <f>IFERROR(__xludf.DUMMYFUNCTION("IFERROR(VLOOKUP(D1649,
IMPORTRANGE(""https://docs.google.com/spreadsheets/d/1MjHtlUikwobi2MaWJgy7tfLeBmhj1u-dRFRs_8GwSoA/edit#gid=0"",""Gestores Escolares!D7:J""),3,0),""VERIFICAR CÓD SEC"")"),"DENIVALDO DE SANTANA DA SILVA")</f>
        <v>DENIVALDO DE SANTANA DA SILVA</v>
      </c>
      <c r="N1649" s="82" t="str">
        <f>IFERROR(__xludf.DUMMYFUNCTION("IFERROR(VLOOKUP(D1649,
IMPORTRANGE(""https://docs.google.com/spreadsheets/d/1MjHtlUikwobi2MaWJgy7tfLeBmhj1u-dRFRs_8GwSoA/edit#gid=0"",""Gestores Escolares!D7:J""),4,0),""VERIFICAR CÓD SEC"")"),"(71) 9 8681-0186")</f>
        <v>(71) 9 8681-0186</v>
      </c>
      <c r="O1649" s="82" t="str">
        <f>IFERROR(__xludf.DUMMYFUNCTION("IFERROR(VLOOKUP(D1649,
IMPORTRANGE(""https://docs.google.com/spreadsheets/d/1MjHtlUikwobi2MaWJgy7tfLeBmhj1u-dRFRs_8GwSoA/edit#gid=0"",""Gestores Escolares!D7:J""),6,0),""VERIFICAR CÓD SEC"")"),"IZABEL CRISTINA DE OLIVEIRA LOPES")</f>
        <v>IZABEL CRISTINA DE OLIVEIRA LOPES</v>
      </c>
      <c r="P1649" s="82" t="str">
        <f>IFERROR(__xludf.DUMMYFUNCTION("IFERROR(VLOOKUP(D1649,
IMPORTRANGE(""https://docs.google.com/spreadsheets/d/1MjHtlUikwobi2MaWJgy7tfLeBmhj1u-dRFRs_8GwSoA/edit#gid=0"",""Gestores Escolares!D7:J""),7,0),""VERIFICAR CÓD SEC"")"),"(71) 9 8658-5589")</f>
        <v>(71) 9 8658-5589</v>
      </c>
      <c r="Q1649" s="82" t="str">
        <f>IFERROR(__xludf.DUMMYFUNCTION("IFERROR(VLOOKUP(D1649,
IMPORTRANGE(""https://docs.google.com/spreadsheets/d/1MjHtlUikwobi2MaWJgy7tfLeBmhj1u-dRFRs_8GwSoA/edit#gid=0"",""Gestores Escolares!D7:m""),9,0),""VERIFICAR CÓD SEC"")"),"MARCIO CABRAL DE SOUSA SANTOS")</f>
        <v>MARCIO CABRAL DE SOUSA SANTOS</v>
      </c>
      <c r="R1649" s="82" t="str">
        <f>IFERROR(__xludf.DUMMYFUNCTION("IFERROR(VLOOKUP(D1649,
IMPORTRANGE(""https://docs.google.com/spreadsheets/d/1MjHtlUikwobi2MaWJgy7tfLeBmhj1u-dRFRs_8GwSoA/edit#gid=0"",""Gestores Escolares!D7:m""),10,0),""VERIFICAR CÓD SEC"")"),"(71) 9 9706-7983")</f>
        <v>(71) 9 9706-7983</v>
      </c>
      <c r="S1649" s="82"/>
      <c r="T1649" s="138">
        <v>17.0</v>
      </c>
      <c r="U1649" s="388">
        <v>17.0</v>
      </c>
      <c r="V1649" s="106">
        <v>0.0</v>
      </c>
      <c r="W1649" s="107">
        <v>0.0</v>
      </c>
      <c r="X1649" s="107">
        <v>0.0</v>
      </c>
      <c r="Y1649" s="107">
        <v>0.0</v>
      </c>
      <c r="Z1649" s="80">
        <f t="shared" si="1"/>
        <v>0</v>
      </c>
      <c r="AA1649" s="106">
        <v>0.0</v>
      </c>
      <c r="AB1649" s="107">
        <v>0.0</v>
      </c>
      <c r="AC1649" s="107">
        <v>0.0</v>
      </c>
      <c r="AD1649" s="107">
        <v>0.0</v>
      </c>
      <c r="AE1649" s="80">
        <f t="shared" si="2"/>
        <v>0</v>
      </c>
      <c r="AF1649" s="140">
        <v>404.0</v>
      </c>
      <c r="AG1649" s="109">
        <v>312.0</v>
      </c>
      <c r="AH1649" s="109">
        <v>0.0</v>
      </c>
      <c r="AI1649" s="141">
        <v>199.0</v>
      </c>
      <c r="AJ1649" s="80">
        <f t="shared" si="3"/>
        <v>915</v>
      </c>
      <c r="AK1649" s="140">
        <v>0.0</v>
      </c>
      <c r="AL1649" s="109">
        <v>0.0</v>
      </c>
      <c r="AM1649" s="141">
        <v>0.0</v>
      </c>
      <c r="AN1649" s="80">
        <f t="shared" si="4"/>
        <v>0</v>
      </c>
      <c r="AO1649" s="140">
        <v>0.0</v>
      </c>
      <c r="AP1649" s="109">
        <v>0.0</v>
      </c>
      <c r="AQ1649" s="109">
        <v>275.0</v>
      </c>
      <c r="AR1649" s="80">
        <f t="shared" si="5"/>
        <v>275</v>
      </c>
      <c r="AS1649" s="110">
        <v>0.0</v>
      </c>
      <c r="AT1649" s="110">
        <v>0.0</v>
      </c>
      <c r="AU1649" s="110">
        <v>0.0</v>
      </c>
      <c r="AV1649" s="142">
        <v>0.0</v>
      </c>
      <c r="AW1649" s="80">
        <f t="shared" si="6"/>
        <v>0</v>
      </c>
      <c r="AX1649" s="113">
        <f t="shared" si="7"/>
        <v>1190</v>
      </c>
      <c r="AY1649" s="117">
        <f t="shared" si="8"/>
        <v>915</v>
      </c>
      <c r="AZ1649" s="120">
        <f t="shared" si="9"/>
        <v>275</v>
      </c>
      <c r="BA1649" s="115">
        <v>0.0</v>
      </c>
      <c r="BB1649" s="89">
        <f t="shared" si="10"/>
        <v>1190</v>
      </c>
      <c r="BC1649" s="132" t="s">
        <v>178</v>
      </c>
      <c r="BD1649" s="132" t="s">
        <v>178</v>
      </c>
      <c r="BE1649" s="132" t="s">
        <v>178</v>
      </c>
      <c r="BF1649" s="123"/>
      <c r="BG1649" s="83">
        <v>1102402.0</v>
      </c>
      <c r="BH1649" s="98" t="s">
        <v>9255</v>
      </c>
      <c r="BI1649" s="112">
        <v>17.0</v>
      </c>
      <c r="BJ1649" s="98" t="s">
        <v>155</v>
      </c>
      <c r="BK1649" s="99">
        <f t="shared" si="11"/>
        <v>199</v>
      </c>
      <c r="BL1649" s="99">
        <f t="shared" si="12"/>
        <v>716</v>
      </c>
      <c r="BM1649" s="99" t="str">
        <f>IFERROR(__xludf.DUMMYFUNCTION("IFERROR(VLOOKUP(BG1649,IMPORTRANGE(""https://docs.google.com/spreadsheets/d/1juPI-Fb8LD0YtltB2mlGEnp_R3UVu1t3wSFPzgCyHXE/edit?gid=0#gid=0"",""GERAL!A2:C""),3,0),""-"")"),"-")</f>
        <v>-</v>
      </c>
    </row>
    <row r="1650" ht="15.75" customHeight="1">
      <c r="A1650" s="111" t="s">
        <v>1785</v>
      </c>
      <c r="B1650" s="83" t="s">
        <v>9236</v>
      </c>
      <c r="C1650" s="83" t="s">
        <v>68</v>
      </c>
      <c r="D1650" s="112">
        <v>1178430.0</v>
      </c>
      <c r="E1650" s="83"/>
      <c r="F1650" s="83">
        <v>2.9862728E7</v>
      </c>
      <c r="G1650" s="187" t="s">
        <v>9268</v>
      </c>
      <c r="H1650" s="91" t="s">
        <v>9269</v>
      </c>
      <c r="I1650" s="136" t="s">
        <v>9270</v>
      </c>
      <c r="J1650" s="83" t="s">
        <v>150</v>
      </c>
      <c r="K1650" s="83" t="s">
        <v>151</v>
      </c>
      <c r="L1650" s="83" t="s">
        <v>230</v>
      </c>
      <c r="M1650" s="82" t="str">
        <f>IFERROR(__xludf.DUMMYFUNCTION("IFERROR(VLOOKUP(D1650,
IMPORTRANGE(""https://docs.google.com/spreadsheets/d/1MjHtlUikwobi2MaWJgy7tfLeBmhj1u-dRFRs_8GwSoA/edit#gid=0"",""Gestores Escolares!D7:J""),3,0),""VERIFICAR CÓD SEC"")"),"ARLON REIS LIMA")</f>
        <v>ARLON REIS LIMA</v>
      </c>
      <c r="N1650" s="82" t="str">
        <f>IFERROR(__xludf.DUMMYFUNCTION("IFERROR(VLOOKUP(D1650,
IMPORTRANGE(""https://docs.google.com/spreadsheets/d/1MjHtlUikwobi2MaWJgy7tfLeBmhj1u-dRFRs_8GwSoA/edit#gid=0"",""Gestores Escolares!D7:J""),4,0),""VERIFICAR CÓD SEC"")"),"(71) 9 8837-1431")</f>
        <v>(71) 9 8837-1431</v>
      </c>
      <c r="O1650" s="82" t="str">
        <f>IFERROR(__xludf.DUMMYFUNCTION("IFERROR(VLOOKUP(D1650,
IMPORTRANGE(""https://docs.google.com/spreadsheets/d/1MjHtlUikwobi2MaWJgy7tfLeBmhj1u-dRFRs_8GwSoA/edit#gid=0"",""Gestores Escolares!D7:J""),6,0),""VERIFICAR CÓD SEC"")"),"VANDRA DE QUEIROZ BARBOSA E SILVA")</f>
        <v>VANDRA DE QUEIROZ BARBOSA E SILVA</v>
      </c>
      <c r="P1650" s="82" t="str">
        <f>IFERROR(__xludf.DUMMYFUNCTION("IFERROR(VLOOKUP(D1650,
IMPORTRANGE(""https://docs.google.com/spreadsheets/d/1MjHtlUikwobi2MaWJgy7tfLeBmhj1u-dRFRs_8GwSoA/edit#gid=0"",""Gestores Escolares!D7:J""),7,0),""VERIFICAR CÓD SEC"")"),"(71) 9 9118-1377")</f>
        <v>(71) 9 9118-1377</v>
      </c>
      <c r="Q1650" s="82" t="str">
        <f>IFERROR(__xludf.DUMMYFUNCTION("IFERROR(VLOOKUP(D1650,
IMPORTRANGE(""https://docs.google.com/spreadsheets/d/1MjHtlUikwobi2MaWJgy7tfLeBmhj1u-dRFRs_8GwSoA/edit#gid=0"",""Gestores Escolares!D7:m""),9,0),""VERIFICAR CÓD SEC"")"),"")</f>
        <v/>
      </c>
      <c r="R1650" s="82" t="str">
        <f>IFERROR(__xludf.DUMMYFUNCTION("IFERROR(VLOOKUP(D1650,
IMPORTRANGE(""https://docs.google.com/spreadsheets/d/1MjHtlUikwobi2MaWJgy7tfLeBmhj1u-dRFRs_8GwSoA/edit#gid=0"",""Gestores Escolares!D7:m""),10,0),""VERIFICAR CÓD SEC"")"),"")</f>
        <v/>
      </c>
      <c r="S1650" s="82"/>
      <c r="T1650" s="138">
        <v>5.0</v>
      </c>
      <c r="U1650" s="388" t="s">
        <v>13943</v>
      </c>
      <c r="V1650" s="106">
        <v>0.0</v>
      </c>
      <c r="W1650" s="107">
        <v>0.0</v>
      </c>
      <c r="X1650" s="107">
        <v>0.0</v>
      </c>
      <c r="Y1650" s="107">
        <v>0.0</v>
      </c>
      <c r="Z1650" s="80">
        <f t="shared" si="1"/>
        <v>0</v>
      </c>
      <c r="AA1650" s="106">
        <v>0.0</v>
      </c>
      <c r="AB1650" s="107">
        <v>0.0</v>
      </c>
      <c r="AC1650" s="107">
        <v>0.0</v>
      </c>
      <c r="AD1650" s="107">
        <v>0.0</v>
      </c>
      <c r="AE1650" s="80">
        <f t="shared" si="2"/>
        <v>0</v>
      </c>
      <c r="AF1650" s="140">
        <v>0.0</v>
      </c>
      <c r="AG1650" s="109">
        <v>0.0</v>
      </c>
      <c r="AH1650" s="109">
        <v>0.0</v>
      </c>
      <c r="AI1650" s="141">
        <v>0.0</v>
      </c>
      <c r="AJ1650" s="80">
        <f t="shared" si="3"/>
        <v>0</v>
      </c>
      <c r="AK1650" s="140">
        <v>0.0</v>
      </c>
      <c r="AL1650" s="109">
        <v>0.0</v>
      </c>
      <c r="AM1650" s="141">
        <v>0.0</v>
      </c>
      <c r="AN1650" s="80">
        <f t="shared" si="4"/>
        <v>0</v>
      </c>
      <c r="AO1650" s="140">
        <v>0.0</v>
      </c>
      <c r="AP1650" s="109">
        <v>0.0</v>
      </c>
      <c r="AQ1650" s="109">
        <v>0.0</v>
      </c>
      <c r="AR1650" s="80">
        <f t="shared" si="5"/>
        <v>0</v>
      </c>
      <c r="AS1650" s="110">
        <v>190.0</v>
      </c>
      <c r="AT1650" s="110">
        <v>177.0</v>
      </c>
      <c r="AU1650" s="110">
        <v>93.0</v>
      </c>
      <c r="AV1650" s="142">
        <v>0.0</v>
      </c>
      <c r="AW1650" s="80">
        <f t="shared" si="6"/>
        <v>460</v>
      </c>
      <c r="AX1650" s="113">
        <f t="shared" si="7"/>
        <v>460</v>
      </c>
      <c r="AY1650" s="117">
        <f t="shared" si="8"/>
        <v>367</v>
      </c>
      <c r="AZ1650" s="120">
        <f t="shared" si="9"/>
        <v>93</v>
      </c>
      <c r="BA1650" s="115">
        <v>0.0</v>
      </c>
      <c r="BB1650" s="89">
        <f t="shared" si="10"/>
        <v>460</v>
      </c>
      <c r="BC1650" s="132" t="s">
        <v>178</v>
      </c>
      <c r="BD1650" s="132" t="s">
        <v>779</v>
      </c>
      <c r="BE1650" s="132" t="s">
        <v>178</v>
      </c>
      <c r="BF1650" s="123"/>
      <c r="BG1650" s="83">
        <v>1178430.0</v>
      </c>
      <c r="BH1650" s="98" t="s">
        <v>9271</v>
      </c>
      <c r="BI1650" s="112">
        <v>5.0</v>
      </c>
      <c r="BJ1650" s="98" t="s">
        <v>155</v>
      </c>
      <c r="BK1650" s="99">
        <f t="shared" si="11"/>
        <v>0</v>
      </c>
      <c r="BL1650" s="99">
        <f t="shared" si="12"/>
        <v>367</v>
      </c>
      <c r="BM1650" s="99" t="str">
        <f>IFERROR(__xludf.DUMMYFUNCTION("IFERROR(VLOOKUP(BG1650,IMPORTRANGE(""https://docs.google.com/spreadsheets/d/1juPI-Fb8LD0YtltB2mlGEnp_R3UVu1t3wSFPzgCyHXE/edit?gid=0#gid=0"",""GERAL!A2:C""),3,0),""-"")"),"-")</f>
        <v>-</v>
      </c>
    </row>
    <row r="1651" ht="15.75" customHeight="1">
      <c r="A1651" s="111" t="s">
        <v>1842</v>
      </c>
      <c r="B1651" s="83" t="s">
        <v>2516</v>
      </c>
      <c r="C1651" s="83" t="s">
        <v>68</v>
      </c>
      <c r="D1651" s="112">
        <v>1179829.0</v>
      </c>
      <c r="E1651" s="83"/>
      <c r="F1651" s="98">
        <v>2.9495997E7</v>
      </c>
      <c r="G1651" s="119" t="s">
        <v>9285</v>
      </c>
      <c r="H1651" s="108" t="s">
        <v>9286</v>
      </c>
      <c r="I1651" s="83"/>
      <c r="J1651" s="83"/>
      <c r="K1651" s="83" t="s">
        <v>3467</v>
      </c>
      <c r="L1651" s="83" t="s">
        <v>76</v>
      </c>
      <c r="M1651" s="82" t="str">
        <f>IFERROR(__xludf.DUMMYFUNCTION("IFERROR(VLOOKUP(D1651,
IMPORTRANGE(""https://docs.google.com/spreadsheets/d/1MjHtlUikwobi2MaWJgy7tfLeBmhj1u-dRFRs_8GwSoA/edit#gid=0"",""Gestores Escolares!D7:J""),3,0),""VERIFICAR CÓD SEC"")"),"JORGEA DOS SANTOS BRAGA DE CARVALHO")</f>
        <v>JORGEA DOS SANTOS BRAGA DE CARVALHO</v>
      </c>
      <c r="N1651" s="82" t="str">
        <f>IFERROR(__xludf.DUMMYFUNCTION("IFERROR(VLOOKUP(D1651,
IMPORTRANGE(""https://docs.google.com/spreadsheets/d/1MjHtlUikwobi2MaWJgy7tfLeBmhj1u-dRFRs_8GwSoA/edit#gid=0"",""Gestores Escolares!D7:J""),4,0),""VERIFICAR CÓD SEC"")"),"(73) 9 8136-2855")</f>
        <v>(73) 9 8136-2855</v>
      </c>
      <c r="O1651" s="82" t="str">
        <f>IFERROR(__xludf.DUMMYFUNCTION("IFERROR(VLOOKUP(D1651,
IMPORTRANGE(""https://docs.google.com/spreadsheets/d/1MjHtlUikwobi2MaWJgy7tfLeBmhj1u-dRFRs_8GwSoA/edit#gid=0"",""Gestores Escolares!D7:J""),6,0),""VERIFICAR CÓD SEC"")"),"AMANDA OLIVEIRA ALVES CATAI")</f>
        <v>AMANDA OLIVEIRA ALVES CATAI</v>
      </c>
      <c r="P1651" s="82" t="str">
        <f>IFERROR(__xludf.DUMMYFUNCTION("IFERROR(VLOOKUP(D1651,
IMPORTRANGE(""https://docs.google.com/spreadsheets/d/1MjHtlUikwobi2MaWJgy7tfLeBmhj1u-dRFRs_8GwSoA/edit#gid=0"",""Gestores Escolares!D7:J""),7,0),""VERIFICAR CÓD SEC"")"),"(73) 9 9193-5620")</f>
        <v>(73) 9 9193-5620</v>
      </c>
      <c r="Q1651" s="82" t="str">
        <f>IFERROR(__xludf.DUMMYFUNCTION("IFERROR(VLOOKUP(D1651,
IMPORTRANGE(""https://docs.google.com/spreadsheets/d/1MjHtlUikwobi2MaWJgy7tfLeBmhj1u-dRFRs_8GwSoA/edit#gid=0"",""Gestores Escolares!D7:m""),9,0),""VERIFICAR CÓD SEC"")"),"")</f>
        <v/>
      </c>
      <c r="R1651" s="82" t="str">
        <f>IFERROR(__xludf.DUMMYFUNCTION("IFERROR(VLOOKUP(D1651,
IMPORTRANGE(""https://docs.google.com/spreadsheets/d/1MjHtlUikwobi2MaWJgy7tfLeBmhj1u-dRFRs_8GwSoA/edit#gid=0"",""Gestores Escolares!D7:m""),10,0),""VERIFICAR CÓD SEC"")"),"")</f>
        <v/>
      </c>
      <c r="S1651" s="82"/>
      <c r="T1651" s="138"/>
      <c r="U1651" s="416"/>
      <c r="V1651" s="106">
        <v>0.0</v>
      </c>
      <c r="W1651" s="107">
        <v>0.0</v>
      </c>
      <c r="X1651" s="107">
        <v>0.0</v>
      </c>
      <c r="Y1651" s="107">
        <v>0.0</v>
      </c>
      <c r="Z1651" s="80">
        <f t="shared" si="1"/>
        <v>0</v>
      </c>
      <c r="AA1651" s="634">
        <v>0.0</v>
      </c>
      <c r="AB1651" s="107">
        <v>0.0</v>
      </c>
      <c r="AC1651" s="107">
        <v>0.0</v>
      </c>
      <c r="AD1651" s="107">
        <v>0.0</v>
      </c>
      <c r="AE1651" s="80">
        <f t="shared" si="2"/>
        <v>0</v>
      </c>
      <c r="AF1651" s="140">
        <v>83.0</v>
      </c>
      <c r="AG1651" s="109">
        <v>0.0</v>
      </c>
      <c r="AH1651" s="109">
        <v>0.0</v>
      </c>
      <c r="AI1651" s="141">
        <v>55.0</v>
      </c>
      <c r="AJ1651" s="80">
        <f t="shared" si="3"/>
        <v>138</v>
      </c>
      <c r="AK1651" s="140">
        <v>0.0</v>
      </c>
      <c r="AL1651" s="109">
        <v>0.0</v>
      </c>
      <c r="AM1651" s="141">
        <v>0.0</v>
      </c>
      <c r="AN1651" s="80">
        <f t="shared" si="4"/>
        <v>0</v>
      </c>
      <c r="AO1651" s="140">
        <v>0.0</v>
      </c>
      <c r="AP1651" s="109">
        <v>0.0</v>
      </c>
      <c r="AQ1651" s="109">
        <v>42.0</v>
      </c>
      <c r="AR1651" s="80">
        <f t="shared" si="5"/>
        <v>42</v>
      </c>
      <c r="AS1651" s="110">
        <v>0.0</v>
      </c>
      <c r="AT1651" s="110">
        <v>0.0</v>
      </c>
      <c r="AU1651" s="110">
        <v>0.0</v>
      </c>
      <c r="AV1651" s="142">
        <v>0.0</v>
      </c>
      <c r="AW1651" s="80">
        <f t="shared" si="6"/>
        <v>0</v>
      </c>
      <c r="AX1651" s="113">
        <f t="shared" si="7"/>
        <v>180</v>
      </c>
      <c r="AY1651" s="117">
        <f t="shared" si="8"/>
        <v>138</v>
      </c>
      <c r="AZ1651" s="120">
        <f t="shared" si="9"/>
        <v>42</v>
      </c>
      <c r="BA1651" s="115">
        <v>0.0</v>
      </c>
      <c r="BB1651" s="89">
        <f t="shared" si="10"/>
        <v>180</v>
      </c>
      <c r="BC1651" s="132"/>
      <c r="BD1651" s="132"/>
      <c r="BE1651" s="132"/>
      <c r="BF1651" s="156"/>
      <c r="BG1651" s="516">
        <v>1179829.0</v>
      </c>
      <c r="BH1651" s="98" t="s">
        <v>9287</v>
      </c>
      <c r="BI1651" s="112"/>
      <c r="BJ1651" s="98"/>
      <c r="BK1651" s="99">
        <f t="shared" si="11"/>
        <v>55</v>
      </c>
      <c r="BL1651" s="99">
        <f t="shared" si="12"/>
        <v>83</v>
      </c>
      <c r="BM1651" s="99" t="str">
        <f>IFERROR(__xludf.DUMMYFUNCTION("IFERROR(VLOOKUP(BG1651,IMPORTRANGE(""https://docs.google.com/spreadsheets/d/1juPI-Fb8LD0YtltB2mlGEnp_R3UVu1t3wSFPzgCyHXE/edit?gid=0#gid=0"",""GERAL!A2:C""),3,0),""-"")"),"CAMPO")</f>
        <v>CAMPO</v>
      </c>
    </row>
    <row r="1652" ht="15.75" customHeight="1">
      <c r="A1652" s="111" t="s">
        <v>1842</v>
      </c>
      <c r="B1652" s="83" t="s">
        <v>2516</v>
      </c>
      <c r="C1652" s="83" t="s">
        <v>68</v>
      </c>
      <c r="D1652" s="112">
        <v>1112998.0</v>
      </c>
      <c r="E1652" s="83"/>
      <c r="F1652" s="83">
        <v>2.92941E7</v>
      </c>
      <c r="G1652" s="187" t="s">
        <v>9300</v>
      </c>
      <c r="H1652" s="91" t="s">
        <v>9301</v>
      </c>
      <c r="I1652" s="83" t="s">
        <v>149</v>
      </c>
      <c r="J1652" s="83" t="s">
        <v>150</v>
      </c>
      <c r="K1652" s="83" t="s">
        <v>3467</v>
      </c>
      <c r="L1652" s="83" t="s">
        <v>76</v>
      </c>
      <c r="M1652" s="82" t="str">
        <f>IFERROR(__xludf.DUMMYFUNCTION("IFERROR(VLOOKUP(D1652,
IMPORTRANGE(""https://docs.google.com/spreadsheets/d/1MjHtlUikwobi2MaWJgy7tfLeBmhj1u-dRFRs_8GwSoA/edit#gid=0"",""Gestores Escolares!D7:J""),3,0),""VERIFICAR CÓD SEC"")"),"JULIANA SOUZA DE AQUINO")</f>
        <v>JULIANA SOUZA DE AQUINO</v>
      </c>
      <c r="N1652" s="82" t="str">
        <f>IFERROR(__xludf.DUMMYFUNCTION("IFERROR(VLOOKUP(D1652,
IMPORTRANGE(""https://docs.google.com/spreadsheets/d/1MjHtlUikwobi2MaWJgy7tfLeBmhj1u-dRFRs_8GwSoA/edit#gid=0"",""Gestores Escolares!D7:J""),4,0),""VERIFICAR CÓD SEC"")"),"(73) 9 9945-1644")</f>
        <v>(73) 9 9945-1644</v>
      </c>
      <c r="O1652" s="82" t="str">
        <f>IFERROR(__xludf.DUMMYFUNCTION("IFERROR(VLOOKUP(D1652,
IMPORTRANGE(""https://docs.google.com/spreadsheets/d/1MjHtlUikwobi2MaWJgy7tfLeBmhj1u-dRFRs_8GwSoA/edit#gid=0"",""Gestores Escolares!D7:J""),6,0),""VERIFICAR CÓD SEC"")"),"MARIA TERESA MENDES PEREIRA")</f>
        <v>MARIA TERESA MENDES PEREIRA</v>
      </c>
      <c r="P1652" s="82" t="str">
        <f>IFERROR(__xludf.DUMMYFUNCTION("IFERROR(VLOOKUP(D1652,
IMPORTRANGE(""https://docs.google.com/spreadsheets/d/1MjHtlUikwobi2MaWJgy7tfLeBmhj1u-dRFRs_8GwSoA/edit#gid=0"",""Gestores Escolares!D7:J""),7,0),""VERIFICAR CÓD SEC"")"),"(31) 9 9968-9080")</f>
        <v>(31) 9 9968-9080</v>
      </c>
      <c r="Q1652" s="82" t="str">
        <f>IFERROR(__xludf.DUMMYFUNCTION("IFERROR(VLOOKUP(D1652,
IMPORTRANGE(""https://docs.google.com/spreadsheets/d/1MjHtlUikwobi2MaWJgy7tfLeBmhj1u-dRFRs_8GwSoA/edit#gid=0"",""Gestores Escolares!D7:m""),9,0),""VERIFICAR CÓD SEC"")"),"")</f>
        <v/>
      </c>
      <c r="R1652" s="82" t="str">
        <f>IFERROR(__xludf.DUMMYFUNCTION("IFERROR(VLOOKUP(D1652,
IMPORTRANGE(""https://docs.google.com/spreadsheets/d/1MjHtlUikwobi2MaWJgy7tfLeBmhj1u-dRFRs_8GwSoA/edit#gid=0"",""Gestores Escolares!D7:m""),10,0),""VERIFICAR CÓD SEC"")"),"")</f>
        <v/>
      </c>
      <c r="S1652" s="82"/>
      <c r="T1652" s="138">
        <v>10.0</v>
      </c>
      <c r="U1652" s="388">
        <v>10.0</v>
      </c>
      <c r="V1652" s="106">
        <v>0.0</v>
      </c>
      <c r="W1652" s="107">
        <v>0.0</v>
      </c>
      <c r="X1652" s="107">
        <v>0.0</v>
      </c>
      <c r="Y1652" s="107">
        <v>0.0</v>
      </c>
      <c r="Z1652" s="80">
        <f t="shared" si="1"/>
        <v>0</v>
      </c>
      <c r="AA1652" s="106">
        <v>0.0</v>
      </c>
      <c r="AB1652" s="107">
        <v>0.0</v>
      </c>
      <c r="AC1652" s="107">
        <v>0.0</v>
      </c>
      <c r="AD1652" s="107">
        <v>0.0</v>
      </c>
      <c r="AE1652" s="80">
        <f t="shared" si="2"/>
        <v>0</v>
      </c>
      <c r="AF1652" s="140">
        <v>126.0</v>
      </c>
      <c r="AG1652" s="109">
        <v>0.0</v>
      </c>
      <c r="AH1652" s="109">
        <v>0.0</v>
      </c>
      <c r="AI1652" s="141">
        <v>0.0</v>
      </c>
      <c r="AJ1652" s="80">
        <f t="shared" si="3"/>
        <v>126</v>
      </c>
      <c r="AK1652" s="140">
        <v>0.0</v>
      </c>
      <c r="AL1652" s="109">
        <v>0.0</v>
      </c>
      <c r="AM1652" s="141">
        <v>0.0</v>
      </c>
      <c r="AN1652" s="80">
        <f t="shared" si="4"/>
        <v>0</v>
      </c>
      <c r="AO1652" s="140">
        <v>0.0</v>
      </c>
      <c r="AP1652" s="109">
        <v>0.0</v>
      </c>
      <c r="AQ1652" s="109">
        <v>86.0</v>
      </c>
      <c r="AR1652" s="80">
        <f t="shared" si="5"/>
        <v>86</v>
      </c>
      <c r="AS1652" s="110">
        <v>0.0</v>
      </c>
      <c r="AT1652" s="110">
        <v>0.0</v>
      </c>
      <c r="AU1652" s="110">
        <v>20.0</v>
      </c>
      <c r="AV1652" s="142">
        <v>80.0</v>
      </c>
      <c r="AW1652" s="80">
        <f t="shared" si="6"/>
        <v>100</v>
      </c>
      <c r="AX1652" s="113">
        <f t="shared" si="7"/>
        <v>312</v>
      </c>
      <c r="AY1652" s="117">
        <f t="shared" si="8"/>
        <v>206</v>
      </c>
      <c r="AZ1652" s="120">
        <f t="shared" si="9"/>
        <v>106</v>
      </c>
      <c r="BA1652" s="115">
        <v>0.0</v>
      </c>
      <c r="BB1652" s="89">
        <f t="shared" si="10"/>
        <v>312</v>
      </c>
      <c r="BC1652" s="132" t="s">
        <v>178</v>
      </c>
      <c r="BD1652" s="132" t="s">
        <v>178</v>
      </c>
      <c r="BE1652" s="132" t="s">
        <v>178</v>
      </c>
      <c r="BF1652" s="123"/>
      <c r="BG1652" s="83">
        <v>1112998.0</v>
      </c>
      <c r="BH1652" s="98" t="s">
        <v>9302</v>
      </c>
      <c r="BI1652" s="112">
        <v>10.0</v>
      </c>
      <c r="BJ1652" s="98" t="s">
        <v>155</v>
      </c>
      <c r="BK1652" s="99">
        <f t="shared" si="11"/>
        <v>80</v>
      </c>
      <c r="BL1652" s="99">
        <f t="shared" si="12"/>
        <v>126</v>
      </c>
      <c r="BM1652" s="99" t="str">
        <f>IFERROR(__xludf.DUMMYFUNCTION("IFERROR(VLOOKUP(BG1652,IMPORTRANGE(""https://docs.google.com/spreadsheets/d/1juPI-Fb8LD0YtltB2mlGEnp_R3UVu1t3wSFPzgCyHXE/edit?gid=0#gid=0"",""GERAL!A2:C""),3,0),""-"")"),"-")</f>
        <v>-</v>
      </c>
    </row>
    <row r="1653" ht="15.75" customHeight="1">
      <c r="A1653" s="111" t="s">
        <v>1842</v>
      </c>
      <c r="B1653" s="83" t="s">
        <v>2516</v>
      </c>
      <c r="C1653" s="83" t="s">
        <v>164</v>
      </c>
      <c r="D1653" s="112">
        <v>1112998.0</v>
      </c>
      <c r="E1653" s="83">
        <v>1179683.0</v>
      </c>
      <c r="F1653" s="98">
        <v>2.9490731E7</v>
      </c>
      <c r="G1653" s="119" t="s">
        <v>9311</v>
      </c>
      <c r="H1653" s="91" t="s">
        <v>9312</v>
      </c>
      <c r="I1653" s="83" t="s">
        <v>149</v>
      </c>
      <c r="J1653" s="136" t="s">
        <v>7300</v>
      </c>
      <c r="K1653" s="83" t="s">
        <v>151</v>
      </c>
      <c r="L1653" s="83" t="s">
        <v>169</v>
      </c>
      <c r="M1653" s="82" t="str">
        <f>IFERROR(__xludf.DUMMYFUNCTION("IFERROR(VLOOKUP(D1653,
IMPORTRANGE(""https://docs.google.com/spreadsheets/d/1MjHtlUikwobi2MaWJgy7tfLeBmhj1u-dRFRs_8GwSoA/edit#gid=0"",""Gestores Escolares!D7:J""),3,0),""VERIFICAR CÓD SEC"")"),"JULIANA SOUZA DE AQUINO")</f>
        <v>JULIANA SOUZA DE AQUINO</v>
      </c>
      <c r="N1653" s="82" t="str">
        <f>IFERROR(__xludf.DUMMYFUNCTION("IFERROR(VLOOKUP(D1653,
IMPORTRANGE(""https://docs.google.com/spreadsheets/d/1MjHtlUikwobi2MaWJgy7tfLeBmhj1u-dRFRs_8GwSoA/edit#gid=0"",""Gestores Escolares!D7:J""),4,0),""VERIFICAR CÓD SEC"")"),"(73) 9 9945-1644")</f>
        <v>(73) 9 9945-1644</v>
      </c>
      <c r="O1653" s="82" t="str">
        <f>IFERROR(__xludf.DUMMYFUNCTION("IFERROR(VLOOKUP(D1653,
IMPORTRANGE(""https://docs.google.com/spreadsheets/d/1MjHtlUikwobi2MaWJgy7tfLeBmhj1u-dRFRs_8GwSoA/edit#gid=0"",""Gestores Escolares!D7:J""),6,0),""VERIFICAR CÓD SEC"")"),"MARIA TERESA MENDES PEREIRA")</f>
        <v>MARIA TERESA MENDES PEREIRA</v>
      </c>
      <c r="P1653" s="82" t="str">
        <f>IFERROR(__xludf.DUMMYFUNCTION("IFERROR(VLOOKUP(D1653,
IMPORTRANGE(""https://docs.google.com/spreadsheets/d/1MjHtlUikwobi2MaWJgy7tfLeBmhj1u-dRFRs_8GwSoA/edit#gid=0"",""Gestores Escolares!D7:J""),7,0),""VERIFICAR CÓD SEC"")"),"(31) 9 9968-9080")</f>
        <v>(31) 9 9968-9080</v>
      </c>
      <c r="Q1653" s="82" t="str">
        <f>IFERROR(__xludf.DUMMYFUNCTION("IFERROR(VLOOKUP(D1653,
IMPORTRANGE(""https://docs.google.com/spreadsheets/d/1MjHtlUikwobi2MaWJgy7tfLeBmhj1u-dRFRs_8GwSoA/edit#gid=0"",""Gestores Escolares!D7:m""),9,0),""VERIFICAR CÓD SEC"")"),"")</f>
        <v/>
      </c>
      <c r="R1653" s="82" t="str">
        <f>IFERROR(__xludf.DUMMYFUNCTION("IFERROR(VLOOKUP(D1653,
IMPORTRANGE(""https://docs.google.com/spreadsheets/d/1MjHtlUikwobi2MaWJgy7tfLeBmhj1u-dRFRs_8GwSoA/edit#gid=0"",""Gestores Escolares!D7:m""),10,0),""VERIFICAR CÓD SEC"")"),"")</f>
        <v/>
      </c>
      <c r="S1653" s="82"/>
      <c r="T1653" s="138">
        <v>6.0</v>
      </c>
      <c r="U1653" s="145">
        <v>2.0</v>
      </c>
      <c r="V1653" s="106">
        <v>0.0</v>
      </c>
      <c r="W1653" s="107">
        <v>0.0</v>
      </c>
      <c r="X1653" s="107">
        <v>0.0</v>
      </c>
      <c r="Y1653" s="107">
        <v>0.0</v>
      </c>
      <c r="Z1653" s="80">
        <f t="shared" si="1"/>
        <v>0</v>
      </c>
      <c r="AA1653" s="106">
        <v>0.0</v>
      </c>
      <c r="AB1653" s="107">
        <v>0.0</v>
      </c>
      <c r="AC1653" s="107">
        <v>0.0</v>
      </c>
      <c r="AD1653" s="107">
        <v>0.0</v>
      </c>
      <c r="AE1653" s="80">
        <f t="shared" si="2"/>
        <v>0</v>
      </c>
      <c r="AF1653" s="140">
        <v>25.0</v>
      </c>
      <c r="AG1653" s="109">
        <v>0.0</v>
      </c>
      <c r="AH1653" s="109">
        <v>0.0</v>
      </c>
      <c r="AI1653" s="141">
        <v>0.0</v>
      </c>
      <c r="AJ1653" s="80">
        <f t="shared" si="3"/>
        <v>25</v>
      </c>
      <c r="AK1653" s="140">
        <v>0.0</v>
      </c>
      <c r="AL1653" s="109">
        <v>0.0</v>
      </c>
      <c r="AM1653" s="141">
        <v>0.0</v>
      </c>
      <c r="AN1653" s="80">
        <f t="shared" si="4"/>
        <v>0</v>
      </c>
      <c r="AO1653" s="140">
        <v>0.0</v>
      </c>
      <c r="AP1653" s="109">
        <v>0.0</v>
      </c>
      <c r="AQ1653" s="109">
        <v>41.0</v>
      </c>
      <c r="AR1653" s="80">
        <f t="shared" si="5"/>
        <v>41</v>
      </c>
      <c r="AS1653" s="110">
        <v>0.0</v>
      </c>
      <c r="AT1653" s="110">
        <v>0.0</v>
      </c>
      <c r="AU1653" s="110">
        <v>0.0</v>
      </c>
      <c r="AV1653" s="142">
        <v>0.0</v>
      </c>
      <c r="AW1653" s="80">
        <f t="shared" si="6"/>
        <v>0</v>
      </c>
      <c r="AX1653" s="113">
        <f t="shared" si="7"/>
        <v>66</v>
      </c>
      <c r="AY1653" s="117">
        <f t="shared" si="8"/>
        <v>25</v>
      </c>
      <c r="AZ1653" s="120">
        <f t="shared" si="9"/>
        <v>41</v>
      </c>
      <c r="BA1653" s="115">
        <v>0.0</v>
      </c>
      <c r="BB1653" s="89">
        <f t="shared" si="10"/>
        <v>66</v>
      </c>
      <c r="BC1653" s="132" t="s">
        <v>373</v>
      </c>
      <c r="BD1653" s="132" t="s">
        <v>178</v>
      </c>
      <c r="BE1653" s="132" t="s">
        <v>178</v>
      </c>
      <c r="BF1653" s="156"/>
      <c r="BG1653" s="83">
        <v>1179683.0</v>
      </c>
      <c r="BH1653" s="112"/>
      <c r="BI1653" s="112">
        <v>6.0</v>
      </c>
      <c r="BJ1653" s="98" t="s">
        <v>155</v>
      </c>
      <c r="BK1653" s="99">
        <f t="shared" si="11"/>
        <v>0</v>
      </c>
      <c r="BL1653" s="99">
        <f t="shared" si="12"/>
        <v>25</v>
      </c>
      <c r="BM1653" s="99" t="str">
        <f>IFERROR(__xludf.DUMMYFUNCTION("IFERROR(VLOOKUP(BG1653,IMPORTRANGE(""https://docs.google.com/spreadsheets/d/1juPI-Fb8LD0YtltB2mlGEnp_R3UVu1t3wSFPzgCyHXE/edit?gid=0#gid=0"",""GERAL!A2:C""),3,0),""-"")"),"CAMPO")</f>
        <v>CAMPO</v>
      </c>
    </row>
    <row r="1654" ht="15.75" customHeight="1">
      <c r="A1654" s="111" t="s">
        <v>1842</v>
      </c>
      <c r="B1654" s="83" t="s">
        <v>2516</v>
      </c>
      <c r="C1654" s="83" t="s">
        <v>164</v>
      </c>
      <c r="D1654" s="112">
        <v>1112998.0</v>
      </c>
      <c r="E1654" s="83">
        <v>1179684.0</v>
      </c>
      <c r="F1654" s="98">
        <v>2.9490723E7</v>
      </c>
      <c r="G1654" s="119" t="s">
        <v>9321</v>
      </c>
      <c r="H1654" s="91" t="s">
        <v>9322</v>
      </c>
      <c r="I1654" s="83" t="s">
        <v>149</v>
      </c>
      <c r="J1654" s="83" t="s">
        <v>9323</v>
      </c>
      <c r="K1654" s="83" t="s">
        <v>168</v>
      </c>
      <c r="L1654" s="83" t="s">
        <v>169</v>
      </c>
      <c r="M1654" s="82" t="str">
        <f>IFERROR(__xludf.DUMMYFUNCTION("IFERROR(VLOOKUP(D1654,
IMPORTRANGE(""https://docs.google.com/spreadsheets/d/1MjHtlUikwobi2MaWJgy7tfLeBmhj1u-dRFRs_8GwSoA/edit#gid=0"",""Gestores Escolares!D7:J""),3,0),""VERIFICAR CÓD SEC"")"),"JULIANA SOUZA DE AQUINO")</f>
        <v>JULIANA SOUZA DE AQUINO</v>
      </c>
      <c r="N1654" s="82" t="str">
        <f>IFERROR(__xludf.DUMMYFUNCTION("IFERROR(VLOOKUP(D1654,
IMPORTRANGE(""https://docs.google.com/spreadsheets/d/1MjHtlUikwobi2MaWJgy7tfLeBmhj1u-dRFRs_8GwSoA/edit#gid=0"",""Gestores Escolares!D7:J""),4,0),""VERIFICAR CÓD SEC"")"),"(73) 9 9945-1644")</f>
        <v>(73) 9 9945-1644</v>
      </c>
      <c r="O1654" s="82" t="str">
        <f>IFERROR(__xludf.DUMMYFUNCTION("IFERROR(VLOOKUP(D1654,
IMPORTRANGE(""https://docs.google.com/spreadsheets/d/1MjHtlUikwobi2MaWJgy7tfLeBmhj1u-dRFRs_8GwSoA/edit#gid=0"",""Gestores Escolares!D7:J""),6,0),""VERIFICAR CÓD SEC"")"),"MARIA TERESA MENDES PEREIRA")</f>
        <v>MARIA TERESA MENDES PEREIRA</v>
      </c>
      <c r="P1654" s="82" t="str">
        <f>IFERROR(__xludf.DUMMYFUNCTION("IFERROR(VLOOKUP(D1654,
IMPORTRANGE(""https://docs.google.com/spreadsheets/d/1MjHtlUikwobi2MaWJgy7tfLeBmhj1u-dRFRs_8GwSoA/edit#gid=0"",""Gestores Escolares!D7:J""),7,0),""VERIFICAR CÓD SEC"")"),"(31) 9 9968-9080")</f>
        <v>(31) 9 9968-9080</v>
      </c>
      <c r="Q1654" s="82" t="str">
        <f>IFERROR(__xludf.DUMMYFUNCTION("IFERROR(VLOOKUP(D1654,
IMPORTRANGE(""https://docs.google.com/spreadsheets/d/1MjHtlUikwobi2MaWJgy7tfLeBmhj1u-dRFRs_8GwSoA/edit#gid=0"",""Gestores Escolares!D7:m""),9,0),""VERIFICAR CÓD SEC"")"),"")</f>
        <v/>
      </c>
      <c r="R1654" s="82" t="str">
        <f>IFERROR(__xludf.DUMMYFUNCTION("IFERROR(VLOOKUP(D1654,
IMPORTRANGE(""https://docs.google.com/spreadsheets/d/1MjHtlUikwobi2MaWJgy7tfLeBmhj1u-dRFRs_8GwSoA/edit#gid=0"",""Gestores Escolares!D7:m""),10,0),""VERIFICAR CÓD SEC"")"),"")</f>
        <v/>
      </c>
      <c r="S1654" s="82"/>
      <c r="T1654" s="138">
        <v>3.0</v>
      </c>
      <c r="U1654" s="388">
        <v>3.0</v>
      </c>
      <c r="V1654" s="216">
        <v>0.0</v>
      </c>
      <c r="W1654" s="618">
        <v>0.0</v>
      </c>
      <c r="X1654" s="618">
        <v>0.0</v>
      </c>
      <c r="Y1654" s="618">
        <v>0.0</v>
      </c>
      <c r="Z1654" s="80">
        <f t="shared" si="1"/>
        <v>0</v>
      </c>
      <c r="AA1654" s="106">
        <v>0.0</v>
      </c>
      <c r="AB1654" s="107">
        <v>0.0</v>
      </c>
      <c r="AC1654" s="107">
        <v>0.0</v>
      </c>
      <c r="AD1654" s="107">
        <v>0.0</v>
      </c>
      <c r="AE1654" s="80">
        <f t="shared" si="2"/>
        <v>0</v>
      </c>
      <c r="AF1654" s="140">
        <v>0.0</v>
      </c>
      <c r="AG1654" s="109">
        <v>0.0</v>
      </c>
      <c r="AH1654" s="109">
        <v>0.0</v>
      </c>
      <c r="AI1654" s="141">
        <v>0.0</v>
      </c>
      <c r="AJ1654" s="80">
        <f t="shared" si="3"/>
        <v>0</v>
      </c>
      <c r="AK1654" s="140">
        <v>0.0</v>
      </c>
      <c r="AL1654" s="109">
        <v>0.0</v>
      </c>
      <c r="AM1654" s="141">
        <v>0.0</v>
      </c>
      <c r="AN1654" s="80">
        <f t="shared" si="4"/>
        <v>0</v>
      </c>
      <c r="AO1654" s="140">
        <v>0.0</v>
      </c>
      <c r="AP1654" s="109">
        <v>0.0</v>
      </c>
      <c r="AQ1654" s="109">
        <v>28.0</v>
      </c>
      <c r="AR1654" s="80">
        <f t="shared" si="5"/>
        <v>28</v>
      </c>
      <c r="AS1654" s="110">
        <v>0.0</v>
      </c>
      <c r="AT1654" s="110">
        <v>0.0</v>
      </c>
      <c r="AU1654" s="110">
        <v>0.0</v>
      </c>
      <c r="AV1654" s="142">
        <v>0.0</v>
      </c>
      <c r="AW1654" s="80">
        <f t="shared" si="6"/>
        <v>0</v>
      </c>
      <c r="AX1654" s="113">
        <f t="shared" si="7"/>
        <v>28</v>
      </c>
      <c r="AY1654" s="117">
        <f t="shared" si="8"/>
        <v>0</v>
      </c>
      <c r="AZ1654" s="120">
        <f t="shared" si="9"/>
        <v>28</v>
      </c>
      <c r="BA1654" s="115">
        <v>0.0</v>
      </c>
      <c r="BB1654" s="89">
        <f t="shared" si="10"/>
        <v>28</v>
      </c>
      <c r="BC1654" s="132" t="s">
        <v>373</v>
      </c>
      <c r="BD1654" s="132" t="s">
        <v>178</v>
      </c>
      <c r="BE1654" s="132" t="s">
        <v>178</v>
      </c>
      <c r="BF1654" s="156"/>
      <c r="BG1654" s="83">
        <v>1179684.0</v>
      </c>
      <c r="BH1654" s="112"/>
      <c r="BI1654" s="112">
        <v>7.0</v>
      </c>
      <c r="BJ1654" s="98" t="s">
        <v>155</v>
      </c>
      <c r="BK1654" s="99">
        <f t="shared" si="11"/>
        <v>0</v>
      </c>
      <c r="BL1654" s="99">
        <f t="shared" si="12"/>
        <v>0</v>
      </c>
      <c r="BM1654" s="99" t="str">
        <f>IFERROR(__xludf.DUMMYFUNCTION("IFERROR(VLOOKUP(BG1654,IMPORTRANGE(""https://docs.google.com/spreadsheets/d/1juPI-Fb8LD0YtltB2mlGEnp_R3UVu1t3wSFPzgCyHXE/edit?gid=0#gid=0"",""GERAL!A2:C""),3,0),""-"")"),"CAMPO")</f>
        <v>CAMPO</v>
      </c>
    </row>
    <row r="1655" ht="15.75" customHeight="1">
      <c r="A1655" s="111" t="s">
        <v>1842</v>
      </c>
      <c r="B1655" s="83" t="s">
        <v>2042</v>
      </c>
      <c r="C1655" s="83" t="s">
        <v>68</v>
      </c>
      <c r="D1655" s="112">
        <v>1146167.0</v>
      </c>
      <c r="E1655" s="83"/>
      <c r="F1655" s="83">
        <v>2.931822E7</v>
      </c>
      <c r="G1655" s="119" t="s">
        <v>9328</v>
      </c>
      <c r="H1655" s="91" t="s">
        <v>9329</v>
      </c>
      <c r="I1655" s="136" t="s">
        <v>149</v>
      </c>
      <c r="J1655" s="83" t="s">
        <v>150</v>
      </c>
      <c r="K1655" s="83" t="s">
        <v>3467</v>
      </c>
      <c r="L1655" s="83" t="s">
        <v>230</v>
      </c>
      <c r="M1655" s="82" t="str">
        <f>IFERROR(__xludf.DUMMYFUNCTION("IFERROR(VLOOKUP(D1655,
IMPORTRANGE(""https://docs.google.com/spreadsheets/d/1MjHtlUikwobi2MaWJgy7tfLeBmhj1u-dRFRs_8GwSoA/edit#gid=0"",""Gestores Escolares!D7:J""),3,0),""VERIFICAR CÓD SEC"")"),"CLAUDIONOR PEREIRA TEIXEIRA")</f>
        <v>CLAUDIONOR PEREIRA TEIXEIRA</v>
      </c>
      <c r="N1655" s="82" t="str">
        <f>IFERROR(__xludf.DUMMYFUNCTION("IFERROR(VLOOKUP(D1655,
IMPORTRANGE(""https://docs.google.com/spreadsheets/d/1MjHtlUikwobi2MaWJgy7tfLeBmhj1u-dRFRs_8GwSoA/edit#gid=0"",""Gestores Escolares!D7:J""),4,0),""VERIFICAR CÓD SEC"")"),"(73) 9 8129-9478")</f>
        <v>(73) 9 8129-9478</v>
      </c>
      <c r="O1655" s="82" t="str">
        <f>IFERROR(__xludf.DUMMYFUNCTION("IFERROR(VLOOKUP(D1655,
IMPORTRANGE(""https://docs.google.com/spreadsheets/d/1MjHtlUikwobi2MaWJgy7tfLeBmhj1u-dRFRs_8GwSoA/edit#gid=0"",""Gestores Escolares!D7:J""),6,0),""VERIFICAR CÓD SEC"")"),"PABLO SANTANA LEMOS")</f>
        <v>PABLO SANTANA LEMOS</v>
      </c>
      <c r="P1655" s="82" t="str">
        <f>IFERROR(__xludf.DUMMYFUNCTION("IFERROR(VLOOKUP(D1655,
IMPORTRANGE(""https://docs.google.com/spreadsheets/d/1MjHtlUikwobi2MaWJgy7tfLeBmhj1u-dRFRs_8GwSoA/edit#gid=0"",""Gestores Escolares!D7:J""),7,0),""VERIFICAR CÓD SEC"")"),"(73) 9 8236-6966")</f>
        <v>(73) 9 8236-6966</v>
      </c>
      <c r="Q1655" s="82" t="str">
        <f>IFERROR(__xludf.DUMMYFUNCTION("IFERROR(VLOOKUP(D1655,
IMPORTRANGE(""https://docs.google.com/spreadsheets/d/1MjHtlUikwobi2MaWJgy7tfLeBmhj1u-dRFRs_8GwSoA/edit#gid=0"",""Gestores Escolares!D7:m""),9,0),""VERIFICAR CÓD SEC"")"),"FREDSON BARBOSA SETUBAL")</f>
        <v>FREDSON BARBOSA SETUBAL</v>
      </c>
      <c r="R1655" s="82" t="str">
        <f>IFERROR(__xludf.DUMMYFUNCTION("IFERROR(VLOOKUP(D1655,
IMPORTRANGE(""https://docs.google.com/spreadsheets/d/1MjHtlUikwobi2MaWJgy7tfLeBmhj1u-dRFRs_8GwSoA/edit#gid=0"",""Gestores Escolares!D7:m""),10,0),""VERIFICAR CÓD SEC"")"),"(73) 9 9825-0907")</f>
        <v>(73) 9 9825-0907</v>
      </c>
      <c r="S1655" s="82"/>
      <c r="T1655" s="138">
        <v>9.0</v>
      </c>
      <c r="U1655" s="388" t="s">
        <v>13944</v>
      </c>
      <c r="V1655" s="106">
        <v>0.0</v>
      </c>
      <c r="W1655" s="107">
        <v>0.0</v>
      </c>
      <c r="X1655" s="107">
        <v>0.0</v>
      </c>
      <c r="Y1655" s="107">
        <v>0.0</v>
      </c>
      <c r="Z1655" s="80">
        <f t="shared" si="1"/>
        <v>0</v>
      </c>
      <c r="AA1655" s="106">
        <v>0.0</v>
      </c>
      <c r="AB1655" s="107">
        <v>0.0</v>
      </c>
      <c r="AC1655" s="107">
        <v>0.0</v>
      </c>
      <c r="AD1655" s="107">
        <v>0.0</v>
      </c>
      <c r="AE1655" s="80">
        <f t="shared" si="2"/>
        <v>0</v>
      </c>
      <c r="AF1655" s="140">
        <v>0.0</v>
      </c>
      <c r="AG1655" s="109">
        <v>0.0</v>
      </c>
      <c r="AH1655" s="109">
        <v>0.0</v>
      </c>
      <c r="AI1655" s="141">
        <v>499.0</v>
      </c>
      <c r="AJ1655" s="80">
        <f t="shared" si="3"/>
        <v>499</v>
      </c>
      <c r="AK1655" s="140">
        <v>0.0</v>
      </c>
      <c r="AL1655" s="109">
        <v>0.0</v>
      </c>
      <c r="AM1655" s="141">
        <v>0.0</v>
      </c>
      <c r="AN1655" s="80">
        <f t="shared" si="4"/>
        <v>0</v>
      </c>
      <c r="AO1655" s="140">
        <v>0.0</v>
      </c>
      <c r="AP1655" s="109">
        <v>0.0</v>
      </c>
      <c r="AQ1655" s="109">
        <v>277.0</v>
      </c>
      <c r="AR1655" s="80">
        <f t="shared" si="5"/>
        <v>277</v>
      </c>
      <c r="AS1655" s="110">
        <v>0.0</v>
      </c>
      <c r="AT1655" s="110">
        <v>0.0</v>
      </c>
      <c r="AU1655" s="110">
        <v>0.0</v>
      </c>
      <c r="AV1655" s="142">
        <v>0.0</v>
      </c>
      <c r="AW1655" s="80">
        <f t="shared" si="6"/>
        <v>0</v>
      </c>
      <c r="AX1655" s="113">
        <f t="shared" si="7"/>
        <v>776</v>
      </c>
      <c r="AY1655" s="117">
        <f t="shared" si="8"/>
        <v>499</v>
      </c>
      <c r="AZ1655" s="120">
        <f t="shared" si="9"/>
        <v>277</v>
      </c>
      <c r="BA1655" s="115">
        <v>0.0</v>
      </c>
      <c r="BB1655" s="89">
        <f t="shared" si="10"/>
        <v>776</v>
      </c>
      <c r="BC1655" s="132" t="s">
        <v>178</v>
      </c>
      <c r="BD1655" s="132" t="s">
        <v>5473</v>
      </c>
      <c r="BE1655" s="132" t="s">
        <v>178</v>
      </c>
      <c r="BF1655" s="156"/>
      <c r="BG1655" s="83">
        <v>1146167.0</v>
      </c>
      <c r="BH1655" s="98" t="s">
        <v>9330</v>
      </c>
      <c r="BI1655" s="112">
        <v>10.0</v>
      </c>
      <c r="BJ1655" s="98" t="s">
        <v>176</v>
      </c>
      <c r="BK1655" s="99">
        <f t="shared" si="11"/>
        <v>499</v>
      </c>
      <c r="BL1655" s="99">
        <f t="shared" si="12"/>
        <v>0</v>
      </c>
      <c r="BM1655" s="99" t="str">
        <f>IFERROR(__xludf.DUMMYFUNCTION("IFERROR(VLOOKUP(BG1655,IMPORTRANGE(""https://docs.google.com/spreadsheets/d/1juPI-Fb8LD0YtltB2mlGEnp_R3UVu1t3wSFPzgCyHXE/edit?gid=0#gid=0"",""GERAL!A2:C""),3,0),""-"")"),"-")</f>
        <v>-</v>
      </c>
    </row>
    <row r="1656" ht="15.75" customHeight="1">
      <c r="A1656" s="111" t="s">
        <v>1842</v>
      </c>
      <c r="B1656" s="83" t="s">
        <v>2042</v>
      </c>
      <c r="C1656" s="83" t="s">
        <v>68</v>
      </c>
      <c r="D1656" s="112">
        <v>1146183.0</v>
      </c>
      <c r="E1656" s="83"/>
      <c r="F1656" s="83">
        <v>2.9318378E7</v>
      </c>
      <c r="G1656" s="114" t="s">
        <v>9337</v>
      </c>
      <c r="H1656" s="91" t="s">
        <v>9339</v>
      </c>
      <c r="I1656" s="136" t="s">
        <v>9341</v>
      </c>
      <c r="J1656" s="83" t="s">
        <v>150</v>
      </c>
      <c r="K1656" s="83" t="s">
        <v>3467</v>
      </c>
      <c r="L1656" s="98" t="s">
        <v>152</v>
      </c>
      <c r="M1656" s="82" t="str">
        <f>IFERROR(__xludf.DUMMYFUNCTION("IFERROR(VLOOKUP(D1656,
IMPORTRANGE(""https://docs.google.com/spreadsheets/d/1MjHtlUikwobi2MaWJgy7tfLeBmhj1u-dRFRs_8GwSoA/edit#gid=0"",""Gestores Escolares!D7:J""),3,0),""VERIFICAR CÓD SEC"")"),"ISRAEL MATOS MAGNO ")</f>
        <v>ISRAEL MATOS MAGNO </v>
      </c>
      <c r="N1656" s="82" t="str">
        <f>IFERROR(__xludf.DUMMYFUNCTION("IFERROR(VLOOKUP(D1656,
IMPORTRANGE(""https://docs.google.com/spreadsheets/d/1MjHtlUikwobi2MaWJgy7tfLeBmhj1u-dRFRs_8GwSoA/edit#gid=0"",""Gestores Escolares!D7:J""),4,0),""VERIFICAR CÓD SEC"")"),"(73) 9 8165-0546")</f>
        <v>(73) 9 8165-0546</v>
      </c>
      <c r="O1656" s="82" t="str">
        <f>IFERROR(__xludf.DUMMYFUNCTION("IFERROR(VLOOKUP(D1656,
IMPORTRANGE(""https://docs.google.com/spreadsheets/d/1MjHtlUikwobi2MaWJgy7tfLeBmhj1u-dRFRs_8GwSoA/edit#gid=0"",""Gestores Escolares!D7:J""),6,0),""VERIFICAR CÓD SEC"")"),"ANA MARA COSTA DE MELO	")</f>
        <v>ANA MARA COSTA DE MELO	</v>
      </c>
      <c r="P1656" s="82" t="str">
        <f>IFERROR(__xludf.DUMMYFUNCTION("IFERROR(VLOOKUP(D1656,
IMPORTRANGE(""https://docs.google.com/spreadsheets/d/1MjHtlUikwobi2MaWJgy7tfLeBmhj1u-dRFRs_8GwSoA/edit#gid=0"",""Gestores Escolares!D7:J""),7,0),""VERIFICAR CÓD SEC"")"),"(73) 98845-0518")</f>
        <v>(73) 98845-0518</v>
      </c>
      <c r="Q1656" s="82" t="str">
        <f>IFERROR(__xludf.DUMMYFUNCTION("IFERROR(VLOOKUP(D1656,
IMPORTRANGE(""https://docs.google.com/spreadsheets/d/1MjHtlUikwobi2MaWJgy7tfLeBmhj1u-dRFRs_8GwSoA/edit#gid=0"",""Gestores Escolares!D7:m""),9,0),""VERIFICAR CÓD SEC"")"),"ADRIEL ARAUJO DAMACENA")</f>
        <v>ADRIEL ARAUJO DAMACENA</v>
      </c>
      <c r="R1656" s="82" t="str">
        <f>IFERROR(__xludf.DUMMYFUNCTION("IFERROR(VLOOKUP(D1656,
IMPORTRANGE(""https://docs.google.com/spreadsheets/d/1MjHtlUikwobi2MaWJgy7tfLeBmhj1u-dRFRs_8GwSoA/edit#gid=0"",""Gestores Escolares!D7:m""),10,0),""VERIFICAR CÓD SEC"")"),"(73) 9 9931-2502")</f>
        <v>(73) 9 9931-2502</v>
      </c>
      <c r="S1656" s="82"/>
      <c r="T1656" s="138">
        <v>8.0</v>
      </c>
      <c r="U1656" s="139">
        <v>8.0</v>
      </c>
      <c r="V1656" s="106">
        <v>0.0</v>
      </c>
      <c r="W1656" s="107">
        <v>0.0</v>
      </c>
      <c r="X1656" s="107">
        <v>0.0</v>
      </c>
      <c r="Y1656" s="107">
        <v>0.0</v>
      </c>
      <c r="Z1656" s="80">
        <f t="shared" si="1"/>
        <v>0</v>
      </c>
      <c r="AA1656" s="106">
        <v>0.0</v>
      </c>
      <c r="AB1656" s="107">
        <v>0.0</v>
      </c>
      <c r="AC1656" s="107">
        <v>0.0</v>
      </c>
      <c r="AD1656" s="107">
        <v>0.0</v>
      </c>
      <c r="AE1656" s="80">
        <f t="shared" si="2"/>
        <v>0</v>
      </c>
      <c r="AF1656" s="140">
        <v>0.0</v>
      </c>
      <c r="AG1656" s="109">
        <v>0.0</v>
      </c>
      <c r="AH1656" s="109">
        <v>0.0</v>
      </c>
      <c r="AI1656" s="141">
        <v>165.0</v>
      </c>
      <c r="AJ1656" s="80">
        <f t="shared" si="3"/>
        <v>165</v>
      </c>
      <c r="AK1656" s="140">
        <v>0.0</v>
      </c>
      <c r="AL1656" s="109">
        <v>0.0</v>
      </c>
      <c r="AM1656" s="141">
        <v>0.0</v>
      </c>
      <c r="AN1656" s="80">
        <f t="shared" si="4"/>
        <v>0</v>
      </c>
      <c r="AO1656" s="140">
        <v>0.0</v>
      </c>
      <c r="AP1656" s="109">
        <v>0.0</v>
      </c>
      <c r="AQ1656" s="109">
        <v>180.0</v>
      </c>
      <c r="AR1656" s="80">
        <f t="shared" si="5"/>
        <v>180</v>
      </c>
      <c r="AS1656" s="110">
        <v>0.0</v>
      </c>
      <c r="AT1656" s="110">
        <v>0.0</v>
      </c>
      <c r="AU1656" s="110">
        <v>0.0</v>
      </c>
      <c r="AV1656" s="142">
        <v>0.0</v>
      </c>
      <c r="AW1656" s="80">
        <f t="shared" si="6"/>
        <v>0</v>
      </c>
      <c r="AX1656" s="113">
        <f t="shared" si="7"/>
        <v>345</v>
      </c>
      <c r="AY1656" s="117">
        <f t="shared" si="8"/>
        <v>165</v>
      </c>
      <c r="AZ1656" s="120">
        <f t="shared" si="9"/>
        <v>180</v>
      </c>
      <c r="BA1656" s="115">
        <v>0.0</v>
      </c>
      <c r="BB1656" s="89">
        <f t="shared" si="10"/>
        <v>345</v>
      </c>
      <c r="BC1656" s="132" t="s">
        <v>178</v>
      </c>
      <c r="BD1656" s="132" t="s">
        <v>178</v>
      </c>
      <c r="BE1656" s="132" t="s">
        <v>178</v>
      </c>
      <c r="BF1656" s="156"/>
      <c r="BG1656" s="83">
        <v>1146183.0</v>
      </c>
      <c r="BH1656" s="98" t="s">
        <v>9342</v>
      </c>
      <c r="BI1656" s="112">
        <v>8.0</v>
      </c>
      <c r="BJ1656" s="98" t="s">
        <v>155</v>
      </c>
      <c r="BK1656" s="99">
        <f t="shared" si="11"/>
        <v>165</v>
      </c>
      <c r="BL1656" s="99">
        <f t="shared" si="12"/>
        <v>0</v>
      </c>
      <c r="BM1656" s="99" t="str">
        <f>IFERROR(__xludf.DUMMYFUNCTION("IFERROR(VLOOKUP(BG1656,IMPORTRANGE(""https://docs.google.com/spreadsheets/d/1juPI-Fb8LD0YtltB2mlGEnp_R3UVu1t3wSFPzgCyHXE/edit?gid=0#gid=0"",""GERAL!A2:C""),3,0),""-"")"),"-")</f>
        <v>-</v>
      </c>
    </row>
    <row r="1657" ht="15.75" customHeight="1">
      <c r="A1657" s="111" t="s">
        <v>1842</v>
      </c>
      <c r="B1657" s="83" t="s">
        <v>2042</v>
      </c>
      <c r="C1657" s="83" t="s">
        <v>68</v>
      </c>
      <c r="D1657" s="112">
        <v>1146264.0</v>
      </c>
      <c r="E1657" s="83"/>
      <c r="F1657" s="83">
        <v>2.9319218E7</v>
      </c>
      <c r="G1657" s="114" t="s">
        <v>9349</v>
      </c>
      <c r="H1657" s="91" t="s">
        <v>9350</v>
      </c>
      <c r="I1657" s="136" t="s">
        <v>9351</v>
      </c>
      <c r="J1657" s="83" t="s">
        <v>150</v>
      </c>
      <c r="K1657" s="83" t="s">
        <v>3467</v>
      </c>
      <c r="L1657" s="98" t="s">
        <v>152</v>
      </c>
      <c r="M1657" s="82" t="str">
        <f>IFERROR(__xludf.DUMMYFUNCTION("IFERROR(VLOOKUP(D1657,
IMPORTRANGE(""https://docs.google.com/spreadsheets/d/1MjHtlUikwobi2MaWJgy7tfLeBmhj1u-dRFRs_8GwSoA/edit#gid=0"",""Gestores Escolares!D7:J""),3,0),""VERIFICAR CÓD SEC"")"),"RONALDO SANTANA PEREIRA")</f>
        <v>RONALDO SANTANA PEREIRA</v>
      </c>
      <c r="N1657" s="82" t="str">
        <f>IFERROR(__xludf.DUMMYFUNCTION("IFERROR(VLOOKUP(D1657,
IMPORTRANGE(""https://docs.google.com/spreadsheets/d/1MjHtlUikwobi2MaWJgy7tfLeBmhj1u-dRFRs_8GwSoA/edit#gid=0"",""Gestores Escolares!D7:J""),4,0),""VERIFICAR CÓD SEC"")"),"(73) 9 8202-1551")</f>
        <v>(73) 9 8202-1551</v>
      </c>
      <c r="O1657" s="82" t="str">
        <f>IFERROR(__xludf.DUMMYFUNCTION("IFERROR(VLOOKUP(D1657,
IMPORTRANGE(""https://docs.google.com/spreadsheets/d/1MjHtlUikwobi2MaWJgy7tfLeBmhj1u-dRFRs_8GwSoA/edit#gid=0"",""Gestores Escolares!D7:J""),6,0),""VERIFICAR CÓD SEC"")")," LEANDRO GONCALVES DE OLIVEIRA")</f>
        <v> LEANDRO GONCALVES DE OLIVEIRA</v>
      </c>
      <c r="P1657" s="82" t="str">
        <f>IFERROR(__xludf.DUMMYFUNCTION("IFERROR(VLOOKUP(D1657,
IMPORTRANGE(""https://docs.google.com/spreadsheets/d/1MjHtlUikwobi2MaWJgy7tfLeBmhj1u-dRFRs_8GwSoA/edit#gid=0"",""Gestores Escolares!D7:J""),7,0),""VERIFICAR CÓD SEC"")"),"(73) 9 9109-6769")</f>
        <v>(73) 9 9109-6769</v>
      </c>
      <c r="Q1657" s="82" t="str">
        <f>IFERROR(__xludf.DUMMYFUNCTION("IFERROR(VLOOKUP(D1657,
IMPORTRANGE(""https://docs.google.com/spreadsheets/d/1MjHtlUikwobi2MaWJgy7tfLeBmhj1u-dRFRs_8GwSoA/edit#gid=0"",""Gestores Escolares!D7:m""),9,0),""VERIFICAR CÓD SEC"")"),"")</f>
        <v/>
      </c>
      <c r="R1657" s="82" t="str">
        <f>IFERROR(__xludf.DUMMYFUNCTION("IFERROR(VLOOKUP(D1657,
IMPORTRANGE(""https://docs.google.com/spreadsheets/d/1MjHtlUikwobi2MaWJgy7tfLeBmhj1u-dRFRs_8GwSoA/edit#gid=0"",""Gestores Escolares!D7:m""),10,0),""VERIFICAR CÓD SEC"")"),"")</f>
        <v/>
      </c>
      <c r="S1657" s="82"/>
      <c r="T1657" s="138">
        <v>9.0</v>
      </c>
      <c r="U1657" s="139">
        <v>8.0</v>
      </c>
      <c r="V1657" s="106">
        <v>0.0</v>
      </c>
      <c r="W1657" s="107">
        <v>0.0</v>
      </c>
      <c r="X1657" s="107">
        <v>0.0</v>
      </c>
      <c r="Y1657" s="107">
        <v>0.0</v>
      </c>
      <c r="Z1657" s="80">
        <f t="shared" si="1"/>
        <v>0</v>
      </c>
      <c r="AA1657" s="106">
        <v>0.0</v>
      </c>
      <c r="AB1657" s="107">
        <v>0.0</v>
      </c>
      <c r="AC1657" s="107">
        <v>0.0</v>
      </c>
      <c r="AD1657" s="107">
        <v>0.0</v>
      </c>
      <c r="AE1657" s="80">
        <f t="shared" si="2"/>
        <v>0</v>
      </c>
      <c r="AF1657" s="140">
        <v>262.0</v>
      </c>
      <c r="AG1657" s="109">
        <v>164.0</v>
      </c>
      <c r="AH1657" s="109">
        <v>0.0</v>
      </c>
      <c r="AI1657" s="141">
        <v>0.0</v>
      </c>
      <c r="AJ1657" s="80">
        <f t="shared" si="3"/>
        <v>426</v>
      </c>
      <c r="AK1657" s="140">
        <v>0.0</v>
      </c>
      <c r="AL1657" s="109">
        <v>0.0</v>
      </c>
      <c r="AM1657" s="141">
        <v>0.0</v>
      </c>
      <c r="AN1657" s="80">
        <f t="shared" si="4"/>
        <v>0</v>
      </c>
      <c r="AO1657" s="140">
        <v>0.0</v>
      </c>
      <c r="AP1657" s="109">
        <v>0.0</v>
      </c>
      <c r="AQ1657" s="109">
        <v>269.0</v>
      </c>
      <c r="AR1657" s="80">
        <f t="shared" si="5"/>
        <v>269</v>
      </c>
      <c r="AS1657" s="110">
        <v>0.0</v>
      </c>
      <c r="AT1657" s="110">
        <v>0.0</v>
      </c>
      <c r="AU1657" s="110">
        <v>0.0</v>
      </c>
      <c r="AV1657" s="142">
        <v>0.0</v>
      </c>
      <c r="AW1657" s="80">
        <f t="shared" si="6"/>
        <v>0</v>
      </c>
      <c r="AX1657" s="113">
        <f t="shared" si="7"/>
        <v>695</v>
      </c>
      <c r="AY1657" s="117">
        <f t="shared" si="8"/>
        <v>426</v>
      </c>
      <c r="AZ1657" s="120">
        <f t="shared" si="9"/>
        <v>269</v>
      </c>
      <c r="BA1657" s="115">
        <v>0.0</v>
      </c>
      <c r="BB1657" s="89">
        <f t="shared" si="10"/>
        <v>695</v>
      </c>
      <c r="BC1657" s="132" t="s">
        <v>178</v>
      </c>
      <c r="BD1657" s="132" t="s">
        <v>178</v>
      </c>
      <c r="BE1657" s="132" t="s">
        <v>178</v>
      </c>
      <c r="BF1657" s="156"/>
      <c r="BG1657" s="83">
        <v>1146264.0</v>
      </c>
      <c r="BH1657" s="98" t="s">
        <v>9352</v>
      </c>
      <c r="BI1657" s="112">
        <v>8.0</v>
      </c>
      <c r="BJ1657" s="98" t="s">
        <v>155</v>
      </c>
      <c r="BK1657" s="99">
        <f t="shared" si="11"/>
        <v>0</v>
      </c>
      <c r="BL1657" s="99">
        <f t="shared" si="12"/>
        <v>426</v>
      </c>
      <c r="BM1657" s="99" t="str">
        <f>IFERROR(__xludf.DUMMYFUNCTION("IFERROR(VLOOKUP(BG1657,IMPORTRANGE(""https://docs.google.com/spreadsheets/d/1juPI-Fb8LD0YtltB2mlGEnp_R3UVu1t3wSFPzgCyHXE/edit?gid=0#gid=0"",""GERAL!A2:C""),3,0),""-"")"),"-")</f>
        <v>-</v>
      </c>
    </row>
    <row r="1658" ht="15.75" customHeight="1">
      <c r="A1658" s="111" t="s">
        <v>1842</v>
      </c>
      <c r="B1658" s="83" t="s">
        <v>2042</v>
      </c>
      <c r="C1658" s="83" t="s">
        <v>68</v>
      </c>
      <c r="D1658" s="112">
        <v>1178012.0</v>
      </c>
      <c r="E1658" s="83"/>
      <c r="F1658" s="83">
        <v>2.9428203E7</v>
      </c>
      <c r="G1658" s="114" t="s">
        <v>9358</v>
      </c>
      <c r="H1658" s="91" t="s">
        <v>9360</v>
      </c>
      <c r="I1658" s="136" t="s">
        <v>149</v>
      </c>
      <c r="J1658" s="83" t="s">
        <v>150</v>
      </c>
      <c r="K1658" s="83" t="s">
        <v>3467</v>
      </c>
      <c r="L1658" s="83" t="s">
        <v>230</v>
      </c>
      <c r="M1658" s="82" t="str">
        <f>IFERROR(__xludf.DUMMYFUNCTION("IFERROR(VLOOKUP(D1658,
IMPORTRANGE(""https://docs.google.com/spreadsheets/d/1MjHtlUikwobi2MaWJgy7tfLeBmhj1u-dRFRs_8GwSoA/edit#gid=0"",""Gestores Escolares!D7:J""),3,0),""VERIFICAR CÓD SEC"")"),"SALATIELE PEREIRA DA SILVA CEO")</f>
        <v>SALATIELE PEREIRA DA SILVA CEO</v>
      </c>
      <c r="N1658" s="82" t="str">
        <f>IFERROR(__xludf.DUMMYFUNCTION("IFERROR(VLOOKUP(D1658,
IMPORTRANGE(""https://docs.google.com/spreadsheets/d/1MjHtlUikwobi2MaWJgy7tfLeBmhj1u-dRFRs_8GwSoA/edit#gid=0"",""Gestores Escolares!D7:J""),4,0),""VERIFICAR CÓD SEC"")"),"(73) 9 8121-5494")</f>
        <v>(73) 9 8121-5494</v>
      </c>
      <c r="O1658" s="82" t="str">
        <f>IFERROR(__xludf.DUMMYFUNCTION("IFERROR(VLOOKUP(D1658,
IMPORTRANGE(""https://docs.google.com/spreadsheets/d/1MjHtlUikwobi2MaWJgy7tfLeBmhj1u-dRFRs_8GwSoA/edit#gid=0"",""Gestores Escolares!D7:J""),6,0),""VERIFICAR CÓD SEC"")"),"ANDRESSA SILVA SOARES")</f>
        <v>ANDRESSA SILVA SOARES</v>
      </c>
      <c r="P1658" s="82" t="str">
        <f>IFERROR(__xludf.DUMMYFUNCTION("IFERROR(VLOOKUP(D1658,
IMPORTRANGE(""https://docs.google.com/spreadsheets/d/1MjHtlUikwobi2MaWJgy7tfLeBmhj1u-dRFRs_8GwSoA/edit#gid=0"",""Gestores Escolares!D7:J""),7,0),""VERIFICAR CÓD SEC"")"),"(75) 9 8877-0909")</f>
        <v>(75) 9 8877-0909</v>
      </c>
      <c r="Q1658" s="82" t="str">
        <f>IFERROR(__xludf.DUMMYFUNCTION("IFERROR(VLOOKUP(D1658,
IMPORTRANGE(""https://docs.google.com/spreadsheets/d/1MjHtlUikwobi2MaWJgy7tfLeBmhj1u-dRFRs_8GwSoA/edit#gid=0"",""Gestores Escolares!D7:m""),9,0),""VERIFICAR CÓD SEC"")"),"THAIS MARIA MASSOTE BONIFACIO BAQUIAO")</f>
        <v>THAIS MARIA MASSOTE BONIFACIO BAQUIAO</v>
      </c>
      <c r="R1658" s="82" t="str">
        <f>IFERROR(__xludf.DUMMYFUNCTION("IFERROR(VLOOKUP(D1658,
IMPORTRANGE(""https://docs.google.com/spreadsheets/d/1MjHtlUikwobi2MaWJgy7tfLeBmhj1u-dRFRs_8GwSoA/edit#gid=0"",""Gestores Escolares!D7:m""),10,0),""VERIFICAR CÓD SEC"")"),"(35) 9 9222-5929")</f>
        <v>(35) 9 9222-5929</v>
      </c>
      <c r="S1658" s="82"/>
      <c r="T1658" s="138">
        <v>15.0</v>
      </c>
      <c r="U1658" s="145" t="s">
        <v>13945</v>
      </c>
      <c r="V1658" s="106">
        <v>0.0</v>
      </c>
      <c r="W1658" s="107">
        <v>0.0</v>
      </c>
      <c r="X1658" s="107">
        <v>0.0</v>
      </c>
      <c r="Y1658" s="107">
        <v>0.0</v>
      </c>
      <c r="Z1658" s="80">
        <f t="shared" si="1"/>
        <v>0</v>
      </c>
      <c r="AA1658" s="106">
        <v>0.0</v>
      </c>
      <c r="AB1658" s="107">
        <v>0.0</v>
      </c>
      <c r="AC1658" s="107">
        <v>0.0</v>
      </c>
      <c r="AD1658" s="107">
        <v>0.0</v>
      </c>
      <c r="AE1658" s="80">
        <f t="shared" si="2"/>
        <v>0</v>
      </c>
      <c r="AF1658" s="140">
        <v>0.0</v>
      </c>
      <c r="AG1658" s="109">
        <v>0.0</v>
      </c>
      <c r="AH1658" s="109">
        <v>0.0</v>
      </c>
      <c r="AI1658" s="141">
        <v>0.0</v>
      </c>
      <c r="AJ1658" s="80">
        <f t="shared" si="3"/>
        <v>0</v>
      </c>
      <c r="AK1658" s="140">
        <v>0.0</v>
      </c>
      <c r="AL1658" s="109">
        <v>0.0</v>
      </c>
      <c r="AM1658" s="141">
        <v>0.0</v>
      </c>
      <c r="AN1658" s="80">
        <f t="shared" si="4"/>
        <v>0</v>
      </c>
      <c r="AO1658" s="140">
        <v>0.0</v>
      </c>
      <c r="AP1658" s="109">
        <v>0.0</v>
      </c>
      <c r="AQ1658" s="109">
        <v>0.0</v>
      </c>
      <c r="AR1658" s="80">
        <f t="shared" si="5"/>
        <v>0</v>
      </c>
      <c r="AS1658" s="110">
        <v>491.0</v>
      </c>
      <c r="AT1658" s="110">
        <v>407.0</v>
      </c>
      <c r="AU1658" s="110">
        <v>90.0</v>
      </c>
      <c r="AV1658" s="142">
        <v>0.0</v>
      </c>
      <c r="AW1658" s="80">
        <f t="shared" si="6"/>
        <v>988</v>
      </c>
      <c r="AX1658" s="113">
        <f t="shared" si="7"/>
        <v>988</v>
      </c>
      <c r="AY1658" s="117">
        <f t="shared" si="8"/>
        <v>898</v>
      </c>
      <c r="AZ1658" s="120">
        <f t="shared" si="9"/>
        <v>90</v>
      </c>
      <c r="BA1658" s="115">
        <v>0.0</v>
      </c>
      <c r="BB1658" s="89">
        <f t="shared" si="10"/>
        <v>988</v>
      </c>
      <c r="BC1658" s="132" t="s">
        <v>178</v>
      </c>
      <c r="BD1658" s="132" t="s">
        <v>522</v>
      </c>
      <c r="BE1658" s="132" t="s">
        <v>178</v>
      </c>
      <c r="BF1658" s="123"/>
      <c r="BG1658" s="83">
        <v>1178012.0</v>
      </c>
      <c r="BH1658" s="98" t="s">
        <v>9363</v>
      </c>
      <c r="BI1658" s="112">
        <v>14.0</v>
      </c>
      <c r="BJ1658" s="98" t="s">
        <v>284</v>
      </c>
      <c r="BK1658" s="99">
        <f t="shared" si="11"/>
        <v>0</v>
      </c>
      <c r="BL1658" s="99">
        <f t="shared" si="12"/>
        <v>898</v>
      </c>
      <c r="BM1658" s="99" t="str">
        <f>IFERROR(__xludf.DUMMYFUNCTION("IFERROR(VLOOKUP(BG1658,IMPORTRANGE(""https://docs.google.com/spreadsheets/d/1juPI-Fb8LD0YtltB2mlGEnp_R3UVu1t3wSFPzgCyHXE/edit?gid=0#gid=0"",""GERAL!A2:C""),3,0),""-"")"),"-")</f>
        <v>-</v>
      </c>
    </row>
    <row r="1659" ht="15.75" customHeight="1">
      <c r="A1659" s="111" t="s">
        <v>1842</v>
      </c>
      <c r="B1659" s="83" t="s">
        <v>2042</v>
      </c>
      <c r="C1659" s="83" t="s">
        <v>164</v>
      </c>
      <c r="D1659" s="112">
        <v>1146264.0</v>
      </c>
      <c r="E1659" s="83">
        <v>1178510.0</v>
      </c>
      <c r="F1659" s="98">
        <v>2.9490294E7</v>
      </c>
      <c r="G1659" s="114" t="s">
        <v>9367</v>
      </c>
      <c r="H1659" s="91" t="s">
        <v>9368</v>
      </c>
      <c r="I1659" s="136" t="s">
        <v>149</v>
      </c>
      <c r="J1659" s="83" t="s">
        <v>443</v>
      </c>
      <c r="K1659" s="83" t="s">
        <v>168</v>
      </c>
      <c r="L1659" s="83" t="s">
        <v>169</v>
      </c>
      <c r="M1659" s="82" t="str">
        <f>IFERROR(__xludf.DUMMYFUNCTION("IFERROR(VLOOKUP(D1659,
IMPORTRANGE(""https://docs.google.com/spreadsheets/d/1MjHtlUikwobi2MaWJgy7tfLeBmhj1u-dRFRs_8GwSoA/edit#gid=0"",""Gestores Escolares!D7:J""),3,0),""VERIFICAR CÓD SEC"")"),"RONALDO SANTANA PEREIRA")</f>
        <v>RONALDO SANTANA PEREIRA</v>
      </c>
      <c r="N1659" s="82" t="str">
        <f>IFERROR(__xludf.DUMMYFUNCTION("IFERROR(VLOOKUP(D1659,
IMPORTRANGE(""https://docs.google.com/spreadsheets/d/1MjHtlUikwobi2MaWJgy7tfLeBmhj1u-dRFRs_8GwSoA/edit#gid=0"",""Gestores Escolares!D7:J""),4,0),""VERIFICAR CÓD SEC"")"),"(73) 9 8202-1551")</f>
        <v>(73) 9 8202-1551</v>
      </c>
      <c r="O1659" s="82" t="str">
        <f>IFERROR(__xludf.DUMMYFUNCTION("IFERROR(VLOOKUP(D1659,
IMPORTRANGE(""https://docs.google.com/spreadsheets/d/1MjHtlUikwobi2MaWJgy7tfLeBmhj1u-dRFRs_8GwSoA/edit#gid=0"",""Gestores Escolares!D7:J""),6,0),""VERIFICAR CÓD SEC"")")," LEANDRO GONCALVES DE OLIVEIRA")</f>
        <v> LEANDRO GONCALVES DE OLIVEIRA</v>
      </c>
      <c r="P1659" s="82" t="str">
        <f>IFERROR(__xludf.DUMMYFUNCTION("IFERROR(VLOOKUP(D1659,
IMPORTRANGE(""https://docs.google.com/spreadsheets/d/1MjHtlUikwobi2MaWJgy7tfLeBmhj1u-dRFRs_8GwSoA/edit#gid=0"",""Gestores Escolares!D7:J""),7,0),""VERIFICAR CÓD SEC"")"),"(73) 9 9109-6769")</f>
        <v>(73) 9 9109-6769</v>
      </c>
      <c r="Q1659" s="82" t="str">
        <f>IFERROR(__xludf.DUMMYFUNCTION("IFERROR(VLOOKUP(D1659,
IMPORTRANGE(""https://docs.google.com/spreadsheets/d/1MjHtlUikwobi2MaWJgy7tfLeBmhj1u-dRFRs_8GwSoA/edit#gid=0"",""Gestores Escolares!D7:m""),9,0),""VERIFICAR CÓD SEC"")"),"")</f>
        <v/>
      </c>
      <c r="R1659" s="82" t="str">
        <f>IFERROR(__xludf.DUMMYFUNCTION("IFERROR(VLOOKUP(D1659,
IMPORTRANGE(""https://docs.google.com/spreadsheets/d/1MjHtlUikwobi2MaWJgy7tfLeBmhj1u-dRFRs_8GwSoA/edit#gid=0"",""Gestores Escolares!D7:m""),10,0),""VERIFICAR CÓD SEC"")"),"")</f>
        <v/>
      </c>
      <c r="S1659" s="82"/>
      <c r="T1659" s="138">
        <v>1.0</v>
      </c>
      <c r="U1659" s="139">
        <v>1.0</v>
      </c>
      <c r="V1659" s="106">
        <v>0.0</v>
      </c>
      <c r="W1659" s="107">
        <v>0.0</v>
      </c>
      <c r="X1659" s="107">
        <v>0.0</v>
      </c>
      <c r="Y1659" s="107">
        <v>0.0</v>
      </c>
      <c r="Z1659" s="80">
        <f t="shared" si="1"/>
        <v>0</v>
      </c>
      <c r="AA1659" s="106">
        <v>0.0</v>
      </c>
      <c r="AB1659" s="107">
        <v>0.0</v>
      </c>
      <c r="AC1659" s="107">
        <v>0.0</v>
      </c>
      <c r="AD1659" s="107">
        <v>0.0</v>
      </c>
      <c r="AE1659" s="80">
        <f t="shared" si="2"/>
        <v>0</v>
      </c>
      <c r="AF1659" s="140">
        <v>12.0</v>
      </c>
      <c r="AG1659" s="109">
        <v>7.0</v>
      </c>
      <c r="AH1659" s="109">
        <v>11.0</v>
      </c>
      <c r="AI1659" s="141">
        <v>0.0</v>
      </c>
      <c r="AJ1659" s="80">
        <f t="shared" si="3"/>
        <v>30</v>
      </c>
      <c r="AK1659" s="140">
        <v>0.0</v>
      </c>
      <c r="AL1659" s="109">
        <v>0.0</v>
      </c>
      <c r="AM1659" s="141">
        <v>0.0</v>
      </c>
      <c r="AN1659" s="80">
        <f t="shared" si="4"/>
        <v>0</v>
      </c>
      <c r="AO1659" s="140">
        <v>0.0</v>
      </c>
      <c r="AP1659" s="109">
        <v>0.0</v>
      </c>
      <c r="AQ1659" s="109">
        <v>0.0</v>
      </c>
      <c r="AR1659" s="80">
        <f t="shared" si="5"/>
        <v>0</v>
      </c>
      <c r="AS1659" s="110">
        <v>0.0</v>
      </c>
      <c r="AT1659" s="110">
        <v>0.0</v>
      </c>
      <c r="AU1659" s="110">
        <v>0.0</v>
      </c>
      <c r="AV1659" s="142">
        <v>0.0</v>
      </c>
      <c r="AW1659" s="80">
        <f t="shared" si="6"/>
        <v>0</v>
      </c>
      <c r="AX1659" s="113">
        <f t="shared" si="7"/>
        <v>30</v>
      </c>
      <c r="AY1659" s="117">
        <f t="shared" si="8"/>
        <v>19</v>
      </c>
      <c r="AZ1659" s="120">
        <f t="shared" si="9"/>
        <v>11</v>
      </c>
      <c r="BA1659" s="115">
        <v>0.0</v>
      </c>
      <c r="BB1659" s="89">
        <f t="shared" si="10"/>
        <v>30</v>
      </c>
      <c r="BC1659" s="132" t="s">
        <v>373</v>
      </c>
      <c r="BD1659" s="132" t="s">
        <v>178</v>
      </c>
      <c r="BE1659" s="132" t="s">
        <v>178</v>
      </c>
      <c r="BF1659" s="123"/>
      <c r="BG1659" s="83">
        <v>1178510.0</v>
      </c>
      <c r="BH1659" s="112"/>
      <c r="BI1659" s="112">
        <v>1.0</v>
      </c>
      <c r="BJ1659" s="98" t="s">
        <v>155</v>
      </c>
      <c r="BK1659" s="99">
        <f t="shared" si="11"/>
        <v>0</v>
      </c>
      <c r="BL1659" s="99">
        <f t="shared" si="12"/>
        <v>19</v>
      </c>
      <c r="BM1659" s="99" t="str">
        <f>IFERROR(__xludf.DUMMYFUNCTION("IFERROR(VLOOKUP(BG1659,IMPORTRANGE(""https://docs.google.com/spreadsheets/d/1juPI-Fb8LD0YtltB2mlGEnp_R3UVu1t3wSFPzgCyHXE/edit?gid=0#gid=0"",""GERAL!A2:C""),3,0),""-"")"),"CAMPO")</f>
        <v>CAMPO</v>
      </c>
    </row>
    <row r="1660" ht="15.75" customHeight="1">
      <c r="A1660" s="111" t="s">
        <v>1842</v>
      </c>
      <c r="B1660" s="83" t="s">
        <v>2042</v>
      </c>
      <c r="C1660" s="83" t="s">
        <v>164</v>
      </c>
      <c r="D1660" s="112">
        <v>1146264.0</v>
      </c>
      <c r="E1660" s="83">
        <v>1179538.0</v>
      </c>
      <c r="F1660" s="98">
        <v>2.9490286E7</v>
      </c>
      <c r="G1660" s="114" t="s">
        <v>9375</v>
      </c>
      <c r="H1660" s="91" t="s">
        <v>9376</v>
      </c>
      <c r="I1660" s="136" t="s">
        <v>9377</v>
      </c>
      <c r="J1660" s="83" t="s">
        <v>150</v>
      </c>
      <c r="K1660" s="83" t="s">
        <v>168</v>
      </c>
      <c r="L1660" s="83" t="s">
        <v>169</v>
      </c>
      <c r="M1660" s="82" t="str">
        <f>IFERROR(__xludf.DUMMYFUNCTION("IFERROR(VLOOKUP(D1660,
IMPORTRANGE(""https://docs.google.com/spreadsheets/d/1MjHtlUikwobi2MaWJgy7tfLeBmhj1u-dRFRs_8GwSoA/edit#gid=0"",""Gestores Escolares!D7:J""),3,0),""VERIFICAR CÓD SEC"")"),"RONALDO SANTANA PEREIRA")</f>
        <v>RONALDO SANTANA PEREIRA</v>
      </c>
      <c r="N1660" s="82" t="str">
        <f>IFERROR(__xludf.DUMMYFUNCTION("IFERROR(VLOOKUP(D1660,
IMPORTRANGE(""https://docs.google.com/spreadsheets/d/1MjHtlUikwobi2MaWJgy7tfLeBmhj1u-dRFRs_8GwSoA/edit#gid=0"",""Gestores Escolares!D7:J""),4,0),""VERIFICAR CÓD SEC"")"),"(73) 9 8202-1551")</f>
        <v>(73) 9 8202-1551</v>
      </c>
      <c r="O1660" s="82" t="str">
        <f>IFERROR(__xludf.DUMMYFUNCTION("IFERROR(VLOOKUP(D1660,
IMPORTRANGE(""https://docs.google.com/spreadsheets/d/1MjHtlUikwobi2MaWJgy7tfLeBmhj1u-dRFRs_8GwSoA/edit#gid=0"",""Gestores Escolares!D7:J""),6,0),""VERIFICAR CÓD SEC"")")," LEANDRO GONCALVES DE OLIVEIRA")</f>
        <v> LEANDRO GONCALVES DE OLIVEIRA</v>
      </c>
      <c r="P1660" s="82" t="str">
        <f>IFERROR(__xludf.DUMMYFUNCTION("IFERROR(VLOOKUP(D1660,
IMPORTRANGE(""https://docs.google.com/spreadsheets/d/1MjHtlUikwobi2MaWJgy7tfLeBmhj1u-dRFRs_8GwSoA/edit#gid=0"",""Gestores Escolares!D7:J""),7,0),""VERIFICAR CÓD SEC"")"),"(73) 9 9109-6769")</f>
        <v>(73) 9 9109-6769</v>
      </c>
      <c r="Q1660" s="82" t="str">
        <f>IFERROR(__xludf.DUMMYFUNCTION("IFERROR(VLOOKUP(D1660,
IMPORTRANGE(""https://docs.google.com/spreadsheets/d/1MjHtlUikwobi2MaWJgy7tfLeBmhj1u-dRFRs_8GwSoA/edit#gid=0"",""Gestores Escolares!D7:m""),9,0),""VERIFICAR CÓD SEC"")"),"")</f>
        <v/>
      </c>
      <c r="R1660" s="82" t="str">
        <f>IFERROR(__xludf.DUMMYFUNCTION("IFERROR(VLOOKUP(D1660,
IMPORTRANGE(""https://docs.google.com/spreadsheets/d/1MjHtlUikwobi2MaWJgy7tfLeBmhj1u-dRFRs_8GwSoA/edit#gid=0"",""Gestores Escolares!D7:m""),10,0),""VERIFICAR CÓD SEC"")"),"")</f>
        <v/>
      </c>
      <c r="S1660" s="82"/>
      <c r="T1660" s="138">
        <v>5.0</v>
      </c>
      <c r="U1660" s="145">
        <v>3.0</v>
      </c>
      <c r="V1660" s="106">
        <v>0.0</v>
      </c>
      <c r="W1660" s="107">
        <v>0.0</v>
      </c>
      <c r="X1660" s="107">
        <v>0.0</v>
      </c>
      <c r="Y1660" s="107">
        <v>0.0</v>
      </c>
      <c r="Z1660" s="80">
        <f t="shared" si="1"/>
        <v>0</v>
      </c>
      <c r="AA1660" s="106">
        <v>0.0</v>
      </c>
      <c r="AB1660" s="107">
        <v>0.0</v>
      </c>
      <c r="AC1660" s="107">
        <v>0.0</v>
      </c>
      <c r="AD1660" s="107">
        <v>0.0</v>
      </c>
      <c r="AE1660" s="80">
        <f t="shared" si="2"/>
        <v>0</v>
      </c>
      <c r="AF1660" s="140">
        <v>0.0</v>
      </c>
      <c r="AG1660" s="109">
        <v>0.0</v>
      </c>
      <c r="AH1660" s="109">
        <v>0.0</v>
      </c>
      <c r="AI1660" s="141">
        <v>0.0</v>
      </c>
      <c r="AJ1660" s="80">
        <f t="shared" si="3"/>
        <v>0</v>
      </c>
      <c r="AK1660" s="140">
        <v>33.0</v>
      </c>
      <c r="AL1660" s="109">
        <v>47.0</v>
      </c>
      <c r="AM1660" s="141">
        <v>0.0</v>
      </c>
      <c r="AN1660" s="80">
        <f t="shared" si="4"/>
        <v>80</v>
      </c>
      <c r="AO1660" s="140">
        <v>32.0</v>
      </c>
      <c r="AP1660" s="109">
        <v>19.0</v>
      </c>
      <c r="AQ1660" s="109">
        <v>0.0</v>
      </c>
      <c r="AR1660" s="80">
        <f t="shared" si="5"/>
        <v>51</v>
      </c>
      <c r="AS1660" s="110">
        <v>0.0</v>
      </c>
      <c r="AT1660" s="110">
        <v>0.0</v>
      </c>
      <c r="AU1660" s="110">
        <v>0.0</v>
      </c>
      <c r="AV1660" s="142">
        <v>0.0</v>
      </c>
      <c r="AW1660" s="80">
        <f t="shared" si="6"/>
        <v>0</v>
      </c>
      <c r="AX1660" s="113">
        <f t="shared" si="7"/>
        <v>131</v>
      </c>
      <c r="AY1660" s="117">
        <f t="shared" si="8"/>
        <v>131</v>
      </c>
      <c r="AZ1660" s="120">
        <f t="shared" si="9"/>
        <v>0</v>
      </c>
      <c r="BA1660" s="115">
        <v>0.0</v>
      </c>
      <c r="BB1660" s="89">
        <f t="shared" si="10"/>
        <v>131</v>
      </c>
      <c r="BC1660" s="132" t="s">
        <v>563</v>
      </c>
      <c r="BD1660" s="132" t="s">
        <v>178</v>
      </c>
      <c r="BE1660" s="132" t="s">
        <v>178</v>
      </c>
      <c r="BF1660" s="156"/>
      <c r="BG1660" s="83">
        <v>1179538.0</v>
      </c>
      <c r="BH1660" s="112"/>
      <c r="BI1660" s="112">
        <v>2.0</v>
      </c>
      <c r="BJ1660" s="98" t="s">
        <v>155</v>
      </c>
      <c r="BK1660" s="99">
        <f t="shared" si="11"/>
        <v>0</v>
      </c>
      <c r="BL1660" s="99">
        <f t="shared" si="12"/>
        <v>131</v>
      </c>
      <c r="BM1660" s="99" t="str">
        <f>IFERROR(__xludf.DUMMYFUNCTION("IFERROR(VLOOKUP(BG1660,IMPORTRANGE(""https://docs.google.com/spreadsheets/d/1juPI-Fb8LD0YtltB2mlGEnp_R3UVu1t3wSFPzgCyHXE/edit?gid=0#gid=0"",""GERAL!A2:C""),3,0),""-"")"),"-")</f>
        <v>-</v>
      </c>
    </row>
    <row r="1661" ht="15.75" customHeight="1">
      <c r="A1661" s="111" t="s">
        <v>1842</v>
      </c>
      <c r="B1661" s="83" t="s">
        <v>9378</v>
      </c>
      <c r="C1661" s="83" t="s">
        <v>68</v>
      </c>
      <c r="D1661" s="112">
        <v>1112890.0</v>
      </c>
      <c r="E1661" s="83"/>
      <c r="F1661" s="83">
        <v>2.9319358E7</v>
      </c>
      <c r="G1661" s="114" t="s">
        <v>9379</v>
      </c>
      <c r="H1661" s="91" t="s">
        <v>9380</v>
      </c>
      <c r="I1661" s="136" t="s">
        <v>149</v>
      </c>
      <c r="J1661" s="83" t="s">
        <v>150</v>
      </c>
      <c r="K1661" s="83" t="s">
        <v>3467</v>
      </c>
      <c r="L1661" s="82" t="s">
        <v>76</v>
      </c>
      <c r="M1661" s="82" t="str">
        <f>IFERROR(__xludf.DUMMYFUNCTION("IFERROR(VLOOKUP(D1661,
IMPORTRANGE(""https://docs.google.com/spreadsheets/d/1MjHtlUikwobi2MaWJgy7tfLeBmhj1u-dRFRs_8GwSoA/edit#gid=0"",""Gestores Escolares!D7:J""),3,0),""VERIFICAR CÓD SEC"")")," JOARA NASCIMENTO BARBOSA")</f>
        <v> JOARA NASCIMENTO BARBOSA</v>
      </c>
      <c r="N1661" s="82" t="str">
        <f>IFERROR(__xludf.DUMMYFUNCTION("IFERROR(VLOOKUP(D1661,
IMPORTRANGE(""https://docs.google.com/spreadsheets/d/1MjHtlUikwobi2MaWJgy7tfLeBmhj1u-dRFRs_8GwSoA/edit#gid=0"",""Gestores Escolares!D7:J""),4,0),""VERIFICAR CÓD SEC"")"),"(73) 9 8128-6432")</f>
        <v>(73) 9 8128-6432</v>
      </c>
      <c r="O1661" s="82" t="str">
        <f>IFERROR(__xludf.DUMMYFUNCTION("IFERROR(VLOOKUP(D1661,
IMPORTRANGE(""https://docs.google.com/spreadsheets/d/1MjHtlUikwobi2MaWJgy7tfLeBmhj1u-dRFRs_8GwSoA/edit#gid=0"",""Gestores Escolares!D7:J""),6,0),""VERIFICAR CÓD SEC"")"),"")</f>
        <v/>
      </c>
      <c r="P1661" s="82" t="str">
        <f>IFERROR(__xludf.DUMMYFUNCTION("IFERROR(VLOOKUP(D1661,
IMPORTRANGE(""https://docs.google.com/spreadsheets/d/1MjHtlUikwobi2MaWJgy7tfLeBmhj1u-dRFRs_8GwSoA/edit#gid=0"",""Gestores Escolares!D7:J""),7,0),""VERIFICAR CÓD SEC"")"),"")</f>
        <v/>
      </c>
      <c r="Q1661" s="82" t="str">
        <f>IFERROR(__xludf.DUMMYFUNCTION("IFERROR(VLOOKUP(D1661,
IMPORTRANGE(""https://docs.google.com/spreadsheets/d/1MjHtlUikwobi2MaWJgy7tfLeBmhj1u-dRFRs_8GwSoA/edit#gid=0"",""Gestores Escolares!D7:m""),9,0),""VERIFICAR CÓD SEC"")"),"")</f>
        <v/>
      </c>
      <c r="R1661" s="82" t="str">
        <f>IFERROR(__xludf.DUMMYFUNCTION("IFERROR(VLOOKUP(D1661,
IMPORTRANGE(""https://docs.google.com/spreadsheets/d/1MjHtlUikwobi2MaWJgy7tfLeBmhj1u-dRFRs_8GwSoA/edit#gid=0"",""Gestores Escolares!D7:m""),10,0),""VERIFICAR CÓD SEC"")"),"")</f>
        <v/>
      </c>
      <c r="S1661" s="82"/>
      <c r="T1661" s="138">
        <v>8.0</v>
      </c>
      <c r="U1661" s="145" t="s">
        <v>13946</v>
      </c>
      <c r="V1661" s="106">
        <v>0.0</v>
      </c>
      <c r="W1661" s="107">
        <v>0.0</v>
      </c>
      <c r="X1661" s="107">
        <v>0.0</v>
      </c>
      <c r="Y1661" s="107">
        <v>0.0</v>
      </c>
      <c r="Z1661" s="80">
        <f t="shared" si="1"/>
        <v>0</v>
      </c>
      <c r="AA1661" s="106">
        <v>0.0</v>
      </c>
      <c r="AB1661" s="107">
        <v>0.0</v>
      </c>
      <c r="AC1661" s="107">
        <v>0.0</v>
      </c>
      <c r="AD1661" s="107">
        <v>0.0</v>
      </c>
      <c r="AE1661" s="80">
        <f t="shared" si="2"/>
        <v>0</v>
      </c>
      <c r="AF1661" s="140">
        <v>208.0</v>
      </c>
      <c r="AG1661" s="109">
        <v>29.0</v>
      </c>
      <c r="AH1661" s="109">
        <v>0.0</v>
      </c>
      <c r="AI1661" s="141">
        <v>0.0</v>
      </c>
      <c r="AJ1661" s="80">
        <f t="shared" si="3"/>
        <v>237</v>
      </c>
      <c r="AK1661" s="140">
        <v>0.0</v>
      </c>
      <c r="AL1661" s="109">
        <v>0.0</v>
      </c>
      <c r="AM1661" s="141">
        <v>0.0</v>
      </c>
      <c r="AN1661" s="80">
        <f t="shared" si="4"/>
        <v>0</v>
      </c>
      <c r="AO1661" s="140">
        <v>0.0</v>
      </c>
      <c r="AP1661" s="109">
        <v>0.0</v>
      </c>
      <c r="AQ1661" s="109">
        <v>94.0</v>
      </c>
      <c r="AR1661" s="80">
        <f t="shared" si="5"/>
        <v>94</v>
      </c>
      <c r="AS1661" s="110">
        <v>62.0</v>
      </c>
      <c r="AT1661" s="110">
        <v>0.0</v>
      </c>
      <c r="AU1661" s="110">
        <v>0.0</v>
      </c>
      <c r="AV1661" s="142">
        <v>0.0</v>
      </c>
      <c r="AW1661" s="80">
        <f t="shared" si="6"/>
        <v>62</v>
      </c>
      <c r="AX1661" s="113">
        <f t="shared" si="7"/>
        <v>393</v>
      </c>
      <c r="AY1661" s="117">
        <f t="shared" si="8"/>
        <v>299</v>
      </c>
      <c r="AZ1661" s="120">
        <f t="shared" si="9"/>
        <v>94</v>
      </c>
      <c r="BA1661" s="115">
        <v>0.0</v>
      </c>
      <c r="BB1661" s="89">
        <f t="shared" si="10"/>
        <v>393</v>
      </c>
      <c r="BC1661" s="132" t="s">
        <v>178</v>
      </c>
      <c r="BD1661" s="132" t="s">
        <v>178</v>
      </c>
      <c r="BE1661" s="132" t="s">
        <v>178</v>
      </c>
      <c r="BF1661" s="123"/>
      <c r="BG1661" s="83">
        <v>1112890.0</v>
      </c>
      <c r="BH1661" s="98" t="s">
        <v>9384</v>
      </c>
      <c r="BI1661" s="112">
        <v>7.0</v>
      </c>
      <c r="BJ1661" s="98" t="s">
        <v>155</v>
      </c>
      <c r="BK1661" s="99">
        <f t="shared" si="11"/>
        <v>0</v>
      </c>
      <c r="BL1661" s="99">
        <f t="shared" si="12"/>
        <v>299</v>
      </c>
      <c r="BM1661" s="99" t="str">
        <f>IFERROR(__xludf.DUMMYFUNCTION("IFERROR(VLOOKUP(BG1661,IMPORTRANGE(""https://docs.google.com/spreadsheets/d/1juPI-Fb8LD0YtltB2mlGEnp_R3UVu1t3wSFPzgCyHXE/edit?gid=0#gid=0"",""GERAL!A2:C""),3,0),""-"")"),"-")</f>
        <v>-</v>
      </c>
    </row>
    <row r="1662" ht="15.75" customHeight="1">
      <c r="A1662" s="111" t="s">
        <v>1842</v>
      </c>
      <c r="B1662" s="83" t="s">
        <v>9378</v>
      </c>
      <c r="C1662" s="83" t="s">
        <v>164</v>
      </c>
      <c r="D1662" s="112">
        <v>1112890.0</v>
      </c>
      <c r="E1662" s="83">
        <v>1178512.0</v>
      </c>
      <c r="F1662" s="98">
        <v>2.9492513E7</v>
      </c>
      <c r="G1662" s="114" t="s">
        <v>9388</v>
      </c>
      <c r="H1662" s="91" t="s">
        <v>9389</v>
      </c>
      <c r="I1662" s="136" t="s">
        <v>149</v>
      </c>
      <c r="J1662" s="83" t="s">
        <v>9390</v>
      </c>
      <c r="K1662" s="98" t="s">
        <v>151</v>
      </c>
      <c r="L1662" s="82" t="s">
        <v>169</v>
      </c>
      <c r="M1662" s="82" t="str">
        <f>IFERROR(__xludf.DUMMYFUNCTION("IFERROR(VLOOKUP(D1662,
IMPORTRANGE(""https://docs.google.com/spreadsheets/d/1MjHtlUikwobi2MaWJgy7tfLeBmhj1u-dRFRs_8GwSoA/edit#gid=0"",""Gestores Escolares!D7:J""),3,0),""VERIFICAR CÓD SEC"")")," JOARA NASCIMENTO BARBOSA")</f>
        <v> JOARA NASCIMENTO BARBOSA</v>
      </c>
      <c r="N1662" s="82" t="str">
        <f>IFERROR(__xludf.DUMMYFUNCTION("IFERROR(VLOOKUP(D1662,
IMPORTRANGE(""https://docs.google.com/spreadsheets/d/1MjHtlUikwobi2MaWJgy7tfLeBmhj1u-dRFRs_8GwSoA/edit#gid=0"",""Gestores Escolares!D7:J""),4,0),""VERIFICAR CÓD SEC"")"),"(73) 9 8128-6432")</f>
        <v>(73) 9 8128-6432</v>
      </c>
      <c r="O1662" s="82" t="str">
        <f>IFERROR(__xludf.DUMMYFUNCTION("IFERROR(VLOOKUP(D1662,
IMPORTRANGE(""https://docs.google.com/spreadsheets/d/1MjHtlUikwobi2MaWJgy7tfLeBmhj1u-dRFRs_8GwSoA/edit#gid=0"",""Gestores Escolares!D7:J""),6,0),""VERIFICAR CÓD SEC"")"),"")</f>
        <v/>
      </c>
      <c r="P1662" s="82" t="str">
        <f>IFERROR(__xludf.DUMMYFUNCTION("IFERROR(VLOOKUP(D1662,
IMPORTRANGE(""https://docs.google.com/spreadsheets/d/1MjHtlUikwobi2MaWJgy7tfLeBmhj1u-dRFRs_8GwSoA/edit#gid=0"",""Gestores Escolares!D7:J""),7,0),""VERIFICAR CÓD SEC"")"),"")</f>
        <v/>
      </c>
      <c r="Q1662" s="82" t="str">
        <f>IFERROR(__xludf.DUMMYFUNCTION("IFERROR(VLOOKUP(D1662,
IMPORTRANGE(""https://docs.google.com/spreadsheets/d/1MjHtlUikwobi2MaWJgy7tfLeBmhj1u-dRFRs_8GwSoA/edit#gid=0"",""Gestores Escolares!D7:m""),9,0),""VERIFICAR CÓD SEC"")"),"")</f>
        <v/>
      </c>
      <c r="R1662" s="82" t="str">
        <f>IFERROR(__xludf.DUMMYFUNCTION("IFERROR(VLOOKUP(D1662,
IMPORTRANGE(""https://docs.google.com/spreadsheets/d/1MjHtlUikwobi2MaWJgy7tfLeBmhj1u-dRFRs_8GwSoA/edit#gid=0"",""Gestores Escolares!D7:m""),10,0),""VERIFICAR CÓD SEC"")"),"")</f>
        <v/>
      </c>
      <c r="S1662" s="82"/>
      <c r="T1662" s="138">
        <v>3.0</v>
      </c>
      <c r="U1662" s="139">
        <v>3.0</v>
      </c>
      <c r="V1662" s="106">
        <v>0.0</v>
      </c>
      <c r="W1662" s="107">
        <v>0.0</v>
      </c>
      <c r="X1662" s="107">
        <v>0.0</v>
      </c>
      <c r="Y1662" s="107">
        <v>0.0</v>
      </c>
      <c r="Z1662" s="80">
        <f t="shared" si="1"/>
        <v>0</v>
      </c>
      <c r="AA1662" s="106">
        <v>0.0</v>
      </c>
      <c r="AB1662" s="107">
        <v>0.0</v>
      </c>
      <c r="AC1662" s="107">
        <v>0.0</v>
      </c>
      <c r="AD1662" s="107">
        <v>0.0</v>
      </c>
      <c r="AE1662" s="80">
        <f t="shared" si="2"/>
        <v>0</v>
      </c>
      <c r="AF1662" s="140">
        <v>0.0</v>
      </c>
      <c r="AG1662" s="109">
        <v>0.0</v>
      </c>
      <c r="AH1662" s="109">
        <v>0.0</v>
      </c>
      <c r="AI1662" s="141">
        <v>0.0</v>
      </c>
      <c r="AJ1662" s="80">
        <f t="shared" si="3"/>
        <v>0</v>
      </c>
      <c r="AK1662" s="140">
        <v>0.0</v>
      </c>
      <c r="AL1662" s="109">
        <v>0.0</v>
      </c>
      <c r="AM1662" s="141">
        <v>0.0</v>
      </c>
      <c r="AN1662" s="80">
        <f t="shared" si="4"/>
        <v>0</v>
      </c>
      <c r="AO1662" s="140">
        <v>0.0</v>
      </c>
      <c r="AP1662" s="109">
        <v>0.0</v>
      </c>
      <c r="AQ1662" s="109">
        <v>38.0</v>
      </c>
      <c r="AR1662" s="80">
        <f t="shared" si="5"/>
        <v>38</v>
      </c>
      <c r="AS1662" s="110">
        <v>0.0</v>
      </c>
      <c r="AT1662" s="110">
        <v>0.0</v>
      </c>
      <c r="AU1662" s="110">
        <v>0.0</v>
      </c>
      <c r="AV1662" s="142">
        <v>0.0</v>
      </c>
      <c r="AW1662" s="80">
        <f t="shared" si="6"/>
        <v>0</v>
      </c>
      <c r="AX1662" s="113">
        <f t="shared" si="7"/>
        <v>38</v>
      </c>
      <c r="AY1662" s="117">
        <f t="shared" si="8"/>
        <v>0</v>
      </c>
      <c r="AZ1662" s="120">
        <f t="shared" si="9"/>
        <v>38</v>
      </c>
      <c r="BA1662" s="115">
        <v>0.0</v>
      </c>
      <c r="BB1662" s="89">
        <f t="shared" si="10"/>
        <v>38</v>
      </c>
      <c r="BC1662" s="132" t="s">
        <v>373</v>
      </c>
      <c r="BD1662" s="132" t="s">
        <v>178</v>
      </c>
      <c r="BE1662" s="132" t="s">
        <v>178</v>
      </c>
      <c r="BF1662" s="123"/>
      <c r="BG1662" s="83">
        <v>1178512.0</v>
      </c>
      <c r="BH1662" s="98" t="s">
        <v>9391</v>
      </c>
      <c r="BI1662" s="112">
        <v>3.0</v>
      </c>
      <c r="BJ1662" s="98" t="s">
        <v>155</v>
      </c>
      <c r="BK1662" s="99">
        <f t="shared" si="11"/>
        <v>0</v>
      </c>
      <c r="BL1662" s="99">
        <f t="shared" si="12"/>
        <v>0</v>
      </c>
      <c r="BM1662" s="99" t="str">
        <f>IFERROR(__xludf.DUMMYFUNCTION("IFERROR(VLOOKUP(BG1662,IMPORTRANGE(""https://docs.google.com/spreadsheets/d/1juPI-Fb8LD0YtltB2mlGEnp_R3UVu1t3wSFPzgCyHXE/edit?gid=0#gid=0"",""GERAL!A2:C""),3,0),""-"")"),"CAMPO")</f>
        <v>CAMPO</v>
      </c>
    </row>
    <row r="1663" ht="15.75" customHeight="1">
      <c r="A1663" s="111" t="s">
        <v>1842</v>
      </c>
      <c r="B1663" s="83" t="s">
        <v>9378</v>
      </c>
      <c r="C1663" s="83" t="s">
        <v>164</v>
      </c>
      <c r="D1663" s="112">
        <v>1112890.0</v>
      </c>
      <c r="E1663" s="83">
        <v>1178511.0</v>
      </c>
      <c r="F1663" s="98">
        <v>2.9492505E7</v>
      </c>
      <c r="G1663" s="114" t="s">
        <v>9398</v>
      </c>
      <c r="H1663" s="91" t="s">
        <v>9399</v>
      </c>
      <c r="I1663" s="136" t="s">
        <v>9400</v>
      </c>
      <c r="J1663" s="83" t="s">
        <v>702</v>
      </c>
      <c r="K1663" s="83" t="s">
        <v>168</v>
      </c>
      <c r="L1663" s="83" t="s">
        <v>169</v>
      </c>
      <c r="M1663" s="82" t="str">
        <f>IFERROR(__xludf.DUMMYFUNCTION("IFERROR(VLOOKUP(D1663,
IMPORTRANGE(""https://docs.google.com/spreadsheets/d/1MjHtlUikwobi2MaWJgy7tfLeBmhj1u-dRFRs_8GwSoA/edit#gid=0"",""Gestores Escolares!D7:J""),3,0),""VERIFICAR CÓD SEC"")")," JOARA NASCIMENTO BARBOSA")</f>
        <v> JOARA NASCIMENTO BARBOSA</v>
      </c>
      <c r="N1663" s="82" t="str">
        <f>IFERROR(__xludf.DUMMYFUNCTION("IFERROR(VLOOKUP(D1663,
IMPORTRANGE(""https://docs.google.com/spreadsheets/d/1MjHtlUikwobi2MaWJgy7tfLeBmhj1u-dRFRs_8GwSoA/edit#gid=0"",""Gestores Escolares!D7:J""),4,0),""VERIFICAR CÓD SEC"")"),"(73) 9 8128-6432")</f>
        <v>(73) 9 8128-6432</v>
      </c>
      <c r="O1663" s="82" t="str">
        <f>IFERROR(__xludf.DUMMYFUNCTION("IFERROR(VLOOKUP(D1663,
IMPORTRANGE(""https://docs.google.com/spreadsheets/d/1MjHtlUikwobi2MaWJgy7tfLeBmhj1u-dRFRs_8GwSoA/edit#gid=0"",""Gestores Escolares!D7:J""),6,0),""VERIFICAR CÓD SEC"")"),"")</f>
        <v/>
      </c>
      <c r="P1663" s="82" t="str">
        <f>IFERROR(__xludf.DUMMYFUNCTION("IFERROR(VLOOKUP(D1663,
IMPORTRANGE(""https://docs.google.com/spreadsheets/d/1MjHtlUikwobi2MaWJgy7tfLeBmhj1u-dRFRs_8GwSoA/edit#gid=0"",""Gestores Escolares!D7:J""),7,0),""VERIFICAR CÓD SEC"")"),"")</f>
        <v/>
      </c>
      <c r="Q1663" s="82" t="str">
        <f>IFERROR(__xludf.DUMMYFUNCTION("IFERROR(VLOOKUP(D1663,
IMPORTRANGE(""https://docs.google.com/spreadsheets/d/1MjHtlUikwobi2MaWJgy7tfLeBmhj1u-dRFRs_8GwSoA/edit#gid=0"",""Gestores Escolares!D7:m""),9,0),""VERIFICAR CÓD SEC"")"),"")</f>
        <v/>
      </c>
      <c r="R1663" s="82" t="str">
        <f>IFERROR(__xludf.DUMMYFUNCTION("IFERROR(VLOOKUP(D1663,
IMPORTRANGE(""https://docs.google.com/spreadsheets/d/1MjHtlUikwobi2MaWJgy7tfLeBmhj1u-dRFRs_8GwSoA/edit#gid=0"",""Gestores Escolares!D7:m""),10,0),""VERIFICAR CÓD SEC"")"),"")</f>
        <v/>
      </c>
      <c r="S1663" s="82"/>
      <c r="T1663" s="138">
        <v>3.0</v>
      </c>
      <c r="U1663" s="139">
        <v>3.0</v>
      </c>
      <c r="V1663" s="106">
        <v>0.0</v>
      </c>
      <c r="W1663" s="107">
        <v>0.0</v>
      </c>
      <c r="X1663" s="107">
        <v>0.0</v>
      </c>
      <c r="Y1663" s="107">
        <v>0.0</v>
      </c>
      <c r="Z1663" s="80">
        <f t="shared" si="1"/>
        <v>0</v>
      </c>
      <c r="AA1663" s="106">
        <v>0.0</v>
      </c>
      <c r="AB1663" s="107">
        <v>0.0</v>
      </c>
      <c r="AC1663" s="107">
        <v>0.0</v>
      </c>
      <c r="AD1663" s="107">
        <v>0.0</v>
      </c>
      <c r="AE1663" s="80">
        <f t="shared" si="2"/>
        <v>0</v>
      </c>
      <c r="AF1663" s="140">
        <v>0.0</v>
      </c>
      <c r="AG1663" s="109">
        <v>0.0</v>
      </c>
      <c r="AH1663" s="109">
        <v>19.0</v>
      </c>
      <c r="AI1663" s="141">
        <v>0.0</v>
      </c>
      <c r="AJ1663" s="80">
        <f t="shared" si="3"/>
        <v>19</v>
      </c>
      <c r="AK1663" s="140">
        <v>0.0</v>
      </c>
      <c r="AL1663" s="109">
        <v>0.0</v>
      </c>
      <c r="AM1663" s="141">
        <v>0.0</v>
      </c>
      <c r="AN1663" s="80">
        <f t="shared" si="4"/>
        <v>0</v>
      </c>
      <c r="AO1663" s="140">
        <v>0.0</v>
      </c>
      <c r="AP1663" s="109">
        <v>0.0</v>
      </c>
      <c r="AQ1663" s="109">
        <v>16.0</v>
      </c>
      <c r="AR1663" s="80">
        <f t="shared" si="5"/>
        <v>16</v>
      </c>
      <c r="AS1663" s="110">
        <v>0.0</v>
      </c>
      <c r="AT1663" s="110">
        <v>0.0</v>
      </c>
      <c r="AU1663" s="110">
        <v>0.0</v>
      </c>
      <c r="AV1663" s="142">
        <v>0.0</v>
      </c>
      <c r="AW1663" s="80">
        <f t="shared" si="6"/>
        <v>0</v>
      </c>
      <c r="AX1663" s="113">
        <f t="shared" si="7"/>
        <v>35</v>
      </c>
      <c r="AY1663" s="117">
        <f t="shared" si="8"/>
        <v>0</v>
      </c>
      <c r="AZ1663" s="120">
        <f t="shared" si="9"/>
        <v>35</v>
      </c>
      <c r="BA1663" s="115">
        <v>0.0</v>
      </c>
      <c r="BB1663" s="89">
        <f t="shared" si="10"/>
        <v>35</v>
      </c>
      <c r="BC1663" s="132" t="s">
        <v>373</v>
      </c>
      <c r="BD1663" s="132" t="s">
        <v>178</v>
      </c>
      <c r="BE1663" s="132" t="s">
        <v>178</v>
      </c>
      <c r="BF1663" s="123"/>
      <c r="BG1663" s="83">
        <v>1178511.0</v>
      </c>
      <c r="BH1663" s="112"/>
      <c r="BI1663" s="112">
        <v>3.0</v>
      </c>
      <c r="BJ1663" s="98" t="s">
        <v>155</v>
      </c>
      <c r="BK1663" s="99">
        <f t="shared" si="11"/>
        <v>0</v>
      </c>
      <c r="BL1663" s="99">
        <f t="shared" si="12"/>
        <v>0</v>
      </c>
      <c r="BM1663" s="99" t="str">
        <f>IFERROR(__xludf.DUMMYFUNCTION("IFERROR(VLOOKUP(BG1663,IMPORTRANGE(""https://docs.google.com/spreadsheets/d/1juPI-Fb8LD0YtltB2mlGEnp_R3UVu1t3wSFPzgCyHXE/edit?gid=0#gid=0"",""GERAL!A2:C""),3,0),""-"")"),"CAMPO")</f>
        <v>CAMPO</v>
      </c>
    </row>
    <row r="1664" ht="15.75" customHeight="1">
      <c r="A1664" s="111" t="s">
        <v>1842</v>
      </c>
      <c r="B1664" s="83" t="s">
        <v>9378</v>
      </c>
      <c r="C1664" s="83" t="s">
        <v>164</v>
      </c>
      <c r="D1664" s="112">
        <v>1112890.0</v>
      </c>
      <c r="E1664" s="83">
        <v>1178513.0</v>
      </c>
      <c r="F1664" s="98">
        <v>2.9492491E7</v>
      </c>
      <c r="G1664" s="114" t="s">
        <v>9401</v>
      </c>
      <c r="H1664" s="91" t="s">
        <v>9402</v>
      </c>
      <c r="I1664" s="136" t="s">
        <v>149</v>
      </c>
      <c r="J1664" s="83" t="s">
        <v>784</v>
      </c>
      <c r="K1664" s="83" t="s">
        <v>168</v>
      </c>
      <c r="L1664" s="83" t="s">
        <v>169</v>
      </c>
      <c r="M1664" s="82" t="str">
        <f>IFERROR(__xludf.DUMMYFUNCTION("IFERROR(VLOOKUP(D1664,
IMPORTRANGE(""https://docs.google.com/spreadsheets/d/1MjHtlUikwobi2MaWJgy7tfLeBmhj1u-dRFRs_8GwSoA/edit#gid=0"",""Gestores Escolares!D7:J""),3,0),""VERIFICAR CÓD SEC"")")," JOARA NASCIMENTO BARBOSA")</f>
        <v> JOARA NASCIMENTO BARBOSA</v>
      </c>
      <c r="N1664" s="82" t="str">
        <f>IFERROR(__xludf.DUMMYFUNCTION("IFERROR(VLOOKUP(D1664,
IMPORTRANGE(""https://docs.google.com/spreadsheets/d/1MjHtlUikwobi2MaWJgy7tfLeBmhj1u-dRFRs_8GwSoA/edit#gid=0"",""Gestores Escolares!D7:J""),4,0),""VERIFICAR CÓD SEC"")"),"(73) 9 8128-6432")</f>
        <v>(73) 9 8128-6432</v>
      </c>
      <c r="O1664" s="82" t="str">
        <f>IFERROR(__xludf.DUMMYFUNCTION("IFERROR(VLOOKUP(D1664,
IMPORTRANGE(""https://docs.google.com/spreadsheets/d/1MjHtlUikwobi2MaWJgy7tfLeBmhj1u-dRFRs_8GwSoA/edit#gid=0"",""Gestores Escolares!D7:J""),6,0),""VERIFICAR CÓD SEC"")"),"")</f>
        <v/>
      </c>
      <c r="P1664" s="82" t="str">
        <f>IFERROR(__xludf.DUMMYFUNCTION("IFERROR(VLOOKUP(D1664,
IMPORTRANGE(""https://docs.google.com/spreadsheets/d/1MjHtlUikwobi2MaWJgy7tfLeBmhj1u-dRFRs_8GwSoA/edit#gid=0"",""Gestores Escolares!D7:J""),7,0),""VERIFICAR CÓD SEC"")"),"")</f>
        <v/>
      </c>
      <c r="Q1664" s="82" t="str">
        <f>IFERROR(__xludf.DUMMYFUNCTION("IFERROR(VLOOKUP(D1664,
IMPORTRANGE(""https://docs.google.com/spreadsheets/d/1MjHtlUikwobi2MaWJgy7tfLeBmhj1u-dRFRs_8GwSoA/edit#gid=0"",""Gestores Escolares!D7:m""),9,0),""VERIFICAR CÓD SEC"")"),"")</f>
        <v/>
      </c>
      <c r="R1664" s="82" t="str">
        <f>IFERROR(__xludf.DUMMYFUNCTION("IFERROR(VLOOKUP(D1664,
IMPORTRANGE(""https://docs.google.com/spreadsheets/d/1MjHtlUikwobi2MaWJgy7tfLeBmhj1u-dRFRs_8GwSoA/edit#gid=0"",""Gestores Escolares!D7:m""),10,0),""VERIFICAR CÓD SEC"")"),"")</f>
        <v/>
      </c>
      <c r="S1664" s="82"/>
      <c r="T1664" s="138">
        <v>3.0</v>
      </c>
      <c r="U1664" s="139">
        <v>3.0</v>
      </c>
      <c r="V1664" s="106">
        <v>0.0</v>
      </c>
      <c r="W1664" s="107">
        <v>0.0</v>
      </c>
      <c r="X1664" s="107">
        <v>0.0</v>
      </c>
      <c r="Y1664" s="107">
        <v>0.0</v>
      </c>
      <c r="Z1664" s="80">
        <f t="shared" si="1"/>
        <v>0</v>
      </c>
      <c r="AA1664" s="106">
        <v>0.0</v>
      </c>
      <c r="AB1664" s="107">
        <v>0.0</v>
      </c>
      <c r="AC1664" s="107">
        <v>0.0</v>
      </c>
      <c r="AD1664" s="107">
        <v>0.0</v>
      </c>
      <c r="AE1664" s="80">
        <f t="shared" si="2"/>
        <v>0</v>
      </c>
      <c r="AF1664" s="140">
        <v>0.0</v>
      </c>
      <c r="AG1664" s="109">
        <v>57.0</v>
      </c>
      <c r="AH1664" s="109">
        <v>0.0</v>
      </c>
      <c r="AI1664" s="141">
        <v>0.0</v>
      </c>
      <c r="AJ1664" s="80">
        <f t="shared" si="3"/>
        <v>57</v>
      </c>
      <c r="AK1664" s="140">
        <v>0.0</v>
      </c>
      <c r="AL1664" s="109">
        <v>0.0</v>
      </c>
      <c r="AM1664" s="141">
        <v>0.0</v>
      </c>
      <c r="AN1664" s="80">
        <f t="shared" si="4"/>
        <v>0</v>
      </c>
      <c r="AO1664" s="140">
        <v>0.0</v>
      </c>
      <c r="AP1664" s="109">
        <v>0.0</v>
      </c>
      <c r="AQ1664" s="109">
        <v>27.0</v>
      </c>
      <c r="AR1664" s="80">
        <f t="shared" si="5"/>
        <v>27</v>
      </c>
      <c r="AS1664" s="110">
        <v>0.0</v>
      </c>
      <c r="AT1664" s="110">
        <v>0.0</v>
      </c>
      <c r="AU1664" s="110">
        <v>0.0</v>
      </c>
      <c r="AV1664" s="142">
        <v>0.0</v>
      </c>
      <c r="AW1664" s="80">
        <f t="shared" si="6"/>
        <v>0</v>
      </c>
      <c r="AX1664" s="113">
        <f t="shared" si="7"/>
        <v>84</v>
      </c>
      <c r="AY1664" s="117">
        <f t="shared" si="8"/>
        <v>57</v>
      </c>
      <c r="AZ1664" s="120">
        <f t="shared" si="9"/>
        <v>27</v>
      </c>
      <c r="BA1664" s="115">
        <v>0.0</v>
      </c>
      <c r="BB1664" s="89">
        <f t="shared" si="10"/>
        <v>84</v>
      </c>
      <c r="BC1664" s="132" t="s">
        <v>373</v>
      </c>
      <c r="BD1664" s="132" t="s">
        <v>178</v>
      </c>
      <c r="BE1664" s="132" t="s">
        <v>178</v>
      </c>
      <c r="BF1664" s="123"/>
      <c r="BG1664" s="83">
        <v>1178513.0</v>
      </c>
      <c r="BH1664" s="112"/>
      <c r="BI1664" s="112">
        <v>3.0</v>
      </c>
      <c r="BJ1664" s="98" t="s">
        <v>155</v>
      </c>
      <c r="BK1664" s="99">
        <f t="shared" si="11"/>
        <v>0</v>
      </c>
      <c r="BL1664" s="99">
        <f t="shared" si="12"/>
        <v>57</v>
      </c>
      <c r="BM1664" s="99" t="str">
        <f>IFERROR(__xludf.DUMMYFUNCTION("IFERROR(VLOOKUP(BG1664,IMPORTRANGE(""https://docs.google.com/spreadsheets/d/1juPI-Fb8LD0YtltB2mlGEnp_R3UVu1t3wSFPzgCyHXE/edit?gid=0#gid=0"",""GERAL!A2:C""),3,0),""-"")"),"CAMPO")</f>
        <v>CAMPO</v>
      </c>
    </row>
    <row r="1665" ht="15.75" customHeight="1">
      <c r="A1665" s="111" t="s">
        <v>1842</v>
      </c>
      <c r="B1665" s="83" t="s">
        <v>9378</v>
      </c>
      <c r="C1665" s="83" t="s">
        <v>164</v>
      </c>
      <c r="D1665" s="112">
        <v>1112890.0</v>
      </c>
      <c r="E1665" s="83">
        <v>1178328.0</v>
      </c>
      <c r="F1665" s="98">
        <v>2.9492483E7</v>
      </c>
      <c r="G1665" s="114" t="s">
        <v>9409</v>
      </c>
      <c r="H1665" s="91" t="s">
        <v>9410</v>
      </c>
      <c r="I1665" s="136" t="s">
        <v>149</v>
      </c>
      <c r="J1665" s="83" t="s">
        <v>9390</v>
      </c>
      <c r="K1665" s="83" t="s">
        <v>168</v>
      </c>
      <c r="L1665" s="83" t="s">
        <v>169</v>
      </c>
      <c r="M1665" s="82" t="str">
        <f>IFERROR(__xludf.DUMMYFUNCTION("IFERROR(VLOOKUP(D1665,
IMPORTRANGE(""https://docs.google.com/spreadsheets/d/1MjHtlUikwobi2MaWJgy7tfLeBmhj1u-dRFRs_8GwSoA/edit#gid=0"",""Gestores Escolares!D7:J""),3,0),""VERIFICAR CÓD SEC"")")," JOARA NASCIMENTO BARBOSA")</f>
        <v> JOARA NASCIMENTO BARBOSA</v>
      </c>
      <c r="N1665" s="82" t="str">
        <f>IFERROR(__xludf.DUMMYFUNCTION("IFERROR(VLOOKUP(D1665,
IMPORTRANGE(""https://docs.google.com/spreadsheets/d/1MjHtlUikwobi2MaWJgy7tfLeBmhj1u-dRFRs_8GwSoA/edit#gid=0"",""Gestores Escolares!D7:J""),4,0),""VERIFICAR CÓD SEC"")"),"(73) 9 8128-6432")</f>
        <v>(73) 9 8128-6432</v>
      </c>
      <c r="O1665" s="82" t="str">
        <f>IFERROR(__xludf.DUMMYFUNCTION("IFERROR(VLOOKUP(D1665,
IMPORTRANGE(""https://docs.google.com/spreadsheets/d/1MjHtlUikwobi2MaWJgy7tfLeBmhj1u-dRFRs_8GwSoA/edit#gid=0"",""Gestores Escolares!D7:J""),6,0),""VERIFICAR CÓD SEC"")"),"")</f>
        <v/>
      </c>
      <c r="P1665" s="82" t="str">
        <f>IFERROR(__xludf.DUMMYFUNCTION("IFERROR(VLOOKUP(D1665,
IMPORTRANGE(""https://docs.google.com/spreadsheets/d/1MjHtlUikwobi2MaWJgy7tfLeBmhj1u-dRFRs_8GwSoA/edit#gid=0"",""Gestores Escolares!D7:J""),7,0),""VERIFICAR CÓD SEC"")"),"")</f>
        <v/>
      </c>
      <c r="Q1665" s="82" t="str">
        <f>IFERROR(__xludf.DUMMYFUNCTION("IFERROR(VLOOKUP(D1665,
IMPORTRANGE(""https://docs.google.com/spreadsheets/d/1MjHtlUikwobi2MaWJgy7tfLeBmhj1u-dRFRs_8GwSoA/edit#gid=0"",""Gestores Escolares!D7:m""),9,0),""VERIFICAR CÓD SEC"")"),"")</f>
        <v/>
      </c>
      <c r="R1665" s="82" t="str">
        <f>IFERROR(__xludf.DUMMYFUNCTION("IFERROR(VLOOKUP(D1665,
IMPORTRANGE(""https://docs.google.com/spreadsheets/d/1MjHtlUikwobi2MaWJgy7tfLeBmhj1u-dRFRs_8GwSoA/edit#gid=0"",""Gestores Escolares!D7:m""),10,0),""VERIFICAR CÓD SEC"")"),"")</f>
        <v/>
      </c>
      <c r="S1665" s="82"/>
      <c r="T1665" s="138">
        <v>3.0</v>
      </c>
      <c r="U1665" s="139">
        <v>3.0</v>
      </c>
      <c r="V1665" s="106">
        <v>0.0</v>
      </c>
      <c r="W1665" s="107">
        <v>0.0</v>
      </c>
      <c r="X1665" s="107">
        <v>0.0</v>
      </c>
      <c r="Y1665" s="107">
        <v>0.0</v>
      </c>
      <c r="Z1665" s="80">
        <f t="shared" si="1"/>
        <v>0</v>
      </c>
      <c r="AA1665" s="106">
        <v>0.0</v>
      </c>
      <c r="AB1665" s="107">
        <v>0.0</v>
      </c>
      <c r="AC1665" s="107">
        <v>0.0</v>
      </c>
      <c r="AD1665" s="107">
        <v>0.0</v>
      </c>
      <c r="AE1665" s="80">
        <f t="shared" si="2"/>
        <v>0</v>
      </c>
      <c r="AF1665" s="140">
        <v>0.0</v>
      </c>
      <c r="AG1665" s="109">
        <v>0.0</v>
      </c>
      <c r="AH1665" s="109">
        <v>0.0</v>
      </c>
      <c r="AI1665" s="141">
        <v>0.0</v>
      </c>
      <c r="AJ1665" s="80">
        <f t="shared" si="3"/>
        <v>0</v>
      </c>
      <c r="AK1665" s="140">
        <v>0.0</v>
      </c>
      <c r="AL1665" s="109">
        <v>0.0</v>
      </c>
      <c r="AM1665" s="141">
        <v>0.0</v>
      </c>
      <c r="AN1665" s="80">
        <f t="shared" si="4"/>
        <v>0</v>
      </c>
      <c r="AO1665" s="140">
        <v>0.0</v>
      </c>
      <c r="AP1665" s="109">
        <v>0.0</v>
      </c>
      <c r="AQ1665" s="109">
        <v>23.0</v>
      </c>
      <c r="AR1665" s="80">
        <f t="shared" si="5"/>
        <v>23</v>
      </c>
      <c r="AS1665" s="110">
        <v>0.0</v>
      </c>
      <c r="AT1665" s="110">
        <v>0.0</v>
      </c>
      <c r="AU1665" s="110">
        <v>0.0</v>
      </c>
      <c r="AV1665" s="142">
        <v>0.0</v>
      </c>
      <c r="AW1665" s="80">
        <f t="shared" si="6"/>
        <v>0</v>
      </c>
      <c r="AX1665" s="113">
        <f t="shared" si="7"/>
        <v>23</v>
      </c>
      <c r="AY1665" s="117">
        <f t="shared" si="8"/>
        <v>0</v>
      </c>
      <c r="AZ1665" s="120">
        <f t="shared" si="9"/>
        <v>23</v>
      </c>
      <c r="BA1665" s="115">
        <v>0.0</v>
      </c>
      <c r="BB1665" s="89">
        <f t="shared" si="10"/>
        <v>23</v>
      </c>
      <c r="BC1665" s="132" t="s">
        <v>373</v>
      </c>
      <c r="BD1665" s="132" t="s">
        <v>178</v>
      </c>
      <c r="BE1665" s="132" t="s">
        <v>178</v>
      </c>
      <c r="BF1665" s="123"/>
      <c r="BG1665" s="83">
        <v>1178328.0</v>
      </c>
      <c r="BH1665" s="112"/>
      <c r="BI1665" s="112">
        <v>3.0</v>
      </c>
      <c r="BJ1665" s="98" t="s">
        <v>155</v>
      </c>
      <c r="BK1665" s="99">
        <f t="shared" si="11"/>
        <v>0</v>
      </c>
      <c r="BL1665" s="99">
        <f t="shared" si="12"/>
        <v>0</v>
      </c>
      <c r="BM1665" s="99" t="str">
        <f>IFERROR(__xludf.DUMMYFUNCTION("IFERROR(VLOOKUP(BG1665,IMPORTRANGE(""https://docs.google.com/spreadsheets/d/1juPI-Fb8LD0YtltB2mlGEnp_R3UVu1t3wSFPzgCyHXE/edit?gid=0#gid=0"",""GERAL!A2:C""),3,0),""-"")"),"CAMPO")</f>
        <v>CAMPO</v>
      </c>
    </row>
    <row r="1666" ht="15.75" customHeight="1">
      <c r="A1666" s="111" t="s">
        <v>1842</v>
      </c>
      <c r="B1666" s="83" t="s">
        <v>9378</v>
      </c>
      <c r="C1666" s="83" t="s">
        <v>164</v>
      </c>
      <c r="D1666" s="112">
        <v>1112890.0</v>
      </c>
      <c r="E1666" s="83">
        <v>1179182.0</v>
      </c>
      <c r="F1666" s="98">
        <v>2.9492475E7</v>
      </c>
      <c r="G1666" s="114" t="s">
        <v>9414</v>
      </c>
      <c r="H1666" s="91" t="s">
        <v>9415</v>
      </c>
      <c r="I1666" s="136" t="s">
        <v>149</v>
      </c>
      <c r="J1666" s="83" t="s">
        <v>187</v>
      </c>
      <c r="K1666" s="83" t="s">
        <v>168</v>
      </c>
      <c r="L1666" s="83" t="s">
        <v>169</v>
      </c>
      <c r="M1666" s="82" t="str">
        <f>IFERROR(__xludf.DUMMYFUNCTION("IFERROR(VLOOKUP(D1666,
IMPORTRANGE(""https://docs.google.com/spreadsheets/d/1MjHtlUikwobi2MaWJgy7tfLeBmhj1u-dRFRs_8GwSoA/edit#gid=0"",""Gestores Escolares!D7:J""),3,0),""VERIFICAR CÓD SEC"")")," JOARA NASCIMENTO BARBOSA")</f>
        <v> JOARA NASCIMENTO BARBOSA</v>
      </c>
      <c r="N1666" s="82" t="str">
        <f>IFERROR(__xludf.DUMMYFUNCTION("IFERROR(VLOOKUP(D1666,
IMPORTRANGE(""https://docs.google.com/spreadsheets/d/1MjHtlUikwobi2MaWJgy7tfLeBmhj1u-dRFRs_8GwSoA/edit#gid=0"",""Gestores Escolares!D7:J""),4,0),""VERIFICAR CÓD SEC"")"),"(73) 9 8128-6432")</f>
        <v>(73) 9 8128-6432</v>
      </c>
      <c r="O1666" s="82" t="str">
        <f>IFERROR(__xludf.DUMMYFUNCTION("IFERROR(VLOOKUP(D1666,
IMPORTRANGE(""https://docs.google.com/spreadsheets/d/1MjHtlUikwobi2MaWJgy7tfLeBmhj1u-dRFRs_8GwSoA/edit#gid=0"",""Gestores Escolares!D7:J""),6,0),""VERIFICAR CÓD SEC"")"),"")</f>
        <v/>
      </c>
      <c r="P1666" s="82" t="str">
        <f>IFERROR(__xludf.DUMMYFUNCTION("IFERROR(VLOOKUP(D1666,
IMPORTRANGE(""https://docs.google.com/spreadsheets/d/1MjHtlUikwobi2MaWJgy7tfLeBmhj1u-dRFRs_8GwSoA/edit#gid=0"",""Gestores Escolares!D7:J""),7,0),""VERIFICAR CÓD SEC"")"),"")</f>
        <v/>
      </c>
      <c r="Q1666" s="82" t="str">
        <f>IFERROR(__xludf.DUMMYFUNCTION("IFERROR(VLOOKUP(D1666,
IMPORTRANGE(""https://docs.google.com/spreadsheets/d/1MjHtlUikwobi2MaWJgy7tfLeBmhj1u-dRFRs_8GwSoA/edit#gid=0"",""Gestores Escolares!D7:m""),9,0),""VERIFICAR CÓD SEC"")"),"")</f>
        <v/>
      </c>
      <c r="R1666" s="82" t="str">
        <f>IFERROR(__xludf.DUMMYFUNCTION("IFERROR(VLOOKUP(D1666,
IMPORTRANGE(""https://docs.google.com/spreadsheets/d/1MjHtlUikwobi2MaWJgy7tfLeBmhj1u-dRFRs_8GwSoA/edit#gid=0"",""Gestores Escolares!D7:m""),10,0),""VERIFICAR CÓD SEC"")"),"")</f>
        <v/>
      </c>
      <c r="S1666" s="82"/>
      <c r="T1666" s="138">
        <v>3.0</v>
      </c>
      <c r="U1666" s="139">
        <v>3.0</v>
      </c>
      <c r="V1666" s="106">
        <v>0.0</v>
      </c>
      <c r="W1666" s="107">
        <v>0.0</v>
      </c>
      <c r="X1666" s="107">
        <v>0.0</v>
      </c>
      <c r="Y1666" s="107">
        <v>0.0</v>
      </c>
      <c r="Z1666" s="80">
        <f t="shared" si="1"/>
        <v>0</v>
      </c>
      <c r="AA1666" s="106">
        <v>0.0</v>
      </c>
      <c r="AB1666" s="107">
        <v>0.0</v>
      </c>
      <c r="AC1666" s="107">
        <v>0.0</v>
      </c>
      <c r="AD1666" s="107">
        <v>0.0</v>
      </c>
      <c r="AE1666" s="80">
        <f t="shared" si="2"/>
        <v>0</v>
      </c>
      <c r="AF1666" s="140">
        <v>0.0</v>
      </c>
      <c r="AG1666" s="109">
        <v>0.0</v>
      </c>
      <c r="AH1666" s="109">
        <v>0.0</v>
      </c>
      <c r="AI1666" s="141">
        <v>0.0</v>
      </c>
      <c r="AJ1666" s="80">
        <f t="shared" si="3"/>
        <v>0</v>
      </c>
      <c r="AK1666" s="140">
        <v>0.0</v>
      </c>
      <c r="AL1666" s="109">
        <v>0.0</v>
      </c>
      <c r="AM1666" s="141">
        <v>0.0</v>
      </c>
      <c r="AN1666" s="80">
        <f t="shared" si="4"/>
        <v>0</v>
      </c>
      <c r="AO1666" s="140">
        <v>0.0</v>
      </c>
      <c r="AP1666" s="109">
        <v>0.0</v>
      </c>
      <c r="AQ1666" s="109">
        <v>29.0</v>
      </c>
      <c r="AR1666" s="80">
        <f t="shared" si="5"/>
        <v>29</v>
      </c>
      <c r="AS1666" s="110">
        <v>0.0</v>
      </c>
      <c r="AT1666" s="110">
        <v>0.0</v>
      </c>
      <c r="AU1666" s="110">
        <v>0.0</v>
      </c>
      <c r="AV1666" s="142">
        <v>0.0</v>
      </c>
      <c r="AW1666" s="80">
        <f t="shared" si="6"/>
        <v>0</v>
      </c>
      <c r="AX1666" s="113">
        <f t="shared" si="7"/>
        <v>29</v>
      </c>
      <c r="AY1666" s="117">
        <f t="shared" si="8"/>
        <v>0</v>
      </c>
      <c r="AZ1666" s="120">
        <f t="shared" si="9"/>
        <v>29</v>
      </c>
      <c r="BA1666" s="115">
        <v>0.0</v>
      </c>
      <c r="BB1666" s="89">
        <f t="shared" si="10"/>
        <v>29</v>
      </c>
      <c r="BC1666" s="132" t="s">
        <v>373</v>
      </c>
      <c r="BD1666" s="132" t="s">
        <v>178</v>
      </c>
      <c r="BE1666" s="132" t="s">
        <v>178</v>
      </c>
      <c r="BF1666" s="123"/>
      <c r="BG1666" s="83">
        <v>1179182.0</v>
      </c>
      <c r="BH1666" s="112"/>
      <c r="BI1666" s="112">
        <v>3.0</v>
      </c>
      <c r="BJ1666" s="98" t="s">
        <v>155</v>
      </c>
      <c r="BK1666" s="99">
        <f t="shared" si="11"/>
        <v>0</v>
      </c>
      <c r="BL1666" s="99">
        <f t="shared" si="12"/>
        <v>0</v>
      </c>
      <c r="BM1666" s="99" t="str">
        <f>IFERROR(__xludf.DUMMYFUNCTION("IFERROR(VLOOKUP(BG1666,IMPORTRANGE(""https://docs.google.com/spreadsheets/d/1juPI-Fb8LD0YtltB2mlGEnp_R3UVu1t3wSFPzgCyHXE/edit?gid=0#gid=0"",""GERAL!A2:C""),3,0),""-"")"),"CAMPO")</f>
        <v>CAMPO</v>
      </c>
    </row>
    <row r="1667" ht="15.75" customHeight="1">
      <c r="A1667" s="111" t="s">
        <v>1842</v>
      </c>
      <c r="B1667" s="83" t="s">
        <v>9417</v>
      </c>
      <c r="C1667" s="83" t="s">
        <v>68</v>
      </c>
      <c r="D1667" s="112">
        <v>1170181.0</v>
      </c>
      <c r="E1667" s="136"/>
      <c r="F1667" s="136">
        <v>2.9320623E7</v>
      </c>
      <c r="G1667" s="147" t="s">
        <v>9421</v>
      </c>
      <c r="H1667" s="91" t="s">
        <v>9422</v>
      </c>
      <c r="I1667" s="83" t="s">
        <v>149</v>
      </c>
      <c r="J1667" s="83" t="s">
        <v>150</v>
      </c>
      <c r="K1667" s="83" t="s">
        <v>3467</v>
      </c>
      <c r="L1667" s="98" t="s">
        <v>152</v>
      </c>
      <c r="M1667" s="82" t="str">
        <f>IFERROR(__xludf.DUMMYFUNCTION("IFERROR(VLOOKUP(D1667,
IMPORTRANGE(""https://docs.google.com/spreadsheets/d/1MjHtlUikwobi2MaWJgy7tfLeBmhj1u-dRFRs_8GwSoA/edit#gid=0"",""Gestores Escolares!D7:J""),3,0),""VERIFICAR CÓD SEC"")")," MARCELA CRISTINA OLIVEIRA DA SILVA")</f>
        <v> MARCELA CRISTINA OLIVEIRA DA SILVA</v>
      </c>
      <c r="N1667" s="82" t="str">
        <f>IFERROR(__xludf.DUMMYFUNCTION("IFERROR(VLOOKUP(D1667,
IMPORTRANGE(""https://docs.google.com/spreadsheets/d/1MjHtlUikwobi2MaWJgy7tfLeBmhj1u-dRFRs_8GwSoA/edit#gid=0"",""Gestores Escolares!D7:J""),4,0),""VERIFICAR CÓD SEC"")"),"(73) 9 8132-3201")</f>
        <v>(73) 9 8132-3201</v>
      </c>
      <c r="O1667" s="82" t="str">
        <f>IFERROR(__xludf.DUMMYFUNCTION("IFERROR(VLOOKUP(D1667,
IMPORTRANGE(""https://docs.google.com/spreadsheets/d/1MjHtlUikwobi2MaWJgy7tfLeBmhj1u-dRFRs_8GwSoA/edit#gid=0"",""Gestores Escolares!D7:J""),6,0),""VERIFICAR CÓD SEC"")"),"GABRIEL SILVA SANTANA")</f>
        <v>GABRIEL SILVA SANTANA</v>
      </c>
      <c r="P1667" s="82" t="str">
        <f>IFERROR(__xludf.DUMMYFUNCTION("IFERROR(VLOOKUP(D1667,
IMPORTRANGE(""https://docs.google.com/spreadsheets/d/1MjHtlUikwobi2MaWJgy7tfLeBmhj1u-dRFRs_8GwSoA/edit#gid=0"",""Gestores Escolares!D7:J""),7,0),""VERIFICAR CÓD SEC"")"),"(73) 9 8129-9292")</f>
        <v>(73) 9 8129-9292</v>
      </c>
      <c r="Q1667" s="82" t="str">
        <f>IFERROR(__xludf.DUMMYFUNCTION("IFERROR(VLOOKUP(D1667,
IMPORTRANGE(""https://docs.google.com/spreadsheets/d/1MjHtlUikwobi2MaWJgy7tfLeBmhj1u-dRFRs_8GwSoA/edit#gid=0"",""Gestores Escolares!D7:m""),9,0),""VERIFICAR CÓD SEC"")"),"THIAGO ALMEIDA CARVALHO")</f>
        <v>THIAGO ALMEIDA CARVALHO</v>
      </c>
      <c r="R1667" s="82" t="str">
        <f>IFERROR(__xludf.DUMMYFUNCTION("IFERROR(VLOOKUP(D1667,
IMPORTRANGE(""https://docs.google.com/spreadsheets/d/1MjHtlUikwobi2MaWJgy7tfLeBmhj1u-dRFRs_8GwSoA/edit#gid=0"",""Gestores Escolares!D7:m""),10,0),""VERIFICAR CÓD SEC"")"),"")</f>
        <v/>
      </c>
      <c r="S1667" s="82"/>
      <c r="T1667" s="138">
        <v>12.0</v>
      </c>
      <c r="U1667" s="217">
        <v>12.0</v>
      </c>
      <c r="V1667" s="106">
        <v>0.0</v>
      </c>
      <c r="W1667" s="107">
        <v>0.0</v>
      </c>
      <c r="X1667" s="107">
        <v>0.0</v>
      </c>
      <c r="Y1667" s="107">
        <v>0.0</v>
      </c>
      <c r="Z1667" s="80">
        <f t="shared" si="1"/>
        <v>0</v>
      </c>
      <c r="AA1667" s="106">
        <v>0.0</v>
      </c>
      <c r="AB1667" s="107">
        <v>0.0</v>
      </c>
      <c r="AC1667" s="107">
        <v>0.0</v>
      </c>
      <c r="AD1667" s="107">
        <v>0.0</v>
      </c>
      <c r="AE1667" s="80">
        <f t="shared" si="2"/>
        <v>0</v>
      </c>
      <c r="AF1667" s="140">
        <v>317.0</v>
      </c>
      <c r="AG1667" s="109">
        <v>91.0</v>
      </c>
      <c r="AH1667" s="109">
        <v>0.0</v>
      </c>
      <c r="AI1667" s="141">
        <v>0.0</v>
      </c>
      <c r="AJ1667" s="80">
        <f t="shared" si="3"/>
        <v>408</v>
      </c>
      <c r="AK1667" s="140">
        <v>0.0</v>
      </c>
      <c r="AL1667" s="109">
        <v>0.0</v>
      </c>
      <c r="AM1667" s="141">
        <v>0.0</v>
      </c>
      <c r="AN1667" s="80">
        <f t="shared" si="4"/>
        <v>0</v>
      </c>
      <c r="AO1667" s="140">
        <v>0.0</v>
      </c>
      <c r="AP1667" s="109">
        <v>0.0</v>
      </c>
      <c r="AQ1667" s="109">
        <v>247.0</v>
      </c>
      <c r="AR1667" s="80">
        <f t="shared" si="5"/>
        <v>247</v>
      </c>
      <c r="AS1667" s="110">
        <v>77.0</v>
      </c>
      <c r="AT1667" s="110">
        <v>0.0</v>
      </c>
      <c r="AU1667" s="110">
        <v>0.0</v>
      </c>
      <c r="AV1667" s="142">
        <v>0.0</v>
      </c>
      <c r="AW1667" s="80">
        <f t="shared" si="6"/>
        <v>77</v>
      </c>
      <c r="AX1667" s="113">
        <f t="shared" si="7"/>
        <v>732</v>
      </c>
      <c r="AY1667" s="117">
        <f t="shared" si="8"/>
        <v>485</v>
      </c>
      <c r="AZ1667" s="120">
        <f t="shared" si="9"/>
        <v>247</v>
      </c>
      <c r="BA1667" s="115">
        <v>0.0</v>
      </c>
      <c r="BB1667" s="89">
        <f t="shared" si="10"/>
        <v>732</v>
      </c>
      <c r="BC1667" s="132" t="s">
        <v>178</v>
      </c>
      <c r="BD1667" s="132" t="s">
        <v>178</v>
      </c>
      <c r="BE1667" s="132" t="s">
        <v>178</v>
      </c>
      <c r="BF1667" s="156"/>
      <c r="BG1667" s="83">
        <v>1170181.0</v>
      </c>
      <c r="BH1667" s="98" t="s">
        <v>9423</v>
      </c>
      <c r="BI1667" s="112">
        <v>11.0</v>
      </c>
      <c r="BJ1667" s="98" t="s">
        <v>155</v>
      </c>
      <c r="BK1667" s="99">
        <f t="shared" si="11"/>
        <v>0</v>
      </c>
      <c r="BL1667" s="99">
        <f t="shared" si="12"/>
        <v>485</v>
      </c>
      <c r="BM1667" s="99" t="str">
        <f>IFERROR(__xludf.DUMMYFUNCTION("IFERROR(VLOOKUP(BG1667,IMPORTRANGE(""https://docs.google.com/spreadsheets/d/1juPI-Fb8LD0YtltB2mlGEnp_R3UVu1t3wSFPzgCyHXE/edit?gid=0#gid=0"",""GERAL!A2:C""),3,0),""-"")"),"-")</f>
        <v>-</v>
      </c>
    </row>
    <row r="1668" ht="15.75" customHeight="1">
      <c r="A1668" s="111" t="s">
        <v>1842</v>
      </c>
      <c r="B1668" s="83" t="s">
        <v>9417</v>
      </c>
      <c r="C1668" s="83" t="s">
        <v>164</v>
      </c>
      <c r="D1668" s="112">
        <v>1170181.0</v>
      </c>
      <c r="E1668" s="83">
        <v>1178514.0</v>
      </c>
      <c r="F1668" s="98">
        <v>2.9491215E7</v>
      </c>
      <c r="G1668" s="185" t="s">
        <v>9430</v>
      </c>
      <c r="H1668" s="114" t="s">
        <v>9431</v>
      </c>
      <c r="I1668" s="83" t="s">
        <v>149</v>
      </c>
      <c r="J1668" s="83" t="s">
        <v>9390</v>
      </c>
      <c r="K1668" s="83" t="s">
        <v>168</v>
      </c>
      <c r="L1668" s="83" t="s">
        <v>169</v>
      </c>
      <c r="M1668" s="82" t="str">
        <f>IFERROR(__xludf.DUMMYFUNCTION("IFERROR(VLOOKUP(D1668,
IMPORTRANGE(""https://docs.google.com/spreadsheets/d/1MjHtlUikwobi2MaWJgy7tfLeBmhj1u-dRFRs_8GwSoA/edit#gid=0"",""Gestores Escolares!D7:J""),3,0),""VERIFICAR CÓD SEC"")")," MARCELA CRISTINA OLIVEIRA DA SILVA")</f>
        <v> MARCELA CRISTINA OLIVEIRA DA SILVA</v>
      </c>
      <c r="N1668" s="82" t="str">
        <f>IFERROR(__xludf.DUMMYFUNCTION("IFERROR(VLOOKUP(D1668,
IMPORTRANGE(""https://docs.google.com/spreadsheets/d/1MjHtlUikwobi2MaWJgy7tfLeBmhj1u-dRFRs_8GwSoA/edit#gid=0"",""Gestores Escolares!D7:J""),4,0),""VERIFICAR CÓD SEC"")"),"(73) 9 8132-3201")</f>
        <v>(73) 9 8132-3201</v>
      </c>
      <c r="O1668" s="82" t="str">
        <f>IFERROR(__xludf.DUMMYFUNCTION("IFERROR(VLOOKUP(D1668,
IMPORTRANGE(""https://docs.google.com/spreadsheets/d/1MjHtlUikwobi2MaWJgy7tfLeBmhj1u-dRFRs_8GwSoA/edit#gid=0"",""Gestores Escolares!D7:J""),6,0),""VERIFICAR CÓD SEC"")"),"GABRIEL SILVA SANTANA")</f>
        <v>GABRIEL SILVA SANTANA</v>
      </c>
      <c r="P1668" s="82" t="str">
        <f>IFERROR(__xludf.DUMMYFUNCTION("IFERROR(VLOOKUP(D1668,
IMPORTRANGE(""https://docs.google.com/spreadsheets/d/1MjHtlUikwobi2MaWJgy7tfLeBmhj1u-dRFRs_8GwSoA/edit#gid=0"",""Gestores Escolares!D7:J""),7,0),""VERIFICAR CÓD SEC"")"),"(73) 9 8129-9292")</f>
        <v>(73) 9 8129-9292</v>
      </c>
      <c r="Q1668" s="82" t="str">
        <f>IFERROR(__xludf.DUMMYFUNCTION("IFERROR(VLOOKUP(D1668,
IMPORTRANGE(""https://docs.google.com/spreadsheets/d/1MjHtlUikwobi2MaWJgy7tfLeBmhj1u-dRFRs_8GwSoA/edit#gid=0"",""Gestores Escolares!D7:m""),9,0),""VERIFICAR CÓD SEC"")"),"THIAGO ALMEIDA CARVALHO")</f>
        <v>THIAGO ALMEIDA CARVALHO</v>
      </c>
      <c r="R1668" s="82" t="str">
        <f>IFERROR(__xludf.DUMMYFUNCTION("IFERROR(VLOOKUP(D1668,
IMPORTRANGE(""https://docs.google.com/spreadsheets/d/1MjHtlUikwobi2MaWJgy7tfLeBmhj1u-dRFRs_8GwSoA/edit#gid=0"",""Gestores Escolares!D7:m""),10,0),""VERIFICAR CÓD SEC"")"),"")</f>
        <v/>
      </c>
      <c r="S1668" s="82"/>
      <c r="T1668" s="138">
        <v>3.0</v>
      </c>
      <c r="U1668" s="152">
        <v>3.0</v>
      </c>
      <c r="V1668" s="106">
        <v>0.0</v>
      </c>
      <c r="W1668" s="107">
        <v>0.0</v>
      </c>
      <c r="X1668" s="107">
        <v>0.0</v>
      </c>
      <c r="Y1668" s="107">
        <v>0.0</v>
      </c>
      <c r="Z1668" s="80">
        <f t="shared" si="1"/>
        <v>0</v>
      </c>
      <c r="AA1668" s="106">
        <v>0.0</v>
      </c>
      <c r="AB1668" s="107">
        <v>0.0</v>
      </c>
      <c r="AC1668" s="107">
        <v>0.0</v>
      </c>
      <c r="AD1668" s="107">
        <v>0.0</v>
      </c>
      <c r="AE1668" s="80">
        <f t="shared" si="2"/>
        <v>0</v>
      </c>
      <c r="AF1668" s="140">
        <v>0.0</v>
      </c>
      <c r="AG1668" s="109">
        <v>0.0</v>
      </c>
      <c r="AH1668" s="109">
        <v>0.0</v>
      </c>
      <c r="AI1668" s="141">
        <v>0.0</v>
      </c>
      <c r="AJ1668" s="80">
        <f t="shared" si="3"/>
        <v>0</v>
      </c>
      <c r="AK1668" s="140">
        <v>0.0</v>
      </c>
      <c r="AL1668" s="109">
        <v>0.0</v>
      </c>
      <c r="AM1668" s="141">
        <v>0.0</v>
      </c>
      <c r="AN1668" s="80">
        <f t="shared" si="4"/>
        <v>0</v>
      </c>
      <c r="AO1668" s="140">
        <v>0.0</v>
      </c>
      <c r="AP1668" s="109">
        <v>0.0</v>
      </c>
      <c r="AQ1668" s="109">
        <v>15.0</v>
      </c>
      <c r="AR1668" s="80">
        <f t="shared" si="5"/>
        <v>15</v>
      </c>
      <c r="AS1668" s="110">
        <v>0.0</v>
      </c>
      <c r="AT1668" s="110">
        <v>0.0</v>
      </c>
      <c r="AU1668" s="110">
        <v>0.0</v>
      </c>
      <c r="AV1668" s="142">
        <v>0.0</v>
      </c>
      <c r="AW1668" s="80">
        <f t="shared" si="6"/>
        <v>0</v>
      </c>
      <c r="AX1668" s="113">
        <f t="shared" si="7"/>
        <v>15</v>
      </c>
      <c r="AY1668" s="117">
        <f t="shared" si="8"/>
        <v>0</v>
      </c>
      <c r="AZ1668" s="120">
        <f t="shared" si="9"/>
        <v>15</v>
      </c>
      <c r="BA1668" s="115">
        <v>0.0</v>
      </c>
      <c r="BB1668" s="89">
        <f t="shared" si="10"/>
        <v>15</v>
      </c>
      <c r="BC1668" s="132" t="s">
        <v>373</v>
      </c>
      <c r="BD1668" s="132" t="s">
        <v>178</v>
      </c>
      <c r="BE1668" s="132" t="s">
        <v>178</v>
      </c>
      <c r="BF1668" s="123"/>
      <c r="BG1668" s="83">
        <v>1178514.0</v>
      </c>
      <c r="BH1668" s="112"/>
      <c r="BI1668" s="112">
        <v>3.0</v>
      </c>
      <c r="BJ1668" s="98" t="s">
        <v>155</v>
      </c>
      <c r="BK1668" s="99">
        <f t="shared" si="11"/>
        <v>0</v>
      </c>
      <c r="BL1668" s="99">
        <f t="shared" si="12"/>
        <v>0</v>
      </c>
      <c r="BM1668" s="99" t="str">
        <f>IFERROR(__xludf.DUMMYFUNCTION("IFERROR(VLOOKUP(BG1668,IMPORTRANGE(""https://docs.google.com/spreadsheets/d/1juPI-Fb8LD0YtltB2mlGEnp_R3UVu1t3wSFPzgCyHXE/edit?gid=0#gid=0"",""GERAL!A2:C""),3,0),""-"")"),"CAMPO")</f>
        <v>CAMPO</v>
      </c>
    </row>
    <row r="1669" ht="15.75" customHeight="1">
      <c r="A1669" s="111" t="s">
        <v>1842</v>
      </c>
      <c r="B1669" s="83" t="s">
        <v>9417</v>
      </c>
      <c r="C1669" s="83" t="s">
        <v>164</v>
      </c>
      <c r="D1669" s="112">
        <v>1170181.0</v>
      </c>
      <c r="E1669" s="83">
        <v>1178515.0</v>
      </c>
      <c r="F1669" s="98">
        <v>2.9491185E7</v>
      </c>
      <c r="G1669" s="185" t="s">
        <v>9434</v>
      </c>
      <c r="H1669" s="91" t="s">
        <v>9435</v>
      </c>
      <c r="I1669" s="83" t="s">
        <v>9436</v>
      </c>
      <c r="J1669" s="83" t="s">
        <v>209</v>
      </c>
      <c r="K1669" s="98" t="s">
        <v>151</v>
      </c>
      <c r="L1669" s="83" t="s">
        <v>169</v>
      </c>
      <c r="M1669" s="82" t="str">
        <f>IFERROR(__xludf.DUMMYFUNCTION("IFERROR(VLOOKUP(D1669,
IMPORTRANGE(""https://docs.google.com/spreadsheets/d/1MjHtlUikwobi2MaWJgy7tfLeBmhj1u-dRFRs_8GwSoA/edit#gid=0"",""Gestores Escolares!D7:J""),3,0),""VERIFICAR CÓD SEC"")")," MARCELA CRISTINA OLIVEIRA DA SILVA")</f>
        <v> MARCELA CRISTINA OLIVEIRA DA SILVA</v>
      </c>
      <c r="N1669" s="82" t="str">
        <f>IFERROR(__xludf.DUMMYFUNCTION("IFERROR(VLOOKUP(D1669,
IMPORTRANGE(""https://docs.google.com/spreadsheets/d/1MjHtlUikwobi2MaWJgy7tfLeBmhj1u-dRFRs_8GwSoA/edit#gid=0"",""Gestores Escolares!D7:J""),4,0),""VERIFICAR CÓD SEC"")"),"(73) 9 8132-3201")</f>
        <v>(73) 9 8132-3201</v>
      </c>
      <c r="O1669" s="82" t="str">
        <f>IFERROR(__xludf.DUMMYFUNCTION("IFERROR(VLOOKUP(D1669,
IMPORTRANGE(""https://docs.google.com/spreadsheets/d/1MjHtlUikwobi2MaWJgy7tfLeBmhj1u-dRFRs_8GwSoA/edit#gid=0"",""Gestores Escolares!D7:J""),6,0),""VERIFICAR CÓD SEC"")"),"GABRIEL SILVA SANTANA")</f>
        <v>GABRIEL SILVA SANTANA</v>
      </c>
      <c r="P1669" s="82" t="str">
        <f>IFERROR(__xludf.DUMMYFUNCTION("IFERROR(VLOOKUP(D1669,
IMPORTRANGE(""https://docs.google.com/spreadsheets/d/1MjHtlUikwobi2MaWJgy7tfLeBmhj1u-dRFRs_8GwSoA/edit#gid=0"",""Gestores Escolares!D7:J""),7,0),""VERIFICAR CÓD SEC"")"),"(73) 9 8129-9292")</f>
        <v>(73) 9 8129-9292</v>
      </c>
      <c r="Q1669" s="82" t="str">
        <f>IFERROR(__xludf.DUMMYFUNCTION("IFERROR(VLOOKUP(D1669,
IMPORTRANGE(""https://docs.google.com/spreadsheets/d/1MjHtlUikwobi2MaWJgy7tfLeBmhj1u-dRFRs_8GwSoA/edit#gid=0"",""Gestores Escolares!D7:m""),9,0),""VERIFICAR CÓD SEC"")"),"THIAGO ALMEIDA CARVALHO")</f>
        <v>THIAGO ALMEIDA CARVALHO</v>
      </c>
      <c r="R1669" s="82" t="str">
        <f>IFERROR(__xludf.DUMMYFUNCTION("IFERROR(VLOOKUP(D1669,
IMPORTRANGE(""https://docs.google.com/spreadsheets/d/1MjHtlUikwobi2MaWJgy7tfLeBmhj1u-dRFRs_8GwSoA/edit#gid=0"",""Gestores Escolares!D7:m""),10,0),""VERIFICAR CÓD SEC"")"),"")</f>
        <v/>
      </c>
      <c r="S1669" s="82"/>
      <c r="T1669" s="138">
        <v>4.0</v>
      </c>
      <c r="U1669" s="152">
        <v>4.0</v>
      </c>
      <c r="V1669" s="106">
        <v>0.0</v>
      </c>
      <c r="W1669" s="107">
        <v>0.0</v>
      </c>
      <c r="X1669" s="107">
        <v>0.0</v>
      </c>
      <c r="Y1669" s="107">
        <v>0.0</v>
      </c>
      <c r="Z1669" s="80">
        <f t="shared" si="1"/>
        <v>0</v>
      </c>
      <c r="AA1669" s="106">
        <v>0.0</v>
      </c>
      <c r="AB1669" s="107">
        <v>0.0</v>
      </c>
      <c r="AC1669" s="107">
        <v>0.0</v>
      </c>
      <c r="AD1669" s="107">
        <v>0.0</v>
      </c>
      <c r="AE1669" s="80">
        <f t="shared" si="2"/>
        <v>0</v>
      </c>
      <c r="AF1669" s="140">
        <v>94.0</v>
      </c>
      <c r="AG1669" s="109">
        <v>0.0</v>
      </c>
      <c r="AH1669" s="109">
        <v>0.0</v>
      </c>
      <c r="AI1669" s="141">
        <v>0.0</v>
      </c>
      <c r="AJ1669" s="80">
        <f t="shared" si="3"/>
        <v>94</v>
      </c>
      <c r="AK1669" s="140">
        <v>0.0</v>
      </c>
      <c r="AL1669" s="109">
        <v>0.0</v>
      </c>
      <c r="AM1669" s="141">
        <v>0.0</v>
      </c>
      <c r="AN1669" s="80">
        <f t="shared" si="4"/>
        <v>0</v>
      </c>
      <c r="AO1669" s="140">
        <v>0.0</v>
      </c>
      <c r="AP1669" s="109">
        <v>0.0</v>
      </c>
      <c r="AQ1669" s="109">
        <v>59.0</v>
      </c>
      <c r="AR1669" s="80">
        <f t="shared" si="5"/>
        <v>59</v>
      </c>
      <c r="AS1669" s="110">
        <v>0.0</v>
      </c>
      <c r="AT1669" s="110">
        <v>0.0</v>
      </c>
      <c r="AU1669" s="110">
        <v>0.0</v>
      </c>
      <c r="AV1669" s="142">
        <v>0.0</v>
      </c>
      <c r="AW1669" s="80">
        <f t="shared" si="6"/>
        <v>0</v>
      </c>
      <c r="AX1669" s="113">
        <f t="shared" si="7"/>
        <v>153</v>
      </c>
      <c r="AY1669" s="117">
        <f t="shared" si="8"/>
        <v>94</v>
      </c>
      <c r="AZ1669" s="120">
        <f t="shared" si="9"/>
        <v>59</v>
      </c>
      <c r="BA1669" s="115">
        <v>0.0</v>
      </c>
      <c r="BB1669" s="89">
        <f t="shared" si="10"/>
        <v>153</v>
      </c>
      <c r="BC1669" s="132" t="s">
        <v>373</v>
      </c>
      <c r="BD1669" s="132" t="s">
        <v>178</v>
      </c>
      <c r="BE1669" s="132" t="s">
        <v>178</v>
      </c>
      <c r="BF1669" s="123"/>
      <c r="BG1669" s="83">
        <v>1178515.0</v>
      </c>
      <c r="BH1669" s="112"/>
      <c r="BI1669" s="112">
        <v>4.0</v>
      </c>
      <c r="BJ1669" s="98" t="s">
        <v>155</v>
      </c>
      <c r="BK1669" s="99">
        <f t="shared" si="11"/>
        <v>0</v>
      </c>
      <c r="BL1669" s="99">
        <f t="shared" si="12"/>
        <v>94</v>
      </c>
      <c r="BM1669" s="99" t="str">
        <f>IFERROR(__xludf.DUMMYFUNCTION("IFERROR(VLOOKUP(BG1669,IMPORTRANGE(""https://docs.google.com/spreadsheets/d/1juPI-Fb8LD0YtltB2mlGEnp_R3UVu1t3wSFPzgCyHXE/edit?gid=0#gid=0"",""GERAL!A2:C""),3,0),""-"")"),"CAMPO")</f>
        <v>CAMPO</v>
      </c>
    </row>
    <row r="1670" ht="15.75" customHeight="1">
      <c r="A1670" s="111" t="s">
        <v>1842</v>
      </c>
      <c r="B1670" s="83" t="s">
        <v>9417</v>
      </c>
      <c r="C1670" s="83" t="s">
        <v>164</v>
      </c>
      <c r="D1670" s="112">
        <v>1170181.0</v>
      </c>
      <c r="E1670" s="83">
        <v>1178516.0</v>
      </c>
      <c r="F1670" s="98">
        <v>2.9491169E7</v>
      </c>
      <c r="G1670" s="185" t="s">
        <v>9437</v>
      </c>
      <c r="H1670" s="91" t="s">
        <v>9438</v>
      </c>
      <c r="I1670" s="83" t="s">
        <v>149</v>
      </c>
      <c r="J1670" s="83" t="s">
        <v>694</v>
      </c>
      <c r="K1670" s="83" t="s">
        <v>151</v>
      </c>
      <c r="L1670" s="82" t="s">
        <v>169</v>
      </c>
      <c r="M1670" s="82" t="str">
        <f>IFERROR(__xludf.DUMMYFUNCTION("IFERROR(VLOOKUP(D1670,
IMPORTRANGE(""https://docs.google.com/spreadsheets/d/1MjHtlUikwobi2MaWJgy7tfLeBmhj1u-dRFRs_8GwSoA/edit#gid=0"",""Gestores Escolares!D7:J""),3,0),""VERIFICAR CÓD SEC"")")," MARCELA CRISTINA OLIVEIRA DA SILVA")</f>
        <v> MARCELA CRISTINA OLIVEIRA DA SILVA</v>
      </c>
      <c r="N1670" s="82" t="str">
        <f>IFERROR(__xludf.DUMMYFUNCTION("IFERROR(VLOOKUP(D1670,
IMPORTRANGE(""https://docs.google.com/spreadsheets/d/1MjHtlUikwobi2MaWJgy7tfLeBmhj1u-dRFRs_8GwSoA/edit#gid=0"",""Gestores Escolares!D7:J""),4,0),""VERIFICAR CÓD SEC"")"),"(73) 9 8132-3201")</f>
        <v>(73) 9 8132-3201</v>
      </c>
      <c r="O1670" s="82" t="str">
        <f>IFERROR(__xludf.DUMMYFUNCTION("IFERROR(VLOOKUP(D1670,
IMPORTRANGE(""https://docs.google.com/spreadsheets/d/1MjHtlUikwobi2MaWJgy7tfLeBmhj1u-dRFRs_8GwSoA/edit#gid=0"",""Gestores Escolares!D7:J""),6,0),""VERIFICAR CÓD SEC"")"),"GABRIEL SILVA SANTANA")</f>
        <v>GABRIEL SILVA SANTANA</v>
      </c>
      <c r="P1670" s="82" t="str">
        <f>IFERROR(__xludf.DUMMYFUNCTION("IFERROR(VLOOKUP(D1670,
IMPORTRANGE(""https://docs.google.com/spreadsheets/d/1MjHtlUikwobi2MaWJgy7tfLeBmhj1u-dRFRs_8GwSoA/edit#gid=0"",""Gestores Escolares!D7:J""),7,0),""VERIFICAR CÓD SEC"")"),"(73) 9 8129-9292")</f>
        <v>(73) 9 8129-9292</v>
      </c>
      <c r="Q1670" s="82" t="str">
        <f>IFERROR(__xludf.DUMMYFUNCTION("IFERROR(VLOOKUP(D1670,
IMPORTRANGE(""https://docs.google.com/spreadsheets/d/1MjHtlUikwobi2MaWJgy7tfLeBmhj1u-dRFRs_8GwSoA/edit#gid=0"",""Gestores Escolares!D7:m""),9,0),""VERIFICAR CÓD SEC"")"),"THIAGO ALMEIDA CARVALHO")</f>
        <v>THIAGO ALMEIDA CARVALHO</v>
      </c>
      <c r="R1670" s="82" t="str">
        <f>IFERROR(__xludf.DUMMYFUNCTION("IFERROR(VLOOKUP(D1670,
IMPORTRANGE(""https://docs.google.com/spreadsheets/d/1MjHtlUikwobi2MaWJgy7tfLeBmhj1u-dRFRs_8GwSoA/edit#gid=0"",""Gestores Escolares!D7:m""),10,0),""VERIFICAR CÓD SEC"")"),"")</f>
        <v/>
      </c>
      <c r="S1670" s="82"/>
      <c r="T1670" s="138">
        <v>3.0</v>
      </c>
      <c r="U1670" s="152">
        <v>3.0</v>
      </c>
      <c r="V1670" s="106">
        <v>0.0</v>
      </c>
      <c r="W1670" s="107">
        <v>0.0</v>
      </c>
      <c r="X1670" s="107">
        <v>0.0</v>
      </c>
      <c r="Y1670" s="107">
        <v>0.0</v>
      </c>
      <c r="Z1670" s="80">
        <f t="shared" si="1"/>
        <v>0</v>
      </c>
      <c r="AA1670" s="106">
        <v>0.0</v>
      </c>
      <c r="AB1670" s="107">
        <v>0.0</v>
      </c>
      <c r="AC1670" s="107">
        <v>0.0</v>
      </c>
      <c r="AD1670" s="107">
        <v>0.0</v>
      </c>
      <c r="AE1670" s="80">
        <f t="shared" si="2"/>
        <v>0</v>
      </c>
      <c r="AF1670" s="140">
        <v>0.0</v>
      </c>
      <c r="AG1670" s="109">
        <v>0.0</v>
      </c>
      <c r="AH1670" s="109">
        <v>0.0</v>
      </c>
      <c r="AI1670" s="141">
        <v>0.0</v>
      </c>
      <c r="AJ1670" s="80">
        <f t="shared" si="3"/>
        <v>0</v>
      </c>
      <c r="AK1670" s="140">
        <v>0.0</v>
      </c>
      <c r="AL1670" s="109">
        <v>0.0</v>
      </c>
      <c r="AM1670" s="141">
        <v>0.0</v>
      </c>
      <c r="AN1670" s="80">
        <f t="shared" si="4"/>
        <v>0</v>
      </c>
      <c r="AO1670" s="140">
        <v>0.0</v>
      </c>
      <c r="AP1670" s="109">
        <v>0.0</v>
      </c>
      <c r="AQ1670" s="109">
        <v>29.0</v>
      </c>
      <c r="AR1670" s="80">
        <f t="shared" si="5"/>
        <v>29</v>
      </c>
      <c r="AS1670" s="110">
        <v>0.0</v>
      </c>
      <c r="AT1670" s="110">
        <v>0.0</v>
      </c>
      <c r="AU1670" s="110">
        <v>0.0</v>
      </c>
      <c r="AV1670" s="142">
        <v>0.0</v>
      </c>
      <c r="AW1670" s="80">
        <f t="shared" si="6"/>
        <v>0</v>
      </c>
      <c r="AX1670" s="113">
        <f t="shared" si="7"/>
        <v>29</v>
      </c>
      <c r="AY1670" s="117">
        <f t="shared" si="8"/>
        <v>0</v>
      </c>
      <c r="AZ1670" s="120">
        <f t="shared" si="9"/>
        <v>29</v>
      </c>
      <c r="BA1670" s="115">
        <v>0.0</v>
      </c>
      <c r="BB1670" s="89">
        <f t="shared" si="10"/>
        <v>29</v>
      </c>
      <c r="BC1670" s="132" t="s">
        <v>631</v>
      </c>
      <c r="BD1670" s="132" t="s">
        <v>178</v>
      </c>
      <c r="BE1670" s="132" t="s">
        <v>178</v>
      </c>
      <c r="BF1670" s="123"/>
      <c r="BG1670" s="83">
        <v>1178516.0</v>
      </c>
      <c r="BH1670" s="112"/>
      <c r="BI1670" s="112">
        <v>3.0</v>
      </c>
      <c r="BJ1670" s="98" t="s">
        <v>155</v>
      </c>
      <c r="BK1670" s="99">
        <f t="shared" si="11"/>
        <v>0</v>
      </c>
      <c r="BL1670" s="99">
        <f t="shared" si="12"/>
        <v>0</v>
      </c>
      <c r="BM1670" s="99" t="str">
        <f>IFERROR(__xludf.DUMMYFUNCTION("IFERROR(VLOOKUP(BG1670,IMPORTRANGE(""https://docs.google.com/spreadsheets/d/1juPI-Fb8LD0YtltB2mlGEnp_R3UVu1t3wSFPzgCyHXE/edit?gid=0#gid=0"",""GERAL!A2:C""),3,0),""-"")"),"ASSENTAMENTOS")</f>
        <v>ASSENTAMENTOS</v>
      </c>
    </row>
    <row r="1671" ht="15.75" customHeight="1">
      <c r="A1671" s="111" t="s">
        <v>1842</v>
      </c>
      <c r="B1671" s="136" t="s">
        <v>9449</v>
      </c>
      <c r="C1671" s="83" t="s">
        <v>68</v>
      </c>
      <c r="D1671" s="112">
        <v>1146493.0</v>
      </c>
      <c r="E1671" s="136"/>
      <c r="F1671" s="136">
        <v>2.9321298E7</v>
      </c>
      <c r="G1671" s="187" t="s">
        <v>9450</v>
      </c>
      <c r="H1671" s="91" t="s">
        <v>9451</v>
      </c>
      <c r="I1671" s="83" t="s">
        <v>149</v>
      </c>
      <c r="J1671" s="83" t="s">
        <v>150</v>
      </c>
      <c r="K1671" s="83" t="s">
        <v>3467</v>
      </c>
      <c r="L1671" s="82" t="s">
        <v>169</v>
      </c>
      <c r="M1671" s="82" t="str">
        <f>IFERROR(__xludf.DUMMYFUNCTION("IFERROR(VLOOKUP(D1671,
IMPORTRANGE(""https://docs.google.com/spreadsheets/d/1MjHtlUikwobi2MaWJgy7tfLeBmhj1u-dRFRs_8GwSoA/edit#gid=0"",""Gestores Escolares!D7:J""),3,0),""VERIFICAR CÓD SEC"")"),"CELETE PEREIRA PINHO ")</f>
        <v>CELETE PEREIRA PINHO </v>
      </c>
      <c r="N1671" s="82" t="str">
        <f>IFERROR(__xludf.DUMMYFUNCTION("IFERROR(VLOOKUP(D1671,
IMPORTRANGE(""https://docs.google.com/spreadsheets/d/1MjHtlUikwobi2MaWJgy7tfLeBmhj1u-dRFRs_8GwSoA/edit#gid=0"",""Gestores Escolares!D7:J""),4,0),""VERIFICAR CÓD SEC"")"),"(73) 9 9974-4718")</f>
        <v>(73) 9 9974-4718</v>
      </c>
      <c r="O1671" s="82" t="str">
        <f>IFERROR(__xludf.DUMMYFUNCTION("IFERROR(VLOOKUP(D1671,
IMPORTRANGE(""https://docs.google.com/spreadsheets/d/1MjHtlUikwobi2MaWJgy7tfLeBmhj1u-dRFRs_8GwSoA/edit#gid=0"",""Gestores Escolares!D7:J""),6,0),""VERIFICAR CÓD SEC"")"),"")</f>
        <v/>
      </c>
      <c r="P1671" s="82" t="str">
        <f>IFERROR(__xludf.DUMMYFUNCTION("IFERROR(VLOOKUP(D1671,
IMPORTRANGE(""https://docs.google.com/spreadsheets/d/1MjHtlUikwobi2MaWJgy7tfLeBmhj1u-dRFRs_8GwSoA/edit#gid=0"",""Gestores Escolares!D7:J""),7,0),""VERIFICAR CÓD SEC"")"),"")</f>
        <v/>
      </c>
      <c r="Q1671" s="82" t="str">
        <f>IFERROR(__xludf.DUMMYFUNCTION("IFERROR(VLOOKUP(D1671,
IMPORTRANGE(""https://docs.google.com/spreadsheets/d/1MjHtlUikwobi2MaWJgy7tfLeBmhj1u-dRFRs_8GwSoA/edit#gid=0"",""Gestores Escolares!D7:m""),9,0),""VERIFICAR CÓD SEC"")"),"")</f>
        <v/>
      </c>
      <c r="R1671" s="82" t="str">
        <f>IFERROR(__xludf.DUMMYFUNCTION("IFERROR(VLOOKUP(D1671,
IMPORTRANGE(""https://docs.google.com/spreadsheets/d/1MjHtlUikwobi2MaWJgy7tfLeBmhj1u-dRFRs_8GwSoA/edit#gid=0"",""Gestores Escolares!D7:m""),10,0),""VERIFICAR CÓD SEC"")"),"")</f>
        <v/>
      </c>
      <c r="S1671" s="82"/>
      <c r="T1671" s="138">
        <v>7.0</v>
      </c>
      <c r="U1671" s="217" t="s">
        <v>13947</v>
      </c>
      <c r="V1671" s="106">
        <v>0.0</v>
      </c>
      <c r="W1671" s="107">
        <v>0.0</v>
      </c>
      <c r="X1671" s="107">
        <v>0.0</v>
      </c>
      <c r="Y1671" s="107">
        <v>0.0</v>
      </c>
      <c r="Z1671" s="80">
        <f t="shared" si="1"/>
        <v>0</v>
      </c>
      <c r="AA1671" s="106">
        <v>0.0</v>
      </c>
      <c r="AB1671" s="107">
        <v>0.0</v>
      </c>
      <c r="AC1671" s="107">
        <v>0.0</v>
      </c>
      <c r="AD1671" s="107">
        <v>0.0</v>
      </c>
      <c r="AE1671" s="80">
        <f t="shared" si="2"/>
        <v>0</v>
      </c>
      <c r="AF1671" s="140">
        <v>68.0</v>
      </c>
      <c r="AG1671" s="109">
        <v>0.0</v>
      </c>
      <c r="AH1671" s="109">
        <v>0.0</v>
      </c>
      <c r="AI1671" s="141">
        <v>0.0</v>
      </c>
      <c r="AJ1671" s="80">
        <f t="shared" si="3"/>
        <v>68</v>
      </c>
      <c r="AK1671" s="140">
        <v>0.0</v>
      </c>
      <c r="AL1671" s="109">
        <v>0.0</v>
      </c>
      <c r="AM1671" s="141">
        <v>0.0</v>
      </c>
      <c r="AN1671" s="80">
        <f t="shared" si="4"/>
        <v>0</v>
      </c>
      <c r="AO1671" s="140">
        <v>0.0</v>
      </c>
      <c r="AP1671" s="109">
        <v>0.0</v>
      </c>
      <c r="AQ1671" s="109">
        <v>55.0</v>
      </c>
      <c r="AR1671" s="80">
        <f t="shared" si="5"/>
        <v>55</v>
      </c>
      <c r="AS1671" s="110">
        <v>64.0</v>
      </c>
      <c r="AT1671" s="110">
        <v>0.0</v>
      </c>
      <c r="AU1671" s="110">
        <v>0.0</v>
      </c>
      <c r="AV1671" s="142">
        <v>0.0</v>
      </c>
      <c r="AW1671" s="80">
        <f t="shared" si="6"/>
        <v>64</v>
      </c>
      <c r="AX1671" s="113">
        <f t="shared" si="7"/>
        <v>187</v>
      </c>
      <c r="AY1671" s="117">
        <f t="shared" si="8"/>
        <v>132</v>
      </c>
      <c r="AZ1671" s="120">
        <f t="shared" si="9"/>
        <v>55</v>
      </c>
      <c r="BA1671" s="115">
        <v>0.0</v>
      </c>
      <c r="BB1671" s="89">
        <f t="shared" si="10"/>
        <v>187</v>
      </c>
      <c r="BC1671" s="132" t="s">
        <v>178</v>
      </c>
      <c r="BD1671" s="132" t="s">
        <v>178</v>
      </c>
      <c r="BE1671" s="132" t="s">
        <v>178</v>
      </c>
      <c r="BF1671" s="156"/>
      <c r="BG1671" s="83">
        <v>1146493.0</v>
      </c>
      <c r="BH1671" s="98" t="s">
        <v>9452</v>
      </c>
      <c r="BI1671" s="112">
        <v>6.0</v>
      </c>
      <c r="BJ1671" s="98" t="s">
        <v>155</v>
      </c>
      <c r="BK1671" s="99">
        <f t="shared" si="11"/>
        <v>0</v>
      </c>
      <c r="BL1671" s="99">
        <f t="shared" si="12"/>
        <v>132</v>
      </c>
      <c r="BM1671" s="99" t="str">
        <f>IFERROR(__xludf.DUMMYFUNCTION("IFERROR(VLOOKUP(BG1671,IMPORTRANGE(""https://docs.google.com/spreadsheets/d/1juPI-Fb8LD0YtltB2mlGEnp_R3UVu1t3wSFPzgCyHXE/edit?gid=0#gid=0"",""GERAL!A2:C""),3,0),""-"")"),"-")</f>
        <v>-</v>
      </c>
    </row>
    <row r="1672" ht="15.75" customHeight="1">
      <c r="A1672" s="111" t="s">
        <v>1842</v>
      </c>
      <c r="B1672" s="83" t="s">
        <v>9449</v>
      </c>
      <c r="C1672" s="83" t="s">
        <v>164</v>
      </c>
      <c r="D1672" s="112">
        <v>1146493.0</v>
      </c>
      <c r="E1672" s="83">
        <v>1178517.0</v>
      </c>
      <c r="F1672" s="98">
        <v>2.9492661E7</v>
      </c>
      <c r="G1672" s="114" t="s">
        <v>9461</v>
      </c>
      <c r="H1672" s="91" t="s">
        <v>9462</v>
      </c>
      <c r="I1672" s="83" t="s">
        <v>149</v>
      </c>
      <c r="J1672" s="83" t="s">
        <v>244</v>
      </c>
      <c r="K1672" s="83" t="s">
        <v>168</v>
      </c>
      <c r="L1672" s="82" t="s">
        <v>169</v>
      </c>
      <c r="M1672" s="82" t="str">
        <f>IFERROR(__xludf.DUMMYFUNCTION("IFERROR(VLOOKUP(D1672,
IMPORTRANGE(""https://docs.google.com/spreadsheets/d/1MjHtlUikwobi2MaWJgy7tfLeBmhj1u-dRFRs_8GwSoA/edit#gid=0"",""Gestores Escolares!D7:J""),3,0),""VERIFICAR CÓD SEC"")"),"CELETE PEREIRA PINHO ")</f>
        <v>CELETE PEREIRA PINHO </v>
      </c>
      <c r="N1672" s="82" t="str">
        <f>IFERROR(__xludf.DUMMYFUNCTION("IFERROR(VLOOKUP(D1672,
IMPORTRANGE(""https://docs.google.com/spreadsheets/d/1MjHtlUikwobi2MaWJgy7tfLeBmhj1u-dRFRs_8GwSoA/edit#gid=0"",""Gestores Escolares!D7:J""),4,0),""VERIFICAR CÓD SEC"")"),"(73) 9 9974-4718")</f>
        <v>(73) 9 9974-4718</v>
      </c>
      <c r="O1672" s="82" t="str">
        <f>IFERROR(__xludf.DUMMYFUNCTION("IFERROR(VLOOKUP(D1672,
IMPORTRANGE(""https://docs.google.com/spreadsheets/d/1MjHtlUikwobi2MaWJgy7tfLeBmhj1u-dRFRs_8GwSoA/edit#gid=0"",""Gestores Escolares!D7:J""),6,0),""VERIFICAR CÓD SEC"")"),"")</f>
        <v/>
      </c>
      <c r="P1672" s="82" t="str">
        <f>IFERROR(__xludf.DUMMYFUNCTION("IFERROR(VLOOKUP(D1672,
IMPORTRANGE(""https://docs.google.com/spreadsheets/d/1MjHtlUikwobi2MaWJgy7tfLeBmhj1u-dRFRs_8GwSoA/edit#gid=0"",""Gestores Escolares!D7:J""),7,0),""VERIFICAR CÓD SEC"")"),"")</f>
        <v/>
      </c>
      <c r="Q1672" s="82" t="str">
        <f>IFERROR(__xludf.DUMMYFUNCTION("IFERROR(VLOOKUP(D1672,
IMPORTRANGE(""https://docs.google.com/spreadsheets/d/1MjHtlUikwobi2MaWJgy7tfLeBmhj1u-dRFRs_8GwSoA/edit#gid=0"",""Gestores Escolares!D7:m""),9,0),""VERIFICAR CÓD SEC"")"),"")</f>
        <v/>
      </c>
      <c r="R1672" s="82" t="str">
        <f>IFERROR(__xludf.DUMMYFUNCTION("IFERROR(VLOOKUP(D1672,
IMPORTRANGE(""https://docs.google.com/spreadsheets/d/1MjHtlUikwobi2MaWJgy7tfLeBmhj1u-dRFRs_8GwSoA/edit#gid=0"",""Gestores Escolares!D7:m""),10,0),""VERIFICAR CÓD SEC"")"),"")</f>
        <v/>
      </c>
      <c r="S1672" s="82"/>
      <c r="T1672" s="138">
        <v>3.0</v>
      </c>
      <c r="U1672" s="152">
        <v>3.0</v>
      </c>
      <c r="V1672" s="106">
        <v>0.0</v>
      </c>
      <c r="W1672" s="107">
        <v>0.0</v>
      </c>
      <c r="X1672" s="107">
        <v>0.0</v>
      </c>
      <c r="Y1672" s="107">
        <v>0.0</v>
      </c>
      <c r="Z1672" s="80">
        <f t="shared" si="1"/>
        <v>0</v>
      </c>
      <c r="AA1672" s="106">
        <v>0.0</v>
      </c>
      <c r="AB1672" s="107">
        <v>0.0</v>
      </c>
      <c r="AC1672" s="107">
        <v>0.0</v>
      </c>
      <c r="AD1672" s="107">
        <v>0.0</v>
      </c>
      <c r="AE1672" s="80">
        <f t="shared" si="2"/>
        <v>0</v>
      </c>
      <c r="AF1672" s="140">
        <v>0.0</v>
      </c>
      <c r="AG1672" s="109">
        <v>0.0</v>
      </c>
      <c r="AH1672" s="109">
        <v>0.0</v>
      </c>
      <c r="AI1672" s="141">
        <v>0.0</v>
      </c>
      <c r="AJ1672" s="80">
        <f t="shared" si="3"/>
        <v>0</v>
      </c>
      <c r="AK1672" s="140">
        <v>0.0</v>
      </c>
      <c r="AL1672" s="109">
        <v>0.0</v>
      </c>
      <c r="AM1672" s="141">
        <v>0.0</v>
      </c>
      <c r="AN1672" s="80">
        <f t="shared" si="4"/>
        <v>0</v>
      </c>
      <c r="AO1672" s="140">
        <v>0.0</v>
      </c>
      <c r="AP1672" s="109">
        <v>0.0</v>
      </c>
      <c r="AQ1672" s="109">
        <v>31.0</v>
      </c>
      <c r="AR1672" s="80">
        <f t="shared" si="5"/>
        <v>31</v>
      </c>
      <c r="AS1672" s="110">
        <v>0.0</v>
      </c>
      <c r="AT1672" s="110">
        <v>0.0</v>
      </c>
      <c r="AU1672" s="110">
        <v>0.0</v>
      </c>
      <c r="AV1672" s="142">
        <v>0.0</v>
      </c>
      <c r="AW1672" s="80">
        <f t="shared" si="6"/>
        <v>0</v>
      </c>
      <c r="AX1672" s="113">
        <f t="shared" si="7"/>
        <v>31</v>
      </c>
      <c r="AY1672" s="117">
        <f t="shared" si="8"/>
        <v>0</v>
      </c>
      <c r="AZ1672" s="120">
        <f t="shared" si="9"/>
        <v>31</v>
      </c>
      <c r="BA1672" s="115">
        <v>0.0</v>
      </c>
      <c r="BB1672" s="89">
        <f t="shared" si="10"/>
        <v>31</v>
      </c>
      <c r="BC1672" s="132" t="s">
        <v>373</v>
      </c>
      <c r="BD1672" s="132" t="s">
        <v>178</v>
      </c>
      <c r="BE1672" s="132" t="s">
        <v>178</v>
      </c>
      <c r="BF1672" s="123"/>
      <c r="BG1672" s="83">
        <v>1178517.0</v>
      </c>
      <c r="BH1672" s="112"/>
      <c r="BI1672" s="112">
        <v>3.0</v>
      </c>
      <c r="BJ1672" s="98" t="s">
        <v>155</v>
      </c>
      <c r="BK1672" s="99">
        <f t="shared" si="11"/>
        <v>0</v>
      </c>
      <c r="BL1672" s="99">
        <f t="shared" si="12"/>
        <v>0</v>
      </c>
      <c r="BM1672" s="99" t="str">
        <f>IFERROR(__xludf.DUMMYFUNCTION("IFERROR(VLOOKUP(BG1672,IMPORTRANGE(""https://docs.google.com/spreadsheets/d/1juPI-Fb8LD0YtltB2mlGEnp_R3UVu1t3wSFPzgCyHXE/edit?gid=0#gid=0"",""GERAL!A2:C""),3,0),""-"")"),"CAMPO")</f>
        <v>CAMPO</v>
      </c>
    </row>
    <row r="1673" ht="15.75" customHeight="1">
      <c r="A1673" s="111" t="s">
        <v>1842</v>
      </c>
      <c r="B1673" s="83" t="s">
        <v>9464</v>
      </c>
      <c r="C1673" s="83" t="s">
        <v>68</v>
      </c>
      <c r="D1673" s="112">
        <v>1146523.0</v>
      </c>
      <c r="E1673" s="136"/>
      <c r="F1673" s="136">
        <v>2.9309638E7</v>
      </c>
      <c r="G1673" s="187" t="s">
        <v>9465</v>
      </c>
      <c r="H1673" s="91" t="s">
        <v>9466</v>
      </c>
      <c r="I1673" s="83" t="s">
        <v>149</v>
      </c>
      <c r="J1673" s="83" t="s">
        <v>150</v>
      </c>
      <c r="K1673" s="83" t="s">
        <v>151</v>
      </c>
      <c r="L1673" s="82" t="s">
        <v>152</v>
      </c>
      <c r="M1673" s="82" t="str">
        <f>IFERROR(__xludf.DUMMYFUNCTION("IFERROR(VLOOKUP(D1673,
IMPORTRANGE(""https://docs.google.com/spreadsheets/d/1MjHtlUikwobi2MaWJgy7tfLeBmhj1u-dRFRs_8GwSoA/edit#gid=0"",""Gestores Escolares!D7:J""),3,0),""VERIFICAR CÓD SEC"")"),"ERICA SANTOS DIAS BATISTA")</f>
        <v>ERICA SANTOS DIAS BATISTA</v>
      </c>
      <c r="N1673" s="82" t="str">
        <f>IFERROR(__xludf.DUMMYFUNCTION("IFERROR(VLOOKUP(D1673,
IMPORTRANGE(""https://docs.google.com/spreadsheets/d/1MjHtlUikwobi2MaWJgy7tfLeBmhj1u-dRFRs_8GwSoA/edit#gid=0"",""Gestores Escolares!D7:J""),4,0),""VERIFICAR CÓD SEC"")"),"(73) 9 9936-6869")</f>
        <v>(73) 9 9936-6869</v>
      </c>
      <c r="O1673" s="82" t="str">
        <f>IFERROR(__xludf.DUMMYFUNCTION("IFERROR(VLOOKUP(D1673,
IMPORTRANGE(""https://docs.google.com/spreadsheets/d/1MjHtlUikwobi2MaWJgy7tfLeBmhj1u-dRFRs_8GwSoA/edit#gid=0"",""Gestores Escolares!D7:J""),6,0),""VERIFICAR CÓD SEC"")"),"RONALDO FILHO SOUZA SANTOS")</f>
        <v>RONALDO FILHO SOUZA SANTOS</v>
      </c>
      <c r="P1673" s="82" t="str">
        <f>IFERROR(__xludf.DUMMYFUNCTION("IFERROR(VLOOKUP(D1673,
IMPORTRANGE(""https://docs.google.com/spreadsheets/d/1MjHtlUikwobi2MaWJgy7tfLeBmhj1u-dRFRs_8GwSoA/edit#gid=0"",""Gestores Escolares!D7:J""),7,0),""VERIFICAR CÓD SEC"")"),"(73) 9 8152-9443/
9 8185-6880")</f>
        <v>(73) 9 8152-9443/
9 8185-6880</v>
      </c>
      <c r="Q1673" s="82" t="str">
        <f>IFERROR(__xludf.DUMMYFUNCTION("IFERROR(VLOOKUP(D1673,
IMPORTRANGE(""https://docs.google.com/spreadsheets/d/1MjHtlUikwobi2MaWJgy7tfLeBmhj1u-dRFRs_8GwSoA/edit#gid=0"",""Gestores Escolares!D7:m""),9,0),""VERIFICAR CÓD SEC"")"),"")</f>
        <v/>
      </c>
      <c r="R1673" s="82" t="str">
        <f>IFERROR(__xludf.DUMMYFUNCTION("IFERROR(VLOOKUP(D1673,
IMPORTRANGE(""https://docs.google.com/spreadsheets/d/1MjHtlUikwobi2MaWJgy7tfLeBmhj1u-dRFRs_8GwSoA/edit#gid=0"",""Gestores Escolares!D7:m""),10,0),""VERIFICAR CÓD SEC"")"),"")</f>
        <v/>
      </c>
      <c r="S1673" s="82"/>
      <c r="T1673" s="138">
        <v>6.0</v>
      </c>
      <c r="U1673" s="217" t="s">
        <v>13948</v>
      </c>
      <c r="V1673" s="106">
        <v>0.0</v>
      </c>
      <c r="W1673" s="107">
        <v>0.0</v>
      </c>
      <c r="X1673" s="107">
        <v>0.0</v>
      </c>
      <c r="Y1673" s="107">
        <v>0.0</v>
      </c>
      <c r="Z1673" s="80">
        <f t="shared" si="1"/>
        <v>0</v>
      </c>
      <c r="AA1673" s="106">
        <v>0.0</v>
      </c>
      <c r="AB1673" s="107">
        <v>0.0</v>
      </c>
      <c r="AC1673" s="107">
        <v>0.0</v>
      </c>
      <c r="AD1673" s="107">
        <v>0.0</v>
      </c>
      <c r="AE1673" s="80">
        <f t="shared" si="2"/>
        <v>0</v>
      </c>
      <c r="AF1673" s="140">
        <v>0.0</v>
      </c>
      <c r="AG1673" s="109">
        <v>0.0</v>
      </c>
      <c r="AH1673" s="109">
        <v>0.0</v>
      </c>
      <c r="AI1673" s="141">
        <v>181.0</v>
      </c>
      <c r="AJ1673" s="80">
        <f t="shared" si="3"/>
        <v>181</v>
      </c>
      <c r="AK1673" s="140">
        <v>0.0</v>
      </c>
      <c r="AL1673" s="109">
        <v>0.0</v>
      </c>
      <c r="AM1673" s="141">
        <v>0.0</v>
      </c>
      <c r="AN1673" s="80">
        <f t="shared" si="4"/>
        <v>0</v>
      </c>
      <c r="AO1673" s="140">
        <v>0.0</v>
      </c>
      <c r="AP1673" s="109">
        <v>0.0</v>
      </c>
      <c r="AQ1673" s="109">
        <v>50.0</v>
      </c>
      <c r="AR1673" s="80">
        <f t="shared" si="5"/>
        <v>50</v>
      </c>
      <c r="AS1673" s="110">
        <v>0.0</v>
      </c>
      <c r="AT1673" s="110">
        <v>0.0</v>
      </c>
      <c r="AU1673" s="110">
        <v>6.0</v>
      </c>
      <c r="AV1673" s="142">
        <v>0.0</v>
      </c>
      <c r="AW1673" s="80">
        <f t="shared" si="6"/>
        <v>6</v>
      </c>
      <c r="AX1673" s="113">
        <f t="shared" si="7"/>
        <v>237</v>
      </c>
      <c r="AY1673" s="117">
        <f t="shared" si="8"/>
        <v>181</v>
      </c>
      <c r="AZ1673" s="120">
        <f t="shared" si="9"/>
        <v>56</v>
      </c>
      <c r="BA1673" s="115">
        <v>0.0</v>
      </c>
      <c r="BB1673" s="89">
        <f t="shared" si="10"/>
        <v>237</v>
      </c>
      <c r="BC1673" s="132" t="s">
        <v>178</v>
      </c>
      <c r="BD1673" s="132" t="s">
        <v>178</v>
      </c>
      <c r="BE1673" s="132" t="s">
        <v>178</v>
      </c>
      <c r="BF1673" s="156"/>
      <c r="BG1673" s="83">
        <v>1146523.0</v>
      </c>
      <c r="BH1673" s="98" t="s">
        <v>9467</v>
      </c>
      <c r="BI1673" s="98">
        <v>8.0</v>
      </c>
      <c r="BJ1673" s="98" t="s">
        <v>155</v>
      </c>
      <c r="BK1673" s="99">
        <f t="shared" si="11"/>
        <v>181</v>
      </c>
      <c r="BL1673" s="99">
        <f t="shared" si="12"/>
        <v>0</v>
      </c>
      <c r="BM1673" s="99" t="str">
        <f>IFERROR(__xludf.DUMMYFUNCTION("IFERROR(VLOOKUP(BG1673,IMPORTRANGE(""https://docs.google.com/spreadsheets/d/1juPI-Fb8LD0YtltB2mlGEnp_R3UVu1t3wSFPzgCyHXE/edit?gid=0#gid=0"",""GERAL!A2:C""),3,0),""-"")"),"-")</f>
        <v>-</v>
      </c>
    </row>
    <row r="1674" ht="15.75" customHeight="1">
      <c r="A1674" s="111" t="s">
        <v>1842</v>
      </c>
      <c r="B1674" s="83" t="s">
        <v>9464</v>
      </c>
      <c r="C1674" s="83" t="s">
        <v>164</v>
      </c>
      <c r="D1674" s="112">
        <v>1146523.0</v>
      </c>
      <c r="E1674" s="83">
        <v>1178528.0</v>
      </c>
      <c r="F1674" s="98">
        <v>2.9490448E7</v>
      </c>
      <c r="G1674" s="114" t="s">
        <v>9470</v>
      </c>
      <c r="H1674" s="91" t="s">
        <v>9471</v>
      </c>
      <c r="I1674" s="83" t="s">
        <v>149</v>
      </c>
      <c r="J1674" s="83" t="s">
        <v>183</v>
      </c>
      <c r="K1674" s="83" t="s">
        <v>168</v>
      </c>
      <c r="L1674" s="82" t="s">
        <v>169</v>
      </c>
      <c r="M1674" s="82" t="str">
        <f>IFERROR(__xludf.DUMMYFUNCTION("IFERROR(VLOOKUP(D1674,
IMPORTRANGE(""https://docs.google.com/spreadsheets/d/1MjHtlUikwobi2MaWJgy7tfLeBmhj1u-dRFRs_8GwSoA/edit#gid=0"",""Gestores Escolares!D7:J""),3,0),""VERIFICAR CÓD SEC"")"),"ERICA SANTOS DIAS BATISTA")</f>
        <v>ERICA SANTOS DIAS BATISTA</v>
      </c>
      <c r="N1674" s="82" t="str">
        <f>IFERROR(__xludf.DUMMYFUNCTION("IFERROR(VLOOKUP(D1674,
IMPORTRANGE(""https://docs.google.com/spreadsheets/d/1MjHtlUikwobi2MaWJgy7tfLeBmhj1u-dRFRs_8GwSoA/edit#gid=0"",""Gestores Escolares!D7:J""),4,0),""VERIFICAR CÓD SEC"")"),"(73) 9 9936-6869")</f>
        <v>(73) 9 9936-6869</v>
      </c>
      <c r="O1674" s="82" t="str">
        <f>IFERROR(__xludf.DUMMYFUNCTION("IFERROR(VLOOKUP(D1674,
IMPORTRANGE(""https://docs.google.com/spreadsheets/d/1MjHtlUikwobi2MaWJgy7tfLeBmhj1u-dRFRs_8GwSoA/edit#gid=0"",""Gestores Escolares!D7:J""),6,0),""VERIFICAR CÓD SEC"")"),"RONALDO FILHO SOUZA SANTOS")</f>
        <v>RONALDO FILHO SOUZA SANTOS</v>
      </c>
      <c r="P1674" s="82" t="str">
        <f>IFERROR(__xludf.DUMMYFUNCTION("IFERROR(VLOOKUP(D1674,
IMPORTRANGE(""https://docs.google.com/spreadsheets/d/1MjHtlUikwobi2MaWJgy7tfLeBmhj1u-dRFRs_8GwSoA/edit#gid=0"",""Gestores Escolares!D7:J""),7,0),""VERIFICAR CÓD SEC"")"),"(73) 9 8152-9443/
9 8185-6880")</f>
        <v>(73) 9 8152-9443/
9 8185-6880</v>
      </c>
      <c r="Q1674" s="82" t="str">
        <f>IFERROR(__xludf.DUMMYFUNCTION("IFERROR(VLOOKUP(D1674,
IMPORTRANGE(""https://docs.google.com/spreadsheets/d/1MjHtlUikwobi2MaWJgy7tfLeBmhj1u-dRFRs_8GwSoA/edit#gid=0"",""Gestores Escolares!D7:m""),9,0),""VERIFICAR CÓD SEC"")"),"")</f>
        <v/>
      </c>
      <c r="R1674" s="82" t="str">
        <f>IFERROR(__xludf.DUMMYFUNCTION("IFERROR(VLOOKUP(D1674,
IMPORTRANGE(""https://docs.google.com/spreadsheets/d/1MjHtlUikwobi2MaWJgy7tfLeBmhj1u-dRFRs_8GwSoA/edit#gid=0"",""Gestores Escolares!D7:m""),10,0),""VERIFICAR CÓD SEC"")"),"")</f>
        <v/>
      </c>
      <c r="S1674" s="82"/>
      <c r="T1674" s="138">
        <v>2.0</v>
      </c>
      <c r="U1674" s="152">
        <v>2.0</v>
      </c>
      <c r="V1674" s="106">
        <v>0.0</v>
      </c>
      <c r="W1674" s="107">
        <v>0.0</v>
      </c>
      <c r="X1674" s="107">
        <v>0.0</v>
      </c>
      <c r="Y1674" s="107">
        <v>0.0</v>
      </c>
      <c r="Z1674" s="80">
        <f t="shared" si="1"/>
        <v>0</v>
      </c>
      <c r="AA1674" s="106">
        <v>0.0</v>
      </c>
      <c r="AB1674" s="107">
        <v>0.0</v>
      </c>
      <c r="AC1674" s="107">
        <v>0.0</v>
      </c>
      <c r="AD1674" s="107">
        <v>0.0</v>
      </c>
      <c r="AE1674" s="80">
        <f t="shared" si="2"/>
        <v>0</v>
      </c>
      <c r="AF1674" s="140">
        <v>0.0</v>
      </c>
      <c r="AG1674" s="109">
        <v>7.0</v>
      </c>
      <c r="AH1674" s="109">
        <v>9.0</v>
      </c>
      <c r="AI1674" s="141">
        <v>0.0</v>
      </c>
      <c r="AJ1674" s="80">
        <f t="shared" si="3"/>
        <v>16</v>
      </c>
      <c r="AK1674" s="140">
        <v>0.0</v>
      </c>
      <c r="AL1674" s="109">
        <v>0.0</v>
      </c>
      <c r="AM1674" s="141">
        <v>0.0</v>
      </c>
      <c r="AN1674" s="80">
        <f t="shared" si="4"/>
        <v>0</v>
      </c>
      <c r="AO1674" s="140">
        <v>0.0</v>
      </c>
      <c r="AP1674" s="109">
        <v>0.0</v>
      </c>
      <c r="AQ1674" s="109">
        <v>0.0</v>
      </c>
      <c r="AR1674" s="80">
        <f t="shared" si="5"/>
        <v>0</v>
      </c>
      <c r="AS1674" s="110">
        <v>0.0</v>
      </c>
      <c r="AT1674" s="110">
        <v>0.0</v>
      </c>
      <c r="AU1674" s="110">
        <v>0.0</v>
      </c>
      <c r="AV1674" s="142">
        <v>0.0</v>
      </c>
      <c r="AW1674" s="80">
        <f t="shared" si="6"/>
        <v>0</v>
      </c>
      <c r="AX1674" s="113">
        <f t="shared" si="7"/>
        <v>16</v>
      </c>
      <c r="AY1674" s="117">
        <f t="shared" si="8"/>
        <v>7</v>
      </c>
      <c r="AZ1674" s="120">
        <f t="shared" si="9"/>
        <v>9</v>
      </c>
      <c r="BA1674" s="115">
        <v>0.0</v>
      </c>
      <c r="BB1674" s="89">
        <f t="shared" si="10"/>
        <v>16</v>
      </c>
      <c r="BC1674" s="132" t="s">
        <v>373</v>
      </c>
      <c r="BD1674" s="132" t="s">
        <v>178</v>
      </c>
      <c r="BE1674" s="132" t="s">
        <v>178</v>
      </c>
      <c r="BF1674" s="123"/>
      <c r="BG1674" s="83">
        <v>1178528.0</v>
      </c>
      <c r="BH1674" s="112"/>
      <c r="BI1674" s="112">
        <v>2.0</v>
      </c>
      <c r="BJ1674" s="98" t="s">
        <v>155</v>
      </c>
      <c r="BK1674" s="99">
        <f t="shared" si="11"/>
        <v>0</v>
      </c>
      <c r="BL1674" s="99">
        <f t="shared" si="12"/>
        <v>7</v>
      </c>
      <c r="BM1674" s="99" t="str">
        <f>IFERROR(__xludf.DUMMYFUNCTION("IFERROR(VLOOKUP(BG1674,IMPORTRANGE(""https://docs.google.com/spreadsheets/d/1juPI-Fb8LD0YtltB2mlGEnp_R3UVu1t3wSFPzgCyHXE/edit?gid=0#gid=0"",""GERAL!A2:C""),3,0),""-"")"),"CAMPO")</f>
        <v>CAMPO</v>
      </c>
    </row>
    <row r="1675" ht="15.75" customHeight="1">
      <c r="A1675" s="111" t="s">
        <v>1842</v>
      </c>
      <c r="B1675" s="83" t="s">
        <v>2383</v>
      </c>
      <c r="C1675" s="83" t="s">
        <v>68</v>
      </c>
      <c r="D1675" s="112">
        <v>1141149.0</v>
      </c>
      <c r="E1675" s="136"/>
      <c r="F1675" s="136">
        <v>2.9326028E7</v>
      </c>
      <c r="G1675" s="187" t="s">
        <v>9476</v>
      </c>
      <c r="H1675" s="91" t="s">
        <v>9477</v>
      </c>
      <c r="I1675" s="172" t="s">
        <v>149</v>
      </c>
      <c r="J1675" s="83" t="s">
        <v>150</v>
      </c>
      <c r="K1675" s="83" t="s">
        <v>3467</v>
      </c>
      <c r="L1675" s="82" t="s">
        <v>230</v>
      </c>
      <c r="M1675" s="82" t="str">
        <f>IFERROR(__xludf.DUMMYFUNCTION("IFERROR(VLOOKUP(D1675,
IMPORTRANGE(""https://docs.google.com/spreadsheets/d/1MjHtlUikwobi2MaWJgy7tfLeBmhj1u-dRFRs_8GwSoA/edit#gid=0"",""Gestores Escolares!D7:J""),3,0),""VERIFICAR CÓD SEC"")"),"WELLINGTON SALGADO RODRIGUES")</f>
        <v>WELLINGTON SALGADO RODRIGUES</v>
      </c>
      <c r="N1675" s="82" t="str">
        <f>IFERROR(__xludf.DUMMYFUNCTION("IFERROR(VLOOKUP(D1675,
IMPORTRANGE(""https://docs.google.com/spreadsheets/d/1MjHtlUikwobi2MaWJgy7tfLeBmhj1u-dRFRs_8GwSoA/edit#gid=0"",""Gestores Escolares!D7:J""),4,0),""VERIFICAR CÓD SEC"")"),"(73) 9 8856-1893")</f>
        <v>(73) 9 8856-1893</v>
      </c>
      <c r="O1675" s="82" t="str">
        <f>IFERROR(__xludf.DUMMYFUNCTION("IFERROR(VLOOKUP(D1675,
IMPORTRANGE(""https://docs.google.com/spreadsheets/d/1MjHtlUikwobi2MaWJgy7tfLeBmhj1u-dRFRs_8GwSoA/edit#gid=0"",""Gestores Escolares!D7:J""),6,0),""VERIFICAR CÓD SEC"")"),"AGNALDO NEIVA SILVA")</f>
        <v>AGNALDO NEIVA SILVA</v>
      </c>
      <c r="P1675" s="82" t="str">
        <f>IFERROR(__xludf.DUMMYFUNCTION("IFERROR(VLOOKUP(D1675,
IMPORTRANGE(""https://docs.google.com/spreadsheets/d/1MjHtlUikwobi2MaWJgy7tfLeBmhj1u-dRFRs_8GwSoA/edit#gid=0"",""Gestores Escolares!D7:J""),7,0),""VERIFICAR CÓD SEC"")"),"(73) 9 8108-4985")</f>
        <v>(73) 9 8108-4985</v>
      </c>
      <c r="Q1675" s="82" t="str">
        <f>IFERROR(__xludf.DUMMYFUNCTION("IFERROR(VLOOKUP(D1675,
IMPORTRANGE(""https://docs.google.com/spreadsheets/d/1MjHtlUikwobi2MaWJgy7tfLeBmhj1u-dRFRs_8GwSoA/edit#gid=0"",""Gestores Escolares!D7:m""),9,0),""VERIFICAR CÓD SEC"")"),"PEDRO OLIVEIRA FASSARELLA")</f>
        <v>PEDRO OLIVEIRA FASSARELLA</v>
      </c>
      <c r="R1675" s="82" t="str">
        <f>IFERROR(__xludf.DUMMYFUNCTION("IFERROR(VLOOKUP(D1675,
IMPORTRANGE(""https://docs.google.com/spreadsheets/d/1MjHtlUikwobi2MaWJgy7tfLeBmhj1u-dRFRs_8GwSoA/edit#gid=0"",""Gestores Escolares!D7:m""),10,0),""VERIFICAR CÓD SEC"")"),"(28) 9 9983-2755")</f>
        <v>(28) 9 9983-2755</v>
      </c>
      <c r="S1675" s="82"/>
      <c r="T1675" s="138">
        <v>25.0</v>
      </c>
      <c r="U1675" s="499" t="s">
        <v>13949</v>
      </c>
      <c r="V1675" s="106">
        <v>0.0</v>
      </c>
      <c r="W1675" s="107">
        <v>0.0</v>
      </c>
      <c r="X1675" s="107">
        <v>0.0</v>
      </c>
      <c r="Y1675" s="107">
        <v>0.0</v>
      </c>
      <c r="Z1675" s="80">
        <f t="shared" si="1"/>
        <v>0</v>
      </c>
      <c r="AA1675" s="106">
        <v>0.0</v>
      </c>
      <c r="AB1675" s="107">
        <v>0.0</v>
      </c>
      <c r="AC1675" s="107">
        <v>0.0</v>
      </c>
      <c r="AD1675" s="107">
        <v>0.0</v>
      </c>
      <c r="AE1675" s="80">
        <f t="shared" si="2"/>
        <v>0</v>
      </c>
      <c r="AF1675" s="140">
        <v>0.0</v>
      </c>
      <c r="AG1675" s="109">
        <v>0.0</v>
      </c>
      <c r="AH1675" s="109">
        <v>0.0</v>
      </c>
      <c r="AI1675" s="141">
        <v>531.0</v>
      </c>
      <c r="AJ1675" s="80">
        <f t="shared" si="3"/>
        <v>531</v>
      </c>
      <c r="AK1675" s="140">
        <v>0.0</v>
      </c>
      <c r="AL1675" s="109">
        <v>0.0</v>
      </c>
      <c r="AM1675" s="141">
        <v>0.0</v>
      </c>
      <c r="AN1675" s="80">
        <f t="shared" si="4"/>
        <v>0</v>
      </c>
      <c r="AO1675" s="140">
        <v>0.0</v>
      </c>
      <c r="AP1675" s="109">
        <v>0.0</v>
      </c>
      <c r="AQ1675" s="109">
        <v>295.0</v>
      </c>
      <c r="AR1675" s="80">
        <f t="shared" si="5"/>
        <v>295</v>
      </c>
      <c r="AS1675" s="110">
        <v>0.0</v>
      </c>
      <c r="AT1675" s="110">
        <v>0.0</v>
      </c>
      <c r="AU1675" s="110">
        <v>15.0</v>
      </c>
      <c r="AV1675" s="142">
        <v>0.0</v>
      </c>
      <c r="AW1675" s="80">
        <f t="shared" si="6"/>
        <v>15</v>
      </c>
      <c r="AX1675" s="113">
        <f t="shared" si="7"/>
        <v>841</v>
      </c>
      <c r="AY1675" s="117">
        <f t="shared" si="8"/>
        <v>531</v>
      </c>
      <c r="AZ1675" s="120">
        <f t="shared" si="9"/>
        <v>310</v>
      </c>
      <c r="BA1675" s="115">
        <v>0.0</v>
      </c>
      <c r="BB1675" s="89">
        <f t="shared" si="10"/>
        <v>841</v>
      </c>
      <c r="BC1675" s="132" t="s">
        <v>178</v>
      </c>
      <c r="BD1675" s="132" t="s">
        <v>178</v>
      </c>
      <c r="BE1675" s="132" t="s">
        <v>178</v>
      </c>
      <c r="BF1675" s="156"/>
      <c r="BG1675" s="83">
        <v>1141149.0</v>
      </c>
      <c r="BH1675" s="98" t="s">
        <v>9478</v>
      </c>
      <c r="BI1675" s="112">
        <v>20.0</v>
      </c>
      <c r="BJ1675" s="98" t="s">
        <v>155</v>
      </c>
      <c r="BK1675" s="99">
        <f t="shared" si="11"/>
        <v>531</v>
      </c>
      <c r="BL1675" s="99">
        <f t="shared" si="12"/>
        <v>0</v>
      </c>
      <c r="BM1675" s="99" t="str">
        <f>IFERROR(__xludf.DUMMYFUNCTION("IFERROR(VLOOKUP(BG1675,IMPORTRANGE(""https://docs.google.com/spreadsheets/d/1juPI-Fb8LD0YtltB2mlGEnp_R3UVu1t3wSFPzgCyHXE/edit?gid=0#gid=0"",""GERAL!A2:C""),3,0),""-"")"),"-")</f>
        <v>-</v>
      </c>
    </row>
    <row r="1676" ht="62.25" customHeight="1">
      <c r="A1676" s="111" t="s">
        <v>1842</v>
      </c>
      <c r="B1676" s="83" t="s">
        <v>2383</v>
      </c>
      <c r="C1676" s="83" t="s">
        <v>68</v>
      </c>
      <c r="D1676" s="98">
        <v>1179823.0</v>
      </c>
      <c r="E1676" s="83"/>
      <c r="F1676" s="98">
        <v>2.9496047E7</v>
      </c>
      <c r="G1676" s="119" t="s">
        <v>9488</v>
      </c>
      <c r="H1676" s="108" t="s">
        <v>9489</v>
      </c>
      <c r="I1676" s="83"/>
      <c r="J1676" s="83"/>
      <c r="K1676" s="83" t="s">
        <v>168</v>
      </c>
      <c r="L1676" s="82" t="s">
        <v>169</v>
      </c>
      <c r="M1676" s="82" t="str">
        <f>IFERROR(__xludf.DUMMYFUNCTION("IFERROR(VLOOKUP(D1676,
IMPORTRANGE(""https://docs.google.com/spreadsheets/d/1MjHtlUikwobi2MaWJgy7tfLeBmhj1u-dRFRs_8GwSoA/edit#gid=0"",""Gestores Escolares!D7:J""),3,0),""VERIFICAR CÓD SEC"")"),"MARIA D AJUDA DE ALMEIDA BRAZ PIRES")</f>
        <v>MARIA D AJUDA DE ALMEIDA BRAZ PIRES</v>
      </c>
      <c r="N1676" s="82" t="str">
        <f>IFERROR(__xludf.DUMMYFUNCTION("IFERROR(VLOOKUP(D1676,
IMPORTRANGE(""https://docs.google.com/spreadsheets/d/1MjHtlUikwobi2MaWJgy7tfLeBmhj1u-dRFRs_8GwSoA/edit#gid=0"",""Gestores Escolares!D7:J""),4,0),""VERIFICAR CÓD SEC"")"),"(73) 9 9948-6182")</f>
        <v>(73) 9 9948-6182</v>
      </c>
      <c r="O1676" s="82" t="str">
        <f>IFERROR(__xludf.DUMMYFUNCTION("IFERROR(VLOOKUP(D1676,
IMPORTRANGE(""https://docs.google.com/spreadsheets/d/1MjHtlUikwobi2MaWJgy7tfLeBmhj1u-dRFRs_8GwSoA/edit#gid=0"",""Gestores Escolares!D7:J""),6,0),""VERIFICAR CÓD SEC"")"),"")</f>
        <v/>
      </c>
      <c r="P1676" s="82" t="str">
        <f>IFERROR(__xludf.DUMMYFUNCTION("IFERROR(VLOOKUP(D1676,
IMPORTRANGE(""https://docs.google.com/spreadsheets/d/1MjHtlUikwobi2MaWJgy7tfLeBmhj1u-dRFRs_8GwSoA/edit#gid=0"",""Gestores Escolares!D7:J""),7,0),""VERIFICAR CÓD SEC"")"),"")</f>
        <v/>
      </c>
      <c r="Q1676" s="82" t="str">
        <f>IFERROR(__xludf.DUMMYFUNCTION("IFERROR(VLOOKUP(D1676,
IMPORTRANGE(""https://docs.google.com/spreadsheets/d/1MjHtlUikwobi2MaWJgy7tfLeBmhj1u-dRFRs_8GwSoA/edit#gid=0"",""Gestores Escolares!D7:m""),9,0),""VERIFICAR CÓD SEC"")"),"")</f>
        <v/>
      </c>
      <c r="R1676" s="82" t="str">
        <f>IFERROR(__xludf.DUMMYFUNCTION("IFERROR(VLOOKUP(D1676,
IMPORTRANGE(""https://docs.google.com/spreadsheets/d/1MjHtlUikwobi2MaWJgy7tfLeBmhj1u-dRFRs_8GwSoA/edit#gid=0"",""Gestores Escolares!D7:m""),10,0),""VERIFICAR CÓD SEC"")"),"")</f>
        <v/>
      </c>
      <c r="S1676" s="82"/>
      <c r="T1676" s="138"/>
      <c r="U1676" s="499"/>
      <c r="V1676" s="106">
        <v>0.0</v>
      </c>
      <c r="W1676" s="107">
        <v>0.0</v>
      </c>
      <c r="X1676" s="107">
        <v>0.0</v>
      </c>
      <c r="Y1676" s="107">
        <v>0.0</v>
      </c>
      <c r="Z1676" s="80">
        <f t="shared" si="1"/>
        <v>0</v>
      </c>
      <c r="AA1676" s="106">
        <v>0.0</v>
      </c>
      <c r="AB1676" s="107">
        <v>0.0</v>
      </c>
      <c r="AC1676" s="107">
        <v>0.0</v>
      </c>
      <c r="AD1676" s="107">
        <v>0.0</v>
      </c>
      <c r="AE1676" s="80">
        <f t="shared" si="2"/>
        <v>0</v>
      </c>
      <c r="AF1676" s="140">
        <v>51.0</v>
      </c>
      <c r="AG1676" s="109">
        <v>0.0</v>
      </c>
      <c r="AH1676" s="109">
        <v>0.0</v>
      </c>
      <c r="AI1676" s="141">
        <v>0.0</v>
      </c>
      <c r="AJ1676" s="80">
        <f t="shared" si="3"/>
        <v>51</v>
      </c>
      <c r="AK1676" s="140">
        <v>0.0</v>
      </c>
      <c r="AL1676" s="109">
        <v>0.0</v>
      </c>
      <c r="AM1676" s="141">
        <v>0.0</v>
      </c>
      <c r="AN1676" s="80">
        <f t="shared" si="4"/>
        <v>0</v>
      </c>
      <c r="AO1676" s="140">
        <v>0.0</v>
      </c>
      <c r="AP1676" s="109">
        <v>0.0</v>
      </c>
      <c r="AQ1676" s="109">
        <v>0.0</v>
      </c>
      <c r="AR1676" s="80">
        <f t="shared" si="5"/>
        <v>0</v>
      </c>
      <c r="AS1676" s="110">
        <v>0.0</v>
      </c>
      <c r="AT1676" s="110">
        <v>0.0</v>
      </c>
      <c r="AU1676" s="110">
        <v>0.0</v>
      </c>
      <c r="AV1676" s="142">
        <v>0.0</v>
      </c>
      <c r="AW1676" s="80">
        <f t="shared" si="6"/>
        <v>0</v>
      </c>
      <c r="AX1676" s="113">
        <f t="shared" si="7"/>
        <v>51</v>
      </c>
      <c r="AY1676" s="117">
        <f t="shared" si="8"/>
        <v>51</v>
      </c>
      <c r="AZ1676" s="120">
        <f t="shared" si="9"/>
        <v>0</v>
      </c>
      <c r="BA1676" s="115">
        <v>0.0</v>
      </c>
      <c r="BB1676" s="89">
        <f t="shared" si="10"/>
        <v>51</v>
      </c>
      <c r="BC1676" s="132"/>
      <c r="BD1676" s="132"/>
      <c r="BE1676" s="132"/>
      <c r="BF1676" s="123"/>
      <c r="BG1676" s="98">
        <v>1179823.0</v>
      </c>
      <c r="BH1676" s="98"/>
      <c r="BI1676" s="98"/>
      <c r="BJ1676" s="98"/>
      <c r="BK1676" s="99">
        <f t="shared" si="11"/>
        <v>0</v>
      </c>
      <c r="BL1676" s="99">
        <f t="shared" si="12"/>
        <v>51</v>
      </c>
      <c r="BM1676" s="99" t="str">
        <f>IFERROR(__xludf.DUMMYFUNCTION("IFERROR(VLOOKUP(BG1676,IMPORTRANGE(""https://docs.google.com/spreadsheets/d/1juPI-Fb8LD0YtltB2mlGEnp_R3UVu1t3wSFPzgCyHXE/edit?gid=0#gid=0"",""GERAL!A2:C""),3,0),""-"")"),"INDÍGENAS")</f>
        <v>INDÍGENAS</v>
      </c>
    </row>
    <row r="1677" ht="81.75" customHeight="1">
      <c r="A1677" s="111" t="s">
        <v>1842</v>
      </c>
      <c r="B1677" s="83" t="s">
        <v>2383</v>
      </c>
      <c r="C1677" s="83" t="s">
        <v>68</v>
      </c>
      <c r="D1677" s="98">
        <v>1179818.0</v>
      </c>
      <c r="E1677" s="83"/>
      <c r="F1677" s="98">
        <v>2.9496039E7</v>
      </c>
      <c r="G1677" s="119" t="s">
        <v>9494</v>
      </c>
      <c r="H1677" s="108" t="s">
        <v>9495</v>
      </c>
      <c r="I1677" s="83"/>
      <c r="J1677" s="83"/>
      <c r="K1677" s="83" t="s">
        <v>168</v>
      </c>
      <c r="L1677" s="82" t="s">
        <v>169</v>
      </c>
      <c r="M1677" s="82" t="str">
        <f>IFERROR(__xludf.DUMMYFUNCTION("IFERROR(VLOOKUP(D1677,
IMPORTRANGE(""https://docs.google.com/spreadsheets/d/1MjHtlUikwobi2MaWJgy7tfLeBmhj1u-dRFRs_8GwSoA/edit#gid=0"",""Gestores Escolares!D7:J""),3,0),""VERIFICAR CÓD SEC"")"),"	KAIONES BRAZ DOS SANTOS")</f>
        <v>	KAIONES BRAZ DOS SANTOS</v>
      </c>
      <c r="N1677" s="82" t="str">
        <f>IFERROR(__xludf.DUMMYFUNCTION("IFERROR(VLOOKUP(D1677,
IMPORTRANGE(""https://docs.google.com/spreadsheets/d/1MjHtlUikwobi2MaWJgy7tfLeBmhj1u-dRFRs_8GwSoA/edit#gid=0"",""Gestores Escolares!D7:J""),4,0),""VERIFICAR CÓD SEC"")"),"(73) 9 9133-6876")</f>
        <v>(73) 9 9133-6876</v>
      </c>
      <c r="O1677" s="82" t="str">
        <f>IFERROR(__xludf.DUMMYFUNCTION("IFERROR(VLOOKUP(D1677,
IMPORTRANGE(""https://docs.google.com/spreadsheets/d/1MjHtlUikwobi2MaWJgy7tfLeBmhj1u-dRFRs_8GwSoA/edit#gid=0"",""Gestores Escolares!D7:J""),6,0),""VERIFICAR CÓD SEC"")"),"")</f>
        <v/>
      </c>
      <c r="P1677" s="82" t="str">
        <f>IFERROR(__xludf.DUMMYFUNCTION("IFERROR(VLOOKUP(D1677,
IMPORTRANGE(""https://docs.google.com/spreadsheets/d/1MjHtlUikwobi2MaWJgy7tfLeBmhj1u-dRFRs_8GwSoA/edit#gid=0"",""Gestores Escolares!D7:J""),7,0),""VERIFICAR CÓD SEC"")"),"")</f>
        <v/>
      </c>
      <c r="Q1677" s="82" t="str">
        <f>IFERROR(__xludf.DUMMYFUNCTION("IFERROR(VLOOKUP(D1677,
IMPORTRANGE(""https://docs.google.com/spreadsheets/d/1MjHtlUikwobi2MaWJgy7tfLeBmhj1u-dRFRs_8GwSoA/edit#gid=0"",""Gestores Escolares!D7:m""),9,0),""VERIFICAR CÓD SEC"")"),"")</f>
        <v/>
      </c>
      <c r="R1677" s="82" t="str">
        <f>IFERROR(__xludf.DUMMYFUNCTION("IFERROR(VLOOKUP(D1677,
IMPORTRANGE(""https://docs.google.com/spreadsheets/d/1MjHtlUikwobi2MaWJgy7tfLeBmhj1u-dRFRs_8GwSoA/edit#gid=0"",""Gestores Escolares!D7:m""),10,0),""VERIFICAR CÓD SEC"")"),"")</f>
        <v/>
      </c>
      <c r="S1677" s="82"/>
      <c r="T1677" s="138"/>
      <c r="U1677" s="635"/>
      <c r="V1677" s="106">
        <v>0.0</v>
      </c>
      <c r="W1677" s="107">
        <v>0.0</v>
      </c>
      <c r="X1677" s="107">
        <v>0.0</v>
      </c>
      <c r="Y1677" s="107">
        <v>0.0</v>
      </c>
      <c r="Z1677" s="80">
        <f t="shared" si="1"/>
        <v>0</v>
      </c>
      <c r="AA1677" s="106">
        <v>0.0</v>
      </c>
      <c r="AB1677" s="107">
        <v>0.0</v>
      </c>
      <c r="AC1677" s="107">
        <v>0.0</v>
      </c>
      <c r="AD1677" s="107">
        <v>0.0</v>
      </c>
      <c r="AE1677" s="80">
        <f t="shared" si="2"/>
        <v>0</v>
      </c>
      <c r="AF1677" s="140">
        <v>73.0</v>
      </c>
      <c r="AG1677" s="109">
        <v>56.0</v>
      </c>
      <c r="AH1677" s="109">
        <v>0.0</v>
      </c>
      <c r="AI1677" s="141">
        <v>0.0</v>
      </c>
      <c r="AJ1677" s="80">
        <f t="shared" si="3"/>
        <v>129</v>
      </c>
      <c r="AK1677" s="140">
        <v>0.0</v>
      </c>
      <c r="AL1677" s="109">
        <v>0.0</v>
      </c>
      <c r="AM1677" s="141">
        <v>0.0</v>
      </c>
      <c r="AN1677" s="80">
        <f t="shared" si="4"/>
        <v>0</v>
      </c>
      <c r="AO1677" s="140">
        <v>0.0</v>
      </c>
      <c r="AP1677" s="109">
        <v>0.0</v>
      </c>
      <c r="AQ1677" s="109">
        <v>0.0</v>
      </c>
      <c r="AR1677" s="80">
        <f t="shared" si="5"/>
        <v>0</v>
      </c>
      <c r="AS1677" s="110">
        <v>0.0</v>
      </c>
      <c r="AT1677" s="110">
        <v>0.0</v>
      </c>
      <c r="AU1677" s="110">
        <v>0.0</v>
      </c>
      <c r="AV1677" s="142">
        <v>0.0</v>
      </c>
      <c r="AW1677" s="80">
        <f t="shared" si="6"/>
        <v>0</v>
      </c>
      <c r="AX1677" s="113">
        <f t="shared" si="7"/>
        <v>129</v>
      </c>
      <c r="AY1677" s="117">
        <f t="shared" si="8"/>
        <v>129</v>
      </c>
      <c r="AZ1677" s="120">
        <f t="shared" si="9"/>
        <v>0</v>
      </c>
      <c r="BA1677" s="115">
        <v>0.0</v>
      </c>
      <c r="BB1677" s="89">
        <f t="shared" si="10"/>
        <v>129</v>
      </c>
      <c r="BC1677" s="132"/>
      <c r="BD1677" s="132"/>
      <c r="BE1677" s="132"/>
      <c r="BF1677" s="123"/>
      <c r="BG1677" s="98">
        <v>1179818.0</v>
      </c>
      <c r="BH1677" s="98"/>
      <c r="BI1677" s="98"/>
      <c r="BJ1677" s="98"/>
      <c r="BK1677" s="99">
        <f t="shared" si="11"/>
        <v>0</v>
      </c>
      <c r="BL1677" s="99">
        <f t="shared" si="12"/>
        <v>129</v>
      </c>
      <c r="BM1677" s="99" t="str">
        <f>IFERROR(__xludf.DUMMYFUNCTION("IFERROR(VLOOKUP(BG1677,IMPORTRANGE(""https://docs.google.com/spreadsheets/d/1juPI-Fb8LD0YtltB2mlGEnp_R3UVu1t3wSFPzgCyHXE/edit?gid=0#gid=0"",""GERAL!A2:C""),3,0),""-"")"),"INDÍGENAS")</f>
        <v>INDÍGENAS</v>
      </c>
    </row>
    <row r="1678" ht="15.75" customHeight="1">
      <c r="A1678" s="111" t="s">
        <v>1842</v>
      </c>
      <c r="B1678" s="83" t="s">
        <v>2383</v>
      </c>
      <c r="C1678" s="83" t="s">
        <v>68</v>
      </c>
      <c r="D1678" s="112">
        <v>1178042.0</v>
      </c>
      <c r="E1678" s="83"/>
      <c r="F1678" s="83">
        <v>2.9428254E7</v>
      </c>
      <c r="G1678" s="114" t="s">
        <v>9503</v>
      </c>
      <c r="H1678" s="91" t="s">
        <v>9504</v>
      </c>
      <c r="I1678" s="83" t="s">
        <v>149</v>
      </c>
      <c r="J1678" s="83" t="s">
        <v>209</v>
      </c>
      <c r="K1678" s="83" t="s">
        <v>168</v>
      </c>
      <c r="L1678" s="82" t="s">
        <v>169</v>
      </c>
      <c r="M1678" s="82" t="str">
        <f>IFERROR(__xludf.DUMMYFUNCTION("IFERROR(VLOOKUP(D1678,
IMPORTRANGE(""https://docs.google.com/spreadsheets/d/1MjHtlUikwobi2MaWJgy7tfLeBmhj1u-dRFRs_8GwSoA/edit#gid=0"",""Gestores Escolares!D7:J""),3,0),""VERIFICAR CÓD SEC"")"),"JEORGE LUIS MARTINS DE OLIVEIRA")</f>
        <v>JEORGE LUIS MARTINS DE OLIVEIRA</v>
      </c>
      <c r="N1678" s="82" t="str">
        <f>IFERROR(__xludf.DUMMYFUNCTION("IFERROR(VLOOKUP(D1678,
IMPORTRANGE(""https://docs.google.com/spreadsheets/d/1MjHtlUikwobi2MaWJgy7tfLeBmhj1u-dRFRs_8GwSoA/edit#gid=0"",""Gestores Escolares!D7:J""),4,0),""VERIFICAR CÓD SEC"")"),"(73) 9 8135-7173")</f>
        <v>(73) 9 8135-7173</v>
      </c>
      <c r="O1678" s="82" t="str">
        <f>IFERROR(__xludf.DUMMYFUNCTION("IFERROR(VLOOKUP(D1678,
IMPORTRANGE(""https://docs.google.com/spreadsheets/d/1MjHtlUikwobi2MaWJgy7tfLeBmhj1u-dRFRs_8GwSoA/edit#gid=0"",""Gestores Escolares!D7:J""),6,0),""VERIFICAR CÓD SEC"")")," LORENA OSS DE SOUSA")</f>
        <v> LORENA OSS DE SOUSA</v>
      </c>
      <c r="P1678" s="82" t="str">
        <f>IFERROR(__xludf.DUMMYFUNCTION("IFERROR(VLOOKUP(D1678,
IMPORTRANGE(""https://docs.google.com/spreadsheets/d/1MjHtlUikwobi2MaWJgy7tfLeBmhj1u-dRFRs_8GwSoA/edit#gid=0"",""Gestores Escolares!D7:J""),7,0),""VERIFICAR CÓD SEC"")"),"(73) 9 9996-6112")</f>
        <v>(73) 9 9996-6112</v>
      </c>
      <c r="Q1678" s="82" t="str">
        <f>IFERROR(__xludf.DUMMYFUNCTION("IFERROR(VLOOKUP(D1678,
IMPORTRANGE(""https://docs.google.com/spreadsheets/d/1MjHtlUikwobi2MaWJgy7tfLeBmhj1u-dRFRs_8GwSoA/edit#gid=0"",""Gestores Escolares!D7:m""),9,0),""VERIFICAR CÓD SEC"")"),"")</f>
        <v/>
      </c>
      <c r="R1678" s="82" t="str">
        <f>IFERROR(__xludf.DUMMYFUNCTION("IFERROR(VLOOKUP(D1678,
IMPORTRANGE(""https://docs.google.com/spreadsheets/d/1MjHtlUikwobi2MaWJgy7tfLeBmhj1u-dRFRs_8GwSoA/edit#gid=0"",""Gestores Escolares!D7:m""),10,0),""VERIFICAR CÓD SEC"")"),"")</f>
        <v/>
      </c>
      <c r="S1678" s="82"/>
      <c r="T1678" s="138">
        <v>11.0</v>
      </c>
      <c r="U1678" s="635" t="s">
        <v>13950</v>
      </c>
      <c r="V1678" s="106">
        <v>0.0</v>
      </c>
      <c r="W1678" s="107">
        <v>0.0</v>
      </c>
      <c r="X1678" s="107">
        <v>0.0</v>
      </c>
      <c r="Y1678" s="107">
        <v>0.0</v>
      </c>
      <c r="Z1678" s="80">
        <f t="shared" si="1"/>
        <v>0</v>
      </c>
      <c r="AA1678" s="106">
        <v>0.0</v>
      </c>
      <c r="AB1678" s="107">
        <v>0.0</v>
      </c>
      <c r="AC1678" s="107">
        <v>0.0</v>
      </c>
      <c r="AD1678" s="107">
        <v>0.0</v>
      </c>
      <c r="AE1678" s="80">
        <f t="shared" si="2"/>
        <v>0</v>
      </c>
      <c r="AF1678" s="140">
        <v>0.0</v>
      </c>
      <c r="AG1678" s="109">
        <v>198.0</v>
      </c>
      <c r="AH1678" s="109">
        <v>0.0</v>
      </c>
      <c r="AI1678" s="141">
        <v>0.0</v>
      </c>
      <c r="AJ1678" s="80">
        <f t="shared" si="3"/>
        <v>198</v>
      </c>
      <c r="AK1678" s="140">
        <v>0.0</v>
      </c>
      <c r="AL1678" s="109">
        <v>0.0</v>
      </c>
      <c r="AM1678" s="141">
        <v>0.0</v>
      </c>
      <c r="AN1678" s="80">
        <f t="shared" si="4"/>
        <v>0</v>
      </c>
      <c r="AO1678" s="140">
        <v>0.0</v>
      </c>
      <c r="AP1678" s="109">
        <v>0.0</v>
      </c>
      <c r="AQ1678" s="109">
        <v>88.0</v>
      </c>
      <c r="AR1678" s="80">
        <f t="shared" si="5"/>
        <v>88</v>
      </c>
      <c r="AS1678" s="110">
        <v>0.0</v>
      </c>
      <c r="AT1678" s="110">
        <v>0.0</v>
      </c>
      <c r="AU1678" s="110">
        <v>0.0</v>
      </c>
      <c r="AV1678" s="142">
        <v>0.0</v>
      </c>
      <c r="AW1678" s="80">
        <f t="shared" si="6"/>
        <v>0</v>
      </c>
      <c r="AX1678" s="113">
        <f t="shared" si="7"/>
        <v>286</v>
      </c>
      <c r="AY1678" s="117">
        <f t="shared" si="8"/>
        <v>198</v>
      </c>
      <c r="AZ1678" s="120">
        <f t="shared" si="9"/>
        <v>88</v>
      </c>
      <c r="BA1678" s="115">
        <v>0.0</v>
      </c>
      <c r="BB1678" s="89">
        <f t="shared" si="10"/>
        <v>286</v>
      </c>
      <c r="BC1678" s="132" t="s">
        <v>373</v>
      </c>
      <c r="BD1678" s="132" t="s">
        <v>178</v>
      </c>
      <c r="BE1678" s="132" t="s">
        <v>178</v>
      </c>
      <c r="BF1678" s="123"/>
      <c r="BG1678" s="83">
        <v>1178042.0</v>
      </c>
      <c r="BH1678" s="98" t="s">
        <v>9506</v>
      </c>
      <c r="BI1678" s="98">
        <v>13.0</v>
      </c>
      <c r="BJ1678" s="98" t="s">
        <v>155</v>
      </c>
      <c r="BK1678" s="99">
        <f t="shared" si="11"/>
        <v>0</v>
      </c>
      <c r="BL1678" s="99">
        <f t="shared" si="12"/>
        <v>198</v>
      </c>
      <c r="BM1678" s="99" t="str">
        <f>IFERROR(__xludf.DUMMYFUNCTION("IFERROR(VLOOKUP(BG1678,IMPORTRANGE(""https://docs.google.com/spreadsheets/d/1juPI-Fb8LD0YtltB2mlGEnp_R3UVu1t3wSFPzgCyHXE/edit?gid=0#gid=0"",""GERAL!A2:C""),3,0),""-"")"),"CAMPO")</f>
        <v>CAMPO</v>
      </c>
    </row>
    <row r="1679" ht="15.75" customHeight="1">
      <c r="A1679" s="111" t="s">
        <v>1842</v>
      </c>
      <c r="B1679" s="83" t="s">
        <v>2383</v>
      </c>
      <c r="C1679" s="83" t="s">
        <v>68</v>
      </c>
      <c r="D1679" s="208">
        <v>1178043.0</v>
      </c>
      <c r="E1679" s="83"/>
      <c r="F1679" s="83">
        <v>2.943145E7</v>
      </c>
      <c r="G1679" s="114" t="s">
        <v>9510</v>
      </c>
      <c r="H1679" s="91" t="s">
        <v>9511</v>
      </c>
      <c r="I1679" s="83" t="s">
        <v>149</v>
      </c>
      <c r="J1679" s="83" t="s">
        <v>568</v>
      </c>
      <c r="K1679" s="83" t="s">
        <v>3467</v>
      </c>
      <c r="L1679" s="82" t="s">
        <v>230</v>
      </c>
      <c r="M1679" s="82" t="str">
        <f>IFERROR(__xludf.DUMMYFUNCTION("IFERROR(VLOOKUP(D1679,
IMPORTRANGE(""https://docs.google.com/spreadsheets/d/1MjHtlUikwobi2MaWJgy7tfLeBmhj1u-dRFRs_8GwSoA/edit#gid=0"",""Gestores Escolares!D7:J""),3,0),""VERIFICAR CÓD SEC"")"),"ELOÁ TAKACY PRUDENTE")</f>
        <v>ELOÁ TAKACY PRUDENTE</v>
      </c>
      <c r="N1679" s="82" t="str">
        <f>IFERROR(__xludf.DUMMYFUNCTION("IFERROR(VLOOKUP(D1679,
IMPORTRANGE(""https://docs.google.com/spreadsheets/d/1MjHtlUikwobi2MaWJgy7tfLeBmhj1u-dRFRs_8GwSoA/edit#gid=0"",""Gestores Escolares!D7:J""),4,0),""VERIFICAR CÓD SEC"")"),"(71) 9 8213-2224")</f>
        <v>(71) 9 8213-2224</v>
      </c>
      <c r="O1679" s="82" t="str">
        <f>IFERROR(__xludf.DUMMYFUNCTION("IFERROR(VLOOKUP(D1679,
IMPORTRANGE(""https://docs.google.com/spreadsheets/d/1MjHtlUikwobi2MaWJgy7tfLeBmhj1u-dRFRs_8GwSoA/edit#gid=0"",""Gestores Escolares!D7:J""),6,0),""VERIFICAR CÓD SEC"")"),"MARIA APARECIDA DO SANTOS SOUSA")</f>
        <v>MARIA APARECIDA DO SANTOS SOUSA</v>
      </c>
      <c r="P1679" s="82" t="str">
        <f>IFERROR(__xludf.DUMMYFUNCTION("IFERROR(VLOOKUP(D1679,
IMPORTRANGE(""https://docs.google.com/spreadsheets/d/1MjHtlUikwobi2MaWJgy7tfLeBmhj1u-dRFRs_8GwSoA/edit#gid=0"",""Gestores Escolares!D7:J""),7,0),""VERIFICAR CÓD SEC"")"),"(73) 9 9966-3849")</f>
        <v>(73) 9 9966-3849</v>
      </c>
      <c r="Q1679" s="82" t="str">
        <f>IFERROR(__xludf.DUMMYFUNCTION("IFERROR(VLOOKUP(D1679,
IMPORTRANGE(""https://docs.google.com/spreadsheets/d/1MjHtlUikwobi2MaWJgy7tfLeBmhj1u-dRFRs_8GwSoA/edit#gid=0"",""Gestores Escolares!D7:m""),9,0),""VERIFICAR CÓD SEC"")"),"TIAGO FERRAZ COSTA")</f>
        <v>TIAGO FERRAZ COSTA</v>
      </c>
      <c r="R1679" s="82" t="str">
        <f>IFERROR(__xludf.DUMMYFUNCTION("IFERROR(VLOOKUP(D1679,
IMPORTRANGE(""https://docs.google.com/spreadsheets/d/1MjHtlUikwobi2MaWJgy7tfLeBmhj1u-dRFRs_8GwSoA/edit#gid=0"",""Gestores Escolares!D7:m""),10,0),""VERIFICAR CÓD SEC"")"),"(73) 9 9957-6727")</f>
        <v>(73) 9 9957-6727</v>
      </c>
      <c r="S1679" s="82"/>
      <c r="T1679" s="138">
        <v>7.0</v>
      </c>
      <c r="U1679" s="635" t="s">
        <v>13951</v>
      </c>
      <c r="V1679" s="106">
        <v>0.0</v>
      </c>
      <c r="W1679" s="107">
        <v>0.0</v>
      </c>
      <c r="X1679" s="107">
        <v>0.0</v>
      </c>
      <c r="Y1679" s="107">
        <v>0.0</v>
      </c>
      <c r="Z1679" s="80">
        <f t="shared" si="1"/>
        <v>0</v>
      </c>
      <c r="AA1679" s="106">
        <v>0.0</v>
      </c>
      <c r="AB1679" s="107">
        <v>0.0</v>
      </c>
      <c r="AC1679" s="107">
        <v>0.0</v>
      </c>
      <c r="AD1679" s="107">
        <v>0.0</v>
      </c>
      <c r="AE1679" s="80">
        <f t="shared" si="2"/>
        <v>0</v>
      </c>
      <c r="AF1679" s="140">
        <v>258.0</v>
      </c>
      <c r="AG1679" s="109">
        <v>109.0</v>
      </c>
      <c r="AH1679" s="109">
        <v>0.0</v>
      </c>
      <c r="AI1679" s="141">
        <v>0.0</v>
      </c>
      <c r="AJ1679" s="80">
        <f t="shared" si="3"/>
        <v>367</v>
      </c>
      <c r="AK1679" s="140">
        <v>0.0</v>
      </c>
      <c r="AL1679" s="109">
        <v>0.0</v>
      </c>
      <c r="AM1679" s="141">
        <v>0.0</v>
      </c>
      <c r="AN1679" s="80">
        <f t="shared" si="4"/>
        <v>0</v>
      </c>
      <c r="AO1679" s="140">
        <v>0.0</v>
      </c>
      <c r="AP1679" s="109">
        <v>0.0</v>
      </c>
      <c r="AQ1679" s="109">
        <v>229.0</v>
      </c>
      <c r="AR1679" s="80">
        <f t="shared" si="5"/>
        <v>229</v>
      </c>
      <c r="AS1679" s="110">
        <v>0.0</v>
      </c>
      <c r="AT1679" s="110">
        <v>0.0</v>
      </c>
      <c r="AU1679" s="110">
        <v>0.0</v>
      </c>
      <c r="AV1679" s="142">
        <v>0.0</v>
      </c>
      <c r="AW1679" s="80">
        <f t="shared" si="6"/>
        <v>0</v>
      </c>
      <c r="AX1679" s="113">
        <f t="shared" si="7"/>
        <v>596</v>
      </c>
      <c r="AY1679" s="117">
        <f t="shared" si="8"/>
        <v>367</v>
      </c>
      <c r="AZ1679" s="120">
        <f t="shared" si="9"/>
        <v>229</v>
      </c>
      <c r="BA1679" s="115">
        <v>0.0</v>
      </c>
      <c r="BB1679" s="89">
        <f t="shared" si="10"/>
        <v>596</v>
      </c>
      <c r="BC1679" s="132" t="s">
        <v>178</v>
      </c>
      <c r="BD1679" s="132" t="s">
        <v>178</v>
      </c>
      <c r="BE1679" s="132" t="s">
        <v>178</v>
      </c>
      <c r="BF1679" s="123"/>
      <c r="BG1679" s="83">
        <v>1178043.0</v>
      </c>
      <c r="BH1679" s="98" t="s">
        <v>9512</v>
      </c>
      <c r="BI1679" s="112">
        <v>7.0</v>
      </c>
      <c r="BJ1679" s="98" t="s">
        <v>155</v>
      </c>
      <c r="BK1679" s="99">
        <f t="shared" si="11"/>
        <v>0</v>
      </c>
      <c r="BL1679" s="99">
        <f t="shared" si="12"/>
        <v>367</v>
      </c>
      <c r="BM1679" s="99" t="str">
        <f>IFERROR(__xludf.DUMMYFUNCTION("IFERROR(VLOOKUP(BG1679,IMPORTRANGE(""https://docs.google.com/spreadsheets/d/1juPI-Fb8LD0YtltB2mlGEnp_R3UVu1t3wSFPzgCyHXE/edit?gid=0#gid=0"",""GERAL!A2:C""),3,0),""-"")"),"-")</f>
        <v>-</v>
      </c>
    </row>
    <row r="1680" ht="15.75" customHeight="1">
      <c r="A1680" s="111" t="s">
        <v>1842</v>
      </c>
      <c r="B1680" s="83" t="s">
        <v>2383</v>
      </c>
      <c r="C1680" s="83" t="s">
        <v>68</v>
      </c>
      <c r="D1680" s="208">
        <v>1177093.0</v>
      </c>
      <c r="E1680" s="83"/>
      <c r="F1680" s="83">
        <v>2.9422345E7</v>
      </c>
      <c r="G1680" s="119" t="s">
        <v>9519</v>
      </c>
      <c r="H1680" s="91" t="s">
        <v>9520</v>
      </c>
      <c r="I1680" s="83" t="s">
        <v>13768</v>
      </c>
      <c r="J1680" s="83" t="s">
        <v>150</v>
      </c>
      <c r="K1680" s="83" t="s">
        <v>3467</v>
      </c>
      <c r="L1680" s="82" t="s">
        <v>230</v>
      </c>
      <c r="M1680" s="82" t="str">
        <f>IFERROR(__xludf.DUMMYFUNCTION("IFERROR(VLOOKUP(D1680,
IMPORTRANGE(""https://docs.google.com/spreadsheets/d/1MjHtlUikwobi2MaWJgy7tfLeBmhj1u-dRFRs_8GwSoA/edit#gid=0"",""Gestores Escolares!D7:J""),3,0),""VERIFICAR CÓD SEC"")"),"LIZZIANE DO NASCIMENTO SANTOS SILVA")</f>
        <v>LIZZIANE DO NASCIMENTO SANTOS SILVA</v>
      </c>
      <c r="N1680" s="82" t="str">
        <f>IFERROR(__xludf.DUMMYFUNCTION("IFERROR(VLOOKUP(D1680,
IMPORTRANGE(""https://docs.google.com/spreadsheets/d/1MjHtlUikwobi2MaWJgy7tfLeBmhj1u-dRFRs_8GwSoA/edit#gid=0"",""Gestores Escolares!D7:J""),4,0),""VERIFICAR CÓD SEC"")"),"(73) 9 9933-7979")</f>
        <v>(73) 9 9933-7979</v>
      </c>
      <c r="O1680" s="82" t="str">
        <f>IFERROR(__xludf.DUMMYFUNCTION("IFERROR(VLOOKUP(D1680,
IMPORTRANGE(""https://docs.google.com/spreadsheets/d/1MjHtlUikwobi2MaWJgy7tfLeBmhj1u-dRFRs_8GwSoA/edit#gid=0"",""Gestores Escolares!D7:J""),6,0),""VERIFICAR CÓD SEC"")"),"RITA DE CASSIA OLIVEIRA DA SILVA")</f>
        <v>RITA DE CASSIA OLIVEIRA DA SILVA</v>
      </c>
      <c r="P1680" s="82" t="str">
        <f>IFERROR(__xludf.DUMMYFUNCTION("IFERROR(VLOOKUP(D1680,
IMPORTRANGE(""https://docs.google.com/spreadsheets/d/1MjHtlUikwobi2MaWJgy7tfLeBmhj1u-dRFRs_8GwSoA/edit#gid=0"",""Gestores Escolares!D7:J""),7,0),""VERIFICAR CÓD SEC"")"),"(73) 9 9966-7135")</f>
        <v>(73) 9 9966-7135</v>
      </c>
      <c r="Q1680" s="82" t="str">
        <f>IFERROR(__xludf.DUMMYFUNCTION("IFERROR(VLOOKUP(D1680,
IMPORTRANGE(""https://docs.google.com/spreadsheets/d/1MjHtlUikwobi2MaWJgy7tfLeBmhj1u-dRFRs_8GwSoA/edit#gid=0"",""Gestores Escolares!D7:m""),9,0),""VERIFICAR CÓD SEC"")"),"MARCIO MENDES SILVA DINIZ")</f>
        <v>MARCIO MENDES SILVA DINIZ</v>
      </c>
      <c r="R1680" s="82" t="str">
        <f>IFERROR(__xludf.DUMMYFUNCTION("IFERROR(VLOOKUP(D1680,
IMPORTRANGE(""https://docs.google.com/spreadsheets/d/1MjHtlUikwobi2MaWJgy7tfLeBmhj1u-dRFRs_8GwSoA/edit#gid=0"",""Gestores Escolares!D7:m""),10,0),""VERIFICAR CÓD SEC"")"),"(73) 9 8139-9978")</f>
        <v>(73) 9 8139-9978</v>
      </c>
      <c r="S1680" s="82"/>
      <c r="T1680" s="138">
        <v>19.0</v>
      </c>
      <c r="U1680" s="635" t="s">
        <v>13952</v>
      </c>
      <c r="V1680" s="106">
        <v>0.0</v>
      </c>
      <c r="W1680" s="107">
        <v>0.0</v>
      </c>
      <c r="X1680" s="107">
        <v>0.0</v>
      </c>
      <c r="Y1680" s="107">
        <v>0.0</v>
      </c>
      <c r="Z1680" s="80">
        <f t="shared" si="1"/>
        <v>0</v>
      </c>
      <c r="AA1680" s="106">
        <v>0.0</v>
      </c>
      <c r="AB1680" s="107">
        <v>0.0</v>
      </c>
      <c r="AC1680" s="107">
        <v>0.0</v>
      </c>
      <c r="AD1680" s="107">
        <v>0.0</v>
      </c>
      <c r="AE1680" s="80">
        <f t="shared" si="2"/>
        <v>0</v>
      </c>
      <c r="AF1680" s="140">
        <v>686.0</v>
      </c>
      <c r="AG1680" s="109">
        <v>519.0</v>
      </c>
      <c r="AH1680" s="109">
        <v>0.0</v>
      </c>
      <c r="AI1680" s="141">
        <v>227.0</v>
      </c>
      <c r="AJ1680" s="80">
        <f t="shared" si="3"/>
        <v>1432</v>
      </c>
      <c r="AK1680" s="140">
        <v>0.0</v>
      </c>
      <c r="AL1680" s="109">
        <v>0.0</v>
      </c>
      <c r="AM1680" s="141">
        <v>0.0</v>
      </c>
      <c r="AN1680" s="80">
        <f t="shared" si="4"/>
        <v>0</v>
      </c>
      <c r="AO1680" s="140">
        <v>0.0</v>
      </c>
      <c r="AP1680" s="109">
        <v>0.0</v>
      </c>
      <c r="AQ1680" s="109">
        <v>300.0</v>
      </c>
      <c r="AR1680" s="80">
        <f t="shared" si="5"/>
        <v>300</v>
      </c>
      <c r="AS1680" s="110">
        <v>0.0</v>
      </c>
      <c r="AT1680" s="110">
        <v>0.0</v>
      </c>
      <c r="AU1680" s="110">
        <v>0.0</v>
      </c>
      <c r="AV1680" s="142">
        <v>0.0</v>
      </c>
      <c r="AW1680" s="80">
        <f t="shared" si="6"/>
        <v>0</v>
      </c>
      <c r="AX1680" s="113">
        <f t="shared" si="7"/>
        <v>1732</v>
      </c>
      <c r="AY1680" s="117">
        <f t="shared" si="8"/>
        <v>1432</v>
      </c>
      <c r="AZ1680" s="120">
        <f t="shared" si="9"/>
        <v>300</v>
      </c>
      <c r="BA1680" s="115">
        <v>0.0</v>
      </c>
      <c r="BB1680" s="89">
        <f t="shared" si="10"/>
        <v>1732</v>
      </c>
      <c r="BC1680" s="132" t="s">
        <v>178</v>
      </c>
      <c r="BD1680" s="132" t="s">
        <v>178</v>
      </c>
      <c r="BE1680" s="132" t="s">
        <v>178</v>
      </c>
      <c r="BF1680" s="156"/>
      <c r="BG1680" s="83">
        <v>1177093.0</v>
      </c>
      <c r="BH1680" s="98" t="s">
        <v>9523</v>
      </c>
      <c r="BI1680" s="98">
        <v>22.0</v>
      </c>
      <c r="BJ1680" s="98" t="s">
        <v>176</v>
      </c>
      <c r="BK1680" s="99">
        <f t="shared" si="11"/>
        <v>227</v>
      </c>
      <c r="BL1680" s="99">
        <f t="shared" si="12"/>
        <v>1205</v>
      </c>
      <c r="BM1680" s="99" t="str">
        <f>IFERROR(__xludf.DUMMYFUNCTION("IFERROR(VLOOKUP(BG1680,IMPORTRANGE(""https://docs.google.com/spreadsheets/d/1juPI-Fb8LD0YtltB2mlGEnp_R3UVu1t3wSFPzgCyHXE/edit?gid=0#gid=0"",""GERAL!A2:C""),3,0),""-"")"),"-")</f>
        <v>-</v>
      </c>
    </row>
    <row r="1681" ht="15.75" customHeight="1">
      <c r="A1681" s="111" t="s">
        <v>1842</v>
      </c>
      <c r="B1681" s="83" t="s">
        <v>2383</v>
      </c>
      <c r="C1681" s="83" t="s">
        <v>68</v>
      </c>
      <c r="D1681" s="208">
        <v>1178067.0</v>
      </c>
      <c r="E1681" s="83"/>
      <c r="F1681" s="83">
        <v>2.9428084E7</v>
      </c>
      <c r="G1681" s="114" t="s">
        <v>9540</v>
      </c>
      <c r="H1681" s="91" t="s">
        <v>9541</v>
      </c>
      <c r="I1681" s="83" t="s">
        <v>149</v>
      </c>
      <c r="J1681" s="83" t="s">
        <v>1741</v>
      </c>
      <c r="K1681" s="83" t="s">
        <v>3467</v>
      </c>
      <c r="L1681" s="94" t="s">
        <v>152</v>
      </c>
      <c r="M1681" s="82" t="str">
        <f>IFERROR(__xludf.DUMMYFUNCTION("IFERROR(VLOOKUP(D1681,
IMPORTRANGE(""https://docs.google.com/spreadsheets/d/1MjHtlUikwobi2MaWJgy7tfLeBmhj1u-dRFRs_8GwSoA/edit#gid=0"",""Gestores Escolares!D7:J""),3,0),""VERIFICAR CÓD SEC"")"),"DEISE EVANGELISTA FERNANDES PEREIRA")</f>
        <v>DEISE EVANGELISTA FERNANDES PEREIRA</v>
      </c>
      <c r="N1681" s="82" t="str">
        <f>IFERROR(__xludf.DUMMYFUNCTION("IFERROR(VLOOKUP(D1681,
IMPORTRANGE(""https://docs.google.com/spreadsheets/d/1MjHtlUikwobi2MaWJgy7tfLeBmhj1u-dRFRs_8GwSoA/edit#gid=0"",""Gestores Escolares!D7:J""),4,0),""VERIFICAR CÓD SEC"")"),"(73) 9 9180-6996")</f>
        <v>(73) 9 9180-6996</v>
      </c>
      <c r="O1681" s="82" t="str">
        <f>IFERROR(__xludf.DUMMYFUNCTION("IFERROR(VLOOKUP(D1681,
IMPORTRANGE(""https://docs.google.com/spreadsheets/d/1MjHtlUikwobi2MaWJgy7tfLeBmhj1u-dRFRs_8GwSoA/edit#gid=0"",""Gestores Escolares!D7:J""),6,0),""VERIFICAR CÓD SEC"")"),"LUCIANE HERNANDEZ")</f>
        <v>LUCIANE HERNANDEZ</v>
      </c>
      <c r="P1681" s="82" t="str">
        <f>IFERROR(__xludf.DUMMYFUNCTION("IFERROR(VLOOKUP(D1681,
IMPORTRANGE(""https://docs.google.com/spreadsheets/d/1MjHtlUikwobi2MaWJgy7tfLeBmhj1u-dRFRs_8GwSoA/edit#gid=0"",""Gestores Escolares!D7:J""),7,0),""VERIFICAR CÓD SEC"")"),"(73) 9 8866-1175")</f>
        <v>(73) 9 8866-1175</v>
      </c>
      <c r="Q1681" s="82" t="str">
        <f>IFERROR(__xludf.DUMMYFUNCTION("IFERROR(VLOOKUP(D1681,
IMPORTRANGE(""https://docs.google.com/spreadsheets/d/1MjHtlUikwobi2MaWJgy7tfLeBmhj1u-dRFRs_8GwSoA/edit#gid=0"",""Gestores Escolares!D7:m""),9,0),""VERIFICAR CÓD SEC"")"),"MICHELLE PEREIRA SOUZA")</f>
        <v>MICHELLE PEREIRA SOUZA</v>
      </c>
      <c r="R1681" s="82" t="str">
        <f>IFERROR(__xludf.DUMMYFUNCTION("IFERROR(VLOOKUP(D1681,
IMPORTRANGE(""https://docs.google.com/spreadsheets/d/1MjHtlUikwobi2MaWJgy7tfLeBmhj1u-dRFRs_8GwSoA/edit#gid=0"",""Gestores Escolares!D7:m""),10,0),""VERIFICAR CÓD SEC"")"),"(73) 9 9110-1035")</f>
        <v>(73) 9 9110-1035</v>
      </c>
      <c r="S1681" s="82"/>
      <c r="T1681" s="138">
        <v>9.0</v>
      </c>
      <c r="U1681" s="635">
        <v>8.0</v>
      </c>
      <c r="V1681" s="106">
        <v>0.0</v>
      </c>
      <c r="W1681" s="107">
        <v>0.0</v>
      </c>
      <c r="X1681" s="107">
        <v>0.0</v>
      </c>
      <c r="Y1681" s="107">
        <v>0.0</v>
      </c>
      <c r="Z1681" s="80">
        <f t="shared" si="1"/>
        <v>0</v>
      </c>
      <c r="AA1681" s="106">
        <v>0.0</v>
      </c>
      <c r="AB1681" s="107">
        <v>0.0</v>
      </c>
      <c r="AC1681" s="107">
        <v>0.0</v>
      </c>
      <c r="AD1681" s="107">
        <v>0.0</v>
      </c>
      <c r="AE1681" s="80">
        <f t="shared" si="2"/>
        <v>0</v>
      </c>
      <c r="AF1681" s="140">
        <v>121.0</v>
      </c>
      <c r="AG1681" s="109">
        <v>117.0</v>
      </c>
      <c r="AH1681" s="109">
        <v>0.0</v>
      </c>
      <c r="AI1681" s="141">
        <v>0.0</v>
      </c>
      <c r="AJ1681" s="80">
        <f t="shared" si="3"/>
        <v>238</v>
      </c>
      <c r="AK1681" s="140">
        <v>0.0</v>
      </c>
      <c r="AL1681" s="109">
        <v>0.0</v>
      </c>
      <c r="AM1681" s="141">
        <v>0.0</v>
      </c>
      <c r="AN1681" s="80">
        <f t="shared" si="4"/>
        <v>0</v>
      </c>
      <c r="AO1681" s="140">
        <v>0.0</v>
      </c>
      <c r="AP1681" s="109">
        <v>0.0</v>
      </c>
      <c r="AQ1681" s="109">
        <v>170.0</v>
      </c>
      <c r="AR1681" s="80">
        <f t="shared" si="5"/>
        <v>170</v>
      </c>
      <c r="AS1681" s="110">
        <v>199.0</v>
      </c>
      <c r="AT1681" s="110">
        <v>126.0</v>
      </c>
      <c r="AU1681" s="110">
        <v>21.0</v>
      </c>
      <c r="AV1681" s="142">
        <v>0.0</v>
      </c>
      <c r="AW1681" s="80">
        <f t="shared" si="6"/>
        <v>346</v>
      </c>
      <c r="AX1681" s="113">
        <f t="shared" si="7"/>
        <v>754</v>
      </c>
      <c r="AY1681" s="117">
        <f t="shared" si="8"/>
        <v>563</v>
      </c>
      <c r="AZ1681" s="120">
        <f t="shared" si="9"/>
        <v>191</v>
      </c>
      <c r="BA1681" s="115">
        <v>0.0</v>
      </c>
      <c r="BB1681" s="89">
        <f t="shared" si="10"/>
        <v>754</v>
      </c>
      <c r="BC1681" s="132" t="s">
        <v>178</v>
      </c>
      <c r="BD1681" s="132" t="s">
        <v>178</v>
      </c>
      <c r="BE1681" s="132" t="s">
        <v>178</v>
      </c>
      <c r="BF1681" s="123"/>
      <c r="BG1681" s="83">
        <v>1178067.0</v>
      </c>
      <c r="BH1681" s="98" t="s">
        <v>9542</v>
      </c>
      <c r="BI1681" s="98">
        <v>8.0</v>
      </c>
      <c r="BJ1681" s="98" t="s">
        <v>155</v>
      </c>
      <c r="BK1681" s="99">
        <f t="shared" si="11"/>
        <v>0</v>
      </c>
      <c r="BL1681" s="99">
        <f t="shared" si="12"/>
        <v>563</v>
      </c>
      <c r="BM1681" s="99" t="str">
        <f>IFERROR(__xludf.DUMMYFUNCTION("IFERROR(VLOOKUP(BG1681,IMPORTRANGE(""https://docs.google.com/spreadsheets/d/1juPI-Fb8LD0YtltB2mlGEnp_R3UVu1t3wSFPzgCyHXE/edit?gid=0#gid=0"",""GERAL!A2:C""),3,0),""-"")"),"-")</f>
        <v>-</v>
      </c>
    </row>
    <row r="1682" ht="15.75" customHeight="1">
      <c r="A1682" s="111" t="s">
        <v>1842</v>
      </c>
      <c r="B1682" s="83" t="s">
        <v>2383</v>
      </c>
      <c r="C1682" s="83" t="s">
        <v>68</v>
      </c>
      <c r="D1682" s="212">
        <v>1146434.0</v>
      </c>
      <c r="E1682" s="83"/>
      <c r="F1682" s="98">
        <v>2.932632E7</v>
      </c>
      <c r="G1682" s="153" t="s">
        <v>9550</v>
      </c>
      <c r="H1682" s="108" t="s">
        <v>9551</v>
      </c>
      <c r="I1682" s="98" t="s">
        <v>9552</v>
      </c>
      <c r="J1682" s="83"/>
      <c r="K1682" s="98" t="s">
        <v>151</v>
      </c>
      <c r="L1682" s="82" t="s">
        <v>230</v>
      </c>
      <c r="M1682" s="82" t="str">
        <f>IFERROR(__xludf.DUMMYFUNCTION("IFERROR(VLOOKUP(D1682,
IMPORTRANGE(""https://docs.google.com/spreadsheets/d/1MjHtlUikwobi2MaWJgy7tfLeBmhj1u-dRFRs_8GwSoA/edit#gid=0"",""Gestores Escolares!D7:J""),3,0),""VERIFICAR CÓD SEC"")"),"GLEISE SILVA ALVES")</f>
        <v>GLEISE SILVA ALVES</v>
      </c>
      <c r="N1682" s="82" t="str">
        <f>IFERROR(__xludf.DUMMYFUNCTION("IFERROR(VLOOKUP(D1682,
IMPORTRANGE(""https://docs.google.com/spreadsheets/d/1MjHtlUikwobi2MaWJgy7tfLeBmhj1u-dRFRs_8GwSoA/edit#gid=0"",""Gestores Escolares!D7:J""),4,0),""VERIFICAR CÓD SEC"")")," (73) 9 9180-6969")</f>
        <v> (73) 9 9180-6969</v>
      </c>
      <c r="O1682" s="82" t="str">
        <f>IFERROR(__xludf.DUMMYFUNCTION("IFERROR(VLOOKUP(D1682,
IMPORTRANGE(""https://docs.google.com/spreadsheets/d/1MjHtlUikwobi2MaWJgy7tfLeBmhj1u-dRFRs_8GwSoA/edit#gid=0"",""Gestores Escolares!D7:J""),6,0),""VERIFICAR CÓD SEC"")")," THAIS DA SILVA JULHO")</f>
        <v> THAIS DA SILVA JULHO</v>
      </c>
      <c r="P1682" s="82" t="str">
        <f>IFERROR(__xludf.DUMMYFUNCTION("IFERROR(VLOOKUP(D1682,
IMPORTRANGE(""https://docs.google.com/spreadsheets/d/1MjHtlUikwobi2MaWJgy7tfLeBmhj1u-dRFRs_8GwSoA/edit#gid=0"",""Gestores Escolares!D7:J""),7,0),""VERIFICAR CÓD SEC"")"),"(75) 9 8847-1320")</f>
        <v>(75) 9 8847-1320</v>
      </c>
      <c r="Q1682" s="82" t="str">
        <f>IFERROR(__xludf.DUMMYFUNCTION("IFERROR(VLOOKUP(D1682,
IMPORTRANGE(""https://docs.google.com/spreadsheets/d/1MjHtlUikwobi2MaWJgy7tfLeBmhj1u-dRFRs_8GwSoA/edit#gid=0"",""Gestores Escolares!D7:m""),9,0),""VERIFICAR CÓD SEC"")"),"SERINALDO OLIVEIRA ARAUJO")</f>
        <v>SERINALDO OLIVEIRA ARAUJO</v>
      </c>
      <c r="R1682" s="82" t="str">
        <f>IFERROR(__xludf.DUMMYFUNCTION("IFERROR(VLOOKUP(D1682,
IMPORTRANGE(""https://docs.google.com/spreadsheets/d/1MjHtlUikwobi2MaWJgy7tfLeBmhj1u-dRFRs_8GwSoA/edit#gid=0"",""Gestores Escolares!D7:m""),10,0),""VERIFICAR CÓD SEC"")"),"(73) 9 8233-3096")</f>
        <v>(73) 9 8233-3096</v>
      </c>
      <c r="S1682" s="82"/>
      <c r="T1682" s="138"/>
      <c r="U1682" s="561">
        <v>12.0</v>
      </c>
      <c r="V1682" s="106">
        <v>0.0</v>
      </c>
      <c r="W1682" s="107">
        <v>0.0</v>
      </c>
      <c r="X1682" s="107">
        <v>0.0</v>
      </c>
      <c r="Y1682" s="107">
        <v>0.0</v>
      </c>
      <c r="Z1682" s="80">
        <f t="shared" si="1"/>
        <v>0</v>
      </c>
      <c r="AA1682" s="106">
        <v>0.0</v>
      </c>
      <c r="AB1682" s="107">
        <v>0.0</v>
      </c>
      <c r="AC1682" s="107">
        <v>0.0</v>
      </c>
      <c r="AD1682" s="107">
        <v>0.0</v>
      </c>
      <c r="AE1682" s="80">
        <f t="shared" si="2"/>
        <v>0</v>
      </c>
      <c r="AF1682" s="140">
        <v>0.0</v>
      </c>
      <c r="AG1682" s="109">
        <v>80.0</v>
      </c>
      <c r="AH1682" s="109">
        <v>0.0</v>
      </c>
      <c r="AI1682" s="141">
        <v>39.0</v>
      </c>
      <c r="AJ1682" s="80">
        <f t="shared" si="3"/>
        <v>119</v>
      </c>
      <c r="AK1682" s="140">
        <v>0.0</v>
      </c>
      <c r="AL1682" s="109">
        <v>0.0</v>
      </c>
      <c r="AM1682" s="141">
        <v>0.0</v>
      </c>
      <c r="AN1682" s="80">
        <f t="shared" si="4"/>
        <v>0</v>
      </c>
      <c r="AO1682" s="140">
        <v>0.0</v>
      </c>
      <c r="AP1682" s="109">
        <v>0.0</v>
      </c>
      <c r="AQ1682" s="109">
        <v>0.0</v>
      </c>
      <c r="AR1682" s="80">
        <f t="shared" si="5"/>
        <v>0</v>
      </c>
      <c r="AS1682" s="110">
        <v>105.0</v>
      </c>
      <c r="AT1682" s="110">
        <v>35.0</v>
      </c>
      <c r="AU1682" s="110">
        <v>127.0</v>
      </c>
      <c r="AV1682" s="142">
        <v>215.0</v>
      </c>
      <c r="AW1682" s="80">
        <f t="shared" si="6"/>
        <v>482</v>
      </c>
      <c r="AX1682" s="113">
        <f t="shared" si="7"/>
        <v>601</v>
      </c>
      <c r="AY1682" s="117">
        <f t="shared" si="8"/>
        <v>474</v>
      </c>
      <c r="AZ1682" s="120">
        <f t="shared" si="9"/>
        <v>127</v>
      </c>
      <c r="BA1682" s="115">
        <v>0.0</v>
      </c>
      <c r="BB1682" s="89">
        <f t="shared" si="10"/>
        <v>601</v>
      </c>
      <c r="BC1682" s="132" t="s">
        <v>178</v>
      </c>
      <c r="BD1682" s="132" t="s">
        <v>779</v>
      </c>
      <c r="BE1682" s="132" t="s">
        <v>178</v>
      </c>
      <c r="BF1682" s="123"/>
      <c r="BG1682" s="98">
        <v>1146434.0</v>
      </c>
      <c r="BH1682" s="98" t="s">
        <v>9553</v>
      </c>
      <c r="BI1682" s="98">
        <v>0.0</v>
      </c>
      <c r="BJ1682" s="98" t="s">
        <v>162</v>
      </c>
      <c r="BK1682" s="99">
        <f t="shared" si="11"/>
        <v>254</v>
      </c>
      <c r="BL1682" s="99">
        <f t="shared" si="12"/>
        <v>220</v>
      </c>
      <c r="BM1682" s="99" t="str">
        <f>IFERROR(__xludf.DUMMYFUNCTION("IFERROR(VLOOKUP(BG1682,IMPORTRANGE(""https://docs.google.com/spreadsheets/d/1juPI-Fb8LD0YtltB2mlGEnp_R3UVu1t3wSFPzgCyHXE/edit?gid=0#gid=0"",""GERAL!A2:C""),3,0),""-"")"),"-")</f>
        <v>-</v>
      </c>
    </row>
    <row r="1683" ht="15.75" customHeight="1">
      <c r="A1683" s="111" t="s">
        <v>1842</v>
      </c>
      <c r="B1683" s="83" t="s">
        <v>2383</v>
      </c>
      <c r="C1683" s="83" t="s">
        <v>164</v>
      </c>
      <c r="D1683" s="208">
        <v>1178401.0</v>
      </c>
      <c r="E1683" s="189">
        <v>1179650.0</v>
      </c>
      <c r="F1683" s="212">
        <v>2.9492076E7</v>
      </c>
      <c r="G1683" s="294" t="s">
        <v>9564</v>
      </c>
      <c r="H1683" s="91" t="s">
        <v>9565</v>
      </c>
      <c r="I1683" s="83" t="s">
        <v>149</v>
      </c>
      <c r="J1683" s="136" t="s">
        <v>9566</v>
      </c>
      <c r="K1683" s="83" t="s">
        <v>168</v>
      </c>
      <c r="L1683" s="82" t="s">
        <v>169</v>
      </c>
      <c r="M1683" s="82" t="str">
        <f>IFERROR(__xludf.DUMMYFUNCTION("IFERROR(VLOOKUP(D1683,
IMPORTRANGE(""https://docs.google.com/spreadsheets/d/1MjHtlUikwobi2MaWJgy7tfLeBmhj1u-dRFRs_8GwSoA/edit#gid=0"",""Gestores Escolares!D7:J""),3,0),""VERIFICAR CÓD SEC"")"),"RAILSON SENA BRAZ CONCEICAO")</f>
        <v>RAILSON SENA BRAZ CONCEICAO</v>
      </c>
      <c r="N1683" s="82" t="str">
        <f>IFERROR(__xludf.DUMMYFUNCTION("IFERROR(VLOOKUP(D1683,
IMPORTRANGE(""https://docs.google.com/spreadsheets/d/1MjHtlUikwobi2MaWJgy7tfLeBmhj1u-dRFRs_8GwSoA/edit#gid=0"",""Gestores Escolares!D7:J""),4,0),""VERIFICAR CÓD SEC"")"),"(73) 9 9944-4029")</f>
        <v>(73) 9 9944-4029</v>
      </c>
      <c r="O1683" s="82" t="str">
        <f>IFERROR(__xludf.DUMMYFUNCTION("IFERROR(VLOOKUP(D1683,
IMPORTRANGE(""https://docs.google.com/spreadsheets/d/1MjHtlUikwobi2MaWJgy7tfLeBmhj1u-dRFRs_8GwSoA/edit#gid=0"",""Gestores Escolares!D7:J""),6,0),""VERIFICAR CÓD SEC"")"),"")</f>
        <v/>
      </c>
      <c r="P1683" s="82" t="str">
        <f>IFERROR(__xludf.DUMMYFUNCTION("IFERROR(VLOOKUP(D1683,
IMPORTRANGE(""https://docs.google.com/spreadsheets/d/1MjHtlUikwobi2MaWJgy7tfLeBmhj1u-dRFRs_8GwSoA/edit#gid=0"",""Gestores Escolares!D7:J""),7,0),""VERIFICAR CÓD SEC"")"),"")</f>
        <v/>
      </c>
      <c r="Q1683" s="82" t="str">
        <f>IFERROR(__xludf.DUMMYFUNCTION("IFERROR(VLOOKUP(D1683,
IMPORTRANGE(""https://docs.google.com/spreadsheets/d/1MjHtlUikwobi2MaWJgy7tfLeBmhj1u-dRFRs_8GwSoA/edit#gid=0"",""Gestores Escolares!D7:m""),9,0),""VERIFICAR CÓD SEC"")"),"")</f>
        <v/>
      </c>
      <c r="R1683" s="82" t="str">
        <f>IFERROR(__xludf.DUMMYFUNCTION("IFERROR(VLOOKUP(D1683,
IMPORTRANGE(""https://docs.google.com/spreadsheets/d/1MjHtlUikwobi2MaWJgy7tfLeBmhj1u-dRFRs_8GwSoA/edit#gid=0"",""Gestores Escolares!D7:m""),10,0),""VERIFICAR CÓD SEC"")"),"")</f>
        <v/>
      </c>
      <c r="S1683" s="82"/>
      <c r="T1683" s="138">
        <v>3.0</v>
      </c>
      <c r="U1683" s="152">
        <v>3.0</v>
      </c>
      <c r="V1683" s="106">
        <v>0.0</v>
      </c>
      <c r="W1683" s="107">
        <v>0.0</v>
      </c>
      <c r="X1683" s="107">
        <v>0.0</v>
      </c>
      <c r="Y1683" s="107">
        <v>0.0</v>
      </c>
      <c r="Z1683" s="80">
        <f t="shared" si="1"/>
        <v>0</v>
      </c>
      <c r="AA1683" s="106">
        <v>0.0</v>
      </c>
      <c r="AB1683" s="107">
        <v>0.0</v>
      </c>
      <c r="AC1683" s="107">
        <v>0.0</v>
      </c>
      <c r="AD1683" s="107">
        <v>0.0</v>
      </c>
      <c r="AE1683" s="80">
        <f t="shared" si="2"/>
        <v>0</v>
      </c>
      <c r="AF1683" s="140">
        <v>6.0</v>
      </c>
      <c r="AG1683" s="109">
        <v>0.0</v>
      </c>
      <c r="AH1683" s="109">
        <v>13.0</v>
      </c>
      <c r="AI1683" s="141">
        <v>0.0</v>
      </c>
      <c r="AJ1683" s="80">
        <f t="shared" si="3"/>
        <v>19</v>
      </c>
      <c r="AK1683" s="140">
        <v>0.0</v>
      </c>
      <c r="AL1683" s="109">
        <v>0.0</v>
      </c>
      <c r="AM1683" s="141">
        <v>0.0</v>
      </c>
      <c r="AN1683" s="80">
        <f t="shared" si="4"/>
        <v>0</v>
      </c>
      <c r="AO1683" s="140">
        <v>0.0</v>
      </c>
      <c r="AP1683" s="109">
        <v>0.0</v>
      </c>
      <c r="AQ1683" s="109">
        <v>0.0</v>
      </c>
      <c r="AR1683" s="80">
        <f t="shared" si="5"/>
        <v>0</v>
      </c>
      <c r="AS1683" s="110">
        <v>0.0</v>
      </c>
      <c r="AT1683" s="110">
        <v>0.0</v>
      </c>
      <c r="AU1683" s="110">
        <v>0.0</v>
      </c>
      <c r="AV1683" s="142">
        <v>0.0</v>
      </c>
      <c r="AW1683" s="80">
        <f t="shared" si="6"/>
        <v>0</v>
      </c>
      <c r="AX1683" s="113">
        <f t="shared" si="7"/>
        <v>19</v>
      </c>
      <c r="AY1683" s="117">
        <f t="shared" si="8"/>
        <v>6</v>
      </c>
      <c r="AZ1683" s="120">
        <f t="shared" si="9"/>
        <v>13</v>
      </c>
      <c r="BA1683" s="115">
        <v>0.0</v>
      </c>
      <c r="BB1683" s="89">
        <f t="shared" si="10"/>
        <v>19</v>
      </c>
      <c r="BC1683" s="143" t="s">
        <v>1294</v>
      </c>
      <c r="BD1683" s="132" t="s">
        <v>178</v>
      </c>
      <c r="BE1683" s="132" t="s">
        <v>178</v>
      </c>
      <c r="BF1683" s="156"/>
      <c r="BG1683" s="189">
        <v>1179650.0</v>
      </c>
      <c r="BH1683" s="208"/>
      <c r="BI1683" s="112">
        <v>3.0</v>
      </c>
      <c r="BJ1683" s="98" t="s">
        <v>155</v>
      </c>
      <c r="BK1683" s="99">
        <f t="shared" si="11"/>
        <v>0</v>
      </c>
      <c r="BL1683" s="99">
        <f t="shared" si="12"/>
        <v>6</v>
      </c>
      <c r="BM1683" s="99" t="str">
        <f>IFERROR(__xludf.DUMMYFUNCTION("IFERROR(VLOOKUP(BG1683,IMPORTRANGE(""https://docs.google.com/spreadsheets/d/1juPI-Fb8LD0YtltB2mlGEnp_R3UVu1t3wSFPzgCyHXE/edit?gid=0#gid=0"",""GERAL!A2:C""),3,0),""-"")"),"INDÍGENAS")</f>
        <v>INDÍGENAS</v>
      </c>
    </row>
    <row r="1684" ht="15.75" customHeight="1">
      <c r="A1684" s="111" t="s">
        <v>1842</v>
      </c>
      <c r="B1684" s="83" t="s">
        <v>2383</v>
      </c>
      <c r="C1684" s="83" t="s">
        <v>164</v>
      </c>
      <c r="D1684" s="208">
        <v>1178042.0</v>
      </c>
      <c r="E1684" s="83">
        <v>1178535.0</v>
      </c>
      <c r="F1684" s="98">
        <v>2.9491665E7</v>
      </c>
      <c r="G1684" s="185" t="s">
        <v>9575</v>
      </c>
      <c r="H1684" s="91" t="s">
        <v>9576</v>
      </c>
      <c r="I1684" s="83" t="s">
        <v>149</v>
      </c>
      <c r="J1684" s="83" t="s">
        <v>1460</v>
      </c>
      <c r="K1684" s="83" t="s">
        <v>168</v>
      </c>
      <c r="L1684" s="82" t="s">
        <v>169</v>
      </c>
      <c r="M1684" s="82" t="str">
        <f>IFERROR(__xludf.DUMMYFUNCTION("IFERROR(VLOOKUP(D1684,
IMPORTRANGE(""https://docs.google.com/spreadsheets/d/1MjHtlUikwobi2MaWJgy7tfLeBmhj1u-dRFRs_8GwSoA/edit#gid=0"",""Gestores Escolares!D7:J""),3,0),""VERIFICAR CÓD SEC"")"),"JEORGE LUIS MARTINS DE OLIVEIRA")</f>
        <v>JEORGE LUIS MARTINS DE OLIVEIRA</v>
      </c>
      <c r="N1684" s="82" t="str">
        <f>IFERROR(__xludf.DUMMYFUNCTION("IFERROR(VLOOKUP(D1684,
IMPORTRANGE(""https://docs.google.com/spreadsheets/d/1MjHtlUikwobi2MaWJgy7tfLeBmhj1u-dRFRs_8GwSoA/edit#gid=0"",""Gestores Escolares!D7:J""),4,0),""VERIFICAR CÓD SEC"")"),"(73) 9 8135-7173")</f>
        <v>(73) 9 8135-7173</v>
      </c>
      <c r="O1684" s="82" t="str">
        <f>IFERROR(__xludf.DUMMYFUNCTION("IFERROR(VLOOKUP(D1684,
IMPORTRANGE(""https://docs.google.com/spreadsheets/d/1MjHtlUikwobi2MaWJgy7tfLeBmhj1u-dRFRs_8GwSoA/edit#gid=0"",""Gestores Escolares!D7:J""),6,0),""VERIFICAR CÓD SEC"")")," LORENA OSS DE SOUSA")</f>
        <v> LORENA OSS DE SOUSA</v>
      </c>
      <c r="P1684" s="82" t="str">
        <f>IFERROR(__xludf.DUMMYFUNCTION("IFERROR(VLOOKUP(D1684,
IMPORTRANGE(""https://docs.google.com/spreadsheets/d/1MjHtlUikwobi2MaWJgy7tfLeBmhj1u-dRFRs_8GwSoA/edit#gid=0"",""Gestores Escolares!D7:J""),7,0),""VERIFICAR CÓD SEC"")"),"(73) 9 9996-6112")</f>
        <v>(73) 9 9996-6112</v>
      </c>
      <c r="Q1684" s="82" t="str">
        <f>IFERROR(__xludf.DUMMYFUNCTION("IFERROR(VLOOKUP(D1684,
IMPORTRANGE(""https://docs.google.com/spreadsheets/d/1MjHtlUikwobi2MaWJgy7tfLeBmhj1u-dRFRs_8GwSoA/edit#gid=0"",""Gestores Escolares!D7:m""),9,0),""VERIFICAR CÓD SEC"")"),"")</f>
        <v/>
      </c>
      <c r="R1684" s="82" t="str">
        <f>IFERROR(__xludf.DUMMYFUNCTION("IFERROR(VLOOKUP(D1684,
IMPORTRANGE(""https://docs.google.com/spreadsheets/d/1MjHtlUikwobi2MaWJgy7tfLeBmhj1u-dRFRs_8GwSoA/edit#gid=0"",""Gestores Escolares!D7:m""),10,0),""VERIFICAR CÓD SEC"")"),"")</f>
        <v/>
      </c>
      <c r="S1684" s="82"/>
      <c r="T1684" s="138">
        <v>3.0</v>
      </c>
      <c r="U1684" s="403">
        <v>3.0</v>
      </c>
      <c r="V1684" s="106">
        <v>0.0</v>
      </c>
      <c r="W1684" s="107">
        <v>0.0</v>
      </c>
      <c r="X1684" s="107">
        <v>0.0</v>
      </c>
      <c r="Y1684" s="107">
        <v>0.0</v>
      </c>
      <c r="Z1684" s="80">
        <f t="shared" si="1"/>
        <v>0</v>
      </c>
      <c r="AA1684" s="106">
        <v>0.0</v>
      </c>
      <c r="AB1684" s="107">
        <v>0.0</v>
      </c>
      <c r="AC1684" s="107">
        <v>0.0</v>
      </c>
      <c r="AD1684" s="107">
        <v>0.0</v>
      </c>
      <c r="AE1684" s="80">
        <f t="shared" si="2"/>
        <v>0</v>
      </c>
      <c r="AF1684" s="140">
        <v>0.0</v>
      </c>
      <c r="AG1684" s="109">
        <v>0.0</v>
      </c>
      <c r="AH1684" s="109">
        <v>0.0</v>
      </c>
      <c r="AI1684" s="141">
        <v>0.0</v>
      </c>
      <c r="AJ1684" s="80">
        <f t="shared" si="3"/>
        <v>0</v>
      </c>
      <c r="AK1684" s="140">
        <v>0.0</v>
      </c>
      <c r="AL1684" s="109">
        <v>0.0</v>
      </c>
      <c r="AM1684" s="141">
        <v>0.0</v>
      </c>
      <c r="AN1684" s="80">
        <f t="shared" si="4"/>
        <v>0</v>
      </c>
      <c r="AO1684" s="140">
        <v>0.0</v>
      </c>
      <c r="AP1684" s="109">
        <v>0.0</v>
      </c>
      <c r="AQ1684" s="109">
        <v>36.0</v>
      </c>
      <c r="AR1684" s="80">
        <f t="shared" si="5"/>
        <v>36</v>
      </c>
      <c r="AS1684" s="110">
        <v>0.0</v>
      </c>
      <c r="AT1684" s="110">
        <v>0.0</v>
      </c>
      <c r="AU1684" s="110">
        <v>0.0</v>
      </c>
      <c r="AV1684" s="142">
        <v>0.0</v>
      </c>
      <c r="AW1684" s="80">
        <f t="shared" si="6"/>
        <v>0</v>
      </c>
      <c r="AX1684" s="113">
        <f t="shared" si="7"/>
        <v>36</v>
      </c>
      <c r="AY1684" s="117">
        <f t="shared" si="8"/>
        <v>0</v>
      </c>
      <c r="AZ1684" s="120">
        <f t="shared" si="9"/>
        <v>36</v>
      </c>
      <c r="BA1684" s="115">
        <v>0.0</v>
      </c>
      <c r="BB1684" s="89">
        <f t="shared" si="10"/>
        <v>36</v>
      </c>
      <c r="BC1684" s="132" t="s">
        <v>373</v>
      </c>
      <c r="BD1684" s="132" t="s">
        <v>178</v>
      </c>
      <c r="BE1684" s="132" t="s">
        <v>178</v>
      </c>
      <c r="BF1684" s="123"/>
      <c r="BG1684" s="83">
        <v>1178535.0</v>
      </c>
      <c r="BH1684" s="112"/>
      <c r="BI1684" s="112">
        <v>3.0</v>
      </c>
      <c r="BJ1684" s="98" t="s">
        <v>155</v>
      </c>
      <c r="BK1684" s="99">
        <f t="shared" si="11"/>
        <v>0</v>
      </c>
      <c r="BL1684" s="99">
        <f t="shared" si="12"/>
        <v>0</v>
      </c>
      <c r="BM1684" s="99" t="str">
        <f>IFERROR(__xludf.DUMMYFUNCTION("IFERROR(VLOOKUP(BG1684,IMPORTRANGE(""https://docs.google.com/spreadsheets/d/1juPI-Fb8LD0YtltB2mlGEnp_R3UVu1t3wSFPzgCyHXE/edit?gid=0#gid=0"",""GERAL!A2:C""),3,0),""-"")"),"CAMPO")</f>
        <v>CAMPO</v>
      </c>
    </row>
    <row r="1685" ht="15.75" customHeight="1">
      <c r="A1685" s="111" t="s">
        <v>1842</v>
      </c>
      <c r="B1685" s="83" t="s">
        <v>2383</v>
      </c>
      <c r="C1685" s="83" t="s">
        <v>164</v>
      </c>
      <c r="D1685" s="112">
        <v>1178043.0</v>
      </c>
      <c r="E1685" s="83">
        <v>1178534.0</v>
      </c>
      <c r="F1685" s="98">
        <v>2.949155E7</v>
      </c>
      <c r="G1685" s="185" t="s">
        <v>9583</v>
      </c>
      <c r="H1685" s="91" t="s">
        <v>9584</v>
      </c>
      <c r="I1685" s="83" t="s">
        <v>149</v>
      </c>
      <c r="J1685" s="83" t="s">
        <v>1502</v>
      </c>
      <c r="K1685" s="83" t="s">
        <v>168</v>
      </c>
      <c r="L1685" s="82" t="s">
        <v>169</v>
      </c>
      <c r="M1685" s="82" t="str">
        <f>IFERROR(__xludf.DUMMYFUNCTION("IFERROR(VLOOKUP(D1685,
IMPORTRANGE(""https://docs.google.com/spreadsheets/d/1MjHtlUikwobi2MaWJgy7tfLeBmhj1u-dRFRs_8GwSoA/edit#gid=0"",""Gestores Escolares!D7:J""),3,0),""VERIFICAR CÓD SEC"")"),"ELOÁ TAKACY PRUDENTE")</f>
        <v>ELOÁ TAKACY PRUDENTE</v>
      </c>
      <c r="N1685" s="82" t="str">
        <f>IFERROR(__xludf.DUMMYFUNCTION("IFERROR(VLOOKUP(D1685,
IMPORTRANGE(""https://docs.google.com/spreadsheets/d/1MjHtlUikwobi2MaWJgy7tfLeBmhj1u-dRFRs_8GwSoA/edit#gid=0"",""Gestores Escolares!D7:J""),4,0),""VERIFICAR CÓD SEC"")"),"(71) 9 8213-2224")</f>
        <v>(71) 9 8213-2224</v>
      </c>
      <c r="O1685" s="82" t="str">
        <f>IFERROR(__xludf.DUMMYFUNCTION("IFERROR(VLOOKUP(D1685,
IMPORTRANGE(""https://docs.google.com/spreadsheets/d/1MjHtlUikwobi2MaWJgy7tfLeBmhj1u-dRFRs_8GwSoA/edit#gid=0"",""Gestores Escolares!D7:J""),6,0),""VERIFICAR CÓD SEC"")"),"MARIA APARECIDA DO SANTOS SOUSA")</f>
        <v>MARIA APARECIDA DO SANTOS SOUSA</v>
      </c>
      <c r="P1685" s="82" t="str">
        <f>IFERROR(__xludf.DUMMYFUNCTION("IFERROR(VLOOKUP(D1685,
IMPORTRANGE(""https://docs.google.com/spreadsheets/d/1MjHtlUikwobi2MaWJgy7tfLeBmhj1u-dRFRs_8GwSoA/edit#gid=0"",""Gestores Escolares!D7:J""),7,0),""VERIFICAR CÓD SEC"")"),"(73) 9 9966-3849")</f>
        <v>(73) 9 9966-3849</v>
      </c>
      <c r="Q1685" s="82" t="str">
        <f>IFERROR(__xludf.DUMMYFUNCTION("IFERROR(VLOOKUP(D1685,
IMPORTRANGE(""https://docs.google.com/spreadsheets/d/1MjHtlUikwobi2MaWJgy7tfLeBmhj1u-dRFRs_8GwSoA/edit#gid=0"",""Gestores Escolares!D7:m""),9,0),""VERIFICAR CÓD SEC"")"),"TIAGO FERRAZ COSTA")</f>
        <v>TIAGO FERRAZ COSTA</v>
      </c>
      <c r="R1685" s="82" t="str">
        <f>IFERROR(__xludf.DUMMYFUNCTION("IFERROR(VLOOKUP(D1685,
IMPORTRANGE(""https://docs.google.com/spreadsheets/d/1MjHtlUikwobi2MaWJgy7tfLeBmhj1u-dRFRs_8GwSoA/edit#gid=0"",""Gestores Escolares!D7:m""),10,0),""VERIFICAR CÓD SEC"")"),"(73) 9 9957-6727")</f>
        <v>(73) 9 9957-6727</v>
      </c>
      <c r="S1685" s="82"/>
      <c r="T1685" s="138">
        <v>4.0</v>
      </c>
      <c r="U1685" s="217">
        <v>4.0</v>
      </c>
      <c r="V1685" s="106">
        <v>0.0</v>
      </c>
      <c r="W1685" s="107">
        <v>0.0</v>
      </c>
      <c r="X1685" s="107">
        <v>0.0</v>
      </c>
      <c r="Y1685" s="107">
        <v>0.0</v>
      </c>
      <c r="Z1685" s="80">
        <f t="shared" si="1"/>
        <v>0</v>
      </c>
      <c r="AA1685" s="106">
        <v>0.0</v>
      </c>
      <c r="AB1685" s="107">
        <v>0.0</v>
      </c>
      <c r="AC1685" s="107">
        <v>0.0</v>
      </c>
      <c r="AD1685" s="107">
        <v>0.0</v>
      </c>
      <c r="AE1685" s="80">
        <f t="shared" si="2"/>
        <v>0</v>
      </c>
      <c r="AF1685" s="140">
        <v>0.0</v>
      </c>
      <c r="AG1685" s="109">
        <v>0.0</v>
      </c>
      <c r="AH1685" s="109">
        <v>0.0</v>
      </c>
      <c r="AI1685" s="141">
        <v>0.0</v>
      </c>
      <c r="AJ1685" s="80">
        <f t="shared" si="3"/>
        <v>0</v>
      </c>
      <c r="AK1685" s="140">
        <v>0.0</v>
      </c>
      <c r="AL1685" s="109">
        <v>0.0</v>
      </c>
      <c r="AM1685" s="141">
        <v>0.0</v>
      </c>
      <c r="AN1685" s="80">
        <f t="shared" si="4"/>
        <v>0</v>
      </c>
      <c r="AO1685" s="140">
        <v>0.0</v>
      </c>
      <c r="AP1685" s="109">
        <v>0.0</v>
      </c>
      <c r="AQ1685" s="109">
        <v>123.0</v>
      </c>
      <c r="AR1685" s="80">
        <f t="shared" si="5"/>
        <v>123</v>
      </c>
      <c r="AS1685" s="110">
        <v>0.0</v>
      </c>
      <c r="AT1685" s="110">
        <v>0.0</v>
      </c>
      <c r="AU1685" s="110">
        <v>0.0</v>
      </c>
      <c r="AV1685" s="142">
        <v>0.0</v>
      </c>
      <c r="AW1685" s="80">
        <f t="shared" si="6"/>
        <v>0</v>
      </c>
      <c r="AX1685" s="113">
        <f t="shared" si="7"/>
        <v>123</v>
      </c>
      <c r="AY1685" s="117">
        <f t="shared" si="8"/>
        <v>0</v>
      </c>
      <c r="AZ1685" s="120">
        <f t="shared" si="9"/>
        <v>123</v>
      </c>
      <c r="BA1685" s="115">
        <v>0.0</v>
      </c>
      <c r="BB1685" s="89">
        <f t="shared" si="10"/>
        <v>123</v>
      </c>
      <c r="BC1685" s="132" t="s">
        <v>373</v>
      </c>
      <c r="BD1685" s="132" t="s">
        <v>178</v>
      </c>
      <c r="BE1685" s="132" t="s">
        <v>178</v>
      </c>
      <c r="BF1685" s="123"/>
      <c r="BG1685" s="83">
        <v>1178534.0</v>
      </c>
      <c r="BH1685" s="98"/>
      <c r="BI1685" s="98">
        <v>4.0</v>
      </c>
      <c r="BJ1685" s="98" t="s">
        <v>155</v>
      </c>
      <c r="BK1685" s="99">
        <f t="shared" si="11"/>
        <v>0</v>
      </c>
      <c r="BL1685" s="99">
        <f t="shared" si="12"/>
        <v>0</v>
      </c>
      <c r="BM1685" s="99" t="str">
        <f>IFERROR(__xludf.DUMMYFUNCTION("IFERROR(VLOOKUP(BG1685,IMPORTRANGE(""https://docs.google.com/spreadsheets/d/1juPI-Fb8LD0YtltB2mlGEnp_R3UVu1t3wSFPzgCyHXE/edit?gid=0#gid=0"",""GERAL!A2:C""),3,0),""-"")"),"CAMPO")</f>
        <v>CAMPO</v>
      </c>
    </row>
    <row r="1686" ht="15.75" customHeight="1">
      <c r="A1686" s="111" t="s">
        <v>1842</v>
      </c>
      <c r="B1686" s="83" t="s">
        <v>2383</v>
      </c>
      <c r="C1686" s="83" t="s">
        <v>164</v>
      </c>
      <c r="D1686" s="112">
        <v>1178043.0</v>
      </c>
      <c r="E1686" s="189">
        <v>1178533.0</v>
      </c>
      <c r="F1686" s="98">
        <v>2.9491541E7</v>
      </c>
      <c r="G1686" s="521" t="s">
        <v>9595</v>
      </c>
      <c r="H1686" s="91" t="s">
        <v>9596</v>
      </c>
      <c r="I1686" s="83" t="s">
        <v>149</v>
      </c>
      <c r="J1686" s="83" t="s">
        <v>641</v>
      </c>
      <c r="K1686" s="83" t="s">
        <v>168</v>
      </c>
      <c r="L1686" s="82" t="s">
        <v>169</v>
      </c>
      <c r="M1686" s="82" t="str">
        <f>IFERROR(__xludf.DUMMYFUNCTION("IFERROR(VLOOKUP(D1686,
IMPORTRANGE(""https://docs.google.com/spreadsheets/d/1MjHtlUikwobi2MaWJgy7tfLeBmhj1u-dRFRs_8GwSoA/edit#gid=0"",""Gestores Escolares!D7:J""),3,0),""VERIFICAR CÓD SEC"")"),"ELOÁ TAKACY PRUDENTE")</f>
        <v>ELOÁ TAKACY PRUDENTE</v>
      </c>
      <c r="N1686" s="82" t="str">
        <f>IFERROR(__xludf.DUMMYFUNCTION("IFERROR(VLOOKUP(D1686,
IMPORTRANGE(""https://docs.google.com/spreadsheets/d/1MjHtlUikwobi2MaWJgy7tfLeBmhj1u-dRFRs_8GwSoA/edit#gid=0"",""Gestores Escolares!D7:J""),4,0),""VERIFICAR CÓD SEC"")"),"(71) 9 8213-2224")</f>
        <v>(71) 9 8213-2224</v>
      </c>
      <c r="O1686" s="82" t="str">
        <f>IFERROR(__xludf.DUMMYFUNCTION("IFERROR(VLOOKUP(D1686,
IMPORTRANGE(""https://docs.google.com/spreadsheets/d/1MjHtlUikwobi2MaWJgy7tfLeBmhj1u-dRFRs_8GwSoA/edit#gid=0"",""Gestores Escolares!D7:J""),6,0),""VERIFICAR CÓD SEC"")"),"MARIA APARECIDA DO SANTOS SOUSA")</f>
        <v>MARIA APARECIDA DO SANTOS SOUSA</v>
      </c>
      <c r="P1686" s="82" t="str">
        <f>IFERROR(__xludf.DUMMYFUNCTION("IFERROR(VLOOKUP(D1686,
IMPORTRANGE(""https://docs.google.com/spreadsheets/d/1MjHtlUikwobi2MaWJgy7tfLeBmhj1u-dRFRs_8GwSoA/edit#gid=0"",""Gestores Escolares!D7:J""),7,0),""VERIFICAR CÓD SEC"")"),"(73) 9 9966-3849")</f>
        <v>(73) 9 9966-3849</v>
      </c>
      <c r="Q1686" s="82" t="str">
        <f>IFERROR(__xludf.DUMMYFUNCTION("IFERROR(VLOOKUP(D1686,
IMPORTRANGE(""https://docs.google.com/spreadsheets/d/1MjHtlUikwobi2MaWJgy7tfLeBmhj1u-dRFRs_8GwSoA/edit#gid=0"",""Gestores Escolares!D7:m""),9,0),""VERIFICAR CÓD SEC"")"),"TIAGO FERRAZ COSTA")</f>
        <v>TIAGO FERRAZ COSTA</v>
      </c>
      <c r="R1686" s="82" t="str">
        <f>IFERROR(__xludf.DUMMYFUNCTION("IFERROR(VLOOKUP(D1686,
IMPORTRANGE(""https://docs.google.com/spreadsheets/d/1MjHtlUikwobi2MaWJgy7tfLeBmhj1u-dRFRs_8GwSoA/edit#gid=0"",""Gestores Escolares!D7:m""),10,0),""VERIFICAR CÓD SEC"")"),"(73) 9 9957-6727")</f>
        <v>(73) 9 9957-6727</v>
      </c>
      <c r="S1686" s="82"/>
      <c r="T1686" s="138">
        <v>3.0</v>
      </c>
      <c r="U1686" s="152">
        <v>3.0</v>
      </c>
      <c r="V1686" s="106">
        <v>0.0</v>
      </c>
      <c r="W1686" s="107">
        <v>0.0</v>
      </c>
      <c r="X1686" s="107">
        <v>0.0</v>
      </c>
      <c r="Y1686" s="107">
        <v>0.0</v>
      </c>
      <c r="Z1686" s="80">
        <f t="shared" si="1"/>
        <v>0</v>
      </c>
      <c r="AA1686" s="106">
        <v>0.0</v>
      </c>
      <c r="AB1686" s="107">
        <v>0.0</v>
      </c>
      <c r="AC1686" s="107">
        <v>0.0</v>
      </c>
      <c r="AD1686" s="107">
        <v>0.0</v>
      </c>
      <c r="AE1686" s="80">
        <f t="shared" si="2"/>
        <v>0</v>
      </c>
      <c r="AF1686" s="140">
        <v>0.0</v>
      </c>
      <c r="AG1686" s="109">
        <v>0.0</v>
      </c>
      <c r="AH1686" s="109">
        <v>62.0</v>
      </c>
      <c r="AI1686" s="141">
        <v>0.0</v>
      </c>
      <c r="AJ1686" s="80">
        <f t="shared" si="3"/>
        <v>62</v>
      </c>
      <c r="AK1686" s="140">
        <v>0.0</v>
      </c>
      <c r="AL1686" s="109">
        <v>0.0</v>
      </c>
      <c r="AM1686" s="141">
        <v>0.0</v>
      </c>
      <c r="AN1686" s="80">
        <f t="shared" si="4"/>
        <v>0</v>
      </c>
      <c r="AO1686" s="140">
        <v>0.0</v>
      </c>
      <c r="AP1686" s="109">
        <v>0.0</v>
      </c>
      <c r="AQ1686" s="109">
        <v>0.0</v>
      </c>
      <c r="AR1686" s="80">
        <f t="shared" si="5"/>
        <v>0</v>
      </c>
      <c r="AS1686" s="110">
        <v>0.0</v>
      </c>
      <c r="AT1686" s="110">
        <v>0.0</v>
      </c>
      <c r="AU1686" s="110">
        <v>0.0</v>
      </c>
      <c r="AV1686" s="142">
        <v>0.0</v>
      </c>
      <c r="AW1686" s="80">
        <f t="shared" si="6"/>
        <v>0</v>
      </c>
      <c r="AX1686" s="113">
        <f t="shared" si="7"/>
        <v>62</v>
      </c>
      <c r="AY1686" s="117">
        <f t="shared" si="8"/>
        <v>0</v>
      </c>
      <c r="AZ1686" s="120">
        <f t="shared" si="9"/>
        <v>62</v>
      </c>
      <c r="BA1686" s="115">
        <v>0.0</v>
      </c>
      <c r="BB1686" s="89">
        <f t="shared" si="10"/>
        <v>62</v>
      </c>
      <c r="BC1686" s="132" t="s">
        <v>373</v>
      </c>
      <c r="BD1686" s="132" t="s">
        <v>178</v>
      </c>
      <c r="BE1686" s="132" t="s">
        <v>178</v>
      </c>
      <c r="BF1686" s="123"/>
      <c r="BG1686" s="83">
        <v>1178533.0</v>
      </c>
      <c r="BH1686" s="112"/>
      <c r="BI1686" s="112">
        <v>3.0</v>
      </c>
      <c r="BJ1686" s="98" t="s">
        <v>155</v>
      </c>
      <c r="BK1686" s="99">
        <f t="shared" si="11"/>
        <v>0</v>
      </c>
      <c r="BL1686" s="99">
        <f t="shared" si="12"/>
        <v>0</v>
      </c>
      <c r="BM1686" s="99" t="str">
        <f>IFERROR(__xludf.DUMMYFUNCTION("IFERROR(VLOOKUP(BG1686,IMPORTRANGE(""https://docs.google.com/spreadsheets/d/1juPI-Fb8LD0YtltB2mlGEnp_R3UVu1t3wSFPzgCyHXE/edit?gid=0#gid=0"",""GERAL!A2:C""),3,0),""-"")"),"CAMPO")</f>
        <v>CAMPO</v>
      </c>
    </row>
    <row r="1687" ht="15.75" customHeight="1">
      <c r="A1687" s="111" t="s">
        <v>1842</v>
      </c>
      <c r="B1687" s="83" t="s">
        <v>2383</v>
      </c>
      <c r="C1687" s="83" t="s">
        <v>164</v>
      </c>
      <c r="D1687" s="208">
        <v>1178401.0</v>
      </c>
      <c r="E1687" s="189">
        <v>1179671.0</v>
      </c>
      <c r="F1687" s="98">
        <v>2.9492114E7</v>
      </c>
      <c r="G1687" s="521" t="s">
        <v>9598</v>
      </c>
      <c r="H1687" s="91" t="s">
        <v>9600</v>
      </c>
      <c r="I1687" s="83" t="s">
        <v>149</v>
      </c>
      <c r="J1687" s="83" t="s">
        <v>872</v>
      </c>
      <c r="K1687" s="83" t="s">
        <v>168</v>
      </c>
      <c r="L1687" s="82" t="s">
        <v>169</v>
      </c>
      <c r="M1687" s="82" t="str">
        <f>IFERROR(__xludf.DUMMYFUNCTION("IFERROR(VLOOKUP(D1687,
IMPORTRANGE(""https://docs.google.com/spreadsheets/d/1MjHtlUikwobi2MaWJgy7tfLeBmhj1u-dRFRs_8GwSoA/edit#gid=0"",""Gestores Escolares!D7:J""),3,0),""VERIFICAR CÓD SEC"")"),"RAILSON SENA BRAZ CONCEICAO")</f>
        <v>RAILSON SENA BRAZ CONCEICAO</v>
      </c>
      <c r="N1687" s="82" t="str">
        <f>IFERROR(__xludf.DUMMYFUNCTION("IFERROR(VLOOKUP(D1687,
IMPORTRANGE(""https://docs.google.com/spreadsheets/d/1MjHtlUikwobi2MaWJgy7tfLeBmhj1u-dRFRs_8GwSoA/edit#gid=0"",""Gestores Escolares!D7:J""),4,0),""VERIFICAR CÓD SEC"")"),"(73) 9 9944-4029")</f>
        <v>(73) 9 9944-4029</v>
      </c>
      <c r="O1687" s="82" t="str">
        <f>IFERROR(__xludf.DUMMYFUNCTION("IFERROR(VLOOKUP(D1687,
IMPORTRANGE(""https://docs.google.com/spreadsheets/d/1MjHtlUikwobi2MaWJgy7tfLeBmhj1u-dRFRs_8GwSoA/edit#gid=0"",""Gestores Escolares!D7:J""),6,0),""VERIFICAR CÓD SEC"")"),"")</f>
        <v/>
      </c>
      <c r="P1687" s="82" t="str">
        <f>IFERROR(__xludf.DUMMYFUNCTION("IFERROR(VLOOKUP(D1687,
IMPORTRANGE(""https://docs.google.com/spreadsheets/d/1MjHtlUikwobi2MaWJgy7tfLeBmhj1u-dRFRs_8GwSoA/edit#gid=0"",""Gestores Escolares!D7:J""),7,0),""VERIFICAR CÓD SEC"")"),"")</f>
        <v/>
      </c>
      <c r="Q1687" s="82" t="str">
        <f>IFERROR(__xludf.DUMMYFUNCTION("IFERROR(VLOOKUP(D1687,
IMPORTRANGE(""https://docs.google.com/spreadsheets/d/1MjHtlUikwobi2MaWJgy7tfLeBmhj1u-dRFRs_8GwSoA/edit#gid=0"",""Gestores Escolares!D7:m""),9,0),""VERIFICAR CÓD SEC"")"),"")</f>
        <v/>
      </c>
      <c r="R1687" s="82" t="str">
        <f>IFERROR(__xludf.DUMMYFUNCTION("IFERROR(VLOOKUP(D1687,
IMPORTRANGE(""https://docs.google.com/spreadsheets/d/1MjHtlUikwobi2MaWJgy7tfLeBmhj1u-dRFRs_8GwSoA/edit#gid=0"",""Gestores Escolares!D7:m""),10,0),""VERIFICAR CÓD SEC"")"),"")</f>
        <v/>
      </c>
      <c r="S1687" s="82"/>
      <c r="T1687" s="138">
        <v>3.0</v>
      </c>
      <c r="U1687" s="217">
        <v>3.0</v>
      </c>
      <c r="V1687" s="106">
        <v>0.0</v>
      </c>
      <c r="W1687" s="107">
        <v>0.0</v>
      </c>
      <c r="X1687" s="107">
        <v>0.0</v>
      </c>
      <c r="Y1687" s="107">
        <v>0.0</v>
      </c>
      <c r="Z1687" s="80">
        <f t="shared" si="1"/>
        <v>0</v>
      </c>
      <c r="AA1687" s="106">
        <v>0.0</v>
      </c>
      <c r="AB1687" s="107">
        <v>0.0</v>
      </c>
      <c r="AC1687" s="107">
        <v>0.0</v>
      </c>
      <c r="AD1687" s="107">
        <v>0.0</v>
      </c>
      <c r="AE1687" s="80">
        <f t="shared" si="2"/>
        <v>0</v>
      </c>
      <c r="AF1687" s="140">
        <v>0.0</v>
      </c>
      <c r="AG1687" s="109">
        <v>0.0</v>
      </c>
      <c r="AH1687" s="109">
        <v>21.0</v>
      </c>
      <c r="AI1687" s="141">
        <v>0.0</v>
      </c>
      <c r="AJ1687" s="80">
        <f t="shared" si="3"/>
        <v>21</v>
      </c>
      <c r="AK1687" s="140">
        <v>0.0</v>
      </c>
      <c r="AL1687" s="109">
        <v>0.0</v>
      </c>
      <c r="AM1687" s="141">
        <v>0.0</v>
      </c>
      <c r="AN1687" s="80">
        <f t="shared" si="4"/>
        <v>0</v>
      </c>
      <c r="AO1687" s="140">
        <v>0.0</v>
      </c>
      <c r="AP1687" s="109">
        <v>0.0</v>
      </c>
      <c r="AQ1687" s="109">
        <v>0.0</v>
      </c>
      <c r="AR1687" s="80">
        <f t="shared" si="5"/>
        <v>0</v>
      </c>
      <c r="AS1687" s="110">
        <v>0.0</v>
      </c>
      <c r="AT1687" s="110">
        <v>0.0</v>
      </c>
      <c r="AU1687" s="110">
        <v>0.0</v>
      </c>
      <c r="AV1687" s="142">
        <v>0.0</v>
      </c>
      <c r="AW1687" s="80">
        <f t="shared" si="6"/>
        <v>0</v>
      </c>
      <c r="AX1687" s="113">
        <f t="shared" si="7"/>
        <v>21</v>
      </c>
      <c r="AY1687" s="117">
        <f t="shared" si="8"/>
        <v>0</v>
      </c>
      <c r="AZ1687" s="120">
        <f t="shared" si="9"/>
        <v>21</v>
      </c>
      <c r="BA1687" s="115">
        <v>0.0</v>
      </c>
      <c r="BB1687" s="89">
        <f t="shared" si="10"/>
        <v>21</v>
      </c>
      <c r="BC1687" s="143" t="s">
        <v>1294</v>
      </c>
      <c r="BD1687" s="132" t="s">
        <v>178</v>
      </c>
      <c r="BE1687" s="132" t="s">
        <v>178</v>
      </c>
      <c r="BF1687" s="156"/>
      <c r="BG1687" s="83">
        <v>1179671.0</v>
      </c>
      <c r="BH1687" s="98"/>
      <c r="BI1687" s="98">
        <v>3.0</v>
      </c>
      <c r="BJ1687" s="98" t="s">
        <v>155</v>
      </c>
      <c r="BK1687" s="99">
        <f t="shared" si="11"/>
        <v>0</v>
      </c>
      <c r="BL1687" s="99">
        <f t="shared" si="12"/>
        <v>0</v>
      </c>
      <c r="BM1687" s="99" t="str">
        <f>IFERROR(__xludf.DUMMYFUNCTION("IFERROR(VLOOKUP(BG1687,IMPORTRANGE(""https://docs.google.com/spreadsheets/d/1juPI-Fb8LD0YtltB2mlGEnp_R3UVu1t3wSFPzgCyHXE/edit?gid=0#gid=0"",""GERAL!A2:C""),3,0),""-"")"),"INDÍGENAS")</f>
        <v>INDÍGENAS</v>
      </c>
    </row>
    <row r="1688" ht="15.75" customHeight="1">
      <c r="A1688" s="111" t="s">
        <v>1842</v>
      </c>
      <c r="B1688" s="83" t="s">
        <v>2383</v>
      </c>
      <c r="C1688" s="83" t="s">
        <v>164</v>
      </c>
      <c r="D1688" s="208">
        <v>1178401.0</v>
      </c>
      <c r="E1688" s="189">
        <v>1179651.0</v>
      </c>
      <c r="F1688" s="98">
        <v>2.9492106E7</v>
      </c>
      <c r="G1688" s="521" t="s">
        <v>9608</v>
      </c>
      <c r="H1688" s="91" t="s">
        <v>9610</v>
      </c>
      <c r="I1688" s="83" t="s">
        <v>149</v>
      </c>
      <c r="J1688" s="83" t="s">
        <v>9611</v>
      </c>
      <c r="K1688" s="83" t="s">
        <v>168</v>
      </c>
      <c r="L1688" s="82" t="s">
        <v>169</v>
      </c>
      <c r="M1688" s="82" t="str">
        <f>IFERROR(__xludf.DUMMYFUNCTION("IFERROR(VLOOKUP(D1688,
IMPORTRANGE(""https://docs.google.com/spreadsheets/d/1MjHtlUikwobi2MaWJgy7tfLeBmhj1u-dRFRs_8GwSoA/edit#gid=0"",""Gestores Escolares!D7:J""),3,0),""VERIFICAR CÓD SEC"")"),"RAILSON SENA BRAZ CONCEICAO")</f>
        <v>RAILSON SENA BRAZ CONCEICAO</v>
      </c>
      <c r="N1688" s="82" t="str">
        <f>IFERROR(__xludf.DUMMYFUNCTION("IFERROR(VLOOKUP(D1688,
IMPORTRANGE(""https://docs.google.com/spreadsheets/d/1MjHtlUikwobi2MaWJgy7tfLeBmhj1u-dRFRs_8GwSoA/edit#gid=0"",""Gestores Escolares!D7:J""),4,0),""VERIFICAR CÓD SEC"")"),"(73) 9 9944-4029")</f>
        <v>(73) 9 9944-4029</v>
      </c>
      <c r="O1688" s="82" t="str">
        <f>IFERROR(__xludf.DUMMYFUNCTION("IFERROR(VLOOKUP(D1688,
IMPORTRANGE(""https://docs.google.com/spreadsheets/d/1MjHtlUikwobi2MaWJgy7tfLeBmhj1u-dRFRs_8GwSoA/edit#gid=0"",""Gestores Escolares!D7:J""),6,0),""VERIFICAR CÓD SEC"")"),"")</f>
        <v/>
      </c>
      <c r="P1688" s="82" t="str">
        <f>IFERROR(__xludf.DUMMYFUNCTION("IFERROR(VLOOKUP(D1688,
IMPORTRANGE(""https://docs.google.com/spreadsheets/d/1MjHtlUikwobi2MaWJgy7tfLeBmhj1u-dRFRs_8GwSoA/edit#gid=0"",""Gestores Escolares!D7:J""),7,0),""VERIFICAR CÓD SEC"")"),"")</f>
        <v/>
      </c>
      <c r="Q1688" s="82" t="str">
        <f>IFERROR(__xludf.DUMMYFUNCTION("IFERROR(VLOOKUP(D1688,
IMPORTRANGE(""https://docs.google.com/spreadsheets/d/1MjHtlUikwobi2MaWJgy7tfLeBmhj1u-dRFRs_8GwSoA/edit#gid=0"",""Gestores Escolares!D7:m""),9,0),""VERIFICAR CÓD SEC"")"),"")</f>
        <v/>
      </c>
      <c r="R1688" s="82" t="str">
        <f>IFERROR(__xludf.DUMMYFUNCTION("IFERROR(VLOOKUP(D1688,
IMPORTRANGE(""https://docs.google.com/spreadsheets/d/1MjHtlUikwobi2MaWJgy7tfLeBmhj1u-dRFRs_8GwSoA/edit#gid=0"",""Gestores Escolares!D7:m""),10,0),""VERIFICAR CÓD SEC"")"),"")</f>
        <v/>
      </c>
      <c r="S1688" s="82"/>
      <c r="T1688" s="138">
        <v>3.0</v>
      </c>
      <c r="U1688" s="152">
        <v>3.0</v>
      </c>
      <c r="V1688" s="106">
        <v>0.0</v>
      </c>
      <c r="W1688" s="107">
        <v>0.0</v>
      </c>
      <c r="X1688" s="107">
        <v>0.0</v>
      </c>
      <c r="Y1688" s="107">
        <v>0.0</v>
      </c>
      <c r="Z1688" s="80">
        <f t="shared" si="1"/>
        <v>0</v>
      </c>
      <c r="AA1688" s="106">
        <v>0.0</v>
      </c>
      <c r="AB1688" s="107">
        <v>0.0</v>
      </c>
      <c r="AC1688" s="107">
        <v>0.0</v>
      </c>
      <c r="AD1688" s="107">
        <v>0.0</v>
      </c>
      <c r="AE1688" s="80">
        <f t="shared" si="2"/>
        <v>0</v>
      </c>
      <c r="AF1688" s="140">
        <v>0.0</v>
      </c>
      <c r="AG1688" s="109">
        <v>0.0</v>
      </c>
      <c r="AH1688" s="109">
        <v>23.0</v>
      </c>
      <c r="AI1688" s="141">
        <v>0.0</v>
      </c>
      <c r="AJ1688" s="80">
        <f t="shared" si="3"/>
        <v>23</v>
      </c>
      <c r="AK1688" s="140">
        <v>0.0</v>
      </c>
      <c r="AL1688" s="109">
        <v>0.0</v>
      </c>
      <c r="AM1688" s="141">
        <v>0.0</v>
      </c>
      <c r="AN1688" s="80">
        <f t="shared" si="4"/>
        <v>0</v>
      </c>
      <c r="AO1688" s="140">
        <v>0.0</v>
      </c>
      <c r="AP1688" s="109">
        <v>0.0</v>
      </c>
      <c r="AQ1688" s="109">
        <v>0.0</v>
      </c>
      <c r="AR1688" s="80">
        <f t="shared" si="5"/>
        <v>0</v>
      </c>
      <c r="AS1688" s="110">
        <v>0.0</v>
      </c>
      <c r="AT1688" s="110">
        <v>0.0</v>
      </c>
      <c r="AU1688" s="110">
        <v>0.0</v>
      </c>
      <c r="AV1688" s="142">
        <v>0.0</v>
      </c>
      <c r="AW1688" s="80">
        <f t="shared" si="6"/>
        <v>0</v>
      </c>
      <c r="AX1688" s="113">
        <f t="shared" si="7"/>
        <v>23</v>
      </c>
      <c r="AY1688" s="117">
        <f t="shared" si="8"/>
        <v>0</v>
      </c>
      <c r="AZ1688" s="120">
        <f t="shared" si="9"/>
        <v>23</v>
      </c>
      <c r="BA1688" s="115">
        <v>0.0</v>
      </c>
      <c r="BB1688" s="89">
        <f t="shared" si="10"/>
        <v>23</v>
      </c>
      <c r="BC1688" s="143" t="s">
        <v>1294</v>
      </c>
      <c r="BD1688" s="132" t="s">
        <v>178</v>
      </c>
      <c r="BE1688" s="132" t="s">
        <v>178</v>
      </c>
      <c r="BF1688" s="156"/>
      <c r="BG1688" s="83">
        <v>1179651.0</v>
      </c>
      <c r="BH1688" s="112"/>
      <c r="BI1688" s="112">
        <v>3.0</v>
      </c>
      <c r="BJ1688" s="98" t="s">
        <v>155</v>
      </c>
      <c r="BK1688" s="99">
        <f t="shared" si="11"/>
        <v>0</v>
      </c>
      <c r="BL1688" s="99">
        <f t="shared" si="12"/>
        <v>0</v>
      </c>
      <c r="BM1688" s="99" t="str">
        <f>IFERROR(__xludf.DUMMYFUNCTION("IFERROR(VLOOKUP(BG1688,IMPORTRANGE(""https://docs.google.com/spreadsheets/d/1juPI-Fb8LD0YtltB2mlGEnp_R3UVu1t3wSFPzgCyHXE/edit?gid=0#gid=0"",""GERAL!A2:C""),3,0),""-"")"),"INDÍGENAS")</f>
        <v>INDÍGENAS</v>
      </c>
    </row>
    <row r="1689" ht="15.75" customHeight="1">
      <c r="A1689" s="111" t="s">
        <v>1842</v>
      </c>
      <c r="B1689" s="83" t="s">
        <v>2383</v>
      </c>
      <c r="C1689" s="83" t="s">
        <v>164</v>
      </c>
      <c r="D1689" s="208">
        <v>1178401.0</v>
      </c>
      <c r="E1689" s="211">
        <v>1179672.0</v>
      </c>
      <c r="F1689" s="98">
        <v>2.9492084E7</v>
      </c>
      <c r="G1689" s="522" t="s">
        <v>9613</v>
      </c>
      <c r="H1689" s="91" t="s">
        <v>9614</v>
      </c>
      <c r="I1689" s="83" t="s">
        <v>149</v>
      </c>
      <c r="J1689" s="83" t="s">
        <v>1502</v>
      </c>
      <c r="K1689" s="83" t="s">
        <v>168</v>
      </c>
      <c r="L1689" s="82" t="s">
        <v>169</v>
      </c>
      <c r="M1689" s="82" t="str">
        <f>IFERROR(__xludf.DUMMYFUNCTION("IFERROR(VLOOKUP(D1689,
IMPORTRANGE(""https://docs.google.com/spreadsheets/d/1MjHtlUikwobi2MaWJgy7tfLeBmhj1u-dRFRs_8GwSoA/edit#gid=0"",""Gestores Escolares!D7:J""),3,0),""VERIFICAR CÓD SEC"")"),"RAILSON SENA BRAZ CONCEICAO")</f>
        <v>RAILSON SENA BRAZ CONCEICAO</v>
      </c>
      <c r="N1689" s="82" t="str">
        <f>IFERROR(__xludf.DUMMYFUNCTION("IFERROR(VLOOKUP(D1689,
IMPORTRANGE(""https://docs.google.com/spreadsheets/d/1MjHtlUikwobi2MaWJgy7tfLeBmhj1u-dRFRs_8GwSoA/edit#gid=0"",""Gestores Escolares!D7:J""),4,0),""VERIFICAR CÓD SEC"")"),"(73) 9 9944-4029")</f>
        <v>(73) 9 9944-4029</v>
      </c>
      <c r="O1689" s="82" t="str">
        <f>IFERROR(__xludf.DUMMYFUNCTION("IFERROR(VLOOKUP(D1689,
IMPORTRANGE(""https://docs.google.com/spreadsheets/d/1MjHtlUikwobi2MaWJgy7tfLeBmhj1u-dRFRs_8GwSoA/edit#gid=0"",""Gestores Escolares!D7:J""),6,0),""VERIFICAR CÓD SEC"")"),"")</f>
        <v/>
      </c>
      <c r="P1689" s="82" t="str">
        <f>IFERROR(__xludf.DUMMYFUNCTION("IFERROR(VLOOKUP(D1689,
IMPORTRANGE(""https://docs.google.com/spreadsheets/d/1MjHtlUikwobi2MaWJgy7tfLeBmhj1u-dRFRs_8GwSoA/edit#gid=0"",""Gestores Escolares!D7:J""),7,0),""VERIFICAR CÓD SEC"")"),"")</f>
        <v/>
      </c>
      <c r="Q1689" s="82" t="str">
        <f>IFERROR(__xludf.DUMMYFUNCTION("IFERROR(VLOOKUP(D1689,
IMPORTRANGE(""https://docs.google.com/spreadsheets/d/1MjHtlUikwobi2MaWJgy7tfLeBmhj1u-dRFRs_8GwSoA/edit#gid=0"",""Gestores Escolares!D7:m""),9,0),""VERIFICAR CÓD SEC"")"),"")</f>
        <v/>
      </c>
      <c r="R1689" s="82" t="str">
        <f>IFERROR(__xludf.DUMMYFUNCTION("IFERROR(VLOOKUP(D1689,
IMPORTRANGE(""https://docs.google.com/spreadsheets/d/1MjHtlUikwobi2MaWJgy7tfLeBmhj1u-dRFRs_8GwSoA/edit#gid=0"",""Gestores Escolares!D7:m""),10,0),""VERIFICAR CÓD SEC"")"),"")</f>
        <v/>
      </c>
      <c r="S1689" s="82"/>
      <c r="T1689" s="138">
        <v>3.0</v>
      </c>
      <c r="U1689" s="217">
        <v>3.0</v>
      </c>
      <c r="V1689" s="106">
        <v>0.0</v>
      </c>
      <c r="W1689" s="107">
        <v>0.0</v>
      </c>
      <c r="X1689" s="107">
        <v>0.0</v>
      </c>
      <c r="Y1689" s="107">
        <v>0.0</v>
      </c>
      <c r="Z1689" s="80">
        <f t="shared" si="1"/>
        <v>0</v>
      </c>
      <c r="AA1689" s="106">
        <v>0.0</v>
      </c>
      <c r="AB1689" s="107">
        <v>0.0</v>
      </c>
      <c r="AC1689" s="107">
        <v>0.0</v>
      </c>
      <c r="AD1689" s="107">
        <v>0.0</v>
      </c>
      <c r="AE1689" s="80">
        <f t="shared" si="2"/>
        <v>0</v>
      </c>
      <c r="AF1689" s="140">
        <v>0.0</v>
      </c>
      <c r="AG1689" s="109">
        <v>0.0</v>
      </c>
      <c r="AH1689" s="109">
        <v>24.0</v>
      </c>
      <c r="AI1689" s="141">
        <v>0.0</v>
      </c>
      <c r="AJ1689" s="80">
        <f t="shared" si="3"/>
        <v>24</v>
      </c>
      <c r="AK1689" s="140">
        <v>0.0</v>
      </c>
      <c r="AL1689" s="109">
        <v>0.0</v>
      </c>
      <c r="AM1689" s="141">
        <v>0.0</v>
      </c>
      <c r="AN1689" s="80">
        <f t="shared" si="4"/>
        <v>0</v>
      </c>
      <c r="AO1689" s="140">
        <v>0.0</v>
      </c>
      <c r="AP1689" s="109">
        <v>0.0</v>
      </c>
      <c r="AQ1689" s="109">
        <v>0.0</v>
      </c>
      <c r="AR1689" s="80">
        <f t="shared" si="5"/>
        <v>0</v>
      </c>
      <c r="AS1689" s="110">
        <v>0.0</v>
      </c>
      <c r="AT1689" s="110">
        <v>0.0</v>
      </c>
      <c r="AU1689" s="110">
        <v>0.0</v>
      </c>
      <c r="AV1689" s="142">
        <v>0.0</v>
      </c>
      <c r="AW1689" s="80">
        <f t="shared" si="6"/>
        <v>0</v>
      </c>
      <c r="AX1689" s="113">
        <f t="shared" si="7"/>
        <v>24</v>
      </c>
      <c r="AY1689" s="117">
        <f t="shared" si="8"/>
        <v>0</v>
      </c>
      <c r="AZ1689" s="120">
        <f t="shared" si="9"/>
        <v>24</v>
      </c>
      <c r="BA1689" s="115">
        <v>0.0</v>
      </c>
      <c r="BB1689" s="89">
        <f t="shared" si="10"/>
        <v>24</v>
      </c>
      <c r="BC1689" s="143" t="s">
        <v>1294</v>
      </c>
      <c r="BD1689" s="132" t="s">
        <v>178</v>
      </c>
      <c r="BE1689" s="132" t="s">
        <v>178</v>
      </c>
      <c r="BF1689" s="156"/>
      <c r="BG1689" s="83">
        <v>1179672.0</v>
      </c>
      <c r="BH1689" s="98"/>
      <c r="BI1689" s="98">
        <v>3.0</v>
      </c>
      <c r="BJ1689" s="98" t="s">
        <v>155</v>
      </c>
      <c r="BK1689" s="99">
        <f t="shared" si="11"/>
        <v>0</v>
      </c>
      <c r="BL1689" s="99">
        <f t="shared" si="12"/>
        <v>0</v>
      </c>
      <c r="BM1689" s="99" t="str">
        <f>IFERROR(__xludf.DUMMYFUNCTION("IFERROR(VLOOKUP(BG1689,IMPORTRANGE(""https://docs.google.com/spreadsheets/d/1juPI-Fb8LD0YtltB2mlGEnp_R3UVu1t3wSFPzgCyHXE/edit?gid=0#gid=0"",""GERAL!A2:C""),3,0),""-"")"),"INDÍGENAS")</f>
        <v>INDÍGENAS</v>
      </c>
    </row>
    <row r="1690" ht="15.75" customHeight="1">
      <c r="A1690" s="111" t="s">
        <v>1842</v>
      </c>
      <c r="B1690" s="83" t="s">
        <v>2383</v>
      </c>
      <c r="C1690" s="83" t="s">
        <v>164</v>
      </c>
      <c r="D1690" s="208">
        <v>1178042.0</v>
      </c>
      <c r="E1690" s="211">
        <v>1178536.0</v>
      </c>
      <c r="F1690" s="98">
        <v>2.9491657E7</v>
      </c>
      <c r="G1690" s="522" t="s">
        <v>9616</v>
      </c>
      <c r="H1690" s="91" t="s">
        <v>9617</v>
      </c>
      <c r="I1690" s="83" t="s">
        <v>149</v>
      </c>
      <c r="J1690" s="83" t="s">
        <v>315</v>
      </c>
      <c r="K1690" s="83" t="s">
        <v>168</v>
      </c>
      <c r="L1690" s="82" t="s">
        <v>169</v>
      </c>
      <c r="M1690" s="82" t="str">
        <f>IFERROR(__xludf.DUMMYFUNCTION("IFERROR(VLOOKUP(D1690,
IMPORTRANGE(""https://docs.google.com/spreadsheets/d/1MjHtlUikwobi2MaWJgy7tfLeBmhj1u-dRFRs_8GwSoA/edit#gid=0"",""Gestores Escolares!D7:J""),3,0),""VERIFICAR CÓD SEC"")"),"JEORGE LUIS MARTINS DE OLIVEIRA")</f>
        <v>JEORGE LUIS MARTINS DE OLIVEIRA</v>
      </c>
      <c r="N1690" s="82" t="str">
        <f>IFERROR(__xludf.DUMMYFUNCTION("IFERROR(VLOOKUP(D1690,
IMPORTRANGE(""https://docs.google.com/spreadsheets/d/1MjHtlUikwobi2MaWJgy7tfLeBmhj1u-dRFRs_8GwSoA/edit#gid=0"",""Gestores Escolares!D7:J""),4,0),""VERIFICAR CÓD SEC"")"),"(73) 9 8135-7173")</f>
        <v>(73) 9 8135-7173</v>
      </c>
      <c r="O1690" s="82" t="str">
        <f>IFERROR(__xludf.DUMMYFUNCTION("IFERROR(VLOOKUP(D1690,
IMPORTRANGE(""https://docs.google.com/spreadsheets/d/1MjHtlUikwobi2MaWJgy7tfLeBmhj1u-dRFRs_8GwSoA/edit#gid=0"",""Gestores Escolares!D7:J""),6,0),""VERIFICAR CÓD SEC"")")," LORENA OSS DE SOUSA")</f>
        <v> LORENA OSS DE SOUSA</v>
      </c>
      <c r="P1690" s="82" t="str">
        <f>IFERROR(__xludf.DUMMYFUNCTION("IFERROR(VLOOKUP(D1690,
IMPORTRANGE(""https://docs.google.com/spreadsheets/d/1MjHtlUikwobi2MaWJgy7tfLeBmhj1u-dRFRs_8GwSoA/edit#gid=0"",""Gestores Escolares!D7:J""),7,0),""VERIFICAR CÓD SEC"")"),"(73) 9 9996-6112")</f>
        <v>(73) 9 9996-6112</v>
      </c>
      <c r="Q1690" s="82" t="str">
        <f>IFERROR(__xludf.DUMMYFUNCTION("IFERROR(VLOOKUP(D1690,
IMPORTRANGE(""https://docs.google.com/spreadsheets/d/1MjHtlUikwobi2MaWJgy7tfLeBmhj1u-dRFRs_8GwSoA/edit#gid=0"",""Gestores Escolares!D7:m""),9,0),""VERIFICAR CÓD SEC"")"),"")</f>
        <v/>
      </c>
      <c r="R1690" s="82" t="str">
        <f>IFERROR(__xludf.DUMMYFUNCTION("IFERROR(VLOOKUP(D1690,
IMPORTRANGE(""https://docs.google.com/spreadsheets/d/1MjHtlUikwobi2MaWJgy7tfLeBmhj1u-dRFRs_8GwSoA/edit#gid=0"",""Gestores Escolares!D7:m""),10,0),""VERIFICAR CÓD SEC"")"),"")</f>
        <v/>
      </c>
      <c r="S1690" s="82"/>
      <c r="T1690" s="138">
        <v>3.0</v>
      </c>
      <c r="U1690" s="152">
        <v>3.0</v>
      </c>
      <c r="V1690" s="106">
        <v>0.0</v>
      </c>
      <c r="W1690" s="107">
        <v>0.0</v>
      </c>
      <c r="X1690" s="107">
        <v>0.0</v>
      </c>
      <c r="Y1690" s="107">
        <v>0.0</v>
      </c>
      <c r="Z1690" s="80">
        <f t="shared" si="1"/>
        <v>0</v>
      </c>
      <c r="AA1690" s="106">
        <v>0.0</v>
      </c>
      <c r="AB1690" s="107">
        <v>0.0</v>
      </c>
      <c r="AC1690" s="107">
        <v>0.0</v>
      </c>
      <c r="AD1690" s="107">
        <v>0.0</v>
      </c>
      <c r="AE1690" s="80">
        <f t="shared" si="2"/>
        <v>0</v>
      </c>
      <c r="AF1690" s="140">
        <v>0.0</v>
      </c>
      <c r="AG1690" s="109">
        <v>0.0</v>
      </c>
      <c r="AH1690" s="109">
        <v>0.0</v>
      </c>
      <c r="AI1690" s="141">
        <v>0.0</v>
      </c>
      <c r="AJ1690" s="80">
        <f t="shared" si="3"/>
        <v>0</v>
      </c>
      <c r="AK1690" s="140">
        <v>0.0</v>
      </c>
      <c r="AL1690" s="109">
        <v>0.0</v>
      </c>
      <c r="AM1690" s="141">
        <v>0.0</v>
      </c>
      <c r="AN1690" s="80">
        <f t="shared" si="4"/>
        <v>0</v>
      </c>
      <c r="AO1690" s="140">
        <v>0.0</v>
      </c>
      <c r="AP1690" s="109">
        <v>0.0</v>
      </c>
      <c r="AQ1690" s="109">
        <v>17.0</v>
      </c>
      <c r="AR1690" s="80">
        <f t="shared" si="5"/>
        <v>17</v>
      </c>
      <c r="AS1690" s="110">
        <v>0.0</v>
      </c>
      <c r="AT1690" s="110">
        <v>0.0</v>
      </c>
      <c r="AU1690" s="110">
        <v>0.0</v>
      </c>
      <c r="AV1690" s="142">
        <v>0.0</v>
      </c>
      <c r="AW1690" s="80">
        <f t="shared" si="6"/>
        <v>0</v>
      </c>
      <c r="AX1690" s="113">
        <f t="shared" si="7"/>
        <v>17</v>
      </c>
      <c r="AY1690" s="117">
        <f t="shared" si="8"/>
        <v>0</v>
      </c>
      <c r="AZ1690" s="120">
        <f t="shared" si="9"/>
        <v>17</v>
      </c>
      <c r="BA1690" s="115">
        <v>0.0</v>
      </c>
      <c r="BB1690" s="89">
        <f t="shared" si="10"/>
        <v>17</v>
      </c>
      <c r="BC1690" s="132" t="s">
        <v>631</v>
      </c>
      <c r="BD1690" s="132" t="s">
        <v>178</v>
      </c>
      <c r="BE1690" s="132" t="s">
        <v>178</v>
      </c>
      <c r="BF1690" s="123"/>
      <c r="BG1690" s="83">
        <v>1178536.0</v>
      </c>
      <c r="BH1690" s="112"/>
      <c r="BI1690" s="112">
        <v>3.0</v>
      </c>
      <c r="BJ1690" s="98" t="s">
        <v>155</v>
      </c>
      <c r="BK1690" s="99">
        <f t="shared" si="11"/>
        <v>0</v>
      </c>
      <c r="BL1690" s="99">
        <f t="shared" si="12"/>
        <v>0</v>
      </c>
      <c r="BM1690" s="99" t="str">
        <f>IFERROR(__xludf.DUMMYFUNCTION("IFERROR(VLOOKUP(BG1690,IMPORTRANGE(""https://docs.google.com/spreadsheets/d/1juPI-Fb8LD0YtltB2mlGEnp_R3UVu1t3wSFPzgCyHXE/edit?gid=0#gid=0"",""GERAL!A2:C""),3,0),""-"")"),"ASSENTAMENTOS")</f>
        <v>ASSENTAMENTOS</v>
      </c>
    </row>
    <row r="1691" ht="15.75" customHeight="1">
      <c r="A1691" s="111" t="s">
        <v>1842</v>
      </c>
      <c r="B1691" s="83" t="s">
        <v>2383</v>
      </c>
      <c r="C1691" s="83" t="s">
        <v>164</v>
      </c>
      <c r="D1691" s="208">
        <v>1177093.0</v>
      </c>
      <c r="E1691" s="189">
        <v>1179486.0</v>
      </c>
      <c r="F1691" s="98">
        <v>2.9490553E7</v>
      </c>
      <c r="G1691" s="522" t="s">
        <v>9619</v>
      </c>
      <c r="H1691" s="91" t="s">
        <v>9620</v>
      </c>
      <c r="I1691" s="83" t="s">
        <v>149</v>
      </c>
      <c r="J1691" s="83" t="s">
        <v>822</v>
      </c>
      <c r="K1691" s="83" t="s">
        <v>168</v>
      </c>
      <c r="L1691" s="82" t="s">
        <v>169</v>
      </c>
      <c r="M1691" s="82" t="str">
        <f>IFERROR(__xludf.DUMMYFUNCTION("IFERROR(VLOOKUP(D1691,
IMPORTRANGE(""https://docs.google.com/spreadsheets/d/1MjHtlUikwobi2MaWJgy7tfLeBmhj1u-dRFRs_8GwSoA/edit#gid=0"",""Gestores Escolares!D7:J""),3,0),""VERIFICAR CÓD SEC"")"),"LIZZIANE DO NASCIMENTO SANTOS SILVA")</f>
        <v>LIZZIANE DO NASCIMENTO SANTOS SILVA</v>
      </c>
      <c r="N1691" s="82" t="str">
        <f>IFERROR(__xludf.DUMMYFUNCTION("IFERROR(VLOOKUP(D1691,
IMPORTRANGE(""https://docs.google.com/spreadsheets/d/1MjHtlUikwobi2MaWJgy7tfLeBmhj1u-dRFRs_8GwSoA/edit#gid=0"",""Gestores Escolares!D7:J""),4,0),""VERIFICAR CÓD SEC"")"),"(73) 9 9933-7979")</f>
        <v>(73) 9 9933-7979</v>
      </c>
      <c r="O1691" s="82" t="str">
        <f>IFERROR(__xludf.DUMMYFUNCTION("IFERROR(VLOOKUP(D1691,
IMPORTRANGE(""https://docs.google.com/spreadsheets/d/1MjHtlUikwobi2MaWJgy7tfLeBmhj1u-dRFRs_8GwSoA/edit#gid=0"",""Gestores Escolares!D7:J""),6,0),""VERIFICAR CÓD SEC"")"),"RITA DE CASSIA OLIVEIRA DA SILVA")</f>
        <v>RITA DE CASSIA OLIVEIRA DA SILVA</v>
      </c>
      <c r="P1691" s="82" t="str">
        <f>IFERROR(__xludf.DUMMYFUNCTION("IFERROR(VLOOKUP(D1691,
IMPORTRANGE(""https://docs.google.com/spreadsheets/d/1MjHtlUikwobi2MaWJgy7tfLeBmhj1u-dRFRs_8GwSoA/edit#gid=0"",""Gestores Escolares!D7:J""),7,0),""VERIFICAR CÓD SEC"")"),"(73) 9 9966-7135")</f>
        <v>(73) 9 9966-7135</v>
      </c>
      <c r="Q1691" s="82" t="str">
        <f>IFERROR(__xludf.DUMMYFUNCTION("IFERROR(VLOOKUP(D1691,
IMPORTRANGE(""https://docs.google.com/spreadsheets/d/1MjHtlUikwobi2MaWJgy7tfLeBmhj1u-dRFRs_8GwSoA/edit#gid=0"",""Gestores Escolares!D7:m""),9,0),""VERIFICAR CÓD SEC"")"),"MARCIO MENDES SILVA DINIZ")</f>
        <v>MARCIO MENDES SILVA DINIZ</v>
      </c>
      <c r="R1691" s="82" t="str">
        <f>IFERROR(__xludf.DUMMYFUNCTION("IFERROR(VLOOKUP(D1691,
IMPORTRANGE(""https://docs.google.com/spreadsheets/d/1MjHtlUikwobi2MaWJgy7tfLeBmhj1u-dRFRs_8GwSoA/edit#gid=0"",""Gestores Escolares!D7:m""),10,0),""VERIFICAR CÓD SEC"")"),"(73) 9 8139-9978")</f>
        <v>(73) 9 8139-9978</v>
      </c>
      <c r="S1691" s="82"/>
      <c r="T1691" s="138">
        <v>3.0</v>
      </c>
      <c r="U1691" s="152">
        <v>3.0</v>
      </c>
      <c r="V1691" s="106">
        <v>0.0</v>
      </c>
      <c r="W1691" s="107">
        <v>0.0</v>
      </c>
      <c r="X1691" s="107">
        <v>0.0</v>
      </c>
      <c r="Y1691" s="107">
        <v>0.0</v>
      </c>
      <c r="Z1691" s="80">
        <f t="shared" si="1"/>
        <v>0</v>
      </c>
      <c r="AA1691" s="106">
        <v>0.0</v>
      </c>
      <c r="AB1691" s="107">
        <v>0.0</v>
      </c>
      <c r="AC1691" s="107">
        <v>0.0</v>
      </c>
      <c r="AD1691" s="107">
        <v>0.0</v>
      </c>
      <c r="AE1691" s="80">
        <f t="shared" si="2"/>
        <v>0</v>
      </c>
      <c r="AF1691" s="140">
        <v>0.0</v>
      </c>
      <c r="AG1691" s="109">
        <v>0.0</v>
      </c>
      <c r="AH1691" s="109">
        <v>0.0</v>
      </c>
      <c r="AI1691" s="141">
        <v>0.0</v>
      </c>
      <c r="AJ1691" s="80">
        <f t="shared" si="3"/>
        <v>0</v>
      </c>
      <c r="AK1691" s="140">
        <v>0.0</v>
      </c>
      <c r="AL1691" s="109">
        <v>0.0</v>
      </c>
      <c r="AM1691" s="141">
        <v>0.0</v>
      </c>
      <c r="AN1691" s="80">
        <f t="shared" si="4"/>
        <v>0</v>
      </c>
      <c r="AO1691" s="140">
        <v>0.0</v>
      </c>
      <c r="AP1691" s="109">
        <v>0.0</v>
      </c>
      <c r="AQ1691" s="109">
        <v>65.0</v>
      </c>
      <c r="AR1691" s="80">
        <f t="shared" si="5"/>
        <v>65</v>
      </c>
      <c r="AS1691" s="110">
        <v>0.0</v>
      </c>
      <c r="AT1691" s="110">
        <v>0.0</v>
      </c>
      <c r="AU1691" s="110">
        <v>0.0</v>
      </c>
      <c r="AV1691" s="142">
        <v>0.0</v>
      </c>
      <c r="AW1691" s="80">
        <f t="shared" si="6"/>
        <v>0</v>
      </c>
      <c r="AX1691" s="113">
        <f t="shared" si="7"/>
        <v>65</v>
      </c>
      <c r="AY1691" s="117">
        <f t="shared" si="8"/>
        <v>0</v>
      </c>
      <c r="AZ1691" s="120">
        <f t="shared" si="9"/>
        <v>65</v>
      </c>
      <c r="BA1691" s="115">
        <v>0.0</v>
      </c>
      <c r="BB1691" s="89">
        <f t="shared" si="10"/>
        <v>65</v>
      </c>
      <c r="BC1691" s="132" t="s">
        <v>373</v>
      </c>
      <c r="BD1691" s="132" t="s">
        <v>178</v>
      </c>
      <c r="BE1691" s="132" t="s">
        <v>178</v>
      </c>
      <c r="BF1691" s="156"/>
      <c r="BG1691" s="189">
        <v>1179486.0</v>
      </c>
      <c r="BH1691" s="208"/>
      <c r="BI1691" s="112">
        <v>3.0</v>
      </c>
      <c r="BJ1691" s="98" t="s">
        <v>155</v>
      </c>
      <c r="BK1691" s="99">
        <f t="shared" si="11"/>
        <v>0</v>
      </c>
      <c r="BL1691" s="99">
        <f t="shared" si="12"/>
        <v>0</v>
      </c>
      <c r="BM1691" s="99" t="str">
        <f>IFERROR(__xludf.DUMMYFUNCTION("IFERROR(VLOOKUP(BG1691,IMPORTRANGE(""https://docs.google.com/spreadsheets/d/1juPI-Fb8LD0YtltB2mlGEnp_R3UVu1t3wSFPzgCyHXE/edit?gid=0#gid=0"",""GERAL!A2:C""),3,0),""-"")"),"CAMPO")</f>
        <v>CAMPO</v>
      </c>
    </row>
    <row r="1692" ht="15.75" customHeight="1">
      <c r="A1692" s="111" t="s">
        <v>1842</v>
      </c>
      <c r="B1692" s="83" t="s">
        <v>9624</v>
      </c>
      <c r="C1692" s="83" t="s">
        <v>68</v>
      </c>
      <c r="D1692" s="208">
        <v>1178037.0</v>
      </c>
      <c r="E1692" s="189"/>
      <c r="F1692" s="83">
        <v>2.9428092E7</v>
      </c>
      <c r="G1692" s="377" t="s">
        <v>9629</v>
      </c>
      <c r="H1692" s="91" t="s">
        <v>9630</v>
      </c>
      <c r="I1692" s="83" t="s">
        <v>149</v>
      </c>
      <c r="J1692" s="83" t="s">
        <v>150</v>
      </c>
      <c r="K1692" s="83" t="s">
        <v>3467</v>
      </c>
      <c r="L1692" s="82" t="s">
        <v>152</v>
      </c>
      <c r="M1692" s="82" t="str">
        <f>IFERROR(__xludf.DUMMYFUNCTION("IFERROR(VLOOKUP(D1692,
IMPORTRANGE(""https://docs.google.com/spreadsheets/d/1MjHtlUikwobi2MaWJgy7tfLeBmhj1u-dRFRs_8GwSoA/edit#gid=0"",""Gestores Escolares!D7:J""),3,0),""VERIFICAR CÓD SEC"")"),"NAISANGELA CARRILHO DE OLIVEIRA")</f>
        <v>NAISANGELA CARRILHO DE OLIVEIRA</v>
      </c>
      <c r="N1692" s="82" t="str">
        <f>IFERROR(__xludf.DUMMYFUNCTION("IFERROR(VLOOKUP(D1692,
IMPORTRANGE(""https://docs.google.com/spreadsheets/d/1MjHtlUikwobi2MaWJgy7tfLeBmhj1u-dRFRs_8GwSoA/edit#gid=0"",""Gestores Escolares!D7:J""),4,0),""VERIFICAR CÓD SEC"")"),"(73) 9 9904-0057")</f>
        <v>(73) 9 9904-0057</v>
      </c>
      <c r="O1692" s="82" t="str">
        <f>IFERROR(__xludf.DUMMYFUNCTION("IFERROR(VLOOKUP(D1692,
IMPORTRANGE(""https://docs.google.com/spreadsheets/d/1MjHtlUikwobi2MaWJgy7tfLeBmhj1u-dRFRs_8GwSoA/edit#gid=0"",""Gestores Escolares!D7:J""),6,0),""VERIFICAR CÓD SEC"")"),"ANTONIO DAMACENA ALVES")</f>
        <v>ANTONIO DAMACENA ALVES</v>
      </c>
      <c r="P1692" s="82" t="str">
        <f>IFERROR(__xludf.DUMMYFUNCTION("IFERROR(VLOOKUP(D1692,
IMPORTRANGE(""https://docs.google.com/spreadsheets/d/1MjHtlUikwobi2MaWJgy7tfLeBmhj1u-dRFRs_8GwSoA/edit#gid=0"",""Gestores Escolares!D7:J""),7,0),""VERIFICAR CÓD SEC"")"),"(73) 9 9138-2175")</f>
        <v>(73) 9 9138-2175</v>
      </c>
      <c r="Q1692" s="82" t="str">
        <f>IFERROR(__xludf.DUMMYFUNCTION("IFERROR(VLOOKUP(D1692,
IMPORTRANGE(""https://docs.google.com/spreadsheets/d/1MjHtlUikwobi2MaWJgy7tfLeBmhj1u-dRFRs_8GwSoA/edit#gid=0"",""Gestores Escolares!D7:m""),9,0),""VERIFICAR CÓD SEC"")"),"")</f>
        <v/>
      </c>
      <c r="R1692" s="82" t="str">
        <f>IFERROR(__xludf.DUMMYFUNCTION("IFERROR(VLOOKUP(D1692,
IMPORTRANGE(""https://docs.google.com/spreadsheets/d/1MjHtlUikwobi2MaWJgy7tfLeBmhj1u-dRFRs_8GwSoA/edit#gid=0"",""Gestores Escolares!D7:m""),10,0),""VERIFICAR CÓD SEC"")"),"")</f>
        <v/>
      </c>
      <c r="S1692" s="82"/>
      <c r="T1692" s="138">
        <v>9.0</v>
      </c>
      <c r="U1692" s="145" t="s">
        <v>13953</v>
      </c>
      <c r="V1692" s="106">
        <v>0.0</v>
      </c>
      <c r="W1692" s="107">
        <v>0.0</v>
      </c>
      <c r="X1692" s="107">
        <v>0.0</v>
      </c>
      <c r="Y1692" s="107">
        <v>0.0</v>
      </c>
      <c r="Z1692" s="80">
        <f t="shared" si="1"/>
        <v>0</v>
      </c>
      <c r="AA1692" s="106">
        <v>0.0</v>
      </c>
      <c r="AB1692" s="107">
        <v>0.0</v>
      </c>
      <c r="AC1692" s="107">
        <v>0.0</v>
      </c>
      <c r="AD1692" s="107">
        <v>0.0</v>
      </c>
      <c r="AE1692" s="80">
        <f t="shared" si="2"/>
        <v>0</v>
      </c>
      <c r="AF1692" s="140">
        <v>326.0</v>
      </c>
      <c r="AG1692" s="109">
        <v>85.0</v>
      </c>
      <c r="AH1692" s="109">
        <v>0.0</v>
      </c>
      <c r="AI1692" s="141">
        <v>0.0</v>
      </c>
      <c r="AJ1692" s="80">
        <f t="shared" si="3"/>
        <v>411</v>
      </c>
      <c r="AK1692" s="140">
        <v>0.0</v>
      </c>
      <c r="AL1692" s="109">
        <v>0.0</v>
      </c>
      <c r="AM1692" s="141">
        <v>0.0</v>
      </c>
      <c r="AN1692" s="80">
        <f t="shared" si="4"/>
        <v>0</v>
      </c>
      <c r="AO1692" s="140">
        <v>0.0</v>
      </c>
      <c r="AP1692" s="109">
        <v>0.0</v>
      </c>
      <c r="AQ1692" s="109">
        <v>100.0</v>
      </c>
      <c r="AR1692" s="80">
        <f t="shared" si="5"/>
        <v>100</v>
      </c>
      <c r="AS1692" s="110">
        <v>0.0</v>
      </c>
      <c r="AT1692" s="110">
        <v>0.0</v>
      </c>
      <c r="AU1692" s="110">
        <v>0.0</v>
      </c>
      <c r="AV1692" s="142">
        <v>0.0</v>
      </c>
      <c r="AW1692" s="80">
        <f t="shared" si="6"/>
        <v>0</v>
      </c>
      <c r="AX1692" s="113">
        <f t="shared" si="7"/>
        <v>511</v>
      </c>
      <c r="AY1692" s="117">
        <f t="shared" si="8"/>
        <v>411</v>
      </c>
      <c r="AZ1692" s="120">
        <f t="shared" si="9"/>
        <v>100</v>
      </c>
      <c r="BA1692" s="115">
        <v>0.0</v>
      </c>
      <c r="BB1692" s="89">
        <f t="shared" si="10"/>
        <v>511</v>
      </c>
      <c r="BC1692" s="132" t="s">
        <v>178</v>
      </c>
      <c r="BD1692" s="132" t="s">
        <v>178</v>
      </c>
      <c r="BE1692" s="132" t="s">
        <v>178</v>
      </c>
      <c r="BF1692" s="123"/>
      <c r="BG1692" s="189">
        <v>1178037.0</v>
      </c>
      <c r="BH1692" s="212" t="s">
        <v>9631</v>
      </c>
      <c r="BI1692" s="112">
        <v>9.0</v>
      </c>
      <c r="BJ1692" s="98" t="s">
        <v>155</v>
      </c>
      <c r="BK1692" s="99">
        <f t="shared" si="11"/>
        <v>0</v>
      </c>
      <c r="BL1692" s="99">
        <f t="shared" si="12"/>
        <v>411</v>
      </c>
      <c r="BM1692" s="99" t="str">
        <f>IFERROR(__xludf.DUMMYFUNCTION("IFERROR(VLOOKUP(BG1692,IMPORTRANGE(""https://docs.google.com/spreadsheets/d/1juPI-Fb8LD0YtltB2mlGEnp_R3UVu1t3wSFPzgCyHXE/edit?gid=0#gid=0"",""GERAL!A2:C""),3,0),""-"")"),"-")</f>
        <v>-</v>
      </c>
    </row>
    <row r="1693" ht="15.75" customHeight="1">
      <c r="A1693" s="111" t="s">
        <v>1842</v>
      </c>
      <c r="B1693" s="83" t="s">
        <v>9624</v>
      </c>
      <c r="C1693" s="83" t="s">
        <v>68</v>
      </c>
      <c r="D1693" s="208">
        <v>1178401.0</v>
      </c>
      <c r="E1693" s="189"/>
      <c r="F1693" s="83">
        <v>2.9397707E7</v>
      </c>
      <c r="G1693" s="377" t="s">
        <v>9641</v>
      </c>
      <c r="H1693" s="91" t="s">
        <v>9642</v>
      </c>
      <c r="I1693" s="83" t="s">
        <v>149</v>
      </c>
      <c r="J1693" s="83" t="s">
        <v>150</v>
      </c>
      <c r="K1693" s="83" t="s">
        <v>3467</v>
      </c>
      <c r="L1693" s="82" t="s">
        <v>152</v>
      </c>
      <c r="M1693" s="82" t="str">
        <f>IFERROR(__xludf.DUMMYFUNCTION("IFERROR(VLOOKUP(D1693,
IMPORTRANGE(""https://docs.google.com/spreadsheets/d/1MjHtlUikwobi2MaWJgy7tfLeBmhj1u-dRFRs_8GwSoA/edit#gid=0"",""Gestores Escolares!D7:J""),3,0),""VERIFICAR CÓD SEC"")"),"RAILSON SENA BRAZ CONCEICAO")</f>
        <v>RAILSON SENA BRAZ CONCEICAO</v>
      </c>
      <c r="N1693" s="82" t="str">
        <f>IFERROR(__xludf.DUMMYFUNCTION("IFERROR(VLOOKUP(D1693,
IMPORTRANGE(""https://docs.google.com/spreadsheets/d/1MjHtlUikwobi2MaWJgy7tfLeBmhj1u-dRFRs_8GwSoA/edit#gid=0"",""Gestores Escolares!D7:J""),4,0),""VERIFICAR CÓD SEC"")"),"(73) 9 9944-4029")</f>
        <v>(73) 9 9944-4029</v>
      </c>
      <c r="O1693" s="82" t="str">
        <f>IFERROR(__xludf.DUMMYFUNCTION("IFERROR(VLOOKUP(D1693,
IMPORTRANGE(""https://docs.google.com/spreadsheets/d/1MjHtlUikwobi2MaWJgy7tfLeBmhj1u-dRFRs_8GwSoA/edit#gid=0"",""Gestores Escolares!D7:J""),6,0),""VERIFICAR CÓD SEC"")"),"")</f>
        <v/>
      </c>
      <c r="P1693" s="82" t="str">
        <f>IFERROR(__xludf.DUMMYFUNCTION("IFERROR(VLOOKUP(D1693,
IMPORTRANGE(""https://docs.google.com/spreadsheets/d/1MjHtlUikwobi2MaWJgy7tfLeBmhj1u-dRFRs_8GwSoA/edit#gid=0"",""Gestores Escolares!D7:J""),7,0),""VERIFICAR CÓD SEC"")"),"")</f>
        <v/>
      </c>
      <c r="Q1693" s="82" t="str">
        <f>IFERROR(__xludf.DUMMYFUNCTION("IFERROR(VLOOKUP(D1693,
IMPORTRANGE(""https://docs.google.com/spreadsheets/d/1MjHtlUikwobi2MaWJgy7tfLeBmhj1u-dRFRs_8GwSoA/edit#gid=0"",""Gestores Escolares!D7:m""),9,0),""VERIFICAR CÓD SEC"")"),"")</f>
        <v/>
      </c>
      <c r="R1693" s="82" t="str">
        <f>IFERROR(__xludf.DUMMYFUNCTION("IFERROR(VLOOKUP(D1693,
IMPORTRANGE(""https://docs.google.com/spreadsheets/d/1MjHtlUikwobi2MaWJgy7tfLeBmhj1u-dRFRs_8GwSoA/edit#gid=0"",""Gestores Escolares!D7:m""),10,0),""VERIFICAR CÓD SEC"")"),"")</f>
        <v/>
      </c>
      <c r="S1693" s="82"/>
      <c r="T1693" s="138">
        <v>7.0</v>
      </c>
      <c r="U1693" s="139">
        <v>6.0</v>
      </c>
      <c r="V1693" s="106">
        <v>0.0</v>
      </c>
      <c r="W1693" s="107">
        <v>0.0</v>
      </c>
      <c r="X1693" s="107">
        <v>0.0</v>
      </c>
      <c r="Y1693" s="107">
        <v>0.0</v>
      </c>
      <c r="Z1693" s="80">
        <f t="shared" si="1"/>
        <v>0</v>
      </c>
      <c r="AA1693" s="106">
        <v>0.0</v>
      </c>
      <c r="AB1693" s="107">
        <v>0.0</v>
      </c>
      <c r="AC1693" s="107">
        <v>0.0</v>
      </c>
      <c r="AD1693" s="107">
        <v>0.0</v>
      </c>
      <c r="AE1693" s="80">
        <f t="shared" si="2"/>
        <v>0</v>
      </c>
      <c r="AF1693" s="140">
        <v>109.0</v>
      </c>
      <c r="AG1693" s="109">
        <v>99.0</v>
      </c>
      <c r="AH1693" s="109">
        <v>133.0</v>
      </c>
      <c r="AI1693" s="141">
        <v>82.0</v>
      </c>
      <c r="AJ1693" s="80">
        <f t="shared" si="3"/>
        <v>423</v>
      </c>
      <c r="AK1693" s="140">
        <v>0.0</v>
      </c>
      <c r="AL1693" s="109">
        <v>0.0</v>
      </c>
      <c r="AM1693" s="141">
        <v>0.0</v>
      </c>
      <c r="AN1693" s="80">
        <f t="shared" si="4"/>
        <v>0</v>
      </c>
      <c r="AO1693" s="140">
        <v>0.0</v>
      </c>
      <c r="AP1693" s="109">
        <v>0.0</v>
      </c>
      <c r="AQ1693" s="109">
        <v>0.0</v>
      </c>
      <c r="AR1693" s="80">
        <f t="shared" si="5"/>
        <v>0</v>
      </c>
      <c r="AS1693" s="110">
        <v>0.0</v>
      </c>
      <c r="AT1693" s="110">
        <v>0.0</v>
      </c>
      <c r="AU1693" s="110">
        <v>10.0</v>
      </c>
      <c r="AV1693" s="142">
        <v>0.0</v>
      </c>
      <c r="AW1693" s="80">
        <f t="shared" si="6"/>
        <v>10</v>
      </c>
      <c r="AX1693" s="113">
        <f t="shared" si="7"/>
        <v>433</v>
      </c>
      <c r="AY1693" s="117">
        <f t="shared" si="8"/>
        <v>290</v>
      </c>
      <c r="AZ1693" s="120">
        <f t="shared" si="9"/>
        <v>143</v>
      </c>
      <c r="BA1693" s="115">
        <v>0.0</v>
      </c>
      <c r="BB1693" s="89">
        <f t="shared" si="10"/>
        <v>433</v>
      </c>
      <c r="BC1693" s="143" t="s">
        <v>1294</v>
      </c>
      <c r="BD1693" s="132" t="s">
        <v>178</v>
      </c>
      <c r="BE1693" s="132" t="s">
        <v>178</v>
      </c>
      <c r="BF1693" s="123"/>
      <c r="BG1693" s="189">
        <v>1178401.0</v>
      </c>
      <c r="BH1693" s="212" t="s">
        <v>9643</v>
      </c>
      <c r="BI1693" s="112">
        <v>6.0</v>
      </c>
      <c r="BJ1693" s="98" t="s">
        <v>155</v>
      </c>
      <c r="BK1693" s="99">
        <f t="shared" si="11"/>
        <v>82</v>
      </c>
      <c r="BL1693" s="99">
        <f t="shared" si="12"/>
        <v>208</v>
      </c>
      <c r="BM1693" s="99" t="str">
        <f>IFERROR(__xludf.DUMMYFUNCTION("IFERROR(VLOOKUP(BG1693,IMPORTRANGE(""https://docs.google.com/spreadsheets/d/1juPI-Fb8LD0YtltB2mlGEnp_R3UVu1t3wSFPzgCyHXE/edit?gid=0#gid=0"",""GERAL!A2:C""),3,0),""-"")"),"INDÍGENAS")</f>
        <v>INDÍGENAS</v>
      </c>
    </row>
    <row r="1694" ht="15.75" customHeight="1">
      <c r="A1694" s="111" t="s">
        <v>1842</v>
      </c>
      <c r="B1694" s="83" t="s">
        <v>9624</v>
      </c>
      <c r="C1694" s="136" t="s">
        <v>164</v>
      </c>
      <c r="D1694" s="208">
        <v>1178037.0</v>
      </c>
      <c r="E1694" s="317">
        <v>1178538.0</v>
      </c>
      <c r="F1694" s="115">
        <v>2.9493048E7</v>
      </c>
      <c r="G1694" s="636" t="s">
        <v>9645</v>
      </c>
      <c r="H1694" s="91" t="s">
        <v>9647</v>
      </c>
      <c r="I1694" s="83" t="s">
        <v>149</v>
      </c>
      <c r="J1694" s="83" t="s">
        <v>331</v>
      </c>
      <c r="K1694" s="83" t="s">
        <v>168</v>
      </c>
      <c r="L1694" s="82" t="s">
        <v>169</v>
      </c>
      <c r="M1694" s="82" t="str">
        <f>IFERROR(__xludf.DUMMYFUNCTION("IFERROR(VLOOKUP(D1694,
IMPORTRANGE(""https://docs.google.com/spreadsheets/d/1MjHtlUikwobi2MaWJgy7tfLeBmhj1u-dRFRs_8GwSoA/edit#gid=0"",""Gestores Escolares!D7:J""),3,0),""VERIFICAR CÓD SEC"")"),"NAISANGELA CARRILHO DE OLIVEIRA")</f>
        <v>NAISANGELA CARRILHO DE OLIVEIRA</v>
      </c>
      <c r="N1694" s="82" t="str">
        <f>IFERROR(__xludf.DUMMYFUNCTION("IFERROR(VLOOKUP(D1694,
IMPORTRANGE(""https://docs.google.com/spreadsheets/d/1MjHtlUikwobi2MaWJgy7tfLeBmhj1u-dRFRs_8GwSoA/edit#gid=0"",""Gestores Escolares!D7:J""),4,0),""VERIFICAR CÓD SEC"")"),"(73) 9 9904-0057")</f>
        <v>(73) 9 9904-0057</v>
      </c>
      <c r="O1694" s="82" t="str">
        <f>IFERROR(__xludf.DUMMYFUNCTION("IFERROR(VLOOKUP(D1694,
IMPORTRANGE(""https://docs.google.com/spreadsheets/d/1MjHtlUikwobi2MaWJgy7tfLeBmhj1u-dRFRs_8GwSoA/edit#gid=0"",""Gestores Escolares!D7:J""),6,0),""VERIFICAR CÓD SEC"")"),"ANTONIO DAMACENA ALVES")</f>
        <v>ANTONIO DAMACENA ALVES</v>
      </c>
      <c r="P1694" s="82" t="str">
        <f>IFERROR(__xludf.DUMMYFUNCTION("IFERROR(VLOOKUP(D1694,
IMPORTRANGE(""https://docs.google.com/spreadsheets/d/1MjHtlUikwobi2MaWJgy7tfLeBmhj1u-dRFRs_8GwSoA/edit#gid=0"",""Gestores Escolares!D7:J""),7,0),""VERIFICAR CÓD SEC"")"),"(73) 9 9138-2175")</f>
        <v>(73) 9 9138-2175</v>
      </c>
      <c r="Q1694" s="82" t="str">
        <f>IFERROR(__xludf.DUMMYFUNCTION("IFERROR(VLOOKUP(D1694,
IMPORTRANGE(""https://docs.google.com/spreadsheets/d/1MjHtlUikwobi2MaWJgy7tfLeBmhj1u-dRFRs_8GwSoA/edit#gid=0"",""Gestores Escolares!D7:m""),9,0),""VERIFICAR CÓD SEC"")"),"")</f>
        <v/>
      </c>
      <c r="R1694" s="82" t="str">
        <f>IFERROR(__xludf.DUMMYFUNCTION("IFERROR(VLOOKUP(D1694,
IMPORTRANGE(""https://docs.google.com/spreadsheets/d/1MjHtlUikwobi2MaWJgy7tfLeBmhj1u-dRFRs_8GwSoA/edit#gid=0"",""Gestores Escolares!D7:m""),10,0),""VERIFICAR CÓD SEC"")"),"")</f>
        <v/>
      </c>
      <c r="S1694" s="82"/>
      <c r="T1694" s="138">
        <v>3.0</v>
      </c>
      <c r="U1694" s="139">
        <v>3.0</v>
      </c>
      <c r="V1694" s="106">
        <v>0.0</v>
      </c>
      <c r="W1694" s="107">
        <v>0.0</v>
      </c>
      <c r="X1694" s="107">
        <v>0.0</v>
      </c>
      <c r="Y1694" s="107">
        <v>0.0</v>
      </c>
      <c r="Z1694" s="80">
        <f t="shared" si="1"/>
        <v>0</v>
      </c>
      <c r="AA1694" s="106">
        <v>0.0</v>
      </c>
      <c r="AB1694" s="107">
        <v>0.0</v>
      </c>
      <c r="AC1694" s="107">
        <v>0.0</v>
      </c>
      <c r="AD1694" s="107">
        <v>0.0</v>
      </c>
      <c r="AE1694" s="80">
        <f t="shared" si="2"/>
        <v>0</v>
      </c>
      <c r="AF1694" s="140">
        <v>0.0</v>
      </c>
      <c r="AG1694" s="109">
        <v>0.0</v>
      </c>
      <c r="AH1694" s="109">
        <v>0.0</v>
      </c>
      <c r="AI1694" s="141">
        <v>0.0</v>
      </c>
      <c r="AJ1694" s="80">
        <f t="shared" si="3"/>
        <v>0</v>
      </c>
      <c r="AK1694" s="140">
        <v>0.0</v>
      </c>
      <c r="AL1694" s="109">
        <v>0.0</v>
      </c>
      <c r="AM1694" s="141">
        <v>0.0</v>
      </c>
      <c r="AN1694" s="80">
        <f t="shared" si="4"/>
        <v>0</v>
      </c>
      <c r="AO1694" s="140">
        <v>0.0</v>
      </c>
      <c r="AP1694" s="109">
        <v>0.0</v>
      </c>
      <c r="AQ1694" s="109">
        <v>14.0</v>
      </c>
      <c r="AR1694" s="80">
        <f t="shared" si="5"/>
        <v>14</v>
      </c>
      <c r="AS1694" s="110">
        <v>0.0</v>
      </c>
      <c r="AT1694" s="110">
        <v>0.0</v>
      </c>
      <c r="AU1694" s="110">
        <v>0.0</v>
      </c>
      <c r="AV1694" s="142">
        <v>0.0</v>
      </c>
      <c r="AW1694" s="80">
        <f t="shared" si="6"/>
        <v>0</v>
      </c>
      <c r="AX1694" s="113">
        <f t="shared" si="7"/>
        <v>14</v>
      </c>
      <c r="AY1694" s="117">
        <f t="shared" si="8"/>
        <v>0</v>
      </c>
      <c r="AZ1694" s="120">
        <f t="shared" si="9"/>
        <v>14</v>
      </c>
      <c r="BA1694" s="115">
        <v>0.0</v>
      </c>
      <c r="BB1694" s="89">
        <f t="shared" si="10"/>
        <v>14</v>
      </c>
      <c r="BC1694" s="132" t="s">
        <v>373</v>
      </c>
      <c r="BD1694" s="132" t="s">
        <v>178</v>
      </c>
      <c r="BE1694" s="132" t="s">
        <v>178</v>
      </c>
      <c r="BF1694" s="123"/>
      <c r="BG1694" s="317">
        <v>1178538.0</v>
      </c>
      <c r="BH1694" s="208"/>
      <c r="BI1694" s="112">
        <v>3.0</v>
      </c>
      <c r="BJ1694" s="98" t="s">
        <v>155</v>
      </c>
      <c r="BK1694" s="99">
        <f t="shared" si="11"/>
        <v>0</v>
      </c>
      <c r="BL1694" s="99">
        <f t="shared" si="12"/>
        <v>0</v>
      </c>
      <c r="BM1694" s="99" t="str">
        <f>IFERROR(__xludf.DUMMYFUNCTION("IFERROR(VLOOKUP(BG1694,IMPORTRANGE(""https://docs.google.com/spreadsheets/d/1juPI-Fb8LD0YtltB2mlGEnp_R3UVu1t3wSFPzgCyHXE/edit?gid=0#gid=0"",""GERAL!A2:C""),3,0),""-"")"),"CAMPO")</f>
        <v>CAMPO</v>
      </c>
    </row>
    <row r="1695" ht="15.75" customHeight="1">
      <c r="A1695" s="111" t="s">
        <v>1842</v>
      </c>
      <c r="B1695" s="83" t="s">
        <v>9624</v>
      </c>
      <c r="C1695" s="136" t="s">
        <v>164</v>
      </c>
      <c r="D1695" s="208">
        <v>1178037.0</v>
      </c>
      <c r="E1695" s="317">
        <v>1178537.0</v>
      </c>
      <c r="F1695" s="115">
        <v>2.949303E7</v>
      </c>
      <c r="G1695" s="636" t="s">
        <v>9656</v>
      </c>
      <c r="H1695" s="91" t="s">
        <v>9657</v>
      </c>
      <c r="I1695" s="83" t="s">
        <v>149</v>
      </c>
      <c r="J1695" s="83" t="s">
        <v>872</v>
      </c>
      <c r="K1695" s="83" t="s">
        <v>168</v>
      </c>
      <c r="L1695" s="82" t="s">
        <v>169</v>
      </c>
      <c r="M1695" s="82" t="str">
        <f>IFERROR(__xludf.DUMMYFUNCTION("IFERROR(VLOOKUP(D1695,
IMPORTRANGE(""https://docs.google.com/spreadsheets/d/1MjHtlUikwobi2MaWJgy7tfLeBmhj1u-dRFRs_8GwSoA/edit#gid=0"",""Gestores Escolares!D7:J""),3,0),""VERIFICAR CÓD SEC"")"),"NAISANGELA CARRILHO DE OLIVEIRA")</f>
        <v>NAISANGELA CARRILHO DE OLIVEIRA</v>
      </c>
      <c r="N1695" s="82" t="str">
        <f>IFERROR(__xludf.DUMMYFUNCTION("IFERROR(VLOOKUP(D1695,
IMPORTRANGE(""https://docs.google.com/spreadsheets/d/1MjHtlUikwobi2MaWJgy7tfLeBmhj1u-dRFRs_8GwSoA/edit#gid=0"",""Gestores Escolares!D7:J""),4,0),""VERIFICAR CÓD SEC"")"),"(73) 9 9904-0057")</f>
        <v>(73) 9 9904-0057</v>
      </c>
      <c r="O1695" s="82" t="str">
        <f>IFERROR(__xludf.DUMMYFUNCTION("IFERROR(VLOOKUP(D1695,
IMPORTRANGE(""https://docs.google.com/spreadsheets/d/1MjHtlUikwobi2MaWJgy7tfLeBmhj1u-dRFRs_8GwSoA/edit#gid=0"",""Gestores Escolares!D7:J""),6,0),""VERIFICAR CÓD SEC"")"),"ANTONIO DAMACENA ALVES")</f>
        <v>ANTONIO DAMACENA ALVES</v>
      </c>
      <c r="P1695" s="82" t="str">
        <f>IFERROR(__xludf.DUMMYFUNCTION("IFERROR(VLOOKUP(D1695,
IMPORTRANGE(""https://docs.google.com/spreadsheets/d/1MjHtlUikwobi2MaWJgy7tfLeBmhj1u-dRFRs_8GwSoA/edit#gid=0"",""Gestores Escolares!D7:J""),7,0),""VERIFICAR CÓD SEC"")"),"(73) 9 9138-2175")</f>
        <v>(73) 9 9138-2175</v>
      </c>
      <c r="Q1695" s="82" t="str">
        <f>IFERROR(__xludf.DUMMYFUNCTION("IFERROR(VLOOKUP(D1695,
IMPORTRANGE(""https://docs.google.com/spreadsheets/d/1MjHtlUikwobi2MaWJgy7tfLeBmhj1u-dRFRs_8GwSoA/edit#gid=0"",""Gestores Escolares!D7:m""),9,0),""VERIFICAR CÓD SEC"")"),"")</f>
        <v/>
      </c>
      <c r="R1695" s="82" t="str">
        <f>IFERROR(__xludf.DUMMYFUNCTION("IFERROR(VLOOKUP(D1695,
IMPORTRANGE(""https://docs.google.com/spreadsheets/d/1MjHtlUikwobi2MaWJgy7tfLeBmhj1u-dRFRs_8GwSoA/edit#gid=0"",""Gestores Escolares!D7:m""),10,0),""VERIFICAR CÓD SEC"")"),"")</f>
        <v/>
      </c>
      <c r="S1695" s="82"/>
      <c r="T1695" s="138">
        <v>3.0</v>
      </c>
      <c r="U1695" s="139">
        <v>3.0</v>
      </c>
      <c r="V1695" s="106">
        <v>0.0</v>
      </c>
      <c r="W1695" s="107">
        <v>0.0</v>
      </c>
      <c r="X1695" s="107">
        <v>0.0</v>
      </c>
      <c r="Y1695" s="107">
        <v>0.0</v>
      </c>
      <c r="Z1695" s="80">
        <f t="shared" si="1"/>
        <v>0</v>
      </c>
      <c r="AA1695" s="106">
        <v>0.0</v>
      </c>
      <c r="AB1695" s="107">
        <v>0.0</v>
      </c>
      <c r="AC1695" s="107">
        <v>0.0</v>
      </c>
      <c r="AD1695" s="107">
        <v>0.0</v>
      </c>
      <c r="AE1695" s="80">
        <f t="shared" si="2"/>
        <v>0</v>
      </c>
      <c r="AF1695" s="140">
        <v>0.0</v>
      </c>
      <c r="AG1695" s="109">
        <v>0.0</v>
      </c>
      <c r="AH1695" s="109">
        <v>0.0</v>
      </c>
      <c r="AI1695" s="141">
        <v>0.0</v>
      </c>
      <c r="AJ1695" s="80">
        <f t="shared" si="3"/>
        <v>0</v>
      </c>
      <c r="AK1695" s="140">
        <v>0.0</v>
      </c>
      <c r="AL1695" s="109">
        <v>0.0</v>
      </c>
      <c r="AM1695" s="141">
        <v>0.0</v>
      </c>
      <c r="AN1695" s="80">
        <f t="shared" si="4"/>
        <v>0</v>
      </c>
      <c r="AO1695" s="140">
        <v>0.0</v>
      </c>
      <c r="AP1695" s="109">
        <v>0.0</v>
      </c>
      <c r="AQ1695" s="109">
        <v>48.0</v>
      </c>
      <c r="AR1695" s="80">
        <f t="shared" si="5"/>
        <v>48</v>
      </c>
      <c r="AS1695" s="110">
        <v>0.0</v>
      </c>
      <c r="AT1695" s="110">
        <v>0.0</v>
      </c>
      <c r="AU1695" s="110">
        <v>0.0</v>
      </c>
      <c r="AV1695" s="142">
        <v>0.0</v>
      </c>
      <c r="AW1695" s="80">
        <f t="shared" si="6"/>
        <v>0</v>
      </c>
      <c r="AX1695" s="113">
        <f t="shared" si="7"/>
        <v>48</v>
      </c>
      <c r="AY1695" s="117">
        <f t="shared" si="8"/>
        <v>0</v>
      </c>
      <c r="AZ1695" s="120">
        <f t="shared" si="9"/>
        <v>48</v>
      </c>
      <c r="BA1695" s="115">
        <v>0.0</v>
      </c>
      <c r="BB1695" s="89">
        <f t="shared" si="10"/>
        <v>48</v>
      </c>
      <c r="BC1695" s="132" t="s">
        <v>373</v>
      </c>
      <c r="BD1695" s="132" t="s">
        <v>178</v>
      </c>
      <c r="BE1695" s="132" t="s">
        <v>178</v>
      </c>
      <c r="BF1695" s="123"/>
      <c r="BG1695" s="317">
        <v>1178537.0</v>
      </c>
      <c r="BH1695" s="208"/>
      <c r="BI1695" s="112">
        <v>3.0</v>
      </c>
      <c r="BJ1695" s="98" t="s">
        <v>155</v>
      </c>
      <c r="BK1695" s="99">
        <f t="shared" si="11"/>
        <v>0</v>
      </c>
      <c r="BL1695" s="99">
        <f t="shared" si="12"/>
        <v>0</v>
      </c>
      <c r="BM1695" s="99" t="str">
        <f>IFERROR(__xludf.DUMMYFUNCTION("IFERROR(VLOOKUP(BG1695,IMPORTRANGE(""https://docs.google.com/spreadsheets/d/1juPI-Fb8LD0YtltB2mlGEnp_R3UVu1t3wSFPzgCyHXE/edit?gid=0#gid=0"",""GERAL!A2:C""),3,0),""-"")"),"CAMPO")</f>
        <v>CAMPO</v>
      </c>
    </row>
    <row r="1696" ht="15.75" customHeight="1">
      <c r="A1696" s="111" t="s">
        <v>1842</v>
      </c>
      <c r="B1696" s="83" t="s">
        <v>9624</v>
      </c>
      <c r="C1696" s="136" t="s">
        <v>164</v>
      </c>
      <c r="D1696" s="208">
        <v>1178401.0</v>
      </c>
      <c r="E1696" s="189">
        <v>1179715.0</v>
      </c>
      <c r="F1696" s="98">
        <v>2.9492092E7</v>
      </c>
      <c r="G1696" s="637" t="s">
        <v>9664</v>
      </c>
      <c r="H1696" s="91" t="s">
        <v>9665</v>
      </c>
      <c r="I1696" s="193" t="s">
        <v>171</v>
      </c>
      <c r="J1696" s="98" t="s">
        <v>310</v>
      </c>
      <c r="K1696" s="83" t="s">
        <v>168</v>
      </c>
      <c r="L1696" s="82" t="s">
        <v>512</v>
      </c>
      <c r="M1696" s="82" t="str">
        <f>IFERROR(__xludf.DUMMYFUNCTION("IFERROR(VLOOKUP(D1696,
IMPORTRANGE(""https://docs.google.com/spreadsheets/d/1MjHtlUikwobi2MaWJgy7tfLeBmhj1u-dRFRs_8GwSoA/edit#gid=0"",""Gestores Escolares!D7:J""),3,0),""VERIFICAR CÓD SEC"")"),"RAILSON SENA BRAZ CONCEICAO")</f>
        <v>RAILSON SENA BRAZ CONCEICAO</v>
      </c>
      <c r="N1696" s="82" t="str">
        <f>IFERROR(__xludf.DUMMYFUNCTION("IFERROR(VLOOKUP(D1696,
IMPORTRANGE(""https://docs.google.com/spreadsheets/d/1MjHtlUikwobi2MaWJgy7tfLeBmhj1u-dRFRs_8GwSoA/edit#gid=0"",""Gestores Escolares!D7:J""),4,0),""VERIFICAR CÓD SEC"")"),"(73) 9 9944-4029")</f>
        <v>(73) 9 9944-4029</v>
      </c>
      <c r="O1696" s="82" t="str">
        <f>IFERROR(__xludf.DUMMYFUNCTION("IFERROR(VLOOKUP(D1696,
IMPORTRANGE(""https://docs.google.com/spreadsheets/d/1MjHtlUikwobi2MaWJgy7tfLeBmhj1u-dRFRs_8GwSoA/edit#gid=0"",""Gestores Escolares!D7:J""),6,0),""VERIFICAR CÓD SEC"")"),"")</f>
        <v/>
      </c>
      <c r="P1696" s="82" t="str">
        <f>IFERROR(__xludf.DUMMYFUNCTION("IFERROR(VLOOKUP(D1696,
IMPORTRANGE(""https://docs.google.com/spreadsheets/d/1MjHtlUikwobi2MaWJgy7tfLeBmhj1u-dRFRs_8GwSoA/edit#gid=0"",""Gestores Escolares!D7:J""),7,0),""VERIFICAR CÓD SEC"")"),"")</f>
        <v/>
      </c>
      <c r="Q1696" s="82" t="str">
        <f>IFERROR(__xludf.DUMMYFUNCTION("IFERROR(VLOOKUP(D1696,
IMPORTRANGE(""https://docs.google.com/spreadsheets/d/1MjHtlUikwobi2MaWJgy7tfLeBmhj1u-dRFRs_8GwSoA/edit#gid=0"",""Gestores Escolares!D7:m""),9,0),""VERIFICAR CÓD SEC"")"),"")</f>
        <v/>
      </c>
      <c r="R1696" s="82" t="str">
        <f>IFERROR(__xludf.DUMMYFUNCTION("IFERROR(VLOOKUP(D1696,
IMPORTRANGE(""https://docs.google.com/spreadsheets/d/1MjHtlUikwobi2MaWJgy7tfLeBmhj1u-dRFRs_8GwSoA/edit#gid=0"",""Gestores Escolares!D7:m""),10,0),""VERIFICAR CÓD SEC"")"),"")</f>
        <v/>
      </c>
      <c r="S1696" s="82"/>
      <c r="T1696" s="138" t="s">
        <v>171</v>
      </c>
      <c r="U1696" s="145">
        <v>3.0</v>
      </c>
      <c r="V1696" s="106">
        <v>0.0</v>
      </c>
      <c r="W1696" s="107">
        <v>0.0</v>
      </c>
      <c r="X1696" s="107">
        <v>0.0</v>
      </c>
      <c r="Y1696" s="107">
        <v>0.0</v>
      </c>
      <c r="Z1696" s="80">
        <f t="shared" si="1"/>
        <v>0</v>
      </c>
      <c r="AA1696" s="106">
        <v>0.0</v>
      </c>
      <c r="AB1696" s="107">
        <v>0.0</v>
      </c>
      <c r="AC1696" s="107">
        <v>0.0</v>
      </c>
      <c r="AD1696" s="107">
        <v>0.0</v>
      </c>
      <c r="AE1696" s="80">
        <f t="shared" si="2"/>
        <v>0</v>
      </c>
      <c r="AF1696" s="140">
        <v>0.0</v>
      </c>
      <c r="AG1696" s="109">
        <v>0.0</v>
      </c>
      <c r="AH1696" s="109">
        <v>21.0</v>
      </c>
      <c r="AI1696" s="141">
        <v>0.0</v>
      </c>
      <c r="AJ1696" s="80">
        <f t="shared" si="3"/>
        <v>21</v>
      </c>
      <c r="AK1696" s="140">
        <v>0.0</v>
      </c>
      <c r="AL1696" s="109">
        <v>0.0</v>
      </c>
      <c r="AM1696" s="141">
        <v>0.0</v>
      </c>
      <c r="AN1696" s="80">
        <f t="shared" si="4"/>
        <v>0</v>
      </c>
      <c r="AO1696" s="140">
        <v>0.0</v>
      </c>
      <c r="AP1696" s="109">
        <v>0.0</v>
      </c>
      <c r="AQ1696" s="109">
        <v>0.0</v>
      </c>
      <c r="AR1696" s="80">
        <f t="shared" si="5"/>
        <v>0</v>
      </c>
      <c r="AS1696" s="110">
        <v>0.0</v>
      </c>
      <c r="AT1696" s="110">
        <v>0.0</v>
      </c>
      <c r="AU1696" s="110">
        <v>0.0</v>
      </c>
      <c r="AV1696" s="142">
        <v>0.0</v>
      </c>
      <c r="AW1696" s="80">
        <f t="shared" si="6"/>
        <v>0</v>
      </c>
      <c r="AX1696" s="113">
        <f t="shared" si="7"/>
        <v>21</v>
      </c>
      <c r="AY1696" s="117">
        <f t="shared" si="8"/>
        <v>0</v>
      </c>
      <c r="AZ1696" s="120">
        <f t="shared" si="9"/>
        <v>21</v>
      </c>
      <c r="BA1696" s="115">
        <v>0.0</v>
      </c>
      <c r="BB1696" s="89">
        <f t="shared" si="10"/>
        <v>21</v>
      </c>
      <c r="BC1696" s="143" t="s">
        <v>1294</v>
      </c>
      <c r="BD1696" s="132" t="s">
        <v>178</v>
      </c>
      <c r="BE1696" s="132" t="s">
        <v>178</v>
      </c>
      <c r="BF1696" s="156"/>
      <c r="BG1696" s="83">
        <v>1179715.0</v>
      </c>
      <c r="BH1696" s="208"/>
      <c r="BI1696" s="112">
        <v>3.0</v>
      </c>
      <c r="BJ1696" s="98" t="s">
        <v>155</v>
      </c>
      <c r="BK1696" s="99">
        <f t="shared" si="11"/>
        <v>0</v>
      </c>
      <c r="BL1696" s="99">
        <f t="shared" si="12"/>
        <v>0</v>
      </c>
      <c r="BM1696" s="99" t="str">
        <f>IFERROR(__xludf.DUMMYFUNCTION("IFERROR(VLOOKUP(BG1696,IMPORTRANGE(""https://docs.google.com/spreadsheets/d/1juPI-Fb8LD0YtltB2mlGEnp_R3UVu1t3wSFPzgCyHXE/edit?gid=0#gid=0"",""GERAL!A2:C""),3,0),""-"")"),"INDÍGENAS")</f>
        <v>INDÍGENAS</v>
      </c>
    </row>
    <row r="1697" ht="15.75" customHeight="1">
      <c r="A1697" s="524"/>
      <c r="B1697" s="2"/>
      <c r="C1697" s="2"/>
      <c r="D1697" s="2"/>
      <c r="E1697" s="2"/>
      <c r="F1697" s="2"/>
      <c r="G1697" s="2"/>
      <c r="H1697" s="2"/>
      <c r="I1697" s="2"/>
      <c r="J1697" s="2"/>
      <c r="K1697" s="2"/>
      <c r="L1697" s="3"/>
      <c r="M1697" s="638"/>
      <c r="N1697" s="638"/>
      <c r="O1697" s="638"/>
      <c r="P1697" s="638"/>
      <c r="Q1697" s="638"/>
      <c r="R1697" s="638"/>
      <c r="S1697" s="638"/>
      <c r="T1697" s="639"/>
      <c r="U1697" s="640"/>
      <c r="V1697" s="641"/>
      <c r="W1697" s="641"/>
      <c r="X1697" s="641"/>
      <c r="Y1697" s="641"/>
      <c r="Z1697" s="177"/>
      <c r="AA1697" s="177"/>
      <c r="AB1697" s="177"/>
      <c r="AC1697" s="177"/>
      <c r="AD1697" s="177"/>
      <c r="AE1697" s="177"/>
      <c r="AF1697" s="177"/>
      <c r="AG1697" s="177"/>
      <c r="AH1697" s="177"/>
      <c r="AI1697" s="177"/>
      <c r="AJ1697" s="177"/>
      <c r="AK1697" s="177"/>
      <c r="AL1697" s="177"/>
      <c r="AM1697" s="177"/>
      <c r="AN1697" s="177"/>
      <c r="AO1697" s="177"/>
      <c r="AP1697" s="177"/>
      <c r="AQ1697" s="177"/>
      <c r="AR1697" s="177"/>
      <c r="AS1697" s="177"/>
      <c r="AT1697" s="177"/>
      <c r="AU1697" s="177"/>
      <c r="AV1697" s="177"/>
      <c r="AW1697" s="177"/>
      <c r="AX1697" s="177"/>
      <c r="AY1697" s="177"/>
      <c r="AZ1697" s="642"/>
      <c r="BA1697" s="642"/>
      <c r="BB1697" s="177"/>
      <c r="BC1697" s="177"/>
      <c r="BD1697" s="177"/>
      <c r="BE1697" s="177"/>
      <c r="BF1697" s="123"/>
      <c r="BG1697" s="526"/>
      <c r="BH1697" s="525"/>
      <c r="BI1697" s="525"/>
      <c r="BJ1697" s="525"/>
      <c r="BK1697" s="525"/>
      <c r="BL1697" s="525"/>
      <c r="BM1697" s="525"/>
    </row>
    <row r="1698" ht="15.75" customHeight="1">
      <c r="A1698" s="528" t="s">
        <v>9677</v>
      </c>
      <c r="B1698" s="529"/>
      <c r="C1698" s="529"/>
      <c r="D1698" s="529"/>
      <c r="E1698" s="529"/>
      <c r="F1698" s="529"/>
      <c r="G1698" s="529"/>
      <c r="H1698" s="529"/>
      <c r="I1698" s="529"/>
      <c r="J1698" s="529"/>
      <c r="K1698" s="529"/>
      <c r="L1698" s="530"/>
      <c r="M1698" s="643"/>
      <c r="N1698" s="643"/>
      <c r="O1698" s="643"/>
      <c r="P1698" s="643"/>
      <c r="Q1698" s="643"/>
      <c r="R1698" s="643"/>
      <c r="S1698" s="643"/>
      <c r="T1698" s="644"/>
      <c r="U1698" s="643"/>
      <c r="V1698" s="645">
        <f>SUBTOTAL(9,$V$8:$V$1696)</f>
        <v>518</v>
      </c>
      <c r="W1698" s="645">
        <f>SUBTOTAL(9,$W$8:$W$1696)</f>
        <v>385</v>
      </c>
      <c r="X1698" s="645">
        <f>SUBTOTAL(9,$X$8:$X$1696)</f>
        <v>0</v>
      </c>
      <c r="Y1698" s="645">
        <f>SUBTOTAL(9,$Y$8:$Y$1696)</f>
        <v>0</v>
      </c>
      <c r="Z1698" s="645">
        <f>SUBTOTAL(9,$Z$8:$Z$1696)</f>
        <v>903</v>
      </c>
      <c r="AA1698" s="645">
        <f>SUBTOTAL(9,$AA$8:$AA$1696)</f>
        <v>29669</v>
      </c>
      <c r="AB1698" s="645">
        <f>SUBTOTAL(9,$AB$8:$AB$1696)</f>
        <v>36915</v>
      </c>
      <c r="AC1698" s="645">
        <f>SUBTOTAL(9,$AC$8:$AC$1696)</f>
        <v>0</v>
      </c>
      <c r="AD1698" s="645">
        <f>SUBTOTAL(9,$AD$8:$AD$1696)</f>
        <v>14744</v>
      </c>
      <c r="AE1698" s="645">
        <f>SUBTOTAL(9,$AE$8:$AE$1696)</f>
        <v>81328</v>
      </c>
      <c r="AF1698" s="645">
        <f>SUBTOTAL(9,$AF$8:$AF$1696)</f>
        <v>106943</v>
      </c>
      <c r="AG1698" s="645">
        <f>SUBTOTAL(9,$AG$8:$AG$1696)</f>
        <v>68608</v>
      </c>
      <c r="AH1698" s="645">
        <f>SUBTOTAL(9,$AH$8:$AH$1696)</f>
        <v>8346</v>
      </c>
      <c r="AI1698" s="645">
        <f>SUBTOTAL(9,$AI$8:$AI$1696)</f>
        <v>126183</v>
      </c>
      <c r="AJ1698" s="645">
        <f>SUBTOTAL(9,$AJ$8:$AJ$1696)</f>
        <v>310080</v>
      </c>
      <c r="AK1698" s="645">
        <f>SUBTOTAL(9,$AK$8:$AK$1696)</f>
        <v>1155</v>
      </c>
      <c r="AL1698" s="645">
        <f>SUBTOTAL(9,$AL$8:$AL$1696)</f>
        <v>1283</v>
      </c>
      <c r="AM1698" s="645">
        <f>SUBTOTAL(9,$AM$8:$AM$1696)</f>
        <v>4292</v>
      </c>
      <c r="AN1698" s="645">
        <f>SUBTOTAL(9,$AN$8:$AN$1696)</f>
        <v>6730</v>
      </c>
      <c r="AO1698" s="645">
        <f>SUBTOTAL(9,$AO$8:$AO$1696)</f>
        <v>729</v>
      </c>
      <c r="AP1698" s="645">
        <f>SUBTOTAL(9,$AP$8:$AP$1696)</f>
        <v>681</v>
      </c>
      <c r="AQ1698" s="645">
        <f>SUBTOTAL(9,$AQ$8:$AQ$1696)</f>
        <v>83165</v>
      </c>
      <c r="AR1698" s="645">
        <f>SUBTOTAL(9,$AR$8:$AR$1696)</f>
        <v>84575</v>
      </c>
      <c r="AS1698" s="645">
        <f>SUBTOTAL(9,$AS$8:$AS$1696)</f>
        <v>47567</v>
      </c>
      <c r="AT1698" s="645">
        <f>SUBTOTAL(9,$AT$8:$AT$1696)</f>
        <v>30890</v>
      </c>
      <c r="AU1698" s="645">
        <f>SUBTOTAL(9,$AU$8:$AU$1696)</f>
        <v>39420</v>
      </c>
      <c r="AV1698" s="645">
        <f>SUBTOTAL(9,$AV$8:$AV$1696)</f>
        <v>26468</v>
      </c>
      <c r="AW1698" s="645">
        <f>SUBTOTAL(9,$AW$8:$AW$1696)</f>
        <v>144345</v>
      </c>
      <c r="AX1698" s="645">
        <f>SUBTOTAL(9,$AX$8:$AX$1696)</f>
        <v>627961</v>
      </c>
      <c r="AY1698" s="645">
        <f>SUBTOTAL(9,$AY$8:$AY$1696)</f>
        <v>492738</v>
      </c>
      <c r="AZ1698" s="645">
        <f>SUBTOTAL(9,$AZ$8:$AZ$1696)</f>
        <v>135223</v>
      </c>
      <c r="BA1698" s="645">
        <f>SUBTOTAL(9,$BA$8:$BA$1696)</f>
        <v>450</v>
      </c>
      <c r="BB1698" s="645">
        <f>SUBTOTAL(9,$BB$8:$BB$1696)</f>
        <v>628411</v>
      </c>
      <c r="BC1698" s="646"/>
      <c r="BD1698" s="646"/>
      <c r="BE1698" s="646"/>
      <c r="BF1698" s="647"/>
      <c r="BG1698" s="532"/>
      <c r="BH1698" s="531"/>
      <c r="BI1698" s="531"/>
      <c r="BJ1698" s="531"/>
      <c r="BK1698" s="646">
        <f t="shared" ref="BK1698:BL1698" si="13">SUBTOTAL(9,BK8:BK1697)</f>
        <v>167395</v>
      </c>
      <c r="BL1698" s="646">
        <f t="shared" si="13"/>
        <v>325343</v>
      </c>
      <c r="BM1698" s="648"/>
    </row>
    <row r="1699" ht="30.0" customHeight="1">
      <c r="A1699" s="534"/>
      <c r="B1699" s="534"/>
      <c r="C1699" s="534"/>
      <c r="D1699" s="534"/>
      <c r="E1699" s="534"/>
      <c r="F1699" s="125"/>
      <c r="G1699" s="282"/>
      <c r="BG1699" s="125"/>
      <c r="BH1699" s="525"/>
      <c r="BI1699" s="525"/>
      <c r="BJ1699" s="525"/>
      <c r="BK1699" s="525"/>
      <c r="BL1699" s="525"/>
      <c r="BM1699" s="525"/>
    </row>
  </sheetData>
  <customSheetViews>
    <customSheetView guid="{E0BC5A03-7891-4303-8566-682774A607E3}" filter="1" showAutoFilter="1">
      <autoFilter ref="$A$7:$BM$1697"/>
    </customSheetView>
    <customSheetView guid="{C12EAA4E-1A6D-414D-8BCC-55A5C0B926D4}" filter="1" showAutoFilter="1">
      <autoFilter ref="$A$7:$BK$1697">
        <filterColumn colId="1">
          <filters blank="1">
            <filter val="MUQUEM DO SAO FRANCISCO"/>
            <filter val="ARACAS"/>
            <filter val="TREMEDAL"/>
            <filter val="UBATA"/>
            <filter val="ITAETE"/>
            <filter val="AURELINO LEAL"/>
            <filter val="DARIO MEIRA"/>
            <filter val="SERRA DOURADA"/>
            <filter val="MALHADA"/>
            <filter val="UIBAI"/>
            <filter val="UMBURANAS"/>
            <filter val="TANQUINHO"/>
            <filter val="URANDI"/>
            <filter val="JEREMOABO"/>
            <filter val="IRAQUARA"/>
            <filter val="VERA CRUZ"/>
            <filter val="ARATUIPE"/>
            <filter val="SATIRO DIAS"/>
            <filter val="ITACARE"/>
            <filter val="SANTA BRIGIDA"/>
            <filter val="NOVA ITARANA"/>
            <filter val="TANQUE NOVO"/>
            <filter val="BOM JESUS DA LAPA"/>
            <filter val="GOVERNADOR MANGABEIRA"/>
            <filter val="DIAS D AVILA"/>
            <filter val="BARRO ALTO"/>
            <filter val="TAPIRAMUTA"/>
            <filter val="PINTADAS"/>
            <filter val="ITAMBE"/>
            <filter val="IRARA"/>
            <filter val="MACAUBAS"/>
            <filter val="FEIRA DA MATA"/>
            <filter val="NOVA VICOSA"/>
            <filter val="BAIXA GRANDE"/>
            <filter val="UBAITABA"/>
            <filter val="ITAPITANGA"/>
            <filter val="POCOES"/>
            <filter val="ALCOBACA"/>
            <filter val="RIACHAO DO JACUIPE"/>
            <filter val="APUAREMA"/>
            <filter val="OLINDINA"/>
            <filter val="RIBEIRA DO AMPARO"/>
            <filter val="DOM MACEDO COSTA"/>
            <filter val="CAMACAN"/>
            <filter val="CAFARNAUM"/>
            <filter val="CARINHANHA"/>
            <filter val="IBICARAI"/>
            <filter val="JAGUARIPE"/>
            <filter val="ACAJUTIBA"/>
            <filter val="PLANALTO"/>
            <filter val="TUCANO"/>
            <filter val="URUCUCA"/>
            <filter val="BARRA DO CHOCA"/>
            <filter val="LENCOIS"/>
            <filter val="IBIRAPITANGA"/>
            <filter val="SANTO AMARO"/>
            <filter val="LAFAIETE COUTINHO"/>
            <filter val="VARZEDO"/>
            <filter val="SAO DOMINGOS"/>
            <filter val="JOAO DOURADO"/>
            <filter val="SAO GONCALO DOS CAMPOS"/>
            <filter val="MURITIBA"/>
            <filter val="JAGUAQUARA"/>
            <filter val="ITAQUARA"/>
            <filter val="CANDIBA"/>
            <filter val="SERRA PRETA"/>
            <filter val="CAMPO FORMOSO"/>
            <filter val="IRAMAIA"/>
            <filter val="IGRAPIUNA"/>
            <filter val="UBAIRA"/>
            <filter val="SAUBARA"/>
            <filter val="SALINAS DA MARGARIDA"/>
            <filter val="IBITIARA"/>
            <filter val="BRUMADO"/>
            <filter val="ITAPE"/>
            <filter val="ITAGUACU DA BAHIA"/>
            <filter val="CACULE"/>
            <filter val="PEDRAO"/>
            <filter val="SERRA DO RAMALHO"/>
            <filter val="JUCURUCU"/>
            <filter val="UNA"/>
            <filter val="BARRA DA ESTIVA"/>
            <filter val="GUAJERU"/>
            <filter val="POTIRAGUA"/>
            <filter val="TANHACU"/>
            <filter val="BOA NOVA"/>
            <filter val="NOVA CANAA"/>
            <filter val="RIACHO DE SANTANA"/>
            <filter val="CAIRU"/>
            <filter val="SANTA BARBARA"/>
            <filter val="CONDEUBA"/>
            <filter val="MEDEIROS NETO"/>
            <filter val="CARDEAL DA SILVA"/>
            <filter val="ANGICAL"/>
            <filter val="RAFAEL JAMBEIRO"/>
            <filter val="MIRANTE"/>
            <filter val="PALMAS DE MONTE ALTO"/>
            <filter val="SANTALUZ"/>
            <filter val="CAPIM GROSSO"/>
            <filter val="CAETITE"/>
            <filter val="ELISIO MEDRADO"/>
            <filter val="AMARGOSA"/>
            <filter val="CORACAO DE MARIA"/>
            <filter val="ITAMARI"/>
            <filter val="ITUBERA"/>
            <filter val="CIPO"/>
            <filter val="MUNDO NOVO"/>
            <filter val="CAPELA DO ALTO ALEGRE"/>
            <filter val="ITABERABA"/>
            <filter val="CANARANA"/>
            <filter val="ITATIM"/>
            <filter val="MAIQUINIQUE"/>
            <filter val="CONCEICAO DO ALMEIDA"/>
            <filter val="REMANSO"/>
            <filter val="MIRANGABA"/>
            <filter val="GAVIAO"/>
            <filter val="ANDORINHA"/>
            <filter val="VITORIA DA CONQUISTA"/>
            <filter val="FATIMA"/>
            <filter val="ARACI"/>
            <filter val="QUIJINGUE"/>
            <filter val="RODELAS"/>
            <filter val="CASA NOVA"/>
            <filter val="MONTE SANTO"/>
            <filter val="IBIPEBA"/>
            <filter val="JUSSARA"/>
            <filter val="CRAVOLANDIA"/>
            <filter val="ANDARAI"/>
            <filter val="JUSSARI"/>
            <filter val="CAETANOS"/>
            <filter val="MASCOTE"/>
            <filter val="JABORANDI"/>
            <filter val="SAO MIGUEL DAS MATAS"/>
            <filter val="LIVRAMENTO DE NOSSA SENHORA"/>
            <filter val="MATA DE SAO JOAO"/>
            <filter val="CRISTOPOLIS"/>
            <filter val="ABAIRA"/>
            <filter val="LAJE"/>
            <filter val="MATINA"/>
            <filter val="PIATA"/>
            <filter val="ITAGIMIRIM"/>
            <filter val="DOM BASILIO"/>
            <filter val="CALDEIRAO GRANDE"/>
            <filter val="SAO FELIPE"/>
            <filter val="CATURAMA"/>
            <filter val="MALHADA DE PEDRAS"/>
            <filter val="SAO FELIX DO CORIBE"/>
            <filter val="CAATIBA"/>
            <filter val="IGUAI"/>
            <filter val="PINDAI"/>
            <filter val="ITANAGRA"/>
            <filter val="GUARATINGA"/>
            <filter val="SOUTO SOARES"/>
            <filter val="JANDAIRA"/>
            <filter val="AMERICA DOURADA"/>
            <filter val="MACAJUBA"/>
            <filter val="ESPLANADA"/>
            <filter val="PORTO SEGURO"/>
            <filter val="COTEGIPE"/>
            <filter val="IBICUI"/>
            <filter val="CAMAMU"/>
            <filter val="POJUCA"/>
            <filter val="CAEM"/>
            <filter val="FLORESTA AZUL"/>
            <filter val="LUIS EDUARDO MAGALHAES"/>
            <filter val="IPIRA"/>
            <filter val="CARAIBAS"/>
            <filter val="BOQUIRA"/>
            <filter val="WANDERLEY"/>
            <filter val="IBIRATAIA"/>
            <filter val="JUSSIAPE"/>
            <filter val="BARRA DO ROCHA"/>
            <filter val="MARAU"/>
            <filter val="BOA VISTA DO TUPIM"/>
            <filter val="IRECE"/>
            <filter val="WAGNER"/>
            <filter val="PARIPIRANGA"/>
            <filter val="ITAMARAJU"/>
            <filter val="PRESIDENTE JANIO QUADROS"/>
            <filter val="ABARE"/>
            <filter val="AIQUARA"/>
            <filter val="PARATINGA"/>
            <filter val="PALMEIRAS"/>
            <filter val="ERICO CARDOSO"/>
            <filter val="VALENCA"/>
            <filter val="ENCRUZILHADA"/>
            <filter val="PEDRO ALEXANDRE"/>
            <filter val="MACURURE"/>
            <filter val="NOVA REDENCAO"/>
            <filter val="OLIVEIRA DOS BREJINHOS"/>
            <filter val="SAO FRANCISCO DO CONDE"/>
            <filter val="ITANHEM"/>
            <filter val="CORIBE"/>
            <filter val="SANTA LUZIA"/>
            <filter val="CHORROCHO"/>
            <filter val="ITAJUIPE"/>
            <filter val="CICERO DANTAS"/>
            <filter val="CAMACARI"/>
            <filter val="CONCEICAO DO JACUIPE"/>
            <filter val="SANTA CRUZ DA VITORIA"/>
            <filter val="ITABUNA"/>
            <filter val="UTINGA"/>
            <filter val="RIBEIRAO DO LARGO"/>
            <filter val="RETIROLANDIA"/>
            <filter val="HELIOPOLIS"/>
            <filter val="CARAVELAS"/>
            <filter val="CRISOPOLIS"/>
            <filter val="NOVA IBIA"/>
            <filter val="SANTA MARIA DA VITORIA"/>
            <filter val="GONGOGI"/>
            <filter val="ITAPARICA"/>
            <filter val="MUTUIPE"/>
            <filter val="ANAGE"/>
            <filter val="CATOLANDIA"/>
            <filter val="SANTO ESTEVAO"/>
            <filter val="CANSANCAO"/>
            <filter val="LAMARAO"/>
            <filter val="IBIRAPUA"/>
            <filter val="SAUDE"/>
            <filter val="UAUA"/>
            <filter val="TEIXEIRA DE FREITAS"/>
            <filter val="LAJEDO DO TABOCAL"/>
            <filter val="GANDU"/>
            <filter val="SEBASTIAO LARANJEIRAS"/>
            <filter val="EUNAPOLIS"/>
            <filter val="IRAJUBA"/>
            <filter val="TEODORO SAMPAIO"/>
            <filter val="MUCUGE"/>
            <filter val="SAO DESIDERIO"/>
            <filter val="VARZEA DO POCO"/>
            <filter val="MADRE DE DEUS"/>
            <filter val="WENCESLAU GUIMARAES"/>
            <filter val="NOVO HORIZONTE"/>
            <filter val="TEOFILANDIA"/>
            <filter val="BARRO PRETO"/>
            <filter val="SAO JOSE DA VITORIA"/>
            <filter val="RUY BARBOSA"/>
            <filter val="ITIRUCU"/>
            <filter val="BONITO"/>
            <filter val="FEIRA DE SANTANA"/>
            <filter val="MARCIONILIO SOUZA"/>
            <filter val="MORPARA"/>
            <filter val="VARZEA DA ROCA"/>
            <filter val="MARAGOGIPE"/>
            <filter val="CONCEICAO DA FEIRA"/>
            <filter val="MAIRI"/>
            <filter val="IBIPITANGA"/>
            <filter val="SANTA INES"/>
            <filter val="JITAUNA"/>
            <filter val="MULUNGU DO MORRO"/>
            <filter val="SITIO DO MATO"/>
            <filter val="PRESIDENTE DUTRA"/>
            <filter val="CAMPO ALEGRE DE LOURDES"/>
            <filter val="NOVA SOURE"/>
            <filter val="CACHOEIRA"/>
            <filter val="SAO SEBASTIAO DO PASSE"/>
            <filter val="MANSIDAO"/>
            <filter val="SALVADOR"/>
            <filter val="BARRA"/>
            <filter val="SANTANA"/>
            <filter val="LAPAO"/>
            <filter val="ITAGIBA"/>
            <filter val="MANOEL VITORINO"/>
            <filter val="COCOS"/>
            <filter val="PRESIDENTE TANCREDO NEVES"/>
            <filter val="BURITIRAMA"/>
            <filter val="BARRA DO MENDES"/>
            <filter val="SENTO SE"/>
            <filter val="CONDE"/>
            <filter val="GUANAMBI"/>
            <filter val="SENHOR DO BONFIM"/>
            <filter val="ITORORO"/>
            <filter val="JACOBINA"/>
            <filter val="AMELIA RODRIGUES"/>
            <filter val="ITAPEBI"/>
            <filter val="SAPEACU"/>
            <filter val="CORONEL JOAO SA"/>
            <filter val="CONTENDAS DO SINCORA"/>
            <filter val="MIGUEL CALMON"/>
            <filter val="OURICANGAS"/>
            <filter val="PLANALTINO"/>
            <filter val="BROTAS DE MACAUBAS"/>
            <filter val="MARACAS"/>
            <filter val="ITABELA"/>
            <filter val="XIQUE-XIQUE"/>
            <filter val="RIO DE CONTAS"/>
            <filter val="ARAMARI"/>
            <filter val="ANGUERA"/>
            <filter val="BARREIRAS"/>
            <filter val="SANTO ANTONIO DE JESUS"/>
            <filter val="SEABRA"/>
            <filter val="ITUACU"/>
            <filter val="PINDOBACU"/>
            <filter val="VARZEA NOVA"/>
            <filter val="IPUPIARA"/>
            <filter val="RIO DO ANTONIO"/>
            <filter val="BIRITINGA"/>
            <filter val="SAO GABRIEL"/>
            <filter val="QUEIMADAS"/>
            <filter val="IBICOARA"/>
            <filter val="CANAVIEIRAS"/>
            <filter val="SANTANOPOLIS"/>
            <filter val="AGUA FRIA"/>
            <filter val="ITAPETINGA"/>
            <filter val="CANDIDO SALES"/>
            <filter val="NOVA FATIMA"/>
            <filter val="NOVO TRIUNFO"/>
            <filter val="INHAMBUPE"/>
            <filter val="ENTRE RIOS"/>
            <filter val="NAZARE"/>
            <filter val="IBIASSUCE"/>
            <filter val="BREJOES"/>
            <filter val="MACARANI"/>
            <filter val="MUNIZ FERREIRA"/>
            <filter val="CENTRAL"/>
            <filter val="PE DE SERRA"/>
            <filter val="ITAPICURU"/>
            <filter val="FORMOSA DO RIO PRETO"/>
            <filter val="PAULO AFONSO"/>
            <filter val="MAETINGA"/>
            <filter val="CANDEIAS"/>
            <filter val="SANTA CRUZ CABRALIA"/>
            <filter val="NORDESTINA"/>
            <filter val="SAO JOSE DO JACUIPE"/>
            <filter val="CATU"/>
            <filter val="ITIUBA"/>
            <filter val="CASTRO ALVES"/>
            <filter val="LAURO DE FREITAS"/>
            <filter val="PIRIPA"/>
            <filter val="GENTIO DO OURO"/>
            <filter val="SERRINHA"/>
            <filter val="IGAPORA"/>
            <filter val="TEOLANDIA"/>
            <filter val="BARROCAS"/>
            <filter val="OUROLANDIA"/>
            <filter val="RIACHAO DAS NEVES"/>
            <filter val="PONTO NOVO"/>
            <filter val="COARACI"/>
            <filter val="TERRA NOVA"/>
            <filter val="LICINIO DE ALMEIDA"/>
            <filter val="PARAMIRIM"/>
            <filter val="SANTA RITA DE CASSIA"/>
            <filter val="LAJEDINHO"/>
            <filter val="ANTONIO GONCALVES"/>
            <filter val="FILADELFIA"/>
            <filter val="RIO DO PIRES"/>
            <filter val="TABOCAS DO BREJO VELHO"/>
            <filter val="BOM JESUS DA SERRA"/>
            <filter val="ADUSTINA"/>
            <filter val="SERROLANDIA"/>
            <filter val="LAJEDAO"/>
            <filter val="FIRMINO ALVES"/>
            <filter val="IUIU"/>
            <filter val="PIRITIBA"/>
            <filter val="QUIXABEIRA"/>
            <filter val="MORTUGABA"/>
            <filter val="IBITITA"/>
            <filter val="ANTAS"/>
            <filter val="RIBEIRA DO POMBAL"/>
            <filter val="PILAO ARCADO"/>
            <filter val="SANTA TEREZINHA"/>
            <filter val="ICHU"/>
            <filter val="ANTONIO CARDOSO"/>
            <filter val="CANDEAL"/>
            <filter val="ITARANTIM"/>
            <filter val="CANAPOLIS"/>
            <filter val="BUERAREMA"/>
            <filter val="APORA"/>
            <filter val="ARACATU"/>
            <filter val="IPIAU"/>
            <filter val="IPECAETA"/>
            <filter val="BONINAL"/>
            <filter val="ARATACA"/>
            <filter val="IACU"/>
            <filter val="CORDEIROS"/>
            <filter val="VEREDA"/>
            <filter val="MILAGRES"/>
            <filter val="JACARACI"/>
            <filter val="BAIANOPOLIS"/>
            <filter val="EUCLIDES DA CUNHA"/>
            <filter val="JAGUARARI"/>
            <filter val="BOTUPORA"/>
            <filter val="RIO REAL"/>
            <filter val="BELMONTE"/>
            <filter val="TAPEROA"/>
            <filter val="SOBRADINHO"/>
            <filter val="SITIO DO QUINTO"/>
            <filter val="ITAJU DO COLONIA"/>
            <filter val="JEQUIE"/>
            <filter val="SAO FELIX"/>
            <filter val="VALENTE"/>
            <filter val="IBOTIRAMA"/>
            <filter val="CABACEIRAS DO PARAGUACU"/>
            <filter val="JIQUIRICA"/>
            <filter val="CRUZ DAS ALMAS"/>
            <filter val="NILO PECANHA"/>
            <filter val="CORRENTINA"/>
            <filter val="MUCURI"/>
            <filter val="BELO CAMPO"/>
            <filter val="PIRAI DO NORTE"/>
            <filter val="ALMADINA"/>
            <filter val="MORRO DO CHAPEU"/>
            <filter val="ITAGI"/>
            <filter val="LAGOA REAL"/>
            <filter val="CANUDOS"/>
            <filter val="CONCEICAO DO COITE"/>
            <filter val="IBIQUERA"/>
          </filters>
        </filterColumn>
        <filterColumn colId="49">
          <filters blank="1">
            <filter val="1,054"/>
            <filter val="1,053"/>
            <filter val="1,295"/>
            <filter val="1,052"/>
            <filter val="1,051"/>
            <filter val="1,059"/>
            <filter val="0"/>
            <filter val="1,067"/>
            <filter val="1,066"/>
            <filter val="4"/>
            <filter val="5"/>
            <filter val="6"/>
            <filter val="7"/>
            <filter val="1,061"/>
            <filter val="8"/>
            <filter val="800"/>
            <filter val="9"/>
            <filter val="802"/>
            <filter val="805"/>
            <filter val="808"/>
            <filter val="2,079"/>
            <filter val="1,275"/>
            <filter val="1,271"/>
            <filter val="812"/>
            <filter val="1,039"/>
            <filter val="815"/>
            <filter val="1,036"/>
            <filter val="819"/>
            <filter val="1,046"/>
            <filter val="1,045"/>
            <filter val="1,041"/>
            <filter val="820"/>
            <filter val="822"/>
            <filter val="824"/>
            <filter val="825"/>
            <filter val="826"/>
            <filter val="1,497"/>
            <filter val="1,012"/>
            <filter val="1,250"/>
            <filter val="830"/>
            <filter val="831"/>
            <filter val="1,490"/>
            <filter val="833"/>
            <filter val="1,018"/>
            <filter val="836"/>
            <filter val="1,017"/>
            <filter val="837"/>
            <filter val="838"/>
            <filter val="1,015"/>
            <filter val="1,023"/>
            <filter val="1,264"/>
            <filter val="1,022"/>
            <filter val="1,021"/>
            <filter val="841"/>
            <filter val="601"/>
            <filter val="843"/>
            <filter val="844"/>
            <filter val="845"/>
            <filter val="603"/>
            <filter val="846"/>
            <filter val="604"/>
            <filter val="605"/>
            <filter val="847"/>
            <filter val="606"/>
            <filter val="1,028"/>
            <filter val="1,269"/>
            <filter val="608"/>
            <filter val="1,026"/>
            <filter val="1,267"/>
            <filter val="609"/>
            <filter val="1,474"/>
            <filter val="1,231"/>
            <filter val="611"/>
            <filter val="853"/>
            <filter val="612"/>
            <filter val="855"/>
            <filter val="614"/>
            <filter val="615"/>
            <filter val="1,239"/>
            <filter val="1,238"/>
            <filter val="617"/>
            <filter val="619"/>
            <filter val="1,001"/>
            <filter val="1,000"/>
            <filter val="1,241"/>
            <filter val="620"/>
            <filter val="1,240"/>
            <filter val="621"/>
            <filter val="864"/>
            <filter val="865"/>
            <filter val="623"/>
            <filter val="624"/>
            <filter val="867"/>
            <filter val="625"/>
            <filter val="1,008"/>
            <filter val="627"/>
            <filter val="1,249"/>
            <filter val="1,003"/>
            <filter val="870"/>
            <filter val="871"/>
            <filter val="630"/>
            <filter val="873"/>
            <filter val="632"/>
            <filter val="874"/>
            <filter val="875"/>
            <filter val="634"/>
            <filter val="876"/>
            <filter val="637"/>
            <filter val="638"/>
            <filter val="880"/>
            <filter val="881"/>
            <filter val="640"/>
            <filter val="882"/>
            <filter val="883"/>
            <filter val="641"/>
            <filter val="642"/>
            <filter val="400"/>
            <filter val="884"/>
            <filter val="643"/>
            <filter val="644"/>
            <filter val="403"/>
            <filter val="645"/>
            <filter val="887"/>
            <filter val="1,901"/>
            <filter val="404"/>
            <filter val="888"/>
            <filter val="405"/>
            <filter val="647"/>
            <filter val="648"/>
            <filter val="407"/>
            <filter val="649"/>
            <filter val="408"/>
            <filter val="651"/>
            <filter val="410"/>
            <filter val="894"/>
            <filter val="652"/>
            <filter val="411"/>
            <filter val="412"/>
            <filter val="896"/>
            <filter val="897"/>
            <filter val="414"/>
            <filter val="898"/>
            <filter val="415"/>
            <filter val="416"/>
            <filter val="417"/>
            <filter val="659"/>
            <filter val="418"/>
            <filter val="662"/>
            <filter val="420"/>
            <filter val="421"/>
            <filter val="664"/>
            <filter val="665"/>
            <filter val="426"/>
            <filter val="427"/>
            <filter val="429"/>
            <filter val="1,093"/>
            <filter val="1,092"/>
            <filter val="670"/>
            <filter val="671"/>
            <filter val="1,099"/>
            <filter val="431"/>
            <filter val="1,098"/>
            <filter val="432"/>
            <filter val="674"/>
            <filter val="433"/>
            <filter val="434"/>
            <filter val="676"/>
            <filter val="677"/>
            <filter val="678"/>
            <filter val="436"/>
            <filter val="437"/>
            <filter val="438"/>
            <filter val="680"/>
            <filter val="440"/>
            <filter val="683"/>
            <filter val="442"/>
            <filter val="200"/>
            <filter val="684"/>
            <filter val="201"/>
            <filter val="685"/>
            <filter val="686"/>
            <filter val="444"/>
            <filter val="203"/>
            <filter val="688"/>
            <filter val="204"/>
            <filter val="446"/>
            <filter val="689"/>
            <filter val="205"/>
            <filter val="447"/>
            <filter val="206"/>
            <filter val="207"/>
            <filter val="449"/>
            <filter val="208"/>
            <filter val="1,071"/>
            <filter val="690"/>
            <filter val="694"/>
            <filter val="453"/>
            <filter val="211"/>
            <filter val="695"/>
            <filter val="212"/>
            <filter val="454"/>
            <filter val="213"/>
            <filter val="214"/>
            <filter val="456"/>
            <filter val="215"/>
            <filter val="216"/>
            <filter val="1,072"/>
            <filter val="217"/>
            <filter val="459"/>
            <filter val="218"/>
            <filter val="219"/>
            <filter val="460"/>
            <filter val="461"/>
            <filter val="462"/>
            <filter val="463"/>
            <filter val="221"/>
            <filter val="222"/>
            <filter val="223"/>
            <filter val="224"/>
            <filter val="225"/>
            <filter val="467"/>
            <filter val="226"/>
            <filter val="1,084"/>
            <filter val="469"/>
            <filter val="228"/>
            <filter val="470"/>
            <filter val="471"/>
            <filter val="472"/>
            <filter val="231"/>
            <filter val="232"/>
            <filter val="474"/>
            <filter val="233"/>
            <filter val="475"/>
            <filter val="476"/>
            <filter val="234"/>
            <filter val="477"/>
            <filter val="236"/>
            <filter val="479"/>
            <filter val="237"/>
            <filter val="2,408"/>
            <filter val="239"/>
            <filter val="1,617"/>
            <filter val="480"/>
            <filter val="482"/>
            <filter val="483"/>
            <filter val="243"/>
            <filter val="486"/>
            <filter val="487"/>
            <filter val="245"/>
            <filter val="489"/>
            <filter val="248"/>
            <filter val="249"/>
            <filter val="491"/>
            <filter val="250"/>
            <filter val="253"/>
            <filter val="496"/>
            <filter val="255"/>
            <filter val="497"/>
            <filter val="256"/>
            <filter val="498"/>
            <filter val="257"/>
            <filter val="499"/>
            <filter val="1,837"/>
            <filter val="261"/>
            <filter val="262"/>
            <filter val="263"/>
            <filter val="264"/>
            <filter val="265"/>
            <filter val="269"/>
            <filter val="1,842"/>
            <filter val="271"/>
            <filter val="272"/>
            <filter val="273"/>
            <filter val="275"/>
            <filter val="276"/>
            <filter val="277"/>
            <filter val="278"/>
            <filter val="279"/>
            <filter val="280"/>
            <filter val="281"/>
            <filter val="282"/>
            <filter val="284"/>
            <filter val="286"/>
            <filter val="287"/>
            <filter val="288"/>
            <filter val="290"/>
            <filter val="291"/>
            <filter val="292"/>
            <filter val="293"/>
            <filter val="295"/>
            <filter val="296"/>
            <filter val="297"/>
            <filter val="1,692"/>
            <filter val="1,450"/>
            <filter val="1,458"/>
            <filter val="1,214"/>
            <filter val="1,212"/>
            <filter val="1,222"/>
            <filter val="1,229"/>
            <filter val="1,227"/>
            <filter val="1,684"/>
            <filter val="1,682"/>
            <filter val="1,208"/>
            <filter val="1,892"/>
            <filter val="1,417"/>
            <filter val="1,652"/>
            <filter val="1,418"/>
            <filter val="1,426"/>
            <filter val="903"/>
            <filter val="1,402"/>
            <filter val="905"/>
            <filter val="906"/>
            <filter val="908"/>
            <filter val="1,170"/>
            <filter val="1,175"/>
            <filter val="1,172"/>
            <filter val="910"/>
            <filter val="912"/>
            <filter val="913"/>
            <filter val="918"/>
            <filter val="1,184"/>
            <filter val="922"/>
            <filter val="925"/>
            <filter val="929"/>
            <filter val="1,154"/>
            <filter val="1,392"/>
            <filter val="938"/>
            <filter val="1,157"/>
            <filter val="1,163"/>
            <filter val="940"/>
            <filter val="700"/>
            <filter val="701"/>
            <filter val="702"/>
            <filter val="703"/>
            <filter val="946"/>
            <filter val="704"/>
            <filter val="947"/>
            <filter val="705"/>
            <filter val="706"/>
            <filter val="949"/>
            <filter val="1,375"/>
            <filter val="1,131"/>
            <filter val="710"/>
            <filter val="711"/>
            <filter val="954"/>
            <filter val="712"/>
            <filter val="955"/>
            <filter val="715"/>
            <filter val="957"/>
            <filter val="716"/>
            <filter val="958"/>
            <filter val="959"/>
            <filter val="1,137"/>
            <filter val="1,378"/>
            <filter val="1,135"/>
            <filter val="1,386"/>
            <filter val="1,385"/>
            <filter val="1,141"/>
            <filter val="963"/>
            <filter val="722"/>
            <filter val="968"/>
            <filter val="727"/>
            <filter val="1,148"/>
            <filter val="728"/>
            <filter val="1,388"/>
            <filter val="1,593"/>
            <filter val="730"/>
            <filter val="973"/>
            <filter val="732"/>
            <filter val="1,590"/>
            <filter val="734"/>
            <filter val="978"/>
            <filter val="736"/>
            <filter val="1,117"/>
            <filter val="738"/>
            <filter val="739"/>
            <filter val="1,355"/>
            <filter val="2,168"/>
            <filter val="1,123"/>
            <filter val="980"/>
            <filter val="1,363"/>
            <filter val="1,121"/>
            <filter val="740"/>
            <filter val="742"/>
            <filter val="500"/>
            <filter val="985"/>
            <filter val="986"/>
            <filter val="502"/>
            <filter val="745"/>
            <filter val="988"/>
            <filter val="505"/>
            <filter val="747"/>
            <filter val="989"/>
            <filter val="506"/>
            <filter val="507"/>
            <filter val="508"/>
            <filter val="509"/>
            <filter val="1,125"/>
            <filter val="992"/>
            <filter val="510"/>
            <filter val="511"/>
            <filter val="753"/>
            <filter val="754"/>
            <filter val="755"/>
            <filter val="998"/>
            <filter val="999"/>
            <filter val="758"/>
            <filter val="759"/>
            <filter val="517"/>
            <filter val="519"/>
            <filter val="761"/>
            <filter val="762"/>
            <filter val="520"/>
            <filter val="521"/>
            <filter val="522"/>
            <filter val="764"/>
            <filter val="765"/>
            <filter val="525"/>
            <filter val="526"/>
            <filter val="769"/>
            <filter val="527"/>
            <filter val="770"/>
            <filter val="771"/>
            <filter val="530"/>
            <filter val="772"/>
            <filter val="773"/>
            <filter val="532"/>
            <filter val="533"/>
            <filter val="775"/>
            <filter val="776"/>
            <filter val="535"/>
            <filter val="778"/>
            <filter val="536"/>
            <filter val="779"/>
            <filter val="537"/>
            <filter val="538"/>
            <filter val="539"/>
            <filter val="780"/>
            <filter val="781"/>
            <filter val="782"/>
            <filter val="300"/>
            <filter val="784"/>
            <filter val="543"/>
            <filter val="301"/>
            <filter val="302"/>
            <filter val="303"/>
            <filter val="787"/>
            <filter val="545"/>
            <filter val="304"/>
            <filter val="305"/>
            <filter val="547"/>
            <filter val="548"/>
            <filter val="549"/>
            <filter val="307"/>
            <filter val="791"/>
            <filter val="550"/>
            <filter val="793"/>
            <filter val="310"/>
            <filter val="794"/>
            <filter val="552"/>
            <filter val="311"/>
            <filter val="795"/>
            <filter val="553"/>
            <filter val="554"/>
            <filter val="312"/>
            <filter val="796"/>
            <filter val="555"/>
            <filter val="797"/>
            <filter val="798"/>
            <filter val="314"/>
            <filter val="556"/>
            <filter val="557"/>
            <filter val="315"/>
            <filter val="316"/>
            <filter val="559"/>
            <filter val="318"/>
            <filter val="319"/>
            <filter val="560"/>
            <filter val="320"/>
            <filter val="563"/>
            <filter val="322"/>
            <filter val="323"/>
            <filter val="565"/>
            <filter val="324"/>
            <filter val="567"/>
            <filter val="326"/>
            <filter val="569"/>
            <filter val="328"/>
            <filter val="329"/>
            <filter val="1,190"/>
            <filter val="571"/>
            <filter val="330"/>
            <filter val="572"/>
            <filter val="574"/>
            <filter val="332"/>
            <filter val="334"/>
            <filter val="335"/>
            <filter val="577"/>
            <filter val="578"/>
            <filter val="336"/>
            <filter val="337"/>
            <filter val="339"/>
            <filter val="340"/>
            <filter val="341"/>
            <filter val="100"/>
            <filter val="342"/>
            <filter val="584"/>
            <filter val="101"/>
            <filter val="343"/>
            <filter val="344"/>
            <filter val="102"/>
            <filter val="587"/>
            <filter val="103"/>
            <filter val="588"/>
            <filter val="346"/>
            <filter val="105"/>
            <filter val="589"/>
            <filter val="106"/>
            <filter val="348"/>
            <filter val="349"/>
            <filter val="108"/>
            <filter val="109"/>
            <filter val="350"/>
            <filter val="110"/>
            <filter val="352"/>
            <filter val="111"/>
            <filter val="353"/>
            <filter val="112"/>
            <filter val="596"/>
            <filter val="113"/>
            <filter val="597"/>
            <filter val="114"/>
            <filter val="356"/>
            <filter val="598"/>
            <filter val="115"/>
            <filter val="116"/>
            <filter val="359"/>
            <filter val="117"/>
            <filter val="118"/>
            <filter val="119"/>
            <filter val="1,732"/>
            <filter val="1,972"/>
            <filter val="11"/>
            <filter val="12"/>
            <filter val="13"/>
            <filter val="14"/>
            <filter val="15"/>
            <filter val="16"/>
            <filter val="17"/>
            <filter val="18"/>
            <filter val="19"/>
            <filter val="360"/>
            <filter val="362"/>
            <filter val="120"/>
            <filter val="121"/>
            <filter val="363"/>
            <filter val="122"/>
            <filter val="364"/>
            <filter val="123"/>
            <filter val="365"/>
            <filter val="124"/>
            <filter val="366"/>
            <filter val="125"/>
            <filter val="368"/>
            <filter val="126"/>
            <filter val="369"/>
            <filter val="127"/>
            <filter val="129"/>
            <filter val="1,504"/>
            <filter val="20"/>
            <filter val="21"/>
            <filter val="22"/>
            <filter val="23"/>
            <filter val="24"/>
            <filter val="1,709"/>
            <filter val="25"/>
            <filter val="26"/>
            <filter val="27"/>
            <filter val="28"/>
            <filter val="29"/>
            <filter val="1,704"/>
            <filter val="370"/>
            <filter val="371"/>
            <filter val="130"/>
            <filter val="372"/>
            <filter val="373"/>
            <filter val="131"/>
            <filter val="133"/>
            <filter val="375"/>
            <filter val="134"/>
            <filter val="376"/>
            <filter val="135"/>
            <filter val="377"/>
            <filter val="136"/>
            <filter val="379"/>
            <filter val="138"/>
            <filter val="139"/>
            <filter val="30"/>
            <filter val="31"/>
            <filter val="32"/>
            <filter val="33"/>
            <filter val="34"/>
            <filter val="35"/>
            <filter val="1,719"/>
            <filter val="36"/>
            <filter val="37"/>
            <filter val="1,718"/>
            <filter val="38"/>
            <filter val="39"/>
            <filter val="380"/>
            <filter val="140"/>
            <filter val="383"/>
            <filter val="142"/>
            <filter val="385"/>
            <filter val="144"/>
            <filter val="386"/>
            <filter val="387"/>
            <filter val="145"/>
            <filter val="146"/>
            <filter val="388"/>
            <filter val="147"/>
            <filter val="149"/>
            <filter val="40"/>
            <filter val="41"/>
            <filter val="42"/>
            <filter val="43"/>
            <filter val="44"/>
            <filter val="45"/>
            <filter val="46"/>
            <filter val="47"/>
            <filter val="48"/>
            <filter val="49"/>
            <filter val="391"/>
            <filter val="392"/>
            <filter val="150"/>
            <filter val="393"/>
            <filter val="151"/>
            <filter val="152"/>
            <filter val="394"/>
            <filter val="395"/>
            <filter val="153"/>
            <filter val="396"/>
            <filter val="154"/>
            <filter val="397"/>
            <filter val="155"/>
            <filter val="398"/>
            <filter val="399"/>
            <filter val="157"/>
            <filter val="158"/>
            <filter val="159"/>
            <filter val="50"/>
            <filter val="51"/>
            <filter val="52"/>
            <filter val="53"/>
            <filter val="54"/>
            <filter val="55"/>
            <filter val="56"/>
            <filter val="57"/>
            <filter val="58"/>
            <filter val="59"/>
            <filter val="160"/>
            <filter val="161"/>
            <filter val="162"/>
            <filter val="163"/>
            <filter val="164"/>
            <filter val="165"/>
            <filter val="166"/>
            <filter val="167"/>
            <filter val="168"/>
            <filter val="169"/>
            <filter val="60"/>
            <filter val="61"/>
            <filter val="62"/>
            <filter val="63"/>
            <filter val="64"/>
            <filter val="65"/>
            <filter val="66"/>
            <filter val="67"/>
            <filter val="68"/>
            <filter val="69"/>
            <filter val="170"/>
            <filter val="171"/>
            <filter val="173"/>
            <filter val="175"/>
            <filter val="176"/>
            <filter val="177"/>
            <filter val="179"/>
            <filter val="70"/>
            <filter val="71"/>
            <filter val="72"/>
            <filter val="73"/>
            <filter val="74"/>
            <filter val="75"/>
            <filter val="76"/>
            <filter val="77"/>
            <filter val="78"/>
            <filter val="79"/>
            <filter val="180"/>
            <filter val="182"/>
            <filter val="183"/>
            <filter val="187"/>
            <filter val="188"/>
            <filter val="189"/>
            <filter val="80"/>
            <filter val="81"/>
            <filter val="83"/>
            <filter val="84"/>
            <filter val="85"/>
            <filter val="86"/>
            <filter val="87"/>
            <filter val="88"/>
            <filter val="89"/>
            <filter val="190"/>
            <filter val="193"/>
            <filter val="194"/>
            <filter val="195"/>
            <filter val="196"/>
            <filter val="197"/>
            <filter val="198"/>
            <filter val="1,572"/>
            <filter val="90"/>
            <filter val="91"/>
            <filter val="93"/>
            <filter val="94"/>
            <filter val="95"/>
            <filter val="96"/>
            <filter val="97"/>
            <filter val="98"/>
            <filter val="99"/>
            <filter val="1,585"/>
            <filter val="1,583"/>
            <filter val="1,582"/>
            <filter val="1,340"/>
            <filter val="1,109"/>
            <filter val="1,346"/>
            <filter val="1,104"/>
            <filter val="1,103"/>
            <filter val="1,344"/>
            <filter val="1,102"/>
            <filter val="1,558"/>
            <filter val="1,555"/>
            <filter val="1,796"/>
            <filter val="1,312"/>
            <filter val="1,328"/>
            <filter val="1,568"/>
            <filter val="1,323"/>
            <filter val="1,322"/>
            <filter val="1,770"/>
            <filter val="1,537"/>
            <filter val="1,545"/>
            <filter val="1,301"/>
            <filter val="1,508"/>
            <filter val="1,758"/>
            <filter val="1,510"/>
            <filter val="1,993"/>
            <filter val="1,751"/>
            <filter val="3,114"/>
            <filter val="1,522"/>
          </filters>
        </filterColumn>
        <filterColumn colId="30">
          <filters>
            <filter val="471"/>
            <filter val="472"/>
            <filter val="231"/>
            <filter val="111"/>
            <filter val="353"/>
            <filter val="595"/>
            <filter val="112"/>
            <filter val="476"/>
            <filter val="114"/>
            <filter val="235"/>
            <filter val="115"/>
            <filter val="357"/>
            <filter val="478"/>
            <filter val="1,172"/>
            <filter val="358"/>
            <filter val="238"/>
            <filter val="239"/>
            <filter val="910"/>
            <filter val="119"/>
            <filter val="916"/>
            <filter val="11"/>
            <filter val="12"/>
            <filter val="13"/>
            <filter val="14"/>
            <filter val="15"/>
            <filter val="18"/>
            <filter val="480"/>
            <filter val="481"/>
            <filter val="241"/>
            <filter val="122"/>
            <filter val="124"/>
            <filter val="3"/>
            <filter val="4"/>
            <filter val="5"/>
            <filter val="126"/>
            <filter val="247"/>
            <filter val="489"/>
            <filter val="6"/>
            <filter val="248"/>
            <filter val="7"/>
            <filter val="249"/>
            <filter val="129"/>
            <filter val="9"/>
            <filter val="20"/>
            <filter val="22"/>
            <filter val="23"/>
            <filter val="24"/>
            <filter val="27"/>
            <filter val="29"/>
            <filter val="491"/>
            <filter val="371"/>
            <filter val="250"/>
            <filter val="130"/>
            <filter val="372"/>
            <filter val="131"/>
            <filter val="374"/>
            <filter val="253"/>
            <filter val="375"/>
            <filter val="254"/>
            <filter val="497"/>
            <filter val="378"/>
            <filter val="499"/>
            <filter val="379"/>
            <filter val="138"/>
            <filter val="139"/>
            <filter val="31"/>
            <filter val="32"/>
            <filter val="34"/>
            <filter val="35"/>
            <filter val="36"/>
            <filter val="37"/>
            <filter val="39"/>
            <filter val="380"/>
            <filter val="140"/>
            <filter val="142"/>
            <filter val="263"/>
            <filter val="385"/>
            <filter val="386"/>
            <filter val="387"/>
            <filter val="267"/>
            <filter val="268"/>
            <filter val="147"/>
            <filter val="269"/>
            <filter val="149"/>
            <filter val="40"/>
            <filter val="826"/>
            <filter val="43"/>
            <filter val="45"/>
            <filter val="47"/>
            <filter val="273"/>
            <filter val="153"/>
            <filter val="154"/>
            <filter val="275"/>
            <filter val="276"/>
            <filter val="156"/>
            <filter val="278"/>
            <filter val="833"/>
            <filter val="834"/>
            <filter val="715"/>
            <filter val="51"/>
            <filter val="54"/>
            <filter val="55"/>
            <filter val="281"/>
            <filter val="161"/>
            <filter val="164"/>
            <filter val="165"/>
            <filter val="286"/>
            <filter val="167"/>
            <filter val="288"/>
            <filter val="600"/>
            <filter val="60"/>
            <filter val="61"/>
            <filter val="62"/>
            <filter val="728"/>
            <filter val="729"/>
            <filter val="66"/>
            <filter val="68"/>
            <filter val="290"/>
            <filter val="291"/>
            <filter val="171"/>
            <filter val="294"/>
            <filter val="173"/>
            <filter val="295"/>
            <filter val="175"/>
            <filter val="296"/>
            <filter val="610"/>
            <filter val="71"/>
            <filter val="74"/>
            <filter val="75"/>
            <filter val="76"/>
            <filter val="77"/>
            <filter val="181"/>
            <filter val="182"/>
            <filter val="184"/>
            <filter val="187"/>
            <filter val="501"/>
            <filter val="502"/>
            <filter val="80"/>
            <filter val="81"/>
            <filter val="83"/>
            <filter val="507"/>
            <filter val="508"/>
            <filter val="1,366"/>
            <filter val="88"/>
            <filter val="89"/>
            <filter val="190"/>
            <filter val="192"/>
            <filter val="193"/>
            <filter val="195"/>
            <filter val="198"/>
            <filter val="752"/>
            <filter val="995"/>
            <filter val="90"/>
            <filter val="91"/>
            <filter val="515"/>
            <filter val="517"/>
            <filter val="638"/>
            <filter val="97"/>
            <filter val="99"/>
            <filter val="760"/>
            <filter val="640"/>
            <filter val="403"/>
            <filter val="524"/>
            <filter val="526"/>
            <filter val="647"/>
            <filter val="406"/>
            <filter val="649"/>
            <filter val="407"/>
            <filter val="408"/>
            <filter val="651"/>
            <filter val="652"/>
            <filter val="412"/>
            <filter val="656"/>
            <filter val="414"/>
            <filter val="416"/>
            <filter val="782"/>
            <filter val="421"/>
            <filter val="664"/>
            <filter val="303"/>
            <filter val="545"/>
            <filter val="425"/>
            <filter val="305"/>
            <filter val="426"/>
            <filter val="429"/>
            <filter val="309"/>
            <filter val="550"/>
            <filter val="434"/>
            <filter val="678"/>
            <filter val="315"/>
            <filter val="317"/>
            <filter val="680"/>
            <filter val="563"/>
            <filter val="200"/>
            <filter val="321"/>
            <filter val="201"/>
            <filter val="443"/>
            <filter val="567"/>
            <filter val="325"/>
            <filter val="326"/>
            <filter val="206"/>
            <filter val="569"/>
            <filter val="327"/>
            <filter val="449"/>
            <filter val="570"/>
            <filter val="450"/>
            <filter val="210"/>
            <filter val="333"/>
            <filter val="577"/>
            <filter val="335"/>
            <filter val="699"/>
            <filter val="457"/>
            <filter val="337"/>
            <filter val="339"/>
            <filter val="219"/>
            <filter val="582"/>
            <filter val="461"/>
            <filter val="462"/>
            <filter val="584"/>
            <filter val="222"/>
            <filter val="102"/>
            <filter val="223"/>
            <filter val="103"/>
            <filter val="346"/>
            <filter val="105"/>
            <filter val="589"/>
            <filter val="228"/>
            <filter val="108"/>
            <filter val="901"/>
          </filters>
        </filterColumn>
        <filterColumn colId="35">
          <filters blank="1">
            <filter val="907"/>
            <filter val="1,178"/>
            <filter val="1,052"/>
            <filter val="913"/>
            <filter val="915"/>
            <filter val="1,181"/>
            <filter val="0"/>
            <filter val="4"/>
            <filter val="5"/>
            <filter val="7"/>
            <filter val="920"/>
            <filter val="807"/>
            <filter val="808"/>
            <filter val="935"/>
            <filter val="1,038"/>
            <filter val="938"/>
            <filter val="821"/>
            <filter val="703"/>
            <filter val="1,048"/>
            <filter val="708"/>
            <filter val="951"/>
            <filter val="711"/>
            <filter val="954"/>
            <filter val="1,137"/>
            <filter val="1,020"/>
            <filter val="840"/>
            <filter val="720"/>
            <filter val="601"/>
            <filter val="604"/>
            <filter val="608"/>
            <filter val="852"/>
            <filter val="853"/>
            <filter val="974"/>
            <filter val="734"/>
            <filter val="614"/>
            <filter val="857"/>
            <filter val="1,365"/>
            <filter val="1,121"/>
            <filter val="741"/>
            <filter val="742"/>
            <filter val="500"/>
            <filter val="621"/>
            <filter val="622"/>
            <filter val="501"/>
            <filter val="743"/>
            <filter val="503"/>
            <filter val="624"/>
            <filter val="746"/>
            <filter val="1,009"/>
            <filter val="625"/>
            <filter val="1,008"/>
            <filter val="627"/>
            <filter val="628"/>
            <filter val="507"/>
            <filter val="508"/>
            <filter val="1,003"/>
            <filter val="871"/>
            <filter val="510"/>
            <filter val="873"/>
            <filter val="512"/>
            <filter val="754"/>
            <filter val="513"/>
            <filter val="514"/>
            <filter val="637"/>
            <filter val="759"/>
            <filter val="518"/>
            <filter val="639"/>
            <filter val="519"/>
            <filter val="880"/>
            <filter val="882"/>
            <filter val="761"/>
            <filter val="400"/>
            <filter val="765"/>
            <filter val="403"/>
            <filter val="525"/>
            <filter val="404"/>
            <filter val="405"/>
            <filter val="528"/>
            <filter val="408"/>
            <filter val="892"/>
            <filter val="651"/>
            <filter val="773"/>
            <filter val="531"/>
            <filter val="895"/>
            <filter val="532"/>
            <filter val="775"/>
            <filter val="776"/>
            <filter val="534"/>
            <filter val="414"/>
            <filter val="899"/>
            <filter val="657"/>
            <filter val="536"/>
            <filter val="415"/>
            <filter val="537"/>
            <filter val="417"/>
            <filter val="659"/>
            <filter val="538"/>
            <filter val="780"/>
            <filter val="660"/>
            <filter val="541"/>
            <filter val="421"/>
            <filter val="542"/>
            <filter val="301"/>
            <filter val="665"/>
            <filter val="544"/>
            <filter val="423"/>
            <filter val="545"/>
            <filter val="546"/>
            <filter val="788"/>
            <filter val="305"/>
            <filter val="789"/>
            <filter val="547"/>
            <filter val="426"/>
            <filter val="427"/>
            <filter val="307"/>
            <filter val="429"/>
            <filter val="791"/>
            <filter val="670"/>
            <filter val="550"/>
            <filter val="792"/>
            <filter val="672"/>
            <filter val="430"/>
            <filter val="431"/>
            <filter val="310"/>
            <filter val="552"/>
            <filter val="673"/>
            <filter val="674"/>
            <filter val="432"/>
            <filter val="554"/>
            <filter val="434"/>
            <filter val="314"/>
            <filter val="677"/>
            <filter val="798"/>
            <filter val="315"/>
            <filter val="436"/>
            <filter val="316"/>
            <filter val="559"/>
            <filter val="317"/>
            <filter val="318"/>
            <filter val="681"/>
            <filter val="684"/>
            <filter val="321"/>
            <filter val="322"/>
            <filter val="323"/>
            <filter val="202"/>
            <filter val="686"/>
            <filter val="444"/>
            <filter val="203"/>
            <filter val="324"/>
            <filter val="445"/>
            <filter val="687"/>
            <filter val="446"/>
            <filter val="688"/>
            <filter val="447"/>
            <filter val="205"/>
            <filter val="206"/>
            <filter val="448"/>
            <filter val="328"/>
            <filter val="449"/>
            <filter val="570"/>
            <filter val="450"/>
            <filter val="692"/>
            <filter val="571"/>
            <filter val="330"/>
            <filter val="451"/>
            <filter val="572"/>
            <filter val="210"/>
            <filter val="332"/>
            <filter val="695"/>
            <filter val="211"/>
            <filter val="574"/>
            <filter val="1,077"/>
            <filter val="696"/>
            <filter val="212"/>
            <filter val="455"/>
            <filter val="213"/>
            <filter val="456"/>
            <filter val="335"/>
            <filter val="578"/>
            <filter val="457"/>
            <filter val="215"/>
            <filter val="337"/>
            <filter val="338"/>
            <filter val="217"/>
            <filter val="339"/>
            <filter val="1,082"/>
            <filter val="1,080"/>
            <filter val="460"/>
            <filter val="581"/>
            <filter val="461"/>
            <filter val="340"/>
            <filter val="341"/>
            <filter val="220"/>
            <filter val="221"/>
            <filter val="343"/>
            <filter val="585"/>
            <filter val="101"/>
            <filter val="222"/>
            <filter val="102"/>
            <filter val="344"/>
            <filter val="345"/>
            <filter val="103"/>
            <filter val="587"/>
            <filter val="224"/>
            <filter val="346"/>
            <filter val="104"/>
            <filter val="225"/>
            <filter val="105"/>
            <filter val="347"/>
            <filter val="227"/>
            <filter val="348"/>
            <filter val="106"/>
            <filter val="469"/>
            <filter val="107"/>
            <filter val="349"/>
            <filter val="108"/>
            <filter val="1,609"/>
            <filter val="590"/>
            <filter val="470"/>
            <filter val="350"/>
            <filter val="592"/>
            <filter val="230"/>
            <filter val="110"/>
            <filter val="231"/>
            <filter val="473"/>
            <filter val="111"/>
            <filter val="232"/>
            <filter val="353"/>
            <filter val="354"/>
            <filter val="112"/>
            <filter val="596"/>
            <filter val="355"/>
            <filter val="476"/>
            <filter val="113"/>
            <filter val="234"/>
            <filter val="597"/>
            <filter val="235"/>
            <filter val="114"/>
            <filter val="356"/>
            <filter val="598"/>
            <filter val="477"/>
            <filter val="478"/>
            <filter val="357"/>
            <filter val="236"/>
            <filter val="115"/>
            <filter val="116"/>
            <filter val="237"/>
            <filter val="479"/>
            <filter val="117"/>
            <filter val="238"/>
            <filter val="118"/>
            <filter val="239"/>
            <filter val="119"/>
            <filter val="10"/>
            <filter val="12"/>
            <filter val="16"/>
            <filter val="17"/>
            <filter val="18"/>
            <filter val="481"/>
            <filter val="360"/>
            <filter val="361"/>
            <filter val="240"/>
            <filter val="241"/>
            <filter val="121"/>
            <filter val="484"/>
            <filter val="363"/>
            <filter val="243"/>
            <filter val="485"/>
            <filter val="244"/>
            <filter val="486"/>
            <filter val="365"/>
            <filter val="124"/>
            <filter val="245"/>
            <filter val="125"/>
            <filter val="367"/>
            <filter val="489"/>
            <filter val="368"/>
            <filter val="247"/>
            <filter val="126"/>
            <filter val="127"/>
            <filter val="249"/>
            <filter val="128"/>
            <filter val="129"/>
            <filter val="20"/>
            <filter val="23"/>
            <filter val="25"/>
            <filter val="26"/>
            <filter val="27"/>
            <filter val="28"/>
            <filter val="370"/>
            <filter val="492"/>
            <filter val="250"/>
            <filter val="493"/>
            <filter val="131"/>
            <filter val="374"/>
            <filter val="495"/>
            <filter val="133"/>
            <filter val="497"/>
            <filter val="255"/>
            <filter val="135"/>
            <filter val="377"/>
            <filter val="499"/>
            <filter val="137"/>
            <filter val="379"/>
            <filter val="138"/>
            <filter val="139"/>
            <filter val="30"/>
            <filter val="31"/>
            <filter val="36"/>
            <filter val="37"/>
            <filter val="39"/>
            <filter val="380"/>
            <filter val="260"/>
            <filter val="140"/>
            <filter val="261"/>
            <filter val="141"/>
            <filter val="383"/>
            <filter val="142"/>
            <filter val="384"/>
            <filter val="264"/>
            <filter val="385"/>
            <filter val="143"/>
            <filter val="145"/>
            <filter val="146"/>
            <filter val="388"/>
            <filter val="389"/>
            <filter val="147"/>
            <filter val="269"/>
            <filter val="148"/>
            <filter val="149"/>
            <filter val="40"/>
            <filter val="41"/>
            <filter val="42"/>
            <filter val="43"/>
            <filter val="46"/>
            <filter val="48"/>
            <filter val="270"/>
            <filter val="391"/>
            <filter val="392"/>
            <filter val="393"/>
            <filter val="272"/>
            <filter val="152"/>
            <filter val="273"/>
            <filter val="394"/>
            <filter val="274"/>
            <filter val="275"/>
            <filter val="154"/>
            <filter val="155"/>
            <filter val="397"/>
            <filter val="156"/>
            <filter val="398"/>
            <filter val="157"/>
            <filter val="278"/>
            <filter val="279"/>
            <filter val="50"/>
            <filter val="51"/>
            <filter val="55"/>
            <filter val="58"/>
            <filter val="280"/>
            <filter val="160"/>
            <filter val="281"/>
            <filter val="283"/>
            <filter val="163"/>
            <filter val="164"/>
            <filter val="285"/>
            <filter val="286"/>
            <filter val="287"/>
            <filter val="288"/>
            <filter val="167"/>
            <filter val="289"/>
            <filter val="168"/>
            <filter val="169"/>
            <filter val="60"/>
            <filter val="61"/>
            <filter val="62"/>
            <filter val="63"/>
            <filter val="65"/>
            <filter val="66"/>
            <filter val="67"/>
            <filter val="68"/>
            <filter val="69"/>
            <filter val="170"/>
            <filter val="292"/>
            <filter val="295"/>
            <filter val="175"/>
            <filter val="177"/>
            <filter val="298"/>
            <filter val="179"/>
            <filter val="71"/>
            <filter val="73"/>
            <filter val="74"/>
            <filter val="76"/>
            <filter val="77"/>
            <filter val="180"/>
            <filter val="181"/>
            <filter val="183"/>
            <filter val="184"/>
            <filter val="185"/>
            <filter val="186"/>
            <filter val="187"/>
            <filter val="188"/>
            <filter val="189"/>
            <filter val="81"/>
            <filter val="86"/>
            <filter val="87"/>
            <filter val="88"/>
            <filter val="190"/>
            <filter val="191"/>
            <filter val="192"/>
            <filter val="193"/>
            <filter val="194"/>
            <filter val="196"/>
            <filter val="197"/>
            <filter val="92"/>
            <filter val="93"/>
            <filter val="94"/>
            <filter val="95"/>
            <filter val="97"/>
            <filter val="98"/>
            <filter val="1,342"/>
            <filter val="1,348"/>
            <filter val="1,103"/>
            <filter val="1,432"/>
            <filter val="1,323"/>
          </filters>
        </filterColumn>
        <filterColumn colId="48">
          <filters blank="1">
            <filter val="908"/>
            <filter val="350"/>
            <filter val="230"/>
            <filter val="351"/>
            <filter val="110"/>
            <filter val="111"/>
            <filter val="353"/>
            <filter val="112"/>
            <filter val="113"/>
            <filter val="114"/>
            <filter val="1,295"/>
            <filter val="115"/>
            <filter val="116"/>
            <filter val="358"/>
            <filter val="117"/>
            <filter val="238"/>
            <filter val="118"/>
            <filter val="239"/>
            <filter val="119"/>
            <filter val="913"/>
            <filter val="10"/>
            <filter val="11"/>
            <filter val="12"/>
            <filter val="13"/>
            <filter val="14"/>
            <filter val="15"/>
            <filter val="16"/>
            <filter val="17"/>
            <filter val="1,617"/>
            <filter val="18"/>
            <filter val="19"/>
            <filter val="482"/>
            <filter val="241"/>
            <filter val="120"/>
            <filter val="362"/>
            <filter val="0"/>
            <filter val="363"/>
            <filter val="121"/>
            <filter val="242"/>
            <filter val="122"/>
            <filter val="485"/>
            <filter val="123"/>
            <filter val="124"/>
            <filter val="245"/>
            <filter val="487"/>
            <filter val="5"/>
            <filter val="127"/>
            <filter val="6"/>
            <filter val="128"/>
            <filter val="800"/>
            <filter val="129"/>
            <filter val="8"/>
            <filter val="802"/>
            <filter val="20"/>
            <filter val="21"/>
            <filter val="22"/>
            <filter val="23"/>
            <filter val="24"/>
            <filter val="25"/>
            <filter val="26"/>
            <filter val="27"/>
            <filter val="28"/>
            <filter val="29"/>
            <filter val="490"/>
            <filter val="2,079"/>
            <filter val="492"/>
            <filter val="493"/>
            <filter val="251"/>
            <filter val="373"/>
            <filter val="131"/>
            <filter val="132"/>
            <filter val="133"/>
            <filter val="1,275"/>
            <filter val="255"/>
            <filter val="1,154"/>
            <filter val="1,032"/>
            <filter val="256"/>
            <filter val="378"/>
            <filter val="136"/>
            <filter val="499"/>
            <filter val="258"/>
            <filter val="137"/>
            <filter val="259"/>
            <filter val="138"/>
            <filter val="139"/>
            <filter val="30"/>
            <filter val="32"/>
            <filter val="33"/>
            <filter val="34"/>
            <filter val="35"/>
            <filter val="1,719"/>
            <filter val="37"/>
            <filter val="38"/>
            <filter val="39"/>
            <filter val="262"/>
            <filter val="141"/>
            <filter val="263"/>
            <filter val="384"/>
            <filter val="142"/>
            <filter val="144"/>
            <filter val="145"/>
            <filter val="1,044"/>
            <filter val="267"/>
            <filter val="268"/>
            <filter val="147"/>
            <filter val="1,163"/>
            <filter val="1,041"/>
            <filter val="148"/>
            <filter val="149"/>
            <filter val="946"/>
            <filter val="40"/>
            <filter val="41"/>
            <filter val="42"/>
            <filter val="43"/>
            <filter val="44"/>
            <filter val="45"/>
            <filter val="46"/>
            <filter val="47"/>
            <filter val="48"/>
            <filter val="49"/>
            <filter val="270"/>
            <filter val="150"/>
            <filter val="151"/>
            <filter val="153"/>
            <filter val="154"/>
            <filter val="1,012"/>
            <filter val="155"/>
            <filter val="277"/>
            <filter val="1,131"/>
            <filter val="399"/>
            <filter val="278"/>
            <filter val="279"/>
            <filter val="158"/>
            <filter val="1,250"/>
            <filter val="50"/>
            <filter val="51"/>
            <filter val="53"/>
            <filter val="54"/>
            <filter val="55"/>
            <filter val="56"/>
            <filter val="57"/>
            <filter val="58"/>
            <filter val="59"/>
            <filter val="280"/>
            <filter val="162"/>
            <filter val="164"/>
            <filter val="165"/>
            <filter val="286"/>
            <filter val="1,023"/>
            <filter val="287"/>
            <filter val="1,386"/>
            <filter val="167"/>
            <filter val="169"/>
            <filter val="602"/>
            <filter val="845"/>
            <filter val="60"/>
            <filter val="847"/>
            <filter val="62"/>
            <filter val="63"/>
            <filter val="849"/>
            <filter val="64"/>
            <filter val="65"/>
            <filter val="609"/>
            <filter val="1,388"/>
            <filter val="66"/>
            <filter val="67"/>
            <filter val="69"/>
            <filter val="290"/>
            <filter val="170"/>
            <filter val="171"/>
            <filter val="173"/>
            <filter val="174"/>
            <filter val="297"/>
            <filter val="177"/>
            <filter val="298"/>
            <filter val="178"/>
            <filter val="179"/>
            <filter val="1,593"/>
            <filter val="1,590"/>
            <filter val="612"/>
            <filter val="735"/>
            <filter val="71"/>
            <filter val="72"/>
            <filter val="1,238"/>
            <filter val="73"/>
            <filter val="738"/>
            <filter val="74"/>
            <filter val="75"/>
            <filter val="76"/>
            <filter val="77"/>
            <filter val="78"/>
            <filter val="79"/>
            <filter val="181"/>
            <filter val="182"/>
            <filter val="183"/>
            <filter val="187"/>
            <filter val="1,000"/>
            <filter val="500"/>
            <filter val="864"/>
            <filter val="986"/>
            <filter val="80"/>
            <filter val="81"/>
            <filter val="988"/>
            <filter val="82"/>
            <filter val="1,008"/>
            <filter val="83"/>
            <filter val="85"/>
            <filter val="86"/>
            <filter val="1,003"/>
            <filter val="87"/>
            <filter val="88"/>
            <filter val="89"/>
            <filter val="191"/>
            <filter val="194"/>
            <filter val="196"/>
            <filter val="198"/>
            <filter val="630"/>
            <filter val="873"/>
            <filter val="631"/>
            <filter val="874"/>
            <filter val="754"/>
            <filter val="90"/>
            <filter val="91"/>
            <filter val="92"/>
            <filter val="93"/>
            <filter val="516"/>
            <filter val="637"/>
            <filter val="94"/>
            <filter val="95"/>
            <filter val="518"/>
            <filter val="96"/>
            <filter val="97"/>
            <filter val="98"/>
            <filter val="99"/>
            <filter val="1,101"/>
            <filter val="644"/>
            <filter val="404"/>
            <filter val="646"/>
            <filter val="1,229"/>
            <filter val="406"/>
            <filter val="532"/>
            <filter val="655"/>
            <filter val="897"/>
            <filter val="776"/>
            <filter val="656"/>
            <filter val="414"/>
            <filter val="1,435"/>
            <filter val="1,796"/>
            <filter val="1,312"/>
            <filter val="662"/>
            <filter val="542"/>
            <filter val="543"/>
            <filter val="305"/>
            <filter val="426"/>
            <filter val="1,328"/>
            <filter val="428"/>
            <filter val="308"/>
            <filter val="1,568"/>
            <filter val="429"/>
            <filter val="1,093"/>
            <filter val="550"/>
            <filter val="431"/>
            <filter val="1,770"/>
            <filter val="674"/>
            <filter val="1,098"/>
            <filter val="314"/>
            <filter val="1,417"/>
            <filter val="559"/>
            <filter val="1,537"/>
            <filter val="318"/>
            <filter val="1,653"/>
            <filter val="1,652"/>
            <filter val="682"/>
            <filter val="441"/>
            <filter val="683"/>
            <filter val="322"/>
            <filter val="201"/>
            <filter val="204"/>
            <filter val="205"/>
            <filter val="449"/>
            <filter val="207"/>
            <filter val="1,426"/>
            <filter val="692"/>
            <filter val="452"/>
            <filter val="334"/>
            <filter val="576"/>
            <filter val="213"/>
            <filter val="335"/>
            <filter val="218"/>
            <filter val="460"/>
            <filter val="340"/>
            <filter val="341"/>
            <filter val="462"/>
            <filter val="220"/>
            <filter val="100"/>
            <filter val="463"/>
            <filter val="342"/>
            <filter val="101"/>
            <filter val="222"/>
            <filter val="102"/>
            <filter val="103"/>
            <filter val="224"/>
            <filter val="225"/>
            <filter val="346"/>
            <filter val="106"/>
            <filter val="107"/>
            <filter val="229"/>
            <filter val="108"/>
            <filter val="109"/>
          </filters>
        </filterColumn>
      </autoFilter>
    </customSheetView>
    <customSheetView guid="{EF557F84-12FA-4F7A-905C-6F88AE4CA8F5}" filter="1" showAutoFilter="1">
      <autoFilter ref="$A$7:$BK$1697"/>
    </customSheetView>
    <customSheetView guid="{5274F0F5-6AA6-46D9-A1A6-927760C0A5C8}" filter="1" showAutoFilter="1">
      <autoFilter ref="$A$7:$BK$1697">
        <filterColumn colId="0">
          <filters blank="1">
            <filter val="NTE 26 - SALVADOR / RMS"/>
          </filters>
        </filterColumn>
        <sortState ref="A7:BK1697">
          <sortCondition ref="BG7:BG1697"/>
        </sortState>
      </autoFilter>
    </customSheetView>
    <customSheetView guid="{155F24BD-BF2D-46E6-AADD-C5714EA5DFA0}" filter="1" showAutoFilter="1">
      <autoFilter ref="$A$7:$BK$1697">
        <filterColumn colId="54">
          <filters>
            <filter val="CEMIT"/>
            <filter val="CASE"/>
          </filters>
        </filterColumn>
        <sortState ref="A7:BK1697">
          <sortCondition ref="BG7:BG1697"/>
          <sortCondition ref="A7:A1697"/>
          <sortCondition descending="1" ref="G7:G1697"/>
        </sortState>
      </autoFilter>
    </customSheetView>
    <customSheetView guid="{515E7C85-F041-4C50-B1E8-5399958A02A8}" filter="1" showAutoFilter="1">
      <autoFilter ref="$A$7:$BM$1697">
        <sortState ref="A7:BM1697">
          <sortCondition descending="1" ref="U7:U1697"/>
        </sortState>
      </autoFilter>
    </customSheetView>
    <customSheetView guid="{497721AE-6796-4CEC-BAFA-4DA242D184B8}" filter="1" showAutoFilter="1">
      <autoFilter ref="$A$7:$BK$1697">
        <filterColumn colId="0">
          <filters blank="1">
            <filter val="NTE 01 - IRECÊ"/>
          </filters>
        </filterColumn>
        <filterColumn colId="35">
          <filters blank="1">
            <filter val="907"/>
            <filter val="1,178"/>
            <filter val="1,052"/>
            <filter val="913"/>
            <filter val="1,181"/>
            <filter val="0"/>
            <filter val="5"/>
            <filter val="803"/>
            <filter val="807"/>
            <filter val="808"/>
            <filter val="935"/>
            <filter val="1,038"/>
            <filter val="821"/>
            <filter val="1,048"/>
            <filter val="708"/>
            <filter val="951"/>
            <filter val="954"/>
            <filter val="1,137"/>
            <filter val="1,020"/>
            <filter val="840"/>
            <filter val="601"/>
            <filter val="606"/>
            <filter val="852"/>
            <filter val="853"/>
            <filter val="732"/>
            <filter val="974"/>
            <filter val="614"/>
            <filter val="1,365"/>
            <filter val="1,121"/>
            <filter val="741"/>
            <filter val="622"/>
            <filter val="743"/>
            <filter val="1,009"/>
            <filter val="1,008"/>
            <filter val="507"/>
            <filter val="1,003"/>
            <filter val="871"/>
            <filter val="510"/>
            <filter val="873"/>
            <filter val="512"/>
            <filter val="754"/>
            <filter val="637"/>
            <filter val="759"/>
            <filter val="518"/>
            <filter val="639"/>
            <filter val="519"/>
            <filter val="880"/>
            <filter val="882"/>
            <filter val="761"/>
            <filter val="640"/>
            <filter val="765"/>
            <filter val="403"/>
            <filter val="405"/>
            <filter val="528"/>
            <filter val="651"/>
            <filter val="773"/>
            <filter val="531"/>
            <filter val="895"/>
            <filter val="532"/>
            <filter val="411"/>
            <filter val="654"/>
            <filter val="776"/>
            <filter val="534"/>
            <filter val="899"/>
            <filter val="657"/>
            <filter val="537"/>
            <filter val="659"/>
            <filter val="780"/>
            <filter val="542"/>
            <filter val="302"/>
            <filter val="544"/>
            <filter val="789"/>
            <filter val="791"/>
            <filter val="670"/>
            <filter val="792"/>
            <filter val="672"/>
            <filter val="430"/>
            <filter val="310"/>
            <filter val="674"/>
            <filter val="555"/>
            <filter val="434"/>
            <filter val="437"/>
            <filter val="559"/>
            <filter val="317"/>
            <filter val="319"/>
            <filter val="684"/>
            <filter val="321"/>
            <filter val="322"/>
            <filter val="686"/>
            <filter val="324"/>
            <filter val="446"/>
            <filter val="688"/>
            <filter val="208"/>
            <filter val="450"/>
            <filter val="692"/>
            <filter val="451"/>
            <filter val="452"/>
            <filter val="695"/>
            <filter val="1,077"/>
            <filter val="696"/>
            <filter val="212"/>
            <filter val="455"/>
            <filter val="456"/>
            <filter val="214"/>
            <filter val="578"/>
            <filter val="457"/>
            <filter val="218"/>
            <filter val="1,082"/>
            <filter val="1,080"/>
            <filter val="585"/>
            <filter val="587"/>
            <filter val="224"/>
            <filter val="105"/>
            <filter val="106"/>
            <filter val="1,609"/>
            <filter val="590"/>
            <filter val="592"/>
            <filter val="593"/>
            <filter val="596"/>
            <filter val="476"/>
            <filter val="597"/>
            <filter val="598"/>
            <filter val="479"/>
            <filter val="118"/>
            <filter val="480"/>
            <filter val="361"/>
            <filter val="482"/>
            <filter val="484"/>
            <filter val="364"/>
            <filter val="244"/>
            <filter val="367"/>
            <filter val="368"/>
            <filter val="250"/>
            <filter val="131"/>
            <filter val="374"/>
            <filter val="495"/>
            <filter val="497"/>
            <filter val="499"/>
            <filter val="379"/>
            <filter val="384"/>
            <filter val="385"/>
            <filter val="266"/>
            <filter val="146"/>
            <filter val="148"/>
            <filter val="273"/>
            <filter val="394"/>
            <filter val="277"/>
            <filter val="278"/>
            <filter val="279"/>
            <filter val="280"/>
            <filter val="163"/>
            <filter val="288"/>
            <filter val="187"/>
            <filter val="192"/>
            <filter val="1,342"/>
            <filter val="1,348"/>
            <filter val="1,103"/>
            <filter val="1,432"/>
            <filter val="1,323"/>
          </filters>
        </filterColumn>
        <sortState ref="A7:BK1697">
          <sortCondition descending="1" sortBy="cellColor" ref="G7:G1697" dxfId="5"/>
          <sortCondition descending="1" sortBy="cellColor" ref="F7:F1697" dxfId="6"/>
          <sortCondition ref="BG7:BG1697"/>
        </sortState>
      </autoFilter>
    </customSheetView>
    <customSheetView guid="{D7DBD89C-7529-4A32-A79C-18D37D466F44}" filter="1" showAutoFilter="1">
      <autoFilter ref="$A$7:$BK$1697">
        <filterColumn colId="6">
          <filters blank="1">
            <filter val="COLÉGIO ESTADUAL DO AÇUDINHO"/>
            <filter val="ANEXO - COLÉGIO ESTADUAL NOSSA SENHORA DA CONCEIÇÃO - DISTRITO DE TAPIRANGA"/>
            <filter val="ANEXO - COLÉGIO EST ZULEIDE FREIRE DE ABREU - DISTRITO DE ITUMERIM"/>
            <filter val="ANEXO - CEMIT - BACIA DO RIO GRANDE - DISTRITO DE LAGOA COMPRIDA"/>
            <filter val="ANEXO - CEMIT - VELHO CHICO - DISTRITO DE CAPINÃO"/>
            <filter val="CENTRO ESTADUAL DE EDUCACAO PROFISSIONAL EM GESTAO E TECNOLOGIA DA INFORMACAO ALVARO MELO VIEIRA"/>
            <filter val="ANEXO - CEMIT - SISAL - DISTRITO DE VARZEA DA PEDRA"/>
            <filter val="ANEXO - CEMIT - BACIA DO RIO GRANDE - POVOADO DE LAGOA BONITA"/>
            <filter val="COLÉGIO ESTADUAL IMACULADA CONCEIÇÃO"/>
            <filter val="COLÉGIO ESTADUAL DE TEMPO INTEGRAL NAIR LOPES JENKINS"/>
            <filter val="COLÉGIO ESTADUAL ADELAIDE SOUZA - TEMPO INTEGRAL"/>
            <filter val="ANEXO DO COLÉGIO ESTADUAL INDIGENA TUPINAMBA DE OLIVENCA - SERRA NEGRA"/>
            <filter val="COLÉGIO ESTADUAL DE TEMPO INTEGRAL ASSIS CHATEAUBRIAND"/>
            <filter val="COLÉGIO ESTADUAL DE TEMPO INTEGRAL AMÉLIA AMADO"/>
            <filter val="COLÉGIO ESTADUAL INDÍGENA KIJETXAWE ZABELÊ - DISTRITO ALDEIA CUMURUXATIBA"/>
            <filter val="COLÉGIO ESTADUAL EDSON OLIVEIRA - DISTRITO RIO DO MEIO"/>
            <filter val="ANEXO - CEMIT - SISAL - DISTRITO DE TAPUIO"/>
            <filter val="CENTRO REGIONAL DE ENSINO MEDIO COM INTERMEDIACAO TEC-CEMIT DO VELHO CHICO"/>
            <filter val="COLÉGIO DEMOCRATICO ESTADUAL MARCOS FREIRE - TEMPO INTEGRAL"/>
            <filter val="CENTRO JUVENIL DE CIENCIA E CULTURA - CJCC SENHOR DO BOMFIM"/>
            <filter val="ANEXO - CEMIT - CHAPADA DIAMANTINA - DISTRITO NOVO ACRE"/>
            <filter val="COLÉGIO ESTADUAL DO CAMPO DE INÚBIA - DISTRITO DE INUBIA"/>
            <filter val="COLÉGIO ESTADUAL DE TEMPO INTEGRAL HILDA CARNEIRO"/>
            <filter val="ANEXO - COLÉGIO ESTADUAL DE TEMPO INTEGRAL IRMÃ OLIVEIRA - POVOADO DE FORMOSA"/>
            <filter val="ANEXO DO CEMIT EXTREMO SUL - VILA SUZINHO"/>
            <filter val="COLÉGIO ESTADUAL EM TEMPO INTEGRAL ARY SILVA"/>
            <filter val="ANEXO - CEMIT - IRECÊ - DISTRITO DE VÁRZEA DO CERCO"/>
            <filter val="COLÉGIO ESTADUAL DE TEMPO INTEGRAL ANTÔNIO FERNANDO SOUZA RAMOS"/>
            <filter val="COLÉGIO ESTADUAL DE TEMPO INTEGRAL DE PIRIPA"/>
            <filter val="COLÉGIO ESTADUAL JOSE RUFINO"/>
            <filter val="COLÉGIO ESTADUAL DO CAMPO FILINTO JUSTINIANO BASTOS"/>
            <filter val="ANEXO - COLÉGIO ESTADUAL CLOVIS ADOLPHO STOLZE - POVOADO DE CAIUBI"/>
            <filter val="ANEXO - COLÉGIO ESTADUAL ANISIO HONORATO GODOY - POVOADO BOA VISTA"/>
            <filter val="CENTRO TERRITO. DE EDUC. PROFIS. DE DIAS D AVILA-CETEP DE DIAS D AVILA ( RECEBEU OS ALUNOS DO ANEXO - CETEP E CE DR. LUIS MOURA BASTOS)"/>
            <filter val="COL. EST. KLEBER PACHECO DE OLIVEIRA - PRISIONAL"/>
            <filter val="COLEGIO ESTADUAL DE TEMPO INTEGRAL ESTELA ALELUIA GUIMARAES"/>
            <filter val="CENTRO DE APOIO PEDAGÓGICO ESPECIALIZADO DE VITÓRIA DA CONQUISTA"/>
            <filter val="ANEXO - CENTRO TERRITORIAL DE EDUCAÇÃO PROFISSIONAL DE TEMPO INTEGRAL SANTO ANTÔNIO DAS QUEIMADAS - ESPANTA GADO"/>
            <filter val="ESCOLA TECNICA DA FAMÍLIA AGRÍCOLA DA BAHIA-ETFAB"/>
            <filter val="COLÉGIO ESTADUAL PROFESSOR PAULO FREIRE"/>
            <filter val="COLÉGIO ESTADUAL DE TEMPO INTEGRAL PROFESSOR JORGE RODRIGUES DOS SANTOS&#10;(ANTIGO COLÉGIO MODELO LUIS EDUARDO MAGALHÃES)"/>
            <filter val="ANEXO - COLÉGIO ESTADUAL DE TEMPO INTEGRAL SENHOR DO BONFIM - DISTRITO DE CARRAPICHEL"/>
            <filter val="COLÉGIO ESTADUAL DE TEMPO INTEGRAL DE DÁRIO MEIRA"/>
            <filter val="ANEXO - CEMIT - VELHO CHICO - POVOADO VESPERINA"/>
            <filter val="ANEXO - COLÉGIO ESTADUAL ARY SILVA - DISTRITO DE JACURICI DA LESTE"/>
            <filter val="ANEXO - COLÉGIO ESTADUAL SÃO VICENTE DE PAULO - DISTRITO CURRAL DAS VARZEAS - COMUNIDADE QUILOMBOLA"/>
            <filter val="ANEXO - COLÉGIO POLIVALENTE DE CARAVELAS - DISTRITO DE RANCHO ALEGRE"/>
            <filter val="COLÉGIO ESTADUAL ANTONIO FIGUEREDO - TEMPO INTEGRAL"/>
            <filter val="ANEXO - COLÉGIO ESTADUAL DE TEMPO INTEGRAL PROFESSORA MARIA HELENA OLIVEIRA - POVOADO DE ANGICAL"/>
            <filter val="ANEXO - COLÉGIO ESTADUAL DOUTOR ARISTIDES MALTEZ - DISTRITO DE PALMA"/>
            <filter val="ANEXO DO COLÉGIO ESTADUAL MONSENHOR TURIBIO VILANOVA - DIST. RIO DAS RAS I - COMUNIDADE QUILOMBOLA"/>
            <filter val="ANEXO - COLÉGIO ESTADUAL DE TEMPO INTEGRAL AGOSTINHO MUNIZ  - POVOADO JARDIM PRIMAVERA"/>
            <filter val="ANEXO - COLÉGIO ESTADUAL DOUTOR JUCA SENTO SE - DISTRITO DE PICARRAO"/>
            <filter val="COLÉGIO ESTADUAL DE TEMPO INTEGRAL JORGE AMADO (ANTIGO MODELO)"/>
            <filter val="ANEXO - CEMIT EXTREMO SUL - DISTRITO NOVO DESTINO"/>
            <filter val="ANEXO - CEMIT - CHAPADA DIAMANTINA - POVOADO DE UMBURANINHAS"/>
            <filter val="COLÉGIO ESTADUAL DE SALOBRINHO - DISTRITO DE SALOBRINHO"/>
            <filter val="COLÉGIO ESTADUAL NOSSA SENHORA DE LOURDES - DISTRITO DO PONTO"/>
            <filter val="ANEXO - COLEGIO ESTADUAL DO CAMPO FILINTO JUSTINIANO BASTOS - POVOADO DE ANGICO"/>
            <filter val="COLÉGIO ESTADUAL DE TEMPO INTEGRAL DE PINDOBAÇU"/>
            <filter val="COLÉGIO ESTADUAL DE TEMPO INTEGRAL DE BARRA"/>
            <filter val="ANEXO DO COLÉGIO ESTADUAL EVERTON OLIVEIRA DE SANTANA- DISTRITO DE SILVESTRE"/>
            <filter val="COLÉGIO ESTADUAL ACELINA DANTAS DA SILVA - DISTRITO DONA MARIA - EM TEMPO INTEGRAL"/>
            <filter val="ANEXO - COLÉGIO ESTADUAL INDÍGENA ÂNGELO PEREIRA XAVIER - RASO DA CATARINA"/>
            <filter val="COLEGIO ESTADUAL INDIGENA PATAXO BARRA VELHA  - DISTRITO DE CARAIVA"/>
            <filter val="ANEXO - COLÉGIO EST ZULEIDE FREIRE DE ABREU - DISTRITO DE IRUNDIARA"/>
            <filter val="ANEXO - CEMIT MÉDIO RIO DE CONTAS - DISTRITO TAPIRAMA"/>
            <filter val="ANEXO - COLÉGIO ESTADUAL JESUS MOURA - DISTRITO DE BARRA NOVA"/>
            <filter val="COLÉGIO POLIVALENTE DE CONCEIÇÃO DO COITE"/>
            <filter val="ANEXO DO CEMIT LITORA SUL - DISTRITO DE INEMA"/>
            <filter val="ANEXO - COLÉGIO ESTADUAL INDÍGENA COROA VERMELHA - ALDEIA MIRA PÉ"/>
            <filter val="COMPLEXO INTEGRADO DE EDUCAÇÃO BÁSICA PROFISSIONAL E TECNOLÓGICA DE ITABUNA (ANTIGO CIE ITABUNA)"/>
            <filter val="ANEXO - CEMIT - BAIXO SUL - POV. DE ALTO ALEGRE"/>
            <filter val="ANEXO - COLÉGIO ESTADUAL ADELAIDE SOUZA  - DISTRITO DE SAO BENEDITO"/>
            <filter val="CENTRO DE APOIO PEDAGOGICO COMPANHEIRO LEAO AURELIO PIRES - CAP"/>
            <filter val="COLÉGIO ESTADUAL DE CRAVOLANDIA - TEMPO INTEGRAL"/>
            <filter val="ANEXO - CENTRO TERRITO. DE EDUC. PROFIS. DE DIAS D AVILA-CETEP DE DIAS D AVILA - ENTROCAMENTO (ANTIGO ANEXO - COLEGIO ESTADUAL DOUTOR LUIS DE MOURA BASTOS - ENTRONCAMENTO)"/>
            <filter val="COLÉGIO ESTADUAL DE TEMPO INTEGRAL ÁUREO FILHO"/>
            <filter val="COLÉGIO ESTADUAL ANTONIO RODRIGUES VIANA"/>
            <filter val="COLÉGIO ESTADUAL DE TEMPO INTEGRAL MASCARENHAS DE CAMAÇARI"/>
            <filter val="ANEXO - CEMIT LITORAL NORTE E AGRESTE BAIANO - DISTRITO DE ALTAMIRA"/>
            <filter val="ANEXO - CEMIT VELHO CHICO - VILA SÃO JOSÉ"/>
            <filter val="COLÉGIO ESTADUAL DE BREJOLÂNDIA (ANTIGO - CE LUIS EDUARDO MAGALHAES)"/>
            <filter val="COLÉGIO ESTADUAL PETRINA NOVAIS SILVA CAIRO"/>
            <filter val="ANEXO - COLÉGIO ESTADUAL ALUIZIO CARNEIRO DA SILVA - POVOADO DE SUBAÉ"/>
            <filter val="COLÉGIO ESTADUAL DO CAMPO DE ICO"/>
            <filter val="COLEGIO ESTADUAL DE TEMPO INTEGRAL DE RIO REAL"/>
            <filter val="COLEGIO ESTADUAL DO CAMPO PROFESSORA MARIA IZABEL DE OLIVEIRA"/>
            <filter val="ANEXO - COLÉGIO ESTADUAL DE TEMPO INTEGRAL SOFIA MASCARENHAS - POVOADO BREJO DE DOIS IRMAOS"/>
            <filter val="COLÉGIO ESTADUAL NOSSA SENHORA DA PENHA - TEMPO INTEGRAL"/>
            <filter val="ANEXO - COLÉGIO ESTADUAL DE TEMPO INTEGRAL DE CAETANOS - DIST. DE CALDEIRAO"/>
            <filter val="ANEXO - COLEGIO ESTADUAL DE TEMPO INTEGRAL PROFESSOR MAGALHAES NETO &#10; - DISTRITO TAPIRAIPE"/>
            <filter val="ANEXO - COLÉGIO ESTADUAL NORBERTO FERNANDES - DISTRITO DE  SAO DOMINGOS"/>
            <filter val="COLÉGIO ESTADUAL DE TEMPO INTEGRAL PROFESSORA ANA ALICE FIGUEREDO DOS SANTOS (ANTIGO POLIVALENTE)"/>
            <filter val="ANEXO AO COLEGIO ESTADUAL MONSENHOR TURIBIO VILANOVA QUILOMBO ARACA CARIACA"/>
            <filter val="ANEXO - COLÉGIO ESTADUAL DE TEMPO INTEGRAL SOFIA MASCARENHAS - POVOADO LAGOA DO PADRE"/>
            <filter val="COLÉGIO ESTADUAL DE TEMPO INTEGRAL FLORESTAL"/>
            <filter val="COLÉGIO ESTADUAL PROFESSORA TEREZINHA SCARAMUSSA"/>
            <filter val="ANEXO - CEMIT - LITORAL SUL - DISTRITO DE COUTO"/>
            <filter val="COLÉGIO ESTADUAL DO CAMPO PROJETO FORMOSO"/>
            <filter val="ANEXO - COLÉGIO ESTADUAL SÃO JOSÉ - DISTRITO DE CARAIBAS"/>
            <filter val="COLÉGIO ESTADUAL ADONIAS FILHO"/>
            <filter val="CENTRO REGIONAL DE ENSINO COM INTERMEDIACAO TECNOLOGICA - CEMIT DO BAIXO SUL&#10;(ANTIGA ESCOLA ESTADUAL LOMANTO JÚNIOR)"/>
            <filter val="COLÉGIO ESTADUAL INDIGENA AKSA PATAXO - ALDEIA CRAVEIRO"/>
            <filter val="COLÉGIO ESTADUAL DE TEMPO INTEGRAL PROFESSORA TEREZINHA GONÇALVES NOVAIS"/>
            <filter val="COLÉGIO ESTADUAL GELASIO ALVES DOS SANTOS"/>
            <filter val="COLÉGIO ESTADUAL DE TEMPO INTEGRAL EVANCLEIDE ALMEIDA SANTOS BARRETO - (ANTIGO CELEM)"/>
            <filter val="COLÉGIO ESTADUAL QUILOMBOLA DOUTOR MILTON SANTOS"/>
            <filter val="COLÉGIO ESTADUAL DE TEMPO INTEGRAL PROFESSORA ELINEUZA DA SILVA FERREIRA&#10;(ANTIGO COLÉGIO ESTADUAL CARLOS SANTANA)"/>
            <filter val="COLÉGIO ESTADUAL DE TEMPO INTEGRAL ALFREDO DUTRA"/>
            <filter val="CENTRO TERRITORIAL DE EDUCAÇÃO PROFISSIONAL EM TEMPO INTEGRAL MARIA DE ALMEIDA DE ARAÚJO ( ANTIGO JOSE AMANCIO FILHO )"/>
            <filter val="CENTRO TERRITORIAL DE EDUCAÇÃO PROFISSIONAL DE MEDEIROS NETO"/>
            <filter val="COLÉGIO ESTADUAL ERNESTO CARNEIRO RIBEIRO"/>
            <filter val="ANEXO - CEMIT LITORAL NORTE E AGRESTE BAIANO - DISTRITO ABADIA"/>
            <filter val="ANEXO - COLEGIO ESTADUAL DE TEMPO INTEGRAL PAULO JOSE DE OLIVEIRA - DISTRITO DE ANGICO"/>
            <filter val="COLÉGIO ESTADUAL DE PARAMIRIM"/>
            <filter val="COLÉGIO ESTADUAL GOVERNADOR LUIZ VIANA FILHO"/>
            <filter val="COLÉGIO ESTADUAL DE TEMPO INTEGRAL JORGE AMADO"/>
            <filter val="COLÉGIO ESTADUAL PROFESSORA ALMERINDA MEIRA DO CARMO - TEMPO INTEGRAL"/>
            <filter val="ESCOLA FAMILIA AGRICOLA DE SANTANA PADRE ARTHUR BIRK"/>
            <filter val="ANEXO - CEMIT - IRECÊ - DISTRITO RIACHO DE JOÃO DOURADO"/>
            <filter val="COLÉGIO ESTADUAL PROFESSOR FIRMO NUNES DE OLIVEIRA - TEMPO INTEGRAL"/>
            <filter val="COLEGIO ESTADUAL DE TEMPO INTEGRAL EDIVALDO MACHADO BOAVENTURA"/>
            <filter val="CENTRO ESTADUAL DE EDUCACAO PROFISSIONAL EM SERVICOS E PROCESSOS INDUSTRIAIS IRMA DULCE"/>
            <filter val="ANEXO - ERALDO TINOCO - COL. EST. DR. - DIST. DE PINDORAMA"/>
            <filter val="COLÉGIO ESTADUAL ANTONIO EDUARDO RIBEIRO ROCHA - DISTRITO DE BARRA GRANDE - TEMPO INTEGRAL"/>
            <filter val="CENTRO DE APOIO PEDAGÓGICO DE JEQUIÉ - CAP"/>
            <filter val="COLÉGIO ESTADUAL JOAO CARDOSO DOS SANTOS"/>
            <filter val="COLÉGIO ESTADUAL DE TEMPO INTEGRAL NOSSA SENHORA DO ROSÁRIO"/>
            <filter val="COLÉGIO ESTADUAL DE TEMPO INTEGRAL PROFESSORA KELLY MAGALHÃES (ANTIGO - CE EL SHADAI)"/>
            <filter val="COLÉGIO ESTADUAL DE TEMPO INTEGRAL CASTRO ALVES"/>
            <filter val="COLÉGIO ESTADUAL DE TEMPO INTEGRAL JOSE DE SOUZA MACHADO"/>
            <filter val="COLÉGIO ESTADUAL DE TEMPO INTEGRAL PROFESSORA MARIA DO CARMO SANTANA&#10;(ANTIGO C.E PROFESSORA MARIA DO CARMO SANTANA)"/>
            <filter val="COLÉGIO ESTADUAL MENANDRO MINAHIM"/>
            <filter val="COLÉGIO ESTADUAL DE TEMPO INTEGRAL PROFESSOR ANTÔNIO MARCOS SANTOS ESTEVES"/>
            <filter val="ANEXO - CEMIT - SERTAO DO SAO FRANCISCO - POVOADO DE PONTA DAGUA"/>
            <filter val="CENTRO DE APOIO PEDAGOGICO ESPECIALIZADO - CAPE SENHOR DO BONFIM"/>
            <filter val="COLÉGIO ESTADUAL DO CAMPO EDGAR SANTOS - POVOADO DE AMPARO"/>
            <filter val="ANEXO - CEMIT - CHAPADA DIAMANTINA - DISTRITO OLHOS DAGUA DO CRUZEIRO"/>
            <filter val="COLEGIO ESTADUAL INDIGENA TUPINAMBA ARAMARI"/>
            <filter val="ANEXO - COLÉGIO POLIVALENTE DE CARAVELAS - NOVA TRIBUNA"/>
            <filter val="ANEXO - COLÉGIO ESTADUAL DE TEMPO INTEGRAL JOSÉ MARCELO SILVEIRA MARIANI - DISTRITO DE JUPAGUA"/>
            <filter val="ANEXO COLÉGIO ESTADUAL ARY SILVA - POVOADO DE CACIMBAS"/>
            <filter val="ANEXO - CEMIT - SISAL - DISTRITO DE LAGOA DO JUNCO"/>
            <filter val="COLÉGIO ESTADUAL DUQUE DE CAXIAS"/>
            <filter val="COLÉGIO ESTADUAL DE TEMPO INTEGRAL PROFESSORA AYDIL LIMA DOS SANTOS"/>
            <filter val="COLÉGIO ESTADUAL CIDADE DE CANDEIAS"/>
            <filter val="CENTRO TERRITORIAL DE EDUCAÇÃO PROFISSIONAL DA BACIA DO JACUÍPE PROFESSOR LUIZ CARLOS ARAÚJO"/>
            <filter val="COLÉGIO ESTADUAL PAULO CÉSAR DA NOVA ALMEIDA - TEMPO INTEGRAL"/>
            <filter val="ANEXO - COLÉGIO ESTADUAL DO CAMPO LUCIA ROCHA MACEDO - ASSENTAMENTO BOA SORTE"/>
            <filter val="CENTRO TERRITORIAL DE EDUCAÇÃO PROFISSIONAL DO SERTÃO DO SÃO FRANCISCO II ANTONIO CONSELHEIRO"/>
            <filter val="COMPLEXO INTEGRADO DE EDUCACAO DE ITAMARAJU - CIE DE ITAMARAJU - TEMPO INTEGRAL"/>
            <filter val="COLÉGIO ESTADUAL DE TEMPO INTEGRAL PROFESSOR ARISMÁRIO SENA FERREIRA"/>
            <filter val="ANEXO - CEMIT - BACIA DO RIO GRANDE - DISTRITO DE RIO BRANCO"/>
            <filter val="ANEXO - COLEGIO ESTADUAL DE TEMPO INTEGRAL LOMANTO JUNIOR - DISTRITO DE ITAMOTINGA"/>
            <filter val="COLÉGIO ESTADUAL DE TEMPO INTEGRAL VIRGÍLIO FRANCISCO PEREIRA"/>
            <filter val="COLÉGIO ESTADUAL PROFESSORA LIA PUBLIO DE CASTRO - DISTRITO DE IBITIRA - TEMPO INTEGRAL"/>
            <filter val="ANEXO - CEMIT - IRECÊ - DISTRITO VÁRZEA GRANDE"/>
            <filter val="ANEXO - COLÉGIO ESTADUAL JOSE AMERICO ARAUJO - DISTRITO DE RUMO"/>
            <filter val="ANEXO - COLÉGIO ESTADUAL PEDRO RAYMUNDO MOREIRA REGO - PROJETO CURAÇÁ"/>
            <filter val="COLÉGIO ESTADUAL DE TEMPO INTEGRAL CAROLINA MARIA DE JESUS&#10; (ANTIGA C.E. UYARA PORTUGAL)"/>
            <filter val="ANEXO - CEMIT - PIEMONTE NORTE DO ITAPICURU - DISTRITO DE FLAMENGO"/>
            <filter val="COLÉGIO ESTADUAL DE TEMPO INTEGRAL SÃO JOSÉ"/>
            <filter val="ANEXO - COLÉGIO ESTADUAL DE TEMPO INTEGRAL DE PLANALTO - DISTRITO DE GERIBA"/>
            <filter val="ANEXO - CEMIT BACIA DO JACUIPE - POVOADO SÃO ROQUE"/>
            <filter val="ANEXO - COLÉGIO ESTADUAL JUTAHY MAGALHÃES - POVOADO LAGOA DO SALITRE"/>
            <filter val="CENTRO TERRITORIAL DE EDUCACAO PROFISSIONAL DA BACIA DO PARAMIRIM"/>
            <filter val="COLÉGIO ESTADUAL DO CAMPO DE TEMPO INTEGRAL THOMAZ LEITE - DIST. DE GAMELEIRA"/>
            <filter val="COLÉGIO ESTADUAL DE TEMPO INTEGRAL ABELARDO MOREIRA"/>
            <filter val="ANEXO AO COLÉGIO ESTADUAL ADONIAS FILHO - CONJUNTO PENAL"/>
            <filter val="COLÉGIO ESTADUAL DE TEMPO INTEGRAL ÁGUAS TERMAIS DE CIPÓ (ANTIGO CE PROFESSORA IVONE VICTOR FERNANDES SANTOS, RECEBEU O ANEXO DO DISTRITO DE ITAPICURU E O CE PROFESSORA MARIA MACEDO VIEIRA DE BRITO)"/>
            <filter val="ANEXO - COLÉGIO ESTADUAL RIO CORRENTE - DISTRITO DE ALAGOINHA"/>
            <filter val="ANEXO -CEMIT - IRECÊ - POVOADO DE MARAVILHA"/>
            <filter val="ANEXO - CEMIT - CHAPADA DIAMANTINA - DISTRITO DE SINCORA DA SERRA"/>
            <filter val="COLÉGIO ESTADUAL DE TEMPO INTEGRAL DE TABOCAS&#10;(ANTIGO - COLÉGIO ESTADUAL DE TEMPO INTEGRAL LEONIDAS DE ARAÚJO SILVA)"/>
            <filter val="ANEXO - COLÉGIO ESTADUAL CÂNDIDO MEIRELES - DISTRITO DE BOIPEBA"/>
            <filter val="COLÉGIO ESTADUAL DE TEMPO INTEGRAL JOSÉ RIBEIRO PAMPONET"/>
            <filter val="ANEXO DO COLÉGIO ESTADUAL INDIGENA CARAMURU PARAGUACU - ALDEIA - POVOADO DE AGUA VERMELHA"/>
            <filter val="CENTRO ESTADUAL DE EDUCAÇÃO PROFISSIONAL EM SAÚDE DO CENTRO BAIANO"/>
            <filter val="COLÉGIO ESTADUAL FRANCISCO DA CONCEIÇÃO MENEZES"/>
            <filter val="ANEXO - COL. ESTADUAL MARIETA PEREIRA DOS SANTOS - DIST. LAGOA PRETA"/>
            <filter val="CENTRO TERRITORIAL DE EDUCACAO PROFISSIONAL ITAPARICA II WILSON PEREIRA"/>
            <filter val="COLÉGIO ESTADUAL LUIZ NAVARRO DE BRITO"/>
            <filter val="ANEXO DO CEMIT PIEMONTE NORTE DO ITAPICURU - POVOADO DE UMBURANA - COMUNIDADE QUILOMBOLA"/>
            <filter val="ESCOLA FAMILIA AGRICOLA MAE JOVINA"/>
            <filter val="COLÉGIO ESTADUAL DE TEMPO INTEGRAL VELHO CHICO"/>
            <filter val="COLÉGIO ESTADUAL DO CAMPO VIRGILIO PEREIRA DE ALMEIDA"/>
            <filter val="ANEXO - COLÉGIO ESTADUAL DE TEMPO INTEGRAL SOFIA MASCARENHAS  - POVOADO DE LAGOA DA PEDRA"/>
            <filter val="COLÉGIO ESTADUAL DE TEMPO INTEGRAL CARLITO DE CARVALHO"/>
            <filter val="CENTRO TERRITORIAL DE EDUCAÇÃO PROFISSIONAL DO MÉDIO SUDOESTE DA BAHIA EURIDES EVANGELISTA PINTO"/>
            <filter val="COLÉGIO ESTADUAL DE TEMPO INTEGRAL JOÃO TEIXEIRA DE NOVAES (ANTIGO - CE COSTA E SILVA - DISTRITO DE SUSSUARANA)"/>
            <filter val="CENTRO ESTADUAL DE EDUCACAO PROF EM CONTROLE E GESTAO DO NORDESTE BAIANO PEDRO RIBEIRO PESSOA"/>
            <filter val="COLÉGIO ESTADUAL DOUTOR LAURO PASSOS"/>
            <filter val="ANEXO - CEMIT - CHAPADA DIAMANTINA - DISTRITO SANTA RITA"/>
            <filter val="COLÉGIO ESTADUAL DO CAMPO MANOEL BENEDITO MASCARENHAS - DISTRITO DE ITAPORÃ"/>
            <filter val="ANEXO - COLÉGIO ESTADUAL DO CAMPO DE TEMPO INTEGRAL PROFESSORA  MARIA TEREZA BRAGA CABRAL - DISTRITO DE PAU A PIQUE - POVOADO BEM BOM"/>
            <filter val="COLÉGIO ESTADUAL PROFESSORA ZENAIDE ALVES BARRETO"/>
            <filter val="ANEXO - COLÉGIO ESTADUAL INDÍGENA COROA VERMELHA - ALDEIA MEIO DA MATA"/>
            <filter val="COLÉGIO ESTADUAL DE TEMPO INTEGRAL JOÃO GALVÃO SOBRINHO"/>
            <filter val="ANEXO - CEMIT SERTÃO DO SERTAO DO SAO FRANCISCO - POVOADO DE SANHARO"/>
            <filter val="COLÉGIO ESTADUAL INDIGENA XUCURU KARIRI"/>
            <filter val="COLÉGIO ESTADUAL DE TEMPO INTEGRAL DE IPIAÚ"/>
            <filter val="CENTRO TERRITORIAL DE EDUCACAO PROFISSIONAL DO SISAL"/>
            <filter val="COLÉGIO ESTADUAL INDÍGENA COROA VERMELHA - ALDEIA COROA VERMELHA - TEMPO INTEGRAL"/>
            <filter val="COLÉGIO ESTADUAL HERCULANO FARIA"/>
            <filter val="COLÉGIO ESTADUAL DE TEMPO INTEGRAL SÃO GONÇALO"/>
            <filter val="ANEXO - CEMIT LITORAL NORTE E AGRESTE BAIANO - DISTRITO DE COLONIA"/>
            <filter val="COLÉGIO ESTADUAL QUILOMBOLA DE SAO TOME - COMUNIDADE QUILOMBOLA"/>
            <filter val="COLÉGIO ESTADUAL DE TEMPO INTEGRAL DE IBICOARA"/>
            <filter val="ANEXO - COLÉGIO ESTADUAL DE PORTO SEGURO - DISTRITO AGROVILA"/>
            <filter val="ANEXO - CEMIT BACIA DO RIO GRANDE - DISTRITO DE ANGICO"/>
            <filter val="COLÉGIO ESTADUAL INDIGENA DOM JACKSON BERENGUER PRADO - COMUNIDADE INDIGENA VILA MASSACARA"/>
            <filter val="ANEXO - CEMIT - VELHO CHICO - POVOADO DE LAGUNA"/>
            <filter val="COLÉGIO ESTADUAL REITOR EDGARD SANTOS"/>
            <filter val="COLÉGIO ESTADUAL PROFESSORA DELZAIR NASCIMENTO GALVAO - TEMPO INTEGRAL"/>
            <filter val="COLÉGIO ESTADUAL DOUTOR JOSÉ MARCELINO DE SOUZA"/>
            <filter val="COLEGIO ESTADUAL DE TEMPO INTEGRAL CASTRO ALVES"/>
            <filter val="COLÉGIO ESTADUAL DE TEMPO INTEGRAL MARIA OTÍLIA LUTZ"/>
            <filter val="ANEXO DO COLÉGIO ESTADUAL INDIGENA TUPINAMBA AMOTARA - ALDEIA KATUANA"/>
            <filter val="COLÉGIO ESTADUAL INDIGENA ANGELO PEREIRA XAVIER"/>
            <filter val="COLÉGIO ESTADUAL ANTONIO GERALDO"/>
            <filter val="ANEXO - COLÉGIO ESTADUAL RIO CORRENTE - DISTRITO DE TABULEIRO"/>
            <filter val="ANEXO - COLÉGIO ESTADUAL PROFº IVARDO PEREIRA BASTOS - DISTRITO DE ENTROCAMENTO"/>
            <filter val="ANEXO - COLÉGIO ESTADUAL INDIGENA KIRIRI INDIO FELIZ - SACÃO SACO DOS MORCEGOS"/>
            <filter val="ANEXO - CENTRO TERRITORIAL DE EDUCAÇÃO PROFISSIONAL PIEMONTE DO PARAGUAÇU II - POVOADO DE VISGUEIRA&#10;(ANTIGO POVOADO DE IBIAPORÃ)"/>
            <filter val="COLÉGIO ESTADUAL TEOTÔNIO VILELA - TEMPO INTEGRAL"/>
            <filter val="COLÉGIO DA POLICIA MILITAR - CPM ROMULO GALVAO"/>
            <filter val="ANEXO - COLÉGIO ESTADUAL DE TEMPO INTEGRAL SOROR JOANA ANGÉLICA - DISTRITO DE CANABRAVA"/>
            <filter val="COLÉGIO ESTADUAL DE TEMPO INTEGRAL ADINÁLIA PEREIRA DE ARAÚJO - (ANTIGO CE NAOMAR SOARES ALCANTARA)"/>
            <filter val="ANEXO - CENTRO TERRITORIAL DE EDUCAÇÃO PROFISSIONAL BENTO ALVES DAS NEVES DE SÃO DESIDÉRIO - POVOADO CAMPO GRANDE"/>
            <filter val="ANEXO - COLÉGIO ESTADUAL INDIGENA FLORENTINO DOMINGOS DE ANDRADE - ALDEIA SEGREDO"/>
            <filter val="ANEXO - CEMIT LITORAL SUL - POVOADO DE ERA NOVA"/>
            <filter val="ANEXO - COLÉGIO ESTADUAL INDÍGENA KIJETXAWE ZABELÊ - ALDEIA MONTE DOURADO"/>
            <filter val="ANEXO DO COLÉGIO ESTADUAL DOUTOR LUIZ VIANA FILHO - CHACARA DOS PALMARES"/>
            <filter val="COLÉGIO ESTADUAL DE TEMPO INTEGRAL OLAVO ALVES PINTO"/>
            <filter val="COLÉGIO ESTADUAL DE TEMPO INTEGRAL PROFESSORA JOANICE BACELAR BATISTA"/>
            <filter val="CENTRO TERRITORIAL DE EDUCACAO PROFISSIONAL DE VITORIA DA CONQUISTA"/>
            <filter val="ANEXO - CENTRO TERRITORIAL DE EDUCAÇÃO PROFISSIONAL BENTO ALVES DAS NEVES DE SÃO DESIDÉRIO - POV. PONTE DE MATEUS"/>
            <filter val="ESCOLA FAMILIA AGRICOLA DO TERRITORIO DA CHAPADA"/>
            <filter val="COLÉGIO ESTADUAL DE TEMPO INTEGRAL PEDRO RAYMUNDO MOREIRA REGO"/>
            <filter val="ANEXO - CEMIT BACIA DO RIO GRANDE - DISTRITO DE PEIXE DE FORA"/>
            <filter val="COLÉGIO ESTADUAL DE TEMPO INTEGRAL BALBINO MUNIZ BARRETO"/>
            <filter val="ANEXO - CEMIT - IRECÊ - DISTRITO DE PITUBA"/>
            <filter val="ANEXO DO COLÉGIO ESTADUAL INDIGENA CARAMURU PARAGUACU - ALDEIA - POVOADO DO TAQUARI-BRACO DA DUVIDA"/>
            <filter val="COLÉGIO ESTADUAL DO CAMPO INTEGRAÇÃO LAGOA DO PIRES - POVOADO LAGOA DO PIRES"/>
            <filter val="ANEXO - CEMIT - VELHO CHICO-BARRA - BREJO DO SÃO GONCALO"/>
            <filter val="CENTRO TERRITORIAL DE EDUCAÇÃO PROFISSIONAL DO LITORAL SUL - COMUNIDADE QUILOMBOLA"/>
            <filter val="COLÉGIO ESTADUAL DE TEMPO INTEGRAL PROFESSORA MARIA DO SOCORRO GOMES POSSIDÔNIO (ANTIGO C. E. SANTO ANTÔNIO DE ABARÉ)"/>
            <filter val="ANEXO - CENTRO TERRITORIAL DE EDUCAÇÃO PROFISSIONAL DE TEMPO INTEGRAL SANTO ANTÔNIO DAS QUEIMADAS - DISTRITO CORONEL JOAO BORGES - RIACHO DA ONCA"/>
            <filter val="CENTRO REG DE ENS MEDIO COM INTERMEDIACAO TEC-CEMIT DE VIT.DA CONQUISTA"/>
            <filter val="ANEXO -CEMIT - VELHO CHICO - POVOADO DE GADO BRAVO"/>
            <filter val="COLÉGIO ESTADUAL DE TEMPO INTEGRAL DE MORTUGABA (ANTIGO - CE LEONIDIA SILVA MOREIRA PARDINHO)"/>
            <filter val="COLÉGIO ESTADUAL DE TEMPO INTEGRAL REITOR MIGUEL CALMON"/>
            <filter val="COLÉGIO ESTADUAL SANTO ANTÔNIO"/>
            <filter val="ANEXO DO COLÉGIO ESTADUAL INDIGENA TUPINAMBA DE OLIVENCA - ALDEIA TUCUM"/>
            <filter val="ANEXO - CEMIT SERTAO DO SAO FRANCISCO - POV. ANGICO DOS DIAS"/>
            <filter val="ANEXO - CEMIT - IRECÊ - DISTRITO DE FLORESTA"/>
            <filter val="ANEXO - CEMIT CHAPADA DIAMANTINA- DISTRITO DE ARIZONA - COMUNIDADE QUILOMBOLA"/>
            <filter val="COLÉGIO ESTADUAL AGROVILA 08 - DISTRITO PEDRA BRANCA"/>
            <filter val="ANEXO - COLÉGIO ESTADUAL DE TEMPO INTEGRAL DE TABOCAS - DISTRITO DE VEREDA"/>
            <filter val="COMPLEXO INTEGRADO DE EDUCAÇÃO BÁSICA, PROFISSIONAL E TECNOLÓGICA DE EUNÁPOLIS (ANTIGO CIE)"/>
            <filter val="COLÉGIO ESTADUAL MACHADO DE ASSIS"/>
            <filter val="ANEXO - COLÉGIO ESTADUAL INDÍGENA KIJETXAWE ZABELÊ - ALDEIA TIBA"/>
            <filter val="ANEXO - CEMIT VITORIA DA CONQUISTA - DIST. DE LAGOA DA SERRA"/>
            <filter val="COLEGIO ESTADUAL DE TEMPO INTEGRAL PROFESSORA JAIDE ROCHA &#10;( ANTIGO PROFESSORA MARIA OLIMPIA )"/>
            <filter val="ANEXO - CEMIT- SERTAO DO SAO FRANCISCO - DISTRITO DE JATOBA"/>
            <filter val="ANEXO - COLÉGIO ESTADUAL NELSON MAIA - DISTRITO DE BARRACAS"/>
            <filter val="COMPLEXO INTEGRADO DE EDUCAÇÃO DE IPIAÚ - CIE DE IPIAÚ"/>
            <filter val="COLÉGIO ESTADUAL DO CAMPO DE TEMPO INTEGRAL DOUTOR JOSÉ ANTÔNIO DE ARAÚJO PIMENTA"/>
            <filter val="CENTRO TERRITORIAL DE EDUCAÇÃO PROFISSIONAL DO RECONCAVO JONIVAL LUCAS"/>
            <filter val="COLÉGIO ESTADUAL DO CAMPO JOSE GONCALVES - DISTRITO DE JOSE GONCALVES - TEMPO INTEGRAL"/>
            <filter val="COLEGIO ESTADUAL DE TEMPO INTEGRAL DE CANAVIEIRAS"/>
            <filter val="ANEXO - COLÉGIO ESTADUAL ARTUR OLIVEIRA DA SILVA - DISTRITO GOIABEIRA II"/>
            <filter val="ANEXO AO COLEGIO ESTADUAL DE TEMPO INTEGRAL PROFESSOR PEDRO PAULO MARQUES E MARQUES CASE"/>
            <filter val="COLÉGIO ESTADUAL DO CAMPO KLEBER PACHECO - DISTRITO SÃO ROQUE DO PARAGUAÇU"/>
            <filter val="COLÉGIO ESTADUAL DE TEMPO INTEGRAL EDILSON JOAQUIM DOS SANTOS"/>
            <filter val="COLEGIO ESTADUAL DE TEMPO INTEGRAL LOMANTO JUNIOR"/>
            <filter val="ANEXO - CENTRO TERRITORIAL DE EDUCACAÇÃO PROFISSIONAL EM TEMPO INTEGRAL - POVOADO DE MUNDO NOVO"/>
            <filter val="COLÉGIO ESTADUAL DE TEMPO INTEGRAL EDUCANDÁRIO OLIVEIRA BRITO"/>
            <filter val="COLÉGIO ESTADUAL DE TEMPO INTEGRAL PROFESSORA SILVIA FERREIRA DE BRITO"/>
            <filter val="COLÉGIO ESTADUAL DE TEMPO INTEGRAL PROFESSORA ANA LÚCIA AGUIAR VIANA&#10;- (ANTIGO COLÉGIO ESTADUAL NERCY ANTONIO DUARTE)"/>
            <filter val="ANEXO - CEMIT - SERTAO DO SAO FRANCISCO - POVOADO DE BARRA"/>
            <filter val="COLÉGIO ESTADUAL DO CAMPO PROFESSORA MARIA MENEZES RIBEIRO"/>
            <filter val="ANEXO - COLÉGIO ESTADUAL DE TEMPO INTEGRAL DE CASA NOVA - DISTRITO DE LUIZ VIANA"/>
            <filter val="COLÉGIO ESTADUAL DE TEMPO INTEGRAL MANOEL GUIMARÃES SANTANA"/>
            <filter val="COLÉGIO ESTADUAL DE TEMPO INTEGRAL EVILASIO SANTANA GAMA"/>
            <filter val="COLÉGIO ESTADUAL DE TEMPO INTEGRAL FLAVIANO DANTAS DO NASCIMENTO"/>
            <filter val="COLÉGIO ESTADUAL DE TEMPO INTEGRAL PAULO FREIRE (ANTIGO DOUTOR MANOEL NOVAES)"/>
            <filter val="COLÉGIO ESTADUAL DE TEMPO INTEGRAL DE OUROLÂNDIA"/>
            <filter val="COLÉGIO ESTADUAL LUIS EDUARDO MAGALHAES"/>
            <filter val="ESCOLA FAMILIA AGRICOLA DE PARAMIRIM"/>
            <filter val="ANEXO - COLÉGIO ESTADUAL ROLANDO LARANJEIRA BARBOSA - POVOADO DE INHAUMAS"/>
            <filter val="ANEXO - COLEGIO ESTADUAL SINESIO COSTA - POVOADO DE SANTA RITA"/>
            <filter val="COLÉGIO ESTADUAL DE TEMPO INTEGRAL OCTACILIO MANOEL GOMES"/>
            <filter val="ANEXO - CEMIT - VELHO CHICO-BARRA - WANDERLEY"/>
            <filter val="COLÉGIO ESTADUAL DE TEMPO INTEGRAL CONSTANTINO CATARINO DE SOUZA"/>
            <filter val="CENTRO DE APOIO PEDAGÓGICO AO DEFICIENTE VISUAL JONATHAS TELES DE CARVALHO - CAP"/>
            <filter val="COLÉGIO ESTADUAL DE TEMPO INTEGRAL PROFESSORA NANCY DA ROCHA CARDOSO - DIST. DE SOARES"/>
            <filter val="COLÉGIO ESTADUAL DO CAMPO RITA DE OLIVEIRA BARAÚNA"/>
            <filter val="COLÉGIO ESTADUAL JORGE KHOURY - TEMPO INTEGRAL"/>
            <filter val="COLÉGIO ESTADUAL PIO ALVES DOS SANTOS - TEMPO INTEGRAL"/>
            <filter val="ANEXO - CEMIT - SERTAO DO SAO FRANCISCO - DISTRITO DE JIQUITAIA"/>
            <filter val="ANEXO - CEMIT DO VELHO CHICO - COMUNIDADE DE LAPINHA"/>
            <filter val="COLÉGIO ESTADUAL DE TEMPO INTEGRAL MARIA LUZIA COSTA DOS SANTOS"/>
            <filter val="ANEXO - COLÉGIO ESTADUAL ARNALDO DE OLIVEIRA - DISTRITO DE GONÇALO"/>
            <filter val="COLÉGIO ESTADUAL ALFREDO AGOSTINHO DE DEUS"/>
            <filter val="COLÉGIO INDIGENA PAJE ROQUE MOISES DA SILVA"/>
            <filter val="COLÉGIO ESTADUAL ALTAIR ALMEIDA MEIRA"/>
            <filter val="COLÉGIO ESTADUAL LAZÁRO DOS SANTOS FERREIRA - TEMPO INTEGRAL"/>
            <filter val="COLÉGIO ESTADUAL DE TEMPO INTEGRAL PROFESSORA MARIA TEREZA DE OLIVEIRA"/>
            <filter val="ANEXO - CENTRO EDUCACIONAL RENATO PEREIRA VIANA - DISTRITO CORONEL OTAVIANO ALVES"/>
            <filter val="COLÉGIO ESTADUAL DE TEMPO INTEGRAL DE FEIRA DE SANTANA&#10; (ANTIGO CE PAULO VI)"/>
            <filter val="ANEXO - CEMIT - VELHO CHICO-BARRA - DISTRITO DE BREJO DO SACO"/>
            <filter val="COLÉGIO ESTADUAL DE TEMPO INTEGRAL DE CAMACAN &#10;(ANTIGO POLIVALENTE)"/>
            <filter val="COLÉGIO ESTADUAL DE TEMPO INTEGRAL MONSENHOR LUIZ FERREIRA DE BRITO"/>
            <filter val="COLÉGIO ESTADUAL QUILOMBOLA LUIS JOSE DOS SANTOS - DISTRITO DE LAGE DOS NEGROS - TEMPO INTEGRAL"/>
            <filter val="ANEXO - COLÉGIO ESTADUAL QUILOMBOLA LUIS JOSÉ DOS SANTOS - POVOADO OLHOS D'ÁGUA DAS POMBAS"/>
            <filter val="CENTRO TERRITORIAL DE EDUCACAO PROFISSIONAL DE ITAPARICA"/>
            <filter val="COLÉGIO ESTADUAL DE TEMPO INTEGRAL PROFESSORA CARMELITA ÂNGELA SOUZA OLIVEIRA"/>
            <filter val="ANEXO - CENTRO REGIONAL DE ENSINO MEDIO COM INTERMEDIACAO TECNOLOGICA-CEMIT - DISTRITO DE CANATIBA"/>
            <filter val="ANEXO - COLEGIO ESTADUAL QUILOMBOLA DE SAO TOME - POVOADO DE LAGOA DA BARRA"/>
            <filter val="ANEXO - COLÉGIO ESTADUAL PROFESSORA HILDA MONTEIRO MENEZES - POVOADO DE ARARAS"/>
            <filter val="COLÉGIO ESTADUAL PAULO VI"/>
            <filter val="COLÉGIO DA POLÍCIA MILITAR CPM DIVA PORTELA"/>
            <filter val="CENTRO TERRITORIAL DE EDUCACAO PROFISSIONAL DA REGIAO METROPOLITANA"/>
            <filter val="COLÉGIO ESTADUAL ROMULO GALVÃO - TEMPO INTEGRAL"/>
            <filter val="ANEXO - COLÉGIO ESTADUAL DE BREJOLÂNDIA - DISTRITO DE MOMBACA"/>
            <filter val="ANEXO - COLÉGIO ESTADUAL TEIXEIRA DE FREITAS - DISTRITO DE MISSAO DO SAHY"/>
            <filter val="COLEGIO ESTADUAL DO CAMPO SACO DO CORREIO"/>
            <filter val="COLÉGIO ESTADUAL DE IBIRATAIA - TEMPO INTEGRAL"/>
            <filter val="CENTRO REGIONAL DE ENSINO MEDIO COM INTERMEDIACAO TECNOLOGICA - CEMIT BACIA DO RIO GRANDE"/>
            <filter val="ANEXO-CENTRO REGIONAL DE ENSINO MEDIO COM INTERMEDIACAO TECNOLOGICA-CEMIT-DISTRITO BARRA DE CIMA"/>
            <filter val="ANEXO - COLÉGIO ESTADUAL JESUS MOURA - POVOADO DE MONTE ALEGRE"/>
            <filter val="COLÉGIO ESTADUAL DO CAMPO DE&#10;TEMPO INTEGRAL DE IBIPITANGA"/>
            <filter val="COLÉGIO DA POLICIA MILITAR - CPM ERALDO TINOCO"/>
            <filter val="COLÉGIO ESTADUAL DE BARREIRINHAS"/>
            <filter val="COLÉGIO ESTADUAL DE TEMPO INTEGRAL DE VITÓRIA DA CONQUISTA (ANTIGO ABDIAS)"/>
            <filter val="COLÉGIO ESTADUAL DO CAMPO DE TEMPO INTEGRAL DE IBITITÁ"/>
            <filter val="COLÉGIO ESTADUAL DO CAMPO VINTE E CINCO DE JULHO - ASSENTAMENTO TRÊS IRMÃOS"/>
            <filter val="ANEXO -  CENTRO TERRITORIAL DE EDUCAÇÃO PROFISSIONAL EM TEMPO INTEGRAL - DISTRITO POCO DE FORA"/>
            <filter val="COLÉGIO ESTADUAL DE TEMPO INTEGRAL PROFESSORA ODONTINA LARANJEIRA DE SOUZA"/>
            <filter val="COLÉGIO ESTADUAL DE TEMPO INTEGRAL DE MALHADA"/>
            <filter val="COLÉGIO ESTADUAL ERALDO TINOCO - TEMPO INTEGRAL"/>
            <filter val="COLÉGIO ESTADUAL DE TEMPO INTEGRAL NOSSA SENHORA DA CONCEIÇÃO"/>
            <filter val="COLEGIO ESTADUAL DO CAMPO DE LAGOA DO DIONISIO - DISTRITO LAGOA DO DIONISIO"/>
            <filter val="COLÉGIO ESTADUAL DOUTOR FRANCISCO ROCHA FILHO - TEMPO INTEGRAL"/>
            <filter val="COLÉGIO ESTADUAL DE TEMPO INTEGRAL SERTÃO DA NATUBA DE NOVA SOURE"/>
            <filter val="ANEXO - COLÉGIO ESTADUAL TRANCOSO - POVOADO DE CARAÍVA"/>
            <filter val="COLÉGIO ESTADUAL DO CAMPO DE TEMPO INTEGRAL DE ANDORINHA"/>
            <filter val="ANEXO - COLÉGIO ESTADUAL PIO ALVES DOS SANTOS - DISTRITO DE VARZEAS"/>
            <filter val="COLÉGIO ESTADUAL DOUTOR JAIR SANTOS SILVA"/>
            <filter val="COLÉGIO ESTADUAL DE TEMPO INTEGRAL PROFESSORA FARAILDES SANTOS"/>
            <filter val="COLÉGIO ESTADUAL DO CAMPO DE PEDRA VERMELHA - POVOADO DE PEDRA VERMELHA"/>
            <filter val="ANEXO DO CEMIT EXTREMO SUL - DISTRITO DE POUSO ALEGRE"/>
            <filter val="COLÉGIO ESTADUAL DO CAMPO DE  TEMPO INTEGRAL CASTRO ALVES (ANTIGO POLIVALENTE)"/>
            <filter val="ANEXO - CEMIT - SISAL - POVOADO DE VERTENTE"/>
            <filter val="ANEXO- COLÉGIO ESTADUAL ROTARY CLUBE - DISTRITO DE CAMPO DOS CAVALOS"/>
            <filter val="COLÉGIO ESTADUAL DE TEMPO INTEGRAL PROFESSOR CLÓVIS ESEQUIEL DOS SANTOS"/>
            <filter val="COLÉGIO ESTADUAL DE TEMPO INTEGRAL JUSTINIANO DE CASTRO DOURADO"/>
            <filter val="COLEGIO ESTADUAL FREDERICO COSTA"/>
            <filter val="COLÉGIO ESTADUAL DE TEMPO INTEGRAL PROFESSOR EDGARD SANTOS"/>
            <filter val="COLÉGIO ESTADUAL DE TEMPO INTEGRAL DE CORDEIROS"/>
            <filter val="COLÉGIO ESTADUAL DE TEMPO INTEGRAL DE BOM JESUS DA SERRA"/>
            <filter val="ESCOLA FAMILIA AGRICOLA JOSE NUNES DA MATA - POVOADO DE COVAS"/>
            <filter val="ANEXO - COLÉGIO ESTADUAL DEPUTADO LUIS EDUARDO MAGALHAES - DISTRITO DE JACUIPE"/>
            <filter val="AREFASF - ESCOLA FAMILIA AGRICOLA DO SERTAO DO SAO FRANCISCO"/>
            <filter val="COLÉGIO ESTADUAL DE TEMPO INTEGRAL DE JEQUIÉ"/>
            <filter val="COLÉGIO ESTADUAL INDÍGENA ANANIAS VITORIANO"/>
            <filter val="COLÉGIO ESTADUAL EVERTON OLIVEIRA DE SANTANA - DISTRITO FAVELANDIA"/>
            <filter val="COLÉGIO ESTADUAL CASTRO ALVES"/>
            <filter val="COLÉGIO ESTADUAL DE TEMPO INTEGRAL ANTÔNIO BATISTA"/>
            <filter val="ANEXO - COLÉGIO ESTADUAL VIRGILIO PEREIRA DE ALMEIDA - POVOADO BAIXAO DE IPIUNA"/>
            <filter val="CENTRO TERRITORIAL DE EDUCACAO PROFISSIONAL DO SEMIARIDO NORDESTE II"/>
            <filter val="COLÉGIO ESTADUAL DO CAMPO DE JAGUARA - DISTRITO DE JAGUARA"/>
            <filter val="ANEXO DO CEMIT EXTREMO SUL - DISTRITO VILA SÃO JOSÉ"/>
            <filter val="COLÉGIO ESTADUAL DO CAMPO AGNALDO ALMEIDA - DISTRITO DE SANTANA DO SOBRADO - TEMPO INTEGRAL"/>
            <filter val="COLÉGIO ESTADUAL DE TEMPO INTEGRAL CORONEL HORÁCIO DE MATOS"/>
            <filter val="COLÉGIO ESTADUAL DO CAMPO PEDRO ATANASIO GARCIA - DISTRITO DE MANIACU -EM TEMPO INTEGRAL"/>
            <filter val="COLEGIO ESTADUAL DE TEMPO INTEGRAL SENHOR DO BONFIM"/>
            <filter val="ANEXO - CEMIT - BAIXO SUL - POVOADO DE ITIUBA"/>
            <filter val="CENTRO JUVENIL DE CIENCIA E CULTURA - CJCC BARREIRAS"/>
            <filter val="COLÉGIO ESTADUAL DE TEMPO INTEGRAL DOUTOR IVES ORLANDO LOPES DA SILVA"/>
            <filter val="ANEXO - COLÉGIO ESTADUAL PROFESSORA NADIR ARAUJO COPQUE - DISTRITO DE AREIAS"/>
            <filter val="COLÉGIO ESTADUAL 13 DE JUNHO - TEMPO INTEGRAL"/>
            <filter val="COMPLEXO INTEGRADO DE EDUCACAO BÁSICA, PROFISSIONAL E TECNOLÓGICA DA BAHIA - TEMPO INTEGRAL"/>
            <filter val="COLÉGIO ESTADUAL DE TEMPO INTEGRAL PROF AUREA DOS HUMILDES OLIVEIRA&#10;(ANTIGO C.E PROFESSORA ÁUREA DOS HUMILDES OLIVEIRA)"/>
            <filter val="COLEGIO ESTADUAL DO CAMPO DA CAATINGA DO MOURA DISTRITO CAATINGA DO MOURA"/>
            <filter val="ESCOLA FAMILIA AGRICOLA DE RIACHO DE SANTANA"/>
            <filter val="COLÉGIO ESTADUAL DE IBIQUERA"/>
            <filter val="ANEXO - CEMIT BACIA DO RIO GRANDE - POVOADO NOVA CALEMBE"/>
            <filter val="COLÉGIO ESTADUAL CARLOS SOUTO - TEMPO INTEGRAL"/>
            <filter val="COLEGIO ESTADUAL DE TEMPO INTEGRAL PROFESSORA HELENA BRITTO&#10; (ANTIGA UEE DR. RUY BACELAR)"/>
            <filter val="CENTRO JUVENIL DE CIENCIA E CULTURA - CJCC VITORIA DA CONQUISTA"/>
            <filter val="COLÉGIO ESTADUAL DO CAMPO HERMINIO MANOEL DE JESUS - DISTRITO DE BONFIM"/>
            <filter val="COLÉGIO ESTADUAL DO CAMPO DE TEMPO INTEGRAL DOM PEDRO I"/>
            <filter val="COLÉGIO ESTADUAL DE TEMPO INTEGRAL SETE DE SETEMBRO DE SENTO SÉ"/>
            <filter val="COLEGIO ESTADUAL INDIGENA DE TEMPO INTEGRAL CAPITAO FRANCISCO RODELAS &#10; -ALDEIA TUXÁ"/>
            <filter val="ANEXO -COLÉGIO EST. INDIGENA KIRIRI INDIO FELIZ - ALDEIA ARACAS"/>
            <filter val="COLÉGIO ESTADUAL DO CAMPO DE TEMPO INTEGRAL PROFESSORA MARIA FREIRE ANUNCIAÇÃO SILVA - DIST. DE LAGOA REDONDA"/>
            <filter val="CENTRO EST DE EDUC PROFISSIONAL EM INFORMATICA E GESTAO LOURDES CARVALHO NEVES BATISTA"/>
            <filter val="ANEXO - CEMIT LITORAL NORTE E AGRESTE BAIANO - POVOADO DE MONTE BELO"/>
            <filter val="COLÉGIO ESTADUAL DE TEMPO INTEGRAL ANTONIO GONCALVES &#10;(ANTIGO CE ARTUR OLIVEIRA DA SILVA)"/>
            <filter val="CENTRO ESTADUAL DE EDUCACAO PROFISSIONAL EM ALIMENTOS E RECURSOS NATURAIS PIO XII"/>
            <filter val="COLÉGIO ESTADUAL DE TEMPO INTEGRAL PROFESSOR PAULO JOSÉ DE OLIVEIRA&#10;(PRÓXIMO A PRAÇA DA JUVENTUDE)"/>
            <filter val="ANEXO - COLÉGIO ESTADUAL DE TEMPO INTEGRAL PROFESSORA MARLENE ALVES DOS SANTOS - DISTRITO BENTO SIMOES"/>
            <filter val="COLÉGIO ESTADUAL DO CAMPO JOÃO BAPTISTA CARNEIRO - DISTRITO DE IPUAÇU"/>
            <filter val="COLÉGIO ESTADUAL BRAZILINO VIEGAS"/>
            <filter val="COLÉGIO ESTADUAL DE TEMPO INTEGRAL MANDINHO DE SOUZA ALMEIDA"/>
            <filter val="ANEXO - COLÉGIO ESTADUAL MACHADO DE ASSIS - DISTRITO SANTO ANTÔNIO"/>
            <filter val="ANEXO - CEMIT - VELHO CHICO-BARRA - DISTRITO DE IGARITE - COMUNIDADE QUILOMBOLA"/>
            <filter val="ANEXO - CENTRO REGIONAL - CEMIT DO BAIXO SUL - DISTRITO DE GALEAO"/>
            <filter val="ANEXO - COLÉGIO ESTADUAL DE TEMPO INTEGRAL DE ITANHÉM  - DISTRITO SANTA RITA DO PLANALTO"/>
            <filter val="ANEXO - COLÉGIO ESTADUAL GENTIL PARAISO MARTINS - CONJ. PENAL DE VALENCA - SEDE"/>
            <filter val="ANEXO - CEMIT - VELHO CHICO - POVOADO DE CAMPINAS"/>
            <filter val="CENTRO TERRITORIAL DE EDUCAÇÃO PROFISSIONAL DE ARACI"/>
            <filter val="CENTRO JUVENIL DE CIÊNCIA E CULTURA - CJCC JEQUIÉ"/>
            <filter val="ANEXO - EFASE - COLÉGIO ESTADUAL DO CAMPO DE PEDRA VERMELHA - FAZENDA LAGOA DO PIMENTEL"/>
            <filter val="COLÉGIO ESTADUAL DE TEMPO INTEGRAL PEDRO FALCONERI RIOS"/>
            <filter val="ANEXO - COLÉGIO EST. ERALDO TINOCO - DIST. SITIO DO MEIO"/>
            <filter val="COLÉGIO ESTADUAL JOSÉ RIBEIRO DE ARAUJO"/>
            <filter val="COLÉGIO MODELO LUIS EDUARDO MAGALHÃES"/>
            <filter val="COLEGIO ESTADUAL DE TEMPO INTEGRAL ANISIO TEIXEIRA"/>
            <filter val="COLÉGIO ESTADUAL DO CAMPO DE TEMPO INTEGRAL DE CASCAVEL - DISTRITO DE CASCAVEL"/>
            <filter val="ANEXO - CEMIT SERTAO DO SAO FRANCISCO - FAZENDA BRANDAO"/>
            <filter val="ANEXO - COLÉGIO ESTADUAL INTEGRAÇÃO - DISTRITO DE IBIRANHÉM"/>
            <filter val="ANEXO - COLÉGIO ESTADUAL BALBINO MUNIZ BARRETO - POVOADO DE TRES BRACOS"/>
            <filter val="ANEXO - COLÉGIO ESTADUAL CÂNDIDO MEIRELES - DISTRITO DE GAMBOA"/>
            <filter val="ANEXO - CEMIT - VELHO CHICO - DISTRITO DE MOCAMBO BRANCO"/>
            <filter val="COLÉGIO ESTADUAL DE TEMPO INTEGRAL ANTÔNIO GONÇALVES"/>
            <filter val="COLÉGIO ESTADUAL DE TEMPO INTEGRAL IDALINA DA SILVA DOURADO"/>
            <filter val="COLÉGIO ESTADUAL DE TRANCOSO - DISTRITO DE TRANCOSO"/>
            <filter val="ANEXO - COLÉGIO ESTADUAL DE JUNCO - DISTRITO ITAITU"/>
            <filter val="ANEXO - CEMIT MÉDIO RIO DE CONTAS - DISTRITO DE PONTO NOVO"/>
            <filter val="COLÉGIO ESTADUAL SÃO VICENTE DE PAULO - TEMPO INTEGRAL"/>
            <filter val="CENTRO TERRITORIAL DE EDUCACAO PROFISSIONAL PIEMONTE DO PARAGUACU I"/>
            <filter val="COLÉGIO ESTADUAL DO CAMPO JOSEFINA GOMES DE ARAÚJO - DISTRITO DE IBÓ"/>
            <filter val="COLÉGIO ESTADUAL JOÃO BATISTA PEREIRA FRAGA"/>
            <filter val="COLÉGIO ESTADUAL DO CAMPO DE TEMPO INTEGRAL GEOVANE FERREIRA DE QUEIROZ - DISTRITO DE QUARACU"/>
            <filter val="CENTRO ESTADUAL DE EDUCAÇÃO PROFISSIONAL DE CANDEIAS&#10;(ANTIGO: POLIVALENTE DE CANDEIAS)"/>
            <filter val="COLÉGIO ESTADUAL ZULEIDE FREIRE DE ABREU"/>
            <filter val="ANEXO - CEMIT - SISAL - DISTRITO DE JOÃO VIEIRA"/>
            <filter val="COLÉGIO ESTADUAL DE TEMPO INTEGRAL MIMOSO DO OESTE"/>
            <filter val="COLÉGIO ESTADUAL DE TEMPO INTEGRAL JOSÉ CAIRES ARAÚJO (ANTIGO CE MANOEL FRANCISCO DE CAIRES)"/>
            <filter val="ANEXO - COLÉGIO EST ZULEIDE FREIRE DE ABREU - DISTRITO DE SAO JOSE"/>
            <filter val="COLÉGIO ESTADUAL DE BARROCAS"/>
            <filter val="ANEXO - COLÉGIO ESTADUAL SUZANA DE ARAÚJO BONFIM - FAZENDA GRANDE - COMUNIDADE QUILOMBOLA"/>
            <filter val="CENTRO REG DE ENS MEDIO COM INTERMEDIACAO TEC-CEMIT VELHO CHICO-BARRA"/>
            <filter val="ANEXO - CEMIT - CHAPADA DIAMANTINA - POVOADO DE CRUZLANDIA"/>
            <filter val="ANEXO - COLÉGIO ESTADUAL JESUS MOURA - POVOADO DE CAJUITA"/>
            <filter val="COLÉGIO ESTADUAL DE TEMPO INTEGRAL MARIA XAVIER DE ANDRADE REIS"/>
            <filter val="ANEXO - COLÉGIO ESTADUAL DE BREJOLÂNDIA - POVOADO DE MAMONAL"/>
            <filter val="ANEXO - CEMIT VELHO CHICO - POVOADO SÃO JOSÉ"/>
            <filter val="COLÉGIO ESTADUAL DE TEMPO INTEGRAL DE SERROLANDIA&#10;(ANTIGO C.E DE SERROLANDIA)"/>
            <filter val="COLÉGIO ESTADUAL FERNANDO PRESIDIO"/>
            <filter val="COLÉGIO ESTADUAL DO CAMPO OLAVO FERREIRA NETO - DISTRITO DE MANIÇOBA"/>
            <filter val="COLÉGIO ESTADUAL DE TEMPO INTEGRAL LUIZ NAVARRO DE BRITO"/>
            <filter val="ANEXO - COLÉGIO POLIVALENTE DE CARAVELAS- DISTRITO DE SANTO ANTÔNIO DE BARCELONA"/>
            <filter val="COLÉGIO ESTADUAL DE TEMPO INTEGRAL DE BARRA DE POJUCA"/>
            <filter val="CENTRO EDUCACIONAL CENECISTA DO CAMPO CÔNEGO CUPERTINO DE LACERDA - DISTRITO BONFIM DE FEIRA"/>
            <filter val="ANEXO - CEMIT LITORAL SUL - DISTRITO DE PIMENTEIRA"/>
            <filter val="ANEXO - CEMIT MEDIO RIO DE CONTAS - COMUNIDADE DO LAGOAO"/>
            <filter val="ANEXO - CEMIT- LITORAL SUL - DISTRITO DE POCO CENTRAL"/>
            <filter val="ANEXO - COLÉGIO ESTADUAL JUCA SENTO SÉ - POV. BREJO DE FORA"/>
            <filter val="ANEXO - CEMIT LITORAL NORTE E AGRESTE BAIANO - BAIXIO"/>
            <filter val="COLÉGIO ESTADUAL DE TEMPO INTEGRAL RUI BARBOSA &#10;(ANTIGO C.E RUI BARBOSA)"/>
            <filter val="COLÉGIO ESTADUAL DOUTOR ELIEL DA SILVA MARTINS"/>
            <filter val="ANEXO - CEMIT - IRECÊ - DISTRITO DE MATA DO MILHO - COMUNIDADE QUILOMBOLA"/>
            <filter val="COLÉGIO ESTADUAL JOAO BENEVIDES NOGUEIRA - EM TEMPO INTEGRAL"/>
            <filter val="ANEXO - CEMIT VITORIA DA CONQUISTA DISTRITO DE CERCADINHO"/>
            <filter val="CENTRO TERRITORIAL DE EDUCACAO PROFISSIONAL DO VELHO CHICO"/>
            <filter val="CENTRO ESTADUAL DE EDUCACAO PROFISSIONAL DO CAMPO PAULO FREIRE"/>
            <filter val="COLÉGIO ESTADUAL VALDELICE SOARES PINHEIRO - TEMPO INTEGRAL"/>
            <filter val="ANEXO - CEMIT - CHAPADA DIAMANTINA - DISTRITO DE TRIUNFO DO SINCORA"/>
            <filter val="CENTRO ESTADUAL DE EDUCAÇÃO PROFISSIONAL ÁUREO DE OLIVEIRA FILHO"/>
            <filter val="COLÉGIO POLIVALENTE DE CARAVELAS - TEMPO INTEGRAL"/>
            <filter val="COLÉGIO ESTADUAL DE TEMPO INTEGRAL MARIA DO ROSÁRIO COUTINHO SANTANA (ANTIGO - ANEXO AO COLÉGIO ESTADUAL LUIZ ROGERIO DE SOUZA - DIST DE TRAVESSÃO)"/>
            <filter val="ANEXO - COLÉGIO ESTADUAL SÃO SEBASTIÃO - DISTRITO DE MACETE"/>
            <filter val="COLÉGIO ESTADUAL CECILIO MATTOS"/>
            <filter val="ANEXO - CEMIT - SERTAO DO SAO FRANCISCO - POVOADO DE VOLTA DE CIMA"/>
            <filter val="ANEXO- CENTRO REGIONAL DE ENSINO MEDIO COM INTERMEDIACAO TECNOLOGICA-CEMIT- POVOADO SACO DO FOGO"/>
            <filter val="ANEXO - CEMIT - SERTAO DO SAO FRANCISCO - DISTRITO DE SAO BENTO"/>
            <filter val="COLÉGIO ESTADUAL JORGE AMADO"/>
            <filter val="ESCOLA FAMÍLIA AGRÍCOLA DE SOBRADINHO"/>
            <filter val="ANEXO - COLÉGIO ESTADUAL DO CAMPO ANDERSON FRANCA - ASSENTAMENTO BELA VISTA"/>
            <filter val="ANEXO DO CEMIT PIEMONTE NORTE DO ITAPICURU POVOADO DE BANANEIRAS-COMUNIDADE QUILOMBOLA"/>
            <filter val="COMPLEXO INTEGRADO DE EDUCAÇÃO BÁSICA, PROFISSIONAL E TECNOLÓGICA CHICO MENDES - TEMPO INTEGRAL"/>
            <filter val="CENTRO ESTADUAL DE EDUCACAO PROFISSIONAL PROF. PAULO BATISTA MACHADO"/>
            <filter val="COLÉGIO ESTADUAL DE TEMPO INTEGRAL DE LICÍNIO DE ALMEIDA (ANTIGO CE DUQUE DE CAXIAS)"/>
            <filter val="ANEXO - COLÉGIO ESTADUAL DO CAMPO DA CABECEIRA DA JIBOIA - DISTRITO CAPINAL"/>
            <filter val="ANEXO - CEMIT DO BAIXO SUL - DISTRITO DE SAO PAULINHO"/>
            <filter val="COLÉGIO ESTADUAL DE TEMPO INTEGRAL CECENTINO PEREIRA MAIA"/>
            <filter val="COLÉGIO DA POLICIA MILITAR - CPM ALFREDO VIANNA"/>
            <filter val="ANEXO - COLÉGIO ESTADUAL ANTONILIO DA FRANCA CARDOSO - DISTRITO NH3"/>
            <filter val="COLÉGIO ESTADUAL DE TEMPO INTEGRAL DE ARATU (ANTIGO POLIVALENTE)"/>
            <filter val="ESCOLA FAMILIA AGRICOLA DE BOQUIRA"/>
            <filter val="ANEXO - COLÉGIO ESTADUAL DE CRAVOLANDIA - DISTRITO ILHA FORMOSA"/>
            <filter val="COLÉGIO ESTADUAL DURVALINA CARNEIRO"/>
            <filter val="ANEXO - COLÉGIO ESTADUAL PROFESSORA ALMERINDA MEIRA DO CARMO - DISTRITO DE CATINGAL"/>
            <filter val="COLÉGIO ESTADUAL QUILOMBOLA DE TEMPO INTEGRAL BERNARDO BISPO DOS SANTOS - DIST. DE JIQUIRIÇÁ - COMUNIDADE QUILOMBOLA"/>
            <filter val="COLÉGIO ESTADUAL LUIZ VIANA FILHO"/>
            <filter val="ANEXO - CEMIT - VELHO CHICO-BARRA - DISTRITO DE BAIXAO DE ARCANJO"/>
            <filter val="ANEXO - CEMIT - SERTAO DO SAO FRANCISCO - POVOADO DE BAZUA"/>
            <filter val="COLÉGIO ESTADUAL DO CAMPO DE TEMPO INTEGRAL JOSÉ ANTÔNIO DE ALMEIDA"/>
            <filter val="CENTRO TERRITORIAL DE EDUCAÇÃO PROFISSIONAL DA BACIA DO JACUÍPE III-EDNA DALTRO - EM TEMPO INTEGRAL"/>
            <filter val="COLÉGIO ESTADUAL DE TEMPO INTEGRAL PROFESSORA CARMINDA MASCARENHAS VIEIRA (ANTIGO  GENERAL OSÓRIO)"/>
            <filter val="COLÉGIO ESTADUAL DE TEMPO INTEGRAL DE CRISTÓPOLIS"/>
            <filter val="ESCOLA FAMÍLIA AGRÍCOLA DE JABOTICABA"/>
            <filter val="COLÉGIO ESTADUAL DE TEMPO INTEGRAL LUCIANO PASSOS"/>
            <filter val="COLÉGIO ESTADUAL SUZANA DE ARAÚJO BONFIM"/>
            <filter val="COLÉGIO ESTADUAL DO CAMPO MAXIMINO MARTINS - DISTRITO DE SALOBRO"/>
            <filter val="ANEXO - COLÉGIO ESTADUAL PROFESSORA ALMERINDA MEIRA DO CARMO - POVOADO DO SALGADO"/>
            <filter val="ANEXO - COLÉGIO ESTADUAL DE TEMPO INTEGRAL JOSÉ MARCELO SILVEIRA MARIANI - DISTRITO DE TAGUA"/>
            <filter val="ANEXO - COLÉGIO ESTADUAL KLEBER PACHECO - CASE WANDERLINO NOGUEIRA NETO"/>
            <filter val="COLÉGIO ESTADUAL DE TEMPO INTEGRAL NEMÍSIA RIBEIRO DOS SANTOS"/>
            <filter val="COLÉGIO ESTADUAL NOSSA SENHORA DA CONCEIÇÃO"/>
            <filter val="ANEXO - CEMIT LITORAL NORTE E AGRESTE BAIANO - POVOADO DE VOLTA DE CIMA"/>
            <filter val="COLÉGIO ESTADUAL DO CAMPO DE TEMPO INTEGRAL PROFESSORA  MARIA TEREZA BRAGA CABRAL - DISTRITO DE PAU A PIQUE&#10;&#10;OBS.:  A nova unidade irá receber os estudantes do Antigo Anexo do CE de Casa Nova no distrito de Pau a Pique."/>
            <filter val="COLÉGIO ESTADUAL DO CAMPO DE ALGODÃO - DISTRITO DE ALGODÃO"/>
            <filter val="COLÉGIO ESTADUAL DO CAMPO PROFESSORA HILDA MONTEIRO MENEZES"/>
            <filter val="COMPLEXO INTEGRADO DE EDUCACAO BÁSICA, PROFISSIONAL E TECNÓLOGICA DE JEQUIÉ - EM TEMPO INTEGRAL"/>
            <filter val="CENTRO ESTADUAL DE EDUCAÇÃO PROFISSIONAL EM RECURSOS NATURAIS DO CENTRO BAIANO"/>
            <filter val="COLÉGIO ESTADUAL DE TEMPO INTEGRAL ALMAKAZIR GALLY GALVAO"/>
            <filter val="CENTRO JUVENIL DE CIÊNCIA E CULTURA - CJCC FEIRA DE SANTANA"/>
            <filter val="COLÉGIO ESTADUAL DE TEMPO INTEGRAL EURIDICE SANTANA"/>
            <filter val="ANEXO - COLÉGIO ESTADUAL DE TEMPO INTEGRAL DE BELMONTE - DISTRITO DE SANTA MARIA ETERNA"/>
            <filter val="ANEXO - COLÉGIO ESTADUAL DE TEMPO INTEGRAL EVANDRO BRANDAO - AGUAS TERMAIS DO PAULISTA"/>
            <filter val="ANEXO DO COLÉGIO ESTADUAL INDIGENA TUPINAMBÁ AMOTARA - ALDEIA KURUMIM"/>
            <filter val="COLÉGIO ESTADUAL DE TEMPO INTEGRAL PROFESSOR ERALDO TINOCO"/>
            <filter val="ANEXO - CEMIT LITORAL SUL - DISTRITO DE BANCO DA VITORIA"/>
            <filter val="ANEXO DO CEMIT EXTREMO SUL - DISTRITO CURVELO DA CONCEIÇÃO"/>
            <filter val="CENTRO REG. INT. TECNOLOGICA-CEMIT LITORAL NORTE E AGRESTE BAIANO"/>
            <filter val="COLÉGIO ESTADUAL DE TEMPO INTEGRAL ARTHUR VIEIRA DE OLIVEIRA"/>
            <filter val="ANEXO - CEMIT BACIA DO RIO GRANDE - DISTRITO DE REFORMA DO RIO GRANDE II"/>
            <filter val="ANEXO - CEMIT LITORAL NORTE E AGRESTE BAIANO - DISTRITO COQUEIRO"/>
            <filter val="CENTRO REGIONAL DE ENSINO MEDIO COM INTERMEDIACAO TECNOLOGICA-CEMIT BACIA DO PARAMIRIM"/>
            <filter val="COLÉGIO ESTADUAL ENEDINA OLIVA - TEMPO INTEGRAL"/>
            <filter val="ANEXO - CEMIT - BACIA DO RIO GRANDE - DISTRITO CURRAL NOVO"/>
            <filter val="ESCOLA ESTADUAL INDIGENA TUPINAMBA DE ABAETE"/>
            <filter val="COLÉGIO ESTADUAL DO CAMPO DE PEDRAS ALTAS"/>
            <filter val="COLÉGIO ESTADUAL DO CAMPO RIO BRANCO"/>
            <filter val="COLÉGIO ESTADUAL DO CAMPO DE TEMPO INTEGRAL SÃO&#10;SEBASTIÃO - DISTRITO DE ALGODÕES"/>
            <filter val="COLÉGIO DA POLÍCIA MILITAR - CPM ANÍSIO TEIXEIRA"/>
            <filter val="COLÉGIO ESTADUAL DO CAMPO DOUTOR ERALDO TINOCO - DISTRITO DE VERA CRUZ"/>
            <filter val="COLÉGIO ESTADUAL CLOVIS ADOLPHO STOLZE - TEMPO INTEGRAL"/>
            <filter val="COLÉGIO ESTADUAL ODORICO TAVARES"/>
            <filter val="COLÉGIO ESTADUAL DO CAMPO PROFESSOR DIDIMO MASCARENHAS RIOS - POVOADO DE CHAPADA"/>
            <filter val="COLÉGIO ESTADUAL INDIGENA SANTA RITA DE CASSIA - FAZ. GLORIA"/>
            <filter val="ANEXO -CEMIT SERTÃO DO SÃO FRANCISCO - POVOADO DE CAMPO LARGO"/>
            <filter val="ANEXO - CEMIT LITORAL NORTE E AGRESTE BAIANO - CACHOEIRA DO ITANHY"/>
            <filter val="ANEXO - CEMIT - SERTAO DO SAO FRANCISCO - DISTRITO DE ESTACADA"/>
            <filter val="ANEXO - COLÉGIO ESTADUAL BRAZILINO VIEGAS - DISTRITO BOA UNIAO - COMUNIDADE QUILOMBOLA"/>
            <filter val="COLÉGIO ESTADUAL DE TEMPO INTEGRAL EURIDES SANTANA"/>
            <filter val="ANEXO - CEMIT - IRECÊ - ASSENTAMENTO CALIFÓRNIA II"/>
            <filter val="COLÉGIO ESTADUAL HORACIO DE MATOS"/>
            <filter val="CENTRO REGIONAL DE ENSINO MEDIO COM INTERMEDIACAO TECNOLOGICA - CEMIT SISAL"/>
            <filter val="COLÉGIO ESTADUAL PROFESSOR CARLOS VALADARES"/>
            <filter val="COLÉGIO ESTADUAL DE TEMPO INTEGRAL JOSÉ DANTAS DE SOUZA"/>
            <filter val="COLÉGIO DA POLICIA MILITAR - CPM DENDEZEIROS"/>
            <filter val="ANEXO - COLÉGIO ESTADUAL DE TEMPO INTEGRAL SOFIA MASCARENHAS   - DISTRITO NOVA HOLANDA"/>
            <filter val="COLÉGIO ESTADUAL DE TEMPO INTEGRAL JOSÉ VICENTE LEAL"/>
            <filter val="COLÉGIO ESTADUAL DE BOQUIRA - EM TEMPO INTEGRAL"/>
            <filter val="ANEXO - CEMIT - SERTAO DO SAO FRANCISCO - POVOADO BAIXAOZINHO"/>
            <filter val="COLÉGIO ESTADUAL ANTONIO DOS SANTOS PAIM - DISTRITO OLIVEIRA DOS CAMPINHOS"/>
            <filter val="COLÉGIO ESTADUAL DE TEMPO INTEGRAL RIO CORRENTE"/>
            <filter val="COLÉGIO ESTADUAL DE TEMPO INTEGRAL LAURO FARANI PEDREIRA DE FREITAS"/>
            <filter val="CENTRO ESTADUAL DE EDUCAÇÃO PROFISSIONAL EM GESTÃO E TECNOLOGIA DA INFORMAÇÃO REGIS PACHECO"/>
            <filter val="COLÉGIO ESTADUAL DE TEMPO INTEGRAL PADRE FRANCISCO GONCALVES DE SOUZA&#10;(ANTIGO CE LEM)"/>
            <filter val="ANEXO - CEMIT - VELHO CHICO-BARRA - BAIXÃO DE APARECIDA"/>
            <filter val="COLÉGIO DA POLICIA MILITAR - CPM PROFESSOR CARLOS ROSA"/>
            <filter val="COLÉGIO ESTADUAL DE TEMPO INTEGRAL DEMOCRATICO QUITÉRIA MARIA DE JESUS"/>
            <filter val="ANEXO - CEMIT - SERTAO DO SAO FRANCISCO - POVOADO DE ESPINHEIRO"/>
            <filter val="COLÉGIO ESTADUAL DE TEMPO INTEGRAL ANTONÍLIO DA FRANÇA CARDOSO"/>
            <filter val="COLÉGIO ESTADUAL DO CAMPO JORGE CALMON - DISTRITO DE OLIVENCA - TEMPO INTEGRAL"/>
            <filter val="COLÉGIO ESTADUAL SAO SEBASTIAO - TEMPO INTEGRAL"/>
            <filter val="CENTRO ESTADUAL DE EDUCAÇÃO PROFISSIONAL EM GESTAO E NEGOCIOS DO NORTE BAIANO"/>
            <filter val="CENTRO TERRITORIAL DE EDUCACAO PROFISSIONAL ALMIR TEIXEIRA SANTOS"/>
            <filter val="ANEXO - CEMIT BACIA DO RIO GRANDE - DISTRITO NOVO PARANA"/>
            <filter val="COLÉGIO ESTADUAL ODÍLIO ALVES NETO - TEMPO INTEGRAL"/>
            <filter val="ANEXO - COLÉGIO ESTADUAL DE TEMPO INTEGRAL VELHO CHICO - AGROVILA 15"/>
            <filter val="COLÉGIO ESTADUAL PROFESSORA TECLA MELLO"/>
            <filter val="ANEXO - CEMIT - VELHO CHICO-BARRA - POVOADO DE BOA VISTA DO LAGAMAR"/>
            <filter val="ANEXO - CEMIT - VELHO CHICO - DISTRITO COMUNIDADE DO EXU - COMUNIDADE QUILOMBOLA"/>
            <filter val="ANEXO - CEMIT - VELHO CHICO - VILA IPUCABA"/>
            <filter val="COLÉGIO ESTADUAL MARTINHO SALLES BRASIL - TEMPO INTEGRAL"/>
            <filter val="ANEXO - CEMIT - IRECÊ - DISTRITO DE MILAGRES"/>
            <filter val="ANEXO - CEMIT - VELHO CHICO - DISTRITO DE ANGICO"/>
            <filter val="CASA FAMILIA RURAL DE PRESIDENTE TANCREDO NEVES - CFRPTN"/>
            <filter val="ANEXO - CEMIT - LITORAL SUL - DISTRITO DE SAMBAITUBA"/>
            <filter val="COLÉGIO ESTADUAL JOSE ARAUJO PEREIRA -TEMPO INTEGRAL"/>
            <filter val="COLÉGIO ESTADUAL ANANIAS CARLOS DO NASCIMENTO - DISTRITO RIACHO DE SECO"/>
            <filter val="CENTRO REGIONAL DE ENSINO MÉDIO COM INTERMEDIAÇÃO TECNOLÓGICA-CEMIT DA CHAPADA DIAMANTINA"/>
            <filter val="COLÉGIO ESTADUAL DE TEMPO INTEGRAL SÃO PEDRO"/>
            <filter val="COMPLEXO INTEGRADO DE EDUCAÇÃO BÁSICA TECNOLÓGICA E PROFISSIONAL DE VITÓRIA DA CONQUISTA"/>
            <filter val="ANEXO - COLÉGIO ESTADUAL APARÍCIO JOSE DA SILVA- DISTRITO MUCAMBINHO"/>
            <filter val="COLÉGIO ESTADUAL DO CAMPO ALCIDES AFONSO DE SOUZA"/>
            <filter val="COLÉGIO ESTADUAL DE TEMPO INTEGRAL PROFESSORA ADÉLIA MENDES"/>
            <filter val="CENTRO TERRITORIAL DE EDUCAÇÃO PROFISSIONAL DA CHAPADA DIAMANTINA - TEMPO INTEGRAL"/>
            <filter val="ANEXO - COLÉGIO ESTADUAL DE TEMPO INTEGRAL DE SERRINHA - PRESÍDIO - DISTRITO CARNAUBAS"/>
            <filter val="COLÉGIO ESTADUAL DE TEMPO INTEGRAL DE MATA DE SÃO JOÃO"/>
            <filter val="CASA FAMILIAR AGROFLORESTAL DO BAIXO SUL DA BAHIA - CFAFBS"/>
            <filter val="ANEXO DO COLÉGIO ESTADUAL AMERICO SIMAS - CONJUNTO PENAL"/>
            <filter val="COLÉGIO ESTADUAL DE TEMPO INTEGRAL MARIA NEVES CARNEIRO&#10;(ANTIGO ANEXO - BERILO VILAS BOAS - COLÉGIO EST - DIST. ITATIAIA)"/>
            <filter val="COLÉGIO ESTADUAL DE TEMPO INTEGRAL PROFESSORA ZENILDA FERNANDES DOS SANTOS FARIAS"/>
            <filter val="COLÉGIO ESTADUAL DOUTOR ANTONIO CARLOS MAGALHAES - DISTRITO DE PAU LAVRADO"/>
            <filter val="ANEXO - COLÉGIO ESTADUAL EDSON OLIVEIRA - DISTRITO DE ITATI"/>
            <filter val="ESCOLA ESTADUAL INDÍGENA NOSSA SENHORA DE LOURDES"/>
            <filter val="ANEXO - CENTRO REGIONAL DE ENSINO MEDIO COM INTERMEDIACAO TECNOLOGICA-CEMIT - DISTRITO DE VARZINHA"/>
            <filter val="ANEXO - COLÉGIO ESTADUAL JUTAHY MAGALHÃES - DISTRITO DE ABOBORA"/>
            <filter val="ANEXO - CEMIT - BACIA DO RIO GRANDE - DISTRITO DE ITIQUIRA"/>
            <filter val="CENTRO TERRITORIAL DE EDUCAÇÃO PROFISSIONAL DO RECONCAVO"/>
            <filter val="COLÉGIO ESTADUAL DE TEMPO INTEGRAL GILDA RAMOS DOS SANTOS"/>
            <filter val="COLÉGIO ESTADUAL DA ALDEIA INDIGENA CARAMURU PARAGUACU - TEMPO INTEGRAL"/>
            <filter val="COLÉGIO ESTADUAL DO CAMPO SIDNEY MASCARENHAS - DISTRITO DE JAVI"/>
            <filter val="COLÉGIO ESTADUAL DEMOCRATICO PROFESSOR ROMULO GALVAO - TEMPO INTEGRAL"/>
            <filter val="COLÉGIO ESTADUAL DE TEMPO INTEGRAL JOÃO PESSOA"/>
            <filter val="COLÉGIO ESTADUAL ITAN GUIMARÃES CERQUEIRA - POVOADO DE SANTA QUITÉRIA"/>
            <filter val="ESCOLA FAMILIA AGRICOLA DE ANTONIO GONCALVES"/>
            <filter val="ANEXO - COLÉGIO ESTADUAL ARY SILVA - DISTRITO DE PICOS"/>
            <filter val="ANEXO - CEMIT BACIA DO JACUIPE - POVOADO CORAÇÃO DE MARIA"/>
            <filter val="COLÉGIO ESTADUAL ROTARY CLUBE"/>
            <filter val="CENTRO ESTADUAL DE EDUCACAO PROFISSIONAL EM GESTAO E MEIO AMBIENTE"/>
            <filter val="COLÉGIO ESTADUAL DE TEMPO INTEGRAL DE TUCANO&#10; (ANTIGO C.E LUIS EDUARDO MAGALHÃES)"/>
            <filter val="ANEXO - COLEGIO ESTADUAL DE TEMPO INTEGRAL PROFESSORA MARIA EDITE VIEIRA GUSMAO - DISTRITO DE ÁGUA LIMPA"/>
            <filter val="COLÉGIO ESTADUAL ROTARY"/>
            <filter val="COLEGIO ESTADUAL DE TEMPO INTEGRAL MARIA CANDIDA DE CASTILHO FONTOURA"/>
            <filter val="ANEXO - CENTRO REGIONAL DE ENSINO MEDIO COM INTERMEDIACAO TECNOLOGICA-CEMIT - POVOADO DE VACA MORTA"/>
            <filter val="COLÉGIO ESTADUAL DE TEMPO INTEGRAL DE TANQUE NOVO"/>
            <filter val="ANEXO - COLÉGIO ESTADUAL JOSE AMERICO ARAUJO - DISTRITO DE COLONIA"/>
            <filter val="COLÉGIO ESTADUAL DO CAMPO VERONILDO MENDES PEREIRA - DISTRITO DE LAGOA CLARA"/>
            <filter val="COLÉGIO ESTADUAL DE ALAGOINHAS"/>
            <filter val="ANEXO - COLÉGIO ESTADUAL DE TEMPO INTEGRAL SOFIA MASCARENHAS  - POVOADO MANDARINO"/>
            <filter val="COLÉGIO ESTADUAL DE TEMPO INTEGRAL PROFESSOR ETEVALDO MARTINIANO DA ROCHA (ANTIGO - COLÉGIO ESTADUAL CAROLINA ALMEIDA LOPES)"/>
            <filter val="ANEXO - CEMIT - BACIA DO RIO GRANDE - DISTRITO REFORMA - VILA 02"/>
            <filter val="COLEGIO ESTADUAL DE TEMPO INTEGRAL SANTA CRUZ"/>
            <filter val="COLÉGIO ESTADUAL DE TEMPO INTEGRAL ANTÔNIO INÁCIO DE OLIVEIRA"/>
            <filter val="ANEXO DO CEMIT EXTREMO SUL - DISTRITO PIRAJI"/>
            <filter val="ANEXO - CEMIT - PIEMONTE NORTE DO ITAPICURU - DISTRITO DE SANTA ROSA DE LIMA"/>
            <filter val="ANEXO - CEMIT - CHAPADA DIAMANTINA -DISTRITO JOAO VAZ"/>
            <filter val="ANEXO - COLÉGIO ESTADUAL PROFESSOR EDGARD SANTOS - DISTRITO DE QUIXABEIRA"/>
            <filter val="ANEXO - CEMIT - BACIA DO RIO GRANDE - POVOADO DE CERRADAO"/>
            <filter val="COLÉGIO ESTADUAL DE TEMPO INTEGRAL EVA ROCHA (ANTIGO ACM)"/>
            <filter val="COLÉGIO ESTADUAL DE TEMPO INTEGRAL ANTÔNIO DA COSTA BRITO"/>
            <filter val="COLÉGIO ESTADUAL FILOMENA PEREIRA RODRIGUES - TEMPO INTEGRAL"/>
            <filter val="ANEXO- CEMIT BAIXO SUL- DISTRITO VALE DO JULIANA"/>
            <filter val="COLÉGIO ESTADUAL DE TEMPO INTEGRAL TIRADENTES"/>
            <filter val="ANEXO - CEMIT VITORIA DA CONQUISTA - DISTRITO DE BANDEIRA NOVA"/>
            <filter val="ANEXO - CEMIT - VELHO CHICO-BARRA - POVOADO DE MANGAS"/>
            <filter val="ANEXO-COMPLEXO INTEGRADO DE EDUCAÇÃO BASICA, PROFISSIONAL E TECNOLÓ- DISTRITO BREJINHO DAS AMETISTAS"/>
            <filter val="CENTRO TERRITORIAL DE EDUCACAO PROFISSIONAL DO SERTÃO DO SÃO FRANCISCO"/>
            <filter val="COLÉGIO ESTADUAL DO IGUAPE - TEMPO INTEGRAL"/>
            <filter val="COLÉGIO ESTADUAL DE TEMPO INTEGRAL DE CASA NOVA&#10;(Antigo COLÉGIO Antônio Honorato)"/>
            <filter val="COLÉGIO ESTADUAL DE TEMPO INTEGRAL JOAO VILAS BOAS"/>
            <filter val="ANEXO DO CEMIT EXTREMO SUL - DIST VILA MUTUM COMUNIDADE QUILOMBOLA"/>
            <filter val="COLÉGIO ESTADUAL DE TEMPO INTEGRAL PROFESSORA ADJACI MARTINS DURANS"/>
            <filter val="COLÉGIO ESTADUAL LOIDE ALCANTARA NEVES"/>
            <filter val="ANEXO - CEMIT - BAIXO SUL - DISTRITO DE PALMEIRA"/>
            <filter val="ANEXO - CEMIT- MÉDIO RIO DE CONTAS - DISTRITO DE CORREGO DE PEDRAS"/>
            <filter val="COLÉGIO ESTADUAL TEIXEIRA DE FREITAS - TEMPO INTEGRAL"/>
            <filter val="COLEGIO ESTADUAL DE TEMPO INTEGRAL PROFESSORA IRENE DE SOUZA ARAUJO"/>
            <filter val="ANEXO - CENTRO REGIONAL DE ENSINO MEDIO COM INTERMEDIACAO TECNOLOGICA-CEMIT - DISTRITO DE LAPINHA"/>
            <filter val="COLÉGIO ESTADUAL DO CAMPO DE TEMPO INTEGRAL JOÃO FRANCISCO DA SILVA - DISTRITO DE ROMULO CAMPOS"/>
            <filter val="ANEXO - COLÉGIO ESTADUAL DE TEMPO INTEGRAL DE ITAMBÉ - DISTRITO DE SAO JOSE DO COLONIA"/>
            <filter val="ANEXO - COLÉGIO ESTADUAL DE TEMPO INTEGRAL DE COCOS - COMUNIDADE INDIGENA DE PORCOS"/>
            <filter val="COLÉGIO ESTADUAL DE TEMPO INTEGRAL MADRINHA DODÔ - (ANTIGO CE LUIZ VIANA FILHO)"/>
            <filter val="ANEXO - COLÉGIO ESTADUAL DE TEMPO INTEGRAL DE MARACÁS IRACY MARLENE DA HORA PASSOS - POVOADO DE PORTO ALEGRE"/>
            <filter val="ANEXO - CEMIT BACIA DO JACUIPE - POVOADO CAIXA D'AGUA"/>
            <filter val="ESCOLA FAMILIA AGRICOLA DO LITORAL NORTE"/>
            <filter val="ANEXO - CEMIT - BACIA DO RIO GRANDE - POVOADO DE POCO DA JUREMA"/>
            <filter val="COLÉGIO MODELO LUIS EDUARDO MAGALHAES - TEMPO INTEGRAL"/>
            <filter val="ANEXO - CEMIT BAIXO SUL - DISTRITO ILHA GRANDE"/>
            <filter val="COLÉGIO ESTADUAL DO CAMPO PADRE HENRIQUE ALVES BORGES - DISTRITO DE HUMILDES"/>
            <filter val="ANEXO - COLÉGIO ESTADUAL DEMOCRÁTICO RUY BARBOSA DISTRITO DE CACHOEIRA DO MATO"/>
            <filter val="COLÉGIO ESTADUAL ANATIVO DO SACRAMENTO - DISTRITO MUCURI"/>
            <filter val="ANEXO - COLÉGIO ESTADUAL SÃO VICENTE DE PAULO - POVOADO DE SANTA RITA"/>
            <filter val="ANEXO - COLÉGIO ESTADUAL SAO GONCALO - DISTRITO DE TRAIRAS"/>
            <filter val="COLÉGIO ESTADUAL DE TEMPO INTEGRAL FRED GEDEON"/>
            <filter val="ANEXO - CEMIT DO VELHO CHICO - POVOADO DE MARREQUEIRO"/>
            <filter val="ANEXO - COLÉGIO ESTADUAL ROLANDO LARANJEIRA BARBOSA - DISTRITO DE MOCAMBO"/>
            <filter val="COLÉGIO ESTADUAL NOSSA SENHORA AUXILIADORA - TEMPO INTEGRAL"/>
            <filter val="COLÉGIO ESTADUAL JOSE FERREIRA DE OLIVEIRA - DISTRITO DE SALGADALIA"/>
            <filter val="ANEXO - COLÉGIO ESTADUAL DO CAMPO PROFESSORA HILDA MONTEIRO MENEZES - DIST. DE TIQUARA"/>
            <filter val="CENTRO TERRITORIAL DE EDUCAÇÃO PROFISSIONAL DE TEMPO INTEGRAL SANTO ANTÔNIO DAS QUEIMADAS"/>
            <filter val="COLÉGIO ESTADUAL HILDETE LOMANTO"/>
            <filter val="COLÉGIO ESTADUAL DE TEMPO INTEGRAL PROFESSORA ANA ANGÉLICA VERGNE DE MORAIS (ANTIGO - CE JOSÉ FERREIRA PINTO)"/>
            <filter val="COLÉGIO ESTADUAL ROLANDO LARANJEIRA BARBOSA"/>
            <filter val="ANEXO - COLÉGIO ESTADUAL DE TEMPO INTEGRAL DOUTOR JOSÉ CARLOS BEZERRA CARVALHO - POVOADO LAGOA PRETA (ANTIGO ANTAS DO RASO)"/>
            <filter val="ANEXO-CENTRO REGIONAL DE ENSINO MEDIO COM INTERMEDIACAO TECNOLOGICA-DISTRITO DE SANTA TEREZINHA"/>
            <filter val="ANEXO - CEMIT BACIA DO RIO GRANDE - POVOADO DE PEDRAS"/>
            <filter val="COLEGIO ESTADUAL DE TEMPO INTEGRAL DE AMARGOSA"/>
            <filter val="ANEXO - COLÉGIO ESTADUAL DE TEMPO INTEGRAL SÃO JOÃO DOS GERAIS -DISTRITO DE COLONIA DO FORMOSO"/>
            <filter val="ANEXO - CEMIT SERTAO DO SAO FRANCISCO - DISTRITO DE TIRIRICA"/>
            <filter val="COLÉGIO ESTADUAL DE TEMPO INTEGRAL DE UBATÃ"/>
            <filter val="COLÉGIO ESTADUAL DO CAMPO DE TEMPO INTEGRAL DE BOTUPORÃ &#10; (ANTIGO C.E LUIS EDUARDO MAGALHÃES)"/>
            <filter val="ANEXO - COLÉGIO ESTADUAL NORBERTO FERNANDES - DISTRITO DE VARZEA GRANDE"/>
            <filter val="COLÉGIO ESTADUAL DE TEMPO INTEGRAL DE BELMONTE"/>
            <filter val="ANEXO - COLÉGIO ESTADUAL DE TEMPO INTEGRAL IRMÃ OLIVEIRA - POVOADO DE SITIO"/>
            <filter val="ANEXO - CEMIT - BACIA DO RIO GRANDE - DISTRITO DE BELA VISTA"/>
            <filter val="COLEGIO ESTADUAL DO CAMPO DE SANTANA - POVOADO DE CAJUEIRO"/>
            <filter val="COLÉGIO ESTADUAL DE TEMPO INTEGRAL DE ARACATU&#10; (ANTIGO CE CORONEL CANDIDO SILVEIRA SANTOS)"/>
            <filter val="CENTRO ESTADUAL DE EDUCAÇÃO PROFISSIONAL 2 DE JULHO"/>
            <filter val="ANEXO - CEMIT CHAPADA DIAMANTINA- DISTRITO CABECEIRA DO BREJO- COMUNDADE QUILOMBOLA"/>
            <filter val="COLÉGIO ESTADUAL DO CAMPO ALOISIO DAMASCENO DE JESUS- ASSENTAMENTO BEIRA RIO"/>
            <filter val="COLÉGIO ESTADUAL DE TEMPO INTEGRAL PROFESSORA MARILENA SENA LOUREIRO"/>
            <filter val="ANEXO - CEMIT - LITORAL SUL - DISTRITO DE BANCO CENTRAL"/>
            <filter val="COLÉGIO ESTADUAL JESUS MOURA"/>
            <filter val="COLÉGIO ESTADUAL PROFESSORA NEIDE SOARES BORGES"/>
            <filter val="ANEXO - COLÉGIO ESTADUAL ARY SILVA - DISTRITO DE PEDRA SOLTA"/>
            <filter val="ANEXO - CEMIT- SERTAO DO SAO FRANCISCO - DISTRITO DE BARRO VERMELHO"/>
            <filter val="CENTRO JUVENIL DE CIÊNCIA E CULTURA - CJCC IRECÊ"/>
            <filter val="COLÉGIO ESTADUAL DE TEMPO INTEGRAL MARIA DAGMAR MIRANDA"/>
            <filter val="ANEXO - CEMIT - SERTAO DO SAO FRANCISCO - DISTRITO NOVA ESPERANCA"/>
            <filter val="COLÉGIO ESTADUAL DO CAMPO DE TEMPO INTEGRAL JOÃO MARQUES DA SILVA - DISTRITO DE VILA RODRIGUES"/>
            <filter val="COLÉGIO ESTADUAL MANOEL DE JESUS"/>
            <filter val="COLÉGIO ESTADUAL PROFESSOR FABIO ARARIPE GOULART - TEMPO INTEGRAL"/>
            <filter val="COLÉGIO ESTADUAL DE TEMPO INTEGRAL SOFIA MASCARENHAS"/>
            <filter val="COLÉGIO ESTADUAL DE TEMPO INTEGRAL LUIS NAVARRO DE BRITO"/>
            <filter val="ANEXO - COLÉGIO ESTADUAL INDÍGENA COROA VERMELHA - ALDEIA MATA MEDONHA"/>
            <filter val="ANEXO - COLÉGIO ESTADUAL DE TEMPO INTEGRAL ALBÉRCIO DA COSTA BRITO - POVOADO DE LARANJEIRAS"/>
            <filter val="COLEGIO ESTADUAL DE TEMPO INTEGRAL DE RIO DO ANTONIO"/>
            <filter val="COLÉGIO ESTADUAL DO CAMPO MARIA LÚCIA BARBOSA DA PAIXÃO"/>
            <filter val="ANEXO - COLÉGIO ESTADUAL DE TEMPO INTEGRAL SOFIA MASCARENHAS  - POVOADO LAGOA GRANDE"/>
            <filter val="ANEXO DO CEMIT EXTRMO SUL - DISTRITO VILA SALOMÃO"/>
            <filter val="ANEXO - CEMIT - VELHO CHICO - AGROVILA 05"/>
            <filter val="CENTRO REGIONAL DE ENSINO MÉDIO COM INTERMEDIAÇÃO TECNOLÓGICA MÉDIO RIO DE CONTAS"/>
            <filter val="ANEXO - CEMIT - VELHO CHICO - AGROVILA 03"/>
            <filter val="CENTRO TERRITORIAL DE EDUCAÇÃO PROFISSIONAL DO PORTAL DO SERTÃO - DISTRITO DE MARIA QUITÉRIA"/>
            <filter val="COLÉGIO ESTADUAL QUILOMBOLA DE TEMPO INTEGRAL DA BACIA DO IGUAPE - DISTRITO DE SANTIAGO DO IGUAPE"/>
            <filter val="ANEXO DO COLÉGIO ESTADUAL DOUTOR BERLINDO MAMEDE DE OLIVEIRA - COLONIA PENAL"/>
            <filter val="COLÉGIO ESTADUAL DO CAMPO FRANCISCO CASTRO LARANJEIRA"/>
            <filter val="COLÉGIO ESTADUAL CARLINA BARBOSA DE DEUS"/>
            <filter val="ANEXO - COLÉGIO ESTADUAL FLORESTAL - SERRA DO CAPA BODE"/>
            <filter val="COLÉGIO ESTADUAL QUILOMBOLA DE TEMPO INTEGRAL &#10;DISTRITO DE MATINHA"/>
            <filter val="CENTRO DE APOIO PEDAGÓGICO DE IPIAÚ - CAP"/>
            <filter val="COLÉGIO ESTADUAL DE TEMPO INTEGRAL MARIA DO SOCORRO PEREIRA DE MATOS - (ANTIGO CE FRANCISCO MOREIRA ALVES)"/>
            <filter val="ANEXO - CENTRO TERRITORIAL DE EDUCAÇÃO PROFISSIONAL PIEMONTE DO PARAGUAÇU II - POV. DE UMBUZEIRO"/>
            <filter val="ANEXO DO COLÉGIO ESTADUAL INDIGENA JOSE ZACARIAS - ALDEIA GADO VELHACO"/>
            <filter val="COLÉGIO ESTADUAL DE VALENTE"/>
            <filter val="CENTRO TERRITORIAL DE EDUCAÇÃO PROFISSIONAL RASO DA CATARINA"/>
            <filter val="ANEXO - COLÉGIO ESTADUAL CASTRO ALVES - DISTRITO OLHOS DAGUA DO SERAFIM"/>
            <filter val="ANEXO - COLEGIO ESTADUAL DE TEMPO INTEGRAL PAULO JOSE DE OLIVEIRA - DISTRITO DE PINHÕES"/>
            <filter val="COLÉGIO ESTADUAL DE TEMPO INTEGRAL GRANDES MESTRES BRASILEIROS"/>
            <filter val="COLÉGIO ESTADUAL DO CAMPO HAMILTON RIOS DE ARAÚJO - POVOADO DE SÃO JOÃO"/>
            <filter val="ANEXO - CEMIT - VELHO CHICO - AGROVILA 23"/>
            <filter val="ANEXO - COLÉGIO ESTADUAL MARIA QUITÉRIA - DISTRITO DE ITAJUBAQUARA"/>
            <filter val="ANEXO - CEMIT - BAIXO SUL - DISTRITO NOVA ESPERANCA"/>
            <filter val="ANEXO - CEMIT - VELHO CHICO - AGROVILA 21"/>
            <filter val="ANEXO - CEMIT BACIA DO RIO GRANDE - DISTRITO DE GOIABEIRA"/>
            <filter val="COLÉGIO ESTADUAL MONSENHOR TURIBIO VILANOVA - TEMPO INTEGRAL"/>
            <filter val="ANEXO - COLÉGIO ESTADUAL ROMULO GALVÃO - DISTRITO DE OUTEIRO REDONDO"/>
            <filter val="COLÉGIO ESTADUAL DO CAMPO DE AGUADA NOVA - DISTRITO DE AGUADA NOVA"/>
            <filter val="COLÉGIO ESTADUAL DE TEMPO INTEGRAL EDITH MACHADO BOAVENTURA"/>
            <filter val="ANEXO - CEMIT - CHAPADA DIAMANTINA - POVOADO DAS MERCES"/>
            <filter val="ANEXO - CEMIT - BACIA DO RIO GRANDE - DISTRITO DE LAJEDO"/>
            <filter val="COLÉGIO ESTADUAL DO CAMPO LEONCIO PEREIRA DOS SANTOS - POVOADO ESTEVAO"/>
            <filter val="COLÉGIO ESTADUAL BOANOVENSE - TEMPO INTEGRAL"/>
            <filter val="COLÉGIO ESTADUAL DE TEMPO INTEGRAL NOSSA SENHORA AUXILIADORA - DISTRITO DE ESTELA CAMARA"/>
            <filter val="ANEXO - COLÉGIO ESTADUAL DE TEMPO INTEGRAL DE CASA NOVA - DISTRITO DE OURICURI"/>
            <filter val="COLÉGIO ESTADUAL DE TEMPO INTEGRAL DE SANTANA"/>
            <filter val="ANEXO - CEMIT - SERTAO DO SAO FRANCISCO - POVOADO DE TOMBADOR DE CIMA"/>
            <filter val="ANEXO - CEMIT MÉDIO RIO DE CONTAS - DISTRITO DE PLANALTO IRIS"/>
            <filter val="ANEXO - COLÉGIO ESTADUAL INDÍGENA TANARA PATAXÓ PEQUI/GURITA - ALDEIA MUCUGÊ"/>
            <filter val="COLÉGIO ESTADUAL ANISIO HONORATO GODOY - TEMPO INTEGRAL"/>
            <filter val="ANEXO DO COLÉGIO ESTADUAL DE TEMPO INTEGRAL ALMAKAZIR GALLY GALVAO - DISTRITO DE ITAMOTINGA"/>
            <filter val="ANEXO - COLÉGIO ESTADUAL TEIXEIRA DE FREITAS - DIST. DE TIJUACU - COMUNIDADE QUILOMBOLA"/>
            <filter val="ANEXO - COLÉGIO ESTADUAL DE TEMPO INTEGRAL DE BELMONTE - DISTRITO DE BOCA DO CORREGO"/>
            <filter val="COLÉGIO ESTADUAL DE TEMPO INTEGRAL JOSÉ PALLES SOBRINHO"/>
            <filter val="COLÉGIO ESTADUAL JURACY MAGALHAES JUNIOR-DISTRITO DE CACHA PREGOS"/>
            <filter val="ANEXO DO COLÉGIO INDIGENA TUPINAMBA DE ACUIPE DE BAIXO - ALDEIA ACUIPE DO MEIO II"/>
            <filter val="COLÉGIO ESTADUAL DO CAMPO ANDERSON FRANÇA - ASSENTAMENTO JACI ROCHA - TEMPO INTEGRAL"/>
            <filter val="COLÉGIO ESTADUAL DE TEMPO INTEGRAL DE SANTA INES"/>
            <filter val="COLÉGIO ESTADUAL DE TEMPO INTEGRAL DE PLANALTO"/>
            <filter val="COLÉGIO ESTADUAL DE TEMPO INTEGRAL ANÍSIO TEIXEIRA&#10;(ANTIGO - CE NOSSA SENHORA DA CONCEIÇÃO)"/>
            <filter val="CENTRO TERRITORIAL DE EDUCAÇÃO PROFISSIONAL DO EXTREMO SUL"/>
            <filter val="ANEXO - CEMIT MÉDIO RIO DE CONTAS - DISTRITO DE NOVA ESPERANÇA"/>
            <filter val="COLÉGIO ESTADUAL ANISIO LOUREIRO - DISTRITO DE SÃO JOÃO DO PANELINHA"/>
            <filter val="COLÉGIO ESTADUAL DE TEMPO INTEGRAL JOSÉ MARCELO SILVEIRA MARIANI"/>
            <filter val="ANEXO - COLÉGIO ESTADUAL DOUTOR JUCA SENTO - DISTRITO DE PIRI"/>
            <filter val="COLÉGIO ESTADUAL DE TEMPO  INTEGRAL PROFESSORA ELISABETH CALAZANS ALVES DOS SANTOS&#10;(ANTIGO: COLÉGIO ESTADUAL DOUTOR LUIS VIANA FILHO)"/>
            <filter val="COLÉGIO ESTADUAL DE TEMPO INTEGRAL PROFESSORA ELIETE MALAQUIAS - ANTIGO LEM"/>
            <filter val="ANEXO - COLÉGIO ESTADUAL TRANCOSO - POVOADO DE ITAPORANGA"/>
            <filter val="COLÉGIO ESTADUAL SÃO SEBASTIÃO"/>
            <filter val="COLÉGIO ESTADUAL DE TEMPO INTEGRAL SÃO JOÃO DOS GERAIS"/>
            <filter val="ANEXO - COLÉGIO ESTADUAL DE TEMPO INTEGRAL ANTÔNIO GONÇALVES - DISTRITO NOVA BRASÍLIA"/>
            <filter val="ANEXO - COLÉGIO ESTADUAL DE TEMPO INTEGRAL DE COCOS - COMUNIDADE QUILOMBOLA DE CAJUEIRO"/>
            <filter val="COLÉGIO ESTADUAL PROFESSOR NEILTON LIMA MOREIRA"/>
            <filter val="CENTRO REGIONAL DE ENSINO MÉDIO COM INTERMEDIAÇÃO TECNOLÓGICA - CEMIT EXTREMO SUL"/>
            <filter val="COLÉGIO ESTADUAL DO CAMPO  DE TEMPO INTEGRAL DE CARNAÍBA - DISTRITO DE CARNAIBA"/>
            <filter val="ANEXO - CEMIT - PIEMONTE NORTE DO ITAPICURU - POVOADO DE CARAIBAS"/>
            <filter val="ANEXO - CEMIT - SERTAO DO SAO FRANCISCO - POVOADO DO CAJUI"/>
            <filter val="COLÉGIO ESTADUAL DE TEMPO INTEGRAL IMACULADA CONCEIÇÃO"/>
            <filter val="COLÉGIO ESTADUAL DE TEMPO INTEGRAL DE MAETINGA (ANITGO CE EDVALDO FLORES)"/>
            <filter val="COLÉGIO ESTADUAL DE JUNCO - DISTRITO DE JUNCO - EM TEMPO INTEGRAL"/>
            <filter val="CENTRO ESTADUAL DE EDUCACAO PROFISSIONAL DO CHOCOLATE NELSON SCHAUN"/>
            <filter val="COLEGIO ESTADUAL INDIGENA PATAXO BOCA DA MATA"/>
            <filter val="ANEXO - COLÉGIO ESTADUAL DE TEMPO INTEGRAL DOUTOR JOSÉ CARLOS BEZERRA CARVALHO - DISTRITO DE MARITA"/>
            <filter val="COLÉGIO ESTADUAL DE TEMPO INTEGRAL NORBERTO FERNANDES&#10;(ANTIGO C.E NORBERTO FERNANDES)"/>
            <filter val="CENTRO DE APOIO PEDAGOGICO ESPECIALIZADO - CAPE VALENÇA"/>
            <filter val="COLÉGIO ESTADUAL DE TEMPO INTEGRAL DE SÃO GONÇALO DOS CAMPOS"/>
            <filter val="ANEXO - COLÉGIO ESTADUAL DE TEMPO INTEGRAL EVANDRO BRANDAO - AGRESTE"/>
            <filter val="ANEXO - COLÉGIO ESTADUAL DE TEMPO INTEGRAL PROFESSORA MARIA DO SOCORRO GOMES BARBOSA - AGROVILA 18"/>
            <filter val="ANEXO - CEMIT - IRECÊ - DISTRITO DE CAPIM DURO"/>
            <filter val="ANEXO DO CEMIT EXTREMO SUL - DISTRITO VILA UNIÃO"/>
            <filter val="ANEXO - COLÉGIO ESTADUAL DE TEMPO INTEGRAL EVANDRO BRANDAO - PATOS"/>
            <filter val="COLÉGIO ESTADUAL DE TEMPO INTEGRAL DE MARAGOGIPE (ANTIGO - COLÉGIO ESTADUAL GERHARD MEYER SUERDIECK)"/>
            <filter val="COLÉGIO ESTADUAL DE TEMPO INTEGRAL PROFESSORA EDITE FERREIRA FONSECA"/>
            <filter val="COLÉGIO ESTADUAL DE TEMPO INTEGRAL DE ITAMIRA - DISTRITO DE ITAMIRA"/>
            <filter val="COLÉGIO ESTADUAL DO CAMPO ERALDO TINOCO - TEMPO INTEGRAL"/>
            <filter val="COLÉGIO ESTADUAL ANTONIO BALBINO - TEMPO INTEGRAL"/>
            <filter val="ANEXO - COLÉGIO ESTADUAL DE CAMPO DE ANDORINHA - DISTRITO DE VILA MEDRADO"/>
            <filter val="ANEXO AO COLEGIO ESTADUAL BOANOVENSE POVOADO DO PENACHINHO"/>
            <filter val="COLÉGIO ESTADUAL DE TEMPO INTEGRAL PROFESSORA HELENA SOUZA BISPO"/>
            <filter val="COLÉGIO ESTADUAL LOMANTO JUNIOR"/>
            <filter val="ESCOLA FAMILIA AGRICOLA DE TANQUE NOVO"/>
            <filter val="COLÉGIO ESTADUAL PAULO FREIRE&#10;(Antigo - Colégio Modelo Luis Eduardo Magalhães)"/>
            <filter val="COLÉGIO ESTADUAL DE TEMPO INTEGRAL PAULO AFONSO"/>
            <filter val="ANEXO - CEMIT - BAIXO SUL - BARRA DOS CARVALHOS"/>
            <filter val="ANEXO - COLÉGIO ESTADUAL DE TEMPO INTEGRAL ALBÉRCIO DA COSTA BRITO - DISTRITO DE TRANQUEIRAS"/>
            <filter val="ANEXO - CEMIT - CHAPADA DIAMANTINA - POVOADO DE LAGOA BONITA"/>
            <filter val="COLÉGIO ESTADUAL DO CAMPO NANCY DE CASTRO ESTAVES - DIST DE VILA DO CAFE"/>
            <filter val="ANEXO - COLÉGIO ESTADUAL DE TEMPO INTEGRAL SOFIA MASCARENHAS  - DISTRITO VILA BALUARTE"/>
            <filter val="ANEXO - CEMIT - BACIA DO RIO GRANDE - DISTRITO DE MALHADA GRANDE"/>
            <filter val="COLÉGIO ESTADUAL EUNICE JERÔNIMO DE OLIVEIRA - DISTRITO SÃO JOSÉ DE ALCOBAÇA"/>
            <filter val="CENTRO TERRITORIAL DE EDUCACAO PROFISSIONAL PIEMONTE DO PARAGUACU II"/>
            <filter val="ANEXO - COLÉGIO ESTADUAL ALBERICO GOMES SANTANA - POVOADO DE TIMBORINHA"/>
            <filter val="COLÉGIO ESTADUAL DO CAMPO DE TEMPO INTEGRAL CLEONICE OLEGÁRIO DOS SANTOS - NA AGROVILA 02 &#10;&#10;ATENDER DEMANDA DE ALUNOS DAS AGROVILAS 01, 03, 04 E CSB"/>
            <filter val="ANEXO - CEMIT - SISAL - DISTRITO RIBEIRA"/>
            <filter val="ANEXO - COLÉGIO ESTADUAL DE TEMPO INTEGRAL EVANDRO BRANDAO - CANABRAVA"/>
            <filter val="ESCOLA FAMILIA AGRICOLA DE ITIUBA"/>
            <filter val="CEMIT BACIA DO RIO CORRENTE"/>
            <filter val="CENTRO TERRITORIAL DE EDUCACAO PROFISSIONAL DO PIEMONTE N DO ITAPICURU - TEMPO INTEGRAL"/>
            <filter val="ESCOLA TECNICA FAMILIA AGRICOLA DIVINA PASTORA"/>
            <filter val="ANEXO - COLÉGIO ESTADUAL ARY SILVA - - DISTRITO DE ALTO DE SÃO GONCALO"/>
            <filter val="ANEXO - COLÉGIO ESTADUAL DEMOCRÁTICO RUY BARBOSA - DISTRITO DE DUQUE DE CAXIAS"/>
            <filter val="ANEXO - COLEGIO ESTADUAL DE TEMPO INTEGRAL PROFESSOR MAGALHAES NETO &#10; - DISTRITO SANTA CLARA"/>
            <filter val="COLÉGIO ESTADUAL DE TEMPO INTEGRAL PROFESSORA ANA MIRENA DA SILVA (ANTIGO CE NOSSA SENHORA DE FATIMA)"/>
            <filter val="ANEXO - COLÉGIO ESTADUAL ROLANDO LARANJEIRA BARBOSA - CURRAIS"/>
            <filter val="COLÉGIO ESTADUAL DESEMBARGADOR JULIO VIRGINIO DE SANTANA - TEMPO INTEGRAL"/>
            <filter val="COLÉGIO ESTADUAL DE ARATU"/>
            <filter val="COLÉGIO ESTADUAL DE TEMPO INTEGRAL DE ANAGÉ (ANTIGO - CE RENATO VIANA)"/>
            <filter val="COLÉGIO ESTADUAL DE TEMPO INTEGRAL JOSÉ AMÉRICO ARAÚJO"/>
            <filter val="COLÉGIO DA POLICIA MILITAR - CPM ANTONIO CARLOS MAGALHAES"/>
            <filter val="COLÉGIO ESTADUAL PROFESSORA AURIVALDINA JOAZEIRO"/>
            <filter val="ANEXO - CEMIT - SERTAO DO SAO FRANCISCO - DISTRITO DE CACIMBA DO BASILIO"/>
            <filter val="COLÉGIO ESTADUAL DE TEMPO INTEGRAL RICARDO CÂMARA DA SILVA"/>
            <filter val="ANEXO - CEMIT SERTAO DO SAO FRANCISCO - DISTRITO DE VOLTA DA SERRA"/>
            <filter val="ANEXO - COLÉGIO ESTADUAL ROLANDO LARANJEIRA BARBOSA - DISTRITO DE ACUDINA"/>
            <filter val="COLÉGIO ESTADUAL DE TEMPO INTEGRAL RUY JOSE DE ALMEIDA"/>
            <filter val="COLÉGIO ESTADUAL FRANCISCO SILVA PASSOS - DISTRITO CRUZEIRO DO SUL"/>
            <filter val="CENTRO DE APOIO PEDAGÓGICO ESPECIALIZADO DA CHAPADA DIAMANTINA"/>
            <filter val="COLÉGIO ESTADUAL DE TEMPO INTEGRAL CARNEIRO RIBEIRO"/>
            <filter val="COLÉGIO ESTADUAL DEPUTADO LUIS EDUARDO MAGALHAES"/>
            <filter val="COLÉGIO ESTADUAL DE TEMPO INTEGRAL DE ITAMBÉ &#10;(ANTIGO POLIVALENTE)"/>
            <filter val="COLÉGIO ESTADUAL DE TEMPO INTEGRAL DA CACHOEIRA"/>
            <filter val="ANEXO - CEMIT - PIEMONTE NORTE DO ITAPICURU - POVOADO DE LAGOA DO PORCO"/>
            <filter val="COLÉGIO ESTADUAL INDIGENA FLORENTINO DOMINGOS DE ANDRADE"/>
            <filter val="ANEXO - COLÉGIO ESTADUAL LUIZ NAVARRO DE BRITO - DISTRITO DE FLORESTAL"/>
            <filter val="ANEXO - CENTRO REGIONAL DE ENSINO MEDIO COM INTERMEDIACAO TECNOLOGICA-CEMIT - DISTRITO DE CURRALINHO"/>
            <filter val="CENTRO REGIONAL DE ENSINO MÉDIO COM INTERMEDIAÇÃO TECNOLÓGICA - CEMIT DE IRECÊ"/>
            <filter val="COLÉGIO ESTADUAL DE TEMPO INTEGRAL JOSE MALTA MAIA"/>
            <filter val="COLÉGIO ESTADUAL ARRAIAL D' AJUDA - CEAAL - DISTRITO ARRAIAL D' AJUDA"/>
            <filter val="COLÉGIO ESTADUAL DE TEMPO INTEGRAL SENHOR DO BONFIM"/>
            <filter val="ANEXO - CEMIT DE VIT.DA CONQUISTA - POVOADO DO SOSSEGO"/>
            <filter val="ANEXO - COLÉGIO ESTADUAL DE TEMPO INTEGRAL SOFIA MASCARENHAS - DISTRITO DE CASA VERDE"/>
            <filter val="COLÉGIO ESTADUAL INDIGENA KIRIRI INDIO FELIZ - ALDEIA CAJAZEIRA"/>
            <filter val="ANEXO DO COLÉGIO ESTADUAL INDIGENA TUPINAMBA DE OLIVENCA - ALDEIA TABA JARY"/>
            <filter val="ANEXO - CEMIT CHAPADA DIAMANTINA - DISTRITO BOTAFOGO- COMUNIDADE QUILOMBOLA"/>
            <filter val="CENTRO TERRITORIAL DE EDUCAÇÃO PROFISSIONAL DE IRECÊ"/>
            <filter val="ANEXO - COLÉGIO ESTADUAL LUIZ NAVARRO DE BRITO - DISTRITO DE ITAJURU"/>
            <filter val="ANEXO DO CEMIT EXTREMO SUL - DISTRITO DE PIRAJÁ"/>
            <filter val="ANEXO - CEMIT - IRECÊ - POVOADO FAZENDA ALMAS"/>
            <filter val="ANEXO - COLÉGIO ESTADUAL CARLOS SOUTO - DISTRITO ARAPIRANGA"/>
            <filter val="ANEXO - COLÉGIO POLIVALENTE DE CARAVELAS - DISTRITO JUERANA"/>
            <filter val="ANEXO - CEMIT - BACIA DO RIO GRANDE - DISTRITO DE MACAMBIRA"/>
            <filter val="ANEXO- COLÉGIO ESTADUAL DE TEMPO INTEGRAL AGOSTINHO MUNIZ  - CONJUNTO PENAL DE JUAZEIRO"/>
            <filter val="ANEXO - COLÉGIO ESTADUAL INTEGRACAO LAGOA DO PIRES- POVOADO SAO PAULO"/>
            <filter val="ANEXO - COLÉGIO ESTADUAL INTEGRAÇÃO - DISTRITO DE BELO CRUZEIRO"/>
            <filter val="COLÉGIO ESTADUAL JUIZ JORGE FARIAS GÓES - TEMPO INTEGRAL"/>
            <filter val="ANEXO - COLÉGIO ESTADUAL DE TEMPO INTEGRAL DE LICÍNIO DE ALMEIDA - POV DE JUREMA"/>
            <filter val="ANEXO - COLÉGIO ESTADUAL DE TEMPO INTEGRAL DE MUCUGÊ - DISTRITO DE JOAO CORREIA"/>
            <filter val="COLÉGIO ESTADUAL DOUTOR JAIRO AZZI - EM TEMPO INTEGRAL"/>
            <filter val="COLÉGIO ESTADUAL LUIS PRISCO VIANA"/>
            <filter val="COLÉGIO ESTADUAL DO CAMPO PROFESSORA LÚCIA MARIA BATISTA DA SILVA"/>
            <filter val="ANEXO DO COLÉGIO ESTADUAL DO IGUAPE - PRESÍDIO - SEDE - PENAL"/>
            <filter val="ANEXO - CEMIT - MÉDIO RIO DE CONTAS - DISTRITO DE POMBAS"/>
            <filter val="ANEXO - COLÉGIO ESTADUAL DO CAMPO ERASMO NOVAIS DOS SANTOS - DIST. DE BATE-PE"/>
            <filter val="ESCOLA FAMILIA AGRICOLA DE CORRENTINA"/>
            <filter val="ANEXO - CEMIT - BAIXO SUL - DISTRITO NOVO HORIZONTE"/>
            <filter val="ESCOLA FAMILIA AGRICOLA DE ANAGE"/>
            <filter val="COLÉGIO ESTADUAL DE TEMPO INTEGRAL PROFESSORA GERALDA MARIA CRISTINA BRITO (ANTIGO - COLÉGIO ESTADUAL JOHN KENNEDY)"/>
            <filter val="COLÉGIO ESTADUAL DO CAMPO MIGUEL MOREIRA DE CARVALHO - DIST RODA VELHA"/>
            <filter val="COLÉGIO ESTADUAL DE TEMPO INTEGRAL JACI FERREIRA DOS SANTOS"/>
            <filter val="COLÉGIO ESTADUAL DE TEMPO INTEGRAL GEOVANIA NOGUEIRA NUNES"/>
            <filter val="ANEXO - CEMIT - CHAPADA DIAMANTINA - DISTRITO BOM JESUS"/>
            <filter val="COLÉGIO ESTADUAL JOSE SA NUNES"/>
            <filter val="COLÉGIO ESTADUAL DE TEMPO INTEGRAL LUISA MAHIM"/>
            <filter val="COLÉGIO ESTADUAL DO CAMPO DE TEMPO INTEGRAL NECY NOVAES -  NO DISTRITO PEREIRA&#10;&#10;  (UNIFICAÇÃO COM O ANEXO DO DIST. PEREIRA)"/>
            <filter val="COLÉGIO ESTADUAL DE TEMPO INTEGRAL MANOEL JOSÉ DE ANDRADE"/>
            <filter val="COLÉGIO ESTADUAL DE TEMPO INTEGRAL MARIA JURANDI OLIVEIRA BARRÊTTO (ANTIGO - CE ERALDO TINOCO MELO)"/>
            <filter val="ANEXO - COLÉGIO ESTADUAL DE TEMPO INTEGRAL DE MALHADA - DISTRITO DE CANA BRAVA"/>
            <filter val="ANEXO - CEMIT - CHAPADA DIAMANTINA- DISTRITO DE ILHA GRANDE"/>
            <filter val="COLÉGIO ESTADUAL INDIGENA TUPINAMBA DE ACUIPE DE BAIXO"/>
            <filter val="ANEXO - CEMIT - CHAPADA DIAMANTINA - DISTRITO DE MATO GROSSO"/>
            <filter val="COLÉGIO ESTADUAL PADRE JOÃO MONTEZ"/>
            <filter val="COLÉGIO ESTADUAL DO CAMPO DA CABECEIRA DO RIO JIBÓIA - DISTRITO CABECEIRA DA JIBOIA"/>
            <filter val="COLÉGIO ESTADUAL DE TEMPO INTEGRAL GEORGINA DE MELO ERISMANN"/>
            <filter val="COLÉGIO ESTADUAL DE TEMPO INTEGRAL DE PALMEIRAS&#10;(ANTIGO:PROFESSORA NILDE MARIA MONTEIRO XAVIER)"/>
            <filter val="COLÉGIO ESTADUAL DE TEMPO INTEGRAL SÃO FRANCISCO"/>
            <filter val="COLÉGIO ESTADUAL INDIGENA TUPINAMBA DE OLIVENCA"/>
            <filter val="COLÉGIO ESTADUAL DE TEMPO INTEGRAL VILA SÃO JOAQUIM"/>
            <filter val="ANEXO - CENTRO REGIONAL DE ENSINO MEDIO COM INTERMEDIACAO TECNOLOGICA-CEMIT - DISTRITO DE JUREMA"/>
            <filter val="ANEXO - CENTRO REGIONAL DE ENSINO MEDIO COM INTERMEDIACAO TECNOLOGICA POVOADO CASTANHAO - COMUNIDADE QUILOMBOLA"/>
            <filter val="COLÉGIO ESTADUAL DE TEMPO INTEGRAL JUTAHY MAGALHÃES"/>
            <filter val="ANEXO - CENTRO TERRITORIAL DE EDUCACAO PROFISSIONAL DE MEDEIROS NETO - DISTRITO NOVA LÍDICE"/>
            <filter val="ANEXO DO CEMIT EXTREMO SUL - DISTRITO DE ARGOLO"/>
            <filter val="ANEXO - CEMIT BACIA DO JACUIPE - POVOADO MALHADOR"/>
            <filter val="ANEXO - CENTRO REGIONAL DE ENSINO MEDIO COM INTERMEDIACAO TECNOLOGICA - DISTRITO DE ALVINOPOLIS"/>
            <filter val="COLÉGIO ESTADUAL DO CAMPO DE TEMPO INTEGRAL GENIVALDO DE ALMEIDA BRANDÃO"/>
            <filter val="ANEXO - CEMIT - IRECE - POVOADO MUNDINHO"/>
            <filter val="CENTRO TERRITORIAL DE EDUCACAO PROFISSIONAL DA COSTA DO DESCOBRIMENTO"/>
            <filter val="ETFAP - ESCOLA TÉCNICA FAMÍLIA AGRÍCOLA A PARTILHA"/>
            <filter val="COLÉGIO ESTADUAL DE TEMPO INTEGRAL PROFESSORA ROSÁLIA PEREIRA DA ROCHA"/>
            <filter val="COLÉGIO ESTADUAL PROFESSOR IVARDO PEREIRA BASTOS - DISTRITO DE CARIPARE"/>
            <filter val="ANEXO-COLÉGIO ESTADUAL LUIZ NAVARRO DE BRITO - PRESIDIO PENAL FAZENDA SITIO PANGOLANDIA"/>
            <filter val="COLÉGIO ESTADUAL DE TEMPO INTEGRAL CORDEIRO DE MIRANDA"/>
            <filter val="ANEXO- COLÉGIO EST INDIGENA COROA VERMELHA - ALDEIA DE GUAXUMA"/>
            <filter val="ANEXO - CEMIT VITORIA DA CONQUISTA - DISTRITO DE CACHOEIRA"/>
            <filter val="COLÉGIO ESTADUAL DE TEMPO INTEGRAL DE BRUMADO"/>
            <filter val="COLÉGIO ESTADUAL DE TEMPO INTEGRAL ALBERTO SILVA"/>
            <filter val="COLEGIO ESTADUAL DE TEMPO INTEGRAL PROFESSORA MARIA EDITE VIEIRA GUSMAO"/>
            <filter val="COLÉGIO ESTADUAL DE TEMPO INTEGRAL ARTUR OLIVEIRA DA SILVA"/>
            <filter val="COLÉGIO ESTADUAL DE TEMPO INTEGRAL DOUTOR VASCO FILHO"/>
            <filter val="ANEXO - CEMIT - SISAL - DISTRITO DE RECANTO"/>
            <filter val="ANEXO - COLÉGIO ESTADUAL EDVALDO FLORES - DISTRITO DE PORTO NOVO"/>
            <filter val="ANEXO - COLÉGIO ESTADUAL FLORESTAL - POVOADO DE ENDIRETOR"/>
            <filter val="ANEXO-COL EST DE T. INTEG EDIVALDO MACHADO BOAVENTURA-DIST DE CANARINA"/>
            <filter val="COMPLEXO INTEGRADO DE EDUCAÇÃO BÁSICA, PROFISSIONAL E TECNOLÓGICA - CIEBTEC - TEMPO INTEGRAL"/>
            <filter val="COLÉGIO ESTADUAL JOSEFA SOARES DE OLIVEIRA"/>
            <filter val="ANEXO - CEMIT - IRECÊ - POVOADO CALDEIRÃO DO JACO"/>
            <filter val="ESCOLA COMUNITARIA FAMILIA AGRICOLA DE RIBEIRA DO POMBAL"/>
            <filter val="COLEGIO ESTADUAL DE TEMPO INTEGRAL ANTONIO FELIPE EVANGELISTA NETO"/>
            <filter val="ANEXO - COLÉGIO ESTADUAL DO CAMPO LUCIA ROCHA MACEDO - ASSENTAMENTO LAGOA DO CALDEIRAO"/>
            <filter val="CENT REG DE ENS MED COM INTER TECNO. DO LIT. SUL - CEMIT LITORAL SUL"/>
            <filter val="COLÉGIO ESTADUAL DO CAMPO DE TEMPO INTEGRAL DE MIROROS"/>
            <filter val="ANEXO AO COL EST DE TEMPO INTEGRAL DE AIQUARA DISTRITO DE PALMEIRINHA"/>
            <filter val="ANEXO - CEMIT- SERTAO DO SAO FRANCISCO - DISTRITO DE VILA APARECIDA"/>
            <filter val="INSTITUTO DE EDUCACAO DE TEMPO INTEGRAL GASTAO GUIMARAES"/>
            <filter val="COLÉGIO ESTADUAL DO CAMPO MARIA QUITÉRIA- DISTRITO DE MARIA QUITÉRIA"/>
            <filter val="COLÉGIO ESTADUAL DE TEMPO INTEGRAL DE PORTÃO (ANTIGO CE KLEBER PACHECO DE OLIVEIRA)"/>
            <filter val="ANEXO DO CENTRO ESTADUAL DE EDUCAÇÃO PROFISSIONAL DA COSTA DO DENDÊ-DISTRITO DE SERRA GRANDE"/>
            <filter val="ANEXO - COLÉGIO ESTADUAL DE TEMPO INTEGRAL TIRADENTES - POVOADO QUEIMADA NOVA"/>
            <filter val="ANEXO - COLÉGIO ESTADUAL VINTE E CINCO DE JULHO - ASSENTAMENTO PROJETO 4045"/>
            <filter val="COLÉGIO ESTADUAL DE TEMPO INTEGRAL PROFESSOR CARLOS ROBERTO ARLEO BARBOSA&#10;(ANTIGO C.E PAULO AMÉRICO DE OLIVEIRA)"/>
            <filter val="COLÉGIO ESTADUAL DE TEMPO INTEGRAL PROFESSORA NINALVA MARIA PARAIZO SILVA"/>
            <filter val="ANEXO - COLÉGIO ESTADUAL DE PARAMIRIM - DISTRITO DE CARAIBAS"/>
            <filter val="COLÉGIO ESTADUAL DE TEMPO INTEGRAL ARISTIDES  CEDRAZ DE OLIVEIRA"/>
            <filter val="ANEXO - COLÉGIO PROFESSORA NILDE MARIA MONTEIRO XAVIER - DISTRITO DE CAETEACU"/>
            <filter val="COLÉGIO ESTADUAL LUIS CABRAL"/>
            <filter val="COLÉGIO ESTADUAL DE TEMPO INTEGRAL DE SOUTO SOARES"/>
            <filter val="ANEXO - COLÉGIO ESTADUAL DE TEMPO INTEGRAL PAULO FREIRE - DISTRITO AGUA DOCE"/>
            <filter val="COLÉGIO ESTADUAL ANA LUCIA MAGALHAES"/>
            <filter val="COLÉGIO ESTADUAL SENADOR LUIZ VIANA FILHO - TEMPO INTEGRAL"/>
            <filter val="ANEXO - CEMIT IRECÊ - DISTRITO FEIRA NOVA"/>
            <filter val="COLÉGIO ESTADUAL DOUTOR BERLINDO MAMEDE DE OLIVEIRA"/>
            <filter val="COLÉGIO ESTADUAL DE TEMPO INTEGRAL JOSÉ LEITÃO"/>
            <filter val="ANEXO - COLÉGIO ESTADUAL INDÍGENA KIJETXAWE ZABELÊ - ALDEIA KAI"/>
            <filter val="COLÉGIO ESTADUAL BADEN POWELL"/>
            <filter val="ANEXO - CEMIT - IRECÊ - DISTRITO DE BELO CAMPO"/>
            <filter val="ANEXO - COLÉGIO ESTADUAL INDÍGENA KIJETXAWE ZABELÊ - ALDEIA DOIS IRMÃOS"/>
            <filter val="ANEXO - COLÉGIO ESTADUAL CECILIO MATTOS - BAIRRO DE ITABERABA"/>
            <filter val="ANEXO - COLÉGIO ESTADUAL ALBERICO GOMES SANTANA - DISTRITO DE GEOLANDIA"/>
            <filter val="ANEXO - CEMIT BACIA DO JACUIPE - POVOADO DE BONFIM"/>
            <filter val="ANEXO - COLÉGIO ESTADUAL DE TEMPO INTEGRAL SENHOR DO BONFIM - DISTRITO DE QUICE"/>
            <filter val="ANEXO - COLEGIO ESTADUAL DO CAMPO FILINTO JUSTINIANO BASTOS - POVOADO VÃO DAS PALMEIRAS"/>
            <filter val="ESCOLA ESTADUAL INDIGENA JOSE MARTINS - POV.BREJO DO BURGO"/>
            <filter val="ANEXO - CENTRO TERRITORIAL DE EDUCAÇÃO PROFISSIONAL RASO DA CATARINA - POV. DE LAGOA DO INACIO"/>
            <filter val="COLEGIO ESTADUAL DO CAMPO DE TEMPO INTEGRAL PROFESSORA ELISABETH MARIA COUTO"/>
            <filter val="COLÉGIO ESTADUAL DE TEMPO INTEGRAL DARCI MARQUES DOS SANTOS&#10;(ANTIGO: COLÉGIO MODELO LUIS EDUARDO MAGALHÃES)"/>
            <filter val="ANEXO - CEMIT - MÉDIO RIO DE CONTAS - DISTRITO DE TAPIRAGI"/>
            <filter val="COLÉGIO ESTADUAL AMERICO SIMAS"/>
            <filter val="CENTRO DE APOIO PEDAGOGICO ESPECIALIZADO - CAPE JUAZEIRO"/>
            <filter val="CENTRO ESTADUAL DE EDUCAÇÃO PROFISSIONAL PROFESSORA OLGARINA PITANGUEIRA PINHEIRO"/>
            <filter val="COLÉGIO ESTADUAL HERMANO GOUVEIA NETO"/>
            <filter val="ANEXO - COLÉGIO ESTADUAL POLIVALENTE DE CANDEIAS - DIST. DE PASSE"/>
            <filter val="ANEXO - CEMIT - SERTAO DO SAO FRANCISCO - DISTRITO DE BENDEGO"/>
            <filter val="COLÉGIO ESTADUAL PROFESSOR CARLOS SANTANA - TEMPO INTEGRAL"/>
            <filter val="COLÉGIO ESTADUAL ANDRELINA EUFRAZIA DE JESUS REIS - DISTRITO DE ITAMARATI"/>
            <filter val="ANEXO AO COLEGIO ESTADUAL DE TEMPO INTEGRAL SENHOR DO BONFIM SEDE"/>
            <filter val="COLÉGIO ESTADUAL DO CAMPO CLEMENTE MARIANI"/>
            <filter val="COLÉGIO ESTADUAL TERRA NOVA"/>
            <filter val="ANEXO - COLÉGIO ESTADUAL DE TEMPO INTEGRAL IRMÃ OLIVEIRA - POVOADO DE SÃO FRANCISCO"/>
            <filter val="CENTRO ESTADUAL DE EDUCACÃO PROFISSIONAL EM TURISMO DO LESTE BAIANO"/>
            <filter val="ESCOLA FAMILIA AGRICOLA PADRE LUIS LINTNER"/>
            <filter val="ANEXO - CEMIT - IRECÊ- DISTRITO DE IBITUNANE"/>
            <filter val="COLEGIO ESTADUAL DO CAMPO DE GAMELEIRA"/>
            <filter val="ANEXO - CENTRO TERRITORIAL DE EDUCAÇÃO PROFISSIONAL DE MEDEIROS NETO - DISTRITO ITUPEVA"/>
            <filter val="COLÉGIO ESTADUAL CONEGO FIRMINO SOARES"/>
            <filter val="COLÉGIO ESTADUAL DE TEMPO INTEGRAL CONCEIÇÃO DO JACUIPE"/>
            <filter val="ANEXO - COLÉGIO ESTADUAL CECILIO MATTOS - DISTRITO PROJETO MANDACARU"/>
            <filter val="COLEGIO ESTADUAL DE TEMPO INTEGRAL PROFESSORA CELIA SANTOS ANDRADE (ANTIGO GENERAL SAMPAIO)"/>
            <filter val="ANEXO - COLÉGIO ESTADUAL DE TEMPO INTEGRAL DE CASA NOVA - DISTRITO DE LAGOA DO ALEGRE"/>
            <filter val="COLÉGIO ESTADUAL DE TEMPO INTEGRAL DOM CLIMERIO ALMEIDA DE ANDRADE,"/>
            <filter val="COLÉGIO ESTADUAL DE TEMPO INTEGRAL CAMILLO DE JESUS LIMA"/>
            <filter val="COLÉGIO ESTADUAL DE TEMPO INTEGRAL DE BONITO"/>
            <filter val="ANEXO AO COL. EST. INDIGENA FLORENTINO DOMINGOS DE ANDRADE - ALDEIA BAIXA DA CANGALHA"/>
            <filter val="COLÉGIO ESTADUAL ANTONIO MOTA BITTENCOURT - TEMPO INTEGRAL"/>
            <filter val="ANEXO - COLÉGIO ESTADUAL JOSE ARAUJO PEREIRA - DISTRITO NOVA PALMA"/>
            <filter val="ANEXO - NAIR LOPES JENKINS - COLÉGIO ESTADUAL - DISTRITO DE COCAO"/>
            <filter val="COLÉGIO ESTADUAL DE TEMPO INTEGRAL EUDOXIA MARIA"/>
            <filter val="ANEXO - CEMIT - BACIA DO RIO GRANDE - POVOADO DE BAIXAO DE PANELA"/>
            <filter val="ANEXO - COLÉGIO DEMOCRATICO ESTADUAL ANISIO TEIXEIRA - DISTRITO DE ITAIMBE"/>
            <filter val="COLÉGIO ESTADUAL DE TEMPO INTEGRAL PETRONILIO DA SILVA PRADO"/>
            <filter val="ANEXO - COLEGIO ESTADUAL DE TEMPO INTEGRAL CLEONICE OLEGARIO DOS SANTOS - AGROVILA 20"/>
            <filter val="ANEXO - CEMIT - SISAL - DISTRITO DE VALILANDIA"/>
            <filter val="ANEXO - CEMIT - BACIA DO RIO GRANDE - DISTRITO DE MORRINHOS"/>
            <filter val="COLÉGIO ESTADUAL DE TEMPO INTEGRAL ROBERTO SANTOS&#10;(ANTIGO DR ROBERTO SANTOS)"/>
            <filter val="COLEGIO ESTADUAL DE TEMPO INTEGRAL DEOCLECIANO BARBOSA DE CASTRO"/>
            <filter val="ANEXO - COLEGIO ESTADUAL DE TEMPO INTEGRAL CLEONICE OLEGARIO DOS SANTOS - AGROVILA 18"/>
            <filter val="ANEXO - COLÉGIO ESTADUAL SÃO VICENTE DE PAULO - DISTRITO ILHA DA CANABRAVA"/>
            <filter val="ANEXO - CEMIT VELHO CHICO - DISTRITO DE PARATECA - COMUNIDADE QUILOMBOLA"/>
            <filter val="ANEXO - CEMIT - SERTAO DO SAO FRANCISCO - DISTRITO DE RETIRO DE CIMA"/>
            <filter val="COLÉGIO ESTADUAL DE TEMPO INTEGRAL PROFESSORA DÁRIA DOURADO LOPES (ANTIGO - CE LUIZ VIANA FILHO)"/>
            <filter val="COLÉGIO ESTADUAL INDÍGENA TUPINAMBÁ DE TEMPO INTEGRAL SERRA DO PADEIRO"/>
            <filter val="ANEXO - CEMIT - SERTAO DO SAO FRANCISCO - DISTRITO DE PEIXE"/>
            <filter val="CENTRO EDUCACIONAL RENATO PEREIRA VIANA"/>
            <filter val="COLÉGIO ESTADUAL DE TEMPO INTEGRAL DE MULUNGU DO MORRO"/>
            <filter val="CENTRO DE APOIO PEDAGOGICO ESPECIALIZADO - CAPE AMARGOSA"/>
            <filter val="CENTRO DE APOIO PEDAGÓGICO ESPECIALIZADO - GRAPIÚNA"/>
            <filter val="COLÉGIO ESTADUAL DO CAMPO SANTO ANTONIO DO ARGOIM - DISTRITO DE ARGOIM"/>
            <filter val="COLÉGIO ESTADUAL DO CAMPO DACILDA RIOS DE OLIVEIRA - DISTRITO DE BARREIROS"/>
            <filter val="ANEXO DO CEMIT EXTREMO SUL - POVOADO DE SÃO JOÃO DA PRATA"/>
            <filter val="COLÉGIO ESTADUAL DE TEMPO INTEGRAL SOROR JOANA ANGÉLICA"/>
            <filter val="ANEXO - COLÉGIO ESTADUAL DE TEMPO INTEGRAL DE TABOCAS - DISTRITO DE MARIQUITA"/>
            <filter val="ANEXO - COLÉGIO ESTADUAL PROFESSORA TEREZINHA SCARAMUSSA - DISTRITO DE SANTO ANTONIO"/>
            <filter val="COLÉGIO ESTADUAL DE TEMPO INTEGRAL PAPA JOÃO PAULO I"/>
            <filter val="ANEXO - COLEGIO ESTADUAL DE TEMPO INTEGRAL CLEONICE OLEGARIO DOS SANTOS - AGROVILA 01"/>
            <filter val="ANEXO DO CEMIT EXTREMO SUL - DISTRITO VILA JOSE RESENDE"/>
            <filter val="COLÉGIO ESTADUAL LUIZ ROGÉRIO DE SOUZA"/>
            <filter val="COLÉGIO ESTADUAL DE TEMPO INTEGRAL PROFESSORA MARIA HELENA OLIVEIRA"/>
            <filter val="COLEGIO ESTADUAL DO CAMPO RODOLFO DE ABREU"/>
            <filter val="ANEXO - CEMIT - BAIXO SUL - DISTRITO AREINHA"/>
            <filter val="COLÉGIO ESTADUAL DE TEMPO INTEGRAL DE SANTO ESTEVÃO"/>
            <filter val="CENTRO ESTADUAL DE EDUCACAO PROFISSIONAL DO OCEANO"/>
            <filter val="ANEXO - CEMIT - BAIXO SUL - DISTRITO DE RIO DO BRAÇO"/>
            <filter val="COLÉGIO ESTADUAL DE TEMPO INTEGRAL DOUTOR ARISTIDES MALTEZ&#10;(COLÉGIO ESTADUAL DOUTOR ARISTIDES MALTEZ)"/>
            <filter val="ANEXO - COLEGIO ESTADUAL DO CAMPO DA CAATINGA DO MOURA  - DISTRITO LAGES DO BATATA - QUILOMBOLA"/>
            <filter val="ANEXO - COLÉGIO ESTADUAL MACHADO DE ASSIS - CONJUNTO PENAL DE TEIXEIRA DE FREITAS"/>
            <filter val="COLÉGIO ESTADUAL INDÍGENA TANARA PATAXÓ PEQUI/GURITA - ALDEIA PEQUI"/>
            <filter val="ANEXO - COLÉGIO ESTADUAL DE TEMPO INTEGRAL EVILASIO SANTANA GAMA - DISTRITO DE BELA VISTA"/>
            <filter val="COLÉGIO ESTADUAL LUIS EDUARDO MAGALHÃES - TEMPO INTEGRAL"/>
            <filter val="CENTRO TERRITORIAL DE EDUCACAO PROFISSIONAL SANTA RITA DE CÁSSIA"/>
            <filter val="ANEXO - COLÉGIO EST. INDIGENA KIRIRI INDIO FELIZ - ALDEIA SEGREDO"/>
            <filter val="ANEXO - CEMIT BAIXO SUL - DISTRITO DE SÃO SEBASTIÃO"/>
            <filter val="COLÉGIO ESTADUAL DE TEMPO INTEGRAL PROFESSORA SIMONE SIMÕES NERI"/>
            <filter val="ANEXO - COLEGIO ESTADUAL QUILOMBOLA DE SAO TOME - DISTRITO DE BREJAO DA CAATINGA"/>
            <filter val="ANEXO CEMIT - VELHO CHICO-BARRA - DISTRITO DE PASSAGEM"/>
            <filter val="ANEXO - CEMIT - BACIA DO RIO GRANDE - DISTRITO DE MOCAMBO"/>
            <filter val="COLEGIO ESTADUAL DE TEMPO INTEGRAL DE NOVA ITARANA  - (ANTIGO CE LUIZ VIANA FILHO)"/>
            <filter val="ANEXO DO CEMIT EXTREMO SUL - DISTRITO SÃO JOSÉ DE VEREDA"/>
            <filter val="COLÉGIO ESTADUAL ASSIS VALENTE"/>
            <filter val="COMPLEXO INTEGRADO DE EDUCACAO DE PORTO SEGURO - CIE DE PORTO SEGURO - TEMPO INTEGRAL"/>
            <filter val="COLÉGIO ESTADUAL DO CAMPO DUQUE DE CAXIAS"/>
            <filter val="COLÉGIO ESTADUAL PROFESSOR EDILSON SOUTO FREIRE"/>
            <filter val="ANEXO - COLÉGIO ESTADUAL DO CAMPO DOUTOR ERALDO TINOCO - ASSENTAMENTO MILTON SANTOS"/>
            <filter val="ANEXO - CEMIT - SERTAO DO SAO FRANCISCO - POVOADO DE TAPAGEM"/>
            <filter val="COLÉGIO ESTADUAL DE TEMPO INTEGRAL DE CAETANOS - (ANTIGO CE JOAO LOPES DE OLIVEIRA)"/>
            <filter val="COLÉGIO ESTADUAL DO CAMPO ERASMO NOVAIS DOS SANTOS"/>
            <filter val="COLÉGIO ESTADUAL ROMULO GALVÃO - DISTRITO CALDAS DO JORRO"/>
            <filter val="COLÉGIO ESTADUAL DE TEMPO INTEGRAL IRMÃ OLIVEIRA"/>
            <filter val="COLÉGIO ESTADUAL PROFESSORA NADIR ARAUJO COPQUE - TEMPO INTEGRAL"/>
            <filter val="ANEXO - COLÉGIO ESTADUAL INDÍGENA KIJETXAWE ZABELÊ - ALDEIA ALEGRIA NOVA"/>
            <filter val="COLÉGIO ESTADUAL DE TEMPO INTEGRAL FLORENTINA ALVES DOS SANTOS"/>
            <filter val="COLÉGIO ESTADUAL DE TEMPO INTEGRAL MARIA ODÍLIA TEIXEIRA (ANTIGO - COLÉGIO ESTADUAL DUQUE DE CAXIAS)"/>
            <filter val="ANEXO - CEMIT VELHO CHICO - AGROVILA 16"/>
            <filter val="COLÉGIO ESTADUAL DONA GUIOMAR BARRETO MEIRA"/>
            <filter val="ANEXO AO COL. EST. INDIGENA FLORENTINO DOMINGOS DE ANDRADE - ALDEIA BAIXA DO JUA"/>
            <filter val="ANEXO - COLÉGIO ESTADUAL DE TEMPO INTEGRAL RUI BARBOSA - POVOADO DE NOVA COLINA"/>
            <filter val="COLÉGIO ESTADUAL INDIGENA JOSE ZACARIAS - ALDEIA MIRANDELA"/>
            <filter val="ANEXO - CEMIT - BACIA DO RIO GRANDE - DISTRITO DE BURITIZINHO"/>
            <filter val="ANEXO - CEMIT - SERTAO DO SAO FRANCISCO - POVOADO DE TAMBORIL"/>
            <filter val="COLÉGIO ESTADUAL DE TEMPO INTEGRAL DE PORTO SEGURO &#10;(ANTIGO COLÉGIO MODELO LUIS EDUARDO MAGALHAES)"/>
            <filter val="COLÉGIO ESTADUAL MARIA QUITÉRIA - TEMPO INTEGRAL"/>
            <filter val="COLÉGIO ESTADUAL DE TEMPO INTEGRAL DE MUCUGÊ - (ANTIGO CE HORACIO DE MATOS)"/>
            <filter val="ANEXO DO COLÉGIO INDIGENA TUPINAMBA DE ACUIPE DE BAIXO - ALDEIA ACUIPE DE BAIXO II"/>
            <filter val="ANEXO DO COLÉGIO ESTADUAL INDIGENA TUPINAMBA DE OLIVENCA - ALDEIA MAMAO"/>
            <filter val="COLÉGIO ESTADUAL ALMERINDA ALMEIDA - DISTRITO DE GAMELEIRA DO JACARÉ"/>
            <filter val="COLÉGIO ESTADUAL DE TEMPO INTEGRAL OSCAR MARINHO FALCÃO"/>
            <filter val="CEMIT BACIA DO JACUIPE"/>
            <filter val="ESCOLA DOS RODOVIARIOS"/>
            <filter val="ANEXO - COLÉGIO ESTADUAL DE TEMPO INTEGRAL SOROR JOANA ANGÉLICA - DISTRITO DE NUGUACU - COMUNIDADE QUILOMBOLA"/>
            <filter val="COLÉGIO ESTADUAL PROFESSORA MARIA LEAL LOPES - TEMPO INTEGRAL"/>
            <filter val="ANEXO - CEMIT - SISAL - POVOADO DE BARBOSA"/>
            <filter val="ANEXO - CEMIT - IRECÊ - POVOADO UMBURANA DO QUERE"/>
            <filter val="COLÉGIO ESTADUAL DE TEMPO INTEGRAL ALBÉRCIO DA COSTA BRITO"/>
            <filter val="CENTRO ESTADUAL DE EDUCACAO PROFISSIONAL EM SAUDE E GESTAO"/>
            <filter val="ANEXO - COLÉGIO ESTADUAL INDÍGENA KIJETXAWE ZABELÊ - ALDEIA RENASCER"/>
            <filter val="COLÉGIO ESTADUAL CASTRO ALVES - DISTRITO DE ACUPE"/>
            <filter val="COLÉGIO ESTADUAL DE TEMPO INTEGRAL JOÃO FRANCISCO DA SILVA"/>
            <filter val="COLÉGIO ESTADUAL DE TEMPO INTEGRAL SINESIO COSTA"/>
            <filter val="CENTRO TERRITORIAL DE EDUCACAO PROFISSIONAL DA BACIA DO RIO GRANDE"/>
            <filter val="COLÉGIO ESTADUAL DE TEMPO INTEGRAL NELSON MAIA"/>
            <filter val="COLÉGIO ESTADUAL PAULO FREIRE"/>
            <filter val="COLÉGIO ESTADUAL DE TEMPO INTEGRAL ERNESTO CARNEIRO RIBEIRO"/>
            <filter val="ANEXO - COLÉGIO ESTADUAL ROLANDO LARANJEIRAS BARBOSA - DISTRITO DE JATOBA"/>
            <filter val="ANEXO - CEMIT - SISAL - POVOADO DE TAQUARI"/>
            <filter val="ANEXO - COLÉGIO ESTADUAL INTEGRAÇÃO - DISTRITO DE CRUZELÂNDIA"/>
            <filter val="ANEXO - COLÉGIO ESTADUAL DE TEMPO INTEGRAL PROFESSORA MARIA MADALENA DA SILVA - DISTRITO DE DELFINO"/>
            <filter val="CENTRO ESTADUAL DE EDUCAÇÃO PROFISSIONAL DA FLORESTA DO CACAU E DO CHOCOLATE MILTON - TEMPO INTEGRAL"/>
            <filter val="COLÉGIO DA POLICIA MILITAR - CPM BOM JESUS DA LAPA"/>
            <filter val="COLÉGIO ESTADUAL EM TEMPO INTEGRAL RENATO MEDEIROS NETO - DISTRITO DE BRAVO"/>
            <filter val="COLÉGIO ESTADUAL DE TEMPO INTEGRAL WILSON LINS"/>
            <filter val="ANEXO - COLÉGIO ESTADUAL LUIZ VIANA FILHO - DISTRITO DE CAROBA"/>
            <filter val="ANEXO - COLÉGIO ESTADUAL EVILASIO SANTANA GAMA -DISTRITO DE MOCAMBO"/>
            <filter val="ANEXO - CENTRO TERRITORIAL DE EDUCAÇÃO PROFISSIONAL DE TEMPO INTEGRAL SANTO ANTÔNIO DAS QUEIMADAS - POVOADO DE LAGOINHAS"/>
            <filter val="CENTRO ESTADUAL DE EDUCAÇÃO PROFISSIONAL DE SEABRA"/>
            <filter val="ANEXO - CEMIT BACIA DO RIO GRANDE - DISTRITO MOZONDO"/>
            <filter val="ANEXO - CENTRO REGIONAL DE ENSINO MEDIO COM INTERMEDIACAO TECNOLOGICA-CEMIT DISTRITO DE LAGOA CLARA"/>
            <filter val="ANEXO - COLEGIO ESTADUAL DE TEMPO INTEGRAL PROFESSORA MARIA EDITE VIEIRA GUSMAO - DISTRITO DE MONTE AZUL"/>
            <filter val="CENTRO ESTADUAL DE EDUCAÇÃO PROFISSIONAL DA COSTA DO DENDÊ"/>
            <filter val="COLÉGIO ESTADUAL DE TEMPO INTEGRAL JARDILINA DE SANTANA OLIVEIRA"/>
            <filter val="ANEXO - COLÉGIO ESTADUAL PAULO FREIRE - ASSENTAMENTO CHICO MENDES"/>
            <filter val="CENTRO TERRITORIAL DE EDUCAÇÃO PROFISSIONAL DA BACIA DO JACUÍPE II JOÃO CAMPOS"/>
            <filter val="COLEGIO ESTADUAL DE TEMPO INTEGRAL NECY NOVAIS"/>
            <filter val="COLÉGIO ESTADUAL INDÍGENA BOM JESUS - ALDEIA INDÍGENA ÁGUAS BELAS"/>
            <filter val="ESCOLA FAMILIA AGRICOLA DE CACULE - FAZENDA DEUS ME LIVRE"/>
            <filter val="ANEXO - CEMIT - VELHO CHICO-BARRA- CURRALINHO - COMUNIDADE QUILOMBOLA"/>
            <filter val="ANEXO DO COLÉGIO ESTADUAL DE TEMPO INTEGRAL MASCARENHAS DE CAMACARI - CASE"/>
            <filter val="ANEXO II - COLÉGIO ESTADUAL DE TEMPO INTEGRAL DE FEIRA DE SANTANA  - CASA DE ATENDIMENTO SOCIOEDUCATIVO JUIZ DE MELO MATOS"/>
            <filter val="ANEXO - COLÉGIO ESTADUAL INDÍGENA ÂNGELO PEREIRA XAVIER - FAZENDA SERROTA"/>
            <filter val="ANEXO - COLÉGIO ESTADUAL BADEN POWELL - CONJUNTO PENAL"/>
            <filter val="ESCOLA FAMILIA AGRICOLA DA REGIAO DE ALAGOINHAS"/>
            <filter val="COLÉGIO ESTADUAL ALFREDO MAGALHAES "/>
            <filter val="ANEXO - COLEGIO ESTADUAL DE TEMPO INTEGRAL PROFESSORA MARIA EDITE VIEIRA GUSMAO - DISTRITO DE SÃO JOÃO DA BOA NOVA"/>
            <filter val="COLÉGIO ESTADUAL DE TEMPO INTEGRAL PROFESSORA LUZIA CARVALHO SILVA"/>
            <filter val="ANEXO - COLÉGIO ESTADUAL PAULO FREIRE - POVOADO DE SÃO JOÃO DO MONTE"/>
            <filter val="COLÉGIO ESTADUAL DE TEMPO INTEGRAL PAULO FREIRE"/>
            <filter val="ANEXO - COLÉGIO ESTADUAL DE TEMPO INTEGRAL JOAO VILAS BOAS -DISTRITO DE ITANAGE"/>
            <filter val="COLÉGIO ESTADUAL PROFESSORA MARIA DO CARMO MARQUÊS DE FREITAS"/>
            <filter val="ANEXO - CEMIT - LITORAL SUL - POVOADO PONTA DA TULHA"/>
            <filter val="ANEXO - COLÉGIO ESTADUAL DE TEMPO INTEGRAL JOAO VILAS BOAS - POVOADO DE ITAGUACU - COMUNIDADE QUILOMBOLA"/>
            <filter val="ANEXO - COLÉGIO ESTADUAL INDIGENA XUCURU KARIRI - ALDEIA TRUKA TUPAN"/>
            <filter val="COLÉGIO ESTADUAL DE TEMPO INTEGRAL DE BARRA DO CHOÇA (ANTIGO CE DARIA VIANA DE QUEIROZ)"/>
            <filter val="COLÉGIO ESTADUAL DE TEMPO INTEGRAL DO CONDE&#10;(ANTIGO CENTRO INTEGRADO DE EDUCAÇÃO DO CONDE)"/>
            <filter val="ESCOLA FAMÍLIA AGRÍCOLA DO SERTÃO - EFASE"/>
            <filter val="ANEXO - COLÉGIO DOUTOR FRANCISCO ROCHA FILHO - DISTRITO DE OURO VERDE"/>
            <filter val="ANEXO - COLÉGIO ESTADUAL DE TEMPO INTEGRAL SOFIA MASCARENHAS - DISTRITO BREJO DA SERRA"/>
            <filter val="ANEXO - COLÉGIO  ESTADUAL  DE  TEMPO  INTEGRAL  DE  ÁGUA  QUENTE - DISTRITO DE RIO DA CAIXA"/>
            <filter val="COLÉGIO ESTADUAL DO CAMPO DE CABRALIA - DISTRITO DE CABRALIA"/>
            <filter val="ANEXO - MONSENHOR TURIBIO VILANOVA - DISTRITO DE BATALHA - COMUNIDADE QUILOMBOLA"/>
            <filter val="COLÉGIO ESTADUAL INDIGENA TUPINAMBA AMOTARA - ALDEIA ITAPUA"/>
            <filter val="COLÉGIO MODELO LUIS EDUARDO MAGALHAES"/>
            <filter val="ANEXO - CEMIT - VELHO CHICO - POVOADO CAPIM DE RAIZ"/>
            <filter val="CENTRO TERRITORIAL DE EDUCACAO PROFISSIONAL DA BACIA DO RIO CORRENTE"/>
            <filter val="CENTRO ESTADUAL DE EDUCAÇÃO PROFISSIONAL DO VALE DO PARAGUAÇU - COMUNIDADE QUILOMBOLA"/>
            <filter val="COLÉGIO ESTADUAL DO CAMPO DE TEMPO INTEGRAL MAMEDIO BATISTA LOBÃO - DISTRITO DE LAGOA GRANDE"/>
            <filter val="COLÉGIO ESTADUAL DE TEMPO INTEGRAL DE CAMAÇARI - (ANTIGO MODELO)"/>
            <filter val="COLÉGIO ESTADUAL REGINA SIMOES"/>
            <filter val="ANEXO- COLÉGIO ESTADUAL DE ÁGUA FRIA DISTRITO DE PATAIBA"/>
            <filter val="COLÉGIO ESTADUAL DE TEMPO INTEGRAL DE COCOS"/>
            <filter val="CENTRO TERRITORIAL DE EDUCACAO PROFISSIONAL DO VALE DO JEQUIRICA"/>
            <filter val="COLÉGIO ESTADUAL DE TEMPO INTEGRAL MARIA FELIPA&#10;(ANTIGO: BRAULIO XAVIER)"/>
            <filter val="COLÉGIO ESTADUAL DO CAMPO MARCOLINO MOURA"/>
            <filter val="COLÉGIO ESTADUAL DE TEMPO INTEGRAL TERRAS DE CANABRAVA&#10;(ANTIGO CENTRAL)&#10;(IRÁ RECEBER OS ESTUDANTES DO CE SILVIA FERREIRA DE BRITO)"/>
            <filter val="COLÉGIO ESTADUAL PROFESSORA HELEUSA FIGUEIRA CAMARA - TEMPO INTEGRAL"/>
            <filter val="ANEXO - COLÉGIO ESTADUAL PAULO FREIRE - DISTRITO DE MONTE PASCOAL"/>
            <filter val="ANEXO - COLÉGIO ESTADUAL ARY SILVA - DISTRITO DE BELA VISTA DE COVAS"/>
            <filter val="COLÉGIO ESTADUAL DE TEMPO INTEGRAL APARICIO JOSÉ DA SILVA"/>
            <filter val="ANEXO - COLÉGIO ESTADUAL DE TEMPO INTEGRAL DE CORRENTINA - DISTRITO DE ARROGELANDIA (ANTIGO - COLÉGIO ESTADUAL DUQUE DE CAXIAS)"/>
            <filter val="COLÉGIO POLIVALENTE DE ITAPETINGA"/>
            <filter val="COLEGIO ESTADUAL DO CAMPO DE TEMPO INTEGRAL DE SERRA GRANDE"/>
            <filter val="ANEXO - CEMIT - CHAPADA DIAMANTINA - POVOADO CABECEIRA DO RIO"/>
            <filter val="COLÉGIO ESTADUAL DO CAMPO RÔMULO GALVÃO"/>
            <filter val="COLÉGIO ESTADUAL DE TEMPO INTEGRAL DE CONTENDAS DO SINCORÁ (ANTIGO - COLÉGIO ESTADUAL DOUTOR LUIZ EDSON DE GOUVEIA)"/>
            <filter val="COLÉGIO ESTADUAL PROFESSORA CARMENILZA DE ARAUJO LIMA DE MATOS - DISTRITO UBIRAITA"/>
            <filter val="COLÉGIO ESTADUAL DE TEMPO INTEGRAL FELIPE CASSIANO"/>
            <filter val="COLÉGIO ESTADUAL DE TEMPO INTEGRAL DE MIGUEL CALMON (ANTIGO POLIVALENTE)"/>
            <filter val="CENTRO EDUCACIONAL MONTEIRO LOBATO - TEMPO INTEGRAL"/>
            <filter val="COLÉGIO ESTADUAL DE TEMPO INTEGRAL DE CONCEICAO DA FEIRA"/>
            <filter val="COLÉGIO ESTADUAL DE MILAGRES - TEMPO INTEGRAL"/>
            <filter val="ANEXO - COLÉGIO ESTADUAL DE TEMPO INTEGRAL PROFESSORA MARIA DO SOCORRO GOMES BARBOSA - DISTRITO ICOZEIRA"/>
            <filter val="ANEXO - COLÉGIO ESTADUAL DEMOCRÁTICO QUITÉRIA MARIA DE JESUS - CONJUNTO PENAL"/>
            <filter val="ANEXO - COLÉGIO ESTADUAL CASTRO ALVES- DISTRITO BREJO LUIZA DE BRITO"/>
            <filter val="COLÉGIO ESTADUAL CELSO MENDES DE LIMA - TEMPO INTEGRAL"/>
            <filter val="COLÉGIO ESTADUAL DE TEMPO INTEGRAL ALDEMIRO VILAS BOAS"/>
            <filter val="ANEXO - CEMIT - SERTAO DO SAO FRANCISCO - POVOADO DE JUREMA DO VIRGILIO"/>
            <filter val="COLÉGIO ESTADUAL DULCINA CRUZ LIMA"/>
            <filter val="COLÉGIO ESTADUAL PRISCO VIANA"/>
            <filter val="ANEXO - COLÉGIO ESTADUAL ANISIO HONORATO GODOY - AGROVILA 13"/>
            <filter val="ANEXO - CEMIT VITORIA DA CONQUISTA - DISTRITO LAGOA DE TIMOTEO"/>
            <filter val="ANEXO - COLÉGIO ESTADUAL ANISIO HONORATO GODOY - AGROVILA 17"/>
            <filter val="COLÉGIO ESTADUAL DE TEMPO INTEGRAL DE MARACÁS IRACY MARLENE DA HORA PASSOS (ANTIGO - CE. EDILSON FREIRE)"/>
            <filter val="COLEGIO ESTADUAL DE TEMPO INTEGRAL PROFESSOR ROCHA PITA"/>
            <filter val="ESCOLA FAMÍLIA AGRÍCOLA DOS MUNICÍPIOS INTEGRADOS DA REGIÃO DE IRARÁ"/>
            <filter val="COLÉGIO ESTADUAL DE FEDEGOSOS - DISTRITO DE FEDEGOSO"/>
            <filter val="ANEXO DO COLÉGIO ESTADUAL - INDIGENA JOSE ZACARIAS - ALDEIA PAU FERRO"/>
            <filter val="COLÉGIO ESTADUAL DE TEMPO INTEGRAL ELIEL MARTINS"/>
            <filter val="ANEXO - CEMIT - BACIA DO RIO GRANDE - POVOADO DE ALTAMIRA"/>
            <filter val="ESCOLA ESTADUAL INDÍGENA MANOEL COELHO - POVOADO BAIXA DAS PEDRAS"/>
            <filter val="ANEXO - CEMIT - IRECÊ - DISTRITO LAGOA VELHA"/>
            <filter val="COLÉGIO ESTADUAL INACIO TOSTA FILHO"/>
            <filter val="COLÉGIO ESTADUAL DE TEMPO INTEGRAL PROFESSORA BEATRIZ GOMES E SOUZA DE BARROS (ANTIGO MODELO LEM)"/>
            <filter val="ANEXO- CEMIT - CHAPADA DIAMANTINA - DISTRITO DUAS BARRAS- QUILOMBOLA"/>
            <filter val="COLÉGIO ESTADUAL RODOLFO DE QUEIROZ - TEMPO INTEGRAL"/>
            <filter val="ANEXO - CEMIT BAIXO SUL - DISTRITO DE GARAPUÁ"/>
            <filter val="COLÉGIO DA POLICIA MILITAR - CPM PROFESSOR ALEXANDRE LEAL COSTA"/>
            <filter val="ANEXO - COLÉGIO ESTADUAL DUQUE DE CAXIAS - CONJUNTO PENAL DE BARREIRAS"/>
            <filter val="ANEXO - CEMIT BAIXO SUL - DISTRITO ILHA DO CONTRATO"/>
            <filter val="COLÉGIO ESTADUAL DE TEMPO INTEGRAL GONÇALO MUNIZ"/>
            <filter val="COLÉGIO ESTADUAL DE TEMPO INTEGRAL REIS MAGALHÃES"/>
            <filter val="COLÉGIO ESTADUAL DE TEMPO INTEGRAL HOMERO PIRES"/>
            <filter val="ANEXO - CEMIT LITORAL NORTE E AGRESTE BAIANO - DISTRITO DE SAQUINHO"/>
            <filter val="ANEXO - COL. EST. SUZANA DE ARAÚJO BONFIM DISTRTO DE BOA VISTA DE PICHAIM - COMUNIDADE QUILOMBOLA"/>
            <filter val="ANEXO - COLÉGIO EST. MARIETA PEREIRA DOS SANTOS - DIST. FURADO DA CANCELA"/>
            <filter val="COLÉGIO ESTADUAL GERSON DE SOUZA MELO PATAXO - TEMPO INTEGRAL"/>
            <filter val="CENTRO DE APOIO PEDAGÓGICO - CAP"/>
            <filter val="COLÉGIO ESTADUAL DO CAMPO PROFESSOR JOSÉ WALDOMIRO SANTOS DA CONCEIÇÃO - DISTRITO DO RETIRO"/>
            <filter val="COLÉGIO ESTADUAL DE TEMPO INTEGRAL SÃO FELIPE"/>
            <filter val="COLÉGIO ESTADUAL CÂNDIDO MEIRELES - TEMPO INTEGRAL"/>
            <filter val="ANEXO - COLÉGIO ESTADUAL NOSSA SENHORA DO ROSARIO - ASSENTAMENTO VALE VERDE"/>
            <filter val="ANEXO - COLÉGIO ESTADUAL DE TEMPO INTEGRAL PROFESSORA ELINEUZA DA SILVA FERREIRA&#10; - DISTRITO DE TIMBO"/>
            <filter val="COLÉGIO DA POLICIA MILITAR - CPM PROFESSOR POETA LUIS NEVES COTRIM"/>
            <filter val="COLÉGIO ESTADUAL GOVERNADOR LUIZ VIANA FILHO - TEMPO INTEGRAL"/>
            <filter val="ANEXO - CEMIT BACIA DO RIO GRANDE - DISTRITO DE CAMPOS"/>
            <filter val="COLÉGIO ESTADUAL CENTENARIO - EM TEMPO INTEGRAL"/>
            <filter val="COLÉGIO ESTADUAL DE TEMPO INTEGRAL DE URANDI"/>
            <filter val="ANEXO - CEMIT - SERTAO DO SAO FRANCISCO - DISTRITO DE PATAMUTE"/>
            <filter val="COLÉGIO ESTADUAL DO CAMPO DE TEMPO INTEGRAL PROFESSORA IVANECK MARIA AGUIAR COSTA"/>
            <filter val="ANEXO - COLÉGIO ESTADUAL INDÍGENA COROA VERMELHA - ALDEIA JUERANA"/>
            <filter val="ANEXO - COLÉGIO ESTADUAL DO CAMPO ALOISIO DAMASCENO DE JESUS - ASSENTAMENTO BARRA VERDE"/>
            <filter val="COLÉGIO ESTADUAL DE TEMPO INTEGRAL AGOSTINHO MUNIZ"/>
            <filter val="COLÉGIO ESTADUAL DO CAMPO EDIVALDO MACHADO BOAVENTURA - DISTRITO DE IPUAÇU"/>
            <filter val="ANEXO - CEMIT - VELHO CHICO BARRA - FAZENDA SACO"/>
            <filter val="ANEXO - COLÉGIO ESTADUAL DE TEMPO INTEGRAL PROFESSORA DÁRIA DOURADO LOPES - POVOADO DE LAGOA NOVA- CONJUNTO PENAL"/>
            <filter val="ANEXO CEMIT EXTREMO SUL - POVOADO DE SÃO PAULINHO"/>
            <filter val="COLÉGIO ESTADUAL INDÍGENA DE TEMPO INTEGRAL SANTO ANTÔNIO DO PAMBU - ALDEIA PAMBU"/>
            <filter val="ANEXO - CEMIT - SERTAO DO SAO FRANCISCO - POVOADO DE LIMOEIRO DA BATATEIRA"/>
            <filter val="COLÉGIO ESTADUAL DO CAMPO PROFESSOR EDIVALDO MACHADO BOAVENTURA - DISTRITO SERRA DA CANABRAVA"/>
            <filter val="ESCOLA FAMILIA AGRICOLA AVANI DE LIMA CUNHA - EFA VALENTE"/>
            <filter val="COLÉGIO ESTADUAL INDIGENA TUXA CACIQUE RAUL VALERIO DE OLIVEIRA"/>
            <filter val="ANEXO - CEMIT BAIXO SUL - DISTRITO DE FORMOSA"/>
            <filter val="COLÉGIO ESTADUAL DO CAMPO CAMINHO DO SABER - POVOADO DE BELA VISTA"/>
            <filter val="CENTRO TERRITORIAL DE EDUCAÇÃO PROFISSIONAL DO BAIXO SUL"/>
            <filter val="COLÉGIO ESTADUAL DO CAMPO PETRONIO PORTELA - DISTRITO DE PILAR - EM TEMPO INTEGRAL"/>
            <filter val="ANEXO DO COLÉGIO ESTADUAL INDIGENA TUPINAMBÁ AMOTARA - ALDEIA TAMANDARE"/>
            <filter val="ESCOLA FAMILIA AGRICOLA REGIONAL - EFAR"/>
            <filter val="COLÉGIO ESTADUAL DE TEMPO INTEGRAL VITORIA LIMA DE OLIVEIRA - DISTRITO DE BARRA NOVA"/>
            <filter val="ANEXO - COLÉGIO ESTADUAL DE TEMPO INTEGRAL ADINÁLIA PEREIRA DE ARAÚJO - DISTRITO RIBEIRAO DO SALTO"/>
            <filter val="ANEXO - COLÉGIO ESTADUAL APARÍCIO JOSE DA SILVA - DISTRITO MISSÃO DO ARICOBE"/>
            <filter val="ANEXO - CEMIT - CHAPADA DIAMANTINA - POVOADO DE TAPERA"/>
            <filter val="COLÉGIO ESTADUAL PROFESSORA JANE ASSIS PEIXOTO - DISTRITO POSTO DA MATA"/>
            <filter val="CASA FAMILIAR RURAL DE IGRAPIUNA"/>
            <filter val="COLÉGIO ESTADUAL INDÍGENA TAWA - ALDEIA TAWA"/>
            <filter val="COLÉGIO ESTADUAL DE TEMPO INTEGRAL DE CONDEÚBA"/>
            <filter val="COLÉGIO ESTADUAL DO CAMPO DE TEMPO INTEGRAL TEOBALDA PASSOS DOS SANTOS"/>
            <filter val="ANEXO - CEMIT - LITORAL SUL - DISTRITO ARITAGUA I"/>
            <filter val="COLÉGIO ESTADUAL DE TEMPO INTEGRAL CENILDA SELMA SCHERRER STIMER&#10; DISTRITO DE VILA DO ROSÁRIO"/>
            <filter val="CENTRO ESTADUAL DE EDUCACAO PROFISSIONAL AGUAS - TEMPO INTEGRAL"/>
            <filter val="ANEXO - COLÉGIO ESTADUAL JESUS MOURA - DISTRITO SAO JOAO DO SUL"/>
            <filter val="COLÉGIO ESTADUAL DE TEMPO INTEGRAL DE VILA DE ABRANTES"/>
            <filter val="ESCOLA PROFESSOR JULIO LEAL ARAUJO"/>
            <filter val="COLÉGIO ESTADUAL DO CAMPO ANNA JUNQUEIRA AYRES TOURINHO - DISTRITO DE MATARIPE"/>
            <filter val="ANEXO - COLÉGIO ESTADUAL DO CAMPO LUCIA ROCHA MACEDO - ASSENTAMENTO PATRIA LIVRE"/>
            <filter val="COLÉGIO ESTADUAL ONILDO RAIMUNDO CRISTO - DISTRITO DE OROBO - COMUNIDADE QUILOMBOLA"/>
            <filter val="ANEXO CEMIT EXTREMO SUL - DISTRITO ITABRASIL"/>
            <filter val="CENTRO TERRITORIAL DE EDUCACAO PROFISSIONAL SERTAO FORTE&#10;&#10;(OBS: A NOVA UNIDADE RECEBEU TAMBÉM OS ESTUDANTES C.E. ANTONIETA XAVIER SIQUERA SANTOS)"/>
            <filter val="COLÉGIO ESTADUAL IDELZITO ELOY DE ABREU"/>
            <filter val="ESCOLA FAMILIA AGRICOLA DE BOTUPORÃ"/>
            <filter val="COLEGIO ESTADUAL DO CAMPO ALUIZIO CARNEIRO DA SILVA - DISTRITO DE BELA VISTA"/>
            <filter val="COLÉGIO ESTADUAL MARIA DE LOURDES LIMA PEREIRA - POVOADO DE TARRACHIL"/>
            <filter val="ANEXO - CEMIT - LITORAL SUL - DISTRITO VILA BRASIL"/>
            <filter val="ANEXO - COLÉGIO ESTADUAL ANTONILIO DA FRANCA CARDOSO - DISTRITO NH2 - PROJETO ITAMOTINGA"/>
            <filter val="COLÉGIO ESTADUAL MANOEL LEVI - TEMPO INTEGRAL"/>
            <filter val="ANEXO - CEMIT - SERTAO DO SAO FRANCISCO - POVOADO LAGOA DO BAIAO"/>
            <filter val="COLÉGIO ESTADUAL MARIA JOSE BASTOS SILVA"/>
            <filter val="ANEXO - CEMIT- MÉDIO RIO DE CONTAS - DISTRITO DE VALENTIM"/>
            <filter val="ANEXO - COLÉGIO ESTADUAL DE TEMPO INTEGRAL DE ITAMBÉ - DISTRITO DE CASILANDIA/CATOLEZINHO"/>
            <filter val="ANEXO DO CEMIT PIEMONTE NORTE DO ITAPICURU - POVOADO DE LAGINHA-COMUNIDADE QUILOMBOLA"/>
            <filter val="COLÉGIO ESTADUAL INDIGENA MARECHAL RONDON - ASSENTAMENTO TERRA INDIGENA TUXA"/>
            <filter val="COLÉGIO ESTADUAL HENRIQUE BRITO - TEMPO INTEGRAL"/>
            <filter val="COLÉGIO ESTADUAL LANDULFO ALVES DE ALMEIDA"/>
            <filter val="COLÉGIO ESTADUAL DE TEMPO INTEGRAL ARNALDO DE OLIVEIRA"/>
            <filter val="ANEXO - COLÉGIO ESTADUAL PROFESSOR LUIZ NAVARRO DE BRITO - POVOADO DE CAXIAS"/>
            <filter val="ANEXO - COLÉGIO ESTADUAL PROFESSORA HILDA MONTEIRO MENEZES - POVOADO TUIUTIBA"/>
            <filter val="CENTRO REGIONAL DE ENSINO MEDIO INTERMEDIACAO TEC - CEMIT DO PIEMONTE NORTE DO ITAPICURU"/>
            <filter val="ANEXO - COLÉGIO ESTADUAL INDÍGENA TANARA PATAXÓ PEQUI/GURITA - ALDEIA GURITA"/>
            <filter val="COLÉGIO ESTADUAL DE TEMPO INTEGRAL DE  AIQUARA"/>
            <filter val="COLÉGIO ESTADUAL PROFESSORA RENI MIRANDA FERREIRA - TEMPO INTEGRAL"/>
            <filter val="ANEXO - COLÉGIO ESTADUAL DE TEMPO INTEGRAL SOFIA MASCARENHAS - POVOADO VILA SALDANHA MARINHO"/>
            <filter val="ANEXO - COLÉGIO ESTADUAL ROTARY CLUBE - DISTRITO JUREMAL"/>
            <filter val="ANEXO - COLÉGIO ESTADUAL DE TEMPO INTEGRAL SOROR JOANA ANGÉLICA - DISTRITO TAQUARANDI"/>
            <filter val="ANEXO - CEMIT LITORAL NORTE E AGRESTE BAIANO - DISTRITO DE SUBAUMA"/>
            <filter val="ANEXO - COLÉGIO ESTADUAL DONA GUIOMAR BARRETO MEIRA - DISTRITO MASSAROCA"/>
            <filter val="ANEXO- CENTRO REGIONAL DE ENSINO MEDIO COM INTERMEDIACAO TECNOLOGICA-CEMIT - POVOADO DE PITUCI"/>
            <filter val="COLÉGIO ESTADUAL DO CAMPO DE BANDIAÇÚ"/>
            <filter val="COLÉGIO ESTADUAL ELOYNA BARRADAS - TEMPO INTEGRAL"/>
            <filter val="ANEXO COLÉGIO ESTADUAL CORDEIRO DE MIRANDA - DISTRITO DE PALMIRA"/>
            <filter val="ANEXO - COLÉGIO ESTADUAL INTEGRAÇÃO - DISTRITO DE TAQUARINHA"/>
            <filter val="ANEXO - CEMIT LITORAL SUL - DISTRITO DE POXIM"/>
            <filter val="COLÉGIO ESTADUAL DE TEMPO INTEGRAL PROFESSORA MARLENE ALVES DOS SANTOS"/>
            <filter val="COLÉGIO ESTADUAL GENTIL PARAISO MARTINS - EM TEMPO INTEGRAL"/>
            <filter val="ANEXO - COLÉGIO ESTADUAL DE TEMPO INTEGRAL PAULO FREIRE - DISTRITO IBITUPA"/>
            <filter val="CENTRO ESTADUAL DE EDUCACAO PROFISSIONAL EM BIOTECNOLOGIA E SAUDE"/>
            <filter val="ANEXO - CEMIT LITORAL NORTE E AGRESTE BAIANO - DISTRITO DE SEMPRE VIVA COBO"/>
            <filter val="ANEXO - CEMIT - VELHO CHICO - POVOADO DE MATA DE BOM JESUS"/>
            <filter val="ANEXO I - COLÉGIO ESTADUAL DE TEMPO INTEGRAL DE FEIRA DE SANTANA - CONJUNTO PENAL DE FEIRA DE SANTANA"/>
            <filter val="ANEXO - COLÉGIO ESTADUAL DE TEMPO INTEGRAL DOUTOR JOSÉ CARLOS BEZERRA CARVALHO - POVOADO MARIA CORREIA"/>
            <filter val="ANEXO - COLÉGIO ESTADUAL DE TEMPO INTEGRAL DE ITANHÉM  - DISTRITO BATINGA"/>
            <filter val="COLÉGIO ESTADUAL FRANCISCO PEREIRA FRANCO"/>
            <filter val="COLÉGIO ESTADUAL DO CAMPO DE MUTÃS -DISTRITO DE MUTANS"/>
            <filter val="ANEXO - COLÉGIO ESTADUAL CÂNDIDO MEIRELES - DISTRITO DE MORRO DE SÃO PAULO"/>
            <filter val="ANEXO - CEMIT VITORIA DA CONQUISTA - DISTRITO ROCADO GRANDE"/>
            <filter val="ANEXO - COLÉGIO ESTADUAL DE TEMPO INTEGRAL SÃO JOÃO DOS GERAIS - DISTRITO DE DESCOBERTO"/>
            <filter val="COLEGIO ESTADUAL DE TEMPO INTEGRAL DE MALHADA DE PEDRAS"/>
            <filter val="ANEXO - CEMIT - SERTAO DO SAO FRANCISCO - POVOADO ANGICO II"/>
            <filter val="CENTRO TERRITORIAL DE EDUCAÇÃO PROFISSIONAL DO MÉDIO RIO DAS CONTAS - TEMPO INTEGRAL"/>
            <filter val="COLÉGIO  ESTADUAL  DE  TEMPO  INTEGRAL  DE  ÁGUA  QUENTE - ANTIGO ANTÔNIO CARLOS MAGALHÃES"/>
            <filter val="ANEXO -  COLÉGIO ESTADUAL DE TEMPO INTEGRAL PROFESSORA MARIA HELENA OLIVEIRA - POVOADO DE BARREIRO"/>
            <filter val="COLÉGIO DA POLICIA MILITAR - CPM FRANCISCO PEDRO DE OLIVEIRA"/>
            <filter val="COLÉGIO ESTADUAL DO CAMPO DE TEMPO INTEGRAL PROFESSOR ADEMAR SOUZA OLIVEIRA"/>
            <filter val="COLÉGIO ESTADUAL DO CAMPO LUCIBERTO OLIVEIRA DOS SANTOS"/>
            <filter val="ANEXO - COLÉGIO EST ZULEIDE FREIRE DE ABREU - DISTRITO DE VILA PAIOL"/>
            <filter val="COLÉGIO ESTADUAL DO CAMPO PROFESSORA MARIANA AGOSTINHO DE OLIVEIRA DIST. DE IGARA"/>
            <filter val="ANEXO - COLÉGIO ESTADUAL DE TEMPO INTEGRAL SOFIA MASCARENHAS  - POVOADO DE CAMPO GRANDE"/>
            <filter val="COLÉGIO ESTADUAL DE TEMPO INTEGRAL ROSÁLIA NATIVIDADE GOMES &#10;(ANTIGO POLIVALENTE)"/>
            <filter val="COLÉGIO ESTADUAL DE TEMPO INTEGRAL DOM PAULO LOPES DE FARIAS (ANTIGO COL. ALZAIR MARTINS)"/>
            <filter val="COLÉGIO ESTADUAL CAROLINA SEVERIANO RIBEIRO - TEMPO INTEGRAL"/>
            <filter val="COLÉGIO ESTADUAL BOA VISTA DO TUPIM"/>
            <filter val="COLÉGIO ESTADUAL DE TEMPO INTEGRAL LEILA JANAINA BRITO GONÇALVES &#10;(ANTIGO C.E DOUTOR ANTONIO CARLOS MAGALHAES)"/>
            <filter val="ANEXO - CEMIT - SERTAO DO SAO FRANCISCO - POVOADO DE BARREIRO DO ESPINHEIRO"/>
            <filter val="ANEXO - COLÉGIO ESTADUAL PROJETO FORMOSO - SETOR 14 - DISTRITO IRRIGAÇÃO"/>
            <filter val="ANEXO - COLÉGIO ESTADUAL CECILIO MATTOS - SEDE"/>
            <filter val="COLÉGIO ESTADUAL ALBERICO GOMES SANTANA"/>
            <filter val="ANEXO - COLÉGIO ESTADUAL JESUS MOURA - DISTRITO DE BURANHÉM"/>
            <filter val="COLÉGIO ESTADUAL DE TEMPO INTEGRAL PROFESSOR ADEUM HILÁRIO SAUER (ANTIGO C.E FELIX MENDONCA)"/>
            <filter val="COLEGIO ESTADUAL DO CAMPO CAJUEIRO - DISTRITO DE CAJUEIRO"/>
            <filter val="COLÉGIO ESTADUAL ALAOR COUTINHO - TEMPO INTEGRAL"/>
            <filter val="ANEXO - CENTRO REGIONAL DE ENSINO MEDIO COM INTERMEDIACAO TECNOLOGICA- DISTRITO LAGOA DE FAZENDINHA"/>
            <filter val="COLÉGIO ESTADUAL DE TEMPO INTEGRAL DE CÂNDIDO SALES"/>
            <filter val="ANEXO DO COLÉGIO ESTADUAL INDIGENA TUPINAMBA DE OLIVENCA - ACUIPE DE CIMA"/>
            <filter val="CENTRO REGIONAL DE ENSINO MÉDIO COM INTERMEDIAÇÃO TECNOLÓGICA - CEMIT SERTÃO DO SÃO FRANCISCO"/>
            <filter val="COLÉGIO ESTADUAL DE TEMPO INTEGRAL EVANDRO BRANDÃO"/>
            <filter val="COLÉGIO ESTADUAL DE TEMPO INTEGRAL DE ITAJUÍPE &#10;(ANTIGO POLIVALENTE)"/>
            <filter val="COLÉGIO ESTADUAL POLIVALENTE DE GANDU"/>
            <filter val="CENTRO TERRITORIAL DE EDUCACAO PROFIS. DO PIEMONTE DA DIAMANTINA II"/>
            <filter val="ANEXO - CEMIT - BAIXO SUL - DIST. DE SAO FRANCISCO"/>
            <filter val="COLÉGIO ESTADUAL DE TEMPO INTEGRAL DE SERRINHA"/>
            <filter val="COLÉGIO ESTADUAL DE TEMPO INTEGRAL UIRASSÚ DE ASSIS BATISTA&#10;&#10;(ANTIGO CE ANTÔNIO CARLOS MAGALHÃES)"/>
            <filter val="ANEXO - COLÉGIO ESTADUAL DE TEMPO INTEGRAL DE ITANHÉM  - DISTRITO IBIRAJA"/>
            <filter val="ANEXO - COLÉGIO ESTADUAL DO CAMPO CARLOS HUMBERTO DE MIRANDA PEREIRA MELLO - POVOADO DE MORRO BRANCO"/>
            <filter val="ANEXO - CEMIT VITORIA DA CONQUISTA - DISTRITO DE BARRA DA ILHA"/>
            <filter val="ANEXO - CEMIT BAIXO SUL - DISTRITO RODA D AGUA"/>
            <filter val="ANEXO -COLÉGIO ESTADUAL DE TEMPO INTEGRAL IRMÃ OLIVEIRA - POVOADO SALGADO DO MELÃO"/>
            <filter val="ANEXO - CEMIT - SERTAO DO SAO FRANCISCO - DISTRITO DE PAU DE BIRRO"/>
            <filter val="ANEXO DO EXTREMO SUL - POVOADO DE CAMPO ALEGRE"/>
            <filter val="COLÉGIO ESTADUAL INTEGRAÇÃO - DISTRITO DE ITABATAN"/>
            <filter val="ANEXO - CEMIT - BACIA DO RIO GRANDE - DISTRITO DE TABATINGA"/>
            <filter val="COLÉGIO ESTADUAL DE TEMPO INTEGRAL DE SANTO ANTONIO"/>
            <filter val="ANEXO - COLÉGIO ESTADUAL DE TEMPO INTEGRAL VILA SÃO JOAQUIM - ASSENTAMENTO VALE DA CONQUISTA"/>
            <filter val="ANEXO - CEMIT DO VELHO CHICO - POVOADO DE JENIPAPO"/>
            <filter val="ANEXO - COLEGIO ESTADUAL DO CAMPO FILINTO JUSTINIANO BASTOS- DISTRITO DE LAGOA DA BOA VISTA"/>
            <filter val="ANEXO - COLÉGIO ESTADUAL IDELZITO ELOY DE ABREU - ASSENTAMENTO JOSINEI HIPÓLITO"/>
            <filter val="COLÉGIO ESTADUAL DE TEMPO INTEGRAL PROFESSORA CÉLIA OLIVEIRA LEITE &#10;(ANTIGO CE ACM)"/>
            <filter val="COLÉGIO ESTADUAL DE TEMPO INTEGRAL PADRE LUIS SOARES PALMEIRA"/>
            <filter val="COLÉGIO ESTADUAL DE TEMPO INTEGRAL BERILO VILAS BOAS"/>
            <filter val="CENTRO EDUCACIONAL SANTO ANTONIO"/>
            <filter val="COLÉGIO ESTADUAL DE TEMPO INTEGRAL DE MONTE GORDO"/>
            <filter val="COLÉGIO ESTADUAL DE TEMPO INTEGRAL DE SALINAS DA MARGARIDA&#10;(ANTIGO CE JURACY MAGALHÃES)"/>
            <filter val="ANEXO - COLÉGIO ESTADUAL DE TEMPO INTEGRAL PROFESSORA MARLENE ALVES DOS SANTOS - DISTRITO DE LARGO"/>
            <filter val="COLÉGIO ESTADUAL DE TEMPO INTEGRAL DE BIRITINGA"/>
            <filter val="ANEXO - COLÉGIO ESTADUAL PETRONILIO DA SILVA PRADO - DISTRITO DE GUIRAPA"/>
            <filter val="ANEXO - COLÉGIO DOUTOR FRANCISCO ROCHA FILHO - DISTRITO DE CATOLÉS- QUILOMBOLA"/>
            <filter val="COLÉGIO ESTADUAL DE TEMPO INTEGRAL PROFESSOR DIOMAR SILVA BRITO"/>
            <filter val="ANEXO - CEMIT - SISAL - POVOADO SISALANDIA"/>
            <filter val="ANEXO - COLÉGIO ESTADUAL DE TEMPO INTEGRAL JOAO VILAS BOAS -DISTRITO DE IGUATEMI"/>
            <filter val="ANEXO - COLÉGIO ESTADUAL INTEGRACAO LAGOA DO PIRES - DISTRITO CALDEIRAO DO ALMEIDA"/>
            <filter val="ANEXO - COLÉGIO ESTADUAL ANISIO TEIXEIRA - POVOADO DE ESPRAIADO"/>
            <filter val="COLÉGIO ESTADUAL DE TEMPO INTEGRAL AMELIA RODRIGUES &#10;(ANTIGO C.E MARIA TEOFILA0"/>
            <filter val="CENTRO TERRITORIAL DE EDUCAÇÃO PROFISSIONAL BENTO ALVES DAS NEVES DE SÃO DESIDÉRIO"/>
            <filter val="COLÉGIO ESTADUAL DOUTOR LUIZ VIANA FILHO"/>
            <filter val="ANEXO - CEMIT - BACIA DO RIO GRANDE - POVOADO BENFICA"/>
            <filter val="COLÉGIO ESTADUAL DE TEMPO INTEGRAL EDGAR SILVA &#10;(ANTIGO C.E EDGAR SILVA)"/>
            <filter val="COLÉGIO ESTADUAL DE TEMPO INTEGRAL AURELINO LEAL"/>
            <filter val="COLÉGIO ESTADUAL OURO NEGRO"/>
            <filter val="COLÉGIO ESTADUAL DE TEMPO INTEGRAL LÍBIA TINOCO MELO"/>
            <filter val="COLÉGIO ESTADUAL DE TEMPO INTEGRAL DE IRAQUARA &#10;(ANTIGO CENTRO EDUCACIONAL MANOEL TEIXEIRA LEITE)"/>
            <filter val="COLEGIO ESTADUAL DE TEMPO INTEGRAL PROFESSOR MAGALHAES NETO"/>
            <filter val="ANEXO - COLÉGIO ESTADUAL DE TEMPO INTEGRAL JOAO VILAS BOAS -DISTRITO DE SAO TIMOTEO"/>
            <filter val="ANEXO CEMIT EXTREMO SUL - DISTRITO DE PAU D' ALHO"/>
            <filter val="ANEXO - COLÉGIO ESTADUAL PROFº IVARDO PEREIRA BASTOS- DISTRITO DE SÃO JOSÉ DO RIO GRANDE"/>
            <filter val="COLÉGIO ESTADUAL MARIETA PEREIRA DOS SANTOS - TEMPO INTEGRAL"/>
            <filter val="ANEXO - CEMIT- SERTAO DO SAO FRANCISCO- DISTRITO DE SALINA DO DESIDERIO"/>
            <filter val="ANEXO - CEMIT LITORAL SUL - DISTRITO DE CASTELO NOVO"/>
            <filter val="ANEXO - COLÉGIO ESTADUAL DE TEMPO INTEGRAL DE MUCUGÊ - DISTRITO DE GUINE"/>
            <filter val="COLÉGIO ESTADUAL DE TEMPO INTEGRAL ANISIO TEIXEIRA"/>
            <filter val="ANEXO - COLÉGIO ESTADUAL DE TEMPO INTEGRAL PROFESSORA MARIA HELENA OLIVEIRA - DISTRITO DE AROEIRAS"/>
            <filter val="COLEGIO ESTADUAL DO CAMPO DE TEMPO INTEGRAL NOSSA SENHORA DA CONCEICAO - FAZENDA DO ROSARIO"/>
            <filter val="COLÉGIO ESTADUAL DE TEMPO INTEGRAL BARTOLOMEU DE GUSMÃO"/>
            <filter val="COLÉGIO ESTADUAL DE TEMPO INTEGRAL PROFESSOR  ISAIAS ALEIXO"/>
            <filter val="ANEXO - CEMIT LITORAL NORTE E AGRESTE BAIANO - SAO JOSE"/>
            <filter val="CENTRO TERRITORIAL DE EDUCACAO PROFISSIONAL DO LITORAL NORTE E AGRESTE BAIANO"/>
            <filter val="COLÉGIO ESTADUAL DO CAMPO DE IBIAJARA - DISTRITO DE IBIAJARA"/>
            <filter val="CENTRO TERRITORIAL DE EDUCAÇÃO PROFISSIONAL DA CHAPADA DIAMANTINA II"/>
            <filter val="COLÉGIO ESTADUAL PROFESSOR LUIZ NAVARRO DE BRITO"/>
            <filter val="ANEXO - CEMIT VELHO CHICO - AGUADA DO MEIO"/>
            <filter val="ANEXO - CEMIT - VELHO CHICO - DISTRITO DE CACHOEIRA DO BRUNDUE"/>
            <filter val="CENTRO TERRITORIAL DE EDUCAÇÃO PROFISSIONAL RECONCAVO II ALBERTO TORRES"/>
            <filter val="CENTRO JUVENIL DE CIENCIA E CULTURA - CJCC SERRINHA"/>
            <filter val="COLÉGIO ESTADUAL DE TEMPO INTEGRAL JOÃO QUEIROZ"/>
            <filter val="COLÉGIO ESTADUAL DE TEMPO INTEGRAL RUY BARBOSA"/>
            <filter val="ANEXO AO CEEP EM GESTAO E MEIO AMBIENTE - CONJUNTO PENAL DE BRUMADO"/>
            <filter val="CENTRO DE APOIO PEDAGOGICO ESPECIALIZADO IRECE"/>
            <filter val="ANEXO DO CEMIT PIEMONTE NORTE DO ITAPICURU - POVOADO DE CARIACA - COMUNIDADE QUILOMBOLA"/>
            <filter val="ANEXO - CEMIT - SISAL - POVOADO SETOR DE SAO FRANCISCO"/>
            <filter val="ANEXO - CEMIT SISAL - DISTRITO DE BARREIRA"/>
            <filter val="COLÉGIO ESTADUAL DE TEMPO INTEGRAL DE CATU - (ANTIGO COLÉGIO ESTADUAL ANTONIO DE DEUS SEIXAS)"/>
            <filter val="ANEXO DO CEMIT EXTREMO SUL - DISTRITO NOVA ALEGRIA"/>
            <filter val="COLÉGIO GEORGINA SOARES NASCIMENTO"/>
            <filter val="COLÉGIO ESTADUAL PROFESSOR RÔMULO GALVÃO - MONTE CASTELO - TEMPO INTEGRAL"/>
            <filter val="COLÉGIO ESTADUAL PROFESSOR EDGARD SANTOS"/>
            <filter val="COLÉGIO ESTADUAL DE ÁGUA FRIA"/>
            <filter val="COLÉGIO ESTADUAL DE TEMPO INTEGRAL DE IGAPORA"/>
            <filter val="ANEXO - CEMIT - IRECÊ - DISTRITO DE CANAL"/>
            <filter val="COLÉGIO ESTADUAL DE TEMPO INTEGRAL DE ITANHEM (ANTIGO POLIVALENTE )"/>
            <filter val="COLÉGIO ESTADUAL INDÍGENA DE CORUMBAUZINHO - ALDEIA CORUMBAUZINHO"/>
            <filter val="COLÉGIO ESTADUAL DE TEMPO INTEGRAL PROFESSORA MARIA MADALENA DA SILVA"/>
            <filter val="ANEXO - COLÉGIO ESTADUAL DE TEMPO INTEGRAL DE FEIRA DE SANTANA - CASA DE ATENDIMENTO SOCIOEDUCATIVO ZILDA ARNS - DISTRITO MERCANT"/>
            <filter val="ANEXO - CENTRO TERRITORIAL DE EDUCAÇÃO PROFISSIONAL BENTO ALVES DAS NEVES DE SÃO DESIDÉRIO - POVOADO PONTEZINHA"/>
            <filter val="COLÉGIO ESTADUAL IRMÃ ROSA APARECIDA"/>
            <filter val="COLÉGIO ESTADUAL DE TEMPO INTEGRAL DULCE ALMEIDA"/>
            <filter val="COLÉGIO ESTADUAL DE TEMPO INTEGRAL EUFRÁSIO GONÇALVES DE ALMEIDA - (ANTIGO NOME: COLEGIO ESTADUAL NORMAL DE PINTADAS - TEMPO INTEGRAL)"/>
            <filter val="ANEXO - CEMIT - VELHO CHICO-BARRA - POVOADO ITACOATIARA"/>
            <filter val="ANEXO - COLÉGIO ESTADUAL ODÍLIO ALVES NETO - DISTRITO MASSARANDUBA"/>
            <filter val="ESCOLA ESTADUAL OSCAR CORDEIRO"/>
            <filter val="COLÉGIO ESTADUAL DE TEMPO INTEGRAL DE TEOFILÂNDIA"/>
            <filter val="COLÉGIO ESTADUAL DO CAMPO CASTELO BRANCO - POVOADO TERRA BOA"/>
            <filter val="ANEXO - COLÉGIO ESTADUAL FILOMENA PEREIRA RODRIGUES - DISTRITO DE RAMALHO"/>
            <filter val="ANEXO - CEMIT - SISAL - POVOADO SEM FREIO"/>
            <filter val="COLÉGIO ESTADUAL GOVERNADOR LUIZ VIANA FILHO - EM TEMPO INTEGRAL"/>
            <filter val="ANEXO - COLÉGIO ESTADUAL PROFESSOR LUIZ NAVARRO DE BRITO - POV SÃO JOÃO DA FORTALEZA"/>
            <filter val="ANEXO - COLÉGIO ESTADUAL DE TEMPO INTEGRAL VELHO CHICO- DISTRITO DE BARRA DO PARATECA - COMUNIDADE QUILOMBOLA"/>
            <filter val="ANEXO - CEMIT - CHAPADA DIAMANTINA - DISTRITO DE ENTRONCAMENTO"/>
            <filter val="ANEXO - COLÉGIO ESTADUAL EVERTON OLIVEIRA DE SANTANA - DISTRITO CHAPADA GRANDE"/>
            <filter val="ANEXO - COLÉGIO ESTADUAL PROFESSORA JANE ASSIS PEIXOTO - DIST DE HELVÉCIA - COMUNIDADE QUILOMBOLA"/>
            <filter val="COLÉGIO ESTADUAL DO CAMPO DE TEMPO INTEGRAL DA TERRA DO CAFÉ (ANTIGO CE EDIVALDO BOAVENTURA)"/>
            <filter val="COLÉGIO ESTADUAL HELENA ASSIS SUZART"/>
            <filter val="CENTRO ESTADUAL DE EDUCAÇÃO PROFISSIONAL DO SEMI ARIDO"/>
            <filter val="ANEXO - COLÉGIO ESTADUAL ARY SILVA - DISTRITO DE PIAUS"/>
            <filter val="ANEXO - COLÉGIO ESTADUAL PROFESSORA TEREZINHA SCARAMUSSA - DISTRITO PONTO CENTRAL"/>
            <filter val="ANEXO - COLÉGIO ESTADUAL BADEN POWELL - POVOADO DE GABIARRA"/>
            <filter val="ANEXO - CEMIT - VELHO CHICO-BARRA - DISTRITO DE IBIRABA"/>
            <filter val="ANEXO - COLEGIO ESTADUAL PRISCO VIANA - COMUNIDADE RIO DE PEDRAS"/>
            <filter val="COLÉGIO ESTADUAL DO CAMPO LUCIA ROCHA MACEDO- ASSENTAMENTO CANGUSSU"/>
            <filter val="COLÉGIO ESTADUAL PROFESSORA GILDETE DE SOUZA VIANA"/>
            <filter val="ANEXO - COLÉGIO ESTADUAL DE TEMPO INTEGRAL ALBÉRCIO DA COSTA BRITO - DISTRITO DE LAGOA DA LAGE"/>
            <filter val="COLÉGIO ESTADUAL DE TEMPO INTEGRAL SISINIO RIBEIRO SILVA  - DISTRITO DE LINDO HORIZONTE"/>
            <filter val="ANEXO - CEMIT - SERTAO DO SAO FRANCISCO - POVOADO LAGOA DO ANGICO"/>
            <filter val="ESCOLA FAMILIA AGRICOLA DE MACAUBAS"/>
            <filter val="ANEXO DO CEMIT EXTREMO SUL - DISTRITO DE TAQUARI"/>
            <filter val="COLÉGIO ESTADUAL DO CAMPO MARIA MENDES DE SOUZA (ANTIGO - COLÉGIO ESTADUAL DE INHAMBUPE)"/>
            <filter val="ANEXO - CEMIT - VELHO CHICO-BARRA - LIMOEIRO"/>
            <filter val="COLÉGIO ESTADUAL DE TEMPO INTEGRAL NOVIS FILHO"/>
            <filter val="ANEXO - CEMIT - VELHO CHICO-BARRA - POVOADO PRIMAVERA"/>
            <filter val="COLÉGIO ESTADUAL DO CAMPO JOÃO CARLOS MEIRELES PAULILO"/>
            <filter val="ANEXO - CEMIT - VELHO CHICO - POVOADO DE BOM SOSSEGO"/>
            <filter val="ANEXO - COLÉGIO ESTADUAL CECILIO MATTOS - COOPERATIVA AGRICOLA - CAJ"/>
            <filter val="ANEXO - CEMIT - IRECÊ - POVOADO BARREIROS - COMUNIDADE QUILOMBOLA"/>
            <filter val="ANEXO - COLÉGIO DEMOCRATICO ESTADUAL PROFESSORA FLORENTINA ALVES DOS SANTOS - DISTRITO DE CARNAIBA"/>
            <filter val="ANEXO - CEMIT - BACIA DO RIO GRANDE - POVOADO DE BOM SOSSEGO"/>
            <filter val="ANEXO - CEMIT BACIA DO RIO GRANDE - DISTRITO DE CARAIBA DE MELO"/>
            <filter val="ANEXO - COLÉGIO ESTADUAL DE TEMPO INTEGRAL DE LICÍNIO DE ALMEIDA - DIST TAUAPE"/>
            <filter val="ANEXO DO COLÉGIO ESTADUAL INDIGENA CARAMURU PARAGUACU - ALDEIA - POVOADO OURINHO"/>
            <filter val="ANEXO - CEMIT BAIXO SUL - DISTRITO DE JEQUIEZINHO MIRIM"/>
            <filter val="ANEXO - CEMIT - SERTAO DO SAO FRANCISCO - POVOADO DO JUNCO"/>
            <filter val="COLÉGIO ESTADUAL DE TEMPO INTEGRAL PROFESSORA MARIA DA CONCEIÇÃO SOBRINHO MIRANDA&#10;(ANTIGO - COLÉGIO ESTADUAL JOHN KENNEDY)"/>
            <filter val="ANEXO - COLÉGIO ESTADUAL DE TEMPO INTEGRAL SOFIA MASCARENHAS  - DISTRITO DE REDENÇÃO"/>
            <filter val="COLÉGIO ESTADUAL DE TEMPO INTEGRAL DOUTOR JOSÉ CARLOS BEZERRA CARVALHO"/>
            <filter val="CENTRO ESTADUAL EDUCACAO ESPECIAL DE CAETITE PROFESSORA IELITA NEVES COTRIM SILVA"/>
            <filter val="CENTRO ESTADUAL DE EDUCACAO PROFISSIONAL EM TECNOLOGIA INFORMACAO E COMUNICACAO"/>
            <filter val="ANEXO - COLÉGIO ESTADUAL LAURO FARANI PEDREIRA DE FREITAS - POVOADO JOAO AMARO"/>
            <filter val="ANEXO DO COL. EST - INDIGENA JOSE ZACARIAS - ALDEIA MARCACAO"/>
            <filter val="ANEXO - COLÉGIO ESTADUAL FRANCISCO MOREIRA ALVES - POVOADO DE BREJAO"/>
            <filter val="COLÉGIO ESTADUAL DE TEMPO INTEGRAL TEODORO SAMPAIO"/>
            <filter val="COLÉGIO ESTADUAL DE TEMPO INTEGRAL DE CORRENTINA (ANTIGO - COLÉGIO ESTADUAL DUQUE DE CAXIAS)"/>
            <filter val="ANEXO - COLÉGIO ESTADUAL EURIDICE SANTANA - POVOADO MACHADO PORTELA"/>
            <filter val="ANEXO - COLEGIO ESTADUAL DO CAMPO FILINTO JUSTINIANO BASTOS - POVOADO DE PALMEIRAS DOS MENDES"/>
            <filter val="ANEXO - COLÉGIO ESTADUAL DE TEMPO INTEGRAL EVANDRO BRANDAO - VOLTA DA SERRA"/>
            <filter val="ANEXO - COLEGIO ESTADUAL QUILOMBOLA LUIS JOSE DOS SANTOS - POVOADO CURRAL VELHO"/>
            <filter val="ANEXO - CEMIT SISAL - DIST. DE PEDRA ALTA"/>
            <filter val="ANEXO - COLÉGIO ESTADUAL DE TEMPO INTEGRAL SOROR JOANA ANGÉLICA - DISTRITO SUSSUARANA"/>
            <filter val="ESCOLA FAMILIA AGRICOLA DE LICINIO DE ALMEIDA"/>
            <filter val="ANEXO - COLÉGIO ESTADUAL LOIDE ALCANTARA NEVES - DISTRITO DE UNIÃO BAHIANA"/>
          </filters>
        </filterColumn>
        <filterColumn colId="1">
          <filters>
            <filter val="SALVADOR"/>
          </filters>
        </filterColumn>
      </autoFilter>
    </customSheetView>
    <customSheetView guid="{618DB2E1-EE25-4726-A456-BA1CA148415D}" filter="1" showAutoFilter="1">
      <autoFilter ref="$A$7:$BK$1697">
        <sortState ref="A7:BK1697">
          <sortCondition ref="BG7:BG1697"/>
        </sortState>
      </autoFilter>
    </customSheetView>
    <customSheetView guid="{A29742EB-F11F-43EB-8C4B-8CE98826A64E}" filter="1" showAutoFilter="1">
      <autoFilter ref="$A$1:$BK$1697"/>
    </customSheetView>
  </customSheetViews>
  <mergeCells count="39">
    <mergeCell ref="L5:L6"/>
    <mergeCell ref="M5:S5"/>
    <mergeCell ref="AX5:AX6"/>
    <mergeCell ref="AY5:AZ5"/>
    <mergeCell ref="BA5:BA6"/>
    <mergeCell ref="BB5:BB6"/>
    <mergeCell ref="BC5:BC6"/>
    <mergeCell ref="BD5:BD6"/>
    <mergeCell ref="BE5:BE6"/>
    <mergeCell ref="BF5:BF6"/>
    <mergeCell ref="BG5:BG6"/>
    <mergeCell ref="BH5:BH6"/>
    <mergeCell ref="BI5:BI6"/>
    <mergeCell ref="BJ5:BJ6"/>
    <mergeCell ref="BM5:BM6"/>
    <mergeCell ref="A1:BK1"/>
    <mergeCell ref="A2:D2"/>
    <mergeCell ref="A5:A6"/>
    <mergeCell ref="B5:B6"/>
    <mergeCell ref="C5:C6"/>
    <mergeCell ref="D5:D6"/>
    <mergeCell ref="E5:E6"/>
    <mergeCell ref="BK5:BK6"/>
    <mergeCell ref="F5:F6"/>
    <mergeCell ref="G5:G6"/>
    <mergeCell ref="H5:H6"/>
    <mergeCell ref="I5:I6"/>
    <mergeCell ref="J5:J6"/>
    <mergeCell ref="K5:K6"/>
    <mergeCell ref="A1697:L1697"/>
    <mergeCell ref="G1699:BF1699"/>
    <mergeCell ref="T5:T6"/>
    <mergeCell ref="U5:U6"/>
    <mergeCell ref="V5:Z5"/>
    <mergeCell ref="AA5:AE5"/>
    <mergeCell ref="AF5:AJ5"/>
    <mergeCell ref="AK5:AN5"/>
    <mergeCell ref="AO5:AR5"/>
    <mergeCell ref="AS5:AW5"/>
  </mergeCells>
  <conditionalFormatting sqref="A1697:BG1698 BK1698:BM1698">
    <cfRule type="notContainsBlanks" dxfId="7" priority="1">
      <formula>LEN(TRIM(A1697))&gt;0</formula>
    </cfRule>
  </conditionalFormatting>
  <conditionalFormatting sqref="M3:S3 M5:S1698">
    <cfRule type="beginsWith" dxfId="10" priority="2" operator="beginsWith" text="VERIFICAR CÓD">
      <formula>LEFT((M3),LEN("VERIFICAR CÓD"))=("VERIFICAR CÓD")</formula>
    </cfRule>
  </conditionalFormatting>
  <printOptions/>
  <pageMargins bottom="0.28991666666666666" footer="0.0" header="0.0" left="0.27808333333333335" right="0.36341666666666667" top="0.2115"/>
  <pageSetup fitToHeight="0" orientation="landscape"/>
  <headerFooter>
    <oddFooter>&amp;L25/10/2021 às 14:06 (RS)&amp;C&amp;P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9.14"/>
    <col customWidth="1" min="2" max="4" width="9.43"/>
    <col customWidth="1" min="5" max="11" width="11.43"/>
    <col customWidth="1" min="12" max="13" width="9.43"/>
    <col hidden="1" min="52" max="54" width="14.43"/>
  </cols>
  <sheetData>
    <row r="1" ht="57.0" customHeight="1">
      <c r="A1" s="8"/>
      <c r="B1" s="12" t="s">
        <v>5</v>
      </c>
      <c r="L1" s="16"/>
      <c r="AV1" s="16"/>
      <c r="AW1" s="16"/>
      <c r="AX1" s="16"/>
      <c r="AY1" s="16"/>
      <c r="AZ1" s="16"/>
      <c r="BA1" s="16"/>
      <c r="BB1" s="16"/>
      <c r="BC1" s="23"/>
    </row>
    <row r="2">
      <c r="A2" s="24" t="s">
        <v>2</v>
      </c>
      <c r="B2" s="26" t="s">
        <v>14</v>
      </c>
      <c r="C2" s="2"/>
      <c r="D2" s="2"/>
      <c r="E2" s="2"/>
      <c r="F2" s="2"/>
      <c r="G2" s="2"/>
      <c r="H2" s="2"/>
      <c r="I2" s="2"/>
      <c r="J2" s="2"/>
      <c r="K2" s="2"/>
      <c r="L2" s="2"/>
      <c r="M2" s="2"/>
      <c r="N2" s="2"/>
      <c r="O2" s="2"/>
      <c r="P2" s="2"/>
      <c r="Q2" s="2"/>
      <c r="R2" s="2"/>
      <c r="S2" s="2"/>
      <c r="T2" s="2"/>
      <c r="U2" s="30"/>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3"/>
    </row>
    <row r="3">
      <c r="A3" s="32"/>
      <c r="B3" s="34" t="s">
        <v>24</v>
      </c>
      <c r="C3" s="2"/>
      <c r="D3" s="2"/>
      <c r="E3" s="2"/>
      <c r="F3" s="2"/>
      <c r="G3" s="2"/>
      <c r="H3" s="2"/>
      <c r="I3" s="2"/>
      <c r="J3" s="2"/>
      <c r="K3" s="35"/>
      <c r="L3" s="36" t="s">
        <v>27</v>
      </c>
      <c r="M3" s="2"/>
      <c r="N3" s="2"/>
      <c r="O3" s="2"/>
      <c r="P3" s="2"/>
      <c r="Q3" s="2"/>
      <c r="R3" s="2"/>
      <c r="S3" s="2"/>
      <c r="T3" s="35"/>
      <c r="U3" s="37" t="s">
        <v>32</v>
      </c>
      <c r="V3" s="2"/>
      <c r="W3" s="2"/>
      <c r="X3" s="2"/>
      <c r="Y3" s="2"/>
      <c r="Z3" s="2"/>
      <c r="AA3" s="2"/>
      <c r="AB3" s="2"/>
      <c r="AC3" s="3"/>
      <c r="AD3" s="38" t="s">
        <v>36</v>
      </c>
      <c r="AE3" s="2"/>
      <c r="AF3" s="2"/>
      <c r="AG3" s="2"/>
      <c r="AH3" s="2"/>
      <c r="AI3" s="2"/>
      <c r="AJ3" s="2"/>
      <c r="AK3" s="2"/>
      <c r="AL3" s="3"/>
      <c r="AM3" s="39" t="s">
        <v>39</v>
      </c>
      <c r="AN3" s="40"/>
      <c r="AO3" s="40"/>
      <c r="AP3" s="40"/>
      <c r="AQ3" s="40"/>
      <c r="AR3" s="40"/>
      <c r="AS3" s="40"/>
      <c r="AT3" s="40"/>
      <c r="AU3" s="41"/>
      <c r="AV3" s="38" t="s">
        <v>45</v>
      </c>
      <c r="AW3" s="40"/>
      <c r="AX3" s="40"/>
      <c r="AY3" s="40"/>
      <c r="AZ3" s="40"/>
      <c r="BA3" s="40"/>
      <c r="BB3" s="40"/>
      <c r="BC3" s="41"/>
    </row>
    <row r="4">
      <c r="A4" s="42"/>
      <c r="B4" s="43" t="s">
        <v>50</v>
      </c>
      <c r="C4" s="43" t="s">
        <v>53</v>
      </c>
      <c r="D4" s="43" t="s">
        <v>54</v>
      </c>
      <c r="E4" s="43" t="s">
        <v>55</v>
      </c>
      <c r="F4" s="43" t="s">
        <v>57</v>
      </c>
      <c r="G4" s="43" t="s">
        <v>59</v>
      </c>
      <c r="H4" s="43" t="s">
        <v>61</v>
      </c>
      <c r="I4" s="43" t="s">
        <v>62</v>
      </c>
      <c r="J4" s="43" t="s">
        <v>64</v>
      </c>
      <c r="K4" s="46" t="s">
        <v>65</v>
      </c>
      <c r="L4" s="48" t="s">
        <v>68</v>
      </c>
      <c r="M4" s="50" t="s">
        <v>72</v>
      </c>
      <c r="N4" s="43" t="s">
        <v>74</v>
      </c>
      <c r="O4" s="43" t="s">
        <v>75</v>
      </c>
      <c r="P4" s="43" t="s">
        <v>76</v>
      </c>
      <c r="Q4" s="43" t="s">
        <v>77</v>
      </c>
      <c r="R4" s="46" t="s">
        <v>78</v>
      </c>
      <c r="S4" s="46" t="s">
        <v>79</v>
      </c>
      <c r="T4" s="53" t="s">
        <v>80</v>
      </c>
      <c r="U4" s="54" t="s">
        <v>82</v>
      </c>
      <c r="V4" s="43" t="s">
        <v>84</v>
      </c>
      <c r="W4" s="43" t="s">
        <v>85</v>
      </c>
      <c r="X4" s="43" t="s">
        <v>87</v>
      </c>
      <c r="Y4" s="43" t="s">
        <v>89</v>
      </c>
      <c r="Z4" s="43" t="s">
        <v>90</v>
      </c>
      <c r="AA4" s="46" t="s">
        <v>91</v>
      </c>
      <c r="AB4" s="46" t="s">
        <v>92</v>
      </c>
      <c r="AC4" s="46" t="s">
        <v>93</v>
      </c>
      <c r="AD4" s="43" t="s">
        <v>94</v>
      </c>
      <c r="AE4" s="43" t="s">
        <v>95</v>
      </c>
      <c r="AF4" s="43" t="s">
        <v>96</v>
      </c>
      <c r="AG4" s="43" t="s">
        <v>98</v>
      </c>
      <c r="AH4" s="43" t="s">
        <v>99</v>
      </c>
      <c r="AI4" s="43" t="s">
        <v>100</v>
      </c>
      <c r="AJ4" s="46" t="s">
        <v>101</v>
      </c>
      <c r="AK4" s="46" t="s">
        <v>103</v>
      </c>
      <c r="AL4" s="46" t="s">
        <v>104</v>
      </c>
      <c r="AM4" s="58" t="s">
        <v>106</v>
      </c>
      <c r="AN4" s="58" t="s">
        <v>107</v>
      </c>
      <c r="AO4" s="58" t="s">
        <v>109</v>
      </c>
      <c r="AP4" s="58" t="s">
        <v>110</v>
      </c>
      <c r="AQ4" s="58" t="s">
        <v>112</v>
      </c>
      <c r="AR4" s="58" t="s">
        <v>113</v>
      </c>
      <c r="AS4" s="60" t="s">
        <v>115</v>
      </c>
      <c r="AT4" s="60" t="s">
        <v>117</v>
      </c>
      <c r="AU4" s="60" t="s">
        <v>118</v>
      </c>
      <c r="AV4" s="61" t="s">
        <v>120</v>
      </c>
      <c r="AW4" s="62" t="s">
        <v>121</v>
      </c>
      <c r="AX4" s="61" t="s">
        <v>123</v>
      </c>
      <c r="AY4" s="61" t="s">
        <v>124</v>
      </c>
      <c r="AZ4" s="61" t="s">
        <v>125</v>
      </c>
      <c r="BA4" s="63" t="s">
        <v>126</v>
      </c>
      <c r="BB4" s="63" t="s">
        <v>128</v>
      </c>
      <c r="BC4" s="63" t="s">
        <v>129</v>
      </c>
    </row>
    <row r="5">
      <c r="A5" s="64" t="s">
        <v>130</v>
      </c>
      <c r="B5" s="75">
        <f t="shared" ref="B5:C5" si="1">SUM(L5,U5,AD5,AM5)</f>
        <v>7</v>
      </c>
      <c r="C5" s="75">
        <f t="shared" si="1"/>
        <v>5</v>
      </c>
      <c r="D5" s="75">
        <f>COUNTIFS(GERAL!A$8:A$1696,A5,GERAL!C$8:C$1696,"EFA")</f>
        <v>0</v>
      </c>
      <c r="E5" s="85">
        <f t="shared" ref="E5:K5" si="2">SUM(N5,W5,AF5,AO5,AW5)</f>
        <v>0</v>
      </c>
      <c r="F5" s="85">
        <f t="shared" si="2"/>
        <v>0</v>
      </c>
      <c r="G5" s="85">
        <f t="shared" si="2"/>
        <v>1799</v>
      </c>
      <c r="H5" s="85">
        <f t="shared" si="2"/>
        <v>0</v>
      </c>
      <c r="I5" s="85">
        <f t="shared" si="2"/>
        <v>362</v>
      </c>
      <c r="J5" s="85">
        <f t="shared" si="2"/>
        <v>248</v>
      </c>
      <c r="K5" s="88">
        <f t="shared" si="2"/>
        <v>2409</v>
      </c>
      <c r="L5" s="95">
        <f>COUNTIFS(GERAL!$A$8:$A32,A5,GERAL!$BM$8:$BM32,"INDÍGENAS",GERAL!$C$8:$C32,"ESCOLA")</f>
        <v>0</v>
      </c>
      <c r="M5" s="75">
        <f>COUNTIFS(GERAL!$A$8:$A32,A5,GERAL!$BM$8:$BM32,"INDÍGENAS",GERAL!$C$8:$C32,"ANEXO")</f>
        <v>0</v>
      </c>
      <c r="N5" s="100">
        <f>SUMIFS(GERAL!$Z$8:$Z32,GERAL!$A$8:$A32,A5,GERAL!$BM$8:$BM32,$L$3)</f>
        <v>0</v>
      </c>
      <c r="O5" s="100">
        <f>SUMIFS(GERAL!$AE$8:$AE32,GERAL!$A$8:$A32,A5,GERAL!$BM$8:$BM32,$L$3)</f>
        <v>0</v>
      </c>
      <c r="P5" s="100">
        <f>SUMIFS(GERAL!$AJ$8:$AJ32,GERAL!$A$8:$A32,A5,GERAL!$BM$8:$BM32,$L$3)</f>
        <v>0</v>
      </c>
      <c r="Q5" s="100">
        <f>SUMIFS(GERAL!$AN$8:$AN32,GERAL!$A$8:$A32,A5,GERAL!$BM$8:$BM32,$L$3)</f>
        <v>0</v>
      </c>
      <c r="R5" s="100">
        <f>SUMIFS(GERAL!$AR$8:$AR32,GERAL!$A$8:$A32,A5,GERAL!$BM$8:$BM32,$L$3)</f>
        <v>0</v>
      </c>
      <c r="S5" s="100">
        <f>SUMIFS(GERAL!$AW$8:$AW32,GERAL!$A$8:$A32,A5,GERAL!$BM$8:$BM32,$L$3)</f>
        <v>0</v>
      </c>
      <c r="T5" s="103">
        <f t="shared" ref="T5:T32" si="5">SUM(N5:S5)</f>
        <v>0</v>
      </c>
      <c r="U5" s="75">
        <f>COUNTIFS(GERAL!$A$8:$A32,A5,GERAL!$BM$8:$BM32,"QUILOMBOLAS",GERAL!$C$8:$C32,"ESCOLA")</f>
        <v>0</v>
      </c>
      <c r="V5" s="75">
        <f>COUNTIFS(GERAL!$A$8:$A32,A5,GERAL!$BM$8:$BM32,"QUILOMBOLAS",GERAL!$C$8:$C32,"ANEXO")</f>
        <v>3</v>
      </c>
      <c r="W5" s="85">
        <f>SUMIFS(GERAL!$Z$8:$Z32,GERAL!$A$8:$A32,A5,GERAL!$BM$8:$BM32,$U$3)</f>
        <v>0</v>
      </c>
      <c r="X5" s="85">
        <f>SUMIFS(GERAL!$AE$8:$AE32,GERAL!$A$8:$A32,A5,GERAL!$BM$8:$BM32,$U$3)</f>
        <v>0</v>
      </c>
      <c r="Y5" s="85">
        <f>SUMIFS(GERAL!$AJ$8:$AJ32,GERAL!$A$8:$A32,A5,GERAL!$BM$8:$BM32,$U$3)</f>
        <v>140</v>
      </c>
      <c r="Z5" s="85">
        <f>SUMIFS(GERAL!$AN$8:$AN32,GERAL!$A$8:$A32,A5,GERAL!$BM$8:$BM32,$U$3)</f>
        <v>0</v>
      </c>
      <c r="AA5" s="85">
        <f>SUMIFS(GERAL!$AR$8:$AR32,GERAL!$A$8:$A32,A5,GERAL!$BM$8:$BM32,$U$3)</f>
        <v>0</v>
      </c>
      <c r="AB5" s="85">
        <f>SUMIFS(GERAL!$AW$8:$AW32,GERAL!$A$8:$A32,A5,GERAL!$BM$8:$BM32,$U$3)</f>
        <v>0</v>
      </c>
      <c r="AC5" s="88">
        <f t="shared" ref="AC5:AC31" si="6">SUM(W5:AB5)</f>
        <v>140</v>
      </c>
      <c r="AD5" s="116">
        <f>COUNTIFS(GERAL!$A$8:$A32,A5,GERAL!$BM$8:$BM32,"ASSENTAMENTOS",GERAL!$C$8:$C32,"ESCOLA")</f>
        <v>0</v>
      </c>
      <c r="AE5" s="118">
        <f>COUNTIFS(GERAL!$A$8:$A32,A5,GERAL!$BM$8:$BM32,"ASSENTAMENTOS",GERAL!$C$8:$C32,"ANEXO")</f>
        <v>1</v>
      </c>
      <c r="AF5" s="121">
        <f>SUMIFS(GERAL!$Z$8:$Z32,GERAL!$A$8:$A32,A5,GERAL!$BM$8:$BM32,$AD$3)</f>
        <v>0</v>
      </c>
      <c r="AG5" s="121">
        <f>SUMIFS(GERAL!$AE$8:$AE32,GERAL!$A$8:$A32,A5,GERAL!$BM$8:$BM32,$AD$3)
</f>
        <v>0</v>
      </c>
      <c r="AH5" s="121">
        <f>SUMIFS(GERAL!$AJ$8:$AJ32,GERAL!$A$8:$A32,A5,GERAL!$BM$8:$BM32,$AD$3)</f>
        <v>14</v>
      </c>
      <c r="AI5" s="121">
        <f>SUMIFS(GERAL!$AN$8:$AN32,GERAL!$A$8:$A32,A5,GERAL!$BM$8:$BM32,$AD$3)</f>
        <v>0</v>
      </c>
      <c r="AJ5" s="121">
        <f>SUMIFS(GERAL!$AR$8:$AR32,GERAL!$A$8:$A32,A5,GERAL!$BM$8:$BM32,$AD$3)</f>
        <v>0</v>
      </c>
      <c r="AK5" s="121">
        <f>SUMIFS(GERAL!$AW$8:$AW32,GERAL!$A$8:$A32,A5,GERAL!$BM$8:$BM32,$AD$3)</f>
        <v>0</v>
      </c>
      <c r="AL5" s="124">
        <f t="shared" ref="AL5:AL31" si="7">SUM(AF5:AK5)</f>
        <v>14</v>
      </c>
      <c r="AM5" s="116">
        <f>COUNTIFS(GERAL!$A$8:$A32,A5,GERAL!$BM$8:$BM32,"CAMPO",GERAL!$C$8:$C32,"ESCOLA")</f>
        <v>7</v>
      </c>
      <c r="AN5" s="118">
        <f>COUNTIFS(GERAL!$A$8:$A32,A5,GERAL!$BM$8:$BM32,"CAMPO",GERAL!$C$8:$C32,"ANEXO")</f>
        <v>1</v>
      </c>
      <c r="AO5" s="121">
        <f>SUMIFS(GERAL!$Z$8:$Z32,GERAL!$A$8:$A32,A5,GERAL!$BM$8:$BM32,$AM$3)</f>
        <v>0</v>
      </c>
      <c r="AP5" s="121">
        <f>SUMIFS(GERAL!$AE$8:$AE32,GERAL!$A$8:$A32,A5,GERAL!$BM$8:$BM32,$AM$3)</f>
        <v>0</v>
      </c>
      <c r="AQ5" s="121">
        <f>SUMIFS(GERAL!$AJ$8:$AJ32,GERAL!$A$8:$A32,A5,GERAL!$BM$8:$BM32,$AM$3)</f>
        <v>1645</v>
      </c>
      <c r="AR5" s="121">
        <f>SUMIFS(GERAL!$AN$8:$AN32,GERAL!$A$8:$A32,A5,GERAL!$BM$8:$BM32,$AM$3)</f>
        <v>0</v>
      </c>
      <c r="AS5" s="121">
        <f>SUMIFS(GERAL!$AR$8:$AR32,GERAL!$A$8:$A32,A5,GERAL!$BM$8:$BM32,$AM$3)</f>
        <v>362</v>
      </c>
      <c r="AT5" s="121">
        <f>SUMIFS(GERAL!$AW$8:$AW32,GERAL!$A$8:$A32,A5,GERAL!$BM$8:$BM32,$AM$3)</f>
        <v>248</v>
      </c>
      <c r="AU5" s="124">
        <f t="shared" ref="AU5:AU31" si="8">SUM(AO5:AT5)</f>
        <v>2255</v>
      </c>
      <c r="AV5" s="116">
        <f>COUNTIFS(GERAL!$A$8:$A32,A5,GERAL!$AX$8:$AX32,"&gt;0",GERAL!$BM$8:$BM32,"EFA",GERAL!$C$8:$C32,"EFA")</f>
        <v>0</v>
      </c>
      <c r="AW5" s="121">
        <f>SUMIFS(GERAL!$AW$8:$AW32,GERAL!$A$8:$A32,A5,GERAL!$BM$8:$BM32,$AV$3)</f>
        <v>0</v>
      </c>
      <c r="AX5" s="121">
        <f>SUMIFS(GERAL!$AE$8:$AE32,GERAL!$A$8:$A32,A5,GERAL!$BM$8:$BM32,$AV$3)</f>
        <v>0</v>
      </c>
      <c r="AY5" s="121">
        <f>SUMIFS(GERAL!$AJ$8:$AJ32,GERAL!$A$8:$A32,A5,GERAL!$BM$8:$BM32,$AV$3)</f>
        <v>0</v>
      </c>
      <c r="AZ5" s="121">
        <f>SUMIFS(GERAL!$AN$8:$AN32,GERAL!$A$8:$A32,A5,GERAL!$BM$8:$BM32,$AV$3)</f>
        <v>0</v>
      </c>
      <c r="BA5" s="121">
        <f>SUMIFS(GERAL!$AR$8:$AR32,GERAL!$A$8:$A32,A5,GERAL!$BM$8:$BM32,$AV$3)</f>
        <v>0</v>
      </c>
      <c r="BB5" s="121">
        <f>SUMIFS(GERAL!$AW$8:$AW32,GERAL!$A$8:$A32,A5,GERAL!$BM$8:$BM32,$AV$3)</f>
        <v>0</v>
      </c>
      <c r="BC5" s="134">
        <f t="shared" ref="BC5:BC31" si="9">SUM(AW5:BB5)</f>
        <v>0</v>
      </c>
    </row>
    <row r="6">
      <c r="A6" s="135" t="s">
        <v>205</v>
      </c>
      <c r="B6" s="75">
        <f t="shared" ref="B6:C6" si="3">SUM(L6,U6,AD6,AM6)</f>
        <v>7</v>
      </c>
      <c r="C6" s="75">
        <f t="shared" si="3"/>
        <v>19</v>
      </c>
      <c r="D6" s="75">
        <f>COUNTIFS(GERAL!A$8:A$1696,A6,GERAL!C$8:C$1696,"EFA")</f>
        <v>4</v>
      </c>
      <c r="E6" s="85">
        <f t="shared" ref="E6:E31" si="11">N6</f>
        <v>29</v>
      </c>
      <c r="F6" s="85">
        <f t="shared" ref="F6:K6" si="4">SUM(O6,X6,AG6,AP6,AX6)</f>
        <v>79</v>
      </c>
      <c r="G6" s="85">
        <f t="shared" si="4"/>
        <v>1801</v>
      </c>
      <c r="H6" s="85">
        <f t="shared" si="4"/>
        <v>6</v>
      </c>
      <c r="I6" s="85">
        <f t="shared" si="4"/>
        <v>502</v>
      </c>
      <c r="J6" s="85">
        <f t="shared" si="4"/>
        <v>211</v>
      </c>
      <c r="K6" s="88">
        <f t="shared" si="4"/>
        <v>2628</v>
      </c>
      <c r="L6" s="95">
        <f>COUNTIFS(GERAL!$A$8:$A32,A6,GERAL!$BM$8:$BM32,"INDÍGENAS",GERAL!$C$8:$C32,"ESCOLA")</f>
        <v>2</v>
      </c>
      <c r="M6" s="75">
        <f>COUNTIFS(GERAL!$A$8:$A32,A6,GERAL!$BM$8:$BM32,"INDÍGENAS",GERAL!$C$8:$C32,"ANEXO")</f>
        <v>0</v>
      </c>
      <c r="N6" s="100">
        <f>SUMIFS(GERAL!$Z$8:$Z32,GERAL!$A$8:$A32,A6,GERAL!$BM$8:$BM32,$L$3)</f>
        <v>29</v>
      </c>
      <c r="O6" s="100">
        <f>SUMIFS(GERAL!$AE$8:$AE32,GERAL!$A$8:$A32,A6,GERAL!$BM$8:$BM32,$L$3)</f>
        <v>79</v>
      </c>
      <c r="P6" s="100">
        <f>SUMIFS(GERAL!$AJ$8:$AJ32,GERAL!$A$8:$A32,A6,GERAL!$BM$8:$BM32,$L$3)</f>
        <v>63</v>
      </c>
      <c r="Q6" s="100">
        <f>SUMIFS(GERAL!$AN$8:$AN32,GERAL!$A$8:$A32,A6,GERAL!$BM$8:$BM32,$L$3)</f>
        <v>6</v>
      </c>
      <c r="R6" s="100">
        <f>SUMIFS(GERAL!$AR$8:$AR32,GERAL!$A$8:$A32,A6,GERAL!$BM$8:$BM32,$L$3)</f>
        <v>17</v>
      </c>
      <c r="S6" s="100">
        <f>SUMIFS(GERAL!$AW$8:$AW32,GERAL!$A$8:$A32,A6,GERAL!$BM$8:$BM32,$L$3)</f>
        <v>0</v>
      </c>
      <c r="T6" s="103">
        <f t="shared" si="5"/>
        <v>194</v>
      </c>
      <c r="U6" s="75">
        <f>COUNTIFS(GERAL!$A$8:$A32,A6,GERAL!$BM$8:$BM32,"QUILOMBOLAS",GERAL!$C$8:$C32,"ESCOLA")</f>
        <v>0</v>
      </c>
      <c r="V6" s="75">
        <f>COUNTIFS(GERAL!$A$8:$A32,A6,GERAL!$BM$8:$BM32,"QUILOMBOLAS",GERAL!$C$8:$C32,"ANEXO")</f>
        <v>9</v>
      </c>
      <c r="W6" s="85">
        <f>SUMIFS(GERAL!$Z$8:$Z32,GERAL!$A$8:$A32,A6,GERAL!$BM$8:$BM32,$U$3)</f>
        <v>0</v>
      </c>
      <c r="X6" s="85">
        <f>SUMIFS(GERAL!$AE$8:$AE32,GERAL!$A$8:$A32,A6,GERAL!$BM$8:$BM32,$U$3)</f>
        <v>0</v>
      </c>
      <c r="Y6" s="85">
        <f>SUMIFS(GERAL!$AJ$8:$AJ32,GERAL!$A$8:$A32,A6,GERAL!$BM$8:$BM32,$U$3)</f>
        <v>198</v>
      </c>
      <c r="Z6" s="85">
        <f>SUMIFS(GERAL!$AN$8:$AN32,GERAL!$A$8:$A32,A6,GERAL!$BM$8:$BM32,$U$3)</f>
        <v>0</v>
      </c>
      <c r="AA6" s="85">
        <f>SUMIFS(GERAL!$AR$8:$AR32,GERAL!$A$8:$A32,A6,GERAL!$BM$8:$BM32,$U$3)</f>
        <v>169</v>
      </c>
      <c r="AB6" s="85">
        <f>SUMIFS(GERAL!$AW$8:$AW32,GERAL!$A$8:$A32,A6,GERAL!$BM$8:$BM32,$U$3)</f>
        <v>0</v>
      </c>
      <c r="AC6" s="88">
        <f t="shared" si="6"/>
        <v>367</v>
      </c>
      <c r="AD6" s="116">
        <f>COUNTIFS(GERAL!$A$8:$A32,A6,GERAL!$BM$8:$BM32,"ASSENTAMENTOS",GERAL!$C$8:$C32,"ESCOLA")</f>
        <v>0</v>
      </c>
      <c r="AE6" s="118">
        <f>COUNTIFS(GERAL!$A$8:$A32,A6,GERAL!$BM$8:$BM32,"ASSENTAMENTOS",GERAL!$C$8:$C32,"ANEXO")</f>
        <v>1</v>
      </c>
      <c r="AF6" s="121">
        <f>SUMIFS(GERAL!$Z$8:$Z32,GERAL!$A$8:$A32,A6,GERAL!$BM$8:$BM32,$AD$3)</f>
        <v>0</v>
      </c>
      <c r="AG6" s="121">
        <f>SUMIFS(GERAL!$AE$8:$AE32,GERAL!$A$8:$A32,A6,GERAL!$BM$8:$BM32,$AD$3)
</f>
        <v>0</v>
      </c>
      <c r="AH6" s="121">
        <f>SUMIFS(GERAL!$AJ$8:$AJ32,GERAL!$A$8:$A32,A6,GERAL!$BM$8:$BM32,$AD$3)</f>
        <v>44</v>
      </c>
      <c r="AI6" s="121">
        <f>SUMIFS(GERAL!$AN$8:$AN32,GERAL!$A$8:$A32,A6,GERAL!$BM$8:$BM32,$AD$3)</f>
        <v>0</v>
      </c>
      <c r="AJ6" s="121">
        <f>SUMIFS(GERAL!$AR$8:$AR32,GERAL!$A$8:$A32,A6,GERAL!$BM$8:$BM32,$AD$3)</f>
        <v>0</v>
      </c>
      <c r="AK6" s="121">
        <f>SUMIFS(GERAL!$AW$8:$AW32,GERAL!$A$8:$A32,A6,GERAL!$BM$8:$BM32,$AD$3)</f>
        <v>0</v>
      </c>
      <c r="AL6" s="124">
        <f t="shared" si="7"/>
        <v>44</v>
      </c>
      <c r="AM6" s="116">
        <f>COUNTIFS(GERAL!$A$8:$A32,A6,GERAL!$BM$8:$BM32,"CAMPO",GERAL!$C$8:$C32,"ESCOLA")</f>
        <v>5</v>
      </c>
      <c r="AN6" s="118">
        <f>COUNTIFS(GERAL!$A$8:$A32,A6,GERAL!$BM$8:$BM32,"CAMPO",GERAL!$C$8:$C32,"ANEXO")</f>
        <v>9</v>
      </c>
      <c r="AO6" s="121">
        <f>SUMIFS(GERAL!$Z$8:$Z32,GERAL!$A$8:$A32,A6,GERAL!$BM$8:$BM32,$AM$3)</f>
        <v>0</v>
      </c>
      <c r="AP6" s="121">
        <f>SUMIFS(GERAL!$AE$8:$AE32,GERAL!$A$8:$A32,A6,GERAL!$BM$8:$BM32,$AM$3)</f>
        <v>0</v>
      </c>
      <c r="AQ6" s="121">
        <f>SUMIFS(GERAL!$AJ$8:$AJ32,GERAL!$A$8:$A32,A6,GERAL!$BM$8:$BM32,$AM$3)</f>
        <v>816</v>
      </c>
      <c r="AR6" s="121">
        <f>SUMIFS(GERAL!$AN$8:$AN32,GERAL!$A$8:$A32,A6,GERAL!$BM$8:$BM32,$AM$3)</f>
        <v>0</v>
      </c>
      <c r="AS6" s="121">
        <f>SUMIFS(GERAL!$AR$8:$AR32,GERAL!$A$8:$A32,A6,GERAL!$BM$8:$BM32,$AM$3)</f>
        <v>316</v>
      </c>
      <c r="AT6" s="121">
        <f>SUMIFS(GERAL!$AW$8:$AW32,GERAL!$A$8:$A32,A6,GERAL!$BM$8:$BM32,$AM$3)</f>
        <v>211</v>
      </c>
      <c r="AU6" s="124">
        <f t="shared" si="8"/>
        <v>1343</v>
      </c>
      <c r="AV6" s="116">
        <f>COUNTIFS(GERAL!$A$8:$A32,A6,GERAL!$AX$8:$AX32,"&gt;0",GERAL!$BM$8:$BM32,"EFA",GERAL!$C$8:$C32,"EFA")</f>
        <v>4</v>
      </c>
      <c r="AW6" s="121">
        <f>SUMIFS(GERAL!$AW$8:$AW32,GERAL!$A$8:$A32,A6,GERAL!$BM$8:$BM32,$AV$3)</f>
        <v>0</v>
      </c>
      <c r="AX6" s="121">
        <f>SUMIFS(GERAL!$AE$8:$AE32,GERAL!$A$8:$A32,A6,GERAL!$BM$8:$BM32,$AV$3)</f>
        <v>0</v>
      </c>
      <c r="AY6" s="121">
        <f>SUMIFS(GERAL!$AJ$8:$AJ32,GERAL!$A$8:$A32,A6,GERAL!$BM$8:$BM32,$AV$3)</f>
        <v>680</v>
      </c>
      <c r="AZ6" s="121">
        <f>SUMIFS(GERAL!$AN$8:$AN32,GERAL!$A$8:$A32,A6,GERAL!$BM$8:$BM32,$AV$3)</f>
        <v>0</v>
      </c>
      <c r="BA6" s="121">
        <f>SUMIFS(GERAL!$AR$8:$AR32,GERAL!$A$8:$A32,A6,GERAL!$BM$8:$BM32,$AV$3)</f>
        <v>0</v>
      </c>
      <c r="BB6" s="121">
        <f>SUMIFS(GERAL!$AW$8:$AW32,GERAL!$A$8:$A32,A6,GERAL!$BM$8:$BM32,$AV$3)</f>
        <v>0</v>
      </c>
      <c r="BC6" s="134">
        <f t="shared" si="9"/>
        <v>680</v>
      </c>
    </row>
    <row r="7" ht="17.25" customHeight="1">
      <c r="A7" s="151" t="s">
        <v>285</v>
      </c>
      <c r="B7" s="75">
        <f t="shared" ref="B7:C7" si="10">SUM(L7,U7,AD7,AM7)</f>
        <v>7</v>
      </c>
      <c r="C7" s="75">
        <f t="shared" si="10"/>
        <v>16</v>
      </c>
      <c r="D7" s="75">
        <f>COUNTIFS(GERAL!A$8:A$1696,A7,GERAL!C$8:C$1696,"EFA")</f>
        <v>1</v>
      </c>
      <c r="E7" s="85">
        <f t="shared" si="11"/>
        <v>0</v>
      </c>
      <c r="F7" s="85">
        <f t="shared" ref="F7:K7" si="12">SUM(O7,X7,AG7,AP7,AX7)</f>
        <v>71</v>
      </c>
      <c r="G7" s="85">
        <f t="shared" si="12"/>
        <v>1844</v>
      </c>
      <c r="H7" s="85">
        <f t="shared" si="12"/>
        <v>0</v>
      </c>
      <c r="I7" s="85">
        <f t="shared" si="12"/>
        <v>403</v>
      </c>
      <c r="J7" s="85">
        <f t="shared" si="12"/>
        <v>63</v>
      </c>
      <c r="K7" s="88">
        <f t="shared" si="12"/>
        <v>2381</v>
      </c>
      <c r="L7" s="95">
        <f>COUNTIFS(GERAL!$A$8:$A32,A7,GERAL!$BM$8:$BM32,"INDÍGENAS",GERAL!$C$8:$C32,"ESCOLA")</f>
        <v>0</v>
      </c>
      <c r="M7" s="75">
        <f>COUNTIFS(GERAL!$A$8:$A32,A7,GERAL!$BM$8:$BM32,"INDÍGENAS",GERAL!$C$8:$C32,"ANEXO")</f>
        <v>0</v>
      </c>
      <c r="N7" s="100">
        <f>SUMIFS(GERAL!$Z$8:$Z32,GERAL!$A$8:$A32,A7,GERAL!$BM$8:$BM32,$L$3)</f>
        <v>0</v>
      </c>
      <c r="O7" s="100">
        <f>SUMIFS(GERAL!$AE$8:$AE32,GERAL!$A$8:$A32,A7,GERAL!$BM$8:$BM32,$L$3)</f>
        <v>0</v>
      </c>
      <c r="P7" s="100">
        <f>SUMIFS(GERAL!$AJ$8:$AJ32,GERAL!$A$8:$A32,A7,GERAL!$BM$8:$BM32,$L$3)</f>
        <v>0</v>
      </c>
      <c r="Q7" s="100">
        <f>SUMIFS(GERAL!$AN$8:$AN32,GERAL!$A$8:$A32,A7,GERAL!$BM$8:$BM32,$L$3)</f>
        <v>0</v>
      </c>
      <c r="R7" s="100">
        <f>SUMIFS(GERAL!$AR$8:$AR32,GERAL!$A$8:$A32,A7,GERAL!$BM$8:$BM32,$L$3)</f>
        <v>0</v>
      </c>
      <c r="S7" s="100">
        <f>SUMIFS(GERAL!$AW$8:$AW32,GERAL!$A$8:$A32,A7,GERAL!$BM$8:$BM32,$L$3)</f>
        <v>0</v>
      </c>
      <c r="T7" s="103">
        <f t="shared" si="5"/>
        <v>0</v>
      </c>
      <c r="U7" s="75">
        <f>COUNTIFS(GERAL!$A$8:$A32,A7,GERAL!$BM$8:$BM32,"QUILOMBOLAS",GERAL!$C$8:$C32,"ESCOLA")</f>
        <v>0</v>
      </c>
      <c r="V7" s="75">
        <f>COUNTIFS(GERAL!$A$8:$A32,A7,GERAL!$BM$8:$BM32,"QUILOMBOLAS",GERAL!$C$8:$C32,"ANEXO")</f>
        <v>5</v>
      </c>
      <c r="W7" s="85">
        <f>SUMIFS(GERAL!$Z$8:$Z32,GERAL!$A$8:$A32,A7,GERAL!$BM$8:$BM32,$U$3)</f>
        <v>0</v>
      </c>
      <c r="X7" s="85">
        <f>SUMIFS(GERAL!$AE$8:$AE32,GERAL!$A$8:$A32,A7,GERAL!$BM$8:$BM32,$U$3)</f>
        <v>0</v>
      </c>
      <c r="Y7" s="85">
        <f>SUMIFS(GERAL!$AJ$8:$AJ32,GERAL!$A$8:$A32,A7,GERAL!$BM$8:$BM32,$U$3)</f>
        <v>325</v>
      </c>
      <c r="Z7" s="85">
        <f>SUMIFS(GERAL!$AN$8:$AN32,GERAL!$A$8:$A32,A7,GERAL!$BM$8:$BM32,$U$3)</f>
        <v>0</v>
      </c>
      <c r="AA7" s="85">
        <f>SUMIFS(GERAL!$AR$8:$AR32,GERAL!$A$8:$A32,A7,GERAL!$BM$8:$BM32,$U$3)</f>
        <v>0</v>
      </c>
      <c r="AB7" s="85">
        <f>SUMIFS(GERAL!$AW$8:$AW32,GERAL!$A$8:$A32,A7,GERAL!$BM$8:$BM32,$U$3)</f>
        <v>0</v>
      </c>
      <c r="AC7" s="88">
        <f t="shared" si="6"/>
        <v>325</v>
      </c>
      <c r="AD7" s="116">
        <f>COUNTIFS(GERAL!$A$8:$A32,A7,GERAL!$BM$8:$BM32,"ASSENTAMENTOS",GERAL!$C$8:$C32,"ESCOLA")</f>
        <v>0</v>
      </c>
      <c r="AE7" s="118">
        <f>COUNTIFS(GERAL!$A$8:$A32,A7,GERAL!$BM$8:$BM32,"ASSENTAMENTOS",GERAL!$C$8:$C32,"ANEXO")</f>
        <v>0</v>
      </c>
      <c r="AF7" s="121">
        <f>SUMIFS(GERAL!$Z$8:$Z32,GERAL!$A$8:$A32,A7,GERAL!$BM$8:$BM32,$AD$3)</f>
        <v>0</v>
      </c>
      <c r="AG7" s="121">
        <f>SUMIFS(GERAL!$AE$8:$AE32,GERAL!$A$8:$A32,A7,GERAL!$BM$8:$BM32,$AD$3)
</f>
        <v>0</v>
      </c>
      <c r="AH7" s="121">
        <f>SUMIFS(GERAL!$AJ$8:$AJ32,GERAL!$A$8:$A32,A7,GERAL!$BM$8:$BM32,$AD$3)</f>
        <v>0</v>
      </c>
      <c r="AI7" s="121">
        <f>SUMIFS(GERAL!$AN$8:$AN32,GERAL!$A$8:$A32,A7,GERAL!$BM$8:$BM32,$AD$3)</f>
        <v>0</v>
      </c>
      <c r="AJ7" s="121">
        <f>SUMIFS(GERAL!$AR$8:$AR32,GERAL!$A$8:$A32,A7,GERAL!$BM$8:$BM32,$AD$3)</f>
        <v>0</v>
      </c>
      <c r="AK7" s="121">
        <f>SUMIFS(GERAL!$AW$8:$AW32,GERAL!$A$8:$A32,A7,GERAL!$BM$8:$BM32,$AD$3)</f>
        <v>0</v>
      </c>
      <c r="AL7" s="124">
        <f t="shared" si="7"/>
        <v>0</v>
      </c>
      <c r="AM7" s="116">
        <f>COUNTIFS(GERAL!$A$8:$A32,A7,GERAL!$BM$8:$BM32,"CAMPO",GERAL!$C$8:$C32,"ESCOLA")</f>
        <v>7</v>
      </c>
      <c r="AN7" s="118">
        <f>COUNTIFS(GERAL!$A$8:$A32,A7,GERAL!$BM$8:$BM32,"CAMPO",GERAL!$C$8:$C32,"ANEXO")</f>
        <v>11</v>
      </c>
      <c r="AO7" s="121">
        <f>SUMIFS(GERAL!$Z$8:$Z32,GERAL!$A$8:$A32,A7,GERAL!$BM$8:$BM32,$AM$3)</f>
        <v>0</v>
      </c>
      <c r="AP7" s="121">
        <f>SUMIFS(GERAL!$AE$8:$AE32,GERAL!$A$8:$A32,A7,GERAL!$BM$8:$BM32,$AM$3)</f>
        <v>0</v>
      </c>
      <c r="AQ7" s="121">
        <f>SUMIFS(GERAL!$AJ$8:$AJ32,GERAL!$A$8:$A32,A7,GERAL!$BM$8:$BM32,$AM$3)</f>
        <v>1448</v>
      </c>
      <c r="AR7" s="121">
        <f>SUMIFS(GERAL!$AN$8:$AN32,GERAL!$A$8:$A32,A7,GERAL!$BM$8:$BM32,$AM$3)</f>
        <v>0</v>
      </c>
      <c r="AS7" s="121">
        <f>SUMIFS(GERAL!$AR$8:$AR32,GERAL!$A$8:$A32,A7,GERAL!$BM$8:$BM32,$AM$3)</f>
        <v>403</v>
      </c>
      <c r="AT7" s="121">
        <f>SUMIFS(GERAL!$AW$8:$AW32,GERAL!$A$8:$A32,A7,GERAL!$BM$8:$BM32,$AM$3)</f>
        <v>63</v>
      </c>
      <c r="AU7" s="124">
        <f t="shared" si="8"/>
        <v>1914</v>
      </c>
      <c r="AV7" s="116">
        <f>COUNTIFS(GERAL!$A$8:$A32,A7,GERAL!$AX$8:$AX32,"&gt;0",GERAL!$BM$8:$BM32,"EFA",GERAL!$C$8:$C32,"EFA")</f>
        <v>1</v>
      </c>
      <c r="AW7" s="121">
        <f>SUMIFS(GERAL!$AW$8:$AW32,GERAL!$A$8:$A32,A7,GERAL!$BM$8:$BM32,$AV$3)</f>
        <v>0</v>
      </c>
      <c r="AX7" s="121">
        <f>SUMIFS(GERAL!$AE$8:$AE32,GERAL!$A$8:$A32,A7,GERAL!$BM$8:$BM32,$AV$3)</f>
        <v>71</v>
      </c>
      <c r="AY7" s="121">
        <f>SUMIFS(GERAL!$AJ$8:$AJ32,GERAL!$A$8:$A32,A7,GERAL!$BM$8:$BM32,$AV$3)</f>
        <v>71</v>
      </c>
      <c r="AZ7" s="121">
        <f>SUMIFS(GERAL!$AN$8:$AN32,GERAL!$A$8:$A32,A7,GERAL!$BM$8:$BM32,$AV$3)</f>
        <v>0</v>
      </c>
      <c r="BA7" s="121">
        <f>SUMIFS(GERAL!$AR$8:$AR32,GERAL!$A$8:$A32,A7,GERAL!$BM$8:$BM32,$AV$3)</f>
        <v>0</v>
      </c>
      <c r="BB7" s="121">
        <f>SUMIFS(GERAL!$AW$8:$AW32,GERAL!$A$8:$A32,A7,GERAL!$BM$8:$BM32,$AV$3)</f>
        <v>0</v>
      </c>
      <c r="BC7" s="134">
        <f t="shared" si="9"/>
        <v>142</v>
      </c>
    </row>
    <row r="8">
      <c r="A8" s="135" t="s">
        <v>383</v>
      </c>
      <c r="B8" s="75">
        <f t="shared" ref="B8:C8" si="13">SUM(L8,U8,AD8,AM8)</f>
        <v>15</v>
      </c>
      <c r="C8" s="75">
        <f t="shared" si="13"/>
        <v>13</v>
      </c>
      <c r="D8" s="75">
        <f>COUNTIFS(GERAL!A$8:A$1696,A8,GERAL!C$8:C$1696,"EFA")</f>
        <v>3</v>
      </c>
      <c r="E8" s="85">
        <f t="shared" si="11"/>
        <v>0</v>
      </c>
      <c r="F8" s="85">
        <f t="shared" ref="F8:K8" si="14">SUM(O8,X8,AG8,AP8,AX8)</f>
        <v>265</v>
      </c>
      <c r="G8" s="85">
        <f t="shared" si="14"/>
        <v>3242</v>
      </c>
      <c r="H8" s="85">
        <f t="shared" si="14"/>
        <v>0</v>
      </c>
      <c r="I8" s="85">
        <f t="shared" si="14"/>
        <v>779</v>
      </c>
      <c r="J8" s="85">
        <f t="shared" si="14"/>
        <v>396</v>
      </c>
      <c r="K8" s="88">
        <f t="shared" si="14"/>
        <v>4682</v>
      </c>
      <c r="L8" s="95">
        <f>COUNTIFS(GERAL!$A$8:$A32,A8,GERAL!$BM$8:$BM32,"INDÍGENAS",GERAL!$C$8:$C32,"ESCOLA")</f>
        <v>0</v>
      </c>
      <c r="M8" s="75">
        <f>COUNTIFS(GERAL!$A$8:$A32,A8,GERAL!$BM$8:$BM32,"INDÍGENAS",GERAL!$C$8:$C32,"ANEXO")</f>
        <v>0</v>
      </c>
      <c r="N8" s="100">
        <f>SUMIFS(GERAL!$Z$8:$Z32,GERAL!$A$8:$A32,A8,GERAL!$BM$8:$BM32,$L$3)</f>
        <v>0</v>
      </c>
      <c r="O8" s="100">
        <f>SUMIFS(GERAL!$AE$8:$AE32,GERAL!$A$8:$A32,A8,GERAL!$BM$8:$BM32,$L$3)</f>
        <v>0</v>
      </c>
      <c r="P8" s="100">
        <f>SUMIFS(GERAL!$AJ$8:$AJ32,GERAL!$A$8:$A32,A8,GERAL!$BM$8:$BM32,$L$3)</f>
        <v>0</v>
      </c>
      <c r="Q8" s="100">
        <f>SUMIFS(GERAL!$AN$8:$AN32,GERAL!$A$8:$A32,A8,GERAL!$BM$8:$BM32,$L$3)</f>
        <v>0</v>
      </c>
      <c r="R8" s="100">
        <f>SUMIFS(GERAL!$AR$8:$AR32,GERAL!$A$8:$A32,A8,GERAL!$BM$8:$BM32,$L$3)</f>
        <v>0</v>
      </c>
      <c r="S8" s="100">
        <f>SUMIFS(GERAL!$AW$8:$AW32,GERAL!$A$8:$A32,A8,GERAL!$BM$8:$BM32,$L$3)</f>
        <v>0</v>
      </c>
      <c r="T8" s="103">
        <f t="shared" si="5"/>
        <v>0</v>
      </c>
      <c r="U8" s="75">
        <f>COUNTIFS(GERAL!$A$8:$A32,A8,GERAL!$BM$8:$BM32,"QUILOMBOLAS",GERAL!$C$8:$C32,"ESCOLA")</f>
        <v>0</v>
      </c>
      <c r="V8" s="75">
        <f>COUNTIFS(GERAL!$A$8:$A32,A8,GERAL!$BM$8:$BM32,"QUILOMBOLAS",GERAL!$C$8:$C32,"ANEXO")</f>
        <v>0</v>
      </c>
      <c r="W8" s="85">
        <f>SUMIFS(GERAL!$Z$8:$Z32,GERAL!$A$8:$A32,A8,GERAL!$BM$8:$BM32,$U$3)</f>
        <v>0</v>
      </c>
      <c r="X8" s="85">
        <f>SUMIFS(GERAL!$AE$8:$AE32,GERAL!$A$8:$A32,A8,GERAL!$BM$8:$BM32,$U$3)</f>
        <v>0</v>
      </c>
      <c r="Y8" s="85">
        <f>SUMIFS(GERAL!$AJ$8:$AJ32,GERAL!$A$8:$A32,A8,GERAL!$BM$8:$BM32,$U$3)</f>
        <v>0</v>
      </c>
      <c r="Z8" s="85">
        <f>SUMIFS(GERAL!$AN$8:$AN32,GERAL!$A$8:$A32,A8,GERAL!$BM$8:$BM32,$U$3)</f>
        <v>0</v>
      </c>
      <c r="AA8" s="85">
        <f>SUMIFS(GERAL!$AR$8:$AR32,GERAL!$A$8:$A32,A8,GERAL!$BM$8:$BM32,$U$3)</f>
        <v>0</v>
      </c>
      <c r="AB8" s="85">
        <f>SUMIFS(GERAL!$AW$8:$AW32,GERAL!$A$8:$A32,A8,GERAL!$BM$8:$BM32,$U$3)</f>
        <v>0</v>
      </c>
      <c r="AC8" s="88">
        <f t="shared" si="6"/>
        <v>0</v>
      </c>
      <c r="AD8" s="116">
        <f>COUNTIFS(GERAL!$A$8:$A32,A8,GERAL!$BM$8:$BM32,"ASSENTAMENTOS",GERAL!$C$8:$C32,"ESCOLA")</f>
        <v>0</v>
      </c>
      <c r="AE8" s="118">
        <f>COUNTIFS(GERAL!$A$8:$A32,A8,GERAL!$BM$8:$BM32,"ASSENTAMENTOS",GERAL!$C$8:$C32,"ANEXO")</f>
        <v>0</v>
      </c>
      <c r="AF8" s="121">
        <f>SUMIFS(GERAL!$Z$8:$Z32,GERAL!$A$8:$A32,A8,GERAL!$BM$8:$BM32,$AD$3)</f>
        <v>0</v>
      </c>
      <c r="AG8" s="121">
        <f>SUMIFS(GERAL!$AE$8:$AE32,GERAL!$A$8:$A32,A8,GERAL!$BM$8:$BM32,$AD$3)
</f>
        <v>0</v>
      </c>
      <c r="AH8" s="121">
        <f>SUMIFS(GERAL!$AJ$8:$AJ32,GERAL!$A$8:$A32,A8,GERAL!$BM$8:$BM32,$AD$3)</f>
        <v>0</v>
      </c>
      <c r="AI8" s="121">
        <f>SUMIFS(GERAL!$AN$8:$AN32,GERAL!$A$8:$A32,A8,GERAL!$BM$8:$BM32,$AD$3)</f>
        <v>0</v>
      </c>
      <c r="AJ8" s="121">
        <f>SUMIFS(GERAL!$AR$8:$AR32,GERAL!$A$8:$A32,A8,GERAL!$BM$8:$BM32,$AD$3)</f>
        <v>0</v>
      </c>
      <c r="AK8" s="121">
        <f>SUMIFS(GERAL!$AW$8:$AW32,GERAL!$A$8:$A32,A8,GERAL!$BM$8:$BM32,$AD$3)</f>
        <v>0</v>
      </c>
      <c r="AL8" s="124">
        <f t="shared" si="7"/>
        <v>0</v>
      </c>
      <c r="AM8" s="116">
        <f>COUNTIFS(GERAL!$A$8:$A32,A8,GERAL!$BM$8:$BM32,"CAMPO",GERAL!$C$8:$C32,"ESCOLA")</f>
        <v>15</v>
      </c>
      <c r="AN8" s="118">
        <f>COUNTIFS(GERAL!$A$8:$A32,A8,GERAL!$BM$8:$BM32,"CAMPO",GERAL!$C$8:$C32,"ANEXO")</f>
        <v>13</v>
      </c>
      <c r="AO8" s="121">
        <f>SUMIFS(GERAL!$Z$8:$Z32,GERAL!$A$8:$A32,A8,GERAL!$BM$8:$BM32,$AM$3)</f>
        <v>0</v>
      </c>
      <c r="AP8" s="121">
        <f>SUMIFS(GERAL!$AE$8:$AE32,GERAL!$A$8:$A32,A8,GERAL!$BM$8:$BM32,$AM$3)</f>
        <v>0</v>
      </c>
      <c r="AQ8" s="121">
        <f>SUMIFS(GERAL!$AJ$8:$AJ32,GERAL!$A$8:$A32,A8,GERAL!$BM$8:$BM32,$AM$3)</f>
        <v>2990</v>
      </c>
      <c r="AR8" s="121">
        <f>SUMIFS(GERAL!$AN$8:$AN32,GERAL!$A$8:$A32,A8,GERAL!$BM$8:$BM32,$AM$3)</f>
        <v>0</v>
      </c>
      <c r="AS8" s="121">
        <f>SUMIFS(GERAL!$AR$8:$AR32,GERAL!$A$8:$A32,A8,GERAL!$BM$8:$BM32,$AM$3)</f>
        <v>779</v>
      </c>
      <c r="AT8" s="121">
        <f>SUMIFS(GERAL!$AW$8:$AW32,GERAL!$A$8:$A32,A8,GERAL!$BM$8:$BM32,$AM$3)</f>
        <v>396</v>
      </c>
      <c r="AU8" s="124">
        <f t="shared" si="8"/>
        <v>4165</v>
      </c>
      <c r="AV8" s="116">
        <f>COUNTIFS(GERAL!$A$8:$A32,A8,GERAL!$AX$8:$AX32,"&gt;0",GERAL!$BM$8:$BM32,"EFA",GERAL!$C$8:$C32,"EFA")</f>
        <v>3</v>
      </c>
      <c r="AW8" s="121">
        <f>SUMIFS(GERAL!$AW$8:$AW32,GERAL!$A$8:$A32,A8,GERAL!$BM$8:$BM32,$AV$3)</f>
        <v>0</v>
      </c>
      <c r="AX8" s="121">
        <f>SUMIFS(GERAL!$AE$8:$AE32,GERAL!$A$8:$A32,A8,GERAL!$BM$8:$BM32,$AV$3)</f>
        <v>265</v>
      </c>
      <c r="AY8" s="121">
        <f>SUMIFS(GERAL!$AJ$8:$AJ32,GERAL!$A$8:$A32,A8,GERAL!$BM$8:$BM32,$AV$3)</f>
        <v>252</v>
      </c>
      <c r="AZ8" s="121">
        <f>SUMIFS(GERAL!$AN$8:$AN32,GERAL!$A$8:$A32,A8,GERAL!$BM$8:$BM32,$AV$3)</f>
        <v>0</v>
      </c>
      <c r="BA8" s="121">
        <f>SUMIFS(GERAL!$AR$8:$AR32,GERAL!$A$8:$A32,A8,GERAL!$BM$8:$BM32,$AV$3)</f>
        <v>0</v>
      </c>
      <c r="BB8" s="121">
        <f>SUMIFS(GERAL!$AW$8:$AW32,GERAL!$A$8:$A32,A8,GERAL!$BM$8:$BM32,$AV$3)</f>
        <v>0</v>
      </c>
      <c r="BC8" s="134">
        <f t="shared" si="9"/>
        <v>517</v>
      </c>
    </row>
    <row r="9">
      <c r="A9" s="151" t="s">
        <v>451</v>
      </c>
      <c r="B9" s="75">
        <f t="shared" ref="B9:C9" si="15">SUM(L9,U9,AD9,AM9)</f>
        <v>14</v>
      </c>
      <c r="C9" s="75">
        <f t="shared" si="15"/>
        <v>24</v>
      </c>
      <c r="D9" s="75">
        <f>COUNTIFS(GERAL!A$8:A$1696,A9,GERAL!C$8:C$1696,"EFA")</f>
        <v>0</v>
      </c>
      <c r="E9" s="85">
        <f t="shared" si="11"/>
        <v>239</v>
      </c>
      <c r="F9" s="85">
        <f t="shared" ref="F9:K9" si="16">SUM(O9,X9,AG9,AP9,AX9)</f>
        <v>1407</v>
      </c>
      <c r="G9" s="85">
        <f t="shared" si="16"/>
        <v>1090</v>
      </c>
      <c r="H9" s="85">
        <f t="shared" si="16"/>
        <v>321</v>
      </c>
      <c r="I9" s="85">
        <f t="shared" si="16"/>
        <v>414</v>
      </c>
      <c r="J9" s="85">
        <f t="shared" si="16"/>
        <v>681</v>
      </c>
      <c r="K9" s="88">
        <f t="shared" si="16"/>
        <v>4152</v>
      </c>
      <c r="L9" s="95">
        <f>COUNTIFS(GERAL!$A$8:$A32,A9,GERAL!$BM$8:$BM32,"INDÍGENAS",GERAL!$C$8:$C32,"ESCOLA")</f>
        <v>7</v>
      </c>
      <c r="M9" s="75">
        <f>COUNTIFS(GERAL!$A$8:$A32,A9,GERAL!$BM$8:$BM32,"INDÍGENAS",GERAL!$C$8:$C32,"ANEXO")</f>
        <v>13</v>
      </c>
      <c r="N9" s="100">
        <f>SUMIFS(GERAL!$Z$8:$Z32,GERAL!$A$8:$A32,A9,GERAL!$BM$8:$BM32,$L$3)</f>
        <v>239</v>
      </c>
      <c r="O9" s="100">
        <f>SUMIFS(GERAL!$AE$8:$AE32,GERAL!$A$8:$A32,A9,GERAL!$BM$8:$BM32,$L$3)</f>
        <v>1341</v>
      </c>
      <c r="P9" s="100">
        <f>SUMIFS(GERAL!$AJ$8:$AJ32,GERAL!$A$8:$A32,A9,GERAL!$BM$8:$BM32,$L$3)</f>
        <v>111</v>
      </c>
      <c r="Q9" s="100">
        <f>SUMIFS(GERAL!$AN$8:$AN32,GERAL!$A$8:$A32,A9,GERAL!$BM$8:$BM32,$L$3)</f>
        <v>321</v>
      </c>
      <c r="R9" s="100">
        <f>SUMIFS(GERAL!$AR$8:$AR32,GERAL!$A$8:$A32,A9,GERAL!$BM$8:$BM32,$L$3)</f>
        <v>172</v>
      </c>
      <c r="S9" s="100">
        <f>SUMIFS(GERAL!$AW$8:$AW32,GERAL!$A$8:$A32,A9,GERAL!$BM$8:$BM32,$L$3)</f>
        <v>47</v>
      </c>
      <c r="T9" s="103">
        <f t="shared" si="5"/>
        <v>2231</v>
      </c>
      <c r="U9" s="75">
        <f>COUNTIFS(GERAL!$A$8:$A32,A9,GERAL!$BM$8:$BM32,"QUILOMBOLAS",GERAL!$C$8:$C32,"ESCOLA")</f>
        <v>1</v>
      </c>
      <c r="V9" s="75">
        <f>COUNTIFS(GERAL!$A$8:$A32,A9,GERAL!$BM$8:$BM32,"QUILOMBOLAS",GERAL!$C$8:$C32,"ANEXO")</f>
        <v>0</v>
      </c>
      <c r="W9" s="85">
        <f>SUMIFS(GERAL!$Z$8:$Z32,GERAL!$A$8:$A32,A9,GERAL!$BM$8:$BM32,$U$3)</f>
        <v>0</v>
      </c>
      <c r="X9" s="85">
        <f>SUMIFS(GERAL!$AE$8:$AE32,GERAL!$A$8:$A32,A9,GERAL!$BM$8:$BM32,$U$3)</f>
        <v>0</v>
      </c>
      <c r="Y9" s="85">
        <f>SUMIFS(GERAL!$AJ$8:$AJ32,GERAL!$A$8:$A32,A9,GERAL!$BM$8:$BM32,$U$3)</f>
        <v>0</v>
      </c>
      <c r="Z9" s="85">
        <f>SUMIFS(GERAL!$AN$8:$AN32,GERAL!$A$8:$A32,A9,GERAL!$BM$8:$BM32,$U$3)</f>
        <v>0</v>
      </c>
      <c r="AA9" s="85">
        <f>SUMIFS(GERAL!$AR$8:$AR32,GERAL!$A$8:$A32,A9,GERAL!$BM$8:$BM32,$U$3)</f>
        <v>0</v>
      </c>
      <c r="AB9" s="85">
        <f>SUMIFS(GERAL!$AW$8:$AW32,GERAL!$A$8:$A32,A9,GERAL!$BM$8:$BM32,$U$3)</f>
        <v>314</v>
      </c>
      <c r="AC9" s="88">
        <f t="shared" si="6"/>
        <v>314</v>
      </c>
      <c r="AD9" s="116">
        <f>COUNTIFS(GERAL!$A$8:$A32,A9,GERAL!$BM$8:$BM32,"ASSENTAMENTOS",GERAL!$C$8:$C32,"ESCOLA")</f>
        <v>1</v>
      </c>
      <c r="AE9" s="118">
        <f>COUNTIFS(GERAL!$A$8:$A32,A9,GERAL!$BM$8:$BM32,"ASSENTAMENTOS",GERAL!$C$8:$C32,"ANEXO")</f>
        <v>0</v>
      </c>
      <c r="AF9" s="121">
        <f>SUMIFS(GERAL!$Z$8:$Z32,GERAL!$A$8:$A32,A9,GERAL!$BM$8:$BM32,$AD$3)</f>
        <v>0</v>
      </c>
      <c r="AG9" s="121">
        <f>SUMIFS(GERAL!$AE$8:$AE32,GERAL!$A$8:$A32,A9,GERAL!$BM$8:$BM32,$AD$3)
</f>
        <v>0</v>
      </c>
      <c r="AH9" s="121">
        <f>SUMIFS(GERAL!$AJ$8:$AJ32,GERAL!$A$8:$A32,A9,GERAL!$BM$8:$BM32,$AD$3)</f>
        <v>0</v>
      </c>
      <c r="AI9" s="121">
        <f>SUMIFS(GERAL!$AN$8:$AN32,GERAL!$A$8:$A32,A9,GERAL!$BM$8:$BM32,$AD$3)</f>
        <v>0</v>
      </c>
      <c r="AJ9" s="121">
        <f>SUMIFS(GERAL!$AR$8:$AR32,GERAL!$A$8:$A32,A9,GERAL!$BM$8:$BM32,$AD$3)</f>
        <v>0</v>
      </c>
      <c r="AK9" s="121">
        <f>SUMIFS(GERAL!$AW$8:$AW32,GERAL!$A$8:$A32,A9,GERAL!$BM$8:$BM32,$AD$3)</f>
        <v>222</v>
      </c>
      <c r="AL9" s="124">
        <f t="shared" si="7"/>
        <v>222</v>
      </c>
      <c r="AM9" s="116">
        <f>COUNTIFS(GERAL!$A$8:$A32,A9,GERAL!$BM$8:$BM32,"CAMPO",GERAL!$C$8:$C32,"ESCOLA")</f>
        <v>5</v>
      </c>
      <c r="AN9" s="118">
        <f>COUNTIFS(GERAL!$A$8:$A32,A9,GERAL!$BM$8:$BM32,"CAMPO",GERAL!$C$8:$C32,"ANEXO")</f>
        <v>11</v>
      </c>
      <c r="AO9" s="121">
        <f>SUMIFS(GERAL!$Z$8:$Z32,GERAL!$A$8:$A32,A9,GERAL!$BM$8:$BM32,$AM$3)</f>
        <v>0</v>
      </c>
      <c r="AP9" s="121">
        <f>SUMIFS(GERAL!$AE$8:$AE32,GERAL!$A$8:$A32,A9,GERAL!$BM$8:$BM32,$AM$3)</f>
        <v>66</v>
      </c>
      <c r="AQ9" s="121">
        <f>SUMIFS(GERAL!$AJ$8:$AJ32,GERAL!$A$8:$A32,A9,GERAL!$BM$8:$BM32,$AM$3)</f>
        <v>979</v>
      </c>
      <c r="AR9" s="121">
        <f>SUMIFS(GERAL!$AN$8:$AN32,GERAL!$A$8:$A32,A9,GERAL!$BM$8:$BM32,$AM$3)</f>
        <v>0</v>
      </c>
      <c r="AS9" s="121">
        <f>SUMIFS(GERAL!$AR$8:$AR32,GERAL!$A$8:$A32,A9,GERAL!$BM$8:$BM32,$AM$3)</f>
        <v>242</v>
      </c>
      <c r="AT9" s="121">
        <f>SUMIFS(GERAL!$AW$8:$AW32,GERAL!$A$8:$A32,A9,GERAL!$BM$8:$BM32,$AM$3)</f>
        <v>98</v>
      </c>
      <c r="AU9" s="124">
        <f t="shared" si="8"/>
        <v>1385</v>
      </c>
      <c r="AV9" s="116">
        <f>COUNTIFS(GERAL!$A$8:$A32,A9,GERAL!$AX$8:$AX32,"&gt;0",GERAL!$BM$8:$BM32,"EFA",GERAL!$C$8:$C32,"EFA")</f>
        <v>0</v>
      </c>
      <c r="AW9" s="121">
        <f>SUMIFS(GERAL!$AW$8:$AW32,GERAL!$A$8:$A32,A9,GERAL!$BM$8:$BM32,$AV$3)</f>
        <v>0</v>
      </c>
      <c r="AX9" s="121">
        <f>SUMIFS(GERAL!$AE$8:$AE32,GERAL!$A$8:$A32,A9,GERAL!$BM$8:$BM32,$AV$3)</f>
        <v>0</v>
      </c>
      <c r="AY9" s="121">
        <f>SUMIFS(GERAL!$AJ$8:$AJ32,GERAL!$A$8:$A32,A9,GERAL!$BM$8:$BM32,$AV$3)</f>
        <v>0</v>
      </c>
      <c r="AZ9" s="121">
        <f>SUMIFS(GERAL!$AN$8:$AN32,GERAL!$A$8:$A32,A9,GERAL!$BM$8:$BM32,$AV$3)</f>
        <v>0</v>
      </c>
      <c r="BA9" s="121">
        <f>SUMIFS(GERAL!$AR$8:$AR32,GERAL!$A$8:$A32,A9,GERAL!$BM$8:$BM32,$AV$3)</f>
        <v>0</v>
      </c>
      <c r="BB9" s="121">
        <f>SUMIFS(GERAL!$AW$8:$AW32,GERAL!$A$8:$A32,A9,GERAL!$BM$8:$BM32,$AV$3)</f>
        <v>0</v>
      </c>
      <c r="BC9" s="134">
        <f t="shared" si="9"/>
        <v>0</v>
      </c>
    </row>
    <row r="10">
      <c r="A10" s="135" t="s">
        <v>540</v>
      </c>
      <c r="B10" s="75">
        <f t="shared" ref="B10:C10" si="17">SUM(L10,U10,AD10,AM10)</f>
        <v>4</v>
      </c>
      <c r="C10" s="75">
        <f t="shared" si="17"/>
        <v>10</v>
      </c>
      <c r="D10" s="75">
        <f>COUNTIFS(GERAL!A$8:A$1696,A10,GERAL!C$8:C$1696,"EFA")</f>
        <v>3</v>
      </c>
      <c r="E10" s="85">
        <f t="shared" si="11"/>
        <v>0</v>
      </c>
      <c r="F10" s="85">
        <f t="shared" ref="F10:K10" si="18">SUM(O10,X10,AG10,AP10,AX10)</f>
        <v>0</v>
      </c>
      <c r="G10" s="85">
        <f t="shared" si="18"/>
        <v>1834</v>
      </c>
      <c r="H10" s="85">
        <f t="shared" si="18"/>
        <v>0</v>
      </c>
      <c r="I10" s="85">
        <f t="shared" si="18"/>
        <v>542</v>
      </c>
      <c r="J10" s="85">
        <f t="shared" si="18"/>
        <v>155</v>
      </c>
      <c r="K10" s="88">
        <f t="shared" si="18"/>
        <v>2531</v>
      </c>
      <c r="L10" s="95">
        <f>COUNTIFS(GERAL!$A$8:$A32,A10,GERAL!$BM$8:$BM32,"INDÍGENAS",GERAL!$C$8:$C32,"ESCOLA")</f>
        <v>0</v>
      </c>
      <c r="M10" s="75">
        <f>COUNTIFS(GERAL!$A$8:$A32,A10,GERAL!$BM$8:$BM32,"INDÍGENAS",GERAL!$C$8:$C32,"ANEXO")</f>
        <v>0</v>
      </c>
      <c r="N10" s="100">
        <f>SUMIFS(GERAL!$Z$8:$Z32,GERAL!$A$8:$A32,A10,GERAL!$BM$8:$BM32,$L$3)</f>
        <v>0</v>
      </c>
      <c r="O10" s="100">
        <f>SUMIFS(GERAL!$AE$8:$AE32,GERAL!$A$8:$A32,A10,GERAL!$BM$8:$BM32,$L$3)</f>
        <v>0</v>
      </c>
      <c r="P10" s="100">
        <f>SUMIFS(GERAL!$AJ$8:$AJ32,GERAL!$A$8:$A32,A10,GERAL!$BM$8:$BM32,$L$3)</f>
        <v>0</v>
      </c>
      <c r="Q10" s="100">
        <f>SUMIFS(GERAL!$AN$8:$AN32,GERAL!$A$8:$A32,A10,GERAL!$BM$8:$BM32,$L$3)</f>
        <v>0</v>
      </c>
      <c r="R10" s="100">
        <f>SUMIFS(GERAL!$AR$8:$AR32,GERAL!$A$8:$A32,A10,GERAL!$BM$8:$BM32,$L$3)</f>
        <v>0</v>
      </c>
      <c r="S10" s="100">
        <f>SUMIFS(GERAL!$AW$8:$AW32,GERAL!$A$8:$A32,A10,GERAL!$BM$8:$BM32,$L$3)</f>
        <v>0</v>
      </c>
      <c r="T10" s="103">
        <f t="shared" si="5"/>
        <v>0</v>
      </c>
      <c r="U10" s="75">
        <f>COUNTIFS(GERAL!$A$8:$A32,A10,GERAL!$BM$8:$BM32,"QUILOMBOLAS",GERAL!$C$8:$C32,"ESCOLA")</f>
        <v>2</v>
      </c>
      <c r="V10" s="75">
        <f>COUNTIFS(GERAL!$A$8:$A32,A10,GERAL!$BM$8:$BM32,"QUILOMBOLAS",GERAL!$C$8:$C32,"ANEXO")</f>
        <v>0</v>
      </c>
      <c r="W10" s="85">
        <f>SUMIFS(GERAL!$Z$8:$Z32,GERAL!$A$8:$A32,A10,GERAL!$BM$8:$BM32,$U$3)</f>
        <v>0</v>
      </c>
      <c r="X10" s="85">
        <f>SUMIFS(GERAL!$AE$8:$AE32,GERAL!$A$8:$A32,A10,GERAL!$BM$8:$BM32,$U$3)</f>
        <v>0</v>
      </c>
      <c r="Y10" s="85">
        <f>SUMIFS(GERAL!$AJ$8:$AJ32,GERAL!$A$8:$A32,A10,GERAL!$BM$8:$BM32,$U$3)</f>
        <v>124</v>
      </c>
      <c r="Z10" s="85">
        <f>SUMIFS(GERAL!$AN$8:$AN32,GERAL!$A$8:$A32,A10,GERAL!$BM$8:$BM32,$U$3)</f>
        <v>0</v>
      </c>
      <c r="AA10" s="85">
        <f>SUMIFS(GERAL!$AR$8:$AR32,GERAL!$A$8:$A32,A10,GERAL!$BM$8:$BM32,$U$3)</f>
        <v>71</v>
      </c>
      <c r="AB10" s="85">
        <f>SUMIFS(GERAL!$AW$8:$AW32,GERAL!$A$8:$A32,A10,GERAL!$BM$8:$BM32,$U$3)</f>
        <v>0</v>
      </c>
      <c r="AC10" s="88">
        <f t="shared" si="6"/>
        <v>195</v>
      </c>
      <c r="AD10" s="116">
        <f>COUNTIFS(GERAL!$A$8:$A32,A10,GERAL!$BM$8:$BM32,"ASSENTAMENTOS",GERAL!$C$8:$C32,"ESCOLA")</f>
        <v>0</v>
      </c>
      <c r="AE10" s="118">
        <f>COUNTIFS(GERAL!$A$8:$A32,A10,GERAL!$BM$8:$BM32,"ASSENTAMENTOS",GERAL!$C$8:$C32,"ANEXO")</f>
        <v>1</v>
      </c>
      <c r="AF10" s="121">
        <f>SUMIFS(GERAL!$Z$8:$Z32,GERAL!$A$8:$A32,A10,GERAL!$BM$8:$BM32,$AD$3)</f>
        <v>0</v>
      </c>
      <c r="AG10" s="121">
        <f>SUMIFS(GERAL!$AE$8:$AE32,GERAL!$A$8:$A32,A10,GERAL!$BM$8:$BM32,$AD$3)
</f>
        <v>0</v>
      </c>
      <c r="AH10" s="121">
        <f>SUMIFS(GERAL!$AJ$8:$AJ32,GERAL!$A$8:$A32,A10,GERAL!$BM$8:$BM32,$AD$3)</f>
        <v>31</v>
      </c>
      <c r="AI10" s="121">
        <f>SUMIFS(GERAL!$AN$8:$AN32,GERAL!$A$8:$A32,A10,GERAL!$BM$8:$BM32,$AD$3)</f>
        <v>0</v>
      </c>
      <c r="AJ10" s="121">
        <f>SUMIFS(GERAL!$AR$8:$AR32,GERAL!$A$8:$A32,A10,GERAL!$BM$8:$BM32,$AD$3)</f>
        <v>0</v>
      </c>
      <c r="AK10" s="121">
        <f>SUMIFS(GERAL!$AW$8:$AW32,GERAL!$A$8:$A32,A10,GERAL!$BM$8:$BM32,$AD$3)</f>
        <v>0</v>
      </c>
      <c r="AL10" s="124">
        <f t="shared" si="7"/>
        <v>31</v>
      </c>
      <c r="AM10" s="116">
        <f>COUNTIFS(GERAL!$A$8:$A32,A10,GERAL!$BM$8:$BM32,"CAMPO",GERAL!$C$8:$C32,"ESCOLA")</f>
        <v>2</v>
      </c>
      <c r="AN10" s="118">
        <f>COUNTIFS(GERAL!$A$8:$A32,A10,GERAL!$BM$8:$BM32,"CAMPO",GERAL!$C$8:$C32,"ANEXO")</f>
        <v>9</v>
      </c>
      <c r="AO10" s="121">
        <f>SUMIFS(GERAL!$Z$8:$Z32,GERAL!$A$8:$A32,A10,GERAL!$BM$8:$BM32,$AM$3)</f>
        <v>0</v>
      </c>
      <c r="AP10" s="121">
        <f>SUMIFS(GERAL!$AE$8:$AE32,GERAL!$A$8:$A32,A10,GERAL!$BM$8:$BM32,$AM$3)</f>
        <v>0</v>
      </c>
      <c r="AQ10" s="121">
        <f>SUMIFS(GERAL!$AJ$8:$AJ32,GERAL!$A$8:$A32,A10,GERAL!$BM$8:$BM32,$AM$3)</f>
        <v>1290</v>
      </c>
      <c r="AR10" s="121">
        <f>SUMIFS(GERAL!$AN$8:$AN32,GERAL!$A$8:$A32,A10,GERAL!$BM$8:$BM32,$AM$3)</f>
        <v>0</v>
      </c>
      <c r="AS10" s="121">
        <f>SUMIFS(GERAL!$AR$8:$AR32,GERAL!$A$8:$A32,A10,GERAL!$BM$8:$BM32,$AM$3)</f>
        <v>471</v>
      </c>
      <c r="AT10" s="121">
        <f>SUMIFS(GERAL!$AW$8:$AW32,GERAL!$A$8:$A32,A10,GERAL!$BM$8:$BM32,$AM$3)</f>
        <v>155</v>
      </c>
      <c r="AU10" s="124">
        <f t="shared" si="8"/>
        <v>1916</v>
      </c>
      <c r="AV10" s="116">
        <f>COUNTIFS(GERAL!$A$8:$A32,A10,GERAL!$AX$8:$AX32,"&gt;0",GERAL!$BM$8:$BM32,"EFA",GERAL!$C$8:$C32,"EFA")</f>
        <v>3</v>
      </c>
      <c r="AW10" s="121">
        <f>SUMIFS(GERAL!$AW$8:$AW32,GERAL!$A$8:$A32,A10,GERAL!$BM$8:$BM32,$AV$3)</f>
        <v>0</v>
      </c>
      <c r="AX10" s="121">
        <f>SUMIFS(GERAL!$AE$8:$AE32,GERAL!$A$8:$A32,A10,GERAL!$BM$8:$BM32,$AV$3)</f>
        <v>0</v>
      </c>
      <c r="AY10" s="121">
        <f>SUMIFS(GERAL!$AJ$8:$AJ32,GERAL!$A$8:$A32,A10,GERAL!$BM$8:$BM32,$AV$3)</f>
        <v>389</v>
      </c>
      <c r="AZ10" s="121">
        <f>SUMIFS(GERAL!$AN$8:$AN32,GERAL!$A$8:$A32,A10,GERAL!$BM$8:$BM32,$AV$3)</f>
        <v>0</v>
      </c>
      <c r="BA10" s="121">
        <f>SUMIFS(GERAL!$AR$8:$AR32,GERAL!$A$8:$A32,A10,GERAL!$BM$8:$BM32,$AV$3)</f>
        <v>0</v>
      </c>
      <c r="BB10" s="121">
        <f>SUMIFS(GERAL!$AW$8:$AW32,GERAL!$A$8:$A32,A10,GERAL!$BM$8:$BM32,$AV$3)</f>
        <v>0</v>
      </c>
      <c r="BC10" s="134">
        <f t="shared" si="9"/>
        <v>389</v>
      </c>
    </row>
    <row r="11">
      <c r="A11" s="151" t="s">
        <v>605</v>
      </c>
      <c r="B11" s="75">
        <f t="shared" ref="B11:C11" si="19">SUM(L11,U11,AD11,AM11)</f>
        <v>14</v>
      </c>
      <c r="C11" s="75">
        <f t="shared" si="19"/>
        <v>43</v>
      </c>
      <c r="D11" s="75">
        <f>COUNTIFS(GERAL!A$8:A$1696,A11,GERAL!C$8:C$1696,"EFA")</f>
        <v>0</v>
      </c>
      <c r="E11" s="85">
        <f t="shared" si="11"/>
        <v>294</v>
      </c>
      <c r="F11" s="85">
        <f t="shared" ref="F11:K11" si="20">SUM(O11,X11,AG11,AP11,AX11)</f>
        <v>905</v>
      </c>
      <c r="G11" s="85">
        <f t="shared" si="20"/>
        <v>2397</v>
      </c>
      <c r="H11" s="85">
        <f t="shared" si="20"/>
        <v>163</v>
      </c>
      <c r="I11" s="85">
        <f t="shared" si="20"/>
        <v>1358</v>
      </c>
      <c r="J11" s="85">
        <f t="shared" si="20"/>
        <v>131</v>
      </c>
      <c r="K11" s="88">
        <f t="shared" si="20"/>
        <v>5248</v>
      </c>
      <c r="L11" s="95">
        <f>COUNTIFS(GERAL!$A$8:$A32,A11,GERAL!$BM$8:$BM32,"INDÍGENAS",GERAL!$C$8:$C32,"ESCOLA")</f>
        <v>6</v>
      </c>
      <c r="M11" s="75">
        <f>COUNTIFS(GERAL!$A$8:$A32,A11,GERAL!$BM$8:$BM32,"INDÍGENAS",GERAL!$C$8:$C32,"ANEXO")</f>
        <v>8</v>
      </c>
      <c r="N11" s="100">
        <f>SUMIFS(GERAL!$Z$8:$Z32,GERAL!$A$8:$A32,A11,GERAL!$BM$8:$BM32,$L$3)</f>
        <v>294</v>
      </c>
      <c r="O11" s="100">
        <f>SUMIFS(GERAL!$AE$8:$AE32,GERAL!$A$8:$A32,A11,GERAL!$BM$8:$BM32,$L$3)</f>
        <v>878</v>
      </c>
      <c r="P11" s="100">
        <f>SUMIFS(GERAL!$AJ$8:$AJ32,GERAL!$A$8:$A32,A11,GERAL!$BM$8:$BM32,$L$3)</f>
        <v>152</v>
      </c>
      <c r="Q11" s="100">
        <f>SUMIFS(GERAL!$AN$8:$AN32,GERAL!$A$8:$A32,A11,GERAL!$BM$8:$BM32,$L$3)</f>
        <v>155</v>
      </c>
      <c r="R11" s="100">
        <f>SUMIFS(GERAL!$AR$8:$AR32,GERAL!$A$8:$A32,A11,GERAL!$BM$8:$BM32,$L$3)</f>
        <v>98</v>
      </c>
      <c r="S11" s="100">
        <f>SUMIFS(GERAL!$AW$8:$AW32,GERAL!$A$8:$A32,A11,GERAL!$BM$8:$BM32,$L$3)</f>
        <v>0</v>
      </c>
      <c r="T11" s="103">
        <f t="shared" si="5"/>
        <v>1577</v>
      </c>
      <c r="U11" s="75">
        <f>COUNTIFS(GERAL!$A$8:$A32,A11,GERAL!$BM$8:$BM32,"QUILOMBOLAS",GERAL!$C$8:$C32,"ESCOLA")</f>
        <v>0</v>
      </c>
      <c r="V11" s="75">
        <f>COUNTIFS(GERAL!$A$8:$A32,A11,GERAL!$BM$8:$BM32,"QUILOMBOLAS",GERAL!$C$8:$C32,"ANEXO")</f>
        <v>2</v>
      </c>
      <c r="W11" s="85">
        <f>SUMIFS(GERAL!$Z$8:$Z32,GERAL!$A$8:$A32,A11,GERAL!$BM$8:$BM32,$U$3)</f>
        <v>0</v>
      </c>
      <c r="X11" s="85">
        <f>SUMIFS(GERAL!$AE$8:$AE32,GERAL!$A$8:$A32,A11,GERAL!$BM$8:$BM32,$U$3)</f>
        <v>0</v>
      </c>
      <c r="Y11" s="85">
        <f>SUMIFS(GERAL!$AJ$8:$AJ32,GERAL!$A$8:$A32,A11,GERAL!$BM$8:$BM32,$U$3)</f>
        <v>20</v>
      </c>
      <c r="Z11" s="85">
        <f>SUMIFS(GERAL!$AN$8:$AN32,GERAL!$A$8:$A32,A11,GERAL!$BM$8:$BM32,$U$3)</f>
        <v>0</v>
      </c>
      <c r="AA11" s="85">
        <f>SUMIFS(GERAL!$AR$8:$AR32,GERAL!$A$8:$A32,A11,GERAL!$BM$8:$BM32,$U$3)</f>
        <v>26</v>
      </c>
      <c r="AB11" s="85">
        <f>SUMIFS(GERAL!$AW$8:$AW32,GERAL!$A$8:$A32,A11,GERAL!$BM$8:$BM32,$U$3)</f>
        <v>0</v>
      </c>
      <c r="AC11" s="88">
        <f t="shared" si="6"/>
        <v>46</v>
      </c>
      <c r="AD11" s="116">
        <f>COUNTIFS(GERAL!$A$8:$A32,A11,GERAL!$BM$8:$BM32,"ASSENTAMENTOS",GERAL!$C$8:$C32,"ESCOLA")</f>
        <v>3</v>
      </c>
      <c r="AE11" s="118">
        <f>COUNTIFS(GERAL!$A$8:$A32,A11,GERAL!$BM$8:$BM32,"ASSENTAMENTOS",GERAL!$C$8:$C32,"ANEXO")</f>
        <v>2</v>
      </c>
      <c r="AF11" s="121">
        <f>SUMIFS(GERAL!$Z$8:$Z32,GERAL!$A$8:$A32,A11,GERAL!$BM$8:$BM32,$AD$3)</f>
        <v>0</v>
      </c>
      <c r="AG11" s="121">
        <f>SUMIFS(GERAL!$AE$8:$AE32,GERAL!$A$8:$A32,A11,GERAL!$BM$8:$BM32,$AD$3)
</f>
        <v>27</v>
      </c>
      <c r="AH11" s="121">
        <f>SUMIFS(GERAL!$AJ$8:$AJ32,GERAL!$A$8:$A32,A11,GERAL!$BM$8:$BM32,$AD$3)</f>
        <v>30</v>
      </c>
      <c r="AI11" s="121">
        <f>SUMIFS(GERAL!$AN$8:$AN32,GERAL!$A$8:$A32,A11,GERAL!$BM$8:$BM32,$AD$3)</f>
        <v>8</v>
      </c>
      <c r="AJ11" s="121">
        <f>SUMIFS(GERAL!$AR$8:$AR32,GERAL!$A$8:$A32,A11,GERAL!$BM$8:$BM32,$AD$3)</f>
        <v>126</v>
      </c>
      <c r="AK11" s="121">
        <f>SUMIFS(GERAL!$AW$8:$AW32,GERAL!$A$8:$A32,A11,GERAL!$BM$8:$BM32,$AD$3)</f>
        <v>98</v>
      </c>
      <c r="AL11" s="124">
        <f t="shared" si="7"/>
        <v>289</v>
      </c>
      <c r="AM11" s="116">
        <f>COUNTIFS(GERAL!$A$8:$A32,A11,GERAL!$BM$8:$BM32,"CAMPO",GERAL!$C$8:$C32,"ESCOLA")</f>
        <v>5</v>
      </c>
      <c r="AN11" s="118">
        <f>COUNTIFS(GERAL!$A$8:$A32,A11,GERAL!$BM$8:$BM32,"CAMPO",GERAL!$C$8:$C32,"ANEXO")</f>
        <v>31</v>
      </c>
      <c r="AO11" s="121">
        <f>SUMIFS(GERAL!$Z$8:$Z32,GERAL!$A$8:$A32,A11,GERAL!$BM$8:$BM32,$AM$3)</f>
        <v>0</v>
      </c>
      <c r="AP11" s="121">
        <f>SUMIFS(GERAL!$AE$8:$AE32,GERAL!$A$8:$A32,A11,GERAL!$BM$8:$BM32,$AM$3)</f>
        <v>0</v>
      </c>
      <c r="AQ11" s="121">
        <f>SUMIFS(GERAL!$AJ$8:$AJ32,GERAL!$A$8:$A32,A11,GERAL!$BM$8:$BM32,$AM$3)</f>
        <v>2195</v>
      </c>
      <c r="AR11" s="121">
        <f>SUMIFS(GERAL!$AN$8:$AN32,GERAL!$A$8:$A32,A11,GERAL!$BM$8:$BM32,$AM$3)</f>
        <v>0</v>
      </c>
      <c r="AS11" s="121">
        <f>SUMIFS(GERAL!$AR$8:$AR32,GERAL!$A$8:$A32,A11,GERAL!$BM$8:$BM32,$AM$3)</f>
        <v>1108</v>
      </c>
      <c r="AT11" s="121">
        <f>SUMIFS(GERAL!$AW$8:$AW32,GERAL!$A$8:$A32,A11,GERAL!$BM$8:$BM32,$AM$3)</f>
        <v>33</v>
      </c>
      <c r="AU11" s="124">
        <f t="shared" si="8"/>
        <v>3336</v>
      </c>
      <c r="AV11" s="116">
        <f>COUNTIFS(GERAL!$A$8:$A32,A11,GERAL!$AX$8:$AX32,"&gt;0",GERAL!$BM$8:$BM32,"EFA",GERAL!$C$8:$C32,"EFA")</f>
        <v>0</v>
      </c>
      <c r="AW11" s="121">
        <f>SUMIFS(GERAL!$AW$8:$AW32,GERAL!$A$8:$A32,A11,GERAL!$BM$8:$BM32,$AV$3)</f>
        <v>0</v>
      </c>
      <c r="AX11" s="121">
        <f>SUMIFS(GERAL!$AE$8:$AE32,GERAL!$A$8:$A32,A11,GERAL!$BM$8:$BM32,$AV$3)</f>
        <v>0</v>
      </c>
      <c r="AY11" s="121">
        <f>SUMIFS(GERAL!$AJ$8:$AJ32,GERAL!$A$8:$A32,A11,GERAL!$BM$8:$BM32,$AV$3)</f>
        <v>0</v>
      </c>
      <c r="AZ11" s="121">
        <f>SUMIFS(GERAL!$AN$8:$AN32,GERAL!$A$8:$A32,A11,GERAL!$BM$8:$BM32,$AV$3)</f>
        <v>0</v>
      </c>
      <c r="BA11" s="121">
        <f>SUMIFS(GERAL!$AR$8:$AR32,GERAL!$A$8:$A32,A11,GERAL!$BM$8:$BM32,$AV$3)</f>
        <v>0</v>
      </c>
      <c r="BB11" s="121">
        <f>SUMIFS(GERAL!$AW$8:$AW32,GERAL!$A$8:$A32,A11,GERAL!$BM$8:$BM32,$AV$3)</f>
        <v>0</v>
      </c>
      <c r="BC11" s="134">
        <f t="shared" si="9"/>
        <v>0</v>
      </c>
    </row>
    <row r="12">
      <c r="A12" s="135" t="s">
        <v>673</v>
      </c>
      <c r="B12" s="75">
        <f t="shared" ref="B12:C12" si="21">SUM(L12,U12,AD12,AM12)</f>
        <v>1</v>
      </c>
      <c r="C12" s="75">
        <f t="shared" si="21"/>
        <v>9</v>
      </c>
      <c r="D12" s="75">
        <f>COUNTIFS(GERAL!A$8:A$1696,A12,GERAL!C$8:C$1696,"EFA")</f>
        <v>0</v>
      </c>
      <c r="E12" s="85">
        <f t="shared" si="11"/>
        <v>0</v>
      </c>
      <c r="F12" s="85">
        <f t="shared" ref="F12:K12" si="22">SUM(O12,X12,AG12,AP12,AX12)</f>
        <v>0</v>
      </c>
      <c r="G12" s="85">
        <f t="shared" si="22"/>
        <v>432</v>
      </c>
      <c r="H12" s="85">
        <f t="shared" si="22"/>
        <v>0</v>
      </c>
      <c r="I12" s="85">
        <f t="shared" si="22"/>
        <v>51</v>
      </c>
      <c r="J12" s="85">
        <f t="shared" si="22"/>
        <v>0</v>
      </c>
      <c r="K12" s="88">
        <f t="shared" si="22"/>
        <v>483</v>
      </c>
      <c r="L12" s="95">
        <f>COUNTIFS(GERAL!$A$8:$A32,A12,GERAL!$BM$8:$BM32,"INDÍGENAS",GERAL!$C$8:$C32,"ESCOLA")</f>
        <v>0</v>
      </c>
      <c r="M12" s="75">
        <f>COUNTIFS(GERAL!$A$8:$A32,A12,GERAL!$BM$8:$BM32,"INDÍGENAS",GERAL!$C$8:$C32,"ANEXO")</f>
        <v>0</v>
      </c>
      <c r="N12" s="100">
        <f>SUMIFS(GERAL!$Z$8:$Z32,GERAL!$A$8:$A32,A12,GERAL!$BM$8:$BM32,$L$3)</f>
        <v>0</v>
      </c>
      <c r="O12" s="100">
        <f>SUMIFS(GERAL!$AE$8:$AE32,GERAL!$A$8:$A32,A12,GERAL!$BM$8:$BM32,$L$3)</f>
        <v>0</v>
      </c>
      <c r="P12" s="100">
        <f>SUMIFS(GERAL!$AJ$8:$AJ32,GERAL!$A$8:$A32,A12,GERAL!$BM$8:$BM32,$L$3)</f>
        <v>0</v>
      </c>
      <c r="Q12" s="100">
        <f>SUMIFS(GERAL!$AN$8:$AN32,GERAL!$A$8:$A32,A12,GERAL!$BM$8:$BM32,$L$3)</f>
        <v>0</v>
      </c>
      <c r="R12" s="100">
        <f>SUMIFS(GERAL!$AR$8:$AR32,GERAL!$A$8:$A32,A12,GERAL!$BM$8:$BM32,$L$3)</f>
        <v>0</v>
      </c>
      <c r="S12" s="100">
        <f>SUMIFS(GERAL!$AW$8:$AW32,GERAL!$A$8:$A32,A12,GERAL!$BM$8:$BM32,$L$3)</f>
        <v>0</v>
      </c>
      <c r="T12" s="103">
        <f t="shared" si="5"/>
        <v>0</v>
      </c>
      <c r="U12" s="75">
        <f>COUNTIFS(GERAL!$A$8:$A32,A12,GERAL!$BM$8:$BM32,"QUILOMBOLAS",GERAL!$C$8:$C32,"ESCOLA")</f>
        <v>0</v>
      </c>
      <c r="V12" s="75">
        <f>COUNTIFS(GERAL!$A$8:$A32,A12,GERAL!$BM$8:$BM32,"QUILOMBOLAS",GERAL!$C$8:$C32,"ANEXO")</f>
        <v>0</v>
      </c>
      <c r="W12" s="85">
        <f>SUMIFS(GERAL!$Z$8:$Z32,GERAL!$A$8:$A32,A12,GERAL!$BM$8:$BM32,$U$3)</f>
        <v>0</v>
      </c>
      <c r="X12" s="85">
        <f>SUMIFS(GERAL!$AE$8:$AE32,GERAL!$A$8:$A32,A12,GERAL!$BM$8:$BM32,$U$3)</f>
        <v>0</v>
      </c>
      <c r="Y12" s="85">
        <f>SUMIFS(GERAL!$AJ$8:$AJ32,GERAL!$A$8:$A32,A12,GERAL!$BM$8:$BM32,$U$3)</f>
        <v>0</v>
      </c>
      <c r="Z12" s="85">
        <f>SUMIFS(GERAL!$AN$8:$AN32,GERAL!$A$8:$A32,A12,GERAL!$BM$8:$BM32,$U$3)</f>
        <v>0</v>
      </c>
      <c r="AA12" s="85">
        <f>SUMIFS(GERAL!$AR$8:$AR32,GERAL!$A$8:$A32,A12,GERAL!$BM$8:$BM32,$U$3)</f>
        <v>0</v>
      </c>
      <c r="AB12" s="85">
        <f>SUMIFS(GERAL!$AW$8:$AW32,GERAL!$A$8:$A32,A12,GERAL!$BM$8:$BM32,$U$3)</f>
        <v>0</v>
      </c>
      <c r="AC12" s="88">
        <f t="shared" si="6"/>
        <v>0</v>
      </c>
      <c r="AD12" s="116">
        <f>COUNTIFS(GERAL!$A$8:$A32,A12,GERAL!$BM$8:$BM32,"ASSENTAMENTOS",GERAL!$C$8:$C32,"ESCOLA")</f>
        <v>0</v>
      </c>
      <c r="AE12" s="118">
        <f>COUNTIFS(GERAL!$A$8:$A32,A12,GERAL!$BM$8:$BM32,"ASSENTAMENTOS",GERAL!$C$8:$C32,"ANEXO")</f>
        <v>0</v>
      </c>
      <c r="AF12" s="121">
        <f>SUMIFS(GERAL!$Z$8:$Z32,GERAL!$A$8:$A32,A12,GERAL!$BM$8:$BM32,$AD$3)</f>
        <v>0</v>
      </c>
      <c r="AG12" s="121">
        <f>SUMIFS(GERAL!$AE$8:$AE32,GERAL!$A$8:$A32,A12,GERAL!$BM$8:$BM32,$AD$3)
</f>
        <v>0</v>
      </c>
      <c r="AH12" s="121">
        <f>SUMIFS(GERAL!$AJ$8:$AJ32,GERAL!$A$8:$A32,A12,GERAL!$BM$8:$BM32,$AD$3)</f>
        <v>0</v>
      </c>
      <c r="AI12" s="121">
        <f>SUMIFS(GERAL!$AN$8:$AN32,GERAL!$A$8:$A32,A12,GERAL!$BM$8:$BM32,$AD$3)</f>
        <v>0</v>
      </c>
      <c r="AJ12" s="121">
        <f>SUMIFS(GERAL!$AR$8:$AR32,GERAL!$A$8:$A32,A12,GERAL!$BM$8:$BM32,$AD$3)</f>
        <v>0</v>
      </c>
      <c r="AK12" s="121">
        <f>SUMIFS(GERAL!$AW$8:$AW32,GERAL!$A$8:$A32,A12,GERAL!$BM$8:$BM32,$AD$3)</f>
        <v>0</v>
      </c>
      <c r="AL12" s="124">
        <f t="shared" si="7"/>
        <v>0</v>
      </c>
      <c r="AM12" s="116">
        <f>COUNTIFS(GERAL!$A$8:$A32,A12,GERAL!$BM$8:$BM32,"CAMPO",GERAL!$C$8:$C32,"ESCOLA")</f>
        <v>1</v>
      </c>
      <c r="AN12" s="118">
        <f>COUNTIFS(GERAL!$A$8:$A32,A12,GERAL!$BM$8:$BM32,"CAMPO",GERAL!$C$8:$C32,"ANEXO")</f>
        <v>9</v>
      </c>
      <c r="AO12" s="121">
        <f>SUMIFS(GERAL!$Z$8:$Z32,GERAL!$A$8:$A32,A12,GERAL!$BM$8:$BM32,$AM$3)</f>
        <v>0</v>
      </c>
      <c r="AP12" s="121">
        <f>SUMIFS(GERAL!$AE$8:$AE32,GERAL!$A$8:$A32,A12,GERAL!$BM$8:$BM32,$AM$3)</f>
        <v>0</v>
      </c>
      <c r="AQ12" s="121">
        <f>SUMIFS(GERAL!$AJ$8:$AJ32,GERAL!$A$8:$A32,A12,GERAL!$BM$8:$BM32,$AM$3)</f>
        <v>432</v>
      </c>
      <c r="AR12" s="121">
        <f>SUMIFS(GERAL!$AN$8:$AN32,GERAL!$A$8:$A32,A12,GERAL!$BM$8:$BM32,$AM$3)</f>
        <v>0</v>
      </c>
      <c r="AS12" s="121">
        <f>SUMIFS(GERAL!$AR$8:$AR32,GERAL!$A$8:$A32,A12,GERAL!$BM$8:$BM32,$AM$3)</f>
        <v>51</v>
      </c>
      <c r="AT12" s="121">
        <f>SUMIFS(GERAL!$AW$8:$AW32,GERAL!$A$8:$A32,A12,GERAL!$BM$8:$BM32,$AM$3)</f>
        <v>0</v>
      </c>
      <c r="AU12" s="124">
        <f t="shared" si="8"/>
        <v>483</v>
      </c>
      <c r="AV12" s="116">
        <f>COUNTIFS(GERAL!$A$8:$A32,A12,GERAL!$AX$8:$AX32,"&gt;0",GERAL!$BM$8:$BM32,"EFA",GERAL!$C$8:$C32,"EFA")</f>
        <v>0</v>
      </c>
      <c r="AW12" s="121">
        <f>SUMIFS(GERAL!$AW$8:$AW32,GERAL!$A$8:$A32,A12,GERAL!$BM$8:$BM32,$AV$3)</f>
        <v>0</v>
      </c>
      <c r="AX12" s="121">
        <f>SUMIFS(GERAL!$AE$8:$AE32,GERAL!$A$8:$A32,A12,GERAL!$BM$8:$BM32,$AV$3)</f>
        <v>0</v>
      </c>
      <c r="AY12" s="121">
        <f>SUMIFS(GERAL!$AJ$8:$AJ32,GERAL!$A$8:$A32,A12,GERAL!$BM$8:$BM32,$AV$3)</f>
        <v>0</v>
      </c>
      <c r="AZ12" s="121">
        <f>SUMIFS(GERAL!$AN$8:$AN32,GERAL!$A$8:$A32,A12,GERAL!$BM$8:$BM32,$AV$3)</f>
        <v>0</v>
      </c>
      <c r="BA12" s="121">
        <f>SUMIFS(GERAL!$AR$8:$AR32,GERAL!$A$8:$A32,A12,GERAL!$BM$8:$BM32,$AV$3)</f>
        <v>0</v>
      </c>
      <c r="BB12" s="121">
        <f>SUMIFS(GERAL!$AW$8:$AW32,GERAL!$A$8:$A32,A12,GERAL!$BM$8:$BM32,$AV$3)</f>
        <v>0</v>
      </c>
      <c r="BC12" s="134">
        <f t="shared" si="9"/>
        <v>0</v>
      </c>
    </row>
    <row r="13">
      <c r="A13" s="151" t="s">
        <v>723</v>
      </c>
      <c r="B13" s="75">
        <f t="shared" ref="B13:C13" si="23">SUM(L13,U13,AD13,AM13)</f>
        <v>2</v>
      </c>
      <c r="C13" s="75">
        <f t="shared" si="23"/>
        <v>4</v>
      </c>
      <c r="D13" s="75">
        <f>COUNTIFS(GERAL!A$8:A$1696,A13,GERAL!C$8:C$1696,"EFA")</f>
        <v>0</v>
      </c>
      <c r="E13" s="85">
        <f t="shared" si="11"/>
        <v>0</v>
      </c>
      <c r="F13" s="85">
        <f t="shared" ref="F13:K13" si="24">SUM(O13,X13,AG13,AP13,AX13)</f>
        <v>0</v>
      </c>
      <c r="G13" s="85">
        <f t="shared" si="24"/>
        <v>549</v>
      </c>
      <c r="H13" s="85">
        <f t="shared" si="24"/>
        <v>0</v>
      </c>
      <c r="I13" s="85">
        <f t="shared" si="24"/>
        <v>266</v>
      </c>
      <c r="J13" s="85">
        <f t="shared" si="24"/>
        <v>245</v>
      </c>
      <c r="K13" s="88">
        <f t="shared" si="24"/>
        <v>1060</v>
      </c>
      <c r="L13" s="95">
        <f>COUNTIFS(GERAL!$A$8:$A32,A13,GERAL!$BM$8:$BM32,"INDÍGENAS",GERAL!$C$8:$C32,"ESCOLA")</f>
        <v>0</v>
      </c>
      <c r="M13" s="75">
        <f>COUNTIFS(GERAL!$A$8:$A32,A13,GERAL!$BM$8:$BM32,"INDÍGENAS",GERAL!$C$8:$C32,"ANEXO")</f>
        <v>0</v>
      </c>
      <c r="N13" s="100">
        <f>SUMIFS(GERAL!$Z$8:$Z32,GERAL!$A$8:$A32,A13,GERAL!$BM$8:$BM32,$L$3)</f>
        <v>0</v>
      </c>
      <c r="O13" s="100">
        <f>SUMIFS(GERAL!$AE$8:$AE32,GERAL!$A$8:$A32,A13,GERAL!$BM$8:$BM32,$L$3)</f>
        <v>0</v>
      </c>
      <c r="P13" s="100">
        <f>SUMIFS(GERAL!$AJ$8:$AJ32,GERAL!$A$8:$A32,A13,GERAL!$BM$8:$BM32,$L$3)</f>
        <v>0</v>
      </c>
      <c r="Q13" s="100">
        <f>SUMIFS(GERAL!$AN$8:$AN32,GERAL!$A$8:$A32,A13,GERAL!$BM$8:$BM32,$L$3)</f>
        <v>0</v>
      </c>
      <c r="R13" s="100">
        <f>SUMIFS(GERAL!$AR$8:$AR32,GERAL!$A$8:$A32,A13,GERAL!$BM$8:$BM32,$L$3)</f>
        <v>0</v>
      </c>
      <c r="S13" s="100">
        <f>SUMIFS(GERAL!$AW$8:$AW32,GERAL!$A$8:$A32,A13,GERAL!$BM$8:$BM32,$L$3)</f>
        <v>0</v>
      </c>
      <c r="T13" s="103">
        <f t="shared" si="5"/>
        <v>0</v>
      </c>
      <c r="U13" s="75">
        <f>COUNTIFS(GERAL!$A$8:$A32,A13,GERAL!$BM$8:$BM32,"QUILOMBOLAS",GERAL!$C$8:$C32,"ESCOLA")</f>
        <v>0</v>
      </c>
      <c r="V13" s="75">
        <f>COUNTIFS(GERAL!$A$8:$A32,A13,GERAL!$BM$8:$BM32,"QUILOMBOLAS",GERAL!$C$8:$C32,"ANEXO")</f>
        <v>0</v>
      </c>
      <c r="W13" s="85">
        <f>SUMIFS(GERAL!$Z$8:$Z32,GERAL!$A$8:$A32,A13,GERAL!$BM$8:$BM32,$U$3)</f>
        <v>0</v>
      </c>
      <c r="X13" s="85">
        <f>SUMIFS(GERAL!$AE$8:$AE32,GERAL!$A$8:$A32,A13,GERAL!$BM$8:$BM32,$U$3)</f>
        <v>0</v>
      </c>
      <c r="Y13" s="85">
        <f>SUMIFS(GERAL!$AJ$8:$AJ32,GERAL!$A$8:$A32,A13,GERAL!$BM$8:$BM32,$U$3)</f>
        <v>0</v>
      </c>
      <c r="Z13" s="85">
        <f>SUMIFS(GERAL!$AN$8:$AN32,GERAL!$A$8:$A32,A13,GERAL!$BM$8:$BM32,$U$3)</f>
        <v>0</v>
      </c>
      <c r="AA13" s="85">
        <f>SUMIFS(GERAL!$AR$8:$AR32,GERAL!$A$8:$A32,A13,GERAL!$BM$8:$BM32,$U$3)</f>
        <v>0</v>
      </c>
      <c r="AB13" s="85">
        <f>SUMIFS(GERAL!$AW$8:$AW32,GERAL!$A$8:$A32,A13,GERAL!$BM$8:$BM32,$U$3)</f>
        <v>0</v>
      </c>
      <c r="AC13" s="88">
        <f t="shared" si="6"/>
        <v>0</v>
      </c>
      <c r="AD13" s="116">
        <f>COUNTIFS(GERAL!$A$8:$A32,A13,GERAL!$BM$8:$BM32,"ASSENTAMENTOS",GERAL!$C$8:$C32,"ESCOLA")</f>
        <v>0</v>
      </c>
      <c r="AE13" s="118">
        <f>COUNTIFS(GERAL!$A$8:$A32,A13,GERAL!$BM$8:$BM32,"ASSENTAMENTOS",GERAL!$C$8:$C32,"ANEXO")</f>
        <v>0</v>
      </c>
      <c r="AF13" s="121">
        <f>SUMIFS(GERAL!$Z$8:$Z32,GERAL!$A$8:$A32,A13,GERAL!$BM$8:$BM32,$AD$3)</f>
        <v>0</v>
      </c>
      <c r="AG13" s="121">
        <f>SUMIFS(GERAL!$AE$8:$AE32,GERAL!$A$8:$A32,A13,GERAL!$BM$8:$BM32,$AD$3)
</f>
        <v>0</v>
      </c>
      <c r="AH13" s="121">
        <f>SUMIFS(GERAL!$AJ$8:$AJ32,GERAL!$A$8:$A32,A13,GERAL!$BM$8:$BM32,$AD$3)</f>
        <v>0</v>
      </c>
      <c r="AI13" s="121">
        <f>SUMIFS(GERAL!$AN$8:$AN32,GERAL!$A$8:$A32,A13,GERAL!$BM$8:$BM32,$AD$3)</f>
        <v>0</v>
      </c>
      <c r="AJ13" s="121">
        <f>SUMIFS(GERAL!$AR$8:$AR32,GERAL!$A$8:$A32,A13,GERAL!$BM$8:$BM32,$AD$3)</f>
        <v>0</v>
      </c>
      <c r="AK13" s="121">
        <f>SUMIFS(GERAL!$AW$8:$AW32,GERAL!$A$8:$A32,A13,GERAL!$BM$8:$BM32,$AD$3)</f>
        <v>0</v>
      </c>
      <c r="AL13" s="124">
        <f t="shared" si="7"/>
        <v>0</v>
      </c>
      <c r="AM13" s="116">
        <f>COUNTIFS(GERAL!$A$8:$A32,A13,GERAL!$BM$8:$BM32,"CAMPO",GERAL!$C$8:$C32,"ESCOLA")</f>
        <v>2</v>
      </c>
      <c r="AN13" s="118">
        <f>COUNTIFS(GERAL!$A$8:$A32,A13,GERAL!$BM$8:$BM32,"CAMPO",GERAL!$C$8:$C32,"ANEXO")</f>
        <v>4</v>
      </c>
      <c r="AO13" s="121">
        <f>SUMIFS(GERAL!$Z$8:$Z32,GERAL!$A$8:$A32,A13,GERAL!$BM$8:$BM32,$AM$3)</f>
        <v>0</v>
      </c>
      <c r="AP13" s="121">
        <f>SUMIFS(GERAL!$AE$8:$AE32,GERAL!$A$8:$A32,A13,GERAL!$BM$8:$BM32,$AM$3)</f>
        <v>0</v>
      </c>
      <c r="AQ13" s="121">
        <f>SUMIFS(GERAL!$AJ$8:$AJ32,GERAL!$A$8:$A32,A13,GERAL!$BM$8:$BM32,$AM$3)</f>
        <v>549</v>
      </c>
      <c r="AR13" s="121">
        <f>SUMIFS(GERAL!$AN$8:$AN32,GERAL!$A$8:$A32,A13,GERAL!$BM$8:$BM32,$AM$3)</f>
        <v>0</v>
      </c>
      <c r="AS13" s="121">
        <f>SUMIFS(GERAL!$AR$8:$AR32,GERAL!$A$8:$A32,A13,GERAL!$BM$8:$BM32,$AM$3)</f>
        <v>266</v>
      </c>
      <c r="AT13" s="121">
        <f>SUMIFS(GERAL!$AW$8:$AW32,GERAL!$A$8:$A32,A13,GERAL!$BM$8:$BM32,$AM$3)</f>
        <v>245</v>
      </c>
      <c r="AU13" s="124">
        <f t="shared" si="8"/>
        <v>1060</v>
      </c>
      <c r="AV13" s="116">
        <f>COUNTIFS(GERAL!$A$8:$A32,A13,GERAL!$AX$8:$AX32,"&gt;0",GERAL!$BM$8:$BM32,"EFA",GERAL!$C$8:$C32,"EFA")</f>
        <v>0</v>
      </c>
      <c r="AW13" s="121">
        <f>SUMIFS(GERAL!$AW$8:$AW32,GERAL!$A$8:$A32,A13,GERAL!$BM$8:$BM32,$AV$3)</f>
        <v>0</v>
      </c>
      <c r="AX13" s="121">
        <f>SUMIFS(GERAL!$AE$8:$AE32,GERAL!$A$8:$A32,A13,GERAL!$BM$8:$BM32,$AV$3)</f>
        <v>0</v>
      </c>
      <c r="AY13" s="121">
        <f>SUMIFS(GERAL!$AJ$8:$AJ32,GERAL!$A$8:$A32,A13,GERAL!$BM$8:$BM32,$AV$3)</f>
        <v>0</v>
      </c>
      <c r="AZ13" s="121">
        <f>SUMIFS(GERAL!$AN$8:$AN32,GERAL!$A$8:$A32,A13,GERAL!$BM$8:$BM32,$AV$3)</f>
        <v>0</v>
      </c>
      <c r="BA13" s="121">
        <f>SUMIFS(GERAL!$AR$8:$AR32,GERAL!$A$8:$A32,A13,GERAL!$BM$8:$BM32,$AV$3)</f>
        <v>0</v>
      </c>
      <c r="BB13" s="121">
        <f>SUMIFS(GERAL!$AW$8:$AW32,GERAL!$A$8:$A32,A13,GERAL!$BM$8:$BM32,$AV$3)</f>
        <v>0</v>
      </c>
      <c r="BC13" s="134">
        <f t="shared" si="9"/>
        <v>0</v>
      </c>
    </row>
    <row r="14">
      <c r="A14" s="135" t="s">
        <v>796</v>
      </c>
      <c r="B14" s="75">
        <f t="shared" ref="B14:C14" si="25">SUM(L14,U14,AD14,AM14)</f>
        <v>8</v>
      </c>
      <c r="C14" s="75">
        <f t="shared" si="25"/>
        <v>39</v>
      </c>
      <c r="D14" s="75">
        <f>COUNTIFS(GERAL!A$8:A$1696,A14,GERAL!C$8:C$1696,"EFA")</f>
        <v>1</v>
      </c>
      <c r="E14" s="85">
        <f t="shared" si="11"/>
        <v>10</v>
      </c>
      <c r="F14" s="85">
        <f t="shared" ref="F14:K14" si="26">SUM(O14,X14,AG14,AP14,AX14)</f>
        <v>142</v>
      </c>
      <c r="G14" s="85">
        <f t="shared" si="26"/>
        <v>2411</v>
      </c>
      <c r="H14" s="85">
        <f t="shared" si="26"/>
        <v>0</v>
      </c>
      <c r="I14" s="85">
        <f t="shared" si="26"/>
        <v>1620</v>
      </c>
      <c r="J14" s="85">
        <f t="shared" si="26"/>
        <v>105</v>
      </c>
      <c r="K14" s="88">
        <f t="shared" si="26"/>
        <v>4288</v>
      </c>
      <c r="L14" s="95">
        <f>COUNTIFS(GERAL!$A$8:$A32,A14,GERAL!$BM$8:$BM32,"INDÍGENAS",GERAL!$C$8:$C32,"ESCOLA")</f>
        <v>1</v>
      </c>
      <c r="M14" s="75">
        <f>COUNTIFS(GERAL!$A$8:$A32,A14,GERAL!$BM$8:$BM32,"INDÍGENAS",GERAL!$C$8:$C32,"ANEXO")</f>
        <v>0</v>
      </c>
      <c r="N14" s="100">
        <f>SUMIFS(GERAL!$Z$8:$Z32,GERAL!$A$8:$A32,A14,GERAL!$BM$8:$BM32,$L$3)</f>
        <v>10</v>
      </c>
      <c r="O14" s="100">
        <f>SUMIFS(GERAL!$AE$8:$AE32,GERAL!$A$8:$A32,A14,GERAL!$BM$8:$BM32,$L$3)</f>
        <v>45</v>
      </c>
      <c r="P14" s="100">
        <f>SUMIFS(GERAL!$AJ$8:$AJ32,GERAL!$A$8:$A32,A14,GERAL!$BM$8:$BM32,$L$3)</f>
        <v>0</v>
      </c>
      <c r="Q14" s="100">
        <f>SUMIFS(GERAL!$AN$8:$AN32,GERAL!$A$8:$A32,A14,GERAL!$BM$8:$BM32,$L$3)</f>
        <v>0</v>
      </c>
      <c r="R14" s="100">
        <f>SUMIFS(GERAL!$AR$8:$AR32,GERAL!$A$8:$A32,A14,GERAL!$BM$8:$BM32,$L$3)</f>
        <v>0</v>
      </c>
      <c r="S14" s="100">
        <f>SUMIFS(GERAL!$AW$8:$AW32,GERAL!$A$8:$A32,A14,GERAL!$BM$8:$BM32,$L$3)</f>
        <v>0</v>
      </c>
      <c r="T14" s="103">
        <f t="shared" si="5"/>
        <v>55</v>
      </c>
      <c r="U14" s="75">
        <f>COUNTIFS(GERAL!$A$8:$A32,A14,GERAL!$BM$8:$BM32,"QUILOMBOLAS",GERAL!$C$8:$C32,"ESCOLA")</f>
        <v>0</v>
      </c>
      <c r="V14" s="75">
        <f>COUNTIFS(GERAL!$A$8:$A32,A14,GERAL!$BM$8:$BM32,"QUILOMBOLAS",GERAL!$C$8:$C32,"ANEXO")</f>
        <v>0</v>
      </c>
      <c r="W14" s="85">
        <f>SUMIFS(GERAL!$Z$8:$Z32,GERAL!$A$8:$A32,A14,GERAL!$BM$8:$BM32,$U$3)</f>
        <v>0</v>
      </c>
      <c r="X14" s="85">
        <f>SUMIFS(GERAL!$AE$8:$AE32,GERAL!$A$8:$A32,A14,GERAL!$BM$8:$BM32,$U$3)</f>
        <v>0</v>
      </c>
      <c r="Y14" s="85">
        <f>SUMIFS(GERAL!$AJ$8:$AJ32,GERAL!$A$8:$A32,A14,GERAL!$BM$8:$BM32,$U$3)</f>
        <v>0</v>
      </c>
      <c r="Z14" s="85">
        <f>SUMIFS(GERAL!$AN$8:$AN32,GERAL!$A$8:$A32,A14,GERAL!$BM$8:$BM32,$U$3)</f>
        <v>0</v>
      </c>
      <c r="AA14" s="85">
        <f>SUMIFS(GERAL!$AR$8:$AR32,GERAL!$A$8:$A32,A14,GERAL!$BM$8:$BM32,$U$3)</f>
        <v>0</v>
      </c>
      <c r="AB14" s="85">
        <f>SUMIFS(GERAL!$AW$8:$AW32,GERAL!$A$8:$A32,A14,GERAL!$BM$8:$BM32,$U$3)</f>
        <v>0</v>
      </c>
      <c r="AC14" s="88">
        <f t="shared" si="6"/>
        <v>0</v>
      </c>
      <c r="AD14" s="116">
        <f>COUNTIFS(GERAL!$A$8:$A32,A14,GERAL!$BM$8:$BM32,"ASSENTAMENTOS",GERAL!$C$8:$C32,"ESCOLA")</f>
        <v>0</v>
      </c>
      <c r="AE14" s="118">
        <f>COUNTIFS(GERAL!$A$8:$A32,A14,GERAL!$BM$8:$BM32,"ASSENTAMENTOS",GERAL!$C$8:$C32,"ANEXO")</f>
        <v>1</v>
      </c>
      <c r="AF14" s="121">
        <f>SUMIFS(GERAL!$Z$8:$Z32,GERAL!$A$8:$A32,A14,GERAL!$BM$8:$BM32,$AD$3)</f>
        <v>0</v>
      </c>
      <c r="AG14" s="121">
        <f>SUMIFS(GERAL!$AE$8:$AE32,GERAL!$A$8:$A32,A14,GERAL!$BM$8:$BM32,$AD$3)
</f>
        <v>0</v>
      </c>
      <c r="AH14" s="121">
        <f>SUMIFS(GERAL!$AJ$8:$AJ32,GERAL!$A$8:$A32,A14,GERAL!$BM$8:$BM32,$AD$3)</f>
        <v>0</v>
      </c>
      <c r="AI14" s="121">
        <f>SUMIFS(GERAL!$AN$8:$AN32,GERAL!$A$8:$A32,A14,GERAL!$BM$8:$BM32,$AD$3)</f>
        <v>0</v>
      </c>
      <c r="AJ14" s="121">
        <f>SUMIFS(GERAL!$AR$8:$AR32,GERAL!$A$8:$A32,A14,GERAL!$BM$8:$BM32,$AD$3)</f>
        <v>0</v>
      </c>
      <c r="AK14" s="121">
        <f>SUMIFS(GERAL!$AW$8:$AW32,GERAL!$A$8:$A32,A14,GERAL!$BM$8:$BM32,$AD$3)</f>
        <v>29</v>
      </c>
      <c r="AL14" s="124">
        <f t="shared" si="7"/>
        <v>29</v>
      </c>
      <c r="AM14" s="116">
        <f>COUNTIFS(GERAL!$A$8:$A32,A14,GERAL!$BM$8:$BM32,"CAMPO",GERAL!$C$8:$C32,"ESCOLA")</f>
        <v>7</v>
      </c>
      <c r="AN14" s="118">
        <f>COUNTIFS(GERAL!$A$8:$A32,A14,GERAL!$BM$8:$BM32,"CAMPO",GERAL!$C$8:$C32,"ANEXO")</f>
        <v>38</v>
      </c>
      <c r="AO14" s="121">
        <f>SUMIFS(GERAL!$Z$8:$Z32,GERAL!$A$8:$A32,A14,GERAL!$BM$8:$BM32,$AM$3)</f>
        <v>0</v>
      </c>
      <c r="AP14" s="121">
        <f>SUMIFS(GERAL!$AE$8:$AE32,GERAL!$A$8:$A32,A14,GERAL!$BM$8:$BM32,$AM$3)</f>
        <v>0</v>
      </c>
      <c r="AQ14" s="121">
        <f>SUMIFS(GERAL!$AJ$8:$AJ32,GERAL!$A$8:$A32,A14,GERAL!$BM$8:$BM32,$AM$3)</f>
        <v>2259</v>
      </c>
      <c r="AR14" s="121">
        <f>SUMIFS(GERAL!$AN$8:$AN32,GERAL!$A$8:$A32,A14,GERAL!$BM$8:$BM32,$AM$3)</f>
        <v>0</v>
      </c>
      <c r="AS14" s="121">
        <f>SUMIFS(GERAL!$AR$8:$AR32,GERAL!$A$8:$A32,A14,GERAL!$BM$8:$BM32,$AM$3)</f>
        <v>1620</v>
      </c>
      <c r="AT14" s="121">
        <f>SUMIFS(GERAL!$AW$8:$AW32,GERAL!$A$8:$A32,A14,GERAL!$BM$8:$BM32,$AM$3)</f>
        <v>76</v>
      </c>
      <c r="AU14" s="124">
        <f t="shared" si="8"/>
        <v>3955</v>
      </c>
      <c r="AV14" s="116">
        <f>COUNTIFS(GERAL!$A$8:$A32,A14,GERAL!$AX$8:$AX32,"&gt;0",GERAL!$BM$8:$BM32,"EFA",GERAL!$C$8:$C32,"EFA")</f>
        <v>1</v>
      </c>
      <c r="AW14" s="121">
        <f>SUMIFS(GERAL!$AW$8:$AW32,GERAL!$A$8:$A32,A14,GERAL!$BM$8:$BM32,$AV$3)</f>
        <v>0</v>
      </c>
      <c r="AX14" s="121">
        <f>SUMIFS(GERAL!$AE$8:$AE32,GERAL!$A$8:$A32,A14,GERAL!$BM$8:$BM32,$AV$3)</f>
        <v>97</v>
      </c>
      <c r="AY14" s="121">
        <f>SUMIFS(GERAL!$AJ$8:$AJ32,GERAL!$A$8:$A32,A14,GERAL!$BM$8:$BM32,$AV$3)</f>
        <v>152</v>
      </c>
      <c r="AZ14" s="121">
        <f>SUMIFS(GERAL!$AN$8:$AN32,GERAL!$A$8:$A32,A14,GERAL!$BM$8:$BM32,$AV$3)</f>
        <v>0</v>
      </c>
      <c r="BA14" s="121">
        <f>SUMIFS(GERAL!$AR$8:$AR32,GERAL!$A$8:$A32,A14,GERAL!$BM$8:$BM32,$AV$3)</f>
        <v>0</v>
      </c>
      <c r="BB14" s="121">
        <f>SUMIFS(GERAL!$AW$8:$AW32,GERAL!$A$8:$A32,A14,GERAL!$BM$8:$BM32,$AV$3)</f>
        <v>0</v>
      </c>
      <c r="BC14" s="134">
        <f t="shared" si="9"/>
        <v>249</v>
      </c>
    </row>
    <row r="15">
      <c r="A15" s="151" t="s">
        <v>860</v>
      </c>
      <c r="B15" s="75">
        <f t="shared" ref="B15:C15" si="27">SUM(L15,U15,AD15,AM15)</f>
        <v>3</v>
      </c>
      <c r="C15" s="75">
        <f t="shared" si="27"/>
        <v>10</v>
      </c>
      <c r="D15" s="75">
        <f>COUNTIFS(GERAL!A$8:A$1696,A15,GERAL!C$8:C$1696,"EFA")</f>
        <v>1</v>
      </c>
      <c r="E15" s="85">
        <f t="shared" si="11"/>
        <v>0</v>
      </c>
      <c r="F15" s="85">
        <f t="shared" ref="F15:K15" si="28">SUM(O15,X15,AG15,AP15,AX15)</f>
        <v>0</v>
      </c>
      <c r="G15" s="85">
        <f t="shared" si="28"/>
        <v>731</v>
      </c>
      <c r="H15" s="85">
        <f t="shared" si="28"/>
        <v>0</v>
      </c>
      <c r="I15" s="85">
        <f t="shared" si="28"/>
        <v>484</v>
      </c>
      <c r="J15" s="85">
        <f t="shared" si="28"/>
        <v>248</v>
      </c>
      <c r="K15" s="88">
        <f t="shared" si="28"/>
        <v>1463</v>
      </c>
      <c r="L15" s="95">
        <f>COUNTIFS(GERAL!$A$8:$A32,A15,GERAL!$BM$8:$BM32,"INDÍGENAS",GERAL!$C$8:$C32,"ESCOLA")</f>
        <v>0</v>
      </c>
      <c r="M15" s="75">
        <f>COUNTIFS(GERAL!$A$8:$A32,A15,GERAL!$BM$8:$BM32,"INDÍGENAS",GERAL!$C$8:$C32,"ANEXO")</f>
        <v>0</v>
      </c>
      <c r="N15" s="100">
        <f>SUMIFS(GERAL!$Z$8:$Z32,GERAL!$A$8:$A32,A15,GERAL!$BM$8:$BM32,$L$3)</f>
        <v>0</v>
      </c>
      <c r="O15" s="100">
        <f>SUMIFS(GERAL!$AE$8:$AE32,GERAL!$A$8:$A32,A15,GERAL!$BM$8:$BM32,$L$3)</f>
        <v>0</v>
      </c>
      <c r="P15" s="100">
        <f>SUMIFS(GERAL!$AJ$8:$AJ32,GERAL!$A$8:$A32,A15,GERAL!$BM$8:$BM32,$L$3)</f>
        <v>0</v>
      </c>
      <c r="Q15" s="100">
        <f>SUMIFS(GERAL!$AN$8:$AN32,GERAL!$A$8:$A32,A15,GERAL!$BM$8:$BM32,$L$3)</f>
        <v>0</v>
      </c>
      <c r="R15" s="100">
        <f>SUMIFS(GERAL!$AR$8:$AR32,GERAL!$A$8:$A32,A15,GERAL!$BM$8:$BM32,$L$3)</f>
        <v>0</v>
      </c>
      <c r="S15" s="100">
        <f>SUMIFS(GERAL!$AW$8:$AW32,GERAL!$A$8:$A32,A15,GERAL!$BM$8:$BM32,$L$3)</f>
        <v>0</v>
      </c>
      <c r="T15" s="103">
        <f t="shared" si="5"/>
        <v>0</v>
      </c>
      <c r="U15" s="75">
        <f>COUNTIFS(GERAL!$A$8:$A32,A15,GERAL!$BM$8:$BM32,"QUILOMBOLAS",GERAL!$C$8:$C32,"ESCOLA")</f>
        <v>0</v>
      </c>
      <c r="V15" s="75">
        <f>COUNTIFS(GERAL!$A$8:$A32,A15,GERAL!$BM$8:$BM32,"QUILOMBOLAS",GERAL!$C$8:$C32,"ANEXO")</f>
        <v>0</v>
      </c>
      <c r="W15" s="85">
        <f>SUMIFS(GERAL!$Z$8:$Z32,GERAL!$A$8:$A32,A15,GERAL!$BM$8:$BM32,$U$3)</f>
        <v>0</v>
      </c>
      <c r="X15" s="85">
        <f>SUMIFS(GERAL!$AE$8:$AE32,GERAL!$A$8:$A32,A15,GERAL!$BM$8:$BM32,$U$3)</f>
        <v>0</v>
      </c>
      <c r="Y15" s="85">
        <f>SUMIFS(GERAL!$AJ$8:$AJ32,GERAL!$A$8:$A32,A15,GERAL!$BM$8:$BM32,$U$3)</f>
        <v>0</v>
      </c>
      <c r="Z15" s="85">
        <f>SUMIFS(GERAL!$AN$8:$AN32,GERAL!$A$8:$A32,A15,GERAL!$BM$8:$BM32,$U$3)</f>
        <v>0</v>
      </c>
      <c r="AA15" s="85">
        <f>SUMIFS(GERAL!$AR$8:$AR32,GERAL!$A$8:$A32,A15,GERAL!$BM$8:$BM32,$U$3)</f>
        <v>0</v>
      </c>
      <c r="AB15" s="85">
        <f>SUMIFS(GERAL!$AW$8:$AW32,GERAL!$A$8:$A32,A15,GERAL!$BM$8:$BM32,$U$3)</f>
        <v>0</v>
      </c>
      <c r="AC15" s="88">
        <f t="shared" si="6"/>
        <v>0</v>
      </c>
      <c r="AD15" s="116">
        <f>COUNTIFS(GERAL!$A$8:$A32,A15,GERAL!$BM$8:$BM32,"ASSENTAMENTOS",GERAL!$C$8:$C32,"ESCOLA")</f>
        <v>0</v>
      </c>
      <c r="AE15" s="118">
        <f>COUNTIFS(GERAL!$A$8:$A32,A15,GERAL!$BM$8:$BM32,"ASSENTAMENTOS",GERAL!$C$8:$C32,"ANEXO")</f>
        <v>0</v>
      </c>
      <c r="AF15" s="121">
        <f>SUMIFS(GERAL!$Z$8:$Z32,GERAL!$A$8:$A32,A15,GERAL!$BM$8:$BM32,$AD$3)</f>
        <v>0</v>
      </c>
      <c r="AG15" s="121">
        <f>SUMIFS(GERAL!$AE$8:$AE32,GERAL!$A$8:$A32,A15,GERAL!$BM$8:$BM32,$AD$3)
</f>
        <v>0</v>
      </c>
      <c r="AH15" s="121">
        <f>SUMIFS(GERAL!$AJ$8:$AJ32,GERAL!$A$8:$A32,A15,GERAL!$BM$8:$BM32,$AD$3)</f>
        <v>0</v>
      </c>
      <c r="AI15" s="121">
        <f>SUMIFS(GERAL!$AN$8:$AN32,GERAL!$A$8:$A32,A15,GERAL!$BM$8:$BM32,$AD$3)</f>
        <v>0</v>
      </c>
      <c r="AJ15" s="121">
        <f>SUMIFS(GERAL!$AR$8:$AR32,GERAL!$A$8:$A32,A15,GERAL!$BM$8:$BM32,$AD$3)</f>
        <v>0</v>
      </c>
      <c r="AK15" s="121">
        <f>SUMIFS(GERAL!$AW$8:$AW32,GERAL!$A$8:$A32,A15,GERAL!$BM$8:$BM32,$AD$3)</f>
        <v>0</v>
      </c>
      <c r="AL15" s="124">
        <f t="shared" si="7"/>
        <v>0</v>
      </c>
      <c r="AM15" s="116">
        <f>COUNTIFS(GERAL!$A$8:$A32,A15,GERAL!$BM$8:$BM32,"CAMPO",GERAL!$C$8:$C32,"ESCOLA")</f>
        <v>3</v>
      </c>
      <c r="AN15" s="118">
        <f>COUNTIFS(GERAL!$A$8:$A32,A15,GERAL!$BM$8:$BM32,"CAMPO",GERAL!$C$8:$C32,"ANEXO")</f>
        <v>10</v>
      </c>
      <c r="AO15" s="121">
        <f>SUMIFS(GERAL!$Z$8:$Z32,GERAL!$A$8:$A32,A15,GERAL!$BM$8:$BM32,$AM$3)</f>
        <v>0</v>
      </c>
      <c r="AP15" s="121">
        <f>SUMIFS(GERAL!$AE$8:$AE32,GERAL!$A$8:$A32,A15,GERAL!$BM$8:$BM32,$AM$3)</f>
        <v>0</v>
      </c>
      <c r="AQ15" s="121">
        <f>SUMIFS(GERAL!$AJ$8:$AJ32,GERAL!$A$8:$A32,A15,GERAL!$BM$8:$BM32,$AM$3)</f>
        <v>542</v>
      </c>
      <c r="AR15" s="121">
        <f>SUMIFS(GERAL!$AN$8:$AN32,GERAL!$A$8:$A32,A15,GERAL!$BM$8:$BM32,$AM$3)</f>
        <v>0</v>
      </c>
      <c r="AS15" s="121">
        <f>SUMIFS(GERAL!$AR$8:$AR32,GERAL!$A$8:$A32,A15,GERAL!$BM$8:$BM32,$AM$3)</f>
        <v>484</v>
      </c>
      <c r="AT15" s="121">
        <f>SUMIFS(GERAL!$AW$8:$AW32,GERAL!$A$8:$A32,A15,GERAL!$BM$8:$BM32,$AM$3)</f>
        <v>248</v>
      </c>
      <c r="AU15" s="124">
        <f t="shared" si="8"/>
        <v>1274</v>
      </c>
      <c r="AV15" s="116">
        <f>COUNTIFS(GERAL!$A$8:$A32,A15,GERAL!$AX$8:$AX32,"&gt;0",GERAL!$BM$8:$BM32,"EFA",GERAL!$C$8:$C32,"EFA")</f>
        <v>1</v>
      </c>
      <c r="AW15" s="121">
        <f>SUMIFS(GERAL!$AW$8:$AW32,GERAL!$A$8:$A32,A15,GERAL!$BM$8:$BM32,$AV$3)</f>
        <v>0</v>
      </c>
      <c r="AX15" s="121">
        <f>SUMIFS(GERAL!$AE$8:$AE32,GERAL!$A$8:$A32,A15,GERAL!$BM$8:$BM32,$AV$3)</f>
        <v>0</v>
      </c>
      <c r="AY15" s="121">
        <f>SUMIFS(GERAL!$AJ$8:$AJ32,GERAL!$A$8:$A32,A15,GERAL!$BM$8:$BM32,$AV$3)</f>
        <v>189</v>
      </c>
      <c r="AZ15" s="121">
        <f>SUMIFS(GERAL!$AN$8:$AN32,GERAL!$A$8:$A32,A15,GERAL!$BM$8:$BM32,$AV$3)</f>
        <v>0</v>
      </c>
      <c r="BA15" s="121">
        <f>SUMIFS(GERAL!$AR$8:$AR32,GERAL!$A$8:$A32,A15,GERAL!$BM$8:$BM32,$AV$3)</f>
        <v>0</v>
      </c>
      <c r="BB15" s="121">
        <f>SUMIFS(GERAL!$AW$8:$AW32,GERAL!$A$8:$A32,A15,GERAL!$BM$8:$BM32,$AV$3)</f>
        <v>0</v>
      </c>
      <c r="BC15" s="134">
        <f t="shared" si="9"/>
        <v>189</v>
      </c>
    </row>
    <row r="16">
      <c r="A16" s="135" t="s">
        <v>914</v>
      </c>
      <c r="B16" s="75">
        <f t="shared" ref="B16:C16" si="29">SUM(L16,U16,AD16,AM16)</f>
        <v>3</v>
      </c>
      <c r="C16" s="75">
        <f t="shared" si="29"/>
        <v>16</v>
      </c>
      <c r="D16" s="75">
        <f>COUNTIFS(GERAL!A$8:A$1696,A16,GERAL!C$8:C$1696,"EFA")</f>
        <v>4</v>
      </c>
      <c r="E16" s="85">
        <f t="shared" si="11"/>
        <v>0</v>
      </c>
      <c r="F16" s="85">
        <f t="shared" ref="F16:K16" si="30">SUM(O16,X16,AG16,AP16,AX16)</f>
        <v>250</v>
      </c>
      <c r="G16" s="85">
        <f t="shared" si="30"/>
        <v>1646</v>
      </c>
      <c r="H16" s="85">
        <f t="shared" si="30"/>
        <v>0</v>
      </c>
      <c r="I16" s="85">
        <f t="shared" si="30"/>
        <v>147</v>
      </c>
      <c r="J16" s="85">
        <f t="shared" si="30"/>
        <v>71</v>
      </c>
      <c r="K16" s="88">
        <f t="shared" si="30"/>
        <v>2114</v>
      </c>
      <c r="L16" s="95">
        <f>COUNTIFS(GERAL!$A$8:$A32,A16,GERAL!$BM$8:$BM32,"INDÍGENAS",GERAL!$C$8:$C32,"ESCOLA")</f>
        <v>0</v>
      </c>
      <c r="M16" s="75">
        <f>COUNTIFS(GERAL!$A$8:$A32,A16,GERAL!$BM$8:$BM32,"INDÍGENAS",GERAL!$C$8:$C32,"ANEXO")</f>
        <v>0</v>
      </c>
      <c r="N16" s="100">
        <f>SUMIFS(GERAL!$Z$8:$Z32,GERAL!$A$8:$A32,A16,GERAL!$BM$8:$BM32,$L$3)</f>
        <v>0</v>
      </c>
      <c r="O16" s="100">
        <f>SUMIFS(GERAL!$AE$8:$AE32,GERAL!$A$8:$A32,A16,GERAL!$BM$8:$BM32,$L$3)</f>
        <v>0</v>
      </c>
      <c r="P16" s="100">
        <f>SUMIFS(GERAL!$AJ$8:$AJ32,GERAL!$A$8:$A32,A16,GERAL!$BM$8:$BM32,$L$3)</f>
        <v>0</v>
      </c>
      <c r="Q16" s="100">
        <f>SUMIFS(GERAL!$AN$8:$AN32,GERAL!$A$8:$A32,A16,GERAL!$BM$8:$BM32,$L$3)</f>
        <v>0</v>
      </c>
      <c r="R16" s="100">
        <f>SUMIFS(GERAL!$AR$8:$AR32,GERAL!$A$8:$A32,A16,GERAL!$BM$8:$BM32,$L$3)</f>
        <v>0</v>
      </c>
      <c r="S16" s="100">
        <f>SUMIFS(GERAL!$AW$8:$AW32,GERAL!$A$8:$A32,A16,GERAL!$BM$8:$BM32,$L$3)</f>
        <v>0</v>
      </c>
      <c r="T16" s="103">
        <f t="shared" si="5"/>
        <v>0</v>
      </c>
      <c r="U16" s="75">
        <f>COUNTIFS(GERAL!$A$8:$A32,A16,GERAL!$BM$8:$BM32,"QUILOMBOLAS",GERAL!$C$8:$C32,"ESCOLA")</f>
        <v>0</v>
      </c>
      <c r="V16" s="75">
        <f>COUNTIFS(GERAL!$A$8:$A32,A16,GERAL!$BM$8:$BM32,"QUILOMBOLAS",GERAL!$C$8:$C32,"ANEXO")</f>
        <v>1</v>
      </c>
      <c r="W16" s="85">
        <f>SUMIFS(GERAL!$Z$8:$Z32,GERAL!$A$8:$A32,A16,GERAL!$BM$8:$BM32,$U$3)</f>
        <v>0</v>
      </c>
      <c r="X16" s="85">
        <f>SUMIFS(GERAL!$AE$8:$AE32,GERAL!$A$8:$A32,A16,GERAL!$BM$8:$BM32,$U$3)</f>
        <v>0</v>
      </c>
      <c r="Y16" s="85">
        <f>SUMIFS(GERAL!$AJ$8:$AJ32,GERAL!$A$8:$A32,A16,GERAL!$BM$8:$BM32,$U$3)</f>
        <v>36</v>
      </c>
      <c r="Z16" s="85">
        <f>SUMIFS(GERAL!$AN$8:$AN32,GERAL!$A$8:$A32,A16,GERAL!$BM$8:$BM32,$U$3)</f>
        <v>0</v>
      </c>
      <c r="AA16" s="85">
        <f>SUMIFS(GERAL!$AR$8:$AR32,GERAL!$A$8:$A32,A16,GERAL!$BM$8:$BM32,$U$3)</f>
        <v>0</v>
      </c>
      <c r="AB16" s="85">
        <f>SUMIFS(GERAL!$AW$8:$AW32,GERAL!$A$8:$A32,A16,GERAL!$BM$8:$BM32,$U$3)</f>
        <v>0</v>
      </c>
      <c r="AC16" s="88">
        <f t="shared" si="6"/>
        <v>36</v>
      </c>
      <c r="AD16" s="116">
        <f>COUNTIFS(GERAL!$A$8:$A32,A16,GERAL!$BM$8:$BM32,"ASSENTAMENTOS",GERAL!$C$8:$C32,"ESCOLA")</f>
        <v>0</v>
      </c>
      <c r="AE16" s="118">
        <f>COUNTIFS(GERAL!$A$8:$A32,A16,GERAL!$BM$8:$BM32,"ASSENTAMENTOS",GERAL!$C$8:$C32,"ANEXO")</f>
        <v>0</v>
      </c>
      <c r="AF16" s="121">
        <f>SUMIFS(GERAL!$Z$8:$Z32,GERAL!$A$8:$A32,A16,GERAL!$BM$8:$BM32,$AD$3)</f>
        <v>0</v>
      </c>
      <c r="AG16" s="121">
        <f>SUMIFS(GERAL!$AE$8:$AE32,GERAL!$A$8:$A32,A16,GERAL!$BM$8:$BM32,$AD$3)
</f>
        <v>0</v>
      </c>
      <c r="AH16" s="121">
        <f>SUMIFS(GERAL!$AJ$8:$AJ32,GERAL!$A$8:$A32,A16,GERAL!$BM$8:$BM32,$AD$3)</f>
        <v>0</v>
      </c>
      <c r="AI16" s="121">
        <f>SUMIFS(GERAL!$AN$8:$AN32,GERAL!$A$8:$A32,A16,GERAL!$BM$8:$BM32,$AD$3)</f>
        <v>0</v>
      </c>
      <c r="AJ16" s="121">
        <f>SUMIFS(GERAL!$AR$8:$AR32,GERAL!$A$8:$A32,A16,GERAL!$BM$8:$BM32,$AD$3)</f>
        <v>0</v>
      </c>
      <c r="AK16" s="121">
        <f>SUMIFS(GERAL!$AW$8:$AW32,GERAL!$A$8:$A32,A16,GERAL!$BM$8:$BM32,$AD$3)</f>
        <v>0</v>
      </c>
      <c r="AL16" s="124">
        <f t="shared" si="7"/>
        <v>0</v>
      </c>
      <c r="AM16" s="116">
        <f>COUNTIFS(GERAL!$A$8:$A32,A16,GERAL!$BM$8:$BM32,"CAMPO",GERAL!$C$8:$C32,"ESCOLA")</f>
        <v>3</v>
      </c>
      <c r="AN16" s="118">
        <f>COUNTIFS(GERAL!$A$8:$A32,A16,GERAL!$BM$8:$BM32,"CAMPO",GERAL!$C$8:$C32,"ANEXO")</f>
        <v>15</v>
      </c>
      <c r="AO16" s="121">
        <f>SUMIFS(GERAL!$Z$8:$Z32,GERAL!$A$8:$A32,A16,GERAL!$BM$8:$BM32,$AM$3)</f>
        <v>0</v>
      </c>
      <c r="AP16" s="121">
        <f>SUMIFS(GERAL!$AE$8:$AE32,GERAL!$A$8:$A32,A16,GERAL!$BM$8:$BM32,$AM$3)</f>
        <v>68</v>
      </c>
      <c r="AQ16" s="121">
        <f>SUMIFS(GERAL!$AJ$8:$AJ32,GERAL!$A$8:$A32,A16,GERAL!$BM$8:$BM32,$AM$3)</f>
        <v>1258</v>
      </c>
      <c r="AR16" s="121">
        <f>SUMIFS(GERAL!$AN$8:$AN32,GERAL!$A$8:$A32,A16,GERAL!$BM$8:$BM32,$AM$3)</f>
        <v>0</v>
      </c>
      <c r="AS16" s="121">
        <f>SUMIFS(GERAL!$AR$8:$AR32,GERAL!$A$8:$A32,A16,GERAL!$BM$8:$BM32,$AM$3)</f>
        <v>147</v>
      </c>
      <c r="AT16" s="121">
        <f>SUMIFS(GERAL!$AW$8:$AW32,GERAL!$A$8:$A32,A16,GERAL!$BM$8:$BM32,$AM$3)</f>
        <v>71</v>
      </c>
      <c r="AU16" s="124">
        <f t="shared" si="8"/>
        <v>1544</v>
      </c>
      <c r="AV16" s="116">
        <f>COUNTIFS(GERAL!$A$8:$A32,A16,GERAL!$AX$8:$AX32,"&gt;0",GERAL!$BM$8:$BM32,"EFA",GERAL!$C$8:$C32,"EFA")</f>
        <v>4</v>
      </c>
      <c r="AW16" s="121">
        <f>SUMIFS(GERAL!$AW$8:$AW32,GERAL!$A$8:$A32,A16,GERAL!$BM$8:$BM32,$AV$3)</f>
        <v>0</v>
      </c>
      <c r="AX16" s="121">
        <f>SUMIFS(GERAL!$AE$8:$AE32,GERAL!$A$8:$A32,A16,GERAL!$BM$8:$BM32,$AV$3)</f>
        <v>182</v>
      </c>
      <c r="AY16" s="121">
        <f>SUMIFS(GERAL!$AJ$8:$AJ32,GERAL!$A$8:$A32,A16,GERAL!$BM$8:$BM32,$AV$3)</f>
        <v>352</v>
      </c>
      <c r="AZ16" s="121">
        <f>SUMIFS(GERAL!$AN$8:$AN32,GERAL!$A$8:$A32,A16,GERAL!$BM$8:$BM32,$AV$3)</f>
        <v>0</v>
      </c>
      <c r="BA16" s="121">
        <f>SUMIFS(GERAL!$AR$8:$AR32,GERAL!$A$8:$A32,A16,GERAL!$BM$8:$BM32,$AV$3)</f>
        <v>0</v>
      </c>
      <c r="BB16" s="121">
        <f>SUMIFS(GERAL!$AW$8:$AW32,GERAL!$A$8:$A32,A16,GERAL!$BM$8:$BM32,$AV$3)</f>
        <v>0</v>
      </c>
      <c r="BC16" s="134">
        <f t="shared" si="9"/>
        <v>534</v>
      </c>
    </row>
    <row r="17">
      <c r="A17" s="151" t="s">
        <v>973</v>
      </c>
      <c r="B17" s="75">
        <f t="shared" ref="B17:C17" si="31">SUM(L17,U17,AD17,AM17)</f>
        <v>3</v>
      </c>
      <c r="C17" s="75">
        <f t="shared" si="31"/>
        <v>11</v>
      </c>
      <c r="D17" s="75">
        <f>COUNTIFS(GERAL!A$8:A$1696,A17,GERAL!C$8:C$1696,"EFA")</f>
        <v>2</v>
      </c>
      <c r="E17" s="85">
        <f t="shared" si="11"/>
        <v>0</v>
      </c>
      <c r="F17" s="85">
        <f t="shared" ref="F17:K17" si="32">SUM(O17,X17,AG17,AP17,AX17)</f>
        <v>81</v>
      </c>
      <c r="G17" s="85">
        <f t="shared" si="32"/>
        <v>1322</v>
      </c>
      <c r="H17" s="85">
        <f t="shared" si="32"/>
        <v>0</v>
      </c>
      <c r="I17" s="85">
        <f t="shared" si="32"/>
        <v>294</v>
      </c>
      <c r="J17" s="85">
        <f t="shared" si="32"/>
        <v>206</v>
      </c>
      <c r="K17" s="88">
        <f t="shared" si="32"/>
        <v>1903</v>
      </c>
      <c r="L17" s="95">
        <f>COUNTIFS(GERAL!$A$8:$A32,A17,GERAL!$BM$8:$BM32,"INDÍGENAS",GERAL!$C$8:$C32,"ESCOLA")</f>
        <v>0</v>
      </c>
      <c r="M17" s="75">
        <f>COUNTIFS(GERAL!$A$8:$A32,A17,GERAL!$BM$8:$BM32,"INDÍGENAS",GERAL!$C$8:$C32,"ANEXO")</f>
        <v>0</v>
      </c>
      <c r="N17" s="100">
        <f>SUMIFS(GERAL!$Z$8:$Z32,GERAL!$A$8:$A32,A17,GERAL!$BM$8:$BM32,$L$3)</f>
        <v>0</v>
      </c>
      <c r="O17" s="100">
        <f>SUMIFS(GERAL!$AE$8:$AE32,GERAL!$A$8:$A32,A17,GERAL!$BM$8:$BM32,$L$3)</f>
        <v>0</v>
      </c>
      <c r="P17" s="100">
        <f>SUMIFS(GERAL!$AJ$8:$AJ32,GERAL!$A$8:$A32,A17,GERAL!$BM$8:$BM32,$L$3)</f>
        <v>0</v>
      </c>
      <c r="Q17" s="100">
        <f>SUMIFS(GERAL!$AN$8:$AN32,GERAL!$A$8:$A32,A17,GERAL!$BM$8:$BM32,$L$3)</f>
        <v>0</v>
      </c>
      <c r="R17" s="100">
        <f>SUMIFS(GERAL!$AR$8:$AR32,GERAL!$A$8:$A32,A17,GERAL!$BM$8:$BM32,$L$3)</f>
        <v>0</v>
      </c>
      <c r="S17" s="100">
        <f>SUMIFS(GERAL!$AW$8:$AW32,GERAL!$A$8:$A32,A17,GERAL!$BM$8:$BM32,$L$3)</f>
        <v>0</v>
      </c>
      <c r="T17" s="103">
        <f t="shared" si="5"/>
        <v>0</v>
      </c>
      <c r="U17" s="75">
        <f>COUNTIFS(GERAL!$A$8:$A32,A17,GERAL!$BM$8:$BM32,"QUILOMBOLAS",GERAL!$C$8:$C32,"ESCOLA")</f>
        <v>0</v>
      </c>
      <c r="V17" s="75">
        <f>COUNTIFS(GERAL!$A$8:$A32,A17,GERAL!$BM$8:$BM32,"QUILOMBOLAS",GERAL!$C$8:$C32,"ANEXO")</f>
        <v>1</v>
      </c>
      <c r="W17" s="85">
        <f>SUMIFS(GERAL!$Z$8:$Z32,GERAL!$A$8:$A32,A17,GERAL!$BM$8:$BM32,$U$3)</f>
        <v>0</v>
      </c>
      <c r="X17" s="85">
        <f>SUMIFS(GERAL!$AE$8:$AE32,GERAL!$A$8:$A32,A17,GERAL!$BM$8:$BM32,$U$3)</f>
        <v>0</v>
      </c>
      <c r="Y17" s="85">
        <f>SUMIFS(GERAL!$AJ$8:$AJ32,GERAL!$A$8:$A32,A17,GERAL!$BM$8:$BM32,$U$3)</f>
        <v>37</v>
      </c>
      <c r="Z17" s="85">
        <f>SUMIFS(GERAL!$AN$8:$AN32,GERAL!$A$8:$A32,A17,GERAL!$BM$8:$BM32,$U$3)</f>
        <v>0</v>
      </c>
      <c r="AA17" s="85">
        <f>SUMIFS(GERAL!$AR$8:$AR32,GERAL!$A$8:$A32,A17,GERAL!$BM$8:$BM32,$U$3)</f>
        <v>0</v>
      </c>
      <c r="AB17" s="85">
        <f>SUMIFS(GERAL!$AW$8:$AW32,GERAL!$A$8:$A32,A17,GERAL!$BM$8:$BM32,$U$3)</f>
        <v>0</v>
      </c>
      <c r="AC17" s="88">
        <f t="shared" si="6"/>
        <v>37</v>
      </c>
      <c r="AD17" s="116">
        <f>COUNTIFS(GERAL!$A$8:$A32,A17,GERAL!$BM$8:$BM32,"ASSENTAMENTOS",GERAL!$C$8:$C32,"ESCOLA")</f>
        <v>0</v>
      </c>
      <c r="AE17" s="118">
        <f>COUNTIFS(GERAL!$A$8:$A32,A17,GERAL!$BM$8:$BM32,"ASSENTAMENTOS",GERAL!$C$8:$C32,"ANEXO")</f>
        <v>0</v>
      </c>
      <c r="AF17" s="121">
        <f>SUMIFS(GERAL!$Z$8:$Z32,GERAL!$A$8:$A32,A17,GERAL!$BM$8:$BM32,$AD$3)</f>
        <v>0</v>
      </c>
      <c r="AG17" s="121">
        <f>SUMIFS(GERAL!$AE$8:$AE32,GERAL!$A$8:$A32,A17,GERAL!$BM$8:$BM32,$AD$3)
</f>
        <v>0</v>
      </c>
      <c r="AH17" s="121">
        <f>SUMIFS(GERAL!$AJ$8:$AJ32,GERAL!$A$8:$A32,A17,GERAL!$BM$8:$BM32,$AD$3)</f>
        <v>0</v>
      </c>
      <c r="AI17" s="121">
        <f>SUMIFS(GERAL!$AN$8:$AN32,GERAL!$A$8:$A32,A17,GERAL!$BM$8:$BM32,$AD$3)</f>
        <v>0</v>
      </c>
      <c r="AJ17" s="121">
        <f>SUMIFS(GERAL!$AR$8:$AR32,GERAL!$A$8:$A32,A17,GERAL!$BM$8:$BM32,$AD$3)</f>
        <v>0</v>
      </c>
      <c r="AK17" s="121">
        <f>SUMIFS(GERAL!$AW$8:$AW32,GERAL!$A$8:$A32,A17,GERAL!$BM$8:$BM32,$AD$3)</f>
        <v>0</v>
      </c>
      <c r="AL17" s="124">
        <f t="shared" si="7"/>
        <v>0</v>
      </c>
      <c r="AM17" s="116">
        <f>COUNTIFS(GERAL!$A$8:$A32,A17,GERAL!$BM$8:$BM32,"CAMPO",GERAL!$C$8:$C32,"ESCOLA")</f>
        <v>3</v>
      </c>
      <c r="AN17" s="118">
        <f>COUNTIFS(GERAL!$A$8:$A32,A17,GERAL!$BM$8:$BM32,"CAMPO",GERAL!$C$8:$C32,"ANEXO")</f>
        <v>10</v>
      </c>
      <c r="AO17" s="121">
        <f>SUMIFS(GERAL!$Z$8:$Z32,GERAL!$A$8:$A32,A17,GERAL!$BM$8:$BM32,$AM$3)</f>
        <v>0</v>
      </c>
      <c r="AP17" s="121">
        <f>SUMIFS(GERAL!$AE$8:$AE32,GERAL!$A$8:$A32,A17,GERAL!$BM$8:$BM32,$AM$3)</f>
        <v>0</v>
      </c>
      <c r="AQ17" s="121">
        <f>SUMIFS(GERAL!$AJ$8:$AJ32,GERAL!$A$8:$A32,A17,GERAL!$BM$8:$BM32,$AM$3)</f>
        <v>1085</v>
      </c>
      <c r="AR17" s="121">
        <f>SUMIFS(GERAL!$AN$8:$AN32,GERAL!$A$8:$A32,A17,GERAL!$BM$8:$BM32,$AM$3)</f>
        <v>0</v>
      </c>
      <c r="AS17" s="121">
        <f>SUMIFS(GERAL!$AR$8:$AR32,GERAL!$A$8:$A32,A17,GERAL!$BM$8:$BM32,$AM$3)</f>
        <v>294</v>
      </c>
      <c r="AT17" s="121">
        <f>SUMIFS(GERAL!$AW$8:$AW32,GERAL!$A$8:$A32,A17,GERAL!$BM$8:$BM32,$AM$3)</f>
        <v>206</v>
      </c>
      <c r="AU17" s="124">
        <f t="shared" si="8"/>
        <v>1585</v>
      </c>
      <c r="AV17" s="116">
        <f>COUNTIFS(GERAL!$A$8:$A32,A17,GERAL!$AX$8:$AX32,"&gt;0",GERAL!$BM$8:$BM32,"EFA",GERAL!$C$8:$C32,"EFA")</f>
        <v>2</v>
      </c>
      <c r="AW17" s="121">
        <f>SUMIFS(GERAL!$AW$8:$AW32,GERAL!$A$8:$A32,A17,GERAL!$BM$8:$BM32,$AV$3)</f>
        <v>0</v>
      </c>
      <c r="AX17" s="121">
        <f>SUMIFS(GERAL!$AE$8:$AE32,GERAL!$A$8:$A32,A17,GERAL!$BM$8:$BM32,$AV$3)</f>
        <v>81</v>
      </c>
      <c r="AY17" s="121">
        <f>SUMIFS(GERAL!$AJ$8:$AJ32,GERAL!$A$8:$A32,A17,GERAL!$BM$8:$BM32,$AV$3)</f>
        <v>200</v>
      </c>
      <c r="AZ17" s="121">
        <f>SUMIFS(GERAL!$AN$8:$AN32,GERAL!$A$8:$A32,A17,GERAL!$BM$8:$BM32,$AV$3)</f>
        <v>0</v>
      </c>
      <c r="BA17" s="121">
        <f>SUMIFS(GERAL!$AR$8:$AR32,GERAL!$A$8:$A32,A17,GERAL!$BM$8:$BM32,$AV$3)</f>
        <v>0</v>
      </c>
      <c r="BB17" s="121">
        <f>SUMIFS(GERAL!$AW$8:$AW32,GERAL!$A$8:$A32,A17,GERAL!$BM$8:$BM32,$AV$3)</f>
        <v>0</v>
      </c>
      <c r="BC17" s="134">
        <f t="shared" si="9"/>
        <v>281</v>
      </c>
    </row>
    <row r="18">
      <c r="A18" s="135" t="s">
        <v>1027</v>
      </c>
      <c r="B18" s="75">
        <f t="shared" ref="B18:C18" si="33">SUM(L18,U18,AD18,AM18)</f>
        <v>4</v>
      </c>
      <c r="C18" s="75">
        <f t="shared" si="33"/>
        <v>6</v>
      </c>
      <c r="D18" s="75">
        <f>COUNTIFS(GERAL!A$8:A$1696,A18,GERAL!C$8:C$1696,"EFA")</f>
        <v>2</v>
      </c>
      <c r="E18" s="85">
        <f t="shared" si="11"/>
        <v>0</v>
      </c>
      <c r="F18" s="85">
        <f t="shared" ref="F18:K18" si="34">SUM(O18,X18,AG18,AP18,AX18)</f>
        <v>0</v>
      </c>
      <c r="G18" s="85">
        <f t="shared" si="34"/>
        <v>1373</v>
      </c>
      <c r="H18" s="85">
        <f t="shared" si="34"/>
        <v>0</v>
      </c>
      <c r="I18" s="85">
        <f t="shared" si="34"/>
        <v>114</v>
      </c>
      <c r="J18" s="85">
        <f t="shared" si="34"/>
        <v>0</v>
      </c>
      <c r="K18" s="88">
        <f t="shared" si="34"/>
        <v>1487</v>
      </c>
      <c r="L18" s="95">
        <f>COUNTIFS(GERAL!$A$8:$A32,A18,GERAL!$BM$8:$BM32,"INDÍGENAS",GERAL!$C$8:$C32,"ESCOLA")</f>
        <v>0</v>
      </c>
      <c r="M18" s="75">
        <f>COUNTIFS(GERAL!$A$8:$A32,A18,GERAL!$BM$8:$BM32,"INDÍGENAS",GERAL!$C$8:$C32,"ANEXO")</f>
        <v>0</v>
      </c>
      <c r="N18" s="100">
        <f>SUMIFS(GERAL!$Z$8:$Z32,GERAL!$A$8:$A32,A18,GERAL!$BM$8:$BM32,$L$3)</f>
        <v>0</v>
      </c>
      <c r="O18" s="100">
        <f>SUMIFS(GERAL!$AE$8:$AE32,GERAL!$A$8:$A32,A18,GERAL!$BM$8:$BM32,$L$3)</f>
        <v>0</v>
      </c>
      <c r="P18" s="100">
        <f>SUMIFS(GERAL!$AJ$8:$AJ32,GERAL!$A$8:$A32,A18,GERAL!$BM$8:$BM32,$L$3)</f>
        <v>0</v>
      </c>
      <c r="Q18" s="100">
        <f>SUMIFS(GERAL!$AN$8:$AN32,GERAL!$A$8:$A32,A18,GERAL!$BM$8:$BM32,$L$3)</f>
        <v>0</v>
      </c>
      <c r="R18" s="100">
        <f>SUMIFS(GERAL!$AR$8:$AR32,GERAL!$A$8:$A32,A18,GERAL!$BM$8:$BM32,$L$3)</f>
        <v>0</v>
      </c>
      <c r="S18" s="100">
        <f>SUMIFS(GERAL!$AW$8:$AW32,GERAL!$A$8:$A32,A18,GERAL!$BM$8:$BM32,$L$3)</f>
        <v>0</v>
      </c>
      <c r="T18" s="103">
        <f t="shared" si="5"/>
        <v>0</v>
      </c>
      <c r="U18" s="75">
        <f>COUNTIFS(GERAL!$A$8:$A32,A18,GERAL!$BM$8:$BM32,"QUILOMBOLAS",GERAL!$C$8:$C32,"ESCOLA")</f>
        <v>0</v>
      </c>
      <c r="V18" s="75">
        <f>COUNTIFS(GERAL!$A$8:$A32,A18,GERAL!$BM$8:$BM32,"QUILOMBOLAS",GERAL!$C$8:$C32,"ANEXO")</f>
        <v>0</v>
      </c>
      <c r="W18" s="85">
        <f>SUMIFS(GERAL!$Z$8:$Z32,GERAL!$A$8:$A32,A18,GERAL!$BM$8:$BM32,$U$3)</f>
        <v>0</v>
      </c>
      <c r="X18" s="85">
        <f>SUMIFS(GERAL!$AE$8:$AE32,GERAL!$A$8:$A32,A18,GERAL!$BM$8:$BM32,$U$3)</f>
        <v>0</v>
      </c>
      <c r="Y18" s="85">
        <f>SUMIFS(GERAL!$AJ$8:$AJ32,GERAL!$A$8:$A32,A18,GERAL!$BM$8:$BM32,$U$3)</f>
        <v>0</v>
      </c>
      <c r="Z18" s="85">
        <f>SUMIFS(GERAL!$AN$8:$AN32,GERAL!$A$8:$A32,A18,GERAL!$BM$8:$BM32,$U$3)</f>
        <v>0</v>
      </c>
      <c r="AA18" s="85">
        <f>SUMIFS(GERAL!$AR$8:$AR32,GERAL!$A$8:$A32,A18,GERAL!$BM$8:$BM32,$U$3)</f>
        <v>0</v>
      </c>
      <c r="AB18" s="85">
        <f>SUMIFS(GERAL!$AW$8:$AW32,GERAL!$A$8:$A32,A18,GERAL!$BM$8:$BM32,$U$3)</f>
        <v>0</v>
      </c>
      <c r="AC18" s="88">
        <f t="shared" si="6"/>
        <v>0</v>
      </c>
      <c r="AD18" s="116">
        <f>COUNTIFS(GERAL!$A$8:$A32,A18,GERAL!$BM$8:$BM32,"ASSENTAMENTOS",GERAL!$C$8:$C32,"ESCOLA")</f>
        <v>1</v>
      </c>
      <c r="AE18" s="118">
        <f>COUNTIFS(GERAL!$A$8:$A32,A18,GERAL!$BM$8:$BM32,"ASSENTAMENTOS",GERAL!$C$8:$C32,"ANEXO")</f>
        <v>1</v>
      </c>
      <c r="AF18" s="121">
        <f>SUMIFS(GERAL!$Z$8:$Z32,GERAL!$A$8:$A32,A18,GERAL!$BM$8:$BM32,$AD$3)</f>
        <v>0</v>
      </c>
      <c r="AG18" s="121">
        <f>SUMIFS(GERAL!$AE$8:$AE32,GERAL!$A$8:$A32,A18,GERAL!$BM$8:$BM32,$AD$3)
</f>
        <v>0</v>
      </c>
      <c r="AH18" s="121">
        <f>SUMIFS(GERAL!$AJ$8:$AJ32,GERAL!$A$8:$A32,A18,GERAL!$BM$8:$BM32,$AD$3)</f>
        <v>54</v>
      </c>
      <c r="AI18" s="121">
        <f>SUMIFS(GERAL!$AN$8:$AN32,GERAL!$A$8:$A32,A18,GERAL!$BM$8:$BM32,$AD$3)</f>
        <v>0</v>
      </c>
      <c r="AJ18" s="121">
        <f>SUMIFS(GERAL!$AR$8:$AR32,GERAL!$A$8:$A32,A18,GERAL!$BM$8:$BM32,$AD$3)</f>
        <v>26</v>
      </c>
      <c r="AK18" s="121">
        <f>SUMIFS(GERAL!$AW$8:$AW32,GERAL!$A$8:$A32,A18,GERAL!$BM$8:$BM32,$AD$3)</f>
        <v>0</v>
      </c>
      <c r="AL18" s="124">
        <f t="shared" si="7"/>
        <v>80</v>
      </c>
      <c r="AM18" s="116">
        <f>COUNTIFS(GERAL!$A$8:$A32,A18,GERAL!$BM$8:$BM32,"CAMPO",GERAL!$C$8:$C32,"ESCOLA")</f>
        <v>3</v>
      </c>
      <c r="AN18" s="118">
        <f>COUNTIFS(GERAL!$A$8:$A32,A18,GERAL!$BM$8:$BM32,"CAMPO",GERAL!$C$8:$C32,"ANEXO")</f>
        <v>5</v>
      </c>
      <c r="AO18" s="121">
        <f>SUMIFS(GERAL!$Z$8:$Z32,GERAL!$A$8:$A32,A18,GERAL!$BM$8:$BM32,$AM$3)</f>
        <v>0</v>
      </c>
      <c r="AP18" s="121">
        <f>SUMIFS(GERAL!$AE$8:$AE32,GERAL!$A$8:$A32,A18,GERAL!$BM$8:$BM32,$AM$3)</f>
        <v>0</v>
      </c>
      <c r="AQ18" s="121">
        <f>SUMIFS(GERAL!$AJ$8:$AJ32,GERAL!$A$8:$A32,A18,GERAL!$BM$8:$BM32,$AM$3)</f>
        <v>1020</v>
      </c>
      <c r="AR18" s="121">
        <f>SUMIFS(GERAL!$AN$8:$AN32,GERAL!$A$8:$A32,A18,GERAL!$BM$8:$BM32,$AM$3)</f>
        <v>0</v>
      </c>
      <c r="AS18" s="121">
        <f>SUMIFS(GERAL!$AR$8:$AR32,GERAL!$A$8:$A32,A18,GERAL!$BM$8:$BM32,$AM$3)</f>
        <v>88</v>
      </c>
      <c r="AT18" s="121">
        <f>SUMIFS(GERAL!$AW$8:$AW32,GERAL!$A$8:$A32,A18,GERAL!$BM$8:$BM32,$AM$3)</f>
        <v>0</v>
      </c>
      <c r="AU18" s="124">
        <f t="shared" si="8"/>
        <v>1108</v>
      </c>
      <c r="AV18" s="116">
        <f>COUNTIFS(GERAL!$A$8:$A32,A18,GERAL!$AX$8:$AX32,"&gt;0",GERAL!$BM$8:$BM32,"EFA",GERAL!$C$8:$C32,"EFA")</f>
        <v>2</v>
      </c>
      <c r="AW18" s="121">
        <f>SUMIFS(GERAL!$AW$8:$AW32,GERAL!$A$8:$A32,A18,GERAL!$BM$8:$BM32,$AV$3)</f>
        <v>0</v>
      </c>
      <c r="AX18" s="121">
        <f>SUMIFS(GERAL!$AE$8:$AE32,GERAL!$A$8:$A32,A18,GERAL!$BM$8:$BM32,$AV$3)</f>
        <v>0</v>
      </c>
      <c r="AY18" s="121">
        <f>SUMIFS(GERAL!$AJ$8:$AJ32,GERAL!$A$8:$A32,A18,GERAL!$BM$8:$BM32,$AV$3)</f>
        <v>299</v>
      </c>
      <c r="AZ18" s="121">
        <f>SUMIFS(GERAL!$AN$8:$AN32,GERAL!$A$8:$A32,A18,GERAL!$BM$8:$BM32,$AV$3)</f>
        <v>0</v>
      </c>
      <c r="BA18" s="121">
        <f>SUMIFS(GERAL!$AR$8:$AR32,GERAL!$A$8:$A32,A18,GERAL!$BM$8:$BM32,$AV$3)</f>
        <v>0</v>
      </c>
      <c r="BB18" s="121">
        <f>SUMIFS(GERAL!$AW$8:$AW32,GERAL!$A$8:$A32,A18,GERAL!$BM$8:$BM32,$AV$3)</f>
        <v>0</v>
      </c>
      <c r="BC18" s="134">
        <f t="shared" si="9"/>
        <v>299</v>
      </c>
    </row>
    <row r="19">
      <c r="A19" s="151" t="s">
        <v>1090</v>
      </c>
      <c r="B19" s="75">
        <f t="shared" ref="B19:C19" si="35">SUM(L19,U19,AD19,AM19)</f>
        <v>6</v>
      </c>
      <c r="C19" s="75">
        <f t="shared" si="35"/>
        <v>4</v>
      </c>
      <c r="D19" s="75">
        <f>COUNTIFS(GERAL!A$8:A$1696,A19,GERAL!C$8:C$1696,"EFA")</f>
        <v>1</v>
      </c>
      <c r="E19" s="85">
        <f t="shared" si="11"/>
        <v>0</v>
      </c>
      <c r="F19" s="85">
        <f t="shared" ref="F19:K19" si="36">SUM(O19,X19,AG19,AP19,AX19)</f>
        <v>51</v>
      </c>
      <c r="G19" s="85">
        <f t="shared" si="36"/>
        <v>1127</v>
      </c>
      <c r="H19" s="85">
        <f t="shared" si="36"/>
        <v>21</v>
      </c>
      <c r="I19" s="85">
        <f t="shared" si="36"/>
        <v>323</v>
      </c>
      <c r="J19" s="85">
        <f t="shared" si="36"/>
        <v>193</v>
      </c>
      <c r="K19" s="88">
        <f t="shared" si="36"/>
        <v>1715</v>
      </c>
      <c r="L19" s="95">
        <f>COUNTIFS(GERAL!$A$8:$A32,A19,GERAL!$BM$8:$BM32,"INDÍGENAS",GERAL!$C$8:$C32,"ESCOLA")</f>
        <v>0</v>
      </c>
      <c r="M19" s="75">
        <f>COUNTIFS(GERAL!$A$8:$A32,A19,GERAL!$BM$8:$BM32,"INDÍGENAS",GERAL!$C$8:$C32,"ANEXO")</f>
        <v>0</v>
      </c>
      <c r="N19" s="100">
        <f>SUMIFS(GERAL!$Z$8:$Z32,GERAL!$A$8:$A32,A19,GERAL!$BM$8:$BM32,$L$3)</f>
        <v>0</v>
      </c>
      <c r="O19" s="100">
        <f>SUMIFS(GERAL!$AE$8:$AE32,GERAL!$A$8:$A32,A19,GERAL!$BM$8:$BM32,$L$3)</f>
        <v>0</v>
      </c>
      <c r="P19" s="100">
        <f>SUMIFS(GERAL!$AJ$8:$AJ32,GERAL!$A$8:$A32,A19,GERAL!$BM$8:$BM32,$L$3)</f>
        <v>0</v>
      </c>
      <c r="Q19" s="100">
        <f>SUMIFS(GERAL!$AN$8:$AN32,GERAL!$A$8:$A32,A19,GERAL!$BM$8:$BM32,$L$3)</f>
        <v>0</v>
      </c>
      <c r="R19" s="100">
        <f>SUMIFS(GERAL!$AR$8:$AR32,GERAL!$A$8:$A32,A19,GERAL!$BM$8:$BM32,$L$3)</f>
        <v>0</v>
      </c>
      <c r="S19" s="100">
        <f>SUMIFS(GERAL!$AW$8:$AW32,GERAL!$A$8:$A32,A19,GERAL!$BM$8:$BM32,$L$3)</f>
        <v>0</v>
      </c>
      <c r="T19" s="103">
        <f t="shared" si="5"/>
        <v>0</v>
      </c>
      <c r="U19" s="75">
        <f>COUNTIFS(GERAL!$A$8:$A32,A19,GERAL!$BM$8:$BM32,"QUILOMBOLAS",GERAL!$C$8:$C32,"ESCOLA")</f>
        <v>0</v>
      </c>
      <c r="V19" s="75">
        <f>COUNTIFS(GERAL!$A$8:$A32,A19,GERAL!$BM$8:$BM32,"QUILOMBOLAS",GERAL!$C$8:$C32,"ANEXO")</f>
        <v>0</v>
      </c>
      <c r="W19" s="85">
        <f>SUMIFS(GERAL!$Z$8:$Z32,GERAL!$A$8:$A32,A19,GERAL!$BM$8:$BM32,$U$3)</f>
        <v>0</v>
      </c>
      <c r="X19" s="85">
        <f>SUMIFS(GERAL!$AE$8:$AE32,GERAL!$A$8:$A32,A19,GERAL!$BM$8:$BM32,$U$3)</f>
        <v>0</v>
      </c>
      <c r="Y19" s="85">
        <f>SUMIFS(GERAL!$AJ$8:$AJ32,GERAL!$A$8:$A32,A19,GERAL!$BM$8:$BM32,$U$3)</f>
        <v>0</v>
      </c>
      <c r="Z19" s="85">
        <f>SUMIFS(GERAL!$AN$8:$AN32,GERAL!$A$8:$A32,A19,GERAL!$BM$8:$BM32,$U$3)</f>
        <v>0</v>
      </c>
      <c r="AA19" s="85">
        <f>SUMIFS(GERAL!$AR$8:$AR32,GERAL!$A$8:$A32,A19,GERAL!$BM$8:$BM32,$U$3)</f>
        <v>0</v>
      </c>
      <c r="AB19" s="85">
        <f>SUMIFS(GERAL!$AW$8:$AW32,GERAL!$A$8:$A32,A19,GERAL!$BM$8:$BM32,$U$3)</f>
        <v>0</v>
      </c>
      <c r="AC19" s="88">
        <f t="shared" si="6"/>
        <v>0</v>
      </c>
      <c r="AD19" s="116">
        <f>COUNTIFS(GERAL!$A$8:$A32,A19,GERAL!$BM$8:$BM32,"ASSENTAMENTOS",GERAL!$C$8:$C32,"ESCOLA")</f>
        <v>0</v>
      </c>
      <c r="AE19" s="118">
        <f>COUNTIFS(GERAL!$A$8:$A32,A19,GERAL!$BM$8:$BM32,"ASSENTAMENTOS",GERAL!$C$8:$C32,"ANEXO")</f>
        <v>0</v>
      </c>
      <c r="AF19" s="121">
        <f>SUMIFS(GERAL!$Z$8:$Z32,GERAL!$A$8:$A32,A19,GERAL!$BM$8:$BM32,$AD$3)</f>
        <v>0</v>
      </c>
      <c r="AG19" s="121">
        <f>SUMIFS(GERAL!$AE$8:$AE32,GERAL!$A$8:$A32,A19,GERAL!$BM$8:$BM32,$AD$3)
</f>
        <v>0</v>
      </c>
      <c r="AH19" s="121">
        <f>SUMIFS(GERAL!$AJ$8:$AJ32,GERAL!$A$8:$A32,A19,GERAL!$BM$8:$BM32,$AD$3)</f>
        <v>0</v>
      </c>
      <c r="AI19" s="121">
        <f>SUMIFS(GERAL!$AN$8:$AN32,GERAL!$A$8:$A32,A19,GERAL!$BM$8:$BM32,$AD$3)</f>
        <v>0</v>
      </c>
      <c r="AJ19" s="121">
        <f>SUMIFS(GERAL!$AR$8:$AR32,GERAL!$A$8:$A32,A19,GERAL!$BM$8:$BM32,$AD$3)</f>
        <v>0</v>
      </c>
      <c r="AK19" s="121">
        <f>SUMIFS(GERAL!$AW$8:$AW32,GERAL!$A$8:$A32,A19,GERAL!$BM$8:$BM32,$AD$3)</f>
        <v>0</v>
      </c>
      <c r="AL19" s="124">
        <f t="shared" si="7"/>
        <v>0</v>
      </c>
      <c r="AM19" s="116">
        <f>COUNTIFS(GERAL!$A$8:$A32,A19,GERAL!$BM$8:$BM32,"CAMPO",GERAL!$C$8:$C32,"ESCOLA")</f>
        <v>6</v>
      </c>
      <c r="AN19" s="118">
        <f>COUNTIFS(GERAL!$A$8:$A32,A19,GERAL!$BM$8:$BM32,"CAMPO",GERAL!$C$8:$C32,"ANEXO")</f>
        <v>4</v>
      </c>
      <c r="AO19" s="121">
        <f>SUMIFS(GERAL!$Z$8:$Z32,GERAL!$A$8:$A32,A19,GERAL!$BM$8:$BM32,$AM$3)</f>
        <v>0</v>
      </c>
      <c r="AP19" s="121">
        <f>SUMIFS(GERAL!$AE$8:$AE32,GERAL!$A$8:$A32,A19,GERAL!$BM$8:$BM32,$AM$3)</f>
        <v>0</v>
      </c>
      <c r="AQ19" s="121">
        <f>SUMIFS(GERAL!$AJ$8:$AJ32,GERAL!$A$8:$A32,A19,GERAL!$BM$8:$BM32,$AM$3)</f>
        <v>961</v>
      </c>
      <c r="AR19" s="121">
        <f>SUMIFS(GERAL!$AN$8:$AN32,GERAL!$A$8:$A32,A19,GERAL!$BM$8:$BM32,$AM$3)</f>
        <v>21</v>
      </c>
      <c r="AS19" s="121">
        <f>SUMIFS(GERAL!$AR$8:$AR32,GERAL!$A$8:$A32,A19,GERAL!$BM$8:$BM32,$AM$3)</f>
        <v>323</v>
      </c>
      <c r="AT19" s="121">
        <f>SUMIFS(GERAL!$AW$8:$AW32,GERAL!$A$8:$A32,A19,GERAL!$BM$8:$BM32,$AM$3)</f>
        <v>193</v>
      </c>
      <c r="AU19" s="124">
        <f t="shared" si="8"/>
        <v>1498</v>
      </c>
      <c r="AV19" s="116">
        <f>COUNTIFS(GERAL!$A$8:$A32,A19,GERAL!$AX$8:$AX32,"&gt;0",GERAL!$BM$8:$BM32,"EFA",GERAL!$C$8:$C32,"EFA")</f>
        <v>1</v>
      </c>
      <c r="AW19" s="121">
        <f>SUMIFS(GERAL!$AW$8:$AW32,GERAL!$A$8:$A32,A19,GERAL!$BM$8:$BM32,$AV$3)</f>
        <v>0</v>
      </c>
      <c r="AX19" s="121">
        <f>SUMIFS(GERAL!$AE$8:$AE32,GERAL!$A$8:$A32,A19,GERAL!$BM$8:$BM32,$AV$3)</f>
        <v>51</v>
      </c>
      <c r="AY19" s="121">
        <f>SUMIFS(GERAL!$AJ$8:$AJ32,GERAL!$A$8:$A32,A19,GERAL!$BM$8:$BM32,$AV$3)</f>
        <v>166</v>
      </c>
      <c r="AZ19" s="121">
        <f>SUMIFS(GERAL!$AN$8:$AN32,GERAL!$A$8:$A32,A19,GERAL!$BM$8:$BM32,$AV$3)</f>
        <v>0</v>
      </c>
      <c r="BA19" s="121">
        <f>SUMIFS(GERAL!$AR$8:$AR32,GERAL!$A$8:$A32,A19,GERAL!$BM$8:$BM32,$AV$3)</f>
        <v>0</v>
      </c>
      <c r="BB19" s="121">
        <f>SUMIFS(GERAL!$AW$8:$AW32,GERAL!$A$8:$A32,A19,GERAL!$BM$8:$BM32,$AV$3)</f>
        <v>0</v>
      </c>
      <c r="BC19" s="134">
        <f t="shared" si="9"/>
        <v>217</v>
      </c>
    </row>
    <row r="20">
      <c r="A20" s="135" t="s">
        <v>1161</v>
      </c>
      <c r="B20" s="75">
        <f t="shared" ref="B20:C20" si="37">SUM(L20,U20,AD20,AM20)</f>
        <v>3</v>
      </c>
      <c r="C20" s="75">
        <f t="shared" si="37"/>
        <v>8</v>
      </c>
      <c r="D20" s="75">
        <f>COUNTIFS(GERAL!A$8:A$1696,A20,GERAL!C$8:C$1696,"EFA")</f>
        <v>0</v>
      </c>
      <c r="E20" s="85">
        <f t="shared" si="11"/>
        <v>0</v>
      </c>
      <c r="F20" s="85">
        <f t="shared" ref="F20:K20" si="38">SUM(O20,X20,AG20,AP20,AX20)</f>
        <v>0</v>
      </c>
      <c r="G20" s="85">
        <f t="shared" si="38"/>
        <v>962</v>
      </c>
      <c r="H20" s="85">
        <f t="shared" si="38"/>
        <v>0</v>
      </c>
      <c r="I20" s="85">
        <f t="shared" si="38"/>
        <v>133</v>
      </c>
      <c r="J20" s="85">
        <f t="shared" si="38"/>
        <v>0</v>
      </c>
      <c r="K20" s="88">
        <f t="shared" si="38"/>
        <v>1095</v>
      </c>
      <c r="L20" s="95">
        <f>COUNTIFS(GERAL!$A$8:$A32,A20,GERAL!$BM$8:$BM32,"INDÍGENAS",GERAL!$C$8:$C32,"ESCOLA")</f>
        <v>0</v>
      </c>
      <c r="M20" s="75">
        <f>COUNTIFS(GERAL!$A$8:$A32,A20,GERAL!$BM$8:$BM32,"INDÍGENAS",GERAL!$C$8:$C32,"ANEXO")</f>
        <v>0</v>
      </c>
      <c r="N20" s="100">
        <f>SUMIFS(GERAL!$Z$8:$Z32,GERAL!$A$8:$A32,A20,GERAL!$BM$8:$BM32,$L$3)</f>
        <v>0</v>
      </c>
      <c r="O20" s="100">
        <f>SUMIFS(GERAL!$AE$8:$AE32,GERAL!$A$8:$A32,A20,GERAL!$BM$8:$BM32,$L$3)</f>
        <v>0</v>
      </c>
      <c r="P20" s="100">
        <f>SUMIFS(GERAL!$AJ$8:$AJ32,GERAL!$A$8:$A32,A20,GERAL!$BM$8:$BM32,$L$3)</f>
        <v>0</v>
      </c>
      <c r="Q20" s="100">
        <f>SUMIFS(GERAL!$AN$8:$AN32,GERAL!$A$8:$A32,A20,GERAL!$BM$8:$BM32,$L$3)</f>
        <v>0</v>
      </c>
      <c r="R20" s="100">
        <f>SUMIFS(GERAL!$AR$8:$AR32,GERAL!$A$8:$A32,A20,GERAL!$BM$8:$BM32,$L$3)</f>
        <v>0</v>
      </c>
      <c r="S20" s="100">
        <f>SUMIFS(GERAL!$AW$8:$AW32,GERAL!$A$8:$A32,A20,GERAL!$BM$8:$BM32,$L$3)</f>
        <v>0</v>
      </c>
      <c r="T20" s="103">
        <f t="shared" si="5"/>
        <v>0</v>
      </c>
      <c r="U20" s="75">
        <f>COUNTIFS(GERAL!$A$8:$A32,A20,GERAL!$BM$8:$BM32,"QUILOMBOLAS",GERAL!$C$8:$C32,"ESCOLA")</f>
        <v>0</v>
      </c>
      <c r="V20" s="75">
        <f>COUNTIFS(GERAL!$A$8:$A32,A20,GERAL!$BM$8:$BM32,"QUILOMBOLAS",GERAL!$C$8:$C32,"ANEXO")</f>
        <v>2</v>
      </c>
      <c r="W20" s="85">
        <f>SUMIFS(GERAL!$Z$8:$Z32,GERAL!$A$8:$A32,A20,GERAL!$BM$8:$BM32,$U$3)</f>
        <v>0</v>
      </c>
      <c r="X20" s="85">
        <f>SUMIFS(GERAL!$AE$8:$AE32,GERAL!$A$8:$A32,A20,GERAL!$BM$8:$BM32,$U$3)</f>
        <v>0</v>
      </c>
      <c r="Y20" s="85">
        <f>SUMIFS(GERAL!$AJ$8:$AJ32,GERAL!$A$8:$A32,A20,GERAL!$BM$8:$BM32,$U$3)</f>
        <v>88</v>
      </c>
      <c r="Z20" s="85">
        <f>SUMIFS(GERAL!$AN$8:$AN32,GERAL!$A$8:$A32,A20,GERAL!$BM$8:$BM32,$U$3)</f>
        <v>0</v>
      </c>
      <c r="AA20" s="85">
        <f>SUMIFS(GERAL!$AR$8:$AR32,GERAL!$A$8:$A32,A20,GERAL!$BM$8:$BM32,$U$3)</f>
        <v>0</v>
      </c>
      <c r="AB20" s="85">
        <f>SUMIFS(GERAL!$AW$8:$AW32,GERAL!$A$8:$A32,A20,GERAL!$BM$8:$BM32,$U$3)</f>
        <v>0</v>
      </c>
      <c r="AC20" s="88">
        <f t="shared" si="6"/>
        <v>88</v>
      </c>
      <c r="AD20" s="116">
        <f>COUNTIFS(GERAL!$A$8:$A32,A20,GERAL!$BM$8:$BM32,"ASSENTAMENTOS",GERAL!$C$8:$C32,"ESCOLA")</f>
        <v>0</v>
      </c>
      <c r="AE20" s="118">
        <f>COUNTIFS(GERAL!$A$8:$A32,A20,GERAL!$BM$8:$BM32,"ASSENTAMENTOS",GERAL!$C$8:$C32,"ANEXO")</f>
        <v>0</v>
      </c>
      <c r="AF20" s="121">
        <f>SUMIFS(GERAL!$Z$8:$Z32,GERAL!$A$8:$A32,A20,GERAL!$BM$8:$BM32,$AD$3)</f>
        <v>0</v>
      </c>
      <c r="AG20" s="121">
        <f>SUMIFS(GERAL!$AE$8:$AE32,GERAL!$A$8:$A32,A20,GERAL!$BM$8:$BM32,$AD$3)
</f>
        <v>0</v>
      </c>
      <c r="AH20" s="121">
        <f>SUMIFS(GERAL!$AJ$8:$AJ32,GERAL!$A$8:$A32,A20,GERAL!$BM$8:$BM32,$AD$3)</f>
        <v>0</v>
      </c>
      <c r="AI20" s="121">
        <f>SUMIFS(GERAL!$AN$8:$AN32,GERAL!$A$8:$A32,A20,GERAL!$BM$8:$BM32,$AD$3)</f>
        <v>0</v>
      </c>
      <c r="AJ20" s="121">
        <f>SUMIFS(GERAL!$AR$8:$AR32,GERAL!$A$8:$A32,A20,GERAL!$BM$8:$BM32,$AD$3)</f>
        <v>0</v>
      </c>
      <c r="AK20" s="121">
        <f>SUMIFS(GERAL!$AW$8:$AW32,GERAL!$A$8:$A32,A20,GERAL!$BM$8:$BM32,$AD$3)</f>
        <v>0</v>
      </c>
      <c r="AL20" s="124">
        <f t="shared" si="7"/>
        <v>0</v>
      </c>
      <c r="AM20" s="116">
        <f>COUNTIFS(GERAL!$A$8:$A32,A20,GERAL!$BM$8:$BM32,"CAMPO",GERAL!$C$8:$C32,"ESCOLA")</f>
        <v>3</v>
      </c>
      <c r="AN20" s="118">
        <f>COUNTIFS(GERAL!$A$8:$A32,A20,GERAL!$BM$8:$BM32,"CAMPO",GERAL!$C$8:$C32,"ANEXO")</f>
        <v>6</v>
      </c>
      <c r="AO20" s="121">
        <f>SUMIFS(GERAL!$Z$8:$Z32,GERAL!$A$8:$A32,A20,GERAL!$BM$8:$BM32,$AM$3)</f>
        <v>0</v>
      </c>
      <c r="AP20" s="121">
        <f>SUMIFS(GERAL!$AE$8:$AE32,GERAL!$A$8:$A32,A20,GERAL!$BM$8:$BM32,$AM$3)</f>
        <v>0</v>
      </c>
      <c r="AQ20" s="121">
        <f>SUMIFS(GERAL!$AJ$8:$AJ32,GERAL!$A$8:$A32,A20,GERAL!$BM$8:$BM32,$AM$3)</f>
        <v>874</v>
      </c>
      <c r="AR20" s="121">
        <f>SUMIFS(GERAL!$AN$8:$AN32,GERAL!$A$8:$A32,A20,GERAL!$BM$8:$BM32,$AM$3)</f>
        <v>0</v>
      </c>
      <c r="AS20" s="121">
        <f>SUMIFS(GERAL!$AR$8:$AR32,GERAL!$A$8:$A32,A20,GERAL!$BM$8:$BM32,$AM$3)</f>
        <v>133</v>
      </c>
      <c r="AT20" s="121">
        <f>SUMIFS(GERAL!$AW$8:$AW32,GERAL!$A$8:$A32,A20,GERAL!$BM$8:$BM32,$AM$3)</f>
        <v>0</v>
      </c>
      <c r="AU20" s="124">
        <f t="shared" si="8"/>
        <v>1007</v>
      </c>
      <c r="AV20" s="116">
        <f>COUNTIFS(GERAL!$A$8:$A32,A20,GERAL!$AX$8:$AX32,"&gt;0",GERAL!$BM$8:$BM32,"EFA",GERAL!$C$8:$C32,"EFA")</f>
        <v>0</v>
      </c>
      <c r="AW20" s="121">
        <f>SUMIFS(GERAL!$AW$8:$AW32,GERAL!$A$8:$A32,A20,GERAL!$BM$8:$BM32,$AV$3)</f>
        <v>0</v>
      </c>
      <c r="AX20" s="121">
        <f>SUMIFS(GERAL!$AE$8:$AE32,GERAL!$A$8:$A32,A20,GERAL!$BM$8:$BM32,$AV$3)</f>
        <v>0</v>
      </c>
      <c r="AY20" s="121">
        <f>SUMIFS(GERAL!$AJ$8:$AJ32,GERAL!$A$8:$A32,A20,GERAL!$BM$8:$BM32,$AV$3)</f>
        <v>0</v>
      </c>
      <c r="AZ20" s="121">
        <f>SUMIFS(GERAL!$AN$8:$AN32,GERAL!$A$8:$A32,A20,GERAL!$BM$8:$BM32,$AV$3)</f>
        <v>0</v>
      </c>
      <c r="BA20" s="121">
        <f>SUMIFS(GERAL!$AR$8:$AR32,GERAL!$A$8:$A32,A20,GERAL!$BM$8:$BM32,$AV$3)</f>
        <v>0</v>
      </c>
      <c r="BB20" s="121">
        <f>SUMIFS(GERAL!$AW$8:$AW32,GERAL!$A$8:$A32,A20,GERAL!$BM$8:$BM32,$AV$3)</f>
        <v>0</v>
      </c>
      <c r="BC20" s="134">
        <f t="shared" si="9"/>
        <v>0</v>
      </c>
    </row>
    <row r="21">
      <c r="A21" s="151" t="s">
        <v>1224</v>
      </c>
      <c r="B21" s="75">
        <f t="shared" ref="B21:C21" si="39">SUM(L21,U21,AD21,AM21)</f>
        <v>6</v>
      </c>
      <c r="C21" s="75">
        <f t="shared" si="39"/>
        <v>13</v>
      </c>
      <c r="D21" s="75">
        <f>COUNTIFS(GERAL!A$8:A$1696,A21,GERAL!C$8:C$1696,"EFA")</f>
        <v>1</v>
      </c>
      <c r="E21" s="85">
        <f t="shared" si="11"/>
        <v>178</v>
      </c>
      <c r="F21" s="85">
        <f t="shared" ref="F21:K21" si="40">SUM(O21,X21,AG21,AP21,AX21)</f>
        <v>988</v>
      </c>
      <c r="G21" s="85">
        <f t="shared" si="40"/>
        <v>673</v>
      </c>
      <c r="H21" s="85">
        <f t="shared" si="40"/>
        <v>156</v>
      </c>
      <c r="I21" s="85">
        <f t="shared" si="40"/>
        <v>264</v>
      </c>
      <c r="J21" s="85">
        <f t="shared" si="40"/>
        <v>94</v>
      </c>
      <c r="K21" s="88">
        <f t="shared" si="40"/>
        <v>2353</v>
      </c>
      <c r="L21" s="95">
        <f>COUNTIFS(GERAL!$A$8:$A32,A21,GERAL!$BM$8:$BM32,"INDÍGENAS",GERAL!$C$8:$C32,"ESCOLA")</f>
        <v>5</v>
      </c>
      <c r="M21" s="75">
        <f>COUNTIFS(GERAL!$A$8:$A32,A21,GERAL!$BM$8:$BM32,"INDÍGENAS",GERAL!$C$8:$C32,"ANEXO")</f>
        <v>9</v>
      </c>
      <c r="N21" s="100">
        <f>SUMIFS(GERAL!$Z$8:$Z32,GERAL!$A$8:$A32,A21,GERAL!$BM$8:$BM32,$L$3)</f>
        <v>178</v>
      </c>
      <c r="O21" s="100">
        <f>SUMIFS(GERAL!$AE$8:$AE32,GERAL!$A$8:$A32,A21,GERAL!$BM$8:$BM32,$L$3)</f>
        <v>858</v>
      </c>
      <c r="P21" s="100">
        <f>SUMIFS(GERAL!$AJ$8:$AJ32,GERAL!$A$8:$A32,A21,GERAL!$BM$8:$BM32,$L$3)</f>
        <v>210</v>
      </c>
      <c r="Q21" s="100">
        <f>SUMIFS(GERAL!$AN$8:$AN32,GERAL!$A$8:$A32,A21,GERAL!$BM$8:$BM32,$L$3)</f>
        <v>156</v>
      </c>
      <c r="R21" s="100">
        <f>SUMIFS(GERAL!$AR$8:$AR32,GERAL!$A$8:$A32,A21,GERAL!$BM$8:$BM32,$L$3)</f>
        <v>199</v>
      </c>
      <c r="S21" s="100">
        <f>SUMIFS(GERAL!$AW$8:$AW32,GERAL!$A$8:$A32,A21,GERAL!$BM$8:$BM32,$L$3)</f>
        <v>18</v>
      </c>
      <c r="T21" s="103">
        <f t="shared" si="5"/>
        <v>1619</v>
      </c>
      <c r="U21" s="75">
        <f>COUNTIFS(GERAL!$A$8:$A32,A21,GERAL!$BM$8:$BM32,"QUILOMBOLAS",GERAL!$C$8:$C32,"ESCOLA")</f>
        <v>0</v>
      </c>
      <c r="V21" s="75">
        <f>COUNTIFS(GERAL!$A$8:$A32,A21,GERAL!$BM$8:$BM32,"QUILOMBOLAS",GERAL!$C$8:$C32,"ANEXO")</f>
        <v>0</v>
      </c>
      <c r="W21" s="85">
        <f>SUMIFS(GERAL!$Z$8:$Z32,GERAL!$A$8:$A32,A21,GERAL!$BM$8:$BM32,$U$3)</f>
        <v>0</v>
      </c>
      <c r="X21" s="85">
        <f>SUMIFS(GERAL!$AE$8:$AE32,GERAL!$A$8:$A32,A21,GERAL!$BM$8:$BM32,$U$3)</f>
        <v>0</v>
      </c>
      <c r="Y21" s="85">
        <f>SUMIFS(GERAL!$AJ$8:$AJ32,GERAL!$A$8:$A32,A21,GERAL!$BM$8:$BM32,$U$3)</f>
        <v>0</v>
      </c>
      <c r="Z21" s="85">
        <f>SUMIFS(GERAL!$AN$8:$AN32,GERAL!$A$8:$A32,A21,GERAL!$BM$8:$BM32,$U$3)</f>
        <v>0</v>
      </c>
      <c r="AA21" s="85">
        <f>SUMIFS(GERAL!$AR$8:$AR32,GERAL!$A$8:$A32,A21,GERAL!$BM$8:$BM32,$U$3)</f>
        <v>0</v>
      </c>
      <c r="AB21" s="85">
        <f>SUMIFS(GERAL!$AW$8:$AW32,GERAL!$A$8:$A32,A21,GERAL!$BM$8:$BM32,$U$3)</f>
        <v>0</v>
      </c>
      <c r="AC21" s="88">
        <f t="shared" si="6"/>
        <v>0</v>
      </c>
      <c r="AD21" s="116">
        <f>COUNTIFS(GERAL!$A$8:$A32,A21,GERAL!$BM$8:$BM32,"ASSENTAMENTOS",GERAL!$C$8:$C32,"ESCOLA")</f>
        <v>0</v>
      </c>
      <c r="AE21" s="118">
        <f>COUNTIFS(GERAL!$A$8:$A32,A21,GERAL!$BM$8:$BM32,"ASSENTAMENTOS",GERAL!$C$8:$C32,"ANEXO")</f>
        <v>0</v>
      </c>
      <c r="AF21" s="121">
        <f>SUMIFS(GERAL!$Z$8:$Z32,GERAL!$A$8:$A32,A21,GERAL!$BM$8:$BM32,$AD$3)</f>
        <v>0</v>
      </c>
      <c r="AG21" s="121">
        <f>SUMIFS(GERAL!$AE$8:$AE32,GERAL!$A$8:$A32,A21,GERAL!$BM$8:$BM32,$AD$3)
</f>
        <v>0</v>
      </c>
      <c r="AH21" s="121">
        <f>SUMIFS(GERAL!$AJ$8:$AJ32,GERAL!$A$8:$A32,A21,GERAL!$BM$8:$BM32,$AD$3)</f>
        <v>0</v>
      </c>
      <c r="AI21" s="121">
        <f>SUMIFS(GERAL!$AN$8:$AN32,GERAL!$A$8:$A32,A21,GERAL!$BM$8:$BM32,$AD$3)</f>
        <v>0</v>
      </c>
      <c r="AJ21" s="121">
        <f>SUMIFS(GERAL!$AR$8:$AR32,GERAL!$A$8:$A32,A21,GERAL!$BM$8:$BM32,$AD$3)</f>
        <v>0</v>
      </c>
      <c r="AK21" s="121">
        <f>SUMIFS(GERAL!$AW$8:$AW32,GERAL!$A$8:$A32,A21,GERAL!$BM$8:$BM32,$AD$3)</f>
        <v>0</v>
      </c>
      <c r="AL21" s="124">
        <f t="shared" si="7"/>
        <v>0</v>
      </c>
      <c r="AM21" s="116">
        <f>COUNTIFS(GERAL!$A$8:$A32,A21,GERAL!$BM$8:$BM32,"CAMPO",GERAL!$C$8:$C32,"ESCOLA")</f>
        <v>1</v>
      </c>
      <c r="AN21" s="118">
        <f>COUNTIFS(GERAL!$A$8:$A32,A21,GERAL!$BM$8:$BM32,"CAMPO",GERAL!$C$8:$C32,"ANEXO")</f>
        <v>4</v>
      </c>
      <c r="AO21" s="121">
        <f>SUMIFS(GERAL!$Z$8:$Z32,GERAL!$A$8:$A32,A21,GERAL!$BM$8:$BM32,$AM$3)</f>
        <v>0</v>
      </c>
      <c r="AP21" s="121">
        <f>SUMIFS(GERAL!$AE$8:$AE32,GERAL!$A$8:$A32,A21,GERAL!$BM$8:$BM32,$AM$3)</f>
        <v>0</v>
      </c>
      <c r="AQ21" s="121">
        <f>SUMIFS(GERAL!$AJ$8:$AJ32,GERAL!$A$8:$A32,A21,GERAL!$BM$8:$BM32,$AM$3)</f>
        <v>379</v>
      </c>
      <c r="AR21" s="121">
        <f>SUMIFS(GERAL!$AN$8:$AN32,GERAL!$A$8:$A32,A21,GERAL!$BM$8:$BM32,$AM$3)</f>
        <v>0</v>
      </c>
      <c r="AS21" s="121">
        <f>SUMIFS(GERAL!$AR$8:$AR32,GERAL!$A$8:$A32,A21,GERAL!$BM$8:$BM32,$AM$3)</f>
        <v>65</v>
      </c>
      <c r="AT21" s="121">
        <f>SUMIFS(GERAL!$AW$8:$AW32,GERAL!$A$8:$A32,A21,GERAL!$BM$8:$BM32,$AM$3)</f>
        <v>76</v>
      </c>
      <c r="AU21" s="124">
        <f t="shared" si="8"/>
        <v>520</v>
      </c>
      <c r="AV21" s="116">
        <f>COUNTIFS(GERAL!$A$8:$A32,A21,GERAL!$AX$8:$AX32,"&gt;0",GERAL!$BM$8:$BM32,"EFA",GERAL!$C$8:$C32,"EFA")</f>
        <v>1</v>
      </c>
      <c r="AW21" s="121">
        <f>SUMIFS(GERAL!$AW$8:$AW32,GERAL!$A$8:$A32,A21,GERAL!$BM$8:$BM32,$AV$3)</f>
        <v>0</v>
      </c>
      <c r="AX21" s="121">
        <f>SUMIFS(GERAL!$AE$8:$AE32,GERAL!$A$8:$A32,A21,GERAL!$BM$8:$BM32,$AV$3)</f>
        <v>130</v>
      </c>
      <c r="AY21" s="121">
        <f>SUMIFS(GERAL!$AJ$8:$AJ32,GERAL!$A$8:$A32,A21,GERAL!$BM$8:$BM32,$AV$3)</f>
        <v>84</v>
      </c>
      <c r="AZ21" s="121">
        <f>SUMIFS(GERAL!$AN$8:$AN32,GERAL!$A$8:$A32,A21,GERAL!$BM$8:$BM32,$AV$3)</f>
        <v>0</v>
      </c>
      <c r="BA21" s="121">
        <f>SUMIFS(GERAL!$AR$8:$AR32,GERAL!$A$8:$A32,A21,GERAL!$BM$8:$BM32,$AV$3)</f>
        <v>0</v>
      </c>
      <c r="BB21" s="121">
        <f>SUMIFS(GERAL!$AW$8:$AW32,GERAL!$A$8:$A32,A21,GERAL!$BM$8:$BM32,$AV$3)</f>
        <v>0</v>
      </c>
      <c r="BC21" s="134">
        <f t="shared" si="9"/>
        <v>214</v>
      </c>
    </row>
    <row r="22">
      <c r="A22" s="135" t="s">
        <v>1281</v>
      </c>
      <c r="B22" s="75">
        <f t="shared" ref="B22:C22" si="41">SUM(L22,U22,AD22,AM22)</f>
        <v>11</v>
      </c>
      <c r="C22" s="75">
        <f t="shared" si="41"/>
        <v>14</v>
      </c>
      <c r="D22" s="75">
        <f>COUNTIFS(GERAL!A$8:A$1696,A22,GERAL!C$8:C$1696,"EFA")</f>
        <v>2</v>
      </c>
      <c r="E22" s="85">
        <f t="shared" si="11"/>
        <v>0</v>
      </c>
      <c r="F22" s="85">
        <f t="shared" ref="F22:K22" si="42">SUM(O22,X22,AG22,AP22,AX22)</f>
        <v>175</v>
      </c>
      <c r="G22" s="85">
        <f t="shared" si="42"/>
        <v>3119</v>
      </c>
      <c r="H22" s="85">
        <f t="shared" si="42"/>
        <v>0</v>
      </c>
      <c r="I22" s="85">
        <f t="shared" si="42"/>
        <v>950</v>
      </c>
      <c r="J22" s="85">
        <f t="shared" si="42"/>
        <v>964</v>
      </c>
      <c r="K22" s="88">
        <f t="shared" si="42"/>
        <v>5208</v>
      </c>
      <c r="L22" s="95">
        <f>COUNTIFS(GERAL!$A$8:$A32,A22,GERAL!$BM$8:$BM32,"INDÍGENAS",GERAL!$C$8:$C32,"ESCOLA")</f>
        <v>0</v>
      </c>
      <c r="M22" s="75">
        <f>COUNTIFS(GERAL!$A$8:$A32,A22,GERAL!$BM$8:$BM32,"INDÍGENAS",GERAL!$C$8:$C32,"ANEXO")</f>
        <v>0</v>
      </c>
      <c r="N22" s="100">
        <f>SUMIFS(GERAL!$Z$8:$Z32,GERAL!$A$8:$A32,A22,GERAL!$BM$8:$BM32,$L$3)</f>
        <v>0</v>
      </c>
      <c r="O22" s="100">
        <f>SUMIFS(GERAL!$AE$8:$AE32,GERAL!$A$8:$A32,A22,GERAL!$BM$8:$BM32,$L$3)</f>
        <v>0</v>
      </c>
      <c r="P22" s="100">
        <f>SUMIFS(GERAL!$AJ$8:$AJ32,GERAL!$A$8:$A32,A22,GERAL!$BM$8:$BM32,$L$3)</f>
        <v>0</v>
      </c>
      <c r="Q22" s="100">
        <f>SUMIFS(GERAL!$AN$8:$AN32,GERAL!$A$8:$A32,A22,GERAL!$BM$8:$BM32,$L$3)</f>
        <v>0</v>
      </c>
      <c r="R22" s="100">
        <f>SUMIFS(GERAL!$AR$8:$AR32,GERAL!$A$8:$A32,A22,GERAL!$BM$8:$BM32,$L$3)</f>
        <v>0</v>
      </c>
      <c r="S22" s="100">
        <f>SUMIFS(GERAL!$AW$8:$AW32,GERAL!$A$8:$A32,A22,GERAL!$BM$8:$BM32,$L$3)</f>
        <v>0</v>
      </c>
      <c r="T22" s="103">
        <f t="shared" si="5"/>
        <v>0</v>
      </c>
      <c r="U22" s="75">
        <f>COUNTIFS(GERAL!$A$8:$A32,A22,GERAL!$BM$8:$BM32,"QUILOMBOLAS",GERAL!$C$8:$C32,"ESCOLA")</f>
        <v>0</v>
      </c>
      <c r="V22" s="75">
        <f>COUNTIFS(GERAL!$A$8:$A32,A22,GERAL!$BM$8:$BM32,"QUILOMBOLAS",GERAL!$C$8:$C32,"ANEXO")</f>
        <v>1</v>
      </c>
      <c r="W22" s="85">
        <f>SUMIFS(GERAL!$Z$8:$Z32,GERAL!$A$8:$A32,A22,GERAL!$BM$8:$BM32,$U$3)</f>
        <v>0</v>
      </c>
      <c r="X22" s="85">
        <f>SUMIFS(GERAL!$AE$8:$AE32,GERAL!$A$8:$A32,A22,GERAL!$BM$8:$BM32,$U$3)</f>
        <v>0</v>
      </c>
      <c r="Y22" s="85">
        <f>SUMIFS(GERAL!$AJ$8:$AJ32,GERAL!$A$8:$A32,A22,GERAL!$BM$8:$BM32,$U$3)</f>
        <v>0</v>
      </c>
      <c r="Z22" s="85">
        <f>SUMIFS(GERAL!$AN$8:$AN32,GERAL!$A$8:$A32,A22,GERAL!$BM$8:$BM32,$U$3)</f>
        <v>0</v>
      </c>
      <c r="AA22" s="85">
        <f>SUMIFS(GERAL!$AR$8:$AR32,GERAL!$A$8:$A32,A22,GERAL!$BM$8:$BM32,$U$3)</f>
        <v>46</v>
      </c>
      <c r="AB22" s="85">
        <f>SUMIFS(GERAL!$AW$8:$AW32,GERAL!$A$8:$A32,A22,GERAL!$BM$8:$BM32,$U$3)</f>
        <v>0</v>
      </c>
      <c r="AC22" s="88">
        <f t="shared" si="6"/>
        <v>46</v>
      </c>
      <c r="AD22" s="116">
        <f>COUNTIFS(GERAL!$A$8:$A32,A22,GERAL!$BM$8:$BM32,"ASSENTAMENTOS",GERAL!$C$8:$C32,"ESCOLA")</f>
        <v>0</v>
      </c>
      <c r="AE22" s="118">
        <f>COUNTIFS(GERAL!$A$8:$A32,A22,GERAL!$BM$8:$BM32,"ASSENTAMENTOS",GERAL!$C$8:$C32,"ANEXO")</f>
        <v>0</v>
      </c>
      <c r="AF22" s="121">
        <f>SUMIFS(GERAL!$Z$8:$Z32,GERAL!$A$8:$A32,A22,GERAL!$BM$8:$BM32,$AD$3)</f>
        <v>0</v>
      </c>
      <c r="AG22" s="121">
        <f>SUMIFS(GERAL!$AE$8:$AE32,GERAL!$A$8:$A32,A22,GERAL!$BM$8:$BM32,$AD$3)
</f>
        <v>0</v>
      </c>
      <c r="AH22" s="121">
        <f>SUMIFS(GERAL!$AJ$8:$AJ32,GERAL!$A$8:$A32,A22,GERAL!$BM$8:$BM32,$AD$3)</f>
        <v>0</v>
      </c>
      <c r="AI22" s="121">
        <f>SUMIFS(GERAL!$AN$8:$AN32,GERAL!$A$8:$A32,A22,GERAL!$BM$8:$BM32,$AD$3)</f>
        <v>0</v>
      </c>
      <c r="AJ22" s="121">
        <f>SUMIFS(GERAL!$AR$8:$AR32,GERAL!$A$8:$A32,A22,GERAL!$BM$8:$BM32,$AD$3)</f>
        <v>0</v>
      </c>
      <c r="AK22" s="121">
        <f>SUMIFS(GERAL!$AW$8:$AW32,GERAL!$A$8:$A32,A22,GERAL!$BM$8:$BM32,$AD$3)</f>
        <v>0</v>
      </c>
      <c r="AL22" s="124">
        <f t="shared" si="7"/>
        <v>0</v>
      </c>
      <c r="AM22" s="116">
        <f>COUNTIFS(GERAL!$A$8:$A32,A22,GERAL!$BM$8:$BM32,"CAMPO",GERAL!$C$8:$C32,"ESCOLA")</f>
        <v>11</v>
      </c>
      <c r="AN22" s="118">
        <f>COUNTIFS(GERAL!$A$8:$A32,A22,GERAL!$BM$8:$BM32,"CAMPO",GERAL!$C$8:$C32,"ANEXO")</f>
        <v>13</v>
      </c>
      <c r="AO22" s="121">
        <f>SUMIFS(GERAL!$Z$8:$Z32,GERAL!$A$8:$A32,A22,GERAL!$BM$8:$BM32,$AM$3)</f>
        <v>0</v>
      </c>
      <c r="AP22" s="121">
        <f>SUMIFS(GERAL!$AE$8:$AE32,GERAL!$A$8:$A32,A22,GERAL!$BM$8:$BM32,$AM$3)</f>
        <v>175</v>
      </c>
      <c r="AQ22" s="121">
        <f>SUMIFS(GERAL!$AJ$8:$AJ32,GERAL!$A$8:$A32,A22,GERAL!$BM$8:$BM32,$AM$3)</f>
        <v>2934</v>
      </c>
      <c r="AR22" s="121">
        <f>SUMIFS(GERAL!$AN$8:$AN32,GERAL!$A$8:$A32,A22,GERAL!$BM$8:$BM32,$AM$3)</f>
        <v>0</v>
      </c>
      <c r="AS22" s="121">
        <f>SUMIFS(GERAL!$AR$8:$AR32,GERAL!$A$8:$A32,A22,GERAL!$BM$8:$BM32,$AM$3)</f>
        <v>904</v>
      </c>
      <c r="AT22" s="121">
        <f>SUMIFS(GERAL!$AW$8:$AW32,GERAL!$A$8:$A32,A22,GERAL!$BM$8:$BM32,$AM$3)</f>
        <v>964</v>
      </c>
      <c r="AU22" s="124">
        <f t="shared" si="8"/>
        <v>4977</v>
      </c>
      <c r="AV22" s="116">
        <f>COUNTIFS(GERAL!$A$8:$A32,A22,GERAL!$AX$8:$AX32,"&gt;0",GERAL!$BM$8:$BM32,"EFA",GERAL!$C$8:$C32,"EFA")</f>
        <v>2</v>
      </c>
      <c r="AW22" s="121">
        <f>SUMIFS(GERAL!$AW$8:$AW32,GERAL!$A$8:$A32,A22,GERAL!$BM$8:$BM32,$AV$3)</f>
        <v>0</v>
      </c>
      <c r="AX22" s="121">
        <f>SUMIFS(GERAL!$AE$8:$AE32,GERAL!$A$8:$A32,A22,GERAL!$BM$8:$BM32,$AV$3)</f>
        <v>0</v>
      </c>
      <c r="AY22" s="121">
        <f>SUMIFS(GERAL!$AJ$8:$AJ32,GERAL!$A$8:$A32,A22,GERAL!$BM$8:$BM32,$AV$3)</f>
        <v>185</v>
      </c>
      <c r="AZ22" s="121">
        <f>SUMIFS(GERAL!$AN$8:$AN32,GERAL!$A$8:$A32,A22,GERAL!$BM$8:$BM32,$AV$3)</f>
        <v>0</v>
      </c>
      <c r="BA22" s="121">
        <f>SUMIFS(GERAL!$AR$8:$AR32,GERAL!$A$8:$A32,A22,GERAL!$BM$8:$BM32,$AV$3)</f>
        <v>0</v>
      </c>
      <c r="BB22" s="121">
        <f>SUMIFS(GERAL!$AW$8:$AW32,GERAL!$A$8:$A32,A22,GERAL!$BM$8:$BM32,$AV$3)</f>
        <v>0</v>
      </c>
      <c r="BC22" s="134">
        <f t="shared" si="9"/>
        <v>185</v>
      </c>
    </row>
    <row r="23">
      <c r="A23" s="151" t="s">
        <v>1335</v>
      </c>
      <c r="B23" s="75">
        <f t="shared" ref="B23:C23" si="43">SUM(L23,U23,AD23,AM23)</f>
        <v>12</v>
      </c>
      <c r="C23" s="75">
        <f t="shared" si="43"/>
        <v>3</v>
      </c>
      <c r="D23" s="75">
        <f>COUNTIFS(GERAL!A$8:A$1696,A23,GERAL!C$8:C$1696,"EFA")</f>
        <v>1</v>
      </c>
      <c r="E23" s="85">
        <f t="shared" si="11"/>
        <v>0</v>
      </c>
      <c r="F23" s="85">
        <f t="shared" ref="F23:K23" si="44">SUM(O23,X23,AG23,AP23,AX23)</f>
        <v>945</v>
      </c>
      <c r="G23" s="85">
        <f t="shared" si="44"/>
        <v>2243</v>
      </c>
      <c r="H23" s="85">
        <f t="shared" si="44"/>
        <v>119</v>
      </c>
      <c r="I23" s="85">
        <f t="shared" si="44"/>
        <v>688</v>
      </c>
      <c r="J23" s="85">
        <f t="shared" si="44"/>
        <v>1160</v>
      </c>
      <c r="K23" s="88">
        <f t="shared" si="44"/>
        <v>5155</v>
      </c>
      <c r="L23" s="95">
        <f>COUNTIFS(GERAL!$A$8:$A32,A23,GERAL!$BM$8:$BM32,"INDÍGENAS",GERAL!$C$8:$C32,"ESCOLA")</f>
        <v>0</v>
      </c>
      <c r="M23" s="75">
        <f>COUNTIFS(GERAL!$A$8:$A32,A23,GERAL!$BM$8:$BM32,"INDÍGENAS",GERAL!$C$8:$C32,"ANEXO")</f>
        <v>0</v>
      </c>
      <c r="N23" s="100">
        <f>SUMIFS(GERAL!$Z$8:$Z32,GERAL!$A$8:$A32,A23,GERAL!$BM$8:$BM32,$L$3)</f>
        <v>0</v>
      </c>
      <c r="O23" s="100">
        <f>SUMIFS(GERAL!$AE$8:$AE32,GERAL!$A$8:$A32,A23,GERAL!$BM$8:$BM32,$L$3)</f>
        <v>0</v>
      </c>
      <c r="P23" s="100">
        <f>SUMIFS(GERAL!$AJ$8:$AJ32,GERAL!$A$8:$A32,A23,GERAL!$BM$8:$BM32,$L$3)</f>
        <v>0</v>
      </c>
      <c r="Q23" s="100">
        <f>SUMIFS(GERAL!$AN$8:$AN32,GERAL!$A$8:$A32,A23,GERAL!$BM$8:$BM32,$L$3)</f>
        <v>0</v>
      </c>
      <c r="R23" s="100">
        <f>SUMIFS(GERAL!$AR$8:$AR32,GERAL!$A$8:$A32,A23,GERAL!$BM$8:$BM32,$L$3)</f>
        <v>0</v>
      </c>
      <c r="S23" s="100">
        <f>SUMIFS(GERAL!$AW$8:$AW32,GERAL!$A$8:$A32,A23,GERAL!$BM$8:$BM32,$L$3)</f>
        <v>0</v>
      </c>
      <c r="T23" s="103">
        <f t="shared" si="5"/>
        <v>0</v>
      </c>
      <c r="U23" s="75">
        <f>COUNTIFS(GERAL!$A$8:$A32,A23,GERAL!$BM$8:$BM32,"QUILOMBOLAS",GERAL!$C$8:$C32,"ESCOLA")</f>
        <v>1</v>
      </c>
      <c r="V23" s="75">
        <f>COUNTIFS(GERAL!$A$8:$A32,A23,GERAL!$BM$8:$BM32,"QUILOMBOLAS",GERAL!$C$8:$C32,"ANEXO")</f>
        <v>0</v>
      </c>
      <c r="W23" s="85">
        <f>SUMIFS(GERAL!$Z$8:$Z32,GERAL!$A$8:$A32,A23,GERAL!$BM$8:$BM32,$U$3)</f>
        <v>0</v>
      </c>
      <c r="X23" s="85">
        <f>SUMIFS(GERAL!$AE$8:$AE32,GERAL!$A$8:$A32,A23,GERAL!$BM$8:$BM32,$U$3)</f>
        <v>0</v>
      </c>
      <c r="Y23" s="85">
        <f>SUMIFS(GERAL!$AJ$8:$AJ32,GERAL!$A$8:$A32,A23,GERAL!$BM$8:$BM32,$U$3)</f>
        <v>113</v>
      </c>
      <c r="Z23" s="85">
        <f>SUMIFS(GERAL!$AN$8:$AN32,GERAL!$A$8:$A32,A23,GERAL!$BM$8:$BM32,$U$3)</f>
        <v>0</v>
      </c>
      <c r="AA23" s="85">
        <f>SUMIFS(GERAL!$AR$8:$AR32,GERAL!$A$8:$A32,A23,GERAL!$BM$8:$BM32,$U$3)</f>
        <v>0</v>
      </c>
      <c r="AB23" s="85">
        <f>SUMIFS(GERAL!$AW$8:$AW32,GERAL!$A$8:$A32,A23,GERAL!$BM$8:$BM32,$U$3)</f>
        <v>56</v>
      </c>
      <c r="AC23" s="88">
        <f t="shared" si="6"/>
        <v>169</v>
      </c>
      <c r="AD23" s="116">
        <f>COUNTIFS(GERAL!$A$8:$A32,A23,GERAL!$BM$8:$BM32,"ASSENTAMENTOS",GERAL!$C$8:$C32,"ESCOLA")</f>
        <v>0</v>
      </c>
      <c r="AE23" s="118">
        <f>COUNTIFS(GERAL!$A$8:$A32,A23,GERAL!$BM$8:$BM32,"ASSENTAMENTOS",GERAL!$C$8:$C32,"ANEXO")</f>
        <v>0</v>
      </c>
      <c r="AF23" s="121">
        <f>SUMIFS(GERAL!$Z$8:$Z32,GERAL!$A$8:$A32,A23,GERAL!$BM$8:$BM32,$AD$3)</f>
        <v>0</v>
      </c>
      <c r="AG23" s="121">
        <f>SUMIFS(GERAL!$AE$8:$AE32,GERAL!$A$8:$A32,A23,GERAL!$BM$8:$BM32,$AD$3)
</f>
        <v>0</v>
      </c>
      <c r="AH23" s="121">
        <f>SUMIFS(GERAL!$AJ$8:$AJ32,GERAL!$A$8:$A32,A23,GERAL!$BM$8:$BM32,$AD$3)</f>
        <v>0</v>
      </c>
      <c r="AI23" s="121">
        <f>SUMIFS(GERAL!$AN$8:$AN32,GERAL!$A$8:$A32,A23,GERAL!$BM$8:$BM32,$AD$3)</f>
        <v>0</v>
      </c>
      <c r="AJ23" s="121">
        <f>SUMIFS(GERAL!$AR$8:$AR32,GERAL!$A$8:$A32,A23,GERAL!$BM$8:$BM32,$AD$3)</f>
        <v>0</v>
      </c>
      <c r="AK23" s="121">
        <f>SUMIFS(GERAL!$AW$8:$AW32,GERAL!$A$8:$A32,A23,GERAL!$BM$8:$BM32,$AD$3)</f>
        <v>0</v>
      </c>
      <c r="AL23" s="124">
        <f t="shared" si="7"/>
        <v>0</v>
      </c>
      <c r="AM23" s="116">
        <f>COUNTIFS(GERAL!$A$8:$A32,A23,GERAL!$BM$8:$BM32,"CAMPO",GERAL!$C$8:$C32,"ESCOLA")</f>
        <v>11</v>
      </c>
      <c r="AN23" s="118">
        <f>COUNTIFS(GERAL!$A$8:$A32,A23,GERAL!$BM$8:$BM32,"CAMPO",GERAL!$C$8:$C32,"ANEXO")</f>
        <v>3</v>
      </c>
      <c r="AO23" s="121">
        <f>SUMIFS(GERAL!$Z$8:$Z32,GERAL!$A$8:$A32,A23,GERAL!$BM$8:$BM32,$AM$3)</f>
        <v>0</v>
      </c>
      <c r="AP23" s="121">
        <f>SUMIFS(GERAL!$AE$8:$AE32,GERAL!$A$8:$A32,A23,GERAL!$BM$8:$BM32,$AM$3)</f>
        <v>833</v>
      </c>
      <c r="AQ23" s="121">
        <f>SUMIFS(GERAL!$AJ$8:$AJ32,GERAL!$A$8:$A32,A23,GERAL!$BM$8:$BM32,$AM$3)</f>
        <v>2066</v>
      </c>
      <c r="AR23" s="121">
        <f>SUMIFS(GERAL!$AN$8:$AN32,GERAL!$A$8:$A32,A23,GERAL!$BM$8:$BM32,$AM$3)</f>
        <v>119</v>
      </c>
      <c r="AS23" s="121">
        <f>SUMIFS(GERAL!$AR$8:$AR32,GERAL!$A$8:$A32,A23,GERAL!$BM$8:$BM32,$AM$3)</f>
        <v>688</v>
      </c>
      <c r="AT23" s="121">
        <f>SUMIFS(GERAL!$AW$8:$AW32,GERAL!$A$8:$A32,A23,GERAL!$BM$8:$BM32,$AM$3)</f>
        <v>1104</v>
      </c>
      <c r="AU23" s="124">
        <f t="shared" si="8"/>
        <v>4810</v>
      </c>
      <c r="AV23" s="116">
        <f>COUNTIFS(GERAL!$A$8:$A32,A23,GERAL!$AX$8:$AX32,"&gt;0",GERAL!$BM$8:$BM32,"EFA",GERAL!$C$8:$C32,"EFA")</f>
        <v>1</v>
      </c>
      <c r="AW23" s="121">
        <f>SUMIFS(GERAL!$AW$8:$AW32,GERAL!$A$8:$A32,A23,GERAL!$BM$8:$BM32,$AV$3)</f>
        <v>0</v>
      </c>
      <c r="AX23" s="121">
        <f>SUMIFS(GERAL!$AE$8:$AE32,GERAL!$A$8:$A32,A23,GERAL!$BM$8:$BM32,$AV$3)</f>
        <v>112</v>
      </c>
      <c r="AY23" s="121">
        <f>SUMIFS(GERAL!$AJ$8:$AJ32,GERAL!$A$8:$A32,A23,GERAL!$BM$8:$BM32,$AV$3)</f>
        <v>64</v>
      </c>
      <c r="AZ23" s="121">
        <f>SUMIFS(GERAL!$AN$8:$AN32,GERAL!$A$8:$A32,A23,GERAL!$BM$8:$BM32,$AV$3)</f>
        <v>0</v>
      </c>
      <c r="BA23" s="121">
        <f>SUMIFS(GERAL!$AR$8:$AR32,GERAL!$A$8:$A32,A23,GERAL!$BM$8:$BM32,$AV$3)</f>
        <v>0</v>
      </c>
      <c r="BB23" s="121">
        <f>SUMIFS(GERAL!$AW$8:$AW32,GERAL!$A$8:$A32,A23,GERAL!$BM$8:$BM32,$AV$3)</f>
        <v>0</v>
      </c>
      <c r="BC23" s="134">
        <f t="shared" si="9"/>
        <v>176</v>
      </c>
    </row>
    <row r="24">
      <c r="A24" s="135" t="s">
        <v>1393</v>
      </c>
      <c r="B24" s="75">
        <f t="shared" ref="B24:C24" si="45">SUM(L24,U24,AD24,AM24)</f>
        <v>10</v>
      </c>
      <c r="C24" s="75">
        <f t="shared" si="45"/>
        <v>20</v>
      </c>
      <c r="D24" s="75">
        <f>COUNTIFS(GERAL!A$8:A$1696,A24,GERAL!C$8:C$1696,"EFA")</f>
        <v>2</v>
      </c>
      <c r="E24" s="85">
        <f t="shared" si="11"/>
        <v>0</v>
      </c>
      <c r="F24" s="85">
        <f t="shared" ref="F24:K24" si="46">SUM(O24,X24,AG24,AP24,AX24)</f>
        <v>130</v>
      </c>
      <c r="G24" s="85">
        <f t="shared" si="46"/>
        <v>2582</v>
      </c>
      <c r="H24" s="85">
        <f t="shared" si="46"/>
        <v>0</v>
      </c>
      <c r="I24" s="85">
        <f t="shared" si="46"/>
        <v>880</v>
      </c>
      <c r="J24" s="85">
        <f t="shared" si="46"/>
        <v>237</v>
      </c>
      <c r="K24" s="88">
        <f t="shared" si="46"/>
        <v>3829</v>
      </c>
      <c r="L24" s="95">
        <f>COUNTIFS(GERAL!$A$8:$A32,A24,GERAL!$BM$8:$BM32,"INDÍGENAS",GERAL!$C$8:$C32,"ESCOLA")</f>
        <v>0</v>
      </c>
      <c r="M24" s="75">
        <f>COUNTIFS(GERAL!$A$8:$A32,A24,GERAL!$BM$8:$BM32,"INDÍGENAS",GERAL!$C$8:$C32,"ANEXO")</f>
        <v>0</v>
      </c>
      <c r="N24" s="100">
        <f>SUMIFS(GERAL!$Z$8:$Z32,GERAL!$A$8:$A32,A24,GERAL!$BM$8:$BM32,$L$3)</f>
        <v>0</v>
      </c>
      <c r="O24" s="100">
        <f>SUMIFS(GERAL!$AE$8:$AE32,GERAL!$A$8:$A32,A24,GERAL!$BM$8:$BM32,$L$3)</f>
        <v>0</v>
      </c>
      <c r="P24" s="100">
        <f>SUMIFS(GERAL!$AJ$8:$AJ32,GERAL!$A$8:$A32,A24,GERAL!$BM$8:$BM32,$L$3)</f>
        <v>0</v>
      </c>
      <c r="Q24" s="100">
        <f>SUMIFS(GERAL!$AN$8:$AN32,GERAL!$A$8:$A32,A24,GERAL!$BM$8:$BM32,$L$3)</f>
        <v>0</v>
      </c>
      <c r="R24" s="100">
        <f>SUMIFS(GERAL!$AR$8:$AR32,GERAL!$A$8:$A32,A24,GERAL!$BM$8:$BM32,$L$3)</f>
        <v>0</v>
      </c>
      <c r="S24" s="100">
        <f>SUMIFS(GERAL!$AW$8:$AW32,GERAL!$A$8:$A32,A24,GERAL!$BM$8:$BM32,$L$3)</f>
        <v>0</v>
      </c>
      <c r="T24" s="103">
        <f t="shared" si="5"/>
        <v>0</v>
      </c>
      <c r="U24" s="75">
        <f>COUNTIFS(GERAL!$A$8:$A32,A24,GERAL!$BM$8:$BM32,"QUILOMBOLAS",GERAL!$C$8:$C32,"ESCOLA")</f>
        <v>0</v>
      </c>
      <c r="V24" s="75">
        <f>COUNTIFS(GERAL!$A$8:$A32,A24,GERAL!$BM$8:$BM32,"QUILOMBOLAS",GERAL!$C$8:$C32,"ANEXO")</f>
        <v>0</v>
      </c>
      <c r="W24" s="85">
        <f>SUMIFS(GERAL!$Z$8:$Z32,GERAL!$A$8:$A32,A24,GERAL!$BM$8:$BM32,$U$3)</f>
        <v>0</v>
      </c>
      <c r="X24" s="85">
        <f>SUMIFS(GERAL!$AE$8:$AE32,GERAL!$A$8:$A32,A24,GERAL!$BM$8:$BM32,$U$3)</f>
        <v>0</v>
      </c>
      <c r="Y24" s="85">
        <f>SUMIFS(GERAL!$AJ$8:$AJ32,GERAL!$A$8:$A32,A24,GERAL!$BM$8:$BM32,$U$3)</f>
        <v>0</v>
      </c>
      <c r="Z24" s="85">
        <f>SUMIFS(GERAL!$AN$8:$AN32,GERAL!$A$8:$A32,A24,GERAL!$BM$8:$BM32,$U$3)</f>
        <v>0</v>
      </c>
      <c r="AA24" s="85">
        <f>SUMIFS(GERAL!$AR$8:$AR32,GERAL!$A$8:$A32,A24,GERAL!$BM$8:$BM32,$U$3)</f>
        <v>0</v>
      </c>
      <c r="AB24" s="85">
        <f>SUMIFS(GERAL!$AW$8:$AW32,GERAL!$A$8:$A32,A24,GERAL!$BM$8:$BM32,$U$3)</f>
        <v>0</v>
      </c>
      <c r="AC24" s="88">
        <f t="shared" si="6"/>
        <v>0</v>
      </c>
      <c r="AD24" s="116">
        <f>COUNTIFS(GERAL!$A$8:$A32,A24,GERAL!$BM$8:$BM32,"ASSENTAMENTOS",GERAL!$C$8:$C32,"ESCOLA")</f>
        <v>1</v>
      </c>
      <c r="AE24" s="118">
        <f>COUNTIFS(GERAL!$A$8:$A32,A24,GERAL!$BM$8:$BM32,"ASSENTAMENTOS",GERAL!$C$8:$C32,"ANEXO")</f>
        <v>3</v>
      </c>
      <c r="AF24" s="121">
        <f>SUMIFS(GERAL!$Z$8:$Z32,GERAL!$A$8:$A32,A24,GERAL!$BM$8:$BM32,$AD$3)</f>
        <v>0</v>
      </c>
      <c r="AG24" s="121">
        <f>SUMIFS(GERAL!$AE$8:$AE32,GERAL!$A$8:$A32,A24,GERAL!$BM$8:$BM32,$AD$3)
</f>
        <v>0</v>
      </c>
      <c r="AH24" s="121">
        <f>SUMIFS(GERAL!$AJ$8:$AJ32,GERAL!$A$8:$A32,A24,GERAL!$BM$8:$BM32,$AD$3)</f>
        <v>51</v>
      </c>
      <c r="AI24" s="121">
        <f>SUMIFS(GERAL!$AN$8:$AN32,GERAL!$A$8:$A32,A24,GERAL!$BM$8:$BM32,$AD$3)</f>
        <v>0</v>
      </c>
      <c r="AJ24" s="121">
        <f>SUMIFS(GERAL!$AR$8:$AR32,GERAL!$A$8:$A32,A24,GERAL!$BM$8:$BM32,$AD$3)</f>
        <v>105</v>
      </c>
      <c r="AK24" s="121">
        <f>SUMIFS(GERAL!$AW$8:$AW32,GERAL!$A$8:$A32,A24,GERAL!$BM$8:$BM32,$AD$3)</f>
        <v>99</v>
      </c>
      <c r="AL24" s="124">
        <f t="shared" si="7"/>
        <v>255</v>
      </c>
      <c r="AM24" s="116">
        <f>COUNTIFS(GERAL!$A$8:$A32,A24,GERAL!$BM$8:$BM32,"CAMPO",GERAL!$C$8:$C32,"ESCOLA")</f>
        <v>9</v>
      </c>
      <c r="AN24" s="118">
        <f>COUNTIFS(GERAL!$A$8:$A32,A24,GERAL!$BM$8:$BM32,"CAMPO",GERAL!$C$8:$C32,"ANEXO")</f>
        <v>17</v>
      </c>
      <c r="AO24" s="121">
        <f>SUMIFS(GERAL!$Z$8:$Z32,GERAL!$A$8:$A32,A24,GERAL!$BM$8:$BM32,$AM$3)</f>
        <v>0</v>
      </c>
      <c r="AP24" s="121">
        <f>SUMIFS(GERAL!$AE$8:$AE32,GERAL!$A$8:$A32,A24,GERAL!$BM$8:$BM32,$AM$3)</f>
        <v>0</v>
      </c>
      <c r="AQ24" s="121">
        <f>SUMIFS(GERAL!$AJ$8:$AJ32,GERAL!$A$8:$A32,A24,GERAL!$BM$8:$BM32,$AM$3)</f>
        <v>2421</v>
      </c>
      <c r="AR24" s="121">
        <f>SUMIFS(GERAL!$AN$8:$AN32,GERAL!$A$8:$A32,A24,GERAL!$BM$8:$BM32,$AM$3)</f>
        <v>0</v>
      </c>
      <c r="AS24" s="121">
        <f>SUMIFS(GERAL!$AR$8:$AR32,GERAL!$A$8:$A32,A24,GERAL!$BM$8:$BM32,$AM$3)</f>
        <v>775</v>
      </c>
      <c r="AT24" s="121">
        <f>SUMIFS(GERAL!$AW$8:$AW32,GERAL!$A$8:$A32,A24,GERAL!$BM$8:$BM32,$AM$3)</f>
        <v>138</v>
      </c>
      <c r="AU24" s="124">
        <f t="shared" si="8"/>
        <v>3334</v>
      </c>
      <c r="AV24" s="116">
        <f>COUNTIFS(GERAL!$A$8:$A32,A24,GERAL!$AX$8:$AX32,"&gt;0",GERAL!$BM$8:$BM32,"EFA",GERAL!$C$8:$C32,"EFA")</f>
        <v>2</v>
      </c>
      <c r="AW24" s="121">
        <f>SUMIFS(GERAL!$AW$8:$AW32,GERAL!$A$8:$A32,A24,GERAL!$BM$8:$BM32,$AV$3)</f>
        <v>0</v>
      </c>
      <c r="AX24" s="121">
        <f>SUMIFS(GERAL!$AE$8:$AE32,GERAL!$A$8:$A32,A24,GERAL!$BM$8:$BM32,$AV$3)</f>
        <v>130</v>
      </c>
      <c r="AY24" s="121">
        <f>SUMIFS(GERAL!$AJ$8:$AJ32,GERAL!$A$8:$A32,A24,GERAL!$BM$8:$BM32,$AV$3)</f>
        <v>110</v>
      </c>
      <c r="AZ24" s="121">
        <f>SUMIFS(GERAL!$AN$8:$AN32,GERAL!$A$8:$A32,A24,GERAL!$BM$8:$BM32,$AV$3)</f>
        <v>0</v>
      </c>
      <c r="BA24" s="121">
        <f>SUMIFS(GERAL!$AR$8:$AR32,GERAL!$A$8:$A32,A24,GERAL!$BM$8:$BM32,$AV$3)</f>
        <v>0</v>
      </c>
      <c r="BB24" s="121">
        <f>SUMIFS(GERAL!$AW$8:$AW32,GERAL!$A$8:$A32,A24,GERAL!$BM$8:$BM32,$AV$3)</f>
        <v>0</v>
      </c>
      <c r="BC24" s="134">
        <f t="shared" si="9"/>
        <v>240</v>
      </c>
    </row>
    <row r="25">
      <c r="A25" s="151" t="s">
        <v>1463</v>
      </c>
      <c r="B25" s="75">
        <f t="shared" ref="B25:C25" si="47">SUM(L25,U25,AD25,AM25)</f>
        <v>8</v>
      </c>
      <c r="C25" s="75">
        <f t="shared" si="47"/>
        <v>4</v>
      </c>
      <c r="D25" s="75">
        <f>COUNTIFS(GERAL!A$8:A$1696,A25,GERAL!C$8:C$1696,"EFA")</f>
        <v>0</v>
      </c>
      <c r="E25" s="85">
        <f t="shared" si="11"/>
        <v>0</v>
      </c>
      <c r="F25" s="85">
        <f t="shared" ref="F25:K25" si="48">SUM(O25,X25,AG25,AP25,AX25)</f>
        <v>0</v>
      </c>
      <c r="G25" s="85">
        <f t="shared" si="48"/>
        <v>1817</v>
      </c>
      <c r="H25" s="85">
        <f t="shared" si="48"/>
        <v>0</v>
      </c>
      <c r="I25" s="85">
        <f t="shared" si="48"/>
        <v>496</v>
      </c>
      <c r="J25" s="85">
        <f t="shared" si="48"/>
        <v>507</v>
      </c>
      <c r="K25" s="88">
        <f t="shared" si="48"/>
        <v>2820</v>
      </c>
      <c r="L25" s="95">
        <f>COUNTIFS(GERAL!$A$8:$A32,A25,GERAL!$BM$8:$BM32,"INDÍGENAS",GERAL!$C$8:$C32,"ESCOLA")</f>
        <v>0</v>
      </c>
      <c r="M25" s="75">
        <f>COUNTIFS(GERAL!$A$8:$A32,A25,GERAL!$BM$8:$BM32,"INDÍGENAS",GERAL!$C$8:$C32,"ANEXO")</f>
        <v>0</v>
      </c>
      <c r="N25" s="100">
        <f>SUMIFS(GERAL!$Z$8:$Z32,GERAL!$A$8:$A32,A25,GERAL!$BM$8:$BM32,$L$3)</f>
        <v>0</v>
      </c>
      <c r="O25" s="100">
        <f>SUMIFS(GERAL!$AE$8:$AE32,GERAL!$A$8:$A32,A25,GERAL!$BM$8:$BM32,$L$3)</f>
        <v>0</v>
      </c>
      <c r="P25" s="100">
        <f>SUMIFS(GERAL!$AJ$8:$AJ32,GERAL!$A$8:$A32,A25,GERAL!$BM$8:$BM32,$L$3)</f>
        <v>0</v>
      </c>
      <c r="Q25" s="100">
        <f>SUMIFS(GERAL!$AN$8:$AN32,GERAL!$A$8:$A32,A25,GERAL!$BM$8:$BM32,$L$3)</f>
        <v>0</v>
      </c>
      <c r="R25" s="100">
        <f>SUMIFS(GERAL!$AR$8:$AR32,GERAL!$A$8:$A32,A25,GERAL!$BM$8:$BM32,$L$3)</f>
        <v>0</v>
      </c>
      <c r="S25" s="100">
        <f>SUMIFS(GERAL!$AW$8:$AW32,GERAL!$A$8:$A32,A25,GERAL!$BM$8:$BM32,$L$3)</f>
        <v>0</v>
      </c>
      <c r="T25" s="103">
        <f t="shared" si="5"/>
        <v>0</v>
      </c>
      <c r="U25" s="75">
        <f>COUNTIFS(GERAL!$A$8:$A32,A25,GERAL!$BM$8:$BM32,"QUILOMBOLAS",GERAL!$C$8:$C32,"ESCOLA")</f>
        <v>2</v>
      </c>
      <c r="V25" s="75">
        <f>COUNTIFS(GERAL!$A$8:$A32,A25,GERAL!$BM$8:$BM32,"QUILOMBOLAS",GERAL!$C$8:$C32,"ANEXO")</f>
        <v>0</v>
      </c>
      <c r="W25" s="85">
        <f>SUMIFS(GERAL!$Z$8:$Z32,GERAL!$A$8:$A32,A25,GERAL!$BM$8:$BM32,$U$3)</f>
        <v>0</v>
      </c>
      <c r="X25" s="85">
        <f>SUMIFS(GERAL!$AE$8:$AE32,GERAL!$A$8:$A32,A25,GERAL!$BM$8:$BM32,$U$3)</f>
        <v>0</v>
      </c>
      <c r="Y25" s="85">
        <f>SUMIFS(GERAL!$AJ$8:$AJ32,GERAL!$A$8:$A32,A25,GERAL!$BM$8:$BM32,$U$3)</f>
        <v>170</v>
      </c>
      <c r="Z25" s="85">
        <f>SUMIFS(GERAL!$AN$8:$AN32,GERAL!$A$8:$A32,A25,GERAL!$BM$8:$BM32,$U$3)</f>
        <v>0</v>
      </c>
      <c r="AA25" s="85">
        <f>SUMIFS(GERAL!$AR$8:$AR32,GERAL!$A$8:$A32,A25,GERAL!$BM$8:$BM32,$U$3)</f>
        <v>0</v>
      </c>
      <c r="AB25" s="85">
        <f>SUMIFS(GERAL!$AW$8:$AW32,GERAL!$A$8:$A32,A25,GERAL!$BM$8:$BM32,$U$3)</f>
        <v>350</v>
      </c>
      <c r="AC25" s="88">
        <f t="shared" si="6"/>
        <v>520</v>
      </c>
      <c r="AD25" s="116">
        <f>COUNTIFS(GERAL!$A$8:$A32,A25,GERAL!$BM$8:$BM32,"ASSENTAMENTOS",GERAL!$C$8:$C32,"ESCOLA")</f>
        <v>0</v>
      </c>
      <c r="AE25" s="118">
        <f>COUNTIFS(GERAL!$A$8:$A32,A25,GERAL!$BM$8:$BM32,"ASSENTAMENTOS",GERAL!$C$8:$C32,"ANEXO")</f>
        <v>0</v>
      </c>
      <c r="AF25" s="121">
        <f>SUMIFS(GERAL!$Z$8:$Z32,GERAL!$A$8:$A32,A25,GERAL!$BM$8:$BM32,$AD$3)</f>
        <v>0</v>
      </c>
      <c r="AG25" s="121">
        <f>SUMIFS(GERAL!$AE$8:$AE32,GERAL!$A$8:$A32,A25,GERAL!$BM$8:$BM32,$AD$3)
</f>
        <v>0</v>
      </c>
      <c r="AH25" s="121">
        <f>SUMIFS(GERAL!$AJ$8:$AJ32,GERAL!$A$8:$A32,A25,GERAL!$BM$8:$BM32,$AD$3)</f>
        <v>0</v>
      </c>
      <c r="AI25" s="121">
        <f>SUMIFS(GERAL!$AN$8:$AN32,GERAL!$A$8:$A32,A25,GERAL!$BM$8:$BM32,$AD$3)</f>
        <v>0</v>
      </c>
      <c r="AJ25" s="121">
        <f>SUMIFS(GERAL!$AR$8:$AR32,GERAL!$A$8:$A32,A25,GERAL!$BM$8:$BM32,$AD$3)</f>
        <v>0</v>
      </c>
      <c r="AK25" s="121">
        <f>SUMIFS(GERAL!$AW$8:$AW32,GERAL!$A$8:$A32,A25,GERAL!$BM$8:$BM32,$AD$3)</f>
        <v>0</v>
      </c>
      <c r="AL25" s="124">
        <f t="shared" si="7"/>
        <v>0</v>
      </c>
      <c r="AM25" s="116">
        <f>COUNTIFS(GERAL!$A$8:$A32,A25,GERAL!$BM$8:$BM32,"CAMPO",GERAL!$C$8:$C32,"ESCOLA")</f>
        <v>6</v>
      </c>
      <c r="AN25" s="118">
        <f>COUNTIFS(GERAL!$A$8:$A32,A25,GERAL!$BM$8:$BM32,"CAMPO",GERAL!$C$8:$C32,"ANEXO")</f>
        <v>4</v>
      </c>
      <c r="AO25" s="121">
        <f>SUMIFS(GERAL!$Z$8:$Z32,GERAL!$A$8:$A32,A25,GERAL!$BM$8:$BM32,$AM$3)</f>
        <v>0</v>
      </c>
      <c r="AP25" s="121">
        <f>SUMIFS(GERAL!$AE$8:$AE32,GERAL!$A$8:$A32,A25,GERAL!$BM$8:$BM32,$AM$3)</f>
        <v>0</v>
      </c>
      <c r="AQ25" s="121">
        <f>SUMIFS(GERAL!$AJ$8:$AJ32,GERAL!$A$8:$A32,A25,GERAL!$BM$8:$BM32,$AM$3)</f>
        <v>1647</v>
      </c>
      <c r="AR25" s="121">
        <f>SUMIFS(GERAL!$AN$8:$AN32,GERAL!$A$8:$A32,A25,GERAL!$BM$8:$BM32,$AM$3)</f>
        <v>0</v>
      </c>
      <c r="AS25" s="121">
        <f>SUMIFS(GERAL!$AR$8:$AR32,GERAL!$A$8:$A32,A25,GERAL!$BM$8:$BM32,$AM$3)</f>
        <v>496</v>
      </c>
      <c r="AT25" s="121">
        <f>SUMIFS(GERAL!$AW$8:$AW32,GERAL!$A$8:$A32,A25,GERAL!$BM$8:$BM32,$AM$3)</f>
        <v>157</v>
      </c>
      <c r="AU25" s="124">
        <f t="shared" si="8"/>
        <v>2300</v>
      </c>
      <c r="AV25" s="116">
        <f>COUNTIFS(GERAL!$A$8:$A32,A25,GERAL!$AX$8:$AX32,"&gt;0",GERAL!$BM$8:$BM32,"EFA",GERAL!$C$8:$C32,"EFA")</f>
        <v>0</v>
      </c>
      <c r="AW25" s="121">
        <f>SUMIFS(GERAL!$AW$8:$AW32,GERAL!$A$8:$A32,A25,GERAL!$BM$8:$BM32,$AV$3)</f>
        <v>0</v>
      </c>
      <c r="AX25" s="121">
        <f>SUMIFS(GERAL!$AE$8:$AE32,GERAL!$A$8:$A32,A25,GERAL!$BM$8:$BM32,$AV$3)</f>
        <v>0</v>
      </c>
      <c r="AY25" s="121">
        <f>SUMIFS(GERAL!$AJ$8:$AJ32,GERAL!$A$8:$A32,A25,GERAL!$BM$8:$BM32,$AV$3)</f>
        <v>0</v>
      </c>
      <c r="AZ25" s="121">
        <f>SUMIFS(GERAL!$AN$8:$AN32,GERAL!$A$8:$A32,A25,GERAL!$BM$8:$BM32,$AV$3)</f>
        <v>0</v>
      </c>
      <c r="BA25" s="121">
        <f>SUMIFS(GERAL!$AR$8:$AR32,GERAL!$A$8:$A32,A25,GERAL!$BM$8:$BM32,$AV$3)</f>
        <v>0</v>
      </c>
      <c r="BB25" s="121">
        <f>SUMIFS(GERAL!$AW$8:$AW32,GERAL!$A$8:$A32,A25,GERAL!$BM$8:$BM32,$AV$3)</f>
        <v>0</v>
      </c>
      <c r="BC25" s="134">
        <f t="shared" si="9"/>
        <v>0</v>
      </c>
    </row>
    <row r="26">
      <c r="A26" s="135" t="s">
        <v>1535</v>
      </c>
      <c r="B26" s="75">
        <f t="shared" ref="B26:C26" si="49">SUM(L26,U26,AD26,AM26)</f>
        <v>2</v>
      </c>
      <c r="C26" s="75">
        <f t="shared" si="49"/>
        <v>3</v>
      </c>
      <c r="D26" s="75">
        <f>COUNTIFS(GERAL!A$8:A$1696,A26,GERAL!C$8:C$1696,"EFA")</f>
        <v>0</v>
      </c>
      <c r="E26" s="85">
        <f t="shared" si="11"/>
        <v>0</v>
      </c>
      <c r="F26" s="85">
        <f t="shared" ref="F26:K26" si="50">SUM(O26,X26,AG26,AP26,AX26)</f>
        <v>290</v>
      </c>
      <c r="G26" s="85">
        <f t="shared" si="50"/>
        <v>386</v>
      </c>
      <c r="H26" s="85">
        <f t="shared" si="50"/>
        <v>0</v>
      </c>
      <c r="I26" s="85">
        <f t="shared" si="50"/>
        <v>213</v>
      </c>
      <c r="J26" s="85">
        <f t="shared" si="50"/>
        <v>65</v>
      </c>
      <c r="K26" s="88">
        <f t="shared" si="50"/>
        <v>954</v>
      </c>
      <c r="L26" s="95">
        <f>COUNTIFS(GERAL!$A$8:$A32,A26,GERAL!$BM$8:$BM32,"INDÍGENAS",GERAL!$C$8:$C32,"ESCOLA")</f>
        <v>0</v>
      </c>
      <c r="M26" s="75">
        <f>COUNTIFS(GERAL!$A$8:$A32,A26,GERAL!$BM$8:$BM32,"INDÍGENAS",GERAL!$C$8:$C32,"ANEXO")</f>
        <v>0</v>
      </c>
      <c r="N26" s="100">
        <f>SUMIFS(GERAL!$Z$8:$Z32,GERAL!$A$8:$A32,A26,GERAL!$BM$8:$BM32,$L$3)</f>
        <v>0</v>
      </c>
      <c r="O26" s="100">
        <f>SUMIFS(GERAL!$AE$8:$AE32,GERAL!$A$8:$A32,A26,GERAL!$BM$8:$BM32,$L$3)</f>
        <v>0</v>
      </c>
      <c r="P26" s="100">
        <f>SUMIFS(GERAL!$AJ$8:$AJ32,GERAL!$A$8:$A32,A26,GERAL!$BM$8:$BM32,$L$3)</f>
        <v>0</v>
      </c>
      <c r="Q26" s="100">
        <f>SUMIFS(GERAL!$AN$8:$AN32,GERAL!$A$8:$A32,A26,GERAL!$BM$8:$BM32,$L$3)</f>
        <v>0</v>
      </c>
      <c r="R26" s="100">
        <f>SUMIFS(GERAL!$AR$8:$AR32,GERAL!$A$8:$A32,A26,GERAL!$BM$8:$BM32,$L$3)</f>
        <v>0</v>
      </c>
      <c r="S26" s="100">
        <f>SUMIFS(GERAL!$AW$8:$AW32,GERAL!$A$8:$A32,A26,GERAL!$BM$8:$BM32,$L$3)</f>
        <v>0</v>
      </c>
      <c r="T26" s="103">
        <f t="shared" si="5"/>
        <v>0</v>
      </c>
      <c r="U26" s="75">
        <f>COUNTIFS(GERAL!$A$8:$A32,A26,GERAL!$BM$8:$BM32,"QUILOMBOLAS",GERAL!$C$8:$C32,"ESCOLA")</f>
        <v>1</v>
      </c>
      <c r="V26" s="75">
        <f>COUNTIFS(GERAL!$A$8:$A32,A26,GERAL!$BM$8:$BM32,"QUILOMBOLAS",GERAL!$C$8:$C32,"ANEXO")</f>
        <v>0</v>
      </c>
      <c r="W26" s="85">
        <f>SUMIFS(GERAL!$Z$8:$Z32,GERAL!$A$8:$A32,A26,GERAL!$BM$8:$BM32,$U$3)</f>
        <v>0</v>
      </c>
      <c r="X26" s="85">
        <f>SUMIFS(GERAL!$AE$8:$AE32,GERAL!$A$8:$A32,A26,GERAL!$BM$8:$BM32,$U$3)</f>
        <v>290</v>
      </c>
      <c r="Y26" s="85">
        <f>SUMIFS(GERAL!$AJ$8:$AJ32,GERAL!$A$8:$A32,A26,GERAL!$BM$8:$BM32,$U$3)</f>
        <v>256</v>
      </c>
      <c r="Z26" s="85">
        <f>SUMIFS(GERAL!$AN$8:$AN32,GERAL!$A$8:$A32,A26,GERAL!$BM$8:$BM32,$U$3)</f>
        <v>0</v>
      </c>
      <c r="AA26" s="85">
        <f>SUMIFS(GERAL!$AR$8:$AR32,GERAL!$A$8:$A32,A26,GERAL!$BM$8:$BM32,$U$3)</f>
        <v>57</v>
      </c>
      <c r="AB26" s="85">
        <f>SUMIFS(GERAL!$AW$8:$AW32,GERAL!$A$8:$A32,A26,GERAL!$BM$8:$BM32,$U$3)</f>
        <v>0</v>
      </c>
      <c r="AC26" s="88">
        <f t="shared" si="6"/>
        <v>603</v>
      </c>
      <c r="AD26" s="116">
        <f>COUNTIFS(GERAL!$A$8:$A32,A26,GERAL!$BM$8:$BM32,"ASSENTAMENTOS",GERAL!$C$8:$C32,"ESCOLA")</f>
        <v>0</v>
      </c>
      <c r="AE26" s="118">
        <f>COUNTIFS(GERAL!$A$8:$A32,A26,GERAL!$BM$8:$BM32,"ASSENTAMENTOS",GERAL!$C$8:$C32,"ANEXO")</f>
        <v>0</v>
      </c>
      <c r="AF26" s="121">
        <f>SUMIFS(GERAL!$Z$8:$Z32,GERAL!$A$8:$A32,A26,GERAL!$BM$8:$BM32,$AD$3)</f>
        <v>0</v>
      </c>
      <c r="AG26" s="121">
        <f>SUMIFS(GERAL!$AE$8:$AE32,GERAL!$A$8:$A32,A26,GERAL!$BM$8:$BM32,$AD$3)
</f>
        <v>0</v>
      </c>
      <c r="AH26" s="121">
        <f>SUMIFS(GERAL!$AJ$8:$AJ32,GERAL!$A$8:$A32,A26,GERAL!$BM$8:$BM32,$AD$3)</f>
        <v>0</v>
      </c>
      <c r="AI26" s="121">
        <f>SUMIFS(GERAL!$AN$8:$AN32,GERAL!$A$8:$A32,A26,GERAL!$BM$8:$BM32,$AD$3)</f>
        <v>0</v>
      </c>
      <c r="AJ26" s="121">
        <f>SUMIFS(GERAL!$AR$8:$AR32,GERAL!$A$8:$A32,A26,GERAL!$BM$8:$BM32,$AD$3)</f>
        <v>0</v>
      </c>
      <c r="AK26" s="121">
        <f>SUMIFS(GERAL!$AW$8:$AW32,GERAL!$A$8:$A32,A26,GERAL!$BM$8:$BM32,$AD$3)</f>
        <v>0</v>
      </c>
      <c r="AL26" s="124">
        <f t="shared" si="7"/>
        <v>0</v>
      </c>
      <c r="AM26" s="116">
        <f>COUNTIFS(GERAL!$A$8:$A32,A26,GERAL!$BM$8:$BM32,"CAMPO",GERAL!$C$8:$C32,"ESCOLA")</f>
        <v>1</v>
      </c>
      <c r="AN26" s="118">
        <f>COUNTIFS(GERAL!$A$8:$A32,A26,GERAL!$BM$8:$BM32,"CAMPO",GERAL!$C$8:$C32,"ANEXO")</f>
        <v>3</v>
      </c>
      <c r="AO26" s="121">
        <f>SUMIFS(GERAL!$Z$8:$Z32,GERAL!$A$8:$A32,A26,GERAL!$BM$8:$BM32,$AM$3)</f>
        <v>0</v>
      </c>
      <c r="AP26" s="121">
        <f>SUMIFS(GERAL!$AE$8:$AE32,GERAL!$A$8:$A32,A26,GERAL!$BM$8:$BM32,$AM$3)</f>
        <v>0</v>
      </c>
      <c r="AQ26" s="121">
        <f>SUMIFS(GERAL!$AJ$8:$AJ32,GERAL!$A$8:$A32,A26,GERAL!$BM$8:$BM32,$AM$3)</f>
        <v>130</v>
      </c>
      <c r="AR26" s="121">
        <f>SUMIFS(GERAL!$AN$8:$AN32,GERAL!$A$8:$A32,A26,GERAL!$BM$8:$BM32,$AM$3)</f>
        <v>0</v>
      </c>
      <c r="AS26" s="121">
        <f>SUMIFS(GERAL!$AR$8:$AR32,GERAL!$A$8:$A32,A26,GERAL!$BM$8:$BM32,$AM$3)</f>
        <v>156</v>
      </c>
      <c r="AT26" s="121">
        <f>SUMIFS(GERAL!$AW$8:$AW32,GERAL!$A$8:$A32,A26,GERAL!$BM$8:$BM32,$AM$3)</f>
        <v>65</v>
      </c>
      <c r="AU26" s="124">
        <f t="shared" si="8"/>
        <v>351</v>
      </c>
      <c r="AV26" s="116">
        <f>COUNTIFS(GERAL!$A$8:$A32,A26,GERAL!$AX$8:$AX32,"&gt;0",GERAL!$BM$8:$BM32,"EFA",GERAL!$C$8:$C32,"EFA")</f>
        <v>0</v>
      </c>
      <c r="AW26" s="121">
        <f>SUMIFS(GERAL!$AW$8:$AW32,GERAL!$A$8:$A32,A26,GERAL!$BM$8:$BM32,$AV$3)</f>
        <v>0</v>
      </c>
      <c r="AX26" s="121">
        <f>SUMIFS(GERAL!$AE$8:$AE32,GERAL!$A$8:$A32,A26,GERAL!$BM$8:$BM32,$AV$3)</f>
        <v>0</v>
      </c>
      <c r="AY26" s="121">
        <f>SUMIFS(GERAL!$AJ$8:$AJ32,GERAL!$A$8:$A32,A26,GERAL!$BM$8:$BM32,$AV$3)</f>
        <v>0</v>
      </c>
      <c r="AZ26" s="121">
        <f>SUMIFS(GERAL!$AN$8:$AN32,GERAL!$A$8:$A32,A26,GERAL!$BM$8:$BM32,$AV$3)</f>
        <v>0</v>
      </c>
      <c r="BA26" s="121">
        <f>SUMIFS(GERAL!$AR$8:$AR32,GERAL!$A$8:$A32,A26,GERAL!$BM$8:$BM32,$AV$3)</f>
        <v>0</v>
      </c>
      <c r="BB26" s="121">
        <f>SUMIFS(GERAL!$AW$8:$AW32,GERAL!$A$8:$A32,A26,GERAL!$BM$8:$BM32,$AV$3)</f>
        <v>0</v>
      </c>
      <c r="BC26" s="134">
        <f t="shared" si="9"/>
        <v>0</v>
      </c>
    </row>
    <row r="27">
      <c r="A27" s="151" t="s">
        <v>1573</v>
      </c>
      <c r="B27" s="75">
        <f t="shared" ref="B27:C27" si="51">SUM(L27,U27,AD27,AM27)</f>
        <v>0</v>
      </c>
      <c r="C27" s="75">
        <f t="shared" si="51"/>
        <v>19</v>
      </c>
      <c r="D27" s="75">
        <f>COUNTIFS(GERAL!A$8:A$1696,A27,GERAL!C$8:C$1696,"EFA")</f>
        <v>3</v>
      </c>
      <c r="E27" s="85">
        <f t="shared" si="11"/>
        <v>0</v>
      </c>
      <c r="F27" s="85">
        <f t="shared" ref="F27:K27" si="52">SUM(O27,X27,AG27,AP27,AX27)</f>
        <v>129</v>
      </c>
      <c r="G27" s="85">
        <f t="shared" si="52"/>
        <v>1147</v>
      </c>
      <c r="H27" s="85">
        <f t="shared" si="52"/>
        <v>0</v>
      </c>
      <c r="I27" s="85">
        <f t="shared" si="52"/>
        <v>184</v>
      </c>
      <c r="J27" s="85">
        <f t="shared" si="52"/>
        <v>0</v>
      </c>
      <c r="K27" s="88">
        <f t="shared" si="52"/>
        <v>1460</v>
      </c>
      <c r="L27" s="95">
        <f>COUNTIFS(GERAL!$A$8:$A32,A27,GERAL!$BM$8:$BM32,"INDÍGENAS",GERAL!$C$8:$C32,"ESCOLA")</f>
        <v>0</v>
      </c>
      <c r="M27" s="75">
        <f>COUNTIFS(GERAL!$A$8:$A32,A27,GERAL!$BM$8:$BM32,"INDÍGENAS",GERAL!$C$8:$C32,"ANEXO")</f>
        <v>1</v>
      </c>
      <c r="N27" s="100">
        <f>SUMIFS(GERAL!$Z$8:$Z32,GERAL!$A$8:$A32,A27,GERAL!$BM$8:$BM32,$L$3)</f>
        <v>0</v>
      </c>
      <c r="O27" s="100">
        <f>SUMIFS(GERAL!$AE$8:$AE32,GERAL!$A$8:$A32,A27,GERAL!$BM$8:$BM32,$L$3)</f>
        <v>0</v>
      </c>
      <c r="P27" s="100">
        <f>SUMIFS(GERAL!$AJ$8:$AJ32,GERAL!$A$8:$A32,A27,GERAL!$BM$8:$BM32,$L$3)</f>
        <v>15</v>
      </c>
      <c r="Q27" s="100">
        <f>SUMIFS(GERAL!$AN$8:$AN32,GERAL!$A$8:$A32,A27,GERAL!$BM$8:$BM32,$L$3)</f>
        <v>0</v>
      </c>
      <c r="R27" s="100">
        <f>SUMIFS(GERAL!$AR$8:$AR32,GERAL!$A$8:$A32,A27,GERAL!$BM$8:$BM32,$L$3)</f>
        <v>0</v>
      </c>
      <c r="S27" s="100">
        <f>SUMIFS(GERAL!$AW$8:$AW32,GERAL!$A$8:$A32,A27,GERAL!$BM$8:$BM32,$L$3)</f>
        <v>0</v>
      </c>
      <c r="T27" s="103">
        <f t="shared" si="5"/>
        <v>15</v>
      </c>
      <c r="U27" s="75">
        <f>COUNTIFS(GERAL!$A$8:$A32,A27,GERAL!$BM$8:$BM32,"QUILOMBOLAS",GERAL!$C$8:$C32,"ESCOLA")</f>
        <v>0</v>
      </c>
      <c r="V27" s="75">
        <f>COUNTIFS(GERAL!$A$8:$A32,A27,GERAL!$BM$8:$BM32,"QUILOMBOLAS",GERAL!$C$8:$C32,"ANEXO")</f>
        <v>1</v>
      </c>
      <c r="W27" s="85">
        <f>SUMIFS(GERAL!$Z$8:$Z32,GERAL!$A$8:$A32,A27,GERAL!$BM$8:$BM32,$U$3)</f>
        <v>0</v>
      </c>
      <c r="X27" s="85">
        <f>SUMIFS(GERAL!$AE$8:$AE32,GERAL!$A$8:$A32,A27,GERAL!$BM$8:$BM32,$U$3)</f>
        <v>0</v>
      </c>
      <c r="Y27" s="85">
        <f>SUMIFS(GERAL!$AJ$8:$AJ32,GERAL!$A$8:$A32,A27,GERAL!$BM$8:$BM32,$U$3)</f>
        <v>22</v>
      </c>
      <c r="Z27" s="85">
        <f>SUMIFS(GERAL!$AN$8:$AN32,GERAL!$A$8:$A32,A27,GERAL!$BM$8:$BM32,$U$3)</f>
        <v>0</v>
      </c>
      <c r="AA27" s="85">
        <f>SUMIFS(GERAL!$AR$8:$AR32,GERAL!$A$8:$A32,A27,GERAL!$BM$8:$BM32,$U$3)</f>
        <v>0</v>
      </c>
      <c r="AB27" s="85">
        <f>SUMIFS(GERAL!$AW$8:$AW32,GERAL!$A$8:$A32,A27,GERAL!$BM$8:$BM32,$U$3)</f>
        <v>0</v>
      </c>
      <c r="AC27" s="88">
        <f t="shared" si="6"/>
        <v>22</v>
      </c>
      <c r="AD27" s="116">
        <f>COUNTIFS(GERAL!$A$8:$A32,A27,GERAL!$BM$8:$BM32,"ASSENTAMENTOS",GERAL!$C$8:$C32,"ESCOLA")</f>
        <v>0</v>
      </c>
      <c r="AE27" s="118">
        <f>COUNTIFS(GERAL!$A$8:$A32,A27,GERAL!$BM$8:$BM32,"ASSENTAMENTOS",GERAL!$C$8:$C32,"ANEXO")</f>
        <v>0</v>
      </c>
      <c r="AF27" s="121">
        <f>SUMIFS(GERAL!$Z$8:$Z32,GERAL!$A$8:$A32,A27,GERAL!$BM$8:$BM32,$AD$3)</f>
        <v>0</v>
      </c>
      <c r="AG27" s="121">
        <f>SUMIFS(GERAL!$AE$8:$AE32,GERAL!$A$8:$A32,A27,GERAL!$BM$8:$BM32,$AD$3)
</f>
        <v>0</v>
      </c>
      <c r="AH27" s="121">
        <f>SUMIFS(GERAL!$AJ$8:$AJ32,GERAL!$A$8:$A32,A27,GERAL!$BM$8:$BM32,$AD$3)</f>
        <v>0</v>
      </c>
      <c r="AI27" s="121">
        <f>SUMIFS(GERAL!$AN$8:$AN32,GERAL!$A$8:$A32,A27,GERAL!$BM$8:$BM32,$AD$3)</f>
        <v>0</v>
      </c>
      <c r="AJ27" s="121">
        <f>SUMIFS(GERAL!$AR$8:$AR32,GERAL!$A$8:$A32,A27,GERAL!$BM$8:$BM32,$AD$3)</f>
        <v>0</v>
      </c>
      <c r="AK27" s="121">
        <f>SUMIFS(GERAL!$AW$8:$AW32,GERAL!$A$8:$A32,A27,GERAL!$BM$8:$BM32,$AD$3)</f>
        <v>0</v>
      </c>
      <c r="AL27" s="124">
        <f t="shared" si="7"/>
        <v>0</v>
      </c>
      <c r="AM27" s="116">
        <f>COUNTIFS(GERAL!$A$8:$A32,A27,GERAL!$BM$8:$BM32,"CAMPO",GERAL!$C$8:$C32,"ESCOLA")</f>
        <v>0</v>
      </c>
      <c r="AN27" s="118">
        <f>COUNTIFS(GERAL!$A$8:$A32,A27,GERAL!$BM$8:$BM32,"CAMPO",GERAL!$C$8:$C32,"ANEXO")</f>
        <v>17</v>
      </c>
      <c r="AO27" s="121">
        <f>SUMIFS(GERAL!$Z$8:$Z32,GERAL!$A$8:$A32,A27,GERAL!$BM$8:$BM32,$AM$3)</f>
        <v>0</v>
      </c>
      <c r="AP27" s="121">
        <f>SUMIFS(GERAL!$AE$8:$AE32,GERAL!$A$8:$A32,A27,GERAL!$BM$8:$BM32,$AM$3)</f>
        <v>0</v>
      </c>
      <c r="AQ27" s="121">
        <f>SUMIFS(GERAL!$AJ$8:$AJ32,GERAL!$A$8:$A32,A27,GERAL!$BM$8:$BM32,$AM$3)</f>
        <v>817</v>
      </c>
      <c r="AR27" s="121">
        <f>SUMIFS(GERAL!$AN$8:$AN32,GERAL!$A$8:$A32,A27,GERAL!$BM$8:$BM32,$AM$3)</f>
        <v>0</v>
      </c>
      <c r="AS27" s="121">
        <f>SUMIFS(GERAL!$AR$8:$AR32,GERAL!$A$8:$A32,A27,GERAL!$BM$8:$BM32,$AM$3)</f>
        <v>184</v>
      </c>
      <c r="AT27" s="121">
        <f>SUMIFS(GERAL!$AW$8:$AW32,GERAL!$A$8:$A32,A27,GERAL!$BM$8:$BM32,$AM$3)</f>
        <v>0</v>
      </c>
      <c r="AU27" s="124">
        <f t="shared" si="8"/>
        <v>1001</v>
      </c>
      <c r="AV27" s="116">
        <f>COUNTIFS(GERAL!$A$8:$A32,A27,GERAL!$AX$8:$AX32,"&gt;0",GERAL!$BM$8:$BM32,"EFA",GERAL!$C$8:$C32,"EFA")</f>
        <v>3</v>
      </c>
      <c r="AW27" s="121">
        <f>SUMIFS(GERAL!$AW$8:$AW32,GERAL!$A$8:$A32,A27,GERAL!$BM$8:$BM32,$AV$3)</f>
        <v>0</v>
      </c>
      <c r="AX27" s="121">
        <f>SUMIFS(GERAL!$AE$8:$AE32,GERAL!$A$8:$A32,A27,GERAL!$BM$8:$BM32,$AV$3)</f>
        <v>129</v>
      </c>
      <c r="AY27" s="121">
        <f>SUMIFS(GERAL!$AJ$8:$AJ32,GERAL!$A$8:$A32,A27,GERAL!$BM$8:$BM32,$AV$3)</f>
        <v>293</v>
      </c>
      <c r="AZ27" s="121">
        <f>SUMIFS(GERAL!$AN$8:$AN32,GERAL!$A$8:$A32,A27,GERAL!$BM$8:$BM32,$AV$3)</f>
        <v>0</v>
      </c>
      <c r="BA27" s="121">
        <f>SUMIFS(GERAL!$AR$8:$AR32,GERAL!$A$8:$A32,A27,GERAL!$BM$8:$BM32,$AV$3)</f>
        <v>0</v>
      </c>
      <c r="BB27" s="121">
        <f>SUMIFS(GERAL!$AW$8:$AW32,GERAL!$A$8:$A32,A27,GERAL!$BM$8:$BM32,$AV$3)</f>
        <v>0</v>
      </c>
      <c r="BC27" s="134">
        <f t="shared" si="9"/>
        <v>422</v>
      </c>
    </row>
    <row r="28">
      <c r="A28" s="135" t="s">
        <v>1629</v>
      </c>
      <c r="B28" s="75">
        <f t="shared" ref="B28:C28" si="53">SUM(L28,U28,AD28,AM28)</f>
        <v>10</v>
      </c>
      <c r="C28" s="75">
        <f t="shared" si="53"/>
        <v>9</v>
      </c>
      <c r="D28" s="75">
        <f>COUNTIFS(GERAL!A$8:A$1696,A28,GERAL!C$8:C$1696,"EFA")</f>
        <v>0</v>
      </c>
      <c r="E28" s="85">
        <f t="shared" si="11"/>
        <v>153</v>
      </c>
      <c r="F28" s="85">
        <f t="shared" ref="F28:K28" si="54">SUM(O28,X28,AG28,AP28,AX28)</f>
        <v>564</v>
      </c>
      <c r="G28" s="85">
        <f t="shared" si="54"/>
        <v>843</v>
      </c>
      <c r="H28" s="85">
        <f t="shared" si="54"/>
        <v>68</v>
      </c>
      <c r="I28" s="85">
        <f t="shared" si="54"/>
        <v>135</v>
      </c>
      <c r="J28" s="85">
        <f t="shared" si="54"/>
        <v>0</v>
      </c>
      <c r="K28" s="88">
        <f t="shared" si="54"/>
        <v>1763</v>
      </c>
      <c r="L28" s="95">
        <f>COUNTIFS(GERAL!$A$8:$A32,A28,GERAL!$BM$8:$BM32,"INDÍGENAS",GERAL!$C$8:$C32,"ESCOLA")</f>
        <v>8</v>
      </c>
      <c r="M28" s="75">
        <f>COUNTIFS(GERAL!$A$8:$A32,A28,GERAL!$BM$8:$BM32,"INDÍGENAS",GERAL!$C$8:$C32,"ANEXO")</f>
        <v>3</v>
      </c>
      <c r="N28" s="100">
        <f>SUMIFS(GERAL!$Z$8:$Z32,GERAL!$A$8:$A32,A28,GERAL!$BM$8:$BM32,$L$3)</f>
        <v>153</v>
      </c>
      <c r="O28" s="100">
        <f>SUMIFS(GERAL!$AE$8:$AE32,GERAL!$A$8:$A32,A28,GERAL!$BM$8:$BM32,$L$3)</f>
        <v>564</v>
      </c>
      <c r="P28" s="100">
        <f>SUMIFS(GERAL!$AJ$8:$AJ32,GERAL!$A$8:$A32,A28,GERAL!$BM$8:$BM32,$L$3)</f>
        <v>207</v>
      </c>
      <c r="Q28" s="100">
        <f>SUMIFS(GERAL!$AN$8:$AN32,GERAL!$A$8:$A32,A28,GERAL!$BM$8:$BM32,$L$3)</f>
        <v>68</v>
      </c>
      <c r="R28" s="100">
        <f>SUMIFS(GERAL!$AR$8:$AR32,GERAL!$A$8:$A32,A28,GERAL!$BM$8:$BM32,$L$3)</f>
        <v>67</v>
      </c>
      <c r="S28" s="100">
        <f>SUMIFS(GERAL!$AW$8:$AW32,GERAL!$A$8:$A32,A28,GERAL!$BM$8:$BM32,$L$3)</f>
        <v>0</v>
      </c>
      <c r="T28" s="103">
        <f t="shared" si="5"/>
        <v>1059</v>
      </c>
      <c r="U28" s="75">
        <f>COUNTIFS(GERAL!$A$8:$A32,A28,GERAL!$BM$8:$BM32,"QUILOMBOLAS",GERAL!$C$8:$C32,"ESCOLA")</f>
        <v>0</v>
      </c>
      <c r="V28" s="75">
        <f>COUNTIFS(GERAL!$A$8:$A32,A28,GERAL!$BM$8:$BM32,"QUILOMBOLAS",GERAL!$C$8:$C32,"ANEXO")</f>
        <v>0</v>
      </c>
      <c r="W28" s="85">
        <f>SUMIFS(GERAL!$Z$8:$Z32,GERAL!$A$8:$A32,A28,GERAL!$BM$8:$BM32,$U$3)</f>
        <v>0</v>
      </c>
      <c r="X28" s="85">
        <f>SUMIFS(GERAL!$AE$8:$AE32,GERAL!$A$8:$A32,A28,GERAL!$BM$8:$BM32,$U$3)</f>
        <v>0</v>
      </c>
      <c r="Y28" s="85">
        <f>SUMIFS(GERAL!$AJ$8:$AJ32,GERAL!$A$8:$A32,A28,GERAL!$BM$8:$BM32,$U$3)</f>
        <v>0</v>
      </c>
      <c r="Z28" s="85">
        <f>SUMIFS(GERAL!$AN$8:$AN32,GERAL!$A$8:$A32,A28,GERAL!$BM$8:$BM32,$U$3)</f>
        <v>0</v>
      </c>
      <c r="AA28" s="85">
        <f>SUMIFS(GERAL!$AR$8:$AR32,GERAL!$A$8:$A32,A28,GERAL!$BM$8:$BM32,$U$3)</f>
        <v>0</v>
      </c>
      <c r="AB28" s="85">
        <f>SUMIFS(GERAL!$AW$8:$AW32,GERAL!$A$8:$A32,A28,GERAL!$BM$8:$BM32,$U$3)</f>
        <v>0</v>
      </c>
      <c r="AC28" s="88">
        <f t="shared" si="6"/>
        <v>0</v>
      </c>
      <c r="AD28" s="116">
        <f>COUNTIFS(GERAL!$A$8:$A32,A28,GERAL!$BM$8:$BM32,"ASSENTAMENTOS",GERAL!$C$8:$C32,"ESCOLA")</f>
        <v>0</v>
      </c>
      <c r="AE28" s="118">
        <f>COUNTIFS(GERAL!$A$8:$A32,A28,GERAL!$BM$8:$BM32,"ASSENTAMENTOS",GERAL!$C$8:$C32,"ANEXO")</f>
        <v>0</v>
      </c>
      <c r="AF28" s="121">
        <f>SUMIFS(GERAL!$Z$8:$Z32,GERAL!$A$8:$A32,A28,GERAL!$BM$8:$BM32,$AD$3)</f>
        <v>0</v>
      </c>
      <c r="AG28" s="121">
        <f>SUMIFS(GERAL!$AE$8:$AE32,GERAL!$A$8:$A32,A28,GERAL!$BM$8:$BM32,$AD$3)
</f>
        <v>0</v>
      </c>
      <c r="AH28" s="121">
        <f>SUMIFS(GERAL!$AJ$8:$AJ32,GERAL!$A$8:$A32,A28,GERAL!$BM$8:$BM32,$AD$3)</f>
        <v>0</v>
      </c>
      <c r="AI28" s="121">
        <f>SUMIFS(GERAL!$AN$8:$AN32,GERAL!$A$8:$A32,A28,GERAL!$BM$8:$BM32,$AD$3)</f>
        <v>0</v>
      </c>
      <c r="AJ28" s="121">
        <f>SUMIFS(GERAL!$AR$8:$AR32,GERAL!$A$8:$A32,A28,GERAL!$BM$8:$BM32,$AD$3)</f>
        <v>0</v>
      </c>
      <c r="AK28" s="121">
        <f>SUMIFS(GERAL!$AW$8:$AW32,GERAL!$A$8:$A32,A28,GERAL!$BM$8:$BM32,$AD$3)</f>
        <v>0</v>
      </c>
      <c r="AL28" s="124">
        <f t="shared" si="7"/>
        <v>0</v>
      </c>
      <c r="AM28" s="116">
        <f>COUNTIFS(GERAL!$A$8:$A32,A28,GERAL!$BM$8:$BM32,"CAMPO",GERAL!$C$8:$C32,"ESCOLA")</f>
        <v>2</v>
      </c>
      <c r="AN28" s="118">
        <f>COUNTIFS(GERAL!$A$8:$A32,A28,GERAL!$BM$8:$BM32,"CAMPO",GERAL!$C$8:$C32,"ANEXO")</f>
        <v>6</v>
      </c>
      <c r="AO28" s="121">
        <f>SUMIFS(GERAL!$Z$8:$Z32,GERAL!$A$8:$A32,A28,GERAL!$BM$8:$BM32,$AM$3)</f>
        <v>0</v>
      </c>
      <c r="AP28" s="121">
        <f>SUMIFS(GERAL!$AE$8:$AE32,GERAL!$A$8:$A32,A28,GERAL!$BM$8:$BM32,$AM$3)</f>
        <v>0</v>
      </c>
      <c r="AQ28" s="121">
        <f>SUMIFS(GERAL!$AJ$8:$AJ32,GERAL!$A$8:$A32,A28,GERAL!$BM$8:$BM32,$AM$3)</f>
        <v>636</v>
      </c>
      <c r="AR28" s="121">
        <f>SUMIFS(GERAL!$AN$8:$AN32,GERAL!$A$8:$A32,A28,GERAL!$BM$8:$BM32,$AM$3)</f>
        <v>0</v>
      </c>
      <c r="AS28" s="121">
        <f>SUMIFS(GERAL!$AR$8:$AR32,GERAL!$A$8:$A32,A28,GERAL!$BM$8:$BM32,$AM$3)</f>
        <v>68</v>
      </c>
      <c r="AT28" s="121">
        <f>SUMIFS(GERAL!$AW$8:$AW32,GERAL!$A$8:$A32,A28,GERAL!$BM$8:$BM32,$AM$3)</f>
        <v>0</v>
      </c>
      <c r="AU28" s="124">
        <f t="shared" si="8"/>
        <v>704</v>
      </c>
      <c r="AV28" s="116">
        <f>COUNTIFS(GERAL!$A$8:$A32,A28,GERAL!$AX$8:$AX32,"&gt;0",GERAL!$BM$8:$BM32,"EFA",GERAL!$C$8:$C32,"EFA")</f>
        <v>0</v>
      </c>
      <c r="AW28" s="121">
        <f>SUMIFS(GERAL!$AW$8:$AW32,GERAL!$A$8:$A32,A28,GERAL!$BM$8:$BM32,$AV$3)</f>
        <v>0</v>
      </c>
      <c r="AX28" s="121">
        <f>SUMIFS(GERAL!$AE$8:$AE32,GERAL!$A$8:$A32,A28,GERAL!$BM$8:$BM32,$AV$3)</f>
        <v>0</v>
      </c>
      <c r="AY28" s="121">
        <f>SUMIFS(GERAL!$AJ$8:$AJ32,GERAL!$A$8:$A32,A28,GERAL!$BM$8:$BM32,$AV$3)</f>
        <v>0</v>
      </c>
      <c r="AZ28" s="121">
        <f>SUMIFS(GERAL!$AN$8:$AN32,GERAL!$A$8:$A32,A28,GERAL!$BM$8:$BM32,$AV$3)</f>
        <v>0</v>
      </c>
      <c r="BA28" s="121">
        <f>SUMIFS(GERAL!$AR$8:$AR32,GERAL!$A$8:$A32,A28,GERAL!$BM$8:$BM32,$AV$3)</f>
        <v>0</v>
      </c>
      <c r="BB28" s="121">
        <f>SUMIFS(GERAL!$AW$8:$AW32,GERAL!$A$8:$A32,A28,GERAL!$BM$8:$BM32,$AV$3)</f>
        <v>0</v>
      </c>
      <c r="BC28" s="134">
        <f t="shared" si="9"/>
        <v>0</v>
      </c>
    </row>
    <row r="29">
      <c r="A29" s="151" t="s">
        <v>1707</v>
      </c>
      <c r="B29" s="75">
        <f t="shared" ref="B29:C29" si="55">SUM(L29,U29,AD29,AM29)</f>
        <v>7</v>
      </c>
      <c r="C29" s="75">
        <f t="shared" si="55"/>
        <v>12</v>
      </c>
      <c r="D29" s="75">
        <f>COUNTIFS(GERAL!A$8:A$1696,A29,GERAL!C$8:C$1696,"EFA")</f>
        <v>1</v>
      </c>
      <c r="E29" s="85">
        <f t="shared" si="11"/>
        <v>0</v>
      </c>
      <c r="F29" s="85">
        <f t="shared" ref="F29:K29" si="56">SUM(O29,X29,AG29,AP29,AX29)</f>
        <v>74</v>
      </c>
      <c r="G29" s="85">
        <f t="shared" si="56"/>
        <v>3463</v>
      </c>
      <c r="H29" s="85">
        <f t="shared" si="56"/>
        <v>0</v>
      </c>
      <c r="I29" s="85">
        <f t="shared" si="56"/>
        <v>613</v>
      </c>
      <c r="J29" s="85">
        <f t="shared" si="56"/>
        <v>281</v>
      </c>
      <c r="K29" s="88">
        <f t="shared" si="56"/>
        <v>4431</v>
      </c>
      <c r="L29" s="95">
        <f>COUNTIFS(GERAL!$A$8:$A32,A29,GERAL!$BM$8:$BM32,"INDÍGENAS",GERAL!$C$8:$C32,"ESCOLA")</f>
        <v>0</v>
      </c>
      <c r="M29" s="75">
        <f>COUNTIFS(GERAL!$A$8:$A32,A29,GERAL!$BM$8:$BM32,"INDÍGENAS",GERAL!$C$8:$C32,"ANEXO")</f>
        <v>0</v>
      </c>
      <c r="N29" s="100">
        <f>SUMIFS(GERAL!$Z$8:$Z32,GERAL!$A$8:$A32,A29,GERAL!$BM$8:$BM32,$L$3)</f>
        <v>0</v>
      </c>
      <c r="O29" s="100">
        <f>SUMIFS(GERAL!$AE$8:$AE32,GERAL!$A$8:$A32,A29,GERAL!$BM$8:$BM32,$L$3)</f>
        <v>0</v>
      </c>
      <c r="P29" s="100">
        <f>SUMIFS(GERAL!$AJ$8:$AJ32,GERAL!$A$8:$A32,A29,GERAL!$BM$8:$BM32,$L$3)</f>
        <v>0</v>
      </c>
      <c r="Q29" s="100">
        <f>SUMIFS(GERAL!$AN$8:$AN32,GERAL!$A$8:$A32,A29,GERAL!$BM$8:$BM32,$L$3)</f>
        <v>0</v>
      </c>
      <c r="R29" s="100">
        <f>SUMIFS(GERAL!$AR$8:$AR32,GERAL!$A$8:$A32,A29,GERAL!$BM$8:$BM32,$L$3)</f>
        <v>0</v>
      </c>
      <c r="S29" s="100">
        <f>SUMIFS(GERAL!$AW$8:$AW32,GERAL!$A$8:$A32,A29,GERAL!$BM$8:$BM32,$L$3)</f>
        <v>0</v>
      </c>
      <c r="T29" s="103">
        <f t="shared" si="5"/>
        <v>0</v>
      </c>
      <c r="U29" s="75">
        <f>COUNTIFS(GERAL!$A$8:$A32,A29,GERAL!$BM$8:$BM32,"QUILOMBOLAS",GERAL!$C$8:$C32,"ESCOLA")</f>
        <v>2</v>
      </c>
      <c r="V29" s="75">
        <f>COUNTIFS(GERAL!$A$8:$A32,A29,GERAL!$BM$8:$BM32,"QUILOMBOLAS",GERAL!$C$8:$C32,"ANEXO")</f>
        <v>5</v>
      </c>
      <c r="W29" s="85">
        <f>SUMIFS(GERAL!$Z$8:$Z32,GERAL!$A$8:$A32,A29,GERAL!$BM$8:$BM32,$U$3)</f>
        <v>0</v>
      </c>
      <c r="X29" s="85">
        <f>SUMIFS(GERAL!$AE$8:$AE32,GERAL!$A$8:$A32,A29,GERAL!$BM$8:$BM32,$U$3)</f>
        <v>0</v>
      </c>
      <c r="Y29" s="85">
        <f>SUMIFS(GERAL!$AJ$8:$AJ32,GERAL!$A$8:$A32,A29,GERAL!$BM$8:$BM32,$U$3)</f>
        <v>659</v>
      </c>
      <c r="Z29" s="85">
        <f>SUMIFS(GERAL!$AN$8:$AN32,GERAL!$A$8:$A32,A29,GERAL!$BM$8:$BM32,$U$3)</f>
        <v>0</v>
      </c>
      <c r="AA29" s="85">
        <f>SUMIFS(GERAL!$AR$8:$AR32,GERAL!$A$8:$A32,A29,GERAL!$BM$8:$BM32,$U$3)</f>
        <v>167</v>
      </c>
      <c r="AB29" s="85">
        <f>SUMIFS(GERAL!$AW$8:$AW32,GERAL!$A$8:$A32,A29,GERAL!$BM$8:$BM32,$U$3)</f>
        <v>60</v>
      </c>
      <c r="AC29" s="88">
        <f t="shared" si="6"/>
        <v>886</v>
      </c>
      <c r="AD29" s="116">
        <f>COUNTIFS(GERAL!$A$8:$A32,A29,GERAL!$BM$8:$BM32,"ASSENTAMENTOS",GERAL!$C$8:$C32,"ESCOLA")</f>
        <v>0</v>
      </c>
      <c r="AE29" s="118">
        <f>COUNTIFS(GERAL!$A$8:$A32,A29,GERAL!$BM$8:$BM32,"ASSENTAMENTOS",GERAL!$C$8:$C32,"ANEXO")</f>
        <v>0</v>
      </c>
      <c r="AF29" s="121">
        <f>SUMIFS(GERAL!$Z$8:$Z32,GERAL!$A$8:$A32,A29,GERAL!$BM$8:$BM32,$AD$3)</f>
        <v>0</v>
      </c>
      <c r="AG29" s="121">
        <f>SUMIFS(GERAL!$AE$8:$AE32,GERAL!$A$8:$A32,A29,GERAL!$BM$8:$BM32,$AD$3)
</f>
        <v>0</v>
      </c>
      <c r="AH29" s="121">
        <f>SUMIFS(GERAL!$AJ$8:$AJ32,GERAL!$A$8:$A32,A29,GERAL!$BM$8:$BM32,$AD$3)</f>
        <v>0</v>
      </c>
      <c r="AI29" s="121">
        <f>SUMIFS(GERAL!$AN$8:$AN32,GERAL!$A$8:$A32,A29,GERAL!$BM$8:$BM32,$AD$3)</f>
        <v>0</v>
      </c>
      <c r="AJ29" s="121">
        <f>SUMIFS(GERAL!$AR$8:$AR32,GERAL!$A$8:$A32,A29,GERAL!$BM$8:$BM32,$AD$3)</f>
        <v>0</v>
      </c>
      <c r="AK29" s="121">
        <f>SUMIFS(GERAL!$AW$8:$AW32,GERAL!$A$8:$A32,A29,GERAL!$BM$8:$BM32,$AD$3)</f>
        <v>0</v>
      </c>
      <c r="AL29" s="124">
        <f t="shared" si="7"/>
        <v>0</v>
      </c>
      <c r="AM29" s="116">
        <f>COUNTIFS(GERAL!$A$8:$A32,A29,GERAL!$BM$8:$BM32,"CAMPO",GERAL!$C$8:$C32,"ESCOLA")</f>
        <v>5</v>
      </c>
      <c r="AN29" s="118">
        <f>COUNTIFS(GERAL!$A$8:$A32,A29,GERAL!$BM$8:$BM32,"CAMPO",GERAL!$C$8:$C32,"ANEXO")</f>
        <v>7</v>
      </c>
      <c r="AO29" s="121">
        <f>SUMIFS(GERAL!$Z$8:$Z32,GERAL!$A$8:$A32,A29,GERAL!$BM$8:$BM32,$AM$3)</f>
        <v>0</v>
      </c>
      <c r="AP29" s="121">
        <f>SUMIFS(GERAL!$AE$8:$AE32,GERAL!$A$8:$A32,A29,GERAL!$BM$8:$BM32,$AM$3)</f>
        <v>0</v>
      </c>
      <c r="AQ29" s="121">
        <f>SUMIFS(GERAL!$AJ$8:$AJ32,GERAL!$A$8:$A32,A29,GERAL!$BM$8:$BM32,$AM$3)</f>
        <v>2760</v>
      </c>
      <c r="AR29" s="121">
        <f>SUMIFS(GERAL!$AN$8:$AN32,GERAL!$A$8:$A32,A29,GERAL!$BM$8:$BM32,$AM$3)</f>
        <v>0</v>
      </c>
      <c r="AS29" s="121">
        <f>SUMIFS(GERAL!$AR$8:$AR32,GERAL!$A$8:$A32,A29,GERAL!$BM$8:$BM32,$AM$3)</f>
        <v>446</v>
      </c>
      <c r="AT29" s="121">
        <f>SUMIFS(GERAL!$AW$8:$AW32,GERAL!$A$8:$A32,A29,GERAL!$BM$8:$BM32,$AM$3)</f>
        <v>221</v>
      </c>
      <c r="AU29" s="124">
        <f t="shared" si="8"/>
        <v>3427</v>
      </c>
      <c r="AV29" s="116">
        <f>COUNTIFS(GERAL!$A$8:$A32,A29,GERAL!$AX$8:$AX32,"&gt;0",GERAL!$BM$8:$BM32,"EFA",GERAL!$C$8:$C32,"EFA")</f>
        <v>1</v>
      </c>
      <c r="AW29" s="121">
        <f>SUMIFS(GERAL!$AW$8:$AW32,GERAL!$A$8:$A32,A29,GERAL!$BM$8:$BM32,$AV$3)</f>
        <v>0</v>
      </c>
      <c r="AX29" s="121">
        <f>SUMIFS(GERAL!$AE$8:$AE32,GERAL!$A$8:$A32,A29,GERAL!$BM$8:$BM32,$AV$3)</f>
        <v>74</v>
      </c>
      <c r="AY29" s="121">
        <f>SUMIFS(GERAL!$AJ$8:$AJ32,GERAL!$A$8:$A32,A29,GERAL!$BM$8:$BM32,$AV$3)</f>
        <v>44</v>
      </c>
      <c r="AZ29" s="121">
        <f>SUMIFS(GERAL!$AN$8:$AN32,GERAL!$A$8:$A32,A29,GERAL!$BM$8:$BM32,$AV$3)</f>
        <v>0</v>
      </c>
      <c r="BA29" s="121">
        <f>SUMIFS(GERAL!$AR$8:$AR32,GERAL!$A$8:$A32,A29,GERAL!$BM$8:$BM32,$AV$3)</f>
        <v>0</v>
      </c>
      <c r="BB29" s="121">
        <f>SUMIFS(GERAL!$AW$8:$AW32,GERAL!$A$8:$A32,A29,GERAL!$BM$8:$BM32,$AV$3)</f>
        <v>0</v>
      </c>
      <c r="BC29" s="134">
        <f t="shared" si="9"/>
        <v>118</v>
      </c>
    </row>
    <row r="30">
      <c r="A30" s="135" t="s">
        <v>1785</v>
      </c>
      <c r="B30" s="75">
        <f t="shared" ref="B30:C30" si="57">SUM(L30,U30,AD30,AM30)</f>
        <v>4</v>
      </c>
      <c r="C30" s="75">
        <f t="shared" si="57"/>
        <v>4</v>
      </c>
      <c r="D30" s="75">
        <f>COUNTIFS(GERAL!A$8:A$1696,A30,GERAL!C$8:C$1696,"EFA")</f>
        <v>1</v>
      </c>
      <c r="E30" s="85">
        <f t="shared" si="11"/>
        <v>0</v>
      </c>
      <c r="F30" s="85">
        <f t="shared" ref="F30:K30" si="58">SUM(O30,X30,AG30,AP30,AX30)</f>
        <v>0</v>
      </c>
      <c r="G30" s="85">
        <f t="shared" si="58"/>
        <v>902</v>
      </c>
      <c r="H30" s="85">
        <f t="shared" si="58"/>
        <v>0</v>
      </c>
      <c r="I30" s="85">
        <f t="shared" si="58"/>
        <v>274</v>
      </c>
      <c r="J30" s="85">
        <f t="shared" si="58"/>
        <v>2172</v>
      </c>
      <c r="K30" s="88">
        <f t="shared" si="58"/>
        <v>3348</v>
      </c>
      <c r="L30" s="95">
        <f>COUNTIFS(GERAL!$A$8:$A32,A30,GERAL!$BM$8:$BM32,"INDÍGENAS",GERAL!$C$8:$C32,"ESCOLA")</f>
        <v>0</v>
      </c>
      <c r="M30" s="75">
        <f>COUNTIFS(GERAL!$A$8:$A32,A30,GERAL!$BM$8:$BM32,"INDÍGENAS",GERAL!$C$8:$C32,"ANEXO")</f>
        <v>0</v>
      </c>
      <c r="N30" s="100">
        <f>SUMIFS(GERAL!$Z$8:$Z32,GERAL!$A$8:$A32,A30,GERAL!$BM$8:$BM32,$L$3)</f>
        <v>0</v>
      </c>
      <c r="O30" s="100">
        <f>SUMIFS(GERAL!$AE$8:$AE32,GERAL!$A$8:$A32,A30,GERAL!$BM$8:$BM32,$L$3)</f>
        <v>0</v>
      </c>
      <c r="P30" s="100">
        <f>SUMIFS(GERAL!$AJ$8:$AJ32,GERAL!$A$8:$A32,A30,GERAL!$BM$8:$BM32,$L$3)</f>
        <v>0</v>
      </c>
      <c r="Q30" s="100">
        <f>SUMIFS(GERAL!$AN$8:$AN32,GERAL!$A$8:$A32,A30,GERAL!$BM$8:$BM32,$L$3)</f>
        <v>0</v>
      </c>
      <c r="R30" s="100">
        <f>SUMIFS(GERAL!$AR$8:$AR32,GERAL!$A$8:$A32,A30,GERAL!$BM$8:$BM32,$L$3)</f>
        <v>0</v>
      </c>
      <c r="S30" s="100">
        <f>SUMIFS(GERAL!$AW$8:$AW32,GERAL!$A$8:$A32,A30,GERAL!$BM$8:$BM32,$L$3)</f>
        <v>0</v>
      </c>
      <c r="T30" s="103">
        <f t="shared" si="5"/>
        <v>0</v>
      </c>
      <c r="U30" s="75">
        <f>COUNTIFS(GERAL!$A$8:$A32,A30,GERAL!$BM$8:$BM32,"QUILOMBOLAS",GERAL!$C$8:$C32,"ESCOLA")</f>
        <v>0</v>
      </c>
      <c r="V30" s="75">
        <f>COUNTIFS(GERAL!$A$8:$A32,A30,GERAL!$BM$8:$BM32,"QUILOMBOLAS",GERAL!$C$8:$C32,"ANEXO")</f>
        <v>0</v>
      </c>
      <c r="W30" s="85">
        <f>SUMIFS(GERAL!$Z$8:$Z32,GERAL!$A$8:$A32,A30,GERAL!$BM$8:$BM32,$U$3)</f>
        <v>0</v>
      </c>
      <c r="X30" s="85">
        <f>SUMIFS(GERAL!$AE$8:$AE32,GERAL!$A$8:$A32,A30,GERAL!$BM$8:$BM32,$U$3)</f>
        <v>0</v>
      </c>
      <c r="Y30" s="85">
        <f>SUMIFS(GERAL!$AJ$8:$AJ32,GERAL!$A$8:$A32,A30,GERAL!$BM$8:$BM32,$U$3)</f>
        <v>0</v>
      </c>
      <c r="Z30" s="85">
        <f>SUMIFS(GERAL!$AN$8:$AN32,GERAL!$A$8:$A32,A30,GERAL!$BM$8:$BM32,$U$3)</f>
        <v>0</v>
      </c>
      <c r="AA30" s="85">
        <f>SUMIFS(GERAL!$AR$8:$AR32,GERAL!$A$8:$A32,A30,GERAL!$BM$8:$BM32,$U$3)</f>
        <v>0</v>
      </c>
      <c r="AB30" s="85">
        <f>SUMIFS(GERAL!$AW$8:$AW32,GERAL!$A$8:$A32,A30,GERAL!$BM$8:$BM32,$U$3)</f>
        <v>0</v>
      </c>
      <c r="AC30" s="88">
        <f t="shared" si="6"/>
        <v>0</v>
      </c>
      <c r="AD30" s="116">
        <f>COUNTIFS(GERAL!$A$8:$A32,A30,GERAL!$BM$8:$BM32,"ASSENTAMENTOS",GERAL!$C$8:$C32,"ESCOLA")</f>
        <v>0</v>
      </c>
      <c r="AE30" s="118">
        <f>COUNTIFS(GERAL!$A$8:$A32,A30,GERAL!$BM$8:$BM32,"ASSENTAMENTOS",GERAL!$C$8:$C32,"ANEXO")</f>
        <v>0</v>
      </c>
      <c r="AF30" s="121">
        <f>SUMIFS(GERAL!$Z$8:$Z32,GERAL!$A$8:$A32,A30,GERAL!$BM$8:$BM32,$AD$3)</f>
        <v>0</v>
      </c>
      <c r="AG30" s="121">
        <f>SUMIFS(GERAL!$AE$8:$AE32,GERAL!$A$8:$A32,A30,GERAL!$BM$8:$BM32,$AD$3)
</f>
        <v>0</v>
      </c>
      <c r="AH30" s="121">
        <f>SUMIFS(GERAL!$AJ$8:$AJ32,GERAL!$A$8:$A32,A30,GERAL!$BM$8:$BM32,$AD$3)</f>
        <v>0</v>
      </c>
      <c r="AI30" s="121">
        <f>SUMIFS(GERAL!$AN$8:$AN32,GERAL!$A$8:$A32,A30,GERAL!$BM$8:$BM32,$AD$3)</f>
        <v>0</v>
      </c>
      <c r="AJ30" s="121">
        <f>SUMIFS(GERAL!$AR$8:$AR32,GERAL!$A$8:$A32,A30,GERAL!$BM$8:$BM32,$AD$3)</f>
        <v>0</v>
      </c>
      <c r="AK30" s="121">
        <f>SUMIFS(GERAL!$AW$8:$AW32,GERAL!$A$8:$A32,A30,GERAL!$BM$8:$BM32,$AD$3)</f>
        <v>0</v>
      </c>
      <c r="AL30" s="124">
        <f t="shared" si="7"/>
        <v>0</v>
      </c>
      <c r="AM30" s="116">
        <f>COUNTIFS(GERAL!$A$8:$A32,A30,GERAL!$BM$8:$BM32,"CAMPO",GERAL!$C$8:$C32,"ESCOLA")</f>
        <v>4</v>
      </c>
      <c r="AN30" s="118">
        <f>COUNTIFS(GERAL!$A$8:$A32,A30,GERAL!$BM$8:$BM32,"CAMPO",GERAL!$C$8:$C32,"ANEXO")</f>
        <v>4</v>
      </c>
      <c r="AO30" s="121">
        <f>SUMIFS(GERAL!$Z$8:$Z32,GERAL!$A$8:$A32,A30,GERAL!$BM$8:$BM32,$AM$3)</f>
        <v>0</v>
      </c>
      <c r="AP30" s="121">
        <f>SUMIFS(GERAL!$AE$8:$AE32,GERAL!$A$8:$A32,A30,GERAL!$BM$8:$BM32,$AM$3)</f>
        <v>0</v>
      </c>
      <c r="AQ30" s="121">
        <f>SUMIFS(GERAL!$AJ$8:$AJ32,GERAL!$A$8:$A32,A30,GERAL!$BM$8:$BM32,$AM$3)</f>
        <v>735</v>
      </c>
      <c r="AR30" s="121">
        <f>SUMIFS(GERAL!$AN$8:$AN32,GERAL!$A$8:$A32,A30,GERAL!$BM$8:$BM32,$AM$3)</f>
        <v>0</v>
      </c>
      <c r="AS30" s="121">
        <f>SUMIFS(GERAL!$AR$8:$AR32,GERAL!$A$8:$A32,A30,GERAL!$BM$8:$BM32,$AM$3)</f>
        <v>274</v>
      </c>
      <c r="AT30" s="121">
        <f>SUMIFS(GERAL!$AW$8:$AW32,GERAL!$A$8:$A32,A30,GERAL!$BM$8:$BM32,$AM$3)</f>
        <v>2172</v>
      </c>
      <c r="AU30" s="124">
        <f t="shared" si="8"/>
        <v>3181</v>
      </c>
      <c r="AV30" s="116">
        <f>COUNTIFS(GERAL!$A$8:$A32,A30,GERAL!$AX$8:$AX32,"&gt;0",GERAL!$BM$8:$BM32,"EFA",GERAL!$C$8:$C32,"EFA")</f>
        <v>1</v>
      </c>
      <c r="AW30" s="121">
        <f>SUMIFS(GERAL!$AW$8:$AW32,GERAL!$A$8:$A32,A30,GERAL!$BM$8:$BM32,$AV$3)</f>
        <v>0</v>
      </c>
      <c r="AX30" s="121">
        <f>SUMIFS(GERAL!$AE$8:$AE32,GERAL!$A$8:$A32,A30,GERAL!$BM$8:$BM32,$AV$3)</f>
        <v>0</v>
      </c>
      <c r="AY30" s="121">
        <f>SUMIFS(GERAL!$AJ$8:$AJ32,GERAL!$A$8:$A32,A30,GERAL!$BM$8:$BM32,$AV$3)</f>
        <v>167</v>
      </c>
      <c r="AZ30" s="121">
        <f>SUMIFS(GERAL!$AN$8:$AN32,GERAL!$A$8:$A32,A30,GERAL!$BM$8:$BM32,$AV$3)</f>
        <v>0</v>
      </c>
      <c r="BA30" s="121">
        <f>SUMIFS(GERAL!$AR$8:$AR32,GERAL!$A$8:$A32,A30,GERAL!$BM$8:$BM32,$AV$3)</f>
        <v>0</v>
      </c>
      <c r="BB30" s="121">
        <f>SUMIFS(GERAL!$AW$8:$AW32,GERAL!$A$8:$A32,A30,GERAL!$BM$8:$BM32,$AV$3)</f>
        <v>0</v>
      </c>
      <c r="BC30" s="134">
        <f t="shared" si="9"/>
        <v>167</v>
      </c>
    </row>
    <row r="31">
      <c r="A31" s="151" t="s">
        <v>1842</v>
      </c>
      <c r="B31" s="75">
        <f t="shared" ref="B31:C31" si="59">SUM(L31,U31,AD31,AM31)</f>
        <v>5</v>
      </c>
      <c r="C31" s="75">
        <f t="shared" si="59"/>
        <v>25</v>
      </c>
      <c r="D31" s="75">
        <f>COUNTIFS(GERAL!A$8:A$1696,A31,GERAL!C$8:C$1696,"EFA")</f>
        <v>0</v>
      </c>
      <c r="E31" s="85">
        <f t="shared" si="11"/>
        <v>0</v>
      </c>
      <c r="F31" s="85">
        <f t="shared" ref="F31:K31" si="60">SUM(O31,X31,AG31,AP31,AX31)</f>
        <v>0</v>
      </c>
      <c r="G31" s="85">
        <f t="shared" si="60"/>
        <v>1350</v>
      </c>
      <c r="H31" s="85">
        <f t="shared" si="60"/>
        <v>0</v>
      </c>
      <c r="I31" s="85">
        <f t="shared" si="60"/>
        <v>769</v>
      </c>
      <c r="J31" s="85">
        <f t="shared" si="60"/>
        <v>10</v>
      </c>
      <c r="K31" s="88">
        <f t="shared" si="60"/>
        <v>2129</v>
      </c>
      <c r="L31" s="95">
        <f>COUNTIFS(GERAL!$A$8:$A32,A31,GERAL!$BM$8:$BM32,"INDÍGENAS",GERAL!$C$8:$C32,"ESCOLA")</f>
        <v>3</v>
      </c>
      <c r="M31" s="75">
        <f>COUNTIFS(GERAL!$A$8:$A32,A31,GERAL!$BM$8:$BM32,"INDÍGENAS",GERAL!$C$8:$C32,"ANEXO")</f>
        <v>5</v>
      </c>
      <c r="N31" s="100">
        <f>SUMIFS(GERAL!$Z$8:$Z32,GERAL!$A$8:$A32,A31,GERAL!$BM$8:$BM32,$L$3)</f>
        <v>0</v>
      </c>
      <c r="O31" s="100">
        <f>SUMIFS(GERAL!$AE$8:$AE32,GERAL!$A$8:$A32,A31,GERAL!$BM$8:$BM32,$L$3)</f>
        <v>0</v>
      </c>
      <c r="P31" s="100">
        <f>SUMIFS(GERAL!$AJ$8:$AJ32,GERAL!$A$8:$A32,A31,GERAL!$BM$8:$BM32,$L$3)</f>
        <v>711</v>
      </c>
      <c r="Q31" s="100">
        <f>SUMIFS(GERAL!$AN$8:$AN32,GERAL!$A$8:$A32,A31,GERAL!$BM$8:$BM32,$L$3)</f>
        <v>0</v>
      </c>
      <c r="R31" s="100">
        <f>SUMIFS(GERAL!$AR$8:$AR32,GERAL!$A$8:$A32,A31,GERAL!$BM$8:$BM32,$L$3)</f>
        <v>0</v>
      </c>
      <c r="S31" s="100">
        <f>SUMIFS(GERAL!$AW$8:$AW32,GERAL!$A$8:$A32,A31,GERAL!$BM$8:$BM32,$L$3)</f>
        <v>10</v>
      </c>
      <c r="T31" s="103">
        <f t="shared" si="5"/>
        <v>721</v>
      </c>
      <c r="U31" s="75">
        <f>COUNTIFS(GERAL!$A$8:$A32,A31,GERAL!$BM$8:$BM32,"QUILOMBOLAS",GERAL!$C$8:$C32,"ESCOLA")</f>
        <v>0</v>
      </c>
      <c r="V31" s="75">
        <f>COUNTIFS(GERAL!$A$8:$A32,A31,GERAL!$BM$8:$BM32,"QUILOMBOLAS",GERAL!$C$8:$C32,"ANEXO")</f>
        <v>0</v>
      </c>
      <c r="W31" s="85">
        <f>SUMIFS(GERAL!$Z$8:$Z32,GERAL!$A$8:$A32,A31,GERAL!$BM$8:$BM32,$U$3)</f>
        <v>0</v>
      </c>
      <c r="X31" s="85">
        <f>SUMIFS(GERAL!$AE$8:$AE32,GERAL!$A$8:$A32,A31,GERAL!$BM$8:$BM32,$U$3)</f>
        <v>0</v>
      </c>
      <c r="Y31" s="85">
        <f>SUMIFS(GERAL!$AJ$8:$AJ32,GERAL!$A$8:$A32,A31,GERAL!$BM$8:$BM32,$U$3)</f>
        <v>0</v>
      </c>
      <c r="Z31" s="85">
        <f>SUMIFS(GERAL!$AN$8:$AN32,GERAL!$A$8:$A32,A31,GERAL!$BM$8:$BM32,$U$3)</f>
        <v>0</v>
      </c>
      <c r="AA31" s="85">
        <f>SUMIFS(GERAL!$AR$8:$AR32,GERAL!$A$8:$A32,A31,GERAL!$BM$8:$BM32,$U$3)</f>
        <v>0</v>
      </c>
      <c r="AB31" s="85">
        <f>SUMIFS(GERAL!$AW$8:$AW32,GERAL!$A$8:$A32,A31,GERAL!$BM$8:$BM32,$U$3)</f>
        <v>0</v>
      </c>
      <c r="AC31" s="88">
        <f t="shared" si="6"/>
        <v>0</v>
      </c>
      <c r="AD31" s="116">
        <f>COUNTIFS(GERAL!$A$8:$A32,A31,GERAL!$BM$8:$BM32,"ASSENTAMENTOS",GERAL!$C$8:$C32,"ESCOLA")</f>
        <v>0</v>
      </c>
      <c r="AE31" s="118">
        <f>COUNTIFS(GERAL!$A$8:$A32,A31,GERAL!$BM$8:$BM32,"ASSENTAMENTOS",GERAL!$C$8:$C32,"ANEXO")</f>
        <v>2</v>
      </c>
      <c r="AF31" s="121">
        <f>SUMIFS(GERAL!$Z$8:$Z32,GERAL!$A$8:$A32,A31,GERAL!$BM$8:$BM32,$AD$3)</f>
        <v>0</v>
      </c>
      <c r="AG31" s="121">
        <f>SUMIFS(GERAL!$AE$8:$AE32,GERAL!$A$8:$A32,A31,GERAL!$BM$8:$BM32,$AD$3)
</f>
        <v>0</v>
      </c>
      <c r="AH31" s="121">
        <f>SUMIFS(GERAL!$AJ$8:$AJ32,GERAL!$A$8:$A32,A31,GERAL!$BM$8:$BM32,$AD$3)</f>
        <v>0</v>
      </c>
      <c r="AI31" s="121">
        <f>SUMIFS(GERAL!$AN$8:$AN32,GERAL!$A$8:$A32,A31,GERAL!$BM$8:$BM32,$AD$3)</f>
        <v>0</v>
      </c>
      <c r="AJ31" s="121">
        <f>SUMIFS(GERAL!$AR$8:$AR32,GERAL!$A$8:$A32,A31,GERAL!$BM$8:$BM32,$AD$3)</f>
        <v>46</v>
      </c>
      <c r="AK31" s="121">
        <f>SUMIFS(GERAL!$AW$8:$AW32,GERAL!$A$8:$A32,A31,GERAL!$BM$8:$BM32,$AD$3)</f>
        <v>0</v>
      </c>
      <c r="AL31" s="124">
        <f t="shared" si="7"/>
        <v>46</v>
      </c>
      <c r="AM31" s="116">
        <f>COUNTIFS(GERAL!$A$8:$A32,A31,GERAL!$BM$8:$BM32,"CAMPO",GERAL!$C$8:$C32,"ESCOLA")</f>
        <v>2</v>
      </c>
      <c r="AN31" s="118">
        <f>COUNTIFS(GERAL!$A$8:$A32,A31,GERAL!$BM$8:$BM32,"CAMPO",GERAL!$C$8:$C32,"ANEXO")</f>
        <v>18</v>
      </c>
      <c r="AO31" s="121">
        <f>SUMIFS(GERAL!$Z$8:$Z32,GERAL!$A$8:$A32,A31,GERAL!$BM$8:$BM32,$AM$3)</f>
        <v>0</v>
      </c>
      <c r="AP31" s="121">
        <f>SUMIFS(GERAL!$AE$8:$AE32,GERAL!$A$8:$A32,A31,GERAL!$BM$8:$BM32,$AM$3)</f>
        <v>0</v>
      </c>
      <c r="AQ31" s="121">
        <f>SUMIFS(GERAL!$AJ$8:$AJ32,GERAL!$A$8:$A32,A31,GERAL!$BM$8:$BM32,$AM$3)</f>
        <v>639</v>
      </c>
      <c r="AR31" s="121">
        <f>SUMIFS(GERAL!$AN$8:$AN32,GERAL!$A$8:$A32,A31,GERAL!$BM$8:$BM32,$AM$3)</f>
        <v>0</v>
      </c>
      <c r="AS31" s="121">
        <f>SUMIFS(GERAL!$AR$8:$AR32,GERAL!$A$8:$A32,A31,GERAL!$BM$8:$BM32,$AM$3)</f>
        <v>723</v>
      </c>
      <c r="AT31" s="121">
        <f>SUMIFS(GERAL!$AW$8:$AW32,GERAL!$A$8:$A32,A31,GERAL!$BM$8:$BM32,$AM$3)</f>
        <v>0</v>
      </c>
      <c r="AU31" s="124">
        <f t="shared" si="8"/>
        <v>1362</v>
      </c>
      <c r="AV31" s="116">
        <f>COUNTIFS(GERAL!$A$8:$A32,A31,GERAL!$AX$8:$AX32,"&gt;0",GERAL!$BM$8:$BM32,"EFA",GERAL!$C$8:$C32,"EFA")</f>
        <v>0</v>
      </c>
      <c r="AW31" s="121">
        <f>SUMIFS(GERAL!$AW$8:$AW32,GERAL!$A$8:$A32,A31,GERAL!$BM$8:$BM32,$AV$3)</f>
        <v>0</v>
      </c>
      <c r="AX31" s="121">
        <f>SUMIFS(GERAL!$AE$8:$AE32,GERAL!$A$8:$A32,A31,GERAL!$BM$8:$BM32,$AV$3)</f>
        <v>0</v>
      </c>
      <c r="AY31" s="121">
        <f>SUMIFS(GERAL!$AJ$8:$AJ32,GERAL!$A$8:$A32,A31,GERAL!$BM$8:$BM32,$AV$3)</f>
        <v>0</v>
      </c>
      <c r="AZ31" s="121">
        <f>SUMIFS(GERAL!$AN$8:$AN32,GERAL!$A$8:$A32,A31,GERAL!$BM$8:$BM32,$AV$3)</f>
        <v>0</v>
      </c>
      <c r="BA31" s="121">
        <f>SUMIFS(GERAL!$AR$8:$AR32,GERAL!$A$8:$A32,A31,GERAL!$BM$8:$BM32,$AV$3)</f>
        <v>0</v>
      </c>
      <c r="BB31" s="121">
        <f>SUMIFS(GERAL!$AW$8:$AW32,GERAL!$A$8:$A32,A31,GERAL!$BM$8:$BM32,$AV$3)</f>
        <v>0</v>
      </c>
      <c r="BC31" s="134">
        <f t="shared" si="9"/>
        <v>0</v>
      </c>
    </row>
    <row r="32">
      <c r="A32" s="250" t="s">
        <v>142</v>
      </c>
      <c r="B32" s="251">
        <f t="shared" ref="B32:S32" si="61">SUM(B5:B31)</f>
        <v>176</v>
      </c>
      <c r="C32" s="251">
        <f t="shared" si="61"/>
        <v>363</v>
      </c>
      <c r="D32" s="251">
        <f t="shared" si="61"/>
        <v>33</v>
      </c>
      <c r="E32" s="251">
        <f t="shared" si="61"/>
        <v>903</v>
      </c>
      <c r="F32" s="251">
        <f t="shared" si="61"/>
        <v>6546</v>
      </c>
      <c r="G32" s="251">
        <f t="shared" si="61"/>
        <v>43085</v>
      </c>
      <c r="H32" s="251">
        <f t="shared" si="61"/>
        <v>854</v>
      </c>
      <c r="I32" s="251">
        <f t="shared" si="61"/>
        <v>13258</v>
      </c>
      <c r="J32" s="251">
        <f t="shared" si="61"/>
        <v>8443</v>
      </c>
      <c r="K32" s="252">
        <f t="shared" si="61"/>
        <v>73089</v>
      </c>
      <c r="L32" s="253">
        <f t="shared" si="61"/>
        <v>32</v>
      </c>
      <c r="M32" s="251">
        <f t="shared" si="61"/>
        <v>39</v>
      </c>
      <c r="N32" s="251">
        <f t="shared" si="61"/>
        <v>903</v>
      </c>
      <c r="O32" s="251">
        <f t="shared" si="61"/>
        <v>3765</v>
      </c>
      <c r="P32" s="251">
        <f t="shared" si="61"/>
        <v>1469</v>
      </c>
      <c r="Q32" s="251">
        <f t="shared" si="61"/>
        <v>706</v>
      </c>
      <c r="R32" s="251">
        <f t="shared" si="61"/>
        <v>553</v>
      </c>
      <c r="S32" s="251">
        <f t="shared" si="61"/>
        <v>75</v>
      </c>
      <c r="T32" s="254">
        <f t="shared" si="5"/>
        <v>7471</v>
      </c>
      <c r="U32" s="251">
        <f t="shared" ref="U32:BC32" si="62">SUM(U5:U31)</f>
        <v>9</v>
      </c>
      <c r="V32" s="251">
        <f t="shared" si="62"/>
        <v>30</v>
      </c>
      <c r="W32" s="251">
        <f t="shared" si="62"/>
        <v>0</v>
      </c>
      <c r="X32" s="251">
        <f t="shared" si="62"/>
        <v>290</v>
      </c>
      <c r="Y32" s="251">
        <f t="shared" si="62"/>
        <v>2188</v>
      </c>
      <c r="Z32" s="251">
        <f t="shared" si="62"/>
        <v>0</v>
      </c>
      <c r="AA32" s="251">
        <f t="shared" si="62"/>
        <v>536</v>
      </c>
      <c r="AB32" s="251">
        <f t="shared" si="62"/>
        <v>780</v>
      </c>
      <c r="AC32" s="251">
        <f t="shared" si="62"/>
        <v>3794</v>
      </c>
      <c r="AD32" s="253">
        <f t="shared" si="62"/>
        <v>6</v>
      </c>
      <c r="AE32" s="253">
        <f t="shared" si="62"/>
        <v>12</v>
      </c>
      <c r="AF32" s="253">
        <f t="shared" si="62"/>
        <v>0</v>
      </c>
      <c r="AG32" s="253">
        <f t="shared" si="62"/>
        <v>27</v>
      </c>
      <c r="AH32" s="253">
        <f t="shared" si="62"/>
        <v>224</v>
      </c>
      <c r="AI32" s="251">
        <f t="shared" si="62"/>
        <v>8</v>
      </c>
      <c r="AJ32" s="251">
        <f t="shared" si="62"/>
        <v>303</v>
      </c>
      <c r="AK32" s="251">
        <f t="shared" si="62"/>
        <v>448</v>
      </c>
      <c r="AL32" s="252">
        <f t="shared" si="62"/>
        <v>1010</v>
      </c>
      <c r="AM32" s="252">
        <f t="shared" si="62"/>
        <v>129</v>
      </c>
      <c r="AN32" s="252">
        <f t="shared" si="62"/>
        <v>282</v>
      </c>
      <c r="AO32" s="252">
        <f t="shared" si="62"/>
        <v>0</v>
      </c>
      <c r="AP32" s="255">
        <f t="shared" si="62"/>
        <v>1142</v>
      </c>
      <c r="AQ32" s="256">
        <f t="shared" si="62"/>
        <v>35507</v>
      </c>
      <c r="AR32" s="256">
        <f t="shared" si="62"/>
        <v>140</v>
      </c>
      <c r="AS32" s="256">
        <f t="shared" si="62"/>
        <v>11866</v>
      </c>
      <c r="AT32" s="256">
        <f t="shared" si="62"/>
        <v>7140</v>
      </c>
      <c r="AU32" s="256">
        <f t="shared" si="62"/>
        <v>55795</v>
      </c>
      <c r="AV32" s="256">
        <f t="shared" si="62"/>
        <v>33</v>
      </c>
      <c r="AW32" s="256">
        <f t="shared" si="62"/>
        <v>0</v>
      </c>
      <c r="AX32" s="256">
        <f t="shared" si="62"/>
        <v>1322</v>
      </c>
      <c r="AY32" s="256">
        <f t="shared" si="62"/>
        <v>3697</v>
      </c>
      <c r="AZ32" s="256">
        <f t="shared" si="62"/>
        <v>0</v>
      </c>
      <c r="BA32" s="256">
        <f t="shared" si="62"/>
        <v>0</v>
      </c>
      <c r="BB32" s="256">
        <f t="shared" si="62"/>
        <v>0</v>
      </c>
      <c r="BC32" s="257">
        <f t="shared" si="62"/>
        <v>5019</v>
      </c>
    </row>
  </sheetData>
  <mergeCells count="11">
    <mergeCell ref="U3:AC3"/>
    <mergeCell ref="AD3:AL3"/>
    <mergeCell ref="AM3:AU3"/>
    <mergeCell ref="AV3:BC3"/>
    <mergeCell ref="B1:K1"/>
    <mergeCell ref="L1:AU1"/>
    <mergeCell ref="A2:A4"/>
    <mergeCell ref="B2:T2"/>
    <mergeCell ref="U2:BC2"/>
    <mergeCell ref="B3:K3"/>
    <mergeCell ref="L3:T3"/>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1.57"/>
    <col customWidth="1" min="2" max="4" width="9.43"/>
    <col customWidth="1" min="5" max="11" width="11.43"/>
    <col customWidth="1" min="12" max="13" width="9.43"/>
  </cols>
  <sheetData>
    <row r="1" ht="57.0" customHeight="1">
      <c r="A1" s="8"/>
      <c r="B1" s="12" t="s">
        <v>5</v>
      </c>
      <c r="L1" s="16"/>
      <c r="AS1" s="16"/>
      <c r="AT1" s="16"/>
      <c r="AU1" s="16"/>
      <c r="AV1" s="16"/>
      <c r="AW1" s="16"/>
      <c r="AX1" s="16"/>
      <c r="AY1" s="16"/>
      <c r="AZ1" s="16"/>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154"/>
      <c r="CL1" s="154"/>
      <c r="CM1" s="154"/>
    </row>
    <row r="2">
      <c r="A2" s="24" t="s">
        <v>2</v>
      </c>
      <c r="B2" s="26" t="s">
        <v>14</v>
      </c>
      <c r="C2" s="2"/>
      <c r="D2" s="2"/>
      <c r="E2" s="2"/>
      <c r="F2" s="2"/>
      <c r="G2" s="2"/>
      <c r="H2" s="2"/>
      <c r="I2" s="2"/>
      <c r="J2" s="2"/>
      <c r="K2" s="2"/>
      <c r="L2" s="2"/>
      <c r="M2" s="2"/>
      <c r="N2" s="2"/>
      <c r="O2" s="2"/>
      <c r="P2" s="2"/>
      <c r="Q2" s="2"/>
      <c r="R2" s="2"/>
      <c r="S2" s="2"/>
      <c r="T2" s="2"/>
      <c r="U2" s="30"/>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3"/>
      <c r="CK2" s="26"/>
      <c r="CL2" s="2"/>
      <c r="CM2" s="3"/>
    </row>
    <row r="3">
      <c r="A3" s="32"/>
      <c r="B3" s="34" t="s">
        <v>330</v>
      </c>
      <c r="C3" s="2"/>
      <c r="D3" s="2"/>
      <c r="E3" s="2"/>
      <c r="F3" s="2"/>
      <c r="G3" s="2"/>
      <c r="H3" s="2"/>
      <c r="I3" s="2"/>
      <c r="J3" s="2"/>
      <c r="K3" s="35"/>
      <c r="L3" s="36" t="s">
        <v>144</v>
      </c>
      <c r="M3" s="2"/>
      <c r="N3" s="2"/>
      <c r="O3" s="2"/>
      <c r="P3" s="2"/>
      <c r="Q3" s="2"/>
      <c r="R3" s="2"/>
      <c r="S3" s="2"/>
      <c r="T3" s="35"/>
      <c r="U3" s="37" t="s">
        <v>145</v>
      </c>
      <c r="V3" s="2"/>
      <c r="W3" s="2"/>
      <c r="X3" s="2"/>
      <c r="Y3" s="2"/>
      <c r="Z3" s="2"/>
      <c r="AA3" s="3"/>
      <c r="AB3" s="38" t="s">
        <v>338</v>
      </c>
      <c r="AC3" s="2"/>
      <c r="AD3" s="2"/>
      <c r="AE3" s="2"/>
      <c r="AF3" s="2"/>
      <c r="AG3" s="2"/>
      <c r="AH3" s="2"/>
      <c r="AI3" s="2"/>
      <c r="AJ3" s="3"/>
      <c r="AK3" s="39" t="s">
        <v>64</v>
      </c>
      <c r="AL3" s="40"/>
      <c r="AM3" s="40"/>
      <c r="AN3" s="40"/>
      <c r="AO3" s="40"/>
      <c r="AP3" s="40"/>
      <c r="AQ3" s="40"/>
      <c r="AR3" s="41"/>
      <c r="AS3" s="38" t="s">
        <v>348</v>
      </c>
      <c r="AT3" s="40"/>
      <c r="AU3" s="40"/>
      <c r="AV3" s="40"/>
      <c r="AW3" s="40"/>
      <c r="AX3" s="40"/>
      <c r="AY3" s="40"/>
      <c r="AZ3" s="40"/>
      <c r="BA3" s="41"/>
      <c r="BB3" s="39" t="s">
        <v>78</v>
      </c>
      <c r="BC3" s="40"/>
      <c r="BD3" s="40"/>
      <c r="BE3" s="40"/>
      <c r="BF3" s="40"/>
      <c r="BG3" s="40"/>
      <c r="BH3" s="40"/>
      <c r="BI3" s="41"/>
      <c r="BJ3" s="155" t="s">
        <v>351</v>
      </c>
      <c r="BN3" s="39" t="s">
        <v>61</v>
      </c>
      <c r="BO3" s="40"/>
      <c r="BP3" s="40"/>
      <c r="BQ3" s="40"/>
      <c r="BR3" s="40"/>
      <c r="BS3" s="40"/>
      <c r="BT3" s="40"/>
      <c r="BU3" s="41"/>
      <c r="BV3" s="39" t="s">
        <v>57</v>
      </c>
      <c r="BW3" s="40"/>
      <c r="BX3" s="40"/>
      <c r="BY3" s="40"/>
      <c r="BZ3" s="40"/>
      <c r="CA3" s="40"/>
      <c r="CB3" s="40"/>
      <c r="CC3" s="41"/>
      <c r="CD3" s="157" t="s">
        <v>55</v>
      </c>
      <c r="CK3" s="158" t="s">
        <v>227</v>
      </c>
      <c r="CL3" s="40"/>
      <c r="CM3" s="41"/>
    </row>
    <row r="4">
      <c r="A4" s="42"/>
      <c r="B4" s="43" t="s">
        <v>50</v>
      </c>
      <c r="C4" s="43" t="s">
        <v>53</v>
      </c>
      <c r="D4" s="43" t="s">
        <v>54</v>
      </c>
      <c r="E4" s="43" t="s">
        <v>55</v>
      </c>
      <c r="F4" s="43" t="s">
        <v>57</v>
      </c>
      <c r="G4" s="43" t="s">
        <v>59</v>
      </c>
      <c r="H4" s="43" t="s">
        <v>61</v>
      </c>
      <c r="I4" s="43" t="s">
        <v>62</v>
      </c>
      <c r="J4" s="43" t="s">
        <v>64</v>
      </c>
      <c r="K4" s="46" t="s">
        <v>65</v>
      </c>
      <c r="L4" s="48" t="s">
        <v>68</v>
      </c>
      <c r="M4" s="50" t="s">
        <v>72</v>
      </c>
      <c r="N4" s="159" t="s">
        <v>74</v>
      </c>
      <c r="O4" s="159" t="s">
        <v>75</v>
      </c>
      <c r="P4" s="159" t="s">
        <v>365</v>
      </c>
      <c r="Q4" s="159" t="s">
        <v>77</v>
      </c>
      <c r="R4" s="159" t="s">
        <v>367</v>
      </c>
      <c r="S4" s="159" t="s">
        <v>79</v>
      </c>
      <c r="T4" s="53" t="s">
        <v>80</v>
      </c>
      <c r="U4" s="54" t="s">
        <v>82</v>
      </c>
      <c r="V4" s="43" t="s">
        <v>84</v>
      </c>
      <c r="W4" s="43" t="s">
        <v>370</v>
      </c>
      <c r="X4" s="43" t="s">
        <v>90</v>
      </c>
      <c r="Y4" s="43" t="s">
        <v>371</v>
      </c>
      <c r="Z4" s="43" t="s">
        <v>92</v>
      </c>
      <c r="AA4" s="46" t="s">
        <v>93</v>
      </c>
      <c r="AB4" s="161" t="s">
        <v>372</v>
      </c>
      <c r="AC4" s="162" t="s">
        <v>374</v>
      </c>
      <c r="AD4" s="162" t="s">
        <v>376</v>
      </c>
      <c r="AE4" s="163" t="s">
        <v>377</v>
      </c>
      <c r="AF4" s="163" t="s">
        <v>380</v>
      </c>
      <c r="AG4" s="163" t="s">
        <v>87</v>
      </c>
      <c r="AH4" s="163" t="s">
        <v>382</v>
      </c>
      <c r="AI4" s="163" t="s">
        <v>103</v>
      </c>
      <c r="AJ4" s="164" t="s">
        <v>104</v>
      </c>
      <c r="AK4" s="165" t="s">
        <v>94</v>
      </c>
      <c r="AL4" s="58" t="s">
        <v>95</v>
      </c>
      <c r="AM4" s="43" t="s">
        <v>384</v>
      </c>
      <c r="AN4" s="43" t="s">
        <v>385</v>
      </c>
      <c r="AO4" s="43" t="s">
        <v>144</v>
      </c>
      <c r="AP4" s="43" t="s">
        <v>145</v>
      </c>
      <c r="AQ4" s="43" t="s">
        <v>338</v>
      </c>
      <c r="AR4" s="43" t="s">
        <v>142</v>
      </c>
      <c r="AS4" s="161" t="s">
        <v>387</v>
      </c>
      <c r="AT4" s="162" t="s">
        <v>388</v>
      </c>
      <c r="AU4" s="162" t="s">
        <v>389</v>
      </c>
      <c r="AV4" s="163" t="s">
        <v>390</v>
      </c>
      <c r="AW4" s="163" t="s">
        <v>393</v>
      </c>
      <c r="AX4" s="163" t="s">
        <v>395</v>
      </c>
      <c r="AY4" s="163" t="s">
        <v>396</v>
      </c>
      <c r="AZ4" s="163" t="s">
        <v>397</v>
      </c>
      <c r="BA4" s="164" t="s">
        <v>398</v>
      </c>
      <c r="BB4" s="166" t="s">
        <v>399</v>
      </c>
      <c r="BC4" s="43" t="s">
        <v>400</v>
      </c>
      <c r="BD4" s="43" t="s">
        <v>401</v>
      </c>
      <c r="BE4" s="43" t="s">
        <v>402</v>
      </c>
      <c r="BF4" s="43" t="s">
        <v>403</v>
      </c>
      <c r="BG4" s="43" t="s">
        <v>404</v>
      </c>
      <c r="BH4" s="43" t="s">
        <v>405</v>
      </c>
      <c r="BI4" s="46" t="s">
        <v>406</v>
      </c>
      <c r="BJ4" s="48" t="s">
        <v>407</v>
      </c>
      <c r="BK4" s="159" t="s">
        <v>408</v>
      </c>
      <c r="BL4" s="159" t="s">
        <v>409</v>
      </c>
      <c r="BM4" s="159" t="s">
        <v>410</v>
      </c>
      <c r="BN4" s="166" t="s">
        <v>68</v>
      </c>
      <c r="BO4" s="43" t="s">
        <v>72</v>
      </c>
      <c r="BP4" s="43" t="s">
        <v>54</v>
      </c>
      <c r="BQ4" s="43" t="s">
        <v>377</v>
      </c>
      <c r="BR4" s="43" t="s">
        <v>380</v>
      </c>
      <c r="BS4" s="43" t="s">
        <v>144</v>
      </c>
      <c r="BT4" s="43" t="s">
        <v>145</v>
      </c>
      <c r="BU4" s="46" t="s">
        <v>142</v>
      </c>
      <c r="BV4" s="166" t="s">
        <v>372</v>
      </c>
      <c r="BW4" s="43" t="s">
        <v>374</v>
      </c>
      <c r="BX4" s="43" t="s">
        <v>376</v>
      </c>
      <c r="BY4" s="43" t="s">
        <v>384</v>
      </c>
      <c r="BZ4" s="43" t="s">
        <v>385</v>
      </c>
      <c r="CA4" s="43" t="s">
        <v>395</v>
      </c>
      <c r="CB4" s="43" t="s">
        <v>396</v>
      </c>
      <c r="CC4" s="46" t="s">
        <v>398</v>
      </c>
      <c r="CD4" s="166" t="s">
        <v>387</v>
      </c>
      <c r="CE4" s="43" t="s">
        <v>388</v>
      </c>
      <c r="CF4" s="43" t="s">
        <v>389</v>
      </c>
      <c r="CG4" s="43" t="s">
        <v>390</v>
      </c>
      <c r="CH4" s="43" t="s">
        <v>393</v>
      </c>
      <c r="CI4" s="43" t="s">
        <v>404</v>
      </c>
      <c r="CJ4" s="46" t="s">
        <v>406</v>
      </c>
      <c r="CK4" s="48" t="s">
        <v>399</v>
      </c>
      <c r="CL4" s="159" t="s">
        <v>400</v>
      </c>
      <c r="CM4" s="159" t="s">
        <v>65</v>
      </c>
    </row>
    <row r="5">
      <c r="A5" s="64" t="s">
        <v>130</v>
      </c>
      <c r="B5" s="75">
        <f>COUNTIFS(GERAL!$A$8:$A32,A5,GERAL!$C$8:$C32,"ESCOLA")</f>
        <v>32</v>
      </c>
      <c r="C5" s="75">
        <f>COUNTIFS(GERAL!A$8:A$1696,A5,GERAL!C$8:C$1696,"ANEXO")</f>
        <v>23</v>
      </c>
      <c r="D5" s="75">
        <f>COUNTIFS(GERAL!A$8:A$1696,A5,GERAL!C$8:C$1696,"EFA")</f>
        <v>0</v>
      </c>
      <c r="E5" s="85">
        <f>SUMIF(GERAL!A$8:A$1696,A5,GERAL!Z$8:Z$1696)</f>
        <v>0</v>
      </c>
      <c r="F5" s="85">
        <f>SUMIF(GERAL!A$8:A$1696,A5,GERAL!AE$8:AE$1696)</f>
        <v>0</v>
      </c>
      <c r="G5" s="85">
        <f>SUMIF(GERAL!A$8:A$1696,A5,GERAL!AJ$8:AJ$1696)</f>
        <v>10722</v>
      </c>
      <c r="H5" s="85">
        <f>SUMIF(GERAL!A$8:A$1696,A5,GERAL!AN$8:AN$1696)</f>
        <v>0</v>
      </c>
      <c r="I5" s="85">
        <f>SUMIF(GERAL!A$8:A$1696,A5,GERAL!AR$8:AW$1696)</f>
        <v>1829</v>
      </c>
      <c r="J5" s="85">
        <f>SUMIF(GERAL!A$8:A$1696,A5,GERAL!AW$8:AW$1696)</f>
        <v>4450</v>
      </c>
      <c r="K5" s="88">
        <f>SUMIF(GERAL!A$8:A$1696,A5,GERAL!AX$8:AX$1696)</f>
        <v>17001</v>
      </c>
      <c r="L5" s="95">
        <f>COUNTIFS(GERAL!A$8:A$1696,A5,GERAL!AY$8:AY$1696,"&gt;0",GERAL!C$8:C$1696,"ESCOLA")</f>
        <v>29</v>
      </c>
      <c r="M5" s="75">
        <f>COUNTIFS(GERAL!A$8:A$1696,A5,GERAL!AY$8:AY$1696,"&gt;0",GERAL!C$8:C$1696,"ANEXO")</f>
        <v>7</v>
      </c>
      <c r="N5" s="100">
        <f>SUMIF(GERAL!A$8:A$1696,A5,GERAL!V$8:V$1696)+SUMIF(GERAL!A$8:A$1696,A5,GERAL!W$8:W$1696)</f>
        <v>0</v>
      </c>
      <c r="O5" s="100">
        <f>SUMIF(GERAL!A$8:A$1696,A5,GERAL!AA$8:AA$1696)+SUMIF(GERAL!A$8:A$1696,A5,GERAL!AB$8:AB$1696)</f>
        <v>0</v>
      </c>
      <c r="P5" s="100">
        <f>SUMIF(GERAL!A$8:A$1696,A5,GERAL!AF$8:AF$1696)+SUMIF(GERAL!A$8:A$1696,A5,GERAL!AG$8:AG$1696)</f>
        <v>3902</v>
      </c>
      <c r="Q5" s="100">
        <f>SUMIF(GERAL!A$8:A$1696,A5,GERAL!AK$8:AK$1696)+SUMIF(GERAL!A$8:A$1696,A5,GERAL!AL$8:AL$1696)</f>
        <v>0</v>
      </c>
      <c r="R5" s="100">
        <f>SUMIF(GERAL!A$8:A$1696,A5,GERAL!AO$8:AO$1696)+SUMIF(GERAL!A$8:A$1696,A5,GERAL!AP$8:AP$1696)</f>
        <v>78</v>
      </c>
      <c r="S5" s="100">
        <f>SUMIF(GERAL!A$8:A$1696,A5,GERAL!AS$8:AS$1696)+SUMIF(GERAL!A$8:A$1696,A5,GERAL!AT$8:AT$1696)</f>
        <v>2412</v>
      </c>
      <c r="T5" s="103">
        <f t="shared" ref="T5:T32" si="1">SUM(N5:S5)</f>
        <v>6392</v>
      </c>
      <c r="U5" s="75">
        <f>COUNTIFS(GERAL!A$8:A$1696,A5,GERAL!AZ$8:AZ$1696,"&gt;0",GERAL!C$8:C$1696,"ESCOLA")</f>
        <v>28</v>
      </c>
      <c r="V5" s="75">
        <f>COUNTIFS(GERAL!A$8:A$1696,A5,GERAL!AZ$8:AZ$1696,"&gt;0",GERAL!C$8:C$1696,"ANEXO")</f>
        <v>21</v>
      </c>
      <c r="W5" s="85">
        <f>SUMIF(GERAL!A$8:A$1696,A5,GERAL!AH$8:AH$1696)</f>
        <v>862</v>
      </c>
      <c r="X5" s="85">
        <f>SUMIF(GERAL!A$8:A$1696,A5,GERAL!AM$8:AM$1696)</f>
        <v>0</v>
      </c>
      <c r="Y5" s="85">
        <f>SUMIF(GERAL!A$8:A$1696,A5,GERAL!AQ$8:AQ$1696)</f>
        <v>1751</v>
      </c>
      <c r="Z5" s="85">
        <f>SUMIF(GERAL!A$8:A$1696,A5,GERAL!AU$8:AU$1696)</f>
        <v>943</v>
      </c>
      <c r="AA5" s="88">
        <f t="shared" ref="AA5:AA31" si="2">SUM(W5:Z5)</f>
        <v>3556</v>
      </c>
      <c r="AB5" s="116">
        <f>COUNTIFS(GERAL!A$8:A$1696,A5,GERAL!BK$8:BK$1696,"&gt;0",GERAL!C$8:C$1696,"ESCOLA")</f>
        <v>19</v>
      </c>
      <c r="AC5" s="118">
        <f>COUNTIFS(GERAL!A$8:A$1696,A5,GERAL!BK$8:BK$1696,"&gt;0",GERAL!C$8:C$1696,"ANEXO")</f>
        <v>0</v>
      </c>
      <c r="AD5" s="118">
        <f>COUNTIFS(GERAL!A$8:A$1696,A5,GERAL!BK$8:BK$1696,"&gt;0",GERAL!C$8:C$1696,"EFA")</f>
        <v>0</v>
      </c>
      <c r="AE5" s="118">
        <f>COUNTIFS('BALANÇO POR MUNICIPIOS'!$AF$18:$AF$434,"&gt;0",'BALANÇO POR MUNICIPIOS'!$AM$18:$AM$434,A5)</f>
        <v>16</v>
      </c>
      <c r="AF5" s="118">
        <f>COUNTIFS('BALANÇO POR MUNICIPIOS'!$AF$18:$AF$434,"=0",'BALANÇO POR MUNICIPIOS'!$AM$18:$AM$434,A5)</f>
        <v>4</v>
      </c>
      <c r="AG5" s="121">
        <f>SUMIF(GERAL!A$8:A$1696,A5,GERAL!AD$8:AD$1696)</f>
        <v>0</v>
      </c>
      <c r="AH5" s="121">
        <f>SUMIF(GERAL!A$8:A$1696,A5,GERAL!AI$8:AI$1696)</f>
        <v>5958</v>
      </c>
      <c r="AI5" s="121">
        <f>SUMIF(GERAL!A$8:A$1696,A5,GERAL!AV$8:AV$1696)</f>
        <v>1095</v>
      </c>
      <c r="AJ5" s="124">
        <f t="shared" ref="AJ5:AJ31" si="3">SUM(AG5:AI5)</f>
        <v>7053</v>
      </c>
      <c r="AK5" s="116">
        <f>COUNTIFS(GERAL!A$8:A$1696,A5,GERAL!AW$8:AW$1696,"&gt;0",GERAL!C$8:C$1696,"ESCOLA")</f>
        <v>21</v>
      </c>
      <c r="AL5" s="118">
        <f>COUNTIFS(GERAL!A$8:A$1696,A5,GERAL!AW$8:AW$1696,"&gt;0",GERAL!C$8:C$1696,"ANEXO")</f>
        <v>0</v>
      </c>
      <c r="AM5" s="118">
        <f>COUNTIFS('BALANÇO POR MUNICIPIOS'!$AL$18:$AL$434,"&gt;0",'BALANÇO POR MUNICIPIOS'!$AM$18:$AM$434,A5)</f>
        <v>20</v>
      </c>
      <c r="AN5" s="118">
        <f>COUNTIFS('BALANÇO POR MUNICIPIOS'!$AL$18:$AL$434,"=0",'BALANÇO POR MUNICIPIOS'!$AM$18:$AM$434,A5)</f>
        <v>0</v>
      </c>
      <c r="AO5" s="176">
        <f>SUMIF(GERAL!A$8:A$1696,A5,GERAL!AS$8:AS$1696)+SUMIF(GERAL!A$8:A$1696,A5,GERAL!AT$8:AT$1696)</f>
        <v>2412</v>
      </c>
      <c r="AP5" s="176">
        <f>SUMIF(GERAL!A$8:A$1696,A5,GERAL!AU$8:AU$1696)</f>
        <v>943</v>
      </c>
      <c r="AQ5" s="176">
        <f>SUMIF(GERAL!A$8:A$1696,A5,GERAL!AV$8:AV$1696)</f>
        <v>1095</v>
      </c>
      <c r="AR5" s="177">
        <f>SUMIF(GERAL!A$8:A$1696,A5,GERAL!AW$8:AW$1696)</f>
        <v>4450</v>
      </c>
      <c r="AS5" s="116">
        <f>COUNTIFS(GERAL!A$8:A$1696,A5,GERAL!AJ$8:AJ$1696,"&gt;0",GERAL!C$8:C$1696,"ESCOLA")</f>
        <v>27</v>
      </c>
      <c r="AT5" s="118">
        <f>COUNTIFS(GERAL!A$8:A$1696,A5,GERAL!AJ$8:AJ$1696,"&gt;0",GERAL!C$8:C$1696,"ANEXO")</f>
        <v>21</v>
      </c>
      <c r="AU5" s="118">
        <f>COUNTIFS(GERAL!A$8:A$1696,A5,GERAL!AJ$8:AJ$1696,"&gt;0",GERAL!C$8:C$1696,"EFA")</f>
        <v>0</v>
      </c>
      <c r="AV5" s="118">
        <f>COUNTIFS('BALANÇO POR MUNICIPIOS'!$F$18:$F$434,"&gt;0",'BALANÇO POR MUNICIPIOS'!$AM$18:$AM$434,A5)</f>
        <v>20</v>
      </c>
      <c r="AW5" s="178">
        <f>COUNTIFS('BALANÇO POR MUNICIPIOS'!$F$18:$F$434,"=0",'BALANÇO POR MUNICIPIOS'!$AM$18:$AM$434,A5)</f>
        <v>0</v>
      </c>
      <c r="AX5" s="177">
        <f>SUMIF(GERAL!A$8:A$1696,A5,GERAL!AF$8:AF$1696)+SUMIF(GERAL!A$8:A$1696,A5,GERAL!AG$8:AG$1696)</f>
        <v>3902</v>
      </c>
      <c r="AY5" s="177">
        <f>SUMIF(GERAL!A$8:A$1696,A5,GERAL!AH$8:AH$1696)</f>
        <v>862</v>
      </c>
      <c r="AZ5" s="177">
        <f>SUMIF(GERAL!A$8:A$1696,A5,GERAL!AI$8:AI$1696)</f>
        <v>5958</v>
      </c>
      <c r="BA5" s="134">
        <f>SUMIF(GERAL!A$8:A$1696,A5,GERAL!AJ$8:AJ$1696)</f>
        <v>10722</v>
      </c>
      <c r="BB5" s="116">
        <f>COUNTIFS(GERAL!A$8:A$1696,A5,GERAL!AR$8:AR$1696,"&gt;0",GERAL!C$8:C$1696,"ESCOLA")</f>
        <v>23</v>
      </c>
      <c r="BC5" s="118">
        <f>COUNTIFS(GERAL!A$8:A$1696,A5,GERAL!AR$8:AR$1696,"&gt;0",GERAL!C$8:C$1696,"ANEXO")</f>
        <v>2</v>
      </c>
      <c r="BD5" s="118">
        <f>COUNTIFS(GERAL!A$8:A$1696,A5,GERAL!AR$8:AR$1696,"&gt;0",GERAL!C$8:C$1696,"EFA")</f>
        <v>0</v>
      </c>
      <c r="BE5" s="118">
        <f>COUNTIFS('BALANÇO POR MUNICIPIOS'!$H$18:$H$434,"&gt;0",'BALANÇO POR MUNICIPIOS'!$AM$18:$AM$434,A5)</f>
        <v>19</v>
      </c>
      <c r="BF5" s="118">
        <f>COUNTIFS('BALANÇO POR MUNICIPIOS'!$H$18:$H$434,"=0",'BALANÇO POR MUNICIPIOS'!$AM$18:$AM$434,A5)</f>
        <v>1</v>
      </c>
      <c r="BG5" s="177">
        <f>SUMIF(GERAL!A$8:A$1696,A5,GERAL!AO$8:AO$1696)+SUMIF(GERAL!A$8:A$1696,A5,GERAL!AP$8:AP$1696)</f>
        <v>78</v>
      </c>
      <c r="BH5" s="177">
        <f>SUMIF(GERAL!A$8:A$1696,A5,GERAL!AQ$8:AQ$1696)</f>
        <v>1751</v>
      </c>
      <c r="BI5" s="124">
        <f>SUMIF(GERAL!A$8:A$1696,A5,GERAL!AR$8:AR$1696)</f>
        <v>1829</v>
      </c>
      <c r="BJ5" s="116">
        <f>COUNTIFS(GERAL!A$8:A$1696,A5,GERAL!AR$8:AR$1696,"&gt;0",GERAL!AJ$8:AJ$1696,"&gt;0",GERAL!C$8:C$1696,"ESCOLA")</f>
        <v>23</v>
      </c>
      <c r="BK5" s="118">
        <f>COUNTIFS(GERAL!A$8:A$1696,A5,GERAL!AR$8:AR$1696,"&gt;0",GERAL!AJ$8:AJ$1696,"&gt;0",GERAL!C$8:C$1696,"ANEXO")</f>
        <v>0</v>
      </c>
      <c r="BL5" s="118">
        <f>COUNTIFS('BALANÇO POR MUNICIPIOS'!$AM$18:$AM$434,A5,'BALANÇO POR MUNICIPIOS'!$H$18:$H$434,"&gt;0",'BALANÇO POR MUNICIPIOS'!$F$18:$F$434,"&gt;0")</f>
        <v>19</v>
      </c>
      <c r="BM5" s="118">
        <f t="shared" ref="BM5:BM31" si="4">SUM(BA5,BI5)</f>
        <v>12551</v>
      </c>
      <c r="BN5" s="116">
        <f>COUNTIFS(GERAL!A$8:A$1696,A5,GERAL!AN$8:AN$1696,"&gt;0",GERAL!C$8:C$1696,"ESCOLA")</f>
        <v>0</v>
      </c>
      <c r="BO5" s="118">
        <f>COUNTIFS(GERAL!A$8:A$1696,A5,GERAL!AN$8:AN$1696,"&gt;0",GERAL!C$8:C$1696,"ANEXO")</f>
        <v>0</v>
      </c>
      <c r="BP5" s="118">
        <f>COUNTIFS(GERAL!A$8:A$1696,A5,GERAL!AN$8:AN$1696,"&gt;0",GERAL!C$8:C$1696,"EFA")</f>
        <v>0</v>
      </c>
      <c r="BQ5" s="118">
        <f>COUNTIFS('BALANÇO POR MUNICIPIOS'!$G$18:$G$434,"&gt;0",'BALANÇO POR MUNICIPIOS'!$AM$18:$AM$434,A5)</f>
        <v>0</v>
      </c>
      <c r="BR5" s="118">
        <f>COUNTIFS('BALANÇO POR MUNICIPIOS'!$G$18:$G$434,"=0",'BALANÇO POR MUNICIPIOS'!$AM$18:$AM$434,A5)</f>
        <v>20</v>
      </c>
      <c r="BS5" s="177">
        <f>SUMIF(GERAL!A$8:A$1696,A5,GERAL!AK$8:AK$1696)+SUMIF(GERAL!A$8:A$1696,A5,GERAL!AL$8:AL$1696)</f>
        <v>0</v>
      </c>
      <c r="BT5" s="177">
        <f>SUMIF(GERAL!A$8:A$1696,A5,GERAL!AM$8:AM$1696)</f>
        <v>0</v>
      </c>
      <c r="BU5" s="118">
        <f>SUMIF(GERAL!A$8:A$1696,A5,GERAL!AN$8:AN$1696)</f>
        <v>0</v>
      </c>
      <c r="BV5" s="118">
        <f>COUNTIFS(GERAL!A$8:A$1696,A5,GERAL!AE$8:AE$1696,"&gt;0",GERAL!C$8:C$1696,"ESCOLA")</f>
        <v>0</v>
      </c>
      <c r="BW5" s="118">
        <f>COUNTIFS(GERAL!A$8:A$1696,A5,GERAL!AE$8:AE$1696,"&gt;0",GERAL!C$8:C$1696,"ANEXO")</f>
        <v>0</v>
      </c>
      <c r="BX5" s="118">
        <f>COUNTIFS(GERAL!A$8:A$1696,A5,GERAL!AE$8:AE$1696,"&gt;0",GERAL!C$8:C$1696,"EFA")</f>
        <v>0</v>
      </c>
      <c r="BY5" s="177">
        <f>COUNTIFS('BALANÇO POR MUNICIPIOS'!$E$18:$E$434,"&gt;0",'BALANÇO POR MUNICIPIOS'!$AM$18:$AM$434,A5)</f>
        <v>0</v>
      </c>
      <c r="BZ5" s="177">
        <f>COUNTIFS('BALANÇO POR MUNICIPIOS'!$E$18:$E$434,"=0",'BALANÇO POR MUNICIPIOS'!$AM$18:$AM$434,A5)</f>
        <v>20</v>
      </c>
      <c r="CA5" s="182">
        <f>SUMIF(GERAL!A$8:A$1696,A5,GERAL!AA$8:AA$1696)+SUMIF(GERAL!A$8:A$1696,A5,GERAL!AB$8:AB$1696)</f>
        <v>0</v>
      </c>
      <c r="CB5" s="177">
        <f>SUMIF(GERAL!A$8:A$1696,A5,GERAL!AC$8:AC$1696)</f>
        <v>0</v>
      </c>
      <c r="CC5" s="118">
        <f>SUMIF(GERAL!A$8:A$1696,A5,GERAL!AE$8:AE$1696)</f>
        <v>0</v>
      </c>
      <c r="CD5" s="118">
        <f>COUNTIFS(GERAL!A$8:A$1696,A5,GERAL!Z$8:Z$1696,"&gt;0",GERAL!C$8:C$1696,"ESCOLA")</f>
        <v>0</v>
      </c>
      <c r="CE5" s="118">
        <f>COUNTIFS(GERAL!A$8:A$1696,A5,GERAL!Z$8:Z$1696,"&gt;0",GERAL!C$8:C$1696,"ANEXO")</f>
        <v>0</v>
      </c>
      <c r="CF5" s="118">
        <f>COUNTIFS(GERAL!A$8:A$1696,A5,GERAL!Z$8:Z$1696,"&gt;0",GERAL!C$8:C$1696,"EFA")</f>
        <v>0</v>
      </c>
      <c r="CG5" s="177">
        <f>COUNTIFS('BALANÇO POR MUNICIPIOS'!$D$18:$D$434,"&gt;0",'BALANÇO POR MUNICIPIOS'!$AM$18:$AM$434,A5)</f>
        <v>0</v>
      </c>
      <c r="CH5" s="177">
        <f>COUNTIFS('BALANÇO POR MUNICIPIOS'!$D$18:$D$434,"=0",'BALANÇO POR MUNICIPIOS'!$AM$18:$AM$434,A5)</f>
        <v>20</v>
      </c>
      <c r="CI5" s="177">
        <f>SUMIF(GERAL!A$8:A$1696,A5,GERAL!V$8:V$1696)+SUMIF(GERAL!A$8:A$1696,A5,GERAL!W$8:W$1696)</f>
        <v>0</v>
      </c>
      <c r="CJ5" s="118">
        <f>SUMIF(GERAL!A$8:A$1696,A5,GERAL!Z$8:Z$1696)</f>
        <v>0</v>
      </c>
      <c r="CK5" s="118">
        <f>COUNTIFS(GERAL!$A$8:$A32,A5,GERAL!$BD$8:$BD32,"CEMIT",GERAL!$C$8:$C32,"ESCOLA")</f>
        <v>1</v>
      </c>
      <c r="CL5" s="118">
        <f>COUNTIFS(GERAL!$A$8:$A32,A5,GERAL!$BD$8:$BD32,"CEMIT",GERAL!$C$8:$C32,"ANEXO")</f>
        <v>20</v>
      </c>
      <c r="CM5" s="118">
        <f>SUMIFS(GERAL!$BB$8:$BB32,GERAL!$A$8:$A32,A5,GERAL!$BD$8:$BD32,"CEMIT")</f>
        <v>994</v>
      </c>
    </row>
    <row r="6">
      <c r="A6" s="135" t="s">
        <v>205</v>
      </c>
      <c r="B6" s="75">
        <f>COUNTIFS(GERAL!$A$8:$A32,A6,GERAL!$C$8:$C32,"ESCOLA")</f>
        <v>30</v>
      </c>
      <c r="C6" s="75">
        <f>COUNTIFS(GERAL!A$8:A$1696,A6,GERAL!C$8:C$1696,"ANEXO")</f>
        <v>69</v>
      </c>
      <c r="D6" s="75">
        <f>COUNTIFS(GERAL!A$8:A$1696,A6,GERAL!C$8:C$1696,"EFA")</f>
        <v>4</v>
      </c>
      <c r="E6" s="85">
        <f>SUMIF(GERAL!A$8:A$1696,A6,GERAL!Z$8:Z$1696)</f>
        <v>29</v>
      </c>
      <c r="F6" s="85">
        <f>SUMIF(GERAL!A$8:A$1696,A6,GERAL!AE$8:AE$1696)</f>
        <v>450</v>
      </c>
      <c r="G6" s="85">
        <f>SUMIF(GERAL!A$8:A$1696,A6,GERAL!AJ$8:AJ$1696)</f>
        <v>12222</v>
      </c>
      <c r="H6" s="85">
        <f>SUMIF(GERAL!A$8:A$1696,A6,GERAL!AN$8:AN$1696)</f>
        <v>6</v>
      </c>
      <c r="I6" s="85">
        <f>SUMIF(GERAL!A$8:A$1696,A6,GERAL!AR$8:AW$1696)</f>
        <v>2277</v>
      </c>
      <c r="J6" s="85">
        <f>SUMIF(GERAL!A$8:A$1696,A6,GERAL!AW$8:AW$1696)</f>
        <v>2322</v>
      </c>
      <c r="K6" s="88">
        <f>SUMIF(GERAL!A$8:A$1696,A6,GERAL!AX$8:AX$1696)</f>
        <v>17306</v>
      </c>
      <c r="L6" s="95">
        <f>COUNTIFS(GERAL!A$8:A$1696,A6,GERAL!AY$8:AY$1696,"&gt;0",GERAL!C$8:C$1696,"ESCOLA")</f>
        <v>28</v>
      </c>
      <c r="M6" s="75">
        <f>COUNTIFS(GERAL!A$8:A$1696,A6,GERAL!AY$8:AY$1696,"&gt;0",GERAL!C$8:C$1696,"ANEXO")</f>
        <v>40</v>
      </c>
      <c r="N6" s="100">
        <f>SUMIF(GERAL!A$8:A$1696,A6,GERAL!V$8:V$1696)+SUMIF(GERAL!A$8:A$1696,A6,GERAL!W$8:W$1696)</f>
        <v>29</v>
      </c>
      <c r="O6" s="100">
        <f>SUMIF(GERAL!A$8:A$1696,A6,GERAL!AA$8:AA$1696)+SUMIF(GERAL!A$8:A$1696,A6,GERAL!AB$8:AB$1696)</f>
        <v>450</v>
      </c>
      <c r="P6" s="100">
        <f>SUMIF(GERAL!A$8:A$1696,A6,GERAL!AF$8:AF$1696)+SUMIF(GERAL!A$8:A$1696,A6,GERAL!AG$8:AG$1696)</f>
        <v>8182</v>
      </c>
      <c r="Q6" s="100">
        <f>SUMIF(GERAL!A$8:A$1696,A6,GERAL!AK$8:AK$1696)+SUMIF(GERAL!A$8:A$1696,A6,GERAL!AL$8:AL$1696)</f>
        <v>0</v>
      </c>
      <c r="R6" s="100">
        <f>SUMIF(GERAL!A$8:A$1696,A6,GERAL!AO$8:AO$1696)+SUMIF(GERAL!A$8:A$1696,A6,GERAL!AP$8:AP$1696)</f>
        <v>0</v>
      </c>
      <c r="S6" s="100">
        <f>SUMIF(GERAL!A$8:A$1696,A6,GERAL!AS$8:AS$1696)+SUMIF(GERAL!A$8:A$1696,A6,GERAL!AT$8:AT$1696)</f>
        <v>807</v>
      </c>
      <c r="T6" s="103">
        <f t="shared" si="1"/>
        <v>9468</v>
      </c>
      <c r="U6" s="75">
        <f>COUNTIFS(GERAL!A$8:A$1696,A6,GERAL!AZ$8:AZ$1696,"&gt;0",GERAL!C$8:C$1696,"ESCOLA")</f>
        <v>27</v>
      </c>
      <c r="V6" s="75">
        <f>COUNTIFS(GERAL!A$8:A$1696,A6,GERAL!AZ$8:AZ$1696,"&gt;0",GERAL!C$8:C$1696,"ANEXO")</f>
        <v>49</v>
      </c>
      <c r="W6" s="85">
        <f>SUMIF(GERAL!A$8:A$1696,A6,GERAL!AH$8:AH$1696)</f>
        <v>876</v>
      </c>
      <c r="X6" s="85">
        <f>SUMIF(GERAL!A$8:A$1696,A6,GERAL!AM$8:AM$1696)</f>
        <v>6</v>
      </c>
      <c r="Y6" s="85">
        <f>SUMIF(GERAL!A$8:A$1696,A6,GERAL!AQ$8:AQ$1696)</f>
        <v>2277</v>
      </c>
      <c r="Z6" s="85">
        <f>SUMIF(GERAL!A$8:A$1696,A6,GERAL!AU$8:AU$1696)</f>
        <v>418</v>
      </c>
      <c r="AA6" s="88">
        <f t="shared" si="2"/>
        <v>3577</v>
      </c>
      <c r="AB6" s="116">
        <f>COUNTIFS(GERAL!A$8:A$1696,A6,GERAL!BK$8:BK$1696,"&gt;0",GERAL!C$8:C$1696,"ESCOLA")</f>
        <v>22</v>
      </c>
      <c r="AC6" s="118">
        <f>COUNTIFS(GERAL!A$8:A$1696,A6,GERAL!BK$8:BK$1696,"&gt;0",GERAL!C$8:C$1696,"ANEXO")</f>
        <v>0</v>
      </c>
      <c r="AD6" s="118">
        <f>COUNTIFS(GERAL!A$8:A$1696,A6,GERAL!BK$8:BK$1696,"&gt;0",GERAL!C$8:C$1696,"EFA")</f>
        <v>4</v>
      </c>
      <c r="AE6" s="118">
        <f>COUNTIFS('BALANÇO POR MUNICIPIOS'!$AF$18:$AF$434,"&gt;0",'BALANÇO POR MUNICIPIOS'!$AM$18:$AM$434,A6)</f>
        <v>16</v>
      </c>
      <c r="AF6" s="118">
        <f>COUNTIFS('BALANÇO POR MUNICIPIOS'!$AF$18:$AF$434,"=0",'BALANÇO POR MUNICIPIOS'!$AM$18:$AM$434,A6)</f>
        <v>0</v>
      </c>
      <c r="AG6" s="121">
        <f>SUMIF(GERAL!A$8:A$1696,A6,GERAL!AD$8:AD$1696)</f>
        <v>0</v>
      </c>
      <c r="AH6" s="121">
        <f>SUMIF(GERAL!A$8:A$1696,A6,GERAL!AI$8:AI$1696)</f>
        <v>3164</v>
      </c>
      <c r="AI6" s="121">
        <f>SUMIF(GERAL!A$8:A$1696,A6,GERAL!AV$8:AV$1696)</f>
        <v>1097</v>
      </c>
      <c r="AJ6" s="124">
        <f t="shared" si="3"/>
        <v>4261</v>
      </c>
      <c r="AK6" s="116">
        <f>COUNTIFS(GERAL!A$8:A$1696,A6,GERAL!AW$8:AW$1696,"&gt;0",GERAL!C$8:C$1696,"ESCOLA")</f>
        <v>19</v>
      </c>
      <c r="AL6" s="118">
        <f>COUNTIFS(GERAL!A$8:A$1696,A6,GERAL!AW$8:AW$1696,"&gt;0",GERAL!C$8:C$1696,"ANEXO")</f>
        <v>0</v>
      </c>
      <c r="AM6" s="118">
        <f>COUNTIFS('BALANÇO POR MUNICIPIOS'!$AL$18:$AL$434,"&gt;0",'BALANÇO POR MUNICIPIOS'!$AM$18:$AM$434,A6)</f>
        <v>16</v>
      </c>
      <c r="AN6" s="118">
        <f>COUNTIFS('BALANÇO POR MUNICIPIOS'!$AL$18:$AL$434,"=0",'BALANÇO POR MUNICIPIOS'!$AM$18:$AM$434,A6)</f>
        <v>0</v>
      </c>
      <c r="AO6" s="176">
        <f>SUMIF(GERAL!A$8:A$1696,A6,GERAL!AS$8:AS$1696)+SUMIF(GERAL!A$8:A$1696,A6,GERAL!AT$8:AT$1696)</f>
        <v>807</v>
      </c>
      <c r="AP6" s="176">
        <f>SUMIF(GERAL!A$8:A$1696,A6,GERAL!AU$8:AU$1696)</f>
        <v>418</v>
      </c>
      <c r="AQ6" s="176">
        <f>SUMIF(GERAL!A$8:A$1696,A6,GERAL!AV$8:AV$1696)</f>
        <v>1097</v>
      </c>
      <c r="AR6" s="177">
        <f>SUMIF(GERAL!A$8:A$1696,A6,GERAL!AW$8:AW$1696)</f>
        <v>2322</v>
      </c>
      <c r="AS6" s="116">
        <f>COUNTIFS(GERAL!A$8:A$1696,A6,GERAL!AJ$8:AJ$1696,"&gt;0",GERAL!C$8:C$1696,"ESCOLA")</f>
        <v>26</v>
      </c>
      <c r="AT6" s="118">
        <f>COUNTIFS(GERAL!A$8:A$1696,A6,GERAL!AJ$8:AJ$1696,"&gt;0",GERAL!C$8:C$1696,"ANEXO")</f>
        <v>52</v>
      </c>
      <c r="AU6" s="118">
        <f>COUNTIFS(GERAL!A$8:A$1696,A6,GERAL!AJ$8:AJ$1696,"&gt;0",GERAL!C$8:C$1696,"EFA")</f>
        <v>4</v>
      </c>
      <c r="AV6" s="118">
        <f>COUNTIFS('BALANÇO POR MUNICIPIOS'!$F$18:$F$434,"&gt;0",'BALANÇO POR MUNICIPIOS'!$AM$18:$AM$434,A6)</f>
        <v>16</v>
      </c>
      <c r="AW6" s="178">
        <f>COUNTIFS('BALANÇO POR MUNICIPIOS'!$F$18:$F$434,"=0",'BALANÇO POR MUNICIPIOS'!$AM$18:$AM$434,A6)</f>
        <v>0</v>
      </c>
      <c r="AX6" s="177">
        <f>SUMIF(GERAL!A$8:A$1696,A6,GERAL!AF$8:AF$1696)+SUMIF(GERAL!A$8:A$1696,A6,GERAL!AG$8:AG$1696)</f>
        <v>8182</v>
      </c>
      <c r="AY6" s="177">
        <f>SUMIF(GERAL!A$8:A$1696,A6,GERAL!AH$8:AH$1696)</f>
        <v>876</v>
      </c>
      <c r="AZ6" s="177">
        <f>SUMIF(GERAL!A$8:A$1696,A6,GERAL!AI$8:AI$1696)</f>
        <v>3164</v>
      </c>
      <c r="BA6" s="134">
        <f>SUMIF(GERAL!A$8:A$1696,A6,GERAL!AJ$8:AJ$1696)</f>
        <v>12222</v>
      </c>
      <c r="BB6" s="116">
        <f>COUNTIFS(GERAL!A$8:A$1696,A6,GERAL!AR$8:AR$1696,"&gt;0",GERAL!C$8:C$1696,"ESCOLA")</f>
        <v>25</v>
      </c>
      <c r="BC6" s="118">
        <f>COUNTIFS(GERAL!A$8:A$1696,A6,GERAL!AR$8:AR$1696,"&gt;0",GERAL!C$8:C$1696,"ANEXO")</f>
        <v>24</v>
      </c>
      <c r="BD6" s="118">
        <f>COUNTIFS(GERAL!A$8:A$1696,A6,GERAL!AR$8:AR$1696,"&gt;0",GERAL!C$8:C$1696,"EFA")</f>
        <v>0</v>
      </c>
      <c r="BE6" s="118">
        <f>COUNTIFS('BALANÇO POR MUNICIPIOS'!$H$18:$H$434,"&gt;0",'BALANÇO POR MUNICIPIOS'!$AM$18:$AM$434,A6)</f>
        <v>16</v>
      </c>
      <c r="BF6" s="118">
        <f>COUNTIFS('BALANÇO POR MUNICIPIOS'!$H$18:$H$434,"=0",'BALANÇO POR MUNICIPIOS'!$AM$18:$AM$434,A6)</f>
        <v>0</v>
      </c>
      <c r="BG6" s="177">
        <f>SUMIF(GERAL!A$8:A$1696,A6,GERAL!AO$8:AO$1696)+SUMIF(GERAL!A$8:A$1696,A6,GERAL!AP$8:AP$1696)</f>
        <v>0</v>
      </c>
      <c r="BH6" s="177">
        <f>SUMIF(GERAL!A$8:A$1696,A6,GERAL!AQ$8:AQ$1696)</f>
        <v>2277</v>
      </c>
      <c r="BI6" s="124">
        <f>SUMIF(GERAL!A$8:A$1696,A6,GERAL!AR$8:AR$1696)</f>
        <v>2277</v>
      </c>
      <c r="BJ6" s="116">
        <f>COUNTIFS(GERAL!A$8:A$1696,A6,GERAL!AR$8:AR$1696,"&gt;0",GERAL!AJ$8:AJ$1696,"&gt;0",GERAL!C$8:C$1696,"ESCOLA")</f>
        <v>25</v>
      </c>
      <c r="BK6" s="118">
        <f>COUNTIFS(GERAL!A$8:A$1696,A6,GERAL!AR$8:AR$1696,"&gt;0",GERAL!AJ$8:AJ$1696,"&gt;0",GERAL!C$8:C$1696,"ANEXO")</f>
        <v>7</v>
      </c>
      <c r="BL6" s="118">
        <f>COUNTIFS('BALANÇO POR MUNICIPIOS'!$AM$18:$AM$434,A6,'BALANÇO POR MUNICIPIOS'!$H$18:$H$434,"&gt;0",'BALANÇO POR MUNICIPIOS'!$F$18:$F$434,"&gt;0")</f>
        <v>16</v>
      </c>
      <c r="BM6" s="118">
        <f t="shared" si="4"/>
        <v>14499</v>
      </c>
      <c r="BN6" s="116">
        <f>COUNTIFS(GERAL!A$8:A$1696,A6,GERAL!AN$8:AN$1696,"&gt;0",GERAL!C$8:C$1696,"ESCOLA")</f>
        <v>1</v>
      </c>
      <c r="BO6" s="118">
        <f>COUNTIFS(GERAL!A$8:A$1696,A6,GERAL!AN$8:AN$1696,"&gt;0",GERAL!C$8:C$1696,"ANEXO")</f>
        <v>0</v>
      </c>
      <c r="BP6" s="118">
        <f>COUNTIFS(GERAL!A$8:A$1696,A6,GERAL!AN$8:AN$1696,"&gt;0",GERAL!C$8:C$1696,"EFA")</f>
        <v>0</v>
      </c>
      <c r="BQ6" s="118">
        <f>COUNTIFS('BALANÇO POR MUNICIPIOS'!$G$18:$G$434,"&gt;0",'BALANÇO POR MUNICIPIOS'!$AM$18:$AM$434,A6)</f>
        <v>1</v>
      </c>
      <c r="BR6" s="118">
        <f>COUNTIFS('BALANÇO POR MUNICIPIOS'!$G$18:$G$434,"=0",'BALANÇO POR MUNICIPIOS'!$AM$18:$AM$434,A6)</f>
        <v>15</v>
      </c>
      <c r="BS6" s="177">
        <f>SUMIF(GERAL!A$8:A$1696,A6,GERAL!AK$8:AK$1696)+SUMIF(GERAL!A$8:A$1696,A6,GERAL!AL$8:AL$1696)</f>
        <v>0</v>
      </c>
      <c r="BT6" s="177">
        <f>SUMIF(GERAL!A$8:A$1696,A6,GERAL!AM$8:AM$1696)</f>
        <v>6</v>
      </c>
      <c r="BU6" s="118">
        <f>SUMIF(GERAL!A$8:A$1696,A6,GERAL!AN$8:AN$1696)</f>
        <v>6</v>
      </c>
      <c r="BV6" s="207">
        <f>COUNTIFS(GERAL!A$8:A$1696,A6,GERAL!AE$8:AE$1696,"&gt;0",GERAL!C$8:C$1696,"ESCOLA")</f>
        <v>3</v>
      </c>
      <c r="BW6" s="207">
        <f>COUNTIFS(GERAL!A$8:A$1696,A6,GERAL!AE$8:AE$1696,"&gt;0",GERAL!C$8:C$1696,"ANEXO")</f>
        <v>0</v>
      </c>
      <c r="BX6" s="207">
        <f>COUNTIFS(GERAL!A$8:A$1696,A6,GERAL!AE$8:AE$1696,"&gt;0",GERAL!C$8:C$1696,"EFA")</f>
        <v>0</v>
      </c>
      <c r="BY6" s="177">
        <f>COUNTIFS('BALANÇO POR MUNICIPIOS'!$E$18:$E$434,"&gt;0",'BALANÇO POR MUNICIPIOS'!$AM$18:$AM$434,A6)</f>
        <v>3</v>
      </c>
      <c r="BZ6" s="177">
        <f>COUNTIFS('BALANÇO POR MUNICIPIOS'!$E$18:$E$434,"=0",'BALANÇO POR MUNICIPIOS'!$AM$18:$AM$434,A6)</f>
        <v>13</v>
      </c>
      <c r="CA6" s="177">
        <f>SUMIF(GERAL!A$8:A$1696,A6,GERAL!AA$8:AA$1696)+SUMIF(GERAL!A$8:A$1696,A6,GERAL!AB$8:AB$1696)</f>
        <v>450</v>
      </c>
      <c r="CB6" s="177">
        <f>SUMIF(GERAL!A$8:A$1696,A6,GERAL!AC$8:AC$1696)</f>
        <v>0</v>
      </c>
      <c r="CC6" s="118">
        <f>SUMIF(GERAL!A$8:A$1696,A6,GERAL!AE$8:AE$1696)</f>
        <v>450</v>
      </c>
      <c r="CD6" s="118">
        <f>COUNTIFS(GERAL!A$8:A$1696,A6,GERAL!Z$8:Z$1696,"&gt;0",GERAL!C$8:C$1696,"ESCOLA")</f>
        <v>2</v>
      </c>
      <c r="CE6" s="118">
        <f>COUNTIFS(GERAL!A$8:A$1696,A6,GERAL!Z$8:Z$1696,"&gt;0",GERAL!C$8:C$1696,"ANEXO")</f>
        <v>0</v>
      </c>
      <c r="CF6" s="118">
        <f>COUNTIFS(GERAL!A$8:A$1696,A6,GERAL!Z$8:Z$1696,"&gt;0",GERAL!C$8:C$1696,"EFA")</f>
        <v>0</v>
      </c>
      <c r="CG6" s="177">
        <f>COUNTIFS('BALANÇO POR MUNICIPIOS'!$D$18:$D$434,"&gt;0",'BALANÇO POR MUNICIPIOS'!$AM$18:$AM$434,A6)</f>
        <v>2</v>
      </c>
      <c r="CH6" s="177">
        <f>COUNTIFS('BALANÇO POR MUNICIPIOS'!$D$18:$D$434,"=0",'BALANÇO POR MUNICIPIOS'!$AM$18:$AM$434,A6)</f>
        <v>14</v>
      </c>
      <c r="CI6" s="177">
        <f>SUMIF(GERAL!A$8:A$1696,A6,GERAL!V$8:V$1696)+SUMIF(GERAL!A$8:A$1696,A6,GERAL!W$8:W$1696)</f>
        <v>29</v>
      </c>
      <c r="CJ6" s="118">
        <f>SUMIF(GERAL!A$8:A$1696,A6,GERAL!Z$8:Z$1696)</f>
        <v>29</v>
      </c>
      <c r="CK6" s="118">
        <f>COUNTIFS(GERAL!$A$8:$A32,A6,GERAL!$BD$8:$BD32,"CEMIT",GERAL!$C$8:$C32,"ESCOLA")</f>
        <v>2</v>
      </c>
      <c r="CL6" s="118">
        <f>COUNTIFS(GERAL!$A$8:$A32,A6,GERAL!$BD$8:$BD32,"CEMIT",GERAL!$C$8:$C32,"ANEXO")</f>
        <v>43</v>
      </c>
      <c r="CM6" s="118">
        <f>SUMIFS(GERAL!$BB$8:$BB32,GERAL!$A$8:$A32,A6,GERAL!$BD$8:$BD32,"CEMIT")</f>
        <v>2327</v>
      </c>
    </row>
    <row r="7" ht="17.25" customHeight="1">
      <c r="A7" s="151" t="s">
        <v>285</v>
      </c>
      <c r="B7" s="75">
        <f>COUNTIFS(GERAL!$A$8:$A32,A7,GERAL!$C$8:$C32,"ESCOLA")</f>
        <v>38</v>
      </c>
      <c r="C7" s="75">
        <f>COUNTIFS(GERAL!A$8:A$1696,A7,GERAL!C$8:C$1696,"ANEXO")</f>
        <v>39</v>
      </c>
      <c r="D7" s="75">
        <f>COUNTIFS(GERAL!A$8:A$1696,A7,GERAL!C$8:C$1696,"EFA")</f>
        <v>1</v>
      </c>
      <c r="E7" s="85">
        <f>SUMIF(GERAL!A$8:A$1696,A7,GERAL!Z$8:Z$1696)</f>
        <v>0</v>
      </c>
      <c r="F7" s="85">
        <f>SUMIF(GERAL!A$8:A$1696,A7,GERAL!AE$8:AE$1696)</f>
        <v>71</v>
      </c>
      <c r="G7" s="85">
        <f>SUMIF(GERAL!A$8:A$1696,A7,GERAL!AJ$8:AJ$1696)</f>
        <v>10961</v>
      </c>
      <c r="H7" s="85">
        <f>SUMIF(GERAL!A$8:A$1696,A7,GERAL!AN$8:AN$1696)</f>
        <v>0</v>
      </c>
      <c r="I7" s="85">
        <f>SUMIF(GERAL!A$8:A$1696,A7,GERAL!AR$8:AW$1696)</f>
        <v>2719</v>
      </c>
      <c r="J7" s="85">
        <f>SUMIF(GERAL!A$8:A$1696,A7,GERAL!AW$8:AW$1696)</f>
        <v>3496</v>
      </c>
      <c r="K7" s="88">
        <f>SUMIF(GERAL!A$8:A$1696,A7,GERAL!AX$8:AX$1696)</f>
        <v>17247</v>
      </c>
      <c r="L7" s="95">
        <f>COUNTIFS(GERAL!A$8:A$1696,A7,GERAL!AY$8:AY$1696,"&gt;0",GERAL!C$8:C$1696,"ESCOLA")</f>
        <v>36</v>
      </c>
      <c r="M7" s="75">
        <f>COUNTIFS(GERAL!A$8:A$1696,A7,GERAL!AY$8:AY$1696,"&gt;0",GERAL!C$8:C$1696,"ANEXO")</f>
        <v>22</v>
      </c>
      <c r="N7" s="100">
        <f>SUMIF(GERAL!A$8:A$1696,A7,GERAL!V$8:V$1696)+SUMIF(GERAL!A$8:A$1696,A7,GERAL!W$8:W$1696)</f>
        <v>0</v>
      </c>
      <c r="O7" s="100">
        <f>SUMIF(GERAL!A$8:A$1696,A7,GERAL!AA$8:AA$1696)+SUMIF(GERAL!A$8:A$1696,A7,GERAL!AB$8:AB$1696)</f>
        <v>0</v>
      </c>
      <c r="P7" s="100">
        <f>SUMIF(GERAL!A$8:A$1696,A7,GERAL!AF$8:AF$1696)+SUMIF(GERAL!A$8:A$1696,A7,GERAL!AG$8:AG$1696)</f>
        <v>5093</v>
      </c>
      <c r="Q7" s="100">
        <f>SUMIF(GERAL!A$8:A$1696,A7,GERAL!AK$8:AK$1696)+SUMIF(GERAL!A$8:A$1696,A7,GERAL!AL$8:AL$1696)</f>
        <v>0</v>
      </c>
      <c r="R7" s="100">
        <f>SUMIF(GERAL!A$8:A$1696,A7,GERAL!AO$8:AO$1696)+SUMIF(GERAL!A$8:A$1696,A7,GERAL!AP$8:AP$1696)</f>
        <v>0</v>
      </c>
      <c r="S7" s="100">
        <f>SUMIF(GERAL!A$8:A$1696,A7,GERAL!AS$8:AS$1696)+SUMIF(GERAL!A$8:A$1696,A7,GERAL!AT$8:AT$1696)</f>
        <v>1611</v>
      </c>
      <c r="T7" s="103">
        <f t="shared" si="1"/>
        <v>6704</v>
      </c>
      <c r="U7" s="75">
        <f>COUNTIFS(GERAL!A$8:A$1696,A7,GERAL!AZ$8:AZ$1696,"&gt;0",GERAL!C$8:C$1696,"ESCOLA")</f>
        <v>33</v>
      </c>
      <c r="V7" s="75">
        <f>COUNTIFS(GERAL!A$8:A$1696,A7,GERAL!AZ$8:AZ$1696,"&gt;0",GERAL!C$8:C$1696,"ANEXO")</f>
        <v>26</v>
      </c>
      <c r="W7" s="85">
        <f>SUMIF(GERAL!A$8:A$1696,A7,GERAL!AH$8:AH$1696)</f>
        <v>571</v>
      </c>
      <c r="X7" s="85">
        <f>SUMIF(GERAL!A$8:A$1696,A7,GERAL!AM$8:AM$1696)</f>
        <v>0</v>
      </c>
      <c r="Y7" s="85">
        <f>SUMIF(GERAL!A$8:A$1696,A7,GERAL!AQ$8:AQ$1696)</f>
        <v>2719</v>
      </c>
      <c r="Z7" s="85">
        <f>SUMIF(GERAL!A$8:A$1696,A7,GERAL!AU$8:AU$1696)</f>
        <v>850</v>
      </c>
      <c r="AA7" s="88">
        <f t="shared" si="2"/>
        <v>4140</v>
      </c>
      <c r="AB7" s="116">
        <f>COUNTIFS(GERAL!A$8:A$1696,A7,GERAL!BK$8:BK$1696,"&gt;0",GERAL!C$8:C$1696,"ESCOLA")</f>
        <v>29</v>
      </c>
      <c r="AC7" s="118">
        <f>COUNTIFS(GERAL!A$8:A$1696,A7,GERAL!BK$8:BK$1696,"&gt;0",GERAL!C$8:C$1696,"ANEXO")</f>
        <v>0</v>
      </c>
      <c r="AD7" s="118">
        <f>COUNTIFS(GERAL!A$8:A$1696,A7,GERAL!BK$8:BK$1696,"&gt;0",GERAL!C$8:C$1696,"EFA")</f>
        <v>1</v>
      </c>
      <c r="AE7" s="118">
        <f>COUNTIFS('BALANÇO POR MUNICIPIOS'!$AF$18:$AF$434,"&gt;0",'BALANÇO POR MUNICIPIOS'!$AM$18:$AM$434,A7)</f>
        <v>23</v>
      </c>
      <c r="AF7" s="118">
        <f>COUNTIFS('BALANÇO POR MUNICIPIOS'!$AF$18:$AF$434,"=0",'BALANÇO POR MUNICIPIOS'!$AM$18:$AM$434,A7)</f>
        <v>1</v>
      </c>
      <c r="AG7" s="121">
        <f>SUMIF(GERAL!A$8:A$1696,A7,GERAL!AD$8:AD$1696)</f>
        <v>71</v>
      </c>
      <c r="AH7" s="121">
        <f>SUMIF(GERAL!A$8:A$1696,A7,GERAL!AI$8:AI$1696)</f>
        <v>5297</v>
      </c>
      <c r="AI7" s="121">
        <f>SUMIF(GERAL!A$8:A$1696,A7,GERAL!AV$8:AV$1696)</f>
        <v>1035</v>
      </c>
      <c r="AJ7" s="124">
        <f t="shared" si="3"/>
        <v>6403</v>
      </c>
      <c r="AK7" s="116">
        <f>COUNTIFS(GERAL!A$8:A$1696,A7,GERAL!AW$8:AW$1696,"&gt;0",GERAL!C$8:C$1696,"ESCOLA")</f>
        <v>26</v>
      </c>
      <c r="AL7" s="118">
        <f>COUNTIFS(GERAL!A$8:A$1696,A7,GERAL!AW$8:AW$1696,"&gt;0",GERAL!C$8:C$1696,"ANEXO")</f>
        <v>0</v>
      </c>
      <c r="AM7" s="118">
        <f>COUNTIFS('BALANÇO POR MUNICIPIOS'!$AL$18:$AL$434,"&gt;0",'BALANÇO POR MUNICIPIOS'!$AM$18:$AM$434,A7)</f>
        <v>24</v>
      </c>
      <c r="AN7" s="118">
        <f>COUNTIFS('BALANÇO POR MUNICIPIOS'!$AL$18:$AL$434,"=0",'BALANÇO POR MUNICIPIOS'!$AM$18:$AM$434,A7)</f>
        <v>0</v>
      </c>
      <c r="AO7" s="176">
        <f>SUMIF(GERAL!A$8:A$1696,A7,GERAL!AS$8:AS$1696)+SUMIF(GERAL!A$8:A$1696,A7,GERAL!AT$8:AT$1696)</f>
        <v>1611</v>
      </c>
      <c r="AP7" s="176">
        <f>SUMIF(GERAL!A$8:A$1696,A7,GERAL!AU$8:AU$1696)</f>
        <v>850</v>
      </c>
      <c r="AQ7" s="176">
        <f>SUMIF(GERAL!A$8:A$1696,A7,GERAL!AV$8:AV$1696)</f>
        <v>1035</v>
      </c>
      <c r="AR7" s="177">
        <f>SUMIF(GERAL!A$8:A$1696,A7,GERAL!AW$8:AW$1696)</f>
        <v>3496</v>
      </c>
      <c r="AS7" s="116">
        <f>COUNTIFS(GERAL!A$8:A$1696,A7,GERAL!AJ$8:AJ$1696,"&gt;0",GERAL!C$8:C$1696,"ESCOLA")</f>
        <v>36</v>
      </c>
      <c r="AT7" s="118">
        <f>COUNTIFS(GERAL!A$8:A$1696,A7,GERAL!AJ$8:AJ$1696,"&gt;0",GERAL!C$8:C$1696,"ANEXO")</f>
        <v>35</v>
      </c>
      <c r="AU7" s="118">
        <f>COUNTIFS(GERAL!A$8:A$1696,A7,GERAL!AJ$8:AJ$1696,"&gt;0",GERAL!C$8:C$1696,"EFA")</f>
        <v>1</v>
      </c>
      <c r="AV7" s="118">
        <f>COUNTIFS('BALANÇO POR MUNICIPIOS'!$F$18:$F$434,"&gt;0",'BALANÇO POR MUNICIPIOS'!$AM$18:$AM$434,A7)</f>
        <v>24</v>
      </c>
      <c r="AW7" s="178">
        <f>COUNTIFS('BALANÇO POR MUNICIPIOS'!$F$18:$F$434,"=0",'BALANÇO POR MUNICIPIOS'!$AM$18:$AM$434,A7)</f>
        <v>0</v>
      </c>
      <c r="AX7" s="177">
        <f>SUMIF(GERAL!A$8:A$1696,A7,GERAL!AF$8:AF$1696)+SUMIF(GERAL!A$8:A$1696,A7,GERAL!AG$8:AG$1696)</f>
        <v>5093</v>
      </c>
      <c r="AY7" s="177">
        <f>SUMIF(GERAL!A$8:A$1696,A7,GERAL!AH$8:AH$1696)</f>
        <v>571</v>
      </c>
      <c r="AZ7" s="177">
        <f>SUMIF(GERAL!A$8:A$1696,A7,GERAL!AI$8:AI$1696)</f>
        <v>5297</v>
      </c>
      <c r="BA7" s="134">
        <f>SUMIF(GERAL!A$8:A$1696,A7,GERAL!AJ$8:AJ$1696)</f>
        <v>10961</v>
      </c>
      <c r="BB7" s="116">
        <f>COUNTIFS(GERAL!A$8:A$1696,A7,GERAL!AR$8:AR$1696,"&gt;0",GERAL!C$8:C$1696,"ESCOLA")</f>
        <v>32</v>
      </c>
      <c r="BC7" s="118">
        <f>COUNTIFS(GERAL!A$8:A$1696,A7,GERAL!AR$8:AR$1696,"&gt;0",GERAL!C$8:C$1696,"ANEXO")</f>
        <v>11</v>
      </c>
      <c r="BD7" s="118">
        <f>COUNTIFS(GERAL!A$8:A$1696,A7,GERAL!AR$8:AR$1696,"&gt;0",GERAL!C$8:C$1696,"EFA")</f>
        <v>0</v>
      </c>
      <c r="BE7" s="118">
        <f>COUNTIFS('BALANÇO POR MUNICIPIOS'!$H$18:$H$434,"&gt;0",'BALANÇO POR MUNICIPIOS'!$AM$18:$AM$434,A7)</f>
        <v>24</v>
      </c>
      <c r="BF7" s="118">
        <f>COUNTIFS('BALANÇO POR MUNICIPIOS'!$H$18:$H$434,"=0",'BALANÇO POR MUNICIPIOS'!$AM$18:$AM$434,A7)</f>
        <v>0</v>
      </c>
      <c r="BG7" s="177">
        <f>SUMIF(GERAL!A$8:A$1696,A7,GERAL!AO$8:AO$1696)+SUMIF(GERAL!A$8:A$1696,A7,GERAL!AP$8:AP$1696)</f>
        <v>0</v>
      </c>
      <c r="BH7" s="177">
        <f>SUMIF(GERAL!A$8:A$1696,A7,GERAL!AQ$8:AQ$1696)</f>
        <v>2719</v>
      </c>
      <c r="BI7" s="124">
        <f>SUMIF(GERAL!A$8:A$1696,A7,GERAL!AR$8:AR$1696)</f>
        <v>2719</v>
      </c>
      <c r="BJ7" s="116">
        <f>COUNTIFS(GERAL!A$8:A$1696,A7,GERAL!AR$8:AR$1696,"&gt;0",GERAL!AJ$8:AJ$1696,"&gt;0",GERAL!C$8:C$1696,"ESCOLA")</f>
        <v>32</v>
      </c>
      <c r="BK7" s="118">
        <f>COUNTIFS(GERAL!A$8:A$1696,A7,GERAL!AR$8:AR$1696,"&gt;0",GERAL!AJ$8:AJ$1696,"&gt;0",GERAL!C$8:C$1696,"ANEXO")</f>
        <v>7</v>
      </c>
      <c r="BL7" s="118">
        <f>COUNTIFS('BALANÇO POR MUNICIPIOS'!$AM$18:$AM$434,A7,'BALANÇO POR MUNICIPIOS'!$H$18:$H$434,"&gt;0",'BALANÇO POR MUNICIPIOS'!$F$18:$F$434,"&gt;0")</f>
        <v>24</v>
      </c>
      <c r="BM7" s="118">
        <f t="shared" si="4"/>
        <v>13680</v>
      </c>
      <c r="BN7" s="116">
        <f>COUNTIFS(GERAL!A$8:A$1696,A7,GERAL!AN$8:AN$1696,"&gt;0",GERAL!C$8:C$1696,"ESCOLA")</f>
        <v>0</v>
      </c>
      <c r="BO7" s="118">
        <f>COUNTIFS(GERAL!A$8:A$1696,A7,GERAL!AN$8:AN$1696,"&gt;0",GERAL!C$8:C$1696,"ANEXO")</f>
        <v>0</v>
      </c>
      <c r="BP7" s="118">
        <f>COUNTIFS(GERAL!A$8:A$1696,A7,GERAL!AN$8:AN$1696,"&gt;0",GERAL!C$8:C$1696,"EFA")</f>
        <v>0</v>
      </c>
      <c r="BQ7" s="118">
        <f>COUNTIFS('BALANÇO POR MUNICIPIOS'!$G$18:$G$434,"&gt;0",'BALANÇO POR MUNICIPIOS'!$AM$18:$AM$434,A7)</f>
        <v>0</v>
      </c>
      <c r="BR7" s="118">
        <f>COUNTIFS('BALANÇO POR MUNICIPIOS'!$G$18:$G$434,"=0",'BALANÇO POR MUNICIPIOS'!$AM$18:$AM$434,A7)</f>
        <v>24</v>
      </c>
      <c r="BS7" s="177">
        <f>SUMIF(GERAL!A$8:A$1696,A7,GERAL!AK$8:AK$1696)+SUMIF(GERAL!A$8:A$1696,A7,GERAL!AL$8:AL$1696)</f>
        <v>0</v>
      </c>
      <c r="BT7" s="177">
        <f>SUMIF(GERAL!A$8:A$1696,A7,GERAL!AM$8:AM$1696)</f>
        <v>0</v>
      </c>
      <c r="BU7" s="118">
        <f>SUMIF(GERAL!A$8:A$1696,A7,GERAL!AN$8:AN$1696)</f>
        <v>0</v>
      </c>
      <c r="BV7" s="207">
        <f>COUNTIFS(GERAL!A$8:A$1696,A7,GERAL!AE$8:AE$1696,"&gt;0",GERAL!C$8:C$1696,"ESCOLA")</f>
        <v>0</v>
      </c>
      <c r="BW7" s="207">
        <f>COUNTIFS(GERAL!A$8:A$1696,A7,GERAL!AE$8:AE$1696,"&gt;0",GERAL!C$8:C$1696,"ANEXO")</f>
        <v>0</v>
      </c>
      <c r="BX7" s="207">
        <f>COUNTIFS(GERAL!A$8:A$1696,A7,GERAL!AE$8:AE$1696,"&gt;0",GERAL!C$8:C$1696,"EFA")</f>
        <v>1</v>
      </c>
      <c r="BY7" s="177">
        <f>COUNTIFS('BALANÇO POR MUNICIPIOS'!$E$18:$E$434,"&gt;0",'BALANÇO POR MUNICIPIOS'!$AM$18:$AM$434,A7)</f>
        <v>1</v>
      </c>
      <c r="BZ7" s="177">
        <f>COUNTIFS('BALANÇO POR MUNICIPIOS'!$E$18:$E$434,"=0",'BALANÇO POR MUNICIPIOS'!$AM$18:$AM$434,A7)</f>
        <v>23</v>
      </c>
      <c r="CA7" s="177">
        <f>SUMIF(GERAL!A$8:A$1696,A7,GERAL!AA$8:AA$1696)+SUMIF(GERAL!A$8:A$1696,A7,GERAL!AB$8:AB$1696)</f>
        <v>0</v>
      </c>
      <c r="CB7" s="177">
        <f>SUMIF(GERAL!A$8:A$1696,A7,GERAL!AC$8:AC$1696)</f>
        <v>0</v>
      </c>
      <c r="CC7" s="118">
        <f>SUMIF(GERAL!A$8:A$1696,A7,GERAL!AE$8:AE$1696)</f>
        <v>71</v>
      </c>
      <c r="CD7" s="118">
        <f>COUNTIFS(GERAL!A$8:A$1696,A7,GERAL!Z$8:Z$1696,"&gt;0",GERAL!C$8:C$1696,"ESCOLA")</f>
        <v>0</v>
      </c>
      <c r="CE7" s="118">
        <f>COUNTIFS(GERAL!A$8:A$1696,A7,GERAL!Z$8:Z$1696,"&gt;0",GERAL!C$8:C$1696,"ANEXO")</f>
        <v>0</v>
      </c>
      <c r="CF7" s="118">
        <f>COUNTIFS(GERAL!A$8:A$1696,A7,GERAL!Z$8:Z$1696,"&gt;0",GERAL!C$8:C$1696,"EFA")</f>
        <v>0</v>
      </c>
      <c r="CG7" s="177">
        <f>COUNTIFS('BALANÇO POR MUNICIPIOS'!$D$18:$D$434,"&gt;0",'BALANÇO POR MUNICIPIOS'!$AM$18:$AM$434,A7)</f>
        <v>0</v>
      </c>
      <c r="CH7" s="177">
        <f>COUNTIFS('BALANÇO POR MUNICIPIOS'!$D$18:$D$434,"=0",'BALANÇO POR MUNICIPIOS'!$AM$18:$AM$434,A7)</f>
        <v>24</v>
      </c>
      <c r="CI7" s="177">
        <f>SUMIF(GERAL!A$8:A$1696,A7,GERAL!V$8:V$1696)+SUMIF(GERAL!A$8:A$1696,A7,GERAL!W$8:W$1696)</f>
        <v>0</v>
      </c>
      <c r="CJ7" s="118">
        <f>SUMIF(GERAL!A$8:A$1696,A7,GERAL!Z$8:Z$1696)</f>
        <v>0</v>
      </c>
      <c r="CK7" s="118">
        <f>COUNTIFS(GERAL!$A$8:$A32,A7,GERAL!$BD$8:$BD32,"CEMIT",GERAL!$C$8:$C32,"ESCOLA")</f>
        <v>1</v>
      </c>
      <c r="CL7" s="118">
        <f>COUNTIFS(GERAL!$A$8:$A32,A7,GERAL!$BD$8:$BD32,"CEMIT",GERAL!$C$8:$C32,"ANEXO")</f>
        <v>20</v>
      </c>
      <c r="CM7" s="118">
        <f>SUMIFS(GERAL!$BB$8:$BB32,GERAL!$A$8:$A32,A7,GERAL!$BD$8:$BD32,"CEMIT")</f>
        <v>769</v>
      </c>
    </row>
    <row r="8">
      <c r="A8" s="135" t="s">
        <v>383</v>
      </c>
      <c r="B8" s="75">
        <f>COUNTIFS(GERAL!$A$8:$A32,A8,GERAL!$C$8:$C32,"ESCOLA")</f>
        <v>42</v>
      </c>
      <c r="C8" s="75">
        <f>COUNTIFS(GERAL!A$8:A$1696,A8,GERAL!C$8:C$1696,"ANEXO")</f>
        <v>30</v>
      </c>
      <c r="D8" s="75">
        <f>COUNTIFS(GERAL!A$8:A$1696,A8,GERAL!C$8:C$1696,"EFA")</f>
        <v>3</v>
      </c>
      <c r="E8" s="85">
        <f>SUMIF(GERAL!A$8:A$1696,A8,GERAL!Z$8:Z$1696)</f>
        <v>0</v>
      </c>
      <c r="F8" s="85">
        <f>SUMIF(GERAL!A$8:A$1696,A8,GERAL!AE$8:AE$1696)</f>
        <v>265</v>
      </c>
      <c r="G8" s="85">
        <f>SUMIF(GERAL!A$8:A$1696,A8,GERAL!AJ$8:AJ$1696)</f>
        <v>13774</v>
      </c>
      <c r="H8" s="85">
        <f>SUMIF(GERAL!A$8:A$1696,A8,GERAL!AN$8:AN$1696)</f>
        <v>0</v>
      </c>
      <c r="I8" s="85">
        <f>SUMIF(GERAL!A$8:A$1696,A8,GERAL!AR$8:AW$1696)</f>
        <v>3039</v>
      </c>
      <c r="J8" s="85">
        <f>SUMIF(GERAL!A$8:A$1696,A8,GERAL!AW$8:AW$1696)</f>
        <v>7797</v>
      </c>
      <c r="K8" s="88">
        <f>SUMIF(GERAL!A$8:A$1696,A8,GERAL!AX$8:AX$1696)</f>
        <v>24875</v>
      </c>
      <c r="L8" s="95">
        <f>COUNTIFS(GERAL!A$8:A$1696,A8,GERAL!AY$8:AY$1696,"&gt;0",GERAL!C$8:C$1696,"ESCOLA")</f>
        <v>40</v>
      </c>
      <c r="M8" s="75">
        <f>COUNTIFS(GERAL!A$8:A$1696,A8,GERAL!AY$8:AY$1696,"&gt;0",GERAL!C$8:C$1696,"ANEXO")</f>
        <v>19</v>
      </c>
      <c r="N8" s="100">
        <f>SUMIF(GERAL!A$8:A$1696,A8,GERAL!V$8:V$1696)+SUMIF(GERAL!A$8:A$1696,A8,GERAL!W$8:W$1696)</f>
        <v>0</v>
      </c>
      <c r="O8" s="100">
        <f>SUMIF(GERAL!A$8:A$1696,A8,GERAL!AA$8:AA$1696)+SUMIF(GERAL!A$8:A$1696,A8,GERAL!AB$8:AB$1696)</f>
        <v>0</v>
      </c>
      <c r="P8" s="100">
        <f>SUMIF(GERAL!A$8:A$1696,A8,GERAL!AF$8:AF$1696)+SUMIF(GERAL!A$8:A$1696,A8,GERAL!AG$8:AG$1696)</f>
        <v>6121</v>
      </c>
      <c r="Q8" s="100">
        <f>SUMIF(GERAL!A$8:A$1696,A8,GERAL!AK$8:AK$1696)+SUMIF(GERAL!A$8:A$1696,A8,GERAL!AL$8:AL$1696)</f>
        <v>0</v>
      </c>
      <c r="R8" s="100">
        <f>SUMIF(GERAL!A$8:A$1696,A8,GERAL!AO$8:AO$1696)+SUMIF(GERAL!A$8:A$1696,A8,GERAL!AP$8:AP$1696)</f>
        <v>0</v>
      </c>
      <c r="S8" s="100">
        <f>SUMIF(GERAL!A$8:A$1696,A8,GERAL!AS$8:AS$1696)+SUMIF(GERAL!A$8:A$1696,A8,GERAL!AT$8:AT$1696)</f>
        <v>4930</v>
      </c>
      <c r="T8" s="103">
        <f t="shared" si="1"/>
        <v>11051</v>
      </c>
      <c r="U8" s="75">
        <f>COUNTIFS(GERAL!A$8:A$1696,A8,GERAL!AZ$8:AZ$1696,"&gt;0",GERAL!C$8:C$1696,"ESCOLA")</f>
        <v>37</v>
      </c>
      <c r="V8" s="75">
        <f>COUNTIFS(GERAL!A$8:A$1696,A8,GERAL!AZ$8:AZ$1696,"&gt;0",GERAL!C$8:C$1696,"ANEXO")</f>
        <v>23</v>
      </c>
      <c r="W8" s="85">
        <f>SUMIF(GERAL!A$8:A$1696,A8,GERAL!AH$8:AH$1696)</f>
        <v>722</v>
      </c>
      <c r="X8" s="85">
        <f>SUMIF(GERAL!A$8:A$1696,A8,GERAL!AM$8:AM$1696)</f>
        <v>0</v>
      </c>
      <c r="Y8" s="85">
        <f>SUMIF(GERAL!A$8:A$1696,A8,GERAL!AQ$8:AQ$1696)</f>
        <v>3039</v>
      </c>
      <c r="Z8" s="85">
        <f>SUMIF(GERAL!A$8:A$1696,A8,GERAL!AU$8:AU$1696)</f>
        <v>1833</v>
      </c>
      <c r="AA8" s="88">
        <f t="shared" si="2"/>
        <v>5594</v>
      </c>
      <c r="AB8" s="116">
        <f>COUNTIFS(GERAL!A$8:A$1696,A8,GERAL!BK$8:BK$1696,"&gt;0",GERAL!C$8:C$1696,"ESCOLA")</f>
        <v>30</v>
      </c>
      <c r="AC8" s="118">
        <f>COUNTIFS(GERAL!A$8:A$1696,A8,GERAL!BK$8:BK$1696,"&gt;0",GERAL!C$8:C$1696,"ANEXO")</f>
        <v>0</v>
      </c>
      <c r="AD8" s="118">
        <f>COUNTIFS(GERAL!A$8:A$1696,A8,GERAL!BK$8:BK$1696,"&gt;0",GERAL!C$8:C$1696,"EFA")</f>
        <v>3</v>
      </c>
      <c r="AE8" s="118">
        <f>COUNTIFS('BALANÇO POR MUNICIPIOS'!$AF$18:$AF$434,"&gt;0",'BALANÇO POR MUNICIPIOS'!$AM$18:$AM$434,A8)</f>
        <v>19</v>
      </c>
      <c r="AF8" s="118">
        <f>COUNTIFS('BALANÇO POR MUNICIPIOS'!$AF$18:$AF$434,"=0",'BALANÇO POR MUNICIPIOS'!$AM$18:$AM$434,A8)</f>
        <v>1</v>
      </c>
      <c r="AG8" s="121">
        <f>SUMIF(GERAL!A$8:A$1696,A8,GERAL!AD$8:AD$1696)</f>
        <v>265</v>
      </c>
      <c r="AH8" s="121">
        <f>SUMIF(GERAL!A$8:A$1696,A8,GERAL!AI$8:AI$1696)</f>
        <v>6931</v>
      </c>
      <c r="AI8" s="121">
        <f>SUMIF(GERAL!A$8:A$1696,A8,GERAL!AV$8:AV$1696)</f>
        <v>1034</v>
      </c>
      <c r="AJ8" s="124">
        <f t="shared" si="3"/>
        <v>8230</v>
      </c>
      <c r="AK8" s="116">
        <f>COUNTIFS(GERAL!A$8:A$1696,A8,GERAL!AW$8:AW$1696,"&gt;0",GERAL!C$8:C$1696,"ESCOLA")</f>
        <v>25</v>
      </c>
      <c r="AL8" s="118">
        <f>COUNTIFS(GERAL!A$8:A$1696,A8,GERAL!AW$8:AW$1696,"&gt;0",GERAL!C$8:C$1696,"ANEXO")</f>
        <v>2</v>
      </c>
      <c r="AM8" s="118">
        <f>COUNTIFS('BALANÇO POR MUNICIPIOS'!$AL$18:$AL$434,"&gt;0",'BALANÇO POR MUNICIPIOS'!$AM$18:$AM$434,A8)</f>
        <v>20</v>
      </c>
      <c r="AN8" s="118">
        <f>COUNTIFS('BALANÇO POR MUNICIPIOS'!$AL$18:$AL$434,"=0",'BALANÇO POR MUNICIPIOS'!$AM$18:$AM$434,A8)</f>
        <v>0</v>
      </c>
      <c r="AO8" s="176">
        <f>SUMIF(GERAL!A$8:A$1696,A8,GERAL!AS$8:AS$1696)+SUMIF(GERAL!A$8:A$1696,A8,GERAL!AT$8:AT$1696)</f>
        <v>4930</v>
      </c>
      <c r="AP8" s="176">
        <f>SUMIF(GERAL!A$8:A$1696,A8,GERAL!AU$8:AU$1696)</f>
        <v>1833</v>
      </c>
      <c r="AQ8" s="176">
        <f>SUMIF(GERAL!A$8:A$1696,A8,GERAL!AV$8:AV$1696)</f>
        <v>1034</v>
      </c>
      <c r="AR8" s="177">
        <f>SUMIF(GERAL!A$8:A$1696,A8,GERAL!AW$8:AW$1696)</f>
        <v>7797</v>
      </c>
      <c r="AS8" s="116">
        <f>COUNTIFS(GERAL!A$8:A$1696,A8,GERAL!AJ$8:AJ$1696,"&gt;0",GERAL!C$8:C$1696,"ESCOLA")</f>
        <v>37</v>
      </c>
      <c r="AT8" s="118">
        <f>COUNTIFS(GERAL!A$8:A$1696,A8,GERAL!AJ$8:AJ$1696,"&gt;0",GERAL!C$8:C$1696,"ANEXO")</f>
        <v>28</v>
      </c>
      <c r="AU8" s="118">
        <f>COUNTIFS(GERAL!A$8:A$1696,A8,GERAL!AJ$8:AJ$1696,"&gt;0",GERAL!C$8:C$1696,"EFA")</f>
        <v>3</v>
      </c>
      <c r="AV8" s="118">
        <f>COUNTIFS('BALANÇO POR MUNICIPIOS'!$F$18:$F$434,"&gt;0",'BALANÇO POR MUNICIPIOS'!$AM$18:$AM$434,A8)</f>
        <v>20</v>
      </c>
      <c r="AW8" s="178">
        <f>COUNTIFS('BALANÇO POR MUNICIPIOS'!$F$18:$F$434,"=0",'BALANÇO POR MUNICIPIOS'!$AM$18:$AM$434,A8)</f>
        <v>0</v>
      </c>
      <c r="AX8" s="177">
        <f>SUMIF(GERAL!A$8:A$1696,A8,GERAL!AF$8:AF$1696)+SUMIF(GERAL!A$8:A$1696,A8,GERAL!AG$8:AG$1696)</f>
        <v>6121</v>
      </c>
      <c r="AY8" s="177">
        <f>SUMIF(GERAL!A$8:A$1696,A8,GERAL!AH$8:AH$1696)</f>
        <v>722</v>
      </c>
      <c r="AZ8" s="177">
        <f>SUMIF(GERAL!A$8:A$1696,A8,GERAL!AI$8:AI$1696)</f>
        <v>6931</v>
      </c>
      <c r="BA8" s="134">
        <f>SUMIF(GERAL!A$8:A$1696,A8,GERAL!AJ$8:AJ$1696)</f>
        <v>13774</v>
      </c>
      <c r="BB8" s="116">
        <f>COUNTIFS(GERAL!A$8:A$1696,A8,GERAL!AR$8:AR$1696,"&gt;0",GERAL!C$8:C$1696,"ESCOLA")</f>
        <v>35</v>
      </c>
      <c r="BC8" s="118">
        <f>COUNTIFS(GERAL!A$8:A$1696,A8,GERAL!AR$8:AR$1696,"&gt;0",GERAL!C$8:C$1696,"ANEXO")</f>
        <v>8</v>
      </c>
      <c r="BD8" s="118">
        <f>COUNTIFS(GERAL!A$8:A$1696,A8,GERAL!AR$8:AR$1696,"&gt;0",GERAL!C$8:C$1696,"EFA")</f>
        <v>0</v>
      </c>
      <c r="BE8" s="118">
        <f>COUNTIFS('BALANÇO POR MUNICIPIOS'!$H$18:$H$434,"&gt;0",'BALANÇO POR MUNICIPIOS'!$AM$18:$AM$434,A8)</f>
        <v>19</v>
      </c>
      <c r="BF8" s="118">
        <f>COUNTIFS('BALANÇO POR MUNICIPIOS'!$H$18:$H$434,"=0",'BALANÇO POR MUNICIPIOS'!$AM$18:$AM$434,A8)</f>
        <v>1</v>
      </c>
      <c r="BG8" s="177">
        <f>SUMIF(GERAL!A$8:A$1696,A8,GERAL!AO$8:AO$1696)+SUMIF(GERAL!A$8:A$1696,A8,GERAL!AP$8:AP$1696)</f>
        <v>0</v>
      </c>
      <c r="BH8" s="177">
        <f>SUMIF(GERAL!A$8:A$1696,A8,GERAL!AQ$8:AQ$1696)</f>
        <v>3039</v>
      </c>
      <c r="BI8" s="124">
        <f>SUMIF(GERAL!A$8:A$1696,A8,GERAL!AR$8:AR$1696)</f>
        <v>3039</v>
      </c>
      <c r="BJ8" s="116">
        <f>COUNTIFS(GERAL!A$8:A$1696,A8,GERAL!AR$8:AR$1696,"&gt;0",GERAL!AJ$8:AJ$1696,"&gt;0",GERAL!C$8:C$1696,"ESCOLA")</f>
        <v>35</v>
      </c>
      <c r="BK8" s="118">
        <f>COUNTIFS(GERAL!A$8:A$1696,A8,GERAL!AR$8:AR$1696,"&gt;0",GERAL!AJ$8:AJ$1696,"&gt;0",GERAL!C$8:C$1696,"ANEXO")</f>
        <v>7</v>
      </c>
      <c r="BL8" s="118">
        <f>COUNTIFS('BALANÇO POR MUNICIPIOS'!$AM$18:$AM$434,A8,'BALANÇO POR MUNICIPIOS'!$H$18:$H$434,"&gt;0",'BALANÇO POR MUNICIPIOS'!$F$18:$F$434,"&gt;0")</f>
        <v>19</v>
      </c>
      <c r="BM8" s="118">
        <f t="shared" si="4"/>
        <v>16813</v>
      </c>
      <c r="BN8" s="116">
        <f>COUNTIFS(GERAL!A$8:A$1696,A8,GERAL!AN$8:AN$1696,"&gt;0",GERAL!C$8:C$1696,"ESCOLA")</f>
        <v>0</v>
      </c>
      <c r="BO8" s="118">
        <f>COUNTIFS(GERAL!A$8:A$1696,A8,GERAL!AN$8:AN$1696,"&gt;0",GERAL!C$8:C$1696,"ANEXO")</f>
        <v>0</v>
      </c>
      <c r="BP8" s="118">
        <f>COUNTIFS(GERAL!A$8:A$1696,A8,GERAL!AN$8:AN$1696,"&gt;0",GERAL!C$8:C$1696,"EFA")</f>
        <v>0</v>
      </c>
      <c r="BQ8" s="118">
        <f>COUNTIFS('BALANÇO POR MUNICIPIOS'!$G$18:$G$434,"&gt;0",'BALANÇO POR MUNICIPIOS'!$AM$18:$AM$434,A8)</f>
        <v>0</v>
      </c>
      <c r="BR8" s="118">
        <f>COUNTIFS('BALANÇO POR MUNICIPIOS'!$G$18:$G$434,"=0",'BALANÇO POR MUNICIPIOS'!$AM$18:$AM$434,A8)</f>
        <v>20</v>
      </c>
      <c r="BS8" s="177">
        <f>SUMIF(GERAL!A$8:A$1696,A8,GERAL!AK$8:AK$1696)+SUMIF(GERAL!A$8:A$1696,A8,GERAL!AL$8:AL$1696)</f>
        <v>0</v>
      </c>
      <c r="BT8" s="177">
        <f>SUMIF(GERAL!A$8:A$1696,A8,GERAL!AM$8:AM$1696)</f>
        <v>0</v>
      </c>
      <c r="BU8" s="118">
        <f>SUMIF(GERAL!A$8:A$1696,A8,GERAL!AN$8:AN$1696)</f>
        <v>0</v>
      </c>
      <c r="BV8" s="207">
        <f>COUNTIFS(GERAL!A$8:A$1696,A8,GERAL!AE$8:AE$1696,"&gt;0",GERAL!C$8:C$1696,"ESCOLA")</f>
        <v>0</v>
      </c>
      <c r="BW8" s="207">
        <f>COUNTIFS(GERAL!A$8:A$1696,A8,GERAL!AE$8:AE$1696,"&gt;0",GERAL!C$8:C$1696,"ANEXO")</f>
        <v>0</v>
      </c>
      <c r="BX8" s="207">
        <f>COUNTIFS(GERAL!A$8:A$1696,A8,GERAL!AE$8:AE$1696,"&gt;0",GERAL!C$8:C$1696,"EFA")</f>
        <v>3</v>
      </c>
      <c r="BY8" s="177">
        <f>COUNTIFS('BALANÇO POR MUNICIPIOS'!$E$18:$E$434,"&gt;0",'BALANÇO POR MUNICIPIOS'!$AM$18:$AM$434,A8)</f>
        <v>3</v>
      </c>
      <c r="BZ8" s="177">
        <f>COUNTIFS('BALANÇO POR MUNICIPIOS'!$E$18:$E$434,"=0",'BALANÇO POR MUNICIPIOS'!$AM$18:$AM$434,A8)</f>
        <v>17</v>
      </c>
      <c r="CA8" s="177">
        <f>SUMIF(GERAL!A$8:A$1696,A8,GERAL!AA$8:AA$1696)+SUMIF(GERAL!A$8:A$1696,A8,GERAL!AB$8:AB$1696)</f>
        <v>0</v>
      </c>
      <c r="CB8" s="177">
        <f>SUMIF(GERAL!A$8:A$1696,A8,GERAL!AC$8:AC$1696)</f>
        <v>0</v>
      </c>
      <c r="CC8" s="118">
        <f>SUMIF(GERAL!A$8:A$1696,A8,GERAL!AE$8:AE$1696)</f>
        <v>265</v>
      </c>
      <c r="CD8" s="118">
        <f>COUNTIFS(GERAL!A$8:A$1696,A8,GERAL!Z$8:Z$1696,"&gt;0",GERAL!C$8:C$1696,"ESCOLA")</f>
        <v>0</v>
      </c>
      <c r="CE8" s="118">
        <f>COUNTIFS(GERAL!A$8:A$1696,A8,GERAL!Z$8:Z$1696,"&gt;0",GERAL!C$8:C$1696,"ANEXO")</f>
        <v>0</v>
      </c>
      <c r="CF8" s="118">
        <f>COUNTIFS(GERAL!A$8:A$1696,A8,GERAL!Z$8:Z$1696,"&gt;0",GERAL!C$8:C$1696,"EFA")</f>
        <v>0</v>
      </c>
      <c r="CG8" s="177">
        <f>COUNTIFS('BALANÇO POR MUNICIPIOS'!$D$18:$D$434,"&gt;0",'BALANÇO POR MUNICIPIOS'!$AM$18:$AM$434,A8)</f>
        <v>0</v>
      </c>
      <c r="CH8" s="177">
        <f>COUNTIFS('BALANÇO POR MUNICIPIOS'!$D$18:$D$434,"=0",'BALANÇO POR MUNICIPIOS'!$AM$18:$AM$434,A8)</f>
        <v>20</v>
      </c>
      <c r="CI8" s="177">
        <f>SUMIF(GERAL!A$8:A$1696,A8,GERAL!V$8:V$1696)+SUMIF(GERAL!A$8:A$1696,A8,GERAL!W$8:W$1696)</f>
        <v>0</v>
      </c>
      <c r="CJ8" s="118">
        <f>SUMIF(GERAL!A$8:A$1696,A8,GERAL!Z$8:Z$1696)</f>
        <v>0</v>
      </c>
      <c r="CK8" s="118">
        <f>COUNTIFS(GERAL!$A$8:$A32,A8,GERAL!$BD$8:$BD32,"CEMIT",GERAL!$C$8:$C32,"ESCOLA")</f>
        <v>1</v>
      </c>
      <c r="CL8" s="118">
        <f>COUNTIFS(GERAL!$A$8:$A32,A8,GERAL!$BD$8:$BD32,"CEMIT",GERAL!$C$8:$C32,"ANEXO")</f>
        <v>15</v>
      </c>
      <c r="CM8" s="118">
        <f>SUMIFS(GERAL!$BB$8:$BB32,GERAL!$A$8:$A32,A8,GERAL!$BD$8:$BD32,"CEMIT")</f>
        <v>1083</v>
      </c>
    </row>
    <row r="9">
      <c r="A9" s="151" t="s">
        <v>451</v>
      </c>
      <c r="B9" s="75">
        <f>COUNTIFS(GERAL!$A$8:$A32,A9,GERAL!$C$8:$C32,"ESCOLA")</f>
        <v>60</v>
      </c>
      <c r="C9" s="75">
        <f>COUNTIFS(GERAL!A$8:A$1696,A9,GERAL!C$8:C$1696,"ANEXO")</f>
        <v>30</v>
      </c>
      <c r="D9" s="75">
        <f>COUNTIFS(GERAL!A$8:A$1696,A9,GERAL!C$8:C$1696,"EFA")</f>
        <v>0</v>
      </c>
      <c r="E9" s="85">
        <f>SUMIF(GERAL!A$8:A$1696,A9,GERAL!Z$8:Z$1696)</f>
        <v>239</v>
      </c>
      <c r="F9" s="85">
        <f>SUMIF(GERAL!A$8:A$1696,A9,GERAL!AE$8:AE$1696)</f>
        <v>2698</v>
      </c>
      <c r="G9" s="85">
        <f>SUMIF(GERAL!A$8:A$1696,A9,GERAL!AJ$8:AJ$1696)</f>
        <v>13797</v>
      </c>
      <c r="H9" s="85">
        <f>SUMIF(GERAL!A$8:A$1696,A9,GERAL!AN$8:AN$1696)</f>
        <v>368</v>
      </c>
      <c r="I9" s="85">
        <f>SUMIF(GERAL!A$8:A$1696,A9,GERAL!AR$8:AW$1696)</f>
        <v>3254</v>
      </c>
      <c r="J9" s="85">
        <f>SUMIF(GERAL!A$8:A$1696,A9,GERAL!AW$8:AW$1696)</f>
        <v>6424</v>
      </c>
      <c r="K9" s="88">
        <f>SUMIF(GERAL!A$8:A$1696,A9,GERAL!AX$8:AX$1696)</f>
        <v>26780</v>
      </c>
      <c r="L9" s="95">
        <f>COUNTIFS(GERAL!A$8:A$1696,A9,GERAL!AY$8:AY$1696,"&gt;0",GERAL!C$8:C$1696,"ESCOLA")</f>
        <v>58</v>
      </c>
      <c r="M9" s="75">
        <f>COUNTIFS(GERAL!A$8:A$1696,A9,GERAL!AY$8:AY$1696,"&gt;0",GERAL!C$8:C$1696,"ANEXO")</f>
        <v>18</v>
      </c>
      <c r="N9" s="100">
        <f>SUMIF(GERAL!A$8:A$1696,A9,GERAL!V$8:V$1696)+SUMIF(GERAL!A$8:A$1696,A9,GERAL!W$8:W$1696)</f>
        <v>239</v>
      </c>
      <c r="O9" s="100">
        <f>SUMIF(GERAL!A$8:A$1696,A9,GERAL!AA$8:AA$1696)+SUMIF(GERAL!A$8:A$1696,A9,GERAL!AB$8:AB$1696)</f>
        <v>2638</v>
      </c>
      <c r="P9" s="100">
        <f>SUMIF(GERAL!A$8:A$1696,A9,GERAL!AF$8:AF$1696)+SUMIF(GERAL!A$8:A$1696,A9,GERAL!AG$8:AG$1696)</f>
        <v>6982</v>
      </c>
      <c r="Q9" s="100">
        <f>SUMIF(GERAL!A$8:A$1696,A9,GERAL!AK$8:AK$1696)+SUMIF(GERAL!A$8:A$1696,A9,GERAL!AL$8:AL$1696)</f>
        <v>44</v>
      </c>
      <c r="R9" s="100">
        <f>SUMIF(GERAL!A$8:A$1696,A9,GERAL!AO$8:AO$1696)+SUMIF(GERAL!A$8:A$1696,A9,GERAL!AP$8:AP$1696)</f>
        <v>40</v>
      </c>
      <c r="S9" s="100">
        <f>SUMIF(GERAL!A$8:A$1696,A9,GERAL!AS$8:AS$1696)+SUMIF(GERAL!A$8:A$1696,A9,GERAL!AT$8:AT$1696)</f>
        <v>3180</v>
      </c>
      <c r="T9" s="103">
        <f t="shared" si="1"/>
        <v>13123</v>
      </c>
      <c r="U9" s="75">
        <f>COUNTIFS(GERAL!A$8:A$1696,A9,GERAL!AZ$8:AZ$1696,"&gt;0",GERAL!C$8:C$1696,"ESCOLA")</f>
        <v>53</v>
      </c>
      <c r="V9" s="75">
        <f>COUNTIFS(GERAL!A$8:A$1696,A9,GERAL!AZ$8:AZ$1696,"&gt;0",GERAL!C$8:C$1696,"ANEXO")</f>
        <v>19</v>
      </c>
      <c r="W9" s="85">
        <f>SUMIF(GERAL!A$8:A$1696,A9,GERAL!AH$8:AH$1696)</f>
        <v>343</v>
      </c>
      <c r="X9" s="85">
        <f>SUMIF(GERAL!A$8:A$1696,A9,GERAL!AM$8:AM$1696)</f>
        <v>324</v>
      </c>
      <c r="Y9" s="85">
        <f>SUMIF(GERAL!A$8:A$1696,A9,GERAL!AQ$8:AQ$1696)</f>
        <v>3214</v>
      </c>
      <c r="Z9" s="85">
        <f>SUMIF(GERAL!A$8:A$1696,A9,GERAL!AU$8:AU$1696)</f>
        <v>1728</v>
      </c>
      <c r="AA9" s="88">
        <f t="shared" si="2"/>
        <v>5609</v>
      </c>
      <c r="AB9" s="116">
        <f>COUNTIFS(GERAL!A$8:A$1696,A9,GERAL!BK$8:BK$1696,"&gt;0",GERAL!C$8:C$1696,"ESCOLA")</f>
        <v>45</v>
      </c>
      <c r="AC9" s="118">
        <f>COUNTIFS(GERAL!A$8:A$1696,A9,GERAL!BK$8:BK$1696,"&gt;0",GERAL!C$8:C$1696,"ANEXO")</f>
        <v>0</v>
      </c>
      <c r="AD9" s="118">
        <f>COUNTIFS(GERAL!A$8:A$1696,A9,GERAL!BK$8:BK$1696,"&gt;0",GERAL!C$8:C$1696,"EFA")</f>
        <v>0</v>
      </c>
      <c r="AE9" s="118">
        <f>COUNTIFS('BALANÇO POR MUNICIPIOS'!$AF$18:$AF$434,"&gt;0",'BALANÇO POR MUNICIPIOS'!$AM$18:$AM$434,A9)</f>
        <v>25</v>
      </c>
      <c r="AF9" s="118">
        <f>COUNTIFS('BALANÇO POR MUNICIPIOS'!$AF$18:$AF$434,"=0",'BALANÇO POR MUNICIPIOS'!$AM$18:$AM$434,A9)</f>
        <v>1</v>
      </c>
      <c r="AG9" s="121">
        <f>SUMIF(GERAL!A$8:A$1696,A9,GERAL!AD$8:AD$1696)</f>
        <v>60</v>
      </c>
      <c r="AH9" s="121">
        <f>SUMIF(GERAL!A$8:A$1696,A9,GERAL!AI$8:AI$1696)</f>
        <v>6472</v>
      </c>
      <c r="AI9" s="121">
        <f>SUMIF(GERAL!A$8:A$1696,A9,GERAL!AV$8:AV$1696)</f>
        <v>1516</v>
      </c>
      <c r="AJ9" s="124">
        <f t="shared" si="3"/>
        <v>8048</v>
      </c>
      <c r="AK9" s="116">
        <f>COUNTIFS(GERAL!A$8:A$1696,A9,GERAL!AW$8:AW$1696,"&gt;0",GERAL!C$8:C$1696,"ESCOLA")</f>
        <v>42</v>
      </c>
      <c r="AL9" s="118">
        <f>COUNTIFS(GERAL!A$8:A$1696,A9,GERAL!AW$8:AW$1696,"&gt;0",GERAL!C$8:C$1696,"ANEXO")</f>
        <v>1</v>
      </c>
      <c r="AM9" s="118">
        <f>COUNTIFS('BALANÇO POR MUNICIPIOS'!$AL$18:$AL$434,"&gt;0",'BALANÇO POR MUNICIPIOS'!$AM$18:$AM$434,A9)</f>
        <v>26</v>
      </c>
      <c r="AN9" s="118">
        <f>COUNTIFS('BALANÇO POR MUNICIPIOS'!$AL$18:$AL$434,"=0",'BALANÇO POR MUNICIPIOS'!$AM$18:$AM$434,A9)</f>
        <v>0</v>
      </c>
      <c r="AO9" s="176">
        <f>SUMIF(GERAL!A$8:A$1696,A9,GERAL!AS$8:AS$1696)+SUMIF(GERAL!A$8:A$1696,A9,GERAL!AT$8:AT$1696)</f>
        <v>3180</v>
      </c>
      <c r="AP9" s="176">
        <f>SUMIF(GERAL!A$8:A$1696,A9,GERAL!AU$8:AU$1696)</f>
        <v>1728</v>
      </c>
      <c r="AQ9" s="176">
        <f>SUMIF(GERAL!A$8:A$1696,A9,GERAL!AV$8:AV$1696)</f>
        <v>1516</v>
      </c>
      <c r="AR9" s="177">
        <f>SUMIF(GERAL!A$8:A$1696,A9,GERAL!AW$8:AW$1696)</f>
        <v>6424</v>
      </c>
      <c r="AS9" s="116">
        <f>COUNTIFS(GERAL!A$8:A$1696,A9,GERAL!AJ$8:AJ$1696,"&gt;0",GERAL!C$8:C$1696,"ESCOLA")</f>
        <v>50</v>
      </c>
      <c r="AT9" s="118">
        <f>COUNTIFS(GERAL!A$8:A$1696,A9,GERAL!AJ$8:AJ$1696,"&gt;0",GERAL!C$8:C$1696,"ANEXO")</f>
        <v>14</v>
      </c>
      <c r="AU9" s="118">
        <f>COUNTIFS(GERAL!A$8:A$1696,A9,GERAL!AJ$8:AJ$1696,"&gt;0",GERAL!C$8:C$1696,"EFA")</f>
        <v>0</v>
      </c>
      <c r="AV9" s="118">
        <f>COUNTIFS('BALANÇO POR MUNICIPIOS'!$F$18:$F$434,"&gt;0",'BALANÇO POR MUNICIPIOS'!$AM$18:$AM$434,A9)</f>
        <v>26</v>
      </c>
      <c r="AW9" s="178">
        <f>COUNTIFS('BALANÇO POR MUNICIPIOS'!$F$18:$F$434,"=0",'BALANÇO POR MUNICIPIOS'!$AM$18:$AM$434,A9)</f>
        <v>0</v>
      </c>
      <c r="AX9" s="177">
        <f>SUMIF(GERAL!A$8:A$1696,A9,GERAL!AF$8:AF$1696)+SUMIF(GERAL!A$8:A$1696,A9,GERAL!AG$8:AG$1696)</f>
        <v>6982</v>
      </c>
      <c r="AY9" s="177">
        <f>SUMIF(GERAL!A$8:A$1696,A9,GERAL!AH$8:AH$1696)</f>
        <v>343</v>
      </c>
      <c r="AZ9" s="177">
        <f>SUMIF(GERAL!A$8:A$1696,A9,GERAL!AI$8:AI$1696)</f>
        <v>6472</v>
      </c>
      <c r="BA9" s="134">
        <f>SUMIF(GERAL!A$8:A$1696,A9,GERAL!AJ$8:AJ$1696)</f>
        <v>13797</v>
      </c>
      <c r="BB9" s="116">
        <f>COUNTIFS(GERAL!A$8:A$1696,A9,GERAL!AR$8:AR$1696,"&gt;0",GERAL!C$8:C$1696,"ESCOLA")</f>
        <v>47</v>
      </c>
      <c r="BC9" s="118">
        <f>COUNTIFS(GERAL!A$8:A$1696,A9,GERAL!AR$8:AR$1696,"&gt;0",GERAL!C$8:C$1696,"ANEXO")</f>
        <v>6</v>
      </c>
      <c r="BD9" s="118">
        <f>COUNTIFS(GERAL!A$8:A$1696,A9,GERAL!AR$8:AR$1696,"&gt;0",GERAL!C$8:C$1696,"EFA")</f>
        <v>0</v>
      </c>
      <c r="BE9" s="118">
        <f>COUNTIFS('BALANÇO POR MUNICIPIOS'!$H$18:$H$434,"&gt;0",'BALANÇO POR MUNICIPIOS'!$AM$18:$AM$434,A9)</f>
        <v>26</v>
      </c>
      <c r="BF9" s="118">
        <f>COUNTIFS('BALANÇO POR MUNICIPIOS'!$H$18:$H$434,"=0",'BALANÇO POR MUNICIPIOS'!$AM$18:$AM$434,A9)</f>
        <v>0</v>
      </c>
      <c r="BG9" s="177">
        <f>SUMIF(GERAL!A$8:A$1696,A9,GERAL!AO$8:AO$1696)+SUMIF(GERAL!A$8:A$1696,A9,GERAL!AP$8:AP$1696)</f>
        <v>40</v>
      </c>
      <c r="BH9" s="177">
        <f>SUMIF(GERAL!A$8:A$1696,A9,GERAL!AQ$8:AQ$1696)</f>
        <v>3214</v>
      </c>
      <c r="BI9" s="124">
        <f>SUMIF(GERAL!A$8:A$1696,A9,GERAL!AR$8:AR$1696)</f>
        <v>3254</v>
      </c>
      <c r="BJ9" s="116">
        <f>COUNTIFS(GERAL!A$8:A$1696,A9,GERAL!AR$8:AR$1696,"&gt;0",GERAL!AJ$8:AJ$1696,"&gt;0",GERAL!C$8:C$1696,"ESCOLA")</f>
        <v>45</v>
      </c>
      <c r="BK9" s="118">
        <f>COUNTIFS(GERAL!A$8:A$1696,A9,GERAL!AR$8:AR$1696,"&gt;0",GERAL!AJ$8:AJ$1696,"&gt;0",GERAL!C$8:C$1696,"ANEXO")</f>
        <v>1</v>
      </c>
      <c r="BL9" s="118">
        <f>COUNTIFS('BALANÇO POR MUNICIPIOS'!$AM$18:$AM$434,A9,'BALANÇO POR MUNICIPIOS'!$H$18:$H$434,"&gt;0",'BALANÇO POR MUNICIPIOS'!$F$18:$F$434,"&gt;0")</f>
        <v>26</v>
      </c>
      <c r="BM9" s="118">
        <f t="shared" si="4"/>
        <v>17051</v>
      </c>
      <c r="BN9" s="116">
        <f>COUNTIFS(GERAL!A$8:A$1696,A9,GERAL!AN$8:AN$1696,"&gt;0",GERAL!C$8:C$1696,"ESCOLA")</f>
        <v>6</v>
      </c>
      <c r="BO9" s="118">
        <f>COUNTIFS(GERAL!A$8:A$1696,A9,GERAL!AN$8:AN$1696,"&gt;0",GERAL!C$8:C$1696,"ANEXO")</f>
        <v>7</v>
      </c>
      <c r="BP9" s="118">
        <f>COUNTIFS(GERAL!A$8:A$1696,A9,GERAL!AN$8:AN$1696,"&gt;0",GERAL!C$8:C$1696,"EFA")</f>
        <v>0</v>
      </c>
      <c r="BQ9" s="118">
        <f>COUNTIFS('BALANÇO POR MUNICIPIOS'!$G$18:$G$434,"&gt;0",'BALANÇO POR MUNICIPIOS'!$AM$18:$AM$434,A9)</f>
        <v>3</v>
      </c>
      <c r="BR9" s="118">
        <f>COUNTIFS('BALANÇO POR MUNICIPIOS'!$G$18:$G$434,"=0",'BALANÇO POR MUNICIPIOS'!$AM$18:$AM$434,A9)</f>
        <v>23</v>
      </c>
      <c r="BS9" s="177">
        <f>SUMIF(GERAL!A$8:A$1696,A9,GERAL!AK$8:AK$1696)+SUMIF(GERAL!A$8:A$1696,A9,GERAL!AL$8:AL$1696)</f>
        <v>44</v>
      </c>
      <c r="BT9" s="177">
        <f>SUMIF(GERAL!A$8:A$1696,A9,GERAL!AM$8:AM$1696)</f>
        <v>324</v>
      </c>
      <c r="BU9" s="118">
        <f>SUMIF(GERAL!A$8:A$1696,A9,GERAL!AN$8:AN$1696)</f>
        <v>368</v>
      </c>
      <c r="BV9" s="207">
        <f>COUNTIFS(GERAL!A$8:A$1696,A9,GERAL!AE$8:AE$1696,"&gt;0",GERAL!C$8:C$1696,"ESCOLA")</f>
        <v>11</v>
      </c>
      <c r="BW9" s="207">
        <f>COUNTIFS(GERAL!A$8:A$1696,A9,GERAL!AE$8:AE$1696,"&gt;0",GERAL!C$8:C$1696,"ANEXO")</f>
        <v>13</v>
      </c>
      <c r="BX9" s="207">
        <f>COUNTIFS(GERAL!A$8:A$1696,A9,GERAL!AE$8:AE$1696,"&gt;0",GERAL!C$8:C$1696,"EFA")</f>
        <v>0</v>
      </c>
      <c r="BY9" s="177">
        <f>COUNTIFS('BALANÇO POR MUNICIPIOS'!$E$18:$E$434,"&gt;0",'BALANÇO POR MUNICIPIOS'!$AM$18:$AM$434,A9)</f>
        <v>5</v>
      </c>
      <c r="BZ9" s="177">
        <f>COUNTIFS('BALANÇO POR MUNICIPIOS'!$E$18:$E$434,"=0",'BALANÇO POR MUNICIPIOS'!$AM$18:$AM$434,A9)</f>
        <v>21</v>
      </c>
      <c r="CA9" s="177">
        <f>SUMIF(GERAL!A$8:A$1696,A9,GERAL!AA$8:AA$1696)+SUMIF(GERAL!A$8:A$1696,A9,GERAL!AB$8:AB$1696)</f>
        <v>2638</v>
      </c>
      <c r="CB9" s="177">
        <f>SUMIF(GERAL!A$8:A$1696,A9,GERAL!AC$8:AC$1696)</f>
        <v>0</v>
      </c>
      <c r="CC9" s="118">
        <f>SUMIF(GERAL!A$8:A$1696,A9,GERAL!AE$8:AE$1696)</f>
        <v>2698</v>
      </c>
      <c r="CD9" s="118">
        <f>COUNTIFS(GERAL!A$8:A$1696,A9,GERAL!Z$8:Z$1696,"&gt;0",GERAL!C$8:C$1696,"ESCOLA")</f>
        <v>6</v>
      </c>
      <c r="CE9" s="118">
        <f>COUNTIFS(GERAL!A$8:A$1696,A9,GERAL!Z$8:Z$1696,"&gt;0",GERAL!C$8:C$1696,"ANEXO")</f>
        <v>9</v>
      </c>
      <c r="CF9" s="118">
        <f>COUNTIFS(GERAL!A$8:A$1696,A9,GERAL!Z$8:Z$1696,"&gt;0",GERAL!C$8:C$1696,"EFA")</f>
        <v>0</v>
      </c>
      <c r="CG9" s="177">
        <f>COUNTIFS('BALANÇO POR MUNICIPIOS'!$D$18:$D$434,"&gt;0",'BALANÇO POR MUNICIPIOS'!$AM$18:$AM$434,A9)</f>
        <v>2</v>
      </c>
      <c r="CH9" s="177">
        <f>COUNTIFS('BALANÇO POR MUNICIPIOS'!$D$18:$D$434,"=0",'BALANÇO POR MUNICIPIOS'!$AM$18:$AM$434,A9)</f>
        <v>24</v>
      </c>
      <c r="CI9" s="177">
        <f>SUMIF(GERAL!A$8:A$1696,A9,GERAL!V$8:V$1696)+SUMIF(GERAL!A$8:A$1696,A9,GERAL!W$8:W$1696)</f>
        <v>239</v>
      </c>
      <c r="CJ9" s="118">
        <f>SUMIF(GERAL!A$8:A$1696,A9,GERAL!Z$8:Z$1696)</f>
        <v>239</v>
      </c>
      <c r="CK9" s="118">
        <f>COUNTIFS(GERAL!$A$8:$A32,A9,GERAL!$BD$8:$BD32,"CEMIT",GERAL!$C$8:$C32,"ESCOLA")</f>
        <v>1</v>
      </c>
      <c r="CL9" s="118">
        <f>COUNTIFS(GERAL!$A$8:$A32,A9,GERAL!$BD$8:$BD32,"CEMIT",GERAL!$C$8:$C32,"ANEXO")</f>
        <v>13</v>
      </c>
      <c r="CM9" s="118">
        <f>SUMIFS(GERAL!$BB$8:$BB32,GERAL!$A$8:$A32,A9,GERAL!$BD$8:$BD32,"CEMIT")</f>
        <v>377</v>
      </c>
    </row>
    <row r="10">
      <c r="A10" s="135" t="s">
        <v>540</v>
      </c>
      <c r="B10" s="75">
        <f>COUNTIFS(GERAL!$A$8:$A32,A10,GERAL!$C$8:$C32,"ESCOLA")</f>
        <v>24</v>
      </c>
      <c r="C10" s="75">
        <f>COUNTIFS(GERAL!A$8:A$1696,A10,GERAL!C$8:C$1696,"ANEXO")</f>
        <v>29</v>
      </c>
      <c r="D10" s="75">
        <f>COUNTIFS(GERAL!A$8:A$1696,A10,GERAL!C$8:C$1696,"EFA")</f>
        <v>3</v>
      </c>
      <c r="E10" s="85">
        <f>SUMIF(GERAL!A$8:A$1696,A10,GERAL!Z$8:Z$1696)</f>
        <v>0</v>
      </c>
      <c r="F10" s="85">
        <f>SUMIF(GERAL!A$8:A$1696,A10,GERAL!AE$8:AE$1696)</f>
        <v>0</v>
      </c>
      <c r="G10" s="85">
        <f>SUMIF(GERAL!A$8:A$1696,A10,GERAL!AJ$8:AJ$1696)</f>
        <v>6931</v>
      </c>
      <c r="H10" s="85">
        <f>SUMIF(GERAL!A$8:A$1696,A10,GERAL!AN$8:AN$1696)</f>
        <v>0</v>
      </c>
      <c r="I10" s="85">
        <f>SUMIF(GERAL!A$8:A$1696,A10,GERAL!AR$8:AW$1696)</f>
        <v>2168</v>
      </c>
      <c r="J10" s="85">
        <f>SUMIF(GERAL!A$8:A$1696,A10,GERAL!AW$8:AW$1696)</f>
        <v>3323</v>
      </c>
      <c r="K10" s="88">
        <f>SUMIF(GERAL!A$8:A$1696,A10,GERAL!AX$8:AX$1696)</f>
        <v>12422</v>
      </c>
      <c r="L10" s="95">
        <f>COUNTIFS(GERAL!A$8:A$1696,A10,GERAL!AY$8:AY$1696,"&gt;0",GERAL!C$8:C$1696,"ESCOLA")</f>
        <v>22</v>
      </c>
      <c r="M10" s="75">
        <f>COUNTIFS(GERAL!A$8:A$1696,A10,GERAL!AY$8:AY$1696,"&gt;0",GERAL!C$8:C$1696,"ANEXO")</f>
        <v>14</v>
      </c>
      <c r="N10" s="100">
        <f>SUMIF(GERAL!A$8:A$1696,A10,GERAL!V$8:V$1696)+SUMIF(GERAL!A$8:A$1696,A10,GERAL!W$8:W$1696)</f>
        <v>0</v>
      </c>
      <c r="O10" s="100">
        <f>SUMIF(GERAL!A$8:A$1696,A10,GERAL!AA$8:AA$1696)+SUMIF(GERAL!A$8:A$1696,A10,GERAL!AB$8:AB$1696)</f>
        <v>0</v>
      </c>
      <c r="P10" s="100">
        <f>SUMIF(GERAL!A$8:A$1696,A10,GERAL!AF$8:AF$1696)+SUMIF(GERAL!A$8:A$1696,A10,GERAL!AG$8:AG$1696)</f>
        <v>3532</v>
      </c>
      <c r="Q10" s="100">
        <f>SUMIF(GERAL!A$8:A$1696,A10,GERAL!AK$8:AK$1696)+SUMIF(GERAL!A$8:A$1696,A10,GERAL!AL$8:AL$1696)</f>
        <v>0</v>
      </c>
      <c r="R10" s="100">
        <f>SUMIF(GERAL!A$8:A$1696,A10,GERAL!AO$8:AO$1696)+SUMIF(GERAL!A$8:A$1696,A10,GERAL!AP$8:AP$1696)</f>
        <v>0</v>
      </c>
      <c r="S10" s="100">
        <f>SUMIF(GERAL!A$8:A$1696,A10,GERAL!AS$8:AS$1696)+SUMIF(GERAL!A$8:A$1696,A10,GERAL!AT$8:AT$1696)</f>
        <v>1885</v>
      </c>
      <c r="T10" s="103">
        <f t="shared" si="1"/>
        <v>5417</v>
      </c>
      <c r="U10" s="75">
        <f>COUNTIFS(GERAL!A$8:A$1696,A10,GERAL!AZ$8:AZ$1696,"&gt;0",GERAL!C$8:C$1696,"ESCOLA")</f>
        <v>22</v>
      </c>
      <c r="V10" s="75">
        <f>COUNTIFS(GERAL!A$8:A$1696,A10,GERAL!AZ$8:AZ$1696,"&gt;0",GERAL!C$8:C$1696,"ANEXO")</f>
        <v>23</v>
      </c>
      <c r="W10" s="85">
        <f>SUMIF(GERAL!A$8:A$1696,A10,GERAL!AH$8:AH$1696)</f>
        <v>300</v>
      </c>
      <c r="X10" s="85">
        <f>SUMIF(GERAL!A$8:A$1696,A10,GERAL!AM$8:AM$1696)</f>
        <v>0</v>
      </c>
      <c r="Y10" s="85">
        <f>SUMIF(GERAL!A$8:A$1696,A10,GERAL!AQ$8:AQ$1696)</f>
        <v>2168</v>
      </c>
      <c r="Z10" s="85">
        <f>SUMIF(GERAL!A$8:A$1696,A10,GERAL!AU$8:AU$1696)</f>
        <v>779</v>
      </c>
      <c r="AA10" s="88">
        <f t="shared" si="2"/>
        <v>3247</v>
      </c>
      <c r="AB10" s="116">
        <f>COUNTIFS(GERAL!A$8:A$1696,A10,GERAL!BK$8:BK$1696,"&gt;0",GERAL!C$8:C$1696,"ESCOLA")</f>
        <v>19</v>
      </c>
      <c r="AC10" s="118">
        <f>COUNTIFS(GERAL!A$8:A$1696,A10,GERAL!BK$8:BK$1696,"&gt;0",GERAL!C$8:C$1696,"ANEXO")</f>
        <v>0</v>
      </c>
      <c r="AD10" s="118">
        <f>COUNTIFS(GERAL!A$8:A$1696,A10,GERAL!BK$8:BK$1696,"&gt;0",GERAL!C$8:C$1696,"EFA")</f>
        <v>3</v>
      </c>
      <c r="AE10" s="118">
        <f>COUNTIFS('BALANÇO POR MUNICIPIOS'!$AF$18:$AF$434,"&gt;0",'BALANÇO POR MUNICIPIOS'!$AM$18:$AM$434,A10)</f>
        <v>15</v>
      </c>
      <c r="AF10" s="118">
        <f>COUNTIFS('BALANÇO POR MUNICIPIOS'!$AF$18:$AF$434,"=0",'BALANÇO POR MUNICIPIOS'!$AM$18:$AM$434,A10)</f>
        <v>0</v>
      </c>
      <c r="AG10" s="121">
        <f>SUMIF(GERAL!A$8:A$1696,A10,GERAL!AD$8:AD$1696)</f>
        <v>0</v>
      </c>
      <c r="AH10" s="121">
        <f>SUMIF(GERAL!A$8:A$1696,A10,GERAL!AI$8:AI$1696)</f>
        <v>3099</v>
      </c>
      <c r="AI10" s="121">
        <f>SUMIF(GERAL!A$8:A$1696,A10,GERAL!AV$8:AV$1696)</f>
        <v>659</v>
      </c>
      <c r="AJ10" s="124">
        <f t="shared" si="3"/>
        <v>3758</v>
      </c>
      <c r="AK10" s="116">
        <f>COUNTIFS(GERAL!A$8:A$1696,A10,GERAL!AW$8:AW$1696,"&gt;0",GERAL!C$8:C$1696,"ESCOLA")</f>
        <v>17</v>
      </c>
      <c r="AL10" s="118">
        <f>COUNTIFS(GERAL!A$8:A$1696,A10,GERAL!AW$8:AW$1696,"&gt;0",GERAL!C$8:C$1696,"ANEXO")</f>
        <v>1</v>
      </c>
      <c r="AM10" s="118">
        <f>COUNTIFS('BALANÇO POR MUNICIPIOS'!$AL$18:$AL$434,"&gt;0",'BALANÇO POR MUNICIPIOS'!$AM$18:$AM$434,A10)</f>
        <v>15</v>
      </c>
      <c r="AN10" s="118">
        <f>COUNTIFS('BALANÇO POR MUNICIPIOS'!$AL$18:$AL$434,"=0",'BALANÇO POR MUNICIPIOS'!$AM$18:$AM$434,A10)</f>
        <v>0</v>
      </c>
      <c r="AO10" s="176">
        <f>SUMIF(GERAL!A$8:A$1696,A10,GERAL!AS$8:AS$1696)+SUMIF(GERAL!A$8:A$1696,A10,GERAL!AT$8:AT$1696)</f>
        <v>1885</v>
      </c>
      <c r="AP10" s="176">
        <f>SUMIF(GERAL!A$8:A$1696,A10,GERAL!AU$8:AU$1696)</f>
        <v>779</v>
      </c>
      <c r="AQ10" s="176">
        <f>SUMIF(GERAL!A$8:A$1696,A10,GERAL!AV$8:AV$1696)</f>
        <v>659</v>
      </c>
      <c r="AR10" s="177">
        <f>SUMIF(GERAL!A$8:A$1696,A10,GERAL!AW$8:AW$1696)</f>
        <v>3323</v>
      </c>
      <c r="AS10" s="116">
        <f>COUNTIFS(GERAL!A$8:A$1696,A10,GERAL!AJ$8:AJ$1696,"&gt;0",GERAL!C$8:C$1696,"ESCOLA")</f>
        <v>20</v>
      </c>
      <c r="AT10" s="118">
        <f>COUNTIFS(GERAL!A$8:A$1696,A10,GERAL!AJ$8:AJ$1696,"&gt;0",GERAL!C$8:C$1696,"ANEXO")</f>
        <v>26</v>
      </c>
      <c r="AU10" s="118">
        <f>COUNTIFS(GERAL!A$8:A$1696,A10,GERAL!AJ$8:AJ$1696,"&gt;0",GERAL!C$8:C$1696,"EFA")</f>
        <v>3</v>
      </c>
      <c r="AV10" s="118">
        <f>COUNTIFS('BALANÇO POR MUNICIPIOS'!$F$18:$F$434,"&gt;0",'BALANÇO POR MUNICIPIOS'!$AM$18:$AM$434,A10)</f>
        <v>15</v>
      </c>
      <c r="AW10" s="178">
        <f>COUNTIFS('BALANÇO POR MUNICIPIOS'!$F$18:$F$434,"=0",'BALANÇO POR MUNICIPIOS'!$AM$18:$AM$434,A10)</f>
        <v>0</v>
      </c>
      <c r="AX10" s="177">
        <f>SUMIF(GERAL!A$8:A$1696,A10,GERAL!AF$8:AF$1696)+SUMIF(GERAL!A$8:A$1696,A10,GERAL!AG$8:AG$1696)</f>
        <v>3532</v>
      </c>
      <c r="AY10" s="177">
        <f>SUMIF(GERAL!A$8:A$1696,A10,GERAL!AH$8:AH$1696)</f>
        <v>300</v>
      </c>
      <c r="AZ10" s="177">
        <f>SUMIF(GERAL!A$8:A$1696,A10,GERAL!AI$8:AI$1696)</f>
        <v>3099</v>
      </c>
      <c r="BA10" s="134">
        <f>SUMIF(GERAL!A$8:A$1696,A10,GERAL!AJ$8:AJ$1696)</f>
        <v>6931</v>
      </c>
      <c r="BB10" s="116">
        <f>COUNTIFS(GERAL!A$8:A$1696,A10,GERAL!AR$8:AR$1696,"&gt;0",GERAL!C$8:C$1696,"ESCOLA")</f>
        <v>20</v>
      </c>
      <c r="BC10" s="118">
        <f>COUNTIFS(GERAL!A$8:A$1696,A10,GERAL!AR$8:AR$1696,"&gt;0",GERAL!C$8:C$1696,"ANEXO")</f>
        <v>8</v>
      </c>
      <c r="BD10" s="118">
        <f>COUNTIFS(GERAL!A$8:A$1696,A10,GERAL!AR$8:AR$1696,"&gt;0",GERAL!C$8:C$1696,"EFA")</f>
        <v>0</v>
      </c>
      <c r="BE10" s="118">
        <f>COUNTIFS('BALANÇO POR MUNICIPIOS'!$H$18:$H$434,"&gt;0",'BALANÇO POR MUNICIPIOS'!$AM$18:$AM$434,A10)</f>
        <v>15</v>
      </c>
      <c r="BF10" s="118">
        <f>COUNTIFS('BALANÇO POR MUNICIPIOS'!$H$18:$H$434,"=0",'BALANÇO POR MUNICIPIOS'!$AM$18:$AM$434,A10)</f>
        <v>0</v>
      </c>
      <c r="BG10" s="177">
        <f>SUMIF(GERAL!A$8:A$1696,A10,GERAL!AO$8:AO$1696)+SUMIF(GERAL!A$8:A$1696,A10,GERAL!AP$8:AP$1696)</f>
        <v>0</v>
      </c>
      <c r="BH10" s="177">
        <f>SUMIF(GERAL!A$8:A$1696,A10,GERAL!AQ$8:AQ$1696)</f>
        <v>2168</v>
      </c>
      <c r="BI10" s="124">
        <f>SUMIF(GERAL!A$8:A$1696,A10,GERAL!AR$8:AR$1696)</f>
        <v>2168</v>
      </c>
      <c r="BJ10" s="116">
        <f>COUNTIFS(GERAL!A$8:A$1696,A10,GERAL!AR$8:AR$1696,"&gt;0",GERAL!AJ$8:AJ$1696,"&gt;0",GERAL!C$8:C$1696,"ESCOLA")</f>
        <v>20</v>
      </c>
      <c r="BK10" s="118">
        <f>COUNTIFS(GERAL!A$8:A$1696,A10,GERAL!AR$8:AR$1696,"&gt;0",GERAL!AJ$8:AJ$1696,"&gt;0",GERAL!C$8:C$1696,"ANEXO")</f>
        <v>7</v>
      </c>
      <c r="BL10" s="118">
        <f>COUNTIFS('BALANÇO POR MUNICIPIOS'!$AM$18:$AM$434,A10,'BALANÇO POR MUNICIPIOS'!$H$18:$H$434,"&gt;0",'BALANÇO POR MUNICIPIOS'!$F$18:$F$434,"&gt;0")</f>
        <v>15</v>
      </c>
      <c r="BM10" s="118">
        <f t="shared" si="4"/>
        <v>9099</v>
      </c>
      <c r="BN10" s="116">
        <f>COUNTIFS(GERAL!A$8:A$1696,A10,GERAL!AN$8:AN$1696,"&gt;0",GERAL!C$8:C$1696,"ESCOLA")</f>
        <v>0</v>
      </c>
      <c r="BO10" s="118">
        <f>COUNTIFS(GERAL!A$8:A$1696,A10,GERAL!AN$8:AN$1696,"&gt;0",GERAL!C$8:C$1696,"ANEXO")</f>
        <v>0</v>
      </c>
      <c r="BP10" s="118">
        <f>COUNTIFS(GERAL!A$8:A$1696,A10,GERAL!AN$8:AN$1696,"&gt;0",GERAL!C$8:C$1696,"EFA")</f>
        <v>0</v>
      </c>
      <c r="BQ10" s="118">
        <f>COUNTIFS('BALANÇO POR MUNICIPIOS'!$G$18:$G$434,"&gt;0",'BALANÇO POR MUNICIPIOS'!$AM$18:$AM$434,A10)</f>
        <v>0</v>
      </c>
      <c r="BR10" s="118">
        <f>COUNTIFS('BALANÇO POR MUNICIPIOS'!$G$18:$G$434,"=0",'BALANÇO POR MUNICIPIOS'!$AM$18:$AM$434,A10)</f>
        <v>15</v>
      </c>
      <c r="BS10" s="177">
        <f>SUMIF(GERAL!A$8:A$1696,A10,GERAL!AK$8:AK$1696)+SUMIF(GERAL!A$8:A$1696,A10,GERAL!AL$8:AL$1696)</f>
        <v>0</v>
      </c>
      <c r="BT10" s="177">
        <f>SUMIF(GERAL!A$8:A$1696,A10,GERAL!AM$8:AM$1696)</f>
        <v>0</v>
      </c>
      <c r="BU10" s="118">
        <f>SUMIF(GERAL!A$8:A$1696,A10,GERAL!AN$8:AN$1696)</f>
        <v>0</v>
      </c>
      <c r="BV10" s="207">
        <f>COUNTIFS(GERAL!A$8:A$1696,A10,GERAL!AE$8:AE$1696,"&gt;0",GERAL!C$8:C$1696,"ESCOLA")</f>
        <v>0</v>
      </c>
      <c r="BW10" s="207">
        <f>COUNTIFS(GERAL!A$8:A$1696,A10,GERAL!AE$8:AE$1696,"&gt;0",GERAL!C$8:C$1696,"ANEXO")</f>
        <v>0</v>
      </c>
      <c r="BX10" s="207">
        <f>COUNTIFS(GERAL!A$8:A$1696,A10,GERAL!AE$8:AE$1696,"&gt;0",GERAL!C$8:C$1696,"EFA")</f>
        <v>0</v>
      </c>
      <c r="BY10" s="177">
        <f>COUNTIFS('BALANÇO POR MUNICIPIOS'!$E$18:$E$434,"&gt;0",'BALANÇO POR MUNICIPIOS'!$AM$18:$AM$434,A10)</f>
        <v>0</v>
      </c>
      <c r="BZ10" s="177">
        <f>COUNTIFS('BALANÇO POR MUNICIPIOS'!$E$18:$E$434,"=0",'BALANÇO POR MUNICIPIOS'!$AM$18:$AM$434,A10)</f>
        <v>15</v>
      </c>
      <c r="CA10" s="177">
        <f>SUMIF(GERAL!A$8:A$1696,A10,GERAL!AA$8:AA$1696)+SUMIF(GERAL!A$8:A$1696,A10,GERAL!AB$8:AB$1696)</f>
        <v>0</v>
      </c>
      <c r="CB10" s="177">
        <f>SUMIF(GERAL!A$8:A$1696,A10,GERAL!AC$8:AC$1696)</f>
        <v>0</v>
      </c>
      <c r="CC10" s="118">
        <f>SUMIF(GERAL!A$8:A$1696,A10,GERAL!AE$8:AE$1696)</f>
        <v>0</v>
      </c>
      <c r="CD10" s="118">
        <f>COUNTIFS(GERAL!A$8:A$1696,A10,GERAL!Z$8:Z$1696,"&gt;0",GERAL!C$8:C$1696,"ESCOLA")</f>
        <v>0</v>
      </c>
      <c r="CE10" s="118">
        <f>COUNTIFS(GERAL!A$8:A$1696,A10,GERAL!Z$8:Z$1696,"&gt;0",GERAL!C$8:C$1696,"ANEXO")</f>
        <v>0</v>
      </c>
      <c r="CF10" s="118">
        <f>COUNTIFS(GERAL!A$8:A$1696,A10,GERAL!Z$8:Z$1696,"&gt;0",GERAL!C$8:C$1696,"EFA")</f>
        <v>0</v>
      </c>
      <c r="CG10" s="177">
        <f>COUNTIFS('BALANÇO POR MUNICIPIOS'!$D$18:$D$434,"&gt;0",'BALANÇO POR MUNICIPIOS'!$AM$18:$AM$434,A10)</f>
        <v>0</v>
      </c>
      <c r="CH10" s="177">
        <f>COUNTIFS('BALANÇO POR MUNICIPIOS'!$D$18:$D$434,"=0",'BALANÇO POR MUNICIPIOS'!$AM$18:$AM$434,A10)</f>
        <v>15</v>
      </c>
      <c r="CI10" s="177">
        <f>SUMIF(GERAL!A$8:A$1696,A10,GERAL!V$8:V$1696)+SUMIF(GERAL!A$8:A$1696,A10,GERAL!W$8:W$1696)</f>
        <v>0</v>
      </c>
      <c r="CJ10" s="118">
        <f>SUMIF(GERAL!A$8:A$1696,A10,GERAL!Z$8:Z$1696)</f>
        <v>0</v>
      </c>
      <c r="CK10" s="118">
        <f>COUNTIFS(GERAL!$A$8:$A32,A10,GERAL!$BD$8:$BD32,"CEMIT",GERAL!$C$8:$C32,"ESCOLA")</f>
        <v>1</v>
      </c>
      <c r="CL10" s="118">
        <f>COUNTIFS(GERAL!$A$8:$A32,A10,GERAL!$BD$8:$BD32,"CEMIT",GERAL!$C$8:$C32,"ANEXO")</f>
        <v>19</v>
      </c>
      <c r="CM10" s="118">
        <f>SUMIFS(GERAL!$BB$8:$BB32,GERAL!$A$8:$A32,A10,GERAL!$BD$8:$BD32,"CEMIT")</f>
        <v>471</v>
      </c>
    </row>
    <row r="11">
      <c r="A11" s="151" t="s">
        <v>605</v>
      </c>
      <c r="B11" s="75">
        <f>COUNTIFS(GERAL!$A$8:$A32,A11,GERAL!$C$8:$C32,"ESCOLA")</f>
        <v>35</v>
      </c>
      <c r="C11" s="75">
        <f>COUNTIFS(GERAL!A$8:A$1696,A11,GERAL!C$8:C$1696,"ANEXO")</f>
        <v>52</v>
      </c>
      <c r="D11" s="75">
        <f>COUNTIFS(GERAL!A$8:A$1696,A11,GERAL!C$8:C$1696,"EFA")</f>
        <v>0</v>
      </c>
      <c r="E11" s="85">
        <f>SUMIF(GERAL!A$8:A$1696,A11,GERAL!Z$8:Z$1696)</f>
        <v>294</v>
      </c>
      <c r="F11" s="85">
        <f>SUMIF(GERAL!A$8:A$1696,A11,GERAL!AE$8:AE$1696)</f>
        <v>1385</v>
      </c>
      <c r="G11" s="85">
        <f>SUMIF(GERAL!A$8:A$1696,A11,GERAL!AJ$8:AJ$1696)</f>
        <v>8779</v>
      </c>
      <c r="H11" s="85">
        <f>SUMIF(GERAL!A$8:A$1696,A11,GERAL!AN$8:AN$1696)</f>
        <v>245</v>
      </c>
      <c r="I11" s="85">
        <f>SUMIF(GERAL!A$8:A$1696,A11,GERAL!AR$8:AW$1696)</f>
        <v>3559</v>
      </c>
      <c r="J11" s="85">
        <f>SUMIF(GERAL!A$8:A$1696,A11,GERAL!AW$8:AW$1696)</f>
        <v>2203</v>
      </c>
      <c r="K11" s="88">
        <f>SUMIF(GERAL!A$8:A$1696,A11,GERAL!AX$8:AX$1696)</f>
        <v>16465</v>
      </c>
      <c r="L11" s="95">
        <f>COUNTIFS(GERAL!A$8:A$1696,A11,GERAL!AY$8:AY$1696,"&gt;0",GERAL!C$8:C$1696,"ESCOLA")</f>
        <v>33</v>
      </c>
      <c r="M11" s="75">
        <f>COUNTIFS(GERAL!A$8:A$1696,A11,GERAL!AY$8:AY$1696,"&gt;0",GERAL!C$8:C$1696,"ANEXO")</f>
        <v>15</v>
      </c>
      <c r="N11" s="100">
        <f>SUMIF(GERAL!A$8:A$1696,A11,GERAL!V$8:V$1696)+SUMIF(GERAL!A$8:A$1696,A11,GERAL!W$8:W$1696)</f>
        <v>294</v>
      </c>
      <c r="O11" s="100">
        <f>SUMIF(GERAL!A$8:A$1696,A11,GERAL!AA$8:AA$1696)+SUMIF(GERAL!A$8:A$1696,A11,GERAL!AB$8:AB$1696)</f>
        <v>1189</v>
      </c>
      <c r="P11" s="100">
        <f>SUMIF(GERAL!A$8:A$1696,A11,GERAL!AF$8:AF$1696)+SUMIF(GERAL!A$8:A$1696,A11,GERAL!AG$8:AG$1696)</f>
        <v>3396</v>
      </c>
      <c r="Q11" s="100">
        <f>SUMIF(GERAL!A$8:A$1696,A11,GERAL!AK$8:AK$1696)+SUMIF(GERAL!A$8:A$1696,A11,GERAL!AL$8:AL$1696)</f>
        <v>82</v>
      </c>
      <c r="R11" s="100">
        <f>SUMIF(GERAL!A$8:A$1696,A11,GERAL!AO$8:AO$1696)+SUMIF(GERAL!A$8:A$1696,A11,GERAL!AP$8:AP$1696)</f>
        <v>126</v>
      </c>
      <c r="S11" s="100">
        <f>SUMIF(GERAL!A$8:A$1696,A11,GERAL!AS$8:AS$1696)+SUMIF(GERAL!A$8:A$1696,A11,GERAL!AT$8:AT$1696)</f>
        <v>1063</v>
      </c>
      <c r="T11" s="103">
        <f t="shared" si="1"/>
        <v>6150</v>
      </c>
      <c r="U11" s="75">
        <f>COUNTIFS(GERAL!A$8:A$1696,A11,GERAL!AZ$8:AZ$1696,"&gt;0",GERAL!C$8:C$1696,"ESCOLA")</f>
        <v>31</v>
      </c>
      <c r="V11" s="75">
        <f>COUNTIFS(GERAL!A$8:A$1696,A11,GERAL!AZ$8:AZ$1696,"&gt;0",GERAL!C$8:C$1696,"ANEXO")</f>
        <v>50</v>
      </c>
      <c r="W11" s="85">
        <f>SUMIF(GERAL!A$8:A$1696,A11,GERAL!AH$8:AH$1696)</f>
        <v>556</v>
      </c>
      <c r="X11" s="85">
        <f>SUMIF(GERAL!A$8:A$1696,A11,GERAL!AM$8:AM$1696)</f>
        <v>163</v>
      </c>
      <c r="Y11" s="85">
        <f>SUMIF(GERAL!A$8:A$1696,A11,GERAL!AQ$8:AQ$1696)</f>
        <v>3433</v>
      </c>
      <c r="Z11" s="85">
        <f>SUMIF(GERAL!A$8:A$1696,A11,GERAL!AU$8:AU$1696)</f>
        <v>385</v>
      </c>
      <c r="AA11" s="88">
        <f t="shared" si="2"/>
        <v>4537</v>
      </c>
      <c r="AB11" s="116">
        <f>COUNTIFS(GERAL!A$8:A$1696,A11,GERAL!BK$8:BK$1696,"&gt;0",GERAL!C$8:C$1696,"ESCOLA")</f>
        <v>19</v>
      </c>
      <c r="AC11" s="118">
        <f>COUNTIFS(GERAL!A$8:A$1696,A11,GERAL!BK$8:BK$1696,"&gt;0",GERAL!C$8:C$1696,"ANEXO")</f>
        <v>0</v>
      </c>
      <c r="AD11" s="118">
        <f>COUNTIFS(GERAL!A$8:A$1696,A11,GERAL!BK$8:BK$1696,"&gt;0",GERAL!C$8:C$1696,"EFA")</f>
        <v>0</v>
      </c>
      <c r="AE11" s="118">
        <f>COUNTIFS('BALANÇO POR MUNICIPIOS'!$AF$18:$AF$434,"&gt;0",'BALANÇO POR MUNICIPIOS'!$AM$18:$AM$434,A11)</f>
        <v>11</v>
      </c>
      <c r="AF11" s="118">
        <f>COUNTIFS('BALANÇO POR MUNICIPIOS'!$AF$18:$AF$434,"=0",'BALANÇO POR MUNICIPIOS'!$AM$18:$AM$434,A11)</f>
        <v>2</v>
      </c>
      <c r="AG11" s="121">
        <f>SUMIF(GERAL!A$8:A$1696,A11,GERAL!AD$8:AD$1696)</f>
        <v>196</v>
      </c>
      <c r="AH11" s="121">
        <f>SUMIF(GERAL!A$8:A$1696,A11,GERAL!AI$8:AI$1696)</f>
        <v>4827</v>
      </c>
      <c r="AI11" s="121">
        <f>SUMIF(GERAL!A$8:A$1696,A11,GERAL!AV$8:AV$1696)</f>
        <v>755</v>
      </c>
      <c r="AJ11" s="124">
        <f t="shared" si="3"/>
        <v>5778</v>
      </c>
      <c r="AK11" s="116">
        <f>COUNTIFS(GERAL!A$8:A$1696,A11,GERAL!AW$8:AW$1696,"&gt;0",GERAL!C$8:C$1696,"ESCOLA")</f>
        <v>14</v>
      </c>
      <c r="AL11" s="118">
        <f>COUNTIFS(GERAL!A$8:A$1696,A11,GERAL!AW$8:AW$1696,"&gt;0",GERAL!C$8:C$1696,"ANEXO")</f>
        <v>0</v>
      </c>
      <c r="AM11" s="118">
        <f>COUNTIFS('BALANÇO POR MUNICIPIOS'!$AL$18:$AL$434,"&gt;0",'BALANÇO POR MUNICIPIOS'!$AM$18:$AM$434,A11)</f>
        <v>13</v>
      </c>
      <c r="AN11" s="118">
        <f>COUNTIFS('BALANÇO POR MUNICIPIOS'!$AL$18:$AL$434,"=0",'BALANÇO POR MUNICIPIOS'!$AM$18:$AM$434,A11)</f>
        <v>0</v>
      </c>
      <c r="AO11" s="176">
        <f>SUMIF(GERAL!A$8:A$1696,A11,GERAL!AS$8:AS$1696)+SUMIF(GERAL!A$8:A$1696,A11,GERAL!AT$8:AT$1696)</f>
        <v>1063</v>
      </c>
      <c r="AP11" s="176">
        <f>SUMIF(GERAL!A$8:A$1696,A11,GERAL!AU$8:AU$1696)</f>
        <v>385</v>
      </c>
      <c r="AQ11" s="176">
        <f>SUMIF(GERAL!A$8:A$1696,A11,GERAL!AV$8:AV$1696)</f>
        <v>755</v>
      </c>
      <c r="AR11" s="177">
        <f>SUMIF(GERAL!A$8:A$1696,A11,GERAL!AW$8:AW$1696)</f>
        <v>2203</v>
      </c>
      <c r="AS11" s="116">
        <f>COUNTIFS(GERAL!A$8:A$1696,A11,GERAL!AJ$8:AJ$1696,"&gt;0",GERAL!C$8:C$1696,"ESCOLA")</f>
        <v>30</v>
      </c>
      <c r="AT11" s="118">
        <f>COUNTIFS(GERAL!A$8:A$1696,A11,GERAL!AJ$8:AJ$1696,"&gt;0",GERAL!C$8:C$1696,"ANEXO")</f>
        <v>26</v>
      </c>
      <c r="AU11" s="118">
        <f>COUNTIFS(GERAL!A$8:A$1696,A11,GERAL!AJ$8:AJ$1696,"&gt;0",GERAL!C$8:C$1696,"EFA")</f>
        <v>0</v>
      </c>
      <c r="AV11" s="118">
        <f>COUNTIFS('BALANÇO POR MUNICIPIOS'!$F$18:$F$434,"&gt;0",'BALANÇO POR MUNICIPIOS'!$AM$18:$AM$434,A11)</f>
        <v>13</v>
      </c>
      <c r="AW11" s="178">
        <f>COUNTIFS('BALANÇO POR MUNICIPIOS'!$F$18:$F$434,"=0",'BALANÇO POR MUNICIPIOS'!$AM$18:$AM$434,A11)</f>
        <v>0</v>
      </c>
      <c r="AX11" s="177">
        <f>SUMIF(GERAL!A$8:A$1696,A11,GERAL!AF$8:AF$1696)+SUMIF(GERAL!A$8:A$1696,A11,GERAL!AG$8:AG$1696)</f>
        <v>3396</v>
      </c>
      <c r="AY11" s="177">
        <f>SUMIF(GERAL!A$8:A$1696,A11,GERAL!AH$8:AH$1696)</f>
        <v>556</v>
      </c>
      <c r="AZ11" s="177">
        <f>SUMIF(GERAL!A$8:A$1696,A11,GERAL!AI$8:AI$1696)</f>
        <v>4827</v>
      </c>
      <c r="BA11" s="134">
        <f>SUMIF(GERAL!A$8:A$1696,A11,GERAL!AJ$8:AJ$1696)</f>
        <v>8779</v>
      </c>
      <c r="BB11" s="116">
        <f>COUNTIFS(GERAL!A$8:A$1696,A11,GERAL!AR$8:AR$1696,"&gt;0",GERAL!C$8:C$1696,"ESCOLA")</f>
        <v>30</v>
      </c>
      <c r="BC11" s="118">
        <f>COUNTIFS(GERAL!A$8:A$1696,A11,GERAL!AR$8:AR$1696,"&gt;0",GERAL!C$8:C$1696,"ANEXO")</f>
        <v>27</v>
      </c>
      <c r="BD11" s="118">
        <f>COUNTIFS(GERAL!A$8:A$1696,A11,GERAL!AR$8:AR$1696,"&gt;0",GERAL!C$8:C$1696,"EFA")</f>
        <v>0</v>
      </c>
      <c r="BE11" s="118">
        <f>COUNTIFS('BALANÇO POR MUNICIPIOS'!$H$18:$H$434,"&gt;0",'BALANÇO POR MUNICIPIOS'!$AM$18:$AM$434,A11)</f>
        <v>13</v>
      </c>
      <c r="BF11" s="118">
        <f>COUNTIFS('BALANÇO POR MUNICIPIOS'!$H$18:$H$434,"=0",'BALANÇO POR MUNICIPIOS'!$AM$18:$AM$434,A11)</f>
        <v>0</v>
      </c>
      <c r="BG11" s="177">
        <f>SUMIF(GERAL!A$8:A$1696,A11,GERAL!AO$8:AO$1696)+SUMIF(GERAL!A$8:A$1696,A11,GERAL!AP$8:AP$1696)</f>
        <v>126</v>
      </c>
      <c r="BH11" s="177">
        <f>SUMIF(GERAL!A$8:A$1696,A11,GERAL!AQ$8:AQ$1696)</f>
        <v>3433</v>
      </c>
      <c r="BI11" s="124">
        <f>SUMIF(GERAL!A$8:A$1696,A11,GERAL!AR$8:AR$1696)</f>
        <v>3559</v>
      </c>
      <c r="BJ11" s="116">
        <f>COUNTIFS(GERAL!A$8:A$1696,A11,GERAL!AR$8:AR$1696,"&gt;0",GERAL!AJ$8:AJ$1696,"&gt;0",GERAL!C$8:C$1696,"ESCOLA")</f>
        <v>28</v>
      </c>
      <c r="BK11" s="118">
        <f>COUNTIFS(GERAL!A$8:A$1696,A11,GERAL!AR$8:AR$1696,"&gt;0",GERAL!AJ$8:AJ$1696,"&gt;0",GERAL!C$8:C$1696,"ANEXO")</f>
        <v>4</v>
      </c>
      <c r="BL11" s="118">
        <f>COUNTIFS('BALANÇO POR MUNICIPIOS'!$AM$18:$AM$434,A11,'BALANÇO POR MUNICIPIOS'!$H$18:$H$434,"&gt;0",'BALANÇO POR MUNICIPIOS'!$F$18:$F$434,"&gt;0")</f>
        <v>13</v>
      </c>
      <c r="BM11" s="118">
        <f t="shared" si="4"/>
        <v>12338</v>
      </c>
      <c r="BN11" s="116">
        <f>COUNTIFS(GERAL!A$8:A$1696,A11,GERAL!AN$8:AN$1696,"&gt;0",GERAL!C$8:C$1696,"ESCOLA")</f>
        <v>6</v>
      </c>
      <c r="BO11" s="118">
        <f>COUNTIFS(GERAL!A$8:A$1696,A11,GERAL!AN$8:AN$1696,"&gt;0",GERAL!C$8:C$1696,"ANEXO")</f>
        <v>8</v>
      </c>
      <c r="BP11" s="118">
        <f>COUNTIFS(GERAL!A$8:A$1696,A11,GERAL!AN$8:AN$1696,"&gt;0",GERAL!C$8:C$1696,"EFA")</f>
        <v>0</v>
      </c>
      <c r="BQ11" s="118">
        <f>COUNTIFS('BALANÇO POR MUNICIPIOS'!$G$18:$G$434,"&gt;0",'BALANÇO POR MUNICIPIOS'!$AM$18:$AM$434,A11)</f>
        <v>2</v>
      </c>
      <c r="BR11" s="118">
        <f>COUNTIFS('BALANÇO POR MUNICIPIOS'!$G$18:$G$434,"=0",'BALANÇO POR MUNICIPIOS'!$AM$18:$AM$434,A11)</f>
        <v>11</v>
      </c>
      <c r="BS11" s="177">
        <f>SUMIF(GERAL!A$8:A$1696,A11,GERAL!AK$8:AK$1696)+SUMIF(GERAL!A$8:A$1696,A11,GERAL!AL$8:AL$1696)</f>
        <v>82</v>
      </c>
      <c r="BT11" s="177">
        <f>SUMIF(GERAL!A$8:A$1696,A11,GERAL!AM$8:AM$1696)</f>
        <v>163</v>
      </c>
      <c r="BU11" s="118">
        <f>SUMIF(GERAL!A$8:A$1696,A11,GERAL!AN$8:AN$1696)</f>
        <v>245</v>
      </c>
      <c r="BV11" s="207">
        <f>COUNTIFS(GERAL!A$8:A$1696,A11,GERAL!AE$8:AE$1696,"&gt;0",GERAL!C$8:C$1696,"ESCOLA")</f>
        <v>7</v>
      </c>
      <c r="BW11" s="207">
        <f>COUNTIFS(GERAL!A$8:A$1696,A11,GERAL!AE$8:AE$1696,"&gt;0",GERAL!C$8:C$1696,"ANEXO")</f>
        <v>8</v>
      </c>
      <c r="BX11" s="207">
        <f>COUNTIFS(GERAL!A$8:A$1696,A11,GERAL!AE$8:AE$1696,"&gt;0",GERAL!C$8:C$1696,"EFA")</f>
        <v>0</v>
      </c>
      <c r="BY11" s="177">
        <f>COUNTIFS('BALANÇO POR MUNICIPIOS'!$E$18:$E$434,"&gt;0",'BALANÇO POR MUNICIPIOS'!$AM$18:$AM$434,A11)</f>
        <v>2</v>
      </c>
      <c r="BZ11" s="177">
        <f>COUNTIFS('BALANÇO POR MUNICIPIOS'!$E$18:$E$434,"=0",'BALANÇO POR MUNICIPIOS'!$AM$18:$AM$434,A11)</f>
        <v>11</v>
      </c>
      <c r="CA11" s="177">
        <f>SUMIF(GERAL!A$8:A$1696,A11,GERAL!AA$8:AA$1696)+SUMIF(GERAL!A$8:A$1696,A11,GERAL!AB$8:AB$1696)</f>
        <v>1189</v>
      </c>
      <c r="CB11" s="177">
        <f>SUMIF(GERAL!A$8:A$1696,A11,GERAL!AC$8:AC$1696)</f>
        <v>0</v>
      </c>
      <c r="CC11" s="118">
        <f>SUMIF(GERAL!A$8:A$1696,A11,GERAL!AE$8:AE$1696)</f>
        <v>1385</v>
      </c>
      <c r="CD11" s="118">
        <f>COUNTIFS(GERAL!A$8:A$1696,A11,GERAL!Z$8:Z$1696,"&gt;0",GERAL!C$8:C$1696,"ESCOLA")</f>
        <v>5</v>
      </c>
      <c r="CE11" s="118">
        <f>COUNTIFS(GERAL!A$8:A$1696,A11,GERAL!Z$8:Z$1696,"&gt;0",GERAL!C$8:C$1696,"ANEXO")</f>
        <v>8</v>
      </c>
      <c r="CF11" s="118">
        <f>COUNTIFS(GERAL!A$8:A$1696,A11,GERAL!Z$8:Z$1696,"&gt;0",GERAL!C$8:C$1696,"EFA")</f>
        <v>0</v>
      </c>
      <c r="CG11" s="177">
        <f>COUNTIFS('BALANÇO POR MUNICIPIOS'!$D$18:$D$434,"&gt;0",'BALANÇO POR MUNICIPIOS'!$AM$18:$AM$434,A11)</f>
        <v>1</v>
      </c>
      <c r="CH11" s="177">
        <f>COUNTIFS('BALANÇO POR MUNICIPIOS'!$D$18:$D$434,"=0",'BALANÇO POR MUNICIPIOS'!$AM$18:$AM$434,A11)</f>
        <v>12</v>
      </c>
      <c r="CI11" s="177">
        <f>SUMIF(GERAL!A$8:A$1696,A11,GERAL!V$8:V$1696)+SUMIF(GERAL!A$8:A$1696,A11,GERAL!W$8:W$1696)</f>
        <v>294</v>
      </c>
      <c r="CJ11" s="118">
        <f>SUMIF(GERAL!A$8:A$1696,A11,GERAL!Z$8:Z$1696)</f>
        <v>294</v>
      </c>
      <c r="CK11" s="118">
        <f>COUNTIFS(GERAL!$A$8:$A32,A11,GERAL!$BD$8:$BD32,"CEMIT",GERAL!$C$8:$C32,"ESCOLA")</f>
        <v>1</v>
      </c>
      <c r="CL11" s="118">
        <f>COUNTIFS(GERAL!$A$8:$A32,A11,GERAL!$BD$8:$BD32,"CEMIT",GERAL!$C$8:$C32,"ANEXO")</f>
        <v>19</v>
      </c>
      <c r="CM11" s="118">
        <f>SUMIFS(GERAL!$BB$8:$BB32,GERAL!$A$8:$A32,A11,GERAL!$BD$8:$BD32,"CEMIT")</f>
        <v>522</v>
      </c>
    </row>
    <row r="12">
      <c r="A12" s="135" t="s">
        <v>673</v>
      </c>
      <c r="B12" s="75">
        <f>COUNTIFS(GERAL!$A$8:$A32,A12,GERAL!$C$8:$C32,"ESCOLA")</f>
        <v>16</v>
      </c>
      <c r="C12" s="75">
        <f>COUNTIFS(GERAL!A$8:A$1696,A12,GERAL!C$8:C$1696,"ANEXO")</f>
        <v>9</v>
      </c>
      <c r="D12" s="75">
        <f>COUNTIFS(GERAL!A$8:A$1696,A12,GERAL!C$8:C$1696,"EFA")</f>
        <v>0</v>
      </c>
      <c r="E12" s="85">
        <f>SUMIF(GERAL!A$8:A$1696,A12,GERAL!Z$8:Z$1696)</f>
        <v>0</v>
      </c>
      <c r="F12" s="85">
        <f>SUMIF(GERAL!A$8:A$1696,A12,GERAL!AE$8:AE$1696)</f>
        <v>0</v>
      </c>
      <c r="G12" s="85">
        <f>SUMIF(GERAL!A$8:A$1696,A12,GERAL!AJ$8:AJ$1696)</f>
        <v>4037</v>
      </c>
      <c r="H12" s="85">
        <f>SUMIF(GERAL!A$8:A$1696,A12,GERAL!AN$8:AN$1696)</f>
        <v>0</v>
      </c>
      <c r="I12" s="85">
        <f>SUMIF(GERAL!A$8:A$1696,A12,GERAL!AR$8:AW$1696)</f>
        <v>1287</v>
      </c>
      <c r="J12" s="85">
        <f>SUMIF(GERAL!A$8:A$1696,A12,GERAL!AW$8:AW$1696)</f>
        <v>2430</v>
      </c>
      <c r="K12" s="88">
        <f>SUMIF(GERAL!A$8:A$1696,A12,GERAL!AX$8:AX$1696)</f>
        <v>7754</v>
      </c>
      <c r="L12" s="95">
        <f>COUNTIFS(GERAL!A$8:A$1696,A12,GERAL!AY$8:AY$1696,"&gt;0",GERAL!C$8:C$1696,"ESCOLA")</f>
        <v>16</v>
      </c>
      <c r="M12" s="75">
        <f>COUNTIFS(GERAL!A$8:A$1696,A12,GERAL!AY$8:AY$1696,"&gt;0",GERAL!C$8:C$1696,"ANEXO")</f>
        <v>4</v>
      </c>
      <c r="N12" s="100">
        <f>SUMIF(GERAL!A$8:A$1696,A12,GERAL!V$8:V$1696)+SUMIF(GERAL!A$8:A$1696,A12,GERAL!W$8:W$1696)</f>
        <v>0</v>
      </c>
      <c r="O12" s="100">
        <f>SUMIF(GERAL!A$8:A$1696,A12,GERAL!AA$8:AA$1696)+SUMIF(GERAL!A$8:A$1696,A12,GERAL!AB$8:AB$1696)</f>
        <v>0</v>
      </c>
      <c r="P12" s="100">
        <f>SUMIF(GERAL!A$8:A$1696,A12,GERAL!AF$8:AF$1696)+SUMIF(GERAL!A$8:A$1696,A12,GERAL!AG$8:AG$1696)</f>
        <v>2544</v>
      </c>
      <c r="Q12" s="100">
        <f>SUMIF(GERAL!A$8:A$1696,A12,GERAL!AK$8:AK$1696)+SUMIF(GERAL!A$8:A$1696,A12,GERAL!AL$8:AL$1696)</f>
        <v>0</v>
      </c>
      <c r="R12" s="100">
        <f>SUMIF(GERAL!A$8:A$1696,A12,GERAL!AO$8:AO$1696)+SUMIF(GERAL!A$8:A$1696,A12,GERAL!AP$8:AP$1696)</f>
        <v>0</v>
      </c>
      <c r="S12" s="100">
        <f>SUMIF(GERAL!A$8:A$1696,A12,GERAL!AS$8:AS$1696)+SUMIF(GERAL!A$8:A$1696,A12,GERAL!AT$8:AT$1696)</f>
        <v>890</v>
      </c>
      <c r="T12" s="103">
        <f t="shared" si="1"/>
        <v>3434</v>
      </c>
      <c r="U12" s="75">
        <f>COUNTIFS(GERAL!A$8:A$1696,A12,GERAL!AZ$8:AZ$1696,"&gt;0",GERAL!C$8:C$1696,"ESCOLA")</f>
        <v>16</v>
      </c>
      <c r="V12" s="75">
        <f>COUNTIFS(GERAL!A$8:A$1696,A12,GERAL!AZ$8:AZ$1696,"&gt;0",GERAL!C$8:C$1696,"ANEXO")</f>
        <v>8</v>
      </c>
      <c r="W12" s="85">
        <f>SUMIF(GERAL!A$8:A$1696,A12,GERAL!AH$8:AH$1696)</f>
        <v>214</v>
      </c>
      <c r="X12" s="85">
        <f>SUMIF(GERAL!A$8:A$1696,A12,GERAL!AM$8:AM$1696)</f>
        <v>0</v>
      </c>
      <c r="Y12" s="85">
        <f>SUMIF(GERAL!A$8:A$1696,A12,GERAL!AQ$8:AQ$1696)</f>
        <v>1287</v>
      </c>
      <c r="Z12" s="85">
        <f>SUMIF(GERAL!A$8:A$1696,A12,GERAL!AU$8:AU$1696)</f>
        <v>799</v>
      </c>
      <c r="AA12" s="88">
        <f t="shared" si="2"/>
        <v>2300</v>
      </c>
      <c r="AB12" s="116">
        <f>COUNTIFS(GERAL!A$8:A$1696,A12,GERAL!BK$8:BK$1696,"&gt;0",GERAL!C$8:C$1696,"ESCOLA")</f>
        <v>11</v>
      </c>
      <c r="AC12" s="118">
        <f>COUNTIFS(GERAL!A$8:A$1696,A12,GERAL!BK$8:BK$1696,"&gt;0",GERAL!C$8:C$1696,"ANEXO")</f>
        <v>0</v>
      </c>
      <c r="AD12" s="118">
        <f>COUNTIFS(GERAL!A$8:A$1696,A12,GERAL!BK$8:BK$1696,"&gt;0",GERAL!C$8:C$1696,"EFA")</f>
        <v>0</v>
      </c>
      <c r="AE12" s="118">
        <f>COUNTIFS('BALANÇO POR MUNICIPIOS'!$AF$18:$AF$434,"&gt;0",'BALANÇO POR MUNICIPIOS'!$AM$18:$AM$434,A12)</f>
        <v>10</v>
      </c>
      <c r="AF12" s="118">
        <f>COUNTIFS('BALANÇO POR MUNICIPIOS'!$AF$18:$AF$434,"=0",'BALANÇO POR MUNICIPIOS'!$AM$18:$AM$434,A12)</f>
        <v>3</v>
      </c>
      <c r="AG12" s="121">
        <f>SUMIF(GERAL!A$8:A$1696,A12,GERAL!AD$8:AD$1696)</f>
        <v>0</v>
      </c>
      <c r="AH12" s="121">
        <f>SUMIF(GERAL!A$8:A$1696,A12,GERAL!AI$8:AI$1696)</f>
        <v>1279</v>
      </c>
      <c r="AI12" s="121">
        <f>SUMIF(GERAL!A$8:A$1696,A12,GERAL!AV$8:AV$1696)</f>
        <v>741</v>
      </c>
      <c r="AJ12" s="124">
        <f t="shared" si="3"/>
        <v>2020</v>
      </c>
      <c r="AK12" s="116">
        <f>COUNTIFS(GERAL!A$8:A$1696,A12,GERAL!AW$8:AW$1696,"&gt;0",GERAL!C$8:C$1696,"ESCOLA")</f>
        <v>14</v>
      </c>
      <c r="AL12" s="118">
        <f>COUNTIFS(GERAL!A$8:A$1696,A12,GERAL!AW$8:AW$1696,"&gt;0",GERAL!C$8:C$1696,"ANEXO")</f>
        <v>0</v>
      </c>
      <c r="AM12" s="118">
        <f>COUNTIFS('BALANÇO POR MUNICIPIOS'!$AL$18:$AL$434,"&gt;0",'BALANÇO POR MUNICIPIOS'!$AM$18:$AM$434,A12)</f>
        <v>13</v>
      </c>
      <c r="AN12" s="118">
        <f>COUNTIFS('BALANÇO POR MUNICIPIOS'!$AL$18:$AL$434,"=0",'BALANÇO POR MUNICIPIOS'!$AM$18:$AM$434,A12)</f>
        <v>0</v>
      </c>
      <c r="AO12" s="176">
        <f>SUMIF(GERAL!A$8:A$1696,A12,GERAL!AS$8:AS$1696)+SUMIF(GERAL!A$8:A$1696,A12,GERAL!AT$8:AT$1696)</f>
        <v>890</v>
      </c>
      <c r="AP12" s="176">
        <f>SUMIF(GERAL!A$8:A$1696,A12,GERAL!AU$8:AU$1696)</f>
        <v>799</v>
      </c>
      <c r="AQ12" s="176">
        <f>SUMIF(GERAL!A$8:A$1696,A12,GERAL!AV$8:AV$1696)</f>
        <v>741</v>
      </c>
      <c r="AR12" s="177">
        <f>SUMIF(GERAL!A$8:A$1696,A12,GERAL!AW$8:AW$1696)</f>
        <v>2430</v>
      </c>
      <c r="AS12" s="116">
        <f>COUNTIFS(GERAL!A$8:A$1696,A12,GERAL!AJ$8:AJ$1696,"&gt;0",GERAL!C$8:C$1696,"ESCOLA")</f>
        <v>14</v>
      </c>
      <c r="AT12" s="118">
        <f>COUNTIFS(GERAL!A$8:A$1696,A12,GERAL!AJ$8:AJ$1696,"&gt;0",GERAL!C$8:C$1696,"ANEXO")</f>
        <v>9</v>
      </c>
      <c r="AU12" s="118">
        <f>COUNTIFS(GERAL!A$8:A$1696,A12,GERAL!AJ$8:AJ$1696,"&gt;0",GERAL!C$8:C$1696,"EFA")</f>
        <v>0</v>
      </c>
      <c r="AV12" s="118">
        <f>COUNTIFS('BALANÇO POR MUNICIPIOS'!$F$18:$F$434,"&gt;0",'BALANÇO POR MUNICIPIOS'!$AM$18:$AM$434,A12)</f>
        <v>13</v>
      </c>
      <c r="AW12" s="178">
        <f>COUNTIFS('BALANÇO POR MUNICIPIOS'!$F$18:$F$434,"=0",'BALANÇO POR MUNICIPIOS'!$AM$18:$AM$434,A12)</f>
        <v>0</v>
      </c>
      <c r="AX12" s="177">
        <f>SUMIF(GERAL!A$8:A$1696,A12,GERAL!AF$8:AF$1696)+SUMIF(GERAL!A$8:A$1696,A12,GERAL!AG$8:AG$1696)</f>
        <v>2544</v>
      </c>
      <c r="AY12" s="177">
        <f>SUMIF(GERAL!A$8:A$1696,A12,GERAL!AH$8:AH$1696)</f>
        <v>214</v>
      </c>
      <c r="AZ12" s="177">
        <f>SUMIF(GERAL!A$8:A$1696,A12,GERAL!AI$8:AI$1696)</f>
        <v>1279</v>
      </c>
      <c r="BA12" s="134">
        <f>SUMIF(GERAL!A$8:A$1696,A12,GERAL!AJ$8:AJ$1696)</f>
        <v>4037</v>
      </c>
      <c r="BB12" s="116">
        <f>COUNTIFS(GERAL!A$8:A$1696,A12,GERAL!AR$8:AR$1696,"&gt;0",GERAL!C$8:C$1696,"ESCOLA")</f>
        <v>15</v>
      </c>
      <c r="BC12" s="118">
        <f>COUNTIFS(GERAL!A$8:A$1696,A12,GERAL!AR$8:AR$1696,"&gt;0",GERAL!C$8:C$1696,"ANEXO")</f>
        <v>1</v>
      </c>
      <c r="BD12" s="118">
        <f>COUNTIFS(GERAL!A$8:A$1696,A12,GERAL!AR$8:AR$1696,"&gt;0",GERAL!C$8:C$1696,"EFA")</f>
        <v>0</v>
      </c>
      <c r="BE12" s="118">
        <f>COUNTIFS('BALANÇO POR MUNICIPIOS'!$H$18:$H$434,"&gt;0",'BALANÇO POR MUNICIPIOS'!$AM$18:$AM$434,A12)</f>
        <v>13</v>
      </c>
      <c r="BF12" s="118">
        <f>COUNTIFS('BALANÇO POR MUNICIPIOS'!$H$18:$H$434,"=0",'BALANÇO POR MUNICIPIOS'!$AM$18:$AM$434,A12)</f>
        <v>0</v>
      </c>
      <c r="BG12" s="177">
        <f>SUMIF(GERAL!A$8:A$1696,A12,GERAL!AO$8:AO$1696)+SUMIF(GERAL!A$8:A$1696,A12,GERAL!AP$8:AP$1696)</f>
        <v>0</v>
      </c>
      <c r="BH12" s="177">
        <f>SUMIF(GERAL!A$8:A$1696,A12,GERAL!AQ$8:AQ$1696)</f>
        <v>1287</v>
      </c>
      <c r="BI12" s="124">
        <f>SUMIF(GERAL!A$8:A$1696,A12,GERAL!AR$8:AR$1696)</f>
        <v>1287</v>
      </c>
      <c r="BJ12" s="116">
        <f>COUNTIFS(GERAL!A$8:A$1696,A12,GERAL!AR$8:AR$1696,"&gt;0",GERAL!AJ$8:AJ$1696,"&gt;0",GERAL!C$8:C$1696,"ESCOLA")</f>
        <v>14</v>
      </c>
      <c r="BK12" s="118">
        <f>COUNTIFS(GERAL!A$8:A$1696,A12,GERAL!AR$8:AR$1696,"&gt;0",GERAL!AJ$8:AJ$1696,"&gt;0",GERAL!C$8:C$1696,"ANEXO")</f>
        <v>1</v>
      </c>
      <c r="BL12" s="118">
        <f>COUNTIFS('BALANÇO POR MUNICIPIOS'!$AM$18:$AM$434,A12,'BALANÇO POR MUNICIPIOS'!$H$18:$H$434,"&gt;0",'BALANÇO POR MUNICIPIOS'!$F$18:$F$434,"&gt;0")</f>
        <v>13</v>
      </c>
      <c r="BM12" s="118">
        <f t="shared" si="4"/>
        <v>5324</v>
      </c>
      <c r="BN12" s="116">
        <f>COUNTIFS(GERAL!A$8:A$1696,A12,GERAL!AN$8:AN$1696,"&gt;0",GERAL!C$8:C$1696,"ESCOLA")</f>
        <v>0</v>
      </c>
      <c r="BO12" s="118">
        <f>COUNTIFS(GERAL!A$8:A$1696,A12,GERAL!AN$8:AN$1696,"&gt;0",GERAL!C$8:C$1696,"ANEXO")</f>
        <v>0</v>
      </c>
      <c r="BP12" s="118">
        <f>COUNTIFS(GERAL!A$8:A$1696,A12,GERAL!AN$8:AN$1696,"&gt;0",GERAL!C$8:C$1696,"EFA")</f>
        <v>0</v>
      </c>
      <c r="BQ12" s="118">
        <f>COUNTIFS('BALANÇO POR MUNICIPIOS'!$G$18:$G$434,"&gt;0",'BALANÇO POR MUNICIPIOS'!$AM$18:$AM$434,A12)</f>
        <v>0</v>
      </c>
      <c r="BR12" s="118">
        <f>COUNTIFS('BALANÇO POR MUNICIPIOS'!$G$18:$G$434,"=0",'BALANÇO POR MUNICIPIOS'!$AM$18:$AM$434,A12)</f>
        <v>13</v>
      </c>
      <c r="BS12" s="177">
        <f>SUMIF(GERAL!A$8:A$1696,A12,GERAL!AK$8:AK$1696)+SUMIF(GERAL!A$8:A$1696,A12,GERAL!AL$8:AL$1696)</f>
        <v>0</v>
      </c>
      <c r="BT12" s="177">
        <f>SUMIF(GERAL!A$8:A$1696,A12,GERAL!AM$8:AM$1696)</f>
        <v>0</v>
      </c>
      <c r="BU12" s="118">
        <f>SUMIF(GERAL!A$8:A$1696,A12,GERAL!AN$8:AN$1696)</f>
        <v>0</v>
      </c>
      <c r="BV12" s="207">
        <f>COUNTIFS(GERAL!A$8:A$1696,A12,GERAL!AE$8:AE$1696,"&gt;0",GERAL!C$8:C$1696,"ESCOLA")</f>
        <v>0</v>
      </c>
      <c r="BW12" s="207">
        <f>COUNTIFS(GERAL!A$8:A$1696,A12,GERAL!AE$8:AE$1696,"&gt;0",GERAL!C$8:C$1696,"ANEXO")</f>
        <v>0</v>
      </c>
      <c r="BX12" s="207">
        <f>COUNTIFS(GERAL!A$8:A$1696,A12,GERAL!AE$8:AE$1696,"&gt;0",GERAL!C$8:C$1696,"EFA")</f>
        <v>0</v>
      </c>
      <c r="BY12" s="177">
        <f>COUNTIFS('BALANÇO POR MUNICIPIOS'!$E$18:$E$434,"&gt;0",'BALANÇO POR MUNICIPIOS'!$AM$18:$AM$434,A12)</f>
        <v>0</v>
      </c>
      <c r="BZ12" s="177">
        <f>COUNTIFS('BALANÇO POR MUNICIPIOS'!$E$18:$E$434,"=0",'BALANÇO POR MUNICIPIOS'!$AM$18:$AM$434,A12)</f>
        <v>13</v>
      </c>
      <c r="CA12" s="177">
        <f>SUMIF(GERAL!A$8:A$1696,A12,GERAL!AA$8:AA$1696)+SUMIF(GERAL!A$8:A$1696,A12,GERAL!AB$8:AB$1696)</f>
        <v>0</v>
      </c>
      <c r="CB12" s="177">
        <f>SUMIF(GERAL!A$8:A$1696,A12,GERAL!AC$8:AC$1696)</f>
        <v>0</v>
      </c>
      <c r="CC12" s="118">
        <f>SUMIF(GERAL!A$8:A$1696,A12,GERAL!AE$8:AE$1696)</f>
        <v>0</v>
      </c>
      <c r="CD12" s="118">
        <f>COUNTIFS(GERAL!A$8:A$1696,A12,GERAL!Z$8:Z$1696,"&gt;0",GERAL!C$8:C$1696,"ESCOLA")</f>
        <v>0</v>
      </c>
      <c r="CE12" s="118">
        <f>COUNTIFS(GERAL!A$8:A$1696,A12,GERAL!Z$8:Z$1696,"&gt;0",GERAL!C$8:C$1696,"ANEXO")</f>
        <v>0</v>
      </c>
      <c r="CF12" s="118">
        <f>COUNTIFS(GERAL!A$8:A$1696,A12,GERAL!Z$8:Z$1696,"&gt;0",GERAL!C$8:C$1696,"EFA")</f>
        <v>0</v>
      </c>
      <c r="CG12" s="177">
        <f>COUNTIFS('BALANÇO POR MUNICIPIOS'!$D$18:$D$434,"&gt;0",'BALANÇO POR MUNICIPIOS'!$AM$18:$AM$434,A12)</f>
        <v>0</v>
      </c>
      <c r="CH12" s="177">
        <f>COUNTIFS('BALANÇO POR MUNICIPIOS'!$D$18:$D$434,"=0",'BALANÇO POR MUNICIPIOS'!$AM$18:$AM$434,A12)</f>
        <v>13</v>
      </c>
      <c r="CI12" s="177">
        <f>SUMIF(GERAL!A$8:A$1696,A12,GERAL!V$8:V$1696)+SUMIF(GERAL!A$8:A$1696,A12,GERAL!W$8:W$1696)</f>
        <v>0</v>
      </c>
      <c r="CJ12" s="118">
        <f>SUMIF(GERAL!A$8:A$1696,A12,GERAL!Z$8:Z$1696)</f>
        <v>0</v>
      </c>
      <c r="CK12" s="118">
        <f>COUNTIFS(GERAL!$A$8:$A32,A12,GERAL!$BD$8:$BD32,"CEMIT",GERAL!$C$8:$C32,"ESCOLA")</f>
        <v>0</v>
      </c>
      <c r="CL12" s="118">
        <f>COUNTIFS(GERAL!$A$8:$A32,A12,GERAL!$BD$8:$BD32,"CEMIT",GERAL!$C$8:$C32,"ANEXO")</f>
        <v>0</v>
      </c>
      <c r="CM12" s="118">
        <f>SUMIFS(GERAL!$BB$8:$BB32,GERAL!$A$8:$A32,A12,GERAL!$BD$8:$BD32,"CEMIT")</f>
        <v>0</v>
      </c>
    </row>
    <row r="13">
      <c r="A13" s="151" t="s">
        <v>723</v>
      </c>
      <c r="B13" s="75">
        <f>COUNTIFS(GERAL!$A$8:$A32,A13,GERAL!$C$8:$C32,"ESCOLA")</f>
        <v>25</v>
      </c>
      <c r="C13" s="75">
        <f>COUNTIFS(GERAL!A$8:A$1696,A13,GERAL!C$8:C$1696,"ANEXO")</f>
        <v>4</v>
      </c>
      <c r="D13" s="75">
        <f>COUNTIFS(GERAL!A$8:A$1696,A13,GERAL!C$8:C$1696,"EFA")</f>
        <v>0</v>
      </c>
      <c r="E13" s="85">
        <f>SUMIF(GERAL!A$8:A$1696,A13,GERAL!Z$8:Z$1696)</f>
        <v>0</v>
      </c>
      <c r="F13" s="85">
        <f>SUMIF(GERAL!A$8:A$1696,A13,GERAL!AE$8:AE$1696)</f>
        <v>0</v>
      </c>
      <c r="G13" s="85">
        <f>SUMIF(GERAL!A$8:A$1696,A13,GERAL!AJ$8:AJ$1696)</f>
        <v>7073</v>
      </c>
      <c r="H13" s="85">
        <f>SUMIF(GERAL!A$8:A$1696,A13,GERAL!AN$8:AN$1696)</f>
        <v>0</v>
      </c>
      <c r="I13" s="85">
        <f>SUMIF(GERAL!A$8:A$1696,A13,GERAL!AR$8:AW$1696)</f>
        <v>2474</v>
      </c>
      <c r="J13" s="85">
        <f>SUMIF(GERAL!A$8:A$1696,A13,GERAL!AW$8:AW$1696)</f>
        <v>3639</v>
      </c>
      <c r="K13" s="88">
        <f>SUMIF(GERAL!A$8:A$1696,A13,GERAL!AX$8:AX$1696)</f>
        <v>13186</v>
      </c>
      <c r="L13" s="95">
        <f>COUNTIFS(GERAL!A$8:A$1696,A13,GERAL!AY$8:AY$1696,"&gt;0",GERAL!C$8:C$1696,"ESCOLA")</f>
        <v>24</v>
      </c>
      <c r="M13" s="75">
        <f>COUNTIFS(GERAL!A$8:A$1696,A13,GERAL!AY$8:AY$1696,"&gt;0",GERAL!C$8:C$1696,"ANEXO")</f>
        <v>2</v>
      </c>
      <c r="N13" s="100">
        <f>SUMIF(GERAL!A$8:A$1696,A13,GERAL!V$8:V$1696)+SUMIF(GERAL!A$8:A$1696,A13,GERAL!W$8:W$1696)</f>
        <v>0</v>
      </c>
      <c r="O13" s="100">
        <f>SUMIF(GERAL!A$8:A$1696,A13,GERAL!AA$8:AA$1696)+SUMIF(GERAL!A$8:A$1696,A13,GERAL!AB$8:AB$1696)</f>
        <v>0</v>
      </c>
      <c r="P13" s="100">
        <f>SUMIF(GERAL!A$8:A$1696,A13,GERAL!AF$8:AF$1696)+SUMIF(GERAL!A$8:A$1696,A13,GERAL!AG$8:AG$1696)</f>
        <v>3933</v>
      </c>
      <c r="Q13" s="100">
        <f>SUMIF(GERAL!A$8:A$1696,A13,GERAL!AK$8:AK$1696)+SUMIF(GERAL!A$8:A$1696,A13,GERAL!AL$8:AL$1696)</f>
        <v>0</v>
      </c>
      <c r="R13" s="100">
        <f>SUMIF(GERAL!A$8:A$1696,A13,GERAL!AO$8:AO$1696)+SUMIF(GERAL!A$8:A$1696,A13,GERAL!AP$8:AP$1696)</f>
        <v>0</v>
      </c>
      <c r="S13" s="100">
        <f>SUMIF(GERAL!A$8:A$1696,A13,GERAL!AS$8:AS$1696)+SUMIF(GERAL!A$8:A$1696,A13,GERAL!AT$8:AT$1696)</f>
        <v>1328</v>
      </c>
      <c r="T13" s="103">
        <f t="shared" si="1"/>
        <v>5261</v>
      </c>
      <c r="U13" s="75">
        <f>COUNTIFS(GERAL!A$8:A$1696,A13,GERAL!AZ$8:AZ$1696,"&gt;0",GERAL!C$8:C$1696,"ESCOLA")</f>
        <v>24</v>
      </c>
      <c r="V13" s="75">
        <f>COUNTIFS(GERAL!A$8:A$1696,A13,GERAL!AZ$8:AZ$1696,"&gt;0",GERAL!C$8:C$1696,"ANEXO")</f>
        <v>4</v>
      </c>
      <c r="W13" s="85">
        <f>SUMIF(GERAL!A$8:A$1696,A13,GERAL!AH$8:AH$1696)</f>
        <v>0</v>
      </c>
      <c r="X13" s="85">
        <f>SUMIF(GERAL!A$8:A$1696,A13,GERAL!AM$8:AM$1696)</f>
        <v>0</v>
      </c>
      <c r="Y13" s="85">
        <f>SUMIF(GERAL!A$8:A$1696,A13,GERAL!AQ$8:AQ$1696)</f>
        <v>2474</v>
      </c>
      <c r="Z13" s="85">
        <f>SUMIF(GERAL!A$8:A$1696,A13,GERAL!AU$8:AU$1696)</f>
        <v>1066</v>
      </c>
      <c r="AA13" s="88">
        <f t="shared" si="2"/>
        <v>3540</v>
      </c>
      <c r="AB13" s="116">
        <f>COUNTIFS(GERAL!A$8:A$1696,A13,GERAL!BK$8:BK$1696,"&gt;0",GERAL!C$8:C$1696,"ESCOLA")</f>
        <v>22</v>
      </c>
      <c r="AC13" s="118">
        <f>COUNTIFS(GERAL!A$8:A$1696,A13,GERAL!BK$8:BK$1696,"&gt;0",GERAL!C$8:C$1696,"ANEXO")</f>
        <v>0</v>
      </c>
      <c r="AD13" s="118">
        <f>COUNTIFS(GERAL!A$8:A$1696,A13,GERAL!BK$8:BK$1696,"&gt;0",GERAL!C$8:C$1696,"EFA")</f>
        <v>0</v>
      </c>
      <c r="AE13" s="118">
        <f>COUNTIFS('BALANÇO POR MUNICIPIOS'!$AF$18:$AF$434,"&gt;0",'BALANÇO POR MUNICIPIOS'!$AM$18:$AM$434,A13)</f>
        <v>19</v>
      </c>
      <c r="AF13" s="118">
        <f>COUNTIFS('BALANÇO POR MUNICIPIOS'!$AF$18:$AF$434,"=0",'BALANÇO POR MUNICIPIOS'!$AM$18:$AM$434,A13)</f>
        <v>1</v>
      </c>
      <c r="AG13" s="121">
        <f>SUMIF(GERAL!A$8:A$1696,A13,GERAL!AD$8:AD$1696)</f>
        <v>0</v>
      </c>
      <c r="AH13" s="121">
        <f>SUMIF(GERAL!A$8:A$1696,A13,GERAL!AI$8:AI$1696)</f>
        <v>3140</v>
      </c>
      <c r="AI13" s="121">
        <f>SUMIF(GERAL!A$8:A$1696,A13,GERAL!AV$8:AV$1696)</f>
        <v>1245</v>
      </c>
      <c r="AJ13" s="124">
        <f t="shared" si="3"/>
        <v>4385</v>
      </c>
      <c r="AK13" s="116">
        <f>COUNTIFS(GERAL!A$8:A$1696,A13,GERAL!AW$8:AW$1696,"&gt;0",GERAL!C$8:C$1696,"ESCOLA")</f>
        <v>21</v>
      </c>
      <c r="AL13" s="118">
        <f>COUNTIFS(GERAL!A$8:A$1696,A13,GERAL!AW$8:AW$1696,"&gt;0",GERAL!C$8:C$1696,"ANEXO")</f>
        <v>1</v>
      </c>
      <c r="AM13" s="118">
        <f>COUNTIFS('BALANÇO POR MUNICIPIOS'!$AL$18:$AL$434,"&gt;0",'BALANÇO POR MUNICIPIOS'!$AM$18:$AM$434,A13)</f>
        <v>20</v>
      </c>
      <c r="AN13" s="118">
        <f>COUNTIFS('BALANÇO POR MUNICIPIOS'!$AL$18:$AL$434,"=0",'BALANÇO POR MUNICIPIOS'!$AM$18:$AM$434,A13)</f>
        <v>0</v>
      </c>
      <c r="AO13" s="176">
        <f>SUMIF(GERAL!A$8:A$1696,A13,GERAL!AS$8:AS$1696)+SUMIF(GERAL!A$8:A$1696,A13,GERAL!AT$8:AT$1696)</f>
        <v>1328</v>
      </c>
      <c r="AP13" s="176">
        <f>SUMIF(GERAL!A$8:A$1696,A13,GERAL!AU$8:AU$1696)</f>
        <v>1066</v>
      </c>
      <c r="AQ13" s="176">
        <f>SUMIF(GERAL!A$8:A$1696,A13,GERAL!AV$8:AV$1696)</f>
        <v>1245</v>
      </c>
      <c r="AR13" s="177">
        <f>SUMIF(GERAL!A$8:A$1696,A13,GERAL!AW$8:AW$1696)</f>
        <v>3639</v>
      </c>
      <c r="AS13" s="116">
        <f>COUNTIFS(GERAL!A$8:A$1696,A13,GERAL!AJ$8:AJ$1696,"&gt;0",GERAL!C$8:C$1696,"ESCOLA")</f>
        <v>23</v>
      </c>
      <c r="AT13" s="118">
        <f>COUNTIFS(GERAL!A$8:A$1696,A13,GERAL!AJ$8:AJ$1696,"&gt;0",GERAL!C$8:C$1696,"ANEXO")</f>
        <v>1</v>
      </c>
      <c r="AU13" s="118">
        <f>COUNTIFS(GERAL!A$8:A$1696,A13,GERAL!AJ$8:AJ$1696,"&gt;0",GERAL!C$8:C$1696,"EFA")</f>
        <v>0</v>
      </c>
      <c r="AV13" s="118">
        <f>COUNTIFS('BALANÇO POR MUNICIPIOS'!$F$18:$F$434,"&gt;0",'BALANÇO POR MUNICIPIOS'!$AM$18:$AM$434,A13)</f>
        <v>20</v>
      </c>
      <c r="AW13" s="178">
        <f>COUNTIFS('BALANÇO POR MUNICIPIOS'!$F$18:$F$434,"=0",'BALANÇO POR MUNICIPIOS'!$AM$18:$AM$434,A13)</f>
        <v>0</v>
      </c>
      <c r="AX13" s="177">
        <f>SUMIF(GERAL!A$8:A$1696,A13,GERAL!AF$8:AF$1696)+SUMIF(GERAL!A$8:A$1696,A13,GERAL!AG$8:AG$1696)</f>
        <v>3933</v>
      </c>
      <c r="AY13" s="177">
        <f>SUMIF(GERAL!A$8:A$1696,A13,GERAL!AH$8:AH$1696)</f>
        <v>0</v>
      </c>
      <c r="AZ13" s="177">
        <f>SUMIF(GERAL!A$8:A$1696,A13,GERAL!AI$8:AI$1696)</f>
        <v>3140</v>
      </c>
      <c r="BA13" s="134">
        <f>SUMIF(GERAL!A$8:A$1696,A13,GERAL!AJ$8:AJ$1696)</f>
        <v>7073</v>
      </c>
      <c r="BB13" s="116">
        <f>COUNTIFS(GERAL!A$8:A$1696,A13,GERAL!AR$8:AR$1696,"&gt;0",GERAL!C$8:C$1696,"ESCOLA")</f>
        <v>23</v>
      </c>
      <c r="BC13" s="118">
        <f>COUNTIFS(GERAL!A$8:A$1696,A13,GERAL!AR$8:AR$1696,"&gt;0",GERAL!C$8:C$1696,"ANEXO")</f>
        <v>4</v>
      </c>
      <c r="BD13" s="118">
        <f>COUNTIFS(GERAL!A$8:A$1696,A13,GERAL!AR$8:AR$1696,"&gt;0",GERAL!C$8:C$1696,"EFA")</f>
        <v>0</v>
      </c>
      <c r="BE13" s="118">
        <f>COUNTIFS('BALANÇO POR MUNICIPIOS'!$H$18:$H$434,"&gt;0",'BALANÇO POR MUNICIPIOS'!$AM$18:$AM$434,A13)</f>
        <v>20</v>
      </c>
      <c r="BF13" s="118">
        <f>COUNTIFS('BALANÇO POR MUNICIPIOS'!$H$18:$H$434,"=0",'BALANÇO POR MUNICIPIOS'!$AM$18:$AM$434,A13)</f>
        <v>0</v>
      </c>
      <c r="BG13" s="177">
        <f>SUMIF(GERAL!A$8:A$1696,A13,GERAL!AO$8:AO$1696)+SUMIF(GERAL!A$8:A$1696,A13,GERAL!AP$8:AP$1696)</f>
        <v>0</v>
      </c>
      <c r="BH13" s="177">
        <f>SUMIF(GERAL!A$8:A$1696,A13,GERAL!AQ$8:AQ$1696)</f>
        <v>2474</v>
      </c>
      <c r="BI13" s="124">
        <f>SUMIF(GERAL!A$8:A$1696,A13,GERAL!AR$8:AR$1696)</f>
        <v>2474</v>
      </c>
      <c r="BJ13" s="116">
        <f>COUNTIFS(GERAL!A$8:A$1696,A13,GERAL!AR$8:AR$1696,"&gt;0",GERAL!AJ$8:AJ$1696,"&gt;0",GERAL!C$8:C$1696,"ESCOLA")</f>
        <v>23</v>
      </c>
      <c r="BK13" s="118">
        <f>COUNTIFS(GERAL!A$8:A$1696,A13,GERAL!AR$8:AR$1696,"&gt;0",GERAL!AJ$8:AJ$1696,"&gt;0",GERAL!C$8:C$1696,"ANEXO")</f>
        <v>1</v>
      </c>
      <c r="BL13" s="118">
        <f>COUNTIFS('BALANÇO POR MUNICIPIOS'!$AM$18:$AM$434,A13,'BALANÇO POR MUNICIPIOS'!$H$18:$H$434,"&gt;0",'BALANÇO POR MUNICIPIOS'!$F$18:$F$434,"&gt;0")</f>
        <v>20</v>
      </c>
      <c r="BM13" s="118">
        <f t="shared" si="4"/>
        <v>9547</v>
      </c>
      <c r="BN13" s="116">
        <f>COUNTIFS(GERAL!A$8:A$1696,A13,GERAL!AN$8:AN$1696,"&gt;0",GERAL!C$8:C$1696,"ESCOLA")</f>
        <v>0</v>
      </c>
      <c r="BO13" s="118">
        <f>COUNTIFS(GERAL!A$8:A$1696,A13,GERAL!AN$8:AN$1696,"&gt;0",GERAL!C$8:C$1696,"ANEXO")</f>
        <v>0</v>
      </c>
      <c r="BP13" s="118">
        <f>COUNTIFS(GERAL!A$8:A$1696,A13,GERAL!AN$8:AN$1696,"&gt;0",GERAL!C$8:C$1696,"EFA")</f>
        <v>0</v>
      </c>
      <c r="BQ13" s="118">
        <f>COUNTIFS('BALANÇO POR MUNICIPIOS'!$G$18:$G$434,"&gt;0",'BALANÇO POR MUNICIPIOS'!$AM$18:$AM$434,A13)</f>
        <v>0</v>
      </c>
      <c r="BR13" s="118">
        <f>COUNTIFS('BALANÇO POR MUNICIPIOS'!$G$18:$G$434,"=0",'BALANÇO POR MUNICIPIOS'!$AM$18:$AM$434,A13)</f>
        <v>20</v>
      </c>
      <c r="BS13" s="177">
        <f>SUMIF(GERAL!A$8:A$1696,A13,GERAL!AK$8:AK$1696)+SUMIF(GERAL!A$8:A$1696,A13,GERAL!AL$8:AL$1696)</f>
        <v>0</v>
      </c>
      <c r="BT13" s="177">
        <f>SUMIF(GERAL!A$8:A$1696,A13,GERAL!AM$8:AM$1696)</f>
        <v>0</v>
      </c>
      <c r="BU13" s="118">
        <f>SUMIF(GERAL!A$8:A$1696,A13,GERAL!AN$8:AN$1696)</f>
        <v>0</v>
      </c>
      <c r="BV13" s="207">
        <f>COUNTIFS(GERAL!A$8:A$1696,A13,GERAL!AE$8:AE$1696,"&gt;0",GERAL!C$8:C$1696,"ESCOLA")</f>
        <v>0</v>
      </c>
      <c r="BW13" s="207">
        <f>COUNTIFS(GERAL!A$8:A$1696,A13,GERAL!AE$8:AE$1696,"&gt;0",GERAL!C$8:C$1696,"ANEXO")</f>
        <v>0</v>
      </c>
      <c r="BX13" s="207">
        <f>COUNTIFS(GERAL!A$8:A$1696,A13,GERAL!AE$8:AE$1696,"&gt;0",GERAL!C$8:C$1696,"EFA")</f>
        <v>0</v>
      </c>
      <c r="BY13" s="177">
        <f>COUNTIFS('BALANÇO POR MUNICIPIOS'!$E$18:$E$434,"&gt;0",'BALANÇO POR MUNICIPIOS'!$AM$18:$AM$434,A13)</f>
        <v>0</v>
      </c>
      <c r="BZ13" s="177">
        <f>COUNTIFS('BALANÇO POR MUNICIPIOS'!$E$18:$E$434,"=0",'BALANÇO POR MUNICIPIOS'!$AM$18:$AM$434,A13)</f>
        <v>20</v>
      </c>
      <c r="CA13" s="177">
        <f>SUMIF(GERAL!A$8:A$1696,A13,GERAL!AA$8:AA$1696)+SUMIF(GERAL!A$8:A$1696,A13,GERAL!AB$8:AB$1696)</f>
        <v>0</v>
      </c>
      <c r="CB13" s="177">
        <f>SUMIF(GERAL!A$8:A$1696,A13,GERAL!AC$8:AC$1696)</f>
        <v>0</v>
      </c>
      <c r="CC13" s="118">
        <f>SUMIF(GERAL!A$8:A$1696,A13,GERAL!AE$8:AE$1696)</f>
        <v>0</v>
      </c>
      <c r="CD13" s="118">
        <f>COUNTIFS(GERAL!A$8:A$1696,A13,GERAL!Z$8:Z$1696,"&gt;0",GERAL!C$8:C$1696,"ESCOLA")</f>
        <v>0</v>
      </c>
      <c r="CE13" s="118">
        <f>COUNTIFS(GERAL!A$8:A$1696,A13,GERAL!Z$8:Z$1696,"&gt;0",GERAL!C$8:C$1696,"ANEXO")</f>
        <v>0</v>
      </c>
      <c r="CF13" s="118">
        <f>COUNTIFS(GERAL!A$8:A$1696,A13,GERAL!Z$8:Z$1696,"&gt;0",GERAL!C$8:C$1696,"EFA")</f>
        <v>0</v>
      </c>
      <c r="CG13" s="177">
        <f>COUNTIFS('BALANÇO POR MUNICIPIOS'!$D$18:$D$434,"&gt;0",'BALANÇO POR MUNICIPIOS'!$AM$18:$AM$434,A13)</f>
        <v>0</v>
      </c>
      <c r="CH13" s="177">
        <f>COUNTIFS('BALANÇO POR MUNICIPIOS'!$D$18:$D$434,"=0",'BALANÇO POR MUNICIPIOS'!$AM$18:$AM$434,A13)</f>
        <v>20</v>
      </c>
      <c r="CI13" s="177">
        <f>SUMIF(GERAL!A$8:A$1696,A13,GERAL!V$8:V$1696)+SUMIF(GERAL!A$8:A$1696,A13,GERAL!W$8:W$1696)</f>
        <v>0</v>
      </c>
      <c r="CJ13" s="118">
        <f>SUMIF(GERAL!A$8:A$1696,A13,GERAL!Z$8:Z$1696)</f>
        <v>0</v>
      </c>
      <c r="CK13" s="118">
        <f>COUNTIFS(GERAL!$A$8:$A32,A13,GERAL!$BD$8:$BD32,"CEMIT",GERAL!$C$8:$C32,"ESCOLA")</f>
        <v>0</v>
      </c>
      <c r="CL13" s="118">
        <f>COUNTIFS(GERAL!$A$8:$A32,A13,GERAL!$BD$8:$BD32,"CEMIT",GERAL!$C$8:$C32,"ANEXO")</f>
        <v>0</v>
      </c>
      <c r="CM13" s="118">
        <f>SUMIFS(GERAL!$BB$8:$BB32,GERAL!$A$8:$A32,A13,GERAL!$BD$8:$BD32,"CEMIT")</f>
        <v>0</v>
      </c>
    </row>
    <row r="14">
      <c r="A14" s="135" t="s">
        <v>796</v>
      </c>
      <c r="B14" s="75">
        <f>COUNTIFS(GERAL!$A$8:$A32,A14,GERAL!$C$8:$C32,"ESCOLA")</f>
        <v>39</v>
      </c>
      <c r="C14" s="75">
        <f>COUNTIFS(GERAL!A$8:A$1696,A14,GERAL!C$8:C$1696,"ANEXO")</f>
        <v>80</v>
      </c>
      <c r="D14" s="75">
        <f>COUNTIFS(GERAL!A$8:A$1696,A14,GERAL!C$8:C$1696,"EFA")</f>
        <v>1</v>
      </c>
      <c r="E14" s="85">
        <f>SUMIF(GERAL!A$8:A$1696,A14,GERAL!Z$8:Z$1696)</f>
        <v>10</v>
      </c>
      <c r="F14" s="85">
        <f>SUMIF(GERAL!A$8:A$1696,A14,GERAL!AE$8:AE$1696)</f>
        <v>4975</v>
      </c>
      <c r="G14" s="85">
        <f>SUMIF(GERAL!A$8:A$1696,A14,GERAL!AJ$8:AJ$1696)</f>
        <v>13182</v>
      </c>
      <c r="H14" s="85">
        <f>SUMIF(GERAL!A$8:A$1696,A14,GERAL!AN$8:AN$1696)</f>
        <v>75</v>
      </c>
      <c r="I14" s="85">
        <f>SUMIF(GERAL!A$8:A$1696,A14,GERAL!AR$8:AW$1696)</f>
        <v>4523</v>
      </c>
      <c r="J14" s="85">
        <f>SUMIF(GERAL!A$8:A$1696,A14,GERAL!AW$8:AW$1696)</f>
        <v>4478</v>
      </c>
      <c r="K14" s="88">
        <f>SUMIF(GERAL!A$8:A$1696,A14,GERAL!AX$8:AX$1696)</f>
        <v>27243</v>
      </c>
      <c r="L14" s="95">
        <f>COUNTIFS(GERAL!A$8:A$1696,A14,GERAL!AY$8:AY$1696,"&gt;0",GERAL!C$8:C$1696,"ESCOLA")</f>
        <v>37</v>
      </c>
      <c r="M14" s="75">
        <f>COUNTIFS(GERAL!A$8:A$1696,A14,GERAL!AY$8:AY$1696,"&gt;0",GERAL!C$8:C$1696,"ANEXO")</f>
        <v>54</v>
      </c>
      <c r="N14" s="100">
        <f>SUMIF(GERAL!A$8:A$1696,A14,GERAL!V$8:V$1696)+SUMIF(GERAL!A$8:A$1696,A14,GERAL!W$8:W$1696)</f>
        <v>10</v>
      </c>
      <c r="O14" s="100">
        <f>SUMIF(GERAL!A$8:A$1696,A14,GERAL!AA$8:AA$1696)+SUMIF(GERAL!A$8:A$1696,A14,GERAL!AB$8:AB$1696)</f>
        <v>4347</v>
      </c>
      <c r="P14" s="100">
        <f>SUMIF(GERAL!A$8:A$1696,A14,GERAL!AF$8:AF$1696)+SUMIF(GERAL!A$8:A$1696,A14,GERAL!AG$8:AG$1696)</f>
        <v>7175</v>
      </c>
      <c r="Q14" s="100">
        <f>SUMIF(GERAL!A$8:A$1696,A14,GERAL!AK$8:AK$1696)+SUMIF(GERAL!A$8:A$1696,A14,GERAL!AL$8:AL$1696)</f>
        <v>0</v>
      </c>
      <c r="R14" s="100">
        <f>SUMIF(GERAL!A$8:A$1696,A14,GERAL!AO$8:AO$1696)+SUMIF(GERAL!A$8:A$1696,A14,GERAL!AP$8:AP$1696)</f>
        <v>85</v>
      </c>
      <c r="S14" s="100">
        <f>SUMIF(GERAL!A$8:A$1696,A14,GERAL!AS$8:AS$1696)+SUMIF(GERAL!A$8:A$1696,A14,GERAL!AT$8:AT$1696)</f>
        <v>3210</v>
      </c>
      <c r="T14" s="103">
        <f t="shared" si="1"/>
        <v>14827</v>
      </c>
      <c r="U14" s="75">
        <f>COUNTIFS(GERAL!A$8:A$1696,A14,GERAL!AZ$8:AZ$1696,"&gt;0",GERAL!C$8:C$1696,"ESCOLA")</f>
        <v>33</v>
      </c>
      <c r="V14" s="75">
        <f>COUNTIFS(GERAL!A$8:A$1696,A14,GERAL!AZ$8:AZ$1696,"&gt;0",GERAL!C$8:C$1696,"ANEXO")</f>
        <v>45</v>
      </c>
      <c r="W14" s="85">
        <f>SUMIF(GERAL!A$8:A$1696,A14,GERAL!AH$8:AH$1696)</f>
        <v>254</v>
      </c>
      <c r="X14" s="85">
        <f>SUMIF(GERAL!A$8:A$1696,A14,GERAL!AM$8:AM$1696)</f>
        <v>75</v>
      </c>
      <c r="Y14" s="85">
        <f>SUMIF(GERAL!A$8:A$1696,A14,GERAL!AQ$8:AQ$1696)</f>
        <v>4438</v>
      </c>
      <c r="Z14" s="85">
        <f>SUMIF(GERAL!A$8:A$1696,A14,GERAL!AU$8:AU$1696)</f>
        <v>899</v>
      </c>
      <c r="AA14" s="88">
        <f t="shared" si="2"/>
        <v>5666</v>
      </c>
      <c r="AB14" s="116">
        <f>COUNTIFS(GERAL!A$8:A$1696,A14,GERAL!BK$8:BK$1696,"&gt;0",GERAL!C$8:C$1696,"ESCOLA")</f>
        <v>25</v>
      </c>
      <c r="AC14" s="118">
        <f>COUNTIFS(GERAL!A$8:A$1696,A14,GERAL!BK$8:BK$1696,"&gt;0",GERAL!C$8:C$1696,"ANEXO")</f>
        <v>0</v>
      </c>
      <c r="AD14" s="118">
        <f>COUNTIFS(GERAL!A$8:A$1696,A14,GERAL!BK$8:BK$1696,"&gt;0",GERAL!C$8:C$1696,"EFA")</f>
        <v>1</v>
      </c>
      <c r="AE14" s="118">
        <f>COUNTIFS('BALANÇO POR MUNICIPIOS'!$AF$18:$AF$434,"&gt;0",'BALANÇO POR MUNICIPIOS'!$AM$18:$AM$434,A14)</f>
        <v>9</v>
      </c>
      <c r="AF14" s="118">
        <f>COUNTIFS('BALANÇO POR MUNICIPIOS'!$AF$18:$AF$434,"=0",'BALANÇO POR MUNICIPIOS'!$AM$18:$AM$434,A14)</f>
        <v>1</v>
      </c>
      <c r="AG14" s="121">
        <f>SUMIF(GERAL!A$8:A$1696,A14,GERAL!AD$8:AD$1696)</f>
        <v>628</v>
      </c>
      <c r="AH14" s="121">
        <f>SUMIF(GERAL!A$8:A$1696,A14,GERAL!AI$8:AI$1696)</f>
        <v>5753</v>
      </c>
      <c r="AI14" s="121">
        <f>SUMIF(GERAL!A$8:A$1696,A14,GERAL!AV$8:AV$1696)</f>
        <v>369</v>
      </c>
      <c r="AJ14" s="124">
        <f t="shared" si="3"/>
        <v>6750</v>
      </c>
      <c r="AK14" s="116">
        <f>COUNTIFS(GERAL!A$8:A$1696,A14,GERAL!AW$8:AW$1696,"&gt;0",GERAL!C$8:C$1696,"ESCOLA")</f>
        <v>16</v>
      </c>
      <c r="AL14" s="118">
        <f>COUNTIFS(GERAL!A$8:A$1696,A14,GERAL!AW$8:AW$1696,"&gt;0",GERAL!C$8:C$1696,"ANEXO")</f>
        <v>1</v>
      </c>
      <c r="AM14" s="118">
        <f>COUNTIFS('BALANÇO POR MUNICIPIOS'!$AL$18:$AL$434,"&gt;0",'BALANÇO POR MUNICIPIOS'!$AM$18:$AM$434,A14)</f>
        <v>10</v>
      </c>
      <c r="AN14" s="118">
        <f>COUNTIFS('BALANÇO POR MUNICIPIOS'!$AL$18:$AL$434,"=0",'BALANÇO POR MUNICIPIOS'!$AM$18:$AM$434,A14)</f>
        <v>0</v>
      </c>
      <c r="AO14" s="176">
        <f>SUMIF(GERAL!A$8:A$1696,A14,GERAL!AS$8:AS$1696)+SUMIF(GERAL!A$8:A$1696,A14,GERAL!AT$8:AT$1696)</f>
        <v>3210</v>
      </c>
      <c r="AP14" s="176">
        <f>SUMIF(GERAL!A$8:A$1696,A14,GERAL!AU$8:AU$1696)</f>
        <v>899</v>
      </c>
      <c r="AQ14" s="176">
        <f>SUMIF(GERAL!A$8:A$1696,A14,GERAL!AV$8:AV$1696)</f>
        <v>369</v>
      </c>
      <c r="AR14" s="177">
        <f>SUMIF(GERAL!A$8:A$1696,A14,GERAL!AW$8:AW$1696)</f>
        <v>4478</v>
      </c>
      <c r="AS14" s="116">
        <f>COUNTIFS(GERAL!A$8:A$1696,A14,GERAL!AJ$8:AJ$1696,"&gt;0",GERAL!C$8:C$1696,"ESCOLA")</f>
        <v>30</v>
      </c>
      <c r="AT14" s="118">
        <f>COUNTIFS(GERAL!A$8:A$1696,A14,GERAL!AJ$8:AJ$1696,"&gt;0",GERAL!C$8:C$1696,"ANEXO")</f>
        <v>58</v>
      </c>
      <c r="AU14" s="118">
        <f>COUNTIFS(GERAL!A$8:A$1696,A14,GERAL!AJ$8:AJ$1696,"&gt;0",GERAL!C$8:C$1696,"EFA")</f>
        <v>1</v>
      </c>
      <c r="AV14" s="118">
        <f>COUNTIFS('BALANÇO POR MUNICIPIOS'!$F$18:$F$434,"&gt;0",'BALANÇO POR MUNICIPIOS'!$AM$18:$AM$434,A14)</f>
        <v>10</v>
      </c>
      <c r="AW14" s="178">
        <f>COUNTIFS('BALANÇO POR MUNICIPIOS'!$F$18:$F$434,"=0",'BALANÇO POR MUNICIPIOS'!$AM$18:$AM$434,A14)</f>
        <v>0</v>
      </c>
      <c r="AX14" s="177">
        <f>SUMIF(GERAL!A$8:A$1696,A14,GERAL!AF$8:AF$1696)+SUMIF(GERAL!A$8:A$1696,A14,GERAL!AG$8:AG$1696)</f>
        <v>7175</v>
      </c>
      <c r="AY14" s="177">
        <f>SUMIF(GERAL!A$8:A$1696,A14,GERAL!AH$8:AH$1696)</f>
        <v>254</v>
      </c>
      <c r="AZ14" s="177">
        <f>SUMIF(GERAL!A$8:A$1696,A14,GERAL!AI$8:AI$1696)</f>
        <v>5753</v>
      </c>
      <c r="BA14" s="134">
        <f>SUMIF(GERAL!A$8:A$1696,A14,GERAL!AJ$8:AJ$1696)</f>
        <v>13182</v>
      </c>
      <c r="BB14" s="116">
        <f>COUNTIFS(GERAL!A$8:A$1696,A14,GERAL!AR$8:AR$1696,"&gt;0",GERAL!C$8:C$1696,"ESCOLA")</f>
        <v>29</v>
      </c>
      <c r="BC14" s="118">
        <f>COUNTIFS(GERAL!A$8:A$1696,A14,GERAL!AR$8:AR$1696,"&gt;0",GERAL!C$8:C$1696,"ANEXO")</f>
        <v>29</v>
      </c>
      <c r="BD14" s="118">
        <f>COUNTIFS(GERAL!A$8:A$1696,A14,GERAL!AR$8:AR$1696,"&gt;0",GERAL!C$8:C$1696,"EFA")</f>
        <v>0</v>
      </c>
      <c r="BE14" s="118">
        <f>COUNTIFS('BALANÇO POR MUNICIPIOS'!$H$18:$H$434,"&gt;0",'BALANÇO POR MUNICIPIOS'!$AM$18:$AM$434,A14)</f>
        <v>10</v>
      </c>
      <c r="BF14" s="118">
        <f>COUNTIFS('BALANÇO POR MUNICIPIOS'!$H$18:$H$434,"=0",'BALANÇO POR MUNICIPIOS'!$AM$18:$AM$434,A14)</f>
        <v>0</v>
      </c>
      <c r="BG14" s="177">
        <f>SUMIF(GERAL!A$8:A$1696,A14,GERAL!AO$8:AO$1696)+SUMIF(GERAL!A$8:A$1696,A14,GERAL!AP$8:AP$1696)</f>
        <v>85</v>
      </c>
      <c r="BH14" s="177">
        <f>SUMIF(GERAL!A$8:A$1696,A14,GERAL!AQ$8:AQ$1696)</f>
        <v>4438</v>
      </c>
      <c r="BI14" s="124">
        <f>SUMIF(GERAL!A$8:A$1696,A14,GERAL!AR$8:AR$1696)</f>
        <v>4523</v>
      </c>
      <c r="BJ14" s="116">
        <f>COUNTIFS(GERAL!A$8:A$1696,A14,GERAL!AR$8:AR$1696,"&gt;0",GERAL!AJ$8:AJ$1696,"&gt;0",GERAL!C$8:C$1696,"ESCOLA")</f>
        <v>28</v>
      </c>
      <c r="BK14" s="118">
        <f>COUNTIFS(GERAL!A$8:A$1696,A14,GERAL!AR$8:AR$1696,"&gt;0",GERAL!AJ$8:AJ$1696,"&gt;0",GERAL!C$8:C$1696,"ANEXO")</f>
        <v>8</v>
      </c>
      <c r="BL14" s="118">
        <f>COUNTIFS('BALANÇO POR MUNICIPIOS'!$AM$18:$AM$434,A14,'BALANÇO POR MUNICIPIOS'!$H$18:$H$434,"&gt;0",'BALANÇO POR MUNICIPIOS'!$F$18:$F$434,"&gt;0")</f>
        <v>10</v>
      </c>
      <c r="BM14" s="118">
        <f t="shared" si="4"/>
        <v>17705</v>
      </c>
      <c r="BN14" s="116">
        <f>COUNTIFS(GERAL!A$8:A$1696,A14,GERAL!AN$8:AN$1696,"&gt;0",GERAL!C$8:C$1696,"ESCOLA")</f>
        <v>1</v>
      </c>
      <c r="BO14" s="118">
        <f>COUNTIFS(GERAL!A$8:A$1696,A14,GERAL!AN$8:AN$1696,"&gt;0",GERAL!C$8:C$1696,"ANEXO")</f>
        <v>0</v>
      </c>
      <c r="BP14" s="118">
        <f>COUNTIFS(GERAL!A$8:A$1696,A14,GERAL!AN$8:AN$1696,"&gt;0",GERAL!C$8:C$1696,"EFA")</f>
        <v>0</v>
      </c>
      <c r="BQ14" s="118">
        <f>COUNTIFS('BALANÇO POR MUNICIPIOS'!$G$18:$G$434,"&gt;0",'BALANÇO POR MUNICIPIOS'!$AM$18:$AM$434,A14)</f>
        <v>1</v>
      </c>
      <c r="BR14" s="118">
        <f>COUNTIFS('BALANÇO POR MUNICIPIOS'!$G$18:$G$434,"=0",'BALANÇO POR MUNICIPIOS'!$AM$18:$AM$434,A14)</f>
        <v>9</v>
      </c>
      <c r="BS14" s="177">
        <f>SUMIF(GERAL!A$8:A$1696,A14,GERAL!AK$8:AK$1696)+SUMIF(GERAL!A$8:A$1696,A14,GERAL!AL$8:AL$1696)</f>
        <v>0</v>
      </c>
      <c r="BT14" s="177">
        <f>SUMIF(GERAL!A$8:A$1696,A14,GERAL!AM$8:AM$1696)</f>
        <v>75</v>
      </c>
      <c r="BU14" s="118">
        <f>SUMIF(GERAL!A$8:A$1696,A14,GERAL!AN$8:AN$1696)</f>
        <v>75</v>
      </c>
      <c r="BV14" s="207">
        <f>COUNTIFS(GERAL!A$8:A$1696,A14,GERAL!AE$8:AE$1696,"&gt;0",GERAL!C$8:C$1696,"ESCOLA")</f>
        <v>11</v>
      </c>
      <c r="BW14" s="207">
        <f>COUNTIFS(GERAL!A$8:A$1696,A14,GERAL!AE$8:AE$1696,"&gt;0",GERAL!C$8:C$1696,"ANEXO")</f>
        <v>0</v>
      </c>
      <c r="BX14" s="207">
        <f>COUNTIFS(GERAL!A$8:A$1696,A14,GERAL!AE$8:AE$1696,"&gt;0",GERAL!C$8:C$1696,"EFA")</f>
        <v>1</v>
      </c>
      <c r="BY14" s="177">
        <f>COUNTIFS('BALANÇO POR MUNICIPIOS'!$E$18:$E$434,"&gt;0",'BALANÇO POR MUNICIPIOS'!$AM$18:$AM$434,A14)</f>
        <v>3</v>
      </c>
      <c r="BZ14" s="177">
        <f>COUNTIFS('BALANÇO POR MUNICIPIOS'!$E$18:$E$434,"=0",'BALANÇO POR MUNICIPIOS'!$AM$18:$AM$434,A14)</f>
        <v>7</v>
      </c>
      <c r="CA14" s="177">
        <f>SUMIF(GERAL!A$8:A$1696,A14,GERAL!AA$8:AA$1696)+SUMIF(GERAL!A$8:A$1696,A14,GERAL!AB$8:AB$1696)</f>
        <v>4347</v>
      </c>
      <c r="CB14" s="177">
        <f>SUMIF(GERAL!A$8:A$1696,A14,GERAL!AC$8:AC$1696)</f>
        <v>0</v>
      </c>
      <c r="CC14" s="118">
        <f>SUMIF(GERAL!A$8:A$1696,A14,GERAL!AE$8:AE$1696)</f>
        <v>4975</v>
      </c>
      <c r="CD14" s="118">
        <f>COUNTIFS(GERAL!A$8:A$1696,A14,GERAL!Z$8:Z$1696,"&gt;0",GERAL!C$8:C$1696,"ESCOLA")</f>
        <v>1</v>
      </c>
      <c r="CE14" s="118">
        <f>COUNTIFS(GERAL!A$8:A$1696,A14,GERAL!Z$8:Z$1696,"&gt;0",GERAL!C$8:C$1696,"ANEXO")</f>
        <v>0</v>
      </c>
      <c r="CF14" s="118">
        <f>COUNTIFS(GERAL!A$8:A$1696,A14,GERAL!Z$8:Z$1696,"&gt;0",GERAL!C$8:C$1696,"EFA")</f>
        <v>0</v>
      </c>
      <c r="CG14" s="177">
        <f>COUNTIFS('BALANÇO POR MUNICIPIOS'!$D$18:$D$434,"&gt;0",'BALANÇO POR MUNICIPIOS'!$AM$18:$AM$434,A14)</f>
        <v>1</v>
      </c>
      <c r="CH14" s="177">
        <f>COUNTIFS('BALANÇO POR MUNICIPIOS'!$D$18:$D$434,"=0",'BALANÇO POR MUNICIPIOS'!$AM$18:$AM$434,A14)</f>
        <v>9</v>
      </c>
      <c r="CI14" s="177">
        <f>SUMIF(GERAL!A$8:A$1696,A14,GERAL!V$8:V$1696)+SUMIF(GERAL!A$8:A$1696,A14,GERAL!W$8:W$1696)</f>
        <v>10</v>
      </c>
      <c r="CJ14" s="118">
        <f>SUMIF(GERAL!A$8:A$1696,A14,GERAL!Z$8:Z$1696)</f>
        <v>10</v>
      </c>
      <c r="CK14" s="118">
        <f>COUNTIFS(GERAL!$A$8:$A32,A14,GERAL!$BD$8:$BD32,"CEMIT",GERAL!$C$8:$C32,"ESCOLA")</f>
        <v>1</v>
      </c>
      <c r="CL14" s="118">
        <f>COUNTIFS(GERAL!$A$8:$A32,A14,GERAL!$BD$8:$BD32,"CEMIT",GERAL!$C$8:$C32,"ANEXO")</f>
        <v>37</v>
      </c>
      <c r="CM14" s="118">
        <f>SUMIFS(GERAL!$BB$8:$BB32,GERAL!$A$8:$A32,A14,GERAL!$BD$8:$BD32,"CEMIT")</f>
        <v>1180</v>
      </c>
    </row>
    <row r="15">
      <c r="A15" s="151" t="s">
        <v>860</v>
      </c>
      <c r="B15" s="75">
        <f>COUNTIFS(GERAL!$A$8:$A32,A15,GERAL!$C$8:$C32,"ESCOLA")</f>
        <v>29</v>
      </c>
      <c r="C15" s="75">
        <f>COUNTIFS(GERAL!A$8:A$1696,A15,GERAL!C$8:C$1696,"ANEXO")</f>
        <v>45</v>
      </c>
      <c r="D15" s="75">
        <f>COUNTIFS(GERAL!A$8:A$1696,A15,GERAL!C$8:C$1696,"EFA")</f>
        <v>1</v>
      </c>
      <c r="E15" s="85">
        <f>SUMIF(GERAL!A$8:A$1696,A15,GERAL!Z$8:Z$1696)</f>
        <v>0</v>
      </c>
      <c r="F15" s="85">
        <f>SUMIF(GERAL!A$8:A$1696,A15,GERAL!AE$8:AE$1696)</f>
        <v>481</v>
      </c>
      <c r="G15" s="85">
        <f>SUMIF(GERAL!A$8:A$1696,A15,GERAL!AJ$8:AJ$1696)</f>
        <v>12065</v>
      </c>
      <c r="H15" s="85">
        <f>SUMIF(GERAL!A$8:A$1696,A15,GERAL!AN$8:AN$1696)</f>
        <v>114</v>
      </c>
      <c r="I15" s="85">
        <f>SUMIF(GERAL!A$8:A$1696,A15,GERAL!AR$8:AW$1696)</f>
        <v>3015</v>
      </c>
      <c r="J15" s="85">
        <f>SUMIF(GERAL!A$8:A$1696,A15,GERAL!AW$8:AW$1696)</f>
        <v>4237</v>
      </c>
      <c r="K15" s="88">
        <f>SUMIF(GERAL!A$8:A$1696,A15,GERAL!AX$8:AX$1696)</f>
        <v>19912</v>
      </c>
      <c r="L15" s="95">
        <f>COUNTIFS(GERAL!A$8:A$1696,A15,GERAL!AY$8:AY$1696,"&gt;0",GERAL!C$8:C$1696,"ESCOLA")</f>
        <v>27</v>
      </c>
      <c r="M15" s="75">
        <f>COUNTIFS(GERAL!A$8:A$1696,A15,GERAL!AY$8:AY$1696,"&gt;0",GERAL!C$8:C$1696,"ANEXO")</f>
        <v>24</v>
      </c>
      <c r="N15" s="100">
        <f>SUMIF(GERAL!A$8:A$1696,A15,GERAL!V$8:V$1696)+SUMIF(GERAL!A$8:A$1696,A15,GERAL!W$8:W$1696)</f>
        <v>0</v>
      </c>
      <c r="O15" s="100">
        <f>SUMIF(GERAL!A$8:A$1696,A15,GERAL!AA$8:AA$1696)+SUMIF(GERAL!A$8:A$1696,A15,GERAL!AB$8:AB$1696)</f>
        <v>481</v>
      </c>
      <c r="P15" s="100">
        <f>SUMIF(GERAL!A$8:A$1696,A15,GERAL!AF$8:AF$1696)+SUMIF(GERAL!A$8:A$1696,A15,GERAL!AG$8:AG$1696)</f>
        <v>9747</v>
      </c>
      <c r="Q15" s="100">
        <f>SUMIF(GERAL!A$8:A$1696,A15,GERAL!AK$8:AK$1696)+SUMIF(GERAL!A$8:A$1696,A15,GERAL!AL$8:AL$1696)</f>
        <v>79</v>
      </c>
      <c r="R15" s="100">
        <f>SUMIF(GERAL!A$8:A$1696,A15,GERAL!AO$8:AO$1696)+SUMIF(GERAL!A$8:A$1696,A15,GERAL!AP$8:AP$1696)</f>
        <v>17</v>
      </c>
      <c r="S15" s="100">
        <f>SUMIF(GERAL!A$8:A$1696,A15,GERAL!AS$8:AS$1696)+SUMIF(GERAL!A$8:A$1696,A15,GERAL!AT$8:AT$1696)</f>
        <v>2756</v>
      </c>
      <c r="T15" s="103">
        <f t="shared" si="1"/>
        <v>13080</v>
      </c>
      <c r="U15" s="75">
        <f>COUNTIFS(GERAL!A$8:A$1696,A15,GERAL!AZ$8:AZ$1696,"&gt;0",GERAL!C$8:C$1696,"ESCOLA")</f>
        <v>24</v>
      </c>
      <c r="V15" s="75">
        <f>COUNTIFS(GERAL!A$8:A$1696,A15,GERAL!AZ$8:AZ$1696,"&gt;0",GERAL!C$8:C$1696,"ANEXO")</f>
        <v>35</v>
      </c>
      <c r="W15" s="85">
        <f>SUMIF(GERAL!A$8:A$1696,A15,GERAL!AH$8:AH$1696)</f>
        <v>443</v>
      </c>
      <c r="X15" s="85">
        <f>SUMIF(GERAL!A$8:A$1696,A15,GERAL!AM$8:AM$1696)</f>
        <v>35</v>
      </c>
      <c r="Y15" s="85">
        <f>SUMIF(GERAL!A$8:A$1696,A15,GERAL!AQ$8:AQ$1696)</f>
        <v>2998</v>
      </c>
      <c r="Z15" s="85">
        <f>SUMIF(GERAL!A$8:A$1696,A15,GERAL!AU$8:AU$1696)</f>
        <v>874</v>
      </c>
      <c r="AA15" s="88">
        <f t="shared" si="2"/>
        <v>4350</v>
      </c>
      <c r="AB15" s="116">
        <f>COUNTIFS(GERAL!A$8:A$1696,A15,GERAL!BK$8:BK$1696,"&gt;0",GERAL!C$8:C$1696,"ESCOLA")</f>
        <v>17</v>
      </c>
      <c r="AC15" s="118">
        <f>COUNTIFS(GERAL!A$8:A$1696,A15,GERAL!BK$8:BK$1696,"&gt;0",GERAL!C$8:C$1696,"ANEXO")</f>
        <v>1</v>
      </c>
      <c r="AD15" s="118">
        <f>COUNTIFS(GERAL!A$8:A$1696,A15,GERAL!BK$8:BK$1696,"&gt;0",GERAL!C$8:C$1696,"EFA")</f>
        <v>1</v>
      </c>
      <c r="AE15" s="118">
        <f>COUNTIFS('BALANÇO POR MUNICIPIOS'!$AF$18:$AF$434,"&gt;0",'BALANÇO POR MUNICIPIOS'!$AM$18:$AM$434,A15)</f>
        <v>13</v>
      </c>
      <c r="AF15" s="118">
        <f>COUNTIFS('BALANÇO POR MUNICIPIOS'!$AF$18:$AF$434,"=0",'BALANÇO POR MUNICIPIOS'!$AM$18:$AM$434,A15)</f>
        <v>1</v>
      </c>
      <c r="AG15" s="121">
        <f>SUMIF(GERAL!A$8:A$1696,A15,GERAL!AD$8:AD$1696)</f>
        <v>0</v>
      </c>
      <c r="AH15" s="121">
        <f>SUMIF(GERAL!A$8:A$1696,A15,GERAL!AI$8:AI$1696)</f>
        <v>1875</v>
      </c>
      <c r="AI15" s="121">
        <f>SUMIF(GERAL!A$8:A$1696,A15,GERAL!AV$8:AV$1696)</f>
        <v>607</v>
      </c>
      <c r="AJ15" s="124">
        <f t="shared" si="3"/>
        <v>2482</v>
      </c>
      <c r="AK15" s="116">
        <f>COUNTIFS(GERAL!A$8:A$1696,A15,GERAL!AW$8:AW$1696,"&gt;0",GERAL!C$8:C$1696,"ESCOLA")</f>
        <v>16</v>
      </c>
      <c r="AL15" s="118">
        <f>COUNTIFS(GERAL!A$8:A$1696,A15,GERAL!AW$8:AW$1696,"&gt;0",GERAL!C$8:C$1696,"ANEXO")</f>
        <v>1</v>
      </c>
      <c r="AM15" s="118">
        <f>COUNTIFS('BALANÇO POR MUNICIPIOS'!$AL$18:$AL$434,"&gt;0",'BALANÇO POR MUNICIPIOS'!$AM$18:$AM$434,A15)</f>
        <v>13</v>
      </c>
      <c r="AN15" s="118">
        <f>COUNTIFS('BALANÇO POR MUNICIPIOS'!$AL$18:$AL$434,"=0",'BALANÇO POR MUNICIPIOS'!$AM$18:$AM$434,A15)</f>
        <v>1</v>
      </c>
      <c r="AO15" s="176">
        <f>SUMIF(GERAL!A$8:A$1696,A15,GERAL!AS$8:AS$1696)+SUMIF(GERAL!A$8:A$1696,A15,GERAL!AT$8:AT$1696)</f>
        <v>2756</v>
      </c>
      <c r="AP15" s="176">
        <f>SUMIF(GERAL!A$8:A$1696,A15,GERAL!AU$8:AU$1696)</f>
        <v>874</v>
      </c>
      <c r="AQ15" s="176">
        <f>SUMIF(GERAL!A$8:A$1696,A15,GERAL!AV$8:AV$1696)</f>
        <v>607</v>
      </c>
      <c r="AR15" s="177">
        <f>SUMIF(GERAL!A$8:A$1696,A15,GERAL!AW$8:AW$1696)</f>
        <v>4237</v>
      </c>
      <c r="AS15" s="116">
        <f>COUNTIFS(GERAL!A$8:A$1696,A15,GERAL!AJ$8:AJ$1696,"&gt;0",GERAL!C$8:C$1696,"ESCOLA")</f>
        <v>26</v>
      </c>
      <c r="AT15" s="118">
        <f>COUNTIFS(GERAL!A$8:A$1696,A15,GERAL!AJ$8:AJ$1696,"&gt;0",GERAL!C$8:C$1696,"ANEXO")</f>
        <v>34</v>
      </c>
      <c r="AU15" s="118">
        <f>COUNTIFS(GERAL!A$8:A$1696,A15,GERAL!AJ$8:AJ$1696,"&gt;0",GERAL!C$8:C$1696,"EFA")</f>
        <v>1</v>
      </c>
      <c r="AV15" s="118">
        <f>COUNTIFS('BALANÇO POR MUNICIPIOS'!$F$18:$F$434,"&gt;0",'BALANÇO POR MUNICIPIOS'!$AM$18:$AM$434,A15)</f>
        <v>14</v>
      </c>
      <c r="AW15" s="178">
        <f>COUNTIFS('BALANÇO POR MUNICIPIOS'!$F$18:$F$434,"=0",'BALANÇO POR MUNICIPIOS'!$AM$18:$AM$434,A15)</f>
        <v>0</v>
      </c>
      <c r="AX15" s="177">
        <f>SUMIF(GERAL!A$8:A$1696,A15,GERAL!AF$8:AF$1696)+SUMIF(GERAL!A$8:A$1696,A15,GERAL!AG$8:AG$1696)</f>
        <v>9747</v>
      </c>
      <c r="AY15" s="177">
        <f>SUMIF(GERAL!A$8:A$1696,A15,GERAL!AH$8:AH$1696)</f>
        <v>443</v>
      </c>
      <c r="AZ15" s="177">
        <f>SUMIF(GERAL!A$8:A$1696,A15,GERAL!AI$8:AI$1696)</f>
        <v>1875</v>
      </c>
      <c r="BA15" s="134">
        <f>SUMIF(GERAL!A$8:A$1696,A15,GERAL!AJ$8:AJ$1696)</f>
        <v>12065</v>
      </c>
      <c r="BB15" s="116">
        <f>COUNTIFS(GERAL!A$8:A$1696,A15,GERAL!AR$8:AR$1696,"&gt;0",GERAL!C$8:C$1696,"ESCOLA")</f>
        <v>22</v>
      </c>
      <c r="BC15" s="118">
        <f>COUNTIFS(GERAL!A$8:A$1696,A15,GERAL!AR$8:AR$1696,"&gt;0",GERAL!C$8:C$1696,"ANEXO")</f>
        <v>12</v>
      </c>
      <c r="BD15" s="118">
        <f>COUNTIFS(GERAL!A$8:A$1696,A15,GERAL!AR$8:AR$1696,"&gt;0",GERAL!C$8:C$1696,"EFA")</f>
        <v>0</v>
      </c>
      <c r="BE15" s="118">
        <f>COUNTIFS('BALANÇO POR MUNICIPIOS'!$H$18:$H$434,"&gt;0",'BALANÇO POR MUNICIPIOS'!$AM$18:$AM$434,A15)</f>
        <v>13</v>
      </c>
      <c r="BF15" s="118">
        <f>COUNTIFS('BALANÇO POR MUNICIPIOS'!$H$18:$H$434,"=0",'BALANÇO POR MUNICIPIOS'!$AM$18:$AM$434,A15)</f>
        <v>1</v>
      </c>
      <c r="BG15" s="177">
        <f>SUMIF(GERAL!A$8:A$1696,A15,GERAL!AO$8:AO$1696)+SUMIF(GERAL!A$8:A$1696,A15,GERAL!AP$8:AP$1696)</f>
        <v>17</v>
      </c>
      <c r="BH15" s="177">
        <f>SUMIF(GERAL!A$8:A$1696,A15,GERAL!AQ$8:AQ$1696)</f>
        <v>2998</v>
      </c>
      <c r="BI15" s="124">
        <f>SUMIF(GERAL!A$8:A$1696,A15,GERAL!AR$8:AR$1696)</f>
        <v>3015</v>
      </c>
      <c r="BJ15" s="116">
        <f>COUNTIFS(GERAL!A$8:A$1696,A15,GERAL!AR$8:AR$1696,"&gt;0",GERAL!AJ$8:AJ$1696,"&gt;0",GERAL!C$8:C$1696,"ESCOLA")</f>
        <v>22</v>
      </c>
      <c r="BK15" s="118">
        <f>COUNTIFS(GERAL!A$8:A$1696,A15,GERAL!AR$8:AR$1696,"&gt;0",GERAL!AJ$8:AJ$1696,"&gt;0",GERAL!C$8:C$1696,"ANEXO")</f>
        <v>1</v>
      </c>
      <c r="BL15" s="118">
        <f>COUNTIFS('BALANÇO POR MUNICIPIOS'!$AM$18:$AM$434,A15,'BALANÇO POR MUNICIPIOS'!$H$18:$H$434,"&gt;0",'BALANÇO POR MUNICIPIOS'!$F$18:$F$434,"&gt;0")</f>
        <v>13</v>
      </c>
      <c r="BM15" s="118">
        <f t="shared" si="4"/>
        <v>15080</v>
      </c>
      <c r="BN15" s="116">
        <f>COUNTIFS(GERAL!A$8:A$1696,A15,GERAL!AN$8:AN$1696,"&gt;0",GERAL!C$8:C$1696,"ESCOLA")</f>
        <v>0</v>
      </c>
      <c r="BO15" s="118">
        <f>COUNTIFS(GERAL!A$8:A$1696,A15,GERAL!AN$8:AN$1696,"&gt;0",GERAL!C$8:C$1696,"ANEXO")</f>
        <v>1</v>
      </c>
      <c r="BP15" s="118">
        <f>COUNTIFS(GERAL!A$8:A$1696,A15,GERAL!AN$8:AN$1696,"&gt;0",GERAL!C$8:C$1696,"EFA")</f>
        <v>0</v>
      </c>
      <c r="BQ15" s="118">
        <f>COUNTIFS('BALANÇO POR MUNICIPIOS'!$G$18:$G$434,"&gt;0",'BALANÇO POR MUNICIPIOS'!$AM$18:$AM$434,A15)</f>
        <v>1</v>
      </c>
      <c r="BR15" s="118">
        <f>COUNTIFS('BALANÇO POR MUNICIPIOS'!$G$18:$G$434,"=0",'BALANÇO POR MUNICIPIOS'!$AM$18:$AM$434,A15)</f>
        <v>13</v>
      </c>
      <c r="BS15" s="177">
        <f>SUMIF(GERAL!A$8:A$1696,A15,GERAL!AK$8:AK$1696)+SUMIF(GERAL!A$8:A$1696,A15,GERAL!AL$8:AL$1696)</f>
        <v>79</v>
      </c>
      <c r="BT15" s="177">
        <f>SUMIF(GERAL!A$8:A$1696,A15,GERAL!AM$8:AM$1696)</f>
        <v>35</v>
      </c>
      <c r="BU15" s="118">
        <f>SUMIF(GERAL!A$8:A$1696,A15,GERAL!AN$8:AN$1696)</f>
        <v>114</v>
      </c>
      <c r="BV15" s="207">
        <f>COUNTIFS(GERAL!A$8:A$1696,A15,GERAL!AE$8:AE$1696,"&gt;0",GERAL!C$8:C$1696,"ESCOLA")</f>
        <v>1</v>
      </c>
      <c r="BW15" s="207">
        <f>COUNTIFS(GERAL!A$8:A$1696,A15,GERAL!AE$8:AE$1696,"&gt;0",GERAL!C$8:C$1696,"ANEXO")</f>
        <v>0</v>
      </c>
      <c r="BX15" s="207">
        <f>COUNTIFS(GERAL!A$8:A$1696,A15,GERAL!AE$8:AE$1696,"&gt;0",GERAL!C$8:C$1696,"EFA")</f>
        <v>0</v>
      </c>
      <c r="BY15" s="177">
        <f>COUNTIFS('BALANÇO POR MUNICIPIOS'!$E$18:$E$434,"&gt;0",'BALANÇO POR MUNICIPIOS'!$AM$18:$AM$434,A15)</f>
        <v>1</v>
      </c>
      <c r="BZ15" s="177">
        <f>COUNTIFS('BALANÇO POR MUNICIPIOS'!$E$18:$E$434,"=0",'BALANÇO POR MUNICIPIOS'!$AM$18:$AM$434,A15)</f>
        <v>13</v>
      </c>
      <c r="CA15" s="177">
        <f>SUMIF(GERAL!A$8:A$1696,A15,GERAL!AA$8:AA$1696)+SUMIF(GERAL!A$8:A$1696,A15,GERAL!AB$8:AB$1696)</f>
        <v>481</v>
      </c>
      <c r="CB15" s="177">
        <f>SUMIF(GERAL!A$8:A$1696,A15,GERAL!AC$8:AC$1696)</f>
        <v>0</v>
      </c>
      <c r="CC15" s="118">
        <f>SUMIF(GERAL!A$8:A$1696,A15,GERAL!AE$8:AE$1696)</f>
        <v>481</v>
      </c>
      <c r="CD15" s="118">
        <f>COUNTIFS(GERAL!A$8:A$1696,A15,GERAL!Z$8:Z$1696,"&gt;0",GERAL!C$8:C$1696,"ESCOLA")</f>
        <v>0</v>
      </c>
      <c r="CE15" s="118">
        <f>COUNTIFS(GERAL!A$8:A$1696,A15,GERAL!Z$8:Z$1696,"&gt;0",GERAL!C$8:C$1696,"ANEXO")</f>
        <v>0</v>
      </c>
      <c r="CF15" s="118">
        <f>COUNTIFS(GERAL!A$8:A$1696,A15,GERAL!Z$8:Z$1696,"&gt;0",GERAL!C$8:C$1696,"EFA")</f>
        <v>0</v>
      </c>
      <c r="CG15" s="177">
        <f>COUNTIFS('BALANÇO POR MUNICIPIOS'!$D$18:$D$434,"&gt;0",'BALANÇO POR MUNICIPIOS'!$AM$18:$AM$434,A15)</f>
        <v>0</v>
      </c>
      <c r="CH15" s="177">
        <f>COUNTIFS('BALANÇO POR MUNICIPIOS'!$D$18:$D$434,"=0",'BALANÇO POR MUNICIPIOS'!$AM$18:$AM$434,A15)</f>
        <v>14</v>
      </c>
      <c r="CI15" s="177">
        <f>SUMIF(GERAL!A$8:A$1696,A15,GERAL!V$8:V$1696)+SUMIF(GERAL!A$8:A$1696,A15,GERAL!W$8:W$1696)</f>
        <v>0</v>
      </c>
      <c r="CJ15" s="118">
        <f>SUMIF(GERAL!A$8:A$1696,A15,GERAL!Z$8:Z$1696)</f>
        <v>0</v>
      </c>
      <c r="CK15" s="118">
        <f>COUNTIFS(GERAL!$A$8:$A32,A15,GERAL!$BD$8:$BD32,"CEMIT",GERAL!$C$8:$C32,"ESCOLA")</f>
        <v>1</v>
      </c>
      <c r="CL15" s="118">
        <f>COUNTIFS(GERAL!$A$8:$A32,A15,GERAL!$BD$8:$BD32,"CEMIT",GERAL!$C$8:$C32,"ANEXO")</f>
        <v>30</v>
      </c>
      <c r="CM15" s="118">
        <f>SUMIFS(GERAL!$BB$8:$BB32,GERAL!$A$8:$A32,A15,GERAL!$BD$8:$BD32,"CEMIT")</f>
        <v>942</v>
      </c>
    </row>
    <row r="16">
      <c r="A16" s="135" t="s">
        <v>914</v>
      </c>
      <c r="B16" s="75">
        <f>COUNTIFS(GERAL!$A$8:$A32,A16,GERAL!$C$8:$C32,"ESCOLA")</f>
        <v>11</v>
      </c>
      <c r="C16" s="75">
        <f>COUNTIFS(GERAL!A$8:A$1696,A16,GERAL!C$8:C$1696,"ANEXO")</f>
        <v>16</v>
      </c>
      <c r="D16" s="75">
        <f>COUNTIFS(GERAL!A$8:A$1696,A16,GERAL!C$8:C$1696,"EFA")</f>
        <v>4</v>
      </c>
      <c r="E16" s="85">
        <f>SUMIF(GERAL!A$8:A$1696,A16,GERAL!Z$8:Z$1696)</f>
        <v>0</v>
      </c>
      <c r="F16" s="85">
        <f>SUMIF(GERAL!A$8:A$1696,A16,GERAL!AE$8:AE$1696)</f>
        <v>250</v>
      </c>
      <c r="G16" s="85">
        <f>SUMIF(GERAL!A$8:A$1696,A16,GERAL!AJ$8:AJ$1696)</f>
        <v>3903</v>
      </c>
      <c r="H16" s="85">
        <f>SUMIF(GERAL!A$8:A$1696,A16,GERAL!AN$8:AN$1696)</f>
        <v>0</v>
      </c>
      <c r="I16" s="85">
        <f>SUMIF(GERAL!A$8:A$1696,A16,GERAL!AR$8:AW$1696)</f>
        <v>449</v>
      </c>
      <c r="J16" s="85">
        <f>SUMIF(GERAL!A$8:A$1696,A16,GERAL!AW$8:AW$1696)</f>
        <v>934</v>
      </c>
      <c r="K16" s="88">
        <f>SUMIF(GERAL!A$8:A$1696,A16,GERAL!AX$8:AX$1696)</f>
        <v>5536</v>
      </c>
      <c r="L16" s="95">
        <f>COUNTIFS(GERAL!A$8:A$1696,A16,GERAL!AY$8:AY$1696,"&gt;0",GERAL!C$8:C$1696,"ESCOLA")</f>
        <v>10</v>
      </c>
      <c r="M16" s="75">
        <f>COUNTIFS(GERAL!A$8:A$1696,A16,GERAL!AY$8:AY$1696,"&gt;0",GERAL!C$8:C$1696,"ANEXO")</f>
        <v>14</v>
      </c>
      <c r="N16" s="100">
        <f>SUMIF(GERAL!A$8:A$1696,A16,GERAL!V$8:V$1696)+SUMIF(GERAL!A$8:A$1696,A16,GERAL!W$8:W$1696)</f>
        <v>0</v>
      </c>
      <c r="O16" s="100">
        <f>SUMIF(GERAL!A$8:A$1696,A16,GERAL!AA$8:AA$1696)+SUMIF(GERAL!A$8:A$1696,A16,GERAL!AB$8:AB$1696)</f>
        <v>54</v>
      </c>
      <c r="P16" s="100">
        <f>SUMIF(GERAL!A$8:A$1696,A16,GERAL!AF$8:AF$1696)+SUMIF(GERAL!A$8:A$1696,A16,GERAL!AG$8:AG$1696)</f>
        <v>2006</v>
      </c>
      <c r="Q16" s="100">
        <f>SUMIF(GERAL!A$8:A$1696,A16,GERAL!AK$8:AK$1696)+SUMIF(GERAL!A$8:A$1696,A16,GERAL!AL$8:AL$1696)</f>
        <v>0</v>
      </c>
      <c r="R16" s="100">
        <f>SUMIF(GERAL!A$8:A$1696,A16,GERAL!AO$8:AO$1696)+SUMIF(GERAL!A$8:A$1696,A16,GERAL!AP$8:AP$1696)</f>
        <v>0</v>
      </c>
      <c r="S16" s="100">
        <f>SUMIF(GERAL!A$8:A$1696,A16,GERAL!AS$8:AS$1696)+SUMIF(GERAL!A$8:A$1696,A16,GERAL!AT$8:AT$1696)</f>
        <v>502</v>
      </c>
      <c r="T16" s="103">
        <f t="shared" si="1"/>
        <v>2562</v>
      </c>
      <c r="U16" s="75">
        <f>COUNTIFS(GERAL!A$8:A$1696,A16,GERAL!AZ$8:AZ$1696,"&gt;0",GERAL!C$8:C$1696,"ESCOLA")</f>
        <v>8</v>
      </c>
      <c r="V16" s="75">
        <f>COUNTIFS(GERAL!A$8:A$1696,A16,GERAL!AZ$8:AZ$1696,"&gt;0",GERAL!C$8:C$1696,"ANEXO")</f>
        <v>8</v>
      </c>
      <c r="W16" s="85">
        <f>SUMIF(GERAL!A$8:A$1696,A16,GERAL!AH$8:AH$1696)</f>
        <v>130</v>
      </c>
      <c r="X16" s="85">
        <f>SUMIF(GERAL!A$8:A$1696,A16,GERAL!AM$8:AM$1696)</f>
        <v>0</v>
      </c>
      <c r="Y16" s="85">
        <f>SUMIF(GERAL!A$8:A$1696,A16,GERAL!AQ$8:AQ$1696)</f>
        <v>449</v>
      </c>
      <c r="Z16" s="85">
        <f>SUMIF(GERAL!A$8:A$1696,A16,GERAL!AU$8:AU$1696)</f>
        <v>208</v>
      </c>
      <c r="AA16" s="88">
        <f t="shared" si="2"/>
        <v>787</v>
      </c>
      <c r="AB16" s="116">
        <f>COUNTIFS(GERAL!A$8:A$1696,A16,GERAL!BK$8:BK$1696,"&gt;0",GERAL!C$8:C$1696,"ESCOLA")</f>
        <v>10</v>
      </c>
      <c r="AC16" s="118">
        <f>COUNTIFS(GERAL!A$8:A$1696,A16,GERAL!BK$8:BK$1696,"&gt;0",GERAL!C$8:C$1696,"ANEXO")</f>
        <v>0</v>
      </c>
      <c r="AD16" s="118">
        <f>COUNTIFS(GERAL!A$8:A$1696,A16,GERAL!BK$8:BK$1696,"&gt;0",GERAL!C$8:C$1696,"EFA")</f>
        <v>4</v>
      </c>
      <c r="AE16" s="118">
        <f>COUNTIFS('BALANÇO POR MUNICIPIOS'!$AF$18:$AF$434,"&gt;0",'BALANÇO POR MUNICIPIOS'!$AM$18:$AM$434,A16)</f>
        <v>8</v>
      </c>
      <c r="AF16" s="118">
        <f>COUNTIFS('BALANÇO POR MUNICIPIOS'!$AF$18:$AF$434,"=0",'BALANÇO POR MUNICIPIOS'!$AM$18:$AM$434,A16)</f>
        <v>0</v>
      </c>
      <c r="AG16" s="121">
        <f>SUMIF(GERAL!A$8:A$1696,A16,GERAL!AD$8:AD$1696)</f>
        <v>196</v>
      </c>
      <c r="AH16" s="121">
        <f>SUMIF(GERAL!A$8:A$1696,A16,GERAL!AI$8:AI$1696)</f>
        <v>1767</v>
      </c>
      <c r="AI16" s="121">
        <f>SUMIF(GERAL!A$8:A$1696,A16,GERAL!AV$8:AV$1696)</f>
        <v>224</v>
      </c>
      <c r="AJ16" s="124">
        <f t="shared" si="3"/>
        <v>2187</v>
      </c>
      <c r="AK16" s="116">
        <f>COUNTIFS(GERAL!A$8:A$1696,A16,GERAL!AW$8:AW$1696,"&gt;0",GERAL!C$8:C$1696,"ESCOLA")</f>
        <v>8</v>
      </c>
      <c r="AL16" s="118">
        <f>COUNTIFS(GERAL!A$8:A$1696,A16,GERAL!AW$8:AW$1696,"&gt;0",GERAL!C$8:C$1696,"ANEXO")</f>
        <v>0</v>
      </c>
      <c r="AM16" s="118">
        <f>COUNTIFS('BALANÇO POR MUNICIPIOS'!$AL$18:$AL$434,"&gt;0",'BALANÇO POR MUNICIPIOS'!$AM$18:$AM$434,A16)</f>
        <v>8</v>
      </c>
      <c r="AN16" s="118">
        <f>COUNTIFS('BALANÇO POR MUNICIPIOS'!$AL$18:$AL$434,"=0",'BALANÇO POR MUNICIPIOS'!$AM$18:$AM$434,A16)</f>
        <v>0</v>
      </c>
      <c r="AO16" s="176">
        <f>SUMIF(GERAL!A$8:A$1696,A16,GERAL!AS$8:AS$1696)+SUMIF(GERAL!A$8:A$1696,A16,GERAL!AT$8:AT$1696)</f>
        <v>502</v>
      </c>
      <c r="AP16" s="176">
        <f>SUMIF(GERAL!A$8:A$1696,A16,GERAL!AU$8:AU$1696)</f>
        <v>208</v>
      </c>
      <c r="AQ16" s="176">
        <f>SUMIF(GERAL!A$8:A$1696,A16,GERAL!AV$8:AV$1696)</f>
        <v>224</v>
      </c>
      <c r="AR16" s="177">
        <f>SUMIF(GERAL!A$8:A$1696,A16,GERAL!AW$8:AW$1696)</f>
        <v>934</v>
      </c>
      <c r="AS16" s="116">
        <f>COUNTIFS(GERAL!A$8:A$1696,A16,GERAL!AJ$8:AJ$1696,"&gt;0",GERAL!C$8:C$1696,"ESCOLA")</f>
        <v>10</v>
      </c>
      <c r="AT16" s="118">
        <f>COUNTIFS(GERAL!A$8:A$1696,A16,GERAL!AJ$8:AJ$1696,"&gt;0",GERAL!C$8:C$1696,"ANEXO")</f>
        <v>16</v>
      </c>
      <c r="AU16" s="118">
        <f>COUNTIFS(GERAL!A$8:A$1696,A16,GERAL!AJ$8:AJ$1696,"&gt;0",GERAL!C$8:C$1696,"EFA")</f>
        <v>4</v>
      </c>
      <c r="AV16" s="118">
        <f>COUNTIFS('BALANÇO POR MUNICIPIOS'!$F$18:$F$434,"&gt;0",'BALANÇO POR MUNICIPIOS'!$AM$18:$AM$434,A16)</f>
        <v>8</v>
      </c>
      <c r="AW16" s="178">
        <f>COUNTIFS('BALANÇO POR MUNICIPIOS'!$F$18:$F$434,"=0",'BALANÇO POR MUNICIPIOS'!$AM$18:$AM$434,A16)</f>
        <v>0</v>
      </c>
      <c r="AX16" s="177">
        <f>SUMIF(GERAL!A$8:A$1696,A16,GERAL!AF$8:AF$1696)+SUMIF(GERAL!A$8:A$1696,A16,GERAL!AG$8:AG$1696)</f>
        <v>2006</v>
      </c>
      <c r="AY16" s="177">
        <f>SUMIF(GERAL!A$8:A$1696,A16,GERAL!AH$8:AH$1696)</f>
        <v>130</v>
      </c>
      <c r="AZ16" s="177">
        <f>SUMIF(GERAL!A$8:A$1696,A16,GERAL!AI$8:AI$1696)</f>
        <v>1767</v>
      </c>
      <c r="BA16" s="134">
        <f>SUMIF(GERAL!A$8:A$1696,A16,GERAL!AJ$8:AJ$1696)</f>
        <v>3903</v>
      </c>
      <c r="BB16" s="116">
        <f>COUNTIFS(GERAL!A$8:A$1696,A16,GERAL!AR$8:AR$1696,"&gt;0",GERAL!C$8:C$1696,"ESCOLA")</f>
        <v>8</v>
      </c>
      <c r="BC16" s="118">
        <f>COUNTIFS(GERAL!A$8:A$1696,A16,GERAL!AR$8:AR$1696,"&gt;0",GERAL!C$8:C$1696,"ANEXO")</f>
        <v>1</v>
      </c>
      <c r="BD16" s="118">
        <f>COUNTIFS(GERAL!A$8:A$1696,A16,GERAL!AR$8:AR$1696,"&gt;0",GERAL!C$8:C$1696,"EFA")</f>
        <v>0</v>
      </c>
      <c r="BE16" s="118">
        <f>COUNTIFS('BALANÇO POR MUNICIPIOS'!$H$18:$H$434,"&gt;0",'BALANÇO POR MUNICIPIOS'!$AM$18:$AM$434,A16)</f>
        <v>8</v>
      </c>
      <c r="BF16" s="118">
        <f>COUNTIFS('BALANÇO POR MUNICIPIOS'!$H$18:$H$434,"=0",'BALANÇO POR MUNICIPIOS'!$AM$18:$AM$434,A16)</f>
        <v>0</v>
      </c>
      <c r="BG16" s="177">
        <f>SUMIF(GERAL!A$8:A$1696,A16,GERAL!AO$8:AO$1696)+SUMIF(GERAL!A$8:A$1696,A16,GERAL!AP$8:AP$1696)</f>
        <v>0</v>
      </c>
      <c r="BH16" s="177">
        <f>SUMIF(GERAL!A$8:A$1696,A16,GERAL!AQ$8:AQ$1696)</f>
        <v>449</v>
      </c>
      <c r="BI16" s="124">
        <f>SUMIF(GERAL!A$8:A$1696,A16,GERAL!AR$8:AR$1696)</f>
        <v>449</v>
      </c>
      <c r="BJ16" s="116">
        <f>COUNTIFS(GERAL!A$8:A$1696,A16,GERAL!AR$8:AR$1696,"&gt;0",GERAL!AJ$8:AJ$1696,"&gt;0",GERAL!C$8:C$1696,"ESCOLA")</f>
        <v>8</v>
      </c>
      <c r="BK16" s="118">
        <f>COUNTIFS(GERAL!A$8:A$1696,A16,GERAL!AR$8:AR$1696,"&gt;0",GERAL!AJ$8:AJ$1696,"&gt;0",GERAL!C$8:C$1696,"ANEXO")</f>
        <v>1</v>
      </c>
      <c r="BL16" s="118">
        <f>COUNTIFS('BALANÇO POR MUNICIPIOS'!$AM$18:$AM$434,A16,'BALANÇO POR MUNICIPIOS'!$H$18:$H$434,"&gt;0",'BALANÇO POR MUNICIPIOS'!$F$18:$F$434,"&gt;0")</f>
        <v>8</v>
      </c>
      <c r="BM16" s="118">
        <f t="shared" si="4"/>
        <v>4352</v>
      </c>
      <c r="BN16" s="116">
        <f>COUNTIFS(GERAL!A$8:A$1696,A16,GERAL!AN$8:AN$1696,"&gt;0",GERAL!C$8:C$1696,"ESCOLA")</f>
        <v>0</v>
      </c>
      <c r="BO16" s="118">
        <f>COUNTIFS(GERAL!A$8:A$1696,A16,GERAL!AN$8:AN$1696,"&gt;0",GERAL!C$8:C$1696,"ANEXO")</f>
        <v>0</v>
      </c>
      <c r="BP16" s="118">
        <f>COUNTIFS(GERAL!A$8:A$1696,A16,GERAL!AN$8:AN$1696,"&gt;0",GERAL!C$8:C$1696,"EFA")</f>
        <v>0</v>
      </c>
      <c r="BQ16" s="118">
        <f>COUNTIFS('BALANÇO POR MUNICIPIOS'!$G$18:$G$434,"&gt;0",'BALANÇO POR MUNICIPIOS'!$AM$18:$AM$434,A16)</f>
        <v>0</v>
      </c>
      <c r="BR16" s="118">
        <f>COUNTIFS('BALANÇO POR MUNICIPIOS'!$G$18:$G$434,"=0",'BALANÇO POR MUNICIPIOS'!$AM$18:$AM$434,A16)</f>
        <v>8</v>
      </c>
      <c r="BS16" s="177">
        <f>SUMIF(GERAL!A$8:A$1696,A16,GERAL!AK$8:AK$1696)+SUMIF(GERAL!A$8:A$1696,A16,GERAL!AL$8:AL$1696)</f>
        <v>0</v>
      </c>
      <c r="BT16" s="177">
        <f>SUMIF(GERAL!A$8:A$1696,A16,GERAL!AM$8:AM$1696)</f>
        <v>0</v>
      </c>
      <c r="BU16" s="118">
        <f>SUMIF(GERAL!A$8:A$1696,A16,GERAL!AN$8:AN$1696)</f>
        <v>0</v>
      </c>
      <c r="BV16" s="207">
        <f>COUNTIFS(GERAL!A$8:A$1696,A16,GERAL!AE$8:AE$1696,"&gt;0",GERAL!C$8:C$1696,"ESCOLA")</f>
        <v>1</v>
      </c>
      <c r="BW16" s="207">
        <f>COUNTIFS(GERAL!A$8:A$1696,A16,GERAL!AE$8:AE$1696,"&gt;0",GERAL!C$8:C$1696,"ANEXO")</f>
        <v>0</v>
      </c>
      <c r="BX16" s="207">
        <f>COUNTIFS(GERAL!A$8:A$1696,A16,GERAL!AE$8:AE$1696,"&gt;0",GERAL!C$8:C$1696,"EFA")</f>
        <v>3</v>
      </c>
      <c r="BY16" s="177">
        <f>COUNTIFS('BALANÇO POR MUNICIPIOS'!$E$18:$E$434,"&gt;0",'BALANÇO POR MUNICIPIOS'!$AM$18:$AM$434,A16)</f>
        <v>4</v>
      </c>
      <c r="BZ16" s="177">
        <f>COUNTIFS('BALANÇO POR MUNICIPIOS'!$E$18:$E$434,"=0",'BALANÇO POR MUNICIPIOS'!$AM$18:$AM$434,A16)</f>
        <v>4</v>
      </c>
      <c r="CA16" s="177">
        <f>SUMIF(GERAL!A$8:A$1696,A16,GERAL!AA$8:AA$1696)+SUMIF(GERAL!A$8:A$1696,A16,GERAL!AB$8:AB$1696)</f>
        <v>54</v>
      </c>
      <c r="CB16" s="177">
        <f>SUMIF(GERAL!A$8:A$1696,A16,GERAL!AC$8:AC$1696)</f>
        <v>0</v>
      </c>
      <c r="CC16" s="118">
        <f>SUMIF(GERAL!A$8:A$1696,A16,GERAL!AE$8:AE$1696)</f>
        <v>250</v>
      </c>
      <c r="CD16" s="118">
        <f>COUNTIFS(GERAL!A$8:A$1696,A16,GERAL!Z$8:Z$1696,"&gt;0",GERAL!C$8:C$1696,"ESCOLA")</f>
        <v>0</v>
      </c>
      <c r="CE16" s="118">
        <f>COUNTIFS(GERAL!A$8:A$1696,A16,GERAL!Z$8:Z$1696,"&gt;0",GERAL!C$8:C$1696,"ANEXO")</f>
        <v>0</v>
      </c>
      <c r="CF16" s="118">
        <f>COUNTIFS(GERAL!A$8:A$1696,A16,GERAL!Z$8:Z$1696,"&gt;0",GERAL!C$8:C$1696,"EFA")</f>
        <v>0</v>
      </c>
      <c r="CG16" s="177">
        <f>COUNTIFS('BALANÇO POR MUNICIPIOS'!$D$18:$D$434,"&gt;0",'BALANÇO POR MUNICIPIOS'!$AM$18:$AM$434,A16)</f>
        <v>0</v>
      </c>
      <c r="CH16" s="177">
        <f>COUNTIFS('BALANÇO POR MUNICIPIOS'!$D$18:$D$434,"=0",'BALANÇO POR MUNICIPIOS'!$AM$18:$AM$434,A16)</f>
        <v>8</v>
      </c>
      <c r="CI16" s="177">
        <f>SUMIF(GERAL!A$8:A$1696,A16,GERAL!V$8:V$1696)+SUMIF(GERAL!A$8:A$1696,A16,GERAL!W$8:W$1696)</f>
        <v>0</v>
      </c>
      <c r="CJ16" s="118">
        <f>SUMIF(GERAL!A$8:A$1696,A16,GERAL!Z$8:Z$1696)</f>
        <v>0</v>
      </c>
      <c r="CK16" s="118">
        <f>COUNTIFS(GERAL!$A$8:$A32,A16,GERAL!$BD$8:$BD32,"CEMIT",GERAL!$C$8:$C32,"ESCOLA")</f>
        <v>1</v>
      </c>
      <c r="CL16" s="118">
        <f>COUNTIFS(GERAL!$A$8:$A32,A16,GERAL!$BD$8:$BD32,"CEMIT",GERAL!$C$8:$C32,"ANEXO")</f>
        <v>10</v>
      </c>
      <c r="CM16" s="118">
        <f>SUMIFS(GERAL!$BB$8:$BB32,GERAL!$A$8:$A32,A16,GERAL!$BD$8:$BD32,"CEMIT")</f>
        <v>370</v>
      </c>
    </row>
    <row r="17">
      <c r="A17" s="151" t="s">
        <v>973</v>
      </c>
      <c r="B17" s="75">
        <f>COUNTIFS(GERAL!$A$8:$A32,A17,GERAL!$C$8:$C32,"ESCOLA")</f>
        <v>28</v>
      </c>
      <c r="C17" s="75">
        <f>COUNTIFS(GERAL!A$8:A$1696,A17,GERAL!C$8:C$1696,"ANEXO")</f>
        <v>13</v>
      </c>
      <c r="D17" s="75">
        <f>COUNTIFS(GERAL!A$8:A$1696,A17,GERAL!C$8:C$1696,"EFA")</f>
        <v>2</v>
      </c>
      <c r="E17" s="85">
        <f>SUMIF(GERAL!A$8:A$1696,A17,GERAL!Z$8:Z$1696)</f>
        <v>0</v>
      </c>
      <c r="F17" s="85">
        <f>SUMIF(GERAL!A$8:A$1696,A17,GERAL!AE$8:AE$1696)</f>
        <v>542</v>
      </c>
      <c r="G17" s="85">
        <f>SUMIF(GERAL!A$8:A$1696,A17,GERAL!AJ$8:AJ$1696)</f>
        <v>9267</v>
      </c>
      <c r="H17" s="85">
        <f>SUMIF(GERAL!A$8:A$1696,A17,GERAL!AN$8:AN$1696)</f>
        <v>0</v>
      </c>
      <c r="I17" s="85">
        <f>SUMIF(GERAL!A$8:A$1696,A17,GERAL!AR$8:AW$1696)</f>
        <v>2458</v>
      </c>
      <c r="J17" s="85">
        <f>SUMIF(GERAL!A$8:A$1696,A17,GERAL!AW$8:AW$1696)</f>
        <v>5565</v>
      </c>
      <c r="K17" s="88">
        <f>SUMIF(GERAL!A$8:A$1696,A17,GERAL!AX$8:AX$1696)</f>
        <v>17832</v>
      </c>
      <c r="L17" s="95">
        <f>COUNTIFS(GERAL!A$8:A$1696,A17,GERAL!AY$8:AY$1696,"&gt;0",GERAL!C$8:C$1696,"ESCOLA")</f>
        <v>27</v>
      </c>
      <c r="M17" s="75">
        <f>COUNTIFS(GERAL!A$8:A$1696,A17,GERAL!AY$8:AY$1696,"&gt;0",GERAL!C$8:C$1696,"ANEXO")</f>
        <v>7</v>
      </c>
      <c r="N17" s="100">
        <f>SUMIF(GERAL!A$8:A$1696,A17,GERAL!V$8:V$1696)+SUMIF(GERAL!A$8:A$1696,A17,GERAL!W$8:W$1696)</f>
        <v>0</v>
      </c>
      <c r="O17" s="100">
        <f>SUMIF(GERAL!A$8:A$1696,A17,GERAL!AA$8:AA$1696)+SUMIF(GERAL!A$8:A$1696,A17,GERAL!AB$8:AB$1696)</f>
        <v>176</v>
      </c>
      <c r="P17" s="100">
        <f>SUMIF(GERAL!A$8:A$1696,A17,GERAL!AF$8:AF$1696)+SUMIF(GERAL!A$8:A$1696,A17,GERAL!AG$8:AG$1696)</f>
        <v>3531</v>
      </c>
      <c r="Q17" s="100">
        <f>SUMIF(GERAL!A$8:A$1696,A17,GERAL!AK$8:AK$1696)+SUMIF(GERAL!A$8:A$1696,A17,GERAL!AL$8:AL$1696)</f>
        <v>0</v>
      </c>
      <c r="R17" s="100">
        <f>SUMIF(GERAL!A$8:A$1696,A17,GERAL!AO$8:AO$1696)+SUMIF(GERAL!A$8:A$1696,A17,GERAL!AP$8:AP$1696)</f>
        <v>0</v>
      </c>
      <c r="S17" s="100">
        <f>SUMIF(GERAL!A$8:A$1696,A17,GERAL!AS$8:AS$1696)+SUMIF(GERAL!A$8:A$1696,A17,GERAL!AT$8:AT$1696)</f>
        <v>3344</v>
      </c>
      <c r="T17" s="103">
        <f t="shared" si="1"/>
        <v>7051</v>
      </c>
      <c r="U17" s="75">
        <f>COUNTIFS(GERAL!A$8:A$1696,A17,GERAL!AZ$8:AZ$1696,"&gt;0",GERAL!C$8:C$1696,"ESCOLA")</f>
        <v>25</v>
      </c>
      <c r="V17" s="75">
        <f>COUNTIFS(GERAL!A$8:A$1696,A17,GERAL!AZ$8:AZ$1696,"&gt;0",GERAL!C$8:C$1696,"ANEXO")</f>
        <v>8</v>
      </c>
      <c r="W17" s="85">
        <f>SUMIF(GERAL!A$8:A$1696,A17,GERAL!AH$8:AH$1696)</f>
        <v>214</v>
      </c>
      <c r="X17" s="85">
        <f>SUMIF(GERAL!A$8:A$1696,A17,GERAL!AM$8:AM$1696)</f>
        <v>0</v>
      </c>
      <c r="Y17" s="85">
        <f>SUMIF(GERAL!A$8:A$1696,A17,GERAL!AQ$8:AQ$1696)</f>
        <v>2458</v>
      </c>
      <c r="Z17" s="85">
        <f>SUMIF(GERAL!A$8:A$1696,A17,GERAL!AU$8:AU$1696)</f>
        <v>1277</v>
      </c>
      <c r="AA17" s="88">
        <f t="shared" si="2"/>
        <v>3949</v>
      </c>
      <c r="AB17" s="116">
        <f>COUNTIFS(GERAL!A$8:A$1696,A17,GERAL!BK$8:BK$1696,"&gt;0",GERAL!C$8:C$1696,"ESCOLA")</f>
        <v>25</v>
      </c>
      <c r="AC17" s="118">
        <f>COUNTIFS(GERAL!A$8:A$1696,A17,GERAL!BK$8:BK$1696,"&gt;0",GERAL!C$8:C$1696,"ANEXO")</f>
        <v>0</v>
      </c>
      <c r="AD17" s="118">
        <f>COUNTIFS(GERAL!A$8:A$1696,A17,GERAL!BK$8:BK$1696,"&gt;0",GERAL!C$8:C$1696,"EFA")</f>
        <v>2</v>
      </c>
      <c r="AE17" s="118">
        <f>COUNTIFS('BALANÇO POR MUNICIPIOS'!$AF$18:$AF$434,"&gt;0",'BALANÇO POR MUNICIPIOS'!$AM$18:$AM$434,A17)</f>
        <v>20</v>
      </c>
      <c r="AF17" s="118">
        <f>COUNTIFS('BALANÇO POR MUNICIPIOS'!$AF$18:$AF$434,"=0",'BALANÇO POR MUNICIPIOS'!$AM$18:$AM$434,A17)</f>
        <v>0</v>
      </c>
      <c r="AG17" s="121">
        <f>SUMIF(GERAL!A$8:A$1696,A17,GERAL!AD$8:AD$1696)</f>
        <v>366</v>
      </c>
      <c r="AH17" s="121">
        <f>SUMIF(GERAL!A$8:A$1696,A17,GERAL!AI$8:AI$1696)</f>
        <v>5522</v>
      </c>
      <c r="AI17" s="121">
        <f>SUMIF(GERAL!A$8:A$1696,A17,GERAL!AV$8:AV$1696)</f>
        <v>944</v>
      </c>
      <c r="AJ17" s="124">
        <f t="shared" si="3"/>
        <v>6832</v>
      </c>
      <c r="AK17" s="116">
        <f>COUNTIFS(GERAL!A$8:A$1696,A17,GERAL!AW$8:AW$1696,"&gt;0",GERAL!C$8:C$1696,"ESCOLA")</f>
        <v>24</v>
      </c>
      <c r="AL17" s="118">
        <f>COUNTIFS(GERAL!A$8:A$1696,A17,GERAL!AW$8:AW$1696,"&gt;0",GERAL!C$8:C$1696,"ANEXO")</f>
        <v>2</v>
      </c>
      <c r="AM17" s="118">
        <f>COUNTIFS('BALANÇO POR MUNICIPIOS'!$AL$18:$AL$434,"&gt;0",'BALANÇO POR MUNICIPIOS'!$AM$18:$AM$434,A17)</f>
        <v>20</v>
      </c>
      <c r="AN17" s="118">
        <f>COUNTIFS('BALANÇO POR MUNICIPIOS'!$AL$18:$AL$434,"=0",'BALANÇO POR MUNICIPIOS'!$AM$18:$AM$434,A17)</f>
        <v>0</v>
      </c>
      <c r="AO17" s="176">
        <f>SUMIF(GERAL!A$8:A$1696,A17,GERAL!AS$8:AS$1696)+SUMIF(GERAL!A$8:A$1696,A17,GERAL!AT$8:AT$1696)</f>
        <v>3344</v>
      </c>
      <c r="AP17" s="176">
        <f>SUMIF(GERAL!A$8:A$1696,A17,GERAL!AU$8:AU$1696)</f>
        <v>1277</v>
      </c>
      <c r="AQ17" s="176">
        <f>SUMIF(GERAL!A$8:A$1696,A17,GERAL!AV$8:AV$1696)</f>
        <v>944</v>
      </c>
      <c r="AR17" s="177">
        <f>SUMIF(GERAL!A$8:A$1696,A17,GERAL!AW$8:AW$1696)</f>
        <v>5565</v>
      </c>
      <c r="AS17" s="116">
        <f>COUNTIFS(GERAL!A$8:A$1696,A17,GERAL!AJ$8:AJ$1696,"&gt;0",GERAL!C$8:C$1696,"ESCOLA")</f>
        <v>25</v>
      </c>
      <c r="AT17" s="118">
        <f>COUNTIFS(GERAL!A$8:A$1696,A17,GERAL!AJ$8:AJ$1696,"&gt;0",GERAL!C$8:C$1696,"ANEXO")</f>
        <v>9</v>
      </c>
      <c r="AU17" s="118">
        <f>COUNTIFS(GERAL!A$8:A$1696,A17,GERAL!AJ$8:AJ$1696,"&gt;0",GERAL!C$8:C$1696,"EFA")</f>
        <v>2</v>
      </c>
      <c r="AV17" s="118">
        <f>COUNTIFS('BALANÇO POR MUNICIPIOS'!$F$18:$F$434,"&gt;0",'BALANÇO POR MUNICIPIOS'!$AM$18:$AM$434,A17)</f>
        <v>20</v>
      </c>
      <c r="AW17" s="178">
        <f>COUNTIFS('BALANÇO POR MUNICIPIOS'!$F$18:$F$434,"=0",'BALANÇO POR MUNICIPIOS'!$AM$18:$AM$434,A17)</f>
        <v>0</v>
      </c>
      <c r="AX17" s="177">
        <f>SUMIF(GERAL!A$8:A$1696,A17,GERAL!AF$8:AF$1696)+SUMIF(GERAL!A$8:A$1696,A17,GERAL!AG$8:AG$1696)</f>
        <v>3531</v>
      </c>
      <c r="AY17" s="177">
        <f>SUMIF(GERAL!A$8:A$1696,A17,GERAL!AH$8:AH$1696)</f>
        <v>214</v>
      </c>
      <c r="AZ17" s="177">
        <f>SUMIF(GERAL!A$8:A$1696,A17,GERAL!AI$8:AI$1696)</f>
        <v>5522</v>
      </c>
      <c r="BA17" s="134">
        <f>SUMIF(GERAL!A$8:A$1696,A17,GERAL!AJ$8:AJ$1696)</f>
        <v>9267</v>
      </c>
      <c r="BB17" s="116">
        <f>COUNTIFS(GERAL!A$8:A$1696,A17,GERAL!AR$8:AR$1696,"&gt;0",GERAL!C$8:C$1696,"ESCOLA")</f>
        <v>23</v>
      </c>
      <c r="BC17" s="118">
        <f>COUNTIFS(GERAL!A$8:A$1696,A17,GERAL!AR$8:AR$1696,"&gt;0",GERAL!C$8:C$1696,"ANEXO")</f>
        <v>5</v>
      </c>
      <c r="BD17" s="118">
        <f>COUNTIFS(GERAL!A$8:A$1696,A17,GERAL!AR$8:AR$1696,"&gt;0",GERAL!C$8:C$1696,"EFA")</f>
        <v>0</v>
      </c>
      <c r="BE17" s="118">
        <f>COUNTIFS('BALANÇO POR MUNICIPIOS'!$H$18:$H$434,"&gt;0",'BALANÇO POR MUNICIPIOS'!$AM$18:$AM$434,A17)</f>
        <v>20</v>
      </c>
      <c r="BF17" s="118">
        <f>COUNTIFS('BALANÇO POR MUNICIPIOS'!$H$18:$H$434,"=0",'BALANÇO POR MUNICIPIOS'!$AM$18:$AM$434,A17)</f>
        <v>0</v>
      </c>
      <c r="BG17" s="177">
        <f>SUMIF(GERAL!A$8:A$1696,A17,GERAL!AO$8:AO$1696)+SUMIF(GERAL!A$8:A$1696,A17,GERAL!AP$8:AP$1696)</f>
        <v>0</v>
      </c>
      <c r="BH17" s="177">
        <f>SUMIF(GERAL!A$8:A$1696,A17,GERAL!AQ$8:AQ$1696)</f>
        <v>2458</v>
      </c>
      <c r="BI17" s="124">
        <f>SUMIF(GERAL!A$8:A$1696,A17,GERAL!AR$8:AR$1696)</f>
        <v>2458</v>
      </c>
      <c r="BJ17" s="116">
        <f>COUNTIFS(GERAL!A$8:A$1696,A17,GERAL!AR$8:AR$1696,"&gt;0",GERAL!AJ$8:AJ$1696,"&gt;0",GERAL!C$8:C$1696,"ESCOLA")</f>
        <v>23</v>
      </c>
      <c r="BK17" s="118">
        <f>COUNTIFS(GERAL!A$8:A$1696,A17,GERAL!AR$8:AR$1696,"&gt;0",GERAL!AJ$8:AJ$1696,"&gt;0",GERAL!C$8:C$1696,"ANEXO")</f>
        <v>1</v>
      </c>
      <c r="BL17" s="118">
        <f>COUNTIFS('BALANÇO POR MUNICIPIOS'!$AM$18:$AM$434,A17,'BALANÇO POR MUNICIPIOS'!$H$18:$H$434,"&gt;0",'BALANÇO POR MUNICIPIOS'!$F$18:$F$434,"&gt;0")</f>
        <v>20</v>
      </c>
      <c r="BM17" s="118">
        <f t="shared" si="4"/>
        <v>11725</v>
      </c>
      <c r="BN17" s="116">
        <f>COUNTIFS(GERAL!A$8:A$1696,A17,GERAL!AN$8:AN$1696,"&gt;0",GERAL!C$8:C$1696,"ESCOLA")</f>
        <v>0</v>
      </c>
      <c r="BO17" s="118">
        <f>COUNTIFS(GERAL!A$8:A$1696,A17,GERAL!AN$8:AN$1696,"&gt;0",GERAL!C$8:C$1696,"ANEXO")</f>
        <v>0</v>
      </c>
      <c r="BP17" s="118">
        <f>COUNTIFS(GERAL!A$8:A$1696,A17,GERAL!AN$8:AN$1696,"&gt;0",GERAL!C$8:C$1696,"EFA")</f>
        <v>0</v>
      </c>
      <c r="BQ17" s="118">
        <f>COUNTIFS('BALANÇO POR MUNICIPIOS'!$G$18:$G$434,"&gt;0",'BALANÇO POR MUNICIPIOS'!$AM$18:$AM$434,A17)</f>
        <v>0</v>
      </c>
      <c r="BR17" s="118">
        <f>COUNTIFS('BALANÇO POR MUNICIPIOS'!$G$18:$G$434,"=0",'BALANÇO POR MUNICIPIOS'!$AM$18:$AM$434,A17)</f>
        <v>20</v>
      </c>
      <c r="BS17" s="177">
        <f>SUMIF(GERAL!A$8:A$1696,A17,GERAL!AK$8:AK$1696)+SUMIF(GERAL!A$8:A$1696,A17,GERAL!AL$8:AL$1696)</f>
        <v>0</v>
      </c>
      <c r="BT17" s="177">
        <f>SUMIF(GERAL!A$8:A$1696,A17,GERAL!AM$8:AM$1696)</f>
        <v>0</v>
      </c>
      <c r="BU17" s="118">
        <f>SUMIF(GERAL!A$8:A$1696,A17,GERAL!AN$8:AN$1696)</f>
        <v>0</v>
      </c>
      <c r="BV17" s="207">
        <f>COUNTIFS(GERAL!A$8:A$1696,A17,GERAL!AE$8:AE$1696,"&gt;0",GERAL!C$8:C$1696,"ESCOLA")</f>
        <v>1</v>
      </c>
      <c r="BW17" s="207">
        <f>COUNTIFS(GERAL!A$8:A$1696,A17,GERAL!AE$8:AE$1696,"&gt;0",GERAL!C$8:C$1696,"ANEXO")</f>
        <v>0</v>
      </c>
      <c r="BX17" s="207">
        <f>COUNTIFS(GERAL!A$8:A$1696,A17,GERAL!AE$8:AE$1696,"&gt;0",GERAL!C$8:C$1696,"EFA")</f>
        <v>1</v>
      </c>
      <c r="BY17" s="177">
        <f>COUNTIFS('BALANÇO POR MUNICIPIOS'!$E$18:$E$434,"&gt;0",'BALANÇO POR MUNICIPIOS'!$AM$18:$AM$434,A17)</f>
        <v>2</v>
      </c>
      <c r="BZ17" s="177">
        <f>COUNTIFS('BALANÇO POR MUNICIPIOS'!$E$18:$E$434,"=0",'BALANÇO POR MUNICIPIOS'!$AM$18:$AM$434,A17)</f>
        <v>18</v>
      </c>
      <c r="CA17" s="177">
        <f>SUMIF(GERAL!A$8:A$1696,A17,GERAL!AA$8:AA$1696)+SUMIF(GERAL!A$8:A$1696,A17,GERAL!AB$8:AB$1696)</f>
        <v>176</v>
      </c>
      <c r="CB17" s="177">
        <f>SUMIF(GERAL!A$8:A$1696,A17,GERAL!AC$8:AC$1696)</f>
        <v>0</v>
      </c>
      <c r="CC17" s="118">
        <f>SUMIF(GERAL!A$8:A$1696,A17,GERAL!AE$8:AE$1696)</f>
        <v>542</v>
      </c>
      <c r="CD17" s="118">
        <f>COUNTIFS(GERAL!A$8:A$1696,A17,GERAL!Z$8:Z$1696,"&gt;0",GERAL!C$8:C$1696,"ESCOLA")</f>
        <v>0</v>
      </c>
      <c r="CE17" s="118">
        <f>COUNTIFS(GERAL!A$8:A$1696,A17,GERAL!Z$8:Z$1696,"&gt;0",GERAL!C$8:C$1696,"ANEXO")</f>
        <v>0</v>
      </c>
      <c r="CF17" s="118">
        <f>COUNTIFS(GERAL!A$8:A$1696,A17,GERAL!Z$8:Z$1696,"&gt;0",GERAL!C$8:C$1696,"EFA")</f>
        <v>0</v>
      </c>
      <c r="CG17" s="177">
        <f>COUNTIFS('BALANÇO POR MUNICIPIOS'!$D$18:$D$434,"&gt;0",'BALANÇO POR MUNICIPIOS'!$AM$18:$AM$434,A17)</f>
        <v>0</v>
      </c>
      <c r="CH17" s="177">
        <f>COUNTIFS('BALANÇO POR MUNICIPIOS'!$D$18:$D$434,"=0",'BALANÇO POR MUNICIPIOS'!$AM$18:$AM$434,A17)</f>
        <v>20</v>
      </c>
      <c r="CI17" s="177">
        <f>SUMIF(GERAL!A$8:A$1696,A17,GERAL!V$8:V$1696)+SUMIF(GERAL!A$8:A$1696,A17,GERAL!W$8:W$1696)</f>
        <v>0</v>
      </c>
      <c r="CJ17" s="118">
        <f>SUMIF(GERAL!A$8:A$1696,A17,GERAL!Z$8:Z$1696)</f>
        <v>0</v>
      </c>
      <c r="CK17" s="118">
        <f>COUNTIFS(GERAL!$A$8:$A32,A17,GERAL!$BD$8:$BD32,"CEMIT",GERAL!$C$8:$C32,"ESCOLA")</f>
        <v>0</v>
      </c>
      <c r="CL17" s="118">
        <f>COUNTIFS(GERAL!$A$8:$A32,A17,GERAL!$BD$8:$BD32,"CEMIT",GERAL!$C$8:$C32,"ANEXO")</f>
        <v>0</v>
      </c>
      <c r="CM17" s="118">
        <f>SUMIFS(GERAL!$BB$8:$BB32,GERAL!$A$8:$A32,A17,GERAL!$BD$8:$BD32,"CEMIT")</f>
        <v>0</v>
      </c>
    </row>
    <row r="18">
      <c r="A18" s="135" t="s">
        <v>1027</v>
      </c>
      <c r="B18" s="75">
        <f>COUNTIFS(GERAL!$A$8:$A32,A18,GERAL!$C$8:$C32,"ESCOLA")</f>
        <v>19</v>
      </c>
      <c r="C18" s="75">
        <f>COUNTIFS(GERAL!A$8:A$1696,A18,GERAL!C$8:C$1696,"ANEXO")</f>
        <v>6</v>
      </c>
      <c r="D18" s="75">
        <f>COUNTIFS(GERAL!A$8:A$1696,A18,GERAL!C$8:C$1696,"EFA")</f>
        <v>2</v>
      </c>
      <c r="E18" s="85">
        <f>SUMIF(GERAL!A$8:A$1696,A18,GERAL!Z$8:Z$1696)</f>
        <v>0</v>
      </c>
      <c r="F18" s="85">
        <f>SUMIF(GERAL!A$8:A$1696,A18,GERAL!AE$8:AE$1696)</f>
        <v>0</v>
      </c>
      <c r="G18" s="85">
        <f>SUMIF(GERAL!A$8:A$1696,A18,GERAL!AJ$8:AJ$1696)</f>
        <v>6615</v>
      </c>
      <c r="H18" s="85">
        <f>SUMIF(GERAL!A$8:A$1696,A18,GERAL!AN$8:AN$1696)</f>
        <v>0</v>
      </c>
      <c r="I18" s="85">
        <f>SUMIF(GERAL!A$8:A$1696,A18,GERAL!AR$8:AW$1696)</f>
        <v>1851</v>
      </c>
      <c r="J18" s="85">
        <f>SUMIF(GERAL!A$8:A$1696,A18,GERAL!AW$8:AW$1696)</f>
        <v>3016</v>
      </c>
      <c r="K18" s="88">
        <f>SUMIF(GERAL!A$8:A$1696,A18,GERAL!AX$8:AX$1696)</f>
        <v>11482</v>
      </c>
      <c r="L18" s="95">
        <f>COUNTIFS(GERAL!A$8:A$1696,A18,GERAL!AY$8:AY$1696,"&gt;0",GERAL!C$8:C$1696,"ESCOLA")</f>
        <v>19</v>
      </c>
      <c r="M18" s="75">
        <f>COUNTIFS(GERAL!A$8:A$1696,A18,GERAL!AY$8:AY$1696,"&gt;0",GERAL!C$8:C$1696,"ANEXO")</f>
        <v>5</v>
      </c>
      <c r="N18" s="100">
        <f>SUMIF(GERAL!A$8:A$1696,A18,GERAL!V$8:V$1696)+SUMIF(GERAL!A$8:A$1696,A18,GERAL!W$8:W$1696)</f>
        <v>0</v>
      </c>
      <c r="O18" s="100">
        <f>SUMIF(GERAL!A$8:A$1696,A18,GERAL!AA$8:AA$1696)+SUMIF(GERAL!A$8:A$1696,A18,GERAL!AB$8:AB$1696)</f>
        <v>0</v>
      </c>
      <c r="P18" s="100">
        <f>SUMIF(GERAL!A$8:A$1696,A18,GERAL!AF$8:AF$1696)+SUMIF(GERAL!A$8:A$1696,A18,GERAL!AG$8:AG$1696)</f>
        <v>3642</v>
      </c>
      <c r="Q18" s="100">
        <f>SUMIF(GERAL!A$8:A$1696,A18,GERAL!AK$8:AK$1696)+SUMIF(GERAL!A$8:A$1696,A18,GERAL!AL$8:AL$1696)</f>
        <v>0</v>
      </c>
      <c r="R18" s="100">
        <f>SUMIF(GERAL!A$8:A$1696,A18,GERAL!AO$8:AO$1696)+SUMIF(GERAL!A$8:A$1696,A18,GERAL!AP$8:AP$1696)</f>
        <v>0</v>
      </c>
      <c r="S18" s="100">
        <f>SUMIF(GERAL!A$8:A$1696,A18,GERAL!AS$8:AS$1696)+SUMIF(GERAL!A$8:A$1696,A18,GERAL!AT$8:AT$1696)</f>
        <v>1725</v>
      </c>
      <c r="T18" s="103">
        <f t="shared" si="1"/>
        <v>5367</v>
      </c>
      <c r="U18" s="75">
        <f>COUNTIFS(GERAL!A$8:A$1696,A18,GERAL!AZ$8:AZ$1696,"&gt;0",GERAL!C$8:C$1696,"ESCOLA")</f>
        <v>17</v>
      </c>
      <c r="V18" s="75">
        <f>COUNTIFS(GERAL!A$8:A$1696,A18,GERAL!AZ$8:AZ$1696,"&gt;0",GERAL!C$8:C$1696,"ANEXO")</f>
        <v>5</v>
      </c>
      <c r="W18" s="85">
        <f>SUMIF(GERAL!A$8:A$1696,A18,GERAL!AH$8:AH$1696)</f>
        <v>125</v>
      </c>
      <c r="X18" s="85">
        <f>SUMIF(GERAL!A$8:A$1696,A18,GERAL!AM$8:AM$1696)</f>
        <v>0</v>
      </c>
      <c r="Y18" s="85">
        <f>SUMIF(GERAL!A$8:A$1696,A18,GERAL!AQ$8:AQ$1696)</f>
        <v>1851</v>
      </c>
      <c r="Z18" s="85">
        <f>SUMIF(GERAL!A$8:A$1696,A18,GERAL!AU$8:AU$1696)</f>
        <v>551</v>
      </c>
      <c r="AA18" s="88">
        <f t="shared" si="2"/>
        <v>2527</v>
      </c>
      <c r="AB18" s="116">
        <f>COUNTIFS(GERAL!A$8:A$1696,A18,GERAL!BK$8:BK$1696,"&gt;0",GERAL!C$8:C$1696,"ESCOLA")</f>
        <v>12</v>
      </c>
      <c r="AC18" s="118">
        <f>COUNTIFS(GERAL!A$8:A$1696,A18,GERAL!BK$8:BK$1696,"&gt;0",GERAL!C$8:C$1696,"ANEXO")</f>
        <v>0</v>
      </c>
      <c r="AD18" s="118">
        <f>COUNTIFS(GERAL!A$8:A$1696,A18,GERAL!BK$8:BK$1696,"&gt;0",GERAL!C$8:C$1696,"EFA")</f>
        <v>2</v>
      </c>
      <c r="AE18" s="118">
        <f>COUNTIFS('BALANÇO POR MUNICIPIOS'!$AF$18:$AF$434,"&gt;0",'BALANÇO POR MUNICIPIOS'!$AM$18:$AM$434,A18)</f>
        <v>11</v>
      </c>
      <c r="AF18" s="118">
        <f>COUNTIFS('BALANÇO POR MUNICIPIOS'!$AF$18:$AF$434,"=0",'BALANÇO POR MUNICIPIOS'!$AM$18:$AM$434,A18)</f>
        <v>2</v>
      </c>
      <c r="AG18" s="121">
        <f>SUMIF(GERAL!A$8:A$1696,A18,GERAL!AD$8:AD$1696)</f>
        <v>0</v>
      </c>
      <c r="AH18" s="121">
        <f>SUMIF(GERAL!A$8:A$1696,A18,GERAL!AI$8:AI$1696)</f>
        <v>2848</v>
      </c>
      <c r="AI18" s="121">
        <f>SUMIF(GERAL!A$8:A$1696,A18,GERAL!AV$8:AV$1696)</f>
        <v>740</v>
      </c>
      <c r="AJ18" s="124">
        <f t="shared" si="3"/>
        <v>3588</v>
      </c>
      <c r="AK18" s="116">
        <f>COUNTIFS(GERAL!A$8:A$1696,A18,GERAL!AW$8:AW$1696,"&gt;0",GERAL!C$8:C$1696,"ESCOLA")</f>
        <v>13</v>
      </c>
      <c r="AL18" s="118">
        <f>COUNTIFS(GERAL!A$8:A$1696,A18,GERAL!AW$8:AW$1696,"&gt;0",GERAL!C$8:C$1696,"ANEXO")</f>
        <v>0</v>
      </c>
      <c r="AM18" s="118">
        <f>COUNTIFS('BALANÇO POR MUNICIPIOS'!$AL$18:$AL$434,"&gt;0",'BALANÇO POR MUNICIPIOS'!$AM$18:$AM$434,A18)</f>
        <v>13</v>
      </c>
      <c r="AN18" s="118">
        <f>COUNTIFS('BALANÇO POR MUNICIPIOS'!$AL$18:$AL$434,"=0",'BALANÇO POR MUNICIPIOS'!$AM$18:$AM$434,A18)</f>
        <v>0</v>
      </c>
      <c r="AO18" s="176">
        <f>SUMIF(GERAL!A$8:A$1696,A18,GERAL!AS$8:AS$1696)+SUMIF(GERAL!A$8:A$1696,A18,GERAL!AT$8:AT$1696)</f>
        <v>1725</v>
      </c>
      <c r="AP18" s="176">
        <f>SUMIF(GERAL!A$8:A$1696,A18,GERAL!AU$8:AU$1696)</f>
        <v>551</v>
      </c>
      <c r="AQ18" s="176">
        <f>SUMIF(GERAL!A$8:A$1696,A18,GERAL!AV$8:AV$1696)</f>
        <v>740</v>
      </c>
      <c r="AR18" s="177">
        <f>SUMIF(GERAL!A$8:A$1696,A18,GERAL!AW$8:AW$1696)</f>
        <v>3016</v>
      </c>
      <c r="AS18" s="116">
        <f>COUNTIFS(GERAL!A$8:A$1696,A18,GERAL!AJ$8:AJ$1696,"&gt;0",GERAL!C$8:C$1696,"ESCOLA")</f>
        <v>18</v>
      </c>
      <c r="AT18" s="118">
        <f>COUNTIFS(GERAL!A$8:A$1696,A18,GERAL!AJ$8:AJ$1696,"&gt;0",GERAL!C$8:C$1696,"ANEXO")</f>
        <v>5</v>
      </c>
      <c r="AU18" s="118">
        <f>COUNTIFS(GERAL!A$8:A$1696,A18,GERAL!AJ$8:AJ$1696,"&gt;0",GERAL!C$8:C$1696,"EFA")</f>
        <v>2</v>
      </c>
      <c r="AV18" s="118">
        <f>COUNTIFS('BALANÇO POR MUNICIPIOS'!$F$18:$F$434,"&gt;0",'BALANÇO POR MUNICIPIOS'!$AM$18:$AM$434,A18)</f>
        <v>13</v>
      </c>
      <c r="AW18" s="178">
        <f>COUNTIFS('BALANÇO POR MUNICIPIOS'!$F$18:$F$434,"=0",'BALANÇO POR MUNICIPIOS'!$AM$18:$AM$434,A18)</f>
        <v>0</v>
      </c>
      <c r="AX18" s="177">
        <f>SUMIF(GERAL!A$8:A$1696,A18,GERAL!AF$8:AF$1696)+SUMIF(GERAL!A$8:A$1696,A18,GERAL!AG$8:AG$1696)</f>
        <v>3642</v>
      </c>
      <c r="AY18" s="177">
        <f>SUMIF(GERAL!A$8:A$1696,A18,GERAL!AH$8:AH$1696)</f>
        <v>125</v>
      </c>
      <c r="AZ18" s="177">
        <f>SUMIF(GERAL!A$8:A$1696,A18,GERAL!AI$8:AI$1696)</f>
        <v>2848</v>
      </c>
      <c r="BA18" s="134">
        <f>SUMIF(GERAL!A$8:A$1696,A18,GERAL!AJ$8:AJ$1696)</f>
        <v>6615</v>
      </c>
      <c r="BB18" s="116">
        <f>COUNTIFS(GERAL!A$8:A$1696,A18,GERAL!AR$8:AR$1696,"&gt;0",GERAL!C$8:C$1696,"ESCOLA")</f>
        <v>16</v>
      </c>
      <c r="BC18" s="118">
        <f>COUNTIFS(GERAL!A$8:A$1696,A18,GERAL!AR$8:AR$1696,"&gt;0",GERAL!C$8:C$1696,"ANEXO")</f>
        <v>2</v>
      </c>
      <c r="BD18" s="118">
        <f>COUNTIFS(GERAL!A$8:A$1696,A18,GERAL!AR$8:AR$1696,"&gt;0",GERAL!C$8:C$1696,"EFA")</f>
        <v>0</v>
      </c>
      <c r="BE18" s="118">
        <f>COUNTIFS('BALANÇO POR MUNICIPIOS'!$H$18:$H$434,"&gt;0",'BALANÇO POR MUNICIPIOS'!$AM$18:$AM$434,A18)</f>
        <v>13</v>
      </c>
      <c r="BF18" s="118">
        <f>COUNTIFS('BALANÇO POR MUNICIPIOS'!$H$18:$H$434,"=0",'BALANÇO POR MUNICIPIOS'!$AM$18:$AM$434,A18)</f>
        <v>0</v>
      </c>
      <c r="BG18" s="177">
        <f>SUMIF(GERAL!A$8:A$1696,A18,GERAL!AO$8:AO$1696)+SUMIF(GERAL!A$8:A$1696,A18,GERAL!AP$8:AP$1696)</f>
        <v>0</v>
      </c>
      <c r="BH18" s="177">
        <f>SUMIF(GERAL!A$8:A$1696,A18,GERAL!AQ$8:AQ$1696)</f>
        <v>1851</v>
      </c>
      <c r="BI18" s="124">
        <f>SUMIF(GERAL!A$8:A$1696,A18,GERAL!AR$8:AR$1696)</f>
        <v>1851</v>
      </c>
      <c r="BJ18" s="116">
        <f>COUNTIFS(GERAL!A$8:A$1696,A18,GERAL!AR$8:AR$1696,"&gt;0",GERAL!AJ$8:AJ$1696,"&gt;0",GERAL!C$8:C$1696,"ESCOLA")</f>
        <v>16</v>
      </c>
      <c r="BK18" s="118">
        <f>COUNTIFS(GERAL!A$8:A$1696,A18,GERAL!AR$8:AR$1696,"&gt;0",GERAL!AJ$8:AJ$1696,"&gt;0",GERAL!C$8:C$1696,"ANEXO")</f>
        <v>1</v>
      </c>
      <c r="BL18" s="118">
        <f>COUNTIFS('BALANÇO POR MUNICIPIOS'!$AM$18:$AM$434,A18,'BALANÇO POR MUNICIPIOS'!$H$18:$H$434,"&gt;0",'BALANÇO POR MUNICIPIOS'!$F$18:$F$434,"&gt;0")</f>
        <v>13</v>
      </c>
      <c r="BM18" s="118">
        <f t="shared" si="4"/>
        <v>8466</v>
      </c>
      <c r="BN18" s="116">
        <f>COUNTIFS(GERAL!A$8:A$1696,A18,GERAL!AN$8:AN$1696,"&gt;0",GERAL!C$8:C$1696,"ESCOLA")</f>
        <v>0</v>
      </c>
      <c r="BO18" s="118">
        <f>COUNTIFS(GERAL!A$8:A$1696,A18,GERAL!AN$8:AN$1696,"&gt;0",GERAL!C$8:C$1696,"ANEXO")</f>
        <v>0</v>
      </c>
      <c r="BP18" s="118">
        <f>COUNTIFS(GERAL!A$8:A$1696,A18,GERAL!AN$8:AN$1696,"&gt;0",GERAL!C$8:C$1696,"EFA")</f>
        <v>0</v>
      </c>
      <c r="BQ18" s="118">
        <f>COUNTIFS('BALANÇO POR MUNICIPIOS'!$G$18:$G$434,"&gt;0",'BALANÇO POR MUNICIPIOS'!$AM$18:$AM$434,A18)</f>
        <v>0</v>
      </c>
      <c r="BR18" s="118">
        <f>COUNTIFS('BALANÇO POR MUNICIPIOS'!$G$18:$G$434,"=0",'BALANÇO POR MUNICIPIOS'!$AM$18:$AM$434,A18)</f>
        <v>13</v>
      </c>
      <c r="BS18" s="177">
        <f>SUMIF(GERAL!A$8:A$1696,A18,GERAL!AK$8:AK$1696)+SUMIF(GERAL!A$8:A$1696,A18,GERAL!AL$8:AL$1696)</f>
        <v>0</v>
      </c>
      <c r="BT18" s="177">
        <f>SUMIF(GERAL!A$8:A$1696,A18,GERAL!AM$8:AM$1696)</f>
        <v>0</v>
      </c>
      <c r="BU18" s="118">
        <f>SUMIF(GERAL!A$8:A$1696,A18,GERAL!AN$8:AN$1696)</f>
        <v>0</v>
      </c>
      <c r="BV18" s="207">
        <f>COUNTIFS(GERAL!A$8:A$1696,A18,GERAL!AE$8:AE$1696,"&gt;0",GERAL!C$8:C$1696,"ESCOLA")</f>
        <v>0</v>
      </c>
      <c r="BW18" s="207">
        <f>COUNTIFS(GERAL!A$8:A$1696,A18,GERAL!AE$8:AE$1696,"&gt;0",GERAL!C$8:C$1696,"ANEXO")</f>
        <v>0</v>
      </c>
      <c r="BX18" s="207">
        <f>COUNTIFS(GERAL!A$8:A$1696,A18,GERAL!AE$8:AE$1696,"&gt;0",GERAL!C$8:C$1696,"EFA")</f>
        <v>0</v>
      </c>
      <c r="BY18" s="177">
        <f>COUNTIFS('BALANÇO POR MUNICIPIOS'!$E$18:$E$434,"&gt;0",'BALANÇO POR MUNICIPIOS'!$AM$18:$AM$434,A18)</f>
        <v>0</v>
      </c>
      <c r="BZ18" s="177">
        <f>COUNTIFS('BALANÇO POR MUNICIPIOS'!$E$18:$E$434,"=0",'BALANÇO POR MUNICIPIOS'!$AM$18:$AM$434,A18)</f>
        <v>13</v>
      </c>
      <c r="CA18" s="177">
        <f>SUMIF(GERAL!A$8:A$1696,A18,GERAL!AA$8:AA$1696)+SUMIF(GERAL!A$8:A$1696,A18,GERAL!AB$8:AB$1696)</f>
        <v>0</v>
      </c>
      <c r="CB18" s="177">
        <f>SUMIF(GERAL!A$8:A$1696,A18,GERAL!AC$8:AC$1696)</f>
        <v>0</v>
      </c>
      <c r="CC18" s="118">
        <f>SUMIF(GERAL!A$8:A$1696,A18,GERAL!AE$8:AE$1696)</f>
        <v>0</v>
      </c>
      <c r="CD18" s="118">
        <f>COUNTIFS(GERAL!A$8:A$1696,A18,GERAL!Z$8:Z$1696,"&gt;0",GERAL!C$8:C$1696,"ESCOLA")</f>
        <v>0</v>
      </c>
      <c r="CE18" s="118">
        <f>COUNTIFS(GERAL!A$8:A$1696,A18,GERAL!Z$8:Z$1696,"&gt;0",GERAL!C$8:C$1696,"ANEXO")</f>
        <v>0</v>
      </c>
      <c r="CF18" s="118">
        <f>COUNTIFS(GERAL!A$8:A$1696,A18,GERAL!Z$8:Z$1696,"&gt;0",GERAL!C$8:C$1696,"EFA")</f>
        <v>0</v>
      </c>
      <c r="CG18" s="177">
        <f>COUNTIFS('BALANÇO POR MUNICIPIOS'!$D$18:$D$434,"&gt;0",'BALANÇO POR MUNICIPIOS'!$AM$18:$AM$434,A18)</f>
        <v>0</v>
      </c>
      <c r="CH18" s="177">
        <f>COUNTIFS('BALANÇO POR MUNICIPIOS'!$D$18:$D$434,"=0",'BALANÇO POR MUNICIPIOS'!$AM$18:$AM$434,A18)</f>
        <v>13</v>
      </c>
      <c r="CI18" s="177">
        <f>SUMIF(GERAL!A$8:A$1696,A18,GERAL!V$8:V$1696)+SUMIF(GERAL!A$8:A$1696,A18,GERAL!W$8:W$1696)</f>
        <v>0</v>
      </c>
      <c r="CJ18" s="118">
        <f>SUMIF(GERAL!A$8:A$1696,A18,GERAL!Z$8:Z$1696)</f>
        <v>0</v>
      </c>
      <c r="CK18" s="118">
        <f>COUNTIFS(GERAL!$A$8:$A32,A18,GERAL!$BD$8:$BD32,"CEMIT",GERAL!$C$8:$C32,"ESCOLA")</f>
        <v>0</v>
      </c>
      <c r="CL18" s="118">
        <f>COUNTIFS(GERAL!$A$8:$A32,A18,GERAL!$BD$8:$BD32,"CEMIT",GERAL!$C$8:$C32,"ANEXO")</f>
        <v>0</v>
      </c>
      <c r="CM18" s="118">
        <f>SUMIFS(GERAL!$BB$8:$BB32,GERAL!$A$8:$A32,A18,GERAL!$BD$8:$BD32,"CEMIT")</f>
        <v>0</v>
      </c>
    </row>
    <row r="19">
      <c r="A19" s="151" t="s">
        <v>1090</v>
      </c>
      <c r="B19" s="75">
        <f>COUNTIFS(GERAL!$A$8:$A32,A19,GERAL!$C$8:$C32,"ESCOLA")</f>
        <v>23</v>
      </c>
      <c r="C19" s="75">
        <f>COUNTIFS(GERAL!A$8:A$1696,A19,GERAL!C$8:C$1696,"ANEXO")</f>
        <v>5</v>
      </c>
      <c r="D19" s="75">
        <f>COUNTIFS(GERAL!A$8:A$1696,A19,GERAL!C$8:C$1696,"EFA")</f>
        <v>1</v>
      </c>
      <c r="E19" s="85">
        <f>SUMIF(GERAL!A$8:A$1696,A19,GERAL!Z$8:Z$1696)</f>
        <v>0</v>
      </c>
      <c r="F19" s="85">
        <f>SUMIF(GERAL!A$8:A$1696,A19,GERAL!AE$8:AE$1696)</f>
        <v>51</v>
      </c>
      <c r="G19" s="85">
        <f>SUMIF(GERAL!A$8:A$1696,A19,GERAL!AJ$8:AJ$1696)</f>
        <v>6041</v>
      </c>
      <c r="H19" s="85">
        <f>SUMIF(GERAL!A$8:A$1696,A19,GERAL!AN$8:AN$1696)</f>
        <v>21</v>
      </c>
      <c r="I19" s="85">
        <f>SUMIF(GERAL!A$8:A$1696,A19,GERAL!AR$8:AW$1696)</f>
        <v>1799</v>
      </c>
      <c r="J19" s="85">
        <f>SUMIF(GERAL!A$8:A$1696,A19,GERAL!AW$8:AW$1696)</f>
        <v>3111</v>
      </c>
      <c r="K19" s="88">
        <f>SUMIF(GERAL!A$8:A$1696,A19,GERAL!AX$8:AX$1696)</f>
        <v>11023</v>
      </c>
      <c r="L19" s="95">
        <f>COUNTIFS(GERAL!A$8:A$1696,A19,GERAL!AY$8:AY$1696,"&gt;0",GERAL!C$8:C$1696,"ESCOLA")</f>
        <v>22</v>
      </c>
      <c r="M19" s="75">
        <f>COUNTIFS(GERAL!A$8:A$1696,A19,GERAL!AY$8:AY$1696,"&gt;0",GERAL!C$8:C$1696,"ANEXO")</f>
        <v>2</v>
      </c>
      <c r="N19" s="100">
        <f>SUMIF(GERAL!A$8:A$1696,A19,GERAL!V$8:V$1696)+SUMIF(GERAL!A$8:A$1696,A19,GERAL!W$8:W$1696)</f>
        <v>0</v>
      </c>
      <c r="O19" s="100">
        <f>SUMIF(GERAL!A$8:A$1696,A19,GERAL!AA$8:AA$1696)+SUMIF(GERAL!A$8:A$1696,A19,GERAL!AB$8:AB$1696)</f>
        <v>0</v>
      </c>
      <c r="P19" s="100">
        <f>SUMIF(GERAL!A$8:A$1696,A19,GERAL!AF$8:AF$1696)+SUMIF(GERAL!A$8:A$1696,A19,GERAL!AG$8:AG$1696)</f>
        <v>1622</v>
      </c>
      <c r="Q19" s="100">
        <f>SUMIF(GERAL!A$8:A$1696,A19,GERAL!AK$8:AK$1696)+SUMIF(GERAL!A$8:A$1696,A19,GERAL!AL$8:AL$1696)</f>
        <v>0</v>
      </c>
      <c r="R19" s="100">
        <f>SUMIF(GERAL!A$8:A$1696,A19,GERAL!AO$8:AO$1696)+SUMIF(GERAL!A$8:A$1696,A19,GERAL!AP$8:AP$1696)</f>
        <v>0</v>
      </c>
      <c r="S19" s="100">
        <f>SUMIF(GERAL!A$8:A$1696,A19,GERAL!AS$8:AS$1696)+SUMIF(GERAL!A$8:A$1696,A19,GERAL!AT$8:AT$1696)</f>
        <v>1770</v>
      </c>
      <c r="T19" s="103">
        <f t="shared" si="1"/>
        <v>3392</v>
      </c>
      <c r="U19" s="75">
        <f>COUNTIFS(GERAL!A$8:A$1696,A19,GERAL!AZ$8:AZ$1696,"&gt;0",GERAL!C$8:C$1696,"ESCOLA")</f>
        <v>22</v>
      </c>
      <c r="V19" s="75">
        <f>COUNTIFS(GERAL!A$8:A$1696,A19,GERAL!AZ$8:AZ$1696,"&gt;0",GERAL!C$8:C$1696,"ANEXO")</f>
        <v>4</v>
      </c>
      <c r="W19" s="85">
        <f>SUMIF(GERAL!A$8:A$1696,A19,GERAL!AH$8:AH$1696)</f>
        <v>145</v>
      </c>
      <c r="X19" s="85">
        <f>SUMIF(GERAL!A$8:A$1696,A19,GERAL!AM$8:AM$1696)</f>
        <v>21</v>
      </c>
      <c r="Y19" s="85">
        <f>SUMIF(GERAL!A$8:A$1696,A19,GERAL!AQ$8:AQ$1696)</f>
        <v>1799</v>
      </c>
      <c r="Z19" s="85">
        <f>SUMIF(GERAL!A$8:A$1696,A19,GERAL!AU$8:AU$1696)</f>
        <v>782</v>
      </c>
      <c r="AA19" s="88">
        <f t="shared" si="2"/>
        <v>2747</v>
      </c>
      <c r="AB19" s="116">
        <f>COUNTIFS(GERAL!A$8:A$1696,A19,GERAL!BK$8:BK$1696,"&gt;0",GERAL!C$8:C$1696,"ESCOLA")</f>
        <v>20</v>
      </c>
      <c r="AC19" s="118">
        <f>COUNTIFS(GERAL!A$8:A$1696,A19,GERAL!BK$8:BK$1696,"&gt;0",GERAL!C$8:C$1696,"ANEXO")</f>
        <v>0</v>
      </c>
      <c r="AD19" s="118">
        <f>COUNTIFS(GERAL!A$8:A$1696,A19,GERAL!BK$8:BK$1696,"&gt;0",GERAL!C$8:C$1696,"EFA")</f>
        <v>1</v>
      </c>
      <c r="AE19" s="118">
        <f>COUNTIFS('BALANÇO POR MUNICIPIOS'!$AF$18:$AF$434,"&gt;0",'BALANÇO POR MUNICIPIOS'!$AM$18:$AM$434,A19)</f>
        <v>15</v>
      </c>
      <c r="AF19" s="118">
        <f>COUNTIFS('BALANÇO POR MUNICIPIOS'!$AF$18:$AF$434,"=0",'BALANÇO POR MUNICIPIOS'!$AM$18:$AM$434,A19)</f>
        <v>0</v>
      </c>
      <c r="AG19" s="121">
        <f>SUMIF(GERAL!A$8:A$1696,A19,GERAL!AD$8:AD$1696)</f>
        <v>51</v>
      </c>
      <c r="AH19" s="121">
        <f>SUMIF(GERAL!A$8:A$1696,A19,GERAL!AI$8:AI$1696)</f>
        <v>4274</v>
      </c>
      <c r="AI19" s="121">
        <f>SUMIF(GERAL!A$8:A$1696,A19,GERAL!AV$8:AV$1696)</f>
        <v>559</v>
      </c>
      <c r="AJ19" s="124">
        <f t="shared" si="3"/>
        <v>4884</v>
      </c>
      <c r="AK19" s="116">
        <f>COUNTIFS(GERAL!A$8:A$1696,A19,GERAL!AW$8:AW$1696,"&gt;0",GERAL!C$8:C$1696,"ESCOLA")</f>
        <v>16</v>
      </c>
      <c r="AL19" s="118">
        <f>COUNTIFS(GERAL!A$8:A$1696,A19,GERAL!AW$8:AW$1696,"&gt;0",GERAL!C$8:C$1696,"ANEXO")</f>
        <v>0</v>
      </c>
      <c r="AM19" s="118">
        <f>COUNTIFS('BALANÇO POR MUNICIPIOS'!$AL$18:$AL$434,"&gt;0",'BALANÇO POR MUNICIPIOS'!$AM$18:$AM$434,A19)</f>
        <v>15</v>
      </c>
      <c r="AN19" s="118">
        <f>COUNTIFS('BALANÇO POR MUNICIPIOS'!$AL$18:$AL$434,"=0",'BALANÇO POR MUNICIPIOS'!$AM$18:$AM$434,A19)</f>
        <v>0</v>
      </c>
      <c r="AO19" s="176">
        <f>SUMIF(GERAL!A$8:A$1696,A19,GERAL!AS$8:AS$1696)+SUMIF(GERAL!A$8:A$1696,A19,GERAL!AT$8:AT$1696)</f>
        <v>1770</v>
      </c>
      <c r="AP19" s="176">
        <f>SUMIF(GERAL!A$8:A$1696,A19,GERAL!AU$8:AU$1696)</f>
        <v>782</v>
      </c>
      <c r="AQ19" s="176">
        <f>SUMIF(GERAL!A$8:A$1696,A19,GERAL!AV$8:AV$1696)</f>
        <v>559</v>
      </c>
      <c r="AR19" s="177">
        <f>SUMIF(GERAL!A$8:A$1696,A19,GERAL!AW$8:AW$1696)</f>
        <v>3111</v>
      </c>
      <c r="AS19" s="116">
        <f>COUNTIFS(GERAL!A$8:A$1696,A19,GERAL!AJ$8:AJ$1696,"&gt;0",GERAL!C$8:C$1696,"ESCOLA")</f>
        <v>20</v>
      </c>
      <c r="AT19" s="118">
        <f>COUNTIFS(GERAL!A$8:A$1696,A19,GERAL!AJ$8:AJ$1696,"&gt;0",GERAL!C$8:C$1696,"ANEXO")</f>
        <v>5</v>
      </c>
      <c r="AU19" s="118">
        <f>COUNTIFS(GERAL!A$8:A$1696,A19,GERAL!AJ$8:AJ$1696,"&gt;0",GERAL!C$8:C$1696,"EFA")</f>
        <v>1</v>
      </c>
      <c r="AV19" s="118">
        <f>COUNTIFS('BALANÇO POR MUNICIPIOS'!$F$18:$F$434,"&gt;0",'BALANÇO POR MUNICIPIOS'!$AM$18:$AM$434,A19)</f>
        <v>15</v>
      </c>
      <c r="AW19" s="178">
        <f>COUNTIFS('BALANÇO POR MUNICIPIOS'!$F$18:$F$434,"=0",'BALANÇO POR MUNICIPIOS'!$AM$18:$AM$434,A19)</f>
        <v>0</v>
      </c>
      <c r="AX19" s="177">
        <f>SUMIF(GERAL!A$8:A$1696,A19,GERAL!AF$8:AF$1696)+SUMIF(GERAL!A$8:A$1696,A19,GERAL!AG$8:AG$1696)</f>
        <v>1622</v>
      </c>
      <c r="AY19" s="177">
        <f>SUMIF(GERAL!A$8:A$1696,A19,GERAL!AH$8:AH$1696)</f>
        <v>145</v>
      </c>
      <c r="AZ19" s="177">
        <f>SUMIF(GERAL!A$8:A$1696,A19,GERAL!AI$8:AI$1696)</f>
        <v>4274</v>
      </c>
      <c r="BA19" s="134">
        <f>SUMIF(GERAL!A$8:A$1696,A19,GERAL!AJ$8:AJ$1696)</f>
        <v>6041</v>
      </c>
      <c r="BB19" s="116">
        <f>COUNTIFS(GERAL!A$8:A$1696,A19,GERAL!AR$8:AR$1696,"&gt;0",GERAL!C$8:C$1696,"ESCOLA")</f>
        <v>20</v>
      </c>
      <c r="BC19" s="118">
        <f>COUNTIFS(GERAL!A$8:A$1696,A19,GERAL!AR$8:AR$1696,"&gt;0",GERAL!C$8:C$1696,"ANEXO")</f>
        <v>0</v>
      </c>
      <c r="BD19" s="118">
        <f>COUNTIFS(GERAL!A$8:A$1696,A19,GERAL!AR$8:AR$1696,"&gt;0",GERAL!C$8:C$1696,"EFA")</f>
        <v>0</v>
      </c>
      <c r="BE19" s="118">
        <f>COUNTIFS('BALANÇO POR MUNICIPIOS'!$H$18:$H$434,"&gt;0",'BALANÇO POR MUNICIPIOS'!$AM$18:$AM$434,A19)</f>
        <v>15</v>
      </c>
      <c r="BF19" s="118">
        <f>COUNTIFS('BALANÇO POR MUNICIPIOS'!$H$18:$H$434,"=0",'BALANÇO POR MUNICIPIOS'!$AM$18:$AM$434,A19)</f>
        <v>0</v>
      </c>
      <c r="BG19" s="177">
        <f>SUMIF(GERAL!A$8:A$1696,A19,GERAL!AO$8:AO$1696)+SUMIF(GERAL!A$8:A$1696,A19,GERAL!AP$8:AP$1696)</f>
        <v>0</v>
      </c>
      <c r="BH19" s="177">
        <f>SUMIF(GERAL!A$8:A$1696,A19,GERAL!AQ$8:AQ$1696)</f>
        <v>1799</v>
      </c>
      <c r="BI19" s="124">
        <f>SUMIF(GERAL!A$8:A$1696,A19,GERAL!AR$8:AR$1696)</f>
        <v>1799</v>
      </c>
      <c r="BJ19" s="116">
        <f>COUNTIFS(GERAL!A$8:A$1696,A19,GERAL!AR$8:AR$1696,"&gt;0",GERAL!AJ$8:AJ$1696,"&gt;0",GERAL!C$8:C$1696,"ESCOLA")</f>
        <v>20</v>
      </c>
      <c r="BK19" s="118">
        <f>COUNTIFS(GERAL!A$8:A$1696,A19,GERAL!AR$8:AR$1696,"&gt;0",GERAL!AJ$8:AJ$1696,"&gt;0",GERAL!C$8:C$1696,"ANEXO")</f>
        <v>0</v>
      </c>
      <c r="BL19" s="118">
        <f>COUNTIFS('BALANÇO POR MUNICIPIOS'!$AM$18:$AM$434,A19,'BALANÇO POR MUNICIPIOS'!$H$18:$H$434,"&gt;0",'BALANÇO POR MUNICIPIOS'!$F$18:$F$434,"&gt;0")</f>
        <v>15</v>
      </c>
      <c r="BM19" s="118">
        <f t="shared" si="4"/>
        <v>7840</v>
      </c>
      <c r="BN19" s="116">
        <f>COUNTIFS(GERAL!A$8:A$1696,A19,GERAL!AN$8:AN$1696,"&gt;0",GERAL!C$8:C$1696,"ESCOLA")</f>
        <v>2</v>
      </c>
      <c r="BO19" s="118">
        <f>COUNTIFS(GERAL!A$8:A$1696,A19,GERAL!AN$8:AN$1696,"&gt;0",GERAL!C$8:C$1696,"ANEXO")</f>
        <v>0</v>
      </c>
      <c r="BP19" s="118">
        <f>COUNTIFS(GERAL!A$8:A$1696,A19,GERAL!AN$8:AN$1696,"&gt;0",GERAL!C$8:C$1696,"EFA")</f>
        <v>0</v>
      </c>
      <c r="BQ19" s="118">
        <f>COUNTIFS('BALANÇO POR MUNICIPIOS'!$G$18:$G$434,"&gt;0",'BALANÇO POR MUNICIPIOS'!$AM$18:$AM$434,A19)</f>
        <v>1</v>
      </c>
      <c r="BR19" s="118">
        <f>COUNTIFS('BALANÇO POR MUNICIPIOS'!$G$18:$G$434,"=0",'BALANÇO POR MUNICIPIOS'!$AM$18:$AM$434,A19)</f>
        <v>14</v>
      </c>
      <c r="BS19" s="177">
        <f>SUMIF(GERAL!A$8:A$1696,A19,GERAL!AK$8:AK$1696)+SUMIF(GERAL!A$8:A$1696,A19,GERAL!AL$8:AL$1696)</f>
        <v>0</v>
      </c>
      <c r="BT19" s="177">
        <f>SUMIF(GERAL!A$8:A$1696,A19,GERAL!AM$8:AM$1696)</f>
        <v>21</v>
      </c>
      <c r="BU19" s="118">
        <f>SUMIF(GERAL!A$8:A$1696,A19,GERAL!AN$8:AN$1696)</f>
        <v>21</v>
      </c>
      <c r="BV19" s="207">
        <f>COUNTIFS(GERAL!A$8:A$1696,A19,GERAL!AE$8:AE$1696,"&gt;0",GERAL!C$8:C$1696,"ESCOLA")</f>
        <v>0</v>
      </c>
      <c r="BW19" s="207">
        <f>COUNTIFS(GERAL!A$8:A$1696,A19,GERAL!AE$8:AE$1696,"&gt;0",GERAL!C$8:C$1696,"ANEXO")</f>
        <v>0</v>
      </c>
      <c r="BX19" s="207">
        <f>COUNTIFS(GERAL!A$8:A$1696,A19,GERAL!AE$8:AE$1696,"&gt;0",GERAL!C$8:C$1696,"EFA")</f>
        <v>1</v>
      </c>
      <c r="BY19" s="177">
        <f>COUNTIFS('BALANÇO POR MUNICIPIOS'!$E$18:$E$434,"&gt;0",'BALANÇO POR MUNICIPIOS'!$AM$18:$AM$434,A19)</f>
        <v>1</v>
      </c>
      <c r="BZ19" s="177">
        <f>COUNTIFS('BALANÇO POR MUNICIPIOS'!$E$18:$E$434,"=0",'BALANÇO POR MUNICIPIOS'!$AM$18:$AM$434,A19)</f>
        <v>14</v>
      </c>
      <c r="CA19" s="177">
        <f>SUMIF(GERAL!A$8:A$1696,A19,GERAL!AA$8:AA$1696)+SUMIF(GERAL!A$8:A$1696,A19,GERAL!AB$8:AB$1696)</f>
        <v>0</v>
      </c>
      <c r="CB19" s="177">
        <f>SUMIF(GERAL!A$8:A$1696,A19,GERAL!AC$8:AC$1696)</f>
        <v>0</v>
      </c>
      <c r="CC19" s="118">
        <f>SUMIF(GERAL!A$8:A$1696,A19,GERAL!AE$8:AE$1696)</f>
        <v>51</v>
      </c>
      <c r="CD19" s="118">
        <f>COUNTIFS(GERAL!A$8:A$1696,A19,GERAL!Z$8:Z$1696,"&gt;0",GERAL!C$8:C$1696,"ESCOLA")</f>
        <v>0</v>
      </c>
      <c r="CE19" s="118">
        <f>COUNTIFS(GERAL!A$8:A$1696,A19,GERAL!Z$8:Z$1696,"&gt;0",GERAL!C$8:C$1696,"ANEXO")</f>
        <v>0</v>
      </c>
      <c r="CF19" s="118">
        <f>COUNTIFS(GERAL!A$8:A$1696,A19,GERAL!Z$8:Z$1696,"&gt;0",GERAL!C$8:C$1696,"EFA")</f>
        <v>0</v>
      </c>
      <c r="CG19" s="177">
        <f>COUNTIFS('BALANÇO POR MUNICIPIOS'!$D$18:$D$434,"&gt;0",'BALANÇO POR MUNICIPIOS'!$AM$18:$AM$434,A19)</f>
        <v>0</v>
      </c>
      <c r="CH19" s="177">
        <f>COUNTIFS('BALANÇO POR MUNICIPIOS'!$D$18:$D$434,"=0",'BALANÇO POR MUNICIPIOS'!$AM$18:$AM$434,A19)</f>
        <v>15</v>
      </c>
      <c r="CI19" s="177">
        <f>SUMIF(GERAL!A$8:A$1696,A19,GERAL!V$8:V$1696)+SUMIF(GERAL!A$8:A$1696,A19,GERAL!W$8:W$1696)</f>
        <v>0</v>
      </c>
      <c r="CJ19" s="118">
        <f>SUMIF(GERAL!A$8:A$1696,A19,GERAL!Z$8:Z$1696)</f>
        <v>0</v>
      </c>
      <c r="CK19" s="118">
        <f>COUNTIFS(GERAL!$A$8:$A32,A19,GERAL!$BD$8:$BD32,"CEMIT",GERAL!$C$8:$C32,"ESCOLA")</f>
        <v>1</v>
      </c>
      <c r="CL19" s="118">
        <f>COUNTIFS(GERAL!$A$8:$A32,A19,GERAL!$BD$8:$BD32,"CEMIT",GERAL!$C$8:$C32,"ANEXO")</f>
        <v>5</v>
      </c>
      <c r="CM19" s="118">
        <f>SUMIFS(GERAL!$BB$8:$BB32,GERAL!$A$8:$A32,A19,GERAL!$BD$8:$BD32,"CEMIT")</f>
        <v>206</v>
      </c>
    </row>
    <row r="20">
      <c r="A20" s="135" t="s">
        <v>1161</v>
      </c>
      <c r="B20" s="75">
        <f>COUNTIFS(GERAL!$A$8:$A32,A20,GERAL!$C$8:$C32,"ESCOLA")</f>
        <v>15</v>
      </c>
      <c r="C20" s="75">
        <f>COUNTIFS(GERAL!A$8:A$1696,A20,GERAL!C$8:C$1696,"ANEXO")</f>
        <v>9</v>
      </c>
      <c r="D20" s="75">
        <f>COUNTIFS(GERAL!A$8:A$1696,A20,GERAL!C$8:C$1696,"EFA")</f>
        <v>0</v>
      </c>
      <c r="E20" s="85">
        <f>SUMIF(GERAL!A$8:A$1696,A20,GERAL!Z$8:Z$1696)</f>
        <v>0</v>
      </c>
      <c r="F20" s="85">
        <f>SUMIF(GERAL!A$8:A$1696,A20,GERAL!AE$8:AE$1696)</f>
        <v>0</v>
      </c>
      <c r="G20" s="85">
        <f>SUMIF(GERAL!A$8:A$1696,A20,GERAL!AJ$8:AJ$1696)</f>
        <v>4039</v>
      </c>
      <c r="H20" s="85">
        <f>SUMIF(GERAL!A$8:A$1696,A20,GERAL!AN$8:AN$1696)</f>
        <v>0</v>
      </c>
      <c r="I20" s="85">
        <f>SUMIF(GERAL!A$8:A$1696,A20,GERAL!AR$8:AW$1696)</f>
        <v>1202</v>
      </c>
      <c r="J20" s="85">
        <f>SUMIF(GERAL!A$8:A$1696,A20,GERAL!AW$8:AW$1696)</f>
        <v>2090</v>
      </c>
      <c r="K20" s="88">
        <f>SUMIF(GERAL!A$8:A$1696,A20,GERAL!AX$8:AX$1696)</f>
        <v>7331</v>
      </c>
      <c r="L20" s="95">
        <f>COUNTIFS(GERAL!A$8:A$1696,A20,GERAL!AY$8:AY$1696,"&gt;0",GERAL!C$8:C$1696,"ESCOLA")</f>
        <v>15</v>
      </c>
      <c r="M20" s="75">
        <f>COUNTIFS(GERAL!A$8:A$1696,A20,GERAL!AY$8:AY$1696,"&gt;0",GERAL!C$8:C$1696,"ANEXO")</f>
        <v>4</v>
      </c>
      <c r="N20" s="100">
        <f>SUMIF(GERAL!A$8:A$1696,A20,GERAL!V$8:V$1696)+SUMIF(GERAL!A$8:A$1696,A20,GERAL!W$8:W$1696)</f>
        <v>0</v>
      </c>
      <c r="O20" s="100">
        <f>SUMIF(GERAL!A$8:A$1696,A20,GERAL!AA$8:AA$1696)+SUMIF(GERAL!A$8:A$1696,A20,GERAL!AB$8:AB$1696)</f>
        <v>0</v>
      </c>
      <c r="P20" s="100">
        <f>SUMIF(GERAL!A$8:A$1696,A20,GERAL!AF$8:AF$1696)+SUMIF(GERAL!A$8:A$1696,A20,GERAL!AG$8:AG$1696)</f>
        <v>1208</v>
      </c>
      <c r="Q20" s="100">
        <f>SUMIF(GERAL!A$8:A$1696,A20,GERAL!AK$8:AK$1696)+SUMIF(GERAL!A$8:A$1696,A20,GERAL!AL$8:AL$1696)</f>
        <v>0</v>
      </c>
      <c r="R20" s="100">
        <f>SUMIF(GERAL!A$8:A$1696,A20,GERAL!AO$8:AO$1696)+SUMIF(GERAL!A$8:A$1696,A20,GERAL!AP$8:AP$1696)</f>
        <v>0</v>
      </c>
      <c r="S20" s="100">
        <f>SUMIF(GERAL!A$8:A$1696,A20,GERAL!AS$8:AS$1696)+SUMIF(GERAL!A$8:A$1696,A20,GERAL!AT$8:AT$1696)</f>
        <v>1349</v>
      </c>
      <c r="T20" s="103">
        <f t="shared" si="1"/>
        <v>2557</v>
      </c>
      <c r="U20" s="75">
        <f>COUNTIFS(GERAL!A$8:A$1696,A20,GERAL!AZ$8:AZ$1696,"&gt;0",GERAL!C$8:C$1696,"ESCOLA")</f>
        <v>14</v>
      </c>
      <c r="V20" s="75">
        <f>COUNTIFS(GERAL!A$8:A$1696,A20,GERAL!AZ$8:AZ$1696,"&gt;0",GERAL!C$8:C$1696,"ANEXO")</f>
        <v>6</v>
      </c>
      <c r="W20" s="85">
        <f>SUMIF(GERAL!A$8:A$1696,A20,GERAL!AH$8:AH$1696)</f>
        <v>156</v>
      </c>
      <c r="X20" s="85">
        <f>SUMIF(GERAL!A$8:A$1696,A20,GERAL!AM$8:AM$1696)</f>
        <v>0</v>
      </c>
      <c r="Y20" s="85">
        <f>SUMIF(GERAL!A$8:A$1696,A20,GERAL!AQ$8:AQ$1696)</f>
        <v>1202</v>
      </c>
      <c r="Z20" s="85">
        <f>SUMIF(GERAL!A$8:A$1696,A20,GERAL!AU$8:AU$1696)</f>
        <v>326</v>
      </c>
      <c r="AA20" s="88">
        <f t="shared" si="2"/>
        <v>1684</v>
      </c>
      <c r="AB20" s="116">
        <f>COUNTIFS(GERAL!A$8:A$1696,A20,GERAL!BK$8:BK$1696,"&gt;0",GERAL!C$8:C$1696,"ESCOLA")</f>
        <v>12</v>
      </c>
      <c r="AC20" s="118">
        <f>COUNTIFS(GERAL!A$8:A$1696,A20,GERAL!BK$8:BK$1696,"&gt;0",GERAL!C$8:C$1696,"ANEXO")</f>
        <v>0</v>
      </c>
      <c r="AD20" s="118">
        <f>COUNTIFS(GERAL!A$8:A$1696,A20,GERAL!BK$8:BK$1696,"&gt;0",GERAL!C$8:C$1696,"EFA")</f>
        <v>0</v>
      </c>
      <c r="AE20" s="118">
        <f>COUNTIFS('BALANÇO POR MUNICIPIOS'!$AF$18:$AF$434,"&gt;0",'BALANÇO POR MUNICIPIOS'!$AM$18:$AM$434,A20)</f>
        <v>9</v>
      </c>
      <c r="AF20" s="118">
        <f>COUNTIFS('BALANÇO POR MUNICIPIOS'!$AF$18:$AF$434,"=0",'BALANÇO POR MUNICIPIOS'!$AM$18:$AM$434,A20)</f>
        <v>0</v>
      </c>
      <c r="AG20" s="121">
        <f>SUMIF(GERAL!A$8:A$1696,A20,GERAL!AD$8:AD$1696)</f>
        <v>0</v>
      </c>
      <c r="AH20" s="121">
        <f>SUMIF(GERAL!A$8:A$1696,A20,GERAL!AI$8:AI$1696)</f>
        <v>2675</v>
      </c>
      <c r="AI20" s="121">
        <f>SUMIF(GERAL!A$8:A$1696,A20,GERAL!AV$8:AV$1696)</f>
        <v>415</v>
      </c>
      <c r="AJ20" s="124">
        <f t="shared" si="3"/>
        <v>3090</v>
      </c>
      <c r="AK20" s="116">
        <f>COUNTIFS(GERAL!A$8:A$1696,A20,GERAL!AW$8:AW$1696,"&gt;0",GERAL!C$8:C$1696,"ESCOLA")</f>
        <v>9</v>
      </c>
      <c r="AL20" s="118">
        <f>COUNTIFS(GERAL!A$8:A$1696,A20,GERAL!AW$8:AW$1696,"&gt;0",GERAL!C$8:C$1696,"ANEXO")</f>
        <v>0</v>
      </c>
      <c r="AM20" s="118">
        <f>COUNTIFS('BALANÇO POR MUNICIPIOS'!$AL$18:$AL$434,"&gt;0",'BALANÇO POR MUNICIPIOS'!$AM$18:$AM$434,A20)</f>
        <v>9</v>
      </c>
      <c r="AN20" s="118">
        <f>COUNTIFS('BALANÇO POR MUNICIPIOS'!$AL$18:$AL$434,"=0",'BALANÇO POR MUNICIPIOS'!$AM$18:$AM$434,A20)</f>
        <v>0</v>
      </c>
      <c r="AO20" s="176">
        <f>SUMIF(GERAL!A$8:A$1696,A20,GERAL!AS$8:AS$1696)+SUMIF(GERAL!A$8:A$1696,A20,GERAL!AT$8:AT$1696)</f>
        <v>1349</v>
      </c>
      <c r="AP20" s="176">
        <f>SUMIF(GERAL!A$8:A$1696,A20,GERAL!AU$8:AU$1696)</f>
        <v>326</v>
      </c>
      <c r="AQ20" s="176">
        <f>SUMIF(GERAL!A$8:A$1696,A20,GERAL!AV$8:AV$1696)</f>
        <v>415</v>
      </c>
      <c r="AR20" s="177">
        <f>SUMIF(GERAL!A$8:A$1696,A20,GERAL!AW$8:AW$1696)</f>
        <v>2090</v>
      </c>
      <c r="AS20" s="116">
        <f>COUNTIFS(GERAL!A$8:A$1696,A20,GERAL!AJ$8:AJ$1696,"&gt;0",GERAL!C$8:C$1696,"ESCOLA")</f>
        <v>14</v>
      </c>
      <c r="AT20" s="118">
        <f>COUNTIFS(GERAL!A$8:A$1696,A20,GERAL!AJ$8:AJ$1696,"&gt;0",GERAL!C$8:C$1696,"ANEXO")</f>
        <v>9</v>
      </c>
      <c r="AU20" s="118">
        <f>COUNTIFS(GERAL!A$8:A$1696,A20,GERAL!AJ$8:AJ$1696,"&gt;0",GERAL!C$8:C$1696,"EFA")</f>
        <v>0</v>
      </c>
      <c r="AV20" s="118">
        <f>COUNTIFS('BALANÇO POR MUNICIPIOS'!$F$18:$F$434,"&gt;0",'BALANÇO POR MUNICIPIOS'!$AM$18:$AM$434,A20)</f>
        <v>9</v>
      </c>
      <c r="AW20" s="178">
        <f>COUNTIFS('BALANÇO POR MUNICIPIOS'!$F$18:$F$434,"=0",'BALANÇO POR MUNICIPIOS'!$AM$18:$AM$434,A20)</f>
        <v>0</v>
      </c>
      <c r="AX20" s="177">
        <f>SUMIF(GERAL!A$8:A$1696,A20,GERAL!AF$8:AF$1696)+SUMIF(GERAL!A$8:A$1696,A20,GERAL!AG$8:AG$1696)</f>
        <v>1208</v>
      </c>
      <c r="AY20" s="177">
        <f>SUMIF(GERAL!A$8:A$1696,A20,GERAL!AH$8:AH$1696)</f>
        <v>156</v>
      </c>
      <c r="AZ20" s="177">
        <f>SUMIF(GERAL!A$8:A$1696,A20,GERAL!AI$8:AI$1696)</f>
        <v>2675</v>
      </c>
      <c r="BA20" s="134">
        <f>SUMIF(GERAL!A$8:A$1696,A20,GERAL!AJ$8:AJ$1696)</f>
        <v>4039</v>
      </c>
      <c r="BB20" s="116">
        <f>COUNTIFS(GERAL!A$8:A$1696,A20,GERAL!AR$8:AR$1696,"&gt;0",GERAL!C$8:C$1696,"ESCOLA")</f>
        <v>12</v>
      </c>
      <c r="BC20" s="118">
        <f>COUNTIFS(GERAL!A$8:A$1696,A20,GERAL!AR$8:AR$1696,"&gt;0",GERAL!C$8:C$1696,"ANEXO")</f>
        <v>1</v>
      </c>
      <c r="BD20" s="118">
        <f>COUNTIFS(GERAL!A$8:A$1696,A20,GERAL!AR$8:AR$1696,"&gt;0",GERAL!C$8:C$1696,"EFA")</f>
        <v>0</v>
      </c>
      <c r="BE20" s="118">
        <f>COUNTIFS('BALANÇO POR MUNICIPIOS'!$H$18:$H$434,"&gt;0",'BALANÇO POR MUNICIPIOS'!$AM$18:$AM$434,A20)</f>
        <v>9</v>
      </c>
      <c r="BF20" s="118">
        <f>COUNTIFS('BALANÇO POR MUNICIPIOS'!$H$18:$H$434,"=0",'BALANÇO POR MUNICIPIOS'!$AM$18:$AM$434,A20)</f>
        <v>0</v>
      </c>
      <c r="BG20" s="177">
        <f>SUMIF(GERAL!A$8:A$1696,A20,GERAL!AO$8:AO$1696)+SUMIF(GERAL!A$8:A$1696,A20,GERAL!AP$8:AP$1696)</f>
        <v>0</v>
      </c>
      <c r="BH20" s="177">
        <f>SUMIF(GERAL!A$8:A$1696,A20,GERAL!AQ$8:AQ$1696)</f>
        <v>1202</v>
      </c>
      <c r="BI20" s="124">
        <f>SUMIF(GERAL!A$8:A$1696,A20,GERAL!AR$8:AR$1696)</f>
        <v>1202</v>
      </c>
      <c r="BJ20" s="116">
        <f>COUNTIFS(GERAL!A$8:A$1696,A20,GERAL!AR$8:AR$1696,"&gt;0",GERAL!AJ$8:AJ$1696,"&gt;0",GERAL!C$8:C$1696,"ESCOLA")</f>
        <v>12</v>
      </c>
      <c r="BK20" s="118">
        <f>COUNTIFS(GERAL!A$8:A$1696,A20,GERAL!AR$8:AR$1696,"&gt;0",GERAL!AJ$8:AJ$1696,"&gt;0",GERAL!C$8:C$1696,"ANEXO")</f>
        <v>1</v>
      </c>
      <c r="BL20" s="118">
        <f>COUNTIFS('BALANÇO POR MUNICIPIOS'!$AM$18:$AM$434,A20,'BALANÇO POR MUNICIPIOS'!$H$18:$H$434,"&gt;0",'BALANÇO POR MUNICIPIOS'!$F$18:$F$434,"&gt;0")</f>
        <v>9</v>
      </c>
      <c r="BM20" s="118">
        <f t="shared" si="4"/>
        <v>5241</v>
      </c>
      <c r="BN20" s="116">
        <f>COUNTIFS(GERAL!A$8:A$1696,A20,GERAL!AN$8:AN$1696,"&gt;0",GERAL!C$8:C$1696,"ESCOLA")</f>
        <v>0</v>
      </c>
      <c r="BO20" s="118">
        <f>COUNTIFS(GERAL!A$8:A$1696,A20,GERAL!AN$8:AN$1696,"&gt;0",GERAL!C$8:C$1696,"ANEXO")</f>
        <v>0</v>
      </c>
      <c r="BP20" s="118">
        <f>COUNTIFS(GERAL!A$8:A$1696,A20,GERAL!AN$8:AN$1696,"&gt;0",GERAL!C$8:C$1696,"EFA")</f>
        <v>0</v>
      </c>
      <c r="BQ20" s="118">
        <f>COUNTIFS('BALANÇO POR MUNICIPIOS'!$G$18:$G$434,"&gt;0",'BALANÇO POR MUNICIPIOS'!$AM$18:$AM$434,A20)</f>
        <v>0</v>
      </c>
      <c r="BR20" s="118">
        <f>COUNTIFS('BALANÇO POR MUNICIPIOS'!$G$18:$G$434,"=0",'BALANÇO POR MUNICIPIOS'!$AM$18:$AM$434,A20)</f>
        <v>9</v>
      </c>
      <c r="BS20" s="177">
        <f>SUMIF(GERAL!A$8:A$1696,A20,GERAL!AK$8:AK$1696)+SUMIF(GERAL!A$8:A$1696,A20,GERAL!AL$8:AL$1696)</f>
        <v>0</v>
      </c>
      <c r="BT20" s="177">
        <f>SUMIF(GERAL!A$8:A$1696,A20,GERAL!AM$8:AM$1696)</f>
        <v>0</v>
      </c>
      <c r="BU20" s="118">
        <f>SUMIF(GERAL!A$8:A$1696,A20,GERAL!AN$8:AN$1696)</f>
        <v>0</v>
      </c>
      <c r="BV20" s="207">
        <f>COUNTIFS(GERAL!A$8:A$1696,A20,GERAL!AE$8:AE$1696,"&gt;0",GERAL!C$8:C$1696,"ESCOLA")</f>
        <v>0</v>
      </c>
      <c r="BW20" s="207">
        <f>COUNTIFS(GERAL!A$8:A$1696,A20,GERAL!AE$8:AE$1696,"&gt;0",GERAL!C$8:C$1696,"ANEXO")</f>
        <v>0</v>
      </c>
      <c r="BX20" s="207">
        <f>COUNTIFS(GERAL!A$8:A$1696,A20,GERAL!AE$8:AE$1696,"&gt;0",GERAL!C$8:C$1696,"EFA")</f>
        <v>0</v>
      </c>
      <c r="BY20" s="177">
        <f>COUNTIFS('BALANÇO POR MUNICIPIOS'!$E$18:$E$434,"&gt;0",'BALANÇO POR MUNICIPIOS'!$AM$18:$AM$434,A20)</f>
        <v>0</v>
      </c>
      <c r="BZ20" s="177">
        <f>COUNTIFS('BALANÇO POR MUNICIPIOS'!$E$18:$E$434,"=0",'BALANÇO POR MUNICIPIOS'!$AM$18:$AM$434,A20)</f>
        <v>9</v>
      </c>
      <c r="CA20" s="177">
        <f>SUMIF(GERAL!A$8:A$1696,A20,GERAL!AA$8:AA$1696)+SUMIF(GERAL!A$8:A$1696,A20,GERAL!AB$8:AB$1696)</f>
        <v>0</v>
      </c>
      <c r="CB20" s="177">
        <f>SUMIF(GERAL!A$8:A$1696,A20,GERAL!AC$8:AC$1696)</f>
        <v>0</v>
      </c>
      <c r="CC20" s="118">
        <f>SUMIF(GERAL!A$8:A$1696,A20,GERAL!AE$8:AE$1696)</f>
        <v>0</v>
      </c>
      <c r="CD20" s="118">
        <f>COUNTIFS(GERAL!A$8:A$1696,A20,GERAL!Z$8:Z$1696,"&gt;0",GERAL!C$8:C$1696,"ESCOLA")</f>
        <v>0</v>
      </c>
      <c r="CE20" s="118">
        <f>COUNTIFS(GERAL!A$8:A$1696,A20,GERAL!Z$8:Z$1696,"&gt;0",GERAL!C$8:C$1696,"ANEXO")</f>
        <v>0</v>
      </c>
      <c r="CF20" s="118">
        <f>COUNTIFS(GERAL!A$8:A$1696,A20,GERAL!Z$8:Z$1696,"&gt;0",GERAL!C$8:C$1696,"EFA")</f>
        <v>0</v>
      </c>
      <c r="CG20" s="177">
        <f>COUNTIFS('BALANÇO POR MUNICIPIOS'!$D$18:$D$434,"&gt;0",'BALANÇO POR MUNICIPIOS'!$AM$18:$AM$434,A20)</f>
        <v>0</v>
      </c>
      <c r="CH20" s="177">
        <f>COUNTIFS('BALANÇO POR MUNICIPIOS'!$D$18:$D$434,"=0",'BALANÇO POR MUNICIPIOS'!$AM$18:$AM$434,A20)</f>
        <v>9</v>
      </c>
      <c r="CI20" s="177">
        <f>SUMIF(GERAL!A$8:A$1696,A20,GERAL!V$8:V$1696)+SUMIF(GERAL!A$8:A$1696,A20,GERAL!W$8:W$1696)</f>
        <v>0</v>
      </c>
      <c r="CJ20" s="118">
        <f>SUMIF(GERAL!A$8:A$1696,A20,GERAL!Z$8:Z$1696)</f>
        <v>0</v>
      </c>
      <c r="CK20" s="118">
        <f>COUNTIFS(GERAL!$A$8:$A32,A20,GERAL!$BD$8:$BD32,"CEMIT",GERAL!$C$8:$C32,"ESCOLA")</f>
        <v>0</v>
      </c>
      <c r="CL20" s="118">
        <f>COUNTIFS(GERAL!$A$8:$A32,A20,GERAL!$BD$8:$BD32,"CEMIT",GERAL!$C$8:$C32,"ANEXO")</f>
        <v>0</v>
      </c>
      <c r="CM20" s="118">
        <f>SUMIFS(GERAL!$BB$8:$BB32,GERAL!$A$8:$A32,A20,GERAL!$BD$8:$BD32,"CEMIT")</f>
        <v>0</v>
      </c>
    </row>
    <row r="21">
      <c r="A21" s="151" t="s">
        <v>1224</v>
      </c>
      <c r="B21" s="75">
        <f>COUNTIFS(GERAL!$A$8:$A32,A21,GERAL!$C$8:$C32,"ESCOLA")</f>
        <v>28</v>
      </c>
      <c r="C21" s="75">
        <f>COUNTIFS(GERAL!A$8:A$1696,A21,GERAL!C$8:C$1696,"ANEXO")</f>
        <v>15</v>
      </c>
      <c r="D21" s="75">
        <f>COUNTIFS(GERAL!A$8:A$1696,A21,GERAL!C$8:C$1696,"EFA")</f>
        <v>1</v>
      </c>
      <c r="E21" s="85">
        <f>SUMIF(GERAL!A$8:A$1696,A21,GERAL!Z$8:Z$1696)</f>
        <v>178</v>
      </c>
      <c r="F21" s="85">
        <f>SUMIF(GERAL!A$8:A$1696,A21,GERAL!AE$8:AE$1696)</f>
        <v>988</v>
      </c>
      <c r="G21" s="85">
        <f>SUMIF(GERAL!A$8:A$1696,A21,GERAL!AJ$8:AJ$1696)</f>
        <v>8254</v>
      </c>
      <c r="H21" s="85">
        <f>SUMIF(GERAL!A$8:A$1696,A21,GERAL!AN$8:AN$1696)</f>
        <v>156</v>
      </c>
      <c r="I21" s="85">
        <f>SUMIF(GERAL!A$8:A$1696,A21,GERAL!AR$8:AW$1696)</f>
        <v>2449</v>
      </c>
      <c r="J21" s="85">
        <f>SUMIF(GERAL!A$8:A$1696,A21,GERAL!AW$8:AW$1696)</f>
        <v>5956</v>
      </c>
      <c r="K21" s="88">
        <f>SUMIF(GERAL!A$8:A$1696,A21,GERAL!AX$8:AX$1696)</f>
        <v>17981</v>
      </c>
      <c r="L21" s="95">
        <f>COUNTIFS(GERAL!A$8:A$1696,A21,GERAL!AY$8:AY$1696,"&gt;0",GERAL!C$8:C$1696,"ESCOLA")</f>
        <v>28</v>
      </c>
      <c r="M21" s="75">
        <f>COUNTIFS(GERAL!A$8:A$1696,A21,GERAL!AY$8:AY$1696,"&gt;0",GERAL!C$8:C$1696,"ANEXO")</f>
        <v>12</v>
      </c>
      <c r="N21" s="100">
        <f>SUMIF(GERAL!A$8:A$1696,A21,GERAL!V$8:V$1696)+SUMIF(GERAL!A$8:A$1696,A21,GERAL!W$8:W$1696)</f>
        <v>178</v>
      </c>
      <c r="O21" s="100">
        <f>SUMIF(GERAL!A$8:A$1696,A21,GERAL!AA$8:AA$1696)+SUMIF(GERAL!A$8:A$1696,A21,GERAL!AB$8:AB$1696)</f>
        <v>858</v>
      </c>
      <c r="P21" s="100">
        <f>SUMIF(GERAL!A$8:A$1696,A21,GERAL!AF$8:AF$1696)+SUMIF(GERAL!A$8:A$1696,A21,GERAL!AG$8:AG$1696)</f>
        <v>4113</v>
      </c>
      <c r="Q21" s="100">
        <f>SUMIF(GERAL!A$8:A$1696,A21,GERAL!AK$8:AK$1696)+SUMIF(GERAL!A$8:A$1696,A21,GERAL!AL$8:AL$1696)</f>
        <v>0</v>
      </c>
      <c r="R21" s="100">
        <f>SUMIF(GERAL!A$8:A$1696,A21,GERAL!AO$8:AO$1696)+SUMIF(GERAL!A$8:A$1696,A21,GERAL!AP$8:AP$1696)</f>
        <v>57</v>
      </c>
      <c r="S21" s="100">
        <f>SUMIF(GERAL!A$8:A$1696,A21,GERAL!AS$8:AS$1696)+SUMIF(GERAL!A$8:A$1696,A21,GERAL!AT$8:AT$1696)</f>
        <v>3289</v>
      </c>
      <c r="T21" s="103">
        <f t="shared" si="1"/>
        <v>8495</v>
      </c>
      <c r="U21" s="75">
        <f>COUNTIFS(GERAL!A$8:A$1696,A21,GERAL!AZ$8:AZ$1696,"&gt;0",GERAL!C$8:C$1696,"ESCOLA")</f>
        <v>28</v>
      </c>
      <c r="V21" s="75">
        <f>COUNTIFS(GERAL!A$8:A$1696,A21,GERAL!AZ$8:AZ$1696,"&gt;0",GERAL!C$8:C$1696,"ANEXO")</f>
        <v>5</v>
      </c>
      <c r="W21" s="85">
        <f>SUMIF(GERAL!A$8:A$1696,A21,GERAL!AH$8:AH$1696)</f>
        <v>285</v>
      </c>
      <c r="X21" s="85">
        <f>SUMIF(GERAL!A$8:A$1696,A21,GERAL!AM$8:AM$1696)</f>
        <v>156</v>
      </c>
      <c r="Y21" s="85">
        <f>SUMIF(GERAL!A$8:A$1696,A21,GERAL!AQ$8:AQ$1696)</f>
        <v>2392</v>
      </c>
      <c r="Z21" s="85">
        <f>SUMIF(GERAL!A$8:A$1696,A21,GERAL!AU$8:AU$1696)</f>
        <v>1356</v>
      </c>
      <c r="AA21" s="88">
        <f t="shared" si="2"/>
        <v>4189</v>
      </c>
      <c r="AB21" s="116">
        <f>COUNTIFS(GERAL!A$8:A$1696,A21,GERAL!BK$8:BK$1696,"&gt;0",GERAL!C$8:C$1696,"ESCOLA")</f>
        <v>19</v>
      </c>
      <c r="AC21" s="118">
        <f>COUNTIFS(GERAL!A$8:A$1696,A21,GERAL!BK$8:BK$1696,"&gt;0",GERAL!C$8:C$1696,"ANEXO")</f>
        <v>2</v>
      </c>
      <c r="AD21" s="118">
        <f>COUNTIFS(GERAL!A$8:A$1696,A21,GERAL!BK$8:BK$1696,"&gt;0",GERAL!C$8:C$1696,"EFA")</f>
        <v>1</v>
      </c>
      <c r="AE21" s="118">
        <f>COUNTIFS('BALANÇO POR MUNICIPIOS'!$AF$18:$AF$434,"&gt;0",'BALANÇO POR MUNICIPIOS'!$AM$18:$AM$434,A21)</f>
        <v>16</v>
      </c>
      <c r="AF21" s="118">
        <f>COUNTIFS('BALANÇO POR MUNICIPIOS'!$AF$18:$AF$434,"=0",'BALANÇO POR MUNICIPIOS'!$AM$18:$AM$434,A21)</f>
        <v>2</v>
      </c>
      <c r="AG21" s="121">
        <f>SUMIF(GERAL!A$8:A$1696,A21,GERAL!AD$8:AD$1696)</f>
        <v>130</v>
      </c>
      <c r="AH21" s="121">
        <f>SUMIF(GERAL!A$8:A$1696,A21,GERAL!AI$8:AI$1696)</f>
        <v>3856</v>
      </c>
      <c r="AI21" s="121">
        <f>SUMIF(GERAL!A$8:A$1696,A21,GERAL!AV$8:AV$1696)</f>
        <v>1311</v>
      </c>
      <c r="AJ21" s="124">
        <f t="shared" si="3"/>
        <v>5297</v>
      </c>
      <c r="AK21" s="116">
        <f>COUNTIFS(GERAL!A$8:A$1696,A21,GERAL!AW$8:AW$1696,"&gt;0",GERAL!C$8:C$1696,"ESCOLA")</f>
        <v>20</v>
      </c>
      <c r="AL21" s="118">
        <f>COUNTIFS(GERAL!A$8:A$1696,A21,GERAL!AW$8:AW$1696,"&gt;0",GERAL!C$8:C$1696,"ANEXO")</f>
        <v>2</v>
      </c>
      <c r="AM21" s="118">
        <f>COUNTIFS('BALANÇO POR MUNICIPIOS'!$AL$18:$AL$434,"&gt;0",'BALANÇO POR MUNICIPIOS'!$AM$18:$AM$434,A21)</f>
        <v>18</v>
      </c>
      <c r="AN21" s="118">
        <f>COUNTIFS('BALANÇO POR MUNICIPIOS'!$AL$18:$AL$434,"=0",'BALANÇO POR MUNICIPIOS'!$AM$18:$AM$434,A21)</f>
        <v>0</v>
      </c>
      <c r="AO21" s="176">
        <f>SUMIF(GERAL!A$8:A$1696,A21,GERAL!AS$8:AS$1696)+SUMIF(GERAL!A$8:A$1696,A21,GERAL!AT$8:AT$1696)</f>
        <v>3289</v>
      </c>
      <c r="AP21" s="176">
        <f>SUMIF(GERAL!A$8:A$1696,A21,GERAL!AU$8:AU$1696)</f>
        <v>1356</v>
      </c>
      <c r="AQ21" s="176">
        <f>SUMIF(GERAL!A$8:A$1696,A21,GERAL!AV$8:AV$1696)</f>
        <v>1311</v>
      </c>
      <c r="AR21" s="177">
        <f>SUMIF(GERAL!A$8:A$1696,A21,GERAL!AW$8:AW$1696)</f>
        <v>5956</v>
      </c>
      <c r="AS21" s="116">
        <f>COUNTIFS(GERAL!A$8:A$1696,A21,GERAL!AJ$8:AJ$1696,"&gt;0",GERAL!C$8:C$1696,"ESCOLA")</f>
        <v>26</v>
      </c>
      <c r="AT21" s="118">
        <f>COUNTIFS(GERAL!A$8:A$1696,A21,GERAL!AJ$8:AJ$1696,"&gt;0",GERAL!C$8:C$1696,"ANEXO")</f>
        <v>4</v>
      </c>
      <c r="AU21" s="118">
        <f>COUNTIFS(GERAL!A$8:A$1696,A21,GERAL!AJ$8:AJ$1696,"&gt;0",GERAL!C$8:C$1696,"EFA")</f>
        <v>1</v>
      </c>
      <c r="AV21" s="118">
        <f>COUNTIFS('BALANÇO POR MUNICIPIOS'!$F$18:$F$434,"&gt;0",'BALANÇO POR MUNICIPIOS'!$AM$18:$AM$434,A21)</f>
        <v>18</v>
      </c>
      <c r="AW21" s="178">
        <f>COUNTIFS('BALANÇO POR MUNICIPIOS'!$F$18:$F$434,"=0",'BALANÇO POR MUNICIPIOS'!$AM$18:$AM$434,A21)</f>
        <v>0</v>
      </c>
      <c r="AX21" s="177">
        <f>SUMIF(GERAL!A$8:A$1696,A21,GERAL!AF$8:AF$1696)+SUMIF(GERAL!A$8:A$1696,A21,GERAL!AG$8:AG$1696)</f>
        <v>4113</v>
      </c>
      <c r="AY21" s="177">
        <f>SUMIF(GERAL!A$8:A$1696,A21,GERAL!AH$8:AH$1696)</f>
        <v>285</v>
      </c>
      <c r="AZ21" s="177">
        <f>SUMIF(GERAL!A$8:A$1696,A21,GERAL!AI$8:AI$1696)</f>
        <v>3856</v>
      </c>
      <c r="BA21" s="134">
        <f>SUMIF(GERAL!A$8:A$1696,A21,GERAL!AJ$8:AJ$1696)</f>
        <v>8254</v>
      </c>
      <c r="BB21" s="116">
        <f>COUNTIFS(GERAL!A$8:A$1696,A21,GERAL!AR$8:AR$1696,"&gt;0",GERAL!C$8:C$1696,"ESCOLA")</f>
        <v>26</v>
      </c>
      <c r="BC21" s="118">
        <f>COUNTIFS(GERAL!A$8:A$1696,A21,GERAL!AR$8:AR$1696,"&gt;0",GERAL!C$8:C$1696,"ANEXO")</f>
        <v>0</v>
      </c>
      <c r="BD21" s="118">
        <f>COUNTIFS(GERAL!A$8:A$1696,A21,GERAL!AR$8:AR$1696,"&gt;0",GERAL!C$8:C$1696,"EFA")</f>
        <v>0</v>
      </c>
      <c r="BE21" s="118">
        <f>COUNTIFS('BALANÇO POR MUNICIPIOS'!$H$18:$H$434,"&gt;0",'BALANÇO POR MUNICIPIOS'!$AM$18:$AM$434,A21)</f>
        <v>18</v>
      </c>
      <c r="BF21" s="118">
        <f>COUNTIFS('BALANÇO POR MUNICIPIOS'!$H$18:$H$434,"=0",'BALANÇO POR MUNICIPIOS'!$AM$18:$AM$434,A21)</f>
        <v>0</v>
      </c>
      <c r="BG21" s="177">
        <f>SUMIF(GERAL!A$8:A$1696,A21,GERAL!AO$8:AO$1696)+SUMIF(GERAL!A$8:A$1696,A21,GERAL!AP$8:AP$1696)</f>
        <v>57</v>
      </c>
      <c r="BH21" s="177">
        <f>SUMIF(GERAL!A$8:A$1696,A21,GERAL!AQ$8:AQ$1696)</f>
        <v>2392</v>
      </c>
      <c r="BI21" s="124">
        <f>SUMIF(GERAL!A$8:A$1696,A21,GERAL!AR$8:AR$1696)</f>
        <v>2449</v>
      </c>
      <c r="BJ21" s="116">
        <f>COUNTIFS(GERAL!A$8:A$1696,A21,GERAL!AR$8:AR$1696,"&gt;0",GERAL!AJ$8:AJ$1696,"&gt;0",GERAL!C$8:C$1696,"ESCOLA")</f>
        <v>26</v>
      </c>
      <c r="BK21" s="118">
        <f>COUNTIFS(GERAL!A$8:A$1696,A21,GERAL!AR$8:AR$1696,"&gt;0",GERAL!AJ$8:AJ$1696,"&gt;0",GERAL!C$8:C$1696,"ANEXO")</f>
        <v>0</v>
      </c>
      <c r="BL21" s="118">
        <f>COUNTIFS('BALANÇO POR MUNICIPIOS'!$AM$18:$AM$434,A21,'BALANÇO POR MUNICIPIOS'!$H$18:$H$434,"&gt;0",'BALANÇO POR MUNICIPIOS'!$F$18:$F$434,"&gt;0")</f>
        <v>18</v>
      </c>
      <c r="BM21" s="118">
        <f t="shared" si="4"/>
        <v>10703</v>
      </c>
      <c r="BN21" s="116">
        <f>COUNTIFS(GERAL!A$8:A$1696,A21,GERAL!AN$8:AN$1696,"&gt;0",GERAL!C$8:C$1696,"ESCOLA")</f>
        <v>5</v>
      </c>
      <c r="BO21" s="118">
        <f>COUNTIFS(GERAL!A$8:A$1696,A21,GERAL!AN$8:AN$1696,"&gt;0",GERAL!C$8:C$1696,"ANEXO")</f>
        <v>2</v>
      </c>
      <c r="BP21" s="118">
        <f>COUNTIFS(GERAL!A$8:A$1696,A21,GERAL!AN$8:AN$1696,"&gt;0",GERAL!C$8:C$1696,"EFA")</f>
        <v>0</v>
      </c>
      <c r="BQ21" s="118">
        <f>COUNTIFS('BALANÇO POR MUNICIPIOS'!$G$18:$G$434,"&gt;0",'BALANÇO POR MUNICIPIOS'!$AM$18:$AM$434,A21)</f>
        <v>2</v>
      </c>
      <c r="BR21" s="118">
        <f>COUNTIFS('BALANÇO POR MUNICIPIOS'!$G$18:$G$434,"=0",'BALANÇO POR MUNICIPIOS'!$AM$18:$AM$434,A21)</f>
        <v>16</v>
      </c>
      <c r="BS21" s="177">
        <f>SUMIF(GERAL!A$8:A$1696,A21,GERAL!AK$8:AK$1696)+SUMIF(GERAL!A$8:A$1696,A21,GERAL!AL$8:AL$1696)</f>
        <v>0</v>
      </c>
      <c r="BT21" s="177">
        <f>SUMIF(GERAL!A$8:A$1696,A21,GERAL!AM$8:AM$1696)</f>
        <v>156</v>
      </c>
      <c r="BU21" s="118">
        <f>SUMIF(GERAL!A$8:A$1696,A21,GERAL!AN$8:AN$1696)</f>
        <v>156</v>
      </c>
      <c r="BV21" s="207">
        <f>COUNTIFS(GERAL!A$8:A$1696,A21,GERAL!AE$8:AE$1696,"&gt;0",GERAL!C$8:C$1696,"ESCOLA")</f>
        <v>5</v>
      </c>
      <c r="BW21" s="207">
        <f>COUNTIFS(GERAL!A$8:A$1696,A21,GERAL!AE$8:AE$1696,"&gt;0",GERAL!C$8:C$1696,"ANEXO")</f>
        <v>9</v>
      </c>
      <c r="BX21" s="207">
        <f>COUNTIFS(GERAL!A$8:A$1696,A21,GERAL!AE$8:AE$1696,"&gt;0",GERAL!C$8:C$1696,"EFA")</f>
        <v>1</v>
      </c>
      <c r="BY21" s="177">
        <f>COUNTIFS('BALANÇO POR MUNICIPIOS'!$E$18:$E$434,"&gt;0",'BALANÇO POR MUNICIPIOS'!$AM$18:$AM$434,A21)</f>
        <v>3</v>
      </c>
      <c r="BZ21" s="177">
        <f>COUNTIFS('BALANÇO POR MUNICIPIOS'!$E$18:$E$434,"=0",'BALANÇO POR MUNICIPIOS'!$AM$18:$AM$434,A21)</f>
        <v>15</v>
      </c>
      <c r="CA21" s="177">
        <f>SUMIF(GERAL!A$8:A$1696,A21,GERAL!AA$8:AA$1696)+SUMIF(GERAL!A$8:A$1696,A21,GERAL!AB$8:AB$1696)</f>
        <v>858</v>
      </c>
      <c r="CB21" s="177">
        <f>SUMIF(GERAL!A$8:A$1696,A21,GERAL!AC$8:AC$1696)</f>
        <v>0</v>
      </c>
      <c r="CC21" s="118">
        <f>SUMIF(GERAL!A$8:A$1696,A21,GERAL!AE$8:AE$1696)</f>
        <v>988</v>
      </c>
      <c r="CD21" s="118">
        <f>COUNTIFS(GERAL!A$8:A$1696,A21,GERAL!Z$8:Z$1696,"&gt;0",GERAL!C$8:C$1696,"ESCOLA")</f>
        <v>5</v>
      </c>
      <c r="CE21" s="118">
        <f>COUNTIFS(GERAL!A$8:A$1696,A21,GERAL!Z$8:Z$1696,"&gt;0",GERAL!C$8:C$1696,"ANEXO")</f>
        <v>8</v>
      </c>
      <c r="CF21" s="118">
        <f>COUNTIFS(GERAL!A$8:A$1696,A21,GERAL!Z$8:Z$1696,"&gt;0",GERAL!C$8:C$1696,"EFA")</f>
        <v>0</v>
      </c>
      <c r="CG21" s="177">
        <f>COUNTIFS('BALANÇO POR MUNICIPIOS'!$D$18:$D$434,"&gt;0",'BALANÇO POR MUNICIPIOS'!$AM$18:$AM$434,A21)</f>
        <v>2</v>
      </c>
      <c r="CH21" s="177">
        <f>COUNTIFS('BALANÇO POR MUNICIPIOS'!$D$18:$D$434,"=0",'BALANÇO POR MUNICIPIOS'!$AM$18:$AM$434,A21)</f>
        <v>16</v>
      </c>
      <c r="CI21" s="177">
        <f>SUMIF(GERAL!A$8:A$1696,A21,GERAL!V$8:V$1696)+SUMIF(GERAL!A$8:A$1696,A21,GERAL!W$8:W$1696)</f>
        <v>178</v>
      </c>
      <c r="CJ21" s="118">
        <f>SUMIF(GERAL!A$8:A$1696,A21,GERAL!Z$8:Z$1696)</f>
        <v>178</v>
      </c>
      <c r="CK21" s="118">
        <f>COUNTIFS(GERAL!$A$8:$A32,A21,GERAL!$BD$8:$BD32,"CEMIT",GERAL!$C$8:$C32,"ESCOLA")</f>
        <v>0</v>
      </c>
      <c r="CL21" s="118">
        <f>COUNTIFS(GERAL!$A$8:$A32,A21,GERAL!$BD$8:$BD32,"CEMIT",GERAL!$C$8:$C32,"ANEXO")</f>
        <v>0</v>
      </c>
      <c r="CM21" s="118">
        <f>SUMIFS(GERAL!$BB$8:$BB32,GERAL!$A$8:$A32,A21,GERAL!$BD$8:$BD32,"CEMIT")</f>
        <v>0</v>
      </c>
    </row>
    <row r="22">
      <c r="A22" s="135" t="s">
        <v>1281</v>
      </c>
      <c r="B22" s="75">
        <f>COUNTIFS(GERAL!$A$8:$A32,A22,GERAL!$C$8:$C32,"ESCOLA")</f>
        <v>42</v>
      </c>
      <c r="C22" s="75">
        <f>COUNTIFS(GERAL!A$8:A$1696,A22,GERAL!C$8:C$1696,"ANEXO")</f>
        <v>14</v>
      </c>
      <c r="D22" s="75">
        <f>COUNTIFS(GERAL!A$8:A$1696,A22,GERAL!C$8:C$1696,"EFA")</f>
        <v>2</v>
      </c>
      <c r="E22" s="85">
        <f>SUMIF(GERAL!A$8:A$1696,A22,GERAL!Z$8:Z$1696)</f>
        <v>0</v>
      </c>
      <c r="F22" s="85">
        <f>SUMIF(GERAL!A$8:A$1696,A22,GERAL!AE$8:AE$1696)</f>
        <v>3934</v>
      </c>
      <c r="G22" s="85">
        <f>SUMIF(GERAL!A$8:A$1696,A22,GERAL!AJ$8:AJ$1696)</f>
        <v>11599</v>
      </c>
      <c r="H22" s="85">
        <f>SUMIF(GERAL!A$8:A$1696,A22,GERAL!AN$8:AN$1696)</f>
        <v>305</v>
      </c>
      <c r="I22" s="85">
        <f>SUMIF(GERAL!A$8:A$1696,A22,GERAL!AR$8:AW$1696)</f>
        <v>3975</v>
      </c>
      <c r="J22" s="85">
        <f>SUMIF(GERAL!A$8:A$1696,A22,GERAL!AW$8:AW$1696)</f>
        <v>7188</v>
      </c>
      <c r="K22" s="88">
        <f>SUMIF(GERAL!A$8:A$1696,A22,GERAL!AX$8:AX$1696)</f>
        <v>27001</v>
      </c>
      <c r="L22" s="95">
        <f>COUNTIFS(GERAL!A$8:A$1696,A22,GERAL!AY$8:AY$1696,"&gt;0",GERAL!C$8:C$1696,"ESCOLA")</f>
        <v>41</v>
      </c>
      <c r="M22" s="75">
        <f>COUNTIFS(GERAL!A$8:A$1696,A22,GERAL!AY$8:AY$1696,"&gt;0",GERAL!C$8:C$1696,"ANEXO")</f>
        <v>3</v>
      </c>
      <c r="N22" s="100">
        <f>SUMIF(GERAL!A$8:A$1696,A22,GERAL!V$8:V$1696)+SUMIF(GERAL!A$8:A$1696,A22,GERAL!W$8:W$1696)</f>
        <v>0</v>
      </c>
      <c r="O22" s="100">
        <f>SUMIF(GERAL!A$8:A$1696,A22,GERAL!AA$8:AA$1696)+SUMIF(GERAL!A$8:A$1696,A22,GERAL!AB$8:AB$1696)</f>
        <v>3934</v>
      </c>
      <c r="P22" s="100">
        <f>SUMIF(GERAL!A$8:A$1696,A22,GERAL!AF$8:AF$1696)+SUMIF(GERAL!A$8:A$1696,A22,GERAL!AG$8:AG$1696)</f>
        <v>6089</v>
      </c>
      <c r="Q22" s="100">
        <f>SUMIF(GERAL!A$8:A$1696,A22,GERAL!AK$8:AK$1696)+SUMIF(GERAL!A$8:A$1696,A22,GERAL!AL$8:AL$1696)</f>
        <v>184</v>
      </c>
      <c r="R22" s="100">
        <f>SUMIF(GERAL!A$8:A$1696,A22,GERAL!AO$8:AO$1696)+SUMIF(GERAL!A$8:A$1696,A22,GERAL!AP$8:AP$1696)</f>
        <v>173</v>
      </c>
      <c r="S22" s="100">
        <f>SUMIF(GERAL!A$8:A$1696,A22,GERAL!AS$8:AS$1696)+SUMIF(GERAL!A$8:A$1696,A22,GERAL!AT$8:AT$1696)</f>
        <v>4205</v>
      </c>
      <c r="T22" s="103">
        <f t="shared" si="1"/>
        <v>14585</v>
      </c>
      <c r="U22" s="75">
        <f>COUNTIFS(GERAL!A$8:A$1696,A22,GERAL!AZ$8:AZ$1696,"&gt;0",GERAL!C$8:C$1696,"ESCOLA")</f>
        <v>34</v>
      </c>
      <c r="V22" s="75">
        <f>COUNTIFS(GERAL!A$8:A$1696,A22,GERAL!AZ$8:AZ$1696,"&gt;0",GERAL!C$8:C$1696,"ANEXO")</f>
        <v>14</v>
      </c>
      <c r="W22" s="85">
        <f>SUMIF(GERAL!A$8:A$1696,A22,GERAL!AH$8:AH$1696)</f>
        <v>719</v>
      </c>
      <c r="X22" s="85">
        <f>SUMIF(GERAL!A$8:A$1696,A22,GERAL!AM$8:AM$1696)</f>
        <v>121</v>
      </c>
      <c r="Y22" s="85">
        <f>SUMIF(GERAL!A$8:A$1696,A22,GERAL!AQ$8:AQ$1696)</f>
        <v>3802</v>
      </c>
      <c r="Z22" s="85">
        <f>SUMIF(GERAL!A$8:A$1696,A22,GERAL!AU$8:AU$1696)</f>
        <v>1691</v>
      </c>
      <c r="AA22" s="88">
        <f t="shared" si="2"/>
        <v>6333</v>
      </c>
      <c r="AB22" s="116">
        <f>COUNTIFS(GERAL!A$8:A$1696,A22,GERAL!BK$8:BK$1696,"&gt;0",GERAL!C$8:C$1696,"ESCOLA")</f>
        <v>25</v>
      </c>
      <c r="AC22" s="118">
        <f>COUNTIFS(GERAL!A$8:A$1696,A22,GERAL!BK$8:BK$1696,"&gt;0",GERAL!C$8:C$1696,"ANEXO")</f>
        <v>0</v>
      </c>
      <c r="AD22" s="118">
        <f>COUNTIFS(GERAL!A$8:A$1696,A22,GERAL!BK$8:BK$1696,"&gt;0",GERAL!C$8:C$1696,"EFA")</f>
        <v>2</v>
      </c>
      <c r="AE22" s="118">
        <f>COUNTIFS('BALANÇO POR MUNICIPIOS'!$AF$18:$AF$434,"&gt;0",'BALANÇO POR MUNICIPIOS'!$AM$18:$AM$434,A22)</f>
        <v>18</v>
      </c>
      <c r="AF22" s="118">
        <f>COUNTIFS('BALANÇO POR MUNICIPIOS'!$AF$18:$AF$434,"=0",'BALANÇO POR MUNICIPIOS'!$AM$18:$AM$434,A22)</f>
        <v>2</v>
      </c>
      <c r="AG22" s="121">
        <f>SUMIF(GERAL!A$8:A$1696,A22,GERAL!AD$8:AD$1696)</f>
        <v>0</v>
      </c>
      <c r="AH22" s="121">
        <f>SUMIF(GERAL!A$8:A$1696,A22,GERAL!AI$8:AI$1696)</f>
        <v>4791</v>
      </c>
      <c r="AI22" s="121">
        <f>SUMIF(GERAL!A$8:A$1696,A22,GERAL!AV$8:AV$1696)</f>
        <v>1292</v>
      </c>
      <c r="AJ22" s="124">
        <f t="shared" si="3"/>
        <v>6083</v>
      </c>
      <c r="AK22" s="116">
        <f>COUNTIFS(GERAL!A$8:A$1696,A22,GERAL!AW$8:AW$1696,"&gt;0",GERAL!C$8:C$1696,"ESCOLA")</f>
        <v>27</v>
      </c>
      <c r="AL22" s="118">
        <f>COUNTIFS(GERAL!A$8:A$1696,A22,GERAL!AW$8:AW$1696,"&gt;0",GERAL!C$8:C$1696,"ANEXO")</f>
        <v>0</v>
      </c>
      <c r="AM22" s="118">
        <f>COUNTIFS('BALANÇO POR MUNICIPIOS'!$AL$18:$AL$434,"&gt;0",'BALANÇO POR MUNICIPIOS'!$AM$18:$AM$434,A22)</f>
        <v>20</v>
      </c>
      <c r="AN22" s="118">
        <f>COUNTIFS('BALANÇO POR MUNICIPIOS'!$AL$18:$AL$434,"=0",'BALANÇO POR MUNICIPIOS'!$AM$18:$AM$434,A22)</f>
        <v>0</v>
      </c>
      <c r="AO22" s="176">
        <f>SUMIF(GERAL!A$8:A$1696,A22,GERAL!AS$8:AS$1696)+SUMIF(GERAL!A$8:A$1696,A22,GERAL!AT$8:AT$1696)</f>
        <v>4205</v>
      </c>
      <c r="AP22" s="176">
        <f>SUMIF(GERAL!A$8:A$1696,A22,GERAL!AU$8:AU$1696)</f>
        <v>1691</v>
      </c>
      <c r="AQ22" s="176">
        <f>SUMIF(GERAL!A$8:A$1696,A22,GERAL!AV$8:AV$1696)</f>
        <v>1292</v>
      </c>
      <c r="AR22" s="177">
        <f>SUMIF(GERAL!A$8:A$1696,A22,GERAL!AW$8:AW$1696)</f>
        <v>7188</v>
      </c>
      <c r="AS22" s="116">
        <f>COUNTIFS(GERAL!A$8:A$1696,A22,GERAL!AJ$8:AJ$1696,"&gt;0",GERAL!C$8:C$1696,"ESCOLA")</f>
        <v>33</v>
      </c>
      <c r="AT22" s="118">
        <f>COUNTIFS(GERAL!A$8:A$1696,A22,GERAL!AJ$8:AJ$1696,"&gt;0",GERAL!C$8:C$1696,"ANEXO")</f>
        <v>13</v>
      </c>
      <c r="AU22" s="118">
        <f>COUNTIFS(GERAL!A$8:A$1696,A22,GERAL!AJ$8:AJ$1696,"&gt;0",GERAL!C$8:C$1696,"EFA")</f>
        <v>2</v>
      </c>
      <c r="AV22" s="118">
        <f>COUNTIFS('BALANÇO POR MUNICIPIOS'!$F$18:$F$434,"&gt;0",'BALANÇO POR MUNICIPIOS'!$AM$18:$AM$434,A22)</f>
        <v>20</v>
      </c>
      <c r="AW22" s="178">
        <f>COUNTIFS('BALANÇO POR MUNICIPIOS'!$F$18:$F$434,"=0",'BALANÇO POR MUNICIPIOS'!$AM$18:$AM$434,A22)</f>
        <v>0</v>
      </c>
      <c r="AX22" s="177">
        <f>SUMIF(GERAL!A$8:A$1696,A22,GERAL!AF$8:AF$1696)+SUMIF(GERAL!A$8:A$1696,A22,GERAL!AG$8:AG$1696)</f>
        <v>6089</v>
      </c>
      <c r="AY22" s="177">
        <f>SUMIF(GERAL!A$8:A$1696,A22,GERAL!AH$8:AH$1696)</f>
        <v>719</v>
      </c>
      <c r="AZ22" s="177">
        <f>SUMIF(GERAL!A$8:A$1696,A22,GERAL!AI$8:AI$1696)</f>
        <v>4791</v>
      </c>
      <c r="BA22" s="134">
        <f>SUMIF(GERAL!A$8:A$1696,A22,GERAL!AJ$8:AJ$1696)</f>
        <v>11599</v>
      </c>
      <c r="BB22" s="116">
        <f>COUNTIFS(GERAL!A$8:A$1696,A22,GERAL!AR$8:AR$1696,"&gt;0",GERAL!C$8:C$1696,"ESCOLA")</f>
        <v>30</v>
      </c>
      <c r="BC22" s="118">
        <f>COUNTIFS(GERAL!A$8:A$1696,A22,GERAL!AR$8:AR$1696,"&gt;0",GERAL!C$8:C$1696,"ANEXO")</f>
        <v>1</v>
      </c>
      <c r="BD22" s="118">
        <f>COUNTIFS(GERAL!A$8:A$1696,A22,GERAL!AR$8:AR$1696,"&gt;0",GERAL!C$8:C$1696,"EFA")</f>
        <v>0</v>
      </c>
      <c r="BE22" s="118">
        <f>COUNTIFS('BALANÇO POR MUNICIPIOS'!$H$18:$H$434,"&gt;0",'BALANÇO POR MUNICIPIOS'!$AM$18:$AM$434,A22)</f>
        <v>20</v>
      </c>
      <c r="BF22" s="118">
        <f>COUNTIFS('BALANÇO POR MUNICIPIOS'!$H$18:$H$434,"=0",'BALANÇO POR MUNICIPIOS'!$AM$18:$AM$434,A22)</f>
        <v>0</v>
      </c>
      <c r="BG22" s="177">
        <f>SUMIF(GERAL!A$8:A$1696,A22,GERAL!AO$8:AO$1696)+SUMIF(GERAL!A$8:A$1696,A22,GERAL!AP$8:AP$1696)</f>
        <v>173</v>
      </c>
      <c r="BH22" s="177">
        <f>SUMIF(GERAL!A$8:A$1696,A22,GERAL!AQ$8:AQ$1696)</f>
        <v>3802</v>
      </c>
      <c r="BI22" s="124">
        <f>SUMIF(GERAL!A$8:A$1696,A22,GERAL!AR$8:AR$1696)</f>
        <v>3975</v>
      </c>
      <c r="BJ22" s="116">
        <f>COUNTIFS(GERAL!A$8:A$1696,A22,GERAL!AR$8:AR$1696,"&gt;0",GERAL!AJ$8:AJ$1696,"&gt;0",GERAL!C$8:C$1696,"ESCOLA")</f>
        <v>29</v>
      </c>
      <c r="BK22" s="118">
        <f>COUNTIFS(GERAL!A$8:A$1696,A22,GERAL!AR$8:AR$1696,"&gt;0",GERAL!AJ$8:AJ$1696,"&gt;0",GERAL!C$8:C$1696,"ANEXO")</f>
        <v>0</v>
      </c>
      <c r="BL22" s="118">
        <f>COUNTIFS('BALANÇO POR MUNICIPIOS'!$AM$18:$AM$434,A22,'BALANÇO POR MUNICIPIOS'!$H$18:$H$434,"&gt;0",'BALANÇO POR MUNICIPIOS'!$F$18:$F$434,"&gt;0")</f>
        <v>20</v>
      </c>
      <c r="BM22" s="118">
        <f t="shared" si="4"/>
        <v>15574</v>
      </c>
      <c r="BN22" s="116">
        <f>COUNTIFS(GERAL!A$8:A$1696,A22,GERAL!AN$8:AN$1696,"&gt;0",GERAL!C$8:C$1696,"ESCOLA")</f>
        <v>1</v>
      </c>
      <c r="BO22" s="118">
        <f>COUNTIFS(GERAL!A$8:A$1696,A22,GERAL!AN$8:AN$1696,"&gt;0",GERAL!C$8:C$1696,"ANEXO")</f>
        <v>0</v>
      </c>
      <c r="BP22" s="118">
        <f>COUNTIFS(GERAL!A$8:A$1696,A22,GERAL!AN$8:AN$1696,"&gt;0",GERAL!C$8:C$1696,"EFA")</f>
        <v>0</v>
      </c>
      <c r="BQ22" s="118">
        <f>COUNTIFS('BALANÇO POR MUNICIPIOS'!$G$18:$G$434,"&gt;0",'BALANÇO POR MUNICIPIOS'!$AM$18:$AM$434,A22)</f>
        <v>1</v>
      </c>
      <c r="BR22" s="118">
        <f>COUNTIFS('BALANÇO POR MUNICIPIOS'!$G$18:$G$434,"=0",'BALANÇO POR MUNICIPIOS'!$AM$18:$AM$434,A22)</f>
        <v>19</v>
      </c>
      <c r="BS22" s="177">
        <f>SUMIF(GERAL!A$8:A$1696,A22,GERAL!AK$8:AK$1696)+SUMIF(GERAL!A$8:A$1696,A22,GERAL!AL$8:AL$1696)</f>
        <v>184</v>
      </c>
      <c r="BT22" s="177">
        <f>SUMIF(GERAL!A$8:A$1696,A22,GERAL!AM$8:AM$1696)</f>
        <v>121</v>
      </c>
      <c r="BU22" s="118">
        <f>SUMIF(GERAL!A$8:A$1696,A22,GERAL!AN$8:AN$1696)</f>
        <v>305</v>
      </c>
      <c r="BV22" s="207">
        <f>COUNTIFS(GERAL!A$8:A$1696,A22,GERAL!AE$8:AE$1696,"&gt;0",GERAL!C$8:C$1696,"ESCOLA")</f>
        <v>8</v>
      </c>
      <c r="BW22" s="207">
        <f>COUNTIFS(GERAL!A$8:A$1696,A22,GERAL!AE$8:AE$1696,"&gt;0",GERAL!C$8:C$1696,"ANEXO")</f>
        <v>0</v>
      </c>
      <c r="BX22" s="207">
        <f>COUNTIFS(GERAL!A$8:A$1696,A22,GERAL!AE$8:AE$1696,"&gt;0",GERAL!C$8:C$1696,"EFA")</f>
        <v>0</v>
      </c>
      <c r="BY22" s="177">
        <f>COUNTIFS('BALANÇO POR MUNICIPIOS'!$E$18:$E$434,"&gt;0",'BALANÇO POR MUNICIPIOS'!$AM$18:$AM$434,A22)</f>
        <v>1</v>
      </c>
      <c r="BZ22" s="177">
        <f>COUNTIFS('BALANÇO POR MUNICIPIOS'!$E$18:$E$434,"=0",'BALANÇO POR MUNICIPIOS'!$AM$18:$AM$434,A22)</f>
        <v>19</v>
      </c>
      <c r="CA22" s="177">
        <f>SUMIF(GERAL!A$8:A$1696,A22,GERAL!AA$8:AA$1696)+SUMIF(GERAL!A$8:A$1696,A22,GERAL!AB$8:AB$1696)</f>
        <v>3934</v>
      </c>
      <c r="CB22" s="177">
        <f>SUMIF(GERAL!A$8:A$1696,A22,GERAL!AC$8:AC$1696)</f>
        <v>0</v>
      </c>
      <c r="CC22" s="118">
        <f>SUMIF(GERAL!A$8:A$1696,A22,GERAL!AE$8:AE$1696)</f>
        <v>3934</v>
      </c>
      <c r="CD22" s="118">
        <f>COUNTIFS(GERAL!A$8:A$1696,A22,GERAL!Z$8:Z$1696,"&gt;0",GERAL!C$8:C$1696,"ESCOLA")</f>
        <v>0</v>
      </c>
      <c r="CE22" s="118">
        <f>COUNTIFS(GERAL!A$8:A$1696,A22,GERAL!Z$8:Z$1696,"&gt;0",GERAL!C$8:C$1696,"ANEXO")</f>
        <v>0</v>
      </c>
      <c r="CF22" s="118">
        <f>COUNTIFS(GERAL!A$8:A$1696,A22,GERAL!Z$8:Z$1696,"&gt;0",GERAL!C$8:C$1696,"EFA")</f>
        <v>0</v>
      </c>
      <c r="CG22" s="177">
        <f>COUNTIFS('BALANÇO POR MUNICIPIOS'!$D$18:$D$434,"&gt;0",'BALANÇO POR MUNICIPIOS'!$AM$18:$AM$434,A22)</f>
        <v>0</v>
      </c>
      <c r="CH22" s="177">
        <f>COUNTIFS('BALANÇO POR MUNICIPIOS'!$D$18:$D$434,"=0",'BALANÇO POR MUNICIPIOS'!$AM$18:$AM$434,A22)</f>
        <v>20</v>
      </c>
      <c r="CI22" s="177">
        <f>SUMIF(GERAL!A$8:A$1696,A22,GERAL!V$8:V$1696)+SUMIF(GERAL!A$8:A$1696,A22,GERAL!W$8:W$1696)</f>
        <v>0</v>
      </c>
      <c r="CJ22" s="118">
        <f>SUMIF(GERAL!A$8:A$1696,A22,GERAL!Z$8:Z$1696)</f>
        <v>0</v>
      </c>
      <c r="CK22" s="118">
        <f>COUNTIFS(GERAL!$A$8:$A32,A22,GERAL!$BD$8:$BD32,"CEMIT",GERAL!$C$8:$C32,"ESCOLA")</f>
        <v>1</v>
      </c>
      <c r="CL22" s="118">
        <f>COUNTIFS(GERAL!$A$8:$A32,A22,GERAL!$BD$8:$BD32,"CEMIT",GERAL!$C$8:$C32,"ANEXO")</f>
        <v>12</v>
      </c>
      <c r="CM22" s="118">
        <f>SUMIFS(GERAL!$BB$8:$BB32,GERAL!$A$8:$A32,A22,GERAL!$BD$8:$BD32,"CEMIT")</f>
        <v>769</v>
      </c>
    </row>
    <row r="23">
      <c r="A23" s="151" t="s">
        <v>1335</v>
      </c>
      <c r="B23" s="75">
        <f>COUNTIFS(GERAL!$A$8:$A32,A23,GERAL!$C$8:$C32,"ESCOLA")</f>
        <v>61</v>
      </c>
      <c r="C23" s="75">
        <f>COUNTIFS(GERAL!A$8:A$1696,A23,GERAL!C$8:C$1696,"ANEXO")</f>
        <v>6</v>
      </c>
      <c r="D23" s="75">
        <f>COUNTIFS(GERAL!A$8:A$1696,A23,GERAL!C$8:C$1696,"EFA")</f>
        <v>1</v>
      </c>
      <c r="E23" s="85">
        <f>SUMIF(GERAL!A$8:A$1696,A23,GERAL!Z$8:Z$1696)</f>
        <v>0</v>
      </c>
      <c r="F23" s="85">
        <f>SUMIF(GERAL!A$8:A$1696,A23,GERAL!AE$8:AE$1696)</f>
        <v>7343</v>
      </c>
      <c r="G23" s="85">
        <f>SUMIF(GERAL!A$8:A$1696,A23,GERAL!AJ$8:AJ$1696)</f>
        <v>20992</v>
      </c>
      <c r="H23" s="85">
        <f>SUMIF(GERAL!A$8:A$1696,A23,GERAL!AN$8:AN$1696)</f>
        <v>390</v>
      </c>
      <c r="I23" s="85">
        <f>SUMIF(GERAL!A$8:A$1696,A23,GERAL!AR$8:AW$1696)</f>
        <v>5029</v>
      </c>
      <c r="J23" s="85">
        <f>SUMIF(GERAL!A$8:A$1696,A23,GERAL!AW$8:AW$1696)</f>
        <v>9741</v>
      </c>
      <c r="K23" s="88">
        <f>SUMIF(GERAL!A$8:A$1696,A23,GERAL!AX$8:AX$1696)</f>
        <v>43495</v>
      </c>
      <c r="L23" s="95">
        <f>COUNTIFS(GERAL!A$8:A$1696,A23,GERAL!AY$8:AY$1696,"&gt;0",GERAL!C$8:C$1696,"ESCOLA")</f>
        <v>58</v>
      </c>
      <c r="M23" s="75">
        <f>COUNTIFS(GERAL!A$8:A$1696,A23,GERAL!AY$8:AY$1696,"&gt;0",GERAL!C$8:C$1696,"ANEXO")</f>
        <v>6</v>
      </c>
      <c r="N23" s="100">
        <f>SUMIF(GERAL!A$8:A$1696,A23,GERAL!V$8:V$1696)+SUMIF(GERAL!A$8:A$1696,A23,GERAL!W$8:W$1696)</f>
        <v>0</v>
      </c>
      <c r="O23" s="100">
        <f>SUMIF(GERAL!A$8:A$1696,A23,GERAL!AA$8:AA$1696)+SUMIF(GERAL!A$8:A$1696,A23,GERAL!AB$8:AB$1696)</f>
        <v>5757</v>
      </c>
      <c r="P23" s="100">
        <f>SUMIF(GERAL!A$8:A$1696,A23,GERAL!AF$8:AF$1696)+SUMIF(GERAL!A$8:A$1696,A23,GERAL!AG$8:AG$1696)</f>
        <v>10713</v>
      </c>
      <c r="Q23" s="100">
        <f>SUMIF(GERAL!A$8:A$1696,A23,GERAL!AK$8:AK$1696)+SUMIF(GERAL!A$8:A$1696,A23,GERAL!AL$8:AL$1696)</f>
        <v>183</v>
      </c>
      <c r="R23" s="100">
        <f>SUMIF(GERAL!A$8:A$1696,A23,GERAL!AO$8:AO$1696)+SUMIF(GERAL!A$8:A$1696,A23,GERAL!AP$8:AP$1696)</f>
        <v>242</v>
      </c>
      <c r="S23" s="100">
        <f>SUMIF(GERAL!A$8:A$1696,A23,GERAL!AS$8:AS$1696)+SUMIF(GERAL!A$8:A$1696,A23,GERAL!AT$8:AT$1696)</f>
        <v>5132</v>
      </c>
      <c r="T23" s="103">
        <f t="shared" si="1"/>
        <v>22027</v>
      </c>
      <c r="U23" s="75">
        <f>COUNTIFS(GERAL!A$8:A$1696,A23,GERAL!AZ$8:AZ$1696,"&gt;0",GERAL!C$8:C$1696,"ESCOLA")</f>
        <v>47</v>
      </c>
      <c r="V23" s="75">
        <f>COUNTIFS(GERAL!A$8:A$1696,A23,GERAL!AZ$8:AZ$1696,"&gt;0",GERAL!C$8:C$1696,"ANEXO")</f>
        <v>2</v>
      </c>
      <c r="W23" s="85">
        <f>SUMIF(GERAL!A$8:A$1696,A23,GERAL!AH$8:AH$1696)</f>
        <v>49</v>
      </c>
      <c r="X23" s="85">
        <f>SUMIF(GERAL!A$8:A$1696,A23,GERAL!AM$8:AM$1696)</f>
        <v>207</v>
      </c>
      <c r="Y23" s="85">
        <f>SUMIF(GERAL!A$8:A$1696,A23,GERAL!AQ$8:AQ$1696)</f>
        <v>4787</v>
      </c>
      <c r="Z23" s="85">
        <f>SUMIF(GERAL!A$8:A$1696,A23,GERAL!AU$8:AU$1696)</f>
        <v>3253</v>
      </c>
      <c r="AA23" s="88">
        <f t="shared" si="2"/>
        <v>8296</v>
      </c>
      <c r="AB23" s="116">
        <f>COUNTIFS(GERAL!A$8:A$1696,A23,GERAL!BK$8:BK$1696,"&gt;0",GERAL!C$8:C$1696,"ESCOLA")</f>
        <v>43</v>
      </c>
      <c r="AC23" s="118">
        <f>COUNTIFS(GERAL!A$8:A$1696,A23,GERAL!BK$8:BK$1696,"&gt;0",GERAL!C$8:C$1696,"ANEXO")</f>
        <v>1</v>
      </c>
      <c r="AD23" s="118">
        <f>COUNTIFS(GERAL!A$8:A$1696,A23,GERAL!BK$8:BK$1696,"&gt;0",GERAL!C$8:C$1696,"EFA")</f>
        <v>1</v>
      </c>
      <c r="AE23" s="118">
        <f>COUNTIFS('BALANÇO POR MUNICIPIOS'!$AF$18:$AF$434,"&gt;0",'BALANÇO POR MUNICIPIOS'!$AM$18:$AM$434,A23)</f>
        <v>17</v>
      </c>
      <c r="AF23" s="118">
        <f>COUNTIFS('BALANÇO POR MUNICIPIOS'!$AF$18:$AF$434,"=0",'BALANÇO POR MUNICIPIOS'!$AM$18:$AM$434,A23)</f>
        <v>0</v>
      </c>
      <c r="AG23" s="121">
        <f>SUMIF(GERAL!A$8:A$1696,A23,GERAL!AD$8:AD$1696)</f>
        <v>1586</v>
      </c>
      <c r="AH23" s="121">
        <f>SUMIF(GERAL!A$8:A$1696,A23,GERAL!AI$8:AI$1696)</f>
        <v>10230</v>
      </c>
      <c r="AI23" s="121">
        <f>SUMIF(GERAL!A$8:A$1696,A23,GERAL!AV$8:AV$1696)</f>
        <v>1356</v>
      </c>
      <c r="AJ23" s="124">
        <f t="shared" si="3"/>
        <v>13172</v>
      </c>
      <c r="AK23" s="116">
        <f>COUNTIFS(GERAL!A$8:A$1696,A23,GERAL!AW$8:AW$1696,"&gt;0",GERAL!C$8:C$1696,"ESCOLA")</f>
        <v>43</v>
      </c>
      <c r="AL23" s="118">
        <f>COUNTIFS(GERAL!A$8:A$1696,A23,GERAL!AW$8:AW$1696,"&gt;0",GERAL!C$8:C$1696,"ANEXO")</f>
        <v>1</v>
      </c>
      <c r="AM23" s="118">
        <f>COUNTIFS('BALANÇO POR MUNICIPIOS'!$AL$18:$AL$434,"&gt;0",'BALANÇO POR MUNICIPIOS'!$AM$18:$AM$434,A23)</f>
        <v>17</v>
      </c>
      <c r="AN23" s="118">
        <f>COUNTIFS('BALANÇO POR MUNICIPIOS'!$AL$18:$AL$434,"=0",'BALANÇO POR MUNICIPIOS'!$AM$18:$AM$434,A23)</f>
        <v>0</v>
      </c>
      <c r="AO23" s="176">
        <f>SUMIF(GERAL!A$8:A$1696,A23,GERAL!AS$8:AS$1696)+SUMIF(GERAL!A$8:A$1696,A23,GERAL!AT$8:AT$1696)</f>
        <v>5132</v>
      </c>
      <c r="AP23" s="176">
        <f>SUMIF(GERAL!A$8:A$1696,A23,GERAL!AU$8:AU$1696)</f>
        <v>3253</v>
      </c>
      <c r="AQ23" s="176">
        <f>SUMIF(GERAL!A$8:A$1696,A23,GERAL!AV$8:AV$1696)</f>
        <v>1356</v>
      </c>
      <c r="AR23" s="177">
        <f>SUMIF(GERAL!A$8:A$1696,A23,GERAL!AW$8:AW$1696)</f>
        <v>9741</v>
      </c>
      <c r="AS23" s="116">
        <f>COUNTIFS(GERAL!A$8:A$1696,A23,GERAL!AJ$8:AJ$1696,"&gt;0",GERAL!C$8:C$1696,"ESCOLA")</f>
        <v>55</v>
      </c>
      <c r="AT23" s="118">
        <f>COUNTIFS(GERAL!A$8:A$1696,A23,GERAL!AJ$8:AJ$1696,"&gt;0",GERAL!C$8:C$1696,"ANEXO")</f>
        <v>3</v>
      </c>
      <c r="AU23" s="118">
        <f>COUNTIFS(GERAL!A$8:A$1696,A23,GERAL!AJ$8:AJ$1696,"&gt;0",GERAL!C$8:C$1696,"EFA")</f>
        <v>1</v>
      </c>
      <c r="AV23" s="118">
        <f>COUNTIFS('BALANÇO POR MUNICIPIOS'!$F$18:$F$434,"&gt;0",'BALANÇO POR MUNICIPIOS'!$AM$18:$AM$434,A23)</f>
        <v>17</v>
      </c>
      <c r="AW23" s="178">
        <f>COUNTIFS('BALANÇO POR MUNICIPIOS'!$F$18:$F$434,"=0",'BALANÇO POR MUNICIPIOS'!$AM$18:$AM$434,A23)</f>
        <v>0</v>
      </c>
      <c r="AX23" s="177">
        <f>SUMIF(GERAL!A$8:A$1696,A23,GERAL!AF$8:AF$1696)+SUMIF(GERAL!A$8:A$1696,A23,GERAL!AG$8:AG$1696)</f>
        <v>10713</v>
      </c>
      <c r="AY23" s="177">
        <f>SUMIF(GERAL!A$8:A$1696,A23,GERAL!AH$8:AH$1696)</f>
        <v>49</v>
      </c>
      <c r="AZ23" s="177">
        <f>SUMIF(GERAL!A$8:A$1696,A23,GERAL!AI$8:AI$1696)</f>
        <v>10230</v>
      </c>
      <c r="BA23" s="134">
        <f>SUMIF(GERAL!A$8:A$1696,A23,GERAL!AJ$8:AJ$1696)</f>
        <v>20992</v>
      </c>
      <c r="BB23" s="116">
        <f>COUNTIFS(GERAL!A$8:A$1696,A23,GERAL!AR$8:AR$1696,"&gt;0",GERAL!C$8:C$1696,"ESCOLA")</f>
        <v>42</v>
      </c>
      <c r="BC23" s="118">
        <f>COUNTIFS(GERAL!A$8:A$1696,A23,GERAL!AR$8:AR$1696,"&gt;0",GERAL!C$8:C$1696,"ANEXO")</f>
        <v>4</v>
      </c>
      <c r="BD23" s="118">
        <f>COUNTIFS(GERAL!A$8:A$1696,A23,GERAL!AR$8:AR$1696,"&gt;0",GERAL!C$8:C$1696,"EFA")</f>
        <v>0</v>
      </c>
      <c r="BE23" s="118">
        <f>COUNTIFS('BALANÇO POR MUNICIPIOS'!$H$18:$H$434,"&gt;0",'BALANÇO POR MUNICIPIOS'!$AM$18:$AM$434,A23)</f>
        <v>15</v>
      </c>
      <c r="BF23" s="118">
        <f>COUNTIFS('BALANÇO POR MUNICIPIOS'!$H$18:$H$434,"=0",'BALANÇO POR MUNICIPIOS'!$AM$18:$AM$434,A23)</f>
        <v>2</v>
      </c>
      <c r="BG23" s="177">
        <f>SUMIF(GERAL!A$8:A$1696,A23,GERAL!AO$8:AO$1696)+SUMIF(GERAL!A$8:A$1696,A23,GERAL!AP$8:AP$1696)</f>
        <v>242</v>
      </c>
      <c r="BH23" s="177">
        <f>SUMIF(GERAL!A$8:A$1696,A23,GERAL!AQ$8:AQ$1696)</f>
        <v>4787</v>
      </c>
      <c r="BI23" s="124">
        <f>SUMIF(GERAL!A$8:A$1696,A23,GERAL!AR$8:AR$1696)</f>
        <v>5029</v>
      </c>
      <c r="BJ23" s="116">
        <f>COUNTIFS(GERAL!A$8:A$1696,A23,GERAL!AR$8:AR$1696,"&gt;0",GERAL!AJ$8:AJ$1696,"&gt;0",GERAL!C$8:C$1696,"ESCOLA")</f>
        <v>42</v>
      </c>
      <c r="BK23" s="118">
        <f>COUNTIFS(GERAL!A$8:A$1696,A23,GERAL!AR$8:AR$1696,"&gt;0",GERAL!AJ$8:AJ$1696,"&gt;0",GERAL!C$8:C$1696,"ANEXO")</f>
        <v>1</v>
      </c>
      <c r="BL23" s="118">
        <f>COUNTIFS('BALANÇO POR MUNICIPIOS'!$AM$18:$AM$434,A23,'BALANÇO POR MUNICIPIOS'!$H$18:$H$434,"&gt;0",'BALANÇO POR MUNICIPIOS'!$F$18:$F$434,"&gt;0")</f>
        <v>15</v>
      </c>
      <c r="BM23" s="118">
        <f t="shared" si="4"/>
        <v>26021</v>
      </c>
      <c r="BN23" s="116">
        <f>COUNTIFS(GERAL!A$8:A$1696,A23,GERAL!AN$8:AN$1696,"&gt;0",GERAL!C$8:C$1696,"ESCOLA")</f>
        <v>6</v>
      </c>
      <c r="BO23" s="118">
        <f>COUNTIFS(GERAL!A$8:A$1696,A23,GERAL!AN$8:AN$1696,"&gt;0",GERAL!C$8:C$1696,"ANEXO")</f>
        <v>3</v>
      </c>
      <c r="BP23" s="118">
        <f>COUNTIFS(GERAL!A$8:A$1696,A23,GERAL!AN$8:AN$1696,"&gt;0",GERAL!C$8:C$1696,"EFA")</f>
        <v>0</v>
      </c>
      <c r="BQ23" s="118">
        <f>COUNTIFS('BALANÇO POR MUNICIPIOS'!$G$18:$G$434,"&gt;0",'BALANÇO POR MUNICIPIOS'!$AM$18:$AM$434,A23)</f>
        <v>2</v>
      </c>
      <c r="BR23" s="118">
        <f>COUNTIFS('BALANÇO POR MUNICIPIOS'!$G$18:$G$434,"=0",'BALANÇO POR MUNICIPIOS'!$AM$18:$AM$434,A23)</f>
        <v>15</v>
      </c>
      <c r="BS23" s="177">
        <f>SUMIF(GERAL!A$8:A$1696,A23,GERAL!AK$8:AK$1696)+SUMIF(GERAL!A$8:A$1696,A23,GERAL!AL$8:AL$1696)</f>
        <v>183</v>
      </c>
      <c r="BT23" s="177">
        <f>SUMIF(GERAL!A$8:A$1696,A23,GERAL!AM$8:AM$1696)</f>
        <v>207</v>
      </c>
      <c r="BU23" s="118">
        <f>SUMIF(GERAL!A$8:A$1696,A23,GERAL!AN$8:AN$1696)</f>
        <v>390</v>
      </c>
      <c r="BV23" s="207">
        <f>COUNTIFS(GERAL!A$8:A$1696,A23,GERAL!AE$8:AE$1696,"&gt;0",GERAL!C$8:C$1696,"ESCOLA")</f>
        <v>26</v>
      </c>
      <c r="BW23" s="207">
        <f>COUNTIFS(GERAL!A$8:A$1696,A23,GERAL!AE$8:AE$1696,"&gt;0",GERAL!C$8:C$1696,"ANEXO")</f>
        <v>0</v>
      </c>
      <c r="BX23" s="207">
        <f>COUNTIFS(GERAL!A$8:A$1696,A23,GERAL!AE$8:AE$1696,"&gt;0",GERAL!C$8:C$1696,"EFA")</f>
        <v>1</v>
      </c>
      <c r="BY23" s="177">
        <f>COUNTIFS('BALANÇO POR MUNICIPIOS'!$E$18:$E$434,"&gt;0",'BALANÇO POR MUNICIPIOS'!$AM$18:$AM$434,A23)</f>
        <v>2</v>
      </c>
      <c r="BZ23" s="177">
        <f>COUNTIFS('BALANÇO POR MUNICIPIOS'!$E$18:$E$434,"=0",'BALANÇO POR MUNICIPIOS'!$AM$18:$AM$434,A23)</f>
        <v>15</v>
      </c>
      <c r="CA23" s="177">
        <f>SUMIF(GERAL!A$8:A$1696,A23,GERAL!AA$8:AA$1696)+SUMIF(GERAL!A$8:A$1696,A23,GERAL!AB$8:AB$1696)</f>
        <v>5757</v>
      </c>
      <c r="CB23" s="177">
        <f>SUMIF(GERAL!A$8:A$1696,A23,GERAL!AC$8:AC$1696)</f>
        <v>0</v>
      </c>
      <c r="CC23" s="118">
        <f>SUMIF(GERAL!A$8:A$1696,A23,GERAL!AE$8:AE$1696)</f>
        <v>7343</v>
      </c>
      <c r="CD23" s="118">
        <f>COUNTIFS(GERAL!A$8:A$1696,A23,GERAL!Z$8:Z$1696,"&gt;0",GERAL!C$8:C$1696,"ESCOLA")</f>
        <v>0</v>
      </c>
      <c r="CE23" s="118">
        <f>COUNTIFS(GERAL!A$8:A$1696,A23,GERAL!Z$8:Z$1696,"&gt;0",GERAL!C$8:C$1696,"ANEXO")</f>
        <v>0</v>
      </c>
      <c r="CF23" s="118">
        <f>COUNTIFS(GERAL!A$8:A$1696,A23,GERAL!Z$8:Z$1696,"&gt;0",GERAL!C$8:C$1696,"EFA")</f>
        <v>0</v>
      </c>
      <c r="CG23" s="177">
        <f>COUNTIFS('BALANÇO POR MUNICIPIOS'!$D$18:$D$434,"&gt;0",'BALANÇO POR MUNICIPIOS'!$AM$18:$AM$434,A23)</f>
        <v>0</v>
      </c>
      <c r="CH23" s="177">
        <f>COUNTIFS('BALANÇO POR MUNICIPIOS'!$D$18:$D$434,"=0",'BALANÇO POR MUNICIPIOS'!$AM$18:$AM$434,A23)</f>
        <v>17</v>
      </c>
      <c r="CI23" s="177">
        <f>SUMIF(GERAL!A$8:A$1696,A23,GERAL!V$8:V$1696)+SUMIF(GERAL!A$8:A$1696,A23,GERAL!W$8:W$1696)</f>
        <v>0</v>
      </c>
      <c r="CJ23" s="118">
        <f>SUMIF(GERAL!A$8:A$1696,A23,GERAL!Z$8:Z$1696)</f>
        <v>0</v>
      </c>
      <c r="CK23" s="118">
        <f>COUNTIFS(GERAL!$A$8:$A32,A23,GERAL!$BD$8:$BD32,"CEMIT",GERAL!$C$8:$C32,"ESCOLA")</f>
        <v>0</v>
      </c>
      <c r="CL23" s="118">
        <f>COUNTIFS(GERAL!$A$8:$A32,A23,GERAL!$BD$8:$BD32,"CEMIT",GERAL!$C$8:$C32,"ANEXO")</f>
        <v>0</v>
      </c>
      <c r="CM23" s="118">
        <f>SUMIFS(GERAL!$BB$8:$BB32,GERAL!$A$8:$A32,A23,GERAL!$BD$8:$BD32,"CEMIT")</f>
        <v>0</v>
      </c>
    </row>
    <row r="24">
      <c r="A24" s="135" t="s">
        <v>1393</v>
      </c>
      <c r="B24" s="75">
        <f>COUNTIFS(GERAL!$A$8:$A32,A24,GERAL!$C$8:$C32,"ESCOLA")</f>
        <v>48</v>
      </c>
      <c r="C24" s="75">
        <f>COUNTIFS(GERAL!A$8:A$1696,A24,GERAL!C$8:C$1696,"ANEXO")</f>
        <v>26</v>
      </c>
      <c r="D24" s="75">
        <f>COUNTIFS(GERAL!A$8:A$1696,A24,GERAL!C$8:C$1696,"EFA")</f>
        <v>2</v>
      </c>
      <c r="E24" s="85">
        <f>SUMIF(GERAL!A$8:A$1696,A24,GERAL!Z$8:Z$1696)</f>
        <v>0</v>
      </c>
      <c r="F24" s="85">
        <f>SUMIF(GERAL!A$8:A$1696,A24,GERAL!AE$8:AE$1696)</f>
        <v>621</v>
      </c>
      <c r="G24" s="85">
        <f>SUMIF(GERAL!A$8:A$1696,A24,GERAL!AJ$8:AJ$1696)</f>
        <v>16612</v>
      </c>
      <c r="H24" s="85">
        <f>SUMIF(GERAL!A$8:A$1696,A24,GERAL!AN$8:AN$1696)</f>
        <v>155</v>
      </c>
      <c r="I24" s="85">
        <f>SUMIF(GERAL!A$8:A$1696,A24,GERAL!AR$8:AW$1696)</f>
        <v>4323</v>
      </c>
      <c r="J24" s="85">
        <f>SUMIF(GERAL!A$8:A$1696,A24,GERAL!AW$8:AW$1696)</f>
        <v>4076</v>
      </c>
      <c r="K24" s="88">
        <f>SUMIF(GERAL!A$8:A$1696,A24,GERAL!AX$8:AX$1696)</f>
        <v>25787</v>
      </c>
      <c r="L24" s="95">
        <f>COUNTIFS(GERAL!A$8:A$1696,A24,GERAL!AY$8:AY$1696,"&gt;0",GERAL!C$8:C$1696,"ESCOLA")</f>
        <v>44</v>
      </c>
      <c r="M24" s="75">
        <f>COUNTIFS(GERAL!A$8:A$1696,A24,GERAL!AY$8:AY$1696,"&gt;0",GERAL!C$8:C$1696,"ANEXO")</f>
        <v>17</v>
      </c>
      <c r="N24" s="100">
        <f>SUMIF(GERAL!A$8:A$1696,A24,GERAL!V$8:V$1696)+SUMIF(GERAL!A$8:A$1696,A24,GERAL!W$8:W$1696)</f>
        <v>0</v>
      </c>
      <c r="O24" s="100">
        <f>SUMIF(GERAL!A$8:A$1696,A24,GERAL!AA$8:AA$1696)+SUMIF(GERAL!A$8:A$1696,A24,GERAL!AB$8:AB$1696)</f>
        <v>491</v>
      </c>
      <c r="P24" s="100">
        <f>SUMIF(GERAL!A$8:A$1696,A24,GERAL!AF$8:AF$1696)+SUMIF(GERAL!A$8:A$1696,A24,GERAL!AG$8:AG$1696)</f>
        <v>5722</v>
      </c>
      <c r="Q24" s="100">
        <f>SUMIF(GERAL!A$8:A$1696,A24,GERAL!AK$8:AK$1696)+SUMIF(GERAL!A$8:A$1696,A24,GERAL!AL$8:AL$1696)</f>
        <v>155</v>
      </c>
      <c r="R24" s="100">
        <f>SUMIF(GERAL!A$8:A$1696,A24,GERAL!AO$8:AO$1696)+SUMIF(GERAL!A$8:A$1696,A24,GERAL!AP$8:AP$1696)</f>
        <v>127</v>
      </c>
      <c r="S24" s="100">
        <f>SUMIF(GERAL!A$8:A$1696,A24,GERAL!AS$8:AS$1696)+SUMIF(GERAL!A$8:A$1696,A24,GERAL!AT$8:AT$1696)</f>
        <v>1610</v>
      </c>
      <c r="T24" s="103">
        <f t="shared" si="1"/>
        <v>8105</v>
      </c>
      <c r="U24" s="75">
        <f>COUNTIFS(GERAL!A$8:A$1696,A24,GERAL!AZ$8:AZ$1696,"&gt;0",GERAL!C$8:C$1696,"ESCOLA")</f>
        <v>39</v>
      </c>
      <c r="V24" s="75">
        <f>COUNTIFS(GERAL!A$8:A$1696,A24,GERAL!AZ$8:AZ$1696,"&gt;0",GERAL!C$8:C$1696,"ANEXO")</f>
        <v>15</v>
      </c>
      <c r="W24" s="85">
        <f>SUMIF(GERAL!A$8:A$1696,A24,GERAL!AH$8:AH$1696)</f>
        <v>165</v>
      </c>
      <c r="X24" s="85">
        <f>SUMIF(GERAL!A$8:A$1696,A24,GERAL!AM$8:AM$1696)</f>
        <v>0</v>
      </c>
      <c r="Y24" s="85">
        <f>SUMIF(GERAL!A$8:A$1696,A24,GERAL!AQ$8:AQ$1696)</f>
        <v>4196</v>
      </c>
      <c r="Z24" s="85">
        <f>SUMIF(GERAL!A$8:A$1696,A24,GERAL!AU$8:AU$1696)</f>
        <v>519</v>
      </c>
      <c r="AA24" s="88">
        <f t="shared" si="2"/>
        <v>4880</v>
      </c>
      <c r="AB24" s="116">
        <f>COUNTIFS(GERAL!A$8:A$1696,A24,GERAL!BK$8:BK$1696,"&gt;0",GERAL!C$8:C$1696,"ESCOLA")</f>
        <v>39</v>
      </c>
      <c r="AC24" s="118">
        <f>COUNTIFS(GERAL!A$8:A$1696,A24,GERAL!BK$8:BK$1696,"&gt;0",GERAL!C$8:C$1696,"ANEXO")</f>
        <v>7</v>
      </c>
      <c r="AD24" s="118">
        <f>COUNTIFS(GERAL!A$8:A$1696,A24,GERAL!BK$8:BK$1696,"&gt;0",GERAL!C$8:C$1696,"EFA")</f>
        <v>2</v>
      </c>
      <c r="AE24" s="118">
        <f>COUNTIFS('BALANÇO POR MUNICIPIOS'!$AF$18:$AF$434,"&gt;0",'BALANÇO POR MUNICIPIOS'!$AM$18:$AM$434,A24)</f>
        <v>24</v>
      </c>
      <c r="AF24" s="118">
        <f>COUNTIFS('BALANÇO POR MUNICIPIOS'!$AF$18:$AF$434,"=0",'BALANÇO POR MUNICIPIOS'!$AM$18:$AM$434,A24)</f>
        <v>0</v>
      </c>
      <c r="AG24" s="121">
        <f>SUMIF(GERAL!A$8:A$1696,A24,GERAL!AD$8:AD$1696)</f>
        <v>130</v>
      </c>
      <c r="AH24" s="121">
        <f>SUMIF(GERAL!A$8:A$1696,A24,GERAL!AI$8:AI$1696)</f>
        <v>10725</v>
      </c>
      <c r="AI24" s="121">
        <f>SUMIF(GERAL!A$8:A$1696,A24,GERAL!AV$8:AV$1696)</f>
        <v>1947</v>
      </c>
      <c r="AJ24" s="124">
        <f t="shared" si="3"/>
        <v>12802</v>
      </c>
      <c r="AK24" s="116">
        <f>COUNTIFS(GERAL!A$8:A$1696,A24,GERAL!AW$8:AW$1696,"&gt;0",GERAL!C$8:C$1696,"ESCOLA")</f>
        <v>30</v>
      </c>
      <c r="AL24" s="118">
        <f>COUNTIFS(GERAL!A$8:A$1696,A24,GERAL!AW$8:AW$1696,"&gt;0",GERAL!C$8:C$1696,"ANEXO")</f>
        <v>2</v>
      </c>
      <c r="AM24" s="118">
        <f>COUNTIFS('BALANÇO POR MUNICIPIOS'!$AL$18:$AL$434,"&gt;0",'BALANÇO POR MUNICIPIOS'!$AM$18:$AM$434,A24)</f>
        <v>24</v>
      </c>
      <c r="AN24" s="118">
        <f>COUNTIFS('BALANÇO POR MUNICIPIOS'!$AL$18:$AL$434,"=0",'BALANÇO POR MUNICIPIOS'!$AM$18:$AM$434,A24)</f>
        <v>0</v>
      </c>
      <c r="AO24" s="176">
        <f>SUMIF(GERAL!A$8:A$1696,A24,GERAL!AS$8:AS$1696)+SUMIF(GERAL!A$8:A$1696,A24,GERAL!AT$8:AT$1696)</f>
        <v>1610</v>
      </c>
      <c r="AP24" s="176">
        <f>SUMIF(GERAL!A$8:A$1696,A24,GERAL!AU$8:AU$1696)</f>
        <v>519</v>
      </c>
      <c r="AQ24" s="176">
        <f>SUMIF(GERAL!A$8:A$1696,A24,GERAL!AV$8:AV$1696)</f>
        <v>1947</v>
      </c>
      <c r="AR24" s="177">
        <f>SUMIF(GERAL!A$8:A$1696,A24,GERAL!AW$8:AW$1696)</f>
        <v>4076</v>
      </c>
      <c r="AS24" s="116">
        <f>COUNTIFS(GERAL!A$8:A$1696,A24,GERAL!AJ$8:AJ$1696,"&gt;0",GERAL!C$8:C$1696,"ESCOLA")</f>
        <v>42</v>
      </c>
      <c r="AT24" s="118">
        <f>COUNTIFS(GERAL!A$8:A$1696,A24,GERAL!AJ$8:AJ$1696,"&gt;0",GERAL!C$8:C$1696,"ANEXO")</f>
        <v>21</v>
      </c>
      <c r="AU24" s="118">
        <f>COUNTIFS(GERAL!A$8:A$1696,A24,GERAL!AJ$8:AJ$1696,"&gt;0",GERAL!C$8:C$1696,"EFA")</f>
        <v>2</v>
      </c>
      <c r="AV24" s="118">
        <f>COUNTIFS('BALANÇO POR MUNICIPIOS'!$F$18:$F$434,"&gt;0",'BALANÇO POR MUNICIPIOS'!$AM$18:$AM$434,A24)</f>
        <v>24</v>
      </c>
      <c r="AW24" s="178">
        <f>COUNTIFS('BALANÇO POR MUNICIPIOS'!$F$18:$F$434,"=0",'BALANÇO POR MUNICIPIOS'!$AM$18:$AM$434,A24)</f>
        <v>0</v>
      </c>
      <c r="AX24" s="177">
        <f>SUMIF(GERAL!A$8:A$1696,A24,GERAL!AF$8:AF$1696)+SUMIF(GERAL!A$8:A$1696,A24,GERAL!AG$8:AG$1696)</f>
        <v>5722</v>
      </c>
      <c r="AY24" s="177">
        <f>SUMIF(GERAL!A$8:A$1696,A24,GERAL!AH$8:AH$1696)</f>
        <v>165</v>
      </c>
      <c r="AZ24" s="177">
        <f>SUMIF(GERAL!A$8:A$1696,A24,GERAL!AI$8:AI$1696)</f>
        <v>10725</v>
      </c>
      <c r="BA24" s="134">
        <f>SUMIF(GERAL!A$8:A$1696,A24,GERAL!AJ$8:AJ$1696)</f>
        <v>16612</v>
      </c>
      <c r="BB24" s="116">
        <f>COUNTIFS(GERAL!A$8:A$1696,A24,GERAL!AR$8:AR$1696,"&gt;0",GERAL!C$8:C$1696,"ESCOLA")</f>
        <v>39</v>
      </c>
      <c r="BC24" s="118">
        <f>COUNTIFS(GERAL!A$8:A$1696,A24,GERAL!AR$8:AR$1696,"&gt;0",GERAL!C$8:C$1696,"ANEXO")</f>
        <v>9</v>
      </c>
      <c r="BD24" s="118">
        <f>COUNTIFS(GERAL!A$8:A$1696,A24,GERAL!AR$8:AR$1696,"&gt;0",GERAL!C$8:C$1696,"EFA")</f>
        <v>0</v>
      </c>
      <c r="BE24" s="118">
        <f>COUNTIFS('BALANÇO POR MUNICIPIOS'!$H$18:$H$434,"&gt;0",'BALANÇO POR MUNICIPIOS'!$AM$18:$AM$434,A24)</f>
        <v>23</v>
      </c>
      <c r="BF24" s="118">
        <f>COUNTIFS('BALANÇO POR MUNICIPIOS'!$H$18:$H$434,"=0",'BALANÇO POR MUNICIPIOS'!$AM$18:$AM$434,A24)</f>
        <v>1</v>
      </c>
      <c r="BG24" s="177">
        <f>SUMIF(GERAL!A$8:A$1696,A24,GERAL!AO$8:AO$1696)+SUMIF(GERAL!A$8:A$1696,A24,GERAL!AP$8:AP$1696)</f>
        <v>127</v>
      </c>
      <c r="BH24" s="177">
        <f>SUMIF(GERAL!A$8:A$1696,A24,GERAL!AQ$8:AQ$1696)</f>
        <v>4196</v>
      </c>
      <c r="BI24" s="124">
        <f>SUMIF(GERAL!A$8:A$1696,A24,GERAL!AR$8:AR$1696)</f>
        <v>4323</v>
      </c>
      <c r="BJ24" s="116">
        <f>COUNTIFS(GERAL!A$8:A$1696,A24,GERAL!AR$8:AR$1696,"&gt;0",GERAL!AJ$8:AJ$1696,"&gt;0",GERAL!C$8:C$1696,"ESCOLA")</f>
        <v>37</v>
      </c>
      <c r="BK24" s="118">
        <f>COUNTIFS(GERAL!A$8:A$1696,A24,GERAL!AR$8:AR$1696,"&gt;0",GERAL!AJ$8:AJ$1696,"&gt;0",GERAL!C$8:C$1696,"ANEXO")</f>
        <v>5</v>
      </c>
      <c r="BL24" s="118">
        <f>COUNTIFS('BALANÇO POR MUNICIPIOS'!$AM$18:$AM$434,A24,'BALANÇO POR MUNICIPIOS'!$H$18:$H$434,"&gt;0",'BALANÇO POR MUNICIPIOS'!$F$18:$F$434,"&gt;0")</f>
        <v>23</v>
      </c>
      <c r="BM24" s="118">
        <f t="shared" si="4"/>
        <v>20935</v>
      </c>
      <c r="BN24" s="116">
        <f>COUNTIFS(GERAL!A$8:A$1696,A24,GERAL!AN$8:AN$1696,"&gt;0",GERAL!C$8:C$1696,"ESCOLA")</f>
        <v>1</v>
      </c>
      <c r="BO24" s="118">
        <f>COUNTIFS(GERAL!A$8:A$1696,A24,GERAL!AN$8:AN$1696,"&gt;0",GERAL!C$8:C$1696,"ANEXO")</f>
        <v>1</v>
      </c>
      <c r="BP24" s="118">
        <f>COUNTIFS(GERAL!A$8:A$1696,A24,GERAL!AN$8:AN$1696,"&gt;0",GERAL!C$8:C$1696,"EFA")</f>
        <v>0</v>
      </c>
      <c r="BQ24" s="118">
        <f>COUNTIFS('BALANÇO POR MUNICIPIOS'!$G$18:$G$434,"&gt;0",'BALANÇO POR MUNICIPIOS'!$AM$18:$AM$434,A24)</f>
        <v>1</v>
      </c>
      <c r="BR24" s="118">
        <f>COUNTIFS('BALANÇO POR MUNICIPIOS'!$G$18:$G$434,"=0",'BALANÇO POR MUNICIPIOS'!$AM$18:$AM$434,A24)</f>
        <v>23</v>
      </c>
      <c r="BS24" s="177">
        <f>SUMIF(GERAL!A$8:A$1696,A24,GERAL!AK$8:AK$1696)+SUMIF(GERAL!A$8:A$1696,A24,GERAL!AL$8:AL$1696)</f>
        <v>155</v>
      </c>
      <c r="BT24" s="177">
        <f>SUMIF(GERAL!A$8:A$1696,A24,GERAL!AM$8:AM$1696)</f>
        <v>0</v>
      </c>
      <c r="BU24" s="118">
        <f>SUMIF(GERAL!A$8:A$1696,A24,GERAL!AN$8:AN$1696)</f>
        <v>155</v>
      </c>
      <c r="BV24" s="207">
        <f>COUNTIFS(GERAL!A$8:A$1696,A24,GERAL!AE$8:AE$1696,"&gt;0",GERAL!C$8:C$1696,"ESCOLA")</f>
        <v>1</v>
      </c>
      <c r="BW24" s="207">
        <f>COUNTIFS(GERAL!A$8:A$1696,A24,GERAL!AE$8:AE$1696,"&gt;0",GERAL!C$8:C$1696,"ANEXO")</f>
        <v>0</v>
      </c>
      <c r="BX24" s="207">
        <f>COUNTIFS(GERAL!A$8:A$1696,A24,GERAL!AE$8:AE$1696,"&gt;0",GERAL!C$8:C$1696,"EFA")</f>
        <v>2</v>
      </c>
      <c r="BY24" s="177">
        <f>COUNTIFS('BALANÇO POR MUNICIPIOS'!$E$18:$E$434,"&gt;0",'BALANÇO POR MUNICIPIOS'!$AM$18:$AM$434,A24)</f>
        <v>3</v>
      </c>
      <c r="BZ24" s="177">
        <f>COUNTIFS('BALANÇO POR MUNICIPIOS'!$E$18:$E$434,"=0",'BALANÇO POR MUNICIPIOS'!$AM$18:$AM$434,A24)</f>
        <v>21</v>
      </c>
      <c r="CA24" s="177">
        <f>SUMIF(GERAL!A$8:A$1696,A24,GERAL!AA$8:AA$1696)+SUMIF(GERAL!A$8:A$1696,A24,GERAL!AB$8:AB$1696)</f>
        <v>491</v>
      </c>
      <c r="CB24" s="177">
        <f>SUMIF(GERAL!A$8:A$1696,A24,GERAL!AC$8:AC$1696)</f>
        <v>0</v>
      </c>
      <c r="CC24" s="118">
        <f>SUMIF(GERAL!A$8:A$1696,A24,GERAL!AE$8:AE$1696)</f>
        <v>621</v>
      </c>
      <c r="CD24" s="118">
        <f>COUNTIFS(GERAL!A$8:A$1696,A24,GERAL!Z$8:Z$1696,"&gt;0",GERAL!C$8:C$1696,"ESCOLA")</f>
        <v>0</v>
      </c>
      <c r="CE24" s="118">
        <f>COUNTIFS(GERAL!A$8:A$1696,A24,GERAL!Z$8:Z$1696,"&gt;0",GERAL!C$8:C$1696,"ANEXO")</f>
        <v>0</v>
      </c>
      <c r="CF24" s="118">
        <f>COUNTIFS(GERAL!A$8:A$1696,A24,GERAL!Z$8:Z$1696,"&gt;0",GERAL!C$8:C$1696,"EFA")</f>
        <v>0</v>
      </c>
      <c r="CG24" s="177">
        <f>COUNTIFS('BALANÇO POR MUNICIPIOS'!$D$18:$D$434,"&gt;0",'BALANÇO POR MUNICIPIOS'!$AM$18:$AM$434,A24)</f>
        <v>0</v>
      </c>
      <c r="CH24" s="177">
        <f>COUNTIFS('BALANÇO POR MUNICIPIOS'!$D$18:$D$434,"=0",'BALANÇO POR MUNICIPIOS'!$AM$18:$AM$434,A24)</f>
        <v>24</v>
      </c>
      <c r="CI24" s="177">
        <f>SUMIF(GERAL!A$8:A$1696,A24,GERAL!V$8:V$1696)+SUMIF(GERAL!A$8:A$1696,A24,GERAL!W$8:W$1696)</f>
        <v>0</v>
      </c>
      <c r="CJ24" s="118">
        <f>SUMIF(GERAL!A$8:A$1696,A24,GERAL!Z$8:Z$1696)</f>
        <v>0</v>
      </c>
      <c r="CK24" s="118">
        <f>COUNTIFS(GERAL!$A$8:$A32,A24,GERAL!$BD$8:$BD32,"CEMIT",GERAL!$C$8:$C32,"ESCOLA")</f>
        <v>1</v>
      </c>
      <c r="CL24" s="118">
        <f>COUNTIFS(GERAL!$A$8:$A32,A24,GERAL!$BD$8:$BD32,"CEMIT",GERAL!$C$8:$C32,"ANEXO")</f>
        <v>8</v>
      </c>
      <c r="CM24" s="118">
        <f>SUMIFS(GERAL!$BB$8:$BB32,GERAL!$A$8:$A32,A24,GERAL!$BD$8:$BD32,"CEMIT")</f>
        <v>207</v>
      </c>
    </row>
    <row r="25">
      <c r="A25" s="151" t="s">
        <v>1463</v>
      </c>
      <c r="B25" s="75">
        <f>COUNTIFS(GERAL!$A$8:$A32,A25,GERAL!$C$8:$C32,"ESCOLA")</f>
        <v>36</v>
      </c>
      <c r="C25" s="75">
        <f>COUNTIFS(GERAL!A$8:A$1696,A25,GERAL!C$8:C$1696,"ANEXO")</f>
        <v>4</v>
      </c>
      <c r="D25" s="75">
        <f>COUNTIFS(GERAL!A$8:A$1696,A25,GERAL!C$8:C$1696,"EFA")</f>
        <v>0</v>
      </c>
      <c r="E25" s="85">
        <f>SUMIF(GERAL!A$8:A$1696,A25,GERAL!Z$8:Z$1696)</f>
        <v>0</v>
      </c>
      <c r="F25" s="85">
        <f>SUMIF(GERAL!A$8:A$1696,A25,GERAL!AE$8:AE$1696)</f>
        <v>0</v>
      </c>
      <c r="G25" s="85">
        <f>SUMIF(GERAL!A$8:A$1696,A25,GERAL!AJ$8:AJ$1696)</f>
        <v>11175</v>
      </c>
      <c r="H25" s="85">
        <f>SUMIF(GERAL!A$8:A$1696,A25,GERAL!AN$8:AN$1696)</f>
        <v>0</v>
      </c>
      <c r="I25" s="85">
        <f>SUMIF(GERAL!A$8:A$1696,A25,GERAL!AR$8:AW$1696)</f>
        <v>2728</v>
      </c>
      <c r="J25" s="85">
        <f>SUMIF(GERAL!A$8:A$1696,A25,GERAL!AW$8:AW$1696)</f>
        <v>7564</v>
      </c>
      <c r="K25" s="88">
        <f>SUMIF(GERAL!A$8:A$1696,A25,GERAL!AX$8:AX$1696)</f>
        <v>21467</v>
      </c>
      <c r="L25" s="95">
        <f>COUNTIFS(GERAL!A$8:A$1696,A25,GERAL!AY$8:AY$1696,"&gt;0",GERAL!C$8:C$1696,"ESCOLA")</f>
        <v>35</v>
      </c>
      <c r="M25" s="75">
        <f>COUNTIFS(GERAL!A$8:A$1696,A25,GERAL!AY$8:AY$1696,"&gt;0",GERAL!C$8:C$1696,"ANEXO")</f>
        <v>3</v>
      </c>
      <c r="N25" s="100">
        <f>SUMIF(GERAL!A$8:A$1696,A25,GERAL!V$8:V$1696)+SUMIF(GERAL!A$8:A$1696,A25,GERAL!W$8:W$1696)</f>
        <v>0</v>
      </c>
      <c r="O25" s="100">
        <f>SUMIF(GERAL!A$8:A$1696,A25,GERAL!AA$8:AA$1696)+SUMIF(GERAL!A$8:A$1696,A25,GERAL!AB$8:AB$1696)</f>
        <v>0</v>
      </c>
      <c r="P25" s="100">
        <f>SUMIF(GERAL!A$8:A$1696,A25,GERAL!AF$8:AF$1696)+SUMIF(GERAL!A$8:A$1696,A25,GERAL!AG$8:AG$1696)</f>
        <v>5932</v>
      </c>
      <c r="Q25" s="100">
        <f>SUMIF(GERAL!A$8:A$1696,A25,GERAL!AK$8:AK$1696)+SUMIF(GERAL!A$8:A$1696,A25,GERAL!AL$8:AL$1696)</f>
        <v>0</v>
      </c>
      <c r="R25" s="100">
        <f>SUMIF(GERAL!A$8:A$1696,A25,GERAL!AO$8:AO$1696)+SUMIF(GERAL!A$8:A$1696,A25,GERAL!AP$8:AP$1696)</f>
        <v>0</v>
      </c>
      <c r="S25" s="100">
        <f>SUMIF(GERAL!A$8:A$1696,A25,GERAL!AS$8:AS$1696)+SUMIF(GERAL!A$8:A$1696,A25,GERAL!AT$8:AT$1696)</f>
        <v>4470</v>
      </c>
      <c r="T25" s="103">
        <f t="shared" si="1"/>
        <v>10402</v>
      </c>
      <c r="U25" s="75">
        <f>COUNTIFS(GERAL!A$8:A$1696,A25,GERAL!AZ$8:AZ$1696,"&gt;0",GERAL!C$8:C$1696,"ESCOLA")</f>
        <v>33</v>
      </c>
      <c r="V25" s="75">
        <f>COUNTIFS(GERAL!A$8:A$1696,A25,GERAL!AZ$8:AZ$1696,"&gt;0",GERAL!C$8:C$1696,"ANEXO")</f>
        <v>2</v>
      </c>
      <c r="W25" s="85">
        <f>SUMIF(GERAL!A$8:A$1696,A25,GERAL!AH$8:AH$1696)</f>
        <v>0</v>
      </c>
      <c r="X25" s="85">
        <f>SUMIF(GERAL!A$8:A$1696,A25,GERAL!AM$8:AM$1696)</f>
        <v>0</v>
      </c>
      <c r="Y25" s="85">
        <f>SUMIF(GERAL!A$8:A$1696,A25,GERAL!AQ$8:AQ$1696)</f>
        <v>2728</v>
      </c>
      <c r="Z25" s="85">
        <f>SUMIF(GERAL!A$8:A$1696,A25,GERAL!AU$8:AU$1696)</f>
        <v>2305</v>
      </c>
      <c r="AA25" s="88">
        <f t="shared" si="2"/>
        <v>5033</v>
      </c>
      <c r="AB25" s="116">
        <f>COUNTIFS(GERAL!A$8:A$1696,A25,GERAL!BK$8:BK$1696,"&gt;0",GERAL!C$8:C$1696,"ESCOLA")</f>
        <v>24</v>
      </c>
      <c r="AC25" s="118">
        <f>COUNTIFS(GERAL!A$8:A$1696,A25,GERAL!BK$8:BK$1696,"&gt;0",GERAL!C$8:C$1696,"ANEXO")</f>
        <v>0</v>
      </c>
      <c r="AD25" s="118">
        <f>COUNTIFS(GERAL!A$8:A$1696,A25,GERAL!BK$8:BK$1696,"&gt;0",GERAL!C$8:C$1696,"EFA")</f>
        <v>0</v>
      </c>
      <c r="AE25" s="118">
        <f>COUNTIFS('BALANÇO POR MUNICIPIOS'!$AF$18:$AF$434,"&gt;0",'BALANÇO POR MUNICIPIOS'!$AM$18:$AM$434,A25)</f>
        <v>16</v>
      </c>
      <c r="AF25" s="118">
        <f>COUNTIFS('BALANÇO POR MUNICIPIOS'!$AF$18:$AF$434,"=0",'BALANÇO POR MUNICIPIOS'!$AM$18:$AM$434,A25)</f>
        <v>3</v>
      </c>
      <c r="AG25" s="121">
        <f>SUMIF(GERAL!A$8:A$1696,A25,GERAL!AD$8:AD$1696)</f>
        <v>0</v>
      </c>
      <c r="AH25" s="121">
        <f>SUMIF(GERAL!A$8:A$1696,A25,GERAL!AI$8:AI$1696)</f>
        <v>5243</v>
      </c>
      <c r="AI25" s="121">
        <f>SUMIF(GERAL!A$8:A$1696,A25,GERAL!AV$8:AV$1696)</f>
        <v>789</v>
      </c>
      <c r="AJ25" s="124">
        <f t="shared" si="3"/>
        <v>6032</v>
      </c>
      <c r="AK25" s="116">
        <f>COUNTIFS(GERAL!A$8:A$1696,A25,GERAL!AW$8:AW$1696,"&gt;0",GERAL!C$8:C$1696,"ESCOLA")</f>
        <v>22</v>
      </c>
      <c r="AL25" s="118">
        <f>COUNTIFS(GERAL!A$8:A$1696,A25,GERAL!AW$8:AW$1696,"&gt;0",GERAL!C$8:C$1696,"ANEXO")</f>
        <v>0</v>
      </c>
      <c r="AM25" s="118">
        <f>COUNTIFS('BALANÇO POR MUNICIPIOS'!$AL$18:$AL$434,"&gt;0",'BALANÇO POR MUNICIPIOS'!$AM$18:$AM$434,A25)</f>
        <v>19</v>
      </c>
      <c r="AN25" s="118">
        <f>COUNTIFS('BALANÇO POR MUNICIPIOS'!$AL$18:$AL$434,"=0",'BALANÇO POR MUNICIPIOS'!$AM$18:$AM$434,A25)</f>
        <v>0</v>
      </c>
      <c r="AO25" s="176">
        <f>SUMIF(GERAL!A$8:A$1696,A25,GERAL!AS$8:AS$1696)+SUMIF(GERAL!A$8:A$1696,A25,GERAL!AT$8:AT$1696)</f>
        <v>4470</v>
      </c>
      <c r="AP25" s="176">
        <f>SUMIF(GERAL!A$8:A$1696,A25,GERAL!AU$8:AU$1696)</f>
        <v>2305</v>
      </c>
      <c r="AQ25" s="176">
        <f>SUMIF(GERAL!A$8:A$1696,A25,GERAL!AV$8:AV$1696)</f>
        <v>789</v>
      </c>
      <c r="AR25" s="177">
        <f>SUMIF(GERAL!A$8:A$1696,A25,GERAL!AW$8:AW$1696)</f>
        <v>7564</v>
      </c>
      <c r="AS25" s="116">
        <f>COUNTIFS(GERAL!A$8:A$1696,A25,GERAL!AJ$8:AJ$1696,"&gt;0",GERAL!C$8:C$1696,"ESCOLA")</f>
        <v>30</v>
      </c>
      <c r="AT25" s="118">
        <f>COUNTIFS(GERAL!A$8:A$1696,A25,GERAL!AJ$8:AJ$1696,"&gt;0",GERAL!C$8:C$1696,"ANEXO")</f>
        <v>3</v>
      </c>
      <c r="AU25" s="118">
        <f>COUNTIFS(GERAL!A$8:A$1696,A25,GERAL!AJ$8:AJ$1696,"&gt;0",GERAL!C$8:C$1696,"EFA")</f>
        <v>0</v>
      </c>
      <c r="AV25" s="118">
        <f>COUNTIFS('BALANÇO POR MUNICIPIOS'!$F$18:$F$434,"&gt;0",'BALANÇO POR MUNICIPIOS'!$AM$18:$AM$434,A25)</f>
        <v>19</v>
      </c>
      <c r="AW25" s="178">
        <f>COUNTIFS('BALANÇO POR MUNICIPIOS'!$F$18:$F$434,"=0",'BALANÇO POR MUNICIPIOS'!$AM$18:$AM$434,A25)</f>
        <v>0</v>
      </c>
      <c r="AX25" s="177">
        <f>SUMIF(GERAL!A$8:A$1696,A25,GERAL!AF$8:AF$1696)+SUMIF(GERAL!A$8:A$1696,A25,GERAL!AG$8:AG$1696)</f>
        <v>5932</v>
      </c>
      <c r="AY25" s="177">
        <f>SUMIF(GERAL!A$8:A$1696,A25,GERAL!AH$8:AH$1696)</f>
        <v>0</v>
      </c>
      <c r="AZ25" s="177">
        <f>SUMIF(GERAL!A$8:A$1696,A25,GERAL!AI$8:AI$1696)</f>
        <v>5243</v>
      </c>
      <c r="BA25" s="134">
        <f>SUMIF(GERAL!A$8:A$1696,A25,GERAL!AJ$8:AJ$1696)</f>
        <v>11175</v>
      </c>
      <c r="BB25" s="116">
        <f>COUNTIFS(GERAL!A$8:A$1696,A25,GERAL!AR$8:AR$1696,"&gt;0",GERAL!C$8:C$1696,"ESCOLA")</f>
        <v>27</v>
      </c>
      <c r="BC25" s="118">
        <f>COUNTIFS(GERAL!A$8:A$1696,A25,GERAL!AR$8:AR$1696,"&gt;0",GERAL!C$8:C$1696,"ANEXO")</f>
        <v>2</v>
      </c>
      <c r="BD25" s="118">
        <f>COUNTIFS(GERAL!A$8:A$1696,A25,GERAL!AR$8:AR$1696,"&gt;0",GERAL!C$8:C$1696,"EFA")</f>
        <v>0</v>
      </c>
      <c r="BE25" s="118">
        <f>COUNTIFS('BALANÇO POR MUNICIPIOS'!$H$18:$H$434,"&gt;0",'BALANÇO POR MUNICIPIOS'!$AM$18:$AM$434,A25)</f>
        <v>19</v>
      </c>
      <c r="BF25" s="118">
        <f>COUNTIFS('BALANÇO POR MUNICIPIOS'!$H$18:$H$434,"=0",'BALANÇO POR MUNICIPIOS'!$AM$18:$AM$434,A25)</f>
        <v>0</v>
      </c>
      <c r="BG25" s="177">
        <f>SUMIF(GERAL!A$8:A$1696,A25,GERAL!AO$8:AO$1696)+SUMIF(GERAL!A$8:A$1696,A25,GERAL!AP$8:AP$1696)</f>
        <v>0</v>
      </c>
      <c r="BH25" s="177">
        <f>SUMIF(GERAL!A$8:A$1696,A25,GERAL!AQ$8:AQ$1696)</f>
        <v>2728</v>
      </c>
      <c r="BI25" s="124">
        <f>SUMIF(GERAL!A$8:A$1696,A25,GERAL!AR$8:AR$1696)</f>
        <v>2728</v>
      </c>
      <c r="BJ25" s="116">
        <f>COUNTIFS(GERAL!A$8:A$1696,A25,GERAL!AR$8:AR$1696,"&gt;0",GERAL!AJ$8:AJ$1696,"&gt;0",GERAL!C$8:C$1696,"ESCOLA")</f>
        <v>27</v>
      </c>
      <c r="BK25" s="118">
        <f>COUNTIFS(GERAL!A$8:A$1696,A25,GERAL!AR$8:AR$1696,"&gt;0",GERAL!AJ$8:AJ$1696,"&gt;0",GERAL!C$8:C$1696,"ANEXO")</f>
        <v>1</v>
      </c>
      <c r="BL25" s="118">
        <f>COUNTIFS('BALANÇO POR MUNICIPIOS'!$AM$18:$AM$434,A25,'BALANÇO POR MUNICIPIOS'!$H$18:$H$434,"&gt;0",'BALANÇO POR MUNICIPIOS'!$F$18:$F$434,"&gt;0")</f>
        <v>19</v>
      </c>
      <c r="BM25" s="118">
        <f t="shared" si="4"/>
        <v>13903</v>
      </c>
      <c r="BN25" s="116">
        <f>COUNTIFS(GERAL!A$8:A$1696,A25,GERAL!AN$8:AN$1696,"&gt;0",GERAL!C$8:C$1696,"ESCOLA")</f>
        <v>0</v>
      </c>
      <c r="BO25" s="118">
        <f>COUNTIFS(GERAL!A$8:A$1696,A25,GERAL!AN$8:AN$1696,"&gt;0",GERAL!C$8:C$1696,"ANEXO")</f>
        <v>0</v>
      </c>
      <c r="BP25" s="118">
        <f>COUNTIFS(GERAL!A$8:A$1696,A25,GERAL!AN$8:AN$1696,"&gt;0",GERAL!C$8:C$1696,"EFA")</f>
        <v>0</v>
      </c>
      <c r="BQ25" s="118">
        <f>COUNTIFS('BALANÇO POR MUNICIPIOS'!$G$18:$G$434,"&gt;0",'BALANÇO POR MUNICIPIOS'!$AM$18:$AM$434,A25)</f>
        <v>0</v>
      </c>
      <c r="BR25" s="118">
        <f>COUNTIFS('BALANÇO POR MUNICIPIOS'!$G$18:$G$434,"=0",'BALANÇO POR MUNICIPIOS'!$AM$18:$AM$434,A25)</f>
        <v>19</v>
      </c>
      <c r="BS25" s="177">
        <f>SUMIF(GERAL!A$8:A$1696,A25,GERAL!AK$8:AK$1696)+SUMIF(GERAL!A$8:A$1696,A25,GERAL!AL$8:AL$1696)</f>
        <v>0</v>
      </c>
      <c r="BT25" s="177">
        <f>SUMIF(GERAL!A$8:A$1696,A25,GERAL!AM$8:AM$1696)</f>
        <v>0</v>
      </c>
      <c r="BU25" s="118">
        <f>SUMIF(GERAL!A$8:A$1696,A25,GERAL!AN$8:AN$1696)</f>
        <v>0</v>
      </c>
      <c r="BV25" s="207">
        <f>COUNTIFS(GERAL!A$8:A$1696,A25,GERAL!AE$8:AE$1696,"&gt;0",GERAL!C$8:C$1696,"ESCOLA")</f>
        <v>0</v>
      </c>
      <c r="BW25" s="207">
        <f>COUNTIFS(GERAL!A$8:A$1696,A25,GERAL!AE$8:AE$1696,"&gt;0",GERAL!C$8:C$1696,"ANEXO")</f>
        <v>0</v>
      </c>
      <c r="BX25" s="207">
        <f>COUNTIFS(GERAL!A$8:A$1696,A25,GERAL!AE$8:AE$1696,"&gt;0",GERAL!C$8:C$1696,"EFA")</f>
        <v>0</v>
      </c>
      <c r="BY25" s="177">
        <f>COUNTIFS('BALANÇO POR MUNICIPIOS'!$E$18:$E$434,"&gt;0",'BALANÇO POR MUNICIPIOS'!$AM$18:$AM$434,A25)</f>
        <v>0</v>
      </c>
      <c r="BZ25" s="177">
        <f>COUNTIFS('BALANÇO POR MUNICIPIOS'!$E$18:$E$434,"=0",'BALANÇO POR MUNICIPIOS'!$AM$18:$AM$434,A25)</f>
        <v>19</v>
      </c>
      <c r="CA25" s="177">
        <f>SUMIF(GERAL!A$8:A$1696,A25,GERAL!AA$8:AA$1696)+SUMIF(GERAL!A$8:A$1696,A25,GERAL!AB$8:AB$1696)</f>
        <v>0</v>
      </c>
      <c r="CB25" s="177">
        <f>SUMIF(GERAL!A$8:A$1696,A25,GERAL!AC$8:AC$1696)</f>
        <v>0</v>
      </c>
      <c r="CC25" s="118">
        <f>SUMIF(GERAL!A$8:A$1696,A25,GERAL!AE$8:AE$1696)</f>
        <v>0</v>
      </c>
      <c r="CD25" s="118">
        <f>COUNTIFS(GERAL!A$8:A$1696,A25,GERAL!Z$8:Z$1696,"&gt;0",GERAL!C$8:C$1696,"ESCOLA")</f>
        <v>0</v>
      </c>
      <c r="CE25" s="118">
        <f>COUNTIFS(GERAL!A$8:A$1696,A25,GERAL!Z$8:Z$1696,"&gt;0",GERAL!C$8:C$1696,"ANEXO")</f>
        <v>0</v>
      </c>
      <c r="CF25" s="118">
        <f>COUNTIFS(GERAL!A$8:A$1696,A25,GERAL!Z$8:Z$1696,"&gt;0",GERAL!C$8:C$1696,"EFA")</f>
        <v>0</v>
      </c>
      <c r="CG25" s="177">
        <f>COUNTIFS('BALANÇO POR MUNICIPIOS'!$D$18:$D$434,"&gt;0",'BALANÇO POR MUNICIPIOS'!$AM$18:$AM$434,A25)</f>
        <v>0</v>
      </c>
      <c r="CH25" s="177">
        <f>COUNTIFS('BALANÇO POR MUNICIPIOS'!$D$18:$D$434,"=0",'BALANÇO POR MUNICIPIOS'!$AM$18:$AM$434,A25)</f>
        <v>19</v>
      </c>
      <c r="CI25" s="177">
        <f>SUMIF(GERAL!A$8:A$1696,A25,GERAL!V$8:V$1696)+SUMIF(GERAL!A$8:A$1696,A25,GERAL!W$8:W$1696)</f>
        <v>0</v>
      </c>
      <c r="CJ25" s="118">
        <f>SUMIF(GERAL!A$8:A$1696,A25,GERAL!Z$8:Z$1696)</f>
        <v>0</v>
      </c>
      <c r="CK25" s="118">
        <f>COUNTIFS(GERAL!$A$8:$A32,A25,GERAL!$BD$8:$BD32,"CEMIT",GERAL!$C$8:$C32,"ESCOLA")</f>
        <v>0</v>
      </c>
      <c r="CL25" s="118">
        <f>COUNTIFS(GERAL!$A$8:$A32,A25,GERAL!$BD$8:$BD32,"CEMIT",GERAL!$C$8:$C32,"ANEXO")</f>
        <v>0</v>
      </c>
      <c r="CM25" s="118">
        <f>SUMIFS(GERAL!$BB$8:$BB32,GERAL!$A$8:$A32,A25,GERAL!$BD$8:$BD32,"CEMIT")</f>
        <v>0</v>
      </c>
    </row>
    <row r="26">
      <c r="A26" s="135" t="s">
        <v>1535</v>
      </c>
      <c r="B26" s="75">
        <f>COUNTIFS(GERAL!$A$8:$A32,A26,GERAL!$C$8:$C32,"ESCOLA")</f>
        <v>32</v>
      </c>
      <c r="C26" s="75">
        <f>COUNTIFS(GERAL!A$8:A$1696,A26,GERAL!C$8:C$1696,"ANEXO")</f>
        <v>17</v>
      </c>
      <c r="D26" s="75">
        <f>COUNTIFS(GERAL!A$8:A$1696,A26,GERAL!C$8:C$1696,"EFA")</f>
        <v>0</v>
      </c>
      <c r="E26" s="85">
        <f>SUMIF(GERAL!A$8:A$1696,A26,GERAL!Z$8:Z$1696)</f>
        <v>0</v>
      </c>
      <c r="F26" s="85">
        <f>SUMIF(GERAL!A$8:A$1696,A26,GERAL!AE$8:AE$1696)</f>
        <v>1006</v>
      </c>
      <c r="G26" s="85">
        <f>SUMIF(GERAL!A$8:A$1696,A26,GERAL!AJ$8:AJ$1696)</f>
        <v>7109</v>
      </c>
      <c r="H26" s="85">
        <f>SUMIF(GERAL!A$8:A$1696,A26,GERAL!AN$8:AN$1696)</f>
        <v>210</v>
      </c>
      <c r="I26" s="85">
        <f>SUMIF(GERAL!A$8:A$1696,A26,GERAL!AR$8:AW$1696)</f>
        <v>2605</v>
      </c>
      <c r="J26" s="85">
        <f>SUMIF(GERAL!A$8:A$1696,A26,GERAL!AW$8:AW$1696)</f>
        <v>4155</v>
      </c>
      <c r="K26" s="88">
        <f>SUMIF(GERAL!A$8:A$1696,A26,GERAL!AX$8:AX$1696)</f>
        <v>15085</v>
      </c>
      <c r="L26" s="95">
        <f>COUNTIFS(GERAL!A$8:A$1696,A26,GERAL!AY$8:AY$1696,"&gt;0",GERAL!C$8:C$1696,"ESCOLA")</f>
        <v>28</v>
      </c>
      <c r="M26" s="75">
        <f>COUNTIFS(GERAL!A$8:A$1696,A26,GERAL!AY$8:AY$1696,"&gt;0",GERAL!C$8:C$1696,"ANEXO")</f>
        <v>7</v>
      </c>
      <c r="N26" s="100">
        <f>SUMIF(GERAL!A$8:A$1696,A26,GERAL!V$8:V$1696)+SUMIF(GERAL!A$8:A$1696,A26,GERAL!W$8:W$1696)</f>
        <v>0</v>
      </c>
      <c r="O26" s="100">
        <f>SUMIF(GERAL!A$8:A$1696,A26,GERAL!AA$8:AA$1696)+SUMIF(GERAL!A$8:A$1696,A26,GERAL!AB$8:AB$1696)</f>
        <v>946</v>
      </c>
      <c r="P26" s="100">
        <f>SUMIF(GERAL!A$8:A$1696,A26,GERAL!AF$8:AF$1696)+SUMIF(GERAL!A$8:A$1696,A26,GERAL!AG$8:AG$1696)</f>
        <v>3521</v>
      </c>
      <c r="Q26" s="100">
        <f>SUMIF(GERAL!A$8:A$1696,A26,GERAL!AK$8:AK$1696)+SUMIF(GERAL!A$8:A$1696,A26,GERAL!AL$8:AL$1696)</f>
        <v>210</v>
      </c>
      <c r="R26" s="100">
        <f>SUMIF(GERAL!A$8:A$1696,A26,GERAL!AO$8:AO$1696)+SUMIF(GERAL!A$8:A$1696,A26,GERAL!AP$8:AP$1696)</f>
        <v>78</v>
      </c>
      <c r="S26" s="100">
        <f>SUMIF(GERAL!A$8:A$1696,A26,GERAL!AS$8:AS$1696)+SUMIF(GERAL!A$8:A$1696,A26,GERAL!AT$8:AT$1696)</f>
        <v>1536</v>
      </c>
      <c r="T26" s="103">
        <f t="shared" si="1"/>
        <v>6291</v>
      </c>
      <c r="U26" s="75">
        <f>COUNTIFS(GERAL!A$8:A$1696,A26,GERAL!AZ$8:AZ$1696,"&gt;0",GERAL!C$8:C$1696,"ESCOLA")</f>
        <v>26</v>
      </c>
      <c r="V26" s="75">
        <f>COUNTIFS(GERAL!A$8:A$1696,A26,GERAL!AZ$8:AZ$1696,"&gt;0",GERAL!C$8:C$1696,"ANEXO")</f>
        <v>14</v>
      </c>
      <c r="W26" s="85">
        <f>SUMIF(GERAL!A$8:A$1696,A26,GERAL!AH$8:AH$1696)</f>
        <v>296</v>
      </c>
      <c r="X26" s="85">
        <f>SUMIF(GERAL!A$8:A$1696,A26,GERAL!AM$8:AM$1696)</f>
        <v>0</v>
      </c>
      <c r="Y26" s="85">
        <f>SUMIF(GERAL!A$8:A$1696,A26,GERAL!AQ$8:AQ$1696)</f>
        <v>2527</v>
      </c>
      <c r="Z26" s="85">
        <f>SUMIF(GERAL!A$8:A$1696,A26,GERAL!AU$8:AU$1696)</f>
        <v>1594</v>
      </c>
      <c r="AA26" s="88">
        <f t="shared" si="2"/>
        <v>4417</v>
      </c>
      <c r="AB26" s="116">
        <f>COUNTIFS(GERAL!A$8:A$1696,A26,GERAL!BK$8:BK$1696,"&gt;0",GERAL!C$8:C$1696,"ESCOLA")</f>
        <v>24</v>
      </c>
      <c r="AC26" s="118">
        <f>COUNTIFS(GERAL!A$8:A$1696,A26,GERAL!BK$8:BK$1696,"&gt;0",GERAL!C$8:C$1696,"ANEXO")</f>
        <v>0</v>
      </c>
      <c r="AD26" s="118">
        <f>COUNTIFS(GERAL!A$8:A$1696,A26,GERAL!BK$8:BK$1696,"&gt;0",GERAL!C$8:C$1696,"EFA")</f>
        <v>0</v>
      </c>
      <c r="AE26" s="118">
        <f>COUNTIFS('BALANÇO POR MUNICIPIOS'!$AF$18:$AF$434,"&gt;0",'BALANÇO POR MUNICIPIOS'!$AM$18:$AM$434,A26)</f>
        <v>16</v>
      </c>
      <c r="AF26" s="118">
        <f>COUNTIFS('BALANÇO POR MUNICIPIOS'!$AF$18:$AF$434,"=0",'BALANÇO POR MUNICIPIOS'!$AM$18:$AM$434,A26)</f>
        <v>0</v>
      </c>
      <c r="AG26" s="121">
        <f>SUMIF(GERAL!A$8:A$1696,A26,GERAL!AD$8:AD$1696)</f>
        <v>60</v>
      </c>
      <c r="AH26" s="121">
        <f>SUMIF(GERAL!A$8:A$1696,A26,GERAL!AI$8:AI$1696)</f>
        <v>3292</v>
      </c>
      <c r="AI26" s="121">
        <f>SUMIF(GERAL!A$8:A$1696,A26,GERAL!AV$8:AV$1696)</f>
        <v>1025</v>
      </c>
      <c r="AJ26" s="124">
        <f t="shared" si="3"/>
        <v>4377</v>
      </c>
      <c r="AK26" s="116">
        <f>COUNTIFS(GERAL!A$8:A$1696,A26,GERAL!AW$8:AW$1696,"&gt;0",GERAL!C$8:C$1696,"ESCOLA")</f>
        <v>21</v>
      </c>
      <c r="AL26" s="118">
        <f>COUNTIFS(GERAL!A$8:A$1696,A26,GERAL!AW$8:AW$1696,"&gt;0",GERAL!C$8:C$1696,"ANEXO")</f>
        <v>0</v>
      </c>
      <c r="AM26" s="118">
        <f>COUNTIFS('BALANÇO POR MUNICIPIOS'!$AL$18:$AL$434,"&gt;0",'BALANÇO POR MUNICIPIOS'!$AM$18:$AM$434,A26)</f>
        <v>16</v>
      </c>
      <c r="AN26" s="118">
        <f>COUNTIFS('BALANÇO POR MUNICIPIOS'!$AL$18:$AL$434,"=0",'BALANÇO POR MUNICIPIOS'!$AM$18:$AM$434,A26)</f>
        <v>0</v>
      </c>
      <c r="AO26" s="176">
        <f>SUMIF(GERAL!A$8:A$1696,A26,GERAL!AS$8:AS$1696)+SUMIF(GERAL!A$8:A$1696,A26,GERAL!AT$8:AT$1696)</f>
        <v>1536</v>
      </c>
      <c r="AP26" s="176">
        <f>SUMIF(GERAL!A$8:A$1696,A26,GERAL!AU$8:AU$1696)</f>
        <v>1594</v>
      </c>
      <c r="AQ26" s="176">
        <f>SUMIF(GERAL!A$8:A$1696,A26,GERAL!AV$8:AV$1696)</f>
        <v>1025</v>
      </c>
      <c r="AR26" s="177">
        <f>SUMIF(GERAL!A$8:A$1696,A26,GERAL!AW$8:AW$1696)</f>
        <v>4155</v>
      </c>
      <c r="AS26" s="116">
        <f>COUNTIFS(GERAL!A$8:A$1696,A26,GERAL!AJ$8:AJ$1696,"&gt;0",GERAL!C$8:C$1696,"ESCOLA")</f>
        <v>26</v>
      </c>
      <c r="AT26" s="118">
        <f>COUNTIFS(GERAL!A$8:A$1696,A26,GERAL!AJ$8:AJ$1696,"&gt;0",GERAL!C$8:C$1696,"ANEXO")</f>
        <v>13</v>
      </c>
      <c r="AU26" s="118">
        <f>COUNTIFS(GERAL!A$8:A$1696,A26,GERAL!AJ$8:AJ$1696,"&gt;0",GERAL!C$8:C$1696,"EFA")</f>
        <v>0</v>
      </c>
      <c r="AV26" s="118">
        <f>COUNTIFS('BALANÇO POR MUNICIPIOS'!$F$18:$F$434,"&gt;0",'BALANÇO POR MUNICIPIOS'!$AM$18:$AM$434,A26)</f>
        <v>16</v>
      </c>
      <c r="AW26" s="178">
        <f>COUNTIFS('BALANÇO POR MUNICIPIOS'!$F$18:$F$434,"=0",'BALANÇO POR MUNICIPIOS'!$AM$18:$AM$434,A26)</f>
        <v>0</v>
      </c>
      <c r="AX26" s="177">
        <f>SUMIF(GERAL!A$8:A$1696,A26,GERAL!AF$8:AF$1696)+SUMIF(GERAL!A$8:A$1696,A26,GERAL!AG$8:AG$1696)</f>
        <v>3521</v>
      </c>
      <c r="AY26" s="177">
        <f>SUMIF(GERAL!A$8:A$1696,A26,GERAL!AH$8:AH$1696)</f>
        <v>296</v>
      </c>
      <c r="AZ26" s="177">
        <f>SUMIF(GERAL!A$8:A$1696,A26,GERAL!AI$8:AI$1696)</f>
        <v>3292</v>
      </c>
      <c r="BA26" s="134">
        <f>SUMIF(GERAL!A$8:A$1696,A26,GERAL!AJ$8:AJ$1696)</f>
        <v>7109</v>
      </c>
      <c r="BB26" s="116">
        <f>COUNTIFS(GERAL!A$8:A$1696,A26,GERAL!AR$8:AR$1696,"&gt;0",GERAL!C$8:C$1696,"ESCOLA")</f>
        <v>23</v>
      </c>
      <c r="BC26" s="118">
        <f>COUNTIFS(GERAL!A$8:A$1696,A26,GERAL!AR$8:AR$1696,"&gt;0",GERAL!C$8:C$1696,"ANEXO")</f>
        <v>7</v>
      </c>
      <c r="BD26" s="118">
        <f>COUNTIFS(GERAL!A$8:A$1696,A26,GERAL!AR$8:AR$1696,"&gt;0",GERAL!C$8:C$1696,"EFA")</f>
        <v>0</v>
      </c>
      <c r="BE26" s="118">
        <f>COUNTIFS('BALANÇO POR MUNICIPIOS'!$H$18:$H$434,"&gt;0",'BALANÇO POR MUNICIPIOS'!$AM$18:$AM$434,A26)</f>
        <v>16</v>
      </c>
      <c r="BF26" s="118">
        <f>COUNTIFS('BALANÇO POR MUNICIPIOS'!$H$18:$H$434,"=0",'BALANÇO POR MUNICIPIOS'!$AM$18:$AM$434,A26)</f>
        <v>0</v>
      </c>
      <c r="BG26" s="177">
        <f>SUMIF(GERAL!A$8:A$1696,A26,GERAL!AO$8:AO$1696)+SUMIF(GERAL!A$8:A$1696,A26,GERAL!AP$8:AP$1696)</f>
        <v>78</v>
      </c>
      <c r="BH26" s="177">
        <f>SUMIF(GERAL!A$8:A$1696,A26,GERAL!AQ$8:AQ$1696)</f>
        <v>2527</v>
      </c>
      <c r="BI26" s="124">
        <f>SUMIF(GERAL!A$8:A$1696,A26,GERAL!AR$8:AR$1696)</f>
        <v>2605</v>
      </c>
      <c r="BJ26" s="116">
        <f>COUNTIFS(GERAL!A$8:A$1696,A26,GERAL!AR$8:AR$1696,"&gt;0",GERAL!AJ$8:AJ$1696,"&gt;0",GERAL!C$8:C$1696,"ESCOLA")</f>
        <v>23</v>
      </c>
      <c r="BK26" s="118">
        <f>COUNTIFS(GERAL!A$8:A$1696,A26,GERAL!AR$8:AR$1696,"&gt;0",GERAL!AJ$8:AJ$1696,"&gt;0",GERAL!C$8:C$1696,"ANEXO")</f>
        <v>3</v>
      </c>
      <c r="BL26" s="118">
        <f>COUNTIFS('BALANÇO POR MUNICIPIOS'!$AM$18:$AM$434,A26,'BALANÇO POR MUNICIPIOS'!$H$18:$H$434,"&gt;0",'BALANÇO POR MUNICIPIOS'!$F$18:$F$434,"&gt;0")</f>
        <v>16</v>
      </c>
      <c r="BM26" s="118">
        <f t="shared" si="4"/>
        <v>9714</v>
      </c>
      <c r="BN26" s="116">
        <f>COUNTIFS(GERAL!A$8:A$1696,A26,GERAL!AN$8:AN$1696,"&gt;0",GERAL!C$8:C$1696,"ESCOLA")</f>
        <v>0</v>
      </c>
      <c r="BO26" s="118">
        <f>COUNTIFS(GERAL!A$8:A$1696,A26,GERAL!AN$8:AN$1696,"&gt;0",GERAL!C$8:C$1696,"ANEXO")</f>
        <v>1</v>
      </c>
      <c r="BP26" s="118">
        <f>COUNTIFS(GERAL!A$8:A$1696,A26,GERAL!AN$8:AN$1696,"&gt;0",GERAL!C$8:C$1696,"EFA")</f>
        <v>0</v>
      </c>
      <c r="BQ26" s="118">
        <f>COUNTIFS('BALANÇO POR MUNICIPIOS'!$G$18:$G$434,"&gt;0",'BALANÇO POR MUNICIPIOS'!$AM$18:$AM$434,A26)</f>
        <v>1</v>
      </c>
      <c r="BR26" s="118">
        <f>COUNTIFS('BALANÇO POR MUNICIPIOS'!$G$18:$G$434,"=0",'BALANÇO POR MUNICIPIOS'!$AM$18:$AM$434,A26)</f>
        <v>15</v>
      </c>
      <c r="BS26" s="177">
        <f>SUMIF(GERAL!A$8:A$1696,A26,GERAL!AK$8:AK$1696)+SUMIF(GERAL!A$8:A$1696,A26,GERAL!AL$8:AL$1696)</f>
        <v>210</v>
      </c>
      <c r="BT26" s="177">
        <f>SUMIF(GERAL!A$8:A$1696,A26,GERAL!AM$8:AM$1696)</f>
        <v>0</v>
      </c>
      <c r="BU26" s="118">
        <f>SUMIF(GERAL!A$8:A$1696,A26,GERAL!AN$8:AN$1696)</f>
        <v>210</v>
      </c>
      <c r="BV26" s="207">
        <f>COUNTIFS(GERAL!A$8:A$1696,A26,GERAL!AE$8:AE$1696,"&gt;0",GERAL!C$8:C$1696,"ESCOLA")</f>
        <v>3</v>
      </c>
      <c r="BW26" s="207">
        <f>COUNTIFS(GERAL!A$8:A$1696,A26,GERAL!AE$8:AE$1696,"&gt;0",GERAL!C$8:C$1696,"ANEXO")</f>
        <v>0</v>
      </c>
      <c r="BX26" s="207">
        <f>COUNTIFS(GERAL!A$8:A$1696,A26,GERAL!AE$8:AE$1696,"&gt;0",GERAL!C$8:C$1696,"EFA")</f>
        <v>0</v>
      </c>
      <c r="BY26" s="177">
        <f>COUNTIFS('BALANÇO POR MUNICIPIOS'!$E$18:$E$434,"&gt;0",'BALANÇO POR MUNICIPIOS'!$AM$18:$AM$434,A26)</f>
        <v>1</v>
      </c>
      <c r="BZ26" s="177">
        <f>COUNTIFS('BALANÇO POR MUNICIPIOS'!$E$18:$E$434,"=0",'BALANÇO POR MUNICIPIOS'!$AM$18:$AM$434,A26)</f>
        <v>15</v>
      </c>
      <c r="CA26" s="177">
        <f>SUMIF(GERAL!A$8:A$1696,A26,GERAL!AA$8:AA$1696)+SUMIF(GERAL!A$8:A$1696,A26,GERAL!AB$8:AB$1696)</f>
        <v>946</v>
      </c>
      <c r="CB26" s="177">
        <f>SUMIF(GERAL!A$8:A$1696,A26,GERAL!AC$8:AC$1696)</f>
        <v>0</v>
      </c>
      <c r="CC26" s="118">
        <f>SUMIF(GERAL!A$8:A$1696,A26,GERAL!AE$8:AE$1696)</f>
        <v>1006</v>
      </c>
      <c r="CD26" s="118">
        <f>COUNTIFS(GERAL!A$8:A$1696,A26,GERAL!Z$8:Z$1696,"&gt;0",GERAL!C$8:C$1696,"ESCOLA")</f>
        <v>0</v>
      </c>
      <c r="CE26" s="118">
        <f>COUNTIFS(GERAL!A$8:A$1696,A26,GERAL!Z$8:Z$1696,"&gt;0",GERAL!C$8:C$1696,"ANEXO")</f>
        <v>0</v>
      </c>
      <c r="CF26" s="118">
        <f>COUNTIFS(GERAL!A$8:A$1696,A26,GERAL!Z$8:Z$1696,"&gt;0",GERAL!C$8:C$1696,"EFA")</f>
        <v>0</v>
      </c>
      <c r="CG26" s="177">
        <f>COUNTIFS('BALANÇO POR MUNICIPIOS'!$D$18:$D$434,"&gt;0",'BALANÇO POR MUNICIPIOS'!$AM$18:$AM$434,A26)</f>
        <v>0</v>
      </c>
      <c r="CH26" s="177">
        <f>COUNTIFS('BALANÇO POR MUNICIPIOS'!$D$18:$D$434,"=0",'BALANÇO POR MUNICIPIOS'!$AM$18:$AM$434,A26)</f>
        <v>16</v>
      </c>
      <c r="CI26" s="177">
        <f>SUMIF(GERAL!A$8:A$1696,A26,GERAL!V$8:V$1696)+SUMIF(GERAL!A$8:A$1696,A26,GERAL!W$8:W$1696)</f>
        <v>0</v>
      </c>
      <c r="CJ26" s="118">
        <f>SUMIF(GERAL!A$8:A$1696,A26,GERAL!Z$8:Z$1696)</f>
        <v>0</v>
      </c>
      <c r="CK26" s="118">
        <f>COUNTIFS(GERAL!$A$8:$A32,A26,GERAL!$BD$8:$BD32,"CEMIT",GERAL!$C$8:$C32,"ESCOLA")</f>
        <v>1</v>
      </c>
      <c r="CL26" s="118">
        <f>COUNTIFS(GERAL!$A$8:$A32,A26,GERAL!$BD$8:$BD32,"CEMIT",GERAL!$C$8:$C32,"ANEXO")</f>
        <v>8</v>
      </c>
      <c r="CM26" s="118">
        <f>SUMIFS(GERAL!$BB$8:$BB32,GERAL!$A$8:$A32,A26,GERAL!$BD$8:$BD32,"CEMIT")</f>
        <v>341</v>
      </c>
    </row>
    <row r="27">
      <c r="A27" s="151" t="s">
        <v>1573</v>
      </c>
      <c r="B27" s="75">
        <f>COUNTIFS(GERAL!$A$8:$A32,A27,GERAL!$C$8:$C32,"ESCOLA")</f>
        <v>14</v>
      </c>
      <c r="C27" s="75">
        <f>COUNTIFS(GERAL!A$8:A$1696,A27,GERAL!C$8:C$1696,"ANEXO")</f>
        <v>19</v>
      </c>
      <c r="D27" s="75">
        <f>COUNTIFS(GERAL!A$8:A$1696,A27,GERAL!C$8:C$1696,"EFA")</f>
        <v>3</v>
      </c>
      <c r="E27" s="85">
        <f>SUMIF(GERAL!A$8:A$1696,A27,GERAL!Z$8:Z$1696)</f>
        <v>0</v>
      </c>
      <c r="F27" s="85">
        <f>SUMIF(GERAL!A$8:A$1696,A27,GERAL!AE$8:AE$1696)</f>
        <v>129</v>
      </c>
      <c r="G27" s="85">
        <f>SUMIF(GERAL!A$8:A$1696,A27,GERAL!AJ$8:AJ$1696)</f>
        <v>6244</v>
      </c>
      <c r="H27" s="85">
        <f>SUMIF(GERAL!A$8:A$1696,A27,GERAL!AN$8:AN$1696)</f>
        <v>0</v>
      </c>
      <c r="I27" s="85">
        <f>SUMIF(GERAL!A$8:A$1696,A27,GERAL!AR$8:AW$1696)</f>
        <v>723</v>
      </c>
      <c r="J27" s="85">
        <f>SUMIF(GERAL!A$8:A$1696,A27,GERAL!AW$8:AW$1696)</f>
        <v>1820</v>
      </c>
      <c r="K27" s="88">
        <f>SUMIF(GERAL!A$8:A$1696,A27,GERAL!AX$8:AX$1696)</f>
        <v>8916</v>
      </c>
      <c r="L27" s="95">
        <f>COUNTIFS(GERAL!A$8:A$1696,A27,GERAL!AY$8:AY$1696,"&gt;0",GERAL!C$8:C$1696,"ESCOLA")</f>
        <v>13</v>
      </c>
      <c r="M27" s="75">
        <f>COUNTIFS(GERAL!A$8:A$1696,A27,GERAL!AY$8:AY$1696,"&gt;0",GERAL!C$8:C$1696,"ANEXO")</f>
        <v>13</v>
      </c>
      <c r="N27" s="100">
        <f>SUMIF(GERAL!A$8:A$1696,A27,GERAL!V$8:V$1696)+SUMIF(GERAL!A$8:A$1696,A27,GERAL!W$8:W$1696)</f>
        <v>0</v>
      </c>
      <c r="O27" s="100">
        <f>SUMIF(GERAL!A$8:A$1696,A27,GERAL!AA$8:AA$1696)+SUMIF(GERAL!A$8:A$1696,A27,GERAL!AB$8:AB$1696)</f>
        <v>0</v>
      </c>
      <c r="P27" s="100">
        <f>SUMIF(GERAL!A$8:A$1696,A27,GERAL!AF$8:AF$1696)+SUMIF(GERAL!A$8:A$1696,A27,GERAL!AG$8:AG$1696)</f>
        <v>4762</v>
      </c>
      <c r="Q27" s="100">
        <f>SUMIF(GERAL!A$8:A$1696,A27,GERAL!AK$8:AK$1696)+SUMIF(GERAL!A$8:A$1696,A27,GERAL!AL$8:AL$1696)</f>
        <v>0</v>
      </c>
      <c r="R27" s="100">
        <f>SUMIF(GERAL!A$8:A$1696,A27,GERAL!AO$8:AO$1696)+SUMIF(GERAL!A$8:A$1696,A27,GERAL!AP$8:AP$1696)</f>
        <v>0</v>
      </c>
      <c r="S27" s="100">
        <f>SUMIF(GERAL!A$8:A$1696,A27,GERAL!AS$8:AS$1696)+SUMIF(GERAL!A$8:A$1696,A27,GERAL!AT$8:AT$1696)</f>
        <v>1285</v>
      </c>
      <c r="T27" s="103">
        <f t="shared" si="1"/>
        <v>6047</v>
      </c>
      <c r="U27" s="75">
        <f>COUNTIFS(GERAL!A$8:A$1696,A27,GERAL!AZ$8:AZ$1696,"&gt;0",GERAL!C$8:C$1696,"ESCOLA")</f>
        <v>12</v>
      </c>
      <c r="V27" s="75">
        <f>COUNTIFS(GERAL!A$8:A$1696,A27,GERAL!AZ$8:AZ$1696,"&gt;0",GERAL!C$8:C$1696,"ANEXO")</f>
        <v>9</v>
      </c>
      <c r="W27" s="85">
        <f>SUMIF(GERAL!A$8:A$1696,A27,GERAL!AH$8:AH$1696)</f>
        <v>136</v>
      </c>
      <c r="X27" s="85">
        <f>SUMIF(GERAL!A$8:A$1696,A27,GERAL!AM$8:AM$1696)</f>
        <v>0</v>
      </c>
      <c r="Y27" s="85">
        <f>SUMIF(GERAL!A$8:A$1696,A27,GERAL!AQ$8:AQ$1696)</f>
        <v>723</v>
      </c>
      <c r="Z27" s="85">
        <f>SUMIF(GERAL!A$8:A$1696,A27,GERAL!AU$8:AU$1696)</f>
        <v>264</v>
      </c>
      <c r="AA27" s="88">
        <f t="shared" si="2"/>
        <v>1123</v>
      </c>
      <c r="AB27" s="116">
        <f>COUNTIFS(GERAL!A$8:A$1696,A27,GERAL!BK$8:BK$1696,"&gt;0",GERAL!C$8:C$1696,"ESCOLA")</f>
        <v>10</v>
      </c>
      <c r="AC27" s="118">
        <f>COUNTIFS(GERAL!A$8:A$1696,A27,GERAL!BK$8:BK$1696,"&gt;0",GERAL!C$8:C$1696,"ANEXO")</f>
        <v>0</v>
      </c>
      <c r="AD27" s="118">
        <f>COUNTIFS(GERAL!A$8:A$1696,A27,GERAL!BK$8:BK$1696,"&gt;0",GERAL!C$8:C$1696,"EFA")</f>
        <v>3</v>
      </c>
      <c r="AE27" s="118">
        <f>COUNTIFS('BALANÇO POR MUNICIPIOS'!$AF$18:$AF$434,"&gt;0",'BALANÇO POR MUNICIPIOS'!$AM$18:$AM$434,A27)</f>
        <v>9</v>
      </c>
      <c r="AF27" s="118">
        <f>COUNTIFS('BALANÇO POR MUNICIPIOS'!$AF$18:$AF$434,"=0",'BALANÇO POR MUNICIPIOS'!$AM$18:$AM$434,A27)</f>
        <v>2</v>
      </c>
      <c r="AG27" s="121">
        <f>SUMIF(GERAL!A$8:A$1696,A27,GERAL!AD$8:AD$1696)</f>
        <v>129</v>
      </c>
      <c r="AH27" s="121">
        <f>SUMIF(GERAL!A$8:A$1696,A27,GERAL!AI$8:AI$1696)</f>
        <v>1346</v>
      </c>
      <c r="AI27" s="121">
        <f>SUMIF(GERAL!A$8:A$1696,A27,GERAL!AV$8:AV$1696)</f>
        <v>271</v>
      </c>
      <c r="AJ27" s="124">
        <f t="shared" si="3"/>
        <v>1746</v>
      </c>
      <c r="AK27" s="116">
        <f>COUNTIFS(GERAL!A$8:A$1696,A27,GERAL!AW$8:AW$1696,"&gt;0",GERAL!C$8:C$1696,"ESCOLA")</f>
        <v>12</v>
      </c>
      <c r="AL27" s="118">
        <f>COUNTIFS(GERAL!A$8:A$1696,A27,GERAL!AW$8:AW$1696,"&gt;0",GERAL!C$8:C$1696,"ANEXO")</f>
        <v>0</v>
      </c>
      <c r="AM27" s="118">
        <f>COUNTIFS('BALANÇO POR MUNICIPIOS'!$AL$18:$AL$434,"&gt;0",'BALANÇO POR MUNICIPIOS'!$AM$18:$AM$434,A27)</f>
        <v>11</v>
      </c>
      <c r="AN27" s="118">
        <f>COUNTIFS('BALANÇO POR MUNICIPIOS'!$AL$18:$AL$434,"=0",'BALANÇO POR MUNICIPIOS'!$AM$18:$AM$434,A27)</f>
        <v>0</v>
      </c>
      <c r="AO27" s="176">
        <f>SUMIF(GERAL!A$8:A$1696,A27,GERAL!AS$8:AS$1696)+SUMIF(GERAL!A$8:A$1696,A27,GERAL!AT$8:AT$1696)</f>
        <v>1285</v>
      </c>
      <c r="AP27" s="176">
        <f>SUMIF(GERAL!A$8:A$1696,A27,GERAL!AU$8:AU$1696)</f>
        <v>264</v>
      </c>
      <c r="AQ27" s="176">
        <f>SUMIF(GERAL!A$8:A$1696,A27,GERAL!AV$8:AV$1696)</f>
        <v>271</v>
      </c>
      <c r="AR27" s="177">
        <f>SUMIF(GERAL!A$8:A$1696,A27,GERAL!AW$8:AW$1696)</f>
        <v>1820</v>
      </c>
      <c r="AS27" s="116">
        <f>COUNTIFS(GERAL!A$8:A$1696,A27,GERAL!AJ$8:AJ$1696,"&gt;0",GERAL!C$8:C$1696,"ESCOLA")</f>
        <v>13</v>
      </c>
      <c r="AT27" s="118">
        <f>COUNTIFS(GERAL!A$8:A$1696,A27,GERAL!AJ$8:AJ$1696,"&gt;0",GERAL!C$8:C$1696,"ANEXO")</f>
        <v>16</v>
      </c>
      <c r="AU27" s="118">
        <f>COUNTIFS(GERAL!A$8:A$1696,A27,GERAL!AJ$8:AJ$1696,"&gt;0",GERAL!C$8:C$1696,"EFA")</f>
        <v>2</v>
      </c>
      <c r="AV27" s="118">
        <f>COUNTIFS('BALANÇO POR MUNICIPIOS'!$F$18:$F$434,"&gt;0",'BALANÇO POR MUNICIPIOS'!$AM$18:$AM$434,A27)</f>
        <v>11</v>
      </c>
      <c r="AW27" s="178">
        <f>COUNTIFS('BALANÇO POR MUNICIPIOS'!$F$18:$F$434,"=0",'BALANÇO POR MUNICIPIOS'!$AM$18:$AM$434,A27)</f>
        <v>0</v>
      </c>
      <c r="AX27" s="177">
        <f>SUMIF(GERAL!A$8:A$1696,A27,GERAL!AF$8:AF$1696)+SUMIF(GERAL!A$8:A$1696,A27,GERAL!AG$8:AG$1696)</f>
        <v>4762</v>
      </c>
      <c r="AY27" s="177">
        <f>SUMIF(GERAL!A$8:A$1696,A27,GERAL!AH$8:AH$1696)</f>
        <v>136</v>
      </c>
      <c r="AZ27" s="177">
        <f>SUMIF(GERAL!A$8:A$1696,A27,GERAL!AI$8:AI$1696)</f>
        <v>1346</v>
      </c>
      <c r="BA27" s="134">
        <f>SUMIF(GERAL!A$8:A$1696,A27,GERAL!AJ$8:AJ$1696)</f>
        <v>6244</v>
      </c>
      <c r="BB27" s="116">
        <f>COUNTIFS(GERAL!A$8:A$1696,A27,GERAL!AR$8:AR$1696,"&gt;0",GERAL!C$8:C$1696,"ESCOLA")</f>
        <v>10</v>
      </c>
      <c r="BC27" s="118">
        <f>COUNTIFS(GERAL!A$8:A$1696,A27,GERAL!AR$8:AR$1696,"&gt;0",GERAL!C$8:C$1696,"ANEXO")</f>
        <v>5</v>
      </c>
      <c r="BD27" s="118">
        <f>COUNTIFS(GERAL!A$8:A$1696,A27,GERAL!AR$8:AR$1696,"&gt;0",GERAL!C$8:C$1696,"EFA")</f>
        <v>0</v>
      </c>
      <c r="BE27" s="118">
        <f>COUNTIFS('BALANÇO POR MUNICIPIOS'!$H$18:$H$434,"&gt;0",'BALANÇO POR MUNICIPIOS'!$AM$18:$AM$434,A27)</f>
        <v>8</v>
      </c>
      <c r="BF27" s="118">
        <f>COUNTIFS('BALANÇO POR MUNICIPIOS'!$H$18:$H$434,"=0",'BALANÇO POR MUNICIPIOS'!$AM$18:$AM$434,A27)</f>
        <v>3</v>
      </c>
      <c r="BG27" s="177">
        <f>SUMIF(GERAL!A$8:A$1696,A27,GERAL!AO$8:AO$1696)+SUMIF(GERAL!A$8:A$1696,A27,GERAL!AP$8:AP$1696)</f>
        <v>0</v>
      </c>
      <c r="BH27" s="177">
        <f>SUMIF(GERAL!A$8:A$1696,A27,GERAL!AQ$8:AQ$1696)</f>
        <v>723</v>
      </c>
      <c r="BI27" s="124">
        <f>SUMIF(GERAL!A$8:A$1696,A27,GERAL!AR$8:AR$1696)</f>
        <v>723</v>
      </c>
      <c r="BJ27" s="116">
        <f>COUNTIFS(GERAL!A$8:A$1696,A27,GERAL!AR$8:AR$1696,"&gt;0",GERAL!AJ$8:AJ$1696,"&gt;0",GERAL!C$8:C$1696,"ESCOLA")</f>
        <v>10</v>
      </c>
      <c r="BK27" s="118">
        <f>COUNTIFS(GERAL!A$8:A$1696,A27,GERAL!AR$8:AR$1696,"&gt;0",GERAL!AJ$8:AJ$1696,"&gt;0",GERAL!C$8:C$1696,"ANEXO")</f>
        <v>2</v>
      </c>
      <c r="BL27" s="118">
        <f>COUNTIFS('BALANÇO POR MUNICIPIOS'!$AM$18:$AM$434,A27,'BALANÇO POR MUNICIPIOS'!$H$18:$H$434,"&gt;0",'BALANÇO POR MUNICIPIOS'!$F$18:$F$434,"&gt;0")</f>
        <v>8</v>
      </c>
      <c r="BM27" s="118">
        <f t="shared" si="4"/>
        <v>6967</v>
      </c>
      <c r="BN27" s="116">
        <f>COUNTIFS(GERAL!A$8:A$1696,A27,GERAL!AN$8:AN$1696,"&gt;0",GERAL!C$8:C$1696,"ESCOLA")</f>
        <v>0</v>
      </c>
      <c r="BO27" s="118">
        <f>COUNTIFS(GERAL!A$8:A$1696,A27,GERAL!AN$8:AN$1696,"&gt;0",GERAL!C$8:C$1696,"ANEXO")</f>
        <v>0</v>
      </c>
      <c r="BP27" s="118">
        <f>COUNTIFS(GERAL!A$8:A$1696,A27,GERAL!AN$8:AN$1696,"&gt;0",GERAL!C$8:C$1696,"EFA")</f>
        <v>0</v>
      </c>
      <c r="BQ27" s="118">
        <f>COUNTIFS('BALANÇO POR MUNICIPIOS'!$G$18:$G$434,"&gt;0",'BALANÇO POR MUNICIPIOS'!$AM$18:$AM$434,A27)</f>
        <v>0</v>
      </c>
      <c r="BR27" s="118">
        <f>COUNTIFS('BALANÇO POR MUNICIPIOS'!$G$18:$G$434,"=0",'BALANÇO POR MUNICIPIOS'!$AM$18:$AM$434,A27)</f>
        <v>11</v>
      </c>
      <c r="BS27" s="177">
        <f>SUMIF(GERAL!A$8:A$1696,A27,GERAL!AK$8:AK$1696)+SUMIF(GERAL!A$8:A$1696,A27,GERAL!AL$8:AL$1696)</f>
        <v>0</v>
      </c>
      <c r="BT27" s="177">
        <f>SUMIF(GERAL!A$8:A$1696,A27,GERAL!AM$8:AM$1696)</f>
        <v>0</v>
      </c>
      <c r="BU27" s="118">
        <f>SUMIF(GERAL!A$8:A$1696,A27,GERAL!AN$8:AN$1696)</f>
        <v>0</v>
      </c>
      <c r="BV27" s="207">
        <f>COUNTIFS(GERAL!A$8:A$1696,A27,GERAL!AE$8:AE$1696,"&gt;0",GERAL!C$8:C$1696,"ESCOLA")</f>
        <v>0</v>
      </c>
      <c r="BW27" s="207">
        <f>COUNTIFS(GERAL!A$8:A$1696,A27,GERAL!AE$8:AE$1696,"&gt;0",GERAL!C$8:C$1696,"ANEXO")</f>
        <v>0</v>
      </c>
      <c r="BX27" s="207">
        <f>COUNTIFS(GERAL!A$8:A$1696,A27,GERAL!AE$8:AE$1696,"&gt;0",GERAL!C$8:C$1696,"EFA")</f>
        <v>1</v>
      </c>
      <c r="BY27" s="177">
        <f>COUNTIFS('BALANÇO POR MUNICIPIOS'!$E$18:$E$434,"&gt;0",'BALANÇO POR MUNICIPIOS'!$AM$18:$AM$434,A27)</f>
        <v>1</v>
      </c>
      <c r="BZ27" s="177">
        <f>COUNTIFS('BALANÇO POR MUNICIPIOS'!$E$18:$E$434,"=0",'BALANÇO POR MUNICIPIOS'!$AM$18:$AM$434,A27)</f>
        <v>10</v>
      </c>
      <c r="CA27" s="177">
        <f>SUMIF(GERAL!A$8:A$1696,A27,GERAL!AA$8:AA$1696)+SUMIF(GERAL!A$8:A$1696,A27,GERAL!AB$8:AB$1696)</f>
        <v>0</v>
      </c>
      <c r="CB27" s="177">
        <f>SUMIF(GERAL!A$8:A$1696,A27,GERAL!AC$8:AC$1696)</f>
        <v>0</v>
      </c>
      <c r="CC27" s="118">
        <f>SUMIF(GERAL!A$8:A$1696,A27,GERAL!AE$8:AE$1696)</f>
        <v>129</v>
      </c>
      <c r="CD27" s="118">
        <f>COUNTIFS(GERAL!A$8:A$1696,A27,GERAL!Z$8:Z$1696,"&gt;0",GERAL!C$8:C$1696,"ESCOLA")</f>
        <v>0</v>
      </c>
      <c r="CE27" s="118">
        <f>COUNTIFS(GERAL!A$8:A$1696,A27,GERAL!Z$8:Z$1696,"&gt;0",GERAL!C$8:C$1696,"ANEXO")</f>
        <v>0</v>
      </c>
      <c r="CF27" s="118">
        <f>COUNTIFS(GERAL!A$8:A$1696,A27,GERAL!Z$8:Z$1696,"&gt;0",GERAL!C$8:C$1696,"EFA")</f>
        <v>0</v>
      </c>
      <c r="CG27" s="177">
        <f>COUNTIFS('BALANÇO POR MUNICIPIOS'!$D$18:$D$434,"&gt;0",'BALANÇO POR MUNICIPIOS'!$AM$18:$AM$434,A27)</f>
        <v>0</v>
      </c>
      <c r="CH27" s="177">
        <f>COUNTIFS('BALANÇO POR MUNICIPIOS'!$D$18:$D$434,"=0",'BALANÇO POR MUNICIPIOS'!$AM$18:$AM$434,A27)</f>
        <v>11</v>
      </c>
      <c r="CI27" s="177">
        <f>SUMIF(GERAL!A$8:A$1696,A27,GERAL!V$8:V$1696)+SUMIF(GERAL!A$8:A$1696,A27,GERAL!W$8:W$1696)</f>
        <v>0</v>
      </c>
      <c r="CJ27" s="118">
        <f>SUMIF(GERAL!A$8:A$1696,A27,GERAL!Z$8:Z$1696)</f>
        <v>0</v>
      </c>
      <c r="CK27" s="118">
        <f>COUNTIFS(GERAL!$A$8:$A32,A27,GERAL!$BD$8:$BD32,"CEMIT",GERAL!$C$8:$C32,"ESCOLA")</f>
        <v>1</v>
      </c>
      <c r="CL27" s="118">
        <f>COUNTIFS(GERAL!$A$8:$A32,A27,GERAL!$BD$8:$BD32,"CEMIT",GERAL!$C$8:$C32,"ANEXO")</f>
        <v>0</v>
      </c>
      <c r="CM27" s="118">
        <f>SUMIFS(GERAL!$BB$8:$BB32,GERAL!$A$8:$A32,A27,GERAL!$BD$8:$BD32,"CEMIT")</f>
        <v>0</v>
      </c>
    </row>
    <row r="28">
      <c r="A28" s="135" t="s">
        <v>1629</v>
      </c>
      <c r="B28" s="75">
        <f>COUNTIFS(GERAL!$A$8:$A32,A28,GERAL!$C$8:$C32,"ESCOLA")</f>
        <v>21</v>
      </c>
      <c r="C28" s="75">
        <f>COUNTIFS(GERAL!A$8:A$1696,A28,GERAL!C$8:C$1696,"ANEXO")</f>
        <v>11</v>
      </c>
      <c r="D28" s="75">
        <f>COUNTIFS(GERAL!A$8:A$1696,A28,GERAL!C$8:C$1696,"EFA")</f>
        <v>0</v>
      </c>
      <c r="E28" s="85">
        <f>SUMIF(GERAL!A$8:A$1696,A28,GERAL!Z$8:Z$1696)</f>
        <v>153</v>
      </c>
      <c r="F28" s="85">
        <f>SUMIF(GERAL!A$8:A$1696,A28,GERAL!AE$8:AE$1696)</f>
        <v>564</v>
      </c>
      <c r="G28" s="85">
        <f>SUMIF(GERAL!A$8:A$1696,A28,GERAL!AJ$8:AJ$1696)</f>
        <v>3376</v>
      </c>
      <c r="H28" s="85">
        <f>SUMIF(GERAL!A$8:A$1696,A28,GERAL!AN$8:AN$1696)</f>
        <v>120</v>
      </c>
      <c r="I28" s="85">
        <f>SUMIF(GERAL!A$8:A$1696,A28,GERAL!AR$8:AW$1696)</f>
        <v>429</v>
      </c>
      <c r="J28" s="85">
        <f>SUMIF(GERAL!A$8:A$1696,A28,GERAL!AW$8:AW$1696)</f>
        <v>3790</v>
      </c>
      <c r="K28" s="88">
        <f>SUMIF(GERAL!A$8:A$1696,A28,GERAL!AX$8:AX$1696)</f>
        <v>8432</v>
      </c>
      <c r="L28" s="95">
        <f>COUNTIFS(GERAL!A$8:A$1696,A28,GERAL!AY$8:AY$1696,"&gt;0",GERAL!C$8:C$1696,"ESCOLA")</f>
        <v>21</v>
      </c>
      <c r="M28" s="75">
        <f>COUNTIFS(GERAL!A$8:A$1696,A28,GERAL!AY$8:AY$1696,"&gt;0",GERAL!C$8:C$1696,"ANEXO")</f>
        <v>11</v>
      </c>
      <c r="N28" s="100">
        <f>SUMIF(GERAL!A$8:A$1696,A28,GERAL!V$8:V$1696)+SUMIF(GERAL!A$8:A$1696,A28,GERAL!W$8:W$1696)</f>
        <v>153</v>
      </c>
      <c r="O28" s="100">
        <f>SUMIF(GERAL!A$8:A$1696,A28,GERAL!AA$8:AA$1696)+SUMIF(GERAL!A$8:A$1696,A28,GERAL!AB$8:AB$1696)</f>
        <v>564</v>
      </c>
      <c r="P28" s="100">
        <f>SUMIF(GERAL!A$8:A$1696,A28,GERAL!AF$8:AF$1696)+SUMIF(GERAL!A$8:A$1696,A28,GERAL!AG$8:AG$1696)</f>
        <v>2514</v>
      </c>
      <c r="Q28" s="100">
        <f>SUMIF(GERAL!A$8:A$1696,A28,GERAL!AK$8:AK$1696)+SUMIF(GERAL!A$8:A$1696,A28,GERAL!AL$8:AL$1696)</f>
        <v>52</v>
      </c>
      <c r="R28" s="100">
        <f>SUMIF(GERAL!A$8:A$1696,A28,GERAL!AO$8:AO$1696)+SUMIF(GERAL!A$8:A$1696,A28,GERAL!AP$8:AP$1696)</f>
        <v>11</v>
      </c>
      <c r="S28" s="100">
        <f>SUMIF(GERAL!A$8:A$1696,A28,GERAL!AS$8:AS$1696)+SUMIF(GERAL!A$8:A$1696,A28,GERAL!AT$8:AT$1696)</f>
        <v>2197</v>
      </c>
      <c r="T28" s="103">
        <f t="shared" si="1"/>
        <v>5491</v>
      </c>
      <c r="U28" s="75">
        <f>COUNTIFS(GERAL!A$8:A$1696,A28,GERAL!AZ$8:AZ$1696,"&gt;0",GERAL!C$8:C$1696,"ESCOLA")</f>
        <v>19</v>
      </c>
      <c r="V28" s="75">
        <f>COUNTIFS(GERAL!A$8:A$1696,A28,GERAL!AZ$8:AZ$1696,"&gt;0",GERAL!C$8:C$1696,"ANEXO")</f>
        <v>2</v>
      </c>
      <c r="W28" s="85">
        <f>SUMIF(GERAL!A$8:A$1696,A28,GERAL!AH$8:AH$1696)</f>
        <v>129</v>
      </c>
      <c r="X28" s="85">
        <f>SUMIF(GERAL!A$8:A$1696,A28,GERAL!AM$8:AM$1696)</f>
        <v>68</v>
      </c>
      <c r="Y28" s="85">
        <f>SUMIF(GERAL!A$8:A$1696,A28,GERAL!AQ$8:AQ$1696)</f>
        <v>418</v>
      </c>
      <c r="Z28" s="85">
        <f>SUMIF(GERAL!A$8:A$1696,A28,GERAL!AU$8:AU$1696)</f>
        <v>983</v>
      </c>
      <c r="AA28" s="88">
        <f t="shared" si="2"/>
        <v>1598</v>
      </c>
      <c r="AB28" s="116">
        <f>COUNTIFS(GERAL!A$8:A$1696,A28,GERAL!BK$8:BK$1696,"&gt;0",GERAL!C$8:C$1696,"ESCOLA")</f>
        <v>9</v>
      </c>
      <c r="AC28" s="118">
        <f>COUNTIFS(GERAL!A$8:A$1696,A28,GERAL!BK$8:BK$1696,"&gt;0",GERAL!C$8:C$1696,"ANEXO")</f>
        <v>0</v>
      </c>
      <c r="AD28" s="118">
        <f>COUNTIFS(GERAL!A$8:A$1696,A28,GERAL!BK$8:BK$1696,"&gt;0",GERAL!C$8:C$1696,"EFA")</f>
        <v>0</v>
      </c>
      <c r="AE28" s="118">
        <f>COUNTIFS('BALANÇO POR MUNICIPIOS'!$AF$18:$AF$434,"&gt;0",'BALANÇO POR MUNICIPIOS'!$AM$18:$AM$434,A28)</f>
        <v>6</v>
      </c>
      <c r="AF28" s="118">
        <f>COUNTIFS('BALANÇO POR MUNICIPIOS'!$AF$18:$AF$434,"=0",'BALANÇO POR MUNICIPIOS'!$AM$18:$AM$434,A28)</f>
        <v>0</v>
      </c>
      <c r="AG28" s="121">
        <f>SUMIF(GERAL!A$8:A$1696,A28,GERAL!AD$8:AD$1696)</f>
        <v>0</v>
      </c>
      <c r="AH28" s="121">
        <f>SUMIF(GERAL!A$8:A$1696,A28,GERAL!AI$8:AI$1696)</f>
        <v>733</v>
      </c>
      <c r="AI28" s="121">
        <f>SUMIF(GERAL!A$8:A$1696,A28,GERAL!AV$8:AV$1696)</f>
        <v>610</v>
      </c>
      <c r="AJ28" s="124">
        <f t="shared" si="3"/>
        <v>1343</v>
      </c>
      <c r="AK28" s="116">
        <f>COUNTIFS(GERAL!A$8:A$1696,A28,GERAL!AW$8:AW$1696,"&gt;0",GERAL!C$8:C$1696,"ESCOLA")</f>
        <v>11</v>
      </c>
      <c r="AL28" s="118">
        <f>COUNTIFS(GERAL!A$8:A$1696,A28,GERAL!AW$8:AW$1696,"&gt;0",GERAL!C$8:C$1696,"ANEXO")</f>
        <v>0</v>
      </c>
      <c r="AM28" s="118">
        <f>COUNTIFS('BALANÇO POR MUNICIPIOS'!$AL$18:$AL$434,"&gt;0",'BALANÇO POR MUNICIPIOS'!$AM$18:$AM$434,A28)</f>
        <v>6</v>
      </c>
      <c r="AN28" s="118">
        <f>COUNTIFS('BALANÇO POR MUNICIPIOS'!$AL$18:$AL$434,"=0",'BALANÇO POR MUNICIPIOS'!$AM$18:$AM$434,A28)</f>
        <v>0</v>
      </c>
      <c r="AO28" s="176">
        <f>SUMIF(GERAL!A$8:A$1696,A28,GERAL!AS$8:AS$1696)+SUMIF(GERAL!A$8:A$1696,A28,GERAL!AT$8:AT$1696)</f>
        <v>2197</v>
      </c>
      <c r="AP28" s="176">
        <f>SUMIF(GERAL!A$8:A$1696,A28,GERAL!AU$8:AU$1696)</f>
        <v>983</v>
      </c>
      <c r="AQ28" s="176">
        <f>SUMIF(GERAL!A$8:A$1696,A28,GERAL!AV$8:AV$1696)</f>
        <v>610</v>
      </c>
      <c r="AR28" s="177">
        <f>SUMIF(GERAL!A$8:A$1696,A28,GERAL!AW$8:AW$1696)</f>
        <v>3790</v>
      </c>
      <c r="AS28" s="116">
        <f>COUNTIFS(GERAL!A$8:A$1696,A28,GERAL!AJ$8:AJ$1696,"&gt;0",GERAL!C$8:C$1696,"ESCOLA")</f>
        <v>14</v>
      </c>
      <c r="AT28" s="118">
        <f>COUNTIFS(GERAL!A$8:A$1696,A28,GERAL!AJ$8:AJ$1696,"&gt;0",GERAL!C$8:C$1696,"ANEXO")</f>
        <v>9</v>
      </c>
      <c r="AU28" s="118">
        <f>COUNTIFS(GERAL!A$8:A$1696,A28,GERAL!AJ$8:AJ$1696,"&gt;0",GERAL!C$8:C$1696,"EFA")</f>
        <v>0</v>
      </c>
      <c r="AV28" s="118">
        <f>COUNTIFS('BALANÇO POR MUNICIPIOS'!$F$18:$F$434,"&gt;0",'BALANÇO POR MUNICIPIOS'!$AM$18:$AM$434,A28)</f>
        <v>6</v>
      </c>
      <c r="AW28" s="178">
        <f>COUNTIFS('BALANÇO POR MUNICIPIOS'!$F$18:$F$434,"=0",'BALANÇO POR MUNICIPIOS'!$AM$18:$AM$434,A28)</f>
        <v>0</v>
      </c>
      <c r="AX28" s="177">
        <f>SUMIF(GERAL!A$8:A$1696,A28,GERAL!AF$8:AF$1696)+SUMIF(GERAL!A$8:A$1696,A28,GERAL!AG$8:AG$1696)</f>
        <v>2514</v>
      </c>
      <c r="AY28" s="177">
        <f>SUMIF(GERAL!A$8:A$1696,A28,GERAL!AH$8:AH$1696)</f>
        <v>129</v>
      </c>
      <c r="AZ28" s="177">
        <f>SUMIF(GERAL!A$8:A$1696,A28,GERAL!AI$8:AI$1696)</f>
        <v>733</v>
      </c>
      <c r="BA28" s="134">
        <f>SUMIF(GERAL!A$8:A$1696,A28,GERAL!AJ$8:AJ$1696)</f>
        <v>3376</v>
      </c>
      <c r="BB28" s="116">
        <f>COUNTIFS(GERAL!A$8:A$1696,A28,GERAL!AR$8:AR$1696,"&gt;0",GERAL!C$8:C$1696,"ESCOLA")</f>
        <v>14</v>
      </c>
      <c r="BC28" s="118">
        <f>COUNTIFS(GERAL!A$8:A$1696,A28,GERAL!AR$8:AR$1696,"&gt;0",GERAL!C$8:C$1696,"ANEXO")</f>
        <v>2</v>
      </c>
      <c r="BD28" s="118">
        <f>COUNTIFS(GERAL!A$8:A$1696,A28,GERAL!AR$8:AR$1696,"&gt;0",GERAL!C$8:C$1696,"EFA")</f>
        <v>0</v>
      </c>
      <c r="BE28" s="118">
        <f>COUNTIFS('BALANÇO POR MUNICIPIOS'!$H$18:$H$434,"&gt;0",'BALANÇO POR MUNICIPIOS'!$AM$18:$AM$434,A28)</f>
        <v>6</v>
      </c>
      <c r="BF28" s="118">
        <f>COUNTIFS('BALANÇO POR MUNICIPIOS'!$H$18:$H$434,"=0",'BALANÇO POR MUNICIPIOS'!$AM$18:$AM$434,A28)</f>
        <v>0</v>
      </c>
      <c r="BG28" s="177">
        <f>SUMIF(GERAL!A$8:A$1696,A28,GERAL!AO$8:AO$1696)+SUMIF(GERAL!A$8:A$1696,A28,GERAL!AP$8:AP$1696)</f>
        <v>11</v>
      </c>
      <c r="BH28" s="177">
        <f>SUMIF(GERAL!A$8:A$1696,A28,GERAL!AQ$8:AQ$1696)</f>
        <v>418</v>
      </c>
      <c r="BI28" s="124">
        <f>SUMIF(GERAL!A$8:A$1696,A28,GERAL!AR$8:AR$1696)</f>
        <v>429</v>
      </c>
      <c r="BJ28" s="116">
        <f>COUNTIFS(GERAL!A$8:A$1696,A28,GERAL!AR$8:AR$1696,"&gt;0",GERAL!AJ$8:AJ$1696,"&gt;0",GERAL!C$8:C$1696,"ESCOLA")</f>
        <v>11</v>
      </c>
      <c r="BK28" s="118">
        <f>COUNTIFS(GERAL!A$8:A$1696,A28,GERAL!AR$8:AR$1696,"&gt;0",GERAL!AJ$8:AJ$1696,"&gt;0",GERAL!C$8:C$1696,"ANEXO")</f>
        <v>1</v>
      </c>
      <c r="BL28" s="118">
        <f>COUNTIFS('BALANÇO POR MUNICIPIOS'!$AM$18:$AM$434,A28,'BALANÇO POR MUNICIPIOS'!$H$18:$H$434,"&gt;0",'BALANÇO POR MUNICIPIOS'!$F$18:$F$434,"&gt;0")</f>
        <v>6</v>
      </c>
      <c r="BM28" s="118">
        <f t="shared" si="4"/>
        <v>3805</v>
      </c>
      <c r="BN28" s="116">
        <f>COUNTIFS(GERAL!A$8:A$1696,A28,GERAL!AN$8:AN$1696,"&gt;0",GERAL!C$8:C$1696,"ESCOLA")</f>
        <v>5</v>
      </c>
      <c r="BO28" s="118">
        <f>COUNTIFS(GERAL!A$8:A$1696,A28,GERAL!AN$8:AN$1696,"&gt;0",GERAL!C$8:C$1696,"ANEXO")</f>
        <v>1</v>
      </c>
      <c r="BP28" s="118">
        <f>COUNTIFS(GERAL!A$8:A$1696,A28,GERAL!AN$8:AN$1696,"&gt;0",GERAL!C$8:C$1696,"EFA")</f>
        <v>0</v>
      </c>
      <c r="BQ28" s="118">
        <f>COUNTIFS('BALANÇO POR MUNICIPIOS'!$G$18:$G$434,"&gt;0",'BALANÇO POR MUNICIPIOS'!$AM$18:$AM$434,A28)</f>
        <v>3</v>
      </c>
      <c r="BR28" s="118">
        <f>COUNTIFS('BALANÇO POR MUNICIPIOS'!$G$18:$G$434,"=0",'BALANÇO POR MUNICIPIOS'!$AM$18:$AM$434,A28)</f>
        <v>3</v>
      </c>
      <c r="BS28" s="177">
        <f>SUMIF(GERAL!A$8:A$1696,A28,GERAL!AK$8:AK$1696)+SUMIF(GERAL!A$8:A$1696,A28,GERAL!AL$8:AL$1696)</f>
        <v>52</v>
      </c>
      <c r="BT28" s="177">
        <f>SUMIF(GERAL!A$8:A$1696,A28,GERAL!AM$8:AM$1696)</f>
        <v>68</v>
      </c>
      <c r="BU28" s="118">
        <f>SUMIF(GERAL!A$8:A$1696,A28,GERAL!AN$8:AN$1696)</f>
        <v>120</v>
      </c>
      <c r="BV28" s="207">
        <f>COUNTIFS(GERAL!A$8:A$1696,A28,GERAL!AE$8:AE$1696,"&gt;0",GERAL!C$8:C$1696,"ESCOLA")</f>
        <v>7</v>
      </c>
      <c r="BW28" s="207">
        <f>COUNTIFS(GERAL!A$8:A$1696,A28,GERAL!AE$8:AE$1696,"&gt;0",GERAL!C$8:C$1696,"ANEXO")</f>
        <v>3</v>
      </c>
      <c r="BX28" s="207">
        <f>COUNTIFS(GERAL!A$8:A$1696,A28,GERAL!AE$8:AE$1696,"&gt;0",GERAL!C$8:C$1696,"EFA")</f>
        <v>0</v>
      </c>
      <c r="BY28" s="177">
        <f>COUNTIFS('BALANÇO POR MUNICIPIOS'!$E$18:$E$434,"&gt;0",'BALANÇO POR MUNICIPIOS'!$AM$18:$AM$434,A28)</f>
        <v>3</v>
      </c>
      <c r="BZ28" s="177">
        <f>COUNTIFS('BALANÇO POR MUNICIPIOS'!$E$18:$E$434,"=0",'BALANÇO POR MUNICIPIOS'!$AM$18:$AM$434,A28)</f>
        <v>3</v>
      </c>
      <c r="CA28" s="177">
        <f>SUMIF(GERAL!A$8:A$1696,A28,GERAL!AA$8:AA$1696)+SUMIF(GERAL!A$8:A$1696,A28,GERAL!AB$8:AB$1696)</f>
        <v>564</v>
      </c>
      <c r="CB28" s="177">
        <f>SUMIF(GERAL!A$8:A$1696,A28,GERAL!AC$8:AC$1696)</f>
        <v>0</v>
      </c>
      <c r="CC28" s="118">
        <f>SUMIF(GERAL!A$8:A$1696,A28,GERAL!AE$8:AE$1696)</f>
        <v>564</v>
      </c>
      <c r="CD28" s="118">
        <f>COUNTIFS(GERAL!A$8:A$1696,A28,GERAL!Z$8:Z$1696,"&gt;0",GERAL!C$8:C$1696,"ESCOLA")</f>
        <v>7</v>
      </c>
      <c r="CE28" s="118">
        <f>COUNTIFS(GERAL!A$8:A$1696,A28,GERAL!Z$8:Z$1696,"&gt;0",GERAL!C$8:C$1696,"ANEXO")</f>
        <v>3</v>
      </c>
      <c r="CF28" s="118">
        <f>COUNTIFS(GERAL!A$8:A$1696,A28,GERAL!Z$8:Z$1696,"&gt;0",GERAL!C$8:C$1696,"EFA")</f>
        <v>0</v>
      </c>
      <c r="CG28" s="177">
        <f>COUNTIFS('BALANÇO POR MUNICIPIOS'!$D$18:$D$434,"&gt;0",'BALANÇO POR MUNICIPIOS'!$AM$18:$AM$434,A28)</f>
        <v>3</v>
      </c>
      <c r="CH28" s="177">
        <f>COUNTIFS('BALANÇO POR MUNICIPIOS'!$D$18:$D$434,"=0",'BALANÇO POR MUNICIPIOS'!$AM$18:$AM$434,A28)</f>
        <v>3</v>
      </c>
      <c r="CI28" s="177">
        <f>SUMIF(GERAL!A$8:A$1696,A28,GERAL!V$8:V$1696)+SUMIF(GERAL!A$8:A$1696,A28,GERAL!W$8:W$1696)</f>
        <v>153</v>
      </c>
      <c r="CJ28" s="118">
        <f>SUMIF(GERAL!A$8:A$1696,A28,GERAL!Z$8:Z$1696)</f>
        <v>153</v>
      </c>
      <c r="CK28" s="118">
        <f>COUNTIFS(GERAL!$A$8:$A32,A28,GERAL!$BD$8:$BD32,"CEMIT",GERAL!$C$8:$C32,"ESCOLA")</f>
        <v>0</v>
      </c>
      <c r="CL28" s="118">
        <f>COUNTIFS(GERAL!$A$8:$A32,A28,GERAL!$BD$8:$BD32,"CEMIT",GERAL!$C$8:$C32,"ANEXO")</f>
        <v>0</v>
      </c>
      <c r="CM28" s="118">
        <f>SUMIFS(GERAL!$BB$8:$BB32,GERAL!$A$8:$A32,A28,GERAL!$BD$8:$BD32,"CEMIT")</f>
        <v>0</v>
      </c>
    </row>
    <row r="29">
      <c r="A29" s="151" t="s">
        <v>1707</v>
      </c>
      <c r="B29" s="75">
        <f>COUNTIFS(GERAL!$A$8:$A32,A29,GERAL!$C$8:$C32,"ESCOLA")</f>
        <v>20</v>
      </c>
      <c r="C29" s="75">
        <f>COUNTIFS(GERAL!A$8:A$1696,A29,GERAL!C$8:C$1696,"ANEXO")</f>
        <v>22</v>
      </c>
      <c r="D29" s="75">
        <f>COUNTIFS(GERAL!A$8:A$1696,A29,GERAL!C$8:C$1696,"EFA")</f>
        <v>1</v>
      </c>
      <c r="E29" s="85">
        <f>SUMIF(GERAL!A$8:A$1696,A29,GERAL!Z$8:Z$1696)</f>
        <v>0</v>
      </c>
      <c r="F29" s="85">
        <f>SUMIF(GERAL!A$8:A$1696,A29,GERAL!AE$8:AE$1696)</f>
        <v>74</v>
      </c>
      <c r="G29" s="85">
        <f>SUMIF(GERAL!A$8:A$1696,A29,GERAL!AJ$8:AJ$1696)</f>
        <v>7019</v>
      </c>
      <c r="H29" s="85">
        <f>SUMIF(GERAL!A$8:A$1696,A29,GERAL!AN$8:AN$1696)</f>
        <v>0</v>
      </c>
      <c r="I29" s="85">
        <f>SUMIF(GERAL!A$8:A$1696,A29,GERAL!AR$8:AW$1696)</f>
        <v>1559</v>
      </c>
      <c r="J29" s="85">
        <f>SUMIF(GERAL!A$8:A$1696,A29,GERAL!AW$8:AW$1696)</f>
        <v>2855</v>
      </c>
      <c r="K29" s="88">
        <f>SUMIF(GERAL!A$8:A$1696,A29,GERAL!AX$8:AX$1696)</f>
        <v>11507</v>
      </c>
      <c r="L29" s="95">
        <f>COUNTIFS(GERAL!A$8:A$1696,A29,GERAL!AY$8:AY$1696,"&gt;0",GERAL!C$8:C$1696,"ESCOLA")</f>
        <v>17</v>
      </c>
      <c r="M29" s="75">
        <f>COUNTIFS(GERAL!A$8:A$1696,A29,GERAL!AY$8:AY$1696,"&gt;0",GERAL!C$8:C$1696,"ANEXO")</f>
        <v>8</v>
      </c>
      <c r="N29" s="100">
        <f>SUMIF(GERAL!A$8:A$1696,A29,GERAL!V$8:V$1696)+SUMIF(GERAL!A$8:A$1696,A29,GERAL!W$8:W$1696)</f>
        <v>0</v>
      </c>
      <c r="O29" s="100">
        <f>SUMIF(GERAL!A$8:A$1696,A29,GERAL!AA$8:AA$1696)+SUMIF(GERAL!A$8:A$1696,A29,GERAL!AB$8:AB$1696)</f>
        <v>0</v>
      </c>
      <c r="P29" s="100">
        <f>SUMIF(GERAL!A$8:A$1696,A29,GERAL!AF$8:AF$1696)+SUMIF(GERAL!A$8:A$1696,A29,GERAL!AG$8:AG$1696)</f>
        <v>2673</v>
      </c>
      <c r="Q29" s="100">
        <f>SUMIF(GERAL!A$8:A$1696,A29,GERAL!AK$8:AK$1696)+SUMIF(GERAL!A$8:A$1696,A29,GERAL!AL$8:AL$1696)</f>
        <v>0</v>
      </c>
      <c r="R29" s="100">
        <f>SUMIF(GERAL!A$8:A$1696,A29,GERAL!AO$8:AO$1696)+SUMIF(GERAL!A$8:A$1696,A29,GERAL!AP$8:AP$1696)</f>
        <v>0</v>
      </c>
      <c r="S29" s="100">
        <f>SUMIF(GERAL!A$8:A$1696,A29,GERAL!AS$8:AS$1696)+SUMIF(GERAL!A$8:A$1696,A29,GERAL!AT$8:AT$1696)</f>
        <v>1523</v>
      </c>
      <c r="T29" s="103">
        <f t="shared" si="1"/>
        <v>4196</v>
      </c>
      <c r="U29" s="75">
        <f>COUNTIFS(GERAL!A$8:A$1696,A29,GERAL!AZ$8:AZ$1696,"&gt;0",GERAL!C$8:C$1696,"ESCOLA")</f>
        <v>15</v>
      </c>
      <c r="V29" s="75">
        <f>COUNTIFS(GERAL!A$8:A$1696,A29,GERAL!AZ$8:AZ$1696,"&gt;0",GERAL!C$8:C$1696,"ANEXO")</f>
        <v>21</v>
      </c>
      <c r="W29" s="85">
        <f>SUMIF(GERAL!A$8:A$1696,A29,GERAL!AH$8:AH$1696)</f>
        <v>266</v>
      </c>
      <c r="X29" s="85">
        <f>SUMIF(GERAL!A$8:A$1696,A29,GERAL!AM$8:AM$1696)</f>
        <v>0</v>
      </c>
      <c r="Y29" s="85">
        <f>SUMIF(GERAL!A$8:A$1696,A29,GERAL!AQ$8:AQ$1696)</f>
        <v>1559</v>
      </c>
      <c r="Z29" s="85">
        <f>SUMIF(GERAL!A$8:A$1696,A29,GERAL!AU$8:AU$1696)</f>
        <v>681</v>
      </c>
      <c r="AA29" s="88">
        <f t="shared" si="2"/>
        <v>2506</v>
      </c>
      <c r="AB29" s="116">
        <f>COUNTIFS(GERAL!A$8:A$1696,A29,GERAL!BK$8:BK$1696,"&gt;0",GERAL!C$8:C$1696,"ESCOLA")</f>
        <v>17</v>
      </c>
      <c r="AC29" s="118">
        <f>COUNTIFS(GERAL!A$8:A$1696,A29,GERAL!BK$8:BK$1696,"&gt;0",GERAL!C$8:C$1696,"ANEXO")</f>
        <v>1</v>
      </c>
      <c r="AD29" s="118">
        <f>COUNTIFS(GERAL!A$8:A$1696,A29,GERAL!BK$8:BK$1696,"&gt;0",GERAL!C$8:C$1696,"EFA")</f>
        <v>1</v>
      </c>
      <c r="AE29" s="118">
        <f>COUNTIFS('BALANÇO POR MUNICIPIOS'!$AF$18:$AF$434,"&gt;0",'BALANÇO POR MUNICIPIOS'!$AM$18:$AM$434,A29)</f>
        <v>9</v>
      </c>
      <c r="AF29" s="118">
        <f>COUNTIFS('BALANÇO POR MUNICIPIOS'!$AF$18:$AF$434,"=0",'BALANÇO POR MUNICIPIOS'!$AM$18:$AM$434,A29)</f>
        <v>0</v>
      </c>
      <c r="AG29" s="121">
        <f>SUMIF(GERAL!A$8:A$1696,A29,GERAL!AD$8:AD$1696)</f>
        <v>74</v>
      </c>
      <c r="AH29" s="121">
        <f>SUMIF(GERAL!A$8:A$1696,A29,GERAL!AI$8:AI$1696)</f>
        <v>4080</v>
      </c>
      <c r="AI29" s="121">
        <f>SUMIF(GERAL!A$8:A$1696,A29,GERAL!AV$8:AV$1696)</f>
        <v>651</v>
      </c>
      <c r="AJ29" s="124">
        <f t="shared" si="3"/>
        <v>4805</v>
      </c>
      <c r="AK29" s="116">
        <f>COUNTIFS(GERAL!A$8:A$1696,A29,GERAL!AW$8:AW$1696,"&gt;0",GERAL!C$8:C$1696,"ESCOLA")</f>
        <v>11</v>
      </c>
      <c r="AL29" s="118">
        <f>COUNTIFS(GERAL!A$8:A$1696,A29,GERAL!AW$8:AW$1696,"&gt;0",GERAL!C$8:C$1696,"ANEXO")</f>
        <v>0</v>
      </c>
      <c r="AM29" s="118">
        <f>COUNTIFS('BALANÇO POR MUNICIPIOS'!$AL$18:$AL$434,"&gt;0",'BALANÇO POR MUNICIPIOS'!$AM$18:$AM$434,A29)</f>
        <v>9</v>
      </c>
      <c r="AN29" s="118">
        <f>COUNTIFS('BALANÇO POR MUNICIPIOS'!$AL$18:$AL$434,"=0",'BALANÇO POR MUNICIPIOS'!$AM$18:$AM$434,A29)</f>
        <v>0</v>
      </c>
      <c r="AO29" s="176">
        <f>SUMIF(GERAL!A$8:A$1696,A29,GERAL!AS$8:AS$1696)+SUMIF(GERAL!A$8:A$1696,A29,GERAL!AT$8:AT$1696)</f>
        <v>1523</v>
      </c>
      <c r="AP29" s="176">
        <f>SUMIF(GERAL!A$8:A$1696,A29,GERAL!AU$8:AU$1696)</f>
        <v>681</v>
      </c>
      <c r="AQ29" s="176">
        <f>SUMIF(GERAL!A$8:A$1696,A29,GERAL!AV$8:AV$1696)</f>
        <v>651</v>
      </c>
      <c r="AR29" s="177">
        <f>SUMIF(GERAL!A$8:A$1696,A29,GERAL!AW$8:AW$1696)</f>
        <v>2855</v>
      </c>
      <c r="AS29" s="116">
        <f>COUNTIFS(GERAL!A$8:A$1696,A29,GERAL!AJ$8:AJ$1696,"&gt;0",GERAL!C$8:C$1696,"ESCOLA")</f>
        <v>16</v>
      </c>
      <c r="AT29" s="118">
        <f>COUNTIFS(GERAL!A$8:A$1696,A29,GERAL!AJ$8:AJ$1696,"&gt;0",GERAL!C$8:C$1696,"ANEXO")</f>
        <v>16</v>
      </c>
      <c r="AU29" s="118">
        <f>COUNTIFS(GERAL!A$8:A$1696,A29,GERAL!AJ$8:AJ$1696,"&gt;0",GERAL!C$8:C$1696,"EFA")</f>
        <v>1</v>
      </c>
      <c r="AV29" s="118">
        <f>COUNTIFS('BALANÇO POR MUNICIPIOS'!$F$18:$F$434,"&gt;0",'BALANÇO POR MUNICIPIOS'!$AM$18:$AM$434,A29)</f>
        <v>9</v>
      </c>
      <c r="AW29" s="178">
        <f>COUNTIFS('BALANÇO POR MUNICIPIOS'!$F$18:$F$434,"=0",'BALANÇO POR MUNICIPIOS'!$AM$18:$AM$434,A29)</f>
        <v>0</v>
      </c>
      <c r="AX29" s="177">
        <f>SUMIF(GERAL!A$8:A$1696,A29,GERAL!AF$8:AF$1696)+SUMIF(GERAL!A$8:A$1696,A29,GERAL!AG$8:AG$1696)</f>
        <v>2673</v>
      </c>
      <c r="AY29" s="177">
        <f>SUMIF(GERAL!A$8:A$1696,A29,GERAL!AH$8:AH$1696)</f>
        <v>266</v>
      </c>
      <c r="AZ29" s="177">
        <f>SUMIF(GERAL!A$8:A$1696,A29,GERAL!AI$8:AI$1696)</f>
        <v>4080</v>
      </c>
      <c r="BA29" s="134">
        <f>SUMIF(GERAL!A$8:A$1696,A29,GERAL!AJ$8:AJ$1696)</f>
        <v>7019</v>
      </c>
      <c r="BB29" s="116">
        <f>COUNTIFS(GERAL!A$8:A$1696,A29,GERAL!AR$8:AR$1696,"&gt;0",GERAL!C$8:C$1696,"ESCOLA")</f>
        <v>14</v>
      </c>
      <c r="BC29" s="118">
        <f>COUNTIFS(GERAL!A$8:A$1696,A29,GERAL!AR$8:AR$1696,"&gt;0",GERAL!C$8:C$1696,"ANEXO")</f>
        <v>13</v>
      </c>
      <c r="BD29" s="118">
        <f>COUNTIFS(GERAL!A$8:A$1696,A29,GERAL!AR$8:AR$1696,"&gt;0",GERAL!C$8:C$1696,"EFA")</f>
        <v>0</v>
      </c>
      <c r="BE29" s="118">
        <f>COUNTIFS('BALANÇO POR MUNICIPIOS'!$H$18:$H$434,"&gt;0",'BALANÇO POR MUNICIPIOS'!$AM$18:$AM$434,A29)</f>
        <v>9</v>
      </c>
      <c r="BF29" s="118">
        <f>COUNTIFS('BALANÇO POR MUNICIPIOS'!$H$18:$H$434,"=0",'BALANÇO POR MUNICIPIOS'!$AM$18:$AM$434,A29)</f>
        <v>0</v>
      </c>
      <c r="BG29" s="177">
        <f>SUMIF(GERAL!A$8:A$1696,A29,GERAL!AO$8:AO$1696)+SUMIF(GERAL!A$8:A$1696,A29,GERAL!AP$8:AP$1696)</f>
        <v>0</v>
      </c>
      <c r="BH29" s="177">
        <f>SUMIF(GERAL!A$8:A$1696,A29,GERAL!AQ$8:AQ$1696)</f>
        <v>1559</v>
      </c>
      <c r="BI29" s="124">
        <f>SUMIF(GERAL!A$8:A$1696,A29,GERAL!AR$8:AR$1696)</f>
        <v>1559</v>
      </c>
      <c r="BJ29" s="116">
        <f>COUNTIFS(GERAL!A$8:A$1696,A29,GERAL!AR$8:AR$1696,"&gt;0",GERAL!AJ$8:AJ$1696,"&gt;0",GERAL!C$8:C$1696,"ESCOLA")</f>
        <v>14</v>
      </c>
      <c r="BK29" s="118">
        <f>COUNTIFS(GERAL!A$8:A$1696,A29,GERAL!AR$8:AR$1696,"&gt;0",GERAL!AJ$8:AJ$1696,"&gt;0",GERAL!C$8:C$1696,"ANEXO")</f>
        <v>7</v>
      </c>
      <c r="BL29" s="118">
        <f>COUNTIFS('BALANÇO POR MUNICIPIOS'!$AM$18:$AM$434,A29,'BALANÇO POR MUNICIPIOS'!$H$18:$H$434,"&gt;0",'BALANÇO POR MUNICIPIOS'!$F$18:$F$434,"&gt;0")</f>
        <v>9</v>
      </c>
      <c r="BM29" s="118">
        <f t="shared" si="4"/>
        <v>8578</v>
      </c>
      <c r="BN29" s="116">
        <f>COUNTIFS(GERAL!A$8:A$1696,A29,GERAL!AN$8:AN$1696,"&gt;0",GERAL!C$8:C$1696,"ESCOLA")</f>
        <v>0</v>
      </c>
      <c r="BO29" s="118">
        <f>COUNTIFS(GERAL!A$8:A$1696,A29,GERAL!AN$8:AN$1696,"&gt;0",GERAL!C$8:C$1696,"ANEXO")</f>
        <v>0</v>
      </c>
      <c r="BP29" s="118">
        <f>COUNTIFS(GERAL!A$8:A$1696,A29,GERAL!AN$8:AN$1696,"&gt;0",GERAL!C$8:C$1696,"EFA")</f>
        <v>0</v>
      </c>
      <c r="BQ29" s="118">
        <f>COUNTIFS('BALANÇO POR MUNICIPIOS'!$G$18:$G$434,"&gt;0",'BALANÇO POR MUNICIPIOS'!$AM$18:$AM$434,A29)</f>
        <v>0</v>
      </c>
      <c r="BR29" s="118">
        <f>COUNTIFS('BALANÇO POR MUNICIPIOS'!$G$18:$G$434,"=0",'BALANÇO POR MUNICIPIOS'!$AM$18:$AM$434,A29)</f>
        <v>9</v>
      </c>
      <c r="BS29" s="177">
        <f>SUMIF(GERAL!A$8:A$1696,A29,GERAL!AK$8:AK$1696)+SUMIF(GERAL!A$8:A$1696,A29,GERAL!AL$8:AL$1696)</f>
        <v>0</v>
      </c>
      <c r="BT29" s="177">
        <f>SUMIF(GERAL!A$8:A$1696,A29,GERAL!AM$8:AM$1696)</f>
        <v>0</v>
      </c>
      <c r="BU29" s="118">
        <f>SUMIF(GERAL!A$8:A$1696,A29,GERAL!AN$8:AN$1696)</f>
        <v>0</v>
      </c>
      <c r="BV29" s="207">
        <f>COUNTIFS(GERAL!A$8:A$1696,A29,GERAL!AE$8:AE$1696,"&gt;0",GERAL!C$8:C$1696,"ESCOLA")</f>
        <v>0</v>
      </c>
      <c r="BW29" s="207">
        <f>COUNTIFS(GERAL!A$8:A$1696,A29,GERAL!AE$8:AE$1696,"&gt;0",GERAL!C$8:C$1696,"ANEXO")</f>
        <v>0</v>
      </c>
      <c r="BX29" s="207">
        <f>COUNTIFS(GERAL!A$8:A$1696,A29,GERAL!AE$8:AE$1696,"&gt;0",GERAL!C$8:C$1696,"EFA")</f>
        <v>1</v>
      </c>
      <c r="BY29" s="177">
        <f>COUNTIFS('BALANÇO POR MUNICIPIOS'!$E$18:$E$434,"&gt;0",'BALANÇO POR MUNICIPIOS'!$AM$18:$AM$434,A29)</f>
        <v>1</v>
      </c>
      <c r="BZ29" s="177">
        <f>COUNTIFS('BALANÇO POR MUNICIPIOS'!$E$18:$E$434,"=0",'BALANÇO POR MUNICIPIOS'!$AM$18:$AM$434,A29)</f>
        <v>8</v>
      </c>
      <c r="CA29" s="177">
        <f>SUMIF(GERAL!A$8:A$1696,A29,GERAL!AA$8:AA$1696)+SUMIF(GERAL!A$8:A$1696,A29,GERAL!AB$8:AB$1696)</f>
        <v>0</v>
      </c>
      <c r="CB29" s="177">
        <f>SUMIF(GERAL!A$8:A$1696,A29,GERAL!AC$8:AC$1696)</f>
        <v>0</v>
      </c>
      <c r="CC29" s="118">
        <f>SUMIF(GERAL!A$8:A$1696,A29,GERAL!AE$8:AE$1696)</f>
        <v>74</v>
      </c>
      <c r="CD29" s="118">
        <f>COUNTIFS(GERAL!A$8:A$1696,A29,GERAL!Z$8:Z$1696,"&gt;0",GERAL!C$8:C$1696,"ESCOLA")</f>
        <v>0</v>
      </c>
      <c r="CE29" s="118">
        <f>COUNTIFS(GERAL!A$8:A$1696,A29,GERAL!Z$8:Z$1696,"&gt;0",GERAL!C$8:C$1696,"ANEXO")</f>
        <v>0</v>
      </c>
      <c r="CF29" s="118">
        <f>COUNTIFS(GERAL!A$8:A$1696,A29,GERAL!Z$8:Z$1696,"&gt;0",GERAL!C$8:C$1696,"EFA")</f>
        <v>0</v>
      </c>
      <c r="CG29" s="177">
        <f>COUNTIFS('BALANÇO POR MUNICIPIOS'!$D$18:$D$434,"&gt;0",'BALANÇO POR MUNICIPIOS'!$AM$18:$AM$434,A29)</f>
        <v>0</v>
      </c>
      <c r="CH29" s="177">
        <f>COUNTIFS('BALANÇO POR MUNICIPIOS'!$D$18:$D$434,"=0",'BALANÇO POR MUNICIPIOS'!$AM$18:$AM$434,A29)</f>
        <v>9</v>
      </c>
      <c r="CI29" s="177">
        <f>SUMIF(GERAL!A$8:A$1696,A29,GERAL!V$8:V$1696)+SUMIF(GERAL!A$8:A$1696,A29,GERAL!W$8:W$1696)</f>
        <v>0</v>
      </c>
      <c r="CJ29" s="118">
        <f>SUMIF(GERAL!A$8:A$1696,A29,GERAL!Z$8:Z$1696)</f>
        <v>0</v>
      </c>
      <c r="CK29" s="118">
        <f>COUNTIFS(GERAL!$A$8:$A32,A29,GERAL!$BD$8:$BD32,"CEMIT",GERAL!$C$8:$C32,"ESCOLA")</f>
        <v>1</v>
      </c>
      <c r="CL29" s="118">
        <f>COUNTIFS(GERAL!$A$8:$A32,A29,GERAL!$BD$8:$BD32,"CEMIT",GERAL!$C$8:$C32,"ANEXO")</f>
        <v>8</v>
      </c>
      <c r="CM29" s="118">
        <f>SUMIFS(GERAL!$BB$8:$BB32,GERAL!$A$8:$A32,A29,GERAL!$BD$8:$BD32,"CEMIT")</f>
        <v>266</v>
      </c>
    </row>
    <row r="30">
      <c r="A30" s="135" t="s">
        <v>1785</v>
      </c>
      <c r="B30" s="75">
        <f>COUNTIFS(GERAL!$A$8:$A32,A30,GERAL!$C$8:$C32,"ESCOLA")</f>
        <v>237</v>
      </c>
      <c r="C30" s="75">
        <f>COUNTIFS(GERAL!A$8:A$1696,A30,GERAL!C$8:C$1696,"ANEXO")</f>
        <v>12</v>
      </c>
      <c r="D30" s="75">
        <f>COUNTIFS(GERAL!A$8:A$1696,A30,GERAL!C$8:C$1696,"EFA")</f>
        <v>1</v>
      </c>
      <c r="E30" s="85">
        <f>SUMIF(GERAL!A$8:A$1696,A30,GERAL!Z$8:Z$1696)</f>
        <v>0</v>
      </c>
      <c r="F30" s="85">
        <f>SUMIF(GERAL!A$8:A$1696,A30,GERAL!AE$8:AE$1696)</f>
        <v>55501</v>
      </c>
      <c r="G30" s="85">
        <f>SUMIF(GERAL!A$8:A$1696,A30,GERAL!AJ$8:AJ$1696)</f>
        <v>67734</v>
      </c>
      <c r="H30" s="85">
        <f>SUMIF(GERAL!A$8:A$1696,A30,GERAL!AN$8:AN$1696)</f>
        <v>4485</v>
      </c>
      <c r="I30" s="85">
        <f>SUMIF(GERAL!A$8:A$1696,A30,GERAL!AR$8:AW$1696)</f>
        <v>19680</v>
      </c>
      <c r="J30" s="85">
        <f>SUMIF(GERAL!A$8:A$1696,A30,GERAL!AW$8:AW$1696)</f>
        <v>35535</v>
      </c>
      <c r="K30" s="88">
        <f>SUMIF(GERAL!A$8:A$1696,A30,GERAL!AX$8:AX$1696)</f>
        <v>182935</v>
      </c>
      <c r="L30" s="95">
        <f>COUNTIFS(GERAL!A$8:A$1696,A30,GERAL!AY$8:AY$1696,"&gt;0",GERAL!C$8:C$1696,"ESCOLA")</f>
        <v>229</v>
      </c>
      <c r="M30" s="75">
        <f>COUNTIFS(GERAL!A$8:A$1696,A30,GERAL!AY$8:AY$1696,"&gt;0",GERAL!C$8:C$1696,"ANEXO")</f>
        <v>8</v>
      </c>
      <c r="N30" s="100">
        <f>SUMIF(GERAL!A$8:A$1696,A30,GERAL!V$8:V$1696)+SUMIF(GERAL!A$8:A$1696,A30,GERAL!W$8:W$1696)</f>
        <v>0</v>
      </c>
      <c r="O30" s="100">
        <f>SUMIF(GERAL!A$8:A$1696,A30,GERAL!AA$8:AA$1696)+SUMIF(GERAL!A$8:A$1696,A30,GERAL!AB$8:AB$1696)</f>
        <v>44699</v>
      </c>
      <c r="P30" s="100">
        <f>SUMIF(GERAL!A$8:A$1696,A30,GERAL!AF$8:AF$1696)+SUMIF(GERAL!A$8:A$1696,A30,GERAL!AG$8:AG$1696)</f>
        <v>52453</v>
      </c>
      <c r="Q30" s="100">
        <f>SUMIF(GERAL!A$8:A$1696,A30,GERAL!AK$8:AK$1696)+SUMIF(GERAL!A$8:A$1696,A30,GERAL!AL$8:AL$1696)</f>
        <v>1369</v>
      </c>
      <c r="R30" s="100">
        <f>SUMIF(GERAL!A$8:A$1696,A30,GERAL!AO$8:AO$1696)+SUMIF(GERAL!A$8:A$1696,A30,GERAL!AP$8:AP$1696)</f>
        <v>325</v>
      </c>
      <c r="S30" s="100">
        <f>SUMIF(GERAL!A$8:A$1696,A30,GERAL!AS$8:AS$1696)+SUMIF(GERAL!A$8:A$1696,A30,GERAL!AT$8:AT$1696)</f>
        <v>18882</v>
      </c>
      <c r="T30" s="103">
        <f t="shared" si="1"/>
        <v>117728</v>
      </c>
      <c r="U30" s="75">
        <f>COUNTIFS(GERAL!A$8:A$1696,A30,GERAL!AZ$8:AZ$1696,"&gt;0",GERAL!C$8:C$1696,"ESCOLA")</f>
        <v>165</v>
      </c>
      <c r="V30" s="75">
        <f>COUNTIFS(GERAL!A$8:A$1696,A30,GERAL!AZ$8:AZ$1696,"&gt;0",GERAL!C$8:C$1696,"ANEXO")</f>
        <v>6</v>
      </c>
      <c r="W30" s="85">
        <f>SUMIF(GERAL!A$8:A$1696,A30,GERAL!AH$8:AH$1696)</f>
        <v>54</v>
      </c>
      <c r="X30" s="85">
        <f>SUMIF(GERAL!A$8:A$1696,A30,GERAL!AM$8:AM$1696)</f>
        <v>3116</v>
      </c>
      <c r="Y30" s="85">
        <f>SUMIF(GERAL!A$8:A$1696,A30,GERAL!AQ$8:AQ$1696)</f>
        <v>19355</v>
      </c>
      <c r="Z30" s="85">
        <f>SUMIF(GERAL!A$8:A$1696,A30,GERAL!AU$8:AU$1696)</f>
        <v>12767</v>
      </c>
      <c r="AA30" s="88">
        <f t="shared" si="2"/>
        <v>35292</v>
      </c>
      <c r="AB30" s="116">
        <f>COUNTIFS(GERAL!A$8:A$1696,A30,GERAL!BK$8:BK$1696,"&gt;0",GERAL!C$8:C$1696,"ESCOLA")</f>
        <v>125</v>
      </c>
      <c r="AC30" s="118">
        <f>COUNTIFS(GERAL!A$8:A$1696,A30,GERAL!BK$8:BK$1696,"&gt;0",GERAL!C$8:C$1696,"ANEXO")</f>
        <v>0</v>
      </c>
      <c r="AD30" s="118">
        <f>COUNTIFS(GERAL!A$8:A$1696,A30,GERAL!BK$8:BK$1696,"&gt;0",GERAL!C$8:C$1696,"EFA")</f>
        <v>1</v>
      </c>
      <c r="AE30" s="118">
        <f>COUNTIFS('BALANÇO POR MUNICIPIOS'!$AF$18:$AF$434,"&gt;0",'BALANÇO POR MUNICIPIOS'!$AM$18:$AM$434,A30)</f>
        <v>13</v>
      </c>
      <c r="AF30" s="118">
        <f>COUNTIFS('BALANÇO POR MUNICIPIOS'!$AF$18:$AF$434,"=0",'BALANÇO POR MUNICIPIOS'!$AM$18:$AM$434,A30)</f>
        <v>0</v>
      </c>
      <c r="AG30" s="121">
        <f>SUMIF(GERAL!A$8:A$1696,A30,GERAL!AD$8:AD$1696)</f>
        <v>10802</v>
      </c>
      <c r="AH30" s="121">
        <f>SUMIF(GERAL!A$8:A$1696,A30,GERAL!AI$8:AI$1696)</f>
        <v>15227</v>
      </c>
      <c r="AI30" s="121">
        <f>SUMIF(GERAL!A$8:A$1696,A30,GERAL!AV$8:AV$1696)</f>
        <v>3886</v>
      </c>
      <c r="AJ30" s="124">
        <f t="shared" si="3"/>
        <v>29915</v>
      </c>
      <c r="AK30" s="116">
        <f>COUNTIFS(GERAL!A$8:A$1696,A30,GERAL!AW$8:AW$1696,"&gt;0",GERAL!C$8:C$1696,"ESCOLA")</f>
        <v>102</v>
      </c>
      <c r="AL30" s="118">
        <f>COUNTIFS(GERAL!A$8:A$1696,A30,GERAL!AW$8:AW$1696,"&gt;0",GERAL!C$8:C$1696,"ANEXO")</f>
        <v>1</v>
      </c>
      <c r="AM30" s="118">
        <f>COUNTIFS('BALANÇO POR MUNICIPIOS'!$AL$18:$AL$434,"&gt;0",'BALANÇO POR MUNICIPIOS'!$AM$18:$AM$434,A30)</f>
        <v>13</v>
      </c>
      <c r="AN30" s="118">
        <f>COUNTIFS('BALANÇO POR MUNICIPIOS'!$AL$18:$AL$434,"=0",'BALANÇO POR MUNICIPIOS'!$AM$18:$AM$434,A30)</f>
        <v>0</v>
      </c>
      <c r="AO30" s="176">
        <f>SUMIF(GERAL!A$8:A$1696,A30,GERAL!AS$8:AS$1696)+SUMIF(GERAL!A$8:A$1696,A30,GERAL!AT$8:AT$1696)</f>
        <v>18882</v>
      </c>
      <c r="AP30" s="176">
        <f>SUMIF(GERAL!A$8:A$1696,A30,GERAL!AU$8:AU$1696)</f>
        <v>12767</v>
      </c>
      <c r="AQ30" s="176">
        <f>SUMIF(GERAL!A$8:A$1696,A30,GERAL!AV$8:AV$1696)</f>
        <v>3886</v>
      </c>
      <c r="AR30" s="177">
        <f>SUMIF(GERAL!A$8:A$1696,A30,GERAL!AW$8:AW$1696)</f>
        <v>35535</v>
      </c>
      <c r="AS30" s="116">
        <f>COUNTIFS(GERAL!A$8:A$1696,A30,GERAL!AJ$8:AJ$1696,"&gt;0",GERAL!C$8:C$1696,"ESCOLA")</f>
        <v>160</v>
      </c>
      <c r="AT30" s="118">
        <f>COUNTIFS(GERAL!A$8:A$1696,A30,GERAL!AJ$8:AJ$1696,"&gt;0",GERAL!C$8:C$1696,"ANEXO")</f>
        <v>2</v>
      </c>
      <c r="AU30" s="118">
        <f>COUNTIFS(GERAL!A$8:A$1696,A30,GERAL!AJ$8:AJ$1696,"&gt;0",GERAL!C$8:C$1696,"EFA")</f>
        <v>1</v>
      </c>
      <c r="AV30" s="118">
        <f>COUNTIFS('BALANÇO POR MUNICIPIOS'!$F$18:$F$434,"&gt;0",'BALANÇO POR MUNICIPIOS'!$AM$18:$AM$434,A30)</f>
        <v>13</v>
      </c>
      <c r="AW30" s="178">
        <f>COUNTIFS('BALANÇO POR MUNICIPIOS'!$F$18:$F$434,"=0",'BALANÇO POR MUNICIPIOS'!$AM$18:$AM$434,A30)</f>
        <v>0</v>
      </c>
      <c r="AX30" s="177">
        <f>SUMIF(GERAL!A$8:A$1696,A30,GERAL!AF$8:AF$1696)+SUMIF(GERAL!A$8:A$1696,A30,GERAL!AG$8:AG$1696)</f>
        <v>52453</v>
      </c>
      <c r="AY30" s="177">
        <f>SUMIF(GERAL!A$8:A$1696,A30,GERAL!AH$8:AH$1696)</f>
        <v>54</v>
      </c>
      <c r="AZ30" s="177">
        <f>SUMIF(GERAL!A$8:A$1696,A30,GERAL!AI$8:AI$1696)</f>
        <v>15227</v>
      </c>
      <c r="BA30" s="134">
        <f>SUMIF(GERAL!A$8:A$1696,A30,GERAL!AJ$8:AJ$1696)</f>
        <v>67734</v>
      </c>
      <c r="BB30" s="116">
        <f>COUNTIFS(GERAL!A$8:A$1696,A30,GERAL!AR$8:AR$1696,"&gt;0",GERAL!C$8:C$1696,"ESCOLA")</f>
        <v>141</v>
      </c>
      <c r="BC30" s="118">
        <f>COUNTIFS(GERAL!A$8:A$1696,A30,GERAL!AR$8:AR$1696,"&gt;0",GERAL!C$8:C$1696,"ANEXO")</f>
        <v>7</v>
      </c>
      <c r="BD30" s="118">
        <f>COUNTIFS(GERAL!A$8:A$1696,A30,GERAL!AR$8:AR$1696,"&gt;0",GERAL!C$8:C$1696,"EFA")</f>
        <v>0</v>
      </c>
      <c r="BE30" s="118">
        <f>COUNTIFS('BALANÇO POR MUNICIPIOS'!$H$18:$H$434,"&gt;0",'BALANÇO POR MUNICIPIOS'!$AM$18:$AM$434,A30)</f>
        <v>13</v>
      </c>
      <c r="BF30" s="118">
        <f>COUNTIFS('BALANÇO POR MUNICIPIOS'!$H$18:$H$434,"=0",'BALANÇO POR MUNICIPIOS'!$AM$18:$AM$434,A30)</f>
        <v>0</v>
      </c>
      <c r="BG30" s="177">
        <f>SUMIF(GERAL!A$8:A$1696,A30,GERAL!AO$8:AO$1696)+SUMIF(GERAL!A$8:A$1696,A30,GERAL!AP$8:AP$1696)</f>
        <v>325</v>
      </c>
      <c r="BH30" s="177">
        <f>SUMIF(GERAL!A$8:A$1696,A30,GERAL!AQ$8:AQ$1696)</f>
        <v>19355</v>
      </c>
      <c r="BI30" s="124">
        <f>SUMIF(GERAL!A$8:A$1696,A30,GERAL!AR$8:AR$1696)</f>
        <v>19680</v>
      </c>
      <c r="BJ30" s="116">
        <f>COUNTIFS(GERAL!A$8:A$1696,A30,GERAL!AR$8:AR$1696,"&gt;0",GERAL!AJ$8:AJ$1696,"&gt;0",GERAL!C$8:C$1696,"ESCOLA")</f>
        <v>130</v>
      </c>
      <c r="BK30" s="118">
        <f>COUNTIFS(GERAL!A$8:A$1696,A30,GERAL!AR$8:AR$1696,"&gt;0",GERAL!AJ$8:AJ$1696,"&gt;0",GERAL!C$8:C$1696,"ANEXO")</f>
        <v>1</v>
      </c>
      <c r="BL30" s="118">
        <f>COUNTIFS('BALANÇO POR MUNICIPIOS'!$AM$18:$AM$434,A30,'BALANÇO POR MUNICIPIOS'!$H$18:$H$434,"&gt;0",'BALANÇO POR MUNICIPIOS'!$F$18:$F$434,"&gt;0")</f>
        <v>13</v>
      </c>
      <c r="BM30" s="118">
        <f t="shared" si="4"/>
        <v>87414</v>
      </c>
      <c r="BN30" s="116">
        <f>COUNTIFS(GERAL!A$8:A$1696,A30,GERAL!AN$8:AN$1696,"&gt;0",GERAL!C$8:C$1696,"ESCOLA")</f>
        <v>52</v>
      </c>
      <c r="BO30" s="118">
        <f>COUNTIFS(GERAL!A$8:A$1696,A30,GERAL!AN$8:AN$1696,"&gt;0",GERAL!C$8:C$1696,"ANEXO")</f>
        <v>2</v>
      </c>
      <c r="BP30" s="118">
        <f>COUNTIFS(GERAL!A$8:A$1696,A30,GERAL!AN$8:AN$1696,"&gt;0",GERAL!C$8:C$1696,"EFA")</f>
        <v>0</v>
      </c>
      <c r="BQ30" s="118">
        <f>COUNTIFS('BALANÇO POR MUNICIPIOS'!$G$18:$G$434,"&gt;0",'BALANÇO POR MUNICIPIOS'!$AM$18:$AM$434,A30)</f>
        <v>3</v>
      </c>
      <c r="BR30" s="118">
        <f>COUNTIFS('BALANÇO POR MUNICIPIOS'!$G$18:$G$434,"=0",'BALANÇO POR MUNICIPIOS'!$AM$18:$AM$434,A30)</f>
        <v>10</v>
      </c>
      <c r="BS30" s="177">
        <f>SUMIF(GERAL!A$8:A$1696,A30,GERAL!AK$8:AK$1696)+SUMIF(GERAL!A$8:A$1696,A30,GERAL!AL$8:AL$1696)</f>
        <v>1369</v>
      </c>
      <c r="BT30" s="177">
        <f>SUMIF(GERAL!A$8:A$1696,A30,GERAL!AM$8:AM$1696)</f>
        <v>3116</v>
      </c>
      <c r="BU30" s="118">
        <f>SUMIF(GERAL!A$8:A$1696,A30,GERAL!AN$8:AN$1696)</f>
        <v>4485</v>
      </c>
      <c r="BV30" s="207">
        <f>COUNTIFS(GERAL!A$8:A$1696,A30,GERAL!AE$8:AE$1696,"&gt;0",GERAL!C$8:C$1696,"ESCOLA")</f>
        <v>139</v>
      </c>
      <c r="BW30" s="207">
        <f>COUNTIFS(GERAL!A$8:A$1696,A30,GERAL!AE$8:AE$1696,"&gt;0",GERAL!C$8:C$1696,"ANEXO")</f>
        <v>2</v>
      </c>
      <c r="BX30" s="207">
        <f>COUNTIFS(GERAL!A$8:A$1696,A30,GERAL!AE$8:AE$1696,"&gt;0",GERAL!C$8:C$1696,"EFA")</f>
        <v>0</v>
      </c>
      <c r="BY30" s="177">
        <f>COUNTIFS('BALANÇO POR MUNICIPIOS'!$E$18:$E$434,"&gt;0",'BALANÇO POR MUNICIPIOS'!$AM$18:$AM$434,A30)</f>
        <v>3</v>
      </c>
      <c r="BZ30" s="177">
        <f>COUNTIFS('BALANÇO POR MUNICIPIOS'!$E$18:$E$434,"=0",'BALANÇO POR MUNICIPIOS'!$AM$18:$AM$434,A30)</f>
        <v>10</v>
      </c>
      <c r="CA30" s="177">
        <f>SUMIF(GERAL!A$8:A$1696,A30,GERAL!AA$8:AA$1696)+SUMIF(GERAL!A$8:A$1696,A30,GERAL!AB$8:AB$1696)</f>
        <v>44699</v>
      </c>
      <c r="CB30" s="177">
        <f>SUMIF(GERAL!A$8:A$1696,A30,GERAL!AC$8:AC$1696)</f>
        <v>0</v>
      </c>
      <c r="CC30" s="118">
        <f>SUMIF(GERAL!A$8:A$1696,A30,GERAL!AE$8:AE$1696)</f>
        <v>55501</v>
      </c>
      <c r="CD30" s="118">
        <f>COUNTIFS(GERAL!A$8:A$1696,A30,GERAL!Z$8:Z$1696,"&gt;0",GERAL!C$8:C$1696,"ESCOLA")</f>
        <v>0</v>
      </c>
      <c r="CE30" s="118">
        <f>COUNTIFS(GERAL!A$8:A$1696,A30,GERAL!Z$8:Z$1696,"&gt;0",GERAL!C$8:C$1696,"ANEXO")</f>
        <v>0</v>
      </c>
      <c r="CF30" s="118">
        <f>COUNTIFS(GERAL!A$8:A$1696,A30,GERAL!Z$8:Z$1696,"&gt;0",GERAL!C$8:C$1696,"EFA")</f>
        <v>0</v>
      </c>
      <c r="CG30" s="177">
        <f>COUNTIFS('BALANÇO POR MUNICIPIOS'!$D$18:$D$434,"&gt;0",'BALANÇO POR MUNICIPIOS'!$AM$18:$AM$434,A30)</f>
        <v>0</v>
      </c>
      <c r="CH30" s="177">
        <f>COUNTIFS('BALANÇO POR MUNICIPIOS'!$D$18:$D$434,"=0",'BALANÇO POR MUNICIPIOS'!$AM$18:$AM$434,A30)</f>
        <v>13</v>
      </c>
      <c r="CI30" s="177">
        <f>SUMIF(GERAL!A$8:A$1696,A30,GERAL!V$8:V$1696)+SUMIF(GERAL!A$8:A$1696,A30,GERAL!W$8:W$1696)</f>
        <v>0</v>
      </c>
      <c r="CJ30" s="118">
        <f>SUMIF(GERAL!A$8:A$1696,A30,GERAL!Z$8:Z$1696)</f>
        <v>0</v>
      </c>
      <c r="CK30" s="118">
        <f>COUNTIFS(GERAL!$A$8:$A32,A30,GERAL!$BD$8:$BD32,"CEMIT",GERAL!$C$8:$C32,"ESCOLA")</f>
        <v>1</v>
      </c>
      <c r="CL30" s="118">
        <f>COUNTIFS(GERAL!$A$8:$A32,A30,GERAL!$BD$8:$BD32,"CEMIT",GERAL!$C$8:$C32,"ANEXO")</f>
        <v>0</v>
      </c>
      <c r="CM30" s="118">
        <f>SUMIFS(GERAL!$BB$8:$BB32,GERAL!$A$8:$A32,A30,GERAL!$BD$8:$BD32,"CEMIT")</f>
        <v>0</v>
      </c>
    </row>
    <row r="31">
      <c r="A31" s="151" t="s">
        <v>1842</v>
      </c>
      <c r="B31" s="75">
        <f>COUNTIFS(GERAL!$A$8:$A32,A31,GERAL!$C$8:$C32,"ESCOLA")</f>
        <v>20</v>
      </c>
      <c r="C31" s="75">
        <f>COUNTIFS(GERAL!A$8:A$1696,A31,GERAL!C$8:C$1696,"ANEXO")</f>
        <v>26</v>
      </c>
      <c r="D31" s="75">
        <f>COUNTIFS(GERAL!A$8:A$1696,A31,GERAL!C$8:C$1696,"EFA")</f>
        <v>0</v>
      </c>
      <c r="E31" s="85">
        <f>SUMIF(GERAL!A$8:A$1696,A31,GERAL!Z$8:Z$1696)</f>
        <v>0</v>
      </c>
      <c r="F31" s="85">
        <f>SUMIF(GERAL!A$8:A$1696,A31,GERAL!AE$8:AE$1696)</f>
        <v>0</v>
      </c>
      <c r="G31" s="85">
        <f>SUMIF(GERAL!A$8:A$1696,A31,GERAL!AJ$8:AJ$1696)</f>
        <v>6558</v>
      </c>
      <c r="H31" s="85">
        <f>SUMIF(GERAL!A$8:A$1696,A31,GERAL!AN$8:AN$1696)</f>
        <v>80</v>
      </c>
      <c r="I31" s="85">
        <f>SUMIF(GERAL!A$8:A$1696,A31,GERAL!AR$8:AW$1696)</f>
        <v>3172</v>
      </c>
      <c r="J31" s="85">
        <f>SUMIF(GERAL!A$8:A$1696,A31,GERAL!AW$8:AW$1696)</f>
        <v>2150</v>
      </c>
      <c r="K31" s="88">
        <f>SUMIF(GERAL!A$8:A$1696,A31,GERAL!AX$8:AX$1696)</f>
        <v>11960</v>
      </c>
      <c r="L31" s="95">
        <f>COUNTIFS(GERAL!A$8:A$1696,A31,GERAL!AY$8:AY$1696,"&gt;0",GERAL!C$8:C$1696,"ESCOLA")</f>
        <v>20</v>
      </c>
      <c r="M31" s="75">
        <f>COUNTIFS(GERAL!A$8:A$1696,A31,GERAL!AY$8:AY$1696,"&gt;0",GERAL!C$8:C$1696,"ANEXO")</f>
        <v>7</v>
      </c>
      <c r="N31" s="100">
        <f>SUMIF(GERAL!A$8:A$1696,A31,GERAL!V$8:V$1696)+SUMIF(GERAL!A$8:A$1696,A31,GERAL!W$8:W$1696)</f>
        <v>0</v>
      </c>
      <c r="O31" s="100">
        <f>SUMIF(GERAL!A$8:A$1696,A31,GERAL!AA$8:AA$1696)+SUMIF(GERAL!A$8:A$1696,A31,GERAL!AB$8:AB$1696)</f>
        <v>0</v>
      </c>
      <c r="P31" s="100">
        <f>SUMIF(GERAL!A$8:A$1696,A31,GERAL!AF$8:AF$1696)+SUMIF(GERAL!A$8:A$1696,A31,GERAL!AG$8:AG$1696)</f>
        <v>4443</v>
      </c>
      <c r="Q31" s="100">
        <f>SUMIF(GERAL!A$8:A$1696,A31,GERAL!AK$8:AK$1696)+SUMIF(GERAL!A$8:A$1696,A31,GERAL!AL$8:AL$1696)</f>
        <v>80</v>
      </c>
      <c r="R31" s="100">
        <f>SUMIF(GERAL!A$8:A$1696,A31,GERAL!AO$8:AO$1696)+SUMIF(GERAL!A$8:A$1696,A31,GERAL!AP$8:AP$1696)</f>
        <v>51</v>
      </c>
      <c r="S31" s="100">
        <f>SUMIF(GERAL!A$8:A$1696,A31,GERAL!AS$8:AS$1696)+SUMIF(GERAL!A$8:A$1696,A31,GERAL!AT$8:AT$1696)</f>
        <v>1566</v>
      </c>
      <c r="T31" s="103">
        <f t="shared" si="1"/>
        <v>6140</v>
      </c>
      <c r="U31" s="75">
        <f>COUNTIFS(GERAL!A$8:A$1696,A31,GERAL!AZ$8:AZ$1696,"&gt;0",GERAL!C$8:C$1696,"ESCOLA")</f>
        <v>18</v>
      </c>
      <c r="V31" s="75">
        <f>COUNTIFS(GERAL!A$8:A$1696,A31,GERAL!AZ$8:AZ$1696,"&gt;0",GERAL!C$8:C$1696,"ANEXO")</f>
        <v>25</v>
      </c>
      <c r="W31" s="85">
        <f>SUMIF(GERAL!A$8:A$1696,A31,GERAL!AH$8:AH$1696)</f>
        <v>336</v>
      </c>
      <c r="X31" s="85">
        <f>SUMIF(GERAL!A$8:A$1696,A31,GERAL!AM$8:AM$1696)</f>
        <v>0</v>
      </c>
      <c r="Y31" s="85">
        <f>SUMIF(GERAL!A$8:A$1696,A31,GERAL!AQ$8:AQ$1696)</f>
        <v>3121</v>
      </c>
      <c r="Z31" s="85">
        <f>SUMIF(GERAL!A$8:A$1696,A31,GERAL!AU$8:AU$1696)</f>
        <v>289</v>
      </c>
      <c r="AA31" s="88">
        <f t="shared" si="2"/>
        <v>3746</v>
      </c>
      <c r="AB31" s="116">
        <f>COUNTIFS(GERAL!A$8:A$1696,A31,GERAL!BK$8:BK$1696,"&gt;0",GERAL!C$8:C$1696,"ESCOLA")</f>
        <v>9</v>
      </c>
      <c r="AC31" s="118">
        <f>COUNTIFS(GERAL!A$8:A$1696,A31,GERAL!BK$8:BK$1696,"&gt;0",GERAL!C$8:C$1696,"ANEXO")</f>
        <v>0</v>
      </c>
      <c r="AD31" s="118">
        <f>COUNTIFS(GERAL!A$8:A$1696,A31,GERAL!BK$8:BK$1696,"&gt;0",GERAL!C$8:C$1696,"EFA")</f>
        <v>0</v>
      </c>
      <c r="AE31" s="118">
        <f>COUNTIFS('BALANÇO POR MUNICIPIOS'!$AF$18:$AF$434,"&gt;0",'BALANÇO POR MUNICIPIOS'!$AM$18:$AM$434,A31)</f>
        <v>5</v>
      </c>
      <c r="AF31" s="118">
        <f>COUNTIFS('BALANÇO POR MUNICIPIOS'!$AF$18:$AF$434,"=0",'BALANÇO POR MUNICIPIOS'!$AM$18:$AM$434,A31)</f>
        <v>3</v>
      </c>
      <c r="AG31" s="121">
        <f>SUMIF(GERAL!A$8:A$1696,A31,GERAL!AD$8:AD$1696)</f>
        <v>0</v>
      </c>
      <c r="AH31" s="121">
        <f>SUMIF(GERAL!A$8:A$1696,A31,GERAL!AI$8:AI$1696)</f>
        <v>1779</v>
      </c>
      <c r="AI31" s="121">
        <f>SUMIF(GERAL!A$8:A$1696,A31,GERAL!AV$8:AV$1696)</f>
        <v>295</v>
      </c>
      <c r="AJ31" s="124">
        <f t="shared" si="3"/>
        <v>2074</v>
      </c>
      <c r="AK31" s="116">
        <f>COUNTIFS(GERAL!A$8:A$1696,A31,GERAL!AW$8:AW$1696,"&gt;0",GERAL!C$8:C$1696,"ESCOLA")</f>
        <v>10</v>
      </c>
      <c r="AL31" s="118">
        <f>COUNTIFS(GERAL!A$8:A$1696,A31,GERAL!AW$8:AW$1696,"&gt;0",GERAL!C$8:C$1696,"ANEXO")</f>
        <v>0</v>
      </c>
      <c r="AM31" s="118">
        <f>COUNTIFS('BALANÇO POR MUNICIPIOS'!$AL$18:$AL$434,"&gt;0",'BALANÇO POR MUNICIPIOS'!$AM$18:$AM$434,A31)</f>
        <v>8</v>
      </c>
      <c r="AN31" s="118">
        <f>COUNTIFS('BALANÇO POR MUNICIPIOS'!$AL$18:$AL$434,"=0",'BALANÇO POR MUNICIPIOS'!$AM$18:$AM$434,A31)</f>
        <v>0</v>
      </c>
      <c r="AO31" s="176">
        <f>SUMIF(GERAL!A$8:A$1696,A31,GERAL!AS$8:AS$1696)+SUMIF(GERAL!A$8:A$1696,A31,GERAL!AT$8:AT$1696)</f>
        <v>1566</v>
      </c>
      <c r="AP31" s="176">
        <f>SUMIF(GERAL!A$8:A$1696,A31,GERAL!AU$8:AU$1696)</f>
        <v>289</v>
      </c>
      <c r="AQ31" s="176">
        <f>SUMIF(GERAL!A$8:A$1696,A31,GERAL!AV$8:AV$1696)</f>
        <v>295</v>
      </c>
      <c r="AR31" s="177">
        <f>SUMIF(GERAL!A$8:A$1696,A31,GERAL!AW$8:AW$1696)</f>
        <v>2150</v>
      </c>
      <c r="AS31" s="116">
        <f>COUNTIFS(GERAL!A$8:A$1696,A31,GERAL!AJ$8:AJ$1696,"&gt;0",GERAL!C$8:C$1696,"ESCOLA")</f>
        <v>19</v>
      </c>
      <c r="AT31" s="118">
        <f>COUNTIFS(GERAL!A$8:A$1696,A31,GERAL!AJ$8:AJ$1696,"&gt;0",GERAL!C$8:C$1696,"ANEXO")</f>
        <v>12</v>
      </c>
      <c r="AU31" s="118">
        <f>COUNTIFS(GERAL!A$8:A$1696,A31,GERAL!AJ$8:AJ$1696,"&gt;0",GERAL!C$8:C$1696,"EFA")</f>
        <v>0</v>
      </c>
      <c r="AV31" s="118">
        <f>COUNTIFS('BALANÇO POR MUNICIPIOS'!$F$18:$F$434,"&gt;0",'BALANÇO POR MUNICIPIOS'!$AM$18:$AM$434,A31)</f>
        <v>8</v>
      </c>
      <c r="AW31" s="178">
        <f>COUNTIFS('BALANÇO POR MUNICIPIOS'!$F$18:$F$434,"=0",'BALANÇO POR MUNICIPIOS'!$AM$18:$AM$434,A31)</f>
        <v>0</v>
      </c>
      <c r="AX31" s="177">
        <f>SUMIF(GERAL!A$8:A$1696,A31,GERAL!AF$8:AF$1696)+SUMIF(GERAL!A$8:A$1696,A31,GERAL!AG$8:AG$1696)</f>
        <v>4443</v>
      </c>
      <c r="AY31" s="177">
        <f>SUMIF(GERAL!A$8:A$1696,A31,GERAL!AH$8:AH$1696)</f>
        <v>336</v>
      </c>
      <c r="AZ31" s="177">
        <f>SUMIF(GERAL!A$8:A$1696,A31,GERAL!AI$8:AI$1696)</f>
        <v>1779</v>
      </c>
      <c r="BA31" s="134">
        <f>SUMIF(GERAL!A$8:A$1696,A31,GERAL!AJ$8:AJ$1696)</f>
        <v>6558</v>
      </c>
      <c r="BB31" s="116">
        <f>COUNTIFS(GERAL!A$8:A$1696,A31,GERAL!AR$8:AR$1696,"&gt;0",GERAL!C$8:C$1696,"ESCOLA")</f>
        <v>15</v>
      </c>
      <c r="BC31" s="118">
        <f>COUNTIFS(GERAL!A$8:A$1696,A31,GERAL!AR$8:AR$1696,"&gt;0",GERAL!C$8:C$1696,"ANEXO")</f>
        <v>18</v>
      </c>
      <c r="BD31" s="118">
        <f>COUNTIFS(GERAL!A$8:A$1696,A31,GERAL!AR$8:AR$1696,"&gt;0",GERAL!C$8:C$1696,"EFA")</f>
        <v>0</v>
      </c>
      <c r="BE31" s="118">
        <f>COUNTIFS('BALANÇO POR MUNICIPIOS'!$H$18:$H$434,"&gt;0",'BALANÇO POR MUNICIPIOS'!$AM$18:$AM$434,A31)</f>
        <v>8</v>
      </c>
      <c r="BF31" s="118">
        <f>COUNTIFS('BALANÇO POR MUNICIPIOS'!$H$18:$H$434,"=0",'BALANÇO POR MUNICIPIOS'!$AM$18:$AM$434,A31)</f>
        <v>0</v>
      </c>
      <c r="BG31" s="177">
        <f>SUMIF(GERAL!A$8:A$1696,A31,GERAL!AO$8:AO$1696)+SUMIF(GERAL!A$8:A$1696,A31,GERAL!AP$8:AP$1696)</f>
        <v>51</v>
      </c>
      <c r="BH31" s="177">
        <f>SUMIF(GERAL!A$8:A$1696,A31,GERAL!AQ$8:AQ$1696)</f>
        <v>3121</v>
      </c>
      <c r="BI31" s="124">
        <f>SUMIF(GERAL!A$8:A$1696,A31,GERAL!AR$8:AR$1696)</f>
        <v>3172</v>
      </c>
      <c r="BJ31" s="116">
        <f>COUNTIFS(GERAL!A$8:A$1696,A31,GERAL!AR$8:AR$1696,"&gt;0",GERAL!AJ$8:AJ$1696,"&gt;0",GERAL!C$8:C$1696,"ESCOLA")</f>
        <v>15</v>
      </c>
      <c r="BK31" s="118">
        <f>COUNTIFS(GERAL!A$8:A$1696,A31,GERAL!AR$8:AR$1696,"&gt;0",GERAL!AJ$8:AJ$1696,"&gt;0",GERAL!C$8:C$1696,"ANEXO")</f>
        <v>4</v>
      </c>
      <c r="BL31" s="118">
        <f>COUNTIFS('BALANÇO POR MUNICIPIOS'!$AM$18:$AM$434,A31,'BALANÇO POR MUNICIPIOS'!$H$18:$H$434,"&gt;0",'BALANÇO POR MUNICIPIOS'!$F$18:$F$434,"&gt;0")</f>
        <v>8</v>
      </c>
      <c r="BM31" s="118">
        <f t="shared" si="4"/>
        <v>9730</v>
      </c>
      <c r="BN31" s="116">
        <f>COUNTIFS(GERAL!A$8:A$1696,A31,GERAL!AN$8:AN$1696,"&gt;0",GERAL!C$8:C$1696,"ESCOLA")</f>
        <v>0</v>
      </c>
      <c r="BO31" s="118">
        <f>COUNTIFS(GERAL!A$8:A$1696,A31,GERAL!AN$8:AN$1696,"&gt;0",GERAL!C$8:C$1696,"ANEXO")</f>
        <v>1</v>
      </c>
      <c r="BP31" s="118">
        <f>COUNTIFS(GERAL!A$8:A$1696,A31,GERAL!AN$8:AN$1696,"&gt;0",GERAL!C$8:C$1696,"EFA")</f>
        <v>0</v>
      </c>
      <c r="BQ31" s="118">
        <f>COUNTIFS('BALANÇO POR MUNICIPIOS'!$G$18:$G$434,"&gt;0",'BALANÇO POR MUNICIPIOS'!$AM$18:$AM$434,A31)</f>
        <v>1</v>
      </c>
      <c r="BR31" s="118">
        <f>COUNTIFS('BALANÇO POR MUNICIPIOS'!$G$18:$G$434,"=0",'BALANÇO POR MUNICIPIOS'!$AM$18:$AM$434,A31)</f>
        <v>7</v>
      </c>
      <c r="BS31" s="177">
        <f>SUMIF(GERAL!A$8:A$1696,A31,GERAL!AK$8:AK$1696)+SUMIF(GERAL!A$8:A$1696,A31,GERAL!AL$8:AL$1696)</f>
        <v>80</v>
      </c>
      <c r="BT31" s="177">
        <f>SUMIF(GERAL!A$8:A$1696,A31,GERAL!AM$8:AM$1696)</f>
        <v>0</v>
      </c>
      <c r="BU31" s="118">
        <f>SUMIF(GERAL!A$8:A$1696,A31,GERAL!AN$8:AN$1696)</f>
        <v>80</v>
      </c>
      <c r="BV31" s="207">
        <f>COUNTIFS(GERAL!A$8:A$1696,A31,GERAL!AE$8:AE$1696,"&gt;0",GERAL!C$8:C$1696,"ESCOLA")</f>
        <v>0</v>
      </c>
      <c r="BW31" s="207">
        <f>COUNTIFS(GERAL!A$8:A$1696,A31,GERAL!AE$8:AE$1696,"&gt;0",GERAL!C$8:C$1696,"ANEXO")</f>
        <v>0</v>
      </c>
      <c r="BX31" s="207">
        <f>COUNTIFS(GERAL!A$8:A$1696,A31,GERAL!AE$8:AE$1696,"&gt;0",GERAL!C$8:C$1696,"EFA")</f>
        <v>0</v>
      </c>
      <c r="BY31" s="177">
        <f>COUNTIFS('BALANÇO POR MUNICIPIOS'!$E$18:$E$434,"&gt;0",'BALANÇO POR MUNICIPIOS'!$AM$18:$AM$434,A31)</f>
        <v>0</v>
      </c>
      <c r="BZ31" s="177">
        <f>COUNTIFS('BALANÇO POR MUNICIPIOS'!$E$18:$E$434,"=0",'BALANÇO POR MUNICIPIOS'!$AM$18:$AM$434,A31)</f>
        <v>8</v>
      </c>
      <c r="CA31" s="177">
        <f>SUMIF(GERAL!A$8:A$1696,A31,GERAL!AA$8:AA$1696)+SUMIF(GERAL!A$8:A$1696,A31,GERAL!AB$8:AB$1696)</f>
        <v>0</v>
      </c>
      <c r="CB31" s="177">
        <f>SUMIF(GERAL!A$8:A$1696,A31,GERAL!AC$8:AC$1696)</f>
        <v>0</v>
      </c>
      <c r="CC31" s="118">
        <f>SUMIF(GERAL!A$8:A$1696,A31,GERAL!AE$8:AE$1696)</f>
        <v>0</v>
      </c>
      <c r="CD31" s="118">
        <f>COUNTIFS(GERAL!A$8:A$1696,A31,GERAL!Z$8:Z$1696,"&gt;0",GERAL!C$8:C$1696,"ESCOLA")</f>
        <v>0</v>
      </c>
      <c r="CE31" s="118">
        <f>COUNTIFS(GERAL!A$8:A$1696,A31,GERAL!Z$8:Z$1696,"&gt;0",GERAL!C$8:C$1696,"ANEXO")</f>
        <v>0</v>
      </c>
      <c r="CF31" s="118">
        <f>COUNTIFS(GERAL!A$8:A$1696,A31,GERAL!Z$8:Z$1696,"&gt;0",GERAL!C$8:C$1696,"EFA")</f>
        <v>0</v>
      </c>
      <c r="CG31" s="177">
        <f>COUNTIFS('BALANÇO POR MUNICIPIOS'!$D$18:$D$434,"&gt;0",'BALANÇO POR MUNICIPIOS'!$AM$18:$AM$434,A31)</f>
        <v>0</v>
      </c>
      <c r="CH31" s="177">
        <f>COUNTIFS('BALANÇO POR MUNICIPIOS'!$D$18:$D$434,"=0",'BALANÇO POR MUNICIPIOS'!$AM$18:$AM$434,A31)</f>
        <v>8</v>
      </c>
      <c r="CI31" s="177">
        <f>SUMIF(GERAL!A$8:A$1696,A31,GERAL!V$8:V$1696)+SUMIF(GERAL!A$8:A$1696,A31,GERAL!W$8:W$1696)</f>
        <v>0</v>
      </c>
      <c r="CJ31" s="118">
        <f>SUMIF(GERAL!A$8:A$1696,A31,GERAL!Z$8:Z$1696)</f>
        <v>0</v>
      </c>
      <c r="CK31" s="118">
        <f>COUNTIFS(GERAL!$A$8:$A32,A31,GERAL!$BD$8:$BD32,"CEMIT",GERAL!$C$8:$C32,"ESCOLA")</f>
        <v>0</v>
      </c>
      <c r="CL31" s="118">
        <f>COUNTIFS(GERAL!$A$8:$A32,A31,GERAL!$BD$8:$BD32,"CEMIT",GERAL!$C$8:$C32,"ANEXO")</f>
        <v>0</v>
      </c>
      <c r="CM31" s="118">
        <f>SUMIFS(GERAL!$BB$8:$BB32,GERAL!$A$8:$A32,A31,GERAL!$BD$8:$BD32,"CEMIT")</f>
        <v>0</v>
      </c>
    </row>
    <row r="32">
      <c r="A32" s="250" t="s">
        <v>142</v>
      </c>
      <c r="B32" s="251">
        <f t="shared" ref="B32:S32" si="5">SUM(B5:B31)</f>
        <v>1025</v>
      </c>
      <c r="C32" s="251">
        <f t="shared" si="5"/>
        <v>631</v>
      </c>
      <c r="D32" s="251">
        <f t="shared" si="5"/>
        <v>33</v>
      </c>
      <c r="E32" s="251">
        <f t="shared" si="5"/>
        <v>903</v>
      </c>
      <c r="F32" s="251">
        <f t="shared" si="5"/>
        <v>81328</v>
      </c>
      <c r="G32" s="251">
        <f t="shared" si="5"/>
        <v>310080</v>
      </c>
      <c r="H32" s="251">
        <f t="shared" si="5"/>
        <v>6730</v>
      </c>
      <c r="I32" s="251">
        <f t="shared" si="5"/>
        <v>84575</v>
      </c>
      <c r="J32" s="251">
        <f t="shared" si="5"/>
        <v>144345</v>
      </c>
      <c r="K32" s="252">
        <f t="shared" si="5"/>
        <v>627961</v>
      </c>
      <c r="L32" s="253">
        <f t="shared" si="5"/>
        <v>977</v>
      </c>
      <c r="M32" s="251">
        <f t="shared" si="5"/>
        <v>346</v>
      </c>
      <c r="N32" s="251">
        <f t="shared" si="5"/>
        <v>903</v>
      </c>
      <c r="O32" s="251">
        <f t="shared" si="5"/>
        <v>66584</v>
      </c>
      <c r="P32" s="251">
        <f t="shared" si="5"/>
        <v>175551</v>
      </c>
      <c r="Q32" s="251">
        <f t="shared" si="5"/>
        <v>2438</v>
      </c>
      <c r="R32" s="251">
        <f t="shared" si="5"/>
        <v>1410</v>
      </c>
      <c r="S32" s="251">
        <f t="shared" si="5"/>
        <v>78457</v>
      </c>
      <c r="T32" s="254">
        <f t="shared" si="1"/>
        <v>325343</v>
      </c>
      <c r="U32" s="251">
        <f t="shared" ref="U32:CM32" si="6">SUM(U5:U31)</f>
        <v>850</v>
      </c>
      <c r="V32" s="251">
        <f t="shared" si="6"/>
        <v>449</v>
      </c>
      <c r="W32" s="251">
        <f t="shared" si="6"/>
        <v>8346</v>
      </c>
      <c r="X32" s="251">
        <f t="shared" si="6"/>
        <v>4292</v>
      </c>
      <c r="Y32" s="251">
        <f t="shared" si="6"/>
        <v>83165</v>
      </c>
      <c r="Z32" s="251">
        <f t="shared" si="6"/>
        <v>39420</v>
      </c>
      <c r="AA32" s="251">
        <f t="shared" si="6"/>
        <v>135223</v>
      </c>
      <c r="AB32" s="253">
        <f t="shared" si="6"/>
        <v>681</v>
      </c>
      <c r="AC32" s="253">
        <f t="shared" si="6"/>
        <v>12</v>
      </c>
      <c r="AD32" s="253">
        <f t="shared" si="6"/>
        <v>33</v>
      </c>
      <c r="AE32" s="253">
        <f t="shared" si="6"/>
        <v>388</v>
      </c>
      <c r="AF32" s="253">
        <f t="shared" si="6"/>
        <v>29</v>
      </c>
      <c r="AG32" s="251">
        <f t="shared" si="6"/>
        <v>14744</v>
      </c>
      <c r="AH32" s="251">
        <f t="shared" si="6"/>
        <v>126183</v>
      </c>
      <c r="AI32" s="251">
        <f t="shared" si="6"/>
        <v>26468</v>
      </c>
      <c r="AJ32" s="252">
        <f t="shared" si="6"/>
        <v>167395</v>
      </c>
      <c r="AK32" s="439">
        <f t="shared" si="6"/>
        <v>610</v>
      </c>
      <c r="AL32" s="255">
        <f t="shared" si="6"/>
        <v>15</v>
      </c>
      <c r="AM32" s="255">
        <f t="shared" si="6"/>
        <v>416</v>
      </c>
      <c r="AN32" s="255">
        <f t="shared" si="6"/>
        <v>1</v>
      </c>
      <c r="AO32" s="256">
        <f t="shared" si="6"/>
        <v>78457</v>
      </c>
      <c r="AP32" s="256">
        <f t="shared" si="6"/>
        <v>39420</v>
      </c>
      <c r="AQ32" s="256">
        <f t="shared" si="6"/>
        <v>26468</v>
      </c>
      <c r="AR32" s="256">
        <f t="shared" si="6"/>
        <v>144345</v>
      </c>
      <c r="AS32" s="256">
        <f t="shared" si="6"/>
        <v>840</v>
      </c>
      <c r="AT32" s="256">
        <f t="shared" si="6"/>
        <v>460</v>
      </c>
      <c r="AU32" s="256">
        <f t="shared" si="6"/>
        <v>32</v>
      </c>
      <c r="AV32" s="256">
        <f t="shared" si="6"/>
        <v>417</v>
      </c>
      <c r="AW32" s="256">
        <f t="shared" si="6"/>
        <v>0</v>
      </c>
      <c r="AX32" s="256">
        <f t="shared" si="6"/>
        <v>175551</v>
      </c>
      <c r="AY32" s="256">
        <f t="shared" si="6"/>
        <v>8346</v>
      </c>
      <c r="AZ32" s="256">
        <f t="shared" si="6"/>
        <v>126183</v>
      </c>
      <c r="BA32" s="257">
        <f t="shared" si="6"/>
        <v>310080</v>
      </c>
      <c r="BB32" s="439">
        <f t="shared" si="6"/>
        <v>761</v>
      </c>
      <c r="BC32" s="256">
        <f t="shared" si="6"/>
        <v>209</v>
      </c>
      <c r="BD32" s="256">
        <f t="shared" si="6"/>
        <v>0</v>
      </c>
      <c r="BE32" s="256">
        <f t="shared" si="6"/>
        <v>408</v>
      </c>
      <c r="BF32" s="256">
        <f t="shared" si="6"/>
        <v>9</v>
      </c>
      <c r="BG32" s="256">
        <f t="shared" si="6"/>
        <v>1410</v>
      </c>
      <c r="BH32" s="256">
        <f t="shared" si="6"/>
        <v>83165</v>
      </c>
      <c r="BI32" s="257">
        <f t="shared" si="6"/>
        <v>84575</v>
      </c>
      <c r="BJ32" s="439">
        <f t="shared" si="6"/>
        <v>738</v>
      </c>
      <c r="BK32" s="255">
        <f t="shared" si="6"/>
        <v>73</v>
      </c>
      <c r="BL32" s="255">
        <f t="shared" si="6"/>
        <v>408</v>
      </c>
      <c r="BM32" s="255">
        <f t="shared" si="6"/>
        <v>394655</v>
      </c>
      <c r="BN32" s="255">
        <f t="shared" si="6"/>
        <v>86</v>
      </c>
      <c r="BO32" s="255">
        <f t="shared" si="6"/>
        <v>27</v>
      </c>
      <c r="BP32" s="255">
        <f t="shared" si="6"/>
        <v>0</v>
      </c>
      <c r="BQ32" s="255">
        <f t="shared" si="6"/>
        <v>23</v>
      </c>
      <c r="BR32" s="255">
        <f t="shared" si="6"/>
        <v>394</v>
      </c>
      <c r="BS32" s="255">
        <f t="shared" si="6"/>
        <v>2438</v>
      </c>
      <c r="BT32" s="255">
        <f t="shared" si="6"/>
        <v>4292</v>
      </c>
      <c r="BU32" s="255">
        <f t="shared" si="6"/>
        <v>6730</v>
      </c>
      <c r="BV32" s="255">
        <f t="shared" si="6"/>
        <v>224</v>
      </c>
      <c r="BW32" s="255">
        <f t="shared" si="6"/>
        <v>35</v>
      </c>
      <c r="BX32" s="255">
        <f t="shared" si="6"/>
        <v>16</v>
      </c>
      <c r="BY32" s="255">
        <f t="shared" si="6"/>
        <v>43</v>
      </c>
      <c r="BZ32" s="255">
        <f t="shared" si="6"/>
        <v>374</v>
      </c>
      <c r="CA32" s="255">
        <f t="shared" si="6"/>
        <v>66584</v>
      </c>
      <c r="CB32" s="255">
        <f t="shared" si="6"/>
        <v>0</v>
      </c>
      <c r="CC32" s="255">
        <f t="shared" si="6"/>
        <v>81328</v>
      </c>
      <c r="CD32" s="255">
        <f t="shared" si="6"/>
        <v>26</v>
      </c>
      <c r="CE32" s="255">
        <f t="shared" si="6"/>
        <v>28</v>
      </c>
      <c r="CF32" s="255">
        <f t="shared" si="6"/>
        <v>0</v>
      </c>
      <c r="CG32" s="255">
        <f t="shared" si="6"/>
        <v>11</v>
      </c>
      <c r="CH32" s="255">
        <f t="shared" si="6"/>
        <v>406</v>
      </c>
      <c r="CI32" s="255">
        <f t="shared" si="6"/>
        <v>903</v>
      </c>
      <c r="CJ32" s="255">
        <f t="shared" si="6"/>
        <v>903</v>
      </c>
      <c r="CK32" s="255">
        <f t="shared" si="6"/>
        <v>18</v>
      </c>
      <c r="CL32" s="255">
        <f t="shared" si="6"/>
        <v>267</v>
      </c>
      <c r="CM32" s="255">
        <f t="shared" si="6"/>
        <v>10824</v>
      </c>
    </row>
  </sheetData>
  <mergeCells count="18">
    <mergeCell ref="L3:T3"/>
    <mergeCell ref="U3:AA3"/>
    <mergeCell ref="AB3:AJ3"/>
    <mergeCell ref="AK3:AR3"/>
    <mergeCell ref="AS3:BA3"/>
    <mergeCell ref="BB3:BI3"/>
    <mergeCell ref="BJ3:BM3"/>
    <mergeCell ref="BN3:BU3"/>
    <mergeCell ref="BV3:CC3"/>
    <mergeCell ref="CD3:CJ3"/>
    <mergeCell ref="B1:K1"/>
    <mergeCell ref="L1:AR1"/>
    <mergeCell ref="A2:A4"/>
    <mergeCell ref="B2:T2"/>
    <mergeCell ref="U2:CJ2"/>
    <mergeCell ref="CK2:CM2"/>
    <mergeCell ref="B3:K3"/>
    <mergeCell ref="CK3:CM3"/>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5.71"/>
    <col customWidth="1" min="2" max="2" width="15.0"/>
    <col customWidth="1" hidden="1" min="3" max="3" width="11.14"/>
    <col customWidth="1" hidden="1" min="4" max="4" width="11.71"/>
    <col customWidth="1" hidden="1" min="5" max="5" width="11.14"/>
    <col customWidth="1" hidden="1" min="6" max="6" width="13.57"/>
    <col customWidth="1" min="7" max="7" width="39.43"/>
    <col customWidth="1" hidden="1" min="8" max="8" width="39.43"/>
    <col customWidth="1" hidden="1" min="9" max="9" width="25.0"/>
    <col customWidth="1" hidden="1" min="10" max="10" width="19.57"/>
    <col customWidth="1" hidden="1" min="11" max="11" width="8.86"/>
    <col customWidth="1" hidden="1" min="12" max="12" width="11.86"/>
    <col customWidth="1" hidden="1" min="13" max="13" width="14.29"/>
    <col customWidth="1" hidden="1" min="14" max="16" width="21.71"/>
    <col customWidth="1" min="17" max="17" width="7.43"/>
    <col customWidth="1" min="18" max="18" width="14.86"/>
    <col customWidth="1" min="19" max="36" width="7.43"/>
    <col customWidth="1" min="37" max="37" width="9.86"/>
    <col customWidth="1" min="38" max="38" width="6.71"/>
    <col customWidth="1" min="39" max="41" width="7.43"/>
    <col customWidth="1" min="42" max="42" width="11.86"/>
    <col customWidth="1" min="43" max="43" width="48.14"/>
    <col customWidth="1" min="44" max="44" width="18.43"/>
    <col customWidth="1" min="45" max="45" width="21.71"/>
  </cols>
  <sheetData>
    <row r="1" ht="55.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ht="22.5" customHeight="1">
      <c r="A2" s="7" t="s">
        <v>2</v>
      </c>
      <c r="B2" s="10" t="s">
        <v>4</v>
      </c>
      <c r="C2" s="14" t="s">
        <v>7</v>
      </c>
      <c r="D2" s="14" t="s">
        <v>8</v>
      </c>
      <c r="E2" s="14" t="s">
        <v>9</v>
      </c>
      <c r="F2" s="21" t="s">
        <v>10</v>
      </c>
      <c r="G2" s="21" t="s">
        <v>11</v>
      </c>
      <c r="H2" s="21" t="s">
        <v>11</v>
      </c>
      <c r="I2" s="21" t="s">
        <v>12</v>
      </c>
      <c r="J2" s="21" t="s">
        <v>13</v>
      </c>
      <c r="K2" s="27" t="s">
        <v>15</v>
      </c>
      <c r="L2" s="27" t="s">
        <v>16</v>
      </c>
      <c r="M2" s="29" t="s">
        <v>18</v>
      </c>
      <c r="N2" s="29" t="s">
        <v>19</v>
      </c>
      <c r="O2" s="14" t="s">
        <v>20</v>
      </c>
      <c r="P2" s="14" t="s">
        <v>21</v>
      </c>
      <c r="Q2" s="31" t="s">
        <v>22</v>
      </c>
      <c r="R2" s="33" t="s">
        <v>23</v>
      </c>
      <c r="S2" s="33" t="s">
        <v>25</v>
      </c>
      <c r="T2" s="33" t="s">
        <v>28</v>
      </c>
      <c r="U2" s="33" t="s">
        <v>30</v>
      </c>
      <c r="V2" s="33" t="s">
        <v>33</v>
      </c>
      <c r="W2" s="33" t="s">
        <v>34</v>
      </c>
      <c r="X2" s="33" t="s">
        <v>35</v>
      </c>
      <c r="Y2" s="33" t="s">
        <v>37</v>
      </c>
      <c r="Z2" s="33" t="s">
        <v>38</v>
      </c>
      <c r="AA2" s="33" t="s">
        <v>40</v>
      </c>
      <c r="AB2" s="33" t="s">
        <v>41</v>
      </c>
      <c r="AC2" s="33" t="s">
        <v>42</v>
      </c>
      <c r="AD2" s="33" t="s">
        <v>43</v>
      </c>
      <c r="AE2" s="33" t="s">
        <v>44</v>
      </c>
      <c r="AF2" s="33" t="s">
        <v>46</v>
      </c>
      <c r="AG2" s="33" t="s">
        <v>47</v>
      </c>
      <c r="AH2" s="33" t="s">
        <v>49</v>
      </c>
      <c r="AI2" s="33" t="s">
        <v>51</v>
      </c>
      <c r="AJ2" s="33" t="s">
        <v>52</v>
      </c>
      <c r="AK2" s="33" t="s">
        <v>56</v>
      </c>
      <c r="AL2" s="33" t="s">
        <v>60</v>
      </c>
      <c r="AM2" s="33" t="s">
        <v>63</v>
      </c>
      <c r="AN2" s="33" t="s">
        <v>66</v>
      </c>
      <c r="AO2" s="33" t="s">
        <v>69</v>
      </c>
      <c r="AP2" s="49" t="s">
        <v>70</v>
      </c>
      <c r="AQ2" s="52" t="s">
        <v>73</v>
      </c>
      <c r="AR2" s="14" t="s">
        <v>81</v>
      </c>
      <c r="AS2" s="55" t="s">
        <v>88</v>
      </c>
    </row>
    <row r="3" ht="57.75" customHeight="1">
      <c r="A3" s="56"/>
      <c r="B3" s="42"/>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32"/>
      <c r="AS3" s="42"/>
    </row>
    <row r="4" ht="15.0" customHeight="1">
      <c r="A4" s="66"/>
      <c r="B4" s="67" t="s">
        <v>132</v>
      </c>
      <c r="C4" s="69"/>
      <c r="D4" s="71"/>
      <c r="E4" s="71"/>
      <c r="F4" s="71"/>
      <c r="G4" s="71"/>
      <c r="H4" s="71"/>
      <c r="I4" s="71"/>
      <c r="J4" s="74"/>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9"/>
      <c r="AQ4" s="79"/>
      <c r="AR4" s="77"/>
      <c r="AS4" s="77"/>
    </row>
    <row r="5">
      <c r="A5" s="81" t="s">
        <v>130</v>
      </c>
      <c r="B5" s="82" t="s">
        <v>146</v>
      </c>
      <c r="C5" s="83" t="s">
        <v>68</v>
      </c>
      <c r="D5" s="84">
        <v>1125747.0</v>
      </c>
      <c r="E5" s="82"/>
      <c r="F5" s="82">
        <v>2.9057809E7</v>
      </c>
      <c r="G5" s="91" t="str">
        <f>IFERROR(__xludf.DUMMYFUNCTION("XLOOKUP(AS5,
IMPORTRANGE(""https://docs.google.com/spreadsheets/d/1YM-djuOLXomrZ9W0B4TyIBsVWnXY4EIOFD9HY-qGfv0/edit?usp=sharing"",""GERAL!BG5:BG""),
IMPORTRANGE(""https://docs.google.com/spreadsheets/d/1YM-djuOLXomrZ9W0B4TyIBsVWnXY4EIOFD9HY-qGfv0/edit?usp"&amp;"=sharing"",""GERAL!G5:G""),
""CÓD. SEC NÃO ENCONTRADO NA PLANILHA DE MATRÍCULA"")"),"COLÉGIO ESTADUAL SÃO SEBASTIÃO")</f>
        <v>COLÉGIO ESTADUAL SÃO SEBASTIÃO</v>
      </c>
      <c r="H5" s="91" t="s">
        <v>147</v>
      </c>
      <c r="I5" s="91" t="s">
        <v>148</v>
      </c>
      <c r="J5" s="82" t="s">
        <v>149</v>
      </c>
      <c r="K5" s="82" t="s">
        <v>150</v>
      </c>
      <c r="L5" s="82" t="s">
        <v>151</v>
      </c>
      <c r="M5" s="94" t="s">
        <v>152</v>
      </c>
      <c r="N5" s="98" t="s">
        <v>154</v>
      </c>
      <c r="O5" s="98" t="s">
        <v>155</v>
      </c>
      <c r="P5" s="99" t="str">
        <f>IFERROR(__xludf.DUMMYFUNCTION("IFERROR(VLOOKUP(AS5,IMPORTRANGE(""https://docs.google.com/spreadsheets/d/1juPI-Fb8LD0YtltB2mlGEnp_R3UVu1t3wSFPzgCyHXE/edit?gid=0#gid=0"",""GERAL!A2:C""),3,0),""-"")"),"-")</f>
        <v>-</v>
      </c>
      <c r="Q5" s="101" t="s">
        <v>156</v>
      </c>
      <c r="R5" s="98">
        <v>8.0</v>
      </c>
      <c r="S5" s="98">
        <v>1.0</v>
      </c>
      <c r="T5" s="98">
        <v>0.0</v>
      </c>
      <c r="U5" s="98">
        <v>0.0</v>
      </c>
      <c r="V5" s="98">
        <v>0.0</v>
      </c>
      <c r="W5" s="98">
        <v>0.0</v>
      </c>
      <c r="X5" s="98">
        <v>0.0</v>
      </c>
      <c r="Y5" s="98">
        <v>0.0</v>
      </c>
      <c r="Z5" s="98">
        <v>0.0</v>
      </c>
      <c r="AA5" s="98">
        <v>0.0</v>
      </c>
      <c r="AB5" s="98">
        <v>0.0</v>
      </c>
      <c r="AC5" s="98">
        <v>0.0</v>
      </c>
      <c r="AD5" s="98">
        <v>0.0</v>
      </c>
      <c r="AE5" s="98">
        <v>0.0</v>
      </c>
      <c r="AF5" s="98">
        <v>0.0</v>
      </c>
      <c r="AG5" s="98">
        <v>1.0</v>
      </c>
      <c r="AH5" s="98">
        <v>0.0</v>
      </c>
      <c r="AI5" s="98">
        <v>0.0</v>
      </c>
      <c r="AJ5" s="98">
        <v>0.0</v>
      </c>
      <c r="AK5" s="98">
        <v>0.0</v>
      </c>
      <c r="AL5" s="98">
        <v>0.0</v>
      </c>
      <c r="AM5" s="98">
        <v>0.0</v>
      </c>
      <c r="AN5" s="98">
        <v>0.0</v>
      </c>
      <c r="AO5" s="98">
        <v>0.0</v>
      </c>
      <c r="AP5" s="98">
        <v>2.0</v>
      </c>
      <c r="AQ5" s="98" t="s">
        <v>157</v>
      </c>
      <c r="AR5" s="102">
        <v>46230.0</v>
      </c>
      <c r="AS5" s="83">
        <v>1125747.0</v>
      </c>
    </row>
    <row r="6">
      <c r="A6" s="81" t="s">
        <v>130</v>
      </c>
      <c r="B6" s="82" t="s">
        <v>146</v>
      </c>
      <c r="C6" s="82" t="s">
        <v>68</v>
      </c>
      <c r="D6" s="98">
        <v>1179795.0</v>
      </c>
      <c r="E6" s="94" t="s">
        <v>158</v>
      </c>
      <c r="F6" s="94">
        <v>2.9488974E7</v>
      </c>
      <c r="G6" s="91" t="str">
        <f>IFERROR(__xludf.DUMMYFUNCTION("XLOOKUP(AS6,
IMPORTRANGE(""https://docs.google.com/spreadsheets/d/1YM-djuOLXomrZ9W0B4TyIBsVWnXY4EIOFD9HY-qGfv0/edit?usp=sharing"",""GERAL!BG5:BG""),
IMPORTRANGE(""https://docs.google.com/spreadsheets/d/1YM-djuOLXomrZ9W0B4TyIBsVWnXY4EIOFD9HY-qGfv0/edit?usp"&amp;"=sharing"",""GERAL!G5:G""),
""CÓD. SEC NÃO ENCONTRADO NA PLANILHA DE MATRÍCULA"")"),"COLÉGIO ESTADUAL DE TEMPO INTEGRAL PROFESSORA NANCY DA ROCHA CARDOSO - DIST. DE SOARES")</f>
        <v>COLÉGIO ESTADUAL DE TEMPO INTEGRAL PROFESSORA NANCY DA ROCHA CARDOSO - DIST. DE SOARES</v>
      </c>
      <c r="H6" s="108" t="s">
        <v>159</v>
      </c>
      <c r="I6" s="108" t="s">
        <v>160</v>
      </c>
      <c r="J6" s="83" t="s">
        <v>149</v>
      </c>
      <c r="K6" s="83"/>
      <c r="L6" s="82" t="s">
        <v>151</v>
      </c>
      <c r="M6" s="94" t="s">
        <v>152</v>
      </c>
      <c r="N6" s="98" t="s">
        <v>161</v>
      </c>
      <c r="O6" s="98" t="s">
        <v>162</v>
      </c>
      <c r="P6" s="99" t="str">
        <f>IFERROR(__xludf.DUMMYFUNCTION("IFERROR(VLOOKUP(AS6,IMPORTRANGE(""https://docs.google.com/spreadsheets/d/1juPI-Fb8LD0YtltB2mlGEnp_R3UVu1t3wSFPzgCyHXE/edit?gid=0#gid=0"",""GERAL!A2:C""),3,0),""-"")"),"-")</f>
        <v>-</v>
      </c>
      <c r="Q6" s="101" t="s">
        <v>156</v>
      </c>
      <c r="R6" s="98">
        <v>12.0</v>
      </c>
      <c r="S6" s="98">
        <v>0.0</v>
      </c>
      <c r="T6" s="98">
        <v>2.0</v>
      </c>
      <c r="U6" s="98">
        <v>0.0</v>
      </c>
      <c r="V6" s="98">
        <v>1.0</v>
      </c>
      <c r="W6" s="98">
        <v>3.0</v>
      </c>
      <c r="X6" s="98">
        <v>1.0</v>
      </c>
      <c r="Y6" s="98">
        <v>0.0</v>
      </c>
      <c r="Z6" s="98">
        <v>1.0</v>
      </c>
      <c r="AA6" s="98">
        <v>0.0</v>
      </c>
      <c r="AB6" s="98">
        <v>1.0</v>
      </c>
      <c r="AC6" s="98">
        <v>0.0</v>
      </c>
      <c r="AD6" s="98">
        <v>0.0</v>
      </c>
      <c r="AE6" s="98">
        <v>0.0</v>
      </c>
      <c r="AF6" s="98">
        <v>1.0</v>
      </c>
      <c r="AG6" s="98">
        <v>0.0</v>
      </c>
      <c r="AH6" s="98">
        <v>0.0</v>
      </c>
      <c r="AI6" s="98">
        <v>0.0</v>
      </c>
      <c r="AJ6" s="98">
        <v>0.0</v>
      </c>
      <c r="AK6" s="98">
        <v>0.0</v>
      </c>
      <c r="AL6" s="98">
        <v>0.0</v>
      </c>
      <c r="AM6" s="98">
        <v>0.0</v>
      </c>
      <c r="AN6" s="98">
        <v>0.0</v>
      </c>
      <c r="AO6" s="98">
        <v>0.0</v>
      </c>
      <c r="AP6" s="98">
        <v>0.0</v>
      </c>
      <c r="AQ6" s="98" t="s">
        <v>163</v>
      </c>
      <c r="AR6" s="102">
        <v>46230.0</v>
      </c>
      <c r="AS6" s="98">
        <v>1179795.0</v>
      </c>
    </row>
    <row r="7">
      <c r="A7" s="111" t="s">
        <v>130</v>
      </c>
      <c r="B7" s="83" t="s">
        <v>146</v>
      </c>
      <c r="C7" s="83" t="s">
        <v>164</v>
      </c>
      <c r="D7" s="112">
        <v>1179281.0</v>
      </c>
      <c r="E7" s="83">
        <v>1178787.0</v>
      </c>
      <c r="F7" s="98">
        <v>2.9459141E7</v>
      </c>
      <c r="G7" s="91" t="str">
        <f>IFERROR(__xludf.DUMMYFUNCTION("XLOOKUP(AS7,
IMPORTRANGE(""https://docs.google.com/spreadsheets/d/1YM-djuOLXomrZ9W0B4TyIBsVWnXY4EIOFD9HY-qGfv0/edit?usp=sharing"",""GERAL!BG5:BG""),
IMPORTRANGE(""https://docs.google.com/spreadsheets/d/1YM-djuOLXomrZ9W0B4TyIBsVWnXY4EIOFD9HY-qGfv0/edit?usp"&amp;"=sharing"",""GERAL!G5:G""),
""CÓD. SEC NÃO ENCONTRADO NA PLANILHA DE MATRÍCULA"")"),"ANEXO - CEMIT - IRECÊ - DISTRITO DE BELO CAMPO")</f>
        <v>ANEXO - CEMIT - IRECÊ - DISTRITO DE BELO CAMPO</v>
      </c>
      <c r="H7" s="114" t="s">
        <v>165</v>
      </c>
      <c r="I7" s="91" t="s">
        <v>166</v>
      </c>
      <c r="J7" s="83" t="s">
        <v>149</v>
      </c>
      <c r="K7" s="83" t="s">
        <v>167</v>
      </c>
      <c r="L7" s="83" t="s">
        <v>168</v>
      </c>
      <c r="M7" s="83" t="s">
        <v>169</v>
      </c>
      <c r="N7" s="115" t="s">
        <v>170</v>
      </c>
      <c r="O7" s="98" t="s">
        <v>155</v>
      </c>
      <c r="P7" s="99" t="str">
        <f>IFERROR(__xludf.DUMMYFUNCTION("IFERROR(VLOOKUP(AS7,IMPORTRANGE(""https://docs.google.com/spreadsheets/d/1juPI-Fb8LD0YtltB2mlGEnp_R3UVu1t3wSFPzgCyHXE/edit?gid=0#gid=0"",""GERAL!A2:C""),3,0),""-"")"),"-")</f>
        <v>-</v>
      </c>
      <c r="Q7" s="98" t="s">
        <v>171</v>
      </c>
      <c r="R7" s="98">
        <v>3.0</v>
      </c>
      <c r="S7" s="98" t="s">
        <v>171</v>
      </c>
      <c r="T7" s="98" t="s">
        <v>171</v>
      </c>
      <c r="U7" s="98" t="s">
        <v>171</v>
      </c>
      <c r="V7" s="98" t="s">
        <v>171</v>
      </c>
      <c r="W7" s="98" t="s">
        <v>171</v>
      </c>
      <c r="X7" s="98" t="s">
        <v>171</v>
      </c>
      <c r="Y7" s="98" t="s">
        <v>171</v>
      </c>
      <c r="Z7" s="98" t="s">
        <v>171</v>
      </c>
      <c r="AA7" s="98" t="s">
        <v>171</v>
      </c>
      <c r="AB7" s="98" t="s">
        <v>171</v>
      </c>
      <c r="AC7" s="98" t="s">
        <v>171</v>
      </c>
      <c r="AD7" s="98" t="s">
        <v>171</v>
      </c>
      <c r="AE7" s="98" t="s">
        <v>171</v>
      </c>
      <c r="AF7" s="98" t="s">
        <v>171</v>
      </c>
      <c r="AG7" s="98" t="s">
        <v>171</v>
      </c>
      <c r="AH7" s="98" t="s">
        <v>171</v>
      </c>
      <c r="AI7" s="98" t="s">
        <v>171</v>
      </c>
      <c r="AJ7" s="98" t="s">
        <v>171</v>
      </c>
      <c r="AK7" s="98" t="s">
        <v>171</v>
      </c>
      <c r="AL7" s="98" t="s">
        <v>171</v>
      </c>
      <c r="AM7" s="98" t="s">
        <v>171</v>
      </c>
      <c r="AN7" s="98" t="s">
        <v>171</v>
      </c>
      <c r="AO7" s="98" t="s">
        <v>171</v>
      </c>
      <c r="AP7" s="98" t="s">
        <v>171</v>
      </c>
      <c r="AQ7" s="98" t="s">
        <v>171</v>
      </c>
      <c r="AR7" s="102">
        <v>46230.0</v>
      </c>
      <c r="AS7" s="83">
        <v>1178787.0</v>
      </c>
    </row>
    <row r="8">
      <c r="A8" s="111" t="s">
        <v>130</v>
      </c>
      <c r="B8" s="83" t="s">
        <v>172</v>
      </c>
      <c r="C8" s="83" t="s">
        <v>68</v>
      </c>
      <c r="D8" s="112">
        <v>1125925.0</v>
      </c>
      <c r="E8" s="83"/>
      <c r="F8" s="83">
        <v>2.9058244E7</v>
      </c>
      <c r="G8" s="91" t="str">
        <f>IFERROR(__xludf.DUMMYFUNCTION("XLOOKUP(AS8,
IMPORTRANGE(""https://docs.google.com/spreadsheets/d/1YM-djuOLXomrZ9W0B4TyIBsVWnXY4EIOFD9HY-qGfv0/edit?usp=sharing"",""GERAL!BG5:BG""),
IMPORTRANGE(""https://docs.google.com/spreadsheets/d/1YM-djuOLXomrZ9W0B4TyIBsVWnXY4EIOFD9HY-qGfv0/edit?usp"&amp;"=sharing"",""GERAL!G5:G""),
""CÓD. SEC NÃO ENCONTRADO NA PLANILHA DE MATRÍCULA"")"),"COLEGIO ESTADUAL DE TEMPO INTEGRAL EDIVALDO MACHADO BOAVENTURA")</f>
        <v>COLEGIO ESTADUAL DE TEMPO INTEGRAL EDIVALDO MACHADO BOAVENTURA</v>
      </c>
      <c r="H8" s="119" t="s">
        <v>173</v>
      </c>
      <c r="I8" s="91" t="s">
        <v>174</v>
      </c>
      <c r="J8" s="83" t="s">
        <v>149</v>
      </c>
      <c r="K8" s="83" t="s">
        <v>150</v>
      </c>
      <c r="L8" s="83" t="s">
        <v>151</v>
      </c>
      <c r="M8" s="83" t="s">
        <v>76</v>
      </c>
      <c r="N8" s="98" t="s">
        <v>175</v>
      </c>
      <c r="O8" s="98" t="s">
        <v>176</v>
      </c>
      <c r="P8" s="99" t="str">
        <f>IFERROR(__xludf.DUMMYFUNCTION("IFERROR(VLOOKUP(AS8,IMPORTRANGE(""https://docs.google.com/spreadsheets/d/1juPI-Fb8LD0YtltB2mlGEnp_R3UVu1t3wSFPzgCyHXE/edit?gid=0#gid=0"",""GERAL!A2:C""),3,0),""-"")"),"-")</f>
        <v>-</v>
      </c>
      <c r="Q8" s="101" t="s">
        <v>156</v>
      </c>
      <c r="R8" s="98">
        <v>11.0</v>
      </c>
      <c r="S8" s="98">
        <v>0.0</v>
      </c>
      <c r="T8" s="98">
        <v>0.0</v>
      </c>
      <c r="U8" s="98">
        <v>0.0</v>
      </c>
      <c r="V8" s="98">
        <v>0.0</v>
      </c>
      <c r="W8" s="98">
        <v>0.0</v>
      </c>
      <c r="X8" s="98">
        <v>0.0</v>
      </c>
      <c r="Y8" s="98">
        <v>0.0</v>
      </c>
      <c r="Z8" s="98">
        <v>1.0</v>
      </c>
      <c r="AA8" s="98">
        <v>0.0</v>
      </c>
      <c r="AB8" s="98">
        <v>1.0</v>
      </c>
      <c r="AC8" s="98">
        <v>0.0</v>
      </c>
      <c r="AD8" s="98">
        <v>0.0</v>
      </c>
      <c r="AE8" s="98">
        <v>0.0</v>
      </c>
      <c r="AF8" s="98">
        <v>1.0</v>
      </c>
      <c r="AG8" s="98">
        <v>0.0</v>
      </c>
      <c r="AH8" s="98">
        <v>0.0</v>
      </c>
      <c r="AI8" s="98">
        <v>0.0</v>
      </c>
      <c r="AJ8" s="98">
        <v>1.0</v>
      </c>
      <c r="AK8" s="98">
        <v>0.0</v>
      </c>
      <c r="AL8" s="98">
        <v>0.0</v>
      </c>
      <c r="AM8" s="98">
        <v>0.0</v>
      </c>
      <c r="AN8" s="98">
        <v>0.0</v>
      </c>
      <c r="AO8" s="98">
        <v>0.0</v>
      </c>
      <c r="AP8" s="98">
        <v>3.0</v>
      </c>
      <c r="AQ8" s="98" t="s">
        <v>179</v>
      </c>
      <c r="AR8" s="102">
        <v>46230.0</v>
      </c>
      <c r="AS8" s="83">
        <v>1125925.0</v>
      </c>
    </row>
    <row r="9">
      <c r="A9" s="111" t="s">
        <v>130</v>
      </c>
      <c r="B9" s="82" t="s">
        <v>172</v>
      </c>
      <c r="C9" s="83" t="s">
        <v>164</v>
      </c>
      <c r="D9" s="112">
        <v>1125925.0</v>
      </c>
      <c r="E9" s="83">
        <v>1178206.0</v>
      </c>
      <c r="F9" s="98">
        <v>2.9491916E7</v>
      </c>
      <c r="G9" s="91" t="str">
        <f>IFERROR(__xludf.DUMMYFUNCTION("XLOOKUP(AS9,
IMPORTRANGE(""https://docs.google.com/spreadsheets/d/1YM-djuOLXomrZ9W0B4TyIBsVWnXY4EIOFD9HY-qGfv0/edit?usp=sharing"",""GERAL!BG5:BG""),
IMPORTRANGE(""https://docs.google.com/spreadsheets/d/1YM-djuOLXomrZ9W0B4TyIBsVWnXY4EIOFD9HY-qGfv0/edit?usp"&amp;"=sharing"",""GERAL!G5:G""),
""CÓD. SEC NÃO ENCONTRADO NA PLANILHA DE MATRÍCULA"")"),"ANEXO-COL EST DE T. INTEG EDIVALDO MACHADO BOAVENTURA-DIST DE CANARINA ")</f>
        <v>ANEXO-COL EST DE T. INTEG EDIVALDO MACHADO BOAVENTURA-DIST DE CANARINA </v>
      </c>
      <c r="H9" s="119" t="s">
        <v>180</v>
      </c>
      <c r="I9" s="91" t="s">
        <v>181</v>
      </c>
      <c r="J9" s="83" t="s">
        <v>182</v>
      </c>
      <c r="K9" s="83" t="s">
        <v>183</v>
      </c>
      <c r="L9" s="83" t="s">
        <v>168</v>
      </c>
      <c r="M9" s="83" t="s">
        <v>169</v>
      </c>
      <c r="N9" s="98" t="s">
        <v>175</v>
      </c>
      <c r="O9" s="98" t="s">
        <v>155</v>
      </c>
      <c r="P9" s="99" t="str">
        <f>IFERROR(__xludf.DUMMYFUNCTION("IFERROR(VLOOKUP(AS9,IMPORTRANGE(""https://docs.google.com/spreadsheets/d/1juPI-Fb8LD0YtltB2mlGEnp_R3UVu1t3wSFPzgCyHXE/edit?gid=0#gid=0"",""GERAL!A2:C""),3,0),""-"")"),"QUILOMBOLAS")</f>
        <v>QUILOMBOLAS</v>
      </c>
      <c r="Q9" s="98" t="s">
        <v>171</v>
      </c>
      <c r="R9" s="98">
        <v>4.0</v>
      </c>
      <c r="S9" s="98" t="s">
        <v>171</v>
      </c>
      <c r="T9" s="98" t="s">
        <v>171</v>
      </c>
      <c r="U9" s="98" t="s">
        <v>171</v>
      </c>
      <c r="V9" s="98" t="s">
        <v>171</v>
      </c>
      <c r="W9" s="98" t="s">
        <v>171</v>
      </c>
      <c r="X9" s="98" t="s">
        <v>171</v>
      </c>
      <c r="Y9" s="98" t="s">
        <v>171</v>
      </c>
      <c r="Z9" s="98" t="s">
        <v>171</v>
      </c>
      <c r="AA9" s="98" t="s">
        <v>171</v>
      </c>
      <c r="AB9" s="98" t="s">
        <v>171</v>
      </c>
      <c r="AC9" s="98" t="s">
        <v>171</v>
      </c>
      <c r="AD9" s="98" t="s">
        <v>171</v>
      </c>
      <c r="AE9" s="98" t="s">
        <v>171</v>
      </c>
      <c r="AF9" s="98">
        <v>1.0</v>
      </c>
      <c r="AG9" s="98" t="s">
        <v>171</v>
      </c>
      <c r="AH9" s="98" t="s">
        <v>171</v>
      </c>
      <c r="AI9" s="98" t="s">
        <v>171</v>
      </c>
      <c r="AJ9" s="98" t="s">
        <v>171</v>
      </c>
      <c r="AK9" s="98" t="s">
        <v>171</v>
      </c>
      <c r="AL9" s="98" t="s">
        <v>171</v>
      </c>
      <c r="AM9" s="98" t="s">
        <v>171</v>
      </c>
      <c r="AN9" s="98" t="s">
        <v>171</v>
      </c>
      <c r="AO9" s="98" t="s">
        <v>171</v>
      </c>
      <c r="AP9" s="98" t="s">
        <v>171</v>
      </c>
      <c r="AQ9" s="98" t="s">
        <v>171</v>
      </c>
      <c r="AR9" s="102">
        <v>46230.0</v>
      </c>
      <c r="AS9" s="83">
        <v>1178206.0</v>
      </c>
    </row>
    <row r="10">
      <c r="A10" s="111" t="s">
        <v>130</v>
      </c>
      <c r="B10" s="83" t="s">
        <v>172</v>
      </c>
      <c r="C10" s="83" t="s">
        <v>164</v>
      </c>
      <c r="D10" s="112">
        <v>1179281.0</v>
      </c>
      <c r="E10" s="83">
        <v>1178790.0</v>
      </c>
      <c r="F10" s="98">
        <v>2.9459141E7</v>
      </c>
      <c r="G10" s="91" t="str">
        <f>IFERROR(__xludf.DUMMYFUNCTION("XLOOKUP(AS10,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MILAGRES")</f>
        <v>ANEXO - CEMIT - IRECÊ - DISTRITO DE MILAGRES</v>
      </c>
      <c r="H10" s="125" t="s">
        <v>184</v>
      </c>
      <c r="I10" s="91" t="s">
        <v>185</v>
      </c>
      <c r="J10" s="83" t="s">
        <v>186</v>
      </c>
      <c r="K10" s="83" t="s">
        <v>187</v>
      </c>
      <c r="L10" s="83" t="s">
        <v>168</v>
      </c>
      <c r="M10" s="83" t="s">
        <v>169</v>
      </c>
      <c r="N10" s="115" t="s">
        <v>170</v>
      </c>
      <c r="O10" s="98" t="s">
        <v>155</v>
      </c>
      <c r="P10" s="99" t="str">
        <f>IFERROR(__xludf.DUMMYFUNCTION("IFERROR(VLOOKUP(AS10,IMPORTRANGE(""https://docs.google.com/spreadsheets/d/1juPI-Fb8LD0YtltB2mlGEnp_R3UVu1t3wSFPzgCyHXE/edit?gid=0#gid=0"",""GERAL!A2:C""),3,0),""-"")"),"-")</f>
        <v>-</v>
      </c>
      <c r="Q10" s="98" t="s">
        <v>171</v>
      </c>
      <c r="R10" s="98">
        <v>2.0</v>
      </c>
      <c r="S10" s="98" t="s">
        <v>171</v>
      </c>
      <c r="T10" s="98" t="s">
        <v>171</v>
      </c>
      <c r="U10" s="98" t="s">
        <v>171</v>
      </c>
      <c r="V10" s="98" t="s">
        <v>171</v>
      </c>
      <c r="W10" s="98" t="s">
        <v>171</v>
      </c>
      <c r="X10" s="98" t="s">
        <v>171</v>
      </c>
      <c r="Y10" s="98" t="s">
        <v>171</v>
      </c>
      <c r="Z10" s="98" t="s">
        <v>171</v>
      </c>
      <c r="AA10" s="98" t="s">
        <v>171</v>
      </c>
      <c r="AB10" s="98" t="s">
        <v>171</v>
      </c>
      <c r="AC10" s="98" t="s">
        <v>171</v>
      </c>
      <c r="AD10" s="98" t="s">
        <v>171</v>
      </c>
      <c r="AE10" s="98" t="s">
        <v>171</v>
      </c>
      <c r="AF10" s="98" t="s">
        <v>171</v>
      </c>
      <c r="AG10" s="98" t="s">
        <v>171</v>
      </c>
      <c r="AH10" s="98" t="s">
        <v>171</v>
      </c>
      <c r="AI10" s="98" t="s">
        <v>171</v>
      </c>
      <c r="AJ10" s="98" t="s">
        <v>171</v>
      </c>
      <c r="AK10" s="98" t="s">
        <v>171</v>
      </c>
      <c r="AL10" s="98" t="s">
        <v>171</v>
      </c>
      <c r="AM10" s="98" t="s">
        <v>171</v>
      </c>
      <c r="AN10" s="98" t="s">
        <v>171</v>
      </c>
      <c r="AO10" s="98" t="s">
        <v>171</v>
      </c>
      <c r="AP10" s="98" t="s">
        <v>171</v>
      </c>
      <c r="AQ10" s="98" t="s">
        <v>171</v>
      </c>
      <c r="AR10" s="102">
        <v>46230.0</v>
      </c>
      <c r="AS10" s="83">
        <v>1178790.0</v>
      </c>
    </row>
    <row r="11">
      <c r="A11" s="111" t="s">
        <v>130</v>
      </c>
      <c r="B11" s="83" t="s">
        <v>172</v>
      </c>
      <c r="C11" s="83" t="s">
        <v>164</v>
      </c>
      <c r="D11" s="112">
        <v>1179281.0</v>
      </c>
      <c r="E11" s="83">
        <v>1178789.0</v>
      </c>
      <c r="F11" s="98">
        <v>2.9459141E7</v>
      </c>
      <c r="G11" s="91" t="str">
        <f>IFERROR(__xludf.DUMMYFUNCTION("XLOOKUP(AS11,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CAPIM DURO")</f>
        <v>ANEXO - CEMIT - IRECÊ - DISTRITO DE CAPIM DURO</v>
      </c>
      <c r="H11" s="114" t="s">
        <v>188</v>
      </c>
      <c r="I11" s="108" t="s">
        <v>189</v>
      </c>
      <c r="J11" s="83" t="s">
        <v>190</v>
      </c>
      <c r="K11" s="83" t="s">
        <v>191</v>
      </c>
      <c r="L11" s="83" t="s">
        <v>168</v>
      </c>
      <c r="M11" s="83" t="s">
        <v>169</v>
      </c>
      <c r="N11" s="115" t="s">
        <v>170</v>
      </c>
      <c r="O11" s="98" t="s">
        <v>155</v>
      </c>
      <c r="P11" s="99" t="str">
        <f>IFERROR(__xludf.DUMMYFUNCTION("IFERROR(VLOOKUP(AS11,IMPORTRANGE(""https://docs.google.com/spreadsheets/d/1juPI-Fb8LD0YtltB2mlGEnp_R3UVu1t3wSFPzgCyHXE/edit?gid=0#gid=0"",""GERAL!A2:C""),3,0),""-"")"),"-")</f>
        <v>-</v>
      </c>
      <c r="Q11" s="98" t="s">
        <v>171</v>
      </c>
      <c r="R11" s="98">
        <v>2.0</v>
      </c>
      <c r="S11" s="98" t="s">
        <v>171</v>
      </c>
      <c r="T11" s="98" t="s">
        <v>171</v>
      </c>
      <c r="U11" s="98" t="s">
        <v>171</v>
      </c>
      <c r="V11" s="98" t="s">
        <v>171</v>
      </c>
      <c r="W11" s="98" t="s">
        <v>171</v>
      </c>
      <c r="X11" s="98" t="s">
        <v>171</v>
      </c>
      <c r="Y11" s="98" t="s">
        <v>171</v>
      </c>
      <c r="Z11" s="98" t="s">
        <v>171</v>
      </c>
      <c r="AA11" s="98" t="s">
        <v>171</v>
      </c>
      <c r="AB11" s="98" t="s">
        <v>171</v>
      </c>
      <c r="AC11" s="98" t="s">
        <v>171</v>
      </c>
      <c r="AD11" s="98" t="s">
        <v>171</v>
      </c>
      <c r="AE11" s="98" t="s">
        <v>171</v>
      </c>
      <c r="AF11" s="98" t="s">
        <v>171</v>
      </c>
      <c r="AG11" s="98" t="s">
        <v>171</v>
      </c>
      <c r="AH11" s="98" t="s">
        <v>171</v>
      </c>
      <c r="AI11" s="98" t="s">
        <v>171</v>
      </c>
      <c r="AJ11" s="98" t="s">
        <v>171</v>
      </c>
      <c r="AK11" s="98" t="s">
        <v>171</v>
      </c>
      <c r="AL11" s="98" t="s">
        <v>171</v>
      </c>
      <c r="AM11" s="98" t="s">
        <v>171</v>
      </c>
      <c r="AN11" s="98" t="s">
        <v>171</v>
      </c>
      <c r="AO11" s="98" t="s">
        <v>171</v>
      </c>
      <c r="AP11" s="98" t="s">
        <v>171</v>
      </c>
      <c r="AQ11" s="98" t="s">
        <v>171</v>
      </c>
      <c r="AR11" s="102">
        <v>46230.0</v>
      </c>
      <c r="AS11" s="83">
        <v>1178789.0</v>
      </c>
    </row>
    <row r="12">
      <c r="A12" s="127" t="s">
        <v>130</v>
      </c>
      <c r="B12" s="98" t="s">
        <v>192</v>
      </c>
      <c r="C12" s="98" t="s">
        <v>68</v>
      </c>
      <c r="D12" s="98">
        <v>1179833.0</v>
      </c>
      <c r="E12" s="83"/>
      <c r="F12" s="83"/>
      <c r="G12" s="91" t="str">
        <f>IFERROR(__xludf.DUMMYFUNCTION("XLOOKUP(AS12,
IMPORTRANGE(""https://docs.google.com/spreadsheets/d/1YM-djuOLXomrZ9W0B4TyIBsVWnXY4EIOFD9HY-qGfv0/edit?usp=sharing"",""GERAL!BG5:BG""),
IMPORTRANGE(""https://docs.google.com/spreadsheets/d/1YM-djuOLXomrZ9W0B4TyIBsVWnXY4EIOFD9HY-qGfv0/edit?us"&amp;"p=sharing"",""GERAL!G5:G""),
""CÓD. SEC NÃO ENCONTRADO NA PLANILHA DE MATRÍCULA"")"),"COLEGIO ESTADUAL DO CAMPO DE GAMELEIRA
")</f>
        <v>COLEGIO ESTADUAL DO CAMPO DE GAMELEIRA
</v>
      </c>
      <c r="H12" s="119" t="s">
        <v>193</v>
      </c>
      <c r="I12" s="108" t="s">
        <v>194</v>
      </c>
      <c r="J12" s="83" t="s">
        <v>149</v>
      </c>
      <c r="K12" s="83"/>
      <c r="L12" s="98" t="s">
        <v>195</v>
      </c>
      <c r="M12" s="98" t="s">
        <v>169</v>
      </c>
      <c r="N12" s="128" t="s">
        <v>171</v>
      </c>
      <c r="O12" s="98"/>
      <c r="P12" s="99" t="str">
        <f>IFERROR(__xludf.DUMMYFUNCTION("IFERROR(VLOOKUP(AS12,IMPORTRANGE(""https://docs.google.com/spreadsheets/d/1juPI-Fb8LD0YtltB2mlGEnp_R3UVu1t3wSFPzgCyHXE/edit?gid=0#gid=0"",""GERAL!A2:C""),3,0),""-"")"),"CAMPO")</f>
        <v>CAMPO</v>
      </c>
      <c r="Q12" s="98" t="s">
        <v>171</v>
      </c>
      <c r="R12" s="98">
        <v>5.0</v>
      </c>
      <c r="S12" s="98">
        <v>0.0</v>
      </c>
      <c r="T12" s="98">
        <v>0.0</v>
      </c>
      <c r="U12" s="98">
        <v>0.0</v>
      </c>
      <c r="V12" s="98">
        <v>0.0</v>
      </c>
      <c r="W12" s="98">
        <v>0.0</v>
      </c>
      <c r="X12" s="98">
        <v>1.0</v>
      </c>
      <c r="Y12" s="98">
        <v>0.0</v>
      </c>
      <c r="Z12" s="98">
        <v>0.0</v>
      </c>
      <c r="AA12" s="98">
        <v>0.0</v>
      </c>
      <c r="AB12" s="98">
        <v>0.0</v>
      </c>
      <c r="AC12" s="98">
        <v>1.0</v>
      </c>
      <c r="AD12" s="98">
        <v>0.0</v>
      </c>
      <c r="AE12" s="98">
        <v>0.0</v>
      </c>
      <c r="AF12" s="98">
        <v>0.0</v>
      </c>
      <c r="AG12" s="98">
        <v>1.0</v>
      </c>
      <c r="AH12" s="98">
        <v>0.0</v>
      </c>
      <c r="AI12" s="98">
        <v>0.0</v>
      </c>
      <c r="AJ12" s="98">
        <v>0.0</v>
      </c>
      <c r="AK12" s="98">
        <v>0.0</v>
      </c>
      <c r="AL12" s="98">
        <v>0.0</v>
      </c>
      <c r="AM12" s="98">
        <v>0.0</v>
      </c>
      <c r="AN12" s="98">
        <v>0.0</v>
      </c>
      <c r="AO12" s="98">
        <v>0.0</v>
      </c>
      <c r="AP12" s="98">
        <v>0.0</v>
      </c>
      <c r="AQ12" s="98" t="s">
        <v>171</v>
      </c>
      <c r="AR12" s="102">
        <v>46231.0</v>
      </c>
      <c r="AS12" s="98">
        <v>1179833.0</v>
      </c>
    </row>
    <row r="13">
      <c r="A13" s="111" t="s">
        <v>130</v>
      </c>
      <c r="B13" s="83" t="s">
        <v>192</v>
      </c>
      <c r="C13" s="83" t="s">
        <v>68</v>
      </c>
      <c r="D13" s="112">
        <v>1126212.0</v>
      </c>
      <c r="E13" s="83"/>
      <c r="F13" s="83">
        <v>2.905938E7</v>
      </c>
      <c r="G13" s="91" t="str">
        <f>IFERROR(__xludf.DUMMYFUNCTION("XLOOKUP(AS13,
IMPORTRANGE(""https://docs.google.com/spreadsheets/d/1YM-djuOLXomrZ9W0B4TyIBsVWnXY4EIOFD9HY-qGfv0/edit?usp=sharing"",""GERAL!BG5:BG""),
IMPORTRANGE(""https://docs.google.com/spreadsheets/d/1YM-djuOLXomrZ9W0B4TyIBsVWnXY4EIOFD9HY-qGfv0/edit?us"&amp;"p=sharing"",""GERAL!G5:G""),
""CÓD. SEC NÃO ENCONTRADO NA PLANILHA DE MATRÍCULA"")"),"COLEGIO ESTADUAL DE TEMPO INTEGRAL NECY NOVAIS")</f>
        <v>COLEGIO ESTADUAL DE TEMPO INTEGRAL NECY NOVAIS</v>
      </c>
      <c r="H13" s="119" t="s">
        <v>196</v>
      </c>
      <c r="I13" s="91" t="s">
        <v>197</v>
      </c>
      <c r="J13" s="83" t="s">
        <v>149</v>
      </c>
      <c r="K13" s="83" t="s">
        <v>150</v>
      </c>
      <c r="L13" s="83" t="s">
        <v>151</v>
      </c>
      <c r="M13" s="82" t="s">
        <v>76</v>
      </c>
      <c r="N13" s="98" t="s">
        <v>198</v>
      </c>
      <c r="O13" s="98" t="s">
        <v>155</v>
      </c>
      <c r="P13" s="99" t="str">
        <f>IFERROR(__xludf.DUMMYFUNCTION("IFERROR(VLOOKUP(AS13,IMPORTRANGE(""https://docs.google.com/spreadsheets/d/1juPI-Fb8LD0YtltB2mlGEnp_R3UVu1t3wSFPzgCyHXE/edit?gid=0#gid=0"",""GERAL!A2:C""),3,0),""-"")"),"-")</f>
        <v>-</v>
      </c>
      <c r="Q13" s="101" t="s">
        <v>156</v>
      </c>
      <c r="R13" s="98">
        <v>5.0</v>
      </c>
      <c r="S13" s="98">
        <v>0.0</v>
      </c>
      <c r="T13" s="98">
        <v>0.0</v>
      </c>
      <c r="U13" s="98">
        <v>1.0</v>
      </c>
      <c r="V13" s="98">
        <v>0.0</v>
      </c>
      <c r="W13" s="98">
        <v>0.0</v>
      </c>
      <c r="X13" s="98">
        <v>0.0</v>
      </c>
      <c r="Y13" s="98">
        <v>0.0</v>
      </c>
      <c r="Z13" s="98">
        <v>0.0</v>
      </c>
      <c r="AA13" s="98">
        <v>0.0</v>
      </c>
      <c r="AB13" s="98">
        <v>0.0</v>
      </c>
      <c r="AC13" s="98">
        <v>0.0</v>
      </c>
      <c r="AD13" s="98">
        <v>0.0</v>
      </c>
      <c r="AE13" s="98">
        <v>0.0</v>
      </c>
      <c r="AF13" s="98">
        <v>0.0</v>
      </c>
      <c r="AG13" s="98">
        <v>0.0</v>
      </c>
      <c r="AH13" s="98">
        <v>0.0</v>
      </c>
      <c r="AI13" s="98">
        <v>0.0</v>
      </c>
      <c r="AJ13" s="98">
        <v>0.0</v>
      </c>
      <c r="AK13" s="98">
        <v>0.0</v>
      </c>
      <c r="AL13" s="98">
        <v>0.0</v>
      </c>
      <c r="AM13" s="98">
        <v>0.0</v>
      </c>
      <c r="AN13" s="98">
        <v>0.0</v>
      </c>
      <c r="AO13" s="98">
        <v>0.0</v>
      </c>
      <c r="AP13" s="98">
        <v>2.0</v>
      </c>
      <c r="AQ13" s="98" t="s">
        <v>199</v>
      </c>
      <c r="AR13" s="102">
        <v>46231.0</v>
      </c>
      <c r="AS13" s="83">
        <v>1126212.0</v>
      </c>
    </row>
    <row r="14">
      <c r="A14" s="111" t="s">
        <v>130</v>
      </c>
      <c r="B14" s="83" t="s">
        <v>200</v>
      </c>
      <c r="C14" s="83" t="s">
        <v>68</v>
      </c>
      <c r="D14" s="112">
        <v>1126247.0</v>
      </c>
      <c r="E14" s="83"/>
      <c r="F14" s="83">
        <v>2.9060001E7</v>
      </c>
      <c r="G14" s="91" t="str">
        <f>IFERROR(__xludf.DUMMYFUNCTION("XLOOKUP(AS14,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IMACULADA CONCEIÇÃO")</f>
        <v>COLÉGIO ESTADUAL DE TEMPO INTEGRAL IMACULADA CONCEIÇÃO</v>
      </c>
      <c r="H14" s="119" t="s">
        <v>201</v>
      </c>
      <c r="I14" s="91" t="s">
        <v>202</v>
      </c>
      <c r="J14" s="83" t="s">
        <v>149</v>
      </c>
      <c r="K14" s="83" t="s">
        <v>150</v>
      </c>
      <c r="L14" s="83" t="s">
        <v>151</v>
      </c>
      <c r="M14" s="83" t="s">
        <v>152</v>
      </c>
      <c r="N14" s="98" t="s">
        <v>203</v>
      </c>
      <c r="O14" s="98" t="s">
        <v>162</v>
      </c>
      <c r="P14" s="99" t="str">
        <f>IFERROR(__xludf.DUMMYFUNCTION("IFERROR(VLOOKUP(AS14,IMPORTRANGE(""https://docs.google.com/spreadsheets/d/1juPI-Fb8LD0YtltB2mlGEnp_R3UVu1t3wSFPzgCyHXE/edit?gid=0#gid=0"",""GERAL!A2:C""),3,0),""-"")"),"-")</f>
        <v>-</v>
      </c>
      <c r="Q14" s="101" t="s">
        <v>156</v>
      </c>
      <c r="R14" s="98">
        <v>17.0</v>
      </c>
      <c r="S14" s="98">
        <v>0.0</v>
      </c>
      <c r="T14" s="98">
        <v>2.0</v>
      </c>
      <c r="U14" s="98">
        <v>0.0</v>
      </c>
      <c r="V14" s="98">
        <v>1.0</v>
      </c>
      <c r="W14" s="98">
        <v>3.0</v>
      </c>
      <c r="X14" s="98">
        <v>1.0</v>
      </c>
      <c r="Y14" s="98">
        <v>0.0</v>
      </c>
      <c r="Z14" s="98">
        <v>1.0</v>
      </c>
      <c r="AA14" s="98">
        <v>0.0</v>
      </c>
      <c r="AB14" s="98">
        <v>1.0</v>
      </c>
      <c r="AC14" s="98">
        <v>0.0</v>
      </c>
      <c r="AD14" s="98">
        <v>0.0</v>
      </c>
      <c r="AE14" s="98">
        <v>0.0</v>
      </c>
      <c r="AF14" s="98">
        <v>1.0</v>
      </c>
      <c r="AG14" s="98">
        <v>0.0</v>
      </c>
      <c r="AH14" s="98">
        <v>0.0</v>
      </c>
      <c r="AI14" s="98">
        <v>0.0</v>
      </c>
      <c r="AJ14" s="98">
        <v>0.0</v>
      </c>
      <c r="AK14" s="98">
        <v>1.0</v>
      </c>
      <c r="AL14" s="98">
        <v>0.0</v>
      </c>
      <c r="AM14" s="98">
        <v>0.0</v>
      </c>
      <c r="AN14" s="98">
        <v>0.0</v>
      </c>
      <c r="AO14" s="98">
        <v>1.0</v>
      </c>
      <c r="AP14" s="98">
        <v>0.0</v>
      </c>
      <c r="AQ14" s="98" t="s">
        <v>204</v>
      </c>
      <c r="AR14" s="102">
        <v>46220.0</v>
      </c>
      <c r="AS14" s="83">
        <v>1126247.0</v>
      </c>
    </row>
    <row r="15">
      <c r="A15" s="111" t="s">
        <v>130</v>
      </c>
      <c r="B15" s="83" t="s">
        <v>200</v>
      </c>
      <c r="C15" s="83" t="s">
        <v>164</v>
      </c>
      <c r="D15" s="112">
        <v>1179281.0</v>
      </c>
      <c r="E15" s="83">
        <v>1178792.0</v>
      </c>
      <c r="F15" s="98">
        <v>2.9459141E7</v>
      </c>
      <c r="G15" s="91" t="str">
        <f>IFERROR(__xludf.DUMMYFUNCTION("XLOOKUP(AS15,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CANAL")</f>
        <v>ANEXO - CEMIT - IRECÊ - DISTRITO DE CANAL</v>
      </c>
      <c r="H15" s="114" t="s">
        <v>206</v>
      </c>
      <c r="I15" s="91" t="s">
        <v>207</v>
      </c>
      <c r="J15" s="136" t="s">
        <v>208</v>
      </c>
      <c r="K15" s="83" t="s">
        <v>209</v>
      </c>
      <c r="L15" s="83" t="s">
        <v>151</v>
      </c>
      <c r="M15" s="83" t="s">
        <v>169</v>
      </c>
      <c r="N15" s="115" t="s">
        <v>170</v>
      </c>
      <c r="O15" s="98" t="s">
        <v>155</v>
      </c>
      <c r="P15" s="99" t="str">
        <f>IFERROR(__xludf.DUMMYFUNCTION("IFERROR(VLOOKUP(AS15,IMPORTRANGE(""https://docs.google.com/spreadsheets/d/1juPI-Fb8LD0YtltB2mlGEnp_R3UVu1t3wSFPzgCyHXE/edit?gid=0#gid=0"",""GERAL!A2:C""),3,0),""-"")"),"-")</f>
        <v>-</v>
      </c>
      <c r="Q15" s="98" t="s">
        <v>171</v>
      </c>
      <c r="R15" s="98">
        <v>1.0</v>
      </c>
      <c r="S15" s="98" t="s">
        <v>171</v>
      </c>
      <c r="T15" s="98" t="s">
        <v>171</v>
      </c>
      <c r="U15" s="98" t="s">
        <v>171</v>
      </c>
      <c r="V15" s="98" t="s">
        <v>171</v>
      </c>
      <c r="W15" s="98" t="s">
        <v>171</v>
      </c>
      <c r="X15" s="98" t="s">
        <v>171</v>
      </c>
      <c r="Y15" s="98" t="s">
        <v>171</v>
      </c>
      <c r="Z15" s="98" t="s">
        <v>171</v>
      </c>
      <c r="AA15" s="98" t="s">
        <v>171</v>
      </c>
      <c r="AB15" s="98" t="s">
        <v>171</v>
      </c>
      <c r="AC15" s="98" t="s">
        <v>171</v>
      </c>
      <c r="AD15" s="98" t="s">
        <v>171</v>
      </c>
      <c r="AE15" s="98" t="s">
        <v>171</v>
      </c>
      <c r="AF15" s="98" t="s">
        <v>171</v>
      </c>
      <c r="AG15" s="98" t="s">
        <v>171</v>
      </c>
      <c r="AH15" s="98" t="s">
        <v>171</v>
      </c>
      <c r="AI15" s="98" t="s">
        <v>171</v>
      </c>
      <c r="AJ15" s="98" t="s">
        <v>171</v>
      </c>
      <c r="AK15" s="98" t="s">
        <v>171</v>
      </c>
      <c r="AL15" s="98" t="s">
        <v>171</v>
      </c>
      <c r="AM15" s="98" t="s">
        <v>171</v>
      </c>
      <c r="AN15" s="98" t="s">
        <v>171</v>
      </c>
      <c r="AO15" s="98" t="s">
        <v>171</v>
      </c>
      <c r="AP15" s="98" t="s">
        <v>171</v>
      </c>
      <c r="AQ15" s="98" t="s">
        <v>171</v>
      </c>
      <c r="AR15" s="102">
        <v>46220.0</v>
      </c>
      <c r="AS15" s="83">
        <v>1178792.0</v>
      </c>
    </row>
    <row r="16">
      <c r="A16" s="111" t="s">
        <v>130</v>
      </c>
      <c r="B16" s="83" t="s">
        <v>210</v>
      </c>
      <c r="C16" s="83" t="s">
        <v>68</v>
      </c>
      <c r="D16" s="112">
        <v>1163100.0</v>
      </c>
      <c r="E16" s="83"/>
      <c r="F16" s="83">
        <v>2.9060214E7</v>
      </c>
      <c r="G16" s="91" t="str">
        <f>IFERROR(__xludf.DUMMYFUNCTION("XLOOKUP(AS16,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JOSÉ RIBEIRO DE ARAUJO")</f>
        <v>COLÉGIO ESTADUAL JOSÉ RIBEIRO DE ARAUJO</v>
      </c>
      <c r="H16" s="114" t="s">
        <v>211</v>
      </c>
      <c r="I16" s="91" t="s">
        <v>212</v>
      </c>
      <c r="J16" s="83" t="s">
        <v>149</v>
      </c>
      <c r="K16" s="83" t="s">
        <v>150</v>
      </c>
      <c r="L16" s="83" t="s">
        <v>151</v>
      </c>
      <c r="M16" s="83" t="s">
        <v>152</v>
      </c>
      <c r="N16" s="137" t="s">
        <v>213</v>
      </c>
      <c r="O16" s="98" t="s">
        <v>155</v>
      </c>
      <c r="P16" s="99" t="str">
        <f>IFERROR(__xludf.DUMMYFUNCTION("IFERROR(VLOOKUP(AS16,IMPORTRANGE(""https://docs.google.com/spreadsheets/d/1juPI-Fb8LD0YtltB2mlGEnp_R3UVu1t3wSFPzgCyHXE/edit?gid=0#gid=0"",""GERAL!A2:C""),3,0),""-"")"),"-")</f>
        <v>-</v>
      </c>
      <c r="Q16" s="101" t="s">
        <v>156</v>
      </c>
      <c r="R16" s="98">
        <v>13.0</v>
      </c>
      <c r="S16" s="98">
        <v>0.0</v>
      </c>
      <c r="T16" s="98">
        <v>0.0</v>
      </c>
      <c r="U16" s="98">
        <v>0.0</v>
      </c>
      <c r="V16" s="98">
        <v>1.0</v>
      </c>
      <c r="W16" s="98">
        <v>0.0</v>
      </c>
      <c r="X16" s="98">
        <v>0.0</v>
      </c>
      <c r="Y16" s="98">
        <v>0.0</v>
      </c>
      <c r="Z16" s="98">
        <v>0.0</v>
      </c>
      <c r="AA16" s="98">
        <v>0.0</v>
      </c>
      <c r="AB16" s="98">
        <v>0.0</v>
      </c>
      <c r="AC16" s="98">
        <v>0.0</v>
      </c>
      <c r="AD16" s="98">
        <v>0.0</v>
      </c>
      <c r="AE16" s="98">
        <v>0.0</v>
      </c>
      <c r="AF16" s="98">
        <v>0.0</v>
      </c>
      <c r="AG16" s="98">
        <v>1.0</v>
      </c>
      <c r="AH16" s="98">
        <v>0.0</v>
      </c>
      <c r="AI16" s="98">
        <v>0.0</v>
      </c>
      <c r="AJ16" s="98">
        <v>0.0</v>
      </c>
      <c r="AK16" s="98">
        <v>0.0</v>
      </c>
      <c r="AL16" s="98">
        <v>0.0</v>
      </c>
      <c r="AM16" s="98">
        <v>0.0</v>
      </c>
      <c r="AN16" s="98">
        <v>0.0</v>
      </c>
      <c r="AO16" s="98">
        <v>0.0</v>
      </c>
      <c r="AP16" s="98">
        <v>3.0</v>
      </c>
      <c r="AQ16" s="98" t="s">
        <v>214</v>
      </c>
      <c r="AR16" s="102">
        <v>46232.0</v>
      </c>
      <c r="AS16" s="83">
        <v>1163100.0</v>
      </c>
    </row>
    <row r="17">
      <c r="A17" s="111" t="s">
        <v>130</v>
      </c>
      <c r="B17" s="83" t="s">
        <v>210</v>
      </c>
      <c r="C17" s="83" t="s">
        <v>68</v>
      </c>
      <c r="D17" s="112">
        <v>1137583.0</v>
      </c>
      <c r="E17" s="83"/>
      <c r="F17" s="83">
        <v>2.9060206E7</v>
      </c>
      <c r="G17" s="91" t="str">
        <f>IFERROR(__xludf.DUMMYFUNCTION("XLOOKUP(AS17,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MAXIMINO MARTINS - DISTRITO DE SALOBRO")</f>
        <v>COLÉGIO ESTADUAL DO CAMPO MAXIMINO MARTINS - DISTRITO DE SALOBRO</v>
      </c>
      <c r="H17" s="114" t="s">
        <v>215</v>
      </c>
      <c r="I17" s="91" t="s">
        <v>216</v>
      </c>
      <c r="J17" s="83" t="s">
        <v>149</v>
      </c>
      <c r="K17" s="83" t="s">
        <v>209</v>
      </c>
      <c r="L17" s="83" t="s">
        <v>151</v>
      </c>
      <c r="M17" s="83" t="s">
        <v>76</v>
      </c>
      <c r="N17" s="137" t="s">
        <v>217</v>
      </c>
      <c r="O17" s="98" t="s">
        <v>155</v>
      </c>
      <c r="P17" s="99" t="str">
        <f>IFERROR(__xludf.DUMMYFUNCTION("IFERROR(VLOOKUP(AS17,IMPORTRANGE(""https://docs.google.com/spreadsheets/d/1juPI-Fb8LD0YtltB2mlGEnp_R3UVu1t3wSFPzgCyHXE/edit?gid=0#gid=0"",""GERAL!A2:C""),3,0),""-"")"),"CAMPO")</f>
        <v>CAMPO</v>
      </c>
      <c r="Q17" s="101" t="s">
        <v>156</v>
      </c>
      <c r="R17" s="98">
        <v>8.0</v>
      </c>
      <c r="S17" s="98">
        <v>0.0</v>
      </c>
      <c r="T17" s="98">
        <v>1.0</v>
      </c>
      <c r="U17" s="98">
        <v>0.0</v>
      </c>
      <c r="V17" s="98">
        <v>0.0</v>
      </c>
      <c r="W17" s="98">
        <v>0.0</v>
      </c>
      <c r="X17" s="98">
        <v>1.0</v>
      </c>
      <c r="Y17" s="98">
        <v>0.0</v>
      </c>
      <c r="Z17" s="98">
        <v>0.0</v>
      </c>
      <c r="AA17" s="98">
        <v>0.0</v>
      </c>
      <c r="AB17" s="98">
        <v>0.0</v>
      </c>
      <c r="AC17" s="98">
        <v>0.0</v>
      </c>
      <c r="AD17" s="98">
        <v>0.0</v>
      </c>
      <c r="AE17" s="98">
        <v>0.0</v>
      </c>
      <c r="AF17" s="98">
        <v>0.0</v>
      </c>
      <c r="AG17" s="98">
        <v>0.0</v>
      </c>
      <c r="AH17" s="98">
        <v>0.0</v>
      </c>
      <c r="AI17" s="98">
        <v>0.0</v>
      </c>
      <c r="AJ17" s="98">
        <v>0.0</v>
      </c>
      <c r="AK17" s="98">
        <v>0.0</v>
      </c>
      <c r="AL17" s="98">
        <v>0.0</v>
      </c>
      <c r="AM17" s="98">
        <v>0.0</v>
      </c>
      <c r="AN17" s="98">
        <v>0.0</v>
      </c>
      <c r="AO17" s="98">
        <v>0.0</v>
      </c>
      <c r="AP17" s="98">
        <v>1.0</v>
      </c>
      <c r="AQ17" s="98" t="s">
        <v>218</v>
      </c>
      <c r="AR17" s="102">
        <v>46232.0</v>
      </c>
      <c r="AS17" s="83">
        <v>1137583.0</v>
      </c>
    </row>
    <row r="18">
      <c r="A18" s="111" t="s">
        <v>130</v>
      </c>
      <c r="B18" s="83" t="s">
        <v>210</v>
      </c>
      <c r="C18" s="83" t="s">
        <v>164</v>
      </c>
      <c r="D18" s="112">
        <v>1179281.0</v>
      </c>
      <c r="E18" s="83">
        <v>1179207.0</v>
      </c>
      <c r="F18" s="83"/>
      <c r="G18" s="91" t="str">
        <f>IFERROR(__xludf.DUMMYFUNCTION("XLOOKUP(AS18,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POVOADO UMBURANA DO QUERE")</f>
        <v>ANEXO - CEMIT - IRECÊ - POVOADO UMBURANA DO QUERE</v>
      </c>
      <c r="H18" s="114" t="s">
        <v>219</v>
      </c>
      <c r="I18" s="91" t="s">
        <v>220</v>
      </c>
      <c r="J18" s="136" t="s">
        <v>221</v>
      </c>
      <c r="K18" s="83" t="s">
        <v>222</v>
      </c>
      <c r="L18" s="83" t="s">
        <v>168</v>
      </c>
      <c r="M18" s="83" t="s">
        <v>169</v>
      </c>
      <c r="N18" s="115" t="s">
        <v>170</v>
      </c>
      <c r="O18" s="98" t="s">
        <v>155</v>
      </c>
      <c r="P18" s="99" t="str">
        <f>IFERROR(__xludf.DUMMYFUNCTION("IFERROR(VLOOKUP(AS18,IMPORTRANGE(""https://docs.google.com/spreadsheets/d/1juPI-Fb8LD0YtltB2mlGEnp_R3UVu1t3wSFPzgCyHXE/edit?gid=0#gid=0"",""GERAL!A2:C""),3,0),""-"")"),"-")</f>
        <v>-</v>
      </c>
      <c r="Q18" s="98" t="s">
        <v>171</v>
      </c>
      <c r="R18" s="98">
        <v>3.0</v>
      </c>
      <c r="S18" s="98" t="s">
        <v>171</v>
      </c>
      <c r="T18" s="98" t="s">
        <v>171</v>
      </c>
      <c r="U18" s="98" t="s">
        <v>171</v>
      </c>
      <c r="V18" s="98" t="s">
        <v>171</v>
      </c>
      <c r="W18" s="98" t="s">
        <v>171</v>
      </c>
      <c r="X18" s="98" t="s">
        <v>171</v>
      </c>
      <c r="Y18" s="98" t="s">
        <v>171</v>
      </c>
      <c r="Z18" s="98" t="s">
        <v>171</v>
      </c>
      <c r="AA18" s="98" t="s">
        <v>171</v>
      </c>
      <c r="AB18" s="98" t="s">
        <v>171</v>
      </c>
      <c r="AC18" s="98" t="s">
        <v>171</v>
      </c>
      <c r="AD18" s="98" t="s">
        <v>171</v>
      </c>
      <c r="AE18" s="98" t="s">
        <v>171</v>
      </c>
      <c r="AF18" s="98" t="s">
        <v>171</v>
      </c>
      <c r="AG18" s="98" t="s">
        <v>171</v>
      </c>
      <c r="AH18" s="98" t="s">
        <v>171</v>
      </c>
      <c r="AI18" s="98" t="s">
        <v>171</v>
      </c>
      <c r="AJ18" s="98" t="s">
        <v>171</v>
      </c>
      <c r="AK18" s="98" t="s">
        <v>171</v>
      </c>
      <c r="AL18" s="98" t="s">
        <v>171</v>
      </c>
      <c r="AM18" s="98" t="s">
        <v>171</v>
      </c>
      <c r="AN18" s="98" t="s">
        <v>171</v>
      </c>
      <c r="AO18" s="98" t="s">
        <v>171</v>
      </c>
      <c r="AP18" s="98" t="s">
        <v>171</v>
      </c>
      <c r="AQ18" s="98" t="s">
        <v>171</v>
      </c>
      <c r="AR18" s="102">
        <v>46232.0</v>
      </c>
      <c r="AS18" s="83">
        <v>1179207.0</v>
      </c>
    </row>
    <row r="19">
      <c r="A19" s="111" t="s">
        <v>130</v>
      </c>
      <c r="B19" s="83" t="s">
        <v>210</v>
      </c>
      <c r="C19" s="83" t="s">
        <v>164</v>
      </c>
      <c r="D19" s="112">
        <v>1179281.0</v>
      </c>
      <c r="E19" s="83">
        <v>1179160.0</v>
      </c>
      <c r="F19" s="83"/>
      <c r="G19" s="91" t="str">
        <f>IFERROR(__xludf.DUMMYFUNCTION("XLOOKUP(AS19,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LAGOA VELHA")</f>
        <v>ANEXO - CEMIT - IRECÊ - DISTRITO LAGOA VELHA</v>
      </c>
      <c r="H19" s="114" t="s">
        <v>223</v>
      </c>
      <c r="I19" s="91" t="s">
        <v>224</v>
      </c>
      <c r="J19" s="136" t="s">
        <v>225</v>
      </c>
      <c r="K19" s="83" t="s">
        <v>187</v>
      </c>
      <c r="L19" s="83" t="s">
        <v>168</v>
      </c>
      <c r="M19" s="83" t="s">
        <v>169</v>
      </c>
      <c r="N19" s="115" t="s">
        <v>170</v>
      </c>
      <c r="O19" s="98" t="s">
        <v>155</v>
      </c>
      <c r="P19" s="99" t="str">
        <f>IFERROR(__xludf.DUMMYFUNCTION("IFERROR(VLOOKUP(AS19,IMPORTRANGE(""https://docs.google.com/spreadsheets/d/1juPI-Fb8LD0YtltB2mlGEnp_R3UVu1t3wSFPzgCyHXE/edit?gid=0#gid=0"",""GERAL!A2:C""),3,0),""-"")"),"-")</f>
        <v>-</v>
      </c>
      <c r="Q19" s="98" t="s">
        <v>171</v>
      </c>
      <c r="R19" s="98">
        <v>3.0</v>
      </c>
      <c r="S19" s="98" t="s">
        <v>171</v>
      </c>
      <c r="T19" s="98" t="s">
        <v>171</v>
      </c>
      <c r="U19" s="98" t="s">
        <v>171</v>
      </c>
      <c r="V19" s="98" t="s">
        <v>171</v>
      </c>
      <c r="W19" s="98" t="s">
        <v>171</v>
      </c>
      <c r="X19" s="98" t="s">
        <v>171</v>
      </c>
      <c r="Y19" s="98" t="s">
        <v>171</v>
      </c>
      <c r="Z19" s="98" t="s">
        <v>171</v>
      </c>
      <c r="AA19" s="98" t="s">
        <v>171</v>
      </c>
      <c r="AB19" s="98" t="s">
        <v>171</v>
      </c>
      <c r="AC19" s="98" t="s">
        <v>171</v>
      </c>
      <c r="AD19" s="98" t="s">
        <v>171</v>
      </c>
      <c r="AE19" s="98" t="s">
        <v>171</v>
      </c>
      <c r="AF19" s="98" t="s">
        <v>171</v>
      </c>
      <c r="AG19" s="98" t="s">
        <v>171</v>
      </c>
      <c r="AH19" s="98" t="s">
        <v>171</v>
      </c>
      <c r="AI19" s="98" t="s">
        <v>171</v>
      </c>
      <c r="AJ19" s="98" t="s">
        <v>171</v>
      </c>
      <c r="AK19" s="98" t="s">
        <v>171</v>
      </c>
      <c r="AL19" s="98" t="s">
        <v>171</v>
      </c>
      <c r="AM19" s="98" t="s">
        <v>171</v>
      </c>
      <c r="AN19" s="98" t="s">
        <v>171</v>
      </c>
      <c r="AO19" s="98" t="s">
        <v>171</v>
      </c>
      <c r="AP19" s="98" t="s">
        <v>171</v>
      </c>
      <c r="AQ19" s="98" t="s">
        <v>171</v>
      </c>
      <c r="AR19" s="102">
        <v>46232.0</v>
      </c>
      <c r="AS19" s="83">
        <v>1179160.0</v>
      </c>
    </row>
    <row r="20">
      <c r="A20" s="111" t="s">
        <v>130</v>
      </c>
      <c r="B20" s="83" t="s">
        <v>226</v>
      </c>
      <c r="C20" s="83" t="s">
        <v>68</v>
      </c>
      <c r="D20" s="112">
        <v>1163088.0</v>
      </c>
      <c r="E20" s="83"/>
      <c r="F20" s="83">
        <v>2.9061016E7</v>
      </c>
      <c r="G20" s="91" t="str">
        <f>IFERROR(__xludf.DUMMYFUNCTION("XLOOKUP(AS20,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JOSE DE SOUZA MACHADO")</f>
        <v>COLÉGIO ESTADUAL DE TEMPO INTEGRAL JOSE DE SOUZA MACHADO</v>
      </c>
      <c r="H20" s="119" t="s">
        <v>228</v>
      </c>
      <c r="I20" s="91" t="s">
        <v>229</v>
      </c>
      <c r="J20" s="83" t="s">
        <v>149</v>
      </c>
      <c r="K20" s="83" t="s">
        <v>150</v>
      </c>
      <c r="L20" s="83" t="s">
        <v>151</v>
      </c>
      <c r="M20" s="83" t="s">
        <v>230</v>
      </c>
      <c r="N20" s="98" t="s">
        <v>231</v>
      </c>
      <c r="O20" s="98" t="s">
        <v>162</v>
      </c>
      <c r="P20" s="99" t="str">
        <f>IFERROR(__xludf.DUMMYFUNCTION("IFERROR(VLOOKUP(AS20,IMPORTRANGE(""https://docs.google.com/spreadsheets/d/1juPI-Fb8LD0YtltB2mlGEnp_R3UVu1t3wSFPzgCyHXE/edit?gid=0#gid=0"",""GERAL!A2:C""),3,0),""-"")"),"-")</f>
        <v>-</v>
      </c>
      <c r="Q20" s="101" t="s">
        <v>156</v>
      </c>
      <c r="R20" s="98">
        <v>12.0</v>
      </c>
      <c r="S20" s="98">
        <v>1.0</v>
      </c>
      <c r="T20" s="98">
        <v>1.0</v>
      </c>
      <c r="U20" s="98">
        <v>0.0</v>
      </c>
      <c r="V20" s="98">
        <v>1.0</v>
      </c>
      <c r="W20" s="98">
        <v>4.0</v>
      </c>
      <c r="X20" s="98">
        <v>1.0</v>
      </c>
      <c r="Y20" s="98">
        <v>0.0</v>
      </c>
      <c r="Z20" s="98">
        <v>1.0</v>
      </c>
      <c r="AA20" s="98">
        <v>0.0</v>
      </c>
      <c r="AB20" s="98">
        <v>1.0</v>
      </c>
      <c r="AC20" s="98">
        <v>0.0</v>
      </c>
      <c r="AD20" s="98">
        <v>0.0</v>
      </c>
      <c r="AE20" s="98">
        <v>0.0</v>
      </c>
      <c r="AF20" s="98">
        <v>1.0</v>
      </c>
      <c r="AG20" s="98">
        <v>0.0</v>
      </c>
      <c r="AH20" s="98">
        <v>0.0</v>
      </c>
      <c r="AI20" s="98">
        <v>0.0</v>
      </c>
      <c r="AJ20" s="98">
        <v>0.0</v>
      </c>
      <c r="AK20" s="98">
        <v>1.0</v>
      </c>
      <c r="AL20" s="98">
        <v>0.0</v>
      </c>
      <c r="AM20" s="98">
        <v>0.0</v>
      </c>
      <c r="AN20" s="98">
        <v>0.0</v>
      </c>
      <c r="AO20" s="98">
        <v>0.0</v>
      </c>
      <c r="AP20" s="98">
        <v>1.0</v>
      </c>
      <c r="AQ20" s="98" t="s">
        <v>232</v>
      </c>
      <c r="AR20" s="102">
        <v>46237.0</v>
      </c>
      <c r="AS20" s="83">
        <v>1163088.0</v>
      </c>
    </row>
    <row r="21" ht="15.75" customHeight="1">
      <c r="A21" s="111" t="s">
        <v>130</v>
      </c>
      <c r="B21" s="83" t="s">
        <v>233</v>
      </c>
      <c r="C21" s="83" t="s">
        <v>68</v>
      </c>
      <c r="D21" s="112">
        <v>1125887.0</v>
      </c>
      <c r="E21" s="83"/>
      <c r="F21" s="83">
        <v>2.9061628E7</v>
      </c>
      <c r="G21" s="91" t="str">
        <f>IFERROR(__xludf.DUMMYFUNCTION("XLOOKUP(AS21,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MARIA QUITÉRIA - TEMPO INTEGRAL")</f>
        <v>COLÉGIO ESTADUAL MARIA QUITÉRIA - TEMPO INTEGRAL</v>
      </c>
      <c r="H21" s="114" t="s">
        <v>234</v>
      </c>
      <c r="I21" s="114" t="s">
        <v>235</v>
      </c>
      <c r="J21" s="83" t="s">
        <v>149</v>
      </c>
      <c r="K21" s="83" t="s">
        <v>150</v>
      </c>
      <c r="L21" s="83" t="s">
        <v>151</v>
      </c>
      <c r="M21" s="83" t="s">
        <v>152</v>
      </c>
      <c r="N21" s="137" t="s">
        <v>236</v>
      </c>
      <c r="O21" s="98" t="s">
        <v>155</v>
      </c>
      <c r="P21" s="99" t="str">
        <f>IFERROR(__xludf.DUMMYFUNCTION("IFERROR(VLOOKUP(AS21,IMPORTRANGE(""https://docs.google.com/spreadsheets/d/1juPI-Fb8LD0YtltB2mlGEnp_R3UVu1t3wSFPzgCyHXE/edit?gid=0#gid=0"",""GERAL!A2:C""),3,0),""-"")"),"-")</f>
        <v>-</v>
      </c>
      <c r="Q21" s="101" t="s">
        <v>156</v>
      </c>
      <c r="R21" s="98">
        <v>9.0</v>
      </c>
      <c r="S21" s="98">
        <v>0.0</v>
      </c>
      <c r="T21" s="98">
        <v>0.0</v>
      </c>
      <c r="U21" s="98">
        <v>0.0</v>
      </c>
      <c r="V21" s="98">
        <v>0.0</v>
      </c>
      <c r="W21" s="98">
        <v>0.0</v>
      </c>
      <c r="X21" s="98">
        <v>0.0</v>
      </c>
      <c r="Y21" s="98">
        <v>0.0</v>
      </c>
      <c r="Z21" s="98">
        <v>0.0</v>
      </c>
      <c r="AA21" s="98">
        <v>0.0</v>
      </c>
      <c r="AB21" s="98">
        <v>0.0</v>
      </c>
      <c r="AC21" s="98">
        <v>0.0</v>
      </c>
      <c r="AD21" s="98">
        <v>0.0</v>
      </c>
      <c r="AE21" s="98">
        <v>0.0</v>
      </c>
      <c r="AF21" s="98">
        <v>0.0</v>
      </c>
      <c r="AG21" s="98">
        <v>0.0</v>
      </c>
      <c r="AH21" s="98">
        <v>0.0</v>
      </c>
      <c r="AI21" s="98">
        <v>0.0</v>
      </c>
      <c r="AJ21" s="98">
        <v>0.0</v>
      </c>
      <c r="AK21" s="98">
        <v>0.0</v>
      </c>
      <c r="AL21" s="98">
        <v>0.0</v>
      </c>
      <c r="AM21" s="98">
        <v>0.0</v>
      </c>
      <c r="AN21" s="98">
        <v>0.0</v>
      </c>
      <c r="AO21" s="98">
        <v>0.0</v>
      </c>
      <c r="AP21" s="98">
        <v>1.0</v>
      </c>
      <c r="AQ21" s="98" t="s">
        <v>237</v>
      </c>
      <c r="AR21" s="102">
        <v>46237.0</v>
      </c>
      <c r="AS21" s="83">
        <v>1125887.0</v>
      </c>
    </row>
    <row r="22" ht="15.75" customHeight="1">
      <c r="A22" s="111" t="s">
        <v>130</v>
      </c>
      <c r="B22" s="83" t="s">
        <v>233</v>
      </c>
      <c r="C22" s="83" t="s">
        <v>164</v>
      </c>
      <c r="D22" s="112">
        <v>1125887.0</v>
      </c>
      <c r="E22" s="83">
        <v>1179258.0</v>
      </c>
      <c r="F22" s="83"/>
      <c r="G22" s="91" t="str">
        <f>IFERROR(__xludf.DUMMYFUNCTION("XLOOKUP(AS22,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MARIA QUITÉRIA - DISTRITO DE ITAJUBAQUARA")</f>
        <v>ANEXO - COLÉGIO ESTADUAL MARIA QUITÉRIA - DISTRITO DE ITAJUBAQUARA</v>
      </c>
      <c r="H22" s="114" t="s">
        <v>238</v>
      </c>
      <c r="I22" s="91" t="s">
        <v>239</v>
      </c>
      <c r="J22" s="83" t="s">
        <v>149</v>
      </c>
      <c r="K22" s="83" t="s">
        <v>240</v>
      </c>
      <c r="L22" s="83" t="s">
        <v>168</v>
      </c>
      <c r="M22" s="83" t="s">
        <v>169</v>
      </c>
      <c r="N22" s="115" t="s">
        <v>170</v>
      </c>
      <c r="O22" s="98" t="s">
        <v>155</v>
      </c>
      <c r="P22" s="99" t="str">
        <f>IFERROR(__xludf.DUMMYFUNCTION("IFERROR(VLOOKUP(AS22,IMPORTRANGE(""https://docs.google.com/spreadsheets/d/1juPI-Fb8LD0YtltB2mlGEnp_R3UVu1t3wSFPzgCyHXE/edit?gid=0#gid=0"",""GERAL!A2:C""),3,0),""-"")"),"CAMPO")</f>
        <v>CAMPO</v>
      </c>
      <c r="Q22" s="98" t="s">
        <v>171</v>
      </c>
      <c r="R22" s="98">
        <v>2.0</v>
      </c>
      <c r="S22" s="98">
        <v>0.0</v>
      </c>
      <c r="T22" s="98">
        <v>0.0</v>
      </c>
      <c r="U22" s="98">
        <v>0.0</v>
      </c>
      <c r="V22" s="98">
        <v>0.0</v>
      </c>
      <c r="W22" s="98">
        <v>0.0</v>
      </c>
      <c r="X22" s="98">
        <v>0.0</v>
      </c>
      <c r="Y22" s="98">
        <v>0.0</v>
      </c>
      <c r="Z22" s="98">
        <v>0.0</v>
      </c>
      <c r="AA22" s="98">
        <v>0.0</v>
      </c>
      <c r="AB22" s="98">
        <v>0.0</v>
      </c>
      <c r="AC22" s="98">
        <v>0.0</v>
      </c>
      <c r="AD22" s="98">
        <v>0.0</v>
      </c>
      <c r="AE22" s="98">
        <v>0.0</v>
      </c>
      <c r="AF22" s="98">
        <v>0.0</v>
      </c>
      <c r="AG22" s="98">
        <v>0.0</v>
      </c>
      <c r="AH22" s="98">
        <v>0.0</v>
      </c>
      <c r="AI22" s="98">
        <v>0.0</v>
      </c>
      <c r="AJ22" s="98">
        <v>0.0</v>
      </c>
      <c r="AK22" s="98">
        <v>0.0</v>
      </c>
      <c r="AL22" s="98">
        <v>0.0</v>
      </c>
      <c r="AM22" s="98">
        <v>0.0</v>
      </c>
      <c r="AN22" s="98">
        <v>0.0</v>
      </c>
      <c r="AO22" s="98">
        <v>0.0</v>
      </c>
      <c r="AP22" s="98">
        <v>0.0</v>
      </c>
      <c r="AQ22" s="83"/>
      <c r="AR22" s="102">
        <v>46237.0</v>
      </c>
      <c r="AS22" s="83">
        <v>1179258.0</v>
      </c>
    </row>
    <row r="23" ht="15.75" customHeight="1">
      <c r="A23" s="111" t="s">
        <v>130</v>
      </c>
      <c r="B23" s="83" t="s">
        <v>233</v>
      </c>
      <c r="C23" s="83" t="s">
        <v>164</v>
      </c>
      <c r="D23" s="112">
        <v>1179281.0</v>
      </c>
      <c r="E23" s="83">
        <v>1178795.0</v>
      </c>
      <c r="F23" s="83"/>
      <c r="G23" s="91" t="str">
        <f>IFERROR(__xludf.DUMMYFUNCTION("XLOOKUP(AS23,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DISTRITO DE IBITUNANE")</f>
        <v>ANEXO - CEMIT - IRECÊ- DISTRITO DE IBITUNANE</v>
      </c>
      <c r="H23" s="114" t="s">
        <v>242</v>
      </c>
      <c r="I23" s="91" t="s">
        <v>243</v>
      </c>
      <c r="J23" s="136" t="s">
        <v>149</v>
      </c>
      <c r="K23" s="83" t="s">
        <v>244</v>
      </c>
      <c r="L23" s="83" t="s">
        <v>168</v>
      </c>
      <c r="M23" s="83" t="s">
        <v>169</v>
      </c>
      <c r="N23" s="115" t="s">
        <v>170</v>
      </c>
      <c r="O23" s="98" t="s">
        <v>155</v>
      </c>
      <c r="P23" s="99" t="str">
        <f>IFERROR(__xludf.DUMMYFUNCTION("IFERROR(VLOOKUP(AS23,IMPORTRANGE(""https://docs.google.com/spreadsheets/d/1juPI-Fb8LD0YtltB2mlGEnp_R3UVu1t3wSFPzgCyHXE/edit?gid=0#gid=0"",""GERAL!A2:C""),3,0),""-"")"),"-")</f>
        <v>-</v>
      </c>
      <c r="Q23" s="98" t="s">
        <v>171</v>
      </c>
      <c r="R23" s="98">
        <v>3.0</v>
      </c>
      <c r="S23" s="98">
        <v>0.0</v>
      </c>
      <c r="T23" s="98">
        <v>0.0</v>
      </c>
      <c r="U23" s="98">
        <v>0.0</v>
      </c>
      <c r="V23" s="98">
        <v>0.0</v>
      </c>
      <c r="W23" s="98">
        <v>0.0</v>
      </c>
      <c r="X23" s="98">
        <v>0.0</v>
      </c>
      <c r="Y23" s="98">
        <v>0.0</v>
      </c>
      <c r="Z23" s="98">
        <v>0.0</v>
      </c>
      <c r="AA23" s="98">
        <v>0.0</v>
      </c>
      <c r="AB23" s="98">
        <v>0.0</v>
      </c>
      <c r="AC23" s="98">
        <v>0.0</v>
      </c>
      <c r="AD23" s="98">
        <v>0.0</v>
      </c>
      <c r="AE23" s="98">
        <v>0.0</v>
      </c>
      <c r="AF23" s="98">
        <v>0.0</v>
      </c>
      <c r="AG23" s="98">
        <v>0.0</v>
      </c>
      <c r="AH23" s="98">
        <v>0.0</v>
      </c>
      <c r="AI23" s="98">
        <v>0.0</v>
      </c>
      <c r="AJ23" s="98">
        <v>0.0</v>
      </c>
      <c r="AK23" s="98">
        <v>0.0</v>
      </c>
      <c r="AL23" s="98">
        <v>0.0</v>
      </c>
      <c r="AM23" s="98">
        <v>0.0</v>
      </c>
      <c r="AN23" s="98">
        <v>0.0</v>
      </c>
      <c r="AO23" s="98">
        <v>0.0</v>
      </c>
      <c r="AP23" s="98">
        <v>0.0</v>
      </c>
      <c r="AQ23" s="83"/>
      <c r="AR23" s="102">
        <v>46237.0</v>
      </c>
      <c r="AS23" s="83">
        <v>1178795.0</v>
      </c>
    </row>
    <row r="24" ht="15.75" customHeight="1">
      <c r="A24" s="111" t="s">
        <v>130</v>
      </c>
      <c r="B24" s="83" t="s">
        <v>233</v>
      </c>
      <c r="C24" s="83" t="s">
        <v>164</v>
      </c>
      <c r="D24" s="112">
        <v>1179281.0</v>
      </c>
      <c r="E24" s="83">
        <v>1178794.0</v>
      </c>
      <c r="F24" s="83"/>
      <c r="G24" s="91" t="str">
        <f>IFERROR(__xludf.DUMMYFUNCTION("XLOOKUP(AS24,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PITUBA")</f>
        <v>ANEXO - CEMIT - IRECÊ - DISTRITO DE PITUBA</v>
      </c>
      <c r="H24" s="114" t="s">
        <v>245</v>
      </c>
      <c r="I24" s="91" t="s">
        <v>246</v>
      </c>
      <c r="J24" s="136" t="s">
        <v>149</v>
      </c>
      <c r="K24" s="83" t="s">
        <v>247</v>
      </c>
      <c r="L24" s="83" t="s">
        <v>168</v>
      </c>
      <c r="M24" s="83" t="s">
        <v>169</v>
      </c>
      <c r="N24" s="115" t="s">
        <v>170</v>
      </c>
      <c r="O24" s="98" t="s">
        <v>155</v>
      </c>
      <c r="P24" s="99" t="str">
        <f>IFERROR(__xludf.DUMMYFUNCTION("IFERROR(VLOOKUP(AS24,IMPORTRANGE(""https://docs.google.com/spreadsheets/d/1juPI-Fb8LD0YtltB2mlGEnp_R3UVu1t3wSFPzgCyHXE/edit?gid=0#gid=0"",""GERAL!A2:C""),3,0),""-"")"),"-")</f>
        <v>-</v>
      </c>
      <c r="Q24" s="98" t="s">
        <v>171</v>
      </c>
      <c r="R24" s="98">
        <v>3.0</v>
      </c>
      <c r="S24" s="98">
        <v>0.0</v>
      </c>
      <c r="T24" s="98">
        <v>0.0</v>
      </c>
      <c r="U24" s="98">
        <v>0.0</v>
      </c>
      <c r="V24" s="98">
        <v>0.0</v>
      </c>
      <c r="W24" s="98">
        <v>0.0</v>
      </c>
      <c r="X24" s="98">
        <v>0.0</v>
      </c>
      <c r="Y24" s="98">
        <v>0.0</v>
      </c>
      <c r="Z24" s="98">
        <v>0.0</v>
      </c>
      <c r="AA24" s="98">
        <v>0.0</v>
      </c>
      <c r="AB24" s="98">
        <v>0.0</v>
      </c>
      <c r="AC24" s="98">
        <v>0.0</v>
      </c>
      <c r="AD24" s="98">
        <v>0.0</v>
      </c>
      <c r="AE24" s="98">
        <v>0.0</v>
      </c>
      <c r="AF24" s="98">
        <v>0.0</v>
      </c>
      <c r="AG24" s="98">
        <v>0.0</v>
      </c>
      <c r="AH24" s="98">
        <v>0.0</v>
      </c>
      <c r="AI24" s="98">
        <v>0.0</v>
      </c>
      <c r="AJ24" s="98">
        <v>0.0</v>
      </c>
      <c r="AK24" s="98">
        <v>0.0</v>
      </c>
      <c r="AL24" s="98">
        <v>0.0</v>
      </c>
      <c r="AM24" s="98">
        <v>0.0</v>
      </c>
      <c r="AN24" s="98">
        <v>0.0</v>
      </c>
      <c r="AO24" s="98">
        <v>0.0</v>
      </c>
      <c r="AP24" s="98">
        <v>0.0</v>
      </c>
      <c r="AQ24" s="83"/>
      <c r="AR24" s="102">
        <v>46237.0</v>
      </c>
      <c r="AS24" s="83">
        <v>1178794.0</v>
      </c>
    </row>
    <row r="25" ht="15.75" customHeight="1">
      <c r="A25" s="111" t="s">
        <v>130</v>
      </c>
      <c r="B25" s="83" t="s">
        <v>248</v>
      </c>
      <c r="C25" s="83" t="s">
        <v>68</v>
      </c>
      <c r="D25" s="112">
        <v>1126050.0</v>
      </c>
      <c r="E25" s="83"/>
      <c r="F25" s="83">
        <v>2.9062519E7</v>
      </c>
      <c r="G25" s="91" t="str">
        <f>IFERROR(__xludf.DUMMYFUNCTION("XLOOKUP(AS25,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DE TEMPO INTEGRAL DE MIROROS")</f>
        <v>COLÉGIO ESTADUAL DO CAMPO DE TEMPO INTEGRAL DE MIROROS</v>
      </c>
      <c r="H25" s="119" t="s">
        <v>249</v>
      </c>
      <c r="I25" s="91" t="s">
        <v>250</v>
      </c>
      <c r="J25" s="146" t="s">
        <v>251</v>
      </c>
      <c r="K25" s="83" t="s">
        <v>252</v>
      </c>
      <c r="L25" s="83" t="s">
        <v>151</v>
      </c>
      <c r="M25" s="98" t="s">
        <v>152</v>
      </c>
      <c r="N25" s="98" t="s">
        <v>253</v>
      </c>
      <c r="O25" s="98" t="s">
        <v>162</v>
      </c>
      <c r="P25" s="99" t="str">
        <f>IFERROR(__xludf.DUMMYFUNCTION("IFERROR(VLOOKUP(AS25,IMPORTRANGE(""https://docs.google.com/spreadsheets/d/1juPI-Fb8LD0YtltB2mlGEnp_R3UVu1t3wSFPzgCyHXE/edit?gid=0#gid=0"",""GERAL!A2:C""),3,0),""-"")"),"CAMPO")</f>
        <v>CAMPO</v>
      </c>
      <c r="Q25" s="101" t="s">
        <v>156</v>
      </c>
      <c r="R25" s="98">
        <v>6.0</v>
      </c>
      <c r="S25" s="98">
        <v>0.0</v>
      </c>
      <c r="T25" s="98">
        <v>0.0</v>
      </c>
      <c r="U25" s="98">
        <v>1.0</v>
      </c>
      <c r="V25" s="98">
        <v>1.0</v>
      </c>
      <c r="W25" s="98">
        <v>0.0</v>
      </c>
      <c r="X25" s="98">
        <v>1.0</v>
      </c>
      <c r="Y25" s="98">
        <v>0.0</v>
      </c>
      <c r="Z25" s="98">
        <v>1.0</v>
      </c>
      <c r="AA25" s="98">
        <v>0.0</v>
      </c>
      <c r="AB25" s="98">
        <v>1.0</v>
      </c>
      <c r="AC25" s="98">
        <v>0.0</v>
      </c>
      <c r="AD25" s="98">
        <v>0.0</v>
      </c>
      <c r="AE25" s="98">
        <v>0.0</v>
      </c>
      <c r="AF25" s="98">
        <v>1.0</v>
      </c>
      <c r="AG25" s="98">
        <v>0.0</v>
      </c>
      <c r="AH25" s="98">
        <v>0.0</v>
      </c>
      <c r="AI25" s="98">
        <v>0.0</v>
      </c>
      <c r="AJ25" s="98">
        <v>0.0</v>
      </c>
      <c r="AK25" s="98">
        <v>0.0</v>
      </c>
      <c r="AL25" s="98">
        <v>0.0</v>
      </c>
      <c r="AM25" s="98">
        <v>0.0</v>
      </c>
      <c r="AN25" s="98">
        <v>0.0</v>
      </c>
      <c r="AO25" s="98">
        <v>0.0</v>
      </c>
      <c r="AP25" s="98">
        <v>0.0</v>
      </c>
      <c r="AQ25" s="98" t="s">
        <v>171</v>
      </c>
      <c r="AR25" s="102">
        <v>46233.0</v>
      </c>
      <c r="AS25" s="83">
        <v>1126050.0</v>
      </c>
    </row>
    <row r="26" ht="15.75" customHeight="1">
      <c r="A26" s="111" t="s">
        <v>130</v>
      </c>
      <c r="B26" s="83" t="s">
        <v>248</v>
      </c>
      <c r="C26" s="83" t="s">
        <v>68</v>
      </c>
      <c r="D26" s="112">
        <v>1125968.0</v>
      </c>
      <c r="E26" s="83"/>
      <c r="F26" s="83">
        <v>2.906225E7</v>
      </c>
      <c r="G26" s="91" t="str">
        <f>IFERROR(__xludf.DUMMYFUNCTION("XLOOKUP(AS26,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PROFESSORA CÉLIA OLIVEIRA LEITE 
(ANTIGO CE ACM)")</f>
        <v>COLÉGIO ESTADUAL DE TEMPO INTEGRAL PROFESSORA CÉLIA OLIVEIRA LEITE 
(ANTIGO CE ACM)</v>
      </c>
      <c r="H26" s="119" t="s">
        <v>254</v>
      </c>
      <c r="I26" s="108" t="s">
        <v>255</v>
      </c>
      <c r="J26" s="83" t="s">
        <v>149</v>
      </c>
      <c r="K26" s="83" t="s">
        <v>150</v>
      </c>
      <c r="L26" s="83" t="s">
        <v>151</v>
      </c>
      <c r="M26" s="98" t="s">
        <v>230</v>
      </c>
      <c r="N26" s="98" t="s">
        <v>256</v>
      </c>
      <c r="O26" s="98" t="s">
        <v>162</v>
      </c>
      <c r="P26" s="99" t="str">
        <f>IFERROR(__xludf.DUMMYFUNCTION("IFERROR(VLOOKUP(AS26,IMPORTRANGE(""https://docs.google.com/spreadsheets/d/1juPI-Fb8LD0YtltB2mlGEnp_R3UVu1t3wSFPzgCyHXE/edit?gid=0#gid=0"",""GERAL!A2:C""),3,0),""-"")"),"-")</f>
        <v>-</v>
      </c>
      <c r="Q26" s="101" t="s">
        <v>156</v>
      </c>
      <c r="R26" s="98">
        <v>11.0</v>
      </c>
      <c r="S26" s="98">
        <v>1.0</v>
      </c>
      <c r="T26" s="98">
        <v>1.0</v>
      </c>
      <c r="U26" s="98">
        <v>1.0</v>
      </c>
      <c r="V26" s="98">
        <v>0.0</v>
      </c>
      <c r="W26" s="98">
        <v>1.0</v>
      </c>
      <c r="X26" s="98">
        <v>1.0</v>
      </c>
      <c r="Y26" s="98">
        <v>0.0</v>
      </c>
      <c r="Z26" s="98">
        <v>1.0</v>
      </c>
      <c r="AA26" s="98">
        <v>0.0</v>
      </c>
      <c r="AB26" s="98">
        <v>1.0</v>
      </c>
      <c r="AC26" s="98">
        <v>0.0</v>
      </c>
      <c r="AD26" s="98">
        <v>0.0</v>
      </c>
      <c r="AE26" s="98">
        <v>0.0</v>
      </c>
      <c r="AF26" s="98">
        <v>1.0</v>
      </c>
      <c r="AG26" s="98">
        <v>0.0</v>
      </c>
      <c r="AH26" s="98">
        <v>0.0</v>
      </c>
      <c r="AI26" s="98">
        <v>0.0</v>
      </c>
      <c r="AJ26" s="98">
        <v>0.0</v>
      </c>
      <c r="AK26" s="98">
        <v>1.0</v>
      </c>
      <c r="AL26" s="98">
        <v>0.0</v>
      </c>
      <c r="AM26" s="98">
        <v>0.0</v>
      </c>
      <c r="AN26" s="98">
        <v>0.0</v>
      </c>
      <c r="AO26" s="98">
        <v>0.0</v>
      </c>
      <c r="AP26" s="98">
        <v>0.0</v>
      </c>
      <c r="AQ26" s="98" t="s">
        <v>257</v>
      </c>
      <c r="AR26" s="102">
        <v>46233.0</v>
      </c>
      <c r="AS26" s="83">
        <v>1125968.0</v>
      </c>
    </row>
    <row r="27" ht="15.75" customHeight="1">
      <c r="A27" s="111" t="s">
        <v>130</v>
      </c>
      <c r="B27" s="83" t="s">
        <v>258</v>
      </c>
      <c r="C27" s="83" t="s">
        <v>68</v>
      </c>
      <c r="D27" s="112">
        <v>1162774.0</v>
      </c>
      <c r="E27" s="83"/>
      <c r="F27" s="83">
        <v>2.9062632E7</v>
      </c>
      <c r="G27" s="91" t="str">
        <f>IFERROR(__xludf.DUMMYFUNCTION("XLOOKUP(AS27,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DE TEMPO INTEGRAL DE IBITITÁ")</f>
        <v>COLÉGIO ESTADUAL DO CAMPO DE TEMPO INTEGRAL DE IBITITÁ</v>
      </c>
      <c r="H27" s="119" t="s">
        <v>259</v>
      </c>
      <c r="I27" s="91" t="s">
        <v>260</v>
      </c>
      <c r="J27" s="83" t="s">
        <v>149</v>
      </c>
      <c r="K27" s="83" t="s">
        <v>150</v>
      </c>
      <c r="L27" s="83" t="s">
        <v>151</v>
      </c>
      <c r="M27" s="83" t="s">
        <v>152</v>
      </c>
      <c r="N27" s="98" t="s">
        <v>261</v>
      </c>
      <c r="O27" s="98" t="s">
        <v>155</v>
      </c>
      <c r="P27" s="99" t="str">
        <f>IFERROR(__xludf.DUMMYFUNCTION("IFERROR(VLOOKUP(AS27,IMPORTRANGE(""https://docs.google.com/spreadsheets/d/1juPI-Fb8LD0YtltB2mlGEnp_R3UVu1t3wSFPzgCyHXE/edit?gid=0#gid=0"",""GERAL!A2:C""),3,0),""-"")"),"CAMPO")</f>
        <v>CAMPO</v>
      </c>
      <c r="Q27" s="101" t="s">
        <v>156</v>
      </c>
      <c r="R27" s="98">
        <v>14.0</v>
      </c>
      <c r="S27" s="98">
        <v>0.0</v>
      </c>
      <c r="T27" s="98">
        <v>0.0</v>
      </c>
      <c r="U27" s="98">
        <v>0.0</v>
      </c>
      <c r="V27" s="98">
        <v>0.0</v>
      </c>
      <c r="W27" s="98">
        <v>0.0</v>
      </c>
      <c r="X27" s="98">
        <v>0.0</v>
      </c>
      <c r="Y27" s="98">
        <v>0.0</v>
      </c>
      <c r="Z27" s="98">
        <v>0.0</v>
      </c>
      <c r="AA27" s="98">
        <v>0.0</v>
      </c>
      <c r="AB27" s="98">
        <v>0.0</v>
      </c>
      <c r="AC27" s="98">
        <v>0.0</v>
      </c>
      <c r="AD27" s="98">
        <v>0.0</v>
      </c>
      <c r="AE27" s="98">
        <v>0.0</v>
      </c>
      <c r="AF27" s="98">
        <v>0.0</v>
      </c>
      <c r="AG27" s="98">
        <v>1.0</v>
      </c>
      <c r="AH27" s="98">
        <v>0.0</v>
      </c>
      <c r="AI27" s="98">
        <v>0.0</v>
      </c>
      <c r="AJ27" s="98">
        <v>0.0</v>
      </c>
      <c r="AK27" s="98">
        <v>0.0</v>
      </c>
      <c r="AL27" s="98">
        <v>0.0</v>
      </c>
      <c r="AM27" s="98">
        <v>0.0</v>
      </c>
      <c r="AN27" s="98">
        <v>0.0</v>
      </c>
      <c r="AO27" s="98">
        <v>0.0</v>
      </c>
      <c r="AP27" s="98">
        <v>4.0</v>
      </c>
      <c r="AQ27" s="98" t="s">
        <v>262</v>
      </c>
      <c r="AR27" s="102">
        <v>46226.0</v>
      </c>
      <c r="AS27" s="83">
        <v>1162774.0</v>
      </c>
    </row>
    <row r="28" ht="15.75" customHeight="1">
      <c r="A28" s="111" t="s">
        <v>130</v>
      </c>
      <c r="B28" s="83" t="s">
        <v>258</v>
      </c>
      <c r="C28" s="83" t="s">
        <v>164</v>
      </c>
      <c r="D28" s="112">
        <v>1179281.0</v>
      </c>
      <c r="E28" s="83">
        <v>1179372.0</v>
      </c>
      <c r="F28" s="83"/>
      <c r="G28" s="91" t="str">
        <f>IFERROR(__xludf.DUMMYFUNCTION("XLOOKUP(AS28,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IRECÊ - DISTRITO FEIRA NOVA")</f>
        <v>ANEXO - CEMIT IRECÊ - DISTRITO FEIRA NOVA</v>
      </c>
      <c r="H28" s="114" t="s">
        <v>263</v>
      </c>
      <c r="I28" s="91" t="s">
        <v>264</v>
      </c>
      <c r="J28" s="136" t="s">
        <v>149</v>
      </c>
      <c r="K28" s="83" t="s">
        <v>187</v>
      </c>
      <c r="L28" s="83" t="s">
        <v>168</v>
      </c>
      <c r="M28" s="83" t="s">
        <v>169</v>
      </c>
      <c r="N28" s="115" t="s">
        <v>170</v>
      </c>
      <c r="O28" s="98" t="s">
        <v>155</v>
      </c>
      <c r="P28" s="99" t="str">
        <f>IFERROR(__xludf.DUMMYFUNCTION("IFERROR(VLOOKUP(AS28,IMPORTRANGE(""https://docs.google.com/spreadsheets/d/1juPI-Fb8LD0YtltB2mlGEnp_R3UVu1t3wSFPzgCyHXE/edit?gid=0#gid=0"",""GERAL!A2:C""),3,0),""-"")"),"-")</f>
        <v>-</v>
      </c>
      <c r="Q28" s="98" t="s">
        <v>171</v>
      </c>
      <c r="R28" s="98">
        <v>3.0</v>
      </c>
      <c r="S28" s="98" t="s">
        <v>171</v>
      </c>
      <c r="T28" s="98" t="s">
        <v>171</v>
      </c>
      <c r="U28" s="98" t="s">
        <v>171</v>
      </c>
      <c r="V28" s="98" t="s">
        <v>171</v>
      </c>
      <c r="W28" s="98" t="s">
        <v>171</v>
      </c>
      <c r="X28" s="98" t="s">
        <v>171</v>
      </c>
      <c r="Y28" s="98" t="s">
        <v>171</v>
      </c>
      <c r="Z28" s="98" t="s">
        <v>171</v>
      </c>
      <c r="AA28" s="98" t="s">
        <v>171</v>
      </c>
      <c r="AB28" s="98" t="s">
        <v>171</v>
      </c>
      <c r="AC28" s="98" t="s">
        <v>171</v>
      </c>
      <c r="AD28" s="98" t="s">
        <v>171</v>
      </c>
      <c r="AE28" s="98" t="s">
        <v>171</v>
      </c>
      <c r="AF28" s="98" t="s">
        <v>171</v>
      </c>
      <c r="AG28" s="98" t="s">
        <v>171</v>
      </c>
      <c r="AH28" s="98" t="s">
        <v>171</v>
      </c>
      <c r="AI28" s="98" t="s">
        <v>171</v>
      </c>
      <c r="AJ28" s="98" t="s">
        <v>171</v>
      </c>
      <c r="AK28" s="98" t="s">
        <v>171</v>
      </c>
      <c r="AL28" s="98" t="s">
        <v>171</v>
      </c>
      <c r="AM28" s="98" t="s">
        <v>171</v>
      </c>
      <c r="AN28" s="98" t="s">
        <v>171</v>
      </c>
      <c r="AO28" s="98" t="s">
        <v>171</v>
      </c>
      <c r="AP28" s="98" t="s">
        <v>171</v>
      </c>
      <c r="AQ28" s="98" t="s">
        <v>171</v>
      </c>
      <c r="AR28" s="102">
        <v>46226.0</v>
      </c>
      <c r="AS28" s="83">
        <v>1179372.0</v>
      </c>
    </row>
    <row r="29" ht="15.75" customHeight="1">
      <c r="A29" s="111" t="s">
        <v>130</v>
      </c>
      <c r="B29" s="83" t="s">
        <v>266</v>
      </c>
      <c r="C29" s="83" t="s">
        <v>68</v>
      </c>
      <c r="D29" s="112">
        <v>1127260.0</v>
      </c>
      <c r="E29" s="83"/>
      <c r="F29" s="83">
        <v>2.9207843E7</v>
      </c>
      <c r="G29" s="91" t="str">
        <f>IFERROR(__xludf.DUMMYFUNCTION("XLOOKUP(AS29,
IMPORTRANGE(""https://docs.google.com/spreadsheets/d/1YM-djuOLXomrZ9W0B4TyIBsVWnXY4EIOFD9HY-qGfv0/edit?usp=sharing"",""GERAL!BG5:BG""),
IMPORTRANGE(""https://docs.google.com/spreadsheets/d/1YM-djuOLXomrZ9W0B4TyIBsVWnXY4EIOFD9HY-qGfv0/edit?us"&amp;"p=sharing"",""GERAL!G5:G""),
""CÓD. SEC NÃO ENCONTRADO NA PLANILHA DE MATRÍCULA"")"),"COLEGIO ESTADUAL DE TEMPO INTEGRAL CASTRO ALVES")</f>
        <v>COLEGIO ESTADUAL DE TEMPO INTEGRAL CASTRO ALVES</v>
      </c>
      <c r="H29" s="119" t="s">
        <v>267</v>
      </c>
      <c r="I29" s="91" t="s">
        <v>268</v>
      </c>
      <c r="J29" s="83" t="s">
        <v>149</v>
      </c>
      <c r="K29" s="83" t="s">
        <v>150</v>
      </c>
      <c r="L29" s="83" t="s">
        <v>151</v>
      </c>
      <c r="M29" s="83" t="s">
        <v>76</v>
      </c>
      <c r="N29" s="98" t="s">
        <v>269</v>
      </c>
      <c r="O29" s="98" t="s">
        <v>155</v>
      </c>
      <c r="P29" s="99" t="str">
        <f>IFERROR(__xludf.DUMMYFUNCTION("IFERROR(VLOOKUP(AS29,IMPORTRANGE(""https://docs.google.com/spreadsheets/d/1juPI-Fb8LD0YtltB2mlGEnp_R3UVu1t3wSFPzgCyHXE/edit?gid=0#gid=0"",""GERAL!A2:C""),3,0),""-"")"),"-")</f>
        <v>-</v>
      </c>
      <c r="Q29" s="101" t="s">
        <v>156</v>
      </c>
      <c r="R29" s="98">
        <v>7.0</v>
      </c>
      <c r="S29" s="98">
        <v>0.0</v>
      </c>
      <c r="T29" s="98">
        <v>0.0</v>
      </c>
      <c r="U29" s="98">
        <v>0.0</v>
      </c>
      <c r="V29" s="98">
        <v>0.0</v>
      </c>
      <c r="W29" s="98">
        <v>0.0</v>
      </c>
      <c r="X29" s="98">
        <v>1.0</v>
      </c>
      <c r="Y29" s="149">
        <v>0.0</v>
      </c>
      <c r="Z29" s="98">
        <v>0.0</v>
      </c>
      <c r="AA29" s="98">
        <v>0.0</v>
      </c>
      <c r="AB29" s="98">
        <v>0.0</v>
      </c>
      <c r="AC29" s="98">
        <v>0.0</v>
      </c>
      <c r="AD29" s="98">
        <v>0.0</v>
      </c>
      <c r="AE29" s="98">
        <v>0.0</v>
      </c>
      <c r="AF29" s="98">
        <v>0.0</v>
      </c>
      <c r="AG29" s="98">
        <v>1.0</v>
      </c>
      <c r="AH29" s="98">
        <v>0.0</v>
      </c>
      <c r="AI29" s="98">
        <v>0.0</v>
      </c>
      <c r="AJ29" s="98">
        <v>0.0</v>
      </c>
      <c r="AK29" s="98">
        <v>0.0</v>
      </c>
      <c r="AL29" s="98">
        <v>0.0</v>
      </c>
      <c r="AM29" s="98">
        <v>0.0</v>
      </c>
      <c r="AN29" s="98">
        <v>0.0</v>
      </c>
      <c r="AO29" s="98">
        <v>0.0</v>
      </c>
      <c r="AP29" s="98">
        <v>1.0</v>
      </c>
      <c r="AQ29" s="98" t="s">
        <v>270</v>
      </c>
      <c r="AR29" s="102">
        <v>46232.0</v>
      </c>
      <c r="AS29" s="83">
        <v>1127260.0</v>
      </c>
    </row>
    <row r="30" ht="15.75" customHeight="1">
      <c r="A30" s="111" t="s">
        <v>130</v>
      </c>
      <c r="B30" s="83" t="s">
        <v>271</v>
      </c>
      <c r="C30" s="83" t="s">
        <v>68</v>
      </c>
      <c r="D30" s="112">
        <v>1126611.0</v>
      </c>
      <c r="E30" s="83"/>
      <c r="F30" s="83">
        <v>2.9064147E7</v>
      </c>
      <c r="G30" s="91" t="str">
        <f>IFERROR(__xludf.DUMMYFUNCTION("XLOOKUP(AS30,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PROFESSORA DÁRIA DOURADO LOPES (ANTIGO - CE LUIZ VIANA FILHO)")</f>
        <v>COLÉGIO ESTADUAL DE TEMPO INTEGRAL PROFESSORA DÁRIA DOURADO LOPES (ANTIGO - CE LUIZ VIANA FILHO)</v>
      </c>
      <c r="H30" s="119" t="s">
        <v>272</v>
      </c>
      <c r="I30" s="91" t="s">
        <v>273</v>
      </c>
      <c r="J30" s="83" t="s">
        <v>149</v>
      </c>
      <c r="K30" s="83" t="s">
        <v>150</v>
      </c>
      <c r="L30" s="83" t="s">
        <v>151</v>
      </c>
      <c r="M30" s="98" t="s">
        <v>230</v>
      </c>
      <c r="N30" s="98" t="s">
        <v>274</v>
      </c>
      <c r="O30" s="98" t="s">
        <v>176</v>
      </c>
      <c r="P30" s="99" t="str">
        <f>IFERROR(__xludf.DUMMYFUNCTION("IFERROR(VLOOKUP(AS30,IMPORTRANGE(""https://docs.google.com/spreadsheets/d/1juPI-Fb8LD0YtltB2mlGEnp_R3UVu1t3wSFPzgCyHXE/edit?gid=0#gid=0"",""GERAL!A2:C""),3,0),""-"")"),"-")</f>
        <v>-</v>
      </c>
      <c r="Q30" s="101" t="s">
        <v>156</v>
      </c>
      <c r="R30" s="98">
        <v>15.0</v>
      </c>
      <c r="S30" s="98">
        <v>0.0</v>
      </c>
      <c r="T30" s="98">
        <v>0.0</v>
      </c>
      <c r="U30" s="98">
        <v>0.0</v>
      </c>
      <c r="V30" s="98">
        <v>0.0</v>
      </c>
      <c r="W30" s="98">
        <v>0.0</v>
      </c>
      <c r="X30" s="98">
        <v>0.0</v>
      </c>
      <c r="Y30" s="98">
        <v>0.0</v>
      </c>
      <c r="Z30" s="98">
        <v>1.0</v>
      </c>
      <c r="AA30" s="98">
        <v>0.0</v>
      </c>
      <c r="AB30" s="98">
        <v>0.0</v>
      </c>
      <c r="AC30" s="98">
        <v>0.0</v>
      </c>
      <c r="AD30" s="98">
        <v>0.0</v>
      </c>
      <c r="AE30" s="98">
        <v>0.0</v>
      </c>
      <c r="AF30" s="98">
        <v>1.0</v>
      </c>
      <c r="AG30" s="98">
        <v>0.0</v>
      </c>
      <c r="AH30" s="98">
        <v>0.0</v>
      </c>
      <c r="AI30" s="98">
        <v>0.0</v>
      </c>
      <c r="AJ30" s="98">
        <v>0.0</v>
      </c>
      <c r="AK30" s="98">
        <v>0.0</v>
      </c>
      <c r="AL30" s="98">
        <v>0.0</v>
      </c>
      <c r="AM30" s="98">
        <v>0.0</v>
      </c>
      <c r="AN30" s="98">
        <v>0.0</v>
      </c>
      <c r="AO30" s="98">
        <v>0.0</v>
      </c>
      <c r="AP30" s="98">
        <v>3.0</v>
      </c>
      <c r="AQ30" s="98" t="s">
        <v>275</v>
      </c>
      <c r="AR30" s="102">
        <v>46203.0</v>
      </c>
      <c r="AS30" s="83">
        <v>1126611.0</v>
      </c>
    </row>
    <row r="31" ht="15.75" customHeight="1">
      <c r="A31" s="111" t="s">
        <v>130</v>
      </c>
      <c r="B31" s="83" t="s">
        <v>271</v>
      </c>
      <c r="C31" s="83" t="s">
        <v>68</v>
      </c>
      <c r="D31" s="112">
        <v>1176431.0</v>
      </c>
      <c r="E31" s="83"/>
      <c r="F31" s="83">
        <v>2.940323E7</v>
      </c>
      <c r="G31" s="91" t="str">
        <f>IFERROR(__xludf.DUMMYFUNCTION("XLOOKUP(AS31,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PROFESSOR JORGE RODRIGUES DOS SANTOS
(ANTIGO COLÉGIO MODELO LUIS EDUARDO MAGALHÃES)")</f>
        <v>COLÉGIO ESTADUAL DE TEMPO INTEGRAL PROFESSOR JORGE RODRIGUES DOS SANTOS
(ANTIGO COLÉGIO MODELO LUIS EDUARDO MAGALHÃES)</v>
      </c>
      <c r="H31" s="119" t="s">
        <v>276</v>
      </c>
      <c r="I31" s="91" t="s">
        <v>277</v>
      </c>
      <c r="J31" s="83" t="s">
        <v>149</v>
      </c>
      <c r="K31" s="83" t="s">
        <v>150</v>
      </c>
      <c r="L31" s="83" t="s">
        <v>151</v>
      </c>
      <c r="M31" s="98" t="s">
        <v>230</v>
      </c>
      <c r="N31" s="98" t="s">
        <v>278</v>
      </c>
      <c r="O31" s="98" t="s">
        <v>155</v>
      </c>
      <c r="P31" s="99" t="str">
        <f>IFERROR(__xludf.DUMMYFUNCTION("IFERROR(VLOOKUP(AS31,IMPORTRANGE(""https://docs.google.com/spreadsheets/d/1juPI-Fb8LD0YtltB2mlGEnp_R3UVu1t3wSFPzgCyHXE/edit?gid=0#gid=0"",""GERAL!A2:C""),3,0),""-"")"),"-")</f>
        <v>-</v>
      </c>
      <c r="Q31" s="101" t="s">
        <v>156</v>
      </c>
      <c r="R31" s="98">
        <v>32.0</v>
      </c>
      <c r="S31" s="98">
        <v>0.0</v>
      </c>
      <c r="T31" s="98">
        <v>5.0</v>
      </c>
      <c r="U31" s="98">
        <v>1.0</v>
      </c>
      <c r="V31" s="98">
        <v>1.0</v>
      </c>
      <c r="W31" s="98">
        <v>0.0</v>
      </c>
      <c r="X31" s="98">
        <v>1.0</v>
      </c>
      <c r="Y31" s="98">
        <v>0.0</v>
      </c>
      <c r="Z31" s="98">
        <v>0.0</v>
      </c>
      <c r="AA31" s="98">
        <v>1.0</v>
      </c>
      <c r="AB31" s="98">
        <v>0.0</v>
      </c>
      <c r="AC31" s="98">
        <v>0.0</v>
      </c>
      <c r="AD31" s="98">
        <v>0.0</v>
      </c>
      <c r="AE31" s="98">
        <v>0.0</v>
      </c>
      <c r="AF31" s="98">
        <v>1.0</v>
      </c>
      <c r="AG31" s="98">
        <v>0.0</v>
      </c>
      <c r="AH31" s="98">
        <v>0.0</v>
      </c>
      <c r="AI31" s="98">
        <v>0.0</v>
      </c>
      <c r="AJ31" s="98">
        <v>1.0</v>
      </c>
      <c r="AK31" s="98">
        <v>0.0</v>
      </c>
      <c r="AL31" s="98">
        <v>0.0</v>
      </c>
      <c r="AM31" s="98">
        <v>0.0</v>
      </c>
      <c r="AN31" s="98">
        <v>0.0</v>
      </c>
      <c r="AO31" s="98">
        <v>0.0</v>
      </c>
      <c r="AP31" s="98">
        <v>2.0</v>
      </c>
      <c r="AQ31" s="98" t="s">
        <v>279</v>
      </c>
      <c r="AR31" s="102">
        <v>46203.0</v>
      </c>
      <c r="AS31" s="83">
        <v>1176431.0</v>
      </c>
    </row>
    <row r="32">
      <c r="A32" s="111" t="s">
        <v>130</v>
      </c>
      <c r="B32" s="83" t="s">
        <v>271</v>
      </c>
      <c r="C32" s="83" t="s">
        <v>68</v>
      </c>
      <c r="D32" s="112">
        <v>1126590.0</v>
      </c>
      <c r="E32" s="83"/>
      <c r="F32" s="83">
        <v>2.906412E7</v>
      </c>
      <c r="G32" s="91" t="str">
        <f>IFERROR(__xludf.DUMMYFUNCTION("XLOOKUP(AS32,
IMPORTRANGE(""https://docs.google.com/spreadsheets/d/1YM-djuOLXomrZ9W0B4TyIBsVWnXY4EIOFD9HY-qGfv0/edit?usp=sharing"",""GERAL!BG5:BG""),
IMPORTRANGE(""https://docs.google.com/spreadsheets/d/1YM-djuOLXomrZ9W0B4TyIBsVWnXY4EIOFD9HY-qGfv0/edit?us"&amp;"p=sharing"",""GERAL!G5:G""),
""CÓD. SEC NÃO ENCONTRADO NA PLANILHA DE MATRÍCULA"")"),"CENTRO TERRITORIAL DE EDUCAÇÃO PROFISSIONAL DE IRECÊ")</f>
        <v>CENTRO TERRITORIAL DE EDUCAÇÃO PROFISSIONAL DE IRECÊ</v>
      </c>
      <c r="H32" s="114" t="s">
        <v>280</v>
      </c>
      <c r="I32" s="91" t="s">
        <v>281</v>
      </c>
      <c r="J32" s="83" t="s">
        <v>282</v>
      </c>
      <c r="K32" s="83" t="s">
        <v>150</v>
      </c>
      <c r="L32" s="83" t="s">
        <v>151</v>
      </c>
      <c r="M32" s="83" t="s">
        <v>230</v>
      </c>
      <c r="N32" s="98" t="s">
        <v>283</v>
      </c>
      <c r="O32" s="98" t="s">
        <v>284</v>
      </c>
      <c r="P32" s="99" t="str">
        <f>IFERROR(__xludf.DUMMYFUNCTION("IFERROR(VLOOKUP(AS32,IMPORTRANGE(""https://docs.google.com/spreadsheets/d/1juPI-Fb8LD0YtltB2mlGEnp_R3UVu1t3wSFPzgCyHXE/edit?gid=0#gid=0"",""GERAL!A2:C""),3,0),""-"")"),"-")</f>
        <v>-</v>
      </c>
      <c r="Q32" s="101" t="s">
        <v>156</v>
      </c>
      <c r="R32" s="98">
        <v>18.0</v>
      </c>
      <c r="S32" s="98">
        <v>1.0</v>
      </c>
      <c r="T32" s="98">
        <v>1.0</v>
      </c>
      <c r="U32" s="98">
        <v>0.0</v>
      </c>
      <c r="V32" s="98">
        <v>0.0</v>
      </c>
      <c r="W32" s="98">
        <v>10.0</v>
      </c>
      <c r="X32" s="98">
        <v>1.0</v>
      </c>
      <c r="Y32" s="98">
        <v>0.0</v>
      </c>
      <c r="Z32" s="98">
        <v>0.0</v>
      </c>
      <c r="AA32" s="98">
        <v>1.0</v>
      </c>
      <c r="AB32" s="98">
        <v>1.0</v>
      </c>
      <c r="AC32" s="98">
        <v>0.0</v>
      </c>
      <c r="AD32" s="98">
        <v>0.0</v>
      </c>
      <c r="AE32" s="98">
        <v>0.0</v>
      </c>
      <c r="AF32" s="98">
        <v>1.0</v>
      </c>
      <c r="AG32" s="98">
        <v>0.0</v>
      </c>
      <c r="AH32" s="98">
        <v>0.0</v>
      </c>
      <c r="AI32" s="98">
        <v>0.0</v>
      </c>
      <c r="AJ32" s="98">
        <v>1.0</v>
      </c>
      <c r="AK32" s="98">
        <v>0.0</v>
      </c>
      <c r="AL32" s="98">
        <v>0.0</v>
      </c>
      <c r="AM32" s="98">
        <v>0.0</v>
      </c>
      <c r="AN32" s="98">
        <v>0.0</v>
      </c>
      <c r="AO32" s="98">
        <v>0.0</v>
      </c>
      <c r="AP32" s="98">
        <v>0.0</v>
      </c>
      <c r="AQ32" s="98" t="s">
        <v>286</v>
      </c>
      <c r="AR32" s="102">
        <v>46203.0</v>
      </c>
      <c r="AS32" s="83">
        <v>1126590.0</v>
      </c>
    </row>
    <row r="33" ht="15.75" customHeight="1">
      <c r="A33" s="111" t="s">
        <v>130</v>
      </c>
      <c r="B33" s="83" t="s">
        <v>271</v>
      </c>
      <c r="C33" s="83" t="s">
        <v>68</v>
      </c>
      <c r="D33" s="112">
        <v>1179281.0</v>
      </c>
      <c r="E33" s="83"/>
      <c r="F33" s="83">
        <v>2.9459141E7</v>
      </c>
      <c r="G33" s="91" t="str">
        <f>IFERROR(__xludf.DUMMYFUNCTION("XLOOKUP(AS33,
IMPORTRANGE(""https://docs.google.com/spreadsheets/d/1YM-djuOLXomrZ9W0B4TyIBsVWnXY4EIOFD9HY-qGfv0/edit?usp=sharing"",""GERAL!BG5:BG""),
IMPORTRANGE(""https://docs.google.com/spreadsheets/d/1YM-djuOLXomrZ9W0B4TyIBsVWnXY4EIOFD9HY-qGfv0/edit?us"&amp;"p=sharing"",""GERAL!G5:G""),
""CÓD. SEC NÃO ENCONTRADO NA PLANILHA DE MATRÍCULA"")"),"CENTRO REGIONAL DE ENSINO MÉDIO COM INTERMEDIAÇÃO TECNOLÓGICA - CEMIT DE IRECÊ")</f>
        <v>CENTRO REGIONAL DE ENSINO MÉDIO COM INTERMEDIAÇÃO TECNOLÓGICA - CEMIT DE IRECÊ</v>
      </c>
      <c r="H33" s="114" t="s">
        <v>287</v>
      </c>
      <c r="I33" s="91" t="s">
        <v>288</v>
      </c>
      <c r="J33" s="83" t="s">
        <v>149</v>
      </c>
      <c r="K33" s="83" t="s">
        <v>150</v>
      </c>
      <c r="L33" s="83" t="s">
        <v>151</v>
      </c>
      <c r="M33" s="83" t="s">
        <v>230</v>
      </c>
      <c r="N33" s="128" t="s">
        <v>171</v>
      </c>
      <c r="O33" s="98" t="s">
        <v>155</v>
      </c>
      <c r="P33" s="99" t="str">
        <f>IFERROR(__xludf.DUMMYFUNCTION("IFERROR(VLOOKUP(AS33,IMPORTRANGE(""https://docs.google.com/spreadsheets/d/1juPI-Fb8LD0YtltB2mlGEnp_R3UVu1t3wSFPzgCyHXE/edit?gid=0#gid=0"",""GERAL!A2:C""),3,0),""-"")"),"-")</f>
        <v>-</v>
      </c>
      <c r="Q33" s="101" t="s">
        <v>156</v>
      </c>
      <c r="R33" s="98" t="s">
        <v>171</v>
      </c>
      <c r="S33" s="98" t="s">
        <v>171</v>
      </c>
      <c r="T33" s="98" t="s">
        <v>171</v>
      </c>
      <c r="U33" s="98" t="s">
        <v>171</v>
      </c>
      <c r="V33" s="98" t="s">
        <v>171</v>
      </c>
      <c r="W33" s="98" t="s">
        <v>171</v>
      </c>
      <c r="X33" s="98" t="s">
        <v>171</v>
      </c>
      <c r="Y33" s="98" t="s">
        <v>171</v>
      </c>
      <c r="Z33" s="98" t="s">
        <v>171</v>
      </c>
      <c r="AA33" s="98" t="s">
        <v>171</v>
      </c>
      <c r="AB33" s="98" t="s">
        <v>171</v>
      </c>
      <c r="AC33" s="98" t="s">
        <v>171</v>
      </c>
      <c r="AD33" s="98" t="s">
        <v>171</v>
      </c>
      <c r="AE33" s="98" t="s">
        <v>171</v>
      </c>
      <c r="AF33" s="98" t="s">
        <v>171</v>
      </c>
      <c r="AG33" s="98" t="s">
        <v>171</v>
      </c>
      <c r="AH33" s="98" t="s">
        <v>171</v>
      </c>
      <c r="AI33" s="98"/>
      <c r="AJ33" s="98" t="s">
        <v>171</v>
      </c>
      <c r="AK33" s="98" t="s">
        <v>171</v>
      </c>
      <c r="AL33" s="98" t="s">
        <v>171</v>
      </c>
      <c r="AM33" s="98" t="s">
        <v>171</v>
      </c>
      <c r="AN33" s="98" t="s">
        <v>171</v>
      </c>
      <c r="AO33" s="98" t="s">
        <v>171</v>
      </c>
      <c r="AP33" s="98" t="s">
        <v>171</v>
      </c>
      <c r="AQ33" s="98" t="s">
        <v>171</v>
      </c>
      <c r="AR33" s="102">
        <v>46206.0</v>
      </c>
      <c r="AS33" s="83">
        <v>1179281.0</v>
      </c>
    </row>
    <row r="34" ht="15.75" customHeight="1">
      <c r="A34" s="111" t="s">
        <v>130</v>
      </c>
      <c r="B34" s="83" t="s">
        <v>271</v>
      </c>
      <c r="C34" s="83" t="s">
        <v>68</v>
      </c>
      <c r="D34" s="112">
        <v>1179658.0</v>
      </c>
      <c r="E34" s="83"/>
      <c r="F34" s="83">
        <v>2.947431E7</v>
      </c>
      <c r="G34" s="91" t="str">
        <f>IFERROR(__xludf.DUMMYFUNCTION("XLOOKUP(AS34,
IMPORTRANGE(""https://docs.google.com/spreadsheets/d/1YM-djuOLXomrZ9W0B4TyIBsVWnXY4EIOFD9HY-qGfv0/edit?usp=sharing"",""GERAL!BG5:BG""),
IMPORTRANGE(""https://docs.google.com/spreadsheets/d/1YM-djuOLXomrZ9W0B4TyIBsVWnXY4EIOFD9HY-qGfv0/edit?us"&amp;"p=sharing"",""GERAL!G5:G""),
""CÓD. SEC NÃO ENCONTRADO NA PLANILHA DE MATRÍCULA"")"),"CENTRO JUVENIL DE CIÊNCIA E CULTURA - CJCC IRECÊ")</f>
        <v>CENTRO JUVENIL DE CIÊNCIA E CULTURA - CJCC IRECÊ</v>
      </c>
      <c r="H34" s="114" t="s">
        <v>289</v>
      </c>
      <c r="I34" s="91" t="s">
        <v>290</v>
      </c>
      <c r="J34" s="83" t="s">
        <v>149</v>
      </c>
      <c r="K34" s="83" t="s">
        <v>150</v>
      </c>
      <c r="L34" s="83" t="s">
        <v>151</v>
      </c>
      <c r="M34" s="83" t="s">
        <v>230</v>
      </c>
      <c r="N34" s="98" t="s">
        <v>291</v>
      </c>
      <c r="O34" s="98" t="s">
        <v>155</v>
      </c>
      <c r="P34" s="99" t="str">
        <f>IFERROR(__xludf.DUMMYFUNCTION("IFERROR(VLOOKUP(AS34,IMPORTRANGE(""https://docs.google.com/spreadsheets/d/1juPI-Fb8LD0YtltB2mlGEnp_R3UVu1t3wSFPzgCyHXE/edit?gid=0#gid=0"",""GERAL!A2:C""),3,0),""-"")"),"-")</f>
        <v>-</v>
      </c>
      <c r="Q34" s="101" t="s">
        <v>156</v>
      </c>
      <c r="R34" s="98">
        <v>1.0</v>
      </c>
      <c r="S34" s="98" t="s">
        <v>171</v>
      </c>
      <c r="T34" s="98" t="s">
        <v>171</v>
      </c>
      <c r="U34" s="98" t="s">
        <v>171</v>
      </c>
      <c r="V34" s="98" t="s">
        <v>171</v>
      </c>
      <c r="W34" s="98" t="s">
        <v>171</v>
      </c>
      <c r="X34" s="98" t="s">
        <v>171</v>
      </c>
      <c r="Y34" s="98" t="s">
        <v>171</v>
      </c>
      <c r="Z34" s="98" t="s">
        <v>171</v>
      </c>
      <c r="AA34" s="98" t="s">
        <v>171</v>
      </c>
      <c r="AB34" s="98" t="s">
        <v>171</v>
      </c>
      <c r="AC34" s="98" t="s">
        <v>171</v>
      </c>
      <c r="AD34" s="98" t="s">
        <v>171</v>
      </c>
      <c r="AE34" s="98" t="s">
        <v>171</v>
      </c>
      <c r="AF34" s="98" t="s">
        <v>171</v>
      </c>
      <c r="AG34" s="98" t="s">
        <v>171</v>
      </c>
      <c r="AH34" s="98" t="s">
        <v>171</v>
      </c>
      <c r="AI34" s="98" t="s">
        <v>171</v>
      </c>
      <c r="AJ34" s="98" t="s">
        <v>171</v>
      </c>
      <c r="AK34" s="98" t="s">
        <v>171</v>
      </c>
      <c r="AL34" s="98" t="s">
        <v>171</v>
      </c>
      <c r="AM34" s="98" t="s">
        <v>171</v>
      </c>
      <c r="AN34" s="98" t="s">
        <v>171</v>
      </c>
      <c r="AO34" s="98" t="s">
        <v>171</v>
      </c>
      <c r="AP34" s="98" t="s">
        <v>171</v>
      </c>
      <c r="AQ34" s="98" t="s">
        <v>171</v>
      </c>
      <c r="AR34" s="102">
        <v>46206.0</v>
      </c>
      <c r="AS34" s="83">
        <v>1179658.0</v>
      </c>
    </row>
    <row r="35" ht="15.75" customHeight="1">
      <c r="A35" s="111" t="s">
        <v>130</v>
      </c>
      <c r="B35" s="83" t="s">
        <v>271</v>
      </c>
      <c r="C35" s="83" t="s">
        <v>164</v>
      </c>
      <c r="D35" s="112">
        <v>1126611.0</v>
      </c>
      <c r="E35" s="98">
        <v>1179803.0</v>
      </c>
      <c r="F35" s="83"/>
      <c r="G35" s="91" t="str">
        <f>IFERROR(__xludf.DUMMYFUNCTION("XLOOKUP(AS35,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DE TEMPO INTEGRAL PROFESSORA DÁRIA DOURADO LOPES - POVOADO DE LAGOA NOVA- CONJUNTO PENAL
")</f>
        <v>ANEXO - COLÉGIO ESTADUAL DE TEMPO INTEGRAL PROFESSORA DÁRIA DOURADO LOPES - POVOADO DE LAGOA NOVA- CONJUNTO PENAL
</v>
      </c>
      <c r="H35" s="119" t="s">
        <v>292</v>
      </c>
      <c r="I35" s="108" t="s">
        <v>293</v>
      </c>
      <c r="J35" s="83"/>
      <c r="K35" s="98" t="s">
        <v>171</v>
      </c>
      <c r="L35" s="83" t="s">
        <v>151</v>
      </c>
      <c r="M35" s="83"/>
      <c r="N35" s="115" t="s">
        <v>170</v>
      </c>
      <c r="O35" s="98"/>
      <c r="P35" s="99" t="str">
        <f>IFERROR(__xludf.DUMMYFUNCTION("IFERROR(VLOOKUP(AS35,IMPORTRANGE(""https://docs.google.com/spreadsheets/d/1juPI-Fb8LD0YtltB2mlGEnp_R3UVu1t3wSFPzgCyHXE/edit?gid=0#gid=0"",""GERAL!A2:C""),3,0),""-"")"),"-")</f>
        <v>-</v>
      </c>
      <c r="Q35" s="98" t="s">
        <v>171</v>
      </c>
      <c r="R35" s="98" t="s">
        <v>171</v>
      </c>
      <c r="S35" s="98" t="s">
        <v>171</v>
      </c>
      <c r="T35" s="98" t="s">
        <v>171</v>
      </c>
      <c r="U35" s="98" t="s">
        <v>171</v>
      </c>
      <c r="V35" s="98" t="s">
        <v>171</v>
      </c>
      <c r="W35" s="98" t="s">
        <v>171</v>
      </c>
      <c r="X35" s="98" t="s">
        <v>171</v>
      </c>
      <c r="Y35" s="98" t="s">
        <v>171</v>
      </c>
      <c r="Z35" s="98" t="s">
        <v>171</v>
      </c>
      <c r="AA35" s="98" t="s">
        <v>171</v>
      </c>
      <c r="AB35" s="98" t="s">
        <v>171</v>
      </c>
      <c r="AC35" s="98" t="s">
        <v>171</v>
      </c>
      <c r="AD35" s="98" t="s">
        <v>171</v>
      </c>
      <c r="AE35" s="98" t="s">
        <v>171</v>
      </c>
      <c r="AF35" s="98" t="s">
        <v>171</v>
      </c>
      <c r="AG35" s="98" t="s">
        <v>171</v>
      </c>
      <c r="AH35" s="98" t="s">
        <v>171</v>
      </c>
      <c r="AI35" s="98"/>
      <c r="AJ35" s="98" t="s">
        <v>171</v>
      </c>
      <c r="AK35" s="98" t="s">
        <v>171</v>
      </c>
      <c r="AL35" s="98" t="s">
        <v>171</v>
      </c>
      <c r="AM35" s="98" t="s">
        <v>171</v>
      </c>
      <c r="AN35" s="98" t="s">
        <v>171</v>
      </c>
      <c r="AO35" s="98" t="s">
        <v>171</v>
      </c>
      <c r="AP35" s="98" t="s">
        <v>171</v>
      </c>
      <c r="AQ35" s="98" t="s">
        <v>171</v>
      </c>
      <c r="AR35" s="102">
        <v>46206.0</v>
      </c>
      <c r="AS35" s="98">
        <v>1179803.0</v>
      </c>
    </row>
    <row r="36" ht="15.75" customHeight="1">
      <c r="A36" s="127" t="s">
        <v>130</v>
      </c>
      <c r="B36" s="98" t="s">
        <v>271</v>
      </c>
      <c r="C36" s="83" t="s">
        <v>68</v>
      </c>
      <c r="D36" s="98">
        <v>1179782.0</v>
      </c>
      <c r="E36" s="83"/>
      <c r="F36" s="98">
        <v>44169.0</v>
      </c>
      <c r="G36" s="91" t="str">
        <f>IFERROR(__xludf.DUMMYFUNCTION("XLOOKUP(AS36,
IMPORTRANGE(""https://docs.google.com/spreadsheets/d/1YM-djuOLXomrZ9W0B4TyIBsVWnXY4EIOFD9HY-qGfv0/edit?usp=sharing"",""GERAL!BG5:BG""),
IMPORTRANGE(""https://docs.google.com/spreadsheets/d/1YM-djuOLXomrZ9W0B4TyIBsVWnXY4EIOFD9HY-qGfv0/edit?us"&amp;"p=sharing"",""GERAL!G5:G""),
""CÓD. SEC NÃO ENCONTRADO NA PLANILHA DE MATRÍCULA"")"),"CENTRO DE APOIO PEDAGOGICO ESPECIALIZADO IRECE")</f>
        <v>CENTRO DE APOIO PEDAGOGICO ESPECIALIZADO IRECE</v>
      </c>
      <c r="H36" s="119" t="s">
        <v>294</v>
      </c>
      <c r="I36" s="108" t="s">
        <v>295</v>
      </c>
      <c r="J36" s="98" t="s">
        <v>149</v>
      </c>
      <c r="K36" s="98" t="s">
        <v>150</v>
      </c>
      <c r="L36" s="83" t="s">
        <v>151</v>
      </c>
      <c r="M36" s="98" t="s">
        <v>230</v>
      </c>
      <c r="N36" s="128" t="s">
        <v>171</v>
      </c>
      <c r="O36" s="98"/>
      <c r="P36" s="99" t="str">
        <f>IFERROR(__xludf.DUMMYFUNCTION("IFERROR(VLOOKUP(AS36,IMPORTRANGE(""https://docs.google.com/spreadsheets/d/1juPI-Fb8LD0YtltB2mlGEnp_R3UVu1t3wSFPzgCyHXE/edit?gid=0#gid=0"",""GERAL!A2:C""),3,0),""-"")"),"-")</f>
        <v>-</v>
      </c>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v>1179782.0</v>
      </c>
    </row>
    <row r="37" ht="15.75" customHeight="1">
      <c r="A37" s="111" t="s">
        <v>130</v>
      </c>
      <c r="B37" s="83" t="s">
        <v>296</v>
      </c>
      <c r="C37" s="83" t="s">
        <v>68</v>
      </c>
      <c r="D37" s="112">
        <v>1178258.0</v>
      </c>
      <c r="E37" s="83"/>
      <c r="F37" s="83">
        <v>2.9447755E7</v>
      </c>
      <c r="G37" s="91" t="str">
        <f>IFERROR(__xludf.DUMMYFUNCTION("XLOOKUP(AS37,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FRANCISCO CASTRO LARANJEIRA")</f>
        <v>COLÉGIO ESTADUAL DO CAMPO FRANCISCO CASTRO LARANJEIRA</v>
      </c>
      <c r="H37" s="114" t="s">
        <v>297</v>
      </c>
      <c r="I37" s="91" t="s">
        <v>298</v>
      </c>
      <c r="J37" s="83" t="s">
        <v>149</v>
      </c>
      <c r="K37" s="83" t="s">
        <v>150</v>
      </c>
      <c r="L37" s="83" t="s">
        <v>151</v>
      </c>
      <c r="M37" s="98" t="s">
        <v>299</v>
      </c>
      <c r="N37" s="98" t="s">
        <v>300</v>
      </c>
      <c r="O37" s="98" t="s">
        <v>155</v>
      </c>
      <c r="P37" s="99" t="str">
        <f>IFERROR(__xludf.DUMMYFUNCTION("IFERROR(VLOOKUP(AS37,IMPORTRANGE(""https://docs.google.com/spreadsheets/d/1juPI-Fb8LD0YtltB2mlGEnp_R3UVu1t3wSFPzgCyHXE/edit?gid=0#gid=0"",""GERAL!A2:C""),3,0),""-"")"),"CAMPO")</f>
        <v>CAMPO</v>
      </c>
      <c r="Q37" s="101" t="s">
        <v>156</v>
      </c>
      <c r="R37" s="98">
        <v>7.0</v>
      </c>
      <c r="S37" s="98">
        <v>0.0</v>
      </c>
      <c r="T37" s="98">
        <v>0.0</v>
      </c>
      <c r="U37" s="98">
        <v>1.0</v>
      </c>
      <c r="V37" s="98">
        <v>1.0</v>
      </c>
      <c r="W37" s="98">
        <v>0.0</v>
      </c>
      <c r="X37" s="98">
        <v>0.0</v>
      </c>
      <c r="Y37" s="98">
        <v>1.0</v>
      </c>
      <c r="Z37" s="98">
        <v>0.0</v>
      </c>
      <c r="AA37" s="98">
        <v>0.0</v>
      </c>
      <c r="AB37" s="98">
        <v>0.0</v>
      </c>
      <c r="AC37" s="98">
        <v>1.0</v>
      </c>
      <c r="AD37" s="98">
        <v>0.0</v>
      </c>
      <c r="AE37" s="98">
        <v>0.0</v>
      </c>
      <c r="AF37" s="98">
        <v>0.0</v>
      </c>
      <c r="AG37" s="98">
        <v>1.0</v>
      </c>
      <c r="AH37" s="98">
        <v>0.0</v>
      </c>
      <c r="AI37" s="98">
        <v>0.0</v>
      </c>
      <c r="AJ37" s="98">
        <v>0.0</v>
      </c>
      <c r="AK37" s="98">
        <v>0.0</v>
      </c>
      <c r="AL37" s="98">
        <v>0.0</v>
      </c>
      <c r="AM37" s="98">
        <v>0.0</v>
      </c>
      <c r="AN37" s="98">
        <v>0.0</v>
      </c>
      <c r="AO37" s="98">
        <v>0.0</v>
      </c>
      <c r="AP37" s="98">
        <v>2.0</v>
      </c>
      <c r="AQ37" s="98" t="s">
        <v>302</v>
      </c>
      <c r="AR37" s="102">
        <v>46237.0</v>
      </c>
      <c r="AS37" s="83">
        <v>1178258.0</v>
      </c>
    </row>
    <row r="38" ht="15.75" customHeight="1">
      <c r="A38" s="111" t="s">
        <v>130</v>
      </c>
      <c r="B38" s="83" t="s">
        <v>296</v>
      </c>
      <c r="C38" s="83" t="s">
        <v>164</v>
      </c>
      <c r="D38" s="112">
        <v>1179281.0</v>
      </c>
      <c r="E38" s="83">
        <v>1179443.0</v>
      </c>
      <c r="F38" s="83"/>
      <c r="G38" s="91" t="str">
        <f>IFERROR(__xludf.DUMMYFUNCTION("XLOOKUP(AS38,
IMPORTRANGE(""https://docs.google.com/spreadsheets/d/1YM-djuOLXomrZ9W0B4TyIBsVWnXY4EIOFD9HY-qGfv0/edit?usp=sharing"",""GERAL!BG5:BG""),
IMPORTRANGE(""https://docs.google.com/spreadsheets/d/1YM-djuOLXomrZ9W0B4TyIBsVWnXY4EIOFD9HY-qGfv0/edit?us"&amp;"p=sharing"",""GERAL!G5:G""),
""CÓD. SEC NÃO ENCONTRADO NA PLANILHA DE MATRÍCULA"")"),"ANEXO -CEMIT - IRECÊ - POVOADO DE MARAVILHA")</f>
        <v>ANEXO -CEMIT - IRECÊ - POVOADO DE MARAVILHA</v>
      </c>
      <c r="H38" s="114" t="s">
        <v>303</v>
      </c>
      <c r="I38" s="91" t="s">
        <v>304</v>
      </c>
      <c r="J38" s="136" t="s">
        <v>149</v>
      </c>
      <c r="K38" s="83" t="s">
        <v>305</v>
      </c>
      <c r="L38" s="83" t="s">
        <v>168</v>
      </c>
      <c r="M38" s="83" t="s">
        <v>169</v>
      </c>
      <c r="N38" s="115" t="s">
        <v>170</v>
      </c>
      <c r="O38" s="98" t="s">
        <v>155</v>
      </c>
      <c r="P38" s="99" t="str">
        <f>IFERROR(__xludf.DUMMYFUNCTION("IFERROR(VLOOKUP(AS38,IMPORTRANGE(""https://docs.google.com/spreadsheets/d/1juPI-Fb8LD0YtltB2mlGEnp_R3UVu1t3wSFPzgCyHXE/edit?gid=0#gid=0"",""GERAL!A2:C""),3,0),""-"")"),"-")</f>
        <v>-</v>
      </c>
      <c r="Q38" s="98" t="s">
        <v>171</v>
      </c>
      <c r="R38" s="98">
        <v>1.0</v>
      </c>
      <c r="S38" s="98" t="s">
        <v>171</v>
      </c>
      <c r="T38" s="98" t="s">
        <v>171</v>
      </c>
      <c r="U38" s="98" t="s">
        <v>171</v>
      </c>
      <c r="V38" s="98" t="s">
        <v>171</v>
      </c>
      <c r="W38" s="98" t="s">
        <v>171</v>
      </c>
      <c r="X38" s="98" t="s">
        <v>171</v>
      </c>
      <c r="Y38" s="98" t="s">
        <v>171</v>
      </c>
      <c r="Z38" s="98" t="s">
        <v>171</v>
      </c>
      <c r="AA38" s="98" t="s">
        <v>171</v>
      </c>
      <c r="AB38" s="98" t="s">
        <v>171</v>
      </c>
      <c r="AC38" s="98" t="s">
        <v>171</v>
      </c>
      <c r="AD38" s="98" t="s">
        <v>171</v>
      </c>
      <c r="AE38" s="98" t="s">
        <v>171</v>
      </c>
      <c r="AF38" s="98" t="s">
        <v>171</v>
      </c>
      <c r="AG38" s="98" t="s">
        <v>171</v>
      </c>
      <c r="AH38" s="98" t="s">
        <v>171</v>
      </c>
      <c r="AI38" s="98" t="s">
        <v>171</v>
      </c>
      <c r="AJ38" s="98" t="s">
        <v>171</v>
      </c>
      <c r="AK38" s="98" t="s">
        <v>171</v>
      </c>
      <c r="AL38" s="98" t="s">
        <v>171</v>
      </c>
      <c r="AM38" s="98" t="s">
        <v>171</v>
      </c>
      <c r="AN38" s="98" t="s">
        <v>171</v>
      </c>
      <c r="AO38" s="98" t="s">
        <v>171</v>
      </c>
      <c r="AP38" s="98" t="s">
        <v>171</v>
      </c>
      <c r="AQ38" s="98" t="s">
        <v>171</v>
      </c>
      <c r="AR38" s="102">
        <v>46237.0</v>
      </c>
      <c r="AS38" s="83">
        <v>1179443.0</v>
      </c>
    </row>
    <row r="39" ht="15.75" customHeight="1">
      <c r="A39" s="111" t="s">
        <v>130</v>
      </c>
      <c r="B39" s="83" t="s">
        <v>296</v>
      </c>
      <c r="C39" s="83" t="s">
        <v>164</v>
      </c>
      <c r="D39" s="112">
        <v>1179281.0</v>
      </c>
      <c r="E39" s="83">
        <v>1179046.0</v>
      </c>
      <c r="F39" s="83"/>
      <c r="G39" s="91" t="str">
        <f>IFERROR(__xludf.DUMMYFUNCTION("XLOOKUP(AS39,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IRECE - POVOADO MUNDINHO")</f>
        <v>ANEXO - CEMIT - IRECE - POVOADO MUNDINHO</v>
      </c>
      <c r="H39" s="114" t="s">
        <v>306</v>
      </c>
      <c r="I39" s="91" t="s">
        <v>307</v>
      </c>
      <c r="J39" s="136" t="s">
        <v>149</v>
      </c>
      <c r="K39" s="83" t="s">
        <v>187</v>
      </c>
      <c r="L39" s="83" t="s">
        <v>168</v>
      </c>
      <c r="M39" s="83" t="s">
        <v>169</v>
      </c>
      <c r="N39" s="115" t="s">
        <v>170</v>
      </c>
      <c r="O39" s="98" t="s">
        <v>155</v>
      </c>
      <c r="P39" s="99" t="str">
        <f>IFERROR(__xludf.DUMMYFUNCTION("IFERROR(VLOOKUP(AS39,IMPORTRANGE(""https://docs.google.com/spreadsheets/d/1juPI-Fb8LD0YtltB2mlGEnp_R3UVu1t3wSFPzgCyHXE/edit?gid=0#gid=0"",""GERAL!A2:C""),3,0),""-"")"),"-")</f>
        <v>-</v>
      </c>
      <c r="Q39" s="98" t="s">
        <v>171</v>
      </c>
      <c r="R39" s="98">
        <v>2.0</v>
      </c>
      <c r="S39" s="98" t="s">
        <v>171</v>
      </c>
      <c r="T39" s="98" t="s">
        <v>171</v>
      </c>
      <c r="U39" s="98" t="s">
        <v>171</v>
      </c>
      <c r="V39" s="98" t="s">
        <v>171</v>
      </c>
      <c r="W39" s="98" t="s">
        <v>171</v>
      </c>
      <c r="X39" s="98" t="s">
        <v>171</v>
      </c>
      <c r="Y39" s="98" t="s">
        <v>171</v>
      </c>
      <c r="Z39" s="98" t="s">
        <v>171</v>
      </c>
      <c r="AA39" s="98" t="s">
        <v>171</v>
      </c>
      <c r="AB39" s="98" t="s">
        <v>171</v>
      </c>
      <c r="AC39" s="98" t="s">
        <v>171</v>
      </c>
      <c r="AD39" s="98" t="s">
        <v>171</v>
      </c>
      <c r="AE39" s="98" t="s">
        <v>171</v>
      </c>
      <c r="AF39" s="98" t="s">
        <v>171</v>
      </c>
      <c r="AG39" s="98" t="s">
        <v>171</v>
      </c>
      <c r="AH39" s="98" t="s">
        <v>171</v>
      </c>
      <c r="AI39" s="98" t="s">
        <v>171</v>
      </c>
      <c r="AJ39" s="98" t="s">
        <v>171</v>
      </c>
      <c r="AK39" s="98" t="s">
        <v>171</v>
      </c>
      <c r="AL39" s="98" t="s">
        <v>171</v>
      </c>
      <c r="AM39" s="98" t="s">
        <v>171</v>
      </c>
      <c r="AN39" s="98" t="s">
        <v>171</v>
      </c>
      <c r="AO39" s="98" t="s">
        <v>171</v>
      </c>
      <c r="AP39" s="98" t="s">
        <v>171</v>
      </c>
      <c r="AQ39" s="98" t="s">
        <v>171</v>
      </c>
      <c r="AR39" s="102">
        <v>46237.0</v>
      </c>
      <c r="AS39" s="83">
        <v>1179046.0</v>
      </c>
    </row>
    <row r="40" ht="15.75" customHeight="1">
      <c r="A40" s="111" t="s">
        <v>130</v>
      </c>
      <c r="B40" s="83" t="s">
        <v>296</v>
      </c>
      <c r="C40" s="83" t="s">
        <v>164</v>
      </c>
      <c r="D40" s="112">
        <v>1179281.0</v>
      </c>
      <c r="E40" s="83">
        <v>1178799.0</v>
      </c>
      <c r="F40" s="83"/>
      <c r="G40" s="91" t="str">
        <f>IFERROR(__xludf.DUMMYFUNCTION("XLOOKUP(AS40,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POVOADO FAZENDA ALMAS")</f>
        <v>ANEXO - CEMIT - IRECÊ - POVOADO FAZENDA ALMAS</v>
      </c>
      <c r="H40" s="114" t="s">
        <v>308</v>
      </c>
      <c r="I40" s="91" t="s">
        <v>309</v>
      </c>
      <c r="J40" s="136" t="s">
        <v>149</v>
      </c>
      <c r="K40" s="83" t="s">
        <v>310</v>
      </c>
      <c r="L40" s="83" t="s">
        <v>168</v>
      </c>
      <c r="M40" s="83" t="s">
        <v>169</v>
      </c>
      <c r="N40" s="115" t="s">
        <v>170</v>
      </c>
      <c r="O40" s="98" t="s">
        <v>155</v>
      </c>
      <c r="P40" s="99" t="str">
        <f>IFERROR(__xludf.DUMMYFUNCTION("IFERROR(VLOOKUP(AS40,IMPORTRANGE(""https://docs.google.com/spreadsheets/d/1juPI-Fb8LD0YtltB2mlGEnp_R3UVu1t3wSFPzgCyHXE/edit?gid=0#gid=0"",""GERAL!A2:C""),3,0),""-"")"),"-")</f>
        <v>-</v>
      </c>
      <c r="Q40" s="98" t="s">
        <v>171</v>
      </c>
      <c r="R40" s="98">
        <v>3.0</v>
      </c>
      <c r="S40" s="98" t="s">
        <v>171</v>
      </c>
      <c r="T40" s="98" t="s">
        <v>171</v>
      </c>
      <c r="U40" s="98" t="s">
        <v>171</v>
      </c>
      <c r="V40" s="98" t="s">
        <v>171</v>
      </c>
      <c r="W40" s="98" t="s">
        <v>171</v>
      </c>
      <c r="X40" s="98" t="s">
        <v>171</v>
      </c>
      <c r="Y40" s="98" t="s">
        <v>171</v>
      </c>
      <c r="Z40" s="98" t="s">
        <v>171</v>
      </c>
      <c r="AA40" s="98" t="s">
        <v>171</v>
      </c>
      <c r="AB40" s="98" t="s">
        <v>171</v>
      </c>
      <c r="AC40" s="98" t="s">
        <v>171</v>
      </c>
      <c r="AD40" s="98" t="s">
        <v>171</v>
      </c>
      <c r="AE40" s="98" t="s">
        <v>171</v>
      </c>
      <c r="AF40" s="98" t="s">
        <v>171</v>
      </c>
      <c r="AG40" s="98" t="s">
        <v>171</v>
      </c>
      <c r="AH40" s="98" t="s">
        <v>171</v>
      </c>
      <c r="AI40" s="98" t="s">
        <v>171</v>
      </c>
      <c r="AJ40" s="98" t="s">
        <v>171</v>
      </c>
      <c r="AK40" s="98" t="s">
        <v>171</v>
      </c>
      <c r="AL40" s="98" t="s">
        <v>171</v>
      </c>
      <c r="AM40" s="98" t="s">
        <v>171</v>
      </c>
      <c r="AN40" s="98" t="s">
        <v>171</v>
      </c>
      <c r="AO40" s="98" t="s">
        <v>171</v>
      </c>
      <c r="AP40" s="98" t="s">
        <v>171</v>
      </c>
      <c r="AQ40" s="98" t="s">
        <v>171</v>
      </c>
      <c r="AR40" s="102">
        <v>46237.0</v>
      </c>
      <c r="AS40" s="83">
        <v>1178799.0</v>
      </c>
    </row>
    <row r="41" ht="15.75" customHeight="1">
      <c r="A41" s="111" t="s">
        <v>130</v>
      </c>
      <c r="B41" s="83" t="s">
        <v>296</v>
      </c>
      <c r="C41" s="83" t="s">
        <v>164</v>
      </c>
      <c r="D41" s="112">
        <v>1179281.0</v>
      </c>
      <c r="E41" s="83">
        <v>1178956.0</v>
      </c>
      <c r="F41" s="83"/>
      <c r="G41" s="91" t="str">
        <f>IFERROR(__xludf.DUMMYFUNCTION("XLOOKUP(AS41,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POVOADO BARREIROS - COMUNIDADE QUILOMBOLA")</f>
        <v>ANEXO - CEMIT - IRECÊ - POVOADO BARREIROS - COMUNIDADE QUILOMBOLA</v>
      </c>
      <c r="H41" s="114" t="s">
        <v>311</v>
      </c>
      <c r="I41" s="91" t="s">
        <v>312</v>
      </c>
      <c r="J41" s="136" t="s">
        <v>149</v>
      </c>
      <c r="K41" s="83" t="s">
        <v>240</v>
      </c>
      <c r="L41" s="83" t="s">
        <v>168</v>
      </c>
      <c r="M41" s="83" t="s">
        <v>169</v>
      </c>
      <c r="N41" s="115" t="s">
        <v>170</v>
      </c>
      <c r="O41" s="98" t="s">
        <v>155</v>
      </c>
      <c r="P41" s="99" t="str">
        <f>IFERROR(__xludf.DUMMYFUNCTION("IFERROR(VLOOKUP(AS41,IMPORTRANGE(""https://docs.google.com/spreadsheets/d/1juPI-Fb8LD0YtltB2mlGEnp_R3UVu1t3wSFPzgCyHXE/edit?gid=0#gid=0"",""GERAL!A2:C""),3,0),""-"")"),"QUILOMBOLAS")</f>
        <v>QUILOMBOLAS</v>
      </c>
      <c r="Q41" s="98" t="s">
        <v>171</v>
      </c>
      <c r="R41" s="98">
        <v>3.0</v>
      </c>
      <c r="S41" s="98" t="s">
        <v>171</v>
      </c>
      <c r="T41" s="98" t="s">
        <v>171</v>
      </c>
      <c r="U41" s="98" t="s">
        <v>171</v>
      </c>
      <c r="V41" s="98" t="s">
        <v>171</v>
      </c>
      <c r="W41" s="98" t="s">
        <v>171</v>
      </c>
      <c r="X41" s="98" t="s">
        <v>171</v>
      </c>
      <c r="Y41" s="98" t="s">
        <v>171</v>
      </c>
      <c r="Z41" s="98" t="s">
        <v>171</v>
      </c>
      <c r="AA41" s="98" t="s">
        <v>171</v>
      </c>
      <c r="AB41" s="98" t="s">
        <v>171</v>
      </c>
      <c r="AC41" s="98" t="s">
        <v>171</v>
      </c>
      <c r="AD41" s="98" t="s">
        <v>171</v>
      </c>
      <c r="AE41" s="98" t="s">
        <v>171</v>
      </c>
      <c r="AF41" s="98" t="s">
        <v>171</v>
      </c>
      <c r="AG41" s="98" t="s">
        <v>171</v>
      </c>
      <c r="AH41" s="98" t="s">
        <v>171</v>
      </c>
      <c r="AI41" s="98" t="s">
        <v>171</v>
      </c>
      <c r="AJ41" s="98" t="s">
        <v>171</v>
      </c>
      <c r="AK41" s="98" t="s">
        <v>171</v>
      </c>
      <c r="AL41" s="98" t="s">
        <v>171</v>
      </c>
      <c r="AM41" s="98" t="s">
        <v>171</v>
      </c>
      <c r="AN41" s="98" t="s">
        <v>171</v>
      </c>
      <c r="AO41" s="98" t="s">
        <v>171</v>
      </c>
      <c r="AP41" s="98" t="s">
        <v>171</v>
      </c>
      <c r="AQ41" s="98" t="s">
        <v>171</v>
      </c>
      <c r="AR41" s="102">
        <v>46237.0</v>
      </c>
      <c r="AS41" s="83">
        <v>1178956.0</v>
      </c>
    </row>
    <row r="42" ht="15.75" customHeight="1">
      <c r="A42" s="111" t="s">
        <v>130</v>
      </c>
      <c r="B42" s="83" t="s">
        <v>296</v>
      </c>
      <c r="C42" s="83" t="s">
        <v>164</v>
      </c>
      <c r="D42" s="112">
        <v>1179281.0</v>
      </c>
      <c r="E42" s="83">
        <v>1179161.0</v>
      </c>
      <c r="F42" s="83"/>
      <c r="G42" s="91" t="str">
        <f>IFERROR(__xludf.DUMMYFUNCTION("XLOOKUP(AS42,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VÁRZEA GRANDE")</f>
        <v>ANEXO - CEMIT - IRECÊ - DISTRITO VÁRZEA GRANDE</v>
      </c>
      <c r="H42" s="114" t="s">
        <v>313</v>
      </c>
      <c r="I42" s="91" t="s">
        <v>314</v>
      </c>
      <c r="J42" s="136" t="s">
        <v>149</v>
      </c>
      <c r="K42" s="83" t="s">
        <v>315</v>
      </c>
      <c r="L42" s="83" t="s">
        <v>168</v>
      </c>
      <c r="M42" s="83" t="s">
        <v>169</v>
      </c>
      <c r="N42" s="115" t="s">
        <v>170</v>
      </c>
      <c r="O42" s="98" t="s">
        <v>155</v>
      </c>
      <c r="P42" s="99" t="str">
        <f>IFERROR(__xludf.DUMMYFUNCTION("IFERROR(VLOOKUP(AS42,IMPORTRANGE(""https://docs.google.com/spreadsheets/d/1juPI-Fb8LD0YtltB2mlGEnp_R3UVu1t3wSFPzgCyHXE/edit?gid=0#gid=0"",""GERAL!A2:C""),3,0),""-"")"),"-")</f>
        <v>-</v>
      </c>
      <c r="Q42" s="98" t="s">
        <v>171</v>
      </c>
      <c r="R42" s="98">
        <v>3.0</v>
      </c>
      <c r="S42" s="98" t="s">
        <v>171</v>
      </c>
      <c r="T42" s="98" t="s">
        <v>171</v>
      </c>
      <c r="U42" s="98" t="s">
        <v>171</v>
      </c>
      <c r="V42" s="98" t="s">
        <v>171</v>
      </c>
      <c r="W42" s="98" t="s">
        <v>171</v>
      </c>
      <c r="X42" s="98" t="s">
        <v>171</v>
      </c>
      <c r="Y42" s="98" t="s">
        <v>171</v>
      </c>
      <c r="Z42" s="98" t="s">
        <v>171</v>
      </c>
      <c r="AA42" s="98" t="s">
        <v>171</v>
      </c>
      <c r="AB42" s="98" t="s">
        <v>171</v>
      </c>
      <c r="AC42" s="98" t="s">
        <v>171</v>
      </c>
      <c r="AD42" s="98" t="s">
        <v>171</v>
      </c>
      <c r="AE42" s="98" t="s">
        <v>171</v>
      </c>
      <c r="AF42" s="98" t="s">
        <v>171</v>
      </c>
      <c r="AG42" s="98" t="s">
        <v>171</v>
      </c>
      <c r="AH42" s="98" t="s">
        <v>171</v>
      </c>
      <c r="AI42" s="98" t="s">
        <v>171</v>
      </c>
      <c r="AJ42" s="98" t="s">
        <v>171</v>
      </c>
      <c r="AK42" s="98" t="s">
        <v>171</v>
      </c>
      <c r="AL42" s="98" t="s">
        <v>171</v>
      </c>
      <c r="AM42" s="98" t="s">
        <v>171</v>
      </c>
      <c r="AN42" s="98" t="s">
        <v>171</v>
      </c>
      <c r="AO42" s="98" t="s">
        <v>171</v>
      </c>
      <c r="AP42" s="98" t="s">
        <v>171</v>
      </c>
      <c r="AQ42" s="98" t="s">
        <v>171</v>
      </c>
      <c r="AR42" s="102">
        <v>46237.0</v>
      </c>
      <c r="AS42" s="83">
        <v>1179161.0</v>
      </c>
    </row>
    <row r="43" ht="15.75" customHeight="1">
      <c r="A43" s="111" t="s">
        <v>130</v>
      </c>
      <c r="B43" s="83" t="s">
        <v>296</v>
      </c>
      <c r="C43" s="83" t="s">
        <v>164</v>
      </c>
      <c r="D43" s="112">
        <v>1179281.0</v>
      </c>
      <c r="E43" s="83">
        <v>1179146.0</v>
      </c>
      <c r="F43" s="83"/>
      <c r="G43" s="91" t="str">
        <f>IFERROR(__xludf.DUMMYFUNCTION("XLOOKUP(AS43,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ASSENTAMENTO CALIFÓRNIA II")</f>
        <v>ANEXO - CEMIT - IRECÊ - ASSENTAMENTO CALIFÓRNIA II</v>
      </c>
      <c r="H43" s="114" t="s">
        <v>316</v>
      </c>
      <c r="I43" s="91" t="s">
        <v>317</v>
      </c>
      <c r="J43" s="136" t="s">
        <v>149</v>
      </c>
      <c r="K43" s="83" t="s">
        <v>318</v>
      </c>
      <c r="L43" s="83" t="s">
        <v>168</v>
      </c>
      <c r="M43" s="83" t="s">
        <v>169</v>
      </c>
      <c r="N43" s="115" t="s">
        <v>170</v>
      </c>
      <c r="O43" s="98" t="s">
        <v>155</v>
      </c>
      <c r="P43" s="99" t="str">
        <f>IFERROR(__xludf.DUMMYFUNCTION("IFERROR(VLOOKUP(AS43,IMPORTRANGE(""https://docs.google.com/spreadsheets/d/1juPI-Fb8LD0YtltB2mlGEnp_R3UVu1t3wSFPzgCyHXE/edit?gid=0#gid=0"",""GERAL!A2:C""),3,0),""-"")"),"ASSENTAMENTOS")</f>
        <v>ASSENTAMENTOS</v>
      </c>
      <c r="Q43" s="98" t="s">
        <v>171</v>
      </c>
      <c r="R43" s="98">
        <v>2.0</v>
      </c>
      <c r="S43" s="98" t="s">
        <v>171</v>
      </c>
      <c r="T43" s="98" t="s">
        <v>171</v>
      </c>
      <c r="U43" s="98" t="s">
        <v>171</v>
      </c>
      <c r="V43" s="98" t="s">
        <v>171</v>
      </c>
      <c r="W43" s="98" t="s">
        <v>171</v>
      </c>
      <c r="X43" s="98" t="s">
        <v>171</v>
      </c>
      <c r="Y43" s="98" t="s">
        <v>171</v>
      </c>
      <c r="Z43" s="98" t="s">
        <v>171</v>
      </c>
      <c r="AA43" s="98" t="s">
        <v>171</v>
      </c>
      <c r="AB43" s="98" t="s">
        <v>171</v>
      </c>
      <c r="AC43" s="98" t="s">
        <v>171</v>
      </c>
      <c r="AD43" s="98" t="s">
        <v>171</v>
      </c>
      <c r="AE43" s="98" t="s">
        <v>171</v>
      </c>
      <c r="AF43" s="98" t="s">
        <v>171</v>
      </c>
      <c r="AG43" s="98" t="s">
        <v>171</v>
      </c>
      <c r="AH43" s="98" t="s">
        <v>171</v>
      </c>
      <c r="AI43" s="98" t="s">
        <v>171</v>
      </c>
      <c r="AJ43" s="98" t="s">
        <v>171</v>
      </c>
      <c r="AK43" s="98" t="s">
        <v>171</v>
      </c>
      <c r="AL43" s="98" t="s">
        <v>171</v>
      </c>
      <c r="AM43" s="98" t="s">
        <v>171</v>
      </c>
      <c r="AN43" s="98" t="s">
        <v>171</v>
      </c>
      <c r="AO43" s="98" t="s">
        <v>171</v>
      </c>
      <c r="AP43" s="98" t="s">
        <v>171</v>
      </c>
      <c r="AQ43" s="98" t="s">
        <v>171</v>
      </c>
      <c r="AR43" s="102">
        <v>46237.0</v>
      </c>
      <c r="AS43" s="83">
        <v>1179146.0</v>
      </c>
    </row>
    <row r="44" ht="15.75" customHeight="1">
      <c r="A44" s="111" t="s">
        <v>130</v>
      </c>
      <c r="B44" s="83" t="s">
        <v>319</v>
      </c>
      <c r="C44" s="83" t="s">
        <v>68</v>
      </c>
      <c r="D44" s="112">
        <v>1162502.0</v>
      </c>
      <c r="E44" s="83"/>
      <c r="F44" s="83">
        <v>2.9064392E7</v>
      </c>
      <c r="G44" s="91" t="str">
        <f>IFERROR(__xludf.DUMMYFUNCTION("XLOOKUP(AS44,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IDALINA DA SILVA DOURADO")</f>
        <v>COLÉGIO ESTADUAL DE TEMPO INTEGRAL IDALINA DA SILVA DOURADO</v>
      </c>
      <c r="H44" s="119" t="s">
        <v>320</v>
      </c>
      <c r="I44" s="91" t="s">
        <v>321</v>
      </c>
      <c r="J44" s="83" t="s">
        <v>149</v>
      </c>
      <c r="K44" s="83" t="s">
        <v>150</v>
      </c>
      <c r="L44" s="83" t="s">
        <v>151</v>
      </c>
      <c r="M44" s="83" t="s">
        <v>152</v>
      </c>
      <c r="N44" s="137" t="s">
        <v>322</v>
      </c>
      <c r="O44" s="98" t="s">
        <v>284</v>
      </c>
      <c r="P44" s="99" t="str">
        <f>IFERROR(__xludf.DUMMYFUNCTION("IFERROR(VLOOKUP(AS44,IMPORTRANGE(""https://docs.google.com/spreadsheets/d/1juPI-Fb8LD0YtltB2mlGEnp_R3UVu1t3wSFPzgCyHXE/edit?gid=0#gid=0"",""GERAL!A2:C""),3,0),""-"")"),"-")</f>
        <v>-</v>
      </c>
      <c r="Q44" s="101" t="s">
        <v>156</v>
      </c>
      <c r="R44" s="98">
        <v>10.0</v>
      </c>
      <c r="S44" s="98">
        <v>0.0</v>
      </c>
      <c r="T44" s="98">
        <v>0.0</v>
      </c>
      <c r="U44" s="98">
        <v>0.0</v>
      </c>
      <c r="V44" s="98">
        <v>0.0</v>
      </c>
      <c r="W44" s="98">
        <v>0.0</v>
      </c>
      <c r="X44" s="98">
        <v>0.0</v>
      </c>
      <c r="Y44" s="98">
        <v>0.0</v>
      </c>
      <c r="Z44" s="98">
        <v>1.0</v>
      </c>
      <c r="AA44" s="98">
        <v>0.0</v>
      </c>
      <c r="AB44" s="98">
        <v>1.0</v>
      </c>
      <c r="AC44" s="98">
        <v>0.0</v>
      </c>
      <c r="AD44" s="98">
        <v>0.0</v>
      </c>
      <c r="AE44" s="98">
        <v>0.0</v>
      </c>
      <c r="AF44" s="98">
        <v>1.0</v>
      </c>
      <c r="AG44" s="98">
        <v>0.0</v>
      </c>
      <c r="AH44" s="98">
        <v>0.0</v>
      </c>
      <c r="AI44" s="98">
        <v>0.0</v>
      </c>
      <c r="AJ44" s="98">
        <v>0.0</v>
      </c>
      <c r="AK44" s="98">
        <v>1.0</v>
      </c>
      <c r="AL44" s="98">
        <v>0.0</v>
      </c>
      <c r="AM44" s="98">
        <v>0.0</v>
      </c>
      <c r="AN44" s="98">
        <v>0.0</v>
      </c>
      <c r="AO44" s="98">
        <v>0.0</v>
      </c>
      <c r="AP44" s="98">
        <v>1.0</v>
      </c>
      <c r="AQ44" s="98" t="s">
        <v>323</v>
      </c>
      <c r="AR44" s="102">
        <v>46220.0</v>
      </c>
      <c r="AS44" s="83">
        <v>1162502.0</v>
      </c>
    </row>
    <row r="45" ht="15.75" customHeight="1">
      <c r="A45" s="111" t="s">
        <v>130</v>
      </c>
      <c r="B45" s="83" t="s">
        <v>319</v>
      </c>
      <c r="C45" s="83" t="s">
        <v>164</v>
      </c>
      <c r="D45" s="112">
        <v>1179281.0</v>
      </c>
      <c r="E45" s="83">
        <v>1179345.0</v>
      </c>
      <c r="F45" s="83"/>
      <c r="G45" s="91" t="str">
        <f>IFERROR(__xludf.DUMMYFUNCTION("XLOOKUP(AS45,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POVOADO CALDEIRÃO DO JACO")</f>
        <v>ANEXO - CEMIT - IRECÊ - POVOADO CALDEIRÃO DO JACO</v>
      </c>
      <c r="H45" s="114" t="s">
        <v>324</v>
      </c>
      <c r="I45" s="91" t="s">
        <v>325</v>
      </c>
      <c r="J45" s="136" t="s">
        <v>326</v>
      </c>
      <c r="K45" s="83" t="s">
        <v>327</v>
      </c>
      <c r="L45" s="83" t="s">
        <v>168</v>
      </c>
      <c r="M45" s="83" t="s">
        <v>169</v>
      </c>
      <c r="N45" s="115" t="s">
        <v>170</v>
      </c>
      <c r="O45" s="98" t="s">
        <v>155</v>
      </c>
      <c r="P45" s="99" t="str">
        <f>IFERROR(__xludf.DUMMYFUNCTION("IFERROR(VLOOKUP(AS45,IMPORTRANGE(""https://docs.google.com/spreadsheets/d/1juPI-Fb8LD0YtltB2mlGEnp_R3UVu1t3wSFPzgCyHXE/edit?gid=0#gid=0"",""GERAL!A2:C""),3,0),""-"")"),"-")</f>
        <v>-</v>
      </c>
      <c r="Q45" s="98" t="s">
        <v>171</v>
      </c>
      <c r="R45" s="98">
        <v>2.0</v>
      </c>
      <c r="S45" s="98" t="s">
        <v>171</v>
      </c>
      <c r="T45" s="98" t="s">
        <v>171</v>
      </c>
      <c r="U45" s="98" t="s">
        <v>171</v>
      </c>
      <c r="V45" s="98" t="s">
        <v>171</v>
      </c>
      <c r="W45" s="98" t="s">
        <v>171</v>
      </c>
      <c r="X45" s="98" t="s">
        <v>171</v>
      </c>
      <c r="Y45" s="98" t="s">
        <v>171</v>
      </c>
      <c r="Z45" s="98" t="s">
        <v>171</v>
      </c>
      <c r="AA45" s="98" t="s">
        <v>171</v>
      </c>
      <c r="AB45" s="98" t="s">
        <v>171</v>
      </c>
      <c r="AC45" s="98" t="s">
        <v>171</v>
      </c>
      <c r="AD45" s="98" t="s">
        <v>171</v>
      </c>
      <c r="AE45" s="98" t="s">
        <v>171</v>
      </c>
      <c r="AF45" s="98" t="s">
        <v>171</v>
      </c>
      <c r="AG45" s="98" t="s">
        <v>171</v>
      </c>
      <c r="AH45" s="98" t="s">
        <v>171</v>
      </c>
      <c r="AI45" s="98" t="s">
        <v>171</v>
      </c>
      <c r="AJ45" s="98" t="s">
        <v>171</v>
      </c>
      <c r="AK45" s="98" t="s">
        <v>171</v>
      </c>
      <c r="AL45" s="98" t="s">
        <v>171</v>
      </c>
      <c r="AM45" s="98" t="s">
        <v>171</v>
      </c>
      <c r="AN45" s="98" t="s">
        <v>171</v>
      </c>
      <c r="AO45" s="98" t="s">
        <v>171</v>
      </c>
      <c r="AP45" s="98" t="s">
        <v>171</v>
      </c>
      <c r="AQ45" s="98" t="s">
        <v>171</v>
      </c>
      <c r="AR45" s="102">
        <v>46220.0</v>
      </c>
      <c r="AS45" s="83">
        <v>1179345.0</v>
      </c>
    </row>
    <row r="46" ht="15.75" customHeight="1">
      <c r="A46" s="111" t="s">
        <v>130</v>
      </c>
      <c r="B46" s="83" t="s">
        <v>319</v>
      </c>
      <c r="C46" s="83" t="s">
        <v>164</v>
      </c>
      <c r="D46" s="112">
        <v>1179281.0</v>
      </c>
      <c r="E46" s="83">
        <v>1178802.0</v>
      </c>
      <c r="F46" s="83"/>
      <c r="G46" s="91" t="str">
        <f>IFERROR(__xludf.DUMMYFUNCTION("XLOOKUP(AS46,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RIACHO DE JOÃO DOURADO")</f>
        <v>ANEXO - CEMIT - IRECÊ - DISTRITO RIACHO DE JOÃO DOURADO</v>
      </c>
      <c r="H46" s="114" t="s">
        <v>328</v>
      </c>
      <c r="I46" s="91" t="s">
        <v>329</v>
      </c>
      <c r="J46" s="136" t="s">
        <v>149</v>
      </c>
      <c r="K46" s="83" t="s">
        <v>331</v>
      </c>
      <c r="L46" s="83" t="s">
        <v>168</v>
      </c>
      <c r="M46" s="83" t="s">
        <v>169</v>
      </c>
      <c r="N46" s="115" t="s">
        <v>170</v>
      </c>
      <c r="O46" s="98" t="s">
        <v>155</v>
      </c>
      <c r="P46" s="99" t="str">
        <f>IFERROR(__xludf.DUMMYFUNCTION("IFERROR(VLOOKUP(AS46,IMPORTRANGE(""https://docs.google.com/spreadsheets/d/1juPI-Fb8LD0YtltB2mlGEnp_R3UVu1t3wSFPzgCyHXE/edit?gid=0#gid=0"",""GERAL!A2:C""),3,0),""-"")"),"-")</f>
        <v>-</v>
      </c>
      <c r="Q46" s="98" t="s">
        <v>171</v>
      </c>
      <c r="R46" s="98">
        <v>3.0</v>
      </c>
      <c r="S46" s="98" t="s">
        <v>171</v>
      </c>
      <c r="T46" s="98" t="s">
        <v>171</v>
      </c>
      <c r="U46" s="98" t="s">
        <v>171</v>
      </c>
      <c r="V46" s="98" t="s">
        <v>171</v>
      </c>
      <c r="W46" s="98" t="s">
        <v>171</v>
      </c>
      <c r="X46" s="98" t="s">
        <v>171</v>
      </c>
      <c r="Y46" s="98" t="s">
        <v>171</v>
      </c>
      <c r="Z46" s="98" t="s">
        <v>171</v>
      </c>
      <c r="AA46" s="98" t="s">
        <v>171</v>
      </c>
      <c r="AB46" s="98" t="s">
        <v>171</v>
      </c>
      <c r="AC46" s="98" t="s">
        <v>171</v>
      </c>
      <c r="AD46" s="98" t="s">
        <v>171</v>
      </c>
      <c r="AE46" s="98" t="s">
        <v>171</v>
      </c>
      <c r="AF46" s="98" t="s">
        <v>171</v>
      </c>
      <c r="AG46" s="98" t="s">
        <v>171</v>
      </c>
      <c r="AH46" s="98" t="s">
        <v>171</v>
      </c>
      <c r="AI46" s="98" t="s">
        <v>171</v>
      </c>
      <c r="AJ46" s="98" t="s">
        <v>171</v>
      </c>
      <c r="AK46" s="98" t="s">
        <v>171</v>
      </c>
      <c r="AL46" s="98" t="s">
        <v>171</v>
      </c>
      <c r="AM46" s="98" t="s">
        <v>171</v>
      </c>
      <c r="AN46" s="98" t="s">
        <v>171</v>
      </c>
      <c r="AO46" s="98" t="s">
        <v>171</v>
      </c>
      <c r="AP46" s="98" t="s">
        <v>171</v>
      </c>
      <c r="AQ46" s="98" t="s">
        <v>171</v>
      </c>
      <c r="AR46" s="102">
        <v>46220.0</v>
      </c>
      <c r="AS46" s="83">
        <v>1178802.0</v>
      </c>
    </row>
    <row r="47" ht="25.5" customHeight="1">
      <c r="A47" s="111" t="s">
        <v>130</v>
      </c>
      <c r="B47" s="83" t="s">
        <v>319</v>
      </c>
      <c r="C47" s="83" t="s">
        <v>164</v>
      </c>
      <c r="D47" s="112">
        <v>1179281.0</v>
      </c>
      <c r="E47" s="83">
        <v>1178801.0</v>
      </c>
      <c r="F47" s="83"/>
      <c r="G47" s="91" t="str">
        <f>IFERROR(__xludf.DUMMYFUNCTION("XLOOKUP(AS47,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MATA DO MILHO - COMUNIDADE QUILOMBOLA")</f>
        <v>ANEXO - CEMIT - IRECÊ - DISTRITO DE MATA DO MILHO - COMUNIDADE QUILOMBOLA</v>
      </c>
      <c r="H47" s="114" t="s">
        <v>332</v>
      </c>
      <c r="I47" s="91" t="s">
        <v>333</v>
      </c>
      <c r="J47" s="136" t="s">
        <v>149</v>
      </c>
      <c r="K47" s="83" t="s">
        <v>334</v>
      </c>
      <c r="L47" s="83" t="s">
        <v>168</v>
      </c>
      <c r="M47" s="83" t="s">
        <v>169</v>
      </c>
      <c r="N47" s="115" t="s">
        <v>170</v>
      </c>
      <c r="O47" s="98" t="s">
        <v>155</v>
      </c>
      <c r="P47" s="99" t="str">
        <f>IFERROR(__xludf.DUMMYFUNCTION("IFERROR(VLOOKUP(AS47,IMPORTRANGE(""https://docs.google.com/spreadsheets/d/1juPI-Fb8LD0YtltB2mlGEnp_R3UVu1t3wSFPzgCyHXE/edit?gid=0#gid=0"",""GERAL!A2:C""),3,0),""-"")"),"QUILOMBOLAS")</f>
        <v>QUILOMBOLAS</v>
      </c>
      <c r="Q47" s="98" t="s">
        <v>171</v>
      </c>
      <c r="R47" s="98">
        <v>3.0</v>
      </c>
      <c r="S47" s="98" t="s">
        <v>171</v>
      </c>
      <c r="T47" s="98" t="s">
        <v>171</v>
      </c>
      <c r="U47" s="98" t="s">
        <v>171</v>
      </c>
      <c r="V47" s="98" t="s">
        <v>171</v>
      </c>
      <c r="W47" s="98" t="s">
        <v>171</v>
      </c>
      <c r="X47" s="98" t="s">
        <v>171</v>
      </c>
      <c r="Y47" s="98" t="s">
        <v>171</v>
      </c>
      <c r="Z47" s="98" t="s">
        <v>171</v>
      </c>
      <c r="AA47" s="98" t="s">
        <v>171</v>
      </c>
      <c r="AB47" s="98" t="s">
        <v>171</v>
      </c>
      <c r="AC47" s="98" t="s">
        <v>171</v>
      </c>
      <c r="AD47" s="98" t="s">
        <v>171</v>
      </c>
      <c r="AE47" s="98" t="s">
        <v>171</v>
      </c>
      <c r="AF47" s="98" t="s">
        <v>171</v>
      </c>
      <c r="AG47" s="98" t="s">
        <v>171</v>
      </c>
      <c r="AH47" s="98" t="s">
        <v>171</v>
      </c>
      <c r="AI47" s="98" t="s">
        <v>171</v>
      </c>
      <c r="AJ47" s="98" t="s">
        <v>171</v>
      </c>
      <c r="AK47" s="98" t="s">
        <v>171</v>
      </c>
      <c r="AL47" s="98" t="s">
        <v>171</v>
      </c>
      <c r="AM47" s="98" t="s">
        <v>171</v>
      </c>
      <c r="AN47" s="98" t="s">
        <v>171</v>
      </c>
      <c r="AO47" s="98" t="s">
        <v>171</v>
      </c>
      <c r="AP47" s="98" t="s">
        <v>171</v>
      </c>
      <c r="AQ47" s="98" t="s">
        <v>171</v>
      </c>
      <c r="AR47" s="102">
        <v>46220.0</v>
      </c>
      <c r="AS47" s="83">
        <v>1178801.0</v>
      </c>
    </row>
    <row r="48" ht="15.75" customHeight="1">
      <c r="A48" s="111" t="s">
        <v>130</v>
      </c>
      <c r="B48" s="83" t="s">
        <v>319</v>
      </c>
      <c r="C48" s="83" t="s">
        <v>164</v>
      </c>
      <c r="D48" s="112">
        <v>1179281.0</v>
      </c>
      <c r="E48" s="83">
        <v>1178800.0</v>
      </c>
      <c r="F48" s="83"/>
      <c r="G48" s="91" t="str">
        <f>IFERROR(__xludf.DUMMYFUNCTION("XLOOKUP(AS48,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FLORESTA")</f>
        <v>ANEXO - CEMIT - IRECÊ - DISTRITO DE FLORESTA</v>
      </c>
      <c r="H48" s="114" t="s">
        <v>335</v>
      </c>
      <c r="I48" s="91" t="s">
        <v>336</v>
      </c>
      <c r="J48" s="136" t="s">
        <v>149</v>
      </c>
      <c r="K48" s="83" t="s">
        <v>337</v>
      </c>
      <c r="L48" s="83" t="s">
        <v>151</v>
      </c>
      <c r="M48" s="83" t="s">
        <v>169</v>
      </c>
      <c r="N48" s="115" t="s">
        <v>170</v>
      </c>
      <c r="O48" s="98" t="s">
        <v>155</v>
      </c>
      <c r="P48" s="99" t="str">
        <f>IFERROR(__xludf.DUMMYFUNCTION("IFERROR(VLOOKUP(AS48,IMPORTRANGE(""https://docs.google.com/spreadsheets/d/1juPI-Fb8LD0YtltB2mlGEnp_R3UVu1t3wSFPzgCyHXE/edit?gid=0#gid=0"",""GERAL!A2:C""),3,0),""-"")"),"-")</f>
        <v>-</v>
      </c>
      <c r="Q48" s="98" t="s">
        <v>171</v>
      </c>
      <c r="R48" s="98">
        <v>3.0</v>
      </c>
      <c r="S48" s="98" t="s">
        <v>171</v>
      </c>
      <c r="T48" s="98" t="s">
        <v>171</v>
      </c>
      <c r="U48" s="98" t="s">
        <v>171</v>
      </c>
      <c r="V48" s="98" t="s">
        <v>171</v>
      </c>
      <c r="W48" s="98" t="s">
        <v>171</v>
      </c>
      <c r="X48" s="98" t="s">
        <v>171</v>
      </c>
      <c r="Y48" s="98" t="s">
        <v>171</v>
      </c>
      <c r="Z48" s="98" t="s">
        <v>171</v>
      </c>
      <c r="AA48" s="98" t="s">
        <v>171</v>
      </c>
      <c r="AB48" s="98" t="s">
        <v>171</v>
      </c>
      <c r="AC48" s="98" t="s">
        <v>171</v>
      </c>
      <c r="AD48" s="98" t="s">
        <v>171</v>
      </c>
      <c r="AE48" s="98" t="s">
        <v>171</v>
      </c>
      <c r="AF48" s="98" t="s">
        <v>171</v>
      </c>
      <c r="AG48" s="98" t="s">
        <v>171</v>
      </c>
      <c r="AH48" s="98" t="s">
        <v>171</v>
      </c>
      <c r="AI48" s="98" t="s">
        <v>171</v>
      </c>
      <c r="AJ48" s="98" t="s">
        <v>171</v>
      </c>
      <c r="AK48" s="98" t="s">
        <v>171</v>
      </c>
      <c r="AL48" s="98" t="s">
        <v>171</v>
      </c>
      <c r="AM48" s="98" t="s">
        <v>171</v>
      </c>
      <c r="AN48" s="98" t="s">
        <v>171</v>
      </c>
      <c r="AO48" s="98" t="s">
        <v>171</v>
      </c>
      <c r="AP48" s="98" t="s">
        <v>171</v>
      </c>
      <c r="AQ48" s="98" t="s">
        <v>171</v>
      </c>
      <c r="AR48" s="102">
        <v>46220.0</v>
      </c>
      <c r="AS48" s="83">
        <v>1178800.0</v>
      </c>
    </row>
    <row r="49" ht="15.75" customHeight="1">
      <c r="A49" s="111" t="s">
        <v>130</v>
      </c>
      <c r="B49" s="83" t="s">
        <v>339</v>
      </c>
      <c r="C49" s="83" t="s">
        <v>68</v>
      </c>
      <c r="D49" s="112">
        <v>1178040.0</v>
      </c>
      <c r="E49" s="83"/>
      <c r="F49" s="83">
        <v>2.9428726E7</v>
      </c>
      <c r="G49" s="91" t="str">
        <f>IFERROR(__xludf.DUMMYFUNCTION("XLOOKUP(AS49,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PROFESSOR ETEVALDO MARTINIANO DA ROCHA (ANTIGO - COLÉGIO ESTADUAL CAROLINA ALMEIDA LOPES)")</f>
        <v>COLÉGIO ESTADUAL DE TEMPO INTEGRAL PROFESSOR ETEVALDO MARTINIANO DA ROCHA (ANTIGO - COLÉGIO ESTADUAL CAROLINA ALMEIDA LOPES)</v>
      </c>
      <c r="H49" s="119" t="s">
        <v>340</v>
      </c>
      <c r="I49" s="91" t="s">
        <v>341</v>
      </c>
      <c r="J49" s="83" t="s">
        <v>149</v>
      </c>
      <c r="K49" s="83" t="s">
        <v>150</v>
      </c>
      <c r="L49" s="83" t="s">
        <v>151</v>
      </c>
      <c r="M49" s="98" t="s">
        <v>152</v>
      </c>
      <c r="N49" s="98" t="s">
        <v>342</v>
      </c>
      <c r="O49" s="98" t="s">
        <v>162</v>
      </c>
      <c r="P49" s="99" t="str">
        <f>IFERROR(__xludf.DUMMYFUNCTION("IFERROR(VLOOKUP(AS49,IMPORTRANGE(""https://docs.google.com/spreadsheets/d/1juPI-Fb8LD0YtltB2mlGEnp_R3UVu1t3wSFPzgCyHXE/edit?gid=0#gid=0"",""GERAL!A2:C""),3,0),""-"")"),"-")</f>
        <v>-</v>
      </c>
      <c r="Q49" s="101" t="s">
        <v>156</v>
      </c>
      <c r="R49" s="98">
        <v>17.0</v>
      </c>
      <c r="S49" s="98">
        <v>1.0</v>
      </c>
      <c r="T49" s="98">
        <v>1.0</v>
      </c>
      <c r="U49" s="98">
        <v>0.0</v>
      </c>
      <c r="V49" s="98">
        <v>1.0</v>
      </c>
      <c r="W49" s="98">
        <v>3.0</v>
      </c>
      <c r="X49" s="98">
        <v>1.0</v>
      </c>
      <c r="Y49" s="98">
        <v>0.0</v>
      </c>
      <c r="Z49" s="98">
        <v>1.0</v>
      </c>
      <c r="AA49" s="98">
        <v>0.0</v>
      </c>
      <c r="AB49" s="98">
        <v>1.0</v>
      </c>
      <c r="AC49" s="98">
        <v>0.0</v>
      </c>
      <c r="AD49" s="98">
        <v>0.0</v>
      </c>
      <c r="AE49" s="98">
        <v>0.0</v>
      </c>
      <c r="AF49" s="98">
        <v>1.0</v>
      </c>
      <c r="AG49" s="98">
        <v>0.0</v>
      </c>
      <c r="AH49" s="98">
        <v>0.0</v>
      </c>
      <c r="AI49" s="98">
        <v>0.0</v>
      </c>
      <c r="AJ49" s="98">
        <v>0.0</v>
      </c>
      <c r="AK49" s="98">
        <v>1.0</v>
      </c>
      <c r="AL49" s="98">
        <v>0.0</v>
      </c>
      <c r="AM49" s="98">
        <v>0.0</v>
      </c>
      <c r="AN49" s="98">
        <v>0.0</v>
      </c>
      <c r="AO49" s="98">
        <v>0.0</v>
      </c>
      <c r="AP49" s="98">
        <v>0.0</v>
      </c>
      <c r="AQ49" s="98" t="s">
        <v>343</v>
      </c>
      <c r="AR49" s="102">
        <v>46238.0</v>
      </c>
      <c r="AS49" s="83">
        <v>1178040.0</v>
      </c>
    </row>
    <row r="50" ht="15.75" customHeight="1">
      <c r="A50" s="111" t="s">
        <v>130</v>
      </c>
      <c r="B50" s="83" t="s">
        <v>344</v>
      </c>
      <c r="C50" s="83" t="s">
        <v>68</v>
      </c>
      <c r="D50" s="112">
        <v>1178257.0</v>
      </c>
      <c r="E50" s="83"/>
      <c r="F50" s="83">
        <v>2.95362E7</v>
      </c>
      <c r="G50" s="91" t="str">
        <f>IFERROR(__xludf.DUMMYFUNCTION("XLOOKUP(AS50,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DE AGUADA NOVA - DISTRITO DE AGUADA NOVA")</f>
        <v>COLÉGIO ESTADUAL DO CAMPO DE AGUADA NOVA - DISTRITO DE AGUADA NOVA</v>
      </c>
      <c r="H50" s="114" t="s">
        <v>345</v>
      </c>
      <c r="I50" s="91" t="s">
        <v>346</v>
      </c>
      <c r="J50" s="83" t="s">
        <v>149</v>
      </c>
      <c r="K50" s="83" t="s">
        <v>327</v>
      </c>
      <c r="L50" s="83" t="s">
        <v>151</v>
      </c>
      <c r="M50" s="83" t="s">
        <v>169</v>
      </c>
      <c r="N50" s="98" t="s">
        <v>347</v>
      </c>
      <c r="O50" s="98" t="s">
        <v>155</v>
      </c>
      <c r="P50" s="99" t="str">
        <f>IFERROR(__xludf.DUMMYFUNCTION("IFERROR(VLOOKUP(AS50,IMPORTRANGE(""https://docs.google.com/spreadsheets/d/1juPI-Fb8LD0YtltB2mlGEnp_R3UVu1t3wSFPzgCyHXE/edit?gid=0#gid=0"",""GERAL!A2:C""),3,0),""-"")"),"CAMPO")</f>
        <v>CAMPO</v>
      </c>
      <c r="Q50" s="101" t="s">
        <v>156</v>
      </c>
      <c r="R50" s="98">
        <v>9.0</v>
      </c>
      <c r="S50" s="98">
        <v>0.0</v>
      </c>
      <c r="T50" s="98">
        <v>0.0</v>
      </c>
      <c r="U50" s="98">
        <v>0.0</v>
      </c>
      <c r="V50" s="98">
        <v>0.0</v>
      </c>
      <c r="W50" s="98">
        <v>0.0</v>
      </c>
      <c r="X50" s="98">
        <v>0.0</v>
      </c>
      <c r="Y50" s="98">
        <v>0.0</v>
      </c>
      <c r="Z50" s="98">
        <v>0.0</v>
      </c>
      <c r="AA50" s="98">
        <v>0.0</v>
      </c>
      <c r="AB50" s="98">
        <v>0.0</v>
      </c>
      <c r="AC50" s="98">
        <v>0.0</v>
      </c>
      <c r="AD50" s="98">
        <v>0.0</v>
      </c>
      <c r="AE50" s="98">
        <v>0.0</v>
      </c>
      <c r="AF50" s="98">
        <v>0.0</v>
      </c>
      <c r="AG50" s="98">
        <v>1.0</v>
      </c>
      <c r="AH50" s="98">
        <v>0.0</v>
      </c>
      <c r="AI50" s="98">
        <v>0.0</v>
      </c>
      <c r="AJ50" s="98">
        <v>0.0</v>
      </c>
      <c r="AK50" s="98">
        <v>0.0</v>
      </c>
      <c r="AL50" s="98">
        <v>0.0</v>
      </c>
      <c r="AM50" s="98">
        <v>0.0</v>
      </c>
      <c r="AN50" s="98">
        <v>0.0</v>
      </c>
      <c r="AO50" s="98">
        <v>0.0</v>
      </c>
      <c r="AP50" s="98">
        <v>2.0</v>
      </c>
      <c r="AQ50" s="98" t="s">
        <v>350</v>
      </c>
      <c r="AR50" s="102">
        <v>46216.0</v>
      </c>
      <c r="AS50" s="83">
        <v>1178257.0</v>
      </c>
    </row>
    <row r="51" ht="15.75" customHeight="1">
      <c r="A51" s="111" t="s">
        <v>130</v>
      </c>
      <c r="B51" s="83" t="s">
        <v>344</v>
      </c>
      <c r="C51" s="83" t="s">
        <v>68</v>
      </c>
      <c r="D51" s="112">
        <v>1162480.0</v>
      </c>
      <c r="E51" s="83"/>
      <c r="F51" s="83">
        <v>2.9065356E7</v>
      </c>
      <c r="G51" s="91" t="str">
        <f>IFERROR(__xludf.DUMMYFUNCTION("XLOOKUP(AS51,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JUSTINIANO DE CASTRO DOURADO")</f>
        <v>COLÉGIO ESTADUAL DE TEMPO INTEGRAL JUSTINIANO DE CASTRO DOURADO</v>
      </c>
      <c r="H51" s="119" t="s">
        <v>352</v>
      </c>
      <c r="I51" s="91" t="s">
        <v>353</v>
      </c>
      <c r="J51" s="83" t="s">
        <v>149</v>
      </c>
      <c r="K51" s="83" t="s">
        <v>150</v>
      </c>
      <c r="L51" s="83" t="s">
        <v>151</v>
      </c>
      <c r="M51" s="83" t="s">
        <v>230</v>
      </c>
      <c r="N51" s="98" t="s">
        <v>354</v>
      </c>
      <c r="O51" s="98" t="s">
        <v>162</v>
      </c>
      <c r="P51" s="99" t="str">
        <f>IFERROR(__xludf.DUMMYFUNCTION("IFERROR(VLOOKUP(AS51,IMPORTRANGE(""https://docs.google.com/spreadsheets/d/1juPI-Fb8LD0YtltB2mlGEnp_R3UVu1t3wSFPzgCyHXE/edit?gid=0#gid=0"",""GERAL!A2:C""),3,0),""-"")"),"-")</f>
        <v>-</v>
      </c>
      <c r="Q51" s="101" t="s">
        <v>156</v>
      </c>
      <c r="R51" s="98">
        <v>20.0</v>
      </c>
      <c r="S51" s="98">
        <v>0.0</v>
      </c>
      <c r="T51" s="98">
        <v>2.0</v>
      </c>
      <c r="U51" s="98">
        <v>0.0</v>
      </c>
      <c r="V51" s="98">
        <v>1.0</v>
      </c>
      <c r="W51" s="98">
        <v>3.0</v>
      </c>
      <c r="X51" s="98">
        <v>1.0</v>
      </c>
      <c r="Y51" s="98">
        <v>0.0</v>
      </c>
      <c r="Z51" s="98">
        <v>0.0</v>
      </c>
      <c r="AA51" s="98">
        <v>0.0</v>
      </c>
      <c r="AB51" s="98">
        <v>1.0</v>
      </c>
      <c r="AC51" s="98">
        <v>0.0</v>
      </c>
      <c r="AD51" s="98">
        <v>0.0</v>
      </c>
      <c r="AE51" s="98">
        <v>0.0</v>
      </c>
      <c r="AF51" s="98">
        <v>0.0</v>
      </c>
      <c r="AG51" s="98">
        <v>0.0</v>
      </c>
      <c r="AH51" s="98">
        <v>1.0</v>
      </c>
      <c r="AI51" s="98">
        <v>0.0</v>
      </c>
      <c r="AJ51" s="98">
        <v>0.0</v>
      </c>
      <c r="AK51" s="98">
        <v>1.0</v>
      </c>
      <c r="AL51" s="98">
        <v>0.0</v>
      </c>
      <c r="AM51" s="98">
        <v>0.0</v>
      </c>
      <c r="AN51" s="98">
        <v>0.0</v>
      </c>
      <c r="AO51" s="98">
        <v>1.0</v>
      </c>
      <c r="AP51" s="98">
        <v>4.0</v>
      </c>
      <c r="AQ51" s="98" t="s">
        <v>355</v>
      </c>
      <c r="AR51" s="102">
        <v>46216.0</v>
      </c>
      <c r="AS51" s="83">
        <v>1162480.0</v>
      </c>
    </row>
    <row r="52" ht="15.75" customHeight="1">
      <c r="A52" s="111" t="s">
        <v>130</v>
      </c>
      <c r="B52" s="83" t="s">
        <v>356</v>
      </c>
      <c r="C52" s="83" t="s">
        <v>68</v>
      </c>
      <c r="D52" s="112">
        <v>1178146.0</v>
      </c>
      <c r="E52" s="83"/>
      <c r="F52" s="83">
        <v>2.94454E7</v>
      </c>
      <c r="G52" s="91" t="str">
        <f>IFERROR(__xludf.DUMMYFUNCTION("XLOOKUP(AS52,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DE MULUNGU DO MORRO")</f>
        <v>COLÉGIO ESTADUAL DE TEMPO INTEGRAL DE MULUNGU DO MORRO</v>
      </c>
      <c r="H52" s="119" t="s">
        <v>357</v>
      </c>
      <c r="I52" s="91" t="s">
        <v>358</v>
      </c>
      <c r="J52" s="83" t="s">
        <v>149</v>
      </c>
      <c r="K52" s="83" t="s">
        <v>150</v>
      </c>
      <c r="L52" s="83" t="s">
        <v>151</v>
      </c>
      <c r="M52" s="83" t="s">
        <v>76</v>
      </c>
      <c r="N52" s="98" t="s">
        <v>359</v>
      </c>
      <c r="O52" s="98" t="s">
        <v>155</v>
      </c>
      <c r="P52" s="99" t="str">
        <f>IFERROR(__xludf.DUMMYFUNCTION("IFERROR(VLOOKUP(AS52,IMPORTRANGE(""https://docs.google.com/spreadsheets/d/1juPI-Fb8LD0YtltB2mlGEnp_R3UVu1t3wSFPzgCyHXE/edit?gid=0#gid=0"",""GERAL!A2:C""),3,0),""-"")"),"-")</f>
        <v>-</v>
      </c>
      <c r="Q52" s="101" t="s">
        <v>156</v>
      </c>
      <c r="R52" s="98">
        <v>8.0</v>
      </c>
      <c r="S52" s="98">
        <v>1.0</v>
      </c>
      <c r="T52" s="98">
        <v>0.0</v>
      </c>
      <c r="U52" s="98">
        <v>0.0</v>
      </c>
      <c r="V52" s="98">
        <v>0.0</v>
      </c>
      <c r="W52" s="98">
        <v>2.0</v>
      </c>
      <c r="X52" s="98">
        <v>1.0</v>
      </c>
      <c r="Y52" s="98">
        <v>0.0</v>
      </c>
      <c r="Z52" s="98">
        <v>0.0</v>
      </c>
      <c r="AA52" s="98">
        <v>0.0</v>
      </c>
      <c r="AB52" s="98">
        <v>0.0</v>
      </c>
      <c r="AC52" s="98">
        <v>0.0</v>
      </c>
      <c r="AD52" s="98">
        <v>0.0</v>
      </c>
      <c r="AE52" s="98">
        <v>0.0</v>
      </c>
      <c r="AF52" s="98">
        <v>1.0</v>
      </c>
      <c r="AG52" s="98">
        <v>0.0</v>
      </c>
      <c r="AH52" s="98">
        <v>0.0</v>
      </c>
      <c r="AI52" s="98">
        <v>0.0</v>
      </c>
      <c r="AJ52" s="98">
        <v>0.0</v>
      </c>
      <c r="AK52" s="98">
        <v>0.0</v>
      </c>
      <c r="AL52" s="98">
        <v>0.0</v>
      </c>
      <c r="AM52" s="98">
        <v>0.0</v>
      </c>
      <c r="AN52" s="98">
        <v>0.0</v>
      </c>
      <c r="AO52" s="98">
        <v>0.0</v>
      </c>
      <c r="AP52" s="98">
        <v>1.0</v>
      </c>
      <c r="AQ52" s="98" t="s">
        <v>360</v>
      </c>
      <c r="AR52" s="102">
        <v>46234.0</v>
      </c>
      <c r="AS52" s="83">
        <v>1178146.0</v>
      </c>
    </row>
    <row r="53" ht="15.75" customHeight="1">
      <c r="A53" s="111" t="s">
        <v>130</v>
      </c>
      <c r="B53" s="83" t="s">
        <v>356</v>
      </c>
      <c r="C53" s="83" t="s">
        <v>164</v>
      </c>
      <c r="D53" s="112">
        <v>1179281.0</v>
      </c>
      <c r="E53" s="83">
        <v>1178803.0</v>
      </c>
      <c r="F53" s="83"/>
      <c r="G53" s="91" t="str">
        <f>IFERROR(__xludf.DUMMYFUNCTION("XLOOKUP(AS53,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IRECÊ - DISTRITO DE VÁRZEA DO CERCO")</f>
        <v>ANEXO - CEMIT - IRECÊ - DISTRITO DE VÁRZEA DO CERCO</v>
      </c>
      <c r="H53" s="114" t="s">
        <v>361</v>
      </c>
      <c r="I53" s="114" t="s">
        <v>362</v>
      </c>
      <c r="J53" s="136" t="s">
        <v>363</v>
      </c>
      <c r="K53" s="136" t="s">
        <v>187</v>
      </c>
      <c r="L53" s="136" t="s">
        <v>168</v>
      </c>
      <c r="M53" s="83" t="s">
        <v>169</v>
      </c>
      <c r="N53" s="115" t="s">
        <v>170</v>
      </c>
      <c r="O53" s="98" t="s">
        <v>155</v>
      </c>
      <c r="P53" s="99" t="str">
        <f>IFERROR(__xludf.DUMMYFUNCTION("IFERROR(VLOOKUP(AS53,IMPORTRANGE(""https://docs.google.com/spreadsheets/d/1juPI-Fb8LD0YtltB2mlGEnp_R3UVu1t3wSFPzgCyHXE/edit?gid=0#gid=0"",""GERAL!A2:C""),3,0),""-"")"),"-")</f>
        <v>-</v>
      </c>
      <c r="Q53" s="98" t="s">
        <v>171</v>
      </c>
      <c r="R53" s="98">
        <v>3.0</v>
      </c>
      <c r="S53" s="98" t="s">
        <v>171</v>
      </c>
      <c r="T53" s="98" t="s">
        <v>171</v>
      </c>
      <c r="U53" s="98" t="s">
        <v>171</v>
      </c>
      <c r="V53" s="98" t="s">
        <v>171</v>
      </c>
      <c r="W53" s="98" t="s">
        <v>171</v>
      </c>
      <c r="X53" s="98" t="s">
        <v>171</v>
      </c>
      <c r="Y53" s="98" t="s">
        <v>171</v>
      </c>
      <c r="Z53" s="98" t="s">
        <v>171</v>
      </c>
      <c r="AA53" s="98" t="s">
        <v>171</v>
      </c>
      <c r="AB53" s="98" t="s">
        <v>171</v>
      </c>
      <c r="AC53" s="98" t="s">
        <v>171</v>
      </c>
      <c r="AD53" s="98" t="s">
        <v>171</v>
      </c>
      <c r="AE53" s="98" t="s">
        <v>171</v>
      </c>
      <c r="AF53" s="98" t="s">
        <v>171</v>
      </c>
      <c r="AG53" s="98" t="s">
        <v>171</v>
      </c>
      <c r="AH53" s="98" t="s">
        <v>171</v>
      </c>
      <c r="AI53" s="98" t="s">
        <v>171</v>
      </c>
      <c r="AJ53" s="98" t="s">
        <v>171</v>
      </c>
      <c r="AK53" s="98" t="s">
        <v>171</v>
      </c>
      <c r="AL53" s="98" t="s">
        <v>171</v>
      </c>
      <c r="AM53" s="98" t="s">
        <v>171</v>
      </c>
      <c r="AN53" s="98" t="s">
        <v>171</v>
      </c>
      <c r="AO53" s="98" t="s">
        <v>171</v>
      </c>
      <c r="AP53" s="98" t="s">
        <v>171</v>
      </c>
      <c r="AQ53" s="98" t="s">
        <v>171</v>
      </c>
      <c r="AR53" s="102">
        <v>46234.0</v>
      </c>
      <c r="AS53" s="83">
        <v>1178803.0</v>
      </c>
    </row>
    <row r="54" ht="48.0" customHeight="1">
      <c r="A54" s="111" t="s">
        <v>130</v>
      </c>
      <c r="B54" s="83" t="s">
        <v>364</v>
      </c>
      <c r="C54" s="83" t="s">
        <v>68</v>
      </c>
      <c r="D54" s="112">
        <v>1127154.0</v>
      </c>
      <c r="E54" s="83"/>
      <c r="F54" s="83">
        <v>2.9066395E7</v>
      </c>
      <c r="G54" s="91" t="str">
        <f>IFERROR(__xludf.DUMMYFUNCTION("XLOOKUP(AS54,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LEILA JANAINA BRITO GONÇALVES 
(ANTIGO C.E DOUTOR ANTONIO CARLOS MAGALHAES)")</f>
        <v>COLÉGIO ESTADUAL DE TEMPO INTEGRAL LEILA JANAINA BRITO GONÇALVES 
(ANTIGO C.E DOUTOR ANTONIO CARLOS MAGALHAES)</v>
      </c>
      <c r="H54" s="119" t="s">
        <v>366</v>
      </c>
      <c r="I54" s="160" t="s">
        <v>368</v>
      </c>
      <c r="J54" s="83" t="s">
        <v>149</v>
      </c>
      <c r="K54" s="83" t="s">
        <v>150</v>
      </c>
      <c r="L54" s="83" t="s">
        <v>151</v>
      </c>
      <c r="M54" s="83" t="s">
        <v>230</v>
      </c>
      <c r="N54" s="98" t="s">
        <v>369</v>
      </c>
      <c r="O54" s="98" t="s">
        <v>162</v>
      </c>
      <c r="P54" s="99" t="str">
        <f>IFERROR(__xludf.DUMMYFUNCTION("IFERROR(VLOOKUP(AS54,IMPORTRANGE(""https://docs.google.com/spreadsheets/d/1juPI-Fb8LD0YtltB2mlGEnp_R3UVu1t3wSFPzgCyHXE/edit?gid=0#gid=0"",""GERAL!A2:C""),3,0),""-"")"),"-")</f>
        <v>-</v>
      </c>
      <c r="Q54" s="101" t="s">
        <v>156</v>
      </c>
      <c r="R54" s="98">
        <v>10.0</v>
      </c>
      <c r="S54" s="98">
        <v>1.0</v>
      </c>
      <c r="T54" s="98">
        <v>1.0</v>
      </c>
      <c r="U54" s="98">
        <v>1.0</v>
      </c>
      <c r="V54" s="98">
        <v>0.0</v>
      </c>
      <c r="W54" s="98">
        <v>2.0</v>
      </c>
      <c r="X54" s="98">
        <v>1.0</v>
      </c>
      <c r="Y54" s="98">
        <v>0.0</v>
      </c>
      <c r="Z54" s="98">
        <v>1.0</v>
      </c>
      <c r="AA54" s="98">
        <v>0.0</v>
      </c>
      <c r="AB54" s="98">
        <v>1.0</v>
      </c>
      <c r="AC54" s="98">
        <v>0.0</v>
      </c>
      <c r="AD54" s="98">
        <v>0.0</v>
      </c>
      <c r="AE54" s="98">
        <v>0.0</v>
      </c>
      <c r="AF54" s="98">
        <v>1.0</v>
      </c>
      <c r="AG54" s="98">
        <v>0.0</v>
      </c>
      <c r="AH54" s="98">
        <v>0.0</v>
      </c>
      <c r="AI54" s="98">
        <v>0.0</v>
      </c>
      <c r="AJ54" s="98">
        <v>1.0</v>
      </c>
      <c r="AK54" s="98">
        <v>0.0</v>
      </c>
      <c r="AL54" s="98">
        <v>0.0</v>
      </c>
      <c r="AM54" s="98">
        <v>0.0</v>
      </c>
      <c r="AN54" s="98">
        <v>0.0</v>
      </c>
      <c r="AO54" s="98">
        <v>0.0</v>
      </c>
      <c r="AP54" s="98">
        <v>0.0</v>
      </c>
      <c r="AQ54" s="83"/>
      <c r="AR54" s="102">
        <v>46234.0</v>
      </c>
      <c r="AS54" s="83">
        <v>1127154.0</v>
      </c>
    </row>
    <row r="55" ht="31.5" customHeight="1">
      <c r="A55" s="111" t="s">
        <v>130</v>
      </c>
      <c r="B55" s="83" t="s">
        <v>375</v>
      </c>
      <c r="C55" s="83" t="s">
        <v>68</v>
      </c>
      <c r="D55" s="112">
        <v>1162618.0</v>
      </c>
      <c r="E55" s="83"/>
      <c r="F55" s="83">
        <v>2.9067332E7</v>
      </c>
      <c r="G55" s="91" t="str">
        <f>IFERROR(__xludf.DUMMYFUNCTION("XLOOKUP(AS55,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PROFESSORA ROSÁLIA PEREIRA DA ROCHA")</f>
        <v>COLÉGIO ESTADUAL DE TEMPO INTEGRAL PROFESSORA ROSÁLIA PEREIRA DA ROCHA</v>
      </c>
      <c r="H55" s="119" t="s">
        <v>378</v>
      </c>
      <c r="I55" s="91" t="s">
        <v>379</v>
      </c>
      <c r="J55" s="83" t="s">
        <v>149</v>
      </c>
      <c r="K55" s="83" t="s">
        <v>150</v>
      </c>
      <c r="L55" s="83" t="s">
        <v>151</v>
      </c>
      <c r="M55" s="98" t="s">
        <v>152</v>
      </c>
      <c r="N55" s="98" t="s">
        <v>381</v>
      </c>
      <c r="O55" s="98" t="s">
        <v>176</v>
      </c>
      <c r="P55" s="99" t="str">
        <f>IFERROR(__xludf.DUMMYFUNCTION("IFERROR(VLOOKUP(AS55,IMPORTRANGE(""https://docs.google.com/spreadsheets/d/1juPI-Fb8LD0YtltB2mlGEnp_R3UVu1t3wSFPzgCyHXE/edit?gid=0#gid=0"",""GERAL!A2:C""),3,0),""-"")"),"-")</f>
        <v>-</v>
      </c>
      <c r="Q55" s="101" t="s">
        <v>156</v>
      </c>
      <c r="R55" s="98">
        <v>10.0</v>
      </c>
      <c r="S55" s="98">
        <v>0.0</v>
      </c>
      <c r="T55" s="98">
        <v>2.0</v>
      </c>
      <c r="U55" s="98">
        <v>1.0</v>
      </c>
      <c r="V55" s="98">
        <v>0.0</v>
      </c>
      <c r="W55" s="98">
        <v>0.0</v>
      </c>
      <c r="X55" s="98">
        <v>0.0</v>
      </c>
      <c r="Y55" s="98">
        <v>1.0</v>
      </c>
      <c r="Z55" s="98">
        <v>0.0</v>
      </c>
      <c r="AA55" s="98">
        <v>0.0</v>
      </c>
      <c r="AB55" s="98">
        <v>0.0</v>
      </c>
      <c r="AC55" s="98">
        <v>0.0</v>
      </c>
      <c r="AD55" s="98">
        <v>0.0</v>
      </c>
      <c r="AE55" s="98">
        <v>0.0</v>
      </c>
      <c r="AF55" s="98">
        <v>1.0</v>
      </c>
      <c r="AG55" s="98">
        <v>0.0</v>
      </c>
      <c r="AH55" s="98">
        <v>0.0</v>
      </c>
      <c r="AI55" s="98">
        <v>0.0</v>
      </c>
      <c r="AJ55" s="98">
        <v>0.0</v>
      </c>
      <c r="AK55" s="98">
        <v>0.0</v>
      </c>
      <c r="AL55" s="98">
        <v>0.0</v>
      </c>
      <c r="AM55" s="98">
        <v>0.0</v>
      </c>
      <c r="AN55" s="98">
        <v>0.0</v>
      </c>
      <c r="AO55" s="98">
        <v>0.0</v>
      </c>
      <c r="AP55" s="98">
        <v>0.0</v>
      </c>
      <c r="AQ55" s="98" t="s">
        <v>386</v>
      </c>
      <c r="AR55" s="102">
        <v>46216.0</v>
      </c>
      <c r="AS55" s="83">
        <v>1162618.0</v>
      </c>
    </row>
    <row r="56" ht="15.75" customHeight="1">
      <c r="A56" s="111" t="s">
        <v>130</v>
      </c>
      <c r="B56" s="83" t="s">
        <v>375</v>
      </c>
      <c r="C56" s="83" t="s">
        <v>68</v>
      </c>
      <c r="D56" s="112">
        <v>1179655.0</v>
      </c>
      <c r="E56" s="83"/>
      <c r="F56" s="83">
        <v>2.9473365E7</v>
      </c>
      <c r="G56" s="91" t="str">
        <f>IFERROR(__xludf.DUMMYFUNCTION("XLOOKUP(AS56,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ALMERINDA ALMEIDA - DISTRITO DE GAMELEIRA DO JACARÉ")</f>
        <v>COLÉGIO ESTADUAL ALMERINDA ALMEIDA - DISTRITO DE GAMELEIRA DO JACARÉ</v>
      </c>
      <c r="H56" s="114" t="s">
        <v>391</v>
      </c>
      <c r="I56" s="91" t="s">
        <v>392</v>
      </c>
      <c r="J56" s="83" t="s">
        <v>149</v>
      </c>
      <c r="K56" s="83" t="s">
        <v>222</v>
      </c>
      <c r="L56" s="83" t="s">
        <v>151</v>
      </c>
      <c r="M56" s="83" t="s">
        <v>169</v>
      </c>
      <c r="N56" s="98" t="s">
        <v>394</v>
      </c>
      <c r="O56" s="98" t="s">
        <v>155</v>
      </c>
      <c r="P56" s="99" t="str">
        <f>IFERROR(__xludf.DUMMYFUNCTION("IFERROR(VLOOKUP(AS56,IMPORTRANGE(""https://docs.google.com/spreadsheets/d/1juPI-Fb8LD0YtltB2mlGEnp_R3UVu1t3wSFPzgCyHXE/edit?gid=0#gid=0"",""GERAL!A2:C""),3,0),""-"")"),"CAMPO")</f>
        <v>CAMPO</v>
      </c>
      <c r="Q56" s="101" t="s">
        <v>156</v>
      </c>
      <c r="R56" s="98">
        <v>4.0</v>
      </c>
      <c r="S56" s="98">
        <v>0.0</v>
      </c>
      <c r="T56" s="98">
        <v>1.0</v>
      </c>
      <c r="U56" s="98">
        <v>0.0</v>
      </c>
      <c r="V56" s="98">
        <v>0.0</v>
      </c>
      <c r="W56" s="98">
        <v>0.0</v>
      </c>
      <c r="X56" s="98">
        <v>0.0</v>
      </c>
      <c r="Y56" s="98">
        <v>1.0</v>
      </c>
      <c r="Z56" s="98">
        <v>0.0</v>
      </c>
      <c r="AA56" s="98">
        <v>0.0</v>
      </c>
      <c r="AB56" s="98">
        <v>0.0</v>
      </c>
      <c r="AC56" s="98">
        <v>0.0</v>
      </c>
      <c r="AD56" s="98">
        <v>0.0</v>
      </c>
      <c r="AE56" s="98">
        <v>0.0</v>
      </c>
      <c r="AF56" s="98">
        <v>0.0</v>
      </c>
      <c r="AG56" s="98">
        <v>0.0</v>
      </c>
      <c r="AH56" s="98">
        <v>0.0</v>
      </c>
      <c r="AI56" s="98">
        <v>0.0</v>
      </c>
      <c r="AJ56" s="98">
        <v>0.0</v>
      </c>
      <c r="AK56" s="98">
        <v>0.0</v>
      </c>
      <c r="AL56" s="98">
        <v>0.0</v>
      </c>
      <c r="AM56" s="98">
        <v>0.0</v>
      </c>
      <c r="AN56" s="98">
        <v>0.0</v>
      </c>
      <c r="AO56" s="98">
        <v>0.0</v>
      </c>
      <c r="AP56" s="98">
        <v>0.0</v>
      </c>
      <c r="AQ56" s="98" t="s">
        <v>411</v>
      </c>
      <c r="AR56" s="102">
        <v>46216.0</v>
      </c>
      <c r="AS56" s="83">
        <v>1179655.0</v>
      </c>
    </row>
    <row r="57" ht="15.75" customHeight="1">
      <c r="A57" s="167" t="s">
        <v>130</v>
      </c>
      <c r="B57" s="83" t="s">
        <v>412</v>
      </c>
      <c r="C57" s="83" t="s">
        <v>68</v>
      </c>
      <c r="D57" s="112">
        <v>1178038.0</v>
      </c>
      <c r="E57" s="83"/>
      <c r="F57" s="83">
        <v>2.9425328E7</v>
      </c>
      <c r="G57" s="91" t="str">
        <f>IFERROR(__xludf.DUMMYFUNCTION("XLOOKUP(AS57,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MANOEL LEVI - TEMPO INTEGRAL")</f>
        <v>COLÉGIO ESTADUAL MANOEL LEVI - TEMPO INTEGRAL</v>
      </c>
      <c r="H57" s="114" t="s">
        <v>413</v>
      </c>
      <c r="I57" s="160" t="s">
        <v>414</v>
      </c>
      <c r="J57" s="136" t="s">
        <v>149</v>
      </c>
      <c r="K57" s="136" t="s">
        <v>150</v>
      </c>
      <c r="L57" s="136" t="s">
        <v>151</v>
      </c>
      <c r="M57" s="98" t="s">
        <v>152</v>
      </c>
      <c r="N57" s="115" t="s">
        <v>415</v>
      </c>
      <c r="O57" s="115" t="s">
        <v>176</v>
      </c>
      <c r="P57" s="168" t="str">
        <f>IFERROR(__xludf.DUMMYFUNCTION("IFERROR(VLOOKUP(AS57,IMPORTRANGE(""https://docs.google.com/spreadsheets/d/1juPI-Fb8LD0YtltB2mlGEnp_R3UVu1t3wSFPzgCyHXE/edit?gid=0#gid=0"",""GERAL!A2:C""),3,0),""-"")"),"-")</f>
        <v>-</v>
      </c>
      <c r="Q57" s="169" t="s">
        <v>156</v>
      </c>
      <c r="R57" s="115">
        <v>14.0</v>
      </c>
      <c r="S57" s="115">
        <v>0.0</v>
      </c>
      <c r="T57" s="115">
        <v>0.0</v>
      </c>
      <c r="U57" s="115">
        <v>0.0</v>
      </c>
      <c r="V57" s="115">
        <v>0.0</v>
      </c>
      <c r="W57" s="115">
        <v>0.0</v>
      </c>
      <c r="X57" s="115">
        <v>1.0</v>
      </c>
      <c r="Y57" s="115">
        <v>0.0</v>
      </c>
      <c r="Z57" s="115">
        <v>0.0</v>
      </c>
      <c r="AA57" s="115">
        <v>0.0</v>
      </c>
      <c r="AB57" s="115">
        <v>0.0</v>
      </c>
      <c r="AC57" s="115">
        <v>0.0</v>
      </c>
      <c r="AD57" s="115">
        <v>0.0</v>
      </c>
      <c r="AE57" s="115">
        <v>0.0</v>
      </c>
      <c r="AF57" s="115">
        <v>1.0</v>
      </c>
      <c r="AG57" s="115">
        <v>0.0</v>
      </c>
      <c r="AH57" s="115">
        <v>0.0</v>
      </c>
      <c r="AI57" s="115">
        <v>0.0</v>
      </c>
      <c r="AJ57" s="115">
        <v>0.0</v>
      </c>
      <c r="AK57" s="115">
        <v>0.0</v>
      </c>
      <c r="AL57" s="115">
        <v>0.0</v>
      </c>
      <c r="AM57" s="115">
        <v>0.0</v>
      </c>
      <c r="AN57" s="115">
        <v>0.0</v>
      </c>
      <c r="AO57" s="115">
        <v>0.0</v>
      </c>
      <c r="AP57" s="115">
        <v>2.0</v>
      </c>
      <c r="AQ57" s="115" t="s">
        <v>416</v>
      </c>
      <c r="AR57" s="170">
        <v>46234.0</v>
      </c>
      <c r="AS57" s="136">
        <v>1178038.0</v>
      </c>
    </row>
    <row r="58" ht="15.75" customHeight="1">
      <c r="A58" s="111" t="s">
        <v>130</v>
      </c>
      <c r="B58" s="83" t="s">
        <v>417</v>
      </c>
      <c r="C58" s="83" t="s">
        <v>68</v>
      </c>
      <c r="D58" s="112">
        <v>1176432.0</v>
      </c>
      <c r="E58" s="83"/>
      <c r="F58" s="83">
        <v>2.9395321E7</v>
      </c>
      <c r="G58" s="91" t="str">
        <f>IFERROR(__xludf.DUMMYFUNCTION("XLOOKUP(AS58,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PROFESSORA GILDETE DE SOUZA VIANA")</f>
        <v>COLÉGIO ESTADUAL PROFESSORA GILDETE DE SOUZA VIANA</v>
      </c>
      <c r="H58" s="114" t="s">
        <v>418</v>
      </c>
      <c r="I58" s="91" t="s">
        <v>419</v>
      </c>
      <c r="J58" s="83" t="s">
        <v>149</v>
      </c>
      <c r="K58" s="83" t="s">
        <v>150</v>
      </c>
      <c r="L58" s="83" t="s">
        <v>151</v>
      </c>
      <c r="M58" s="83" t="s">
        <v>230</v>
      </c>
      <c r="N58" s="98" t="s">
        <v>420</v>
      </c>
      <c r="O58" s="98" t="s">
        <v>155</v>
      </c>
      <c r="P58" s="99" t="str">
        <f>IFERROR(__xludf.DUMMYFUNCTION("IFERROR(VLOOKUP(AS58,IMPORTRANGE(""https://docs.google.com/spreadsheets/d/1juPI-Fb8LD0YtltB2mlGEnp_R3UVu1t3wSFPzgCyHXE/edit?gid=0#gid=0"",""GERAL!A2:C""),3,0),""-"")"),"-")</f>
        <v>-</v>
      </c>
      <c r="Q58" s="101" t="s">
        <v>156</v>
      </c>
      <c r="R58" s="98">
        <v>16.0</v>
      </c>
      <c r="S58" s="98">
        <v>0.0</v>
      </c>
      <c r="T58" s="98">
        <v>1.0</v>
      </c>
      <c r="U58" s="98">
        <v>0.0</v>
      </c>
      <c r="V58" s="98">
        <v>1.0</v>
      </c>
      <c r="W58" s="98">
        <v>6.0</v>
      </c>
      <c r="X58" s="98">
        <v>1.0</v>
      </c>
      <c r="Y58" s="98">
        <v>0.0</v>
      </c>
      <c r="Z58" s="98">
        <v>1.0</v>
      </c>
      <c r="AA58" s="98">
        <v>0.0</v>
      </c>
      <c r="AB58" s="98">
        <v>1.0</v>
      </c>
      <c r="AC58" s="98">
        <v>0.0</v>
      </c>
      <c r="AD58" s="98">
        <v>0.0</v>
      </c>
      <c r="AE58" s="98">
        <v>0.0</v>
      </c>
      <c r="AF58" s="98">
        <v>0.0</v>
      </c>
      <c r="AG58" s="98">
        <v>0.0</v>
      </c>
      <c r="AH58" s="98">
        <v>1.0</v>
      </c>
      <c r="AI58" s="98">
        <v>0.0</v>
      </c>
      <c r="AJ58" s="98">
        <v>0.0</v>
      </c>
      <c r="AK58" s="98">
        <v>1.0</v>
      </c>
      <c r="AL58" s="98">
        <v>0.0</v>
      </c>
      <c r="AM58" s="98">
        <v>0.0</v>
      </c>
      <c r="AN58" s="98">
        <v>0.0</v>
      </c>
      <c r="AO58" s="98">
        <v>0.0</v>
      </c>
      <c r="AP58" s="98">
        <v>0.0</v>
      </c>
      <c r="AQ58" s="98" t="s">
        <v>421</v>
      </c>
      <c r="AR58" s="102">
        <v>46232.0</v>
      </c>
      <c r="AS58" s="83">
        <v>1176432.0</v>
      </c>
    </row>
    <row r="59" ht="15.75" customHeight="1">
      <c r="A59" s="111" t="s">
        <v>130</v>
      </c>
      <c r="B59" s="83" t="s">
        <v>417</v>
      </c>
      <c r="C59" s="83" t="s">
        <v>68</v>
      </c>
      <c r="D59" s="112">
        <v>1126808.0</v>
      </c>
      <c r="E59" s="83"/>
      <c r="F59" s="83">
        <v>2.9041333E7</v>
      </c>
      <c r="G59" s="91" t="str">
        <f>IFERROR(__xludf.DUMMYFUNCTION("XLOOKUP(AS59,
IMPORTRANGE(""https://docs.google.com/spreadsheets/d/1YM-djuOLXomrZ9W0B4TyIBsVWnXY4EIOFD9HY-qGfv0/edit?usp=sharing"",""GERAL!BG5:BG""),
IMPORTRANGE(""https://docs.google.com/spreadsheets/d/1YM-djuOLXomrZ9W0B4TyIBsVWnXY4EIOFD9HY-qGfv0/edit?us"&amp;"p=sharing"",""GERAL!G5:G""),
""CÓD. SEC NÃO ENCONTRADO NA PLANILHA DE MATRÍCULA"")"),"CENTRO ESTADUAL DE EDUCAÇÃO PROFISSIONAL EM RECURSOS NATURAIS DO CENTRO BAIANO")</f>
        <v>CENTRO ESTADUAL DE EDUCAÇÃO PROFISSIONAL EM RECURSOS NATURAIS DO CENTRO BAIANO</v>
      </c>
      <c r="H59" s="114" t="s">
        <v>422</v>
      </c>
      <c r="I59" s="91" t="s">
        <v>423</v>
      </c>
      <c r="J59" s="83" t="s">
        <v>149</v>
      </c>
      <c r="K59" s="83" t="s">
        <v>150</v>
      </c>
      <c r="L59" s="83" t="s">
        <v>151</v>
      </c>
      <c r="M59" s="83" t="s">
        <v>230</v>
      </c>
      <c r="N59" s="171" t="s">
        <v>424</v>
      </c>
      <c r="O59" s="98" t="s">
        <v>176</v>
      </c>
      <c r="P59" s="99" t="str">
        <f>IFERROR(__xludf.DUMMYFUNCTION("IFERROR(VLOOKUP(AS59,IMPORTRANGE(""https://docs.google.com/spreadsheets/d/1juPI-Fb8LD0YtltB2mlGEnp_R3UVu1t3wSFPzgCyHXE/edit?gid=0#gid=0"",""GERAL!A2:C""),3,0),""-"")"),"-")</f>
        <v>-</v>
      </c>
      <c r="Q59" s="101" t="s">
        <v>156</v>
      </c>
      <c r="R59" s="98">
        <v>16.0</v>
      </c>
      <c r="S59" s="98">
        <v>0.0</v>
      </c>
      <c r="T59" s="98">
        <v>1.0</v>
      </c>
      <c r="U59" s="98">
        <v>0.0</v>
      </c>
      <c r="V59" s="98">
        <v>1.0</v>
      </c>
      <c r="W59" s="98">
        <v>8.0</v>
      </c>
      <c r="X59" s="98">
        <v>1.0</v>
      </c>
      <c r="Y59" s="98">
        <v>0.0</v>
      </c>
      <c r="Z59" s="98">
        <v>1.0</v>
      </c>
      <c r="AA59" s="98">
        <v>0.0</v>
      </c>
      <c r="AB59" s="98">
        <v>1.0</v>
      </c>
      <c r="AC59" s="98">
        <v>0.0</v>
      </c>
      <c r="AD59" s="98">
        <v>0.0</v>
      </c>
      <c r="AE59" s="98">
        <v>0.0</v>
      </c>
      <c r="AF59" s="98">
        <v>0.0</v>
      </c>
      <c r="AG59" s="98">
        <v>0.0</v>
      </c>
      <c r="AH59" s="98">
        <v>1.0</v>
      </c>
      <c r="AI59" s="98">
        <v>0.0</v>
      </c>
      <c r="AJ59" s="98">
        <v>0.0</v>
      </c>
      <c r="AK59" s="98">
        <v>1.0</v>
      </c>
      <c r="AL59" s="98">
        <v>0.0</v>
      </c>
      <c r="AM59" s="98">
        <v>0.0</v>
      </c>
      <c r="AN59" s="98">
        <v>0.0</v>
      </c>
      <c r="AO59" s="98">
        <v>1.0</v>
      </c>
      <c r="AP59" s="98">
        <v>0.0</v>
      </c>
      <c r="AQ59" s="98" t="s">
        <v>425</v>
      </c>
      <c r="AR59" s="102">
        <v>46232.0</v>
      </c>
      <c r="AS59" s="83">
        <v>1126808.0</v>
      </c>
    </row>
    <row r="60" ht="15.75" customHeight="1">
      <c r="A60" s="111" t="s">
        <v>205</v>
      </c>
      <c r="B60" s="83" t="s">
        <v>426</v>
      </c>
      <c r="C60" s="83" t="s">
        <v>68</v>
      </c>
      <c r="D60" s="112">
        <v>1127502.0</v>
      </c>
      <c r="E60" s="83"/>
      <c r="F60" s="83">
        <v>2.9036143E7</v>
      </c>
      <c r="G60" s="91" t="str">
        <f>IFERROR(__xludf.DUMMYFUNCTION("XLOOKUP(AS60,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DE BARRA")</f>
        <v>COLÉGIO ESTADUAL DE TEMPO INTEGRAL DE BARRA</v>
      </c>
      <c r="H60" s="119" t="s">
        <v>427</v>
      </c>
      <c r="I60" s="91" t="s">
        <v>428</v>
      </c>
      <c r="J60" s="83" t="s">
        <v>149</v>
      </c>
      <c r="K60" s="83" t="s">
        <v>150</v>
      </c>
      <c r="L60" s="83" t="s">
        <v>151</v>
      </c>
      <c r="M60" s="83" t="s">
        <v>230</v>
      </c>
      <c r="N60" s="137" t="s">
        <v>429</v>
      </c>
      <c r="O60" s="98" t="s">
        <v>162</v>
      </c>
      <c r="P60" s="99" t="str">
        <f>IFERROR(__xludf.DUMMYFUNCTION("IFERROR(VLOOKUP(AS60,IMPORTRANGE(""https://docs.google.com/spreadsheets/d/1juPI-Fb8LD0YtltB2mlGEnp_R3UVu1t3wSFPzgCyHXE/edit?gid=0#gid=0"",""GERAL!A2:C""),3,0),""-"")"),"-")</f>
        <v>-</v>
      </c>
      <c r="Q60" s="101" t="s">
        <v>156</v>
      </c>
      <c r="R60" s="98">
        <v>36.0</v>
      </c>
      <c r="S60" s="98">
        <v>1.0</v>
      </c>
      <c r="T60" s="98">
        <v>1.0</v>
      </c>
      <c r="U60" s="98">
        <v>0.0</v>
      </c>
      <c r="V60" s="98">
        <v>1.0</v>
      </c>
      <c r="W60" s="98">
        <v>3.0</v>
      </c>
      <c r="X60" s="98">
        <v>1.0</v>
      </c>
      <c r="Y60" s="98">
        <v>0.0</v>
      </c>
      <c r="Z60" s="98">
        <v>1.0</v>
      </c>
      <c r="AA60" s="98">
        <v>0.0</v>
      </c>
      <c r="AB60" s="98">
        <v>1.0</v>
      </c>
      <c r="AC60" s="98">
        <v>0.0</v>
      </c>
      <c r="AD60" s="98">
        <v>0.0</v>
      </c>
      <c r="AE60" s="98">
        <v>0.0</v>
      </c>
      <c r="AF60" s="98">
        <v>1.0</v>
      </c>
      <c r="AG60" s="98">
        <v>0.0</v>
      </c>
      <c r="AH60" s="98">
        <v>0.0</v>
      </c>
      <c r="AI60" s="98">
        <v>0.0</v>
      </c>
      <c r="AJ60" s="98">
        <v>0.0</v>
      </c>
      <c r="AK60" s="98">
        <v>1.0</v>
      </c>
      <c r="AL60" s="98">
        <v>0.0</v>
      </c>
      <c r="AM60" s="98">
        <v>0.0</v>
      </c>
      <c r="AN60" s="98">
        <v>0.0</v>
      </c>
      <c r="AO60" s="98">
        <v>0.0</v>
      </c>
      <c r="AP60" s="98">
        <v>0.0</v>
      </c>
      <c r="AQ60" s="98" t="s">
        <v>430</v>
      </c>
      <c r="AR60" s="102">
        <v>46216.0</v>
      </c>
      <c r="AS60" s="83">
        <v>1127502.0</v>
      </c>
    </row>
    <row r="61" ht="15.75" customHeight="1">
      <c r="A61" s="111" t="s">
        <v>205</v>
      </c>
      <c r="B61" s="83" t="s">
        <v>426</v>
      </c>
      <c r="C61" s="83" t="s">
        <v>68</v>
      </c>
      <c r="D61" s="112">
        <v>1179431.0</v>
      </c>
      <c r="E61" s="83"/>
      <c r="F61" s="83">
        <v>2.9464374E7</v>
      </c>
      <c r="G61" s="91" t="str">
        <f>IFERROR(__xludf.DUMMYFUNCTION("XLOOKUP(AS61,
IMPORTRANGE(""https://docs.google.com/spreadsheets/d/1YM-djuOLXomrZ9W0B4TyIBsVWnXY4EIOFD9HY-qGfv0/edit?usp=sharing"",""GERAL!BG5:BG""),
IMPORTRANGE(""https://docs.google.com/spreadsheets/d/1YM-djuOLXomrZ9W0B4TyIBsVWnXY4EIOFD9HY-qGfv0/edit?us"&amp;"p=sharing"",""GERAL!G5:G""),
""CÓD. SEC NÃO ENCONTRADO NA PLANILHA DE MATRÍCULA"")"),"CENTRO REG DE ENS MEDIO COM INTERMEDIACAO TEC-CEMIT VELHO CHICO-BARRA")</f>
        <v>CENTRO REG DE ENS MEDIO COM INTERMEDIACAO TEC-CEMIT VELHO CHICO-BARRA</v>
      </c>
      <c r="H61" s="114" t="s">
        <v>431</v>
      </c>
      <c r="I61" s="91" t="s">
        <v>432</v>
      </c>
      <c r="J61" s="172" t="s">
        <v>433</v>
      </c>
      <c r="K61" s="83" t="s">
        <v>150</v>
      </c>
      <c r="L61" s="83" t="s">
        <v>151</v>
      </c>
      <c r="M61" s="83" t="s">
        <v>230</v>
      </c>
      <c r="N61" s="128" t="s">
        <v>171</v>
      </c>
      <c r="O61" s="98" t="s">
        <v>155</v>
      </c>
      <c r="P61" s="99" t="str">
        <f>IFERROR(__xludf.DUMMYFUNCTION("IFERROR(VLOOKUP(AS61,IMPORTRANGE(""https://docs.google.com/spreadsheets/d/1juPI-Fb8LD0YtltB2mlGEnp_R3UVu1t3wSFPzgCyHXE/edit?gid=0#gid=0"",""GERAL!A2:C""),3,0),""-"")"),"-")</f>
        <v>-</v>
      </c>
      <c r="Q61" s="98" t="s">
        <v>171</v>
      </c>
      <c r="R61" s="98" t="s">
        <v>171</v>
      </c>
      <c r="S61" s="98" t="s">
        <v>171</v>
      </c>
      <c r="T61" s="98" t="s">
        <v>171</v>
      </c>
      <c r="U61" s="98" t="s">
        <v>171</v>
      </c>
      <c r="V61" s="98" t="s">
        <v>171</v>
      </c>
      <c r="W61" s="98" t="s">
        <v>171</v>
      </c>
      <c r="X61" s="98" t="s">
        <v>171</v>
      </c>
      <c r="Y61" s="98" t="s">
        <v>171</v>
      </c>
      <c r="Z61" s="98" t="s">
        <v>171</v>
      </c>
      <c r="AA61" s="98" t="s">
        <v>171</v>
      </c>
      <c r="AB61" s="98" t="s">
        <v>171</v>
      </c>
      <c r="AC61" s="98" t="s">
        <v>171</v>
      </c>
      <c r="AD61" s="98" t="s">
        <v>171</v>
      </c>
      <c r="AE61" s="98" t="s">
        <v>171</v>
      </c>
      <c r="AF61" s="98" t="s">
        <v>171</v>
      </c>
      <c r="AG61" s="98" t="s">
        <v>171</v>
      </c>
      <c r="AH61" s="98" t="s">
        <v>171</v>
      </c>
      <c r="AI61" s="98"/>
      <c r="AJ61" s="98" t="s">
        <v>171</v>
      </c>
      <c r="AK61" s="98" t="s">
        <v>171</v>
      </c>
      <c r="AL61" s="98" t="s">
        <v>171</v>
      </c>
      <c r="AM61" s="98" t="s">
        <v>171</v>
      </c>
      <c r="AN61" s="98" t="s">
        <v>171</v>
      </c>
      <c r="AO61" s="98" t="s">
        <v>171</v>
      </c>
      <c r="AP61" s="98" t="s">
        <v>171</v>
      </c>
      <c r="AQ61" s="98" t="s">
        <v>171</v>
      </c>
      <c r="AR61" s="102">
        <v>46216.0</v>
      </c>
      <c r="AS61" s="83">
        <v>1179431.0</v>
      </c>
    </row>
    <row r="62" ht="15.75" customHeight="1">
      <c r="A62" s="111" t="s">
        <v>205</v>
      </c>
      <c r="B62" s="83" t="s">
        <v>426</v>
      </c>
      <c r="C62" s="83" t="s">
        <v>68</v>
      </c>
      <c r="D62" s="112">
        <v>1178324.0</v>
      </c>
      <c r="E62" s="83"/>
      <c r="F62" s="83">
        <v>2.9863724E7</v>
      </c>
      <c r="G62" s="91" t="str">
        <f>IFERROR(__xludf.DUMMYFUNCTION("XLOOKUP(AS62,
IMPORTRANGE(""https://docs.google.com/spreadsheets/d/1YM-djuOLXomrZ9W0B4TyIBsVWnXY4EIOFD9HY-qGfv0/edit?usp=sharing"",""GERAL!BG5:BG""),
IMPORTRANGE(""https://docs.google.com/spreadsheets/d/1YM-djuOLXomrZ9W0B4TyIBsVWnXY4EIOFD9HY-qGfv0/edit?us"&amp;"p=sharing"",""GERAL!G5:G""),
""CÓD. SEC NÃO ENCONTRADO NA PLANILHA DE MATRÍCULA"")"),"CENTRO ESTADUAL DE EDUCACAO PROFISSIONAL AGUAS - TEMPO INTEGRAL")</f>
        <v>CENTRO ESTADUAL DE EDUCACAO PROFISSIONAL AGUAS - TEMPO INTEGRAL</v>
      </c>
      <c r="H62" s="114" t="s">
        <v>434</v>
      </c>
      <c r="I62" s="91" t="s">
        <v>435</v>
      </c>
      <c r="J62" s="83" t="s">
        <v>149</v>
      </c>
      <c r="K62" s="83" t="s">
        <v>150</v>
      </c>
      <c r="L62" s="83" t="s">
        <v>151</v>
      </c>
      <c r="M62" s="83" t="s">
        <v>230</v>
      </c>
      <c r="N62" s="171" t="s">
        <v>436</v>
      </c>
      <c r="O62" s="98" t="s">
        <v>155</v>
      </c>
      <c r="P62" s="99" t="str">
        <f>IFERROR(__xludf.DUMMYFUNCTION("IFERROR(VLOOKUP(AS62,IMPORTRANGE(""https://docs.google.com/spreadsheets/d/1juPI-Fb8LD0YtltB2mlGEnp_R3UVu1t3wSFPzgCyHXE/edit?gid=0#gid=0"",""GERAL!A2:C""),3,0),""-"")"),"-")</f>
        <v>-</v>
      </c>
      <c r="Q62" s="101" t="s">
        <v>156</v>
      </c>
      <c r="R62" s="98">
        <v>11.0</v>
      </c>
      <c r="S62" s="98">
        <v>0.0</v>
      </c>
      <c r="T62" s="98">
        <v>0.0</v>
      </c>
      <c r="U62" s="98">
        <v>0.0</v>
      </c>
      <c r="V62" s="98">
        <v>0.0</v>
      </c>
      <c r="W62" s="98">
        <v>5.0</v>
      </c>
      <c r="X62" s="98">
        <v>0.0</v>
      </c>
      <c r="Y62" s="98">
        <v>0.0</v>
      </c>
      <c r="Z62" s="98">
        <v>0.0</v>
      </c>
      <c r="AA62" s="98">
        <v>1.0</v>
      </c>
      <c r="AB62" s="98">
        <v>0.0</v>
      </c>
      <c r="AC62" s="98">
        <v>0.0</v>
      </c>
      <c r="AD62" s="98">
        <v>0.0</v>
      </c>
      <c r="AE62" s="98">
        <v>0.0</v>
      </c>
      <c r="AF62" s="98">
        <v>1.0</v>
      </c>
      <c r="AG62" s="98">
        <v>0.0</v>
      </c>
      <c r="AH62" s="98">
        <v>0.0</v>
      </c>
      <c r="AI62" s="98">
        <v>0.0</v>
      </c>
      <c r="AJ62" s="98">
        <v>0.0</v>
      </c>
      <c r="AK62" s="98">
        <v>0.0</v>
      </c>
      <c r="AL62" s="98">
        <v>0.0</v>
      </c>
      <c r="AM62" s="98">
        <v>0.0</v>
      </c>
      <c r="AN62" s="98">
        <v>0.0</v>
      </c>
      <c r="AO62" s="98">
        <v>0.0</v>
      </c>
      <c r="AP62" s="98">
        <v>1.0</v>
      </c>
      <c r="AQ62" s="98" t="s">
        <v>437</v>
      </c>
      <c r="AR62" s="102">
        <v>46216.0</v>
      </c>
      <c r="AS62" s="83">
        <v>1178324.0</v>
      </c>
    </row>
    <row r="63" ht="15.75" customHeight="1">
      <c r="A63" s="111" t="s">
        <v>205</v>
      </c>
      <c r="B63" s="83" t="s">
        <v>426</v>
      </c>
      <c r="C63" s="83" t="s">
        <v>164</v>
      </c>
      <c r="D63" s="112">
        <v>1179431.0</v>
      </c>
      <c r="E63" s="83">
        <v>1178812.0</v>
      </c>
      <c r="F63" s="83"/>
      <c r="G63" s="91" t="str">
        <f>IFERROR(__xludf.DUMMYFUNCTION("XLOOKUP(AS63,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CURRALINHO - COMUNIDADE QUILOMBOLA")</f>
        <v>ANEXO - CEMIT - VELHO CHICO-BARRA- CURRALINHO - COMUNIDADE QUILOMBOLA</v>
      </c>
      <c r="H63" s="114" t="s">
        <v>438</v>
      </c>
      <c r="I63" s="91" t="s">
        <v>439</v>
      </c>
      <c r="J63" s="83" t="s">
        <v>149</v>
      </c>
      <c r="K63" s="83" t="s">
        <v>440</v>
      </c>
      <c r="L63" s="83" t="s">
        <v>168</v>
      </c>
      <c r="M63" s="83" t="s">
        <v>169</v>
      </c>
      <c r="N63" s="115" t="s">
        <v>170</v>
      </c>
      <c r="O63" s="98" t="s">
        <v>155</v>
      </c>
      <c r="P63" s="99" t="str">
        <f>IFERROR(__xludf.DUMMYFUNCTION("IFERROR(VLOOKUP(AS63,IMPORTRANGE(""https://docs.google.com/spreadsheets/d/1juPI-Fb8LD0YtltB2mlGEnp_R3UVu1t3wSFPzgCyHXE/edit?gid=0#gid=0"",""GERAL!A2:C""),3,0),""-"")"),"QUILOMBOLAS")</f>
        <v>QUILOMBOLAS</v>
      </c>
      <c r="Q63" s="98" t="s">
        <v>171</v>
      </c>
      <c r="R63" s="98">
        <v>2.0</v>
      </c>
      <c r="S63" s="98" t="s">
        <v>171</v>
      </c>
      <c r="T63" s="98" t="s">
        <v>171</v>
      </c>
      <c r="U63" s="98" t="s">
        <v>171</v>
      </c>
      <c r="V63" s="98" t="s">
        <v>171</v>
      </c>
      <c r="W63" s="98" t="s">
        <v>171</v>
      </c>
      <c r="X63" s="98" t="s">
        <v>171</v>
      </c>
      <c r="Y63" s="98" t="s">
        <v>171</v>
      </c>
      <c r="Z63" s="98" t="s">
        <v>171</v>
      </c>
      <c r="AA63" s="98" t="s">
        <v>171</v>
      </c>
      <c r="AB63" s="98" t="s">
        <v>171</v>
      </c>
      <c r="AC63" s="98" t="s">
        <v>171</v>
      </c>
      <c r="AD63" s="98" t="s">
        <v>171</v>
      </c>
      <c r="AE63" s="98" t="s">
        <v>171</v>
      </c>
      <c r="AF63" s="98" t="s">
        <v>171</v>
      </c>
      <c r="AG63" s="98" t="s">
        <v>171</v>
      </c>
      <c r="AH63" s="98" t="s">
        <v>171</v>
      </c>
      <c r="AI63" s="98" t="s">
        <v>171</v>
      </c>
      <c r="AJ63" s="98" t="s">
        <v>171</v>
      </c>
      <c r="AK63" s="98" t="s">
        <v>171</v>
      </c>
      <c r="AL63" s="98" t="s">
        <v>171</v>
      </c>
      <c r="AM63" s="98" t="s">
        <v>171</v>
      </c>
      <c r="AN63" s="98" t="s">
        <v>171</v>
      </c>
      <c r="AO63" s="98" t="s">
        <v>171</v>
      </c>
      <c r="AP63" s="98" t="s">
        <v>171</v>
      </c>
      <c r="AQ63" s="98" t="s">
        <v>171</v>
      </c>
      <c r="AR63" s="102">
        <v>46216.0</v>
      </c>
      <c r="AS63" s="83">
        <v>1178812.0</v>
      </c>
    </row>
    <row r="64" ht="15.75" customHeight="1">
      <c r="A64" s="111" t="s">
        <v>205</v>
      </c>
      <c r="B64" s="83" t="s">
        <v>426</v>
      </c>
      <c r="C64" s="83" t="s">
        <v>164</v>
      </c>
      <c r="D64" s="112">
        <v>1179431.0</v>
      </c>
      <c r="E64" s="83">
        <v>1178814.0</v>
      </c>
      <c r="F64" s="83"/>
      <c r="G64" s="91" t="str">
        <f>IFERROR(__xludf.DUMMYFUNCTION("XLOOKUP(AS64,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WANDERLEY")</f>
        <v>ANEXO - CEMIT - VELHO CHICO-BARRA - WANDERLEY</v>
      </c>
      <c r="H64" s="114" t="s">
        <v>441</v>
      </c>
      <c r="I64" s="91" t="s">
        <v>442</v>
      </c>
      <c r="J64" s="83" t="s">
        <v>149</v>
      </c>
      <c r="K64" s="83" t="s">
        <v>443</v>
      </c>
      <c r="L64" s="83" t="s">
        <v>168</v>
      </c>
      <c r="M64" s="83" t="s">
        <v>169</v>
      </c>
      <c r="N64" s="115" t="s">
        <v>170</v>
      </c>
      <c r="O64" s="98" t="s">
        <v>155</v>
      </c>
      <c r="P64" s="99" t="str">
        <f>IFERROR(__xludf.DUMMYFUNCTION("IFERROR(VLOOKUP(AS64,IMPORTRANGE(""https://docs.google.com/spreadsheets/d/1juPI-Fb8LD0YtltB2mlGEnp_R3UVu1t3wSFPzgCyHXE/edit?gid=0#gid=0"",""GERAL!A2:C""),3,0),""-"")"),"-")</f>
        <v>-</v>
      </c>
      <c r="Q64" s="98" t="s">
        <v>171</v>
      </c>
      <c r="R64" s="98">
        <v>2.0</v>
      </c>
      <c r="S64" s="98" t="s">
        <v>171</v>
      </c>
      <c r="T64" s="98" t="s">
        <v>171</v>
      </c>
      <c r="U64" s="98" t="s">
        <v>171</v>
      </c>
      <c r="V64" s="98" t="s">
        <v>171</v>
      </c>
      <c r="W64" s="98" t="s">
        <v>171</v>
      </c>
      <c r="X64" s="98" t="s">
        <v>171</v>
      </c>
      <c r="Y64" s="98" t="s">
        <v>171</v>
      </c>
      <c r="Z64" s="98" t="s">
        <v>171</v>
      </c>
      <c r="AA64" s="98" t="s">
        <v>171</v>
      </c>
      <c r="AB64" s="98" t="s">
        <v>171</v>
      </c>
      <c r="AC64" s="98" t="s">
        <v>171</v>
      </c>
      <c r="AD64" s="98" t="s">
        <v>171</v>
      </c>
      <c r="AE64" s="98" t="s">
        <v>171</v>
      </c>
      <c r="AF64" s="98" t="s">
        <v>171</v>
      </c>
      <c r="AG64" s="98" t="s">
        <v>171</v>
      </c>
      <c r="AH64" s="98" t="s">
        <v>171</v>
      </c>
      <c r="AI64" s="98" t="s">
        <v>171</v>
      </c>
      <c r="AJ64" s="98" t="s">
        <v>171</v>
      </c>
      <c r="AK64" s="98" t="s">
        <v>171</v>
      </c>
      <c r="AL64" s="98" t="s">
        <v>171</v>
      </c>
      <c r="AM64" s="98" t="s">
        <v>171</v>
      </c>
      <c r="AN64" s="98" t="s">
        <v>171</v>
      </c>
      <c r="AO64" s="98" t="s">
        <v>171</v>
      </c>
      <c r="AP64" s="98" t="s">
        <v>171</v>
      </c>
      <c r="AQ64" s="98" t="s">
        <v>171</v>
      </c>
      <c r="AR64" s="102">
        <v>46216.0</v>
      </c>
      <c r="AS64" s="83">
        <v>1178814.0</v>
      </c>
    </row>
    <row r="65" ht="15.75" customHeight="1">
      <c r="A65" s="111" t="s">
        <v>205</v>
      </c>
      <c r="B65" s="83" t="s">
        <v>426</v>
      </c>
      <c r="C65" s="83" t="s">
        <v>164</v>
      </c>
      <c r="D65" s="112">
        <v>1179431.0</v>
      </c>
      <c r="E65" s="83">
        <v>1178816.0</v>
      </c>
      <c r="F65" s="83"/>
      <c r="G65" s="91" t="str">
        <f>IFERROR(__xludf.DUMMYFUNCTION("XLOOKUP(AS65,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POVOADO PRIMAVERA")</f>
        <v>ANEXO - CEMIT - VELHO CHICO-BARRA - POVOADO PRIMAVERA</v>
      </c>
      <c r="H65" s="114" t="s">
        <v>444</v>
      </c>
      <c r="I65" s="91" t="s">
        <v>445</v>
      </c>
      <c r="J65" s="83" t="s">
        <v>149</v>
      </c>
      <c r="K65" s="83" t="s">
        <v>252</v>
      </c>
      <c r="L65" s="83" t="s">
        <v>168</v>
      </c>
      <c r="M65" s="83" t="s">
        <v>169</v>
      </c>
      <c r="N65" s="115" t="s">
        <v>170</v>
      </c>
      <c r="O65" s="98" t="s">
        <v>155</v>
      </c>
      <c r="P65" s="99" t="str">
        <f>IFERROR(__xludf.DUMMYFUNCTION("IFERROR(VLOOKUP(AS65,IMPORTRANGE(""https://docs.google.com/spreadsheets/d/1juPI-Fb8LD0YtltB2mlGEnp_R3UVu1t3wSFPzgCyHXE/edit?gid=0#gid=0"",""GERAL!A2:C""),3,0),""-"")"),"-")</f>
        <v>-</v>
      </c>
      <c r="Q65" s="98" t="s">
        <v>171</v>
      </c>
      <c r="R65" s="98">
        <v>2.0</v>
      </c>
      <c r="S65" s="98" t="s">
        <v>171</v>
      </c>
      <c r="T65" s="98" t="s">
        <v>171</v>
      </c>
      <c r="U65" s="98" t="s">
        <v>171</v>
      </c>
      <c r="V65" s="98" t="s">
        <v>171</v>
      </c>
      <c r="W65" s="98" t="s">
        <v>171</v>
      </c>
      <c r="X65" s="98" t="s">
        <v>171</v>
      </c>
      <c r="Y65" s="98" t="s">
        <v>171</v>
      </c>
      <c r="Z65" s="98" t="s">
        <v>171</v>
      </c>
      <c r="AA65" s="98" t="s">
        <v>171</v>
      </c>
      <c r="AB65" s="98" t="s">
        <v>171</v>
      </c>
      <c r="AC65" s="98" t="s">
        <v>171</v>
      </c>
      <c r="AD65" s="98" t="s">
        <v>171</v>
      </c>
      <c r="AE65" s="98" t="s">
        <v>171</v>
      </c>
      <c r="AF65" s="98" t="s">
        <v>171</v>
      </c>
      <c r="AG65" s="98" t="s">
        <v>171</v>
      </c>
      <c r="AH65" s="98" t="s">
        <v>171</v>
      </c>
      <c r="AI65" s="98" t="s">
        <v>171</v>
      </c>
      <c r="AJ65" s="98" t="s">
        <v>171</v>
      </c>
      <c r="AK65" s="98" t="s">
        <v>171</v>
      </c>
      <c r="AL65" s="98" t="s">
        <v>171</v>
      </c>
      <c r="AM65" s="98" t="s">
        <v>171</v>
      </c>
      <c r="AN65" s="98" t="s">
        <v>171</v>
      </c>
      <c r="AO65" s="98" t="s">
        <v>171</v>
      </c>
      <c r="AP65" s="98" t="s">
        <v>171</v>
      </c>
      <c r="AQ65" s="98" t="s">
        <v>171</v>
      </c>
      <c r="AR65" s="102">
        <v>46216.0</v>
      </c>
      <c r="AS65" s="83">
        <v>1178816.0</v>
      </c>
    </row>
    <row r="66" ht="15.75" customHeight="1">
      <c r="A66" s="111" t="s">
        <v>205</v>
      </c>
      <c r="B66" s="83" t="s">
        <v>426</v>
      </c>
      <c r="C66" s="83" t="s">
        <v>164</v>
      </c>
      <c r="D66" s="112">
        <v>1179431.0</v>
      </c>
      <c r="E66" s="83">
        <v>1179212.0</v>
      </c>
      <c r="F66" s="83"/>
      <c r="G66" s="91" t="str">
        <f>IFERROR(__xludf.DUMMYFUNCTION("XLOOKUP(AS66,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POVOADO ITACOATIARA")</f>
        <v>ANEXO - CEMIT - VELHO CHICO-BARRA - POVOADO ITACOATIARA</v>
      </c>
      <c r="H66" s="114" t="s">
        <v>446</v>
      </c>
      <c r="I66" s="91" t="s">
        <v>447</v>
      </c>
      <c r="J66" s="83" t="s">
        <v>149</v>
      </c>
      <c r="K66" s="83" t="s">
        <v>252</v>
      </c>
      <c r="L66" s="83" t="s">
        <v>168</v>
      </c>
      <c r="M66" s="83" t="s">
        <v>169</v>
      </c>
      <c r="N66" s="115" t="s">
        <v>170</v>
      </c>
      <c r="O66" s="98" t="s">
        <v>155</v>
      </c>
      <c r="P66" s="99" t="str">
        <f>IFERROR(__xludf.DUMMYFUNCTION("IFERROR(VLOOKUP(AS66,IMPORTRANGE(""https://docs.google.com/spreadsheets/d/1juPI-Fb8LD0YtltB2mlGEnp_R3UVu1t3wSFPzgCyHXE/edit?gid=0#gid=0"",""GERAL!A2:C""),3,0),""-"")"),"-")</f>
        <v>-</v>
      </c>
      <c r="Q66" s="98" t="s">
        <v>171</v>
      </c>
      <c r="R66" s="98">
        <v>2.0</v>
      </c>
      <c r="S66" s="98" t="s">
        <v>171</v>
      </c>
      <c r="T66" s="98" t="s">
        <v>171</v>
      </c>
      <c r="U66" s="98" t="s">
        <v>171</v>
      </c>
      <c r="V66" s="98" t="s">
        <v>171</v>
      </c>
      <c r="W66" s="98" t="s">
        <v>171</v>
      </c>
      <c r="X66" s="98" t="s">
        <v>171</v>
      </c>
      <c r="Y66" s="98" t="s">
        <v>171</v>
      </c>
      <c r="Z66" s="98" t="s">
        <v>171</v>
      </c>
      <c r="AA66" s="98" t="s">
        <v>171</v>
      </c>
      <c r="AB66" s="98" t="s">
        <v>171</v>
      </c>
      <c r="AC66" s="98" t="s">
        <v>171</v>
      </c>
      <c r="AD66" s="98" t="s">
        <v>171</v>
      </c>
      <c r="AE66" s="98" t="s">
        <v>171</v>
      </c>
      <c r="AF66" s="98" t="s">
        <v>171</v>
      </c>
      <c r="AG66" s="98" t="s">
        <v>171</v>
      </c>
      <c r="AH66" s="98" t="s">
        <v>171</v>
      </c>
      <c r="AI66" s="98" t="s">
        <v>171</v>
      </c>
      <c r="AJ66" s="98" t="s">
        <v>171</v>
      </c>
      <c r="AK66" s="98" t="s">
        <v>171</v>
      </c>
      <c r="AL66" s="98" t="s">
        <v>171</v>
      </c>
      <c r="AM66" s="98" t="s">
        <v>171</v>
      </c>
      <c r="AN66" s="98" t="s">
        <v>171</v>
      </c>
      <c r="AO66" s="98" t="s">
        <v>171</v>
      </c>
      <c r="AP66" s="98" t="s">
        <v>171</v>
      </c>
      <c r="AQ66" s="98" t="s">
        <v>171</v>
      </c>
      <c r="AR66" s="102">
        <v>46216.0</v>
      </c>
      <c r="AS66" s="83">
        <v>1179212.0</v>
      </c>
    </row>
    <row r="67" ht="15.75" customHeight="1">
      <c r="A67" s="111" t="s">
        <v>205</v>
      </c>
      <c r="B67" s="83" t="s">
        <v>426</v>
      </c>
      <c r="C67" s="83" t="s">
        <v>164</v>
      </c>
      <c r="D67" s="112">
        <v>1179431.0</v>
      </c>
      <c r="E67" s="83">
        <v>1178813.0</v>
      </c>
      <c r="F67" s="83"/>
      <c r="G67" s="91" t="str">
        <f>IFERROR(__xludf.DUMMYFUNCTION("XLOOKUP(AS67,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LIMOEIRO")</f>
        <v>ANEXO - CEMIT - VELHO CHICO-BARRA - LIMOEIRO</v>
      </c>
      <c r="H67" s="114" t="s">
        <v>448</v>
      </c>
      <c r="I67" s="91" t="s">
        <v>449</v>
      </c>
      <c r="J67" s="83" t="s">
        <v>149</v>
      </c>
      <c r="K67" s="83" t="s">
        <v>450</v>
      </c>
      <c r="L67" s="83" t="s">
        <v>168</v>
      </c>
      <c r="M67" s="83" t="s">
        <v>169</v>
      </c>
      <c r="N67" s="115" t="s">
        <v>170</v>
      </c>
      <c r="O67" s="98" t="s">
        <v>155</v>
      </c>
      <c r="P67" s="99" t="str">
        <f>IFERROR(__xludf.DUMMYFUNCTION("IFERROR(VLOOKUP(AS67,IMPORTRANGE(""https://docs.google.com/spreadsheets/d/1juPI-Fb8LD0YtltB2mlGEnp_R3UVu1t3wSFPzgCyHXE/edit?gid=0#gid=0"",""GERAL!A2:C""),3,0),""-"")"),"-")</f>
        <v>-</v>
      </c>
      <c r="Q67" s="98" t="s">
        <v>171</v>
      </c>
      <c r="R67" s="98">
        <v>2.0</v>
      </c>
      <c r="S67" s="98" t="s">
        <v>171</v>
      </c>
      <c r="T67" s="98" t="s">
        <v>171</v>
      </c>
      <c r="U67" s="98" t="s">
        <v>171</v>
      </c>
      <c r="V67" s="98" t="s">
        <v>171</v>
      </c>
      <c r="W67" s="98" t="s">
        <v>171</v>
      </c>
      <c r="X67" s="98" t="s">
        <v>171</v>
      </c>
      <c r="Y67" s="98" t="s">
        <v>171</v>
      </c>
      <c r="Z67" s="98" t="s">
        <v>171</v>
      </c>
      <c r="AA67" s="98" t="s">
        <v>171</v>
      </c>
      <c r="AB67" s="98" t="s">
        <v>171</v>
      </c>
      <c r="AC67" s="98" t="s">
        <v>171</v>
      </c>
      <c r="AD67" s="98" t="s">
        <v>171</v>
      </c>
      <c r="AE67" s="98" t="s">
        <v>171</v>
      </c>
      <c r="AF67" s="98" t="s">
        <v>171</v>
      </c>
      <c r="AG67" s="98" t="s">
        <v>171</v>
      </c>
      <c r="AH67" s="98" t="s">
        <v>171</v>
      </c>
      <c r="AI67" s="98" t="s">
        <v>171</v>
      </c>
      <c r="AJ67" s="98" t="s">
        <v>171</v>
      </c>
      <c r="AK67" s="98" t="s">
        <v>171</v>
      </c>
      <c r="AL67" s="98" t="s">
        <v>171</v>
      </c>
      <c r="AM67" s="98" t="s">
        <v>171</v>
      </c>
      <c r="AN67" s="98" t="s">
        <v>171</v>
      </c>
      <c r="AO67" s="98" t="s">
        <v>171</v>
      </c>
      <c r="AP67" s="98" t="s">
        <v>171</v>
      </c>
      <c r="AQ67" s="98" t="s">
        <v>171</v>
      </c>
      <c r="AR67" s="102">
        <v>46216.0</v>
      </c>
      <c r="AS67" s="83">
        <v>1178813.0</v>
      </c>
    </row>
    <row r="68" ht="15.75" customHeight="1">
      <c r="A68" s="111" t="s">
        <v>205</v>
      </c>
      <c r="B68" s="83" t="s">
        <v>426</v>
      </c>
      <c r="C68" s="83" t="s">
        <v>164</v>
      </c>
      <c r="D68" s="112">
        <v>1179431.0</v>
      </c>
      <c r="E68" s="83">
        <v>1178815.0</v>
      </c>
      <c r="F68" s="83"/>
      <c r="G68" s="91" t="str">
        <f>IFERROR(__xludf.DUMMYFUNCTION("XLOOKUP(AS68,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DISTRITO DE IGARITE - COMUNIDADE QUILOMBOLA")</f>
        <v>ANEXO - CEMIT - VELHO CHICO-BARRA - DISTRITO DE IGARITE - COMUNIDADE QUILOMBOLA</v>
      </c>
      <c r="H68" s="114" t="s">
        <v>452</v>
      </c>
      <c r="I68" s="91" t="s">
        <v>453</v>
      </c>
      <c r="J68" s="83" t="s">
        <v>149</v>
      </c>
      <c r="K68" s="83" t="s">
        <v>318</v>
      </c>
      <c r="L68" s="83" t="s">
        <v>151</v>
      </c>
      <c r="M68" s="83" t="s">
        <v>169</v>
      </c>
      <c r="N68" s="115" t="s">
        <v>170</v>
      </c>
      <c r="O68" s="98" t="s">
        <v>155</v>
      </c>
      <c r="P68" s="99" t="str">
        <f>IFERROR(__xludf.DUMMYFUNCTION("IFERROR(VLOOKUP(AS68,IMPORTRANGE(""https://docs.google.com/spreadsheets/d/1juPI-Fb8LD0YtltB2mlGEnp_R3UVu1t3wSFPzgCyHXE/edit?gid=0#gid=0"",""GERAL!A2:C""),3,0),""-"")"),"QUILOMBOLAS")</f>
        <v>QUILOMBOLAS</v>
      </c>
      <c r="Q68" s="98" t="s">
        <v>171</v>
      </c>
      <c r="R68" s="98">
        <v>2.0</v>
      </c>
      <c r="S68" s="98" t="s">
        <v>171</v>
      </c>
      <c r="T68" s="98" t="s">
        <v>171</v>
      </c>
      <c r="U68" s="98" t="s">
        <v>171</v>
      </c>
      <c r="V68" s="98" t="s">
        <v>171</v>
      </c>
      <c r="W68" s="98" t="s">
        <v>171</v>
      </c>
      <c r="X68" s="98" t="s">
        <v>171</v>
      </c>
      <c r="Y68" s="98" t="s">
        <v>171</v>
      </c>
      <c r="Z68" s="98" t="s">
        <v>171</v>
      </c>
      <c r="AA68" s="98" t="s">
        <v>171</v>
      </c>
      <c r="AB68" s="98" t="s">
        <v>171</v>
      </c>
      <c r="AC68" s="98" t="s">
        <v>171</v>
      </c>
      <c r="AD68" s="98" t="s">
        <v>171</v>
      </c>
      <c r="AE68" s="98" t="s">
        <v>171</v>
      </c>
      <c r="AF68" s="98" t="s">
        <v>171</v>
      </c>
      <c r="AG68" s="98" t="s">
        <v>171</v>
      </c>
      <c r="AH68" s="98" t="s">
        <v>171</v>
      </c>
      <c r="AI68" s="98" t="s">
        <v>171</v>
      </c>
      <c r="AJ68" s="98" t="s">
        <v>171</v>
      </c>
      <c r="AK68" s="98" t="s">
        <v>171</v>
      </c>
      <c r="AL68" s="98" t="s">
        <v>171</v>
      </c>
      <c r="AM68" s="98" t="s">
        <v>171</v>
      </c>
      <c r="AN68" s="98" t="s">
        <v>171</v>
      </c>
      <c r="AO68" s="98" t="s">
        <v>171</v>
      </c>
      <c r="AP68" s="98" t="s">
        <v>171</v>
      </c>
      <c r="AQ68" s="98" t="s">
        <v>171</v>
      </c>
      <c r="AR68" s="102">
        <v>46216.0</v>
      </c>
      <c r="AS68" s="83">
        <v>1178815.0</v>
      </c>
    </row>
    <row r="69" ht="15.75" customHeight="1">
      <c r="A69" s="111" t="s">
        <v>205</v>
      </c>
      <c r="B69" s="83" t="s">
        <v>426</v>
      </c>
      <c r="C69" s="83" t="s">
        <v>164</v>
      </c>
      <c r="D69" s="112">
        <v>1179431.0</v>
      </c>
      <c r="E69" s="83">
        <v>1178818.0</v>
      </c>
      <c r="F69" s="83"/>
      <c r="G69" s="91" t="str">
        <f>IFERROR(__xludf.DUMMYFUNCTION("XLOOKUP(AS69,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DISTRITO DE IBIRABA")</f>
        <v>ANEXO - CEMIT - VELHO CHICO-BARRA - DISTRITO DE IBIRABA</v>
      </c>
      <c r="H69" s="114" t="s">
        <v>454</v>
      </c>
      <c r="I69" s="91" t="s">
        <v>455</v>
      </c>
      <c r="J69" s="83" t="s">
        <v>149</v>
      </c>
      <c r="K69" s="83" t="s">
        <v>456</v>
      </c>
      <c r="L69" s="83" t="s">
        <v>168</v>
      </c>
      <c r="M69" s="83" t="s">
        <v>169</v>
      </c>
      <c r="N69" s="115" t="s">
        <v>170</v>
      </c>
      <c r="O69" s="98" t="s">
        <v>155</v>
      </c>
      <c r="P69" s="99" t="str">
        <f>IFERROR(__xludf.DUMMYFUNCTION("IFERROR(VLOOKUP(AS69,IMPORTRANGE(""https://docs.google.com/spreadsheets/d/1juPI-Fb8LD0YtltB2mlGEnp_R3UVu1t3wSFPzgCyHXE/edit?gid=0#gid=0"",""GERAL!A2:C""),3,0),""-"")"),"-")</f>
        <v>-</v>
      </c>
      <c r="Q69" s="98" t="s">
        <v>171</v>
      </c>
      <c r="R69" s="98">
        <v>2.0</v>
      </c>
      <c r="S69" s="98" t="s">
        <v>171</v>
      </c>
      <c r="T69" s="98" t="s">
        <v>171</v>
      </c>
      <c r="U69" s="98" t="s">
        <v>171</v>
      </c>
      <c r="V69" s="98" t="s">
        <v>171</v>
      </c>
      <c r="W69" s="98" t="s">
        <v>171</v>
      </c>
      <c r="X69" s="98" t="s">
        <v>171</v>
      </c>
      <c r="Y69" s="98" t="s">
        <v>171</v>
      </c>
      <c r="Z69" s="98" t="s">
        <v>171</v>
      </c>
      <c r="AA69" s="98" t="s">
        <v>171</v>
      </c>
      <c r="AB69" s="98" t="s">
        <v>171</v>
      </c>
      <c r="AC69" s="98" t="s">
        <v>171</v>
      </c>
      <c r="AD69" s="98" t="s">
        <v>171</v>
      </c>
      <c r="AE69" s="98" t="s">
        <v>171</v>
      </c>
      <c r="AF69" s="98" t="s">
        <v>171</v>
      </c>
      <c r="AG69" s="98" t="s">
        <v>171</v>
      </c>
      <c r="AH69" s="98" t="s">
        <v>171</v>
      </c>
      <c r="AI69" s="98" t="s">
        <v>171</v>
      </c>
      <c r="AJ69" s="98" t="s">
        <v>171</v>
      </c>
      <c r="AK69" s="98" t="s">
        <v>171</v>
      </c>
      <c r="AL69" s="98" t="s">
        <v>171</v>
      </c>
      <c r="AM69" s="98" t="s">
        <v>171</v>
      </c>
      <c r="AN69" s="98" t="s">
        <v>171</v>
      </c>
      <c r="AO69" s="98" t="s">
        <v>171</v>
      </c>
      <c r="AP69" s="98" t="s">
        <v>171</v>
      </c>
      <c r="AQ69" s="98" t="s">
        <v>171</v>
      </c>
      <c r="AR69" s="102">
        <v>46216.0</v>
      </c>
      <c r="AS69" s="83">
        <v>1178818.0</v>
      </c>
    </row>
    <row r="70" ht="15.75" customHeight="1">
      <c r="A70" s="111" t="s">
        <v>205</v>
      </c>
      <c r="B70" s="83" t="s">
        <v>426</v>
      </c>
      <c r="C70" s="83" t="s">
        <v>164</v>
      </c>
      <c r="D70" s="112">
        <v>1179431.0</v>
      </c>
      <c r="E70" s="83">
        <v>1178809.0</v>
      </c>
      <c r="F70" s="83"/>
      <c r="G70" s="91" t="str">
        <f>IFERROR(__xludf.DUMMYFUNCTION("XLOOKUP(AS70,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DISTRITO DE BREJO DO SACO")</f>
        <v>ANEXO - CEMIT - VELHO CHICO-BARRA - DISTRITO DE BREJO DO SACO</v>
      </c>
      <c r="H70" s="114" t="s">
        <v>457</v>
      </c>
      <c r="I70" s="91" t="s">
        <v>458</v>
      </c>
      <c r="J70" s="83" t="s">
        <v>149</v>
      </c>
      <c r="K70" s="83" t="s">
        <v>310</v>
      </c>
      <c r="L70" s="83" t="s">
        <v>151</v>
      </c>
      <c r="M70" s="83" t="s">
        <v>169</v>
      </c>
      <c r="N70" s="115" t="s">
        <v>170</v>
      </c>
      <c r="O70" s="98" t="s">
        <v>155</v>
      </c>
      <c r="P70" s="99" t="str">
        <f>IFERROR(__xludf.DUMMYFUNCTION("IFERROR(VLOOKUP(AS70,IMPORTRANGE(""https://docs.google.com/spreadsheets/d/1juPI-Fb8LD0YtltB2mlGEnp_R3UVu1t3wSFPzgCyHXE/edit?gid=0#gid=0"",""GERAL!A2:C""),3,0),""-"")"),"-")</f>
        <v>-</v>
      </c>
      <c r="Q70" s="98" t="s">
        <v>171</v>
      </c>
      <c r="R70" s="98">
        <v>2.0</v>
      </c>
      <c r="S70" s="98" t="s">
        <v>171</v>
      </c>
      <c r="T70" s="98" t="s">
        <v>171</v>
      </c>
      <c r="U70" s="98" t="s">
        <v>171</v>
      </c>
      <c r="V70" s="98" t="s">
        <v>171</v>
      </c>
      <c r="W70" s="98" t="s">
        <v>171</v>
      </c>
      <c r="X70" s="98" t="s">
        <v>171</v>
      </c>
      <c r="Y70" s="98" t="s">
        <v>171</v>
      </c>
      <c r="Z70" s="98" t="s">
        <v>171</v>
      </c>
      <c r="AA70" s="98" t="s">
        <v>171</v>
      </c>
      <c r="AB70" s="98" t="s">
        <v>171</v>
      </c>
      <c r="AC70" s="98" t="s">
        <v>171</v>
      </c>
      <c r="AD70" s="98" t="s">
        <v>171</v>
      </c>
      <c r="AE70" s="98" t="s">
        <v>171</v>
      </c>
      <c r="AF70" s="98" t="s">
        <v>171</v>
      </c>
      <c r="AG70" s="98" t="s">
        <v>171</v>
      </c>
      <c r="AH70" s="98" t="s">
        <v>171</v>
      </c>
      <c r="AI70" s="98" t="s">
        <v>171</v>
      </c>
      <c r="AJ70" s="98" t="s">
        <v>171</v>
      </c>
      <c r="AK70" s="98" t="s">
        <v>171</v>
      </c>
      <c r="AL70" s="98" t="s">
        <v>171</v>
      </c>
      <c r="AM70" s="98" t="s">
        <v>171</v>
      </c>
      <c r="AN70" s="98" t="s">
        <v>171</v>
      </c>
      <c r="AO70" s="98" t="s">
        <v>171</v>
      </c>
      <c r="AP70" s="98" t="s">
        <v>171</v>
      </c>
      <c r="AQ70" s="98" t="s">
        <v>171</v>
      </c>
      <c r="AR70" s="102">
        <v>46216.0</v>
      </c>
      <c r="AS70" s="83">
        <v>1178809.0</v>
      </c>
    </row>
    <row r="71" ht="15.75" customHeight="1">
      <c r="A71" s="111" t="s">
        <v>205</v>
      </c>
      <c r="B71" s="83" t="s">
        <v>426</v>
      </c>
      <c r="C71" s="83" t="s">
        <v>164</v>
      </c>
      <c r="D71" s="112">
        <v>1179431.0</v>
      </c>
      <c r="E71" s="83">
        <v>1178817.0</v>
      </c>
      <c r="F71" s="83"/>
      <c r="G71" s="91" t="str">
        <f>IFERROR(__xludf.DUMMYFUNCTION("XLOOKUP(AS71,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DISTRITO DE BAIXAO DE ARCANJO")</f>
        <v>ANEXO - CEMIT - VELHO CHICO-BARRA - DISTRITO DE BAIXAO DE ARCANJO</v>
      </c>
      <c r="H71" s="114" t="s">
        <v>459</v>
      </c>
      <c r="I71" s="91" t="s">
        <v>460</v>
      </c>
      <c r="J71" s="83" t="s">
        <v>149</v>
      </c>
      <c r="K71" s="83" t="s">
        <v>461</v>
      </c>
      <c r="L71" s="83" t="s">
        <v>168</v>
      </c>
      <c r="M71" s="83" t="s">
        <v>169</v>
      </c>
      <c r="N71" s="115" t="s">
        <v>170</v>
      </c>
      <c r="O71" s="98" t="s">
        <v>155</v>
      </c>
      <c r="P71" s="99" t="str">
        <f>IFERROR(__xludf.DUMMYFUNCTION("IFERROR(VLOOKUP(AS71,IMPORTRANGE(""https://docs.google.com/spreadsheets/d/1juPI-Fb8LD0YtltB2mlGEnp_R3UVu1t3wSFPzgCyHXE/edit?gid=0#gid=0"",""GERAL!A2:C""),3,0),""-"")"),"-")</f>
        <v>-</v>
      </c>
      <c r="Q71" s="98" t="s">
        <v>171</v>
      </c>
      <c r="R71" s="98">
        <v>2.0</v>
      </c>
      <c r="S71" s="98" t="s">
        <v>171</v>
      </c>
      <c r="T71" s="98" t="s">
        <v>171</v>
      </c>
      <c r="U71" s="98" t="s">
        <v>171</v>
      </c>
      <c r="V71" s="98" t="s">
        <v>171</v>
      </c>
      <c r="W71" s="98" t="s">
        <v>171</v>
      </c>
      <c r="X71" s="98" t="s">
        <v>171</v>
      </c>
      <c r="Y71" s="98" t="s">
        <v>171</v>
      </c>
      <c r="Z71" s="98" t="s">
        <v>171</v>
      </c>
      <c r="AA71" s="98" t="s">
        <v>171</v>
      </c>
      <c r="AB71" s="98" t="s">
        <v>171</v>
      </c>
      <c r="AC71" s="98" t="s">
        <v>171</v>
      </c>
      <c r="AD71" s="98" t="s">
        <v>171</v>
      </c>
      <c r="AE71" s="98" t="s">
        <v>171</v>
      </c>
      <c r="AF71" s="98" t="s">
        <v>171</v>
      </c>
      <c r="AG71" s="98" t="s">
        <v>171</v>
      </c>
      <c r="AH71" s="98" t="s">
        <v>171</v>
      </c>
      <c r="AI71" s="98" t="s">
        <v>171</v>
      </c>
      <c r="AJ71" s="98" t="s">
        <v>171</v>
      </c>
      <c r="AK71" s="98" t="s">
        <v>171</v>
      </c>
      <c r="AL71" s="98" t="s">
        <v>171</v>
      </c>
      <c r="AM71" s="98" t="s">
        <v>171</v>
      </c>
      <c r="AN71" s="98" t="s">
        <v>171</v>
      </c>
      <c r="AO71" s="98" t="s">
        <v>171</v>
      </c>
      <c r="AP71" s="98" t="s">
        <v>171</v>
      </c>
      <c r="AQ71" s="98" t="s">
        <v>171</v>
      </c>
      <c r="AR71" s="102">
        <v>46216.0</v>
      </c>
      <c r="AS71" s="83">
        <v>1178817.0</v>
      </c>
    </row>
    <row r="72" ht="15.75" customHeight="1">
      <c r="A72" s="111" t="s">
        <v>205</v>
      </c>
      <c r="B72" s="83" t="s">
        <v>426</v>
      </c>
      <c r="C72" s="83" t="s">
        <v>164</v>
      </c>
      <c r="D72" s="112">
        <v>1179431.0</v>
      </c>
      <c r="E72" s="83">
        <v>1178811.0</v>
      </c>
      <c r="F72" s="83"/>
      <c r="G72" s="91" t="str">
        <f>IFERROR(__xludf.DUMMYFUNCTION("XLOOKUP(AS72,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BREJO DO SÃO GONCALO")</f>
        <v>ANEXO - CEMIT - VELHO CHICO-BARRA - BREJO DO SÃO GONCALO</v>
      </c>
      <c r="H72" s="114" t="s">
        <v>462</v>
      </c>
      <c r="I72" s="91" t="s">
        <v>463</v>
      </c>
      <c r="J72" s="83" t="s">
        <v>149</v>
      </c>
      <c r="K72" s="83" t="s">
        <v>464</v>
      </c>
      <c r="L72" s="83" t="s">
        <v>168</v>
      </c>
      <c r="M72" s="83" t="s">
        <v>169</v>
      </c>
      <c r="N72" s="115" t="s">
        <v>170</v>
      </c>
      <c r="O72" s="98" t="s">
        <v>155</v>
      </c>
      <c r="P72" s="99" t="str">
        <f>IFERROR(__xludf.DUMMYFUNCTION("IFERROR(VLOOKUP(AS72,IMPORTRANGE(""https://docs.google.com/spreadsheets/d/1juPI-Fb8LD0YtltB2mlGEnp_R3UVu1t3wSFPzgCyHXE/edit?gid=0#gid=0"",""GERAL!A2:C""),3,0),""-"")"),"-")</f>
        <v>-</v>
      </c>
      <c r="Q72" s="98" t="s">
        <v>171</v>
      </c>
      <c r="R72" s="98">
        <v>1.0</v>
      </c>
      <c r="S72" s="98" t="s">
        <v>171</v>
      </c>
      <c r="T72" s="98" t="s">
        <v>171</v>
      </c>
      <c r="U72" s="98" t="s">
        <v>171</v>
      </c>
      <c r="V72" s="98" t="s">
        <v>171</v>
      </c>
      <c r="W72" s="98" t="s">
        <v>171</v>
      </c>
      <c r="X72" s="98" t="s">
        <v>171</v>
      </c>
      <c r="Y72" s="98" t="s">
        <v>171</v>
      </c>
      <c r="Z72" s="98" t="s">
        <v>171</v>
      </c>
      <c r="AA72" s="98" t="s">
        <v>171</v>
      </c>
      <c r="AB72" s="98" t="s">
        <v>171</v>
      </c>
      <c r="AC72" s="98" t="s">
        <v>171</v>
      </c>
      <c r="AD72" s="98" t="s">
        <v>171</v>
      </c>
      <c r="AE72" s="98" t="s">
        <v>171</v>
      </c>
      <c r="AF72" s="98" t="s">
        <v>171</v>
      </c>
      <c r="AG72" s="98" t="s">
        <v>171</v>
      </c>
      <c r="AH72" s="98" t="s">
        <v>171</v>
      </c>
      <c r="AI72" s="98" t="s">
        <v>171</v>
      </c>
      <c r="AJ72" s="98" t="s">
        <v>171</v>
      </c>
      <c r="AK72" s="98" t="s">
        <v>171</v>
      </c>
      <c r="AL72" s="98" t="s">
        <v>171</v>
      </c>
      <c r="AM72" s="98" t="s">
        <v>171</v>
      </c>
      <c r="AN72" s="98" t="s">
        <v>171</v>
      </c>
      <c r="AO72" s="98" t="s">
        <v>171</v>
      </c>
      <c r="AP72" s="98" t="s">
        <v>171</v>
      </c>
      <c r="AQ72" s="98" t="s">
        <v>171</v>
      </c>
      <c r="AR72" s="102">
        <v>46216.0</v>
      </c>
      <c r="AS72" s="83">
        <v>1178811.0</v>
      </c>
    </row>
    <row r="73" ht="15.75" customHeight="1">
      <c r="A73" s="111" t="s">
        <v>205</v>
      </c>
      <c r="B73" s="83" t="s">
        <v>426</v>
      </c>
      <c r="C73" s="83" t="s">
        <v>164</v>
      </c>
      <c r="D73" s="112">
        <v>1179431.0</v>
      </c>
      <c r="E73" s="83">
        <v>1178810.0</v>
      </c>
      <c r="F73" s="83"/>
      <c r="G73" s="91" t="str">
        <f>IFERROR(__xludf.DUMMYFUNCTION("XLOOKUP(AS73,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CHICO-BARRA - BAIXÃO DE APARECIDA")</f>
        <v>ANEXO - CEMIT - VELHO CHICO-BARRA - BAIXÃO DE APARECIDA</v>
      </c>
      <c r="H73" s="114" t="s">
        <v>465</v>
      </c>
      <c r="I73" s="91" t="s">
        <v>466</v>
      </c>
      <c r="J73" s="83" t="s">
        <v>149</v>
      </c>
      <c r="K73" s="83" t="s">
        <v>467</v>
      </c>
      <c r="L73" s="83" t="s">
        <v>168</v>
      </c>
      <c r="M73" s="83" t="s">
        <v>169</v>
      </c>
      <c r="N73" s="115" t="s">
        <v>170</v>
      </c>
      <c r="O73" s="98" t="s">
        <v>155</v>
      </c>
      <c r="P73" s="99" t="str">
        <f>IFERROR(__xludf.DUMMYFUNCTION("IFERROR(VLOOKUP(AS73,IMPORTRANGE(""https://docs.google.com/spreadsheets/d/1juPI-Fb8LD0YtltB2mlGEnp_R3UVu1t3wSFPzgCyHXE/edit?gid=0#gid=0"",""GERAL!A2:C""),3,0),""-"")"),"-")</f>
        <v>-</v>
      </c>
      <c r="Q73" s="98" t="s">
        <v>171</v>
      </c>
      <c r="R73" s="98">
        <v>2.0</v>
      </c>
      <c r="S73" s="98" t="s">
        <v>171</v>
      </c>
      <c r="T73" s="98" t="s">
        <v>171</v>
      </c>
      <c r="U73" s="98" t="s">
        <v>171</v>
      </c>
      <c r="V73" s="98" t="s">
        <v>171</v>
      </c>
      <c r="W73" s="98" t="s">
        <v>171</v>
      </c>
      <c r="X73" s="98" t="s">
        <v>171</v>
      </c>
      <c r="Y73" s="98" t="s">
        <v>171</v>
      </c>
      <c r="Z73" s="98" t="s">
        <v>171</v>
      </c>
      <c r="AA73" s="98" t="s">
        <v>171</v>
      </c>
      <c r="AB73" s="98" t="s">
        <v>171</v>
      </c>
      <c r="AC73" s="98" t="s">
        <v>171</v>
      </c>
      <c r="AD73" s="98" t="s">
        <v>171</v>
      </c>
      <c r="AE73" s="98" t="s">
        <v>171</v>
      </c>
      <c r="AF73" s="98" t="s">
        <v>171</v>
      </c>
      <c r="AG73" s="98" t="s">
        <v>171</v>
      </c>
      <c r="AH73" s="98" t="s">
        <v>171</v>
      </c>
      <c r="AI73" s="98" t="s">
        <v>171</v>
      </c>
      <c r="AJ73" s="98" t="s">
        <v>171</v>
      </c>
      <c r="AK73" s="98" t="s">
        <v>171</v>
      </c>
      <c r="AL73" s="98" t="s">
        <v>171</v>
      </c>
      <c r="AM73" s="98" t="s">
        <v>171</v>
      </c>
      <c r="AN73" s="98" t="s">
        <v>171</v>
      </c>
      <c r="AO73" s="98" t="s">
        <v>171</v>
      </c>
      <c r="AP73" s="98" t="s">
        <v>171</v>
      </c>
      <c r="AQ73" s="98" t="s">
        <v>171</v>
      </c>
      <c r="AR73" s="102">
        <v>46216.0</v>
      </c>
      <c r="AS73" s="83">
        <v>1178810.0</v>
      </c>
    </row>
    <row r="74" ht="15.75" customHeight="1">
      <c r="A74" s="111" t="s">
        <v>205</v>
      </c>
      <c r="B74" s="83" t="s">
        <v>426</v>
      </c>
      <c r="C74" s="83" t="s">
        <v>164</v>
      </c>
      <c r="D74" s="112">
        <v>1179431.0</v>
      </c>
      <c r="E74" s="83">
        <v>1179451.0</v>
      </c>
      <c r="F74" s="83"/>
      <c r="G74" s="91" t="str">
        <f>IFERROR(__xludf.DUMMYFUNCTION("XLOOKUP(AS74,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 BARRA - FAZENDA SACO")</f>
        <v>ANEXO - CEMIT - VELHO CHICO BARRA - FAZENDA SACO</v>
      </c>
      <c r="H74" s="114" t="s">
        <v>468</v>
      </c>
      <c r="I74" s="91" t="s">
        <v>469</v>
      </c>
      <c r="J74" s="83" t="s">
        <v>470</v>
      </c>
      <c r="K74" s="83" t="s">
        <v>471</v>
      </c>
      <c r="L74" s="83" t="s">
        <v>168</v>
      </c>
      <c r="M74" s="83" t="s">
        <v>169</v>
      </c>
      <c r="N74" s="115" t="s">
        <v>170</v>
      </c>
      <c r="O74" s="98" t="s">
        <v>155</v>
      </c>
      <c r="P74" s="99" t="str">
        <f>IFERROR(__xludf.DUMMYFUNCTION("IFERROR(VLOOKUP(AS74,IMPORTRANGE(""https://docs.google.com/spreadsheets/d/1juPI-Fb8LD0YtltB2mlGEnp_R3UVu1t3wSFPzgCyHXE/edit?gid=0#gid=0"",""GERAL!A2:C""),3,0),""-"")"),"-")</f>
        <v>-</v>
      </c>
      <c r="Q74" s="98" t="s">
        <v>171</v>
      </c>
      <c r="R74" s="98">
        <v>2.0</v>
      </c>
      <c r="S74" s="98" t="s">
        <v>171</v>
      </c>
      <c r="T74" s="98" t="s">
        <v>171</v>
      </c>
      <c r="U74" s="98" t="s">
        <v>171</v>
      </c>
      <c r="V74" s="98" t="s">
        <v>171</v>
      </c>
      <c r="W74" s="98" t="s">
        <v>171</v>
      </c>
      <c r="X74" s="98" t="s">
        <v>171</v>
      </c>
      <c r="Y74" s="98" t="s">
        <v>171</v>
      </c>
      <c r="Z74" s="98" t="s">
        <v>171</v>
      </c>
      <c r="AA74" s="98" t="s">
        <v>171</v>
      </c>
      <c r="AB74" s="98" t="s">
        <v>171</v>
      </c>
      <c r="AC74" s="98" t="s">
        <v>171</v>
      </c>
      <c r="AD74" s="98" t="s">
        <v>171</v>
      </c>
      <c r="AE74" s="98" t="s">
        <v>171</v>
      </c>
      <c r="AF74" s="98" t="s">
        <v>171</v>
      </c>
      <c r="AG74" s="98" t="s">
        <v>171</v>
      </c>
      <c r="AH74" s="98" t="s">
        <v>171</v>
      </c>
      <c r="AI74" s="98" t="s">
        <v>171</v>
      </c>
      <c r="AJ74" s="98" t="s">
        <v>171</v>
      </c>
      <c r="AK74" s="98" t="s">
        <v>171</v>
      </c>
      <c r="AL74" s="98" t="s">
        <v>171</v>
      </c>
      <c r="AM74" s="98" t="s">
        <v>171</v>
      </c>
      <c r="AN74" s="98" t="s">
        <v>171</v>
      </c>
      <c r="AO74" s="98" t="s">
        <v>171</v>
      </c>
      <c r="AP74" s="98" t="s">
        <v>171</v>
      </c>
      <c r="AQ74" s="98" t="s">
        <v>171</v>
      </c>
      <c r="AR74" s="102">
        <v>46216.0</v>
      </c>
      <c r="AS74" s="83">
        <v>1179451.0</v>
      </c>
    </row>
    <row r="75" ht="15.75" customHeight="1">
      <c r="A75" s="111" t="s">
        <v>205</v>
      </c>
      <c r="B75" s="83" t="s">
        <v>472</v>
      </c>
      <c r="C75" s="83" t="s">
        <v>68</v>
      </c>
      <c r="D75" s="112">
        <v>1176437.0</v>
      </c>
      <c r="E75" s="83"/>
      <c r="F75" s="83">
        <v>2.9385334E7</v>
      </c>
      <c r="G75" s="91" t="str">
        <f>IFERROR(__xludf.DUMMYFUNCTION("XLOOKUP(AS75,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SÃO VICENTE DE PAULO - TEMPO INTEGRAL")</f>
        <v>COLÉGIO ESTADUAL SÃO VICENTE DE PAULO - TEMPO INTEGRAL</v>
      </c>
      <c r="H75" s="114" t="s">
        <v>473</v>
      </c>
      <c r="I75" s="91" t="s">
        <v>474</v>
      </c>
      <c r="J75" s="146" t="s">
        <v>475</v>
      </c>
      <c r="K75" s="83" t="s">
        <v>150</v>
      </c>
      <c r="L75" s="83" t="s">
        <v>151</v>
      </c>
      <c r="M75" s="83" t="s">
        <v>230</v>
      </c>
      <c r="N75" s="171" t="s">
        <v>476</v>
      </c>
      <c r="O75" s="98" t="s">
        <v>155</v>
      </c>
      <c r="P75" s="99" t="str">
        <f>IFERROR(__xludf.DUMMYFUNCTION("IFERROR(VLOOKUP(AS75,IMPORTRANGE(""https://docs.google.com/spreadsheets/d/1juPI-Fb8LD0YtltB2mlGEnp_R3UVu1t3wSFPzgCyHXE/edit?gid=0#gid=0"",""GERAL!A2:C""),3,0),""-"")"),"-")</f>
        <v>-</v>
      </c>
      <c r="Q75" s="101" t="s">
        <v>156</v>
      </c>
      <c r="R75" s="98">
        <v>18.0</v>
      </c>
      <c r="S75" s="98">
        <v>0.0</v>
      </c>
      <c r="T75" s="98">
        <v>1.0</v>
      </c>
      <c r="U75" s="98">
        <v>1.0</v>
      </c>
      <c r="V75" s="98">
        <v>0.0</v>
      </c>
      <c r="W75" s="98">
        <v>2.0</v>
      </c>
      <c r="X75" s="98">
        <v>1.0</v>
      </c>
      <c r="Y75" s="98">
        <v>0.0</v>
      </c>
      <c r="Z75" s="98">
        <v>0.0</v>
      </c>
      <c r="AA75" s="98">
        <v>1.0</v>
      </c>
      <c r="AB75" s="98">
        <v>0.0</v>
      </c>
      <c r="AC75" s="98">
        <v>1.0</v>
      </c>
      <c r="AD75" s="98">
        <v>0.0</v>
      </c>
      <c r="AE75" s="98">
        <v>0.0</v>
      </c>
      <c r="AF75" s="98">
        <v>1.0</v>
      </c>
      <c r="AG75" s="98">
        <v>0.0</v>
      </c>
      <c r="AH75" s="98">
        <v>0.0</v>
      </c>
      <c r="AI75" s="98">
        <v>0.0</v>
      </c>
      <c r="AJ75" s="98">
        <v>0.0</v>
      </c>
      <c r="AK75" s="98">
        <v>0.0</v>
      </c>
      <c r="AL75" s="98">
        <v>0.0</v>
      </c>
      <c r="AM75" s="98">
        <v>0.0</v>
      </c>
      <c r="AN75" s="98">
        <v>0.0</v>
      </c>
      <c r="AO75" s="98">
        <v>0.0</v>
      </c>
      <c r="AP75" s="98">
        <v>0.0</v>
      </c>
      <c r="AQ75" s="98" t="s">
        <v>478</v>
      </c>
      <c r="AR75" s="102">
        <v>46237.0</v>
      </c>
      <c r="AS75" s="83">
        <v>1176437.0</v>
      </c>
    </row>
    <row r="76" ht="15.75" customHeight="1">
      <c r="A76" s="111" t="s">
        <v>205</v>
      </c>
      <c r="B76" s="83" t="s">
        <v>472</v>
      </c>
      <c r="C76" s="83" t="s">
        <v>68</v>
      </c>
      <c r="D76" s="112">
        <v>1131720.0</v>
      </c>
      <c r="E76" s="83"/>
      <c r="F76" s="83">
        <v>2.9043085E7</v>
      </c>
      <c r="G76" s="91" t="str">
        <f>IFERROR(__xludf.DUMMYFUNCTION("XLOOKUP(AS76,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MONSENHOR TURIBIO VILANOVA - TEMPO INTEGRAL")</f>
        <v>COLÉGIO ESTADUAL MONSENHOR TURIBIO VILANOVA - TEMPO INTEGRAL</v>
      </c>
      <c r="H76" s="114" t="s">
        <v>479</v>
      </c>
      <c r="I76" s="91" t="s">
        <v>480</v>
      </c>
      <c r="J76" s="83" t="s">
        <v>149</v>
      </c>
      <c r="K76" s="83" t="s">
        <v>150</v>
      </c>
      <c r="L76" s="83" t="s">
        <v>151</v>
      </c>
      <c r="M76" s="83" t="s">
        <v>230</v>
      </c>
      <c r="N76" s="137" t="s">
        <v>481</v>
      </c>
      <c r="O76" s="98" t="s">
        <v>284</v>
      </c>
      <c r="P76" s="99" t="str">
        <f>IFERROR(__xludf.DUMMYFUNCTION("IFERROR(VLOOKUP(AS76,IMPORTRANGE(""https://docs.google.com/spreadsheets/d/1juPI-Fb8LD0YtltB2mlGEnp_R3UVu1t3wSFPzgCyHXE/edit?gid=0#gid=0"",""GERAL!A2:C""),3,0),""-"")"),"-")</f>
        <v>-</v>
      </c>
      <c r="Q76" s="101" t="s">
        <v>156</v>
      </c>
      <c r="R76" s="98">
        <v>39.0</v>
      </c>
      <c r="S76" s="98">
        <v>0.0</v>
      </c>
      <c r="T76" s="98">
        <v>0.0</v>
      </c>
      <c r="U76" s="98">
        <v>0.0</v>
      </c>
      <c r="V76" s="98">
        <v>1.0</v>
      </c>
      <c r="W76" s="98">
        <v>1.0</v>
      </c>
      <c r="X76" s="98">
        <v>0.0</v>
      </c>
      <c r="Y76" s="98">
        <v>0.0</v>
      </c>
      <c r="Z76" s="98">
        <v>1.0</v>
      </c>
      <c r="AA76" s="98">
        <v>0.0</v>
      </c>
      <c r="AB76" s="98">
        <v>1.0</v>
      </c>
      <c r="AC76" s="98">
        <v>0.0</v>
      </c>
      <c r="AD76" s="98">
        <v>0.0</v>
      </c>
      <c r="AE76" s="98">
        <v>0.0</v>
      </c>
      <c r="AF76" s="98">
        <v>1.0</v>
      </c>
      <c r="AG76" s="98">
        <v>0.0</v>
      </c>
      <c r="AH76" s="98">
        <v>0.0</v>
      </c>
      <c r="AI76" s="98">
        <v>0.0</v>
      </c>
      <c r="AJ76" s="98">
        <v>0.0</v>
      </c>
      <c r="AK76" s="98">
        <v>1.0</v>
      </c>
      <c r="AL76" s="98">
        <v>0.0</v>
      </c>
      <c r="AM76" s="98">
        <v>0.0</v>
      </c>
      <c r="AN76" s="98">
        <v>0.0</v>
      </c>
      <c r="AO76" s="98">
        <v>1.0</v>
      </c>
      <c r="AP76" s="98">
        <v>5.0</v>
      </c>
      <c r="AQ76" s="98" t="s">
        <v>482</v>
      </c>
      <c r="AR76" s="102">
        <v>46237.0</v>
      </c>
      <c r="AS76" s="83">
        <v>1131720.0</v>
      </c>
    </row>
    <row r="77" ht="15.75" customHeight="1">
      <c r="A77" s="111" t="s">
        <v>205</v>
      </c>
      <c r="B77" s="83" t="s">
        <v>472</v>
      </c>
      <c r="C77" s="83" t="s">
        <v>68</v>
      </c>
      <c r="D77" s="112">
        <v>1179668.0</v>
      </c>
      <c r="E77" s="83"/>
      <c r="F77" s="83">
        <v>2.9474892E7</v>
      </c>
      <c r="G77" s="91" t="str">
        <f>IFERROR(__xludf.DUMMYFUNCTION("XLOOKUP(AS77,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EVERTON OLIVEIRA DE SANTANA - DISTRITO FAVELANDIA")</f>
        <v>COLÉGIO ESTADUAL EVERTON OLIVEIRA DE SANTANA - DISTRITO FAVELANDIA</v>
      </c>
      <c r="H77" s="114" t="s">
        <v>483</v>
      </c>
      <c r="I77" s="91" t="s">
        <v>484</v>
      </c>
      <c r="J77" s="83" t="s">
        <v>149</v>
      </c>
      <c r="K77" s="83" t="s">
        <v>485</v>
      </c>
      <c r="L77" s="83" t="s">
        <v>168</v>
      </c>
      <c r="M77" s="83" t="s">
        <v>169</v>
      </c>
      <c r="N77" s="98" t="s">
        <v>486</v>
      </c>
      <c r="O77" s="98" t="s">
        <v>162</v>
      </c>
      <c r="P77" s="99" t="str">
        <f>IFERROR(__xludf.DUMMYFUNCTION("IFERROR(VLOOKUP(AS77,IMPORTRANGE(""https://docs.google.com/spreadsheets/d/1juPI-Fb8LD0YtltB2mlGEnp_R3UVu1t3wSFPzgCyHXE/edit?gid=0#gid=0"",""GERAL!A2:C""),3,0),""-"")"),"-")</f>
        <v>-</v>
      </c>
      <c r="Q77" s="101" t="s">
        <v>156</v>
      </c>
      <c r="R77" s="98">
        <v>5.0</v>
      </c>
      <c r="S77" s="98">
        <v>0.0</v>
      </c>
      <c r="T77" s="98">
        <v>0.0</v>
      </c>
      <c r="U77" s="98">
        <v>0.0</v>
      </c>
      <c r="V77" s="98">
        <v>0.0</v>
      </c>
      <c r="W77" s="98">
        <v>0.0</v>
      </c>
      <c r="X77" s="98">
        <v>0.0</v>
      </c>
      <c r="Y77" s="98">
        <v>0.0</v>
      </c>
      <c r="Z77" s="98">
        <v>0.0</v>
      </c>
      <c r="AA77" s="98">
        <v>0.0</v>
      </c>
      <c r="AB77" s="98">
        <v>0.0</v>
      </c>
      <c r="AC77" s="98">
        <v>0.0</v>
      </c>
      <c r="AD77" s="98">
        <v>0.0</v>
      </c>
      <c r="AE77" s="98">
        <v>0.0</v>
      </c>
      <c r="AF77" s="98">
        <v>0.0</v>
      </c>
      <c r="AG77" s="98">
        <v>1.0</v>
      </c>
      <c r="AH77" s="98">
        <v>0.0</v>
      </c>
      <c r="AI77" s="98">
        <v>0.0</v>
      </c>
      <c r="AJ77" s="98">
        <v>0.0</v>
      </c>
      <c r="AK77" s="98">
        <v>0.0</v>
      </c>
      <c r="AL77" s="98">
        <v>0.0</v>
      </c>
      <c r="AM77" s="98">
        <v>0.0</v>
      </c>
      <c r="AN77" s="98">
        <v>0.0</v>
      </c>
      <c r="AO77" s="98">
        <v>0.0</v>
      </c>
      <c r="AP77" s="98">
        <v>2.0</v>
      </c>
      <c r="AQ77" s="98" t="s">
        <v>488</v>
      </c>
      <c r="AR77" s="102">
        <v>46237.0</v>
      </c>
      <c r="AS77" s="83">
        <v>1179668.0</v>
      </c>
    </row>
    <row r="78" ht="15.75" customHeight="1">
      <c r="A78" s="111" t="s">
        <v>205</v>
      </c>
      <c r="B78" s="83" t="s">
        <v>472</v>
      </c>
      <c r="C78" s="83" t="s">
        <v>68</v>
      </c>
      <c r="D78" s="112">
        <v>1178018.0</v>
      </c>
      <c r="E78" s="83"/>
      <c r="F78" s="83">
        <v>2.942794E7</v>
      </c>
      <c r="G78" s="91" t="str">
        <f>IFERROR(__xludf.DUMMYFUNCTION("XLOOKUP(AS78,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PROJETO FORMOSO")</f>
        <v>COLÉGIO ESTADUAL DO CAMPO PROJETO FORMOSO</v>
      </c>
      <c r="H78" s="114" t="s">
        <v>489</v>
      </c>
      <c r="I78" s="108" t="s">
        <v>490</v>
      </c>
      <c r="J78" s="172" t="s">
        <v>491</v>
      </c>
      <c r="K78" s="83" t="s">
        <v>464</v>
      </c>
      <c r="L78" s="83" t="s">
        <v>492</v>
      </c>
      <c r="M78" s="83" t="s">
        <v>169</v>
      </c>
      <c r="N78" s="137" t="s">
        <v>493</v>
      </c>
      <c r="O78" s="98" t="s">
        <v>155</v>
      </c>
      <c r="P78" s="99" t="str">
        <f>IFERROR(__xludf.DUMMYFUNCTION("IFERROR(VLOOKUP(AS78,IMPORTRANGE(""https://docs.google.com/spreadsheets/d/1juPI-Fb8LD0YtltB2mlGEnp_R3UVu1t3wSFPzgCyHXE/edit?gid=0#gid=0"",""GERAL!A2:C""),3,0),""-"")"),"CAMPO")</f>
        <v>CAMPO</v>
      </c>
      <c r="Q78" s="101" t="s">
        <v>156</v>
      </c>
      <c r="R78" s="98">
        <v>4.0</v>
      </c>
      <c r="S78" s="98">
        <v>0.0</v>
      </c>
      <c r="T78" s="98">
        <v>0.0</v>
      </c>
      <c r="U78" s="98">
        <v>0.0</v>
      </c>
      <c r="V78" s="98">
        <v>0.0</v>
      </c>
      <c r="W78" s="98">
        <v>0.0</v>
      </c>
      <c r="X78" s="98">
        <v>0.0</v>
      </c>
      <c r="Y78" s="98">
        <v>0.0</v>
      </c>
      <c r="Z78" s="98">
        <v>0.0</v>
      </c>
      <c r="AA78" s="98">
        <v>0.0</v>
      </c>
      <c r="AB78" s="98">
        <v>0.0</v>
      </c>
      <c r="AC78" s="98">
        <v>0.0</v>
      </c>
      <c r="AD78" s="98">
        <v>0.0</v>
      </c>
      <c r="AE78" s="98">
        <v>0.0</v>
      </c>
      <c r="AF78" s="98">
        <v>0.0</v>
      </c>
      <c r="AG78" s="98">
        <v>0.0</v>
      </c>
      <c r="AH78" s="98">
        <v>0.0</v>
      </c>
      <c r="AI78" s="98">
        <v>0.0</v>
      </c>
      <c r="AJ78" s="98">
        <v>0.0</v>
      </c>
      <c r="AK78" s="98">
        <v>0.0</v>
      </c>
      <c r="AL78" s="98">
        <v>0.0</v>
      </c>
      <c r="AM78" s="98">
        <v>0.0</v>
      </c>
      <c r="AN78" s="98">
        <v>0.0</v>
      </c>
      <c r="AO78" s="98">
        <v>0.0</v>
      </c>
      <c r="AP78" s="98">
        <v>2.0</v>
      </c>
      <c r="AQ78" s="98" t="s">
        <v>157</v>
      </c>
      <c r="AR78" s="102">
        <v>46237.0</v>
      </c>
      <c r="AS78" s="83">
        <v>1178018.0</v>
      </c>
    </row>
    <row r="79" ht="15.75" customHeight="1">
      <c r="A79" s="111" t="s">
        <v>205</v>
      </c>
      <c r="B79" s="83" t="s">
        <v>472</v>
      </c>
      <c r="C79" s="83" t="s">
        <v>68</v>
      </c>
      <c r="D79" s="112">
        <v>1179704.0</v>
      </c>
      <c r="E79" s="83"/>
      <c r="F79" s="83">
        <v>2.9481325E7</v>
      </c>
      <c r="G79" s="91" t="str">
        <f>IFERROR(__xludf.DUMMYFUNCTION("XLOOKUP(AS79,
IMPORTRANGE(""https://docs.google.com/spreadsheets/d/1YM-djuOLXomrZ9W0B4TyIBsVWnXY4EIOFD9HY-qGfv0/edit?usp=sharing"",""GERAL!BG5:BG""),
IMPORTRANGE(""https://docs.google.com/spreadsheets/d/1YM-djuOLXomrZ9W0B4TyIBsVWnXY4EIOFD9HY-qGfv0/edit?us"&amp;"p=sharing"",""GERAL!G5:G""),
""CÓD. SEC NÃO ENCONTRADO NA PLANILHA DE MATRÍCULA"")"),"COLÉGIO DA POLICIA MILITAR - CPM BOM JESUS DA LAPA")</f>
        <v>COLÉGIO DA POLICIA MILITAR - CPM BOM JESUS DA LAPA</v>
      </c>
      <c r="H79" s="119" t="s">
        <v>494</v>
      </c>
      <c r="I79" s="91" t="s">
        <v>495</v>
      </c>
      <c r="J79" s="172" t="s">
        <v>496</v>
      </c>
      <c r="K79" s="98" t="s">
        <v>150</v>
      </c>
      <c r="L79" s="98" t="s">
        <v>151</v>
      </c>
      <c r="M79" s="98" t="s">
        <v>152</v>
      </c>
      <c r="N79" s="137" t="s">
        <v>497</v>
      </c>
      <c r="O79" s="98" t="s">
        <v>162</v>
      </c>
      <c r="P79" s="99" t="str">
        <f>IFERROR(__xludf.DUMMYFUNCTION("IFERROR(VLOOKUP(AS79,IMPORTRANGE(""https://docs.google.com/spreadsheets/d/1juPI-Fb8LD0YtltB2mlGEnp_R3UVu1t3wSFPzgCyHXE/edit?gid=0#gid=0"",""GERAL!A2:C""),3,0),""-"")"),"-")</f>
        <v>-</v>
      </c>
      <c r="Q79" s="101" t="s">
        <v>156</v>
      </c>
      <c r="R79" s="98">
        <v>12.0</v>
      </c>
      <c r="S79" s="98">
        <v>1.0</v>
      </c>
      <c r="T79" s="98">
        <v>0.0</v>
      </c>
      <c r="U79" s="98">
        <v>1.0</v>
      </c>
      <c r="V79" s="98">
        <v>0.0</v>
      </c>
      <c r="W79" s="98">
        <v>0.0</v>
      </c>
      <c r="X79" s="98">
        <v>1.0</v>
      </c>
      <c r="Y79" s="98">
        <v>0.0</v>
      </c>
      <c r="Z79" s="98">
        <v>0.0</v>
      </c>
      <c r="AA79" s="98">
        <v>1.0</v>
      </c>
      <c r="AB79" s="98">
        <v>0.0</v>
      </c>
      <c r="AC79" s="98">
        <v>0.0</v>
      </c>
      <c r="AD79" s="98">
        <v>0.0</v>
      </c>
      <c r="AE79" s="98">
        <v>0.0</v>
      </c>
      <c r="AF79" s="98">
        <v>1.0</v>
      </c>
      <c r="AG79" s="98">
        <v>0.0</v>
      </c>
      <c r="AH79" s="98">
        <v>0.0</v>
      </c>
      <c r="AI79" s="98">
        <v>0.0</v>
      </c>
      <c r="AJ79" s="98">
        <v>0.0</v>
      </c>
      <c r="AK79" s="98">
        <v>0.0</v>
      </c>
      <c r="AL79" s="98">
        <v>0.0</v>
      </c>
      <c r="AM79" s="98">
        <v>0.0</v>
      </c>
      <c r="AN79" s="98">
        <v>0.0</v>
      </c>
      <c r="AO79" s="98">
        <v>0.0</v>
      </c>
      <c r="AP79" s="98">
        <v>1.0</v>
      </c>
      <c r="AQ79" s="98" t="s">
        <v>498</v>
      </c>
      <c r="AR79" s="102">
        <v>46237.0</v>
      </c>
      <c r="AS79" s="83">
        <v>1179704.0</v>
      </c>
    </row>
    <row r="80" ht="15.75" customHeight="1">
      <c r="A80" s="111" t="s">
        <v>205</v>
      </c>
      <c r="B80" s="83" t="s">
        <v>472</v>
      </c>
      <c r="C80" s="83" t="s">
        <v>68</v>
      </c>
      <c r="D80" s="112">
        <v>1179282.0</v>
      </c>
      <c r="E80" s="83"/>
      <c r="F80" s="83">
        <v>2.9461499E7</v>
      </c>
      <c r="G80" s="91" t="str">
        <f>IFERROR(__xludf.DUMMYFUNCTION("XLOOKUP(AS80,
IMPORTRANGE(""https://docs.google.com/spreadsheets/d/1YM-djuOLXomrZ9W0B4TyIBsVWnXY4EIOFD9HY-qGfv0/edit?usp=sharing"",""GERAL!BG5:BG""),
IMPORTRANGE(""https://docs.google.com/spreadsheets/d/1YM-djuOLXomrZ9W0B4TyIBsVWnXY4EIOFD9HY-qGfv0/edit?us"&amp;"p=sharing"",""GERAL!G5:G""),
""CÓD. SEC NÃO ENCONTRADO NA PLANILHA DE MATRÍCULA"")"),"CENTRO REGIONAL DE ENSINO MEDIO COM INTERMEDIACAO TEC-CEMIT DO VELHO CHICO")</f>
        <v>CENTRO REGIONAL DE ENSINO MEDIO COM INTERMEDIACAO TEC-CEMIT DO VELHO CHICO</v>
      </c>
      <c r="H80" s="114" t="s">
        <v>500</v>
      </c>
      <c r="I80" s="91" t="s">
        <v>501</v>
      </c>
      <c r="J80" s="172" t="s">
        <v>502</v>
      </c>
      <c r="K80" s="83" t="s">
        <v>150</v>
      </c>
      <c r="L80" s="83" t="s">
        <v>151</v>
      </c>
      <c r="M80" s="175" t="s">
        <v>230</v>
      </c>
      <c r="N80" s="128" t="s">
        <v>171</v>
      </c>
      <c r="O80" s="98" t="s">
        <v>155</v>
      </c>
      <c r="P80" s="99" t="str">
        <f>IFERROR(__xludf.DUMMYFUNCTION("IFERROR(VLOOKUP(AS80,IMPORTRANGE(""https://docs.google.com/spreadsheets/d/1juPI-Fb8LD0YtltB2mlGEnp_R3UVu1t3wSFPzgCyHXE/edit?gid=0#gid=0"",""GERAL!A2:C""),3,0),""-"")"),"-")</f>
        <v>-</v>
      </c>
      <c r="Q80" s="101" t="s">
        <v>156</v>
      </c>
      <c r="R80" s="98">
        <v>0.0</v>
      </c>
      <c r="S80" s="98" t="s">
        <v>171</v>
      </c>
      <c r="T80" s="98" t="s">
        <v>171</v>
      </c>
      <c r="U80" s="98" t="s">
        <v>171</v>
      </c>
      <c r="V80" s="98" t="s">
        <v>171</v>
      </c>
      <c r="W80" s="98" t="s">
        <v>171</v>
      </c>
      <c r="X80" s="98" t="s">
        <v>171</v>
      </c>
      <c r="Y80" s="98" t="s">
        <v>171</v>
      </c>
      <c r="Z80" s="98" t="s">
        <v>171</v>
      </c>
      <c r="AA80" s="98" t="s">
        <v>171</v>
      </c>
      <c r="AB80" s="98" t="s">
        <v>171</v>
      </c>
      <c r="AC80" s="98" t="s">
        <v>171</v>
      </c>
      <c r="AD80" s="98" t="s">
        <v>171</v>
      </c>
      <c r="AE80" s="98" t="s">
        <v>171</v>
      </c>
      <c r="AF80" s="98" t="s">
        <v>171</v>
      </c>
      <c r="AG80" s="98" t="s">
        <v>171</v>
      </c>
      <c r="AH80" s="98" t="s">
        <v>171</v>
      </c>
      <c r="AI80" s="98" t="s">
        <v>171</v>
      </c>
      <c r="AJ80" s="98" t="s">
        <v>171</v>
      </c>
      <c r="AK80" s="98" t="s">
        <v>171</v>
      </c>
      <c r="AL80" s="98" t="s">
        <v>171</v>
      </c>
      <c r="AM80" s="98" t="s">
        <v>171</v>
      </c>
      <c r="AN80" s="98" t="s">
        <v>171</v>
      </c>
      <c r="AO80" s="98" t="s">
        <v>171</v>
      </c>
      <c r="AP80" s="98" t="s">
        <v>171</v>
      </c>
      <c r="AQ80" s="98" t="s">
        <v>171</v>
      </c>
      <c r="AR80" s="102">
        <v>46237.0</v>
      </c>
      <c r="AS80" s="83">
        <v>1179282.0</v>
      </c>
    </row>
    <row r="81" ht="15.75" customHeight="1">
      <c r="A81" s="111" t="s">
        <v>205</v>
      </c>
      <c r="B81" s="83" t="s">
        <v>472</v>
      </c>
      <c r="C81" s="83" t="s">
        <v>164</v>
      </c>
      <c r="D81" s="112">
        <v>1131720.0</v>
      </c>
      <c r="E81" s="98">
        <v>1178915.0</v>
      </c>
      <c r="F81" s="83"/>
      <c r="G81" s="91" t="str">
        <f>IFERROR(__xludf.DUMMYFUNCTION("XLOOKUP(AS81,
IMPORTRANGE(""https://docs.google.com/spreadsheets/d/1YM-djuOLXomrZ9W0B4TyIBsVWnXY4EIOFD9HY-qGfv0/edit?usp=sharing"",""GERAL!BG5:BG""),
IMPORTRANGE(""https://docs.google.com/spreadsheets/d/1YM-djuOLXomrZ9W0B4TyIBsVWnXY4EIOFD9HY-qGfv0/edit?us"&amp;"p=sharing"",""GERAL!G5:G""),
""CÓD. SEC NÃO ENCONTRADO NA PLANILHA DE MATRÍCULA"")"),"ANEXO DO COLÉGIO ESTADUAL MONSENHOR TURIBIO VILANOVA - DIST. RIO DAS RAS I - COMUNIDADE QUILOMBOLA")</f>
        <v>ANEXO DO COLÉGIO ESTADUAL MONSENHOR TURIBIO VILANOVA - DIST. RIO DAS RAS I - COMUNIDADE QUILOMBOLA</v>
      </c>
      <c r="H81" s="119" t="s">
        <v>503</v>
      </c>
      <c r="I81" s="108" t="s">
        <v>504</v>
      </c>
      <c r="J81" s="83"/>
      <c r="K81" s="98" t="s">
        <v>505</v>
      </c>
      <c r="L81" s="98" t="s">
        <v>168</v>
      </c>
      <c r="M81" s="83" t="s">
        <v>169</v>
      </c>
      <c r="N81" s="115" t="s">
        <v>170</v>
      </c>
      <c r="O81" s="98" t="s">
        <v>155</v>
      </c>
      <c r="P81" s="99" t="str">
        <f>IFERROR(__xludf.DUMMYFUNCTION("IFERROR(VLOOKUP(AS81,IMPORTRANGE(""https://docs.google.com/spreadsheets/d/1juPI-Fb8LD0YtltB2mlGEnp_R3UVu1t3wSFPzgCyHXE/edit?gid=0#gid=0"",""GERAL!A2:C""),3,0),""-"")"),"-")</f>
        <v>-</v>
      </c>
      <c r="Q81" s="98" t="s">
        <v>171</v>
      </c>
      <c r="R81" s="98">
        <v>4.0</v>
      </c>
      <c r="S81" s="98" t="s">
        <v>171</v>
      </c>
      <c r="T81" s="98" t="s">
        <v>171</v>
      </c>
      <c r="U81" s="98" t="s">
        <v>171</v>
      </c>
      <c r="V81" s="98" t="s">
        <v>171</v>
      </c>
      <c r="W81" s="98" t="s">
        <v>171</v>
      </c>
      <c r="X81" s="98" t="s">
        <v>171</v>
      </c>
      <c r="Y81" s="98" t="s">
        <v>171</v>
      </c>
      <c r="Z81" s="98" t="s">
        <v>171</v>
      </c>
      <c r="AA81" s="98" t="s">
        <v>171</v>
      </c>
      <c r="AB81" s="98" t="s">
        <v>171</v>
      </c>
      <c r="AC81" s="98" t="s">
        <v>171</v>
      </c>
      <c r="AD81" s="98" t="s">
        <v>171</v>
      </c>
      <c r="AE81" s="98" t="s">
        <v>171</v>
      </c>
      <c r="AF81" s="98" t="s">
        <v>171</v>
      </c>
      <c r="AG81" s="98" t="s">
        <v>171</v>
      </c>
      <c r="AH81" s="98" t="s">
        <v>171</v>
      </c>
      <c r="AI81" s="98" t="s">
        <v>171</v>
      </c>
      <c r="AJ81" s="98" t="s">
        <v>171</v>
      </c>
      <c r="AK81" s="98" t="s">
        <v>171</v>
      </c>
      <c r="AL81" s="98" t="s">
        <v>171</v>
      </c>
      <c r="AM81" s="98" t="s">
        <v>171</v>
      </c>
      <c r="AN81" s="98" t="s">
        <v>171</v>
      </c>
      <c r="AO81" s="98" t="s">
        <v>171</v>
      </c>
      <c r="AP81" s="98" t="s">
        <v>171</v>
      </c>
      <c r="AQ81" s="98" t="s">
        <v>171</v>
      </c>
      <c r="AR81" s="102">
        <v>46237.0</v>
      </c>
      <c r="AS81" s="98">
        <v>1178915.0</v>
      </c>
    </row>
    <row r="82" ht="15.75" customHeight="1">
      <c r="A82" s="111" t="s">
        <v>205</v>
      </c>
      <c r="B82" s="83" t="s">
        <v>472</v>
      </c>
      <c r="C82" s="83" t="s">
        <v>164</v>
      </c>
      <c r="D82" s="112">
        <v>1179668.0</v>
      </c>
      <c r="E82" s="83">
        <v>1178909.0</v>
      </c>
      <c r="F82" s="83"/>
      <c r="G82" s="91" t="str">
        <f>IFERROR(__xludf.DUMMYFUNCTION("XLOOKUP(AS82,
IMPORTRANGE(""https://docs.google.com/spreadsheets/d/1YM-djuOLXomrZ9W0B4TyIBsVWnXY4EIOFD9HY-qGfv0/edit?usp=sharing"",""GERAL!BG5:BG""),
IMPORTRANGE(""https://docs.google.com/spreadsheets/d/1YM-djuOLXomrZ9W0B4TyIBsVWnXY4EIOFD9HY-qGfv0/edit?us"&amp;"p=sharing"",""GERAL!G5:G""),
""CÓD. SEC NÃO ENCONTRADO NA PLANILHA DE MATRÍCULA"")"),"ANEXO DO COLÉGIO ESTADUAL EVERTON OLIVEIRA DE SANTANA- DISTRITO DE SILVESTRE")</f>
        <v>ANEXO DO COLÉGIO ESTADUAL EVERTON OLIVEIRA DE SANTANA- DISTRITO DE SILVESTRE</v>
      </c>
      <c r="H82" s="114" t="s">
        <v>506</v>
      </c>
      <c r="I82" s="91" t="s">
        <v>507</v>
      </c>
      <c r="J82" s="83" t="s">
        <v>149</v>
      </c>
      <c r="K82" s="83" t="s">
        <v>508</v>
      </c>
      <c r="L82" s="83" t="s">
        <v>168</v>
      </c>
      <c r="M82" s="83" t="s">
        <v>169</v>
      </c>
      <c r="N82" s="115" t="s">
        <v>170</v>
      </c>
      <c r="O82" s="98" t="s">
        <v>155</v>
      </c>
      <c r="P82" s="99" t="str">
        <f>IFERROR(__xludf.DUMMYFUNCTION("IFERROR(VLOOKUP(AS82,IMPORTRANGE(""https://docs.google.com/spreadsheets/d/1juPI-Fb8LD0YtltB2mlGEnp_R3UVu1t3wSFPzgCyHXE/edit?gid=0#gid=0"",""GERAL!A2:C""),3,0),""-"")"),"-")</f>
        <v>-</v>
      </c>
      <c r="Q82" s="98" t="s">
        <v>171</v>
      </c>
      <c r="R82" s="98">
        <v>3.0</v>
      </c>
      <c r="S82" s="98" t="s">
        <v>171</v>
      </c>
      <c r="T82" s="98" t="s">
        <v>171</v>
      </c>
      <c r="U82" s="98" t="s">
        <v>171</v>
      </c>
      <c r="V82" s="98" t="s">
        <v>171</v>
      </c>
      <c r="W82" s="98" t="s">
        <v>171</v>
      </c>
      <c r="X82" s="98" t="s">
        <v>171</v>
      </c>
      <c r="Y82" s="98" t="s">
        <v>171</v>
      </c>
      <c r="Z82" s="98" t="s">
        <v>171</v>
      </c>
      <c r="AA82" s="98" t="s">
        <v>171</v>
      </c>
      <c r="AB82" s="98" t="s">
        <v>171</v>
      </c>
      <c r="AC82" s="98" t="s">
        <v>171</v>
      </c>
      <c r="AD82" s="98" t="s">
        <v>171</v>
      </c>
      <c r="AE82" s="98" t="s">
        <v>171</v>
      </c>
      <c r="AF82" s="98" t="s">
        <v>171</v>
      </c>
      <c r="AG82" s="98" t="s">
        <v>171</v>
      </c>
      <c r="AH82" s="98" t="s">
        <v>171</v>
      </c>
      <c r="AI82" s="98" t="s">
        <v>171</v>
      </c>
      <c r="AJ82" s="98" t="s">
        <v>171</v>
      </c>
      <c r="AK82" s="98" t="s">
        <v>171</v>
      </c>
      <c r="AL82" s="98" t="s">
        <v>171</v>
      </c>
      <c r="AM82" s="98" t="s">
        <v>171</v>
      </c>
      <c r="AN82" s="98" t="s">
        <v>171</v>
      </c>
      <c r="AO82" s="98" t="s">
        <v>171</v>
      </c>
      <c r="AP82" s="98" t="s">
        <v>171</v>
      </c>
      <c r="AQ82" s="98" t="s">
        <v>171</v>
      </c>
      <c r="AR82" s="102">
        <v>46237.0</v>
      </c>
      <c r="AS82" s="83">
        <v>1178909.0</v>
      </c>
    </row>
    <row r="83" ht="15.75" customHeight="1">
      <c r="A83" s="127" t="s">
        <v>205</v>
      </c>
      <c r="B83" s="98" t="s">
        <v>472</v>
      </c>
      <c r="C83" s="98" t="s">
        <v>164</v>
      </c>
      <c r="D83" s="98">
        <v>1131720.0</v>
      </c>
      <c r="E83" s="98">
        <v>1179836.0</v>
      </c>
      <c r="F83" s="83"/>
      <c r="G83" s="91" t="str">
        <f>IFERROR(__xludf.DUMMYFUNCTION("XLOOKUP(AS83,
IMPORTRANGE(""https://docs.google.com/spreadsheets/d/1YM-djuOLXomrZ9W0B4TyIBsVWnXY4EIOFD9HY-qGfv0/edit?usp=sharing"",""GERAL!BG5:BG""),
IMPORTRANGE(""https://docs.google.com/spreadsheets/d/1YM-djuOLXomrZ9W0B4TyIBsVWnXY4EIOFD9HY-qGfv0/edit?us"&amp;"p=sharing"",""GERAL!G5:G""),
""CÓD. SEC NÃO ENCONTRADO NA PLANILHA DE MATRÍCULA"")"),"ANEXO AO COLEGIO ESTADUAL MONSENHOR TURIBIO VILANOVA QUILOMBO ARACA CARIACA
")</f>
        <v>ANEXO AO COLEGIO ESTADUAL MONSENHOR TURIBIO VILANOVA QUILOMBO ARACA CARIACA
</v>
      </c>
      <c r="H83" s="119" t="s">
        <v>510</v>
      </c>
      <c r="I83" s="108" t="s">
        <v>511</v>
      </c>
      <c r="J83" s="83"/>
      <c r="K83" s="83"/>
      <c r="L83" s="98" t="s">
        <v>168</v>
      </c>
      <c r="M83" s="83" t="s">
        <v>512</v>
      </c>
      <c r="N83" s="115" t="s">
        <v>170</v>
      </c>
      <c r="O83" s="98"/>
      <c r="P83" s="99" t="str">
        <f>IFERROR(__xludf.DUMMYFUNCTION("IFERROR(VLOOKUP(AS83,IMPORTRANGE(""https://docs.google.com/spreadsheets/d/1juPI-Fb8LD0YtltB2mlGEnp_R3UVu1t3wSFPzgCyHXE/edit?gid=0#gid=0"",""GERAL!A2:C""),3,0),""-"")"),"-")</f>
        <v>-</v>
      </c>
      <c r="Q83" s="98" t="s">
        <v>171</v>
      </c>
      <c r="R83" s="98" t="s">
        <v>171</v>
      </c>
      <c r="S83" s="98" t="s">
        <v>171</v>
      </c>
      <c r="T83" s="98" t="s">
        <v>171</v>
      </c>
      <c r="U83" s="98" t="s">
        <v>171</v>
      </c>
      <c r="V83" s="98" t="s">
        <v>171</v>
      </c>
      <c r="W83" s="98" t="s">
        <v>171</v>
      </c>
      <c r="X83" s="98" t="s">
        <v>171</v>
      </c>
      <c r="Y83" s="98" t="s">
        <v>171</v>
      </c>
      <c r="Z83" s="98" t="s">
        <v>171</v>
      </c>
      <c r="AA83" s="98" t="s">
        <v>171</v>
      </c>
      <c r="AB83" s="98" t="s">
        <v>171</v>
      </c>
      <c r="AC83" s="98" t="s">
        <v>171</v>
      </c>
      <c r="AD83" s="98" t="s">
        <v>171</v>
      </c>
      <c r="AE83" s="98" t="s">
        <v>171</v>
      </c>
      <c r="AF83" s="98" t="s">
        <v>171</v>
      </c>
      <c r="AG83" s="98" t="s">
        <v>171</v>
      </c>
      <c r="AH83" s="98" t="s">
        <v>171</v>
      </c>
      <c r="AI83" s="98" t="s">
        <v>171</v>
      </c>
      <c r="AJ83" s="98" t="s">
        <v>171</v>
      </c>
      <c r="AK83" s="98" t="s">
        <v>171</v>
      </c>
      <c r="AL83" s="98" t="s">
        <v>171</v>
      </c>
      <c r="AM83" s="98" t="s">
        <v>171</v>
      </c>
      <c r="AN83" s="98" t="s">
        <v>171</v>
      </c>
      <c r="AO83" s="98" t="s">
        <v>171</v>
      </c>
      <c r="AP83" s="98" t="s">
        <v>171</v>
      </c>
      <c r="AQ83" s="98" t="s">
        <v>171</v>
      </c>
      <c r="AR83" s="102">
        <v>46237.0</v>
      </c>
      <c r="AS83" s="98">
        <v>1179836.0</v>
      </c>
    </row>
    <row r="84" ht="15.75" customHeight="1">
      <c r="A84" s="111" t="s">
        <v>205</v>
      </c>
      <c r="B84" s="83" t="s">
        <v>472</v>
      </c>
      <c r="C84" s="83" t="s">
        <v>164</v>
      </c>
      <c r="D84" s="112">
        <v>1131720.0</v>
      </c>
      <c r="E84" s="83">
        <v>1178913.0</v>
      </c>
      <c r="F84" s="83"/>
      <c r="G84" s="91" t="str">
        <f>IFERROR(__xludf.DUMMYFUNCTION("XLOOKUP(AS84,
IMPORTRANGE(""https://docs.google.com/spreadsheets/d/1YM-djuOLXomrZ9W0B4TyIBsVWnXY4EIOFD9HY-qGfv0/edit?usp=sharing"",""GERAL!BG5:BG""),
IMPORTRANGE(""https://docs.google.com/spreadsheets/d/1YM-djuOLXomrZ9W0B4TyIBsVWnXY4EIOFD9HY-qGfv0/edit?us"&amp;"p=sharing"",""GERAL!G5:G""),
""CÓD. SEC NÃO ENCONTRADO NA PLANILHA DE MATRÍCULA"")"),"ANEXO - MONSENHOR TURIBIO VILANOVA - DISTRITO DE BATALHA - COMUNIDADE QUILOMBOLA")</f>
        <v>ANEXO - MONSENHOR TURIBIO VILANOVA - DISTRITO DE BATALHA - COMUNIDADE QUILOMBOLA</v>
      </c>
      <c r="H84" s="114" t="s">
        <v>513</v>
      </c>
      <c r="I84" s="91" t="s">
        <v>514</v>
      </c>
      <c r="J84" s="136" t="s">
        <v>515</v>
      </c>
      <c r="K84" s="83" t="s">
        <v>440</v>
      </c>
      <c r="L84" s="83" t="s">
        <v>168</v>
      </c>
      <c r="M84" s="83" t="s">
        <v>169</v>
      </c>
      <c r="N84" s="115" t="s">
        <v>170</v>
      </c>
      <c r="O84" s="98" t="s">
        <v>155</v>
      </c>
      <c r="P84" s="99" t="str">
        <f>IFERROR(__xludf.DUMMYFUNCTION("IFERROR(VLOOKUP(AS84,IMPORTRANGE(""https://docs.google.com/spreadsheets/d/1juPI-Fb8LD0YtltB2mlGEnp_R3UVu1t3wSFPzgCyHXE/edit?gid=0#gid=0"",""GERAL!A2:C""),3,0),""-"")"),"QUILOMBOLAS")</f>
        <v>QUILOMBOLAS</v>
      </c>
      <c r="Q84" s="98" t="s">
        <v>171</v>
      </c>
      <c r="R84" s="98">
        <v>5.0</v>
      </c>
      <c r="S84" s="98" t="s">
        <v>171</v>
      </c>
      <c r="T84" s="98" t="s">
        <v>171</v>
      </c>
      <c r="U84" s="98" t="s">
        <v>171</v>
      </c>
      <c r="V84" s="98" t="s">
        <v>171</v>
      </c>
      <c r="W84" s="98" t="s">
        <v>171</v>
      </c>
      <c r="X84" s="98" t="s">
        <v>171</v>
      </c>
      <c r="Y84" s="98" t="s">
        <v>171</v>
      </c>
      <c r="Z84" s="98" t="s">
        <v>171</v>
      </c>
      <c r="AA84" s="98" t="s">
        <v>171</v>
      </c>
      <c r="AB84" s="98" t="s">
        <v>171</v>
      </c>
      <c r="AC84" s="98" t="s">
        <v>171</v>
      </c>
      <c r="AD84" s="98" t="s">
        <v>171</v>
      </c>
      <c r="AE84" s="98" t="s">
        <v>171</v>
      </c>
      <c r="AF84" s="98" t="s">
        <v>171</v>
      </c>
      <c r="AG84" s="98" t="s">
        <v>171</v>
      </c>
      <c r="AH84" s="98" t="s">
        <v>171</v>
      </c>
      <c r="AI84" s="98" t="s">
        <v>171</v>
      </c>
      <c r="AJ84" s="98" t="s">
        <v>171</v>
      </c>
      <c r="AK84" s="98" t="s">
        <v>171</v>
      </c>
      <c r="AL84" s="98" t="s">
        <v>171</v>
      </c>
      <c r="AM84" s="98" t="s">
        <v>171</v>
      </c>
      <c r="AN84" s="98" t="s">
        <v>171</v>
      </c>
      <c r="AO84" s="98" t="s">
        <v>171</v>
      </c>
      <c r="AP84" s="98" t="s">
        <v>171</v>
      </c>
      <c r="AQ84" s="98" t="s">
        <v>171</v>
      </c>
      <c r="AR84" s="102">
        <v>46237.0</v>
      </c>
      <c r="AS84" s="83">
        <v>1178913.0</v>
      </c>
    </row>
    <row r="85" ht="15.75" customHeight="1">
      <c r="A85" s="111" t="s">
        <v>205</v>
      </c>
      <c r="B85" s="83" t="s">
        <v>472</v>
      </c>
      <c r="C85" s="83" t="s">
        <v>164</v>
      </c>
      <c r="D85" s="112">
        <v>1179431.0</v>
      </c>
      <c r="E85" s="98">
        <v>1179359.0</v>
      </c>
      <c r="F85" s="83"/>
      <c r="G85" s="91" t="str">
        <f>IFERROR(__xludf.DUMMYFUNCTION("XLOOKUP(AS85,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SÃO VICENTE DE PAULO - POVOADO DE SANTA RITA")</f>
        <v>ANEXO - COLÉGIO ESTADUAL SÃO VICENTE DE PAULO - POVOADO DE SANTA RITA</v>
      </c>
      <c r="H85" s="119" t="s">
        <v>516</v>
      </c>
      <c r="I85" s="91" t="s">
        <v>517</v>
      </c>
      <c r="J85" s="136" t="s">
        <v>518</v>
      </c>
      <c r="K85" s="83" t="s">
        <v>519</v>
      </c>
      <c r="L85" s="83" t="s">
        <v>168</v>
      </c>
      <c r="M85" s="83" t="s">
        <v>169</v>
      </c>
      <c r="N85" s="115" t="s">
        <v>170</v>
      </c>
      <c r="O85" s="98" t="s">
        <v>155</v>
      </c>
      <c r="P85" s="99" t="str">
        <f>IFERROR(__xludf.DUMMYFUNCTION("IFERROR(VLOOKUP(AS85,IMPORTRANGE(""https://docs.google.com/spreadsheets/d/1juPI-Fb8LD0YtltB2mlGEnp_R3UVu1t3wSFPzgCyHXE/edit?gid=0#gid=0"",""GERAL!A2:C""),3,0),""-"")"),"-")</f>
        <v>-</v>
      </c>
      <c r="Q85" s="98" t="s">
        <v>171</v>
      </c>
      <c r="R85" s="98">
        <v>2.0</v>
      </c>
      <c r="S85" s="98" t="s">
        <v>171</v>
      </c>
      <c r="T85" s="98" t="s">
        <v>171</v>
      </c>
      <c r="U85" s="98" t="s">
        <v>171</v>
      </c>
      <c r="V85" s="98" t="s">
        <v>171</v>
      </c>
      <c r="W85" s="98" t="s">
        <v>171</v>
      </c>
      <c r="X85" s="98" t="s">
        <v>171</v>
      </c>
      <c r="Y85" s="98" t="s">
        <v>171</v>
      </c>
      <c r="Z85" s="98" t="s">
        <v>171</v>
      </c>
      <c r="AA85" s="98" t="s">
        <v>171</v>
      </c>
      <c r="AB85" s="98" t="s">
        <v>171</v>
      </c>
      <c r="AC85" s="98" t="s">
        <v>171</v>
      </c>
      <c r="AD85" s="98" t="s">
        <v>171</v>
      </c>
      <c r="AE85" s="98" t="s">
        <v>171</v>
      </c>
      <c r="AF85" s="98" t="s">
        <v>171</v>
      </c>
      <c r="AG85" s="98" t="s">
        <v>171</v>
      </c>
      <c r="AH85" s="98" t="s">
        <v>171</v>
      </c>
      <c r="AI85" s="98" t="s">
        <v>171</v>
      </c>
      <c r="AJ85" s="98" t="s">
        <v>171</v>
      </c>
      <c r="AK85" s="98" t="s">
        <v>171</v>
      </c>
      <c r="AL85" s="98" t="s">
        <v>171</v>
      </c>
      <c r="AM85" s="98" t="s">
        <v>171</v>
      </c>
      <c r="AN85" s="98" t="s">
        <v>171</v>
      </c>
      <c r="AO85" s="98" t="s">
        <v>171</v>
      </c>
      <c r="AP85" s="98" t="s">
        <v>171</v>
      </c>
      <c r="AQ85" s="98" t="s">
        <v>171</v>
      </c>
      <c r="AR85" s="102">
        <v>46237.0</v>
      </c>
      <c r="AS85" s="83">
        <v>1179471.0</v>
      </c>
    </row>
    <row r="86" ht="15.75" customHeight="1">
      <c r="A86" s="111" t="s">
        <v>205</v>
      </c>
      <c r="B86" s="83" t="s">
        <v>472</v>
      </c>
      <c r="C86" s="83" t="s">
        <v>164</v>
      </c>
      <c r="D86" s="112">
        <v>1176437.0</v>
      </c>
      <c r="E86" s="98">
        <v>1179359.0</v>
      </c>
      <c r="F86" s="83"/>
      <c r="G86" s="91" t="str">
        <f>IFERROR(__xludf.DUMMYFUNCTION("XLOOKUP(AS86,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SÃO VICENTE DE PAULO - DISTRITO ILHA DA CANABRAVA")</f>
        <v>ANEXO - COLÉGIO ESTADUAL SÃO VICENTE DE PAULO - DISTRITO ILHA DA CANABRAVA</v>
      </c>
      <c r="H86" s="119" t="s">
        <v>520</v>
      </c>
      <c r="I86" s="108" t="s">
        <v>521</v>
      </c>
      <c r="J86" s="136"/>
      <c r="K86" s="83"/>
      <c r="L86" s="98" t="s">
        <v>168</v>
      </c>
      <c r="M86" s="98" t="s">
        <v>169</v>
      </c>
      <c r="N86" s="115" t="s">
        <v>170</v>
      </c>
      <c r="O86" s="98" t="s">
        <v>155</v>
      </c>
      <c r="P86" s="99" t="str">
        <f>IFERROR(__xludf.DUMMYFUNCTION("IFERROR(VLOOKUP(AS86,IMPORTRANGE(""https://docs.google.com/spreadsheets/d/1juPI-Fb8LD0YtltB2mlGEnp_R3UVu1t3wSFPzgCyHXE/edit?gid=0#gid=0"",""GERAL!A2:C""),3,0),""-"")"),"-")</f>
        <v>-</v>
      </c>
      <c r="Q86" s="98" t="s">
        <v>171</v>
      </c>
      <c r="R86" s="98" t="s">
        <v>171</v>
      </c>
      <c r="S86" s="98" t="s">
        <v>171</v>
      </c>
      <c r="T86" s="98" t="s">
        <v>171</v>
      </c>
      <c r="U86" s="98" t="s">
        <v>171</v>
      </c>
      <c r="V86" s="98" t="s">
        <v>171</v>
      </c>
      <c r="W86" s="98" t="s">
        <v>171</v>
      </c>
      <c r="X86" s="98" t="s">
        <v>171</v>
      </c>
      <c r="Y86" s="98" t="s">
        <v>171</v>
      </c>
      <c r="Z86" s="98" t="s">
        <v>171</v>
      </c>
      <c r="AA86" s="98" t="s">
        <v>171</v>
      </c>
      <c r="AB86" s="98" t="s">
        <v>171</v>
      </c>
      <c r="AC86" s="98" t="s">
        <v>171</v>
      </c>
      <c r="AD86" s="98" t="s">
        <v>171</v>
      </c>
      <c r="AE86" s="98" t="s">
        <v>171</v>
      </c>
      <c r="AF86" s="98" t="s">
        <v>171</v>
      </c>
      <c r="AG86" s="98" t="s">
        <v>171</v>
      </c>
      <c r="AH86" s="98" t="s">
        <v>171</v>
      </c>
      <c r="AI86" s="98" t="s">
        <v>171</v>
      </c>
      <c r="AJ86" s="98" t="s">
        <v>171</v>
      </c>
      <c r="AK86" s="98" t="s">
        <v>171</v>
      </c>
      <c r="AL86" s="98" t="s">
        <v>171</v>
      </c>
      <c r="AM86" s="98" t="s">
        <v>171</v>
      </c>
      <c r="AN86" s="98" t="s">
        <v>171</v>
      </c>
      <c r="AO86" s="98" t="s">
        <v>171</v>
      </c>
      <c r="AP86" s="98" t="s">
        <v>171</v>
      </c>
      <c r="AQ86" s="98" t="s">
        <v>171</v>
      </c>
      <c r="AR86" s="102">
        <v>46237.0</v>
      </c>
      <c r="AS86" s="98">
        <v>1179359.0</v>
      </c>
    </row>
    <row r="87" ht="15.75" customHeight="1">
      <c r="A87" s="111" t="s">
        <v>205</v>
      </c>
      <c r="B87" s="83" t="s">
        <v>472</v>
      </c>
      <c r="C87" s="83" t="s">
        <v>164</v>
      </c>
      <c r="D87" s="112">
        <v>1176437.0</v>
      </c>
      <c r="E87" s="83">
        <v>1178908.0</v>
      </c>
      <c r="F87" s="83"/>
      <c r="G87" s="91" t="str">
        <f>IFERROR(__xludf.DUMMYFUNCTION("XLOOKUP(AS87,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SÃO VICENTE DE PAULO - DISTRITO CURRAL DAS VARZEAS - COMUNIDADE QUILOMBOLA")</f>
        <v>ANEXO - COLÉGIO ESTADUAL SÃO VICENTE DE PAULO - DISTRITO CURRAL DAS VARZEAS - COMUNIDADE QUILOMBOLA</v>
      </c>
      <c r="H87" s="114" t="s">
        <v>523</v>
      </c>
      <c r="I87" s="91" t="s">
        <v>524</v>
      </c>
      <c r="J87" s="83" t="s">
        <v>525</v>
      </c>
      <c r="K87" s="83" t="s">
        <v>526</v>
      </c>
      <c r="L87" s="83" t="s">
        <v>168</v>
      </c>
      <c r="M87" s="83" t="s">
        <v>169</v>
      </c>
      <c r="N87" s="115" t="s">
        <v>170</v>
      </c>
      <c r="O87" s="98" t="s">
        <v>155</v>
      </c>
      <c r="P87" s="99" t="str">
        <f>IFERROR(__xludf.DUMMYFUNCTION("IFERROR(VLOOKUP(AS87,IMPORTRANGE(""https://docs.google.com/spreadsheets/d/1juPI-Fb8LD0YtltB2mlGEnp_R3UVu1t3wSFPzgCyHXE/edit?gid=0#gid=0"",""GERAL!A2:C""),3,0),""-"")"),"QUILOMBOLAS")</f>
        <v>QUILOMBOLAS</v>
      </c>
      <c r="Q87" s="98" t="s">
        <v>171</v>
      </c>
      <c r="R87" s="98">
        <v>3.0</v>
      </c>
      <c r="S87" s="98" t="s">
        <v>171</v>
      </c>
      <c r="T87" s="98" t="s">
        <v>171</v>
      </c>
      <c r="U87" s="98" t="s">
        <v>171</v>
      </c>
      <c r="V87" s="98" t="s">
        <v>171</v>
      </c>
      <c r="W87" s="98" t="s">
        <v>171</v>
      </c>
      <c r="X87" s="98" t="s">
        <v>171</v>
      </c>
      <c r="Y87" s="98" t="s">
        <v>171</v>
      </c>
      <c r="Z87" s="98" t="s">
        <v>171</v>
      </c>
      <c r="AA87" s="98" t="s">
        <v>171</v>
      </c>
      <c r="AB87" s="98" t="s">
        <v>171</v>
      </c>
      <c r="AC87" s="98" t="s">
        <v>171</v>
      </c>
      <c r="AD87" s="98" t="s">
        <v>171</v>
      </c>
      <c r="AE87" s="98" t="s">
        <v>171</v>
      </c>
      <c r="AF87" s="98" t="s">
        <v>171</v>
      </c>
      <c r="AG87" s="98" t="s">
        <v>171</v>
      </c>
      <c r="AH87" s="98" t="s">
        <v>171</v>
      </c>
      <c r="AI87" s="98" t="s">
        <v>171</v>
      </c>
      <c r="AJ87" s="98" t="s">
        <v>171</v>
      </c>
      <c r="AK87" s="98" t="s">
        <v>171</v>
      </c>
      <c r="AL87" s="98" t="s">
        <v>171</v>
      </c>
      <c r="AM87" s="98" t="s">
        <v>171</v>
      </c>
      <c r="AN87" s="98" t="s">
        <v>171</v>
      </c>
      <c r="AO87" s="98" t="s">
        <v>171</v>
      </c>
      <c r="AP87" s="98" t="s">
        <v>171</v>
      </c>
      <c r="AQ87" s="98" t="s">
        <v>171</v>
      </c>
      <c r="AR87" s="102">
        <v>46237.0</v>
      </c>
      <c r="AS87" s="83">
        <v>1178908.0</v>
      </c>
    </row>
    <row r="88" ht="15.75" customHeight="1">
      <c r="A88" s="111" t="s">
        <v>205</v>
      </c>
      <c r="B88" s="83" t="s">
        <v>472</v>
      </c>
      <c r="C88" s="83" t="s">
        <v>164</v>
      </c>
      <c r="D88" s="112">
        <v>1178018.0</v>
      </c>
      <c r="E88" s="83">
        <v>1178914.0</v>
      </c>
      <c r="F88" s="83"/>
      <c r="G88" s="91" t="str">
        <f>IFERROR(__xludf.DUMMYFUNCTION("XLOOKUP(AS88,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PROJETO FORMOSO - SETOR 14 - DISTRITO IRRIGAÇÃO")</f>
        <v>ANEXO - COLÉGIO ESTADUAL PROJETO FORMOSO - SETOR 14 - DISTRITO IRRIGAÇÃO</v>
      </c>
      <c r="H88" s="114" t="s">
        <v>527</v>
      </c>
      <c r="I88" s="91" t="s">
        <v>528</v>
      </c>
      <c r="J88" s="136" t="s">
        <v>529</v>
      </c>
      <c r="K88" s="83" t="s">
        <v>187</v>
      </c>
      <c r="L88" s="83" t="s">
        <v>168</v>
      </c>
      <c r="M88" s="83" t="s">
        <v>169</v>
      </c>
      <c r="N88" s="115" t="s">
        <v>170</v>
      </c>
      <c r="O88" s="98" t="s">
        <v>155</v>
      </c>
      <c r="P88" s="99" t="str">
        <f>IFERROR(__xludf.DUMMYFUNCTION("IFERROR(VLOOKUP(AS88,IMPORTRANGE(""https://docs.google.com/spreadsheets/d/1juPI-Fb8LD0YtltB2mlGEnp_R3UVu1t3wSFPzgCyHXE/edit?gid=0#gid=0"",""GERAL!A2:C""),3,0),""-"")"),"-")</f>
        <v>-</v>
      </c>
      <c r="Q88" s="98" t="s">
        <v>171</v>
      </c>
      <c r="R88" s="98">
        <v>3.0</v>
      </c>
      <c r="S88" s="98" t="s">
        <v>171</v>
      </c>
      <c r="T88" s="98" t="s">
        <v>171</v>
      </c>
      <c r="U88" s="98" t="s">
        <v>171</v>
      </c>
      <c r="V88" s="98" t="s">
        <v>171</v>
      </c>
      <c r="W88" s="98" t="s">
        <v>171</v>
      </c>
      <c r="X88" s="98" t="s">
        <v>171</v>
      </c>
      <c r="Y88" s="98" t="s">
        <v>171</v>
      </c>
      <c r="Z88" s="98" t="s">
        <v>171</v>
      </c>
      <c r="AA88" s="98" t="s">
        <v>171</v>
      </c>
      <c r="AB88" s="98" t="s">
        <v>171</v>
      </c>
      <c r="AC88" s="98" t="s">
        <v>171</v>
      </c>
      <c r="AD88" s="98" t="s">
        <v>171</v>
      </c>
      <c r="AE88" s="98" t="s">
        <v>171</v>
      </c>
      <c r="AF88" s="98" t="s">
        <v>171</v>
      </c>
      <c r="AG88" s="98" t="s">
        <v>171</v>
      </c>
      <c r="AH88" s="98" t="s">
        <v>171</v>
      </c>
      <c r="AI88" s="98" t="s">
        <v>171</v>
      </c>
      <c r="AJ88" s="98" t="s">
        <v>171</v>
      </c>
      <c r="AK88" s="98" t="s">
        <v>171</v>
      </c>
      <c r="AL88" s="98" t="s">
        <v>171</v>
      </c>
      <c r="AM88" s="98" t="s">
        <v>171</v>
      </c>
      <c r="AN88" s="98" t="s">
        <v>171</v>
      </c>
      <c r="AO88" s="98" t="s">
        <v>171</v>
      </c>
      <c r="AP88" s="98" t="s">
        <v>171</v>
      </c>
      <c r="AQ88" s="98" t="s">
        <v>171</v>
      </c>
      <c r="AR88" s="102">
        <v>46237.0</v>
      </c>
      <c r="AS88" s="83">
        <v>1178914.0</v>
      </c>
    </row>
    <row r="89" ht="15.75" customHeight="1">
      <c r="A89" s="111" t="s">
        <v>205</v>
      </c>
      <c r="B89" s="83" t="s">
        <v>472</v>
      </c>
      <c r="C89" s="83" t="s">
        <v>164</v>
      </c>
      <c r="D89" s="112">
        <v>1179668.0</v>
      </c>
      <c r="E89" s="83">
        <v>1178907.0</v>
      </c>
      <c r="F89" s="83"/>
      <c r="G89" s="91" t="str">
        <f>IFERROR(__xludf.DUMMYFUNCTION("XLOOKUP(AS89,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EVERTON OLIVEIRA DE SANTANA - DISTRITO CHAPADA GRANDE")</f>
        <v>ANEXO - COLÉGIO ESTADUAL EVERTON OLIVEIRA DE SANTANA - DISTRITO CHAPADA GRANDE</v>
      </c>
      <c r="H89" s="114" t="s">
        <v>530</v>
      </c>
      <c r="I89" s="91" t="s">
        <v>531</v>
      </c>
      <c r="J89" s="136" t="s">
        <v>532</v>
      </c>
      <c r="K89" s="83" t="s">
        <v>467</v>
      </c>
      <c r="L89" s="83" t="s">
        <v>168</v>
      </c>
      <c r="M89" s="83" t="s">
        <v>169</v>
      </c>
      <c r="N89" s="115" t="s">
        <v>170</v>
      </c>
      <c r="O89" s="98" t="s">
        <v>155</v>
      </c>
      <c r="P89" s="99" t="str">
        <f>IFERROR(__xludf.DUMMYFUNCTION("IFERROR(VLOOKUP(AS89,IMPORTRANGE(""https://docs.google.com/spreadsheets/d/1juPI-Fb8LD0YtltB2mlGEnp_R3UVu1t3wSFPzgCyHXE/edit?gid=0#gid=0"",""GERAL!A2:C""),3,0),""-"")"),"-")</f>
        <v>-</v>
      </c>
      <c r="Q89" s="98" t="s">
        <v>171</v>
      </c>
      <c r="R89" s="98">
        <v>5.0</v>
      </c>
      <c r="S89" s="98" t="s">
        <v>171</v>
      </c>
      <c r="T89" s="98" t="s">
        <v>171</v>
      </c>
      <c r="U89" s="98" t="s">
        <v>171</v>
      </c>
      <c r="V89" s="98" t="s">
        <v>171</v>
      </c>
      <c r="W89" s="98" t="s">
        <v>171</v>
      </c>
      <c r="X89" s="98" t="s">
        <v>171</v>
      </c>
      <c r="Y89" s="98" t="s">
        <v>171</v>
      </c>
      <c r="Z89" s="98" t="s">
        <v>171</v>
      </c>
      <c r="AA89" s="98" t="s">
        <v>171</v>
      </c>
      <c r="AB89" s="98" t="s">
        <v>171</v>
      </c>
      <c r="AC89" s="98" t="s">
        <v>171</v>
      </c>
      <c r="AD89" s="98" t="s">
        <v>171</v>
      </c>
      <c r="AE89" s="98" t="s">
        <v>171</v>
      </c>
      <c r="AF89" s="98" t="s">
        <v>171</v>
      </c>
      <c r="AG89" s="98" t="s">
        <v>171</v>
      </c>
      <c r="AH89" s="98" t="s">
        <v>171</v>
      </c>
      <c r="AI89" s="98" t="s">
        <v>171</v>
      </c>
      <c r="AJ89" s="98" t="s">
        <v>171</v>
      </c>
      <c r="AK89" s="98" t="s">
        <v>171</v>
      </c>
      <c r="AL89" s="98" t="s">
        <v>171</v>
      </c>
      <c r="AM89" s="98" t="s">
        <v>171</v>
      </c>
      <c r="AN89" s="98" t="s">
        <v>171</v>
      </c>
      <c r="AO89" s="98" t="s">
        <v>171</v>
      </c>
      <c r="AP89" s="98" t="s">
        <v>171</v>
      </c>
      <c r="AQ89" s="98" t="s">
        <v>171</v>
      </c>
      <c r="AR89" s="102">
        <v>46237.0</v>
      </c>
      <c r="AS89" s="83">
        <v>1178907.0</v>
      </c>
    </row>
    <row r="90" ht="15.75" customHeight="1">
      <c r="A90" s="111" t="s">
        <v>205</v>
      </c>
      <c r="B90" s="83" t="s">
        <v>472</v>
      </c>
      <c r="C90" s="83" t="s">
        <v>164</v>
      </c>
      <c r="D90" s="112">
        <v>1179431.0</v>
      </c>
      <c r="E90" s="180">
        <v>1179766.0</v>
      </c>
      <c r="F90" s="83"/>
      <c r="G90" s="91" t="str">
        <f>IFERROR(__xludf.DUMMYFUNCTION("XLOOKUP(AS90,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DO VELHO CHICO - COMUNIDADE DE LAPINHA")</f>
        <v>ANEXO - CEMIT DO VELHO CHICO - COMUNIDADE DE LAPINHA</v>
      </c>
      <c r="H90" s="114" t="s">
        <v>535</v>
      </c>
      <c r="I90" s="91"/>
      <c r="J90" s="83" t="s">
        <v>149</v>
      </c>
      <c r="K90" s="83"/>
      <c r="L90" s="83" t="s">
        <v>168</v>
      </c>
      <c r="M90" s="83" t="s">
        <v>169</v>
      </c>
      <c r="N90" s="115" t="s">
        <v>170</v>
      </c>
      <c r="O90" s="98" t="s">
        <v>155</v>
      </c>
      <c r="P90" s="99" t="str">
        <f>IFERROR(__xludf.DUMMYFUNCTION("IFERROR(VLOOKUP(AS90,IMPORTRANGE(""https://docs.google.com/spreadsheets/d/1juPI-Fb8LD0YtltB2mlGEnp_R3UVu1t3wSFPzgCyHXE/edit?gid=0#gid=0"",""GERAL!A2:C""),3,0),""-"")"),"-")</f>
        <v>-</v>
      </c>
      <c r="Q90" s="98" t="s">
        <v>171</v>
      </c>
      <c r="R90" s="98" t="s">
        <v>171</v>
      </c>
      <c r="S90" s="98" t="s">
        <v>171</v>
      </c>
      <c r="T90" s="98" t="s">
        <v>171</v>
      </c>
      <c r="U90" s="98" t="s">
        <v>171</v>
      </c>
      <c r="V90" s="98" t="s">
        <v>171</v>
      </c>
      <c r="W90" s="98" t="s">
        <v>171</v>
      </c>
      <c r="X90" s="98" t="s">
        <v>171</v>
      </c>
      <c r="Y90" s="98" t="s">
        <v>171</v>
      </c>
      <c r="Z90" s="98" t="s">
        <v>171</v>
      </c>
      <c r="AA90" s="98" t="s">
        <v>171</v>
      </c>
      <c r="AB90" s="98" t="s">
        <v>171</v>
      </c>
      <c r="AC90" s="98" t="s">
        <v>171</v>
      </c>
      <c r="AD90" s="98" t="s">
        <v>171</v>
      </c>
      <c r="AE90" s="98" t="s">
        <v>171</v>
      </c>
      <c r="AF90" s="98" t="s">
        <v>171</v>
      </c>
      <c r="AG90" s="98" t="s">
        <v>171</v>
      </c>
      <c r="AH90" s="98" t="s">
        <v>171</v>
      </c>
      <c r="AI90" s="98" t="s">
        <v>171</v>
      </c>
      <c r="AJ90" s="98" t="s">
        <v>171</v>
      </c>
      <c r="AK90" s="98" t="s">
        <v>171</v>
      </c>
      <c r="AL90" s="98" t="s">
        <v>171</v>
      </c>
      <c r="AM90" s="98" t="s">
        <v>171</v>
      </c>
      <c r="AN90" s="98" t="s">
        <v>171</v>
      </c>
      <c r="AO90" s="98" t="s">
        <v>171</v>
      </c>
      <c r="AP90" s="98" t="s">
        <v>171</v>
      </c>
      <c r="AQ90" s="98" t="s">
        <v>171</v>
      </c>
      <c r="AR90" s="102">
        <v>46237.0</v>
      </c>
      <c r="AS90" s="98">
        <v>1179766.0</v>
      </c>
    </row>
    <row r="91" ht="15.75" customHeight="1">
      <c r="A91" s="111" t="s">
        <v>205</v>
      </c>
      <c r="B91" s="83" t="s">
        <v>472</v>
      </c>
      <c r="C91" s="83" t="s">
        <v>164</v>
      </c>
      <c r="D91" s="112">
        <v>1179431.0</v>
      </c>
      <c r="E91" s="83">
        <v>1179363.0</v>
      </c>
      <c r="F91" s="83"/>
      <c r="G91" s="91" t="str">
        <f>IFERROR(__xludf.DUMMYFUNCTION("XLOOKUP(AS91,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 - DISTRITO COMUNIDADE DO EXU - COMUNIDADE QUILOMBOLA")</f>
        <v>ANEXO - CEMIT - VELHO CHICO - DISTRITO COMUNIDADE DO EXU - COMUNIDADE QUILOMBOLA</v>
      </c>
      <c r="H91" s="119" t="s">
        <v>536</v>
      </c>
      <c r="I91" s="91" t="s">
        <v>537</v>
      </c>
      <c r="J91" s="83" t="s">
        <v>149</v>
      </c>
      <c r="K91" s="83" t="s">
        <v>538</v>
      </c>
      <c r="L91" s="83" t="s">
        <v>168</v>
      </c>
      <c r="M91" s="83" t="s">
        <v>169</v>
      </c>
      <c r="N91" s="115" t="s">
        <v>170</v>
      </c>
      <c r="O91" s="98" t="s">
        <v>155</v>
      </c>
      <c r="P91" s="99" t="str">
        <f>IFERROR(__xludf.DUMMYFUNCTION("IFERROR(VLOOKUP(AS91,IMPORTRANGE(""https://docs.google.com/spreadsheets/d/1juPI-Fb8LD0YtltB2mlGEnp_R3UVu1t3wSFPzgCyHXE/edit?gid=0#gid=0"",""GERAL!A2:C""),3,0),""-"")"),"QUILOMBOLAS")</f>
        <v>QUILOMBOLAS</v>
      </c>
      <c r="Q91" s="98" t="s">
        <v>171</v>
      </c>
      <c r="R91" s="98">
        <v>1.0</v>
      </c>
      <c r="S91" s="98" t="s">
        <v>171</v>
      </c>
      <c r="T91" s="98" t="s">
        <v>171</v>
      </c>
      <c r="U91" s="98" t="s">
        <v>171</v>
      </c>
      <c r="V91" s="98" t="s">
        <v>171</v>
      </c>
      <c r="W91" s="98" t="s">
        <v>171</v>
      </c>
      <c r="X91" s="98" t="s">
        <v>171</v>
      </c>
      <c r="Y91" s="98" t="s">
        <v>171</v>
      </c>
      <c r="Z91" s="98" t="s">
        <v>171</v>
      </c>
      <c r="AA91" s="98" t="s">
        <v>171</v>
      </c>
      <c r="AB91" s="98" t="s">
        <v>171</v>
      </c>
      <c r="AC91" s="98" t="s">
        <v>171</v>
      </c>
      <c r="AD91" s="98" t="s">
        <v>171</v>
      </c>
      <c r="AE91" s="98" t="s">
        <v>171</v>
      </c>
      <c r="AF91" s="98" t="s">
        <v>171</v>
      </c>
      <c r="AG91" s="98" t="s">
        <v>171</v>
      </c>
      <c r="AH91" s="98" t="s">
        <v>171</v>
      </c>
      <c r="AI91" s="98" t="s">
        <v>171</v>
      </c>
      <c r="AJ91" s="98" t="s">
        <v>171</v>
      </c>
      <c r="AK91" s="98" t="s">
        <v>171</v>
      </c>
      <c r="AL91" s="98" t="s">
        <v>171</v>
      </c>
      <c r="AM91" s="98" t="s">
        <v>171</v>
      </c>
      <c r="AN91" s="98" t="s">
        <v>171</v>
      </c>
      <c r="AO91" s="98" t="s">
        <v>171</v>
      </c>
      <c r="AP91" s="98" t="s">
        <v>171</v>
      </c>
      <c r="AQ91" s="98" t="s">
        <v>171</v>
      </c>
      <c r="AR91" s="102">
        <v>46237.0</v>
      </c>
      <c r="AS91" s="83">
        <v>1179363.0</v>
      </c>
    </row>
    <row r="92" ht="15.75" customHeight="1">
      <c r="A92" s="111" t="s">
        <v>205</v>
      </c>
      <c r="B92" s="83" t="s">
        <v>539</v>
      </c>
      <c r="C92" s="83" t="s">
        <v>45</v>
      </c>
      <c r="D92" s="98">
        <v>1179756.0</v>
      </c>
      <c r="E92" s="83"/>
      <c r="F92" s="83">
        <v>2.9464498E7</v>
      </c>
      <c r="G92" s="91" t="str">
        <f>IFERROR(__xludf.DUMMYFUNCTION("XLOOKUP(AS92,
IMPORTRANGE(""https://docs.google.com/spreadsheets/d/1YM-djuOLXomrZ9W0B4TyIBsVWnXY4EIOFD9HY-qGfv0/edit?usp=sharing"",""GERAL!BG5:BG""),
IMPORTRANGE(""https://docs.google.com/spreadsheets/d/1YM-djuOLXomrZ9W0B4TyIBsVWnXY4EIOFD9HY-qGfv0/edit?us"&amp;"p=sharing"",""GERAL!G5:G""),
""CÓD. SEC NÃO ENCONTRADO NA PLANILHA DE MATRÍCULA"")"),"ESCOLA FAMILIA AGRICOLA REGIONAL - EFAR")</f>
        <v>ESCOLA FAMILIA AGRICOLA REGIONAL - EFAR</v>
      </c>
      <c r="H92" s="114" t="s">
        <v>541</v>
      </c>
      <c r="I92" s="91" t="s">
        <v>542</v>
      </c>
      <c r="J92" s="83" t="s">
        <v>149</v>
      </c>
      <c r="K92" s="83" t="s">
        <v>150</v>
      </c>
      <c r="L92" s="83" t="s">
        <v>151</v>
      </c>
      <c r="M92" s="83" t="s">
        <v>169</v>
      </c>
      <c r="N92" s="115" t="s">
        <v>543</v>
      </c>
      <c r="O92" s="98" t="s">
        <v>155</v>
      </c>
      <c r="P92" s="99" t="str">
        <f>IFERROR(__xludf.DUMMYFUNCTION("IFERROR(VLOOKUP(AS92,IMPORTRANGE(""https://docs.google.com/spreadsheets/d/1juPI-Fb8LD0YtltB2mlGEnp_R3UVu1t3wSFPzgCyHXE/edit?gid=0#gid=0"",""GERAL!A2:C""),3,0),""-"")"),"EFA")</f>
        <v>EFA</v>
      </c>
      <c r="Q92" s="98" t="s">
        <v>171</v>
      </c>
      <c r="R92" s="98" t="s">
        <v>171</v>
      </c>
      <c r="S92" s="98">
        <v>0.0</v>
      </c>
      <c r="T92" s="98">
        <v>0.0</v>
      </c>
      <c r="U92" s="98">
        <v>0.0</v>
      </c>
      <c r="V92" s="98">
        <v>0.0</v>
      </c>
      <c r="W92" s="98">
        <v>8.0</v>
      </c>
      <c r="X92" s="98">
        <v>1.0</v>
      </c>
      <c r="Y92" s="98">
        <v>0.0</v>
      </c>
      <c r="Z92" s="98">
        <v>0.0</v>
      </c>
      <c r="AA92" s="98">
        <v>0.0</v>
      </c>
      <c r="AB92" s="98">
        <v>0.0</v>
      </c>
      <c r="AC92" s="98">
        <v>1.0</v>
      </c>
      <c r="AD92" s="98">
        <v>0.0</v>
      </c>
      <c r="AE92" s="98">
        <v>0.0</v>
      </c>
      <c r="AF92" s="98">
        <v>0.0</v>
      </c>
      <c r="AG92" s="98">
        <v>0.0</v>
      </c>
      <c r="AH92" s="98">
        <v>0.0</v>
      </c>
      <c r="AI92" s="98">
        <v>1.0</v>
      </c>
      <c r="AJ92" s="98">
        <v>0.0</v>
      </c>
      <c r="AK92" s="98">
        <v>0.0</v>
      </c>
      <c r="AL92" s="98">
        <v>0.0</v>
      </c>
      <c r="AM92" s="98">
        <v>0.0</v>
      </c>
      <c r="AN92" s="98">
        <v>0.0</v>
      </c>
      <c r="AO92" s="98">
        <v>0.0</v>
      </c>
      <c r="AP92" s="98">
        <v>0.0</v>
      </c>
      <c r="AQ92" s="98" t="s">
        <v>544</v>
      </c>
      <c r="AR92" s="102">
        <v>46238.0</v>
      </c>
      <c r="AS92" s="98">
        <v>1179756.0</v>
      </c>
    </row>
    <row r="93" ht="15.75" customHeight="1">
      <c r="A93" s="111" t="s">
        <v>205</v>
      </c>
      <c r="B93" s="83" t="s">
        <v>539</v>
      </c>
      <c r="C93" s="83" t="s">
        <v>68</v>
      </c>
      <c r="D93" s="112">
        <v>1127456.0</v>
      </c>
      <c r="E93" s="83"/>
      <c r="F93" s="83">
        <v>2.9205E7</v>
      </c>
      <c r="G93" s="91" t="str">
        <f>IFERROR(__xludf.DUMMYFUNCTION("XLOOKUP(AS93,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PAPA JOÃO PAULO I")</f>
        <v>COLÉGIO ESTADUAL DE TEMPO INTEGRAL PAPA JOÃO PAULO I</v>
      </c>
      <c r="H93" s="114" t="s">
        <v>545</v>
      </c>
      <c r="I93" s="91" t="s">
        <v>546</v>
      </c>
      <c r="J93" s="83" t="s">
        <v>149</v>
      </c>
      <c r="K93" s="83" t="s">
        <v>150</v>
      </c>
      <c r="L93" s="83" t="s">
        <v>151</v>
      </c>
      <c r="M93" s="83" t="s">
        <v>76</v>
      </c>
      <c r="N93" s="137" t="s">
        <v>548</v>
      </c>
      <c r="O93" s="98" t="s">
        <v>155</v>
      </c>
      <c r="P93" s="99" t="str">
        <f>IFERROR(__xludf.DUMMYFUNCTION("IFERROR(VLOOKUP(AS93,IMPORTRANGE(""https://docs.google.com/spreadsheets/d/1juPI-Fb8LD0YtltB2mlGEnp_R3UVu1t3wSFPzgCyHXE/edit?gid=0#gid=0"",""GERAL!A2:C""),3,0),""-"")"),"-")</f>
        <v>-</v>
      </c>
      <c r="Q93" s="101" t="s">
        <v>156</v>
      </c>
      <c r="R93" s="98">
        <v>8.0</v>
      </c>
      <c r="S93" s="98">
        <v>0.0</v>
      </c>
      <c r="T93" s="98">
        <v>0.0</v>
      </c>
      <c r="U93" s="98">
        <v>0.0</v>
      </c>
      <c r="V93" s="98">
        <v>0.0</v>
      </c>
      <c r="W93" s="98">
        <v>0.0</v>
      </c>
      <c r="X93" s="98">
        <v>0.0</v>
      </c>
      <c r="Y93" s="98">
        <v>0.0</v>
      </c>
      <c r="Z93" s="98">
        <v>0.0</v>
      </c>
      <c r="AA93" s="98">
        <v>0.0</v>
      </c>
      <c r="AB93" s="98">
        <v>0.0</v>
      </c>
      <c r="AC93" s="98">
        <v>0.0</v>
      </c>
      <c r="AD93" s="98">
        <v>0.0</v>
      </c>
      <c r="AE93" s="98">
        <v>0.0</v>
      </c>
      <c r="AF93" s="98">
        <v>0.0</v>
      </c>
      <c r="AG93" s="98">
        <v>1.0</v>
      </c>
      <c r="AH93" s="98">
        <v>0.0</v>
      </c>
      <c r="AI93" s="98">
        <v>0.0</v>
      </c>
      <c r="AJ93" s="98">
        <v>0.0</v>
      </c>
      <c r="AK93" s="98">
        <v>0.0</v>
      </c>
      <c r="AL93" s="98">
        <v>0.0</v>
      </c>
      <c r="AM93" s="98">
        <v>0.0</v>
      </c>
      <c r="AN93" s="98">
        <v>0.0</v>
      </c>
      <c r="AO93" s="98">
        <v>0.0</v>
      </c>
      <c r="AP93" s="98">
        <v>1.0</v>
      </c>
      <c r="AQ93" s="98" t="s">
        <v>549</v>
      </c>
      <c r="AR93" s="102">
        <v>46238.0</v>
      </c>
      <c r="AS93" s="83">
        <v>1127456.0</v>
      </c>
    </row>
    <row r="94" ht="15.75" customHeight="1">
      <c r="A94" s="111" t="s">
        <v>205</v>
      </c>
      <c r="B94" s="83" t="s">
        <v>539</v>
      </c>
      <c r="C94" s="83" t="s">
        <v>68</v>
      </c>
      <c r="D94" s="98">
        <v>1179813.0</v>
      </c>
      <c r="E94" s="83"/>
      <c r="F94" s="83"/>
      <c r="G94" s="91" t="str">
        <f>IFERROR(__xludf.DUMMYFUNCTION("XLOOKUP(AS94,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DO CAMPO RITA DE OLIVEIRA BARAÚNA")</f>
        <v>COLÉGIO ESTADUAL DO CAMPO RITA DE OLIVEIRA BARAÚNA</v>
      </c>
      <c r="H94" s="119" t="s">
        <v>550</v>
      </c>
      <c r="I94" s="108" t="s">
        <v>551</v>
      </c>
      <c r="J94" s="98" t="s">
        <v>552</v>
      </c>
      <c r="K94" s="83"/>
      <c r="L94" s="83" t="s">
        <v>151</v>
      </c>
      <c r="M94" s="83" t="s">
        <v>169</v>
      </c>
      <c r="N94" s="128" t="s">
        <v>171</v>
      </c>
      <c r="O94" s="98"/>
      <c r="P94" s="99" t="str">
        <f>IFERROR(__xludf.DUMMYFUNCTION("IFERROR(VLOOKUP(AS94,IMPORTRANGE(""https://docs.google.com/spreadsheets/d/1juPI-Fb8LD0YtltB2mlGEnp_R3UVu1t3wSFPzgCyHXE/edit?gid=0#gid=0"",""GERAL!A2:C""),3,0),""-"")"),"CAMPO")</f>
        <v>CAMPO</v>
      </c>
      <c r="Q94" s="101" t="s">
        <v>156</v>
      </c>
      <c r="R94" s="98">
        <v>3.0</v>
      </c>
      <c r="S94" s="98">
        <v>0.0</v>
      </c>
      <c r="T94" s="98">
        <v>0.0</v>
      </c>
      <c r="U94" s="98">
        <v>0.0</v>
      </c>
      <c r="V94" s="98">
        <v>0.0</v>
      </c>
      <c r="W94" s="98">
        <v>0.0</v>
      </c>
      <c r="X94" s="98">
        <v>0.0</v>
      </c>
      <c r="Y94" s="98">
        <v>0.0</v>
      </c>
      <c r="Z94" s="98">
        <v>0.0</v>
      </c>
      <c r="AA94" s="98">
        <v>0.0</v>
      </c>
      <c r="AB94" s="98">
        <v>0.0</v>
      </c>
      <c r="AC94" s="98">
        <v>0.0</v>
      </c>
      <c r="AD94" s="98">
        <v>0.0</v>
      </c>
      <c r="AE94" s="98">
        <v>0.0</v>
      </c>
      <c r="AF94" s="98">
        <v>0.0</v>
      </c>
      <c r="AG94" s="98">
        <v>0.0</v>
      </c>
      <c r="AH94" s="98">
        <v>0.0</v>
      </c>
      <c r="AI94" s="98">
        <v>0.0</v>
      </c>
      <c r="AJ94" s="98">
        <v>0.0</v>
      </c>
      <c r="AK94" s="98">
        <v>0.0</v>
      </c>
      <c r="AL94" s="98">
        <v>0.0</v>
      </c>
      <c r="AM94" s="98">
        <v>0.0</v>
      </c>
      <c r="AN94" s="98">
        <v>0.0</v>
      </c>
      <c r="AO94" s="98">
        <v>0.0</v>
      </c>
      <c r="AP94" s="98">
        <v>1.0</v>
      </c>
      <c r="AQ94" s="98" t="s">
        <v>555</v>
      </c>
      <c r="AR94" s="102">
        <v>46238.0</v>
      </c>
      <c r="AS94" s="98">
        <v>1179813.0</v>
      </c>
    </row>
    <row r="95" ht="15.75" customHeight="1">
      <c r="A95" s="111" t="s">
        <v>205</v>
      </c>
      <c r="B95" s="83" t="s">
        <v>539</v>
      </c>
      <c r="C95" s="83" t="s">
        <v>164</v>
      </c>
      <c r="D95" s="112">
        <v>1179431.0</v>
      </c>
      <c r="E95" s="83">
        <v>1178821.0</v>
      </c>
      <c r="F95" s="83"/>
      <c r="G95" s="91" t="str">
        <f>IFERROR(__xludf.DUMMYFUNCTION("XLOOKUP(AS95,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 VELHO CHICO - POVOADO DE MATA DE BOM JESUS")</f>
        <v>ANEXO - CEMIT - VELHO CHICO - POVOADO DE MATA DE BOM JESUS</v>
      </c>
      <c r="H95" s="114" t="s">
        <v>556</v>
      </c>
      <c r="I95" s="91" t="s">
        <v>557</v>
      </c>
      <c r="J95" s="83" t="s">
        <v>149</v>
      </c>
      <c r="K95" s="83" t="s">
        <v>240</v>
      </c>
      <c r="L95" s="83" t="s">
        <v>151</v>
      </c>
      <c r="M95" s="83" t="s">
        <v>169</v>
      </c>
      <c r="N95" s="115" t="s">
        <v>170</v>
      </c>
      <c r="O95" s="98" t="s">
        <v>155</v>
      </c>
      <c r="P95" s="99" t="str">
        <f>IFERROR(__xludf.DUMMYFUNCTION("IFERROR(VLOOKUP(AS95,IMPORTRANGE(""https://docs.google.com/spreadsheets/d/1juPI-Fb8LD0YtltB2mlGEnp_R3UVu1t3wSFPzgCyHXE/edit?gid=0#gid=0"",""GERAL!A2:C""),3,0),""-"")"),"-")</f>
        <v>-</v>
      </c>
      <c r="Q95" s="98" t="s">
        <v>171</v>
      </c>
      <c r="R95" s="98" t="s">
        <v>171</v>
      </c>
      <c r="S95" s="98" t="s">
        <v>171</v>
      </c>
      <c r="T95" s="98" t="s">
        <v>171</v>
      </c>
      <c r="U95" s="98" t="s">
        <v>171</v>
      </c>
      <c r="V95" s="98" t="s">
        <v>171</v>
      </c>
      <c r="W95" s="98" t="s">
        <v>171</v>
      </c>
      <c r="X95" s="98" t="s">
        <v>171</v>
      </c>
      <c r="Y95" s="98" t="s">
        <v>171</v>
      </c>
      <c r="Z95" s="98" t="s">
        <v>171</v>
      </c>
      <c r="AA95" s="98" t="s">
        <v>171</v>
      </c>
      <c r="AB95" s="98" t="s">
        <v>171</v>
      </c>
      <c r="AC95" s="98" t="s">
        <v>171</v>
      </c>
      <c r="AD95" s="98" t="s">
        <v>171</v>
      </c>
      <c r="AE95" s="98" t="s">
        <v>171</v>
      </c>
      <c r="AF95" s="98" t="s">
        <v>171</v>
      </c>
      <c r="AG95" s="98" t="s">
        <v>171</v>
      </c>
      <c r="AH95" s="98" t="s">
        <v>171</v>
      </c>
      <c r="AI95" s="98" t="s">
        <v>171</v>
      </c>
      <c r="AJ95" s="98" t="s">
        <v>171</v>
      </c>
      <c r="AK95" s="98" t="s">
        <v>171</v>
      </c>
      <c r="AL95" s="98" t="s">
        <v>171</v>
      </c>
      <c r="AM95" s="98" t="s">
        <v>171</v>
      </c>
      <c r="AN95" s="98" t="s">
        <v>171</v>
      </c>
      <c r="AO95" s="98" t="s">
        <v>171</v>
      </c>
      <c r="AP95" s="98" t="s">
        <v>171</v>
      </c>
      <c r="AQ95" s="98" t="s">
        <v>171</v>
      </c>
      <c r="AR95" s="98" t="s">
        <v>171</v>
      </c>
      <c r="AS95" s="83">
        <v>1178821.0</v>
      </c>
    </row>
    <row r="96" ht="15.75" customHeight="1">
      <c r="A96" s="111" t="s">
        <v>205</v>
      </c>
      <c r="B96" s="83" t="s">
        <v>558</v>
      </c>
      <c r="C96" s="83" t="s">
        <v>68</v>
      </c>
      <c r="D96" s="112">
        <v>1128762.0</v>
      </c>
      <c r="E96" s="83"/>
      <c r="F96" s="83">
        <v>2.904457E7</v>
      </c>
      <c r="G96" s="91" t="str">
        <f>IFERROR(__xludf.DUMMYFUNCTION("XLOOKUP(AS96,
IMPORTRANGE(""https://docs.google.com/spreadsheets/d/1YM-djuOLXomrZ9W0B4TyIBsVWnXY4EIOFD9HY-qGfv0/edit?usp=sharing"",""GERAL!BG5:BG""),
IMPORTRANGE(""https://docs.google.com/spreadsheets/d/1YM-djuOLXomrZ9W0B4TyIBsVWnXY4EIOFD9HY-qGfv0/edit?us"&amp;"p=sharing"",""GERAL!G5:G""),
""CÓD. SEC NÃO ENCONTRADO NA PLANILHA DE MATRÍCULA"")"),"COLÉGIO ESTADUAL DE TEMPO INTEGRAL VELHO CHICO")</f>
        <v>COLÉGIO ESTADUAL DE TEMPO INTEGRAL VELHO CHICO</v>
      </c>
      <c r="H96" s="119" t="s">
        <v>559</v>
      </c>
      <c r="I96" s="91" t="s">
        <v>560</v>
      </c>
      <c r="J96" s="83" t="s">
        <v>149</v>
      </c>
      <c r="K96" s="83" t="s">
        <v>150</v>
      </c>
      <c r="L96" s="83" t="s">
        <v>151</v>
      </c>
      <c r="M96" s="98" t="s">
        <v>230</v>
      </c>
      <c r="N96" s="171" t="s">
        <v>561</v>
      </c>
      <c r="O96" s="98" t="s">
        <v>284</v>
      </c>
      <c r="P96" s="99" t="str">
        <f>IFERROR(__xludf.DUMMYFUNCTION("IFERROR(VLOOKUP(AS96,IMPORTRANGE(""https://docs.google.com/spreadsheets/d/1juPI-Fb8LD0YtltB2mlGEnp_R3UVu1t3wSFPzgCyHXE/edit?gid=0#gid=0"",""GERAL!A2:C""),3,0),""-"")"),"-")</f>
        <v>-</v>
      </c>
      <c r="Q96" s="101" t="s">
        <v>156</v>
      </c>
      <c r="R96" s="98">
        <v>9.0</v>
      </c>
      <c r="S96" s="98">
        <v>0.0</v>
      </c>
      <c r="T96" s="98">
        <v>0.0</v>
      </c>
      <c r="U96" s="98">
        <v>1.0</v>
      </c>
      <c r="V96" s="98">
        <v>1.0</v>
      </c>
      <c r="W96" s="98">
        <v>0.0</v>
      </c>
      <c r="X96" s="98">
        <v>1.0</v>
      </c>
      <c r="Y96" s="98">
        <v>0.0</v>
      </c>
      <c r="Z96" s="98">
        <v>1.0</v>
      </c>
      <c r="AA96" s="98">
        <v>0.0</v>
      </c>
      <c r="AB96" s="98">
        <v>0.0</v>
      </c>
      <c r="AC96" s="98">
        <v>0.0</v>
      </c>
      <c r="AD96" s="98">
        <v>0.0</v>
      </c>
      <c r="AE96" s="98">
        <v>0.0</v>
      </c>
      <c r="AF96" s="98">
        <v>1.0</v>
      </c>
      <c r="AG96" s="98">
        <v>0.0</v>
      </c>
      <c r="AH96" s="98">
        <v>0.0</v>
      </c>
      <c r="AI96" s="98">
        <v>0.0</v>
      </c>
      <c r="AJ96" s="98">
        <v>0.0</v>
      </c>
      <c r="AK96" s="98">
        <v>0.0</v>
      </c>
      <c r="AL96" s="98">
        <v>0.0</v>
      </c>
      <c r="AM96" s="98">
        <v>0.0</v>
      </c>
      <c r="AN96" s="98">
        <v>0.0</v>
      </c>
      <c r="AO96" s="98">
        <v>0.0</v>
      </c>
      <c r="AP96" s="98">
        <v>2.0</v>
      </c>
      <c r="AQ96" s="98" t="s">
        <v>562</v>
      </c>
      <c r="AR96" s="102">
        <v>46220.0</v>
      </c>
      <c r="AS96" s="83">
        <v>1128762.0</v>
      </c>
    </row>
    <row r="97" ht="15.75" customHeight="1">
      <c r="A97" s="111" t="s">
        <v>205</v>
      </c>
      <c r="B97" s="83" t="s">
        <v>558</v>
      </c>
      <c r="C97" s="83" t="s">
        <v>164</v>
      </c>
      <c r="D97" s="112">
        <v>1128762.0</v>
      </c>
      <c r="E97" s="83">
        <v>1179013.0</v>
      </c>
      <c r="F97" s="83"/>
      <c r="G97" s="91" t="str">
        <f>IFERROR(__xludf.DUMMYFUNCTION("XLOOKUP(AS97,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DE TEMPO INTEGRAL VELHO CHICO- DISTRITO DE BARRA DO PARATECA - COMUNIDADE QUILOMBOLA")</f>
        <v>ANEXO - COLÉGIO ESTADUAL DE TEMPO INTEGRAL VELHO CHICO- DISTRITO DE BARRA DO PARATECA - COMUNIDADE QUILOMBOLA</v>
      </c>
      <c r="H97" s="119" t="s">
        <v>564</v>
      </c>
      <c r="I97" s="91" t="s">
        <v>565</v>
      </c>
      <c r="J97" s="83" t="s">
        <v>149</v>
      </c>
      <c r="K97" s="83" t="s">
        <v>464</v>
      </c>
      <c r="L97" s="83" t="s">
        <v>151</v>
      </c>
      <c r="M97" s="83" t="s">
        <v>169</v>
      </c>
      <c r="N97" s="115" t="s">
        <v>170</v>
      </c>
      <c r="O97" s="98" t="s">
        <v>155</v>
      </c>
      <c r="P97" s="99" t="str">
        <f>IFERROR(__xludf.DUMMYFUNCTION("IFERROR(VLOOKUP(AS97,IMPORTRANGE(""https://docs.google.com/spreadsheets/d/1juPI-Fb8LD0YtltB2mlGEnp_R3UVu1t3wSFPzgCyHXE/edit?gid=0#gid=0"",""GERAL!A2:C""),3,0),""-"")"),"QUILOMBOLAS")</f>
        <v>QUILOMBOLAS</v>
      </c>
      <c r="Q97" s="98" t="s">
        <v>171</v>
      </c>
      <c r="R97" s="98">
        <v>5.0</v>
      </c>
      <c r="S97" s="98" t="s">
        <v>171</v>
      </c>
      <c r="T97" s="98" t="s">
        <v>171</v>
      </c>
      <c r="U97" s="98" t="s">
        <v>171</v>
      </c>
      <c r="V97" s="98" t="s">
        <v>171</v>
      </c>
      <c r="W97" s="98" t="s">
        <v>171</v>
      </c>
      <c r="X97" s="98" t="s">
        <v>171</v>
      </c>
      <c r="Y97" s="98" t="s">
        <v>171</v>
      </c>
      <c r="Z97" s="98" t="s">
        <v>171</v>
      </c>
      <c r="AA97" s="98" t="s">
        <v>171</v>
      </c>
      <c r="AB97" s="98" t="s">
        <v>171</v>
      </c>
      <c r="AC97" s="98" t="s">
        <v>171</v>
      </c>
      <c r="AD97" s="98" t="s">
        <v>171</v>
      </c>
      <c r="AE97" s="98" t="s">
        <v>171</v>
      </c>
      <c r="AF97" s="98" t="s">
        <v>171</v>
      </c>
      <c r="AG97" s="98" t="s">
        <v>171</v>
      </c>
      <c r="AH97" s="98" t="s">
        <v>171</v>
      </c>
      <c r="AI97" s="98" t="s">
        <v>171</v>
      </c>
      <c r="AJ97" s="98" t="s">
        <v>171</v>
      </c>
      <c r="AK97" s="98" t="s">
        <v>171</v>
      </c>
      <c r="AL97" s="98" t="s">
        <v>171</v>
      </c>
      <c r="AM97" s="98" t="s">
        <v>171</v>
      </c>
      <c r="AN97" s="98" t="s">
        <v>171</v>
      </c>
      <c r="AO97" s="98" t="s">
        <v>171</v>
      </c>
      <c r="AP97" s="98" t="s">
        <v>171</v>
      </c>
      <c r="AQ97" s="98" t="s">
        <v>171</v>
      </c>
      <c r="AR97" s="102">
        <v>46220.0</v>
      </c>
      <c r="AS97" s="83">
        <v>1179013.0</v>
      </c>
    </row>
    <row r="98" ht="15.75" customHeight="1">
      <c r="A98" s="111" t="s">
        <v>205</v>
      </c>
      <c r="B98" s="83" t="s">
        <v>558</v>
      </c>
      <c r="C98" s="83" t="s">
        <v>164</v>
      </c>
      <c r="D98" s="112">
        <v>1128762.0</v>
      </c>
      <c r="E98" s="83">
        <v>1179011.0</v>
      </c>
      <c r="F98" s="83"/>
      <c r="G98" s="91" t="str">
        <f>IFERROR(__xludf.DUMMYFUNCTION("XLOOKUP(AS98,
IMPORTRANGE(""https://docs.google.com/spreadsheets/d/1YM-djuOLXomrZ9W0B4TyIBsVWnXY4EIOFD9HY-qGfv0/edit?usp=sharing"",""GERAL!BG5:BG""),
IMPORTRANGE(""https://docs.google.com/spreadsheets/d/1YM-djuOLXomrZ9W0B4TyIBsVWnXY4EIOFD9HY-qGfv0/edit?us"&amp;"p=sharing"",""GERAL!G5:G""),
""CÓD. SEC NÃO ENCONTRADO NA PLANILHA DE MATRÍCULA"")"),"ANEXO - COLÉGIO ESTADUAL DE TEMPO INTEGRAL VELHO CHICO - AGROVILA 15")</f>
        <v>ANEXO - COLÉGIO ESTADUAL DE TEMPO INTEGRAL VELHO CHICO - AGROVILA 15</v>
      </c>
      <c r="H98" s="119" t="s">
        <v>566</v>
      </c>
      <c r="I98" s="91" t="s">
        <v>567</v>
      </c>
      <c r="J98" s="83" t="s">
        <v>149</v>
      </c>
      <c r="K98" s="83" t="s">
        <v>568</v>
      </c>
      <c r="L98" s="83" t="s">
        <v>168</v>
      </c>
      <c r="M98" s="83" t="s">
        <v>169</v>
      </c>
      <c r="N98" s="115" t="s">
        <v>170</v>
      </c>
      <c r="O98" s="98" t="s">
        <v>155</v>
      </c>
      <c r="P98" s="99" t="str">
        <f>IFERROR(__xludf.DUMMYFUNCTION("IFERROR(VLOOKUP(AS98,IMPORTRANGE(""https://docs.google.com/spreadsheets/d/1juPI-Fb8LD0YtltB2mlGEnp_R3UVu1t3wSFPzgCyHXE/edit?gid=0#gid=0"",""GERAL!A2:C""),3,0),""-"")"),"CAMPO")</f>
        <v>CAMPO</v>
      </c>
      <c r="Q98" s="98" t="s">
        <v>171</v>
      </c>
      <c r="R98" s="98">
        <v>5.0</v>
      </c>
      <c r="S98" s="98" t="s">
        <v>171</v>
      </c>
      <c r="T98" s="98" t="s">
        <v>171</v>
      </c>
      <c r="U98" s="98" t="s">
        <v>171</v>
      </c>
      <c r="V98" s="98" t="s">
        <v>171</v>
      </c>
      <c r="W98" s="98" t="s">
        <v>171</v>
      </c>
      <c r="X98" s="98" t="s">
        <v>171</v>
      </c>
      <c r="Y98" s="98" t="s">
        <v>171</v>
      </c>
      <c r="Z98" s="98" t="s">
        <v>171</v>
      </c>
      <c r="AA98" s="98" t="s">
        <v>171</v>
      </c>
      <c r="AB98" s="98" t="s">
        <v>171</v>
      </c>
      <c r="AC98" s="98" t="s">
        <v>171</v>
      </c>
      <c r="AD98" s="98" t="s">
        <v>171</v>
      </c>
      <c r="AE98" s="98" t="s">
        <v>171</v>
      </c>
      <c r="AF98" s="98" t="s">
        <v>171</v>
      </c>
      <c r="AG98" s="98" t="s">
        <v>171</v>
      </c>
      <c r="AH98" s="98" t="s">
        <v>171</v>
      </c>
      <c r="AI98" s="98" t="s">
        <v>171</v>
      </c>
      <c r="AJ98" s="98" t="s">
        <v>171</v>
      </c>
      <c r="AK98" s="98" t="s">
        <v>171</v>
      </c>
      <c r="AL98" s="98" t="s">
        <v>171</v>
      </c>
      <c r="AM98" s="98" t="s">
        <v>171</v>
      </c>
      <c r="AN98" s="98" t="s">
        <v>171</v>
      </c>
      <c r="AO98" s="98" t="s">
        <v>171</v>
      </c>
      <c r="AP98" s="98" t="s">
        <v>171</v>
      </c>
      <c r="AQ98" s="98" t="s">
        <v>171</v>
      </c>
      <c r="AR98" s="102">
        <v>46220.0</v>
      </c>
      <c r="AS98" s="83">
        <v>1179011.0</v>
      </c>
    </row>
    <row r="99" ht="15.75" customHeight="1">
      <c r="A99" s="111" t="s">
        <v>205</v>
      </c>
      <c r="B99" s="83" t="s">
        <v>558</v>
      </c>
      <c r="C99" s="83" t="s">
        <v>164</v>
      </c>
      <c r="D99" s="112">
        <v>1179431.0</v>
      </c>
      <c r="E99" s="83">
        <v>1179188.0</v>
      </c>
      <c r="F99" s="83"/>
      <c r="G99" s="91" t="str">
        <f>IFERROR(__xludf.DUMMYFUNCTION("XLOOKUP(AS99,
IMPORTRANGE(""https://docs.google.com/spreadsheets/d/1YM-djuOLXomrZ9W0B4TyIBsVWnXY4EIOFD9HY-qGfv0/edit?usp=sharing"",""GERAL!BG5:BG""),
IMPORTRANGE(""https://docs.google.com/spreadsheets/d/1YM-djuOLXomrZ9W0B4TyIBsVWnXY4EIOFD9HY-qGfv0/edit?us"&amp;"p=sharing"",""GERAL!G5:G""),
""CÓD. SEC NÃO ENCONTRADO NA PLANILHA DE MATRÍCULA"")"),"ANEXO - CEMIT VELHO CHICO - VILA SÃO JOSÉ")</f>
        <v>ANEXO - CEMIT VELHO CHICO - VILA SÃO JOSÉ</v>
      </c>
      <c r="H99" s="114" t="s">
        <v>570</v>
      </c>
      <c r="I99" s="91" t="s">
        <v>571</v>
      </c>
      <c r="J99" s="83" t="s">
        <v>149</v>
      </c>
      <c r="K99" s="83" t="s">
        <v>183</v>
      </c>
      <c r="L99" s="83" t="s">
        <v>168</v>
      </c>
      <c r="M99" s="83" t="s">
        <v>230</v>
      </c>
      <c r="N99" s="115" t="s">
        <v>170</v>
      </c>
      <c r="O99" s="98" t="s">
        <v>155</v>
      </c>
      <c r="P99" s="99" t="str">
        <f>IFERROR(__xludf.DUMMYFUNCTION("IFERROR(VLOOKUP(AS99,IMPORTRANGE(""https://docs.google.com/spreadsheets/d/1juPI-Fb8LD0YtltB2mlGEnp_R3UVu1t3wSFPzgCyHXE/edit?gid=0#gid=0"",""GERAL!A2:C""),3,0),""-"")"),"-")</f>
        <v>-</v>
      </c>
      <c r="Q99" s="98" t="s">
        <v>171</v>
      </c>
      <c r="R99" s="98">
        <v>3.0</v>
      </c>
      <c r="S99" s="98" t="s">
        <v>171</v>
      </c>
      <c r="T99" s="98" t="s">
        <v>171</v>
      </c>
      <c r="U99" s="98" t="s">
        <v>171</v>
      </c>
      <c r="V99" s="98" t="s">
        <v>171</v>
      </c>
      <c r="W99" s="98" t="s">
        <v>171</v>
      </c>
      <c r="X99" s="98" t="s">
        <v>171</v>
      </c>
      <c r="Y99" s="98" t="s">
        <v>171</v>
      </c>
      <c r="Z99" s="98" t="s">
        <v>171</v>
      </c>
      <c r="AA99" s="98" t="s">
        <v>171</v>
      </c>
      <c r="AB99" s="98" t="s">
        <v>171</v>
      </c>
      <c r="AC99" s="98" t="s">
        <v>171</v>
      </c>
      <c r="AD99" s="98" t="s">
        <v>171</v>
      </c>
      <c r="AE99" s="98" t="s">
        <v>171</v>
      </c>
      <c r="AF99" s="98" t="s">
        <v>171</v>
      </c>
      <c r="AG99" s="98" t="s">
        <v>171</v>
      </c>
      <c r="AH99" s="98" t="s">
        <v>171</v>
      </c>
      <c r="AI99" s="98" t="s">
        <v>171</v>
      </c>
      <c r="AJ99" s="98" t="s">
        <v>171</v>
      </c>
      <c r="AK99" s="98" t="s">
        <v>171</v>
      </c>
      <c r="AL99" s="98" t="s">
        <v>171</v>
      </c>
      <c r="AM99" s="98" t="s">
        <v>171</v>
      </c>
      <c r="AN99" s="98" t="s">
        <v>171</v>
      </c>
      <c r="AO99" s="98" t="s">
        <v>171</v>
      </c>
      <c r="AP99" s="98" t="s">
        <v>171</v>
      </c>
      <c r="AQ99" s="98" t="s">
        <v>171</v>
      </c>
      <c r="AR99" s="102">
        <v>46220.0</v>
      </c>
      <c r="AS99" s="83">
        <v>1179188.0</v>
      </c>
    </row>
    <row r="100" ht="15.75" customHeight="1">
      <c r="A100" s="111" t="s">
        <v>205</v>
      </c>
      <c r="B100" s="83" t="s">
        <v>558</v>
      </c>
      <c r="C100" s="83" t="s">
        <v>164</v>
      </c>
      <c r="D100" s="112">
        <v>1179431.0</v>
      </c>
      <c r="E100" s="83">
        <v>1179014.0</v>
      </c>
      <c r="F100" s="83"/>
      <c r="G100" s="91" t="str">
        <f>IFERROR(__xludf.DUMMYFUNCTION("XLOOKUP(AS100,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VELHO CHICO - POVOADO SÃO JOSÉ")</f>
        <v>ANEXO - CEMIT VELHO CHICO - POVOADO SÃO JOSÉ</v>
      </c>
      <c r="H100" s="114" t="s">
        <v>572</v>
      </c>
      <c r="I100" s="91" t="s">
        <v>573</v>
      </c>
      <c r="J100" s="83" t="s">
        <v>149</v>
      </c>
      <c r="K100" s="83" t="s">
        <v>183</v>
      </c>
      <c r="L100" s="83" t="s">
        <v>151</v>
      </c>
      <c r="M100" s="83" t="s">
        <v>169</v>
      </c>
      <c r="N100" s="115" t="s">
        <v>170</v>
      </c>
      <c r="O100" s="98" t="s">
        <v>155</v>
      </c>
      <c r="P100" s="99" t="str">
        <f>IFERROR(__xludf.DUMMYFUNCTION("IFERROR(VLOOKUP(AS100,IMPORTRANGE(""https://docs.google.com/spreadsheets/d/1juPI-Fb8LD0YtltB2mlGEnp_R3UVu1t3wSFPzgCyHXE/edit?gid=0#gid=0"",""GERAL!A2:C""),3,0),""-"")"),"-")</f>
        <v>-</v>
      </c>
      <c r="Q100" s="98" t="s">
        <v>171</v>
      </c>
      <c r="R100" s="98">
        <v>3.0</v>
      </c>
      <c r="S100" s="98" t="s">
        <v>171</v>
      </c>
      <c r="T100" s="98" t="s">
        <v>171</v>
      </c>
      <c r="U100" s="98" t="s">
        <v>171</v>
      </c>
      <c r="V100" s="98" t="s">
        <v>171</v>
      </c>
      <c r="W100" s="98" t="s">
        <v>171</v>
      </c>
      <c r="X100" s="98" t="s">
        <v>171</v>
      </c>
      <c r="Y100" s="98" t="s">
        <v>171</v>
      </c>
      <c r="Z100" s="98" t="s">
        <v>171</v>
      </c>
      <c r="AA100" s="98" t="s">
        <v>171</v>
      </c>
      <c r="AB100" s="98" t="s">
        <v>171</v>
      </c>
      <c r="AC100" s="98" t="s">
        <v>171</v>
      </c>
      <c r="AD100" s="98" t="s">
        <v>171</v>
      </c>
      <c r="AE100" s="98" t="s">
        <v>171</v>
      </c>
      <c r="AF100" s="98" t="s">
        <v>171</v>
      </c>
      <c r="AG100" s="98" t="s">
        <v>171</v>
      </c>
      <c r="AH100" s="98" t="s">
        <v>171</v>
      </c>
      <c r="AI100" s="98" t="s">
        <v>171</v>
      </c>
      <c r="AJ100" s="98" t="s">
        <v>171</v>
      </c>
      <c r="AK100" s="98" t="s">
        <v>171</v>
      </c>
      <c r="AL100" s="98" t="s">
        <v>171</v>
      </c>
      <c r="AM100" s="98" t="s">
        <v>171</v>
      </c>
      <c r="AN100" s="98" t="s">
        <v>171</v>
      </c>
      <c r="AO100" s="98" t="s">
        <v>171</v>
      </c>
      <c r="AP100" s="98" t="s">
        <v>171</v>
      </c>
      <c r="AQ100" s="98" t="s">
        <v>171</v>
      </c>
      <c r="AR100" s="102">
        <v>46220.0</v>
      </c>
      <c r="AS100" s="83">
        <v>1179014.0</v>
      </c>
    </row>
    <row r="101" ht="15.75" customHeight="1">
      <c r="A101" s="111" t="s">
        <v>205</v>
      </c>
      <c r="B101" s="83" t="s">
        <v>558</v>
      </c>
      <c r="C101" s="83" t="s">
        <v>164</v>
      </c>
      <c r="D101" s="112">
        <v>1179431.0</v>
      </c>
      <c r="E101" s="83">
        <v>1179503.0</v>
      </c>
      <c r="F101" s="83"/>
      <c r="G101" s="91" t="str">
        <f>IFERROR(__xludf.DUMMYFUNCTION("XLOOKUP(AS101,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VELHO CHICO - AGUADA DO MEIO")</f>
        <v>ANEXO - CEMIT VELHO CHICO - AGUADA DO MEIO</v>
      </c>
      <c r="H101" s="114" t="s">
        <v>574</v>
      </c>
      <c r="I101" s="91" t="s">
        <v>575</v>
      </c>
      <c r="J101" s="83" t="s">
        <v>576</v>
      </c>
      <c r="K101" s="83" t="s">
        <v>577</v>
      </c>
      <c r="L101" s="83" t="s">
        <v>168</v>
      </c>
      <c r="M101" s="83" t="s">
        <v>152</v>
      </c>
      <c r="N101" s="115" t="s">
        <v>170</v>
      </c>
      <c r="O101" s="98" t="s">
        <v>155</v>
      </c>
      <c r="P101" s="99" t="str">
        <f>IFERROR(__xludf.DUMMYFUNCTION("IFERROR(VLOOKUP(AS101,IMPORTRANGE(""https://docs.google.com/spreadsheets/d/1juPI-Fb8LD0YtltB2mlGEnp_R3UVu1t3wSFPzgCyHXE/edit?gid=0#gid=0"",""GERAL!A2:C""),3,0),""-"")"),"-")</f>
        <v>-</v>
      </c>
      <c r="Q101" s="98" t="s">
        <v>171</v>
      </c>
      <c r="R101" s="98">
        <v>3.0</v>
      </c>
      <c r="S101" s="98" t="s">
        <v>171</v>
      </c>
      <c r="T101" s="98" t="s">
        <v>171</v>
      </c>
      <c r="U101" s="98" t="s">
        <v>171</v>
      </c>
      <c r="V101" s="98" t="s">
        <v>171</v>
      </c>
      <c r="W101" s="98" t="s">
        <v>171</v>
      </c>
      <c r="X101" s="98" t="s">
        <v>171</v>
      </c>
      <c r="Y101" s="98" t="s">
        <v>171</v>
      </c>
      <c r="Z101" s="98" t="s">
        <v>171</v>
      </c>
      <c r="AA101" s="98" t="s">
        <v>171</v>
      </c>
      <c r="AB101" s="98" t="s">
        <v>171</v>
      </c>
      <c r="AC101" s="98" t="s">
        <v>171</v>
      </c>
      <c r="AD101" s="98" t="s">
        <v>171</v>
      </c>
      <c r="AE101" s="98" t="s">
        <v>171</v>
      </c>
      <c r="AF101" s="98" t="s">
        <v>171</v>
      </c>
      <c r="AG101" s="98" t="s">
        <v>171</v>
      </c>
      <c r="AH101" s="98" t="s">
        <v>171</v>
      </c>
      <c r="AI101" s="98" t="s">
        <v>171</v>
      </c>
      <c r="AJ101" s="98" t="s">
        <v>171</v>
      </c>
      <c r="AK101" s="98" t="s">
        <v>171</v>
      </c>
      <c r="AL101" s="98" t="s">
        <v>171</v>
      </c>
      <c r="AM101" s="98" t="s">
        <v>171</v>
      </c>
      <c r="AN101" s="98" t="s">
        <v>171</v>
      </c>
      <c r="AO101" s="98" t="s">
        <v>171</v>
      </c>
      <c r="AP101" s="98" t="s">
        <v>171</v>
      </c>
      <c r="AQ101" s="98" t="s">
        <v>171</v>
      </c>
      <c r="AR101" s="102">
        <v>46220.0</v>
      </c>
      <c r="AS101" s="83">
        <v>1179503.0</v>
      </c>
    </row>
    <row r="102" ht="15.75" customHeight="1">
      <c r="A102" s="111" t="s">
        <v>205</v>
      </c>
      <c r="B102" s="83" t="s">
        <v>558</v>
      </c>
      <c r="C102" s="83" t="s">
        <v>164</v>
      </c>
      <c r="D102" s="112">
        <v>1179431.0</v>
      </c>
      <c r="E102" s="83">
        <v>1179008.0</v>
      </c>
      <c r="F102" s="83"/>
      <c r="G102" s="91" t="str">
        <f>IFERROR(__xludf.DUMMYFUNCTION("XLOOKUP(AS102,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VELHO CHICO - AGROVILA 16")</f>
        <v>ANEXO - CEMIT VELHO CHICO - AGROVILA 16</v>
      </c>
      <c r="H102" s="114" t="s">
        <v>578</v>
      </c>
      <c r="I102" s="91" t="s">
        <v>579</v>
      </c>
      <c r="J102" s="83" t="s">
        <v>149</v>
      </c>
      <c r="K102" s="83" t="s">
        <v>191</v>
      </c>
      <c r="L102" s="83" t="s">
        <v>168</v>
      </c>
      <c r="M102" s="83" t="s">
        <v>169</v>
      </c>
      <c r="N102" s="115" t="s">
        <v>170</v>
      </c>
      <c r="O102" s="98" t="s">
        <v>155</v>
      </c>
      <c r="P102" s="99" t="str">
        <f>IFERROR(__xludf.DUMMYFUNCTION("IFERROR(VLOOKUP(AS102,IMPORTRANGE(""https://docs.google.com/spreadsheets/d/1juPI-Fb8LD0YtltB2mlGEnp_R3UVu1t3wSFPzgCyHXE/edit?gid=0#gid=0"",""GERAL!A2:C""),3,0),""-"")"),"-")</f>
        <v>-</v>
      </c>
      <c r="Q102" s="98" t="s">
        <v>171</v>
      </c>
      <c r="R102" s="98">
        <v>3.0</v>
      </c>
      <c r="S102" s="98" t="s">
        <v>171</v>
      </c>
      <c r="T102" s="98" t="s">
        <v>171</v>
      </c>
      <c r="U102" s="98" t="s">
        <v>171</v>
      </c>
      <c r="V102" s="98" t="s">
        <v>171</v>
      </c>
      <c r="W102" s="98" t="s">
        <v>171</v>
      </c>
      <c r="X102" s="98" t="s">
        <v>171</v>
      </c>
      <c r="Y102" s="98" t="s">
        <v>171</v>
      </c>
      <c r="Z102" s="98" t="s">
        <v>171</v>
      </c>
      <c r="AA102" s="98" t="s">
        <v>171</v>
      </c>
      <c r="AB102" s="98" t="s">
        <v>171</v>
      </c>
      <c r="AC102" s="98" t="s">
        <v>171</v>
      </c>
      <c r="AD102" s="98" t="s">
        <v>171</v>
      </c>
      <c r="AE102" s="98" t="s">
        <v>171</v>
      </c>
      <c r="AF102" s="98" t="s">
        <v>171</v>
      </c>
      <c r="AG102" s="98" t="s">
        <v>171</v>
      </c>
      <c r="AH102" s="98" t="s">
        <v>171</v>
      </c>
      <c r="AI102" s="98" t="s">
        <v>171</v>
      </c>
      <c r="AJ102" s="98" t="s">
        <v>171</v>
      </c>
      <c r="AK102" s="98" t="s">
        <v>171</v>
      </c>
      <c r="AL102" s="98" t="s">
        <v>171</v>
      </c>
      <c r="AM102" s="98" t="s">
        <v>171</v>
      </c>
      <c r="AN102" s="98" t="s">
        <v>171</v>
      </c>
      <c r="AO102" s="98" t="s">
        <v>171</v>
      </c>
      <c r="AP102" s="98" t="s">
        <v>171</v>
      </c>
      <c r="AQ102" s="98" t="s">
        <v>171</v>
      </c>
      <c r="AR102" s="102">
        <v>46220.0</v>
      </c>
      <c r="AS102" s="83">
        <v>1179008.0</v>
      </c>
    </row>
    <row r="103" ht="15.75" customHeight="1">
      <c r="A103" s="111" t="s">
        <v>205</v>
      </c>
      <c r="B103" s="83" t="s">
        <v>558</v>
      </c>
      <c r="C103" s="83" t="s">
        <v>164</v>
      </c>
      <c r="D103" s="112">
        <v>1179431.0</v>
      </c>
      <c r="E103" s="83">
        <v>1179394.0</v>
      </c>
      <c r="F103" s="83"/>
      <c r="G103" s="91" t="str">
        <f>IFERROR(__xludf.DUMMYFUNCTION("XLOOKUP(AS103,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DO VELHO CHICO - POVOADO DE MARREQUEIRO")</f>
        <v>ANEXO - CEMIT DO VELHO CHICO - POVOADO DE MARREQUEIRO</v>
      </c>
      <c r="H103" s="114" t="s">
        <v>580</v>
      </c>
      <c r="I103" s="91" t="s">
        <v>581</v>
      </c>
      <c r="J103" s="83" t="s">
        <v>149</v>
      </c>
      <c r="K103" s="83" t="s">
        <v>334</v>
      </c>
      <c r="L103" s="83" t="s">
        <v>168</v>
      </c>
      <c r="M103" s="83" t="s">
        <v>169</v>
      </c>
      <c r="N103" s="115" t="s">
        <v>170</v>
      </c>
      <c r="O103" s="98" t="s">
        <v>155</v>
      </c>
      <c r="P103" s="99" t="str">
        <f>IFERROR(__xludf.DUMMYFUNCTION("IFERROR(VLOOKUP(AS103,IMPORTRANGE(""https://docs.google.com/spreadsheets/d/1juPI-Fb8LD0YtltB2mlGEnp_R3UVu1t3wSFPzgCyHXE/edit?gid=0#gid=0"",""GERAL!A2:C""),3,0),""-"")"),"-")</f>
        <v>-</v>
      </c>
      <c r="Q103" s="98" t="s">
        <v>171</v>
      </c>
      <c r="R103" s="98">
        <v>2.0</v>
      </c>
      <c r="S103" s="98" t="s">
        <v>171</v>
      </c>
      <c r="T103" s="98" t="s">
        <v>171</v>
      </c>
      <c r="U103" s="98" t="s">
        <v>171</v>
      </c>
      <c r="V103" s="98" t="s">
        <v>171</v>
      </c>
      <c r="W103" s="98" t="s">
        <v>171</v>
      </c>
      <c r="X103" s="98" t="s">
        <v>171</v>
      </c>
      <c r="Y103" s="98" t="s">
        <v>171</v>
      </c>
      <c r="Z103" s="98" t="s">
        <v>171</v>
      </c>
      <c r="AA103" s="98" t="s">
        <v>171</v>
      </c>
      <c r="AB103" s="98" t="s">
        <v>171</v>
      </c>
      <c r="AC103" s="98" t="s">
        <v>171</v>
      </c>
      <c r="AD103" s="98" t="s">
        <v>171</v>
      </c>
      <c r="AE103" s="98" t="s">
        <v>171</v>
      </c>
      <c r="AF103" s="98" t="s">
        <v>171</v>
      </c>
      <c r="AG103" s="98" t="s">
        <v>171</v>
      </c>
      <c r="AH103" s="98" t="s">
        <v>171</v>
      </c>
      <c r="AI103" s="98" t="s">
        <v>171</v>
      </c>
      <c r="AJ103" s="98" t="s">
        <v>171</v>
      </c>
      <c r="AK103" s="98" t="s">
        <v>171</v>
      </c>
      <c r="AL103" s="98" t="s">
        <v>171</v>
      </c>
      <c r="AM103" s="98" t="s">
        <v>171</v>
      </c>
      <c r="AN103" s="98" t="s">
        <v>171</v>
      </c>
      <c r="AO103" s="98" t="s">
        <v>171</v>
      </c>
      <c r="AP103" s="98" t="s">
        <v>171</v>
      </c>
      <c r="AQ103" s="98" t="s">
        <v>171</v>
      </c>
      <c r="AR103" s="102">
        <v>46220.0</v>
      </c>
      <c r="AS103" s="83">
        <v>1179394.0</v>
      </c>
    </row>
    <row r="104" ht="15.75" customHeight="1">
      <c r="A104" s="111" t="s">
        <v>205</v>
      </c>
      <c r="B104" s="83" t="s">
        <v>558</v>
      </c>
      <c r="C104" s="83" t="s">
        <v>164</v>
      </c>
      <c r="D104" s="112">
        <v>1179431.0</v>
      </c>
      <c r="E104" s="83">
        <v>1179010.0</v>
      </c>
      <c r="F104" s="83"/>
      <c r="G104" s="91" t="str">
        <f>IFERROR(__xludf.DUMMYFUNCTION("XLOOKUP(AS104,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DISTRITO DE CAPINÃO")</f>
        <v>ANEXO - CEMIT - VELHO CHICO - DISTRITO DE CAPINÃO</v>
      </c>
      <c r="H104" s="114" t="s">
        <v>582</v>
      </c>
      <c r="I104" s="91" t="s">
        <v>583</v>
      </c>
      <c r="J104" s="83" t="s">
        <v>149</v>
      </c>
      <c r="K104" s="83" t="s">
        <v>440</v>
      </c>
      <c r="L104" s="83" t="s">
        <v>168</v>
      </c>
      <c r="M104" s="83" t="s">
        <v>169</v>
      </c>
      <c r="N104" s="115" t="s">
        <v>170</v>
      </c>
      <c r="O104" s="98" t="s">
        <v>155</v>
      </c>
      <c r="P104" s="99" t="str">
        <f>IFERROR(__xludf.DUMMYFUNCTION("IFERROR(VLOOKUP(AS104,IMPORTRANGE(""https://docs.google.com/spreadsheets/d/1juPI-Fb8LD0YtltB2mlGEnp_R3UVu1t3wSFPzgCyHXE/edit?gid=0#gid=0"",""GERAL!A2:C""),3,0),""-"")"),"-")</f>
        <v>-</v>
      </c>
      <c r="Q104" s="98" t="s">
        <v>171</v>
      </c>
      <c r="R104" s="98">
        <v>1.0</v>
      </c>
      <c r="S104" s="98" t="s">
        <v>171</v>
      </c>
      <c r="T104" s="98" t="s">
        <v>171</v>
      </c>
      <c r="U104" s="98" t="s">
        <v>171</v>
      </c>
      <c r="V104" s="98" t="s">
        <v>171</v>
      </c>
      <c r="W104" s="98" t="s">
        <v>171</v>
      </c>
      <c r="X104" s="98" t="s">
        <v>171</v>
      </c>
      <c r="Y104" s="98" t="s">
        <v>171</v>
      </c>
      <c r="Z104" s="98" t="s">
        <v>171</v>
      </c>
      <c r="AA104" s="98" t="s">
        <v>171</v>
      </c>
      <c r="AB104" s="98" t="s">
        <v>171</v>
      </c>
      <c r="AC104" s="98" t="s">
        <v>171</v>
      </c>
      <c r="AD104" s="98" t="s">
        <v>171</v>
      </c>
      <c r="AE104" s="98" t="s">
        <v>171</v>
      </c>
      <c r="AF104" s="98" t="s">
        <v>171</v>
      </c>
      <c r="AG104" s="98" t="s">
        <v>171</v>
      </c>
      <c r="AH104" s="98" t="s">
        <v>171</v>
      </c>
      <c r="AI104" s="98" t="s">
        <v>171</v>
      </c>
      <c r="AJ104" s="98" t="s">
        <v>171</v>
      </c>
      <c r="AK104" s="98" t="s">
        <v>171</v>
      </c>
      <c r="AL104" s="98" t="s">
        <v>171</v>
      </c>
      <c r="AM104" s="98" t="s">
        <v>171</v>
      </c>
      <c r="AN104" s="98" t="s">
        <v>171</v>
      </c>
      <c r="AO104" s="98" t="s">
        <v>171</v>
      </c>
      <c r="AP104" s="98" t="s">
        <v>171</v>
      </c>
      <c r="AQ104" s="98" t="s">
        <v>171</v>
      </c>
      <c r="AR104" s="102">
        <v>46220.0</v>
      </c>
      <c r="AS104" s="83">
        <v>1179010.0</v>
      </c>
    </row>
    <row r="105" ht="15.75" customHeight="1">
      <c r="A105" s="111" t="s">
        <v>205</v>
      </c>
      <c r="B105" s="83" t="s">
        <v>558</v>
      </c>
      <c r="C105" s="83" t="s">
        <v>164</v>
      </c>
      <c r="D105" s="112">
        <v>1179431.0</v>
      </c>
      <c r="E105" s="83">
        <v>1179009.0</v>
      </c>
      <c r="F105" s="83"/>
      <c r="G105" s="91" t="str">
        <f>IFERROR(__xludf.DUMMYFUNCTION("XLOOKUP(AS105,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DISTRITO DE ANGICO")</f>
        <v>ANEXO - CEMIT - VELHO CHICO - DISTRITO DE ANGICO</v>
      </c>
      <c r="H105" s="114" t="s">
        <v>584</v>
      </c>
      <c r="I105" s="91" t="s">
        <v>585</v>
      </c>
      <c r="J105" s="83" t="s">
        <v>149</v>
      </c>
      <c r="K105" s="83" t="s">
        <v>167</v>
      </c>
      <c r="L105" s="83" t="s">
        <v>168</v>
      </c>
      <c r="M105" s="83" t="s">
        <v>169</v>
      </c>
      <c r="N105" s="115" t="s">
        <v>170</v>
      </c>
      <c r="O105" s="98" t="s">
        <v>155</v>
      </c>
      <c r="P105" s="99" t="str">
        <f>IFERROR(__xludf.DUMMYFUNCTION("IFERROR(VLOOKUP(AS105,IMPORTRANGE(""https://docs.google.com/spreadsheets/d/1juPI-Fb8LD0YtltB2mlGEnp_R3UVu1t3wSFPzgCyHXE/edit?gid=0#gid=0"",""GERAL!A2:C""),3,0),""-"")"),"-")</f>
        <v>-</v>
      </c>
      <c r="Q105" s="98" t="s">
        <v>171</v>
      </c>
      <c r="R105" s="98">
        <v>1.0</v>
      </c>
      <c r="S105" s="98" t="s">
        <v>171</v>
      </c>
      <c r="T105" s="98" t="s">
        <v>171</v>
      </c>
      <c r="U105" s="98" t="s">
        <v>171</v>
      </c>
      <c r="V105" s="98" t="s">
        <v>171</v>
      </c>
      <c r="W105" s="98" t="s">
        <v>171</v>
      </c>
      <c r="X105" s="98" t="s">
        <v>171</v>
      </c>
      <c r="Y105" s="98" t="s">
        <v>171</v>
      </c>
      <c r="Z105" s="98" t="s">
        <v>171</v>
      </c>
      <c r="AA105" s="98" t="s">
        <v>171</v>
      </c>
      <c r="AB105" s="98" t="s">
        <v>171</v>
      </c>
      <c r="AC105" s="98" t="s">
        <v>171</v>
      </c>
      <c r="AD105" s="98" t="s">
        <v>171</v>
      </c>
      <c r="AE105" s="98" t="s">
        <v>171</v>
      </c>
      <c r="AF105" s="98" t="s">
        <v>171</v>
      </c>
      <c r="AG105" s="98" t="s">
        <v>171</v>
      </c>
      <c r="AH105" s="98" t="s">
        <v>171</v>
      </c>
      <c r="AI105" s="98" t="s">
        <v>171</v>
      </c>
      <c r="AJ105" s="98" t="s">
        <v>171</v>
      </c>
      <c r="AK105" s="98" t="s">
        <v>171</v>
      </c>
      <c r="AL105" s="98" t="s">
        <v>171</v>
      </c>
      <c r="AM105" s="98" t="s">
        <v>171</v>
      </c>
      <c r="AN105" s="98" t="s">
        <v>171</v>
      </c>
      <c r="AO105" s="98" t="s">
        <v>171</v>
      </c>
      <c r="AP105" s="98" t="s">
        <v>171</v>
      </c>
      <c r="AQ105" s="98" t="s">
        <v>171</v>
      </c>
      <c r="AR105" s="102">
        <v>46220.0</v>
      </c>
      <c r="AS105" s="83">
        <v>1179009.0</v>
      </c>
    </row>
    <row r="106" ht="15.75" customHeight="1">
      <c r="A106" s="111" t="s">
        <v>205</v>
      </c>
      <c r="B106" s="83" t="s">
        <v>558</v>
      </c>
      <c r="C106" s="83" t="s">
        <v>164</v>
      </c>
      <c r="D106" s="112">
        <v>1179431.0</v>
      </c>
      <c r="E106" s="83">
        <v>1179015.0</v>
      </c>
      <c r="F106" s="83"/>
      <c r="G106" s="91" t="str">
        <f>IFERROR(__xludf.DUMMYFUNCTION("XLOOKUP(AS106,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AGROVILA 23")</f>
        <v>ANEXO - CEMIT - VELHO CHICO - AGROVILA 23</v>
      </c>
      <c r="H106" s="114" t="s">
        <v>586</v>
      </c>
      <c r="I106" s="91" t="s">
        <v>587</v>
      </c>
      <c r="J106" s="83" t="s">
        <v>149</v>
      </c>
      <c r="K106" s="83" t="s">
        <v>588</v>
      </c>
      <c r="L106" s="83" t="s">
        <v>168</v>
      </c>
      <c r="M106" s="83" t="s">
        <v>169</v>
      </c>
      <c r="N106" s="115" t="s">
        <v>170</v>
      </c>
      <c r="O106" s="98" t="s">
        <v>155</v>
      </c>
      <c r="P106" s="99" t="str">
        <f>IFERROR(__xludf.DUMMYFUNCTION("IFERROR(VLOOKUP(AS106,IMPORTRANGE(""https://docs.google.com/spreadsheets/d/1juPI-Fb8LD0YtltB2mlGEnp_R3UVu1t3wSFPzgCyHXE/edit?gid=0#gid=0"",""GERAL!A2:C""),3,0),""-"")"),"-")</f>
        <v>-</v>
      </c>
      <c r="Q106" s="98" t="s">
        <v>171</v>
      </c>
      <c r="R106" s="98">
        <v>4.0</v>
      </c>
      <c r="S106" s="98" t="s">
        <v>171</v>
      </c>
      <c r="T106" s="98" t="s">
        <v>171</v>
      </c>
      <c r="U106" s="98" t="s">
        <v>171</v>
      </c>
      <c r="V106" s="98" t="s">
        <v>171</v>
      </c>
      <c r="W106" s="98" t="s">
        <v>171</v>
      </c>
      <c r="X106" s="98" t="s">
        <v>171</v>
      </c>
      <c r="Y106" s="98" t="s">
        <v>171</v>
      </c>
      <c r="Z106" s="98" t="s">
        <v>171</v>
      </c>
      <c r="AA106" s="98" t="s">
        <v>171</v>
      </c>
      <c r="AB106" s="98" t="s">
        <v>171</v>
      </c>
      <c r="AC106" s="98" t="s">
        <v>171</v>
      </c>
      <c r="AD106" s="98" t="s">
        <v>171</v>
      </c>
      <c r="AE106" s="98" t="s">
        <v>171</v>
      </c>
      <c r="AF106" s="98" t="s">
        <v>171</v>
      </c>
      <c r="AG106" s="98" t="s">
        <v>171</v>
      </c>
      <c r="AH106" s="98" t="s">
        <v>171</v>
      </c>
      <c r="AI106" s="98" t="s">
        <v>171</v>
      </c>
      <c r="AJ106" s="98" t="s">
        <v>171</v>
      </c>
      <c r="AK106" s="98" t="s">
        <v>171</v>
      </c>
      <c r="AL106" s="98" t="s">
        <v>171</v>
      </c>
      <c r="AM106" s="98" t="s">
        <v>171</v>
      </c>
      <c r="AN106" s="98" t="s">
        <v>171</v>
      </c>
      <c r="AO106" s="98" t="s">
        <v>171</v>
      </c>
      <c r="AP106" s="98" t="s">
        <v>171</v>
      </c>
      <c r="AQ106" s="98" t="s">
        <v>171</v>
      </c>
      <c r="AR106" s="102">
        <v>46220.0</v>
      </c>
      <c r="AS106" s="83">
        <v>1179015.0</v>
      </c>
    </row>
    <row r="107" ht="15.75" customHeight="1">
      <c r="A107" s="111" t="s">
        <v>205</v>
      </c>
      <c r="B107" s="83" t="s">
        <v>589</v>
      </c>
      <c r="C107" s="83" t="s">
        <v>68</v>
      </c>
      <c r="D107" s="112">
        <v>1178280.0</v>
      </c>
      <c r="E107" s="83"/>
      <c r="F107" s="83">
        <v>2.9455405E7</v>
      </c>
      <c r="G107" s="91" t="str">
        <f>IFERROR(__xludf.DUMMYFUNCTION("XLOOKUP(AS107,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FILOMENA PEREIRA RODRIGUES - TEMPO INTEGRAL")</f>
        <v>COLÉGIO ESTADUAL FILOMENA PEREIRA RODRIGUES - TEMPO INTEGRAL</v>
      </c>
      <c r="H107" s="119" t="s">
        <v>590</v>
      </c>
      <c r="I107" s="91" t="s">
        <v>591</v>
      </c>
      <c r="J107" s="83" t="s">
        <v>149</v>
      </c>
      <c r="K107" s="83" t="s">
        <v>150</v>
      </c>
      <c r="L107" s="83" t="s">
        <v>151</v>
      </c>
      <c r="M107" s="83" t="s">
        <v>76</v>
      </c>
      <c r="N107" s="98" t="s">
        <v>592</v>
      </c>
      <c r="O107" s="98" t="s">
        <v>155</v>
      </c>
      <c r="P107" s="99" t="str">
        <f>IFERROR(__xludf.DUMMYFUNCTION("IFERROR(VLOOKUP(AS107,IMPORTRANGE(""https://docs.google.com/spreadsheets/d/1juPI-Fb8LD0YtltB2mlGEnp_R3UVu1t3wSFPzgCyHXE/edit?gid=0#gid=0"",""GERAL!A2:C""),3,0),""-"")"),"-")</f>
        <v>-</v>
      </c>
      <c r="Q107" s="101" t="s">
        <v>156</v>
      </c>
      <c r="R107" s="98">
        <v>7.0</v>
      </c>
      <c r="S107" s="98">
        <v>0.0</v>
      </c>
      <c r="T107" s="98">
        <v>0.0</v>
      </c>
      <c r="U107" s="98">
        <v>1.0</v>
      </c>
      <c r="V107" s="98">
        <v>1.0</v>
      </c>
      <c r="W107" s="98">
        <v>0.0</v>
      </c>
      <c r="X107" s="98">
        <v>1.0</v>
      </c>
      <c r="Y107" s="98">
        <v>0.0</v>
      </c>
      <c r="Z107" s="98">
        <v>0.0</v>
      </c>
      <c r="AA107" s="98">
        <v>0.0</v>
      </c>
      <c r="AB107" s="98">
        <v>0.0</v>
      </c>
      <c r="AC107" s="98">
        <v>0.0</v>
      </c>
      <c r="AD107" s="98">
        <v>0.0</v>
      </c>
      <c r="AE107" s="98">
        <v>0.0</v>
      </c>
      <c r="AF107" s="98">
        <v>0.0</v>
      </c>
      <c r="AG107" s="98">
        <v>0.0</v>
      </c>
      <c r="AH107" s="98">
        <v>0.0</v>
      </c>
      <c r="AI107" s="98">
        <v>0.0</v>
      </c>
      <c r="AJ107" s="98">
        <v>0.0</v>
      </c>
      <c r="AK107" s="98">
        <v>0.0</v>
      </c>
      <c r="AL107" s="98">
        <v>0.0</v>
      </c>
      <c r="AM107" s="98">
        <v>0.0</v>
      </c>
      <c r="AN107" s="98">
        <v>0.0</v>
      </c>
      <c r="AO107" s="98">
        <v>0.0</v>
      </c>
      <c r="AP107" s="98">
        <v>1.0</v>
      </c>
      <c r="AQ107" s="98" t="s">
        <v>498</v>
      </c>
      <c r="AR107" s="102">
        <v>46231.0</v>
      </c>
      <c r="AS107" s="83">
        <v>1178280.0</v>
      </c>
    </row>
    <row r="108" ht="15.75" customHeight="1">
      <c r="A108" s="111" t="s">
        <v>205</v>
      </c>
      <c r="B108" s="83" t="s">
        <v>589</v>
      </c>
      <c r="C108" s="83" t="s">
        <v>164</v>
      </c>
      <c r="D108" s="112">
        <v>1178280.0</v>
      </c>
      <c r="E108" s="83">
        <v>1179016.0</v>
      </c>
      <c r="F108" s="83"/>
      <c r="G108" s="91" t="str">
        <f>IFERROR(__xludf.DUMMYFUNCTION("XLOOKUP(AS108,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FILOMENA PEREIRA RODRIGUES - DISTRITO DE RAMALHO")</f>
        <v>ANEXO - COLÉGIO ESTADUAL FILOMENA PEREIRA RODRIGUES - DISTRITO DE RAMALHO</v>
      </c>
      <c r="H108" s="114" t="s">
        <v>593</v>
      </c>
      <c r="I108" s="91" t="s">
        <v>594</v>
      </c>
      <c r="J108" s="136" t="s">
        <v>595</v>
      </c>
      <c r="K108" s="83" t="s">
        <v>467</v>
      </c>
      <c r="L108" s="83" t="s">
        <v>168</v>
      </c>
      <c r="M108" s="83" t="s">
        <v>169</v>
      </c>
      <c r="N108" s="98" t="s">
        <v>596</v>
      </c>
      <c r="O108" s="98" t="s">
        <v>155</v>
      </c>
      <c r="P108" s="99" t="str">
        <f>IFERROR(__xludf.DUMMYFUNCTION("IFERROR(VLOOKUP(AS108,IMPORTRANGE(""https://docs.google.com/spreadsheets/d/1juPI-Fb8LD0YtltB2mlGEnp_R3UVu1t3wSFPzgCyHXE/edit?gid=0#gid=0"",""GERAL!A2:C""),3,0),""-"")"),"CAMPO")</f>
        <v>CAMPO</v>
      </c>
      <c r="Q108" s="101" t="s">
        <v>156</v>
      </c>
      <c r="R108" s="98">
        <v>3.0</v>
      </c>
      <c r="S108" s="98" t="s">
        <v>171</v>
      </c>
      <c r="T108" s="98" t="s">
        <v>171</v>
      </c>
      <c r="U108" s="98" t="s">
        <v>171</v>
      </c>
      <c r="V108" s="98" t="s">
        <v>171</v>
      </c>
      <c r="W108" s="98" t="s">
        <v>171</v>
      </c>
      <c r="X108" s="98" t="s">
        <v>171</v>
      </c>
      <c r="Y108" s="98" t="s">
        <v>171</v>
      </c>
      <c r="Z108" s="98" t="s">
        <v>171</v>
      </c>
      <c r="AA108" s="98" t="s">
        <v>171</v>
      </c>
      <c r="AB108" s="98" t="s">
        <v>171</v>
      </c>
      <c r="AC108" s="98" t="s">
        <v>171</v>
      </c>
      <c r="AD108" s="98" t="s">
        <v>171</v>
      </c>
      <c r="AE108" s="98" t="s">
        <v>171</v>
      </c>
      <c r="AF108" s="98" t="s">
        <v>171</v>
      </c>
      <c r="AG108" s="98" t="s">
        <v>171</v>
      </c>
      <c r="AH108" s="98" t="s">
        <v>171</v>
      </c>
      <c r="AI108" s="98" t="s">
        <v>171</v>
      </c>
      <c r="AJ108" s="98" t="s">
        <v>171</v>
      </c>
      <c r="AK108" s="98" t="s">
        <v>171</v>
      </c>
      <c r="AL108" s="98" t="s">
        <v>171</v>
      </c>
      <c r="AM108" s="98" t="s">
        <v>171</v>
      </c>
      <c r="AN108" s="98" t="s">
        <v>171</v>
      </c>
      <c r="AO108" s="98" t="s">
        <v>171</v>
      </c>
      <c r="AP108" s="98" t="s">
        <v>171</v>
      </c>
      <c r="AQ108" s="98" t="s">
        <v>171</v>
      </c>
      <c r="AR108" s="102">
        <v>46231.0</v>
      </c>
      <c r="AS108" s="83">
        <v>1179016.0</v>
      </c>
    </row>
    <row r="109" ht="15.75" customHeight="1">
      <c r="A109" s="111" t="s">
        <v>205</v>
      </c>
      <c r="B109" s="83" t="s">
        <v>597</v>
      </c>
      <c r="C109" s="83" t="s">
        <v>68</v>
      </c>
      <c r="D109" s="112">
        <v>1178432.0</v>
      </c>
      <c r="E109" s="83"/>
      <c r="F109" s="83">
        <v>2.9345936E7</v>
      </c>
      <c r="G109" s="91" t="str">
        <f>IFERROR(__xludf.DUMMYFUNCTION("XLOOKUP(AS109,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MARECHAL RONDON - ASSENTAMENTO TERRA INDIGENA TUXA")</f>
        <v>COLÉGIO ESTADUAL INDIGENA MARECHAL RONDON - ASSENTAMENTO TERRA INDIGENA TUXA</v>
      </c>
      <c r="H109" s="119" t="s">
        <v>598</v>
      </c>
      <c r="I109" s="91" t="s">
        <v>599</v>
      </c>
      <c r="J109" s="83" t="s">
        <v>600</v>
      </c>
      <c r="K109" s="83" t="s">
        <v>244</v>
      </c>
      <c r="L109" s="83" t="s">
        <v>151</v>
      </c>
      <c r="M109" s="83" t="s">
        <v>169</v>
      </c>
      <c r="N109" s="98" t="s">
        <v>601</v>
      </c>
      <c r="O109" s="98" t="s">
        <v>176</v>
      </c>
      <c r="P109" s="99" t="str">
        <f>IFERROR(__xludf.DUMMYFUNCTION("IFERROR(VLOOKUP(AS109,IMPORTRANGE(""https://docs.google.com/spreadsheets/d/1juPI-Fb8LD0YtltB2mlGEnp_R3UVu1t3wSFPzgCyHXE/edit?gid=0#gid=0"",""GERAL!A2:C""),3,0),""-"")"),"INDÍGENAS")</f>
        <v>INDÍGENAS</v>
      </c>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v>1178432.0</v>
      </c>
    </row>
    <row r="110" ht="15.75" customHeight="1">
      <c r="A110" s="111" t="s">
        <v>205</v>
      </c>
      <c r="B110" s="83" t="s">
        <v>597</v>
      </c>
      <c r="C110" s="83" t="s">
        <v>68</v>
      </c>
      <c r="D110" s="112">
        <v>1127324.0</v>
      </c>
      <c r="E110" s="83"/>
      <c r="F110" s="83">
        <v>2.903882E7</v>
      </c>
      <c r="G110" s="91" t="str">
        <f>IFERROR(__xludf.DUMMYFUNCTION("XLOOKUP(AS110,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ODONTINA LARANJEIRA DE SOUZA")</f>
        <v>COLÉGIO ESTADUAL DE TEMPO INTEGRAL PROFESSORA ODONTINA LARANJEIRA DE SOUZA</v>
      </c>
      <c r="H110" s="119" t="s">
        <v>602</v>
      </c>
      <c r="I110" s="91" t="s">
        <v>603</v>
      </c>
      <c r="J110" s="83" t="s">
        <v>149</v>
      </c>
      <c r="K110" s="83" t="s">
        <v>150</v>
      </c>
      <c r="L110" s="83" t="s">
        <v>151</v>
      </c>
      <c r="M110" s="98" t="s">
        <v>230</v>
      </c>
      <c r="N110" s="137" t="s">
        <v>604</v>
      </c>
      <c r="O110" s="98" t="s">
        <v>162</v>
      </c>
      <c r="P110" s="99" t="str">
        <f>IFERROR(__xludf.DUMMYFUNCTION("IFERROR(VLOOKUP(AS110,IMPORTRANGE(""https://docs.google.com/spreadsheets/d/1juPI-Fb8LD0YtltB2mlGEnp_R3UVu1t3wSFPzgCyHXE/edit?gid=0#gid=0"",""GERAL!A2:C""),3,0),""-"")"),"-")</f>
        <v>-</v>
      </c>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v>1127324.0</v>
      </c>
    </row>
    <row r="111" ht="15.75" customHeight="1">
      <c r="A111" s="111" t="s">
        <v>205</v>
      </c>
      <c r="B111" s="83" t="s">
        <v>597</v>
      </c>
      <c r="C111" s="83" t="s">
        <v>68</v>
      </c>
      <c r="D111" s="112">
        <v>1176434.0</v>
      </c>
      <c r="E111" s="83"/>
      <c r="F111" s="83">
        <v>2.9391512E7</v>
      </c>
      <c r="G111" s="91" t="str">
        <f>IFERROR(__xludf.DUMMYFUNCTION("XLOOKUP(AS111,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DO VELHO CHICO")</f>
        <v>CENTRO TERRITORIAL DE EDUCACAO PROFISSIONAL DO VELHO CHICO</v>
      </c>
      <c r="H111" s="114" t="s">
        <v>606</v>
      </c>
      <c r="I111" s="91" t="s">
        <v>607</v>
      </c>
      <c r="J111" s="83" t="s">
        <v>149</v>
      </c>
      <c r="K111" s="83" t="s">
        <v>150</v>
      </c>
      <c r="L111" s="83" t="s">
        <v>151</v>
      </c>
      <c r="M111" s="83" t="s">
        <v>230</v>
      </c>
      <c r="N111" s="137" t="s">
        <v>608</v>
      </c>
      <c r="O111" s="98" t="s">
        <v>155</v>
      </c>
      <c r="P111" s="99" t="str">
        <f>IFERROR(__xludf.DUMMYFUNCTION("IFERROR(VLOOKUP(AS111,IMPORTRANGE(""https://docs.google.com/spreadsheets/d/1juPI-Fb8LD0YtltB2mlGEnp_R3UVu1t3wSFPzgCyHXE/edit?gid=0#gid=0"",""GERAL!A2:C""),3,0),""-"")"),"-")</f>
        <v>-</v>
      </c>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v>1176434.0</v>
      </c>
    </row>
    <row r="112" ht="15.75" customHeight="1">
      <c r="A112" s="111" t="s">
        <v>205</v>
      </c>
      <c r="B112" s="83" t="s">
        <v>597</v>
      </c>
      <c r="C112" s="83" t="s">
        <v>164</v>
      </c>
      <c r="D112" s="112">
        <v>1179431.0</v>
      </c>
      <c r="E112" s="83">
        <v>1178829.0</v>
      </c>
      <c r="F112" s="83"/>
      <c r="G112" s="91" t="str">
        <f>IFERROR(__xludf.DUMMYFUNCTION("XLOOKUP(AS112,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CHICO-BARRA - POVOADO DE BOA VISTA DO LAGAMAR")</f>
        <v>ANEXO - CEMIT - VELHO CHICO-BARRA - POVOADO DE BOA VISTA DO LAGAMAR</v>
      </c>
      <c r="H112" s="114" t="s">
        <v>609</v>
      </c>
      <c r="I112" s="91" t="s">
        <v>610</v>
      </c>
      <c r="J112" s="136" t="s">
        <v>149</v>
      </c>
      <c r="K112" s="83" t="s">
        <v>440</v>
      </c>
      <c r="L112" s="83" t="s">
        <v>151</v>
      </c>
      <c r="M112" s="83" t="s">
        <v>169</v>
      </c>
      <c r="N112" s="115" t="s">
        <v>170</v>
      </c>
      <c r="O112" s="98" t="s">
        <v>155</v>
      </c>
      <c r="P112" s="99" t="str">
        <f>IFERROR(__xludf.DUMMYFUNCTION("IFERROR(VLOOKUP(AS112,IMPORTRANGE(""https://docs.google.com/spreadsheets/d/1juPI-Fb8LD0YtltB2mlGEnp_R3UVu1t3wSFPzgCyHXE/edit?gid=0#gid=0"",""GERAL!A2:C""),3,0),""-"")"),"-")</f>
        <v>-</v>
      </c>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v>1178829.0</v>
      </c>
    </row>
    <row r="113" ht="15.75" customHeight="1">
      <c r="A113" s="111" t="s">
        <v>205</v>
      </c>
      <c r="B113" s="83" t="s">
        <v>611</v>
      </c>
      <c r="C113" s="83" t="s">
        <v>68</v>
      </c>
      <c r="D113" s="112">
        <v>1131402.0</v>
      </c>
      <c r="E113" s="83"/>
      <c r="F113" s="83">
        <v>2.9245893E7</v>
      </c>
      <c r="G113" s="91" t="str">
        <f>IFERROR(__xludf.DUMMYFUNCTION("XLOOKUP(AS113,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IGAPORA")</f>
        <v>COLÉGIO ESTADUAL DE TEMPO INTEGRAL DE IGAPORA</v>
      </c>
      <c r="H113" s="119" t="s">
        <v>612</v>
      </c>
      <c r="I113" s="108" t="s">
        <v>613</v>
      </c>
      <c r="J113" s="83" t="s">
        <v>614</v>
      </c>
      <c r="K113" s="83" t="s">
        <v>150</v>
      </c>
      <c r="L113" s="83" t="s">
        <v>151</v>
      </c>
      <c r="M113" s="83" t="s">
        <v>230</v>
      </c>
      <c r="N113" s="98" t="s">
        <v>615</v>
      </c>
      <c r="O113" s="98" t="s">
        <v>162</v>
      </c>
      <c r="P113" s="99" t="str">
        <f>IFERROR(__xludf.DUMMYFUNCTION("IFERROR(VLOOKUP(AS113,IMPORTRANGE(""https://docs.google.com/spreadsheets/d/1juPI-Fb8LD0YtltB2mlGEnp_R3UVu1t3wSFPzgCyHXE/edit?gid=0#gid=0"",""GERAL!A2:C""),3,0),""-"")"),"-")</f>
        <v>-</v>
      </c>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v>1131402.0</v>
      </c>
    </row>
    <row r="114" ht="15.75" customHeight="1">
      <c r="A114" s="111" t="s">
        <v>205</v>
      </c>
      <c r="B114" s="83" t="s">
        <v>616</v>
      </c>
      <c r="C114" s="83" t="s">
        <v>68</v>
      </c>
      <c r="D114" s="112">
        <v>1178150.0</v>
      </c>
      <c r="E114" s="83"/>
      <c r="F114" s="83">
        <v>2.9437911E7</v>
      </c>
      <c r="G114" s="91" t="str">
        <f>IFERROR(__xludf.DUMMYFUNCTION("XLOOKUP(AS114,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MALHADA")</f>
        <v>COLÉGIO ESTADUAL DE TEMPO INTEGRAL DE MALHADA</v>
      </c>
      <c r="H114" s="119" t="s">
        <v>617</v>
      </c>
      <c r="I114" s="108" t="s">
        <v>618</v>
      </c>
      <c r="J114" s="83" t="s">
        <v>149</v>
      </c>
      <c r="K114" s="83" t="s">
        <v>150</v>
      </c>
      <c r="L114" s="83" t="s">
        <v>151</v>
      </c>
      <c r="M114" s="83" t="s">
        <v>76</v>
      </c>
      <c r="N114" s="98" t="s">
        <v>619</v>
      </c>
      <c r="O114" s="98" t="s">
        <v>162</v>
      </c>
      <c r="P114" s="99" t="str">
        <f>IFERROR(__xludf.DUMMYFUNCTION("IFERROR(VLOOKUP(AS114,IMPORTRANGE(""https://docs.google.com/spreadsheets/d/1juPI-Fb8LD0YtltB2mlGEnp_R3UVu1t3wSFPzgCyHXE/edit?gid=0#gid=0"",""GERAL!A2:C""),3,0),""-"")"),"-")</f>
        <v>-</v>
      </c>
      <c r="Q114" s="101" t="s">
        <v>156</v>
      </c>
      <c r="R114" s="98">
        <v>12.0</v>
      </c>
      <c r="S114" s="98">
        <v>0.0</v>
      </c>
      <c r="T114" s="98">
        <v>2.0</v>
      </c>
      <c r="U114" s="98">
        <v>0.0</v>
      </c>
      <c r="V114" s="98">
        <v>1.0</v>
      </c>
      <c r="W114" s="98">
        <v>3.0</v>
      </c>
      <c r="X114" s="98">
        <v>1.0</v>
      </c>
      <c r="Y114" s="98">
        <v>0.0</v>
      </c>
      <c r="Z114" s="98">
        <v>1.0</v>
      </c>
      <c r="AA114" s="98">
        <v>0.0</v>
      </c>
      <c r="AB114" s="98">
        <v>1.0</v>
      </c>
      <c r="AC114" s="98">
        <v>0.0</v>
      </c>
      <c r="AD114" s="98">
        <v>0.0</v>
      </c>
      <c r="AE114" s="98">
        <v>0.0</v>
      </c>
      <c r="AF114" s="98">
        <v>1.0</v>
      </c>
      <c r="AG114" s="98">
        <v>0.0</v>
      </c>
      <c r="AH114" s="98">
        <v>0.0</v>
      </c>
      <c r="AI114" s="98">
        <v>0.0</v>
      </c>
      <c r="AJ114" s="98">
        <v>0.0</v>
      </c>
      <c r="AK114" s="98">
        <v>1.0</v>
      </c>
      <c r="AL114" s="98">
        <v>0.0</v>
      </c>
      <c r="AM114" s="98">
        <v>0.0</v>
      </c>
      <c r="AN114" s="98">
        <v>0.0</v>
      </c>
      <c r="AO114" s="98">
        <v>0.0</v>
      </c>
      <c r="AP114" s="98">
        <v>0.0</v>
      </c>
      <c r="AQ114" s="98" t="s">
        <v>620</v>
      </c>
      <c r="AR114" s="102">
        <v>46238.0</v>
      </c>
      <c r="AS114" s="83">
        <v>1178150.0</v>
      </c>
    </row>
    <row r="115" ht="15.75" customHeight="1">
      <c r="A115" s="111" t="s">
        <v>205</v>
      </c>
      <c r="B115" s="83" t="s">
        <v>616</v>
      </c>
      <c r="C115" s="83" t="s">
        <v>164</v>
      </c>
      <c r="D115" s="112">
        <v>1178150.0</v>
      </c>
      <c r="E115" s="83">
        <v>1179017.0</v>
      </c>
      <c r="F115" s="83"/>
      <c r="G115" s="91" t="str">
        <f>IFERROR(__xludf.DUMMYFUNCTION("XLOOKUP(AS115,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MALHADA - DISTRITO DE CANA BRAVA")</f>
        <v>ANEXO - COLÉGIO ESTADUAL DE TEMPO INTEGRAL DE MALHADA - DISTRITO DE CANA BRAVA</v>
      </c>
      <c r="H115" s="119" t="s">
        <v>621</v>
      </c>
      <c r="I115" s="91" t="s">
        <v>622</v>
      </c>
      <c r="J115" s="172" t="s">
        <v>623</v>
      </c>
      <c r="K115" s="83" t="s">
        <v>187</v>
      </c>
      <c r="L115" s="83" t="s">
        <v>168</v>
      </c>
      <c r="M115" s="83" t="s">
        <v>169</v>
      </c>
      <c r="N115" s="115" t="s">
        <v>170</v>
      </c>
      <c r="O115" s="98" t="s">
        <v>155</v>
      </c>
      <c r="P115" s="99" t="str">
        <f>IFERROR(__xludf.DUMMYFUNCTION("IFERROR(VLOOKUP(AS115,IMPORTRANGE(""https://docs.google.com/spreadsheets/d/1juPI-Fb8LD0YtltB2mlGEnp_R3UVu1t3wSFPzgCyHXE/edit?gid=0#gid=0"",""GERAL!A2:C""),3,0),""-"")"),"CAMPO")</f>
        <v>CAMPO</v>
      </c>
      <c r="Q115" s="98" t="s">
        <v>171</v>
      </c>
      <c r="R115" s="98">
        <v>4.0</v>
      </c>
      <c r="S115" s="98" t="s">
        <v>171</v>
      </c>
      <c r="T115" s="98" t="s">
        <v>171</v>
      </c>
      <c r="U115" s="98" t="s">
        <v>171</v>
      </c>
      <c r="V115" s="98" t="s">
        <v>171</v>
      </c>
      <c r="W115" s="98" t="s">
        <v>171</v>
      </c>
      <c r="X115" s="98" t="s">
        <v>171</v>
      </c>
      <c r="Y115" s="98" t="s">
        <v>171</v>
      </c>
      <c r="Z115" s="98" t="s">
        <v>171</v>
      </c>
      <c r="AA115" s="98" t="s">
        <v>171</v>
      </c>
      <c r="AB115" s="98" t="s">
        <v>171</v>
      </c>
      <c r="AC115" s="98" t="s">
        <v>171</v>
      </c>
      <c r="AD115" s="98" t="s">
        <v>171</v>
      </c>
      <c r="AE115" s="98" t="s">
        <v>171</v>
      </c>
      <c r="AF115" s="98" t="s">
        <v>171</v>
      </c>
      <c r="AG115" s="98" t="s">
        <v>171</v>
      </c>
      <c r="AH115" s="98" t="s">
        <v>171</v>
      </c>
      <c r="AI115" s="98" t="s">
        <v>171</v>
      </c>
      <c r="AJ115" s="98" t="s">
        <v>171</v>
      </c>
      <c r="AK115" s="98" t="s">
        <v>171</v>
      </c>
      <c r="AL115" s="98" t="s">
        <v>171</v>
      </c>
      <c r="AM115" s="98" t="s">
        <v>171</v>
      </c>
      <c r="AN115" s="98" t="s">
        <v>171</v>
      </c>
      <c r="AO115" s="98" t="s">
        <v>171</v>
      </c>
      <c r="AP115" s="98" t="s">
        <v>171</v>
      </c>
      <c r="AQ115" s="98" t="s">
        <v>171</v>
      </c>
      <c r="AR115" s="102">
        <v>46238.0</v>
      </c>
      <c r="AS115" s="83">
        <v>1179017.0</v>
      </c>
    </row>
    <row r="116" ht="15.75" customHeight="1">
      <c r="A116" s="111" t="s">
        <v>205</v>
      </c>
      <c r="B116" s="83" t="s">
        <v>616</v>
      </c>
      <c r="C116" s="83" t="s">
        <v>164</v>
      </c>
      <c r="D116" s="98">
        <v>1179431.0</v>
      </c>
      <c r="E116" s="83">
        <v>1179019.0</v>
      </c>
      <c r="F116" s="83"/>
      <c r="G116" s="91" t="str">
        <f>IFERROR(__xludf.DUMMYFUNCTION("XLOOKUP(AS116,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VELHO CHICO - DISTRITO DE PARATECA - COMUNIDADE QUILOMBOLA")</f>
        <v>ANEXO - CEMIT VELHO CHICO - DISTRITO DE PARATECA - COMUNIDADE QUILOMBOLA</v>
      </c>
      <c r="H116" s="119" t="s">
        <v>624</v>
      </c>
      <c r="I116" s="91" t="s">
        <v>625</v>
      </c>
      <c r="J116" s="172" t="s">
        <v>626</v>
      </c>
      <c r="K116" s="83" t="s">
        <v>508</v>
      </c>
      <c r="L116" s="83" t="s">
        <v>151</v>
      </c>
      <c r="M116" s="83" t="s">
        <v>169</v>
      </c>
      <c r="N116" s="115" t="s">
        <v>170</v>
      </c>
      <c r="O116" s="98" t="s">
        <v>155</v>
      </c>
      <c r="P116" s="99" t="str">
        <f>IFERROR(__xludf.DUMMYFUNCTION("IFERROR(VLOOKUP(AS116,IMPORTRANGE(""https://docs.google.com/spreadsheets/d/1juPI-Fb8LD0YtltB2mlGEnp_R3UVu1t3wSFPzgCyHXE/edit?gid=0#gid=0"",""GERAL!A2:C""),3,0),""-"")"),"QUILOMBOLAS")</f>
        <v>QUILOMBOLAS</v>
      </c>
      <c r="Q116" s="98" t="s">
        <v>171</v>
      </c>
      <c r="R116" s="98">
        <v>4.0</v>
      </c>
      <c r="S116" s="98" t="s">
        <v>171</v>
      </c>
      <c r="T116" s="98" t="s">
        <v>171</v>
      </c>
      <c r="U116" s="98" t="s">
        <v>171</v>
      </c>
      <c r="V116" s="98" t="s">
        <v>171</v>
      </c>
      <c r="W116" s="98" t="s">
        <v>171</v>
      </c>
      <c r="X116" s="98" t="s">
        <v>171</v>
      </c>
      <c r="Y116" s="98" t="s">
        <v>171</v>
      </c>
      <c r="Z116" s="98" t="s">
        <v>171</v>
      </c>
      <c r="AA116" s="98" t="s">
        <v>171</v>
      </c>
      <c r="AB116" s="98" t="s">
        <v>171</v>
      </c>
      <c r="AC116" s="98" t="s">
        <v>171</v>
      </c>
      <c r="AD116" s="98" t="s">
        <v>171</v>
      </c>
      <c r="AE116" s="98" t="s">
        <v>171</v>
      </c>
      <c r="AF116" s="98" t="s">
        <v>171</v>
      </c>
      <c r="AG116" s="98" t="s">
        <v>171</v>
      </c>
      <c r="AH116" s="98" t="s">
        <v>171</v>
      </c>
      <c r="AI116" s="98" t="s">
        <v>171</v>
      </c>
      <c r="AJ116" s="98" t="s">
        <v>171</v>
      </c>
      <c r="AK116" s="98" t="s">
        <v>171</v>
      </c>
      <c r="AL116" s="98" t="s">
        <v>171</v>
      </c>
      <c r="AM116" s="98" t="s">
        <v>171</v>
      </c>
      <c r="AN116" s="98" t="s">
        <v>171</v>
      </c>
      <c r="AO116" s="98" t="s">
        <v>171</v>
      </c>
      <c r="AP116" s="98" t="s">
        <v>171</v>
      </c>
      <c r="AQ116" s="98" t="s">
        <v>171</v>
      </c>
      <c r="AR116" s="102">
        <v>46238.0</v>
      </c>
      <c r="AS116" s="83">
        <v>1179019.0</v>
      </c>
    </row>
    <row r="117" ht="15.75" customHeight="1">
      <c r="A117" s="111" t="s">
        <v>205</v>
      </c>
      <c r="B117" s="83" t="s">
        <v>627</v>
      </c>
      <c r="C117" s="83" t="s">
        <v>68</v>
      </c>
      <c r="D117" s="112">
        <v>1178100.0</v>
      </c>
      <c r="E117" s="83"/>
      <c r="F117" s="83">
        <v>2.943167E7</v>
      </c>
      <c r="G117" s="91" t="str">
        <f>IFERROR(__xludf.DUMMYFUNCTION("XLOOKUP(AS117,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GRANDES MESTRES BRASILEIROS")</f>
        <v>COLÉGIO ESTADUAL DE TEMPO INTEGRAL GRANDES MESTRES BRASILEIROS</v>
      </c>
      <c r="H117" s="119" t="s">
        <v>628</v>
      </c>
      <c r="I117" s="108" t="s">
        <v>629</v>
      </c>
      <c r="J117" s="83" t="s">
        <v>149</v>
      </c>
      <c r="K117" s="83" t="s">
        <v>150</v>
      </c>
      <c r="L117" s="83" t="s">
        <v>151</v>
      </c>
      <c r="M117" s="98" t="s">
        <v>152</v>
      </c>
      <c r="N117" s="98" t="s">
        <v>630</v>
      </c>
      <c r="O117" s="98" t="s">
        <v>162</v>
      </c>
      <c r="P117" s="99" t="str">
        <f>IFERROR(__xludf.DUMMYFUNCTION("IFERROR(VLOOKUP(AS117,IMPORTRANGE(""https://docs.google.com/spreadsheets/d/1juPI-Fb8LD0YtltB2mlGEnp_R3UVu1t3wSFPzgCyHXE/edit?gid=0#gid=0"",""GERAL!A2:C""),3,0),""-"")"),"-")</f>
        <v>-</v>
      </c>
      <c r="Q117" s="101" t="s">
        <v>156</v>
      </c>
      <c r="R117" s="98">
        <v>12.0</v>
      </c>
      <c r="S117" s="98">
        <v>0.0</v>
      </c>
      <c r="T117" s="98">
        <v>2.0</v>
      </c>
      <c r="U117" s="98">
        <v>0.0</v>
      </c>
      <c r="V117" s="98">
        <v>1.0</v>
      </c>
      <c r="W117" s="98">
        <v>3.0</v>
      </c>
      <c r="X117" s="98">
        <v>1.0</v>
      </c>
      <c r="Y117" s="98">
        <v>0.0</v>
      </c>
      <c r="Z117" s="98">
        <v>1.0</v>
      </c>
      <c r="AA117" s="98">
        <v>0.0</v>
      </c>
      <c r="AB117" s="98">
        <v>1.0</v>
      </c>
      <c r="AC117" s="98">
        <v>0.0</v>
      </c>
      <c r="AD117" s="98">
        <v>0.0</v>
      </c>
      <c r="AE117" s="98">
        <v>0.0</v>
      </c>
      <c r="AF117" s="98">
        <v>1.0</v>
      </c>
      <c r="AG117" s="98">
        <v>0.0</v>
      </c>
      <c r="AH117" s="98">
        <v>0.0</v>
      </c>
      <c r="AI117" s="98">
        <v>0.0</v>
      </c>
      <c r="AJ117" s="98">
        <v>0.0</v>
      </c>
      <c r="AK117" s="98">
        <v>1.0</v>
      </c>
      <c r="AL117" s="98">
        <v>0.0</v>
      </c>
      <c r="AM117" s="98">
        <v>0.0</v>
      </c>
      <c r="AN117" s="98">
        <v>0.0</v>
      </c>
      <c r="AO117" s="98">
        <v>0.0</v>
      </c>
      <c r="AP117" s="98">
        <v>0.0</v>
      </c>
      <c r="AQ117" s="98" t="s">
        <v>620</v>
      </c>
      <c r="AR117" s="102">
        <v>46241.0</v>
      </c>
      <c r="AS117" s="83">
        <v>1178100.0</v>
      </c>
    </row>
    <row r="118" ht="38.25" customHeight="1">
      <c r="A118" s="111" t="s">
        <v>205</v>
      </c>
      <c r="B118" s="83" t="s">
        <v>633</v>
      </c>
      <c r="C118" s="83" t="s">
        <v>68</v>
      </c>
      <c r="D118" s="112">
        <v>1178021.0</v>
      </c>
      <c r="E118" s="83"/>
      <c r="F118" s="83">
        <v>2.9430259E7</v>
      </c>
      <c r="G118" s="91" t="str">
        <f>IFERROR(__xludf.DUMMYFUNCTION("XLOOKUP(AS118,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NEMÍSIA RIBEIRO DOS SANTOS")</f>
        <v>COLÉGIO ESTADUAL DE TEMPO INTEGRAL NEMÍSIA RIBEIRO DOS SANTOS</v>
      </c>
      <c r="H118" s="119" t="s">
        <v>634</v>
      </c>
      <c r="I118" s="91" t="s">
        <v>635</v>
      </c>
      <c r="J118" s="83" t="s">
        <v>149</v>
      </c>
      <c r="K118" s="83" t="s">
        <v>150</v>
      </c>
      <c r="L118" s="83" t="s">
        <v>151</v>
      </c>
      <c r="M118" s="98" t="s">
        <v>76</v>
      </c>
      <c r="N118" s="98" t="s">
        <v>636</v>
      </c>
      <c r="O118" s="98" t="s">
        <v>284</v>
      </c>
      <c r="P118" s="99" t="str">
        <f>IFERROR(__xludf.DUMMYFUNCTION("IFERROR(VLOOKUP(AS118,IMPORTRANGE(""https://docs.google.com/spreadsheets/d/1juPI-Fb8LD0YtltB2mlGEnp_R3UVu1t3wSFPzgCyHXE/edit?gid=0#gid=0"",""GERAL!A2:C""),3,0),""-"")"),"-")</f>
        <v>-</v>
      </c>
      <c r="Q118" s="101" t="s">
        <v>156</v>
      </c>
      <c r="R118" s="98">
        <v>6.0</v>
      </c>
      <c r="S118" s="98">
        <v>0.0</v>
      </c>
      <c r="T118" s="98">
        <v>0.0</v>
      </c>
      <c r="U118" s="98">
        <v>0.0</v>
      </c>
      <c r="V118" s="98">
        <v>0.0</v>
      </c>
      <c r="W118" s="98">
        <v>0.0</v>
      </c>
      <c r="X118" s="98">
        <v>0.0</v>
      </c>
      <c r="Y118" s="98">
        <v>0.0</v>
      </c>
      <c r="Z118" s="98">
        <v>0.0</v>
      </c>
      <c r="AA118" s="98">
        <v>0.0</v>
      </c>
      <c r="AB118" s="98">
        <v>0.0</v>
      </c>
      <c r="AC118" s="98">
        <v>0.0</v>
      </c>
      <c r="AD118" s="98">
        <v>0.0</v>
      </c>
      <c r="AE118" s="98">
        <v>0.0</v>
      </c>
      <c r="AF118" s="98">
        <v>1.0</v>
      </c>
      <c r="AG118" s="98">
        <v>0.0</v>
      </c>
      <c r="AH118" s="98">
        <v>0.0</v>
      </c>
      <c r="AI118" s="98">
        <v>0.0</v>
      </c>
      <c r="AJ118" s="98">
        <v>1.0</v>
      </c>
      <c r="AK118" s="98">
        <v>0.0</v>
      </c>
      <c r="AL118" s="98">
        <v>0.0</v>
      </c>
      <c r="AM118" s="98">
        <v>0.0</v>
      </c>
      <c r="AN118" s="98">
        <v>0.0</v>
      </c>
      <c r="AO118" s="98">
        <v>0.0</v>
      </c>
      <c r="AP118" s="98">
        <v>2.0</v>
      </c>
      <c r="AQ118" s="98" t="s">
        <v>638</v>
      </c>
      <c r="AR118" s="83"/>
      <c r="AS118" s="83">
        <v>1178021.0</v>
      </c>
    </row>
    <row r="119" ht="15.75" customHeight="1">
      <c r="A119" s="111" t="s">
        <v>205</v>
      </c>
      <c r="B119" s="83" t="s">
        <v>633</v>
      </c>
      <c r="C119" s="83" t="s">
        <v>164</v>
      </c>
      <c r="D119" s="112">
        <v>1179431.0</v>
      </c>
      <c r="E119" s="83">
        <v>1179319.0</v>
      </c>
      <c r="F119" s="83"/>
      <c r="G119" s="91" t="str">
        <f>IFERROR(__xludf.DUMMYFUNCTION("XLOOKUP(AS119,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POVOADO CAPIM DE RAIZ")</f>
        <v>ANEXO - CEMIT - VELHO CHICO - POVOADO CAPIM DE RAIZ</v>
      </c>
      <c r="H119" s="114" t="s">
        <v>639</v>
      </c>
      <c r="I119" s="91" t="s">
        <v>640</v>
      </c>
      <c r="J119" s="136" t="s">
        <v>149</v>
      </c>
      <c r="K119" s="83" t="s">
        <v>641</v>
      </c>
      <c r="L119" s="83" t="s">
        <v>168</v>
      </c>
      <c r="M119" s="83" t="s">
        <v>169</v>
      </c>
      <c r="N119" s="115" t="s">
        <v>170</v>
      </c>
      <c r="O119" s="98" t="s">
        <v>155</v>
      </c>
      <c r="P119" s="99" t="str">
        <f>IFERROR(__xludf.DUMMYFUNCTION("IFERROR(VLOOKUP(AS119,IMPORTRANGE(""https://docs.google.com/spreadsheets/d/1juPI-Fb8LD0YtltB2mlGEnp_R3UVu1t3wSFPzgCyHXE/edit?gid=0#gid=0"",""GERAL!A2:C""),3,0),""-"")"),"-")</f>
        <v>-</v>
      </c>
      <c r="Q119" s="98" t="s">
        <v>171</v>
      </c>
      <c r="R119" s="98">
        <v>3.0</v>
      </c>
      <c r="S119" s="98" t="s">
        <v>171</v>
      </c>
      <c r="T119" s="98" t="s">
        <v>171</v>
      </c>
      <c r="U119" s="98" t="s">
        <v>171</v>
      </c>
      <c r="V119" s="98" t="s">
        <v>171</v>
      </c>
      <c r="W119" s="98" t="s">
        <v>171</v>
      </c>
      <c r="X119" s="98" t="s">
        <v>171</v>
      </c>
      <c r="Y119" s="98" t="s">
        <v>171</v>
      </c>
      <c r="Z119" s="98" t="s">
        <v>171</v>
      </c>
      <c r="AA119" s="98" t="s">
        <v>171</v>
      </c>
      <c r="AB119" s="98" t="s">
        <v>171</v>
      </c>
      <c r="AC119" s="98" t="s">
        <v>171</v>
      </c>
      <c r="AD119" s="98" t="s">
        <v>171</v>
      </c>
      <c r="AE119" s="98" t="s">
        <v>171</v>
      </c>
      <c r="AF119" s="98" t="s">
        <v>171</v>
      </c>
      <c r="AG119" s="98" t="s">
        <v>171</v>
      </c>
      <c r="AH119" s="98" t="s">
        <v>171</v>
      </c>
      <c r="AI119" s="98" t="s">
        <v>171</v>
      </c>
      <c r="AJ119" s="98" t="s">
        <v>171</v>
      </c>
      <c r="AK119" s="98" t="s">
        <v>171</v>
      </c>
      <c r="AL119" s="98" t="s">
        <v>171</v>
      </c>
      <c r="AM119" s="98" t="s">
        <v>171</v>
      </c>
      <c r="AN119" s="98" t="s">
        <v>171</v>
      </c>
      <c r="AO119" s="98" t="s">
        <v>171</v>
      </c>
      <c r="AP119" s="98" t="s">
        <v>171</v>
      </c>
      <c r="AQ119" s="98" t="s">
        <v>171</v>
      </c>
      <c r="AR119" s="102">
        <v>46262.0</v>
      </c>
      <c r="AS119" s="83">
        <v>1179319.0</v>
      </c>
    </row>
    <row r="120" ht="15.75" customHeight="1">
      <c r="A120" s="111" t="s">
        <v>205</v>
      </c>
      <c r="B120" s="83" t="s">
        <v>633</v>
      </c>
      <c r="C120" s="83" t="s">
        <v>164</v>
      </c>
      <c r="D120" s="112">
        <v>1179431.0</v>
      </c>
      <c r="E120" s="83">
        <v>1178831.0</v>
      </c>
      <c r="F120" s="83"/>
      <c r="G120" s="91" t="str">
        <f>IFERROR(__xludf.DUMMYFUNCTION("XLOOKUP(AS120,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DISTRITO DE MOCAMBO BRANCO")</f>
        <v>ANEXO - CEMIT - VELHO CHICO - DISTRITO DE MOCAMBO BRANCO</v>
      </c>
      <c r="H120" s="114" t="s">
        <v>642</v>
      </c>
      <c r="I120" s="91" t="s">
        <v>643</v>
      </c>
      <c r="J120" s="136" t="s">
        <v>149</v>
      </c>
      <c r="K120" s="83" t="s">
        <v>331</v>
      </c>
      <c r="L120" s="83" t="s">
        <v>168</v>
      </c>
      <c r="M120" s="83" t="s">
        <v>169</v>
      </c>
      <c r="N120" s="115" t="s">
        <v>170</v>
      </c>
      <c r="O120" s="98" t="s">
        <v>155</v>
      </c>
      <c r="P120" s="99" t="str">
        <f>IFERROR(__xludf.DUMMYFUNCTION("IFERROR(VLOOKUP(AS120,IMPORTRANGE(""https://docs.google.com/spreadsheets/d/1juPI-Fb8LD0YtltB2mlGEnp_R3UVu1t3wSFPzgCyHXE/edit?gid=0#gid=0"",""GERAL!A2:C""),3,0),""-"")"),"-")</f>
        <v>-</v>
      </c>
      <c r="Q120" s="98" t="s">
        <v>171</v>
      </c>
      <c r="R120" s="98">
        <v>3.0</v>
      </c>
      <c r="S120" s="98" t="s">
        <v>171</v>
      </c>
      <c r="T120" s="98" t="s">
        <v>171</v>
      </c>
      <c r="U120" s="98" t="s">
        <v>171</v>
      </c>
      <c r="V120" s="98" t="s">
        <v>171</v>
      </c>
      <c r="W120" s="98" t="s">
        <v>171</v>
      </c>
      <c r="X120" s="98" t="s">
        <v>171</v>
      </c>
      <c r="Y120" s="98" t="s">
        <v>171</v>
      </c>
      <c r="Z120" s="98" t="s">
        <v>171</v>
      </c>
      <c r="AA120" s="98" t="s">
        <v>171</v>
      </c>
      <c r="AB120" s="98" t="s">
        <v>171</v>
      </c>
      <c r="AC120" s="98" t="s">
        <v>171</v>
      </c>
      <c r="AD120" s="98" t="s">
        <v>171</v>
      </c>
      <c r="AE120" s="98" t="s">
        <v>171</v>
      </c>
      <c r="AF120" s="98" t="s">
        <v>171</v>
      </c>
      <c r="AG120" s="98" t="s">
        <v>171</v>
      </c>
      <c r="AH120" s="98" t="s">
        <v>171</v>
      </c>
      <c r="AI120" s="98" t="s">
        <v>171</v>
      </c>
      <c r="AJ120" s="98" t="s">
        <v>171</v>
      </c>
      <c r="AK120" s="98" t="s">
        <v>171</v>
      </c>
      <c r="AL120" s="98" t="s">
        <v>171</v>
      </c>
      <c r="AM120" s="98" t="s">
        <v>171</v>
      </c>
      <c r="AN120" s="98" t="s">
        <v>171</v>
      </c>
      <c r="AO120" s="98" t="s">
        <v>171</v>
      </c>
      <c r="AP120" s="98" t="s">
        <v>171</v>
      </c>
      <c r="AQ120" s="98" t="s">
        <v>171</v>
      </c>
      <c r="AR120" s="102">
        <v>46262.0</v>
      </c>
      <c r="AS120" s="83">
        <v>1178831.0</v>
      </c>
    </row>
    <row r="121" ht="15.75" customHeight="1">
      <c r="A121" s="111" t="s">
        <v>205</v>
      </c>
      <c r="B121" s="98" t="s">
        <v>644</v>
      </c>
      <c r="C121" s="83" t="s">
        <v>68</v>
      </c>
      <c r="D121" s="112">
        <v>1179304.0</v>
      </c>
      <c r="E121" s="83"/>
      <c r="F121" s="83">
        <v>2.9460794E7</v>
      </c>
      <c r="G121" s="91" t="str">
        <f>IFERROR(__xludf.DUMMYFUNCTION("XLOOKUP(AS121,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INDIGENA PAJE ROQUE MOISES DA SILVA")</f>
        <v>COLÉGIO INDIGENA PAJE ROQUE MOISES DA SILVA</v>
      </c>
      <c r="H121" s="114" t="s">
        <v>645</v>
      </c>
      <c r="I121" s="91" t="s">
        <v>646</v>
      </c>
      <c r="J121" s="83" t="s">
        <v>647</v>
      </c>
      <c r="K121" s="83" t="s">
        <v>187</v>
      </c>
      <c r="L121" s="83" t="s">
        <v>151</v>
      </c>
      <c r="M121" s="83" t="s">
        <v>169</v>
      </c>
      <c r="N121" s="98" t="s">
        <v>648</v>
      </c>
      <c r="O121" s="98" t="s">
        <v>176</v>
      </c>
      <c r="P121" s="99" t="str">
        <f>IFERROR(__xludf.DUMMYFUNCTION("IFERROR(VLOOKUP(AS121,IMPORTRANGE(""https://docs.google.com/spreadsheets/d/1juPI-Fb8LD0YtltB2mlGEnp_R3UVu1t3wSFPzgCyHXE/edit?gid=0#gid=0"",""GERAL!A2:C""),3,0),""-"")"),"INDÍGENAS")</f>
        <v>INDÍGENAS</v>
      </c>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v>1179304.0</v>
      </c>
    </row>
    <row r="122" ht="15.75" customHeight="1">
      <c r="A122" s="111" t="s">
        <v>205</v>
      </c>
      <c r="B122" s="98" t="s">
        <v>644</v>
      </c>
      <c r="C122" s="83" t="s">
        <v>68</v>
      </c>
      <c r="D122" s="112">
        <v>1176177.0</v>
      </c>
      <c r="E122" s="83"/>
      <c r="F122" s="83">
        <v>2.93324E7</v>
      </c>
      <c r="G122" s="91" t="str">
        <f>IFERROR(__xludf.DUMMYFUNCTION("XLOOKUP(AS122,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SUZANA DE ARAÚJO BONFIM")</f>
        <v>COLÉGIO ESTADUAL SUZANA DE ARAÚJO BONFIM</v>
      </c>
      <c r="H122" s="114" t="s">
        <v>649</v>
      </c>
      <c r="I122" s="91" t="s">
        <v>650</v>
      </c>
      <c r="J122" s="83" t="s">
        <v>149</v>
      </c>
      <c r="K122" s="83" t="s">
        <v>150</v>
      </c>
      <c r="L122" s="83" t="s">
        <v>151</v>
      </c>
      <c r="M122" s="98" t="s">
        <v>76</v>
      </c>
      <c r="N122" s="137" t="s">
        <v>651</v>
      </c>
      <c r="O122" s="98" t="s">
        <v>155</v>
      </c>
      <c r="P122" s="99" t="str">
        <f>IFERROR(__xludf.DUMMYFUNCTION("IFERROR(VLOOKUP(AS122,IMPORTRANGE(""https://docs.google.com/spreadsheets/d/1juPI-Fb8LD0YtltB2mlGEnp_R3UVu1t3wSFPzgCyHXE/edit?gid=0#gid=0"",""GERAL!A2:C""),3,0),""-"")"),"-")</f>
        <v>-</v>
      </c>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v>1176177.0</v>
      </c>
    </row>
    <row r="123" ht="15.75" customHeight="1">
      <c r="A123" s="111" t="s">
        <v>205</v>
      </c>
      <c r="B123" s="98" t="s">
        <v>644</v>
      </c>
      <c r="C123" s="83" t="s">
        <v>68</v>
      </c>
      <c r="D123" s="112">
        <v>1178407.0</v>
      </c>
      <c r="E123" s="83"/>
      <c r="F123" s="83">
        <v>2.9397758E7</v>
      </c>
      <c r="G123" s="91" t="str">
        <f>IFERROR(__xludf.DUMMYFUNCTION("XLOOKUP(AS123,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SIDNEY MASCARENHAS - DISTRITO DE JAVI")</f>
        <v>COLÉGIO ESTADUAL DO CAMPO SIDNEY MASCARENHAS - DISTRITO DE JAVI</v>
      </c>
      <c r="H123" s="114" t="s">
        <v>652</v>
      </c>
      <c r="I123" s="91" t="s">
        <v>653</v>
      </c>
      <c r="J123" s="83" t="s">
        <v>149</v>
      </c>
      <c r="K123" s="83" t="s">
        <v>467</v>
      </c>
      <c r="L123" s="83" t="s">
        <v>151</v>
      </c>
      <c r="M123" s="83" t="s">
        <v>169</v>
      </c>
      <c r="N123" s="171" t="s">
        <v>654</v>
      </c>
      <c r="O123" s="98" t="s">
        <v>155</v>
      </c>
      <c r="P123" s="99" t="str">
        <f>IFERROR(__xludf.DUMMYFUNCTION("IFERROR(VLOOKUP(AS123,IMPORTRANGE(""https://docs.google.com/spreadsheets/d/1juPI-Fb8LD0YtltB2mlGEnp_R3UVu1t3wSFPzgCyHXE/edit?gid=0#gid=0"",""GERAL!A2:C""),3,0),""-"")"),"CAMPO")</f>
        <v>CAMPO</v>
      </c>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v>1178407.0</v>
      </c>
    </row>
    <row r="124" ht="15.75" customHeight="1">
      <c r="A124" s="111" t="s">
        <v>205</v>
      </c>
      <c r="B124" s="98" t="s">
        <v>644</v>
      </c>
      <c r="C124" s="83" t="s">
        <v>164</v>
      </c>
      <c r="D124" s="112">
        <v>1179431.0</v>
      </c>
      <c r="E124" s="83">
        <v>1178835.0</v>
      </c>
      <c r="F124" s="83"/>
      <c r="G124" s="91" t="str">
        <f>IFERROR(__xludf.DUMMYFUNCTION("XLOOKUP(AS124,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 VELHO CHICO-BARRA - DISTRITO DE PASSAGEM")</f>
        <v>ANEXO CEMIT - VELHO CHICO-BARRA - DISTRITO DE PASSAGEM</v>
      </c>
      <c r="H124" s="114" t="s">
        <v>655</v>
      </c>
      <c r="I124" s="91" t="s">
        <v>656</v>
      </c>
      <c r="J124" s="83" t="s">
        <v>149</v>
      </c>
      <c r="K124" s="83" t="s">
        <v>657</v>
      </c>
      <c r="L124" s="83" t="s">
        <v>168</v>
      </c>
      <c r="M124" s="83" t="s">
        <v>169</v>
      </c>
      <c r="N124" s="115" t="s">
        <v>170</v>
      </c>
      <c r="O124" s="98" t="s">
        <v>155</v>
      </c>
      <c r="P124" s="99" t="str">
        <f>IFERROR(__xludf.DUMMYFUNCTION("IFERROR(VLOOKUP(AS124,IMPORTRANGE(""https://docs.google.com/spreadsheets/d/1juPI-Fb8LD0YtltB2mlGEnp_R3UVu1t3wSFPzgCyHXE/edit?gid=0#gid=0"",""GERAL!A2:C""),3,0),""-"")"),"-")</f>
        <v>-</v>
      </c>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v>1178835.0</v>
      </c>
    </row>
    <row r="125" ht="15.75" customHeight="1">
      <c r="A125" s="111" t="s">
        <v>205</v>
      </c>
      <c r="B125" s="98" t="s">
        <v>644</v>
      </c>
      <c r="C125" s="83" t="s">
        <v>164</v>
      </c>
      <c r="D125" s="112">
        <v>1176177.0</v>
      </c>
      <c r="E125" s="83">
        <v>1178834.0</v>
      </c>
      <c r="F125" s="83"/>
      <c r="G125" s="91" t="str">
        <f>IFERROR(__xludf.DUMMYFUNCTION("XLOOKUP(AS125,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SUZANA DE ARAÚJO BONFIM - FAZENDA GRANDE - COMUNIDADE QUILOMBOLA")</f>
        <v>ANEXO - COLÉGIO ESTADUAL SUZANA DE ARAÚJO BONFIM - FAZENDA GRANDE - COMUNIDADE QUILOMBOLA</v>
      </c>
      <c r="H125" s="114" t="s">
        <v>658</v>
      </c>
      <c r="I125" s="91" t="s">
        <v>659</v>
      </c>
      <c r="J125" s="83" t="s">
        <v>149</v>
      </c>
      <c r="K125" s="83" t="s">
        <v>657</v>
      </c>
      <c r="L125" s="83" t="s">
        <v>168</v>
      </c>
      <c r="M125" s="83" t="s">
        <v>169</v>
      </c>
      <c r="N125" s="115" t="s">
        <v>170</v>
      </c>
      <c r="O125" s="98" t="s">
        <v>155</v>
      </c>
      <c r="P125" s="99" t="str">
        <f>IFERROR(__xludf.DUMMYFUNCTION("IFERROR(VLOOKUP(AS125,IMPORTRANGE(""https://docs.google.com/spreadsheets/d/1juPI-Fb8LD0YtltB2mlGEnp_R3UVu1t3wSFPzgCyHXE/edit?gid=0#gid=0"",""GERAL!A2:C""),3,0),""-"")"),"QUILOMBOLAS")</f>
        <v>QUILOMBOLAS</v>
      </c>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v>1178834.0</v>
      </c>
    </row>
    <row r="126" ht="15.75" customHeight="1">
      <c r="A126" s="111" t="s">
        <v>205</v>
      </c>
      <c r="B126" s="98" t="s">
        <v>644</v>
      </c>
      <c r="C126" s="83" t="s">
        <v>164</v>
      </c>
      <c r="D126" s="112">
        <v>1176177.0</v>
      </c>
      <c r="E126" s="98">
        <v>1178832.0</v>
      </c>
      <c r="F126" s="83"/>
      <c r="G126" s="91" t="str">
        <f>IFERROR(__xludf.DUMMYFUNCTION("XLOOKUP(AS126,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 EST. SUZANA DE ARAÚJO BONFIM DISTRTO DE BOA VISTA DE PICHAIM - COMUNIDADE QUILOMBOLA")</f>
        <v>ANEXO - COL. EST. SUZANA DE ARAÚJO BONFIM DISTRTO DE BOA VISTA DE PICHAIM - COMUNIDADE QUILOMBOLA</v>
      </c>
      <c r="H126" s="119" t="s">
        <v>660</v>
      </c>
      <c r="I126" s="108" t="s">
        <v>661</v>
      </c>
      <c r="J126" s="83"/>
      <c r="K126" s="83"/>
      <c r="L126" s="83" t="s">
        <v>151</v>
      </c>
      <c r="M126" s="83" t="s">
        <v>169</v>
      </c>
      <c r="N126" s="115" t="s">
        <v>170</v>
      </c>
      <c r="O126" s="98" t="s">
        <v>155</v>
      </c>
      <c r="P126" s="99" t="str">
        <f>IFERROR(__xludf.DUMMYFUNCTION("IFERROR(VLOOKUP(AS126,IMPORTRANGE(""https://docs.google.com/spreadsheets/d/1juPI-Fb8LD0YtltB2mlGEnp_R3UVu1t3wSFPzgCyHXE/edit?gid=0#gid=0"",""GERAL!A2:C""),3,0),""-"")"),"QUILOMBOLAS")</f>
        <v>QUILOMBOLAS</v>
      </c>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v>1178832.0</v>
      </c>
    </row>
    <row r="127" ht="15.75" customHeight="1">
      <c r="A127" s="111" t="s">
        <v>205</v>
      </c>
      <c r="B127" s="98" t="s">
        <v>644</v>
      </c>
      <c r="C127" s="83" t="s">
        <v>164</v>
      </c>
      <c r="D127" s="112">
        <v>1179431.0</v>
      </c>
      <c r="E127" s="83">
        <v>1178837.0</v>
      </c>
      <c r="F127" s="83"/>
      <c r="G127" s="91" t="str">
        <f>IFERROR(__xludf.DUMMYFUNCTION("XLOOKUP(AS127,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CHICO-BARRA - POVOADO DE MANGAS")</f>
        <v>ANEXO - CEMIT - VELHO CHICO-BARRA - POVOADO DE MANGAS</v>
      </c>
      <c r="H127" s="114" t="s">
        <v>662</v>
      </c>
      <c r="I127" s="91" t="s">
        <v>663</v>
      </c>
      <c r="J127" s="83" t="s">
        <v>149</v>
      </c>
      <c r="K127" s="83" t="s">
        <v>664</v>
      </c>
      <c r="L127" s="83" t="s">
        <v>168</v>
      </c>
      <c r="M127" s="83" t="s">
        <v>169</v>
      </c>
      <c r="N127" s="115" t="s">
        <v>170</v>
      </c>
      <c r="O127" s="98" t="s">
        <v>155</v>
      </c>
      <c r="P127" s="99" t="str">
        <f>IFERROR(__xludf.DUMMYFUNCTION("IFERROR(VLOOKUP(AS127,IMPORTRANGE(""https://docs.google.com/spreadsheets/d/1juPI-Fb8LD0YtltB2mlGEnp_R3UVu1t3wSFPzgCyHXE/edit?gid=0#gid=0"",""GERAL!A2:C""),3,0),""-"")"),"-")</f>
        <v>-</v>
      </c>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v>1178837.0</v>
      </c>
    </row>
    <row r="128" ht="15.75" customHeight="1">
      <c r="A128" s="111" t="s">
        <v>205</v>
      </c>
      <c r="B128" s="83" t="s">
        <v>665</v>
      </c>
      <c r="C128" s="83" t="s">
        <v>68</v>
      </c>
      <c r="D128" s="112">
        <v>1127855.0</v>
      </c>
      <c r="E128" s="83"/>
      <c r="F128" s="83">
        <v>2.9210399E7</v>
      </c>
      <c r="G128" s="91" t="str">
        <f>IFERROR(__xludf.DUMMYFUNCTION("XLOOKUP(AS128,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TIRADENTES")</f>
        <v>COLÉGIO ESTADUAL DE TEMPO INTEGRAL TIRADENTES</v>
      </c>
      <c r="H128" s="119" t="s">
        <v>666</v>
      </c>
      <c r="I128" s="91" t="s">
        <v>667</v>
      </c>
      <c r="J128" s="136" t="s">
        <v>149</v>
      </c>
      <c r="K128" s="136" t="s">
        <v>150</v>
      </c>
      <c r="L128" s="136" t="s">
        <v>151</v>
      </c>
      <c r="M128" s="98" t="s">
        <v>152</v>
      </c>
      <c r="N128" s="137" t="s">
        <v>668</v>
      </c>
      <c r="O128" s="98" t="s">
        <v>162</v>
      </c>
      <c r="P128" s="99" t="str">
        <f>IFERROR(__xludf.DUMMYFUNCTION("IFERROR(VLOOKUP(AS128,IMPORTRANGE(""https://docs.google.com/spreadsheets/d/1juPI-Fb8LD0YtltB2mlGEnp_R3UVu1t3wSFPzgCyHXE/edit?gid=0#gid=0"",""GERAL!A2:C""),3,0),""-"")"),"-")</f>
        <v>-</v>
      </c>
      <c r="Q128" s="101" t="s">
        <v>156</v>
      </c>
      <c r="R128" s="98">
        <v>12.0</v>
      </c>
      <c r="S128" s="98">
        <v>1.0</v>
      </c>
      <c r="T128" s="98">
        <v>1.0</v>
      </c>
      <c r="U128" s="98">
        <v>0.0</v>
      </c>
      <c r="V128" s="98">
        <v>1.0</v>
      </c>
      <c r="W128" s="98">
        <v>3.0</v>
      </c>
      <c r="X128" s="98">
        <v>1.0</v>
      </c>
      <c r="Y128" s="98">
        <v>0.0</v>
      </c>
      <c r="Z128" s="98">
        <v>1.0</v>
      </c>
      <c r="AA128" s="98">
        <v>0.0</v>
      </c>
      <c r="AB128" s="98">
        <v>1.0</v>
      </c>
      <c r="AC128" s="98">
        <v>0.0</v>
      </c>
      <c r="AD128" s="98">
        <v>0.0</v>
      </c>
      <c r="AE128" s="98">
        <v>0.0</v>
      </c>
      <c r="AF128" s="98">
        <v>1.0</v>
      </c>
      <c r="AG128" s="98">
        <v>0.0</v>
      </c>
      <c r="AH128" s="98">
        <v>0.0</v>
      </c>
      <c r="AI128" s="98">
        <v>0.0</v>
      </c>
      <c r="AJ128" s="98">
        <v>0.0</v>
      </c>
      <c r="AK128" s="98">
        <v>1.0</v>
      </c>
      <c r="AL128" s="98">
        <v>0.0</v>
      </c>
      <c r="AM128" s="98">
        <v>0.0</v>
      </c>
      <c r="AN128" s="98">
        <v>0.0</v>
      </c>
      <c r="AO128" s="98">
        <v>0.0</v>
      </c>
      <c r="AP128" s="98">
        <v>0.0</v>
      </c>
      <c r="AQ128" s="98" t="s">
        <v>669</v>
      </c>
      <c r="AR128" s="102">
        <v>46233.0</v>
      </c>
      <c r="AS128" s="83">
        <v>1127855.0</v>
      </c>
    </row>
    <row r="129" ht="15.75" customHeight="1">
      <c r="A129" s="111" t="s">
        <v>205</v>
      </c>
      <c r="B129" s="83" t="s">
        <v>665</v>
      </c>
      <c r="C129" s="83" t="s">
        <v>164</v>
      </c>
      <c r="D129" s="112">
        <v>1127855.0</v>
      </c>
      <c r="E129" s="83">
        <v>1178839.0</v>
      </c>
      <c r="F129" s="83"/>
      <c r="G129" s="91" t="str">
        <f>IFERROR(__xludf.DUMMYFUNCTION("XLOOKUP(AS129,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TIRADENTES - POVOADO QUEIMADA NOVA")</f>
        <v>ANEXO - COLÉGIO ESTADUAL DE TEMPO INTEGRAL TIRADENTES - POVOADO QUEIMADA NOVA</v>
      </c>
      <c r="H129" s="184" t="s">
        <v>670</v>
      </c>
      <c r="I129" s="91" t="s">
        <v>671</v>
      </c>
      <c r="J129" s="83" t="s">
        <v>149</v>
      </c>
      <c r="K129" s="83" t="s">
        <v>672</v>
      </c>
      <c r="L129" s="83" t="s">
        <v>168</v>
      </c>
      <c r="M129" s="83" t="s">
        <v>169</v>
      </c>
      <c r="N129" s="115" t="s">
        <v>170</v>
      </c>
      <c r="O129" s="98" t="s">
        <v>155</v>
      </c>
      <c r="P129" s="99" t="str">
        <f>IFERROR(__xludf.DUMMYFUNCTION("IFERROR(VLOOKUP(AS129,IMPORTRANGE(""https://docs.google.com/spreadsheets/d/1juPI-Fb8LD0YtltB2mlGEnp_R3UVu1t3wSFPzgCyHXE/edit?gid=0#gid=0"",""GERAL!A2:C""),3,0),""-"")"),"-")</f>
        <v>-</v>
      </c>
      <c r="Q129" s="98" t="s">
        <v>171</v>
      </c>
      <c r="R129" s="98">
        <v>3.0</v>
      </c>
      <c r="S129" s="98" t="s">
        <v>171</v>
      </c>
      <c r="T129" s="98" t="s">
        <v>171</v>
      </c>
      <c r="U129" s="98" t="s">
        <v>171</v>
      </c>
      <c r="V129" s="98" t="s">
        <v>171</v>
      </c>
      <c r="W129" s="98" t="s">
        <v>171</v>
      </c>
      <c r="X129" s="98" t="s">
        <v>171</v>
      </c>
      <c r="Y129" s="98" t="s">
        <v>171</v>
      </c>
      <c r="Z129" s="98" t="s">
        <v>171</v>
      </c>
      <c r="AA129" s="98" t="s">
        <v>171</v>
      </c>
      <c r="AB129" s="98" t="s">
        <v>171</v>
      </c>
      <c r="AC129" s="98" t="s">
        <v>171</v>
      </c>
      <c r="AD129" s="98" t="s">
        <v>171</v>
      </c>
      <c r="AE129" s="98" t="s">
        <v>171</v>
      </c>
      <c r="AF129" s="98" t="s">
        <v>171</v>
      </c>
      <c r="AG129" s="98" t="s">
        <v>171</v>
      </c>
      <c r="AH129" s="98" t="s">
        <v>171</v>
      </c>
      <c r="AI129" s="98" t="s">
        <v>171</v>
      </c>
      <c r="AJ129" s="98" t="s">
        <v>171</v>
      </c>
      <c r="AK129" s="98" t="s">
        <v>171</v>
      </c>
      <c r="AL129" s="98" t="s">
        <v>171</v>
      </c>
      <c r="AM129" s="98" t="s">
        <v>171</v>
      </c>
      <c r="AN129" s="98" t="s">
        <v>171</v>
      </c>
      <c r="AO129" s="98" t="s">
        <v>171</v>
      </c>
      <c r="AP129" s="98" t="s">
        <v>171</v>
      </c>
      <c r="AQ129" s="98" t="s">
        <v>171</v>
      </c>
      <c r="AR129" s="102">
        <v>46233.0</v>
      </c>
      <c r="AS129" s="83">
        <v>1178839.0</v>
      </c>
    </row>
    <row r="130" ht="31.5" customHeight="1">
      <c r="A130" s="111" t="s">
        <v>205</v>
      </c>
      <c r="B130" s="83" t="s">
        <v>665</v>
      </c>
      <c r="C130" s="83" t="s">
        <v>164</v>
      </c>
      <c r="D130" s="112">
        <v>1179431.0</v>
      </c>
      <c r="E130" s="83">
        <v>1178840.0</v>
      </c>
      <c r="F130" s="83"/>
      <c r="G130" s="91" t="str">
        <f>IFERROR(__xludf.DUMMYFUNCTION("XLOOKUP(AS130,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VILA IPUCABA")</f>
        <v>ANEXO - CEMIT - VELHO CHICO - VILA IPUCABA</v>
      </c>
      <c r="H130" s="185" t="s">
        <v>674</v>
      </c>
      <c r="I130" s="91" t="s">
        <v>675</v>
      </c>
      <c r="J130" s="83" t="s">
        <v>149</v>
      </c>
      <c r="K130" s="83" t="s">
        <v>252</v>
      </c>
      <c r="L130" s="83" t="s">
        <v>168</v>
      </c>
      <c r="M130" s="83" t="s">
        <v>169</v>
      </c>
      <c r="N130" s="115" t="s">
        <v>170</v>
      </c>
      <c r="O130" s="98" t="s">
        <v>155</v>
      </c>
      <c r="P130" s="99" t="str">
        <f>IFERROR(__xludf.DUMMYFUNCTION("IFERROR(VLOOKUP(AS130,IMPORTRANGE(""https://docs.google.com/spreadsheets/d/1juPI-Fb8LD0YtltB2mlGEnp_R3UVu1t3wSFPzgCyHXE/edit?gid=0#gid=0"",""GERAL!A2:C""),3,0),""-"")"),"-")</f>
        <v>-</v>
      </c>
      <c r="Q130" s="98" t="s">
        <v>171</v>
      </c>
      <c r="R130" s="98">
        <v>3.0</v>
      </c>
      <c r="S130" s="98" t="s">
        <v>171</v>
      </c>
      <c r="T130" s="98" t="s">
        <v>171</v>
      </c>
      <c r="U130" s="98" t="s">
        <v>171</v>
      </c>
      <c r="V130" s="98" t="s">
        <v>171</v>
      </c>
      <c r="W130" s="98" t="s">
        <v>171</v>
      </c>
      <c r="X130" s="98" t="s">
        <v>171</v>
      </c>
      <c r="Y130" s="98" t="s">
        <v>171</v>
      </c>
      <c r="Z130" s="98" t="s">
        <v>171</v>
      </c>
      <c r="AA130" s="98" t="s">
        <v>171</v>
      </c>
      <c r="AB130" s="98" t="s">
        <v>171</v>
      </c>
      <c r="AC130" s="98" t="s">
        <v>171</v>
      </c>
      <c r="AD130" s="98" t="s">
        <v>171</v>
      </c>
      <c r="AE130" s="98" t="s">
        <v>171</v>
      </c>
      <c r="AF130" s="98" t="s">
        <v>171</v>
      </c>
      <c r="AG130" s="98" t="s">
        <v>171</v>
      </c>
      <c r="AH130" s="98" t="s">
        <v>171</v>
      </c>
      <c r="AI130" s="98"/>
      <c r="AJ130" s="98" t="s">
        <v>171</v>
      </c>
      <c r="AK130" s="98" t="s">
        <v>171</v>
      </c>
      <c r="AL130" s="98" t="s">
        <v>171</v>
      </c>
      <c r="AM130" s="98" t="s">
        <v>171</v>
      </c>
      <c r="AN130" s="98" t="s">
        <v>171</v>
      </c>
      <c r="AO130" s="98" t="s">
        <v>171</v>
      </c>
      <c r="AP130" s="98" t="s">
        <v>171</v>
      </c>
      <c r="AQ130" s="98" t="s">
        <v>171</v>
      </c>
      <c r="AR130" s="102">
        <v>46233.0</v>
      </c>
      <c r="AS130" s="83">
        <v>1178840.0</v>
      </c>
    </row>
    <row r="131" ht="15.75" customHeight="1">
      <c r="A131" s="111" t="s">
        <v>205</v>
      </c>
      <c r="B131" s="83" t="s">
        <v>665</v>
      </c>
      <c r="C131" s="83" t="s">
        <v>164</v>
      </c>
      <c r="D131" s="112">
        <v>1179431.0</v>
      </c>
      <c r="E131" s="83">
        <v>1178841.0</v>
      </c>
      <c r="F131" s="83">
        <v>2.9461499E7</v>
      </c>
      <c r="G131" s="91" t="str">
        <f>IFERROR(__xludf.DUMMYFUNCTION("XLOOKUP(AS131,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POVOADO DE BOM SOSSEGO")</f>
        <v>ANEXO - CEMIT - VELHO CHICO - POVOADO DE BOM SOSSEGO</v>
      </c>
      <c r="H131" s="185" t="s">
        <v>676</v>
      </c>
      <c r="I131" s="91" t="s">
        <v>677</v>
      </c>
      <c r="J131" s="186" t="s">
        <v>171</v>
      </c>
      <c r="K131" s="115" t="s">
        <v>678</v>
      </c>
      <c r="L131" s="98" t="s">
        <v>168</v>
      </c>
      <c r="M131" s="98" t="s">
        <v>512</v>
      </c>
      <c r="N131" s="115" t="s">
        <v>170</v>
      </c>
      <c r="O131" s="98" t="s">
        <v>155</v>
      </c>
      <c r="P131" s="99" t="str">
        <f>IFERROR(__xludf.DUMMYFUNCTION("IFERROR(VLOOKUP(AS131,IMPORTRANGE(""https://docs.google.com/spreadsheets/d/1juPI-Fb8LD0YtltB2mlGEnp_R3UVu1t3wSFPzgCyHXE/edit?gid=0#gid=0"",""GERAL!A2:C""),3,0),""-"")"),"-")</f>
        <v>-</v>
      </c>
      <c r="Q131" s="98" t="s">
        <v>171</v>
      </c>
      <c r="R131" s="98">
        <v>2.0</v>
      </c>
      <c r="S131" s="98" t="s">
        <v>171</v>
      </c>
      <c r="T131" s="98" t="s">
        <v>171</v>
      </c>
      <c r="U131" s="98" t="s">
        <v>171</v>
      </c>
      <c r="V131" s="98" t="s">
        <v>171</v>
      </c>
      <c r="W131" s="98" t="s">
        <v>171</v>
      </c>
      <c r="X131" s="98" t="s">
        <v>171</v>
      </c>
      <c r="Y131" s="98" t="s">
        <v>171</v>
      </c>
      <c r="Z131" s="98" t="s">
        <v>171</v>
      </c>
      <c r="AA131" s="98" t="s">
        <v>171</v>
      </c>
      <c r="AB131" s="98" t="s">
        <v>171</v>
      </c>
      <c r="AC131" s="98" t="s">
        <v>171</v>
      </c>
      <c r="AD131" s="98" t="s">
        <v>171</v>
      </c>
      <c r="AE131" s="98" t="s">
        <v>171</v>
      </c>
      <c r="AF131" s="98" t="s">
        <v>171</v>
      </c>
      <c r="AG131" s="98" t="s">
        <v>171</v>
      </c>
      <c r="AH131" s="98" t="s">
        <v>171</v>
      </c>
      <c r="AI131" s="98" t="s">
        <v>171</v>
      </c>
      <c r="AJ131" s="98" t="s">
        <v>171</v>
      </c>
      <c r="AK131" s="98" t="s">
        <v>171</v>
      </c>
      <c r="AL131" s="98" t="s">
        <v>171</v>
      </c>
      <c r="AM131" s="98" t="s">
        <v>171</v>
      </c>
      <c r="AN131" s="98" t="s">
        <v>171</v>
      </c>
      <c r="AO131" s="98" t="s">
        <v>171</v>
      </c>
      <c r="AP131" s="98" t="s">
        <v>171</v>
      </c>
      <c r="AQ131" s="98" t="s">
        <v>171</v>
      </c>
      <c r="AR131" s="102">
        <v>46233.0</v>
      </c>
      <c r="AS131" s="83">
        <v>1178841.0</v>
      </c>
    </row>
    <row r="132" ht="15.75" customHeight="1">
      <c r="A132" s="111" t="s">
        <v>205</v>
      </c>
      <c r="B132" s="83" t="s">
        <v>665</v>
      </c>
      <c r="C132" s="83" t="s">
        <v>164</v>
      </c>
      <c r="D132" s="112">
        <v>1179431.0</v>
      </c>
      <c r="E132" s="83">
        <v>1179318.0</v>
      </c>
      <c r="F132" s="83"/>
      <c r="G132" s="91" t="str">
        <f>IFERROR(__xludf.DUMMYFUNCTION("XLOOKUP(AS132,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DISTRITO DE CACHOEIRA DO BRUNDUE")</f>
        <v>ANEXO - CEMIT - VELHO CHICO - DISTRITO DE CACHOEIRA DO BRUNDUE</v>
      </c>
      <c r="H132" s="185" t="s">
        <v>679</v>
      </c>
      <c r="I132" s="91" t="s">
        <v>680</v>
      </c>
      <c r="J132" s="83" t="s">
        <v>149</v>
      </c>
      <c r="K132" s="83" t="s">
        <v>641</v>
      </c>
      <c r="L132" s="83" t="s">
        <v>168</v>
      </c>
      <c r="M132" s="83" t="s">
        <v>169</v>
      </c>
      <c r="N132" s="115" t="s">
        <v>170</v>
      </c>
      <c r="O132" s="98" t="s">
        <v>155</v>
      </c>
      <c r="P132" s="99" t="str">
        <f>IFERROR(__xludf.DUMMYFUNCTION("IFERROR(VLOOKUP(AS132,IMPORTRANGE(""https://docs.google.com/spreadsheets/d/1juPI-Fb8LD0YtltB2mlGEnp_R3UVu1t3wSFPzgCyHXE/edit?gid=0#gid=0"",""GERAL!A2:C""),3,0),""-"")"),"-")</f>
        <v>-</v>
      </c>
      <c r="Q132" s="98" t="s">
        <v>171</v>
      </c>
      <c r="R132" s="98">
        <v>2.0</v>
      </c>
      <c r="S132" s="98" t="s">
        <v>171</v>
      </c>
      <c r="T132" s="98" t="s">
        <v>171</v>
      </c>
      <c r="U132" s="98" t="s">
        <v>171</v>
      </c>
      <c r="V132" s="98" t="s">
        <v>171</v>
      </c>
      <c r="W132" s="98" t="s">
        <v>171</v>
      </c>
      <c r="X132" s="98" t="s">
        <v>171</v>
      </c>
      <c r="Y132" s="98" t="s">
        <v>171</v>
      </c>
      <c r="Z132" s="98" t="s">
        <v>171</v>
      </c>
      <c r="AA132" s="98" t="s">
        <v>171</v>
      </c>
      <c r="AB132" s="98" t="s">
        <v>171</v>
      </c>
      <c r="AC132" s="98" t="s">
        <v>171</v>
      </c>
      <c r="AD132" s="98" t="s">
        <v>171</v>
      </c>
      <c r="AE132" s="98" t="s">
        <v>171</v>
      </c>
      <c r="AF132" s="98" t="s">
        <v>171</v>
      </c>
      <c r="AG132" s="98" t="s">
        <v>171</v>
      </c>
      <c r="AH132" s="98" t="s">
        <v>171</v>
      </c>
      <c r="AI132" s="98" t="s">
        <v>171</v>
      </c>
      <c r="AJ132" s="98" t="s">
        <v>171</v>
      </c>
      <c r="AK132" s="98" t="s">
        <v>171</v>
      </c>
      <c r="AL132" s="98" t="s">
        <v>171</v>
      </c>
      <c r="AM132" s="98" t="s">
        <v>171</v>
      </c>
      <c r="AN132" s="98" t="s">
        <v>171</v>
      </c>
      <c r="AO132" s="98" t="s">
        <v>171</v>
      </c>
      <c r="AP132" s="98" t="s">
        <v>171</v>
      </c>
      <c r="AQ132" s="98" t="s">
        <v>171</v>
      </c>
      <c r="AR132" s="102">
        <v>46233.0</v>
      </c>
      <c r="AS132" s="83">
        <v>1179318.0</v>
      </c>
    </row>
    <row r="133" ht="15.75" customHeight="1">
      <c r="A133" s="111" t="s">
        <v>205</v>
      </c>
      <c r="B133" s="83" t="s">
        <v>681</v>
      </c>
      <c r="C133" s="83" t="s">
        <v>68</v>
      </c>
      <c r="D133" s="112">
        <v>1178009.0</v>
      </c>
      <c r="E133" s="83"/>
      <c r="F133" s="83">
        <v>2.9425395E7</v>
      </c>
      <c r="G133" s="91" t="str">
        <f>IFERROR(__xludf.DUMMYFUNCTION("XLOOKUP(AS133,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EVANDRO BRANDÃO")</f>
        <v>COLÉGIO ESTADUAL DE TEMPO INTEGRAL EVANDRO BRANDÃO</v>
      </c>
      <c r="H133" s="119" t="s">
        <v>682</v>
      </c>
      <c r="I133" s="108" t="s">
        <v>683</v>
      </c>
      <c r="J133" s="115" t="s">
        <v>684</v>
      </c>
      <c r="K133" s="136" t="s">
        <v>150</v>
      </c>
      <c r="L133" s="83" t="s">
        <v>151</v>
      </c>
      <c r="M133" s="83" t="s">
        <v>152</v>
      </c>
      <c r="N133" s="188" t="s">
        <v>685</v>
      </c>
      <c r="O133" s="98" t="s">
        <v>176</v>
      </c>
      <c r="P133" s="99" t="str">
        <f>IFERROR(__xludf.DUMMYFUNCTION("IFERROR(VLOOKUP(AS133,IMPORTRANGE(""https://docs.google.com/spreadsheets/d/1juPI-Fb8LD0YtltB2mlGEnp_R3UVu1t3wSFPzgCyHXE/edit?gid=0#gid=0"",""GERAL!A2:C""),3,0),""-"")"),"-")</f>
        <v>-</v>
      </c>
      <c r="Q133" s="101" t="s">
        <v>156</v>
      </c>
      <c r="R133" s="98">
        <v>17.0</v>
      </c>
      <c r="S133" s="98">
        <v>0.0</v>
      </c>
      <c r="T133" s="98">
        <v>0.0</v>
      </c>
      <c r="U133" s="98">
        <v>1.0</v>
      </c>
      <c r="V133" s="98">
        <v>1.0</v>
      </c>
      <c r="W133" s="98">
        <v>0.0</v>
      </c>
      <c r="X133" s="98">
        <v>0.0</v>
      </c>
      <c r="Y133" s="98">
        <v>0.0</v>
      </c>
      <c r="Z133" s="98">
        <v>0.0</v>
      </c>
      <c r="AA133" s="98">
        <v>0.0</v>
      </c>
      <c r="AB133" s="98">
        <v>0.0</v>
      </c>
      <c r="AC133" s="98">
        <v>0.0</v>
      </c>
      <c r="AD133" s="98">
        <v>0.0</v>
      </c>
      <c r="AE133" s="98">
        <v>0.0</v>
      </c>
      <c r="AF133" s="98">
        <v>1.0</v>
      </c>
      <c r="AG133" s="98">
        <v>0.0</v>
      </c>
      <c r="AH133" s="98">
        <v>0.0</v>
      </c>
      <c r="AI133" s="98">
        <v>0.0</v>
      </c>
      <c r="AJ133" s="98">
        <v>0.0</v>
      </c>
      <c r="AK133" s="98">
        <v>1.0</v>
      </c>
      <c r="AL133" s="98">
        <v>0.0</v>
      </c>
      <c r="AM133" s="98">
        <v>0.0</v>
      </c>
      <c r="AN133" s="98">
        <v>0.0</v>
      </c>
      <c r="AO133" s="98">
        <v>1.0</v>
      </c>
      <c r="AP133" s="98">
        <v>2.0</v>
      </c>
      <c r="AQ133" s="98" t="s">
        <v>687</v>
      </c>
      <c r="AR133" s="102">
        <v>46262.0</v>
      </c>
      <c r="AS133" s="83">
        <v>1178009.0</v>
      </c>
    </row>
    <row r="134" ht="15.75" customHeight="1">
      <c r="A134" s="111" t="s">
        <v>205</v>
      </c>
      <c r="B134" s="83" t="s">
        <v>681</v>
      </c>
      <c r="C134" s="83" t="s">
        <v>45</v>
      </c>
      <c r="D134" s="98">
        <v>1179757.0</v>
      </c>
      <c r="E134" s="98"/>
      <c r="F134" s="189">
        <v>2.948126E7</v>
      </c>
      <c r="G134" s="91" t="str">
        <f>IFERROR(__xludf.DUMMYFUNCTION("XLOOKUP(AS134,
IMPORTRANGE(""https://docs.google.com/spreadsheets/d/1YM-djuOLXomrZ9W0B4TyIBsVWnXY4EIOFD9HY-qGfv0/edit?usp=sharing"",""GERAL!BG5:BG""),
IMPORTRANGE(""https://docs.google.com/spreadsheets/d/1YM-djuOLXomrZ9W0B4TyIBsVWnXY4EIOFD9HY-qGfv0/edit?u"&amp;"sp=sharing"",""GERAL!G5:G""),
""CÓD. SEC NÃO ENCONTRADO NA PLANILHA DE MATRÍCULA"")"),"AREFASF - ESCOLA FAMILIA AGRICOLA DO SERTAO DO SAO FRANCISCO")</f>
        <v>AREFASF - ESCOLA FAMILIA AGRICOLA DO SERTAO DO SAO FRANCISCO</v>
      </c>
      <c r="H134" s="119" t="s">
        <v>688</v>
      </c>
      <c r="I134" s="91" t="s">
        <v>689</v>
      </c>
      <c r="J134" s="115" t="s">
        <v>576</v>
      </c>
      <c r="K134" s="115" t="s">
        <v>150</v>
      </c>
      <c r="L134" s="136" t="s">
        <v>690</v>
      </c>
      <c r="M134" s="83" t="s">
        <v>169</v>
      </c>
      <c r="N134" s="128" t="s">
        <v>171</v>
      </c>
      <c r="O134" s="98" t="s">
        <v>155</v>
      </c>
      <c r="P134" s="99" t="str">
        <f>IFERROR(__xludf.DUMMYFUNCTION("IFERROR(VLOOKUP(AS134,IMPORTRANGE(""https://docs.google.com/spreadsheets/d/1juPI-Fb8LD0YtltB2mlGEnp_R3UVu1t3wSFPzgCyHXE/edit?gid=0#gid=0"",""GERAL!A2:C""),3,0),""-"")"),"EFA")</f>
        <v>EFA</v>
      </c>
      <c r="Q134" s="98" t="s">
        <v>171</v>
      </c>
      <c r="R134" s="98">
        <v>4.0</v>
      </c>
      <c r="S134" s="98" t="s">
        <v>171</v>
      </c>
      <c r="T134" s="98" t="s">
        <v>171</v>
      </c>
      <c r="U134" s="98" t="s">
        <v>171</v>
      </c>
      <c r="V134" s="98" t="s">
        <v>171</v>
      </c>
      <c r="W134" s="98" t="s">
        <v>171</v>
      </c>
      <c r="X134" s="98" t="s">
        <v>171</v>
      </c>
      <c r="Y134" s="98" t="s">
        <v>171</v>
      </c>
      <c r="Z134" s="98" t="s">
        <v>171</v>
      </c>
      <c r="AA134" s="98" t="s">
        <v>171</v>
      </c>
      <c r="AB134" s="98" t="s">
        <v>171</v>
      </c>
      <c r="AC134" s="98" t="s">
        <v>171</v>
      </c>
      <c r="AD134" s="98" t="s">
        <v>171</v>
      </c>
      <c r="AE134" s="98" t="s">
        <v>171</v>
      </c>
      <c r="AF134" s="98" t="s">
        <v>171</v>
      </c>
      <c r="AG134" s="98" t="s">
        <v>171</v>
      </c>
      <c r="AH134" s="98" t="s">
        <v>171</v>
      </c>
      <c r="AI134" s="98"/>
      <c r="AJ134" s="98" t="s">
        <v>171</v>
      </c>
      <c r="AK134" s="98" t="s">
        <v>171</v>
      </c>
      <c r="AL134" s="98" t="s">
        <v>171</v>
      </c>
      <c r="AM134" s="98" t="s">
        <v>171</v>
      </c>
      <c r="AN134" s="98" t="s">
        <v>171</v>
      </c>
      <c r="AO134" s="98" t="s">
        <v>171</v>
      </c>
      <c r="AP134" s="98" t="s">
        <v>171</v>
      </c>
      <c r="AQ134" s="98" t="s">
        <v>171</v>
      </c>
      <c r="AR134" s="102">
        <v>46262.0</v>
      </c>
      <c r="AS134" s="98">
        <v>1179757.0</v>
      </c>
    </row>
    <row r="135" ht="15.75" customHeight="1">
      <c r="A135" s="111" t="s">
        <v>205</v>
      </c>
      <c r="B135" s="83" t="s">
        <v>681</v>
      </c>
      <c r="C135" s="83" t="s">
        <v>164</v>
      </c>
      <c r="D135" s="190">
        <v>1178009.0</v>
      </c>
      <c r="E135" s="191">
        <v>1179749.0</v>
      </c>
      <c r="F135" s="83"/>
      <c r="G135" s="91" t="str">
        <f>IFERROR(__xludf.DUMMYFUNCTION("XLOOKUP(AS135,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EVANDRO BRANDAO - VOLTA DA SERRA")</f>
        <v>ANEXO - COLÉGIO ESTADUAL DE TEMPO INTEGRAL EVANDRO BRANDAO - VOLTA DA SERRA</v>
      </c>
      <c r="H135" s="192" t="s">
        <v>692</v>
      </c>
      <c r="I135" s="108" t="s">
        <v>693</v>
      </c>
      <c r="J135" s="193"/>
      <c r="K135" s="136" t="s">
        <v>694</v>
      </c>
      <c r="L135" s="98" t="s">
        <v>168</v>
      </c>
      <c r="M135" s="83" t="s">
        <v>512</v>
      </c>
      <c r="N135" s="115" t="s">
        <v>170</v>
      </c>
      <c r="O135" s="98" t="s">
        <v>155</v>
      </c>
      <c r="P135" s="99" t="str">
        <f>IFERROR(__xludf.DUMMYFUNCTION("IFERROR(VLOOKUP(AS135,IMPORTRANGE(""https://docs.google.com/spreadsheets/d/1juPI-Fb8LD0YtltB2mlGEnp_R3UVu1t3wSFPzgCyHXE/edit?gid=0#gid=0"",""GERAL!A2:C""),3,0),""-"")"),"-")</f>
        <v>-</v>
      </c>
      <c r="Q135" s="98" t="s">
        <v>171</v>
      </c>
      <c r="R135" s="98">
        <v>4.0</v>
      </c>
      <c r="S135" s="98">
        <v>0.0</v>
      </c>
      <c r="T135" s="98">
        <v>0.0</v>
      </c>
      <c r="U135" s="98">
        <v>0.0</v>
      </c>
      <c r="V135" s="98">
        <v>0.0</v>
      </c>
      <c r="W135" s="98">
        <v>0.0</v>
      </c>
      <c r="X135" s="98">
        <v>1.0</v>
      </c>
      <c r="Y135" s="98">
        <v>0.0</v>
      </c>
      <c r="Z135" s="98">
        <v>0.0</v>
      </c>
      <c r="AA135" s="98">
        <v>0.0</v>
      </c>
      <c r="AB135" s="98">
        <v>0.0</v>
      </c>
      <c r="AC135" s="98">
        <v>0.0</v>
      </c>
      <c r="AD135" s="98">
        <v>0.0</v>
      </c>
      <c r="AE135" s="98">
        <v>0.0</v>
      </c>
      <c r="AF135" s="98">
        <v>1.0</v>
      </c>
      <c r="AG135" s="98">
        <v>0.0</v>
      </c>
      <c r="AH135" s="98">
        <v>0.0</v>
      </c>
      <c r="AI135" s="98">
        <v>0.0</v>
      </c>
      <c r="AJ135" s="98">
        <v>0.0</v>
      </c>
      <c r="AK135" s="98">
        <v>0.0</v>
      </c>
      <c r="AL135" s="98">
        <v>0.0</v>
      </c>
      <c r="AM135" s="98">
        <v>0.0</v>
      </c>
      <c r="AN135" s="98">
        <v>0.0</v>
      </c>
      <c r="AO135" s="98">
        <v>0.0</v>
      </c>
      <c r="AP135" s="98">
        <v>0.0</v>
      </c>
      <c r="AQ135" s="98"/>
      <c r="AR135" s="102">
        <v>46262.0</v>
      </c>
      <c r="AS135" s="83">
        <v>1179749.0</v>
      </c>
    </row>
    <row r="136" ht="15.75" customHeight="1">
      <c r="A136" s="111" t="s">
        <v>205</v>
      </c>
      <c r="B136" s="83" t="s">
        <v>681</v>
      </c>
      <c r="C136" s="83" t="s">
        <v>164</v>
      </c>
      <c r="D136" s="112">
        <v>1178009.0</v>
      </c>
      <c r="E136" s="83">
        <v>1179752.0</v>
      </c>
      <c r="F136" s="146"/>
      <c r="G136" s="91" t="str">
        <f>IFERROR(__xludf.DUMMYFUNCTION("XLOOKUP(AS136,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EVANDRO BRANDAO - PATOS")</f>
        <v>ANEXO - COLÉGIO ESTADUAL DE TEMPO INTEGRAL EVANDRO BRANDAO - PATOS</v>
      </c>
      <c r="H136" s="119" t="s">
        <v>695</v>
      </c>
      <c r="I136" s="108" t="s">
        <v>696</v>
      </c>
      <c r="J136" s="193"/>
      <c r="K136" s="136" t="s">
        <v>331</v>
      </c>
      <c r="L136" s="98" t="s">
        <v>168</v>
      </c>
      <c r="M136" s="83" t="s">
        <v>512</v>
      </c>
      <c r="N136" s="115" t="s">
        <v>170</v>
      </c>
      <c r="O136" s="98" t="s">
        <v>155</v>
      </c>
      <c r="P136" s="99" t="str">
        <f>IFERROR(__xludf.DUMMYFUNCTION("IFERROR(VLOOKUP(AS136,IMPORTRANGE(""https://docs.google.com/spreadsheets/d/1juPI-Fb8LD0YtltB2mlGEnp_R3UVu1t3wSFPzgCyHXE/edit?gid=0#gid=0"",""GERAL!A2:C""),3,0),""-"")"),"-")</f>
        <v>-</v>
      </c>
      <c r="Q136" s="98" t="s">
        <v>171</v>
      </c>
      <c r="R136" s="98">
        <v>4.0</v>
      </c>
      <c r="S136" s="98" t="s">
        <v>171</v>
      </c>
      <c r="T136" s="98" t="s">
        <v>171</v>
      </c>
      <c r="U136" s="98" t="s">
        <v>171</v>
      </c>
      <c r="V136" s="98" t="s">
        <v>171</v>
      </c>
      <c r="W136" s="98" t="s">
        <v>171</v>
      </c>
      <c r="X136" s="98" t="s">
        <v>171</v>
      </c>
      <c r="Y136" s="98" t="s">
        <v>171</v>
      </c>
      <c r="Z136" s="98" t="s">
        <v>171</v>
      </c>
      <c r="AA136" s="98" t="s">
        <v>171</v>
      </c>
      <c r="AB136" s="98" t="s">
        <v>171</v>
      </c>
      <c r="AC136" s="98" t="s">
        <v>171</v>
      </c>
      <c r="AD136" s="98" t="s">
        <v>171</v>
      </c>
      <c r="AE136" s="98" t="s">
        <v>171</v>
      </c>
      <c r="AF136" s="98" t="s">
        <v>171</v>
      </c>
      <c r="AG136" s="98" t="s">
        <v>171</v>
      </c>
      <c r="AH136" s="98" t="s">
        <v>171</v>
      </c>
      <c r="AI136" s="98"/>
      <c r="AJ136" s="98" t="s">
        <v>171</v>
      </c>
      <c r="AK136" s="98" t="s">
        <v>171</v>
      </c>
      <c r="AL136" s="98" t="s">
        <v>171</v>
      </c>
      <c r="AM136" s="98" t="s">
        <v>171</v>
      </c>
      <c r="AN136" s="98" t="s">
        <v>171</v>
      </c>
      <c r="AO136" s="98" t="s">
        <v>171</v>
      </c>
      <c r="AP136" s="98" t="s">
        <v>171</v>
      </c>
      <c r="AQ136" s="98" t="s">
        <v>171</v>
      </c>
      <c r="AR136" s="102">
        <v>46262.0</v>
      </c>
      <c r="AS136" s="83">
        <v>1179752.0</v>
      </c>
    </row>
    <row r="137" ht="15.75" customHeight="1">
      <c r="A137" s="111" t="s">
        <v>205</v>
      </c>
      <c r="B137" s="83" t="s">
        <v>681</v>
      </c>
      <c r="C137" s="83" t="s">
        <v>164</v>
      </c>
      <c r="D137" s="112">
        <v>1178009.0</v>
      </c>
      <c r="E137" s="83">
        <v>1179751.0</v>
      </c>
      <c r="F137" s="83"/>
      <c r="G137" s="91" t="str">
        <f>IFERROR(__xludf.DUMMYFUNCTION("XLOOKUP(AS137,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EVANDRO BRANDAO - CANABRAVA")</f>
        <v>ANEXO - COLÉGIO ESTADUAL DE TEMPO INTEGRAL EVANDRO BRANDAO - CANABRAVA</v>
      </c>
      <c r="H137" s="119" t="s">
        <v>697</v>
      </c>
      <c r="I137" s="108" t="s">
        <v>698</v>
      </c>
      <c r="J137" s="193"/>
      <c r="K137" s="136" t="s">
        <v>222</v>
      </c>
      <c r="L137" s="98" t="s">
        <v>168</v>
      </c>
      <c r="M137" s="83" t="s">
        <v>512</v>
      </c>
      <c r="N137" s="115" t="s">
        <v>170</v>
      </c>
      <c r="O137" s="98" t="s">
        <v>155</v>
      </c>
      <c r="P137" s="99" t="str">
        <f>IFERROR(__xludf.DUMMYFUNCTION("IFERROR(VLOOKUP(AS137,IMPORTRANGE(""https://docs.google.com/spreadsheets/d/1juPI-Fb8LD0YtltB2mlGEnp_R3UVu1t3wSFPzgCyHXE/edit?gid=0#gid=0"",""GERAL!A2:C""),3,0),""-"")"),"-")</f>
        <v>-</v>
      </c>
      <c r="Q137" s="98" t="s">
        <v>171</v>
      </c>
      <c r="R137" s="98">
        <v>4.0</v>
      </c>
      <c r="S137" s="98" t="s">
        <v>171</v>
      </c>
      <c r="T137" s="98" t="s">
        <v>171</v>
      </c>
      <c r="U137" s="98" t="s">
        <v>171</v>
      </c>
      <c r="V137" s="98" t="s">
        <v>171</v>
      </c>
      <c r="W137" s="98" t="s">
        <v>171</v>
      </c>
      <c r="X137" s="98" t="s">
        <v>171</v>
      </c>
      <c r="Y137" s="98" t="s">
        <v>171</v>
      </c>
      <c r="Z137" s="98" t="s">
        <v>171</v>
      </c>
      <c r="AA137" s="98" t="s">
        <v>171</v>
      </c>
      <c r="AB137" s="98" t="s">
        <v>171</v>
      </c>
      <c r="AC137" s="98" t="s">
        <v>171</v>
      </c>
      <c r="AD137" s="98" t="s">
        <v>171</v>
      </c>
      <c r="AE137" s="98" t="s">
        <v>171</v>
      </c>
      <c r="AF137" s="98" t="s">
        <v>171</v>
      </c>
      <c r="AG137" s="98" t="s">
        <v>171</v>
      </c>
      <c r="AH137" s="98" t="s">
        <v>171</v>
      </c>
      <c r="AI137" s="98"/>
      <c r="AJ137" s="98" t="s">
        <v>171</v>
      </c>
      <c r="AK137" s="98" t="s">
        <v>171</v>
      </c>
      <c r="AL137" s="98" t="s">
        <v>171</v>
      </c>
      <c r="AM137" s="98" t="s">
        <v>171</v>
      </c>
      <c r="AN137" s="98" t="s">
        <v>171</v>
      </c>
      <c r="AO137" s="98" t="s">
        <v>171</v>
      </c>
      <c r="AP137" s="98" t="s">
        <v>171</v>
      </c>
      <c r="AQ137" s="98" t="s">
        <v>171</v>
      </c>
      <c r="AR137" s="102">
        <v>46262.0</v>
      </c>
      <c r="AS137" s="83">
        <v>1179751.0</v>
      </c>
    </row>
    <row r="138" ht="15.75" customHeight="1">
      <c r="A138" s="111" t="s">
        <v>205</v>
      </c>
      <c r="B138" s="83" t="s">
        <v>681</v>
      </c>
      <c r="C138" s="83" t="s">
        <v>164</v>
      </c>
      <c r="D138" s="112">
        <v>1178009.0</v>
      </c>
      <c r="E138" s="83">
        <v>1179750.0</v>
      </c>
      <c r="F138" s="83"/>
      <c r="G138" s="91" t="str">
        <f>IFERROR(__xludf.DUMMYFUNCTION("XLOOKUP(AS138,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EVANDRO BRANDAO - AGUAS TERMAIS DO PAULISTA")</f>
        <v>ANEXO - COLÉGIO ESTADUAL DE TEMPO INTEGRAL EVANDRO BRANDAO - AGUAS TERMAIS DO PAULISTA</v>
      </c>
      <c r="H138" s="119" t="s">
        <v>700</v>
      </c>
      <c r="I138" s="108" t="s">
        <v>701</v>
      </c>
      <c r="J138" s="193"/>
      <c r="K138" s="136" t="s">
        <v>702</v>
      </c>
      <c r="L138" s="98" t="s">
        <v>168</v>
      </c>
      <c r="M138" s="83" t="s">
        <v>512</v>
      </c>
      <c r="N138" s="115" t="s">
        <v>170</v>
      </c>
      <c r="O138" s="98" t="s">
        <v>155</v>
      </c>
      <c r="P138" s="99" t="str">
        <f>IFERROR(__xludf.DUMMYFUNCTION("IFERROR(VLOOKUP(AS138,IMPORTRANGE(""https://docs.google.com/spreadsheets/d/1juPI-Fb8LD0YtltB2mlGEnp_R3UVu1t3wSFPzgCyHXE/edit?gid=0#gid=0"",""GERAL!A2:C""),3,0),""-"")"),"-")</f>
        <v>-</v>
      </c>
      <c r="Q138" s="98" t="s">
        <v>171</v>
      </c>
      <c r="R138" s="98">
        <v>4.0</v>
      </c>
      <c r="S138" s="98" t="s">
        <v>171</v>
      </c>
      <c r="T138" s="98" t="s">
        <v>171</v>
      </c>
      <c r="U138" s="98" t="s">
        <v>171</v>
      </c>
      <c r="V138" s="98" t="s">
        <v>171</v>
      </c>
      <c r="W138" s="98" t="s">
        <v>171</v>
      </c>
      <c r="X138" s="98" t="s">
        <v>171</v>
      </c>
      <c r="Y138" s="98" t="s">
        <v>171</v>
      </c>
      <c r="Z138" s="98" t="s">
        <v>171</v>
      </c>
      <c r="AA138" s="98" t="s">
        <v>171</v>
      </c>
      <c r="AB138" s="98" t="s">
        <v>171</v>
      </c>
      <c r="AC138" s="98" t="s">
        <v>171</v>
      </c>
      <c r="AD138" s="98" t="s">
        <v>171</v>
      </c>
      <c r="AE138" s="98" t="s">
        <v>171</v>
      </c>
      <c r="AF138" s="98" t="s">
        <v>171</v>
      </c>
      <c r="AG138" s="98" t="s">
        <v>171</v>
      </c>
      <c r="AH138" s="98" t="s">
        <v>171</v>
      </c>
      <c r="AI138" s="98"/>
      <c r="AJ138" s="98" t="s">
        <v>171</v>
      </c>
      <c r="AK138" s="98" t="s">
        <v>171</v>
      </c>
      <c r="AL138" s="98" t="s">
        <v>171</v>
      </c>
      <c r="AM138" s="98" t="s">
        <v>171</v>
      </c>
      <c r="AN138" s="98" t="s">
        <v>171</v>
      </c>
      <c r="AO138" s="98" t="s">
        <v>171</v>
      </c>
      <c r="AP138" s="98" t="s">
        <v>171</v>
      </c>
      <c r="AQ138" s="98" t="s">
        <v>171</v>
      </c>
      <c r="AR138" s="102">
        <v>46262.0</v>
      </c>
      <c r="AS138" s="83">
        <v>1179750.0</v>
      </c>
    </row>
    <row r="139" ht="15.75" customHeight="1">
      <c r="A139" s="111" t="s">
        <v>205</v>
      </c>
      <c r="B139" s="83" t="s">
        <v>681</v>
      </c>
      <c r="C139" s="83" t="s">
        <v>164</v>
      </c>
      <c r="D139" s="112">
        <v>1178009.0</v>
      </c>
      <c r="E139" s="83">
        <v>1179753.0</v>
      </c>
      <c r="F139" s="83"/>
      <c r="G139" s="91" t="str">
        <f>IFERROR(__xludf.DUMMYFUNCTION("XLOOKUP(AS139,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EVANDRO BRANDAO - AGRESTE")</f>
        <v>ANEXO - COLÉGIO ESTADUAL DE TEMPO INTEGRAL EVANDRO BRANDAO - AGRESTE</v>
      </c>
      <c r="H139" s="119" t="s">
        <v>703</v>
      </c>
      <c r="I139" s="108" t="s">
        <v>704</v>
      </c>
      <c r="J139" s="193"/>
      <c r="K139" s="136" t="s">
        <v>705</v>
      </c>
      <c r="L139" s="98" t="s">
        <v>168</v>
      </c>
      <c r="M139" s="83" t="s">
        <v>512</v>
      </c>
      <c r="N139" s="115" t="s">
        <v>170</v>
      </c>
      <c r="O139" s="98" t="s">
        <v>155</v>
      </c>
      <c r="P139" s="99" t="str">
        <f>IFERROR(__xludf.DUMMYFUNCTION("IFERROR(VLOOKUP(AS139,IMPORTRANGE(""https://docs.google.com/spreadsheets/d/1juPI-Fb8LD0YtltB2mlGEnp_R3UVu1t3wSFPzgCyHXE/edit?gid=0#gid=0"",""GERAL!A2:C""),3,0),""-"")"),"-")</f>
        <v>-</v>
      </c>
      <c r="Q139" s="98" t="s">
        <v>171</v>
      </c>
      <c r="R139" s="98">
        <v>4.0</v>
      </c>
      <c r="S139" s="98" t="s">
        <v>171</v>
      </c>
      <c r="T139" s="98" t="s">
        <v>171</v>
      </c>
      <c r="U139" s="98" t="s">
        <v>171</v>
      </c>
      <c r="V139" s="98" t="s">
        <v>171</v>
      </c>
      <c r="W139" s="98" t="s">
        <v>171</v>
      </c>
      <c r="X139" s="98" t="s">
        <v>171</v>
      </c>
      <c r="Y139" s="98" t="s">
        <v>171</v>
      </c>
      <c r="Z139" s="98" t="s">
        <v>171</v>
      </c>
      <c r="AA139" s="98" t="s">
        <v>171</v>
      </c>
      <c r="AB139" s="98" t="s">
        <v>171</v>
      </c>
      <c r="AC139" s="98" t="s">
        <v>171</v>
      </c>
      <c r="AD139" s="98" t="s">
        <v>171</v>
      </c>
      <c r="AE139" s="98" t="s">
        <v>171</v>
      </c>
      <c r="AF139" s="98" t="s">
        <v>171</v>
      </c>
      <c r="AG139" s="98" t="s">
        <v>171</v>
      </c>
      <c r="AH139" s="98" t="s">
        <v>171</v>
      </c>
      <c r="AI139" s="98"/>
      <c r="AJ139" s="98" t="s">
        <v>171</v>
      </c>
      <c r="AK139" s="98" t="s">
        <v>171</v>
      </c>
      <c r="AL139" s="98" t="s">
        <v>171</v>
      </c>
      <c r="AM139" s="98" t="s">
        <v>171</v>
      </c>
      <c r="AN139" s="98" t="s">
        <v>171</v>
      </c>
      <c r="AO139" s="98" t="s">
        <v>171</v>
      </c>
      <c r="AP139" s="98" t="s">
        <v>171</v>
      </c>
      <c r="AQ139" s="98" t="s">
        <v>171</v>
      </c>
      <c r="AR139" s="102">
        <v>46262.0</v>
      </c>
      <c r="AS139" s="83">
        <v>1179753.0</v>
      </c>
    </row>
    <row r="140" ht="15.75" customHeight="1">
      <c r="A140" s="111" t="s">
        <v>205</v>
      </c>
      <c r="B140" s="83" t="s">
        <v>706</v>
      </c>
      <c r="C140" s="83" t="s">
        <v>45</v>
      </c>
      <c r="D140" s="112">
        <v>1175922.0</v>
      </c>
      <c r="E140" s="83"/>
      <c r="F140" s="83">
        <v>2.9253888E7</v>
      </c>
      <c r="G140" s="91" t="str">
        <f>IFERROR(__xludf.DUMMYFUNCTION("XLOOKUP(AS140,
IMPORTRANGE(""https://docs.google.com/spreadsheets/d/1YM-djuOLXomrZ9W0B4TyIBsVWnXY4EIOFD9HY-qGfv0/edit?usp=sharing"",""GERAL!BG5:BG""),
IMPORTRANGE(""https://docs.google.com/spreadsheets/d/1YM-djuOLXomrZ9W0B4TyIBsVWnXY4EIOFD9HY-qGfv0/edit?u"&amp;"sp=sharing"",""GERAL!G5:G""),
""CÓD. SEC NÃO ENCONTRADO NA PLANILHA DE MATRÍCULA"")"),"ESCOLA TECNICA DA FAMÍLIA AGRÍCOLA DA BAHIA-ETFAB")</f>
        <v>ESCOLA TECNICA DA FAMÍLIA AGRÍCOLA DA BAHIA-ETFAB</v>
      </c>
      <c r="H140" s="114" t="s">
        <v>707</v>
      </c>
      <c r="I140" s="91" t="s">
        <v>708</v>
      </c>
      <c r="J140" s="115" t="s">
        <v>149</v>
      </c>
      <c r="K140" s="115" t="s">
        <v>150</v>
      </c>
      <c r="L140" s="83" t="s">
        <v>171</v>
      </c>
      <c r="M140" s="83" t="s">
        <v>169</v>
      </c>
      <c r="N140" s="115" t="s">
        <v>709</v>
      </c>
      <c r="O140" s="98" t="s">
        <v>155</v>
      </c>
      <c r="P140" s="99" t="str">
        <f>IFERROR(__xludf.DUMMYFUNCTION("IFERROR(VLOOKUP(AS140,IMPORTRANGE(""https://docs.google.com/spreadsheets/d/1juPI-Fb8LD0YtltB2mlGEnp_R3UVu1t3wSFPzgCyHXE/edit?gid=0#gid=0"",""GERAL!A2:C""),3,0),""-"")"),"EFA")</f>
        <v>EFA</v>
      </c>
      <c r="Q140" s="98" t="s">
        <v>171</v>
      </c>
      <c r="R140" s="98" t="s">
        <v>171</v>
      </c>
      <c r="S140" s="98" t="s">
        <v>171</v>
      </c>
      <c r="T140" s="98" t="s">
        <v>171</v>
      </c>
      <c r="U140" s="98" t="s">
        <v>171</v>
      </c>
      <c r="V140" s="98" t="s">
        <v>171</v>
      </c>
      <c r="W140" s="98" t="s">
        <v>171</v>
      </c>
      <c r="X140" s="98" t="s">
        <v>171</v>
      </c>
      <c r="Y140" s="98" t="s">
        <v>171</v>
      </c>
      <c r="Z140" s="98" t="s">
        <v>171</v>
      </c>
      <c r="AA140" s="98" t="s">
        <v>171</v>
      </c>
      <c r="AB140" s="98" t="s">
        <v>171</v>
      </c>
      <c r="AC140" s="98" t="s">
        <v>171</v>
      </c>
      <c r="AD140" s="98" t="s">
        <v>171</v>
      </c>
      <c r="AE140" s="98" t="s">
        <v>171</v>
      </c>
      <c r="AF140" s="98" t="s">
        <v>171</v>
      </c>
      <c r="AG140" s="98" t="s">
        <v>171</v>
      </c>
      <c r="AH140" s="98" t="s">
        <v>171</v>
      </c>
      <c r="AI140" s="98"/>
      <c r="AJ140" s="98" t="s">
        <v>171</v>
      </c>
      <c r="AK140" s="98" t="s">
        <v>171</v>
      </c>
      <c r="AL140" s="98" t="s">
        <v>171</v>
      </c>
      <c r="AM140" s="98" t="s">
        <v>171</v>
      </c>
      <c r="AN140" s="98" t="s">
        <v>171</v>
      </c>
      <c r="AO140" s="98" t="s">
        <v>171</v>
      </c>
      <c r="AP140" s="98" t="s">
        <v>171</v>
      </c>
      <c r="AQ140" s="98" t="s">
        <v>171</v>
      </c>
      <c r="AR140" s="102">
        <v>46216.0</v>
      </c>
      <c r="AS140" s="83">
        <v>1175922.0</v>
      </c>
    </row>
    <row r="141" ht="15.75" customHeight="1">
      <c r="A141" s="111" t="s">
        <v>205</v>
      </c>
      <c r="B141" s="83" t="s">
        <v>706</v>
      </c>
      <c r="C141" s="83" t="s">
        <v>45</v>
      </c>
      <c r="D141" s="112">
        <v>1131232.0</v>
      </c>
      <c r="E141" s="83"/>
      <c r="F141" s="83">
        <v>2.925283E7</v>
      </c>
      <c r="G141" s="91" t="str">
        <f>IFERROR(__xludf.DUMMYFUNCTION("XLOOKUP(AS141,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RIACHO DE SANTANA")</f>
        <v>ESCOLA FAMILIA AGRICOLA DE RIACHO DE SANTANA</v>
      </c>
      <c r="H141" s="114" t="s">
        <v>710</v>
      </c>
      <c r="I141" s="91" t="s">
        <v>711</v>
      </c>
      <c r="J141" s="136" t="s">
        <v>712</v>
      </c>
      <c r="K141" s="115" t="s">
        <v>150</v>
      </c>
      <c r="L141" s="83" t="s">
        <v>171</v>
      </c>
      <c r="M141" s="83" t="s">
        <v>169</v>
      </c>
      <c r="N141" s="115" t="s">
        <v>713</v>
      </c>
      <c r="O141" s="98" t="s">
        <v>155</v>
      </c>
      <c r="P141" s="99" t="str">
        <f>IFERROR(__xludf.DUMMYFUNCTION("IFERROR(VLOOKUP(AS141,IMPORTRANGE(""https://docs.google.com/spreadsheets/d/1juPI-Fb8LD0YtltB2mlGEnp_R3UVu1t3wSFPzgCyHXE/edit?gid=0#gid=0"",""GERAL!A2:C""),3,0),""-"")"),"EFA")</f>
        <v>EFA</v>
      </c>
      <c r="Q141" s="98" t="s">
        <v>171</v>
      </c>
      <c r="R141" s="98">
        <v>3.0</v>
      </c>
      <c r="S141" s="98">
        <v>0.0</v>
      </c>
      <c r="T141" s="98">
        <v>0.0</v>
      </c>
      <c r="U141" s="98">
        <v>0.0</v>
      </c>
      <c r="V141" s="98">
        <v>1.0</v>
      </c>
      <c r="W141" s="98">
        <v>12.0</v>
      </c>
      <c r="X141" s="98">
        <v>1.0</v>
      </c>
      <c r="Y141" s="98">
        <v>0.0</v>
      </c>
      <c r="Z141" s="98">
        <v>0.0</v>
      </c>
      <c r="AA141" s="98">
        <v>1.0</v>
      </c>
      <c r="AB141" s="98">
        <v>0.0</v>
      </c>
      <c r="AC141" s="98">
        <v>1.0</v>
      </c>
      <c r="AD141" s="98">
        <v>0.0</v>
      </c>
      <c r="AE141" s="98">
        <v>0.0</v>
      </c>
      <c r="AF141" s="98">
        <v>0.0</v>
      </c>
      <c r="AG141" s="98">
        <v>0.0</v>
      </c>
      <c r="AH141" s="98">
        <v>0.0</v>
      </c>
      <c r="AI141" s="98">
        <v>1.0</v>
      </c>
      <c r="AJ141" s="98">
        <v>0.0</v>
      </c>
      <c r="AK141" s="98">
        <v>0.0</v>
      </c>
      <c r="AL141" s="98">
        <v>0.0</v>
      </c>
      <c r="AM141" s="98">
        <v>0.0</v>
      </c>
      <c r="AN141" s="98">
        <v>0.0</v>
      </c>
      <c r="AO141" s="98">
        <v>0.0</v>
      </c>
      <c r="AP141" s="98">
        <v>0.0</v>
      </c>
      <c r="AQ141" s="98" t="s">
        <v>714</v>
      </c>
      <c r="AR141" s="102">
        <v>46216.0</v>
      </c>
      <c r="AS141" s="83">
        <v>1131232.0</v>
      </c>
    </row>
    <row r="142" ht="15.75" customHeight="1">
      <c r="A142" s="111" t="s">
        <v>205</v>
      </c>
      <c r="B142" s="83" t="s">
        <v>706</v>
      </c>
      <c r="C142" s="83" t="s">
        <v>68</v>
      </c>
      <c r="D142" s="112">
        <v>1164742.0</v>
      </c>
      <c r="E142" s="83"/>
      <c r="F142" s="83">
        <v>2.9252555E7</v>
      </c>
      <c r="G142" s="91" t="str">
        <f>IFERROR(__xludf.DUMMYFUNCTION("XLOOKUP(AS142,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SINESIO COSTA ")</f>
        <v>COLÉGIO ESTADUAL DE TEMPO INTEGRAL SINESIO COSTA </v>
      </c>
      <c r="H142" s="119" t="s">
        <v>715</v>
      </c>
      <c r="I142" s="91" t="s">
        <v>716</v>
      </c>
      <c r="J142" s="136" t="s">
        <v>149</v>
      </c>
      <c r="K142" s="136" t="s">
        <v>150</v>
      </c>
      <c r="L142" s="83" t="s">
        <v>151</v>
      </c>
      <c r="M142" s="83" t="s">
        <v>230</v>
      </c>
      <c r="N142" s="137" t="s">
        <v>717</v>
      </c>
      <c r="O142" s="98" t="s">
        <v>176</v>
      </c>
      <c r="P142" s="99" t="str">
        <f>IFERROR(__xludf.DUMMYFUNCTION("IFERROR(VLOOKUP(AS142,IMPORTRANGE(""https://docs.google.com/spreadsheets/d/1juPI-Fb8LD0YtltB2mlGEnp_R3UVu1t3wSFPzgCyHXE/edit?gid=0#gid=0"",""GERAL!A2:C""),3,0),""-"")"),"-")</f>
        <v>-</v>
      </c>
      <c r="Q142" s="101" t="s">
        <v>156</v>
      </c>
      <c r="R142" s="98">
        <v>19.0</v>
      </c>
      <c r="S142" s="98">
        <v>1.0</v>
      </c>
      <c r="T142" s="98">
        <v>0.0</v>
      </c>
      <c r="U142" s="98">
        <v>0.0</v>
      </c>
      <c r="V142" s="98">
        <v>1.0</v>
      </c>
      <c r="W142" s="98">
        <v>1.0</v>
      </c>
      <c r="X142" s="98">
        <v>1.0</v>
      </c>
      <c r="Y142" s="98">
        <v>0.0</v>
      </c>
      <c r="Z142" s="98">
        <v>1.0</v>
      </c>
      <c r="AA142" s="98">
        <v>0.0</v>
      </c>
      <c r="AB142" s="98">
        <v>1.0</v>
      </c>
      <c r="AC142" s="98">
        <v>0.0</v>
      </c>
      <c r="AD142" s="98">
        <v>0.0</v>
      </c>
      <c r="AE142" s="98">
        <v>0.0</v>
      </c>
      <c r="AF142" s="98">
        <v>1.0</v>
      </c>
      <c r="AG142" s="98">
        <v>0.0</v>
      </c>
      <c r="AH142" s="98">
        <v>0.0</v>
      </c>
      <c r="AI142" s="98">
        <v>0.0</v>
      </c>
      <c r="AJ142" s="98">
        <v>0.0</v>
      </c>
      <c r="AK142" s="98">
        <v>0.0</v>
      </c>
      <c r="AL142" s="98">
        <v>0.0</v>
      </c>
      <c r="AM142" s="98">
        <v>0.0</v>
      </c>
      <c r="AN142" s="98">
        <v>0.0</v>
      </c>
      <c r="AO142" s="98">
        <v>0.0</v>
      </c>
      <c r="AP142" s="98">
        <v>0.0</v>
      </c>
      <c r="AQ142" s="98" t="s">
        <v>718</v>
      </c>
      <c r="AR142" s="102">
        <v>46203.0</v>
      </c>
      <c r="AS142" s="83">
        <v>1164742.0</v>
      </c>
    </row>
    <row r="143" ht="15.75" customHeight="1">
      <c r="A143" s="111" t="s">
        <v>205</v>
      </c>
      <c r="B143" s="83" t="s">
        <v>706</v>
      </c>
      <c r="C143" s="83" t="s">
        <v>164</v>
      </c>
      <c r="D143" s="112">
        <v>1179431.0</v>
      </c>
      <c r="E143" s="83">
        <v>1178922.0</v>
      </c>
      <c r="F143" s="83"/>
      <c r="G143" s="91" t="str">
        <f>IFERROR(__xludf.DUMMYFUNCTION("XLOOKUP(AS143,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 VELHO CHICO - POVOADO DE GADO BRAVO")</f>
        <v>ANEXO -CEMIT - VELHO CHICO - POVOADO DE GADO BRAVO</v>
      </c>
      <c r="H143" s="114" t="s">
        <v>719</v>
      </c>
      <c r="I143" s="91" t="s">
        <v>720</v>
      </c>
      <c r="J143" s="136" t="s">
        <v>149</v>
      </c>
      <c r="K143" s="136" t="s">
        <v>183</v>
      </c>
      <c r="L143" s="83" t="s">
        <v>168</v>
      </c>
      <c r="M143" s="83" t="s">
        <v>169</v>
      </c>
      <c r="N143" s="115" t="s">
        <v>170</v>
      </c>
      <c r="O143" s="98" t="s">
        <v>155</v>
      </c>
      <c r="P143" s="99" t="str">
        <f>IFERROR(__xludf.DUMMYFUNCTION("IFERROR(VLOOKUP(AS143,IMPORTRANGE(""https://docs.google.com/spreadsheets/d/1juPI-Fb8LD0YtltB2mlGEnp_R3UVu1t3wSFPzgCyHXE/edit?gid=0#gid=0"",""GERAL!A2:C""),3,0),""-"")"),"-")</f>
        <v>-</v>
      </c>
      <c r="Q143" s="98" t="s">
        <v>171</v>
      </c>
      <c r="R143" s="98">
        <v>2.0</v>
      </c>
      <c r="S143" s="98" t="s">
        <v>171</v>
      </c>
      <c r="T143" s="98" t="s">
        <v>171</v>
      </c>
      <c r="U143" s="98" t="s">
        <v>171</v>
      </c>
      <c r="V143" s="98" t="s">
        <v>171</v>
      </c>
      <c r="W143" s="98" t="s">
        <v>171</v>
      </c>
      <c r="X143" s="98" t="s">
        <v>171</v>
      </c>
      <c r="Y143" s="98" t="s">
        <v>171</v>
      </c>
      <c r="Z143" s="98" t="s">
        <v>171</v>
      </c>
      <c r="AA143" s="98" t="s">
        <v>171</v>
      </c>
      <c r="AB143" s="98" t="s">
        <v>171</v>
      </c>
      <c r="AC143" s="98" t="s">
        <v>171</v>
      </c>
      <c r="AD143" s="98" t="s">
        <v>171</v>
      </c>
      <c r="AE143" s="98" t="s">
        <v>171</v>
      </c>
      <c r="AF143" s="98" t="s">
        <v>171</v>
      </c>
      <c r="AG143" s="98" t="s">
        <v>171</v>
      </c>
      <c r="AH143" s="98" t="s">
        <v>171</v>
      </c>
      <c r="AI143" s="98" t="s">
        <v>171</v>
      </c>
      <c r="AJ143" s="98" t="s">
        <v>171</v>
      </c>
      <c r="AK143" s="98" t="s">
        <v>171</v>
      </c>
      <c r="AL143" s="98" t="s">
        <v>171</v>
      </c>
      <c r="AM143" s="98" t="s">
        <v>171</v>
      </c>
      <c r="AN143" s="98" t="s">
        <v>171</v>
      </c>
      <c r="AO143" s="98" t="s">
        <v>171</v>
      </c>
      <c r="AP143" s="98" t="s">
        <v>171</v>
      </c>
      <c r="AQ143" s="98" t="s">
        <v>171</v>
      </c>
      <c r="AR143" s="102">
        <v>46206.0</v>
      </c>
      <c r="AS143" s="83">
        <v>1178922.0</v>
      </c>
    </row>
    <row r="144" ht="15.75" customHeight="1">
      <c r="A144" s="111" t="s">
        <v>205</v>
      </c>
      <c r="B144" s="83" t="s">
        <v>706</v>
      </c>
      <c r="C144" s="83" t="s">
        <v>164</v>
      </c>
      <c r="D144" s="112">
        <v>1164742.0</v>
      </c>
      <c r="E144" s="98">
        <v>1178923.0</v>
      </c>
      <c r="F144" s="98">
        <v>2.9252555E7</v>
      </c>
      <c r="G144" s="91" t="str">
        <f>IFERROR(__xludf.DUMMYFUNCTION("XLOOKUP(AS144,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SINESIO COSTA - POVOADO DE SANTA RITA
")</f>
        <v>ANEXO - COLEGIO ESTADUAL SINESIO COSTA - POVOADO DE SANTA RITA
</v>
      </c>
      <c r="H144" s="119" t="s">
        <v>721</v>
      </c>
      <c r="I144" s="108" t="s">
        <v>722</v>
      </c>
      <c r="J144" s="136"/>
      <c r="K144" s="136"/>
      <c r="L144" s="83" t="s">
        <v>168</v>
      </c>
      <c r="M144" s="83" t="s">
        <v>169</v>
      </c>
      <c r="N144" s="115" t="s">
        <v>170</v>
      </c>
      <c r="O144" s="98" t="s">
        <v>155</v>
      </c>
      <c r="P144" s="99" t="str">
        <f>IFERROR(__xludf.DUMMYFUNCTION("IFERROR(VLOOKUP(AS144,IMPORTRANGE(""https://docs.google.com/spreadsheets/d/1juPI-Fb8LD0YtltB2mlGEnp_R3UVu1t3wSFPzgCyHXE/edit?gid=0#gid=0"",""GERAL!A2:C""),3,0),""-"")"),"-")</f>
        <v>-</v>
      </c>
      <c r="Q144" s="98" t="s">
        <v>171</v>
      </c>
      <c r="R144" s="98" t="s">
        <v>171</v>
      </c>
      <c r="S144" s="98" t="s">
        <v>171</v>
      </c>
      <c r="T144" s="98" t="s">
        <v>171</v>
      </c>
      <c r="U144" s="98" t="s">
        <v>171</v>
      </c>
      <c r="V144" s="98" t="s">
        <v>171</v>
      </c>
      <c r="W144" s="98" t="s">
        <v>171</v>
      </c>
      <c r="X144" s="98" t="s">
        <v>171</v>
      </c>
      <c r="Y144" s="98" t="s">
        <v>171</v>
      </c>
      <c r="Z144" s="98" t="s">
        <v>171</v>
      </c>
      <c r="AA144" s="98" t="s">
        <v>171</v>
      </c>
      <c r="AB144" s="98" t="s">
        <v>171</v>
      </c>
      <c r="AC144" s="98" t="s">
        <v>171</v>
      </c>
      <c r="AD144" s="98" t="s">
        <v>171</v>
      </c>
      <c r="AE144" s="98" t="s">
        <v>171</v>
      </c>
      <c r="AF144" s="98" t="s">
        <v>171</v>
      </c>
      <c r="AG144" s="98" t="s">
        <v>171</v>
      </c>
      <c r="AH144" s="98" t="s">
        <v>171</v>
      </c>
      <c r="AI144" s="98"/>
      <c r="AJ144" s="98" t="s">
        <v>171</v>
      </c>
      <c r="AK144" s="98" t="s">
        <v>171</v>
      </c>
      <c r="AL144" s="98" t="s">
        <v>171</v>
      </c>
      <c r="AM144" s="98" t="s">
        <v>171</v>
      </c>
      <c r="AN144" s="98" t="s">
        <v>171</v>
      </c>
      <c r="AO144" s="98" t="s">
        <v>171</v>
      </c>
      <c r="AP144" s="98" t="s">
        <v>171</v>
      </c>
      <c r="AQ144" s="98" t="s">
        <v>171</v>
      </c>
      <c r="AR144" s="102">
        <v>46206.0</v>
      </c>
      <c r="AS144" s="98">
        <v>1178923.0</v>
      </c>
    </row>
    <row r="145" ht="15.75" customHeight="1">
      <c r="A145" s="111" t="s">
        <v>205</v>
      </c>
      <c r="B145" s="83" t="s">
        <v>706</v>
      </c>
      <c r="C145" s="83" t="s">
        <v>164</v>
      </c>
      <c r="D145" s="112">
        <v>1179431.0</v>
      </c>
      <c r="E145" s="83">
        <v>1178924.0</v>
      </c>
      <c r="F145" s="83"/>
      <c r="G145" s="91" t="str">
        <f>IFERROR(__xludf.DUMMYFUNCTION("XLOOKUP(AS145,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POVOADO VESPERINA")</f>
        <v>ANEXO - CEMIT - VELHO CHICO - POVOADO VESPERINA</v>
      </c>
      <c r="H145" s="114" t="s">
        <v>725</v>
      </c>
      <c r="I145" s="91" t="s">
        <v>726</v>
      </c>
      <c r="J145" s="136" t="s">
        <v>149</v>
      </c>
      <c r="K145" s="136" t="s">
        <v>727</v>
      </c>
      <c r="L145" s="83" t="s">
        <v>168</v>
      </c>
      <c r="M145" s="83" t="s">
        <v>169</v>
      </c>
      <c r="N145" s="115" t="s">
        <v>170</v>
      </c>
      <c r="O145" s="98" t="s">
        <v>155</v>
      </c>
      <c r="P145" s="99" t="str">
        <f>IFERROR(__xludf.DUMMYFUNCTION("IFERROR(VLOOKUP(AS145,IMPORTRANGE(""https://docs.google.com/spreadsheets/d/1juPI-Fb8LD0YtltB2mlGEnp_R3UVu1t3wSFPzgCyHXE/edit?gid=0#gid=0"",""GERAL!A2:C""),3,0),""-"")"),"-")</f>
        <v>-</v>
      </c>
      <c r="Q145" s="98" t="s">
        <v>171</v>
      </c>
      <c r="R145" s="98">
        <v>1.0</v>
      </c>
      <c r="S145" s="98" t="s">
        <v>171</v>
      </c>
      <c r="T145" s="98" t="s">
        <v>171</v>
      </c>
      <c r="U145" s="98" t="s">
        <v>171</v>
      </c>
      <c r="V145" s="98" t="s">
        <v>171</v>
      </c>
      <c r="W145" s="98" t="s">
        <v>171</v>
      </c>
      <c r="X145" s="98" t="s">
        <v>171</v>
      </c>
      <c r="Y145" s="98" t="s">
        <v>171</v>
      </c>
      <c r="Z145" s="98" t="s">
        <v>171</v>
      </c>
      <c r="AA145" s="98" t="s">
        <v>171</v>
      </c>
      <c r="AB145" s="98" t="s">
        <v>171</v>
      </c>
      <c r="AC145" s="98" t="s">
        <v>171</v>
      </c>
      <c r="AD145" s="98" t="s">
        <v>171</v>
      </c>
      <c r="AE145" s="98" t="s">
        <v>171</v>
      </c>
      <c r="AF145" s="98" t="s">
        <v>171</v>
      </c>
      <c r="AG145" s="98" t="s">
        <v>171</v>
      </c>
      <c r="AH145" s="98" t="s">
        <v>171</v>
      </c>
      <c r="AI145" s="98" t="s">
        <v>171</v>
      </c>
      <c r="AJ145" s="98" t="s">
        <v>171</v>
      </c>
      <c r="AK145" s="98" t="s">
        <v>171</v>
      </c>
      <c r="AL145" s="98" t="s">
        <v>171</v>
      </c>
      <c r="AM145" s="98" t="s">
        <v>171</v>
      </c>
      <c r="AN145" s="98" t="s">
        <v>171</v>
      </c>
      <c r="AO145" s="98" t="s">
        <v>171</v>
      </c>
      <c r="AP145" s="98" t="s">
        <v>171</v>
      </c>
      <c r="AQ145" s="98" t="s">
        <v>171</v>
      </c>
      <c r="AR145" s="102">
        <v>46206.0</v>
      </c>
      <c r="AS145" s="83">
        <v>1178924.0</v>
      </c>
    </row>
    <row r="146" ht="15.75" customHeight="1">
      <c r="A146" s="111" t="s">
        <v>205</v>
      </c>
      <c r="B146" s="83" t="s">
        <v>706</v>
      </c>
      <c r="C146" s="83" t="s">
        <v>164</v>
      </c>
      <c r="D146" s="112">
        <v>1179431.0</v>
      </c>
      <c r="E146" s="83">
        <v>1178921.0</v>
      </c>
      <c r="F146" s="83"/>
      <c r="G146" s="91" t="str">
        <f>IFERROR(__xludf.DUMMYFUNCTION("XLOOKUP(AS146,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POVOADO DE LAGUNA")</f>
        <v>ANEXO - CEMIT - VELHO CHICO - POVOADO DE LAGUNA</v>
      </c>
      <c r="H146" s="114" t="s">
        <v>728</v>
      </c>
      <c r="I146" s="91" t="s">
        <v>729</v>
      </c>
      <c r="J146" s="136" t="s">
        <v>149</v>
      </c>
      <c r="K146" s="136" t="s">
        <v>244</v>
      </c>
      <c r="L146" s="83" t="s">
        <v>168</v>
      </c>
      <c r="M146" s="83" t="s">
        <v>169</v>
      </c>
      <c r="N146" s="115" t="s">
        <v>170</v>
      </c>
      <c r="O146" s="98" t="s">
        <v>155</v>
      </c>
      <c r="P146" s="99" t="str">
        <f>IFERROR(__xludf.DUMMYFUNCTION("IFERROR(VLOOKUP(AS146,IMPORTRANGE(""https://docs.google.com/spreadsheets/d/1juPI-Fb8LD0YtltB2mlGEnp_R3UVu1t3wSFPzgCyHXE/edit?gid=0#gid=0"",""GERAL!A2:C""),3,0),""-"")"),"-")</f>
        <v>-</v>
      </c>
      <c r="Q146" s="98" t="s">
        <v>171</v>
      </c>
      <c r="R146" s="98">
        <v>3.0</v>
      </c>
      <c r="S146" s="98" t="s">
        <v>171</v>
      </c>
      <c r="T146" s="98" t="s">
        <v>171</v>
      </c>
      <c r="U146" s="98" t="s">
        <v>171</v>
      </c>
      <c r="V146" s="98" t="s">
        <v>171</v>
      </c>
      <c r="W146" s="98" t="s">
        <v>171</v>
      </c>
      <c r="X146" s="98" t="s">
        <v>171</v>
      </c>
      <c r="Y146" s="98" t="s">
        <v>171</v>
      </c>
      <c r="Z146" s="98" t="s">
        <v>171</v>
      </c>
      <c r="AA146" s="98" t="s">
        <v>171</v>
      </c>
      <c r="AB146" s="98" t="s">
        <v>171</v>
      </c>
      <c r="AC146" s="98" t="s">
        <v>171</v>
      </c>
      <c r="AD146" s="98" t="s">
        <v>171</v>
      </c>
      <c r="AE146" s="98" t="s">
        <v>171</v>
      </c>
      <c r="AF146" s="98" t="s">
        <v>171</v>
      </c>
      <c r="AG146" s="98" t="s">
        <v>171</v>
      </c>
      <c r="AH146" s="98" t="s">
        <v>171</v>
      </c>
      <c r="AI146" s="98" t="s">
        <v>171</v>
      </c>
      <c r="AJ146" s="98" t="s">
        <v>171</v>
      </c>
      <c r="AK146" s="98" t="s">
        <v>171</v>
      </c>
      <c r="AL146" s="98" t="s">
        <v>171</v>
      </c>
      <c r="AM146" s="98" t="s">
        <v>171</v>
      </c>
      <c r="AN146" s="98" t="s">
        <v>171</v>
      </c>
      <c r="AO146" s="98" t="s">
        <v>171</v>
      </c>
      <c r="AP146" s="98" t="s">
        <v>171</v>
      </c>
      <c r="AQ146" s="98" t="s">
        <v>171</v>
      </c>
      <c r="AR146" s="102">
        <v>46206.0</v>
      </c>
      <c r="AS146" s="83">
        <v>1178921.0</v>
      </c>
    </row>
    <row r="147" ht="15.75" customHeight="1">
      <c r="A147" s="111" t="s">
        <v>205</v>
      </c>
      <c r="B147" s="83" t="s">
        <v>706</v>
      </c>
      <c r="C147" s="83" t="s">
        <v>164</v>
      </c>
      <c r="D147" s="112">
        <v>1179431.0</v>
      </c>
      <c r="E147" s="83">
        <v>1178920.0</v>
      </c>
      <c r="F147" s="83"/>
      <c r="G147" s="91" t="str">
        <f>IFERROR(__xludf.DUMMYFUNCTION("XLOOKUP(AS147,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POVOADO DE CAMPINAS")</f>
        <v>ANEXO - CEMIT - VELHO CHICO - POVOADO DE CAMPINAS</v>
      </c>
      <c r="H147" s="114" t="s">
        <v>730</v>
      </c>
      <c r="I147" s="91" t="s">
        <v>731</v>
      </c>
      <c r="J147" s="136" t="s">
        <v>149</v>
      </c>
      <c r="K147" s="136" t="s">
        <v>183</v>
      </c>
      <c r="L147" s="83" t="s">
        <v>168</v>
      </c>
      <c r="M147" s="83" t="s">
        <v>169</v>
      </c>
      <c r="N147" s="115" t="s">
        <v>170</v>
      </c>
      <c r="O147" s="98" t="s">
        <v>155</v>
      </c>
      <c r="P147" s="99" t="str">
        <f>IFERROR(__xludf.DUMMYFUNCTION("IFERROR(VLOOKUP(AS147,IMPORTRANGE(""https://docs.google.com/spreadsheets/d/1juPI-Fb8LD0YtltB2mlGEnp_R3UVu1t3wSFPzgCyHXE/edit?gid=0#gid=0"",""GERAL!A2:C""),3,0),""-"")"),"-")</f>
        <v>-</v>
      </c>
      <c r="Q147" s="98" t="s">
        <v>171</v>
      </c>
      <c r="R147" s="98">
        <v>1.0</v>
      </c>
      <c r="S147" s="98" t="s">
        <v>171</v>
      </c>
      <c r="T147" s="98" t="s">
        <v>171</v>
      </c>
      <c r="U147" s="98" t="s">
        <v>171</v>
      </c>
      <c r="V147" s="98" t="s">
        <v>171</v>
      </c>
      <c r="W147" s="98" t="s">
        <v>171</v>
      </c>
      <c r="X147" s="98" t="s">
        <v>171</v>
      </c>
      <c r="Y147" s="98" t="s">
        <v>171</v>
      </c>
      <c r="Z147" s="98" t="s">
        <v>171</v>
      </c>
      <c r="AA147" s="98" t="s">
        <v>171</v>
      </c>
      <c r="AB147" s="98" t="s">
        <v>171</v>
      </c>
      <c r="AC147" s="98" t="s">
        <v>171</v>
      </c>
      <c r="AD147" s="98" t="s">
        <v>171</v>
      </c>
      <c r="AE147" s="98" t="s">
        <v>171</v>
      </c>
      <c r="AF147" s="98" t="s">
        <v>171</v>
      </c>
      <c r="AG147" s="98" t="s">
        <v>171</v>
      </c>
      <c r="AH147" s="98" t="s">
        <v>171</v>
      </c>
      <c r="AI147" s="98" t="s">
        <v>171</v>
      </c>
      <c r="AJ147" s="98" t="s">
        <v>171</v>
      </c>
      <c r="AK147" s="98" t="s">
        <v>171</v>
      </c>
      <c r="AL147" s="98" t="s">
        <v>171</v>
      </c>
      <c r="AM147" s="98" t="s">
        <v>171</v>
      </c>
      <c r="AN147" s="98" t="s">
        <v>171</v>
      </c>
      <c r="AO147" s="98" t="s">
        <v>171</v>
      </c>
      <c r="AP147" s="98" t="s">
        <v>171</v>
      </c>
      <c r="AQ147" s="98" t="s">
        <v>171</v>
      </c>
      <c r="AR147" s="102">
        <v>46206.0</v>
      </c>
      <c r="AS147" s="83">
        <v>1178920.0</v>
      </c>
    </row>
    <row r="148" ht="15.75" customHeight="1">
      <c r="A148" s="111" t="s">
        <v>205</v>
      </c>
      <c r="B148" s="83" t="s">
        <v>732</v>
      </c>
      <c r="C148" s="83" t="s">
        <v>68</v>
      </c>
      <c r="D148" s="98">
        <v>1179772.0</v>
      </c>
      <c r="E148" s="83"/>
      <c r="F148" s="83"/>
      <c r="G148" s="91" t="str">
        <f>IFERROR(__xludf.DUMMYFUNCTION("XLOOKUP(AS148,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CLEONICE OLEGÁRIO DOS SANTOS - NA AGROVILA 02 
ATENDER DEMANDA DE ALUNOS DAS AGROVILAS 01, 03, 04 E CSB ")</f>
        <v>COLÉGIO ESTADUAL DO CAMPO DE TEMPO INTEGRAL CLEONICE OLEGÁRIO DOS SANTOS - NA AGROVILA 02 
ATENDER DEMANDA DE ALUNOS DAS AGROVILAS 01, 03, 04 E CSB </v>
      </c>
      <c r="H148" s="119" t="s">
        <v>733</v>
      </c>
      <c r="I148" s="108" t="s">
        <v>734</v>
      </c>
      <c r="J148" s="136" t="s">
        <v>735</v>
      </c>
      <c r="K148" s="115"/>
      <c r="L148" s="115" t="s">
        <v>151</v>
      </c>
      <c r="M148" s="98" t="s">
        <v>152</v>
      </c>
      <c r="N148" s="137" t="s">
        <v>736</v>
      </c>
      <c r="O148" s="98" t="s">
        <v>162</v>
      </c>
      <c r="P148" s="99" t="str">
        <f>IFERROR(__xludf.DUMMYFUNCTION("IFERROR(VLOOKUP(AS148,IMPORTRANGE(""https://docs.google.com/spreadsheets/d/1juPI-Fb8LD0YtltB2mlGEnp_R3UVu1t3wSFPzgCyHXE/edit?gid=0#gid=0"",""GERAL!A2:C""),3,0),""-"")"),"CAMPO")</f>
        <v>CAMPO</v>
      </c>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v>1179772.0</v>
      </c>
    </row>
    <row r="149" ht="15.75" customHeight="1">
      <c r="A149" s="111" t="s">
        <v>205</v>
      </c>
      <c r="B149" s="83" t="s">
        <v>732</v>
      </c>
      <c r="C149" s="83" t="s">
        <v>68</v>
      </c>
      <c r="D149" s="112">
        <v>1178023.0</v>
      </c>
      <c r="E149" s="83"/>
      <c r="F149" s="83">
        <v>2.9430534E7</v>
      </c>
      <c r="G149" s="91" t="str">
        <f>IFERROR(__xludf.DUMMYFUNCTION("XLOOKUP(AS149,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ANISIO HONORATO GODOY - TEMPO INTEGRAL")</f>
        <v>COLÉGIO ESTADUAL ANISIO HONORATO GODOY - TEMPO INTEGRAL</v>
      </c>
      <c r="H149" s="114" t="s">
        <v>737</v>
      </c>
      <c r="I149" s="91" t="s">
        <v>738</v>
      </c>
      <c r="J149" s="83" t="s">
        <v>149</v>
      </c>
      <c r="K149" s="83" t="s">
        <v>150</v>
      </c>
      <c r="L149" s="83" t="s">
        <v>151</v>
      </c>
      <c r="M149" s="83" t="s">
        <v>230</v>
      </c>
      <c r="N149" s="137" t="s">
        <v>739</v>
      </c>
      <c r="O149" s="98" t="s">
        <v>155</v>
      </c>
      <c r="P149" s="99" t="str">
        <f>IFERROR(__xludf.DUMMYFUNCTION("IFERROR(VLOOKUP(AS149,IMPORTRANGE(""https://docs.google.com/spreadsheets/d/1juPI-Fb8LD0YtltB2mlGEnp_R3UVu1t3wSFPzgCyHXE/edit?gid=0#gid=0"",""GERAL!A2:C""),3,0),""-"")"),"-")</f>
        <v>-</v>
      </c>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v>1178023.0</v>
      </c>
    </row>
    <row r="150" ht="15.75" customHeight="1">
      <c r="A150" s="111" t="s">
        <v>205</v>
      </c>
      <c r="B150" s="83" t="s">
        <v>732</v>
      </c>
      <c r="C150" s="83" t="s">
        <v>164</v>
      </c>
      <c r="D150" s="98">
        <v>1179772.0</v>
      </c>
      <c r="E150" s="83">
        <v>1178940.0</v>
      </c>
      <c r="F150" s="83"/>
      <c r="G150" s="91" t="str">
        <f>IFERROR(__xludf.DUMMYFUNCTION("XLOOKUP(AS150,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CLEONICE OLEGARIO DOS SANTOS - AGROVILA 20")</f>
        <v>ANEXO - COLEGIO ESTADUAL DE TEMPO INTEGRAL CLEONICE OLEGARIO DOS SANTOS - AGROVILA 20</v>
      </c>
      <c r="H150" s="119" t="s">
        <v>740</v>
      </c>
      <c r="I150" s="91" t="s">
        <v>741</v>
      </c>
      <c r="J150" s="83" t="s">
        <v>149</v>
      </c>
      <c r="K150" s="83" t="s">
        <v>440</v>
      </c>
      <c r="L150" s="83" t="s">
        <v>168</v>
      </c>
      <c r="M150" s="83" t="s">
        <v>169</v>
      </c>
      <c r="N150" s="115" t="s">
        <v>170</v>
      </c>
      <c r="O150" s="98" t="s">
        <v>155</v>
      </c>
      <c r="P150" s="99" t="str">
        <f>IFERROR(__xludf.DUMMYFUNCTION("IFERROR(VLOOKUP(AS150,IMPORTRANGE(""https://docs.google.com/spreadsheets/d/1juPI-Fb8LD0YtltB2mlGEnp_R3UVu1t3wSFPzgCyHXE/edit?gid=0#gid=0"",""GERAL!A2:C""),3,0),""-"")"),"CAMPO")</f>
        <v>CAMPO</v>
      </c>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v>1178940.0</v>
      </c>
    </row>
    <row r="151" ht="15.75" customHeight="1">
      <c r="A151" s="111" t="s">
        <v>205</v>
      </c>
      <c r="B151" s="83" t="s">
        <v>732</v>
      </c>
      <c r="C151" s="83" t="s">
        <v>164</v>
      </c>
      <c r="D151" s="98">
        <v>1179772.0</v>
      </c>
      <c r="E151" s="83">
        <v>1178948.0</v>
      </c>
      <c r="F151" s="83"/>
      <c r="G151" s="91" t="str">
        <f>IFERROR(__xludf.DUMMYFUNCTION("XLOOKUP(AS151,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CLEONICE OLEGARIO DOS SANTOS - AGROVILA 18")</f>
        <v>ANEXO - COLEGIO ESTADUAL DE TEMPO INTEGRAL CLEONICE OLEGARIO DOS SANTOS - AGROVILA 18</v>
      </c>
      <c r="H151" s="119" t="s">
        <v>742</v>
      </c>
      <c r="I151" s="91" t="s">
        <v>743</v>
      </c>
      <c r="J151" s="83" t="s">
        <v>149</v>
      </c>
      <c r="K151" s="83" t="s">
        <v>702</v>
      </c>
      <c r="L151" s="83" t="s">
        <v>168</v>
      </c>
      <c r="M151" s="83" t="s">
        <v>169</v>
      </c>
      <c r="N151" s="115" t="s">
        <v>170</v>
      </c>
      <c r="O151" s="98" t="s">
        <v>155</v>
      </c>
      <c r="P151" s="99" t="str">
        <f>IFERROR(__xludf.DUMMYFUNCTION("IFERROR(VLOOKUP(AS151,IMPORTRANGE(""https://docs.google.com/spreadsheets/d/1juPI-Fb8LD0YtltB2mlGEnp_R3UVu1t3wSFPzgCyHXE/edit?gid=0#gid=0"",""GERAL!A2:C""),3,0),""-"")"),"CAMPO")</f>
        <v>CAMPO</v>
      </c>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v>1178948.0</v>
      </c>
    </row>
    <row r="152" ht="15.75" customHeight="1">
      <c r="A152" s="111" t="s">
        <v>205</v>
      </c>
      <c r="B152" s="83" t="s">
        <v>732</v>
      </c>
      <c r="C152" s="83" t="s">
        <v>164</v>
      </c>
      <c r="D152" s="98">
        <v>1179772.0</v>
      </c>
      <c r="E152" s="83">
        <v>1178945.0</v>
      </c>
      <c r="F152" s="83"/>
      <c r="G152" s="91" t="str">
        <f>IFERROR(__xludf.DUMMYFUNCTION("XLOOKUP(AS152,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CLEONICE OLEGARIO DOS SANTOS - AGROVILA 01")</f>
        <v>ANEXO - COLEGIO ESTADUAL DE TEMPO INTEGRAL CLEONICE OLEGARIO DOS SANTOS - AGROVILA 01</v>
      </c>
      <c r="H152" s="119" t="s">
        <v>744</v>
      </c>
      <c r="I152" s="91" t="s">
        <v>745</v>
      </c>
      <c r="J152" s="136" t="s">
        <v>746</v>
      </c>
      <c r="K152" s="136" t="s">
        <v>702</v>
      </c>
      <c r="L152" s="136" t="s">
        <v>168</v>
      </c>
      <c r="M152" s="83" t="s">
        <v>169</v>
      </c>
      <c r="N152" s="115" t="s">
        <v>170</v>
      </c>
      <c r="O152" s="98" t="s">
        <v>155</v>
      </c>
      <c r="P152" s="99" t="str">
        <f>IFERROR(__xludf.DUMMYFUNCTION("IFERROR(VLOOKUP(AS152,IMPORTRANGE(""https://docs.google.com/spreadsheets/d/1juPI-Fb8LD0YtltB2mlGEnp_R3UVu1t3wSFPzgCyHXE/edit?gid=0#gid=0"",""GERAL!A2:C""),3,0),""-"")"),"CAMPO")</f>
        <v>CAMPO</v>
      </c>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v>1178945.0</v>
      </c>
    </row>
    <row r="153" ht="15.75" customHeight="1">
      <c r="A153" s="111" t="s">
        <v>205</v>
      </c>
      <c r="B153" s="83" t="s">
        <v>732</v>
      </c>
      <c r="C153" s="83" t="s">
        <v>164</v>
      </c>
      <c r="D153" s="112">
        <v>1178023.0</v>
      </c>
      <c r="E153" s="83">
        <v>1178949.0</v>
      </c>
      <c r="F153" s="83"/>
      <c r="G153" s="91" t="str">
        <f>IFERROR(__xludf.DUMMYFUNCTION("XLOOKUP(AS153,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ANISIO HONORATO GODOY - POVOADO BOA VISTA")</f>
        <v>ANEXO - COLÉGIO ESTADUAL ANISIO HONORATO GODOY - POVOADO BOA VISTA</v>
      </c>
      <c r="H153" s="114" t="s">
        <v>747</v>
      </c>
      <c r="I153" s="91" t="s">
        <v>748</v>
      </c>
      <c r="J153" s="83" t="s">
        <v>149</v>
      </c>
      <c r="K153" s="83" t="s">
        <v>240</v>
      </c>
      <c r="L153" s="83" t="s">
        <v>168</v>
      </c>
      <c r="M153" s="83" t="s">
        <v>169</v>
      </c>
      <c r="N153" s="115" t="s">
        <v>170</v>
      </c>
      <c r="O153" s="98" t="s">
        <v>155</v>
      </c>
      <c r="P153" s="99" t="str">
        <f>IFERROR(__xludf.DUMMYFUNCTION("IFERROR(VLOOKUP(AS153,IMPORTRANGE(""https://docs.google.com/spreadsheets/d/1juPI-Fb8LD0YtltB2mlGEnp_R3UVu1t3wSFPzgCyHXE/edit?gid=0#gid=0"",""GERAL!A2:C""),3,0),""-"")"),"CAMPO")</f>
        <v>CAMPO</v>
      </c>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v>1178949.0</v>
      </c>
    </row>
    <row r="154" ht="15.75" customHeight="1">
      <c r="A154" s="111" t="s">
        <v>205</v>
      </c>
      <c r="B154" s="83" t="s">
        <v>732</v>
      </c>
      <c r="C154" s="83" t="s">
        <v>164</v>
      </c>
      <c r="D154" s="112">
        <v>1178023.0</v>
      </c>
      <c r="E154" s="83">
        <v>1178947.0</v>
      </c>
      <c r="F154" s="83"/>
      <c r="G154" s="91" t="str">
        <f>IFERROR(__xludf.DUMMYFUNCTION("XLOOKUP(AS154,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ANISIO HONORATO GODOY - AGROVILA 17")</f>
        <v>ANEXO - COLÉGIO ESTADUAL ANISIO HONORATO GODOY - AGROVILA 17</v>
      </c>
      <c r="H154" s="114" t="s">
        <v>749</v>
      </c>
      <c r="I154" s="91" t="s">
        <v>750</v>
      </c>
      <c r="J154" s="83" t="s">
        <v>149</v>
      </c>
      <c r="K154" s="83" t="s">
        <v>751</v>
      </c>
      <c r="L154" s="83" t="s">
        <v>168</v>
      </c>
      <c r="M154" s="83" t="s">
        <v>169</v>
      </c>
      <c r="N154" s="115" t="s">
        <v>170</v>
      </c>
      <c r="O154" s="98" t="s">
        <v>155</v>
      </c>
      <c r="P154" s="99" t="str">
        <f>IFERROR(__xludf.DUMMYFUNCTION("IFERROR(VLOOKUP(AS154,IMPORTRANGE(""https://docs.google.com/spreadsheets/d/1juPI-Fb8LD0YtltB2mlGEnp_R3UVu1t3wSFPzgCyHXE/edit?gid=0#gid=0"",""GERAL!A2:C""),3,0),""-"")"),"CAMPO")</f>
        <v>CAMPO</v>
      </c>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v>1178947.0</v>
      </c>
    </row>
    <row r="155" ht="15.75" customHeight="1">
      <c r="A155" s="111" t="s">
        <v>205</v>
      </c>
      <c r="B155" s="83" t="s">
        <v>732</v>
      </c>
      <c r="C155" s="83" t="s">
        <v>164</v>
      </c>
      <c r="D155" s="112">
        <v>1178023.0</v>
      </c>
      <c r="E155" s="83">
        <v>1178946.0</v>
      </c>
      <c r="F155" s="83"/>
      <c r="G155" s="91" t="str">
        <f>IFERROR(__xludf.DUMMYFUNCTION("XLOOKUP(AS155,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ANISIO HONORATO GODOY - AGROVILA 13")</f>
        <v>ANEXO - COLÉGIO ESTADUAL ANISIO HONORATO GODOY - AGROVILA 13</v>
      </c>
      <c r="H155" s="114" t="s">
        <v>753</v>
      </c>
      <c r="I155" s="91" t="s">
        <v>754</v>
      </c>
      <c r="J155" s="83" t="s">
        <v>755</v>
      </c>
      <c r="K155" s="83" t="s">
        <v>702</v>
      </c>
      <c r="L155" s="83" t="s">
        <v>168</v>
      </c>
      <c r="M155" s="83" t="s">
        <v>169</v>
      </c>
      <c r="N155" s="115" t="s">
        <v>170</v>
      </c>
      <c r="O155" s="98" t="s">
        <v>155</v>
      </c>
      <c r="P155" s="99" t="str">
        <f>IFERROR(__xludf.DUMMYFUNCTION("IFERROR(VLOOKUP(AS155,IMPORTRANGE(""https://docs.google.com/spreadsheets/d/1juPI-Fb8LD0YtltB2mlGEnp_R3UVu1t3wSFPzgCyHXE/edit?gid=0#gid=0"",""GERAL!A2:C""),3,0),""-"")"),"CAMPO")</f>
        <v>CAMPO</v>
      </c>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v>1178946.0</v>
      </c>
    </row>
    <row r="156" ht="15.75" customHeight="1">
      <c r="A156" s="111" t="s">
        <v>205</v>
      </c>
      <c r="B156" s="98" t="s">
        <v>732</v>
      </c>
      <c r="C156" s="83" t="s">
        <v>164</v>
      </c>
      <c r="D156" s="112">
        <v>1179431.0</v>
      </c>
      <c r="E156" s="180">
        <v>1179767.0</v>
      </c>
      <c r="F156" s="83"/>
      <c r="G156" s="91" t="str">
        <f>IFERROR(__xludf.DUMMYFUNCTION("XLOOKUP(AS156,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DO VELHO CHICO - POVOADO DE JENIPAPO")</f>
        <v>ANEXO - CEMIT DO VELHO CHICO - POVOADO DE JENIPAPO</v>
      </c>
      <c r="H156" s="119" t="s">
        <v>756</v>
      </c>
      <c r="I156" s="108" t="s">
        <v>757</v>
      </c>
      <c r="J156" s="83"/>
      <c r="K156" s="83"/>
      <c r="L156" s="98" t="s">
        <v>168</v>
      </c>
      <c r="M156" s="83" t="s">
        <v>169</v>
      </c>
      <c r="N156" s="115" t="s">
        <v>170</v>
      </c>
      <c r="O156" s="98" t="s">
        <v>155</v>
      </c>
      <c r="P156" s="99" t="str">
        <f>IFERROR(__xludf.DUMMYFUNCTION("IFERROR(VLOOKUP(AS156,IMPORTRANGE(""https://docs.google.com/spreadsheets/d/1juPI-Fb8LD0YtltB2mlGEnp_R3UVu1t3wSFPzgCyHXE/edit?gid=0#gid=0"",""GERAL!A2:C""),3,0),""-"")"),"-")</f>
        <v>-</v>
      </c>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v>1179767.0</v>
      </c>
    </row>
    <row r="157" ht="15.75" customHeight="1">
      <c r="A157" s="111" t="s">
        <v>205</v>
      </c>
      <c r="B157" s="83" t="s">
        <v>732</v>
      </c>
      <c r="C157" s="83" t="s">
        <v>164</v>
      </c>
      <c r="D157" s="112">
        <v>1179431.0</v>
      </c>
      <c r="E157" s="83">
        <v>1178941.0</v>
      </c>
      <c r="F157" s="83"/>
      <c r="G157" s="91" t="str">
        <f>IFERROR(__xludf.DUMMYFUNCTION("XLOOKUP(AS157,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AGROVILA 21")</f>
        <v>ANEXO - CEMIT - VELHO CHICO - AGROVILA 21</v>
      </c>
      <c r="H157" s="114" t="s">
        <v>758</v>
      </c>
      <c r="I157" s="91" t="s">
        <v>759</v>
      </c>
      <c r="J157" s="136" t="s">
        <v>760</v>
      </c>
      <c r="K157" s="136" t="s">
        <v>751</v>
      </c>
      <c r="L157" s="136" t="s">
        <v>168</v>
      </c>
      <c r="M157" s="83" t="s">
        <v>169</v>
      </c>
      <c r="N157" s="115" t="s">
        <v>170</v>
      </c>
      <c r="O157" s="98" t="s">
        <v>155</v>
      </c>
      <c r="P157" s="99" t="str">
        <f>IFERROR(__xludf.DUMMYFUNCTION("IFERROR(VLOOKUP(AS157,IMPORTRANGE(""https://docs.google.com/spreadsheets/d/1juPI-Fb8LD0YtltB2mlGEnp_R3UVu1t3wSFPzgCyHXE/edit?gid=0#gid=0"",""GERAL!A2:C""),3,0),""-"")"),"-")</f>
        <v>-</v>
      </c>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v>1178941.0</v>
      </c>
    </row>
    <row r="158" ht="15.75" customHeight="1">
      <c r="A158" s="111" t="s">
        <v>205</v>
      </c>
      <c r="B158" s="83" t="s">
        <v>732</v>
      </c>
      <c r="C158" s="83" t="s">
        <v>164</v>
      </c>
      <c r="D158" s="112">
        <v>1179431.0</v>
      </c>
      <c r="E158" s="83">
        <v>1178936.0</v>
      </c>
      <c r="F158" s="83"/>
      <c r="G158" s="91" t="str">
        <f>IFERROR(__xludf.DUMMYFUNCTION("XLOOKUP(AS158,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AGROVILA 05")</f>
        <v>ANEXO - CEMIT - VELHO CHICO - AGROVILA 05</v>
      </c>
      <c r="H158" s="114" t="s">
        <v>761</v>
      </c>
      <c r="I158" s="91" t="s">
        <v>759</v>
      </c>
      <c r="J158" s="136" t="s">
        <v>760</v>
      </c>
      <c r="K158" s="136" t="s">
        <v>762</v>
      </c>
      <c r="L158" s="136" t="s">
        <v>168</v>
      </c>
      <c r="M158" s="83" t="s">
        <v>169</v>
      </c>
      <c r="N158" s="115" t="s">
        <v>170</v>
      </c>
      <c r="O158" s="98" t="s">
        <v>155</v>
      </c>
      <c r="P158" s="99" t="str">
        <f>IFERROR(__xludf.DUMMYFUNCTION("IFERROR(VLOOKUP(AS158,IMPORTRANGE(""https://docs.google.com/spreadsheets/d/1juPI-Fb8LD0YtltB2mlGEnp_R3UVu1t3wSFPzgCyHXE/edit?gid=0#gid=0"",""GERAL!A2:C""),3,0),""-"")"),"-")</f>
        <v>-</v>
      </c>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v>1178936.0</v>
      </c>
    </row>
    <row r="159" ht="15.75" customHeight="1">
      <c r="A159" s="111" t="s">
        <v>205</v>
      </c>
      <c r="B159" s="83" t="s">
        <v>732</v>
      </c>
      <c r="C159" s="83" t="s">
        <v>164</v>
      </c>
      <c r="D159" s="112">
        <v>1179431.0</v>
      </c>
      <c r="E159" s="83">
        <v>1178934.0</v>
      </c>
      <c r="F159" s="83"/>
      <c r="G159" s="91" t="str">
        <f>IFERROR(__xludf.DUMMYFUNCTION("XLOOKUP(AS159,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VELHO CHICO - AGROVILA 03")</f>
        <v>ANEXO - CEMIT - VELHO CHICO - AGROVILA 03</v>
      </c>
      <c r="H159" s="114" t="s">
        <v>763</v>
      </c>
      <c r="I159" s="91" t="s">
        <v>759</v>
      </c>
      <c r="J159" s="136" t="s">
        <v>760</v>
      </c>
      <c r="K159" s="136" t="s">
        <v>751</v>
      </c>
      <c r="L159" s="136" t="s">
        <v>168</v>
      </c>
      <c r="M159" s="83" t="s">
        <v>169</v>
      </c>
      <c r="N159" s="115" t="s">
        <v>170</v>
      </c>
      <c r="O159" s="98" t="s">
        <v>155</v>
      </c>
      <c r="P159" s="99" t="str">
        <f>IFERROR(__xludf.DUMMYFUNCTION("IFERROR(VLOOKUP(AS159,IMPORTRANGE(""https://docs.google.com/spreadsheets/d/1juPI-Fb8LD0YtltB2mlGEnp_R3UVu1t3wSFPzgCyHXE/edit?gid=0#gid=0"",""GERAL!A2:C""),3,0),""-"")"),"-")</f>
        <v>-</v>
      </c>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v>1178934.0</v>
      </c>
    </row>
    <row r="160" ht="15.75" customHeight="1">
      <c r="A160" s="111" t="s">
        <v>205</v>
      </c>
      <c r="B160" s="83" t="s">
        <v>764</v>
      </c>
      <c r="C160" s="83" t="s">
        <v>68</v>
      </c>
      <c r="D160" s="112">
        <v>1176059.0</v>
      </c>
      <c r="E160" s="83"/>
      <c r="F160" s="83">
        <v>2.9047455E7</v>
      </c>
      <c r="G160" s="91" t="str">
        <f>IFERROR(__xludf.DUMMYFUNCTION("XLOOKUP(AS160,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THOMAZ LEITE - DIST. DE GAMELEIRA")</f>
        <v>COLÉGIO ESTADUAL DO CAMPO DE TEMPO INTEGRAL THOMAZ LEITE - DIST. DE GAMELEIRA</v>
      </c>
      <c r="H160" s="119" t="s">
        <v>765</v>
      </c>
      <c r="I160" s="91" t="s">
        <v>766</v>
      </c>
      <c r="J160" s="83" t="s">
        <v>149</v>
      </c>
      <c r="K160" s="83" t="s">
        <v>767</v>
      </c>
      <c r="L160" s="83" t="s">
        <v>151</v>
      </c>
      <c r="M160" s="83" t="s">
        <v>169</v>
      </c>
      <c r="N160" s="98" t="s">
        <v>768</v>
      </c>
      <c r="O160" s="98" t="s">
        <v>176</v>
      </c>
      <c r="P160" s="99" t="str">
        <f>IFERROR(__xludf.DUMMYFUNCTION("IFERROR(VLOOKUP(AS160,IMPORTRANGE(""https://docs.google.com/spreadsheets/d/1juPI-Fb8LD0YtltB2mlGEnp_R3UVu1t3wSFPzgCyHXE/edit?gid=0#gid=0"",""GERAL!A2:C""),3,0),""-"")"),"CAMPO")</f>
        <v>CAMPO</v>
      </c>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v>1176059.0</v>
      </c>
    </row>
    <row r="161" ht="15.75" customHeight="1">
      <c r="A161" s="111" t="s">
        <v>205</v>
      </c>
      <c r="B161" s="83" t="s">
        <v>764</v>
      </c>
      <c r="C161" s="83" t="s">
        <v>68</v>
      </c>
      <c r="D161" s="112">
        <v>1164890.0</v>
      </c>
      <c r="E161" s="83"/>
      <c r="F161" s="83">
        <v>2.904725E7</v>
      </c>
      <c r="G161" s="91" t="str">
        <f>IFERROR(__xludf.DUMMYFUNCTION("XLOOKUP(AS161,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NOSSA SENHORA DO ROSÁRIO")</f>
        <v>COLÉGIO ESTADUAL DE TEMPO INTEGRAL NOSSA SENHORA DO ROSÁRIO</v>
      </c>
      <c r="H161" s="119" t="s">
        <v>769</v>
      </c>
      <c r="I161" s="91" t="s">
        <v>770</v>
      </c>
      <c r="J161" s="83" t="s">
        <v>149</v>
      </c>
      <c r="K161" s="83" t="s">
        <v>150</v>
      </c>
      <c r="L161" s="83" t="s">
        <v>151</v>
      </c>
      <c r="M161" s="83" t="s">
        <v>76</v>
      </c>
      <c r="N161" s="98" t="s">
        <v>771</v>
      </c>
      <c r="O161" s="98" t="s">
        <v>176</v>
      </c>
      <c r="P161" s="99" t="str">
        <f>IFERROR(__xludf.DUMMYFUNCTION("IFERROR(VLOOKUP(AS161,IMPORTRANGE(""https://docs.google.com/spreadsheets/d/1juPI-Fb8LD0YtltB2mlGEnp_R3UVu1t3wSFPzgCyHXE/edit?gid=0#gid=0"",""GERAL!A2:C""),3,0),""-"")"),"-")</f>
        <v>-</v>
      </c>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v>1164890.0</v>
      </c>
    </row>
    <row r="162" ht="15.75" customHeight="1">
      <c r="A162" s="111" t="s">
        <v>205</v>
      </c>
      <c r="B162" s="83" t="s">
        <v>764</v>
      </c>
      <c r="C162" s="83" t="s">
        <v>164</v>
      </c>
      <c r="D162" s="112">
        <v>1164890.0</v>
      </c>
      <c r="E162" s="83">
        <v>1178953.0</v>
      </c>
      <c r="F162" s="83"/>
      <c r="G162" s="91" t="str">
        <f>IFERROR(__xludf.DUMMYFUNCTION("XLOOKUP(AS162,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NOSSA SENHORA DO ROSARIO - ASSENTAMENTO VALE VERDE")</f>
        <v>ANEXO - COLÉGIO ESTADUAL NOSSA SENHORA DO ROSARIO - ASSENTAMENTO VALE VERDE</v>
      </c>
      <c r="H162" s="114" t="s">
        <v>772</v>
      </c>
      <c r="I162" s="91" t="s">
        <v>773</v>
      </c>
      <c r="J162" s="83" t="s">
        <v>149</v>
      </c>
      <c r="K162" s="83" t="s">
        <v>774</v>
      </c>
      <c r="L162" s="83" t="s">
        <v>168</v>
      </c>
      <c r="M162" s="83" t="s">
        <v>169</v>
      </c>
      <c r="N162" s="115" t="s">
        <v>170</v>
      </c>
      <c r="O162" s="98" t="s">
        <v>155</v>
      </c>
      <c r="P162" s="99" t="str">
        <f>IFERROR(__xludf.DUMMYFUNCTION("IFERROR(VLOOKUP(AS162,IMPORTRANGE(""https://docs.google.com/spreadsheets/d/1juPI-Fb8LD0YtltB2mlGEnp_R3UVu1t3wSFPzgCyHXE/edit?gid=0#gid=0"",""GERAL!A2:C""),3,0),""-"")"),"ASSENTAMENTOS")</f>
        <v>ASSENTAMENTOS</v>
      </c>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v>1178953.0</v>
      </c>
    </row>
    <row r="163" ht="15.75" customHeight="1">
      <c r="A163" s="111" t="s">
        <v>285</v>
      </c>
      <c r="B163" s="83" t="s">
        <v>775</v>
      </c>
      <c r="C163" s="83" t="s">
        <v>68</v>
      </c>
      <c r="D163" s="112">
        <v>1168110.0</v>
      </c>
      <c r="E163" s="83"/>
      <c r="F163" s="83">
        <v>2.921159E7</v>
      </c>
      <c r="G163" s="91" t="str">
        <f>IFERROR(__xludf.DUMMYFUNCTION("XLOOKUP(AS163,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DOUTOR FRANCISCO ROCHA FILHO - TEMPO INTEGRAL")</f>
        <v>COLÉGIO ESTADUAL DOUTOR FRANCISCO ROCHA FILHO - TEMPO INTEGRAL</v>
      </c>
      <c r="H163" s="114" t="s">
        <v>776</v>
      </c>
      <c r="I163" s="91" t="s">
        <v>777</v>
      </c>
      <c r="J163" s="83" t="s">
        <v>149</v>
      </c>
      <c r="K163" s="83" t="s">
        <v>150</v>
      </c>
      <c r="L163" s="83" t="s">
        <v>151</v>
      </c>
      <c r="M163" s="83" t="s">
        <v>76</v>
      </c>
      <c r="N163" s="98" t="s">
        <v>778</v>
      </c>
      <c r="O163" s="98" t="s">
        <v>155</v>
      </c>
      <c r="P163" s="99" t="str">
        <f>IFERROR(__xludf.DUMMYFUNCTION("IFERROR(VLOOKUP(AS163,IMPORTRANGE(""https://docs.google.com/spreadsheets/d/1juPI-Fb8LD0YtltB2mlGEnp_R3UVu1t3wSFPzgCyHXE/edit?gid=0#gid=0"",""GERAL!A2:C""),3,0),""-"")"),"-")</f>
        <v>-</v>
      </c>
      <c r="Q163" s="101" t="s">
        <v>156</v>
      </c>
      <c r="R163" s="98">
        <v>10.0</v>
      </c>
      <c r="S163" s="98">
        <v>0.0</v>
      </c>
      <c r="T163" s="98">
        <v>0.0</v>
      </c>
      <c r="U163" s="98">
        <v>0.0</v>
      </c>
      <c r="V163" s="98">
        <v>0.0</v>
      </c>
      <c r="W163" s="98">
        <v>0.0</v>
      </c>
      <c r="X163" s="98">
        <v>0.0</v>
      </c>
      <c r="Y163" s="98">
        <v>0.0</v>
      </c>
      <c r="Z163" s="98">
        <v>0.0</v>
      </c>
      <c r="AA163" s="98">
        <v>0.0</v>
      </c>
      <c r="AB163" s="98">
        <v>0.0</v>
      </c>
      <c r="AC163" s="98">
        <v>0.0</v>
      </c>
      <c r="AD163" s="98">
        <v>0.0</v>
      </c>
      <c r="AE163" s="98">
        <v>0.0</v>
      </c>
      <c r="AF163" s="98">
        <v>0.0</v>
      </c>
      <c r="AG163" s="98">
        <v>1.0</v>
      </c>
      <c r="AH163" s="98">
        <v>0.0</v>
      </c>
      <c r="AI163" s="98">
        <v>0.0</v>
      </c>
      <c r="AJ163" s="98">
        <v>0.0</v>
      </c>
      <c r="AK163" s="98">
        <v>0.0</v>
      </c>
      <c r="AL163" s="98">
        <v>0.0</v>
      </c>
      <c r="AM163" s="98">
        <v>0.0</v>
      </c>
      <c r="AN163" s="98">
        <v>0.0</v>
      </c>
      <c r="AO163" s="98">
        <v>0.0</v>
      </c>
      <c r="AP163" s="98">
        <v>4.0</v>
      </c>
      <c r="AQ163" s="98" t="s">
        <v>780</v>
      </c>
      <c r="AR163" s="102">
        <v>46216.0</v>
      </c>
      <c r="AS163" s="83">
        <v>1168110.0</v>
      </c>
    </row>
    <row r="164" ht="15.75" customHeight="1">
      <c r="A164" s="111" t="s">
        <v>285</v>
      </c>
      <c r="B164" s="83" t="s">
        <v>775</v>
      </c>
      <c r="C164" s="83" t="s">
        <v>164</v>
      </c>
      <c r="D164" s="112">
        <v>1168110.0</v>
      </c>
      <c r="E164" s="83">
        <v>1178955.0</v>
      </c>
      <c r="F164" s="83"/>
      <c r="G164" s="91" t="str">
        <f>IFERROR(__xludf.DUMMYFUNCTION("XLOOKUP(AS164,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DOUTOR FRANCISCO ROCHA FILHO - DISTRITO DE OURO VERDE")</f>
        <v>ANEXO - COLÉGIO DOUTOR FRANCISCO ROCHA FILHO - DISTRITO DE OURO VERDE</v>
      </c>
      <c r="H164" s="114" t="s">
        <v>781</v>
      </c>
      <c r="I164" s="91" t="s">
        <v>782</v>
      </c>
      <c r="J164" s="136" t="s">
        <v>783</v>
      </c>
      <c r="K164" s="83" t="s">
        <v>784</v>
      </c>
      <c r="L164" s="83" t="s">
        <v>168</v>
      </c>
      <c r="M164" s="83" t="s">
        <v>169</v>
      </c>
      <c r="N164" s="115" t="s">
        <v>170</v>
      </c>
      <c r="O164" s="98" t="s">
        <v>155</v>
      </c>
      <c r="P164" s="99" t="str">
        <f>IFERROR(__xludf.DUMMYFUNCTION("IFERROR(VLOOKUP(AS164,IMPORTRANGE(""https://docs.google.com/spreadsheets/d/1juPI-Fb8LD0YtltB2mlGEnp_R3UVu1t3wSFPzgCyHXE/edit?gid=0#gid=0"",""GERAL!A2:C""),3,0),""-"")"),"CAMPO")</f>
        <v>CAMPO</v>
      </c>
      <c r="Q164" s="98" t="s">
        <v>171</v>
      </c>
      <c r="R164" s="98">
        <v>3.0</v>
      </c>
      <c r="S164" s="98">
        <v>0.0</v>
      </c>
      <c r="T164" s="98">
        <v>0.0</v>
      </c>
      <c r="U164" s="98">
        <v>0.0</v>
      </c>
      <c r="V164" s="98">
        <v>0.0</v>
      </c>
      <c r="W164" s="98">
        <v>0.0</v>
      </c>
      <c r="X164" s="98">
        <v>0.0</v>
      </c>
      <c r="Y164" s="98">
        <v>0.0</v>
      </c>
      <c r="Z164" s="98">
        <v>0.0</v>
      </c>
      <c r="AA164" s="98">
        <v>0.0</v>
      </c>
      <c r="AB164" s="98">
        <v>0.0</v>
      </c>
      <c r="AC164" s="98">
        <v>0.0</v>
      </c>
      <c r="AD164" s="98">
        <v>0.0</v>
      </c>
      <c r="AE164" s="98">
        <v>0.0</v>
      </c>
      <c r="AF164" s="98">
        <v>0.0</v>
      </c>
      <c r="AG164" s="98">
        <v>0.0</v>
      </c>
      <c r="AH164" s="98">
        <v>0.0</v>
      </c>
      <c r="AI164" s="98">
        <v>0.0</v>
      </c>
      <c r="AJ164" s="98">
        <v>0.0</v>
      </c>
      <c r="AK164" s="98">
        <v>0.0</v>
      </c>
      <c r="AL164" s="98">
        <v>0.0</v>
      </c>
      <c r="AM164" s="98">
        <v>0.0</v>
      </c>
      <c r="AN164" s="98">
        <v>0.0</v>
      </c>
      <c r="AO164" s="98">
        <v>0.0</v>
      </c>
      <c r="AP164" s="98">
        <v>0.0</v>
      </c>
      <c r="AQ164" s="98" t="s">
        <v>171</v>
      </c>
      <c r="AR164" s="102">
        <v>46216.0</v>
      </c>
      <c r="AS164" s="83">
        <v>1178955.0</v>
      </c>
    </row>
    <row r="165" ht="15.75" customHeight="1">
      <c r="A165" s="111" t="s">
        <v>285</v>
      </c>
      <c r="B165" s="83" t="s">
        <v>775</v>
      </c>
      <c r="C165" s="83" t="s">
        <v>164</v>
      </c>
      <c r="D165" s="112">
        <v>1168110.0</v>
      </c>
      <c r="E165" s="83">
        <v>1178224.0</v>
      </c>
      <c r="F165" s="83"/>
      <c r="G165" s="91" t="str">
        <f>IFERROR(__xludf.DUMMYFUNCTION("XLOOKUP(AS165,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DOUTOR FRANCISCO ROCHA FILHO - DISTRITO DE CATOLÉS- QUILOMBOLA")</f>
        <v>ANEXO - COLÉGIO DOUTOR FRANCISCO ROCHA FILHO - DISTRITO DE CATOLÉS- QUILOMBOLA</v>
      </c>
      <c r="H165" s="114" t="s">
        <v>785</v>
      </c>
      <c r="I165" s="91" t="s">
        <v>777</v>
      </c>
      <c r="J165" s="136" t="s">
        <v>786</v>
      </c>
      <c r="K165" s="83" t="s">
        <v>787</v>
      </c>
      <c r="L165" s="83" t="s">
        <v>151</v>
      </c>
      <c r="M165" s="83" t="s">
        <v>169</v>
      </c>
      <c r="N165" s="115" t="s">
        <v>170</v>
      </c>
      <c r="O165" s="98" t="s">
        <v>155</v>
      </c>
      <c r="P165" s="99" t="str">
        <f>IFERROR(__xludf.DUMMYFUNCTION("IFERROR(VLOOKUP(AS165,IMPORTRANGE(""https://docs.google.com/spreadsheets/d/1juPI-Fb8LD0YtltB2mlGEnp_R3UVu1t3wSFPzgCyHXE/edit?gid=0#gid=0"",""GERAL!A2:C""),3,0),""-"")"),"QUILOMBOLAS")</f>
        <v>QUILOMBOLAS</v>
      </c>
      <c r="Q165" s="98" t="s">
        <v>171</v>
      </c>
      <c r="R165" s="98">
        <v>3.0</v>
      </c>
      <c r="S165" s="98">
        <v>0.0</v>
      </c>
      <c r="T165" s="98">
        <v>0.0</v>
      </c>
      <c r="U165" s="98">
        <v>0.0</v>
      </c>
      <c r="V165" s="98">
        <v>0.0</v>
      </c>
      <c r="W165" s="98">
        <v>0.0</v>
      </c>
      <c r="X165" s="98">
        <v>0.0</v>
      </c>
      <c r="Y165" s="98">
        <v>0.0</v>
      </c>
      <c r="Z165" s="98">
        <v>0.0</v>
      </c>
      <c r="AA165" s="98">
        <v>0.0</v>
      </c>
      <c r="AB165" s="98">
        <v>0.0</v>
      </c>
      <c r="AC165" s="98">
        <v>0.0</v>
      </c>
      <c r="AD165" s="98">
        <v>0.0</v>
      </c>
      <c r="AE165" s="98">
        <v>0.0</v>
      </c>
      <c r="AF165" s="98">
        <v>0.0</v>
      </c>
      <c r="AG165" s="98">
        <v>0.0</v>
      </c>
      <c r="AH165" s="98">
        <v>0.0</v>
      </c>
      <c r="AI165" s="98">
        <v>0.0</v>
      </c>
      <c r="AJ165" s="98">
        <v>0.0</v>
      </c>
      <c r="AK165" s="98">
        <v>0.0</v>
      </c>
      <c r="AL165" s="98">
        <v>0.0</v>
      </c>
      <c r="AM165" s="98">
        <v>0.0</v>
      </c>
      <c r="AN165" s="98">
        <v>0.0</v>
      </c>
      <c r="AO165" s="98">
        <v>0.0</v>
      </c>
      <c r="AP165" s="98">
        <v>0.0</v>
      </c>
      <c r="AQ165" s="98" t="s">
        <v>171</v>
      </c>
      <c r="AR165" s="102">
        <v>46216.0</v>
      </c>
      <c r="AS165" s="83">
        <v>1178224.0</v>
      </c>
    </row>
    <row r="166" ht="15.75" customHeight="1">
      <c r="A166" s="111" t="s">
        <v>285</v>
      </c>
      <c r="B166" s="83" t="s">
        <v>788</v>
      </c>
      <c r="C166" s="83" t="s">
        <v>68</v>
      </c>
      <c r="D166" s="112">
        <v>1179291.0</v>
      </c>
      <c r="E166" s="83"/>
      <c r="F166" s="83">
        <v>2.9459621E7</v>
      </c>
      <c r="G166" s="91" t="str">
        <f>IFERROR(__xludf.DUMMYFUNCTION("XLOOKUP(AS166,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CARMENILZA DE ARAUJO LIMA DE MATOS - DISTRITO UBIRAITA")</f>
        <v>COLÉGIO ESTADUAL PROFESSORA CARMENILZA DE ARAUJO LIMA DE MATOS - DISTRITO UBIRAITA</v>
      </c>
      <c r="H166" s="114" t="s">
        <v>789</v>
      </c>
      <c r="I166" s="91" t="s">
        <v>790</v>
      </c>
      <c r="J166" s="83" t="s">
        <v>791</v>
      </c>
      <c r="K166" s="83" t="s">
        <v>183</v>
      </c>
      <c r="L166" s="83" t="s">
        <v>151</v>
      </c>
      <c r="M166" s="83" t="s">
        <v>169</v>
      </c>
      <c r="N166" s="128" t="s">
        <v>171</v>
      </c>
      <c r="O166" s="98" t="s">
        <v>155</v>
      </c>
      <c r="P166" s="99" t="str">
        <f>IFERROR(__xludf.DUMMYFUNCTION("IFERROR(VLOOKUP(AS166,IMPORTRANGE(""https://docs.google.com/spreadsheets/d/1juPI-Fb8LD0YtltB2mlGEnp_R3UVu1t3wSFPzgCyHXE/edit?gid=0#gid=0"",""GERAL!A2:C""),3,0),""-"")"),"CAMPO")</f>
        <v>CAMPO</v>
      </c>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v>1179291.0</v>
      </c>
    </row>
    <row r="167" ht="15.75" customHeight="1">
      <c r="A167" s="111" t="s">
        <v>285</v>
      </c>
      <c r="B167" s="83" t="s">
        <v>788</v>
      </c>
      <c r="C167" s="83" t="s">
        <v>68</v>
      </c>
      <c r="D167" s="112">
        <v>1178017.0</v>
      </c>
      <c r="E167" s="83"/>
      <c r="F167" s="83">
        <v>2.9425166E7</v>
      </c>
      <c r="G167" s="91" t="str">
        <f>IFERROR(__xludf.DUMMYFUNCTION("XLOOKUP(AS167,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EDGAR SILVA 
(ANTIGO C.E EDGAR SILVA)")</f>
        <v>COLÉGIO ESTADUAL DE TEMPO INTEGRAL EDGAR SILVA 
(ANTIGO C.E EDGAR SILVA)</v>
      </c>
      <c r="H167" s="119" t="s">
        <v>792</v>
      </c>
      <c r="I167" s="108" t="s">
        <v>793</v>
      </c>
      <c r="J167" s="83" t="s">
        <v>149</v>
      </c>
      <c r="K167" s="83" t="s">
        <v>150</v>
      </c>
      <c r="L167" s="83" t="s">
        <v>151</v>
      </c>
      <c r="M167" s="83" t="s">
        <v>230</v>
      </c>
      <c r="N167" s="98" t="s">
        <v>794</v>
      </c>
      <c r="O167" s="98" t="s">
        <v>162</v>
      </c>
      <c r="P167" s="99" t="str">
        <f>IFERROR(__xludf.DUMMYFUNCTION("IFERROR(VLOOKUP(AS167,IMPORTRANGE(""https://docs.google.com/spreadsheets/d/1juPI-Fb8LD0YtltB2mlGEnp_R3UVu1t3wSFPzgCyHXE/edit?gid=0#gid=0"",""GERAL!A2:C""),3,0),""-"")"),"-")</f>
        <v>-</v>
      </c>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v>1178017.0</v>
      </c>
    </row>
    <row r="168" ht="15.75" customHeight="1">
      <c r="A168" s="111" t="s">
        <v>285</v>
      </c>
      <c r="B168" s="83" t="s">
        <v>795</v>
      </c>
      <c r="C168" s="83" t="s">
        <v>68</v>
      </c>
      <c r="D168" s="112">
        <v>1176466.0</v>
      </c>
      <c r="E168" s="83"/>
      <c r="F168" s="83">
        <v>2.9385253E7</v>
      </c>
      <c r="G168" s="91" t="str">
        <f>IFERROR(__xludf.DUMMYFUNCTION("XLOOKUP(AS168,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ANA LÚCIA AGUIAR VIANA
- (ANTIGO COLÉGIO ESTADUAL NERCY ANTONIO DUARTE)")</f>
        <v>COLÉGIO ESTADUAL DE TEMPO INTEGRAL PROFESSORA ANA LÚCIA AGUIAR VIANA
- (ANTIGO COLÉGIO ESTADUAL NERCY ANTONIO DUARTE)</v>
      </c>
      <c r="H168" s="119" t="s">
        <v>797</v>
      </c>
      <c r="I168" s="91" t="s">
        <v>798</v>
      </c>
      <c r="J168" s="83" t="s">
        <v>149</v>
      </c>
      <c r="K168" s="83" t="s">
        <v>150</v>
      </c>
      <c r="L168" s="83" t="s">
        <v>151</v>
      </c>
      <c r="M168" s="98" t="s">
        <v>230</v>
      </c>
      <c r="N168" s="137" t="s">
        <v>799</v>
      </c>
      <c r="O168" s="98" t="s">
        <v>162</v>
      </c>
      <c r="P168" s="99" t="str">
        <f>IFERROR(__xludf.DUMMYFUNCTION("IFERROR(VLOOKUP(AS168,IMPORTRANGE(""https://docs.google.com/spreadsheets/d/1juPI-Fb8LD0YtltB2mlGEnp_R3UVu1t3wSFPzgCyHXE/edit?gid=0#gid=0"",""GERAL!A2:C""),3,0),""-"")"),"-")</f>
        <v>-</v>
      </c>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v>1176466.0</v>
      </c>
    </row>
    <row r="169" ht="15.75" customHeight="1">
      <c r="A169" s="111" t="s">
        <v>285</v>
      </c>
      <c r="B169" s="83" t="s">
        <v>795</v>
      </c>
      <c r="C169" s="83" t="s">
        <v>164</v>
      </c>
      <c r="D169" s="112">
        <v>1179283.0</v>
      </c>
      <c r="E169" s="83">
        <v>1178747.0</v>
      </c>
      <c r="F169" s="83"/>
      <c r="G169" s="91" t="str">
        <f>IFERROR(__xludf.DUMMYFUNCTION("XLOOKUP(AS169,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DE TRIUNFO DO SINCORA")</f>
        <v>ANEXO - CEMIT - CHAPADA DIAMANTINA - DISTRITO DE TRIUNFO DO SINCORA</v>
      </c>
      <c r="H169" s="114" t="s">
        <v>800</v>
      </c>
      <c r="I169" s="91" t="s">
        <v>801</v>
      </c>
      <c r="J169" s="136" t="s">
        <v>802</v>
      </c>
      <c r="K169" s="83" t="s">
        <v>467</v>
      </c>
      <c r="L169" s="83" t="s">
        <v>151</v>
      </c>
      <c r="M169" s="83" t="s">
        <v>169</v>
      </c>
      <c r="N169" s="115" t="s">
        <v>170</v>
      </c>
      <c r="O169" s="98" t="s">
        <v>155</v>
      </c>
      <c r="P169" s="99" t="str">
        <f>IFERROR(__xludf.DUMMYFUNCTION("IFERROR(VLOOKUP(AS169,IMPORTRANGE(""https://docs.google.com/spreadsheets/d/1juPI-Fb8LD0YtltB2mlGEnp_R3UVu1t3wSFPzgCyHXE/edit?gid=0#gid=0"",""GERAL!A2:C""),3,0),""-"")"),"-")</f>
        <v>-</v>
      </c>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v>1178747.0</v>
      </c>
    </row>
    <row r="170" ht="15.75" customHeight="1">
      <c r="A170" s="111" t="s">
        <v>285</v>
      </c>
      <c r="B170" s="83" t="s">
        <v>795</v>
      </c>
      <c r="C170" s="83" t="s">
        <v>164</v>
      </c>
      <c r="D170" s="112">
        <v>1179283.0</v>
      </c>
      <c r="E170" s="83">
        <v>1178746.0</v>
      </c>
      <c r="F170" s="83"/>
      <c r="G170" s="91" t="str">
        <f>IFERROR(__xludf.DUMMYFUNCTION("XLOOKUP(AS170,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DE ENTRONCAMENTO")</f>
        <v>ANEXO - CEMIT - CHAPADA DIAMANTINA - DISTRITO DE ENTRONCAMENTO</v>
      </c>
      <c r="H170" s="114" t="s">
        <v>803</v>
      </c>
      <c r="I170" s="91" t="s">
        <v>804</v>
      </c>
      <c r="J170" s="136" t="s">
        <v>805</v>
      </c>
      <c r="K170" s="83" t="s">
        <v>705</v>
      </c>
      <c r="L170" s="83" t="s">
        <v>151</v>
      </c>
      <c r="M170" s="83" t="s">
        <v>169</v>
      </c>
      <c r="N170" s="115" t="s">
        <v>170</v>
      </c>
      <c r="O170" s="98" t="s">
        <v>155</v>
      </c>
      <c r="P170" s="99" t="str">
        <f>IFERROR(__xludf.DUMMYFUNCTION("IFERROR(VLOOKUP(AS170,IMPORTRANGE(""https://docs.google.com/spreadsheets/d/1juPI-Fb8LD0YtltB2mlGEnp_R3UVu1t3wSFPzgCyHXE/edit?gid=0#gid=0"",""GERAL!A2:C""),3,0),""-"")"),"-")</f>
        <v>-</v>
      </c>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v>1178746.0</v>
      </c>
    </row>
    <row r="171" ht="15.75" customHeight="1">
      <c r="A171" s="111" t="s">
        <v>285</v>
      </c>
      <c r="B171" s="83" t="s">
        <v>806</v>
      </c>
      <c r="C171" s="83" t="s">
        <v>68</v>
      </c>
      <c r="D171" s="112">
        <v>1133014.0</v>
      </c>
      <c r="E171" s="83"/>
      <c r="F171" s="83">
        <v>2.9214211E7</v>
      </c>
      <c r="G171" s="91" t="str">
        <f>IFERROR(__xludf.DUMMYFUNCTION("XLOOKUP(AS171,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RUI BARBOSA 
(ANTIGO C.E RUI BARBOSA)")</f>
        <v>COLÉGIO ESTADUAL DE TEMPO INTEGRAL RUI BARBOSA 
(ANTIGO C.E RUI BARBOSA)</v>
      </c>
      <c r="H171" s="119" t="s">
        <v>807</v>
      </c>
      <c r="I171" s="91" t="s">
        <v>808</v>
      </c>
      <c r="J171" s="83" t="s">
        <v>149</v>
      </c>
      <c r="K171" s="83" t="s">
        <v>150</v>
      </c>
      <c r="L171" s="83" t="s">
        <v>151</v>
      </c>
      <c r="M171" s="83" t="s">
        <v>230</v>
      </c>
      <c r="N171" s="137" t="s">
        <v>809</v>
      </c>
      <c r="O171" s="98" t="s">
        <v>162</v>
      </c>
      <c r="P171" s="99" t="str">
        <f>IFERROR(__xludf.DUMMYFUNCTION("IFERROR(VLOOKUP(AS171,IMPORTRANGE(""https://docs.google.com/spreadsheets/d/1juPI-Fb8LD0YtltB2mlGEnp_R3UVu1t3wSFPzgCyHXE/edit?gid=0#gid=0"",""GERAL!A2:C""),3,0),""-"")"),"-")</f>
        <v>-</v>
      </c>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v>1133014.0</v>
      </c>
    </row>
    <row r="172" ht="15.75" customHeight="1">
      <c r="A172" s="111" t="s">
        <v>285</v>
      </c>
      <c r="B172" s="83" t="s">
        <v>806</v>
      </c>
      <c r="C172" s="83" t="s">
        <v>164</v>
      </c>
      <c r="D172" s="112">
        <v>1133014.0</v>
      </c>
      <c r="E172" s="146">
        <v>1179722.0</v>
      </c>
      <c r="F172" s="83">
        <v>2.9214211E7</v>
      </c>
      <c r="G172" s="91" t="str">
        <f>IFERROR(__xludf.DUMMYFUNCTION("XLOOKUP(AS172,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RUI BARBOSA - POVOADO DE NOVA COLINA")</f>
        <v>ANEXO - COLÉGIO ESTADUAL DE TEMPO INTEGRAL RUI BARBOSA - POVOADO DE NOVA COLINA</v>
      </c>
      <c r="H172" s="119" t="s">
        <v>810</v>
      </c>
      <c r="I172" s="108" t="s">
        <v>811</v>
      </c>
      <c r="J172" s="186"/>
      <c r="K172" s="83" t="s">
        <v>767</v>
      </c>
      <c r="L172" s="83" t="s">
        <v>168</v>
      </c>
      <c r="M172" s="115" t="s">
        <v>512</v>
      </c>
      <c r="N172" s="115" t="s">
        <v>170</v>
      </c>
      <c r="O172" s="98" t="s">
        <v>155</v>
      </c>
      <c r="P172" s="99" t="str">
        <f>IFERROR(__xludf.DUMMYFUNCTION("IFERROR(VLOOKUP(AS172,IMPORTRANGE(""https://docs.google.com/spreadsheets/d/1juPI-Fb8LD0YtltB2mlGEnp_R3UVu1t3wSFPzgCyHXE/edit?gid=0#gid=0"",""GERAL!A2:C""),3,0),""-"")"),"-")</f>
        <v>-</v>
      </c>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v>1179722.0</v>
      </c>
    </row>
    <row r="173" ht="15.75" customHeight="1">
      <c r="A173" s="111" t="s">
        <v>285</v>
      </c>
      <c r="B173" s="83" t="s">
        <v>812</v>
      </c>
      <c r="C173" s="83" t="s">
        <v>68</v>
      </c>
      <c r="D173" s="112">
        <v>1178103.0</v>
      </c>
      <c r="E173" s="83"/>
      <c r="F173" s="83">
        <v>2.9221935E7</v>
      </c>
      <c r="G173" s="91" t="str">
        <f>IFERROR(__xludf.DUMMYFUNCTION("XLOOKUP(AS173,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BONITO")</f>
        <v>COLÉGIO ESTADUAL DE TEMPO INTEGRAL DE BONITO</v>
      </c>
      <c r="H173" s="119" t="s">
        <v>813</v>
      </c>
      <c r="I173" s="91" t="s">
        <v>814</v>
      </c>
      <c r="J173" s="83" t="s">
        <v>149</v>
      </c>
      <c r="K173" s="83" t="s">
        <v>150</v>
      </c>
      <c r="L173" s="83" t="s">
        <v>151</v>
      </c>
      <c r="M173" s="83" t="s">
        <v>152</v>
      </c>
      <c r="N173" s="98" t="s">
        <v>815</v>
      </c>
      <c r="O173" s="98" t="s">
        <v>162</v>
      </c>
      <c r="P173" s="99" t="str">
        <f>IFERROR(__xludf.DUMMYFUNCTION("IFERROR(VLOOKUP(AS173,IMPORTRANGE(""https://docs.google.com/spreadsheets/d/1juPI-Fb8LD0YtltB2mlGEnp_R3UVu1t3wSFPzgCyHXE/edit?gid=0#gid=0"",""GERAL!A2:C""),3,0),""-"")"),"-")</f>
        <v>-</v>
      </c>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v>1178103.0</v>
      </c>
    </row>
    <row r="174" ht="15.75" customHeight="1">
      <c r="A174" s="111" t="s">
        <v>285</v>
      </c>
      <c r="B174" s="83" t="s">
        <v>812</v>
      </c>
      <c r="C174" s="83" t="s">
        <v>164</v>
      </c>
      <c r="D174" s="112">
        <v>1179283.0</v>
      </c>
      <c r="E174" s="83">
        <v>1179158.0</v>
      </c>
      <c r="F174" s="83"/>
      <c r="G174" s="91" t="str">
        <f>IFERROR(__xludf.DUMMYFUNCTION("XLOOKUP(AS174,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CHAPADA DIAMANTINA- DISTRITO DE ARIZONA - COMUNIDADE QUILOMBOLA")</f>
        <v>ANEXO - CEMIT CHAPADA DIAMANTINA- DISTRITO DE ARIZONA - COMUNIDADE QUILOMBOLA</v>
      </c>
      <c r="H174" s="114" t="s">
        <v>816</v>
      </c>
      <c r="I174" s="91" t="s">
        <v>817</v>
      </c>
      <c r="J174" s="83" t="s">
        <v>149</v>
      </c>
      <c r="K174" s="83" t="s">
        <v>694</v>
      </c>
      <c r="L174" s="83" t="s">
        <v>168</v>
      </c>
      <c r="M174" s="83" t="s">
        <v>169</v>
      </c>
      <c r="N174" s="115" t="s">
        <v>170</v>
      </c>
      <c r="O174" s="98" t="s">
        <v>155</v>
      </c>
      <c r="P174" s="99" t="str">
        <f>IFERROR(__xludf.DUMMYFUNCTION("IFERROR(VLOOKUP(AS174,IMPORTRANGE(""https://docs.google.com/spreadsheets/d/1juPI-Fb8LD0YtltB2mlGEnp_R3UVu1t3wSFPzgCyHXE/edit?gid=0#gid=0"",""GERAL!A2:C""),3,0),""-"")"),"QUILOMBOLAS")</f>
        <v>QUILOMBOLAS</v>
      </c>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v>1179158.0</v>
      </c>
    </row>
    <row r="175" ht="15.75" customHeight="1">
      <c r="A175" s="111" t="s">
        <v>285</v>
      </c>
      <c r="B175" s="83" t="s">
        <v>812</v>
      </c>
      <c r="C175" s="83" t="s">
        <v>164</v>
      </c>
      <c r="D175" s="112">
        <v>1179283.0</v>
      </c>
      <c r="E175" s="83">
        <v>1179159.0</v>
      </c>
      <c r="F175" s="83"/>
      <c r="G175" s="91" t="str">
        <f>IFERROR(__xludf.DUMMYFUNCTION("XLOOKUP(AS175,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CHAPADA DIAMANTINA- DISTRITO CABECEIRA DO BREJO- COMUNDADE QUILOMBOLA")</f>
        <v>ANEXO - CEMIT CHAPADA DIAMANTINA- DISTRITO CABECEIRA DO BREJO- COMUNDADE QUILOMBOLA</v>
      </c>
      <c r="H175" s="114" t="s">
        <v>819</v>
      </c>
      <c r="I175" s="91" t="s">
        <v>820</v>
      </c>
      <c r="J175" s="136" t="s">
        <v>821</v>
      </c>
      <c r="K175" s="83" t="s">
        <v>822</v>
      </c>
      <c r="L175" s="83" t="s">
        <v>168</v>
      </c>
      <c r="M175" s="83" t="s">
        <v>169</v>
      </c>
      <c r="N175" s="115" t="s">
        <v>170</v>
      </c>
      <c r="O175" s="98" t="s">
        <v>155</v>
      </c>
      <c r="P175" s="99" t="str">
        <f>IFERROR(__xludf.DUMMYFUNCTION("IFERROR(VLOOKUP(AS175,IMPORTRANGE(""https://docs.google.com/spreadsheets/d/1juPI-Fb8LD0YtltB2mlGEnp_R3UVu1t3wSFPzgCyHXE/edit?gid=0#gid=0"",""GERAL!A2:C""),3,0),""-"")"),"QUILOMBOLAS")</f>
        <v>QUILOMBOLAS</v>
      </c>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v>1179159.0</v>
      </c>
    </row>
    <row r="176" ht="15.75" customHeight="1">
      <c r="A176" s="111" t="s">
        <v>285</v>
      </c>
      <c r="B176" s="83" t="s">
        <v>812</v>
      </c>
      <c r="C176" s="83" t="s">
        <v>164</v>
      </c>
      <c r="D176" s="112">
        <v>1179283.0</v>
      </c>
      <c r="E176" s="83">
        <v>1179157.0</v>
      </c>
      <c r="F176" s="83"/>
      <c r="G176" s="91" t="str">
        <f>IFERROR(__xludf.DUMMYFUNCTION("XLOOKUP(AS176,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CHAPADA DIAMANTINA - DISTRITO BOTAFOGO- COMUNIDADE QUILOMBOLA")</f>
        <v>ANEXO - CEMIT CHAPADA DIAMANTINA - DISTRITO BOTAFOGO- COMUNIDADE QUILOMBOLA</v>
      </c>
      <c r="H176" s="114" t="s">
        <v>823</v>
      </c>
      <c r="I176" s="91" t="s">
        <v>824</v>
      </c>
      <c r="J176" s="136" t="s">
        <v>825</v>
      </c>
      <c r="K176" s="83" t="s">
        <v>310</v>
      </c>
      <c r="L176" s="83" t="s">
        <v>168</v>
      </c>
      <c r="M176" s="83" t="s">
        <v>169</v>
      </c>
      <c r="N176" s="115" t="s">
        <v>170</v>
      </c>
      <c r="O176" s="98" t="s">
        <v>155</v>
      </c>
      <c r="P176" s="99" t="str">
        <f>IFERROR(__xludf.DUMMYFUNCTION("IFERROR(VLOOKUP(AS176,IMPORTRANGE(""https://docs.google.com/spreadsheets/d/1juPI-Fb8LD0YtltB2mlGEnp_R3UVu1t3wSFPzgCyHXE/edit?gid=0#gid=0"",""GERAL!A2:C""),3,0),""-"")"),"QUILOMBOLAS")</f>
        <v>QUILOMBOLAS</v>
      </c>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v>1179157.0</v>
      </c>
    </row>
    <row r="177" ht="15.75" customHeight="1">
      <c r="A177" s="111" t="s">
        <v>285</v>
      </c>
      <c r="B177" s="83" t="s">
        <v>826</v>
      </c>
      <c r="C177" s="83" t="s">
        <v>68</v>
      </c>
      <c r="D177" s="112">
        <v>1178403.0</v>
      </c>
      <c r="E177" s="83"/>
      <c r="F177" s="83">
        <v>2.939774E7</v>
      </c>
      <c r="G177" s="91" t="str">
        <f>IFERROR(__xludf.DUMMYFUNCTION("XLOOKUP(AS177,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DE CASCAVEL - DISTRITO DE CASCAVEL")</f>
        <v>COLÉGIO ESTADUAL DO CAMPO DE TEMPO INTEGRAL DE CASCAVEL - DISTRITO DE CASCAVEL</v>
      </c>
      <c r="H177" s="119" t="s">
        <v>827</v>
      </c>
      <c r="I177" s="108" t="s">
        <v>828</v>
      </c>
      <c r="J177" s="83" t="s">
        <v>829</v>
      </c>
      <c r="K177" s="83" t="s">
        <v>464</v>
      </c>
      <c r="L177" s="83" t="s">
        <v>151</v>
      </c>
      <c r="M177" s="98" t="s">
        <v>152</v>
      </c>
      <c r="N177" s="98" t="s">
        <v>830</v>
      </c>
      <c r="O177" s="98" t="s">
        <v>162</v>
      </c>
      <c r="P177" s="99" t="str">
        <f>IFERROR(__xludf.DUMMYFUNCTION("IFERROR(VLOOKUP(AS177,IMPORTRANGE(""https://docs.google.com/spreadsheets/d/1juPI-Fb8LD0YtltB2mlGEnp_R3UVu1t3wSFPzgCyHXE/edit?gid=0#gid=0"",""GERAL!A2:C""),3,0),""-"")"),"-")</f>
        <v>-</v>
      </c>
      <c r="Q177" s="101" t="s">
        <v>156</v>
      </c>
      <c r="R177" s="98">
        <v>6.0</v>
      </c>
      <c r="S177" s="98">
        <v>0.0</v>
      </c>
      <c r="T177" s="98">
        <v>0.0</v>
      </c>
      <c r="U177" s="98">
        <v>1.0</v>
      </c>
      <c r="V177" s="98">
        <v>1.0</v>
      </c>
      <c r="W177" s="98">
        <v>0.0</v>
      </c>
      <c r="X177" s="98">
        <v>1.0</v>
      </c>
      <c r="Y177" s="98">
        <v>0.0</v>
      </c>
      <c r="Z177" s="98">
        <v>1.0</v>
      </c>
      <c r="AA177" s="98">
        <v>0.0</v>
      </c>
      <c r="AB177" s="98">
        <v>1.0</v>
      </c>
      <c r="AC177" s="98">
        <v>0.0</v>
      </c>
      <c r="AD177" s="98">
        <v>0.0</v>
      </c>
      <c r="AE177" s="98">
        <v>0.0</v>
      </c>
      <c r="AF177" s="98">
        <v>0.0</v>
      </c>
      <c r="AG177" s="98">
        <v>0.0</v>
      </c>
      <c r="AH177" s="98">
        <v>0.0</v>
      </c>
      <c r="AI177" s="98">
        <v>0.0</v>
      </c>
      <c r="AJ177" s="98">
        <v>0.0</v>
      </c>
      <c r="AK177" s="98">
        <v>1.0</v>
      </c>
      <c r="AL177" s="98">
        <v>0.0</v>
      </c>
      <c r="AM177" s="98">
        <v>0.0</v>
      </c>
      <c r="AN177" s="98">
        <v>0.0</v>
      </c>
      <c r="AO177" s="98">
        <v>0.0</v>
      </c>
      <c r="AP177" s="98">
        <v>0.0</v>
      </c>
      <c r="AQ177" s="83"/>
      <c r="AR177" s="102">
        <v>46216.0</v>
      </c>
      <c r="AS177" s="83">
        <v>1178403.0</v>
      </c>
    </row>
    <row r="178" ht="15.75" customHeight="1">
      <c r="A178" s="111" t="s">
        <v>285</v>
      </c>
      <c r="B178" s="83" t="s">
        <v>826</v>
      </c>
      <c r="C178" s="83" t="s">
        <v>68</v>
      </c>
      <c r="D178" s="112">
        <v>1168411.0</v>
      </c>
      <c r="E178" s="83"/>
      <c r="F178" s="83">
        <v>2.9214939E7</v>
      </c>
      <c r="G178" s="91" t="str">
        <f>IFERROR(__xludf.DUMMYFUNCTION("XLOOKUP(AS178,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IBICOARA")</f>
        <v>COLÉGIO ESTADUAL DE TEMPO INTEGRAL DE IBICOARA</v>
      </c>
      <c r="H178" s="119" t="s">
        <v>831</v>
      </c>
      <c r="I178" s="108" t="s">
        <v>832</v>
      </c>
      <c r="J178" s="98" t="s">
        <v>833</v>
      </c>
      <c r="K178" s="83" t="s">
        <v>150</v>
      </c>
      <c r="L178" s="83" t="s">
        <v>151</v>
      </c>
      <c r="M178" s="98" t="s">
        <v>230</v>
      </c>
      <c r="N178" s="137" t="s">
        <v>834</v>
      </c>
      <c r="O178" s="98" t="s">
        <v>162</v>
      </c>
      <c r="P178" s="99" t="str">
        <f>IFERROR(__xludf.DUMMYFUNCTION("IFERROR(VLOOKUP(AS178,IMPORTRANGE(""https://docs.google.com/spreadsheets/d/1juPI-Fb8LD0YtltB2mlGEnp_R3UVu1t3wSFPzgCyHXE/edit?gid=0#gid=0"",""GERAL!A2:C""),3,0),""-"")"),"-")</f>
        <v>-</v>
      </c>
      <c r="Q178" s="101" t="s">
        <v>156</v>
      </c>
      <c r="R178" s="98">
        <v>11.0</v>
      </c>
      <c r="S178" s="98">
        <v>1.0</v>
      </c>
      <c r="T178" s="98">
        <v>2.0</v>
      </c>
      <c r="U178" s="98">
        <v>0.0</v>
      </c>
      <c r="V178" s="98">
        <v>1.0</v>
      </c>
      <c r="W178" s="98">
        <v>3.0</v>
      </c>
      <c r="X178" s="98">
        <v>1.0</v>
      </c>
      <c r="Y178" s="98">
        <v>0.0</v>
      </c>
      <c r="Z178" s="98">
        <v>1.0</v>
      </c>
      <c r="AA178" s="98">
        <v>0.0</v>
      </c>
      <c r="AB178" s="98">
        <v>1.0</v>
      </c>
      <c r="AC178" s="98">
        <v>0.0</v>
      </c>
      <c r="AD178" s="98">
        <v>0.0</v>
      </c>
      <c r="AE178" s="98">
        <v>0.0</v>
      </c>
      <c r="AF178" s="98">
        <v>1.0</v>
      </c>
      <c r="AG178" s="98">
        <v>0.0</v>
      </c>
      <c r="AH178" s="98">
        <v>0.0</v>
      </c>
      <c r="AI178" s="98">
        <v>0.0</v>
      </c>
      <c r="AJ178" s="98">
        <v>0.0</v>
      </c>
      <c r="AK178" s="98">
        <v>1.0</v>
      </c>
      <c r="AL178" s="98">
        <v>0.0</v>
      </c>
      <c r="AM178" s="98">
        <v>0.0</v>
      </c>
      <c r="AN178" s="98">
        <v>0.0</v>
      </c>
      <c r="AO178" s="98">
        <v>0.0</v>
      </c>
      <c r="AP178" s="98">
        <v>0.0</v>
      </c>
      <c r="AQ178" s="98" t="s">
        <v>835</v>
      </c>
      <c r="AR178" s="102">
        <v>46216.0</v>
      </c>
      <c r="AS178" s="83">
        <v>1168411.0</v>
      </c>
    </row>
    <row r="179" ht="15.75" customHeight="1">
      <c r="A179" s="111" t="s">
        <v>285</v>
      </c>
      <c r="B179" s="83" t="s">
        <v>836</v>
      </c>
      <c r="C179" s="83" t="s">
        <v>68</v>
      </c>
      <c r="D179" s="112">
        <v>1132166.0</v>
      </c>
      <c r="E179" s="83"/>
      <c r="F179" s="83">
        <v>2.9206936E7</v>
      </c>
      <c r="G179" s="91" t="str">
        <f>IFERROR(__xludf.DUMMYFUNCTION("XLOOKUP(AS179,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DE LAGOA DO DIONISIO - DISTRITO LAGOA DO DIONISIO")</f>
        <v>COLEGIO ESTADUAL DO CAMPO DE LAGOA DO DIONISIO - DISTRITO LAGOA DO DIONISIO</v>
      </c>
      <c r="H179" s="119" t="s">
        <v>837</v>
      </c>
      <c r="I179" s="91" t="s">
        <v>838</v>
      </c>
      <c r="J179" s="83" t="s">
        <v>149</v>
      </c>
      <c r="K179" s="83" t="s">
        <v>839</v>
      </c>
      <c r="L179" s="83" t="s">
        <v>151</v>
      </c>
      <c r="M179" s="83" t="s">
        <v>169</v>
      </c>
      <c r="N179" s="137" t="s">
        <v>840</v>
      </c>
      <c r="O179" s="98" t="s">
        <v>155</v>
      </c>
      <c r="P179" s="99" t="str">
        <f>IFERROR(__xludf.DUMMYFUNCTION("IFERROR(VLOOKUP(AS179,IMPORTRANGE(""https://docs.google.com/spreadsheets/d/1juPI-Fb8LD0YtltB2mlGEnp_R3UVu1t3wSFPzgCyHXE/edit?gid=0#gid=0"",""GERAL!A2:C""),3,0),""-"")"),"-")</f>
        <v>-</v>
      </c>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v>1132166.0</v>
      </c>
    </row>
    <row r="180" ht="15.75" customHeight="1">
      <c r="A180" s="111" t="s">
        <v>285</v>
      </c>
      <c r="B180" s="83" t="s">
        <v>836</v>
      </c>
      <c r="C180" s="83" t="s">
        <v>68</v>
      </c>
      <c r="D180" s="112">
        <v>1133090.0</v>
      </c>
      <c r="E180" s="83"/>
      <c r="F180" s="83">
        <v>2.920777E7</v>
      </c>
      <c r="G180" s="91" t="str">
        <f>IFERROR(__xludf.DUMMYFUNCTION("XLOOKUP(AS180,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EVILASIO SANTANA GAMA")</f>
        <v>COLÉGIO ESTADUAL DE TEMPO INTEGRAL EVILASIO SANTANA GAMA</v>
      </c>
      <c r="H180" s="119" t="s">
        <v>841</v>
      </c>
      <c r="I180" s="108" t="s">
        <v>842</v>
      </c>
      <c r="J180" s="83" t="s">
        <v>149</v>
      </c>
      <c r="K180" s="83" t="s">
        <v>150</v>
      </c>
      <c r="L180" s="83" t="s">
        <v>151</v>
      </c>
      <c r="M180" s="83" t="s">
        <v>76</v>
      </c>
      <c r="N180" s="98" t="s">
        <v>843</v>
      </c>
      <c r="O180" s="98" t="s">
        <v>162</v>
      </c>
      <c r="P180" s="99" t="str">
        <f>IFERROR(__xludf.DUMMYFUNCTION("IFERROR(VLOOKUP(AS180,IMPORTRANGE(""https://docs.google.com/spreadsheets/d/1juPI-Fb8LD0YtltB2mlGEnp_R3UVu1t3wSFPzgCyHXE/edit?gid=0#gid=0"",""GERAL!A2:C""),3,0),""-"")"),"-")</f>
        <v>-</v>
      </c>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v>1133090.0</v>
      </c>
    </row>
    <row r="181" ht="15.75" customHeight="1">
      <c r="A181" s="111" t="s">
        <v>285</v>
      </c>
      <c r="B181" s="83" t="s">
        <v>836</v>
      </c>
      <c r="C181" s="83" t="s">
        <v>164</v>
      </c>
      <c r="D181" s="112">
        <v>1133090.0</v>
      </c>
      <c r="E181" s="83">
        <v>1178957.0</v>
      </c>
      <c r="F181" s="83"/>
      <c r="G181" s="91" t="str">
        <f>IFERROR(__xludf.DUMMYFUNCTION("XLOOKUP(AS181,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EVILASIO SANTANA GAMA -DISTRITO DE MOCAMBO")</f>
        <v>ANEXO - COLÉGIO ESTADUAL EVILASIO SANTANA GAMA -DISTRITO DE MOCAMBO</v>
      </c>
      <c r="H181" s="114" t="s">
        <v>844</v>
      </c>
      <c r="I181" s="91" t="s">
        <v>845</v>
      </c>
      <c r="J181" s="136" t="s">
        <v>846</v>
      </c>
      <c r="K181" s="83" t="s">
        <v>839</v>
      </c>
      <c r="L181" s="83" t="s">
        <v>151</v>
      </c>
      <c r="M181" s="83" t="s">
        <v>169</v>
      </c>
      <c r="N181" s="115" t="s">
        <v>170</v>
      </c>
      <c r="O181" s="98" t="s">
        <v>155</v>
      </c>
      <c r="P181" s="99" t="str">
        <f>IFERROR(__xludf.DUMMYFUNCTION("IFERROR(VLOOKUP(AS181,IMPORTRANGE(""https://docs.google.com/spreadsheets/d/1juPI-Fb8LD0YtltB2mlGEnp_R3UVu1t3wSFPzgCyHXE/edit?gid=0#gid=0"",""GERAL!A2:C""),3,0),""-"")"),"CAMPO")</f>
        <v>CAMPO</v>
      </c>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v>1178957.0</v>
      </c>
    </row>
    <row r="182" ht="15.75" customHeight="1">
      <c r="A182" s="111" t="s">
        <v>285</v>
      </c>
      <c r="B182" s="83" t="s">
        <v>836</v>
      </c>
      <c r="C182" s="83" t="s">
        <v>164</v>
      </c>
      <c r="D182" s="112">
        <v>1133090.0</v>
      </c>
      <c r="E182" s="83">
        <v>1179714.0</v>
      </c>
      <c r="F182" s="83"/>
      <c r="G182" s="91" t="str">
        <f>IFERROR(__xludf.DUMMYFUNCTION("XLOOKUP(AS182,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EVILASIO SANTANA GAMA - DISTRITO DE BELA VISTA")</f>
        <v>ANEXO - COLÉGIO ESTADUAL DE TEMPO INTEGRAL EVILASIO SANTANA GAMA - DISTRITO DE BELA VISTA</v>
      </c>
      <c r="H182" s="119" t="s">
        <v>847</v>
      </c>
      <c r="I182" s="91" t="s">
        <v>848</v>
      </c>
      <c r="J182" s="193" t="s">
        <v>171</v>
      </c>
      <c r="K182" s="98" t="s">
        <v>641</v>
      </c>
      <c r="L182" s="83" t="s">
        <v>168</v>
      </c>
      <c r="M182" s="83" t="s">
        <v>512</v>
      </c>
      <c r="N182" s="115" t="s">
        <v>170</v>
      </c>
      <c r="O182" s="98" t="s">
        <v>155</v>
      </c>
      <c r="P182" s="99" t="str">
        <f>IFERROR(__xludf.DUMMYFUNCTION("IFERROR(VLOOKUP(AS182,IMPORTRANGE(""https://docs.google.com/spreadsheets/d/1juPI-Fb8LD0YtltB2mlGEnp_R3UVu1t3wSFPzgCyHXE/edit?gid=0#gid=0"",""GERAL!A2:C""),3,0),""-"")"),"-")</f>
        <v>-</v>
      </c>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v>1179714.0</v>
      </c>
    </row>
    <row r="183" ht="15.75" customHeight="1">
      <c r="A183" s="111" t="s">
        <v>285</v>
      </c>
      <c r="B183" s="83" t="s">
        <v>849</v>
      </c>
      <c r="C183" s="83" t="s">
        <v>68</v>
      </c>
      <c r="D183" s="208">
        <v>1124368.0</v>
      </c>
      <c r="E183" s="189"/>
      <c r="F183" s="189">
        <v>2.922506E7</v>
      </c>
      <c r="G183" s="91" t="str">
        <f>IFERROR(__xludf.DUMMYFUNCTION("XLOOKUP(AS183,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ANTÔNIO FERNANDO SOUZA RAMOS")</f>
        <v>COLÉGIO ESTADUAL DE TEMPO INTEGRAL ANTÔNIO FERNANDO SOUZA RAMOS</v>
      </c>
      <c r="H183" s="209" t="s">
        <v>850</v>
      </c>
      <c r="I183" s="108" t="s">
        <v>851</v>
      </c>
      <c r="J183" s="83" t="s">
        <v>149</v>
      </c>
      <c r="K183" s="83" t="s">
        <v>150</v>
      </c>
      <c r="L183" s="83" t="s">
        <v>151</v>
      </c>
      <c r="M183" s="98" t="s">
        <v>76</v>
      </c>
      <c r="N183" s="98" t="s">
        <v>852</v>
      </c>
      <c r="O183" s="98" t="s">
        <v>162</v>
      </c>
      <c r="P183" s="99" t="str">
        <f>IFERROR(__xludf.DUMMYFUNCTION("IFERROR(VLOOKUP(AS183,IMPORTRANGE(""https://docs.google.com/spreadsheets/d/1juPI-Fb8LD0YtltB2mlGEnp_R3UVu1t3wSFPzgCyHXE/edit?gid=0#gid=0"",""GERAL!A2:C""),3,0),""-"")"),"-")</f>
        <v>-</v>
      </c>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v>1124368.0</v>
      </c>
    </row>
    <row r="184" ht="15.75" customHeight="1">
      <c r="A184" s="111" t="s">
        <v>285</v>
      </c>
      <c r="B184" s="83" t="s">
        <v>849</v>
      </c>
      <c r="C184" s="191" t="s">
        <v>164</v>
      </c>
      <c r="D184" s="112">
        <v>1179283.0</v>
      </c>
      <c r="E184" s="83">
        <v>1178622.0</v>
      </c>
      <c r="F184" s="83"/>
      <c r="G184" s="91" t="str">
        <f>IFERROR(__xludf.DUMMYFUNCTION("XLOOKUP(AS184,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DISTRITO DE ILHA GRANDE")</f>
        <v>ANEXO - CEMIT - CHAPADA DIAMANTINA- DISTRITO DE ILHA GRANDE</v>
      </c>
      <c r="H184" s="114" t="s">
        <v>853</v>
      </c>
      <c r="I184" s="91" t="s">
        <v>854</v>
      </c>
      <c r="J184" s="136" t="s">
        <v>149</v>
      </c>
      <c r="K184" s="83" t="s">
        <v>855</v>
      </c>
      <c r="L184" s="83" t="s">
        <v>168</v>
      </c>
      <c r="M184" s="83" t="s">
        <v>169</v>
      </c>
      <c r="N184" s="115" t="s">
        <v>170</v>
      </c>
      <c r="O184" s="98" t="s">
        <v>155</v>
      </c>
      <c r="P184" s="99" t="str">
        <f>IFERROR(__xludf.DUMMYFUNCTION("IFERROR(VLOOKUP(AS184,IMPORTRANGE(""https://docs.google.com/spreadsheets/d/1juPI-Fb8LD0YtltB2mlGEnp_R3UVu1t3wSFPzgCyHXE/edit?gid=0#gid=0"",""GERAL!A2:C""),3,0),""-"")"),"-")</f>
        <v>-</v>
      </c>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v>1178622.0</v>
      </c>
    </row>
    <row r="185" ht="15.75" customHeight="1">
      <c r="A185" s="111" t="s">
        <v>285</v>
      </c>
      <c r="B185" s="83" t="s">
        <v>849</v>
      </c>
      <c r="C185" s="83" t="s">
        <v>164</v>
      </c>
      <c r="D185" s="84">
        <v>1179283.0</v>
      </c>
      <c r="E185" s="83">
        <v>1178625.0</v>
      </c>
      <c r="F185" s="83"/>
      <c r="G185" s="91" t="str">
        <f>IFERROR(__xludf.DUMMYFUNCTION("XLOOKUP(AS185,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DE CRUZLANDIA")</f>
        <v>ANEXO - CEMIT - CHAPADA DIAMANTINA - POVOADO DE CRUZLANDIA</v>
      </c>
      <c r="H185" s="114" t="s">
        <v>856</v>
      </c>
      <c r="I185" s="91" t="s">
        <v>857</v>
      </c>
      <c r="J185" s="136" t="s">
        <v>149</v>
      </c>
      <c r="K185" s="83" t="s">
        <v>187</v>
      </c>
      <c r="L185" s="83" t="s">
        <v>168</v>
      </c>
      <c r="M185" s="83" t="s">
        <v>169</v>
      </c>
      <c r="N185" s="115" t="s">
        <v>170</v>
      </c>
      <c r="O185" s="98" t="s">
        <v>155</v>
      </c>
      <c r="P185" s="99" t="str">
        <f>IFERROR(__xludf.DUMMYFUNCTION("IFERROR(VLOOKUP(AS185,IMPORTRANGE(""https://docs.google.com/spreadsheets/d/1juPI-Fb8LD0YtltB2mlGEnp_R3UVu1t3wSFPzgCyHXE/edit?gid=0#gid=0"",""GERAL!A2:C""),3,0),""-"")"),"-")</f>
        <v>-</v>
      </c>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v>1178625.0</v>
      </c>
    </row>
    <row r="186" ht="15.75" customHeight="1">
      <c r="A186" s="111" t="s">
        <v>285</v>
      </c>
      <c r="B186" s="83" t="s">
        <v>849</v>
      </c>
      <c r="C186" s="83" t="s">
        <v>164</v>
      </c>
      <c r="D186" s="84">
        <v>1179283.0</v>
      </c>
      <c r="E186" s="83">
        <v>1178621.0</v>
      </c>
      <c r="F186" s="83"/>
      <c r="G186" s="91" t="str">
        <f>IFERROR(__xludf.DUMMYFUNCTION("XLOOKUP(AS186,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OLHOS DAGUA DO CRUZEIRO")</f>
        <v>ANEXO - CEMIT - CHAPADA DIAMANTINA - DISTRITO OLHOS DAGUA DO CRUZEIRO</v>
      </c>
      <c r="H186" s="114" t="s">
        <v>858</v>
      </c>
      <c r="I186" s="125" t="s">
        <v>859</v>
      </c>
      <c r="J186" s="136" t="s">
        <v>149</v>
      </c>
      <c r="K186" s="83" t="s">
        <v>334</v>
      </c>
      <c r="L186" s="83" t="s">
        <v>168</v>
      </c>
      <c r="M186" s="83" t="s">
        <v>169</v>
      </c>
      <c r="N186" s="115" t="s">
        <v>170</v>
      </c>
      <c r="O186" s="98" t="s">
        <v>155</v>
      </c>
      <c r="P186" s="99" t="str">
        <f>IFERROR(__xludf.DUMMYFUNCTION("IFERROR(VLOOKUP(AS186,IMPORTRANGE(""https://docs.google.com/spreadsheets/d/1juPI-Fb8LD0YtltB2mlGEnp_R3UVu1t3wSFPzgCyHXE/edit?gid=0#gid=0"",""GERAL!A2:C""),3,0),""-"")"),"-")</f>
        <v>-</v>
      </c>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v>1178621.0</v>
      </c>
    </row>
    <row r="187" ht="15.75" customHeight="1">
      <c r="A187" s="111" t="s">
        <v>285</v>
      </c>
      <c r="B187" s="83" t="s">
        <v>849</v>
      </c>
      <c r="C187" s="83" t="s">
        <v>164</v>
      </c>
      <c r="D187" s="84">
        <v>1179283.0</v>
      </c>
      <c r="E187" s="83">
        <v>1178624.0</v>
      </c>
      <c r="F187" s="83"/>
      <c r="G187" s="91" t="str">
        <f>IFERROR(__xludf.DUMMYFUNCTION("XLOOKUP(AS187,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NOVO ACRE")</f>
        <v>ANEXO - CEMIT - CHAPADA DIAMANTINA - DISTRITO NOVO ACRE</v>
      </c>
      <c r="H187" s="114" t="s">
        <v>861</v>
      </c>
      <c r="I187" s="91" t="s">
        <v>862</v>
      </c>
      <c r="J187" s="136" t="s">
        <v>149</v>
      </c>
      <c r="K187" s="83" t="s">
        <v>310</v>
      </c>
      <c r="L187" s="83" t="s">
        <v>168</v>
      </c>
      <c r="M187" s="83" t="s">
        <v>169</v>
      </c>
      <c r="N187" s="115" t="s">
        <v>170</v>
      </c>
      <c r="O187" s="98" t="s">
        <v>162</v>
      </c>
      <c r="P187" s="99" t="str">
        <f>IFERROR(__xludf.DUMMYFUNCTION("IFERROR(VLOOKUP(AS187,IMPORTRANGE(""https://docs.google.com/spreadsheets/d/1juPI-Fb8LD0YtltB2mlGEnp_R3UVu1t3wSFPzgCyHXE/edit?gid=0#gid=0"",""GERAL!A2:C""),3,0),""-"")"),"-")</f>
        <v>-</v>
      </c>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v>1178624.0</v>
      </c>
    </row>
    <row r="188" ht="15.75" customHeight="1">
      <c r="A188" s="111" t="s">
        <v>285</v>
      </c>
      <c r="B188" s="83" t="s">
        <v>849</v>
      </c>
      <c r="C188" s="83" t="s">
        <v>164</v>
      </c>
      <c r="D188" s="112">
        <v>1179283.0</v>
      </c>
      <c r="E188" s="83">
        <v>1178623.0</v>
      </c>
      <c r="F188" s="83"/>
      <c r="G188" s="91" t="str">
        <f>IFERROR(__xludf.DUMMYFUNCTION("XLOOKUP(AS188,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DE SINCORA DA SERRA")</f>
        <v>ANEXO - CEMIT - CHAPADA DIAMANTINA - DISTRITO DE SINCORA DA SERRA</v>
      </c>
      <c r="H188" s="114" t="s">
        <v>863</v>
      </c>
      <c r="I188" s="91" t="s">
        <v>864</v>
      </c>
      <c r="J188" s="136" t="s">
        <v>149</v>
      </c>
      <c r="K188" s="83" t="s">
        <v>865</v>
      </c>
      <c r="L188" s="83" t="s">
        <v>168</v>
      </c>
      <c r="M188" s="83" t="s">
        <v>169</v>
      </c>
      <c r="N188" s="115" t="s">
        <v>170</v>
      </c>
      <c r="O188" s="98" t="s">
        <v>155</v>
      </c>
      <c r="P188" s="99" t="str">
        <f>IFERROR(__xludf.DUMMYFUNCTION("IFERROR(VLOOKUP(AS188,IMPORTRANGE(""https://docs.google.com/spreadsheets/d/1juPI-Fb8LD0YtltB2mlGEnp_R3UVu1t3wSFPzgCyHXE/edit?gid=0#gid=0"",""GERAL!A2:C""),3,0),""-"")"),"-")</f>
        <v>-</v>
      </c>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v>1178623.0</v>
      </c>
    </row>
    <row r="189" ht="15.75" customHeight="1">
      <c r="A189" s="111" t="s">
        <v>285</v>
      </c>
      <c r="B189" s="83" t="s">
        <v>849</v>
      </c>
      <c r="C189" s="83" t="s">
        <v>164</v>
      </c>
      <c r="D189" s="112">
        <v>1179283.0</v>
      </c>
      <c r="E189" s="83">
        <v>1178620.0</v>
      </c>
      <c r="F189" s="83"/>
      <c r="G189" s="91" t="str">
        <f>IFERROR(__xludf.DUMMYFUNCTION("XLOOKUP(AS189,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BOM JESUS")</f>
        <v>ANEXO - CEMIT - CHAPADA DIAMANTINA - DISTRITO BOM JESUS</v>
      </c>
      <c r="H189" s="114" t="s">
        <v>866</v>
      </c>
      <c r="I189" s="91" t="s">
        <v>867</v>
      </c>
      <c r="J189" s="136" t="s">
        <v>149</v>
      </c>
      <c r="K189" s="83" t="s">
        <v>868</v>
      </c>
      <c r="L189" s="83" t="s">
        <v>168</v>
      </c>
      <c r="M189" s="83" t="s">
        <v>169</v>
      </c>
      <c r="N189" s="115" t="s">
        <v>170</v>
      </c>
      <c r="O189" s="98" t="s">
        <v>155</v>
      </c>
      <c r="P189" s="99" t="str">
        <f>IFERROR(__xludf.DUMMYFUNCTION("IFERROR(VLOOKUP(AS189,IMPORTRANGE(""https://docs.google.com/spreadsheets/d/1juPI-Fb8LD0YtltB2mlGEnp_R3UVu1t3wSFPzgCyHXE/edit?gid=0#gid=0"",""GERAL!A2:C""),3,0),""-"")"),"-")</f>
        <v>-</v>
      </c>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v>1178620.0</v>
      </c>
    </row>
    <row r="190" ht="15.75" customHeight="1">
      <c r="A190" s="111" t="s">
        <v>285</v>
      </c>
      <c r="B190" s="83" t="s">
        <v>869</v>
      </c>
      <c r="C190" s="83" t="s">
        <v>68</v>
      </c>
      <c r="D190" s="112">
        <v>1179607.0</v>
      </c>
      <c r="E190" s="83"/>
      <c r="F190" s="83">
        <v>2.9470552E7</v>
      </c>
      <c r="G190" s="91" t="str">
        <f>IFERROR(__xludf.DUMMYFUNCTION("XLOOKUP(AS190,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PROFESSORA MARIA MENEZES RIBEIRO")</f>
        <v>COLÉGIO ESTADUAL DO CAMPO PROFESSORA MARIA MENEZES RIBEIRO</v>
      </c>
      <c r="H190" s="119" t="s">
        <v>870</v>
      </c>
      <c r="I190" s="91" t="s">
        <v>871</v>
      </c>
      <c r="J190" s="83" t="s">
        <v>149</v>
      </c>
      <c r="K190" s="83" t="s">
        <v>872</v>
      </c>
      <c r="L190" s="83" t="s">
        <v>168</v>
      </c>
      <c r="M190" s="83" t="s">
        <v>169</v>
      </c>
      <c r="N190" s="98" t="s">
        <v>873</v>
      </c>
      <c r="O190" s="98" t="s">
        <v>176</v>
      </c>
      <c r="P190" s="99" t="str">
        <f>IFERROR(__xludf.DUMMYFUNCTION("IFERROR(VLOOKUP(AS190,IMPORTRANGE(""https://docs.google.com/spreadsheets/d/1juPI-Fb8LD0YtltB2mlGEnp_R3UVu1t3wSFPzgCyHXE/edit?gid=0#gid=0"",""GERAL!A2:C""),3,0),""-"")"),"CAMPO")</f>
        <v>CAMPO</v>
      </c>
      <c r="Q190" s="101" t="s">
        <v>156</v>
      </c>
      <c r="R190" s="98">
        <v>5.0</v>
      </c>
      <c r="S190" s="98">
        <v>0.0</v>
      </c>
      <c r="T190" s="98">
        <v>0.0</v>
      </c>
      <c r="U190" s="98">
        <v>0.0</v>
      </c>
      <c r="V190" s="98">
        <v>0.0</v>
      </c>
      <c r="W190" s="98">
        <v>1.0</v>
      </c>
      <c r="X190" s="98">
        <v>0.0</v>
      </c>
      <c r="Y190" s="98">
        <v>0.0</v>
      </c>
      <c r="Z190" s="98">
        <v>0.0</v>
      </c>
      <c r="AA190" s="98">
        <v>0.0</v>
      </c>
      <c r="AB190" s="98">
        <v>0.0</v>
      </c>
      <c r="AC190" s="98">
        <v>0.0</v>
      </c>
      <c r="AD190" s="98">
        <v>0.0</v>
      </c>
      <c r="AE190" s="98">
        <v>0.0</v>
      </c>
      <c r="AF190" s="98">
        <v>1.0</v>
      </c>
      <c r="AG190" s="98">
        <v>0.0</v>
      </c>
      <c r="AH190" s="98">
        <v>0.0</v>
      </c>
      <c r="AI190" s="98">
        <v>0.0</v>
      </c>
      <c r="AJ190" s="98">
        <v>1.0</v>
      </c>
      <c r="AK190" s="98">
        <v>0.0</v>
      </c>
      <c r="AL190" s="98">
        <v>0.0</v>
      </c>
      <c r="AM190" s="98">
        <v>0.0</v>
      </c>
      <c r="AN190" s="98">
        <v>0.0</v>
      </c>
      <c r="AO190" s="98">
        <v>0.0</v>
      </c>
      <c r="AP190" s="98">
        <v>2.0</v>
      </c>
      <c r="AQ190" s="98" t="s">
        <v>874</v>
      </c>
      <c r="AR190" s="102">
        <v>46220.0</v>
      </c>
      <c r="AS190" s="83">
        <v>1179607.0</v>
      </c>
    </row>
    <row r="191" ht="15.75" customHeight="1">
      <c r="A191" s="111" t="s">
        <v>285</v>
      </c>
      <c r="B191" s="83" t="s">
        <v>869</v>
      </c>
      <c r="C191" s="83" t="s">
        <v>68</v>
      </c>
      <c r="D191" s="112">
        <v>1133278.0</v>
      </c>
      <c r="E191" s="83"/>
      <c r="F191" s="83">
        <v>2.9063299E7</v>
      </c>
      <c r="G191" s="91" t="str">
        <f>IFERROR(__xludf.DUMMYFUNCTION("XLOOKUP(AS191,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IRAQUARA 
(ANTIGO CENTRO EDUCACIONAL MANOEL TEIXEIRA LEITE)")</f>
        <v>COLÉGIO ESTADUAL DE TEMPO INTEGRAL DE IRAQUARA 
(ANTIGO CENTRO EDUCACIONAL MANOEL TEIXEIRA LEITE)</v>
      </c>
      <c r="H191" s="119" t="s">
        <v>875</v>
      </c>
      <c r="I191" s="160" t="s">
        <v>876</v>
      </c>
      <c r="J191" s="83" t="s">
        <v>149</v>
      </c>
      <c r="K191" s="83" t="s">
        <v>150</v>
      </c>
      <c r="L191" s="83" t="s">
        <v>151</v>
      </c>
      <c r="M191" s="83" t="s">
        <v>230</v>
      </c>
      <c r="N191" s="98" t="s">
        <v>877</v>
      </c>
      <c r="O191" s="98" t="s">
        <v>162</v>
      </c>
      <c r="P191" s="99" t="str">
        <f>IFERROR(__xludf.DUMMYFUNCTION("IFERROR(VLOOKUP(AS191,IMPORTRANGE(""https://docs.google.com/spreadsheets/d/1juPI-Fb8LD0YtltB2mlGEnp_R3UVu1t3wSFPzgCyHXE/edit?gid=0#gid=0"",""GERAL!A2:C""),3,0),""-"")"),"-")</f>
        <v>-</v>
      </c>
      <c r="Q191" s="101" t="s">
        <v>156</v>
      </c>
      <c r="R191" s="98">
        <v>21.0</v>
      </c>
      <c r="S191" s="98">
        <v>1.0</v>
      </c>
      <c r="T191" s="98">
        <v>2.0</v>
      </c>
      <c r="U191" s="98">
        <v>0.0</v>
      </c>
      <c r="V191" s="98">
        <v>1.0</v>
      </c>
      <c r="W191" s="98">
        <v>4.0</v>
      </c>
      <c r="X191" s="98">
        <v>1.0</v>
      </c>
      <c r="Y191" s="98">
        <v>0.0</v>
      </c>
      <c r="Z191" s="98">
        <v>1.0</v>
      </c>
      <c r="AA191" s="98">
        <v>0.0</v>
      </c>
      <c r="AB191" s="98">
        <v>1.0</v>
      </c>
      <c r="AC191" s="98">
        <v>0.0</v>
      </c>
      <c r="AD191" s="98">
        <v>0.0</v>
      </c>
      <c r="AE191" s="98">
        <v>0.0</v>
      </c>
      <c r="AF191" s="98">
        <v>1.0</v>
      </c>
      <c r="AG191" s="98">
        <v>0.0</v>
      </c>
      <c r="AH191" s="98">
        <v>0.0</v>
      </c>
      <c r="AI191" s="98">
        <v>0.0</v>
      </c>
      <c r="AJ191" s="98">
        <v>0.0</v>
      </c>
      <c r="AK191" s="98">
        <v>1.0</v>
      </c>
      <c r="AL191" s="98">
        <v>0.0</v>
      </c>
      <c r="AM191" s="98">
        <v>0.0</v>
      </c>
      <c r="AN191" s="98">
        <v>0.0</v>
      </c>
      <c r="AO191" s="98">
        <v>1.0</v>
      </c>
      <c r="AP191" s="98">
        <v>1.0</v>
      </c>
      <c r="AQ191" s="98" t="s">
        <v>878</v>
      </c>
      <c r="AR191" s="102">
        <v>46220.0</v>
      </c>
      <c r="AS191" s="83">
        <v>1133278.0</v>
      </c>
    </row>
    <row r="192" ht="15.75" customHeight="1">
      <c r="A192" s="111" t="s">
        <v>285</v>
      </c>
      <c r="B192" s="83" t="s">
        <v>869</v>
      </c>
      <c r="C192" s="83" t="s">
        <v>164</v>
      </c>
      <c r="D192" s="112">
        <v>1179283.0</v>
      </c>
      <c r="E192" s="83">
        <v>1178960.0</v>
      </c>
      <c r="F192" s="83"/>
      <c r="G192" s="91" t="str">
        <f>IFERROR(__xludf.DUMMYFUNCTION("XLOOKUP(AS192,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SANTA RITA")</f>
        <v>ANEXO - CEMIT - CHAPADA DIAMANTINA - DISTRITO SANTA RITA</v>
      </c>
      <c r="H192" s="114" t="s">
        <v>879</v>
      </c>
      <c r="I192" s="91" t="s">
        <v>880</v>
      </c>
      <c r="J192" s="136" t="s">
        <v>881</v>
      </c>
      <c r="K192" s="83" t="s">
        <v>872</v>
      </c>
      <c r="L192" s="83" t="s">
        <v>151</v>
      </c>
      <c r="M192" s="83" t="s">
        <v>169</v>
      </c>
      <c r="N192" s="115" t="s">
        <v>170</v>
      </c>
      <c r="O192" s="98" t="s">
        <v>155</v>
      </c>
      <c r="P192" s="99" t="str">
        <f>IFERROR(__xludf.DUMMYFUNCTION("IFERROR(VLOOKUP(AS192,IMPORTRANGE(""https://docs.google.com/spreadsheets/d/1juPI-Fb8LD0YtltB2mlGEnp_R3UVu1t3wSFPzgCyHXE/edit?gid=0#gid=0"",""GERAL!A2:C""),3,0),""-"")"),"-")</f>
        <v>-</v>
      </c>
      <c r="Q192" s="98" t="s">
        <v>171</v>
      </c>
      <c r="R192" s="98">
        <v>3.0</v>
      </c>
      <c r="S192" s="98" t="s">
        <v>171</v>
      </c>
      <c r="T192" s="98" t="s">
        <v>171</v>
      </c>
      <c r="U192" s="98" t="s">
        <v>171</v>
      </c>
      <c r="V192" s="98" t="s">
        <v>171</v>
      </c>
      <c r="W192" s="98" t="s">
        <v>171</v>
      </c>
      <c r="X192" s="98" t="s">
        <v>171</v>
      </c>
      <c r="Y192" s="98" t="s">
        <v>171</v>
      </c>
      <c r="Z192" s="98" t="s">
        <v>171</v>
      </c>
      <c r="AA192" s="98" t="s">
        <v>171</v>
      </c>
      <c r="AB192" s="98" t="s">
        <v>171</v>
      </c>
      <c r="AC192" s="98" t="s">
        <v>171</v>
      </c>
      <c r="AD192" s="98" t="s">
        <v>171</v>
      </c>
      <c r="AE192" s="98" t="s">
        <v>171</v>
      </c>
      <c r="AF192" s="98" t="s">
        <v>171</v>
      </c>
      <c r="AG192" s="98" t="s">
        <v>171</v>
      </c>
      <c r="AH192" s="98" t="s">
        <v>171</v>
      </c>
      <c r="AI192" s="98" t="s">
        <v>171</v>
      </c>
      <c r="AJ192" s="98" t="s">
        <v>171</v>
      </c>
      <c r="AK192" s="98" t="s">
        <v>171</v>
      </c>
      <c r="AL192" s="98" t="s">
        <v>171</v>
      </c>
      <c r="AM192" s="98" t="s">
        <v>171</v>
      </c>
      <c r="AN192" s="98" t="s">
        <v>171</v>
      </c>
      <c r="AO192" s="98" t="s">
        <v>171</v>
      </c>
      <c r="AP192" s="98" t="s">
        <v>171</v>
      </c>
      <c r="AQ192" s="98" t="s">
        <v>171</v>
      </c>
      <c r="AR192" s="102">
        <v>46220.0</v>
      </c>
      <c r="AS192" s="83">
        <v>1178960.0</v>
      </c>
    </row>
    <row r="193" ht="15.75" customHeight="1">
      <c r="A193" s="111" t="s">
        <v>285</v>
      </c>
      <c r="B193" s="83" t="s">
        <v>882</v>
      </c>
      <c r="C193" s="83" t="s">
        <v>68</v>
      </c>
      <c r="D193" s="112">
        <v>1170360.0</v>
      </c>
      <c r="E193" s="83"/>
      <c r="F193" s="83">
        <v>2.9215382E7</v>
      </c>
      <c r="G193" s="91" t="str">
        <f>IFERROR(__xludf.DUMMYFUNCTION("XLOOKUP(AS193,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AMÉRICO ARAÚJO")</f>
        <v>COLÉGIO ESTADUAL DE TEMPO INTEGRAL JOSÉ AMÉRICO ARAÚJO</v>
      </c>
      <c r="H193" s="119" t="s">
        <v>883</v>
      </c>
      <c r="I193" s="91" t="s">
        <v>884</v>
      </c>
      <c r="J193" s="83" t="s">
        <v>149</v>
      </c>
      <c r="K193" s="83" t="s">
        <v>150</v>
      </c>
      <c r="L193" s="83" t="s">
        <v>151</v>
      </c>
      <c r="M193" s="98" t="s">
        <v>152</v>
      </c>
      <c r="N193" s="98" t="s">
        <v>885</v>
      </c>
      <c r="O193" s="98" t="s">
        <v>176</v>
      </c>
      <c r="P193" s="99" t="str">
        <f>IFERROR(__xludf.DUMMYFUNCTION("IFERROR(VLOOKUP(AS193,IMPORTRANGE(""https://docs.google.com/spreadsheets/d/1juPI-Fb8LD0YtltB2mlGEnp_R3UVu1t3wSFPzgCyHXE/edit?gid=0#gid=0"",""GERAL!A2:C""),3,0),""-"")"),"-")</f>
        <v>-</v>
      </c>
      <c r="Q193" s="101" t="s">
        <v>156</v>
      </c>
      <c r="R193" s="98">
        <v>10.0</v>
      </c>
      <c r="S193" s="98">
        <v>0.0</v>
      </c>
      <c r="T193" s="98">
        <v>2.0</v>
      </c>
      <c r="U193" s="98">
        <v>0.0</v>
      </c>
      <c r="V193" s="98">
        <v>1.0</v>
      </c>
      <c r="W193" s="98">
        <v>2.0</v>
      </c>
      <c r="X193" s="98">
        <v>1.0</v>
      </c>
      <c r="Y193" s="98">
        <v>0.0</v>
      </c>
      <c r="Z193" s="98">
        <v>1.0</v>
      </c>
      <c r="AA193" s="98">
        <v>0.0</v>
      </c>
      <c r="AB193" s="98">
        <v>1.0</v>
      </c>
      <c r="AC193" s="98">
        <v>0.0</v>
      </c>
      <c r="AD193" s="98">
        <v>0.0</v>
      </c>
      <c r="AE193" s="98">
        <v>0.0</v>
      </c>
      <c r="AF193" s="98">
        <v>1.0</v>
      </c>
      <c r="AG193" s="98">
        <v>0.0</v>
      </c>
      <c r="AH193" s="98">
        <v>0.0</v>
      </c>
      <c r="AI193" s="98">
        <v>0.0</v>
      </c>
      <c r="AJ193" s="98">
        <v>0.0</v>
      </c>
      <c r="AK193" s="98">
        <v>0.0</v>
      </c>
      <c r="AL193" s="98">
        <v>0.0</v>
      </c>
      <c r="AM193" s="98">
        <v>0.0</v>
      </c>
      <c r="AN193" s="98">
        <v>0.0</v>
      </c>
      <c r="AO193" s="98">
        <v>0.0</v>
      </c>
      <c r="AP193" s="98">
        <v>0.0</v>
      </c>
      <c r="AQ193" s="98" t="s">
        <v>886</v>
      </c>
      <c r="AR193" s="102">
        <v>46226.0</v>
      </c>
      <c r="AS193" s="83">
        <v>1170360.0</v>
      </c>
    </row>
    <row r="194" ht="15.75" customHeight="1">
      <c r="A194" s="111" t="s">
        <v>285</v>
      </c>
      <c r="B194" s="83" t="s">
        <v>882</v>
      </c>
      <c r="C194" s="83" t="s">
        <v>164</v>
      </c>
      <c r="D194" s="112">
        <v>1170360.0</v>
      </c>
      <c r="E194" s="83">
        <v>1178739.0</v>
      </c>
      <c r="F194" s="83"/>
      <c r="G194" s="91" t="str">
        <f>IFERROR(__xludf.DUMMYFUNCTION("XLOOKUP(AS194,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JOSE AMERICO ARAUJO - DISTRITO DE RUMO")</f>
        <v>ANEXO - COLÉGIO ESTADUAL JOSE AMERICO ARAUJO - DISTRITO DE RUMO</v>
      </c>
      <c r="H194" s="119" t="s">
        <v>887</v>
      </c>
      <c r="I194" s="91" t="s">
        <v>888</v>
      </c>
      <c r="J194" s="172" t="s">
        <v>889</v>
      </c>
      <c r="K194" s="83" t="s">
        <v>890</v>
      </c>
      <c r="L194" s="83" t="s">
        <v>151</v>
      </c>
      <c r="M194" s="83" t="s">
        <v>169</v>
      </c>
      <c r="N194" s="115" t="s">
        <v>170</v>
      </c>
      <c r="O194" s="98" t="s">
        <v>155</v>
      </c>
      <c r="P194" s="99" t="str">
        <f>IFERROR(__xludf.DUMMYFUNCTION("IFERROR(VLOOKUP(AS194,IMPORTRANGE(""https://docs.google.com/spreadsheets/d/1juPI-Fb8LD0YtltB2mlGEnp_R3UVu1t3wSFPzgCyHXE/edit?gid=0#gid=0"",""GERAL!A2:C""),3,0),""-"")"),"CAMPO")</f>
        <v>CAMPO</v>
      </c>
      <c r="Q194" s="98" t="s">
        <v>171</v>
      </c>
      <c r="R194" s="98">
        <v>3.0</v>
      </c>
      <c r="S194" s="98" t="s">
        <v>171</v>
      </c>
      <c r="T194" s="98" t="s">
        <v>171</v>
      </c>
      <c r="U194" s="98" t="s">
        <v>171</v>
      </c>
      <c r="V194" s="98" t="s">
        <v>171</v>
      </c>
      <c r="W194" s="98" t="s">
        <v>171</v>
      </c>
      <c r="X194" s="98" t="s">
        <v>171</v>
      </c>
      <c r="Y194" s="98" t="s">
        <v>171</v>
      </c>
      <c r="Z194" s="98" t="s">
        <v>171</v>
      </c>
      <c r="AA194" s="98" t="s">
        <v>171</v>
      </c>
      <c r="AB194" s="98" t="s">
        <v>171</v>
      </c>
      <c r="AC194" s="98" t="s">
        <v>171</v>
      </c>
      <c r="AD194" s="98" t="s">
        <v>171</v>
      </c>
      <c r="AE194" s="98" t="s">
        <v>171</v>
      </c>
      <c r="AF194" s="98" t="s">
        <v>171</v>
      </c>
      <c r="AG194" s="98" t="s">
        <v>171</v>
      </c>
      <c r="AH194" s="98" t="s">
        <v>171</v>
      </c>
      <c r="AI194" s="98" t="s">
        <v>171</v>
      </c>
      <c r="AJ194" s="98" t="s">
        <v>171</v>
      </c>
      <c r="AK194" s="98" t="s">
        <v>171</v>
      </c>
      <c r="AL194" s="98" t="s">
        <v>171</v>
      </c>
      <c r="AM194" s="98" t="s">
        <v>171</v>
      </c>
      <c r="AN194" s="98" t="s">
        <v>171</v>
      </c>
      <c r="AO194" s="98" t="s">
        <v>171</v>
      </c>
      <c r="AP194" s="98" t="s">
        <v>171</v>
      </c>
      <c r="AQ194" s="98" t="s">
        <v>171</v>
      </c>
      <c r="AR194" s="102">
        <v>46226.0</v>
      </c>
      <c r="AS194" s="83">
        <v>1178739.0</v>
      </c>
    </row>
    <row r="195" ht="55.5" customHeight="1">
      <c r="A195" s="111" t="s">
        <v>285</v>
      </c>
      <c r="B195" s="83" t="s">
        <v>882</v>
      </c>
      <c r="C195" s="83" t="s">
        <v>164</v>
      </c>
      <c r="D195" s="112">
        <v>1170360.0</v>
      </c>
      <c r="E195" s="83">
        <v>1178738.0</v>
      </c>
      <c r="F195" s="83"/>
      <c r="G195" s="91" t="str">
        <f>IFERROR(__xludf.DUMMYFUNCTION("XLOOKUP(AS195,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JOSE AMERICO ARAUJO - DISTRITO DE COLONIA")</f>
        <v>ANEXO - COLÉGIO ESTADUAL JOSE AMERICO ARAUJO - DISTRITO DE COLONIA</v>
      </c>
      <c r="H195" s="114" t="s">
        <v>891</v>
      </c>
      <c r="I195" s="91" t="s">
        <v>892</v>
      </c>
      <c r="J195" s="172" t="s">
        <v>893</v>
      </c>
      <c r="K195" s="83" t="s">
        <v>240</v>
      </c>
      <c r="L195" s="83" t="s">
        <v>151</v>
      </c>
      <c r="M195" s="83" t="s">
        <v>169</v>
      </c>
      <c r="N195" s="115" t="s">
        <v>170</v>
      </c>
      <c r="O195" s="98" t="s">
        <v>155</v>
      </c>
      <c r="P195" s="99" t="str">
        <f>IFERROR(__xludf.DUMMYFUNCTION("IFERROR(VLOOKUP(AS195,IMPORTRANGE(""https://docs.google.com/spreadsheets/d/1juPI-Fb8LD0YtltB2mlGEnp_R3UVu1t3wSFPzgCyHXE/edit?gid=0#gid=0"",""GERAL!A2:C""),3,0),""-"")"),"CAMPO")</f>
        <v>CAMPO</v>
      </c>
      <c r="Q195" s="98" t="s">
        <v>171</v>
      </c>
      <c r="R195" s="98">
        <v>3.0</v>
      </c>
      <c r="S195" s="98" t="s">
        <v>171</v>
      </c>
      <c r="T195" s="98" t="s">
        <v>171</v>
      </c>
      <c r="U195" s="98" t="s">
        <v>171</v>
      </c>
      <c r="V195" s="98" t="s">
        <v>171</v>
      </c>
      <c r="W195" s="98" t="s">
        <v>171</v>
      </c>
      <c r="X195" s="98" t="s">
        <v>171</v>
      </c>
      <c r="Y195" s="98" t="s">
        <v>171</v>
      </c>
      <c r="Z195" s="98" t="s">
        <v>171</v>
      </c>
      <c r="AA195" s="98" t="s">
        <v>171</v>
      </c>
      <c r="AB195" s="98" t="s">
        <v>171</v>
      </c>
      <c r="AC195" s="98" t="s">
        <v>171</v>
      </c>
      <c r="AD195" s="98" t="s">
        <v>171</v>
      </c>
      <c r="AE195" s="98" t="s">
        <v>171</v>
      </c>
      <c r="AF195" s="98" t="s">
        <v>171</v>
      </c>
      <c r="AG195" s="98" t="s">
        <v>171</v>
      </c>
      <c r="AH195" s="98" t="s">
        <v>171</v>
      </c>
      <c r="AI195" s="98" t="s">
        <v>171</v>
      </c>
      <c r="AJ195" s="98" t="s">
        <v>171</v>
      </c>
      <c r="AK195" s="98" t="s">
        <v>171</v>
      </c>
      <c r="AL195" s="98" t="s">
        <v>171</v>
      </c>
      <c r="AM195" s="98" t="s">
        <v>171</v>
      </c>
      <c r="AN195" s="98" t="s">
        <v>171</v>
      </c>
      <c r="AO195" s="98" t="s">
        <v>171</v>
      </c>
      <c r="AP195" s="98" t="s">
        <v>171</v>
      </c>
      <c r="AQ195" s="98" t="s">
        <v>171</v>
      </c>
      <c r="AR195" s="102">
        <v>46226.0</v>
      </c>
      <c r="AS195" s="83">
        <v>1178738.0</v>
      </c>
    </row>
    <row r="196" ht="15.75" customHeight="1">
      <c r="A196" s="111" t="s">
        <v>285</v>
      </c>
      <c r="B196" s="83" t="s">
        <v>894</v>
      </c>
      <c r="C196" s="83" t="s">
        <v>68</v>
      </c>
      <c r="D196" s="112">
        <v>1124481.0</v>
      </c>
      <c r="E196" s="83"/>
      <c r="F196" s="83">
        <v>2.9216206E7</v>
      </c>
      <c r="G196" s="91" t="str">
        <f>IFERROR(__xludf.DUMMYFUNCTION("XLOOKUP(AS196,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HORACIO DE MATOS")</f>
        <v>COLÉGIO ESTADUAL HORACIO DE MATOS</v>
      </c>
      <c r="H196" s="114" t="s">
        <v>895</v>
      </c>
      <c r="I196" s="91" t="s">
        <v>896</v>
      </c>
      <c r="J196" s="83" t="s">
        <v>149</v>
      </c>
      <c r="K196" s="83" t="s">
        <v>150</v>
      </c>
      <c r="L196" s="83" t="s">
        <v>151</v>
      </c>
      <c r="M196" s="83" t="s">
        <v>169</v>
      </c>
      <c r="N196" s="98" t="s">
        <v>897</v>
      </c>
      <c r="O196" s="98" t="s">
        <v>155</v>
      </c>
      <c r="P196" s="99" t="str">
        <f>IFERROR(__xludf.DUMMYFUNCTION("IFERROR(VLOOKUP(AS196,IMPORTRANGE(""https://docs.google.com/spreadsheets/d/1juPI-Fb8LD0YtltB2mlGEnp_R3UVu1t3wSFPzgCyHXE/edit?gid=0#gid=0"",""GERAL!A2:C""),3,0),""-"")"),"-")</f>
        <v>-</v>
      </c>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v>1124481.0</v>
      </c>
    </row>
    <row r="197" ht="15.75" customHeight="1">
      <c r="A197" s="111" t="s">
        <v>285</v>
      </c>
      <c r="B197" s="83" t="s">
        <v>894</v>
      </c>
      <c r="C197" s="83" t="s">
        <v>68</v>
      </c>
      <c r="D197" s="98">
        <v>1124511.0</v>
      </c>
      <c r="E197" s="83"/>
      <c r="F197" s="83"/>
      <c r="G197" s="91" t="str">
        <f>IFERROR(__xludf.DUMMYFUNCTION("XLOOKUP(AS197,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RODOLFO DE ABREU")</f>
        <v>COLEGIO ESTADUAL DO CAMPO RODOLFO DE ABREU</v>
      </c>
      <c r="H197" s="119" t="s">
        <v>898</v>
      </c>
      <c r="I197" s="108" t="s">
        <v>899</v>
      </c>
      <c r="J197" s="98" t="s">
        <v>900</v>
      </c>
      <c r="K197" s="83"/>
      <c r="L197" s="83" t="s">
        <v>151</v>
      </c>
      <c r="M197" s="83" t="s">
        <v>169</v>
      </c>
      <c r="N197" s="98" t="s">
        <v>901</v>
      </c>
      <c r="O197" s="98" t="s">
        <v>155</v>
      </c>
      <c r="P197" s="99"/>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v>1124511.0</v>
      </c>
    </row>
    <row r="198" ht="15.75" customHeight="1">
      <c r="A198" s="111" t="s">
        <v>285</v>
      </c>
      <c r="B198" s="83" t="s">
        <v>902</v>
      </c>
      <c r="C198" s="83" t="s">
        <v>68</v>
      </c>
      <c r="D198" s="112">
        <v>1164149.0</v>
      </c>
      <c r="E198" s="189"/>
      <c r="F198" s="189">
        <v>2.9216486E7</v>
      </c>
      <c r="G198" s="91" t="str">
        <f>IFERROR(__xludf.DUMMYFUNCTION("XLOOKUP(AS198,
IMPORTRANGE(""https://docs.google.com/spreadsheets/d/1YM-djuOLXomrZ9W0B4TyIBsVWnXY4EIOFD9HY-qGfv0/edit?usp=sharing"",""GERAL!BG5:BG""),
IMPORTRANGE(""https://docs.google.com/spreadsheets/d/1YM-djuOLXomrZ9W0B4TyIBsVWnXY4EIOFD9HY-qGfv0/edit?u"&amp;"sp=sharing"",""GERAL!G5:G""),
""CÓD. SEC NÃO ENCONTRADO NA PLANILHA DE MATRÍCULA"")"),"CENTRO EDUCACIONAL RENATO PEREIRA VIANA")</f>
        <v>CENTRO EDUCACIONAL RENATO PEREIRA VIANA</v>
      </c>
      <c r="H198" s="210" t="s">
        <v>903</v>
      </c>
      <c r="I198" s="91" t="s">
        <v>904</v>
      </c>
      <c r="J198" s="83" t="s">
        <v>149</v>
      </c>
      <c r="K198" s="83" t="s">
        <v>150</v>
      </c>
      <c r="L198" s="83" t="s">
        <v>168</v>
      </c>
      <c r="M198" s="83" t="s">
        <v>76</v>
      </c>
      <c r="N198" s="171" t="s">
        <v>905</v>
      </c>
      <c r="O198" s="98" t="s">
        <v>155</v>
      </c>
      <c r="P198" s="99" t="str">
        <f>IFERROR(__xludf.DUMMYFUNCTION("IFERROR(VLOOKUP(AS198,IMPORTRANGE(""https://docs.google.com/spreadsheets/d/1juPI-Fb8LD0YtltB2mlGEnp_R3UVu1t3wSFPzgCyHXE/edit?gid=0#gid=0"",""GERAL!A2:C""),3,0),""-"")"),"-")</f>
        <v>-</v>
      </c>
      <c r="Q198" s="101" t="s">
        <v>156</v>
      </c>
      <c r="R198" s="98">
        <v>10.0</v>
      </c>
      <c r="S198" s="98">
        <v>0.0</v>
      </c>
      <c r="T198" s="98">
        <v>0.0</v>
      </c>
      <c r="U198" s="98">
        <v>0.0</v>
      </c>
      <c r="V198" s="98">
        <v>0.0</v>
      </c>
      <c r="W198" s="98">
        <v>0.0</v>
      </c>
      <c r="X198" s="98">
        <v>0.0</v>
      </c>
      <c r="Y198" s="98">
        <v>0.0</v>
      </c>
      <c r="Z198" s="98">
        <v>0.0</v>
      </c>
      <c r="AA198" s="98">
        <v>0.0</v>
      </c>
      <c r="AB198" s="98">
        <v>0.0</v>
      </c>
      <c r="AC198" s="98">
        <v>0.0</v>
      </c>
      <c r="AD198" s="98">
        <v>0.0</v>
      </c>
      <c r="AE198" s="98">
        <v>0.0</v>
      </c>
      <c r="AF198" s="98">
        <v>1.0</v>
      </c>
      <c r="AG198" s="98">
        <v>1.0</v>
      </c>
      <c r="AH198" s="98">
        <v>0.0</v>
      </c>
      <c r="AI198" s="98">
        <v>0.0</v>
      </c>
      <c r="AJ198" s="98">
        <v>0.0</v>
      </c>
      <c r="AK198" s="98">
        <v>0.0</v>
      </c>
      <c r="AL198" s="98">
        <v>0.0</v>
      </c>
      <c r="AM198" s="98">
        <v>0.0</v>
      </c>
      <c r="AN198" s="98">
        <v>0.0</v>
      </c>
      <c r="AO198" s="98">
        <v>0.0</v>
      </c>
      <c r="AP198" s="98">
        <v>6.0</v>
      </c>
      <c r="AQ198" s="98" t="s">
        <v>906</v>
      </c>
      <c r="AR198" s="102">
        <v>46203.0</v>
      </c>
      <c r="AS198" s="83">
        <v>1164149.0</v>
      </c>
    </row>
    <row r="199" ht="15.75" customHeight="1">
      <c r="A199" s="111" t="s">
        <v>285</v>
      </c>
      <c r="B199" s="189" t="s">
        <v>902</v>
      </c>
      <c r="C199" s="83" t="s">
        <v>164</v>
      </c>
      <c r="D199" s="112">
        <v>1164149.0</v>
      </c>
      <c r="E199" s="189">
        <v>1179716.0</v>
      </c>
      <c r="F199" s="189"/>
      <c r="G199" s="91" t="str">
        <f>IFERROR(__xludf.DUMMYFUNCTION("XLOOKUP(AS199,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EDUCACIONAL RENATO PEREIRA VIANA - DISTRITO CORONEL OTAVIANO ALVES")</f>
        <v>ANEXO - CENTRO EDUCACIONAL RENATO PEREIRA VIANA - DISTRITO CORONEL OTAVIANO ALVES</v>
      </c>
      <c r="H199" s="210" t="s">
        <v>907</v>
      </c>
      <c r="I199" s="91" t="s">
        <v>908</v>
      </c>
      <c r="J199" s="211" t="s">
        <v>909</v>
      </c>
      <c r="K199" s="212" t="s">
        <v>767</v>
      </c>
      <c r="L199" s="189" t="s">
        <v>168</v>
      </c>
      <c r="M199" s="83" t="s">
        <v>512</v>
      </c>
      <c r="N199" s="115" t="s">
        <v>170</v>
      </c>
      <c r="O199" s="98" t="s">
        <v>155</v>
      </c>
      <c r="P199" s="99" t="str">
        <f>IFERROR(__xludf.DUMMYFUNCTION("IFERROR(VLOOKUP(AS199,IMPORTRANGE(""https://docs.google.com/spreadsheets/d/1juPI-Fb8LD0YtltB2mlGEnp_R3UVu1t3wSFPzgCyHXE/edit?gid=0#gid=0"",""GERAL!A2:C""),3,0),""-"")"),"-")</f>
        <v>-</v>
      </c>
      <c r="Q199" s="98" t="s">
        <v>171</v>
      </c>
      <c r="R199" s="98">
        <v>3.0</v>
      </c>
      <c r="S199" s="98" t="s">
        <v>171</v>
      </c>
      <c r="T199" s="98" t="s">
        <v>171</v>
      </c>
      <c r="U199" s="98" t="s">
        <v>171</v>
      </c>
      <c r="V199" s="98" t="s">
        <v>171</v>
      </c>
      <c r="W199" s="98" t="s">
        <v>171</v>
      </c>
      <c r="X199" s="98" t="s">
        <v>171</v>
      </c>
      <c r="Y199" s="98" t="s">
        <v>171</v>
      </c>
      <c r="Z199" s="98" t="s">
        <v>171</v>
      </c>
      <c r="AA199" s="98" t="s">
        <v>171</v>
      </c>
      <c r="AB199" s="98" t="s">
        <v>171</v>
      </c>
      <c r="AC199" s="98" t="s">
        <v>171</v>
      </c>
      <c r="AD199" s="98" t="s">
        <v>171</v>
      </c>
      <c r="AE199" s="98" t="s">
        <v>171</v>
      </c>
      <c r="AF199" s="98" t="s">
        <v>171</v>
      </c>
      <c r="AG199" s="98" t="s">
        <v>171</v>
      </c>
      <c r="AH199" s="98" t="s">
        <v>171</v>
      </c>
      <c r="AI199" s="98" t="s">
        <v>171</v>
      </c>
      <c r="AJ199" s="98" t="s">
        <v>171</v>
      </c>
      <c r="AK199" s="98" t="s">
        <v>171</v>
      </c>
      <c r="AL199" s="98" t="s">
        <v>171</v>
      </c>
      <c r="AM199" s="98" t="s">
        <v>171</v>
      </c>
      <c r="AN199" s="98" t="s">
        <v>171</v>
      </c>
      <c r="AO199" s="98" t="s">
        <v>171</v>
      </c>
      <c r="AP199" s="98" t="s">
        <v>171</v>
      </c>
      <c r="AQ199" s="98" t="s">
        <v>171</v>
      </c>
      <c r="AR199" s="102">
        <v>46206.0</v>
      </c>
      <c r="AS199" s="83">
        <v>1179716.0</v>
      </c>
    </row>
    <row r="200" ht="15.75" customHeight="1">
      <c r="A200" s="111" t="s">
        <v>285</v>
      </c>
      <c r="B200" s="189" t="s">
        <v>910</v>
      </c>
      <c r="C200" s="83" t="s">
        <v>68</v>
      </c>
      <c r="D200" s="112">
        <v>1123647.0</v>
      </c>
      <c r="E200" s="189"/>
      <c r="F200" s="189">
        <v>2.9232988E7</v>
      </c>
      <c r="G200" s="91" t="str">
        <f>IFERROR(__xludf.DUMMYFUNCTION("XLOOKUP(AS200,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EURIDICE SANTANA")</f>
        <v>COLÉGIO ESTADUAL DE TEMPO INTEGRAL EURIDICE SANTANA</v>
      </c>
      <c r="H200" s="209" t="s">
        <v>911</v>
      </c>
      <c r="I200" s="108" t="s">
        <v>912</v>
      </c>
      <c r="J200" s="213" t="s">
        <v>149</v>
      </c>
      <c r="K200" s="189" t="s">
        <v>150</v>
      </c>
      <c r="L200" s="189" t="s">
        <v>151</v>
      </c>
      <c r="M200" s="98" t="s">
        <v>152</v>
      </c>
      <c r="N200" s="98" t="s">
        <v>913</v>
      </c>
      <c r="O200" s="98" t="s">
        <v>162</v>
      </c>
      <c r="P200" s="99" t="str">
        <f>IFERROR(__xludf.DUMMYFUNCTION("IFERROR(VLOOKUP(AS200,IMPORTRANGE(""https://docs.google.com/spreadsheets/d/1juPI-Fb8LD0YtltB2mlGEnp_R3UVu1t3wSFPzgCyHXE/edit?gid=0#gid=0"",""GERAL!A2:C""),3,0),""-"")"),"-")</f>
        <v>-</v>
      </c>
      <c r="Q200" s="101" t="s">
        <v>156</v>
      </c>
      <c r="R200" s="98">
        <v>12.0</v>
      </c>
      <c r="S200" s="98">
        <v>0.0</v>
      </c>
      <c r="T200" s="98">
        <v>2.0</v>
      </c>
      <c r="U200" s="98">
        <v>0.0</v>
      </c>
      <c r="V200" s="98">
        <v>1.0</v>
      </c>
      <c r="W200" s="98">
        <v>3.0</v>
      </c>
      <c r="X200" s="98">
        <v>1.0</v>
      </c>
      <c r="Y200" s="98">
        <v>0.0</v>
      </c>
      <c r="Z200" s="98">
        <v>1.0</v>
      </c>
      <c r="AA200" s="98">
        <v>0.0</v>
      </c>
      <c r="AB200" s="98">
        <v>1.0</v>
      </c>
      <c r="AC200" s="98">
        <v>0.0</v>
      </c>
      <c r="AD200" s="98">
        <v>0.0</v>
      </c>
      <c r="AE200" s="98">
        <v>1.0</v>
      </c>
      <c r="AF200" s="98">
        <v>0.0</v>
      </c>
      <c r="AG200" s="98">
        <v>0.0</v>
      </c>
      <c r="AH200" s="98">
        <v>0.0</v>
      </c>
      <c r="AI200" s="98">
        <v>0.0</v>
      </c>
      <c r="AJ200" s="98">
        <v>1.0</v>
      </c>
      <c r="AK200" s="98">
        <v>0.0</v>
      </c>
      <c r="AL200" s="98">
        <v>0.0</v>
      </c>
      <c r="AM200" s="98">
        <v>0.0</v>
      </c>
      <c r="AN200" s="98">
        <v>0.0</v>
      </c>
      <c r="AO200" s="98">
        <v>0.0</v>
      </c>
      <c r="AP200" s="98">
        <v>0.0</v>
      </c>
      <c r="AQ200" s="98" t="s">
        <v>915</v>
      </c>
      <c r="AR200" s="102">
        <v>46241.0</v>
      </c>
      <c r="AS200" s="83">
        <v>1123647.0</v>
      </c>
    </row>
    <row r="201" ht="15.75" customHeight="1">
      <c r="A201" s="111" t="s">
        <v>285</v>
      </c>
      <c r="B201" s="83" t="s">
        <v>910</v>
      </c>
      <c r="C201" s="83" t="s">
        <v>164</v>
      </c>
      <c r="D201" s="112">
        <v>1123647.0</v>
      </c>
      <c r="E201" s="83">
        <v>1178740.0</v>
      </c>
      <c r="F201" s="83"/>
      <c r="G201" s="91" t="str">
        <f>IFERROR(__xludf.DUMMYFUNCTION("XLOOKUP(AS201,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EURIDICE SANTANA - POVOADO MACHADO PORTELA")</f>
        <v>ANEXO - COLÉGIO ESTADUAL EURIDICE SANTANA - POVOADO MACHADO PORTELA</v>
      </c>
      <c r="H201" s="114" t="s">
        <v>916</v>
      </c>
      <c r="I201" s="91" t="s">
        <v>917</v>
      </c>
      <c r="J201" s="214" t="s">
        <v>918</v>
      </c>
      <c r="K201" s="83" t="s">
        <v>331</v>
      </c>
      <c r="L201" s="83" t="s">
        <v>151</v>
      </c>
      <c r="M201" s="83" t="s">
        <v>169</v>
      </c>
      <c r="N201" s="115" t="s">
        <v>170</v>
      </c>
      <c r="O201" s="98" t="s">
        <v>155</v>
      </c>
      <c r="P201" s="99" t="str">
        <f>IFERROR(__xludf.DUMMYFUNCTION("IFERROR(VLOOKUP(AS201,IMPORTRANGE(""https://docs.google.com/spreadsheets/d/1juPI-Fb8LD0YtltB2mlGEnp_R3UVu1t3wSFPzgCyHXE/edit?gid=0#gid=0"",""GERAL!A2:C""),3,0),""-"")"),"CAMPO")</f>
        <v>CAMPO</v>
      </c>
      <c r="Q201" s="98" t="s">
        <v>171</v>
      </c>
      <c r="R201" s="98">
        <v>2.0</v>
      </c>
      <c r="S201" s="98" t="s">
        <v>171</v>
      </c>
      <c r="T201" s="98" t="s">
        <v>171</v>
      </c>
      <c r="U201" s="98" t="s">
        <v>171</v>
      </c>
      <c r="V201" s="98" t="s">
        <v>171</v>
      </c>
      <c r="W201" s="98" t="s">
        <v>171</v>
      </c>
      <c r="X201" s="98" t="s">
        <v>171</v>
      </c>
      <c r="Y201" s="98" t="s">
        <v>171</v>
      </c>
      <c r="Z201" s="98" t="s">
        <v>171</v>
      </c>
      <c r="AA201" s="98" t="s">
        <v>171</v>
      </c>
      <c r="AB201" s="98" t="s">
        <v>171</v>
      </c>
      <c r="AC201" s="98" t="s">
        <v>171</v>
      </c>
      <c r="AD201" s="98" t="s">
        <v>171</v>
      </c>
      <c r="AE201" s="98" t="s">
        <v>171</v>
      </c>
      <c r="AF201" s="98" t="s">
        <v>171</v>
      </c>
      <c r="AG201" s="98" t="s">
        <v>171</v>
      </c>
      <c r="AH201" s="98" t="s">
        <v>171</v>
      </c>
      <c r="AI201" s="98" t="s">
        <v>171</v>
      </c>
      <c r="AJ201" s="98" t="s">
        <v>171</v>
      </c>
      <c r="AK201" s="98" t="s">
        <v>171</v>
      </c>
      <c r="AL201" s="98" t="s">
        <v>171</v>
      </c>
      <c r="AM201" s="98" t="s">
        <v>171</v>
      </c>
      <c r="AN201" s="98" t="s">
        <v>171</v>
      </c>
      <c r="AO201" s="98" t="s">
        <v>171</v>
      </c>
      <c r="AP201" s="98" t="s">
        <v>171</v>
      </c>
      <c r="AQ201" s="83"/>
      <c r="AR201" s="102">
        <v>46241.0</v>
      </c>
      <c r="AS201" s="83">
        <v>1178740.0</v>
      </c>
    </row>
    <row r="202" ht="15.75" customHeight="1">
      <c r="A202" s="111" t="s">
        <v>285</v>
      </c>
      <c r="B202" s="83" t="s">
        <v>919</v>
      </c>
      <c r="C202" s="83" t="s">
        <v>68</v>
      </c>
      <c r="D202" s="84">
        <v>1178439.0</v>
      </c>
      <c r="E202" s="82"/>
      <c r="F202" s="82">
        <v>2.939922E7</v>
      </c>
      <c r="G202" s="91" t="str">
        <f>IFERROR(__xludf.DUMMYFUNCTION("XLOOKUP(AS202,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ICO")</f>
        <v>COLÉGIO ESTADUAL DO CAMPO DE ICO</v>
      </c>
      <c r="H202" s="215" t="s">
        <v>920</v>
      </c>
      <c r="I202" s="91" t="s">
        <v>921</v>
      </c>
      <c r="J202" s="146" t="s">
        <v>922</v>
      </c>
      <c r="K202" s="83" t="s">
        <v>923</v>
      </c>
      <c r="L202" s="83" t="s">
        <v>151</v>
      </c>
      <c r="M202" s="83" t="s">
        <v>169</v>
      </c>
      <c r="N202" s="98" t="s">
        <v>924</v>
      </c>
      <c r="O202" s="98" t="s">
        <v>155</v>
      </c>
      <c r="P202" s="99" t="str">
        <f>IFERROR(__xludf.DUMMYFUNCTION("IFERROR(VLOOKUP(AS202,IMPORTRANGE(""https://docs.google.com/spreadsheets/d/1juPI-Fb8LD0YtltB2mlGEnp_R3UVu1t3wSFPzgCyHXE/edit?gid=0#gid=0"",""GERAL!A2:C""),3,0),""-"")"),"CAMPO")</f>
        <v>CAMPO</v>
      </c>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v>1178439.0</v>
      </c>
    </row>
    <row r="203" ht="15.75" customHeight="1">
      <c r="A203" s="111" t="s">
        <v>285</v>
      </c>
      <c r="B203" s="83" t="s">
        <v>919</v>
      </c>
      <c r="C203" s="83" t="s">
        <v>68</v>
      </c>
      <c r="D203" s="84">
        <v>1178028.0</v>
      </c>
      <c r="E203" s="83"/>
      <c r="F203" s="83">
        <v>2.9425557E7</v>
      </c>
      <c r="G203" s="91" t="str">
        <f>IFERROR(__xludf.DUMMYFUNCTION("XLOOKUP(AS203,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FEDEGOSOS - DISTRITO DE FEDEGOSO")</f>
        <v>COLÉGIO ESTADUAL DE FEDEGOSOS - DISTRITO DE FEDEGOSO</v>
      </c>
      <c r="H203" s="114" t="s">
        <v>925</v>
      </c>
      <c r="I203" s="91" t="s">
        <v>926</v>
      </c>
      <c r="J203" s="83" t="s">
        <v>927</v>
      </c>
      <c r="K203" s="83" t="s">
        <v>252</v>
      </c>
      <c r="L203" s="83" t="s">
        <v>151</v>
      </c>
      <c r="M203" s="83" t="s">
        <v>169</v>
      </c>
      <c r="N203" s="98" t="s">
        <v>928</v>
      </c>
      <c r="O203" s="98" t="s">
        <v>155</v>
      </c>
      <c r="P203" s="99" t="str">
        <f>IFERROR(__xludf.DUMMYFUNCTION("IFERROR(VLOOKUP(AS203,IMPORTRANGE(""https://docs.google.com/spreadsheets/d/1juPI-Fb8LD0YtltB2mlGEnp_R3UVu1t3wSFPzgCyHXE/edit?gid=0#gid=0"",""GERAL!A2:C""),3,0),""-"")"),"CAMPO")</f>
        <v>CAMPO</v>
      </c>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v>1178028.0</v>
      </c>
    </row>
    <row r="204" ht="15.75" customHeight="1">
      <c r="A204" s="111" t="s">
        <v>285</v>
      </c>
      <c r="B204" s="83" t="s">
        <v>919</v>
      </c>
      <c r="C204" s="83" t="s">
        <v>68</v>
      </c>
      <c r="D204" s="112">
        <v>1176457.0</v>
      </c>
      <c r="E204" s="83"/>
      <c r="F204" s="83">
        <v>2.9390869E7</v>
      </c>
      <c r="G204" s="91" t="str">
        <f>IFERROR(__xludf.DUMMYFUNCTION("XLOOKUP(AS204,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DA CHAPADA DIAMANTINA II")</f>
        <v>CENTRO TERRITORIAL DE EDUCAÇÃO PROFISSIONAL DA CHAPADA DIAMANTINA II</v>
      </c>
      <c r="H204" s="114" t="s">
        <v>929</v>
      </c>
      <c r="I204" s="108" t="s">
        <v>930</v>
      </c>
      <c r="J204" s="83" t="s">
        <v>931</v>
      </c>
      <c r="K204" s="83" t="s">
        <v>150</v>
      </c>
      <c r="L204" s="83" t="s">
        <v>151</v>
      </c>
      <c r="M204" s="83" t="s">
        <v>230</v>
      </c>
      <c r="N204" s="98" t="s">
        <v>932</v>
      </c>
      <c r="O204" s="98" t="s">
        <v>162</v>
      </c>
      <c r="P204" s="99" t="str">
        <f>IFERROR(__xludf.DUMMYFUNCTION("IFERROR(VLOOKUP(AS204,IMPORTRANGE(""https://docs.google.com/spreadsheets/d/1juPI-Fb8LD0YtltB2mlGEnp_R3UVu1t3wSFPzgCyHXE/edit?gid=0#gid=0"",""GERAL!A2:C""),3,0),""-"")"),"-")</f>
        <v>-</v>
      </c>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v>1176457.0</v>
      </c>
    </row>
    <row r="205" ht="15.75" customHeight="1">
      <c r="A205" s="111" t="s">
        <v>285</v>
      </c>
      <c r="B205" s="83" t="s">
        <v>919</v>
      </c>
      <c r="C205" s="83" t="s">
        <v>164</v>
      </c>
      <c r="D205" s="112">
        <v>1179283.0</v>
      </c>
      <c r="E205" s="83">
        <v>1179091.0</v>
      </c>
      <c r="F205" s="83"/>
      <c r="G205" s="91" t="str">
        <f>IFERROR(__xludf.DUMMYFUNCTION("XLOOKUP(AS205,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 CHAPADA DIAMANTINA - DISTRITO DUAS BARRAS- QUILOMBOLA")</f>
        <v>ANEXO- CEMIT - CHAPADA DIAMANTINA - DISTRITO DUAS BARRAS- QUILOMBOLA</v>
      </c>
      <c r="H205" s="114" t="s">
        <v>933</v>
      </c>
      <c r="I205" s="91" t="s">
        <v>934</v>
      </c>
      <c r="J205" s="136" t="s">
        <v>935</v>
      </c>
      <c r="K205" s="83" t="s">
        <v>767</v>
      </c>
      <c r="L205" s="83" t="s">
        <v>151</v>
      </c>
      <c r="M205" s="83" t="s">
        <v>169</v>
      </c>
      <c r="N205" s="115" t="s">
        <v>170</v>
      </c>
      <c r="O205" s="98" t="s">
        <v>155</v>
      </c>
      <c r="P205" s="99" t="str">
        <f>IFERROR(__xludf.DUMMYFUNCTION("IFERROR(VLOOKUP(AS205,IMPORTRANGE(""https://docs.google.com/spreadsheets/d/1juPI-Fb8LD0YtltB2mlGEnp_R3UVu1t3wSFPzgCyHXE/edit?gid=0#gid=0"",""GERAL!A2:C""),3,0),""-"")"),"QUILOMBOLAS")</f>
        <v>QUILOMBOLAS</v>
      </c>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v>1179091.0</v>
      </c>
    </row>
    <row r="206" ht="15.75" customHeight="1">
      <c r="A206" s="111" t="s">
        <v>285</v>
      </c>
      <c r="B206" s="83" t="s">
        <v>919</v>
      </c>
      <c r="C206" s="83" t="s">
        <v>164</v>
      </c>
      <c r="D206" s="112">
        <v>1179283.0</v>
      </c>
      <c r="E206" s="83">
        <v>1178716.0</v>
      </c>
      <c r="F206" s="83"/>
      <c r="G206" s="91" t="str">
        <f>IFERROR(__xludf.DUMMYFUNCTION("XLOOKUP(AS206,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DE UMBURANINHAS")</f>
        <v>ANEXO - CEMIT - CHAPADA DIAMANTINA - POVOADO DE UMBURANINHAS</v>
      </c>
      <c r="H206" s="114" t="s">
        <v>936</v>
      </c>
      <c r="I206" s="91" t="s">
        <v>937</v>
      </c>
      <c r="J206" s="136" t="s">
        <v>938</v>
      </c>
      <c r="K206" s="83" t="s">
        <v>939</v>
      </c>
      <c r="L206" s="83" t="s">
        <v>168</v>
      </c>
      <c r="M206" s="83" t="s">
        <v>169</v>
      </c>
      <c r="N206" s="115" t="s">
        <v>170</v>
      </c>
      <c r="O206" s="98" t="s">
        <v>155</v>
      </c>
      <c r="P206" s="99" t="str">
        <f>IFERROR(__xludf.DUMMYFUNCTION("IFERROR(VLOOKUP(AS206,IMPORTRANGE(""https://docs.google.com/spreadsheets/d/1juPI-Fb8LD0YtltB2mlGEnp_R3UVu1t3wSFPzgCyHXE/edit?gid=0#gid=0"",""GERAL!A2:C""),3,0),""-"")"),"-")</f>
        <v>-</v>
      </c>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v>1178716.0</v>
      </c>
    </row>
    <row r="207" ht="15.75" customHeight="1">
      <c r="A207" s="111" t="s">
        <v>285</v>
      </c>
      <c r="B207" s="83" t="s">
        <v>940</v>
      </c>
      <c r="C207" s="83" t="s">
        <v>68</v>
      </c>
      <c r="D207" s="112">
        <v>1132468.0</v>
      </c>
      <c r="E207" s="83"/>
      <c r="F207" s="83">
        <v>2.9216818E7</v>
      </c>
      <c r="G207" s="91" t="str">
        <f>IFERROR(__xludf.DUMMYFUNCTION("XLOOKUP(AS207,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MUCUGÊ - (ANTIGO CE HORACIO DE MATOS)")</f>
        <v>COLÉGIO ESTADUAL DE TEMPO INTEGRAL DE MUCUGÊ - (ANTIGO CE HORACIO DE MATOS)</v>
      </c>
      <c r="H207" s="119" t="s">
        <v>941</v>
      </c>
      <c r="I207" s="91" t="s">
        <v>942</v>
      </c>
      <c r="J207" s="83" t="s">
        <v>149</v>
      </c>
      <c r="K207" s="83" t="s">
        <v>150</v>
      </c>
      <c r="L207" s="83" t="s">
        <v>151</v>
      </c>
      <c r="M207" s="83" t="s">
        <v>152</v>
      </c>
      <c r="N207" s="98" t="s">
        <v>943</v>
      </c>
      <c r="O207" s="98" t="s">
        <v>162</v>
      </c>
      <c r="P207" s="99" t="str">
        <f>IFERROR(__xludf.DUMMYFUNCTION("IFERROR(VLOOKUP(AS207,IMPORTRANGE(""https://docs.google.com/spreadsheets/d/1juPI-Fb8LD0YtltB2mlGEnp_R3UVu1t3wSFPzgCyHXE/edit?gid=0#gid=0"",""GERAL!A2:C""),3,0),""-"")"),"-")</f>
        <v>-</v>
      </c>
      <c r="Q207" s="101" t="s">
        <v>156</v>
      </c>
      <c r="R207" s="98">
        <v>10.0</v>
      </c>
      <c r="S207" s="98">
        <v>1.0</v>
      </c>
      <c r="T207" s="98">
        <v>0.0</v>
      </c>
      <c r="U207" s="98">
        <v>1.0</v>
      </c>
      <c r="V207" s="98">
        <v>1.0</v>
      </c>
      <c r="W207" s="98">
        <v>2.0</v>
      </c>
      <c r="X207" s="98">
        <v>1.0</v>
      </c>
      <c r="Y207" s="98">
        <v>0.0</v>
      </c>
      <c r="Z207" s="98">
        <v>1.0</v>
      </c>
      <c r="AA207" s="98">
        <v>0.0</v>
      </c>
      <c r="AB207" s="98">
        <v>1.0</v>
      </c>
      <c r="AC207" s="98">
        <v>0.0</v>
      </c>
      <c r="AD207" s="98">
        <v>0.0</v>
      </c>
      <c r="AE207" s="98">
        <v>0.0</v>
      </c>
      <c r="AF207" s="98">
        <v>1.0</v>
      </c>
      <c r="AG207" s="98">
        <v>0.0</v>
      </c>
      <c r="AH207" s="98">
        <v>0.0</v>
      </c>
      <c r="AI207" s="98">
        <v>0.0</v>
      </c>
      <c r="AJ207" s="98">
        <v>0.0</v>
      </c>
      <c r="AK207" s="98">
        <v>0.0</v>
      </c>
      <c r="AL207" s="98">
        <v>0.0</v>
      </c>
      <c r="AM207" s="98">
        <v>0.0</v>
      </c>
      <c r="AN207" s="98">
        <v>0.0</v>
      </c>
      <c r="AO207" s="98">
        <v>0.0</v>
      </c>
      <c r="AP207" s="98">
        <v>0.0</v>
      </c>
      <c r="AQ207" s="98" t="s">
        <v>944</v>
      </c>
      <c r="AR207" s="102">
        <v>46225.0</v>
      </c>
      <c r="AS207" s="83">
        <v>1132468.0</v>
      </c>
    </row>
    <row r="208" ht="15.75" customHeight="1">
      <c r="A208" s="111" t="s">
        <v>285</v>
      </c>
      <c r="B208" s="83" t="s">
        <v>940</v>
      </c>
      <c r="C208" s="83" t="s">
        <v>164</v>
      </c>
      <c r="D208" s="112">
        <v>1132468.0</v>
      </c>
      <c r="E208" s="83">
        <v>1178963.0</v>
      </c>
      <c r="F208" s="83"/>
      <c r="G208" s="91" t="str">
        <f>IFERROR(__xludf.DUMMYFUNCTION("XLOOKUP(AS208,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MUCUGÊ - DISTRITO DE JOAO CORREIA")</f>
        <v>ANEXO - COLÉGIO ESTADUAL DE TEMPO INTEGRAL DE MUCUGÊ - DISTRITO DE JOAO CORREIA</v>
      </c>
      <c r="H208" s="119" t="s">
        <v>945</v>
      </c>
      <c r="I208" s="91" t="s">
        <v>946</v>
      </c>
      <c r="J208" s="83" t="s">
        <v>149</v>
      </c>
      <c r="K208" s="83" t="s">
        <v>183</v>
      </c>
      <c r="L208" s="83" t="s">
        <v>151</v>
      </c>
      <c r="M208" s="83" t="s">
        <v>169</v>
      </c>
      <c r="N208" s="115" t="s">
        <v>170</v>
      </c>
      <c r="O208" s="98" t="s">
        <v>155</v>
      </c>
      <c r="P208" s="99" t="str">
        <f>IFERROR(__xludf.DUMMYFUNCTION("IFERROR(VLOOKUP(AS208,IMPORTRANGE(""https://docs.google.com/spreadsheets/d/1juPI-Fb8LD0YtltB2mlGEnp_R3UVu1t3wSFPzgCyHXE/edit?gid=0#gid=0"",""GERAL!A2:C""),3,0),""-"")"),"CAMPO")</f>
        <v>CAMPO</v>
      </c>
      <c r="Q208" s="98" t="s">
        <v>171</v>
      </c>
      <c r="R208" s="98">
        <v>3.0</v>
      </c>
      <c r="S208" s="98" t="s">
        <v>171</v>
      </c>
      <c r="T208" s="98" t="s">
        <v>171</v>
      </c>
      <c r="U208" s="98" t="s">
        <v>171</v>
      </c>
      <c r="V208" s="98" t="s">
        <v>171</v>
      </c>
      <c r="W208" s="98" t="s">
        <v>171</v>
      </c>
      <c r="X208" s="98" t="s">
        <v>171</v>
      </c>
      <c r="Y208" s="98" t="s">
        <v>171</v>
      </c>
      <c r="Z208" s="98" t="s">
        <v>171</v>
      </c>
      <c r="AA208" s="98" t="s">
        <v>171</v>
      </c>
      <c r="AB208" s="98" t="s">
        <v>171</v>
      </c>
      <c r="AC208" s="98" t="s">
        <v>171</v>
      </c>
      <c r="AD208" s="98" t="s">
        <v>171</v>
      </c>
      <c r="AE208" s="98" t="s">
        <v>171</v>
      </c>
      <c r="AF208" s="98" t="s">
        <v>171</v>
      </c>
      <c r="AG208" s="98" t="s">
        <v>171</v>
      </c>
      <c r="AH208" s="98" t="s">
        <v>171</v>
      </c>
      <c r="AI208" s="98" t="s">
        <v>171</v>
      </c>
      <c r="AJ208" s="98" t="s">
        <v>171</v>
      </c>
      <c r="AK208" s="98" t="s">
        <v>171</v>
      </c>
      <c r="AL208" s="98" t="s">
        <v>171</v>
      </c>
      <c r="AM208" s="98" t="s">
        <v>171</v>
      </c>
      <c r="AN208" s="98" t="s">
        <v>171</v>
      </c>
      <c r="AO208" s="98" t="s">
        <v>171</v>
      </c>
      <c r="AP208" s="98">
        <v>1.0</v>
      </c>
      <c r="AQ208" s="98" t="s">
        <v>947</v>
      </c>
      <c r="AR208" s="102">
        <v>46225.0</v>
      </c>
      <c r="AS208" s="83">
        <v>1178963.0</v>
      </c>
    </row>
    <row r="209" ht="15.75" customHeight="1">
      <c r="A209" s="111" t="s">
        <v>285</v>
      </c>
      <c r="B209" s="83" t="s">
        <v>940</v>
      </c>
      <c r="C209" s="83" t="s">
        <v>164</v>
      </c>
      <c r="D209" s="112">
        <v>1132468.0</v>
      </c>
      <c r="E209" s="83">
        <v>1178962.0</v>
      </c>
      <c r="F209" s="83"/>
      <c r="G209" s="91" t="str">
        <f>IFERROR(__xludf.DUMMYFUNCTION("XLOOKUP(AS209,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MUCUGÊ - DISTRITO DE GUINE")</f>
        <v>ANEXO - COLÉGIO ESTADUAL DE TEMPO INTEGRAL DE MUCUGÊ - DISTRITO DE GUINE</v>
      </c>
      <c r="H209" s="119" t="s">
        <v>948</v>
      </c>
      <c r="I209" s="91" t="s">
        <v>949</v>
      </c>
      <c r="J209" s="83" t="s">
        <v>149</v>
      </c>
      <c r="K209" s="83" t="s">
        <v>331</v>
      </c>
      <c r="L209" s="83" t="s">
        <v>168</v>
      </c>
      <c r="M209" s="83" t="s">
        <v>169</v>
      </c>
      <c r="N209" s="115" t="s">
        <v>170</v>
      </c>
      <c r="O209" s="98" t="s">
        <v>155</v>
      </c>
      <c r="P209" s="99" t="str">
        <f>IFERROR(__xludf.DUMMYFUNCTION("IFERROR(VLOOKUP(AS209,IMPORTRANGE(""https://docs.google.com/spreadsheets/d/1juPI-Fb8LD0YtltB2mlGEnp_R3UVu1t3wSFPzgCyHXE/edit?gid=0#gid=0"",""GERAL!A2:C""),3,0),""-"")"),"CAMPO")</f>
        <v>CAMPO</v>
      </c>
      <c r="Q209" s="98" t="s">
        <v>171</v>
      </c>
      <c r="R209" s="98">
        <v>3.0</v>
      </c>
      <c r="S209" s="98" t="s">
        <v>171</v>
      </c>
      <c r="T209" s="98" t="s">
        <v>171</v>
      </c>
      <c r="U209" s="98" t="s">
        <v>171</v>
      </c>
      <c r="V209" s="98" t="s">
        <v>171</v>
      </c>
      <c r="W209" s="98" t="s">
        <v>171</v>
      </c>
      <c r="X209" s="98" t="s">
        <v>171</v>
      </c>
      <c r="Y209" s="98" t="s">
        <v>171</v>
      </c>
      <c r="Z209" s="98" t="s">
        <v>171</v>
      </c>
      <c r="AA209" s="98" t="s">
        <v>171</v>
      </c>
      <c r="AB209" s="98" t="s">
        <v>171</v>
      </c>
      <c r="AC209" s="98" t="s">
        <v>171</v>
      </c>
      <c r="AD209" s="98" t="s">
        <v>171</v>
      </c>
      <c r="AE209" s="98" t="s">
        <v>171</v>
      </c>
      <c r="AF209" s="98">
        <v>1.0</v>
      </c>
      <c r="AG209" s="98" t="s">
        <v>171</v>
      </c>
      <c r="AH209" s="98" t="s">
        <v>171</v>
      </c>
      <c r="AI209" s="98" t="s">
        <v>171</v>
      </c>
      <c r="AJ209" s="98" t="s">
        <v>171</v>
      </c>
      <c r="AK209" s="98" t="s">
        <v>171</v>
      </c>
      <c r="AL209" s="98" t="s">
        <v>171</v>
      </c>
      <c r="AM209" s="98" t="s">
        <v>171</v>
      </c>
      <c r="AN209" s="98" t="s">
        <v>171</v>
      </c>
      <c r="AO209" s="98" t="s">
        <v>171</v>
      </c>
      <c r="AP209" s="98">
        <v>1.0</v>
      </c>
      <c r="AQ209" s="98" t="s">
        <v>947</v>
      </c>
      <c r="AR209" s="102">
        <v>46225.0</v>
      </c>
      <c r="AS209" s="83">
        <v>1178962.0</v>
      </c>
    </row>
    <row r="210" ht="15.75" customHeight="1">
      <c r="A210" s="111" t="s">
        <v>285</v>
      </c>
      <c r="B210" s="83" t="s">
        <v>950</v>
      </c>
      <c r="C210" s="83" t="s">
        <v>68</v>
      </c>
      <c r="D210" s="112">
        <v>1178029.0</v>
      </c>
      <c r="E210" s="83"/>
      <c r="F210" s="83">
        <v>2.9425123E7</v>
      </c>
      <c r="G210" s="91" t="str">
        <f>IFERROR(__xludf.DUMMYFUNCTION("XLOOKUP(AS210,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EDILSON JOAQUIM DOS SANTOS")</f>
        <v>COLÉGIO ESTADUAL DE TEMPO INTEGRAL EDILSON JOAQUIM DOS SANTOS</v>
      </c>
      <c r="H210" s="119" t="s">
        <v>951</v>
      </c>
      <c r="I210" s="91" t="s">
        <v>952</v>
      </c>
      <c r="J210" s="83" t="s">
        <v>149</v>
      </c>
      <c r="K210" s="83" t="s">
        <v>150</v>
      </c>
      <c r="L210" s="83" t="s">
        <v>151</v>
      </c>
      <c r="M210" s="98" t="s">
        <v>152</v>
      </c>
      <c r="N210" s="98" t="s">
        <v>953</v>
      </c>
      <c r="O210" s="98" t="s">
        <v>176</v>
      </c>
      <c r="P210" s="99" t="str">
        <f>IFERROR(__xludf.DUMMYFUNCTION("IFERROR(VLOOKUP(AS210,IMPORTRANGE(""https://docs.google.com/spreadsheets/d/1juPI-Fb8LD0YtltB2mlGEnp_R3UVu1t3wSFPzgCyHXE/edit?gid=0#gid=0"",""GERAL!A2:C""),3,0),""-"")"),"-")</f>
        <v>-</v>
      </c>
      <c r="Q210" s="101" t="s">
        <v>156</v>
      </c>
      <c r="R210" s="98">
        <v>19.0</v>
      </c>
      <c r="S210" s="98">
        <v>0.0</v>
      </c>
      <c r="T210" s="98">
        <v>0.0</v>
      </c>
      <c r="U210" s="98">
        <v>0.0</v>
      </c>
      <c r="V210" s="98">
        <v>0.0</v>
      </c>
      <c r="W210" s="98">
        <v>0.0</v>
      </c>
      <c r="X210" s="98">
        <v>0.0</v>
      </c>
      <c r="Y210" s="98">
        <v>0.0</v>
      </c>
      <c r="Z210" s="98">
        <v>1.0</v>
      </c>
      <c r="AA210" s="98">
        <v>0.0</v>
      </c>
      <c r="AB210" s="98">
        <v>1.0</v>
      </c>
      <c r="AC210" s="98">
        <v>0.0</v>
      </c>
      <c r="AD210" s="98">
        <v>0.0</v>
      </c>
      <c r="AE210" s="98">
        <v>0.0</v>
      </c>
      <c r="AF210" s="98">
        <v>1.0</v>
      </c>
      <c r="AG210" s="98">
        <v>0.0</v>
      </c>
      <c r="AH210" s="98">
        <v>0.0</v>
      </c>
      <c r="AI210" s="98">
        <v>0.0</v>
      </c>
      <c r="AJ210" s="98">
        <v>0.0</v>
      </c>
      <c r="AK210" s="98">
        <v>0.0</v>
      </c>
      <c r="AL210" s="98">
        <v>0.0</v>
      </c>
      <c r="AM210" s="98">
        <v>0.0</v>
      </c>
      <c r="AN210" s="98">
        <v>0.0</v>
      </c>
      <c r="AO210" s="98">
        <v>0.0</v>
      </c>
      <c r="AP210" s="98">
        <v>2.0</v>
      </c>
      <c r="AQ210" s="98" t="s">
        <v>954</v>
      </c>
      <c r="AR210" s="102">
        <v>46220.0</v>
      </c>
      <c r="AS210" s="83">
        <v>1178029.0</v>
      </c>
    </row>
    <row r="211" ht="15.75" customHeight="1">
      <c r="A211" s="111" t="s">
        <v>285</v>
      </c>
      <c r="B211" s="83" t="s">
        <v>955</v>
      </c>
      <c r="C211" s="83" t="s">
        <v>68</v>
      </c>
      <c r="D211" s="112">
        <v>1164491.0</v>
      </c>
      <c r="E211" s="83"/>
      <c r="F211" s="83">
        <v>2.9209994E7</v>
      </c>
      <c r="G211" s="91" t="str">
        <f>IFERROR(__xludf.DUMMYFUNCTION("XLOOKUP(AS211,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CASTRO ALVES")</f>
        <v>COLÉGIO ESTADUAL CASTRO ALVES</v>
      </c>
      <c r="H211" s="114" t="s">
        <v>956</v>
      </c>
      <c r="I211" s="91" t="s">
        <v>957</v>
      </c>
      <c r="J211" s="83" t="s">
        <v>149</v>
      </c>
      <c r="K211" s="83" t="s">
        <v>150</v>
      </c>
      <c r="L211" s="83" t="s">
        <v>151</v>
      </c>
      <c r="M211" s="83" t="s">
        <v>76</v>
      </c>
      <c r="N211" s="98" t="s">
        <v>958</v>
      </c>
      <c r="O211" s="98" t="s">
        <v>155</v>
      </c>
      <c r="P211" s="99" t="str">
        <f>IFERROR(__xludf.DUMMYFUNCTION("IFERROR(VLOOKUP(AS211,IMPORTRANGE(""https://docs.google.com/spreadsheets/d/1juPI-Fb8LD0YtltB2mlGEnp_R3UVu1t3wSFPzgCyHXE/edit?gid=0#gid=0"",""GERAL!A2:C""),3,0),""-"")"),"-")</f>
        <v>-</v>
      </c>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v>1164491.0</v>
      </c>
    </row>
    <row r="212" ht="15.75" customHeight="1">
      <c r="A212" s="111" t="s">
        <v>285</v>
      </c>
      <c r="B212" s="83" t="s">
        <v>955</v>
      </c>
      <c r="C212" s="83" t="s">
        <v>164</v>
      </c>
      <c r="D212" s="112">
        <v>1164491.0</v>
      </c>
      <c r="E212" s="83">
        <v>1178964.0</v>
      </c>
      <c r="F212" s="83"/>
      <c r="G212" s="91" t="str">
        <f>IFERROR(__xludf.DUMMYFUNCTION("XLOOKUP(AS212,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CASTRO ALVES- DISTRITO BREJO LUIZA DE BRITO")</f>
        <v>ANEXO - COLÉGIO ESTADUAL CASTRO ALVES- DISTRITO BREJO LUIZA DE BRITO</v>
      </c>
      <c r="H212" s="119" t="s">
        <v>959</v>
      </c>
      <c r="I212" s="91" t="s">
        <v>960</v>
      </c>
      <c r="J212" s="83" t="s">
        <v>149</v>
      </c>
      <c r="K212" s="83" t="s">
        <v>187</v>
      </c>
      <c r="L212" s="83" t="s">
        <v>168</v>
      </c>
      <c r="M212" s="83" t="s">
        <v>169</v>
      </c>
      <c r="N212" s="115" t="s">
        <v>170</v>
      </c>
      <c r="O212" s="98" t="s">
        <v>155</v>
      </c>
      <c r="P212" s="99" t="str">
        <f>IFERROR(__xludf.DUMMYFUNCTION("IFERROR(VLOOKUP(AS212,IMPORTRANGE(""https://docs.google.com/spreadsheets/d/1juPI-Fb8LD0YtltB2mlGEnp_R3UVu1t3wSFPzgCyHXE/edit?gid=0#gid=0"",""GERAL!A2:C""),3,0),""-"")"),"CAMPO")</f>
        <v>CAMPO</v>
      </c>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v>1178964.0</v>
      </c>
    </row>
    <row r="213" ht="15.75" customHeight="1">
      <c r="A213" s="111" t="s">
        <v>285</v>
      </c>
      <c r="B213" s="83" t="s">
        <v>955</v>
      </c>
      <c r="C213" s="83" t="s">
        <v>164</v>
      </c>
      <c r="D213" s="112">
        <v>1164491.0</v>
      </c>
      <c r="E213" s="83">
        <v>1178965.0</v>
      </c>
      <c r="F213" s="83"/>
      <c r="G213" s="91" t="str">
        <f>IFERROR(__xludf.DUMMYFUNCTION("XLOOKUP(AS213,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CASTRO ALVES - DISTRITO OLHOS DAGUA DO SERAFIM")</f>
        <v>ANEXO - COLÉGIO ESTADUAL CASTRO ALVES - DISTRITO OLHOS DAGUA DO SERAFIM</v>
      </c>
      <c r="H213" s="114" t="s">
        <v>961</v>
      </c>
      <c r="I213" s="91" t="s">
        <v>962</v>
      </c>
      <c r="J213" s="83" t="s">
        <v>149</v>
      </c>
      <c r="K213" s="83" t="s">
        <v>187</v>
      </c>
      <c r="L213" s="83" t="s">
        <v>151</v>
      </c>
      <c r="M213" s="83" t="s">
        <v>169</v>
      </c>
      <c r="N213" s="115" t="s">
        <v>170</v>
      </c>
      <c r="O213" s="98" t="s">
        <v>155</v>
      </c>
      <c r="P213" s="99" t="str">
        <f>IFERROR(__xludf.DUMMYFUNCTION("IFERROR(VLOOKUP(AS213,IMPORTRANGE(""https://docs.google.com/spreadsheets/d/1juPI-Fb8LD0YtltB2mlGEnp_R3UVu1t3wSFPzgCyHXE/edit?gid=0#gid=0"",""GERAL!A2:C""),3,0),""-"")"),"CAMPO")</f>
        <v>CAMPO</v>
      </c>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v>1178965.0</v>
      </c>
    </row>
    <row r="214" ht="15.75" customHeight="1">
      <c r="A214" s="111" t="s">
        <v>285</v>
      </c>
      <c r="B214" s="83" t="s">
        <v>955</v>
      </c>
      <c r="C214" s="83" t="s">
        <v>164</v>
      </c>
      <c r="D214" s="112">
        <v>1179283.0</v>
      </c>
      <c r="E214" s="83">
        <v>1179382.0</v>
      </c>
      <c r="F214" s="83"/>
      <c r="G214" s="91" t="str">
        <f>IFERROR(__xludf.DUMMYFUNCTION("XLOOKUP(AS214,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DE TAPERA")</f>
        <v>ANEXO - CEMIT - CHAPADA DIAMANTINA - POVOADO DE TAPERA</v>
      </c>
      <c r="H214" s="114" t="s">
        <v>963</v>
      </c>
      <c r="I214" s="91" t="s">
        <v>964</v>
      </c>
      <c r="J214" s="83" t="s">
        <v>149</v>
      </c>
      <c r="K214" s="83" t="s">
        <v>471</v>
      </c>
      <c r="L214" s="83" t="s">
        <v>168</v>
      </c>
      <c r="M214" s="83" t="s">
        <v>169</v>
      </c>
      <c r="N214" s="115" t="s">
        <v>170</v>
      </c>
      <c r="O214" s="98" t="s">
        <v>155</v>
      </c>
      <c r="P214" s="99" t="str">
        <f>IFERROR(__xludf.DUMMYFUNCTION("IFERROR(VLOOKUP(AS214,IMPORTRANGE(""https://docs.google.com/spreadsheets/d/1juPI-Fb8LD0YtltB2mlGEnp_R3UVu1t3wSFPzgCyHXE/edit?gid=0#gid=0"",""GERAL!A2:C""),3,0),""-"")"),"-")</f>
        <v>-</v>
      </c>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v>1179382.0</v>
      </c>
    </row>
    <row r="215" ht="15.75" customHeight="1">
      <c r="A215" s="111" t="s">
        <v>285</v>
      </c>
      <c r="B215" s="83" t="s">
        <v>955</v>
      </c>
      <c r="C215" s="83" t="s">
        <v>164</v>
      </c>
      <c r="D215" s="112">
        <v>1179283.0</v>
      </c>
      <c r="E215" s="83">
        <v>1179383.0</v>
      </c>
      <c r="F215" s="83"/>
      <c r="G215" s="91" t="str">
        <f>IFERROR(__xludf.DUMMYFUNCTION("XLOOKUP(AS215,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DAS MERCES")</f>
        <v>ANEXO - CEMIT - CHAPADA DIAMANTINA - POVOADO DAS MERCES</v>
      </c>
      <c r="H215" s="114" t="s">
        <v>965</v>
      </c>
      <c r="I215" s="91" t="s">
        <v>964</v>
      </c>
      <c r="J215" s="83" t="s">
        <v>149</v>
      </c>
      <c r="K215" s="83" t="s">
        <v>240</v>
      </c>
      <c r="L215" s="83" t="s">
        <v>168</v>
      </c>
      <c r="M215" s="83" t="s">
        <v>169</v>
      </c>
      <c r="N215" s="115" t="s">
        <v>170</v>
      </c>
      <c r="O215" s="98" t="s">
        <v>155</v>
      </c>
      <c r="P215" s="99" t="str">
        <f>IFERROR(__xludf.DUMMYFUNCTION("IFERROR(VLOOKUP(AS215,IMPORTRANGE(""https://docs.google.com/spreadsheets/d/1juPI-Fb8LD0YtltB2mlGEnp_R3UVu1t3wSFPzgCyHXE/edit?gid=0#gid=0"",""GERAL!A2:C""),3,0),""-"")"),"-")</f>
        <v>-</v>
      </c>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v>1179383.0</v>
      </c>
    </row>
    <row r="216" ht="15.75" customHeight="1">
      <c r="A216" s="111" t="s">
        <v>285</v>
      </c>
      <c r="B216" s="83" t="s">
        <v>966</v>
      </c>
      <c r="C216" s="83" t="s">
        <v>68</v>
      </c>
      <c r="D216" s="112">
        <v>1132565.0</v>
      </c>
      <c r="E216" s="83"/>
      <c r="F216" s="83">
        <v>2.9217768E7</v>
      </c>
      <c r="G216" s="91" t="str">
        <f>IFERROR(__xludf.DUMMYFUNCTION("XLOOKUP(AS216,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PALMEIRAS
(ANTIGO:PROFESSORA NILDE MARIA MONTEIRO XAVIER)")</f>
        <v>COLÉGIO ESTADUAL DE TEMPO INTEGRAL DE PALMEIRAS
(ANTIGO:PROFESSORA NILDE MARIA MONTEIRO XAVIER)</v>
      </c>
      <c r="H216" s="218" t="s">
        <v>967</v>
      </c>
      <c r="I216" s="91" t="s">
        <v>968</v>
      </c>
      <c r="J216" s="83" t="s">
        <v>149</v>
      </c>
      <c r="K216" s="83" t="s">
        <v>150</v>
      </c>
      <c r="L216" s="83" t="s">
        <v>168</v>
      </c>
      <c r="M216" s="83" t="s">
        <v>76</v>
      </c>
      <c r="N216" s="137" t="s">
        <v>969</v>
      </c>
      <c r="O216" s="98" t="s">
        <v>155</v>
      </c>
      <c r="P216" s="99" t="str">
        <f>IFERROR(__xludf.DUMMYFUNCTION("IFERROR(VLOOKUP(AS216,IMPORTRANGE(""https://docs.google.com/spreadsheets/d/1juPI-Fb8LD0YtltB2mlGEnp_R3UVu1t3wSFPzgCyHXE/edit?gid=0#gid=0"",""GERAL!A2:C""),3,0),""-"")"),"-")</f>
        <v>-</v>
      </c>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v>1132565.0</v>
      </c>
    </row>
    <row r="217" ht="15.75" customHeight="1">
      <c r="A217" s="111" t="s">
        <v>285</v>
      </c>
      <c r="B217" s="83" t="s">
        <v>966</v>
      </c>
      <c r="C217" s="83" t="s">
        <v>164</v>
      </c>
      <c r="D217" s="112">
        <v>1132565.0</v>
      </c>
      <c r="E217" s="83">
        <v>1178966.0</v>
      </c>
      <c r="F217" s="83"/>
      <c r="G217" s="91" t="str">
        <f>IFERROR(__xludf.DUMMYFUNCTION("XLOOKUP(AS217,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PROFESSORA NILDE MARIA MONTEIRO XAVIER - DISTRITO DE CAETEACU")</f>
        <v>ANEXO - COLÉGIO PROFESSORA NILDE MARIA MONTEIRO XAVIER - DISTRITO DE CAETEACU</v>
      </c>
      <c r="H217" s="119" t="s">
        <v>970</v>
      </c>
      <c r="I217" s="91" t="s">
        <v>971</v>
      </c>
      <c r="J217" s="83" t="s">
        <v>149</v>
      </c>
      <c r="K217" s="83" t="s">
        <v>751</v>
      </c>
      <c r="L217" s="83" t="s">
        <v>168</v>
      </c>
      <c r="M217" s="83" t="s">
        <v>169</v>
      </c>
      <c r="N217" s="115" t="s">
        <v>170</v>
      </c>
      <c r="O217" s="98" t="s">
        <v>155</v>
      </c>
      <c r="P217" s="99" t="str">
        <f>IFERROR(__xludf.DUMMYFUNCTION("IFERROR(VLOOKUP(AS217,IMPORTRANGE(""https://docs.google.com/spreadsheets/d/1juPI-Fb8LD0YtltB2mlGEnp_R3UVu1t3wSFPzgCyHXE/edit?gid=0#gid=0"",""GERAL!A2:C""),3,0),""-"")"),"-")</f>
        <v>-</v>
      </c>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v>1178966.0</v>
      </c>
    </row>
    <row r="218" ht="15.75" customHeight="1">
      <c r="A218" s="111" t="s">
        <v>285</v>
      </c>
      <c r="B218" s="83" t="s">
        <v>972</v>
      </c>
      <c r="C218" s="83" t="s">
        <v>68</v>
      </c>
      <c r="D218" s="112">
        <v>1179483.0</v>
      </c>
      <c r="E218" s="83"/>
      <c r="F218" s="83">
        <v>2.946787E7</v>
      </c>
      <c r="G218" s="91" t="str">
        <f>IFERROR(__xludf.DUMMYFUNCTION("XLOOKUP(AS218,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INÚBIA - DISTRITO DE INUBIA")</f>
        <v>COLÉGIO ESTADUAL DO CAMPO DE INÚBIA - DISTRITO DE INUBIA</v>
      </c>
      <c r="H218" s="119" t="s">
        <v>974</v>
      </c>
      <c r="I218" s="91" t="s">
        <v>975</v>
      </c>
      <c r="J218" s="83" t="s">
        <v>976</v>
      </c>
      <c r="K218" s="83" t="s">
        <v>331</v>
      </c>
      <c r="L218" s="83" t="s">
        <v>151</v>
      </c>
      <c r="M218" s="83" t="s">
        <v>169</v>
      </c>
      <c r="N218" s="98" t="s">
        <v>977</v>
      </c>
      <c r="O218" s="98" t="s">
        <v>155</v>
      </c>
      <c r="P218" s="99" t="str">
        <f>IFERROR(__xludf.DUMMYFUNCTION("IFERROR(VLOOKUP(AS218,IMPORTRANGE(""https://docs.google.com/spreadsheets/d/1juPI-Fb8LD0YtltB2mlGEnp_R3UVu1t3wSFPzgCyHXE/edit?gid=0#gid=0"",""GERAL!A2:C""),3,0),""-"")"),"CAMPO")</f>
        <v>CAMPO</v>
      </c>
      <c r="Q218" s="98" t="s">
        <v>171</v>
      </c>
      <c r="R218" s="98">
        <v>3.0</v>
      </c>
      <c r="S218" s="98" t="s">
        <v>171</v>
      </c>
      <c r="T218" s="98" t="s">
        <v>171</v>
      </c>
      <c r="U218" s="98" t="s">
        <v>171</v>
      </c>
      <c r="V218" s="98" t="s">
        <v>171</v>
      </c>
      <c r="W218" s="98" t="s">
        <v>171</v>
      </c>
      <c r="X218" s="98" t="s">
        <v>171</v>
      </c>
      <c r="Y218" s="98" t="s">
        <v>171</v>
      </c>
      <c r="Z218" s="98" t="s">
        <v>171</v>
      </c>
      <c r="AA218" s="98" t="s">
        <v>171</v>
      </c>
      <c r="AB218" s="98" t="s">
        <v>171</v>
      </c>
      <c r="AC218" s="98" t="s">
        <v>171</v>
      </c>
      <c r="AD218" s="98" t="s">
        <v>171</v>
      </c>
      <c r="AE218" s="98" t="s">
        <v>171</v>
      </c>
      <c r="AF218" s="98" t="s">
        <v>171</v>
      </c>
      <c r="AG218" s="98" t="s">
        <v>171</v>
      </c>
      <c r="AH218" s="98" t="s">
        <v>171</v>
      </c>
      <c r="AI218" s="98" t="s">
        <v>171</v>
      </c>
      <c r="AJ218" s="98" t="s">
        <v>171</v>
      </c>
      <c r="AK218" s="98" t="s">
        <v>171</v>
      </c>
      <c r="AL218" s="98" t="s">
        <v>171</v>
      </c>
      <c r="AM218" s="98" t="s">
        <v>171</v>
      </c>
      <c r="AN218" s="98" t="s">
        <v>171</v>
      </c>
      <c r="AO218" s="98" t="s">
        <v>171</v>
      </c>
      <c r="AP218" s="98">
        <v>1.0</v>
      </c>
      <c r="AQ218" s="98" t="s">
        <v>978</v>
      </c>
      <c r="AR218" s="102">
        <v>46225.0</v>
      </c>
      <c r="AS218" s="83">
        <v>1179483.0</v>
      </c>
    </row>
    <row r="219" ht="15.75" customHeight="1">
      <c r="A219" s="111" t="s">
        <v>285</v>
      </c>
      <c r="B219" s="83" t="s">
        <v>972</v>
      </c>
      <c r="C219" s="83" t="s">
        <v>68</v>
      </c>
      <c r="D219" s="112">
        <v>1179708.0</v>
      </c>
      <c r="E219" s="83"/>
      <c r="F219" s="98">
        <v>2.9483891E7</v>
      </c>
      <c r="G219" s="91" t="str">
        <f>IFERROR(__xludf.DUMMYFUNCTION("XLOOKUP(AS219,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CABRALIA - DISTRITO DE CABRALIA")</f>
        <v>COLÉGIO ESTADUAL DO CAMPO DE CABRALIA - DISTRITO DE CABRALIA</v>
      </c>
      <c r="H219" s="114" t="s">
        <v>979</v>
      </c>
      <c r="I219" s="91" t="s">
        <v>980</v>
      </c>
      <c r="J219" s="136" t="s">
        <v>981</v>
      </c>
      <c r="K219" s="98" t="s">
        <v>464</v>
      </c>
      <c r="L219" s="98" t="s">
        <v>151</v>
      </c>
      <c r="M219" s="83" t="s">
        <v>169</v>
      </c>
      <c r="N219" s="98" t="s">
        <v>982</v>
      </c>
      <c r="O219" s="98" t="s">
        <v>155</v>
      </c>
      <c r="P219" s="99" t="str">
        <f>IFERROR(__xludf.DUMMYFUNCTION("IFERROR(VLOOKUP(AS219,IMPORTRANGE(""https://docs.google.com/spreadsheets/d/1juPI-Fb8LD0YtltB2mlGEnp_R3UVu1t3wSFPzgCyHXE/edit?gid=0#gid=0"",""GERAL!A2:C""),3,0),""-"")"),"-")</f>
        <v>-</v>
      </c>
      <c r="Q219" s="101" t="s">
        <v>156</v>
      </c>
      <c r="R219" s="98">
        <v>4.0</v>
      </c>
      <c r="S219" s="98">
        <v>0.0</v>
      </c>
      <c r="T219" s="98">
        <v>0.0</v>
      </c>
      <c r="U219" s="98">
        <v>0.0</v>
      </c>
      <c r="V219" s="98">
        <v>0.0</v>
      </c>
      <c r="W219" s="98">
        <v>0.0</v>
      </c>
      <c r="X219" s="98">
        <v>0.0</v>
      </c>
      <c r="Y219" s="98">
        <v>1.0</v>
      </c>
      <c r="Z219" s="98">
        <v>0.0</v>
      </c>
      <c r="AA219" s="98">
        <v>0.0</v>
      </c>
      <c r="AB219" s="98">
        <v>0.0</v>
      </c>
      <c r="AC219" s="98">
        <v>0.0</v>
      </c>
      <c r="AD219" s="98">
        <v>0.0</v>
      </c>
      <c r="AE219" s="98">
        <v>0.0</v>
      </c>
      <c r="AF219" s="98">
        <v>0.0</v>
      </c>
      <c r="AG219" s="98">
        <v>0.0</v>
      </c>
      <c r="AH219" s="98">
        <v>0.0</v>
      </c>
      <c r="AI219" s="98">
        <v>0.0</v>
      </c>
      <c r="AJ219" s="98">
        <v>0.0</v>
      </c>
      <c r="AK219" s="98">
        <v>0.0</v>
      </c>
      <c r="AL219" s="98">
        <v>0.0</v>
      </c>
      <c r="AM219" s="98">
        <v>0.0</v>
      </c>
      <c r="AN219" s="98">
        <v>0.0</v>
      </c>
      <c r="AO219" s="98">
        <v>0.0</v>
      </c>
      <c r="AP219" s="98">
        <v>0.0</v>
      </c>
      <c r="AQ219" s="83"/>
      <c r="AR219" s="102">
        <v>46225.0</v>
      </c>
      <c r="AS219" s="83">
        <v>1179708.0</v>
      </c>
    </row>
    <row r="220" ht="15.75" customHeight="1">
      <c r="A220" s="111" t="s">
        <v>285</v>
      </c>
      <c r="B220" s="83" t="s">
        <v>972</v>
      </c>
      <c r="C220" s="83" t="s">
        <v>68</v>
      </c>
      <c r="D220" s="112">
        <v>1132794.0</v>
      </c>
      <c r="E220" s="83"/>
      <c r="F220" s="83">
        <v>2.9218489E7</v>
      </c>
      <c r="G220" s="91" t="str">
        <f>IFERROR(__xludf.DUMMYFUNCTION("XLOOKUP(AS220,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CORONEL HORÁCIO DE MATOS")</f>
        <v>COLÉGIO ESTADUAL DE TEMPO INTEGRAL CORONEL HORÁCIO DE MATOS</v>
      </c>
      <c r="H220" s="119" t="s">
        <v>983</v>
      </c>
      <c r="I220" s="91" t="s">
        <v>984</v>
      </c>
      <c r="J220" s="83" t="s">
        <v>149</v>
      </c>
      <c r="K220" s="83" t="s">
        <v>150</v>
      </c>
      <c r="L220" s="83" t="s">
        <v>151</v>
      </c>
      <c r="M220" s="83" t="s">
        <v>76</v>
      </c>
      <c r="N220" s="98" t="s">
        <v>985</v>
      </c>
      <c r="O220" s="98" t="s">
        <v>284</v>
      </c>
      <c r="P220" s="99" t="str">
        <f>IFERROR(__xludf.DUMMYFUNCTION("IFERROR(VLOOKUP(AS220,IMPORTRANGE(""https://docs.google.com/spreadsheets/d/1juPI-Fb8LD0YtltB2mlGEnp_R3UVu1t3wSFPzgCyHXE/edit?gid=0#gid=0"",""GERAL!A2:C""),3,0),""-"")"),"-")</f>
        <v>-</v>
      </c>
      <c r="Q220" s="101" t="s">
        <v>156</v>
      </c>
      <c r="R220" s="98">
        <v>9.0</v>
      </c>
      <c r="S220" s="98">
        <v>0.0</v>
      </c>
      <c r="T220" s="98">
        <v>0.0</v>
      </c>
      <c r="U220" s="98">
        <v>0.0</v>
      </c>
      <c r="V220" s="98">
        <v>0.0</v>
      </c>
      <c r="W220" s="98">
        <v>1.0</v>
      </c>
      <c r="X220" s="98">
        <v>0.0</v>
      </c>
      <c r="Y220" s="98">
        <v>0.0</v>
      </c>
      <c r="Z220" s="98">
        <v>1.0</v>
      </c>
      <c r="AA220" s="98">
        <v>0.0</v>
      </c>
      <c r="AB220" s="98">
        <v>1.0</v>
      </c>
      <c r="AC220" s="98">
        <v>0.0</v>
      </c>
      <c r="AD220" s="98">
        <v>0.0</v>
      </c>
      <c r="AE220" s="98">
        <v>0.0</v>
      </c>
      <c r="AF220" s="98">
        <v>0.0</v>
      </c>
      <c r="AG220" s="98">
        <v>0.0</v>
      </c>
      <c r="AH220" s="98">
        <v>1.0</v>
      </c>
      <c r="AI220" s="98">
        <v>0.0</v>
      </c>
      <c r="AJ220" s="98">
        <v>1.0</v>
      </c>
      <c r="AK220" s="98">
        <v>0.0</v>
      </c>
      <c r="AL220" s="98">
        <v>0.0</v>
      </c>
      <c r="AM220" s="98">
        <v>0.0</v>
      </c>
      <c r="AN220" s="98">
        <v>0.0</v>
      </c>
      <c r="AO220" s="98">
        <v>0.0</v>
      </c>
      <c r="AP220" s="98">
        <v>1.0</v>
      </c>
      <c r="AQ220" s="98" t="s">
        <v>987</v>
      </c>
      <c r="AR220" s="102">
        <v>46225.0</v>
      </c>
      <c r="AS220" s="83">
        <v>1132794.0</v>
      </c>
    </row>
    <row r="221" ht="15.75" customHeight="1">
      <c r="A221" s="111" t="s">
        <v>285</v>
      </c>
      <c r="B221" s="83" t="s">
        <v>988</v>
      </c>
      <c r="C221" s="83" t="s">
        <v>68</v>
      </c>
      <c r="D221" s="112">
        <v>1167997.0</v>
      </c>
      <c r="E221" s="83"/>
      <c r="F221" s="83">
        <v>2.9219841E7</v>
      </c>
      <c r="G221" s="91" t="str">
        <f>IFERROR(__xludf.DUMMYFUNCTION("XLOOKUP(AS221,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MARCOLINO MOURA")</f>
        <v>COLÉGIO ESTADUAL DO CAMPO MARCOLINO MOURA</v>
      </c>
      <c r="H221" s="119" t="s">
        <v>989</v>
      </c>
      <c r="I221" s="91" t="s">
        <v>990</v>
      </c>
      <c r="J221" s="83" t="s">
        <v>991</v>
      </c>
      <c r="K221" s="83" t="s">
        <v>992</v>
      </c>
      <c r="L221" s="83" t="s">
        <v>151</v>
      </c>
      <c r="M221" s="83" t="s">
        <v>169</v>
      </c>
      <c r="N221" s="115" t="s">
        <v>993</v>
      </c>
      <c r="O221" s="98" t="s">
        <v>155</v>
      </c>
      <c r="P221" s="99" t="str">
        <f>IFERROR(__xludf.DUMMYFUNCTION("IFERROR(VLOOKUP(AS221,IMPORTRANGE(""https://docs.google.com/spreadsheets/d/1juPI-Fb8LD0YtltB2mlGEnp_R3UVu1t3wSFPzgCyHXE/edit?gid=0#gid=0"",""GERAL!A2:C""),3,0),""-"")"),"CAMPO")</f>
        <v>CAMPO</v>
      </c>
      <c r="Q221" s="101" t="s">
        <v>156</v>
      </c>
      <c r="R221" s="98">
        <v>4.0</v>
      </c>
      <c r="S221" s="98">
        <v>0.0</v>
      </c>
      <c r="T221" s="98">
        <v>0.0</v>
      </c>
      <c r="U221" s="98">
        <v>0.0</v>
      </c>
      <c r="V221" s="98">
        <v>0.0</v>
      </c>
      <c r="W221" s="98">
        <v>1.0</v>
      </c>
      <c r="X221" s="98">
        <v>0.0</v>
      </c>
      <c r="Y221" s="98">
        <v>0.0</v>
      </c>
      <c r="Z221" s="98">
        <v>0.0</v>
      </c>
      <c r="AA221" s="98">
        <v>0.0</v>
      </c>
      <c r="AB221" s="98">
        <v>0.0</v>
      </c>
      <c r="AC221" s="98">
        <v>0.0</v>
      </c>
      <c r="AD221" s="98">
        <v>0.0</v>
      </c>
      <c r="AE221" s="98">
        <v>0.0</v>
      </c>
      <c r="AF221" s="98">
        <v>0.0</v>
      </c>
      <c r="AG221" s="98">
        <v>1.0</v>
      </c>
      <c r="AH221" s="98">
        <v>0.0</v>
      </c>
      <c r="AI221" s="98">
        <v>0.0</v>
      </c>
      <c r="AJ221" s="98">
        <v>0.0</v>
      </c>
      <c r="AK221" s="98">
        <v>0.0</v>
      </c>
      <c r="AL221" s="98">
        <v>0.0</v>
      </c>
      <c r="AM221" s="98">
        <v>0.0</v>
      </c>
      <c r="AN221" s="98">
        <v>0.0</v>
      </c>
      <c r="AO221" s="98">
        <v>0.0</v>
      </c>
      <c r="AP221" s="98">
        <v>2.0</v>
      </c>
      <c r="AQ221" s="98" t="s">
        <v>994</v>
      </c>
      <c r="AR221" s="102">
        <v>46226.0</v>
      </c>
      <c r="AS221" s="83">
        <v>1167997.0</v>
      </c>
    </row>
    <row r="222" ht="15.75" customHeight="1">
      <c r="A222" s="111" t="s">
        <v>285</v>
      </c>
      <c r="B222" s="83" t="s">
        <v>988</v>
      </c>
      <c r="C222" s="83" t="s">
        <v>68</v>
      </c>
      <c r="D222" s="112">
        <v>1178261.0</v>
      </c>
      <c r="E222" s="83"/>
      <c r="F222" s="83">
        <v>2.9467403E7</v>
      </c>
      <c r="G222" s="91" t="str">
        <f>IFERROR(__xludf.DUMMYFUNCTION("XLOOKUP(AS222,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CARLOS SOUTO - TEMPO INTEGRAL")</f>
        <v>COLÉGIO ESTADUAL CARLOS SOUTO - TEMPO INTEGRAL</v>
      </c>
      <c r="H222" s="114" t="s">
        <v>995</v>
      </c>
      <c r="I222" s="91" t="s">
        <v>996</v>
      </c>
      <c r="J222" s="83" t="s">
        <v>149</v>
      </c>
      <c r="K222" s="83" t="s">
        <v>150</v>
      </c>
      <c r="L222" s="83" t="s">
        <v>151</v>
      </c>
      <c r="M222" s="83" t="s">
        <v>76</v>
      </c>
      <c r="N222" s="115" t="s">
        <v>997</v>
      </c>
      <c r="O222" s="98" t="s">
        <v>155</v>
      </c>
      <c r="P222" s="99" t="str">
        <f>IFERROR(__xludf.DUMMYFUNCTION("IFERROR(VLOOKUP(AS222,IMPORTRANGE(""https://docs.google.com/spreadsheets/d/1juPI-Fb8LD0YtltB2mlGEnp_R3UVu1t3wSFPzgCyHXE/edit?gid=0#gid=0"",""GERAL!A2:C""),3,0),""-"")"),"-")</f>
        <v>-</v>
      </c>
      <c r="Q222" s="101" t="s">
        <v>156</v>
      </c>
      <c r="R222" s="98">
        <v>7.0</v>
      </c>
      <c r="S222" s="98">
        <v>0.0</v>
      </c>
      <c r="T222" s="98">
        <v>0.0</v>
      </c>
      <c r="U222" s="98">
        <v>0.0</v>
      </c>
      <c r="V222" s="98">
        <v>1.0</v>
      </c>
      <c r="W222" s="98">
        <v>1.0</v>
      </c>
      <c r="X222" s="98">
        <v>0.0</v>
      </c>
      <c r="Y222" s="98">
        <v>1.0</v>
      </c>
      <c r="Z222" s="98">
        <v>0.0</v>
      </c>
      <c r="AA222" s="98">
        <v>0.0</v>
      </c>
      <c r="AB222" s="98">
        <v>0.0</v>
      </c>
      <c r="AC222" s="98">
        <v>0.0</v>
      </c>
      <c r="AD222" s="98">
        <v>0.0</v>
      </c>
      <c r="AE222" s="98">
        <v>0.0</v>
      </c>
      <c r="AF222" s="98">
        <v>0.0</v>
      </c>
      <c r="AG222" s="98">
        <v>1.0</v>
      </c>
      <c r="AH222" s="98">
        <v>0.0</v>
      </c>
      <c r="AI222" s="98">
        <v>0.0</v>
      </c>
      <c r="AJ222" s="98">
        <v>0.0</v>
      </c>
      <c r="AK222" s="98">
        <v>0.0</v>
      </c>
      <c r="AL222" s="98">
        <v>0.0</v>
      </c>
      <c r="AM222" s="98">
        <v>0.0</v>
      </c>
      <c r="AN222" s="98">
        <v>0.0</v>
      </c>
      <c r="AO222" s="98">
        <v>0.0</v>
      </c>
      <c r="AP222" s="98">
        <v>0.0</v>
      </c>
      <c r="AQ222" s="98" t="s">
        <v>998</v>
      </c>
      <c r="AR222" s="102">
        <v>46226.0</v>
      </c>
      <c r="AS222" s="83">
        <v>1178261.0</v>
      </c>
    </row>
    <row r="223" ht="15.75" customHeight="1">
      <c r="A223" s="111" t="s">
        <v>285</v>
      </c>
      <c r="B223" s="83" t="s">
        <v>988</v>
      </c>
      <c r="C223" s="83" t="s">
        <v>164</v>
      </c>
      <c r="D223" s="112">
        <v>1178261.0</v>
      </c>
      <c r="E223" s="83">
        <v>1179649.0</v>
      </c>
      <c r="F223" s="83"/>
      <c r="G223" s="91" t="str">
        <f>IFERROR(__xludf.DUMMYFUNCTION("XLOOKUP(AS223,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CARLOS SOUTO - DISTRITO ARAPIRANGA")</f>
        <v>ANEXO - COLÉGIO ESTADUAL CARLOS SOUTO - DISTRITO ARAPIRANGA</v>
      </c>
      <c r="H223" s="114" t="s">
        <v>999</v>
      </c>
      <c r="I223" s="91" t="s">
        <v>1000</v>
      </c>
      <c r="J223" s="83" t="s">
        <v>1001</v>
      </c>
      <c r="K223" s="136" t="s">
        <v>992</v>
      </c>
      <c r="L223" s="83" t="s">
        <v>151</v>
      </c>
      <c r="M223" s="83" t="s">
        <v>169</v>
      </c>
      <c r="N223" s="115" t="s">
        <v>170</v>
      </c>
      <c r="O223" s="98" t="s">
        <v>155</v>
      </c>
      <c r="P223" s="99" t="str">
        <f>IFERROR(__xludf.DUMMYFUNCTION("IFERROR(VLOOKUP(AS223,IMPORTRANGE(""https://docs.google.com/spreadsheets/d/1juPI-Fb8LD0YtltB2mlGEnp_R3UVu1t3wSFPzgCyHXE/edit?gid=0#gid=0"",""GERAL!A2:C""),3,0),""-"")"),"CAMPO")</f>
        <v>CAMPO</v>
      </c>
      <c r="Q223" s="101" t="s">
        <v>156</v>
      </c>
      <c r="R223" s="98">
        <v>3.0</v>
      </c>
      <c r="S223" s="98">
        <v>1.0</v>
      </c>
      <c r="T223" s="98">
        <v>0.0</v>
      </c>
      <c r="U223" s="98">
        <v>0.0</v>
      </c>
      <c r="V223" s="98">
        <v>1.0</v>
      </c>
      <c r="W223" s="98">
        <v>0.0</v>
      </c>
      <c r="X223" s="98">
        <v>1.0</v>
      </c>
      <c r="Y223" s="98">
        <v>0.0</v>
      </c>
      <c r="Z223" s="98">
        <v>0.0</v>
      </c>
      <c r="AA223" s="98">
        <v>0.0</v>
      </c>
      <c r="AB223" s="98">
        <v>0.0</v>
      </c>
      <c r="AC223" s="98">
        <v>0.0</v>
      </c>
      <c r="AD223" s="98">
        <v>0.0</v>
      </c>
      <c r="AE223" s="98">
        <v>0.0</v>
      </c>
      <c r="AF223" s="98">
        <v>0.0</v>
      </c>
      <c r="AG223" s="98">
        <v>1.0</v>
      </c>
      <c r="AH223" s="98">
        <v>0.0</v>
      </c>
      <c r="AI223" s="98">
        <v>0.0</v>
      </c>
      <c r="AJ223" s="98">
        <v>0.0</v>
      </c>
      <c r="AK223" s="98">
        <v>0.0</v>
      </c>
      <c r="AL223" s="98">
        <v>0.0</v>
      </c>
      <c r="AM223" s="98">
        <v>0.0</v>
      </c>
      <c r="AN223" s="98">
        <v>0.0</v>
      </c>
      <c r="AO223" s="98">
        <v>0.0</v>
      </c>
      <c r="AP223" s="98">
        <v>0.0</v>
      </c>
      <c r="AQ223" s="83"/>
      <c r="AR223" s="102">
        <v>46226.0</v>
      </c>
      <c r="AS223" s="83">
        <v>1179649.0</v>
      </c>
    </row>
    <row r="224" ht="15.75" customHeight="1">
      <c r="A224" s="111" t="s">
        <v>285</v>
      </c>
      <c r="B224" s="83" t="s">
        <v>988</v>
      </c>
      <c r="C224" s="83" t="s">
        <v>164</v>
      </c>
      <c r="D224" s="112">
        <v>1179283.0</v>
      </c>
      <c r="E224" s="83">
        <v>1178783.0</v>
      </c>
      <c r="F224" s="83"/>
      <c r="G224" s="91" t="str">
        <f>IFERROR(__xludf.DUMMYFUNCTION("XLOOKUP(AS224,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-DISTRITO JOAO VAZ")</f>
        <v>ANEXO - CEMIT - CHAPADA DIAMANTINA -DISTRITO JOAO VAZ</v>
      </c>
      <c r="H224" s="114" t="s">
        <v>1002</v>
      </c>
      <c r="I224" s="91" t="s">
        <v>1003</v>
      </c>
      <c r="J224" s="136" t="s">
        <v>1004</v>
      </c>
      <c r="K224" s="136" t="s">
        <v>1005</v>
      </c>
      <c r="L224" s="83" t="s">
        <v>168</v>
      </c>
      <c r="M224" s="83" t="s">
        <v>169</v>
      </c>
      <c r="N224" s="115" t="s">
        <v>170</v>
      </c>
      <c r="O224" s="98" t="s">
        <v>155</v>
      </c>
      <c r="P224" s="99" t="str">
        <f>IFERROR(__xludf.DUMMYFUNCTION("IFERROR(VLOOKUP(AS224,IMPORTRANGE(""https://docs.google.com/spreadsheets/d/1juPI-Fb8LD0YtltB2mlGEnp_R3UVu1t3wSFPzgCyHXE/edit?gid=0#gid=0"",""GERAL!A2:C""),3,0),""-"")"),"-")</f>
        <v>-</v>
      </c>
      <c r="Q224" s="98" t="s">
        <v>171</v>
      </c>
      <c r="R224" s="98">
        <v>3.0</v>
      </c>
      <c r="S224" s="98" t="s">
        <v>171</v>
      </c>
      <c r="T224" s="98" t="s">
        <v>171</v>
      </c>
      <c r="U224" s="98" t="s">
        <v>171</v>
      </c>
      <c r="V224" s="98" t="s">
        <v>171</v>
      </c>
      <c r="W224" s="98" t="s">
        <v>171</v>
      </c>
      <c r="X224" s="98" t="s">
        <v>171</v>
      </c>
      <c r="Y224" s="98" t="s">
        <v>171</v>
      </c>
      <c r="Z224" s="98" t="s">
        <v>171</v>
      </c>
      <c r="AA224" s="98" t="s">
        <v>171</v>
      </c>
      <c r="AB224" s="98" t="s">
        <v>171</v>
      </c>
      <c r="AC224" s="98" t="s">
        <v>171</v>
      </c>
      <c r="AD224" s="98" t="s">
        <v>171</v>
      </c>
      <c r="AE224" s="98" t="s">
        <v>171</v>
      </c>
      <c r="AF224" s="98" t="s">
        <v>171</v>
      </c>
      <c r="AG224" s="98" t="s">
        <v>171</v>
      </c>
      <c r="AH224" s="98" t="s">
        <v>171</v>
      </c>
      <c r="AI224" s="98" t="s">
        <v>171</v>
      </c>
      <c r="AJ224" s="98" t="s">
        <v>171</v>
      </c>
      <c r="AK224" s="98" t="s">
        <v>171</v>
      </c>
      <c r="AL224" s="98" t="s">
        <v>171</v>
      </c>
      <c r="AM224" s="98" t="s">
        <v>171</v>
      </c>
      <c r="AN224" s="98" t="s">
        <v>171</v>
      </c>
      <c r="AO224" s="98" t="s">
        <v>171</v>
      </c>
      <c r="AP224" s="98" t="s">
        <v>171</v>
      </c>
      <c r="AQ224" s="98" t="s">
        <v>171</v>
      </c>
      <c r="AR224" s="102">
        <v>46226.0</v>
      </c>
      <c r="AS224" s="83">
        <v>1178783.0</v>
      </c>
    </row>
    <row r="225" ht="15.75" customHeight="1">
      <c r="A225" s="111" t="s">
        <v>285</v>
      </c>
      <c r="B225" s="83" t="s">
        <v>988</v>
      </c>
      <c r="C225" s="83" t="s">
        <v>164</v>
      </c>
      <c r="D225" s="112">
        <v>1179283.0</v>
      </c>
      <c r="E225" s="83">
        <v>1178759.0</v>
      </c>
      <c r="F225" s="83"/>
      <c r="G225" s="91" t="str">
        <f>IFERROR(__xludf.DUMMYFUNCTION("XLOOKUP(AS225,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DISTRITO DE MATO GROSSO")</f>
        <v>ANEXO - CEMIT - CHAPADA DIAMANTINA - DISTRITO DE MATO GROSSO</v>
      </c>
      <c r="H225" s="114" t="s">
        <v>1006</v>
      </c>
      <c r="I225" s="91" t="s">
        <v>1007</v>
      </c>
      <c r="J225" s="136" t="s">
        <v>1008</v>
      </c>
      <c r="K225" s="136" t="s">
        <v>315</v>
      </c>
      <c r="L225" s="83" t="s">
        <v>168</v>
      </c>
      <c r="M225" s="83" t="s">
        <v>169</v>
      </c>
      <c r="N225" s="115" t="s">
        <v>170</v>
      </c>
      <c r="O225" s="98" t="s">
        <v>155</v>
      </c>
      <c r="P225" s="99" t="str">
        <f>IFERROR(__xludf.DUMMYFUNCTION("IFERROR(VLOOKUP(AS225,IMPORTRANGE(""https://docs.google.com/spreadsheets/d/1juPI-Fb8LD0YtltB2mlGEnp_R3UVu1t3wSFPzgCyHXE/edit?gid=0#gid=0"",""GERAL!A2:C""),3,0),""-"")"),"-")</f>
        <v>-</v>
      </c>
      <c r="Q225" s="98" t="s">
        <v>171</v>
      </c>
      <c r="R225" s="98">
        <v>3.0</v>
      </c>
      <c r="S225" s="98" t="s">
        <v>171</v>
      </c>
      <c r="T225" s="98" t="s">
        <v>171</v>
      </c>
      <c r="U225" s="98" t="s">
        <v>171</v>
      </c>
      <c r="V225" s="98" t="s">
        <v>171</v>
      </c>
      <c r="W225" s="98" t="s">
        <v>171</v>
      </c>
      <c r="X225" s="98" t="s">
        <v>171</v>
      </c>
      <c r="Y225" s="98" t="s">
        <v>171</v>
      </c>
      <c r="Z225" s="98" t="s">
        <v>171</v>
      </c>
      <c r="AA225" s="98" t="s">
        <v>171</v>
      </c>
      <c r="AB225" s="98" t="s">
        <v>171</v>
      </c>
      <c r="AC225" s="98" t="s">
        <v>171</v>
      </c>
      <c r="AD225" s="98" t="s">
        <v>171</v>
      </c>
      <c r="AE225" s="98" t="s">
        <v>171</v>
      </c>
      <c r="AF225" s="98" t="s">
        <v>171</v>
      </c>
      <c r="AG225" s="98" t="s">
        <v>171</v>
      </c>
      <c r="AH225" s="98" t="s">
        <v>171</v>
      </c>
      <c r="AI225" s="98" t="s">
        <v>171</v>
      </c>
      <c r="AJ225" s="98" t="s">
        <v>171</v>
      </c>
      <c r="AK225" s="98" t="s">
        <v>171</v>
      </c>
      <c r="AL225" s="98" t="s">
        <v>171</v>
      </c>
      <c r="AM225" s="98" t="s">
        <v>171</v>
      </c>
      <c r="AN225" s="98" t="s">
        <v>171</v>
      </c>
      <c r="AO225" s="98" t="s">
        <v>171</v>
      </c>
      <c r="AP225" s="98" t="s">
        <v>171</v>
      </c>
      <c r="AQ225" s="98" t="s">
        <v>171</v>
      </c>
      <c r="AR225" s="102">
        <v>46226.0</v>
      </c>
      <c r="AS225" s="83">
        <v>1178759.0</v>
      </c>
    </row>
    <row r="226" ht="15.75" customHeight="1">
      <c r="A226" s="111" t="s">
        <v>285</v>
      </c>
      <c r="B226" s="83" t="s">
        <v>1009</v>
      </c>
      <c r="C226" s="83" t="s">
        <v>45</v>
      </c>
      <c r="D226" s="98">
        <v>1179758.0</v>
      </c>
      <c r="E226" s="83"/>
      <c r="F226" s="83">
        <v>2.9577608E7</v>
      </c>
      <c r="G226" s="91" t="str">
        <f>IFERROR(__xludf.DUMMYFUNCTION("XLOOKUP(AS226,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DO TERRITORIO DA CHAPADA")</f>
        <v>ESCOLA FAMILIA AGRICOLA DO TERRITORIO DA CHAPADA</v>
      </c>
      <c r="H226" s="114" t="s">
        <v>1010</v>
      </c>
      <c r="I226" s="91" t="s">
        <v>1011</v>
      </c>
      <c r="J226" s="83" t="s">
        <v>149</v>
      </c>
      <c r="K226" s="83" t="s">
        <v>1012</v>
      </c>
      <c r="L226" s="83" t="s">
        <v>151</v>
      </c>
      <c r="M226" s="83" t="s">
        <v>152</v>
      </c>
      <c r="N226" s="115" t="s">
        <v>1013</v>
      </c>
      <c r="O226" s="98" t="s">
        <v>155</v>
      </c>
      <c r="P226" s="99" t="str">
        <f>IFERROR(__xludf.DUMMYFUNCTION("IFERROR(VLOOKUP(AS226,IMPORTRANGE(""https://docs.google.com/spreadsheets/d/1juPI-Fb8LD0YtltB2mlGEnp_R3UVu1t3wSFPzgCyHXE/edit?gid=0#gid=0"",""GERAL!A2:C""),3,0),""-"")"),"EFA")</f>
        <v>EFA</v>
      </c>
      <c r="Q226" s="98" t="s">
        <v>171</v>
      </c>
      <c r="R226" s="98">
        <v>3.0</v>
      </c>
      <c r="S226" s="115">
        <v>0.0</v>
      </c>
      <c r="T226" s="115">
        <v>0.0</v>
      </c>
      <c r="U226" s="115">
        <v>0.0</v>
      </c>
      <c r="V226" s="115">
        <v>1.0</v>
      </c>
      <c r="W226" s="115">
        <v>4.0</v>
      </c>
      <c r="X226" s="115">
        <v>1.0</v>
      </c>
      <c r="Y226" s="115">
        <v>0.0</v>
      </c>
      <c r="Z226" s="115">
        <v>0.0</v>
      </c>
      <c r="AA226" s="115">
        <v>1.0</v>
      </c>
      <c r="AB226" s="115">
        <v>0.0</v>
      </c>
      <c r="AC226" s="115">
        <v>1.0</v>
      </c>
      <c r="AD226" s="115">
        <v>0.0</v>
      </c>
      <c r="AE226" s="115">
        <v>0.0</v>
      </c>
      <c r="AF226" s="115">
        <v>0.0</v>
      </c>
      <c r="AG226" s="115">
        <v>0.0</v>
      </c>
      <c r="AH226" s="115">
        <v>0.0</v>
      </c>
      <c r="AI226" s="115">
        <v>1.0</v>
      </c>
      <c r="AJ226" s="115">
        <v>0.0</v>
      </c>
      <c r="AK226" s="115">
        <v>0.0</v>
      </c>
      <c r="AL226" s="115">
        <v>0.0</v>
      </c>
      <c r="AM226" s="115">
        <v>0.0</v>
      </c>
      <c r="AN226" s="115">
        <v>0.0</v>
      </c>
      <c r="AO226" s="115">
        <v>0.0</v>
      </c>
      <c r="AP226" s="115">
        <v>0.0</v>
      </c>
      <c r="AQ226" s="98" t="s">
        <v>1015</v>
      </c>
      <c r="AR226" s="102">
        <v>46231.0</v>
      </c>
      <c r="AS226" s="98">
        <v>1179758.0</v>
      </c>
    </row>
    <row r="227" ht="15.75" customHeight="1">
      <c r="A227" s="111" t="s">
        <v>285</v>
      </c>
      <c r="B227" s="83" t="s">
        <v>1009</v>
      </c>
      <c r="C227" s="83" t="s">
        <v>68</v>
      </c>
      <c r="D227" s="112">
        <v>1133022.0</v>
      </c>
      <c r="E227" s="83"/>
      <c r="F227" s="83">
        <v>2.9221307E7</v>
      </c>
      <c r="G227" s="91" t="str">
        <f>IFERROR(__xludf.DUMMYFUNCTION("XLOOKUP(AS227,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FILINTO JUSTINIANO BASTOS")</f>
        <v>COLÉGIO ESTADUAL DO CAMPO FILINTO JUSTINIANO BASTOS</v>
      </c>
      <c r="H227" s="119" t="s">
        <v>1016</v>
      </c>
      <c r="I227" s="108" t="s">
        <v>1017</v>
      </c>
      <c r="J227" s="83" t="s">
        <v>149</v>
      </c>
      <c r="K227" s="83" t="s">
        <v>150</v>
      </c>
      <c r="L227" s="83" t="s">
        <v>151</v>
      </c>
      <c r="M227" s="83" t="s">
        <v>169</v>
      </c>
      <c r="N227" s="171" t="s">
        <v>1018</v>
      </c>
      <c r="O227" s="98" t="s">
        <v>155</v>
      </c>
      <c r="P227" s="99" t="str">
        <f>IFERROR(__xludf.DUMMYFUNCTION("IFERROR(VLOOKUP(AS227,IMPORTRANGE(""https://docs.google.com/spreadsheets/d/1juPI-Fb8LD0YtltB2mlGEnp_R3UVu1t3wSFPzgCyHXE/edit?gid=0#gid=0"",""GERAL!A2:C""),3,0),""-"")"),"-")</f>
        <v>-</v>
      </c>
      <c r="Q227" s="101" t="s">
        <v>156</v>
      </c>
      <c r="R227" s="98">
        <v>3.0</v>
      </c>
      <c r="S227" s="98">
        <v>0.0</v>
      </c>
      <c r="T227" s="98">
        <v>0.0</v>
      </c>
      <c r="U227" s="98">
        <v>0.0</v>
      </c>
      <c r="V227" s="98">
        <v>0.0</v>
      </c>
      <c r="W227" s="98">
        <v>0.0</v>
      </c>
      <c r="X227" s="98">
        <v>0.0</v>
      </c>
      <c r="Y227" s="98">
        <v>0.0</v>
      </c>
      <c r="Z227" s="98">
        <v>0.0</v>
      </c>
      <c r="AA227" s="98">
        <v>0.0</v>
      </c>
      <c r="AB227" s="98">
        <v>0.0</v>
      </c>
      <c r="AC227" s="98">
        <v>0.0</v>
      </c>
      <c r="AD227" s="98">
        <v>0.0</v>
      </c>
      <c r="AE227" s="98">
        <v>0.0</v>
      </c>
      <c r="AF227" s="98">
        <v>0.0</v>
      </c>
      <c r="AG227" s="98">
        <v>0.0</v>
      </c>
      <c r="AH227" s="98">
        <v>0.0</v>
      </c>
      <c r="AI227" s="98">
        <v>0.0</v>
      </c>
      <c r="AJ227" s="98">
        <v>0.0</v>
      </c>
      <c r="AK227" s="98">
        <v>0.0</v>
      </c>
      <c r="AL227" s="98">
        <v>0.0</v>
      </c>
      <c r="AM227" s="98">
        <v>0.0</v>
      </c>
      <c r="AN227" s="98">
        <v>0.0</v>
      </c>
      <c r="AO227" s="98">
        <v>0.0</v>
      </c>
      <c r="AP227" s="98">
        <v>1.0</v>
      </c>
      <c r="AQ227" s="98" t="s">
        <v>1019</v>
      </c>
      <c r="AR227" s="102">
        <v>46231.0</v>
      </c>
      <c r="AS227" s="83">
        <v>1133022.0</v>
      </c>
    </row>
    <row r="228" ht="15.75" customHeight="1">
      <c r="A228" s="111" t="s">
        <v>285</v>
      </c>
      <c r="B228" s="83" t="s">
        <v>1009</v>
      </c>
      <c r="C228" s="83" t="s">
        <v>68</v>
      </c>
      <c r="D228" s="112">
        <v>1179283.0</v>
      </c>
      <c r="E228" s="83"/>
      <c r="F228" s="83">
        <v>2.9461502E7</v>
      </c>
      <c r="G228" s="91" t="str">
        <f>IFERROR(__xludf.DUMMYFUNCTION("XLOOKUP(AS228,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MÉDIO COM INTERMEDIAÇÃO TECNOLÓGICA-CEMIT DA CHAPADA DIAMANTINA")</f>
        <v>CENTRO REGIONAL DE ENSINO MÉDIO COM INTERMEDIAÇÃO TECNOLÓGICA-CEMIT DA CHAPADA DIAMANTINA</v>
      </c>
      <c r="H228" s="114" t="s">
        <v>1020</v>
      </c>
      <c r="I228" s="91" t="s">
        <v>1021</v>
      </c>
      <c r="J228" s="172" t="s">
        <v>149</v>
      </c>
      <c r="K228" s="83" t="s">
        <v>150</v>
      </c>
      <c r="L228" s="83" t="s">
        <v>1022</v>
      </c>
      <c r="M228" s="172" t="s">
        <v>230</v>
      </c>
      <c r="N228" s="115" t="s">
        <v>1023</v>
      </c>
      <c r="O228" s="98" t="s">
        <v>155</v>
      </c>
      <c r="P228" s="99" t="str">
        <f>IFERROR(__xludf.DUMMYFUNCTION("IFERROR(VLOOKUP(AS228,IMPORTRANGE(""https://docs.google.com/spreadsheets/d/1juPI-Fb8LD0YtltB2mlGEnp_R3UVu1t3wSFPzgCyHXE/edit?gid=0#gid=0"",""GERAL!A2:C""),3,0),""-"")"),"-")</f>
        <v>-</v>
      </c>
      <c r="Q228" s="101" t="s">
        <v>156</v>
      </c>
      <c r="R228" s="98" t="s">
        <v>171</v>
      </c>
      <c r="S228" s="98" t="s">
        <v>171</v>
      </c>
      <c r="T228" s="98" t="s">
        <v>171</v>
      </c>
      <c r="U228" s="98" t="s">
        <v>171</v>
      </c>
      <c r="V228" s="98" t="s">
        <v>171</v>
      </c>
      <c r="W228" s="98" t="s">
        <v>171</v>
      </c>
      <c r="X228" s="98" t="s">
        <v>171</v>
      </c>
      <c r="Y228" s="98" t="s">
        <v>171</v>
      </c>
      <c r="Z228" s="98" t="s">
        <v>171</v>
      </c>
      <c r="AA228" s="98" t="s">
        <v>171</v>
      </c>
      <c r="AB228" s="98" t="s">
        <v>171</v>
      </c>
      <c r="AC228" s="98" t="s">
        <v>171</v>
      </c>
      <c r="AD228" s="98" t="s">
        <v>171</v>
      </c>
      <c r="AE228" s="98" t="s">
        <v>171</v>
      </c>
      <c r="AF228" s="98" t="s">
        <v>171</v>
      </c>
      <c r="AG228" s="98" t="s">
        <v>171</v>
      </c>
      <c r="AH228" s="98" t="s">
        <v>171</v>
      </c>
      <c r="AI228" s="98" t="s">
        <v>171</v>
      </c>
      <c r="AJ228" s="98" t="s">
        <v>171</v>
      </c>
      <c r="AK228" s="98" t="s">
        <v>171</v>
      </c>
      <c r="AL228" s="98" t="s">
        <v>171</v>
      </c>
      <c r="AM228" s="98" t="s">
        <v>171</v>
      </c>
      <c r="AN228" s="98" t="s">
        <v>171</v>
      </c>
      <c r="AO228" s="98" t="s">
        <v>171</v>
      </c>
      <c r="AP228" s="98" t="s">
        <v>171</v>
      </c>
      <c r="AQ228" s="98" t="s">
        <v>171</v>
      </c>
      <c r="AR228" s="102">
        <v>46231.0</v>
      </c>
      <c r="AS228" s="83">
        <v>1179283.0</v>
      </c>
    </row>
    <row r="229" ht="15.75" customHeight="1">
      <c r="A229" s="111" t="s">
        <v>285</v>
      </c>
      <c r="B229" s="83" t="s">
        <v>1009</v>
      </c>
      <c r="C229" s="83" t="s">
        <v>68</v>
      </c>
      <c r="D229" s="112">
        <v>1133138.0</v>
      </c>
      <c r="E229" s="83"/>
      <c r="F229" s="83">
        <v>2.9220076E7</v>
      </c>
      <c r="G229" s="91" t="str">
        <f>IFERROR(__xludf.DUMMYFUNCTION("XLOOKUP(AS229,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DE SEABRA")</f>
        <v>CENTRO ESTADUAL DE EDUCAÇÃO PROFISSIONAL DE SEABRA</v>
      </c>
      <c r="H229" s="119" t="s">
        <v>1024</v>
      </c>
      <c r="I229" s="91" t="s">
        <v>1025</v>
      </c>
      <c r="J229" s="82" t="s">
        <v>149</v>
      </c>
      <c r="K229" s="83" t="s">
        <v>150</v>
      </c>
      <c r="L229" s="83" t="s">
        <v>151</v>
      </c>
      <c r="M229" s="82" t="s">
        <v>230</v>
      </c>
      <c r="N229" s="98" t="s">
        <v>1026</v>
      </c>
      <c r="O229" s="98" t="s">
        <v>176</v>
      </c>
      <c r="P229" s="99" t="str">
        <f>IFERROR(__xludf.DUMMYFUNCTION("IFERROR(VLOOKUP(AS229,IMPORTRANGE(""https://docs.google.com/spreadsheets/d/1juPI-Fb8LD0YtltB2mlGEnp_R3UVu1t3wSFPzgCyHXE/edit?gid=0#gid=0"",""GERAL!A2:C""),3,0),""-"")"),"-")</f>
        <v>-</v>
      </c>
      <c r="Q229" s="98" t="s">
        <v>171</v>
      </c>
      <c r="R229" s="98">
        <v>32.0</v>
      </c>
      <c r="S229" s="98">
        <v>1.0</v>
      </c>
      <c r="T229" s="98">
        <v>1.0</v>
      </c>
      <c r="U229" s="98">
        <v>0.0</v>
      </c>
      <c r="V229" s="98">
        <v>1.0</v>
      </c>
      <c r="W229" s="98">
        <v>2.0</v>
      </c>
      <c r="X229" s="98">
        <v>1.0</v>
      </c>
      <c r="Y229" s="98">
        <v>0.0</v>
      </c>
      <c r="Z229" s="98">
        <v>1.0</v>
      </c>
      <c r="AA229" s="98">
        <v>0.0</v>
      </c>
      <c r="AB229" s="98">
        <v>1.0</v>
      </c>
      <c r="AC229" s="98">
        <v>0.0</v>
      </c>
      <c r="AD229" s="98">
        <v>0.0</v>
      </c>
      <c r="AE229" s="98">
        <v>0.0</v>
      </c>
      <c r="AF229" s="98">
        <v>1.0</v>
      </c>
      <c r="AG229" s="98">
        <v>0.0</v>
      </c>
      <c r="AH229" s="98">
        <v>0.0</v>
      </c>
      <c r="AI229" s="98">
        <v>0.0</v>
      </c>
      <c r="AJ229" s="98">
        <v>1.0</v>
      </c>
      <c r="AK229" s="98">
        <v>0.0</v>
      </c>
      <c r="AL229" s="98">
        <v>0.0</v>
      </c>
      <c r="AM229" s="98">
        <v>0.0</v>
      </c>
      <c r="AN229" s="98">
        <v>0.0</v>
      </c>
      <c r="AO229" s="98">
        <v>1.0</v>
      </c>
      <c r="AP229" s="98">
        <v>0.0</v>
      </c>
      <c r="AQ229" s="98" t="s">
        <v>1028</v>
      </c>
      <c r="AR229" s="102">
        <v>46231.0</v>
      </c>
      <c r="AS229" s="83">
        <v>1133138.0</v>
      </c>
    </row>
    <row r="230" ht="15.75" customHeight="1">
      <c r="A230" s="111" t="s">
        <v>285</v>
      </c>
      <c r="B230" s="83" t="s">
        <v>1009</v>
      </c>
      <c r="C230" s="83" t="s">
        <v>68</v>
      </c>
      <c r="D230" s="98">
        <v>1179784.0</v>
      </c>
      <c r="E230" s="98"/>
      <c r="F230" s="98">
        <v>44171.0</v>
      </c>
      <c r="G230" s="91" t="str">
        <f>IFERROR(__xludf.DUMMYFUNCTION("XLOOKUP(AS230,
IMPORTRANGE(""https://docs.google.com/spreadsheets/d/1YM-djuOLXomrZ9W0B4TyIBsVWnXY4EIOFD9HY-qGfv0/edit?usp=sharing"",""GERAL!BG5:BG""),
IMPORTRANGE(""https://docs.google.com/spreadsheets/d/1YM-djuOLXomrZ9W0B4TyIBsVWnXY4EIOFD9HY-qGfv0/edit?u"&amp;"sp=sharing"",""GERAL!G5:G""),
""CÓD. SEC NÃO ENCONTRADO NA PLANILHA DE MATRÍCULA"")"),"CENTRO DE APOIO PEDAGÓGICO ESPECIALIZADO DA CHAPADA DIAMANTINA")</f>
        <v>CENTRO DE APOIO PEDAGÓGICO ESPECIALIZADO DA CHAPADA DIAMANTINA</v>
      </c>
      <c r="H230" s="119" t="s">
        <v>1029</v>
      </c>
      <c r="I230" s="108" t="s">
        <v>1030</v>
      </c>
      <c r="J230" s="83" t="s">
        <v>149</v>
      </c>
      <c r="K230" s="83" t="s">
        <v>150</v>
      </c>
      <c r="L230" s="83" t="s">
        <v>151</v>
      </c>
      <c r="M230" s="83" t="s">
        <v>230</v>
      </c>
      <c r="N230" s="98" t="s">
        <v>1031</v>
      </c>
      <c r="O230" s="98"/>
      <c r="P230" s="99" t="str">
        <f>IFERROR(__xludf.DUMMYFUNCTION("IFERROR(VLOOKUP(AS230,IMPORTRANGE(""https://docs.google.com/spreadsheets/d/1juPI-Fb8LD0YtltB2mlGEnp_R3UVu1t3wSFPzgCyHXE/edit?gid=0#gid=0"",""GERAL!A2:C""),3,0),""-"")"),"-")</f>
        <v>-</v>
      </c>
      <c r="Q230" s="101" t="s">
        <v>156</v>
      </c>
      <c r="R230" s="98" t="s">
        <v>171</v>
      </c>
      <c r="S230" s="98">
        <v>0.0</v>
      </c>
      <c r="T230" s="98">
        <v>1.0</v>
      </c>
      <c r="U230" s="98">
        <v>0.0</v>
      </c>
      <c r="V230" s="98">
        <v>1.0</v>
      </c>
      <c r="W230" s="98">
        <v>0.0</v>
      </c>
      <c r="X230" s="98">
        <v>0.0</v>
      </c>
      <c r="Y230" s="98">
        <v>0.0</v>
      </c>
      <c r="Z230" s="98">
        <v>0.0</v>
      </c>
      <c r="AA230" s="98">
        <v>0.0</v>
      </c>
      <c r="AB230" s="98">
        <v>0.0</v>
      </c>
      <c r="AC230" s="98">
        <v>0.0</v>
      </c>
      <c r="AD230" s="98">
        <v>0.0</v>
      </c>
      <c r="AE230" s="98">
        <v>0.0</v>
      </c>
      <c r="AF230" s="98">
        <v>0.0</v>
      </c>
      <c r="AG230" s="98">
        <v>1.0</v>
      </c>
      <c r="AH230" s="98">
        <v>0.0</v>
      </c>
      <c r="AI230" s="98">
        <v>0.0</v>
      </c>
      <c r="AJ230" s="98">
        <v>0.0</v>
      </c>
      <c r="AK230" s="98">
        <v>0.0</v>
      </c>
      <c r="AL230" s="98">
        <v>0.0</v>
      </c>
      <c r="AM230" s="98">
        <v>0.0</v>
      </c>
      <c r="AN230" s="98">
        <v>0.0</v>
      </c>
      <c r="AO230" s="98">
        <v>0.0</v>
      </c>
      <c r="AP230" s="98">
        <v>3.0</v>
      </c>
      <c r="AQ230" s="98" t="s">
        <v>1032</v>
      </c>
      <c r="AR230" s="102">
        <v>46231.0</v>
      </c>
      <c r="AS230" s="98">
        <v>1179784.0</v>
      </c>
    </row>
    <row r="231" ht="15.75" customHeight="1">
      <c r="A231" s="111" t="s">
        <v>285</v>
      </c>
      <c r="B231" s="83" t="s">
        <v>1009</v>
      </c>
      <c r="C231" s="83" t="s">
        <v>164</v>
      </c>
      <c r="D231" s="112">
        <v>1133022.0</v>
      </c>
      <c r="E231" s="83">
        <v>1178970.0</v>
      </c>
      <c r="F231" s="83"/>
      <c r="G231" s="91" t="str">
        <f>IFERROR(__xludf.DUMMYFUNCTION("XLOOKUP(AS231,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DO CAMPO FILINTO JUSTINIANO BASTOS- DISTRITO DE LAGOA DA BOA VISTA")</f>
        <v>ANEXO - COLEGIO ESTADUAL DO CAMPO FILINTO JUSTINIANO BASTOS- DISTRITO DE LAGOA DA BOA VISTA</v>
      </c>
      <c r="H231" s="119" t="s">
        <v>1033</v>
      </c>
      <c r="I231" s="91" t="s">
        <v>1034</v>
      </c>
      <c r="J231" s="172" t="s">
        <v>1035</v>
      </c>
      <c r="K231" s="83" t="s">
        <v>839</v>
      </c>
      <c r="L231" s="83" t="s">
        <v>151</v>
      </c>
      <c r="M231" s="83" t="s">
        <v>169</v>
      </c>
      <c r="N231" s="115" t="s">
        <v>170</v>
      </c>
      <c r="O231" s="98" t="s">
        <v>155</v>
      </c>
      <c r="P231" s="99" t="str">
        <f>IFERROR(__xludf.DUMMYFUNCTION("IFERROR(VLOOKUP(AS231,IMPORTRANGE(""https://docs.google.com/spreadsheets/d/1juPI-Fb8LD0YtltB2mlGEnp_R3UVu1t3wSFPzgCyHXE/edit?gid=0#gid=0"",""GERAL!A2:C""),3,0),""-"")"),"CAMPO")</f>
        <v>CAMPO</v>
      </c>
      <c r="Q231" s="98" t="s">
        <v>171</v>
      </c>
      <c r="R231" s="98">
        <v>3.0</v>
      </c>
      <c r="S231" s="98" t="s">
        <v>171</v>
      </c>
      <c r="T231" s="98" t="s">
        <v>171</v>
      </c>
      <c r="U231" s="98" t="s">
        <v>171</v>
      </c>
      <c r="V231" s="98" t="s">
        <v>171</v>
      </c>
      <c r="W231" s="98" t="s">
        <v>171</v>
      </c>
      <c r="X231" s="98" t="s">
        <v>171</v>
      </c>
      <c r="Y231" s="98" t="s">
        <v>171</v>
      </c>
      <c r="Z231" s="98" t="s">
        <v>171</v>
      </c>
      <c r="AA231" s="98" t="s">
        <v>171</v>
      </c>
      <c r="AB231" s="98" t="s">
        <v>171</v>
      </c>
      <c r="AC231" s="98" t="s">
        <v>171</v>
      </c>
      <c r="AD231" s="98" t="s">
        <v>171</v>
      </c>
      <c r="AE231" s="98" t="s">
        <v>171</v>
      </c>
      <c r="AF231" s="98">
        <v>1.0</v>
      </c>
      <c r="AG231" s="98" t="s">
        <v>171</v>
      </c>
      <c r="AH231" s="98" t="s">
        <v>171</v>
      </c>
      <c r="AI231" s="98" t="s">
        <v>171</v>
      </c>
      <c r="AJ231" s="98" t="s">
        <v>171</v>
      </c>
      <c r="AK231" s="98" t="s">
        <v>171</v>
      </c>
      <c r="AL231" s="98" t="s">
        <v>171</v>
      </c>
      <c r="AM231" s="98" t="s">
        <v>171</v>
      </c>
      <c r="AN231" s="98" t="s">
        <v>171</v>
      </c>
      <c r="AO231" s="98" t="s">
        <v>171</v>
      </c>
      <c r="AP231" s="98" t="s">
        <v>171</v>
      </c>
      <c r="AQ231" s="98" t="s">
        <v>171</v>
      </c>
      <c r="AR231" s="102">
        <v>46231.0</v>
      </c>
      <c r="AS231" s="83">
        <v>1178970.0</v>
      </c>
    </row>
    <row r="232" ht="15.75" customHeight="1">
      <c r="A232" s="111" t="s">
        <v>285</v>
      </c>
      <c r="B232" s="83" t="s">
        <v>1009</v>
      </c>
      <c r="C232" s="83" t="s">
        <v>164</v>
      </c>
      <c r="D232" s="112">
        <v>1133022.0</v>
      </c>
      <c r="E232" s="98">
        <v>1179781.0</v>
      </c>
      <c r="F232" s="83"/>
      <c r="G232" s="91" t="str">
        <f>IFERROR(__xludf.DUMMYFUNCTION("XLOOKUP(AS232,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DO CAMPO FILINTO JUSTINIANO BASTOS - POVOADO VÃO DAS PALMEIRAS")</f>
        <v>ANEXO - COLEGIO ESTADUAL DO CAMPO FILINTO JUSTINIANO BASTOS - POVOADO VÃO DAS PALMEIRAS</v>
      </c>
      <c r="H232" s="119" t="s">
        <v>1036</v>
      </c>
      <c r="I232" s="108" t="s">
        <v>1037</v>
      </c>
      <c r="J232" s="172"/>
      <c r="K232" s="83"/>
      <c r="L232" s="98" t="s">
        <v>168</v>
      </c>
      <c r="M232" s="98" t="s">
        <v>512</v>
      </c>
      <c r="N232" s="115" t="s">
        <v>170</v>
      </c>
      <c r="O232" s="98" t="s">
        <v>155</v>
      </c>
      <c r="P232" s="99" t="str">
        <f>IFERROR(__xludf.DUMMYFUNCTION("IFERROR(VLOOKUP(AS232,IMPORTRANGE(""https://docs.google.com/spreadsheets/d/1juPI-Fb8LD0YtltB2mlGEnp_R3UVu1t3wSFPzgCyHXE/edit?gid=0#gid=0"",""GERAL!A2:C""),3,0),""-"")"),"-")</f>
        <v>-</v>
      </c>
      <c r="Q232" s="98" t="s">
        <v>171</v>
      </c>
      <c r="R232" s="98">
        <v>1.0</v>
      </c>
      <c r="S232" s="98" t="s">
        <v>171</v>
      </c>
      <c r="T232" s="98" t="s">
        <v>171</v>
      </c>
      <c r="U232" s="98" t="s">
        <v>171</v>
      </c>
      <c r="V232" s="98" t="s">
        <v>171</v>
      </c>
      <c r="W232" s="98" t="s">
        <v>171</v>
      </c>
      <c r="X232" s="98" t="s">
        <v>171</v>
      </c>
      <c r="Y232" s="98" t="s">
        <v>171</v>
      </c>
      <c r="Z232" s="98" t="s">
        <v>171</v>
      </c>
      <c r="AA232" s="98" t="s">
        <v>171</v>
      </c>
      <c r="AB232" s="98" t="s">
        <v>171</v>
      </c>
      <c r="AC232" s="98" t="s">
        <v>171</v>
      </c>
      <c r="AD232" s="98" t="s">
        <v>171</v>
      </c>
      <c r="AE232" s="98" t="s">
        <v>171</v>
      </c>
      <c r="AF232" s="98" t="s">
        <v>171</v>
      </c>
      <c r="AG232" s="98" t="s">
        <v>171</v>
      </c>
      <c r="AH232" s="98" t="s">
        <v>171</v>
      </c>
      <c r="AI232" s="98" t="s">
        <v>171</v>
      </c>
      <c r="AJ232" s="98" t="s">
        <v>171</v>
      </c>
      <c r="AK232" s="98" t="s">
        <v>171</v>
      </c>
      <c r="AL232" s="98" t="s">
        <v>171</v>
      </c>
      <c r="AM232" s="98" t="s">
        <v>171</v>
      </c>
      <c r="AN232" s="98" t="s">
        <v>171</v>
      </c>
      <c r="AO232" s="98" t="s">
        <v>171</v>
      </c>
      <c r="AP232" s="98" t="s">
        <v>171</v>
      </c>
      <c r="AQ232" s="98" t="s">
        <v>171</v>
      </c>
      <c r="AR232" s="102">
        <v>46231.0</v>
      </c>
      <c r="AS232" s="98">
        <v>1179781.0</v>
      </c>
    </row>
    <row r="233" ht="15.75" customHeight="1">
      <c r="A233" s="111" t="s">
        <v>285</v>
      </c>
      <c r="B233" s="83" t="s">
        <v>1009</v>
      </c>
      <c r="C233" s="83" t="s">
        <v>164</v>
      </c>
      <c r="D233" s="112">
        <v>1133022.0</v>
      </c>
      <c r="E233" s="83">
        <v>1179703.0</v>
      </c>
      <c r="F233" s="83"/>
      <c r="G233" s="91" t="str">
        <f>IFERROR(__xludf.DUMMYFUNCTION("XLOOKUP(AS233,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DO CAMPO FILINTO JUSTINIANO BASTOS - POVOADO DE PALMEIRAS DOS MENDES")</f>
        <v>ANEXO - COLEGIO ESTADUAL DO CAMPO FILINTO JUSTINIANO BASTOS - POVOADO DE PALMEIRAS DOS MENDES</v>
      </c>
      <c r="H233" s="119" t="s">
        <v>1038</v>
      </c>
      <c r="I233" s="91" t="s">
        <v>1039</v>
      </c>
      <c r="J233" s="172" t="s">
        <v>149</v>
      </c>
      <c r="K233" s="172" t="s">
        <v>1040</v>
      </c>
      <c r="L233" s="83" t="s">
        <v>168</v>
      </c>
      <c r="M233" s="83" t="s">
        <v>169</v>
      </c>
      <c r="N233" s="115" t="s">
        <v>170</v>
      </c>
      <c r="O233" s="98" t="s">
        <v>155</v>
      </c>
      <c r="P233" s="99" t="str">
        <f>IFERROR(__xludf.DUMMYFUNCTION("IFERROR(VLOOKUP(AS233,IMPORTRANGE(""https://docs.google.com/spreadsheets/d/1juPI-Fb8LD0YtltB2mlGEnp_R3UVu1t3wSFPzgCyHXE/edit?gid=0#gid=0"",""GERAL!A2:C""),3,0),""-"")"),"CAMPO")</f>
        <v>CAMPO</v>
      </c>
      <c r="Q233" s="98" t="s">
        <v>171</v>
      </c>
      <c r="R233" s="98">
        <v>2.0</v>
      </c>
      <c r="S233" s="98" t="s">
        <v>171</v>
      </c>
      <c r="T233" s="98" t="s">
        <v>171</v>
      </c>
      <c r="U233" s="98" t="s">
        <v>171</v>
      </c>
      <c r="V233" s="98" t="s">
        <v>171</v>
      </c>
      <c r="W233" s="98" t="s">
        <v>171</v>
      </c>
      <c r="X233" s="98" t="s">
        <v>171</v>
      </c>
      <c r="Y233" s="98" t="s">
        <v>171</v>
      </c>
      <c r="Z233" s="98" t="s">
        <v>171</v>
      </c>
      <c r="AA233" s="98" t="s">
        <v>171</v>
      </c>
      <c r="AB233" s="98" t="s">
        <v>171</v>
      </c>
      <c r="AC233" s="98" t="s">
        <v>171</v>
      </c>
      <c r="AD233" s="98" t="s">
        <v>171</v>
      </c>
      <c r="AE233" s="98" t="s">
        <v>171</v>
      </c>
      <c r="AF233" s="98" t="s">
        <v>171</v>
      </c>
      <c r="AG233" s="98" t="s">
        <v>171</v>
      </c>
      <c r="AH233" s="98" t="s">
        <v>171</v>
      </c>
      <c r="AI233" s="98" t="s">
        <v>171</v>
      </c>
      <c r="AJ233" s="98" t="s">
        <v>171</v>
      </c>
      <c r="AK233" s="98" t="s">
        <v>171</v>
      </c>
      <c r="AL233" s="98" t="s">
        <v>171</v>
      </c>
      <c r="AM233" s="98" t="s">
        <v>171</v>
      </c>
      <c r="AN233" s="98" t="s">
        <v>171</v>
      </c>
      <c r="AO233" s="98" t="s">
        <v>171</v>
      </c>
      <c r="AP233" s="98" t="s">
        <v>171</v>
      </c>
      <c r="AQ233" s="98" t="s">
        <v>171</v>
      </c>
      <c r="AR233" s="102">
        <v>46231.0</v>
      </c>
      <c r="AS233" s="83">
        <v>1179703.0</v>
      </c>
    </row>
    <row r="234" ht="15.75" customHeight="1">
      <c r="A234" s="111" t="s">
        <v>285</v>
      </c>
      <c r="B234" s="83" t="s">
        <v>1009</v>
      </c>
      <c r="C234" s="83" t="s">
        <v>164</v>
      </c>
      <c r="D234" s="112">
        <v>1133022.0</v>
      </c>
      <c r="E234" s="98">
        <v>1179780.0</v>
      </c>
      <c r="F234" s="83"/>
      <c r="G234" s="91" t="str">
        <f>IFERROR(__xludf.DUMMYFUNCTION("XLOOKUP(AS234,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DO CAMPO FILINTO JUSTINIANO BASTOS - POVOADO DE ANGICO")</f>
        <v>ANEXO - COLEGIO ESTADUAL DO CAMPO FILINTO JUSTINIANO BASTOS - POVOADO DE ANGICO</v>
      </c>
      <c r="H234" s="119" t="s">
        <v>1041</v>
      </c>
      <c r="I234" s="108" t="s">
        <v>1042</v>
      </c>
      <c r="J234" s="172"/>
      <c r="K234" s="83"/>
      <c r="L234" s="83" t="s">
        <v>168</v>
      </c>
      <c r="M234" s="98" t="s">
        <v>512</v>
      </c>
      <c r="N234" s="115" t="s">
        <v>170</v>
      </c>
      <c r="O234" s="98" t="s">
        <v>155</v>
      </c>
      <c r="P234" s="99" t="str">
        <f>IFERROR(__xludf.DUMMYFUNCTION("IFERROR(VLOOKUP(AS234,IMPORTRANGE(""https://docs.google.com/spreadsheets/d/1juPI-Fb8LD0YtltB2mlGEnp_R3UVu1t3wSFPzgCyHXE/edit?gid=0#gid=0"",""GERAL!A2:C""),3,0),""-"")"),"-")</f>
        <v>-</v>
      </c>
      <c r="Q234" s="98" t="s">
        <v>171</v>
      </c>
      <c r="R234" s="98">
        <v>2.0</v>
      </c>
      <c r="S234" s="98" t="s">
        <v>171</v>
      </c>
      <c r="T234" s="98" t="s">
        <v>171</v>
      </c>
      <c r="U234" s="98" t="s">
        <v>171</v>
      </c>
      <c r="V234" s="98" t="s">
        <v>171</v>
      </c>
      <c r="W234" s="98" t="s">
        <v>171</v>
      </c>
      <c r="X234" s="98" t="s">
        <v>171</v>
      </c>
      <c r="Y234" s="98" t="s">
        <v>171</v>
      </c>
      <c r="Z234" s="98" t="s">
        <v>171</v>
      </c>
      <c r="AA234" s="98" t="s">
        <v>171</v>
      </c>
      <c r="AB234" s="98" t="s">
        <v>171</v>
      </c>
      <c r="AC234" s="98" t="s">
        <v>171</v>
      </c>
      <c r="AD234" s="98" t="s">
        <v>171</v>
      </c>
      <c r="AE234" s="98" t="s">
        <v>171</v>
      </c>
      <c r="AF234" s="98" t="s">
        <v>171</v>
      </c>
      <c r="AG234" s="98" t="s">
        <v>171</v>
      </c>
      <c r="AH234" s="98" t="s">
        <v>171</v>
      </c>
      <c r="AI234" s="98" t="s">
        <v>171</v>
      </c>
      <c r="AJ234" s="98" t="s">
        <v>171</v>
      </c>
      <c r="AK234" s="98" t="s">
        <v>171</v>
      </c>
      <c r="AL234" s="98" t="s">
        <v>171</v>
      </c>
      <c r="AM234" s="98" t="s">
        <v>171</v>
      </c>
      <c r="AN234" s="98" t="s">
        <v>171</v>
      </c>
      <c r="AO234" s="98" t="s">
        <v>171</v>
      </c>
      <c r="AP234" s="98" t="s">
        <v>171</v>
      </c>
      <c r="AQ234" s="98" t="s">
        <v>171</v>
      </c>
      <c r="AR234" s="102">
        <v>46231.0</v>
      </c>
      <c r="AS234" s="98">
        <v>1179780.0</v>
      </c>
    </row>
    <row r="235" ht="15.75" customHeight="1">
      <c r="A235" s="111" t="s">
        <v>285</v>
      </c>
      <c r="B235" s="83" t="s">
        <v>1043</v>
      </c>
      <c r="C235" s="83" t="s">
        <v>68</v>
      </c>
      <c r="D235" s="98">
        <v>1179793.0</v>
      </c>
      <c r="E235" s="83"/>
      <c r="F235" s="98">
        <v>44226.0</v>
      </c>
      <c r="G235" s="91" t="str">
        <f>IFERROR(__xludf.DUMMYFUNCTION("XLOOKUP(AS235,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PROFESSOR ADEMAR SOUZA OLIVEIRA")</f>
        <v>COLÉGIO ESTADUAL DO CAMPO DE TEMPO INTEGRAL PROFESSOR ADEMAR SOUZA OLIVEIRA</v>
      </c>
      <c r="H235" s="119" t="s">
        <v>1044</v>
      </c>
      <c r="I235" s="108" t="s">
        <v>1045</v>
      </c>
      <c r="J235" s="172" t="s">
        <v>1046</v>
      </c>
      <c r="K235" s="83" t="s">
        <v>890</v>
      </c>
      <c r="L235" s="83" t="s">
        <v>151</v>
      </c>
      <c r="M235" s="83" t="s">
        <v>169</v>
      </c>
      <c r="N235" s="98" t="s">
        <v>1047</v>
      </c>
      <c r="O235" s="98" t="s">
        <v>162</v>
      </c>
      <c r="P235" s="99" t="str">
        <f>IFERROR(__xludf.DUMMYFUNCTION("IFERROR(VLOOKUP(AS235,IMPORTRANGE(""https://docs.google.com/spreadsheets/d/1juPI-Fb8LD0YtltB2mlGEnp_R3UVu1t3wSFPzgCyHXE/edit?gid=0#gid=0"",""GERAL!A2:C""),3,0),""-"")"),"CAMPO")</f>
        <v>CAMPO</v>
      </c>
      <c r="Q235" s="101" t="s">
        <v>156</v>
      </c>
      <c r="R235" s="98">
        <v>5.0</v>
      </c>
      <c r="S235" s="98">
        <v>0.0</v>
      </c>
      <c r="T235" s="98">
        <v>2.0</v>
      </c>
      <c r="U235" s="98">
        <v>0.0</v>
      </c>
      <c r="V235" s="98">
        <v>1.0</v>
      </c>
      <c r="W235" s="98">
        <v>0.0</v>
      </c>
      <c r="X235" s="98">
        <v>0.0</v>
      </c>
      <c r="Y235" s="98">
        <v>1.0</v>
      </c>
      <c r="Z235" s="98">
        <v>1.0</v>
      </c>
      <c r="AA235" s="98">
        <v>0.0</v>
      </c>
      <c r="AB235" s="98">
        <v>1.0</v>
      </c>
      <c r="AC235" s="98">
        <v>0.0</v>
      </c>
      <c r="AD235" s="98">
        <v>0.0</v>
      </c>
      <c r="AE235" s="98">
        <v>0.0</v>
      </c>
      <c r="AF235" s="98">
        <v>1.0</v>
      </c>
      <c r="AG235" s="98">
        <v>0.0</v>
      </c>
      <c r="AH235" s="98">
        <v>0.0</v>
      </c>
      <c r="AI235" s="98">
        <v>0.0</v>
      </c>
      <c r="AJ235" s="98">
        <v>0.0</v>
      </c>
      <c r="AK235" s="98">
        <v>1.0</v>
      </c>
      <c r="AL235" s="98">
        <v>0.0</v>
      </c>
      <c r="AM235" s="98">
        <v>0.0</v>
      </c>
      <c r="AN235" s="98">
        <v>0.0</v>
      </c>
      <c r="AO235" s="98">
        <v>0.0</v>
      </c>
      <c r="AP235" s="98">
        <v>0.0</v>
      </c>
      <c r="AQ235" s="98" t="s">
        <v>1048</v>
      </c>
      <c r="AR235" s="102">
        <v>46216.0</v>
      </c>
      <c r="AS235" s="98">
        <v>1179793.0</v>
      </c>
    </row>
    <row r="236" ht="15.75" customHeight="1">
      <c r="A236" s="111" t="s">
        <v>285</v>
      </c>
      <c r="B236" s="83" t="s">
        <v>1043</v>
      </c>
      <c r="C236" s="83" t="s">
        <v>68</v>
      </c>
      <c r="D236" s="112">
        <v>1133235.0</v>
      </c>
      <c r="E236" s="83"/>
      <c r="F236" s="83">
        <v>2.9067391E7</v>
      </c>
      <c r="G236" s="91" t="str">
        <f>IFERROR(__xludf.DUMMYFUNCTION("XLOOKUP(AS236,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SOUTO SOARES")</f>
        <v>COLÉGIO ESTADUAL DE TEMPO INTEGRAL DE SOUTO SOARES</v>
      </c>
      <c r="H236" s="119" t="s">
        <v>1049</v>
      </c>
      <c r="I236" s="91" t="s">
        <v>1050</v>
      </c>
      <c r="J236" s="83" t="s">
        <v>149</v>
      </c>
      <c r="K236" s="83" t="s">
        <v>150</v>
      </c>
      <c r="L236" s="83" t="s">
        <v>151</v>
      </c>
      <c r="M236" s="83" t="s">
        <v>230</v>
      </c>
      <c r="N236" s="98" t="s">
        <v>1051</v>
      </c>
      <c r="O236" s="98" t="s">
        <v>162</v>
      </c>
      <c r="P236" s="99" t="str">
        <f>IFERROR(__xludf.DUMMYFUNCTION("IFERROR(VLOOKUP(AS236,IMPORTRANGE(""https://docs.google.com/spreadsheets/d/1juPI-Fb8LD0YtltB2mlGEnp_R3UVu1t3wSFPzgCyHXE/edit?gid=0#gid=0"",""GERAL!A2:C""),3,0),""-"")"),"-")</f>
        <v>-</v>
      </c>
      <c r="Q236" s="101" t="s">
        <v>156</v>
      </c>
      <c r="R236" s="98">
        <v>21.0</v>
      </c>
      <c r="S236" s="98">
        <v>0.0</v>
      </c>
      <c r="T236" s="98">
        <v>2.0</v>
      </c>
      <c r="U236" s="98">
        <v>0.0</v>
      </c>
      <c r="V236" s="98">
        <v>1.0</v>
      </c>
      <c r="W236" s="98">
        <v>3.0</v>
      </c>
      <c r="X236" s="98">
        <v>1.0</v>
      </c>
      <c r="Y236" s="98">
        <v>0.0</v>
      </c>
      <c r="Z236" s="98">
        <v>1.0</v>
      </c>
      <c r="AA236" s="98">
        <v>0.0</v>
      </c>
      <c r="AB236" s="98">
        <v>1.0</v>
      </c>
      <c r="AC236" s="98">
        <v>0.0</v>
      </c>
      <c r="AD236" s="98">
        <v>1.0</v>
      </c>
      <c r="AE236" s="98">
        <v>0.0</v>
      </c>
      <c r="AF236" s="98">
        <v>1.0</v>
      </c>
      <c r="AG236" s="98">
        <v>0.0</v>
      </c>
      <c r="AH236" s="98">
        <v>0.0</v>
      </c>
      <c r="AI236" s="98">
        <v>0.0</v>
      </c>
      <c r="AJ236" s="98">
        <v>0.0</v>
      </c>
      <c r="AK236" s="98">
        <v>1.0</v>
      </c>
      <c r="AL236" s="98">
        <v>0.0</v>
      </c>
      <c r="AM236" s="98">
        <v>0.0</v>
      </c>
      <c r="AN236" s="98">
        <v>0.0</v>
      </c>
      <c r="AO236" s="98">
        <v>0.0</v>
      </c>
      <c r="AP236" s="98">
        <v>0.0</v>
      </c>
      <c r="AQ236" s="98" t="s">
        <v>1052</v>
      </c>
      <c r="AR236" s="102">
        <v>46216.0</v>
      </c>
      <c r="AS236" s="83">
        <v>1133235.0</v>
      </c>
    </row>
    <row r="237" ht="15.75" customHeight="1">
      <c r="A237" s="111" t="s">
        <v>285</v>
      </c>
      <c r="B237" s="83" t="s">
        <v>1053</v>
      </c>
      <c r="C237" s="83" t="s">
        <v>68</v>
      </c>
      <c r="D237" s="112">
        <v>1178095.0</v>
      </c>
      <c r="E237" s="83"/>
      <c r="F237" s="83">
        <v>2.9428742E7</v>
      </c>
      <c r="G237" s="91" t="str">
        <f>IFERROR(__xludf.DUMMYFUNCTION("XLOOKUP(AS237,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ZENAIDE ALVES BARRETO")</f>
        <v>COLÉGIO ESTADUAL PROFESSORA ZENAIDE ALVES BARRETO</v>
      </c>
      <c r="H237" s="114" t="s">
        <v>1054</v>
      </c>
      <c r="I237" s="91" t="s">
        <v>1055</v>
      </c>
      <c r="J237" s="83" t="s">
        <v>149</v>
      </c>
      <c r="K237" s="83" t="s">
        <v>150</v>
      </c>
      <c r="L237" s="83" t="s">
        <v>151</v>
      </c>
      <c r="M237" s="83" t="s">
        <v>152</v>
      </c>
      <c r="N237" s="98" t="s">
        <v>1056</v>
      </c>
      <c r="O237" s="98" t="s">
        <v>155</v>
      </c>
      <c r="P237" s="99" t="str">
        <f>IFERROR(__xludf.DUMMYFUNCTION("IFERROR(VLOOKUP(AS237,IMPORTRANGE(""https://docs.google.com/spreadsheets/d/1juPI-Fb8LD0YtltB2mlGEnp_R3UVu1t3wSFPzgCyHXE/edit?gid=0#gid=0"",""GERAL!A2:C""),3,0),""-"")"),"-")</f>
        <v>-</v>
      </c>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v>1178095.0</v>
      </c>
    </row>
    <row r="238" ht="15.75" customHeight="1">
      <c r="A238" s="111" t="s">
        <v>285</v>
      </c>
      <c r="B238" s="83" t="s">
        <v>1053</v>
      </c>
      <c r="C238" s="83" t="s">
        <v>164</v>
      </c>
      <c r="D238" s="112">
        <v>1179283.0</v>
      </c>
      <c r="E238" s="83">
        <v>1178743.0</v>
      </c>
      <c r="F238" s="83"/>
      <c r="G238" s="91" t="str">
        <f>IFERROR(__xludf.DUMMYFUNCTION("XLOOKUP(AS238,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DE LAGOA BONITA")</f>
        <v>ANEXO - CEMIT - CHAPADA DIAMANTINA - POVOADO DE LAGOA BONITA</v>
      </c>
      <c r="H238" s="114" t="s">
        <v>1057</v>
      </c>
      <c r="I238" s="91" t="s">
        <v>1058</v>
      </c>
      <c r="J238" s="172" t="s">
        <v>1059</v>
      </c>
      <c r="K238" s="83" t="s">
        <v>315</v>
      </c>
      <c r="L238" s="83" t="s">
        <v>168</v>
      </c>
      <c r="M238" s="83" t="s">
        <v>169</v>
      </c>
      <c r="N238" s="115" t="s">
        <v>170</v>
      </c>
      <c r="O238" s="98" t="s">
        <v>155</v>
      </c>
      <c r="P238" s="99" t="str">
        <f>IFERROR(__xludf.DUMMYFUNCTION("IFERROR(VLOOKUP(AS238,IMPORTRANGE(""https://docs.google.com/spreadsheets/d/1juPI-Fb8LD0YtltB2mlGEnp_R3UVu1t3wSFPzgCyHXE/edit?gid=0#gid=0"",""GERAL!A2:C""),3,0),""-"")"),"-")</f>
        <v>-</v>
      </c>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v>1178743.0</v>
      </c>
    </row>
    <row r="239" ht="15.75" customHeight="1">
      <c r="A239" s="111" t="s">
        <v>285</v>
      </c>
      <c r="B239" s="83" t="s">
        <v>1053</v>
      </c>
      <c r="C239" s="83" t="s">
        <v>164</v>
      </c>
      <c r="D239" s="112">
        <v>1179283.0</v>
      </c>
      <c r="E239" s="83">
        <v>1178745.0</v>
      </c>
      <c r="F239" s="83"/>
      <c r="G239" s="91" t="str">
        <f>IFERROR(__xludf.DUMMYFUNCTION("XLOOKUP(AS239,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CHAPADA DIAMANTINA - POVOADO CABECEIRA DO RIO")</f>
        <v>ANEXO - CEMIT - CHAPADA DIAMANTINA - POVOADO CABECEIRA DO RIO</v>
      </c>
      <c r="H239" s="114" t="s">
        <v>1060</v>
      </c>
      <c r="I239" s="91" t="s">
        <v>1061</v>
      </c>
      <c r="J239" s="172" t="s">
        <v>1062</v>
      </c>
      <c r="K239" s="83" t="s">
        <v>694</v>
      </c>
      <c r="L239" s="83" t="s">
        <v>151</v>
      </c>
      <c r="M239" s="83" t="s">
        <v>169</v>
      </c>
      <c r="N239" s="115" t="s">
        <v>170</v>
      </c>
      <c r="O239" s="98" t="s">
        <v>155</v>
      </c>
      <c r="P239" s="99" t="str">
        <f>IFERROR(__xludf.DUMMYFUNCTION("IFERROR(VLOOKUP(AS239,IMPORTRANGE(""https://docs.google.com/spreadsheets/d/1juPI-Fb8LD0YtltB2mlGEnp_R3UVu1t3wSFPzgCyHXE/edit?gid=0#gid=0"",""GERAL!A2:C""),3,0),""-"")"),"-")</f>
        <v>-</v>
      </c>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v>1178745.0</v>
      </c>
    </row>
    <row r="240" ht="15.75" customHeight="1">
      <c r="A240" s="111" t="s">
        <v>285</v>
      </c>
      <c r="B240" s="83" t="s">
        <v>1063</v>
      </c>
      <c r="C240" s="83" t="s">
        <v>68</v>
      </c>
      <c r="D240" s="112">
        <v>1123876.0</v>
      </c>
      <c r="E240" s="83"/>
      <c r="F240" s="83">
        <v>2.9221943E7</v>
      </c>
      <c r="G240" s="91" t="str">
        <f>IFERROR(__xludf.DUMMYFUNCTION("XLOOKUP(AS240,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DA CHAPADA DIAMANTINA - TEMPO INTEGRAL")</f>
        <v>CENTRO TERRITORIAL DE EDUCAÇÃO PROFISSIONAL DA CHAPADA DIAMANTINA - TEMPO INTEGRAL</v>
      </c>
      <c r="H240" s="114" t="s">
        <v>1064</v>
      </c>
      <c r="I240" s="91" t="s">
        <v>777</v>
      </c>
      <c r="J240" s="83" t="s">
        <v>149</v>
      </c>
      <c r="K240" s="83" t="s">
        <v>150</v>
      </c>
      <c r="L240" s="83" t="s">
        <v>151</v>
      </c>
      <c r="M240" s="83" t="s">
        <v>230</v>
      </c>
      <c r="N240" s="98" t="s">
        <v>1065</v>
      </c>
      <c r="O240" s="98" t="s">
        <v>284</v>
      </c>
      <c r="P240" s="99" t="str">
        <f>IFERROR(__xludf.DUMMYFUNCTION("IFERROR(VLOOKUP(AS240,IMPORTRANGE(""https://docs.google.com/spreadsheets/d/1juPI-Fb8LD0YtltB2mlGEnp_R3UVu1t3wSFPzgCyHXE/edit?gid=0#gid=0"",""GERAL!A2:C""),3,0),""-"")"),"-")</f>
        <v>-</v>
      </c>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v>1123876.0</v>
      </c>
    </row>
    <row r="241" ht="15.75" customHeight="1">
      <c r="A241" s="111" t="s">
        <v>383</v>
      </c>
      <c r="B241" s="83" t="s">
        <v>1066</v>
      </c>
      <c r="C241" s="83" t="s">
        <v>68</v>
      </c>
      <c r="D241" s="112">
        <v>1115431.0</v>
      </c>
      <c r="E241" s="83"/>
      <c r="F241" s="83">
        <v>2.913571E7</v>
      </c>
      <c r="G241" s="91" t="str">
        <f>IFERROR(__xludf.DUMMYFUNCTION("XLOOKUP(AS241,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DE ARACI")</f>
        <v>CENTRO TERRITORIAL DE EDUCAÇÃO PROFISSIONAL DE ARACI</v>
      </c>
      <c r="H241" s="119" t="s">
        <v>1067</v>
      </c>
      <c r="I241" s="108" t="s">
        <v>1068</v>
      </c>
      <c r="J241" s="136" t="s">
        <v>149</v>
      </c>
      <c r="K241" s="83" t="s">
        <v>150</v>
      </c>
      <c r="L241" s="83" t="s">
        <v>151</v>
      </c>
      <c r="M241" s="83" t="s">
        <v>230</v>
      </c>
      <c r="N241" s="98" t="s">
        <v>1069</v>
      </c>
      <c r="O241" s="98" t="s">
        <v>162</v>
      </c>
      <c r="P241" s="99" t="str">
        <f>IFERROR(__xludf.DUMMYFUNCTION("IFERROR(VLOOKUP(AS241,IMPORTRANGE(""https://docs.google.com/spreadsheets/d/1juPI-Fb8LD0YtltB2mlGEnp_R3UVu1t3wSFPzgCyHXE/edit?gid=0#gid=0"",""GERAL!A2:C""),3,0),""-"")"),"-")</f>
        <v>-</v>
      </c>
      <c r="Q241" s="101" t="s">
        <v>156</v>
      </c>
      <c r="R241" s="98">
        <v>28.0</v>
      </c>
      <c r="S241" s="98">
        <v>1.0</v>
      </c>
      <c r="T241" s="98">
        <v>0.0</v>
      </c>
      <c r="U241" s="98">
        <v>0.0</v>
      </c>
      <c r="V241" s="98">
        <v>1.0</v>
      </c>
      <c r="W241" s="98">
        <v>7.0</v>
      </c>
      <c r="X241" s="98">
        <v>1.0</v>
      </c>
      <c r="Y241" s="98">
        <v>0.0</v>
      </c>
      <c r="Z241" s="98">
        <v>1.0</v>
      </c>
      <c r="AA241" s="98">
        <v>0.0</v>
      </c>
      <c r="AB241" s="98">
        <v>1.0</v>
      </c>
      <c r="AC241" s="98">
        <v>0.0</v>
      </c>
      <c r="AD241" s="98">
        <v>0.0</v>
      </c>
      <c r="AE241" s="98">
        <v>0.0</v>
      </c>
      <c r="AF241" s="98">
        <v>1.0</v>
      </c>
      <c r="AG241" s="98">
        <v>0.0</v>
      </c>
      <c r="AH241" s="98">
        <v>0.0</v>
      </c>
      <c r="AI241" s="98">
        <v>0.0</v>
      </c>
      <c r="AJ241" s="98">
        <v>0.0</v>
      </c>
      <c r="AK241" s="98">
        <v>1.0</v>
      </c>
      <c r="AL241" s="98">
        <v>0.0</v>
      </c>
      <c r="AM241" s="98">
        <v>0.0</v>
      </c>
      <c r="AN241" s="98">
        <v>0.0</v>
      </c>
      <c r="AO241" s="98">
        <v>1.0</v>
      </c>
      <c r="AP241" s="98">
        <v>0.0</v>
      </c>
      <c r="AQ241" s="98" t="s">
        <v>1070</v>
      </c>
      <c r="AR241" s="102">
        <v>46231.0</v>
      </c>
      <c r="AS241" s="83">
        <v>1115431.0</v>
      </c>
    </row>
    <row r="242" ht="15.75" customHeight="1">
      <c r="A242" s="111" t="s">
        <v>383</v>
      </c>
      <c r="B242" s="83" t="s">
        <v>1066</v>
      </c>
      <c r="C242" s="83" t="s">
        <v>164</v>
      </c>
      <c r="D242" s="112">
        <v>1179292.0</v>
      </c>
      <c r="E242" s="83">
        <v>1178410.0</v>
      </c>
      <c r="F242" s="83"/>
      <c r="G242" s="91" t="str">
        <f>IFERROR(__xludf.DUMMYFUNCTION("XLOOKUP(AS242,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SISAL - DISTRITO DE BARREIRA")</f>
        <v>ANEXO - CEMIT SISAL - DISTRITO DE BARREIRA</v>
      </c>
      <c r="H242" s="114" t="s">
        <v>1071</v>
      </c>
      <c r="I242" s="91" t="s">
        <v>1072</v>
      </c>
      <c r="J242" s="136" t="s">
        <v>1073</v>
      </c>
      <c r="K242" s="83" t="s">
        <v>1074</v>
      </c>
      <c r="L242" s="83" t="s">
        <v>1075</v>
      </c>
      <c r="M242" s="83" t="s">
        <v>169</v>
      </c>
      <c r="N242" s="115" t="s">
        <v>170</v>
      </c>
      <c r="O242" s="98" t="s">
        <v>155</v>
      </c>
      <c r="P242" s="99" t="str">
        <f>IFERROR(__xludf.DUMMYFUNCTION("IFERROR(VLOOKUP(AS242,IMPORTRANGE(""https://docs.google.com/spreadsheets/d/1juPI-Fb8LD0YtltB2mlGEnp_R3UVu1t3wSFPzgCyHXE/edit?gid=0#gid=0"",""GERAL!A2:C""),3,0),""-"")"),"-")</f>
        <v>-</v>
      </c>
      <c r="Q242" s="98" t="s">
        <v>171</v>
      </c>
      <c r="R242" s="98" t="s">
        <v>171</v>
      </c>
      <c r="S242" s="98" t="s">
        <v>171</v>
      </c>
      <c r="T242" s="98" t="s">
        <v>171</v>
      </c>
      <c r="U242" s="98" t="s">
        <v>171</v>
      </c>
      <c r="V242" s="98" t="s">
        <v>171</v>
      </c>
      <c r="W242" s="98" t="s">
        <v>171</v>
      </c>
      <c r="X242" s="98" t="s">
        <v>171</v>
      </c>
      <c r="Y242" s="98" t="s">
        <v>171</v>
      </c>
      <c r="Z242" s="98" t="s">
        <v>171</v>
      </c>
      <c r="AA242" s="98" t="s">
        <v>171</v>
      </c>
      <c r="AB242" s="98" t="s">
        <v>171</v>
      </c>
      <c r="AC242" s="98" t="s">
        <v>171</v>
      </c>
      <c r="AD242" s="98" t="s">
        <v>171</v>
      </c>
      <c r="AE242" s="98" t="s">
        <v>171</v>
      </c>
      <c r="AF242" s="98" t="s">
        <v>171</v>
      </c>
      <c r="AG242" s="98" t="s">
        <v>171</v>
      </c>
      <c r="AH242" s="98" t="s">
        <v>171</v>
      </c>
      <c r="AI242" s="98" t="s">
        <v>171</v>
      </c>
      <c r="AJ242" s="98" t="s">
        <v>171</v>
      </c>
      <c r="AK242" s="98" t="s">
        <v>171</v>
      </c>
      <c r="AL242" s="98" t="s">
        <v>171</v>
      </c>
      <c r="AM242" s="98" t="s">
        <v>171</v>
      </c>
      <c r="AN242" s="98" t="s">
        <v>171</v>
      </c>
      <c r="AO242" s="98" t="s">
        <v>171</v>
      </c>
      <c r="AP242" s="98" t="s">
        <v>171</v>
      </c>
      <c r="AQ242" s="98" t="s">
        <v>171</v>
      </c>
      <c r="AR242" s="102">
        <v>46231.0</v>
      </c>
      <c r="AS242" s="83">
        <v>1178410.0</v>
      </c>
    </row>
    <row r="243" ht="15.75" customHeight="1">
      <c r="A243" s="111" t="s">
        <v>383</v>
      </c>
      <c r="B243" s="83" t="s">
        <v>1066</v>
      </c>
      <c r="C243" s="83" t="s">
        <v>164</v>
      </c>
      <c r="D243" s="112">
        <v>1179292.0</v>
      </c>
      <c r="E243" s="98">
        <v>1179820.0</v>
      </c>
      <c r="F243" s="83"/>
      <c r="G243" s="91" t="str">
        <f>IFERROR(__xludf.DUMMYFUNCTION("XLOOKUP(AS243,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SISAL - DIST. DE PEDRA ALTA ")</f>
        <v>ANEXO - CEMIT SISAL - DIST. DE PEDRA ALTA </v>
      </c>
      <c r="H243" s="119" t="s">
        <v>1076</v>
      </c>
      <c r="I243" s="108" t="s">
        <v>1077</v>
      </c>
      <c r="J243" s="115" t="s">
        <v>1077</v>
      </c>
      <c r="K243" s="83"/>
      <c r="L243" s="98" t="s">
        <v>1078</v>
      </c>
      <c r="M243" s="83" t="s">
        <v>169</v>
      </c>
      <c r="N243" s="115" t="s">
        <v>170</v>
      </c>
      <c r="O243" s="98"/>
      <c r="P243" s="99" t="str">
        <f>IFERROR(__xludf.DUMMYFUNCTION("IFERROR(VLOOKUP(AS243,IMPORTRANGE(""https://docs.google.com/spreadsheets/d/1juPI-Fb8LD0YtltB2mlGEnp_R3UVu1t3wSFPzgCyHXE/edit?gid=0#gid=0"",""GERAL!A2:C""),3,0),""-"")"),"-")</f>
        <v>-</v>
      </c>
      <c r="Q243" s="98" t="s">
        <v>171</v>
      </c>
      <c r="R243" s="98" t="s">
        <v>171</v>
      </c>
      <c r="S243" s="98" t="s">
        <v>171</v>
      </c>
      <c r="T243" s="98" t="s">
        <v>171</v>
      </c>
      <c r="U243" s="98" t="s">
        <v>171</v>
      </c>
      <c r="V243" s="98" t="s">
        <v>171</v>
      </c>
      <c r="W243" s="98" t="s">
        <v>171</v>
      </c>
      <c r="X243" s="98" t="s">
        <v>171</v>
      </c>
      <c r="Y243" s="98" t="s">
        <v>171</v>
      </c>
      <c r="Z243" s="98" t="s">
        <v>171</v>
      </c>
      <c r="AA243" s="98" t="s">
        <v>171</v>
      </c>
      <c r="AB243" s="98" t="s">
        <v>171</v>
      </c>
      <c r="AC243" s="98" t="s">
        <v>171</v>
      </c>
      <c r="AD243" s="98" t="s">
        <v>171</v>
      </c>
      <c r="AE243" s="98" t="s">
        <v>171</v>
      </c>
      <c r="AF243" s="98" t="s">
        <v>171</v>
      </c>
      <c r="AG243" s="98" t="s">
        <v>171</v>
      </c>
      <c r="AH243" s="98" t="s">
        <v>171</v>
      </c>
      <c r="AI243" s="98" t="s">
        <v>171</v>
      </c>
      <c r="AJ243" s="98" t="s">
        <v>171</v>
      </c>
      <c r="AK243" s="98" t="s">
        <v>171</v>
      </c>
      <c r="AL243" s="98" t="s">
        <v>171</v>
      </c>
      <c r="AM243" s="98" t="s">
        <v>171</v>
      </c>
      <c r="AN243" s="98" t="s">
        <v>171</v>
      </c>
      <c r="AO243" s="98" t="s">
        <v>171</v>
      </c>
      <c r="AP243" s="98" t="s">
        <v>171</v>
      </c>
      <c r="AQ243" s="98" t="s">
        <v>171</v>
      </c>
      <c r="AR243" s="102">
        <v>46231.0</v>
      </c>
      <c r="AS243" s="98">
        <v>1179820.0</v>
      </c>
    </row>
    <row r="244" ht="15.75" customHeight="1">
      <c r="A244" s="111" t="s">
        <v>383</v>
      </c>
      <c r="B244" s="83" t="s">
        <v>1066</v>
      </c>
      <c r="C244" s="83" t="s">
        <v>164</v>
      </c>
      <c r="D244" s="112">
        <v>1179292.0</v>
      </c>
      <c r="E244" s="83">
        <v>1179353.0</v>
      </c>
      <c r="F244" s="83"/>
      <c r="G244" s="91" t="str">
        <f>IFERROR(__xludf.DUMMYFUNCTION("XLOOKUP(AS244,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SEM FREIO")</f>
        <v>ANEXO - CEMIT - SISAL - POVOADO SEM FREIO</v>
      </c>
      <c r="H244" s="114" t="s">
        <v>1079</v>
      </c>
      <c r="I244" s="91" t="s">
        <v>1080</v>
      </c>
      <c r="J244" s="136" t="s">
        <v>1081</v>
      </c>
      <c r="K244" s="83" t="s">
        <v>992</v>
      </c>
      <c r="L244" s="83" t="s">
        <v>168</v>
      </c>
      <c r="M244" s="83" t="s">
        <v>169</v>
      </c>
      <c r="N244" s="115" t="s">
        <v>170</v>
      </c>
      <c r="O244" s="98" t="s">
        <v>155</v>
      </c>
      <c r="P244" s="99" t="str">
        <f>IFERROR(__xludf.DUMMYFUNCTION("IFERROR(VLOOKUP(AS244,IMPORTRANGE(""https://docs.google.com/spreadsheets/d/1juPI-Fb8LD0YtltB2mlGEnp_R3UVu1t3wSFPzgCyHXE/edit?gid=0#gid=0"",""GERAL!A2:C""),3,0),""-"")"),"-")</f>
        <v>-</v>
      </c>
      <c r="Q244" s="98" t="s">
        <v>171</v>
      </c>
      <c r="R244" s="98" t="s">
        <v>171</v>
      </c>
      <c r="S244" s="98" t="s">
        <v>171</v>
      </c>
      <c r="T244" s="98" t="s">
        <v>171</v>
      </c>
      <c r="U244" s="98" t="s">
        <v>171</v>
      </c>
      <c r="V244" s="98" t="s">
        <v>171</v>
      </c>
      <c r="W244" s="98" t="s">
        <v>171</v>
      </c>
      <c r="X244" s="98" t="s">
        <v>171</v>
      </c>
      <c r="Y244" s="98" t="s">
        <v>171</v>
      </c>
      <c r="Z244" s="98" t="s">
        <v>171</v>
      </c>
      <c r="AA244" s="98" t="s">
        <v>171</v>
      </c>
      <c r="AB244" s="98" t="s">
        <v>171</v>
      </c>
      <c r="AC244" s="98" t="s">
        <v>171</v>
      </c>
      <c r="AD244" s="98" t="s">
        <v>171</v>
      </c>
      <c r="AE244" s="98" t="s">
        <v>171</v>
      </c>
      <c r="AF244" s="98" t="s">
        <v>171</v>
      </c>
      <c r="AG244" s="98" t="s">
        <v>171</v>
      </c>
      <c r="AH244" s="98" t="s">
        <v>171</v>
      </c>
      <c r="AI244" s="98" t="s">
        <v>171</v>
      </c>
      <c r="AJ244" s="98" t="s">
        <v>171</v>
      </c>
      <c r="AK244" s="98" t="s">
        <v>171</v>
      </c>
      <c r="AL244" s="98" t="s">
        <v>171</v>
      </c>
      <c r="AM244" s="98" t="s">
        <v>171</v>
      </c>
      <c r="AN244" s="98" t="s">
        <v>171</v>
      </c>
      <c r="AO244" s="98" t="s">
        <v>171</v>
      </c>
      <c r="AP244" s="98" t="s">
        <v>171</v>
      </c>
      <c r="AQ244" s="98" t="s">
        <v>171</v>
      </c>
      <c r="AR244" s="102">
        <v>46231.0</v>
      </c>
      <c r="AS244" s="83">
        <v>1179353.0</v>
      </c>
    </row>
    <row r="245" ht="15.75" customHeight="1">
      <c r="A245" s="111" t="s">
        <v>383</v>
      </c>
      <c r="B245" s="83" t="s">
        <v>1066</v>
      </c>
      <c r="C245" s="83" t="s">
        <v>164</v>
      </c>
      <c r="D245" s="112">
        <v>1179292.0</v>
      </c>
      <c r="E245" s="83">
        <v>1179433.0</v>
      </c>
      <c r="F245" s="83"/>
      <c r="G245" s="91" t="str">
        <f>IFERROR(__xludf.DUMMYFUNCTION("XLOOKUP(AS245,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DE BARBOSA")</f>
        <v>ANEXO - CEMIT - SISAL - POVOADO DE BARBOSA</v>
      </c>
      <c r="H245" s="114" t="s">
        <v>1082</v>
      </c>
      <c r="I245" s="91" t="s">
        <v>1083</v>
      </c>
      <c r="J245" s="136" t="s">
        <v>1084</v>
      </c>
      <c r="K245" s="83" t="s">
        <v>187</v>
      </c>
      <c r="L245" s="83" t="s">
        <v>168</v>
      </c>
      <c r="M245" s="83" t="s">
        <v>169</v>
      </c>
      <c r="N245" s="115" t="s">
        <v>170</v>
      </c>
      <c r="O245" s="98" t="s">
        <v>155</v>
      </c>
      <c r="P245" s="99" t="str">
        <f>IFERROR(__xludf.DUMMYFUNCTION("IFERROR(VLOOKUP(AS245,IMPORTRANGE(""https://docs.google.com/spreadsheets/d/1juPI-Fb8LD0YtltB2mlGEnp_R3UVu1t3wSFPzgCyHXE/edit?gid=0#gid=0"",""GERAL!A2:C""),3,0),""-"")"),"-")</f>
        <v>-</v>
      </c>
      <c r="Q245" s="98" t="s">
        <v>171</v>
      </c>
      <c r="R245" s="98" t="s">
        <v>171</v>
      </c>
      <c r="S245" s="98" t="s">
        <v>171</v>
      </c>
      <c r="T245" s="98" t="s">
        <v>171</v>
      </c>
      <c r="U245" s="98" t="s">
        <v>171</v>
      </c>
      <c r="V245" s="98" t="s">
        <v>171</v>
      </c>
      <c r="W245" s="98" t="s">
        <v>171</v>
      </c>
      <c r="X245" s="98" t="s">
        <v>171</v>
      </c>
      <c r="Y245" s="98" t="s">
        <v>171</v>
      </c>
      <c r="Z245" s="98" t="s">
        <v>171</v>
      </c>
      <c r="AA245" s="98" t="s">
        <v>171</v>
      </c>
      <c r="AB245" s="98" t="s">
        <v>171</v>
      </c>
      <c r="AC245" s="98" t="s">
        <v>171</v>
      </c>
      <c r="AD245" s="98" t="s">
        <v>171</v>
      </c>
      <c r="AE245" s="98" t="s">
        <v>171</v>
      </c>
      <c r="AF245" s="98" t="s">
        <v>171</v>
      </c>
      <c r="AG245" s="98" t="s">
        <v>171</v>
      </c>
      <c r="AH245" s="98" t="s">
        <v>171</v>
      </c>
      <c r="AI245" s="98" t="s">
        <v>171</v>
      </c>
      <c r="AJ245" s="98" t="s">
        <v>171</v>
      </c>
      <c r="AK245" s="98" t="s">
        <v>171</v>
      </c>
      <c r="AL245" s="98" t="s">
        <v>171</v>
      </c>
      <c r="AM245" s="98" t="s">
        <v>171</v>
      </c>
      <c r="AN245" s="98" t="s">
        <v>171</v>
      </c>
      <c r="AO245" s="98" t="s">
        <v>171</v>
      </c>
      <c r="AP245" s="98" t="s">
        <v>171</v>
      </c>
      <c r="AQ245" s="98" t="s">
        <v>171</v>
      </c>
      <c r="AR245" s="102">
        <v>46231.0</v>
      </c>
      <c r="AS245" s="83">
        <v>1179433.0</v>
      </c>
    </row>
    <row r="246" ht="15.75" customHeight="1">
      <c r="A246" s="111" t="s">
        <v>383</v>
      </c>
      <c r="B246" s="83" t="s">
        <v>1066</v>
      </c>
      <c r="C246" s="83" t="s">
        <v>164</v>
      </c>
      <c r="D246" s="112">
        <v>1179292.0</v>
      </c>
      <c r="E246" s="83">
        <v>1179210.0</v>
      </c>
      <c r="F246" s="83"/>
      <c r="G246" s="91" t="str">
        <f>IFERROR(__xludf.DUMMYFUNCTION("XLOOKUP(AS246,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RIBEIRA")</f>
        <v>ANEXO - CEMIT - SISAL - DISTRITO RIBEIRA</v>
      </c>
      <c r="H246" s="114" t="s">
        <v>1085</v>
      </c>
      <c r="I246" s="91" t="s">
        <v>1086</v>
      </c>
      <c r="J246" s="83" t="s">
        <v>149</v>
      </c>
      <c r="K246" s="83" t="s">
        <v>464</v>
      </c>
      <c r="L246" s="83" t="s">
        <v>168</v>
      </c>
      <c r="M246" s="83" t="s">
        <v>169</v>
      </c>
      <c r="N246" s="115" t="s">
        <v>170</v>
      </c>
      <c r="O246" s="98" t="s">
        <v>155</v>
      </c>
      <c r="P246" s="99" t="str">
        <f>IFERROR(__xludf.DUMMYFUNCTION("IFERROR(VLOOKUP(AS246,IMPORTRANGE(""https://docs.google.com/spreadsheets/d/1juPI-Fb8LD0YtltB2mlGEnp_R3UVu1t3wSFPzgCyHXE/edit?gid=0#gid=0"",""GERAL!A2:C""),3,0),""-"")"),"-")</f>
        <v>-</v>
      </c>
      <c r="Q246" s="98" t="s">
        <v>171</v>
      </c>
      <c r="R246" s="98" t="s">
        <v>171</v>
      </c>
      <c r="S246" s="98" t="s">
        <v>171</v>
      </c>
      <c r="T246" s="98" t="s">
        <v>171</v>
      </c>
      <c r="U246" s="98" t="s">
        <v>171</v>
      </c>
      <c r="V246" s="98" t="s">
        <v>171</v>
      </c>
      <c r="W246" s="98" t="s">
        <v>171</v>
      </c>
      <c r="X246" s="98" t="s">
        <v>171</v>
      </c>
      <c r="Y246" s="98" t="s">
        <v>171</v>
      </c>
      <c r="Z246" s="98" t="s">
        <v>171</v>
      </c>
      <c r="AA246" s="98" t="s">
        <v>171</v>
      </c>
      <c r="AB246" s="98" t="s">
        <v>171</v>
      </c>
      <c r="AC246" s="98" t="s">
        <v>171</v>
      </c>
      <c r="AD246" s="98" t="s">
        <v>171</v>
      </c>
      <c r="AE246" s="98" t="s">
        <v>171</v>
      </c>
      <c r="AF246" s="98" t="s">
        <v>171</v>
      </c>
      <c r="AG246" s="98" t="s">
        <v>171</v>
      </c>
      <c r="AH246" s="98" t="s">
        <v>171</v>
      </c>
      <c r="AI246" s="98" t="s">
        <v>171</v>
      </c>
      <c r="AJ246" s="98" t="s">
        <v>171</v>
      </c>
      <c r="AK246" s="98" t="s">
        <v>171</v>
      </c>
      <c r="AL246" s="98" t="s">
        <v>171</v>
      </c>
      <c r="AM246" s="98" t="s">
        <v>171</v>
      </c>
      <c r="AN246" s="98" t="s">
        <v>171</v>
      </c>
      <c r="AO246" s="98" t="s">
        <v>171</v>
      </c>
      <c r="AP246" s="98" t="s">
        <v>171</v>
      </c>
      <c r="AQ246" s="98" t="s">
        <v>171</v>
      </c>
      <c r="AR246" s="102">
        <v>46231.0</v>
      </c>
      <c r="AS246" s="83">
        <v>1179210.0</v>
      </c>
    </row>
    <row r="247" ht="15.75" customHeight="1">
      <c r="A247" s="111" t="s">
        <v>383</v>
      </c>
      <c r="B247" s="83" t="s">
        <v>1066</v>
      </c>
      <c r="C247" s="83" t="s">
        <v>164</v>
      </c>
      <c r="D247" s="112">
        <v>1179292.0</v>
      </c>
      <c r="E247" s="83">
        <v>1178602.0</v>
      </c>
      <c r="F247" s="83"/>
      <c r="G247" s="91" t="str">
        <f>IFERROR(__xludf.DUMMYFUNCTION("XLOOKUP(AS247,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VARZEA DA PEDRA")</f>
        <v>ANEXO - CEMIT - SISAL - DISTRITO DE VARZEA DA PEDRA</v>
      </c>
      <c r="H247" s="114" t="s">
        <v>1087</v>
      </c>
      <c r="I247" s="91" t="s">
        <v>1088</v>
      </c>
      <c r="J247" s="136" t="s">
        <v>1089</v>
      </c>
      <c r="K247" s="83" t="s">
        <v>1074</v>
      </c>
      <c r="L247" s="83" t="s">
        <v>168</v>
      </c>
      <c r="M247" s="83" t="s">
        <v>169</v>
      </c>
      <c r="N247" s="115" t="s">
        <v>170</v>
      </c>
      <c r="O247" s="98" t="s">
        <v>155</v>
      </c>
      <c r="P247" s="99" t="str">
        <f>IFERROR(__xludf.DUMMYFUNCTION("IFERROR(VLOOKUP(AS247,IMPORTRANGE(""https://docs.google.com/spreadsheets/d/1juPI-Fb8LD0YtltB2mlGEnp_R3UVu1t3wSFPzgCyHXE/edit?gid=0#gid=0"",""GERAL!A2:C""),3,0),""-"")"),"-")</f>
        <v>-</v>
      </c>
      <c r="Q247" s="98" t="s">
        <v>171</v>
      </c>
      <c r="R247" s="98" t="s">
        <v>171</v>
      </c>
      <c r="S247" s="98" t="s">
        <v>171</v>
      </c>
      <c r="T247" s="98" t="s">
        <v>171</v>
      </c>
      <c r="U247" s="98" t="s">
        <v>171</v>
      </c>
      <c r="V247" s="98" t="s">
        <v>171</v>
      </c>
      <c r="W247" s="98" t="s">
        <v>171</v>
      </c>
      <c r="X247" s="98" t="s">
        <v>171</v>
      </c>
      <c r="Y247" s="98" t="s">
        <v>171</v>
      </c>
      <c r="Z247" s="98" t="s">
        <v>171</v>
      </c>
      <c r="AA247" s="98" t="s">
        <v>171</v>
      </c>
      <c r="AB247" s="98" t="s">
        <v>171</v>
      </c>
      <c r="AC247" s="98" t="s">
        <v>171</v>
      </c>
      <c r="AD247" s="98" t="s">
        <v>171</v>
      </c>
      <c r="AE247" s="98" t="s">
        <v>171</v>
      </c>
      <c r="AF247" s="98" t="s">
        <v>171</v>
      </c>
      <c r="AG247" s="98" t="s">
        <v>171</v>
      </c>
      <c r="AH247" s="98" t="s">
        <v>171</v>
      </c>
      <c r="AI247" s="98" t="s">
        <v>171</v>
      </c>
      <c r="AJ247" s="98" t="s">
        <v>171</v>
      </c>
      <c r="AK247" s="98" t="s">
        <v>171</v>
      </c>
      <c r="AL247" s="98" t="s">
        <v>171</v>
      </c>
      <c r="AM247" s="98" t="s">
        <v>171</v>
      </c>
      <c r="AN247" s="98" t="s">
        <v>171</v>
      </c>
      <c r="AO247" s="98" t="s">
        <v>171</v>
      </c>
      <c r="AP247" s="98" t="s">
        <v>171</v>
      </c>
      <c r="AQ247" s="98" t="s">
        <v>171</v>
      </c>
      <c r="AR247" s="102">
        <v>46231.0</v>
      </c>
      <c r="AS247" s="83">
        <v>1178602.0</v>
      </c>
    </row>
    <row r="248" ht="15.75" customHeight="1">
      <c r="A248" s="111" t="s">
        <v>383</v>
      </c>
      <c r="B248" s="83" t="s">
        <v>1066</v>
      </c>
      <c r="C248" s="83" t="s">
        <v>164</v>
      </c>
      <c r="D248" s="112">
        <v>1179292.0</v>
      </c>
      <c r="E248" s="83">
        <v>1179280.0</v>
      </c>
      <c r="F248" s="83"/>
      <c r="G248" s="91" t="str">
        <f>IFERROR(__xludf.DUMMYFUNCTION("XLOOKUP(AS248,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TAPUIO")</f>
        <v>ANEXO - CEMIT - SISAL - DISTRITO DE TAPUIO</v>
      </c>
      <c r="H248" s="114" t="s">
        <v>1091</v>
      </c>
      <c r="I248" s="91" t="s">
        <v>1092</v>
      </c>
      <c r="J248" s="136" t="s">
        <v>1093</v>
      </c>
      <c r="K248" s="83" t="s">
        <v>467</v>
      </c>
      <c r="L248" s="83" t="s">
        <v>168</v>
      </c>
      <c r="M248" s="83" t="s">
        <v>169</v>
      </c>
      <c r="N248" s="115" t="s">
        <v>170</v>
      </c>
      <c r="O248" s="98" t="s">
        <v>155</v>
      </c>
      <c r="P248" s="99" t="str">
        <f>IFERROR(__xludf.DUMMYFUNCTION("IFERROR(VLOOKUP(AS248,IMPORTRANGE(""https://docs.google.com/spreadsheets/d/1juPI-Fb8LD0YtltB2mlGEnp_R3UVu1t3wSFPzgCyHXE/edit?gid=0#gid=0"",""GERAL!A2:C""),3,0),""-"")"),"-")</f>
        <v>-</v>
      </c>
      <c r="Q248" s="98" t="s">
        <v>171</v>
      </c>
      <c r="R248" s="98" t="s">
        <v>171</v>
      </c>
      <c r="S248" s="98" t="s">
        <v>171</v>
      </c>
      <c r="T248" s="98" t="s">
        <v>171</v>
      </c>
      <c r="U248" s="98" t="s">
        <v>171</v>
      </c>
      <c r="V248" s="98" t="s">
        <v>171</v>
      </c>
      <c r="W248" s="98" t="s">
        <v>171</v>
      </c>
      <c r="X248" s="98" t="s">
        <v>171</v>
      </c>
      <c r="Y248" s="98" t="s">
        <v>171</v>
      </c>
      <c r="Z248" s="98" t="s">
        <v>171</v>
      </c>
      <c r="AA248" s="98" t="s">
        <v>171</v>
      </c>
      <c r="AB248" s="98" t="s">
        <v>171</v>
      </c>
      <c r="AC248" s="98" t="s">
        <v>171</v>
      </c>
      <c r="AD248" s="98" t="s">
        <v>171</v>
      </c>
      <c r="AE248" s="98" t="s">
        <v>171</v>
      </c>
      <c r="AF248" s="98" t="s">
        <v>171</v>
      </c>
      <c r="AG248" s="98" t="s">
        <v>171</v>
      </c>
      <c r="AH248" s="98" t="s">
        <v>171</v>
      </c>
      <c r="AI248" s="98" t="s">
        <v>171</v>
      </c>
      <c r="AJ248" s="98" t="s">
        <v>171</v>
      </c>
      <c r="AK248" s="98" t="s">
        <v>171</v>
      </c>
      <c r="AL248" s="98" t="s">
        <v>171</v>
      </c>
      <c r="AM248" s="98" t="s">
        <v>171</v>
      </c>
      <c r="AN248" s="98" t="s">
        <v>171</v>
      </c>
      <c r="AO248" s="98" t="s">
        <v>171</v>
      </c>
      <c r="AP248" s="98" t="s">
        <v>171</v>
      </c>
      <c r="AQ248" s="98" t="s">
        <v>171</v>
      </c>
      <c r="AR248" s="102">
        <v>46231.0</v>
      </c>
      <c r="AS248" s="83">
        <v>1179280.0</v>
      </c>
    </row>
    <row r="249">
      <c r="A249" s="111" t="s">
        <v>383</v>
      </c>
      <c r="B249" s="83" t="s">
        <v>1066</v>
      </c>
      <c r="C249" s="83" t="s">
        <v>164</v>
      </c>
      <c r="D249" s="112">
        <v>1179292.0</v>
      </c>
      <c r="E249" s="83">
        <v>1178601.0</v>
      </c>
      <c r="F249" s="83"/>
      <c r="G249" s="91" t="str">
        <f>IFERROR(__xludf.DUMMYFUNCTION("XLOOKUP(AS249,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JOÃO VIEIRA")</f>
        <v>ANEXO - CEMIT - SISAL - DISTRITO DE JOÃO VIEIRA</v>
      </c>
      <c r="H249" s="114" t="s">
        <v>1094</v>
      </c>
      <c r="I249" s="91" t="s">
        <v>1095</v>
      </c>
      <c r="J249" s="136" t="s">
        <v>1096</v>
      </c>
      <c r="K249" s="83" t="s">
        <v>784</v>
      </c>
      <c r="L249" s="83" t="s">
        <v>168</v>
      </c>
      <c r="M249" s="83" t="s">
        <v>169</v>
      </c>
      <c r="N249" s="115" t="s">
        <v>170</v>
      </c>
      <c r="O249" s="98" t="s">
        <v>155</v>
      </c>
      <c r="P249" s="99" t="str">
        <f>IFERROR(__xludf.DUMMYFUNCTION("IFERROR(VLOOKUP(AS249,IMPORTRANGE(""https://docs.google.com/spreadsheets/d/1juPI-Fb8LD0YtltB2mlGEnp_R3UVu1t3wSFPzgCyHXE/edit?gid=0#gid=0"",""GERAL!A2:C""),3,0),""-"")"),"-")</f>
        <v>-</v>
      </c>
      <c r="Q249" s="98" t="s">
        <v>171</v>
      </c>
      <c r="R249" s="98" t="s">
        <v>171</v>
      </c>
      <c r="S249" s="98" t="s">
        <v>171</v>
      </c>
      <c r="T249" s="98" t="s">
        <v>171</v>
      </c>
      <c r="U249" s="98" t="s">
        <v>171</v>
      </c>
      <c r="V249" s="98" t="s">
        <v>171</v>
      </c>
      <c r="W249" s="98" t="s">
        <v>171</v>
      </c>
      <c r="X249" s="98" t="s">
        <v>171</v>
      </c>
      <c r="Y249" s="98" t="s">
        <v>171</v>
      </c>
      <c r="Z249" s="98" t="s">
        <v>171</v>
      </c>
      <c r="AA249" s="98" t="s">
        <v>171</v>
      </c>
      <c r="AB249" s="98" t="s">
        <v>171</v>
      </c>
      <c r="AC249" s="98" t="s">
        <v>171</v>
      </c>
      <c r="AD249" s="98" t="s">
        <v>171</v>
      </c>
      <c r="AE249" s="98" t="s">
        <v>171</v>
      </c>
      <c r="AF249" s="98" t="s">
        <v>171</v>
      </c>
      <c r="AG249" s="98" t="s">
        <v>171</v>
      </c>
      <c r="AH249" s="98" t="s">
        <v>171</v>
      </c>
      <c r="AI249" s="98" t="s">
        <v>171</v>
      </c>
      <c r="AJ249" s="98" t="s">
        <v>171</v>
      </c>
      <c r="AK249" s="98" t="s">
        <v>171</v>
      </c>
      <c r="AL249" s="98" t="s">
        <v>171</v>
      </c>
      <c r="AM249" s="98" t="s">
        <v>171</v>
      </c>
      <c r="AN249" s="98" t="s">
        <v>171</v>
      </c>
      <c r="AO249" s="98" t="s">
        <v>171</v>
      </c>
      <c r="AP249" s="98" t="s">
        <v>171</v>
      </c>
      <c r="AQ249" s="98" t="s">
        <v>171</v>
      </c>
      <c r="AR249" s="102">
        <v>46231.0</v>
      </c>
      <c r="AS249" s="83">
        <v>1178601.0</v>
      </c>
    </row>
    <row r="250">
      <c r="A250" s="111" t="s">
        <v>383</v>
      </c>
      <c r="B250" s="83" t="s">
        <v>1097</v>
      </c>
      <c r="C250" s="83" t="s">
        <v>68</v>
      </c>
      <c r="D250" s="112">
        <v>1115520.0</v>
      </c>
      <c r="E250" s="83"/>
      <c r="F250" s="83">
        <v>2.9147409E7</v>
      </c>
      <c r="G250" s="91" t="str">
        <f>IFERROR(__xludf.DUMMYFUNCTION("XLOOKUP(AS250,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BARROCAS")</f>
        <v>COLÉGIO ESTADUAL DE BARROCAS</v>
      </c>
      <c r="H250" s="114" t="s">
        <v>1098</v>
      </c>
      <c r="I250" s="91" t="s">
        <v>1099</v>
      </c>
      <c r="J250" s="83" t="s">
        <v>149</v>
      </c>
      <c r="K250" s="83" t="s">
        <v>150</v>
      </c>
      <c r="L250" s="83" t="s">
        <v>151</v>
      </c>
      <c r="M250" s="98" t="s">
        <v>152</v>
      </c>
      <c r="N250" s="98" t="s">
        <v>1100</v>
      </c>
      <c r="O250" s="98" t="s">
        <v>155</v>
      </c>
      <c r="P250" s="99" t="str">
        <f>IFERROR(__xludf.DUMMYFUNCTION("IFERROR(VLOOKUP(AS250,IMPORTRANGE(""https://docs.google.com/spreadsheets/d/1juPI-Fb8LD0YtltB2mlGEnp_R3UVu1t3wSFPzgCyHXE/edit?gid=0#gid=0"",""GERAL!A2:C""),3,0),""-"")"),"-")</f>
        <v>-</v>
      </c>
      <c r="Q250" s="101" t="s">
        <v>156</v>
      </c>
      <c r="R250" s="98">
        <v>7.0</v>
      </c>
      <c r="S250" s="98">
        <v>0.0</v>
      </c>
      <c r="T250" s="98">
        <v>0.0</v>
      </c>
      <c r="U250" s="98">
        <v>0.0</v>
      </c>
      <c r="V250" s="98">
        <v>0.0</v>
      </c>
      <c r="W250" s="98">
        <v>0.0</v>
      </c>
      <c r="X250" s="98">
        <v>1.0</v>
      </c>
      <c r="Y250" s="98">
        <v>0.0</v>
      </c>
      <c r="Z250" s="98">
        <v>0.0</v>
      </c>
      <c r="AA250" s="98">
        <v>0.0</v>
      </c>
      <c r="AB250" s="98">
        <v>0.0</v>
      </c>
      <c r="AC250" s="98">
        <v>0.0</v>
      </c>
      <c r="AD250" s="98">
        <v>0.0</v>
      </c>
      <c r="AE250" s="98">
        <v>0.0</v>
      </c>
      <c r="AF250" s="98">
        <v>1.0</v>
      </c>
      <c r="AG250" s="98">
        <v>0.0</v>
      </c>
      <c r="AH250" s="98">
        <v>0.0</v>
      </c>
      <c r="AI250" s="98">
        <v>0.0</v>
      </c>
      <c r="AJ250" s="98">
        <v>0.0</v>
      </c>
      <c r="AK250" s="98">
        <v>0.0</v>
      </c>
      <c r="AL250" s="98">
        <v>0.0</v>
      </c>
      <c r="AM250" s="98">
        <v>0.0</v>
      </c>
      <c r="AN250" s="98">
        <v>0.0</v>
      </c>
      <c r="AO250" s="98">
        <v>0.0</v>
      </c>
      <c r="AP250" s="98">
        <v>1.0</v>
      </c>
      <c r="AQ250" s="98" t="s">
        <v>237</v>
      </c>
      <c r="AR250" s="102">
        <v>46234.0</v>
      </c>
      <c r="AS250" s="83">
        <v>1115520.0</v>
      </c>
    </row>
    <row r="251" ht="15.75" customHeight="1">
      <c r="A251" s="111" t="s">
        <v>383</v>
      </c>
      <c r="B251" s="83" t="s">
        <v>1101</v>
      </c>
      <c r="C251" s="83" t="s">
        <v>68</v>
      </c>
      <c r="D251" s="112">
        <v>1115547.0</v>
      </c>
      <c r="E251" s="83"/>
      <c r="F251" s="83">
        <v>2.9136385E7</v>
      </c>
      <c r="G251" s="91" t="str">
        <f>IFERROR(__xludf.DUMMYFUNCTION("XLOOKUP(AS251,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BIRITINGA")</f>
        <v>COLÉGIO ESTADUAL DE TEMPO INTEGRAL DE BIRITINGA</v>
      </c>
      <c r="H251" s="119" t="s">
        <v>1102</v>
      </c>
      <c r="I251" s="91" t="s">
        <v>1103</v>
      </c>
      <c r="J251" s="83" t="s">
        <v>149</v>
      </c>
      <c r="K251" s="83" t="s">
        <v>150</v>
      </c>
      <c r="L251" s="83" t="s">
        <v>151</v>
      </c>
      <c r="M251" s="83" t="s">
        <v>76</v>
      </c>
      <c r="N251" s="98" t="s">
        <v>1104</v>
      </c>
      <c r="O251" s="98" t="s">
        <v>155</v>
      </c>
      <c r="P251" s="99" t="str">
        <f>IFERROR(__xludf.DUMMYFUNCTION("IFERROR(VLOOKUP(AS251,IMPORTRANGE(""https://docs.google.com/spreadsheets/d/1juPI-Fb8LD0YtltB2mlGEnp_R3UVu1t3wSFPzgCyHXE/edit?gid=0#gid=0"",""GERAL!A2:C""),3,0),""-"")"),"-")</f>
        <v>-</v>
      </c>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v>1115547.0</v>
      </c>
    </row>
    <row r="252" ht="15.75" customHeight="1">
      <c r="A252" s="111" t="s">
        <v>383</v>
      </c>
      <c r="B252" s="83" t="s">
        <v>1105</v>
      </c>
      <c r="C252" s="83" t="s">
        <v>68</v>
      </c>
      <c r="D252" s="112">
        <v>1105606.0</v>
      </c>
      <c r="E252" s="83"/>
      <c r="F252" s="83">
        <v>2.9136571E7</v>
      </c>
      <c r="G252" s="91" t="str">
        <f>IFERROR(__xludf.DUMMYFUNCTION("XLOOKUP(AS252,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JOSE RUFINO")</f>
        <v>COLÉGIO ESTADUAL JOSE RUFINO</v>
      </c>
      <c r="H252" s="114" t="s">
        <v>1106</v>
      </c>
      <c r="I252" s="91" t="s">
        <v>1107</v>
      </c>
      <c r="J252" s="83" t="s">
        <v>149</v>
      </c>
      <c r="K252" s="83" t="s">
        <v>150</v>
      </c>
      <c r="L252" s="83" t="s">
        <v>151</v>
      </c>
      <c r="M252" s="83" t="s">
        <v>76</v>
      </c>
      <c r="N252" s="98" t="s">
        <v>1108</v>
      </c>
      <c r="O252" s="98" t="s">
        <v>155</v>
      </c>
      <c r="P252" s="99" t="str">
        <f>IFERROR(__xludf.DUMMYFUNCTION("IFERROR(VLOOKUP(AS252,IMPORTRANGE(""https://docs.google.com/spreadsheets/d/1juPI-Fb8LD0YtltB2mlGEnp_R3UVu1t3wSFPzgCyHXE/edit?gid=0#gid=0"",""GERAL!A2:C""),3,0),""-"")"),"-")</f>
        <v>-</v>
      </c>
      <c r="Q252" s="101" t="s">
        <v>156</v>
      </c>
      <c r="R252" s="98">
        <v>8.0</v>
      </c>
      <c r="S252" s="98">
        <v>0.0</v>
      </c>
      <c r="T252" s="98">
        <v>1.0</v>
      </c>
      <c r="U252" s="98">
        <v>0.0</v>
      </c>
      <c r="V252" s="98">
        <v>0.0</v>
      </c>
      <c r="W252" s="98">
        <v>1.0</v>
      </c>
      <c r="X252" s="98">
        <v>1.0</v>
      </c>
      <c r="Y252" s="98">
        <v>1.0</v>
      </c>
      <c r="Z252" s="98">
        <v>0.0</v>
      </c>
      <c r="AA252" s="98">
        <v>0.0</v>
      </c>
      <c r="AB252" s="98">
        <v>0.0</v>
      </c>
      <c r="AC252" s="98">
        <v>0.0</v>
      </c>
      <c r="AD252" s="98">
        <v>0.0</v>
      </c>
      <c r="AE252" s="98">
        <v>0.0</v>
      </c>
      <c r="AF252" s="98">
        <v>1.0</v>
      </c>
      <c r="AG252" s="98">
        <v>0.0</v>
      </c>
      <c r="AH252" s="98">
        <v>0.0</v>
      </c>
      <c r="AI252" s="98">
        <v>0.0</v>
      </c>
      <c r="AJ252" s="98">
        <v>0.0</v>
      </c>
      <c r="AK252" s="98">
        <v>0.0</v>
      </c>
      <c r="AL252" s="98">
        <v>0.0</v>
      </c>
      <c r="AM252" s="98">
        <v>0.0</v>
      </c>
      <c r="AN252" s="98">
        <v>0.0</v>
      </c>
      <c r="AO252" s="98">
        <v>0.0</v>
      </c>
      <c r="AP252" s="98">
        <v>0.0</v>
      </c>
      <c r="AQ252" s="98" t="s">
        <v>1109</v>
      </c>
      <c r="AR252" s="102">
        <v>46280.0</v>
      </c>
      <c r="AS252" s="83">
        <v>1105606.0</v>
      </c>
    </row>
    <row r="253" ht="15.75" customHeight="1">
      <c r="A253" s="111" t="s">
        <v>383</v>
      </c>
      <c r="B253" s="83" t="s">
        <v>1110</v>
      </c>
      <c r="C253" s="83" t="s">
        <v>68</v>
      </c>
      <c r="D253" s="112">
        <v>1178245.0</v>
      </c>
      <c r="E253" s="83"/>
      <c r="F253" s="83">
        <v>2.9115604E7</v>
      </c>
      <c r="G253" s="91" t="str">
        <f>IFERROR(__xludf.DUMMYFUNCTION("XLOOKUP(AS253,
IMPORTRANGE(""https://docs.google.com/spreadsheets/d/1YM-djuOLXomrZ9W0B4TyIBsVWnXY4EIOFD9HY-qGfv0/edit?usp=sharing"",""GERAL!BG5:BG""),
IMPORTRANGE(""https://docs.google.com/spreadsheets/d/1YM-djuOLXomrZ9W0B4TyIBsVWnXY4EIOFD9HY-qGfv0/edit?u"&amp;"sp=sharing"",""GERAL!G5:G""),
""CÓD. SEC NÃO ENCONTRADO NA PLANILHA DE MATRÍCULA"")"),"CÓD. SEC NÃO ENCONTRADO NA PLANILHA DE MATRÍCULA")</f>
        <v>CÓD. SEC NÃO ENCONTRADO NA PLANILHA DE MATRÍCULA</v>
      </c>
      <c r="H253" s="114" t="s">
        <v>1111</v>
      </c>
      <c r="I253" s="91" t="s">
        <v>1112</v>
      </c>
      <c r="J253" s="83" t="s">
        <v>149</v>
      </c>
      <c r="K253" s="83" t="s">
        <v>150</v>
      </c>
      <c r="L253" s="83" t="s">
        <v>1113</v>
      </c>
      <c r="M253" s="83" t="s">
        <v>169</v>
      </c>
      <c r="N253" s="223" t="s">
        <v>1114</v>
      </c>
      <c r="O253" s="98" t="s">
        <v>155</v>
      </c>
      <c r="P253" s="99" t="str">
        <f>IFERROR(__xludf.DUMMYFUNCTION("IFERROR(VLOOKUP(AS253,IMPORTRANGE(""https://docs.google.com/spreadsheets/d/1juPI-Fb8LD0YtltB2mlGEnp_R3UVu1t3wSFPzgCyHXE/edit?gid=0#gid=0"",""GERAL!A2:C""),3,0),""-"")"),"-")</f>
        <v>-</v>
      </c>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v>1178245.0</v>
      </c>
    </row>
    <row r="254" ht="15.75" customHeight="1">
      <c r="A254" s="111" t="s">
        <v>383</v>
      </c>
      <c r="B254" s="83" t="s">
        <v>1110</v>
      </c>
      <c r="C254" s="83" t="s">
        <v>68</v>
      </c>
      <c r="D254" s="112">
        <v>1178125.0</v>
      </c>
      <c r="E254" s="83"/>
      <c r="F254" s="83">
        <v>2.9437164E7</v>
      </c>
      <c r="G254" s="91" t="str">
        <f>IFERROR(__xludf.DUMMYFUNCTION("XLOOKUP(AS254,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CAMINHO DO SABER - POVOADO DE BELA VISTA")</f>
        <v>COLÉGIO ESTADUAL DO CAMPO CAMINHO DO SABER - POVOADO DE BELA VISTA</v>
      </c>
      <c r="H254" s="119" t="s">
        <v>1115</v>
      </c>
      <c r="I254" s="91" t="s">
        <v>1116</v>
      </c>
      <c r="J254" s="83" t="s">
        <v>1117</v>
      </c>
      <c r="K254" s="83" t="s">
        <v>467</v>
      </c>
      <c r="L254" s="83" t="s">
        <v>168</v>
      </c>
      <c r="M254" s="83" t="s">
        <v>169</v>
      </c>
      <c r="N254" s="115" t="s">
        <v>1118</v>
      </c>
      <c r="O254" s="98" t="s">
        <v>155</v>
      </c>
      <c r="P254" s="99" t="str">
        <f>IFERROR(__xludf.DUMMYFUNCTION("IFERROR(VLOOKUP(AS254,IMPORTRANGE(""https://docs.google.com/spreadsheets/d/1juPI-Fb8LD0YtltB2mlGEnp_R3UVu1t3wSFPzgCyHXE/edit?gid=0#gid=0"",""GERAL!A2:C""),3,0),""-"")"),"CAMPO")</f>
        <v>CAMPO</v>
      </c>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v>1178125.0</v>
      </c>
    </row>
    <row r="255" ht="15.75" customHeight="1">
      <c r="A255" s="111" t="s">
        <v>383</v>
      </c>
      <c r="B255" s="83" t="s">
        <v>1110</v>
      </c>
      <c r="C255" s="83" t="s">
        <v>68</v>
      </c>
      <c r="D255" s="112">
        <v>1176868.0</v>
      </c>
      <c r="E255" s="83"/>
      <c r="F255" s="83">
        <v>2.9116422E7</v>
      </c>
      <c r="G255" s="91" t="str">
        <f>IFERROR(__xludf.DUMMYFUNCTION("XLOOKUP(AS255,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SENHOR DO BONFIM")</f>
        <v>COLEGIO ESTADUAL DE TEMPO INTEGRAL SENHOR DO BONFIM</v>
      </c>
      <c r="H255" s="119" t="s">
        <v>1119</v>
      </c>
      <c r="I255" s="91" t="s">
        <v>1120</v>
      </c>
      <c r="J255" s="83" t="s">
        <v>149</v>
      </c>
      <c r="K255" s="83" t="s">
        <v>150</v>
      </c>
      <c r="L255" s="83" t="s">
        <v>151</v>
      </c>
      <c r="M255" s="83" t="s">
        <v>152</v>
      </c>
      <c r="N255" s="98" t="s">
        <v>1121</v>
      </c>
      <c r="O255" s="98" t="s">
        <v>176</v>
      </c>
      <c r="P255" s="99" t="str">
        <f>IFERROR(__xludf.DUMMYFUNCTION("IFERROR(VLOOKUP(AS255,IMPORTRANGE(""https://docs.google.com/spreadsheets/d/1juPI-Fb8LD0YtltB2mlGEnp_R3UVu1t3wSFPzgCyHXE/edit?gid=0#gid=0"",""GERAL!A2:C""),3,0),""-"")"),"-")</f>
        <v>-</v>
      </c>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v>1176868.0</v>
      </c>
    </row>
    <row r="256" ht="15.75" customHeight="1">
      <c r="A256" s="111" t="s">
        <v>383</v>
      </c>
      <c r="B256" s="83" t="s">
        <v>1110</v>
      </c>
      <c r="C256" s="98" t="s">
        <v>164</v>
      </c>
      <c r="D256" s="112">
        <v>1176868.0</v>
      </c>
      <c r="E256" s="98">
        <v>1179839.0</v>
      </c>
      <c r="F256" s="83"/>
      <c r="G256" s="91" t="str">
        <f>IFERROR(__xludf.DUMMYFUNCTION("XLOOKUP(AS256,
IMPORTRANGE(""https://docs.google.com/spreadsheets/d/1YM-djuOLXomrZ9W0B4TyIBsVWnXY4EIOFD9HY-qGfv0/edit?usp=sharing"",""GERAL!BG5:BG""),
IMPORTRANGE(""https://docs.google.com/spreadsheets/d/1YM-djuOLXomrZ9W0B4TyIBsVWnXY4EIOFD9HY-qGfv0/edit?u"&amp;"sp=sharing"",""GERAL!G5:G""),
""CÓD. SEC NÃO ENCONTRADO NA PLANILHA DE MATRÍCULA"")"),"ANEXO AO COLEGIO ESTADUAL DE TEMPO INTEGRAL SENHOR DO BONFIM SEDE
")</f>
        <v>ANEXO AO COLEGIO ESTADUAL DE TEMPO INTEGRAL SENHOR DO BONFIM SEDE
</v>
      </c>
      <c r="H256" s="119" t="s">
        <v>1122</v>
      </c>
      <c r="I256" s="108" t="s">
        <v>1123</v>
      </c>
      <c r="J256" s="98" t="s">
        <v>149</v>
      </c>
      <c r="K256" s="83"/>
      <c r="L256" s="98" t="s">
        <v>168</v>
      </c>
      <c r="M256" s="98" t="s">
        <v>512</v>
      </c>
      <c r="N256" s="115" t="s">
        <v>170</v>
      </c>
      <c r="O256" s="98" t="s">
        <v>155</v>
      </c>
      <c r="P256" s="99" t="str">
        <f>IFERROR(__xludf.DUMMYFUNCTION("IFERROR(VLOOKUP(AS256,IMPORTRANGE(""https://docs.google.com/spreadsheets/d/1juPI-Fb8LD0YtltB2mlGEnp_R3UVu1t3wSFPzgCyHXE/edit?gid=0#gid=0"",""GERAL!A2:C""),3,0),""-"")"),"-")</f>
        <v>-</v>
      </c>
      <c r="Q256" s="98"/>
      <c r="R256" s="98"/>
      <c r="S256" s="98"/>
      <c r="T256" s="98"/>
      <c r="U256" s="98"/>
      <c r="V256" s="98"/>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v>1179839.0</v>
      </c>
    </row>
    <row r="257" ht="15.75" customHeight="1">
      <c r="A257" s="111" t="s">
        <v>383</v>
      </c>
      <c r="B257" s="83" t="s">
        <v>1124</v>
      </c>
      <c r="C257" s="83" t="s">
        <v>68</v>
      </c>
      <c r="D257" s="112">
        <v>1115865.0</v>
      </c>
      <c r="E257" s="83"/>
      <c r="F257" s="83">
        <v>2.9137853E7</v>
      </c>
      <c r="G257" s="91" t="str">
        <f>IFERROR(__xludf.DUMMYFUNCTION("XLOOKUP(AS257,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POLIVALENTE DE CONCEIÇÃO DO COITE")</f>
        <v>COLÉGIO POLIVALENTE DE CONCEIÇÃO DO COITE</v>
      </c>
      <c r="H257" s="114" t="s">
        <v>1125</v>
      </c>
      <c r="I257" s="91" t="s">
        <v>1126</v>
      </c>
      <c r="J257" s="83" t="s">
        <v>576</v>
      </c>
      <c r="K257" s="83" t="s">
        <v>150</v>
      </c>
      <c r="L257" s="83" t="s">
        <v>151</v>
      </c>
      <c r="M257" s="83" t="s">
        <v>230</v>
      </c>
      <c r="N257" s="98" t="s">
        <v>1127</v>
      </c>
      <c r="O257" s="98" t="s">
        <v>284</v>
      </c>
      <c r="P257" s="99" t="str">
        <f>IFERROR(__xludf.DUMMYFUNCTION("IFERROR(VLOOKUP(AS257,IMPORTRANGE(""https://docs.google.com/spreadsheets/d/1juPI-Fb8LD0YtltB2mlGEnp_R3UVu1t3wSFPzgCyHXE/edit?gid=0#gid=0"",""GERAL!A2:C""),3,0),""-"")"),"-")</f>
        <v>-</v>
      </c>
      <c r="Q257" s="101" t="s">
        <v>156</v>
      </c>
      <c r="R257" s="98">
        <v>14.0</v>
      </c>
      <c r="S257" s="98">
        <v>1.0</v>
      </c>
      <c r="T257" s="98">
        <v>0.0</v>
      </c>
      <c r="U257" s="98">
        <v>1.0</v>
      </c>
      <c r="V257" s="98">
        <v>0.0</v>
      </c>
      <c r="W257" s="98">
        <v>1.0</v>
      </c>
      <c r="X257" s="98">
        <v>1.0</v>
      </c>
      <c r="Y257" s="98">
        <v>0.0</v>
      </c>
      <c r="Z257" s="98">
        <v>1.0</v>
      </c>
      <c r="AA257" s="98">
        <v>0.0</v>
      </c>
      <c r="AB257" s="98">
        <v>1.0</v>
      </c>
      <c r="AC257" s="98">
        <v>0.0</v>
      </c>
      <c r="AD257" s="98">
        <v>0.0</v>
      </c>
      <c r="AE257" s="98">
        <v>0.0</v>
      </c>
      <c r="AF257" s="98">
        <v>1.0</v>
      </c>
      <c r="AG257" s="98">
        <v>0.0</v>
      </c>
      <c r="AH257" s="98">
        <v>0.0</v>
      </c>
      <c r="AI257" s="98">
        <v>0.0</v>
      </c>
      <c r="AJ257" s="98">
        <v>1.0</v>
      </c>
      <c r="AK257" s="98">
        <v>0.0</v>
      </c>
      <c r="AL257" s="98">
        <v>0.0</v>
      </c>
      <c r="AM257" s="98">
        <v>0.0</v>
      </c>
      <c r="AN257" s="98">
        <v>0.0</v>
      </c>
      <c r="AO257" s="98">
        <v>1.0</v>
      </c>
      <c r="AP257" s="98">
        <v>2.0</v>
      </c>
      <c r="AQ257" s="98" t="s">
        <v>1128</v>
      </c>
      <c r="AR257" s="83"/>
      <c r="AS257" s="83">
        <v>1115865.0</v>
      </c>
    </row>
    <row r="258" ht="15.75" customHeight="1">
      <c r="A258" s="111" t="s">
        <v>383</v>
      </c>
      <c r="B258" s="83" t="s">
        <v>1124</v>
      </c>
      <c r="C258" s="83" t="s">
        <v>68</v>
      </c>
      <c r="D258" s="112">
        <v>1115806.0</v>
      </c>
      <c r="E258" s="83"/>
      <c r="F258" s="83">
        <v>2.9139325E7</v>
      </c>
      <c r="G258" s="91" t="str">
        <f>IFERROR(__xludf.DUMMYFUNCTION("XLOOKUP(AS258,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JOSE FERREIRA DE OLIVEIRA - DISTRITO DE SALGADALIA")</f>
        <v>COLÉGIO ESTADUAL JOSE FERREIRA DE OLIVEIRA - DISTRITO DE SALGADALIA</v>
      </c>
      <c r="H258" s="114" t="s">
        <v>1129</v>
      </c>
      <c r="I258" s="91" t="s">
        <v>1130</v>
      </c>
      <c r="J258" s="83" t="s">
        <v>149</v>
      </c>
      <c r="K258" s="83" t="s">
        <v>240</v>
      </c>
      <c r="L258" s="83" t="s">
        <v>151</v>
      </c>
      <c r="M258" s="83" t="s">
        <v>152</v>
      </c>
      <c r="N258" s="98" t="s">
        <v>1131</v>
      </c>
      <c r="O258" s="98" t="s">
        <v>155</v>
      </c>
      <c r="P258" s="99" t="str">
        <f>IFERROR(__xludf.DUMMYFUNCTION("IFERROR(VLOOKUP(AS258,IMPORTRANGE(""https://docs.google.com/spreadsheets/d/1juPI-Fb8LD0YtltB2mlGEnp_R3UVu1t3wSFPzgCyHXE/edit?gid=0#gid=0"",""GERAL!A2:C""),3,0),""-"")"),"CAMPO")</f>
        <v>CAMPO</v>
      </c>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v>1115806.0</v>
      </c>
    </row>
    <row r="259" ht="15.75" customHeight="1">
      <c r="A259" s="111" t="s">
        <v>383</v>
      </c>
      <c r="B259" s="83" t="s">
        <v>1124</v>
      </c>
      <c r="C259" s="83" t="s">
        <v>68</v>
      </c>
      <c r="D259" s="112">
        <v>1115903.0</v>
      </c>
      <c r="E259" s="83"/>
      <c r="F259" s="83">
        <v>2.91379E7</v>
      </c>
      <c r="G259" s="91" t="str">
        <f>IFERROR(__xludf.DUMMYFUNCTION("XLOOKUP(AS259,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RIO BRANCO")</f>
        <v>COLÉGIO ESTADUAL DO CAMPO RIO BRANCO</v>
      </c>
      <c r="H259" s="119" t="s">
        <v>1132</v>
      </c>
      <c r="I259" s="91" t="s">
        <v>1133</v>
      </c>
      <c r="J259" s="83" t="s">
        <v>149</v>
      </c>
      <c r="K259" s="83" t="s">
        <v>822</v>
      </c>
      <c r="L259" s="83" t="s">
        <v>151</v>
      </c>
      <c r="M259" s="83" t="s">
        <v>169</v>
      </c>
      <c r="N259" s="115" t="s">
        <v>1134</v>
      </c>
      <c r="O259" s="98" t="s">
        <v>155</v>
      </c>
      <c r="P259" s="99" t="str">
        <f>IFERROR(__xludf.DUMMYFUNCTION("IFERROR(VLOOKUP(AS259,IMPORTRANGE(""https://docs.google.com/spreadsheets/d/1juPI-Fb8LD0YtltB2mlGEnp_R3UVu1t3wSFPzgCyHXE/edit?gid=0#gid=0"",""GERAL!A2:C""),3,0),""-"")"),"CAMPO")</f>
        <v>CAMPO</v>
      </c>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v>1115903.0</v>
      </c>
    </row>
    <row r="260" ht="15.75" customHeight="1">
      <c r="A260" s="111" t="s">
        <v>383</v>
      </c>
      <c r="B260" s="83" t="s">
        <v>1124</v>
      </c>
      <c r="C260" s="83" t="s">
        <v>68</v>
      </c>
      <c r="D260" s="112">
        <v>1115717.0</v>
      </c>
      <c r="E260" s="83"/>
      <c r="F260" s="83">
        <v>2.913787E7</v>
      </c>
      <c r="G260" s="91" t="str">
        <f>IFERROR(__xludf.DUMMYFUNCTION("XLOOKUP(AS260,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HAMILTON RIOS DE ARAÚJO - POVOADO DE SÃO JOÃO")</f>
        <v>COLÉGIO ESTADUAL DO CAMPO HAMILTON RIOS DE ARAÚJO - POVOADO DE SÃO JOÃO</v>
      </c>
      <c r="H260" s="119" t="s">
        <v>1135</v>
      </c>
      <c r="I260" s="91" t="s">
        <v>1136</v>
      </c>
      <c r="J260" s="136" t="s">
        <v>149</v>
      </c>
      <c r="K260" s="83" t="s">
        <v>240</v>
      </c>
      <c r="L260" s="83" t="s">
        <v>151</v>
      </c>
      <c r="M260" s="83" t="s">
        <v>169</v>
      </c>
      <c r="N260" s="98" t="s">
        <v>1137</v>
      </c>
      <c r="O260" s="98" t="s">
        <v>155</v>
      </c>
      <c r="P260" s="99" t="str">
        <f>IFERROR(__xludf.DUMMYFUNCTION("IFERROR(VLOOKUP(AS260,IMPORTRANGE(""https://docs.google.com/spreadsheets/d/1juPI-Fb8LD0YtltB2mlGEnp_R3UVu1t3wSFPzgCyHXE/edit?gid=0#gid=0"",""GERAL!A2:C""),3,0),""-"")"),"CAMPO")</f>
        <v>CAMPO</v>
      </c>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v>1115717.0</v>
      </c>
    </row>
    <row r="261" ht="15.75" customHeight="1">
      <c r="A261" s="111" t="s">
        <v>383</v>
      </c>
      <c r="B261" s="83" t="s">
        <v>1124</v>
      </c>
      <c r="C261" s="83" t="s">
        <v>68</v>
      </c>
      <c r="D261" s="112">
        <v>1115679.0</v>
      </c>
      <c r="E261" s="83"/>
      <c r="F261" s="83">
        <v>2.9139155E7</v>
      </c>
      <c r="G261" s="91" t="str">
        <f>IFERROR(__xludf.DUMMYFUNCTION("XLOOKUP(AS261,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DUQUE DE CAXIAS")</f>
        <v>COLÉGIO ESTADUAL DO CAMPO DUQUE DE CAXIAS</v>
      </c>
      <c r="H261" s="114" t="s">
        <v>1138</v>
      </c>
      <c r="I261" s="91" t="s">
        <v>1139</v>
      </c>
      <c r="J261" s="83" t="s">
        <v>149</v>
      </c>
      <c r="K261" s="83" t="s">
        <v>240</v>
      </c>
      <c r="L261" s="83" t="s">
        <v>151</v>
      </c>
      <c r="M261" s="83" t="s">
        <v>169</v>
      </c>
      <c r="N261" s="98" t="s">
        <v>1140</v>
      </c>
      <c r="O261" s="98" t="s">
        <v>155</v>
      </c>
      <c r="P261" s="99" t="str">
        <f>IFERROR(__xludf.DUMMYFUNCTION("IFERROR(VLOOKUP(AS261,IMPORTRANGE(""https://docs.google.com/spreadsheets/d/1juPI-Fb8LD0YtltB2mlGEnp_R3UVu1t3wSFPzgCyHXE/edit?gid=0#gid=0"",""GERAL!A2:C""),3,0),""-"")"),"CAMPO")</f>
        <v>CAMPO</v>
      </c>
      <c r="Q261" s="83"/>
      <c r="R261" s="98">
        <v>6.0</v>
      </c>
      <c r="S261" s="98">
        <v>0.0</v>
      </c>
      <c r="T261" s="98">
        <v>2.0</v>
      </c>
      <c r="U261" s="98">
        <v>0.0</v>
      </c>
      <c r="V261" s="98">
        <v>0.0</v>
      </c>
      <c r="W261" s="98">
        <v>1.0</v>
      </c>
      <c r="X261" s="98">
        <v>0.0</v>
      </c>
      <c r="Y261" s="98">
        <v>0.0</v>
      </c>
      <c r="Z261" s="98">
        <v>0.0</v>
      </c>
      <c r="AA261" s="98">
        <v>0.0</v>
      </c>
      <c r="AB261" s="98">
        <v>0.0</v>
      </c>
      <c r="AC261" s="98">
        <v>0.0</v>
      </c>
      <c r="AD261" s="98">
        <v>0.0</v>
      </c>
      <c r="AE261" s="98">
        <v>0.0</v>
      </c>
      <c r="AF261" s="98">
        <v>0.0</v>
      </c>
      <c r="AG261" s="98">
        <v>1.0</v>
      </c>
      <c r="AH261" s="98">
        <v>0.0</v>
      </c>
      <c r="AI261" s="98">
        <v>0.0</v>
      </c>
      <c r="AJ261" s="98">
        <v>0.0</v>
      </c>
      <c r="AK261" s="98">
        <v>0.0</v>
      </c>
      <c r="AL261" s="98">
        <v>0.0</v>
      </c>
      <c r="AM261" s="98">
        <v>0.0</v>
      </c>
      <c r="AN261" s="98">
        <v>0.0</v>
      </c>
      <c r="AO261" s="98">
        <v>0.0</v>
      </c>
      <c r="AP261" s="98">
        <v>2.0</v>
      </c>
      <c r="AQ261" s="98" t="s">
        <v>1141</v>
      </c>
      <c r="AR261" s="102">
        <v>46245.0</v>
      </c>
      <c r="AS261" s="83">
        <v>1115679.0</v>
      </c>
    </row>
    <row r="262" ht="15.75" customHeight="1">
      <c r="A262" s="111" t="s">
        <v>383</v>
      </c>
      <c r="B262" s="83" t="s">
        <v>1124</v>
      </c>
      <c r="C262" s="83" t="s">
        <v>68</v>
      </c>
      <c r="D262" s="112">
        <v>1115660.0</v>
      </c>
      <c r="E262" s="83"/>
      <c r="F262" s="83">
        <v>2.9138442E7</v>
      </c>
      <c r="G262" s="91" t="str">
        <f>IFERROR(__xludf.DUMMYFUNCTION("XLOOKUP(AS262,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BANDIAÇÚ")</f>
        <v>COLÉGIO ESTADUAL DO CAMPO DE BANDIAÇÚ</v>
      </c>
      <c r="H262" s="119" t="s">
        <v>1142</v>
      </c>
      <c r="I262" s="91" t="s">
        <v>1143</v>
      </c>
      <c r="J262" s="83" t="s">
        <v>1144</v>
      </c>
      <c r="K262" s="83" t="s">
        <v>822</v>
      </c>
      <c r="L262" s="83" t="s">
        <v>151</v>
      </c>
      <c r="M262" s="83" t="s">
        <v>169</v>
      </c>
      <c r="N262" s="98" t="s">
        <v>1145</v>
      </c>
      <c r="O262" s="98" t="s">
        <v>155</v>
      </c>
      <c r="P262" s="99" t="str">
        <f>IFERROR(__xludf.DUMMYFUNCTION("IFERROR(VLOOKUP(AS262,IMPORTRANGE(""https://docs.google.com/spreadsheets/d/1juPI-Fb8LD0YtltB2mlGEnp_R3UVu1t3wSFPzgCyHXE/edit?gid=0#gid=0"",""GERAL!A2:C""),3,0),""-"")"),"CAMPO")</f>
        <v>CAMPO</v>
      </c>
      <c r="Q262" s="101" t="s">
        <v>156</v>
      </c>
      <c r="R262" s="98">
        <v>5.0</v>
      </c>
      <c r="S262" s="98">
        <v>0.0</v>
      </c>
      <c r="T262" s="98">
        <v>0.0</v>
      </c>
      <c r="U262" s="98">
        <v>0.0</v>
      </c>
      <c r="V262" s="98">
        <v>0.0</v>
      </c>
      <c r="W262" s="98">
        <v>0.0</v>
      </c>
      <c r="X262" s="98">
        <v>0.0</v>
      </c>
      <c r="Y262" s="98">
        <v>1.0</v>
      </c>
      <c r="Z262" s="98">
        <v>0.0</v>
      </c>
      <c r="AA262" s="98">
        <v>1.0</v>
      </c>
      <c r="AB262" s="98">
        <v>0.0</v>
      </c>
      <c r="AC262" s="98">
        <v>1.0</v>
      </c>
      <c r="AD262" s="98">
        <v>0.0</v>
      </c>
      <c r="AE262" s="98">
        <v>0.0</v>
      </c>
      <c r="AF262" s="98">
        <v>0.0</v>
      </c>
      <c r="AG262" s="98">
        <v>0.0</v>
      </c>
      <c r="AH262" s="98">
        <v>0.0</v>
      </c>
      <c r="AI262" s="98">
        <v>0.0</v>
      </c>
      <c r="AJ262" s="98">
        <v>0.0</v>
      </c>
      <c r="AK262" s="98">
        <v>0.0</v>
      </c>
      <c r="AL262" s="98">
        <v>0.0</v>
      </c>
      <c r="AM262" s="98">
        <v>0.0</v>
      </c>
      <c r="AN262" s="98">
        <v>0.0</v>
      </c>
      <c r="AO262" s="98">
        <v>0.0</v>
      </c>
      <c r="AP262" s="98">
        <v>3.0</v>
      </c>
      <c r="AQ262" s="98" t="s">
        <v>1146</v>
      </c>
      <c r="AR262" s="102">
        <v>46245.0</v>
      </c>
      <c r="AS262" s="83">
        <v>1115660.0</v>
      </c>
    </row>
    <row r="263" ht="15.75" customHeight="1">
      <c r="A263" s="111" t="s">
        <v>383</v>
      </c>
      <c r="B263" s="83" t="s">
        <v>1124</v>
      </c>
      <c r="C263" s="83" t="s">
        <v>68</v>
      </c>
      <c r="D263" s="112">
        <v>1115733.0</v>
      </c>
      <c r="E263" s="83"/>
      <c r="F263" s="83">
        <v>2.9137845E7</v>
      </c>
      <c r="G263" s="91" t="str">
        <f>IFERROR(__xludf.DUMMYFUNCTION("XLOOKUP(AS263,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AÇUDINHO")</f>
        <v>COLÉGIO ESTADUAL DO AÇUDINHO</v>
      </c>
      <c r="H263" s="114" t="s">
        <v>1147</v>
      </c>
      <c r="I263" s="91" t="s">
        <v>1148</v>
      </c>
      <c r="J263" s="83" t="s">
        <v>1149</v>
      </c>
      <c r="K263" s="83" t="s">
        <v>150</v>
      </c>
      <c r="L263" s="83" t="s">
        <v>151</v>
      </c>
      <c r="M263" s="83" t="s">
        <v>230</v>
      </c>
      <c r="N263" s="98" t="s">
        <v>1150</v>
      </c>
      <c r="O263" s="98" t="s">
        <v>155</v>
      </c>
      <c r="P263" s="99" t="str">
        <f>IFERROR(__xludf.DUMMYFUNCTION("IFERROR(VLOOKUP(AS263,IMPORTRANGE(""https://docs.google.com/spreadsheets/d/1juPI-Fb8LD0YtltB2mlGEnp_R3UVu1t3wSFPzgCyHXE/edit?gid=0#gid=0"",""GERAL!A2:C""),3,0),""-"")"),"CAMPO")</f>
        <v>CAMPO</v>
      </c>
      <c r="Q263" s="101" t="s">
        <v>156</v>
      </c>
      <c r="R263" s="98">
        <v>10.0</v>
      </c>
      <c r="S263" s="98">
        <v>0.0</v>
      </c>
      <c r="T263" s="98">
        <v>0.0</v>
      </c>
      <c r="U263" s="98">
        <v>0.0</v>
      </c>
      <c r="V263" s="98">
        <v>0.0</v>
      </c>
      <c r="W263" s="98">
        <v>0.0</v>
      </c>
      <c r="X263" s="98">
        <v>1.0</v>
      </c>
      <c r="Y263" s="98">
        <v>0.0</v>
      </c>
      <c r="Z263" s="98">
        <v>0.0</v>
      </c>
      <c r="AA263" s="98">
        <v>0.0</v>
      </c>
      <c r="AB263" s="98">
        <v>0.0</v>
      </c>
      <c r="AC263" s="98">
        <v>0.0</v>
      </c>
      <c r="AD263" s="98">
        <v>0.0</v>
      </c>
      <c r="AE263" s="98">
        <v>0.0</v>
      </c>
      <c r="AF263" s="98">
        <v>0.0</v>
      </c>
      <c r="AG263" s="98">
        <v>0.0</v>
      </c>
      <c r="AH263" s="98">
        <v>0.0</v>
      </c>
      <c r="AI263" s="98">
        <v>0.0</v>
      </c>
      <c r="AJ263" s="98">
        <v>0.0</v>
      </c>
      <c r="AK263" s="98">
        <v>0.0</v>
      </c>
      <c r="AL263" s="98">
        <v>0.0</v>
      </c>
      <c r="AM263" s="98">
        <v>0.0</v>
      </c>
      <c r="AN263" s="98">
        <v>0.0</v>
      </c>
      <c r="AO263" s="98">
        <v>0.0</v>
      </c>
      <c r="AP263" s="98">
        <v>1.0</v>
      </c>
      <c r="AQ263" s="98" t="s">
        <v>1152</v>
      </c>
      <c r="AR263" s="102">
        <v>46245.0</v>
      </c>
      <c r="AS263" s="83">
        <v>1115733.0</v>
      </c>
    </row>
    <row r="264" ht="15.75" customHeight="1">
      <c r="A264" s="111" t="s">
        <v>383</v>
      </c>
      <c r="B264" s="83" t="s">
        <v>1124</v>
      </c>
      <c r="C264" s="83" t="s">
        <v>68</v>
      </c>
      <c r="D264" s="112">
        <v>1178073.0</v>
      </c>
      <c r="E264" s="83"/>
      <c r="F264" s="83">
        <v>2.94322E7</v>
      </c>
      <c r="G264" s="91" t="str">
        <f>IFERROR(__xludf.DUMMYFUNCTION("XLOOKUP(AS264,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PROFESSORA OLGARINA PITANGUEIRA PINHEIRO")</f>
        <v>CENTRO ESTADUAL DE EDUCAÇÃO PROFISSIONAL PROFESSORA OLGARINA PITANGUEIRA PINHEIRO</v>
      </c>
      <c r="H264" s="119" t="s">
        <v>1153</v>
      </c>
      <c r="I264" s="91" t="s">
        <v>1155</v>
      </c>
      <c r="J264" s="83" t="s">
        <v>149</v>
      </c>
      <c r="K264" s="83" t="s">
        <v>150</v>
      </c>
      <c r="L264" s="83" t="s">
        <v>151</v>
      </c>
      <c r="M264" s="83" t="s">
        <v>76</v>
      </c>
      <c r="N264" s="98" t="s">
        <v>1156</v>
      </c>
      <c r="O264" s="98" t="s">
        <v>284</v>
      </c>
      <c r="P264" s="99" t="str">
        <f>IFERROR(__xludf.DUMMYFUNCTION("IFERROR(VLOOKUP(AS264,IMPORTRANGE(""https://docs.google.com/spreadsheets/d/1juPI-Fb8LD0YtltB2mlGEnp_R3UVu1t3wSFPzgCyHXE/edit?gid=0#gid=0"",""GERAL!A2:C""),3,0),""-"")"),"-")</f>
        <v>-</v>
      </c>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v>1178073.0</v>
      </c>
    </row>
    <row r="265" ht="15.75" customHeight="1">
      <c r="A265" s="111" t="s">
        <v>383</v>
      </c>
      <c r="B265" s="83" t="s">
        <v>1157</v>
      </c>
      <c r="C265" s="83" t="s">
        <v>68</v>
      </c>
      <c r="D265" s="112">
        <v>1177070.0</v>
      </c>
      <c r="E265" s="83"/>
      <c r="F265" s="83">
        <v>2.9410975E7</v>
      </c>
      <c r="G265" s="91" t="str">
        <f>IFERROR(__xludf.DUMMYFUNCTION("XLOOKUP(AS265,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ARISTIDES  CEDRAZ DE OLIVEIRA")</f>
        <v>COLÉGIO ESTADUAL DE TEMPO INTEGRAL ARISTIDES  CEDRAZ DE OLIVEIRA</v>
      </c>
      <c r="H265" s="114" t="s">
        <v>1158</v>
      </c>
      <c r="I265" s="91" t="s">
        <v>1159</v>
      </c>
      <c r="J265" s="136" t="s">
        <v>149</v>
      </c>
      <c r="K265" s="136" t="s">
        <v>150</v>
      </c>
      <c r="L265" s="136" t="s">
        <v>151</v>
      </c>
      <c r="M265" s="115" t="s">
        <v>152</v>
      </c>
      <c r="N265" s="98" t="s">
        <v>1160</v>
      </c>
      <c r="O265" s="98" t="s">
        <v>176</v>
      </c>
      <c r="P265" s="99" t="str">
        <f>IFERROR(__xludf.DUMMYFUNCTION("IFERROR(VLOOKUP(AS265,IMPORTRANGE(""https://docs.google.com/spreadsheets/d/1juPI-Fb8LD0YtltB2mlGEnp_R3UVu1t3wSFPzgCyHXE/edit?gid=0#gid=0"",""GERAL!A2:C""),3,0),""-"")"),"-")</f>
        <v>-</v>
      </c>
      <c r="Q265" s="83"/>
      <c r="R265" s="98">
        <v>11.0</v>
      </c>
      <c r="S265" s="98">
        <v>0.0</v>
      </c>
      <c r="T265" s="98">
        <v>1.0</v>
      </c>
      <c r="U265" s="98">
        <v>1.0</v>
      </c>
      <c r="V265" s="98">
        <v>1.0</v>
      </c>
      <c r="W265" s="98">
        <v>0.0</v>
      </c>
      <c r="X265" s="98">
        <v>1.0</v>
      </c>
      <c r="Y265" s="98">
        <v>0.0</v>
      </c>
      <c r="Z265" s="98">
        <v>1.0</v>
      </c>
      <c r="AA265" s="98">
        <v>0.0</v>
      </c>
      <c r="AB265" s="98">
        <v>1.0</v>
      </c>
      <c r="AC265" s="98">
        <v>0.0</v>
      </c>
      <c r="AD265" s="98">
        <v>0.0</v>
      </c>
      <c r="AE265" s="98">
        <v>0.0</v>
      </c>
      <c r="AF265" s="98">
        <v>1.0</v>
      </c>
      <c r="AG265" s="98">
        <v>0.0</v>
      </c>
      <c r="AH265" s="98">
        <v>0.0</v>
      </c>
      <c r="AI265" s="98">
        <v>0.0</v>
      </c>
      <c r="AJ265" s="98">
        <v>1.0</v>
      </c>
      <c r="AK265" s="98">
        <v>0.0</v>
      </c>
      <c r="AL265" s="98">
        <v>0.0</v>
      </c>
      <c r="AM265" s="98">
        <v>0.0</v>
      </c>
      <c r="AN265" s="98">
        <v>0.0</v>
      </c>
      <c r="AO265" s="98">
        <v>0.0</v>
      </c>
      <c r="AP265" s="98">
        <v>2.0</v>
      </c>
      <c r="AQ265" s="98" t="s">
        <v>1162</v>
      </c>
      <c r="AR265" s="102">
        <v>46241.0</v>
      </c>
      <c r="AS265" s="83">
        <v>1177070.0</v>
      </c>
    </row>
    <row r="266" ht="15.75" customHeight="1">
      <c r="A266" s="111" t="s">
        <v>383</v>
      </c>
      <c r="B266" s="83" t="s">
        <v>1163</v>
      </c>
      <c r="C266" s="83" t="s">
        <v>45</v>
      </c>
      <c r="D266" s="112">
        <v>1178419.0</v>
      </c>
      <c r="E266" s="83"/>
      <c r="F266" s="83">
        <v>2.9398363E7</v>
      </c>
      <c r="G266" s="91" t="str">
        <f>IFERROR(__xludf.DUMMYFUNCTION("XLOOKUP(AS266,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ITIUBA")</f>
        <v>ESCOLA FAMILIA AGRICOLA DE ITIUBA</v>
      </c>
      <c r="H266" s="114" t="s">
        <v>1164</v>
      </c>
      <c r="I266" s="91" t="s">
        <v>1165</v>
      </c>
      <c r="J266" s="136" t="s">
        <v>1166</v>
      </c>
      <c r="K266" s="115" t="s">
        <v>240</v>
      </c>
      <c r="L266" s="136" t="s">
        <v>171</v>
      </c>
      <c r="M266" s="136" t="s">
        <v>76</v>
      </c>
      <c r="N266" s="115" t="s">
        <v>1167</v>
      </c>
      <c r="O266" s="98" t="s">
        <v>155</v>
      </c>
      <c r="P266" s="99" t="str">
        <f>IFERROR(__xludf.DUMMYFUNCTION("IFERROR(VLOOKUP(AS266,IMPORTRANGE(""https://docs.google.com/spreadsheets/d/1juPI-Fb8LD0YtltB2mlGEnp_R3UVu1t3wSFPzgCyHXE/edit?gid=0#gid=0"",""GERAL!A2:C""),3,0),""-"")"),"EFA")</f>
        <v>EFA</v>
      </c>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v>1178419.0</v>
      </c>
    </row>
    <row r="267" ht="15.75" customHeight="1">
      <c r="A267" s="111" t="s">
        <v>383</v>
      </c>
      <c r="B267" s="83" t="s">
        <v>1163</v>
      </c>
      <c r="C267" s="83" t="s">
        <v>68</v>
      </c>
      <c r="D267" s="112">
        <v>1178099.0</v>
      </c>
      <c r="E267" s="83"/>
      <c r="F267" s="83">
        <v>2.9431573E7</v>
      </c>
      <c r="G267" s="91" t="str">
        <f>IFERROR(__xludf.DUMMYFUNCTION("XLOOKUP(AS267,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EM TEMPO INTEGRAL ARY SILVA  ")</f>
        <v>COLÉGIO ESTADUAL EM TEMPO INTEGRAL ARY SILVA  </v>
      </c>
      <c r="H267" s="119" t="s">
        <v>1168</v>
      </c>
      <c r="I267" s="91" t="s">
        <v>1169</v>
      </c>
      <c r="J267" s="83" t="s">
        <v>149</v>
      </c>
      <c r="K267" s="83" t="s">
        <v>150</v>
      </c>
      <c r="L267" s="83" t="s">
        <v>151</v>
      </c>
      <c r="M267" s="98" t="s">
        <v>230</v>
      </c>
      <c r="N267" s="137" t="s">
        <v>1170</v>
      </c>
      <c r="O267" s="98" t="s">
        <v>176</v>
      </c>
      <c r="P267" s="99" t="str">
        <f>IFERROR(__xludf.DUMMYFUNCTION("IFERROR(VLOOKUP(AS267,IMPORTRANGE(""https://docs.google.com/spreadsheets/d/1juPI-Fb8LD0YtltB2mlGEnp_R3UVu1t3wSFPzgCyHXE/edit?gid=0#gid=0"",""GERAL!A2:C""),3,0),""-"")"),"-")</f>
        <v>-</v>
      </c>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v>1178099.0</v>
      </c>
    </row>
    <row r="268" ht="15.75" customHeight="1">
      <c r="A268" s="111" t="s">
        <v>383</v>
      </c>
      <c r="B268" s="83" t="s">
        <v>1163</v>
      </c>
      <c r="C268" s="83" t="s">
        <v>68</v>
      </c>
      <c r="D268" s="112">
        <v>1178273.0</v>
      </c>
      <c r="E268" s="83"/>
      <c r="F268" s="83">
        <v>2.9447763E7</v>
      </c>
      <c r="G268" s="91" t="str">
        <f>IFERROR(__xludf.DUMMYFUNCTION("XLOOKUP(AS268,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JOÃO FRANCISCO DA SILVA - DISTRITO DE ROMULO CAMPOS")</f>
        <v>COLÉGIO ESTADUAL DO CAMPO DE TEMPO INTEGRAL JOÃO FRANCISCO DA SILVA - DISTRITO DE ROMULO CAMPOS</v>
      </c>
      <c r="H268" s="218" t="s">
        <v>1171</v>
      </c>
      <c r="I268" s="91" t="s">
        <v>1172</v>
      </c>
      <c r="J268" s="136" t="s">
        <v>149</v>
      </c>
      <c r="K268" s="136" t="s">
        <v>1173</v>
      </c>
      <c r="L268" s="136" t="s">
        <v>151</v>
      </c>
      <c r="M268" s="115" t="s">
        <v>76</v>
      </c>
      <c r="N268" s="98" t="s">
        <v>1174</v>
      </c>
      <c r="O268" s="98" t="s">
        <v>155</v>
      </c>
      <c r="P268" s="99" t="str">
        <f>IFERROR(__xludf.DUMMYFUNCTION("IFERROR(VLOOKUP(AS268,IMPORTRANGE(""https://docs.google.com/spreadsheets/d/1juPI-Fb8LD0YtltB2mlGEnp_R3UVu1t3wSFPzgCyHXE/edit?gid=0#gid=0"",""GERAL!A2:C""),3,0),""-"")"),"CAMPO")</f>
        <v>CAMPO</v>
      </c>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v>1178273.0</v>
      </c>
    </row>
    <row r="269" ht="15.75" customHeight="1">
      <c r="A269" s="111" t="s">
        <v>383</v>
      </c>
      <c r="B269" s="83" t="s">
        <v>1163</v>
      </c>
      <c r="C269" s="83" t="s">
        <v>164</v>
      </c>
      <c r="D269" s="112">
        <v>1178099.0</v>
      </c>
      <c r="E269" s="83">
        <v>1178996.0</v>
      </c>
      <c r="F269" s="83"/>
      <c r="G269" s="91" t="str">
        <f>IFERROR(__xludf.DUMMYFUNCTION("XLOOKUP(AS269,
IMPORTRANGE(""https://docs.google.com/spreadsheets/d/1YM-djuOLXomrZ9W0B4TyIBsVWnXY4EIOFD9HY-qGfv0/edit?usp=sharing"",""GERAL!BG5:BG""),
IMPORTRANGE(""https://docs.google.com/spreadsheets/d/1YM-djuOLXomrZ9W0B4TyIBsVWnXY4EIOFD9HY-qGfv0/edit?u"&amp;"sp=sharing"",""GERAL!G5:G""),
""CÓD. SEC NÃO ENCONTRADO NA PLANILHA DE MATRÍCULA"")"),"ANEXO COLÉGIO ESTADUAL ARY SILVA - POVOADO DE CACIMBAS")</f>
        <v>ANEXO COLÉGIO ESTADUAL ARY SILVA - POVOADO DE CACIMBAS</v>
      </c>
      <c r="H269" s="185" t="s">
        <v>1175</v>
      </c>
      <c r="I269" s="91" t="s">
        <v>1176</v>
      </c>
      <c r="J269" s="83" t="s">
        <v>149</v>
      </c>
      <c r="K269" s="136" t="s">
        <v>240</v>
      </c>
      <c r="L269" s="83" t="s">
        <v>151</v>
      </c>
      <c r="M269" s="83" t="s">
        <v>169</v>
      </c>
      <c r="N269" s="115" t="s">
        <v>170</v>
      </c>
      <c r="O269" s="98" t="s">
        <v>155</v>
      </c>
      <c r="P269" s="99" t="str">
        <f>IFERROR(__xludf.DUMMYFUNCTION("IFERROR(VLOOKUP(AS269,IMPORTRANGE(""https://docs.google.com/spreadsheets/d/1juPI-Fb8LD0YtltB2mlGEnp_R3UVu1t3wSFPzgCyHXE/edit?gid=0#gid=0"",""GERAL!A2:C""),3,0),""-"")"),"CAMPO")</f>
        <v>CAMPO</v>
      </c>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v>1178996.0</v>
      </c>
    </row>
    <row r="270" ht="15.75" customHeight="1">
      <c r="A270" s="111" t="s">
        <v>383</v>
      </c>
      <c r="B270" s="83" t="s">
        <v>1163</v>
      </c>
      <c r="C270" s="83" t="s">
        <v>164</v>
      </c>
      <c r="D270" s="112">
        <v>1178099.0</v>
      </c>
      <c r="E270" s="83">
        <v>1178994.0</v>
      </c>
      <c r="F270" s="83"/>
      <c r="G270" s="91" t="str">
        <f>IFERROR(__xludf.DUMMYFUNCTION("XLOOKUP(AS270,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DISTRITO DE PICOS")</f>
        <v>ANEXO - COLÉGIO ESTADUAL ARY SILVA - DISTRITO DE PICOS</v>
      </c>
      <c r="H270" s="185" t="s">
        <v>1177</v>
      </c>
      <c r="I270" s="91" t="s">
        <v>1178</v>
      </c>
      <c r="J270" s="83" t="s">
        <v>1179</v>
      </c>
      <c r="K270" s="83" t="s">
        <v>822</v>
      </c>
      <c r="L270" s="83" t="s">
        <v>151</v>
      </c>
      <c r="M270" s="83" t="s">
        <v>512</v>
      </c>
      <c r="N270" s="115" t="s">
        <v>170</v>
      </c>
      <c r="O270" s="98" t="s">
        <v>155</v>
      </c>
      <c r="P270" s="99" t="str">
        <f>IFERROR(__xludf.DUMMYFUNCTION("IFERROR(VLOOKUP(AS270,IMPORTRANGE(""https://docs.google.com/spreadsheets/d/1juPI-Fb8LD0YtltB2mlGEnp_R3UVu1t3wSFPzgCyHXE/edit?gid=0#gid=0"",""GERAL!A2:C""),3,0),""-"")"),"CAMPO")</f>
        <v>CAMPO</v>
      </c>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v>1178994.0</v>
      </c>
    </row>
    <row r="271" ht="15.75" customHeight="1">
      <c r="A271" s="111" t="s">
        <v>383</v>
      </c>
      <c r="B271" s="83" t="s">
        <v>1163</v>
      </c>
      <c r="C271" s="83" t="s">
        <v>164</v>
      </c>
      <c r="D271" s="112">
        <v>1178099.0</v>
      </c>
      <c r="E271" s="83">
        <v>1178993.0</v>
      </c>
      <c r="F271" s="83"/>
      <c r="G271" s="91" t="str">
        <f>IFERROR(__xludf.DUMMYFUNCTION("XLOOKUP(AS271,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DISTRITO DE PIAUS")</f>
        <v>ANEXO - COLÉGIO ESTADUAL ARY SILVA - DISTRITO DE PIAUS</v>
      </c>
      <c r="H271" s="185" t="s">
        <v>1180</v>
      </c>
      <c r="I271" s="91" t="s">
        <v>1181</v>
      </c>
      <c r="J271" s="83" t="s">
        <v>1182</v>
      </c>
      <c r="K271" s="136" t="s">
        <v>784</v>
      </c>
      <c r="L271" s="83" t="s">
        <v>151</v>
      </c>
      <c r="M271" s="83" t="s">
        <v>169</v>
      </c>
      <c r="N271" s="115" t="s">
        <v>170</v>
      </c>
      <c r="O271" s="98" t="s">
        <v>155</v>
      </c>
      <c r="P271" s="99" t="str">
        <f>IFERROR(__xludf.DUMMYFUNCTION("IFERROR(VLOOKUP(AS271,IMPORTRANGE(""https://docs.google.com/spreadsheets/d/1juPI-Fb8LD0YtltB2mlGEnp_R3UVu1t3wSFPzgCyHXE/edit?gid=0#gid=0"",""GERAL!A2:C""),3,0),""-"")"),"CAMPO")</f>
        <v>CAMPO</v>
      </c>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v>1178993.0</v>
      </c>
    </row>
    <row r="272" ht="15.75" customHeight="1">
      <c r="A272" s="111" t="s">
        <v>383</v>
      </c>
      <c r="B272" s="83" t="s">
        <v>1163</v>
      </c>
      <c r="C272" s="83" t="s">
        <v>164</v>
      </c>
      <c r="D272" s="112">
        <v>1178099.0</v>
      </c>
      <c r="E272" s="83">
        <v>1178992.0</v>
      </c>
      <c r="F272" s="83"/>
      <c r="G272" s="91" t="str">
        <f>IFERROR(__xludf.DUMMYFUNCTION("XLOOKUP(AS272,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DISTRITO DE PEDRA SOLTA")</f>
        <v>ANEXO - COLÉGIO ESTADUAL ARY SILVA - DISTRITO DE PEDRA SOLTA</v>
      </c>
      <c r="H272" s="185" t="s">
        <v>1184</v>
      </c>
      <c r="I272" s="91" t="s">
        <v>1185</v>
      </c>
      <c r="J272" s="83" t="s">
        <v>1186</v>
      </c>
      <c r="K272" s="136" t="s">
        <v>315</v>
      </c>
      <c r="L272" s="83" t="s">
        <v>151</v>
      </c>
      <c r="M272" s="83" t="s">
        <v>169</v>
      </c>
      <c r="N272" s="115" t="s">
        <v>170</v>
      </c>
      <c r="O272" s="98" t="s">
        <v>155</v>
      </c>
      <c r="P272" s="99" t="str">
        <f>IFERROR(__xludf.DUMMYFUNCTION("IFERROR(VLOOKUP(AS272,IMPORTRANGE(""https://docs.google.com/spreadsheets/d/1juPI-Fb8LD0YtltB2mlGEnp_R3UVu1t3wSFPzgCyHXE/edit?gid=0#gid=0"",""GERAL!A2:C""),3,0),""-"")"),"CAMPO")</f>
        <v>CAMPO</v>
      </c>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v>1178992.0</v>
      </c>
    </row>
    <row r="273" ht="15.75" customHeight="1">
      <c r="A273" s="111" t="s">
        <v>383</v>
      </c>
      <c r="B273" s="83" t="s">
        <v>1163</v>
      </c>
      <c r="C273" s="83" t="s">
        <v>164</v>
      </c>
      <c r="D273" s="112">
        <v>1178099.0</v>
      </c>
      <c r="E273" s="83">
        <v>1178991.0</v>
      </c>
      <c r="F273" s="83"/>
      <c r="G273" s="91" t="str">
        <f>IFERROR(__xludf.DUMMYFUNCTION("XLOOKUP(AS273,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DISTRITO DE JACURICI DA LESTE")</f>
        <v>ANEXO - COLÉGIO ESTADUAL ARY SILVA - DISTRITO DE JACURICI DA LESTE</v>
      </c>
      <c r="H273" s="185" t="s">
        <v>1187</v>
      </c>
      <c r="I273" s="91" t="s">
        <v>1188</v>
      </c>
      <c r="J273" s="83" t="s">
        <v>1189</v>
      </c>
      <c r="K273" s="136" t="s">
        <v>187</v>
      </c>
      <c r="L273" s="83" t="s">
        <v>151</v>
      </c>
      <c r="M273" s="83" t="s">
        <v>169</v>
      </c>
      <c r="N273" s="115" t="s">
        <v>170</v>
      </c>
      <c r="O273" s="98" t="s">
        <v>155</v>
      </c>
      <c r="P273" s="99" t="str">
        <f>IFERROR(__xludf.DUMMYFUNCTION("IFERROR(VLOOKUP(AS273,IMPORTRANGE(""https://docs.google.com/spreadsheets/d/1juPI-Fb8LD0YtltB2mlGEnp_R3UVu1t3wSFPzgCyHXE/edit?gid=0#gid=0"",""GERAL!A2:C""),3,0),""-"")"),"CAMPO")</f>
        <v>CAMPO</v>
      </c>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v>1178991.0</v>
      </c>
    </row>
    <row r="274" ht="15.75" customHeight="1">
      <c r="A274" s="111" t="s">
        <v>383</v>
      </c>
      <c r="B274" s="83" t="s">
        <v>1163</v>
      </c>
      <c r="C274" s="83" t="s">
        <v>164</v>
      </c>
      <c r="D274" s="112">
        <v>1178099.0</v>
      </c>
      <c r="E274" s="83">
        <v>1178990.0</v>
      </c>
      <c r="F274" s="83"/>
      <c r="G274" s="91" t="str">
        <f>IFERROR(__xludf.DUMMYFUNCTION("XLOOKUP(AS274,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DISTRITO DE BELA VISTA DE COVAS")</f>
        <v>ANEXO - COLÉGIO ESTADUAL ARY SILVA - DISTRITO DE BELA VISTA DE COVAS</v>
      </c>
      <c r="H274" s="185" t="s">
        <v>1190</v>
      </c>
      <c r="I274" s="91" t="s">
        <v>1191</v>
      </c>
      <c r="J274" s="83" t="s">
        <v>1192</v>
      </c>
      <c r="K274" s="136" t="s">
        <v>577</v>
      </c>
      <c r="L274" s="83" t="s">
        <v>151</v>
      </c>
      <c r="M274" s="83" t="s">
        <v>169</v>
      </c>
      <c r="N274" s="115" t="s">
        <v>170</v>
      </c>
      <c r="O274" s="98" t="s">
        <v>155</v>
      </c>
      <c r="P274" s="99" t="str">
        <f>IFERROR(__xludf.DUMMYFUNCTION("IFERROR(VLOOKUP(AS274,IMPORTRANGE(""https://docs.google.com/spreadsheets/d/1juPI-Fb8LD0YtltB2mlGEnp_R3UVu1t3wSFPzgCyHXE/edit?gid=0#gid=0"",""GERAL!A2:C""),3,0),""-"")"),"CAMPO")</f>
        <v>CAMPO</v>
      </c>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v>1178990.0</v>
      </c>
    </row>
    <row r="275" ht="15.75" customHeight="1">
      <c r="A275" s="111" t="s">
        <v>383</v>
      </c>
      <c r="B275" s="83" t="s">
        <v>1163</v>
      </c>
      <c r="C275" s="83" t="s">
        <v>164</v>
      </c>
      <c r="D275" s="112">
        <v>1178099.0</v>
      </c>
      <c r="E275" s="83">
        <v>1178989.0</v>
      </c>
      <c r="F275" s="83"/>
      <c r="G275" s="91" t="str">
        <f>IFERROR(__xludf.DUMMYFUNCTION("XLOOKUP(AS275,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ARY SILVA - - DISTRITO DE ALTO DE SÃO GONCALO")</f>
        <v>ANEXO - COLÉGIO ESTADUAL ARY SILVA - - DISTRITO DE ALTO DE SÃO GONCALO</v>
      </c>
      <c r="H275" s="185" t="s">
        <v>1193</v>
      </c>
      <c r="I275" s="91" t="s">
        <v>1194</v>
      </c>
      <c r="J275" s="83" t="s">
        <v>1195</v>
      </c>
      <c r="K275" s="83" t="s">
        <v>331</v>
      </c>
      <c r="L275" s="83" t="s">
        <v>151</v>
      </c>
      <c r="M275" s="83" t="s">
        <v>169</v>
      </c>
      <c r="N275" s="115" t="s">
        <v>170</v>
      </c>
      <c r="O275" s="98" t="s">
        <v>155</v>
      </c>
      <c r="P275" s="99" t="str">
        <f>IFERROR(__xludf.DUMMYFUNCTION("IFERROR(VLOOKUP(AS275,IMPORTRANGE(""https://docs.google.com/spreadsheets/d/1juPI-Fb8LD0YtltB2mlGEnp_R3UVu1t3wSFPzgCyHXE/edit?gid=0#gid=0"",""GERAL!A2:C""),3,0),""-"")"),"CAMPO")</f>
        <v>CAMPO</v>
      </c>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v>1178989.0</v>
      </c>
    </row>
    <row r="276" ht="15.75" customHeight="1">
      <c r="A276" s="111" t="s">
        <v>383</v>
      </c>
      <c r="B276" s="83" t="s">
        <v>1163</v>
      </c>
      <c r="C276" s="83" t="s">
        <v>164</v>
      </c>
      <c r="D276" s="112">
        <v>1179292.0</v>
      </c>
      <c r="E276" s="83">
        <v>1178997.0</v>
      </c>
      <c r="F276" s="83"/>
      <c r="G276" s="91" t="str">
        <f>IFERROR(__xludf.DUMMYFUNCTION("XLOOKUP(AS276,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DE TAQUARI")</f>
        <v>ANEXO - CEMIT - SISAL - POVOADO DE TAQUARI</v>
      </c>
      <c r="H276" s="114" t="s">
        <v>1196</v>
      </c>
      <c r="I276" s="91" t="s">
        <v>1197</v>
      </c>
      <c r="J276" s="136" t="s">
        <v>1198</v>
      </c>
      <c r="K276" s="83" t="s">
        <v>209</v>
      </c>
      <c r="L276" s="83" t="s">
        <v>168</v>
      </c>
      <c r="M276" s="83" t="s">
        <v>169</v>
      </c>
      <c r="N276" s="115" t="s">
        <v>170</v>
      </c>
      <c r="O276" s="98" t="s">
        <v>155</v>
      </c>
      <c r="P276" s="99" t="str">
        <f>IFERROR(__xludf.DUMMYFUNCTION("IFERROR(VLOOKUP(AS276,IMPORTRANGE(""https://docs.google.com/spreadsheets/d/1juPI-Fb8LD0YtltB2mlGEnp_R3UVu1t3wSFPzgCyHXE/edit?gid=0#gid=0"",""GERAL!A2:C""),3,0),""-"")"),"-")</f>
        <v>-</v>
      </c>
      <c r="Q276" s="83"/>
      <c r="R276" s="83"/>
      <c r="S276" s="83"/>
      <c r="T276" s="83"/>
      <c r="U276" s="83"/>
      <c r="V276" s="83"/>
      <c r="W276" s="83"/>
      <c r="X276" s="83"/>
      <c r="Y276" s="83"/>
      <c r="Z276" s="83"/>
      <c r="AA276" s="83"/>
      <c r="AB276" s="83"/>
      <c r="AC276" s="83"/>
      <c r="AD276" s="83"/>
      <c r="AE276" s="98"/>
      <c r="AF276" s="98"/>
      <c r="AG276" s="83"/>
      <c r="AH276" s="83"/>
      <c r="AI276" s="83"/>
      <c r="AJ276" s="83"/>
      <c r="AK276" s="83"/>
      <c r="AL276" s="83"/>
      <c r="AM276" s="83"/>
      <c r="AN276" s="83"/>
      <c r="AO276" s="83"/>
      <c r="AP276" s="83"/>
      <c r="AQ276" s="83"/>
      <c r="AR276" s="83"/>
      <c r="AS276" s="83">
        <v>1178997.0</v>
      </c>
    </row>
    <row r="277" ht="15.75" customHeight="1">
      <c r="A277" s="111" t="s">
        <v>383</v>
      </c>
      <c r="B277" s="83" t="s">
        <v>1199</v>
      </c>
      <c r="C277" s="83" t="s">
        <v>68</v>
      </c>
      <c r="D277" s="112">
        <v>1178222.0</v>
      </c>
      <c r="E277" s="83"/>
      <c r="F277" s="83">
        <v>2.9443296E7</v>
      </c>
      <c r="G277" s="91" t="str">
        <f>IFERROR(__xludf.DUMMYFUNCTION("XLOOKUP(AS277,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DOUTOR JAIRO AZZI - EM TEMPO INTEGRAL")</f>
        <v>COLÉGIO ESTADUAL DOUTOR JAIRO AZZI - EM TEMPO INTEGRAL</v>
      </c>
      <c r="H277" s="114" t="s">
        <v>1200</v>
      </c>
      <c r="I277" s="91" t="s">
        <v>1201</v>
      </c>
      <c r="J277" s="83" t="s">
        <v>149</v>
      </c>
      <c r="K277" s="83" t="s">
        <v>150</v>
      </c>
      <c r="L277" s="83" t="s">
        <v>151</v>
      </c>
      <c r="M277" s="83" t="s">
        <v>169</v>
      </c>
      <c r="N277" s="98" t="s">
        <v>1202</v>
      </c>
      <c r="O277" s="98" t="s">
        <v>155</v>
      </c>
      <c r="P277" s="99" t="str">
        <f>IFERROR(__xludf.DUMMYFUNCTION("IFERROR(VLOOKUP(AS277,IMPORTRANGE(""https://docs.google.com/spreadsheets/d/1juPI-Fb8LD0YtltB2mlGEnp_R3UVu1t3wSFPzgCyHXE/edit?gid=0#gid=0"",""GERAL!A2:C""),3,0),""-"")"),"-")</f>
        <v>-</v>
      </c>
      <c r="Q277" s="101" t="s">
        <v>156</v>
      </c>
      <c r="R277" s="98">
        <v>7.0</v>
      </c>
      <c r="S277" s="98">
        <v>0.0</v>
      </c>
      <c r="T277" s="98">
        <v>1.0</v>
      </c>
      <c r="U277" s="98">
        <v>0.0</v>
      </c>
      <c r="V277" s="98">
        <v>1.0</v>
      </c>
      <c r="W277" s="98">
        <v>1.0</v>
      </c>
      <c r="X277" s="98">
        <v>0.0</v>
      </c>
      <c r="Y277" s="98">
        <v>1.0</v>
      </c>
      <c r="Z277" s="98">
        <v>0.0</v>
      </c>
      <c r="AA277" s="98">
        <v>0.0</v>
      </c>
      <c r="AB277" s="98">
        <v>0.0</v>
      </c>
      <c r="AC277" s="98">
        <v>0.0</v>
      </c>
      <c r="AD277" s="98">
        <v>0.0</v>
      </c>
      <c r="AE277" s="98">
        <v>0.0</v>
      </c>
      <c r="AF277" s="98">
        <v>0.0</v>
      </c>
      <c r="AG277" s="98">
        <v>1.0</v>
      </c>
      <c r="AH277" s="98">
        <v>0.0</v>
      </c>
      <c r="AI277" s="98">
        <v>0.0</v>
      </c>
      <c r="AJ277" s="98">
        <v>0.0</v>
      </c>
      <c r="AK277" s="98">
        <v>0.0</v>
      </c>
      <c r="AL277" s="98">
        <v>0.0</v>
      </c>
      <c r="AM277" s="98">
        <v>0.0</v>
      </c>
      <c r="AN277" s="98">
        <v>0.0</v>
      </c>
      <c r="AO277" s="98">
        <v>0.0</v>
      </c>
      <c r="AP277" s="98">
        <v>1.0</v>
      </c>
      <c r="AQ277" s="98" t="s">
        <v>237</v>
      </c>
      <c r="AR277" s="102">
        <v>46220.0</v>
      </c>
      <c r="AS277" s="83">
        <v>1178222.0</v>
      </c>
    </row>
    <row r="278" ht="15.75" customHeight="1">
      <c r="A278" s="111" t="s">
        <v>383</v>
      </c>
      <c r="B278" s="83" t="s">
        <v>1199</v>
      </c>
      <c r="C278" s="83" t="s">
        <v>68</v>
      </c>
      <c r="D278" s="112">
        <v>1116691.0</v>
      </c>
      <c r="E278" s="83"/>
      <c r="F278" s="83">
        <v>2.9146631E7</v>
      </c>
      <c r="G278" s="91" t="str">
        <f>IFERROR(__xludf.DUMMYFUNCTION("XLOOKUP(AS278,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SACO DO CORREIO")</f>
        <v>COLEGIO ESTADUAL DO CAMPO SACO DO CORREIO</v>
      </c>
      <c r="H278" s="119" t="s">
        <v>1203</v>
      </c>
      <c r="I278" s="91" t="s">
        <v>1204</v>
      </c>
      <c r="J278" s="83" t="s">
        <v>149</v>
      </c>
      <c r="K278" s="83" t="s">
        <v>327</v>
      </c>
      <c r="L278" s="83" t="s">
        <v>151</v>
      </c>
      <c r="M278" s="83" t="s">
        <v>169</v>
      </c>
      <c r="N278" s="98" t="s">
        <v>1205</v>
      </c>
      <c r="O278" s="98" t="s">
        <v>155</v>
      </c>
      <c r="P278" s="99" t="str">
        <f>IFERROR(__xludf.DUMMYFUNCTION("IFERROR(VLOOKUP(AS278,IMPORTRANGE(""https://docs.google.com/spreadsheets/d/1juPI-Fb8LD0YtltB2mlGEnp_R3UVu1t3wSFPzgCyHXE/edit?gid=0#gid=0"",""GERAL!A2:C""),3,0),""-"")"),"CAMPO")</f>
        <v>CAMPO</v>
      </c>
      <c r="Q278" s="101" t="s">
        <v>156</v>
      </c>
      <c r="R278" s="98">
        <v>6.0</v>
      </c>
      <c r="S278" s="98">
        <v>0.0</v>
      </c>
      <c r="T278" s="98">
        <v>5.0</v>
      </c>
      <c r="U278" s="98">
        <v>0.0</v>
      </c>
      <c r="V278" s="98">
        <v>1.0</v>
      </c>
      <c r="W278" s="98">
        <v>1.0</v>
      </c>
      <c r="X278" s="98">
        <v>1.0</v>
      </c>
      <c r="Y278" s="98">
        <v>0.0</v>
      </c>
      <c r="Z278" s="98">
        <v>0.0</v>
      </c>
      <c r="AA278" s="98">
        <v>0.0</v>
      </c>
      <c r="AB278" s="98">
        <v>0.0</v>
      </c>
      <c r="AC278" s="98">
        <v>0.0</v>
      </c>
      <c r="AD278" s="98">
        <v>0.0</v>
      </c>
      <c r="AE278" s="98">
        <v>0.0</v>
      </c>
      <c r="AF278" s="98">
        <v>0.0</v>
      </c>
      <c r="AG278" s="98">
        <v>1.0</v>
      </c>
      <c r="AH278" s="98">
        <v>0.0</v>
      </c>
      <c r="AI278" s="98">
        <v>0.0</v>
      </c>
      <c r="AJ278" s="98">
        <v>0.0</v>
      </c>
      <c r="AK278" s="98">
        <v>0.0</v>
      </c>
      <c r="AL278" s="98">
        <v>0.0</v>
      </c>
      <c r="AM278" s="98">
        <v>0.0</v>
      </c>
      <c r="AN278" s="98">
        <v>0.0</v>
      </c>
      <c r="AO278" s="98">
        <v>0.0</v>
      </c>
      <c r="AP278" s="98">
        <v>1.0</v>
      </c>
      <c r="AQ278" s="98" t="s">
        <v>1206</v>
      </c>
      <c r="AR278" s="102">
        <v>46220.0</v>
      </c>
      <c r="AS278" s="83">
        <v>1116691.0</v>
      </c>
    </row>
    <row r="279" ht="15.75" customHeight="1">
      <c r="A279" s="111" t="s">
        <v>383</v>
      </c>
      <c r="B279" s="83" t="s">
        <v>1207</v>
      </c>
      <c r="C279" s="83" t="s">
        <v>45</v>
      </c>
      <c r="D279" s="112">
        <v>1178382.0</v>
      </c>
      <c r="E279" s="83"/>
      <c r="F279" s="83">
        <v>2.9427223E7</v>
      </c>
      <c r="G279" s="91" t="str">
        <f>IFERROR(__xludf.DUMMYFUNCTION("XLOOKUP(AS279,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FAMÍLIA AGRÍCOLA DO SERTÃO - EFASE")</f>
        <v>ESCOLA FAMÍLIA AGRÍCOLA DO SERTÃO - EFASE</v>
      </c>
      <c r="H279" s="185" t="s">
        <v>1208</v>
      </c>
      <c r="I279" s="91" t="s">
        <v>1209</v>
      </c>
      <c r="J279" s="136" t="s">
        <v>576</v>
      </c>
      <c r="K279" s="229" t="s">
        <v>784</v>
      </c>
      <c r="L279" s="136" t="s">
        <v>171</v>
      </c>
      <c r="M279" s="136" t="s">
        <v>152</v>
      </c>
      <c r="N279" s="115" t="s">
        <v>1210</v>
      </c>
      <c r="O279" s="98" t="s">
        <v>155</v>
      </c>
      <c r="P279" s="99" t="str">
        <f>IFERROR(__xludf.DUMMYFUNCTION("IFERROR(VLOOKUP(AS279,IMPORTRANGE(""https://docs.google.com/spreadsheets/d/1juPI-Fb8LD0YtltB2mlGEnp_R3UVu1t3wSFPzgCyHXE/edit?gid=0#gid=0"",""GERAL!A2:C""),3,0),""-"")"),"EFA")</f>
        <v>EFA</v>
      </c>
      <c r="Q279" s="98" t="s">
        <v>171</v>
      </c>
      <c r="R279" s="98">
        <v>8.0</v>
      </c>
      <c r="S279" s="98">
        <v>0.0</v>
      </c>
      <c r="T279" s="98">
        <v>0.0</v>
      </c>
      <c r="U279" s="98">
        <v>0.0</v>
      </c>
      <c r="V279" s="98">
        <v>1.0</v>
      </c>
      <c r="W279" s="98">
        <v>1.0</v>
      </c>
      <c r="X279" s="98">
        <v>1.0</v>
      </c>
      <c r="Y279" s="98">
        <v>0.0</v>
      </c>
      <c r="Z279" s="98">
        <v>0.0</v>
      </c>
      <c r="AA279" s="98">
        <v>0.0</v>
      </c>
      <c r="AB279" s="98">
        <v>0.0</v>
      </c>
      <c r="AC279" s="98">
        <v>1.0</v>
      </c>
      <c r="AD279" s="98">
        <v>0.0</v>
      </c>
      <c r="AE279" s="98">
        <v>0.0</v>
      </c>
      <c r="AF279" s="98">
        <v>0.0</v>
      </c>
      <c r="AG279" s="98">
        <v>1.0</v>
      </c>
      <c r="AH279" s="98">
        <v>0.0</v>
      </c>
      <c r="AI279" s="98">
        <v>1.0</v>
      </c>
      <c r="AJ279" s="98">
        <v>0.0</v>
      </c>
      <c r="AK279" s="98">
        <v>0.0</v>
      </c>
      <c r="AL279" s="98">
        <v>0.0</v>
      </c>
      <c r="AM279" s="98">
        <v>0.0</v>
      </c>
      <c r="AN279" s="98">
        <v>0.0</v>
      </c>
      <c r="AO279" s="98">
        <v>0.0</v>
      </c>
      <c r="AP279" s="98">
        <v>0.0</v>
      </c>
      <c r="AQ279" s="98" t="s">
        <v>171</v>
      </c>
      <c r="AR279" s="102">
        <v>46220.0</v>
      </c>
      <c r="AS279" s="83">
        <v>1178382.0</v>
      </c>
    </row>
    <row r="280" ht="15.75" customHeight="1">
      <c r="A280" s="111" t="s">
        <v>383</v>
      </c>
      <c r="B280" s="83" t="s">
        <v>1207</v>
      </c>
      <c r="C280" s="83" t="s">
        <v>68</v>
      </c>
      <c r="D280" s="112">
        <v>1179389.0</v>
      </c>
      <c r="E280" s="83"/>
      <c r="F280" s="83">
        <v>2.9464382E7</v>
      </c>
      <c r="G280" s="91" t="str">
        <f>IFERROR(__xludf.DUMMYFUNCTION("XLOOKUP(AS280,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PEDRA VERMELHA - POVOADO DE PEDRA VERMELHA")</f>
        <v>COLÉGIO ESTADUAL DO CAMPO DE PEDRA VERMELHA - POVOADO DE PEDRA VERMELHA</v>
      </c>
      <c r="H280" s="114" t="s">
        <v>1211</v>
      </c>
      <c r="I280" s="91" t="s">
        <v>1212</v>
      </c>
      <c r="J280" s="83" t="s">
        <v>1213</v>
      </c>
      <c r="K280" s="83" t="s">
        <v>315</v>
      </c>
      <c r="L280" s="83" t="s">
        <v>151</v>
      </c>
      <c r="M280" s="83" t="s">
        <v>76</v>
      </c>
      <c r="N280" s="137" t="s">
        <v>1214</v>
      </c>
      <c r="O280" s="98" t="s">
        <v>162</v>
      </c>
      <c r="P280" s="99" t="str">
        <f>IFERROR(__xludf.DUMMYFUNCTION("IFERROR(VLOOKUP(AS280,IMPORTRANGE(""https://docs.google.com/spreadsheets/d/1juPI-Fb8LD0YtltB2mlGEnp_R3UVu1t3wSFPzgCyHXE/edit?gid=0#gid=0"",""GERAL!A2:C""),3,0),""-"")"),"CAMPO")</f>
        <v>CAMPO</v>
      </c>
      <c r="Q280" s="101" t="s">
        <v>156</v>
      </c>
      <c r="R280" s="98">
        <v>7.0</v>
      </c>
      <c r="S280" s="98">
        <v>0.0</v>
      </c>
      <c r="T280" s="98">
        <v>0.0</v>
      </c>
      <c r="U280" s="98">
        <v>0.0</v>
      </c>
      <c r="V280" s="98">
        <v>0.0</v>
      </c>
      <c r="W280" s="98">
        <v>1.0</v>
      </c>
      <c r="X280" s="98">
        <v>1.0</v>
      </c>
      <c r="Y280" s="98">
        <v>0.0</v>
      </c>
      <c r="Z280" s="98">
        <v>1.0</v>
      </c>
      <c r="AA280" s="98">
        <v>0.0</v>
      </c>
      <c r="AB280" s="98">
        <v>1.0</v>
      </c>
      <c r="AC280" s="98">
        <v>0.0</v>
      </c>
      <c r="AD280" s="98">
        <v>0.0</v>
      </c>
      <c r="AE280" s="98">
        <v>0.0</v>
      </c>
      <c r="AF280" s="98">
        <v>1.0</v>
      </c>
      <c r="AG280" s="98">
        <v>0.0</v>
      </c>
      <c r="AH280" s="98">
        <v>0.0</v>
      </c>
      <c r="AI280" s="98">
        <v>0.0</v>
      </c>
      <c r="AJ280" s="98">
        <v>0.0</v>
      </c>
      <c r="AK280" s="98">
        <v>1.0</v>
      </c>
      <c r="AL280" s="98">
        <v>0.0</v>
      </c>
      <c r="AM280" s="98">
        <v>0.0</v>
      </c>
      <c r="AN280" s="98">
        <v>0.0</v>
      </c>
      <c r="AO280" s="98">
        <v>0.0</v>
      </c>
      <c r="AP280" s="98">
        <v>0.0</v>
      </c>
      <c r="AQ280" s="98" t="s">
        <v>1215</v>
      </c>
      <c r="AR280" s="102">
        <v>46220.0</v>
      </c>
      <c r="AS280" s="83">
        <v>1179389.0</v>
      </c>
    </row>
    <row r="281" ht="15.75" customHeight="1">
      <c r="A281" s="111" t="s">
        <v>383</v>
      </c>
      <c r="B281" s="83" t="s">
        <v>1207</v>
      </c>
      <c r="C281" s="83" t="s">
        <v>68</v>
      </c>
      <c r="D281" s="112">
        <v>1177073.0</v>
      </c>
      <c r="E281" s="83"/>
      <c r="F281" s="83">
        <v>2.9411947E7</v>
      </c>
      <c r="G281" s="91" t="str">
        <f>IFERROR(__xludf.DUMMYFUNCTION("XLOOKUP(AS281,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SANTA CRUZ")</f>
        <v>COLEGIO ESTADUAL DE TEMPO INTEGRAL SANTA CRUZ</v>
      </c>
      <c r="H281" s="119" t="s">
        <v>1216</v>
      </c>
      <c r="I281" s="91" t="s">
        <v>1217</v>
      </c>
      <c r="J281" s="83" t="s">
        <v>149</v>
      </c>
      <c r="K281" s="83" t="s">
        <v>150</v>
      </c>
      <c r="L281" s="83" t="s">
        <v>151</v>
      </c>
      <c r="M281" s="83" t="s">
        <v>230</v>
      </c>
      <c r="N281" s="98" t="s">
        <v>1218</v>
      </c>
      <c r="O281" s="98" t="s">
        <v>176</v>
      </c>
      <c r="P281" s="99" t="str">
        <f>IFERROR(__xludf.DUMMYFUNCTION("IFERROR(VLOOKUP(AS281,IMPORTRANGE(""https://docs.google.com/spreadsheets/d/1juPI-Fb8LD0YtltB2mlGEnp_R3UVu1t3wSFPzgCyHXE/edit?gid=0#gid=0"",""GERAL!A2:C""),3,0),""-"")"),"-")</f>
        <v>-</v>
      </c>
      <c r="Q281" s="101" t="s">
        <v>156</v>
      </c>
      <c r="R281" s="98">
        <v>31.0</v>
      </c>
      <c r="S281" s="98">
        <v>0.0</v>
      </c>
      <c r="T281" s="98">
        <v>0.0</v>
      </c>
      <c r="U281" s="98">
        <v>0.0</v>
      </c>
      <c r="V281" s="98">
        <v>0.0</v>
      </c>
      <c r="W281" s="98">
        <v>0.0</v>
      </c>
      <c r="X281" s="98">
        <v>1.0</v>
      </c>
      <c r="Y281" s="98">
        <v>0.0</v>
      </c>
      <c r="Z281" s="98">
        <v>1.0</v>
      </c>
      <c r="AA281" s="98">
        <v>0.0</v>
      </c>
      <c r="AB281" s="98">
        <v>1.0</v>
      </c>
      <c r="AC281" s="98">
        <v>0.0</v>
      </c>
      <c r="AD281" s="98">
        <v>0.0</v>
      </c>
      <c r="AE281" s="98">
        <v>0.0</v>
      </c>
      <c r="AF281" s="98">
        <v>1.0</v>
      </c>
      <c r="AG281" s="98">
        <v>0.0</v>
      </c>
      <c r="AH281" s="98">
        <v>1.0</v>
      </c>
      <c r="AI281" s="98">
        <v>0.0</v>
      </c>
      <c r="AJ281" s="98">
        <v>0.0</v>
      </c>
      <c r="AK281" s="98">
        <v>1.0</v>
      </c>
      <c r="AL281" s="98">
        <v>0.0</v>
      </c>
      <c r="AM281" s="98">
        <v>1.0</v>
      </c>
      <c r="AN281" s="98">
        <v>0.0</v>
      </c>
      <c r="AO281" s="98">
        <v>1.0</v>
      </c>
      <c r="AP281" s="98">
        <v>7.0</v>
      </c>
      <c r="AQ281" s="98" t="s">
        <v>1219</v>
      </c>
      <c r="AR281" s="102">
        <v>46220.0</v>
      </c>
      <c r="AS281" s="83">
        <v>1177073.0</v>
      </c>
    </row>
    <row r="282" ht="15.75" customHeight="1">
      <c r="A282" s="111" t="s">
        <v>383</v>
      </c>
      <c r="B282" s="83" t="s">
        <v>1207</v>
      </c>
      <c r="C282" s="83" t="s">
        <v>164</v>
      </c>
      <c r="D282" s="98">
        <v>1179794.0</v>
      </c>
      <c r="E282" s="83"/>
      <c r="F282" s="83"/>
      <c r="G282" s="91" t="str">
        <f>IFERROR(__xludf.DUMMYFUNCTION("XLOOKUP(AS282,
IMPORTRANGE(""https://docs.google.com/spreadsheets/d/1YM-djuOLXomrZ9W0B4TyIBsVWnXY4EIOFD9HY-qGfv0/edit?usp=sharing"",""GERAL!BG5:BG""),
IMPORTRANGE(""https://docs.google.com/spreadsheets/d/1YM-djuOLXomrZ9W0B4TyIBsVWnXY4EIOFD9HY-qGfv0/edit?u"&amp;"sp=sharing"",""GERAL!G5:G""),
""CÓD. SEC NÃO ENCONTRADO NA PLANILHA DE MATRÍCULA"")"),"ANEXO - EFASE - COLÉGIO ESTADUAL DO CAMPO DE PEDRA VERMELHA - FAZENDA LAGOA DO PIMENTEL
")</f>
        <v>ANEXO - EFASE - COLÉGIO ESTADUAL DO CAMPO DE PEDRA VERMELHA - FAZENDA LAGOA DO PIMENTEL
</v>
      </c>
      <c r="H282" s="184" t="s">
        <v>1220</v>
      </c>
      <c r="I282" s="91"/>
      <c r="J282" s="136"/>
      <c r="K282" s="229"/>
      <c r="L282" s="136"/>
      <c r="M282" s="136"/>
      <c r="N282" s="115" t="s">
        <v>170</v>
      </c>
      <c r="O282" s="98"/>
      <c r="P282" s="99" t="str">
        <f>IFERROR(__xludf.DUMMYFUNCTION("IFERROR(VLOOKUP(AS282,IMPORTRANGE(""https://docs.google.com/spreadsheets/d/1juPI-Fb8LD0YtltB2mlGEnp_R3UVu1t3wSFPzgCyHXE/edit?gid=0#gid=0"",""GERAL!A2:C""),3,0),""-"")"),"-")</f>
        <v>-</v>
      </c>
      <c r="Q282" s="98" t="s">
        <v>171</v>
      </c>
      <c r="R282" s="98" t="s">
        <v>171</v>
      </c>
      <c r="S282" s="98" t="s">
        <v>171</v>
      </c>
      <c r="T282" s="98" t="s">
        <v>171</v>
      </c>
      <c r="U282" s="98" t="s">
        <v>171</v>
      </c>
      <c r="V282" s="98" t="s">
        <v>171</v>
      </c>
      <c r="W282" s="98" t="s">
        <v>171</v>
      </c>
      <c r="X282" s="98" t="s">
        <v>171</v>
      </c>
      <c r="Y282" s="98" t="s">
        <v>171</v>
      </c>
      <c r="Z282" s="98" t="s">
        <v>171</v>
      </c>
      <c r="AA282" s="98" t="s">
        <v>171</v>
      </c>
      <c r="AB282" s="98" t="s">
        <v>171</v>
      </c>
      <c r="AC282" s="98" t="s">
        <v>171</v>
      </c>
      <c r="AD282" s="98" t="s">
        <v>171</v>
      </c>
      <c r="AE282" s="98" t="s">
        <v>171</v>
      </c>
      <c r="AF282" s="98" t="s">
        <v>171</v>
      </c>
      <c r="AG282" s="98" t="s">
        <v>171</v>
      </c>
      <c r="AH282" s="98"/>
      <c r="AI282" s="98"/>
      <c r="AJ282" s="98" t="s">
        <v>171</v>
      </c>
      <c r="AK282" s="98" t="s">
        <v>171</v>
      </c>
      <c r="AL282" s="98" t="s">
        <v>171</v>
      </c>
      <c r="AM282" s="98" t="s">
        <v>171</v>
      </c>
      <c r="AN282" s="98" t="s">
        <v>171</v>
      </c>
      <c r="AO282" s="98" t="s">
        <v>171</v>
      </c>
      <c r="AP282" s="98" t="s">
        <v>171</v>
      </c>
      <c r="AQ282" s="98" t="s">
        <v>171</v>
      </c>
      <c r="AR282" s="102">
        <v>46220.0</v>
      </c>
      <c r="AS282" s="98">
        <v>1179794.0</v>
      </c>
    </row>
    <row r="283" ht="15.75" customHeight="1">
      <c r="A283" s="111" t="s">
        <v>383</v>
      </c>
      <c r="B283" s="83" t="s">
        <v>1221</v>
      </c>
      <c r="C283" s="83" t="s">
        <v>68</v>
      </c>
      <c r="D283" s="112">
        <v>1178091.0</v>
      </c>
      <c r="E283" s="83"/>
      <c r="F283" s="83">
        <v>2.9432022E7</v>
      </c>
      <c r="G283" s="91" t="str">
        <f>IFERROR(__xludf.DUMMYFUNCTION("XLOOKUP(AS283,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MANOEL GUIMARÃES SANTANA")</f>
        <v>COLÉGIO ESTADUAL DE TEMPO INTEGRAL MANOEL GUIMARÃES SANTANA</v>
      </c>
      <c r="H283" s="119" t="s">
        <v>1222</v>
      </c>
      <c r="I283" s="91" t="s">
        <v>1223</v>
      </c>
      <c r="J283" s="83" t="s">
        <v>149</v>
      </c>
      <c r="K283" s="83" t="s">
        <v>150</v>
      </c>
      <c r="L283" s="83" t="s">
        <v>151</v>
      </c>
      <c r="M283" s="83" t="s">
        <v>76</v>
      </c>
      <c r="N283" s="98" t="s">
        <v>1225</v>
      </c>
      <c r="O283" s="98" t="s">
        <v>176</v>
      </c>
      <c r="P283" s="99" t="str">
        <f>IFERROR(__xludf.DUMMYFUNCTION("IFERROR(VLOOKUP(AS283,IMPORTRANGE(""https://docs.google.com/spreadsheets/d/1juPI-Fb8LD0YtltB2mlGEnp_R3UVu1t3wSFPzgCyHXE/edit?gid=0#gid=0"",""GERAL!A2:C""),3,0),""-"")"),"-")</f>
        <v>-</v>
      </c>
      <c r="Q283" s="101" t="s">
        <v>156</v>
      </c>
      <c r="R283" s="98">
        <v>10.0</v>
      </c>
      <c r="S283" s="98">
        <v>1.0</v>
      </c>
      <c r="T283" s="98">
        <v>2.0</v>
      </c>
      <c r="U283" s="98">
        <v>0.0</v>
      </c>
      <c r="V283" s="98">
        <v>1.0</v>
      </c>
      <c r="W283" s="98">
        <v>4.0</v>
      </c>
      <c r="X283" s="98">
        <v>0.0</v>
      </c>
      <c r="Y283" s="98">
        <v>1.0</v>
      </c>
      <c r="Z283" s="98">
        <v>1.0</v>
      </c>
      <c r="AA283" s="98">
        <v>0.0</v>
      </c>
      <c r="AB283" s="98">
        <v>1.0</v>
      </c>
      <c r="AC283" s="98">
        <v>0.0</v>
      </c>
      <c r="AD283" s="98">
        <v>0.0</v>
      </c>
      <c r="AE283" s="98">
        <v>0.0</v>
      </c>
      <c r="AF283" s="98">
        <v>1.0</v>
      </c>
      <c r="AG283" s="98">
        <v>0.0</v>
      </c>
      <c r="AH283" s="98">
        <v>0.0</v>
      </c>
      <c r="AI283" s="98">
        <v>0.0</v>
      </c>
      <c r="AJ283" s="98">
        <v>1.0</v>
      </c>
      <c r="AK283" s="98">
        <v>0.0</v>
      </c>
      <c r="AL283" s="98">
        <v>0.0</v>
      </c>
      <c r="AM283" s="98">
        <v>0.0</v>
      </c>
      <c r="AN283" s="98">
        <v>0.0</v>
      </c>
      <c r="AO283" s="98">
        <v>0.0</v>
      </c>
      <c r="AP283" s="98">
        <v>0.0</v>
      </c>
      <c r="AQ283" s="98" t="s">
        <v>1226</v>
      </c>
      <c r="AR283" s="102">
        <v>46226.0</v>
      </c>
      <c r="AS283" s="83">
        <v>1178091.0</v>
      </c>
    </row>
    <row r="284" ht="15.75" customHeight="1">
      <c r="A284" s="111" t="s">
        <v>383</v>
      </c>
      <c r="B284" s="83" t="s">
        <v>1227</v>
      </c>
      <c r="C284" s="83" t="s">
        <v>68</v>
      </c>
      <c r="D284" s="112">
        <v>1178050.0</v>
      </c>
      <c r="E284" s="83"/>
      <c r="F284" s="83">
        <v>2.9426537E7</v>
      </c>
      <c r="G284" s="91" t="str">
        <f>IFERROR(__xludf.DUMMYFUNCTION("XLOOKUP(AS284,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DE TEMPO INTEGRAL SANTO ANTÔNIO DAS QUEIMADAS")</f>
        <v>CENTRO TERRITORIAL DE EDUCAÇÃO PROFISSIONAL DE TEMPO INTEGRAL SANTO ANTÔNIO DAS QUEIMADAS</v>
      </c>
      <c r="H284" s="119" t="s">
        <v>1228</v>
      </c>
      <c r="I284" s="91" t="s">
        <v>1229</v>
      </c>
      <c r="J284" s="83" t="s">
        <v>149</v>
      </c>
      <c r="K284" s="83" t="s">
        <v>150</v>
      </c>
      <c r="L284" s="83" t="s">
        <v>151</v>
      </c>
      <c r="M284" s="83" t="s">
        <v>152</v>
      </c>
      <c r="N284" s="98" t="s">
        <v>1230</v>
      </c>
      <c r="O284" s="98" t="s">
        <v>176</v>
      </c>
      <c r="P284" s="99" t="str">
        <f>IFERROR(__xludf.DUMMYFUNCTION("IFERROR(VLOOKUP(AS284,IMPORTRANGE(""https://docs.google.com/spreadsheets/d/1juPI-Fb8LD0YtltB2mlGEnp_R3UVu1t3wSFPzgCyHXE/edit?gid=0#gid=0"",""GERAL!A2:C""),3,0),""-"")"),"-")</f>
        <v>-</v>
      </c>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v>1178050.0</v>
      </c>
    </row>
    <row r="285" ht="15.75" customHeight="1">
      <c r="A285" s="111" t="s">
        <v>383</v>
      </c>
      <c r="B285" s="83" t="s">
        <v>1227</v>
      </c>
      <c r="C285" s="83" t="s">
        <v>164</v>
      </c>
      <c r="D285" s="112">
        <v>1178050.0</v>
      </c>
      <c r="E285" s="83">
        <v>1178606.0</v>
      </c>
      <c r="F285" s="83"/>
      <c r="G285" s="91" t="str">
        <f>IFERROR(__xludf.DUMMYFUNCTION("XLOOKUP(AS285,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DE TEMPO INTEGRAL SANTO ANTÔNIO DAS QUEIMADAS - POVOADO DE LAGOINHAS")</f>
        <v>ANEXO - CENTRO TERRITORIAL DE EDUCAÇÃO PROFISSIONAL DE TEMPO INTEGRAL SANTO ANTÔNIO DAS QUEIMADAS - POVOADO DE LAGOINHAS</v>
      </c>
      <c r="H285" s="119" t="s">
        <v>1231</v>
      </c>
      <c r="I285" s="91" t="s">
        <v>1232</v>
      </c>
      <c r="J285" s="83" t="s">
        <v>149</v>
      </c>
      <c r="K285" s="83" t="s">
        <v>315</v>
      </c>
      <c r="L285" s="83" t="s">
        <v>168</v>
      </c>
      <c r="M285" s="83" t="s">
        <v>169</v>
      </c>
      <c r="N285" s="115" t="s">
        <v>170</v>
      </c>
      <c r="O285" s="98" t="s">
        <v>155</v>
      </c>
      <c r="P285" s="99" t="str">
        <f>IFERROR(__xludf.DUMMYFUNCTION("IFERROR(VLOOKUP(AS285,IMPORTRANGE(""https://docs.google.com/spreadsheets/d/1juPI-Fb8LD0YtltB2mlGEnp_R3UVu1t3wSFPzgCyHXE/edit?gid=0#gid=0"",""GERAL!A2:C""),3,0),""-"")"),"CAMPO")</f>
        <v>CAMPO</v>
      </c>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v>1178606.0</v>
      </c>
    </row>
    <row r="286" ht="15.75" customHeight="1">
      <c r="A286" s="111" t="s">
        <v>383</v>
      </c>
      <c r="B286" s="83" t="s">
        <v>1227</v>
      </c>
      <c r="C286" s="83" t="s">
        <v>164</v>
      </c>
      <c r="D286" s="112">
        <v>1178050.0</v>
      </c>
      <c r="E286" s="83">
        <v>1178605.0</v>
      </c>
      <c r="F286" s="83"/>
      <c r="G286" s="91" t="str">
        <f>IFERROR(__xludf.DUMMYFUNCTION("XLOOKUP(AS286,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DE TEMPO INTEGRAL SANTO ANTÔNIO DAS QUEIMADAS - ESPANTA GADO")</f>
        <v>ANEXO - CENTRO TERRITORIAL DE EDUCAÇÃO PROFISSIONAL DE TEMPO INTEGRAL SANTO ANTÔNIO DAS QUEIMADAS - ESPANTA GADO</v>
      </c>
      <c r="H286" s="119" t="s">
        <v>1233</v>
      </c>
      <c r="I286" s="91" t="s">
        <v>1234</v>
      </c>
      <c r="J286" s="83" t="s">
        <v>149</v>
      </c>
      <c r="K286" s="83" t="s">
        <v>456</v>
      </c>
      <c r="L286" s="83" t="s">
        <v>168</v>
      </c>
      <c r="M286" s="83" t="s">
        <v>169</v>
      </c>
      <c r="N286" s="115" t="s">
        <v>170</v>
      </c>
      <c r="O286" s="98" t="s">
        <v>155</v>
      </c>
      <c r="P286" s="99" t="str">
        <f>IFERROR(__xludf.DUMMYFUNCTION("IFERROR(VLOOKUP(AS286,IMPORTRANGE(""https://docs.google.com/spreadsheets/d/1juPI-Fb8LD0YtltB2mlGEnp_R3UVu1t3wSFPzgCyHXE/edit?gid=0#gid=0"",""GERAL!A2:C""),3,0),""-"")"),"CAMPO")</f>
        <v>CAMPO</v>
      </c>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v>1178605.0</v>
      </c>
    </row>
    <row r="287" ht="15.75" customHeight="1">
      <c r="A287" s="111" t="s">
        <v>383</v>
      </c>
      <c r="B287" s="83" t="s">
        <v>1227</v>
      </c>
      <c r="C287" s="83" t="s">
        <v>164</v>
      </c>
      <c r="D287" s="112">
        <v>1178050.0</v>
      </c>
      <c r="E287" s="83">
        <v>1178608.0</v>
      </c>
      <c r="F287" s="83"/>
      <c r="G287" s="91" t="str">
        <f>IFERROR(__xludf.DUMMYFUNCTION("XLOOKUP(AS287,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DE TEMPO INTEGRAL SANTO ANTÔNIO DAS QUEIMADAS - DISTRITO CORONEL JOAO BORGES - RIACHO DA ONCA")</f>
        <v>ANEXO - CENTRO TERRITORIAL DE EDUCAÇÃO PROFISSIONAL DE TEMPO INTEGRAL SANTO ANTÔNIO DAS QUEIMADAS - DISTRITO CORONEL JOAO BORGES - RIACHO DA ONCA</v>
      </c>
      <c r="H287" s="119" t="s">
        <v>1235</v>
      </c>
      <c r="I287" s="91" t="s">
        <v>1234</v>
      </c>
      <c r="J287" s="83" t="s">
        <v>149</v>
      </c>
      <c r="K287" s="136" t="s">
        <v>191</v>
      </c>
      <c r="L287" s="83" t="s">
        <v>151</v>
      </c>
      <c r="M287" s="83" t="s">
        <v>169</v>
      </c>
      <c r="N287" s="115" t="s">
        <v>170</v>
      </c>
      <c r="O287" s="98" t="s">
        <v>155</v>
      </c>
      <c r="P287" s="99" t="str">
        <f>IFERROR(__xludf.DUMMYFUNCTION("IFERROR(VLOOKUP(AS287,IMPORTRANGE(""https://docs.google.com/spreadsheets/d/1juPI-Fb8LD0YtltB2mlGEnp_R3UVu1t3wSFPzgCyHXE/edit?gid=0#gid=0"",""GERAL!A2:C""),3,0),""-"")"),"CAMPO")</f>
        <v>CAMPO</v>
      </c>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v>1178608.0</v>
      </c>
    </row>
    <row r="288" ht="15.75" customHeight="1">
      <c r="A288" s="111" t="s">
        <v>383</v>
      </c>
      <c r="B288" s="83" t="s">
        <v>1236</v>
      </c>
      <c r="C288" s="83" t="s">
        <v>68</v>
      </c>
      <c r="D288" s="112">
        <v>1179117.0</v>
      </c>
      <c r="E288" s="83"/>
      <c r="F288" s="83">
        <v>2.9399238E7</v>
      </c>
      <c r="G288" s="91" t="str">
        <f>IFERROR(__xludf.DUMMYFUNCTION("XLOOKUP(AS288,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SÃO
SEBASTIÃO - DISTRITO DE ALGODÕES")</f>
        <v>COLÉGIO ESTADUAL DO CAMPO DE TEMPO INTEGRAL SÃO
SEBASTIÃO - DISTRITO DE ALGODÕES</v>
      </c>
      <c r="H288" s="119" t="s">
        <v>1237</v>
      </c>
      <c r="I288" s="108" t="s">
        <v>1238</v>
      </c>
      <c r="J288" s="172" t="s">
        <v>1239</v>
      </c>
      <c r="K288" s="83" t="s">
        <v>839</v>
      </c>
      <c r="L288" s="83" t="s">
        <v>151</v>
      </c>
      <c r="M288" s="83" t="s">
        <v>230</v>
      </c>
      <c r="N288" s="98" t="s">
        <v>1240</v>
      </c>
      <c r="O288" s="98" t="s">
        <v>162</v>
      </c>
      <c r="P288" s="99" t="str">
        <f>IFERROR(__xludf.DUMMYFUNCTION("IFERROR(VLOOKUP(AS288,IMPORTRANGE(""https://docs.google.com/spreadsheets/d/1juPI-Fb8LD0YtltB2mlGEnp_R3UVu1t3wSFPzgCyHXE/edit?gid=0#gid=0"",""GERAL!A2:C""),3,0),""-"")"),"CAMPO")</f>
        <v>CAMPO</v>
      </c>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v>1179117.0</v>
      </c>
    </row>
    <row r="289" ht="15.75" customHeight="1">
      <c r="A289" s="111" t="s">
        <v>383</v>
      </c>
      <c r="B289" s="83" t="s">
        <v>1236</v>
      </c>
      <c r="C289" s="83" t="s">
        <v>68</v>
      </c>
      <c r="D289" s="112">
        <v>1178079.0</v>
      </c>
      <c r="E289" s="83"/>
      <c r="F289" s="83">
        <v>2.9432154E7</v>
      </c>
      <c r="G289" s="91" t="str">
        <f>IFERROR(__xludf.DUMMYFUNCTION("XLOOKUP(AS289,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PADRE FRANCISCO GONCALVES DE SOUZA
(ANTIGO CE LEM)")</f>
        <v>COLÉGIO ESTADUAL DE TEMPO INTEGRAL PADRE FRANCISCO GONCALVES DE SOUZA
(ANTIGO CE LEM)</v>
      </c>
      <c r="H289" s="119" t="s">
        <v>1241</v>
      </c>
      <c r="I289" s="91" t="s">
        <v>1242</v>
      </c>
      <c r="J289" s="83" t="s">
        <v>149</v>
      </c>
      <c r="K289" s="83" t="s">
        <v>150</v>
      </c>
      <c r="L289" s="83" t="s">
        <v>151</v>
      </c>
      <c r="M289" s="83" t="s">
        <v>152</v>
      </c>
      <c r="N289" s="98" t="s">
        <v>1243</v>
      </c>
      <c r="O289" s="98" t="s">
        <v>176</v>
      </c>
      <c r="P289" s="99" t="str">
        <f>IFERROR(__xludf.DUMMYFUNCTION("IFERROR(VLOOKUP(AS289,IMPORTRANGE(""https://docs.google.com/spreadsheets/d/1juPI-Fb8LD0YtltB2mlGEnp_R3UVu1t3wSFPzgCyHXE/edit?gid=0#gid=0"",""GERAL!A2:C""),3,0),""-"")"),"-")</f>
        <v>-</v>
      </c>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v>1178079.0</v>
      </c>
    </row>
    <row r="290" ht="15.75" customHeight="1">
      <c r="A290" s="111" t="s">
        <v>383</v>
      </c>
      <c r="B290" s="83" t="s">
        <v>1236</v>
      </c>
      <c r="C290" s="83" t="s">
        <v>164</v>
      </c>
      <c r="D290" s="112">
        <v>1179117.0</v>
      </c>
      <c r="E290" s="83">
        <v>1178609.0</v>
      </c>
      <c r="F290" s="83"/>
      <c r="G290" s="91" t="str">
        <f>IFERROR(__xludf.DUMMYFUNCTION("XLOOKUP(AS290,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SÃO SEBASTIÃO - DISTRITO DE MACETE")</f>
        <v>ANEXO - COLÉGIO ESTADUAL SÃO SEBASTIÃO - DISTRITO DE MACETE</v>
      </c>
      <c r="H290" s="114" t="s">
        <v>1244</v>
      </c>
      <c r="I290" s="91" t="s">
        <v>1245</v>
      </c>
      <c r="J290" s="172" t="s">
        <v>1246</v>
      </c>
      <c r="K290" s="136" t="s">
        <v>464</v>
      </c>
      <c r="L290" s="83" t="s">
        <v>168</v>
      </c>
      <c r="M290" s="83" t="s">
        <v>169</v>
      </c>
      <c r="N290" s="115" t="s">
        <v>170</v>
      </c>
      <c r="O290" s="98" t="s">
        <v>155</v>
      </c>
      <c r="P290" s="99" t="str">
        <f>IFERROR(__xludf.DUMMYFUNCTION("IFERROR(VLOOKUP(AS290,IMPORTRANGE(""https://docs.google.com/spreadsheets/d/1juPI-Fb8LD0YtltB2mlGEnp_R3UVu1t3wSFPzgCyHXE/edit?gid=0#gid=0"",""GERAL!A2:C""),3,0),""-"")"),"CAMPO")</f>
        <v>CAMPO</v>
      </c>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v>1178609.0</v>
      </c>
    </row>
    <row r="291" ht="15.75" customHeight="1">
      <c r="A291" s="111" t="s">
        <v>383</v>
      </c>
      <c r="B291" s="83" t="s">
        <v>1236</v>
      </c>
      <c r="C291" s="83" t="s">
        <v>164</v>
      </c>
      <c r="D291" s="112">
        <v>1179292.0</v>
      </c>
      <c r="E291" s="83">
        <v>1179322.0</v>
      </c>
      <c r="F291" s="83"/>
      <c r="G291" s="91" t="str">
        <f>IFERROR(__xludf.DUMMYFUNCTION("XLOOKUP(AS291,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LAGOA DO JUNCO")</f>
        <v>ANEXO - CEMIT - SISAL - DISTRITO DE LAGOA DO JUNCO</v>
      </c>
      <c r="H291" s="114" t="s">
        <v>1247</v>
      </c>
      <c r="I291" s="91" t="s">
        <v>1248</v>
      </c>
      <c r="J291" s="83" t="s">
        <v>149</v>
      </c>
      <c r="K291" s="136" t="s">
        <v>784</v>
      </c>
      <c r="L291" s="83" t="s">
        <v>168</v>
      </c>
      <c r="M291" s="83" t="s">
        <v>169</v>
      </c>
      <c r="N291" s="115" t="s">
        <v>170</v>
      </c>
      <c r="O291" s="98" t="s">
        <v>155</v>
      </c>
      <c r="P291" s="99" t="str">
        <f>IFERROR(__xludf.DUMMYFUNCTION("IFERROR(VLOOKUP(AS291,IMPORTRANGE(""https://docs.google.com/spreadsheets/d/1juPI-Fb8LD0YtltB2mlGEnp_R3UVu1t3wSFPzgCyHXE/edit?gid=0#gid=0"",""GERAL!A2:C""),3,0),""-"")"),"-")</f>
        <v>-</v>
      </c>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v>1179322.0</v>
      </c>
    </row>
    <row r="292" ht="15.75" customHeight="1">
      <c r="A292" s="111" t="s">
        <v>383</v>
      </c>
      <c r="B292" s="83" t="s">
        <v>1249</v>
      </c>
      <c r="C292" s="83" t="s">
        <v>68</v>
      </c>
      <c r="D292" s="112">
        <v>1115997.0</v>
      </c>
      <c r="E292" s="83"/>
      <c r="F292" s="83">
        <v>2.9142229E7</v>
      </c>
      <c r="G292" s="91" t="str">
        <f>IFERROR(__xludf.DUMMYFUNCTION("XLOOKUP(AS292,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OLAVO ALVES PINTO")</f>
        <v>COLÉGIO ESTADUAL DE TEMPO INTEGRAL OLAVO ALVES PINTO</v>
      </c>
      <c r="H292" s="119" t="s">
        <v>1250</v>
      </c>
      <c r="I292" s="108" t="s">
        <v>1251</v>
      </c>
      <c r="J292" s="98" t="s">
        <v>149</v>
      </c>
      <c r="K292" s="83" t="s">
        <v>150</v>
      </c>
      <c r="L292" s="83" t="s">
        <v>151</v>
      </c>
      <c r="M292" s="98" t="s">
        <v>230</v>
      </c>
      <c r="N292" s="98" t="s">
        <v>1252</v>
      </c>
      <c r="O292" s="98" t="s">
        <v>162</v>
      </c>
      <c r="P292" s="99" t="str">
        <f>IFERROR(__xludf.DUMMYFUNCTION("IFERROR(VLOOKUP(AS292,IMPORTRANGE(""https://docs.google.com/spreadsheets/d/1juPI-Fb8LD0YtltB2mlGEnp_R3UVu1t3wSFPzgCyHXE/edit?gid=0#gid=0"",""GERAL!A2:C""),3,0),""-"")"),"-")</f>
        <v>-</v>
      </c>
      <c r="Q292" s="101" t="s">
        <v>156</v>
      </c>
      <c r="R292" s="98">
        <v>12.0</v>
      </c>
      <c r="S292" s="98">
        <v>0.0</v>
      </c>
      <c r="T292" s="98">
        <v>1.0</v>
      </c>
      <c r="U292" s="98">
        <v>2.0</v>
      </c>
      <c r="V292" s="98">
        <v>1.0</v>
      </c>
      <c r="W292" s="98">
        <v>1.0</v>
      </c>
      <c r="X292" s="98">
        <v>1.0</v>
      </c>
      <c r="Y292" s="98">
        <v>0.0</v>
      </c>
      <c r="Z292" s="98">
        <v>1.0</v>
      </c>
      <c r="AA292" s="98">
        <v>0.0</v>
      </c>
      <c r="AB292" s="98">
        <v>1.0</v>
      </c>
      <c r="AC292" s="98">
        <v>0.0</v>
      </c>
      <c r="AD292" s="98">
        <v>0.0</v>
      </c>
      <c r="AE292" s="98">
        <v>0.0</v>
      </c>
      <c r="AF292" s="98">
        <v>0.0</v>
      </c>
      <c r="AG292" s="98">
        <v>0.0</v>
      </c>
      <c r="AH292" s="98">
        <v>1.0</v>
      </c>
      <c r="AI292" s="98">
        <v>0.0</v>
      </c>
      <c r="AJ292" s="98">
        <v>0.0</v>
      </c>
      <c r="AK292" s="98">
        <v>1.0</v>
      </c>
      <c r="AL292" s="98">
        <v>0.0</v>
      </c>
      <c r="AM292" s="98">
        <v>0.0</v>
      </c>
      <c r="AN292" s="98">
        <v>0.0</v>
      </c>
      <c r="AO292" s="98">
        <v>0.0</v>
      </c>
      <c r="AP292" s="98">
        <v>0.0</v>
      </c>
      <c r="AQ292" s="98" t="s">
        <v>171</v>
      </c>
      <c r="AR292" s="102">
        <v>46226.0</v>
      </c>
      <c r="AS292" s="83">
        <v>1115997.0</v>
      </c>
    </row>
    <row r="293" ht="15.75" customHeight="1">
      <c r="A293" s="111" t="s">
        <v>383</v>
      </c>
      <c r="B293" s="83" t="s">
        <v>1253</v>
      </c>
      <c r="C293" s="83" t="s">
        <v>68</v>
      </c>
      <c r="D293" s="112">
        <v>1115814.0</v>
      </c>
      <c r="E293" s="83"/>
      <c r="F293" s="83">
        <v>2.914512E7</v>
      </c>
      <c r="G293" s="91" t="str">
        <f>IFERROR(__xludf.DUMMYFUNCTION("XLOOKUP(AS293,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NECY NOVAES -  NO DISTRITO PEREIRA
  (UNIFICAÇÃO COM O ANEXO DO DIST. PEREIRA)")</f>
        <v>COLÉGIO ESTADUAL DO CAMPO DE TEMPO INTEGRAL NECY NOVAES -  NO DISTRITO PEREIRA
  (UNIFICAÇÃO COM O ANEXO DO DIST. PEREIRA)</v>
      </c>
      <c r="H293" s="119" t="s">
        <v>1254</v>
      </c>
      <c r="I293" s="91" t="s">
        <v>1255</v>
      </c>
      <c r="J293" s="136" t="s">
        <v>1256</v>
      </c>
      <c r="K293" s="83" t="s">
        <v>485</v>
      </c>
      <c r="L293" s="83" t="s">
        <v>151</v>
      </c>
      <c r="M293" s="83" t="s">
        <v>152</v>
      </c>
      <c r="N293" s="98" t="s">
        <v>1257</v>
      </c>
      <c r="O293" s="98" t="s">
        <v>162</v>
      </c>
      <c r="P293" s="99" t="str">
        <f>IFERROR(__xludf.DUMMYFUNCTION("IFERROR(VLOOKUP(AS293,IMPORTRANGE(""https://docs.google.com/spreadsheets/d/1juPI-Fb8LD0YtltB2mlGEnp_R3UVu1t3wSFPzgCyHXE/edit?gid=0#gid=0"",""GERAL!A2:C""),3,0),""-"")"),"CAMPO")</f>
        <v>CAMPO</v>
      </c>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v>1115814.0</v>
      </c>
    </row>
    <row r="294" ht="15.75" customHeight="1">
      <c r="A294" s="111" t="s">
        <v>383</v>
      </c>
      <c r="B294" s="83" t="s">
        <v>1253</v>
      </c>
      <c r="C294" s="83" t="s">
        <v>68</v>
      </c>
      <c r="D294" s="112">
        <v>1115776.0</v>
      </c>
      <c r="E294" s="83"/>
      <c r="F294" s="83">
        <v>2.9144302E7</v>
      </c>
      <c r="G294" s="91" t="str">
        <f>IFERROR(__xludf.DUMMYFUNCTION("XLOOKUP(AS294,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LEITÃO")</f>
        <v>COLÉGIO ESTADUAL DE TEMPO INTEGRAL JOSÉ LEITÃO</v>
      </c>
      <c r="H294" s="119" t="s">
        <v>1258</v>
      </c>
      <c r="I294" s="91" t="s">
        <v>1259</v>
      </c>
      <c r="J294" s="83" t="s">
        <v>149</v>
      </c>
      <c r="K294" s="83" t="s">
        <v>150</v>
      </c>
      <c r="L294" s="83" t="s">
        <v>151</v>
      </c>
      <c r="M294" s="83" t="s">
        <v>152</v>
      </c>
      <c r="N294" s="98" t="s">
        <v>1260</v>
      </c>
      <c r="O294" s="98" t="s">
        <v>155</v>
      </c>
      <c r="P294" s="99" t="str">
        <f>IFERROR(__xludf.DUMMYFUNCTION("IFERROR(VLOOKUP(AS294,IMPORTRANGE(""https://docs.google.com/spreadsheets/d/1juPI-Fb8LD0YtltB2mlGEnp_R3UVu1t3wSFPzgCyHXE/edit?gid=0#gid=0"",""GERAL!A2:C""),3,0),""-"")"),"-")</f>
        <v>-</v>
      </c>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v>1115776.0</v>
      </c>
    </row>
    <row r="295" ht="15.75" customHeight="1">
      <c r="A295" s="111" t="s">
        <v>383</v>
      </c>
      <c r="B295" s="83" t="s">
        <v>1253</v>
      </c>
      <c r="C295" s="83" t="s">
        <v>68</v>
      </c>
      <c r="D295" s="112">
        <v>1178326.0</v>
      </c>
      <c r="E295" s="83"/>
      <c r="F295" s="83">
        <v>2.9397693E7</v>
      </c>
      <c r="G295" s="91" t="str">
        <f>IFERROR(__xludf.DUMMYFUNCTION("XLOOKUP(AS295,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DO CAMPO PAULO FREIRE")</f>
        <v>CENTRO ESTADUAL DE EDUCACAO PROFISSIONAL DO CAMPO PAULO FREIRE</v>
      </c>
      <c r="H295" s="114" t="s">
        <v>1261</v>
      </c>
      <c r="I295" s="91" t="s">
        <v>1262</v>
      </c>
      <c r="J295" s="83" t="s">
        <v>149</v>
      </c>
      <c r="K295" s="83" t="s">
        <v>150</v>
      </c>
      <c r="L295" s="83" t="s">
        <v>151</v>
      </c>
      <c r="M295" s="83" t="s">
        <v>230</v>
      </c>
      <c r="N295" s="98" t="s">
        <v>1263</v>
      </c>
      <c r="O295" s="98" t="s">
        <v>176</v>
      </c>
      <c r="P295" s="99" t="str">
        <f>IFERROR(__xludf.DUMMYFUNCTION("IFERROR(VLOOKUP(AS295,IMPORTRANGE(""https://docs.google.com/spreadsheets/d/1juPI-Fb8LD0YtltB2mlGEnp_R3UVu1t3wSFPzgCyHXE/edit?gid=0#gid=0"",""GERAL!A2:C""),3,0),""-"")"),"-")</f>
        <v>-</v>
      </c>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v>1178326.0</v>
      </c>
    </row>
    <row r="296" ht="15.75" customHeight="1">
      <c r="A296" s="111" t="s">
        <v>383</v>
      </c>
      <c r="B296" s="83" t="s">
        <v>1253</v>
      </c>
      <c r="C296" s="83" t="s">
        <v>164</v>
      </c>
      <c r="D296" s="112">
        <v>1179292.0</v>
      </c>
      <c r="E296" s="83">
        <v>1179351.0</v>
      </c>
      <c r="F296" s="83"/>
      <c r="G296" s="91" t="str">
        <f>IFERROR(__xludf.DUMMYFUNCTION("XLOOKUP(AS296,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SISALANDIA")</f>
        <v>ANEXO - CEMIT - SISAL - POVOADO SISALANDIA</v>
      </c>
      <c r="H296" s="114" t="s">
        <v>1264</v>
      </c>
      <c r="I296" s="91" t="s">
        <v>1265</v>
      </c>
      <c r="J296" s="172" t="s">
        <v>171</v>
      </c>
      <c r="K296" s="83" t="s">
        <v>440</v>
      </c>
      <c r="L296" s="83" t="s">
        <v>168</v>
      </c>
      <c r="M296" s="83" t="s">
        <v>169</v>
      </c>
      <c r="N296" s="115" t="s">
        <v>170</v>
      </c>
      <c r="O296" s="98" t="s">
        <v>155</v>
      </c>
      <c r="P296" s="99" t="str">
        <f>IFERROR(__xludf.DUMMYFUNCTION("IFERROR(VLOOKUP(AS296,IMPORTRANGE(""https://docs.google.com/spreadsheets/d/1juPI-Fb8LD0YtltB2mlGEnp_R3UVu1t3wSFPzgCyHXE/edit?gid=0#gid=0"",""GERAL!A2:C""),3,0),""-"")"),"-")</f>
        <v>-</v>
      </c>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v>1179351.0</v>
      </c>
    </row>
    <row r="297" ht="15.75" customHeight="1">
      <c r="A297" s="111" t="s">
        <v>383</v>
      </c>
      <c r="B297" s="83" t="s">
        <v>1266</v>
      </c>
      <c r="C297" s="98" t="s">
        <v>68</v>
      </c>
      <c r="D297" s="112">
        <v>1116365.0</v>
      </c>
      <c r="E297" s="83"/>
      <c r="F297" s="83">
        <v>2.9145287E7</v>
      </c>
      <c r="G297" s="91" t="str">
        <f>IFERROR(__xludf.DUMMYFUNCTION("XLOOKUP(AS297,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DO SEMI ARIDO")</f>
        <v>CENTRO ESTADUAL DE EDUCAÇÃO PROFISSIONAL DO SEMI ARIDO</v>
      </c>
      <c r="H297" s="114" t="s">
        <v>1267</v>
      </c>
      <c r="I297" s="91" t="s">
        <v>1268</v>
      </c>
      <c r="J297" s="172" t="s">
        <v>149</v>
      </c>
      <c r="K297" s="83" t="s">
        <v>150</v>
      </c>
      <c r="L297" s="83" t="s">
        <v>151</v>
      </c>
      <c r="M297" s="83" t="s">
        <v>230</v>
      </c>
      <c r="N297" s="98" t="s">
        <v>1269</v>
      </c>
      <c r="O297" s="98" t="s">
        <v>176</v>
      </c>
      <c r="P297" s="99" t="str">
        <f>IFERROR(__xludf.DUMMYFUNCTION("IFERROR(VLOOKUP(AS297,IMPORTRANGE(""https://docs.google.com/spreadsheets/d/1juPI-Fb8LD0YtltB2mlGEnp_R3UVu1t3wSFPzgCyHXE/edit?gid=0#gid=0"",""GERAL!A2:C""),3,0),""-"")"),"-")</f>
        <v>-</v>
      </c>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v>1116365.0</v>
      </c>
    </row>
    <row r="298" ht="15.75" customHeight="1">
      <c r="A298" s="111" t="s">
        <v>383</v>
      </c>
      <c r="B298" s="83" t="s">
        <v>1270</v>
      </c>
      <c r="C298" s="83" t="s">
        <v>68</v>
      </c>
      <c r="D298" s="112">
        <v>1116209.0</v>
      </c>
      <c r="E298" s="83"/>
      <c r="F298" s="83">
        <v>2.9145538E7</v>
      </c>
      <c r="G298" s="91" t="str">
        <f>IFERROR(__xludf.DUMMYFUNCTION("XLOOKUP(AS298,
IMPORTRANGE(""https://docs.google.com/spreadsheets/d/1YM-djuOLXomrZ9W0B4TyIBsVWnXY4EIOFD9HY-qGfv0/edit?usp=sharing"",""GERAL!BG5:BG""),
IMPORTRANGE(""https://docs.google.com/spreadsheets/d/1YM-djuOLXomrZ9W0B4TyIBsVWnXY4EIOFD9HY-qGfv0/edit?u"&amp;"sp=sharing"",""GERAL!G5:G""),
""CÓD. SEC NÃO ENCONTRADO NA PLANILHA DE MATRÍCULA"")"),"CÓD. SEC NÃO ENCONTRADO NA PLANILHA DE MATRÍCULA")</f>
        <v>CÓD. SEC NÃO ENCONTRADO NA PLANILHA DE MATRÍCULA</v>
      </c>
      <c r="H298" s="231" t="s">
        <v>1271</v>
      </c>
      <c r="I298" s="91" t="s">
        <v>1272</v>
      </c>
      <c r="J298" s="136" t="s">
        <v>1273</v>
      </c>
      <c r="K298" s="83" t="s">
        <v>150</v>
      </c>
      <c r="L298" s="83" t="s">
        <v>151</v>
      </c>
      <c r="M298" s="83" t="s">
        <v>230</v>
      </c>
      <c r="N298" s="98" t="s">
        <v>1274</v>
      </c>
      <c r="O298" s="98" t="s">
        <v>284</v>
      </c>
      <c r="P298" s="99" t="str">
        <f>IFERROR(__xludf.DUMMYFUNCTION("IFERROR(VLOOKUP(AS298,IMPORTRANGE(""https://docs.google.com/spreadsheets/d/1juPI-Fb8LD0YtltB2mlGEnp_R3UVu1t3wSFPzgCyHXE/edit?gid=0#gid=0"",""GERAL!A2:C""),3,0),""-"")"),"-")</f>
        <v>-</v>
      </c>
      <c r="Q298" s="232"/>
      <c r="R298" s="98"/>
      <c r="S298" s="98"/>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98"/>
      <c r="AQ298" s="98"/>
      <c r="AR298" s="83"/>
      <c r="AS298" s="83">
        <v>1116209.0</v>
      </c>
    </row>
    <row r="299" ht="15.75" customHeight="1">
      <c r="A299" s="111" t="s">
        <v>383</v>
      </c>
      <c r="B299" s="83" t="s">
        <v>1270</v>
      </c>
      <c r="C299" s="83" t="s">
        <v>68</v>
      </c>
      <c r="D299" s="112">
        <v>1178235.0</v>
      </c>
      <c r="E299" s="83"/>
      <c r="F299" s="83">
        <v>2.9372895E7</v>
      </c>
      <c r="G299" s="91" t="str">
        <f>IFERROR(__xludf.DUMMYFUNCTION("XLOOKUP(AS299,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DE SANTANA - POVOADO DE CAJUEIRO")</f>
        <v>COLEGIO ESTADUAL DO CAMPO DE SANTANA - POVOADO DE CAJUEIRO</v>
      </c>
      <c r="H299" s="184" t="s">
        <v>1275</v>
      </c>
      <c r="I299" s="91" t="s">
        <v>1276</v>
      </c>
      <c r="J299" s="233" t="s">
        <v>149</v>
      </c>
      <c r="K299" s="83" t="s">
        <v>694</v>
      </c>
      <c r="L299" s="83" t="s">
        <v>151</v>
      </c>
      <c r="M299" s="83" t="s">
        <v>169</v>
      </c>
      <c r="N299" s="98" t="s">
        <v>1277</v>
      </c>
      <c r="O299" s="98" t="s">
        <v>155</v>
      </c>
      <c r="P299" s="99" t="str">
        <f>IFERROR(__xludf.DUMMYFUNCTION("IFERROR(VLOOKUP(AS299,IMPORTRANGE(""https://docs.google.com/spreadsheets/d/1juPI-Fb8LD0YtltB2mlGEnp_R3UVu1t3wSFPzgCyHXE/edit?gid=0#gid=0"",""GERAL!A2:C""),3,0),""-"")"),"CAMPO")</f>
        <v>CAMPO</v>
      </c>
      <c r="Q299" s="101" t="s">
        <v>156</v>
      </c>
      <c r="R299" s="98">
        <v>10.0</v>
      </c>
      <c r="S299" s="98">
        <v>0.0</v>
      </c>
      <c r="T299" s="98">
        <v>1.0</v>
      </c>
      <c r="U299" s="98">
        <v>0.0</v>
      </c>
      <c r="V299" s="98">
        <v>1.0</v>
      </c>
      <c r="W299" s="98">
        <v>1.0</v>
      </c>
      <c r="X299" s="98">
        <v>1.0</v>
      </c>
      <c r="Y299" s="98">
        <v>0.0</v>
      </c>
      <c r="Z299" s="98">
        <v>0.0</v>
      </c>
      <c r="AA299" s="98">
        <v>0.0</v>
      </c>
      <c r="AB299" s="98">
        <v>0.0</v>
      </c>
      <c r="AC299" s="98">
        <v>0.0</v>
      </c>
      <c r="AD299" s="98">
        <v>0.0</v>
      </c>
      <c r="AE299" s="98">
        <v>0.0</v>
      </c>
      <c r="AF299" s="98">
        <v>0.0</v>
      </c>
      <c r="AG299" s="98">
        <v>1.0</v>
      </c>
      <c r="AH299" s="98">
        <v>0.0</v>
      </c>
      <c r="AI299" s="98">
        <v>0.0</v>
      </c>
      <c r="AJ299" s="98">
        <v>0.0</v>
      </c>
      <c r="AK299" s="98">
        <v>0.0</v>
      </c>
      <c r="AL299" s="98">
        <v>0.0</v>
      </c>
      <c r="AM299" s="98">
        <v>0.0</v>
      </c>
      <c r="AN299" s="98">
        <v>0.0</v>
      </c>
      <c r="AO299" s="98">
        <v>0.0</v>
      </c>
      <c r="AP299" s="98">
        <v>0.0</v>
      </c>
      <c r="AQ299" s="98" t="s">
        <v>171</v>
      </c>
      <c r="AR299" s="102">
        <v>46191.0</v>
      </c>
      <c r="AS299" s="83">
        <v>1178235.0</v>
      </c>
    </row>
    <row r="300" ht="15.75" customHeight="1">
      <c r="A300" s="111" t="s">
        <v>383</v>
      </c>
      <c r="B300" s="83" t="s">
        <v>1270</v>
      </c>
      <c r="C300" s="83" t="s">
        <v>68</v>
      </c>
      <c r="D300" s="112">
        <v>1166427.0</v>
      </c>
      <c r="E300" s="83"/>
      <c r="F300" s="83">
        <v>2.936543E7</v>
      </c>
      <c r="G300" s="91" t="str">
        <f>IFERROR(__xludf.DUMMYFUNCTION("XLOOKUP(AS300,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ALUIZIO CARNEIRO DA SILVA - DISTRITO DE BELA VISTA")</f>
        <v>COLEGIO ESTADUAL DO CAMPO ALUIZIO CARNEIRO DA SILVA - DISTRITO DE BELA VISTA</v>
      </c>
      <c r="H300" s="184" t="s">
        <v>1278</v>
      </c>
      <c r="I300" s="91" t="s">
        <v>1279</v>
      </c>
      <c r="J300" s="233" t="s">
        <v>149</v>
      </c>
      <c r="K300" s="83" t="s">
        <v>240</v>
      </c>
      <c r="L300" s="83" t="s">
        <v>151</v>
      </c>
      <c r="M300" s="83" t="s">
        <v>169</v>
      </c>
      <c r="N300" s="171" t="s">
        <v>1280</v>
      </c>
      <c r="O300" s="98" t="s">
        <v>155</v>
      </c>
      <c r="P300" s="99" t="str">
        <f>IFERROR(__xludf.DUMMYFUNCTION("IFERROR(VLOOKUP(AS300,IMPORTRANGE(""https://docs.google.com/spreadsheets/d/1juPI-Fb8LD0YtltB2mlGEnp_R3UVu1t3wSFPzgCyHXE/edit?gid=0#gid=0"",""GERAL!A2:C""),3,0),""-"")"),"CAMPO")</f>
        <v>CAMPO</v>
      </c>
      <c r="Q300" s="101" t="s">
        <v>156</v>
      </c>
      <c r="R300" s="98">
        <v>5.0</v>
      </c>
      <c r="S300" s="98">
        <v>0.0</v>
      </c>
      <c r="T300" s="98">
        <v>0.0</v>
      </c>
      <c r="U300" s="98">
        <v>0.0</v>
      </c>
      <c r="V300" s="98">
        <v>0.0</v>
      </c>
      <c r="W300" s="98">
        <v>0.0</v>
      </c>
      <c r="X300" s="98">
        <v>0.0</v>
      </c>
      <c r="Y300" s="98">
        <v>0.0</v>
      </c>
      <c r="Z300" s="98">
        <v>0.0</v>
      </c>
      <c r="AA300" s="98">
        <v>0.0</v>
      </c>
      <c r="AB300" s="98">
        <v>0.0</v>
      </c>
      <c r="AC300" s="98">
        <v>0.0</v>
      </c>
      <c r="AD300" s="98">
        <v>0.0</v>
      </c>
      <c r="AE300" s="98">
        <v>0.0</v>
      </c>
      <c r="AF300" s="98">
        <v>0.0</v>
      </c>
      <c r="AG300" s="98">
        <v>0.0</v>
      </c>
      <c r="AH300" s="98">
        <v>0.0</v>
      </c>
      <c r="AI300" s="98">
        <v>0.0</v>
      </c>
      <c r="AJ300" s="98">
        <v>0.0</v>
      </c>
      <c r="AK300" s="98">
        <v>0.0</v>
      </c>
      <c r="AL300" s="98">
        <v>0.0</v>
      </c>
      <c r="AM300" s="98">
        <v>0.0</v>
      </c>
      <c r="AN300" s="98">
        <v>0.0</v>
      </c>
      <c r="AO300" s="98">
        <v>0.0</v>
      </c>
      <c r="AP300" s="98">
        <v>2.0</v>
      </c>
      <c r="AQ300" s="98" t="s">
        <v>1282</v>
      </c>
      <c r="AR300" s="102">
        <v>46191.0</v>
      </c>
      <c r="AS300" s="83">
        <v>1166427.0</v>
      </c>
    </row>
    <row r="301" ht="15.75" customHeight="1">
      <c r="A301" s="111" t="s">
        <v>383</v>
      </c>
      <c r="B301" s="83" t="s">
        <v>1270</v>
      </c>
      <c r="C301" s="83" t="s">
        <v>68</v>
      </c>
      <c r="D301" s="112">
        <v>1116241.0</v>
      </c>
      <c r="E301" s="83"/>
      <c r="F301" s="83">
        <v>2.9146151E7</v>
      </c>
      <c r="G301" s="91" t="str">
        <f>IFERROR(__xludf.DUMMYFUNCTION("XLOOKUP(AS301,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SERRINHA")</f>
        <v>COLÉGIO ESTADUAL DE TEMPO INTEGRAL DE SERRINHA</v>
      </c>
      <c r="H301" s="184" t="s">
        <v>1283</v>
      </c>
      <c r="I301" s="108" t="s">
        <v>1284</v>
      </c>
      <c r="J301" s="172" t="s">
        <v>149</v>
      </c>
      <c r="K301" s="83" t="s">
        <v>150</v>
      </c>
      <c r="L301" s="83" t="s">
        <v>151</v>
      </c>
      <c r="M301" s="83" t="s">
        <v>152</v>
      </c>
      <c r="N301" s="128" t="s">
        <v>171</v>
      </c>
      <c r="O301" s="98" t="s">
        <v>155</v>
      </c>
      <c r="P301" s="99" t="str">
        <f>IFERROR(__xludf.DUMMYFUNCTION("IFERROR(VLOOKUP(AS301,IMPORTRANGE(""https://docs.google.com/spreadsheets/d/1juPI-Fb8LD0YtltB2mlGEnp_R3UVu1t3wSFPzgCyHXE/edit?gid=0#gid=0"",""GERAL!A2:C""),3,0),""-"")"),"-")</f>
        <v>-</v>
      </c>
      <c r="Q301" s="101" t="s">
        <v>156</v>
      </c>
      <c r="R301" s="98">
        <v>14.0</v>
      </c>
      <c r="S301" s="98">
        <v>0.0</v>
      </c>
      <c r="T301" s="98">
        <v>2.0</v>
      </c>
      <c r="U301" s="98">
        <v>0.0</v>
      </c>
      <c r="V301" s="98">
        <v>0.0</v>
      </c>
      <c r="W301" s="98">
        <v>4.0</v>
      </c>
      <c r="X301" s="98">
        <v>1.0</v>
      </c>
      <c r="Y301" s="98">
        <v>0.0</v>
      </c>
      <c r="Z301" s="98">
        <v>1.0</v>
      </c>
      <c r="AA301" s="98">
        <v>0.0</v>
      </c>
      <c r="AB301" s="98">
        <v>1.0</v>
      </c>
      <c r="AC301" s="98">
        <v>0.0</v>
      </c>
      <c r="AD301" s="98">
        <v>0.0</v>
      </c>
      <c r="AE301" s="98">
        <v>0.0</v>
      </c>
      <c r="AF301" s="98">
        <v>1.0</v>
      </c>
      <c r="AG301" s="98">
        <v>0.0</v>
      </c>
      <c r="AH301" s="98">
        <v>0.0</v>
      </c>
      <c r="AI301" s="98">
        <v>0.0</v>
      </c>
      <c r="AJ301" s="98">
        <v>0.0</v>
      </c>
      <c r="AK301" s="98">
        <v>1.0</v>
      </c>
      <c r="AL301" s="98">
        <v>0.0</v>
      </c>
      <c r="AM301" s="98">
        <v>0.0</v>
      </c>
      <c r="AN301" s="98">
        <v>0.0</v>
      </c>
      <c r="AO301" s="98">
        <v>1.0</v>
      </c>
      <c r="AP301" s="98">
        <v>0.0</v>
      </c>
      <c r="AQ301" s="98" t="s">
        <v>1285</v>
      </c>
      <c r="AR301" s="102">
        <v>46191.0</v>
      </c>
      <c r="AS301" s="83">
        <v>1116241.0</v>
      </c>
    </row>
    <row r="302" ht="15.75" customHeight="1">
      <c r="A302" s="111" t="s">
        <v>383</v>
      </c>
      <c r="B302" s="83" t="s">
        <v>1270</v>
      </c>
      <c r="C302" s="83" t="s">
        <v>68</v>
      </c>
      <c r="D302" s="112">
        <v>1178088.0</v>
      </c>
      <c r="E302" s="83"/>
      <c r="F302" s="83">
        <v>2.9432235E7</v>
      </c>
      <c r="G302" s="91" t="str">
        <f>IFERROR(__xludf.DUMMYFUNCTION("XLOOKUP(AS302,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DO SISAL")</f>
        <v>CENTRO TERRITORIAL DE EDUCACAO PROFISSIONAL DO SISAL</v>
      </c>
      <c r="H302" s="185" t="s">
        <v>1286</v>
      </c>
      <c r="I302" s="91" t="s">
        <v>1287</v>
      </c>
      <c r="J302" s="136" t="s">
        <v>1288</v>
      </c>
      <c r="K302" s="83" t="s">
        <v>150</v>
      </c>
      <c r="L302" s="83" t="s">
        <v>151</v>
      </c>
      <c r="M302" s="83" t="s">
        <v>230</v>
      </c>
      <c r="N302" s="98" t="s">
        <v>1289</v>
      </c>
      <c r="O302" s="98" t="s">
        <v>176</v>
      </c>
      <c r="P302" s="99" t="str">
        <f>IFERROR(__xludf.DUMMYFUNCTION("IFERROR(VLOOKUP(AS302,IMPORTRANGE(""https://docs.google.com/spreadsheets/d/1juPI-Fb8LD0YtltB2mlGEnp_R3UVu1t3wSFPzgCyHXE/edit?gid=0#gid=0"",""GERAL!A2:C""),3,0),""-"")"),"-")</f>
        <v>-</v>
      </c>
      <c r="Q302" s="101" t="s">
        <v>156</v>
      </c>
      <c r="R302" s="98">
        <v>44.0</v>
      </c>
      <c r="S302" s="98">
        <v>1.0</v>
      </c>
      <c r="T302" s="98">
        <v>4.0</v>
      </c>
      <c r="U302" s="98">
        <v>1.0</v>
      </c>
      <c r="V302" s="98">
        <v>1.0</v>
      </c>
      <c r="W302" s="98">
        <v>0.0</v>
      </c>
      <c r="X302" s="98">
        <v>1.0</v>
      </c>
      <c r="Y302" s="98">
        <v>0.0</v>
      </c>
      <c r="Z302" s="98">
        <v>0.0</v>
      </c>
      <c r="AA302" s="98">
        <v>1.0</v>
      </c>
      <c r="AB302" s="98">
        <v>1.0</v>
      </c>
      <c r="AC302" s="98">
        <v>0.0</v>
      </c>
      <c r="AD302" s="98">
        <v>0.0</v>
      </c>
      <c r="AE302" s="98">
        <v>0.0</v>
      </c>
      <c r="AF302" s="98">
        <v>1.0</v>
      </c>
      <c r="AG302" s="98">
        <v>0.0</v>
      </c>
      <c r="AH302" s="98">
        <v>0.0</v>
      </c>
      <c r="AI302" s="98">
        <v>0.0</v>
      </c>
      <c r="AJ302" s="98">
        <v>0.0</v>
      </c>
      <c r="AK302" s="98">
        <v>0.0</v>
      </c>
      <c r="AL302" s="98">
        <v>0.0</v>
      </c>
      <c r="AM302" s="98">
        <v>0.0</v>
      </c>
      <c r="AN302" s="98">
        <v>0.0</v>
      </c>
      <c r="AO302" s="98">
        <v>0.0</v>
      </c>
      <c r="AP302" s="98">
        <v>8.0</v>
      </c>
      <c r="AQ302" s="98" t="s">
        <v>1290</v>
      </c>
      <c r="AR302" s="102">
        <v>46191.0</v>
      </c>
      <c r="AS302" s="83">
        <v>1178088.0</v>
      </c>
    </row>
    <row r="303" ht="15.75" customHeight="1">
      <c r="A303" s="111" t="s">
        <v>383</v>
      </c>
      <c r="B303" s="83" t="s">
        <v>1270</v>
      </c>
      <c r="C303" s="83" t="s">
        <v>68</v>
      </c>
      <c r="D303" s="112">
        <v>1179292.0</v>
      </c>
      <c r="E303" s="83"/>
      <c r="F303" s="83">
        <v>2.9460816E7</v>
      </c>
      <c r="G303" s="91" t="str">
        <f>IFERROR(__xludf.DUMMYFUNCTION("XLOOKUP(AS303,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MEDIO COM INTERMEDIACAO TECNOLOGICA - CEMIT SISAL")</f>
        <v>CENTRO REGIONAL DE ENSINO MEDIO COM INTERMEDIACAO TECNOLOGICA - CEMIT SISAL</v>
      </c>
      <c r="H303" s="185" t="s">
        <v>1291</v>
      </c>
      <c r="I303" s="91" t="s">
        <v>1292</v>
      </c>
      <c r="J303" s="136" t="s">
        <v>1293</v>
      </c>
      <c r="K303" s="83" t="s">
        <v>150</v>
      </c>
      <c r="L303" s="83" t="s">
        <v>151</v>
      </c>
      <c r="M303" s="83" t="s">
        <v>230</v>
      </c>
      <c r="N303" s="128" t="s">
        <v>171</v>
      </c>
      <c r="O303" s="98" t="s">
        <v>155</v>
      </c>
      <c r="P303" s="99" t="str">
        <f>IFERROR(__xludf.DUMMYFUNCTION("IFERROR(VLOOKUP(AS303,IMPORTRANGE(""https://docs.google.com/spreadsheets/d/1juPI-Fb8LD0YtltB2mlGEnp_R3UVu1t3wSFPzgCyHXE/edit?gid=0#gid=0"",""GERAL!A2:C""),3,0),""-"")"),"-")</f>
        <v>-</v>
      </c>
      <c r="Q303" s="98" t="s">
        <v>171</v>
      </c>
      <c r="R303" s="98">
        <v>0.0</v>
      </c>
      <c r="S303" s="98" t="s">
        <v>171</v>
      </c>
      <c r="T303" s="98" t="s">
        <v>171</v>
      </c>
      <c r="U303" s="98" t="s">
        <v>171</v>
      </c>
      <c r="V303" s="98" t="s">
        <v>171</v>
      </c>
      <c r="W303" s="98" t="s">
        <v>171</v>
      </c>
      <c r="X303" s="98" t="s">
        <v>171</v>
      </c>
      <c r="Y303" s="98" t="s">
        <v>171</v>
      </c>
      <c r="Z303" s="98" t="s">
        <v>171</v>
      </c>
      <c r="AA303" s="98" t="s">
        <v>171</v>
      </c>
      <c r="AB303" s="98" t="s">
        <v>171</v>
      </c>
      <c r="AC303" s="98" t="s">
        <v>171</v>
      </c>
      <c r="AD303" s="98" t="s">
        <v>171</v>
      </c>
      <c r="AE303" s="98" t="s">
        <v>171</v>
      </c>
      <c r="AF303" s="98" t="s">
        <v>171</v>
      </c>
      <c r="AG303" s="98" t="s">
        <v>171</v>
      </c>
      <c r="AH303" s="98" t="s">
        <v>171</v>
      </c>
      <c r="AI303" s="98" t="s">
        <v>171</v>
      </c>
      <c r="AJ303" s="98" t="s">
        <v>171</v>
      </c>
      <c r="AK303" s="98" t="s">
        <v>171</v>
      </c>
      <c r="AL303" s="98" t="s">
        <v>171</v>
      </c>
      <c r="AM303" s="98" t="s">
        <v>171</v>
      </c>
      <c r="AN303" s="98" t="s">
        <v>171</v>
      </c>
      <c r="AO303" s="98" t="s">
        <v>171</v>
      </c>
      <c r="AP303" s="98" t="s">
        <v>171</v>
      </c>
      <c r="AQ303" s="98" t="s">
        <v>171</v>
      </c>
      <c r="AR303" s="102">
        <v>46191.0</v>
      </c>
      <c r="AS303" s="83">
        <v>1179292.0</v>
      </c>
    </row>
    <row r="304" ht="15.75" customHeight="1">
      <c r="A304" s="111" t="s">
        <v>383</v>
      </c>
      <c r="B304" s="83" t="s">
        <v>1270</v>
      </c>
      <c r="C304" s="83" t="s">
        <v>68</v>
      </c>
      <c r="D304" s="112">
        <v>1179664.0</v>
      </c>
      <c r="E304" s="83"/>
      <c r="F304" s="83">
        <v>2.9474698E7</v>
      </c>
      <c r="G304" s="91" t="str">
        <f>IFERROR(__xludf.DUMMYFUNCTION("XLOOKUP(AS304,
IMPORTRANGE(""https://docs.google.com/spreadsheets/d/1YM-djuOLXomrZ9W0B4TyIBsVWnXY4EIOFD9HY-qGfv0/edit?usp=sharing"",""GERAL!BG5:BG""),
IMPORTRANGE(""https://docs.google.com/spreadsheets/d/1YM-djuOLXomrZ9W0B4TyIBsVWnXY4EIOFD9HY-qGfv0/edit?u"&amp;"sp=sharing"",""GERAL!G5:G""),
""CÓD. SEC NÃO ENCONTRADO NA PLANILHA DE MATRÍCULA"")"),"CENTRO JUVENIL DE CIENCIA E CULTURA - CJCC SERRINHA")</f>
        <v>CENTRO JUVENIL DE CIENCIA E CULTURA - CJCC SERRINHA</v>
      </c>
      <c r="H304" s="185" t="s">
        <v>1295</v>
      </c>
      <c r="I304" s="91" t="s">
        <v>1296</v>
      </c>
      <c r="J304" s="172" t="s">
        <v>1293</v>
      </c>
      <c r="K304" s="83" t="s">
        <v>150</v>
      </c>
      <c r="L304" s="83" t="s">
        <v>151</v>
      </c>
      <c r="M304" s="83" t="s">
        <v>230</v>
      </c>
      <c r="N304" s="98" t="s">
        <v>1297</v>
      </c>
      <c r="O304" s="98" t="s">
        <v>155</v>
      </c>
      <c r="P304" s="99" t="str">
        <f>IFERROR(__xludf.DUMMYFUNCTION("IFERROR(VLOOKUP(AS304,IMPORTRANGE(""https://docs.google.com/spreadsheets/d/1juPI-Fb8LD0YtltB2mlGEnp_R3UVu1t3wSFPzgCyHXE/edit?gid=0#gid=0"",""GERAL!A2:C""),3,0),""-"")"),"-")</f>
        <v>-</v>
      </c>
      <c r="Q304" s="101" t="s">
        <v>156</v>
      </c>
      <c r="R304" s="98">
        <v>6.0</v>
      </c>
      <c r="S304" s="98">
        <v>0.0</v>
      </c>
      <c r="T304" s="98">
        <v>0.0</v>
      </c>
      <c r="U304" s="98">
        <v>0.0</v>
      </c>
      <c r="V304" s="98">
        <v>0.0</v>
      </c>
      <c r="W304" s="98">
        <v>0.0</v>
      </c>
      <c r="X304" s="98">
        <v>0.0</v>
      </c>
      <c r="Y304" s="98">
        <v>0.0</v>
      </c>
      <c r="Z304" s="98">
        <v>0.0</v>
      </c>
      <c r="AA304" s="98">
        <v>0.0</v>
      </c>
      <c r="AB304" s="98">
        <v>0.0</v>
      </c>
      <c r="AC304" s="98">
        <v>1.0</v>
      </c>
      <c r="AD304" s="98">
        <v>0.0</v>
      </c>
      <c r="AE304" s="98">
        <v>0.0</v>
      </c>
      <c r="AF304" s="98">
        <v>0.0</v>
      </c>
      <c r="AG304" s="98">
        <v>0.0</v>
      </c>
      <c r="AH304" s="98">
        <v>0.0</v>
      </c>
      <c r="AI304" s="98">
        <v>0.0</v>
      </c>
      <c r="AJ304" s="98">
        <v>0.0</v>
      </c>
      <c r="AK304" s="98">
        <v>0.0</v>
      </c>
      <c r="AL304" s="98">
        <v>0.0</v>
      </c>
      <c r="AM304" s="98">
        <v>0.0</v>
      </c>
      <c r="AN304" s="98">
        <v>0.0</v>
      </c>
      <c r="AO304" s="98">
        <v>0.0</v>
      </c>
      <c r="AP304" s="98">
        <v>3.0</v>
      </c>
      <c r="AQ304" s="98" t="s">
        <v>1298</v>
      </c>
      <c r="AR304" s="102">
        <v>46191.0</v>
      </c>
      <c r="AS304" s="83">
        <v>1179664.0</v>
      </c>
    </row>
    <row r="305" ht="15.75" customHeight="1">
      <c r="A305" s="111" t="s">
        <v>383</v>
      </c>
      <c r="B305" s="83" t="s">
        <v>1270</v>
      </c>
      <c r="C305" s="83" t="s">
        <v>164</v>
      </c>
      <c r="D305" s="112">
        <v>1116209.0</v>
      </c>
      <c r="E305" s="83">
        <v>1178737.0</v>
      </c>
      <c r="F305" s="83"/>
      <c r="G305" s="91" t="str">
        <f>IFERROR(__xludf.DUMMYFUNCTION("XLOOKUP(AS305,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SERRINHA - PRESÍDIO - DISTRITO CARNAUBAS")</f>
        <v>ANEXO - COLÉGIO ESTADUAL DE TEMPO INTEGRAL DE SERRINHA - PRESÍDIO - DISTRITO CARNAUBAS</v>
      </c>
      <c r="H305" s="185" t="s">
        <v>1299</v>
      </c>
      <c r="I305" s="91" t="s">
        <v>1300</v>
      </c>
      <c r="J305" s="83" t="s">
        <v>149</v>
      </c>
      <c r="K305" s="83" t="s">
        <v>1301</v>
      </c>
      <c r="L305" s="83" t="s">
        <v>168</v>
      </c>
      <c r="M305" s="82" t="s">
        <v>169</v>
      </c>
      <c r="N305" s="115" t="s">
        <v>170</v>
      </c>
      <c r="O305" s="98" t="s">
        <v>155</v>
      </c>
      <c r="P305" s="99" t="str">
        <f>IFERROR(__xludf.DUMMYFUNCTION("IFERROR(VLOOKUP(AS305,IMPORTRANGE(""https://docs.google.com/spreadsheets/d/1juPI-Fb8LD0YtltB2mlGEnp_R3UVu1t3wSFPzgCyHXE/edit?gid=0#gid=0"",""GERAL!A2:C""),3,0),""-"")"),"CAMPO")</f>
        <v>CAMPO</v>
      </c>
      <c r="Q305" s="98" t="s">
        <v>171</v>
      </c>
      <c r="R305" s="98">
        <v>1.0</v>
      </c>
      <c r="S305" s="98" t="s">
        <v>171</v>
      </c>
      <c r="T305" s="98" t="s">
        <v>171</v>
      </c>
      <c r="U305" s="98" t="s">
        <v>171</v>
      </c>
      <c r="V305" s="98" t="s">
        <v>171</v>
      </c>
      <c r="W305" s="98" t="s">
        <v>171</v>
      </c>
      <c r="X305" s="98" t="s">
        <v>171</v>
      </c>
      <c r="Y305" s="98" t="s">
        <v>171</v>
      </c>
      <c r="Z305" s="98" t="s">
        <v>171</v>
      </c>
      <c r="AA305" s="98" t="s">
        <v>171</v>
      </c>
      <c r="AB305" s="98" t="s">
        <v>171</v>
      </c>
      <c r="AC305" s="98" t="s">
        <v>171</v>
      </c>
      <c r="AD305" s="98" t="s">
        <v>171</v>
      </c>
      <c r="AE305" s="98" t="s">
        <v>171</v>
      </c>
      <c r="AF305" s="98" t="s">
        <v>171</v>
      </c>
      <c r="AG305" s="98" t="s">
        <v>171</v>
      </c>
      <c r="AH305" s="98" t="s">
        <v>171</v>
      </c>
      <c r="AI305" s="98" t="s">
        <v>171</v>
      </c>
      <c r="AJ305" s="98" t="s">
        <v>171</v>
      </c>
      <c r="AK305" s="98" t="s">
        <v>171</v>
      </c>
      <c r="AL305" s="98" t="s">
        <v>171</v>
      </c>
      <c r="AM305" s="98" t="s">
        <v>171</v>
      </c>
      <c r="AN305" s="98" t="s">
        <v>171</v>
      </c>
      <c r="AO305" s="98" t="s">
        <v>171</v>
      </c>
      <c r="AP305" s="98" t="s">
        <v>171</v>
      </c>
      <c r="AQ305" s="98" t="s">
        <v>171</v>
      </c>
      <c r="AR305" s="102">
        <v>46191.0</v>
      </c>
      <c r="AS305" s="83">
        <v>1178737.0</v>
      </c>
    </row>
    <row r="306" ht="15.75" customHeight="1">
      <c r="A306" s="111" t="s">
        <v>383</v>
      </c>
      <c r="B306" s="83" t="s">
        <v>1270</v>
      </c>
      <c r="C306" s="83" t="s">
        <v>164</v>
      </c>
      <c r="D306" s="112">
        <v>1166427.0</v>
      </c>
      <c r="E306" s="83">
        <v>1179209.0</v>
      </c>
      <c r="F306" s="83"/>
      <c r="G306" s="91" t="str">
        <f>IFERROR(__xludf.DUMMYFUNCTION("XLOOKUP(AS306,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ALUIZIO CARNEIRO DA SILVA - POVOADO DE SUBAÉ")</f>
        <v>ANEXO - COLÉGIO ESTADUAL ALUIZIO CARNEIRO DA SILVA - POVOADO DE SUBAÉ</v>
      </c>
      <c r="H306" s="185" t="s">
        <v>1302</v>
      </c>
      <c r="I306" s="91" t="s">
        <v>1303</v>
      </c>
      <c r="J306" s="136" t="s">
        <v>149</v>
      </c>
      <c r="K306" s="83" t="s">
        <v>240</v>
      </c>
      <c r="L306" s="83" t="s">
        <v>168</v>
      </c>
      <c r="M306" s="83" t="s">
        <v>169</v>
      </c>
      <c r="N306" s="115" t="s">
        <v>170</v>
      </c>
      <c r="O306" s="98" t="s">
        <v>155</v>
      </c>
      <c r="P306" s="99" t="str">
        <f>IFERROR(__xludf.DUMMYFUNCTION("IFERROR(VLOOKUP(AS306,IMPORTRANGE(""https://docs.google.com/spreadsheets/d/1juPI-Fb8LD0YtltB2mlGEnp_R3UVu1t3wSFPzgCyHXE/edit?gid=0#gid=0"",""GERAL!A2:C""),3,0),""-"")"),"CAMPO")</f>
        <v>CAMPO</v>
      </c>
      <c r="Q306" s="98" t="s">
        <v>171</v>
      </c>
      <c r="R306" s="98">
        <v>3.0</v>
      </c>
      <c r="S306" s="98" t="s">
        <v>171</v>
      </c>
      <c r="T306" s="98" t="s">
        <v>171</v>
      </c>
      <c r="U306" s="98" t="s">
        <v>171</v>
      </c>
      <c r="V306" s="98" t="s">
        <v>171</v>
      </c>
      <c r="W306" s="98" t="s">
        <v>171</v>
      </c>
      <c r="X306" s="98" t="s">
        <v>171</v>
      </c>
      <c r="Y306" s="98" t="s">
        <v>171</v>
      </c>
      <c r="Z306" s="98" t="s">
        <v>171</v>
      </c>
      <c r="AA306" s="98" t="s">
        <v>171</v>
      </c>
      <c r="AB306" s="98" t="s">
        <v>171</v>
      </c>
      <c r="AC306" s="98" t="s">
        <v>171</v>
      </c>
      <c r="AD306" s="98" t="s">
        <v>171</v>
      </c>
      <c r="AE306" s="98" t="s">
        <v>171</v>
      </c>
      <c r="AF306" s="98" t="s">
        <v>171</v>
      </c>
      <c r="AG306" s="98" t="s">
        <v>171</v>
      </c>
      <c r="AH306" s="98" t="s">
        <v>171</v>
      </c>
      <c r="AI306" s="98" t="s">
        <v>171</v>
      </c>
      <c r="AJ306" s="98" t="s">
        <v>171</v>
      </c>
      <c r="AK306" s="98" t="s">
        <v>171</v>
      </c>
      <c r="AL306" s="98" t="s">
        <v>171</v>
      </c>
      <c r="AM306" s="98" t="s">
        <v>171</v>
      </c>
      <c r="AN306" s="98" t="s">
        <v>171</v>
      </c>
      <c r="AO306" s="98" t="s">
        <v>171</v>
      </c>
      <c r="AP306" s="98" t="s">
        <v>171</v>
      </c>
      <c r="AQ306" s="98" t="s">
        <v>171</v>
      </c>
      <c r="AR306" s="102">
        <v>46191.0</v>
      </c>
      <c r="AS306" s="83">
        <v>1179209.0</v>
      </c>
    </row>
    <row r="307" ht="15.75" customHeight="1">
      <c r="A307" s="111" t="s">
        <v>383</v>
      </c>
      <c r="B307" s="83" t="s">
        <v>1270</v>
      </c>
      <c r="C307" s="83" t="s">
        <v>164</v>
      </c>
      <c r="D307" s="112">
        <v>1179292.0</v>
      </c>
      <c r="E307" s="83">
        <v>1179216.0</v>
      </c>
      <c r="F307" s="83"/>
      <c r="G307" s="91" t="str">
        <f>IFERROR(__xludf.DUMMYFUNCTION("XLOOKUP(AS307,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DE VERTENTE")</f>
        <v>ANEXO - CEMIT - SISAL - POVOADO DE VERTENTE</v>
      </c>
      <c r="H307" s="185" t="s">
        <v>1304</v>
      </c>
      <c r="I307" s="91" t="s">
        <v>1305</v>
      </c>
      <c r="J307" s="136" t="s">
        <v>149</v>
      </c>
      <c r="K307" s="83" t="s">
        <v>784</v>
      </c>
      <c r="L307" s="83" t="s">
        <v>168</v>
      </c>
      <c r="M307" s="83" t="s">
        <v>169</v>
      </c>
      <c r="N307" s="115" t="s">
        <v>170</v>
      </c>
      <c r="O307" s="98" t="s">
        <v>155</v>
      </c>
      <c r="P307" s="99" t="str">
        <f>IFERROR(__xludf.DUMMYFUNCTION("IFERROR(VLOOKUP(AS307,IMPORTRANGE(""https://docs.google.com/spreadsheets/d/1juPI-Fb8LD0YtltB2mlGEnp_R3UVu1t3wSFPzgCyHXE/edit?gid=0#gid=0"",""GERAL!A2:C""),3,0),""-"")"),"-")</f>
        <v>-</v>
      </c>
      <c r="Q307" s="98" t="s">
        <v>171</v>
      </c>
      <c r="R307" s="98">
        <v>3.0</v>
      </c>
      <c r="S307" s="98" t="s">
        <v>171</v>
      </c>
      <c r="T307" s="98" t="s">
        <v>171</v>
      </c>
      <c r="U307" s="98" t="s">
        <v>171</v>
      </c>
      <c r="V307" s="98" t="s">
        <v>171</v>
      </c>
      <c r="W307" s="98" t="s">
        <v>171</v>
      </c>
      <c r="X307" s="98" t="s">
        <v>171</v>
      </c>
      <c r="Y307" s="98" t="s">
        <v>171</v>
      </c>
      <c r="Z307" s="98" t="s">
        <v>171</v>
      </c>
      <c r="AA307" s="98" t="s">
        <v>171</v>
      </c>
      <c r="AB307" s="98" t="s">
        <v>171</v>
      </c>
      <c r="AC307" s="98" t="s">
        <v>171</v>
      </c>
      <c r="AD307" s="98" t="s">
        <v>171</v>
      </c>
      <c r="AE307" s="98" t="s">
        <v>171</v>
      </c>
      <c r="AF307" s="98" t="s">
        <v>171</v>
      </c>
      <c r="AG307" s="98" t="s">
        <v>171</v>
      </c>
      <c r="AH307" s="98" t="s">
        <v>171</v>
      </c>
      <c r="AI307" s="98" t="s">
        <v>171</v>
      </c>
      <c r="AJ307" s="98" t="s">
        <v>171</v>
      </c>
      <c r="AK307" s="98" t="s">
        <v>171</v>
      </c>
      <c r="AL307" s="98" t="s">
        <v>171</v>
      </c>
      <c r="AM307" s="98" t="s">
        <v>171</v>
      </c>
      <c r="AN307" s="98" t="s">
        <v>171</v>
      </c>
      <c r="AO307" s="98" t="s">
        <v>171</v>
      </c>
      <c r="AP307" s="98" t="s">
        <v>171</v>
      </c>
      <c r="AQ307" s="98" t="s">
        <v>171</v>
      </c>
      <c r="AR307" s="102">
        <v>46191.0</v>
      </c>
      <c r="AS307" s="83">
        <v>1179216.0</v>
      </c>
    </row>
    <row r="308" ht="15.75" customHeight="1">
      <c r="A308" s="111" t="s">
        <v>383</v>
      </c>
      <c r="B308" s="83" t="s">
        <v>1270</v>
      </c>
      <c r="C308" s="83" t="s">
        <v>164</v>
      </c>
      <c r="D308" s="112">
        <v>1179292.0</v>
      </c>
      <c r="E308" s="83">
        <v>1178611.0</v>
      </c>
      <c r="F308" s="83"/>
      <c r="G308" s="91" t="str">
        <f>IFERROR(__xludf.DUMMYFUNCTION("XLOOKUP(AS308,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RECANTO")</f>
        <v>ANEXO - CEMIT - SISAL - DISTRITO DE RECANTO</v>
      </c>
      <c r="H308" s="185" t="s">
        <v>1307</v>
      </c>
      <c r="I308" s="91" t="s">
        <v>1308</v>
      </c>
      <c r="J308" s="136" t="s">
        <v>149</v>
      </c>
      <c r="K308" s="83" t="s">
        <v>315</v>
      </c>
      <c r="L308" s="83" t="s">
        <v>168</v>
      </c>
      <c r="M308" s="83" t="s">
        <v>169</v>
      </c>
      <c r="N308" s="115" t="s">
        <v>170</v>
      </c>
      <c r="O308" s="98" t="s">
        <v>155</v>
      </c>
      <c r="P308" s="99" t="str">
        <f>IFERROR(__xludf.DUMMYFUNCTION("IFERROR(VLOOKUP(AS308,IMPORTRANGE(""https://docs.google.com/spreadsheets/d/1juPI-Fb8LD0YtltB2mlGEnp_R3UVu1t3wSFPzgCyHXE/edit?gid=0#gid=0"",""GERAL!A2:C""),3,0),""-"")"),"-")</f>
        <v>-</v>
      </c>
      <c r="Q308" s="98" t="s">
        <v>171</v>
      </c>
      <c r="R308" s="98">
        <v>3.0</v>
      </c>
      <c r="S308" s="98" t="s">
        <v>171</v>
      </c>
      <c r="T308" s="98" t="s">
        <v>171</v>
      </c>
      <c r="U308" s="98" t="s">
        <v>171</v>
      </c>
      <c r="V308" s="98" t="s">
        <v>171</v>
      </c>
      <c r="W308" s="98" t="s">
        <v>171</v>
      </c>
      <c r="X308" s="98" t="s">
        <v>171</v>
      </c>
      <c r="Y308" s="98" t="s">
        <v>171</v>
      </c>
      <c r="Z308" s="98" t="s">
        <v>171</v>
      </c>
      <c r="AA308" s="98" t="s">
        <v>171</v>
      </c>
      <c r="AB308" s="98" t="s">
        <v>171</v>
      </c>
      <c r="AC308" s="98" t="s">
        <v>171</v>
      </c>
      <c r="AD308" s="98" t="s">
        <v>171</v>
      </c>
      <c r="AE308" s="98" t="s">
        <v>171</v>
      </c>
      <c r="AF308" s="98" t="s">
        <v>171</v>
      </c>
      <c r="AG308" s="98" t="s">
        <v>171</v>
      </c>
      <c r="AH308" s="98" t="s">
        <v>171</v>
      </c>
      <c r="AI308" s="98" t="s">
        <v>171</v>
      </c>
      <c r="AJ308" s="98" t="s">
        <v>171</v>
      </c>
      <c r="AK308" s="98" t="s">
        <v>171</v>
      </c>
      <c r="AL308" s="98" t="s">
        <v>171</v>
      </c>
      <c r="AM308" s="98" t="s">
        <v>171</v>
      </c>
      <c r="AN308" s="98" t="s">
        <v>171</v>
      </c>
      <c r="AO308" s="98" t="s">
        <v>171</v>
      </c>
      <c r="AP308" s="98" t="s">
        <v>171</v>
      </c>
      <c r="AQ308" s="98" t="s">
        <v>171</v>
      </c>
      <c r="AR308" s="102">
        <v>46191.0</v>
      </c>
      <c r="AS308" s="83">
        <v>1178611.0</v>
      </c>
    </row>
    <row r="309" ht="15.75" customHeight="1">
      <c r="A309" s="111" t="s">
        <v>383</v>
      </c>
      <c r="B309" s="83" t="s">
        <v>1309</v>
      </c>
      <c r="C309" s="83" t="s">
        <v>68</v>
      </c>
      <c r="D309" s="112">
        <v>1116446.0</v>
      </c>
      <c r="E309" s="83"/>
      <c r="F309" s="83">
        <v>2.9147913E7</v>
      </c>
      <c r="G309" s="91" t="str">
        <f>IFERROR(__xludf.DUMMYFUNCTION("XLOOKUP(AS309,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TEOFILÂNDIA")</f>
        <v>COLÉGIO ESTADUAL DE TEMPO INTEGRAL DE TEOFILÂNDIA</v>
      </c>
      <c r="H309" s="119" t="s">
        <v>1310</v>
      </c>
      <c r="I309" s="108" t="s">
        <v>1311</v>
      </c>
      <c r="J309" s="83" t="s">
        <v>149</v>
      </c>
      <c r="K309" s="83" t="s">
        <v>150</v>
      </c>
      <c r="L309" s="83" t="s">
        <v>151</v>
      </c>
      <c r="M309" s="98" t="s">
        <v>230</v>
      </c>
      <c r="N309" s="98" t="s">
        <v>1312</v>
      </c>
      <c r="O309" s="98" t="s">
        <v>162</v>
      </c>
      <c r="P309" s="99" t="str">
        <f>IFERROR(__xludf.DUMMYFUNCTION("IFERROR(VLOOKUP(AS309,IMPORTRANGE(""https://docs.google.com/spreadsheets/d/1juPI-Fb8LD0YtltB2mlGEnp_R3UVu1t3wSFPzgCyHXE/edit?gid=0#gid=0"",""GERAL!A2:C""),3,0),""-"")"),"-")</f>
        <v>-</v>
      </c>
      <c r="Q309" s="101" t="s">
        <v>156</v>
      </c>
      <c r="R309" s="98">
        <v>17.0</v>
      </c>
      <c r="S309" s="98">
        <v>1.0</v>
      </c>
      <c r="T309" s="98">
        <v>1.0</v>
      </c>
      <c r="U309" s="98">
        <v>0.0</v>
      </c>
      <c r="V309" s="98">
        <v>1.0</v>
      </c>
      <c r="W309" s="98">
        <v>4.0</v>
      </c>
      <c r="X309" s="98">
        <v>1.0</v>
      </c>
      <c r="Y309" s="98">
        <v>0.0</v>
      </c>
      <c r="Z309" s="98">
        <v>1.0</v>
      </c>
      <c r="AA309" s="98">
        <v>0.0</v>
      </c>
      <c r="AB309" s="98">
        <v>1.0</v>
      </c>
      <c r="AC309" s="98">
        <v>0.0</v>
      </c>
      <c r="AD309" s="98">
        <v>0.0</v>
      </c>
      <c r="AE309" s="98">
        <v>0.0</v>
      </c>
      <c r="AF309" s="98">
        <v>1.0</v>
      </c>
      <c r="AG309" s="98">
        <v>0.0</v>
      </c>
      <c r="AH309" s="98">
        <v>1.0</v>
      </c>
      <c r="AI309" s="98">
        <v>0.0</v>
      </c>
      <c r="AJ309" s="98">
        <v>0.0</v>
      </c>
      <c r="AK309" s="98">
        <v>1.0</v>
      </c>
      <c r="AL309" s="98">
        <v>0.0</v>
      </c>
      <c r="AM309" s="98">
        <v>0.0</v>
      </c>
      <c r="AN309" s="98">
        <v>0.0</v>
      </c>
      <c r="AO309" s="98">
        <v>1.0</v>
      </c>
      <c r="AP309" s="98">
        <v>0.0</v>
      </c>
      <c r="AQ309" s="115" t="s">
        <v>1313</v>
      </c>
      <c r="AR309" s="102">
        <v>46220.0</v>
      </c>
      <c r="AS309" s="83">
        <v>1116446.0</v>
      </c>
    </row>
    <row r="310" ht="15.75" customHeight="1">
      <c r="A310" s="111" t="s">
        <v>383</v>
      </c>
      <c r="B310" s="83" t="s">
        <v>1309</v>
      </c>
      <c r="C310" s="83" t="s">
        <v>164</v>
      </c>
      <c r="D310" s="112">
        <v>1179292.0</v>
      </c>
      <c r="E310" s="83">
        <v>1179352.0</v>
      </c>
      <c r="F310" s="83"/>
      <c r="G310" s="91" t="str">
        <f>IFERROR(__xludf.DUMMYFUNCTION("XLOOKUP(AS310,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POVOADO SETOR DE SAO FRANCISCO")</f>
        <v>ANEXO - CEMIT - SISAL - POVOADO SETOR DE SAO FRANCISCO</v>
      </c>
      <c r="H310" s="114" t="s">
        <v>1314</v>
      </c>
      <c r="I310" s="91" t="s">
        <v>1315</v>
      </c>
      <c r="J310" s="136" t="s">
        <v>1316</v>
      </c>
      <c r="K310" s="83" t="s">
        <v>240</v>
      </c>
      <c r="L310" s="83" t="s">
        <v>168</v>
      </c>
      <c r="M310" s="83" t="s">
        <v>169</v>
      </c>
      <c r="N310" s="115" t="s">
        <v>170</v>
      </c>
      <c r="O310" s="98" t="s">
        <v>155</v>
      </c>
      <c r="P310" s="99" t="str">
        <f>IFERROR(__xludf.DUMMYFUNCTION("IFERROR(VLOOKUP(AS310,IMPORTRANGE(""https://docs.google.com/spreadsheets/d/1juPI-Fb8LD0YtltB2mlGEnp_R3UVu1t3wSFPzgCyHXE/edit?gid=0#gid=0"",""GERAL!A2:C""),3,0),""-"")"),"-")</f>
        <v>-</v>
      </c>
      <c r="Q310" s="156" t="s">
        <v>171</v>
      </c>
      <c r="R310" s="235">
        <v>3.0</v>
      </c>
      <c r="S310" s="83" t="s">
        <v>171</v>
      </c>
      <c r="T310" s="83" t="s">
        <v>171</v>
      </c>
      <c r="U310" s="83" t="s">
        <v>171</v>
      </c>
      <c r="V310" s="83" t="s">
        <v>171</v>
      </c>
      <c r="W310" s="83" t="s">
        <v>171</v>
      </c>
      <c r="X310" s="83" t="s">
        <v>171</v>
      </c>
      <c r="Y310" s="83" t="s">
        <v>171</v>
      </c>
      <c r="Z310" s="83" t="s">
        <v>171</v>
      </c>
      <c r="AA310" s="83" t="s">
        <v>171</v>
      </c>
      <c r="AB310" s="83" t="s">
        <v>171</v>
      </c>
      <c r="AC310" s="83" t="s">
        <v>171</v>
      </c>
      <c r="AD310" s="83" t="s">
        <v>171</v>
      </c>
      <c r="AE310" s="98" t="s">
        <v>171</v>
      </c>
      <c r="AF310" s="83" t="s">
        <v>171</v>
      </c>
      <c r="AG310" s="83" t="s">
        <v>171</v>
      </c>
      <c r="AH310" s="98" t="s">
        <v>171</v>
      </c>
      <c r="AI310" s="98" t="s">
        <v>171</v>
      </c>
      <c r="AJ310" s="83" t="s">
        <v>171</v>
      </c>
      <c r="AK310" s="83" t="s">
        <v>171</v>
      </c>
      <c r="AL310" s="83" t="s">
        <v>171</v>
      </c>
      <c r="AM310" s="83" t="s">
        <v>171</v>
      </c>
      <c r="AN310" s="83" t="s">
        <v>171</v>
      </c>
      <c r="AO310" s="83" t="s">
        <v>171</v>
      </c>
      <c r="AP310" s="98" t="s">
        <v>171</v>
      </c>
      <c r="AQ310" s="98" t="s">
        <v>171</v>
      </c>
      <c r="AR310" s="102">
        <v>46220.0</v>
      </c>
      <c r="AS310" s="83">
        <v>1179352.0</v>
      </c>
    </row>
    <row r="311" ht="15.75" customHeight="1">
      <c r="A311" s="111" t="s">
        <v>383</v>
      </c>
      <c r="B311" s="83" t="s">
        <v>1317</v>
      </c>
      <c r="C311" s="83" t="s">
        <v>68</v>
      </c>
      <c r="D311" s="112">
        <v>1114958.0</v>
      </c>
      <c r="E311" s="83"/>
      <c r="F311" s="83">
        <v>2.9123143E7</v>
      </c>
      <c r="G311" s="91" t="str">
        <f>IFERROR(__xludf.DUMMYFUNCTION("XLOOKUP(AS311,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ROMULO GALVÃO - DISTRITO CALDAS DO JORRO")</f>
        <v>COLÉGIO ESTADUAL ROMULO GALVÃO - DISTRITO CALDAS DO JORRO</v>
      </c>
      <c r="H311" s="114" t="s">
        <v>1318</v>
      </c>
      <c r="I311" s="91" t="s">
        <v>1319</v>
      </c>
      <c r="J311" s="172" t="s">
        <v>1320</v>
      </c>
      <c r="K311" s="83" t="s">
        <v>1321</v>
      </c>
      <c r="L311" s="83" t="s">
        <v>151</v>
      </c>
      <c r="M311" s="83" t="s">
        <v>76</v>
      </c>
      <c r="N311" s="98" t="s">
        <v>1322</v>
      </c>
      <c r="O311" s="98" t="s">
        <v>284</v>
      </c>
      <c r="P311" s="99" t="str">
        <f>IFERROR(__xludf.DUMMYFUNCTION("IFERROR(VLOOKUP(AS311,IMPORTRANGE(""https://docs.google.com/spreadsheets/d/1juPI-Fb8LD0YtltB2mlGEnp_R3UVu1t3wSFPzgCyHXE/edit?gid=0#gid=0"",""GERAL!A2:C""),3,0),""-"")"),"-")</f>
        <v>-</v>
      </c>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v>1114958.0</v>
      </c>
    </row>
    <row r="312" ht="15.75" customHeight="1">
      <c r="A312" s="111" t="s">
        <v>383</v>
      </c>
      <c r="B312" s="83" t="s">
        <v>1317</v>
      </c>
      <c r="C312" s="83" t="s">
        <v>68</v>
      </c>
      <c r="D312" s="112">
        <v>1115105.0</v>
      </c>
      <c r="E312" s="83"/>
      <c r="F312" s="83">
        <v>2.9124212E7</v>
      </c>
      <c r="G312" s="91" t="str">
        <f>IFERROR(__xludf.DUMMYFUNCTION("XLOOKUP(AS312,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TUCANO
 (ANTIGO C.E LUIS EDUARDO MAGALHÃES) ")</f>
        <v>COLÉGIO ESTADUAL DE TEMPO INTEGRAL DE TUCANO
 (ANTIGO C.E LUIS EDUARDO MAGALHÃES) </v>
      </c>
      <c r="H312" s="119" t="s">
        <v>1324</v>
      </c>
      <c r="I312" s="91" t="s">
        <v>1325</v>
      </c>
      <c r="J312" s="83" t="s">
        <v>149</v>
      </c>
      <c r="K312" s="83" t="s">
        <v>150</v>
      </c>
      <c r="L312" s="83" t="s">
        <v>151</v>
      </c>
      <c r="M312" s="83" t="s">
        <v>1326</v>
      </c>
      <c r="N312" s="98" t="s">
        <v>1327</v>
      </c>
      <c r="O312" s="98" t="s">
        <v>162</v>
      </c>
      <c r="P312" s="99" t="str">
        <f>IFERROR(__xludf.DUMMYFUNCTION("IFERROR(VLOOKUP(AS312,IMPORTRANGE(""https://docs.google.com/spreadsheets/d/1juPI-Fb8LD0YtltB2mlGEnp_R3UVu1t3wSFPzgCyHXE/edit?gid=0#gid=0"",""GERAL!A2:C""),3,0),""-"")"),"-")</f>
        <v>-</v>
      </c>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v>1115105.0</v>
      </c>
    </row>
    <row r="313" ht="15.75" customHeight="1">
      <c r="A313" s="111" t="s">
        <v>383</v>
      </c>
      <c r="B313" s="83" t="s">
        <v>1328</v>
      </c>
      <c r="C313" s="83" t="s">
        <v>45</v>
      </c>
      <c r="D313" s="112">
        <v>1178381.0</v>
      </c>
      <c r="E313" s="83"/>
      <c r="F313" s="83">
        <v>2.9345146E7</v>
      </c>
      <c r="G313" s="91" t="str">
        <f>IFERROR(__xludf.DUMMYFUNCTION("XLOOKUP(AS313,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AVANI DE LIMA CUNHA - EFA VALENTE")</f>
        <v>ESCOLA FAMILIA AGRICOLA AVANI DE LIMA CUNHA - EFA VALENTE</v>
      </c>
      <c r="H313" s="114" t="s">
        <v>1329</v>
      </c>
      <c r="I313" s="91" t="s">
        <v>1330</v>
      </c>
      <c r="J313" s="229" t="s">
        <v>149</v>
      </c>
      <c r="K313" s="229" t="s">
        <v>784</v>
      </c>
      <c r="L313" s="172" t="s">
        <v>171</v>
      </c>
      <c r="M313" s="83" t="s">
        <v>512</v>
      </c>
      <c r="N313" s="115" t="s">
        <v>1331</v>
      </c>
      <c r="O313" s="98" t="s">
        <v>155</v>
      </c>
      <c r="P313" s="99" t="str">
        <f>IFERROR(__xludf.DUMMYFUNCTION("IFERROR(VLOOKUP(AS313,IMPORTRANGE(""https://docs.google.com/spreadsheets/d/1juPI-Fb8LD0YtltB2mlGEnp_R3UVu1t3wSFPzgCyHXE/edit?gid=0#gid=0"",""GERAL!A2:C""),3,0),""-"")"),"EFA")</f>
        <v>EFA</v>
      </c>
      <c r="Q313" s="98" t="s">
        <v>171</v>
      </c>
      <c r="R313" s="98">
        <v>4.0</v>
      </c>
      <c r="S313" s="98">
        <v>0.0</v>
      </c>
      <c r="T313" s="98">
        <v>0.0</v>
      </c>
      <c r="U313" s="98">
        <v>0.0</v>
      </c>
      <c r="V313" s="98">
        <v>0.0</v>
      </c>
      <c r="W313" s="98">
        <v>0.0</v>
      </c>
      <c r="X313" s="98">
        <v>1.0</v>
      </c>
      <c r="Y313" s="98">
        <v>0.0</v>
      </c>
      <c r="Z313" s="98">
        <v>0.0</v>
      </c>
      <c r="AA313" s="98">
        <v>0.0</v>
      </c>
      <c r="AB313" s="98">
        <v>0.0</v>
      </c>
      <c r="AC313" s="98">
        <v>1.0</v>
      </c>
      <c r="AD313" s="98">
        <v>0.0</v>
      </c>
      <c r="AE313" s="98">
        <v>0.0</v>
      </c>
      <c r="AF313" s="98">
        <v>0.0</v>
      </c>
      <c r="AG313" s="98">
        <v>0.0</v>
      </c>
      <c r="AH313" s="98">
        <v>0.0</v>
      </c>
      <c r="AI313" s="98">
        <v>0.0</v>
      </c>
      <c r="AJ313" s="98">
        <v>0.0</v>
      </c>
      <c r="AK313" s="98">
        <v>0.0</v>
      </c>
      <c r="AL313" s="98">
        <v>0.0</v>
      </c>
      <c r="AM313" s="98">
        <v>0.0</v>
      </c>
      <c r="AN313" s="98">
        <v>0.0</v>
      </c>
      <c r="AO313" s="98">
        <v>0.0</v>
      </c>
      <c r="AP313" s="98">
        <v>0.0</v>
      </c>
      <c r="AQ313" s="98" t="s">
        <v>171</v>
      </c>
      <c r="AR313" s="102">
        <v>46245.0</v>
      </c>
      <c r="AS313" s="83">
        <v>1178381.0</v>
      </c>
    </row>
    <row r="314" ht="15.75" customHeight="1">
      <c r="A314" s="111" t="s">
        <v>383</v>
      </c>
      <c r="B314" s="83" t="s">
        <v>1328</v>
      </c>
      <c r="C314" s="83" t="s">
        <v>68</v>
      </c>
      <c r="D314" s="112">
        <v>1178275.0</v>
      </c>
      <c r="E314" s="83"/>
      <c r="F314" s="83">
        <v>2.9915783E7</v>
      </c>
      <c r="G314" s="91" t="str">
        <f>IFERROR(__xludf.DUMMYFUNCTION("XLOOKUP(AS314,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LUCIBERTO OLIVEIRA DOS SANTOS")</f>
        <v>COLÉGIO ESTADUAL DO CAMPO LUCIBERTO OLIVEIRA DOS SANTOS</v>
      </c>
      <c r="H314" s="119" t="s">
        <v>1332</v>
      </c>
      <c r="I314" s="91" t="s">
        <v>1333</v>
      </c>
      <c r="J314" s="83" t="s">
        <v>149</v>
      </c>
      <c r="K314" s="83" t="s">
        <v>240</v>
      </c>
      <c r="L314" s="83" t="s">
        <v>151</v>
      </c>
      <c r="M314" s="83" t="s">
        <v>169</v>
      </c>
      <c r="N314" s="98" t="s">
        <v>1334</v>
      </c>
      <c r="O314" s="98" t="s">
        <v>155</v>
      </c>
      <c r="P314" s="99" t="str">
        <f>IFERROR(__xludf.DUMMYFUNCTION("IFERROR(VLOOKUP(AS314,IMPORTRANGE(""https://docs.google.com/spreadsheets/d/1juPI-Fb8LD0YtltB2mlGEnp_R3UVu1t3wSFPzgCyHXE/edit?gid=0#gid=0"",""GERAL!A2:C""),3,0),""-"")"),"CAMPO")</f>
        <v>CAMPO</v>
      </c>
      <c r="Q314" s="101" t="s">
        <v>156</v>
      </c>
      <c r="R314" s="98">
        <v>8.0</v>
      </c>
      <c r="S314" s="98">
        <v>0.0</v>
      </c>
      <c r="T314" s="98">
        <v>0.0</v>
      </c>
      <c r="U314" s="98">
        <v>0.0</v>
      </c>
      <c r="V314" s="98">
        <v>1.0</v>
      </c>
      <c r="W314" s="98">
        <v>0.0</v>
      </c>
      <c r="X314" s="98">
        <v>1.0</v>
      </c>
      <c r="Y314" s="98">
        <v>0.0</v>
      </c>
      <c r="Z314" s="98">
        <v>0.0</v>
      </c>
      <c r="AA314" s="98">
        <v>0.0</v>
      </c>
      <c r="AB314" s="98">
        <v>0.0</v>
      </c>
      <c r="AC314" s="98">
        <v>0.0</v>
      </c>
      <c r="AD314" s="98">
        <v>0.0</v>
      </c>
      <c r="AE314" s="98">
        <v>0.0</v>
      </c>
      <c r="AF314" s="98">
        <v>0.0</v>
      </c>
      <c r="AG314" s="98">
        <v>1.0</v>
      </c>
      <c r="AH314" s="98">
        <v>0.0</v>
      </c>
      <c r="AI314" s="98">
        <v>0.0</v>
      </c>
      <c r="AJ314" s="98">
        <v>0.0</v>
      </c>
      <c r="AK314" s="98">
        <v>0.0</v>
      </c>
      <c r="AL314" s="98">
        <v>0.0</v>
      </c>
      <c r="AM314" s="98">
        <v>0.0</v>
      </c>
      <c r="AN314" s="98">
        <v>0.0</v>
      </c>
      <c r="AO314" s="98">
        <v>0.0</v>
      </c>
      <c r="AP314" s="98">
        <v>1.0</v>
      </c>
      <c r="AQ314" s="98" t="s">
        <v>1336</v>
      </c>
      <c r="AR314" s="102">
        <v>46245.0</v>
      </c>
      <c r="AS314" s="83">
        <v>1178275.0</v>
      </c>
    </row>
    <row r="315" ht="15.75" customHeight="1">
      <c r="A315" s="111" t="s">
        <v>383</v>
      </c>
      <c r="B315" s="83" t="s">
        <v>1328</v>
      </c>
      <c r="C315" s="83" t="s">
        <v>68</v>
      </c>
      <c r="D315" s="112">
        <v>1178102.0</v>
      </c>
      <c r="E315" s="83"/>
      <c r="F315" s="83">
        <v>2.943212E7</v>
      </c>
      <c r="G315" s="91" t="str">
        <f>IFERROR(__xludf.DUMMYFUNCTION("XLOOKUP(AS315,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VALENTE")</f>
        <v>COLÉGIO ESTADUAL DE VALENTE</v>
      </c>
      <c r="H315" s="114" t="s">
        <v>1337</v>
      </c>
      <c r="I315" s="91" t="s">
        <v>1338</v>
      </c>
      <c r="J315" s="83" t="s">
        <v>149</v>
      </c>
      <c r="K315" s="83" t="s">
        <v>150</v>
      </c>
      <c r="L315" s="83" t="s">
        <v>151</v>
      </c>
      <c r="M315" s="83" t="s">
        <v>169</v>
      </c>
      <c r="N315" s="98" t="s">
        <v>1339</v>
      </c>
      <c r="O315" s="98" t="s">
        <v>155</v>
      </c>
      <c r="P315" s="99" t="str">
        <f>IFERROR(__xludf.DUMMYFUNCTION("IFERROR(VLOOKUP(AS315,IMPORTRANGE(""https://docs.google.com/spreadsheets/d/1juPI-Fb8LD0YtltB2mlGEnp_R3UVu1t3wSFPzgCyHXE/edit?gid=0#gid=0"",""GERAL!A2:C""),3,0),""-"")"),"-")</f>
        <v>-</v>
      </c>
      <c r="Q315" s="101" t="s">
        <v>156</v>
      </c>
      <c r="R315" s="98">
        <v>9.0</v>
      </c>
      <c r="S315" s="98">
        <v>0.0</v>
      </c>
      <c r="T315" s="98">
        <v>0.0</v>
      </c>
      <c r="U315" s="98">
        <v>0.0</v>
      </c>
      <c r="V315" s="98">
        <v>0.0</v>
      </c>
      <c r="W315" s="98">
        <v>0.0</v>
      </c>
      <c r="X315" s="98">
        <v>0.0</v>
      </c>
      <c r="Y315" s="98">
        <v>0.0</v>
      </c>
      <c r="Z315" s="98">
        <v>0.0</v>
      </c>
      <c r="AA315" s="98">
        <v>0.0</v>
      </c>
      <c r="AB315" s="98">
        <v>0.0</v>
      </c>
      <c r="AC315" s="98">
        <v>0.0</v>
      </c>
      <c r="AD315" s="98">
        <v>0.0</v>
      </c>
      <c r="AE315" s="98">
        <v>0.0</v>
      </c>
      <c r="AF315" s="98">
        <v>0.0</v>
      </c>
      <c r="AG315" s="98">
        <v>0.0</v>
      </c>
      <c r="AH315" s="98">
        <v>0.0</v>
      </c>
      <c r="AI315" s="98">
        <v>0.0</v>
      </c>
      <c r="AJ315" s="98">
        <v>0.0</v>
      </c>
      <c r="AK315" s="98">
        <v>0.0</v>
      </c>
      <c r="AL315" s="98">
        <v>0.0</v>
      </c>
      <c r="AM315" s="98">
        <v>0.0</v>
      </c>
      <c r="AN315" s="98">
        <v>0.0</v>
      </c>
      <c r="AO315" s="98">
        <v>0.0</v>
      </c>
      <c r="AP315" s="98">
        <v>2.0</v>
      </c>
      <c r="AQ315" s="98" t="s">
        <v>1340</v>
      </c>
      <c r="AR315" s="102">
        <v>46245.0</v>
      </c>
      <c r="AS315" s="83">
        <v>1178102.0</v>
      </c>
    </row>
    <row r="316" ht="15.75" customHeight="1">
      <c r="A316" s="111" t="s">
        <v>383</v>
      </c>
      <c r="B316" s="83" t="s">
        <v>1328</v>
      </c>
      <c r="C316" s="83" t="s">
        <v>68</v>
      </c>
      <c r="D316" s="112">
        <v>1116713.0</v>
      </c>
      <c r="E316" s="83"/>
      <c r="F316" s="83">
        <v>2.914938E7</v>
      </c>
      <c r="G316" s="91" t="str">
        <f>IFERROR(__xludf.DUMMYFUNCTION("XLOOKUP(AS316,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WILSON LINS")</f>
        <v>COLÉGIO ESTADUAL DE TEMPO INTEGRAL WILSON LINS</v>
      </c>
      <c r="H316" s="119" t="s">
        <v>1341</v>
      </c>
      <c r="I316" s="91" t="s">
        <v>1342</v>
      </c>
      <c r="J316" s="83" t="s">
        <v>149</v>
      </c>
      <c r="K316" s="83" t="s">
        <v>150</v>
      </c>
      <c r="L316" s="83" t="s">
        <v>151</v>
      </c>
      <c r="M316" s="83" t="s">
        <v>152</v>
      </c>
      <c r="N316" s="98" t="s">
        <v>1343</v>
      </c>
      <c r="O316" s="98" t="s">
        <v>284</v>
      </c>
      <c r="P316" s="99" t="str">
        <f>IFERROR(__xludf.DUMMYFUNCTION("IFERROR(VLOOKUP(AS316,IMPORTRANGE(""https://docs.google.com/spreadsheets/d/1juPI-Fb8LD0YtltB2mlGEnp_R3UVu1t3wSFPzgCyHXE/edit?gid=0#gid=0"",""GERAL!A2:C""),3,0),""-"")"),"-")</f>
        <v>-</v>
      </c>
      <c r="Q316" s="101" t="s">
        <v>156</v>
      </c>
      <c r="R316" s="98">
        <v>21.0</v>
      </c>
      <c r="S316" s="98">
        <v>0.0</v>
      </c>
      <c r="T316" s="98">
        <v>0.0</v>
      </c>
      <c r="U316" s="98">
        <v>0.0</v>
      </c>
      <c r="V316" s="98">
        <v>0.0</v>
      </c>
      <c r="W316" s="98">
        <v>0.0</v>
      </c>
      <c r="X316" s="98">
        <v>1.0</v>
      </c>
      <c r="Y316" s="98">
        <v>0.0</v>
      </c>
      <c r="Z316" s="98">
        <v>1.0</v>
      </c>
      <c r="AA316" s="98">
        <v>0.0</v>
      </c>
      <c r="AB316" s="98">
        <v>1.0</v>
      </c>
      <c r="AC316" s="98">
        <v>0.0</v>
      </c>
      <c r="AD316" s="98">
        <v>0.0</v>
      </c>
      <c r="AE316" s="98">
        <v>0.0</v>
      </c>
      <c r="AF316" s="98">
        <v>1.0</v>
      </c>
      <c r="AG316" s="98">
        <v>0.0</v>
      </c>
      <c r="AH316" s="98">
        <v>0.0</v>
      </c>
      <c r="AI316" s="98">
        <v>0.0</v>
      </c>
      <c r="AJ316" s="98">
        <v>0.0</v>
      </c>
      <c r="AK316" s="98">
        <v>0.0</v>
      </c>
      <c r="AL316" s="98">
        <v>0.0</v>
      </c>
      <c r="AM316" s="98">
        <v>0.0</v>
      </c>
      <c r="AN316" s="98">
        <v>0.0</v>
      </c>
      <c r="AO316" s="98">
        <v>0.0</v>
      </c>
      <c r="AP316" s="98">
        <v>3.0</v>
      </c>
      <c r="AQ316" s="98" t="s">
        <v>1344</v>
      </c>
      <c r="AR316" s="102">
        <v>46245.0</v>
      </c>
      <c r="AS316" s="83">
        <v>1116713.0</v>
      </c>
    </row>
    <row r="317" ht="15.75" customHeight="1">
      <c r="A317" s="111" t="s">
        <v>383</v>
      </c>
      <c r="B317" s="83" t="s">
        <v>1328</v>
      </c>
      <c r="C317" s="83" t="s">
        <v>164</v>
      </c>
      <c r="D317" s="112">
        <v>1179292.0</v>
      </c>
      <c r="E317" s="83">
        <v>1178613.0</v>
      </c>
      <c r="F317" s="83"/>
      <c r="G317" s="91" t="str">
        <f>IFERROR(__xludf.DUMMYFUNCTION("XLOOKUP(AS317,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SISAL - DISTRITO DE VALILANDIA")</f>
        <v>ANEXO - CEMIT - SISAL - DISTRITO DE VALILANDIA</v>
      </c>
      <c r="H317" s="114" t="s">
        <v>1345</v>
      </c>
      <c r="I317" s="91" t="s">
        <v>1346</v>
      </c>
      <c r="J317" s="172" t="s">
        <v>171</v>
      </c>
      <c r="K317" s="83" t="s">
        <v>1347</v>
      </c>
      <c r="L317" s="83" t="s">
        <v>168</v>
      </c>
      <c r="M317" s="83" t="s">
        <v>169</v>
      </c>
      <c r="N317" s="115" t="s">
        <v>170</v>
      </c>
      <c r="O317" s="98" t="s">
        <v>155</v>
      </c>
      <c r="P317" s="99" t="str">
        <f>IFERROR(__xludf.DUMMYFUNCTION("IFERROR(VLOOKUP(AS317,IMPORTRANGE(""https://docs.google.com/spreadsheets/d/1juPI-Fb8LD0YtltB2mlGEnp_R3UVu1t3wSFPzgCyHXE/edit?gid=0#gid=0"",""GERAL!A2:C""),3,0),""-"")"),"-")</f>
        <v>-</v>
      </c>
      <c r="Q317" s="98" t="s">
        <v>171</v>
      </c>
      <c r="R317" s="98">
        <v>2.0</v>
      </c>
      <c r="S317" s="83" t="s">
        <v>171</v>
      </c>
      <c r="T317" s="83" t="s">
        <v>171</v>
      </c>
      <c r="U317" s="83" t="s">
        <v>171</v>
      </c>
      <c r="V317" s="83" t="s">
        <v>171</v>
      </c>
      <c r="W317" s="83" t="s">
        <v>171</v>
      </c>
      <c r="X317" s="83" t="s">
        <v>171</v>
      </c>
      <c r="Y317" s="83" t="s">
        <v>171</v>
      </c>
      <c r="Z317" s="83" t="s">
        <v>171</v>
      </c>
      <c r="AA317" s="83" t="s">
        <v>171</v>
      </c>
      <c r="AB317" s="83" t="s">
        <v>171</v>
      </c>
      <c r="AC317" s="83" t="s">
        <v>171</v>
      </c>
      <c r="AD317" s="83" t="s">
        <v>171</v>
      </c>
      <c r="AE317" s="98" t="s">
        <v>171</v>
      </c>
      <c r="AF317" s="83" t="s">
        <v>171</v>
      </c>
      <c r="AG317" s="83" t="s">
        <v>171</v>
      </c>
      <c r="AH317" s="98" t="s">
        <v>171</v>
      </c>
      <c r="AI317" s="98" t="s">
        <v>171</v>
      </c>
      <c r="AJ317" s="83" t="s">
        <v>171</v>
      </c>
      <c r="AK317" s="83" t="s">
        <v>171</v>
      </c>
      <c r="AL317" s="83" t="s">
        <v>171</v>
      </c>
      <c r="AM317" s="83" t="s">
        <v>171</v>
      </c>
      <c r="AN317" s="83" t="s">
        <v>171</v>
      </c>
      <c r="AO317" s="83" t="s">
        <v>171</v>
      </c>
      <c r="AP317" s="98" t="s">
        <v>171</v>
      </c>
      <c r="AQ317" s="98" t="s">
        <v>171</v>
      </c>
      <c r="AR317" s="102">
        <v>46245.0</v>
      </c>
      <c r="AS317" s="83">
        <v>1178613.0</v>
      </c>
    </row>
    <row r="318" ht="15.75" customHeight="1">
      <c r="A318" s="111" t="s">
        <v>451</v>
      </c>
      <c r="B318" s="83" t="s">
        <v>1348</v>
      </c>
      <c r="C318" s="83" t="s">
        <v>68</v>
      </c>
      <c r="D318" s="112">
        <v>1111495.0</v>
      </c>
      <c r="E318" s="83"/>
      <c r="F318" s="83">
        <v>2.929228E7</v>
      </c>
      <c r="G318" s="91" t="str">
        <f>IFERROR(__xludf.DUMMYFUNCTION("XLOOKUP(AS318,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SENADOR LUIZ VIANA FILHO - TEMPO INTEGRAL")</f>
        <v>COLÉGIO ESTADUAL SENADOR LUIZ VIANA FILHO - TEMPO INTEGRAL</v>
      </c>
      <c r="H318" s="119" t="s">
        <v>1349</v>
      </c>
      <c r="I318" s="91" t="s">
        <v>1350</v>
      </c>
      <c r="J318" s="83" t="s">
        <v>149</v>
      </c>
      <c r="K318" s="83" t="s">
        <v>150</v>
      </c>
      <c r="L318" s="83" t="s">
        <v>151</v>
      </c>
      <c r="M318" s="83" t="s">
        <v>169</v>
      </c>
      <c r="N318" s="98" t="s">
        <v>1351</v>
      </c>
      <c r="O318" s="98" t="s">
        <v>155</v>
      </c>
      <c r="P318" s="99" t="str">
        <f>IFERROR(__xludf.DUMMYFUNCTION("IFERROR(VLOOKUP(AS318,IMPORTRANGE(""https://docs.google.com/spreadsheets/d/1juPI-Fb8LD0YtltB2mlGEnp_R3UVu1t3wSFPzgCyHXE/edit?gid=0#gid=0"",""GERAL!A2:C""),3,0),""-"")"),"-")</f>
        <v>-</v>
      </c>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v>1111495.0</v>
      </c>
    </row>
    <row r="319" ht="15.75" customHeight="1">
      <c r="A319" s="111" t="s">
        <v>451</v>
      </c>
      <c r="B319" s="83" t="s">
        <v>1352</v>
      </c>
      <c r="C319" s="83" t="s">
        <v>68</v>
      </c>
      <c r="D319" s="112">
        <v>1161093.0</v>
      </c>
      <c r="E319" s="83"/>
      <c r="F319" s="83">
        <v>2.9292808E7</v>
      </c>
      <c r="G319" s="91" t="str">
        <f>IFERROR(__xludf.DUMMYFUNCTION("XLOOKUP(AS319,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FELIPA
(ANTIGO: BRAULIO XAVIER)")</f>
        <v>COLÉGIO ESTADUAL DE TEMPO INTEGRAL MARIA FELIPA
(ANTIGO: BRAULIO XAVIER)</v>
      </c>
      <c r="H319" s="119" t="s">
        <v>1353</v>
      </c>
      <c r="I319" s="91" t="s">
        <v>1354</v>
      </c>
      <c r="J319" s="172" t="s">
        <v>149</v>
      </c>
      <c r="K319" s="83" t="s">
        <v>150</v>
      </c>
      <c r="L319" s="83" t="s">
        <v>151</v>
      </c>
      <c r="M319" s="83" t="s">
        <v>76</v>
      </c>
      <c r="N319" s="98" t="s">
        <v>1355</v>
      </c>
      <c r="O319" s="98" t="s">
        <v>155</v>
      </c>
      <c r="P319" s="99" t="str">
        <f>IFERROR(__xludf.DUMMYFUNCTION("IFERROR(VLOOKUP(AS319,IMPORTRANGE(""https://docs.google.com/spreadsheets/d/1juPI-Fb8LD0YtltB2mlGEnp_R3UVu1t3wSFPzgCyHXE/edit?gid=0#gid=0"",""GERAL!A2:C""),3,0),""-"")"),"-")</f>
        <v>-</v>
      </c>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v>1161093.0</v>
      </c>
    </row>
    <row r="320" ht="15.75" customHeight="1">
      <c r="A320" s="111" t="s">
        <v>451</v>
      </c>
      <c r="B320" s="83" t="s">
        <v>1352</v>
      </c>
      <c r="C320" s="83" t="s">
        <v>68</v>
      </c>
      <c r="D320" s="112">
        <v>1178142.0</v>
      </c>
      <c r="E320" s="83"/>
      <c r="F320" s="83">
        <v>2.9886732E7</v>
      </c>
      <c r="G320" s="91" t="str">
        <f>IFERROR(__xludf.DUMMYFUNCTION("XLOOKUP(AS320,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DA FLORESTA DO CACAU E DO CHOCOLATE MILTON - TEMPO INTEGRAL")</f>
        <v>CENTRO ESTADUAL DE EDUCAÇÃO PROFISSIONAL DA FLORESTA DO CACAU E DO CHOCOLATE MILTON - TEMPO INTEGRAL</v>
      </c>
      <c r="H320" s="114" t="s">
        <v>1356</v>
      </c>
      <c r="I320" s="91" t="s">
        <v>1357</v>
      </c>
      <c r="J320" s="172" t="s">
        <v>149</v>
      </c>
      <c r="K320" s="83" t="s">
        <v>150</v>
      </c>
      <c r="L320" s="83" t="s">
        <v>151</v>
      </c>
      <c r="M320" s="83" t="s">
        <v>230</v>
      </c>
      <c r="N320" s="98" t="s">
        <v>1358</v>
      </c>
      <c r="O320" s="98" t="s">
        <v>155</v>
      </c>
      <c r="P320" s="99" t="str">
        <f>IFERROR(__xludf.DUMMYFUNCTION("IFERROR(VLOOKUP(AS320,IMPORTRANGE(""https://docs.google.com/spreadsheets/d/1juPI-Fb8LD0YtltB2mlGEnp_R3UVu1t3wSFPzgCyHXE/edit?gid=0#gid=0"",""GERAL!A2:C""),3,0),""-"")"),"ASSENTAMENTOS")</f>
        <v>ASSENTAMENTOS</v>
      </c>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v>1178142.0</v>
      </c>
    </row>
    <row r="321" ht="15.75" customHeight="1">
      <c r="A321" s="111" t="s">
        <v>451</v>
      </c>
      <c r="B321" s="83" t="s">
        <v>1359</v>
      </c>
      <c r="C321" s="83" t="s">
        <v>68</v>
      </c>
      <c r="D321" s="112">
        <v>1111550.0</v>
      </c>
      <c r="E321" s="83"/>
      <c r="F321" s="83">
        <v>2.9293197E7</v>
      </c>
      <c r="G321" s="91" t="str">
        <f>IFERROR(__xludf.DUMMYFUNCTION("XLOOKUP(AS321,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PROFESSORA JAIDE ROCHA 
( ANTIGO PROFESSORA MARIA OLIMPIA )")</f>
        <v>COLEGIO ESTADUAL DE TEMPO INTEGRAL PROFESSORA JAIDE ROCHA 
( ANTIGO PROFESSORA MARIA OLIMPIA )</v>
      </c>
      <c r="H321" s="114" t="s">
        <v>1360</v>
      </c>
      <c r="I321" s="91" t="s">
        <v>1361</v>
      </c>
      <c r="J321" s="172" t="s">
        <v>149</v>
      </c>
      <c r="K321" s="83" t="s">
        <v>150</v>
      </c>
      <c r="L321" s="83" t="s">
        <v>151</v>
      </c>
      <c r="M321" s="83" t="s">
        <v>152</v>
      </c>
      <c r="N321" s="98" t="s">
        <v>1362</v>
      </c>
      <c r="O321" s="98" t="s">
        <v>162</v>
      </c>
      <c r="P321" s="99" t="str">
        <f>IFERROR(__xludf.DUMMYFUNCTION("IFERROR(VLOOKUP(AS321,IMPORTRANGE(""https://docs.google.com/spreadsheets/d/1juPI-Fb8LD0YtltB2mlGEnp_R3UVu1t3wSFPzgCyHXE/edit?gid=0#gid=0"",""GERAL!A2:C""),3,0),""-"")"),"-")</f>
        <v>-</v>
      </c>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v>1111550.0</v>
      </c>
    </row>
    <row r="322" ht="15.75" customHeight="1">
      <c r="A322" s="111" t="s">
        <v>451</v>
      </c>
      <c r="B322" s="83" t="s">
        <v>1359</v>
      </c>
      <c r="C322" s="83" t="s">
        <v>164</v>
      </c>
      <c r="D322" s="112">
        <v>1179701.0</v>
      </c>
      <c r="E322" s="83">
        <v>1178500.0</v>
      </c>
      <c r="F322" s="83"/>
      <c r="G322" s="91" t="str">
        <f>IFERROR(__xludf.DUMMYFUNCTION("XLOOKUP(AS322,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DISTRITO DE POCO CENTRAL")</f>
        <v>ANEXO - CEMIT- LITORAL SUL - DISTRITO DE POCO CENTRAL</v>
      </c>
      <c r="H322" s="114" t="s">
        <v>1363</v>
      </c>
      <c r="I322" s="91" t="s">
        <v>1364</v>
      </c>
      <c r="J322" s="172" t="s">
        <v>1365</v>
      </c>
      <c r="K322" s="83" t="s">
        <v>331</v>
      </c>
      <c r="L322" s="83" t="s">
        <v>151</v>
      </c>
      <c r="M322" s="83" t="s">
        <v>169</v>
      </c>
      <c r="N322" s="115" t="s">
        <v>170</v>
      </c>
      <c r="O322" s="98" t="s">
        <v>155</v>
      </c>
      <c r="P322" s="99" t="str">
        <f>IFERROR(__xludf.DUMMYFUNCTION("IFERROR(VLOOKUP(AS322,IMPORTRANGE(""https://docs.google.com/spreadsheets/d/1juPI-Fb8LD0YtltB2mlGEnp_R3UVu1t3wSFPzgCyHXE/edit?gid=0#gid=0"",""GERAL!A2:C""),3,0),""-"")"),"CAMPO")</f>
        <v>CAMPO</v>
      </c>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v>1178500.0</v>
      </c>
    </row>
    <row r="323" ht="15.75" customHeight="1">
      <c r="A323" s="111" t="s">
        <v>451</v>
      </c>
      <c r="B323" s="83" t="s">
        <v>1366</v>
      </c>
      <c r="C323" s="83" t="s">
        <v>68</v>
      </c>
      <c r="D323" s="112">
        <v>1112491.0</v>
      </c>
      <c r="E323" s="83"/>
      <c r="F323" s="83">
        <v>2.9294037E7</v>
      </c>
      <c r="G323" s="91" t="str">
        <f>IFERROR(__xludf.DUMMYFUNCTION("XLOOKUP(AS323,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LOMANTO JUNIOR")</f>
        <v>COLÉGIO ESTADUAL LOMANTO JUNIOR</v>
      </c>
      <c r="H323" s="119" t="s">
        <v>1367</v>
      </c>
      <c r="I323" s="131" t="s">
        <v>1368</v>
      </c>
      <c r="J323" s="98" t="s">
        <v>149</v>
      </c>
      <c r="K323" s="98" t="s">
        <v>150</v>
      </c>
      <c r="L323" s="236" t="s">
        <v>151</v>
      </c>
      <c r="M323" s="236" t="s">
        <v>169</v>
      </c>
      <c r="N323" s="98" t="s">
        <v>1369</v>
      </c>
      <c r="O323" s="98" t="s">
        <v>155</v>
      </c>
      <c r="P323" s="99" t="str">
        <f>IFERROR(__xludf.DUMMYFUNCTION("IFERROR(VLOOKUP(AS323,IMPORTRANGE(""https://docs.google.com/spreadsheets/d/1juPI-Fb8LD0YtltB2mlGEnp_R3UVu1t3wSFPzgCyHXE/edit?gid=0#gid=0"",""GERAL!A2:C""),3,0),""-"")"),"-")</f>
        <v>-</v>
      </c>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v>1112491.0</v>
      </c>
    </row>
    <row r="324" ht="15.75" customHeight="1">
      <c r="A324" s="111" t="s">
        <v>451</v>
      </c>
      <c r="B324" s="83" t="s">
        <v>1370</v>
      </c>
      <c r="C324" s="83" t="s">
        <v>68</v>
      </c>
      <c r="D324" s="112">
        <v>1178186.0</v>
      </c>
      <c r="E324" s="83"/>
      <c r="F324" s="83">
        <v>2.944657E7</v>
      </c>
      <c r="G324" s="91" t="str">
        <f>IFERROR(__xludf.DUMMYFUNCTION("XLOOKUP(AS324,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TUPINAMBÁ DE TEMPO INTEGRAL SERRA DO PADEIRO")</f>
        <v>COLÉGIO ESTADUAL INDÍGENA TUPINAMBÁ DE TEMPO INTEGRAL SERRA DO PADEIRO</v>
      </c>
      <c r="H324" s="119" t="s">
        <v>1371</v>
      </c>
      <c r="I324" s="91" t="s">
        <v>1372</v>
      </c>
      <c r="J324" s="136" t="s">
        <v>1373</v>
      </c>
      <c r="K324" s="83" t="s">
        <v>240</v>
      </c>
      <c r="L324" s="98" t="s">
        <v>151</v>
      </c>
      <c r="M324" s="98" t="s">
        <v>152</v>
      </c>
      <c r="N324" s="98" t="s">
        <v>1374</v>
      </c>
      <c r="O324" s="98" t="s">
        <v>162</v>
      </c>
      <c r="P324" s="99" t="str">
        <f>IFERROR(__xludf.DUMMYFUNCTION("IFERROR(VLOOKUP(AS324,IMPORTRANGE(""https://docs.google.com/spreadsheets/d/1juPI-Fb8LD0YtltB2mlGEnp_R3UVu1t3wSFPzgCyHXE/edit?gid=0#gid=0"",""GERAL!A2:C""),3,0),""-"")"),"INDÍGENAS")</f>
        <v>INDÍGENAS</v>
      </c>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v>1178186.0</v>
      </c>
    </row>
    <row r="325" ht="15.75" customHeight="1">
      <c r="A325" s="111" t="s">
        <v>451</v>
      </c>
      <c r="B325" s="83" t="s">
        <v>1370</v>
      </c>
      <c r="C325" s="83" t="s">
        <v>68</v>
      </c>
      <c r="D325" s="112">
        <v>1111584.0</v>
      </c>
      <c r="E325" s="83"/>
      <c r="F325" s="83">
        <v>2.9294606E7</v>
      </c>
      <c r="G325" s="91" t="str">
        <f>IFERROR(__xludf.DUMMYFUNCTION("XLOOKUP(AS325,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ENEDINA OLIVA - TEMPO INTEGRAL")</f>
        <v>COLÉGIO ESTADUAL ENEDINA OLIVA - TEMPO INTEGRAL</v>
      </c>
      <c r="H325" s="119" t="s">
        <v>1375</v>
      </c>
      <c r="I325" s="91" t="s">
        <v>1376</v>
      </c>
      <c r="J325" s="83" t="s">
        <v>149</v>
      </c>
      <c r="K325" s="83" t="s">
        <v>150</v>
      </c>
      <c r="L325" s="83" t="s">
        <v>151</v>
      </c>
      <c r="M325" s="98" t="s">
        <v>152</v>
      </c>
      <c r="N325" s="98" t="s">
        <v>1377</v>
      </c>
      <c r="O325" s="98" t="s">
        <v>155</v>
      </c>
      <c r="P325" s="99" t="str">
        <f>IFERROR(__xludf.DUMMYFUNCTION("IFERROR(VLOOKUP(AS325,IMPORTRANGE(""https://docs.google.com/spreadsheets/d/1juPI-Fb8LD0YtltB2mlGEnp_R3UVu1t3wSFPzgCyHXE/edit?gid=0#gid=0"",""GERAL!A2:C""),3,0),""-"")"),"-")</f>
        <v>-</v>
      </c>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v>1111584.0</v>
      </c>
    </row>
    <row r="326" ht="15.75" customHeight="1">
      <c r="A326" s="111" t="s">
        <v>451</v>
      </c>
      <c r="B326" s="83" t="s">
        <v>1378</v>
      </c>
      <c r="C326" s="83" t="s">
        <v>68</v>
      </c>
      <c r="D326" s="112">
        <v>1111797.0</v>
      </c>
      <c r="E326" s="83"/>
      <c r="F326" s="83">
        <v>2.9295866E7</v>
      </c>
      <c r="G326" s="91" t="str">
        <f>IFERROR(__xludf.DUMMYFUNCTION("XLOOKUP(AS326,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CAMACAN 
(ANTIGO POLIVALENTE)")</f>
        <v>COLÉGIO ESTADUAL DE TEMPO INTEGRAL DE CAMACAN 
(ANTIGO POLIVALENTE)</v>
      </c>
      <c r="H326" s="119" t="s">
        <v>1379</v>
      </c>
      <c r="I326" s="91" t="s">
        <v>1380</v>
      </c>
      <c r="J326" s="136" t="s">
        <v>149</v>
      </c>
      <c r="K326" s="83" t="s">
        <v>150</v>
      </c>
      <c r="L326" s="83" t="s">
        <v>151</v>
      </c>
      <c r="M326" s="83" t="s">
        <v>152</v>
      </c>
      <c r="N326" s="98" t="s">
        <v>1381</v>
      </c>
      <c r="O326" s="98" t="s">
        <v>284</v>
      </c>
      <c r="P326" s="99" t="str">
        <f>IFERROR(__xludf.DUMMYFUNCTION("IFERROR(VLOOKUP(AS326,IMPORTRANGE(""https://docs.google.com/spreadsheets/d/1juPI-Fb8LD0YtltB2mlGEnp_R3UVu1t3wSFPzgCyHXE/edit?gid=0#gid=0"",""GERAL!A2:C""),3,0),""-"")"),"-")</f>
        <v>-</v>
      </c>
      <c r="Q326" s="101" t="s">
        <v>156</v>
      </c>
      <c r="R326" s="98">
        <v>14.0</v>
      </c>
      <c r="S326" s="98">
        <v>0.0</v>
      </c>
      <c r="T326" s="98">
        <v>0.0</v>
      </c>
      <c r="U326" s="98">
        <v>0.0</v>
      </c>
      <c r="V326" s="98">
        <v>1.0</v>
      </c>
      <c r="W326" s="98">
        <v>0.0</v>
      </c>
      <c r="X326" s="98">
        <v>0.0</v>
      </c>
      <c r="Y326" s="98">
        <v>0.0</v>
      </c>
      <c r="Z326" s="98">
        <v>1.0</v>
      </c>
      <c r="AA326" s="98">
        <v>0.0</v>
      </c>
      <c r="AB326" s="98">
        <v>0.0</v>
      </c>
      <c r="AC326" s="98">
        <v>0.0</v>
      </c>
      <c r="AD326" s="98">
        <v>0.0</v>
      </c>
      <c r="AE326" s="98">
        <v>0.0</v>
      </c>
      <c r="AF326" s="98">
        <v>2.0</v>
      </c>
      <c r="AG326" s="98">
        <v>0.0</v>
      </c>
      <c r="AH326" s="98">
        <v>0.0</v>
      </c>
      <c r="AI326" s="98">
        <v>0.0</v>
      </c>
      <c r="AJ326" s="98">
        <v>1.0</v>
      </c>
      <c r="AK326" s="98">
        <v>0.0</v>
      </c>
      <c r="AL326" s="98">
        <v>0.0</v>
      </c>
      <c r="AM326" s="98">
        <v>0.0</v>
      </c>
      <c r="AN326" s="98">
        <v>0.0</v>
      </c>
      <c r="AO326" s="98">
        <v>0.0</v>
      </c>
      <c r="AP326" s="98">
        <v>4.0</v>
      </c>
      <c r="AQ326" s="98" t="s">
        <v>1382</v>
      </c>
      <c r="AR326" s="102">
        <v>46280.0</v>
      </c>
      <c r="AS326" s="83">
        <v>1111797.0</v>
      </c>
    </row>
    <row r="327" ht="15.75" customHeight="1">
      <c r="A327" s="111" t="s">
        <v>451</v>
      </c>
      <c r="B327" s="83" t="s">
        <v>1378</v>
      </c>
      <c r="C327" s="83" t="s">
        <v>68</v>
      </c>
      <c r="D327" s="112">
        <v>1176394.0</v>
      </c>
      <c r="E327" s="83"/>
      <c r="F327" s="83">
        <v>2.9351502E7</v>
      </c>
      <c r="G327" s="91" t="str">
        <f>IFERROR(__xludf.DUMMYFUNCTION("XLOOKUP(AS327,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ANISIO LOUREIRO - DISTRITO DE SÃO JOÃO DO PANELINHA")</f>
        <v>COLÉGIO ESTADUAL ANISIO LOUREIRO - DISTRITO DE SÃO JOÃO DO PANELINHA</v>
      </c>
      <c r="H327" s="119" t="s">
        <v>1383</v>
      </c>
      <c r="I327" s="91" t="s">
        <v>1384</v>
      </c>
      <c r="J327" s="136" t="s">
        <v>1385</v>
      </c>
      <c r="K327" s="83" t="s">
        <v>1386</v>
      </c>
      <c r="L327" s="83" t="s">
        <v>151</v>
      </c>
      <c r="M327" s="83" t="s">
        <v>169</v>
      </c>
      <c r="N327" s="98" t="s">
        <v>1387</v>
      </c>
      <c r="O327" s="98" t="s">
        <v>155</v>
      </c>
      <c r="P327" s="99" t="str">
        <f>IFERROR(__xludf.DUMMYFUNCTION("IFERROR(VLOOKUP(AS327,IMPORTRANGE(""https://docs.google.com/spreadsheets/d/1juPI-Fb8LD0YtltB2mlGEnp_R3UVu1t3wSFPzgCyHXE/edit?gid=0#gid=0"",""GERAL!A2:C""),3,0),""-"")"),"-")</f>
        <v>-</v>
      </c>
      <c r="Q327" s="101" t="s">
        <v>156</v>
      </c>
      <c r="R327" s="98">
        <v>8.0</v>
      </c>
      <c r="S327" s="98" t="s">
        <v>171</v>
      </c>
      <c r="T327" s="98" t="s">
        <v>171</v>
      </c>
      <c r="U327" s="98" t="s">
        <v>171</v>
      </c>
      <c r="V327" s="98" t="s">
        <v>171</v>
      </c>
      <c r="W327" s="98" t="s">
        <v>171</v>
      </c>
      <c r="X327" s="98">
        <v>1.0</v>
      </c>
      <c r="Y327" s="98" t="s">
        <v>171</v>
      </c>
      <c r="Z327" s="98" t="s">
        <v>171</v>
      </c>
      <c r="AA327" s="98" t="s">
        <v>171</v>
      </c>
      <c r="AB327" s="98" t="s">
        <v>171</v>
      </c>
      <c r="AC327" s="98" t="s">
        <v>171</v>
      </c>
      <c r="AD327" s="98" t="s">
        <v>171</v>
      </c>
      <c r="AE327" s="98" t="s">
        <v>171</v>
      </c>
      <c r="AF327" s="98" t="s">
        <v>171</v>
      </c>
      <c r="AG327" s="98" t="s">
        <v>171</v>
      </c>
      <c r="AH327" s="98" t="s">
        <v>171</v>
      </c>
      <c r="AI327" s="98" t="s">
        <v>171</v>
      </c>
      <c r="AJ327" s="98" t="s">
        <v>171</v>
      </c>
      <c r="AK327" s="98" t="s">
        <v>171</v>
      </c>
      <c r="AL327" s="98" t="s">
        <v>171</v>
      </c>
      <c r="AM327" s="98" t="s">
        <v>171</v>
      </c>
      <c r="AN327" s="98" t="s">
        <v>171</v>
      </c>
      <c r="AO327" s="98" t="s">
        <v>171</v>
      </c>
      <c r="AP327" s="98" t="s">
        <v>171</v>
      </c>
      <c r="AQ327" s="83"/>
      <c r="AR327" s="102">
        <v>46280.0</v>
      </c>
      <c r="AS327" s="83">
        <v>1176394.0</v>
      </c>
    </row>
    <row r="328" ht="15.75" customHeight="1">
      <c r="A328" s="111" t="s">
        <v>451</v>
      </c>
      <c r="B328" s="83" t="s">
        <v>1388</v>
      </c>
      <c r="C328" s="83" t="s">
        <v>68</v>
      </c>
      <c r="D328" s="112">
        <v>1178107.0</v>
      </c>
      <c r="E328" s="83"/>
      <c r="F328" s="83">
        <v>2.9436184E7</v>
      </c>
      <c r="G328" s="91" t="str">
        <f>IFERROR(__xludf.DUMMYFUNCTION("XLOOKUP(AS328,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 CANAVIEIRAS")</f>
        <v>COLEGIO ESTADUAL DE TEMPO INTEGRAL DE CANAVIEIRAS</v>
      </c>
      <c r="H328" s="119" t="s">
        <v>1389</v>
      </c>
      <c r="I328" s="91" t="s">
        <v>1390</v>
      </c>
      <c r="J328" s="136" t="s">
        <v>149</v>
      </c>
      <c r="K328" s="83" t="s">
        <v>150</v>
      </c>
      <c r="L328" s="83" t="s">
        <v>151</v>
      </c>
      <c r="M328" s="98" t="s">
        <v>1391</v>
      </c>
      <c r="N328" s="98" t="s">
        <v>1392</v>
      </c>
      <c r="O328" s="98" t="s">
        <v>284</v>
      </c>
      <c r="P328" s="99" t="str">
        <f>IFERROR(__xludf.DUMMYFUNCTION("IFERROR(VLOOKUP(AS328,IMPORTRANGE(""https://docs.google.com/spreadsheets/d/1juPI-Fb8LD0YtltB2mlGEnp_R3UVu1t3wSFPzgCyHXE/edit?gid=0#gid=0"",""GERAL!A2:C""),3,0),""-"")"),"-")</f>
        <v>-</v>
      </c>
      <c r="Q328" s="101" t="s">
        <v>156</v>
      </c>
      <c r="R328" s="98">
        <v>13.0</v>
      </c>
      <c r="S328" s="98">
        <v>0.0</v>
      </c>
      <c r="T328" s="98">
        <v>1.0</v>
      </c>
      <c r="U328" s="98">
        <v>0.0</v>
      </c>
      <c r="V328" s="98">
        <v>0.0</v>
      </c>
      <c r="W328" s="98">
        <v>0.0</v>
      </c>
      <c r="X328" s="98">
        <v>0.0</v>
      </c>
      <c r="Y328" s="98">
        <v>0.0</v>
      </c>
      <c r="Z328" s="98">
        <v>0.0</v>
      </c>
      <c r="AA328" s="98">
        <v>0.0</v>
      </c>
      <c r="AB328" s="98">
        <v>0.0</v>
      </c>
      <c r="AC328" s="98">
        <v>1.0</v>
      </c>
      <c r="AD328" s="98">
        <v>0.0</v>
      </c>
      <c r="AE328" s="98">
        <v>0.0</v>
      </c>
      <c r="AF328" s="98">
        <v>0.0</v>
      </c>
      <c r="AG328" s="98">
        <v>0.0</v>
      </c>
      <c r="AH328" s="98">
        <v>0.0</v>
      </c>
      <c r="AI328" s="98">
        <v>0.0</v>
      </c>
      <c r="AJ328" s="98">
        <v>0.0</v>
      </c>
      <c r="AK328" s="98">
        <v>0.0</v>
      </c>
      <c r="AL328" s="98">
        <v>0.0</v>
      </c>
      <c r="AM328" s="98">
        <v>0.0</v>
      </c>
      <c r="AN328" s="98">
        <v>0.0</v>
      </c>
      <c r="AO328" s="98">
        <v>0.0</v>
      </c>
      <c r="AP328" s="98">
        <v>0.0</v>
      </c>
      <c r="AQ328" s="83"/>
      <c r="AR328" s="102">
        <v>46241.0</v>
      </c>
      <c r="AS328" s="83">
        <v>1178107.0</v>
      </c>
    </row>
    <row r="329" ht="15.75" customHeight="1">
      <c r="A329" s="111" t="s">
        <v>451</v>
      </c>
      <c r="B329" s="83" t="s">
        <v>1388</v>
      </c>
      <c r="C329" s="83" t="s">
        <v>164</v>
      </c>
      <c r="D329" s="112">
        <v>1179701.0</v>
      </c>
      <c r="E329" s="98">
        <v>1179800.0</v>
      </c>
      <c r="F329" s="83"/>
      <c r="G329" s="91" t="str">
        <f>IFERROR(__xludf.DUMMYFUNCTION("XLOOKUP(AS329,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POVOADO DE ERA NOVA")</f>
        <v>ANEXO - CEMIT LITORAL SUL - POVOADO DE ERA NOVA</v>
      </c>
      <c r="H329" s="119" t="s">
        <v>1394</v>
      </c>
      <c r="I329" s="108" t="s">
        <v>1395</v>
      </c>
      <c r="J329" s="83"/>
      <c r="K329" s="83"/>
      <c r="L329" s="83" t="s">
        <v>168</v>
      </c>
      <c r="M329" s="83"/>
      <c r="N329" s="115" t="s">
        <v>170</v>
      </c>
      <c r="O329" s="98"/>
      <c r="P329" s="99" t="str">
        <f>IFERROR(__xludf.DUMMYFUNCTION("IFERROR(VLOOKUP(AS329,IMPORTRANGE(""https://docs.google.com/spreadsheets/d/1juPI-Fb8LD0YtltB2mlGEnp_R3UVu1t3wSFPzgCyHXE/edit?gid=0#gid=0"",""GERAL!A2:C""),3,0),""-"")"),"-")</f>
        <v>-</v>
      </c>
      <c r="Q329" s="98" t="s">
        <v>171</v>
      </c>
      <c r="R329" s="98" t="s">
        <v>171</v>
      </c>
      <c r="S329" s="98" t="s">
        <v>171</v>
      </c>
      <c r="T329" s="98" t="s">
        <v>171</v>
      </c>
      <c r="U329" s="98" t="s">
        <v>171</v>
      </c>
      <c r="V329" s="98" t="s">
        <v>171</v>
      </c>
      <c r="W329" s="98" t="s">
        <v>171</v>
      </c>
      <c r="X329" s="98" t="s">
        <v>171</v>
      </c>
      <c r="Y329" s="98" t="s">
        <v>171</v>
      </c>
      <c r="Z329" s="98" t="s">
        <v>171</v>
      </c>
      <c r="AA329" s="98" t="s">
        <v>171</v>
      </c>
      <c r="AB329" s="98" t="s">
        <v>171</v>
      </c>
      <c r="AC329" s="98" t="s">
        <v>171</v>
      </c>
      <c r="AD329" s="98" t="s">
        <v>171</v>
      </c>
      <c r="AE329" s="98" t="s">
        <v>171</v>
      </c>
      <c r="AF329" s="98" t="s">
        <v>171</v>
      </c>
      <c r="AG329" s="98" t="s">
        <v>171</v>
      </c>
      <c r="AH329" s="98" t="s">
        <v>171</v>
      </c>
      <c r="AI329" s="98" t="s">
        <v>171</v>
      </c>
      <c r="AJ329" s="98" t="s">
        <v>171</v>
      </c>
      <c r="AK329" s="98" t="s">
        <v>171</v>
      </c>
      <c r="AL329" s="98" t="s">
        <v>171</v>
      </c>
      <c r="AM329" s="98" t="s">
        <v>171</v>
      </c>
      <c r="AN329" s="98" t="s">
        <v>171</v>
      </c>
      <c r="AO329" s="98" t="s">
        <v>171</v>
      </c>
      <c r="AP329" s="98" t="s">
        <v>171</v>
      </c>
      <c r="AQ329" s="98" t="s">
        <v>171</v>
      </c>
      <c r="AR329" s="98"/>
      <c r="AS329" s="98">
        <v>1179800.0</v>
      </c>
    </row>
    <row r="330" ht="15.75" customHeight="1">
      <c r="A330" s="111" t="s">
        <v>451</v>
      </c>
      <c r="B330" s="83" t="s">
        <v>1388</v>
      </c>
      <c r="C330" s="83" t="s">
        <v>164</v>
      </c>
      <c r="D330" s="112">
        <v>1179701.0</v>
      </c>
      <c r="E330" s="83">
        <v>1179726.0</v>
      </c>
      <c r="F330" s="83"/>
      <c r="G330" s="91" t="str">
        <f>IFERROR(__xludf.DUMMYFUNCTION("XLOOKUP(AS330,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DISTRITO DE POXIM")</f>
        <v>ANEXO - CEMIT LITORAL SUL - DISTRITO DE POXIM</v>
      </c>
      <c r="H330" s="114" t="s">
        <v>1397</v>
      </c>
      <c r="I330" s="114" t="s">
        <v>1398</v>
      </c>
      <c r="J330" s="193"/>
      <c r="K330" s="83" t="s">
        <v>310</v>
      </c>
      <c r="L330" s="83" t="s">
        <v>168</v>
      </c>
      <c r="M330" s="146" t="s">
        <v>169</v>
      </c>
      <c r="N330" s="115" t="s">
        <v>170</v>
      </c>
      <c r="O330" s="98" t="s">
        <v>155</v>
      </c>
      <c r="P330" s="99" t="str">
        <f>IFERROR(__xludf.DUMMYFUNCTION("IFERROR(VLOOKUP(AS330,IMPORTRANGE(""https://docs.google.com/spreadsheets/d/1juPI-Fb8LD0YtltB2mlGEnp_R3UVu1t3wSFPzgCyHXE/edit?gid=0#gid=0"",""GERAL!A2:C""),3,0),""-"")"),"-")</f>
        <v>-</v>
      </c>
      <c r="Q330" s="98" t="s">
        <v>171</v>
      </c>
      <c r="R330" s="98">
        <v>2.0</v>
      </c>
      <c r="S330" s="98" t="s">
        <v>171</v>
      </c>
      <c r="T330" s="98" t="s">
        <v>171</v>
      </c>
      <c r="U330" s="98" t="s">
        <v>171</v>
      </c>
      <c r="V330" s="98" t="s">
        <v>171</v>
      </c>
      <c r="W330" s="98" t="s">
        <v>171</v>
      </c>
      <c r="X330" s="98" t="s">
        <v>171</v>
      </c>
      <c r="Y330" s="98" t="s">
        <v>171</v>
      </c>
      <c r="Z330" s="98" t="s">
        <v>171</v>
      </c>
      <c r="AA330" s="98" t="s">
        <v>171</v>
      </c>
      <c r="AB330" s="98" t="s">
        <v>171</v>
      </c>
      <c r="AC330" s="98" t="s">
        <v>171</v>
      </c>
      <c r="AD330" s="98" t="s">
        <v>171</v>
      </c>
      <c r="AE330" s="98" t="s">
        <v>171</v>
      </c>
      <c r="AF330" s="98" t="s">
        <v>171</v>
      </c>
      <c r="AG330" s="98" t="s">
        <v>171</v>
      </c>
      <c r="AH330" s="98" t="s">
        <v>171</v>
      </c>
      <c r="AI330" s="98" t="s">
        <v>171</v>
      </c>
      <c r="AJ330" s="98" t="s">
        <v>171</v>
      </c>
      <c r="AK330" s="98" t="s">
        <v>171</v>
      </c>
      <c r="AL330" s="98" t="s">
        <v>171</v>
      </c>
      <c r="AM330" s="98" t="s">
        <v>171</v>
      </c>
      <c r="AN330" s="98" t="s">
        <v>171</v>
      </c>
      <c r="AO330" s="98" t="s">
        <v>171</v>
      </c>
      <c r="AP330" s="98" t="s">
        <v>171</v>
      </c>
      <c r="AQ330" s="98" t="s">
        <v>171</v>
      </c>
      <c r="AR330" s="83"/>
      <c r="AS330" s="83">
        <v>1179726.0</v>
      </c>
    </row>
    <row r="331" ht="15.75" customHeight="1">
      <c r="A331" s="111" t="s">
        <v>451</v>
      </c>
      <c r="B331" s="83" t="s">
        <v>1388</v>
      </c>
      <c r="C331" s="83" t="s">
        <v>164</v>
      </c>
      <c r="D331" s="112">
        <v>1179701.0</v>
      </c>
      <c r="E331" s="98">
        <v>1179799.0</v>
      </c>
      <c r="F331" s="83"/>
      <c r="G331" s="91" t="str">
        <f>IFERROR(__xludf.DUMMYFUNCTION("XLOOKUP(AS331,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DISTRITO DE PIMENTEIRA")</f>
        <v>ANEXO - CEMIT LITORAL SUL - DISTRITO DE PIMENTEIRA</v>
      </c>
      <c r="H331" s="119" t="s">
        <v>1399</v>
      </c>
      <c r="I331" s="108" t="s">
        <v>1400</v>
      </c>
      <c r="J331" s="83"/>
      <c r="K331" s="83"/>
      <c r="L331" s="83" t="s">
        <v>168</v>
      </c>
      <c r="M331" s="83"/>
      <c r="N331" s="115" t="s">
        <v>170</v>
      </c>
      <c r="O331" s="98"/>
      <c r="P331" s="99" t="str">
        <f>IFERROR(__xludf.DUMMYFUNCTION("IFERROR(VLOOKUP(AS331,IMPORTRANGE(""https://docs.google.com/spreadsheets/d/1juPI-Fb8LD0YtltB2mlGEnp_R3UVu1t3wSFPzgCyHXE/edit?gid=0#gid=0"",""GERAL!A2:C""),3,0),""-"")"),"-")</f>
        <v>-</v>
      </c>
      <c r="Q331" s="98" t="s">
        <v>171</v>
      </c>
      <c r="R331" s="98" t="s">
        <v>171</v>
      </c>
      <c r="S331" s="98" t="s">
        <v>171</v>
      </c>
      <c r="T331" s="98" t="s">
        <v>171</v>
      </c>
      <c r="U331" s="98" t="s">
        <v>171</v>
      </c>
      <c r="V331" s="98" t="s">
        <v>171</v>
      </c>
      <c r="W331" s="98" t="s">
        <v>171</v>
      </c>
      <c r="X331" s="98" t="s">
        <v>171</v>
      </c>
      <c r="Y331" s="98" t="s">
        <v>171</v>
      </c>
      <c r="Z331" s="98" t="s">
        <v>171</v>
      </c>
      <c r="AA331" s="98" t="s">
        <v>171</v>
      </c>
      <c r="AB331" s="98" t="s">
        <v>171</v>
      </c>
      <c r="AC331" s="98" t="s">
        <v>171</v>
      </c>
      <c r="AD331" s="98" t="s">
        <v>171</v>
      </c>
      <c r="AE331" s="98" t="s">
        <v>171</v>
      </c>
      <c r="AF331" s="98" t="s">
        <v>171</v>
      </c>
      <c r="AG331" s="98" t="s">
        <v>171</v>
      </c>
      <c r="AH331" s="98" t="s">
        <v>171</v>
      </c>
      <c r="AI331" s="98" t="s">
        <v>171</v>
      </c>
      <c r="AJ331" s="98" t="s">
        <v>171</v>
      </c>
      <c r="AK331" s="98" t="s">
        <v>171</v>
      </c>
      <c r="AL331" s="98" t="s">
        <v>171</v>
      </c>
      <c r="AM331" s="98" t="s">
        <v>171</v>
      </c>
      <c r="AN331" s="98" t="s">
        <v>171</v>
      </c>
      <c r="AO331" s="98" t="s">
        <v>171</v>
      </c>
      <c r="AP331" s="98" t="s">
        <v>171</v>
      </c>
      <c r="AQ331" s="98" t="s">
        <v>171</v>
      </c>
      <c r="AR331" s="98"/>
      <c r="AS331" s="98">
        <v>1179799.0</v>
      </c>
    </row>
    <row r="332" ht="15.75" customHeight="1">
      <c r="A332" s="111" t="s">
        <v>451</v>
      </c>
      <c r="B332" s="83" t="s">
        <v>1401</v>
      </c>
      <c r="C332" s="83" t="s">
        <v>68</v>
      </c>
      <c r="D332" s="112">
        <v>1178112.0</v>
      </c>
      <c r="E332" s="83"/>
      <c r="F332" s="237">
        <v>2.9434017E7</v>
      </c>
      <c r="G332" s="91" t="str">
        <f>IFERROR(__xludf.DUMMYFUNCTION("XLOOKUP(AS332,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ALMAKAZIR GALLY GALVAO")</f>
        <v>COLÉGIO ESTADUAL DE TEMPO INTEGRAL ALMAKAZIR GALLY GALVAO</v>
      </c>
      <c r="H332" s="119" t="s">
        <v>1403</v>
      </c>
      <c r="I332" s="91" t="s">
        <v>1404</v>
      </c>
      <c r="J332" s="238" t="s">
        <v>149</v>
      </c>
      <c r="K332" s="83" t="s">
        <v>150</v>
      </c>
      <c r="L332" s="83" t="s">
        <v>151</v>
      </c>
      <c r="M332" s="82" t="s">
        <v>152</v>
      </c>
      <c r="N332" s="98" t="s">
        <v>1405</v>
      </c>
      <c r="O332" s="98" t="s">
        <v>155</v>
      </c>
      <c r="P332" s="99" t="str">
        <f>IFERROR(__xludf.DUMMYFUNCTION("IFERROR(VLOOKUP(AS332,IMPORTRANGE(""https://docs.google.com/spreadsheets/d/1juPI-Fb8LD0YtltB2mlGEnp_R3UVu1t3wSFPzgCyHXE/edit?gid=0#gid=0"",""GERAL!A2:C""),3,0),""-"")"),"-")</f>
        <v>-</v>
      </c>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v>1178112.0</v>
      </c>
    </row>
    <row r="333" ht="15.75" customHeight="1">
      <c r="A333" s="111" t="s">
        <v>451</v>
      </c>
      <c r="B333" s="83" t="s">
        <v>1401</v>
      </c>
      <c r="C333" s="83" t="s">
        <v>164</v>
      </c>
      <c r="D333" s="112">
        <v>1178112.0</v>
      </c>
      <c r="E333" s="83">
        <v>1178501.0</v>
      </c>
      <c r="F333" s="83"/>
      <c r="G333" s="91" t="str">
        <f>IFERROR(__xludf.DUMMYFUNCTION("XLOOKUP(AS333,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DE TEMPO INTEGRAL ALMAKAZIR GALLY GALVAO - DISTRITO DE ITAMOTINGA")</f>
        <v>ANEXO DO COLÉGIO ESTADUAL DE TEMPO INTEGRAL ALMAKAZIR GALLY GALVAO - DISTRITO DE ITAMOTINGA</v>
      </c>
      <c r="H333" s="119" t="s">
        <v>1406</v>
      </c>
      <c r="I333" s="91" t="s">
        <v>1407</v>
      </c>
      <c r="J333" s="83" t="s">
        <v>149</v>
      </c>
      <c r="K333" s="83" t="s">
        <v>240</v>
      </c>
      <c r="L333" s="83" t="s">
        <v>168</v>
      </c>
      <c r="M333" s="83" t="s">
        <v>169</v>
      </c>
      <c r="N333" s="115" t="s">
        <v>170</v>
      </c>
      <c r="O333" s="98" t="s">
        <v>155</v>
      </c>
      <c r="P333" s="99" t="str">
        <f>IFERROR(__xludf.DUMMYFUNCTION("IFERROR(VLOOKUP(AS333,IMPORTRANGE(""https://docs.google.com/spreadsheets/d/1juPI-Fb8LD0YtltB2mlGEnp_R3UVu1t3wSFPzgCyHXE/edit?gid=0#gid=0"",""GERAL!A2:C""),3,0),""-"")"),"CAMPO")</f>
        <v>CAMPO</v>
      </c>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v>1178501.0</v>
      </c>
    </row>
    <row r="334" ht="15.75" customHeight="1">
      <c r="A334" s="111" t="s">
        <v>451</v>
      </c>
      <c r="B334" s="83" t="s">
        <v>1408</v>
      </c>
      <c r="C334" s="83" t="s">
        <v>68</v>
      </c>
      <c r="D334" s="112">
        <v>1158947.0</v>
      </c>
      <c r="E334" s="83"/>
      <c r="F334" s="83">
        <v>2.929852E7</v>
      </c>
      <c r="G334" s="91" t="str">
        <f>IFERROR(__xludf.DUMMYFUNCTION("XLOOKUP(AS334,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FRED GEDEON")</f>
        <v>COLÉGIO ESTADUAL DE TEMPO INTEGRAL FRED GEDEON</v>
      </c>
      <c r="H334" s="119" t="s">
        <v>1409</v>
      </c>
      <c r="I334" s="91" t="s">
        <v>1410</v>
      </c>
      <c r="J334" s="83" t="s">
        <v>149</v>
      </c>
      <c r="K334" s="83" t="s">
        <v>150</v>
      </c>
      <c r="L334" s="83" t="s">
        <v>151</v>
      </c>
      <c r="M334" s="83" t="s">
        <v>230</v>
      </c>
      <c r="N334" s="98" t="s">
        <v>1411</v>
      </c>
      <c r="O334" s="98" t="s">
        <v>162</v>
      </c>
      <c r="P334" s="99" t="str">
        <f>IFERROR(__xludf.DUMMYFUNCTION("IFERROR(VLOOKUP(AS334,IMPORTRANGE(""https://docs.google.com/spreadsheets/d/1juPI-Fb8LD0YtltB2mlGEnp_R3UVu1t3wSFPzgCyHXE/edit?gid=0#gid=0"",""GERAL!A2:C""),3,0),""-"")"),"-")</f>
        <v>-</v>
      </c>
      <c r="Q334" s="98" t="s">
        <v>171</v>
      </c>
      <c r="R334" s="98">
        <v>7.0</v>
      </c>
      <c r="S334" s="98">
        <v>0.0</v>
      </c>
      <c r="T334" s="98">
        <v>3.0</v>
      </c>
      <c r="U334" s="98">
        <v>1.0</v>
      </c>
      <c r="V334" s="98">
        <v>1.0</v>
      </c>
      <c r="W334" s="98">
        <v>0.0</v>
      </c>
      <c r="X334" s="98">
        <v>1.0</v>
      </c>
      <c r="Y334" s="98">
        <v>0.0</v>
      </c>
      <c r="Z334" s="98">
        <v>0.0</v>
      </c>
      <c r="AA334" s="98">
        <v>1.0</v>
      </c>
      <c r="AB334" s="98">
        <v>0.0</v>
      </c>
      <c r="AC334" s="98">
        <v>1.0</v>
      </c>
      <c r="AD334" s="98">
        <v>0.0</v>
      </c>
      <c r="AE334" s="98">
        <v>0.0</v>
      </c>
      <c r="AF334" s="98">
        <v>0.0</v>
      </c>
      <c r="AG334" s="98">
        <v>1.0</v>
      </c>
      <c r="AH334" s="98">
        <v>0.0</v>
      </c>
      <c r="AI334" s="98">
        <v>0.0</v>
      </c>
      <c r="AJ334" s="98">
        <v>1.0</v>
      </c>
      <c r="AK334" s="98">
        <v>0.0</v>
      </c>
      <c r="AL334" s="98">
        <v>0.0</v>
      </c>
      <c r="AM334" s="98">
        <v>0.0</v>
      </c>
      <c r="AN334" s="98">
        <v>0.0</v>
      </c>
      <c r="AO334" s="98">
        <v>0.0</v>
      </c>
      <c r="AP334" s="98">
        <v>2.0</v>
      </c>
      <c r="AQ334" s="98" t="s">
        <v>1412</v>
      </c>
      <c r="AR334" s="102">
        <v>46240.0</v>
      </c>
      <c r="AS334" s="83">
        <v>1158947.0</v>
      </c>
    </row>
    <row r="335" ht="15.75" customHeight="1">
      <c r="A335" s="111" t="s">
        <v>451</v>
      </c>
      <c r="B335" s="239" t="s">
        <v>1413</v>
      </c>
      <c r="C335" s="83" t="s">
        <v>68</v>
      </c>
      <c r="D335" s="112">
        <v>1176103.0</v>
      </c>
      <c r="E335" s="83"/>
      <c r="F335" s="83">
        <v>2.9299802E7</v>
      </c>
      <c r="G335" s="91" t="str">
        <f>IFERROR(__xludf.DUMMYFUNCTION("XLOOKUP(AS335,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CAJUEIRO - DISTRITO DE CAJUEIRO")</f>
        <v>COLEGIO ESTADUAL DO CAMPO CAJUEIRO - DISTRITO DE CAJUEIRO</v>
      </c>
      <c r="H335" s="119" t="s">
        <v>1415</v>
      </c>
      <c r="I335" s="91" t="s">
        <v>1416</v>
      </c>
      <c r="J335" s="136" t="s">
        <v>1417</v>
      </c>
      <c r="K335" s="83" t="s">
        <v>839</v>
      </c>
      <c r="L335" s="83" t="s">
        <v>151</v>
      </c>
      <c r="M335" s="83" t="s">
        <v>169</v>
      </c>
      <c r="N335" s="137" t="s">
        <v>1418</v>
      </c>
      <c r="O335" s="98" t="s">
        <v>155</v>
      </c>
      <c r="P335" s="99" t="str">
        <f>IFERROR(__xludf.DUMMYFUNCTION("IFERROR(VLOOKUP(AS335,IMPORTRANGE(""https://docs.google.com/spreadsheets/d/1juPI-Fb8LD0YtltB2mlGEnp_R3UVu1t3wSFPzgCyHXE/edit?gid=0#gid=0"",""GERAL!A2:C""),3,0),""-"")"),"CAMPO")</f>
        <v>CAMPO</v>
      </c>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v>1176103.0</v>
      </c>
    </row>
    <row r="336" ht="15.75" customHeight="1">
      <c r="A336" s="111" t="s">
        <v>451</v>
      </c>
      <c r="B336" s="239" t="s">
        <v>1413</v>
      </c>
      <c r="C336" s="83" t="s">
        <v>68</v>
      </c>
      <c r="D336" s="112">
        <v>1178110.0</v>
      </c>
      <c r="E336" s="83"/>
      <c r="F336" s="83">
        <v>2.9433886E7</v>
      </c>
      <c r="G336" s="91" t="str">
        <f>IFERROR(__xludf.DUMMYFUNCTION("XLOOKUP(AS336,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ELIETE MALAQUIAS - ANTIGO LEM")</f>
        <v>COLÉGIO ESTADUAL DE TEMPO INTEGRAL PROFESSORA ELIETE MALAQUIAS - ANTIGO LEM</v>
      </c>
      <c r="H336" s="119" t="s">
        <v>1419</v>
      </c>
      <c r="I336" s="91" t="s">
        <v>1420</v>
      </c>
      <c r="J336" s="136" t="s">
        <v>149</v>
      </c>
      <c r="K336" s="83" t="s">
        <v>150</v>
      </c>
      <c r="L336" s="83" t="s">
        <v>151</v>
      </c>
      <c r="M336" s="98" t="s">
        <v>1421</v>
      </c>
      <c r="N336" s="137" t="s">
        <v>1422</v>
      </c>
      <c r="O336" s="98" t="s">
        <v>155</v>
      </c>
      <c r="P336" s="99" t="str">
        <f>IFERROR(__xludf.DUMMYFUNCTION("IFERROR(VLOOKUP(AS336,IMPORTRANGE(""https://docs.google.com/spreadsheets/d/1juPI-Fb8LD0YtltB2mlGEnp_R3UVu1t3wSFPzgCyHXE/edit?gid=0#gid=0"",""GERAL!A2:C""),3,0),""-"")"),"-")</f>
        <v>-</v>
      </c>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v>1178110.0</v>
      </c>
    </row>
    <row r="337" ht="15.75" customHeight="1">
      <c r="A337" s="111" t="s">
        <v>451</v>
      </c>
      <c r="B337" s="83" t="s">
        <v>1423</v>
      </c>
      <c r="C337" s="83" t="s">
        <v>68</v>
      </c>
      <c r="D337" s="112">
        <v>1179622.0</v>
      </c>
      <c r="E337" s="83"/>
      <c r="F337" s="83">
        <v>2.947316E7</v>
      </c>
      <c r="G337" s="91" t="str">
        <f>IFERROR(__xludf.DUMMYFUNCTION("XLOOKUP(AS337,
IMPORTRANGE(""https://docs.google.com/spreadsheets/d/1YM-djuOLXomrZ9W0B4TyIBsVWnXY4EIOFD9HY-qGfv0/edit?usp=sharing"",""GERAL!BG5:BG""),
IMPORTRANGE(""https://docs.google.com/spreadsheets/d/1YM-djuOLXomrZ9W0B4TyIBsVWnXY4EIOFD9HY-qGfv0/edit?u"&amp;"sp=sharing"",""GERAL!G5:G""),
""CÓD. SEC NÃO ENCONTRADO NA PLANILHA DE MATRÍCULA"")"),"ESCOLA ESTADUAL INDIGENA TUPINAMBA DE ABAETE")</f>
        <v>ESCOLA ESTADUAL INDIGENA TUPINAMBA DE ABAETE</v>
      </c>
      <c r="H337" s="114" t="s">
        <v>1424</v>
      </c>
      <c r="I337" s="91" t="s">
        <v>1425</v>
      </c>
      <c r="J337" s="83" t="s">
        <v>149</v>
      </c>
      <c r="K337" s="83" t="s">
        <v>244</v>
      </c>
      <c r="L337" s="83" t="s">
        <v>168</v>
      </c>
      <c r="M337" s="83" t="s">
        <v>169</v>
      </c>
      <c r="N337" s="128" t="s">
        <v>171</v>
      </c>
      <c r="O337" s="98" t="s">
        <v>155</v>
      </c>
      <c r="P337" s="99" t="str">
        <f>IFERROR(__xludf.DUMMYFUNCTION("IFERROR(VLOOKUP(AS337,IMPORTRANGE(""https://docs.google.com/spreadsheets/d/1juPI-Fb8LD0YtltB2mlGEnp_R3UVu1t3wSFPzgCyHXE/edit?gid=0#gid=0"",""GERAL!A2:C""),3,0),""-"")"),"INDÍGENAS")</f>
        <v>INDÍGENAS</v>
      </c>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v>1179622.0</v>
      </c>
    </row>
    <row r="338" ht="15.75" customHeight="1">
      <c r="A338" s="111" t="s">
        <v>451</v>
      </c>
      <c r="B338" s="83" t="s">
        <v>1423</v>
      </c>
      <c r="C338" s="83" t="s">
        <v>68</v>
      </c>
      <c r="D338" s="112">
        <v>1176675.0</v>
      </c>
      <c r="E338" s="83"/>
      <c r="F338" s="83">
        <v>2.9406889E7</v>
      </c>
      <c r="G338" s="91" t="str">
        <f>IFERROR(__xludf.DUMMYFUNCTION("XLOOKUP(AS338,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FABIO ARARIPE GOULART - TEMPO INTEGRAL")</f>
        <v>COLÉGIO ESTADUAL PROFESSOR FABIO ARARIPE GOULART - TEMPO INTEGRAL</v>
      </c>
      <c r="H338" s="119" t="s">
        <v>1426</v>
      </c>
      <c r="I338" s="91" t="s">
        <v>1427</v>
      </c>
      <c r="J338" s="83" t="s">
        <v>149</v>
      </c>
      <c r="K338" s="83" t="s">
        <v>150</v>
      </c>
      <c r="L338" s="83" t="s">
        <v>151</v>
      </c>
      <c r="M338" s="83" t="s">
        <v>152</v>
      </c>
      <c r="N338" s="98" t="s">
        <v>1428</v>
      </c>
      <c r="O338" s="98" t="s">
        <v>155</v>
      </c>
      <c r="P338" s="99" t="str">
        <f>IFERROR(__xludf.DUMMYFUNCTION("IFERROR(VLOOKUP(AS338,IMPORTRANGE(""https://docs.google.com/spreadsheets/d/1juPI-Fb8LD0YtltB2mlGEnp_R3UVu1t3wSFPzgCyHXE/edit?gid=0#gid=0"",""GERAL!A2:C""),3,0),""-"")"),"-")</f>
        <v>-</v>
      </c>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v>1176675.0</v>
      </c>
    </row>
    <row r="339" ht="15.75" customHeight="1">
      <c r="A339" s="111" t="s">
        <v>451</v>
      </c>
      <c r="B339" s="83" t="s">
        <v>1423</v>
      </c>
      <c r="C339" s="83" t="s">
        <v>68</v>
      </c>
      <c r="D339" s="208">
        <v>1178075.0</v>
      </c>
      <c r="E339" s="83"/>
      <c r="F339" s="83">
        <v>2.9431298E7</v>
      </c>
      <c r="G339" s="91" t="str">
        <f>IFERROR(__xludf.DUMMYFUNCTION("XLOOKUP(AS339,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TUPINAMBA DE OLIVENCA")</f>
        <v>COLÉGIO ESTADUAL INDIGENA TUPINAMBA DE OLIVENCA</v>
      </c>
      <c r="H339" s="209" t="s">
        <v>1429</v>
      </c>
      <c r="I339" s="91" t="s">
        <v>1430</v>
      </c>
      <c r="J339" s="136" t="s">
        <v>149</v>
      </c>
      <c r="K339" s="83" t="s">
        <v>767</v>
      </c>
      <c r="L339" s="83" t="s">
        <v>151</v>
      </c>
      <c r="M339" s="83" t="s">
        <v>76</v>
      </c>
      <c r="N339" s="98" t="s">
        <v>1431</v>
      </c>
      <c r="O339" s="98" t="s">
        <v>155</v>
      </c>
      <c r="P339" s="99" t="str">
        <f>IFERROR(__xludf.DUMMYFUNCTION("IFERROR(VLOOKUP(AS339,IMPORTRANGE(""https://docs.google.com/spreadsheets/d/1juPI-Fb8LD0YtltB2mlGEnp_R3UVu1t3wSFPzgCyHXE/edit?gid=0#gid=0"",""GERAL!A2:C""),3,0),""-"")"),"INDÍGENAS")</f>
        <v>INDÍGENAS</v>
      </c>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v>1178075.0</v>
      </c>
    </row>
    <row r="340" ht="15.75" customHeight="1">
      <c r="A340" s="111" t="s">
        <v>451</v>
      </c>
      <c r="B340" s="83" t="s">
        <v>1423</v>
      </c>
      <c r="C340" s="83" t="s">
        <v>68</v>
      </c>
      <c r="D340" s="112">
        <v>1179275.0</v>
      </c>
      <c r="E340" s="83"/>
      <c r="F340" s="237">
        <v>2.9462266E7</v>
      </c>
      <c r="G340" s="91" t="str">
        <f>IFERROR(__xludf.DUMMYFUNCTION("XLOOKUP(AS340,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TUPINAMBA DE ACUIPE DE BAIXO")</f>
        <v>COLÉGIO ESTADUAL INDIGENA TUPINAMBA DE ACUIPE DE BAIXO</v>
      </c>
      <c r="H340" s="119" t="s">
        <v>1432</v>
      </c>
      <c r="I340" s="91" t="s">
        <v>1433</v>
      </c>
      <c r="J340" s="238" t="s">
        <v>149</v>
      </c>
      <c r="K340" s="83" t="s">
        <v>767</v>
      </c>
      <c r="L340" s="83" t="s">
        <v>151</v>
      </c>
      <c r="M340" s="83" t="s">
        <v>169</v>
      </c>
      <c r="N340" s="188" t="s">
        <v>1434</v>
      </c>
      <c r="O340" s="98" t="s">
        <v>155</v>
      </c>
      <c r="P340" s="99" t="str">
        <f>IFERROR(__xludf.DUMMYFUNCTION("IFERROR(VLOOKUP(AS340,IMPORTRANGE(""https://docs.google.com/spreadsheets/d/1juPI-Fb8LD0YtltB2mlGEnp_R3UVu1t3wSFPzgCyHXE/edit?gid=0#gid=0"",""GERAL!A2:C""),3,0),""-"")"),"INDÍGENAS")</f>
        <v>INDÍGENAS</v>
      </c>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v>1179275.0</v>
      </c>
    </row>
    <row r="341" ht="15.75" customHeight="1">
      <c r="A341" s="111" t="s">
        <v>451</v>
      </c>
      <c r="B341" s="83" t="s">
        <v>1423</v>
      </c>
      <c r="C341" s="83" t="s">
        <v>68</v>
      </c>
      <c r="D341" s="94">
        <v>1179824.0</v>
      </c>
      <c r="E341" s="83"/>
      <c r="F341" s="98">
        <v>44436.0</v>
      </c>
      <c r="G341" s="91" t="str">
        <f>IFERROR(__xludf.DUMMYFUNCTION("XLOOKUP(AS341,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INDIGENA TUPINAMBA ARAMARI")</f>
        <v>COLEGIO ESTADUAL INDIGENA TUPINAMBA ARAMARI</v>
      </c>
      <c r="H341" s="108" t="s">
        <v>1435</v>
      </c>
      <c r="I341" s="108" t="s">
        <v>1436</v>
      </c>
      <c r="J341" s="83"/>
      <c r="K341" s="83"/>
      <c r="L341" s="83" t="s">
        <v>168</v>
      </c>
      <c r="M341" s="83" t="s">
        <v>169</v>
      </c>
      <c r="N341" s="128" t="s">
        <v>171</v>
      </c>
      <c r="O341" s="98"/>
      <c r="P341" s="99" t="str">
        <f>IFERROR(__xludf.DUMMYFUNCTION("IFERROR(VLOOKUP(AS341,IMPORTRANGE(""https://docs.google.com/spreadsheets/d/1juPI-Fb8LD0YtltB2mlGEnp_R3UVu1t3wSFPzgCyHXE/edit?gid=0#gid=0"",""GERAL!A2:C""),3,0),""-"")"),"INDÍGENAS")</f>
        <v>INDÍGENAS</v>
      </c>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v>1179824.0</v>
      </c>
    </row>
    <row r="342" ht="15.75" customHeight="1">
      <c r="A342" s="111" t="s">
        <v>451</v>
      </c>
      <c r="B342" s="83" t="s">
        <v>1423</v>
      </c>
      <c r="C342" s="83" t="s">
        <v>68</v>
      </c>
      <c r="D342" s="112">
        <v>1179628.0</v>
      </c>
      <c r="E342" s="83"/>
      <c r="F342" s="83">
        <v>2.9473101E7</v>
      </c>
      <c r="G342" s="91" t="str">
        <f>IFERROR(__xludf.DUMMYFUNCTION("XLOOKUP(AS342,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TUPINAMBA AMOTARA - ALDEIA ITAPUA")</f>
        <v>COLÉGIO ESTADUAL INDIGENA TUPINAMBA AMOTARA - ALDEIA ITAPUA</v>
      </c>
      <c r="H342" s="119" t="s">
        <v>1437</v>
      </c>
      <c r="I342" s="91" t="s">
        <v>1438</v>
      </c>
      <c r="J342" s="83" t="s">
        <v>1439</v>
      </c>
      <c r="K342" s="83" t="s">
        <v>767</v>
      </c>
      <c r="L342" s="83" t="s">
        <v>151</v>
      </c>
      <c r="M342" s="83" t="s">
        <v>76</v>
      </c>
      <c r="N342" s="128" t="s">
        <v>171</v>
      </c>
      <c r="O342" s="98" t="s">
        <v>155</v>
      </c>
      <c r="P342" s="99" t="str">
        <f>IFERROR(__xludf.DUMMYFUNCTION("IFERROR(VLOOKUP(AS342,IMPORTRANGE(""https://docs.google.com/spreadsheets/d/1juPI-Fb8LD0YtltB2mlGEnp_R3UVu1t3wSFPzgCyHXE/edit?gid=0#gid=0"",""GERAL!A2:C""),3,0),""-"")"),"INDÍGENAS")</f>
        <v>INDÍGENAS</v>
      </c>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v>1179628.0</v>
      </c>
    </row>
    <row r="343" ht="15.75" customHeight="1">
      <c r="A343" s="111" t="s">
        <v>451</v>
      </c>
      <c r="B343" s="83" t="s">
        <v>1423</v>
      </c>
      <c r="C343" s="83" t="s">
        <v>68</v>
      </c>
      <c r="D343" s="112">
        <v>1111126.0</v>
      </c>
      <c r="E343" s="83"/>
      <c r="F343" s="83">
        <v>2.9302269E7</v>
      </c>
      <c r="G343" s="91" t="str">
        <f>IFERROR(__xludf.DUMMYFUNCTION("XLOOKUP(AS343,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IGUAPE - TEMPO INTEGRAL")</f>
        <v>COLÉGIO ESTADUAL DO IGUAPE - TEMPO INTEGRAL</v>
      </c>
      <c r="H343" s="119" t="s">
        <v>1440</v>
      </c>
      <c r="I343" s="91" t="s">
        <v>1441</v>
      </c>
      <c r="J343" s="83" t="s">
        <v>149</v>
      </c>
      <c r="K343" s="83" t="s">
        <v>150</v>
      </c>
      <c r="L343" s="83" t="s">
        <v>151</v>
      </c>
      <c r="M343" s="83" t="s">
        <v>152</v>
      </c>
      <c r="N343" s="98" t="s">
        <v>1442</v>
      </c>
      <c r="O343" s="98" t="s">
        <v>155</v>
      </c>
      <c r="P343" s="99" t="str">
        <f>IFERROR(__xludf.DUMMYFUNCTION("IFERROR(VLOOKUP(AS343,IMPORTRANGE(""https://docs.google.com/spreadsheets/d/1juPI-Fb8LD0YtltB2mlGEnp_R3UVu1t3wSFPzgCyHXE/edit?gid=0#gid=0"",""GERAL!A2:C""),3,0),""-"")"),"-")</f>
        <v>-</v>
      </c>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v>1111126.0</v>
      </c>
    </row>
    <row r="344" ht="15.75" customHeight="1">
      <c r="A344" s="111" t="s">
        <v>451</v>
      </c>
      <c r="B344" s="83" t="s">
        <v>1423</v>
      </c>
      <c r="C344" s="83" t="s">
        <v>68</v>
      </c>
      <c r="D344" s="112">
        <v>1111436.0</v>
      </c>
      <c r="E344" s="83"/>
      <c r="F344" s="83">
        <v>2.9303125E7</v>
      </c>
      <c r="G344" s="91" t="str">
        <f>IFERROR(__xludf.DUMMYFUNCTION("XLOOKUP(AS344,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JORGE CALMON - DISTRITO DE OLIVENCA - TEMPO INTEGRAL")</f>
        <v>COLÉGIO ESTADUAL DO CAMPO JORGE CALMON - DISTRITO DE OLIVENCA - TEMPO INTEGRAL</v>
      </c>
      <c r="H344" s="119" t="s">
        <v>1443</v>
      </c>
      <c r="I344" s="91" t="s">
        <v>1444</v>
      </c>
      <c r="J344" s="136" t="s">
        <v>149</v>
      </c>
      <c r="K344" s="83" t="s">
        <v>767</v>
      </c>
      <c r="L344" s="83" t="s">
        <v>151</v>
      </c>
      <c r="M344" s="83" t="s">
        <v>169</v>
      </c>
      <c r="N344" s="98" t="s">
        <v>1445</v>
      </c>
      <c r="O344" s="98" t="s">
        <v>155</v>
      </c>
      <c r="P344" s="99" t="str">
        <f>IFERROR(__xludf.DUMMYFUNCTION("IFERROR(VLOOKUP(AS344,IMPORTRANGE(""https://docs.google.com/spreadsheets/d/1juPI-Fb8LD0YtltB2mlGEnp_R3UVu1t3wSFPzgCyHXE/edit?gid=0#gid=0"",""GERAL!A2:C""),3,0),""-"")"),"CAMPO")</f>
        <v>CAMPO</v>
      </c>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v>1111436.0</v>
      </c>
    </row>
    <row r="345" ht="15.75" customHeight="1">
      <c r="A345" s="111" t="s">
        <v>451</v>
      </c>
      <c r="B345" s="83" t="s">
        <v>1423</v>
      </c>
      <c r="C345" s="83" t="s">
        <v>68</v>
      </c>
      <c r="D345" s="112">
        <v>1169221.0</v>
      </c>
      <c r="E345" s="83"/>
      <c r="F345" s="83">
        <v>2.9301882E7</v>
      </c>
      <c r="G345" s="91" t="str">
        <f>IFERROR(__xludf.DUMMYFUNCTION("XLOOKUP(AS345,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CARMELITA ÂNGELA SOUZA OLIVEIRA")</f>
        <v>COLÉGIO ESTADUAL DE TEMPO INTEGRAL PROFESSORA CARMELITA ÂNGELA SOUZA OLIVEIRA</v>
      </c>
      <c r="H345" s="119" t="s">
        <v>1446</v>
      </c>
      <c r="I345" s="91" t="s">
        <v>1447</v>
      </c>
      <c r="J345" s="83" t="s">
        <v>1448</v>
      </c>
      <c r="K345" s="83" t="s">
        <v>150</v>
      </c>
      <c r="L345" s="83" t="s">
        <v>151</v>
      </c>
      <c r="M345" s="83" t="s">
        <v>152</v>
      </c>
      <c r="N345" s="137" t="s">
        <v>1449</v>
      </c>
      <c r="O345" s="98" t="s">
        <v>155</v>
      </c>
      <c r="P345" s="99" t="str">
        <f>IFERROR(__xludf.DUMMYFUNCTION("IFERROR(VLOOKUP(AS345,IMPORTRANGE(""https://docs.google.com/spreadsheets/d/1juPI-Fb8LD0YtltB2mlGEnp_R3UVu1t3wSFPzgCyHXE/edit?gid=0#gid=0"",""GERAL!A2:C""),3,0),""-"")"),"-")</f>
        <v>-</v>
      </c>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v>1169221.0</v>
      </c>
    </row>
    <row r="346" ht="15.75" customHeight="1">
      <c r="A346" s="111" t="s">
        <v>451</v>
      </c>
      <c r="B346" s="83" t="s">
        <v>1423</v>
      </c>
      <c r="C346" s="83" t="s">
        <v>68</v>
      </c>
      <c r="D346" s="112">
        <v>1159838.0</v>
      </c>
      <c r="E346" s="83"/>
      <c r="F346" s="83">
        <v>2.9302293E7</v>
      </c>
      <c r="G346" s="91" t="str">
        <f>IFERROR(__xludf.DUMMYFUNCTION("XLOOKUP(AS346,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CARLOS ROBERTO ARLEO BARBOSA
(ANTIGO C.E PAULO AMÉRICO DE OLIVEIRA)")</f>
        <v>COLÉGIO ESTADUAL DE TEMPO INTEGRAL PROFESSOR CARLOS ROBERTO ARLEO BARBOSA
(ANTIGO C.E PAULO AMÉRICO DE OLIVEIRA)</v>
      </c>
      <c r="H346" s="119" t="s">
        <v>1450</v>
      </c>
      <c r="I346" s="108" t="s">
        <v>1451</v>
      </c>
      <c r="J346" s="98" t="s">
        <v>1452</v>
      </c>
      <c r="K346" s="83" t="s">
        <v>150</v>
      </c>
      <c r="L346" s="83" t="s">
        <v>151</v>
      </c>
      <c r="M346" s="83" t="s">
        <v>230</v>
      </c>
      <c r="N346" s="137" t="s">
        <v>1453</v>
      </c>
      <c r="O346" s="98" t="s">
        <v>162</v>
      </c>
      <c r="P346" s="99" t="str">
        <f>IFERROR(__xludf.DUMMYFUNCTION("IFERROR(VLOOKUP(AS346,IMPORTRANGE(""https://docs.google.com/spreadsheets/d/1juPI-Fb8LD0YtltB2mlGEnp_R3UVu1t3wSFPzgCyHXE/edit?gid=0#gid=0"",""GERAL!A2:C""),3,0),""-"")"),"-")</f>
        <v>-</v>
      </c>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v>1159838.0</v>
      </c>
    </row>
    <row r="347" ht="15.75" customHeight="1">
      <c r="A347" s="111" t="s">
        <v>451</v>
      </c>
      <c r="B347" s="83" t="s">
        <v>1423</v>
      </c>
      <c r="C347" s="83" t="s">
        <v>68</v>
      </c>
      <c r="D347" s="112">
        <v>1176424.0</v>
      </c>
      <c r="E347" s="83">
        <v>1111223.0</v>
      </c>
      <c r="F347" s="83">
        <v>2.9386284E7</v>
      </c>
      <c r="G347" s="91" t="str">
        <f>IFERROR(__xludf.DUMMYFUNCTION("XLOOKUP(AS347,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JORGE AMADO (ANTIGO MODELO)")</f>
        <v>COLÉGIO ESTADUAL DE TEMPO INTEGRAL JORGE AMADO (ANTIGO MODELO)</v>
      </c>
      <c r="H347" s="119" t="s">
        <v>1454</v>
      </c>
      <c r="I347" s="91" t="s">
        <v>1455</v>
      </c>
      <c r="J347" s="83" t="s">
        <v>149</v>
      </c>
      <c r="K347" s="83" t="s">
        <v>150</v>
      </c>
      <c r="L347" s="83" t="s">
        <v>151</v>
      </c>
      <c r="M347" s="83" t="s">
        <v>76</v>
      </c>
      <c r="N347" s="137" t="s">
        <v>1456</v>
      </c>
      <c r="O347" s="98" t="s">
        <v>284</v>
      </c>
      <c r="P347" s="99" t="str">
        <f>IFERROR(__xludf.DUMMYFUNCTION("IFERROR(VLOOKUP(AS347,IMPORTRANGE(""https://docs.google.com/spreadsheets/d/1juPI-Fb8LD0YtltB2mlGEnp_R3UVu1t3wSFPzgCyHXE/edit?gid=0#gid=0"",""GERAL!A2:C""),3,0),""-"")"),"-")</f>
        <v>-</v>
      </c>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v>1176424.0</v>
      </c>
    </row>
    <row r="348" ht="15.75" customHeight="1">
      <c r="A348" s="111" t="s">
        <v>451</v>
      </c>
      <c r="B348" s="83" t="s">
        <v>1423</v>
      </c>
      <c r="C348" s="83" t="s">
        <v>68</v>
      </c>
      <c r="D348" s="112">
        <v>1178145.0</v>
      </c>
      <c r="E348" s="83"/>
      <c r="F348" s="83">
        <v>2.9442079E7</v>
      </c>
      <c r="G348" s="91" t="str">
        <f>IFERROR(__xludf.DUMMYFUNCTION("XLOOKUP(AS348,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SALOBRINHO - DISTRITO DE SALOBRINHO")</f>
        <v>COLÉGIO ESTADUAL DE SALOBRINHO - DISTRITO DE SALOBRINHO</v>
      </c>
      <c r="H348" s="119" t="s">
        <v>1457</v>
      </c>
      <c r="I348" s="91" t="s">
        <v>1458</v>
      </c>
      <c r="J348" s="83" t="s">
        <v>1459</v>
      </c>
      <c r="K348" s="83" t="s">
        <v>1460</v>
      </c>
      <c r="L348" s="83" t="s">
        <v>151</v>
      </c>
      <c r="M348" s="83" t="s">
        <v>76</v>
      </c>
      <c r="N348" s="98" t="s">
        <v>1461</v>
      </c>
      <c r="O348" s="98" t="s">
        <v>155</v>
      </c>
      <c r="P348" s="99" t="str">
        <f>IFERROR(__xludf.DUMMYFUNCTION("IFERROR(VLOOKUP(AS348,IMPORTRANGE(""https://docs.google.com/spreadsheets/d/1juPI-Fb8LD0YtltB2mlGEnp_R3UVu1t3wSFPzgCyHXE/edit?gid=0#gid=0"",""GERAL!A2:C""),3,0),""-"")"),"-")</f>
        <v>-</v>
      </c>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v>1178145.0</v>
      </c>
    </row>
    <row r="349" ht="15.75" customHeight="1">
      <c r="A349" s="111" t="s">
        <v>451</v>
      </c>
      <c r="B349" s="83" t="s">
        <v>1423</v>
      </c>
      <c r="C349" s="83" t="s">
        <v>68</v>
      </c>
      <c r="D349" s="112">
        <v>1159919.0</v>
      </c>
      <c r="E349" s="83"/>
      <c r="F349" s="83">
        <v>2.9301475E7</v>
      </c>
      <c r="G349" s="91" t="str">
        <f>IFERROR(__xludf.DUMMYFUNCTION("XLOOKUP(AS349,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DA POLICIA MILITAR - CPM ROMULO GALVAO")</f>
        <v>COLÉGIO DA POLICIA MILITAR - CPM ROMULO GALVAO</v>
      </c>
      <c r="H349" s="119" t="s">
        <v>1462</v>
      </c>
      <c r="I349" s="91" t="s">
        <v>1464</v>
      </c>
      <c r="J349" s="83" t="s">
        <v>149</v>
      </c>
      <c r="K349" s="83" t="s">
        <v>150</v>
      </c>
      <c r="L349" s="83" t="s">
        <v>151</v>
      </c>
      <c r="M349" s="83" t="s">
        <v>152</v>
      </c>
      <c r="N349" s="98" t="s">
        <v>1465</v>
      </c>
      <c r="O349" s="98" t="s">
        <v>155</v>
      </c>
      <c r="P349" s="99" t="str">
        <f>IFERROR(__xludf.DUMMYFUNCTION("IFERROR(VLOOKUP(AS349,IMPORTRANGE(""https://docs.google.com/spreadsheets/d/1juPI-Fb8LD0YtltB2mlGEnp_R3UVu1t3wSFPzgCyHXE/edit?gid=0#gid=0"",""GERAL!A2:C""),3,0),""-"")"),"-")</f>
        <v>-</v>
      </c>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v>1159919.0</v>
      </c>
    </row>
    <row r="350" ht="56.25" customHeight="1">
      <c r="A350" s="111" t="s">
        <v>451</v>
      </c>
      <c r="B350" s="83" t="s">
        <v>1423</v>
      </c>
      <c r="C350" s="83" t="s">
        <v>68</v>
      </c>
      <c r="D350" s="112">
        <v>1111339.0</v>
      </c>
      <c r="E350" s="83"/>
      <c r="F350" s="83">
        <v>2.9301394E7</v>
      </c>
      <c r="G350" s="91" t="str">
        <f>IFERROR(__xludf.DUMMYFUNCTION("XLOOKUP(AS350,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EM GESTAO E TECNOLOGIA DA INFORMACAO ALVARO MELO VIEIRA")</f>
        <v>CENTRO ESTADUAL DE EDUCACAO PROFISSIONAL EM GESTAO E TECNOLOGIA DA INFORMACAO ALVARO MELO VIEIRA</v>
      </c>
      <c r="H350" s="114" t="s">
        <v>1466</v>
      </c>
      <c r="I350" s="91" t="s">
        <v>1467</v>
      </c>
      <c r="J350" s="83" t="s">
        <v>149</v>
      </c>
      <c r="K350" s="83" t="s">
        <v>150</v>
      </c>
      <c r="L350" s="83" t="s">
        <v>151</v>
      </c>
      <c r="M350" s="83" t="s">
        <v>230</v>
      </c>
      <c r="N350" s="137" t="s">
        <v>1468</v>
      </c>
      <c r="O350" s="98" t="s">
        <v>155</v>
      </c>
      <c r="P350" s="99" t="str">
        <f>IFERROR(__xludf.DUMMYFUNCTION("IFERROR(VLOOKUP(AS350,IMPORTRANGE(""https://docs.google.com/spreadsheets/d/1juPI-Fb8LD0YtltB2mlGEnp_R3UVu1t3wSFPzgCyHXE/edit?gid=0#gid=0"",""GERAL!A2:C""),3,0),""-"")"),"-")</f>
        <v>-</v>
      </c>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v>1111339.0</v>
      </c>
    </row>
    <row r="351" ht="15.75" customHeight="1">
      <c r="A351" s="111" t="s">
        <v>451</v>
      </c>
      <c r="B351" s="83" t="s">
        <v>1423</v>
      </c>
      <c r="C351" s="83" t="s">
        <v>68</v>
      </c>
      <c r="D351" s="112">
        <v>1111096.0</v>
      </c>
      <c r="E351" s="83"/>
      <c r="F351" s="83">
        <v>2.9301483E7</v>
      </c>
      <c r="G351" s="91" t="str">
        <f>IFERROR(__xludf.DUMMYFUNCTION("XLOOKUP(AS351,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DO CHOCOLATE NELSON SCHAUN")</f>
        <v>CENTRO ESTADUAL DE EDUCACAO PROFISSIONAL DO CHOCOLATE NELSON SCHAUN</v>
      </c>
      <c r="H351" s="114" t="s">
        <v>1469</v>
      </c>
      <c r="I351" s="91" t="s">
        <v>1470</v>
      </c>
      <c r="J351" s="83" t="s">
        <v>149</v>
      </c>
      <c r="K351" s="83" t="s">
        <v>150</v>
      </c>
      <c r="L351" s="83" t="s">
        <v>151</v>
      </c>
      <c r="M351" s="83" t="s">
        <v>230</v>
      </c>
      <c r="N351" s="98" t="s">
        <v>1471</v>
      </c>
      <c r="O351" s="98" t="s">
        <v>176</v>
      </c>
      <c r="P351" s="99" t="str">
        <f>IFERROR(__xludf.DUMMYFUNCTION("IFERROR(VLOOKUP(AS351,IMPORTRANGE(""https://docs.google.com/spreadsheets/d/1juPI-Fb8LD0YtltB2mlGEnp_R3UVu1t3wSFPzgCyHXE/edit?gid=0#gid=0"",""GERAL!A2:C""),3,0),""-"")"),"-")</f>
        <v>-</v>
      </c>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v>1111096.0</v>
      </c>
    </row>
    <row r="352" ht="15.75" customHeight="1">
      <c r="A352" s="111" t="s">
        <v>451</v>
      </c>
      <c r="B352" s="83" t="s">
        <v>1423</v>
      </c>
      <c r="C352" s="83" t="s">
        <v>68</v>
      </c>
      <c r="D352" s="112">
        <v>1179701.0</v>
      </c>
      <c r="E352" s="83"/>
      <c r="F352" s="83">
        <v>2.9482267E7</v>
      </c>
      <c r="G352" s="91" t="str">
        <f>IFERROR(__xludf.DUMMYFUNCTION("XLOOKUP(AS352,
IMPORTRANGE(""https://docs.google.com/spreadsheets/d/1YM-djuOLXomrZ9W0B4TyIBsVWnXY4EIOFD9HY-qGfv0/edit?usp=sharing"",""GERAL!BG5:BG""),
IMPORTRANGE(""https://docs.google.com/spreadsheets/d/1YM-djuOLXomrZ9W0B4TyIBsVWnXY4EIOFD9HY-qGfv0/edit?u"&amp;"sp=sharing"",""GERAL!G5:G""),
""CÓD. SEC NÃO ENCONTRADO NA PLANILHA DE MATRÍCULA"")"),"CENT REG DE ENS MED COM INTER TECNO. DO LIT. SUL - CEMIT LITORAL SUL")</f>
        <v>CENT REG DE ENS MED COM INTER TECNO. DO LIT. SUL - CEMIT LITORAL SUL</v>
      </c>
      <c r="H352" s="114" t="s">
        <v>1472</v>
      </c>
      <c r="I352" s="91" t="s">
        <v>1473</v>
      </c>
      <c r="J352" s="136" t="s">
        <v>149</v>
      </c>
      <c r="K352" s="98" t="s">
        <v>150</v>
      </c>
      <c r="L352" s="83" t="s">
        <v>151</v>
      </c>
      <c r="M352" s="136" t="s">
        <v>230</v>
      </c>
      <c r="N352" s="128" t="s">
        <v>171</v>
      </c>
      <c r="O352" s="98" t="s">
        <v>155</v>
      </c>
      <c r="P352" s="99" t="str">
        <f>IFERROR(__xludf.DUMMYFUNCTION("IFERROR(VLOOKUP(AS352,IMPORTRANGE(""https://docs.google.com/spreadsheets/d/1juPI-Fb8LD0YtltB2mlGEnp_R3UVu1t3wSFPzgCyHXE/edit?gid=0#gid=0"",""GERAL!A2:C""),3,0),""-"")"),"-")</f>
        <v>-</v>
      </c>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v>1179701.0</v>
      </c>
    </row>
    <row r="353" ht="15.75" customHeight="1">
      <c r="A353" s="111" t="s">
        <v>451</v>
      </c>
      <c r="B353" s="83" t="s">
        <v>1423</v>
      </c>
      <c r="C353" s="83" t="s">
        <v>164</v>
      </c>
      <c r="D353" s="112">
        <v>1179275.0</v>
      </c>
      <c r="E353" s="83">
        <v>1179653.0</v>
      </c>
      <c r="F353" s="83"/>
      <c r="G353" s="91" t="str">
        <f>IFERROR(__xludf.DUMMYFUNCTION("XLOOKUP(AS353,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INDIGENA TUPINAMBA DE ACUIPE DE BAIXO - ALDEIA ACUIPE DO MEIO II")</f>
        <v>ANEXO DO COLÉGIO INDIGENA TUPINAMBA DE ACUIPE DE BAIXO - ALDEIA ACUIPE DO MEIO II</v>
      </c>
      <c r="H353" s="114" t="s">
        <v>1474</v>
      </c>
      <c r="I353" s="91" t="s">
        <v>1475</v>
      </c>
      <c r="J353" s="83" t="s">
        <v>149</v>
      </c>
      <c r="K353" s="83" t="s">
        <v>464</v>
      </c>
      <c r="L353" s="83" t="s">
        <v>168</v>
      </c>
      <c r="M353" s="83" t="s">
        <v>169</v>
      </c>
      <c r="N353" s="115" t="s">
        <v>170</v>
      </c>
      <c r="O353" s="98" t="s">
        <v>155</v>
      </c>
      <c r="P353" s="99" t="str">
        <f>IFERROR(__xludf.DUMMYFUNCTION("IFERROR(VLOOKUP(AS353,IMPORTRANGE(""https://docs.google.com/spreadsheets/d/1juPI-Fb8LD0YtltB2mlGEnp_R3UVu1t3wSFPzgCyHXE/edit?gid=0#gid=0"",""GERAL!A2:C""),3,0),""-"")"),"INDÍGENAS")</f>
        <v>INDÍGENAS</v>
      </c>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v>1179653.0</v>
      </c>
    </row>
    <row r="354" ht="15.75" customHeight="1">
      <c r="A354" s="111" t="s">
        <v>451</v>
      </c>
      <c r="B354" s="83" t="s">
        <v>1423</v>
      </c>
      <c r="C354" s="83" t="s">
        <v>164</v>
      </c>
      <c r="D354" s="112">
        <v>1179275.0</v>
      </c>
      <c r="E354" s="83">
        <v>1179652.0</v>
      </c>
      <c r="F354" s="83"/>
      <c r="G354" s="91" t="str">
        <f>IFERROR(__xludf.DUMMYFUNCTION("XLOOKUP(AS354,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INDIGENA TUPINAMBA DE ACUIPE DE BAIXO - ALDEIA ACUIPE DE BAIXO II")</f>
        <v>ANEXO DO COLÉGIO INDIGENA TUPINAMBA DE ACUIPE DE BAIXO - ALDEIA ACUIPE DE BAIXO II</v>
      </c>
      <c r="H354" s="114" t="s">
        <v>1476</v>
      </c>
      <c r="I354" s="91" t="s">
        <v>1477</v>
      </c>
      <c r="J354" s="83" t="s">
        <v>149</v>
      </c>
      <c r="K354" s="83" t="s">
        <v>1478</v>
      </c>
      <c r="L354" s="83" t="s">
        <v>168</v>
      </c>
      <c r="M354" s="83" t="s">
        <v>169</v>
      </c>
      <c r="N354" s="115" t="s">
        <v>170</v>
      </c>
      <c r="O354" s="98" t="s">
        <v>155</v>
      </c>
      <c r="P354" s="99" t="str">
        <f>IFERROR(__xludf.DUMMYFUNCTION("IFERROR(VLOOKUP(AS354,IMPORTRANGE(""https://docs.google.com/spreadsheets/d/1juPI-Fb8LD0YtltB2mlGEnp_R3UVu1t3wSFPzgCyHXE/edit?gid=0#gid=0"",""GERAL!A2:C""),3,0),""-"")"),"INDÍGENAS")</f>
        <v>INDÍGENAS</v>
      </c>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v>1179652.0</v>
      </c>
    </row>
    <row r="355" ht="15.75" customHeight="1">
      <c r="A355" s="111" t="s">
        <v>451</v>
      </c>
      <c r="B355" s="83" t="s">
        <v>1423</v>
      </c>
      <c r="C355" s="83" t="s">
        <v>164</v>
      </c>
      <c r="D355" s="112">
        <v>1178075.0</v>
      </c>
      <c r="E355" s="83">
        <v>1179521.0</v>
      </c>
      <c r="F355" s="83"/>
      <c r="G355" s="91" t="str">
        <f>IFERROR(__xludf.DUMMYFUNCTION("XLOOKUP(AS355,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DE OLIVENCA - SERRA NEGRA")</f>
        <v>ANEXO DO COLÉGIO ESTADUAL INDIGENA TUPINAMBA DE OLIVENCA - SERRA NEGRA</v>
      </c>
      <c r="H355" s="114" t="s">
        <v>1479</v>
      </c>
      <c r="I355" s="91" t="s">
        <v>1480</v>
      </c>
      <c r="J355" s="83" t="s">
        <v>1481</v>
      </c>
      <c r="K355" s="83" t="s">
        <v>187</v>
      </c>
      <c r="L355" s="83" t="s">
        <v>168</v>
      </c>
      <c r="M355" s="83" t="s">
        <v>1482</v>
      </c>
      <c r="N355" s="115" t="s">
        <v>170</v>
      </c>
      <c r="O355" s="98" t="s">
        <v>155</v>
      </c>
      <c r="P355" s="99" t="str">
        <f>IFERROR(__xludf.DUMMYFUNCTION("IFERROR(VLOOKUP(AS355,IMPORTRANGE(""https://docs.google.com/spreadsheets/d/1juPI-Fb8LD0YtltB2mlGEnp_R3UVu1t3wSFPzgCyHXE/edit?gid=0#gid=0"",""GERAL!A2:C""),3,0),""-"")"),"INDÍGENAS")</f>
        <v>INDÍGENAS</v>
      </c>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v>1179521.0</v>
      </c>
    </row>
    <row r="356" ht="15.75" customHeight="1">
      <c r="A356" s="111" t="s">
        <v>451</v>
      </c>
      <c r="B356" s="83" t="s">
        <v>1423</v>
      </c>
      <c r="C356" s="83" t="s">
        <v>164</v>
      </c>
      <c r="D356" s="112">
        <v>1178075.0</v>
      </c>
      <c r="E356" s="83">
        <v>1179526.0</v>
      </c>
      <c r="F356" s="83"/>
      <c r="G356" s="91" t="str">
        <f>IFERROR(__xludf.DUMMYFUNCTION("XLOOKUP(AS356,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DE OLIVENCA - ALDEIA TUCUM")</f>
        <v>ANEXO DO COLÉGIO ESTADUAL INDIGENA TUPINAMBA DE OLIVENCA - ALDEIA TUCUM</v>
      </c>
      <c r="H356" s="114" t="s">
        <v>1483</v>
      </c>
      <c r="I356" s="91" t="s">
        <v>1484</v>
      </c>
      <c r="J356" s="83" t="s">
        <v>1481</v>
      </c>
      <c r="K356" s="83" t="s">
        <v>240</v>
      </c>
      <c r="L356" s="83" t="s">
        <v>168</v>
      </c>
      <c r="M356" s="83" t="s">
        <v>1482</v>
      </c>
      <c r="N356" s="115" t="s">
        <v>170</v>
      </c>
      <c r="O356" s="98" t="s">
        <v>155</v>
      </c>
      <c r="P356" s="99" t="str">
        <f>IFERROR(__xludf.DUMMYFUNCTION("IFERROR(VLOOKUP(AS356,IMPORTRANGE(""https://docs.google.com/spreadsheets/d/1juPI-Fb8LD0YtltB2mlGEnp_R3UVu1t3wSFPzgCyHXE/edit?gid=0#gid=0"",""GERAL!A2:C""),3,0),""-"")"),"INDÍGENAS")</f>
        <v>INDÍGENAS</v>
      </c>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v>1179526.0</v>
      </c>
    </row>
    <row r="357" ht="15.75" customHeight="1">
      <c r="A357" s="111" t="s">
        <v>451</v>
      </c>
      <c r="B357" s="83" t="s">
        <v>1423</v>
      </c>
      <c r="C357" s="83" t="s">
        <v>164</v>
      </c>
      <c r="D357" s="112">
        <v>1178075.0</v>
      </c>
      <c r="E357" s="83">
        <v>1179524.0</v>
      </c>
      <c r="F357" s="83"/>
      <c r="G357" s="91" t="str">
        <f>IFERROR(__xludf.DUMMYFUNCTION("XLOOKUP(AS357,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DE OLIVENCA - ALDEIA TABA JARY")</f>
        <v>ANEXO DO COLÉGIO ESTADUAL INDIGENA TUPINAMBA DE OLIVENCA - ALDEIA TABA JARY</v>
      </c>
      <c r="H357" s="114" t="s">
        <v>1485</v>
      </c>
      <c r="I357" s="91" t="s">
        <v>1486</v>
      </c>
      <c r="J357" s="83" t="s">
        <v>1481</v>
      </c>
      <c r="K357" s="83" t="s">
        <v>240</v>
      </c>
      <c r="L357" s="83" t="s">
        <v>168</v>
      </c>
      <c r="M357" s="83" t="s">
        <v>1482</v>
      </c>
      <c r="N357" s="115" t="s">
        <v>170</v>
      </c>
      <c r="O357" s="98" t="s">
        <v>155</v>
      </c>
      <c r="P357" s="99" t="str">
        <f>IFERROR(__xludf.DUMMYFUNCTION("IFERROR(VLOOKUP(AS357,IMPORTRANGE(""https://docs.google.com/spreadsheets/d/1juPI-Fb8LD0YtltB2mlGEnp_R3UVu1t3wSFPzgCyHXE/edit?gid=0#gid=0"",""GERAL!A2:C""),3,0),""-"")"),"INDÍGENAS")</f>
        <v>INDÍGENAS</v>
      </c>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v>1179524.0</v>
      </c>
    </row>
    <row r="358" ht="15.75" customHeight="1">
      <c r="A358" s="111" t="s">
        <v>451</v>
      </c>
      <c r="B358" s="83" t="s">
        <v>1423</v>
      </c>
      <c r="C358" s="83" t="s">
        <v>164</v>
      </c>
      <c r="D358" s="112">
        <v>1178075.0</v>
      </c>
      <c r="E358" s="83">
        <v>1179523.0</v>
      </c>
      <c r="F358" s="83"/>
      <c r="G358" s="91" t="str">
        <f>IFERROR(__xludf.DUMMYFUNCTION("XLOOKUP(AS358,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DE OLIVENCA - ALDEIA MAMAO")</f>
        <v>ANEXO DO COLÉGIO ESTADUAL INDIGENA TUPINAMBA DE OLIVENCA - ALDEIA MAMAO</v>
      </c>
      <c r="H358" s="114" t="s">
        <v>1487</v>
      </c>
      <c r="I358" s="91" t="s">
        <v>1488</v>
      </c>
      <c r="J358" s="83" t="s">
        <v>1481</v>
      </c>
      <c r="K358" s="83" t="s">
        <v>577</v>
      </c>
      <c r="L358" s="83" t="s">
        <v>168</v>
      </c>
      <c r="M358" s="83" t="s">
        <v>1482</v>
      </c>
      <c r="N358" s="115" t="s">
        <v>170</v>
      </c>
      <c r="O358" s="98" t="s">
        <v>155</v>
      </c>
      <c r="P358" s="99" t="str">
        <f>IFERROR(__xludf.DUMMYFUNCTION("IFERROR(VLOOKUP(AS358,IMPORTRANGE(""https://docs.google.com/spreadsheets/d/1juPI-Fb8LD0YtltB2mlGEnp_R3UVu1t3wSFPzgCyHXE/edit?gid=0#gid=0"",""GERAL!A2:C""),3,0),""-"")"),"INDÍGENAS")</f>
        <v>INDÍGENAS</v>
      </c>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v>1179523.0</v>
      </c>
    </row>
    <row r="359" ht="15.75" customHeight="1">
      <c r="A359" s="111" t="s">
        <v>451</v>
      </c>
      <c r="B359" s="83" t="s">
        <v>1423</v>
      </c>
      <c r="C359" s="83" t="s">
        <v>164</v>
      </c>
      <c r="D359" s="112">
        <v>1178075.0</v>
      </c>
      <c r="E359" s="83">
        <v>1179513.0</v>
      </c>
      <c r="F359" s="83"/>
      <c r="G359" s="91" t="str">
        <f>IFERROR(__xludf.DUMMYFUNCTION("XLOOKUP(AS359,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DE OLIVENCA - ACUIPE DE CIMA")</f>
        <v>ANEXO DO COLÉGIO ESTADUAL INDIGENA TUPINAMBA DE OLIVENCA - ACUIPE DE CIMA</v>
      </c>
      <c r="H359" s="114" t="s">
        <v>1489</v>
      </c>
      <c r="I359" s="91" t="s">
        <v>1490</v>
      </c>
      <c r="J359" s="83" t="s">
        <v>1481</v>
      </c>
      <c r="K359" s="83" t="s">
        <v>240</v>
      </c>
      <c r="L359" s="83" t="s">
        <v>168</v>
      </c>
      <c r="M359" s="83" t="s">
        <v>1482</v>
      </c>
      <c r="N359" s="115" t="s">
        <v>170</v>
      </c>
      <c r="O359" s="98" t="s">
        <v>155</v>
      </c>
      <c r="P359" s="99" t="str">
        <f>IFERROR(__xludf.DUMMYFUNCTION("IFERROR(VLOOKUP(AS359,IMPORTRANGE(""https://docs.google.com/spreadsheets/d/1juPI-Fb8LD0YtltB2mlGEnp_R3UVu1t3wSFPzgCyHXE/edit?gid=0#gid=0"",""GERAL!A2:C""),3,0),""-"")"),"INDÍGENAS")</f>
        <v>INDÍGENAS</v>
      </c>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v>1179513.0</v>
      </c>
    </row>
    <row r="360" ht="15.75" customHeight="1">
      <c r="A360" s="111" t="s">
        <v>451</v>
      </c>
      <c r="B360" s="83" t="s">
        <v>1423</v>
      </c>
      <c r="C360" s="83" t="s">
        <v>164</v>
      </c>
      <c r="D360" s="112">
        <v>1179628.0</v>
      </c>
      <c r="E360" s="83">
        <v>1179680.0</v>
      </c>
      <c r="F360" s="83"/>
      <c r="G360" s="91" t="str">
        <f>IFERROR(__xludf.DUMMYFUNCTION("XLOOKUP(AS360,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TUPINAMBÁ AMOTARA - ALDEIA TAMANDARE")</f>
        <v>ANEXO DO COLÉGIO ESTADUAL INDIGENA TUPINAMBÁ AMOTARA - ALDEIA TAMANDARE</v>
      </c>
      <c r="H360" s="240" t="s">
        <v>1491</v>
      </c>
      <c r="I360" s="91" t="s">
        <v>1492</v>
      </c>
      <c r="J360" s="83" t="s">
        <v>1493</v>
      </c>
      <c r="K360" s="83" t="s">
        <v>1494</v>
      </c>
      <c r="L360" s="83" t="s">
        <v>168</v>
      </c>
      <c r="M360" s="83" t="s">
        <v>169</v>
      </c>
      <c r="N360" s="115" t="s">
        <v>170</v>
      </c>
      <c r="O360" s="98" t="s">
        <v>155</v>
      </c>
      <c r="P360" s="99" t="str">
        <f>IFERROR(__xludf.DUMMYFUNCTION("IFERROR(VLOOKUP(AS360,IMPORTRANGE(""https://docs.google.com/spreadsheets/d/1juPI-Fb8LD0YtltB2mlGEnp_R3UVu1t3wSFPzgCyHXE/edit?gid=0#gid=0"",""GERAL!A2:C""),3,0),""-"")"),"INDÍGENAS")</f>
        <v>INDÍGENAS</v>
      </c>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v>1179680.0</v>
      </c>
    </row>
    <row r="361" ht="15.75" customHeight="1">
      <c r="A361" s="111" t="s">
        <v>451</v>
      </c>
      <c r="B361" s="83" t="s">
        <v>1423</v>
      </c>
      <c r="C361" s="83" t="s">
        <v>164</v>
      </c>
      <c r="D361" s="112">
        <v>1179628.0</v>
      </c>
      <c r="E361" s="83">
        <v>1179681.0</v>
      </c>
      <c r="F361" s="83"/>
      <c r="G361" s="91" t="str">
        <f>IFERROR(__xludf.DUMMYFUNCTION("XLOOKUP(AS361,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TUPINAMBÁ AMOTARA - ALDEIA KURUMIM")</f>
        <v>ANEXO DO COLÉGIO ESTADUAL INDIGENA TUPINAMBÁ AMOTARA - ALDEIA KURUMIM</v>
      </c>
      <c r="H361" s="240" t="s">
        <v>1495</v>
      </c>
      <c r="I361" s="91" t="s">
        <v>1496</v>
      </c>
      <c r="J361" s="83" t="s">
        <v>1497</v>
      </c>
      <c r="K361" s="83" t="s">
        <v>1498</v>
      </c>
      <c r="L361" s="83" t="s">
        <v>168</v>
      </c>
      <c r="M361" s="83" t="s">
        <v>169</v>
      </c>
      <c r="N361" s="115" t="s">
        <v>170</v>
      </c>
      <c r="O361" s="98" t="s">
        <v>155</v>
      </c>
      <c r="P361" s="99" t="str">
        <f>IFERROR(__xludf.DUMMYFUNCTION("IFERROR(VLOOKUP(AS361,IMPORTRANGE(""https://docs.google.com/spreadsheets/d/1juPI-Fb8LD0YtltB2mlGEnp_R3UVu1t3wSFPzgCyHXE/edit?gid=0#gid=0"",""GERAL!A2:C""),3,0),""-"")"),"INDÍGENAS")</f>
        <v>INDÍGENAS</v>
      </c>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v>1179681.0</v>
      </c>
    </row>
    <row r="362" ht="15.75" customHeight="1">
      <c r="A362" s="111" t="s">
        <v>451</v>
      </c>
      <c r="B362" s="83" t="s">
        <v>1423</v>
      </c>
      <c r="C362" s="83" t="s">
        <v>164</v>
      </c>
      <c r="D362" s="112">
        <v>1179628.0</v>
      </c>
      <c r="E362" s="83">
        <v>1179677.0</v>
      </c>
      <c r="F362" s="83"/>
      <c r="G362" s="91" t="str">
        <f>IFERROR(__xludf.DUMMYFUNCTION("XLOOKUP(AS362,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TUPINAMBA AMOTARA - ALDEIA KATUANA")</f>
        <v>ANEXO DO COLÉGIO ESTADUAL INDIGENA TUPINAMBA AMOTARA - ALDEIA KATUANA</v>
      </c>
      <c r="H362" s="114" t="s">
        <v>1499</v>
      </c>
      <c r="I362" s="91" t="s">
        <v>1500</v>
      </c>
      <c r="J362" s="136" t="s">
        <v>1501</v>
      </c>
      <c r="K362" s="83" t="s">
        <v>1502</v>
      </c>
      <c r="L362" s="83" t="s">
        <v>168</v>
      </c>
      <c r="M362" s="83" t="s">
        <v>169</v>
      </c>
      <c r="N362" s="115" t="s">
        <v>170</v>
      </c>
      <c r="O362" s="98" t="s">
        <v>155</v>
      </c>
      <c r="P362" s="99" t="str">
        <f>IFERROR(__xludf.DUMMYFUNCTION("IFERROR(VLOOKUP(AS362,IMPORTRANGE(""https://docs.google.com/spreadsheets/d/1juPI-Fb8LD0YtltB2mlGEnp_R3UVu1t3wSFPzgCyHXE/edit?gid=0#gid=0"",""GERAL!A2:C""),3,0),""-"")"),"INDÍGENAS")</f>
        <v>INDÍGENAS</v>
      </c>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v>1179677.0</v>
      </c>
    </row>
    <row r="363" ht="15.75" customHeight="1">
      <c r="A363" s="111" t="s">
        <v>451</v>
      </c>
      <c r="B363" s="83" t="s">
        <v>1423</v>
      </c>
      <c r="C363" s="83" t="s">
        <v>164</v>
      </c>
      <c r="D363" s="112">
        <v>1179628.0</v>
      </c>
      <c r="E363" s="83">
        <v>1179679.0</v>
      </c>
      <c r="F363" s="83"/>
      <c r="G363" s="91" t="str">
        <f>IFERROR(__xludf.DUMMYFUNCTION("XLOOKUP(AS363,
IMPORTRANGE(""https://docs.google.com/spreadsheets/d/1YM-djuOLXomrZ9W0B4TyIBsVWnXY4EIOFD9HY-qGfv0/edit?usp=sharing"",""GERAL!BG5:BG""),
IMPORTRANGE(""https://docs.google.com/spreadsheets/d/1YM-djuOLXomrZ9W0B4TyIBsVWnXY4EIOFD9HY-qGfv0/edit?u"&amp;"sp=sharing"",""GERAL!G5:G""),
""CÓD. SEC NÃO ENCONTRADO NA PLANILHA DE MATRÍCULA"")"),"CÓD. SEC NÃO ENCONTRADO NA PLANILHA DE MATRÍCULA")</f>
        <v>CÓD. SEC NÃO ENCONTRADO NA PLANILHA DE MATRÍCULA</v>
      </c>
      <c r="H363" s="119" t="s">
        <v>1503</v>
      </c>
      <c r="I363" s="91" t="s">
        <v>1504</v>
      </c>
      <c r="J363" s="83" t="s">
        <v>1505</v>
      </c>
      <c r="K363" s="83" t="s">
        <v>1506</v>
      </c>
      <c r="L363" s="83" t="s">
        <v>168</v>
      </c>
      <c r="M363" s="83" t="s">
        <v>169</v>
      </c>
      <c r="N363" s="115" t="s">
        <v>170</v>
      </c>
      <c r="O363" s="98" t="s">
        <v>155</v>
      </c>
      <c r="P363" s="99" t="str">
        <f>IFERROR(__xludf.DUMMYFUNCTION("IFERROR(VLOOKUP(AS363,IMPORTRANGE(""https://docs.google.com/spreadsheets/d/1juPI-Fb8LD0YtltB2mlGEnp_R3UVu1t3wSFPzgCyHXE/edit?gid=0#gid=0"",""GERAL!A2:C""),3,0),""-"")"),"INDÍGENAS")</f>
        <v>INDÍGENAS</v>
      </c>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v>1179679.0</v>
      </c>
    </row>
    <row r="364" ht="15.75" customHeight="1">
      <c r="A364" s="111" t="s">
        <v>451</v>
      </c>
      <c r="B364" s="83" t="s">
        <v>1423</v>
      </c>
      <c r="C364" s="83" t="s">
        <v>164</v>
      </c>
      <c r="D364" s="112">
        <v>1111126.0</v>
      </c>
      <c r="E364" s="83">
        <v>1179235.0</v>
      </c>
      <c r="F364" s="83"/>
      <c r="G364" s="91" t="str">
        <f>IFERROR(__xludf.DUMMYFUNCTION("XLOOKUP(AS364,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DO IGUAPE - PRESÍDIO - SEDE - PENAL")</f>
        <v>ANEXO DO COLÉGIO ESTADUAL DO IGUAPE - PRESÍDIO - SEDE - PENAL</v>
      </c>
      <c r="H364" s="114" t="s">
        <v>1507</v>
      </c>
      <c r="I364" s="91" t="s">
        <v>1508</v>
      </c>
      <c r="J364" s="83" t="s">
        <v>149</v>
      </c>
      <c r="K364" s="83" t="s">
        <v>1321</v>
      </c>
      <c r="L364" s="83" t="s">
        <v>168</v>
      </c>
      <c r="M364" s="83" t="s">
        <v>169</v>
      </c>
      <c r="N364" s="115" t="s">
        <v>170</v>
      </c>
      <c r="O364" s="98" t="s">
        <v>155</v>
      </c>
      <c r="P364" s="99" t="str">
        <f>IFERROR(__xludf.DUMMYFUNCTION("IFERROR(VLOOKUP(AS364,IMPORTRANGE(""https://docs.google.com/spreadsheets/d/1juPI-Fb8LD0YtltB2mlGEnp_R3UVu1t3wSFPzgCyHXE/edit?gid=0#gid=0"",""GERAL!A2:C""),3,0),""-"")"),"-")</f>
        <v>-</v>
      </c>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v>1179235.0</v>
      </c>
    </row>
    <row r="365" ht="15.75" customHeight="1">
      <c r="A365" s="111" t="s">
        <v>451</v>
      </c>
      <c r="B365" s="83" t="s">
        <v>1423</v>
      </c>
      <c r="C365" s="83" t="s">
        <v>164</v>
      </c>
      <c r="D365" s="112">
        <v>1179701.0</v>
      </c>
      <c r="E365" s="83">
        <v>1179699.0</v>
      </c>
      <c r="F365" s="83"/>
      <c r="G365" s="91" t="str">
        <f>IFERROR(__xludf.DUMMYFUNCTION("XLOOKUP(AS365,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LITORA SUL - DISTRITO DE INEMA")</f>
        <v>ANEXO DO CEMIT LITORA SUL - DISTRITO DE INEMA</v>
      </c>
      <c r="H365" s="114" t="s">
        <v>1509</v>
      </c>
      <c r="I365" s="91" t="s">
        <v>1510</v>
      </c>
      <c r="J365" s="136" t="s">
        <v>149</v>
      </c>
      <c r="K365" s="83" t="s">
        <v>865</v>
      </c>
      <c r="L365" s="83" t="s">
        <v>168</v>
      </c>
      <c r="M365" s="83" t="s">
        <v>169</v>
      </c>
      <c r="N365" s="115" t="s">
        <v>170</v>
      </c>
      <c r="O365" s="98" t="s">
        <v>155</v>
      </c>
      <c r="P365" s="99" t="str">
        <f>IFERROR(__xludf.DUMMYFUNCTION("IFERROR(VLOOKUP(AS365,IMPORTRANGE(""https://docs.google.com/spreadsheets/d/1juPI-Fb8LD0YtltB2mlGEnp_R3UVu1t3wSFPzgCyHXE/edit?gid=0#gid=0"",""GERAL!A2:C""),3,0),""-"")"),"CAMPO")</f>
        <v>CAMPO</v>
      </c>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v>1179699.0</v>
      </c>
    </row>
    <row r="366" ht="15.75" customHeight="1">
      <c r="A366" s="111" t="s">
        <v>451</v>
      </c>
      <c r="B366" s="83" t="s">
        <v>1423</v>
      </c>
      <c r="C366" s="83" t="s">
        <v>164</v>
      </c>
      <c r="D366" s="112">
        <v>1179701.0</v>
      </c>
      <c r="E366" s="83">
        <v>1179725.0</v>
      </c>
      <c r="F366" s="83"/>
      <c r="G366" s="91" t="str">
        <f>IFERROR(__xludf.DUMMYFUNCTION("XLOOKUP(AS366,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DISTRITO DE CASTELO NOVO")</f>
        <v>ANEXO - CEMIT LITORAL SUL - DISTRITO DE CASTELO NOVO</v>
      </c>
      <c r="H366" s="114" t="s">
        <v>1511</v>
      </c>
      <c r="I366" s="91" t="s">
        <v>1512</v>
      </c>
      <c r="J366" s="193"/>
      <c r="K366" s="83" t="s">
        <v>1074</v>
      </c>
      <c r="L366" s="83" t="s">
        <v>168</v>
      </c>
      <c r="M366" s="83" t="s">
        <v>169</v>
      </c>
      <c r="N366" s="115" t="s">
        <v>170</v>
      </c>
      <c r="O366" s="98" t="s">
        <v>155</v>
      </c>
      <c r="P366" s="99" t="str">
        <f>IFERROR(__xludf.DUMMYFUNCTION("IFERROR(VLOOKUP(AS366,IMPORTRANGE(""https://docs.google.com/spreadsheets/d/1juPI-Fb8LD0YtltB2mlGEnp_R3UVu1t3wSFPzgCyHXE/edit?gid=0#gid=0"",""GERAL!A2:C""),3,0),""-"")"),"-")</f>
        <v>-</v>
      </c>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v>1179725.0</v>
      </c>
    </row>
    <row r="367" ht="15.75" customHeight="1">
      <c r="A367" s="111" t="s">
        <v>451</v>
      </c>
      <c r="B367" s="83" t="s">
        <v>1423</v>
      </c>
      <c r="C367" s="83" t="s">
        <v>164</v>
      </c>
      <c r="D367" s="112">
        <v>1179701.0</v>
      </c>
      <c r="E367" s="83">
        <v>1178494.0</v>
      </c>
      <c r="F367" s="83"/>
      <c r="G367" s="91" t="str">
        <f>IFERROR(__xludf.DUMMYFUNCTION("XLOOKUP(AS367,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LITORAL SUL - DISTRITO DE BANCO DA VITORIA")</f>
        <v>ANEXO - CEMIT LITORAL SUL - DISTRITO DE BANCO DA VITORIA</v>
      </c>
      <c r="H367" s="114" t="s">
        <v>1513</v>
      </c>
      <c r="I367" s="91" t="s">
        <v>1514</v>
      </c>
      <c r="J367" s="83" t="s">
        <v>1515</v>
      </c>
      <c r="K367" s="83" t="s">
        <v>694</v>
      </c>
      <c r="L367" s="83" t="s">
        <v>168</v>
      </c>
      <c r="M367" s="83" t="s">
        <v>169</v>
      </c>
      <c r="N367" s="115" t="s">
        <v>170</v>
      </c>
      <c r="O367" s="98" t="s">
        <v>155</v>
      </c>
      <c r="P367" s="99" t="str">
        <f>IFERROR(__xludf.DUMMYFUNCTION("IFERROR(VLOOKUP(AS367,IMPORTRANGE(""https://docs.google.com/spreadsheets/d/1juPI-Fb8LD0YtltB2mlGEnp_R3UVu1t3wSFPzgCyHXE/edit?gid=0#gid=0"",""GERAL!A2:C""),3,0),""-"")"),"CAMPO")</f>
        <v>CAMPO</v>
      </c>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v>1178494.0</v>
      </c>
    </row>
    <row r="368" ht="15.75" customHeight="1">
      <c r="A368" s="111" t="s">
        <v>451</v>
      </c>
      <c r="B368" s="83" t="s">
        <v>1423</v>
      </c>
      <c r="C368" s="83" t="s">
        <v>164</v>
      </c>
      <c r="D368" s="112">
        <v>1179701.0</v>
      </c>
      <c r="E368" s="83">
        <v>1179273.0</v>
      </c>
      <c r="F368" s="83"/>
      <c r="G368" s="91" t="str">
        <f>IFERROR(__xludf.DUMMYFUNCTION("XLOOKUP(AS368,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POVOADO PONTA DA TULHA")</f>
        <v>ANEXO - CEMIT - LITORAL SUL - POVOADO PONTA DA TULHA</v>
      </c>
      <c r="H368" s="114" t="s">
        <v>1516</v>
      </c>
      <c r="I368" s="91" t="s">
        <v>1517</v>
      </c>
      <c r="J368" s="136" t="s">
        <v>149</v>
      </c>
      <c r="K368" s="83" t="s">
        <v>1502</v>
      </c>
      <c r="L368" s="83" t="s">
        <v>168</v>
      </c>
      <c r="M368" s="83" t="s">
        <v>169</v>
      </c>
      <c r="N368" s="115" t="s">
        <v>170</v>
      </c>
      <c r="O368" s="98" t="s">
        <v>155</v>
      </c>
      <c r="P368" s="99" t="str">
        <f>IFERROR(__xludf.DUMMYFUNCTION("IFERROR(VLOOKUP(AS368,IMPORTRANGE(""https://docs.google.com/spreadsheets/d/1juPI-Fb8LD0YtltB2mlGEnp_R3UVu1t3wSFPzgCyHXE/edit?gid=0#gid=0"",""GERAL!A2:C""),3,0),""-"")"),"CAMPO")</f>
        <v>CAMPO</v>
      </c>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v>1179273.0</v>
      </c>
    </row>
    <row r="369" ht="15.75" customHeight="1">
      <c r="A369" s="111" t="s">
        <v>451</v>
      </c>
      <c r="B369" s="83" t="s">
        <v>1423</v>
      </c>
      <c r="C369" s="83" t="s">
        <v>164</v>
      </c>
      <c r="D369" s="112">
        <v>1179701.0</v>
      </c>
      <c r="E369" s="83">
        <v>1109699.0</v>
      </c>
      <c r="F369" s="83"/>
      <c r="G369" s="91" t="str">
        <f>IFERROR(__xludf.DUMMYFUNCTION("XLOOKUP(AS369,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DISTRITO DE SAMBAITUBA")</f>
        <v>ANEXO - CEMIT - LITORAL SUL - DISTRITO DE SAMBAITUBA</v>
      </c>
      <c r="H369" s="114" t="s">
        <v>1518</v>
      </c>
      <c r="I369" s="91" t="s">
        <v>1519</v>
      </c>
      <c r="J369" s="136" t="s">
        <v>1520</v>
      </c>
      <c r="K369" s="83" t="s">
        <v>187</v>
      </c>
      <c r="L369" s="83" t="s">
        <v>168</v>
      </c>
      <c r="M369" s="83" t="s">
        <v>169</v>
      </c>
      <c r="N369" s="115" t="s">
        <v>170</v>
      </c>
      <c r="O369" s="98" t="s">
        <v>155</v>
      </c>
      <c r="P369" s="99" t="str">
        <f>IFERROR(__xludf.DUMMYFUNCTION("IFERROR(VLOOKUP(AS369,IMPORTRANGE(""https://docs.google.com/spreadsheets/d/1juPI-Fb8LD0YtltB2mlGEnp_R3UVu1t3wSFPzgCyHXE/edit?gid=0#gid=0"",""GERAL!A2:C""),3,0),""-"")"),"CAMPO")</f>
        <v>CAMPO</v>
      </c>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v>1109699.0</v>
      </c>
    </row>
    <row r="370" ht="15.75" customHeight="1">
      <c r="A370" s="111" t="s">
        <v>451</v>
      </c>
      <c r="B370" s="83" t="s">
        <v>1423</v>
      </c>
      <c r="C370" s="83" t="s">
        <v>164</v>
      </c>
      <c r="D370" s="112">
        <v>1179701.0</v>
      </c>
      <c r="E370" s="83">
        <v>1179342.0</v>
      </c>
      <c r="F370" s="83"/>
      <c r="G370" s="91" t="str">
        <f>IFERROR(__xludf.DUMMYFUNCTION("XLOOKUP(AS370,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DISTRITO DE COUTO")</f>
        <v>ANEXO - CEMIT - LITORAL SUL - DISTRITO DE COUTO</v>
      </c>
      <c r="H370" s="114" t="s">
        <v>1521</v>
      </c>
      <c r="I370" s="91" t="s">
        <v>1522</v>
      </c>
      <c r="J370" s="136" t="s">
        <v>1523</v>
      </c>
      <c r="K370" s="83" t="s">
        <v>767</v>
      </c>
      <c r="L370" s="83" t="s">
        <v>168</v>
      </c>
      <c r="M370" s="83" t="s">
        <v>512</v>
      </c>
      <c r="N370" s="115" t="s">
        <v>170</v>
      </c>
      <c r="O370" s="98" t="s">
        <v>155</v>
      </c>
      <c r="P370" s="99" t="str">
        <f>IFERROR(__xludf.DUMMYFUNCTION("IFERROR(VLOOKUP(AS370,IMPORTRANGE(""https://docs.google.com/spreadsheets/d/1juPI-Fb8LD0YtltB2mlGEnp_R3UVu1t3wSFPzgCyHXE/edit?gid=0#gid=0"",""GERAL!A2:C""),3,0),""-"")"),"CAMPO")</f>
        <v>CAMPO</v>
      </c>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v>1179342.0</v>
      </c>
    </row>
    <row r="371" ht="15.75" customHeight="1">
      <c r="A371" s="111" t="s">
        <v>451</v>
      </c>
      <c r="B371" s="83" t="s">
        <v>1423</v>
      </c>
      <c r="C371" s="83" t="s">
        <v>164</v>
      </c>
      <c r="D371" s="112">
        <v>1179701.0</v>
      </c>
      <c r="E371" s="83">
        <v>1179055.0</v>
      </c>
      <c r="F371" s="83"/>
      <c r="G371" s="91" t="str">
        <f>IFERROR(__xludf.DUMMYFUNCTION("XLOOKUP(AS371,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DISTRITO DE BANCO CENTRAL")</f>
        <v>ANEXO - CEMIT - LITORAL SUL - DISTRITO DE BANCO CENTRAL</v>
      </c>
      <c r="H371" s="114" t="s">
        <v>1524</v>
      </c>
      <c r="I371" s="91" t="s">
        <v>1525</v>
      </c>
      <c r="J371" s="136" t="s">
        <v>149</v>
      </c>
      <c r="K371" s="83" t="s">
        <v>244</v>
      </c>
      <c r="L371" s="83" t="s">
        <v>168</v>
      </c>
      <c r="M371" s="83" t="s">
        <v>169</v>
      </c>
      <c r="N371" s="115" t="s">
        <v>170</v>
      </c>
      <c r="O371" s="98" t="s">
        <v>155</v>
      </c>
      <c r="P371" s="99" t="str">
        <f>IFERROR(__xludf.DUMMYFUNCTION("IFERROR(VLOOKUP(AS371,IMPORTRANGE(""https://docs.google.com/spreadsheets/d/1juPI-Fb8LD0YtltB2mlGEnp_R3UVu1t3wSFPzgCyHXE/edit?gid=0#gid=0"",""GERAL!A2:C""),3,0),""-"")"),"CAMPO")</f>
        <v>CAMPO</v>
      </c>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v>1179055.0</v>
      </c>
    </row>
    <row r="372" ht="15.75" customHeight="1">
      <c r="A372" s="111" t="s">
        <v>451</v>
      </c>
      <c r="B372" s="83" t="s">
        <v>1423</v>
      </c>
      <c r="C372" s="83" t="s">
        <v>164</v>
      </c>
      <c r="D372" s="112">
        <v>1179701.0</v>
      </c>
      <c r="E372" s="83">
        <v>1178491.0</v>
      </c>
      <c r="F372" s="83"/>
      <c r="G372" s="91" t="str">
        <f>IFERROR(__xludf.DUMMYFUNCTION("XLOOKUP(AS372,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DISTRITO ARITAGUA I")</f>
        <v>ANEXO - CEMIT - LITORAL SUL - DISTRITO ARITAGUA I</v>
      </c>
      <c r="H372" s="114" t="s">
        <v>1526</v>
      </c>
      <c r="I372" s="91" t="s">
        <v>1527</v>
      </c>
      <c r="J372" s="136" t="s">
        <v>1528</v>
      </c>
      <c r="K372" s="83" t="s">
        <v>209</v>
      </c>
      <c r="L372" s="83" t="s">
        <v>168</v>
      </c>
      <c r="M372" s="83" t="s">
        <v>169</v>
      </c>
      <c r="N372" s="115" t="s">
        <v>170</v>
      </c>
      <c r="O372" s="98" t="s">
        <v>155</v>
      </c>
      <c r="P372" s="99" t="str">
        <f>IFERROR(__xludf.DUMMYFUNCTION("IFERROR(VLOOKUP(AS372,IMPORTRANGE(""https://docs.google.com/spreadsheets/d/1juPI-Fb8LD0YtltB2mlGEnp_R3UVu1t3wSFPzgCyHXE/edit?gid=0#gid=0"",""GERAL!A2:C""),3,0),""-"")"),"CAMPO")</f>
        <v>CAMPO</v>
      </c>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v>1178491.0</v>
      </c>
    </row>
    <row r="373" ht="15.75" customHeight="1">
      <c r="A373" s="111" t="s">
        <v>451</v>
      </c>
      <c r="B373" s="83" t="s">
        <v>1529</v>
      </c>
      <c r="C373" s="83" t="s">
        <v>68</v>
      </c>
      <c r="D373" s="112">
        <v>1176081.0</v>
      </c>
      <c r="E373" s="82"/>
      <c r="F373" s="83">
        <v>2.930539E7</v>
      </c>
      <c r="G373" s="91" t="str">
        <f>IFERROR(__xludf.DUMMYFUNCTION("XLOOKUP(AS373,
IMPORTRANGE(""https://docs.google.com/spreadsheets/d/1YM-djuOLXomrZ9W0B4TyIBsVWnXY4EIOFD9HY-qGfv0/edit?usp=sharing"",""GERAL!BG5:BG""),
IMPORTRANGE(""https://docs.google.com/spreadsheets/d/1YM-djuOLXomrZ9W0B4TyIBsVWnXY4EIOFD9HY-qGfv0/edit?u"&amp;"sp=sharing"",""GERAL!G5:G""),
""CÓD. SEC NÃO ENCONTRADO NA PLANILHA DE MATRÍCULA"")"),"COMPLEXO INTEGRADO DE EDUCAÇÃO BÁSICA PROFISSIONAL E TECNOLÓGICA DE ITABUNA (ANTIGO CIE ITABUNA)")</f>
        <v>COMPLEXO INTEGRADO DE EDUCAÇÃO BÁSICA PROFISSIONAL E TECNOLÓGICA DE ITABUNA (ANTIGO CIE ITABUNA)</v>
      </c>
      <c r="H373" s="108" t="s">
        <v>1530</v>
      </c>
      <c r="I373" s="91" t="s">
        <v>1531</v>
      </c>
      <c r="J373" s="136" t="s">
        <v>149</v>
      </c>
      <c r="K373" s="83" t="s">
        <v>150</v>
      </c>
      <c r="L373" s="83" t="s">
        <v>151</v>
      </c>
      <c r="M373" s="82" t="s">
        <v>230</v>
      </c>
      <c r="N373" s="137" t="s">
        <v>1532</v>
      </c>
      <c r="O373" s="98" t="s">
        <v>176</v>
      </c>
      <c r="P373" s="99" t="str">
        <f>IFERROR(__xludf.DUMMYFUNCTION("IFERROR(VLOOKUP(AS373,IMPORTRANGE(""https://docs.google.com/spreadsheets/d/1juPI-Fb8LD0YtltB2mlGEnp_R3UVu1t3wSFPzgCyHXE/edit?gid=0#gid=0"",""GERAL!A2:C""),3,0),""-"")"),"-")</f>
        <v>-</v>
      </c>
      <c r="Q373" s="98" t="s">
        <v>171</v>
      </c>
      <c r="R373" s="98">
        <v>64.0</v>
      </c>
      <c r="S373" s="98">
        <v>1.0</v>
      </c>
      <c r="T373" s="98">
        <v>3.0</v>
      </c>
      <c r="U373" s="98">
        <v>0.0</v>
      </c>
      <c r="V373" s="98">
        <v>1.0</v>
      </c>
      <c r="W373" s="98">
        <v>3.0</v>
      </c>
      <c r="X373" s="98">
        <v>1.0</v>
      </c>
      <c r="Y373" s="98">
        <v>0.0</v>
      </c>
      <c r="Z373" s="98">
        <v>2.0</v>
      </c>
      <c r="AA373" s="98">
        <v>0.0</v>
      </c>
      <c r="AB373" s="98">
        <v>1.0</v>
      </c>
      <c r="AC373" s="98">
        <v>0.0</v>
      </c>
      <c r="AD373" s="98">
        <v>1.0</v>
      </c>
      <c r="AE373" s="98">
        <v>0.0</v>
      </c>
      <c r="AF373" s="98">
        <v>2.0</v>
      </c>
      <c r="AG373" s="98">
        <v>1.0</v>
      </c>
      <c r="AH373" s="98">
        <v>0.0</v>
      </c>
      <c r="AI373" s="98">
        <v>0.0</v>
      </c>
      <c r="AJ373" s="98">
        <v>1.0</v>
      </c>
      <c r="AK373" s="98">
        <v>0.0</v>
      </c>
      <c r="AL373" s="98">
        <v>1.0</v>
      </c>
      <c r="AM373" s="98">
        <v>1.0</v>
      </c>
      <c r="AN373" s="98">
        <v>0.0</v>
      </c>
      <c r="AO373" s="98">
        <v>0.0</v>
      </c>
      <c r="AP373" s="98">
        <v>0.0</v>
      </c>
      <c r="AQ373" s="98" t="s">
        <v>1534</v>
      </c>
      <c r="AR373" s="102">
        <v>46231.0</v>
      </c>
      <c r="AS373" s="83">
        <v>1176081.0</v>
      </c>
    </row>
    <row r="374" ht="15.75" customHeight="1">
      <c r="A374" s="111" t="s">
        <v>451</v>
      </c>
      <c r="B374" s="83" t="s">
        <v>1529</v>
      </c>
      <c r="C374" s="83" t="s">
        <v>68</v>
      </c>
      <c r="D374" s="112">
        <v>1177091.0</v>
      </c>
      <c r="E374" s="83"/>
      <c r="F374" s="83">
        <v>2.942402E7</v>
      </c>
      <c r="G374" s="91" t="str">
        <f>IFERROR(__xludf.DUMMYFUNCTION("XLOOKUP(AS374,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MODELO LUIS EDUARDO MAGALHAES - TEMPO INTEGRAL")</f>
        <v>COLÉGIO MODELO LUIS EDUARDO MAGALHAES - TEMPO INTEGRAL</v>
      </c>
      <c r="H374" s="119" t="s">
        <v>1536</v>
      </c>
      <c r="I374" s="91" t="s">
        <v>1537</v>
      </c>
      <c r="J374" s="242" t="s">
        <v>149</v>
      </c>
      <c r="K374" s="83" t="s">
        <v>150</v>
      </c>
      <c r="L374" s="83" t="s">
        <v>151</v>
      </c>
      <c r="M374" s="83" t="s">
        <v>152</v>
      </c>
      <c r="N374" s="98" t="s">
        <v>1538</v>
      </c>
      <c r="O374" s="98" t="s">
        <v>155</v>
      </c>
      <c r="P374" s="99" t="str">
        <f>IFERROR(__xludf.DUMMYFUNCTION("IFERROR(VLOOKUP(AS374,IMPORTRANGE(""https://docs.google.com/spreadsheets/d/1juPI-Fb8LD0YtltB2mlGEnp_R3UVu1t3wSFPzgCyHXE/edit?gid=0#gid=0"",""GERAL!A2:C""),3,0),""-"")"),"-")</f>
        <v>-</v>
      </c>
      <c r="Q374" s="101" t="s">
        <v>156</v>
      </c>
      <c r="R374" s="98">
        <v>17.0</v>
      </c>
      <c r="S374" s="98">
        <v>0.0</v>
      </c>
      <c r="T374" s="98">
        <v>4.0</v>
      </c>
      <c r="U374" s="98">
        <v>1.0</v>
      </c>
      <c r="V374" s="98">
        <v>1.0</v>
      </c>
      <c r="W374" s="98">
        <v>0.0</v>
      </c>
      <c r="X374" s="98">
        <v>1.0</v>
      </c>
      <c r="Y374" s="98">
        <v>0.0</v>
      </c>
      <c r="Z374" s="98">
        <v>0.0</v>
      </c>
      <c r="AA374" s="98">
        <v>1.0</v>
      </c>
      <c r="AB374" s="98">
        <v>0.0</v>
      </c>
      <c r="AC374" s="98">
        <v>1.0</v>
      </c>
      <c r="AD374" s="98">
        <v>0.0</v>
      </c>
      <c r="AE374" s="98">
        <v>0.0</v>
      </c>
      <c r="AF374" s="98">
        <v>1.0</v>
      </c>
      <c r="AG374" s="98">
        <v>0.0</v>
      </c>
      <c r="AH374" s="98">
        <v>0.0</v>
      </c>
      <c r="AI374" s="98">
        <v>0.0</v>
      </c>
      <c r="AJ374" s="98">
        <v>1.0</v>
      </c>
      <c r="AK374" s="98">
        <v>0.0</v>
      </c>
      <c r="AL374" s="98">
        <v>0.0</v>
      </c>
      <c r="AM374" s="98">
        <v>0.0</v>
      </c>
      <c r="AN374" s="98">
        <v>0.0</v>
      </c>
      <c r="AO374" s="98">
        <v>0.0</v>
      </c>
      <c r="AP374" s="98">
        <v>0.0</v>
      </c>
      <c r="AQ374" s="98" t="s">
        <v>171</v>
      </c>
      <c r="AR374" s="102">
        <v>46231.0</v>
      </c>
      <c r="AS374" s="83">
        <v>1177091.0</v>
      </c>
    </row>
    <row r="375" ht="15.75" customHeight="1">
      <c r="A375" s="111" t="s">
        <v>451</v>
      </c>
      <c r="B375" s="83" t="s">
        <v>1529</v>
      </c>
      <c r="C375" s="83" t="s">
        <v>68</v>
      </c>
      <c r="D375" s="112">
        <v>1112084.0</v>
      </c>
      <c r="E375" s="83"/>
      <c r="F375" s="83">
        <v>2.9304776E7</v>
      </c>
      <c r="G375" s="91" t="str">
        <f>IFERROR(__xludf.DUMMYFUNCTION("XLOOKUP(AS375,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VALDELICE SOARES PINHEIRO - TEMPO INTEGRAL")</f>
        <v>COLÉGIO ESTADUAL VALDELICE SOARES PINHEIRO - TEMPO INTEGRAL</v>
      </c>
      <c r="H375" s="119" t="s">
        <v>1540</v>
      </c>
      <c r="I375" s="91" t="s">
        <v>1541</v>
      </c>
      <c r="J375" s="83" t="s">
        <v>1542</v>
      </c>
      <c r="K375" s="83" t="s">
        <v>150</v>
      </c>
      <c r="L375" s="83" t="s">
        <v>151</v>
      </c>
      <c r="M375" s="83" t="s">
        <v>230</v>
      </c>
      <c r="N375" s="137" t="s">
        <v>1543</v>
      </c>
      <c r="O375" s="98" t="s">
        <v>155</v>
      </c>
      <c r="P375" s="99" t="str">
        <f>IFERROR(__xludf.DUMMYFUNCTION("IFERROR(VLOOKUP(AS375,IMPORTRANGE(""https://docs.google.com/spreadsheets/d/1juPI-Fb8LD0YtltB2mlGEnp_R3UVu1t3wSFPzgCyHXE/edit?gid=0#gid=0"",""GERAL!A2:C""),3,0),""-"")"),"-")</f>
        <v>-</v>
      </c>
      <c r="Q375" s="101" t="s">
        <v>156</v>
      </c>
      <c r="R375" s="98">
        <v>12.0</v>
      </c>
      <c r="S375" s="98">
        <v>0.0</v>
      </c>
      <c r="T375" s="98">
        <v>1.0</v>
      </c>
      <c r="U375" s="98">
        <v>0.0</v>
      </c>
      <c r="V375" s="98">
        <v>0.0</v>
      </c>
      <c r="W375" s="98">
        <v>0.0</v>
      </c>
      <c r="X375" s="98">
        <v>0.0</v>
      </c>
      <c r="Y375" s="98">
        <v>0.0</v>
      </c>
      <c r="Z375" s="98">
        <v>0.0</v>
      </c>
      <c r="AA375" s="98">
        <v>0.0</v>
      </c>
      <c r="AB375" s="98">
        <v>0.0</v>
      </c>
      <c r="AC375" s="98">
        <v>0.0</v>
      </c>
      <c r="AD375" s="98">
        <v>0.0</v>
      </c>
      <c r="AE375" s="98">
        <v>0.0</v>
      </c>
      <c r="AF375" s="98">
        <v>0.0</v>
      </c>
      <c r="AG375" s="98">
        <v>1.0</v>
      </c>
      <c r="AH375" s="98">
        <v>0.0</v>
      </c>
      <c r="AI375" s="98">
        <v>0.0</v>
      </c>
      <c r="AJ375" s="98">
        <v>0.0</v>
      </c>
      <c r="AK375" s="98">
        <v>0.0</v>
      </c>
      <c r="AL375" s="98">
        <v>0.0</v>
      </c>
      <c r="AM375" s="98">
        <v>0.0</v>
      </c>
      <c r="AN375" s="98">
        <v>0.0</v>
      </c>
      <c r="AO375" s="98">
        <v>0.0</v>
      </c>
      <c r="AP375" s="98">
        <v>4.0</v>
      </c>
      <c r="AQ375" s="98" t="s">
        <v>1544</v>
      </c>
      <c r="AR375" s="102">
        <v>46231.0</v>
      </c>
      <c r="AS375" s="83">
        <v>1112084.0</v>
      </c>
    </row>
    <row r="376" ht="15.75" customHeight="1">
      <c r="A376" s="111" t="s">
        <v>451</v>
      </c>
      <c r="B376" s="83" t="s">
        <v>1529</v>
      </c>
      <c r="C376" s="83" t="s">
        <v>68</v>
      </c>
      <c r="D376" s="112">
        <v>1111940.0</v>
      </c>
      <c r="E376" s="83"/>
      <c r="F376" s="83">
        <v>2.9306264E7</v>
      </c>
      <c r="G376" s="91" t="str">
        <f>IFERROR(__xludf.DUMMYFUNCTION("XLOOKUP(AS376,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INACIO TOSTA FILHO")</f>
        <v>COLÉGIO ESTADUAL INACIO TOSTA FILHO</v>
      </c>
      <c r="H376" s="119" t="s">
        <v>1545</v>
      </c>
      <c r="I376" s="91" t="s">
        <v>1546</v>
      </c>
      <c r="J376" s="83" t="s">
        <v>149</v>
      </c>
      <c r="K376" s="83" t="s">
        <v>150</v>
      </c>
      <c r="L376" s="83" t="s">
        <v>151</v>
      </c>
      <c r="M376" s="83" t="s">
        <v>152</v>
      </c>
      <c r="N376" s="98" t="s">
        <v>1547</v>
      </c>
      <c r="O376" s="98" t="s">
        <v>155</v>
      </c>
      <c r="P376" s="99" t="str">
        <f>IFERROR(__xludf.DUMMYFUNCTION("IFERROR(VLOOKUP(AS376,IMPORTRANGE(""https://docs.google.com/spreadsheets/d/1juPI-Fb8LD0YtltB2mlGEnp_R3UVu1t3wSFPzgCyHXE/edit?gid=0#gid=0"",""GERAL!A2:C""),3,0),""-"")"),"-")</f>
        <v>-</v>
      </c>
      <c r="Q376" s="98" t="s">
        <v>171</v>
      </c>
      <c r="R376" s="98">
        <v>12.0</v>
      </c>
      <c r="S376" s="98">
        <v>0.0</v>
      </c>
      <c r="T376" s="98">
        <v>0.0</v>
      </c>
      <c r="U376" s="98">
        <v>0.0</v>
      </c>
      <c r="V376" s="98">
        <v>0.0</v>
      </c>
      <c r="W376" s="98">
        <v>0.0</v>
      </c>
      <c r="X376" s="98">
        <v>0.0</v>
      </c>
      <c r="Y376" s="98">
        <v>0.0</v>
      </c>
      <c r="Z376" s="98">
        <v>0.0</v>
      </c>
      <c r="AA376" s="98">
        <v>0.0</v>
      </c>
      <c r="AB376" s="98">
        <v>0.0</v>
      </c>
      <c r="AC376" s="98">
        <v>0.0</v>
      </c>
      <c r="AD376" s="98">
        <v>0.0</v>
      </c>
      <c r="AE376" s="98">
        <v>0.0</v>
      </c>
      <c r="AF376" s="98">
        <v>0.0</v>
      </c>
      <c r="AG376" s="98">
        <v>1.0</v>
      </c>
      <c r="AH376" s="98">
        <v>0.0</v>
      </c>
      <c r="AI376" s="98">
        <v>0.0</v>
      </c>
      <c r="AJ376" s="98">
        <v>0.0</v>
      </c>
      <c r="AK376" s="98">
        <v>0.0</v>
      </c>
      <c r="AL376" s="98">
        <v>0.0</v>
      </c>
      <c r="AM376" s="98">
        <v>0.0</v>
      </c>
      <c r="AN376" s="98">
        <v>0.0</v>
      </c>
      <c r="AO376" s="98">
        <v>0.0</v>
      </c>
      <c r="AP376" s="98">
        <v>3.0</v>
      </c>
      <c r="AQ376" s="98" t="s">
        <v>1548</v>
      </c>
      <c r="AR376" s="102">
        <v>46231.0</v>
      </c>
      <c r="AS376" s="83">
        <v>1111940.0</v>
      </c>
    </row>
    <row r="377" ht="15.75" customHeight="1">
      <c r="A377" s="111" t="s">
        <v>451</v>
      </c>
      <c r="B377" s="83" t="s">
        <v>1529</v>
      </c>
      <c r="C377" s="83" t="s">
        <v>68</v>
      </c>
      <c r="D377" s="98">
        <v>1111738.0</v>
      </c>
      <c r="E377" s="83"/>
      <c r="F377" s="83">
        <v>2.9306205E7</v>
      </c>
      <c r="G377" s="91" t="str">
        <f>IFERROR(__xludf.DUMMYFUNCTION("XLOOKUP(AS377,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ADEUM HILÁRIO SAUER (ANTIGO C.E FELIX MENDONCA)")</f>
        <v>COLÉGIO ESTADUAL DE TEMPO INTEGRAL PROFESSOR ADEUM HILÁRIO SAUER (ANTIGO C.E FELIX MENDONCA)</v>
      </c>
      <c r="H377" s="119" t="s">
        <v>1549</v>
      </c>
      <c r="I377" s="91" t="s">
        <v>1550</v>
      </c>
      <c r="J377" s="136" t="s">
        <v>149</v>
      </c>
      <c r="K377" s="83" t="s">
        <v>150</v>
      </c>
      <c r="L377" s="83" t="s">
        <v>151</v>
      </c>
      <c r="M377" s="83" t="s">
        <v>230</v>
      </c>
      <c r="N377" s="98" t="s">
        <v>1551</v>
      </c>
      <c r="O377" s="98" t="s">
        <v>162</v>
      </c>
      <c r="P377" s="99" t="str">
        <f>IFERROR(__xludf.DUMMYFUNCTION("IFERROR(VLOOKUP(AS377,IMPORTRANGE(""https://docs.google.com/spreadsheets/d/1juPI-Fb8LD0YtltB2mlGEnp_R3UVu1t3wSFPzgCyHXE/edit?gid=0#gid=0"",""GERAL!A2:C""),3,0),""-"")"),"-")</f>
        <v>-</v>
      </c>
      <c r="Q377" s="101" t="s">
        <v>156</v>
      </c>
      <c r="R377" s="98">
        <v>24.0</v>
      </c>
      <c r="S377" s="98">
        <v>1.0</v>
      </c>
      <c r="T377" s="98">
        <v>5.0</v>
      </c>
      <c r="U377" s="98">
        <v>0.0</v>
      </c>
      <c r="V377" s="98">
        <v>1.0</v>
      </c>
      <c r="W377" s="98">
        <v>3.0</v>
      </c>
      <c r="X377" s="98">
        <v>1.0</v>
      </c>
      <c r="Y377" s="98">
        <v>1.0</v>
      </c>
      <c r="Z377" s="98">
        <v>1.0</v>
      </c>
      <c r="AA377" s="98">
        <v>0.0</v>
      </c>
      <c r="AB377" s="98">
        <v>1.0</v>
      </c>
      <c r="AC377" s="98">
        <v>0.0</v>
      </c>
      <c r="AD377" s="98">
        <v>0.0</v>
      </c>
      <c r="AE377" s="98">
        <v>0.0</v>
      </c>
      <c r="AF377" s="98">
        <v>1.0</v>
      </c>
      <c r="AG377" s="98">
        <v>0.0</v>
      </c>
      <c r="AH377" s="98">
        <v>0.0</v>
      </c>
      <c r="AI377" s="98">
        <v>0.0</v>
      </c>
      <c r="AJ377" s="98">
        <v>0.0</v>
      </c>
      <c r="AK377" s="98">
        <v>1.0</v>
      </c>
      <c r="AL377" s="98">
        <v>0.0</v>
      </c>
      <c r="AM377" s="98">
        <v>0.0</v>
      </c>
      <c r="AN377" s="98">
        <v>0.0</v>
      </c>
      <c r="AO377" s="98">
        <v>1.0</v>
      </c>
      <c r="AP377" s="98">
        <v>0.0</v>
      </c>
      <c r="AQ377" s="98" t="s">
        <v>1552</v>
      </c>
      <c r="AR377" s="102">
        <v>46231.0</v>
      </c>
      <c r="AS377" s="98">
        <v>1111738.0</v>
      </c>
    </row>
    <row r="378" ht="15.75" customHeight="1">
      <c r="A378" s="111" t="s">
        <v>451</v>
      </c>
      <c r="B378" s="83" t="s">
        <v>1529</v>
      </c>
      <c r="C378" s="83" t="s">
        <v>68</v>
      </c>
      <c r="D378" s="112">
        <v>1112149.0</v>
      </c>
      <c r="E378" s="83"/>
      <c r="F378" s="83">
        <v>2.9304296E7</v>
      </c>
      <c r="G378" s="91" t="str">
        <f>IFERROR(__xludf.DUMMYFUNCTION("XLOOKUP(AS378,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OSCAR MARINHO FALCÃO")</f>
        <v>COLÉGIO ESTADUAL DE TEMPO INTEGRAL OSCAR MARINHO FALCÃO</v>
      </c>
      <c r="H378" s="119" t="s">
        <v>1553</v>
      </c>
      <c r="I378" s="91" t="s">
        <v>1554</v>
      </c>
      <c r="J378" s="83" t="s">
        <v>149</v>
      </c>
      <c r="K378" s="83" t="s">
        <v>150</v>
      </c>
      <c r="L378" s="83" t="s">
        <v>151</v>
      </c>
      <c r="M378" s="83" t="s">
        <v>230</v>
      </c>
      <c r="N378" s="137" t="s">
        <v>1555</v>
      </c>
      <c r="O378" s="98" t="s">
        <v>155</v>
      </c>
      <c r="P378" s="99" t="str">
        <f>IFERROR(__xludf.DUMMYFUNCTION("IFERROR(VLOOKUP(AS378,IMPORTRANGE(""https://docs.google.com/spreadsheets/d/1juPI-Fb8LD0YtltB2mlGEnp_R3UVu1t3wSFPzgCyHXE/edit?gid=0#gid=0"",""GERAL!A2:C""),3,0),""-"")"),"-")</f>
        <v>-</v>
      </c>
      <c r="Q378" s="101" t="s">
        <v>156</v>
      </c>
      <c r="R378" s="98">
        <v>12.0</v>
      </c>
      <c r="S378" s="98">
        <v>0.0</v>
      </c>
      <c r="T378" s="98">
        <v>0.0</v>
      </c>
      <c r="U378" s="98">
        <v>0.0</v>
      </c>
      <c r="V378" s="98">
        <v>0.0</v>
      </c>
      <c r="W378" s="98">
        <v>0.0</v>
      </c>
      <c r="X378" s="98">
        <v>0.0</v>
      </c>
      <c r="Y378" s="98">
        <v>0.0</v>
      </c>
      <c r="Z378" s="98">
        <v>1.0</v>
      </c>
      <c r="AA378" s="98">
        <v>0.0</v>
      </c>
      <c r="AB378" s="98">
        <v>1.0</v>
      </c>
      <c r="AC378" s="98">
        <v>0.0</v>
      </c>
      <c r="AD378" s="98">
        <v>0.0</v>
      </c>
      <c r="AE378" s="98">
        <v>0.0</v>
      </c>
      <c r="AF378" s="98">
        <v>1.0</v>
      </c>
      <c r="AG378" s="98">
        <v>0.0</v>
      </c>
      <c r="AH378" s="98">
        <v>0.0</v>
      </c>
      <c r="AI378" s="98">
        <v>0.0</v>
      </c>
      <c r="AJ378" s="98">
        <v>1.0</v>
      </c>
      <c r="AK378" s="98">
        <v>0.0</v>
      </c>
      <c r="AL378" s="98">
        <v>0.0</v>
      </c>
      <c r="AM378" s="98">
        <v>0.0</v>
      </c>
      <c r="AN378" s="98">
        <v>0.0</v>
      </c>
      <c r="AO378" s="98">
        <v>0.0</v>
      </c>
      <c r="AP378" s="98">
        <v>1.0</v>
      </c>
      <c r="AQ378" s="98" t="s">
        <v>1556</v>
      </c>
      <c r="AR378" s="102">
        <v>46231.0</v>
      </c>
      <c r="AS378" s="83">
        <v>1112149.0</v>
      </c>
    </row>
    <row r="379" ht="15.75" customHeight="1">
      <c r="A379" s="111" t="s">
        <v>451</v>
      </c>
      <c r="B379" s="83" t="s">
        <v>1529</v>
      </c>
      <c r="C379" s="83" t="s">
        <v>68</v>
      </c>
      <c r="D379" s="112">
        <v>1112009.0</v>
      </c>
      <c r="E379" s="83"/>
      <c r="F379" s="83">
        <v>2.930623E7</v>
      </c>
      <c r="G379" s="91" t="str">
        <f>IFERROR(__xludf.DUMMYFUNCTION("XLOOKUP(AS379,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ADONIAS FILHO")</f>
        <v>COLÉGIO ESTADUAL ADONIAS FILHO</v>
      </c>
      <c r="H379" s="119" t="s">
        <v>1557</v>
      </c>
      <c r="I379" s="91" t="s">
        <v>1558</v>
      </c>
      <c r="J379" s="83" t="s">
        <v>149</v>
      </c>
      <c r="K379" s="83" t="s">
        <v>150</v>
      </c>
      <c r="L379" s="83" t="s">
        <v>151</v>
      </c>
      <c r="M379" s="83" t="s">
        <v>76</v>
      </c>
      <c r="N379" s="98" t="s">
        <v>1559</v>
      </c>
      <c r="O379" s="98" t="s">
        <v>155</v>
      </c>
      <c r="P379" s="99" t="str">
        <f>IFERROR(__xludf.DUMMYFUNCTION("IFERROR(VLOOKUP(AS379,IMPORTRANGE(""https://docs.google.com/spreadsheets/d/1juPI-Fb8LD0YtltB2mlGEnp_R3UVu1t3wSFPzgCyHXE/edit?gid=0#gid=0"",""GERAL!A2:C""),3,0),""-"")"),"-")</f>
        <v>-</v>
      </c>
      <c r="Q379" s="101" t="s">
        <v>156</v>
      </c>
      <c r="R379" s="98">
        <v>8.0</v>
      </c>
      <c r="S379" s="98">
        <v>1.0</v>
      </c>
      <c r="T379" s="98">
        <v>1.0</v>
      </c>
      <c r="U379" s="98">
        <v>0.0</v>
      </c>
      <c r="V379" s="98">
        <v>0.0</v>
      </c>
      <c r="W379" s="98">
        <v>1.0</v>
      </c>
      <c r="X379" s="98">
        <v>0.0</v>
      </c>
      <c r="Y379" s="98">
        <v>0.0</v>
      </c>
      <c r="Z379" s="98">
        <v>0.0</v>
      </c>
      <c r="AA379" s="98">
        <v>0.0</v>
      </c>
      <c r="AB379" s="98">
        <v>0.0</v>
      </c>
      <c r="AC379" s="98">
        <v>0.0</v>
      </c>
      <c r="AD379" s="98">
        <v>0.0</v>
      </c>
      <c r="AE379" s="98">
        <v>0.0</v>
      </c>
      <c r="AF379" s="98">
        <v>0.0</v>
      </c>
      <c r="AG379" s="98">
        <v>0.0</v>
      </c>
      <c r="AH379" s="98">
        <v>0.0</v>
      </c>
      <c r="AI379" s="98">
        <v>0.0</v>
      </c>
      <c r="AJ379" s="98">
        <v>0.0</v>
      </c>
      <c r="AK379" s="98">
        <v>0.0</v>
      </c>
      <c r="AL379" s="98">
        <v>0.0</v>
      </c>
      <c r="AM379" s="98">
        <v>0.0</v>
      </c>
      <c r="AN379" s="98">
        <v>0.0</v>
      </c>
      <c r="AO379" s="98">
        <v>0.0</v>
      </c>
      <c r="AP379" s="98">
        <v>3.0</v>
      </c>
      <c r="AQ379" s="98" t="s">
        <v>1560</v>
      </c>
      <c r="AR379" s="102">
        <v>46231.0</v>
      </c>
      <c r="AS379" s="83">
        <v>1112009.0</v>
      </c>
    </row>
    <row r="380" ht="15.75" customHeight="1">
      <c r="A380" s="111" t="s">
        <v>451</v>
      </c>
      <c r="B380" s="83" t="s">
        <v>1529</v>
      </c>
      <c r="C380" s="83" t="s">
        <v>68</v>
      </c>
      <c r="D380" s="112">
        <v>1112211.0</v>
      </c>
      <c r="E380" s="83"/>
      <c r="F380" s="83">
        <v>2.9304237E7</v>
      </c>
      <c r="G380" s="91" t="str">
        <f>IFERROR(__xludf.DUMMYFUNCTION("XLOOKUP(AS380,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DA POLICIA MILITAR - CPM ANTONIO CARLOS MAGALHAES")</f>
        <v>COLÉGIO DA POLICIA MILITAR - CPM ANTONIO CARLOS MAGALHAES</v>
      </c>
      <c r="H380" s="119" t="s">
        <v>1561</v>
      </c>
      <c r="I380" s="91" t="s">
        <v>1562</v>
      </c>
      <c r="J380" s="83" t="s">
        <v>1563</v>
      </c>
      <c r="K380" s="83" t="s">
        <v>150</v>
      </c>
      <c r="L380" s="83" t="s">
        <v>151</v>
      </c>
      <c r="M380" s="83" t="s">
        <v>152</v>
      </c>
      <c r="N380" s="98" t="s">
        <v>1564</v>
      </c>
      <c r="O380" s="98" t="s">
        <v>155</v>
      </c>
      <c r="P380" s="99" t="str">
        <f>IFERROR(__xludf.DUMMYFUNCTION("IFERROR(VLOOKUP(AS380,IMPORTRANGE(""https://docs.google.com/spreadsheets/d/1juPI-Fb8LD0YtltB2mlGEnp_R3UVu1t3wSFPzgCyHXE/edit?gid=0#gid=0"",""GERAL!A2:C""),3,0),""-"")"),"-")</f>
        <v>-</v>
      </c>
      <c r="Q380" s="101" t="s">
        <v>156</v>
      </c>
      <c r="R380" s="98">
        <v>16.0</v>
      </c>
      <c r="S380" s="98">
        <v>1.0</v>
      </c>
      <c r="T380" s="98">
        <v>0.0</v>
      </c>
      <c r="U380" s="98">
        <v>0.0</v>
      </c>
      <c r="V380" s="98">
        <v>0.0</v>
      </c>
      <c r="W380" s="98">
        <v>0.0</v>
      </c>
      <c r="X380" s="98">
        <v>0.0</v>
      </c>
      <c r="Y380" s="98">
        <v>0.0</v>
      </c>
      <c r="Z380" s="98">
        <v>0.0</v>
      </c>
      <c r="AA380" s="98">
        <v>1.0</v>
      </c>
      <c r="AB380" s="98">
        <v>0.0</v>
      </c>
      <c r="AC380" s="98">
        <v>0.0</v>
      </c>
      <c r="AD380" s="98">
        <v>0.0</v>
      </c>
      <c r="AE380" s="98">
        <v>0.0</v>
      </c>
      <c r="AF380" s="98">
        <v>0.0</v>
      </c>
      <c r="AG380" s="98">
        <v>1.0</v>
      </c>
      <c r="AH380" s="98">
        <v>0.0</v>
      </c>
      <c r="AI380" s="98">
        <v>0.0</v>
      </c>
      <c r="AJ380" s="98">
        <v>0.0</v>
      </c>
      <c r="AK380" s="98">
        <v>0.0</v>
      </c>
      <c r="AL380" s="98">
        <v>0.0</v>
      </c>
      <c r="AM380" s="98">
        <v>0.0</v>
      </c>
      <c r="AN380" s="98">
        <v>0.0</v>
      </c>
      <c r="AO380" s="98">
        <v>0.0</v>
      </c>
      <c r="AP380" s="98">
        <v>3.0</v>
      </c>
      <c r="AQ380" s="98" t="s">
        <v>1565</v>
      </c>
      <c r="AR380" s="102">
        <v>46231.0</v>
      </c>
      <c r="AS380" s="83">
        <v>1112211.0</v>
      </c>
    </row>
    <row r="381" ht="15.75" customHeight="1">
      <c r="A381" s="111" t="s">
        <v>451</v>
      </c>
      <c r="B381" s="83" t="s">
        <v>1529</v>
      </c>
      <c r="C381" s="83" t="s">
        <v>68</v>
      </c>
      <c r="D381" s="112">
        <v>1112092.0</v>
      </c>
      <c r="E381" s="83"/>
      <c r="F381" s="83">
        <v>2.9304377E7</v>
      </c>
      <c r="G381" s="91" t="str">
        <f>IFERROR(__xludf.DUMMYFUNCTION("XLOOKUP(AS381,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EM BIOTECNOLOGIA E SAUDE")</f>
        <v>CENTRO ESTADUAL DE EDUCACAO PROFISSIONAL EM BIOTECNOLOGIA E SAUDE</v>
      </c>
      <c r="H381" s="114" t="s">
        <v>1566</v>
      </c>
      <c r="I381" s="91" t="s">
        <v>1567</v>
      </c>
      <c r="J381" s="83" t="s">
        <v>149</v>
      </c>
      <c r="K381" s="83" t="s">
        <v>150</v>
      </c>
      <c r="L381" s="83" t="s">
        <v>151</v>
      </c>
      <c r="M381" s="83" t="s">
        <v>230</v>
      </c>
      <c r="N381" s="98" t="s">
        <v>1568</v>
      </c>
      <c r="O381" s="98" t="s">
        <v>155</v>
      </c>
      <c r="P381" s="99" t="str">
        <f>IFERROR(__xludf.DUMMYFUNCTION("IFERROR(VLOOKUP(AS381,IMPORTRANGE(""https://docs.google.com/spreadsheets/d/1juPI-Fb8LD0YtltB2mlGEnp_R3UVu1t3wSFPzgCyHXE/edit?gid=0#gid=0"",""GERAL!A2:C""),3,0),""-"")"),"-")</f>
        <v>-</v>
      </c>
      <c r="Q381" s="98" t="s">
        <v>171</v>
      </c>
      <c r="R381" s="98">
        <v>15.0</v>
      </c>
      <c r="S381" s="98">
        <v>0.0</v>
      </c>
      <c r="T381" s="98">
        <v>4.0</v>
      </c>
      <c r="U381" s="98">
        <v>1.0</v>
      </c>
      <c r="V381" s="98">
        <v>1.0</v>
      </c>
      <c r="W381" s="98">
        <v>8.0</v>
      </c>
      <c r="X381" s="98">
        <v>1.0</v>
      </c>
      <c r="Y381" s="98">
        <v>0.0</v>
      </c>
      <c r="Z381" s="98">
        <v>0.0</v>
      </c>
      <c r="AA381" s="98">
        <v>1.0</v>
      </c>
      <c r="AB381" s="98">
        <v>1.0</v>
      </c>
      <c r="AC381" s="98">
        <v>0.0</v>
      </c>
      <c r="AD381" s="98">
        <v>0.0</v>
      </c>
      <c r="AE381" s="98">
        <v>0.0</v>
      </c>
      <c r="AF381" s="98">
        <v>1.0</v>
      </c>
      <c r="AG381" s="98">
        <v>1.0</v>
      </c>
      <c r="AH381" s="98">
        <v>0.0</v>
      </c>
      <c r="AI381" s="98">
        <v>0.0</v>
      </c>
      <c r="AJ381" s="98">
        <v>1.0</v>
      </c>
      <c r="AK381" s="98">
        <v>0.0</v>
      </c>
      <c r="AL381" s="98">
        <v>0.0</v>
      </c>
      <c r="AM381" s="98">
        <v>0.0</v>
      </c>
      <c r="AN381" s="98">
        <v>0.0</v>
      </c>
      <c r="AO381" s="98">
        <v>0.0</v>
      </c>
      <c r="AP381" s="98">
        <v>0.0</v>
      </c>
      <c r="AQ381" s="98" t="s">
        <v>1569</v>
      </c>
      <c r="AR381" s="102">
        <v>46231.0</v>
      </c>
      <c r="AS381" s="83">
        <v>1112092.0</v>
      </c>
    </row>
    <row r="382" ht="15.75" customHeight="1">
      <c r="A382" s="111" t="s">
        <v>451</v>
      </c>
      <c r="B382" s="83" t="s">
        <v>1529</v>
      </c>
      <c r="C382" s="83" t="s">
        <v>68</v>
      </c>
      <c r="D382" s="112">
        <v>1146698.0</v>
      </c>
      <c r="E382" s="83"/>
      <c r="F382" s="83">
        <v>2.9305373E7</v>
      </c>
      <c r="G382" s="91" t="str">
        <f>IFERROR(__xludf.DUMMYFUNCTION("XLOOKUP(AS382,
IMPORTRANGE(""https://docs.google.com/spreadsheets/d/1YM-djuOLXomrZ9W0B4TyIBsVWnXY4EIOFD9HY-qGfv0/edit?usp=sharing"",""GERAL!BG5:BG""),
IMPORTRANGE(""https://docs.google.com/spreadsheets/d/1YM-djuOLXomrZ9W0B4TyIBsVWnXY4EIOFD9HY-qGfv0/edit?u"&amp;"sp=sharing"",""GERAL!G5:G""),
""CÓD. SEC NÃO ENCONTRADO NA PLANILHA DE MATRÍCULA"")"),"CENTRO DE APOIO PEDAGÓGICO ESPECIALIZADO - GRAPIÚNA")</f>
        <v>CENTRO DE APOIO PEDAGÓGICO ESPECIALIZADO - GRAPIÚNA</v>
      </c>
      <c r="H382" s="119" t="s">
        <v>1570</v>
      </c>
      <c r="I382" s="91" t="s">
        <v>1571</v>
      </c>
      <c r="J382" s="83" t="s">
        <v>1572</v>
      </c>
      <c r="K382" s="83" t="s">
        <v>150</v>
      </c>
      <c r="L382" s="83" t="s">
        <v>151</v>
      </c>
      <c r="M382" s="83" t="s">
        <v>230</v>
      </c>
      <c r="N382" s="128" t="s">
        <v>171</v>
      </c>
      <c r="O382" s="98" t="s">
        <v>155</v>
      </c>
      <c r="P382" s="99" t="str">
        <f>IFERROR(__xludf.DUMMYFUNCTION("IFERROR(VLOOKUP(AS382,IMPORTRANGE(""https://docs.google.com/spreadsheets/d/1juPI-Fb8LD0YtltB2mlGEnp_R3UVu1t3wSFPzgCyHXE/edit?gid=0#gid=0"",""GERAL!A2:C""),3,0),""-"")"),"-")</f>
        <v>-</v>
      </c>
      <c r="Q382" s="98" t="s">
        <v>171</v>
      </c>
      <c r="R382" s="98">
        <v>11.0</v>
      </c>
      <c r="S382" s="98" t="s">
        <v>171</v>
      </c>
      <c r="T382" s="98" t="s">
        <v>171</v>
      </c>
      <c r="U382" s="98" t="s">
        <v>171</v>
      </c>
      <c r="V382" s="98" t="s">
        <v>171</v>
      </c>
      <c r="W382" s="98" t="s">
        <v>171</v>
      </c>
      <c r="X382" s="98" t="s">
        <v>171</v>
      </c>
      <c r="Y382" s="98" t="s">
        <v>171</v>
      </c>
      <c r="Z382" s="98" t="s">
        <v>171</v>
      </c>
      <c r="AA382" s="98" t="s">
        <v>171</v>
      </c>
      <c r="AB382" s="98" t="s">
        <v>171</v>
      </c>
      <c r="AC382" s="98" t="s">
        <v>171</v>
      </c>
      <c r="AD382" s="98" t="s">
        <v>171</v>
      </c>
      <c r="AE382" s="98" t="s">
        <v>171</v>
      </c>
      <c r="AF382" s="98" t="s">
        <v>171</v>
      </c>
      <c r="AG382" s="98" t="s">
        <v>171</v>
      </c>
      <c r="AH382" s="98" t="s">
        <v>171</v>
      </c>
      <c r="AI382" s="98" t="s">
        <v>171</v>
      </c>
      <c r="AJ382" s="98" t="s">
        <v>171</v>
      </c>
      <c r="AK382" s="98" t="s">
        <v>171</v>
      </c>
      <c r="AL382" s="98" t="s">
        <v>171</v>
      </c>
      <c r="AM382" s="98" t="s">
        <v>171</v>
      </c>
      <c r="AN382" s="98" t="s">
        <v>171</v>
      </c>
      <c r="AO382" s="98" t="s">
        <v>171</v>
      </c>
      <c r="AP382" s="98" t="s">
        <v>171</v>
      </c>
      <c r="AQ382" s="98" t="s">
        <v>171</v>
      </c>
      <c r="AR382" s="102">
        <v>46231.0</v>
      </c>
      <c r="AS382" s="83">
        <v>1146698.0</v>
      </c>
    </row>
    <row r="383" ht="15.75" customHeight="1">
      <c r="A383" s="111" t="s">
        <v>451</v>
      </c>
      <c r="B383" s="83" t="s">
        <v>1529</v>
      </c>
      <c r="C383" s="83" t="s">
        <v>164</v>
      </c>
      <c r="D383" s="208">
        <v>1112009.0</v>
      </c>
      <c r="E383" s="189">
        <v>1178412.0</v>
      </c>
      <c r="F383" s="83"/>
      <c r="G383" s="91" t="str">
        <f>IFERROR(__xludf.DUMMYFUNCTION("XLOOKUP(AS383,
IMPORTRANGE(""https://docs.google.com/spreadsheets/d/1YM-djuOLXomrZ9W0B4TyIBsVWnXY4EIOFD9HY-qGfv0/edit?usp=sharing"",""GERAL!BG5:BG""),
IMPORTRANGE(""https://docs.google.com/spreadsheets/d/1YM-djuOLXomrZ9W0B4TyIBsVWnXY4EIOFD9HY-qGfv0/edit?u"&amp;"sp=sharing"",""GERAL!G5:G""),
""CÓD. SEC NÃO ENCONTRADO NA PLANILHA DE MATRÍCULA"")"),"ANEXO AO COLÉGIO ESTADUAL ADONIAS FILHO - CONJUNTO PENAL")</f>
        <v>ANEXO AO COLÉGIO ESTADUAL ADONIAS FILHO - CONJUNTO PENAL</v>
      </c>
      <c r="H383" s="209" t="s">
        <v>1574</v>
      </c>
      <c r="I383" s="91" t="s">
        <v>1575</v>
      </c>
      <c r="J383" s="136" t="s">
        <v>149</v>
      </c>
      <c r="K383" s="83" t="s">
        <v>822</v>
      </c>
      <c r="L383" s="83" t="s">
        <v>168</v>
      </c>
      <c r="M383" s="83" t="s">
        <v>169</v>
      </c>
      <c r="N383" s="115" t="s">
        <v>170</v>
      </c>
      <c r="O383" s="98" t="s">
        <v>155</v>
      </c>
      <c r="P383" s="99" t="str">
        <f>IFERROR(__xludf.DUMMYFUNCTION("IFERROR(VLOOKUP(AS383,IMPORTRANGE(""https://docs.google.com/spreadsheets/d/1juPI-Fb8LD0YtltB2mlGEnp_R3UVu1t3wSFPzgCyHXE/edit?gid=0#gid=0"",""GERAL!A2:C""),3,0),""-"")"),"-")</f>
        <v>-</v>
      </c>
      <c r="Q383" s="98" t="s">
        <v>171</v>
      </c>
      <c r="R383" s="98" t="s">
        <v>171</v>
      </c>
      <c r="S383" s="98" t="s">
        <v>171</v>
      </c>
      <c r="T383" s="98" t="s">
        <v>171</v>
      </c>
      <c r="U383" s="98" t="s">
        <v>171</v>
      </c>
      <c r="V383" s="98" t="s">
        <v>171</v>
      </c>
      <c r="W383" s="98" t="s">
        <v>171</v>
      </c>
      <c r="X383" s="98" t="s">
        <v>171</v>
      </c>
      <c r="Y383" s="98" t="s">
        <v>171</v>
      </c>
      <c r="Z383" s="98" t="s">
        <v>171</v>
      </c>
      <c r="AA383" s="98" t="s">
        <v>171</v>
      </c>
      <c r="AB383" s="98" t="s">
        <v>171</v>
      </c>
      <c r="AC383" s="98" t="s">
        <v>171</v>
      </c>
      <c r="AD383" s="98" t="s">
        <v>171</v>
      </c>
      <c r="AE383" s="98" t="s">
        <v>171</v>
      </c>
      <c r="AF383" s="98" t="s">
        <v>171</v>
      </c>
      <c r="AG383" s="98" t="s">
        <v>171</v>
      </c>
      <c r="AH383" s="98" t="s">
        <v>171</v>
      </c>
      <c r="AI383" s="98" t="s">
        <v>171</v>
      </c>
      <c r="AJ383" s="98" t="s">
        <v>171</v>
      </c>
      <c r="AK383" s="98" t="s">
        <v>171</v>
      </c>
      <c r="AL383" s="98" t="s">
        <v>171</v>
      </c>
      <c r="AM383" s="98" t="s">
        <v>171</v>
      </c>
      <c r="AN383" s="98" t="s">
        <v>171</v>
      </c>
      <c r="AO383" s="98" t="s">
        <v>171</v>
      </c>
      <c r="AP383" s="98" t="s">
        <v>171</v>
      </c>
      <c r="AQ383" s="98" t="s">
        <v>171</v>
      </c>
      <c r="AR383" s="102">
        <v>46231.0</v>
      </c>
      <c r="AS383" s="83">
        <v>1178412.0</v>
      </c>
    </row>
    <row r="384" ht="15.75" customHeight="1">
      <c r="A384" s="111" t="s">
        <v>451</v>
      </c>
      <c r="B384" s="83" t="s">
        <v>1576</v>
      </c>
      <c r="C384" s="83" t="s">
        <v>68</v>
      </c>
      <c r="D384" s="112">
        <v>1178751.0</v>
      </c>
      <c r="E384" s="237"/>
      <c r="F384" s="237">
        <v>2.9449219E7</v>
      </c>
      <c r="G384" s="91" t="str">
        <f>IFERROR(__xludf.DUMMYFUNCTION("XLOOKUP(AS384,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PROFESSORA LÚCIA MARIA BATISTA DA SILVA")</f>
        <v>COLÉGIO ESTADUAL DO CAMPO PROFESSORA LÚCIA MARIA BATISTA DA SILVA</v>
      </c>
      <c r="H384" s="184" t="s">
        <v>1577</v>
      </c>
      <c r="I384" s="91" t="s">
        <v>1578</v>
      </c>
      <c r="J384" s="214" t="s">
        <v>1579</v>
      </c>
      <c r="K384" s="83" t="s">
        <v>1460</v>
      </c>
      <c r="L384" s="83" t="s">
        <v>168</v>
      </c>
      <c r="M384" s="83" t="s">
        <v>76</v>
      </c>
      <c r="N384" s="98" t="s">
        <v>1580</v>
      </c>
      <c r="O384" s="98" t="s">
        <v>155</v>
      </c>
      <c r="P384" s="99" t="str">
        <f>IFERROR(__xludf.DUMMYFUNCTION("IFERROR(VLOOKUP(AS384,IMPORTRANGE(""https://docs.google.com/spreadsheets/d/1juPI-Fb8LD0YtltB2mlGEnp_R3UVu1t3wSFPzgCyHXE/edit?gid=0#gid=0"",""GERAL!A2:C""),3,0),""-"")"),"CAMPO")</f>
        <v>CAMPO</v>
      </c>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v>1178751.0</v>
      </c>
    </row>
    <row r="385" ht="15.75" customHeight="1">
      <c r="A385" s="111" t="s">
        <v>451</v>
      </c>
      <c r="B385" s="83" t="s">
        <v>1576</v>
      </c>
      <c r="C385" s="83" t="s">
        <v>68</v>
      </c>
      <c r="D385" s="84">
        <v>1111347.0</v>
      </c>
      <c r="E385" s="82"/>
      <c r="F385" s="83">
        <v>2.930676E7</v>
      </c>
      <c r="G385" s="91" t="str">
        <f>IFERROR(__xludf.DUMMYFUNCTION("XLOOKUP(AS385,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AURELINO LEAL ")</f>
        <v>COLÉGIO ESTADUAL DE TEMPO INTEGRAL AURELINO LEAL </v>
      </c>
      <c r="H385" s="244" t="s">
        <v>1581</v>
      </c>
      <c r="I385" s="91" t="s">
        <v>1582</v>
      </c>
      <c r="J385" s="83" t="s">
        <v>149</v>
      </c>
      <c r="K385" s="83" t="s">
        <v>150</v>
      </c>
      <c r="L385" s="83" t="s">
        <v>151</v>
      </c>
      <c r="M385" s="83" t="s">
        <v>230</v>
      </c>
      <c r="N385" s="98" t="s">
        <v>1583</v>
      </c>
      <c r="O385" s="98" t="s">
        <v>162</v>
      </c>
      <c r="P385" s="99" t="str">
        <f>IFERROR(__xludf.DUMMYFUNCTION("IFERROR(VLOOKUP(AS385,IMPORTRANGE(""https://docs.google.com/spreadsheets/d/1juPI-Fb8LD0YtltB2mlGEnp_R3UVu1t3wSFPzgCyHXE/edit?gid=0#gid=0"",""GERAL!A2:C""),3,0),""-"")"),"-")</f>
        <v>-</v>
      </c>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v>1111347.0</v>
      </c>
    </row>
    <row r="386" ht="15.75" customHeight="1">
      <c r="A386" s="111" t="s">
        <v>451</v>
      </c>
      <c r="B386" s="83" t="s">
        <v>1584</v>
      </c>
      <c r="C386" s="83" t="s">
        <v>68</v>
      </c>
      <c r="D386" s="112">
        <v>1112262.0</v>
      </c>
      <c r="E386" s="83"/>
      <c r="F386" s="83">
        <v>2.9308046E7</v>
      </c>
      <c r="G386" s="91" t="str">
        <f>IFERROR(__xludf.DUMMYFUNCTION("XLOOKUP(AS386,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CORDEIRO DE MIRANDA")</f>
        <v>COLÉGIO ESTADUAL DE TEMPO INTEGRAL CORDEIRO DE MIRANDA</v>
      </c>
      <c r="H386" s="119" t="s">
        <v>1585</v>
      </c>
      <c r="I386" s="91" t="s">
        <v>1586</v>
      </c>
      <c r="J386" s="83" t="s">
        <v>149</v>
      </c>
      <c r="K386" s="83" t="s">
        <v>150</v>
      </c>
      <c r="L386" s="83" t="s">
        <v>151</v>
      </c>
      <c r="M386" s="83" t="s">
        <v>169</v>
      </c>
      <c r="N386" s="98" t="s">
        <v>1587</v>
      </c>
      <c r="O386" s="98" t="s">
        <v>176</v>
      </c>
      <c r="P386" s="99" t="str">
        <f>IFERROR(__xludf.DUMMYFUNCTION("IFERROR(VLOOKUP(AS386,IMPORTRANGE(""https://docs.google.com/spreadsheets/d/1juPI-Fb8LD0YtltB2mlGEnp_R3UVu1t3wSFPzgCyHXE/edit?gid=0#gid=0"",""GERAL!A2:C""),3,0),""-"")"),"-")</f>
        <v>-</v>
      </c>
      <c r="Q386" s="101" t="s">
        <v>156</v>
      </c>
      <c r="R386" s="98">
        <v>8.0</v>
      </c>
      <c r="S386" s="98">
        <v>0.0</v>
      </c>
      <c r="T386" s="98">
        <v>0.0</v>
      </c>
      <c r="U386" s="98">
        <v>0.0</v>
      </c>
      <c r="V386" s="98">
        <v>1.0</v>
      </c>
      <c r="W386" s="98">
        <v>0.0</v>
      </c>
      <c r="X386" s="98">
        <v>0.0</v>
      </c>
      <c r="Y386" s="98">
        <v>0.0</v>
      </c>
      <c r="Z386" s="98">
        <v>1.0</v>
      </c>
      <c r="AA386" s="98">
        <v>0.0</v>
      </c>
      <c r="AB386" s="98">
        <v>1.0</v>
      </c>
      <c r="AC386" s="98">
        <v>0.0</v>
      </c>
      <c r="AD386" s="98">
        <v>0.0</v>
      </c>
      <c r="AE386" s="98">
        <v>0.0</v>
      </c>
      <c r="AF386" s="98">
        <v>1.0</v>
      </c>
      <c r="AG386" s="98">
        <v>0.0</v>
      </c>
      <c r="AH386" s="98">
        <v>0.0</v>
      </c>
      <c r="AI386" s="98">
        <v>0.0</v>
      </c>
      <c r="AJ386" s="98">
        <v>0.0</v>
      </c>
      <c r="AK386" s="98">
        <v>1.0</v>
      </c>
      <c r="AL386" s="98">
        <v>0.0</v>
      </c>
      <c r="AM386" s="98">
        <v>0.0</v>
      </c>
      <c r="AN386" s="98">
        <v>0.0</v>
      </c>
      <c r="AO386" s="98">
        <v>0.0</v>
      </c>
      <c r="AP386" s="98">
        <v>3.0</v>
      </c>
      <c r="AQ386" s="98" t="s">
        <v>1588</v>
      </c>
      <c r="AR386" s="102">
        <v>46225.0</v>
      </c>
      <c r="AS386" s="83">
        <v>1112262.0</v>
      </c>
    </row>
    <row r="387" ht="15.75" customHeight="1">
      <c r="A387" s="111" t="s">
        <v>451</v>
      </c>
      <c r="B387" s="83" t="s">
        <v>1584</v>
      </c>
      <c r="C387" s="83" t="s">
        <v>164</v>
      </c>
      <c r="D387" s="112">
        <v>1112262.0</v>
      </c>
      <c r="E387" s="83">
        <v>1178505.0</v>
      </c>
      <c r="F387" s="83"/>
      <c r="G387" s="91" t="str">
        <f>IFERROR(__xludf.DUMMYFUNCTION("XLOOKUP(AS387,
IMPORTRANGE(""https://docs.google.com/spreadsheets/d/1YM-djuOLXomrZ9W0B4TyIBsVWnXY4EIOFD9HY-qGfv0/edit?usp=sharing"",""GERAL!BG5:BG""),
IMPORTRANGE(""https://docs.google.com/spreadsheets/d/1YM-djuOLXomrZ9W0B4TyIBsVWnXY4EIOFD9HY-qGfv0/edit?u"&amp;"sp=sharing"",""GERAL!G5:G""),
""CÓD. SEC NÃO ENCONTRADO NA PLANILHA DE MATRÍCULA"")"),"ANEXO COLÉGIO ESTADUAL CORDEIRO DE MIRANDA - DISTRITO DE PALMIRA")</f>
        <v>ANEXO COLÉGIO ESTADUAL CORDEIRO DE MIRANDA - DISTRITO DE PALMIRA</v>
      </c>
      <c r="H387" s="119" t="s">
        <v>1589</v>
      </c>
      <c r="I387" s="91" t="s">
        <v>1590</v>
      </c>
      <c r="J387" s="83" t="s">
        <v>149</v>
      </c>
      <c r="K387" s="83" t="s">
        <v>471</v>
      </c>
      <c r="L387" s="83" t="s">
        <v>151</v>
      </c>
      <c r="M387" s="83" t="s">
        <v>169</v>
      </c>
      <c r="N387" s="115" t="s">
        <v>170</v>
      </c>
      <c r="O387" s="98" t="s">
        <v>155</v>
      </c>
      <c r="P387" s="99" t="str">
        <f>IFERROR(__xludf.DUMMYFUNCTION("IFERROR(VLOOKUP(AS387,IMPORTRANGE(""https://docs.google.com/spreadsheets/d/1juPI-Fb8LD0YtltB2mlGEnp_R3UVu1t3wSFPzgCyHXE/edit?gid=0#gid=0"",""GERAL!A2:C""),3,0),""-"")"),"CAMPO")</f>
        <v>CAMPO</v>
      </c>
      <c r="Q387" s="98" t="s">
        <v>171</v>
      </c>
      <c r="R387" s="98">
        <v>3.0</v>
      </c>
      <c r="S387" s="98" t="s">
        <v>171</v>
      </c>
      <c r="T387" s="98" t="s">
        <v>171</v>
      </c>
      <c r="U387" s="98" t="s">
        <v>171</v>
      </c>
      <c r="V387" s="98" t="s">
        <v>171</v>
      </c>
      <c r="W387" s="98" t="s">
        <v>171</v>
      </c>
      <c r="X387" s="98" t="s">
        <v>171</v>
      </c>
      <c r="Y387" s="98" t="s">
        <v>171</v>
      </c>
      <c r="Z387" s="98" t="s">
        <v>171</v>
      </c>
      <c r="AA387" s="98" t="s">
        <v>171</v>
      </c>
      <c r="AB387" s="98" t="s">
        <v>171</v>
      </c>
      <c r="AC387" s="98" t="s">
        <v>171</v>
      </c>
      <c r="AD387" s="98" t="s">
        <v>171</v>
      </c>
      <c r="AE387" s="98" t="s">
        <v>171</v>
      </c>
      <c r="AF387" s="98" t="s">
        <v>171</v>
      </c>
      <c r="AG387" s="98" t="s">
        <v>171</v>
      </c>
      <c r="AH387" s="98" t="s">
        <v>171</v>
      </c>
      <c r="AI387" s="98" t="s">
        <v>171</v>
      </c>
      <c r="AJ387" s="98" t="s">
        <v>171</v>
      </c>
      <c r="AK387" s="98" t="s">
        <v>171</v>
      </c>
      <c r="AL387" s="98" t="s">
        <v>171</v>
      </c>
      <c r="AM387" s="98" t="s">
        <v>171</v>
      </c>
      <c r="AN387" s="98" t="s">
        <v>171</v>
      </c>
      <c r="AO387" s="98" t="s">
        <v>171</v>
      </c>
      <c r="AP387" s="98" t="s">
        <v>171</v>
      </c>
      <c r="AQ387" s="98" t="s">
        <v>171</v>
      </c>
      <c r="AR387" s="102">
        <v>46225.0</v>
      </c>
      <c r="AS387" s="83">
        <v>1178505.0</v>
      </c>
    </row>
    <row r="388" ht="15.75" customHeight="1">
      <c r="A388" s="111" t="s">
        <v>451</v>
      </c>
      <c r="B388" s="83" t="s">
        <v>1591</v>
      </c>
      <c r="C388" s="83" t="s">
        <v>68</v>
      </c>
      <c r="D388" s="112">
        <v>1112408.0</v>
      </c>
      <c r="E388" s="83"/>
      <c r="F388" s="83">
        <v>2.9308747E7</v>
      </c>
      <c r="G388" s="91" t="str">
        <f>IFERROR(__xludf.DUMMYFUNCTION("XLOOKUP(AS388,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ITAJUÍPE 
(ANTIGO POLIVALENTE)")</f>
        <v>COLÉGIO ESTADUAL DE TEMPO INTEGRAL DE ITAJUÍPE 
(ANTIGO POLIVALENTE)</v>
      </c>
      <c r="H388" s="119" t="s">
        <v>1592</v>
      </c>
      <c r="I388" s="91" t="s">
        <v>1593</v>
      </c>
      <c r="J388" s="83" t="s">
        <v>149</v>
      </c>
      <c r="K388" s="83" t="s">
        <v>150</v>
      </c>
      <c r="L388" s="83" t="s">
        <v>151</v>
      </c>
      <c r="M388" s="83" t="s">
        <v>152</v>
      </c>
      <c r="N388" s="98" t="s">
        <v>1594</v>
      </c>
      <c r="O388" s="98" t="s">
        <v>155</v>
      </c>
      <c r="P388" s="99" t="str">
        <f>IFERROR(__xludf.DUMMYFUNCTION("IFERROR(VLOOKUP(AS388,IMPORTRANGE(""https://docs.google.com/spreadsheets/d/1juPI-Fb8LD0YtltB2mlGEnp_R3UVu1t3wSFPzgCyHXE/edit?gid=0#gid=0"",""GERAL!A2:C""),3,0),""-"")"),"-")</f>
        <v>-</v>
      </c>
      <c r="Q388" s="101" t="s">
        <v>156</v>
      </c>
      <c r="R388" s="98">
        <v>17.0</v>
      </c>
      <c r="S388" s="98">
        <v>0.0</v>
      </c>
      <c r="T388" s="98">
        <v>0.0</v>
      </c>
      <c r="U388" s="98">
        <v>1.0</v>
      </c>
      <c r="V388" s="98">
        <v>1.0</v>
      </c>
      <c r="W388" s="98">
        <v>2.0</v>
      </c>
      <c r="X388" s="98">
        <v>1.0</v>
      </c>
      <c r="Y388" s="98">
        <v>0.0</v>
      </c>
      <c r="Z388" s="98">
        <v>1.0</v>
      </c>
      <c r="AA388" s="98">
        <v>0.0</v>
      </c>
      <c r="AB388" s="98">
        <v>1.0</v>
      </c>
      <c r="AC388" s="98">
        <v>1.0</v>
      </c>
      <c r="AD388" s="98">
        <v>0.0</v>
      </c>
      <c r="AE388" s="98">
        <v>0.0</v>
      </c>
      <c r="AF388" s="98">
        <v>1.0</v>
      </c>
      <c r="AG388" s="98">
        <v>0.0</v>
      </c>
      <c r="AH388" s="98">
        <v>0.0</v>
      </c>
      <c r="AI388" s="98">
        <v>0.0</v>
      </c>
      <c r="AJ388" s="98">
        <v>0.0</v>
      </c>
      <c r="AK388" s="98">
        <v>0.0</v>
      </c>
      <c r="AL388" s="98">
        <v>0.0</v>
      </c>
      <c r="AM388" s="98">
        <v>0.0</v>
      </c>
      <c r="AN388" s="98">
        <v>0.0</v>
      </c>
      <c r="AO388" s="98">
        <v>0.0</v>
      </c>
      <c r="AP388" s="98">
        <v>1.0</v>
      </c>
      <c r="AQ388" s="98" t="s">
        <v>1595</v>
      </c>
      <c r="AR388" s="102">
        <v>46220.0</v>
      </c>
      <c r="AS388" s="83">
        <v>1112408.0</v>
      </c>
    </row>
    <row r="389" ht="15.75" customHeight="1">
      <c r="A389" s="111" t="s">
        <v>451</v>
      </c>
      <c r="B389" s="83" t="s">
        <v>1596</v>
      </c>
      <c r="C389" s="83" t="s">
        <v>68</v>
      </c>
      <c r="D389" s="112">
        <v>1158688.0</v>
      </c>
      <c r="E389" s="83"/>
      <c r="F389" s="83">
        <v>2.9309425E7</v>
      </c>
      <c r="G389" s="91" t="str">
        <f>IFERROR(__xludf.DUMMYFUNCTION("XLOOKUP(AS389,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DOM PAULO LOPES DE FARIAS (ANTIGO COL. ALZAIR MARTINS)")</f>
        <v>COLÉGIO ESTADUAL DE TEMPO INTEGRAL DOM PAULO LOPES DE FARIAS (ANTIGO COL. ALZAIR MARTINS)</v>
      </c>
      <c r="H389" s="184" t="s">
        <v>1597</v>
      </c>
      <c r="I389" s="91" t="s">
        <v>1598</v>
      </c>
      <c r="J389" s="83" t="s">
        <v>1599</v>
      </c>
      <c r="K389" s="83" t="s">
        <v>150</v>
      </c>
      <c r="L389" s="98" t="s">
        <v>151</v>
      </c>
      <c r="M389" s="98" t="s">
        <v>230</v>
      </c>
      <c r="N389" s="98" t="s">
        <v>1600</v>
      </c>
      <c r="O389" s="98" t="s">
        <v>1601</v>
      </c>
      <c r="P389" s="99" t="str">
        <f>IFERROR(__xludf.DUMMYFUNCTION("IFERROR(VLOOKUP(AS389,IMPORTRANGE(""https://docs.google.com/spreadsheets/d/1juPI-Fb8LD0YtltB2mlGEnp_R3UVu1t3wSFPzgCyHXE/edit?gid=0#gid=0"",""GERAL!A2:C""),3,0),""-"")"),"-")</f>
        <v>-</v>
      </c>
      <c r="Q389" s="101" t="s">
        <v>156</v>
      </c>
      <c r="R389" s="98">
        <v>11.0</v>
      </c>
      <c r="S389" s="98">
        <v>1.0</v>
      </c>
      <c r="T389" s="98">
        <v>0.0</v>
      </c>
      <c r="U389" s="98">
        <v>0.0</v>
      </c>
      <c r="V389" s="98">
        <v>0.0</v>
      </c>
      <c r="W389" s="98">
        <v>1.0</v>
      </c>
      <c r="X389" s="98">
        <v>0.0</v>
      </c>
      <c r="Y389" s="98">
        <v>0.0</v>
      </c>
      <c r="Z389" s="98">
        <v>1.0</v>
      </c>
      <c r="AA389" s="98">
        <v>0.0</v>
      </c>
      <c r="AB389" s="98">
        <v>1.0</v>
      </c>
      <c r="AC389" s="98">
        <v>0.0</v>
      </c>
      <c r="AD389" s="98">
        <v>0.0</v>
      </c>
      <c r="AE389" s="98">
        <v>0.0</v>
      </c>
      <c r="AF389" s="98">
        <v>1.0</v>
      </c>
      <c r="AG389" s="98">
        <v>0.0</v>
      </c>
      <c r="AH389" s="98">
        <v>0.0</v>
      </c>
      <c r="AI389" s="98">
        <v>0.0</v>
      </c>
      <c r="AJ389" s="98">
        <v>1.0</v>
      </c>
      <c r="AK389" s="98">
        <v>0.0</v>
      </c>
      <c r="AL389" s="98">
        <v>0.0</v>
      </c>
      <c r="AM389" s="98">
        <v>0.0</v>
      </c>
      <c r="AN389" s="98">
        <v>0.0</v>
      </c>
      <c r="AO389" s="98">
        <v>0.0</v>
      </c>
      <c r="AP389" s="98">
        <v>0.0</v>
      </c>
      <c r="AQ389" s="98" t="s">
        <v>1602</v>
      </c>
      <c r="AR389" s="102">
        <v>46216.0</v>
      </c>
      <c r="AS389" s="83">
        <v>1158688.0</v>
      </c>
    </row>
    <row r="390" ht="15.75" customHeight="1">
      <c r="A390" s="111" t="s">
        <v>451</v>
      </c>
      <c r="B390" s="83" t="s">
        <v>1603</v>
      </c>
      <c r="C390" s="83" t="s">
        <v>68</v>
      </c>
      <c r="D390" s="112">
        <v>1112602.0</v>
      </c>
      <c r="E390" s="83"/>
      <c r="F390" s="83">
        <v>2.9310512E7</v>
      </c>
      <c r="G390" s="91" t="str">
        <f>IFERROR(__xludf.DUMMYFUNCTION("XLOOKUP(AS390,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ANTÔNIO MARCOS SANTOS ESTEVES")</f>
        <v>COLÉGIO ESTADUAL DE TEMPO INTEGRAL PROFESSOR ANTÔNIO MARCOS SANTOS ESTEVES</v>
      </c>
      <c r="H390" s="119" t="s">
        <v>1604</v>
      </c>
      <c r="I390" s="91" t="s">
        <v>1605</v>
      </c>
      <c r="J390" s="83" t="s">
        <v>149</v>
      </c>
      <c r="K390" s="83" t="s">
        <v>150</v>
      </c>
      <c r="L390" s="83" t="s">
        <v>151</v>
      </c>
      <c r="M390" s="83" t="s">
        <v>169</v>
      </c>
      <c r="N390" s="98" t="s">
        <v>1606</v>
      </c>
      <c r="O390" s="98" t="s">
        <v>155</v>
      </c>
      <c r="P390" s="99" t="str">
        <f>IFERROR(__xludf.DUMMYFUNCTION("IFERROR(VLOOKUP(AS390,IMPORTRANGE(""https://docs.google.com/spreadsheets/d/1juPI-Fb8LD0YtltB2mlGEnp_R3UVu1t3wSFPzgCyHXE/edit?gid=0#gid=0"",""GERAL!A2:C""),3,0),""-"")"),"-")</f>
        <v>-</v>
      </c>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v>1112602.0</v>
      </c>
    </row>
    <row r="391" ht="15.75" customHeight="1">
      <c r="A391" s="111" t="s">
        <v>451</v>
      </c>
      <c r="B391" s="83" t="s">
        <v>1607</v>
      </c>
      <c r="C391" s="83" t="s">
        <v>68</v>
      </c>
      <c r="D391" s="112">
        <v>1159277.0</v>
      </c>
      <c r="E391" s="83"/>
      <c r="F391" s="83">
        <v>2.931066E7</v>
      </c>
      <c r="G391" s="91" t="str">
        <f>IFERROR(__xludf.DUMMYFUNCTION("XLOOKUP(AS391,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AMÉLIA AMADO")</f>
        <v>COLÉGIO ESTADUAL DE TEMPO INTEGRAL AMÉLIA AMADO</v>
      </c>
      <c r="H391" s="184" t="s">
        <v>1608</v>
      </c>
      <c r="I391" s="91" t="s">
        <v>1609</v>
      </c>
      <c r="J391" s="83" t="s">
        <v>149</v>
      </c>
      <c r="K391" s="83" t="s">
        <v>150</v>
      </c>
      <c r="L391" s="83" t="s">
        <v>151</v>
      </c>
      <c r="M391" s="83" t="s">
        <v>76</v>
      </c>
      <c r="N391" s="98" t="s">
        <v>1610</v>
      </c>
      <c r="O391" s="98" t="s">
        <v>155</v>
      </c>
      <c r="P391" s="99" t="str">
        <f>IFERROR(__xludf.DUMMYFUNCTION("IFERROR(VLOOKUP(AS391,IMPORTRANGE(""https://docs.google.com/spreadsheets/d/1juPI-Fb8LD0YtltB2mlGEnp_R3UVu1t3wSFPzgCyHXE/edit?gid=0#gid=0"",""GERAL!A2:C""),3,0),""-"")"),"-")</f>
        <v>-</v>
      </c>
      <c r="Q391" s="101" t="s">
        <v>156</v>
      </c>
      <c r="R391" s="98">
        <v>4.0</v>
      </c>
      <c r="S391" s="98">
        <v>1.0</v>
      </c>
      <c r="T391" s="98">
        <v>0.0</v>
      </c>
      <c r="U391" s="98">
        <v>0.0</v>
      </c>
      <c r="V391" s="98">
        <v>0.0</v>
      </c>
      <c r="W391" s="98">
        <v>0.0</v>
      </c>
      <c r="X391" s="98">
        <v>0.0</v>
      </c>
      <c r="Y391" s="98">
        <v>0.0</v>
      </c>
      <c r="Z391" s="98">
        <v>1.0</v>
      </c>
      <c r="AA391" s="98">
        <v>0.0</v>
      </c>
      <c r="AB391" s="98">
        <v>1.0</v>
      </c>
      <c r="AC391" s="98">
        <v>0.0</v>
      </c>
      <c r="AD391" s="98">
        <v>0.0</v>
      </c>
      <c r="AE391" s="98">
        <v>0.0</v>
      </c>
      <c r="AF391" s="98">
        <v>1.0</v>
      </c>
      <c r="AG391" s="98">
        <v>0.0</v>
      </c>
      <c r="AH391" s="98">
        <v>0.0</v>
      </c>
      <c r="AI391" s="98">
        <v>0.0</v>
      </c>
      <c r="AJ391" s="98">
        <v>1.0</v>
      </c>
      <c r="AK391" s="98">
        <v>0.0</v>
      </c>
      <c r="AL391" s="98">
        <v>0.0</v>
      </c>
      <c r="AM391" s="98">
        <v>0.0</v>
      </c>
      <c r="AN391" s="98">
        <v>0.0</v>
      </c>
      <c r="AO391" s="98">
        <v>0.0</v>
      </c>
      <c r="AP391" s="98">
        <v>2.0</v>
      </c>
      <c r="AQ391" s="98" t="s">
        <v>1611</v>
      </c>
      <c r="AR391" s="102">
        <v>46220.0</v>
      </c>
      <c r="AS391" s="83">
        <v>1159277.0</v>
      </c>
    </row>
    <row r="392" ht="15.75" customHeight="1">
      <c r="A392" s="111" t="s">
        <v>451</v>
      </c>
      <c r="B392" s="83" t="s">
        <v>1612</v>
      </c>
      <c r="C392" s="83" t="s">
        <v>68</v>
      </c>
      <c r="D392" s="112">
        <v>1159641.0</v>
      </c>
      <c r="E392" s="83"/>
      <c r="F392" s="83">
        <v>2.928815E7</v>
      </c>
      <c r="G392" s="91" t="str">
        <f>IFERROR(__xludf.DUMMYFUNCTION("XLOOKUP(AS392,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CLEMENTE MARIANI")</f>
        <v>COLÉGIO ESTADUAL DO CAMPO CLEMENTE MARIANI</v>
      </c>
      <c r="H392" s="119" t="s">
        <v>1613</v>
      </c>
      <c r="I392" s="91" t="s">
        <v>1614</v>
      </c>
      <c r="J392" s="83" t="s">
        <v>1615</v>
      </c>
      <c r="K392" s="83" t="s">
        <v>244</v>
      </c>
      <c r="L392" s="83" t="s">
        <v>151</v>
      </c>
      <c r="M392" s="83" t="s">
        <v>76</v>
      </c>
      <c r="N392" s="98" t="s">
        <v>1616</v>
      </c>
      <c r="O392" s="98" t="s">
        <v>155</v>
      </c>
      <c r="P392" s="99" t="str">
        <f>IFERROR(__xludf.DUMMYFUNCTION("IFERROR(VLOOKUP(AS392,IMPORTRANGE(""https://docs.google.com/spreadsheets/d/1juPI-Fb8LD0YtltB2mlGEnp_R3UVu1t3wSFPzgCyHXE/edit?gid=0#gid=0"",""GERAL!A2:C""),3,0),""-"")"),"CAMPO")</f>
        <v>CAMPO</v>
      </c>
      <c r="Q392" s="101" t="s">
        <v>156</v>
      </c>
      <c r="R392" s="98">
        <v>7.0</v>
      </c>
      <c r="S392" s="98" t="s">
        <v>171</v>
      </c>
      <c r="T392" s="98" t="s">
        <v>171</v>
      </c>
      <c r="U392" s="98" t="s">
        <v>171</v>
      </c>
      <c r="V392" s="98" t="s">
        <v>171</v>
      </c>
      <c r="W392" s="98" t="s">
        <v>171</v>
      </c>
      <c r="X392" s="98" t="s">
        <v>171</v>
      </c>
      <c r="Y392" s="98" t="s">
        <v>171</v>
      </c>
      <c r="Z392" s="98" t="s">
        <v>171</v>
      </c>
      <c r="AA392" s="98" t="s">
        <v>171</v>
      </c>
      <c r="AB392" s="98" t="s">
        <v>171</v>
      </c>
      <c r="AC392" s="98" t="s">
        <v>171</v>
      </c>
      <c r="AD392" s="98" t="s">
        <v>171</v>
      </c>
      <c r="AE392" s="98" t="s">
        <v>171</v>
      </c>
      <c r="AF392" s="98" t="s">
        <v>171</v>
      </c>
      <c r="AG392" s="98" t="s">
        <v>171</v>
      </c>
      <c r="AH392" s="98" t="s">
        <v>171</v>
      </c>
      <c r="AI392" s="98" t="s">
        <v>171</v>
      </c>
      <c r="AJ392" s="98" t="s">
        <v>171</v>
      </c>
      <c r="AK392" s="98" t="s">
        <v>171</v>
      </c>
      <c r="AL392" s="98" t="s">
        <v>171</v>
      </c>
      <c r="AM392" s="98" t="s">
        <v>171</v>
      </c>
      <c r="AN392" s="98" t="s">
        <v>171</v>
      </c>
      <c r="AO392" s="98" t="s">
        <v>171</v>
      </c>
      <c r="AP392" s="98" t="s">
        <v>171</v>
      </c>
      <c r="AQ392" s="98" t="s">
        <v>171</v>
      </c>
      <c r="AR392" s="102">
        <v>46225.0</v>
      </c>
      <c r="AS392" s="83">
        <v>1159641.0</v>
      </c>
    </row>
    <row r="393" ht="15.75" customHeight="1">
      <c r="A393" s="111" t="s">
        <v>451</v>
      </c>
      <c r="B393" s="83" t="s">
        <v>1612</v>
      </c>
      <c r="C393" s="83" t="s">
        <v>68</v>
      </c>
      <c r="D393" s="112">
        <v>1179678.0</v>
      </c>
      <c r="E393" s="83"/>
      <c r="F393" s="83">
        <v>2.9477492E7</v>
      </c>
      <c r="G393" s="91" t="str">
        <f>IFERROR(__xludf.DUMMYFUNCTION("XLOOKUP(AS393,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ANTONIO EDUARDO RIBEIRO ROCHA - DISTRITO DE BARRA GRANDE - TEMPO INTEGRAL")</f>
        <v>COLÉGIO ESTADUAL ANTONIO EDUARDO RIBEIRO ROCHA - DISTRITO DE BARRA GRANDE - TEMPO INTEGRAL</v>
      </c>
      <c r="H393" s="119" t="s">
        <v>1617</v>
      </c>
      <c r="I393" s="91" t="s">
        <v>1618</v>
      </c>
      <c r="J393" s="83" t="s">
        <v>149</v>
      </c>
      <c r="K393" s="83" t="s">
        <v>568</v>
      </c>
      <c r="L393" s="83" t="s">
        <v>151</v>
      </c>
      <c r="M393" s="83" t="s">
        <v>76</v>
      </c>
      <c r="N393" s="98" t="s">
        <v>1619</v>
      </c>
      <c r="O393" s="98" t="s">
        <v>162</v>
      </c>
      <c r="P393" s="99" t="str">
        <f>IFERROR(__xludf.DUMMYFUNCTION("IFERROR(VLOOKUP(AS393,IMPORTRANGE(""https://docs.google.com/spreadsheets/d/1juPI-Fb8LD0YtltB2mlGEnp_R3UVu1t3wSFPzgCyHXE/edit?gid=0#gid=0"",""GERAL!A2:C""),3,0),""-"")"),"-")</f>
        <v>-</v>
      </c>
      <c r="Q393" s="101" t="s">
        <v>156</v>
      </c>
      <c r="R393" s="98">
        <v>7.0</v>
      </c>
      <c r="S393" s="98">
        <v>0.0</v>
      </c>
      <c r="T393" s="98">
        <v>0.0</v>
      </c>
      <c r="U393" s="98">
        <v>1.0</v>
      </c>
      <c r="V393" s="98">
        <v>0.0</v>
      </c>
      <c r="W393" s="98">
        <v>0.0</v>
      </c>
      <c r="X393" s="98">
        <v>0.0</v>
      </c>
      <c r="Y393" s="98">
        <v>0.0</v>
      </c>
      <c r="Z393" s="98">
        <v>0.0</v>
      </c>
      <c r="AA393" s="98">
        <v>0.0</v>
      </c>
      <c r="AB393" s="98">
        <v>1.0</v>
      </c>
      <c r="AC393" s="98">
        <v>0.0</v>
      </c>
      <c r="AD393" s="98">
        <v>0.0</v>
      </c>
      <c r="AE393" s="98">
        <v>0.0</v>
      </c>
      <c r="AF393" s="98">
        <v>1.0</v>
      </c>
      <c r="AG393" s="98">
        <v>0.0</v>
      </c>
      <c r="AH393" s="98">
        <v>0.0</v>
      </c>
      <c r="AI393" s="98">
        <v>0.0</v>
      </c>
      <c r="AJ393" s="98">
        <v>0.0</v>
      </c>
      <c r="AK393" s="98">
        <v>0.0</v>
      </c>
      <c r="AL393" s="98">
        <v>0.0</v>
      </c>
      <c r="AM393" s="98">
        <v>0.0</v>
      </c>
      <c r="AN393" s="98">
        <v>0.0</v>
      </c>
      <c r="AO393" s="98">
        <v>0.0</v>
      </c>
      <c r="AP393" s="98">
        <v>1.0</v>
      </c>
      <c r="AQ393" s="98" t="s">
        <v>1620</v>
      </c>
      <c r="AR393" s="102">
        <v>46225.0</v>
      </c>
      <c r="AS393" s="83">
        <v>1179678.0</v>
      </c>
    </row>
    <row r="394" ht="15.75" customHeight="1">
      <c r="A394" s="111" t="s">
        <v>451</v>
      </c>
      <c r="B394" s="83" t="s">
        <v>1612</v>
      </c>
      <c r="C394" s="83" t="s">
        <v>68</v>
      </c>
      <c r="D394" s="112">
        <v>1159668.0</v>
      </c>
      <c r="E394" s="83"/>
      <c r="F394" s="83">
        <v>2.9288142E7</v>
      </c>
      <c r="G394" s="91" t="str">
        <f>IFERROR(__xludf.DUMMYFUNCTION("XLOOKUP(AS394,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DO LITORAL SUL - COMUNIDADE QUILOMBOLA")</f>
        <v>CENTRO TERRITORIAL DE EDUCAÇÃO PROFISSIONAL DO LITORAL SUL - COMUNIDADE QUILOMBOLA</v>
      </c>
      <c r="H394" s="114" t="s">
        <v>1621</v>
      </c>
      <c r="I394" s="91" t="s">
        <v>1622</v>
      </c>
      <c r="J394" s="83" t="s">
        <v>149</v>
      </c>
      <c r="K394" s="83" t="s">
        <v>150</v>
      </c>
      <c r="L394" s="83" t="s">
        <v>151</v>
      </c>
      <c r="M394" s="83" t="s">
        <v>230</v>
      </c>
      <c r="N394" s="98" t="s">
        <v>1623</v>
      </c>
      <c r="O394" s="98" t="s">
        <v>155</v>
      </c>
      <c r="P394" s="99" t="str">
        <f>IFERROR(__xludf.DUMMYFUNCTION("IFERROR(VLOOKUP(AS394,IMPORTRANGE(""https://docs.google.com/spreadsheets/d/1juPI-Fb8LD0YtltB2mlGEnp_R3UVu1t3wSFPzgCyHXE/edit?gid=0#gid=0"",""GERAL!A2:C""),3,0),""-"")"),"QUILOMBOLAS")</f>
        <v>QUILOMBOLAS</v>
      </c>
      <c r="Q394" s="101" t="s">
        <v>156</v>
      </c>
      <c r="R394" s="98">
        <v>7.0</v>
      </c>
      <c r="S394" s="98">
        <v>1.0</v>
      </c>
      <c r="T394" s="98">
        <v>0.0</v>
      </c>
      <c r="U394" s="98">
        <v>0.0</v>
      </c>
      <c r="V394" s="98">
        <v>1.0</v>
      </c>
      <c r="W394" s="98">
        <v>2.0</v>
      </c>
      <c r="X394" s="98">
        <v>0.0</v>
      </c>
      <c r="Y394" s="98">
        <v>0.0</v>
      </c>
      <c r="Z394" s="98">
        <v>0.0</v>
      </c>
      <c r="AA394" s="98">
        <v>0.0</v>
      </c>
      <c r="AB394" s="98">
        <v>0.0</v>
      </c>
      <c r="AC394" s="98">
        <v>0.0</v>
      </c>
      <c r="AD394" s="98">
        <v>0.0</v>
      </c>
      <c r="AE394" s="98">
        <v>0.0</v>
      </c>
      <c r="AF394" s="98">
        <v>0.0</v>
      </c>
      <c r="AG394" s="98">
        <v>0.0</v>
      </c>
      <c r="AH394" s="98">
        <v>0.0</v>
      </c>
      <c r="AI394" s="98">
        <v>0.0</v>
      </c>
      <c r="AJ394" s="98">
        <v>0.0</v>
      </c>
      <c r="AK394" s="98">
        <v>0.0</v>
      </c>
      <c r="AL394" s="98">
        <v>0.0</v>
      </c>
      <c r="AM394" s="98">
        <v>0.0</v>
      </c>
      <c r="AN394" s="98">
        <v>0.0</v>
      </c>
      <c r="AO394" s="98">
        <v>0.0</v>
      </c>
      <c r="AP394" s="98">
        <v>2.0</v>
      </c>
      <c r="AQ394" s="98" t="s">
        <v>1624</v>
      </c>
      <c r="AR394" s="102">
        <v>46225.0</v>
      </c>
      <c r="AS394" s="83">
        <v>1159668.0</v>
      </c>
    </row>
    <row r="395" ht="15.75" customHeight="1">
      <c r="A395" s="111" t="s">
        <v>451</v>
      </c>
      <c r="B395" s="83" t="s">
        <v>1625</v>
      </c>
      <c r="C395" s="83" t="s">
        <v>68</v>
      </c>
      <c r="D395" s="112">
        <v>1159617.0</v>
      </c>
      <c r="E395" s="83"/>
      <c r="F395" s="83">
        <v>2.93115E7</v>
      </c>
      <c r="G395" s="91" t="str">
        <f>IFERROR(__xludf.DUMMYFUNCTION("XLOOKUP(AS395,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MARILENA SENA LOUREIRO")</f>
        <v>COLÉGIO ESTADUAL DE TEMPO INTEGRAL PROFESSORA MARILENA SENA LOUREIRO</v>
      </c>
      <c r="H395" s="119" t="s">
        <v>1626</v>
      </c>
      <c r="I395" s="91" t="s">
        <v>1627</v>
      </c>
      <c r="J395" s="83" t="s">
        <v>149</v>
      </c>
      <c r="K395" s="83" t="s">
        <v>187</v>
      </c>
      <c r="L395" s="83" t="s">
        <v>151</v>
      </c>
      <c r="M395" s="83" t="s">
        <v>76</v>
      </c>
      <c r="N395" s="98" t="s">
        <v>1628</v>
      </c>
      <c r="O395" s="98" t="s">
        <v>162</v>
      </c>
      <c r="P395" s="99" t="str">
        <f>IFERROR(__xludf.DUMMYFUNCTION("IFERROR(VLOOKUP(AS395,IMPORTRANGE(""https://docs.google.com/spreadsheets/d/1juPI-Fb8LD0YtltB2mlGEnp_R3UVu1t3wSFPzgCyHXE/edit?gid=0#gid=0"",""GERAL!A2:C""),3,0),""-"")"),"-")</f>
        <v>-</v>
      </c>
      <c r="Q395" s="101" t="s">
        <v>156</v>
      </c>
      <c r="R395" s="98">
        <v>11.0</v>
      </c>
      <c r="S395" s="98">
        <v>1.0</v>
      </c>
      <c r="T395" s="98">
        <v>1.0</v>
      </c>
      <c r="U395" s="98">
        <v>1.0</v>
      </c>
      <c r="V395" s="98">
        <v>0.0</v>
      </c>
      <c r="W395" s="98">
        <v>1.0</v>
      </c>
      <c r="X395" s="98">
        <v>1.0</v>
      </c>
      <c r="Y395" s="98">
        <v>0.0</v>
      </c>
      <c r="Z395" s="98">
        <v>1.0</v>
      </c>
      <c r="AA395" s="98">
        <v>0.0</v>
      </c>
      <c r="AB395" s="98">
        <v>1.0</v>
      </c>
      <c r="AC395" s="98">
        <v>0.0</v>
      </c>
      <c r="AD395" s="98">
        <v>0.0</v>
      </c>
      <c r="AE395" s="98">
        <v>0.0</v>
      </c>
      <c r="AF395" s="98">
        <v>1.0</v>
      </c>
      <c r="AG395" s="98">
        <v>0.0</v>
      </c>
      <c r="AH395" s="98">
        <v>0.0</v>
      </c>
      <c r="AI395" s="98">
        <v>0.0</v>
      </c>
      <c r="AJ395" s="98">
        <v>1.0</v>
      </c>
      <c r="AK395" s="98">
        <v>0.0</v>
      </c>
      <c r="AL395" s="98">
        <v>0.0</v>
      </c>
      <c r="AM395" s="98">
        <v>0.0</v>
      </c>
      <c r="AN395" s="98">
        <v>0.0</v>
      </c>
      <c r="AO395" s="98">
        <v>0.0</v>
      </c>
      <c r="AP395" s="98">
        <v>0.0</v>
      </c>
      <c r="AQ395" s="98" t="s">
        <v>1630</v>
      </c>
      <c r="AR395" s="102">
        <v>46226.0</v>
      </c>
      <c r="AS395" s="83">
        <v>1159617.0</v>
      </c>
    </row>
    <row r="396" ht="15.75" customHeight="1">
      <c r="A396" s="111" t="s">
        <v>451</v>
      </c>
      <c r="B396" s="83" t="s">
        <v>1625</v>
      </c>
      <c r="C396" s="83" t="s">
        <v>68</v>
      </c>
      <c r="D396" s="112">
        <v>1159587.0</v>
      </c>
      <c r="E396" s="83"/>
      <c r="F396" s="83">
        <v>2.9311497E7</v>
      </c>
      <c r="G396" s="91" t="str">
        <f>IFERROR(__xludf.DUMMYFUNCTION("XLOOKUP(AS396,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CAROLINA SEVERIANO RIBEIRO - TEMPO INTEGRAL")</f>
        <v>COLÉGIO ESTADUAL CAROLINA SEVERIANO RIBEIRO - TEMPO INTEGRAL</v>
      </c>
      <c r="H396" s="119" t="s">
        <v>1631</v>
      </c>
      <c r="I396" s="91" t="s">
        <v>1632</v>
      </c>
      <c r="J396" s="83" t="s">
        <v>149</v>
      </c>
      <c r="K396" s="83" t="s">
        <v>150</v>
      </c>
      <c r="L396" s="83" t="s">
        <v>151</v>
      </c>
      <c r="M396" s="83" t="s">
        <v>169</v>
      </c>
      <c r="N396" s="98" t="s">
        <v>1633</v>
      </c>
      <c r="O396" s="98" t="s">
        <v>155</v>
      </c>
      <c r="P396" s="99" t="str">
        <f>IFERROR(__xludf.DUMMYFUNCTION("IFERROR(VLOOKUP(AS396,IMPORTRANGE(""https://docs.google.com/spreadsheets/d/1juPI-Fb8LD0YtltB2mlGEnp_R3UVu1t3wSFPzgCyHXE/edit?gid=0#gid=0"",""GERAL!A2:C""),3,0),""-"")"),"-")</f>
        <v>-</v>
      </c>
      <c r="Q396" s="98" t="s">
        <v>171</v>
      </c>
      <c r="R396" s="98">
        <v>4.0</v>
      </c>
      <c r="S396" s="98">
        <v>0.0</v>
      </c>
      <c r="T396" s="98">
        <v>0.0</v>
      </c>
      <c r="U396" s="98">
        <v>0.0</v>
      </c>
      <c r="V396" s="98">
        <v>0.0</v>
      </c>
      <c r="W396" s="98">
        <v>0.0</v>
      </c>
      <c r="X396" s="98">
        <v>0.0</v>
      </c>
      <c r="Y396" s="98">
        <v>0.0</v>
      </c>
      <c r="Z396" s="98">
        <v>0.0</v>
      </c>
      <c r="AA396" s="98">
        <v>0.0</v>
      </c>
      <c r="AB396" s="98">
        <v>0.0</v>
      </c>
      <c r="AC396" s="98">
        <v>1.0</v>
      </c>
      <c r="AD396" s="98">
        <v>0.0</v>
      </c>
      <c r="AE396" s="98">
        <v>0.0</v>
      </c>
      <c r="AF396" s="98">
        <v>0.0</v>
      </c>
      <c r="AG396" s="98">
        <v>0.0</v>
      </c>
      <c r="AH396" s="98">
        <v>0.0</v>
      </c>
      <c r="AI396" s="98">
        <v>0.0</v>
      </c>
      <c r="AJ396" s="98">
        <v>0.0</v>
      </c>
      <c r="AK396" s="98">
        <v>0.0</v>
      </c>
      <c r="AL396" s="98">
        <v>0.0</v>
      </c>
      <c r="AM396" s="98">
        <v>0.0</v>
      </c>
      <c r="AN396" s="98">
        <v>0.0</v>
      </c>
      <c r="AO396" s="98">
        <v>0.0</v>
      </c>
      <c r="AP396" s="98">
        <v>0.0</v>
      </c>
      <c r="AQ396" s="98" t="s">
        <v>171</v>
      </c>
      <c r="AR396" s="102">
        <v>46226.0</v>
      </c>
      <c r="AS396" s="83">
        <v>1159587.0</v>
      </c>
    </row>
    <row r="397" ht="15.75" customHeight="1">
      <c r="A397" s="111" t="s">
        <v>451</v>
      </c>
      <c r="B397" s="83" t="s">
        <v>1634</v>
      </c>
      <c r="C397" s="83" t="s">
        <v>68</v>
      </c>
      <c r="D397" s="112">
        <v>1177077.0</v>
      </c>
      <c r="E397" s="83"/>
      <c r="F397" s="83">
        <v>2.9406897E7</v>
      </c>
      <c r="G397" s="91" t="str">
        <f>IFERROR(__xludf.DUMMYFUNCTION("XLOOKUP(AS397,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GERSON DE SOUZA MELO PATAXO - TEMPO INTEGRAL")</f>
        <v>COLÉGIO ESTADUAL GERSON DE SOUZA MELO PATAXO - TEMPO INTEGRAL</v>
      </c>
      <c r="H397" s="184" t="s">
        <v>1635</v>
      </c>
      <c r="I397" s="91" t="s">
        <v>1636</v>
      </c>
      <c r="J397" s="136" t="s">
        <v>149</v>
      </c>
      <c r="K397" s="136" t="s">
        <v>150</v>
      </c>
      <c r="L397" s="136" t="s">
        <v>151</v>
      </c>
      <c r="M397" s="136" t="s">
        <v>152</v>
      </c>
      <c r="N397" s="98" t="s">
        <v>1637</v>
      </c>
      <c r="O397" s="98" t="s">
        <v>155</v>
      </c>
      <c r="P397" s="99" t="str">
        <f>IFERROR(__xludf.DUMMYFUNCTION("IFERROR(VLOOKUP(AS397,IMPORTRANGE(""https://docs.google.com/spreadsheets/d/1juPI-Fb8LD0YtltB2mlGEnp_R3UVu1t3wSFPzgCyHXE/edit?gid=0#gid=0"",""GERAL!A2:C""),3,0),""-"")"),"-")</f>
        <v>-</v>
      </c>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v>1177077.0</v>
      </c>
    </row>
    <row r="398" ht="15.75" customHeight="1">
      <c r="A398" s="111" t="s">
        <v>451</v>
      </c>
      <c r="B398" s="83" t="s">
        <v>1634</v>
      </c>
      <c r="C398" s="83" t="s">
        <v>68</v>
      </c>
      <c r="D398" s="112">
        <v>1177011.0</v>
      </c>
      <c r="E398" s="83"/>
      <c r="F398" s="83">
        <v>2.9407044E7</v>
      </c>
      <c r="G398" s="91" t="str">
        <f>IFERROR(__xludf.DUMMYFUNCTION("XLOOKUP(AS398,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DA ALDEIA INDIGENA CARAMURU PARAGUACU - TEMPO INTEGRAL")</f>
        <v>COLÉGIO ESTADUAL DA ALDEIA INDIGENA CARAMURU PARAGUACU - TEMPO INTEGRAL</v>
      </c>
      <c r="H398" s="184" t="s">
        <v>1638</v>
      </c>
      <c r="I398" s="91" t="s">
        <v>1639</v>
      </c>
      <c r="J398" s="136" t="s">
        <v>1640</v>
      </c>
      <c r="K398" s="136" t="s">
        <v>1641</v>
      </c>
      <c r="L398" s="136" t="s">
        <v>151</v>
      </c>
      <c r="M398" s="136" t="s">
        <v>152</v>
      </c>
      <c r="N398" s="98" t="s">
        <v>1642</v>
      </c>
      <c r="O398" s="98" t="s">
        <v>155</v>
      </c>
      <c r="P398" s="99" t="str">
        <f>IFERROR(__xludf.DUMMYFUNCTION("IFERROR(VLOOKUP(AS398,IMPORTRANGE(""https://docs.google.com/spreadsheets/d/1juPI-Fb8LD0YtltB2mlGEnp_R3UVu1t3wSFPzgCyHXE/edit?gid=0#gid=0"",""GERAL!A2:C""),3,0),""-"")"),"INDÍGENAS")</f>
        <v>INDÍGENAS</v>
      </c>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v>1177011.0</v>
      </c>
    </row>
    <row r="399" ht="15.75" customHeight="1">
      <c r="A399" s="111" t="s">
        <v>451</v>
      </c>
      <c r="B399" s="83" t="s">
        <v>1634</v>
      </c>
      <c r="C399" s="83" t="s">
        <v>164</v>
      </c>
      <c r="D399" s="112">
        <v>1177011.0</v>
      </c>
      <c r="E399" s="83">
        <v>1178509.0</v>
      </c>
      <c r="F399" s="83"/>
      <c r="G399" s="91" t="str">
        <f>IFERROR(__xludf.DUMMYFUNCTION("XLOOKUP(AS399,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CARAMURU PARAGUACU - ALDEIA - POVOADO OURINHO")</f>
        <v>ANEXO DO COLÉGIO ESTADUAL INDIGENA CARAMURU PARAGUACU - ALDEIA - POVOADO OURINHO</v>
      </c>
      <c r="H399" s="185" t="s">
        <v>1643</v>
      </c>
      <c r="I399" s="91" t="s">
        <v>1644</v>
      </c>
      <c r="J399" s="83" t="s">
        <v>149</v>
      </c>
      <c r="K399" s="83" t="s">
        <v>1645</v>
      </c>
      <c r="L399" s="83" t="s">
        <v>151</v>
      </c>
      <c r="M399" s="83" t="s">
        <v>169</v>
      </c>
      <c r="N399" s="115" t="s">
        <v>170</v>
      </c>
      <c r="O399" s="98" t="s">
        <v>155</v>
      </c>
      <c r="P399" s="99" t="str">
        <f>IFERROR(__xludf.DUMMYFUNCTION("IFERROR(VLOOKUP(AS399,IMPORTRANGE(""https://docs.google.com/spreadsheets/d/1juPI-Fb8LD0YtltB2mlGEnp_R3UVu1t3wSFPzgCyHXE/edit?gid=0#gid=0"",""GERAL!A2:C""),3,0),""-"")"),"INDÍGENAS")</f>
        <v>INDÍGENAS</v>
      </c>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v>1178509.0</v>
      </c>
    </row>
    <row r="400" ht="15.75" customHeight="1">
      <c r="A400" s="111" t="s">
        <v>451</v>
      </c>
      <c r="B400" s="83" t="s">
        <v>1634</v>
      </c>
      <c r="C400" s="83" t="s">
        <v>164</v>
      </c>
      <c r="D400" s="112">
        <v>1177011.0</v>
      </c>
      <c r="E400" s="83">
        <v>1178507.0</v>
      </c>
      <c r="F400" s="83"/>
      <c r="G400" s="91" t="str">
        <f>IFERROR(__xludf.DUMMYFUNCTION("XLOOKUP(AS400,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CARAMURU PARAGUACU - ALDEIA - POVOADO DO TAQUARI-BRACO DA DUVIDA")</f>
        <v>ANEXO DO COLÉGIO ESTADUAL INDIGENA CARAMURU PARAGUACU - ALDEIA - POVOADO DO TAQUARI-BRACO DA DUVIDA</v>
      </c>
      <c r="H400" s="185" t="s">
        <v>1646</v>
      </c>
      <c r="I400" s="91" t="s">
        <v>1647</v>
      </c>
      <c r="J400" s="83" t="s">
        <v>149</v>
      </c>
      <c r="K400" s="83" t="s">
        <v>315</v>
      </c>
      <c r="L400" s="83" t="s">
        <v>151</v>
      </c>
      <c r="M400" s="83" t="s">
        <v>512</v>
      </c>
      <c r="N400" s="115" t="s">
        <v>170</v>
      </c>
      <c r="O400" s="98" t="s">
        <v>155</v>
      </c>
      <c r="P400" s="99" t="str">
        <f>IFERROR(__xludf.DUMMYFUNCTION("IFERROR(VLOOKUP(AS400,IMPORTRANGE(""https://docs.google.com/spreadsheets/d/1juPI-Fb8LD0YtltB2mlGEnp_R3UVu1t3wSFPzgCyHXE/edit?gid=0#gid=0"",""GERAL!A2:C""),3,0),""-"")"),"INDÍGENAS")</f>
        <v>INDÍGENAS</v>
      </c>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v>1178507.0</v>
      </c>
    </row>
    <row r="401" ht="15.75" customHeight="1">
      <c r="A401" s="111" t="s">
        <v>451</v>
      </c>
      <c r="B401" s="83" t="s">
        <v>1634</v>
      </c>
      <c r="C401" s="83" t="s">
        <v>164</v>
      </c>
      <c r="D401" s="112">
        <v>1177011.0</v>
      </c>
      <c r="E401" s="83">
        <v>1178508.0</v>
      </c>
      <c r="F401" s="83"/>
      <c r="G401" s="91" t="str">
        <f>IFERROR(__xludf.DUMMYFUNCTION("XLOOKUP(AS401,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CARAMURU PARAGUACU - ALDEIA - POVOADO DE AGUA VERMELHA")</f>
        <v>ANEXO DO COLÉGIO ESTADUAL INDIGENA CARAMURU PARAGUACU - ALDEIA - POVOADO DE AGUA VERMELHA</v>
      </c>
      <c r="H401" s="185" t="s">
        <v>1648</v>
      </c>
      <c r="I401" s="91" t="s">
        <v>1649</v>
      </c>
      <c r="J401" s="136" t="s">
        <v>149</v>
      </c>
      <c r="K401" s="136" t="s">
        <v>315</v>
      </c>
      <c r="L401" s="136" t="s">
        <v>151</v>
      </c>
      <c r="M401" s="136" t="s">
        <v>512</v>
      </c>
      <c r="N401" s="115" t="s">
        <v>170</v>
      </c>
      <c r="O401" s="98" t="s">
        <v>155</v>
      </c>
      <c r="P401" s="99" t="str">
        <f>IFERROR(__xludf.DUMMYFUNCTION("IFERROR(VLOOKUP(AS401,IMPORTRANGE(""https://docs.google.com/spreadsheets/d/1juPI-Fb8LD0YtltB2mlGEnp_R3UVu1t3wSFPzgCyHXE/edit?gid=0#gid=0"",""GERAL!A2:C""),3,0),""-"")"),"INDÍGENAS")</f>
        <v>INDÍGENAS</v>
      </c>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v>1178508.0</v>
      </c>
    </row>
    <row r="402" ht="15.75" customHeight="1">
      <c r="A402" s="111" t="s">
        <v>451</v>
      </c>
      <c r="B402" s="83" t="s">
        <v>1650</v>
      </c>
      <c r="C402" s="83" t="s">
        <v>68</v>
      </c>
      <c r="D402" s="112">
        <v>1177004.0</v>
      </c>
      <c r="E402" s="83"/>
      <c r="F402" s="83">
        <v>2.9406668E7</v>
      </c>
      <c r="G402" s="91" t="str">
        <f>IFERROR(__xludf.DUMMYFUNCTION("XLOOKUP(AS402,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JORGE AMADO")</f>
        <v>COLÉGIO ESTADUAL JORGE AMADO</v>
      </c>
      <c r="H402" s="119" t="s">
        <v>1651</v>
      </c>
      <c r="I402" s="91" t="s">
        <v>1652</v>
      </c>
      <c r="J402" s="83" t="s">
        <v>149</v>
      </c>
      <c r="K402" s="83" t="s">
        <v>150</v>
      </c>
      <c r="L402" s="83" t="s">
        <v>151</v>
      </c>
      <c r="M402" s="83" t="s">
        <v>76</v>
      </c>
      <c r="N402" s="98" t="s">
        <v>1653</v>
      </c>
      <c r="O402" s="98" t="s">
        <v>155</v>
      </c>
      <c r="P402" s="99" t="str">
        <f>IFERROR(__xludf.DUMMYFUNCTION("IFERROR(VLOOKUP(AS402,IMPORTRANGE(""https://docs.google.com/spreadsheets/d/1juPI-Fb8LD0YtltB2mlGEnp_R3UVu1t3wSFPzgCyHXE/edit?gid=0#gid=0"",""GERAL!A2:C""),3,0),""-"")"),"-")</f>
        <v>-</v>
      </c>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v>1177004.0</v>
      </c>
    </row>
    <row r="403" ht="15.75" customHeight="1">
      <c r="A403" s="111" t="s">
        <v>451</v>
      </c>
      <c r="B403" s="83" t="s">
        <v>1654</v>
      </c>
      <c r="C403" s="83" t="s">
        <v>68</v>
      </c>
      <c r="D403" s="112">
        <v>1170912.0</v>
      </c>
      <c r="E403" s="83"/>
      <c r="F403" s="83">
        <v>2.9313171E7</v>
      </c>
      <c r="G403" s="91" t="str">
        <f>IFERROR(__xludf.DUMMYFUNCTION("XLOOKUP(AS403,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13 DE JUNHO - TEMPO INTEGRAL")</f>
        <v>COLÉGIO ESTADUAL 13 DE JUNHO - TEMPO INTEGRAL</v>
      </c>
      <c r="H403" s="119" t="s">
        <v>1655</v>
      </c>
      <c r="I403" s="91" t="s">
        <v>1656</v>
      </c>
      <c r="J403" s="83" t="s">
        <v>149</v>
      </c>
      <c r="K403" s="83" t="s">
        <v>150</v>
      </c>
      <c r="L403" s="83" t="s">
        <v>151</v>
      </c>
      <c r="M403" s="83" t="s">
        <v>76</v>
      </c>
      <c r="N403" s="98" t="s">
        <v>1657</v>
      </c>
      <c r="O403" s="98" t="s">
        <v>155</v>
      </c>
      <c r="P403" s="99" t="str">
        <f>IFERROR(__xludf.DUMMYFUNCTION("IFERROR(VLOOKUP(AS403,IMPORTRANGE(""https://docs.google.com/spreadsheets/d/1juPI-Fb8LD0YtltB2mlGEnp_R3UVu1t3wSFPzgCyHXE/edit?gid=0#gid=0"",""GERAL!A2:C""),3,0),""-"")"),"-")</f>
        <v>-</v>
      </c>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v>1170912.0</v>
      </c>
    </row>
    <row r="404" ht="15.75" customHeight="1">
      <c r="A404" s="111" t="s">
        <v>451</v>
      </c>
      <c r="B404" s="83" t="s">
        <v>1658</v>
      </c>
      <c r="C404" s="83" t="s">
        <v>68</v>
      </c>
      <c r="D404" s="112">
        <v>1112777.0</v>
      </c>
      <c r="E404" s="83"/>
      <c r="F404" s="83">
        <v>2.9313848E7</v>
      </c>
      <c r="G404" s="91" t="str">
        <f>IFERROR(__xludf.DUMMYFUNCTION("XLOOKUP(AS404,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OCTACILIO MANOEL GOMES")</f>
        <v>COLÉGIO ESTADUAL DE TEMPO INTEGRAL OCTACILIO MANOEL GOMES</v>
      </c>
      <c r="H404" s="119" t="s">
        <v>1659</v>
      </c>
      <c r="I404" s="91" t="s">
        <v>1660</v>
      </c>
      <c r="J404" s="172" t="s">
        <v>149</v>
      </c>
      <c r="K404" s="83" t="s">
        <v>150</v>
      </c>
      <c r="L404" s="83" t="s">
        <v>151</v>
      </c>
      <c r="M404" s="83" t="s">
        <v>152</v>
      </c>
      <c r="N404" s="98" t="s">
        <v>1661</v>
      </c>
      <c r="O404" s="98" t="s">
        <v>176</v>
      </c>
      <c r="P404" s="99" t="str">
        <f>IFERROR(__xludf.DUMMYFUNCTION("IFERROR(VLOOKUP(AS404,IMPORTRANGE(""https://docs.google.com/spreadsheets/d/1juPI-Fb8LD0YtltB2mlGEnp_R3UVu1t3wSFPzgCyHXE/edit?gid=0#gid=0"",""GERAL!A2:C""),3,0),""-"")"),"-")</f>
        <v>-</v>
      </c>
      <c r="Q404" s="101" t="s">
        <v>156</v>
      </c>
      <c r="R404" s="98">
        <v>12.0</v>
      </c>
      <c r="S404" s="98">
        <v>0.0</v>
      </c>
      <c r="T404" s="98">
        <v>1.0</v>
      </c>
      <c r="U404" s="98">
        <v>1.0</v>
      </c>
      <c r="V404" s="98">
        <v>1.0</v>
      </c>
      <c r="W404" s="98">
        <v>0.0</v>
      </c>
      <c r="X404" s="98">
        <v>1.0</v>
      </c>
      <c r="Y404" s="98">
        <v>0.0</v>
      </c>
      <c r="Z404" s="98">
        <v>1.0</v>
      </c>
      <c r="AA404" s="98">
        <v>0.0</v>
      </c>
      <c r="AB404" s="98">
        <v>0.0</v>
      </c>
      <c r="AC404" s="98">
        <v>0.0</v>
      </c>
      <c r="AD404" s="98">
        <v>0.0</v>
      </c>
      <c r="AE404" s="98">
        <v>0.0</v>
      </c>
      <c r="AF404" s="98">
        <v>1.0</v>
      </c>
      <c r="AG404" s="98">
        <v>0.0</v>
      </c>
      <c r="AH404" s="98">
        <v>0.0</v>
      </c>
      <c r="AI404" s="98">
        <v>0.0</v>
      </c>
      <c r="AJ404" s="98">
        <v>0.0</v>
      </c>
      <c r="AK404" s="98">
        <v>0.0</v>
      </c>
      <c r="AL404" s="98">
        <v>0.0</v>
      </c>
      <c r="AM404" s="98">
        <v>0.0</v>
      </c>
      <c r="AN404" s="98">
        <v>0.0</v>
      </c>
      <c r="AO404" s="98">
        <v>0.0</v>
      </c>
      <c r="AP404" s="98">
        <v>1.0</v>
      </c>
      <c r="AQ404" s="98" t="s">
        <v>1662</v>
      </c>
      <c r="AR404" s="102">
        <v>46226.0</v>
      </c>
      <c r="AS404" s="83">
        <v>1112777.0</v>
      </c>
    </row>
    <row r="405" ht="15.75" customHeight="1">
      <c r="A405" s="111" t="s">
        <v>451</v>
      </c>
      <c r="B405" s="83" t="s">
        <v>1663</v>
      </c>
      <c r="C405" s="83" t="s">
        <v>68</v>
      </c>
      <c r="D405" s="112">
        <v>1139136.0</v>
      </c>
      <c r="E405" s="83"/>
      <c r="F405" s="83">
        <v>2.9315492E7</v>
      </c>
      <c r="G405" s="91" t="str">
        <f>IFERROR(__xludf.DUMMYFUNCTION("XLOOKUP(AS405,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MENANDRO MINAHIM")</f>
        <v>COLÉGIO ESTADUAL MENANDRO MINAHIM</v>
      </c>
      <c r="H405" s="119" t="s">
        <v>1664</v>
      </c>
      <c r="I405" s="91" t="s">
        <v>1665</v>
      </c>
      <c r="J405" s="172" t="s">
        <v>149</v>
      </c>
      <c r="K405" s="83" t="s">
        <v>150</v>
      </c>
      <c r="L405" s="83" t="s">
        <v>151</v>
      </c>
      <c r="M405" s="83" t="s">
        <v>152</v>
      </c>
      <c r="N405" s="98" t="s">
        <v>1666</v>
      </c>
      <c r="O405" s="98" t="s">
        <v>155</v>
      </c>
      <c r="P405" s="99" t="str">
        <f>IFERROR(__xludf.DUMMYFUNCTION("IFERROR(VLOOKUP(AS405,IMPORTRANGE(""https://docs.google.com/spreadsheets/d/1juPI-Fb8LD0YtltB2mlGEnp_R3UVu1t3wSFPzgCyHXE/edit?gid=0#gid=0"",""GERAL!A2:C""),3,0),""-"")"),"-")</f>
        <v>-</v>
      </c>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v>1139136.0</v>
      </c>
    </row>
    <row r="406" ht="15.75" customHeight="1">
      <c r="A406" s="111" t="s">
        <v>451</v>
      </c>
      <c r="B406" s="83" t="s">
        <v>1663</v>
      </c>
      <c r="C406" s="83" t="s">
        <v>164</v>
      </c>
      <c r="D406" s="112">
        <v>1179701.0</v>
      </c>
      <c r="E406" s="83">
        <v>1178496.0</v>
      </c>
      <c r="F406" s="83"/>
      <c r="G406" s="91" t="str">
        <f>IFERROR(__xludf.DUMMYFUNCTION("XLOOKUP(AS406,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LITORAL SUL - DISTRITO VILA BRASIL")</f>
        <v>ANEXO - CEMIT - LITORAL SUL - DISTRITO VILA BRASIL</v>
      </c>
      <c r="H406" s="114" t="s">
        <v>1667</v>
      </c>
      <c r="I406" s="91" t="s">
        <v>1668</v>
      </c>
      <c r="J406" s="172" t="s">
        <v>171</v>
      </c>
      <c r="K406" s="83" t="s">
        <v>187</v>
      </c>
      <c r="L406" s="83" t="s">
        <v>151</v>
      </c>
      <c r="M406" s="83" t="s">
        <v>169</v>
      </c>
      <c r="N406" s="115" t="s">
        <v>170</v>
      </c>
      <c r="O406" s="98" t="s">
        <v>155</v>
      </c>
      <c r="P406" s="99" t="str">
        <f>IFERROR(__xludf.DUMMYFUNCTION("IFERROR(VLOOKUP(AS406,IMPORTRANGE(""https://docs.google.com/spreadsheets/d/1juPI-Fb8LD0YtltB2mlGEnp_R3UVu1t3wSFPzgCyHXE/edit?gid=0#gid=0"",""GERAL!A2:C""),3,0),""-"")"),"CAMPO")</f>
        <v>CAMPO</v>
      </c>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v>1178496.0</v>
      </c>
    </row>
    <row r="407" ht="15.75" customHeight="1">
      <c r="A407" s="111" t="s">
        <v>451</v>
      </c>
      <c r="B407" s="83" t="s">
        <v>1669</v>
      </c>
      <c r="C407" s="83" t="s">
        <v>68</v>
      </c>
      <c r="D407" s="112">
        <v>1179595.0</v>
      </c>
      <c r="E407" s="83"/>
      <c r="F407" s="83">
        <v>2.9470358E7</v>
      </c>
      <c r="G407" s="91" t="str">
        <f>IFERROR(__xludf.DUMMYFUNCTION("XLOOKUP(AS407,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DE TEMPO INTEGRAL DE SERRA GRANDE")</f>
        <v>COLEGIO ESTADUAL DO CAMPO DE TEMPO INTEGRAL DE SERRA GRANDE</v>
      </c>
      <c r="H407" s="119" t="s">
        <v>1670</v>
      </c>
      <c r="I407" s="91" t="s">
        <v>1671</v>
      </c>
      <c r="J407" s="172" t="s">
        <v>1672</v>
      </c>
      <c r="K407" s="83" t="s">
        <v>464</v>
      </c>
      <c r="L407" s="83" t="s">
        <v>1673</v>
      </c>
      <c r="M407" s="83" t="s">
        <v>76</v>
      </c>
      <c r="N407" s="98" t="s">
        <v>1674</v>
      </c>
      <c r="O407" s="98" t="s">
        <v>155</v>
      </c>
      <c r="P407" s="99" t="str">
        <f>IFERROR(__xludf.DUMMYFUNCTION("IFERROR(VLOOKUP(AS407,IMPORTRANGE(""https://docs.google.com/spreadsheets/d/1juPI-Fb8LD0YtltB2mlGEnp_R3UVu1t3wSFPzgCyHXE/edit?gid=0#gid=0"",""GERAL!A2:C""),3,0),""-"")"),"CAMPO")</f>
        <v>CAMPO</v>
      </c>
      <c r="Q407" s="83"/>
      <c r="R407" s="98"/>
      <c r="S407" s="83"/>
      <c r="T407" s="83"/>
      <c r="U407" s="83"/>
      <c r="V407" s="83"/>
      <c r="W407" s="83"/>
      <c r="X407" s="98"/>
      <c r="Y407" s="98"/>
      <c r="Z407" s="98"/>
      <c r="AA407" s="98"/>
      <c r="AB407" s="98"/>
      <c r="AC407" s="98"/>
      <c r="AD407" s="98"/>
      <c r="AE407" s="98"/>
      <c r="AF407" s="98"/>
      <c r="AG407" s="98"/>
      <c r="AH407" s="98"/>
      <c r="AI407" s="98"/>
      <c r="AJ407" s="98"/>
      <c r="AK407" s="98"/>
      <c r="AL407" s="98"/>
      <c r="AM407" s="98"/>
      <c r="AN407" s="98"/>
      <c r="AO407" s="98"/>
      <c r="AP407" s="83"/>
      <c r="AQ407" s="83"/>
      <c r="AR407" s="83"/>
      <c r="AS407" s="83">
        <v>1179595.0</v>
      </c>
    </row>
    <row r="408" ht="15.75" customHeight="1">
      <c r="A408" s="111" t="s">
        <v>451</v>
      </c>
      <c r="B408" s="83" t="s">
        <v>1669</v>
      </c>
      <c r="C408" s="83" t="s">
        <v>68</v>
      </c>
      <c r="D408" s="112">
        <v>1159790.0</v>
      </c>
      <c r="E408" s="83"/>
      <c r="F408" s="83">
        <v>2.931626E7</v>
      </c>
      <c r="G408" s="91" t="str">
        <f>IFERROR(__xludf.DUMMYFUNCTION("XLOOKUP(AS408,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CARNEIRO RIBEIRO")</f>
        <v>COLÉGIO ESTADUAL DE TEMPO INTEGRAL CARNEIRO RIBEIRO</v>
      </c>
      <c r="H408" s="119" t="s">
        <v>1675</v>
      </c>
      <c r="I408" s="91" t="s">
        <v>1676</v>
      </c>
      <c r="J408" s="172" t="s">
        <v>149</v>
      </c>
      <c r="K408" s="83" t="s">
        <v>150</v>
      </c>
      <c r="L408" s="83" t="s">
        <v>151</v>
      </c>
      <c r="M408" s="83" t="s">
        <v>152</v>
      </c>
      <c r="N408" s="98" t="s">
        <v>1677</v>
      </c>
      <c r="O408" s="98" t="s">
        <v>155</v>
      </c>
      <c r="P408" s="99" t="str">
        <f>IFERROR(__xludf.DUMMYFUNCTION("IFERROR(VLOOKUP(AS408,IMPORTRANGE(""https://docs.google.com/spreadsheets/d/1juPI-Fb8LD0YtltB2mlGEnp_R3UVu1t3wSFPzgCyHXE/edit?gid=0#gid=0"",""GERAL!A2:C""),3,0),""-"")"),"-")</f>
        <v>-</v>
      </c>
      <c r="Q408" s="83"/>
      <c r="R408" s="98"/>
      <c r="S408" s="98"/>
      <c r="T408" s="98"/>
      <c r="U408" s="83"/>
      <c r="V408" s="83"/>
      <c r="W408" s="83"/>
      <c r="X408" s="98"/>
      <c r="Y408" s="98"/>
      <c r="Z408" s="98"/>
      <c r="AA408" s="98"/>
      <c r="AB408" s="98"/>
      <c r="AC408" s="98"/>
      <c r="AD408" s="98"/>
      <c r="AE408" s="98"/>
      <c r="AF408" s="98"/>
      <c r="AG408" s="98"/>
      <c r="AH408" s="98"/>
      <c r="AI408" s="98"/>
      <c r="AJ408" s="98"/>
      <c r="AK408" s="98"/>
      <c r="AL408" s="98"/>
      <c r="AM408" s="98"/>
      <c r="AN408" s="98"/>
      <c r="AO408" s="98"/>
      <c r="AP408" s="98"/>
      <c r="AQ408" s="83"/>
      <c r="AR408" s="83"/>
      <c r="AS408" s="83">
        <v>1159790.0</v>
      </c>
    </row>
    <row r="409" ht="15.75" customHeight="1">
      <c r="A409" s="111" t="s">
        <v>540</v>
      </c>
      <c r="B409" s="83" t="s">
        <v>1678</v>
      </c>
      <c r="C409" s="83" t="s">
        <v>68</v>
      </c>
      <c r="D409" s="112">
        <v>1108966.0</v>
      </c>
      <c r="E409" s="83"/>
      <c r="F409" s="83">
        <v>2.916177E7</v>
      </c>
      <c r="G409" s="91" t="str">
        <f>IFERROR(__xludf.DUMMYFUNCTION("XLOOKUP(AS409,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 ROCHA PITA ")</f>
        <v>COLEGIO ESTADUAL DE TEMPO INTEGRAL PROFESSOR ROCHA PITA </v>
      </c>
      <c r="H409" s="119" t="s">
        <v>1679</v>
      </c>
      <c r="I409" s="108" t="s">
        <v>1680</v>
      </c>
      <c r="J409" s="83" t="s">
        <v>149</v>
      </c>
      <c r="K409" s="83" t="s">
        <v>150</v>
      </c>
      <c r="L409" s="83" t="s">
        <v>168</v>
      </c>
      <c r="M409" s="83" t="s">
        <v>152</v>
      </c>
      <c r="N409" s="98" t="s">
        <v>1681</v>
      </c>
      <c r="O409" s="98" t="s">
        <v>162</v>
      </c>
      <c r="P409" s="99" t="str">
        <f>IFERROR(__xludf.DUMMYFUNCTION("IFERROR(VLOOKUP(AS409,IMPORTRANGE(""https://docs.google.com/spreadsheets/d/1juPI-Fb8LD0YtltB2mlGEnp_R3UVu1t3wSFPzgCyHXE/edit?gid=0#gid=0"",""GERAL!A2:C""),3,0),""-"")"),"-")</f>
        <v>-</v>
      </c>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v>1108966.0</v>
      </c>
    </row>
    <row r="410" ht="15.75" customHeight="1">
      <c r="A410" s="111" t="s">
        <v>540</v>
      </c>
      <c r="B410" s="83" t="s">
        <v>1682</v>
      </c>
      <c r="C410" s="83" t="s">
        <v>68</v>
      </c>
      <c r="D410" s="112">
        <v>1142862.0</v>
      </c>
      <c r="E410" s="83"/>
      <c r="F410" s="83">
        <v>2.9285534E7</v>
      </c>
      <c r="G410" s="91" t="str">
        <f>IFERROR(__xludf.DUMMYFUNCTION("XLOOKUP(AS410,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CÂNDIDO MEIRELES - TEMPO INTEGRAL")</f>
        <v>COLÉGIO ESTADUAL CÂNDIDO MEIRELES - TEMPO INTEGRAL</v>
      </c>
      <c r="H410" s="114" t="s">
        <v>1683</v>
      </c>
      <c r="I410" s="91" t="s">
        <v>1684</v>
      </c>
      <c r="J410" s="83" t="s">
        <v>149</v>
      </c>
      <c r="K410" s="83" t="s">
        <v>150</v>
      </c>
      <c r="L410" s="83" t="s">
        <v>1685</v>
      </c>
      <c r="M410" s="83" t="s">
        <v>152</v>
      </c>
      <c r="N410" s="98" t="s">
        <v>1686</v>
      </c>
      <c r="O410" s="98" t="s">
        <v>155</v>
      </c>
      <c r="P410" s="99" t="str">
        <f>IFERROR(__xludf.DUMMYFUNCTION("IFERROR(VLOOKUP(AS410,IMPORTRANGE(""https://docs.google.com/spreadsheets/d/1juPI-Fb8LD0YtltB2mlGEnp_R3UVu1t3wSFPzgCyHXE/edit?gid=0#gid=0"",""GERAL!A2:C""),3,0),""-"")"),"-")</f>
        <v>-</v>
      </c>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c r="AL410" s="136"/>
      <c r="AM410" s="136"/>
      <c r="AN410" s="136"/>
      <c r="AO410" s="136"/>
      <c r="AP410" s="136"/>
      <c r="AQ410" s="136"/>
      <c r="AR410" s="136"/>
      <c r="AS410" s="136">
        <v>1142862.0</v>
      </c>
    </row>
    <row r="411" ht="15.75" customHeight="1">
      <c r="A411" s="111" t="s">
        <v>540</v>
      </c>
      <c r="B411" s="83" t="s">
        <v>1682</v>
      </c>
      <c r="C411" s="83" t="s">
        <v>164</v>
      </c>
      <c r="D411" s="112">
        <v>1142862.0</v>
      </c>
      <c r="E411" s="83">
        <v>1178330.0</v>
      </c>
      <c r="F411" s="83"/>
      <c r="G411" s="91" t="str">
        <f>IFERROR(__xludf.DUMMYFUNCTION("XLOOKUP(AS411,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CÂNDIDO MEIRELES - DISTRITO DE MORRO DE SÃO PAULO")</f>
        <v>ANEXO - COLÉGIO ESTADUAL CÂNDIDO MEIRELES - DISTRITO DE MORRO DE SÃO PAULO</v>
      </c>
      <c r="H411" s="114" t="s">
        <v>1687</v>
      </c>
      <c r="I411" s="91" t="s">
        <v>1688</v>
      </c>
      <c r="J411" s="83" t="s">
        <v>1689</v>
      </c>
      <c r="K411" s="83" t="s">
        <v>1690</v>
      </c>
      <c r="L411" s="83" t="s">
        <v>168</v>
      </c>
      <c r="M411" s="83" t="s">
        <v>169</v>
      </c>
      <c r="N411" s="115" t="s">
        <v>170</v>
      </c>
      <c r="O411" s="98" t="s">
        <v>155</v>
      </c>
      <c r="P411" s="99" t="str">
        <f>IFERROR(__xludf.DUMMYFUNCTION("IFERROR(VLOOKUP(AS411,IMPORTRANGE(""https://docs.google.com/spreadsheets/d/1juPI-Fb8LD0YtltB2mlGEnp_R3UVu1t3wSFPzgCyHXE/edit?gid=0#gid=0"",""GERAL!A2:C""),3,0),""-"")"),"CAMPO")</f>
        <v>CAMPO</v>
      </c>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c r="AL411" s="136"/>
      <c r="AM411" s="136"/>
      <c r="AN411" s="136"/>
      <c r="AO411" s="136"/>
      <c r="AP411" s="136"/>
      <c r="AQ411" s="136"/>
      <c r="AR411" s="136"/>
      <c r="AS411" s="136">
        <v>1178330.0</v>
      </c>
    </row>
    <row r="412" ht="15.75" customHeight="1">
      <c r="A412" s="111" t="s">
        <v>540</v>
      </c>
      <c r="B412" s="83" t="s">
        <v>1682</v>
      </c>
      <c r="C412" s="83" t="s">
        <v>164</v>
      </c>
      <c r="D412" s="112">
        <v>1142862.0</v>
      </c>
      <c r="E412" s="83">
        <v>1178481.0</v>
      </c>
      <c r="F412" s="83"/>
      <c r="G412" s="91" t="str">
        <f>IFERROR(__xludf.DUMMYFUNCTION("XLOOKUP(AS412,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CÂNDIDO MEIRELES - DISTRITO DE GAMBOA")</f>
        <v>ANEXO - COLÉGIO ESTADUAL CÂNDIDO MEIRELES - DISTRITO DE GAMBOA</v>
      </c>
      <c r="H412" s="114" t="s">
        <v>1691</v>
      </c>
      <c r="I412" s="91" t="s">
        <v>1692</v>
      </c>
      <c r="J412" s="83" t="s">
        <v>149</v>
      </c>
      <c r="K412" s="83" t="s">
        <v>1693</v>
      </c>
      <c r="L412" s="83" t="s">
        <v>168</v>
      </c>
      <c r="M412" s="83" t="s">
        <v>169</v>
      </c>
      <c r="N412" s="115" t="s">
        <v>170</v>
      </c>
      <c r="O412" s="98" t="s">
        <v>155</v>
      </c>
      <c r="P412" s="99" t="str">
        <f>IFERROR(__xludf.DUMMYFUNCTION("IFERROR(VLOOKUP(AS412,IMPORTRANGE(""https://docs.google.com/spreadsheets/d/1juPI-Fb8LD0YtltB2mlGEnp_R3UVu1t3wSFPzgCyHXE/edit?gid=0#gid=0"",""GERAL!A2:C""),3,0),""-"")"),"CAMPO")</f>
        <v>CAMPO</v>
      </c>
      <c r="Q412" s="136"/>
      <c r="R412" s="136"/>
      <c r="S412" s="136"/>
      <c r="T412" s="136"/>
      <c r="U412" s="136"/>
      <c r="V412" s="136"/>
      <c r="W412" s="136"/>
      <c r="X412" s="136"/>
      <c r="Y412" s="136"/>
      <c r="Z412" s="136"/>
      <c r="AA412" s="136"/>
      <c r="AB412" s="136"/>
      <c r="AC412" s="136"/>
      <c r="AD412" s="136"/>
      <c r="AE412" s="136"/>
      <c r="AF412" s="136"/>
      <c r="AG412" s="136"/>
      <c r="AH412" s="136"/>
      <c r="AI412" s="136"/>
      <c r="AJ412" s="136"/>
      <c r="AK412" s="136"/>
      <c r="AL412" s="136"/>
      <c r="AM412" s="136"/>
      <c r="AN412" s="136"/>
      <c r="AO412" s="136"/>
      <c r="AP412" s="136"/>
      <c r="AQ412" s="136"/>
      <c r="AR412" s="136"/>
      <c r="AS412" s="136">
        <v>1178481.0</v>
      </c>
    </row>
    <row r="413" ht="15.75" customHeight="1">
      <c r="A413" s="111" t="s">
        <v>540</v>
      </c>
      <c r="B413" s="83" t="s">
        <v>1682</v>
      </c>
      <c r="C413" s="83" t="s">
        <v>164</v>
      </c>
      <c r="D413" s="112">
        <v>1142862.0</v>
      </c>
      <c r="E413" s="83">
        <v>1178479.0</v>
      </c>
      <c r="F413" s="83"/>
      <c r="G413" s="91" t="str">
        <f>IFERROR(__xludf.DUMMYFUNCTION("XLOOKUP(AS413,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CÂNDIDO MEIRELES - DISTRITO DE BOIPEBA")</f>
        <v>ANEXO - COLÉGIO ESTADUAL CÂNDIDO MEIRELES - DISTRITO DE BOIPEBA</v>
      </c>
      <c r="H413" s="114" t="s">
        <v>1694</v>
      </c>
      <c r="I413" s="91" t="s">
        <v>1695</v>
      </c>
      <c r="J413" s="83" t="s">
        <v>149</v>
      </c>
      <c r="K413" s="83" t="s">
        <v>1696</v>
      </c>
      <c r="L413" s="83" t="s">
        <v>168</v>
      </c>
      <c r="M413" s="83" t="s">
        <v>169</v>
      </c>
      <c r="N413" s="115" t="s">
        <v>170</v>
      </c>
      <c r="O413" s="98" t="s">
        <v>155</v>
      </c>
      <c r="P413" s="99" t="str">
        <f>IFERROR(__xludf.DUMMYFUNCTION("IFERROR(VLOOKUP(AS413,IMPORTRANGE(""https://docs.google.com/spreadsheets/d/1juPI-Fb8LD0YtltB2mlGEnp_R3UVu1t3wSFPzgCyHXE/edit?gid=0#gid=0"",""GERAL!A2:C""),3,0),""-"")"),"CAMPO")</f>
        <v>CAMPO</v>
      </c>
      <c r="Q413" s="136"/>
      <c r="R413" s="136"/>
      <c r="S413" s="136"/>
      <c r="T413" s="136"/>
      <c r="U413" s="136"/>
      <c r="V413" s="136"/>
      <c r="W413" s="136"/>
      <c r="X413" s="136"/>
      <c r="Y413" s="136"/>
      <c r="Z413" s="136"/>
      <c r="AA413" s="136"/>
      <c r="AB413" s="136"/>
      <c r="AC413" s="136"/>
      <c r="AD413" s="136"/>
      <c r="AE413" s="136"/>
      <c r="AF413" s="136"/>
      <c r="AG413" s="136"/>
      <c r="AH413" s="136"/>
      <c r="AI413" s="136"/>
      <c r="AJ413" s="136"/>
      <c r="AK413" s="136"/>
      <c r="AL413" s="136"/>
      <c r="AM413" s="136"/>
      <c r="AN413" s="136"/>
      <c r="AO413" s="136"/>
      <c r="AP413" s="136"/>
      <c r="AQ413" s="136"/>
      <c r="AR413" s="136"/>
      <c r="AS413" s="136">
        <v>1178479.0</v>
      </c>
    </row>
    <row r="414" ht="15.75" customHeight="1">
      <c r="A414" s="111" t="s">
        <v>540</v>
      </c>
      <c r="B414" s="83" t="s">
        <v>1682</v>
      </c>
      <c r="C414" s="83" t="s">
        <v>164</v>
      </c>
      <c r="D414" s="112">
        <v>1179284.0</v>
      </c>
      <c r="E414" s="83">
        <v>1178482.0</v>
      </c>
      <c r="F414" s="83"/>
      <c r="G414" s="91" t="str">
        <f>IFERROR(__xludf.DUMMYFUNCTION("XLOOKUP(AS414,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 CEMIT DO BAIXO SUL - DISTRITO DE GALEAO")</f>
        <v>ANEXO - CENTRO REGIONAL - CEMIT DO BAIXO SUL - DISTRITO DE GALEAO</v>
      </c>
      <c r="H414" s="114" t="s">
        <v>1697</v>
      </c>
      <c r="I414" s="91" t="s">
        <v>1698</v>
      </c>
      <c r="J414" s="83" t="s">
        <v>149</v>
      </c>
      <c r="K414" s="83" t="s">
        <v>1699</v>
      </c>
      <c r="L414" s="83" t="s">
        <v>168</v>
      </c>
      <c r="M414" s="83" t="s">
        <v>169</v>
      </c>
      <c r="N414" s="115" t="s">
        <v>170</v>
      </c>
      <c r="O414" s="98" t="s">
        <v>155</v>
      </c>
      <c r="P414" s="99" t="str">
        <f>IFERROR(__xludf.DUMMYFUNCTION("IFERROR(VLOOKUP(AS414,IMPORTRANGE(""https://docs.google.com/spreadsheets/d/1juPI-Fb8LD0YtltB2mlGEnp_R3UVu1t3wSFPzgCyHXE/edit?gid=0#gid=0"",""GERAL!A2:C""),3,0),""-"")"),"CAMPO")</f>
        <v>CAMPO</v>
      </c>
      <c r="Q414" s="136"/>
      <c r="R414" s="136"/>
      <c r="S414" s="136"/>
      <c r="T414" s="136"/>
      <c r="U414" s="136"/>
      <c r="V414" s="136"/>
      <c r="W414" s="136"/>
      <c r="X414" s="136"/>
      <c r="Y414" s="136"/>
      <c r="Z414" s="136"/>
      <c r="AA414" s="136"/>
      <c r="AB414" s="136"/>
      <c r="AC414" s="136"/>
      <c r="AD414" s="136"/>
      <c r="AE414" s="136"/>
      <c r="AF414" s="136"/>
      <c r="AG414" s="136"/>
      <c r="AH414" s="136"/>
      <c r="AI414" s="136"/>
      <c r="AJ414" s="136"/>
      <c r="AK414" s="136"/>
      <c r="AL414" s="136"/>
      <c r="AM414" s="136"/>
      <c r="AN414" s="136"/>
      <c r="AO414" s="136"/>
      <c r="AP414" s="136"/>
      <c r="AQ414" s="136"/>
      <c r="AR414" s="136"/>
      <c r="AS414" s="136">
        <v>1178482.0</v>
      </c>
    </row>
    <row r="415" ht="15.75" customHeight="1">
      <c r="A415" s="111" t="s">
        <v>540</v>
      </c>
      <c r="B415" s="83" t="s">
        <v>1682</v>
      </c>
      <c r="C415" s="83" t="s">
        <v>164</v>
      </c>
      <c r="D415" s="112">
        <v>1179284.0</v>
      </c>
      <c r="E415" s="83">
        <v>1178480.0</v>
      </c>
      <c r="F415" s="83"/>
      <c r="G415" s="91" t="str">
        <f>IFERROR(__xludf.DUMMYFUNCTION("XLOOKUP(AS415,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DE SÃO SEBASTIÃO")</f>
        <v>ANEXO - CEMIT BAIXO SUL - DISTRITO DE SÃO SEBASTIÃO</v>
      </c>
      <c r="H415" s="114" t="s">
        <v>1700</v>
      </c>
      <c r="I415" s="91" t="s">
        <v>1701</v>
      </c>
      <c r="J415" s="83" t="s">
        <v>149</v>
      </c>
      <c r="K415" s="83" t="s">
        <v>1702</v>
      </c>
      <c r="L415" s="83" t="s">
        <v>168</v>
      </c>
      <c r="M415" s="83" t="s">
        <v>169</v>
      </c>
      <c r="N415" s="115" t="s">
        <v>170</v>
      </c>
      <c r="O415" s="98" t="s">
        <v>155</v>
      </c>
      <c r="P415" s="99" t="str">
        <f>IFERROR(__xludf.DUMMYFUNCTION("IFERROR(VLOOKUP(AS415,IMPORTRANGE(""https://docs.google.com/spreadsheets/d/1juPI-Fb8LD0YtltB2mlGEnp_R3UVu1t3wSFPzgCyHXE/edit?gid=0#gid=0"",""GERAL!A2:C""),3,0),""-"")"),"-")</f>
        <v>-</v>
      </c>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v>1178480.0</v>
      </c>
    </row>
    <row r="416" ht="15.75" customHeight="1">
      <c r="A416" s="111" t="s">
        <v>540</v>
      </c>
      <c r="B416" s="83" t="s">
        <v>1682</v>
      </c>
      <c r="C416" s="83" t="s">
        <v>164</v>
      </c>
      <c r="D416" s="112">
        <v>1179284.0</v>
      </c>
      <c r="E416" s="83">
        <v>1178483.0</v>
      </c>
      <c r="F416" s="83"/>
      <c r="G416" s="91" t="str">
        <f>IFERROR(__xludf.DUMMYFUNCTION("XLOOKUP(AS416,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DE GARAPUÁ")</f>
        <v>ANEXO - CEMIT BAIXO SUL - DISTRITO DE GARAPUÁ</v>
      </c>
      <c r="H416" s="114" t="s">
        <v>1703</v>
      </c>
      <c r="I416" s="91" t="s">
        <v>1704</v>
      </c>
      <c r="J416" s="83" t="s">
        <v>149</v>
      </c>
      <c r="K416" s="83" t="s">
        <v>1705</v>
      </c>
      <c r="L416" s="83" t="s">
        <v>168</v>
      </c>
      <c r="M416" s="83" t="s">
        <v>169</v>
      </c>
      <c r="N416" s="115" t="s">
        <v>170</v>
      </c>
      <c r="O416" s="98" t="s">
        <v>155</v>
      </c>
      <c r="P416" s="99" t="str">
        <f>IFERROR(__xludf.DUMMYFUNCTION("IFERROR(VLOOKUP(AS416,IMPORTRANGE(""https://docs.google.com/spreadsheets/d/1juPI-Fb8LD0YtltB2mlGEnp_R3UVu1t3wSFPzgCyHXE/edit?gid=0#gid=0"",""GERAL!A2:C""),3,0),""-"")"),"-")</f>
        <v>-</v>
      </c>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c r="AL416" s="136"/>
      <c r="AM416" s="136"/>
      <c r="AN416" s="136"/>
      <c r="AO416" s="136"/>
      <c r="AP416" s="136"/>
      <c r="AQ416" s="136"/>
      <c r="AR416" s="136"/>
      <c r="AS416" s="136">
        <v>1178483.0</v>
      </c>
    </row>
    <row r="417" ht="15.75" customHeight="1">
      <c r="A417" s="111" t="s">
        <v>540</v>
      </c>
      <c r="B417" s="83" t="s">
        <v>1706</v>
      </c>
      <c r="C417" s="83" t="s">
        <v>68</v>
      </c>
      <c r="D417" s="112">
        <v>1110049.0</v>
      </c>
      <c r="E417" s="83"/>
      <c r="F417" s="83">
        <v>2.9285801E7</v>
      </c>
      <c r="G417" s="91" t="str">
        <f>IFERROR(__xludf.DUMMYFUNCTION("XLOOKUP(AS417,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LUIZ ROGÉRIO DE SOUZA")</f>
        <v>COLÉGIO ESTADUAL LUIZ ROGÉRIO DE SOUZA</v>
      </c>
      <c r="H417" s="114" t="s">
        <v>1708</v>
      </c>
      <c r="I417" s="91" t="s">
        <v>1709</v>
      </c>
      <c r="J417" s="83" t="s">
        <v>149</v>
      </c>
      <c r="K417" s="83" t="s">
        <v>150</v>
      </c>
      <c r="L417" s="83" t="s">
        <v>1685</v>
      </c>
      <c r="M417" s="83" t="s">
        <v>230</v>
      </c>
      <c r="N417" s="98" t="s">
        <v>1710</v>
      </c>
      <c r="O417" s="98" t="s">
        <v>155</v>
      </c>
      <c r="P417" s="99" t="str">
        <f>IFERROR(__xludf.DUMMYFUNCTION("IFERROR(VLOOKUP(AS417,IMPORTRANGE(""https://docs.google.com/spreadsheets/d/1juPI-Fb8LD0YtltB2mlGEnp_R3UVu1t3wSFPzgCyHXE/edit?gid=0#gid=0"",""GERAL!A2:C""),3,0),""-"")"),"-")</f>
        <v>-</v>
      </c>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v>1110049.0</v>
      </c>
    </row>
    <row r="418" ht="15.75" customHeight="1">
      <c r="A418" s="111" t="s">
        <v>540</v>
      </c>
      <c r="B418" s="83" t="s">
        <v>1706</v>
      </c>
      <c r="C418" s="83" t="s">
        <v>164</v>
      </c>
      <c r="D418" s="112">
        <v>1110049.0</v>
      </c>
      <c r="E418" s="83">
        <v>1178187.0</v>
      </c>
      <c r="F418" s="83"/>
      <c r="G418" s="91" t="str">
        <f>IFERROR(__xludf.DUMMYFUNCTION("XLOOKUP(AS418,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DO ROSÁRIO COUTINHO SANTANA (ANTIGO - ANEXO AO COLÉGIO ESTADUAL LUIZ ROGERIO DE SOUZA - DIST DE TRAVESSÃO)")</f>
        <v>COLÉGIO ESTADUAL DE TEMPO INTEGRAL MARIA DO ROSÁRIO COUTINHO SANTANA (ANTIGO - ANEXO AO COLÉGIO ESTADUAL LUIZ ROGERIO DE SOUZA - DIST DE TRAVESSÃO)</v>
      </c>
      <c r="H418" s="119" t="s">
        <v>1711</v>
      </c>
      <c r="I418" s="91" t="s">
        <v>1712</v>
      </c>
      <c r="J418" s="83" t="s">
        <v>149</v>
      </c>
      <c r="K418" s="83" t="s">
        <v>641</v>
      </c>
      <c r="L418" s="83" t="s">
        <v>168</v>
      </c>
      <c r="M418" s="83" t="s">
        <v>169</v>
      </c>
      <c r="N418" s="115" t="s">
        <v>170</v>
      </c>
      <c r="O418" s="98" t="s">
        <v>155</v>
      </c>
      <c r="P418" s="99" t="str">
        <f>IFERROR(__xludf.DUMMYFUNCTION("IFERROR(VLOOKUP(AS418,IMPORTRANGE(""https://docs.google.com/spreadsheets/d/1juPI-Fb8LD0YtltB2mlGEnp_R3UVu1t3wSFPzgCyHXE/edit?gid=0#gid=0"",""GERAL!A2:C""),3,0),""-"")"),"CAMPO")</f>
        <v>CAMPO</v>
      </c>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v>1178187.0</v>
      </c>
    </row>
    <row r="419" ht="15.75" customHeight="1">
      <c r="A419" s="111" t="s">
        <v>540</v>
      </c>
      <c r="B419" s="83" t="s">
        <v>1706</v>
      </c>
      <c r="C419" s="83" t="s">
        <v>164</v>
      </c>
      <c r="D419" s="112">
        <v>1179284.0</v>
      </c>
      <c r="E419" s="83">
        <v>1179356.0</v>
      </c>
      <c r="F419" s="83"/>
      <c r="G419" s="91" t="str">
        <f>IFERROR(__xludf.DUMMYFUNCTION("XLOOKUP(AS419,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ILHA GRANDE")</f>
        <v>ANEXO - CEMIT BAIXO SUL - DISTRITO ILHA GRANDE</v>
      </c>
      <c r="H419" s="114" t="s">
        <v>1713</v>
      </c>
      <c r="I419" s="91" t="s">
        <v>1714</v>
      </c>
      <c r="J419" s="83" t="s">
        <v>149</v>
      </c>
      <c r="K419" s="83" t="s">
        <v>1715</v>
      </c>
      <c r="L419" s="83" t="s">
        <v>168</v>
      </c>
      <c r="M419" s="83" t="s">
        <v>169</v>
      </c>
      <c r="N419" s="115" t="s">
        <v>170</v>
      </c>
      <c r="O419" s="98" t="s">
        <v>155</v>
      </c>
      <c r="P419" s="99" t="str">
        <f>IFERROR(__xludf.DUMMYFUNCTION("IFERROR(VLOOKUP(AS419,IMPORTRANGE(""https://docs.google.com/spreadsheets/d/1juPI-Fb8LD0YtltB2mlGEnp_R3UVu1t3wSFPzgCyHXE/edit?gid=0#gid=0"",""GERAL!A2:C""),3,0),""-"")"),"-")</f>
        <v>-</v>
      </c>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v>1179356.0</v>
      </c>
    </row>
    <row r="420" ht="15.75" customHeight="1">
      <c r="A420" s="111" t="s">
        <v>540</v>
      </c>
      <c r="B420" s="83" t="s">
        <v>1716</v>
      </c>
      <c r="C420" s="83" t="s">
        <v>68</v>
      </c>
      <c r="D420" s="112">
        <v>1109814.0</v>
      </c>
      <c r="E420" s="83"/>
      <c r="F420" s="83">
        <v>2.9298954E7</v>
      </c>
      <c r="G420" s="91" t="str">
        <f>IFERROR(__xludf.DUMMYFUNCTION("XLOOKUP(AS420,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POLIVALENTE DE GANDU")</f>
        <v>COLÉGIO ESTADUAL POLIVALENTE DE GANDU</v>
      </c>
      <c r="H420" s="114" t="s">
        <v>1717</v>
      </c>
      <c r="I420" s="91" t="s">
        <v>1718</v>
      </c>
      <c r="J420" s="83" t="s">
        <v>149</v>
      </c>
      <c r="K420" s="83" t="s">
        <v>150</v>
      </c>
      <c r="L420" s="83" t="s">
        <v>1685</v>
      </c>
      <c r="M420" s="83" t="s">
        <v>152</v>
      </c>
      <c r="N420" s="98" t="s">
        <v>1719</v>
      </c>
      <c r="O420" s="98" t="s">
        <v>155</v>
      </c>
      <c r="P420" s="99" t="str">
        <f>IFERROR(__xludf.DUMMYFUNCTION("IFERROR(VLOOKUP(AS420,IMPORTRANGE(""https://docs.google.com/spreadsheets/d/1juPI-Fb8LD0YtltB2mlGEnp_R3UVu1t3wSFPzgCyHXE/edit?gid=0#gid=0"",""GERAL!A2:C""),3,0),""-"")"),"-")</f>
        <v>-</v>
      </c>
      <c r="Q420" s="101" t="s">
        <v>156</v>
      </c>
      <c r="R420" s="98">
        <v>14.0</v>
      </c>
      <c r="S420" s="98">
        <v>0.0</v>
      </c>
      <c r="T420" s="98">
        <v>0.0</v>
      </c>
      <c r="U420" s="98">
        <v>0.0</v>
      </c>
      <c r="V420" s="98">
        <v>0.0</v>
      </c>
      <c r="W420" s="98">
        <v>0.0</v>
      </c>
      <c r="X420" s="98">
        <v>0.0</v>
      </c>
      <c r="Y420" s="98">
        <v>0.0</v>
      </c>
      <c r="Z420" s="98">
        <v>0.0</v>
      </c>
      <c r="AA420" s="98">
        <v>1.0</v>
      </c>
      <c r="AB420" s="98">
        <v>0.0</v>
      </c>
      <c r="AC420" s="98">
        <v>0.0</v>
      </c>
      <c r="AD420" s="98">
        <v>0.0</v>
      </c>
      <c r="AE420" s="98">
        <v>0.0</v>
      </c>
      <c r="AF420" s="98">
        <v>0.0</v>
      </c>
      <c r="AG420" s="98">
        <v>1.0</v>
      </c>
      <c r="AH420" s="98">
        <v>0.0</v>
      </c>
      <c r="AI420" s="98">
        <v>0.0</v>
      </c>
      <c r="AJ420" s="98">
        <v>0.0</v>
      </c>
      <c r="AK420" s="98">
        <v>0.0</v>
      </c>
      <c r="AL420" s="98">
        <v>0.0</v>
      </c>
      <c r="AM420" s="98">
        <v>0.0</v>
      </c>
      <c r="AN420" s="98">
        <v>0.0</v>
      </c>
      <c r="AO420" s="98">
        <v>0.0</v>
      </c>
      <c r="AP420" s="98">
        <v>9.0</v>
      </c>
      <c r="AQ420" s="98" t="s">
        <v>1720</v>
      </c>
      <c r="AR420" s="102">
        <v>46223.0</v>
      </c>
      <c r="AS420" s="83">
        <v>1109814.0</v>
      </c>
    </row>
    <row r="421" ht="15.75" customHeight="1">
      <c r="A421" s="111" t="s">
        <v>540</v>
      </c>
      <c r="B421" s="83" t="s">
        <v>1716</v>
      </c>
      <c r="C421" s="83" t="s">
        <v>68</v>
      </c>
      <c r="D421" s="112">
        <v>1110111.0</v>
      </c>
      <c r="E421" s="83"/>
      <c r="F421" s="83">
        <v>2.9299063E7</v>
      </c>
      <c r="G421" s="91" t="str">
        <f>IFERROR(__xludf.DUMMYFUNCTION("XLOOKUP(AS421,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DO BAIXO SUL")</f>
        <v>CENTRO TERRITORIAL DE EDUCAÇÃO PROFISSIONAL DO BAIXO SUL</v>
      </c>
      <c r="H421" s="114" t="s">
        <v>1721</v>
      </c>
      <c r="I421" s="91" t="s">
        <v>1722</v>
      </c>
      <c r="J421" s="83" t="s">
        <v>149</v>
      </c>
      <c r="K421" s="83" t="s">
        <v>150</v>
      </c>
      <c r="L421" s="83" t="s">
        <v>1685</v>
      </c>
      <c r="M421" s="83" t="s">
        <v>230</v>
      </c>
      <c r="N421" s="98" t="s">
        <v>1723</v>
      </c>
      <c r="O421" s="98" t="s">
        <v>155</v>
      </c>
      <c r="P421" s="99" t="str">
        <f>IFERROR(__xludf.DUMMYFUNCTION("IFERROR(VLOOKUP(AS421,IMPORTRANGE(""https://docs.google.com/spreadsheets/d/1juPI-Fb8LD0YtltB2mlGEnp_R3UVu1t3wSFPzgCyHXE/edit?gid=0#gid=0"",""GERAL!A2:C""),3,0),""-"")"),"-")</f>
        <v>-</v>
      </c>
      <c r="Q421" s="101" t="s">
        <v>156</v>
      </c>
      <c r="R421" s="98">
        <v>18.0</v>
      </c>
      <c r="S421" s="98">
        <v>0.0</v>
      </c>
      <c r="T421" s="98">
        <v>0.0</v>
      </c>
      <c r="U421" s="98">
        <v>0.0</v>
      </c>
      <c r="V421" s="98">
        <v>1.0</v>
      </c>
      <c r="W421" s="98">
        <v>1.0</v>
      </c>
      <c r="X421" s="98">
        <v>0.0</v>
      </c>
      <c r="Y421" s="98">
        <v>0.0</v>
      </c>
      <c r="Z421" s="98">
        <v>0.0</v>
      </c>
      <c r="AA421" s="98">
        <v>1.0</v>
      </c>
      <c r="AB421" s="98">
        <v>0.0</v>
      </c>
      <c r="AC421" s="98">
        <v>0.0</v>
      </c>
      <c r="AD421" s="98">
        <v>0.0</v>
      </c>
      <c r="AE421" s="98">
        <v>0.0</v>
      </c>
      <c r="AF421" s="98">
        <v>1.0</v>
      </c>
      <c r="AG421" s="98">
        <v>0.0</v>
      </c>
      <c r="AH421" s="98">
        <v>0.0</v>
      </c>
      <c r="AI421" s="98">
        <v>0.0</v>
      </c>
      <c r="AJ421" s="98">
        <v>0.0</v>
      </c>
      <c r="AK421" s="98">
        <v>0.0</v>
      </c>
      <c r="AL421" s="98">
        <v>0.0</v>
      </c>
      <c r="AM421" s="98">
        <v>0.0</v>
      </c>
      <c r="AN421" s="98">
        <v>0.0</v>
      </c>
      <c r="AO421" s="98">
        <v>0.0</v>
      </c>
      <c r="AP421" s="98">
        <v>1.0</v>
      </c>
      <c r="AQ421" s="98" t="s">
        <v>1724</v>
      </c>
      <c r="AR421" s="102">
        <v>46223.0</v>
      </c>
      <c r="AS421" s="83">
        <v>1110111.0</v>
      </c>
    </row>
    <row r="422" ht="15.75" customHeight="1">
      <c r="A422" s="111" t="s">
        <v>540</v>
      </c>
      <c r="B422" s="83" t="s">
        <v>1725</v>
      </c>
      <c r="C422" s="83" t="s">
        <v>68</v>
      </c>
      <c r="D422" s="112">
        <v>1178010.0</v>
      </c>
      <c r="E422" s="83"/>
      <c r="F422" s="83">
        <v>2.9423503E7</v>
      </c>
      <c r="G422" s="91" t="str">
        <f>IFERROR(__xludf.DUMMYFUNCTION("XLOOKUP(AS422,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PAULO CÉSAR DA NOVA ALMEIDA - TEMPO INTEGRAL")</f>
        <v>COLÉGIO ESTADUAL PAULO CÉSAR DA NOVA ALMEIDA - TEMPO INTEGRAL</v>
      </c>
      <c r="H422" s="114" t="s">
        <v>1726</v>
      </c>
      <c r="I422" s="91" t="s">
        <v>1727</v>
      </c>
      <c r="J422" s="83" t="s">
        <v>149</v>
      </c>
      <c r="K422" s="83" t="s">
        <v>150</v>
      </c>
      <c r="L422" s="83" t="s">
        <v>1685</v>
      </c>
      <c r="M422" s="83" t="s">
        <v>152</v>
      </c>
      <c r="N422" s="98" t="s">
        <v>1728</v>
      </c>
      <c r="O422" s="98" t="s">
        <v>155</v>
      </c>
      <c r="P422" s="99" t="str">
        <f>IFERROR(__xludf.DUMMYFUNCTION("IFERROR(VLOOKUP(AS422,IMPORTRANGE(""https://docs.google.com/spreadsheets/d/1juPI-Fb8LD0YtltB2mlGEnp_R3UVu1t3wSFPzgCyHXE/edit?gid=0#gid=0"",""GERAL!A2:C""),3,0),""-"")"),"-")</f>
        <v>-</v>
      </c>
      <c r="Q422" s="98" t="s">
        <v>171</v>
      </c>
      <c r="R422" s="98">
        <v>11.0</v>
      </c>
      <c r="S422" s="98">
        <v>0.0</v>
      </c>
      <c r="T422" s="98">
        <v>0.0</v>
      </c>
      <c r="U422" s="98">
        <v>0.0</v>
      </c>
      <c r="V422" s="98">
        <v>0.0</v>
      </c>
      <c r="W422" s="98">
        <v>0.0</v>
      </c>
      <c r="X422" s="98">
        <v>0.0</v>
      </c>
      <c r="Y422" s="98">
        <v>1.0</v>
      </c>
      <c r="Z422" s="98">
        <v>0.0</v>
      </c>
      <c r="AA422" s="98">
        <v>0.0</v>
      </c>
      <c r="AB422" s="98">
        <v>0.0</v>
      </c>
      <c r="AC422" s="98">
        <v>0.0</v>
      </c>
      <c r="AD422" s="98">
        <v>0.0</v>
      </c>
      <c r="AE422" s="98">
        <v>0.0</v>
      </c>
      <c r="AF422" s="98">
        <v>0.0</v>
      </c>
      <c r="AG422" s="98">
        <v>1.0</v>
      </c>
      <c r="AH422" s="98">
        <v>0.0</v>
      </c>
      <c r="AI422" s="98">
        <v>0.0</v>
      </c>
      <c r="AJ422" s="98">
        <v>0.0</v>
      </c>
      <c r="AK422" s="98">
        <v>0.0</v>
      </c>
      <c r="AL422" s="98">
        <v>0.0</v>
      </c>
      <c r="AM422" s="98">
        <v>0.0</v>
      </c>
      <c r="AN422" s="98">
        <v>0.0</v>
      </c>
      <c r="AO422" s="98">
        <v>0.0</v>
      </c>
      <c r="AP422" s="98">
        <v>2.0</v>
      </c>
      <c r="AQ422" s="98" t="s">
        <v>1729</v>
      </c>
      <c r="AR422" s="102">
        <v>46224.0</v>
      </c>
      <c r="AS422" s="83">
        <v>1178010.0</v>
      </c>
    </row>
    <row r="423" ht="15.75" customHeight="1">
      <c r="A423" s="111" t="s">
        <v>540</v>
      </c>
      <c r="B423" s="83" t="s">
        <v>1725</v>
      </c>
      <c r="C423" s="83" t="s">
        <v>68</v>
      </c>
      <c r="D423" s="112">
        <v>1179138.0</v>
      </c>
      <c r="E423" s="83"/>
      <c r="F423" s="83">
        <v>2.9448816E7</v>
      </c>
      <c r="G423" s="91" t="str">
        <f>IFERROR(__xludf.DUMMYFUNCTION("XLOOKUP(AS423,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ANDRELINA EUFRAZIA DE JESUS REIS - DISTRITO DE ITAMARATI")</f>
        <v>COLÉGIO ESTADUAL ANDRELINA EUFRAZIA DE JESUS REIS - DISTRITO DE ITAMARATI</v>
      </c>
      <c r="H423" s="114" t="s">
        <v>1730</v>
      </c>
      <c r="I423" s="91" t="s">
        <v>1731</v>
      </c>
      <c r="J423" s="83" t="s">
        <v>1732</v>
      </c>
      <c r="K423" s="83" t="s">
        <v>1460</v>
      </c>
      <c r="L423" s="83" t="s">
        <v>1685</v>
      </c>
      <c r="M423" s="98" t="s">
        <v>76</v>
      </c>
      <c r="N423" s="98" t="s">
        <v>1733</v>
      </c>
      <c r="O423" s="98" t="s">
        <v>155</v>
      </c>
      <c r="P423" s="99" t="str">
        <f>IFERROR(__xludf.DUMMYFUNCTION("IFERROR(VLOOKUP(AS423,IMPORTRANGE(""https://docs.google.com/spreadsheets/d/1juPI-Fb8LD0YtltB2mlGEnp_R3UVu1t3wSFPzgCyHXE/edit?gid=0#gid=0"",""GERAL!A2:C""),3,0),""-"")"),"CAMPO")</f>
        <v>CAMPO</v>
      </c>
      <c r="Q423" s="98" t="s">
        <v>171</v>
      </c>
      <c r="R423" s="98">
        <v>0.0</v>
      </c>
      <c r="S423" s="98">
        <v>0.0</v>
      </c>
      <c r="T423" s="98">
        <v>0.0</v>
      </c>
      <c r="U423" s="98">
        <v>0.0</v>
      </c>
      <c r="V423" s="98">
        <v>0.0</v>
      </c>
      <c r="W423" s="98">
        <v>0.0</v>
      </c>
      <c r="X423" s="98">
        <v>0.0</v>
      </c>
      <c r="Y423" s="98">
        <v>0.0</v>
      </c>
      <c r="Z423" s="98">
        <v>0.0</v>
      </c>
      <c r="AA423" s="98">
        <v>0.0</v>
      </c>
      <c r="AB423" s="98">
        <v>0.0</v>
      </c>
      <c r="AC423" s="98">
        <v>0.0</v>
      </c>
      <c r="AD423" s="98">
        <v>0.0</v>
      </c>
      <c r="AE423" s="98">
        <v>0.0</v>
      </c>
      <c r="AF423" s="98">
        <v>0.0</v>
      </c>
      <c r="AG423" s="98">
        <v>0.0</v>
      </c>
      <c r="AH423" s="98">
        <v>0.0</v>
      </c>
      <c r="AI423" s="98">
        <v>0.0</v>
      </c>
      <c r="AJ423" s="98">
        <v>0.0</v>
      </c>
      <c r="AK423" s="98">
        <v>0.0</v>
      </c>
      <c r="AL423" s="98">
        <v>0.0</v>
      </c>
      <c r="AM423" s="98">
        <v>0.0</v>
      </c>
      <c r="AN423" s="98">
        <v>0.0</v>
      </c>
      <c r="AO423" s="98">
        <v>0.0</v>
      </c>
      <c r="AP423" s="98">
        <v>2.0</v>
      </c>
      <c r="AQ423" s="98" t="s">
        <v>1734</v>
      </c>
      <c r="AR423" s="102">
        <v>46224.0</v>
      </c>
      <c r="AS423" s="83">
        <v>1179138.0</v>
      </c>
    </row>
    <row r="424" ht="15.75" customHeight="1">
      <c r="A424" s="111" t="s">
        <v>540</v>
      </c>
      <c r="B424" s="83" t="s">
        <v>1735</v>
      </c>
      <c r="C424" s="83" t="s">
        <v>68</v>
      </c>
      <c r="D424" s="112">
        <v>1178082.0</v>
      </c>
      <c r="E424" s="83"/>
      <c r="F424" s="83">
        <v>2.9429269E7</v>
      </c>
      <c r="G424" s="91" t="str">
        <f>IFERROR(__xludf.DUMMYFUNCTION("XLOOKUP(AS424,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NEILTON LIMA MOREIRA")</f>
        <v>COLÉGIO ESTADUAL PROFESSOR NEILTON LIMA MOREIRA</v>
      </c>
      <c r="H424" s="114" t="s">
        <v>1736</v>
      </c>
      <c r="I424" s="91" t="s">
        <v>1737</v>
      </c>
      <c r="J424" s="83" t="s">
        <v>149</v>
      </c>
      <c r="K424" s="83" t="s">
        <v>150</v>
      </c>
      <c r="L424" s="83" t="s">
        <v>1685</v>
      </c>
      <c r="M424" s="83" t="s">
        <v>76</v>
      </c>
      <c r="N424" s="98" t="s">
        <v>1738</v>
      </c>
      <c r="O424" s="98" t="s">
        <v>155</v>
      </c>
      <c r="P424" s="99" t="str">
        <f>IFERROR(__xludf.DUMMYFUNCTION("IFERROR(VLOOKUP(AS424,IMPORTRANGE(""https://docs.google.com/spreadsheets/d/1juPI-Fb8LD0YtltB2mlGEnp_R3UVu1t3wSFPzgCyHXE/edit?gid=0#gid=0"",""GERAL!A2:C""),3,0),""-"")"),"-")</f>
        <v>-</v>
      </c>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v>1178082.0</v>
      </c>
    </row>
    <row r="425" ht="15.75" customHeight="1">
      <c r="A425" s="111" t="s">
        <v>540</v>
      </c>
      <c r="B425" s="83" t="s">
        <v>1735</v>
      </c>
      <c r="C425" s="83" t="s">
        <v>45</v>
      </c>
      <c r="D425" s="98">
        <v>1179759.0</v>
      </c>
      <c r="E425" s="83"/>
      <c r="F425" s="83">
        <v>2.9399203E7</v>
      </c>
      <c r="G425" s="91" t="str">
        <f>IFERROR(__xludf.DUMMYFUNCTION("XLOOKUP(AS425,
IMPORTRANGE(""https://docs.google.com/spreadsheets/d/1YM-djuOLXomrZ9W0B4TyIBsVWnXY4EIOFD9HY-qGfv0/edit?usp=sharing"",""GERAL!BG5:BG""),
IMPORTRANGE(""https://docs.google.com/spreadsheets/d/1YM-djuOLXomrZ9W0B4TyIBsVWnXY4EIOFD9HY-qGfv0/edit?u"&amp;"sp=sharing"",""GERAL!G5:G""),
""CÓD. SEC NÃO ENCONTRADO NA PLANILHA DE MATRÍCULA"")"),"CASA FAMILIAR RURAL DE IGRAPIUNA")</f>
        <v>CASA FAMILIAR RURAL DE IGRAPIUNA</v>
      </c>
      <c r="H425" s="114" t="s">
        <v>1739</v>
      </c>
      <c r="I425" s="91" t="s">
        <v>1740</v>
      </c>
      <c r="J425" s="115" t="s">
        <v>1706</v>
      </c>
      <c r="K425" s="83" t="s">
        <v>1741</v>
      </c>
      <c r="L425" s="83" t="s">
        <v>168</v>
      </c>
      <c r="M425" s="83" t="s">
        <v>512</v>
      </c>
      <c r="N425" s="98" t="s">
        <v>1742</v>
      </c>
      <c r="O425" s="98" t="s">
        <v>155</v>
      </c>
      <c r="P425" s="99" t="str">
        <f>IFERROR(__xludf.DUMMYFUNCTION("IFERROR(VLOOKUP(AS425,IMPORTRANGE(""https://docs.google.com/spreadsheets/d/1juPI-Fb8LD0YtltB2mlGEnp_R3UVu1t3wSFPzgCyHXE/edit?gid=0#gid=0"",""GERAL!A2:C""),3,0),""-"")"),"EFA")</f>
        <v>EFA</v>
      </c>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c r="AN425" s="98"/>
      <c r="AO425" s="98"/>
      <c r="AP425" s="98"/>
      <c r="AQ425" s="98"/>
      <c r="AR425" s="98"/>
      <c r="AS425" s="98">
        <v>1179759.0</v>
      </c>
    </row>
    <row r="426" ht="15.75" customHeight="1">
      <c r="A426" s="111" t="s">
        <v>540</v>
      </c>
      <c r="B426" s="83" t="s">
        <v>1735</v>
      </c>
      <c r="C426" s="83" t="s">
        <v>164</v>
      </c>
      <c r="D426" s="112">
        <v>1179284.0</v>
      </c>
      <c r="E426" s="83">
        <v>1179399.0</v>
      </c>
      <c r="F426" s="83"/>
      <c r="G426" s="91" t="str">
        <f>IFERROR(__xludf.DUMMYFUNCTION("XLOOKUP(AS426,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BAIXO SUL- DISTRITO VALE DO JULIANA")</f>
        <v>ANEXO- CEMIT BAIXO SUL- DISTRITO VALE DO JULIANA</v>
      </c>
      <c r="H426" s="114" t="s">
        <v>1743</v>
      </c>
      <c r="I426" s="91" t="s">
        <v>1744</v>
      </c>
      <c r="J426" s="136" t="s">
        <v>149</v>
      </c>
      <c r="K426" s="83" t="s">
        <v>1745</v>
      </c>
      <c r="L426" s="83" t="s">
        <v>1685</v>
      </c>
      <c r="M426" s="83" t="s">
        <v>169</v>
      </c>
      <c r="N426" s="115" t="s">
        <v>170</v>
      </c>
      <c r="O426" s="98" t="s">
        <v>155</v>
      </c>
      <c r="P426" s="99" t="str">
        <f>IFERROR(__xludf.DUMMYFUNCTION("IFERROR(VLOOKUP(AS426,IMPORTRANGE(""https://docs.google.com/spreadsheets/d/1juPI-Fb8LD0YtltB2mlGEnp_R3UVu1t3wSFPzgCyHXE/edit?gid=0#gid=0"",""GERAL!A2:C""),3,0),""-"")"),"-")</f>
        <v>-</v>
      </c>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v>1179399.0</v>
      </c>
    </row>
    <row r="427" ht="15.75" customHeight="1">
      <c r="A427" s="111" t="s">
        <v>540</v>
      </c>
      <c r="B427" s="83" t="s">
        <v>1735</v>
      </c>
      <c r="C427" s="83" t="s">
        <v>164</v>
      </c>
      <c r="D427" s="112">
        <v>1179284.0</v>
      </c>
      <c r="E427" s="83">
        <v>1179355.0</v>
      </c>
      <c r="F427" s="83"/>
      <c r="G427" s="91" t="str">
        <f>IFERROR(__xludf.DUMMYFUNCTION("XLOOKUP(AS427,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ILHA DO CONTRATO")</f>
        <v>ANEXO - CEMIT BAIXO SUL - DISTRITO ILHA DO CONTRATO</v>
      </c>
      <c r="H427" s="114" t="s">
        <v>1746</v>
      </c>
      <c r="I427" s="91" t="s">
        <v>1747</v>
      </c>
      <c r="J427" s="136" t="s">
        <v>149</v>
      </c>
      <c r="K427" s="83" t="s">
        <v>1748</v>
      </c>
      <c r="L427" s="83" t="s">
        <v>168</v>
      </c>
      <c r="M427" s="83" t="s">
        <v>169</v>
      </c>
      <c r="N427" s="115" t="s">
        <v>170</v>
      </c>
      <c r="O427" s="98" t="s">
        <v>155</v>
      </c>
      <c r="P427" s="99" t="str">
        <f>IFERROR(__xludf.DUMMYFUNCTION("IFERROR(VLOOKUP(AS427,IMPORTRANGE(""https://docs.google.com/spreadsheets/d/1juPI-Fb8LD0YtltB2mlGEnp_R3UVu1t3wSFPzgCyHXE/edit?gid=0#gid=0"",""GERAL!A2:C""),3,0),""-"")"),"-")</f>
        <v>-</v>
      </c>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v>1179355.0</v>
      </c>
    </row>
    <row r="428" ht="15.75" customHeight="1">
      <c r="A428" s="111" t="s">
        <v>540</v>
      </c>
      <c r="B428" s="83" t="s">
        <v>1735</v>
      </c>
      <c r="C428" s="83" t="s">
        <v>164</v>
      </c>
      <c r="D428" s="112">
        <v>1179284.0</v>
      </c>
      <c r="E428" s="83">
        <v>1178484.0</v>
      </c>
      <c r="F428" s="83"/>
      <c r="G428" s="91" t="str">
        <f>IFERROR(__xludf.DUMMYFUNCTION("XLOOKUP(AS428,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DISTRITO DE RIO DO BRAÇO")</f>
        <v>ANEXO - CEMIT - BAIXO SUL - DISTRITO DE RIO DO BRAÇO</v>
      </c>
      <c r="H428" s="114" t="s">
        <v>1749</v>
      </c>
      <c r="I428" s="91" t="s">
        <v>1750</v>
      </c>
      <c r="J428" s="136" t="s">
        <v>149</v>
      </c>
      <c r="K428" s="83" t="s">
        <v>187</v>
      </c>
      <c r="L428" s="83" t="s">
        <v>168</v>
      </c>
      <c r="M428" s="83" t="s">
        <v>169</v>
      </c>
      <c r="N428" s="115" t="s">
        <v>170</v>
      </c>
      <c r="O428" s="98" t="s">
        <v>155</v>
      </c>
      <c r="P428" s="99" t="str">
        <f>IFERROR(__xludf.DUMMYFUNCTION("IFERROR(VLOOKUP(AS428,IMPORTRANGE(""https://docs.google.com/spreadsheets/d/1juPI-Fb8LD0YtltB2mlGEnp_R3UVu1t3wSFPzgCyHXE/edit?gid=0#gid=0"",""GERAL!A2:C""),3,0),""-"")"),"-")</f>
        <v>-</v>
      </c>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v>1178484.0</v>
      </c>
    </row>
    <row r="429" ht="15.75" customHeight="1">
      <c r="A429" s="111" t="s">
        <v>540</v>
      </c>
      <c r="B429" s="83" t="s">
        <v>1751</v>
      </c>
      <c r="C429" s="83" t="s">
        <v>68</v>
      </c>
      <c r="D429" s="112">
        <v>1110251.0</v>
      </c>
      <c r="E429" s="83"/>
      <c r="F429" s="83">
        <v>2.9287235E7</v>
      </c>
      <c r="G429" s="91" t="str">
        <f>IFERROR(__xludf.DUMMYFUNCTION("XLOOKUP(AS429,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IDELZITO ELOY DE ABREU")</f>
        <v>COLÉGIO ESTADUAL IDELZITO ELOY DE ABREU</v>
      </c>
      <c r="H429" s="114" t="s">
        <v>1752</v>
      </c>
      <c r="I429" s="91" t="s">
        <v>1753</v>
      </c>
      <c r="J429" s="83" t="s">
        <v>1754</v>
      </c>
      <c r="K429" s="83" t="s">
        <v>150</v>
      </c>
      <c r="L429" s="83" t="s">
        <v>1685</v>
      </c>
      <c r="M429" s="83" t="s">
        <v>152</v>
      </c>
      <c r="N429" s="98" t="s">
        <v>1755</v>
      </c>
      <c r="O429" s="98" t="s">
        <v>284</v>
      </c>
      <c r="P429" s="99" t="str">
        <f>IFERROR(__xludf.DUMMYFUNCTION("IFERROR(VLOOKUP(AS429,IMPORTRANGE(""https://docs.google.com/spreadsheets/d/1juPI-Fb8LD0YtltB2mlGEnp_R3UVu1t3wSFPzgCyHXE/edit?gid=0#gid=0"",""GERAL!A2:C""),3,0),""-"")"),"-")</f>
        <v>-</v>
      </c>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v>1110251.0</v>
      </c>
    </row>
    <row r="430" ht="15.75" customHeight="1">
      <c r="A430" s="111" t="s">
        <v>540</v>
      </c>
      <c r="B430" s="83" t="s">
        <v>1751</v>
      </c>
      <c r="C430" s="83" t="s">
        <v>164</v>
      </c>
      <c r="D430" s="112">
        <v>1110251.0</v>
      </c>
      <c r="E430" s="83">
        <v>1170701.0</v>
      </c>
      <c r="F430" s="83"/>
      <c r="G430" s="91" t="str">
        <f>IFERROR(__xludf.DUMMYFUNCTION("XLOOKUP(AS430,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IDELZITO ELOY DE ABREU - ASSENTAMENTO JOSINEI HIPÓLITO")</f>
        <v>ANEXO - COLÉGIO ESTADUAL IDELZITO ELOY DE ABREU - ASSENTAMENTO JOSINEI HIPÓLITO</v>
      </c>
      <c r="H430" s="114" t="s">
        <v>1756</v>
      </c>
      <c r="I430" s="91" t="s">
        <v>1757</v>
      </c>
      <c r="J430" s="83" t="s">
        <v>149</v>
      </c>
      <c r="K430" s="83" t="s">
        <v>187</v>
      </c>
      <c r="L430" s="83" t="s">
        <v>1685</v>
      </c>
      <c r="M430" s="83" t="s">
        <v>169</v>
      </c>
      <c r="N430" s="115" t="s">
        <v>170</v>
      </c>
      <c r="O430" s="98" t="s">
        <v>155</v>
      </c>
      <c r="P430" s="99" t="str">
        <f>IFERROR(__xludf.DUMMYFUNCTION("IFERROR(VLOOKUP(AS430,IMPORTRANGE(""https://docs.google.com/spreadsheets/d/1juPI-Fb8LD0YtltB2mlGEnp_R3UVu1t3wSFPzgCyHXE/edit?gid=0#gid=0"",""GERAL!A2:C""),3,0),""-"")"),"ASSENTAMENTOS")</f>
        <v>ASSENTAMENTOS</v>
      </c>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v>1170701.0</v>
      </c>
    </row>
    <row r="431" ht="15.75" customHeight="1">
      <c r="A431" s="111" t="s">
        <v>540</v>
      </c>
      <c r="B431" s="83" t="s">
        <v>1758</v>
      </c>
      <c r="C431" s="83" t="s">
        <v>68</v>
      </c>
      <c r="D431" s="112">
        <v>1109229.0</v>
      </c>
      <c r="E431" s="83"/>
      <c r="F431" s="83">
        <v>2.9166829E7</v>
      </c>
      <c r="G431" s="91" t="str">
        <f>IFERROR(__xludf.DUMMYFUNCTION("XLOOKUP(AS431,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DOUTOR ARISTIDES MALTEZ
(COLÉGIO ESTADUAL DOUTOR ARISTIDES MALTEZ)")</f>
        <v>COLÉGIO ESTADUAL DE TEMPO INTEGRAL DOUTOR ARISTIDES MALTEZ
(COLÉGIO ESTADUAL DOUTOR ARISTIDES MALTEZ)</v>
      </c>
      <c r="H431" s="119" t="s">
        <v>1759</v>
      </c>
      <c r="I431" s="160" t="s">
        <v>1760</v>
      </c>
      <c r="J431" s="83" t="s">
        <v>149</v>
      </c>
      <c r="K431" s="83" t="s">
        <v>150</v>
      </c>
      <c r="L431" s="83" t="s">
        <v>1685</v>
      </c>
      <c r="M431" s="98" t="s">
        <v>152</v>
      </c>
      <c r="N431" s="98" t="s">
        <v>1761</v>
      </c>
      <c r="O431" s="98" t="s">
        <v>162</v>
      </c>
      <c r="P431" s="99" t="str">
        <f>IFERROR(__xludf.DUMMYFUNCTION("IFERROR(VLOOKUP(AS431,IMPORTRANGE(""https://docs.google.com/spreadsheets/d/1juPI-Fb8LD0YtltB2mlGEnp_R3UVu1t3wSFPzgCyHXE/edit?gid=0#gid=0"",""GERAL!A2:C""),3,0),""-"")"),"-")</f>
        <v>-</v>
      </c>
      <c r="Q431" s="98" t="s">
        <v>171</v>
      </c>
      <c r="R431" s="98">
        <v>6.0</v>
      </c>
      <c r="S431" s="98">
        <v>0.0</v>
      </c>
      <c r="T431" s="98">
        <v>1.0</v>
      </c>
      <c r="U431" s="98">
        <v>0.0</v>
      </c>
      <c r="V431" s="98">
        <v>1.0</v>
      </c>
      <c r="W431" s="98">
        <v>2.0</v>
      </c>
      <c r="X431" s="98">
        <v>1.0</v>
      </c>
      <c r="Y431" s="98">
        <v>0.0</v>
      </c>
      <c r="Z431" s="98">
        <v>1.0</v>
      </c>
      <c r="AA431" s="98">
        <v>0.0</v>
      </c>
      <c r="AB431" s="98">
        <v>1.0</v>
      </c>
      <c r="AC431" s="98">
        <v>0.0</v>
      </c>
      <c r="AD431" s="98">
        <v>0.0</v>
      </c>
      <c r="AE431" s="98">
        <v>0.0</v>
      </c>
      <c r="AF431" s="98">
        <v>1.0</v>
      </c>
      <c r="AG431" s="98">
        <v>0.0</v>
      </c>
      <c r="AH431" s="98">
        <v>0.0</v>
      </c>
      <c r="AI431" s="98">
        <v>0.0</v>
      </c>
      <c r="AJ431" s="98">
        <v>1.0</v>
      </c>
      <c r="AK431" s="98">
        <v>0.0</v>
      </c>
      <c r="AL431" s="98">
        <v>0.0</v>
      </c>
      <c r="AM431" s="98">
        <v>0.0</v>
      </c>
      <c r="AN431" s="98">
        <v>0.0</v>
      </c>
      <c r="AO431" s="98">
        <v>0.0</v>
      </c>
      <c r="AP431" s="98">
        <v>0.0</v>
      </c>
      <c r="AQ431" s="98" t="s">
        <v>1762</v>
      </c>
      <c r="AR431" s="102">
        <v>46226.0</v>
      </c>
      <c r="AS431" s="83">
        <v>1109229.0</v>
      </c>
    </row>
    <row r="432" ht="15.75" customHeight="1">
      <c r="A432" s="111" t="s">
        <v>540</v>
      </c>
      <c r="B432" s="83" t="s">
        <v>1758</v>
      </c>
      <c r="C432" s="83" t="s">
        <v>164</v>
      </c>
      <c r="D432" s="112">
        <v>1109229.0</v>
      </c>
      <c r="E432" s="83">
        <v>1179259.0</v>
      </c>
      <c r="F432" s="83"/>
      <c r="G432" s="91" t="str">
        <f>IFERROR(__xludf.DUMMYFUNCTION("XLOOKUP(AS432,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DOUTOR ARISTIDES MALTEZ - DISTRITO DE PALMA")</f>
        <v>ANEXO - COLÉGIO ESTADUAL DOUTOR ARISTIDES MALTEZ - DISTRITO DE PALMA</v>
      </c>
      <c r="H432" s="114" t="s">
        <v>1763</v>
      </c>
      <c r="I432" s="91" t="s">
        <v>1764</v>
      </c>
      <c r="J432" s="83" t="s">
        <v>149</v>
      </c>
      <c r="K432" s="83" t="s">
        <v>1765</v>
      </c>
      <c r="L432" s="83" t="s">
        <v>168</v>
      </c>
      <c r="M432" s="83" t="s">
        <v>169</v>
      </c>
      <c r="N432" s="115" t="s">
        <v>170</v>
      </c>
      <c r="O432" s="98" t="s">
        <v>155</v>
      </c>
      <c r="P432" s="99" t="str">
        <f>IFERROR(__xludf.DUMMYFUNCTION("IFERROR(VLOOKUP(AS432,IMPORTRANGE(""https://docs.google.com/spreadsheets/d/1juPI-Fb8LD0YtltB2mlGEnp_R3UVu1t3wSFPzgCyHXE/edit?gid=0#gid=0"",""GERAL!A2:C""),3,0),""-"")"),"CAMPO")</f>
        <v>CAMPO</v>
      </c>
      <c r="Q432" s="98" t="s">
        <v>171</v>
      </c>
      <c r="R432" s="98">
        <v>7.0</v>
      </c>
      <c r="S432" s="83"/>
      <c r="T432" s="83"/>
      <c r="U432" s="83"/>
      <c r="V432" s="83"/>
      <c r="W432" s="83"/>
      <c r="X432" s="83"/>
      <c r="Y432" s="83"/>
      <c r="Z432" s="83"/>
      <c r="AA432" s="83"/>
      <c r="AB432" s="83"/>
      <c r="AC432" s="83"/>
      <c r="AD432" s="83"/>
      <c r="AE432" s="98"/>
      <c r="AF432" s="83"/>
      <c r="AG432" s="83"/>
      <c r="AH432" s="83"/>
      <c r="AI432" s="83"/>
      <c r="AJ432" s="83"/>
      <c r="AK432" s="83"/>
      <c r="AL432" s="83"/>
      <c r="AM432" s="83"/>
      <c r="AN432" s="83"/>
      <c r="AO432" s="83"/>
      <c r="AP432" s="83"/>
      <c r="AQ432" s="83"/>
      <c r="AR432" s="83"/>
      <c r="AS432" s="83">
        <v>1179259.0</v>
      </c>
    </row>
    <row r="433" ht="15.75" customHeight="1">
      <c r="A433" s="111" t="s">
        <v>540</v>
      </c>
      <c r="B433" s="83" t="s">
        <v>1766</v>
      </c>
      <c r="C433" s="83" t="s">
        <v>68</v>
      </c>
      <c r="D433" s="112">
        <v>1110499.0</v>
      </c>
      <c r="E433" s="83"/>
      <c r="F433" s="83">
        <v>2.9288339E7</v>
      </c>
      <c r="G433" s="91" t="str">
        <f>IFERROR(__xludf.DUMMYFUNCTION("XLOOKUP(AS433,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ADELAIDE SOUZA - TEMPO INTEGRAL")</f>
        <v>COLÉGIO ESTADUAL ADELAIDE SOUZA - TEMPO INTEGRAL</v>
      </c>
      <c r="H433" s="114" t="s">
        <v>1767</v>
      </c>
      <c r="I433" s="91" t="s">
        <v>1768</v>
      </c>
      <c r="J433" s="83" t="s">
        <v>149</v>
      </c>
      <c r="K433" s="83" t="s">
        <v>150</v>
      </c>
      <c r="L433" s="83" t="s">
        <v>1685</v>
      </c>
      <c r="M433" s="83" t="s">
        <v>152</v>
      </c>
      <c r="N433" s="98" t="s">
        <v>1769</v>
      </c>
      <c r="O433" s="98" t="s">
        <v>155</v>
      </c>
      <c r="P433" s="99" t="str">
        <f>IFERROR(__xludf.DUMMYFUNCTION("IFERROR(VLOOKUP(AS433,IMPORTRANGE(""https://docs.google.com/spreadsheets/d/1juPI-Fb8LD0YtltB2mlGEnp_R3UVu1t3wSFPzgCyHXE/edit?gid=0#gid=0"",""GERAL!A2:C""),3,0),""-"")"),"-")</f>
        <v>-</v>
      </c>
      <c r="Q433" s="101" t="s">
        <v>156</v>
      </c>
      <c r="R433" s="98">
        <v>10.0</v>
      </c>
      <c r="S433" s="98">
        <v>1.0</v>
      </c>
      <c r="T433" s="98">
        <v>0.0</v>
      </c>
      <c r="U433" s="98">
        <v>0.0</v>
      </c>
      <c r="V433" s="98">
        <v>0.0</v>
      </c>
      <c r="W433" s="98">
        <v>2.0</v>
      </c>
      <c r="X433" s="98">
        <v>1.0</v>
      </c>
      <c r="Y433" s="98">
        <v>0.0</v>
      </c>
      <c r="Z433" s="98">
        <v>1.0</v>
      </c>
      <c r="AA433" s="98">
        <v>0.0</v>
      </c>
      <c r="AB433" s="98">
        <v>1.0</v>
      </c>
      <c r="AC433" s="98">
        <v>0.0</v>
      </c>
      <c r="AD433" s="98">
        <v>0.0</v>
      </c>
      <c r="AE433" s="98">
        <v>0.0</v>
      </c>
      <c r="AF433" s="98">
        <v>1.0</v>
      </c>
      <c r="AG433" s="98">
        <v>0.0</v>
      </c>
      <c r="AH433" s="98">
        <v>0.0</v>
      </c>
      <c r="AI433" s="98">
        <v>0.0</v>
      </c>
      <c r="AJ433" s="98">
        <v>0.0</v>
      </c>
      <c r="AK433" s="98">
        <v>0.0</v>
      </c>
      <c r="AL433" s="98">
        <v>0.0</v>
      </c>
      <c r="AM433" s="98">
        <v>0.0</v>
      </c>
      <c r="AN433" s="98">
        <v>0.0</v>
      </c>
      <c r="AO433" s="98">
        <v>0.0</v>
      </c>
      <c r="AP433" s="98">
        <v>0.0</v>
      </c>
      <c r="AQ433" s="98" t="s">
        <v>1770</v>
      </c>
      <c r="AR433" s="102">
        <v>46232.0</v>
      </c>
      <c r="AS433" s="83">
        <v>1110499.0</v>
      </c>
    </row>
    <row r="434" ht="15.75" customHeight="1">
      <c r="A434" s="111" t="s">
        <v>540</v>
      </c>
      <c r="B434" s="83" t="s">
        <v>1766</v>
      </c>
      <c r="C434" s="83" t="s">
        <v>45</v>
      </c>
      <c r="D434" s="98">
        <v>1179760.0</v>
      </c>
      <c r="E434" s="83"/>
      <c r="F434" s="83">
        <v>2.939927E7</v>
      </c>
      <c r="G434" s="91" t="str">
        <f>IFERROR(__xludf.DUMMYFUNCTION("XLOOKUP(AS434,
IMPORTRANGE(""https://docs.google.com/spreadsheets/d/1YM-djuOLXomrZ9W0B4TyIBsVWnXY4EIOFD9HY-qGfv0/edit?usp=sharing"",""GERAL!BG5:BG""),
IMPORTRANGE(""https://docs.google.com/spreadsheets/d/1YM-djuOLXomrZ9W0B4TyIBsVWnXY4EIOFD9HY-qGfv0/edit?u"&amp;"sp=sharing"",""GERAL!G5:G""),
""CÓD. SEC NÃO ENCONTRADO NA PLANILHA DE MATRÍCULA"")"),"CASA FAMILIAR AGROFLORESTAL DO BAIXO SUL DA BAHIA - CFAFBS")</f>
        <v>CASA FAMILIAR AGROFLORESTAL DO BAIXO SUL DA BAHIA - CFAFBS</v>
      </c>
      <c r="H434" s="114" t="s">
        <v>1771</v>
      </c>
      <c r="I434" s="91" t="s">
        <v>1772</v>
      </c>
      <c r="J434" s="83" t="s">
        <v>149</v>
      </c>
      <c r="K434" s="83" t="s">
        <v>1773</v>
      </c>
      <c r="L434" s="83" t="s">
        <v>168</v>
      </c>
      <c r="M434" s="83" t="s">
        <v>512</v>
      </c>
      <c r="N434" s="98" t="s">
        <v>1774</v>
      </c>
      <c r="O434" s="98" t="s">
        <v>155</v>
      </c>
      <c r="P434" s="99" t="str">
        <f>IFERROR(__xludf.DUMMYFUNCTION("IFERROR(VLOOKUP(AS434,IMPORTRANGE(""https://docs.google.com/spreadsheets/d/1juPI-Fb8LD0YtltB2mlGEnp_R3UVu1t3wSFPzgCyHXE/edit?gid=0#gid=0"",""GERAL!A2:C""),3,0),""-"")"),"EFA")</f>
        <v>EFA</v>
      </c>
      <c r="Q434" s="98"/>
      <c r="R434" s="98"/>
      <c r="S434" s="98"/>
      <c r="T434" s="98"/>
      <c r="U434" s="98"/>
      <c r="V434" s="98"/>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v>1179760.0</v>
      </c>
    </row>
    <row r="435" ht="15.75" customHeight="1">
      <c r="A435" s="111" t="s">
        <v>540</v>
      </c>
      <c r="B435" s="83" t="s">
        <v>1766</v>
      </c>
      <c r="C435" s="83" t="s">
        <v>164</v>
      </c>
      <c r="D435" s="112">
        <v>1110499.0</v>
      </c>
      <c r="E435" s="83">
        <v>1178414.0</v>
      </c>
      <c r="F435" s="83"/>
      <c r="G435" s="91" t="str">
        <f>IFERROR(__xludf.DUMMYFUNCTION("XLOOKUP(AS435,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ADELAIDE SOUZA  - DISTRITO DE SAO BENEDITO")</f>
        <v>ANEXO - COLÉGIO ESTADUAL ADELAIDE SOUZA  - DISTRITO DE SAO BENEDITO</v>
      </c>
      <c r="H435" s="119" t="s">
        <v>1775</v>
      </c>
      <c r="I435" s="91" t="s">
        <v>1776</v>
      </c>
      <c r="J435" s="83" t="s">
        <v>149</v>
      </c>
      <c r="K435" s="83" t="s">
        <v>244</v>
      </c>
      <c r="L435" s="83" t="s">
        <v>168</v>
      </c>
      <c r="M435" s="83" t="s">
        <v>169</v>
      </c>
      <c r="N435" s="115" t="s">
        <v>170</v>
      </c>
      <c r="O435" s="98" t="s">
        <v>155</v>
      </c>
      <c r="P435" s="99" t="str">
        <f>IFERROR(__xludf.DUMMYFUNCTION("IFERROR(VLOOKUP(AS435,IMPORTRANGE(""https://docs.google.com/spreadsheets/d/1juPI-Fb8LD0YtltB2mlGEnp_R3UVu1t3wSFPzgCyHXE/edit?gid=0#gid=0"",""GERAL!A2:C""),3,0),""-"")"),"CAMPO")</f>
        <v>CAMPO</v>
      </c>
      <c r="Q435" s="98" t="s">
        <v>171</v>
      </c>
      <c r="R435" s="98">
        <v>2.0</v>
      </c>
      <c r="S435" s="98" t="s">
        <v>171</v>
      </c>
      <c r="T435" s="98" t="s">
        <v>171</v>
      </c>
      <c r="U435" s="98" t="s">
        <v>171</v>
      </c>
      <c r="V435" s="98" t="s">
        <v>171</v>
      </c>
      <c r="W435" s="98" t="s">
        <v>171</v>
      </c>
      <c r="X435" s="98" t="s">
        <v>171</v>
      </c>
      <c r="Y435" s="98" t="s">
        <v>171</v>
      </c>
      <c r="Z435" s="98" t="s">
        <v>171</v>
      </c>
      <c r="AA435" s="98" t="s">
        <v>171</v>
      </c>
      <c r="AB435" s="98" t="s">
        <v>171</v>
      </c>
      <c r="AC435" s="98" t="s">
        <v>171</v>
      </c>
      <c r="AD435" s="98" t="s">
        <v>171</v>
      </c>
      <c r="AE435" s="98" t="s">
        <v>171</v>
      </c>
      <c r="AF435" s="98" t="s">
        <v>171</v>
      </c>
      <c r="AG435" s="98" t="s">
        <v>171</v>
      </c>
      <c r="AH435" s="98" t="s">
        <v>171</v>
      </c>
      <c r="AI435" s="98" t="s">
        <v>171</v>
      </c>
      <c r="AJ435" s="98" t="s">
        <v>171</v>
      </c>
      <c r="AK435" s="98" t="s">
        <v>171</v>
      </c>
      <c r="AL435" s="98" t="s">
        <v>171</v>
      </c>
      <c r="AM435" s="98" t="s">
        <v>171</v>
      </c>
      <c r="AN435" s="98" t="s">
        <v>171</v>
      </c>
      <c r="AO435" s="98" t="s">
        <v>171</v>
      </c>
      <c r="AP435" s="98" t="s">
        <v>171</v>
      </c>
      <c r="AQ435" s="98" t="s">
        <v>171</v>
      </c>
      <c r="AR435" s="102">
        <v>46232.0</v>
      </c>
      <c r="AS435" s="83">
        <v>1178414.0</v>
      </c>
    </row>
    <row r="436" ht="15.75" customHeight="1">
      <c r="A436" s="111" t="s">
        <v>540</v>
      </c>
      <c r="B436" s="83" t="s">
        <v>1766</v>
      </c>
      <c r="C436" s="83" t="s">
        <v>164</v>
      </c>
      <c r="D436" s="112">
        <v>1179284.0</v>
      </c>
      <c r="E436" s="83">
        <v>1178486.0</v>
      </c>
      <c r="F436" s="83"/>
      <c r="G436" s="91" t="str">
        <f>IFERROR(__xludf.DUMMYFUNCTION("XLOOKUP(AS436,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 DE SAO FRANCISCO")</f>
        <v>ANEXO - CEMIT - BAIXO SUL - DIST. DE SAO FRANCISCO</v>
      </c>
      <c r="H436" s="114" t="s">
        <v>1777</v>
      </c>
      <c r="I436" s="91" t="s">
        <v>1778</v>
      </c>
      <c r="J436" s="83" t="s">
        <v>149</v>
      </c>
      <c r="K436" s="83" t="s">
        <v>310</v>
      </c>
      <c r="L436" s="83" t="s">
        <v>168</v>
      </c>
      <c r="M436" s="83" t="s">
        <v>169</v>
      </c>
      <c r="N436" s="115" t="s">
        <v>170</v>
      </c>
      <c r="O436" s="98" t="s">
        <v>155</v>
      </c>
      <c r="P436" s="99" t="str">
        <f>IFERROR(__xludf.DUMMYFUNCTION("IFERROR(VLOOKUP(AS436,IMPORTRANGE(""https://docs.google.com/spreadsheets/d/1juPI-Fb8LD0YtltB2mlGEnp_R3UVu1t3wSFPzgCyHXE/edit?gid=0#gid=0"",""GERAL!A2:C""),3,0),""-"")"),"-")</f>
        <v>-</v>
      </c>
      <c r="Q436" s="98" t="s">
        <v>171</v>
      </c>
      <c r="R436" s="98">
        <v>3.0</v>
      </c>
      <c r="S436" s="98" t="s">
        <v>171</v>
      </c>
      <c r="T436" s="98" t="s">
        <v>171</v>
      </c>
      <c r="U436" s="98" t="s">
        <v>171</v>
      </c>
      <c r="V436" s="98" t="s">
        <v>171</v>
      </c>
      <c r="W436" s="98" t="s">
        <v>171</v>
      </c>
      <c r="X436" s="98" t="s">
        <v>171</v>
      </c>
      <c r="Y436" s="98" t="s">
        <v>171</v>
      </c>
      <c r="Z436" s="98" t="s">
        <v>171</v>
      </c>
      <c r="AA436" s="98" t="s">
        <v>171</v>
      </c>
      <c r="AB436" s="98" t="s">
        <v>171</v>
      </c>
      <c r="AC436" s="98" t="s">
        <v>171</v>
      </c>
      <c r="AD436" s="98" t="s">
        <v>171</v>
      </c>
      <c r="AE436" s="98" t="s">
        <v>171</v>
      </c>
      <c r="AF436" s="98" t="s">
        <v>171</v>
      </c>
      <c r="AG436" s="98" t="s">
        <v>171</v>
      </c>
      <c r="AH436" s="98" t="s">
        <v>171</v>
      </c>
      <c r="AI436" s="98" t="s">
        <v>171</v>
      </c>
      <c r="AJ436" s="98" t="s">
        <v>171</v>
      </c>
      <c r="AK436" s="98" t="s">
        <v>171</v>
      </c>
      <c r="AL436" s="98" t="s">
        <v>171</v>
      </c>
      <c r="AM436" s="98" t="s">
        <v>171</v>
      </c>
      <c r="AN436" s="98" t="s">
        <v>171</v>
      </c>
      <c r="AO436" s="98" t="s">
        <v>171</v>
      </c>
      <c r="AP436" s="98" t="s">
        <v>171</v>
      </c>
      <c r="AQ436" s="98" t="s">
        <v>171</v>
      </c>
      <c r="AR436" s="102">
        <v>46232.0</v>
      </c>
      <c r="AS436" s="83">
        <v>1178486.0</v>
      </c>
    </row>
    <row r="437" ht="15.75" customHeight="1">
      <c r="A437" s="111" t="s">
        <v>540</v>
      </c>
      <c r="B437" s="83" t="s">
        <v>1766</v>
      </c>
      <c r="C437" s="83" t="s">
        <v>164</v>
      </c>
      <c r="D437" s="112">
        <v>1179284.0</v>
      </c>
      <c r="E437" s="83">
        <v>1178549.0</v>
      </c>
      <c r="F437" s="83"/>
      <c r="G437" s="91" t="str">
        <f>IFERROR(__xludf.DUMMYFUNCTION("XLOOKUP(AS437,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BARRA DOS CARVALHOS")</f>
        <v>ANEXO - CEMIT - BAIXO SUL - BARRA DOS CARVALHOS</v>
      </c>
      <c r="H437" s="114" t="s">
        <v>1779</v>
      </c>
      <c r="I437" s="91" t="s">
        <v>1780</v>
      </c>
      <c r="J437" s="83" t="s">
        <v>149</v>
      </c>
      <c r="K437" s="83" t="s">
        <v>923</v>
      </c>
      <c r="L437" s="83" t="s">
        <v>168</v>
      </c>
      <c r="M437" s="83" t="s">
        <v>169</v>
      </c>
      <c r="N437" s="115" t="s">
        <v>170</v>
      </c>
      <c r="O437" s="98" t="s">
        <v>155</v>
      </c>
      <c r="P437" s="99" t="str">
        <f>IFERROR(__xludf.DUMMYFUNCTION("IFERROR(VLOOKUP(AS437,IMPORTRANGE(""https://docs.google.com/spreadsheets/d/1juPI-Fb8LD0YtltB2mlGEnp_R3UVu1t3wSFPzgCyHXE/edit?gid=0#gid=0"",""GERAL!A2:C""),3,0),""-"")"),"-")</f>
        <v>-</v>
      </c>
      <c r="Q437" s="98" t="s">
        <v>171</v>
      </c>
      <c r="R437" s="98">
        <v>6.0</v>
      </c>
      <c r="S437" s="98" t="s">
        <v>171</v>
      </c>
      <c r="T437" s="98" t="s">
        <v>171</v>
      </c>
      <c r="U437" s="98" t="s">
        <v>171</v>
      </c>
      <c r="V437" s="98" t="s">
        <v>171</v>
      </c>
      <c r="W437" s="98" t="s">
        <v>171</v>
      </c>
      <c r="X437" s="98" t="s">
        <v>171</v>
      </c>
      <c r="Y437" s="98" t="s">
        <v>171</v>
      </c>
      <c r="Z437" s="98" t="s">
        <v>171</v>
      </c>
      <c r="AA437" s="98" t="s">
        <v>171</v>
      </c>
      <c r="AB437" s="98" t="s">
        <v>171</v>
      </c>
      <c r="AC437" s="98" t="s">
        <v>171</v>
      </c>
      <c r="AD437" s="98" t="s">
        <v>171</v>
      </c>
      <c r="AE437" s="98" t="s">
        <v>171</v>
      </c>
      <c r="AF437" s="98" t="s">
        <v>171</v>
      </c>
      <c r="AG437" s="98" t="s">
        <v>171</v>
      </c>
      <c r="AH437" s="98" t="s">
        <v>171</v>
      </c>
      <c r="AI437" s="98" t="s">
        <v>171</v>
      </c>
      <c r="AJ437" s="98" t="s">
        <v>171</v>
      </c>
      <c r="AK437" s="98" t="s">
        <v>171</v>
      </c>
      <c r="AL437" s="98" t="s">
        <v>171</v>
      </c>
      <c r="AM437" s="98" t="s">
        <v>171</v>
      </c>
      <c r="AN437" s="98" t="s">
        <v>171</v>
      </c>
      <c r="AO437" s="98" t="s">
        <v>171</v>
      </c>
      <c r="AP437" s="98" t="s">
        <v>171</v>
      </c>
      <c r="AQ437" s="98" t="s">
        <v>171</v>
      </c>
      <c r="AR437" s="102">
        <v>46232.0</v>
      </c>
      <c r="AS437" s="83">
        <v>1178549.0</v>
      </c>
    </row>
    <row r="438" ht="15.75" customHeight="1">
      <c r="A438" s="111" t="s">
        <v>540</v>
      </c>
      <c r="B438" s="83" t="s">
        <v>1781</v>
      </c>
      <c r="C438" s="83" t="s">
        <v>68</v>
      </c>
      <c r="D438" s="112">
        <v>1158270.0</v>
      </c>
      <c r="E438" s="83"/>
      <c r="F438" s="83">
        <v>2.928927E7</v>
      </c>
      <c r="G438" s="91" t="str">
        <f>IFERROR(__xludf.DUMMYFUNCTION("XLOOKUP(AS438,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LUIS NAVARRO DE BRITO  ")</f>
        <v>COLÉGIO ESTADUAL DE TEMPO INTEGRAL LUIS NAVARRO DE BRITO  </v>
      </c>
      <c r="H438" s="119" t="s">
        <v>1782</v>
      </c>
      <c r="I438" s="91" t="s">
        <v>1783</v>
      </c>
      <c r="J438" s="83" t="s">
        <v>149</v>
      </c>
      <c r="K438" s="83" t="s">
        <v>150</v>
      </c>
      <c r="L438" s="83" t="s">
        <v>1685</v>
      </c>
      <c r="M438" s="83" t="s">
        <v>152</v>
      </c>
      <c r="N438" s="98" t="s">
        <v>1784</v>
      </c>
      <c r="O438" s="98" t="s">
        <v>155</v>
      </c>
      <c r="P438" s="99" t="str">
        <f>IFERROR(__xludf.DUMMYFUNCTION("IFERROR(VLOOKUP(AS438,IMPORTRANGE(""https://docs.google.com/spreadsheets/d/1juPI-Fb8LD0YtltB2mlGEnp_R3UVu1t3wSFPzgCyHXE/edit?gid=0#gid=0"",""GERAL!A2:C""),3,0),""-"")"),"-")</f>
        <v>-</v>
      </c>
      <c r="Q438" s="101" t="s">
        <v>156</v>
      </c>
      <c r="R438" s="98">
        <v>9.0</v>
      </c>
      <c r="S438" s="98">
        <v>0.0</v>
      </c>
      <c r="T438" s="98">
        <v>0.0</v>
      </c>
      <c r="U438" s="98">
        <v>0.0</v>
      </c>
      <c r="V438" s="98">
        <v>0.0</v>
      </c>
      <c r="W438" s="98">
        <v>0.0</v>
      </c>
      <c r="X438" s="98">
        <v>0.0</v>
      </c>
      <c r="Y438" s="98">
        <v>0.0</v>
      </c>
      <c r="Z438" s="98">
        <v>0.0</v>
      </c>
      <c r="AA438" s="98">
        <v>0.0</v>
      </c>
      <c r="AB438" s="98">
        <v>0.0</v>
      </c>
      <c r="AC438" s="98">
        <v>0.0</v>
      </c>
      <c r="AD438" s="98">
        <v>0.0</v>
      </c>
      <c r="AE438" s="98">
        <v>0.0</v>
      </c>
      <c r="AF438" s="98">
        <v>0.0</v>
      </c>
      <c r="AG438" s="98">
        <v>0.0</v>
      </c>
      <c r="AH438" s="98">
        <v>0.0</v>
      </c>
      <c r="AI438" s="98">
        <v>0.0</v>
      </c>
      <c r="AJ438" s="98">
        <v>0.0</v>
      </c>
      <c r="AK438" s="98">
        <v>0.0</v>
      </c>
      <c r="AL438" s="98">
        <v>0.0</v>
      </c>
      <c r="AM438" s="98">
        <v>0.0</v>
      </c>
      <c r="AN438" s="98">
        <v>0.0</v>
      </c>
      <c r="AO438" s="98">
        <v>0.0</v>
      </c>
      <c r="AP438" s="98">
        <v>4.0</v>
      </c>
      <c r="AQ438" s="98" t="s">
        <v>1786</v>
      </c>
      <c r="AR438" s="102">
        <v>46216.0</v>
      </c>
      <c r="AS438" s="83">
        <v>1158270.0</v>
      </c>
    </row>
    <row r="439" ht="15.75" customHeight="1">
      <c r="A439" s="111" t="s">
        <v>540</v>
      </c>
      <c r="B439" s="83" t="s">
        <v>1787</v>
      </c>
      <c r="C439" s="83" t="s">
        <v>68</v>
      </c>
      <c r="D439" s="112">
        <v>1178081.0</v>
      </c>
      <c r="E439" s="83"/>
      <c r="F439" s="83">
        <v>2.9431719E7</v>
      </c>
      <c r="G439" s="91" t="str">
        <f>IFERROR(__xludf.DUMMYFUNCTION("XLOOKUP(AS439,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XAVIER DE ANDRADE REIS")</f>
        <v>COLÉGIO ESTADUAL DE TEMPO INTEGRAL MARIA XAVIER DE ANDRADE REIS</v>
      </c>
      <c r="H439" s="119" t="s">
        <v>1788</v>
      </c>
      <c r="I439" s="91" t="s">
        <v>1789</v>
      </c>
      <c r="J439" s="83" t="s">
        <v>149</v>
      </c>
      <c r="K439" s="83" t="s">
        <v>150</v>
      </c>
      <c r="L439" s="83" t="s">
        <v>1685</v>
      </c>
      <c r="M439" s="98" t="s">
        <v>1391</v>
      </c>
      <c r="N439" s="137" t="s">
        <v>1790</v>
      </c>
      <c r="O439" s="98" t="s">
        <v>176</v>
      </c>
      <c r="P439" s="99" t="str">
        <f>IFERROR(__xludf.DUMMYFUNCTION("IFERROR(VLOOKUP(AS439,IMPORTRANGE(""https://docs.google.com/spreadsheets/d/1juPI-Fb8LD0YtltB2mlGEnp_R3UVu1t3wSFPzgCyHXE/edit?gid=0#gid=0"",""GERAL!A2:C""),3,0),""-"")"),"-")</f>
        <v>-</v>
      </c>
      <c r="Q439" s="101" t="s">
        <v>156</v>
      </c>
      <c r="R439" s="98">
        <v>21.0</v>
      </c>
      <c r="S439" s="98">
        <v>1.0</v>
      </c>
      <c r="T439" s="98">
        <v>2.0</v>
      </c>
      <c r="U439" s="98">
        <v>0.0</v>
      </c>
      <c r="V439" s="98">
        <v>0.0</v>
      </c>
      <c r="W439" s="98">
        <v>0.0</v>
      </c>
      <c r="X439" s="98">
        <v>0.0</v>
      </c>
      <c r="Y439" s="98">
        <v>1.0</v>
      </c>
      <c r="Z439" s="98">
        <v>1.0</v>
      </c>
      <c r="AA439" s="98">
        <v>0.0</v>
      </c>
      <c r="AB439" s="98">
        <v>1.0</v>
      </c>
      <c r="AC439" s="98">
        <v>0.0</v>
      </c>
      <c r="AD439" s="98">
        <v>0.0</v>
      </c>
      <c r="AE439" s="98">
        <v>0.0</v>
      </c>
      <c r="AF439" s="98">
        <v>1.0</v>
      </c>
      <c r="AG439" s="98">
        <v>0.0</v>
      </c>
      <c r="AH439" s="98">
        <v>0.0</v>
      </c>
      <c r="AI439" s="98">
        <v>0.0</v>
      </c>
      <c r="AJ439" s="98">
        <v>0.0</v>
      </c>
      <c r="AK439" s="98">
        <v>0.0</v>
      </c>
      <c r="AL439" s="98">
        <v>0.0</v>
      </c>
      <c r="AM439" s="98">
        <v>0.0</v>
      </c>
      <c r="AN439" s="98">
        <v>0.0</v>
      </c>
      <c r="AO439" s="98">
        <v>0.0</v>
      </c>
      <c r="AP439" s="98">
        <v>2.0</v>
      </c>
      <c r="AQ439" s="98" t="s">
        <v>1791</v>
      </c>
      <c r="AR439" s="102">
        <v>46262.0</v>
      </c>
      <c r="AS439" s="83">
        <v>1178081.0</v>
      </c>
    </row>
    <row r="440" ht="15.75" customHeight="1">
      <c r="A440" s="111" t="s">
        <v>540</v>
      </c>
      <c r="B440" s="83" t="s">
        <v>1787</v>
      </c>
      <c r="C440" s="83" t="s">
        <v>45</v>
      </c>
      <c r="D440" s="98">
        <v>1179761.0</v>
      </c>
      <c r="E440" s="83"/>
      <c r="F440" s="83">
        <v>2.9959721E7</v>
      </c>
      <c r="G440" s="91" t="str">
        <f>IFERROR(__xludf.DUMMYFUNCTION("XLOOKUP(AS440,
IMPORTRANGE(""https://docs.google.com/spreadsheets/d/1YM-djuOLXomrZ9W0B4TyIBsVWnXY4EIOFD9HY-qGfv0/edit?usp=sharing"",""GERAL!BG5:BG""),
IMPORTRANGE(""https://docs.google.com/spreadsheets/d/1YM-djuOLXomrZ9W0B4TyIBsVWnXY4EIOFD9HY-qGfv0/edit?u"&amp;"sp=sharing"",""GERAL!G5:G""),
""CÓD. SEC NÃO ENCONTRADO NA PLANILHA DE MATRÍCULA"")"),"CASA FAMILIA RURAL DE PRESIDENTE TANCREDO NEVES - CFRPTN")</f>
        <v>CASA FAMILIA RURAL DE PRESIDENTE TANCREDO NEVES - CFRPTN</v>
      </c>
      <c r="H440" s="114" t="s">
        <v>1792</v>
      </c>
      <c r="I440" s="91" t="s">
        <v>1793</v>
      </c>
      <c r="J440" s="83" t="s">
        <v>149</v>
      </c>
      <c r="K440" s="83" t="s">
        <v>1012</v>
      </c>
      <c r="L440" s="83" t="s">
        <v>151</v>
      </c>
      <c r="M440" s="83" t="s">
        <v>76</v>
      </c>
      <c r="N440" s="98" t="s">
        <v>1794</v>
      </c>
      <c r="O440" s="98" t="s">
        <v>155</v>
      </c>
      <c r="P440" s="99" t="str">
        <f>IFERROR(__xludf.DUMMYFUNCTION("IFERROR(VLOOKUP(AS440,IMPORTRANGE(""https://docs.google.com/spreadsheets/d/1juPI-Fb8LD0YtltB2mlGEnp_R3UVu1t3wSFPzgCyHXE/edit?gid=0#gid=0"",""GERAL!A2:C""),3,0),""-"")"),"EFA")</f>
        <v>EFA</v>
      </c>
      <c r="Q440" s="98" t="s">
        <v>171</v>
      </c>
      <c r="R440" s="98">
        <v>1.0</v>
      </c>
      <c r="S440" s="98">
        <v>0.0</v>
      </c>
      <c r="T440" s="98">
        <v>2.0</v>
      </c>
      <c r="U440" s="98">
        <v>0.0</v>
      </c>
      <c r="V440" s="98">
        <v>0.0</v>
      </c>
      <c r="W440" s="98">
        <v>1.0</v>
      </c>
      <c r="X440" s="98">
        <v>1.0</v>
      </c>
      <c r="Y440" s="98">
        <v>0.0</v>
      </c>
      <c r="Z440" s="98">
        <v>0.0</v>
      </c>
      <c r="AA440" s="98">
        <v>1.0</v>
      </c>
      <c r="AB440" s="98">
        <v>0.0</v>
      </c>
      <c r="AC440" s="98">
        <v>1.0</v>
      </c>
      <c r="AD440" s="98">
        <v>0.0</v>
      </c>
      <c r="AE440" s="98">
        <v>0.0</v>
      </c>
      <c r="AF440" s="98">
        <v>0.0</v>
      </c>
      <c r="AG440" s="98">
        <v>0.0</v>
      </c>
      <c r="AH440" s="98">
        <v>0.0</v>
      </c>
      <c r="AI440" s="98">
        <v>0.0</v>
      </c>
      <c r="AJ440" s="98">
        <v>1.0</v>
      </c>
      <c r="AK440" s="98">
        <v>0.0</v>
      </c>
      <c r="AL440" s="98">
        <v>0.0</v>
      </c>
      <c r="AM440" s="98">
        <v>0.0</v>
      </c>
      <c r="AN440" s="98">
        <v>0.0</v>
      </c>
      <c r="AO440" s="98">
        <v>0.0</v>
      </c>
      <c r="AP440" s="98">
        <v>0.0</v>
      </c>
      <c r="AQ440" s="98" t="s">
        <v>1795</v>
      </c>
      <c r="AR440" s="102">
        <v>46262.0</v>
      </c>
      <c r="AS440" s="98">
        <v>1179761.0</v>
      </c>
    </row>
    <row r="441" ht="15.75" customHeight="1">
      <c r="A441" s="111" t="s">
        <v>540</v>
      </c>
      <c r="B441" s="83" t="s">
        <v>1796</v>
      </c>
      <c r="C441" s="83" t="s">
        <v>68</v>
      </c>
      <c r="D441" s="112">
        <v>1117396.0</v>
      </c>
      <c r="E441" s="83"/>
      <c r="F441" s="83">
        <v>2.9290678E7</v>
      </c>
      <c r="G441" s="91" t="str">
        <f>IFERROR(__xludf.DUMMYFUNCTION("XLOOKUP(AS441,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ESTELA ALELUIA GUIMARAES
")</f>
        <v>COLEGIO ESTADUAL DE TEMPO INTEGRAL ESTELA ALELUIA GUIMARAES
</v>
      </c>
      <c r="H441" s="119" t="s">
        <v>1797</v>
      </c>
      <c r="I441" s="108" t="s">
        <v>1798</v>
      </c>
      <c r="J441" s="83"/>
      <c r="K441" s="83" t="s">
        <v>150</v>
      </c>
      <c r="L441" s="83" t="s">
        <v>1685</v>
      </c>
      <c r="M441" s="83" t="s">
        <v>230</v>
      </c>
      <c r="N441" s="137" t="s">
        <v>1799</v>
      </c>
      <c r="O441" s="98" t="s">
        <v>162</v>
      </c>
      <c r="P441" s="99" t="str">
        <f>IFERROR(__xludf.DUMMYFUNCTION("IFERROR(VLOOKUP(AS441,IMPORTRANGE(""https://docs.google.com/spreadsheets/d/1juPI-Fb8LD0YtltB2mlGEnp_R3UVu1t3wSFPzgCyHXE/edit?gid=0#gid=0"",""GERAL!A2:C""),3,0),""-"")"),"-")</f>
        <v>-</v>
      </c>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v>1117396.0</v>
      </c>
    </row>
    <row r="442" ht="15.75" customHeight="1">
      <c r="A442" s="111" t="s">
        <v>540</v>
      </c>
      <c r="B442" s="83" t="s">
        <v>1796</v>
      </c>
      <c r="C442" s="83" t="s">
        <v>164</v>
      </c>
      <c r="D442" s="112">
        <v>1179284.0</v>
      </c>
      <c r="E442" s="83">
        <v>1179625.0</v>
      </c>
      <c r="F442" s="83"/>
      <c r="G442" s="91" t="str">
        <f>IFERROR(__xludf.DUMMYFUNCTION("XLOOKUP(AS442,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RODA D AGUA")</f>
        <v>ANEXO - CEMIT BAIXO SUL - DISTRITO RODA D AGUA</v>
      </c>
      <c r="H442" s="114" t="s">
        <v>1800</v>
      </c>
      <c r="I442" s="91" t="s">
        <v>1801</v>
      </c>
      <c r="J442" s="83" t="s">
        <v>149</v>
      </c>
      <c r="K442" s="136" t="s">
        <v>464</v>
      </c>
      <c r="L442" s="83" t="s">
        <v>168</v>
      </c>
      <c r="M442" s="83" t="s">
        <v>169</v>
      </c>
      <c r="N442" s="115" t="s">
        <v>170</v>
      </c>
      <c r="O442" s="98" t="s">
        <v>155</v>
      </c>
      <c r="P442" s="99" t="str">
        <f>IFERROR(__xludf.DUMMYFUNCTION("IFERROR(VLOOKUP(AS442,IMPORTRANGE(""https://docs.google.com/spreadsheets/d/1juPI-Fb8LD0YtltB2mlGEnp_R3UVu1t3wSFPzgCyHXE/edit?gid=0#gid=0"",""GERAL!A2:C""),3,0),""-"")"),"-")</f>
        <v>-</v>
      </c>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v>1179625.0</v>
      </c>
    </row>
    <row r="443" ht="15.75" customHeight="1">
      <c r="A443" s="111" t="s">
        <v>540</v>
      </c>
      <c r="B443" s="83" t="s">
        <v>1796</v>
      </c>
      <c r="C443" s="83" t="s">
        <v>164</v>
      </c>
      <c r="D443" s="112">
        <v>1179284.0</v>
      </c>
      <c r="E443" s="83">
        <v>1179398.0</v>
      </c>
      <c r="F443" s="83"/>
      <c r="G443" s="91" t="str">
        <f>IFERROR(__xludf.DUMMYFUNCTION("XLOOKUP(AS443,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DE JEQUIEZINHO MIRIM")</f>
        <v>ANEXO - CEMIT BAIXO SUL - DISTRITO DE JEQUIEZINHO MIRIM</v>
      </c>
      <c r="H443" s="114" t="s">
        <v>1802</v>
      </c>
      <c r="I443" s="91" t="s">
        <v>1803</v>
      </c>
      <c r="J443" s="83" t="s">
        <v>149</v>
      </c>
      <c r="K443" s="98" t="s">
        <v>187</v>
      </c>
      <c r="L443" s="98" t="s">
        <v>168</v>
      </c>
      <c r="M443" s="83" t="s">
        <v>512</v>
      </c>
      <c r="N443" s="115" t="s">
        <v>170</v>
      </c>
      <c r="O443" s="98" t="s">
        <v>155</v>
      </c>
      <c r="P443" s="99" t="str">
        <f>IFERROR(__xludf.DUMMYFUNCTION("IFERROR(VLOOKUP(AS443,IMPORTRANGE(""https://docs.google.com/spreadsheets/d/1juPI-Fb8LD0YtltB2mlGEnp_R3UVu1t3wSFPzgCyHXE/edit?gid=0#gid=0"",""GERAL!A2:C""),3,0),""-"")"),"-")</f>
        <v>-</v>
      </c>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v>1179398.0</v>
      </c>
    </row>
    <row r="444" ht="15.75" customHeight="1">
      <c r="A444" s="111" t="s">
        <v>540</v>
      </c>
      <c r="B444" s="83" t="s">
        <v>1796</v>
      </c>
      <c r="C444" s="83" t="s">
        <v>164</v>
      </c>
      <c r="D444" s="112">
        <v>1179284.0</v>
      </c>
      <c r="E444" s="83">
        <v>1179241.0</v>
      </c>
      <c r="F444" s="83"/>
      <c r="G444" s="91" t="str">
        <f>IFERROR(__xludf.DUMMYFUNCTION("XLOOKUP(AS444,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BAIXO SUL - DISTRITO DE FORMOSA")</f>
        <v>ANEXO - CEMIT BAIXO SUL - DISTRITO DE FORMOSA</v>
      </c>
      <c r="H444" s="114" t="s">
        <v>1804</v>
      </c>
      <c r="I444" s="91" t="s">
        <v>1805</v>
      </c>
      <c r="J444" s="83" t="s">
        <v>149</v>
      </c>
      <c r="K444" s="136" t="s">
        <v>1806</v>
      </c>
      <c r="L444" s="83" t="s">
        <v>168</v>
      </c>
      <c r="M444" s="83" t="s">
        <v>169</v>
      </c>
      <c r="N444" s="115" t="s">
        <v>170</v>
      </c>
      <c r="O444" s="98" t="s">
        <v>155</v>
      </c>
      <c r="P444" s="99" t="str">
        <f>IFERROR(__xludf.DUMMYFUNCTION("IFERROR(VLOOKUP(AS444,IMPORTRANGE(""https://docs.google.com/spreadsheets/d/1juPI-Fb8LD0YtltB2mlGEnp_R3UVu1t3wSFPzgCyHXE/edit?gid=0#gid=0"",""GERAL!A2:C""),3,0),""-"")"),"-")</f>
        <v>-</v>
      </c>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v>1179241.0</v>
      </c>
    </row>
    <row r="445" ht="15.75" customHeight="1">
      <c r="A445" s="111" t="s">
        <v>540</v>
      </c>
      <c r="B445" s="83" t="s">
        <v>1796</v>
      </c>
      <c r="C445" s="83" t="s">
        <v>164</v>
      </c>
      <c r="D445" s="112">
        <v>1179284.0</v>
      </c>
      <c r="E445" s="189">
        <v>1179242.0</v>
      </c>
      <c r="F445" s="189"/>
      <c r="G445" s="91" t="str">
        <f>IFERROR(__xludf.DUMMYFUNCTION("XLOOKUP(AS445,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POVOADO DE ITIUBA")</f>
        <v>ANEXO - CEMIT - BAIXO SUL - POVOADO DE ITIUBA</v>
      </c>
      <c r="H445" s="210" t="s">
        <v>1807</v>
      </c>
      <c r="I445" s="91" t="s">
        <v>1808</v>
      </c>
      <c r="J445" s="136" t="s">
        <v>1809</v>
      </c>
      <c r="K445" s="83" t="s">
        <v>767</v>
      </c>
      <c r="L445" s="83" t="s">
        <v>168</v>
      </c>
      <c r="M445" s="83" t="s">
        <v>169</v>
      </c>
      <c r="N445" s="115" t="s">
        <v>170</v>
      </c>
      <c r="O445" s="98" t="s">
        <v>155</v>
      </c>
      <c r="P445" s="99" t="str">
        <f>IFERROR(__xludf.DUMMYFUNCTION("IFERROR(VLOOKUP(AS445,IMPORTRANGE(""https://docs.google.com/spreadsheets/d/1juPI-Fb8LD0YtltB2mlGEnp_R3UVu1t3wSFPzgCyHXE/edit?gid=0#gid=0"",""GERAL!A2:C""),3,0),""-"")"),"-")</f>
        <v>-</v>
      </c>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v>1179242.0</v>
      </c>
    </row>
    <row r="446" ht="15.75" customHeight="1">
      <c r="A446" s="111" t="s">
        <v>540</v>
      </c>
      <c r="B446" s="83" t="s">
        <v>1796</v>
      </c>
      <c r="C446" s="191" t="s">
        <v>164</v>
      </c>
      <c r="D446" s="112">
        <v>1179284.0</v>
      </c>
      <c r="E446" s="83">
        <v>1178572.0</v>
      </c>
      <c r="F446" s="83"/>
      <c r="G446" s="91" t="str">
        <f>IFERROR(__xludf.DUMMYFUNCTION("XLOOKUP(AS446,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DISTRITO AREINHA")</f>
        <v>ANEXO - CEMIT - BAIXO SUL - DISTRITO AREINHA</v>
      </c>
      <c r="H446" s="114" t="s">
        <v>1810</v>
      </c>
      <c r="I446" s="91" t="s">
        <v>1811</v>
      </c>
      <c r="J446" s="248" t="s">
        <v>149</v>
      </c>
      <c r="K446" s="83" t="s">
        <v>464</v>
      </c>
      <c r="L446" s="83" t="s">
        <v>168</v>
      </c>
      <c r="M446" s="83" t="s">
        <v>169</v>
      </c>
      <c r="N446" s="115" t="s">
        <v>170</v>
      </c>
      <c r="O446" s="98" t="s">
        <v>155</v>
      </c>
      <c r="P446" s="99" t="str">
        <f>IFERROR(__xludf.DUMMYFUNCTION("IFERROR(VLOOKUP(AS446,IMPORTRANGE(""https://docs.google.com/spreadsheets/d/1juPI-Fb8LD0YtltB2mlGEnp_R3UVu1t3wSFPzgCyHXE/edit?gid=0#gid=0"",""GERAL!A2:C""),3,0),""-"")"),"-")</f>
        <v>-</v>
      </c>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v>1178572.0</v>
      </c>
    </row>
    <row r="447" ht="15.75" customHeight="1">
      <c r="A447" s="111" t="s">
        <v>540</v>
      </c>
      <c r="B447" s="83" t="s">
        <v>1812</v>
      </c>
      <c r="C447" s="83" t="s">
        <v>68</v>
      </c>
      <c r="D447" s="112">
        <v>1110677.0</v>
      </c>
      <c r="E447" s="82"/>
      <c r="F447" s="82">
        <v>2.9313325E7</v>
      </c>
      <c r="G447" s="91" t="str">
        <f>IFERROR(__xludf.DUMMYFUNCTION("XLOOKUP(AS447,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LÍBIA TINOCO MELO")</f>
        <v>COLÉGIO ESTADUAL DE TEMPO INTEGRAL LÍBIA TINOCO MELO</v>
      </c>
      <c r="H447" s="249" t="s">
        <v>1813</v>
      </c>
      <c r="I447" s="91" t="s">
        <v>1814</v>
      </c>
      <c r="J447" s="83" t="s">
        <v>149</v>
      </c>
      <c r="K447" s="83" t="s">
        <v>150</v>
      </c>
      <c r="L447" s="83" t="s">
        <v>1685</v>
      </c>
      <c r="M447" s="98" t="s">
        <v>152</v>
      </c>
      <c r="N447" s="195" t="s">
        <v>1815</v>
      </c>
      <c r="O447" s="98" t="s">
        <v>155</v>
      </c>
      <c r="P447" s="99" t="str">
        <f>IFERROR(__xludf.DUMMYFUNCTION("IFERROR(VLOOKUP(AS447,IMPORTRANGE(""https://docs.google.com/spreadsheets/d/1juPI-Fb8LD0YtltB2mlGEnp_R3UVu1t3wSFPzgCyHXE/edit?gid=0#gid=0"",""GERAL!A2:C""),3,0),""-"")"),"-")</f>
        <v>-</v>
      </c>
      <c r="Q447" s="101" t="s">
        <v>156</v>
      </c>
      <c r="R447" s="98">
        <v>7.0</v>
      </c>
      <c r="S447" s="98">
        <v>0.0</v>
      </c>
      <c r="T447" s="98">
        <v>0.0</v>
      </c>
      <c r="U447" s="98">
        <v>0.0</v>
      </c>
      <c r="V447" s="98">
        <v>0.0</v>
      </c>
      <c r="W447" s="98">
        <v>0.0</v>
      </c>
      <c r="X447" s="98">
        <v>0.0</v>
      </c>
      <c r="Y447" s="98">
        <v>0.0</v>
      </c>
      <c r="Z447" s="98">
        <v>0.0</v>
      </c>
      <c r="AA447" s="98">
        <v>0.0</v>
      </c>
      <c r="AB447" s="98">
        <v>0.0</v>
      </c>
      <c r="AC447" s="98">
        <v>0.0</v>
      </c>
      <c r="AD447" s="98">
        <v>0.0</v>
      </c>
      <c r="AE447" s="98">
        <v>0.0</v>
      </c>
      <c r="AF447" s="98">
        <v>0.0</v>
      </c>
      <c r="AG447" s="98">
        <v>0.0</v>
      </c>
      <c r="AH447" s="98">
        <v>0.0</v>
      </c>
      <c r="AI447" s="98">
        <v>0.0</v>
      </c>
      <c r="AJ447" s="98">
        <v>0.0</v>
      </c>
      <c r="AK447" s="98">
        <v>0.0</v>
      </c>
      <c r="AL447" s="98">
        <v>0.0</v>
      </c>
      <c r="AM447" s="98">
        <v>0.0</v>
      </c>
      <c r="AN447" s="98">
        <v>0.0</v>
      </c>
      <c r="AO447" s="98">
        <v>0.0</v>
      </c>
      <c r="AP447" s="98">
        <v>2.0</v>
      </c>
      <c r="AQ447" s="98" t="s">
        <v>1817</v>
      </c>
      <c r="AR447" s="102">
        <v>46226.0</v>
      </c>
      <c r="AS447" s="83">
        <v>1110677.0</v>
      </c>
    </row>
    <row r="448" ht="15.75" customHeight="1">
      <c r="A448" s="111" t="s">
        <v>540</v>
      </c>
      <c r="B448" s="83" t="s">
        <v>1812</v>
      </c>
      <c r="C448" s="83" t="s">
        <v>164</v>
      </c>
      <c r="D448" s="112">
        <v>1179284.0</v>
      </c>
      <c r="E448" s="83">
        <v>1178490.0</v>
      </c>
      <c r="F448" s="83">
        <v>2.946093E7</v>
      </c>
      <c r="G448" s="91" t="str">
        <f>IFERROR(__xludf.DUMMYFUNCTION("XLOOKUP(AS448,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DO BAIXO SUL - DISTRITO DE SAO PAULINHO")</f>
        <v>ANEXO - CEMIT DO BAIXO SUL - DISTRITO DE SAO PAULINHO</v>
      </c>
      <c r="H448" s="114" t="s">
        <v>1818</v>
      </c>
      <c r="I448" s="91" t="s">
        <v>1819</v>
      </c>
      <c r="J448" s="193"/>
      <c r="K448" s="98" t="s">
        <v>767</v>
      </c>
      <c r="L448" s="83" t="s">
        <v>168</v>
      </c>
      <c r="M448" s="98" t="s">
        <v>76</v>
      </c>
      <c r="N448" s="115" t="s">
        <v>170</v>
      </c>
      <c r="O448" s="98" t="s">
        <v>155</v>
      </c>
      <c r="P448" s="99" t="str">
        <f>IFERROR(__xludf.DUMMYFUNCTION("IFERROR(VLOOKUP(AS448,IMPORTRANGE(""https://docs.google.com/spreadsheets/d/1juPI-Fb8LD0YtltB2mlGEnp_R3UVu1t3wSFPzgCyHXE/edit?gid=0#gid=0"",""GERAL!A2:C""),3,0),""-"")"),"-")</f>
        <v>-</v>
      </c>
      <c r="Q448" s="98" t="s">
        <v>171</v>
      </c>
      <c r="R448" s="98">
        <v>1.0</v>
      </c>
      <c r="S448" s="98" t="s">
        <v>171</v>
      </c>
      <c r="T448" s="98" t="s">
        <v>171</v>
      </c>
      <c r="U448" s="98" t="s">
        <v>171</v>
      </c>
      <c r="V448" s="98" t="s">
        <v>171</v>
      </c>
      <c r="W448" s="98" t="s">
        <v>171</v>
      </c>
      <c r="X448" s="98" t="s">
        <v>171</v>
      </c>
      <c r="Y448" s="98" t="s">
        <v>171</v>
      </c>
      <c r="Z448" s="98" t="s">
        <v>171</v>
      </c>
      <c r="AA448" s="98" t="s">
        <v>171</v>
      </c>
      <c r="AB448" s="98" t="s">
        <v>171</v>
      </c>
      <c r="AC448" s="98" t="s">
        <v>171</v>
      </c>
      <c r="AD448" s="98" t="s">
        <v>171</v>
      </c>
      <c r="AE448" s="98" t="s">
        <v>171</v>
      </c>
      <c r="AF448" s="98" t="s">
        <v>171</v>
      </c>
      <c r="AG448" s="98" t="s">
        <v>171</v>
      </c>
      <c r="AH448" s="98" t="s">
        <v>171</v>
      </c>
      <c r="AI448" s="98" t="s">
        <v>171</v>
      </c>
      <c r="AJ448" s="98" t="s">
        <v>171</v>
      </c>
      <c r="AK448" s="98" t="s">
        <v>171</v>
      </c>
      <c r="AL448" s="98" t="s">
        <v>171</v>
      </c>
      <c r="AM448" s="98" t="s">
        <v>171</v>
      </c>
      <c r="AN448" s="98" t="s">
        <v>171</v>
      </c>
      <c r="AO448" s="98" t="s">
        <v>171</v>
      </c>
      <c r="AP448" s="98" t="s">
        <v>171</v>
      </c>
      <c r="AQ448" s="98" t="s">
        <v>171</v>
      </c>
      <c r="AR448" s="102">
        <v>46226.0</v>
      </c>
      <c r="AS448" s="83">
        <v>1178490.0</v>
      </c>
    </row>
    <row r="449" ht="15.75" customHeight="1">
      <c r="A449" s="111" t="s">
        <v>540</v>
      </c>
      <c r="B449" s="83" t="s">
        <v>1812</v>
      </c>
      <c r="C449" s="83" t="s">
        <v>164</v>
      </c>
      <c r="D449" s="112">
        <v>1179284.0</v>
      </c>
      <c r="E449" s="83">
        <v>1178489.0</v>
      </c>
      <c r="F449" s="83"/>
      <c r="G449" s="91" t="str">
        <f>IFERROR(__xludf.DUMMYFUNCTION("XLOOKUP(AS449,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POV. DE ALTO ALEGRE")</f>
        <v>ANEXO - CEMIT - BAIXO SUL - POV. DE ALTO ALEGRE</v>
      </c>
      <c r="H449" s="114" t="s">
        <v>1820</v>
      </c>
      <c r="I449" s="91" t="s">
        <v>1821</v>
      </c>
      <c r="J449" s="83" t="s">
        <v>149</v>
      </c>
      <c r="K449" s="83" t="s">
        <v>209</v>
      </c>
      <c r="L449" s="83" t="s">
        <v>168</v>
      </c>
      <c r="M449" s="83" t="s">
        <v>169</v>
      </c>
      <c r="N449" s="115" t="s">
        <v>170</v>
      </c>
      <c r="O449" s="98" t="s">
        <v>155</v>
      </c>
      <c r="P449" s="99" t="str">
        <f>IFERROR(__xludf.DUMMYFUNCTION("IFERROR(VLOOKUP(AS449,IMPORTRANGE(""https://docs.google.com/spreadsheets/d/1juPI-Fb8LD0YtltB2mlGEnp_R3UVu1t3wSFPzgCyHXE/edit?gid=0#gid=0"",""GERAL!A2:C""),3,0),""-"")"),"-")</f>
        <v>-</v>
      </c>
      <c r="Q449" s="98" t="s">
        <v>171</v>
      </c>
      <c r="R449" s="98">
        <v>1.0</v>
      </c>
      <c r="S449" s="98" t="s">
        <v>171</v>
      </c>
      <c r="T449" s="98" t="s">
        <v>171</v>
      </c>
      <c r="U449" s="98" t="s">
        <v>171</v>
      </c>
      <c r="V449" s="98" t="s">
        <v>171</v>
      </c>
      <c r="W449" s="98" t="s">
        <v>171</v>
      </c>
      <c r="X449" s="98" t="s">
        <v>171</v>
      </c>
      <c r="Y449" s="98" t="s">
        <v>171</v>
      </c>
      <c r="Z449" s="98" t="s">
        <v>171</v>
      </c>
      <c r="AA449" s="98" t="s">
        <v>171</v>
      </c>
      <c r="AB449" s="98" t="s">
        <v>171</v>
      </c>
      <c r="AC449" s="98" t="s">
        <v>171</v>
      </c>
      <c r="AD449" s="98" t="s">
        <v>171</v>
      </c>
      <c r="AE449" s="98" t="s">
        <v>171</v>
      </c>
      <c r="AF449" s="98" t="s">
        <v>171</v>
      </c>
      <c r="AG449" s="98" t="s">
        <v>171</v>
      </c>
      <c r="AH449" s="98" t="s">
        <v>171</v>
      </c>
      <c r="AI449" s="98" t="s">
        <v>171</v>
      </c>
      <c r="AJ449" s="98" t="s">
        <v>171</v>
      </c>
      <c r="AK449" s="98" t="s">
        <v>171</v>
      </c>
      <c r="AL449" s="98" t="s">
        <v>171</v>
      </c>
      <c r="AM449" s="98" t="s">
        <v>171</v>
      </c>
      <c r="AN449" s="98" t="s">
        <v>171</v>
      </c>
      <c r="AO449" s="98" t="s">
        <v>171</v>
      </c>
      <c r="AP449" s="98" t="s">
        <v>171</v>
      </c>
      <c r="AQ449" s="98" t="s">
        <v>171</v>
      </c>
      <c r="AR449" s="102">
        <v>46226.0</v>
      </c>
      <c r="AS449" s="83">
        <v>1178489.0</v>
      </c>
    </row>
    <row r="450" ht="15.75" customHeight="1">
      <c r="A450" s="111" t="s">
        <v>540</v>
      </c>
      <c r="B450" s="83" t="s">
        <v>1822</v>
      </c>
      <c r="C450" s="83" t="s">
        <v>68</v>
      </c>
      <c r="D450" s="112">
        <v>1179116.0</v>
      </c>
      <c r="E450" s="83"/>
      <c r="F450" s="83">
        <v>2.9460549E7</v>
      </c>
      <c r="G450" s="91" t="str">
        <f>IFERROR(__xludf.DUMMYFUNCTION("XLOOKUP(AS450,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ONILDO RAIMUNDO CRISTO - DISTRITO DE OROBO - COMUNIDADE QUILOMBOLA")</f>
        <v>COLÉGIO ESTADUAL ONILDO RAIMUNDO CRISTO - DISTRITO DE OROBO - COMUNIDADE QUILOMBOLA</v>
      </c>
      <c r="H450" s="119" t="s">
        <v>1824</v>
      </c>
      <c r="I450" s="91" t="s">
        <v>1825</v>
      </c>
      <c r="J450" s="83" t="s">
        <v>149</v>
      </c>
      <c r="K450" s="83" t="s">
        <v>209</v>
      </c>
      <c r="L450" s="83" t="s">
        <v>1685</v>
      </c>
      <c r="M450" s="83" t="s">
        <v>169</v>
      </c>
      <c r="N450" s="137" t="s">
        <v>1826</v>
      </c>
      <c r="O450" s="98" t="s">
        <v>155</v>
      </c>
      <c r="P450" s="99" t="str">
        <f>IFERROR(__xludf.DUMMYFUNCTION("IFERROR(VLOOKUP(AS450,IMPORTRANGE(""https://docs.google.com/spreadsheets/d/1juPI-Fb8LD0YtltB2mlGEnp_R3UVu1t3wSFPzgCyHXE/edit?gid=0#gid=0"",""GERAL!A2:C""),3,0),""-"")"),"QUILOMBOLAS")</f>
        <v>QUILOMBOLAS</v>
      </c>
      <c r="Q450" s="101" t="s">
        <v>156</v>
      </c>
      <c r="R450" s="98">
        <v>4.0</v>
      </c>
      <c r="S450" s="98">
        <v>0.0</v>
      </c>
      <c r="T450" s="98">
        <v>0.0</v>
      </c>
      <c r="U450" s="98">
        <v>0.0</v>
      </c>
      <c r="V450" s="98">
        <v>0.0</v>
      </c>
      <c r="W450" s="98">
        <v>2.0</v>
      </c>
      <c r="X450" s="98">
        <v>0.0</v>
      </c>
      <c r="Y450" s="98">
        <v>0.0</v>
      </c>
      <c r="Z450" s="98">
        <v>0.0</v>
      </c>
      <c r="AA450" s="98">
        <v>0.0</v>
      </c>
      <c r="AB450" s="98">
        <v>0.0</v>
      </c>
      <c r="AC450" s="98">
        <v>0.0</v>
      </c>
      <c r="AD450" s="98">
        <v>0.0</v>
      </c>
      <c r="AE450" s="98">
        <v>0.0</v>
      </c>
      <c r="AF450" s="98">
        <v>0.0</v>
      </c>
      <c r="AG450" s="98">
        <v>0.0</v>
      </c>
      <c r="AH450" s="98">
        <v>0.0</v>
      </c>
      <c r="AI450" s="98">
        <v>0.0</v>
      </c>
      <c r="AJ450" s="98">
        <v>0.0</v>
      </c>
      <c r="AK450" s="98">
        <v>0.0</v>
      </c>
      <c r="AL450" s="98">
        <v>1.0</v>
      </c>
      <c r="AM450" s="98">
        <v>0.0</v>
      </c>
      <c r="AN450" s="98">
        <v>0.0</v>
      </c>
      <c r="AO450" s="98">
        <v>0.0</v>
      </c>
      <c r="AP450" s="98">
        <v>1.0</v>
      </c>
      <c r="AQ450" s="98" t="s">
        <v>1827</v>
      </c>
      <c r="AR450" s="102">
        <v>46231.0</v>
      </c>
      <c r="AS450" s="83">
        <v>1179116.0</v>
      </c>
    </row>
    <row r="451" ht="15.75" customHeight="1">
      <c r="A451" s="111" t="s">
        <v>540</v>
      </c>
      <c r="B451" s="83" t="s">
        <v>1822</v>
      </c>
      <c r="C451" s="83" t="s">
        <v>68</v>
      </c>
      <c r="D451" s="112">
        <v>1178011.0</v>
      </c>
      <c r="E451" s="83"/>
      <c r="F451" s="83">
        <v>2.9426502E7</v>
      </c>
      <c r="G451" s="91" t="str">
        <f>IFERROR(__xludf.DUMMYFUNCTION("XLOOKUP(AS451,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JOAO CARDOSO DOS SANTOS")</f>
        <v>COLÉGIO ESTADUAL JOAO CARDOSO DOS SANTOS</v>
      </c>
      <c r="H451" s="119" t="s">
        <v>1828</v>
      </c>
      <c r="I451" s="91" t="s">
        <v>1829</v>
      </c>
      <c r="J451" s="172" t="s">
        <v>149</v>
      </c>
      <c r="K451" s="83" t="s">
        <v>150</v>
      </c>
      <c r="L451" s="83" t="s">
        <v>1685</v>
      </c>
      <c r="M451" s="83" t="s">
        <v>76</v>
      </c>
      <c r="N451" s="137" t="s">
        <v>1830</v>
      </c>
      <c r="O451" s="98" t="s">
        <v>155</v>
      </c>
      <c r="P451" s="99" t="str">
        <f>IFERROR(__xludf.DUMMYFUNCTION("IFERROR(VLOOKUP(AS451,IMPORTRANGE(""https://docs.google.com/spreadsheets/d/1juPI-Fb8LD0YtltB2mlGEnp_R3UVu1t3wSFPzgCyHXE/edit?gid=0#gid=0"",""GERAL!A2:C""),3,0),""-"")"),"-")</f>
        <v>-</v>
      </c>
      <c r="Q451" s="101" t="s">
        <v>156</v>
      </c>
      <c r="R451" s="98">
        <v>9.0</v>
      </c>
      <c r="S451" s="98">
        <v>0.0</v>
      </c>
      <c r="T451" s="98">
        <v>0.0</v>
      </c>
      <c r="U451" s="98">
        <v>0.0</v>
      </c>
      <c r="V451" s="98">
        <v>1.0</v>
      </c>
      <c r="W451" s="98">
        <v>0.0</v>
      </c>
      <c r="X451" s="98">
        <v>1.0</v>
      </c>
      <c r="Y451" s="98">
        <v>0.0</v>
      </c>
      <c r="Z451" s="98">
        <v>0.0</v>
      </c>
      <c r="AA451" s="98">
        <v>0.0</v>
      </c>
      <c r="AB451" s="98">
        <v>0.0</v>
      </c>
      <c r="AC451" s="98">
        <v>0.0</v>
      </c>
      <c r="AD451" s="98">
        <v>0.0</v>
      </c>
      <c r="AE451" s="98">
        <v>0.0</v>
      </c>
      <c r="AF451" s="98">
        <v>0.0</v>
      </c>
      <c r="AG451" s="98">
        <v>1.0</v>
      </c>
      <c r="AH451" s="98">
        <v>0.0</v>
      </c>
      <c r="AI451" s="98">
        <v>0.0</v>
      </c>
      <c r="AJ451" s="98">
        <v>0.0</v>
      </c>
      <c r="AK451" s="98">
        <v>0.0</v>
      </c>
      <c r="AL451" s="98">
        <v>0.0</v>
      </c>
      <c r="AM451" s="98">
        <v>0.0</v>
      </c>
      <c r="AN451" s="98">
        <v>0.0</v>
      </c>
      <c r="AO451" s="98">
        <v>0.0</v>
      </c>
      <c r="AP451" s="98">
        <v>6.0</v>
      </c>
      <c r="AQ451" s="98" t="s">
        <v>1831</v>
      </c>
      <c r="AR451" s="102">
        <v>46231.0</v>
      </c>
      <c r="AS451" s="83">
        <v>1178011.0</v>
      </c>
    </row>
    <row r="452" ht="15.75" customHeight="1">
      <c r="A452" s="111" t="s">
        <v>540</v>
      </c>
      <c r="B452" s="83" t="s">
        <v>1822</v>
      </c>
      <c r="C452" s="83" t="s">
        <v>68</v>
      </c>
      <c r="D452" s="112">
        <v>1111045.0</v>
      </c>
      <c r="E452" s="83"/>
      <c r="F452" s="83">
        <v>2.9290791E7</v>
      </c>
      <c r="G452" s="91" t="str">
        <f>IFERROR(__xludf.DUMMYFUNCTION("XLOOKUP(AS452,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GENTIL PARAISO MARTINS - EM TEMPO INTEGRAL")</f>
        <v>COLÉGIO ESTADUAL GENTIL PARAISO MARTINS - EM TEMPO INTEGRAL</v>
      </c>
      <c r="H452" s="119" t="s">
        <v>1832</v>
      </c>
      <c r="I452" s="91" t="s">
        <v>1833</v>
      </c>
      <c r="J452" s="172" t="s">
        <v>149</v>
      </c>
      <c r="K452" s="83" t="s">
        <v>150</v>
      </c>
      <c r="L452" s="83" t="s">
        <v>1685</v>
      </c>
      <c r="M452" s="83" t="s">
        <v>230</v>
      </c>
      <c r="N452" s="137" t="s">
        <v>1830</v>
      </c>
      <c r="O452" s="98" t="s">
        <v>284</v>
      </c>
      <c r="P452" s="99" t="str">
        <f>IFERROR(__xludf.DUMMYFUNCTION("IFERROR(VLOOKUP(AS452,IMPORTRANGE(""https://docs.google.com/spreadsheets/d/1juPI-Fb8LD0YtltB2mlGEnp_R3UVu1t3wSFPzgCyHXE/edit?gid=0#gid=0"",""GERAL!A2:C""),3,0),""-"")"),"-")</f>
        <v>-</v>
      </c>
      <c r="Q452" s="101" t="s">
        <v>156</v>
      </c>
      <c r="R452" s="98">
        <v>14.0</v>
      </c>
      <c r="S452" s="98">
        <v>0.0</v>
      </c>
      <c r="T452" s="98">
        <v>0.0</v>
      </c>
      <c r="U452" s="98">
        <v>0.0</v>
      </c>
      <c r="V452" s="98">
        <v>0.0</v>
      </c>
      <c r="W452" s="98">
        <v>0.0</v>
      </c>
      <c r="X452" s="98">
        <v>1.0</v>
      </c>
      <c r="Y452" s="98">
        <v>0.0</v>
      </c>
      <c r="Z452" s="98">
        <v>0.0</v>
      </c>
      <c r="AA452" s="98">
        <v>1.0</v>
      </c>
      <c r="AB452" s="98">
        <v>0.0</v>
      </c>
      <c r="AC452" s="98">
        <v>0.0</v>
      </c>
      <c r="AD452" s="98">
        <v>0.0</v>
      </c>
      <c r="AE452" s="98">
        <v>0.0</v>
      </c>
      <c r="AF452" s="98">
        <v>1.0</v>
      </c>
      <c r="AG452" s="98">
        <v>1.0</v>
      </c>
      <c r="AH452" s="98">
        <v>0.0</v>
      </c>
      <c r="AI452" s="98">
        <v>0.0</v>
      </c>
      <c r="AJ452" s="98">
        <v>1.0</v>
      </c>
      <c r="AK452" s="98">
        <v>0.0</v>
      </c>
      <c r="AL452" s="98">
        <v>0.0</v>
      </c>
      <c r="AM452" s="98">
        <v>0.0</v>
      </c>
      <c r="AN452" s="98">
        <v>0.0</v>
      </c>
      <c r="AO452" s="98">
        <v>0.0</v>
      </c>
      <c r="AP452" s="98">
        <v>9.0</v>
      </c>
      <c r="AQ452" s="98" t="s">
        <v>1834</v>
      </c>
      <c r="AR452" s="102">
        <v>46231.0</v>
      </c>
      <c r="AS452" s="83">
        <v>1111045.0</v>
      </c>
    </row>
    <row r="453" ht="15.75" customHeight="1">
      <c r="A453" s="111" t="s">
        <v>540</v>
      </c>
      <c r="B453" s="83" t="s">
        <v>1822</v>
      </c>
      <c r="C453" s="83" t="s">
        <v>68</v>
      </c>
      <c r="D453" s="112">
        <v>1179139.0</v>
      </c>
      <c r="E453" s="83"/>
      <c r="F453" s="83">
        <v>2.945646E7</v>
      </c>
      <c r="G453" s="91" t="str">
        <f>IFERROR(__xludf.DUMMYFUNCTION("XLOOKUP(AS453,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HERMINIO MANOEL DE JESUS - DISTRITO DE BONFIM")</f>
        <v>COLÉGIO ESTADUAL DO CAMPO HERMINIO MANOEL DE JESUS - DISTRITO DE BONFIM</v>
      </c>
      <c r="H453" s="119" t="s">
        <v>1835</v>
      </c>
      <c r="I453" s="91" t="s">
        <v>1836</v>
      </c>
      <c r="J453" s="172" t="s">
        <v>149</v>
      </c>
      <c r="K453" s="83" t="s">
        <v>209</v>
      </c>
      <c r="L453" s="83" t="s">
        <v>1685</v>
      </c>
      <c r="M453" s="83" t="s">
        <v>76</v>
      </c>
      <c r="N453" s="137" t="s">
        <v>1837</v>
      </c>
      <c r="O453" s="98" t="s">
        <v>155</v>
      </c>
      <c r="P453" s="99" t="str">
        <f>IFERROR(__xludf.DUMMYFUNCTION("IFERROR(VLOOKUP(AS453,IMPORTRANGE(""https://docs.google.com/spreadsheets/d/1juPI-Fb8LD0YtltB2mlGEnp_R3UVu1t3wSFPzgCyHXE/edit?gid=0#gid=0"",""GERAL!A2:C""),3,0),""-"")"),"CAMPO")</f>
        <v>CAMPO</v>
      </c>
      <c r="Q453" s="101" t="s">
        <v>156</v>
      </c>
      <c r="R453" s="98">
        <v>6.0</v>
      </c>
      <c r="S453" s="98">
        <v>0.0</v>
      </c>
      <c r="T453" s="98">
        <v>0.0</v>
      </c>
      <c r="U453" s="98">
        <v>0.0</v>
      </c>
      <c r="V453" s="98">
        <v>0.0</v>
      </c>
      <c r="W453" s="98">
        <v>1.0</v>
      </c>
      <c r="X453" s="98">
        <v>0.0</v>
      </c>
      <c r="Y453" s="98">
        <v>1.0</v>
      </c>
      <c r="Z453" s="98">
        <v>0.0</v>
      </c>
      <c r="AA453" s="98">
        <v>0.0</v>
      </c>
      <c r="AB453" s="98">
        <v>0.0</v>
      </c>
      <c r="AC453" s="98">
        <v>0.0</v>
      </c>
      <c r="AD453" s="98">
        <v>0.0</v>
      </c>
      <c r="AE453" s="98">
        <v>0.0</v>
      </c>
      <c r="AF453" s="98">
        <v>0.0</v>
      </c>
      <c r="AG453" s="98">
        <v>0.0</v>
      </c>
      <c r="AH453" s="98">
        <v>0.0</v>
      </c>
      <c r="AI453" s="98">
        <v>0.0</v>
      </c>
      <c r="AJ453" s="98">
        <v>0.0</v>
      </c>
      <c r="AK453" s="98">
        <v>0.0</v>
      </c>
      <c r="AL453" s="98">
        <v>0.0</v>
      </c>
      <c r="AM453" s="98">
        <v>0.0</v>
      </c>
      <c r="AN453" s="98">
        <v>0.0</v>
      </c>
      <c r="AO453" s="98">
        <v>0.0</v>
      </c>
      <c r="AP453" s="98">
        <v>0.0</v>
      </c>
      <c r="AQ453" s="98" t="s">
        <v>1838</v>
      </c>
      <c r="AR453" s="102">
        <v>46231.0</v>
      </c>
      <c r="AS453" s="83">
        <v>1179139.0</v>
      </c>
    </row>
    <row r="454" ht="15.75" customHeight="1">
      <c r="A454" s="111" t="s">
        <v>540</v>
      </c>
      <c r="B454" s="83" t="s">
        <v>1822</v>
      </c>
      <c r="C454" s="83" t="s">
        <v>68</v>
      </c>
      <c r="D454" s="112">
        <v>1179311.0</v>
      </c>
      <c r="E454" s="83"/>
      <c r="F454" s="83">
        <v>2.9460646E7</v>
      </c>
      <c r="G454" s="91" t="str">
        <f>IFERROR(__xludf.DUMMYFUNCTION("XLOOKUP(AS454,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QUILOMBOLA DE TEMPO INTEGRAL BERNARDO BISPO DOS SANTOS - DIST. DE JIQUIRIÇÁ - COMUNIDADE QUILOMBOLA")</f>
        <v>COLÉGIO ESTADUAL QUILOMBOLA DE TEMPO INTEGRAL BERNARDO BISPO DOS SANTOS - DIST. DE JIQUIRIÇÁ - COMUNIDADE QUILOMBOLA</v>
      </c>
      <c r="H454" s="119" t="s">
        <v>1839</v>
      </c>
      <c r="I454" s="91" t="s">
        <v>1840</v>
      </c>
      <c r="J454" s="136" t="s">
        <v>149</v>
      </c>
      <c r="K454" s="136" t="s">
        <v>1347</v>
      </c>
      <c r="L454" s="136" t="s">
        <v>1685</v>
      </c>
      <c r="M454" s="136" t="s">
        <v>169</v>
      </c>
      <c r="N454" s="137" t="s">
        <v>1841</v>
      </c>
      <c r="O454" s="98" t="s">
        <v>155</v>
      </c>
      <c r="P454" s="99" t="str">
        <f>IFERROR(__xludf.DUMMYFUNCTION("IFERROR(VLOOKUP(AS454,IMPORTRANGE(""https://docs.google.com/spreadsheets/d/1juPI-Fb8LD0YtltB2mlGEnp_R3UVu1t3wSFPzgCyHXE/edit?gid=0#gid=0"",""GERAL!A2:C""),3,0),""-"")"),"QUILOMBOLAS")</f>
        <v>QUILOMBOLAS</v>
      </c>
      <c r="Q454" s="169" t="s">
        <v>156</v>
      </c>
      <c r="R454" s="115">
        <v>2.0</v>
      </c>
      <c r="S454" s="115">
        <v>0.0</v>
      </c>
      <c r="T454" s="115">
        <v>0.0</v>
      </c>
      <c r="U454" s="115">
        <v>0.0</v>
      </c>
      <c r="V454" s="115">
        <v>1.0</v>
      </c>
      <c r="W454" s="115">
        <v>0.0</v>
      </c>
      <c r="X454" s="115">
        <v>0.0</v>
      </c>
      <c r="Y454" s="115">
        <v>0.0</v>
      </c>
      <c r="Z454" s="115">
        <v>0.0</v>
      </c>
      <c r="AA454" s="115">
        <v>0.0</v>
      </c>
      <c r="AB454" s="115">
        <v>0.0</v>
      </c>
      <c r="AC454" s="115">
        <v>0.0</v>
      </c>
      <c r="AD454" s="115">
        <v>0.0</v>
      </c>
      <c r="AE454" s="115">
        <v>0.0</v>
      </c>
      <c r="AF454" s="115">
        <v>0.0</v>
      </c>
      <c r="AG454" s="115">
        <v>0.0</v>
      </c>
      <c r="AH454" s="115">
        <v>0.0</v>
      </c>
      <c r="AI454" s="115">
        <v>0.0</v>
      </c>
      <c r="AJ454" s="115">
        <v>0.0</v>
      </c>
      <c r="AK454" s="115">
        <v>0.0</v>
      </c>
      <c r="AL454" s="115">
        <v>0.0</v>
      </c>
      <c r="AM454" s="115">
        <v>0.0</v>
      </c>
      <c r="AN454" s="115">
        <v>0.0</v>
      </c>
      <c r="AO454" s="115">
        <v>0.0</v>
      </c>
      <c r="AP454" s="115">
        <v>3.0</v>
      </c>
      <c r="AQ454" s="115" t="s">
        <v>1843</v>
      </c>
      <c r="AR454" s="102">
        <v>46231.0</v>
      </c>
      <c r="AS454" s="136">
        <v>1179311.0</v>
      </c>
    </row>
    <row r="455" ht="15.75" customHeight="1">
      <c r="A455" s="111" t="s">
        <v>540</v>
      </c>
      <c r="B455" s="83" t="s">
        <v>1822</v>
      </c>
      <c r="C455" s="83" t="s">
        <v>68</v>
      </c>
      <c r="D455" s="112">
        <v>1111070.0</v>
      </c>
      <c r="E455" s="83"/>
      <c r="F455" s="83">
        <v>2.9290732E7</v>
      </c>
      <c r="G455" s="91" t="str">
        <f>IFERROR(__xludf.DUMMYFUNCTION("XLOOKUP(AS455,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DA COSTA DO DENDÊ")</f>
        <v>CENTRO ESTADUAL DE EDUCAÇÃO PROFISSIONAL DA COSTA DO DENDÊ</v>
      </c>
      <c r="H455" s="119" t="s">
        <v>1844</v>
      </c>
      <c r="I455" s="91" t="s">
        <v>1845</v>
      </c>
      <c r="J455" s="172" t="s">
        <v>149</v>
      </c>
      <c r="K455" s="83" t="s">
        <v>150</v>
      </c>
      <c r="L455" s="83" t="s">
        <v>1685</v>
      </c>
      <c r="M455" s="83" t="s">
        <v>230</v>
      </c>
      <c r="N455" s="98" t="s">
        <v>1846</v>
      </c>
      <c r="O455" s="98" t="s">
        <v>155</v>
      </c>
      <c r="P455" s="99" t="str">
        <f>IFERROR(__xludf.DUMMYFUNCTION("IFERROR(VLOOKUP(AS455,IMPORTRANGE(""https://docs.google.com/spreadsheets/d/1juPI-Fb8LD0YtltB2mlGEnp_R3UVu1t3wSFPzgCyHXE/edit?gid=0#gid=0"",""GERAL!A2:C""),3,0),""-"")"),"-")</f>
        <v>-</v>
      </c>
      <c r="Q455" s="98" t="s">
        <v>171</v>
      </c>
      <c r="R455" s="98">
        <v>19.0</v>
      </c>
      <c r="S455" s="98">
        <v>0.0</v>
      </c>
      <c r="T455" s="98">
        <v>0.0</v>
      </c>
      <c r="U455" s="98">
        <v>0.0</v>
      </c>
      <c r="V455" s="98">
        <v>1.0</v>
      </c>
      <c r="W455" s="98">
        <v>5.0</v>
      </c>
      <c r="X455" s="98">
        <v>1.0</v>
      </c>
      <c r="Y455" s="98">
        <v>0.0</v>
      </c>
      <c r="Z455" s="98">
        <v>0.0</v>
      </c>
      <c r="AA455" s="98">
        <v>1.0</v>
      </c>
      <c r="AB455" s="98">
        <v>0.0</v>
      </c>
      <c r="AC455" s="98">
        <v>0.0</v>
      </c>
      <c r="AD455" s="98">
        <v>0.0</v>
      </c>
      <c r="AE455" s="98">
        <v>0.0</v>
      </c>
      <c r="AF455" s="98">
        <v>0.0</v>
      </c>
      <c r="AG455" s="98">
        <v>1.0</v>
      </c>
      <c r="AH455" s="98">
        <v>0.0</v>
      </c>
      <c r="AI455" s="98">
        <v>0.0</v>
      </c>
      <c r="AJ455" s="98">
        <v>0.0</v>
      </c>
      <c r="AK455" s="98">
        <v>0.0</v>
      </c>
      <c r="AL455" s="98">
        <v>0.0</v>
      </c>
      <c r="AM455" s="98">
        <v>0.0</v>
      </c>
      <c r="AN455" s="98">
        <v>0.0</v>
      </c>
      <c r="AO455" s="98">
        <v>0.0</v>
      </c>
      <c r="AP455" s="98">
        <v>2.0</v>
      </c>
      <c r="AQ455" s="98" t="s">
        <v>1847</v>
      </c>
      <c r="AR455" s="102">
        <v>46231.0</v>
      </c>
      <c r="AS455" s="83">
        <v>1111070.0</v>
      </c>
    </row>
    <row r="456" ht="15.75" customHeight="1">
      <c r="A456" s="127" t="s">
        <v>540</v>
      </c>
      <c r="B456" s="98" t="s">
        <v>1822</v>
      </c>
      <c r="C456" s="83" t="s">
        <v>68</v>
      </c>
      <c r="D456" s="98">
        <v>1179786.0</v>
      </c>
      <c r="E456" s="83"/>
      <c r="F456" s="98">
        <v>44173.0</v>
      </c>
      <c r="G456" s="91" t="str">
        <f>IFERROR(__xludf.DUMMYFUNCTION("XLOOKUP(AS456,
IMPORTRANGE(""https://docs.google.com/spreadsheets/d/1YM-djuOLXomrZ9W0B4TyIBsVWnXY4EIOFD9HY-qGfv0/edit?usp=sharing"",""GERAL!BG5:BG""),
IMPORTRANGE(""https://docs.google.com/spreadsheets/d/1YM-djuOLXomrZ9W0B4TyIBsVWnXY4EIOFD9HY-qGfv0/edit?u"&amp;"sp=sharing"",""GERAL!G5:G""),
""CÓD. SEC NÃO ENCONTRADO NA PLANILHA DE MATRÍCULA"")"),"CENTRO DE APOIO PEDAGOGICO ESPECIALIZADO - CAPE VALENÇA")</f>
        <v>CENTRO DE APOIO PEDAGOGICO ESPECIALIZADO - CAPE VALENÇA</v>
      </c>
      <c r="H456" s="119" t="s">
        <v>1848</v>
      </c>
      <c r="I456" s="108" t="s">
        <v>1849</v>
      </c>
      <c r="J456" s="172" t="s">
        <v>149</v>
      </c>
      <c r="K456" s="83"/>
      <c r="L456" s="83" t="s">
        <v>1685</v>
      </c>
      <c r="M456" s="83" t="s">
        <v>230</v>
      </c>
      <c r="N456" s="128" t="s">
        <v>171</v>
      </c>
      <c r="O456" s="98"/>
      <c r="P456" s="99" t="str">
        <f>IFERROR(__xludf.DUMMYFUNCTION("IFERROR(VLOOKUP(AS456,IMPORTRANGE(""https://docs.google.com/spreadsheets/d/1juPI-Fb8LD0YtltB2mlGEnp_R3UVu1t3wSFPzgCyHXE/edit?gid=0#gid=0"",""GERAL!A2:C""),3,0),""-"")"),"-")</f>
        <v>-</v>
      </c>
      <c r="Q456" s="98" t="s">
        <v>171</v>
      </c>
      <c r="R456" s="98" t="s">
        <v>171</v>
      </c>
      <c r="S456" s="98" t="s">
        <v>171</v>
      </c>
      <c r="T456" s="98" t="s">
        <v>171</v>
      </c>
      <c r="U456" s="98" t="s">
        <v>171</v>
      </c>
      <c r="V456" s="98" t="s">
        <v>171</v>
      </c>
      <c r="W456" s="98" t="s">
        <v>171</v>
      </c>
      <c r="X456" s="98" t="s">
        <v>171</v>
      </c>
      <c r="Y456" s="98" t="s">
        <v>171</v>
      </c>
      <c r="Z456" s="98" t="s">
        <v>171</v>
      </c>
      <c r="AA456" s="98" t="s">
        <v>171</v>
      </c>
      <c r="AB456" s="98" t="s">
        <v>171</v>
      </c>
      <c r="AC456" s="98" t="s">
        <v>171</v>
      </c>
      <c r="AD456" s="98" t="s">
        <v>171</v>
      </c>
      <c r="AE456" s="98" t="s">
        <v>171</v>
      </c>
      <c r="AF456" s="98" t="s">
        <v>171</v>
      </c>
      <c r="AG456" s="98" t="s">
        <v>171</v>
      </c>
      <c r="AH456" s="98" t="s">
        <v>171</v>
      </c>
      <c r="AI456" s="98" t="s">
        <v>171</v>
      </c>
      <c r="AJ456" s="98" t="s">
        <v>171</v>
      </c>
      <c r="AK456" s="98" t="s">
        <v>171</v>
      </c>
      <c r="AL456" s="98" t="s">
        <v>171</v>
      </c>
      <c r="AM456" s="98" t="s">
        <v>171</v>
      </c>
      <c r="AN456" s="98" t="s">
        <v>171</v>
      </c>
      <c r="AO456" s="98" t="s">
        <v>171</v>
      </c>
      <c r="AP456" s="98" t="s">
        <v>171</v>
      </c>
      <c r="AQ456" s="98" t="s">
        <v>171</v>
      </c>
      <c r="AR456" s="102">
        <v>46231.0</v>
      </c>
      <c r="AS456" s="98">
        <v>1179786.0</v>
      </c>
    </row>
    <row r="457" ht="15.75" customHeight="1">
      <c r="A457" s="111" t="s">
        <v>540</v>
      </c>
      <c r="B457" s="83" t="s">
        <v>1822</v>
      </c>
      <c r="C457" s="83" t="s">
        <v>164</v>
      </c>
      <c r="D457" s="112">
        <v>1111070.0</v>
      </c>
      <c r="E457" s="83">
        <v>1178296.0</v>
      </c>
      <c r="F457" s="83"/>
      <c r="G457" s="91" t="str">
        <f>IFERROR(__xludf.DUMMYFUNCTION("XLOOKUP(AS457,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CENTRO ESTADUAL DE EDUCAÇÃO PROFISSIONAL DA COSTA DO DENDÊ-DISTRITO DE SERRA GRANDE")</f>
        <v>ANEXO DO CENTRO ESTADUAL DE EDUCAÇÃO PROFISSIONAL DA COSTA DO DENDÊ-DISTRITO DE SERRA GRANDE</v>
      </c>
      <c r="H457" s="119" t="s">
        <v>1850</v>
      </c>
      <c r="I457" s="91" t="s">
        <v>1851</v>
      </c>
      <c r="J457" s="83" t="s">
        <v>149</v>
      </c>
      <c r="K457" s="83" t="s">
        <v>657</v>
      </c>
      <c r="L457" s="83" t="s">
        <v>1852</v>
      </c>
      <c r="M457" s="83" t="s">
        <v>169</v>
      </c>
      <c r="N457" s="115" t="s">
        <v>170</v>
      </c>
      <c r="O457" s="98" t="s">
        <v>155</v>
      </c>
      <c r="P457" s="99" t="str">
        <f>IFERROR(__xludf.DUMMYFUNCTION("IFERROR(VLOOKUP(AS457,IMPORTRANGE(""https://docs.google.com/spreadsheets/d/1juPI-Fb8LD0YtltB2mlGEnp_R3UVu1t3wSFPzgCyHXE/edit?gid=0#gid=0"",""GERAL!A2:C""),3,0),""-"")"),"CAMPO")</f>
        <v>CAMPO</v>
      </c>
      <c r="Q457" s="98" t="s">
        <v>171</v>
      </c>
      <c r="R457" s="98">
        <v>6.0</v>
      </c>
      <c r="S457" s="98">
        <v>0.0</v>
      </c>
      <c r="T457" s="98">
        <v>0.0</v>
      </c>
      <c r="U457" s="98">
        <v>0.0</v>
      </c>
      <c r="V457" s="98">
        <v>0.0</v>
      </c>
      <c r="W457" s="98">
        <v>0.0</v>
      </c>
      <c r="X457" s="98">
        <v>1.0</v>
      </c>
      <c r="Y457" s="98">
        <v>0.0</v>
      </c>
      <c r="Z457" s="98">
        <v>0.0</v>
      </c>
      <c r="AA457" s="98">
        <v>0.0</v>
      </c>
      <c r="AB457" s="98">
        <v>0.0</v>
      </c>
      <c r="AC457" s="98">
        <v>0.0</v>
      </c>
      <c r="AD457" s="98">
        <v>0.0</v>
      </c>
      <c r="AE457" s="98">
        <v>0.0</v>
      </c>
      <c r="AF457" s="98">
        <v>0.0</v>
      </c>
      <c r="AG457" s="98">
        <v>0.0</v>
      </c>
      <c r="AH457" s="98">
        <v>0.0</v>
      </c>
      <c r="AI457" s="98">
        <v>0.0</v>
      </c>
      <c r="AJ457" s="98">
        <v>0.0</v>
      </c>
      <c r="AK457" s="98">
        <v>0.0</v>
      </c>
      <c r="AL457" s="98">
        <v>0.0</v>
      </c>
      <c r="AM457" s="98">
        <v>0.0</v>
      </c>
      <c r="AN457" s="98">
        <v>0.0</v>
      </c>
      <c r="AO457" s="98">
        <v>0.0</v>
      </c>
      <c r="AP457" s="98">
        <v>1.0</v>
      </c>
      <c r="AQ457" s="98" t="s">
        <v>1853</v>
      </c>
      <c r="AR457" s="102">
        <v>46231.0</v>
      </c>
      <c r="AS457" s="83">
        <v>1178296.0</v>
      </c>
    </row>
    <row r="458" ht="15.75" customHeight="1">
      <c r="A458" s="111" t="s">
        <v>540</v>
      </c>
      <c r="B458" s="83" t="s">
        <v>1822</v>
      </c>
      <c r="C458" s="83" t="s">
        <v>164</v>
      </c>
      <c r="D458" s="112">
        <v>1111045.0</v>
      </c>
      <c r="E458" s="98">
        <v>1179057.0</v>
      </c>
      <c r="F458" s="83"/>
      <c r="G458" s="91" t="str">
        <f>IFERROR(__xludf.DUMMYFUNCTION("XLOOKUP(AS458,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GENTIL PARAISO MARTINS - CONJ. PENAL DE VALENCA - SEDE")</f>
        <v>ANEXO - COLÉGIO ESTADUAL GENTIL PARAISO MARTINS - CONJ. PENAL DE VALENCA - SEDE</v>
      </c>
      <c r="H458" s="119" t="s">
        <v>1854</v>
      </c>
      <c r="I458" s="108" t="s">
        <v>1855</v>
      </c>
      <c r="J458" s="172"/>
      <c r="K458" s="83"/>
      <c r="L458" s="83" t="s">
        <v>1685</v>
      </c>
      <c r="M458" s="83" t="s">
        <v>169</v>
      </c>
      <c r="N458" s="115" t="s">
        <v>170</v>
      </c>
      <c r="O458" s="98" t="s">
        <v>155</v>
      </c>
      <c r="P458" s="99" t="str">
        <f>IFERROR(__xludf.DUMMYFUNCTION("IFERROR(VLOOKUP(AS458,IMPORTRANGE(""https://docs.google.com/spreadsheets/d/1juPI-Fb8LD0YtltB2mlGEnp_R3UVu1t3wSFPzgCyHXE/edit?gid=0#gid=0"",""GERAL!A2:C""),3,0),""-"")"),"-")</f>
        <v>-</v>
      </c>
      <c r="Q458" s="98" t="s">
        <v>171</v>
      </c>
      <c r="R458" s="98">
        <v>2.0</v>
      </c>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102">
        <v>46231.0</v>
      </c>
      <c r="AS458" s="98">
        <v>1179057.0</v>
      </c>
    </row>
    <row r="459" ht="15.75" customHeight="1">
      <c r="A459" s="111" t="s">
        <v>540</v>
      </c>
      <c r="B459" s="83" t="s">
        <v>1822</v>
      </c>
      <c r="C459" s="83" t="s">
        <v>68</v>
      </c>
      <c r="D459" s="112">
        <v>1179284.0</v>
      </c>
      <c r="E459" s="98">
        <v>1110898.0</v>
      </c>
      <c r="F459" s="83">
        <v>2.946093E7</v>
      </c>
      <c r="G459" s="91" t="str">
        <f>IFERROR(__xludf.DUMMYFUNCTION("XLOOKUP(AS459,
IMPORTRANGE(""https://docs.google.com/spreadsheets/d/1YM-djuOLXomrZ9W0B4TyIBsVWnXY4EIOFD9HY-qGfv0/edit?usp=sharing"",""GERAL!BG5:BG""),
IMPORTRANGE(""https://docs.google.com/spreadsheets/d/1YM-djuOLXomrZ9W0B4TyIBsVWnXY4EIOFD9HY-qGfv0/edit?u"&amp;"sp=sharing"",""GERAL!G5:G""),
""CÓD. SEC NÃO ENCONTRADO NA PLANILHA DE MATRÍCULA"")"),"
CENTRO REGIONAL DE ENSINO COM INTERMEDIACAO TECNOLOGICA - CEMIT DO BAIXO SUL
(ANTIGA ESCOLA ESTADUAL LOMANTO JÚNIOR)")</f>
        <v>
CENTRO REGIONAL DE ENSINO COM INTERMEDIACAO TECNOLOGICA - CEMIT DO BAIXO SUL
(ANTIGA ESCOLA ESTADUAL LOMANTO JÚNIOR)</v>
      </c>
      <c r="H459" s="119" t="s">
        <v>1856</v>
      </c>
      <c r="I459" s="91" t="s">
        <v>1857</v>
      </c>
      <c r="J459" s="172" t="s">
        <v>149</v>
      </c>
      <c r="K459" s="83" t="s">
        <v>150</v>
      </c>
      <c r="L459" s="83" t="s">
        <v>151</v>
      </c>
      <c r="M459" s="83" t="s">
        <v>230</v>
      </c>
      <c r="N459" s="98" t="s">
        <v>1858</v>
      </c>
      <c r="O459" s="98" t="s">
        <v>155</v>
      </c>
      <c r="P459" s="99" t="str">
        <f>IFERROR(__xludf.DUMMYFUNCTION("IFERROR(VLOOKUP(AS459,IMPORTRANGE(""https://docs.google.com/spreadsheets/d/1juPI-Fb8LD0YtltB2mlGEnp_R3UVu1t3wSFPzgCyHXE/edit?gid=0#gid=0"",""GERAL!A2:C""),3,0),""-"")"),"-")</f>
        <v>-</v>
      </c>
      <c r="Q459" s="98" t="s">
        <v>171</v>
      </c>
      <c r="R459" s="98" t="s">
        <v>171</v>
      </c>
      <c r="S459" s="98" t="s">
        <v>171</v>
      </c>
      <c r="T459" s="98" t="s">
        <v>171</v>
      </c>
      <c r="U459" s="98" t="s">
        <v>171</v>
      </c>
      <c r="V459" s="98" t="s">
        <v>171</v>
      </c>
      <c r="W459" s="98" t="s">
        <v>171</v>
      </c>
      <c r="X459" s="98" t="s">
        <v>171</v>
      </c>
      <c r="Y459" s="98" t="s">
        <v>171</v>
      </c>
      <c r="Z459" s="98" t="s">
        <v>171</v>
      </c>
      <c r="AA459" s="98" t="s">
        <v>171</v>
      </c>
      <c r="AB459" s="98" t="s">
        <v>171</v>
      </c>
      <c r="AC459" s="98" t="s">
        <v>171</v>
      </c>
      <c r="AD459" s="98" t="s">
        <v>171</v>
      </c>
      <c r="AE459" s="98" t="s">
        <v>171</v>
      </c>
      <c r="AF459" s="98" t="s">
        <v>171</v>
      </c>
      <c r="AG459" s="98" t="s">
        <v>171</v>
      </c>
      <c r="AH459" s="98" t="s">
        <v>171</v>
      </c>
      <c r="AI459" s="98" t="s">
        <v>171</v>
      </c>
      <c r="AJ459" s="98" t="s">
        <v>171</v>
      </c>
      <c r="AK459" s="98" t="s">
        <v>171</v>
      </c>
      <c r="AL459" s="98" t="s">
        <v>171</v>
      </c>
      <c r="AM459" s="98" t="s">
        <v>171</v>
      </c>
      <c r="AN459" s="98" t="s">
        <v>171</v>
      </c>
      <c r="AO459" s="98" t="s">
        <v>171</v>
      </c>
      <c r="AP459" s="98" t="s">
        <v>171</v>
      </c>
      <c r="AQ459" s="98" t="s">
        <v>171</v>
      </c>
      <c r="AR459" s="102">
        <v>46231.0</v>
      </c>
      <c r="AS459" s="83">
        <v>1179284.0</v>
      </c>
    </row>
    <row r="460" ht="15.75" customHeight="1">
      <c r="A460" s="111" t="s">
        <v>540</v>
      </c>
      <c r="B460" s="83" t="s">
        <v>1859</v>
      </c>
      <c r="C460" s="83" t="s">
        <v>68</v>
      </c>
      <c r="D460" s="112">
        <v>1110685.0</v>
      </c>
      <c r="E460" s="83"/>
      <c r="F460" s="83">
        <v>2.9317134E7</v>
      </c>
      <c r="G460" s="91" t="str">
        <f>IFERROR(__xludf.DUMMYFUNCTION("XLOOKUP(AS460,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NAIR LOPES JENKINS")</f>
        <v>COLÉGIO ESTADUAL DE TEMPO INTEGRAL NAIR LOPES JENKINS</v>
      </c>
      <c r="H460" s="119" t="s">
        <v>1860</v>
      </c>
      <c r="I460" s="91" t="s">
        <v>1861</v>
      </c>
      <c r="J460" s="172" t="s">
        <v>149</v>
      </c>
      <c r="K460" s="83" t="s">
        <v>150</v>
      </c>
      <c r="L460" s="83" t="s">
        <v>1685</v>
      </c>
      <c r="M460" s="94" t="s">
        <v>152</v>
      </c>
      <c r="N460" s="137" t="s">
        <v>1862</v>
      </c>
      <c r="O460" s="98" t="s">
        <v>155</v>
      </c>
      <c r="P460" s="99" t="str">
        <f>IFERROR(__xludf.DUMMYFUNCTION("IFERROR(VLOOKUP(AS460,IMPORTRANGE(""https://docs.google.com/spreadsheets/d/1juPI-Fb8LD0YtltB2mlGEnp_R3UVu1t3wSFPzgCyHXE/edit?gid=0#gid=0"",""GERAL!A2:C""),3,0),""-"")"),"-")</f>
        <v>-</v>
      </c>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v>1110685.0</v>
      </c>
    </row>
    <row r="461" ht="15.75" customHeight="1">
      <c r="A461" s="111" t="s">
        <v>540</v>
      </c>
      <c r="B461" s="83" t="s">
        <v>1859</v>
      </c>
      <c r="C461" s="83" t="s">
        <v>164</v>
      </c>
      <c r="D461" s="112">
        <v>1110685.0</v>
      </c>
      <c r="E461" s="83">
        <v>1178413.0</v>
      </c>
      <c r="F461" s="83"/>
      <c r="G461" s="91" t="str">
        <f>IFERROR(__xludf.DUMMYFUNCTION("XLOOKUP(AS461,
IMPORTRANGE(""https://docs.google.com/spreadsheets/d/1YM-djuOLXomrZ9W0B4TyIBsVWnXY4EIOFD9HY-qGfv0/edit?usp=sharing"",""GERAL!BG5:BG""),
IMPORTRANGE(""https://docs.google.com/spreadsheets/d/1YM-djuOLXomrZ9W0B4TyIBsVWnXY4EIOFD9HY-qGfv0/edit?u"&amp;"sp=sharing"",""GERAL!G5:G""),
""CÓD. SEC NÃO ENCONTRADO NA PLANILHA DE MATRÍCULA"")"),"ANEXO - NAIR LOPES JENKINS - COLÉGIO ESTADUAL - DISTRITO DE COCAO")</f>
        <v>ANEXO - NAIR LOPES JENKINS - COLÉGIO ESTADUAL - DISTRITO DE COCAO</v>
      </c>
      <c r="H461" s="119" t="s">
        <v>1863</v>
      </c>
      <c r="I461" s="91" t="s">
        <v>1864</v>
      </c>
      <c r="J461" s="172" t="s">
        <v>1865</v>
      </c>
      <c r="K461" s="83" t="s">
        <v>1502</v>
      </c>
      <c r="L461" s="83" t="s">
        <v>168</v>
      </c>
      <c r="M461" s="83" t="s">
        <v>169</v>
      </c>
      <c r="N461" s="115" t="s">
        <v>170</v>
      </c>
      <c r="O461" s="98" t="s">
        <v>155</v>
      </c>
      <c r="P461" s="99" t="str">
        <f>IFERROR(__xludf.DUMMYFUNCTION("IFERROR(VLOOKUP(AS461,IMPORTRANGE(""https://docs.google.com/spreadsheets/d/1juPI-Fb8LD0YtltB2mlGEnp_R3UVu1t3wSFPzgCyHXE/edit?gid=0#gid=0"",""GERAL!A2:C""),3,0),""-"")"),"CAMPO")</f>
        <v>CAMPO</v>
      </c>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v>1178413.0</v>
      </c>
    </row>
    <row r="462" ht="15.75" customHeight="1">
      <c r="A462" s="111" t="s">
        <v>540</v>
      </c>
      <c r="B462" s="83" t="s">
        <v>1859</v>
      </c>
      <c r="C462" s="83" t="s">
        <v>164</v>
      </c>
      <c r="D462" s="112">
        <v>1179284.0</v>
      </c>
      <c r="E462" s="83">
        <v>1179052.0</v>
      </c>
      <c r="F462" s="83"/>
      <c r="G462" s="91" t="str">
        <f>IFERROR(__xludf.DUMMYFUNCTION("XLOOKUP(AS462,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DISTRITO NOVO HORIZONTE")</f>
        <v>ANEXO - CEMIT - BAIXO SUL - DISTRITO NOVO HORIZONTE</v>
      </c>
      <c r="H462" s="114" t="s">
        <v>1866</v>
      </c>
      <c r="I462" s="91" t="s">
        <v>1867</v>
      </c>
      <c r="J462" s="83" t="s">
        <v>149</v>
      </c>
      <c r="K462" s="83" t="s">
        <v>443</v>
      </c>
      <c r="L462" s="83" t="s">
        <v>168</v>
      </c>
      <c r="M462" s="83" t="s">
        <v>169</v>
      </c>
      <c r="N462" s="115" t="s">
        <v>170</v>
      </c>
      <c r="O462" s="98" t="s">
        <v>155</v>
      </c>
      <c r="P462" s="99" t="str">
        <f>IFERROR(__xludf.DUMMYFUNCTION("IFERROR(VLOOKUP(AS462,IMPORTRANGE(""https://docs.google.com/spreadsheets/d/1juPI-Fb8LD0YtltB2mlGEnp_R3UVu1t3wSFPzgCyHXE/edit?gid=0#gid=0"",""GERAL!A2:C""),3,0),""-"")"),"-")</f>
        <v>-</v>
      </c>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v>1179052.0</v>
      </c>
    </row>
    <row r="463" ht="15.75" customHeight="1">
      <c r="A463" s="111" t="s">
        <v>540</v>
      </c>
      <c r="B463" s="83" t="s">
        <v>1859</v>
      </c>
      <c r="C463" s="83" t="s">
        <v>164</v>
      </c>
      <c r="D463" s="112">
        <v>1179284.0</v>
      </c>
      <c r="E463" s="83">
        <v>1179051.0</v>
      </c>
      <c r="F463" s="83"/>
      <c r="G463" s="91" t="str">
        <f>IFERROR(__xludf.DUMMYFUNCTION("XLOOKUP(AS463,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DISTRITO NOVA ESPERANCA")</f>
        <v>ANEXO - CEMIT - BAIXO SUL - DISTRITO NOVA ESPERANCA</v>
      </c>
      <c r="H463" s="114" t="s">
        <v>1868</v>
      </c>
      <c r="I463" s="91" t="s">
        <v>1869</v>
      </c>
      <c r="J463" s="172" t="s">
        <v>171</v>
      </c>
      <c r="K463" s="83" t="s">
        <v>1870</v>
      </c>
      <c r="L463" s="83" t="s">
        <v>168</v>
      </c>
      <c r="M463" s="83" t="s">
        <v>169</v>
      </c>
      <c r="N463" s="115" t="s">
        <v>170</v>
      </c>
      <c r="O463" s="98" t="s">
        <v>155</v>
      </c>
      <c r="P463" s="99" t="str">
        <f>IFERROR(__xludf.DUMMYFUNCTION("IFERROR(VLOOKUP(AS463,IMPORTRANGE(""https://docs.google.com/spreadsheets/d/1juPI-Fb8LD0YtltB2mlGEnp_R3UVu1t3wSFPzgCyHXE/edit?gid=0#gid=0"",""GERAL!A2:C""),3,0),""-"")"),"-")</f>
        <v>-</v>
      </c>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v>1179051.0</v>
      </c>
    </row>
    <row r="464" ht="15.75" customHeight="1">
      <c r="A464" s="111" t="s">
        <v>540</v>
      </c>
      <c r="B464" s="83" t="s">
        <v>1859</v>
      </c>
      <c r="C464" s="83" t="s">
        <v>164</v>
      </c>
      <c r="D464" s="112">
        <v>1179284.0</v>
      </c>
      <c r="E464" s="83">
        <v>1179053.0</v>
      </c>
      <c r="F464" s="83"/>
      <c r="G464" s="91" t="str">
        <f>IFERROR(__xludf.DUMMYFUNCTION("XLOOKUP(AS464,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BAIXO SUL - DISTRITO DE PALMEIRA")</f>
        <v>ANEXO - CEMIT - BAIXO SUL - DISTRITO DE PALMEIRA</v>
      </c>
      <c r="H464" s="114" t="s">
        <v>1871</v>
      </c>
      <c r="I464" s="91" t="s">
        <v>1872</v>
      </c>
      <c r="J464" s="172" t="s">
        <v>171</v>
      </c>
      <c r="K464" s="83" t="s">
        <v>890</v>
      </c>
      <c r="L464" s="83" t="s">
        <v>168</v>
      </c>
      <c r="M464" s="83" t="s">
        <v>169</v>
      </c>
      <c r="N464" s="115" t="s">
        <v>170</v>
      </c>
      <c r="O464" s="98" t="s">
        <v>155</v>
      </c>
      <c r="P464" s="99" t="str">
        <f>IFERROR(__xludf.DUMMYFUNCTION("IFERROR(VLOOKUP(AS464,IMPORTRANGE(""https://docs.google.com/spreadsheets/d/1juPI-Fb8LD0YtltB2mlGEnp_R3UVu1t3wSFPzgCyHXE/edit?gid=0#gid=0"",""GERAL!A2:C""),3,0),""-"")"),"-")</f>
        <v>-</v>
      </c>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v>1179053.0</v>
      </c>
    </row>
    <row r="465" ht="15.75" customHeight="1">
      <c r="A465" s="111" t="s">
        <v>605</v>
      </c>
      <c r="B465" s="83" t="s">
        <v>1873</v>
      </c>
      <c r="C465" s="83" t="s">
        <v>68</v>
      </c>
      <c r="D465" s="112">
        <v>1179279.0</v>
      </c>
      <c r="E465" s="83"/>
      <c r="F465" s="83">
        <v>2.945901E7</v>
      </c>
      <c r="G465" s="91" t="str">
        <f>IFERROR(__xludf.DUMMYFUNCTION("XLOOKUP(AS465,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EUNICE JERÔNIMO DE OLIVEIRA - DISTRITO SÃO JOSÉ DE ALCOBAÇA")</f>
        <v>COLÉGIO ESTADUAL EUNICE JERÔNIMO DE OLIVEIRA - DISTRITO SÃO JOSÉ DE ALCOBAÇA</v>
      </c>
      <c r="H465" s="114" t="s">
        <v>1874</v>
      </c>
      <c r="I465" s="91" t="s">
        <v>1875</v>
      </c>
      <c r="J465" s="83" t="s">
        <v>1876</v>
      </c>
      <c r="K465" s="83" t="s">
        <v>187</v>
      </c>
      <c r="L465" s="83" t="s">
        <v>168</v>
      </c>
      <c r="M465" s="83" t="s">
        <v>169</v>
      </c>
      <c r="N465" s="171" t="s">
        <v>1877</v>
      </c>
      <c r="O465" s="98" t="s">
        <v>155</v>
      </c>
      <c r="P465" s="99" t="str">
        <f>IFERROR(__xludf.DUMMYFUNCTION("IFERROR(VLOOKUP(AS465,IMPORTRANGE(""https://docs.google.com/spreadsheets/d/1juPI-Fb8LD0YtltB2mlGEnp_R3UVu1t3wSFPzgCyHXE/edit?gid=0#gid=0"",""GERAL!A2:C""),3,0),""-"")"),"CAMPO")</f>
        <v>CAMPO</v>
      </c>
      <c r="Q465" s="101" t="s">
        <v>156</v>
      </c>
      <c r="R465" s="98">
        <v>6.0</v>
      </c>
      <c r="S465" s="98" t="s">
        <v>171</v>
      </c>
      <c r="T465" s="98" t="s">
        <v>171</v>
      </c>
      <c r="U465" s="98" t="s">
        <v>171</v>
      </c>
      <c r="V465" s="98" t="s">
        <v>171</v>
      </c>
      <c r="W465" s="98" t="s">
        <v>171</v>
      </c>
      <c r="X465" s="98" t="s">
        <v>171</v>
      </c>
      <c r="Y465" s="98" t="s">
        <v>171</v>
      </c>
      <c r="Z465" s="98" t="s">
        <v>171</v>
      </c>
      <c r="AA465" s="98" t="s">
        <v>171</v>
      </c>
      <c r="AB465" s="98" t="s">
        <v>171</v>
      </c>
      <c r="AC465" s="98" t="s">
        <v>171</v>
      </c>
      <c r="AD465" s="98" t="s">
        <v>171</v>
      </c>
      <c r="AE465" s="98" t="s">
        <v>171</v>
      </c>
      <c r="AF465" s="98" t="s">
        <v>171</v>
      </c>
      <c r="AG465" s="98" t="s">
        <v>171</v>
      </c>
      <c r="AH465" s="98" t="s">
        <v>171</v>
      </c>
      <c r="AI465" s="98" t="s">
        <v>171</v>
      </c>
      <c r="AJ465" s="98" t="s">
        <v>171</v>
      </c>
      <c r="AK465" s="98" t="s">
        <v>171</v>
      </c>
      <c r="AL465" s="98" t="s">
        <v>171</v>
      </c>
      <c r="AM465" s="98" t="s">
        <v>171</v>
      </c>
      <c r="AN465" s="98" t="s">
        <v>171</v>
      </c>
      <c r="AO465" s="98" t="s">
        <v>171</v>
      </c>
      <c r="AP465" s="98" t="s">
        <v>171</v>
      </c>
      <c r="AQ465" s="83"/>
      <c r="AR465" s="102">
        <v>46238.0</v>
      </c>
      <c r="AS465" s="83">
        <v>1179279.0</v>
      </c>
    </row>
    <row r="466" ht="15.75" customHeight="1">
      <c r="A466" s="111" t="s">
        <v>605</v>
      </c>
      <c r="B466" s="83" t="s">
        <v>1873</v>
      </c>
      <c r="C466" s="83" t="s">
        <v>68</v>
      </c>
      <c r="D466" s="112">
        <v>1178090.0</v>
      </c>
      <c r="E466" s="83"/>
      <c r="F466" s="83">
        <v>2.9433746E7</v>
      </c>
      <c r="G466" s="91" t="str">
        <f>IFERROR(__xludf.DUMMYFUNCTION("XLOOKUP(AS466,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ERALDO TINOCO - TEMPO INTEGRAL")</f>
        <v>COLÉGIO ESTADUAL ERALDO TINOCO - TEMPO INTEGRAL</v>
      </c>
      <c r="H466" s="114" t="s">
        <v>1878</v>
      </c>
      <c r="I466" s="91" t="s">
        <v>1879</v>
      </c>
      <c r="J466" s="83" t="s">
        <v>149</v>
      </c>
      <c r="K466" s="83" t="s">
        <v>150</v>
      </c>
      <c r="L466" s="83" t="s">
        <v>151</v>
      </c>
      <c r="M466" s="83" t="s">
        <v>230</v>
      </c>
      <c r="N466" s="137" t="s">
        <v>1880</v>
      </c>
      <c r="O466" s="98" t="s">
        <v>155</v>
      </c>
      <c r="P466" s="99" t="str">
        <f>IFERROR(__xludf.DUMMYFUNCTION("IFERROR(VLOOKUP(AS466,IMPORTRANGE(""https://docs.google.com/spreadsheets/d/1juPI-Fb8LD0YtltB2mlGEnp_R3UVu1t3wSFPzgCyHXE/edit?gid=0#gid=0"",""GERAL!A2:C""),3,0),""-"")"),"-")</f>
        <v>-</v>
      </c>
      <c r="Q466" s="101" t="s">
        <v>156</v>
      </c>
      <c r="R466" s="98">
        <v>6.0</v>
      </c>
      <c r="S466" s="98">
        <v>0.0</v>
      </c>
      <c r="T466" s="98">
        <v>0.0</v>
      </c>
      <c r="U466" s="98">
        <v>0.0</v>
      </c>
      <c r="V466" s="98">
        <v>0.0</v>
      </c>
      <c r="W466" s="98">
        <v>1.0</v>
      </c>
      <c r="X466" s="98">
        <v>0.0</v>
      </c>
      <c r="Y466" s="98">
        <v>0.0</v>
      </c>
      <c r="Z466" s="98">
        <v>0.0</v>
      </c>
      <c r="AA466" s="98">
        <v>0.0</v>
      </c>
      <c r="AB466" s="98">
        <v>0.0</v>
      </c>
      <c r="AC466" s="98">
        <v>0.0</v>
      </c>
      <c r="AD466" s="98">
        <v>0.0</v>
      </c>
      <c r="AE466" s="98">
        <v>0.0</v>
      </c>
      <c r="AF466" s="98">
        <v>0.0</v>
      </c>
      <c r="AG466" s="98">
        <v>1.0</v>
      </c>
      <c r="AH466" s="98">
        <v>0.0</v>
      </c>
      <c r="AI466" s="98">
        <v>0.0</v>
      </c>
      <c r="AJ466" s="98">
        <v>0.0</v>
      </c>
      <c r="AK466" s="98">
        <v>0.0</v>
      </c>
      <c r="AL466" s="98">
        <v>0.0</v>
      </c>
      <c r="AM466" s="98">
        <v>0.0</v>
      </c>
      <c r="AN466" s="98">
        <v>0.0</v>
      </c>
      <c r="AO466" s="98">
        <v>0.0</v>
      </c>
      <c r="AP466" s="98">
        <v>5.0</v>
      </c>
      <c r="AQ466" s="98" t="s">
        <v>1881</v>
      </c>
      <c r="AR466" s="102">
        <v>46238.0</v>
      </c>
      <c r="AS466" s="83">
        <v>1178090.0</v>
      </c>
    </row>
    <row r="467" ht="15.75" customHeight="1">
      <c r="A467" s="111" t="s">
        <v>605</v>
      </c>
      <c r="B467" s="83" t="s">
        <v>1873</v>
      </c>
      <c r="C467" s="83" t="s">
        <v>164</v>
      </c>
      <c r="D467" s="112">
        <v>1179713.0</v>
      </c>
      <c r="E467" s="83">
        <v>1178542.0</v>
      </c>
      <c r="F467" s="83"/>
      <c r="G467" s="91" t="str">
        <f>IFERROR(__xludf.DUMMYFUNCTION("XLOOKUP(AS467,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DE TAQUARI")</f>
        <v>ANEXO DO CEMIT EXTREMO SUL - DISTRITO DE TAQUARI</v>
      </c>
      <c r="H467" s="119" t="s">
        <v>1882</v>
      </c>
      <c r="I467" s="91" t="s">
        <v>1883</v>
      </c>
      <c r="J467" s="83" t="s">
        <v>1884</v>
      </c>
      <c r="K467" s="83" t="s">
        <v>868</v>
      </c>
      <c r="L467" s="83" t="s">
        <v>168</v>
      </c>
      <c r="M467" s="83" t="s">
        <v>76</v>
      </c>
      <c r="N467" s="115" t="s">
        <v>170</v>
      </c>
      <c r="O467" s="98" t="s">
        <v>155</v>
      </c>
      <c r="P467" s="99" t="str">
        <f>IFERROR(__xludf.DUMMYFUNCTION("IFERROR(VLOOKUP(AS467,IMPORTRANGE(""https://docs.google.com/spreadsheets/d/1juPI-Fb8LD0YtltB2mlGEnp_R3UVu1t3wSFPzgCyHXE/edit?gid=0#gid=0"",""GERAL!A2:C""),3,0),""-"")"),"CAMPO")</f>
        <v>CAMPO</v>
      </c>
      <c r="Q467" s="98" t="s">
        <v>171</v>
      </c>
      <c r="R467" s="98">
        <v>3.0</v>
      </c>
      <c r="S467" s="98" t="s">
        <v>171</v>
      </c>
      <c r="T467" s="98" t="s">
        <v>171</v>
      </c>
      <c r="U467" s="98" t="s">
        <v>171</v>
      </c>
      <c r="V467" s="98" t="s">
        <v>171</v>
      </c>
      <c r="W467" s="98" t="s">
        <v>171</v>
      </c>
      <c r="X467" s="98" t="s">
        <v>171</v>
      </c>
      <c r="Y467" s="98" t="s">
        <v>171</v>
      </c>
      <c r="Z467" s="98" t="s">
        <v>171</v>
      </c>
      <c r="AA467" s="98" t="s">
        <v>171</v>
      </c>
      <c r="AB467" s="98" t="s">
        <v>171</v>
      </c>
      <c r="AC467" s="98" t="s">
        <v>171</v>
      </c>
      <c r="AD467" s="98" t="s">
        <v>171</v>
      </c>
      <c r="AE467" s="98" t="s">
        <v>171</v>
      </c>
      <c r="AF467" s="98" t="s">
        <v>171</v>
      </c>
      <c r="AG467" s="98" t="s">
        <v>171</v>
      </c>
      <c r="AH467" s="98" t="s">
        <v>171</v>
      </c>
      <c r="AI467" s="98" t="s">
        <v>171</v>
      </c>
      <c r="AJ467" s="98" t="s">
        <v>171</v>
      </c>
      <c r="AK467" s="98" t="s">
        <v>171</v>
      </c>
      <c r="AL467" s="98" t="s">
        <v>171</v>
      </c>
      <c r="AM467" s="98" t="s">
        <v>171</v>
      </c>
      <c r="AN467" s="98" t="s">
        <v>171</v>
      </c>
      <c r="AO467" s="98" t="s">
        <v>171</v>
      </c>
      <c r="AP467" s="98" t="s">
        <v>171</v>
      </c>
      <c r="AQ467" s="83"/>
      <c r="AR467" s="102">
        <v>46238.0</v>
      </c>
      <c r="AS467" s="83">
        <v>1178542.0</v>
      </c>
    </row>
    <row r="468" ht="15.75" customHeight="1">
      <c r="A468" s="111" t="s">
        <v>605</v>
      </c>
      <c r="B468" s="83" t="s">
        <v>1873</v>
      </c>
      <c r="C468" s="83" t="s">
        <v>164</v>
      </c>
      <c r="D468" s="112">
        <v>1179713.0</v>
      </c>
      <c r="E468" s="83">
        <v>1178540.0</v>
      </c>
      <c r="F468" s="83"/>
      <c r="G468" s="91" t="str">
        <f>IFERROR(__xludf.DUMMYFUNCTION("XLOOKUP(AS468,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DE POUSO ALEGRE")</f>
        <v>ANEXO DO CEMIT EXTREMO SUL - DISTRITO DE POUSO ALEGRE</v>
      </c>
      <c r="H468" s="119" t="s">
        <v>1885</v>
      </c>
      <c r="I468" s="91" t="s">
        <v>1886</v>
      </c>
      <c r="J468" s="83" t="s">
        <v>1887</v>
      </c>
      <c r="K468" s="83" t="s">
        <v>865</v>
      </c>
      <c r="L468" s="83" t="s">
        <v>168</v>
      </c>
      <c r="M468" s="83" t="s">
        <v>76</v>
      </c>
      <c r="N468" s="115" t="s">
        <v>170</v>
      </c>
      <c r="O468" s="98" t="s">
        <v>155</v>
      </c>
      <c r="P468" s="99" t="str">
        <f>IFERROR(__xludf.DUMMYFUNCTION("IFERROR(VLOOKUP(AS468,IMPORTRANGE(""https://docs.google.com/spreadsheets/d/1juPI-Fb8LD0YtltB2mlGEnp_R3UVu1t3wSFPzgCyHXE/edit?gid=0#gid=0"",""GERAL!A2:C""),3,0),""-"")"),"CAMPO")</f>
        <v>CAMPO</v>
      </c>
      <c r="Q468" s="98" t="s">
        <v>171</v>
      </c>
      <c r="R468" s="98">
        <v>3.0</v>
      </c>
      <c r="S468" s="98" t="s">
        <v>171</v>
      </c>
      <c r="T468" s="98" t="s">
        <v>171</v>
      </c>
      <c r="U468" s="98" t="s">
        <v>171</v>
      </c>
      <c r="V468" s="98" t="s">
        <v>171</v>
      </c>
      <c r="W468" s="98" t="s">
        <v>171</v>
      </c>
      <c r="X468" s="98" t="s">
        <v>171</v>
      </c>
      <c r="Y468" s="98" t="s">
        <v>171</v>
      </c>
      <c r="Z468" s="98" t="s">
        <v>171</v>
      </c>
      <c r="AA468" s="98" t="s">
        <v>171</v>
      </c>
      <c r="AB468" s="98" t="s">
        <v>171</v>
      </c>
      <c r="AC468" s="98" t="s">
        <v>171</v>
      </c>
      <c r="AD468" s="98" t="s">
        <v>171</v>
      </c>
      <c r="AE468" s="98" t="s">
        <v>171</v>
      </c>
      <c r="AF468" s="98" t="s">
        <v>171</v>
      </c>
      <c r="AG468" s="98" t="s">
        <v>171</v>
      </c>
      <c r="AH468" s="98" t="s">
        <v>171</v>
      </c>
      <c r="AI468" s="98" t="s">
        <v>171</v>
      </c>
      <c r="AJ468" s="98" t="s">
        <v>171</v>
      </c>
      <c r="AK468" s="98" t="s">
        <v>171</v>
      </c>
      <c r="AL468" s="98" t="s">
        <v>171</v>
      </c>
      <c r="AM468" s="98" t="s">
        <v>171</v>
      </c>
      <c r="AN468" s="98" t="s">
        <v>171</v>
      </c>
      <c r="AO468" s="98" t="s">
        <v>171</v>
      </c>
      <c r="AP468" s="98" t="s">
        <v>171</v>
      </c>
      <c r="AQ468" s="83"/>
      <c r="AR468" s="102">
        <v>46238.0</v>
      </c>
      <c r="AS468" s="83">
        <v>1178540.0</v>
      </c>
    </row>
    <row r="469" ht="15.75" customHeight="1">
      <c r="A469" s="111" t="s">
        <v>605</v>
      </c>
      <c r="B469" s="83" t="s">
        <v>1873</v>
      </c>
      <c r="C469" s="83" t="s">
        <v>164</v>
      </c>
      <c r="D469" s="112">
        <v>1178182.0</v>
      </c>
      <c r="E469" s="83">
        <v>1178539.0</v>
      </c>
      <c r="F469" s="83"/>
      <c r="G469" s="91" t="str">
        <f>IFERROR(__xludf.DUMMYFUNCTION("XLOOKUP(AS469,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VINTE E CINCO DE JULHO - ASSENTAMENTO PROJETO 4045")</f>
        <v>ANEXO - COLÉGIO ESTADUAL VINTE E CINCO DE JULHO - ASSENTAMENTO PROJETO 4045</v>
      </c>
      <c r="H469" s="114" t="s">
        <v>1888</v>
      </c>
      <c r="I469" s="91" t="s">
        <v>1889</v>
      </c>
      <c r="J469" s="136" t="s">
        <v>1890</v>
      </c>
      <c r="K469" s="83" t="s">
        <v>252</v>
      </c>
      <c r="L469" s="83" t="s">
        <v>151</v>
      </c>
      <c r="M469" s="83" t="s">
        <v>169</v>
      </c>
      <c r="N469" s="115" t="s">
        <v>170</v>
      </c>
      <c r="O469" s="98" t="s">
        <v>155</v>
      </c>
      <c r="P469" s="99" t="str">
        <f>IFERROR(__xludf.DUMMYFUNCTION("IFERROR(VLOOKUP(AS469,IMPORTRANGE(""https://docs.google.com/spreadsheets/d/1juPI-Fb8LD0YtltB2mlGEnp_R3UVu1t3wSFPzgCyHXE/edit?gid=0#gid=0"",""GERAL!A2:C""),3,0),""-"")"),"ASSENTAMENTOS")</f>
        <v>ASSENTAMENTOS</v>
      </c>
      <c r="Q469" s="115" t="s">
        <v>171</v>
      </c>
      <c r="R469" s="115">
        <v>3.0</v>
      </c>
      <c r="S469" s="98" t="s">
        <v>171</v>
      </c>
      <c r="T469" s="98" t="s">
        <v>171</v>
      </c>
      <c r="U469" s="98" t="s">
        <v>171</v>
      </c>
      <c r="V469" s="98" t="s">
        <v>171</v>
      </c>
      <c r="W469" s="98" t="s">
        <v>171</v>
      </c>
      <c r="X469" s="98" t="s">
        <v>171</v>
      </c>
      <c r="Y469" s="98" t="s">
        <v>171</v>
      </c>
      <c r="Z469" s="98" t="s">
        <v>171</v>
      </c>
      <c r="AA469" s="98" t="s">
        <v>171</v>
      </c>
      <c r="AB469" s="98" t="s">
        <v>171</v>
      </c>
      <c r="AC469" s="98" t="s">
        <v>171</v>
      </c>
      <c r="AD469" s="98" t="s">
        <v>171</v>
      </c>
      <c r="AE469" s="98" t="s">
        <v>171</v>
      </c>
      <c r="AF469" s="98" t="s">
        <v>171</v>
      </c>
      <c r="AG469" s="98" t="s">
        <v>171</v>
      </c>
      <c r="AH469" s="98" t="s">
        <v>171</v>
      </c>
      <c r="AI469" s="98" t="s">
        <v>171</v>
      </c>
      <c r="AJ469" s="98" t="s">
        <v>171</v>
      </c>
      <c r="AK469" s="98" t="s">
        <v>171</v>
      </c>
      <c r="AL469" s="98" t="s">
        <v>171</v>
      </c>
      <c r="AM469" s="98" t="s">
        <v>171</v>
      </c>
      <c r="AN469" s="98" t="s">
        <v>171</v>
      </c>
      <c r="AO469" s="98" t="s">
        <v>171</v>
      </c>
      <c r="AP469" s="98" t="s">
        <v>171</v>
      </c>
      <c r="AQ469" s="83"/>
      <c r="AR469" s="102">
        <v>46238.0</v>
      </c>
      <c r="AS469" s="136">
        <v>1178539.0</v>
      </c>
    </row>
    <row r="470" ht="15.75" customHeight="1">
      <c r="A470" s="111" t="s">
        <v>605</v>
      </c>
      <c r="B470" s="83" t="s">
        <v>1873</v>
      </c>
      <c r="C470" s="83" t="s">
        <v>164</v>
      </c>
      <c r="D470" s="112">
        <v>1179713.0</v>
      </c>
      <c r="E470" s="98">
        <v>1179810.0</v>
      </c>
      <c r="F470" s="83"/>
      <c r="G470" s="91" t="str">
        <f>IFERROR(__xludf.DUMMYFUNCTION("XLOOKUP(AS470,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EXTREMO SUL - DISTRITO NOVO DESTINO ")</f>
        <v>ANEXO - CEMIT EXTREMO SUL - DISTRITO NOVO DESTINO </v>
      </c>
      <c r="H470" s="119" t="s">
        <v>1891</v>
      </c>
      <c r="I470" s="108" t="s">
        <v>1892</v>
      </c>
      <c r="J470" s="83"/>
      <c r="K470" s="83"/>
      <c r="L470" s="83" t="s">
        <v>168</v>
      </c>
      <c r="M470" s="83"/>
      <c r="N470" s="115" t="s">
        <v>170</v>
      </c>
      <c r="O470" s="98" t="s">
        <v>155</v>
      </c>
      <c r="P470" s="99" t="str">
        <f>IFERROR(__xludf.DUMMYFUNCTION("IFERROR(VLOOKUP(AS470,IMPORTRANGE(""https://docs.google.com/spreadsheets/d/1juPI-Fb8LD0YtltB2mlGEnp_R3UVu1t3wSFPzgCyHXE/edit?gid=0#gid=0"",""GERAL!A2:C""),3,0),""-"")"),"-")</f>
        <v>-</v>
      </c>
      <c r="Q470" s="98" t="s">
        <v>171</v>
      </c>
      <c r="R470" s="98" t="s">
        <v>171</v>
      </c>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v>1179810.0</v>
      </c>
    </row>
    <row r="471" ht="15.75" customHeight="1">
      <c r="A471" s="111" t="s">
        <v>605</v>
      </c>
      <c r="B471" s="83" t="s">
        <v>1893</v>
      </c>
      <c r="C471" s="83" t="s">
        <v>68</v>
      </c>
      <c r="D471" s="112">
        <v>1113102.0</v>
      </c>
      <c r="E471" s="83"/>
      <c r="F471" s="83">
        <v>2.9317789E7</v>
      </c>
      <c r="G471" s="91" t="str">
        <f>IFERROR(__xludf.DUMMYFUNCTION("XLOOKUP(AS471,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POLIVALENTE DE CARAVELAS - TEMPO INTEGRAL")</f>
        <v>COLÉGIO POLIVALENTE DE CARAVELAS - TEMPO INTEGRAL</v>
      </c>
      <c r="H471" s="114" t="s">
        <v>1894</v>
      </c>
      <c r="I471" s="91" t="s">
        <v>1895</v>
      </c>
      <c r="J471" s="83" t="s">
        <v>149</v>
      </c>
      <c r="K471" s="83" t="s">
        <v>150</v>
      </c>
      <c r="L471" s="83" t="s">
        <v>151</v>
      </c>
      <c r="M471" s="83" t="s">
        <v>230</v>
      </c>
      <c r="N471" s="98" t="s">
        <v>1896</v>
      </c>
      <c r="O471" s="98" t="s">
        <v>155</v>
      </c>
      <c r="P471" s="99" t="str">
        <f>IFERROR(__xludf.DUMMYFUNCTION("IFERROR(VLOOKUP(AS471,IMPORTRANGE(""https://docs.google.com/spreadsheets/d/1juPI-Fb8LD0YtltB2mlGEnp_R3UVu1t3wSFPzgCyHXE/edit?gid=0#gid=0"",""GERAL!A2:C""),3,0),""-"")"),"-")</f>
        <v>-</v>
      </c>
      <c r="Q471" s="98"/>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v>1113102.0</v>
      </c>
    </row>
    <row r="472" ht="15.75" customHeight="1">
      <c r="A472" s="111" t="s">
        <v>605</v>
      </c>
      <c r="B472" s="83" t="s">
        <v>1893</v>
      </c>
      <c r="C472" s="83" t="s">
        <v>164</v>
      </c>
      <c r="D472" s="112">
        <v>1113102.0</v>
      </c>
      <c r="E472" s="83">
        <v>1178544.0</v>
      </c>
      <c r="F472" s="83"/>
      <c r="G472" s="91" t="str">
        <f>IFERROR(__xludf.DUMMYFUNCTION("XLOOKUP(AS472,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POLIVALENTE DE CARAVELAS- DISTRITO DE SANTO ANTÔNIO DE BARCELONA")</f>
        <v>ANEXO - COLÉGIO POLIVALENTE DE CARAVELAS- DISTRITO DE SANTO ANTÔNIO DE BARCELONA</v>
      </c>
      <c r="H472" s="114" t="s">
        <v>1897</v>
      </c>
      <c r="I472" s="91" t="s">
        <v>1898</v>
      </c>
      <c r="J472" s="83" t="s">
        <v>1899</v>
      </c>
      <c r="K472" s="83" t="s">
        <v>1900</v>
      </c>
      <c r="L472" s="83" t="s">
        <v>168</v>
      </c>
      <c r="M472" s="83" t="s">
        <v>169</v>
      </c>
      <c r="N472" s="115" t="s">
        <v>170</v>
      </c>
      <c r="O472" s="98" t="s">
        <v>155</v>
      </c>
      <c r="P472" s="99" t="str">
        <f>IFERROR(__xludf.DUMMYFUNCTION("IFERROR(VLOOKUP(AS472,IMPORTRANGE(""https://docs.google.com/spreadsheets/d/1juPI-Fb8LD0YtltB2mlGEnp_R3UVu1t3wSFPzgCyHXE/edit?gid=0#gid=0"",""GERAL!A2:C""),3,0),""-"")"),"CAMPO")</f>
        <v>CAMPO</v>
      </c>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v>1178544.0</v>
      </c>
    </row>
    <row r="473" ht="15.75" customHeight="1">
      <c r="A473" s="111" t="s">
        <v>605</v>
      </c>
      <c r="B473" s="83" t="s">
        <v>1893</v>
      </c>
      <c r="C473" s="83" t="s">
        <v>164</v>
      </c>
      <c r="D473" s="112">
        <v>1113102.0</v>
      </c>
      <c r="E473" s="83">
        <v>1178545.0</v>
      </c>
      <c r="F473" s="83"/>
      <c r="G473" s="91" t="str">
        <f>IFERROR(__xludf.DUMMYFUNCTION("XLOOKUP(AS473,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POLIVALENTE DE CARAVELAS - NOVA TRIBUNA")</f>
        <v>ANEXO - COLÉGIO POLIVALENTE DE CARAVELAS - NOVA TRIBUNA</v>
      </c>
      <c r="H473" s="114" t="s">
        <v>1901</v>
      </c>
      <c r="I473" s="91" t="s">
        <v>1902</v>
      </c>
      <c r="J473" s="83" t="s">
        <v>1903</v>
      </c>
      <c r="K473" s="83" t="s">
        <v>1904</v>
      </c>
      <c r="L473" s="83" t="s">
        <v>168</v>
      </c>
      <c r="M473" s="83" t="s">
        <v>169</v>
      </c>
      <c r="N473" s="115" t="s">
        <v>170</v>
      </c>
      <c r="O473" s="98" t="s">
        <v>155</v>
      </c>
      <c r="P473" s="99" t="str">
        <f>IFERROR(__xludf.DUMMYFUNCTION("IFERROR(VLOOKUP(AS473,IMPORTRANGE(""https://docs.google.com/spreadsheets/d/1juPI-Fb8LD0YtltB2mlGEnp_R3UVu1t3wSFPzgCyHXE/edit?gid=0#gid=0"",""GERAL!A2:C""),3,0),""-"")"),"CAMPO")</f>
        <v>CAMPO</v>
      </c>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v>1178545.0</v>
      </c>
    </row>
    <row r="474" ht="15.75" customHeight="1">
      <c r="A474" s="111" t="s">
        <v>605</v>
      </c>
      <c r="B474" s="83" t="s">
        <v>1893</v>
      </c>
      <c r="C474" s="83" t="s">
        <v>164</v>
      </c>
      <c r="D474" s="112">
        <v>1113102.0</v>
      </c>
      <c r="E474" s="83">
        <v>1178546.0</v>
      </c>
      <c r="F474" s="83"/>
      <c r="G474" s="91" t="str">
        <f>IFERROR(__xludf.DUMMYFUNCTION("XLOOKUP(AS474,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POLIVALENTE DE CARAVELAS - DISTRITO JUERANA")</f>
        <v>ANEXO - COLÉGIO POLIVALENTE DE CARAVELAS - DISTRITO JUERANA</v>
      </c>
      <c r="H474" s="114" t="s">
        <v>1905</v>
      </c>
      <c r="I474" s="91" t="s">
        <v>1906</v>
      </c>
      <c r="J474" s="83" t="s">
        <v>149</v>
      </c>
      <c r="K474" s="83" t="s">
        <v>252</v>
      </c>
      <c r="L474" s="83" t="s">
        <v>168</v>
      </c>
      <c r="M474" s="83" t="s">
        <v>169</v>
      </c>
      <c r="N474" s="115" t="s">
        <v>170</v>
      </c>
      <c r="O474" s="98" t="s">
        <v>155</v>
      </c>
      <c r="P474" s="99" t="str">
        <f>IFERROR(__xludf.DUMMYFUNCTION("IFERROR(VLOOKUP(AS474,IMPORTRANGE(""https://docs.google.com/spreadsheets/d/1juPI-Fb8LD0YtltB2mlGEnp_R3UVu1t3wSFPzgCyHXE/edit?gid=0#gid=0"",""GERAL!A2:C""),3,0),""-"")"),"CAMPO")</f>
        <v>CAMPO</v>
      </c>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v>1178546.0</v>
      </c>
    </row>
    <row r="475" ht="15.75" customHeight="1">
      <c r="A475" s="111" t="s">
        <v>605</v>
      </c>
      <c r="B475" s="83" t="s">
        <v>1893</v>
      </c>
      <c r="C475" s="83" t="s">
        <v>164</v>
      </c>
      <c r="D475" s="112">
        <v>1113102.0</v>
      </c>
      <c r="E475" s="83">
        <v>1178543.0</v>
      </c>
      <c r="F475" s="83"/>
      <c r="G475" s="91" t="str">
        <f>IFERROR(__xludf.DUMMYFUNCTION("XLOOKUP(AS475,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POLIVALENTE DE CARAVELAS - DISTRITO DE RANCHO ALEGRE")</f>
        <v>ANEXO - COLÉGIO POLIVALENTE DE CARAVELAS - DISTRITO DE RANCHO ALEGRE</v>
      </c>
      <c r="H475" s="114" t="s">
        <v>1907</v>
      </c>
      <c r="I475" s="91" t="s">
        <v>1908</v>
      </c>
      <c r="J475" s="83" t="s">
        <v>149</v>
      </c>
      <c r="K475" s="83" t="s">
        <v>1909</v>
      </c>
      <c r="L475" s="83" t="s">
        <v>168</v>
      </c>
      <c r="M475" s="83" t="s">
        <v>169</v>
      </c>
      <c r="N475" s="115" t="s">
        <v>170</v>
      </c>
      <c r="O475" s="98" t="s">
        <v>155</v>
      </c>
      <c r="P475" s="99" t="str">
        <f>IFERROR(__xludf.DUMMYFUNCTION("IFERROR(VLOOKUP(AS475,IMPORTRANGE(""https://docs.google.com/spreadsheets/d/1juPI-Fb8LD0YtltB2mlGEnp_R3UVu1t3wSFPzgCyHXE/edit?gid=0#gid=0"",""GERAL!A2:C""),3,0),""-"")"),"CAMPO")</f>
        <v>CAMPO</v>
      </c>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v>1178543.0</v>
      </c>
    </row>
    <row r="476" ht="15.75" customHeight="1">
      <c r="A476" s="111" t="s">
        <v>605</v>
      </c>
      <c r="B476" s="83" t="s">
        <v>1910</v>
      </c>
      <c r="C476" s="83" t="s">
        <v>68</v>
      </c>
      <c r="D476" s="112">
        <v>1178216.0</v>
      </c>
      <c r="E476" s="83"/>
      <c r="F476" s="83">
        <v>2.9444993E7</v>
      </c>
      <c r="G476" s="91" t="str">
        <f>IFERROR(__xludf.DUMMYFUNCTION("XLOOKUP(AS476,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PAULO FREIRE")</f>
        <v>COLÉGIO ESTADUAL PROFESSOR PAULO FREIRE</v>
      </c>
      <c r="H476" s="114" t="s">
        <v>1911</v>
      </c>
      <c r="I476" s="91" t="s">
        <v>1912</v>
      </c>
      <c r="J476" s="136" t="s">
        <v>149</v>
      </c>
      <c r="K476" s="83" t="s">
        <v>150</v>
      </c>
      <c r="L476" s="83" t="s">
        <v>151</v>
      </c>
      <c r="M476" s="83" t="s">
        <v>169</v>
      </c>
      <c r="N476" s="98" t="s">
        <v>1913</v>
      </c>
      <c r="O476" s="98" t="s">
        <v>155</v>
      </c>
      <c r="P476" s="99" t="str">
        <f>IFERROR(__xludf.DUMMYFUNCTION("IFERROR(VLOOKUP(AS476,IMPORTRANGE(""https://docs.google.com/spreadsheets/d/1juPI-Fb8LD0YtltB2mlGEnp_R3UVu1t3wSFPzgCyHXE/edit?gid=0#gid=0"",""GERAL!A2:C""),3,0),""-"")"),"-")</f>
        <v>-</v>
      </c>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v>1178216.0</v>
      </c>
    </row>
    <row r="477" ht="15.75" customHeight="1">
      <c r="A477" s="111" t="s">
        <v>605</v>
      </c>
      <c r="B477" s="83" t="s">
        <v>1914</v>
      </c>
      <c r="C477" s="83" t="s">
        <v>68</v>
      </c>
      <c r="D477" s="112">
        <v>1179481.0</v>
      </c>
      <c r="E477" s="83"/>
      <c r="F477" s="83">
        <v>2.9469066E7</v>
      </c>
      <c r="G477" s="91" t="str">
        <f>IFERROR(__xludf.DUMMYFUNCTION("XLOOKUP(AS477,
IMPORTRANGE(""https://docs.google.com/spreadsheets/d/1YM-djuOLXomrZ9W0B4TyIBsVWnXY4EIOFD9HY-qGfv0/edit?usp=sharing"",""GERAL!BG5:BG""),
IMPORTRANGE(""https://docs.google.com/spreadsheets/d/1YM-djuOLXomrZ9W0B4TyIBsVWnXY4EIOFD9HY-qGfv0/edit?u"&amp;"sp=sharing"",""GERAL!G5:G""),
""CÓD. SEC NÃO ENCONTRADO NA PLANILHA DE MATRÍCULA"")"),"COMPLEXO INTEGRADO DE EDUCACAO DE ITAMARAJU - CIE DE ITAMARAJU - TEMPO INTEGRAL")</f>
        <v>COMPLEXO INTEGRADO DE EDUCACAO DE ITAMARAJU - CIE DE ITAMARAJU - TEMPO INTEGRAL</v>
      </c>
      <c r="H477" s="114" t="s">
        <v>1915</v>
      </c>
      <c r="I477" s="91" t="s">
        <v>1916</v>
      </c>
      <c r="J477" s="83" t="s">
        <v>1917</v>
      </c>
      <c r="K477" s="83" t="s">
        <v>150</v>
      </c>
      <c r="L477" s="83" t="s">
        <v>151</v>
      </c>
      <c r="M477" s="83" t="s">
        <v>230</v>
      </c>
      <c r="N477" s="98" t="s">
        <v>1918</v>
      </c>
      <c r="O477" s="98" t="s">
        <v>284</v>
      </c>
      <c r="P477" s="99" t="str">
        <f>IFERROR(__xludf.DUMMYFUNCTION("IFERROR(VLOOKUP(AS477,IMPORTRANGE(""https://docs.google.com/spreadsheets/d/1juPI-Fb8LD0YtltB2mlGEnp_R3UVu1t3wSFPzgCyHXE/edit?gid=0#gid=0"",""GERAL!A2:C""),3,0),""-"")"),"-")</f>
        <v>-</v>
      </c>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v>1179481.0</v>
      </c>
    </row>
    <row r="478" ht="15.75" customHeight="1">
      <c r="A478" s="111" t="s">
        <v>605</v>
      </c>
      <c r="B478" s="83" t="s">
        <v>1914</v>
      </c>
      <c r="C478" s="83" t="s">
        <v>68</v>
      </c>
      <c r="D478" s="112">
        <v>1176400.0</v>
      </c>
      <c r="E478" s="83"/>
      <c r="F478" s="83">
        <v>2.9370485E7</v>
      </c>
      <c r="G478" s="91" t="str">
        <f>IFERROR(__xludf.DUMMYFUNCTION("XLOOKUP(AS478,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MARIA DO CARMO MARQUÊS DE FREITAS")</f>
        <v>COLÉGIO ESTADUAL PROFESSORA MARIA DO CARMO MARQUÊS DE FREITAS</v>
      </c>
      <c r="H478" s="114" t="s">
        <v>1919</v>
      </c>
      <c r="I478" s="91" t="s">
        <v>1920</v>
      </c>
      <c r="J478" s="83" t="s">
        <v>1921</v>
      </c>
      <c r="K478" s="83" t="s">
        <v>150</v>
      </c>
      <c r="L478" s="83" t="s">
        <v>151</v>
      </c>
      <c r="M478" s="98" t="s">
        <v>76</v>
      </c>
      <c r="N478" s="98" t="s">
        <v>1922</v>
      </c>
      <c r="O478" s="98" t="s">
        <v>155</v>
      </c>
      <c r="P478" s="99" t="str">
        <f>IFERROR(__xludf.DUMMYFUNCTION("IFERROR(VLOOKUP(AS478,IMPORTRANGE(""https://docs.google.com/spreadsheets/d/1juPI-Fb8LD0YtltB2mlGEnp_R3UVu1t3wSFPzgCyHXE/edit?gid=0#gid=0"",""GERAL!A2:C""),3,0),""-"")"),"-")</f>
        <v>-</v>
      </c>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v>1176400.0</v>
      </c>
    </row>
    <row r="479" ht="15.75" customHeight="1">
      <c r="A479" s="111" t="s">
        <v>605</v>
      </c>
      <c r="B479" s="83" t="s">
        <v>1914</v>
      </c>
      <c r="C479" s="83" t="s">
        <v>68</v>
      </c>
      <c r="D479" s="112">
        <v>1178109.0</v>
      </c>
      <c r="E479" s="83"/>
      <c r="F479" s="83">
        <v>2.9446651E7</v>
      </c>
      <c r="G479" s="91" t="str">
        <f>IFERROR(__xludf.DUMMYFUNCTION("XLOOKUP(AS479,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AURIVALDINA JOAZEIRO")</f>
        <v>COLÉGIO ESTADUAL PROFESSORA AURIVALDINA JOAZEIRO</v>
      </c>
      <c r="H479" s="114" t="s">
        <v>1923</v>
      </c>
      <c r="I479" s="91" t="s">
        <v>1924</v>
      </c>
      <c r="J479" s="83" t="s">
        <v>1925</v>
      </c>
      <c r="K479" s="83" t="s">
        <v>150</v>
      </c>
      <c r="L479" s="83" t="s">
        <v>151</v>
      </c>
      <c r="M479" s="98" t="s">
        <v>230</v>
      </c>
      <c r="N479" s="137" t="s">
        <v>1926</v>
      </c>
      <c r="O479" s="98" t="s">
        <v>155</v>
      </c>
      <c r="P479" s="99" t="str">
        <f>IFERROR(__xludf.DUMMYFUNCTION("IFERROR(VLOOKUP(AS479,IMPORTRANGE(""https://docs.google.com/spreadsheets/d/1juPI-Fb8LD0YtltB2mlGEnp_R3UVu1t3wSFPzgCyHXE/edit?gid=0#gid=0"",""GERAL!A2:C""),3,0),""-"")"),"-")</f>
        <v>-</v>
      </c>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v>1178109.0</v>
      </c>
    </row>
    <row r="480" ht="15.75" customHeight="1">
      <c r="A480" s="111" t="s">
        <v>605</v>
      </c>
      <c r="B480" s="83" t="s">
        <v>1914</v>
      </c>
      <c r="C480" s="83" t="s">
        <v>164</v>
      </c>
      <c r="D480" s="112">
        <v>1179713.0</v>
      </c>
      <c r="E480" s="83">
        <v>1178518.0</v>
      </c>
      <c r="F480" s="83"/>
      <c r="G480" s="91" t="str">
        <f>IFERROR(__xludf.DUMMYFUNCTION("XLOOKUP(AS480,
IMPORTRANGE(""https://docs.google.com/spreadsheets/d/1YM-djuOLXomrZ9W0B4TyIBsVWnXY4EIOFD9HY-qGfv0/edit?usp=sharing"",""GERAL!BG5:BG""),
IMPORTRANGE(""https://docs.google.com/spreadsheets/d/1YM-djuOLXomrZ9W0B4TyIBsVWnXY4EIOFD9HY-qGfv0/edit?u"&amp;"sp=sharing"",""GERAL!G5:G""),
""CÓD. SEC NÃO ENCONTRADO NA PLANILHA DE MATRÍCULA"")"),"ANEXO DO EXTREMO SUL - POVOADO DE CAMPO ALEGRE")</f>
        <v>ANEXO DO EXTREMO SUL - POVOADO DE CAMPO ALEGRE</v>
      </c>
      <c r="H480" s="119" t="s">
        <v>1927</v>
      </c>
      <c r="I480" s="91" t="s">
        <v>1928</v>
      </c>
      <c r="J480" s="83" t="s">
        <v>149</v>
      </c>
      <c r="K480" s="83" t="s">
        <v>890</v>
      </c>
      <c r="L480" s="83" t="s">
        <v>168</v>
      </c>
      <c r="M480" s="83" t="s">
        <v>152</v>
      </c>
      <c r="N480" s="115" t="s">
        <v>170</v>
      </c>
      <c r="O480" s="98" t="s">
        <v>155</v>
      </c>
      <c r="P480" s="99" t="str">
        <f>IFERROR(__xludf.DUMMYFUNCTION("IFERROR(VLOOKUP(AS480,IMPORTRANGE(""https://docs.google.com/spreadsheets/d/1juPI-Fb8LD0YtltB2mlGEnp_R3UVu1t3wSFPzgCyHXE/edit?gid=0#gid=0"",""GERAL!A2:C""),3,0),""-"")"),"CAMPO")</f>
        <v>CAMPO</v>
      </c>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v>1178518.0</v>
      </c>
    </row>
    <row r="481" ht="15.75" customHeight="1">
      <c r="A481" s="111" t="s">
        <v>605</v>
      </c>
      <c r="B481" s="83" t="s">
        <v>1914</v>
      </c>
      <c r="C481" s="83" t="s">
        <v>164</v>
      </c>
      <c r="D481" s="112">
        <v>1179713.0</v>
      </c>
      <c r="E481" s="83">
        <v>1178519.0</v>
      </c>
      <c r="F481" s="83"/>
      <c r="G481" s="91" t="str">
        <f>IFERROR(__xludf.DUMMYFUNCTION("XLOOKUP(AS481,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POVOADO DE SÃO JOÃO DA PRATA")</f>
        <v>ANEXO DO CEMIT EXTREMO SUL - POVOADO DE SÃO JOÃO DA PRATA</v>
      </c>
      <c r="H481" s="119" t="s">
        <v>1929</v>
      </c>
      <c r="I481" s="91" t="s">
        <v>1930</v>
      </c>
      <c r="J481" s="83" t="s">
        <v>149</v>
      </c>
      <c r="K481" s="83" t="s">
        <v>1931</v>
      </c>
      <c r="L481" s="83" t="s">
        <v>168</v>
      </c>
      <c r="M481" s="83" t="s">
        <v>152</v>
      </c>
      <c r="N481" s="115" t="s">
        <v>170</v>
      </c>
      <c r="O481" s="98" t="s">
        <v>155</v>
      </c>
      <c r="P481" s="99" t="str">
        <f>IFERROR(__xludf.DUMMYFUNCTION("IFERROR(VLOOKUP(AS481,IMPORTRANGE(""https://docs.google.com/spreadsheets/d/1juPI-Fb8LD0YtltB2mlGEnp_R3UVu1t3wSFPzgCyHXE/edit?gid=0#gid=0"",""GERAL!A2:C""),3,0),""-"")"),"CAMPO")</f>
        <v>CAMPO</v>
      </c>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v>1178519.0</v>
      </c>
    </row>
    <row r="482" ht="15.75" customHeight="1">
      <c r="A482" s="111" t="s">
        <v>605</v>
      </c>
      <c r="B482" s="83" t="s">
        <v>1914</v>
      </c>
      <c r="C482" s="83" t="s">
        <v>164</v>
      </c>
      <c r="D482" s="112">
        <v>1179713.0</v>
      </c>
      <c r="E482" s="83">
        <v>1178526.0</v>
      </c>
      <c r="F482" s="83"/>
      <c r="G482" s="91" t="str">
        <f>IFERROR(__xludf.DUMMYFUNCTION("XLOOKUP(AS482,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VILA UNIÃO")</f>
        <v>ANEXO DO CEMIT EXTREMO SUL - DISTRITO VILA UNIÃO</v>
      </c>
      <c r="H482" s="119" t="s">
        <v>1932</v>
      </c>
      <c r="I482" s="91" t="s">
        <v>1933</v>
      </c>
      <c r="J482" s="83" t="s">
        <v>149</v>
      </c>
      <c r="K482" s="83" t="s">
        <v>568</v>
      </c>
      <c r="L482" s="83" t="s">
        <v>168</v>
      </c>
      <c r="M482" s="83" t="s">
        <v>152</v>
      </c>
      <c r="N482" s="115" t="s">
        <v>170</v>
      </c>
      <c r="O482" s="98" t="s">
        <v>155</v>
      </c>
      <c r="P482" s="99" t="str">
        <f>IFERROR(__xludf.DUMMYFUNCTION("IFERROR(VLOOKUP(AS482,IMPORTRANGE(""https://docs.google.com/spreadsheets/d/1juPI-Fb8LD0YtltB2mlGEnp_R3UVu1t3wSFPzgCyHXE/edit?gid=0#gid=0"",""GERAL!A2:C""),3,0),""-"")"),"CAMPO")</f>
        <v>CAMPO</v>
      </c>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v>1178526.0</v>
      </c>
    </row>
    <row r="483" ht="15.75" customHeight="1">
      <c r="A483" s="111" t="s">
        <v>605</v>
      </c>
      <c r="B483" s="83" t="s">
        <v>1914</v>
      </c>
      <c r="C483" s="83" t="s">
        <v>164</v>
      </c>
      <c r="D483" s="112">
        <v>1179713.0</v>
      </c>
      <c r="E483" s="83">
        <v>1178525.0</v>
      </c>
      <c r="F483" s="83"/>
      <c r="G483" s="91" t="str">
        <f>IFERROR(__xludf.DUMMYFUNCTION("XLOOKUP(AS483,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PIRAJI")</f>
        <v>ANEXO DO CEMIT EXTREMO SUL - DISTRITO PIRAJI</v>
      </c>
      <c r="H483" s="119" t="s">
        <v>1934</v>
      </c>
      <c r="I483" s="91" t="s">
        <v>1935</v>
      </c>
      <c r="J483" s="83" t="s">
        <v>149</v>
      </c>
      <c r="K483" s="83" t="s">
        <v>1936</v>
      </c>
      <c r="L483" s="83" t="s">
        <v>168</v>
      </c>
      <c r="M483" s="83" t="s">
        <v>152</v>
      </c>
      <c r="N483" s="115" t="s">
        <v>170</v>
      </c>
      <c r="O483" s="98" t="s">
        <v>155</v>
      </c>
      <c r="P483" s="99" t="str">
        <f>IFERROR(__xludf.DUMMYFUNCTION("IFERROR(VLOOKUP(AS483,IMPORTRANGE(""https://docs.google.com/spreadsheets/d/1juPI-Fb8LD0YtltB2mlGEnp_R3UVu1t3wSFPzgCyHXE/edit?gid=0#gid=0"",""GERAL!A2:C""),3,0),""-"")"),"CAMPO")</f>
        <v>CAMPO</v>
      </c>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v>1178525.0</v>
      </c>
    </row>
    <row r="484" ht="15.75" customHeight="1">
      <c r="A484" s="111" t="s">
        <v>605</v>
      </c>
      <c r="B484" s="83" t="s">
        <v>1914</v>
      </c>
      <c r="C484" s="83" t="s">
        <v>164</v>
      </c>
      <c r="D484" s="112">
        <v>1179713.0</v>
      </c>
      <c r="E484" s="83">
        <v>1178524.0</v>
      </c>
      <c r="F484" s="83"/>
      <c r="G484" s="91" t="str">
        <f>IFERROR(__xludf.DUMMYFUNCTION("XLOOKUP(AS484,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NOVA ALEGRIA")</f>
        <v>ANEXO DO CEMIT EXTREMO SUL - DISTRITO NOVA ALEGRIA</v>
      </c>
      <c r="H484" s="119" t="s">
        <v>1937</v>
      </c>
      <c r="I484" s="91" t="s">
        <v>1938</v>
      </c>
      <c r="J484" s="83" t="s">
        <v>149</v>
      </c>
      <c r="K484" s="83" t="s">
        <v>568</v>
      </c>
      <c r="L484" s="83" t="s">
        <v>168</v>
      </c>
      <c r="M484" s="83" t="s">
        <v>152</v>
      </c>
      <c r="N484" s="115" t="s">
        <v>170</v>
      </c>
      <c r="O484" s="98" t="s">
        <v>155</v>
      </c>
      <c r="P484" s="99" t="str">
        <f>IFERROR(__xludf.DUMMYFUNCTION("IFERROR(VLOOKUP(AS484,IMPORTRANGE(""https://docs.google.com/spreadsheets/d/1juPI-Fb8LD0YtltB2mlGEnp_R3UVu1t3wSFPzgCyHXE/edit?gid=0#gid=0"",""GERAL!A2:C""),3,0),""-"")"),"CAMPO")</f>
        <v>CAMPO</v>
      </c>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v>1178524.0</v>
      </c>
    </row>
    <row r="485" ht="15.75" customHeight="1">
      <c r="A485" s="111" t="s">
        <v>605</v>
      </c>
      <c r="B485" s="83" t="s">
        <v>1914</v>
      </c>
      <c r="C485" s="83" t="s">
        <v>164</v>
      </c>
      <c r="D485" s="112">
        <v>1179713.0</v>
      </c>
      <c r="E485" s="83">
        <v>1178522.0</v>
      </c>
      <c r="F485" s="83"/>
      <c r="G485" s="91" t="str">
        <f>IFERROR(__xludf.DUMMYFUNCTION("XLOOKUP(AS485,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DE PIRAJÁ")</f>
        <v>ANEXO DO CEMIT EXTREMO SUL - DISTRITO DE PIRAJÁ</v>
      </c>
      <c r="H485" s="119" t="s">
        <v>1939</v>
      </c>
      <c r="I485" s="91" t="s">
        <v>1940</v>
      </c>
      <c r="J485" s="83" t="s">
        <v>149</v>
      </c>
      <c r="K485" s="83" t="s">
        <v>641</v>
      </c>
      <c r="L485" s="83" t="s">
        <v>168</v>
      </c>
      <c r="M485" s="83" t="s">
        <v>152</v>
      </c>
      <c r="N485" s="115" t="s">
        <v>170</v>
      </c>
      <c r="O485" s="98" t="s">
        <v>155</v>
      </c>
      <c r="P485" s="99" t="str">
        <f>IFERROR(__xludf.DUMMYFUNCTION("IFERROR(VLOOKUP(AS485,IMPORTRANGE(""https://docs.google.com/spreadsheets/d/1juPI-Fb8LD0YtltB2mlGEnp_R3UVu1t3wSFPzgCyHXE/edit?gid=0#gid=0"",""GERAL!A2:C""),3,0),""-"")"),"CAMPO")</f>
        <v>CAMPO</v>
      </c>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v>1178522.0</v>
      </c>
    </row>
    <row r="486" ht="15.75" customHeight="1">
      <c r="A486" s="111" t="s">
        <v>605</v>
      </c>
      <c r="B486" s="83" t="s">
        <v>1914</v>
      </c>
      <c r="C486" s="83" t="s">
        <v>164</v>
      </c>
      <c r="D486" s="112">
        <v>1179713.0</v>
      </c>
      <c r="E486" s="83">
        <v>1178520.0</v>
      </c>
      <c r="F486" s="83"/>
      <c r="G486" s="91" t="str">
        <f>IFERROR(__xludf.DUMMYFUNCTION("XLOOKUP(AS486,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EXTREMO SUL - POVOADO DE SÃO PAULINHO")</f>
        <v>ANEXO CEMIT EXTREMO SUL - POVOADO DE SÃO PAULINHO</v>
      </c>
      <c r="H486" s="119" t="s">
        <v>1941</v>
      </c>
      <c r="I486" s="91" t="s">
        <v>1942</v>
      </c>
      <c r="J486" s="83" t="s">
        <v>149</v>
      </c>
      <c r="K486" s="83" t="s">
        <v>1745</v>
      </c>
      <c r="L486" s="83" t="s">
        <v>168</v>
      </c>
      <c r="M486" s="83" t="s">
        <v>152</v>
      </c>
      <c r="N486" s="115" t="s">
        <v>170</v>
      </c>
      <c r="O486" s="98" t="s">
        <v>155</v>
      </c>
      <c r="P486" s="99" t="str">
        <f>IFERROR(__xludf.DUMMYFUNCTION("IFERROR(VLOOKUP(AS486,IMPORTRANGE(""https://docs.google.com/spreadsheets/d/1juPI-Fb8LD0YtltB2mlGEnp_R3UVu1t3wSFPzgCyHXE/edit?gid=0#gid=0"",""GERAL!A2:C""),3,0),""-"")"),"CAMPO")</f>
        <v>CAMPO</v>
      </c>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v>1178520.0</v>
      </c>
    </row>
    <row r="487" ht="15.75" customHeight="1">
      <c r="A487" s="111" t="s">
        <v>605</v>
      </c>
      <c r="B487" s="83" t="s">
        <v>1914</v>
      </c>
      <c r="C487" s="83" t="s">
        <v>164</v>
      </c>
      <c r="D487" s="112">
        <v>1179713.0</v>
      </c>
      <c r="E487" s="83">
        <v>1178523.0</v>
      </c>
      <c r="F487" s="83"/>
      <c r="G487" s="91" t="str">
        <f>IFERROR(__xludf.DUMMYFUNCTION("XLOOKUP(AS487,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EXTREMO SUL - DISTRITO ITABRASIL")</f>
        <v>ANEXO CEMIT EXTREMO SUL - DISTRITO ITABRASIL</v>
      </c>
      <c r="H487" s="119" t="s">
        <v>1944</v>
      </c>
      <c r="I487" s="91" t="s">
        <v>1945</v>
      </c>
      <c r="J487" s="83" t="s">
        <v>149</v>
      </c>
      <c r="K487" s="83" t="s">
        <v>1946</v>
      </c>
      <c r="L487" s="83" t="s">
        <v>168</v>
      </c>
      <c r="M487" s="83" t="s">
        <v>152</v>
      </c>
      <c r="N487" s="115" t="s">
        <v>170</v>
      </c>
      <c r="O487" s="98" t="s">
        <v>155</v>
      </c>
      <c r="P487" s="99" t="str">
        <f>IFERROR(__xludf.DUMMYFUNCTION("IFERROR(VLOOKUP(AS487,IMPORTRANGE(""https://docs.google.com/spreadsheets/d/1juPI-Fb8LD0YtltB2mlGEnp_R3UVu1t3wSFPzgCyHXE/edit?gid=0#gid=0"",""GERAL!A2:C""),3,0),""-"")"),"CAMPO")</f>
        <v>CAMPO</v>
      </c>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v>1178523.0</v>
      </c>
    </row>
    <row r="488" ht="15.75" customHeight="1">
      <c r="A488" s="111" t="s">
        <v>605</v>
      </c>
      <c r="B488" s="83" t="s">
        <v>1914</v>
      </c>
      <c r="C488" s="83" t="s">
        <v>164</v>
      </c>
      <c r="D488" s="112">
        <v>1179713.0</v>
      </c>
      <c r="E488" s="83">
        <v>1178521.0</v>
      </c>
      <c r="F488" s="83"/>
      <c r="G488" s="91" t="str">
        <f>IFERROR(__xludf.DUMMYFUNCTION("XLOOKUP(AS488,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EXTREMO SUL - DISTRITO DE PAU D' ALHO")</f>
        <v>ANEXO CEMIT EXTREMO SUL - DISTRITO DE PAU D' ALHO</v>
      </c>
      <c r="H488" s="119" t="s">
        <v>1947</v>
      </c>
      <c r="I488" s="91" t="s">
        <v>1948</v>
      </c>
      <c r="J488" s="83" t="s">
        <v>149</v>
      </c>
      <c r="K488" s="83" t="s">
        <v>641</v>
      </c>
      <c r="L488" s="83" t="s">
        <v>168</v>
      </c>
      <c r="M488" s="83" t="s">
        <v>152</v>
      </c>
      <c r="N488" s="115" t="s">
        <v>170</v>
      </c>
      <c r="O488" s="98" t="s">
        <v>155</v>
      </c>
      <c r="P488" s="99" t="str">
        <f>IFERROR(__xludf.DUMMYFUNCTION("IFERROR(VLOOKUP(AS488,IMPORTRANGE(""https://docs.google.com/spreadsheets/d/1juPI-Fb8LD0YtltB2mlGEnp_R3UVu1t3wSFPzgCyHXE/edit?gid=0#gid=0"",""GERAL!A2:C""),3,0),""-"")"),"CAMPO")</f>
        <v>CAMPO</v>
      </c>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v>1178521.0</v>
      </c>
    </row>
    <row r="489" ht="15.75" customHeight="1">
      <c r="A489" s="111" t="s">
        <v>605</v>
      </c>
      <c r="B489" s="83" t="s">
        <v>1914</v>
      </c>
      <c r="C489" s="83" t="s">
        <v>164</v>
      </c>
      <c r="D489" s="112">
        <v>1179686.0</v>
      </c>
      <c r="E489" s="83">
        <v>1179692.0</v>
      </c>
      <c r="F489" s="83"/>
      <c r="G489" s="91" t="str">
        <f>IFERROR(__xludf.DUMMYFUNCTION("XLOOKUP(AS489,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 CAMPO ANDERSON FRANCA - ASSENTAMENTO BELA VISTA")</f>
        <v>ANEXO - COLÉGIO ESTADUAL DO CAMPO ANDERSON FRANCA - ASSENTAMENTO BELA VISTA</v>
      </c>
      <c r="H489" s="114" t="s">
        <v>1949</v>
      </c>
      <c r="I489" s="91" t="s">
        <v>1950</v>
      </c>
      <c r="J489" s="83" t="s">
        <v>1951</v>
      </c>
      <c r="K489" s="83" t="s">
        <v>222</v>
      </c>
      <c r="L489" s="83" t="s">
        <v>168</v>
      </c>
      <c r="M489" s="83" t="s">
        <v>169</v>
      </c>
      <c r="N489" s="115" t="s">
        <v>170</v>
      </c>
      <c r="O489" s="98" t="s">
        <v>155</v>
      </c>
      <c r="P489" s="99" t="str">
        <f>IFERROR(__xludf.DUMMYFUNCTION("IFERROR(VLOOKUP(AS489,IMPORTRANGE(""https://docs.google.com/spreadsheets/d/1juPI-Fb8LD0YtltB2mlGEnp_R3UVu1t3wSFPzgCyHXE/edit?gid=0#gid=0"",""GERAL!A2:C""),3,0),""-"")"),"ASSENTAMENTOS")</f>
        <v>ASSENTAMENTOS</v>
      </c>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v>1179692.0</v>
      </c>
    </row>
    <row r="490" ht="15.75" customHeight="1">
      <c r="A490" s="111" t="s">
        <v>605</v>
      </c>
      <c r="B490" s="83" t="s">
        <v>1952</v>
      </c>
      <c r="C490" s="83" t="s">
        <v>68</v>
      </c>
      <c r="D490" s="112">
        <v>1113200.0</v>
      </c>
      <c r="E490" s="83"/>
      <c r="F490" s="83">
        <v>2.932248E7</v>
      </c>
      <c r="G490" s="91" t="str">
        <f>IFERROR(__xludf.DUMMYFUNCTION("XLOOKUP(AS490,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ITANHEM (ANTIGO POLIVALENTE )")</f>
        <v>COLÉGIO ESTADUAL DE TEMPO INTEGRAL DE ITANHEM (ANTIGO POLIVALENTE )</v>
      </c>
      <c r="H490" s="119" t="s">
        <v>1953</v>
      </c>
      <c r="I490" s="91" t="s">
        <v>1954</v>
      </c>
      <c r="J490" s="83" t="s">
        <v>1955</v>
      </c>
      <c r="K490" s="83" t="s">
        <v>150</v>
      </c>
      <c r="L490" s="83" t="s">
        <v>151</v>
      </c>
      <c r="M490" s="83" t="s">
        <v>230</v>
      </c>
      <c r="N490" s="137" t="s">
        <v>1956</v>
      </c>
      <c r="O490" s="98" t="s">
        <v>284</v>
      </c>
      <c r="P490" s="99" t="str">
        <f>IFERROR(__xludf.DUMMYFUNCTION("IFERROR(VLOOKUP(AS490,IMPORTRANGE(""https://docs.google.com/spreadsheets/d/1juPI-Fb8LD0YtltB2mlGEnp_R3UVu1t3wSFPzgCyHXE/edit?gid=0#gid=0"",""GERAL!A2:C""),3,0),""-"")"),"-")</f>
        <v>-</v>
      </c>
      <c r="Q490" s="101" t="s">
        <v>156</v>
      </c>
      <c r="R490" s="98">
        <v>10.0</v>
      </c>
      <c r="S490" s="98">
        <v>0.0</v>
      </c>
      <c r="T490" s="98">
        <v>1.0</v>
      </c>
      <c r="U490" s="98">
        <v>0.0</v>
      </c>
      <c r="V490" s="98">
        <v>0.0</v>
      </c>
      <c r="W490" s="98">
        <v>1.0</v>
      </c>
      <c r="X490" s="98">
        <v>0.0</v>
      </c>
      <c r="Y490" s="98">
        <v>0.0</v>
      </c>
      <c r="Z490" s="98">
        <v>1.0</v>
      </c>
      <c r="AA490" s="98">
        <v>0.0</v>
      </c>
      <c r="AB490" s="98">
        <v>1.0</v>
      </c>
      <c r="AC490" s="98">
        <v>0.0</v>
      </c>
      <c r="AD490" s="98">
        <v>0.0</v>
      </c>
      <c r="AE490" s="98">
        <v>0.0</v>
      </c>
      <c r="AF490" s="98">
        <v>1.0</v>
      </c>
      <c r="AG490" s="98">
        <v>0.0</v>
      </c>
      <c r="AH490" s="98">
        <v>0.0</v>
      </c>
      <c r="AI490" s="98">
        <v>0.0</v>
      </c>
      <c r="AJ490" s="98">
        <v>0.0</v>
      </c>
      <c r="AK490" s="98">
        <v>1.0</v>
      </c>
      <c r="AL490" s="98">
        <v>0.0</v>
      </c>
      <c r="AM490" s="98">
        <v>0.0</v>
      </c>
      <c r="AN490" s="98">
        <v>0.0</v>
      </c>
      <c r="AO490" s="98">
        <v>0.0</v>
      </c>
      <c r="AP490" s="98">
        <v>1.0</v>
      </c>
      <c r="AQ490" s="98" t="s">
        <v>1957</v>
      </c>
      <c r="AR490" s="102">
        <v>46224.0</v>
      </c>
      <c r="AS490" s="83">
        <v>1113200.0</v>
      </c>
    </row>
    <row r="491" ht="15.75" customHeight="1">
      <c r="A491" s="111" t="s">
        <v>605</v>
      </c>
      <c r="B491" s="83" t="s">
        <v>1952</v>
      </c>
      <c r="C491" s="83" t="s">
        <v>164</v>
      </c>
      <c r="D491" s="112">
        <v>1179713.0</v>
      </c>
      <c r="E491" s="83">
        <v>1178552.0</v>
      </c>
      <c r="F491" s="83"/>
      <c r="G491" s="91" t="str">
        <f>IFERROR(__xludf.DUMMYFUNCTION("XLOOKUP(AS491,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EXTRMO SUL - DISTRITO VILA SALOMÃO")</f>
        <v>ANEXO DO CEMIT EXTRMO SUL - DISTRITO VILA SALOMÃO</v>
      </c>
      <c r="H491" s="184" t="s">
        <v>1959</v>
      </c>
      <c r="I491" s="91" t="s">
        <v>1960</v>
      </c>
      <c r="J491" s="83" t="s">
        <v>1961</v>
      </c>
      <c r="K491" s="83" t="s">
        <v>331</v>
      </c>
      <c r="L491" s="83" t="s">
        <v>168</v>
      </c>
      <c r="M491" s="83" t="s">
        <v>169</v>
      </c>
      <c r="N491" s="115" t="s">
        <v>170</v>
      </c>
      <c r="O491" s="98" t="s">
        <v>155</v>
      </c>
      <c r="P491" s="99" t="str">
        <f>IFERROR(__xludf.DUMMYFUNCTION("IFERROR(VLOOKUP(AS491,IMPORTRANGE(""https://docs.google.com/spreadsheets/d/1juPI-Fb8LD0YtltB2mlGEnp_R3UVu1t3wSFPzgCyHXE/edit?gid=0#gid=0"",""GERAL!A2:C""),3,0),""-"")"),"-")</f>
        <v>-</v>
      </c>
      <c r="Q491" s="98" t="s">
        <v>171</v>
      </c>
      <c r="R491" s="98">
        <v>3.0</v>
      </c>
      <c r="S491" s="98" t="s">
        <v>171</v>
      </c>
      <c r="T491" s="98" t="s">
        <v>171</v>
      </c>
      <c r="U491" s="98" t="s">
        <v>171</v>
      </c>
      <c r="V491" s="98" t="s">
        <v>171</v>
      </c>
      <c r="W491" s="98" t="s">
        <v>171</v>
      </c>
      <c r="X491" s="98" t="s">
        <v>171</v>
      </c>
      <c r="Y491" s="98" t="s">
        <v>171</v>
      </c>
      <c r="Z491" s="98" t="s">
        <v>171</v>
      </c>
      <c r="AA491" s="98" t="s">
        <v>171</v>
      </c>
      <c r="AB491" s="98" t="s">
        <v>171</v>
      </c>
      <c r="AC491" s="98" t="s">
        <v>171</v>
      </c>
      <c r="AD491" s="98" t="s">
        <v>171</v>
      </c>
      <c r="AE491" s="98" t="s">
        <v>171</v>
      </c>
      <c r="AF491" s="98" t="s">
        <v>171</v>
      </c>
      <c r="AG491" s="98" t="s">
        <v>171</v>
      </c>
      <c r="AH491" s="98" t="s">
        <v>171</v>
      </c>
      <c r="AI491" s="98" t="s">
        <v>171</v>
      </c>
      <c r="AJ491" s="98" t="s">
        <v>171</v>
      </c>
      <c r="AK491" s="98" t="s">
        <v>171</v>
      </c>
      <c r="AL491" s="98" t="s">
        <v>171</v>
      </c>
      <c r="AM491" s="98" t="s">
        <v>171</v>
      </c>
      <c r="AN491" s="98" t="s">
        <v>171</v>
      </c>
      <c r="AO491" s="98" t="s">
        <v>171</v>
      </c>
      <c r="AP491" s="98" t="s">
        <v>171</v>
      </c>
      <c r="AQ491" s="98" t="s">
        <v>171</v>
      </c>
      <c r="AR491" s="102">
        <v>46224.0</v>
      </c>
      <c r="AS491" s="83">
        <v>1178552.0</v>
      </c>
    </row>
    <row r="492" ht="15.75" customHeight="1">
      <c r="A492" s="111" t="s">
        <v>605</v>
      </c>
      <c r="B492" s="83" t="s">
        <v>1952</v>
      </c>
      <c r="C492" s="83" t="s">
        <v>164</v>
      </c>
      <c r="D492" s="112">
        <v>1179713.0</v>
      </c>
      <c r="E492" s="83">
        <v>1178553.0</v>
      </c>
      <c r="F492" s="83"/>
      <c r="G492" s="91" t="str">
        <f>IFERROR(__xludf.DUMMYFUNCTION("XLOOKUP(AS492,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VILA SÃO JOSÉ")</f>
        <v>ANEXO DO CEMIT EXTREMO SUL - DISTRITO VILA SÃO JOSÉ</v>
      </c>
      <c r="H492" s="184" t="s">
        <v>1962</v>
      </c>
      <c r="I492" s="91" t="s">
        <v>1963</v>
      </c>
      <c r="J492" s="83" t="s">
        <v>1964</v>
      </c>
      <c r="K492" s="83" t="s">
        <v>240</v>
      </c>
      <c r="L492" s="83" t="s">
        <v>168</v>
      </c>
      <c r="M492" s="83" t="s">
        <v>169</v>
      </c>
      <c r="N492" s="115" t="s">
        <v>170</v>
      </c>
      <c r="O492" s="98" t="s">
        <v>155</v>
      </c>
      <c r="P492" s="99" t="str">
        <f>IFERROR(__xludf.DUMMYFUNCTION("IFERROR(VLOOKUP(AS492,IMPORTRANGE(""https://docs.google.com/spreadsheets/d/1juPI-Fb8LD0YtltB2mlGEnp_R3UVu1t3wSFPzgCyHXE/edit?gid=0#gid=0"",""GERAL!A2:C""),3,0),""-"")"),"-")</f>
        <v>-</v>
      </c>
      <c r="Q492" s="98" t="s">
        <v>171</v>
      </c>
      <c r="R492" s="98">
        <v>1.0</v>
      </c>
      <c r="S492" s="98" t="s">
        <v>171</v>
      </c>
      <c r="T492" s="98" t="s">
        <v>171</v>
      </c>
      <c r="U492" s="98" t="s">
        <v>171</v>
      </c>
      <c r="V492" s="98" t="s">
        <v>171</v>
      </c>
      <c r="W492" s="98" t="s">
        <v>171</v>
      </c>
      <c r="X492" s="98" t="s">
        <v>171</v>
      </c>
      <c r="Y492" s="98" t="s">
        <v>171</v>
      </c>
      <c r="Z492" s="98" t="s">
        <v>171</v>
      </c>
      <c r="AA492" s="98" t="s">
        <v>171</v>
      </c>
      <c r="AB492" s="98" t="s">
        <v>171</v>
      </c>
      <c r="AC492" s="98" t="s">
        <v>171</v>
      </c>
      <c r="AD492" s="98" t="s">
        <v>171</v>
      </c>
      <c r="AE492" s="98" t="s">
        <v>171</v>
      </c>
      <c r="AF492" s="98" t="s">
        <v>171</v>
      </c>
      <c r="AG492" s="98" t="s">
        <v>171</v>
      </c>
      <c r="AH492" s="98" t="s">
        <v>171</v>
      </c>
      <c r="AI492" s="98" t="s">
        <v>171</v>
      </c>
      <c r="AJ492" s="98" t="s">
        <v>171</v>
      </c>
      <c r="AK492" s="98" t="s">
        <v>171</v>
      </c>
      <c r="AL492" s="98" t="s">
        <v>171</v>
      </c>
      <c r="AM492" s="98" t="s">
        <v>171</v>
      </c>
      <c r="AN492" s="98" t="s">
        <v>171</v>
      </c>
      <c r="AO492" s="98" t="s">
        <v>171</v>
      </c>
      <c r="AP492" s="98" t="s">
        <v>171</v>
      </c>
      <c r="AQ492" s="98" t="s">
        <v>171</v>
      </c>
      <c r="AR492" s="102">
        <v>46224.0</v>
      </c>
      <c r="AS492" s="83">
        <v>1178553.0</v>
      </c>
    </row>
    <row r="493" ht="15.75" customHeight="1">
      <c r="A493" s="111" t="s">
        <v>605</v>
      </c>
      <c r="B493" s="83" t="s">
        <v>1952</v>
      </c>
      <c r="C493" s="83" t="s">
        <v>164</v>
      </c>
      <c r="D493" s="112">
        <v>1179713.0</v>
      </c>
      <c r="E493" s="98">
        <v>1178551.0</v>
      </c>
      <c r="F493" s="83"/>
      <c r="G493" s="91" t="str">
        <f>IFERROR(__xludf.DUMMYFUNCTION("XLOOKUP(AS493,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VILA JOSE RESENDE")</f>
        <v>ANEXO DO CEMIT EXTREMO SUL - DISTRITO VILA JOSE RESENDE</v>
      </c>
      <c r="H493" s="184" t="s">
        <v>1966</v>
      </c>
      <c r="I493" s="91"/>
      <c r="J493" s="83"/>
      <c r="K493" s="83"/>
      <c r="L493" s="83" t="s">
        <v>168</v>
      </c>
      <c r="M493" s="83" t="s">
        <v>169</v>
      </c>
      <c r="N493" s="115" t="s">
        <v>170</v>
      </c>
      <c r="O493" s="98"/>
      <c r="P493" s="99" t="str">
        <f>IFERROR(__xludf.DUMMYFUNCTION("IFERROR(VLOOKUP(AS493,IMPORTRANGE(""https://docs.google.com/spreadsheets/d/1juPI-Fb8LD0YtltB2mlGEnp_R3UVu1t3wSFPzgCyHXE/edit?gid=0#gid=0"",""GERAL!A2:C""),3,0),""-"")"),"-")</f>
        <v>-</v>
      </c>
      <c r="Q493" s="98" t="s">
        <v>171</v>
      </c>
      <c r="R493" s="98">
        <v>1.0</v>
      </c>
      <c r="S493" s="98" t="s">
        <v>171</v>
      </c>
      <c r="T493" s="98" t="s">
        <v>171</v>
      </c>
      <c r="U493" s="98" t="s">
        <v>171</v>
      </c>
      <c r="V493" s="98" t="s">
        <v>171</v>
      </c>
      <c r="W493" s="98" t="s">
        <v>171</v>
      </c>
      <c r="X493" s="98" t="s">
        <v>171</v>
      </c>
      <c r="Y493" s="98" t="s">
        <v>171</v>
      </c>
      <c r="Z493" s="98" t="s">
        <v>171</v>
      </c>
      <c r="AA493" s="98" t="s">
        <v>171</v>
      </c>
      <c r="AB493" s="98" t="s">
        <v>171</v>
      </c>
      <c r="AC493" s="98" t="s">
        <v>171</v>
      </c>
      <c r="AD493" s="98" t="s">
        <v>171</v>
      </c>
      <c r="AE493" s="98" t="s">
        <v>171</v>
      </c>
      <c r="AF493" s="98" t="s">
        <v>171</v>
      </c>
      <c r="AG493" s="98" t="s">
        <v>171</v>
      </c>
      <c r="AH493" s="98" t="s">
        <v>171</v>
      </c>
      <c r="AI493" s="98" t="s">
        <v>171</v>
      </c>
      <c r="AJ493" s="98" t="s">
        <v>171</v>
      </c>
      <c r="AK493" s="98" t="s">
        <v>171</v>
      </c>
      <c r="AL493" s="98" t="s">
        <v>171</v>
      </c>
      <c r="AM493" s="98" t="s">
        <v>171</v>
      </c>
      <c r="AN493" s="98" t="s">
        <v>171</v>
      </c>
      <c r="AO493" s="98" t="s">
        <v>171</v>
      </c>
      <c r="AP493" s="98" t="s">
        <v>171</v>
      </c>
      <c r="AQ493" s="98" t="s">
        <v>171</v>
      </c>
      <c r="AR493" s="102">
        <v>46224.0</v>
      </c>
      <c r="AS493" s="98">
        <v>1178551.0</v>
      </c>
    </row>
    <row r="494" ht="15.75" customHeight="1">
      <c r="A494" s="111" t="s">
        <v>605</v>
      </c>
      <c r="B494" s="83" t="s">
        <v>1952</v>
      </c>
      <c r="C494" s="83" t="s">
        <v>164</v>
      </c>
      <c r="D494" s="112">
        <v>1179713.0</v>
      </c>
      <c r="E494" s="83">
        <v>1178548.0</v>
      </c>
      <c r="F494" s="83"/>
      <c r="G494" s="91" t="str">
        <f>IFERROR(__xludf.DUMMYFUNCTION("XLOOKUP(AS494,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CURVELO DA CONCEIÇÃO")</f>
        <v>ANEXO DO CEMIT EXTREMO SUL - DISTRITO CURVELO DA CONCEIÇÃO</v>
      </c>
      <c r="H494" s="184" t="s">
        <v>1971</v>
      </c>
      <c r="I494" s="91" t="s">
        <v>1972</v>
      </c>
      <c r="J494" s="146" t="s">
        <v>1973</v>
      </c>
      <c r="K494" s="83" t="s">
        <v>240</v>
      </c>
      <c r="L494" s="83" t="s">
        <v>168</v>
      </c>
      <c r="M494" s="83" t="s">
        <v>169</v>
      </c>
      <c r="N494" s="115" t="s">
        <v>170</v>
      </c>
      <c r="O494" s="98" t="s">
        <v>155</v>
      </c>
      <c r="P494" s="99" t="str">
        <f>IFERROR(__xludf.DUMMYFUNCTION("IFERROR(VLOOKUP(AS494,IMPORTRANGE(""https://docs.google.com/spreadsheets/d/1juPI-Fb8LD0YtltB2mlGEnp_R3UVu1t3wSFPzgCyHXE/edit?gid=0#gid=0"",""GERAL!A2:C""),3,0),""-"")"),"-")</f>
        <v>-</v>
      </c>
      <c r="Q494" s="98" t="s">
        <v>171</v>
      </c>
      <c r="R494" s="98">
        <v>1.0</v>
      </c>
      <c r="S494" s="98" t="s">
        <v>171</v>
      </c>
      <c r="T494" s="98" t="s">
        <v>171</v>
      </c>
      <c r="U494" s="98" t="s">
        <v>171</v>
      </c>
      <c r="V494" s="98" t="s">
        <v>171</v>
      </c>
      <c r="W494" s="98" t="s">
        <v>171</v>
      </c>
      <c r="X494" s="98" t="s">
        <v>171</v>
      </c>
      <c r="Y494" s="98" t="s">
        <v>171</v>
      </c>
      <c r="Z494" s="98" t="s">
        <v>171</v>
      </c>
      <c r="AA494" s="98" t="s">
        <v>171</v>
      </c>
      <c r="AB494" s="98" t="s">
        <v>171</v>
      </c>
      <c r="AC494" s="98" t="s">
        <v>171</v>
      </c>
      <c r="AD494" s="98" t="s">
        <v>171</v>
      </c>
      <c r="AE494" s="98" t="s">
        <v>171</v>
      </c>
      <c r="AF494" s="98" t="s">
        <v>171</v>
      </c>
      <c r="AG494" s="98" t="s">
        <v>171</v>
      </c>
      <c r="AH494" s="98" t="s">
        <v>171</v>
      </c>
      <c r="AI494" s="98" t="s">
        <v>171</v>
      </c>
      <c r="AJ494" s="98" t="s">
        <v>171</v>
      </c>
      <c r="AK494" s="98" t="s">
        <v>171</v>
      </c>
      <c r="AL494" s="98" t="s">
        <v>171</v>
      </c>
      <c r="AM494" s="98" t="s">
        <v>171</v>
      </c>
      <c r="AN494" s="98" t="s">
        <v>171</v>
      </c>
      <c r="AO494" s="98" t="s">
        <v>171</v>
      </c>
      <c r="AP494" s="98" t="s">
        <v>171</v>
      </c>
      <c r="AQ494" s="98" t="s">
        <v>171</v>
      </c>
      <c r="AR494" s="102">
        <v>46224.0</v>
      </c>
      <c r="AS494" s="83">
        <v>1178548.0</v>
      </c>
    </row>
    <row r="495" ht="15.75" customHeight="1">
      <c r="A495" s="111" t="s">
        <v>605</v>
      </c>
      <c r="B495" s="83" t="s">
        <v>1952</v>
      </c>
      <c r="C495" s="83" t="s">
        <v>164</v>
      </c>
      <c r="D495" s="112">
        <v>1113200.0</v>
      </c>
      <c r="E495" s="83">
        <v>1178550.0</v>
      </c>
      <c r="F495" s="83"/>
      <c r="G495" s="91" t="str">
        <f>IFERROR(__xludf.DUMMYFUNCTION("XLOOKUP(AS495,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ITANHÉM  - DISTRITO SANTA RITA DO PLANALTO")</f>
        <v>ANEXO - COLÉGIO ESTADUAL DE TEMPO INTEGRAL DE ITANHÉM  - DISTRITO SANTA RITA DO PLANALTO</v>
      </c>
      <c r="H495" s="184" t="s">
        <v>1977</v>
      </c>
      <c r="I495" s="91" t="s">
        <v>1978</v>
      </c>
      <c r="J495" s="83" t="s">
        <v>1979</v>
      </c>
      <c r="K495" s="83" t="s">
        <v>315</v>
      </c>
      <c r="L495" s="83" t="s">
        <v>168</v>
      </c>
      <c r="M495" s="83" t="s">
        <v>169</v>
      </c>
      <c r="N495" s="115" t="s">
        <v>170</v>
      </c>
      <c r="O495" s="98" t="s">
        <v>155</v>
      </c>
      <c r="P495" s="99" t="str">
        <f>IFERROR(__xludf.DUMMYFUNCTION("IFERROR(VLOOKUP(AS495,IMPORTRANGE(""https://docs.google.com/spreadsheets/d/1juPI-Fb8LD0YtltB2mlGEnp_R3UVu1t3wSFPzgCyHXE/edit?gid=0#gid=0"",""GERAL!A2:C""),3,0),""-"")"),"CAMPO")</f>
        <v>CAMPO</v>
      </c>
      <c r="Q495" s="98" t="s">
        <v>171</v>
      </c>
      <c r="R495" s="98">
        <v>3.0</v>
      </c>
      <c r="S495" s="98" t="s">
        <v>171</v>
      </c>
      <c r="T495" s="98" t="s">
        <v>171</v>
      </c>
      <c r="U495" s="98" t="s">
        <v>171</v>
      </c>
      <c r="V495" s="98" t="s">
        <v>171</v>
      </c>
      <c r="W495" s="98" t="s">
        <v>171</v>
      </c>
      <c r="X495" s="98" t="s">
        <v>171</v>
      </c>
      <c r="Y495" s="98" t="s">
        <v>171</v>
      </c>
      <c r="Z495" s="98" t="s">
        <v>171</v>
      </c>
      <c r="AA495" s="98" t="s">
        <v>171</v>
      </c>
      <c r="AB495" s="98" t="s">
        <v>171</v>
      </c>
      <c r="AC495" s="98" t="s">
        <v>171</v>
      </c>
      <c r="AD495" s="98" t="s">
        <v>171</v>
      </c>
      <c r="AE495" s="98" t="s">
        <v>171</v>
      </c>
      <c r="AF495" s="98" t="s">
        <v>171</v>
      </c>
      <c r="AG495" s="98" t="s">
        <v>171</v>
      </c>
      <c r="AH495" s="98" t="s">
        <v>171</v>
      </c>
      <c r="AI495" s="98" t="s">
        <v>171</v>
      </c>
      <c r="AJ495" s="98" t="s">
        <v>171</v>
      </c>
      <c r="AK495" s="98" t="s">
        <v>171</v>
      </c>
      <c r="AL495" s="98" t="s">
        <v>171</v>
      </c>
      <c r="AM495" s="98" t="s">
        <v>171</v>
      </c>
      <c r="AN495" s="98" t="s">
        <v>171</v>
      </c>
      <c r="AO495" s="98" t="s">
        <v>171</v>
      </c>
      <c r="AP495" s="98" t="s">
        <v>171</v>
      </c>
      <c r="AQ495" s="98" t="s">
        <v>171</v>
      </c>
      <c r="AR495" s="102">
        <v>46224.0</v>
      </c>
      <c r="AS495" s="83">
        <v>1178550.0</v>
      </c>
    </row>
    <row r="496" ht="15.75" customHeight="1">
      <c r="A496" s="111" t="s">
        <v>605</v>
      </c>
      <c r="B496" s="83" t="s">
        <v>1952</v>
      </c>
      <c r="C496" s="83" t="s">
        <v>164</v>
      </c>
      <c r="D496" s="112">
        <v>1113200.0</v>
      </c>
      <c r="E496" s="83">
        <v>1178178.0</v>
      </c>
      <c r="F496" s="83"/>
      <c r="G496" s="91" t="str">
        <f>IFERROR(__xludf.DUMMYFUNCTION("XLOOKUP(AS496,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ITANHÉM  - DISTRITO IBIRAJA")</f>
        <v>ANEXO - COLÉGIO ESTADUAL DE TEMPO INTEGRAL DE ITANHÉM  - DISTRITO IBIRAJA</v>
      </c>
      <c r="H496" s="184" t="s">
        <v>1982</v>
      </c>
      <c r="I496" s="91" t="s">
        <v>1983</v>
      </c>
      <c r="J496" s="83" t="s">
        <v>1984</v>
      </c>
      <c r="K496" s="83" t="s">
        <v>187</v>
      </c>
      <c r="L496" s="83" t="s">
        <v>168</v>
      </c>
      <c r="M496" s="83" t="s">
        <v>169</v>
      </c>
      <c r="N496" s="115" t="s">
        <v>170</v>
      </c>
      <c r="O496" s="98" t="s">
        <v>155</v>
      </c>
      <c r="P496" s="99" t="str">
        <f>IFERROR(__xludf.DUMMYFUNCTION("IFERROR(VLOOKUP(AS496,IMPORTRANGE(""https://docs.google.com/spreadsheets/d/1juPI-Fb8LD0YtltB2mlGEnp_R3UVu1t3wSFPzgCyHXE/edit?gid=0#gid=0"",""GERAL!A2:C""),3,0),""-"")"),"CAMPO")</f>
        <v>CAMPO</v>
      </c>
      <c r="Q496" s="98" t="s">
        <v>171</v>
      </c>
      <c r="R496" s="98">
        <v>3.0</v>
      </c>
      <c r="S496" s="98" t="s">
        <v>171</v>
      </c>
      <c r="T496" s="98" t="s">
        <v>171</v>
      </c>
      <c r="U496" s="98" t="s">
        <v>171</v>
      </c>
      <c r="V496" s="98" t="s">
        <v>171</v>
      </c>
      <c r="W496" s="98" t="s">
        <v>171</v>
      </c>
      <c r="X496" s="98" t="s">
        <v>171</v>
      </c>
      <c r="Y496" s="98" t="s">
        <v>171</v>
      </c>
      <c r="Z496" s="98" t="s">
        <v>171</v>
      </c>
      <c r="AA496" s="98" t="s">
        <v>171</v>
      </c>
      <c r="AB496" s="98" t="s">
        <v>171</v>
      </c>
      <c r="AC496" s="98" t="s">
        <v>171</v>
      </c>
      <c r="AD496" s="98" t="s">
        <v>171</v>
      </c>
      <c r="AE496" s="98" t="s">
        <v>171</v>
      </c>
      <c r="AF496" s="98" t="s">
        <v>171</v>
      </c>
      <c r="AG496" s="98" t="s">
        <v>171</v>
      </c>
      <c r="AH496" s="98" t="s">
        <v>171</v>
      </c>
      <c r="AI496" s="98" t="s">
        <v>171</v>
      </c>
      <c r="AJ496" s="98" t="s">
        <v>171</v>
      </c>
      <c r="AK496" s="98" t="s">
        <v>171</v>
      </c>
      <c r="AL496" s="98" t="s">
        <v>171</v>
      </c>
      <c r="AM496" s="98" t="s">
        <v>171</v>
      </c>
      <c r="AN496" s="98" t="s">
        <v>171</v>
      </c>
      <c r="AO496" s="98" t="s">
        <v>171</v>
      </c>
      <c r="AP496" s="98" t="s">
        <v>171</v>
      </c>
      <c r="AQ496" s="98" t="s">
        <v>171</v>
      </c>
      <c r="AR496" s="102">
        <v>46224.0</v>
      </c>
      <c r="AS496" s="83">
        <v>1178178.0</v>
      </c>
    </row>
    <row r="497" ht="15.75" customHeight="1">
      <c r="A497" s="111" t="s">
        <v>605</v>
      </c>
      <c r="B497" s="83" t="s">
        <v>1952</v>
      </c>
      <c r="C497" s="83" t="s">
        <v>164</v>
      </c>
      <c r="D497" s="112">
        <v>1113200.0</v>
      </c>
      <c r="E497" s="83">
        <v>1178547.0</v>
      </c>
      <c r="F497" s="83"/>
      <c r="G497" s="91" t="str">
        <f>IFERROR(__xludf.DUMMYFUNCTION("XLOOKUP(AS497,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ITANHÉM  - DISTRITO BATINGA")</f>
        <v>ANEXO - COLÉGIO ESTADUAL DE TEMPO INTEGRAL DE ITANHÉM  - DISTRITO BATINGA</v>
      </c>
      <c r="H497" s="184" t="s">
        <v>1988</v>
      </c>
      <c r="I497" s="91" t="s">
        <v>1989</v>
      </c>
      <c r="J497" s="83" t="s">
        <v>1990</v>
      </c>
      <c r="K497" s="83" t="s">
        <v>577</v>
      </c>
      <c r="L497" s="83" t="s">
        <v>168</v>
      </c>
      <c r="M497" s="83" t="s">
        <v>169</v>
      </c>
      <c r="N497" s="115" t="s">
        <v>170</v>
      </c>
      <c r="O497" s="98" t="s">
        <v>155</v>
      </c>
      <c r="P497" s="99" t="str">
        <f>IFERROR(__xludf.DUMMYFUNCTION("IFERROR(VLOOKUP(AS497,IMPORTRANGE(""https://docs.google.com/spreadsheets/d/1juPI-Fb8LD0YtltB2mlGEnp_R3UVu1t3wSFPzgCyHXE/edit?gid=0#gid=0"",""GERAL!A2:C""),3,0),""-"")"),"CAMPO")</f>
        <v>CAMPO</v>
      </c>
      <c r="Q497" s="98" t="s">
        <v>171</v>
      </c>
      <c r="R497" s="98">
        <v>3.0</v>
      </c>
      <c r="S497" s="98" t="s">
        <v>171</v>
      </c>
      <c r="T497" s="98" t="s">
        <v>171</v>
      </c>
      <c r="U497" s="98" t="s">
        <v>171</v>
      </c>
      <c r="V497" s="98" t="s">
        <v>171</v>
      </c>
      <c r="W497" s="98" t="s">
        <v>171</v>
      </c>
      <c r="X497" s="98" t="s">
        <v>171</v>
      </c>
      <c r="Y497" s="98" t="s">
        <v>171</v>
      </c>
      <c r="Z497" s="98" t="s">
        <v>171</v>
      </c>
      <c r="AA497" s="98" t="s">
        <v>171</v>
      </c>
      <c r="AB497" s="98" t="s">
        <v>171</v>
      </c>
      <c r="AC497" s="98" t="s">
        <v>171</v>
      </c>
      <c r="AD497" s="98" t="s">
        <v>171</v>
      </c>
      <c r="AE497" s="98" t="s">
        <v>171</v>
      </c>
      <c r="AF497" s="98" t="s">
        <v>171</v>
      </c>
      <c r="AG497" s="98" t="s">
        <v>171</v>
      </c>
      <c r="AH497" s="98" t="s">
        <v>171</v>
      </c>
      <c r="AI497" s="98" t="s">
        <v>171</v>
      </c>
      <c r="AJ497" s="98" t="s">
        <v>171</v>
      </c>
      <c r="AK497" s="98" t="s">
        <v>171</v>
      </c>
      <c r="AL497" s="98" t="s">
        <v>171</v>
      </c>
      <c r="AM497" s="98" t="s">
        <v>171</v>
      </c>
      <c r="AN497" s="98" t="s">
        <v>171</v>
      </c>
      <c r="AO497" s="98" t="s">
        <v>171</v>
      </c>
      <c r="AP497" s="98" t="s">
        <v>171</v>
      </c>
      <c r="AQ497" s="98" t="s">
        <v>171</v>
      </c>
      <c r="AR497" s="102">
        <v>46224.0</v>
      </c>
      <c r="AS497" s="83">
        <v>1178547.0</v>
      </c>
    </row>
    <row r="498" ht="15.75" customHeight="1">
      <c r="A498" s="111" t="s">
        <v>605</v>
      </c>
      <c r="B498" s="83" t="s">
        <v>1995</v>
      </c>
      <c r="C498" s="83" t="s">
        <v>68</v>
      </c>
      <c r="D498" s="112">
        <v>1170157.0</v>
      </c>
      <c r="E498" s="83"/>
      <c r="F498" s="83">
        <v>2.93238E7</v>
      </c>
      <c r="G498" s="91" t="str">
        <f>IFERROR(__xludf.DUMMYFUNCTION("XLOOKUP(AS498,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PROFESSORA MARIA EDITE VIEIRA GUSMAO")</f>
        <v>COLEGIO ESTADUAL DE TEMPO INTEGRAL PROFESSORA MARIA EDITE VIEIRA GUSMAO</v>
      </c>
      <c r="H498" s="273" t="s">
        <v>1998</v>
      </c>
      <c r="I498" s="91" t="s">
        <v>2002</v>
      </c>
      <c r="J498" s="83" t="s">
        <v>149</v>
      </c>
      <c r="K498" s="83" t="s">
        <v>150</v>
      </c>
      <c r="L498" s="83" t="s">
        <v>168</v>
      </c>
      <c r="M498" s="83" t="s">
        <v>169</v>
      </c>
      <c r="N498" s="137" t="s">
        <v>2004</v>
      </c>
      <c r="O498" s="98" t="s">
        <v>155</v>
      </c>
      <c r="P498" s="99" t="str">
        <f>IFERROR(__xludf.DUMMYFUNCTION("IFERROR(VLOOKUP(AS498,IMPORTRANGE(""https://docs.google.com/spreadsheets/d/1juPI-Fb8LD0YtltB2mlGEnp_R3UVu1t3wSFPzgCyHXE/edit?gid=0#gid=0"",""GERAL!A2:C""),3,0),""-"")"),"-")</f>
        <v>-</v>
      </c>
      <c r="Q498" s="101" t="s">
        <v>156</v>
      </c>
      <c r="R498" s="98">
        <v>7.0</v>
      </c>
      <c r="S498" s="98">
        <v>1.0</v>
      </c>
      <c r="T498" s="98">
        <v>1.0</v>
      </c>
      <c r="U498" s="98">
        <v>1.0</v>
      </c>
      <c r="V498" s="98">
        <v>1.0</v>
      </c>
      <c r="W498" s="98">
        <v>0.0</v>
      </c>
      <c r="X498" s="98">
        <v>1.0</v>
      </c>
      <c r="Y498" s="98">
        <v>0.0</v>
      </c>
      <c r="Z498" s="98">
        <v>1.0</v>
      </c>
      <c r="AA498" s="98">
        <v>0.0</v>
      </c>
      <c r="AB498" s="98">
        <v>0.0</v>
      </c>
      <c r="AC498" s="98">
        <v>0.0</v>
      </c>
      <c r="AD498" s="98">
        <v>0.0</v>
      </c>
      <c r="AE498" s="98">
        <v>0.0</v>
      </c>
      <c r="AF498" s="98">
        <v>1.0</v>
      </c>
      <c r="AG498" s="98">
        <v>0.0</v>
      </c>
      <c r="AH498" s="98">
        <v>0.0</v>
      </c>
      <c r="AI498" s="98">
        <v>0.0</v>
      </c>
      <c r="AJ498" s="98">
        <v>0.0</v>
      </c>
      <c r="AK498" s="98">
        <v>0.0</v>
      </c>
      <c r="AL498" s="98">
        <v>0.0</v>
      </c>
      <c r="AM498" s="98">
        <v>0.0</v>
      </c>
      <c r="AN498" s="98">
        <v>0.0</v>
      </c>
      <c r="AO498" s="98">
        <v>0.0</v>
      </c>
      <c r="AP498" s="98">
        <v>0.0</v>
      </c>
      <c r="AQ498" s="98" t="s">
        <v>2012</v>
      </c>
      <c r="AR498" s="102">
        <v>46211.0</v>
      </c>
      <c r="AS498" s="83">
        <v>1170157.0</v>
      </c>
    </row>
    <row r="499" ht="15.75" customHeight="1">
      <c r="A499" s="111" t="s">
        <v>605</v>
      </c>
      <c r="B499" s="83" t="s">
        <v>1995</v>
      </c>
      <c r="C499" s="83" t="s">
        <v>164</v>
      </c>
      <c r="D499" s="112">
        <v>1170157.0</v>
      </c>
      <c r="E499" s="83">
        <v>1178530.0</v>
      </c>
      <c r="F499" s="83"/>
      <c r="G499" s="91" t="str">
        <f>IFERROR(__xludf.DUMMYFUNCTION("XLOOKUP(AS499,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PROFESSORA MARIA EDITE VIEIRA GUSMAO - DISTRITO DE SÃO JOÃO DA BOA NOVA")</f>
        <v>ANEXO - COLEGIO ESTADUAL DE TEMPO INTEGRAL PROFESSORA MARIA EDITE VIEIRA GUSMAO - DISTRITO DE SÃO JOÃO DA BOA NOVA</v>
      </c>
      <c r="H499" s="184" t="s">
        <v>2015</v>
      </c>
      <c r="I499" s="91" t="s">
        <v>2016</v>
      </c>
      <c r="J499" s="83" t="s">
        <v>2017</v>
      </c>
      <c r="K499" s="83" t="s">
        <v>187</v>
      </c>
      <c r="L499" s="83" t="s">
        <v>168</v>
      </c>
      <c r="M499" s="83" t="s">
        <v>169</v>
      </c>
      <c r="N499" s="115" t="s">
        <v>170</v>
      </c>
      <c r="O499" s="98" t="s">
        <v>155</v>
      </c>
      <c r="P499" s="99" t="str">
        <f>IFERROR(__xludf.DUMMYFUNCTION("IFERROR(VLOOKUP(AS499,IMPORTRANGE(""https://docs.google.com/spreadsheets/d/1juPI-Fb8LD0YtltB2mlGEnp_R3UVu1t3wSFPzgCyHXE/edit?gid=0#gid=0"",""GERAL!A2:C""),3,0),""-"")"),"CAMPO")</f>
        <v>CAMPO</v>
      </c>
      <c r="Q499" s="98" t="s">
        <v>171</v>
      </c>
      <c r="R499" s="98" t="s">
        <v>171</v>
      </c>
      <c r="S499" s="98" t="s">
        <v>171</v>
      </c>
      <c r="T499" s="98" t="s">
        <v>171</v>
      </c>
      <c r="U499" s="98" t="s">
        <v>171</v>
      </c>
      <c r="V499" s="98" t="s">
        <v>171</v>
      </c>
      <c r="W499" s="98" t="s">
        <v>171</v>
      </c>
      <c r="X499" s="98" t="s">
        <v>171</v>
      </c>
      <c r="Y499" s="98" t="s">
        <v>171</v>
      </c>
      <c r="Z499" s="98" t="s">
        <v>171</v>
      </c>
      <c r="AA499" s="98" t="s">
        <v>171</v>
      </c>
      <c r="AB499" s="98" t="s">
        <v>171</v>
      </c>
      <c r="AC499" s="98" t="s">
        <v>171</v>
      </c>
      <c r="AD499" s="98" t="s">
        <v>171</v>
      </c>
      <c r="AE499" s="98" t="s">
        <v>171</v>
      </c>
      <c r="AF499" s="98" t="s">
        <v>171</v>
      </c>
      <c r="AG499" s="98" t="s">
        <v>171</v>
      </c>
      <c r="AH499" s="98" t="s">
        <v>171</v>
      </c>
      <c r="AI499" s="98"/>
      <c r="AJ499" s="98" t="s">
        <v>171</v>
      </c>
      <c r="AK499" s="98" t="s">
        <v>171</v>
      </c>
      <c r="AL499" s="98" t="s">
        <v>171</v>
      </c>
      <c r="AM499" s="98" t="s">
        <v>171</v>
      </c>
      <c r="AN499" s="98" t="s">
        <v>171</v>
      </c>
      <c r="AO499" s="98" t="s">
        <v>171</v>
      </c>
      <c r="AP499" s="98" t="s">
        <v>171</v>
      </c>
      <c r="AQ499" s="98" t="s">
        <v>171</v>
      </c>
      <c r="AR499" s="102">
        <v>46223.0</v>
      </c>
      <c r="AS499" s="83">
        <v>1178530.0</v>
      </c>
    </row>
    <row r="500" ht="15.75" customHeight="1">
      <c r="A500" s="111" t="s">
        <v>605</v>
      </c>
      <c r="B500" s="83" t="s">
        <v>1995</v>
      </c>
      <c r="C500" s="83" t="s">
        <v>164</v>
      </c>
      <c r="D500" s="112">
        <v>1170157.0</v>
      </c>
      <c r="E500" s="83">
        <v>1178532.0</v>
      </c>
      <c r="F500" s="83"/>
      <c r="G500" s="91" t="str">
        <f>IFERROR(__xludf.DUMMYFUNCTION("XLOOKUP(AS500,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PROFESSORA MARIA EDITE VIEIRA GUSMAO - DISTRITO DE MONTE AZUL")</f>
        <v>ANEXO - COLEGIO ESTADUAL DE TEMPO INTEGRAL PROFESSORA MARIA EDITE VIEIRA GUSMAO - DISTRITO DE MONTE AZUL</v>
      </c>
      <c r="H500" s="184" t="s">
        <v>2022</v>
      </c>
      <c r="I500" s="91" t="s">
        <v>2023</v>
      </c>
      <c r="J500" s="83" t="s">
        <v>2024</v>
      </c>
      <c r="K500" s="83" t="s">
        <v>2025</v>
      </c>
      <c r="L500" s="83" t="s">
        <v>168</v>
      </c>
      <c r="M500" s="83" t="s">
        <v>169</v>
      </c>
      <c r="N500" s="115" t="s">
        <v>170</v>
      </c>
      <c r="O500" s="98" t="s">
        <v>155</v>
      </c>
      <c r="P500" s="99" t="str">
        <f>IFERROR(__xludf.DUMMYFUNCTION("IFERROR(VLOOKUP(AS500,IMPORTRANGE(""https://docs.google.com/spreadsheets/d/1juPI-Fb8LD0YtltB2mlGEnp_R3UVu1t3wSFPzgCyHXE/edit?gid=0#gid=0"",""GERAL!A2:C""),3,0),""-"")"),"CAMPO")</f>
        <v>CAMPO</v>
      </c>
      <c r="Q500" s="98" t="s">
        <v>171</v>
      </c>
      <c r="R500" s="98" t="s">
        <v>171</v>
      </c>
      <c r="S500" s="98" t="s">
        <v>171</v>
      </c>
      <c r="T500" s="98" t="s">
        <v>171</v>
      </c>
      <c r="U500" s="98" t="s">
        <v>171</v>
      </c>
      <c r="V500" s="98" t="s">
        <v>171</v>
      </c>
      <c r="W500" s="98" t="s">
        <v>171</v>
      </c>
      <c r="X500" s="98" t="s">
        <v>171</v>
      </c>
      <c r="Y500" s="98" t="s">
        <v>171</v>
      </c>
      <c r="Z500" s="98" t="s">
        <v>171</v>
      </c>
      <c r="AA500" s="98" t="s">
        <v>171</v>
      </c>
      <c r="AB500" s="98" t="s">
        <v>171</v>
      </c>
      <c r="AC500" s="98" t="s">
        <v>171</v>
      </c>
      <c r="AD500" s="98" t="s">
        <v>171</v>
      </c>
      <c r="AE500" s="98" t="s">
        <v>171</v>
      </c>
      <c r="AF500" s="98" t="s">
        <v>171</v>
      </c>
      <c r="AG500" s="98" t="s">
        <v>171</v>
      </c>
      <c r="AH500" s="98" t="s">
        <v>171</v>
      </c>
      <c r="AI500" s="98"/>
      <c r="AJ500" s="98" t="s">
        <v>171</v>
      </c>
      <c r="AK500" s="98" t="s">
        <v>171</v>
      </c>
      <c r="AL500" s="98" t="s">
        <v>171</v>
      </c>
      <c r="AM500" s="98" t="s">
        <v>171</v>
      </c>
      <c r="AN500" s="98" t="s">
        <v>171</v>
      </c>
      <c r="AO500" s="98" t="s">
        <v>171</v>
      </c>
      <c r="AP500" s="98" t="s">
        <v>171</v>
      </c>
      <c r="AQ500" s="98" t="s">
        <v>171</v>
      </c>
      <c r="AR500" s="102">
        <v>46223.0</v>
      </c>
      <c r="AS500" s="83">
        <v>1178532.0</v>
      </c>
    </row>
    <row r="501" ht="15.75" customHeight="1">
      <c r="A501" s="111" t="s">
        <v>605</v>
      </c>
      <c r="B501" s="83" t="s">
        <v>1995</v>
      </c>
      <c r="C501" s="83" t="s">
        <v>164</v>
      </c>
      <c r="D501" s="112">
        <v>1170157.0</v>
      </c>
      <c r="E501" s="83">
        <v>1178531.0</v>
      </c>
      <c r="F501" s="83"/>
      <c r="G501" s="91" t="str">
        <f>IFERROR(__xludf.DUMMYFUNCTION("XLOOKUP(AS501,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PROFESSORA MARIA EDITE VIEIRA GUSMAO - DISTRITO DE ÁGUA LIMPA")</f>
        <v>ANEXO - COLEGIO ESTADUAL DE TEMPO INTEGRAL PROFESSORA MARIA EDITE VIEIRA GUSMAO - DISTRITO DE ÁGUA LIMPA</v>
      </c>
      <c r="H501" s="279" t="s">
        <v>2033</v>
      </c>
      <c r="I501" s="91" t="s">
        <v>2035</v>
      </c>
      <c r="J501" s="172" t="s">
        <v>2036</v>
      </c>
      <c r="K501" s="83" t="s">
        <v>183</v>
      </c>
      <c r="L501" s="83" t="s">
        <v>151</v>
      </c>
      <c r="M501" s="83" t="s">
        <v>169</v>
      </c>
      <c r="N501" s="115" t="s">
        <v>170</v>
      </c>
      <c r="O501" s="98" t="s">
        <v>155</v>
      </c>
      <c r="P501" s="99" t="str">
        <f>IFERROR(__xludf.DUMMYFUNCTION("IFERROR(VLOOKUP(AS501,IMPORTRANGE(""https://docs.google.com/spreadsheets/d/1juPI-Fb8LD0YtltB2mlGEnp_R3UVu1t3wSFPzgCyHXE/edit?gid=0#gid=0"",""GERAL!A2:C""),3,0),""-"")"),"CAMPO")</f>
        <v>CAMPO</v>
      </c>
      <c r="Q501" s="98" t="s">
        <v>171</v>
      </c>
      <c r="R501" s="98" t="s">
        <v>171</v>
      </c>
      <c r="S501" s="98" t="s">
        <v>171</v>
      </c>
      <c r="T501" s="98" t="s">
        <v>171</v>
      </c>
      <c r="U501" s="98" t="s">
        <v>171</v>
      </c>
      <c r="V501" s="98" t="s">
        <v>171</v>
      </c>
      <c r="W501" s="98" t="s">
        <v>171</v>
      </c>
      <c r="X501" s="98" t="s">
        <v>171</v>
      </c>
      <c r="Y501" s="98" t="s">
        <v>171</v>
      </c>
      <c r="Z501" s="98" t="s">
        <v>171</v>
      </c>
      <c r="AA501" s="98" t="s">
        <v>171</v>
      </c>
      <c r="AB501" s="98" t="s">
        <v>171</v>
      </c>
      <c r="AC501" s="98" t="s">
        <v>171</v>
      </c>
      <c r="AD501" s="98" t="s">
        <v>171</v>
      </c>
      <c r="AE501" s="98" t="s">
        <v>171</v>
      </c>
      <c r="AF501" s="98" t="s">
        <v>171</v>
      </c>
      <c r="AG501" s="98" t="s">
        <v>171</v>
      </c>
      <c r="AH501" s="98" t="s">
        <v>171</v>
      </c>
      <c r="AI501" s="98"/>
      <c r="AJ501" s="98" t="s">
        <v>171</v>
      </c>
      <c r="AK501" s="98" t="s">
        <v>171</v>
      </c>
      <c r="AL501" s="98" t="s">
        <v>171</v>
      </c>
      <c r="AM501" s="98" t="s">
        <v>171</v>
      </c>
      <c r="AN501" s="98" t="s">
        <v>171</v>
      </c>
      <c r="AO501" s="98" t="s">
        <v>171</v>
      </c>
      <c r="AP501" s="98" t="s">
        <v>171</v>
      </c>
      <c r="AQ501" s="98" t="s">
        <v>171</v>
      </c>
      <c r="AR501" s="102">
        <v>46223.0</v>
      </c>
      <c r="AS501" s="83">
        <v>1178531.0</v>
      </c>
    </row>
    <row r="502" ht="15.75" customHeight="1">
      <c r="A502" s="111" t="s">
        <v>605</v>
      </c>
      <c r="B502" s="83" t="s">
        <v>2043</v>
      </c>
      <c r="C502" s="83" t="s">
        <v>68</v>
      </c>
      <c r="D502" s="112">
        <v>1157525.0</v>
      </c>
      <c r="E502" s="83"/>
      <c r="F502" s="83">
        <v>2.9323967E7</v>
      </c>
      <c r="G502" s="91" t="str">
        <f>IFERROR(__xludf.DUMMYFUNCTION("XLOOKUP(AS502,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NEIDE SOARES BORGES")</f>
        <v>COLÉGIO ESTADUAL PROFESSORA NEIDE SOARES BORGES</v>
      </c>
      <c r="H502" s="114" t="s">
        <v>2046</v>
      </c>
      <c r="I502" s="91" t="s">
        <v>2047</v>
      </c>
      <c r="J502" s="136" t="s">
        <v>149</v>
      </c>
      <c r="K502" s="136" t="s">
        <v>150</v>
      </c>
      <c r="L502" s="83" t="s">
        <v>151</v>
      </c>
      <c r="M502" s="83" t="s">
        <v>169</v>
      </c>
      <c r="N502" s="98" t="s">
        <v>2048</v>
      </c>
      <c r="O502" s="98" t="s">
        <v>155</v>
      </c>
      <c r="P502" s="99" t="str">
        <f>IFERROR(__xludf.DUMMYFUNCTION("IFERROR(VLOOKUP(AS502,IMPORTRANGE(""https://docs.google.com/spreadsheets/d/1juPI-Fb8LD0YtltB2mlGEnp_R3UVu1t3wSFPzgCyHXE/edit?gid=0#gid=0"",""GERAL!A2:C""),3,0),""-"")"),"-")</f>
        <v>-</v>
      </c>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v>1157525.0</v>
      </c>
    </row>
    <row r="503" ht="15.75" customHeight="1">
      <c r="A503" s="111" t="s">
        <v>605</v>
      </c>
      <c r="B503" s="83" t="s">
        <v>2053</v>
      </c>
      <c r="C503" s="83" t="s">
        <v>68</v>
      </c>
      <c r="D503" s="112">
        <v>1179661.0</v>
      </c>
      <c r="E503" s="83"/>
      <c r="F503" s="83">
        <v>2.9474272E7</v>
      </c>
      <c r="G503" s="91" t="str">
        <f>IFERROR(__xludf.DUMMYFUNCTION("XLOOKUP(AS503,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DE MEDEIROS NETO")</f>
        <v>CENTRO TERRITORIAL DE EDUCAÇÃO PROFISSIONAL DE MEDEIROS NETO</v>
      </c>
      <c r="H503" s="114" t="s">
        <v>2054</v>
      </c>
      <c r="I503" s="91" t="s">
        <v>2055</v>
      </c>
      <c r="J503" s="83" t="s">
        <v>149</v>
      </c>
      <c r="K503" s="83" t="s">
        <v>2057</v>
      </c>
      <c r="L503" s="83" t="s">
        <v>151</v>
      </c>
      <c r="M503" s="83" t="s">
        <v>230</v>
      </c>
      <c r="N503" s="98" t="s">
        <v>2059</v>
      </c>
      <c r="O503" s="98" t="s">
        <v>162</v>
      </c>
      <c r="P503" s="99" t="str">
        <f>IFERROR(__xludf.DUMMYFUNCTION("IFERROR(VLOOKUP(AS503,IMPORTRANGE(""https://docs.google.com/spreadsheets/d/1juPI-Fb8LD0YtltB2mlGEnp_R3UVu1t3wSFPzgCyHXE/edit?gid=0#gid=0"",""GERAL!A2:C""),3,0),""-"")"),"-")</f>
        <v>-</v>
      </c>
      <c r="Q503" s="101" t="s">
        <v>156</v>
      </c>
      <c r="R503" s="98">
        <v>12.0</v>
      </c>
      <c r="S503" s="98">
        <v>1.0</v>
      </c>
      <c r="T503" s="98">
        <v>1.0</v>
      </c>
      <c r="U503" s="98">
        <v>0.0</v>
      </c>
      <c r="V503" s="98">
        <v>1.0</v>
      </c>
      <c r="W503" s="98">
        <v>6.0</v>
      </c>
      <c r="X503" s="98">
        <v>1.0</v>
      </c>
      <c r="Y503" s="98">
        <v>0.0</v>
      </c>
      <c r="Z503" s="98">
        <v>1.0</v>
      </c>
      <c r="AA503" s="98">
        <v>0.0</v>
      </c>
      <c r="AB503" s="98">
        <v>1.0</v>
      </c>
      <c r="AC503" s="98">
        <v>0.0</v>
      </c>
      <c r="AD503" s="98">
        <v>0.0</v>
      </c>
      <c r="AE503" s="98">
        <v>0.0</v>
      </c>
      <c r="AF503" s="98">
        <v>1.0</v>
      </c>
      <c r="AG503" s="98">
        <v>0.0</v>
      </c>
      <c r="AH503" s="98">
        <v>0.0</v>
      </c>
      <c r="AI503" s="98">
        <v>0.0</v>
      </c>
      <c r="AJ503" s="98">
        <v>0.0</v>
      </c>
      <c r="AK503" s="98">
        <v>1.0</v>
      </c>
      <c r="AL503" s="98">
        <v>0.0</v>
      </c>
      <c r="AM503" s="98">
        <v>0.0</v>
      </c>
      <c r="AN503" s="98">
        <v>0.0</v>
      </c>
      <c r="AO503" s="98">
        <v>0.0</v>
      </c>
      <c r="AP503" s="98">
        <v>1.0</v>
      </c>
      <c r="AQ503" s="98" t="s">
        <v>2064</v>
      </c>
      <c r="AR503" s="102">
        <v>46231.0</v>
      </c>
      <c r="AS503" s="83">
        <v>1179661.0</v>
      </c>
    </row>
    <row r="504" ht="15.75" customHeight="1">
      <c r="A504" s="111" t="s">
        <v>605</v>
      </c>
      <c r="B504" s="83" t="s">
        <v>2053</v>
      </c>
      <c r="C504" s="83" t="s">
        <v>164</v>
      </c>
      <c r="D504" s="112">
        <v>1179713.0</v>
      </c>
      <c r="E504" s="83">
        <v>1178556.0</v>
      </c>
      <c r="F504" s="83"/>
      <c r="G504" s="91" t="str">
        <f>IFERROR(__xludf.DUMMYFUNCTION("XLOOKUP(AS504,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 VILA MUTUM COMUNIDADE QUILOMBOLA")</f>
        <v>ANEXO DO CEMIT EXTREMO SUL - DIST VILA MUTUM COMUNIDADE QUILOMBOLA</v>
      </c>
      <c r="H504" s="119" t="s">
        <v>2066</v>
      </c>
      <c r="I504" s="91" t="s">
        <v>2067</v>
      </c>
      <c r="J504" s="83" t="s">
        <v>2069</v>
      </c>
      <c r="K504" s="83" t="s">
        <v>244</v>
      </c>
      <c r="L504" s="83" t="s">
        <v>168</v>
      </c>
      <c r="M504" s="83" t="s">
        <v>169</v>
      </c>
      <c r="N504" s="115" t="s">
        <v>170</v>
      </c>
      <c r="O504" s="98" t="s">
        <v>155</v>
      </c>
      <c r="P504" s="99" t="str">
        <f>IFERROR(__xludf.DUMMYFUNCTION("IFERROR(VLOOKUP(AS504,IMPORTRANGE(""https://docs.google.com/spreadsheets/d/1juPI-Fb8LD0YtltB2mlGEnp_R3UVu1t3wSFPzgCyHXE/edit?gid=0#gid=0"",""GERAL!A2:C""),3,0),""-"")"),"QUILOMBOLAS")</f>
        <v>QUILOMBOLAS</v>
      </c>
      <c r="Q504" s="98" t="s">
        <v>171</v>
      </c>
      <c r="R504" s="98">
        <v>3.0</v>
      </c>
      <c r="S504" s="98" t="s">
        <v>171</v>
      </c>
      <c r="T504" s="98" t="s">
        <v>171</v>
      </c>
      <c r="U504" s="98" t="s">
        <v>171</v>
      </c>
      <c r="V504" s="98" t="s">
        <v>171</v>
      </c>
      <c r="W504" s="98" t="s">
        <v>171</v>
      </c>
      <c r="X504" s="98" t="s">
        <v>171</v>
      </c>
      <c r="Y504" s="98" t="s">
        <v>171</v>
      </c>
      <c r="Z504" s="98" t="s">
        <v>171</v>
      </c>
      <c r="AA504" s="98" t="s">
        <v>171</v>
      </c>
      <c r="AB504" s="98" t="s">
        <v>171</v>
      </c>
      <c r="AC504" s="98" t="s">
        <v>171</v>
      </c>
      <c r="AD504" s="98" t="s">
        <v>171</v>
      </c>
      <c r="AE504" s="98" t="s">
        <v>171</v>
      </c>
      <c r="AF504" s="98" t="s">
        <v>171</v>
      </c>
      <c r="AG504" s="98" t="s">
        <v>171</v>
      </c>
      <c r="AH504" s="98" t="s">
        <v>171</v>
      </c>
      <c r="AI504" s="98"/>
      <c r="AJ504" s="98" t="s">
        <v>171</v>
      </c>
      <c r="AK504" s="98" t="s">
        <v>171</v>
      </c>
      <c r="AL504" s="98" t="s">
        <v>171</v>
      </c>
      <c r="AM504" s="98" t="s">
        <v>171</v>
      </c>
      <c r="AN504" s="98" t="s">
        <v>171</v>
      </c>
      <c r="AO504" s="98" t="s">
        <v>171</v>
      </c>
      <c r="AP504" s="98" t="s">
        <v>171</v>
      </c>
      <c r="AQ504" s="98" t="s">
        <v>171</v>
      </c>
      <c r="AR504" s="102">
        <v>46231.0</v>
      </c>
      <c r="AS504" s="83">
        <v>1178556.0</v>
      </c>
    </row>
    <row r="505" ht="15.75" customHeight="1">
      <c r="A505" s="111" t="s">
        <v>605</v>
      </c>
      <c r="B505" s="83" t="s">
        <v>2053</v>
      </c>
      <c r="C505" s="83" t="s">
        <v>164</v>
      </c>
      <c r="D505" s="112">
        <v>1179661.0</v>
      </c>
      <c r="E505" s="83">
        <v>1179702.0</v>
      </c>
      <c r="F505" s="83"/>
      <c r="G505" s="91" t="str">
        <f>IFERROR(__xludf.DUMMYFUNCTION("XLOOKUP(AS505,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EDUCACAO PROFISSIONAL DE MEDEIROS NETO - DISTRITO NOVA LÍDICE")</f>
        <v>ANEXO - CENTRO TERRITORIAL DE EDUCACAO PROFISSIONAL DE MEDEIROS NETO - DISTRITO NOVA LÍDICE</v>
      </c>
      <c r="H505" s="114" t="s">
        <v>2075</v>
      </c>
      <c r="I505" s="91" t="s">
        <v>2077</v>
      </c>
      <c r="J505" s="172" t="s">
        <v>2078</v>
      </c>
      <c r="K505" s="83" t="s">
        <v>890</v>
      </c>
      <c r="L505" s="83" t="s">
        <v>151</v>
      </c>
      <c r="M505" s="83" t="s">
        <v>512</v>
      </c>
      <c r="N505" s="115" t="s">
        <v>170</v>
      </c>
      <c r="O505" s="98" t="s">
        <v>155</v>
      </c>
      <c r="P505" s="99" t="str">
        <f>IFERROR(__xludf.DUMMYFUNCTION("IFERROR(VLOOKUP(AS505,IMPORTRANGE(""https://docs.google.com/spreadsheets/d/1juPI-Fb8LD0YtltB2mlGEnp_R3UVu1t3wSFPzgCyHXE/edit?gid=0#gid=0"",""GERAL!A2:C""),3,0),""-"")"),"CAMPO")</f>
        <v>CAMPO</v>
      </c>
      <c r="Q505" s="98" t="s">
        <v>171</v>
      </c>
      <c r="R505" s="98">
        <v>4.0</v>
      </c>
      <c r="S505" s="98" t="s">
        <v>171</v>
      </c>
      <c r="T505" s="98" t="s">
        <v>171</v>
      </c>
      <c r="U505" s="98" t="s">
        <v>171</v>
      </c>
      <c r="V505" s="98" t="s">
        <v>171</v>
      </c>
      <c r="W505" s="98" t="s">
        <v>171</v>
      </c>
      <c r="X505" s="98" t="s">
        <v>171</v>
      </c>
      <c r="Y505" s="98" t="s">
        <v>171</v>
      </c>
      <c r="Z505" s="98" t="s">
        <v>171</v>
      </c>
      <c r="AA505" s="98" t="s">
        <v>171</v>
      </c>
      <c r="AB505" s="98" t="s">
        <v>171</v>
      </c>
      <c r="AC505" s="98" t="s">
        <v>171</v>
      </c>
      <c r="AD505" s="98" t="s">
        <v>171</v>
      </c>
      <c r="AE505" s="98" t="s">
        <v>171</v>
      </c>
      <c r="AF505" s="98" t="s">
        <v>171</v>
      </c>
      <c r="AG505" s="98" t="s">
        <v>171</v>
      </c>
      <c r="AH505" s="98" t="s">
        <v>171</v>
      </c>
      <c r="AI505" s="98"/>
      <c r="AJ505" s="98" t="s">
        <v>171</v>
      </c>
      <c r="AK505" s="98" t="s">
        <v>171</v>
      </c>
      <c r="AL505" s="98" t="s">
        <v>171</v>
      </c>
      <c r="AM505" s="98" t="s">
        <v>171</v>
      </c>
      <c r="AN505" s="98" t="s">
        <v>171</v>
      </c>
      <c r="AO505" s="98" t="s">
        <v>171</v>
      </c>
      <c r="AP505" s="98" t="s">
        <v>171</v>
      </c>
      <c r="AQ505" s="98" t="s">
        <v>171</v>
      </c>
      <c r="AR505" s="102">
        <v>46231.0</v>
      </c>
      <c r="AS505" s="83">
        <v>1179702.0</v>
      </c>
    </row>
    <row r="506" ht="15.75" customHeight="1">
      <c r="A506" s="111" t="s">
        <v>605</v>
      </c>
      <c r="B506" s="83" t="s">
        <v>2053</v>
      </c>
      <c r="C506" s="83" t="s">
        <v>164</v>
      </c>
      <c r="D506" s="112">
        <v>1179661.0</v>
      </c>
      <c r="E506" s="83">
        <v>1179648.0</v>
      </c>
      <c r="F506" s="83"/>
      <c r="G506" s="91" t="str">
        <f>IFERROR(__xludf.DUMMYFUNCTION("XLOOKUP(AS506,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DE MEDEIROS NETO - DISTRITO ITUPEVA")</f>
        <v>ANEXO - CENTRO TERRITORIAL DE EDUCAÇÃO PROFISSIONAL DE MEDEIROS NETO - DISTRITO ITUPEVA</v>
      </c>
      <c r="H506" s="114" t="s">
        <v>2084</v>
      </c>
      <c r="I506" s="91" t="s">
        <v>2085</v>
      </c>
      <c r="J506" s="83" t="s">
        <v>2086</v>
      </c>
      <c r="K506" s="83" t="s">
        <v>252</v>
      </c>
      <c r="L506" s="83" t="s">
        <v>151</v>
      </c>
      <c r="M506" s="83" t="s">
        <v>169</v>
      </c>
      <c r="N506" s="115" t="s">
        <v>170</v>
      </c>
      <c r="O506" s="98" t="s">
        <v>155</v>
      </c>
      <c r="P506" s="99" t="str">
        <f>IFERROR(__xludf.DUMMYFUNCTION("IFERROR(VLOOKUP(AS506,IMPORTRANGE(""https://docs.google.com/spreadsheets/d/1juPI-Fb8LD0YtltB2mlGEnp_R3UVu1t3wSFPzgCyHXE/edit?gid=0#gid=0"",""GERAL!A2:C""),3,0),""-"")"),"CAMPO")</f>
        <v>CAMPO</v>
      </c>
      <c r="Q506" s="98" t="s">
        <v>171</v>
      </c>
      <c r="R506" s="98">
        <v>4.0</v>
      </c>
      <c r="S506" s="98" t="s">
        <v>171</v>
      </c>
      <c r="T506" s="98" t="s">
        <v>171</v>
      </c>
      <c r="U506" s="98" t="s">
        <v>171</v>
      </c>
      <c r="V506" s="98" t="s">
        <v>171</v>
      </c>
      <c r="W506" s="98" t="s">
        <v>171</v>
      </c>
      <c r="X506" s="98" t="s">
        <v>171</v>
      </c>
      <c r="Y506" s="98" t="s">
        <v>171</v>
      </c>
      <c r="Z506" s="98" t="s">
        <v>171</v>
      </c>
      <c r="AA506" s="98" t="s">
        <v>171</v>
      </c>
      <c r="AB506" s="98" t="s">
        <v>171</v>
      </c>
      <c r="AC506" s="98" t="s">
        <v>171</v>
      </c>
      <c r="AD506" s="98" t="s">
        <v>171</v>
      </c>
      <c r="AE506" s="98" t="s">
        <v>171</v>
      </c>
      <c r="AF506" s="98" t="s">
        <v>171</v>
      </c>
      <c r="AG506" s="98" t="s">
        <v>171</v>
      </c>
      <c r="AH506" s="98" t="s">
        <v>171</v>
      </c>
      <c r="AI506" s="98"/>
      <c r="AJ506" s="98" t="s">
        <v>171</v>
      </c>
      <c r="AK506" s="98" t="s">
        <v>171</v>
      </c>
      <c r="AL506" s="98" t="s">
        <v>171</v>
      </c>
      <c r="AM506" s="98" t="s">
        <v>171</v>
      </c>
      <c r="AN506" s="98" t="s">
        <v>171</v>
      </c>
      <c r="AO506" s="98" t="s">
        <v>171</v>
      </c>
      <c r="AP506" s="98" t="s">
        <v>171</v>
      </c>
      <c r="AQ506" s="98" t="s">
        <v>171</v>
      </c>
      <c r="AR506" s="102">
        <v>46231.0</v>
      </c>
      <c r="AS506" s="83">
        <v>1179648.0</v>
      </c>
    </row>
    <row r="507" ht="15.75" customHeight="1">
      <c r="A507" s="111" t="s">
        <v>605</v>
      </c>
      <c r="B507" s="83" t="s">
        <v>2090</v>
      </c>
      <c r="C507" s="83" t="s">
        <v>68</v>
      </c>
      <c r="D507" s="112">
        <v>1178093.0</v>
      </c>
      <c r="E507" s="83"/>
      <c r="F507" s="83">
        <v>2.9433843E7</v>
      </c>
      <c r="G507" s="91" t="str">
        <f>IFERROR(__xludf.DUMMYFUNCTION("XLOOKUP(AS507,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INTEGRAÇÃO - DISTRITO DE ITABATAN")</f>
        <v>COLÉGIO ESTADUAL INTEGRAÇÃO - DISTRITO DE ITABATAN</v>
      </c>
      <c r="H507" s="185" t="s">
        <v>2091</v>
      </c>
      <c r="I507" s="91" t="s">
        <v>2092</v>
      </c>
      <c r="J507" s="83" t="s">
        <v>149</v>
      </c>
      <c r="K507" s="83" t="s">
        <v>464</v>
      </c>
      <c r="L507" s="83" t="s">
        <v>151</v>
      </c>
      <c r="M507" s="83" t="s">
        <v>152</v>
      </c>
      <c r="N507" s="98" t="s">
        <v>2095</v>
      </c>
      <c r="O507" s="98" t="s">
        <v>155</v>
      </c>
      <c r="P507" s="99" t="str">
        <f>IFERROR(__xludf.DUMMYFUNCTION("IFERROR(VLOOKUP(AS507,IMPORTRANGE(""https://docs.google.com/spreadsheets/d/1juPI-Fb8LD0YtltB2mlGEnp_R3UVu1t3wSFPzgCyHXE/edit?gid=0#gid=0"",""GERAL!A2:C""),3,0),""-"")"),"CAMPO")</f>
        <v>CAMPO</v>
      </c>
      <c r="Q507" s="101" t="s">
        <v>156</v>
      </c>
      <c r="R507" s="98">
        <v>8.0</v>
      </c>
      <c r="S507" s="98">
        <v>0.0</v>
      </c>
      <c r="T507" s="98">
        <v>1.0</v>
      </c>
      <c r="U507" s="98">
        <v>1.0</v>
      </c>
      <c r="V507" s="98">
        <v>0.0</v>
      </c>
      <c r="W507" s="98">
        <v>0.0</v>
      </c>
      <c r="X507" s="98">
        <v>0.0</v>
      </c>
      <c r="Y507" s="98">
        <v>0.0</v>
      </c>
      <c r="Z507" s="98">
        <v>0.0</v>
      </c>
      <c r="AA507" s="98">
        <v>0.0</v>
      </c>
      <c r="AB507" s="98">
        <v>0.0</v>
      </c>
      <c r="AC507" s="98">
        <v>0.0</v>
      </c>
      <c r="AD507" s="98">
        <v>0.0</v>
      </c>
      <c r="AE507" s="98">
        <v>0.0</v>
      </c>
      <c r="AF507" s="98">
        <v>0.0</v>
      </c>
      <c r="AG507" s="98">
        <v>1.0</v>
      </c>
      <c r="AH507" s="98">
        <v>0.0</v>
      </c>
      <c r="AI507" s="98">
        <v>0.0</v>
      </c>
      <c r="AJ507" s="98">
        <v>0.0</v>
      </c>
      <c r="AK507" s="98">
        <v>0.0</v>
      </c>
      <c r="AL507" s="98">
        <v>0.0</v>
      </c>
      <c r="AM507" s="98">
        <v>0.0</v>
      </c>
      <c r="AN507" s="98">
        <v>0.0</v>
      </c>
      <c r="AO507" s="98">
        <v>0.0</v>
      </c>
      <c r="AP507" s="98">
        <v>2.0</v>
      </c>
      <c r="AQ507" s="98" t="s">
        <v>2103</v>
      </c>
      <c r="AR507" s="102">
        <v>46226.0</v>
      </c>
      <c r="AS507" s="83">
        <v>1178093.0</v>
      </c>
    </row>
    <row r="508" ht="15.75" customHeight="1">
      <c r="A508" s="111" t="s">
        <v>605</v>
      </c>
      <c r="B508" s="83" t="s">
        <v>2090</v>
      </c>
      <c r="C508" s="83" t="s">
        <v>68</v>
      </c>
      <c r="D508" s="112">
        <v>1178427.0</v>
      </c>
      <c r="E508" s="83"/>
      <c r="F508" s="83">
        <v>2.9399246E7</v>
      </c>
      <c r="G508" s="91" t="str">
        <f>IFERROR(__xludf.DUMMYFUNCTION("XLOOKUP(AS508,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ALCIDES AFONSO DE SOUZA")</f>
        <v>COLÉGIO ESTADUAL DO CAMPO ALCIDES AFONSO DE SOUZA</v>
      </c>
      <c r="H508" s="184" t="s">
        <v>2104</v>
      </c>
      <c r="I508" s="91" t="s">
        <v>2105</v>
      </c>
      <c r="J508" s="83" t="s">
        <v>2106</v>
      </c>
      <c r="K508" s="83" t="s">
        <v>209</v>
      </c>
      <c r="L508" s="83" t="s">
        <v>151</v>
      </c>
      <c r="M508" s="83" t="s">
        <v>169</v>
      </c>
      <c r="N508" s="98" t="s">
        <v>2107</v>
      </c>
      <c r="O508" s="98" t="s">
        <v>155</v>
      </c>
      <c r="P508" s="99" t="str">
        <f>IFERROR(__xludf.DUMMYFUNCTION("IFERROR(VLOOKUP(AS508,IMPORTRANGE(""https://docs.google.com/spreadsheets/d/1juPI-Fb8LD0YtltB2mlGEnp_R3UVu1t3wSFPzgCyHXE/edit?gid=0#gid=0"",""GERAL!A2:C""),3,0),""-"")"),"ASSENTAMENTOS")</f>
        <v>ASSENTAMENTOS</v>
      </c>
      <c r="Q508" s="101" t="s">
        <v>156</v>
      </c>
      <c r="R508" s="98">
        <v>3.0</v>
      </c>
      <c r="S508" s="98">
        <v>0.0</v>
      </c>
      <c r="T508" s="98">
        <v>0.0</v>
      </c>
      <c r="U508" s="98">
        <v>0.0</v>
      </c>
      <c r="V508" s="98">
        <v>0.0</v>
      </c>
      <c r="W508" s="98">
        <v>0.0</v>
      </c>
      <c r="X508" s="98">
        <v>0.0</v>
      </c>
      <c r="Y508" s="98">
        <v>0.0</v>
      </c>
      <c r="Z508" s="98">
        <v>0.0</v>
      </c>
      <c r="AA508" s="98">
        <v>0.0</v>
      </c>
      <c r="AB508" s="98">
        <v>0.0</v>
      </c>
      <c r="AC508" s="98">
        <v>0.0</v>
      </c>
      <c r="AD508" s="98">
        <v>0.0</v>
      </c>
      <c r="AE508" s="98">
        <v>0.0</v>
      </c>
      <c r="AF508" s="98">
        <v>0.0</v>
      </c>
      <c r="AG508" s="98">
        <v>0.0</v>
      </c>
      <c r="AH508" s="98">
        <v>0.0</v>
      </c>
      <c r="AI508" s="98">
        <v>0.0</v>
      </c>
      <c r="AJ508" s="98">
        <v>0.0</v>
      </c>
      <c r="AK508" s="98">
        <v>0.0</v>
      </c>
      <c r="AL508" s="98">
        <v>0.0</v>
      </c>
      <c r="AM508" s="98">
        <v>0.0</v>
      </c>
      <c r="AN508" s="98">
        <v>0.0</v>
      </c>
      <c r="AO508" s="98">
        <v>0.0</v>
      </c>
      <c r="AP508" s="98">
        <v>1.0</v>
      </c>
      <c r="AQ508" s="98" t="s">
        <v>2114</v>
      </c>
      <c r="AR508" s="102">
        <v>46226.0</v>
      </c>
      <c r="AS508" s="83">
        <v>1178427.0</v>
      </c>
    </row>
    <row r="509" ht="15.75" customHeight="1">
      <c r="A509" s="111" t="s">
        <v>605</v>
      </c>
      <c r="B509" s="83" t="s">
        <v>2090</v>
      </c>
      <c r="C509" s="83" t="s">
        <v>68</v>
      </c>
      <c r="D509" s="112">
        <v>1157746.0</v>
      </c>
      <c r="E509" s="83"/>
      <c r="F509" s="83">
        <v>2.9325099E7</v>
      </c>
      <c r="G509" s="91" t="str">
        <f>IFERROR(__xludf.DUMMYFUNCTION("XLOOKUP(AS509,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JACI FERREIRA DOS SANTOS")</f>
        <v>COLÉGIO ESTADUAL DE TEMPO INTEGRAL JACI FERREIRA DOS SANTOS</v>
      </c>
      <c r="H509" s="184" t="s">
        <v>2117</v>
      </c>
      <c r="I509" s="91" t="s">
        <v>2118</v>
      </c>
      <c r="J509" s="136" t="s">
        <v>149</v>
      </c>
      <c r="K509" s="136" t="s">
        <v>150</v>
      </c>
      <c r="L509" s="136" t="s">
        <v>151</v>
      </c>
      <c r="M509" s="136" t="s">
        <v>152</v>
      </c>
      <c r="N509" s="98" t="s">
        <v>2120</v>
      </c>
      <c r="O509" s="98" t="s">
        <v>155</v>
      </c>
      <c r="P509" s="99" t="str">
        <f>IFERROR(__xludf.DUMMYFUNCTION("IFERROR(VLOOKUP(AS509,IMPORTRANGE(""https://docs.google.com/spreadsheets/d/1juPI-Fb8LD0YtltB2mlGEnp_R3UVu1t3wSFPzgCyHXE/edit?gid=0#gid=0"",""GERAL!A2:C""),3,0),""-"")"),"-")</f>
        <v>-</v>
      </c>
      <c r="Q509" s="101" t="s">
        <v>156</v>
      </c>
      <c r="R509" s="98">
        <v>8.0</v>
      </c>
      <c r="S509" s="98">
        <v>0.0</v>
      </c>
      <c r="T509" s="98">
        <v>0.0</v>
      </c>
      <c r="U509" s="98">
        <v>0.0</v>
      </c>
      <c r="V509" s="98">
        <v>0.0</v>
      </c>
      <c r="W509" s="98">
        <v>0.0</v>
      </c>
      <c r="X509" s="98">
        <v>0.0</v>
      </c>
      <c r="Y509" s="98">
        <v>0.0</v>
      </c>
      <c r="Z509" s="98">
        <v>0.0</v>
      </c>
      <c r="AA509" s="98">
        <v>1.0</v>
      </c>
      <c r="AB509" s="98">
        <v>0.0</v>
      </c>
      <c r="AC509" s="98">
        <v>1.0</v>
      </c>
      <c r="AD509" s="98">
        <v>0.0</v>
      </c>
      <c r="AE509" s="98">
        <v>0.0</v>
      </c>
      <c r="AF509" s="98">
        <v>0.0</v>
      </c>
      <c r="AG509" s="98">
        <v>1.0</v>
      </c>
      <c r="AH509" s="98">
        <v>0.0</v>
      </c>
      <c r="AI509" s="98">
        <v>0.0</v>
      </c>
      <c r="AJ509" s="98">
        <v>0.0</v>
      </c>
      <c r="AK509" s="98">
        <v>0.0</v>
      </c>
      <c r="AL509" s="98">
        <v>0.0</v>
      </c>
      <c r="AM509" s="98">
        <v>0.0</v>
      </c>
      <c r="AN509" s="98">
        <v>0.0</v>
      </c>
      <c r="AO509" s="98">
        <v>0.0</v>
      </c>
      <c r="AP509" s="98">
        <v>5.0</v>
      </c>
      <c r="AQ509" s="98" t="s">
        <v>2124</v>
      </c>
      <c r="AR509" s="102">
        <v>46226.0</v>
      </c>
      <c r="AS509" s="83">
        <v>1157746.0</v>
      </c>
    </row>
    <row r="510" ht="15.75" customHeight="1">
      <c r="A510" s="111" t="s">
        <v>605</v>
      </c>
      <c r="B510" s="83" t="s">
        <v>2090</v>
      </c>
      <c r="C510" s="83" t="s">
        <v>164</v>
      </c>
      <c r="D510" s="112">
        <v>1178093.0</v>
      </c>
      <c r="E510" s="83">
        <v>1178559.0</v>
      </c>
      <c r="F510" s="83"/>
      <c r="G510" s="91" t="str">
        <f>IFERROR(__xludf.DUMMYFUNCTION("XLOOKUP(AS510,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INTEGRAÇÃO - DISTRITO DE TAQUARINHA")</f>
        <v>ANEXO - COLÉGIO ESTADUAL INTEGRAÇÃO - DISTRITO DE TAQUARINHA</v>
      </c>
      <c r="H510" s="185" t="s">
        <v>2125</v>
      </c>
      <c r="I510" s="91" t="s">
        <v>2126</v>
      </c>
      <c r="J510" s="83" t="s">
        <v>149</v>
      </c>
      <c r="K510" s="83" t="s">
        <v>252</v>
      </c>
      <c r="L510" s="83" t="s">
        <v>151</v>
      </c>
      <c r="M510" s="83" t="s">
        <v>169</v>
      </c>
      <c r="N510" s="115" t="s">
        <v>170</v>
      </c>
      <c r="O510" s="98" t="s">
        <v>155</v>
      </c>
      <c r="P510" s="99" t="str">
        <f>IFERROR(__xludf.DUMMYFUNCTION("IFERROR(VLOOKUP(AS510,IMPORTRANGE(""https://docs.google.com/spreadsheets/d/1juPI-Fb8LD0YtltB2mlGEnp_R3UVu1t3wSFPzgCyHXE/edit?gid=0#gid=0"",""GERAL!A2:C""),3,0),""-"")"),"CAMPO")</f>
        <v>CAMPO</v>
      </c>
      <c r="Q510" s="98" t="s">
        <v>171</v>
      </c>
      <c r="R510" s="98">
        <v>3.0</v>
      </c>
      <c r="S510" s="98" t="s">
        <v>171</v>
      </c>
      <c r="T510" s="98" t="s">
        <v>171</v>
      </c>
      <c r="U510" s="98" t="s">
        <v>171</v>
      </c>
      <c r="V510" s="98" t="s">
        <v>171</v>
      </c>
      <c r="W510" s="98" t="s">
        <v>171</v>
      </c>
      <c r="X510" s="98" t="s">
        <v>171</v>
      </c>
      <c r="Y510" s="98" t="s">
        <v>171</v>
      </c>
      <c r="Z510" s="98" t="s">
        <v>171</v>
      </c>
      <c r="AA510" s="98" t="s">
        <v>171</v>
      </c>
      <c r="AB510" s="98" t="s">
        <v>171</v>
      </c>
      <c r="AC510" s="98" t="s">
        <v>171</v>
      </c>
      <c r="AD510" s="98" t="s">
        <v>171</v>
      </c>
      <c r="AE510" s="98" t="s">
        <v>171</v>
      </c>
      <c r="AF510" s="98" t="s">
        <v>171</v>
      </c>
      <c r="AG510" s="98" t="s">
        <v>171</v>
      </c>
      <c r="AH510" s="98" t="s">
        <v>171</v>
      </c>
      <c r="AI510" s="98" t="s">
        <v>171</v>
      </c>
      <c r="AJ510" s="98" t="s">
        <v>171</v>
      </c>
      <c r="AK510" s="98" t="s">
        <v>171</v>
      </c>
      <c r="AL510" s="98" t="s">
        <v>171</v>
      </c>
      <c r="AM510" s="98" t="s">
        <v>171</v>
      </c>
      <c r="AN510" s="98" t="s">
        <v>171</v>
      </c>
      <c r="AO510" s="98" t="s">
        <v>171</v>
      </c>
      <c r="AP510" s="98" t="s">
        <v>171</v>
      </c>
      <c r="AQ510" s="98" t="s">
        <v>171</v>
      </c>
      <c r="AR510" s="102">
        <v>46226.0</v>
      </c>
      <c r="AS510" s="83">
        <v>1178559.0</v>
      </c>
    </row>
    <row r="511" ht="15.75" customHeight="1">
      <c r="A511" s="111" t="s">
        <v>605</v>
      </c>
      <c r="B511" s="83" t="s">
        <v>2090</v>
      </c>
      <c r="C511" s="83" t="s">
        <v>164</v>
      </c>
      <c r="D511" s="112">
        <v>1178093.0</v>
      </c>
      <c r="E511" s="83">
        <v>1178558.0</v>
      </c>
      <c r="F511" s="83"/>
      <c r="G511" s="91" t="str">
        <f>IFERROR(__xludf.DUMMYFUNCTION("XLOOKUP(AS511,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INTEGRAÇÃO - DISTRITO DE IBIRANHÉM")</f>
        <v>ANEXO - COLÉGIO ESTADUAL INTEGRAÇÃO - DISTRITO DE IBIRANHÉM</v>
      </c>
      <c r="H511" s="185" t="s">
        <v>2128</v>
      </c>
      <c r="I511" s="91" t="s">
        <v>2129</v>
      </c>
      <c r="J511" s="83" t="s">
        <v>149</v>
      </c>
      <c r="K511" s="83" t="s">
        <v>252</v>
      </c>
      <c r="L511" s="83" t="s">
        <v>151</v>
      </c>
      <c r="M511" s="83" t="s">
        <v>169</v>
      </c>
      <c r="N511" s="115" t="s">
        <v>170</v>
      </c>
      <c r="O511" s="98" t="s">
        <v>155</v>
      </c>
      <c r="P511" s="99" t="str">
        <f>IFERROR(__xludf.DUMMYFUNCTION("IFERROR(VLOOKUP(AS511,IMPORTRANGE(""https://docs.google.com/spreadsheets/d/1juPI-Fb8LD0YtltB2mlGEnp_R3UVu1t3wSFPzgCyHXE/edit?gid=0#gid=0"",""GERAL!A2:C""),3,0),""-"")"),"CAMPO")</f>
        <v>CAMPO</v>
      </c>
      <c r="Q511" s="98" t="s">
        <v>171</v>
      </c>
      <c r="R511" s="98">
        <v>3.0</v>
      </c>
      <c r="S511" s="98" t="s">
        <v>171</v>
      </c>
      <c r="T511" s="98" t="s">
        <v>171</v>
      </c>
      <c r="U511" s="98" t="s">
        <v>171</v>
      </c>
      <c r="V511" s="98" t="s">
        <v>171</v>
      </c>
      <c r="W511" s="98" t="s">
        <v>171</v>
      </c>
      <c r="X511" s="98" t="s">
        <v>171</v>
      </c>
      <c r="Y511" s="98" t="s">
        <v>171</v>
      </c>
      <c r="Z511" s="98" t="s">
        <v>171</v>
      </c>
      <c r="AA511" s="98" t="s">
        <v>171</v>
      </c>
      <c r="AB511" s="98" t="s">
        <v>171</v>
      </c>
      <c r="AC511" s="98" t="s">
        <v>171</v>
      </c>
      <c r="AD511" s="98" t="s">
        <v>171</v>
      </c>
      <c r="AE511" s="98" t="s">
        <v>171</v>
      </c>
      <c r="AF511" s="98" t="s">
        <v>171</v>
      </c>
      <c r="AG511" s="98" t="s">
        <v>171</v>
      </c>
      <c r="AH511" s="98" t="s">
        <v>171</v>
      </c>
      <c r="AI511" s="98" t="s">
        <v>171</v>
      </c>
      <c r="AJ511" s="98" t="s">
        <v>171</v>
      </c>
      <c r="AK511" s="98" t="s">
        <v>171</v>
      </c>
      <c r="AL511" s="98" t="s">
        <v>171</v>
      </c>
      <c r="AM511" s="98" t="s">
        <v>171</v>
      </c>
      <c r="AN511" s="98" t="s">
        <v>171</v>
      </c>
      <c r="AO511" s="98" t="s">
        <v>171</v>
      </c>
      <c r="AP511" s="98" t="s">
        <v>171</v>
      </c>
      <c r="AQ511" s="98" t="s">
        <v>171</v>
      </c>
      <c r="AR511" s="102">
        <v>46226.0</v>
      </c>
      <c r="AS511" s="83">
        <v>1178558.0</v>
      </c>
    </row>
    <row r="512" ht="15.75" customHeight="1">
      <c r="A512" s="111" t="s">
        <v>605</v>
      </c>
      <c r="B512" s="83" t="s">
        <v>2090</v>
      </c>
      <c r="C512" s="83" t="s">
        <v>164</v>
      </c>
      <c r="D512" s="112">
        <v>1178093.0</v>
      </c>
      <c r="E512" s="83">
        <v>1178557.0</v>
      </c>
      <c r="F512" s="83"/>
      <c r="G512" s="91" t="str">
        <f>IFERROR(__xludf.DUMMYFUNCTION("XLOOKUP(AS512,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INTEGRAÇÃO - DISTRITO DE CRUZELÂNDIA")</f>
        <v>ANEXO - COLÉGIO ESTADUAL INTEGRAÇÃO - DISTRITO DE CRUZELÂNDIA</v>
      </c>
      <c r="H512" s="185" t="s">
        <v>2132</v>
      </c>
      <c r="I512" s="91" t="s">
        <v>2133</v>
      </c>
      <c r="J512" s="83" t="s">
        <v>149</v>
      </c>
      <c r="K512" s="83" t="s">
        <v>464</v>
      </c>
      <c r="L512" s="83" t="s">
        <v>151</v>
      </c>
      <c r="M512" s="83" t="s">
        <v>169</v>
      </c>
      <c r="N512" s="115" t="s">
        <v>170</v>
      </c>
      <c r="O512" s="98" t="s">
        <v>155</v>
      </c>
      <c r="P512" s="99" t="str">
        <f>IFERROR(__xludf.DUMMYFUNCTION("IFERROR(VLOOKUP(AS512,IMPORTRANGE(""https://docs.google.com/spreadsheets/d/1juPI-Fb8LD0YtltB2mlGEnp_R3UVu1t3wSFPzgCyHXE/edit?gid=0#gid=0"",""GERAL!A2:C""),3,0),""-"")"),"CAMPO")</f>
        <v>CAMPO</v>
      </c>
      <c r="Q512" s="98" t="s">
        <v>171</v>
      </c>
      <c r="R512" s="98">
        <v>3.0</v>
      </c>
      <c r="S512" s="98" t="s">
        <v>171</v>
      </c>
      <c r="T512" s="98" t="s">
        <v>171</v>
      </c>
      <c r="U512" s="98" t="s">
        <v>171</v>
      </c>
      <c r="V512" s="98" t="s">
        <v>171</v>
      </c>
      <c r="W512" s="98" t="s">
        <v>171</v>
      </c>
      <c r="X512" s="98" t="s">
        <v>171</v>
      </c>
      <c r="Y512" s="98" t="s">
        <v>171</v>
      </c>
      <c r="Z512" s="98" t="s">
        <v>171</v>
      </c>
      <c r="AA512" s="98" t="s">
        <v>171</v>
      </c>
      <c r="AB512" s="98" t="s">
        <v>171</v>
      </c>
      <c r="AC512" s="98" t="s">
        <v>171</v>
      </c>
      <c r="AD512" s="98" t="s">
        <v>171</v>
      </c>
      <c r="AE512" s="98" t="s">
        <v>171</v>
      </c>
      <c r="AF512" s="98" t="s">
        <v>171</v>
      </c>
      <c r="AG512" s="98" t="s">
        <v>171</v>
      </c>
      <c r="AH512" s="98" t="s">
        <v>171</v>
      </c>
      <c r="AI512" s="98" t="s">
        <v>171</v>
      </c>
      <c r="AJ512" s="98" t="s">
        <v>171</v>
      </c>
      <c r="AK512" s="98" t="s">
        <v>171</v>
      </c>
      <c r="AL512" s="98" t="s">
        <v>171</v>
      </c>
      <c r="AM512" s="98" t="s">
        <v>171</v>
      </c>
      <c r="AN512" s="98" t="s">
        <v>171</v>
      </c>
      <c r="AO512" s="98" t="s">
        <v>171</v>
      </c>
      <c r="AP512" s="98" t="s">
        <v>171</v>
      </c>
      <c r="AQ512" s="98" t="s">
        <v>171</v>
      </c>
      <c r="AR512" s="102">
        <v>46226.0</v>
      </c>
      <c r="AS512" s="83">
        <v>1178557.0</v>
      </c>
    </row>
    <row r="513" ht="15.75" customHeight="1">
      <c r="A513" s="111" t="s">
        <v>605</v>
      </c>
      <c r="B513" s="83" t="s">
        <v>2090</v>
      </c>
      <c r="C513" s="83" t="s">
        <v>164</v>
      </c>
      <c r="D513" s="112">
        <v>1178093.0</v>
      </c>
      <c r="E513" s="83">
        <v>1179696.0</v>
      </c>
      <c r="F513" s="83"/>
      <c r="G513" s="91" t="str">
        <f>IFERROR(__xludf.DUMMYFUNCTION("XLOOKUP(AS513,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INTEGRAÇÃO - DISTRITO DE BELO CRUZEIRO")</f>
        <v>ANEXO - COLÉGIO ESTADUAL INTEGRAÇÃO - DISTRITO DE BELO CRUZEIRO</v>
      </c>
      <c r="H513" s="185" t="s">
        <v>2139</v>
      </c>
      <c r="I513" s="91" t="s">
        <v>2141</v>
      </c>
      <c r="J513" s="83" t="s">
        <v>149</v>
      </c>
      <c r="K513" s="83" t="s">
        <v>2142</v>
      </c>
      <c r="L513" s="83" t="s">
        <v>151</v>
      </c>
      <c r="M513" s="83" t="s">
        <v>169</v>
      </c>
      <c r="N513" s="115" t="s">
        <v>170</v>
      </c>
      <c r="O513" s="98" t="s">
        <v>155</v>
      </c>
      <c r="P513" s="99" t="str">
        <f>IFERROR(__xludf.DUMMYFUNCTION("IFERROR(VLOOKUP(AS513,IMPORTRANGE(""https://docs.google.com/spreadsheets/d/1juPI-Fb8LD0YtltB2mlGEnp_R3UVu1t3wSFPzgCyHXE/edit?gid=0#gid=0"",""GERAL!A2:C""),3,0),""-"")"),"CAMPO")</f>
        <v>CAMPO</v>
      </c>
      <c r="Q513" s="98" t="s">
        <v>171</v>
      </c>
      <c r="R513" s="98">
        <v>3.0</v>
      </c>
      <c r="S513" s="98" t="s">
        <v>171</v>
      </c>
      <c r="T513" s="98" t="s">
        <v>171</v>
      </c>
      <c r="U513" s="98" t="s">
        <v>171</v>
      </c>
      <c r="V513" s="98" t="s">
        <v>171</v>
      </c>
      <c r="W513" s="98" t="s">
        <v>171</v>
      </c>
      <c r="X513" s="98" t="s">
        <v>171</v>
      </c>
      <c r="Y513" s="98" t="s">
        <v>171</v>
      </c>
      <c r="Z513" s="98" t="s">
        <v>171</v>
      </c>
      <c r="AA513" s="98" t="s">
        <v>171</v>
      </c>
      <c r="AB513" s="98" t="s">
        <v>171</v>
      </c>
      <c r="AC513" s="98" t="s">
        <v>171</v>
      </c>
      <c r="AD513" s="98" t="s">
        <v>171</v>
      </c>
      <c r="AE513" s="98" t="s">
        <v>171</v>
      </c>
      <c r="AF513" s="98" t="s">
        <v>171</v>
      </c>
      <c r="AG513" s="98" t="s">
        <v>171</v>
      </c>
      <c r="AH513" s="98" t="s">
        <v>171</v>
      </c>
      <c r="AI513" s="98" t="s">
        <v>171</v>
      </c>
      <c r="AJ513" s="98" t="s">
        <v>171</v>
      </c>
      <c r="AK513" s="98" t="s">
        <v>171</v>
      </c>
      <c r="AL513" s="98" t="s">
        <v>171</v>
      </c>
      <c r="AM513" s="98" t="s">
        <v>171</v>
      </c>
      <c r="AN513" s="98" t="s">
        <v>171</v>
      </c>
      <c r="AO513" s="98" t="s">
        <v>171</v>
      </c>
      <c r="AP513" s="98" t="s">
        <v>171</v>
      </c>
      <c r="AQ513" s="98" t="s">
        <v>171</v>
      </c>
      <c r="AR513" s="102">
        <v>46226.0</v>
      </c>
      <c r="AS513" s="83">
        <v>1179696.0</v>
      </c>
    </row>
    <row r="514" ht="15.75" customHeight="1">
      <c r="A514" s="111" t="s">
        <v>605</v>
      </c>
      <c r="B514" s="83" t="s">
        <v>2146</v>
      </c>
      <c r="C514" s="83" t="s">
        <v>68</v>
      </c>
      <c r="D514" s="112">
        <v>1178036.0</v>
      </c>
      <c r="E514" s="83"/>
      <c r="F514" s="83">
        <v>2.9425719E7</v>
      </c>
      <c r="G514" s="91" t="str">
        <f>IFERROR(__xludf.DUMMYFUNCTION("XLOOKUP(AS514,
IMPORTRANGE(""https://docs.google.com/spreadsheets/d/1YM-djuOLXomrZ9W0B4TyIBsVWnXY4EIOFD9HY-qGfv0/edit?usp=sharing"",""GERAL!BG5:BG""),
IMPORTRANGE(""https://docs.google.com/spreadsheets/d/1YM-djuOLXomrZ9W0B4TyIBsVWnXY4EIOFD9HY-qGfv0/edit?u"&amp;"sp=sharing"",""GERAL!G5:G""),
""CÓD. SEC NÃO ENCONTRADO NA PLANILHA DE MATRÍCULA"")"),"COMPLEXO INTEGRADO DE EDUCAÇÃO BÁSICA, PROFISSIONAL E TECNOLÓGICA CHICO MENDES - TEMPO INTEGRAL")</f>
        <v>COMPLEXO INTEGRADO DE EDUCAÇÃO BÁSICA, PROFISSIONAL E TECNOLÓGICA CHICO MENDES - TEMPO INTEGRAL</v>
      </c>
      <c r="H514" s="185" t="s">
        <v>2149</v>
      </c>
      <c r="I514" s="91" t="s">
        <v>2151</v>
      </c>
      <c r="J514" s="83" t="s">
        <v>149</v>
      </c>
      <c r="K514" s="83" t="s">
        <v>865</v>
      </c>
      <c r="L514" s="83" t="s">
        <v>151</v>
      </c>
      <c r="M514" s="83" t="s">
        <v>230</v>
      </c>
      <c r="N514" s="98" t="s">
        <v>2152</v>
      </c>
      <c r="O514" s="98" t="s">
        <v>155</v>
      </c>
      <c r="P514" s="99" t="str">
        <f>IFERROR(__xludf.DUMMYFUNCTION("IFERROR(VLOOKUP(AS514,IMPORTRANGE(""https://docs.google.com/spreadsheets/d/1juPI-Fb8LD0YtltB2mlGEnp_R3UVu1t3wSFPzgCyHXE/edit?gid=0#gid=0"",""GERAL!A2:C""),3,0),""-"")"),"CAMPO")</f>
        <v>CAMPO</v>
      </c>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v>1178036.0</v>
      </c>
    </row>
    <row r="515" ht="15.75" customHeight="1">
      <c r="A515" s="111" t="s">
        <v>605</v>
      </c>
      <c r="B515" s="83" t="s">
        <v>2146</v>
      </c>
      <c r="C515" s="83" t="s">
        <v>68</v>
      </c>
      <c r="D515" s="112">
        <v>1136480.0</v>
      </c>
      <c r="E515" s="83"/>
      <c r="F515" s="83">
        <v>2.9325803E7</v>
      </c>
      <c r="G515" s="91" t="str">
        <f>IFERROR(__xludf.DUMMYFUNCTION("XLOOKUP(AS515,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JANE ASSIS PEIXOTO - DISTRITO POSTO DA MATA")</f>
        <v>COLÉGIO ESTADUAL PROFESSORA JANE ASSIS PEIXOTO - DISTRITO POSTO DA MATA</v>
      </c>
      <c r="H515" s="185" t="s">
        <v>2155</v>
      </c>
      <c r="I515" s="91" t="s">
        <v>2156</v>
      </c>
      <c r="J515" s="83" t="s">
        <v>2157</v>
      </c>
      <c r="K515" s="83" t="s">
        <v>865</v>
      </c>
      <c r="L515" s="83" t="s">
        <v>151</v>
      </c>
      <c r="M515" s="83" t="s">
        <v>152</v>
      </c>
      <c r="N515" s="98" t="s">
        <v>2158</v>
      </c>
      <c r="O515" s="98" t="s">
        <v>155</v>
      </c>
      <c r="P515" s="99" t="str">
        <f>IFERROR(__xludf.DUMMYFUNCTION("IFERROR(VLOOKUP(AS515,IMPORTRANGE(""https://docs.google.com/spreadsheets/d/1juPI-Fb8LD0YtltB2mlGEnp_R3UVu1t3wSFPzgCyHXE/edit?gid=0#gid=0"",""GERAL!A2:C""),3,0),""-"")"),"CAMPO")</f>
        <v>CAMPO</v>
      </c>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v>1136480.0</v>
      </c>
    </row>
    <row r="516" ht="15.75" customHeight="1">
      <c r="A516" s="111" t="s">
        <v>605</v>
      </c>
      <c r="B516" s="83" t="s">
        <v>2146</v>
      </c>
      <c r="C516" s="83" t="s">
        <v>68</v>
      </c>
      <c r="D516" s="112">
        <v>1113579.0</v>
      </c>
      <c r="E516" s="83"/>
      <c r="F516" s="83">
        <v>2.962861E7</v>
      </c>
      <c r="G516" s="91" t="str">
        <f>IFERROR(__xludf.DUMMYFUNCTION("XLOOKUP(AS516,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GERALDA MARIA CRISTINA BRITO (ANTIGO - COLÉGIO ESTADUAL JOHN KENNEDY)")</f>
        <v>COLÉGIO ESTADUAL DE TEMPO INTEGRAL PROFESSORA GERALDA MARIA CRISTINA BRITO (ANTIGO - COLÉGIO ESTADUAL JOHN KENNEDY)</v>
      </c>
      <c r="H516" s="184" t="s">
        <v>2162</v>
      </c>
      <c r="I516" s="91" t="s">
        <v>2163</v>
      </c>
      <c r="J516" s="83" t="s">
        <v>149</v>
      </c>
      <c r="K516" s="83" t="s">
        <v>150</v>
      </c>
      <c r="L516" s="83" t="s">
        <v>151</v>
      </c>
      <c r="M516" s="83" t="s">
        <v>76</v>
      </c>
      <c r="N516" s="98" t="s">
        <v>2165</v>
      </c>
      <c r="O516" s="98" t="s">
        <v>155</v>
      </c>
      <c r="P516" s="99" t="str">
        <f>IFERROR(__xludf.DUMMYFUNCTION("IFERROR(VLOOKUP(AS516,IMPORTRANGE(""https://docs.google.com/spreadsheets/d/1juPI-Fb8LD0YtltB2mlGEnp_R3UVu1t3wSFPzgCyHXE/edit?gid=0#gid=0"",""GERAL!A2:C""),3,0),""-"")"),"-")</f>
        <v>-</v>
      </c>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v>1113579.0</v>
      </c>
    </row>
    <row r="517" ht="15.75" customHeight="1">
      <c r="A517" s="111" t="s">
        <v>605</v>
      </c>
      <c r="B517" s="83" t="s">
        <v>2146</v>
      </c>
      <c r="C517" s="83" t="s">
        <v>164</v>
      </c>
      <c r="D517" s="112">
        <v>1179713.0</v>
      </c>
      <c r="E517" s="83">
        <v>1178562.0</v>
      </c>
      <c r="F517" s="83"/>
      <c r="G517" s="91" t="str">
        <f>IFERROR(__xludf.DUMMYFUNCTION("XLOOKUP(AS517,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DE ARGOLO")</f>
        <v>ANEXO DO CEMIT EXTREMO SUL - DISTRITO DE ARGOLO</v>
      </c>
      <c r="H517" s="184" t="s">
        <v>2168</v>
      </c>
      <c r="I517" s="91" t="s">
        <v>2169</v>
      </c>
      <c r="J517" s="83" t="s">
        <v>149</v>
      </c>
      <c r="K517" s="83" t="s">
        <v>240</v>
      </c>
      <c r="L517" s="83" t="s">
        <v>151</v>
      </c>
      <c r="M517" s="83" t="s">
        <v>169</v>
      </c>
      <c r="N517" s="115" t="s">
        <v>170</v>
      </c>
      <c r="O517" s="98" t="s">
        <v>155</v>
      </c>
      <c r="P517" s="99" t="str">
        <f>IFERROR(__xludf.DUMMYFUNCTION("IFERROR(VLOOKUP(AS517,IMPORTRANGE(""https://docs.google.com/spreadsheets/d/1juPI-Fb8LD0YtltB2mlGEnp_R3UVu1t3wSFPzgCyHXE/edit?gid=0#gid=0"",""GERAL!A2:C""),3,0),""-"")"),"-")</f>
        <v>-</v>
      </c>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v>1178562.0</v>
      </c>
    </row>
    <row r="518" ht="15.75" customHeight="1">
      <c r="A518" s="111" t="s">
        <v>605</v>
      </c>
      <c r="B518" s="83" t="s">
        <v>2146</v>
      </c>
      <c r="C518" s="83" t="s">
        <v>164</v>
      </c>
      <c r="D518" s="112">
        <v>1136480.0</v>
      </c>
      <c r="E518" s="83">
        <v>1178560.0</v>
      </c>
      <c r="F518" s="83"/>
      <c r="G518" s="91" t="str">
        <f>IFERROR(__xludf.DUMMYFUNCTION("XLOOKUP(AS518,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PROFESSORA JANE ASSIS PEIXOTO - DIST DE HELVÉCIA - COMUNIDADE QUILOMBOLA")</f>
        <v>ANEXO - COLÉGIO ESTADUAL PROFESSORA JANE ASSIS PEIXOTO - DIST DE HELVÉCIA - COMUNIDADE QUILOMBOLA</v>
      </c>
      <c r="H518" s="185" t="s">
        <v>2176</v>
      </c>
      <c r="I518" s="91" t="s">
        <v>2177</v>
      </c>
      <c r="J518" s="83" t="s">
        <v>149</v>
      </c>
      <c r="K518" s="83" t="s">
        <v>240</v>
      </c>
      <c r="L518" s="83" t="s">
        <v>151</v>
      </c>
      <c r="M518" s="83" t="s">
        <v>169</v>
      </c>
      <c r="N518" s="115" t="s">
        <v>170</v>
      </c>
      <c r="O518" s="98" t="s">
        <v>155</v>
      </c>
      <c r="P518" s="99" t="str">
        <f>IFERROR(__xludf.DUMMYFUNCTION("IFERROR(VLOOKUP(AS518,IMPORTRANGE(""https://docs.google.com/spreadsheets/d/1juPI-Fb8LD0YtltB2mlGEnp_R3UVu1t3wSFPzgCyHXE/edit?gid=0#gid=0"",""GERAL!A2:C""),3,0),""-"")"),"QUILOMBOLAS")</f>
        <v>QUILOMBOLAS</v>
      </c>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v>1178560.0</v>
      </c>
    </row>
    <row r="519" ht="15.75" customHeight="1">
      <c r="A519" s="111" t="s">
        <v>605</v>
      </c>
      <c r="B519" s="83" t="s">
        <v>2180</v>
      </c>
      <c r="C519" s="83" t="s">
        <v>68</v>
      </c>
      <c r="D519" s="112">
        <v>1179453.0</v>
      </c>
      <c r="E519" s="83"/>
      <c r="F519" s="83">
        <v>2.9467624E7</v>
      </c>
      <c r="G519" s="91" t="str">
        <f>IFERROR(__xludf.DUMMYFUNCTION("XLOOKUP(AS519,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TAWA - ALDEIA TAWA")</f>
        <v>COLÉGIO ESTADUAL INDÍGENA TAWA - ALDEIA TAWA</v>
      </c>
      <c r="H519" s="185" t="s">
        <v>2182</v>
      </c>
      <c r="I519" s="91" t="s">
        <v>2183</v>
      </c>
      <c r="J519" s="83" t="s">
        <v>149</v>
      </c>
      <c r="K519" s="83" t="s">
        <v>705</v>
      </c>
      <c r="L519" s="83" t="s">
        <v>151</v>
      </c>
      <c r="M519" s="83" t="s">
        <v>169</v>
      </c>
      <c r="N519" s="98" t="s">
        <v>2184</v>
      </c>
      <c r="O519" s="98" t="s">
        <v>155</v>
      </c>
      <c r="P519" s="99" t="str">
        <f>IFERROR(__xludf.DUMMYFUNCTION("IFERROR(VLOOKUP(AS519,IMPORTRANGE(""https://docs.google.com/spreadsheets/d/1juPI-Fb8LD0YtltB2mlGEnp_R3UVu1t3wSFPzgCyHXE/edit?gid=0#gid=0"",""GERAL!A2:C""),3,0),""-"")"),"INDÍGENAS")</f>
        <v>INDÍGENAS</v>
      </c>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v>1179453.0</v>
      </c>
    </row>
    <row r="520" ht="15.75" customHeight="1">
      <c r="A520" s="111" t="s">
        <v>605</v>
      </c>
      <c r="B520" s="83" t="s">
        <v>2180</v>
      </c>
      <c r="C520" s="83" t="s">
        <v>68</v>
      </c>
      <c r="D520" s="112">
        <v>1179368.0</v>
      </c>
      <c r="E520" s="83"/>
      <c r="F520" s="83">
        <v>2.946439E7</v>
      </c>
      <c r="G520" s="91" t="str">
        <f>IFERROR(__xludf.DUMMYFUNCTION("XLOOKUP(AS520,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TANARA PATAXÓ PEQUI/GURITA - ALDEIA PEQUI")</f>
        <v>COLÉGIO ESTADUAL INDÍGENA TANARA PATAXÓ PEQUI/GURITA - ALDEIA PEQUI</v>
      </c>
      <c r="H520" s="185" t="s">
        <v>2191</v>
      </c>
      <c r="I520" s="91" t="s">
        <v>2193</v>
      </c>
      <c r="J520" s="83" t="s">
        <v>2194</v>
      </c>
      <c r="K520" s="83" t="s">
        <v>183</v>
      </c>
      <c r="L520" s="83" t="s">
        <v>168</v>
      </c>
      <c r="M520" s="83" t="s">
        <v>169</v>
      </c>
      <c r="N520" s="98" t="s">
        <v>2196</v>
      </c>
      <c r="O520" s="98" t="s">
        <v>155</v>
      </c>
      <c r="P520" s="99" t="str">
        <f>IFERROR(__xludf.DUMMYFUNCTION("IFERROR(VLOOKUP(AS520,IMPORTRANGE(""https://docs.google.com/spreadsheets/d/1juPI-Fb8LD0YtltB2mlGEnp_R3UVu1t3wSFPzgCyHXE/edit?gid=0#gid=0"",""GERAL!A2:C""),3,0),""-"")"),"INDÍGENAS")</f>
        <v>INDÍGENAS</v>
      </c>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v>1179368.0</v>
      </c>
    </row>
    <row r="521" ht="15.75" customHeight="1">
      <c r="A521" s="111" t="s">
        <v>605</v>
      </c>
      <c r="B521" s="83" t="s">
        <v>2180</v>
      </c>
      <c r="C521" s="83" t="s">
        <v>68</v>
      </c>
      <c r="D521" s="112">
        <v>1178223.0</v>
      </c>
      <c r="E521" s="83"/>
      <c r="F521" s="83">
        <v>2.9445213E7</v>
      </c>
      <c r="G521" s="91" t="str">
        <f>IFERROR(__xludf.DUMMYFUNCTION("XLOOKUP(AS521,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KIJETXAWE ZABELÊ - DISTRITO ALDEIA CUMURUXATIBA")</f>
        <v>COLÉGIO ESTADUAL INDÍGENA KIJETXAWE ZABELÊ - DISTRITO ALDEIA CUMURUXATIBA</v>
      </c>
      <c r="H521" s="185" t="s">
        <v>2199</v>
      </c>
      <c r="I521" s="91" t="s">
        <v>2200</v>
      </c>
      <c r="J521" s="83" t="s">
        <v>2201</v>
      </c>
      <c r="K521" s="83" t="s">
        <v>187</v>
      </c>
      <c r="L521" s="83" t="s">
        <v>168</v>
      </c>
      <c r="M521" s="83" t="s">
        <v>169</v>
      </c>
      <c r="N521" s="98" t="s">
        <v>2203</v>
      </c>
      <c r="O521" s="98" t="s">
        <v>155</v>
      </c>
      <c r="P521" s="99" t="str">
        <f>IFERROR(__xludf.DUMMYFUNCTION("IFERROR(VLOOKUP(AS521,IMPORTRANGE(""https://docs.google.com/spreadsheets/d/1juPI-Fb8LD0YtltB2mlGEnp_R3UVu1t3wSFPzgCyHXE/edit?gid=0#gid=0"",""GERAL!A2:C""),3,0),""-"")"),"INDÍGENAS")</f>
        <v>INDÍGENAS</v>
      </c>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v>1178223.0</v>
      </c>
    </row>
    <row r="522" ht="15.75" customHeight="1">
      <c r="A522" s="111" t="s">
        <v>605</v>
      </c>
      <c r="B522" s="83" t="s">
        <v>2180</v>
      </c>
      <c r="C522" s="83" t="s">
        <v>68</v>
      </c>
      <c r="D522" s="112">
        <v>1178127.0</v>
      </c>
      <c r="E522" s="83"/>
      <c r="F522" s="83">
        <v>2.9327059E7</v>
      </c>
      <c r="G522" s="91" t="str">
        <f>IFERROR(__xludf.DUMMYFUNCTION("XLOOKUP(AS522,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DE CORUMBAUZINHO - ALDEIA CORUMBAUZINHO")</f>
        <v>COLÉGIO ESTADUAL INDÍGENA DE CORUMBAUZINHO - ALDEIA CORUMBAUZINHO</v>
      </c>
      <c r="H522" s="185" t="s">
        <v>2207</v>
      </c>
      <c r="I522" s="91" t="s">
        <v>2208</v>
      </c>
      <c r="J522" s="83" t="s">
        <v>149</v>
      </c>
      <c r="K522" s="83" t="s">
        <v>865</v>
      </c>
      <c r="L522" s="83" t="s">
        <v>151</v>
      </c>
      <c r="M522" s="83" t="s">
        <v>169</v>
      </c>
      <c r="N522" s="98" t="s">
        <v>2209</v>
      </c>
      <c r="O522" s="98" t="s">
        <v>155</v>
      </c>
      <c r="P522" s="99" t="str">
        <f>IFERROR(__xludf.DUMMYFUNCTION("IFERROR(VLOOKUP(AS522,IMPORTRANGE(""https://docs.google.com/spreadsheets/d/1juPI-Fb8LD0YtltB2mlGEnp_R3UVu1t3wSFPzgCyHXE/edit?gid=0#gid=0"",""GERAL!A2:C""),3,0),""-"")"),"INDÍGENAS")</f>
        <v>INDÍGENAS</v>
      </c>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v>1178127.0</v>
      </c>
    </row>
    <row r="523" ht="15.75" customHeight="1">
      <c r="A523" s="111" t="s">
        <v>605</v>
      </c>
      <c r="B523" s="83" t="s">
        <v>2180</v>
      </c>
      <c r="C523" s="83" t="s">
        <v>68</v>
      </c>
      <c r="D523" s="112">
        <v>1178128.0</v>
      </c>
      <c r="E523" s="83"/>
      <c r="F523" s="83">
        <v>2.9327229E7</v>
      </c>
      <c r="G523" s="91" t="str">
        <f>IFERROR(__xludf.DUMMYFUNCTION("XLOOKUP(AS523,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INDÍGENA BOM JESUS - ALDEIA INDÍGENA ÁGUAS BELAS")</f>
        <v>COLÉGIO ESTADUAL INDÍGENA BOM JESUS - ALDEIA INDÍGENA ÁGUAS BELAS</v>
      </c>
      <c r="H523" s="185" t="s">
        <v>2213</v>
      </c>
      <c r="I523" s="91" t="s">
        <v>2214</v>
      </c>
      <c r="J523" s="83" t="s">
        <v>149</v>
      </c>
      <c r="K523" s="83" t="s">
        <v>1806</v>
      </c>
      <c r="L523" s="83" t="s">
        <v>151</v>
      </c>
      <c r="M523" s="83" t="s">
        <v>169</v>
      </c>
      <c r="N523" s="98" t="s">
        <v>2217</v>
      </c>
      <c r="O523" s="98" t="s">
        <v>155</v>
      </c>
      <c r="P523" s="99" t="str">
        <f>IFERROR(__xludf.DUMMYFUNCTION("IFERROR(VLOOKUP(AS523,IMPORTRANGE(""https://docs.google.com/spreadsheets/d/1juPI-Fb8LD0YtltB2mlGEnp_R3UVu1t3wSFPzgCyHXE/edit?gid=0#gid=0"",""GERAL!A2:C""),3,0),""-"")"),"INDÍGENAS")</f>
        <v>INDÍGENAS</v>
      </c>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v>1178128.0</v>
      </c>
    </row>
    <row r="524" ht="15.75" customHeight="1">
      <c r="A524" s="111" t="s">
        <v>605</v>
      </c>
      <c r="B524" s="83" t="s">
        <v>2180</v>
      </c>
      <c r="C524" s="83" t="s">
        <v>68</v>
      </c>
      <c r="D524" s="112">
        <v>1179452.0</v>
      </c>
      <c r="E524" s="83"/>
      <c r="F524" s="83">
        <v>2.9467551E7</v>
      </c>
      <c r="G524" s="91" t="str">
        <f>IFERROR(__xludf.DUMMYFUNCTION("XLOOKUP(AS524,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AKSA PATAXO - ALDEIA CRAVEIRO")</f>
        <v>COLÉGIO ESTADUAL INDIGENA AKSA PATAXO - ALDEIA CRAVEIRO</v>
      </c>
      <c r="H524" s="184" t="s">
        <v>2219</v>
      </c>
      <c r="I524" s="91" t="s">
        <v>2221</v>
      </c>
      <c r="J524" s="83" t="s">
        <v>149</v>
      </c>
      <c r="K524" s="83" t="s">
        <v>705</v>
      </c>
      <c r="L524" s="83" t="s">
        <v>168</v>
      </c>
      <c r="M524" s="83" t="s">
        <v>169</v>
      </c>
      <c r="N524" s="98" t="s">
        <v>2222</v>
      </c>
      <c r="O524" s="98" t="s">
        <v>155</v>
      </c>
      <c r="P524" s="99" t="str">
        <f>IFERROR(__xludf.DUMMYFUNCTION("IFERROR(VLOOKUP(AS524,IMPORTRANGE(""https://docs.google.com/spreadsheets/d/1juPI-Fb8LD0YtltB2mlGEnp_R3UVu1t3wSFPzgCyHXE/edit?gid=0#gid=0"",""GERAL!A2:C""),3,0),""-"")"),"INDÍGENAS")</f>
        <v>INDÍGENAS</v>
      </c>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v>1179452.0</v>
      </c>
    </row>
    <row r="525" ht="15.75" customHeight="1">
      <c r="A525" s="111" t="s">
        <v>605</v>
      </c>
      <c r="B525" s="83" t="s">
        <v>2180</v>
      </c>
      <c r="C525" s="83" t="s">
        <v>68</v>
      </c>
      <c r="D525" s="112">
        <v>1178182.0</v>
      </c>
      <c r="E525" s="83"/>
      <c r="F525" s="83">
        <v>2.944053E7</v>
      </c>
      <c r="G525" s="91" t="str">
        <f>IFERROR(__xludf.DUMMYFUNCTION("XLOOKUP(AS525,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VINTE E CINCO DE JULHO - ASSENTAMENTO TRÊS IRMÃOS")</f>
        <v>COLÉGIO ESTADUAL DO CAMPO VINTE E CINCO DE JULHO - ASSENTAMENTO TRÊS IRMÃOS</v>
      </c>
      <c r="H525" s="185" t="s">
        <v>2227</v>
      </c>
      <c r="I525" s="91" t="s">
        <v>2228</v>
      </c>
      <c r="J525" s="83" t="s">
        <v>149</v>
      </c>
      <c r="K525" s="83" t="s">
        <v>1806</v>
      </c>
      <c r="L525" s="83" t="s">
        <v>151</v>
      </c>
      <c r="M525" s="83" t="s">
        <v>169</v>
      </c>
      <c r="N525" s="98" t="s">
        <v>2230</v>
      </c>
      <c r="O525" s="98" t="s">
        <v>155</v>
      </c>
      <c r="P525" s="99" t="str">
        <f>IFERROR(__xludf.DUMMYFUNCTION("IFERROR(VLOOKUP(AS525,IMPORTRANGE(""https://docs.google.com/spreadsheets/d/1juPI-Fb8LD0YtltB2mlGEnp_R3UVu1t3wSFPzgCyHXE/edit?gid=0#gid=0"",""GERAL!A2:C""),3,0),""-"")"),"ASSENTAMENTOS")</f>
        <v>ASSENTAMENTOS</v>
      </c>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v>1178182.0</v>
      </c>
    </row>
    <row r="526" ht="15.75" customHeight="1">
      <c r="A526" s="111" t="s">
        <v>605</v>
      </c>
      <c r="B526" s="83" t="s">
        <v>2180</v>
      </c>
      <c r="C526" s="83" t="s">
        <v>68</v>
      </c>
      <c r="D526" s="112">
        <v>1179686.0</v>
      </c>
      <c r="E526" s="83"/>
      <c r="F526" s="83">
        <v>2.947722E7</v>
      </c>
      <c r="G526" s="91" t="str">
        <f>IFERROR(__xludf.DUMMYFUNCTION("XLOOKUP(AS526,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ANDERSON FRANÇA - ASSENTAMENTO JACI ROCHA - TEMPO INTEGRAL")</f>
        <v>COLÉGIO ESTADUAL DO CAMPO ANDERSON FRANÇA - ASSENTAMENTO JACI ROCHA - TEMPO INTEGRAL</v>
      </c>
      <c r="H526" s="185" t="s">
        <v>2235</v>
      </c>
      <c r="I526" s="91" t="s">
        <v>2236</v>
      </c>
      <c r="J526" s="83" t="s">
        <v>149</v>
      </c>
      <c r="K526" s="83" t="s">
        <v>705</v>
      </c>
      <c r="L526" s="83" t="s">
        <v>151</v>
      </c>
      <c r="M526" s="83" t="s">
        <v>169</v>
      </c>
      <c r="N526" s="98" t="s">
        <v>2238</v>
      </c>
      <c r="O526" s="98" t="s">
        <v>162</v>
      </c>
      <c r="P526" s="99" t="str">
        <f>IFERROR(__xludf.DUMMYFUNCTION("IFERROR(VLOOKUP(AS526,IMPORTRANGE(""https://docs.google.com/spreadsheets/d/1juPI-Fb8LD0YtltB2mlGEnp_R3UVu1t3wSFPzgCyHXE/edit?gid=0#gid=0"",""GERAL!A2:C""),3,0),""-"")"),"ASSENTAMENTOS")</f>
        <v>ASSENTAMENTOS</v>
      </c>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v>1179686.0</v>
      </c>
    </row>
    <row r="527" ht="15.75" customHeight="1">
      <c r="A527" s="111" t="s">
        <v>605</v>
      </c>
      <c r="B527" s="83" t="s">
        <v>2180</v>
      </c>
      <c r="C527" s="83" t="s">
        <v>68</v>
      </c>
      <c r="D527" s="112">
        <v>1113749.0</v>
      </c>
      <c r="E527" s="83"/>
      <c r="F527" s="83">
        <v>2.9327202E7</v>
      </c>
      <c r="G527" s="91" t="str">
        <f>IFERROR(__xludf.DUMMYFUNCTION("XLOOKUP(AS527,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HOMERO PIRES")</f>
        <v>COLÉGIO ESTADUAL DE TEMPO INTEGRAL HOMERO PIRES</v>
      </c>
      <c r="H527" s="119" t="s">
        <v>2243</v>
      </c>
      <c r="I527" s="108" t="s">
        <v>2244</v>
      </c>
      <c r="J527" s="83" t="s">
        <v>149</v>
      </c>
      <c r="K527" s="83" t="s">
        <v>150</v>
      </c>
      <c r="L527" s="83" t="s">
        <v>151</v>
      </c>
      <c r="M527" s="83" t="s">
        <v>230</v>
      </c>
      <c r="N527" s="98" t="s">
        <v>2246</v>
      </c>
      <c r="O527" s="98" t="s">
        <v>162</v>
      </c>
      <c r="P527" s="99" t="str">
        <f>IFERROR(__xludf.DUMMYFUNCTION("IFERROR(VLOOKUP(AS527,IMPORTRANGE(""https://docs.google.com/spreadsheets/d/1juPI-Fb8LD0YtltB2mlGEnp_R3UVu1t3wSFPzgCyHXE/edit?gid=0#gid=0"",""GERAL!A2:C""),3,0),""-"")"),"-")</f>
        <v>-</v>
      </c>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v>1113749.0</v>
      </c>
    </row>
    <row r="528" ht="15.75" customHeight="1">
      <c r="A528" s="111" t="s">
        <v>605</v>
      </c>
      <c r="B528" s="83" t="s">
        <v>2180</v>
      </c>
      <c r="C528" s="83" t="s">
        <v>164</v>
      </c>
      <c r="D528" s="112">
        <v>1179368.0</v>
      </c>
      <c r="E528" s="83">
        <v>1179688.0</v>
      </c>
      <c r="F528" s="83"/>
      <c r="G528" s="91" t="str">
        <f>IFERROR(__xludf.DUMMYFUNCTION("XLOOKUP(AS528,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TANARA PATAXÓ PEQUI/GURITA - ALDEIA MUCUGÊ")</f>
        <v>ANEXO - COLÉGIO ESTADUAL INDÍGENA TANARA PATAXÓ PEQUI/GURITA - ALDEIA MUCUGÊ</v>
      </c>
      <c r="H528" s="290" t="s">
        <v>2251</v>
      </c>
      <c r="I528" s="91" t="s">
        <v>2252</v>
      </c>
      <c r="J528" s="172" t="s">
        <v>2254</v>
      </c>
      <c r="K528" s="83" t="s">
        <v>464</v>
      </c>
      <c r="L528" s="83" t="s">
        <v>168</v>
      </c>
      <c r="M528" s="83" t="s">
        <v>169</v>
      </c>
      <c r="N528" s="115" t="s">
        <v>170</v>
      </c>
      <c r="O528" s="98" t="s">
        <v>155</v>
      </c>
      <c r="P528" s="99" t="str">
        <f>IFERROR(__xludf.DUMMYFUNCTION("IFERROR(VLOOKUP(AS528,IMPORTRANGE(""https://docs.google.com/spreadsheets/d/1juPI-Fb8LD0YtltB2mlGEnp_R3UVu1t3wSFPzgCyHXE/edit?gid=0#gid=0"",""GERAL!A2:C""),3,0),""-"")"),"INDÍGENAS")</f>
        <v>INDÍGENAS</v>
      </c>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v>1179688.0</v>
      </c>
    </row>
    <row r="529" ht="15.75" customHeight="1">
      <c r="A529" s="111" t="s">
        <v>605</v>
      </c>
      <c r="B529" s="83" t="s">
        <v>2180</v>
      </c>
      <c r="C529" s="83" t="s">
        <v>164</v>
      </c>
      <c r="D529" s="112">
        <v>1179368.0</v>
      </c>
      <c r="E529" s="83">
        <v>1179691.0</v>
      </c>
      <c r="F529" s="83"/>
      <c r="G529" s="91" t="str">
        <f>IFERROR(__xludf.DUMMYFUNCTION("XLOOKUP(AS529,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TANARA PATAXÓ PEQUI/GURITA - ALDEIA GURITA")</f>
        <v>ANEXO - COLÉGIO ESTADUAL INDÍGENA TANARA PATAXÓ PEQUI/GURITA - ALDEIA GURITA</v>
      </c>
      <c r="H529" s="185" t="s">
        <v>2259</v>
      </c>
      <c r="I529" s="91" t="s">
        <v>2260</v>
      </c>
      <c r="J529" s="172" t="s">
        <v>2201</v>
      </c>
      <c r="K529" s="83" t="s">
        <v>1012</v>
      </c>
      <c r="L529" s="83" t="s">
        <v>168</v>
      </c>
      <c r="M529" s="83" t="s">
        <v>169</v>
      </c>
      <c r="N529" s="115" t="s">
        <v>170</v>
      </c>
      <c r="O529" s="98" t="s">
        <v>155</v>
      </c>
      <c r="P529" s="99" t="str">
        <f>IFERROR(__xludf.DUMMYFUNCTION("IFERROR(VLOOKUP(AS529,IMPORTRANGE(""https://docs.google.com/spreadsheets/d/1juPI-Fb8LD0YtltB2mlGEnp_R3UVu1t3wSFPzgCyHXE/edit?gid=0#gid=0"",""GERAL!A2:C""),3,0),""-"")"),"INDÍGENAS")</f>
        <v>INDÍGENAS</v>
      </c>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v>1179691.0</v>
      </c>
    </row>
    <row r="530" ht="15.75" customHeight="1">
      <c r="A530" s="111" t="s">
        <v>605</v>
      </c>
      <c r="B530" s="83" t="s">
        <v>2180</v>
      </c>
      <c r="C530" s="83" t="s">
        <v>164</v>
      </c>
      <c r="D530" s="112">
        <v>1178223.0</v>
      </c>
      <c r="E530" s="83">
        <v>1179613.0</v>
      </c>
      <c r="F530" s="83"/>
      <c r="G530" s="91" t="str">
        <f>IFERROR(__xludf.DUMMYFUNCTION("XLOOKUP(AS530,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TIBA")</f>
        <v>ANEXO - COLÉGIO ESTADUAL INDÍGENA KIJETXAWE ZABELÊ - ALDEIA TIBA</v>
      </c>
      <c r="H530" s="185" t="s">
        <v>2267</v>
      </c>
      <c r="I530" s="91" t="s">
        <v>2268</v>
      </c>
      <c r="J530" s="146" t="s">
        <v>149</v>
      </c>
      <c r="K530" s="83" t="s">
        <v>327</v>
      </c>
      <c r="L530" s="83" t="s">
        <v>168</v>
      </c>
      <c r="M530" s="83" t="s">
        <v>169</v>
      </c>
      <c r="N530" s="115" t="s">
        <v>170</v>
      </c>
      <c r="O530" s="98" t="s">
        <v>155</v>
      </c>
      <c r="P530" s="99" t="str">
        <f>IFERROR(__xludf.DUMMYFUNCTION("IFERROR(VLOOKUP(AS530,IMPORTRANGE(""https://docs.google.com/spreadsheets/d/1juPI-Fb8LD0YtltB2mlGEnp_R3UVu1t3wSFPzgCyHXE/edit?gid=0#gid=0"",""GERAL!A2:C""),3,0),""-"")"),"INDÍGENAS")</f>
        <v>INDÍGENAS</v>
      </c>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v>1179613.0</v>
      </c>
    </row>
    <row r="531" ht="15.75" customHeight="1">
      <c r="A531" s="111" t="s">
        <v>605</v>
      </c>
      <c r="B531" s="83" t="s">
        <v>2180</v>
      </c>
      <c r="C531" s="83" t="s">
        <v>164</v>
      </c>
      <c r="D531" s="112">
        <v>1178223.0</v>
      </c>
      <c r="E531" s="83">
        <v>1179611.0</v>
      </c>
      <c r="F531" s="83"/>
      <c r="G531" s="91" t="str">
        <f>IFERROR(__xludf.DUMMYFUNCTION("XLOOKUP(AS531,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RENASCER")</f>
        <v>ANEXO - COLÉGIO ESTADUAL INDÍGENA KIJETXAWE ZABELÊ - ALDEIA RENASCER</v>
      </c>
      <c r="H531" s="185" t="s">
        <v>2272</v>
      </c>
      <c r="I531" s="91" t="s">
        <v>2273</v>
      </c>
      <c r="J531" s="83" t="s">
        <v>149</v>
      </c>
      <c r="K531" s="83" t="s">
        <v>664</v>
      </c>
      <c r="L531" s="83" t="s">
        <v>168</v>
      </c>
      <c r="M531" s="83" t="s">
        <v>169</v>
      </c>
      <c r="N531" s="115" t="s">
        <v>170</v>
      </c>
      <c r="O531" s="98" t="s">
        <v>155</v>
      </c>
      <c r="P531" s="99" t="str">
        <f>IFERROR(__xludf.DUMMYFUNCTION("IFERROR(VLOOKUP(AS531,IMPORTRANGE(""https://docs.google.com/spreadsheets/d/1juPI-Fb8LD0YtltB2mlGEnp_R3UVu1t3wSFPzgCyHXE/edit?gid=0#gid=0"",""GERAL!A2:C""),3,0),""-"")"),"INDÍGENAS")</f>
        <v>INDÍGENAS</v>
      </c>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v>1179611.0</v>
      </c>
    </row>
    <row r="532" ht="15.75" customHeight="1">
      <c r="A532" s="111" t="s">
        <v>605</v>
      </c>
      <c r="B532" s="83" t="s">
        <v>2180</v>
      </c>
      <c r="C532" s="83" t="s">
        <v>164</v>
      </c>
      <c r="D532" s="112">
        <v>1178223.0</v>
      </c>
      <c r="E532" s="83">
        <v>1179616.0</v>
      </c>
      <c r="F532" s="83"/>
      <c r="G532" s="91" t="str">
        <f>IFERROR(__xludf.DUMMYFUNCTION("XLOOKUP(AS532,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MONTE DOURADO")</f>
        <v>ANEXO - COLÉGIO ESTADUAL INDÍGENA KIJETXAWE ZABELÊ - ALDEIA MONTE DOURADO</v>
      </c>
      <c r="H532" s="185" t="s">
        <v>2280</v>
      </c>
      <c r="I532" s="91" t="s">
        <v>2281</v>
      </c>
      <c r="J532" s="83" t="s">
        <v>149</v>
      </c>
      <c r="K532" s="83" t="s">
        <v>672</v>
      </c>
      <c r="L532" s="83" t="s">
        <v>168</v>
      </c>
      <c r="M532" s="83" t="s">
        <v>169</v>
      </c>
      <c r="N532" s="115" t="s">
        <v>170</v>
      </c>
      <c r="O532" s="98" t="s">
        <v>155</v>
      </c>
      <c r="P532" s="99" t="str">
        <f>IFERROR(__xludf.DUMMYFUNCTION("IFERROR(VLOOKUP(AS532,IMPORTRANGE(""https://docs.google.com/spreadsheets/d/1juPI-Fb8LD0YtltB2mlGEnp_R3UVu1t3wSFPzgCyHXE/edit?gid=0#gid=0"",""GERAL!A2:C""),3,0),""-"")"),"INDÍGENAS")</f>
        <v>INDÍGENAS</v>
      </c>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v>1179616.0</v>
      </c>
    </row>
    <row r="533" ht="15.75" customHeight="1">
      <c r="A533" s="111" t="s">
        <v>605</v>
      </c>
      <c r="B533" s="83" t="s">
        <v>2180</v>
      </c>
      <c r="C533" s="83" t="s">
        <v>164</v>
      </c>
      <c r="D533" s="112">
        <v>1178223.0</v>
      </c>
      <c r="E533" s="83">
        <v>1179614.0</v>
      </c>
      <c r="F533" s="83"/>
      <c r="G533" s="91" t="str">
        <f>IFERROR(__xludf.DUMMYFUNCTION("XLOOKUP(AS533,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KAI")</f>
        <v>ANEXO - COLÉGIO ESTADUAL INDÍGENA KIJETXAWE ZABELÊ - ALDEIA KAI</v>
      </c>
      <c r="H533" s="185" t="s">
        <v>2285</v>
      </c>
      <c r="I533" s="91" t="s">
        <v>2286</v>
      </c>
      <c r="J533" s="83" t="s">
        <v>149</v>
      </c>
      <c r="K533" s="83" t="s">
        <v>1645</v>
      </c>
      <c r="L533" s="83" t="s">
        <v>168</v>
      </c>
      <c r="M533" s="83" t="s">
        <v>169</v>
      </c>
      <c r="N533" s="115" t="s">
        <v>170</v>
      </c>
      <c r="O533" s="98" t="s">
        <v>155</v>
      </c>
      <c r="P533" s="99" t="str">
        <f>IFERROR(__xludf.DUMMYFUNCTION("IFERROR(VLOOKUP(AS533,IMPORTRANGE(""https://docs.google.com/spreadsheets/d/1juPI-Fb8LD0YtltB2mlGEnp_R3UVu1t3wSFPzgCyHXE/edit?gid=0#gid=0"",""GERAL!A2:C""),3,0),""-"")"),"INDÍGENAS")</f>
        <v>INDÍGENAS</v>
      </c>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v>1179614.0</v>
      </c>
    </row>
    <row r="534" ht="15.75" customHeight="1">
      <c r="A534" s="111" t="s">
        <v>605</v>
      </c>
      <c r="B534" s="83" t="s">
        <v>2180</v>
      </c>
      <c r="C534" s="83" t="s">
        <v>164</v>
      </c>
      <c r="D534" s="112">
        <v>1178223.0</v>
      </c>
      <c r="E534" s="83">
        <v>1179612.0</v>
      </c>
      <c r="F534" s="83"/>
      <c r="G534" s="91" t="str">
        <f>IFERROR(__xludf.DUMMYFUNCTION("XLOOKUP(AS534,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DOIS IRMÃOS")</f>
        <v>ANEXO - COLÉGIO ESTADUAL INDÍGENA KIJETXAWE ZABELÊ - ALDEIA DOIS IRMÃOS</v>
      </c>
      <c r="H534" s="185" t="s">
        <v>2290</v>
      </c>
      <c r="I534" s="91" t="s">
        <v>2291</v>
      </c>
      <c r="J534" s="83" t="s">
        <v>149</v>
      </c>
      <c r="K534" s="83" t="s">
        <v>1645</v>
      </c>
      <c r="L534" s="83" t="s">
        <v>168</v>
      </c>
      <c r="M534" s="83" t="s">
        <v>169</v>
      </c>
      <c r="N534" s="115" t="s">
        <v>170</v>
      </c>
      <c r="O534" s="98" t="s">
        <v>155</v>
      </c>
      <c r="P534" s="99" t="str">
        <f>IFERROR(__xludf.DUMMYFUNCTION("IFERROR(VLOOKUP(AS534,IMPORTRANGE(""https://docs.google.com/spreadsheets/d/1juPI-Fb8LD0YtltB2mlGEnp_R3UVu1t3wSFPzgCyHXE/edit?gid=0#gid=0"",""GERAL!A2:C""),3,0),""-"")"),"INDÍGENAS")</f>
        <v>INDÍGENAS</v>
      </c>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v>1179612.0</v>
      </c>
    </row>
    <row r="535" ht="15.75" customHeight="1">
      <c r="A535" s="111" t="s">
        <v>605</v>
      </c>
      <c r="B535" s="83" t="s">
        <v>2180</v>
      </c>
      <c r="C535" s="83" t="s">
        <v>164</v>
      </c>
      <c r="D535" s="112">
        <v>1178223.0</v>
      </c>
      <c r="E535" s="83">
        <v>1179615.0</v>
      </c>
      <c r="F535" s="83"/>
      <c r="G535" s="91" t="str">
        <f>IFERROR(__xludf.DUMMYFUNCTION("XLOOKUP(AS535,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INDÍGENA KIJETXAWE ZABELÊ - ALDEIA ALEGRIA NOVA")</f>
        <v>ANEXO - COLÉGIO ESTADUAL INDÍGENA KIJETXAWE ZABELÊ - ALDEIA ALEGRIA NOVA</v>
      </c>
      <c r="H535" s="185" t="s">
        <v>2293</v>
      </c>
      <c r="I535" s="91" t="s">
        <v>2294</v>
      </c>
      <c r="J535" s="83" t="s">
        <v>149</v>
      </c>
      <c r="K535" s="83" t="s">
        <v>222</v>
      </c>
      <c r="L535" s="83" t="s">
        <v>168</v>
      </c>
      <c r="M535" s="83" t="s">
        <v>169</v>
      </c>
      <c r="N535" s="115" t="s">
        <v>170</v>
      </c>
      <c r="O535" s="98" t="s">
        <v>155</v>
      </c>
      <c r="P535" s="99" t="str">
        <f>IFERROR(__xludf.DUMMYFUNCTION("IFERROR(VLOOKUP(AS535,IMPORTRANGE(""https://docs.google.com/spreadsheets/d/1juPI-Fb8LD0YtltB2mlGEnp_R3UVu1t3wSFPzgCyHXE/edit?gid=0#gid=0"",""GERAL!A2:C""),3,0),""-"")"),"INDÍGENAS")</f>
        <v>INDÍGENAS</v>
      </c>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v>1179615.0</v>
      </c>
    </row>
    <row r="536" ht="15.75" customHeight="1">
      <c r="A536" s="111" t="s">
        <v>605</v>
      </c>
      <c r="B536" s="83" t="s">
        <v>2296</v>
      </c>
      <c r="C536" s="83" t="s">
        <v>68</v>
      </c>
      <c r="D536" s="112">
        <v>1176218.0</v>
      </c>
      <c r="E536" s="83"/>
      <c r="F536" s="83">
        <v>2.9327695E7</v>
      </c>
      <c r="G536" s="91" t="str">
        <f>IFERROR(__xludf.DUMMYFUNCTION("XLOOKUP(AS536,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RÔMULO GALVÃO - MONTE CASTELO - TEMPO INTEGRAL")</f>
        <v>COLÉGIO ESTADUAL PROFESSOR RÔMULO GALVÃO - MONTE CASTELO - TEMPO INTEGRAL</v>
      </c>
      <c r="H536" s="185" t="s">
        <v>2299</v>
      </c>
      <c r="I536" s="91" t="s">
        <v>2300</v>
      </c>
      <c r="J536" s="172" t="s">
        <v>2301</v>
      </c>
      <c r="K536" s="83" t="s">
        <v>150</v>
      </c>
      <c r="L536" s="83" t="s">
        <v>151</v>
      </c>
      <c r="M536" s="83" t="s">
        <v>152</v>
      </c>
      <c r="N536" s="137" t="s">
        <v>2303</v>
      </c>
      <c r="O536" s="98" t="s">
        <v>155</v>
      </c>
      <c r="P536" s="99" t="str">
        <f>IFERROR(__xludf.DUMMYFUNCTION("IFERROR(VLOOKUP(AS536,IMPORTRANGE(""https://docs.google.com/spreadsheets/d/1juPI-Fb8LD0YtltB2mlGEnp_R3UVu1t3wSFPzgCyHXE/edit?gid=0#gid=0"",""GERAL!A2:C""),3,0),""-"")"),"-")</f>
        <v>-</v>
      </c>
      <c r="Q536" s="101" t="s">
        <v>156</v>
      </c>
      <c r="R536" s="98">
        <v>13.0</v>
      </c>
      <c r="S536" s="98">
        <v>0.0</v>
      </c>
      <c r="T536" s="98">
        <v>1.0</v>
      </c>
      <c r="U536" s="98">
        <v>1.0</v>
      </c>
      <c r="V536" s="98">
        <v>1.0</v>
      </c>
      <c r="W536" s="98">
        <v>0.0</v>
      </c>
      <c r="X536" s="98">
        <v>1.0</v>
      </c>
      <c r="Y536" s="98">
        <v>0.0</v>
      </c>
      <c r="Z536" s="98">
        <v>0.0</v>
      </c>
      <c r="AA536" s="98">
        <v>1.0</v>
      </c>
      <c r="AB536" s="98">
        <v>0.0</v>
      </c>
      <c r="AC536" s="98">
        <v>1.0</v>
      </c>
      <c r="AD536" s="98">
        <v>0.0</v>
      </c>
      <c r="AE536" s="98">
        <v>0.0</v>
      </c>
      <c r="AF536" s="98">
        <v>0.0</v>
      </c>
      <c r="AG536" s="98">
        <v>1.0</v>
      </c>
      <c r="AH536" s="98">
        <v>0.0</v>
      </c>
      <c r="AI536" s="98">
        <v>0.0</v>
      </c>
      <c r="AJ536" s="98">
        <v>0.0</v>
      </c>
      <c r="AK536" s="98">
        <v>0.0</v>
      </c>
      <c r="AL536" s="98">
        <v>0.0</v>
      </c>
      <c r="AM536" s="98">
        <v>0.0</v>
      </c>
      <c r="AN536" s="98">
        <v>0.0</v>
      </c>
      <c r="AO536" s="98">
        <v>0.0</v>
      </c>
      <c r="AP536" s="98">
        <v>0.0</v>
      </c>
      <c r="AQ536" s="83"/>
      <c r="AR536" s="102">
        <v>46231.0</v>
      </c>
      <c r="AS536" s="83">
        <v>1176218.0</v>
      </c>
    </row>
    <row r="537" ht="15.75" customHeight="1">
      <c r="A537" s="111" t="s">
        <v>605</v>
      </c>
      <c r="B537" s="83" t="s">
        <v>2296</v>
      </c>
      <c r="C537" s="83" t="s">
        <v>68</v>
      </c>
      <c r="D537" s="112">
        <v>1176217.0</v>
      </c>
      <c r="E537" s="83"/>
      <c r="F537" s="83">
        <v>2.9368219E7</v>
      </c>
      <c r="G537" s="91" t="str">
        <f>IFERROR(__xludf.DUMMYFUNCTION("XLOOKUP(AS537,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MACHADO DE ASSIS")</f>
        <v>COLÉGIO ESTADUAL MACHADO DE ASSIS</v>
      </c>
      <c r="H537" s="185" t="s">
        <v>2313</v>
      </c>
      <c r="I537" s="91" t="s">
        <v>2314</v>
      </c>
      <c r="J537" s="172" t="s">
        <v>2315</v>
      </c>
      <c r="K537" s="83" t="s">
        <v>150</v>
      </c>
      <c r="L537" s="83" t="s">
        <v>151</v>
      </c>
      <c r="M537" s="98" t="s">
        <v>1391</v>
      </c>
      <c r="N537" s="195" t="s">
        <v>2316</v>
      </c>
      <c r="O537" s="98" t="s">
        <v>155</v>
      </c>
      <c r="P537" s="99" t="str">
        <f>IFERROR(__xludf.DUMMYFUNCTION("IFERROR(VLOOKUP(AS537,IMPORTRANGE(""https://docs.google.com/spreadsheets/d/1juPI-Fb8LD0YtltB2mlGEnp_R3UVu1t3wSFPzgCyHXE/edit?gid=0#gid=0"",""GERAL!A2:C""),3,0),""-"")"),"-")</f>
        <v>-</v>
      </c>
      <c r="Q537" s="101" t="s">
        <v>156</v>
      </c>
      <c r="R537" s="98">
        <v>19.0</v>
      </c>
      <c r="S537" s="98">
        <v>0.0</v>
      </c>
      <c r="T537" s="98">
        <v>0.0</v>
      </c>
      <c r="U537" s="98">
        <v>1.0</v>
      </c>
      <c r="V537" s="98">
        <v>1.0</v>
      </c>
      <c r="W537" s="98">
        <v>0.0</v>
      </c>
      <c r="X537" s="98">
        <v>0.0</v>
      </c>
      <c r="Y537" s="98">
        <v>0.0</v>
      </c>
      <c r="Z537" s="98">
        <v>0.0</v>
      </c>
      <c r="AA537" s="98">
        <v>0.0</v>
      </c>
      <c r="AB537" s="98">
        <v>0.0</v>
      </c>
      <c r="AC537" s="98">
        <v>0.0</v>
      </c>
      <c r="AD537" s="98">
        <v>0.0</v>
      </c>
      <c r="AE537" s="98">
        <v>0.0</v>
      </c>
      <c r="AF537" s="98">
        <v>0.0</v>
      </c>
      <c r="AG537" s="98">
        <v>1.0</v>
      </c>
      <c r="AH537" s="98">
        <v>0.0</v>
      </c>
      <c r="AI537" s="98">
        <v>0.0</v>
      </c>
      <c r="AJ537" s="98">
        <v>0.0</v>
      </c>
      <c r="AK537" s="98">
        <v>0.0</v>
      </c>
      <c r="AL537" s="98">
        <v>0.0</v>
      </c>
      <c r="AM537" s="98">
        <v>0.0</v>
      </c>
      <c r="AN537" s="98">
        <v>0.0</v>
      </c>
      <c r="AO537" s="98">
        <v>0.0</v>
      </c>
      <c r="AP537" s="98">
        <v>2.0</v>
      </c>
      <c r="AQ537" s="98" t="s">
        <v>1141</v>
      </c>
      <c r="AR537" s="102">
        <v>46231.0</v>
      </c>
      <c r="AS537" s="83">
        <v>1176217.0</v>
      </c>
    </row>
    <row r="538" ht="15.75" customHeight="1">
      <c r="A538" s="111" t="s">
        <v>605</v>
      </c>
      <c r="B538" s="83" t="s">
        <v>2296</v>
      </c>
      <c r="C538" s="83" t="s">
        <v>68</v>
      </c>
      <c r="D538" s="112">
        <v>1113684.0</v>
      </c>
      <c r="E538" s="83"/>
      <c r="F538" s="83">
        <v>2.9327911E7</v>
      </c>
      <c r="G538" s="91" t="str">
        <f>IFERROR(__xludf.DUMMYFUNCTION("XLOOKUP(AS538,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HENRIQUE BRITO - TEMPO INTEGRAL")</f>
        <v>COLÉGIO ESTADUAL HENRIQUE BRITO - TEMPO INTEGRAL</v>
      </c>
      <c r="H538" s="185" t="s">
        <v>2325</v>
      </c>
      <c r="I538" s="91" t="s">
        <v>2326</v>
      </c>
      <c r="J538" s="83" t="s">
        <v>2327</v>
      </c>
      <c r="K538" s="83" t="s">
        <v>150</v>
      </c>
      <c r="L538" s="83" t="s">
        <v>151</v>
      </c>
      <c r="M538" s="83" t="s">
        <v>152</v>
      </c>
      <c r="N538" s="98" t="s">
        <v>2329</v>
      </c>
      <c r="O538" s="98" t="s">
        <v>155</v>
      </c>
      <c r="P538" s="99" t="str">
        <f>IFERROR(__xludf.DUMMYFUNCTION("IFERROR(VLOOKUP(AS538,IMPORTRANGE(""https://docs.google.com/spreadsheets/d/1juPI-Fb8LD0YtltB2mlGEnp_R3UVu1t3wSFPzgCyHXE/edit?gid=0#gid=0"",""GERAL!A2:C""),3,0),""-"")"),"-")</f>
        <v>-</v>
      </c>
      <c r="Q538" s="101" t="s">
        <v>156</v>
      </c>
      <c r="R538" s="98">
        <v>8.0</v>
      </c>
      <c r="S538" s="98">
        <v>1.0</v>
      </c>
      <c r="T538" s="98">
        <v>1.0</v>
      </c>
      <c r="U538" s="98">
        <v>0.0</v>
      </c>
      <c r="V538" s="98">
        <v>0.0</v>
      </c>
      <c r="W538" s="98">
        <v>0.0</v>
      </c>
      <c r="X538" s="98">
        <v>0.0</v>
      </c>
      <c r="Y538" s="98">
        <v>0.0</v>
      </c>
      <c r="Z538" s="98">
        <v>0.0</v>
      </c>
      <c r="AA538" s="98">
        <v>0.0</v>
      </c>
      <c r="AB538" s="98">
        <v>0.0</v>
      </c>
      <c r="AC538" s="98">
        <v>0.0</v>
      </c>
      <c r="AD538" s="98">
        <v>0.0</v>
      </c>
      <c r="AE538" s="98">
        <v>0.0</v>
      </c>
      <c r="AF538" s="98">
        <v>0.0</v>
      </c>
      <c r="AG538" s="98">
        <v>1.0</v>
      </c>
      <c r="AH538" s="98">
        <v>0.0</v>
      </c>
      <c r="AI538" s="98">
        <v>0.0</v>
      </c>
      <c r="AJ538" s="98">
        <v>0.0</v>
      </c>
      <c r="AK538" s="98">
        <v>0.0</v>
      </c>
      <c r="AL538" s="98">
        <v>0.0</v>
      </c>
      <c r="AM538" s="98">
        <v>0.0</v>
      </c>
      <c r="AN538" s="98">
        <v>0.0</v>
      </c>
      <c r="AO538" s="98">
        <v>0.0</v>
      </c>
      <c r="AP538" s="98">
        <v>2.0</v>
      </c>
      <c r="AQ538" s="98" t="s">
        <v>638</v>
      </c>
      <c r="AR538" s="102">
        <v>46231.0</v>
      </c>
      <c r="AS538" s="83">
        <v>1113684.0</v>
      </c>
    </row>
    <row r="539" ht="15.75" customHeight="1">
      <c r="A539" s="111" t="s">
        <v>605</v>
      </c>
      <c r="B539" s="83" t="s">
        <v>2296</v>
      </c>
      <c r="C539" s="83" t="s">
        <v>68</v>
      </c>
      <c r="D539" s="112">
        <v>1113846.0</v>
      </c>
      <c r="E539" s="83"/>
      <c r="F539" s="83">
        <v>2.9327792E7</v>
      </c>
      <c r="G539" s="91" t="str">
        <f>IFERROR(__xludf.DUMMYFUNCTION("XLOOKUP(AS539,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RUY BARBOSA")</f>
        <v>COLÉGIO ESTADUAL DE TEMPO INTEGRAL RUY BARBOSA</v>
      </c>
      <c r="H539" s="184" t="s">
        <v>2335</v>
      </c>
      <c r="I539" s="91" t="s">
        <v>2336</v>
      </c>
      <c r="J539" s="83" t="s">
        <v>149</v>
      </c>
      <c r="K539" s="83" t="s">
        <v>150</v>
      </c>
      <c r="L539" s="83" t="s">
        <v>151</v>
      </c>
      <c r="M539" s="83" t="s">
        <v>230</v>
      </c>
      <c r="N539" s="98" t="s">
        <v>2337</v>
      </c>
      <c r="O539" s="98" t="s">
        <v>155</v>
      </c>
      <c r="P539" s="99" t="str">
        <f>IFERROR(__xludf.DUMMYFUNCTION("IFERROR(VLOOKUP(AS539,IMPORTRANGE(""https://docs.google.com/spreadsheets/d/1juPI-Fb8LD0YtltB2mlGEnp_R3UVu1t3wSFPzgCyHXE/edit?gid=0#gid=0"",""GERAL!A2:C""),3,0),""-"")"),"-")</f>
        <v>-</v>
      </c>
      <c r="Q539" s="101" t="s">
        <v>156</v>
      </c>
      <c r="R539" s="98">
        <v>34.0</v>
      </c>
      <c r="S539" s="98">
        <v>2.0</v>
      </c>
      <c r="T539" s="98">
        <v>0.0</v>
      </c>
      <c r="U539" s="98">
        <v>0.0</v>
      </c>
      <c r="V539" s="98">
        <v>1.0</v>
      </c>
      <c r="W539" s="98">
        <v>3.0</v>
      </c>
      <c r="X539" s="98">
        <v>1.0</v>
      </c>
      <c r="Y539" s="98">
        <v>0.0</v>
      </c>
      <c r="Z539" s="98">
        <v>1.0</v>
      </c>
      <c r="AA539" s="98">
        <v>0.0</v>
      </c>
      <c r="AB539" s="98">
        <v>1.0</v>
      </c>
      <c r="AC539" s="98">
        <v>0.0</v>
      </c>
      <c r="AD539" s="98">
        <v>0.0</v>
      </c>
      <c r="AE539" s="98">
        <v>0.0</v>
      </c>
      <c r="AF539" s="98">
        <v>1.0</v>
      </c>
      <c r="AG539" s="98">
        <v>0.0</v>
      </c>
      <c r="AH539" s="98">
        <v>0.0</v>
      </c>
      <c r="AI539" s="98">
        <v>0.0</v>
      </c>
      <c r="AJ539" s="98">
        <v>0.0</v>
      </c>
      <c r="AK539" s="98">
        <v>1.0</v>
      </c>
      <c r="AL539" s="98">
        <v>0.0</v>
      </c>
      <c r="AM539" s="98">
        <v>0.0</v>
      </c>
      <c r="AN539" s="98">
        <v>0.0</v>
      </c>
      <c r="AO539" s="98">
        <v>1.0</v>
      </c>
      <c r="AP539" s="98">
        <v>0.0</v>
      </c>
      <c r="AQ539" s="98" t="s">
        <v>2341</v>
      </c>
      <c r="AR539" s="102">
        <v>46231.0</v>
      </c>
      <c r="AS539" s="83">
        <v>1113846.0</v>
      </c>
    </row>
    <row r="540" ht="15.75" customHeight="1">
      <c r="A540" s="111" t="s">
        <v>605</v>
      </c>
      <c r="B540" s="83" t="s">
        <v>2296</v>
      </c>
      <c r="C540" s="83" t="s">
        <v>68</v>
      </c>
      <c r="D540" s="112">
        <v>1113803.0</v>
      </c>
      <c r="E540" s="83"/>
      <c r="F540" s="83">
        <v>2.9328349E7</v>
      </c>
      <c r="G540" s="91" t="str">
        <f>IFERROR(__xludf.DUMMYFUNCTION("XLOOKUP(AS540,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DA POLÍCIA MILITAR - CPM ANÍSIO TEIXEIRA")</f>
        <v>COLÉGIO DA POLÍCIA MILITAR - CPM ANÍSIO TEIXEIRA</v>
      </c>
      <c r="H540" s="185" t="s">
        <v>2344</v>
      </c>
      <c r="I540" s="91" t="s">
        <v>2345</v>
      </c>
      <c r="J540" s="83" t="s">
        <v>2301</v>
      </c>
      <c r="K540" s="83" t="s">
        <v>150</v>
      </c>
      <c r="L540" s="83" t="s">
        <v>151</v>
      </c>
      <c r="M540" s="83" t="s">
        <v>230</v>
      </c>
      <c r="N540" s="98" t="s">
        <v>2346</v>
      </c>
      <c r="O540" s="98" t="s">
        <v>162</v>
      </c>
      <c r="P540" s="99" t="str">
        <f>IFERROR(__xludf.DUMMYFUNCTION("IFERROR(VLOOKUP(AS540,IMPORTRANGE(""https://docs.google.com/spreadsheets/d/1juPI-Fb8LD0YtltB2mlGEnp_R3UVu1t3wSFPzgCyHXE/edit?gid=0#gid=0"",""GERAL!A2:C""),3,0),""-"")"),"-")</f>
        <v>-</v>
      </c>
      <c r="Q540" s="101" t="s">
        <v>156</v>
      </c>
      <c r="R540" s="98">
        <v>24.0</v>
      </c>
      <c r="S540" s="98">
        <v>0.0</v>
      </c>
      <c r="T540" s="98">
        <v>2.0</v>
      </c>
      <c r="U540" s="98">
        <v>0.0</v>
      </c>
      <c r="V540" s="98">
        <v>1.0</v>
      </c>
      <c r="W540" s="98">
        <v>3.0</v>
      </c>
      <c r="X540" s="98">
        <v>1.0</v>
      </c>
      <c r="Y540" s="98">
        <v>0.0</v>
      </c>
      <c r="Z540" s="98">
        <v>1.0</v>
      </c>
      <c r="AA540" s="98">
        <v>0.0</v>
      </c>
      <c r="AB540" s="98">
        <v>1.0</v>
      </c>
      <c r="AC540" s="98">
        <v>0.0</v>
      </c>
      <c r="AD540" s="98">
        <v>0.0</v>
      </c>
      <c r="AE540" s="98">
        <v>0.0</v>
      </c>
      <c r="AF540" s="98">
        <v>1.0</v>
      </c>
      <c r="AG540" s="98">
        <v>0.0</v>
      </c>
      <c r="AH540" s="98">
        <v>0.0</v>
      </c>
      <c r="AI540" s="98">
        <v>0.0</v>
      </c>
      <c r="AJ540" s="98">
        <v>0.0</v>
      </c>
      <c r="AK540" s="98">
        <v>1.0</v>
      </c>
      <c r="AL540" s="98">
        <v>0.0</v>
      </c>
      <c r="AM540" s="98">
        <v>0.0</v>
      </c>
      <c r="AN540" s="98">
        <v>0.0</v>
      </c>
      <c r="AO540" s="98">
        <v>1.0</v>
      </c>
      <c r="AP540" s="98">
        <v>0.0</v>
      </c>
      <c r="AQ540" s="98" t="s">
        <v>2354</v>
      </c>
      <c r="AR540" s="102">
        <v>46231.0</v>
      </c>
      <c r="AS540" s="83">
        <v>1113803.0</v>
      </c>
    </row>
    <row r="541" ht="15.75" customHeight="1">
      <c r="A541" s="111" t="s">
        <v>605</v>
      </c>
      <c r="B541" s="83" t="s">
        <v>2296</v>
      </c>
      <c r="C541" s="83" t="s">
        <v>68</v>
      </c>
      <c r="D541" s="112">
        <v>1176425.0</v>
      </c>
      <c r="E541" s="146"/>
      <c r="F541" s="83">
        <v>2.9389631E7</v>
      </c>
      <c r="G541" s="91" t="str">
        <f>IFERROR(__xludf.DUMMYFUNCTION("XLOOKUP(AS541,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DO EXTREMO SUL")</f>
        <v>CENTRO TERRITORIAL DE EDUCAÇÃO PROFISSIONAL DO EXTREMO SUL</v>
      </c>
      <c r="H541" s="185" t="s">
        <v>2355</v>
      </c>
      <c r="I541" s="91" t="s">
        <v>2357</v>
      </c>
      <c r="J541" s="83" t="s">
        <v>2358</v>
      </c>
      <c r="K541" s="83" t="s">
        <v>150</v>
      </c>
      <c r="L541" s="83" t="s">
        <v>151</v>
      </c>
      <c r="M541" s="83" t="s">
        <v>230</v>
      </c>
      <c r="N541" s="98" t="s">
        <v>2359</v>
      </c>
      <c r="O541" s="98" t="s">
        <v>155</v>
      </c>
      <c r="P541" s="99" t="str">
        <f>IFERROR(__xludf.DUMMYFUNCTION("IFERROR(VLOOKUP(AS541,IMPORTRANGE(""https://docs.google.com/spreadsheets/d/1juPI-Fb8LD0YtltB2mlGEnp_R3UVu1t3wSFPzgCyHXE/edit?gid=0#gid=0"",""GERAL!A2:C""),3,0),""-"")"),"-")</f>
        <v>-</v>
      </c>
      <c r="Q541" s="101" t="s">
        <v>156</v>
      </c>
      <c r="R541" s="98">
        <v>13.0</v>
      </c>
      <c r="S541" s="98">
        <v>1.0</v>
      </c>
      <c r="T541" s="98">
        <v>0.0</v>
      </c>
      <c r="U541" s="98">
        <v>0.0</v>
      </c>
      <c r="V541" s="98">
        <v>2.0</v>
      </c>
      <c r="W541" s="98">
        <v>6.0</v>
      </c>
      <c r="X541" s="98">
        <v>1.0</v>
      </c>
      <c r="Y541" s="98">
        <v>0.0</v>
      </c>
      <c r="Z541" s="98">
        <v>0.0</v>
      </c>
      <c r="AA541" s="98">
        <v>1.0</v>
      </c>
      <c r="AB541" s="98">
        <v>0.0</v>
      </c>
      <c r="AC541" s="98">
        <v>1.0</v>
      </c>
      <c r="AD541" s="98">
        <v>0.0</v>
      </c>
      <c r="AE541" s="98">
        <v>0.0</v>
      </c>
      <c r="AF541" s="98">
        <v>0.0</v>
      </c>
      <c r="AG541" s="98">
        <v>0.0</v>
      </c>
      <c r="AH541" s="98">
        <v>1.0</v>
      </c>
      <c r="AI541" s="98">
        <v>0.0</v>
      </c>
      <c r="AJ541" s="98">
        <v>0.0</v>
      </c>
      <c r="AK541" s="98">
        <v>0.0</v>
      </c>
      <c r="AL541" s="98">
        <v>0.0</v>
      </c>
      <c r="AM541" s="98">
        <v>0.0</v>
      </c>
      <c r="AN541" s="98">
        <v>0.0</v>
      </c>
      <c r="AO541" s="98">
        <v>0.0</v>
      </c>
      <c r="AP541" s="98">
        <v>0.0</v>
      </c>
      <c r="AQ541" s="98" t="s">
        <v>2364</v>
      </c>
      <c r="AR541" s="102">
        <v>46231.0</v>
      </c>
      <c r="AS541" s="83">
        <v>1176425.0</v>
      </c>
    </row>
    <row r="542" ht="15.75" customHeight="1">
      <c r="A542" s="111" t="s">
        <v>605</v>
      </c>
      <c r="B542" s="83" t="s">
        <v>2296</v>
      </c>
      <c r="C542" s="98" t="s">
        <v>68</v>
      </c>
      <c r="D542" s="112">
        <v>1179713.0</v>
      </c>
      <c r="E542" s="83"/>
      <c r="F542" s="83">
        <v>43860.0</v>
      </c>
      <c r="G542" s="91" t="str">
        <f>IFERROR(__xludf.DUMMYFUNCTION("XLOOKUP(AS542,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MÉDIO COM INTERMEDIAÇÃO TECNOLÓGICA - CEMIT EXTREMO SUL")</f>
        <v>CENTRO REGIONAL DE ENSINO MÉDIO COM INTERMEDIAÇÃO TECNOLÓGICA - CEMIT EXTREMO SUL</v>
      </c>
      <c r="H542" s="185" t="s">
        <v>2367</v>
      </c>
      <c r="I542" s="91" t="s">
        <v>2368</v>
      </c>
      <c r="J542" s="83" t="s">
        <v>2369</v>
      </c>
      <c r="K542" s="83" t="s">
        <v>150</v>
      </c>
      <c r="L542" s="83" t="s">
        <v>151</v>
      </c>
      <c r="M542" s="83" t="s">
        <v>76</v>
      </c>
      <c r="N542" s="98" t="s">
        <v>2370</v>
      </c>
      <c r="O542" s="98" t="s">
        <v>155</v>
      </c>
      <c r="P542" s="99" t="str">
        <f>IFERROR(__xludf.DUMMYFUNCTION("IFERROR(VLOOKUP(AS542,IMPORTRANGE(""https://docs.google.com/spreadsheets/d/1juPI-Fb8LD0YtltB2mlGEnp_R3UVu1t3wSFPzgCyHXE/edit?gid=0#gid=0"",""GERAL!A2:C""),3,0),""-"")"),"-")</f>
        <v>-</v>
      </c>
      <c r="Q542" s="98" t="s">
        <v>171</v>
      </c>
      <c r="R542" s="98" t="s">
        <v>171</v>
      </c>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102">
        <v>46231.0</v>
      </c>
      <c r="AS542" s="83">
        <v>1179713.0</v>
      </c>
    </row>
    <row r="543">
      <c r="A543" s="111" t="s">
        <v>605</v>
      </c>
      <c r="B543" s="83" t="s">
        <v>2296</v>
      </c>
      <c r="C543" s="83" t="s">
        <v>164</v>
      </c>
      <c r="D543" s="112">
        <v>1176217.0</v>
      </c>
      <c r="E543" s="83">
        <v>1178564.0</v>
      </c>
      <c r="F543" s="83"/>
      <c r="G543" s="91" t="str">
        <f>IFERROR(__xludf.DUMMYFUNCTION("XLOOKUP(AS543,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MACHADO DE ASSIS - DISTRITO SANTO ANTÔNIO")</f>
        <v>ANEXO - COLÉGIO ESTADUAL MACHADO DE ASSIS - DISTRITO SANTO ANTÔNIO</v>
      </c>
      <c r="H543" s="185" t="s">
        <v>2375</v>
      </c>
      <c r="I543" s="91" t="s">
        <v>2377</v>
      </c>
      <c r="J543" s="83" t="s">
        <v>171</v>
      </c>
      <c r="K543" s="83" t="s">
        <v>187</v>
      </c>
      <c r="L543" s="83" t="s">
        <v>168</v>
      </c>
      <c r="M543" s="83" t="s">
        <v>169</v>
      </c>
      <c r="N543" s="115" t="s">
        <v>170</v>
      </c>
      <c r="O543" s="98" t="s">
        <v>155</v>
      </c>
      <c r="P543" s="99" t="str">
        <f>IFERROR(__xludf.DUMMYFUNCTION("IFERROR(VLOOKUP(AS543,IMPORTRANGE(""https://docs.google.com/spreadsheets/d/1juPI-Fb8LD0YtltB2mlGEnp_R3UVu1t3wSFPzgCyHXE/edit?gid=0#gid=0"",""GERAL!A2:C""),3,0),""-"")"),"CAMPO")</f>
        <v>CAMPO</v>
      </c>
      <c r="Q543" s="98" t="s">
        <v>171</v>
      </c>
      <c r="R543" s="98">
        <v>3.0</v>
      </c>
      <c r="S543" s="98" t="s">
        <v>171</v>
      </c>
      <c r="T543" s="98" t="s">
        <v>171</v>
      </c>
      <c r="U543" s="98" t="s">
        <v>171</v>
      </c>
      <c r="V543" s="98" t="s">
        <v>171</v>
      </c>
      <c r="W543" s="98" t="s">
        <v>171</v>
      </c>
      <c r="X543" s="98" t="s">
        <v>171</v>
      </c>
      <c r="Y543" s="98" t="s">
        <v>171</v>
      </c>
      <c r="Z543" s="98" t="s">
        <v>171</v>
      </c>
      <c r="AA543" s="98" t="s">
        <v>171</v>
      </c>
      <c r="AB543" s="98" t="s">
        <v>171</v>
      </c>
      <c r="AC543" s="98" t="s">
        <v>171</v>
      </c>
      <c r="AD543" s="98" t="s">
        <v>171</v>
      </c>
      <c r="AE543" s="98" t="s">
        <v>171</v>
      </c>
      <c r="AF543" s="98" t="s">
        <v>171</v>
      </c>
      <c r="AG543" s="98" t="s">
        <v>171</v>
      </c>
      <c r="AH543" s="98" t="s">
        <v>171</v>
      </c>
      <c r="AI543" s="98" t="s">
        <v>171</v>
      </c>
      <c r="AJ543" s="98" t="s">
        <v>171</v>
      </c>
      <c r="AK543" s="98" t="s">
        <v>171</v>
      </c>
      <c r="AL543" s="98" t="s">
        <v>171</v>
      </c>
      <c r="AM543" s="98" t="s">
        <v>171</v>
      </c>
      <c r="AN543" s="98" t="s">
        <v>171</v>
      </c>
      <c r="AO543" s="98" t="s">
        <v>171</v>
      </c>
      <c r="AP543" s="98" t="s">
        <v>171</v>
      </c>
      <c r="AQ543" s="98" t="s">
        <v>171</v>
      </c>
      <c r="AR543" s="102">
        <v>46231.0</v>
      </c>
      <c r="AS543" s="83">
        <v>1178564.0</v>
      </c>
    </row>
    <row r="544" ht="15.75" customHeight="1">
      <c r="A544" s="111" t="s">
        <v>605</v>
      </c>
      <c r="B544" s="83" t="s">
        <v>2296</v>
      </c>
      <c r="C544" s="83" t="s">
        <v>164</v>
      </c>
      <c r="D544" s="112">
        <v>1176217.0</v>
      </c>
      <c r="E544" s="83">
        <v>1179393.0</v>
      </c>
      <c r="F544" s="83"/>
      <c r="G544" s="91" t="str">
        <f>IFERROR(__xludf.DUMMYFUNCTION("XLOOKUP(AS544,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MACHADO DE ASSIS - CONJUNTO PENAL DE TEIXEIRA DE FREITAS")</f>
        <v>ANEXO - COLÉGIO ESTADUAL MACHADO DE ASSIS - CONJUNTO PENAL DE TEIXEIRA DE FREITAS</v>
      </c>
      <c r="H544" s="185" t="s">
        <v>2384</v>
      </c>
      <c r="I544" s="91" t="s">
        <v>2385</v>
      </c>
      <c r="J544" s="83" t="s">
        <v>149</v>
      </c>
      <c r="K544" s="83" t="s">
        <v>1741</v>
      </c>
      <c r="L544" s="83" t="s">
        <v>168</v>
      </c>
      <c r="M544" s="83" t="s">
        <v>169</v>
      </c>
      <c r="N544" s="115" t="s">
        <v>170</v>
      </c>
      <c r="O544" s="98" t="s">
        <v>155</v>
      </c>
      <c r="P544" s="99" t="str">
        <f>IFERROR(__xludf.DUMMYFUNCTION("IFERROR(VLOOKUP(AS544,IMPORTRANGE(""https://docs.google.com/spreadsheets/d/1juPI-Fb8LD0YtltB2mlGEnp_R3UVu1t3wSFPzgCyHXE/edit?gid=0#gid=0"",""GERAL!A2:C""),3,0),""-"")"),"-")</f>
        <v>-</v>
      </c>
      <c r="Q544" s="98" t="s">
        <v>171</v>
      </c>
      <c r="R544" s="98">
        <v>5.0</v>
      </c>
      <c r="S544" s="98" t="s">
        <v>171</v>
      </c>
      <c r="T544" s="98" t="s">
        <v>171</v>
      </c>
      <c r="U544" s="98" t="s">
        <v>171</v>
      </c>
      <c r="V544" s="98" t="s">
        <v>171</v>
      </c>
      <c r="W544" s="98" t="s">
        <v>171</v>
      </c>
      <c r="X544" s="98" t="s">
        <v>171</v>
      </c>
      <c r="Y544" s="98" t="s">
        <v>171</v>
      </c>
      <c r="Z544" s="98" t="s">
        <v>171</v>
      </c>
      <c r="AA544" s="98" t="s">
        <v>171</v>
      </c>
      <c r="AB544" s="98" t="s">
        <v>171</v>
      </c>
      <c r="AC544" s="98" t="s">
        <v>171</v>
      </c>
      <c r="AD544" s="98" t="s">
        <v>171</v>
      </c>
      <c r="AE544" s="98" t="s">
        <v>171</v>
      </c>
      <c r="AF544" s="98" t="s">
        <v>171</v>
      </c>
      <c r="AG544" s="98" t="s">
        <v>171</v>
      </c>
      <c r="AH544" s="98" t="s">
        <v>171</v>
      </c>
      <c r="AI544" s="98" t="s">
        <v>171</v>
      </c>
      <c r="AJ544" s="98" t="s">
        <v>171</v>
      </c>
      <c r="AK544" s="98" t="s">
        <v>171</v>
      </c>
      <c r="AL544" s="98" t="s">
        <v>171</v>
      </c>
      <c r="AM544" s="98" t="s">
        <v>171</v>
      </c>
      <c r="AN544" s="98" t="s">
        <v>171</v>
      </c>
      <c r="AO544" s="98" t="s">
        <v>171</v>
      </c>
      <c r="AP544" s="98" t="s">
        <v>171</v>
      </c>
      <c r="AQ544" s="98" t="s">
        <v>171</v>
      </c>
      <c r="AR544" s="102">
        <v>46231.0</v>
      </c>
      <c r="AS544" s="83">
        <v>1179393.0</v>
      </c>
    </row>
    <row r="545" ht="15.75" customHeight="1">
      <c r="A545" s="111" t="s">
        <v>605</v>
      </c>
      <c r="B545" s="83" t="s">
        <v>2296</v>
      </c>
      <c r="C545" s="83" t="s">
        <v>164</v>
      </c>
      <c r="D545" s="112">
        <v>1113846.0</v>
      </c>
      <c r="E545" s="83">
        <v>1178563.0</v>
      </c>
      <c r="F545" s="83"/>
      <c r="G545" s="91" t="str">
        <f>IFERROR(__xludf.DUMMYFUNCTION("XLOOKUP(AS545,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DEMOCRÁTICO RUY BARBOSA DISTRITO DE CACHOEIRA DO MATO")</f>
        <v>ANEXO - COLÉGIO ESTADUAL DEMOCRÁTICO RUY BARBOSA DISTRITO DE CACHOEIRA DO MATO</v>
      </c>
      <c r="H545" s="185" t="s">
        <v>2390</v>
      </c>
      <c r="I545" s="91" t="s">
        <v>2391</v>
      </c>
      <c r="J545" s="83" t="s">
        <v>149</v>
      </c>
      <c r="K545" s="83" t="s">
        <v>183</v>
      </c>
      <c r="L545" s="83" t="s">
        <v>168</v>
      </c>
      <c r="M545" s="83" t="s">
        <v>169</v>
      </c>
      <c r="N545" s="115" t="s">
        <v>170</v>
      </c>
      <c r="O545" s="98" t="s">
        <v>155</v>
      </c>
      <c r="P545" s="99" t="str">
        <f>IFERROR(__xludf.DUMMYFUNCTION("IFERROR(VLOOKUP(AS545,IMPORTRANGE(""https://docs.google.com/spreadsheets/d/1juPI-Fb8LD0YtltB2mlGEnp_R3UVu1t3wSFPzgCyHXE/edit?gid=0#gid=0"",""GERAL!A2:C""),3,0),""-"")"),"CAMPO")</f>
        <v>CAMPO</v>
      </c>
      <c r="Q545" s="98" t="s">
        <v>171</v>
      </c>
      <c r="R545" s="98">
        <v>3.0</v>
      </c>
      <c r="S545" s="98" t="s">
        <v>171</v>
      </c>
      <c r="T545" s="98" t="s">
        <v>171</v>
      </c>
      <c r="U545" s="98" t="s">
        <v>171</v>
      </c>
      <c r="V545" s="98" t="s">
        <v>171</v>
      </c>
      <c r="W545" s="98" t="s">
        <v>171</v>
      </c>
      <c r="X545" s="98" t="s">
        <v>171</v>
      </c>
      <c r="Y545" s="98" t="s">
        <v>171</v>
      </c>
      <c r="Z545" s="98" t="s">
        <v>171</v>
      </c>
      <c r="AA545" s="98" t="s">
        <v>171</v>
      </c>
      <c r="AB545" s="98" t="s">
        <v>171</v>
      </c>
      <c r="AC545" s="98" t="s">
        <v>171</v>
      </c>
      <c r="AD545" s="98" t="s">
        <v>171</v>
      </c>
      <c r="AE545" s="98" t="s">
        <v>171</v>
      </c>
      <c r="AF545" s="98" t="s">
        <v>171</v>
      </c>
      <c r="AG545" s="98" t="s">
        <v>171</v>
      </c>
      <c r="AH545" s="98" t="s">
        <v>171</v>
      </c>
      <c r="AI545" s="98" t="s">
        <v>171</v>
      </c>
      <c r="AJ545" s="98" t="s">
        <v>171</v>
      </c>
      <c r="AK545" s="98" t="s">
        <v>171</v>
      </c>
      <c r="AL545" s="98" t="s">
        <v>171</v>
      </c>
      <c r="AM545" s="98" t="s">
        <v>171</v>
      </c>
      <c r="AN545" s="98" t="s">
        <v>171</v>
      </c>
      <c r="AO545" s="98" t="s">
        <v>171</v>
      </c>
      <c r="AP545" s="98" t="s">
        <v>171</v>
      </c>
      <c r="AQ545" s="98" t="s">
        <v>171</v>
      </c>
      <c r="AR545" s="102">
        <v>46231.0</v>
      </c>
      <c r="AS545" s="83">
        <v>1178563.0</v>
      </c>
    </row>
    <row r="546" ht="15.75" customHeight="1">
      <c r="A546" s="111" t="s">
        <v>605</v>
      </c>
      <c r="B546" s="83" t="s">
        <v>2296</v>
      </c>
      <c r="C546" s="83" t="s">
        <v>164</v>
      </c>
      <c r="D546" s="112">
        <v>1113846.0</v>
      </c>
      <c r="E546" s="83">
        <v>1179247.0</v>
      </c>
      <c r="F546" s="83"/>
      <c r="G546" s="91" t="str">
        <f>IFERROR(__xludf.DUMMYFUNCTION("XLOOKUP(AS546,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DEMOCRÁTICO RUY BARBOSA - DISTRITO DE DUQUE DE CAXIAS")</f>
        <v>ANEXO - COLÉGIO ESTADUAL DEMOCRÁTICO RUY BARBOSA - DISTRITO DE DUQUE DE CAXIAS</v>
      </c>
      <c r="H546" s="185" t="s">
        <v>2394</v>
      </c>
      <c r="I546" s="91" t="s">
        <v>2395</v>
      </c>
      <c r="J546" s="83" t="s">
        <v>149</v>
      </c>
      <c r="K546" s="83" t="s">
        <v>767</v>
      </c>
      <c r="L546" s="83" t="s">
        <v>168</v>
      </c>
      <c r="M546" s="83" t="s">
        <v>169</v>
      </c>
      <c r="N546" s="115" t="s">
        <v>170</v>
      </c>
      <c r="O546" s="98" t="s">
        <v>155</v>
      </c>
      <c r="P546" s="99" t="str">
        <f>IFERROR(__xludf.DUMMYFUNCTION("IFERROR(VLOOKUP(AS546,IMPORTRANGE(""https://docs.google.com/spreadsheets/d/1juPI-Fb8LD0YtltB2mlGEnp_R3UVu1t3wSFPzgCyHXE/edit?gid=0#gid=0"",""GERAL!A2:C""),3,0),""-"")"),"CAMPO")</f>
        <v>CAMPO</v>
      </c>
      <c r="Q546" s="98" t="s">
        <v>171</v>
      </c>
      <c r="R546" s="98">
        <v>3.0</v>
      </c>
      <c r="S546" s="98" t="s">
        <v>171</v>
      </c>
      <c r="T546" s="98" t="s">
        <v>171</v>
      </c>
      <c r="U546" s="98" t="s">
        <v>171</v>
      </c>
      <c r="V546" s="98" t="s">
        <v>171</v>
      </c>
      <c r="W546" s="98" t="s">
        <v>171</v>
      </c>
      <c r="X546" s="98" t="s">
        <v>171</v>
      </c>
      <c r="Y546" s="98" t="s">
        <v>171</v>
      </c>
      <c r="Z546" s="98" t="s">
        <v>171</v>
      </c>
      <c r="AA546" s="98" t="s">
        <v>171</v>
      </c>
      <c r="AB546" s="98" t="s">
        <v>171</v>
      </c>
      <c r="AC546" s="98" t="s">
        <v>171</v>
      </c>
      <c r="AD546" s="98" t="s">
        <v>171</v>
      </c>
      <c r="AE546" s="98" t="s">
        <v>171</v>
      </c>
      <c r="AF546" s="98" t="s">
        <v>171</v>
      </c>
      <c r="AG546" s="98" t="s">
        <v>171</v>
      </c>
      <c r="AH546" s="98" t="s">
        <v>171</v>
      </c>
      <c r="AI546" s="98" t="s">
        <v>171</v>
      </c>
      <c r="AJ546" s="98" t="s">
        <v>171</v>
      </c>
      <c r="AK546" s="98" t="s">
        <v>171</v>
      </c>
      <c r="AL546" s="98" t="s">
        <v>171</v>
      </c>
      <c r="AM546" s="98" t="s">
        <v>171</v>
      </c>
      <c r="AN546" s="98" t="s">
        <v>171</v>
      </c>
      <c r="AO546" s="98" t="s">
        <v>171</v>
      </c>
      <c r="AP546" s="98" t="s">
        <v>171</v>
      </c>
      <c r="AQ546" s="98" t="s">
        <v>171</v>
      </c>
      <c r="AR546" s="102">
        <v>46231.0</v>
      </c>
      <c r="AS546" s="83">
        <v>1179247.0</v>
      </c>
    </row>
    <row r="547" ht="15.75" customHeight="1">
      <c r="A547" s="111" t="s">
        <v>605</v>
      </c>
      <c r="B547" s="83" t="s">
        <v>2398</v>
      </c>
      <c r="C547" s="83" t="s">
        <v>68</v>
      </c>
      <c r="D547" s="112">
        <v>1178272.0</v>
      </c>
      <c r="E547" s="83"/>
      <c r="F547" s="83">
        <v>2.9903726E7</v>
      </c>
      <c r="G547" s="91" t="str">
        <f>IFERROR(__xludf.DUMMYFUNCTION("XLOOKUP(AS547,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ODÍLIO ALVES NETO - TEMPO INTEGRAL")</f>
        <v>COLÉGIO ESTADUAL ODÍLIO ALVES NETO - TEMPO INTEGRAL</v>
      </c>
      <c r="H547" s="114" t="s">
        <v>2400</v>
      </c>
      <c r="I547" s="91" t="s">
        <v>2401</v>
      </c>
      <c r="J547" s="136" t="s">
        <v>149</v>
      </c>
      <c r="K547" s="83" t="s">
        <v>150</v>
      </c>
      <c r="L547" s="83" t="s">
        <v>151</v>
      </c>
      <c r="M547" s="83" t="s">
        <v>169</v>
      </c>
      <c r="N547" s="137" t="s">
        <v>2402</v>
      </c>
      <c r="O547" s="98" t="s">
        <v>155</v>
      </c>
      <c r="P547" s="99" t="str">
        <f>IFERROR(__xludf.DUMMYFUNCTION("IFERROR(VLOOKUP(AS547,IMPORTRANGE(""https://docs.google.com/spreadsheets/d/1juPI-Fb8LD0YtltB2mlGEnp_R3UVu1t3wSFPzgCyHXE/edit?gid=0#gid=0"",""GERAL!A2:C""),3,0),""-"")"),"-")</f>
        <v>-</v>
      </c>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v>1178272.0</v>
      </c>
    </row>
    <row r="548" ht="15.75" customHeight="1">
      <c r="A548" s="111" t="s">
        <v>605</v>
      </c>
      <c r="B548" s="83" t="s">
        <v>2398</v>
      </c>
      <c r="C548" s="83" t="s">
        <v>68</v>
      </c>
      <c r="D548" s="112">
        <v>1176142.0</v>
      </c>
      <c r="E548" s="83"/>
      <c r="F548" s="83">
        <v>2.9330041E7</v>
      </c>
      <c r="G548" s="91" t="str">
        <f>IFERROR(__xludf.DUMMYFUNCTION("XLOOKUP(AS548,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FRANCISCO SILVA PASSOS - DISTRITO CRUZEIRO DO SUL")</f>
        <v>COLÉGIO ESTADUAL FRANCISCO SILVA PASSOS - DISTRITO CRUZEIRO DO SUL</v>
      </c>
      <c r="H548" s="114" t="s">
        <v>2407</v>
      </c>
      <c r="I548" s="91" t="s">
        <v>2409</v>
      </c>
      <c r="J548" s="136" t="s">
        <v>149</v>
      </c>
      <c r="K548" s="83" t="s">
        <v>2410</v>
      </c>
      <c r="L548" s="83" t="s">
        <v>151</v>
      </c>
      <c r="M548" s="83" t="s">
        <v>169</v>
      </c>
      <c r="N548" s="195" t="s">
        <v>2411</v>
      </c>
      <c r="O548" s="98" t="s">
        <v>155</v>
      </c>
      <c r="P548" s="99" t="str">
        <f>IFERROR(__xludf.DUMMYFUNCTION("IFERROR(VLOOKUP(AS548,IMPORTRANGE(""https://docs.google.com/spreadsheets/d/1juPI-Fb8LD0YtltB2mlGEnp_R3UVu1t3wSFPzgCyHXE/edit?gid=0#gid=0"",""GERAL!A2:C""),3,0),""-"")"),"CAMPO")</f>
        <v>CAMPO</v>
      </c>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v>1176142.0</v>
      </c>
    </row>
    <row r="549" ht="15.75" customHeight="1">
      <c r="A549" s="111" t="s">
        <v>605</v>
      </c>
      <c r="B549" s="83" t="s">
        <v>2398</v>
      </c>
      <c r="C549" s="83" t="s">
        <v>164</v>
      </c>
      <c r="D549" s="112">
        <v>1179713.0</v>
      </c>
      <c r="E549" s="83">
        <v>1178565.0</v>
      </c>
      <c r="F549" s="83"/>
      <c r="G549" s="91" t="str">
        <f>IFERROR(__xludf.DUMMYFUNCTION("XLOOKUP(AS549,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VILA SUZINHO")</f>
        <v>ANEXO DO CEMIT EXTREMO SUL - VILA SUZINHO</v>
      </c>
      <c r="H549" s="119" t="s">
        <v>2414</v>
      </c>
      <c r="I549" s="91" t="s">
        <v>2415</v>
      </c>
      <c r="J549" s="136" t="s">
        <v>149</v>
      </c>
      <c r="K549" s="83" t="s">
        <v>865</v>
      </c>
      <c r="L549" s="83" t="s">
        <v>168</v>
      </c>
      <c r="M549" s="83" t="s">
        <v>169</v>
      </c>
      <c r="N549" s="115" t="s">
        <v>170</v>
      </c>
      <c r="O549" s="98" t="s">
        <v>155</v>
      </c>
      <c r="P549" s="99" t="str">
        <f>IFERROR(__xludf.DUMMYFUNCTION("IFERROR(VLOOKUP(AS549,IMPORTRANGE(""https://docs.google.com/spreadsheets/d/1juPI-Fb8LD0YtltB2mlGEnp_R3UVu1t3wSFPzgCyHXE/edit?gid=0#gid=0"",""GERAL!A2:C""),3,0),""-"")"),"-")</f>
        <v>-</v>
      </c>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v>1178565.0</v>
      </c>
    </row>
    <row r="550" ht="15.75" customHeight="1">
      <c r="A550" s="111" t="s">
        <v>605</v>
      </c>
      <c r="B550" s="83" t="s">
        <v>2398</v>
      </c>
      <c r="C550" s="83" t="s">
        <v>164</v>
      </c>
      <c r="D550" s="112">
        <v>1179713.0</v>
      </c>
      <c r="E550" s="83">
        <v>1178882.0</v>
      </c>
      <c r="F550" s="83"/>
      <c r="G550" s="91" t="str">
        <f>IFERROR(__xludf.DUMMYFUNCTION("XLOOKUP(AS550,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CEMIT EXTREMO SUL - DISTRITO SÃO JOSÉ DE VEREDA")</f>
        <v>ANEXO DO CEMIT EXTREMO SUL - DISTRITO SÃO JOSÉ DE VEREDA</v>
      </c>
      <c r="H550" s="119" t="s">
        <v>2417</v>
      </c>
      <c r="I550" s="91" t="s">
        <v>2418</v>
      </c>
      <c r="J550" s="136" t="s">
        <v>149</v>
      </c>
      <c r="K550" s="83" t="s">
        <v>694</v>
      </c>
      <c r="L550" s="146" t="s">
        <v>168</v>
      </c>
      <c r="M550" s="83" t="s">
        <v>169</v>
      </c>
      <c r="N550" s="115" t="s">
        <v>170</v>
      </c>
      <c r="O550" s="98" t="s">
        <v>155</v>
      </c>
      <c r="P550" s="99" t="str">
        <f>IFERROR(__xludf.DUMMYFUNCTION("IFERROR(VLOOKUP(AS550,IMPORTRANGE(""https://docs.google.com/spreadsheets/d/1juPI-Fb8LD0YtltB2mlGEnp_R3UVu1t3wSFPzgCyHXE/edit?gid=0#gid=0"",""GERAL!A2:C""),3,0),""-"")"),"-")</f>
        <v>-</v>
      </c>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v>1178882.0</v>
      </c>
    </row>
    <row r="551" ht="15.75" customHeight="1">
      <c r="A551" s="111" t="s">
        <v>605</v>
      </c>
      <c r="B551" s="83" t="s">
        <v>2398</v>
      </c>
      <c r="C551" s="83" t="s">
        <v>164</v>
      </c>
      <c r="D551" s="112">
        <v>1178272.0</v>
      </c>
      <c r="E551" s="83">
        <v>1178566.0</v>
      </c>
      <c r="F551" s="83"/>
      <c r="G551" s="91" t="str">
        <f>IFERROR(__xludf.DUMMYFUNCTION("XLOOKUP(AS551,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ODÍLIO ALVES NETO - DISTRITO MASSARANDUBA")</f>
        <v>ANEXO - COLÉGIO ESTADUAL ODÍLIO ALVES NETO - DISTRITO MASSARANDUBA</v>
      </c>
      <c r="H551" s="114" t="s">
        <v>2421</v>
      </c>
      <c r="I551" s="91" t="s">
        <v>2422</v>
      </c>
      <c r="J551" s="136" t="s">
        <v>2423</v>
      </c>
      <c r="K551" s="83" t="s">
        <v>865</v>
      </c>
      <c r="L551" s="83" t="s">
        <v>151</v>
      </c>
      <c r="M551" s="83" t="s">
        <v>169</v>
      </c>
      <c r="N551" s="115" t="s">
        <v>170</v>
      </c>
      <c r="O551" s="98" t="s">
        <v>155</v>
      </c>
      <c r="P551" s="99" t="str">
        <f>IFERROR(__xludf.DUMMYFUNCTION("IFERROR(VLOOKUP(AS551,IMPORTRANGE(""https://docs.google.com/spreadsheets/d/1juPI-Fb8LD0YtltB2mlGEnp_R3UVu1t3wSFPzgCyHXE/edit?gid=0#gid=0"",""GERAL!A2:C""),3,0),""-"")"),"CAMPO")</f>
        <v>CAMPO</v>
      </c>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v>1178566.0</v>
      </c>
    </row>
    <row r="552" ht="15.75" customHeight="1">
      <c r="A552" s="111" t="s">
        <v>673</v>
      </c>
      <c r="B552" s="83" t="s">
        <v>2425</v>
      </c>
      <c r="C552" s="83" t="s">
        <v>68</v>
      </c>
      <c r="D552" s="112">
        <v>1118449.0</v>
      </c>
      <c r="E552" s="83"/>
      <c r="F552" s="83">
        <v>2.9270545E7</v>
      </c>
      <c r="G552" s="91" t="str">
        <f>IFERROR(__xludf.DUMMYFUNCTION("XLOOKUP(AS552,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GELASIO ALVES DOS SANTOS")</f>
        <v>COLÉGIO ESTADUAL GELASIO ALVES DOS SANTOS</v>
      </c>
      <c r="H552" s="119" t="s">
        <v>2427</v>
      </c>
      <c r="I552" s="91" t="s">
        <v>2429</v>
      </c>
      <c r="J552" s="83" t="s">
        <v>149</v>
      </c>
      <c r="K552" s="83" t="s">
        <v>150</v>
      </c>
      <c r="L552" s="83" t="s">
        <v>151</v>
      </c>
      <c r="M552" s="83" t="s">
        <v>169</v>
      </c>
      <c r="N552" s="98" t="s">
        <v>2430</v>
      </c>
      <c r="O552" s="98" t="s">
        <v>155</v>
      </c>
      <c r="P552" s="99" t="str">
        <f>IFERROR(__xludf.DUMMYFUNCTION("IFERROR(VLOOKUP(AS552,IMPORTRANGE(""https://docs.google.com/spreadsheets/d/1juPI-Fb8LD0YtltB2mlGEnp_R3UVu1t3wSFPzgCyHXE/edit?gid=0#gid=0"",""GERAL!A2:C""),3,0),""-"")"),"-")</f>
        <v>-</v>
      </c>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v>1118449.0</v>
      </c>
    </row>
    <row r="553" ht="15.75" customHeight="1">
      <c r="A553" s="111" t="s">
        <v>673</v>
      </c>
      <c r="B553" s="83" t="s">
        <v>2431</v>
      </c>
      <c r="C553" s="83" t="s">
        <v>68</v>
      </c>
      <c r="D553" s="112">
        <v>1118511.0</v>
      </c>
      <c r="E553" s="83"/>
      <c r="F553" s="83">
        <v>2.9297974E7</v>
      </c>
      <c r="G553" s="91" t="str">
        <f>IFERROR(__xludf.DUMMYFUNCTION("XLOOKUP(AS553,
IMPORTRANGE(""https://docs.google.com/spreadsheets/d/1YM-djuOLXomrZ9W0B4TyIBsVWnXY4EIOFD9HY-qGfv0/edit?usp=sharing"",""GERAL!BG5:BG""),
IMPORTRANGE(""https://docs.google.com/spreadsheets/d/1YM-djuOLXomrZ9W0B4TyIBsVWnXY4EIOFD9HY-qGfv0/edit?u"&amp;"sp=sharing"",""GERAL!G5:G""),
""CÓD. SEC NÃO ENCONTRADO NA PLANILHA DE MATRÍCULA"")"),"CENTRO EDUCACIONAL MONTEIRO LOBATO - TEMPO INTEGRAL")</f>
        <v>CENTRO EDUCACIONAL MONTEIRO LOBATO - TEMPO INTEGRAL</v>
      </c>
      <c r="H553" s="114" t="s">
        <v>2433</v>
      </c>
      <c r="I553" s="91" t="s">
        <v>2434</v>
      </c>
      <c r="J553" s="83" t="s">
        <v>149</v>
      </c>
      <c r="K553" s="83" t="s">
        <v>150</v>
      </c>
      <c r="L553" s="83" t="s">
        <v>2435</v>
      </c>
      <c r="M553" s="83" t="s">
        <v>76</v>
      </c>
      <c r="N553" s="98" t="s">
        <v>2436</v>
      </c>
      <c r="O553" s="98" t="s">
        <v>155</v>
      </c>
      <c r="P553" s="99" t="str">
        <f>IFERROR(__xludf.DUMMYFUNCTION("IFERROR(VLOOKUP(AS553,IMPORTRANGE(""https://docs.google.com/spreadsheets/d/1juPI-Fb8LD0YtltB2mlGEnp_R3UVu1t3wSFPzgCyHXE/edit?gid=0#gid=0"",""GERAL!A2:C""),3,0),""-"")"),"-")</f>
        <v>-</v>
      </c>
      <c r="Q553" s="101" t="s">
        <v>156</v>
      </c>
      <c r="R553" s="98">
        <v>6.0</v>
      </c>
      <c r="S553" s="98">
        <v>0.0</v>
      </c>
      <c r="T553" s="98">
        <v>0.0</v>
      </c>
      <c r="U553" s="98">
        <v>0.0</v>
      </c>
      <c r="V553" s="98">
        <v>1.0</v>
      </c>
      <c r="W553" s="98">
        <v>1.0</v>
      </c>
      <c r="X553" s="98">
        <v>0.0</v>
      </c>
      <c r="Y553" s="98">
        <v>1.0</v>
      </c>
      <c r="Z553" s="98">
        <v>0.0</v>
      </c>
      <c r="AA553" s="98">
        <v>0.0</v>
      </c>
      <c r="AB553" s="98">
        <v>0.0</v>
      </c>
      <c r="AC553" s="98">
        <v>0.0</v>
      </c>
      <c r="AD553" s="98">
        <v>0.0</v>
      </c>
      <c r="AE553" s="98">
        <v>0.0</v>
      </c>
      <c r="AF553" s="98">
        <v>1.0</v>
      </c>
      <c r="AG553" s="98">
        <v>0.0</v>
      </c>
      <c r="AH553" s="98">
        <v>0.0</v>
      </c>
      <c r="AI553" s="98">
        <v>0.0</v>
      </c>
      <c r="AJ553" s="98">
        <v>0.0</v>
      </c>
      <c r="AK553" s="98">
        <v>0.0</v>
      </c>
      <c r="AL553" s="98">
        <v>0.0</v>
      </c>
      <c r="AM553" s="98">
        <v>0.0</v>
      </c>
      <c r="AN553" s="98">
        <v>0.0</v>
      </c>
      <c r="AO553" s="98">
        <v>0.0</v>
      </c>
      <c r="AP553" s="98">
        <v>1.0</v>
      </c>
      <c r="AQ553" s="98" t="s">
        <v>2445</v>
      </c>
      <c r="AR553" s="102">
        <v>46226.0</v>
      </c>
      <c r="AS553" s="83">
        <v>1118511.0</v>
      </c>
    </row>
    <row r="554" ht="15.75" customHeight="1">
      <c r="A554" s="111" t="s">
        <v>673</v>
      </c>
      <c r="B554" s="83" t="s">
        <v>2446</v>
      </c>
      <c r="C554" s="83" t="s">
        <v>68</v>
      </c>
      <c r="D554" s="112">
        <v>1118546.0</v>
      </c>
      <c r="E554" s="83"/>
      <c r="F554" s="83">
        <v>2.9272696E7</v>
      </c>
      <c r="G554" s="91" t="str">
        <f>IFERROR(__xludf.DUMMYFUNCTION("XLOOKUP(AS554,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PAULO FREIRE (ANTIGO DOUTOR MANOEL NOVAES)")</f>
        <v>COLÉGIO ESTADUAL DE TEMPO INTEGRAL PAULO FREIRE (ANTIGO DOUTOR MANOEL NOVAES)</v>
      </c>
      <c r="H554" s="297" t="s">
        <v>2449</v>
      </c>
      <c r="I554" s="91" t="s">
        <v>2450</v>
      </c>
      <c r="J554" s="136" t="s">
        <v>149</v>
      </c>
      <c r="K554" s="83" t="s">
        <v>150</v>
      </c>
      <c r="L554" s="83" t="s">
        <v>151</v>
      </c>
      <c r="M554" s="98" t="s">
        <v>230</v>
      </c>
      <c r="N554" s="98" t="s">
        <v>2452</v>
      </c>
      <c r="O554" s="98" t="s">
        <v>162</v>
      </c>
      <c r="P554" s="99" t="str">
        <f>IFERROR(__xludf.DUMMYFUNCTION("IFERROR(VLOOKUP(AS554,IMPORTRANGE(""https://docs.google.com/spreadsheets/d/1juPI-Fb8LD0YtltB2mlGEnp_R3UVu1t3wSFPzgCyHXE/edit?gid=0#gid=0"",""GERAL!A2:C""),3,0),""-"")"),"-")</f>
        <v>-</v>
      </c>
      <c r="Q554" s="101" t="s">
        <v>156</v>
      </c>
      <c r="R554" s="98">
        <v>10.0</v>
      </c>
      <c r="S554" s="98">
        <v>1.0</v>
      </c>
      <c r="T554" s="98">
        <v>1.0</v>
      </c>
      <c r="U554" s="98">
        <v>1.0</v>
      </c>
      <c r="V554" s="98">
        <v>1.0</v>
      </c>
      <c r="W554" s="98">
        <v>0.0</v>
      </c>
      <c r="X554" s="98">
        <v>1.0</v>
      </c>
      <c r="Y554" s="98">
        <v>0.0</v>
      </c>
      <c r="Z554" s="98">
        <v>1.0</v>
      </c>
      <c r="AA554" s="98">
        <v>0.0</v>
      </c>
      <c r="AB554" s="98">
        <v>1.0</v>
      </c>
      <c r="AC554" s="98">
        <v>0.0</v>
      </c>
      <c r="AD554" s="98">
        <v>0.0</v>
      </c>
      <c r="AE554" s="98">
        <v>0.0</v>
      </c>
      <c r="AF554" s="98">
        <v>1.0</v>
      </c>
      <c r="AG554" s="98">
        <v>0.0</v>
      </c>
      <c r="AH554" s="98">
        <v>0.0</v>
      </c>
      <c r="AI554" s="98">
        <v>0.0</v>
      </c>
      <c r="AJ554" s="98">
        <v>1.0</v>
      </c>
      <c r="AK554" s="98">
        <v>0.0</v>
      </c>
      <c r="AL554" s="98">
        <v>0.0</v>
      </c>
      <c r="AM554" s="98">
        <v>0.0</v>
      </c>
      <c r="AN554" s="98">
        <v>0.0</v>
      </c>
      <c r="AO554" s="98">
        <v>0.0</v>
      </c>
      <c r="AP554" s="98">
        <v>1.0</v>
      </c>
      <c r="AQ554" s="98" t="s">
        <v>2456</v>
      </c>
      <c r="AR554" s="102">
        <v>46237.0</v>
      </c>
      <c r="AS554" s="83">
        <v>1118546.0</v>
      </c>
    </row>
    <row r="555" ht="15.75" customHeight="1">
      <c r="A555" s="111" t="s">
        <v>673</v>
      </c>
      <c r="B555" s="83" t="s">
        <v>2446</v>
      </c>
      <c r="C555" s="83" t="s">
        <v>164</v>
      </c>
      <c r="D555" s="112">
        <v>1118546.0</v>
      </c>
      <c r="E555" s="83">
        <v>1178639.0</v>
      </c>
      <c r="F555" s="83"/>
      <c r="G555" s="91" t="str">
        <f>IFERROR(__xludf.DUMMYFUNCTION("XLOOKUP(AS555,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PAULO FREIRE - DISTRITO IBITUPA")</f>
        <v>ANEXO - COLÉGIO ESTADUAL DE TEMPO INTEGRAL PAULO FREIRE - DISTRITO IBITUPA</v>
      </c>
      <c r="H555" s="119" t="s">
        <v>2458</v>
      </c>
      <c r="I555" s="91" t="s">
        <v>2459</v>
      </c>
      <c r="J555" s="136" t="s">
        <v>2460</v>
      </c>
      <c r="K555" s="83" t="s">
        <v>2461</v>
      </c>
      <c r="L555" s="83" t="s">
        <v>151</v>
      </c>
      <c r="M555" s="83" t="s">
        <v>169</v>
      </c>
      <c r="N555" s="115" t="s">
        <v>170</v>
      </c>
      <c r="O555" s="98" t="s">
        <v>155</v>
      </c>
      <c r="P555" s="99" t="str">
        <f>IFERROR(__xludf.DUMMYFUNCTION("IFERROR(VLOOKUP(AS555,IMPORTRANGE(""https://docs.google.com/spreadsheets/d/1juPI-Fb8LD0YtltB2mlGEnp_R3UVu1t3wSFPzgCyHXE/edit?gid=0#gid=0"",""GERAL!A2:C""),3,0),""-"")"),"CAMPO")</f>
        <v>CAMPO</v>
      </c>
      <c r="Q555" s="98" t="s">
        <v>171</v>
      </c>
      <c r="R555" s="98">
        <v>2.0</v>
      </c>
      <c r="S555" s="98" t="s">
        <v>171</v>
      </c>
      <c r="T555" s="98" t="s">
        <v>171</v>
      </c>
      <c r="U555" s="98" t="s">
        <v>171</v>
      </c>
      <c r="V555" s="98" t="s">
        <v>171</v>
      </c>
      <c r="W555" s="98" t="s">
        <v>171</v>
      </c>
      <c r="X555" s="98" t="s">
        <v>171</v>
      </c>
      <c r="Y555" s="98" t="s">
        <v>171</v>
      </c>
      <c r="Z555" s="98" t="s">
        <v>171</v>
      </c>
      <c r="AA555" s="98" t="s">
        <v>171</v>
      </c>
      <c r="AB555" s="98" t="s">
        <v>171</v>
      </c>
      <c r="AC555" s="98" t="s">
        <v>171</v>
      </c>
      <c r="AD555" s="98" t="s">
        <v>171</v>
      </c>
      <c r="AE555" s="98" t="s">
        <v>171</v>
      </c>
      <c r="AF555" s="98" t="s">
        <v>171</v>
      </c>
      <c r="AG555" s="98" t="s">
        <v>171</v>
      </c>
      <c r="AH555" s="98" t="s">
        <v>171</v>
      </c>
      <c r="AI555" s="98" t="s">
        <v>171</v>
      </c>
      <c r="AJ555" s="98" t="s">
        <v>171</v>
      </c>
      <c r="AK555" s="98" t="s">
        <v>171</v>
      </c>
      <c r="AL555" s="98" t="s">
        <v>171</v>
      </c>
      <c r="AM555" s="98" t="s">
        <v>171</v>
      </c>
      <c r="AN555" s="98" t="s">
        <v>171</v>
      </c>
      <c r="AO555" s="98" t="s">
        <v>171</v>
      </c>
      <c r="AP555" s="98" t="s">
        <v>171</v>
      </c>
      <c r="AQ555" s="98" t="s">
        <v>171</v>
      </c>
      <c r="AR555" s="102">
        <v>46237.0</v>
      </c>
      <c r="AS555" s="83">
        <v>1178639.0</v>
      </c>
    </row>
    <row r="556" ht="15.75" customHeight="1">
      <c r="A556" s="111" t="s">
        <v>673</v>
      </c>
      <c r="B556" s="83" t="s">
        <v>2446</v>
      </c>
      <c r="C556" s="83" t="s">
        <v>164</v>
      </c>
      <c r="D556" s="112">
        <v>1118546.0</v>
      </c>
      <c r="E556" s="83">
        <v>1178638.0</v>
      </c>
      <c r="F556" s="83"/>
      <c r="G556" s="91" t="str">
        <f>IFERROR(__xludf.DUMMYFUNCTION("XLOOKUP(AS556,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PAULO FREIRE - DISTRITO AGUA DOCE")</f>
        <v>ANEXO - COLÉGIO ESTADUAL DE TEMPO INTEGRAL PAULO FREIRE - DISTRITO AGUA DOCE</v>
      </c>
      <c r="H556" s="119" t="s">
        <v>2465</v>
      </c>
      <c r="I556" s="91" t="s">
        <v>2466</v>
      </c>
      <c r="J556" s="136" t="s">
        <v>149</v>
      </c>
      <c r="K556" s="83" t="s">
        <v>702</v>
      </c>
      <c r="L556" s="83" t="s">
        <v>151</v>
      </c>
      <c r="M556" s="83" t="s">
        <v>169</v>
      </c>
      <c r="N556" s="115" t="s">
        <v>170</v>
      </c>
      <c r="O556" s="98" t="s">
        <v>155</v>
      </c>
      <c r="P556" s="99" t="str">
        <f>IFERROR(__xludf.DUMMYFUNCTION("IFERROR(VLOOKUP(AS556,IMPORTRANGE(""https://docs.google.com/spreadsheets/d/1juPI-Fb8LD0YtltB2mlGEnp_R3UVu1t3wSFPzgCyHXE/edit?gid=0#gid=0"",""GERAL!A2:C""),3,0),""-"")"),"CAMPO")</f>
        <v>CAMPO</v>
      </c>
      <c r="Q556" s="98" t="s">
        <v>171</v>
      </c>
      <c r="R556" s="98">
        <v>2.0</v>
      </c>
      <c r="S556" s="98" t="s">
        <v>171</v>
      </c>
      <c r="T556" s="98" t="s">
        <v>171</v>
      </c>
      <c r="U556" s="98" t="s">
        <v>171</v>
      </c>
      <c r="V556" s="98" t="s">
        <v>171</v>
      </c>
      <c r="W556" s="98" t="s">
        <v>171</v>
      </c>
      <c r="X556" s="98" t="s">
        <v>171</v>
      </c>
      <c r="Y556" s="98" t="s">
        <v>171</v>
      </c>
      <c r="Z556" s="98" t="s">
        <v>171</v>
      </c>
      <c r="AA556" s="98" t="s">
        <v>171</v>
      </c>
      <c r="AB556" s="98" t="s">
        <v>171</v>
      </c>
      <c r="AC556" s="98" t="s">
        <v>171</v>
      </c>
      <c r="AD556" s="98" t="s">
        <v>171</v>
      </c>
      <c r="AE556" s="98" t="s">
        <v>171</v>
      </c>
      <c r="AF556" s="98" t="s">
        <v>171</v>
      </c>
      <c r="AG556" s="98" t="s">
        <v>171</v>
      </c>
      <c r="AH556" s="98" t="s">
        <v>171</v>
      </c>
      <c r="AI556" s="98" t="s">
        <v>171</v>
      </c>
      <c r="AJ556" s="98" t="s">
        <v>171</v>
      </c>
      <c r="AK556" s="98" t="s">
        <v>171</v>
      </c>
      <c r="AL556" s="98" t="s">
        <v>171</v>
      </c>
      <c r="AM556" s="98" t="s">
        <v>171</v>
      </c>
      <c r="AN556" s="98" t="s">
        <v>171</v>
      </c>
      <c r="AO556" s="98" t="s">
        <v>171</v>
      </c>
      <c r="AP556" s="98" t="s">
        <v>171</v>
      </c>
      <c r="AQ556" s="98" t="s">
        <v>171</v>
      </c>
      <c r="AR556" s="102">
        <v>46237.0</v>
      </c>
      <c r="AS556" s="83">
        <v>1178638.0</v>
      </c>
    </row>
    <row r="557" ht="15.75" customHeight="1">
      <c r="A557" s="111" t="s">
        <v>673</v>
      </c>
      <c r="B557" s="83" t="s">
        <v>2469</v>
      </c>
      <c r="C557" s="83" t="s">
        <v>68</v>
      </c>
      <c r="D557" s="112">
        <v>1118619.0</v>
      </c>
      <c r="E557" s="83"/>
      <c r="F557" s="83">
        <v>2.9272947E7</v>
      </c>
      <c r="G557" s="91" t="str">
        <f>IFERROR(__xludf.DUMMYFUNCTION("XLOOKUP(AS557,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ODÍLIA TEIXEIRA (ANTIGO - COLÉGIO ESTADUAL DUQUE DE CAXIAS)")</f>
        <v>COLÉGIO ESTADUAL DE TEMPO INTEGRAL MARIA ODÍLIA TEIXEIRA (ANTIGO - COLÉGIO ESTADUAL DUQUE DE CAXIAS)</v>
      </c>
      <c r="H557" s="282" t="s">
        <v>2470</v>
      </c>
      <c r="I557" s="108" t="s">
        <v>2472</v>
      </c>
      <c r="J557" s="115" t="s">
        <v>2474</v>
      </c>
      <c r="K557" s="83" t="s">
        <v>150</v>
      </c>
      <c r="L557" s="83" t="s">
        <v>151</v>
      </c>
      <c r="M557" s="83" t="s">
        <v>152</v>
      </c>
      <c r="N557" s="137" t="s">
        <v>2475</v>
      </c>
      <c r="O557" s="98" t="s">
        <v>162</v>
      </c>
      <c r="P557" s="99" t="str">
        <f>IFERROR(__xludf.DUMMYFUNCTION("IFERROR(VLOOKUP(AS557,IMPORTRANGE(""https://docs.google.com/spreadsheets/d/1juPI-Fb8LD0YtltB2mlGEnp_R3UVu1t3wSFPzgCyHXE/edit?gid=0#gid=0"",""GERAL!A2:C""),3,0),""-"")"),"-")</f>
        <v>-</v>
      </c>
      <c r="Q557" s="101" t="s">
        <v>156</v>
      </c>
      <c r="R557" s="98">
        <v>24.0</v>
      </c>
      <c r="S557" s="98">
        <v>0.0</v>
      </c>
      <c r="T557" s="98">
        <v>2.0</v>
      </c>
      <c r="U557" s="98">
        <v>0.0</v>
      </c>
      <c r="V557" s="98">
        <v>1.0</v>
      </c>
      <c r="W557" s="98">
        <v>3.0</v>
      </c>
      <c r="X557" s="98">
        <v>0.0</v>
      </c>
      <c r="Y557" s="98">
        <v>0.0</v>
      </c>
      <c r="Z557" s="98">
        <v>1.0</v>
      </c>
      <c r="AA557" s="98">
        <v>0.0</v>
      </c>
      <c r="AB557" s="98">
        <v>1.0</v>
      </c>
      <c r="AC557" s="98">
        <v>0.0</v>
      </c>
      <c r="AD557" s="98">
        <v>0.0</v>
      </c>
      <c r="AE557" s="98">
        <v>0.0</v>
      </c>
      <c r="AF557" s="98">
        <v>1.0</v>
      </c>
      <c r="AG557" s="98">
        <v>0.0</v>
      </c>
      <c r="AH557" s="98">
        <v>0.0</v>
      </c>
      <c r="AI557" s="98">
        <v>0.0</v>
      </c>
      <c r="AJ557" s="98">
        <v>0.0</v>
      </c>
      <c r="AK557" s="98">
        <v>1.0</v>
      </c>
      <c r="AL557" s="98">
        <v>0.0</v>
      </c>
      <c r="AM557" s="98">
        <v>0.0</v>
      </c>
      <c r="AN557" s="98">
        <v>0.0</v>
      </c>
      <c r="AO557" s="98">
        <v>0.0</v>
      </c>
      <c r="AP557" s="98">
        <v>0.0</v>
      </c>
      <c r="AQ557" s="98" t="s">
        <v>2480</v>
      </c>
      <c r="AR557" s="102">
        <v>46226.0</v>
      </c>
      <c r="AS557" s="83">
        <v>1118619.0</v>
      </c>
    </row>
    <row r="558" ht="15.75" customHeight="1">
      <c r="A558" s="111" t="s">
        <v>673</v>
      </c>
      <c r="B558" s="83" t="s">
        <v>2482</v>
      </c>
      <c r="C558" s="83" t="s">
        <v>68</v>
      </c>
      <c r="D558" s="112">
        <v>1118791.0</v>
      </c>
      <c r="E558" s="83"/>
      <c r="F558" s="83">
        <v>2.9282055E7</v>
      </c>
      <c r="G558" s="91" t="str">
        <f>IFERROR(__xludf.DUMMYFUNCTION("XLOOKUP(AS558,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ITAMBÉ 
(ANTIGO POLIVALENTE)")</f>
        <v>COLÉGIO ESTADUAL DE TEMPO INTEGRAL DE ITAMBÉ 
(ANTIGO POLIVALENTE)</v>
      </c>
      <c r="H558" s="184" t="s">
        <v>2483</v>
      </c>
      <c r="I558" s="91" t="s">
        <v>2484</v>
      </c>
      <c r="J558" s="83" t="s">
        <v>2485</v>
      </c>
      <c r="K558" s="83" t="s">
        <v>150</v>
      </c>
      <c r="L558" s="83" t="s">
        <v>151</v>
      </c>
      <c r="M558" s="83" t="s">
        <v>152</v>
      </c>
      <c r="N558" s="137" t="s">
        <v>2487</v>
      </c>
      <c r="O558" s="98" t="s">
        <v>155</v>
      </c>
      <c r="P558" s="99" t="str">
        <f>IFERROR(__xludf.DUMMYFUNCTION("IFERROR(VLOOKUP(AS558,IMPORTRANGE(""https://docs.google.com/spreadsheets/d/1juPI-Fb8LD0YtltB2mlGEnp_R3UVu1t3wSFPzgCyHXE/edit?gid=0#gid=0"",""GERAL!A2:C""),3,0),""-"")"),"-")</f>
        <v>-</v>
      </c>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v>1118791.0</v>
      </c>
    </row>
    <row r="559" ht="15.75" customHeight="1">
      <c r="A559" s="111" t="s">
        <v>673</v>
      </c>
      <c r="B559" s="83" t="s">
        <v>2482</v>
      </c>
      <c r="C559" s="83" t="s">
        <v>164</v>
      </c>
      <c r="D559" s="112">
        <v>1118791.0</v>
      </c>
      <c r="E559" s="83">
        <v>1178641.0</v>
      </c>
      <c r="F559" s="83"/>
      <c r="G559" s="91" t="str">
        <f>IFERROR(__xludf.DUMMYFUNCTION("XLOOKUP(AS559,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ITAMBÉ - DISTRITO DE SAO JOSE DO COLONIA")</f>
        <v>ANEXO - COLÉGIO ESTADUAL DE TEMPO INTEGRAL DE ITAMBÉ - DISTRITO DE SAO JOSE DO COLONIA</v>
      </c>
      <c r="H559" s="184" t="s">
        <v>2489</v>
      </c>
      <c r="I559" s="91" t="s">
        <v>2490</v>
      </c>
      <c r="J559" s="172" t="s">
        <v>2491</v>
      </c>
      <c r="K559" s="83" t="s">
        <v>2492</v>
      </c>
      <c r="L559" s="83" t="s">
        <v>168</v>
      </c>
      <c r="M559" s="83" t="s">
        <v>169</v>
      </c>
      <c r="N559" s="115" t="s">
        <v>170</v>
      </c>
      <c r="O559" s="98" t="s">
        <v>155</v>
      </c>
      <c r="P559" s="99" t="str">
        <f>IFERROR(__xludf.DUMMYFUNCTION("IFERROR(VLOOKUP(AS559,IMPORTRANGE(""https://docs.google.com/spreadsheets/d/1juPI-Fb8LD0YtltB2mlGEnp_R3UVu1t3wSFPzgCyHXE/edit?gid=0#gid=0"",""GERAL!A2:C""),3,0),""-"")"),"CAMPO")</f>
        <v>CAMPO</v>
      </c>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v>1178641.0</v>
      </c>
    </row>
    <row r="560" ht="15.75" customHeight="1">
      <c r="A560" s="111" t="s">
        <v>673</v>
      </c>
      <c r="B560" s="83" t="s">
        <v>2482</v>
      </c>
      <c r="C560" s="83" t="s">
        <v>164</v>
      </c>
      <c r="D560" s="112">
        <v>1118791.0</v>
      </c>
      <c r="E560" s="83">
        <v>1178640.0</v>
      </c>
      <c r="F560" s="83"/>
      <c r="G560" s="91" t="str">
        <f>IFERROR(__xludf.DUMMYFUNCTION("XLOOKUP(AS560,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ITAMBÉ - DISTRITO DE CASILANDIA/CATOLEZINHO")</f>
        <v>ANEXO - COLÉGIO ESTADUAL DE TEMPO INTEGRAL DE ITAMBÉ - DISTRITO DE CASILANDIA/CATOLEZINHO</v>
      </c>
      <c r="H560" s="184" t="s">
        <v>2494</v>
      </c>
      <c r="I560" s="91" t="s">
        <v>2497</v>
      </c>
      <c r="J560" s="172" t="s">
        <v>2498</v>
      </c>
      <c r="K560" s="83" t="s">
        <v>471</v>
      </c>
      <c r="L560" s="83" t="s">
        <v>168</v>
      </c>
      <c r="M560" s="83" t="s">
        <v>169</v>
      </c>
      <c r="N560" s="115" t="s">
        <v>170</v>
      </c>
      <c r="O560" s="98" t="s">
        <v>155</v>
      </c>
      <c r="P560" s="99" t="str">
        <f>IFERROR(__xludf.DUMMYFUNCTION("IFERROR(VLOOKUP(AS560,IMPORTRANGE(""https://docs.google.com/spreadsheets/d/1juPI-Fb8LD0YtltB2mlGEnp_R3UVu1t3wSFPzgCyHXE/edit?gid=0#gid=0"",""GERAL!A2:C""),3,0),""-"")"),"CAMPO")</f>
        <v>CAMPO</v>
      </c>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v>1178640.0</v>
      </c>
    </row>
    <row r="561" ht="15.75" customHeight="1">
      <c r="A561" s="111" t="s">
        <v>673</v>
      </c>
      <c r="B561" s="83" t="s">
        <v>2500</v>
      </c>
      <c r="C561" s="83" t="s">
        <v>68</v>
      </c>
      <c r="D561" s="112">
        <v>1119119.0</v>
      </c>
      <c r="E561" s="83"/>
      <c r="F561" s="83">
        <v>2.9282977E7</v>
      </c>
      <c r="G561" s="91" t="str">
        <f>IFERROR(__xludf.DUMMYFUNCTION("XLOOKUP(AS561,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POLIVALENTE DE ITAPETINGA")</f>
        <v>COLÉGIO POLIVALENTE DE ITAPETINGA</v>
      </c>
      <c r="H561" s="184" t="s">
        <v>2502</v>
      </c>
      <c r="I561" s="91" t="s">
        <v>2503</v>
      </c>
      <c r="J561" s="83" t="s">
        <v>149</v>
      </c>
      <c r="K561" s="83" t="s">
        <v>150</v>
      </c>
      <c r="L561" s="83" t="s">
        <v>151</v>
      </c>
      <c r="M561" s="98" t="s">
        <v>152</v>
      </c>
      <c r="N561" s="137" t="s">
        <v>2504</v>
      </c>
      <c r="O561" s="98" t="s">
        <v>155</v>
      </c>
      <c r="P561" s="99" t="str">
        <f>IFERROR(__xludf.DUMMYFUNCTION("IFERROR(VLOOKUP(AS561,IMPORTRANGE(""https://docs.google.com/spreadsheets/d/1juPI-Fb8LD0YtltB2mlGEnp_R3UVu1t3wSFPzgCyHXE/edit?gid=0#gid=0"",""GERAL!A2:C""),3,0),""-"")"),"-")</f>
        <v>-</v>
      </c>
      <c r="Q561" s="101" t="s">
        <v>156</v>
      </c>
      <c r="R561" s="98">
        <v>11.0</v>
      </c>
      <c r="S561" s="98">
        <v>1.0</v>
      </c>
      <c r="T561" s="98">
        <v>0.0</v>
      </c>
      <c r="U561" s="98">
        <v>0.0</v>
      </c>
      <c r="V561" s="98">
        <v>1.0</v>
      </c>
      <c r="W561" s="98">
        <v>1.0</v>
      </c>
      <c r="X561" s="98">
        <v>0.0</v>
      </c>
      <c r="Y561" s="98">
        <v>1.0</v>
      </c>
      <c r="Z561" s="98">
        <v>0.0</v>
      </c>
      <c r="AA561" s="98">
        <v>0.0</v>
      </c>
      <c r="AB561" s="98">
        <v>0.0</v>
      </c>
      <c r="AC561" s="98">
        <v>0.0</v>
      </c>
      <c r="AD561" s="98">
        <v>0.0</v>
      </c>
      <c r="AE561" s="98">
        <v>0.0</v>
      </c>
      <c r="AF561" s="98">
        <v>1.0</v>
      </c>
      <c r="AG561" s="98">
        <v>0.0</v>
      </c>
      <c r="AH561" s="98">
        <v>0.0</v>
      </c>
      <c r="AI561" s="98">
        <v>0.0</v>
      </c>
      <c r="AJ561" s="98">
        <v>1.0</v>
      </c>
      <c r="AK561" s="98">
        <v>0.0</v>
      </c>
      <c r="AL561" s="98">
        <v>0.0</v>
      </c>
      <c r="AM561" s="98">
        <v>0.0</v>
      </c>
      <c r="AN561" s="98">
        <v>0.0</v>
      </c>
      <c r="AO561" s="98">
        <v>0.0</v>
      </c>
      <c r="AP561" s="98">
        <v>4.0</v>
      </c>
      <c r="AQ561" s="98" t="s">
        <v>2509</v>
      </c>
      <c r="AR561" s="102">
        <v>46224.0</v>
      </c>
      <c r="AS561" s="83">
        <v>1119119.0</v>
      </c>
    </row>
    <row r="562" ht="15.75" customHeight="1">
      <c r="A562" s="111" t="s">
        <v>673</v>
      </c>
      <c r="B562" s="83" t="s">
        <v>2500</v>
      </c>
      <c r="C562" s="83" t="s">
        <v>68</v>
      </c>
      <c r="D562" s="112">
        <v>1176427.0</v>
      </c>
      <c r="E562" s="83"/>
      <c r="F562" s="83">
        <v>2.9394341E7</v>
      </c>
      <c r="G562" s="91" t="str">
        <f>IFERROR(__xludf.DUMMYFUNCTION("XLOOKUP(AS562,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MODELO LUIS EDUARDO MAGALHAES")</f>
        <v>COLÉGIO MODELO LUIS EDUARDO MAGALHAES</v>
      </c>
      <c r="H562" s="184" t="s">
        <v>2512</v>
      </c>
      <c r="I562" s="91" t="s">
        <v>2513</v>
      </c>
      <c r="J562" s="83" t="s">
        <v>149</v>
      </c>
      <c r="K562" s="83" t="s">
        <v>150</v>
      </c>
      <c r="L562" s="83" t="s">
        <v>151</v>
      </c>
      <c r="M562" s="83" t="s">
        <v>230</v>
      </c>
      <c r="N562" s="188" t="s">
        <v>2514</v>
      </c>
      <c r="O562" s="98" t="s">
        <v>155</v>
      </c>
      <c r="P562" s="99" t="str">
        <f>IFERROR(__xludf.DUMMYFUNCTION("IFERROR(VLOOKUP(AS562,IMPORTRANGE(""https://docs.google.com/spreadsheets/d/1juPI-Fb8LD0YtltB2mlGEnp_R3UVu1t3wSFPzgCyHXE/edit?gid=0#gid=0"",""GERAL!A2:C""),3,0),""-"")"),"-")</f>
        <v>-</v>
      </c>
      <c r="Q562" s="101" t="s">
        <v>156</v>
      </c>
      <c r="R562" s="98">
        <v>15.0</v>
      </c>
      <c r="S562" s="98">
        <v>0.0</v>
      </c>
      <c r="T562" s="98">
        <v>0.0</v>
      </c>
      <c r="U562" s="98">
        <v>0.0</v>
      </c>
      <c r="V562" s="98">
        <v>1.0</v>
      </c>
      <c r="W562" s="98">
        <v>0.0</v>
      </c>
      <c r="X562" s="98">
        <v>1.0</v>
      </c>
      <c r="Y562" s="98">
        <v>0.0</v>
      </c>
      <c r="Z562" s="98">
        <v>0.0</v>
      </c>
      <c r="AA562" s="98">
        <v>1.0</v>
      </c>
      <c r="AB562" s="98">
        <v>0.0</v>
      </c>
      <c r="AC562" s="98">
        <v>0.0</v>
      </c>
      <c r="AD562" s="98">
        <v>0.0</v>
      </c>
      <c r="AE562" s="98">
        <v>0.0</v>
      </c>
      <c r="AF562" s="98">
        <v>0.0</v>
      </c>
      <c r="AG562" s="98">
        <v>1.0</v>
      </c>
      <c r="AH562" s="98">
        <v>0.0</v>
      </c>
      <c r="AI562" s="98">
        <v>0.0</v>
      </c>
      <c r="AJ562" s="98">
        <v>0.0</v>
      </c>
      <c r="AK562" s="98">
        <v>0.0</v>
      </c>
      <c r="AL562" s="98">
        <v>1.0</v>
      </c>
      <c r="AM562" s="98">
        <v>0.0</v>
      </c>
      <c r="AN562" s="98">
        <v>0.0</v>
      </c>
      <c r="AO562" s="98">
        <v>0.0</v>
      </c>
      <c r="AP562" s="98">
        <v>4.0</v>
      </c>
      <c r="AQ562" s="98" t="s">
        <v>2520</v>
      </c>
      <c r="AR562" s="102">
        <v>46224.0</v>
      </c>
      <c r="AS562" s="83">
        <v>1176427.0</v>
      </c>
    </row>
    <row r="563" ht="15.75" customHeight="1">
      <c r="A563" s="111" t="s">
        <v>673</v>
      </c>
      <c r="B563" s="83" t="s">
        <v>2500</v>
      </c>
      <c r="C563" s="83" t="s">
        <v>68</v>
      </c>
      <c r="D563" s="112">
        <v>1118899.0</v>
      </c>
      <c r="E563" s="83"/>
      <c r="F563" s="83">
        <v>2.9282608E7</v>
      </c>
      <c r="G563" s="91" t="str">
        <f>IFERROR(__xludf.DUMMYFUNCTION("XLOOKUP(AS563,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ALFREDO DUTRA")</f>
        <v>COLÉGIO ESTADUAL DE TEMPO INTEGRAL ALFREDO DUTRA</v>
      </c>
      <c r="H563" s="184" t="s">
        <v>2522</v>
      </c>
      <c r="I563" s="91" t="s">
        <v>2523</v>
      </c>
      <c r="J563" s="83" t="s">
        <v>149</v>
      </c>
      <c r="K563" s="83" t="s">
        <v>150</v>
      </c>
      <c r="L563" s="83" t="s">
        <v>151</v>
      </c>
      <c r="M563" s="83" t="s">
        <v>152</v>
      </c>
      <c r="N563" s="171" t="s">
        <v>2525</v>
      </c>
      <c r="O563" s="98" t="s">
        <v>155</v>
      </c>
      <c r="P563" s="99" t="str">
        <f>IFERROR(__xludf.DUMMYFUNCTION("IFERROR(VLOOKUP(AS563,IMPORTRANGE(""https://docs.google.com/spreadsheets/d/1juPI-Fb8LD0YtltB2mlGEnp_R3UVu1t3wSFPzgCyHXE/edit?gid=0#gid=0"",""GERAL!A2:C""),3,0),""-"")"),"-")</f>
        <v>-</v>
      </c>
      <c r="Q563" s="101" t="s">
        <v>156</v>
      </c>
      <c r="R563" s="98">
        <v>19.0</v>
      </c>
      <c r="S563" s="98">
        <v>0.0</v>
      </c>
      <c r="T563" s="98">
        <v>0.0</v>
      </c>
      <c r="U563" s="98">
        <v>1.0</v>
      </c>
      <c r="V563" s="98">
        <v>2.0</v>
      </c>
      <c r="W563" s="98">
        <v>6.0</v>
      </c>
      <c r="X563" s="98">
        <v>0.0</v>
      </c>
      <c r="Y563" s="98">
        <v>0.0</v>
      </c>
      <c r="Z563" s="98">
        <v>1.0</v>
      </c>
      <c r="AA563" s="98">
        <v>0.0</v>
      </c>
      <c r="AB563" s="98">
        <v>0.0</v>
      </c>
      <c r="AC563" s="98">
        <v>1.0</v>
      </c>
      <c r="AD563" s="98">
        <v>0.0</v>
      </c>
      <c r="AE563" s="98">
        <v>0.0</v>
      </c>
      <c r="AF563" s="98">
        <v>1.0</v>
      </c>
      <c r="AG563" s="98">
        <v>0.0</v>
      </c>
      <c r="AH563" s="98">
        <v>0.0</v>
      </c>
      <c r="AI563" s="98">
        <v>0.0</v>
      </c>
      <c r="AJ563" s="98">
        <v>0.0</v>
      </c>
      <c r="AK563" s="98">
        <v>1.0</v>
      </c>
      <c r="AL563" s="98">
        <v>0.0</v>
      </c>
      <c r="AM563" s="98">
        <v>1.0</v>
      </c>
      <c r="AN563" s="98">
        <v>0.0</v>
      </c>
      <c r="AO563" s="98">
        <v>0.0</v>
      </c>
      <c r="AP563" s="98">
        <v>2.0</v>
      </c>
      <c r="AQ563" s="98" t="s">
        <v>2531</v>
      </c>
      <c r="AR563" s="102">
        <v>46230.0</v>
      </c>
      <c r="AS563" s="83">
        <v>1118899.0</v>
      </c>
    </row>
    <row r="564" ht="15.75" customHeight="1">
      <c r="A564" s="111" t="s">
        <v>673</v>
      </c>
      <c r="B564" s="83" t="s">
        <v>2532</v>
      </c>
      <c r="C564" s="83" t="s">
        <v>68</v>
      </c>
      <c r="D564" s="112">
        <v>1166613.0</v>
      </c>
      <c r="E564" s="83"/>
      <c r="F564" s="83">
        <v>2.928323E7</v>
      </c>
      <c r="G564" s="91" t="str">
        <f>IFERROR(__xludf.DUMMYFUNCTION("XLOOKUP(AS564,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ADINÁLIA PEREIRA DE ARAÚJO - (ANTIGO CE NAOMAR SOARES ALCANTARA)")</f>
        <v>COLÉGIO ESTADUAL DE TEMPO INTEGRAL ADINÁLIA PEREIRA DE ARAÚJO - (ANTIGO CE NAOMAR SOARES ALCANTARA)</v>
      </c>
      <c r="H564" s="184" t="s">
        <v>2533</v>
      </c>
      <c r="I564" s="91" t="s">
        <v>2534</v>
      </c>
      <c r="J564" s="83" t="s">
        <v>149</v>
      </c>
      <c r="K564" s="83" t="s">
        <v>150</v>
      </c>
      <c r="L564" s="83" t="s">
        <v>151</v>
      </c>
      <c r="M564" s="83" t="s">
        <v>152</v>
      </c>
      <c r="N564" s="195" t="s">
        <v>2535</v>
      </c>
      <c r="O564" s="98" t="s">
        <v>155</v>
      </c>
      <c r="P564" s="99" t="str">
        <f>IFERROR(__xludf.DUMMYFUNCTION("IFERROR(VLOOKUP(AS564,IMPORTRANGE(""https://docs.google.com/spreadsheets/d/1juPI-Fb8LD0YtltB2mlGEnp_R3UVu1t3wSFPzgCyHXE/edit?gid=0#gid=0"",""GERAL!A2:C""),3,0),""-"")"),"-")</f>
        <v>-</v>
      </c>
      <c r="Q564" s="101" t="s">
        <v>156</v>
      </c>
      <c r="R564" s="98">
        <v>7.0</v>
      </c>
      <c r="S564" s="98">
        <v>1.0</v>
      </c>
      <c r="T564" s="98">
        <v>0.0</v>
      </c>
      <c r="U564" s="98">
        <v>0.0</v>
      </c>
      <c r="V564" s="98">
        <v>0.0</v>
      </c>
      <c r="W564" s="98">
        <v>0.0</v>
      </c>
      <c r="X564" s="98">
        <v>0.0</v>
      </c>
      <c r="Y564" s="98">
        <v>0.0</v>
      </c>
      <c r="Z564" s="98">
        <v>0.0</v>
      </c>
      <c r="AA564" s="98">
        <v>0.0</v>
      </c>
      <c r="AB564" s="98">
        <v>0.0</v>
      </c>
      <c r="AC564" s="98">
        <v>0.0</v>
      </c>
      <c r="AD564" s="98">
        <v>0.0</v>
      </c>
      <c r="AE564" s="98">
        <v>0.0</v>
      </c>
      <c r="AF564" s="98">
        <v>1.0</v>
      </c>
      <c r="AG564" s="98">
        <v>0.0</v>
      </c>
      <c r="AH564" s="98">
        <v>0.0</v>
      </c>
      <c r="AI564" s="98">
        <v>0.0</v>
      </c>
      <c r="AJ564" s="98">
        <v>0.0</v>
      </c>
      <c r="AK564" s="98">
        <v>0.0</v>
      </c>
      <c r="AL564" s="98">
        <v>0.0</v>
      </c>
      <c r="AM564" s="98">
        <v>0.0</v>
      </c>
      <c r="AN564" s="98">
        <v>0.0</v>
      </c>
      <c r="AO564" s="98">
        <v>0.0</v>
      </c>
      <c r="AP564" s="98">
        <v>2.0</v>
      </c>
      <c r="AQ564" s="98" t="s">
        <v>2539</v>
      </c>
      <c r="AR564" s="102">
        <v>46224.0</v>
      </c>
      <c r="AS564" s="83">
        <v>1166613.0</v>
      </c>
    </row>
    <row r="565" ht="15.75" customHeight="1">
      <c r="A565" s="111" t="s">
        <v>673</v>
      </c>
      <c r="B565" s="83" t="s">
        <v>2532</v>
      </c>
      <c r="C565" s="83" t="s">
        <v>164</v>
      </c>
      <c r="D565" s="112">
        <v>1166613.0</v>
      </c>
      <c r="E565" s="83">
        <v>1178643.0</v>
      </c>
      <c r="F565" s="83"/>
      <c r="G565" s="91" t="str">
        <f>IFERROR(__xludf.DUMMYFUNCTION("XLOOKUP(AS565,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ADINÁLIA PEREIRA DE ARAÚJO - DISTRITO RIBEIRAO DO SALTO")</f>
        <v>ANEXO - COLÉGIO ESTADUAL DE TEMPO INTEGRAL ADINÁLIA PEREIRA DE ARAÚJO - DISTRITO RIBEIRAO DO SALTO</v>
      </c>
      <c r="H565" s="184" t="s">
        <v>2541</v>
      </c>
      <c r="I565" s="91" t="s">
        <v>2542</v>
      </c>
      <c r="J565" s="83" t="s">
        <v>149</v>
      </c>
      <c r="K565" s="83" t="s">
        <v>464</v>
      </c>
      <c r="L565" s="83" t="s">
        <v>168</v>
      </c>
      <c r="M565" s="83" t="s">
        <v>169</v>
      </c>
      <c r="N565" s="115" t="s">
        <v>170</v>
      </c>
      <c r="O565" s="98" t="s">
        <v>155</v>
      </c>
      <c r="P565" s="99" t="str">
        <f>IFERROR(__xludf.DUMMYFUNCTION("IFERROR(VLOOKUP(AS565,IMPORTRANGE(""https://docs.google.com/spreadsheets/d/1juPI-Fb8LD0YtltB2mlGEnp_R3UVu1t3wSFPzgCyHXE/edit?gid=0#gid=0"",""GERAL!A2:C""),3,0),""-"")"),"CAMPO")</f>
        <v>CAMPO</v>
      </c>
      <c r="Q565" s="98" t="s">
        <v>171</v>
      </c>
      <c r="R565" s="98">
        <v>3.0</v>
      </c>
      <c r="S565" s="98" t="s">
        <v>171</v>
      </c>
      <c r="T565" s="98" t="s">
        <v>171</v>
      </c>
      <c r="U565" s="98" t="s">
        <v>171</v>
      </c>
      <c r="V565" s="98" t="s">
        <v>171</v>
      </c>
      <c r="W565" s="98" t="s">
        <v>171</v>
      </c>
      <c r="X565" s="98" t="s">
        <v>171</v>
      </c>
      <c r="Y565" s="98" t="s">
        <v>171</v>
      </c>
      <c r="Z565" s="98" t="s">
        <v>171</v>
      </c>
      <c r="AA565" s="98" t="s">
        <v>171</v>
      </c>
      <c r="AB565" s="98" t="s">
        <v>171</v>
      </c>
      <c r="AC565" s="98" t="s">
        <v>171</v>
      </c>
      <c r="AD565" s="98" t="s">
        <v>171</v>
      </c>
      <c r="AE565" s="98" t="s">
        <v>171</v>
      </c>
      <c r="AF565" s="98" t="s">
        <v>171</v>
      </c>
      <c r="AG565" s="98" t="s">
        <v>171</v>
      </c>
      <c r="AH565" s="98" t="s">
        <v>171</v>
      </c>
      <c r="AI565" s="98" t="s">
        <v>171</v>
      </c>
      <c r="AJ565" s="98" t="s">
        <v>171</v>
      </c>
      <c r="AK565" s="98" t="s">
        <v>171</v>
      </c>
      <c r="AL565" s="98" t="s">
        <v>171</v>
      </c>
      <c r="AM565" s="98" t="s">
        <v>171</v>
      </c>
      <c r="AN565" s="98" t="s">
        <v>171</v>
      </c>
      <c r="AO565" s="98" t="s">
        <v>171</v>
      </c>
      <c r="AP565" s="98" t="s">
        <v>171</v>
      </c>
      <c r="AQ565" s="98" t="s">
        <v>171</v>
      </c>
      <c r="AR565" s="299">
        <v>46224.0</v>
      </c>
      <c r="AS565" s="83">
        <v>1178643.0</v>
      </c>
    </row>
    <row r="566" ht="15.75" customHeight="1">
      <c r="A566" s="111" t="s">
        <v>673</v>
      </c>
      <c r="B566" s="83" t="s">
        <v>2545</v>
      </c>
      <c r="C566" s="83" t="s">
        <v>68</v>
      </c>
      <c r="D566" s="112">
        <v>1178120.0</v>
      </c>
      <c r="E566" s="83"/>
      <c r="F566" s="83">
        <v>2.9437172E7</v>
      </c>
      <c r="G566" s="91" t="str">
        <f>IFERROR(__xludf.DUMMYFUNCTION("XLOOKUP(AS566,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EDSON OLIVEIRA - DISTRITO RIO DO MEIO")</f>
        <v>COLÉGIO ESTADUAL EDSON OLIVEIRA - DISTRITO RIO DO MEIO</v>
      </c>
      <c r="H566" s="184" t="s">
        <v>2546</v>
      </c>
      <c r="I566" s="91" t="s">
        <v>2547</v>
      </c>
      <c r="J566" s="83" t="s">
        <v>149</v>
      </c>
      <c r="K566" s="83" t="s">
        <v>1645</v>
      </c>
      <c r="L566" s="83" t="s">
        <v>151</v>
      </c>
      <c r="M566" s="83" t="s">
        <v>169</v>
      </c>
      <c r="N566" s="98" t="s">
        <v>2548</v>
      </c>
      <c r="O566" s="98" t="s">
        <v>155</v>
      </c>
      <c r="P566" s="99" t="str">
        <f>IFERROR(__xludf.DUMMYFUNCTION("IFERROR(VLOOKUP(AS566,IMPORTRANGE(""https://docs.google.com/spreadsheets/d/1juPI-Fb8LD0YtltB2mlGEnp_R3UVu1t3wSFPzgCyHXE/edit?gid=0#gid=0"",""GERAL!A2:C""),3,0),""-"")"),"CAMPO")</f>
        <v>CAMPO</v>
      </c>
      <c r="Q566" s="98" t="s">
        <v>156</v>
      </c>
      <c r="R566" s="98">
        <v>3.0</v>
      </c>
      <c r="S566" s="98" t="s">
        <v>171</v>
      </c>
      <c r="T566" s="98" t="s">
        <v>171</v>
      </c>
      <c r="U566" s="98" t="s">
        <v>171</v>
      </c>
      <c r="V566" s="98" t="s">
        <v>171</v>
      </c>
      <c r="W566" s="98" t="s">
        <v>171</v>
      </c>
      <c r="X566" s="98" t="s">
        <v>171</v>
      </c>
      <c r="Y566" s="98" t="s">
        <v>171</v>
      </c>
      <c r="Z566" s="98" t="s">
        <v>171</v>
      </c>
      <c r="AA566" s="98" t="s">
        <v>171</v>
      </c>
      <c r="AB566" s="98" t="s">
        <v>171</v>
      </c>
      <c r="AC566" s="98" t="s">
        <v>171</v>
      </c>
      <c r="AD566" s="98" t="s">
        <v>171</v>
      </c>
      <c r="AE566" s="98" t="s">
        <v>171</v>
      </c>
      <c r="AF566" s="98" t="s">
        <v>171</v>
      </c>
      <c r="AG566" s="98" t="s">
        <v>171</v>
      </c>
      <c r="AH566" s="98" t="s">
        <v>171</v>
      </c>
      <c r="AI566" s="98" t="s">
        <v>171</v>
      </c>
      <c r="AJ566" s="98" t="s">
        <v>171</v>
      </c>
      <c r="AK566" s="98" t="s">
        <v>171</v>
      </c>
      <c r="AL566" s="98" t="s">
        <v>171</v>
      </c>
      <c r="AM566" s="98" t="s">
        <v>171</v>
      </c>
      <c r="AN566" s="98" t="s">
        <v>171</v>
      </c>
      <c r="AO566" s="98" t="s">
        <v>171</v>
      </c>
      <c r="AP566" s="98" t="s">
        <v>171</v>
      </c>
      <c r="AQ566" s="98" t="s">
        <v>171</v>
      </c>
      <c r="AR566" s="102">
        <v>46226.0</v>
      </c>
      <c r="AS566" s="83">
        <v>1178120.0</v>
      </c>
    </row>
    <row r="567" ht="15.75" customHeight="1">
      <c r="A567" s="111" t="s">
        <v>673</v>
      </c>
      <c r="B567" s="83" t="s">
        <v>2545</v>
      </c>
      <c r="C567" s="83" t="s">
        <v>68</v>
      </c>
      <c r="D567" s="112">
        <v>1119283.0</v>
      </c>
      <c r="E567" s="83"/>
      <c r="F567" s="83">
        <v>2.9283647E7</v>
      </c>
      <c r="G567" s="91" t="str">
        <f>IFERROR(__xludf.DUMMYFUNCTION("XLOOKUP(AS567,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DO MÉDIO SUDOESTE DA BAHIA EURIDES EVANGELISTA PINTO")</f>
        <v>CENTRO TERRITORIAL DE EDUCAÇÃO PROFISSIONAL DO MÉDIO SUDOESTE DA BAHIA EURIDES EVANGELISTA PINTO</v>
      </c>
      <c r="H567" s="184" t="s">
        <v>2549</v>
      </c>
      <c r="I567" s="108" t="s">
        <v>2550</v>
      </c>
      <c r="J567" s="83" t="s">
        <v>149</v>
      </c>
      <c r="K567" s="83" t="s">
        <v>150</v>
      </c>
      <c r="L567" s="83" t="s">
        <v>151</v>
      </c>
      <c r="M567" s="83" t="s">
        <v>230</v>
      </c>
      <c r="N567" s="98" t="s">
        <v>2551</v>
      </c>
      <c r="O567" s="98" t="s">
        <v>162</v>
      </c>
      <c r="P567" s="99" t="str">
        <f>IFERROR(__xludf.DUMMYFUNCTION("IFERROR(VLOOKUP(AS567,IMPORTRANGE(""https://docs.google.com/spreadsheets/d/1juPI-Fb8LD0YtltB2mlGEnp_R3UVu1t3wSFPzgCyHXE/edit?gid=0#gid=0"",""GERAL!A2:C""),3,0),""-"")"),"-")</f>
        <v>-</v>
      </c>
      <c r="Q567" s="98" t="s">
        <v>156</v>
      </c>
      <c r="R567" s="98">
        <v>24.0</v>
      </c>
      <c r="S567" s="98">
        <v>0.0</v>
      </c>
      <c r="T567" s="98">
        <v>1.0</v>
      </c>
      <c r="U567" s="98">
        <v>0.0</v>
      </c>
      <c r="V567" s="98">
        <v>1.0</v>
      </c>
      <c r="W567" s="98">
        <v>4.0</v>
      </c>
      <c r="X567" s="98">
        <v>1.0</v>
      </c>
      <c r="Y567" s="98">
        <v>0.0</v>
      </c>
      <c r="Z567" s="98">
        <v>1.0</v>
      </c>
      <c r="AA567" s="98">
        <v>0.0</v>
      </c>
      <c r="AB567" s="98">
        <v>1.0</v>
      </c>
      <c r="AC567" s="98">
        <v>0.0</v>
      </c>
      <c r="AD567" s="98">
        <v>0.0</v>
      </c>
      <c r="AE567" s="98">
        <v>0.0</v>
      </c>
      <c r="AF567" s="98">
        <v>1.0</v>
      </c>
      <c r="AG567" s="98">
        <v>0.0</v>
      </c>
      <c r="AH567" s="98">
        <v>0.0</v>
      </c>
      <c r="AI567" s="98">
        <v>0.0</v>
      </c>
      <c r="AJ567" s="98">
        <v>1.0</v>
      </c>
      <c r="AK567" s="98">
        <v>0.0</v>
      </c>
      <c r="AL567" s="98">
        <v>0.0</v>
      </c>
      <c r="AM567" s="98">
        <v>0.0</v>
      </c>
      <c r="AN567" s="98">
        <v>0.0</v>
      </c>
      <c r="AO567" s="98">
        <v>1.0</v>
      </c>
      <c r="AP567" s="98">
        <v>0.0</v>
      </c>
      <c r="AQ567" s="98" t="s">
        <v>2552</v>
      </c>
      <c r="AR567" s="102">
        <v>46226.0</v>
      </c>
      <c r="AS567" s="83">
        <v>1119283.0</v>
      </c>
    </row>
    <row r="568" ht="15.75" customHeight="1">
      <c r="A568" s="111" t="s">
        <v>673</v>
      </c>
      <c r="B568" s="83" t="s">
        <v>2545</v>
      </c>
      <c r="C568" s="83" t="s">
        <v>164</v>
      </c>
      <c r="D568" s="112">
        <v>1178120.0</v>
      </c>
      <c r="E568" s="83">
        <v>1178645.0</v>
      </c>
      <c r="F568" s="83"/>
      <c r="G568" s="91" t="str">
        <f>IFERROR(__xludf.DUMMYFUNCTION("XLOOKUP(AS568,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EDSON OLIVEIRA - DISTRITO DE ITATI")</f>
        <v>ANEXO - COLÉGIO ESTADUAL EDSON OLIVEIRA - DISTRITO DE ITATI</v>
      </c>
      <c r="H568" s="184" t="s">
        <v>2553</v>
      </c>
      <c r="I568" s="91" t="s">
        <v>2554</v>
      </c>
      <c r="J568" s="172" t="s">
        <v>2555</v>
      </c>
      <c r="K568" s="83" t="s">
        <v>751</v>
      </c>
      <c r="L568" s="83" t="s">
        <v>168</v>
      </c>
      <c r="M568" s="83" t="s">
        <v>169</v>
      </c>
      <c r="N568" s="115" t="s">
        <v>170</v>
      </c>
      <c r="O568" s="98" t="s">
        <v>155</v>
      </c>
      <c r="P568" s="99" t="str">
        <f>IFERROR(__xludf.DUMMYFUNCTION("IFERROR(VLOOKUP(AS568,IMPORTRANGE(""https://docs.google.com/spreadsheets/d/1juPI-Fb8LD0YtltB2mlGEnp_R3UVu1t3wSFPzgCyHXE/edit?gid=0#gid=0"",""GERAL!A2:C""),3,0),""-"")"),"CAMPO")</f>
        <v>CAMPO</v>
      </c>
      <c r="Q568" s="98" t="s">
        <v>156</v>
      </c>
      <c r="R568" s="98">
        <v>4.0</v>
      </c>
      <c r="S568" s="98">
        <v>0.0</v>
      </c>
      <c r="T568" s="98">
        <v>0.0</v>
      </c>
      <c r="U568" s="98">
        <v>1.0</v>
      </c>
      <c r="V568" s="98">
        <v>1.0</v>
      </c>
      <c r="W568" s="98">
        <v>1.0</v>
      </c>
      <c r="X568" s="98">
        <v>0.0</v>
      </c>
      <c r="Y568" s="98">
        <v>0.0</v>
      </c>
      <c r="Z568" s="98">
        <v>0.0</v>
      </c>
      <c r="AA568" s="98">
        <v>0.0</v>
      </c>
      <c r="AB568" s="98">
        <v>0.0</v>
      </c>
      <c r="AC568" s="98">
        <v>0.0</v>
      </c>
      <c r="AD568" s="98">
        <v>0.0</v>
      </c>
      <c r="AE568" s="98">
        <v>0.0</v>
      </c>
      <c r="AF568" s="98">
        <v>0.0</v>
      </c>
      <c r="AG568" s="98">
        <v>1.0</v>
      </c>
      <c r="AH568" s="98">
        <v>0.0</v>
      </c>
      <c r="AI568" s="98">
        <v>0.0</v>
      </c>
      <c r="AJ568" s="98">
        <v>0.0</v>
      </c>
      <c r="AK568" s="98">
        <v>0.0</v>
      </c>
      <c r="AL568" s="98">
        <v>0.0</v>
      </c>
      <c r="AM568" s="98">
        <v>0.0</v>
      </c>
      <c r="AN568" s="98">
        <v>0.0</v>
      </c>
      <c r="AO568" s="98">
        <v>0.0</v>
      </c>
      <c r="AP568" s="98">
        <v>1.0</v>
      </c>
      <c r="AQ568" s="98" t="s">
        <v>2556</v>
      </c>
      <c r="AR568" s="102">
        <v>46226.0</v>
      </c>
      <c r="AS568" s="83">
        <v>1178645.0</v>
      </c>
    </row>
    <row r="569" ht="15.75" customHeight="1">
      <c r="A569" s="111" t="s">
        <v>673</v>
      </c>
      <c r="B569" s="83" t="s">
        <v>2557</v>
      </c>
      <c r="C569" s="83" t="s">
        <v>68</v>
      </c>
      <c r="D569" s="112">
        <v>1119380.0</v>
      </c>
      <c r="E569" s="83"/>
      <c r="F569" s="83">
        <v>2.9284104E7</v>
      </c>
      <c r="G569" s="91" t="str">
        <f>IFERROR(__xludf.DUMMYFUNCTION("XLOOKUP(AS569,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SÃO PEDRO")</f>
        <v>COLÉGIO ESTADUAL DE TEMPO INTEGRAL SÃO PEDRO</v>
      </c>
      <c r="H569" s="119" t="s">
        <v>2558</v>
      </c>
      <c r="I569" s="91" t="s">
        <v>2559</v>
      </c>
      <c r="J569" s="83" t="s">
        <v>149</v>
      </c>
      <c r="K569" s="83" t="s">
        <v>150</v>
      </c>
      <c r="L569" s="83" t="s">
        <v>168</v>
      </c>
      <c r="M569" s="98" t="s">
        <v>152</v>
      </c>
      <c r="N569" s="195" t="s">
        <v>2560</v>
      </c>
      <c r="O569" s="98" t="s">
        <v>155</v>
      </c>
      <c r="P569" s="99" t="str">
        <f>IFERROR(__xludf.DUMMYFUNCTION("IFERROR(VLOOKUP(AS569,IMPORTRANGE(""https://docs.google.com/spreadsheets/d/1juPI-Fb8LD0YtltB2mlGEnp_R3UVu1t3wSFPzgCyHXE/edit?gid=0#gid=0"",""GERAL!A2:C""),3,0),""-"")"),"-")</f>
        <v>-</v>
      </c>
      <c r="Q569" s="101" t="s">
        <v>156</v>
      </c>
      <c r="R569" s="98">
        <v>9.0</v>
      </c>
      <c r="S569" s="98">
        <v>0.0</v>
      </c>
      <c r="T569" s="98">
        <v>0.0</v>
      </c>
      <c r="U569" s="98">
        <v>1.0</v>
      </c>
      <c r="V569" s="98">
        <v>1.0</v>
      </c>
      <c r="W569" s="98">
        <v>0.0</v>
      </c>
      <c r="X569" s="98">
        <v>1.0</v>
      </c>
      <c r="Y569" s="98">
        <v>0.0</v>
      </c>
      <c r="Z569" s="98">
        <v>1.0</v>
      </c>
      <c r="AA569" s="98">
        <v>0.0</v>
      </c>
      <c r="AB569" s="98">
        <v>1.0</v>
      </c>
      <c r="AC569" s="98">
        <v>0.0</v>
      </c>
      <c r="AD569" s="98">
        <v>0.0</v>
      </c>
      <c r="AE569" s="98">
        <v>0.0</v>
      </c>
      <c r="AF569" s="98">
        <v>1.0</v>
      </c>
      <c r="AG569" s="98">
        <v>0.0</v>
      </c>
      <c r="AH569" s="98">
        <v>0.0</v>
      </c>
      <c r="AI569" s="98">
        <v>0.0</v>
      </c>
      <c r="AJ569" s="98">
        <v>0.0</v>
      </c>
      <c r="AK569" s="98">
        <v>0.0</v>
      </c>
      <c r="AL569" s="98">
        <v>0.0</v>
      </c>
      <c r="AM569" s="98">
        <v>0.0</v>
      </c>
      <c r="AN569" s="98">
        <v>0.0</v>
      </c>
      <c r="AO569" s="98">
        <v>0.0</v>
      </c>
      <c r="AP569" s="98">
        <v>0.0</v>
      </c>
      <c r="AQ569" s="98" t="s">
        <v>171</v>
      </c>
      <c r="AR569" s="102">
        <v>46226.0</v>
      </c>
      <c r="AS569" s="83">
        <v>1119380.0</v>
      </c>
    </row>
    <row r="570" ht="15.75" customHeight="1">
      <c r="A570" s="111" t="s">
        <v>673</v>
      </c>
      <c r="B570" s="83" t="s">
        <v>2561</v>
      </c>
      <c r="C570" s="83" t="s">
        <v>68</v>
      </c>
      <c r="D570" s="112">
        <v>1178270.0</v>
      </c>
      <c r="E570" s="83"/>
      <c r="F570" s="83">
        <v>2.9466008E7</v>
      </c>
      <c r="G570" s="91" t="str">
        <f>IFERROR(__xludf.DUMMYFUNCTION("XLOOKUP(AS570,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ALTAIR ALMEIDA MEIRA")</f>
        <v>COLÉGIO ESTADUAL ALTAIR ALMEIDA MEIRA</v>
      </c>
      <c r="H570" s="119" t="s">
        <v>2562</v>
      </c>
      <c r="I570" s="91" t="s">
        <v>2563</v>
      </c>
      <c r="J570" s="172" t="s">
        <v>2564</v>
      </c>
      <c r="K570" s="83" t="s">
        <v>150</v>
      </c>
      <c r="L570" s="83" t="s">
        <v>151</v>
      </c>
      <c r="M570" s="83" t="s">
        <v>76</v>
      </c>
      <c r="N570" s="137" t="s">
        <v>2565</v>
      </c>
      <c r="O570" s="98" t="s">
        <v>155</v>
      </c>
      <c r="P570" s="99" t="str">
        <f>IFERROR(__xludf.DUMMYFUNCTION("IFERROR(VLOOKUP(AS570,IMPORTRANGE(""https://docs.google.com/spreadsheets/d/1juPI-Fb8LD0YtltB2mlGEnp_R3UVu1t3wSFPzgCyHXE/edit?gid=0#gid=0"",""GERAL!A2:C""),3,0),""-"")"),"-")</f>
        <v>-</v>
      </c>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v>1178270.0</v>
      </c>
    </row>
    <row r="571" ht="15.75" customHeight="1">
      <c r="A571" s="111" t="s">
        <v>673</v>
      </c>
      <c r="B571" s="83" t="s">
        <v>2166</v>
      </c>
      <c r="C571" s="83" t="s">
        <v>68</v>
      </c>
      <c r="D571" s="112">
        <v>1118830.0</v>
      </c>
      <c r="E571" s="83"/>
      <c r="F571" s="83">
        <v>2.943783E7</v>
      </c>
      <c r="G571" s="91" t="str">
        <f>IFERROR(__xludf.DUMMYFUNCTION("XLOOKUP(AS571,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FLORESTAL")</f>
        <v>COLÉGIO ESTADUAL DE TEMPO INTEGRAL FLORESTAL</v>
      </c>
      <c r="H571" s="184" t="s">
        <v>2566</v>
      </c>
      <c r="I571" s="91" t="s">
        <v>2567</v>
      </c>
      <c r="J571" s="136" t="s">
        <v>149</v>
      </c>
      <c r="K571" s="136" t="s">
        <v>150</v>
      </c>
      <c r="L571" s="83" t="s">
        <v>151</v>
      </c>
      <c r="M571" s="98" t="s">
        <v>152</v>
      </c>
      <c r="N571" s="137" t="s">
        <v>2568</v>
      </c>
      <c r="O571" s="98" t="s">
        <v>162</v>
      </c>
      <c r="P571" s="99" t="str">
        <f>IFERROR(__xludf.DUMMYFUNCTION("IFERROR(VLOOKUP(AS571,IMPORTRANGE(""https://docs.google.com/spreadsheets/d/1juPI-Fb8LD0YtltB2mlGEnp_R3UVu1t3wSFPzgCyHXE/edit?gid=0#gid=0"",""GERAL!A2:C""),3,0),""-"")"),"-")</f>
        <v>-</v>
      </c>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v>1118830.0</v>
      </c>
    </row>
    <row r="572" ht="15.75" customHeight="1">
      <c r="A572" s="111" t="s">
        <v>673</v>
      </c>
      <c r="B572" s="83" t="s">
        <v>2166</v>
      </c>
      <c r="C572" s="83" t="s">
        <v>164</v>
      </c>
      <c r="D572" s="112">
        <v>1118830.0</v>
      </c>
      <c r="E572" s="83">
        <v>1179697.0</v>
      </c>
      <c r="F572" s="83"/>
      <c r="G572" s="91" t="str">
        <f>IFERROR(__xludf.DUMMYFUNCTION("XLOOKUP(AS572,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FLORESTAL - SERRA DO CAPA BODE")</f>
        <v>ANEXO - COLÉGIO ESTADUAL FLORESTAL - SERRA DO CAPA BODE</v>
      </c>
      <c r="H572" s="184" t="s">
        <v>2569</v>
      </c>
      <c r="I572" s="91" t="s">
        <v>2570</v>
      </c>
      <c r="J572" s="136" t="s">
        <v>576</v>
      </c>
      <c r="K572" s="136" t="s">
        <v>2571</v>
      </c>
      <c r="L572" s="136" t="s">
        <v>168</v>
      </c>
      <c r="M572" s="83" t="s">
        <v>169</v>
      </c>
      <c r="N572" s="115" t="s">
        <v>170</v>
      </c>
      <c r="O572" s="98" t="s">
        <v>155</v>
      </c>
      <c r="P572" s="99" t="str">
        <f>IFERROR(__xludf.DUMMYFUNCTION("IFERROR(VLOOKUP(AS572,IMPORTRANGE(""https://docs.google.com/spreadsheets/d/1juPI-Fb8LD0YtltB2mlGEnp_R3UVu1t3wSFPzgCyHXE/edit?gid=0#gid=0"",""GERAL!A2:C""),3,0),""-"")"),"CAMPO")</f>
        <v>CAMPO</v>
      </c>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v>1179697.0</v>
      </c>
    </row>
    <row r="573" ht="15.75" customHeight="1">
      <c r="A573" s="111" t="s">
        <v>673</v>
      </c>
      <c r="B573" s="83" t="s">
        <v>2166</v>
      </c>
      <c r="C573" s="83" t="s">
        <v>164</v>
      </c>
      <c r="D573" s="112">
        <v>1118830.0</v>
      </c>
      <c r="E573" s="83">
        <v>1179698.0</v>
      </c>
      <c r="F573" s="83"/>
      <c r="G573" s="91" t="str">
        <f>IFERROR(__xludf.DUMMYFUNCTION("XLOOKUP(AS573,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FLORESTAL - POVOADO DE ENDIRETOR")</f>
        <v>ANEXO - COLÉGIO ESTADUAL FLORESTAL - POVOADO DE ENDIRETOR</v>
      </c>
      <c r="H573" s="184" t="s">
        <v>2572</v>
      </c>
      <c r="I573" s="91" t="s">
        <v>2573</v>
      </c>
      <c r="J573" s="136" t="s">
        <v>149</v>
      </c>
      <c r="K573" s="136" t="s">
        <v>2574</v>
      </c>
      <c r="L573" s="136" t="s">
        <v>168</v>
      </c>
      <c r="M573" s="83" t="s">
        <v>169</v>
      </c>
      <c r="N573" s="115" t="s">
        <v>170</v>
      </c>
      <c r="O573" s="98" t="s">
        <v>155</v>
      </c>
      <c r="P573" s="99" t="str">
        <f>IFERROR(__xludf.DUMMYFUNCTION("IFERROR(VLOOKUP(AS573,IMPORTRANGE(""https://docs.google.com/spreadsheets/d/1juPI-Fb8LD0YtltB2mlGEnp_R3UVu1t3wSFPzgCyHXE/edit?gid=0#gid=0"",""GERAL!A2:C""),3,0),""-"")"),"CAMPO")</f>
        <v>CAMPO</v>
      </c>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v>1179698.0</v>
      </c>
    </row>
    <row r="574" ht="15.75" customHeight="1">
      <c r="A574" s="111" t="s">
        <v>673</v>
      </c>
      <c r="B574" s="83" t="s">
        <v>2576</v>
      </c>
      <c r="C574" s="83" t="s">
        <v>68</v>
      </c>
      <c r="D574" s="112">
        <v>1118872.0</v>
      </c>
      <c r="E574" s="83"/>
      <c r="F574" s="83">
        <v>2.9284767E7</v>
      </c>
      <c r="G574" s="91" t="str">
        <f>IFERROR(__xludf.DUMMYFUNCTION("XLOOKUP(AS574,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ANISIO TEIXEIRA")</f>
        <v>COLÉGIO ESTADUAL DE TEMPO INTEGRAL ANISIO TEIXEIRA</v>
      </c>
      <c r="H574" s="184" t="s">
        <v>2579</v>
      </c>
      <c r="I574" s="91" t="s">
        <v>2580</v>
      </c>
      <c r="J574" s="242" t="s">
        <v>149</v>
      </c>
      <c r="K574" s="83" t="s">
        <v>150</v>
      </c>
      <c r="L574" s="83" t="s">
        <v>151</v>
      </c>
      <c r="M574" s="83" t="s">
        <v>76</v>
      </c>
      <c r="N574" s="137" t="s">
        <v>2582</v>
      </c>
      <c r="O574" s="98" t="s">
        <v>155</v>
      </c>
      <c r="P574" s="99" t="str">
        <f>IFERROR(__xludf.DUMMYFUNCTION("IFERROR(VLOOKUP(AS574,IMPORTRANGE(""https://docs.google.com/spreadsheets/d/1juPI-Fb8LD0YtltB2mlGEnp_R3UVu1t3wSFPzgCyHXE/edit?gid=0#gid=0"",""GERAL!A2:C""),3,0),""-"")"),"-")</f>
        <v>-</v>
      </c>
      <c r="Q574" s="101" t="s">
        <v>156</v>
      </c>
      <c r="R574" s="98">
        <v>10.0</v>
      </c>
      <c r="S574" s="98">
        <v>0.0</v>
      </c>
      <c r="T574" s="98">
        <v>1.0</v>
      </c>
      <c r="U574" s="98">
        <v>1.0</v>
      </c>
      <c r="V574" s="98">
        <v>0.0</v>
      </c>
      <c r="W574" s="98">
        <v>0.0</v>
      </c>
      <c r="X574" s="98">
        <v>1.0</v>
      </c>
      <c r="Y574" s="98">
        <v>0.0</v>
      </c>
      <c r="Z574" s="98">
        <v>1.0</v>
      </c>
      <c r="AA574" s="98">
        <v>0.0</v>
      </c>
      <c r="AB574" s="98">
        <v>1.0</v>
      </c>
      <c r="AC574" s="98">
        <v>0.0</v>
      </c>
      <c r="AD574" s="98">
        <v>0.0</v>
      </c>
      <c r="AE574" s="98">
        <v>0.0</v>
      </c>
      <c r="AF574" s="98">
        <v>1.0</v>
      </c>
      <c r="AG574" s="98">
        <v>0.0</v>
      </c>
      <c r="AH574" s="98">
        <v>0.0</v>
      </c>
      <c r="AI574" s="98">
        <v>0.0</v>
      </c>
      <c r="AJ574" s="98">
        <v>1.0</v>
      </c>
      <c r="AK574" s="98">
        <v>0.0</v>
      </c>
      <c r="AL574" s="98">
        <v>0.0</v>
      </c>
      <c r="AM574" s="98">
        <v>0.0</v>
      </c>
      <c r="AN574" s="98">
        <v>0.0</v>
      </c>
      <c r="AO574" s="98">
        <v>0.0</v>
      </c>
      <c r="AP574" s="98">
        <v>1.0</v>
      </c>
      <c r="AQ574" s="98" t="s">
        <v>2584</v>
      </c>
      <c r="AR574" s="102">
        <v>46224.0</v>
      </c>
      <c r="AS574" s="83">
        <v>1118872.0</v>
      </c>
    </row>
    <row r="575" ht="15.75" customHeight="1">
      <c r="A575" s="111" t="s">
        <v>673</v>
      </c>
      <c r="B575" s="83" t="s">
        <v>2576</v>
      </c>
      <c r="C575" s="83" t="s">
        <v>164</v>
      </c>
      <c r="D575" s="112">
        <v>1118872.0</v>
      </c>
      <c r="E575" s="83">
        <v>1179627.0</v>
      </c>
      <c r="F575" s="83"/>
      <c r="G575" s="91" t="str">
        <f>IFERROR(__xludf.DUMMYFUNCTION("XLOOKUP(AS575,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DEMOCRATICO ESTADUAL ANISIO TEIXEIRA - DISTRITO DE ITAIMBE")</f>
        <v>ANEXO - COLÉGIO DEMOCRATICO ESTADUAL ANISIO TEIXEIRA - DISTRITO DE ITAIMBE</v>
      </c>
      <c r="H575" s="184" t="s">
        <v>2588</v>
      </c>
      <c r="I575" s="91" t="s">
        <v>2590</v>
      </c>
      <c r="J575" s="83" t="s">
        <v>2591</v>
      </c>
      <c r="K575" s="83" t="s">
        <v>183</v>
      </c>
      <c r="L575" s="83" t="s">
        <v>151</v>
      </c>
      <c r="M575" s="83" t="s">
        <v>169</v>
      </c>
      <c r="N575" s="115" t="s">
        <v>170</v>
      </c>
      <c r="O575" s="98" t="s">
        <v>155</v>
      </c>
      <c r="P575" s="99" t="str">
        <f>IFERROR(__xludf.DUMMYFUNCTION("IFERROR(VLOOKUP(AS575,IMPORTRANGE(""https://docs.google.com/spreadsheets/d/1juPI-Fb8LD0YtltB2mlGEnp_R3UVu1t3wSFPzgCyHXE/edit?gid=0#gid=0"",""GERAL!A2:C""),3,0),""-"")"),"CAMPO")</f>
        <v>CAMPO</v>
      </c>
      <c r="Q575" s="101" t="s">
        <v>156</v>
      </c>
      <c r="R575" s="98">
        <v>7.0</v>
      </c>
      <c r="S575" s="98">
        <v>0.0</v>
      </c>
      <c r="T575" s="98">
        <v>0.0</v>
      </c>
      <c r="U575" s="98">
        <v>0.0</v>
      </c>
      <c r="V575" s="98">
        <v>0.0</v>
      </c>
      <c r="W575" s="98">
        <v>0.0</v>
      </c>
      <c r="X575" s="98">
        <v>0.0</v>
      </c>
      <c r="Y575" s="98">
        <v>0.0</v>
      </c>
      <c r="Z575" s="98">
        <v>0.0</v>
      </c>
      <c r="AA575" s="98">
        <v>0.0</v>
      </c>
      <c r="AB575" s="98">
        <v>0.0</v>
      </c>
      <c r="AC575" s="98">
        <v>0.0</v>
      </c>
      <c r="AD575" s="98">
        <v>0.0</v>
      </c>
      <c r="AE575" s="98">
        <v>0.0</v>
      </c>
      <c r="AF575" s="98">
        <v>0.0</v>
      </c>
      <c r="AG575" s="98">
        <v>0.0</v>
      </c>
      <c r="AH575" s="98">
        <v>0.0</v>
      </c>
      <c r="AI575" s="98">
        <v>0.0</v>
      </c>
      <c r="AJ575" s="98">
        <v>0.0</v>
      </c>
      <c r="AK575" s="98">
        <v>0.0</v>
      </c>
      <c r="AL575" s="98">
        <v>0.0</v>
      </c>
      <c r="AM575" s="98">
        <v>0.0</v>
      </c>
      <c r="AN575" s="98">
        <v>0.0</v>
      </c>
      <c r="AO575" s="98">
        <v>0.0</v>
      </c>
      <c r="AP575" s="98">
        <v>1.0</v>
      </c>
      <c r="AQ575" s="98" t="s">
        <v>2618</v>
      </c>
      <c r="AR575" s="102">
        <v>46224.0</v>
      </c>
      <c r="AS575" s="83">
        <v>1179627.0</v>
      </c>
    </row>
    <row r="576" ht="15.75" customHeight="1">
      <c r="A576" s="111" t="s">
        <v>673</v>
      </c>
      <c r="B576" s="83" t="s">
        <v>2620</v>
      </c>
      <c r="C576" s="83" t="s">
        <v>68</v>
      </c>
      <c r="D576" s="112">
        <v>1112785.0</v>
      </c>
      <c r="E576" s="83"/>
      <c r="F576" s="83">
        <v>2.9312469E7</v>
      </c>
      <c r="G576" s="91" t="str">
        <f>IFERROR(__xludf.DUMMYFUNCTION("XLOOKUP(AS576,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MARIA DA CONCEIÇÃO SOBRINHO MIRANDA
(ANTIGO - COLÉGIO ESTADUAL JOHN KENNEDY)")</f>
        <v>COLÉGIO ESTADUAL DE TEMPO INTEGRAL PROFESSORA MARIA DA CONCEIÇÃO SOBRINHO MIRANDA
(ANTIGO - COLÉGIO ESTADUAL JOHN KENNEDY)</v>
      </c>
      <c r="H576" s="98" t="s">
        <v>2624</v>
      </c>
      <c r="I576" s="91" t="s">
        <v>2625</v>
      </c>
      <c r="J576" s="83" t="s">
        <v>149</v>
      </c>
      <c r="K576" s="83" t="s">
        <v>150</v>
      </c>
      <c r="L576" s="83" t="s">
        <v>151</v>
      </c>
      <c r="M576" s="83" t="s">
        <v>169</v>
      </c>
      <c r="N576" s="137" t="s">
        <v>2626</v>
      </c>
      <c r="O576" s="98" t="s">
        <v>155</v>
      </c>
      <c r="P576" s="99" t="str">
        <f>IFERROR(__xludf.DUMMYFUNCTION("IFERROR(VLOOKUP(AS576,IMPORTRANGE(""https://docs.google.com/spreadsheets/d/1juPI-Fb8LD0YtltB2mlGEnp_R3UVu1t3wSFPzgCyHXE/edit?gid=0#gid=0"",""GERAL!A2:C""),3,0),""-"")"),"-")</f>
        <v>-</v>
      </c>
      <c r="Q576" s="169" t="s">
        <v>156</v>
      </c>
      <c r="R576" s="115">
        <v>6.0</v>
      </c>
      <c r="S576" s="115" t="s">
        <v>171</v>
      </c>
      <c r="T576" s="115" t="s">
        <v>171</v>
      </c>
      <c r="U576" s="115" t="s">
        <v>171</v>
      </c>
      <c r="V576" s="115" t="s">
        <v>171</v>
      </c>
      <c r="W576" s="115" t="s">
        <v>171</v>
      </c>
      <c r="X576" s="115" t="s">
        <v>171</v>
      </c>
      <c r="Y576" s="115" t="s">
        <v>171</v>
      </c>
      <c r="Z576" s="115" t="s">
        <v>171</v>
      </c>
      <c r="AA576" s="115" t="s">
        <v>171</v>
      </c>
      <c r="AB576" s="115" t="s">
        <v>171</v>
      </c>
      <c r="AC576" s="115" t="s">
        <v>171</v>
      </c>
      <c r="AD576" s="115" t="s">
        <v>171</v>
      </c>
      <c r="AE576" s="98" t="s">
        <v>171</v>
      </c>
      <c r="AF576" s="115" t="s">
        <v>171</v>
      </c>
      <c r="AG576" s="115">
        <v>1.0</v>
      </c>
      <c r="AH576" s="115" t="s">
        <v>171</v>
      </c>
      <c r="AI576" s="98" t="s">
        <v>171</v>
      </c>
      <c r="AJ576" s="115" t="s">
        <v>171</v>
      </c>
      <c r="AK576" s="115" t="s">
        <v>171</v>
      </c>
      <c r="AL576" s="115" t="s">
        <v>171</v>
      </c>
      <c r="AM576" s="115" t="s">
        <v>171</v>
      </c>
      <c r="AN576" s="115" t="s">
        <v>171</v>
      </c>
      <c r="AO576" s="115" t="s">
        <v>171</v>
      </c>
      <c r="AP576" s="115" t="s">
        <v>171</v>
      </c>
      <c r="AQ576" s="98" t="s">
        <v>171</v>
      </c>
      <c r="AR576" s="170">
        <v>46226.0</v>
      </c>
      <c r="AS576" s="136">
        <v>1112785.0</v>
      </c>
    </row>
    <row r="577" ht="15.75" customHeight="1">
      <c r="A577" s="111" t="s">
        <v>723</v>
      </c>
      <c r="B577" s="83" t="s">
        <v>2442</v>
      </c>
      <c r="C577" s="83" t="s">
        <v>68</v>
      </c>
      <c r="D577" s="112">
        <v>1179832.0</v>
      </c>
      <c r="E577" s="83"/>
      <c r="F577" s="98">
        <v>2.9222583E7</v>
      </c>
      <c r="G577" s="91" t="str">
        <f>IFERROR(__xludf.DUMMYFUNCTION("XLOOKUP(AS577,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 AMARGOSA")</f>
        <v>COLEGIO ESTADUAL DE TEMPO INTEGRAL DE AMARGOSA</v>
      </c>
      <c r="H577" s="119" t="s">
        <v>2635</v>
      </c>
      <c r="I577" s="108" t="s">
        <v>2636</v>
      </c>
      <c r="J577" s="83" t="s">
        <v>149</v>
      </c>
      <c r="K577" s="83" t="s">
        <v>150</v>
      </c>
      <c r="L577" s="83" t="s">
        <v>151</v>
      </c>
      <c r="M577" s="83" t="s">
        <v>230</v>
      </c>
      <c r="N577" s="137" t="s">
        <v>2637</v>
      </c>
      <c r="O577" s="98"/>
      <c r="P577" s="99" t="str">
        <f>IFERROR(__xludf.DUMMYFUNCTION("IFERROR(VLOOKUP(AS577,IMPORTRANGE(""https://docs.google.com/spreadsheets/d/1juPI-Fb8LD0YtltB2mlGEnp_R3UVu1t3wSFPzgCyHXE/edit?gid=0#gid=0"",""GERAL!A2:C""),3,0),""-"")"),"-")</f>
        <v>-</v>
      </c>
      <c r="Q577" s="101" t="s">
        <v>156</v>
      </c>
      <c r="R577" s="98">
        <v>24.0</v>
      </c>
      <c r="S577" s="98">
        <v>0.0</v>
      </c>
      <c r="T577" s="98">
        <v>2.0</v>
      </c>
      <c r="U577" s="98">
        <v>0.0</v>
      </c>
      <c r="V577" s="98">
        <v>1.0</v>
      </c>
      <c r="W577" s="98">
        <v>3.0</v>
      </c>
      <c r="X577" s="98">
        <v>1.0</v>
      </c>
      <c r="Y577" s="98">
        <v>0.0</v>
      </c>
      <c r="Z577" s="98">
        <v>1.0</v>
      </c>
      <c r="AA577" s="98">
        <v>0.0</v>
      </c>
      <c r="AB577" s="98">
        <v>1.0</v>
      </c>
      <c r="AC577" s="98">
        <v>0.0</v>
      </c>
      <c r="AD577" s="98">
        <v>0.0</v>
      </c>
      <c r="AE577" s="98">
        <v>0.0</v>
      </c>
      <c r="AF577" s="98">
        <v>1.0</v>
      </c>
      <c r="AG577" s="98">
        <v>0.0</v>
      </c>
      <c r="AH577" s="98">
        <v>0.0</v>
      </c>
      <c r="AI577" s="98">
        <v>0.0</v>
      </c>
      <c r="AJ577" s="98">
        <v>0.0</v>
      </c>
      <c r="AK577" s="98">
        <v>1.0</v>
      </c>
      <c r="AL577" s="98">
        <v>0.0</v>
      </c>
      <c r="AM577" s="98">
        <v>0.0</v>
      </c>
      <c r="AN577" s="98">
        <v>0.0</v>
      </c>
      <c r="AO577" s="98">
        <v>1.0</v>
      </c>
      <c r="AP577" s="98">
        <v>0.0</v>
      </c>
      <c r="AQ577" s="98" t="s">
        <v>2638</v>
      </c>
      <c r="AR577" s="102">
        <v>46206.0</v>
      </c>
      <c r="AS577" s="83">
        <v>1179832.0</v>
      </c>
    </row>
    <row r="578" ht="15.75" customHeight="1">
      <c r="A578" s="111" t="s">
        <v>723</v>
      </c>
      <c r="B578" s="83" t="s">
        <v>2442</v>
      </c>
      <c r="C578" s="83" t="s">
        <v>68</v>
      </c>
      <c r="D578" s="112">
        <v>1167180.0</v>
      </c>
      <c r="E578" s="83"/>
      <c r="F578" s="83">
        <v>2.9223016E7</v>
      </c>
      <c r="G578" s="91" t="str">
        <f>IFERROR(__xludf.DUMMYFUNCTION("XLOOKUP(AS578,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DO VALE DO JEQUIRICA")</f>
        <v>CENTRO TERRITORIAL DE EDUCACAO PROFISSIONAL DO VALE DO JEQUIRICA</v>
      </c>
      <c r="H578" s="114" t="s">
        <v>2639</v>
      </c>
      <c r="I578" s="91" t="s">
        <v>2641</v>
      </c>
      <c r="J578" s="83" t="s">
        <v>149</v>
      </c>
      <c r="K578" s="83" t="s">
        <v>2642</v>
      </c>
      <c r="L578" s="83" t="s">
        <v>151</v>
      </c>
      <c r="M578" s="83" t="s">
        <v>230</v>
      </c>
      <c r="N578" s="137" t="s">
        <v>2643</v>
      </c>
      <c r="O578" s="98" t="s">
        <v>176</v>
      </c>
      <c r="P578" s="99" t="str">
        <f>IFERROR(__xludf.DUMMYFUNCTION("IFERROR(VLOOKUP(AS578,IMPORTRANGE(""https://docs.google.com/spreadsheets/d/1juPI-Fb8LD0YtltB2mlGEnp_R3UVu1t3wSFPzgCyHXE/edit?gid=0#gid=0"",""GERAL!A2:C""),3,0),""-"")"),"-")</f>
        <v>-</v>
      </c>
      <c r="Q578" s="101" t="s">
        <v>156</v>
      </c>
      <c r="R578" s="98">
        <v>12.0</v>
      </c>
      <c r="S578" s="98">
        <v>0.0</v>
      </c>
      <c r="T578" s="98">
        <v>1.0</v>
      </c>
      <c r="U578" s="98">
        <v>0.0</v>
      </c>
      <c r="V578" s="98">
        <v>1.0</v>
      </c>
      <c r="W578" s="98">
        <v>4.0</v>
      </c>
      <c r="X578" s="98">
        <v>0.0</v>
      </c>
      <c r="Y578" s="98">
        <v>1.0</v>
      </c>
      <c r="Z578" s="98">
        <v>1.0</v>
      </c>
      <c r="AA578" s="98">
        <v>0.0</v>
      </c>
      <c r="AB578" s="98">
        <v>1.0</v>
      </c>
      <c r="AC578" s="98">
        <v>0.0</v>
      </c>
      <c r="AD578" s="98">
        <v>0.0</v>
      </c>
      <c r="AE578" s="98">
        <v>0.0</v>
      </c>
      <c r="AF578" s="98">
        <v>1.0</v>
      </c>
      <c r="AG578" s="98">
        <v>0.0</v>
      </c>
      <c r="AH578" s="98">
        <v>0.0</v>
      </c>
      <c r="AI578" s="98">
        <v>0.0</v>
      </c>
      <c r="AJ578" s="98">
        <v>0.0</v>
      </c>
      <c r="AK578" s="98">
        <v>1.0</v>
      </c>
      <c r="AL578" s="98">
        <v>0.0</v>
      </c>
      <c r="AM578" s="98">
        <v>0.0</v>
      </c>
      <c r="AN578" s="98">
        <v>0.0</v>
      </c>
      <c r="AO578" s="98">
        <v>1.0</v>
      </c>
      <c r="AP578" s="98">
        <v>1.0</v>
      </c>
      <c r="AQ578" s="98" t="s">
        <v>2644</v>
      </c>
      <c r="AR578" s="102">
        <v>46206.0</v>
      </c>
      <c r="AS578" s="83">
        <v>1167180.0</v>
      </c>
    </row>
    <row r="579" ht="15.75" customHeight="1">
      <c r="A579" s="127" t="s">
        <v>723</v>
      </c>
      <c r="B579" s="98" t="s">
        <v>2442</v>
      </c>
      <c r="C579" s="83" t="s">
        <v>68</v>
      </c>
      <c r="D579" s="98">
        <v>1179787.0</v>
      </c>
      <c r="E579" s="83"/>
      <c r="F579" s="98">
        <v>44174.0</v>
      </c>
      <c r="G579" s="91" t="str">
        <f>IFERROR(__xludf.DUMMYFUNCTION("XLOOKUP(AS579,
IMPORTRANGE(""https://docs.google.com/spreadsheets/d/1YM-djuOLXomrZ9W0B4TyIBsVWnXY4EIOFD9HY-qGfv0/edit?usp=sharing"",""GERAL!BG5:BG""),
IMPORTRANGE(""https://docs.google.com/spreadsheets/d/1YM-djuOLXomrZ9W0B4TyIBsVWnXY4EIOFD9HY-qGfv0/edit?u"&amp;"sp=sharing"",""GERAL!G5:G""),
""CÓD. SEC NÃO ENCONTRADO NA PLANILHA DE MATRÍCULA"")"),"CENTRO DE APOIO PEDAGOGICO ESPECIALIZADO - CAPE AMARGOSA")</f>
        <v>CENTRO DE APOIO PEDAGOGICO ESPECIALIZADO - CAPE AMARGOSA</v>
      </c>
      <c r="H579" s="119" t="s">
        <v>2647</v>
      </c>
      <c r="I579" s="108" t="s">
        <v>2648</v>
      </c>
      <c r="J579" s="83" t="s">
        <v>149</v>
      </c>
      <c r="K579" s="98"/>
      <c r="L579" s="83" t="s">
        <v>151</v>
      </c>
      <c r="M579" s="83" t="s">
        <v>230</v>
      </c>
      <c r="N579" s="128" t="s">
        <v>171</v>
      </c>
      <c r="O579" s="98" t="s">
        <v>155</v>
      </c>
      <c r="P579" s="99" t="str">
        <f>IFERROR(__xludf.DUMMYFUNCTION("IFERROR(VLOOKUP(AS579,IMPORTRANGE(""https://docs.google.com/spreadsheets/d/1juPI-Fb8LD0YtltB2mlGEnp_R3UVu1t3wSFPzgCyHXE/edit?gid=0#gid=0"",""GERAL!A2:C""),3,0),""-"")"),"-")</f>
        <v>-</v>
      </c>
      <c r="Q579" s="98" t="s">
        <v>171</v>
      </c>
      <c r="R579" s="98" t="s">
        <v>171</v>
      </c>
      <c r="S579" s="98" t="s">
        <v>171</v>
      </c>
      <c r="T579" s="98" t="s">
        <v>171</v>
      </c>
      <c r="U579" s="98" t="s">
        <v>171</v>
      </c>
      <c r="V579" s="98" t="s">
        <v>171</v>
      </c>
      <c r="W579" s="98" t="s">
        <v>171</v>
      </c>
      <c r="X579" s="98" t="s">
        <v>171</v>
      </c>
      <c r="Y579" s="98" t="s">
        <v>171</v>
      </c>
      <c r="Z579" s="98" t="s">
        <v>171</v>
      </c>
      <c r="AA579" s="98" t="s">
        <v>171</v>
      </c>
      <c r="AB579" s="98" t="s">
        <v>171</v>
      </c>
      <c r="AC579" s="98" t="s">
        <v>171</v>
      </c>
      <c r="AD579" s="98" t="s">
        <v>171</v>
      </c>
      <c r="AE579" s="98" t="s">
        <v>171</v>
      </c>
      <c r="AF579" s="98" t="s">
        <v>171</v>
      </c>
      <c r="AG579" s="98" t="s">
        <v>171</v>
      </c>
      <c r="AH579" s="98" t="s">
        <v>171</v>
      </c>
      <c r="AI579" s="98"/>
      <c r="AJ579" s="98" t="s">
        <v>171</v>
      </c>
      <c r="AK579" s="98" t="s">
        <v>171</v>
      </c>
      <c r="AL579" s="98" t="s">
        <v>171</v>
      </c>
      <c r="AM579" s="98" t="s">
        <v>171</v>
      </c>
      <c r="AN579" s="98" t="s">
        <v>171</v>
      </c>
      <c r="AO579" s="98" t="s">
        <v>171</v>
      </c>
      <c r="AP579" s="98" t="s">
        <v>171</v>
      </c>
      <c r="AQ579" s="98" t="s">
        <v>171</v>
      </c>
      <c r="AR579" s="102">
        <v>46206.0</v>
      </c>
      <c r="AS579" s="98">
        <v>1179787.0</v>
      </c>
    </row>
    <row r="580" ht="15.75" customHeight="1">
      <c r="A580" s="111" t="s">
        <v>723</v>
      </c>
      <c r="B580" s="83" t="s">
        <v>2654</v>
      </c>
      <c r="C580" s="83" t="s">
        <v>68</v>
      </c>
      <c r="D580" s="112">
        <v>1117175.0</v>
      </c>
      <c r="E580" s="83"/>
      <c r="F580" s="83">
        <v>2.9223687E7</v>
      </c>
      <c r="G580" s="91" t="str">
        <f>IFERROR(__xludf.DUMMYFUNCTION("XLOOKUP(AS580,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DA TERRA DO CAFÉ (ANTIGO CE EDIVALDO BOAVENTURA)")</f>
        <v>COLÉGIO ESTADUAL DO CAMPO DE TEMPO INTEGRAL DA TERRA DO CAFÉ (ANTIGO CE EDIVALDO BOAVENTURA)</v>
      </c>
      <c r="H580" s="119" t="s">
        <v>2655</v>
      </c>
      <c r="I580" s="91" t="s">
        <v>2656</v>
      </c>
      <c r="J580" s="136" t="s">
        <v>149</v>
      </c>
      <c r="K580" s="83" t="s">
        <v>2571</v>
      </c>
      <c r="L580" s="83" t="s">
        <v>151</v>
      </c>
      <c r="M580" s="83" t="s">
        <v>152</v>
      </c>
      <c r="N580" s="171" t="s">
        <v>2657</v>
      </c>
      <c r="O580" s="98" t="s">
        <v>155</v>
      </c>
      <c r="P580" s="99" t="str">
        <f>IFERROR(__xludf.DUMMYFUNCTION("IFERROR(VLOOKUP(AS580,IMPORTRANGE(""https://docs.google.com/spreadsheets/d/1juPI-Fb8LD0YtltB2mlGEnp_R3UVu1t3wSFPzgCyHXE/edit?gid=0#gid=0"",""GERAL!A2:C""),3,0),""-"")"),"CAMPO")</f>
        <v>CAMPO</v>
      </c>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v>1117175.0</v>
      </c>
    </row>
    <row r="581" ht="15.75" customHeight="1">
      <c r="A581" s="111" t="s">
        <v>723</v>
      </c>
      <c r="B581" s="83" t="s">
        <v>2654</v>
      </c>
      <c r="C581" s="83" t="s">
        <v>68</v>
      </c>
      <c r="D581" s="112">
        <v>1176399.0</v>
      </c>
      <c r="E581" s="83"/>
      <c r="F581" s="83">
        <v>2.9369053E7</v>
      </c>
      <c r="G581" s="91" t="str">
        <f>IFERROR(__xludf.DUMMYFUNCTION("XLOOKUP(AS581,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HELENA SOUZA BISPO")</f>
        <v>COLÉGIO ESTADUAL DE TEMPO INTEGRAL PROFESSORA HELENA SOUZA BISPO</v>
      </c>
      <c r="H581" s="119" t="s">
        <v>2658</v>
      </c>
      <c r="I581" s="91" t="s">
        <v>2659</v>
      </c>
      <c r="J581" s="136" t="s">
        <v>149</v>
      </c>
      <c r="K581" s="83" t="s">
        <v>150</v>
      </c>
      <c r="L581" s="83" t="s">
        <v>151</v>
      </c>
      <c r="M581" s="83" t="s">
        <v>152</v>
      </c>
      <c r="N581" s="98" t="s">
        <v>2660</v>
      </c>
      <c r="O581" s="98" t="s">
        <v>155</v>
      </c>
      <c r="P581" s="99" t="str">
        <f>IFERROR(__xludf.DUMMYFUNCTION("IFERROR(VLOOKUP(AS581,IMPORTRANGE(""https://docs.google.com/spreadsheets/d/1juPI-Fb8LD0YtltB2mlGEnp_R3UVu1t3wSFPzgCyHXE/edit?gid=0#gid=0"",""GERAL!A2:C""),3,0),""-"")"),"-")</f>
        <v>-</v>
      </c>
      <c r="Q581" s="83"/>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v>1176399.0</v>
      </c>
    </row>
    <row r="582" ht="15.75" customHeight="1">
      <c r="A582" s="111" t="s">
        <v>723</v>
      </c>
      <c r="B582" s="83" t="s">
        <v>2661</v>
      </c>
      <c r="C582" s="83" t="s">
        <v>68</v>
      </c>
      <c r="D582" s="112">
        <v>1178045.0</v>
      </c>
      <c r="E582" s="83"/>
      <c r="F582" s="83">
        <v>2.9429129E7</v>
      </c>
      <c r="G582" s="91" t="str">
        <f>IFERROR(__xludf.DUMMYFUNCTION("XLOOKUP(AS582,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CRAVOLANDIA - TEMPO INTEGRAL")</f>
        <v>COLÉGIO ESTADUAL DE CRAVOLANDIA - TEMPO INTEGRAL</v>
      </c>
      <c r="H582" s="119" t="s">
        <v>2662</v>
      </c>
      <c r="I582" s="91" t="s">
        <v>2663</v>
      </c>
      <c r="J582" s="136" t="s">
        <v>149</v>
      </c>
      <c r="K582" s="83" t="s">
        <v>150</v>
      </c>
      <c r="L582" s="83" t="s">
        <v>151</v>
      </c>
      <c r="M582" s="83" t="s">
        <v>152</v>
      </c>
      <c r="N582" s="98" t="s">
        <v>2664</v>
      </c>
      <c r="O582" s="98" t="s">
        <v>155</v>
      </c>
      <c r="P582" s="99" t="str">
        <f>IFERROR(__xludf.DUMMYFUNCTION("IFERROR(VLOOKUP(AS582,IMPORTRANGE(""https://docs.google.com/spreadsheets/d/1juPI-Fb8LD0YtltB2mlGEnp_R3UVu1t3wSFPzgCyHXE/edit?gid=0#gid=0"",""GERAL!A2:C""),3,0),""-"")"),"-")</f>
        <v>-</v>
      </c>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v>1178045.0</v>
      </c>
    </row>
    <row r="583" ht="15.75" customHeight="1">
      <c r="A583" s="111" t="s">
        <v>723</v>
      </c>
      <c r="B583" s="83" t="s">
        <v>2661</v>
      </c>
      <c r="C583" s="83" t="s">
        <v>164</v>
      </c>
      <c r="D583" s="112">
        <v>1178045.0</v>
      </c>
      <c r="E583" s="83">
        <v>1178616.0</v>
      </c>
      <c r="F583" s="83"/>
      <c r="G583" s="91" t="str">
        <f>IFERROR(__xludf.DUMMYFUNCTION("XLOOKUP(AS583,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CRAVOLANDIA - DISTRITO ILHA FORMOSA")</f>
        <v>ANEXO - COLÉGIO ESTADUAL DE CRAVOLANDIA - DISTRITO ILHA FORMOSA</v>
      </c>
      <c r="H583" s="119" t="s">
        <v>2665</v>
      </c>
      <c r="I583" s="91" t="s">
        <v>2666</v>
      </c>
      <c r="J583" s="136" t="s">
        <v>2667</v>
      </c>
      <c r="K583" s="83" t="s">
        <v>2668</v>
      </c>
      <c r="L583" s="83" t="s">
        <v>168</v>
      </c>
      <c r="M583" s="83" t="s">
        <v>169</v>
      </c>
      <c r="N583" s="115" t="s">
        <v>170</v>
      </c>
      <c r="O583" s="98" t="s">
        <v>155</v>
      </c>
      <c r="P583" s="99" t="str">
        <f>IFERROR(__xludf.DUMMYFUNCTION("IFERROR(VLOOKUP(AS583,IMPORTRANGE(""https://docs.google.com/spreadsheets/d/1juPI-Fb8LD0YtltB2mlGEnp_R3UVu1t3wSFPzgCyHXE/edit?gid=0#gid=0"",""GERAL!A2:C""),3,0),""-"")"),"CAMPO")</f>
        <v>CAMPO</v>
      </c>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v>1178616.0</v>
      </c>
    </row>
    <row r="584" ht="15.75" customHeight="1">
      <c r="A584" s="111" t="s">
        <v>723</v>
      </c>
      <c r="B584" s="83" t="s">
        <v>2670</v>
      </c>
      <c r="C584" s="83" t="s">
        <v>68</v>
      </c>
      <c r="D584" s="112">
        <v>1109423.0</v>
      </c>
      <c r="E584" s="83"/>
      <c r="F584" s="83">
        <v>2.9092744E7</v>
      </c>
      <c r="G584" s="91" t="str">
        <f>IFERROR(__xludf.DUMMYFUNCTION("XLOOKUP(AS584,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DEMOCRATICO PROFESSOR ROMULO GALVAO - TEMPO INTEGRAL")</f>
        <v>COLÉGIO ESTADUAL DEMOCRATICO PROFESSOR ROMULO GALVAO - TEMPO INTEGRAL</v>
      </c>
      <c r="H584" s="119" t="s">
        <v>2674</v>
      </c>
      <c r="I584" s="91" t="s">
        <v>2675</v>
      </c>
      <c r="J584" s="136" t="s">
        <v>149</v>
      </c>
      <c r="K584" s="83" t="s">
        <v>150</v>
      </c>
      <c r="L584" s="83" t="s">
        <v>151</v>
      </c>
      <c r="M584" s="83" t="s">
        <v>76</v>
      </c>
      <c r="N584" s="98" t="s">
        <v>2677</v>
      </c>
      <c r="O584" s="98" t="s">
        <v>155</v>
      </c>
      <c r="P584" s="99" t="str">
        <f>IFERROR(__xludf.DUMMYFUNCTION("IFERROR(VLOOKUP(AS584,IMPORTRANGE(""https://docs.google.com/spreadsheets/d/1juPI-Fb8LD0YtltB2mlGEnp_R3UVu1t3wSFPzgCyHXE/edit?gid=0#gid=0"",""GERAL!A2:C""),3,0),""-"")"),"-")</f>
        <v>-</v>
      </c>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102"/>
      <c r="AS584" s="83">
        <v>1109423.0</v>
      </c>
    </row>
    <row r="585" ht="15.75" customHeight="1">
      <c r="A585" s="111" t="s">
        <v>723</v>
      </c>
      <c r="B585" s="83" t="s">
        <v>2678</v>
      </c>
      <c r="C585" s="83" t="s">
        <v>68</v>
      </c>
      <c r="D585" s="112">
        <v>1176366.0</v>
      </c>
      <c r="E585" s="83"/>
      <c r="F585" s="83">
        <v>2.934008E7</v>
      </c>
      <c r="G585" s="91" t="str">
        <f>IFERROR(__xludf.DUMMYFUNCTION("XLOOKUP(AS585,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ISAIAS ALEIXO")</f>
        <v>COLÉGIO ESTADUAL DE TEMPO INTEGRAL PROFESSOR  ISAIAS ALEIXO</v>
      </c>
      <c r="H585" s="119" t="s">
        <v>2679</v>
      </c>
      <c r="I585" s="108" t="s">
        <v>2680</v>
      </c>
      <c r="J585" s="83" t="s">
        <v>149</v>
      </c>
      <c r="K585" s="83" t="s">
        <v>150</v>
      </c>
      <c r="L585" s="83" t="s">
        <v>151</v>
      </c>
      <c r="M585" s="98" t="s">
        <v>76</v>
      </c>
      <c r="N585" s="137" t="s">
        <v>2681</v>
      </c>
      <c r="O585" s="98" t="s">
        <v>155</v>
      </c>
      <c r="P585" s="99" t="str">
        <f>IFERROR(__xludf.DUMMYFUNCTION("IFERROR(VLOOKUP(AS585,IMPORTRANGE(""https://docs.google.com/spreadsheets/d/1juPI-Fb8LD0YtltB2mlGEnp_R3UVu1t3wSFPzgCyHXE/edit?gid=0#gid=0"",""GERAL!A2:C""),3,0),""-"")"),"-")</f>
        <v>-</v>
      </c>
      <c r="Q585" s="101" t="s">
        <v>156</v>
      </c>
      <c r="R585" s="98">
        <v>10.0</v>
      </c>
      <c r="S585" s="98">
        <v>1.0</v>
      </c>
      <c r="T585" s="98">
        <v>2.0</v>
      </c>
      <c r="U585" s="98">
        <v>1.0</v>
      </c>
      <c r="V585" s="98">
        <v>0.0</v>
      </c>
      <c r="W585" s="98">
        <v>0.0</v>
      </c>
      <c r="X585" s="98">
        <v>1.0</v>
      </c>
      <c r="Y585" s="98">
        <v>0.0</v>
      </c>
      <c r="Z585" s="98">
        <v>1.0</v>
      </c>
      <c r="AA585" s="98">
        <v>0.0</v>
      </c>
      <c r="AB585" s="98">
        <v>1.0</v>
      </c>
      <c r="AC585" s="98">
        <v>0.0</v>
      </c>
      <c r="AD585" s="98">
        <v>0.0</v>
      </c>
      <c r="AE585" s="98">
        <v>0.0</v>
      </c>
      <c r="AF585" s="98">
        <v>1.0</v>
      </c>
      <c r="AG585" s="98">
        <v>0.0</v>
      </c>
      <c r="AH585" s="98">
        <v>0.0</v>
      </c>
      <c r="AI585" s="98">
        <v>0.0</v>
      </c>
      <c r="AJ585" s="98">
        <v>0.0</v>
      </c>
      <c r="AK585" s="98">
        <v>1.0</v>
      </c>
      <c r="AL585" s="98">
        <v>0.0</v>
      </c>
      <c r="AM585" s="98">
        <v>0.0</v>
      </c>
      <c r="AN585" s="98">
        <v>0.0</v>
      </c>
      <c r="AO585" s="98">
        <v>0.0</v>
      </c>
      <c r="AP585" s="98">
        <v>0.0</v>
      </c>
      <c r="AQ585" s="98" t="s">
        <v>2683</v>
      </c>
      <c r="AR585" s="102">
        <v>46225.0</v>
      </c>
      <c r="AS585" s="83">
        <v>1176366.0</v>
      </c>
    </row>
    <row r="586" ht="15.75" customHeight="1">
      <c r="A586" s="111" t="s">
        <v>723</v>
      </c>
      <c r="B586" s="83" t="s">
        <v>2684</v>
      </c>
      <c r="C586" s="83" t="s">
        <v>68</v>
      </c>
      <c r="D586" s="112">
        <v>1119470.0</v>
      </c>
      <c r="E586" s="83"/>
      <c r="F586" s="83">
        <v>2.922604E7</v>
      </c>
      <c r="G586" s="91" t="str">
        <f>IFERROR(__xludf.DUMMYFUNCTION("XLOOKUP(AS586,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JOÃO PESSOA")</f>
        <v>COLÉGIO ESTADUAL DE TEMPO INTEGRAL JOÃO PESSOA</v>
      </c>
      <c r="H586" s="119" t="s">
        <v>2685</v>
      </c>
      <c r="I586" s="108" t="s">
        <v>2686</v>
      </c>
      <c r="J586" s="83" t="s">
        <v>149</v>
      </c>
      <c r="K586" s="83" t="s">
        <v>150</v>
      </c>
      <c r="L586" s="83" t="s">
        <v>151</v>
      </c>
      <c r="M586" s="98" t="s">
        <v>76</v>
      </c>
      <c r="N586" s="137" t="s">
        <v>2687</v>
      </c>
      <c r="O586" s="98" t="s">
        <v>155</v>
      </c>
      <c r="P586" s="99" t="str">
        <f>IFERROR(__xludf.DUMMYFUNCTION("IFERROR(VLOOKUP(AS586,IMPORTRANGE(""https://docs.google.com/spreadsheets/d/1juPI-Fb8LD0YtltB2mlGEnp_R3UVu1t3wSFPzgCyHXE/edit?gid=0#gid=0"",""GERAL!A2:C""),3,0),""-"")"),"-")</f>
        <v>-</v>
      </c>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v>1119470.0</v>
      </c>
    </row>
    <row r="587" ht="15.75" customHeight="1">
      <c r="A587" s="111" t="s">
        <v>723</v>
      </c>
      <c r="B587" s="83" t="s">
        <v>2688</v>
      </c>
      <c r="C587" s="83" t="s">
        <v>68</v>
      </c>
      <c r="D587" s="112">
        <v>1117566.0</v>
      </c>
      <c r="E587" s="83"/>
      <c r="F587" s="83">
        <v>2.9226147E7</v>
      </c>
      <c r="G587" s="91" t="str">
        <f>IFERROR(__xludf.DUMMYFUNCTION("XLOOKUP(AS587,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MARIA CANDIDA DE CASTILHO FONTOURA")</f>
        <v>COLEGIO ESTADUAL DE TEMPO INTEGRAL MARIA CANDIDA DE CASTILHO FONTOURA</v>
      </c>
      <c r="H587" s="119" t="s">
        <v>2689</v>
      </c>
      <c r="I587" s="91" t="s">
        <v>2690</v>
      </c>
      <c r="J587" s="83" t="s">
        <v>149</v>
      </c>
      <c r="K587" s="136" t="s">
        <v>150</v>
      </c>
      <c r="L587" s="83" t="s">
        <v>151</v>
      </c>
      <c r="M587" s="83" t="s">
        <v>76</v>
      </c>
      <c r="N587" s="137" t="s">
        <v>2691</v>
      </c>
      <c r="O587" s="98" t="s">
        <v>155</v>
      </c>
      <c r="P587" s="99" t="str">
        <f>IFERROR(__xludf.DUMMYFUNCTION("IFERROR(VLOOKUP(AS587,IMPORTRANGE(""https://docs.google.com/spreadsheets/d/1juPI-Fb8LD0YtltB2mlGEnp_R3UVu1t3wSFPzgCyHXE/edit?gid=0#gid=0"",""GERAL!A2:C""),3,0),""-"")"),"-")</f>
        <v>-</v>
      </c>
      <c r="Q587" s="101" t="s">
        <v>156</v>
      </c>
      <c r="R587" s="98">
        <v>12.0</v>
      </c>
      <c r="S587" s="98">
        <v>0.0</v>
      </c>
      <c r="T587" s="98">
        <v>2.0</v>
      </c>
      <c r="U587" s="98">
        <v>0.0</v>
      </c>
      <c r="V587" s="98">
        <v>1.0</v>
      </c>
      <c r="W587" s="98">
        <v>3.0</v>
      </c>
      <c r="X587" s="98">
        <v>1.0</v>
      </c>
      <c r="Y587" s="98">
        <v>0.0</v>
      </c>
      <c r="Z587" s="98">
        <v>1.0</v>
      </c>
      <c r="AA587" s="98">
        <v>0.0</v>
      </c>
      <c r="AB587" s="98">
        <v>1.0</v>
      </c>
      <c r="AC587" s="98">
        <v>0.0</v>
      </c>
      <c r="AD587" s="98">
        <v>0.0</v>
      </c>
      <c r="AE587" s="98">
        <v>0.0</v>
      </c>
      <c r="AF587" s="98">
        <v>1.0</v>
      </c>
      <c r="AG587" s="98">
        <v>0.0</v>
      </c>
      <c r="AH587" s="98">
        <v>0.0</v>
      </c>
      <c r="AI587" s="98">
        <v>0.0</v>
      </c>
      <c r="AJ587" s="98">
        <v>1.0</v>
      </c>
      <c r="AK587" s="98">
        <v>0.0</v>
      </c>
      <c r="AL587" s="98">
        <v>0.0</v>
      </c>
      <c r="AM587" s="98">
        <v>0.0</v>
      </c>
      <c r="AN587" s="98">
        <v>0.0</v>
      </c>
      <c r="AO587" s="98">
        <v>0.0</v>
      </c>
      <c r="AP587" s="98">
        <v>0.0</v>
      </c>
      <c r="AQ587" s="98" t="s">
        <v>2693</v>
      </c>
      <c r="AR587" s="102">
        <v>46225.0</v>
      </c>
      <c r="AS587" s="83">
        <v>1117566.0</v>
      </c>
    </row>
    <row r="588" ht="15.75" customHeight="1">
      <c r="A588" s="111" t="s">
        <v>723</v>
      </c>
      <c r="B588" s="83" t="s">
        <v>2081</v>
      </c>
      <c r="C588" s="83" t="s">
        <v>68</v>
      </c>
      <c r="D588" s="112">
        <v>1119461.0</v>
      </c>
      <c r="E588" s="83"/>
      <c r="F588" s="83">
        <v>2.9227356E7</v>
      </c>
      <c r="G588" s="91" t="str">
        <f>IFERROR(__xludf.DUMMYFUNCTION("XLOOKUP(AS588,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VIRGILIO PEREIRA DE ALMEIDA")</f>
        <v>COLÉGIO ESTADUAL DO CAMPO VIRGILIO PEREIRA DE ALMEIDA</v>
      </c>
      <c r="H588" s="184" t="s">
        <v>2698</v>
      </c>
      <c r="I588" s="91" t="s">
        <v>2699</v>
      </c>
      <c r="J588" s="83" t="s">
        <v>2700</v>
      </c>
      <c r="K588" s="83" t="s">
        <v>150</v>
      </c>
      <c r="L588" s="83" t="s">
        <v>151</v>
      </c>
      <c r="M588" s="83" t="s">
        <v>152</v>
      </c>
      <c r="N588" s="137" t="s">
        <v>2701</v>
      </c>
      <c r="O588" s="98" t="s">
        <v>155</v>
      </c>
      <c r="P588" s="99" t="str">
        <f>IFERROR(__xludf.DUMMYFUNCTION("IFERROR(VLOOKUP(AS588,IMPORTRANGE(""https://docs.google.com/spreadsheets/d/1juPI-Fb8LD0YtltB2mlGEnp_R3UVu1t3wSFPzgCyHXE/edit?gid=0#gid=0"",""GERAL!A2:C""),3,0),""-"")"),"-")</f>
        <v>-</v>
      </c>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v>1119461.0</v>
      </c>
    </row>
    <row r="589" ht="15.75" customHeight="1">
      <c r="A589" s="111" t="s">
        <v>723</v>
      </c>
      <c r="B589" s="83" t="s">
        <v>2081</v>
      </c>
      <c r="C589" s="83" t="s">
        <v>68</v>
      </c>
      <c r="D589" s="112">
        <v>1118023.0</v>
      </c>
      <c r="E589" s="83"/>
      <c r="F589" s="83">
        <v>2.9226864E7</v>
      </c>
      <c r="G589" s="91" t="str">
        <f>IFERROR(__xludf.DUMMYFUNCTION("XLOOKUP(AS589,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NOSSA SENHORA AUXILIADORA - DISTRITO DE ESTELA CAMARA")</f>
        <v>COLÉGIO ESTADUAL DE TEMPO INTEGRAL NOSSA SENHORA AUXILIADORA - DISTRITO DE ESTELA CAMARA</v>
      </c>
      <c r="H589" s="184" t="s">
        <v>2702</v>
      </c>
      <c r="I589" s="91" t="s">
        <v>2703</v>
      </c>
      <c r="J589" s="83" t="s">
        <v>149</v>
      </c>
      <c r="K589" s="83" t="s">
        <v>2704</v>
      </c>
      <c r="L589" s="83" t="s">
        <v>151</v>
      </c>
      <c r="M589" s="83" t="s">
        <v>152</v>
      </c>
      <c r="N589" s="98" t="s">
        <v>2705</v>
      </c>
      <c r="O589" s="98" t="s">
        <v>155</v>
      </c>
      <c r="P589" s="99" t="str">
        <f>IFERROR(__xludf.DUMMYFUNCTION("IFERROR(VLOOKUP(AS589,IMPORTRANGE(""https://docs.google.com/spreadsheets/d/1juPI-Fb8LD0YtltB2mlGEnp_R3UVu1t3wSFPzgCyHXE/edit?gid=0#gid=0"",""GERAL!A2:C""),3,0),""-"")"),"CAMPO")</f>
        <v>CAMPO</v>
      </c>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v>1118023.0</v>
      </c>
    </row>
    <row r="590" ht="15.75" customHeight="1">
      <c r="A590" s="111" t="s">
        <v>723</v>
      </c>
      <c r="B590" s="83" t="s">
        <v>2081</v>
      </c>
      <c r="C590" s="83" t="s">
        <v>68</v>
      </c>
      <c r="D590" s="112">
        <v>1119445.0</v>
      </c>
      <c r="E590" s="83"/>
      <c r="F590" s="83">
        <v>2.922652E7</v>
      </c>
      <c r="G590" s="91" t="str">
        <f>IFERROR(__xludf.DUMMYFUNCTION("XLOOKUP(AS590,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EM ALIMENTOS E RECURSOS NATURAIS PIO XII")</f>
        <v>CENTRO ESTADUAL DE EDUCACAO PROFISSIONAL EM ALIMENTOS E RECURSOS NATURAIS PIO XII</v>
      </c>
      <c r="H590" s="185" t="s">
        <v>2707</v>
      </c>
      <c r="I590" s="91" t="s">
        <v>2708</v>
      </c>
      <c r="J590" s="172" t="s">
        <v>2709</v>
      </c>
      <c r="K590" s="83" t="s">
        <v>150</v>
      </c>
      <c r="L590" s="83" t="s">
        <v>151</v>
      </c>
      <c r="M590" s="83" t="s">
        <v>230</v>
      </c>
      <c r="N590" s="98" t="s">
        <v>2710</v>
      </c>
      <c r="O590" s="98" t="s">
        <v>284</v>
      </c>
      <c r="P590" s="99" t="str">
        <f>IFERROR(__xludf.DUMMYFUNCTION("IFERROR(VLOOKUP(AS590,IMPORTRANGE(""https://docs.google.com/spreadsheets/d/1juPI-Fb8LD0YtltB2mlGEnp_R3UVu1t3wSFPzgCyHXE/edit?gid=0#gid=0"",""GERAL!A2:C""),3,0),""-"")"),"-")</f>
        <v>-</v>
      </c>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v>1119445.0</v>
      </c>
    </row>
    <row r="591" ht="15.75" customHeight="1">
      <c r="A591" s="111" t="s">
        <v>723</v>
      </c>
      <c r="B591" s="83" t="s">
        <v>2081</v>
      </c>
      <c r="C591" s="83" t="s">
        <v>164</v>
      </c>
      <c r="D591" s="112">
        <v>1119461.0</v>
      </c>
      <c r="E591" s="83">
        <v>1178628.0</v>
      </c>
      <c r="F591" s="83"/>
      <c r="G591" s="91" t="str">
        <f>IFERROR(__xludf.DUMMYFUNCTION("XLOOKUP(AS591,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VIRGILIO PEREIRA DE ALMEIDA - POVOADO BAIXAO DE IPIUNA")</f>
        <v>ANEXO - COLÉGIO ESTADUAL VIRGILIO PEREIRA DE ALMEIDA - POVOADO BAIXAO DE IPIUNA</v>
      </c>
      <c r="H591" s="184" t="s">
        <v>2711</v>
      </c>
      <c r="I591" s="91" t="s">
        <v>2712</v>
      </c>
      <c r="J591" s="172" t="s">
        <v>2713</v>
      </c>
      <c r="K591" s="83" t="s">
        <v>2714</v>
      </c>
      <c r="L591" s="83" t="s">
        <v>168</v>
      </c>
      <c r="M591" s="83" t="s">
        <v>169</v>
      </c>
      <c r="N591" s="115" t="s">
        <v>170</v>
      </c>
      <c r="O591" s="98" t="s">
        <v>155</v>
      </c>
      <c r="P591" s="99" t="str">
        <f>IFERROR(__xludf.DUMMYFUNCTION("IFERROR(VLOOKUP(AS591,IMPORTRANGE(""https://docs.google.com/spreadsheets/d/1juPI-Fb8LD0YtltB2mlGEnp_R3UVu1t3wSFPzgCyHXE/edit?gid=0#gid=0"",""GERAL!A2:C""),3,0),""-"")"),"CAMPO")</f>
        <v>CAMPO</v>
      </c>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v>1178628.0</v>
      </c>
    </row>
    <row r="592" ht="15.75" customHeight="1">
      <c r="A592" s="111" t="s">
        <v>723</v>
      </c>
      <c r="B592" s="83" t="s">
        <v>2720</v>
      </c>
      <c r="C592" s="83" t="s">
        <v>68</v>
      </c>
      <c r="D592" s="112">
        <v>1110308.0</v>
      </c>
      <c r="E592" s="83"/>
      <c r="F592" s="83">
        <v>2.9229839E7</v>
      </c>
      <c r="G592" s="91" t="str">
        <f>IFERROR(__xludf.DUMMYFUNCTION("XLOOKUP(AS592,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JOSE MALTA MAIA")</f>
        <v>COLÉGIO ESTADUAL DE TEMPO INTEGRAL JOSE MALTA MAIA</v>
      </c>
      <c r="H592" s="119" t="s">
        <v>2721</v>
      </c>
      <c r="I592" s="108" t="s">
        <v>2722</v>
      </c>
      <c r="J592" s="83" t="s">
        <v>149</v>
      </c>
      <c r="K592" s="83" t="s">
        <v>150</v>
      </c>
      <c r="L592" s="83" t="s">
        <v>151</v>
      </c>
      <c r="M592" s="83" t="s">
        <v>230</v>
      </c>
      <c r="N592" s="98" t="s">
        <v>2723</v>
      </c>
      <c r="O592" s="98" t="s">
        <v>162</v>
      </c>
      <c r="P592" s="99" t="str">
        <f>IFERROR(__xludf.DUMMYFUNCTION("IFERROR(VLOOKUP(AS592,IMPORTRANGE(""https://docs.google.com/spreadsheets/d/1juPI-Fb8LD0YtltB2mlGEnp_R3UVu1t3wSFPzgCyHXE/edit?gid=0#gid=0"",""GERAL!A2:C""),3,0),""-"")"),"-")</f>
        <v>-</v>
      </c>
      <c r="Q592" s="101" t="s">
        <v>156</v>
      </c>
      <c r="R592" s="98">
        <v>14.0</v>
      </c>
      <c r="S592" s="98">
        <v>1.0</v>
      </c>
      <c r="T592" s="98">
        <v>0.0</v>
      </c>
      <c r="U592" s="98">
        <v>0.0</v>
      </c>
      <c r="V592" s="98">
        <v>1.0</v>
      </c>
      <c r="W592" s="98">
        <v>0.0</v>
      </c>
      <c r="X592" s="98">
        <v>1.0</v>
      </c>
      <c r="Y592" s="98">
        <v>0.0</v>
      </c>
      <c r="Z592" s="98">
        <v>1.0</v>
      </c>
      <c r="AA592" s="98">
        <v>0.0</v>
      </c>
      <c r="AB592" s="98">
        <v>1.0</v>
      </c>
      <c r="AC592" s="98">
        <v>0.0</v>
      </c>
      <c r="AD592" s="98">
        <v>1.0</v>
      </c>
      <c r="AE592" s="98">
        <v>0.0</v>
      </c>
      <c r="AF592" s="98">
        <v>1.0</v>
      </c>
      <c r="AG592" s="98">
        <v>0.0</v>
      </c>
      <c r="AH592" s="98">
        <v>0.0</v>
      </c>
      <c r="AI592" s="98">
        <v>0.0</v>
      </c>
      <c r="AJ592" s="98">
        <v>0.0</v>
      </c>
      <c r="AK592" s="98">
        <v>1.0</v>
      </c>
      <c r="AL592" s="98">
        <v>0.0</v>
      </c>
      <c r="AM592" s="98">
        <v>0.0</v>
      </c>
      <c r="AN592" s="98">
        <v>0.0</v>
      </c>
      <c r="AO592" s="98">
        <v>0.0</v>
      </c>
      <c r="AP592" s="98">
        <v>2.0</v>
      </c>
      <c r="AQ592" s="98" t="s">
        <v>2724</v>
      </c>
      <c r="AR592" s="102">
        <v>46225.0</v>
      </c>
      <c r="AS592" s="83">
        <v>1110308.0</v>
      </c>
    </row>
    <row r="593" ht="15.75" customHeight="1">
      <c r="A593" s="111" t="s">
        <v>723</v>
      </c>
      <c r="B593" s="83" t="s">
        <v>2725</v>
      </c>
      <c r="C593" s="83" t="s">
        <v>68</v>
      </c>
      <c r="D593" s="112">
        <v>1118066.0</v>
      </c>
      <c r="E593" s="83"/>
      <c r="F593" s="83">
        <v>2.9230985E7</v>
      </c>
      <c r="G593" s="91" t="str">
        <f>IFERROR(__xludf.DUMMYFUNCTION("XLOOKUP(AS593,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ERALDO TINOCO")</f>
        <v>COLÉGIO ESTADUAL DE TEMPO INTEGRAL PROFESSOR ERALDO TINOCO</v>
      </c>
      <c r="H593" s="119" t="s">
        <v>2726</v>
      </c>
      <c r="I593" s="91" t="s">
        <v>2727</v>
      </c>
      <c r="J593" s="83" t="s">
        <v>149</v>
      </c>
      <c r="K593" s="83" t="s">
        <v>150</v>
      </c>
      <c r="L593" s="83" t="s">
        <v>151</v>
      </c>
      <c r="M593" s="83" t="s">
        <v>169</v>
      </c>
      <c r="N593" s="137" t="s">
        <v>2728</v>
      </c>
      <c r="O593" s="98" t="s">
        <v>155</v>
      </c>
      <c r="P593" s="99" t="str">
        <f>IFERROR(__xludf.DUMMYFUNCTION("IFERROR(VLOOKUP(AS593,IMPORTRANGE(""https://docs.google.com/spreadsheets/d/1juPI-Fb8LD0YtltB2mlGEnp_R3UVu1t3wSFPzgCyHXE/edit?gid=0#gid=0"",""GERAL!A2:C""),3,0),""-"")"),"-")</f>
        <v>-</v>
      </c>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v>1118066.0</v>
      </c>
    </row>
    <row r="594" ht="15.75" customHeight="1">
      <c r="A594" s="111" t="s">
        <v>723</v>
      </c>
      <c r="B594" s="83" t="s">
        <v>2264</v>
      </c>
      <c r="C594" s="83" t="s">
        <v>68</v>
      </c>
      <c r="D594" s="112">
        <v>1178269.0</v>
      </c>
      <c r="E594" s="83"/>
      <c r="F594" s="83">
        <v>2.944769E7</v>
      </c>
      <c r="G594" s="91" t="str">
        <f>IFERROR(__xludf.DUMMYFUNCTION("XLOOKUP(AS594,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RUY JOSE DE ALMEIDA")</f>
        <v>COLÉGIO ESTADUAL DE TEMPO INTEGRAL RUY JOSE DE ALMEIDA</v>
      </c>
      <c r="H594" s="119" t="s">
        <v>2734</v>
      </c>
      <c r="I594" s="91" t="s">
        <v>2735</v>
      </c>
      <c r="J594" s="83" t="s">
        <v>149</v>
      </c>
      <c r="K594" s="83" t="s">
        <v>150</v>
      </c>
      <c r="L594" s="83" t="s">
        <v>151</v>
      </c>
      <c r="M594" s="83" t="s">
        <v>230</v>
      </c>
      <c r="N594" s="137" t="s">
        <v>2736</v>
      </c>
      <c r="O594" s="98" t="s">
        <v>176</v>
      </c>
      <c r="P594" s="99" t="str">
        <f>IFERROR(__xludf.DUMMYFUNCTION("IFERROR(VLOOKUP(AS594,IMPORTRANGE(""https://docs.google.com/spreadsheets/d/1juPI-Fb8LD0YtltB2mlGEnp_R3UVu1t3wSFPzgCyHXE/edit?gid=0#gid=0"",""GERAL!A2:C""),3,0),""-"")"),"-")</f>
        <v>-</v>
      </c>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v>1178269.0</v>
      </c>
    </row>
    <row r="595" ht="15.75" customHeight="1">
      <c r="A595" s="111" t="s">
        <v>723</v>
      </c>
      <c r="B595" s="83" t="s">
        <v>2737</v>
      </c>
      <c r="C595" s="83" t="s">
        <v>68</v>
      </c>
      <c r="D595" s="112">
        <v>1166796.0</v>
      </c>
      <c r="E595" s="83"/>
      <c r="F595" s="83">
        <v>2.9231868E7</v>
      </c>
      <c r="G595" s="91" t="str">
        <f>IFERROR(__xludf.DUMMYFUNCTION("XLOOKUP(AS595,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FERNANDO PRESIDIO")</f>
        <v>COLÉGIO ESTADUAL FERNANDO PRESIDIO</v>
      </c>
      <c r="H595" s="119" t="s">
        <v>2738</v>
      </c>
      <c r="I595" s="91" t="s">
        <v>2739</v>
      </c>
      <c r="J595" s="83" t="s">
        <v>149</v>
      </c>
      <c r="K595" s="83" t="s">
        <v>150</v>
      </c>
      <c r="L595" s="83" t="s">
        <v>151</v>
      </c>
      <c r="M595" s="83" t="s">
        <v>76</v>
      </c>
      <c r="N595" s="137" t="s">
        <v>2740</v>
      </c>
      <c r="O595" s="98" t="s">
        <v>155</v>
      </c>
      <c r="P595" s="99" t="str">
        <f>IFERROR(__xludf.DUMMYFUNCTION("IFERROR(VLOOKUP(AS595,IMPORTRANGE(""https://docs.google.com/spreadsheets/d/1juPI-Fb8LD0YtltB2mlGEnp_R3UVu1t3wSFPzgCyHXE/edit?gid=0#gid=0"",""GERAL!A2:C""),3,0),""-"")"),"-")</f>
        <v>-</v>
      </c>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v>1166796.0</v>
      </c>
    </row>
    <row r="596" ht="15.75" customHeight="1">
      <c r="A596" s="111" t="s">
        <v>723</v>
      </c>
      <c r="B596" s="83" t="s">
        <v>2269</v>
      </c>
      <c r="C596" s="83" t="s">
        <v>68</v>
      </c>
      <c r="D596" s="112">
        <v>1176455.0</v>
      </c>
      <c r="E596" s="83"/>
      <c r="F596" s="83">
        <v>2.9390109E7</v>
      </c>
      <c r="G596" s="91" t="str">
        <f>IFERROR(__xludf.DUMMYFUNCTION("XLOOKUP(AS596,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MARACÁS IRACY MARLENE DA HORA PASSOS (ANTIGO - CE. EDILSON FREIRE)")</f>
        <v>COLÉGIO ESTADUAL DE TEMPO INTEGRAL DE MARACÁS IRACY MARLENE DA HORA PASSOS (ANTIGO - CE. EDILSON FREIRE)</v>
      </c>
      <c r="H596" s="119" t="s">
        <v>2744</v>
      </c>
      <c r="I596" s="91" t="s">
        <v>2745</v>
      </c>
      <c r="J596" s="172" t="s">
        <v>2746</v>
      </c>
      <c r="K596" s="136" t="s">
        <v>150</v>
      </c>
      <c r="L596" s="83" t="s">
        <v>151</v>
      </c>
      <c r="M596" s="83" t="s">
        <v>230</v>
      </c>
      <c r="N596" s="98" t="s">
        <v>2747</v>
      </c>
      <c r="O596" s="98" t="s">
        <v>162</v>
      </c>
      <c r="P596" s="99" t="str">
        <f>IFERROR(__xludf.DUMMYFUNCTION("IFERROR(VLOOKUP(AS596,IMPORTRANGE(""https://docs.google.com/spreadsheets/d/1juPI-Fb8LD0YtltB2mlGEnp_R3UVu1t3wSFPzgCyHXE/edit?gid=0#gid=0"",""GERAL!A2:C""),3,0),""-"")"),"-")</f>
        <v>-</v>
      </c>
      <c r="Q596" s="101" t="s">
        <v>156</v>
      </c>
      <c r="R596" s="98">
        <v>23.0</v>
      </c>
      <c r="S596" s="98">
        <v>1.0</v>
      </c>
      <c r="T596" s="98">
        <v>0.0</v>
      </c>
      <c r="U596" s="98">
        <v>0.0</v>
      </c>
      <c r="V596" s="98">
        <v>1.0</v>
      </c>
      <c r="W596" s="98">
        <v>1.0</v>
      </c>
      <c r="X596" s="98">
        <v>1.0</v>
      </c>
      <c r="Y596" s="98">
        <v>0.0</v>
      </c>
      <c r="Z596" s="98">
        <v>1.0</v>
      </c>
      <c r="AA596" s="98">
        <v>0.0</v>
      </c>
      <c r="AB596" s="98">
        <v>1.0</v>
      </c>
      <c r="AC596" s="98">
        <v>0.0</v>
      </c>
      <c r="AD596" s="98">
        <v>0.0</v>
      </c>
      <c r="AE596" s="98">
        <v>0.0</v>
      </c>
      <c r="AF596" s="98">
        <v>1.0</v>
      </c>
      <c r="AG596" s="98">
        <v>0.0</v>
      </c>
      <c r="AH596" s="98">
        <v>0.0</v>
      </c>
      <c r="AI596" s="98">
        <v>0.0</v>
      </c>
      <c r="AJ596" s="98">
        <v>0.0</v>
      </c>
      <c r="AK596" s="98">
        <v>1.0</v>
      </c>
      <c r="AL596" s="98">
        <v>0.0</v>
      </c>
      <c r="AM596" s="98">
        <v>0.0</v>
      </c>
      <c r="AN596" s="98">
        <v>0.0</v>
      </c>
      <c r="AO596" s="98">
        <v>0.0</v>
      </c>
      <c r="AP596" s="98">
        <v>1.0</v>
      </c>
      <c r="AQ596" s="98" t="s">
        <v>2749</v>
      </c>
      <c r="AR596" s="102">
        <v>46225.0</v>
      </c>
      <c r="AS596" s="83">
        <v>1176455.0</v>
      </c>
    </row>
    <row r="597" ht="15.75" customHeight="1">
      <c r="A597" s="111" t="s">
        <v>723</v>
      </c>
      <c r="B597" s="83" t="s">
        <v>2269</v>
      </c>
      <c r="C597" s="83" t="s">
        <v>164</v>
      </c>
      <c r="D597" s="112">
        <v>1176455.0</v>
      </c>
      <c r="E597" s="83">
        <v>1179707.0</v>
      </c>
      <c r="F597" s="83"/>
      <c r="G597" s="91" t="str">
        <f>IFERROR(__xludf.DUMMYFUNCTION("XLOOKUP(AS597,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MARACÁS IRACY MARLENE DA HORA PASSOS - POVOADO DE PORTO ALEGRE")</f>
        <v>ANEXO - COLÉGIO ESTADUAL DE TEMPO INTEGRAL DE MARACÁS IRACY MARLENE DA HORA PASSOS - POVOADO DE PORTO ALEGRE</v>
      </c>
      <c r="H597" s="119" t="s">
        <v>2750</v>
      </c>
      <c r="I597" s="91" t="s">
        <v>2751</v>
      </c>
      <c r="J597" s="83" t="s">
        <v>149</v>
      </c>
      <c r="K597" s="98" t="s">
        <v>2752</v>
      </c>
      <c r="L597" s="98" t="s">
        <v>168</v>
      </c>
      <c r="M597" s="83" t="s">
        <v>512</v>
      </c>
      <c r="N597" s="115" t="s">
        <v>170</v>
      </c>
      <c r="O597" s="98" t="s">
        <v>155</v>
      </c>
      <c r="P597" s="99" t="str">
        <f>IFERROR(__xludf.DUMMYFUNCTION("IFERROR(VLOOKUP(AS597,IMPORTRANGE(""https://docs.google.com/spreadsheets/d/1juPI-Fb8LD0YtltB2mlGEnp_R3UVu1t3wSFPzgCyHXE/edit?gid=0#gid=0"",""GERAL!A2:C""),3,0),""-"")"),"CAMPO")</f>
        <v>CAMPO</v>
      </c>
      <c r="Q597" s="98" t="s">
        <v>171</v>
      </c>
      <c r="R597" s="98">
        <v>5.0</v>
      </c>
      <c r="S597" s="98" t="s">
        <v>171</v>
      </c>
      <c r="T597" s="98" t="s">
        <v>171</v>
      </c>
      <c r="U597" s="98" t="s">
        <v>171</v>
      </c>
      <c r="V597" s="98" t="s">
        <v>171</v>
      </c>
      <c r="W597" s="98" t="s">
        <v>171</v>
      </c>
      <c r="X597" s="98" t="s">
        <v>171</v>
      </c>
      <c r="Y597" s="98" t="s">
        <v>171</v>
      </c>
      <c r="Z597" s="98" t="s">
        <v>171</v>
      </c>
      <c r="AA597" s="98" t="s">
        <v>171</v>
      </c>
      <c r="AB597" s="98" t="s">
        <v>171</v>
      </c>
      <c r="AC597" s="98" t="s">
        <v>171</v>
      </c>
      <c r="AD597" s="98" t="s">
        <v>171</v>
      </c>
      <c r="AE597" s="98" t="s">
        <v>171</v>
      </c>
      <c r="AF597" s="98" t="s">
        <v>171</v>
      </c>
      <c r="AG597" s="98" t="s">
        <v>171</v>
      </c>
      <c r="AH597" s="98" t="s">
        <v>171</v>
      </c>
      <c r="AI597" s="98" t="s">
        <v>171</v>
      </c>
      <c r="AJ597" s="98" t="s">
        <v>171</v>
      </c>
      <c r="AK597" s="98" t="s">
        <v>171</v>
      </c>
      <c r="AL597" s="98" t="s">
        <v>171</v>
      </c>
      <c r="AM597" s="98" t="s">
        <v>171</v>
      </c>
      <c r="AN597" s="98" t="s">
        <v>171</v>
      </c>
      <c r="AO597" s="98" t="s">
        <v>171</v>
      </c>
      <c r="AP597" s="98" t="s">
        <v>171</v>
      </c>
      <c r="AQ597" s="98" t="s">
        <v>171</v>
      </c>
      <c r="AR597" s="102">
        <v>46225.0</v>
      </c>
      <c r="AS597" s="83">
        <v>1179707.0</v>
      </c>
    </row>
    <row r="598" ht="15.75" customHeight="1">
      <c r="A598" s="111" t="s">
        <v>723</v>
      </c>
      <c r="B598" s="83" t="s">
        <v>2753</v>
      </c>
      <c r="C598" s="83" t="s">
        <v>68</v>
      </c>
      <c r="D598" s="112">
        <v>1179694.0</v>
      </c>
      <c r="E598" s="83"/>
      <c r="F598" s="83">
        <v>2.9479169E7</v>
      </c>
      <c r="G598" s="91" t="str">
        <f>IFERROR(__xludf.DUMMYFUNCTION("XLOOKUP(AS598,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MILAGRES - TEMPO INTEGRAL")</f>
        <v>COLÉGIO ESTADUAL DE MILAGRES - TEMPO INTEGRAL</v>
      </c>
      <c r="H598" s="184" t="s">
        <v>2754</v>
      </c>
      <c r="I598" s="91" t="s">
        <v>2755</v>
      </c>
      <c r="J598" s="136" t="s">
        <v>149</v>
      </c>
      <c r="K598" s="136" t="s">
        <v>150</v>
      </c>
      <c r="L598" s="136" t="s">
        <v>151</v>
      </c>
      <c r="M598" s="136" t="s">
        <v>152</v>
      </c>
      <c r="N598" s="98" t="s">
        <v>2756</v>
      </c>
      <c r="O598" s="98" t="s">
        <v>155</v>
      </c>
      <c r="P598" s="99" t="str">
        <f>IFERROR(__xludf.DUMMYFUNCTION("IFERROR(VLOOKUP(AS598,IMPORTRANGE(""https://docs.google.com/spreadsheets/d/1juPI-Fb8LD0YtltB2mlGEnp_R3UVu1t3wSFPzgCyHXE/edit?gid=0#gid=0"",""GERAL!A2:C""),3,0),""-"")"),"-")</f>
        <v>-</v>
      </c>
      <c r="Q598" s="101" t="s">
        <v>156</v>
      </c>
      <c r="R598" s="98">
        <v>11.0</v>
      </c>
      <c r="S598" s="98">
        <v>0.0</v>
      </c>
      <c r="T598" s="98">
        <v>0.0</v>
      </c>
      <c r="U598" s="98">
        <v>0.0</v>
      </c>
      <c r="V598" s="98">
        <v>0.0</v>
      </c>
      <c r="W598" s="98">
        <v>0.0</v>
      </c>
      <c r="X598" s="98">
        <v>0.0</v>
      </c>
      <c r="Y598" s="98">
        <v>0.0</v>
      </c>
      <c r="Z598" s="98">
        <v>0.0</v>
      </c>
      <c r="AA598" s="98">
        <v>0.0</v>
      </c>
      <c r="AB598" s="98">
        <v>0.0</v>
      </c>
      <c r="AC598" s="98">
        <v>0.0</v>
      </c>
      <c r="AD598" s="98">
        <v>0.0</v>
      </c>
      <c r="AE598" s="98">
        <v>0.0</v>
      </c>
      <c r="AF598" s="98">
        <v>0.0</v>
      </c>
      <c r="AG598" s="98">
        <v>1.0</v>
      </c>
      <c r="AH598" s="98">
        <v>0.0</v>
      </c>
      <c r="AI598" s="98">
        <v>0.0</v>
      </c>
      <c r="AJ598" s="98">
        <v>0.0</v>
      </c>
      <c r="AK598" s="98">
        <v>0.0</v>
      </c>
      <c r="AL598" s="98">
        <v>0.0</v>
      </c>
      <c r="AM598" s="98">
        <v>0.0</v>
      </c>
      <c r="AN598" s="98">
        <v>0.0</v>
      </c>
      <c r="AO598" s="98">
        <v>0.0</v>
      </c>
      <c r="AP598" s="98">
        <v>5.0</v>
      </c>
      <c r="AQ598" s="98" t="s">
        <v>2763</v>
      </c>
      <c r="AR598" s="102">
        <v>46225.0</v>
      </c>
      <c r="AS598" s="83">
        <v>1179694.0</v>
      </c>
    </row>
    <row r="599" ht="15.75" customHeight="1">
      <c r="A599" s="111" t="s">
        <v>723</v>
      </c>
      <c r="B599" s="83" t="s">
        <v>2764</v>
      </c>
      <c r="C599" s="83" t="s">
        <v>68</v>
      </c>
      <c r="D599" s="112">
        <v>1177069.0</v>
      </c>
      <c r="E599" s="83"/>
      <c r="F599" s="83">
        <v>2.9410452E7</v>
      </c>
      <c r="G599" s="91" t="str">
        <f>IFERROR(__xludf.DUMMYFUNCTION("XLOOKUP(AS599,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ANTONIO FELIPE EVANGELISTA NETO")</f>
        <v>COLEGIO ESTADUAL DE TEMPO INTEGRAL ANTONIO FELIPE EVANGELISTA NETO</v>
      </c>
      <c r="H599" s="119" t="s">
        <v>2765</v>
      </c>
      <c r="I599" s="108" t="s">
        <v>2766</v>
      </c>
      <c r="J599" s="172" t="s">
        <v>149</v>
      </c>
      <c r="K599" s="83" t="s">
        <v>150</v>
      </c>
      <c r="L599" s="83" t="s">
        <v>151</v>
      </c>
      <c r="M599" s="83" t="s">
        <v>230</v>
      </c>
      <c r="N599" s="115" t="s">
        <v>2767</v>
      </c>
      <c r="O599" s="98" t="s">
        <v>162</v>
      </c>
      <c r="P599" s="99" t="str">
        <f>IFERROR(__xludf.DUMMYFUNCTION("IFERROR(VLOOKUP(AS599,IMPORTRANGE(""https://docs.google.com/spreadsheets/d/1juPI-Fb8LD0YtltB2mlGEnp_R3UVu1t3wSFPzgCyHXE/edit?gid=0#gid=0"",""GERAL!A2:C""),3,0),""-"")"),"-")</f>
        <v>-</v>
      </c>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v>1177069.0</v>
      </c>
    </row>
    <row r="600" ht="15.75" customHeight="1">
      <c r="A600" s="111" t="s">
        <v>723</v>
      </c>
      <c r="B600" s="83" t="s">
        <v>2771</v>
      </c>
      <c r="C600" s="83" t="s">
        <v>68</v>
      </c>
      <c r="D600" s="112">
        <v>1118414.0</v>
      </c>
      <c r="E600" s="83"/>
      <c r="F600" s="83">
        <v>2.923445E7</v>
      </c>
      <c r="G600" s="91" t="str">
        <f>IFERROR(__xludf.DUMMYFUNCTION("XLOOKUP(AS600,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 NOVA ITARANA  - (ANTIGO CE LUIZ VIANA FILHO)")</f>
        <v>COLEGIO ESTADUAL DE TEMPO INTEGRAL DE NOVA ITARANA  - (ANTIGO CE LUIZ VIANA FILHO)</v>
      </c>
      <c r="H600" s="119" t="s">
        <v>2772</v>
      </c>
      <c r="I600" s="91" t="s">
        <v>2773</v>
      </c>
      <c r="J600" s="83" t="s">
        <v>149</v>
      </c>
      <c r="K600" s="83" t="s">
        <v>150</v>
      </c>
      <c r="L600" s="83" t="s">
        <v>151</v>
      </c>
      <c r="M600" s="83" t="s">
        <v>152</v>
      </c>
      <c r="N600" s="98" t="s">
        <v>2774</v>
      </c>
      <c r="O600" s="98" t="s">
        <v>155</v>
      </c>
      <c r="P600" s="99" t="str">
        <f>IFERROR(__xludf.DUMMYFUNCTION("IFERROR(VLOOKUP(AS600,IMPORTRANGE(""https://docs.google.com/spreadsheets/d/1juPI-Fb8LD0YtltB2mlGEnp_R3UVu1t3wSFPzgCyHXE/edit?gid=0#gid=0"",""GERAL!A2:C""),3,0),""-"")"),"-")</f>
        <v>-</v>
      </c>
      <c r="Q600" s="101" t="s">
        <v>156</v>
      </c>
      <c r="R600" s="98">
        <v>13.0</v>
      </c>
      <c r="S600" s="98">
        <v>1.0</v>
      </c>
      <c r="T600" s="98">
        <v>0.0</v>
      </c>
      <c r="U600" s="98">
        <v>0.0</v>
      </c>
      <c r="V600" s="98">
        <v>0.0</v>
      </c>
      <c r="W600" s="98">
        <v>0.0</v>
      </c>
      <c r="X600" s="98">
        <v>0.0</v>
      </c>
      <c r="Y600" s="98">
        <v>0.0</v>
      </c>
      <c r="Z600" s="98">
        <v>0.0</v>
      </c>
      <c r="AA600" s="98">
        <v>0.0</v>
      </c>
      <c r="AB600" s="98">
        <v>0.0</v>
      </c>
      <c r="AC600" s="98">
        <v>0.0</v>
      </c>
      <c r="AD600" s="98">
        <v>0.0</v>
      </c>
      <c r="AE600" s="98">
        <v>0.0</v>
      </c>
      <c r="AF600" s="98">
        <v>0.0</v>
      </c>
      <c r="AG600" s="98">
        <v>1.0</v>
      </c>
      <c r="AH600" s="98">
        <v>0.0</v>
      </c>
      <c r="AI600" s="98">
        <v>0.0</v>
      </c>
      <c r="AJ600" s="98">
        <v>0.0</v>
      </c>
      <c r="AK600" s="98">
        <v>0.0</v>
      </c>
      <c r="AL600" s="98">
        <v>0.0</v>
      </c>
      <c r="AM600" s="98">
        <v>0.0</v>
      </c>
      <c r="AN600" s="98">
        <v>0.0</v>
      </c>
      <c r="AO600" s="98">
        <v>0.0</v>
      </c>
      <c r="AP600" s="98">
        <v>6.0</v>
      </c>
      <c r="AQ600" s="98" t="s">
        <v>2775</v>
      </c>
      <c r="AR600" s="102">
        <v>46241.0</v>
      </c>
      <c r="AS600" s="83">
        <v>1118414.0</v>
      </c>
    </row>
    <row r="601" ht="15.75" customHeight="1">
      <c r="A601" s="111" t="s">
        <v>723</v>
      </c>
      <c r="B601" s="83" t="s">
        <v>2161</v>
      </c>
      <c r="C601" s="83" t="s">
        <v>68</v>
      </c>
      <c r="D601" s="112">
        <v>1166877.0</v>
      </c>
      <c r="E601" s="83"/>
      <c r="F601" s="83">
        <v>2.9234913E7</v>
      </c>
      <c r="G601" s="91" t="str">
        <f>IFERROR(__xludf.DUMMYFUNCTION("XLOOKUP(AS601,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MANOEL JOSÉ DE ANDRADE")</f>
        <v>COLÉGIO ESTADUAL DE TEMPO INTEGRAL MANOEL JOSÉ DE ANDRADE</v>
      </c>
      <c r="H601" s="119" t="s">
        <v>2776</v>
      </c>
      <c r="I601" s="91" t="s">
        <v>2777</v>
      </c>
      <c r="J601" s="136" t="s">
        <v>149</v>
      </c>
      <c r="K601" s="136" t="s">
        <v>150</v>
      </c>
      <c r="L601" s="136" t="s">
        <v>151</v>
      </c>
      <c r="M601" s="83" t="s">
        <v>76</v>
      </c>
      <c r="N601" s="98" t="s">
        <v>2778</v>
      </c>
      <c r="O601" s="98" t="s">
        <v>284</v>
      </c>
      <c r="P601" s="99" t="str">
        <f>IFERROR(__xludf.DUMMYFUNCTION("IFERROR(VLOOKUP(AS601,IMPORTRANGE(""https://docs.google.com/spreadsheets/d/1juPI-Fb8LD0YtltB2mlGEnp_R3UVu1t3wSFPzgCyHXE/edit?gid=0#gid=0"",""GERAL!A2:C""),3,0),""-"")"),"-")</f>
        <v>-</v>
      </c>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v>1166877.0</v>
      </c>
    </row>
    <row r="602" ht="15.75" customHeight="1">
      <c r="A602" s="111" t="s">
        <v>723</v>
      </c>
      <c r="B602" s="83" t="s">
        <v>2784</v>
      </c>
      <c r="C602" s="83" t="s">
        <v>68</v>
      </c>
      <c r="D602" s="112">
        <v>1118287.0</v>
      </c>
      <c r="E602" s="83"/>
      <c r="F602" s="83">
        <v>2.9235138E7</v>
      </c>
      <c r="G602" s="91" t="str">
        <f>IFERROR(__xludf.DUMMYFUNCTION("XLOOKUP(AS602,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SANTA INES")</f>
        <v>COLÉGIO ESTADUAL DE TEMPO INTEGRAL DE SANTA INES</v>
      </c>
      <c r="H602" s="119" t="s">
        <v>2785</v>
      </c>
      <c r="I602" s="108" t="s">
        <v>2786</v>
      </c>
      <c r="J602" s="172" t="s">
        <v>149</v>
      </c>
      <c r="K602" s="83" t="s">
        <v>150</v>
      </c>
      <c r="L602" s="83" t="s">
        <v>151</v>
      </c>
      <c r="M602" s="83" t="s">
        <v>152</v>
      </c>
      <c r="N602" s="98" t="s">
        <v>2787</v>
      </c>
      <c r="O602" s="98" t="s">
        <v>284</v>
      </c>
      <c r="P602" s="99" t="str">
        <f>IFERROR(__xludf.DUMMYFUNCTION("IFERROR(VLOOKUP(AS602,IMPORTRANGE(""https://docs.google.com/spreadsheets/d/1juPI-Fb8LD0YtltB2mlGEnp_R3UVu1t3wSFPzgCyHXE/edit?gid=0#gid=0"",""GERAL!A2:C""),3,0),""-"")"),"-")</f>
        <v>-</v>
      </c>
      <c r="Q602" s="136"/>
      <c r="R602" s="136"/>
      <c r="S602" s="136"/>
      <c r="T602" s="136"/>
      <c r="U602" s="136"/>
      <c r="V602" s="136"/>
      <c r="W602" s="136"/>
      <c r="X602" s="136"/>
      <c r="Y602" s="136"/>
      <c r="Z602" s="136"/>
      <c r="AA602" s="136"/>
      <c r="AB602" s="136"/>
      <c r="AC602" s="136"/>
      <c r="AD602" s="136"/>
      <c r="AE602" s="136"/>
      <c r="AF602" s="136"/>
      <c r="AG602" s="136"/>
      <c r="AH602" s="136"/>
      <c r="AI602" s="136"/>
      <c r="AJ602" s="136"/>
      <c r="AK602" s="136"/>
      <c r="AL602" s="136"/>
      <c r="AM602" s="136"/>
      <c r="AN602" s="136"/>
      <c r="AO602" s="136"/>
      <c r="AP602" s="136"/>
      <c r="AQ602" s="136"/>
      <c r="AR602" s="136"/>
      <c r="AS602" s="136">
        <v>1118287.0</v>
      </c>
    </row>
    <row r="603" ht="15.75" customHeight="1">
      <c r="A603" s="111" t="s">
        <v>723</v>
      </c>
      <c r="B603" s="83" t="s">
        <v>2789</v>
      </c>
      <c r="C603" s="83" t="s">
        <v>68</v>
      </c>
      <c r="D603" s="112">
        <v>1109563.0</v>
      </c>
      <c r="E603" s="83"/>
      <c r="F603" s="83">
        <v>2.923526E7</v>
      </c>
      <c r="G603" s="91" t="str">
        <f>IFERROR(__xludf.DUMMYFUNCTION("XLOOKUP(AS603,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ALDEMIRO VILAS BOAS")</f>
        <v>COLÉGIO ESTADUAL DE TEMPO INTEGRAL ALDEMIRO VILAS BOAS</v>
      </c>
      <c r="H603" s="119" t="s">
        <v>2793</v>
      </c>
      <c r="I603" s="91" t="s">
        <v>2794</v>
      </c>
      <c r="J603" s="172" t="s">
        <v>149</v>
      </c>
      <c r="K603" s="83" t="s">
        <v>150</v>
      </c>
      <c r="L603" s="83" t="s">
        <v>151</v>
      </c>
      <c r="M603" s="83" t="s">
        <v>76</v>
      </c>
      <c r="N603" s="98" t="s">
        <v>2795</v>
      </c>
      <c r="O603" s="98" t="s">
        <v>155</v>
      </c>
      <c r="P603" s="99" t="str">
        <f>IFERROR(__xludf.DUMMYFUNCTION("IFERROR(VLOOKUP(AS603,IMPORTRANGE(""https://docs.google.com/spreadsheets/d/1juPI-Fb8LD0YtltB2mlGEnp_R3UVu1t3wSFPzgCyHXE/edit?gid=0#gid=0"",""GERAL!A2:C""),3,0),""-"")"),"-")</f>
        <v>-</v>
      </c>
      <c r="Q603" s="101" t="s">
        <v>156</v>
      </c>
      <c r="R603" s="98">
        <v>9.0</v>
      </c>
      <c r="S603" s="98">
        <v>0.0</v>
      </c>
      <c r="T603" s="98">
        <v>1.0</v>
      </c>
      <c r="U603" s="98">
        <v>1.0</v>
      </c>
      <c r="V603" s="98">
        <v>1.0</v>
      </c>
      <c r="W603" s="98">
        <v>0.0</v>
      </c>
      <c r="X603" s="98">
        <v>1.0</v>
      </c>
      <c r="Y603" s="98">
        <v>1.0</v>
      </c>
      <c r="Z603" s="98">
        <v>0.0</v>
      </c>
      <c r="AA603" s="98">
        <v>1.0</v>
      </c>
      <c r="AB603" s="98">
        <v>0.0</v>
      </c>
      <c r="AC603" s="98">
        <v>0.0</v>
      </c>
      <c r="AD603" s="98">
        <v>0.0</v>
      </c>
      <c r="AE603" s="98">
        <v>0.0</v>
      </c>
      <c r="AF603" s="98">
        <v>0.0</v>
      </c>
      <c r="AG603" s="98">
        <v>0.0</v>
      </c>
      <c r="AH603" s="98">
        <v>0.0</v>
      </c>
      <c r="AI603" s="98">
        <v>0.0</v>
      </c>
      <c r="AJ603" s="98">
        <v>0.0</v>
      </c>
      <c r="AK603" s="98">
        <v>0.0</v>
      </c>
      <c r="AL603" s="98">
        <v>0.0</v>
      </c>
      <c r="AM603" s="98">
        <v>0.0</v>
      </c>
      <c r="AN603" s="98">
        <v>0.0</v>
      </c>
      <c r="AO603" s="98">
        <v>0.0</v>
      </c>
      <c r="AP603" s="98">
        <v>1.0</v>
      </c>
      <c r="AQ603" s="98" t="s">
        <v>2805</v>
      </c>
      <c r="AR603" s="102">
        <v>46237.0</v>
      </c>
      <c r="AS603" s="83">
        <v>1109563.0</v>
      </c>
    </row>
    <row r="604" ht="15.75" customHeight="1">
      <c r="A604" s="111" t="s">
        <v>723</v>
      </c>
      <c r="B604" s="83" t="s">
        <v>2806</v>
      </c>
      <c r="C604" s="83" t="s">
        <v>68</v>
      </c>
      <c r="D604" s="112">
        <v>1110529.0</v>
      </c>
      <c r="E604" s="83"/>
      <c r="F604" s="83">
        <v>2.923655E7</v>
      </c>
      <c r="G604" s="91" t="str">
        <f>IFERROR(__xludf.DUMMYFUNCTION("XLOOKUP(AS604,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BALBINO MUNIZ BARRETO")</f>
        <v>COLÉGIO ESTADUAL DE TEMPO INTEGRAL BALBINO MUNIZ BARRETO</v>
      </c>
      <c r="H604" s="119" t="s">
        <v>2807</v>
      </c>
      <c r="I604" s="91" t="s">
        <v>2808</v>
      </c>
      <c r="J604" s="172" t="s">
        <v>149</v>
      </c>
      <c r="K604" s="83" t="s">
        <v>150</v>
      </c>
      <c r="L604" s="83" t="s">
        <v>151</v>
      </c>
      <c r="M604" s="83" t="s">
        <v>152</v>
      </c>
      <c r="N604" s="98" t="s">
        <v>2809</v>
      </c>
      <c r="O604" s="98" t="s">
        <v>162</v>
      </c>
      <c r="P604" s="99" t="str">
        <f>IFERROR(__xludf.DUMMYFUNCTION("IFERROR(VLOOKUP(AS604,IMPORTRANGE(""https://docs.google.com/spreadsheets/d/1juPI-Fb8LD0YtltB2mlGEnp_R3UVu1t3wSFPzgCyHXE/edit?gid=0#gid=0"",""GERAL!A2:C""),3,0),""-"")"),"-")</f>
        <v>-</v>
      </c>
      <c r="Q604" s="101" t="s">
        <v>156</v>
      </c>
      <c r="R604" s="98">
        <v>13.0</v>
      </c>
      <c r="S604" s="98">
        <v>1.0</v>
      </c>
      <c r="T604" s="98">
        <v>1.0</v>
      </c>
      <c r="U604" s="98">
        <v>0.0</v>
      </c>
      <c r="V604" s="98">
        <v>1.0</v>
      </c>
      <c r="W604" s="98">
        <v>2.0</v>
      </c>
      <c r="X604" s="98">
        <v>1.0</v>
      </c>
      <c r="Y604" s="98">
        <v>0.0</v>
      </c>
      <c r="Z604" s="98">
        <v>1.0</v>
      </c>
      <c r="AA604" s="98">
        <v>0.0</v>
      </c>
      <c r="AB604" s="98">
        <v>1.0</v>
      </c>
      <c r="AC604" s="98">
        <v>0.0</v>
      </c>
      <c r="AD604" s="98">
        <v>1.0</v>
      </c>
      <c r="AE604" s="98">
        <v>0.0</v>
      </c>
      <c r="AF604" s="98">
        <v>1.0</v>
      </c>
      <c r="AG604" s="98">
        <v>0.0</v>
      </c>
      <c r="AH604" s="98">
        <v>0.0</v>
      </c>
      <c r="AI604" s="98">
        <v>0.0</v>
      </c>
      <c r="AJ604" s="98">
        <v>1.0</v>
      </c>
      <c r="AK604" s="98">
        <v>0.0</v>
      </c>
      <c r="AL604" s="98">
        <v>0.0</v>
      </c>
      <c r="AM604" s="98">
        <v>0.0</v>
      </c>
      <c r="AN604" s="98">
        <v>0.0</v>
      </c>
      <c r="AO604" s="98">
        <v>0.0</v>
      </c>
      <c r="AP604" s="98">
        <v>1.0</v>
      </c>
      <c r="AQ604" s="98" t="s">
        <v>2817</v>
      </c>
      <c r="AR604" s="102">
        <v>46241.0</v>
      </c>
      <c r="AS604" s="83">
        <v>1110529.0</v>
      </c>
    </row>
    <row r="605" ht="15.75" customHeight="1">
      <c r="A605" s="111" t="s">
        <v>723</v>
      </c>
      <c r="B605" s="83" t="s">
        <v>2806</v>
      </c>
      <c r="C605" s="83" t="s">
        <v>164</v>
      </c>
      <c r="D605" s="112">
        <v>1110529.0</v>
      </c>
      <c r="E605" s="83">
        <v>1178881.0</v>
      </c>
      <c r="F605" s="83"/>
      <c r="G605" s="91" t="str">
        <f>IFERROR(__xludf.DUMMYFUNCTION("XLOOKUP(AS605,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BALBINO MUNIZ BARRETO - POVOADO DE TRES BRACOS")</f>
        <v>ANEXO - COLÉGIO ESTADUAL BALBINO MUNIZ BARRETO - POVOADO DE TRES BRACOS</v>
      </c>
      <c r="H605" s="119" t="s">
        <v>2818</v>
      </c>
      <c r="I605" s="91" t="s">
        <v>2819</v>
      </c>
      <c r="J605" s="172" t="s">
        <v>2820</v>
      </c>
      <c r="K605" s="83" t="s">
        <v>2821</v>
      </c>
      <c r="L605" s="83" t="s">
        <v>168</v>
      </c>
      <c r="M605" s="83" t="s">
        <v>169</v>
      </c>
      <c r="N605" s="115" t="s">
        <v>170</v>
      </c>
      <c r="O605" s="98" t="s">
        <v>155</v>
      </c>
      <c r="P605" s="99" t="str">
        <f>IFERROR(__xludf.DUMMYFUNCTION("IFERROR(VLOOKUP(AS605,IMPORTRANGE(""https://docs.google.com/spreadsheets/d/1juPI-Fb8LD0YtltB2mlGEnp_R3UVu1t3wSFPzgCyHXE/edit?gid=0#gid=0"",""GERAL!A2:C""),3,0),""-"")"),"CAMPO")</f>
        <v>CAMPO</v>
      </c>
      <c r="Q605" s="98" t="s">
        <v>171</v>
      </c>
      <c r="R605" s="98">
        <v>3.0</v>
      </c>
      <c r="S605" s="98" t="s">
        <v>171</v>
      </c>
      <c r="T605" s="98" t="s">
        <v>171</v>
      </c>
      <c r="U605" s="98" t="s">
        <v>171</v>
      </c>
      <c r="V605" s="98" t="s">
        <v>171</v>
      </c>
      <c r="W605" s="98" t="s">
        <v>171</v>
      </c>
      <c r="X605" s="98" t="s">
        <v>171</v>
      </c>
      <c r="Y605" s="98" t="s">
        <v>171</v>
      </c>
      <c r="Z605" s="98" t="s">
        <v>171</v>
      </c>
      <c r="AA605" s="98" t="s">
        <v>171</v>
      </c>
      <c r="AB605" s="98" t="s">
        <v>171</v>
      </c>
      <c r="AC605" s="98" t="s">
        <v>171</v>
      </c>
      <c r="AD605" s="98" t="s">
        <v>171</v>
      </c>
      <c r="AE605" s="98" t="s">
        <v>171</v>
      </c>
      <c r="AF605" s="98" t="s">
        <v>171</v>
      </c>
      <c r="AG605" s="98" t="s">
        <v>171</v>
      </c>
      <c r="AH605" s="98" t="s">
        <v>171</v>
      </c>
      <c r="AI605" s="98" t="s">
        <v>171</v>
      </c>
      <c r="AJ605" s="98" t="s">
        <v>171</v>
      </c>
      <c r="AK605" s="98" t="s">
        <v>171</v>
      </c>
      <c r="AL605" s="98" t="s">
        <v>171</v>
      </c>
      <c r="AM605" s="98" t="s">
        <v>171</v>
      </c>
      <c r="AN605" s="98" t="s">
        <v>171</v>
      </c>
      <c r="AO605" s="98" t="s">
        <v>171</v>
      </c>
      <c r="AP605" s="98" t="s">
        <v>171</v>
      </c>
      <c r="AQ605" s="98" t="s">
        <v>171</v>
      </c>
      <c r="AR605" s="102">
        <v>46242.0</v>
      </c>
      <c r="AS605" s="83">
        <v>1178881.0</v>
      </c>
    </row>
    <row r="606" ht="15.75" customHeight="1">
      <c r="A606" s="111" t="s">
        <v>796</v>
      </c>
      <c r="B606" s="83" t="s">
        <v>2830</v>
      </c>
      <c r="C606" s="83" t="s">
        <v>68</v>
      </c>
      <c r="D606" s="112">
        <v>1178278.0</v>
      </c>
      <c r="E606" s="83"/>
      <c r="F606" s="83">
        <v>2.9535808E7</v>
      </c>
      <c r="G606" s="91" t="str">
        <f>IFERROR(__xludf.DUMMYFUNCTION("XLOOKUP(AS606,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DOUTOR IVES ORLANDO LOPES DA SILVA")</f>
        <v>COLÉGIO ESTADUAL DE TEMPO INTEGRAL DOUTOR IVES ORLANDO LOPES DA SILVA</v>
      </c>
      <c r="H606" s="119" t="s">
        <v>2831</v>
      </c>
      <c r="I606" s="91" t="s">
        <v>2832</v>
      </c>
      <c r="J606" s="136" t="s">
        <v>149</v>
      </c>
      <c r="K606" s="83" t="s">
        <v>150</v>
      </c>
      <c r="L606" s="83" t="s">
        <v>151</v>
      </c>
      <c r="M606" s="83" t="s">
        <v>152</v>
      </c>
      <c r="N606" s="98" t="s">
        <v>2833</v>
      </c>
      <c r="O606" s="98" t="s">
        <v>176</v>
      </c>
      <c r="P606" s="99" t="str">
        <f>IFERROR(__xludf.DUMMYFUNCTION("IFERROR(VLOOKUP(AS606,IMPORTRANGE(""https://docs.google.com/spreadsheets/d/1juPI-Fb8LD0YtltB2mlGEnp_R3UVu1t3wSFPzgCyHXE/edit?gid=0#gid=0"",""GERAL!A2:C""),3,0),""-"")"),"-")</f>
        <v>-</v>
      </c>
      <c r="Q606" s="101" t="s">
        <v>156</v>
      </c>
      <c r="R606" s="98">
        <v>15.0</v>
      </c>
      <c r="S606" s="98">
        <v>0.0</v>
      </c>
      <c r="T606" s="98">
        <v>0.0</v>
      </c>
      <c r="U606" s="98">
        <v>0.0</v>
      </c>
      <c r="V606" s="98">
        <v>1.0</v>
      </c>
      <c r="W606" s="98">
        <v>2.0</v>
      </c>
      <c r="X606" s="98">
        <v>0.0</v>
      </c>
      <c r="Y606" s="98">
        <v>0.0</v>
      </c>
      <c r="Z606" s="98">
        <v>1.0</v>
      </c>
      <c r="AA606" s="98">
        <v>0.0</v>
      </c>
      <c r="AB606" s="98">
        <v>1.0</v>
      </c>
      <c r="AC606" s="98">
        <v>0.0</v>
      </c>
      <c r="AD606" s="98">
        <v>0.0</v>
      </c>
      <c r="AE606" s="98">
        <v>0.0</v>
      </c>
      <c r="AF606" s="98">
        <v>1.0</v>
      </c>
      <c r="AG606" s="98">
        <v>0.0</v>
      </c>
      <c r="AH606" s="98">
        <v>0.0</v>
      </c>
      <c r="AI606" s="98">
        <v>0.0</v>
      </c>
      <c r="AJ606" s="98">
        <v>0.0</v>
      </c>
      <c r="AK606" s="98">
        <v>1.0</v>
      </c>
      <c r="AL606" s="98">
        <v>0.0</v>
      </c>
      <c r="AM606" s="98">
        <v>0.0</v>
      </c>
      <c r="AN606" s="98">
        <v>0.0</v>
      </c>
      <c r="AO606" s="98">
        <v>0.0</v>
      </c>
      <c r="AP606" s="98">
        <v>1.0</v>
      </c>
      <c r="AQ606" s="98" t="s">
        <v>2841</v>
      </c>
      <c r="AR606" s="102">
        <v>46226.0</v>
      </c>
      <c r="AS606" s="83">
        <v>1178278.0</v>
      </c>
    </row>
    <row r="607" ht="15.75" customHeight="1">
      <c r="A607" s="111" t="s">
        <v>796</v>
      </c>
      <c r="B607" s="83" t="s">
        <v>2830</v>
      </c>
      <c r="C607" s="83" t="s">
        <v>164</v>
      </c>
      <c r="D607" s="112">
        <v>1179111.0</v>
      </c>
      <c r="E607" s="83">
        <v>1178647.0</v>
      </c>
      <c r="F607" s="83"/>
      <c r="G607" s="91" t="str">
        <f>IFERROR(__xludf.DUMMYFUNCTION("XLOOKUP(AS607,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POV. ANGICO DOS DIAS")</f>
        <v>ANEXO - CEMIT SERTAO DO SAO FRANCISCO - POV. ANGICO DOS DIAS</v>
      </c>
      <c r="H607" s="114" t="s">
        <v>2842</v>
      </c>
      <c r="I607" s="91" t="s">
        <v>2843</v>
      </c>
      <c r="J607" s="136" t="s">
        <v>149</v>
      </c>
      <c r="K607" s="83" t="s">
        <v>1931</v>
      </c>
      <c r="L607" s="83" t="s">
        <v>168</v>
      </c>
      <c r="M607" s="83" t="s">
        <v>169</v>
      </c>
      <c r="N607" s="115" t="s">
        <v>170</v>
      </c>
      <c r="O607" s="98" t="s">
        <v>155</v>
      </c>
      <c r="P607" s="99" t="str">
        <f>IFERROR(__xludf.DUMMYFUNCTION("IFERROR(VLOOKUP(AS607,IMPORTRANGE(""https://docs.google.com/spreadsheets/d/1juPI-Fb8LD0YtltB2mlGEnp_R3UVu1t3wSFPzgCyHXE/edit?gid=0#gid=0"",""GERAL!A2:C""),3,0),""-"")"),"-")</f>
        <v>-</v>
      </c>
      <c r="Q607" s="98" t="s">
        <v>171</v>
      </c>
      <c r="R607" s="98">
        <v>1.0</v>
      </c>
      <c r="S607" s="98" t="s">
        <v>171</v>
      </c>
      <c r="T607" s="98" t="s">
        <v>171</v>
      </c>
      <c r="U607" s="98" t="s">
        <v>171</v>
      </c>
      <c r="V607" s="98" t="s">
        <v>171</v>
      </c>
      <c r="W607" s="98" t="s">
        <v>171</v>
      </c>
      <c r="X607" s="98" t="s">
        <v>171</v>
      </c>
      <c r="Y607" s="98" t="s">
        <v>171</v>
      </c>
      <c r="Z607" s="98" t="s">
        <v>171</v>
      </c>
      <c r="AA607" s="98" t="s">
        <v>171</v>
      </c>
      <c r="AB607" s="98" t="s">
        <v>171</v>
      </c>
      <c r="AC607" s="98" t="s">
        <v>171</v>
      </c>
      <c r="AD607" s="98" t="s">
        <v>171</v>
      </c>
      <c r="AE607" s="98" t="s">
        <v>171</v>
      </c>
      <c r="AF607" s="98" t="s">
        <v>171</v>
      </c>
      <c r="AG607" s="98" t="s">
        <v>171</v>
      </c>
      <c r="AH607" s="98" t="s">
        <v>171</v>
      </c>
      <c r="AI607" s="98" t="s">
        <v>171</v>
      </c>
      <c r="AJ607" s="98" t="s">
        <v>171</v>
      </c>
      <c r="AK607" s="98" t="s">
        <v>171</v>
      </c>
      <c r="AL607" s="98" t="s">
        <v>171</v>
      </c>
      <c r="AM607" s="98" t="s">
        <v>171</v>
      </c>
      <c r="AN607" s="98" t="s">
        <v>171</v>
      </c>
      <c r="AO607" s="98" t="s">
        <v>171</v>
      </c>
      <c r="AP607" s="98" t="s">
        <v>171</v>
      </c>
      <c r="AQ607" s="98" t="s">
        <v>171</v>
      </c>
      <c r="AR607" s="102">
        <v>46226.0</v>
      </c>
      <c r="AS607" s="83">
        <v>1178647.0</v>
      </c>
    </row>
    <row r="608" ht="15.75" customHeight="1">
      <c r="A608" s="111" t="s">
        <v>796</v>
      </c>
      <c r="B608" s="83" t="s">
        <v>2830</v>
      </c>
      <c r="C608" s="83" t="s">
        <v>164</v>
      </c>
      <c r="D608" s="112">
        <v>1179111.0</v>
      </c>
      <c r="E608" s="83">
        <v>1179077.0</v>
      </c>
      <c r="F608" s="83"/>
      <c r="G608" s="91" t="str">
        <f>IFERROR(__xludf.DUMMYFUNCTION("XLOOKUP(AS608,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LAGOA DO BAIAO")</f>
        <v>ANEXO - CEMIT - SERTAO DO SAO FRANCISCO - POVOADO LAGOA DO BAIAO</v>
      </c>
      <c r="H608" s="114" t="s">
        <v>2852</v>
      </c>
      <c r="I608" s="91" t="s">
        <v>2853</v>
      </c>
      <c r="J608" s="136" t="s">
        <v>2854</v>
      </c>
      <c r="K608" s="83" t="s">
        <v>2855</v>
      </c>
      <c r="L608" s="83" t="s">
        <v>168</v>
      </c>
      <c r="M608" s="83" t="s">
        <v>169</v>
      </c>
      <c r="N608" s="115" t="s">
        <v>170</v>
      </c>
      <c r="O608" s="98" t="s">
        <v>155</v>
      </c>
      <c r="P608" s="99" t="str">
        <f>IFERROR(__xludf.DUMMYFUNCTION("IFERROR(VLOOKUP(AS608,IMPORTRANGE(""https://docs.google.com/spreadsheets/d/1juPI-Fb8LD0YtltB2mlGEnp_R3UVu1t3wSFPzgCyHXE/edit?gid=0#gid=0"",""GERAL!A2:C""),3,0),""-"")"),"-")</f>
        <v>-</v>
      </c>
      <c r="Q608" s="98" t="s">
        <v>171</v>
      </c>
      <c r="R608" s="98">
        <v>2.0</v>
      </c>
      <c r="S608" s="98" t="s">
        <v>171</v>
      </c>
      <c r="T608" s="98" t="s">
        <v>171</v>
      </c>
      <c r="U608" s="98" t="s">
        <v>171</v>
      </c>
      <c r="V608" s="98" t="s">
        <v>171</v>
      </c>
      <c r="W608" s="98" t="s">
        <v>171</v>
      </c>
      <c r="X608" s="98" t="s">
        <v>171</v>
      </c>
      <c r="Y608" s="98" t="s">
        <v>171</v>
      </c>
      <c r="Z608" s="98" t="s">
        <v>171</v>
      </c>
      <c r="AA608" s="98" t="s">
        <v>171</v>
      </c>
      <c r="AB608" s="98" t="s">
        <v>171</v>
      </c>
      <c r="AC608" s="98" t="s">
        <v>171</v>
      </c>
      <c r="AD608" s="98" t="s">
        <v>171</v>
      </c>
      <c r="AE608" s="98" t="s">
        <v>171</v>
      </c>
      <c r="AF608" s="98" t="s">
        <v>171</v>
      </c>
      <c r="AG608" s="98" t="s">
        <v>171</v>
      </c>
      <c r="AH608" s="98" t="s">
        <v>171</v>
      </c>
      <c r="AI608" s="98" t="s">
        <v>171</v>
      </c>
      <c r="AJ608" s="98" t="s">
        <v>171</v>
      </c>
      <c r="AK608" s="98" t="s">
        <v>171</v>
      </c>
      <c r="AL608" s="98" t="s">
        <v>171</v>
      </c>
      <c r="AM608" s="98" t="s">
        <v>171</v>
      </c>
      <c r="AN608" s="98" t="s">
        <v>171</v>
      </c>
      <c r="AO608" s="98" t="s">
        <v>171</v>
      </c>
      <c r="AP608" s="98" t="s">
        <v>171</v>
      </c>
      <c r="AQ608" s="98" t="s">
        <v>171</v>
      </c>
      <c r="AR608" s="102">
        <v>46226.0</v>
      </c>
      <c r="AS608" s="83">
        <v>1179077.0</v>
      </c>
    </row>
    <row r="609" ht="15.75" customHeight="1">
      <c r="A609" s="111" t="s">
        <v>796</v>
      </c>
      <c r="B609" s="83" t="s">
        <v>2830</v>
      </c>
      <c r="C609" s="83" t="s">
        <v>164</v>
      </c>
      <c r="D609" s="112">
        <v>1179111.0</v>
      </c>
      <c r="E609" s="83">
        <v>1178653.0</v>
      </c>
      <c r="F609" s="83"/>
      <c r="G609" s="91" t="str">
        <f>IFERROR(__xludf.DUMMYFUNCTION("XLOOKUP(AS609,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LAGOA DO ANGICO")</f>
        <v>ANEXO - CEMIT - SERTAO DO SAO FRANCISCO - POVOADO LAGOA DO ANGICO</v>
      </c>
      <c r="H609" s="114" t="s">
        <v>2856</v>
      </c>
      <c r="I609" s="91" t="s">
        <v>2857</v>
      </c>
      <c r="J609" s="136" t="s">
        <v>2858</v>
      </c>
      <c r="K609" s="83" t="s">
        <v>890</v>
      </c>
      <c r="L609" s="83" t="s">
        <v>168</v>
      </c>
      <c r="M609" s="83" t="s">
        <v>169</v>
      </c>
      <c r="N609" s="115" t="s">
        <v>170</v>
      </c>
      <c r="O609" s="98" t="s">
        <v>155</v>
      </c>
      <c r="P609" s="99" t="str">
        <f>IFERROR(__xludf.DUMMYFUNCTION("IFERROR(VLOOKUP(AS609,IMPORTRANGE(""https://docs.google.com/spreadsheets/d/1juPI-Fb8LD0YtltB2mlGEnp_R3UVu1t3wSFPzgCyHXE/edit?gid=0#gid=0"",""GERAL!A2:C""),3,0),""-"")"),"-")</f>
        <v>-</v>
      </c>
      <c r="Q609" s="98" t="s">
        <v>171</v>
      </c>
      <c r="R609" s="98">
        <v>2.0</v>
      </c>
      <c r="S609" s="98" t="s">
        <v>171</v>
      </c>
      <c r="T609" s="98" t="s">
        <v>171</v>
      </c>
      <c r="U609" s="98" t="s">
        <v>171</v>
      </c>
      <c r="V609" s="98" t="s">
        <v>171</v>
      </c>
      <c r="W609" s="98" t="s">
        <v>171</v>
      </c>
      <c r="X609" s="98" t="s">
        <v>171</v>
      </c>
      <c r="Y609" s="98" t="s">
        <v>171</v>
      </c>
      <c r="Z609" s="98" t="s">
        <v>171</v>
      </c>
      <c r="AA609" s="98" t="s">
        <v>171</v>
      </c>
      <c r="AB609" s="98" t="s">
        <v>171</v>
      </c>
      <c r="AC609" s="98" t="s">
        <v>171</v>
      </c>
      <c r="AD609" s="98" t="s">
        <v>171</v>
      </c>
      <c r="AE609" s="98" t="s">
        <v>171</v>
      </c>
      <c r="AF609" s="98" t="s">
        <v>171</v>
      </c>
      <c r="AG609" s="98" t="s">
        <v>171</v>
      </c>
      <c r="AH609" s="98" t="s">
        <v>171</v>
      </c>
      <c r="AI609" s="98" t="s">
        <v>171</v>
      </c>
      <c r="AJ609" s="98" t="s">
        <v>171</v>
      </c>
      <c r="AK609" s="98" t="s">
        <v>171</v>
      </c>
      <c r="AL609" s="98" t="s">
        <v>171</v>
      </c>
      <c r="AM609" s="98" t="s">
        <v>171</v>
      </c>
      <c r="AN609" s="98" t="s">
        <v>171</v>
      </c>
      <c r="AO609" s="98" t="s">
        <v>171</v>
      </c>
      <c r="AP609" s="98" t="s">
        <v>171</v>
      </c>
      <c r="AQ609" s="98" t="s">
        <v>171</v>
      </c>
      <c r="AR609" s="102">
        <v>46226.0</v>
      </c>
      <c r="AS609" s="83">
        <v>1178653.0</v>
      </c>
    </row>
    <row r="610" ht="15.75" customHeight="1">
      <c r="A610" s="111" t="s">
        <v>796</v>
      </c>
      <c r="B610" s="83" t="s">
        <v>2830</v>
      </c>
      <c r="C610" s="83" t="s">
        <v>164</v>
      </c>
      <c r="D610" s="112">
        <v>1179111.0</v>
      </c>
      <c r="E610" s="83">
        <v>1178650.0</v>
      </c>
      <c r="F610" s="83"/>
      <c r="G610" s="91" t="str">
        <f>IFERROR(__xludf.DUMMYFUNCTION("XLOOKUP(AS610,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VOLTA DE CIMA")</f>
        <v>ANEXO - CEMIT - SERTAO DO SAO FRANCISCO - POVOADO DE VOLTA DE CIMA</v>
      </c>
      <c r="H610" s="114" t="s">
        <v>2859</v>
      </c>
      <c r="I610" s="91" t="s">
        <v>2860</v>
      </c>
      <c r="J610" s="136" t="s">
        <v>2861</v>
      </c>
      <c r="K610" s="83" t="s">
        <v>222</v>
      </c>
      <c r="L610" s="83" t="s">
        <v>168</v>
      </c>
      <c r="M610" s="83" t="s">
        <v>169</v>
      </c>
      <c r="N610" s="115" t="s">
        <v>170</v>
      </c>
      <c r="O610" s="98" t="s">
        <v>155</v>
      </c>
      <c r="P610" s="99" t="str">
        <f>IFERROR(__xludf.DUMMYFUNCTION("IFERROR(VLOOKUP(AS610,IMPORTRANGE(""https://docs.google.com/spreadsheets/d/1juPI-Fb8LD0YtltB2mlGEnp_R3UVu1t3wSFPzgCyHXE/edit?gid=0#gid=0"",""GERAL!A2:C""),3,0),""-"")"),"-")</f>
        <v>-</v>
      </c>
      <c r="Q610" s="98" t="s">
        <v>171</v>
      </c>
      <c r="R610" s="98">
        <v>2.0</v>
      </c>
      <c r="S610" s="98" t="s">
        <v>171</v>
      </c>
      <c r="T610" s="98" t="s">
        <v>171</v>
      </c>
      <c r="U610" s="98" t="s">
        <v>171</v>
      </c>
      <c r="V610" s="98" t="s">
        <v>171</v>
      </c>
      <c r="W610" s="98" t="s">
        <v>171</v>
      </c>
      <c r="X610" s="98" t="s">
        <v>171</v>
      </c>
      <c r="Y610" s="98" t="s">
        <v>171</v>
      </c>
      <c r="Z610" s="98" t="s">
        <v>171</v>
      </c>
      <c r="AA610" s="98" t="s">
        <v>171</v>
      </c>
      <c r="AB610" s="98" t="s">
        <v>171</v>
      </c>
      <c r="AC610" s="98" t="s">
        <v>171</v>
      </c>
      <c r="AD610" s="98" t="s">
        <v>171</v>
      </c>
      <c r="AE610" s="98" t="s">
        <v>171</v>
      </c>
      <c r="AF610" s="98" t="s">
        <v>171</v>
      </c>
      <c r="AG610" s="98" t="s">
        <v>171</v>
      </c>
      <c r="AH610" s="98" t="s">
        <v>171</v>
      </c>
      <c r="AI610" s="98" t="s">
        <v>171</v>
      </c>
      <c r="AJ610" s="98" t="s">
        <v>171</v>
      </c>
      <c r="AK610" s="98" t="s">
        <v>171</v>
      </c>
      <c r="AL610" s="98" t="s">
        <v>171</v>
      </c>
      <c r="AM610" s="98" t="s">
        <v>171</v>
      </c>
      <c r="AN610" s="98" t="s">
        <v>171</v>
      </c>
      <c r="AO610" s="98" t="s">
        <v>171</v>
      </c>
      <c r="AP610" s="98" t="s">
        <v>171</v>
      </c>
      <c r="AQ610" s="98" t="s">
        <v>171</v>
      </c>
      <c r="AR610" s="102">
        <v>46226.0</v>
      </c>
      <c r="AS610" s="83">
        <v>1178650.0</v>
      </c>
    </row>
    <row r="611" ht="15.75" customHeight="1">
      <c r="A611" s="111" t="s">
        <v>796</v>
      </c>
      <c r="B611" s="83" t="s">
        <v>2830</v>
      </c>
      <c r="C611" s="83" t="s">
        <v>164</v>
      </c>
      <c r="D611" s="112">
        <v>1179111.0</v>
      </c>
      <c r="E611" s="83">
        <v>1178651.0</v>
      </c>
      <c r="F611" s="83"/>
      <c r="G611" s="91" t="str">
        <f>IFERROR(__xludf.DUMMYFUNCTION("XLOOKUP(AS611,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TAPAGEM")</f>
        <v>ANEXO - CEMIT - SERTAO DO SAO FRANCISCO - POVOADO DE TAPAGEM</v>
      </c>
      <c r="H611" s="114" t="s">
        <v>2869</v>
      </c>
      <c r="I611" s="91" t="s">
        <v>2870</v>
      </c>
      <c r="J611" s="136" t="s">
        <v>2871</v>
      </c>
      <c r="K611" s="83" t="s">
        <v>784</v>
      </c>
      <c r="L611" s="83" t="s">
        <v>168</v>
      </c>
      <c r="M611" s="83" t="s">
        <v>169</v>
      </c>
      <c r="N611" s="115" t="s">
        <v>170</v>
      </c>
      <c r="O611" s="98" t="s">
        <v>155</v>
      </c>
      <c r="P611" s="99" t="str">
        <f>IFERROR(__xludf.DUMMYFUNCTION("IFERROR(VLOOKUP(AS611,IMPORTRANGE(""https://docs.google.com/spreadsheets/d/1juPI-Fb8LD0YtltB2mlGEnp_R3UVu1t3wSFPzgCyHXE/edit?gid=0#gid=0"",""GERAL!A2:C""),3,0),""-"")"),"-")</f>
        <v>-</v>
      </c>
      <c r="Q611" s="98" t="s">
        <v>171</v>
      </c>
      <c r="R611" s="98">
        <v>2.0</v>
      </c>
      <c r="S611" s="98" t="s">
        <v>171</v>
      </c>
      <c r="T611" s="98" t="s">
        <v>171</v>
      </c>
      <c r="U611" s="98" t="s">
        <v>171</v>
      </c>
      <c r="V611" s="98" t="s">
        <v>171</v>
      </c>
      <c r="W611" s="98" t="s">
        <v>171</v>
      </c>
      <c r="X611" s="98" t="s">
        <v>171</v>
      </c>
      <c r="Y611" s="98" t="s">
        <v>171</v>
      </c>
      <c r="Z611" s="98" t="s">
        <v>171</v>
      </c>
      <c r="AA611" s="98" t="s">
        <v>171</v>
      </c>
      <c r="AB611" s="98" t="s">
        <v>171</v>
      </c>
      <c r="AC611" s="98" t="s">
        <v>171</v>
      </c>
      <c r="AD611" s="98" t="s">
        <v>171</v>
      </c>
      <c r="AE611" s="98" t="s">
        <v>171</v>
      </c>
      <c r="AF611" s="98" t="s">
        <v>171</v>
      </c>
      <c r="AG611" s="98" t="s">
        <v>171</v>
      </c>
      <c r="AH611" s="98" t="s">
        <v>171</v>
      </c>
      <c r="AI611" s="98" t="s">
        <v>171</v>
      </c>
      <c r="AJ611" s="98" t="s">
        <v>171</v>
      </c>
      <c r="AK611" s="98" t="s">
        <v>171</v>
      </c>
      <c r="AL611" s="98" t="s">
        <v>171</v>
      </c>
      <c r="AM611" s="98" t="s">
        <v>171</v>
      </c>
      <c r="AN611" s="98" t="s">
        <v>171</v>
      </c>
      <c r="AO611" s="98" t="s">
        <v>171</v>
      </c>
      <c r="AP611" s="98" t="s">
        <v>171</v>
      </c>
      <c r="AQ611" s="98" t="s">
        <v>171</v>
      </c>
      <c r="AR611" s="102">
        <v>46226.0</v>
      </c>
      <c r="AS611" s="83">
        <v>1178651.0</v>
      </c>
    </row>
    <row r="612" ht="15.75" customHeight="1">
      <c r="A612" s="111" t="s">
        <v>796</v>
      </c>
      <c r="B612" s="83" t="s">
        <v>2830</v>
      </c>
      <c r="C612" s="83" t="s">
        <v>164</v>
      </c>
      <c r="D612" s="112">
        <v>1179111.0</v>
      </c>
      <c r="E612" s="83">
        <v>1178669.0</v>
      </c>
      <c r="F612" s="83"/>
      <c r="G612" s="91" t="str">
        <f>IFERROR(__xludf.DUMMYFUNCTION("XLOOKUP(AS612,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TAMBORIL")</f>
        <v>ANEXO - CEMIT - SERTAO DO SAO FRANCISCO - POVOADO DE TAMBORIL</v>
      </c>
      <c r="H612" s="114" t="s">
        <v>2874</v>
      </c>
      <c r="I612" s="91" t="s">
        <v>2875</v>
      </c>
      <c r="J612" s="136" t="s">
        <v>2876</v>
      </c>
      <c r="K612" s="83" t="s">
        <v>2877</v>
      </c>
      <c r="L612" s="83" t="s">
        <v>168</v>
      </c>
      <c r="M612" s="83" t="s">
        <v>169</v>
      </c>
      <c r="N612" s="115" t="s">
        <v>170</v>
      </c>
      <c r="O612" s="98" t="s">
        <v>155</v>
      </c>
      <c r="P612" s="99" t="str">
        <f>IFERROR(__xludf.DUMMYFUNCTION("IFERROR(VLOOKUP(AS612,IMPORTRANGE(""https://docs.google.com/spreadsheets/d/1juPI-Fb8LD0YtltB2mlGEnp_R3UVu1t3wSFPzgCyHXE/edit?gid=0#gid=0"",""GERAL!A2:C""),3,0),""-"")"),"-")</f>
        <v>-</v>
      </c>
      <c r="Q612" s="98" t="s">
        <v>171</v>
      </c>
      <c r="R612" s="98">
        <v>2.0</v>
      </c>
      <c r="S612" s="98" t="s">
        <v>171</v>
      </c>
      <c r="T612" s="98" t="s">
        <v>171</v>
      </c>
      <c r="U612" s="98" t="s">
        <v>171</v>
      </c>
      <c r="V612" s="98" t="s">
        <v>171</v>
      </c>
      <c r="W612" s="98" t="s">
        <v>171</v>
      </c>
      <c r="X612" s="98" t="s">
        <v>171</v>
      </c>
      <c r="Y612" s="98" t="s">
        <v>171</v>
      </c>
      <c r="Z612" s="98" t="s">
        <v>171</v>
      </c>
      <c r="AA612" s="98" t="s">
        <v>171</v>
      </c>
      <c r="AB612" s="98" t="s">
        <v>171</v>
      </c>
      <c r="AC612" s="98" t="s">
        <v>171</v>
      </c>
      <c r="AD612" s="98" t="s">
        <v>171</v>
      </c>
      <c r="AE612" s="98" t="s">
        <v>171</v>
      </c>
      <c r="AF612" s="98" t="s">
        <v>171</v>
      </c>
      <c r="AG612" s="98" t="s">
        <v>171</v>
      </c>
      <c r="AH612" s="98" t="s">
        <v>171</v>
      </c>
      <c r="AI612" s="98" t="s">
        <v>171</v>
      </c>
      <c r="AJ612" s="98" t="s">
        <v>171</v>
      </c>
      <c r="AK612" s="98" t="s">
        <v>171</v>
      </c>
      <c r="AL612" s="98" t="s">
        <v>171</v>
      </c>
      <c r="AM612" s="98" t="s">
        <v>171</v>
      </c>
      <c r="AN612" s="98" t="s">
        <v>171</v>
      </c>
      <c r="AO612" s="98" t="s">
        <v>171</v>
      </c>
      <c r="AP612" s="98" t="s">
        <v>171</v>
      </c>
      <c r="AQ612" s="98" t="s">
        <v>171</v>
      </c>
      <c r="AR612" s="102">
        <v>46226.0</v>
      </c>
      <c r="AS612" s="83">
        <v>1178669.0</v>
      </c>
    </row>
    <row r="613" ht="15.75" customHeight="1">
      <c r="A613" s="111" t="s">
        <v>796</v>
      </c>
      <c r="B613" s="83" t="s">
        <v>2830</v>
      </c>
      <c r="C613" s="83" t="s">
        <v>164</v>
      </c>
      <c r="D613" s="112">
        <v>1179111.0</v>
      </c>
      <c r="E613" s="83">
        <v>1178649.0</v>
      </c>
      <c r="F613" s="83"/>
      <c r="G613" s="91" t="str">
        <f>IFERROR(__xludf.DUMMYFUNCTION("XLOOKUP(AS613,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JUREMA DO VIRGILIO")</f>
        <v>ANEXO - CEMIT - SERTAO DO SAO FRANCISCO - POVOADO DE JUREMA DO VIRGILIO</v>
      </c>
      <c r="H613" s="114" t="s">
        <v>2884</v>
      </c>
      <c r="I613" s="91" t="s">
        <v>2885</v>
      </c>
      <c r="J613" s="136" t="s">
        <v>2886</v>
      </c>
      <c r="K613" s="83" t="s">
        <v>485</v>
      </c>
      <c r="L613" s="98" t="s">
        <v>151</v>
      </c>
      <c r="M613" s="83" t="s">
        <v>169</v>
      </c>
      <c r="N613" s="115" t="s">
        <v>170</v>
      </c>
      <c r="O613" s="98" t="s">
        <v>155</v>
      </c>
      <c r="P613" s="99" t="str">
        <f>IFERROR(__xludf.DUMMYFUNCTION("IFERROR(VLOOKUP(AS613,IMPORTRANGE(""https://docs.google.com/spreadsheets/d/1juPI-Fb8LD0YtltB2mlGEnp_R3UVu1t3wSFPzgCyHXE/edit?gid=0#gid=0"",""GERAL!A2:C""),3,0),""-"")"),"-")</f>
        <v>-</v>
      </c>
      <c r="Q613" s="98" t="s">
        <v>171</v>
      </c>
      <c r="R613" s="98">
        <v>2.0</v>
      </c>
      <c r="S613" s="98" t="s">
        <v>171</v>
      </c>
      <c r="T613" s="98" t="s">
        <v>171</v>
      </c>
      <c r="U613" s="98" t="s">
        <v>171</v>
      </c>
      <c r="V613" s="98" t="s">
        <v>171</v>
      </c>
      <c r="W613" s="98" t="s">
        <v>171</v>
      </c>
      <c r="X613" s="98" t="s">
        <v>171</v>
      </c>
      <c r="Y613" s="98" t="s">
        <v>171</v>
      </c>
      <c r="Z613" s="98" t="s">
        <v>171</v>
      </c>
      <c r="AA613" s="98" t="s">
        <v>171</v>
      </c>
      <c r="AB613" s="98" t="s">
        <v>171</v>
      </c>
      <c r="AC613" s="98" t="s">
        <v>171</v>
      </c>
      <c r="AD613" s="98" t="s">
        <v>171</v>
      </c>
      <c r="AE613" s="98" t="s">
        <v>171</v>
      </c>
      <c r="AF613" s="98" t="s">
        <v>171</v>
      </c>
      <c r="AG613" s="98" t="s">
        <v>171</v>
      </c>
      <c r="AH613" s="98" t="s">
        <v>171</v>
      </c>
      <c r="AI613" s="98" t="s">
        <v>171</v>
      </c>
      <c r="AJ613" s="98" t="s">
        <v>171</v>
      </c>
      <c r="AK613" s="98" t="s">
        <v>171</v>
      </c>
      <c r="AL613" s="98" t="s">
        <v>171</v>
      </c>
      <c r="AM613" s="98" t="s">
        <v>171</v>
      </c>
      <c r="AN613" s="98" t="s">
        <v>171</v>
      </c>
      <c r="AO613" s="98" t="s">
        <v>171</v>
      </c>
      <c r="AP613" s="98" t="s">
        <v>171</v>
      </c>
      <c r="AQ613" s="98" t="s">
        <v>171</v>
      </c>
      <c r="AR613" s="102">
        <v>46226.0</v>
      </c>
      <c r="AS613" s="83">
        <v>1178649.0</v>
      </c>
    </row>
    <row r="614" ht="15.75" customHeight="1">
      <c r="A614" s="111" t="s">
        <v>796</v>
      </c>
      <c r="B614" s="83" t="s">
        <v>2830</v>
      </c>
      <c r="C614" s="83" t="s">
        <v>164</v>
      </c>
      <c r="D614" s="112">
        <v>1179111.0</v>
      </c>
      <c r="E614" s="83">
        <v>1178652.0</v>
      </c>
      <c r="F614" s="83"/>
      <c r="G614" s="91" t="str">
        <f>IFERROR(__xludf.DUMMYFUNCTION("XLOOKUP(AS614,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BARREIRO DO ESPINHEIRO")</f>
        <v>ANEXO - CEMIT - SERTAO DO SAO FRANCISCO - POVOADO DE BARREIRO DO ESPINHEIRO</v>
      </c>
      <c r="H614" s="114" t="s">
        <v>2887</v>
      </c>
      <c r="I614" s="91" t="s">
        <v>2888</v>
      </c>
      <c r="J614" s="136" t="s">
        <v>2889</v>
      </c>
      <c r="K614" s="83" t="s">
        <v>443</v>
      </c>
      <c r="L614" s="83" t="s">
        <v>168</v>
      </c>
      <c r="M614" s="83" t="s">
        <v>169</v>
      </c>
      <c r="N614" s="115" t="s">
        <v>170</v>
      </c>
      <c r="O614" s="98" t="s">
        <v>155</v>
      </c>
      <c r="P614" s="99" t="str">
        <f>IFERROR(__xludf.DUMMYFUNCTION("IFERROR(VLOOKUP(AS614,IMPORTRANGE(""https://docs.google.com/spreadsheets/d/1juPI-Fb8LD0YtltB2mlGEnp_R3UVu1t3wSFPzgCyHXE/edit?gid=0#gid=0"",""GERAL!A2:C""),3,0),""-"")"),"-")</f>
        <v>-</v>
      </c>
      <c r="Q614" s="98" t="s">
        <v>171</v>
      </c>
      <c r="R614" s="98">
        <v>2.0</v>
      </c>
      <c r="S614" s="98" t="s">
        <v>171</v>
      </c>
      <c r="T614" s="98" t="s">
        <v>171</v>
      </c>
      <c r="U614" s="98" t="s">
        <v>171</v>
      </c>
      <c r="V614" s="98" t="s">
        <v>171</v>
      </c>
      <c r="W614" s="98" t="s">
        <v>171</v>
      </c>
      <c r="X614" s="98" t="s">
        <v>171</v>
      </c>
      <c r="Y614" s="98" t="s">
        <v>171</v>
      </c>
      <c r="Z614" s="98" t="s">
        <v>171</v>
      </c>
      <c r="AA614" s="98" t="s">
        <v>171</v>
      </c>
      <c r="AB614" s="98" t="s">
        <v>171</v>
      </c>
      <c r="AC614" s="98" t="s">
        <v>171</v>
      </c>
      <c r="AD614" s="98" t="s">
        <v>171</v>
      </c>
      <c r="AE614" s="98" t="s">
        <v>171</v>
      </c>
      <c r="AF614" s="98" t="s">
        <v>171</v>
      </c>
      <c r="AG614" s="98" t="s">
        <v>171</v>
      </c>
      <c r="AH614" s="98" t="s">
        <v>171</v>
      </c>
      <c r="AI614" s="98" t="s">
        <v>171</v>
      </c>
      <c r="AJ614" s="98" t="s">
        <v>171</v>
      </c>
      <c r="AK614" s="98" t="s">
        <v>171</v>
      </c>
      <c r="AL614" s="98" t="s">
        <v>171</v>
      </c>
      <c r="AM614" s="98" t="s">
        <v>171</v>
      </c>
      <c r="AN614" s="98" t="s">
        <v>171</v>
      </c>
      <c r="AO614" s="98" t="s">
        <v>171</v>
      </c>
      <c r="AP614" s="98" t="s">
        <v>171</v>
      </c>
      <c r="AQ614" s="98" t="s">
        <v>171</v>
      </c>
      <c r="AR614" s="102">
        <v>46226.0</v>
      </c>
      <c r="AS614" s="83">
        <v>1178652.0</v>
      </c>
    </row>
    <row r="615" ht="15.75" customHeight="1">
      <c r="A615" s="111" t="s">
        <v>796</v>
      </c>
      <c r="B615" s="83" t="s">
        <v>2830</v>
      </c>
      <c r="C615" s="83" t="s">
        <v>164</v>
      </c>
      <c r="D615" s="112">
        <v>1179111.0</v>
      </c>
      <c r="E615" s="83">
        <v>1178654.0</v>
      </c>
      <c r="F615" s="83"/>
      <c r="G615" s="91" t="str">
        <f>IFERROR(__xludf.DUMMYFUNCTION("XLOOKUP(AS615,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BARRA")</f>
        <v>ANEXO - CEMIT - SERTAO DO SAO FRANCISCO - POVOADO DE BARRA</v>
      </c>
      <c r="H615" s="114" t="s">
        <v>2890</v>
      </c>
      <c r="I615" s="91" t="s">
        <v>2891</v>
      </c>
      <c r="J615" s="136" t="s">
        <v>2892</v>
      </c>
      <c r="K615" s="83" t="s">
        <v>890</v>
      </c>
      <c r="L615" s="83" t="s">
        <v>168</v>
      </c>
      <c r="M615" s="83" t="s">
        <v>169</v>
      </c>
      <c r="N615" s="115" t="s">
        <v>170</v>
      </c>
      <c r="O615" s="98" t="s">
        <v>155</v>
      </c>
      <c r="P615" s="99" t="str">
        <f>IFERROR(__xludf.DUMMYFUNCTION("IFERROR(VLOOKUP(AS615,IMPORTRANGE(""https://docs.google.com/spreadsheets/d/1juPI-Fb8LD0YtltB2mlGEnp_R3UVu1t3wSFPzgCyHXE/edit?gid=0#gid=0"",""GERAL!A2:C""),3,0),""-"")"),"-")</f>
        <v>-</v>
      </c>
      <c r="Q615" s="98" t="s">
        <v>171</v>
      </c>
      <c r="R615" s="98">
        <v>2.0</v>
      </c>
      <c r="S615" s="98" t="s">
        <v>171</v>
      </c>
      <c r="T615" s="98" t="s">
        <v>171</v>
      </c>
      <c r="U615" s="98" t="s">
        <v>171</v>
      </c>
      <c r="V615" s="98" t="s">
        <v>171</v>
      </c>
      <c r="W615" s="98" t="s">
        <v>171</v>
      </c>
      <c r="X615" s="98" t="s">
        <v>171</v>
      </c>
      <c r="Y615" s="98" t="s">
        <v>171</v>
      </c>
      <c r="Z615" s="98" t="s">
        <v>171</v>
      </c>
      <c r="AA615" s="98" t="s">
        <v>171</v>
      </c>
      <c r="AB615" s="98" t="s">
        <v>171</v>
      </c>
      <c r="AC615" s="98" t="s">
        <v>171</v>
      </c>
      <c r="AD615" s="98" t="s">
        <v>171</v>
      </c>
      <c r="AE615" s="98" t="s">
        <v>171</v>
      </c>
      <c r="AF615" s="98" t="s">
        <v>171</v>
      </c>
      <c r="AG615" s="98" t="s">
        <v>171</v>
      </c>
      <c r="AH615" s="98" t="s">
        <v>171</v>
      </c>
      <c r="AI615" s="98" t="s">
        <v>171</v>
      </c>
      <c r="AJ615" s="98" t="s">
        <v>171</v>
      </c>
      <c r="AK615" s="98" t="s">
        <v>171</v>
      </c>
      <c r="AL615" s="98" t="s">
        <v>171</v>
      </c>
      <c r="AM615" s="98" t="s">
        <v>171</v>
      </c>
      <c r="AN615" s="98" t="s">
        <v>171</v>
      </c>
      <c r="AO615" s="98" t="s">
        <v>171</v>
      </c>
      <c r="AP615" s="98" t="s">
        <v>171</v>
      </c>
      <c r="AQ615" s="98" t="s">
        <v>171</v>
      </c>
      <c r="AR615" s="102">
        <v>46226.0</v>
      </c>
      <c r="AS615" s="83">
        <v>1178654.0</v>
      </c>
    </row>
    <row r="616" ht="15.75" customHeight="1">
      <c r="A616" s="111" t="s">
        <v>796</v>
      </c>
      <c r="B616" s="83" t="s">
        <v>2830</v>
      </c>
      <c r="C616" s="83" t="s">
        <v>164</v>
      </c>
      <c r="D616" s="112">
        <v>1179111.0</v>
      </c>
      <c r="E616" s="83">
        <v>1178629.0</v>
      </c>
      <c r="F616" s="83"/>
      <c r="G616" s="91" t="str">
        <f>IFERROR(__xludf.DUMMYFUNCTION("XLOOKUP(AS616,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BAIXAOZINHO")</f>
        <v>ANEXO - CEMIT - SERTAO DO SAO FRANCISCO - POVOADO BAIXAOZINHO</v>
      </c>
      <c r="H616" s="114" t="s">
        <v>2893</v>
      </c>
      <c r="I616" s="91" t="s">
        <v>2894</v>
      </c>
      <c r="J616" s="136" t="s">
        <v>2895</v>
      </c>
      <c r="K616" s="83" t="s">
        <v>2896</v>
      </c>
      <c r="L616" s="83" t="s">
        <v>168</v>
      </c>
      <c r="M616" s="83" t="s">
        <v>169</v>
      </c>
      <c r="N616" s="115" t="s">
        <v>170</v>
      </c>
      <c r="O616" s="98" t="s">
        <v>155</v>
      </c>
      <c r="P616" s="99" t="str">
        <f>IFERROR(__xludf.DUMMYFUNCTION("IFERROR(VLOOKUP(AS616,IMPORTRANGE(""https://docs.google.com/spreadsheets/d/1juPI-Fb8LD0YtltB2mlGEnp_R3UVu1t3wSFPzgCyHXE/edit?gid=0#gid=0"",""GERAL!A2:C""),3,0),""-"")"),"-")</f>
        <v>-</v>
      </c>
      <c r="Q616" s="98" t="s">
        <v>171</v>
      </c>
      <c r="R616" s="98">
        <v>3.0</v>
      </c>
      <c r="S616" s="98" t="s">
        <v>171</v>
      </c>
      <c r="T616" s="98" t="s">
        <v>171</v>
      </c>
      <c r="U616" s="98" t="s">
        <v>171</v>
      </c>
      <c r="V616" s="98" t="s">
        <v>171</v>
      </c>
      <c r="W616" s="98" t="s">
        <v>171</v>
      </c>
      <c r="X616" s="98" t="s">
        <v>171</v>
      </c>
      <c r="Y616" s="98" t="s">
        <v>171</v>
      </c>
      <c r="Z616" s="98" t="s">
        <v>171</v>
      </c>
      <c r="AA616" s="98" t="s">
        <v>171</v>
      </c>
      <c r="AB616" s="98" t="s">
        <v>171</v>
      </c>
      <c r="AC616" s="98" t="s">
        <v>171</v>
      </c>
      <c r="AD616" s="98" t="s">
        <v>171</v>
      </c>
      <c r="AE616" s="98" t="s">
        <v>171</v>
      </c>
      <c r="AF616" s="98" t="s">
        <v>171</v>
      </c>
      <c r="AG616" s="98" t="s">
        <v>171</v>
      </c>
      <c r="AH616" s="98" t="s">
        <v>171</v>
      </c>
      <c r="AI616" s="98" t="s">
        <v>171</v>
      </c>
      <c r="AJ616" s="98" t="s">
        <v>171</v>
      </c>
      <c r="AK616" s="98" t="s">
        <v>171</v>
      </c>
      <c r="AL616" s="98" t="s">
        <v>171</v>
      </c>
      <c r="AM616" s="98" t="s">
        <v>171</v>
      </c>
      <c r="AN616" s="98" t="s">
        <v>171</v>
      </c>
      <c r="AO616" s="98" t="s">
        <v>171</v>
      </c>
      <c r="AP616" s="98" t="s">
        <v>171</v>
      </c>
      <c r="AQ616" s="98" t="s">
        <v>171</v>
      </c>
      <c r="AR616" s="102">
        <v>46226.0</v>
      </c>
      <c r="AS616" s="83">
        <v>1178629.0</v>
      </c>
    </row>
    <row r="617" ht="15.75" customHeight="1">
      <c r="A617" s="111" t="s">
        <v>796</v>
      </c>
      <c r="B617" s="83" t="s">
        <v>2830</v>
      </c>
      <c r="C617" s="83" t="s">
        <v>164</v>
      </c>
      <c r="D617" s="112">
        <v>1179111.0</v>
      </c>
      <c r="E617" s="83">
        <v>1178648.0</v>
      </c>
      <c r="F617" s="83"/>
      <c r="G617" s="91" t="str">
        <f>IFERROR(__xludf.DUMMYFUNCTION("XLOOKUP(AS617,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ANGICO II")</f>
        <v>ANEXO - CEMIT - SERTAO DO SAO FRANCISCO - POVOADO ANGICO II</v>
      </c>
      <c r="H617" s="114" t="s">
        <v>2897</v>
      </c>
      <c r="I617" s="91" t="s">
        <v>2898</v>
      </c>
      <c r="J617" s="136" t="s">
        <v>2899</v>
      </c>
      <c r="K617" s="83" t="s">
        <v>191</v>
      </c>
      <c r="L617" s="83" t="s">
        <v>168</v>
      </c>
      <c r="M617" s="83" t="s">
        <v>169</v>
      </c>
      <c r="N617" s="115" t="s">
        <v>170</v>
      </c>
      <c r="O617" s="98" t="s">
        <v>155</v>
      </c>
      <c r="P617" s="99" t="str">
        <f>IFERROR(__xludf.DUMMYFUNCTION("IFERROR(VLOOKUP(AS617,IMPORTRANGE(""https://docs.google.com/spreadsheets/d/1juPI-Fb8LD0YtltB2mlGEnp_R3UVu1t3wSFPzgCyHXE/edit?gid=0#gid=0"",""GERAL!A2:C""),3,0),""-"")"),"-")</f>
        <v>-</v>
      </c>
      <c r="Q617" s="98" t="s">
        <v>171</v>
      </c>
      <c r="R617" s="98">
        <v>2.0</v>
      </c>
      <c r="S617" s="98" t="s">
        <v>171</v>
      </c>
      <c r="T617" s="98" t="s">
        <v>171</v>
      </c>
      <c r="U617" s="98" t="s">
        <v>171</v>
      </c>
      <c r="V617" s="98" t="s">
        <v>171</v>
      </c>
      <c r="W617" s="98" t="s">
        <v>171</v>
      </c>
      <c r="X617" s="98" t="s">
        <v>171</v>
      </c>
      <c r="Y617" s="98" t="s">
        <v>171</v>
      </c>
      <c r="Z617" s="98" t="s">
        <v>171</v>
      </c>
      <c r="AA617" s="98" t="s">
        <v>171</v>
      </c>
      <c r="AB617" s="98" t="s">
        <v>171</v>
      </c>
      <c r="AC617" s="98" t="s">
        <v>171</v>
      </c>
      <c r="AD617" s="98" t="s">
        <v>171</v>
      </c>
      <c r="AE617" s="98" t="s">
        <v>171</v>
      </c>
      <c r="AF617" s="98" t="s">
        <v>171</v>
      </c>
      <c r="AG617" s="98" t="s">
        <v>171</v>
      </c>
      <c r="AH617" s="98" t="s">
        <v>171</v>
      </c>
      <c r="AI617" s="98" t="s">
        <v>171</v>
      </c>
      <c r="AJ617" s="98" t="s">
        <v>171</v>
      </c>
      <c r="AK617" s="98" t="s">
        <v>171</v>
      </c>
      <c r="AL617" s="98" t="s">
        <v>171</v>
      </c>
      <c r="AM617" s="98" t="s">
        <v>171</v>
      </c>
      <c r="AN617" s="98" t="s">
        <v>171</v>
      </c>
      <c r="AO617" s="98" t="s">
        <v>171</v>
      </c>
      <c r="AP617" s="98" t="s">
        <v>171</v>
      </c>
      <c r="AQ617" s="98" t="s">
        <v>171</v>
      </c>
      <c r="AR617" s="102">
        <v>46226.0</v>
      </c>
      <c r="AS617" s="83">
        <v>1178648.0</v>
      </c>
    </row>
    <row r="618" ht="15.75" customHeight="1">
      <c r="A618" s="111" t="s">
        <v>796</v>
      </c>
      <c r="B618" s="83" t="s">
        <v>2830</v>
      </c>
      <c r="C618" s="83" t="s">
        <v>164</v>
      </c>
      <c r="D618" s="112">
        <v>1179111.0</v>
      </c>
      <c r="E618" s="83">
        <v>1178655.0</v>
      </c>
      <c r="F618" s="83"/>
      <c r="G618" s="91" t="str">
        <f>IFERROR(__xludf.DUMMYFUNCTION("XLOOKUP(AS618,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PEIXE")</f>
        <v>ANEXO - CEMIT - SERTAO DO SAO FRANCISCO - DISTRITO DE PEIXE</v>
      </c>
      <c r="H618" s="114" t="s">
        <v>2900</v>
      </c>
      <c r="I618" s="91" t="s">
        <v>2901</v>
      </c>
      <c r="J618" s="136" t="s">
        <v>2902</v>
      </c>
      <c r="K618" s="83" t="s">
        <v>2903</v>
      </c>
      <c r="L618" s="83" t="s">
        <v>151</v>
      </c>
      <c r="M618" s="83" t="s">
        <v>169</v>
      </c>
      <c r="N618" s="115" t="s">
        <v>170</v>
      </c>
      <c r="O618" s="98" t="s">
        <v>155</v>
      </c>
      <c r="P618" s="99" t="str">
        <f>IFERROR(__xludf.DUMMYFUNCTION("IFERROR(VLOOKUP(AS618,IMPORTRANGE(""https://docs.google.com/spreadsheets/d/1juPI-Fb8LD0YtltB2mlGEnp_R3UVu1t3wSFPzgCyHXE/edit?gid=0#gid=0"",""GERAL!A2:C""),3,0),""-"")"),"-")</f>
        <v>-</v>
      </c>
      <c r="Q618" s="98" t="s">
        <v>171</v>
      </c>
      <c r="R618" s="98">
        <v>2.0</v>
      </c>
      <c r="S618" s="98" t="s">
        <v>171</v>
      </c>
      <c r="T618" s="98" t="s">
        <v>171</v>
      </c>
      <c r="U618" s="98" t="s">
        <v>171</v>
      </c>
      <c r="V618" s="98" t="s">
        <v>171</v>
      </c>
      <c r="W618" s="98" t="s">
        <v>171</v>
      </c>
      <c r="X618" s="98" t="s">
        <v>171</v>
      </c>
      <c r="Y618" s="98" t="s">
        <v>171</v>
      </c>
      <c r="Z618" s="98" t="s">
        <v>171</v>
      </c>
      <c r="AA618" s="98" t="s">
        <v>171</v>
      </c>
      <c r="AB618" s="98" t="s">
        <v>171</v>
      </c>
      <c r="AC618" s="98" t="s">
        <v>171</v>
      </c>
      <c r="AD618" s="98" t="s">
        <v>171</v>
      </c>
      <c r="AE618" s="98" t="s">
        <v>171</v>
      </c>
      <c r="AF618" s="98" t="s">
        <v>171</v>
      </c>
      <c r="AG618" s="98" t="s">
        <v>171</v>
      </c>
      <c r="AH618" s="98" t="s">
        <v>171</v>
      </c>
      <c r="AI618" s="98" t="s">
        <v>171</v>
      </c>
      <c r="AJ618" s="98" t="s">
        <v>171</v>
      </c>
      <c r="AK618" s="98" t="s">
        <v>171</v>
      </c>
      <c r="AL618" s="98" t="s">
        <v>171</v>
      </c>
      <c r="AM618" s="98" t="s">
        <v>171</v>
      </c>
      <c r="AN618" s="98" t="s">
        <v>171</v>
      </c>
      <c r="AO618" s="98" t="s">
        <v>171</v>
      </c>
      <c r="AP618" s="98" t="s">
        <v>171</v>
      </c>
      <c r="AQ618" s="98" t="s">
        <v>171</v>
      </c>
      <c r="AR618" s="102">
        <v>46226.0</v>
      </c>
      <c r="AS618" s="83">
        <v>1178655.0</v>
      </c>
    </row>
    <row r="619" ht="15.75" customHeight="1">
      <c r="A619" s="111" t="s">
        <v>796</v>
      </c>
      <c r="B619" s="83" t="s">
        <v>2830</v>
      </c>
      <c r="C619" s="83" t="s">
        <v>164</v>
      </c>
      <c r="D619" s="112">
        <v>1179111.0</v>
      </c>
      <c r="E619" s="83">
        <v>1179043.0</v>
      </c>
      <c r="F619" s="83"/>
      <c r="G619" s="91" t="str">
        <f>IFERROR(__xludf.DUMMYFUNCTION("XLOOKUP(AS619,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PAU DE BIRRO")</f>
        <v>ANEXO - CEMIT - SERTAO DO SAO FRANCISCO - DISTRITO DE PAU DE BIRRO</v>
      </c>
      <c r="H619" s="114" t="s">
        <v>2904</v>
      </c>
      <c r="I619" s="91" t="s">
        <v>2905</v>
      </c>
      <c r="J619" s="136" t="s">
        <v>2906</v>
      </c>
      <c r="K619" s="83" t="s">
        <v>2907</v>
      </c>
      <c r="L619" s="83" t="s">
        <v>168</v>
      </c>
      <c r="M619" s="83" t="s">
        <v>169</v>
      </c>
      <c r="N619" s="115" t="s">
        <v>170</v>
      </c>
      <c r="O619" s="98" t="s">
        <v>155</v>
      </c>
      <c r="P619" s="99" t="str">
        <f>IFERROR(__xludf.DUMMYFUNCTION("IFERROR(VLOOKUP(AS619,IMPORTRANGE(""https://docs.google.com/spreadsheets/d/1juPI-Fb8LD0YtltB2mlGEnp_R3UVu1t3wSFPzgCyHXE/edit?gid=0#gid=0"",""GERAL!A2:C""),3,0),""-"")"),"-")</f>
        <v>-</v>
      </c>
      <c r="Q619" s="98" t="s">
        <v>171</v>
      </c>
      <c r="R619" s="98">
        <v>2.0</v>
      </c>
      <c r="S619" s="98" t="s">
        <v>171</v>
      </c>
      <c r="T619" s="98" t="s">
        <v>171</v>
      </c>
      <c r="U619" s="98" t="s">
        <v>171</v>
      </c>
      <c r="V619" s="98" t="s">
        <v>171</v>
      </c>
      <c r="W619" s="98" t="s">
        <v>171</v>
      </c>
      <c r="X619" s="98" t="s">
        <v>171</v>
      </c>
      <c r="Y619" s="98" t="s">
        <v>171</v>
      </c>
      <c r="Z619" s="98" t="s">
        <v>171</v>
      </c>
      <c r="AA619" s="98" t="s">
        <v>171</v>
      </c>
      <c r="AB619" s="98" t="s">
        <v>171</v>
      </c>
      <c r="AC619" s="98" t="s">
        <v>171</v>
      </c>
      <c r="AD619" s="98" t="s">
        <v>171</v>
      </c>
      <c r="AE619" s="98" t="s">
        <v>171</v>
      </c>
      <c r="AF619" s="98" t="s">
        <v>171</v>
      </c>
      <c r="AG619" s="98" t="s">
        <v>171</v>
      </c>
      <c r="AH619" s="98" t="s">
        <v>171</v>
      </c>
      <c r="AI619" s="98" t="s">
        <v>171</v>
      </c>
      <c r="AJ619" s="98" t="s">
        <v>171</v>
      </c>
      <c r="AK619" s="98" t="s">
        <v>171</v>
      </c>
      <c r="AL619" s="98" t="s">
        <v>171</v>
      </c>
      <c r="AM619" s="98" t="s">
        <v>171</v>
      </c>
      <c r="AN619" s="98" t="s">
        <v>171</v>
      </c>
      <c r="AO619" s="98" t="s">
        <v>171</v>
      </c>
      <c r="AP619" s="98" t="s">
        <v>171</v>
      </c>
      <c r="AQ619" s="98" t="s">
        <v>171</v>
      </c>
      <c r="AR619" s="102">
        <v>46226.0</v>
      </c>
      <c r="AS619" s="83">
        <v>1179043.0</v>
      </c>
    </row>
    <row r="620" ht="15.75" customHeight="1">
      <c r="A620" s="111" t="s">
        <v>796</v>
      </c>
      <c r="B620" s="83" t="s">
        <v>2830</v>
      </c>
      <c r="C620" s="83" t="s">
        <v>164</v>
      </c>
      <c r="D620" s="112">
        <v>1179111.0</v>
      </c>
      <c r="E620" s="83">
        <v>1178646.0</v>
      </c>
      <c r="F620" s="83"/>
      <c r="G620" s="91" t="str">
        <f>IFERROR(__xludf.DUMMYFUNCTION("XLOOKUP(AS620,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JIQUITAIA")</f>
        <v>ANEXO - CEMIT - SERTAO DO SAO FRANCISCO - DISTRITO DE JIQUITAIA</v>
      </c>
      <c r="H620" s="114" t="s">
        <v>2908</v>
      </c>
      <c r="I620" s="91" t="s">
        <v>2909</v>
      </c>
      <c r="J620" s="136" t="s">
        <v>2910</v>
      </c>
      <c r="K620" s="83" t="s">
        <v>672</v>
      </c>
      <c r="L620" s="83" t="s">
        <v>168</v>
      </c>
      <c r="M620" s="83" t="s">
        <v>169</v>
      </c>
      <c r="N620" s="115" t="s">
        <v>170</v>
      </c>
      <c r="O620" s="98" t="s">
        <v>155</v>
      </c>
      <c r="P620" s="99" t="str">
        <f>IFERROR(__xludf.DUMMYFUNCTION("IFERROR(VLOOKUP(AS620,IMPORTRANGE(""https://docs.google.com/spreadsheets/d/1juPI-Fb8LD0YtltB2mlGEnp_R3UVu1t3wSFPzgCyHXE/edit?gid=0#gid=0"",""GERAL!A2:C""),3,0),""-"")"),"-")</f>
        <v>-</v>
      </c>
      <c r="Q620" s="98" t="s">
        <v>171</v>
      </c>
      <c r="R620" s="98">
        <v>2.0</v>
      </c>
      <c r="S620" s="98" t="s">
        <v>171</v>
      </c>
      <c r="T620" s="98" t="s">
        <v>171</v>
      </c>
      <c r="U620" s="98" t="s">
        <v>171</v>
      </c>
      <c r="V620" s="98" t="s">
        <v>171</v>
      </c>
      <c r="W620" s="98" t="s">
        <v>171</v>
      </c>
      <c r="X620" s="98" t="s">
        <v>171</v>
      </c>
      <c r="Y620" s="98" t="s">
        <v>171</v>
      </c>
      <c r="Z620" s="98" t="s">
        <v>171</v>
      </c>
      <c r="AA620" s="98" t="s">
        <v>171</v>
      </c>
      <c r="AB620" s="98" t="s">
        <v>171</v>
      </c>
      <c r="AC620" s="98" t="s">
        <v>171</v>
      </c>
      <c r="AD620" s="98" t="s">
        <v>171</v>
      </c>
      <c r="AE620" s="98" t="s">
        <v>171</v>
      </c>
      <c r="AF620" s="98" t="s">
        <v>171</v>
      </c>
      <c r="AG620" s="98" t="s">
        <v>171</v>
      </c>
      <c r="AH620" s="98" t="s">
        <v>171</v>
      </c>
      <c r="AI620" s="98" t="s">
        <v>171</v>
      </c>
      <c r="AJ620" s="98" t="s">
        <v>171</v>
      </c>
      <c r="AK620" s="98" t="s">
        <v>171</v>
      </c>
      <c r="AL620" s="98" t="s">
        <v>171</v>
      </c>
      <c r="AM620" s="98" t="s">
        <v>171</v>
      </c>
      <c r="AN620" s="98" t="s">
        <v>171</v>
      </c>
      <c r="AO620" s="98" t="s">
        <v>171</v>
      </c>
      <c r="AP620" s="98" t="s">
        <v>171</v>
      </c>
      <c r="AQ620" s="98" t="s">
        <v>171</v>
      </c>
      <c r="AR620" s="102">
        <v>46226.0</v>
      </c>
      <c r="AS620" s="83">
        <v>1178646.0</v>
      </c>
    </row>
    <row r="621" ht="15.75" customHeight="1">
      <c r="A621" s="111" t="s">
        <v>796</v>
      </c>
      <c r="B621" s="83" t="s">
        <v>2911</v>
      </c>
      <c r="C621" s="83" t="s">
        <v>68</v>
      </c>
      <c r="D621" s="112">
        <v>1176454.0</v>
      </c>
      <c r="E621" s="83"/>
      <c r="F621" s="83">
        <v>2.9393353E7</v>
      </c>
      <c r="G621" s="91" t="str">
        <f>IFERROR(__xludf.DUMMYFUNCTION("XLOOKUP(AS621,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LUIS CABRAL")</f>
        <v>COLÉGIO ESTADUAL LUIS CABRAL</v>
      </c>
      <c r="H621" s="114" t="s">
        <v>2913</v>
      </c>
      <c r="I621" s="91" t="s">
        <v>2915</v>
      </c>
      <c r="J621" s="83" t="s">
        <v>149</v>
      </c>
      <c r="K621" s="83" t="s">
        <v>150</v>
      </c>
      <c r="L621" s="83" t="s">
        <v>151</v>
      </c>
      <c r="M621" s="83" t="s">
        <v>152</v>
      </c>
      <c r="N621" s="98" t="s">
        <v>2919</v>
      </c>
      <c r="O621" s="98" t="s">
        <v>155</v>
      </c>
      <c r="P621" s="99" t="str">
        <f>IFERROR(__xludf.DUMMYFUNCTION("IFERROR(VLOOKUP(AS621,IMPORTRANGE(""https://docs.google.com/spreadsheets/d/1juPI-Fb8LD0YtltB2mlGEnp_R3UVu1t3wSFPzgCyHXE/edit?gid=0#gid=0"",""GERAL!A2:C""),3,0),""-"")"),"-")</f>
        <v>-</v>
      </c>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v>1176454.0</v>
      </c>
    </row>
    <row r="622" ht="15.75" customHeight="1">
      <c r="A622" s="111" t="s">
        <v>796</v>
      </c>
      <c r="B622" s="83" t="s">
        <v>2911</v>
      </c>
      <c r="C622" s="83" t="s">
        <v>164</v>
      </c>
      <c r="D622" s="112">
        <v>1179111.0</v>
      </c>
      <c r="E622" s="83">
        <v>1178604.0</v>
      </c>
      <c r="F622" s="83"/>
      <c r="G622" s="91" t="str">
        <f>IFERROR(__xludf.DUMMYFUNCTION("XLOOKUP(AS622,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BENDEGO")</f>
        <v>ANEXO - CEMIT - SERTAO DO SAO FRANCISCO - DISTRITO DE BENDEGO</v>
      </c>
      <c r="H622" s="114" t="s">
        <v>2922</v>
      </c>
      <c r="I622" s="91" t="s">
        <v>2923</v>
      </c>
      <c r="J622" s="233" t="s">
        <v>2924</v>
      </c>
      <c r="K622" s="83" t="s">
        <v>467</v>
      </c>
      <c r="L622" s="83" t="s">
        <v>168</v>
      </c>
      <c r="M622" s="83" t="s">
        <v>169</v>
      </c>
      <c r="N622" s="115" t="s">
        <v>170</v>
      </c>
      <c r="O622" s="98" t="s">
        <v>155</v>
      </c>
      <c r="P622" s="99" t="str">
        <f>IFERROR(__xludf.DUMMYFUNCTION("IFERROR(VLOOKUP(AS622,IMPORTRANGE(""https://docs.google.com/spreadsheets/d/1juPI-Fb8LD0YtltB2mlGEnp_R3UVu1t3wSFPzgCyHXE/edit?gid=0#gid=0"",""GERAL!A2:C""),3,0),""-"")"),"-")</f>
        <v>-</v>
      </c>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v>1178604.0</v>
      </c>
    </row>
    <row r="623" ht="15.75" customHeight="1">
      <c r="A623" s="111" t="s">
        <v>796</v>
      </c>
      <c r="B623" s="83" t="s">
        <v>2925</v>
      </c>
      <c r="C623" s="83" t="s">
        <v>68</v>
      </c>
      <c r="D623" s="112">
        <v>1179712.0</v>
      </c>
      <c r="E623" s="83"/>
      <c r="F623" s="98">
        <v>2.94851E7</v>
      </c>
      <c r="G623" s="91" t="str">
        <f>IFERROR(__xludf.DUMMYFUNCTION("XLOOKUP(AS623,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PROFESSORA  MARIA TEREZA BRAGA CABRAL - DISTRITO DE PAU A PIQUE
OBS.:  A nova unidade irá receber os estudantes do Antigo Anexo do CE de Casa Nova no distrito de Pau a Pique.")</f>
        <v>COLÉGIO ESTADUAL DO CAMPO DE TEMPO INTEGRAL PROFESSORA  MARIA TEREZA BRAGA CABRAL - DISTRITO DE PAU A PIQUE
OBS.:  A nova unidade irá receber os estudantes do Antigo Anexo do CE de Casa Nova no distrito de Pau a Pique.</v>
      </c>
      <c r="H623" s="119" t="s">
        <v>2926</v>
      </c>
      <c r="I623" s="91" t="s">
        <v>2927</v>
      </c>
      <c r="J623" s="193" t="s">
        <v>171</v>
      </c>
      <c r="K623" s="98" t="s">
        <v>2928</v>
      </c>
      <c r="L623" s="83" t="s">
        <v>151</v>
      </c>
      <c r="M623" s="98" t="s">
        <v>152</v>
      </c>
      <c r="N623" s="98" t="s">
        <v>2929</v>
      </c>
      <c r="O623" s="98" t="s">
        <v>162</v>
      </c>
      <c r="P623" s="99" t="str">
        <f>IFERROR(__xludf.DUMMYFUNCTION("IFERROR(VLOOKUP(AS623,IMPORTRANGE(""https://docs.google.com/spreadsheets/d/1juPI-Fb8LD0YtltB2mlGEnp_R3UVu1t3wSFPzgCyHXE/edit?gid=0#gid=0"",""GERAL!A2:C""),3,0),""-"")"),"CAMPO")</f>
        <v>CAMPO</v>
      </c>
      <c r="Q623" s="101" t="s">
        <v>156</v>
      </c>
      <c r="R623" s="98">
        <v>6.0</v>
      </c>
      <c r="S623" s="98">
        <v>0.0</v>
      </c>
      <c r="T623" s="98">
        <v>0.0</v>
      </c>
      <c r="U623" s="98">
        <v>1.0</v>
      </c>
      <c r="V623" s="98">
        <v>1.0</v>
      </c>
      <c r="W623" s="98">
        <v>1.0</v>
      </c>
      <c r="X623" s="98">
        <v>0.0</v>
      </c>
      <c r="Y623" s="98">
        <v>0.0</v>
      </c>
      <c r="Z623" s="98">
        <v>0.0</v>
      </c>
      <c r="AA623" s="98">
        <v>0.0</v>
      </c>
      <c r="AB623" s="98">
        <v>1.0</v>
      </c>
      <c r="AC623" s="98">
        <v>0.0</v>
      </c>
      <c r="AD623" s="98">
        <v>0.0</v>
      </c>
      <c r="AE623" s="98">
        <v>0.0</v>
      </c>
      <c r="AF623" s="98">
        <v>1.0</v>
      </c>
      <c r="AG623" s="98">
        <v>0.0</v>
      </c>
      <c r="AH623" s="98">
        <v>0.0</v>
      </c>
      <c r="AI623" s="98">
        <v>0.0</v>
      </c>
      <c r="AJ623" s="98">
        <v>0.0</v>
      </c>
      <c r="AK623" s="98">
        <v>0.0</v>
      </c>
      <c r="AL623" s="98">
        <v>0.0</v>
      </c>
      <c r="AM623" s="98">
        <v>0.0</v>
      </c>
      <c r="AN623" s="98">
        <v>0.0</v>
      </c>
      <c r="AO623" s="98">
        <v>0.0</v>
      </c>
      <c r="AP623" s="98">
        <v>0.0</v>
      </c>
      <c r="AQ623" s="98" t="s">
        <v>1630</v>
      </c>
      <c r="AR623" s="102">
        <v>46203.0</v>
      </c>
      <c r="AS623" s="83">
        <v>1179712.0</v>
      </c>
    </row>
    <row r="624" ht="15.75" customHeight="1">
      <c r="A624" s="111" t="s">
        <v>796</v>
      </c>
      <c r="B624" s="83" t="s">
        <v>2925</v>
      </c>
      <c r="C624" s="83" t="s">
        <v>68</v>
      </c>
      <c r="D624" s="112">
        <v>1179592.0</v>
      </c>
      <c r="E624" s="83"/>
      <c r="F624" s="83">
        <v>2.947056E7</v>
      </c>
      <c r="G624" s="91" t="str">
        <f>IFERROR(__xludf.DUMMYFUNCTION("XLOOKUP(AS624,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AGNALDO ALMEIDA - DISTRITO DE SANTANA DO SOBRADO - TEMPO INTEGRAL")</f>
        <v>COLÉGIO ESTADUAL DO CAMPO AGNALDO ALMEIDA - DISTRITO DE SANTANA DO SOBRADO - TEMPO INTEGRAL</v>
      </c>
      <c r="H624" s="114" t="s">
        <v>2931</v>
      </c>
      <c r="I624" s="91" t="s">
        <v>2932</v>
      </c>
      <c r="J624" s="83" t="s">
        <v>149</v>
      </c>
      <c r="K624" s="83" t="s">
        <v>702</v>
      </c>
      <c r="L624" s="83" t="s">
        <v>151</v>
      </c>
      <c r="M624" s="83" t="s">
        <v>152</v>
      </c>
      <c r="N624" s="98" t="s">
        <v>2933</v>
      </c>
      <c r="O624" s="98" t="s">
        <v>162</v>
      </c>
      <c r="P624" s="99" t="str">
        <f>IFERROR(__xludf.DUMMYFUNCTION("IFERROR(VLOOKUP(AS624,IMPORTRANGE(""https://docs.google.com/spreadsheets/d/1juPI-Fb8LD0YtltB2mlGEnp_R3UVu1t3wSFPzgCyHXE/edit?gid=0#gid=0"",""GERAL!A2:C""),3,0),""-"")"),"CAMPO")</f>
        <v>CAMPO</v>
      </c>
      <c r="Q624" s="101" t="s">
        <v>156</v>
      </c>
      <c r="R624" s="98">
        <v>8.0</v>
      </c>
      <c r="S624" s="98">
        <v>0.0</v>
      </c>
      <c r="T624" s="98">
        <v>0.0</v>
      </c>
      <c r="U624" s="98">
        <v>1.0</v>
      </c>
      <c r="V624" s="98">
        <v>1.0</v>
      </c>
      <c r="W624" s="98">
        <v>0.0</v>
      </c>
      <c r="X624" s="98">
        <v>0.0</v>
      </c>
      <c r="Y624" s="98">
        <v>0.0</v>
      </c>
      <c r="Z624" s="98">
        <v>1.0</v>
      </c>
      <c r="AA624" s="98">
        <v>0.0</v>
      </c>
      <c r="AB624" s="98">
        <v>1.0</v>
      </c>
      <c r="AC624" s="98">
        <v>0.0</v>
      </c>
      <c r="AD624" s="98">
        <v>0.0</v>
      </c>
      <c r="AE624" s="98">
        <v>0.0</v>
      </c>
      <c r="AF624" s="98">
        <v>1.0</v>
      </c>
      <c r="AG624" s="98">
        <v>0.0</v>
      </c>
      <c r="AH624" s="98">
        <v>0.0</v>
      </c>
      <c r="AI624" s="98">
        <v>0.0</v>
      </c>
      <c r="AJ624" s="98">
        <v>0.0</v>
      </c>
      <c r="AK624" s="98">
        <v>0.0</v>
      </c>
      <c r="AL624" s="98">
        <v>0.0</v>
      </c>
      <c r="AM624" s="98">
        <v>0.0</v>
      </c>
      <c r="AN624" s="98">
        <v>0.0</v>
      </c>
      <c r="AO624" s="98">
        <v>0.0</v>
      </c>
      <c r="AP624" s="98">
        <v>0.0</v>
      </c>
      <c r="AQ624" s="98" t="s">
        <v>171</v>
      </c>
      <c r="AR624" s="102">
        <v>46203.0</v>
      </c>
      <c r="AS624" s="83">
        <v>1179592.0</v>
      </c>
    </row>
    <row r="625" ht="15.75" customHeight="1">
      <c r="A625" s="111" t="s">
        <v>796</v>
      </c>
      <c r="B625" s="83" t="s">
        <v>2925</v>
      </c>
      <c r="C625" s="83" t="s">
        <v>68</v>
      </c>
      <c r="D625" s="112">
        <v>1179687.0</v>
      </c>
      <c r="E625" s="189"/>
      <c r="F625" s="83">
        <v>2.9477441E7</v>
      </c>
      <c r="G625" s="91" t="str">
        <f>IFERROR(__xludf.DUMMYFUNCTION("XLOOKUP(AS625,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CASA NOVA
(Antigo COLÉGIO Antônio Honorato)")</f>
        <v>COLÉGIO ESTADUAL DE TEMPO INTEGRAL DE CASA NOVA
(Antigo COLÉGIO Antônio Honorato)</v>
      </c>
      <c r="H625" s="119" t="s">
        <v>2942</v>
      </c>
      <c r="I625" s="91" t="s">
        <v>2943</v>
      </c>
      <c r="J625" s="83" t="s">
        <v>149</v>
      </c>
      <c r="K625" s="83" t="s">
        <v>150</v>
      </c>
      <c r="L625" s="83" t="s">
        <v>151</v>
      </c>
      <c r="M625" s="83" t="s">
        <v>230</v>
      </c>
      <c r="N625" s="98" t="s">
        <v>2945</v>
      </c>
      <c r="O625" s="98" t="s">
        <v>176</v>
      </c>
      <c r="P625" s="99" t="str">
        <f>IFERROR(__xludf.DUMMYFUNCTION("IFERROR(VLOOKUP(AS625,IMPORTRANGE(""https://docs.google.com/spreadsheets/d/1juPI-Fb8LD0YtltB2mlGEnp_R3UVu1t3wSFPzgCyHXE/edit?gid=0#gid=0"",""GERAL!A2:C""),3,0),""-"")"),"-")</f>
        <v>-</v>
      </c>
      <c r="Q625" s="101" t="s">
        <v>156</v>
      </c>
      <c r="R625" s="98">
        <v>24.0</v>
      </c>
      <c r="S625" s="98">
        <v>0.0</v>
      </c>
      <c r="T625" s="98">
        <v>1.0</v>
      </c>
      <c r="U625" s="98">
        <v>1.0</v>
      </c>
      <c r="V625" s="98">
        <v>0.0</v>
      </c>
      <c r="W625" s="98">
        <v>0.0</v>
      </c>
      <c r="X625" s="98">
        <v>1.0</v>
      </c>
      <c r="Y625" s="98">
        <v>0.0</v>
      </c>
      <c r="Z625" s="98">
        <v>1.0</v>
      </c>
      <c r="AA625" s="98">
        <v>0.0</v>
      </c>
      <c r="AB625" s="98">
        <v>0.0</v>
      </c>
      <c r="AC625" s="98">
        <v>0.0</v>
      </c>
      <c r="AD625" s="98">
        <v>0.0</v>
      </c>
      <c r="AE625" s="98">
        <v>0.0</v>
      </c>
      <c r="AF625" s="98">
        <v>1.0</v>
      </c>
      <c r="AG625" s="98">
        <v>0.0</v>
      </c>
      <c r="AH625" s="98">
        <v>0.0</v>
      </c>
      <c r="AI625" s="98">
        <v>0.0</v>
      </c>
      <c r="AJ625" s="98">
        <v>0.0</v>
      </c>
      <c r="AK625" s="98">
        <v>0.0</v>
      </c>
      <c r="AL625" s="98">
        <v>0.0</v>
      </c>
      <c r="AM625" s="98">
        <v>0.0</v>
      </c>
      <c r="AN625" s="98">
        <v>0.0</v>
      </c>
      <c r="AO625" s="98">
        <v>1.0</v>
      </c>
      <c r="AP625" s="98">
        <v>3.0</v>
      </c>
      <c r="AQ625" s="98" t="s">
        <v>2951</v>
      </c>
      <c r="AR625" s="102">
        <v>46203.0</v>
      </c>
      <c r="AS625" s="83">
        <v>1179687.0</v>
      </c>
    </row>
    <row r="626" ht="15.75" customHeight="1">
      <c r="A626" s="111" t="s">
        <v>796</v>
      </c>
      <c r="B626" s="83" t="s">
        <v>2925</v>
      </c>
      <c r="C626" s="191" t="s">
        <v>164</v>
      </c>
      <c r="D626" s="112">
        <v>1179712.0</v>
      </c>
      <c r="E626" s="83">
        <v>1178656.0</v>
      </c>
      <c r="F626" s="237"/>
      <c r="G626" s="91" t="str">
        <f>IFERROR(__xludf.DUMMYFUNCTION("XLOOKUP(AS626,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 CAMPO DE TEMPO INTEGRAL PROFESSORA  MARIA TEREZA BRAGA CABRAL - DISTRITO DE PAU A PIQUE - POVOADO BEM BOM")</f>
        <v>ANEXO - COLÉGIO ESTADUAL DO CAMPO DE TEMPO INTEGRAL PROFESSORA  MARIA TEREZA BRAGA CABRAL - DISTRITO DE PAU A PIQUE - POVOADO BEM BOM</v>
      </c>
      <c r="H626" s="108" t="s">
        <v>2957</v>
      </c>
      <c r="I626" s="91" t="s">
        <v>2958</v>
      </c>
      <c r="J626" s="350" t="s">
        <v>2959</v>
      </c>
      <c r="K626" s="83" t="s">
        <v>2961</v>
      </c>
      <c r="L626" s="83" t="s">
        <v>168</v>
      </c>
      <c r="M626" s="83" t="s">
        <v>169</v>
      </c>
      <c r="N626" s="115" t="s">
        <v>170</v>
      </c>
      <c r="O626" s="98" t="s">
        <v>155</v>
      </c>
      <c r="P626" s="99" t="str">
        <f>IFERROR(__xludf.DUMMYFUNCTION("IFERROR(VLOOKUP(AS626,IMPORTRANGE(""https://docs.google.com/spreadsheets/d/1juPI-Fb8LD0YtltB2mlGEnp_R3UVu1t3wSFPzgCyHXE/edit?gid=0#gid=0"",""GERAL!A2:C""),3,0),""-"")"),"CAMPO")</f>
        <v>CAMPO</v>
      </c>
      <c r="Q626" s="98" t="s">
        <v>171</v>
      </c>
      <c r="R626" s="98">
        <v>4.0</v>
      </c>
      <c r="S626" s="98" t="s">
        <v>171</v>
      </c>
      <c r="T626" s="98" t="s">
        <v>171</v>
      </c>
      <c r="U626" s="98" t="s">
        <v>171</v>
      </c>
      <c r="V626" s="98" t="s">
        <v>171</v>
      </c>
      <c r="W626" s="98" t="s">
        <v>171</v>
      </c>
      <c r="X626" s="98" t="s">
        <v>171</v>
      </c>
      <c r="Y626" s="98" t="s">
        <v>171</v>
      </c>
      <c r="Z626" s="98" t="s">
        <v>171</v>
      </c>
      <c r="AA626" s="98" t="s">
        <v>171</v>
      </c>
      <c r="AB626" s="98" t="s">
        <v>171</v>
      </c>
      <c r="AC626" s="98" t="s">
        <v>171</v>
      </c>
      <c r="AD626" s="98" t="s">
        <v>171</v>
      </c>
      <c r="AE626" s="98" t="s">
        <v>171</v>
      </c>
      <c r="AF626" s="98" t="s">
        <v>171</v>
      </c>
      <c r="AG626" s="98" t="s">
        <v>171</v>
      </c>
      <c r="AH626" s="98" t="s">
        <v>171</v>
      </c>
      <c r="AI626" s="98" t="s">
        <v>171</v>
      </c>
      <c r="AJ626" s="98" t="s">
        <v>171</v>
      </c>
      <c r="AK626" s="98" t="s">
        <v>171</v>
      </c>
      <c r="AL626" s="98" t="s">
        <v>171</v>
      </c>
      <c r="AM626" s="98" t="s">
        <v>171</v>
      </c>
      <c r="AN626" s="98" t="s">
        <v>171</v>
      </c>
      <c r="AO626" s="98" t="s">
        <v>171</v>
      </c>
      <c r="AP626" s="98" t="s">
        <v>171</v>
      </c>
      <c r="AQ626" s="98" t="s">
        <v>171</v>
      </c>
      <c r="AR626" s="102">
        <v>46206.0</v>
      </c>
      <c r="AS626" s="83">
        <v>1178656.0</v>
      </c>
    </row>
    <row r="627" ht="15.75" customHeight="1">
      <c r="A627" s="111" t="s">
        <v>796</v>
      </c>
      <c r="B627" s="83" t="s">
        <v>2925</v>
      </c>
      <c r="C627" s="83" t="s">
        <v>164</v>
      </c>
      <c r="D627" s="112">
        <v>1179687.0</v>
      </c>
      <c r="E627" s="83">
        <v>1178663.0</v>
      </c>
      <c r="F627" s="83"/>
      <c r="G627" s="91" t="str">
        <f>IFERROR(__xludf.DUMMYFUNCTION("XLOOKUP(AS627,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CASA NOVA - DISTRITO DE OURICURI")</f>
        <v>ANEXO - COLÉGIO ESTADUAL DE TEMPO INTEGRAL DE CASA NOVA - DISTRITO DE OURICURI</v>
      </c>
      <c r="H627" s="119" t="s">
        <v>2966</v>
      </c>
      <c r="I627" s="91" t="s">
        <v>2967</v>
      </c>
      <c r="J627" s="136" t="s">
        <v>2968</v>
      </c>
      <c r="K627" s="83" t="s">
        <v>1806</v>
      </c>
      <c r="L627" s="83" t="s">
        <v>168</v>
      </c>
      <c r="M627" s="83" t="s">
        <v>169</v>
      </c>
      <c r="N627" s="115" t="s">
        <v>170</v>
      </c>
      <c r="O627" s="98" t="s">
        <v>155</v>
      </c>
      <c r="P627" s="99" t="str">
        <f>IFERROR(__xludf.DUMMYFUNCTION("IFERROR(VLOOKUP(AS627,IMPORTRANGE(""https://docs.google.com/spreadsheets/d/1juPI-Fb8LD0YtltB2mlGEnp_R3UVu1t3wSFPzgCyHXE/edit?gid=0#gid=0"",""GERAL!A2:C""),3,0),""-"")"),"CAMPO")</f>
        <v>CAMPO</v>
      </c>
      <c r="Q627" s="98" t="s">
        <v>171</v>
      </c>
      <c r="R627" s="98">
        <v>3.0</v>
      </c>
      <c r="S627" s="98" t="s">
        <v>171</v>
      </c>
      <c r="T627" s="98" t="s">
        <v>171</v>
      </c>
      <c r="U627" s="98" t="s">
        <v>171</v>
      </c>
      <c r="V627" s="98" t="s">
        <v>171</v>
      </c>
      <c r="W627" s="98" t="s">
        <v>171</v>
      </c>
      <c r="X627" s="98" t="s">
        <v>171</v>
      </c>
      <c r="Y627" s="98" t="s">
        <v>171</v>
      </c>
      <c r="Z627" s="98" t="s">
        <v>171</v>
      </c>
      <c r="AA627" s="98" t="s">
        <v>171</v>
      </c>
      <c r="AB627" s="98" t="s">
        <v>171</v>
      </c>
      <c r="AC627" s="98" t="s">
        <v>171</v>
      </c>
      <c r="AD627" s="98" t="s">
        <v>171</v>
      </c>
      <c r="AE627" s="98" t="s">
        <v>171</v>
      </c>
      <c r="AF627" s="98" t="s">
        <v>171</v>
      </c>
      <c r="AG627" s="98" t="s">
        <v>171</v>
      </c>
      <c r="AH627" s="98" t="s">
        <v>171</v>
      </c>
      <c r="AI627" s="98" t="s">
        <v>171</v>
      </c>
      <c r="AJ627" s="98" t="s">
        <v>171</v>
      </c>
      <c r="AK627" s="98" t="s">
        <v>171</v>
      </c>
      <c r="AL627" s="98" t="s">
        <v>171</v>
      </c>
      <c r="AM627" s="98" t="s">
        <v>171</v>
      </c>
      <c r="AN627" s="98" t="s">
        <v>171</v>
      </c>
      <c r="AO627" s="98" t="s">
        <v>171</v>
      </c>
      <c r="AP627" s="98" t="s">
        <v>171</v>
      </c>
      <c r="AQ627" s="98" t="s">
        <v>171</v>
      </c>
      <c r="AR627" s="102">
        <v>46206.0</v>
      </c>
      <c r="AS627" s="83">
        <v>1178663.0</v>
      </c>
    </row>
    <row r="628" ht="15.75" customHeight="1">
      <c r="A628" s="111" t="s">
        <v>796</v>
      </c>
      <c r="B628" s="83" t="s">
        <v>2925</v>
      </c>
      <c r="C628" s="83" t="s">
        <v>164</v>
      </c>
      <c r="D628" s="112">
        <v>1179687.0</v>
      </c>
      <c r="E628" s="83">
        <v>1178661.0</v>
      </c>
      <c r="F628" s="83"/>
      <c r="G628" s="91" t="str">
        <f>IFERROR(__xludf.DUMMYFUNCTION("XLOOKUP(AS628,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CASA NOVA - DISTRITO DE LUIZ VIANA")</f>
        <v>ANEXO - COLÉGIO ESTADUAL DE TEMPO INTEGRAL DE CASA NOVA - DISTRITO DE LUIZ VIANA</v>
      </c>
      <c r="H628" s="119" t="s">
        <v>2969</v>
      </c>
      <c r="I628" s="91" t="s">
        <v>2970</v>
      </c>
      <c r="J628" s="136" t="s">
        <v>2971</v>
      </c>
      <c r="K628" s="83" t="s">
        <v>318</v>
      </c>
      <c r="L628" s="83" t="s">
        <v>168</v>
      </c>
      <c r="M628" s="83" t="s">
        <v>169</v>
      </c>
      <c r="N628" s="115" t="s">
        <v>170</v>
      </c>
      <c r="O628" s="98" t="s">
        <v>155</v>
      </c>
      <c r="P628" s="99" t="str">
        <f>IFERROR(__xludf.DUMMYFUNCTION("IFERROR(VLOOKUP(AS628,IMPORTRANGE(""https://docs.google.com/spreadsheets/d/1juPI-Fb8LD0YtltB2mlGEnp_R3UVu1t3wSFPzgCyHXE/edit?gid=0#gid=0"",""GERAL!A2:C""),3,0),""-"")"),"CAMPO")</f>
        <v>CAMPO</v>
      </c>
      <c r="Q628" s="98" t="s">
        <v>171</v>
      </c>
      <c r="R628" s="98">
        <v>3.0</v>
      </c>
      <c r="S628" s="98" t="s">
        <v>171</v>
      </c>
      <c r="T628" s="98" t="s">
        <v>171</v>
      </c>
      <c r="U628" s="98" t="s">
        <v>171</v>
      </c>
      <c r="V628" s="98" t="s">
        <v>171</v>
      </c>
      <c r="W628" s="98" t="s">
        <v>171</v>
      </c>
      <c r="X628" s="98" t="s">
        <v>171</v>
      </c>
      <c r="Y628" s="98" t="s">
        <v>171</v>
      </c>
      <c r="Z628" s="98" t="s">
        <v>171</v>
      </c>
      <c r="AA628" s="98" t="s">
        <v>171</v>
      </c>
      <c r="AB628" s="98" t="s">
        <v>171</v>
      </c>
      <c r="AC628" s="98" t="s">
        <v>171</v>
      </c>
      <c r="AD628" s="98" t="s">
        <v>171</v>
      </c>
      <c r="AE628" s="98" t="s">
        <v>171</v>
      </c>
      <c r="AF628" s="98" t="s">
        <v>171</v>
      </c>
      <c r="AG628" s="98" t="s">
        <v>171</v>
      </c>
      <c r="AH628" s="98" t="s">
        <v>171</v>
      </c>
      <c r="AI628" s="98" t="s">
        <v>171</v>
      </c>
      <c r="AJ628" s="98" t="s">
        <v>171</v>
      </c>
      <c r="AK628" s="98" t="s">
        <v>171</v>
      </c>
      <c r="AL628" s="98" t="s">
        <v>171</v>
      </c>
      <c r="AM628" s="98" t="s">
        <v>171</v>
      </c>
      <c r="AN628" s="98" t="s">
        <v>171</v>
      </c>
      <c r="AO628" s="98" t="s">
        <v>171</v>
      </c>
      <c r="AP628" s="98" t="s">
        <v>171</v>
      </c>
      <c r="AQ628" s="98" t="s">
        <v>171</v>
      </c>
      <c r="AR628" s="102">
        <v>46206.0</v>
      </c>
      <c r="AS628" s="83">
        <v>1178661.0</v>
      </c>
    </row>
    <row r="629" ht="15.75" customHeight="1">
      <c r="A629" s="111" t="s">
        <v>796</v>
      </c>
      <c r="B629" s="83" t="s">
        <v>2925</v>
      </c>
      <c r="C629" s="83" t="s">
        <v>164</v>
      </c>
      <c r="D629" s="112">
        <v>1179687.0</v>
      </c>
      <c r="E629" s="83">
        <v>1178662.0</v>
      </c>
      <c r="F629" s="83"/>
      <c r="G629" s="91" t="str">
        <f>IFERROR(__xludf.DUMMYFUNCTION("XLOOKUP(AS629,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CASA NOVA - DISTRITO DE LAGOA DO ALEGRE")</f>
        <v>ANEXO - COLÉGIO ESTADUAL DE TEMPO INTEGRAL DE CASA NOVA - DISTRITO DE LAGOA DO ALEGRE</v>
      </c>
      <c r="H629" s="119" t="s">
        <v>2977</v>
      </c>
      <c r="I629" s="91" t="s">
        <v>2978</v>
      </c>
      <c r="J629" s="136" t="s">
        <v>2979</v>
      </c>
      <c r="K629" s="83" t="s">
        <v>2896</v>
      </c>
      <c r="L629" s="83" t="s">
        <v>168</v>
      </c>
      <c r="M629" s="83" t="s">
        <v>169</v>
      </c>
      <c r="N629" s="115" t="s">
        <v>170</v>
      </c>
      <c r="O629" s="98" t="s">
        <v>155</v>
      </c>
      <c r="P629" s="99" t="str">
        <f>IFERROR(__xludf.DUMMYFUNCTION("IFERROR(VLOOKUP(AS629,IMPORTRANGE(""https://docs.google.com/spreadsheets/d/1juPI-Fb8LD0YtltB2mlGEnp_R3UVu1t3wSFPzgCyHXE/edit?gid=0#gid=0"",""GERAL!A2:C""),3,0),""-"")"),"CAMPO")</f>
        <v>CAMPO</v>
      </c>
      <c r="Q629" s="98" t="s">
        <v>171</v>
      </c>
      <c r="R629" s="98">
        <v>3.0</v>
      </c>
      <c r="S629" s="98" t="s">
        <v>171</v>
      </c>
      <c r="T629" s="98" t="s">
        <v>171</v>
      </c>
      <c r="U629" s="98" t="s">
        <v>171</v>
      </c>
      <c r="V629" s="98" t="s">
        <v>171</v>
      </c>
      <c r="W629" s="98" t="s">
        <v>171</v>
      </c>
      <c r="X629" s="98" t="s">
        <v>171</v>
      </c>
      <c r="Y629" s="98" t="s">
        <v>171</v>
      </c>
      <c r="Z629" s="98" t="s">
        <v>171</v>
      </c>
      <c r="AA629" s="98" t="s">
        <v>171</v>
      </c>
      <c r="AB629" s="98" t="s">
        <v>171</v>
      </c>
      <c r="AC629" s="98" t="s">
        <v>171</v>
      </c>
      <c r="AD629" s="98" t="s">
        <v>171</v>
      </c>
      <c r="AE629" s="98" t="s">
        <v>171</v>
      </c>
      <c r="AF629" s="98" t="s">
        <v>171</v>
      </c>
      <c r="AG629" s="98" t="s">
        <v>171</v>
      </c>
      <c r="AH629" s="98" t="s">
        <v>171</v>
      </c>
      <c r="AI629" s="98" t="s">
        <v>171</v>
      </c>
      <c r="AJ629" s="98" t="s">
        <v>171</v>
      </c>
      <c r="AK629" s="98" t="s">
        <v>171</v>
      </c>
      <c r="AL629" s="98" t="s">
        <v>171</v>
      </c>
      <c r="AM629" s="98" t="s">
        <v>171</v>
      </c>
      <c r="AN629" s="98" t="s">
        <v>171</v>
      </c>
      <c r="AO629" s="98" t="s">
        <v>171</v>
      </c>
      <c r="AP629" s="98" t="s">
        <v>171</v>
      </c>
      <c r="AQ629" s="98" t="s">
        <v>171</v>
      </c>
      <c r="AR629" s="102">
        <v>46206.0</v>
      </c>
      <c r="AS629" s="83">
        <v>1178662.0</v>
      </c>
    </row>
    <row r="630" ht="15.75" customHeight="1">
      <c r="A630" s="111" t="s">
        <v>796</v>
      </c>
      <c r="B630" s="83" t="s">
        <v>2925</v>
      </c>
      <c r="C630" s="83" t="s">
        <v>164</v>
      </c>
      <c r="D630" s="112">
        <v>1179111.0</v>
      </c>
      <c r="E630" s="83">
        <v>1178660.0</v>
      </c>
      <c r="F630" s="83"/>
      <c r="G630" s="91" t="str">
        <f>IFERROR(__xludf.DUMMYFUNCTION("XLOOKUP(AS630,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DISTRITO DE TIRIRICA")</f>
        <v>ANEXO - CEMIT SERTAO DO SAO FRANCISCO - DISTRITO DE TIRIRICA</v>
      </c>
      <c r="H630" s="114" t="s">
        <v>2987</v>
      </c>
      <c r="I630" s="91" t="s">
        <v>2988</v>
      </c>
      <c r="J630" s="136" t="s">
        <v>2989</v>
      </c>
      <c r="K630" s="83" t="s">
        <v>183</v>
      </c>
      <c r="L630" s="83" t="s">
        <v>168</v>
      </c>
      <c r="M630" s="83" t="s">
        <v>169</v>
      </c>
      <c r="N630" s="115" t="s">
        <v>170</v>
      </c>
      <c r="O630" s="98" t="s">
        <v>155</v>
      </c>
      <c r="P630" s="99" t="str">
        <f>IFERROR(__xludf.DUMMYFUNCTION("IFERROR(VLOOKUP(AS630,IMPORTRANGE(""https://docs.google.com/spreadsheets/d/1juPI-Fb8LD0YtltB2mlGEnp_R3UVu1t3wSFPzgCyHXE/edit?gid=0#gid=0"",""GERAL!A2:C""),3,0),""-"")"),"-")</f>
        <v>-</v>
      </c>
      <c r="Q630" s="98" t="s">
        <v>171</v>
      </c>
      <c r="R630" s="98">
        <v>2.0</v>
      </c>
      <c r="S630" s="98" t="s">
        <v>171</v>
      </c>
      <c r="T630" s="98" t="s">
        <v>171</v>
      </c>
      <c r="U630" s="98" t="s">
        <v>171</v>
      </c>
      <c r="V630" s="98" t="s">
        <v>171</v>
      </c>
      <c r="W630" s="98" t="s">
        <v>171</v>
      </c>
      <c r="X630" s="98" t="s">
        <v>171</v>
      </c>
      <c r="Y630" s="98" t="s">
        <v>171</v>
      </c>
      <c r="Z630" s="98" t="s">
        <v>171</v>
      </c>
      <c r="AA630" s="98" t="s">
        <v>171</v>
      </c>
      <c r="AB630" s="98" t="s">
        <v>171</v>
      </c>
      <c r="AC630" s="98" t="s">
        <v>171</v>
      </c>
      <c r="AD630" s="98" t="s">
        <v>171</v>
      </c>
      <c r="AE630" s="98" t="s">
        <v>171</v>
      </c>
      <c r="AF630" s="98" t="s">
        <v>171</v>
      </c>
      <c r="AG630" s="98" t="s">
        <v>171</v>
      </c>
      <c r="AH630" s="98" t="s">
        <v>171</v>
      </c>
      <c r="AI630" s="98" t="s">
        <v>171</v>
      </c>
      <c r="AJ630" s="98" t="s">
        <v>171</v>
      </c>
      <c r="AK630" s="98" t="s">
        <v>171</v>
      </c>
      <c r="AL630" s="98" t="s">
        <v>171</v>
      </c>
      <c r="AM630" s="98" t="s">
        <v>171</v>
      </c>
      <c r="AN630" s="98" t="s">
        <v>171</v>
      </c>
      <c r="AO630" s="98" t="s">
        <v>171</v>
      </c>
      <c r="AP630" s="98" t="s">
        <v>171</v>
      </c>
      <c r="AQ630" s="98" t="s">
        <v>171</v>
      </c>
      <c r="AR630" s="102">
        <v>46206.0</v>
      </c>
      <c r="AS630" s="83">
        <v>1178660.0</v>
      </c>
    </row>
    <row r="631" ht="15.75" customHeight="1">
      <c r="A631" s="111" t="s">
        <v>796</v>
      </c>
      <c r="B631" s="83" t="s">
        <v>2205</v>
      </c>
      <c r="C631" s="83" t="s">
        <v>68</v>
      </c>
      <c r="D631" s="98">
        <v>1179779.0</v>
      </c>
      <c r="E631" s="83"/>
      <c r="F631" s="98">
        <v>2.9360463E7</v>
      </c>
      <c r="G631" s="91" t="str">
        <f>IFERROR(__xludf.DUMMYFUNCTION("XLOOKUP(AS631,
IMPORTRANGE(""https://docs.google.com/spreadsheets/d/1YM-djuOLXomrZ9W0B4TyIBsVWnXY4EIOFD9HY-qGfv0/edit?usp=sharing"",""GERAL!BG5:BG""),
IMPORTRANGE(""https://docs.google.com/spreadsheets/d/1YM-djuOLXomrZ9W0B4TyIBsVWnXY4EIOFD9HY-qGfv0/edit?u"&amp;"sp=sharing"",""GERAL!G5:G""),
""CÓD. SEC NÃO ENCONTRADO NA PLANILHA DE MATRÍCULA"")"),"ESCOLA ESTADUAL INDÍGENA NOSSA SENHORA DE LOURDES")</f>
        <v>ESCOLA ESTADUAL INDÍGENA NOSSA SENHORA DE LOURDES</v>
      </c>
      <c r="H631" s="119" t="s">
        <v>2206</v>
      </c>
      <c r="I631" s="108" t="s">
        <v>2993</v>
      </c>
      <c r="J631" s="136"/>
      <c r="K631" s="83"/>
      <c r="L631" s="83" t="s">
        <v>151</v>
      </c>
      <c r="M631" s="83" t="s">
        <v>169</v>
      </c>
      <c r="N631" s="128" t="s">
        <v>171</v>
      </c>
      <c r="O631" s="98"/>
      <c r="P631" s="99" t="str">
        <f>IFERROR(__xludf.DUMMYFUNCTION("IFERROR(VLOOKUP(AS631,IMPORTRANGE(""https://docs.google.com/spreadsheets/d/1juPI-Fb8LD0YtltB2mlGEnp_R3UVu1t3wSFPzgCyHXE/edit?gid=0#gid=0"",""GERAL!A2:C""),3,0),""-"")"),"INDÍGENAS")</f>
        <v>INDÍGENAS</v>
      </c>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v>1179779.0</v>
      </c>
    </row>
    <row r="632" ht="15.75" customHeight="1">
      <c r="A632" s="111" t="s">
        <v>796</v>
      </c>
      <c r="B632" s="83" t="s">
        <v>2205</v>
      </c>
      <c r="C632" s="83" t="s">
        <v>68</v>
      </c>
      <c r="D632" s="112">
        <v>1161654.0</v>
      </c>
      <c r="E632" s="83"/>
      <c r="F632" s="83">
        <v>2.9024129E7</v>
      </c>
      <c r="G632" s="91" t="str">
        <f>IFERROR(__xludf.DUMMYFUNCTION("XLOOKUP(AS632,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ANANIAS CARLOS DO NASCIMENTO - DISTRITO RIACHO DE SECO")</f>
        <v>COLÉGIO ESTADUAL ANANIAS CARLOS DO NASCIMENTO - DISTRITO RIACHO DE SECO</v>
      </c>
      <c r="H632" s="114" t="s">
        <v>2999</v>
      </c>
      <c r="I632" s="91" t="s">
        <v>3000</v>
      </c>
      <c r="J632" s="136" t="s">
        <v>3001</v>
      </c>
      <c r="K632" s="83" t="s">
        <v>641</v>
      </c>
      <c r="L632" s="83" t="s">
        <v>151</v>
      </c>
      <c r="M632" s="83" t="s">
        <v>169</v>
      </c>
      <c r="N632" s="128" t="s">
        <v>171</v>
      </c>
      <c r="O632" s="98" t="s">
        <v>155</v>
      </c>
      <c r="P632" s="99" t="str">
        <f>IFERROR(__xludf.DUMMYFUNCTION("IFERROR(VLOOKUP(AS632,IMPORTRANGE(""https://docs.google.com/spreadsheets/d/1juPI-Fb8LD0YtltB2mlGEnp_R3UVu1t3wSFPzgCyHXE/edit?gid=0#gid=0"",""GERAL!A2:C""),3,0),""-"")"),"CAMPO")</f>
        <v>CAMPO</v>
      </c>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v>1161654.0</v>
      </c>
    </row>
    <row r="633" ht="15.75" customHeight="1">
      <c r="A633" s="111" t="s">
        <v>796</v>
      </c>
      <c r="B633" s="83" t="s">
        <v>2205</v>
      </c>
      <c r="C633" s="83" t="s">
        <v>68</v>
      </c>
      <c r="D633" s="112">
        <v>1170823.0</v>
      </c>
      <c r="E633" s="83"/>
      <c r="F633" s="83">
        <v>2.9024323E7</v>
      </c>
      <c r="G633" s="91" t="str">
        <f>IFERROR(__xludf.DUMMYFUNCTION("XLOOKUP(AS633,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AGROVILA 08 - DISTRITO PEDRA BRANCA")</f>
        <v>COLÉGIO ESTADUAL AGROVILA 08 - DISTRITO PEDRA BRANCA</v>
      </c>
      <c r="H633" s="119" t="s">
        <v>3007</v>
      </c>
      <c r="I633" s="91" t="s">
        <v>3008</v>
      </c>
      <c r="J633" s="136" t="s">
        <v>149</v>
      </c>
      <c r="K633" s="83" t="s">
        <v>1806</v>
      </c>
      <c r="L633" s="83" t="s">
        <v>151</v>
      </c>
      <c r="M633" s="98" t="s">
        <v>76</v>
      </c>
      <c r="N633" s="98" t="s">
        <v>3009</v>
      </c>
      <c r="O633" s="98" t="s">
        <v>155</v>
      </c>
      <c r="P633" s="99" t="str">
        <f>IFERROR(__xludf.DUMMYFUNCTION("IFERROR(VLOOKUP(AS633,IMPORTRANGE(""https://docs.google.com/spreadsheets/d/1juPI-Fb8LD0YtltB2mlGEnp_R3UVu1t3wSFPzgCyHXE/edit?gid=0#gid=0"",""GERAL!A2:C""),3,0),""-"")"),"CAMPO")</f>
        <v>CAMPO</v>
      </c>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v>1170823.0</v>
      </c>
    </row>
    <row r="634" ht="15.75" customHeight="1">
      <c r="A634" s="111" t="s">
        <v>796</v>
      </c>
      <c r="B634" s="83" t="s">
        <v>2205</v>
      </c>
      <c r="C634" s="83" t="s">
        <v>68</v>
      </c>
      <c r="D634" s="112">
        <v>1161638.0</v>
      </c>
      <c r="E634" s="83"/>
      <c r="F634" s="83">
        <v>2.9023688E7</v>
      </c>
      <c r="G634" s="91" t="str">
        <f>IFERROR(__xludf.DUMMYFUNCTION("XLOOKUP(AS634,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EM TEMPO INTEGRAL MARIA DE ALMEIDA DE ARAÚJO ( ANTIGO JOSE AMANCIO FILHO )")</f>
        <v>CENTRO TERRITORIAL DE EDUCAÇÃO PROFISSIONAL EM TEMPO INTEGRAL MARIA DE ALMEIDA DE ARAÚJO ( ANTIGO JOSE AMANCIO FILHO )</v>
      </c>
      <c r="H634" s="119" t="s">
        <v>3010</v>
      </c>
      <c r="I634" s="108" t="s">
        <v>3011</v>
      </c>
      <c r="J634" s="83" t="s">
        <v>3012</v>
      </c>
      <c r="K634" s="83" t="s">
        <v>150</v>
      </c>
      <c r="L634" s="83" t="s">
        <v>151</v>
      </c>
      <c r="M634" s="83" t="s">
        <v>230</v>
      </c>
      <c r="N634" s="98" t="s">
        <v>3013</v>
      </c>
      <c r="O634" s="98" t="s">
        <v>162</v>
      </c>
      <c r="P634" s="99" t="str">
        <f>IFERROR(__xludf.DUMMYFUNCTION("IFERROR(VLOOKUP(AS634,IMPORTRANGE(""https://docs.google.com/spreadsheets/d/1juPI-Fb8LD0YtltB2mlGEnp_R3UVu1t3wSFPzgCyHXE/edit?gid=0#gid=0"",""GERAL!A2:C""),3,0),""-"")"),"-")</f>
        <v>-</v>
      </c>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v>1161638.0</v>
      </c>
    </row>
    <row r="635" ht="15.75" customHeight="1">
      <c r="A635" s="111" t="s">
        <v>796</v>
      </c>
      <c r="B635" s="83" t="s">
        <v>2205</v>
      </c>
      <c r="C635" s="83" t="s">
        <v>164</v>
      </c>
      <c r="D635" s="112">
        <v>1161638.0</v>
      </c>
      <c r="E635" s="83">
        <v>1179082.0</v>
      </c>
      <c r="F635" s="83"/>
      <c r="G635" s="91" t="str">
        <f>IFERROR(__xludf.DUMMYFUNCTION("XLOOKUP(AS635,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EDUCACAÇÃO PROFISSIONAL EM TEMPO INTEGRAL - POVOADO DE MUNDO NOVO 
")</f>
        <v>ANEXO - CENTRO TERRITORIAL DE EDUCACAÇÃO PROFISSIONAL EM TEMPO INTEGRAL - POVOADO DE MUNDO NOVO 
</v>
      </c>
      <c r="H635" s="119" t="s">
        <v>3022</v>
      </c>
      <c r="I635" s="91" t="s">
        <v>3023</v>
      </c>
      <c r="J635" s="136" t="s">
        <v>3024</v>
      </c>
      <c r="K635" s="83" t="s">
        <v>3025</v>
      </c>
      <c r="L635" s="83" t="s">
        <v>168</v>
      </c>
      <c r="M635" s="83" t="s">
        <v>169</v>
      </c>
      <c r="N635" s="115" t="s">
        <v>170</v>
      </c>
      <c r="O635" s="98" t="s">
        <v>155</v>
      </c>
      <c r="P635" s="99" t="str">
        <f>IFERROR(__xludf.DUMMYFUNCTION("IFERROR(VLOOKUP(AS635,IMPORTRANGE(""https://docs.google.com/spreadsheets/d/1juPI-Fb8LD0YtltB2mlGEnp_R3UVu1t3wSFPzgCyHXE/edit?gid=0#gid=0"",""GERAL!A2:C""),3,0),""-"")"),"CAMPO")</f>
        <v>CAMPO</v>
      </c>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v>1179082.0</v>
      </c>
    </row>
    <row r="636" ht="15.75" customHeight="1">
      <c r="A636" s="111" t="s">
        <v>796</v>
      </c>
      <c r="B636" s="83" t="s">
        <v>2205</v>
      </c>
      <c r="C636" s="83" t="s">
        <v>164</v>
      </c>
      <c r="D636" s="112">
        <v>1179111.0</v>
      </c>
      <c r="E636" s="83">
        <v>1179079.0</v>
      </c>
      <c r="F636" s="83"/>
      <c r="G636" s="91" t="str">
        <f>IFERROR(__xludf.DUMMYFUNCTION("XLOOKUP(AS636,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DISTRITO DE BARRO VERMELHO")</f>
        <v>ANEXO - CEMIT- SERTAO DO SAO FRANCISCO - DISTRITO DE BARRO VERMELHO</v>
      </c>
      <c r="H636" s="114" t="s">
        <v>3026</v>
      </c>
      <c r="I636" s="91" t="s">
        <v>3028</v>
      </c>
      <c r="J636" s="136" t="s">
        <v>3029</v>
      </c>
      <c r="K636" s="83" t="s">
        <v>331</v>
      </c>
      <c r="L636" s="83" t="s">
        <v>168</v>
      </c>
      <c r="M636" s="83" t="s">
        <v>169</v>
      </c>
      <c r="N636" s="115" t="s">
        <v>170</v>
      </c>
      <c r="O636" s="98" t="s">
        <v>155</v>
      </c>
      <c r="P636" s="99" t="str">
        <f>IFERROR(__xludf.DUMMYFUNCTION("IFERROR(VLOOKUP(AS636,IMPORTRANGE(""https://docs.google.com/spreadsheets/d/1juPI-Fb8LD0YtltB2mlGEnp_R3UVu1t3wSFPzgCyHXE/edit?gid=0#gid=0"",""GERAL!A2:C""),3,0),""-"")"),"-")</f>
        <v>-</v>
      </c>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v>1179079.0</v>
      </c>
    </row>
    <row r="637" ht="15.75" customHeight="1">
      <c r="A637" s="111" t="s">
        <v>796</v>
      </c>
      <c r="B637" s="83" t="s">
        <v>2205</v>
      </c>
      <c r="C637" s="83" t="s">
        <v>164</v>
      </c>
      <c r="D637" s="112">
        <v>1179111.0</v>
      </c>
      <c r="E637" s="83">
        <v>1179080.0</v>
      </c>
      <c r="F637" s="83"/>
      <c r="G637" s="91" t="str">
        <f>IFERROR(__xludf.DUMMYFUNCTION("XLOOKUP(AS637,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FAZENDA BRANDAO")</f>
        <v>ANEXO - CEMIT SERTAO DO SAO FRANCISCO - FAZENDA BRANDAO</v>
      </c>
      <c r="H637" s="114" t="s">
        <v>3036</v>
      </c>
      <c r="I637" s="91" t="s">
        <v>3037</v>
      </c>
      <c r="J637" s="136" t="s">
        <v>149</v>
      </c>
      <c r="K637" s="83" t="s">
        <v>727</v>
      </c>
      <c r="L637" s="83" t="s">
        <v>168</v>
      </c>
      <c r="M637" s="83" t="s">
        <v>169</v>
      </c>
      <c r="N637" s="115" t="s">
        <v>170</v>
      </c>
      <c r="O637" s="98" t="s">
        <v>155</v>
      </c>
      <c r="P637" s="99" t="str">
        <f>IFERROR(__xludf.DUMMYFUNCTION("IFERROR(VLOOKUP(AS637,IMPORTRANGE(""https://docs.google.com/spreadsheets/d/1juPI-Fb8LD0YtltB2mlGEnp_R3UVu1t3wSFPzgCyHXE/edit?gid=0#gid=0"",""GERAL!A2:C""),3,0),""-"")"),"-")</f>
        <v>-</v>
      </c>
      <c r="Q637" s="83"/>
      <c r="R637" s="83"/>
      <c r="S637" s="83"/>
      <c r="T637" s="83"/>
      <c r="U637" s="83"/>
      <c r="V637" s="83"/>
      <c r="W637" s="83"/>
      <c r="X637" s="83"/>
      <c r="Y637" s="83"/>
      <c r="Z637" s="83"/>
      <c r="AA637" s="83"/>
      <c r="AB637" s="83"/>
      <c r="AC637" s="83"/>
      <c r="AD637" s="83"/>
      <c r="AE637" s="83"/>
      <c r="AF637" s="83"/>
      <c r="AG637" s="83"/>
      <c r="AH637" s="83"/>
      <c r="AI637" s="83"/>
      <c r="AJ637" s="83"/>
      <c r="AK637" s="83"/>
      <c r="AL637" s="83"/>
      <c r="AM637" s="83"/>
      <c r="AN637" s="83"/>
      <c r="AO637" s="83"/>
      <c r="AP637" s="83"/>
      <c r="AQ637" s="83"/>
      <c r="AR637" s="83"/>
      <c r="AS637" s="83">
        <v>1179080.0</v>
      </c>
    </row>
    <row r="638" ht="15.75" customHeight="1">
      <c r="A638" s="111" t="s">
        <v>796</v>
      </c>
      <c r="B638" s="83" t="s">
        <v>2205</v>
      </c>
      <c r="C638" s="83" t="s">
        <v>164</v>
      </c>
      <c r="D638" s="112">
        <v>1179111.0</v>
      </c>
      <c r="E638" s="83">
        <v>1178665.0</v>
      </c>
      <c r="F638" s="83"/>
      <c r="G638" s="91" t="str">
        <f>IFERROR(__xludf.DUMMYFUNCTION("XLOOKUP(AS638,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SAO BENTO")</f>
        <v>ANEXO - CEMIT - SERTAO DO SAO FRANCISCO - DISTRITO DE SAO BENTO</v>
      </c>
      <c r="H638" s="114" t="s">
        <v>3039</v>
      </c>
      <c r="I638" s="91" t="s">
        <v>3041</v>
      </c>
      <c r="J638" s="136" t="s">
        <v>3042</v>
      </c>
      <c r="K638" s="83" t="s">
        <v>331</v>
      </c>
      <c r="L638" s="83" t="s">
        <v>168</v>
      </c>
      <c r="M638" s="83" t="s">
        <v>169</v>
      </c>
      <c r="N638" s="115" t="s">
        <v>170</v>
      </c>
      <c r="O638" s="98" t="s">
        <v>155</v>
      </c>
      <c r="P638" s="99" t="str">
        <f>IFERROR(__xludf.DUMMYFUNCTION("IFERROR(VLOOKUP(AS638,IMPORTRANGE(""https://docs.google.com/spreadsheets/d/1juPI-Fb8LD0YtltB2mlGEnp_R3UVu1t3wSFPzgCyHXE/edit?gid=0#gid=0"",""GERAL!A2:C""),3,0),""-"")"),"-")</f>
        <v>-</v>
      </c>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v>1178665.0</v>
      </c>
    </row>
    <row r="639" ht="15.75" customHeight="1">
      <c r="A639" s="111" t="s">
        <v>796</v>
      </c>
      <c r="B639" s="83" t="s">
        <v>2205</v>
      </c>
      <c r="C639" s="83" t="s">
        <v>164</v>
      </c>
      <c r="D639" s="112">
        <v>1179111.0</v>
      </c>
      <c r="E639" s="83">
        <v>1179081.0</v>
      </c>
      <c r="F639" s="83"/>
      <c r="G639" s="91" t="str">
        <f>IFERROR(__xludf.DUMMYFUNCTION("XLOOKUP(AS639,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PATAMUTE")</f>
        <v>ANEXO - CEMIT - SERTAO DO SAO FRANCISCO - DISTRITO DE PATAMUTE</v>
      </c>
      <c r="H639" s="125" t="s">
        <v>3048</v>
      </c>
      <c r="I639" s="91" t="s">
        <v>3049</v>
      </c>
      <c r="J639" s="136" t="s">
        <v>3050</v>
      </c>
      <c r="K639" s="83" t="s">
        <v>1936</v>
      </c>
      <c r="L639" s="83" t="s">
        <v>168</v>
      </c>
      <c r="M639" s="83" t="s">
        <v>169</v>
      </c>
      <c r="N639" s="115" t="s">
        <v>170</v>
      </c>
      <c r="O639" s="98" t="s">
        <v>155</v>
      </c>
      <c r="P639" s="99" t="str">
        <f>IFERROR(__xludf.DUMMYFUNCTION("IFERROR(VLOOKUP(AS639,IMPORTRANGE(""https://docs.google.com/spreadsheets/d/1juPI-Fb8LD0YtltB2mlGEnp_R3UVu1t3wSFPzgCyHXE/edit?gid=0#gid=0"",""GERAL!A2:C""),3,0),""-"")"),"-")</f>
        <v>-</v>
      </c>
      <c r="Q639" s="83"/>
      <c r="R639" s="83"/>
      <c r="S639" s="83"/>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v>1179081.0</v>
      </c>
    </row>
    <row r="640" ht="15.75" customHeight="1">
      <c r="A640" s="111" t="s">
        <v>796</v>
      </c>
      <c r="B640" s="83" t="s">
        <v>2205</v>
      </c>
      <c r="C640" s="83" t="s">
        <v>164</v>
      </c>
      <c r="D640" s="208">
        <v>1161638.0</v>
      </c>
      <c r="E640" s="83">
        <v>1179603.0</v>
      </c>
      <c r="F640" s="83"/>
      <c r="G640" s="91" t="str">
        <f>IFERROR(__xludf.DUMMYFUNCTION("XLOOKUP(AS640,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EM TEMPO INTEGRAL - DISTRITO POCO DE FORA")</f>
        <v>ANEXO -  CENTRO TERRITORIAL DE EDUCAÇÃO PROFISSIONAL EM TEMPO INTEGRAL - DISTRITO POCO DE FORA</v>
      </c>
      <c r="H640" s="119" t="s">
        <v>3053</v>
      </c>
      <c r="I640" s="91" t="s">
        <v>3055</v>
      </c>
      <c r="J640" s="136" t="s">
        <v>3057</v>
      </c>
      <c r="K640" s="83" t="s">
        <v>727</v>
      </c>
      <c r="L640" s="83" t="s">
        <v>168</v>
      </c>
      <c r="M640" s="82" t="s">
        <v>169</v>
      </c>
      <c r="N640" s="115" t="s">
        <v>170</v>
      </c>
      <c r="O640" s="98" t="s">
        <v>155</v>
      </c>
      <c r="P640" s="99" t="str">
        <f>IFERROR(__xludf.DUMMYFUNCTION("IFERROR(VLOOKUP(AS640,IMPORTRANGE(""https://docs.google.com/spreadsheets/d/1juPI-Fb8LD0YtltB2mlGEnp_R3UVu1t3wSFPzgCyHXE/edit?gid=0#gid=0"",""GERAL!A2:C""),3,0),""-"")"),"CAMPO")</f>
        <v>CAMPO</v>
      </c>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c r="AR640" s="83"/>
      <c r="AS640" s="83">
        <v>1179603.0</v>
      </c>
    </row>
    <row r="641" ht="15.75" customHeight="1">
      <c r="A641" s="111" t="s">
        <v>796</v>
      </c>
      <c r="B641" s="83" t="s">
        <v>2087</v>
      </c>
      <c r="C641" s="83" t="s">
        <v>68</v>
      </c>
      <c r="D641" s="112">
        <v>1120915.0</v>
      </c>
      <c r="E641" s="83"/>
      <c r="F641" s="83">
        <v>2.9024579E7</v>
      </c>
      <c r="G641" s="91" t="str">
        <f>IFERROR(__xludf.DUMMYFUNCTION("XLOOKUP(AS641,
IMPORTRANGE(""https://docs.google.com/spreadsheets/d/1YM-djuOLXomrZ9W0B4TyIBsVWnXY4EIOFD9HY-qGfv0/edit?usp=sharing"",""GERAL!BG5:BG""),
IMPORTRANGE(""https://docs.google.com/spreadsheets/d/1YM-djuOLXomrZ9W0B4TyIBsVWnXY4EIOFD9HY-qGfv0/edit?u"&amp;"sp=sharing"",""GERAL!G5:G""),
""CÓD. SEC NÃO ENCONTRADO NA PLANILHA DE MATRÍCULA"")"),"COMPLEXO INTEGRADO DE EDUCACAO BÁSICA, PROFISSIONAL E TECNOLÓGICA DA BAHIA - TEMPO INTEGRAL")</f>
        <v>COMPLEXO INTEGRADO DE EDUCACAO BÁSICA, PROFISSIONAL E TECNOLÓGICA DA BAHIA - TEMPO INTEGRAL</v>
      </c>
      <c r="H641" s="114" t="s">
        <v>3060</v>
      </c>
      <c r="I641" s="91" t="s">
        <v>3061</v>
      </c>
      <c r="J641" s="83" t="s">
        <v>3062</v>
      </c>
      <c r="K641" s="83" t="s">
        <v>150</v>
      </c>
      <c r="L641" s="83" t="s">
        <v>151</v>
      </c>
      <c r="M641" s="83" t="s">
        <v>152</v>
      </c>
      <c r="N641" s="98" t="s">
        <v>3063</v>
      </c>
      <c r="O641" s="98" t="s">
        <v>284</v>
      </c>
      <c r="P641" s="99" t="str">
        <f>IFERROR(__xludf.DUMMYFUNCTION("IFERROR(VLOOKUP(AS641,IMPORTRANGE(""https://docs.google.com/spreadsheets/d/1juPI-Fb8LD0YtltB2mlGEnp_R3UVu1t3wSFPzgCyHXE/edit?gid=0#gid=0"",""GERAL!A2:C""),3,0),""-"")"),"-")</f>
        <v>-</v>
      </c>
      <c r="Q641" s="101" t="s">
        <v>156</v>
      </c>
      <c r="R641" s="98">
        <v>21.0</v>
      </c>
      <c r="S641" s="98">
        <v>1.0</v>
      </c>
      <c r="T641" s="98">
        <v>2.0</v>
      </c>
      <c r="U641" s="98">
        <v>1.0</v>
      </c>
      <c r="V641" s="98">
        <v>0.0</v>
      </c>
      <c r="W641" s="98">
        <v>1.0</v>
      </c>
      <c r="X641" s="98">
        <v>0.0</v>
      </c>
      <c r="Y641" s="98">
        <v>0.0</v>
      </c>
      <c r="Z641" s="232">
        <v>1.0</v>
      </c>
      <c r="AA641" s="98">
        <v>0.0</v>
      </c>
      <c r="AB641" s="232">
        <v>1.0</v>
      </c>
      <c r="AC641" s="98">
        <v>0.0</v>
      </c>
      <c r="AD641" s="232">
        <v>0.0</v>
      </c>
      <c r="AE641" s="98">
        <v>0.0</v>
      </c>
      <c r="AF641" s="232">
        <v>1.0</v>
      </c>
      <c r="AG641" s="98">
        <v>1.0</v>
      </c>
      <c r="AH641" s="98">
        <v>0.0</v>
      </c>
      <c r="AI641" s="98">
        <v>0.0</v>
      </c>
      <c r="AJ641" s="232">
        <v>0.0</v>
      </c>
      <c r="AK641" s="232">
        <v>1.0</v>
      </c>
      <c r="AL641" s="232">
        <v>0.0</v>
      </c>
      <c r="AM641" s="232">
        <v>0.0</v>
      </c>
      <c r="AN641" s="232">
        <v>0.0</v>
      </c>
      <c r="AO641" s="98">
        <v>0.0</v>
      </c>
      <c r="AP641" s="98">
        <v>2.0</v>
      </c>
      <c r="AQ641" s="98" t="s">
        <v>3068</v>
      </c>
      <c r="AR641" s="102">
        <v>46190.0</v>
      </c>
      <c r="AS641" s="83">
        <v>1120915.0</v>
      </c>
    </row>
    <row r="642" ht="15.75" customHeight="1">
      <c r="A642" s="111" t="s">
        <v>796</v>
      </c>
      <c r="B642" s="83" t="s">
        <v>2087</v>
      </c>
      <c r="C642" s="83" t="s">
        <v>68</v>
      </c>
      <c r="D642" s="112">
        <v>1176428.0</v>
      </c>
      <c r="E642" s="83"/>
      <c r="F642" s="83">
        <v>2.9390737E7</v>
      </c>
      <c r="G642" s="91" t="str">
        <f>IFERROR(__xludf.DUMMYFUNCTION("XLOOKUP(AS642,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MODELO LUIS EDUARDO MAGALHÃES")</f>
        <v>COLÉGIO MODELO LUIS EDUARDO MAGALHÃES</v>
      </c>
      <c r="H642" s="114" t="s">
        <v>3069</v>
      </c>
      <c r="I642" s="91" t="s">
        <v>3070</v>
      </c>
      <c r="J642" s="83" t="s">
        <v>3071</v>
      </c>
      <c r="K642" s="83" t="s">
        <v>150</v>
      </c>
      <c r="L642" s="83" t="s">
        <v>151</v>
      </c>
      <c r="M642" s="83" t="s">
        <v>230</v>
      </c>
      <c r="N642" s="98" t="s">
        <v>3072</v>
      </c>
      <c r="O642" s="98" t="s">
        <v>284</v>
      </c>
      <c r="P642" s="99" t="str">
        <f>IFERROR(__xludf.DUMMYFUNCTION("IFERROR(VLOOKUP(AS642,IMPORTRANGE(""https://docs.google.com/spreadsheets/d/1juPI-Fb8LD0YtltB2mlGEnp_R3UVu1t3wSFPzgCyHXE/edit?gid=0#gid=0"",""GERAL!A2:C""),3,0),""-"")"),"-")</f>
        <v>-</v>
      </c>
      <c r="Q642" s="101" t="s">
        <v>156</v>
      </c>
      <c r="R642" s="232">
        <v>20.0</v>
      </c>
      <c r="S642" s="98">
        <v>0.0</v>
      </c>
      <c r="T642" s="98">
        <v>2.0</v>
      </c>
      <c r="U642" s="98">
        <v>1.0</v>
      </c>
      <c r="V642" s="98">
        <v>1.0</v>
      </c>
      <c r="W642" s="98">
        <v>0.0</v>
      </c>
      <c r="X642" s="98">
        <v>1.0</v>
      </c>
      <c r="Y642" s="98">
        <v>0.0</v>
      </c>
      <c r="Z642" s="98">
        <v>0.0</v>
      </c>
      <c r="AA642" s="98">
        <v>1.0</v>
      </c>
      <c r="AB642" s="98">
        <v>0.0</v>
      </c>
      <c r="AC642" s="232">
        <v>1.0</v>
      </c>
      <c r="AD642" s="232">
        <v>0.0</v>
      </c>
      <c r="AE642" s="98">
        <v>0.0</v>
      </c>
      <c r="AF642" s="232">
        <v>1.0</v>
      </c>
      <c r="AG642" s="98">
        <v>0.0</v>
      </c>
      <c r="AH642" s="98">
        <v>0.0</v>
      </c>
      <c r="AI642" s="98">
        <v>0.0</v>
      </c>
      <c r="AJ642" s="232">
        <v>0.0</v>
      </c>
      <c r="AK642" s="232">
        <v>1.0</v>
      </c>
      <c r="AL642" s="232">
        <v>0.0</v>
      </c>
      <c r="AM642" s="232">
        <v>0.0</v>
      </c>
      <c r="AN642" s="232">
        <v>0.0</v>
      </c>
      <c r="AO642" s="98">
        <v>0.0</v>
      </c>
      <c r="AP642" s="98">
        <v>0.0</v>
      </c>
      <c r="AQ642" s="98" t="s">
        <v>171</v>
      </c>
      <c r="AR642" s="102">
        <v>46190.0</v>
      </c>
      <c r="AS642" s="83">
        <v>1176428.0</v>
      </c>
    </row>
    <row r="643" ht="15.75" customHeight="1">
      <c r="A643" s="111" t="s">
        <v>796</v>
      </c>
      <c r="B643" s="83" t="s">
        <v>2087</v>
      </c>
      <c r="C643" s="83" t="s">
        <v>68</v>
      </c>
      <c r="D643" s="112">
        <v>1120893.0</v>
      </c>
      <c r="E643" s="83"/>
      <c r="F643" s="83">
        <v>2.9025001E7</v>
      </c>
      <c r="G643" s="91" t="str">
        <f>IFERROR(__xludf.DUMMYFUNCTION("XLOOKUP(AS643,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ROTARY CLUBE")</f>
        <v>COLÉGIO ESTADUAL ROTARY CLUBE</v>
      </c>
      <c r="H643" s="114" t="s">
        <v>3073</v>
      </c>
      <c r="I643" s="91" t="s">
        <v>3074</v>
      </c>
      <c r="J643" s="83" t="s">
        <v>614</v>
      </c>
      <c r="K643" s="83" t="s">
        <v>150</v>
      </c>
      <c r="L643" s="83" t="s">
        <v>168</v>
      </c>
      <c r="M643" s="83" t="s">
        <v>152</v>
      </c>
      <c r="N643" s="98" t="s">
        <v>3075</v>
      </c>
      <c r="O643" s="98" t="s">
        <v>155</v>
      </c>
      <c r="P643" s="99" t="str">
        <f>IFERROR(__xludf.DUMMYFUNCTION("IFERROR(VLOOKUP(AS643,IMPORTRANGE(""https://docs.google.com/spreadsheets/d/1juPI-Fb8LD0YtltB2mlGEnp_R3UVu1t3wSFPzgCyHXE/edit?gid=0#gid=0"",""GERAL!A2:C""),3,0),""-"")"),"-")</f>
        <v>-</v>
      </c>
      <c r="Q643" s="101" t="s">
        <v>156</v>
      </c>
      <c r="R643" s="98">
        <v>9.0</v>
      </c>
      <c r="S643" s="98">
        <v>1.0</v>
      </c>
      <c r="T643" s="98">
        <v>0.0</v>
      </c>
      <c r="U643" s="98">
        <v>0.0</v>
      </c>
      <c r="V643" s="98">
        <v>0.0</v>
      </c>
      <c r="W643" s="98">
        <v>0.0</v>
      </c>
      <c r="X643" s="98">
        <v>0.0</v>
      </c>
      <c r="Y643" s="98">
        <v>0.0</v>
      </c>
      <c r="Z643" s="98">
        <v>0.0</v>
      </c>
      <c r="AA643" s="98">
        <v>1.0</v>
      </c>
      <c r="AB643" s="98">
        <v>0.0</v>
      </c>
      <c r="AC643" s="98">
        <v>1.0</v>
      </c>
      <c r="AD643" s="98">
        <v>0.0</v>
      </c>
      <c r="AE643" s="98">
        <v>0.0</v>
      </c>
      <c r="AF643" s="98">
        <v>1.0</v>
      </c>
      <c r="AG643" s="98">
        <v>0.0</v>
      </c>
      <c r="AH643" s="98">
        <v>0.0</v>
      </c>
      <c r="AI643" s="98">
        <v>0.0</v>
      </c>
      <c r="AJ643" s="98">
        <v>0.0</v>
      </c>
      <c r="AK643" s="98">
        <v>0.0</v>
      </c>
      <c r="AL643" s="98">
        <v>0.0</v>
      </c>
      <c r="AM643" s="98">
        <v>0.0</v>
      </c>
      <c r="AN643" s="98">
        <v>0.0</v>
      </c>
      <c r="AO643" s="98">
        <v>0.0</v>
      </c>
      <c r="AP643" s="98">
        <v>0.0</v>
      </c>
      <c r="AQ643" s="98" t="s">
        <v>171</v>
      </c>
      <c r="AR643" s="102">
        <v>46191.0</v>
      </c>
      <c r="AS643" s="83">
        <v>1120893.0</v>
      </c>
    </row>
    <row r="644" ht="15.75" customHeight="1">
      <c r="A644" s="111" t="s">
        <v>796</v>
      </c>
      <c r="B644" s="83" t="s">
        <v>2087</v>
      </c>
      <c r="C644" s="83" t="s">
        <v>68</v>
      </c>
      <c r="D644" s="112">
        <v>1120524.0</v>
      </c>
      <c r="E644" s="83"/>
      <c r="F644" s="83">
        <v>2.9025052E7</v>
      </c>
      <c r="G644" s="91" t="str">
        <f>IFERROR(__xludf.DUMMYFUNCTION("XLOOKUP(AS644,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HILDETE LOMANTO")</f>
        <v>COLÉGIO ESTADUAL HILDETE LOMANTO</v>
      </c>
      <c r="H644" s="114" t="s">
        <v>3076</v>
      </c>
      <c r="I644" s="91" t="s">
        <v>3077</v>
      </c>
      <c r="J644" s="83" t="s">
        <v>149</v>
      </c>
      <c r="K644" s="83" t="s">
        <v>150</v>
      </c>
      <c r="L644" s="83" t="s">
        <v>151</v>
      </c>
      <c r="M644" s="82" t="s">
        <v>76</v>
      </c>
      <c r="N644" s="137" t="s">
        <v>3078</v>
      </c>
      <c r="O644" s="98" t="s">
        <v>155</v>
      </c>
      <c r="P644" s="99" t="str">
        <f>IFERROR(__xludf.DUMMYFUNCTION("IFERROR(VLOOKUP(AS644,IMPORTRANGE(""https://docs.google.com/spreadsheets/d/1juPI-Fb8LD0YtltB2mlGEnp_R3UVu1t3wSFPzgCyHXE/edit?gid=0#gid=0"",""GERAL!A2:C""),3,0),""-"")"),"-")</f>
        <v>-</v>
      </c>
      <c r="Q644" s="101" t="s">
        <v>156</v>
      </c>
      <c r="R644" s="98">
        <v>9.0</v>
      </c>
      <c r="S644" s="98">
        <v>0.0</v>
      </c>
      <c r="T644" s="98">
        <v>0.0</v>
      </c>
      <c r="U644" s="98">
        <v>0.0</v>
      </c>
      <c r="V644" s="98">
        <v>0.0</v>
      </c>
      <c r="W644" s="98">
        <v>0.0</v>
      </c>
      <c r="X644" s="98">
        <v>0.0</v>
      </c>
      <c r="Y644" s="98">
        <v>0.0</v>
      </c>
      <c r="Z644" s="98">
        <v>0.0</v>
      </c>
      <c r="AA644" s="98">
        <v>0.0</v>
      </c>
      <c r="AB644" s="98">
        <v>0.0</v>
      </c>
      <c r="AC644" s="98">
        <v>0.0</v>
      </c>
      <c r="AD644" s="98">
        <v>0.0</v>
      </c>
      <c r="AE644" s="98">
        <v>0.0</v>
      </c>
      <c r="AF644" s="98">
        <v>0.0</v>
      </c>
      <c r="AG644" s="98">
        <v>1.0</v>
      </c>
      <c r="AH644" s="98">
        <v>0.0</v>
      </c>
      <c r="AI644" s="98">
        <v>0.0</v>
      </c>
      <c r="AJ644" s="98">
        <v>0.0</v>
      </c>
      <c r="AK644" s="98">
        <v>0.0</v>
      </c>
      <c r="AL644" s="98">
        <v>0.0</v>
      </c>
      <c r="AM644" s="98">
        <v>0.0</v>
      </c>
      <c r="AN644" s="98">
        <v>0.0</v>
      </c>
      <c r="AO644" s="98">
        <v>0.0</v>
      </c>
      <c r="AP644" s="98">
        <v>2.0</v>
      </c>
      <c r="AQ644" s="98" t="s">
        <v>3079</v>
      </c>
      <c r="AR644" s="102">
        <v>46191.0</v>
      </c>
      <c r="AS644" s="83">
        <v>1120524.0</v>
      </c>
    </row>
    <row r="645" ht="15.75" customHeight="1">
      <c r="A645" s="111" t="s">
        <v>796</v>
      </c>
      <c r="B645" s="83" t="s">
        <v>2087</v>
      </c>
      <c r="C645" s="83" t="s">
        <v>68</v>
      </c>
      <c r="D645" s="112">
        <v>1176091.0</v>
      </c>
      <c r="E645" s="83"/>
      <c r="F645" s="83">
        <v>2.9025117E7</v>
      </c>
      <c r="G645" s="91" t="str">
        <f>IFERROR(__xludf.DUMMYFUNCTION("XLOOKUP(AS645,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DONA GUIOMAR BARRETO MEIRA")</f>
        <v>COLÉGIO ESTADUAL DONA GUIOMAR BARRETO MEIRA</v>
      </c>
      <c r="H645" s="114" t="s">
        <v>3080</v>
      </c>
      <c r="I645" s="91" t="s">
        <v>3081</v>
      </c>
      <c r="J645" s="83" t="s">
        <v>496</v>
      </c>
      <c r="K645" s="83" t="s">
        <v>150</v>
      </c>
      <c r="L645" s="83" t="s">
        <v>151</v>
      </c>
      <c r="M645" s="83" t="s">
        <v>152</v>
      </c>
      <c r="N645" s="98" t="s">
        <v>3082</v>
      </c>
      <c r="O645" s="98" t="s">
        <v>155</v>
      </c>
      <c r="P645" s="99" t="str">
        <f>IFERROR(__xludf.DUMMYFUNCTION("IFERROR(VLOOKUP(AS645,IMPORTRANGE(""https://docs.google.com/spreadsheets/d/1juPI-Fb8LD0YtltB2mlGEnp_R3UVu1t3wSFPzgCyHXE/edit?gid=0#gid=0"",""GERAL!A2:C""),3,0),""-"")"),"-")</f>
        <v>-</v>
      </c>
      <c r="Q645" s="101" t="s">
        <v>156</v>
      </c>
      <c r="R645" s="98">
        <v>13.0</v>
      </c>
      <c r="S645" s="98">
        <v>1.0</v>
      </c>
      <c r="T645" s="98">
        <v>0.0</v>
      </c>
      <c r="U645" s="98">
        <v>0.0</v>
      </c>
      <c r="V645" s="98">
        <v>0.0</v>
      </c>
      <c r="W645" s="98">
        <v>1.0</v>
      </c>
      <c r="X645" s="98">
        <v>0.0</v>
      </c>
      <c r="Y645" s="98">
        <v>0.0</v>
      </c>
      <c r="Z645" s="98">
        <v>0.0</v>
      </c>
      <c r="AA645" s="98">
        <v>0.0</v>
      </c>
      <c r="AB645" s="98">
        <v>0.0</v>
      </c>
      <c r="AC645" s="98">
        <v>0.0</v>
      </c>
      <c r="AD645" s="98">
        <v>0.0</v>
      </c>
      <c r="AE645" s="98">
        <v>0.0</v>
      </c>
      <c r="AF645" s="98">
        <v>0.0</v>
      </c>
      <c r="AG645" s="98">
        <v>1.0</v>
      </c>
      <c r="AH645" s="98">
        <v>0.0</v>
      </c>
      <c r="AI645" s="98">
        <v>0.0</v>
      </c>
      <c r="AJ645" s="98">
        <v>0.0</v>
      </c>
      <c r="AK645" s="98">
        <v>0.0</v>
      </c>
      <c r="AL645" s="98">
        <v>0.0</v>
      </c>
      <c r="AM645" s="98">
        <v>0.0</v>
      </c>
      <c r="AN645" s="98">
        <v>0.0</v>
      </c>
      <c r="AO645" s="98">
        <v>0.0</v>
      </c>
      <c r="AP645" s="98">
        <v>1.0</v>
      </c>
      <c r="AQ645" s="98" t="s">
        <v>3083</v>
      </c>
      <c r="AR645" s="102">
        <v>46191.0</v>
      </c>
      <c r="AS645" s="83">
        <v>1176091.0</v>
      </c>
    </row>
    <row r="646" ht="15.75" customHeight="1">
      <c r="A646" s="111" t="s">
        <v>796</v>
      </c>
      <c r="B646" s="83" t="s">
        <v>2087</v>
      </c>
      <c r="C646" s="83" t="s">
        <v>68</v>
      </c>
      <c r="D646" s="112">
        <v>1178378.0</v>
      </c>
      <c r="E646" s="83"/>
      <c r="F646" s="83">
        <v>2.9859808E7</v>
      </c>
      <c r="G646" s="91" t="str">
        <f>IFERROR(__xludf.DUMMYFUNCTION("XLOOKUP(AS646,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OLAVO FERREIRA NETO - DISTRITO DE MANIÇOBA")</f>
        <v>COLÉGIO ESTADUAL DO CAMPO OLAVO FERREIRA NETO - DISTRITO DE MANIÇOBA</v>
      </c>
      <c r="H646" s="114" t="s">
        <v>3084</v>
      </c>
      <c r="I646" s="91" t="s">
        <v>3085</v>
      </c>
      <c r="J646" s="83" t="s">
        <v>149</v>
      </c>
      <c r="K646" s="83" t="s">
        <v>1074</v>
      </c>
      <c r="L646" s="83" t="s">
        <v>151</v>
      </c>
      <c r="M646" s="83" t="s">
        <v>76</v>
      </c>
      <c r="N646" s="98" t="s">
        <v>3087</v>
      </c>
      <c r="O646" s="98" t="s">
        <v>155</v>
      </c>
      <c r="P646" s="99" t="str">
        <f>IFERROR(__xludf.DUMMYFUNCTION("IFERROR(VLOOKUP(AS646,IMPORTRANGE(""https://docs.google.com/spreadsheets/d/1juPI-Fb8LD0YtltB2mlGEnp_R3UVu1t3wSFPzgCyHXE/edit?gid=0#gid=0"",""GERAL!A2:C""),3,0),""-"")"),"CAMPO")</f>
        <v>CAMPO</v>
      </c>
      <c r="Q646" s="101" t="s">
        <v>156</v>
      </c>
      <c r="R646" s="98">
        <v>8.0</v>
      </c>
      <c r="S646" s="98">
        <v>0.0</v>
      </c>
      <c r="T646" s="98">
        <v>0.0</v>
      </c>
      <c r="U646" s="98">
        <v>0.0</v>
      </c>
      <c r="V646" s="98">
        <v>0.0</v>
      </c>
      <c r="W646" s="98">
        <v>0.0</v>
      </c>
      <c r="X646" s="98">
        <v>0.0</v>
      </c>
      <c r="Y646" s="98">
        <v>1.0</v>
      </c>
      <c r="Z646" s="98">
        <v>0.0</v>
      </c>
      <c r="AA646" s="98">
        <v>0.0</v>
      </c>
      <c r="AB646" s="98">
        <v>0.0</v>
      </c>
      <c r="AC646" s="98">
        <v>0.0</v>
      </c>
      <c r="AD646" s="98">
        <v>0.0</v>
      </c>
      <c r="AE646" s="98">
        <v>0.0</v>
      </c>
      <c r="AF646" s="98">
        <v>0.0</v>
      </c>
      <c r="AG646" s="98">
        <v>0.0</v>
      </c>
      <c r="AH646" s="98">
        <v>0.0</v>
      </c>
      <c r="AI646" s="98">
        <v>0.0</v>
      </c>
      <c r="AJ646" s="98">
        <v>0.0</v>
      </c>
      <c r="AK646" s="98">
        <v>0.0</v>
      </c>
      <c r="AL646" s="98">
        <v>0.0</v>
      </c>
      <c r="AM646" s="98">
        <v>0.0</v>
      </c>
      <c r="AN646" s="98">
        <v>0.0</v>
      </c>
      <c r="AO646" s="98">
        <v>0.0</v>
      </c>
      <c r="AP646" s="98">
        <v>0.0</v>
      </c>
      <c r="AQ646" s="98" t="s">
        <v>171</v>
      </c>
      <c r="AR646" s="102">
        <v>46191.0</v>
      </c>
      <c r="AS646" s="83">
        <v>1178378.0</v>
      </c>
    </row>
    <row r="647" ht="15.75" customHeight="1">
      <c r="A647" s="111" t="s">
        <v>796</v>
      </c>
      <c r="B647" s="83" t="s">
        <v>2087</v>
      </c>
      <c r="C647" s="83" t="s">
        <v>68</v>
      </c>
      <c r="D647" s="98">
        <v>1178255.0</v>
      </c>
      <c r="E647" s="83"/>
      <c r="F647" s="98">
        <v>2.9467004E7</v>
      </c>
      <c r="G647" s="91" t="str">
        <f>IFERROR(__xludf.DUMMYFUNCTION("XLOOKUP(AS647,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PAULO JOSÉ DE OLIVEIRA
(PRÓXIMO A PRAÇA DA JUVENTUDE)")</f>
        <v>COLÉGIO ESTADUAL DE TEMPO INTEGRAL PROFESSOR PAULO JOSÉ DE OLIVEIRA
(PRÓXIMO A PRAÇA DA JUVENTUDE)</v>
      </c>
      <c r="H647" s="240" t="s">
        <v>2093</v>
      </c>
      <c r="I647" s="108" t="s">
        <v>3088</v>
      </c>
      <c r="J647" s="83"/>
      <c r="K647" s="83"/>
      <c r="L647" s="98" t="s">
        <v>151</v>
      </c>
      <c r="M647" s="83" t="s">
        <v>152</v>
      </c>
      <c r="N647" s="98" t="s">
        <v>3089</v>
      </c>
      <c r="O647" s="98" t="s">
        <v>162</v>
      </c>
      <c r="P647" s="99" t="str">
        <f>IFERROR(__xludf.DUMMYFUNCTION("IFERROR(VLOOKUP(AS647,IMPORTRANGE(""https://docs.google.com/spreadsheets/d/1juPI-Fb8LD0YtltB2mlGEnp_R3UVu1t3wSFPzgCyHXE/edit?gid=0#gid=0"",""GERAL!A2:C""),3,0),""-"")"),"-")</f>
        <v>-</v>
      </c>
      <c r="Q647" s="101" t="s">
        <v>156</v>
      </c>
      <c r="R647" s="98">
        <v>12.0</v>
      </c>
      <c r="S647" s="98">
        <v>0.0</v>
      </c>
      <c r="T647" s="98">
        <v>2.0</v>
      </c>
      <c r="U647" s="98">
        <v>0.0</v>
      </c>
      <c r="V647" s="98">
        <v>1.0</v>
      </c>
      <c r="W647" s="98">
        <v>3.0</v>
      </c>
      <c r="X647" s="98">
        <v>1.0</v>
      </c>
      <c r="Y647" s="98">
        <v>0.0</v>
      </c>
      <c r="Z647" s="98">
        <v>1.0</v>
      </c>
      <c r="AA647" s="98">
        <v>0.0</v>
      </c>
      <c r="AB647" s="98">
        <v>1.0</v>
      </c>
      <c r="AC647" s="98">
        <v>0.0</v>
      </c>
      <c r="AD647" s="98">
        <v>0.0</v>
      </c>
      <c r="AE647" s="98">
        <v>0.0</v>
      </c>
      <c r="AF647" s="98">
        <v>1.0</v>
      </c>
      <c r="AG647" s="98">
        <v>0.0</v>
      </c>
      <c r="AH647" s="98">
        <v>0.0</v>
      </c>
      <c r="AI647" s="98">
        <v>0.0</v>
      </c>
      <c r="AJ647" s="98">
        <v>0.0</v>
      </c>
      <c r="AK647" s="98">
        <v>1.0</v>
      </c>
      <c r="AL647" s="98">
        <v>0.0</v>
      </c>
      <c r="AM647" s="98">
        <v>0.0</v>
      </c>
      <c r="AN647" s="98">
        <v>0.0</v>
      </c>
      <c r="AO647" s="98">
        <v>0.0</v>
      </c>
      <c r="AP647" s="98">
        <v>0.0</v>
      </c>
      <c r="AQ647" s="98" t="s">
        <v>3090</v>
      </c>
      <c r="AR647" s="102">
        <v>46191.0</v>
      </c>
      <c r="AS647" s="98">
        <v>1178255.0</v>
      </c>
    </row>
    <row r="648" ht="15.75" customHeight="1">
      <c r="A648" s="111" t="s">
        <v>796</v>
      </c>
      <c r="B648" s="83" t="s">
        <v>2087</v>
      </c>
      <c r="C648" s="83" t="s">
        <v>68</v>
      </c>
      <c r="D648" s="112">
        <v>1120761.0</v>
      </c>
      <c r="E648" s="83"/>
      <c r="F648" s="83">
        <v>2.9024722E7</v>
      </c>
      <c r="G648" s="91" t="str">
        <f>IFERROR(__xludf.DUMMYFUNCTION("XLOOKUP(AS648,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PEDRO RAYMUNDO MOREIRA REGO")</f>
        <v>COLÉGIO ESTADUAL DE TEMPO INTEGRAL PEDRO RAYMUNDO MOREIRA REGO</v>
      </c>
      <c r="H648" s="119" t="s">
        <v>3091</v>
      </c>
      <c r="I648" s="91" t="s">
        <v>3092</v>
      </c>
      <c r="J648" s="83" t="s">
        <v>3093</v>
      </c>
      <c r="K648" s="83" t="s">
        <v>150</v>
      </c>
      <c r="L648" s="83" t="s">
        <v>151</v>
      </c>
      <c r="M648" s="83" t="s">
        <v>152</v>
      </c>
      <c r="N648" s="98" t="s">
        <v>3094</v>
      </c>
      <c r="O648" s="98" t="s">
        <v>176</v>
      </c>
      <c r="P648" s="99" t="str">
        <f>IFERROR(__xludf.DUMMYFUNCTION("IFERROR(VLOOKUP(AS648,IMPORTRANGE(""https://docs.google.com/spreadsheets/d/1juPI-Fb8LD0YtltB2mlGEnp_R3UVu1t3wSFPzgCyHXE/edit?gid=0#gid=0"",""GERAL!A2:C""),3,0),""-"")"),"-")</f>
        <v>-</v>
      </c>
      <c r="Q648" s="101" t="s">
        <v>156</v>
      </c>
      <c r="R648" s="98">
        <v>10.0</v>
      </c>
      <c r="S648" s="98">
        <v>1.0</v>
      </c>
      <c r="T648" s="98">
        <v>0.0</v>
      </c>
      <c r="U648" s="98">
        <v>0.0</v>
      </c>
      <c r="V648" s="98">
        <v>1.0</v>
      </c>
      <c r="W648" s="98">
        <v>0.0</v>
      </c>
      <c r="X648" s="98">
        <v>0.0</v>
      </c>
      <c r="Y648" s="98">
        <v>0.0</v>
      </c>
      <c r="Z648" s="98">
        <v>0.0</v>
      </c>
      <c r="AA648" s="98">
        <v>0.0</v>
      </c>
      <c r="AB648" s="98">
        <v>1.0</v>
      </c>
      <c r="AC648" s="98">
        <v>0.0</v>
      </c>
      <c r="AD648" s="98">
        <v>0.0</v>
      </c>
      <c r="AE648" s="98">
        <v>0.0</v>
      </c>
      <c r="AF648" s="98">
        <v>1.0</v>
      </c>
      <c r="AG648" s="98">
        <v>0.0</v>
      </c>
      <c r="AH648" s="98">
        <v>0.0</v>
      </c>
      <c r="AI648" s="98">
        <v>0.0</v>
      </c>
      <c r="AJ648" s="98">
        <v>0.0</v>
      </c>
      <c r="AK648" s="98">
        <v>0.0</v>
      </c>
      <c r="AL648" s="98">
        <v>0.0</v>
      </c>
      <c r="AM648" s="98">
        <v>0.0</v>
      </c>
      <c r="AN648" s="98">
        <v>0.0</v>
      </c>
      <c r="AO648" s="98">
        <v>0.0</v>
      </c>
      <c r="AP648" s="98">
        <v>2.0</v>
      </c>
      <c r="AQ648" s="98" t="s">
        <v>3095</v>
      </c>
      <c r="AR648" s="102">
        <v>46191.0</v>
      </c>
      <c r="AS648" s="83">
        <v>1120761.0</v>
      </c>
    </row>
    <row r="649" ht="15.75" customHeight="1">
      <c r="A649" s="111" t="s">
        <v>796</v>
      </c>
      <c r="B649" s="83" t="s">
        <v>2087</v>
      </c>
      <c r="C649" s="83" t="s">
        <v>68</v>
      </c>
      <c r="D649" s="112">
        <v>1120664.0</v>
      </c>
      <c r="E649" s="83"/>
      <c r="F649" s="83">
        <v>2.9024536E7</v>
      </c>
      <c r="G649" s="91" t="str">
        <f>IFERROR(__xludf.DUMMYFUNCTION("XLOOKUP(AS649,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LOMANTO JUNIOR")</f>
        <v>COLEGIO ESTADUAL DE TEMPO INTEGRAL LOMANTO JUNIOR</v>
      </c>
      <c r="H649" s="119" t="s">
        <v>3096</v>
      </c>
      <c r="I649" s="91" t="s">
        <v>3097</v>
      </c>
      <c r="J649" s="83" t="s">
        <v>3098</v>
      </c>
      <c r="K649" s="83" t="s">
        <v>150</v>
      </c>
      <c r="L649" s="83" t="s">
        <v>151</v>
      </c>
      <c r="M649" s="83" t="s">
        <v>230</v>
      </c>
      <c r="N649" s="98" t="s">
        <v>3099</v>
      </c>
      <c r="O649" s="98" t="s">
        <v>176</v>
      </c>
      <c r="P649" s="99" t="str">
        <f>IFERROR(__xludf.DUMMYFUNCTION("IFERROR(VLOOKUP(AS649,IMPORTRANGE(""https://docs.google.com/spreadsheets/d/1juPI-Fb8LD0YtltB2mlGEnp_R3UVu1t3wSFPzgCyHXE/edit?gid=0#gid=0"",""GERAL!A2:C""),3,0),""-"")"),"-")</f>
        <v>-</v>
      </c>
      <c r="Q649" s="101" t="s">
        <v>156</v>
      </c>
      <c r="R649" s="98">
        <v>36.0</v>
      </c>
      <c r="S649" s="98">
        <v>0.0</v>
      </c>
      <c r="T649" s="98">
        <v>0.0</v>
      </c>
      <c r="U649" s="98">
        <v>0.0</v>
      </c>
      <c r="V649" s="98">
        <v>1.0</v>
      </c>
      <c r="W649" s="98">
        <v>1.0</v>
      </c>
      <c r="X649" s="98">
        <v>0.0</v>
      </c>
      <c r="Y649" s="98">
        <v>0.0</v>
      </c>
      <c r="Z649" s="98">
        <v>1.0</v>
      </c>
      <c r="AA649" s="98">
        <v>0.0</v>
      </c>
      <c r="AB649" s="98">
        <v>1.0</v>
      </c>
      <c r="AC649" s="98">
        <v>0.0</v>
      </c>
      <c r="AD649" s="98">
        <v>0.0</v>
      </c>
      <c r="AE649" s="98">
        <v>0.0</v>
      </c>
      <c r="AF649" s="98">
        <v>1.0</v>
      </c>
      <c r="AG649" s="98">
        <v>0.0</v>
      </c>
      <c r="AH649" s="98">
        <v>0.0</v>
      </c>
      <c r="AI649" s="98">
        <v>0.0</v>
      </c>
      <c r="AJ649" s="98">
        <v>0.0</v>
      </c>
      <c r="AK649" s="98">
        <v>1.0</v>
      </c>
      <c r="AL649" s="98">
        <v>0.0</v>
      </c>
      <c r="AM649" s="98">
        <v>0.0</v>
      </c>
      <c r="AN649" s="98">
        <v>0.0</v>
      </c>
      <c r="AO649" s="98">
        <v>1.0</v>
      </c>
      <c r="AP649" s="98">
        <v>1.0</v>
      </c>
      <c r="AQ649" s="98" t="s">
        <v>3100</v>
      </c>
      <c r="AR649" s="102">
        <v>46191.0</v>
      </c>
      <c r="AS649" s="83">
        <v>1120664.0</v>
      </c>
    </row>
    <row r="650" ht="15.75" customHeight="1">
      <c r="A650" s="111" t="s">
        <v>796</v>
      </c>
      <c r="B650" s="83" t="s">
        <v>2087</v>
      </c>
      <c r="C650" s="83" t="s">
        <v>68</v>
      </c>
      <c r="D650" s="112">
        <v>1120613.0</v>
      </c>
      <c r="E650" s="83"/>
      <c r="F650" s="83">
        <v>2.902506E7</v>
      </c>
      <c r="G650" s="91" t="str">
        <f>IFERROR(__xludf.DUMMYFUNCTION("XLOOKUP(AS650,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JUTAHY MAGALHÃES")</f>
        <v>COLÉGIO ESTADUAL DE TEMPO INTEGRAL JUTAHY MAGALHÃES</v>
      </c>
      <c r="H650" s="119" t="s">
        <v>3101</v>
      </c>
      <c r="I650" s="91" t="s">
        <v>3102</v>
      </c>
      <c r="J650" s="83" t="s">
        <v>3103</v>
      </c>
      <c r="K650" s="83" t="s">
        <v>150</v>
      </c>
      <c r="L650" s="83" t="s">
        <v>151</v>
      </c>
      <c r="M650" s="83" t="s">
        <v>152</v>
      </c>
      <c r="N650" s="98" t="s">
        <v>3104</v>
      </c>
      <c r="O650" s="98" t="s">
        <v>155</v>
      </c>
      <c r="P650" s="99" t="str">
        <f>IFERROR(__xludf.DUMMYFUNCTION("IFERROR(VLOOKUP(AS650,IMPORTRANGE(""https://docs.google.com/spreadsheets/d/1juPI-Fb8LD0YtltB2mlGEnp_R3UVu1t3wSFPzgCyHXE/edit?gid=0#gid=0"",""GERAL!A2:C""),3,0),""-"")"),"-")</f>
        <v>-</v>
      </c>
      <c r="Q650" s="101" t="s">
        <v>156</v>
      </c>
      <c r="R650" s="98">
        <v>10.0</v>
      </c>
      <c r="S650" s="98">
        <v>0.0</v>
      </c>
      <c r="T650" s="98">
        <v>0.0</v>
      </c>
      <c r="U650" s="98">
        <v>0.0</v>
      </c>
      <c r="V650" s="98">
        <v>0.0</v>
      </c>
      <c r="W650" s="98">
        <v>1.0</v>
      </c>
      <c r="X650" s="98">
        <v>0.0</v>
      </c>
      <c r="Y650" s="98">
        <v>1.0</v>
      </c>
      <c r="Z650" s="98">
        <v>0.0</v>
      </c>
      <c r="AA650" s="98">
        <v>0.0</v>
      </c>
      <c r="AB650" s="98">
        <v>0.0</v>
      </c>
      <c r="AC650" s="98">
        <v>0.0</v>
      </c>
      <c r="AD650" s="98">
        <v>0.0</v>
      </c>
      <c r="AE650" s="98">
        <v>0.0</v>
      </c>
      <c r="AF650" s="98">
        <v>0.0</v>
      </c>
      <c r="AG650" s="98">
        <v>1.0</v>
      </c>
      <c r="AH650" s="98">
        <v>0.0</v>
      </c>
      <c r="AI650" s="98">
        <v>0.0</v>
      </c>
      <c r="AJ650" s="98">
        <v>0.0</v>
      </c>
      <c r="AK650" s="98">
        <v>0.0</v>
      </c>
      <c r="AL650" s="98">
        <v>0.0</v>
      </c>
      <c r="AM650" s="98">
        <v>0.0</v>
      </c>
      <c r="AN650" s="98">
        <v>0.0</v>
      </c>
      <c r="AO650" s="98">
        <v>0.0</v>
      </c>
      <c r="AP650" s="98">
        <v>1.0</v>
      </c>
      <c r="AQ650" s="98" t="s">
        <v>3105</v>
      </c>
      <c r="AR650" s="102">
        <v>46191.0</v>
      </c>
      <c r="AS650" s="83">
        <v>1120613.0</v>
      </c>
    </row>
    <row r="651" ht="15.75" customHeight="1">
      <c r="A651" s="111" t="s">
        <v>796</v>
      </c>
      <c r="B651" s="83" t="s">
        <v>2087</v>
      </c>
      <c r="C651" s="83" t="s">
        <v>68</v>
      </c>
      <c r="D651" s="112">
        <v>1161034.0</v>
      </c>
      <c r="E651" s="83"/>
      <c r="F651" s="83">
        <v>2.9024528E7</v>
      </c>
      <c r="G651" s="91" t="str">
        <f>IFERROR(__xludf.DUMMYFUNCTION("XLOOKUP(AS651,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FLORENTINA ALVES DOS SANTOS")</f>
        <v>COLÉGIO ESTADUAL DE TEMPO INTEGRAL FLORENTINA ALVES DOS SANTOS</v>
      </c>
      <c r="H651" s="119" t="s">
        <v>3106</v>
      </c>
      <c r="I651" s="91" t="s">
        <v>3107</v>
      </c>
      <c r="J651" s="83" t="s">
        <v>3103</v>
      </c>
      <c r="K651" s="83" t="s">
        <v>150</v>
      </c>
      <c r="L651" s="83" t="s">
        <v>151</v>
      </c>
      <c r="M651" s="83" t="s">
        <v>230</v>
      </c>
      <c r="N651" s="98" t="s">
        <v>3108</v>
      </c>
      <c r="O651" s="98" t="s">
        <v>162</v>
      </c>
      <c r="P651" s="99" t="str">
        <f>IFERROR(__xludf.DUMMYFUNCTION("IFERROR(VLOOKUP(AS651,IMPORTRANGE(""https://docs.google.com/spreadsheets/d/1juPI-Fb8LD0YtltB2mlGEnp_R3UVu1t3wSFPzgCyHXE/edit?gid=0#gid=0"",""GERAL!A2:C""),3,0),""-"")"),"-")</f>
        <v>-</v>
      </c>
      <c r="Q651" s="101" t="s">
        <v>156</v>
      </c>
      <c r="R651" s="98">
        <v>12.0</v>
      </c>
      <c r="S651" s="98">
        <v>0.0</v>
      </c>
      <c r="T651" s="98">
        <v>2.0</v>
      </c>
      <c r="U651" s="98">
        <v>0.0</v>
      </c>
      <c r="V651" s="98">
        <v>1.0</v>
      </c>
      <c r="W651" s="98">
        <v>3.0</v>
      </c>
      <c r="X651" s="98">
        <v>1.0</v>
      </c>
      <c r="Y651" s="98">
        <v>0.0</v>
      </c>
      <c r="Z651" s="98">
        <v>1.0</v>
      </c>
      <c r="AA651" s="98">
        <v>0.0</v>
      </c>
      <c r="AB651" s="98">
        <v>1.0</v>
      </c>
      <c r="AC651" s="98">
        <v>0.0</v>
      </c>
      <c r="AD651" s="98">
        <v>0.0</v>
      </c>
      <c r="AE651" s="98">
        <v>0.0</v>
      </c>
      <c r="AF651" s="98">
        <v>1.0</v>
      </c>
      <c r="AG651" s="98">
        <v>0.0</v>
      </c>
      <c r="AH651" s="98">
        <v>0.0</v>
      </c>
      <c r="AI651" s="98">
        <v>0.0</v>
      </c>
      <c r="AJ651" s="98">
        <v>0.0</v>
      </c>
      <c r="AK651" s="98">
        <v>1.0</v>
      </c>
      <c r="AL651" s="98">
        <v>0.0</v>
      </c>
      <c r="AM651" s="98">
        <v>0.0</v>
      </c>
      <c r="AN651" s="98">
        <v>0.0</v>
      </c>
      <c r="AO651" s="98">
        <v>0.0</v>
      </c>
      <c r="AP651" s="98">
        <v>0.0</v>
      </c>
      <c r="AQ651" s="98" t="s">
        <v>3110</v>
      </c>
      <c r="AR651" s="102">
        <v>46191.0</v>
      </c>
      <c r="AS651" s="83">
        <v>1161034.0</v>
      </c>
    </row>
    <row r="652" ht="15.75" customHeight="1">
      <c r="A652" s="111" t="s">
        <v>796</v>
      </c>
      <c r="B652" s="83" t="s">
        <v>2087</v>
      </c>
      <c r="C652" s="83" t="s">
        <v>68</v>
      </c>
      <c r="D652" s="112">
        <v>1160950.0</v>
      </c>
      <c r="E652" s="83"/>
      <c r="F652" s="83">
        <v>2.9024846E7</v>
      </c>
      <c r="G652" s="91" t="str">
        <f>IFERROR(__xludf.DUMMYFUNCTION("XLOOKUP(AS652,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AGOSTINHO MUNIZ ")</f>
        <v>COLÉGIO ESTADUAL DE TEMPO INTEGRAL AGOSTINHO MUNIZ </v>
      </c>
      <c r="H652" s="119" t="s">
        <v>3111</v>
      </c>
      <c r="I652" s="91" t="s">
        <v>3112</v>
      </c>
      <c r="J652" s="83" t="s">
        <v>3113</v>
      </c>
      <c r="K652" s="83" t="s">
        <v>150</v>
      </c>
      <c r="L652" s="83" t="s">
        <v>151</v>
      </c>
      <c r="M652" s="83" t="s">
        <v>152</v>
      </c>
      <c r="N652" s="98" t="s">
        <v>3114</v>
      </c>
      <c r="O652" s="98" t="s">
        <v>284</v>
      </c>
      <c r="P652" s="99" t="str">
        <f>IFERROR(__xludf.DUMMYFUNCTION("IFERROR(VLOOKUP(AS652,IMPORTRANGE(""https://docs.google.com/spreadsheets/d/1juPI-Fb8LD0YtltB2mlGEnp_R3UVu1t3wSFPzgCyHXE/edit?gid=0#gid=0"",""GERAL!A2:C""),3,0),""-"")"),"-")</f>
        <v>-</v>
      </c>
      <c r="Q652" s="101" t="s">
        <v>156</v>
      </c>
      <c r="R652" s="98">
        <v>6.0</v>
      </c>
      <c r="S652" s="98">
        <v>0.0</v>
      </c>
      <c r="T652" s="98">
        <v>0.0</v>
      </c>
      <c r="U652" s="98">
        <v>0.0</v>
      </c>
      <c r="V652" s="98">
        <v>0.0</v>
      </c>
      <c r="W652" s="98">
        <v>0.0</v>
      </c>
      <c r="X652" s="98">
        <v>1.0</v>
      </c>
      <c r="Y652" s="98">
        <v>0.0</v>
      </c>
      <c r="Z652" s="98">
        <v>1.0</v>
      </c>
      <c r="AA652" s="98">
        <v>0.0</v>
      </c>
      <c r="AB652" s="98">
        <v>1.0</v>
      </c>
      <c r="AC652" s="98">
        <v>0.0</v>
      </c>
      <c r="AD652" s="98">
        <v>0.0</v>
      </c>
      <c r="AE652" s="98">
        <v>0.0</v>
      </c>
      <c r="AF652" s="98">
        <v>1.0</v>
      </c>
      <c r="AG652" s="98">
        <v>0.0</v>
      </c>
      <c r="AH652" s="98">
        <v>0.0</v>
      </c>
      <c r="AI652" s="98">
        <v>0.0</v>
      </c>
      <c r="AJ652" s="98">
        <v>0.0</v>
      </c>
      <c r="AK652" s="98">
        <v>0.0</v>
      </c>
      <c r="AL652" s="98">
        <v>0.0</v>
      </c>
      <c r="AM652" s="98">
        <v>0.0</v>
      </c>
      <c r="AN652" s="98">
        <v>0.0</v>
      </c>
      <c r="AO652" s="98">
        <v>0.0</v>
      </c>
      <c r="AP652" s="98">
        <v>1.0</v>
      </c>
      <c r="AQ652" s="98" t="s">
        <v>3115</v>
      </c>
      <c r="AR652" s="102">
        <v>46191.0</v>
      </c>
      <c r="AS652" s="83">
        <v>1160950.0</v>
      </c>
    </row>
    <row r="653" ht="15.75" customHeight="1">
      <c r="A653" s="111" t="s">
        <v>796</v>
      </c>
      <c r="B653" s="83" t="s">
        <v>2087</v>
      </c>
      <c r="C653" s="83" t="s">
        <v>68</v>
      </c>
      <c r="D653" s="112">
        <v>1120389.0</v>
      </c>
      <c r="E653" s="83"/>
      <c r="F653" s="83">
        <v>2.9024862E7</v>
      </c>
      <c r="G653" s="91" t="str">
        <f>IFERROR(__xludf.DUMMYFUNCTION("XLOOKUP(AS653,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CECILIO MATTOS")</f>
        <v>COLÉGIO ESTADUAL CECILIO MATTOS</v>
      </c>
      <c r="H653" s="114" t="s">
        <v>3116</v>
      </c>
      <c r="I653" s="91" t="s">
        <v>3117</v>
      </c>
      <c r="J653" s="83" t="s">
        <v>3118</v>
      </c>
      <c r="K653" s="83" t="s">
        <v>150</v>
      </c>
      <c r="L653" s="83" t="s">
        <v>151</v>
      </c>
      <c r="M653" s="98" t="s">
        <v>230</v>
      </c>
      <c r="N653" s="98" t="s">
        <v>3119</v>
      </c>
      <c r="O653" s="98" t="s">
        <v>155</v>
      </c>
      <c r="P653" s="99" t="str">
        <f>IFERROR(__xludf.DUMMYFUNCTION("IFERROR(VLOOKUP(AS653,IMPORTRANGE(""https://docs.google.com/spreadsheets/d/1juPI-Fb8LD0YtltB2mlGEnp_R3UVu1t3wSFPzgCyHXE/edit?gid=0#gid=0"",""GERAL!A2:C""),3,0),""-"")"),"-")</f>
        <v>-</v>
      </c>
      <c r="Q653" s="101" t="s">
        <v>156</v>
      </c>
      <c r="R653" s="232">
        <v>10.0</v>
      </c>
      <c r="S653" s="98">
        <v>0.0</v>
      </c>
      <c r="T653" s="98">
        <v>0.0</v>
      </c>
      <c r="U653" s="98">
        <v>0.0</v>
      </c>
      <c r="V653" s="98">
        <v>0.0</v>
      </c>
      <c r="W653" s="98">
        <v>0.0</v>
      </c>
      <c r="X653" s="98">
        <v>0.0</v>
      </c>
      <c r="Y653" s="98">
        <v>0.0</v>
      </c>
      <c r="Z653" s="98">
        <v>0.0</v>
      </c>
      <c r="AA653" s="98">
        <v>0.0</v>
      </c>
      <c r="AB653" s="98">
        <v>0.0</v>
      </c>
      <c r="AC653" s="232">
        <v>1.0</v>
      </c>
      <c r="AD653" s="98">
        <v>0.0</v>
      </c>
      <c r="AE653" s="98">
        <v>0.0</v>
      </c>
      <c r="AF653" s="98">
        <v>0.0</v>
      </c>
      <c r="AG653" s="232">
        <v>1.0</v>
      </c>
      <c r="AH653" s="232">
        <v>0.0</v>
      </c>
      <c r="AI653" s="98">
        <v>0.0</v>
      </c>
      <c r="AJ653" s="98">
        <v>0.0</v>
      </c>
      <c r="AK653" s="98">
        <v>0.0</v>
      </c>
      <c r="AL653" s="98">
        <v>0.0</v>
      </c>
      <c r="AM653" s="98">
        <v>0.0</v>
      </c>
      <c r="AN653" s="98">
        <v>0.0</v>
      </c>
      <c r="AO653" s="98">
        <v>0.0</v>
      </c>
      <c r="AP653" s="98">
        <v>4.0</v>
      </c>
      <c r="AQ653" s="98" t="s">
        <v>3121</v>
      </c>
      <c r="AR653" s="354">
        <v>46190.0</v>
      </c>
      <c r="AS653" s="83">
        <v>1120389.0</v>
      </c>
    </row>
    <row r="654" ht="15.75" customHeight="1">
      <c r="A654" s="111" t="s">
        <v>796</v>
      </c>
      <c r="B654" s="83" t="s">
        <v>2087</v>
      </c>
      <c r="C654" s="83" t="s">
        <v>68</v>
      </c>
      <c r="D654" s="112">
        <v>1176930.0</v>
      </c>
      <c r="E654" s="83"/>
      <c r="F654" s="83">
        <v>2.9408628E7</v>
      </c>
      <c r="G654" s="91" t="str">
        <f>IFERROR(__xludf.DUMMYFUNCTION("XLOOKUP(AS654,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ARTUR OLIVEIRA DA SILVA")</f>
        <v>COLÉGIO ESTADUAL DE TEMPO INTEGRAL ARTUR OLIVEIRA DA SILVA</v>
      </c>
      <c r="H654" s="114" t="s">
        <v>3122</v>
      </c>
      <c r="I654" s="91" t="s">
        <v>3123</v>
      </c>
      <c r="J654" s="83" t="s">
        <v>3124</v>
      </c>
      <c r="K654" s="83" t="s">
        <v>150</v>
      </c>
      <c r="L654" s="83" t="s">
        <v>151</v>
      </c>
      <c r="M654" s="83" t="s">
        <v>152</v>
      </c>
      <c r="N654" s="98" t="s">
        <v>3125</v>
      </c>
      <c r="O654" s="98" t="s">
        <v>155</v>
      </c>
      <c r="P654" s="99" t="str">
        <f>IFERROR(__xludf.DUMMYFUNCTION("IFERROR(VLOOKUP(AS654,IMPORTRANGE(""https://docs.google.com/spreadsheets/d/1juPI-Fb8LD0YtltB2mlGEnp_R3UVu1t3wSFPzgCyHXE/edit?gid=0#gid=0"",""GERAL!A2:C""),3,0),""-"")"),"-")</f>
        <v>-</v>
      </c>
      <c r="Q654" s="101" t="s">
        <v>156</v>
      </c>
      <c r="R654" s="98">
        <v>12.0</v>
      </c>
      <c r="S654" s="98">
        <v>0.0</v>
      </c>
      <c r="T654" s="98">
        <v>0.0</v>
      </c>
      <c r="U654" s="98">
        <v>0.0</v>
      </c>
      <c r="V654" s="98">
        <v>0.0</v>
      </c>
      <c r="W654" s="98">
        <v>1.0</v>
      </c>
      <c r="X654" s="98">
        <v>0.0</v>
      </c>
      <c r="Y654" s="98">
        <v>0.0</v>
      </c>
      <c r="Z654" s="98">
        <v>0.0</v>
      </c>
      <c r="AA654" s="98">
        <v>0.0</v>
      </c>
      <c r="AB654" s="98">
        <v>0.0</v>
      </c>
      <c r="AC654" s="98">
        <v>0.0</v>
      </c>
      <c r="AD654" s="98">
        <v>0.0</v>
      </c>
      <c r="AE654" s="98">
        <v>0.0</v>
      </c>
      <c r="AF654" s="98">
        <v>0.0</v>
      </c>
      <c r="AG654" s="98">
        <v>1.0</v>
      </c>
      <c r="AH654" s="98">
        <v>0.0</v>
      </c>
      <c r="AI654" s="98">
        <v>0.0</v>
      </c>
      <c r="AJ654" s="98">
        <v>0.0</v>
      </c>
      <c r="AK654" s="98">
        <v>0.0</v>
      </c>
      <c r="AL654" s="98">
        <v>0.0</v>
      </c>
      <c r="AM654" s="98">
        <v>0.0</v>
      </c>
      <c r="AN654" s="98">
        <v>0.0</v>
      </c>
      <c r="AO654" s="98">
        <v>0.0</v>
      </c>
      <c r="AP654" s="98">
        <v>3.0</v>
      </c>
      <c r="AQ654" s="98" t="s">
        <v>3126</v>
      </c>
      <c r="AR654" s="102">
        <v>46191.0</v>
      </c>
      <c r="AS654" s="83">
        <v>1176930.0</v>
      </c>
    </row>
    <row r="655" ht="15.75" customHeight="1">
      <c r="A655" s="111" t="s">
        <v>796</v>
      </c>
      <c r="B655" s="83" t="s">
        <v>2087</v>
      </c>
      <c r="C655" s="83" t="s">
        <v>68</v>
      </c>
      <c r="D655" s="112">
        <v>1120338.0</v>
      </c>
      <c r="E655" s="83"/>
      <c r="F655" s="83">
        <v>2.9024765E7</v>
      </c>
      <c r="G655" s="91" t="str">
        <f>IFERROR(__xludf.DUMMYFUNCTION("XLOOKUP(AS655,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ANTONÍLIO DA FRANÇA CARDOSO")</f>
        <v>COLÉGIO ESTADUAL DE TEMPO INTEGRAL ANTONÍLIO DA FRANÇA CARDOSO</v>
      </c>
      <c r="H655" s="114" t="s">
        <v>3127</v>
      </c>
      <c r="I655" s="91" t="s">
        <v>3129</v>
      </c>
      <c r="J655" s="83" t="s">
        <v>3130</v>
      </c>
      <c r="K655" s="83" t="s">
        <v>150</v>
      </c>
      <c r="L655" s="83" t="s">
        <v>151</v>
      </c>
      <c r="M655" s="83" t="s">
        <v>152</v>
      </c>
      <c r="N655" s="98" t="s">
        <v>3131</v>
      </c>
      <c r="O655" s="98" t="s">
        <v>155</v>
      </c>
      <c r="P655" s="99" t="str">
        <f>IFERROR(__xludf.DUMMYFUNCTION("IFERROR(VLOOKUP(AS655,IMPORTRANGE(""https://docs.google.com/spreadsheets/d/1juPI-Fb8LD0YtltB2mlGEnp_R3UVu1t3wSFPzgCyHXE/edit?gid=0#gid=0"",""GERAL!A2:C""),3,0),""-"")"),"-")</f>
        <v>-</v>
      </c>
      <c r="Q655" s="101" t="s">
        <v>156</v>
      </c>
      <c r="R655" s="98">
        <v>9.0</v>
      </c>
      <c r="S655" s="98">
        <v>0.0</v>
      </c>
      <c r="T655" s="98">
        <v>0.0</v>
      </c>
      <c r="U655" s="98">
        <v>0.0</v>
      </c>
      <c r="V655" s="98">
        <v>0.0</v>
      </c>
      <c r="W655" s="98">
        <v>0.0</v>
      </c>
      <c r="X655" s="98">
        <v>0.0</v>
      </c>
      <c r="Y655" s="98">
        <v>0.0</v>
      </c>
      <c r="Z655" s="98">
        <v>0.0</v>
      </c>
      <c r="AA655" s="98">
        <v>0.0</v>
      </c>
      <c r="AB655" s="98">
        <v>0.0</v>
      </c>
      <c r="AC655" s="98">
        <v>0.0</v>
      </c>
      <c r="AD655" s="98">
        <v>0.0</v>
      </c>
      <c r="AE655" s="98">
        <v>0.0</v>
      </c>
      <c r="AF655" s="98">
        <v>0.0</v>
      </c>
      <c r="AG655" s="98">
        <v>1.0</v>
      </c>
      <c r="AH655" s="98">
        <v>0.0</v>
      </c>
      <c r="AI655" s="98">
        <v>0.0</v>
      </c>
      <c r="AJ655" s="98">
        <v>0.0</v>
      </c>
      <c r="AK655" s="98">
        <v>0.0</v>
      </c>
      <c r="AL655" s="98">
        <v>0.0</v>
      </c>
      <c r="AM655" s="98">
        <v>0.0</v>
      </c>
      <c r="AN655" s="98">
        <v>0.0</v>
      </c>
      <c r="AO655" s="98">
        <v>0.0</v>
      </c>
      <c r="AP655" s="98">
        <v>1.0</v>
      </c>
      <c r="AQ655" s="98" t="s">
        <v>3100</v>
      </c>
      <c r="AR655" s="102">
        <v>46191.0</v>
      </c>
      <c r="AS655" s="83">
        <v>1120338.0</v>
      </c>
    </row>
    <row r="656" ht="15.75" customHeight="1">
      <c r="A656" s="111" t="s">
        <v>796</v>
      </c>
      <c r="B656" s="83" t="s">
        <v>2087</v>
      </c>
      <c r="C656" s="83" t="s">
        <v>68</v>
      </c>
      <c r="D656" s="112">
        <v>1120311.0</v>
      </c>
      <c r="E656" s="83"/>
      <c r="F656" s="83">
        <v>2.9025028E7</v>
      </c>
      <c r="G656" s="91" t="str">
        <f>IFERROR(__xludf.DUMMYFUNCTION("XLOOKUP(AS656,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DA POLICIA MILITAR - CPM ALFREDO VIANNA")</f>
        <v>COLÉGIO DA POLICIA MILITAR - CPM ALFREDO VIANNA</v>
      </c>
      <c r="H656" s="119" t="s">
        <v>3132</v>
      </c>
      <c r="I656" s="91" t="s">
        <v>3133</v>
      </c>
      <c r="J656" s="83" t="s">
        <v>3134</v>
      </c>
      <c r="K656" s="83" t="s">
        <v>150</v>
      </c>
      <c r="L656" s="83" t="s">
        <v>151</v>
      </c>
      <c r="M656" s="83" t="s">
        <v>152</v>
      </c>
      <c r="N656" s="98" t="s">
        <v>3135</v>
      </c>
      <c r="O656" s="98" t="s">
        <v>176</v>
      </c>
      <c r="P656" s="99" t="str">
        <f>IFERROR(__xludf.DUMMYFUNCTION("IFERROR(VLOOKUP(AS656,IMPORTRANGE(""https://docs.google.com/spreadsheets/d/1juPI-Fb8LD0YtltB2mlGEnp_R3UVu1t3wSFPzgCyHXE/edit?gid=0#gid=0"",""GERAL!A2:C""),3,0),""-"")"),"-")</f>
        <v>-</v>
      </c>
      <c r="Q656" s="101" t="s">
        <v>156</v>
      </c>
      <c r="R656" s="98">
        <v>26.0</v>
      </c>
      <c r="S656" s="98">
        <v>1.0</v>
      </c>
      <c r="T656" s="98">
        <v>4.0</v>
      </c>
      <c r="U656" s="98">
        <v>0.0</v>
      </c>
      <c r="V656" s="98">
        <v>0.0</v>
      </c>
      <c r="W656" s="98">
        <v>1.0</v>
      </c>
      <c r="X656" s="98">
        <v>0.0</v>
      </c>
      <c r="Y656" s="98">
        <v>0.0</v>
      </c>
      <c r="Z656" s="98">
        <v>0.0</v>
      </c>
      <c r="AA656" s="98">
        <v>0.0</v>
      </c>
      <c r="AB656" s="98">
        <v>0.0</v>
      </c>
      <c r="AC656" s="98">
        <v>0.0</v>
      </c>
      <c r="AD656" s="98">
        <v>0.0</v>
      </c>
      <c r="AE656" s="98">
        <v>0.0</v>
      </c>
      <c r="AF656" s="98">
        <v>1.0</v>
      </c>
      <c r="AG656" s="98">
        <v>0.0</v>
      </c>
      <c r="AH656" s="98">
        <v>0.0</v>
      </c>
      <c r="AI656" s="98">
        <v>0.0</v>
      </c>
      <c r="AJ656" s="98">
        <v>0.0</v>
      </c>
      <c r="AK656" s="98">
        <v>1.0</v>
      </c>
      <c r="AL656" s="98">
        <v>0.0</v>
      </c>
      <c r="AM656" s="98">
        <v>0.0</v>
      </c>
      <c r="AN656" s="98">
        <v>0.0</v>
      </c>
      <c r="AO656" s="98">
        <v>0.0</v>
      </c>
      <c r="AP656" s="98">
        <v>3.0</v>
      </c>
      <c r="AQ656" s="98" t="s">
        <v>3136</v>
      </c>
      <c r="AR656" s="102">
        <v>46191.0</v>
      </c>
      <c r="AS656" s="83">
        <v>1120311.0</v>
      </c>
    </row>
    <row r="657" ht="15.75" customHeight="1">
      <c r="A657" s="111" t="s">
        <v>796</v>
      </c>
      <c r="B657" s="83" t="s">
        <v>2087</v>
      </c>
      <c r="C657" s="83" t="s">
        <v>68</v>
      </c>
      <c r="D657" s="112">
        <v>1161085.0</v>
      </c>
      <c r="E657" s="83"/>
      <c r="F657" s="83">
        <v>2.9024641E7</v>
      </c>
      <c r="G657" s="91" t="str">
        <f>IFERROR(__xludf.DUMMYFUNCTION("XLOOKUP(AS657,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DO SERTÃO DO SÃO FRANCISCO")</f>
        <v>CENTRO TERRITORIAL DE EDUCACAO PROFISSIONAL DO SERTÃO DO SÃO FRANCISCO</v>
      </c>
      <c r="H657" s="114" t="s">
        <v>3137</v>
      </c>
      <c r="I657" s="91" t="s">
        <v>3138</v>
      </c>
      <c r="J657" s="83" t="s">
        <v>3139</v>
      </c>
      <c r="K657" s="83" t="s">
        <v>150</v>
      </c>
      <c r="L657" s="83" t="s">
        <v>151</v>
      </c>
      <c r="M657" s="83" t="s">
        <v>230</v>
      </c>
      <c r="N657" s="98" t="s">
        <v>3140</v>
      </c>
      <c r="O657" s="98" t="s">
        <v>284</v>
      </c>
      <c r="P657" s="99" t="str">
        <f>IFERROR(__xludf.DUMMYFUNCTION("IFERROR(VLOOKUP(AS657,IMPORTRANGE(""https://docs.google.com/spreadsheets/d/1juPI-Fb8LD0YtltB2mlGEnp_R3UVu1t3wSFPzgCyHXE/edit?gid=0#gid=0"",""GERAL!A2:C""),3,0),""-"")"),"-")</f>
        <v>-</v>
      </c>
      <c r="Q657" s="101" t="s">
        <v>156</v>
      </c>
      <c r="R657" s="98">
        <v>16.0</v>
      </c>
      <c r="S657" s="98">
        <v>0.0</v>
      </c>
      <c r="T657" s="98">
        <v>0.0</v>
      </c>
      <c r="U657" s="98">
        <v>1.0</v>
      </c>
      <c r="V657" s="98">
        <v>3.0</v>
      </c>
      <c r="W657" s="98">
        <v>5.0</v>
      </c>
      <c r="X657" s="98">
        <v>1.0</v>
      </c>
      <c r="Y657" s="98">
        <v>0.0</v>
      </c>
      <c r="Z657" s="98">
        <v>0.0</v>
      </c>
      <c r="AA657" s="98">
        <v>1.0</v>
      </c>
      <c r="AB657" s="98">
        <v>0.0</v>
      </c>
      <c r="AC657" s="98">
        <v>0.0</v>
      </c>
      <c r="AD657" s="98">
        <v>0.0</v>
      </c>
      <c r="AE657" s="98">
        <v>0.0</v>
      </c>
      <c r="AF657" s="98">
        <v>2.0</v>
      </c>
      <c r="AG657" s="98">
        <v>0.0</v>
      </c>
      <c r="AH657" s="98">
        <v>0.0</v>
      </c>
      <c r="AI657" s="98">
        <v>0.0</v>
      </c>
      <c r="AJ657" s="98">
        <v>0.0</v>
      </c>
      <c r="AK657" s="98">
        <v>1.0</v>
      </c>
      <c r="AL657" s="98">
        <v>0.0</v>
      </c>
      <c r="AM657" s="98">
        <v>1.0</v>
      </c>
      <c r="AN657" s="98">
        <v>0.0</v>
      </c>
      <c r="AO657" s="98">
        <v>1.0</v>
      </c>
      <c r="AP657" s="98">
        <v>2.0</v>
      </c>
      <c r="AQ657" s="98" t="s">
        <v>3148</v>
      </c>
      <c r="AR657" s="102">
        <v>46191.0</v>
      </c>
      <c r="AS657" s="83">
        <v>1161085.0</v>
      </c>
    </row>
    <row r="658" ht="15.75" customHeight="1">
      <c r="A658" s="111" t="s">
        <v>796</v>
      </c>
      <c r="B658" s="83" t="s">
        <v>2087</v>
      </c>
      <c r="C658" s="83" t="s">
        <v>68</v>
      </c>
      <c r="D658" s="112">
        <v>1179111.0</v>
      </c>
      <c r="E658" s="83"/>
      <c r="F658" s="83">
        <v>2.9456509E7</v>
      </c>
      <c r="G658" s="91" t="str">
        <f>IFERROR(__xludf.DUMMYFUNCTION("XLOOKUP(AS658,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MÉDIO COM INTERMEDIAÇÃO TECNOLÓGICA - CEMIT SERTÃO DO SÃO FRANCISCO")</f>
        <v>CENTRO REGIONAL DE ENSINO MÉDIO COM INTERMEDIAÇÃO TECNOLÓGICA - CEMIT SERTÃO DO SÃO FRANCISCO</v>
      </c>
      <c r="H658" s="114" t="s">
        <v>3149</v>
      </c>
      <c r="I658" s="91" t="s">
        <v>3150</v>
      </c>
      <c r="J658" s="136" t="s">
        <v>3151</v>
      </c>
      <c r="K658" s="83" t="s">
        <v>150</v>
      </c>
      <c r="L658" s="83" t="s">
        <v>151</v>
      </c>
      <c r="M658" s="136" t="s">
        <v>230</v>
      </c>
      <c r="N658" s="98" t="s">
        <v>3152</v>
      </c>
      <c r="O658" s="98" t="s">
        <v>155</v>
      </c>
      <c r="P658" s="99" t="str">
        <f>IFERROR(__xludf.DUMMYFUNCTION("IFERROR(VLOOKUP(AS658,IMPORTRANGE(""https://docs.google.com/spreadsheets/d/1juPI-Fb8LD0YtltB2mlGEnp_R3UVu1t3wSFPzgCyHXE/edit?gid=0#gid=0"",""GERAL!A2:C""),3,0),""-"")"),"-")</f>
        <v>-</v>
      </c>
      <c r="Q658" s="101" t="s">
        <v>156</v>
      </c>
      <c r="R658" s="98" t="s">
        <v>171</v>
      </c>
      <c r="S658" s="98" t="s">
        <v>171</v>
      </c>
      <c r="T658" s="98" t="s">
        <v>171</v>
      </c>
      <c r="U658" s="98" t="s">
        <v>171</v>
      </c>
      <c r="V658" s="98" t="s">
        <v>171</v>
      </c>
      <c r="W658" s="98" t="s">
        <v>171</v>
      </c>
      <c r="X658" s="98" t="s">
        <v>171</v>
      </c>
      <c r="Y658" s="98" t="s">
        <v>171</v>
      </c>
      <c r="Z658" s="98" t="s">
        <v>171</v>
      </c>
      <c r="AA658" s="98" t="s">
        <v>171</v>
      </c>
      <c r="AB658" s="98" t="s">
        <v>171</v>
      </c>
      <c r="AC658" s="98" t="s">
        <v>171</v>
      </c>
      <c r="AD658" s="98" t="s">
        <v>171</v>
      </c>
      <c r="AE658" s="98" t="s">
        <v>171</v>
      </c>
      <c r="AF658" s="98" t="s">
        <v>171</v>
      </c>
      <c r="AG658" s="98" t="s">
        <v>171</v>
      </c>
      <c r="AH658" s="98" t="s">
        <v>171</v>
      </c>
      <c r="AI658" s="98"/>
      <c r="AJ658" s="98" t="s">
        <v>171</v>
      </c>
      <c r="AK658" s="98" t="s">
        <v>171</v>
      </c>
      <c r="AL658" s="98" t="s">
        <v>171</v>
      </c>
      <c r="AM658" s="98" t="s">
        <v>171</v>
      </c>
      <c r="AN658" s="98" t="s">
        <v>171</v>
      </c>
      <c r="AO658" s="98" t="s">
        <v>171</v>
      </c>
      <c r="AP658" s="98" t="s">
        <v>171</v>
      </c>
      <c r="AQ658" s="98" t="s">
        <v>171</v>
      </c>
      <c r="AR658" s="102">
        <v>46191.0</v>
      </c>
      <c r="AS658" s="83">
        <v>1179111.0</v>
      </c>
    </row>
    <row r="659" ht="15.75" customHeight="1">
      <c r="A659" s="111" t="s">
        <v>796</v>
      </c>
      <c r="B659" s="83" t="s">
        <v>2087</v>
      </c>
      <c r="C659" s="83" t="s">
        <v>68</v>
      </c>
      <c r="D659" s="112">
        <v>1120494.0</v>
      </c>
      <c r="E659" s="83"/>
      <c r="F659" s="83">
        <v>2.9024803E7</v>
      </c>
      <c r="G659" s="91" t="str">
        <f>IFERROR(__xludf.DUMMYFUNCTION("XLOOKUP(AS659,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EDUCAÇÃO PROFISSIONAL EM GESTAO E NEGOCIOS DO NORTE BAIANO")</f>
        <v>CENTRO ESTADUAL DE EDUCAÇÃO PROFISSIONAL EM GESTAO E NEGOCIOS DO NORTE BAIANO</v>
      </c>
      <c r="H659" s="114" t="s">
        <v>3161</v>
      </c>
      <c r="I659" s="91" t="s">
        <v>3162</v>
      </c>
      <c r="J659" s="83" t="s">
        <v>3139</v>
      </c>
      <c r="K659" s="83" t="s">
        <v>150</v>
      </c>
      <c r="L659" s="83" t="s">
        <v>151</v>
      </c>
      <c r="M659" s="83" t="s">
        <v>230</v>
      </c>
      <c r="N659" s="98" t="s">
        <v>3163</v>
      </c>
      <c r="O659" s="98" t="s">
        <v>155</v>
      </c>
      <c r="P659" s="99" t="str">
        <f>IFERROR(__xludf.DUMMYFUNCTION("IFERROR(VLOOKUP(AS659,IMPORTRANGE(""https://docs.google.com/spreadsheets/d/1juPI-Fb8LD0YtltB2mlGEnp_R3UVu1t3wSFPzgCyHXE/edit?gid=0#gid=0"",""GERAL!A2:C""),3,0),""-"")"),"-")</f>
        <v>-</v>
      </c>
      <c r="Q659" s="101" t="s">
        <v>156</v>
      </c>
      <c r="R659" s="98">
        <v>10.0</v>
      </c>
      <c r="S659" s="98">
        <v>0.0</v>
      </c>
      <c r="T659" s="98">
        <v>0.0</v>
      </c>
      <c r="U659" s="98">
        <v>0.0</v>
      </c>
      <c r="V659" s="98">
        <v>0.0</v>
      </c>
      <c r="W659" s="98">
        <v>0.0</v>
      </c>
      <c r="X659" s="98">
        <v>0.0</v>
      </c>
      <c r="Y659" s="98">
        <v>0.0</v>
      </c>
      <c r="Z659" s="98">
        <v>0.0</v>
      </c>
      <c r="AA659" s="98">
        <v>0.0</v>
      </c>
      <c r="AB659" s="98">
        <v>0.0</v>
      </c>
      <c r="AC659" s="98">
        <v>0.0</v>
      </c>
      <c r="AD659" s="98">
        <v>0.0</v>
      </c>
      <c r="AE659" s="98">
        <v>0.0</v>
      </c>
      <c r="AF659" s="98">
        <v>0.0</v>
      </c>
      <c r="AG659" s="98">
        <v>1.0</v>
      </c>
      <c r="AH659" s="98">
        <v>0.0</v>
      </c>
      <c r="AI659" s="98">
        <v>0.0</v>
      </c>
      <c r="AJ659" s="98">
        <v>0.0</v>
      </c>
      <c r="AK659" s="98">
        <v>0.0</v>
      </c>
      <c r="AL659" s="98">
        <v>0.0</v>
      </c>
      <c r="AM659" s="98">
        <v>0.0</v>
      </c>
      <c r="AN659" s="98">
        <v>0.0</v>
      </c>
      <c r="AO659" s="98">
        <v>0.0</v>
      </c>
      <c r="AP659" s="98">
        <v>3.0</v>
      </c>
      <c r="AQ659" s="98" t="s">
        <v>3167</v>
      </c>
      <c r="AR659" s="102">
        <v>46191.0</v>
      </c>
      <c r="AS659" s="83">
        <v>1120494.0</v>
      </c>
    </row>
    <row r="660" ht="15.75" customHeight="1">
      <c r="A660" s="127" t="s">
        <v>796</v>
      </c>
      <c r="B660" s="98" t="s">
        <v>2087</v>
      </c>
      <c r="C660" s="83" t="s">
        <v>68</v>
      </c>
      <c r="D660" s="98">
        <v>1179788.0</v>
      </c>
      <c r="E660" s="83"/>
      <c r="F660" s="98">
        <v>44175.0</v>
      </c>
      <c r="G660" s="91" t="str">
        <f>IFERROR(__xludf.DUMMYFUNCTION("XLOOKUP(AS660,
IMPORTRANGE(""https://docs.google.com/spreadsheets/d/1YM-djuOLXomrZ9W0B4TyIBsVWnXY4EIOFD9HY-qGfv0/edit?usp=sharing"",""GERAL!BG5:BG""),
IMPORTRANGE(""https://docs.google.com/spreadsheets/d/1YM-djuOLXomrZ9W0B4TyIBsVWnXY4EIOFD9HY-qGfv0/edit?u"&amp;"sp=sharing"",""GERAL!G5:G""),
""CÓD. SEC NÃO ENCONTRADO NA PLANILHA DE MATRÍCULA"")"),"CENTRO DE APOIO PEDAGOGICO ESPECIALIZADO - CAPE JUAZEIRO")</f>
        <v>CENTRO DE APOIO PEDAGOGICO ESPECIALIZADO - CAPE JUAZEIRO</v>
      </c>
      <c r="H660" s="119" t="s">
        <v>3169</v>
      </c>
      <c r="I660" s="108" t="s">
        <v>3170</v>
      </c>
      <c r="J660" s="136" t="s">
        <v>149</v>
      </c>
      <c r="K660" s="98"/>
      <c r="L660" s="83" t="s">
        <v>151</v>
      </c>
      <c r="M660" s="83" t="s">
        <v>230</v>
      </c>
      <c r="N660" s="98" t="s">
        <v>3163</v>
      </c>
      <c r="O660" s="98" t="s">
        <v>155</v>
      </c>
      <c r="P660" s="99" t="str">
        <f>IFERROR(__xludf.DUMMYFUNCTION("IFERROR(VLOOKUP(AS660,IMPORTRANGE(""https://docs.google.com/spreadsheets/d/1juPI-Fb8LD0YtltB2mlGEnp_R3UVu1t3wSFPzgCyHXE/edit?gid=0#gid=0"",""GERAL!A2:C""),3,0),""-"")"),"-")</f>
        <v>-</v>
      </c>
      <c r="Q660" s="98" t="s">
        <v>171</v>
      </c>
      <c r="R660" s="98" t="s">
        <v>171</v>
      </c>
      <c r="S660" s="98" t="s">
        <v>171</v>
      </c>
      <c r="T660" s="98" t="s">
        <v>171</v>
      </c>
      <c r="U660" s="98" t="s">
        <v>171</v>
      </c>
      <c r="V660" s="98" t="s">
        <v>171</v>
      </c>
      <c r="W660" s="232" t="s">
        <v>171</v>
      </c>
      <c r="X660" s="98" t="s">
        <v>171</v>
      </c>
      <c r="Y660" s="98" t="s">
        <v>171</v>
      </c>
      <c r="Z660" s="98" t="s">
        <v>171</v>
      </c>
      <c r="AA660" s="98" t="s">
        <v>171</v>
      </c>
      <c r="AB660" s="98" t="s">
        <v>171</v>
      </c>
      <c r="AC660" s="98" t="s">
        <v>171</v>
      </c>
      <c r="AD660" s="98" t="s">
        <v>171</v>
      </c>
      <c r="AE660" s="98" t="s">
        <v>171</v>
      </c>
      <c r="AF660" s="98" t="s">
        <v>171</v>
      </c>
      <c r="AG660" s="98" t="s">
        <v>171</v>
      </c>
      <c r="AH660" s="98" t="s">
        <v>171</v>
      </c>
      <c r="AI660" s="98"/>
      <c r="AJ660" s="98" t="s">
        <v>171</v>
      </c>
      <c r="AK660" s="98" t="s">
        <v>171</v>
      </c>
      <c r="AL660" s="98" t="s">
        <v>171</v>
      </c>
      <c r="AM660" s="98" t="s">
        <v>171</v>
      </c>
      <c r="AN660" s="98" t="s">
        <v>171</v>
      </c>
      <c r="AO660" s="98" t="s">
        <v>171</v>
      </c>
      <c r="AP660" s="98" t="s">
        <v>171</v>
      </c>
      <c r="AQ660" s="98" t="s">
        <v>171</v>
      </c>
      <c r="AR660" s="102">
        <v>46191.0</v>
      </c>
      <c r="AS660" s="98">
        <v>1179788.0</v>
      </c>
    </row>
    <row r="661" ht="15.75" customHeight="1">
      <c r="A661" s="111" t="s">
        <v>796</v>
      </c>
      <c r="B661" s="83" t="s">
        <v>2087</v>
      </c>
      <c r="C661" s="83" t="s">
        <v>164</v>
      </c>
      <c r="D661" s="112">
        <v>1120893.0</v>
      </c>
      <c r="E661" s="83">
        <v>1179535.0</v>
      </c>
      <c r="F661" s="83"/>
      <c r="G661" s="91" t="str">
        <f>IFERROR(__xludf.DUMMYFUNCTION("XLOOKUP(AS661,
IMPORTRANGE(""https://docs.google.com/spreadsheets/d/1YM-djuOLXomrZ9W0B4TyIBsVWnXY4EIOFD9HY-qGfv0/edit?usp=sharing"",""GERAL!BG5:BG""),
IMPORTRANGE(""https://docs.google.com/spreadsheets/d/1YM-djuOLXomrZ9W0B4TyIBsVWnXY4EIOFD9HY-qGfv0/edit?u"&amp;"sp=sharing"",""GERAL!G5:G""),
""CÓD. SEC NÃO ENCONTRADO NA PLANILHA DE MATRÍCULA"")"),"ANEXO- COLÉGIO ESTADUAL ROTARY CLUBE - DISTRITO DE CAMPO DOS CAVALOS")</f>
        <v>ANEXO- COLÉGIO ESTADUAL ROTARY CLUBE - DISTRITO DE CAMPO DOS CAVALOS</v>
      </c>
      <c r="H661" s="114" t="s">
        <v>3174</v>
      </c>
      <c r="I661" s="91" t="s">
        <v>3175</v>
      </c>
      <c r="J661" s="136" t="s">
        <v>3176</v>
      </c>
      <c r="K661" s="83" t="s">
        <v>222</v>
      </c>
      <c r="L661" s="83" t="s">
        <v>168</v>
      </c>
      <c r="M661" s="83" t="s">
        <v>169</v>
      </c>
      <c r="N661" s="115" t="s">
        <v>170</v>
      </c>
      <c r="O661" s="98" t="s">
        <v>155</v>
      </c>
      <c r="P661" s="99" t="str">
        <f>IFERROR(__xludf.DUMMYFUNCTION("IFERROR(VLOOKUP(AS661,IMPORTRANGE(""https://docs.google.com/spreadsheets/d/1juPI-Fb8LD0YtltB2mlGEnp_R3UVu1t3wSFPzgCyHXE/edit?gid=0#gid=0"",""GERAL!A2:C""),3,0),""-"")"),"CAMPO")</f>
        <v>CAMPO</v>
      </c>
      <c r="Q661" s="98" t="s">
        <v>171</v>
      </c>
      <c r="R661" s="98">
        <v>3.0</v>
      </c>
      <c r="S661" s="98">
        <v>1.0</v>
      </c>
      <c r="T661" s="98">
        <v>0.0</v>
      </c>
      <c r="U661" s="98">
        <v>0.0</v>
      </c>
      <c r="V661" s="98">
        <v>0.0</v>
      </c>
      <c r="W661" s="98">
        <v>0.0</v>
      </c>
      <c r="X661" s="98">
        <v>0.0</v>
      </c>
      <c r="Y661" s="98">
        <v>0.0</v>
      </c>
      <c r="Z661" s="98">
        <v>0.0</v>
      </c>
      <c r="AA661" s="98">
        <v>1.0</v>
      </c>
      <c r="AB661" s="98">
        <v>0.0</v>
      </c>
      <c r="AC661" s="98">
        <v>1.0</v>
      </c>
      <c r="AD661" s="98">
        <v>0.0</v>
      </c>
      <c r="AE661" s="98">
        <v>0.0</v>
      </c>
      <c r="AF661" s="98">
        <v>1.0</v>
      </c>
      <c r="AG661" s="98">
        <v>0.0</v>
      </c>
      <c r="AH661" s="98">
        <v>0.0</v>
      </c>
      <c r="AI661" s="98">
        <v>0.0</v>
      </c>
      <c r="AJ661" s="98">
        <v>0.0</v>
      </c>
      <c r="AK661" s="98">
        <v>0.0</v>
      </c>
      <c r="AL661" s="98">
        <v>0.0</v>
      </c>
      <c r="AM661" s="98">
        <v>0.0</v>
      </c>
      <c r="AN661" s="98">
        <v>0.0</v>
      </c>
      <c r="AO661" s="98">
        <v>0.0</v>
      </c>
      <c r="AP661" s="98">
        <v>0.0</v>
      </c>
      <c r="AQ661" s="98" t="s">
        <v>171</v>
      </c>
      <c r="AR661" s="102">
        <v>46191.0</v>
      </c>
      <c r="AS661" s="83">
        <v>1179535.0</v>
      </c>
    </row>
    <row r="662" ht="15.75" customHeight="1">
      <c r="A662" s="111" t="s">
        <v>796</v>
      </c>
      <c r="B662" s="83" t="s">
        <v>2087</v>
      </c>
      <c r="C662" s="83" t="s">
        <v>164</v>
      </c>
      <c r="D662" s="112">
        <v>1160950.0</v>
      </c>
      <c r="E662" s="83">
        <v>1178675.0</v>
      </c>
      <c r="F662" s="83"/>
      <c r="G662" s="91" t="str">
        <f>IFERROR(__xludf.DUMMYFUNCTION("XLOOKUP(AS662,
IMPORTRANGE(""https://docs.google.com/spreadsheets/d/1YM-djuOLXomrZ9W0B4TyIBsVWnXY4EIOFD9HY-qGfv0/edit?usp=sharing"",""GERAL!BG5:BG""),
IMPORTRANGE(""https://docs.google.com/spreadsheets/d/1YM-djuOLXomrZ9W0B4TyIBsVWnXY4EIOFD9HY-qGfv0/edit?u"&amp;"sp=sharing"",""GERAL!G5:G""),
""CÓD. SEC NÃO ENCONTRADO NA PLANILHA DE MATRÍCULA"")"),"ANEXO- COLÉGIO ESTADUAL DE TEMPO INTEGRAL AGOSTINHO MUNIZ  - CONJUNTO PENAL DE JUAZEIRO")</f>
        <v>ANEXO- COLÉGIO ESTADUAL DE TEMPO INTEGRAL AGOSTINHO MUNIZ  - CONJUNTO PENAL DE JUAZEIRO</v>
      </c>
      <c r="H662" s="119" t="s">
        <v>3182</v>
      </c>
      <c r="I662" s="91" t="s">
        <v>3183</v>
      </c>
      <c r="J662" s="136" t="s">
        <v>149</v>
      </c>
      <c r="K662" s="83" t="s">
        <v>1012</v>
      </c>
      <c r="L662" s="83" t="s">
        <v>168</v>
      </c>
      <c r="M662" s="83" t="s">
        <v>169</v>
      </c>
      <c r="N662" s="115" t="s">
        <v>170</v>
      </c>
      <c r="O662" s="98" t="s">
        <v>155</v>
      </c>
      <c r="P662" s="99" t="str">
        <f>IFERROR(__xludf.DUMMYFUNCTION("IFERROR(VLOOKUP(AS662,IMPORTRANGE(""https://docs.google.com/spreadsheets/d/1juPI-Fb8LD0YtltB2mlGEnp_R3UVu1t3wSFPzgCyHXE/edit?gid=0#gid=0"",""GERAL!A2:C""),3,0),""-"")"),"-")</f>
        <v>-</v>
      </c>
      <c r="Q662" s="98" t="s">
        <v>171</v>
      </c>
      <c r="R662" s="98">
        <v>3.0</v>
      </c>
      <c r="S662" s="98" t="s">
        <v>171</v>
      </c>
      <c r="T662" s="98" t="s">
        <v>171</v>
      </c>
      <c r="U662" s="98" t="s">
        <v>171</v>
      </c>
      <c r="V662" s="98" t="s">
        <v>171</v>
      </c>
      <c r="W662" s="98" t="s">
        <v>171</v>
      </c>
      <c r="X662" s="98" t="s">
        <v>171</v>
      </c>
      <c r="Y662" s="98" t="s">
        <v>171</v>
      </c>
      <c r="Z662" s="98" t="s">
        <v>171</v>
      </c>
      <c r="AA662" s="98" t="s">
        <v>171</v>
      </c>
      <c r="AB662" s="98" t="s">
        <v>171</v>
      </c>
      <c r="AC662" s="98" t="s">
        <v>171</v>
      </c>
      <c r="AD662" s="98" t="s">
        <v>171</v>
      </c>
      <c r="AE662" s="98" t="s">
        <v>171</v>
      </c>
      <c r="AF662" s="98" t="s">
        <v>171</v>
      </c>
      <c r="AG662" s="98" t="s">
        <v>171</v>
      </c>
      <c r="AH662" s="98" t="s">
        <v>171</v>
      </c>
      <c r="AI662" s="98" t="s">
        <v>171</v>
      </c>
      <c r="AJ662" s="98" t="s">
        <v>171</v>
      </c>
      <c r="AK662" s="98" t="s">
        <v>171</v>
      </c>
      <c r="AL662" s="98" t="s">
        <v>171</v>
      </c>
      <c r="AM662" s="98" t="s">
        <v>171</v>
      </c>
      <c r="AN662" s="98" t="s">
        <v>171</v>
      </c>
      <c r="AO662" s="98" t="s">
        <v>171</v>
      </c>
      <c r="AP662" s="98" t="s">
        <v>171</v>
      </c>
      <c r="AQ662" s="98" t="s">
        <v>171</v>
      </c>
      <c r="AR662" s="102">
        <v>46191.0</v>
      </c>
      <c r="AS662" s="83">
        <v>1178675.0</v>
      </c>
    </row>
    <row r="663" ht="15.75" customHeight="1">
      <c r="A663" s="111" t="s">
        <v>796</v>
      </c>
      <c r="B663" s="83" t="s">
        <v>2087</v>
      </c>
      <c r="C663" s="83" t="s">
        <v>164</v>
      </c>
      <c r="D663" s="112">
        <v>1120893.0</v>
      </c>
      <c r="E663" s="83">
        <v>1178672.0</v>
      </c>
      <c r="F663" s="83"/>
      <c r="G663" s="91" t="str">
        <f>IFERROR(__xludf.DUMMYFUNCTION("XLOOKUP(AS663,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ROTARY CLUBE - DISTRITO JUREMAL")</f>
        <v>ANEXO - COLÉGIO ESTADUAL ROTARY CLUBE - DISTRITO JUREMAL</v>
      </c>
      <c r="H663" s="114" t="s">
        <v>3185</v>
      </c>
      <c r="I663" s="91" t="s">
        <v>3186</v>
      </c>
      <c r="J663" s="136" t="s">
        <v>3187</v>
      </c>
      <c r="K663" s="83" t="s">
        <v>1074</v>
      </c>
      <c r="L663" s="83" t="s">
        <v>168</v>
      </c>
      <c r="M663" s="83" t="s">
        <v>169</v>
      </c>
      <c r="N663" s="115" t="s">
        <v>170</v>
      </c>
      <c r="O663" s="98" t="s">
        <v>155</v>
      </c>
      <c r="P663" s="99" t="str">
        <f>IFERROR(__xludf.DUMMYFUNCTION("IFERROR(VLOOKUP(AS663,IMPORTRANGE(""https://docs.google.com/spreadsheets/d/1juPI-Fb8LD0YtltB2mlGEnp_R3UVu1t3wSFPzgCyHXE/edit?gid=0#gid=0"",""GERAL!A2:C""),3,0),""-"")"),"CAMPO")</f>
        <v>CAMPO</v>
      </c>
      <c r="Q663" s="98" t="s">
        <v>171</v>
      </c>
      <c r="R663" s="98">
        <v>3.0</v>
      </c>
      <c r="S663" s="98" t="s">
        <v>171</v>
      </c>
      <c r="T663" s="98" t="s">
        <v>171</v>
      </c>
      <c r="U663" s="98" t="s">
        <v>171</v>
      </c>
      <c r="V663" s="98" t="s">
        <v>171</v>
      </c>
      <c r="W663" s="98" t="s">
        <v>171</v>
      </c>
      <c r="X663" s="98" t="s">
        <v>171</v>
      </c>
      <c r="Y663" s="98" t="s">
        <v>171</v>
      </c>
      <c r="Z663" s="98" t="s">
        <v>171</v>
      </c>
      <c r="AA663" s="98" t="s">
        <v>171</v>
      </c>
      <c r="AB663" s="98" t="s">
        <v>171</v>
      </c>
      <c r="AC663" s="98" t="s">
        <v>171</v>
      </c>
      <c r="AD663" s="98" t="s">
        <v>171</v>
      </c>
      <c r="AE663" s="98" t="s">
        <v>171</v>
      </c>
      <c r="AF663" s="98" t="s">
        <v>171</v>
      </c>
      <c r="AG663" s="98" t="s">
        <v>171</v>
      </c>
      <c r="AH663" s="98" t="s">
        <v>171</v>
      </c>
      <c r="AI663" s="98" t="s">
        <v>171</v>
      </c>
      <c r="AJ663" s="98" t="s">
        <v>171</v>
      </c>
      <c r="AK663" s="98" t="s">
        <v>171</v>
      </c>
      <c r="AL663" s="98" t="s">
        <v>171</v>
      </c>
      <c r="AM663" s="98" t="s">
        <v>171</v>
      </c>
      <c r="AN663" s="98" t="s">
        <v>171</v>
      </c>
      <c r="AO663" s="98" t="s">
        <v>171</v>
      </c>
      <c r="AP663" s="98" t="s">
        <v>171</v>
      </c>
      <c r="AQ663" s="98" t="s">
        <v>171</v>
      </c>
      <c r="AR663" s="102">
        <v>46191.0</v>
      </c>
      <c r="AS663" s="83">
        <v>1178672.0</v>
      </c>
    </row>
    <row r="664" ht="15.75" customHeight="1">
      <c r="A664" s="111" t="s">
        <v>796</v>
      </c>
      <c r="B664" s="83" t="s">
        <v>2087</v>
      </c>
      <c r="C664" s="83" t="s">
        <v>164</v>
      </c>
      <c r="D664" s="112">
        <v>1120761.0</v>
      </c>
      <c r="E664" s="83">
        <v>1178197.0</v>
      </c>
      <c r="F664" s="83"/>
      <c r="G664" s="91" t="str">
        <f>IFERROR(__xludf.DUMMYFUNCTION("XLOOKUP(AS664,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PEDRO RAYMUNDO MOREIRA REGO - PROJETO CURAÇÁ")</f>
        <v>ANEXO - COLÉGIO ESTADUAL PEDRO RAYMUNDO MOREIRA REGO - PROJETO CURAÇÁ</v>
      </c>
      <c r="H664" s="114" t="s">
        <v>3188</v>
      </c>
      <c r="I664" s="91" t="s">
        <v>3189</v>
      </c>
      <c r="J664" s="83" t="s">
        <v>3190</v>
      </c>
      <c r="K664" s="83" t="s">
        <v>1946</v>
      </c>
      <c r="L664" s="83" t="s">
        <v>168</v>
      </c>
      <c r="M664" s="83" t="s">
        <v>169</v>
      </c>
      <c r="N664" s="115" t="s">
        <v>170</v>
      </c>
      <c r="O664" s="98" t="s">
        <v>155</v>
      </c>
      <c r="P664" s="99" t="str">
        <f>IFERROR(__xludf.DUMMYFUNCTION("IFERROR(VLOOKUP(AS664,IMPORTRANGE(""https://docs.google.com/spreadsheets/d/1juPI-Fb8LD0YtltB2mlGEnp_R3UVu1t3wSFPzgCyHXE/edit?gid=0#gid=0"",""GERAL!A2:C""),3,0),""-"")"),"CAMPO")</f>
        <v>CAMPO</v>
      </c>
      <c r="Q664" s="98" t="s">
        <v>171</v>
      </c>
      <c r="R664" s="98">
        <v>4.0</v>
      </c>
      <c r="S664" s="98" t="s">
        <v>171</v>
      </c>
      <c r="T664" s="98" t="s">
        <v>171</v>
      </c>
      <c r="U664" s="98" t="s">
        <v>171</v>
      </c>
      <c r="V664" s="98" t="s">
        <v>171</v>
      </c>
      <c r="W664" s="98" t="s">
        <v>171</v>
      </c>
      <c r="X664" s="98" t="s">
        <v>171</v>
      </c>
      <c r="Y664" s="98" t="s">
        <v>171</v>
      </c>
      <c r="Z664" s="98" t="s">
        <v>171</v>
      </c>
      <c r="AA664" s="98" t="s">
        <v>171</v>
      </c>
      <c r="AB664" s="98" t="s">
        <v>171</v>
      </c>
      <c r="AC664" s="98" t="s">
        <v>171</v>
      </c>
      <c r="AD664" s="98" t="s">
        <v>171</v>
      </c>
      <c r="AE664" s="98" t="s">
        <v>171</v>
      </c>
      <c r="AF664" s="98" t="s">
        <v>171</v>
      </c>
      <c r="AG664" s="98" t="s">
        <v>171</v>
      </c>
      <c r="AH664" s="98" t="s">
        <v>171</v>
      </c>
      <c r="AI664" s="98" t="s">
        <v>171</v>
      </c>
      <c r="AJ664" s="98" t="s">
        <v>171</v>
      </c>
      <c r="AK664" s="98" t="s">
        <v>171</v>
      </c>
      <c r="AL664" s="98" t="s">
        <v>171</v>
      </c>
      <c r="AM664" s="98" t="s">
        <v>171</v>
      </c>
      <c r="AN664" s="98" t="s">
        <v>171</v>
      </c>
      <c r="AO664" s="98" t="s">
        <v>171</v>
      </c>
      <c r="AP664" s="98" t="s">
        <v>171</v>
      </c>
      <c r="AQ664" s="98" t="s">
        <v>171</v>
      </c>
      <c r="AR664" s="102">
        <v>46191.0</v>
      </c>
      <c r="AS664" s="83">
        <v>1178197.0</v>
      </c>
    </row>
    <row r="665" ht="15.75" customHeight="1">
      <c r="A665" s="111" t="s">
        <v>796</v>
      </c>
      <c r="B665" s="83" t="s">
        <v>2087</v>
      </c>
      <c r="C665" s="83" t="s">
        <v>164</v>
      </c>
      <c r="D665" s="112">
        <v>1120613.0</v>
      </c>
      <c r="E665" s="83">
        <v>1179084.0</v>
      </c>
      <c r="F665" s="83"/>
      <c r="G665" s="91" t="str">
        <f>IFERROR(__xludf.DUMMYFUNCTION("XLOOKUP(AS665,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JUTAHY MAGALHÃES - POVOADO LAGOA DO SALITRE")</f>
        <v>ANEXO - COLÉGIO ESTADUAL JUTAHY MAGALHÃES - POVOADO LAGOA DO SALITRE</v>
      </c>
      <c r="H665" s="114" t="s">
        <v>3196</v>
      </c>
      <c r="I665" s="91" t="s">
        <v>3197</v>
      </c>
      <c r="J665" s="136" t="s">
        <v>3198</v>
      </c>
      <c r="K665" s="136" t="s">
        <v>702</v>
      </c>
      <c r="L665" s="83" t="s">
        <v>168</v>
      </c>
      <c r="M665" s="83" t="s">
        <v>169</v>
      </c>
      <c r="N665" s="115" t="s">
        <v>170</v>
      </c>
      <c r="O665" s="98" t="s">
        <v>155</v>
      </c>
      <c r="P665" s="99" t="str">
        <f>IFERROR(__xludf.DUMMYFUNCTION("IFERROR(VLOOKUP(AS665,IMPORTRANGE(""https://docs.google.com/spreadsheets/d/1juPI-Fb8LD0YtltB2mlGEnp_R3UVu1t3wSFPzgCyHXE/edit?gid=0#gid=0"",""GERAL!A2:C""),3,0),""-"")"),"CAMPO")</f>
        <v>CAMPO</v>
      </c>
      <c r="Q665" s="98" t="s">
        <v>171</v>
      </c>
      <c r="R665" s="98">
        <v>4.0</v>
      </c>
      <c r="S665" s="98" t="s">
        <v>171</v>
      </c>
      <c r="T665" s="98" t="s">
        <v>171</v>
      </c>
      <c r="U665" s="98" t="s">
        <v>171</v>
      </c>
      <c r="V665" s="98" t="s">
        <v>171</v>
      </c>
      <c r="W665" s="98" t="s">
        <v>171</v>
      </c>
      <c r="X665" s="98" t="s">
        <v>171</v>
      </c>
      <c r="Y665" s="98" t="s">
        <v>171</v>
      </c>
      <c r="Z665" s="98" t="s">
        <v>171</v>
      </c>
      <c r="AA665" s="98" t="s">
        <v>171</v>
      </c>
      <c r="AB665" s="98" t="s">
        <v>171</v>
      </c>
      <c r="AC665" s="98" t="s">
        <v>171</v>
      </c>
      <c r="AD665" s="98" t="s">
        <v>171</v>
      </c>
      <c r="AE665" s="98" t="s">
        <v>171</v>
      </c>
      <c r="AF665" s="98" t="s">
        <v>171</v>
      </c>
      <c r="AG665" s="98" t="s">
        <v>171</v>
      </c>
      <c r="AH665" s="98" t="s">
        <v>171</v>
      </c>
      <c r="AI665" s="98" t="s">
        <v>171</v>
      </c>
      <c r="AJ665" s="98" t="s">
        <v>171</v>
      </c>
      <c r="AK665" s="98" t="s">
        <v>171</v>
      </c>
      <c r="AL665" s="98" t="s">
        <v>171</v>
      </c>
      <c r="AM665" s="98" t="s">
        <v>171</v>
      </c>
      <c r="AN665" s="98" t="s">
        <v>171</v>
      </c>
      <c r="AO665" s="98" t="s">
        <v>171</v>
      </c>
      <c r="AP665" s="98" t="s">
        <v>171</v>
      </c>
      <c r="AQ665" s="98" t="s">
        <v>171</v>
      </c>
      <c r="AR665" s="102">
        <v>46191.0</v>
      </c>
      <c r="AS665" s="83">
        <v>1179084.0</v>
      </c>
    </row>
    <row r="666" ht="15.75" customHeight="1">
      <c r="A666" s="111" t="s">
        <v>796</v>
      </c>
      <c r="B666" s="83" t="s">
        <v>2087</v>
      </c>
      <c r="C666" s="83" t="s">
        <v>164</v>
      </c>
      <c r="D666" s="112">
        <v>1120613.0</v>
      </c>
      <c r="E666" s="83">
        <v>1178230.0</v>
      </c>
      <c r="F666" s="83"/>
      <c r="G666" s="91" t="str">
        <f>IFERROR(__xludf.DUMMYFUNCTION("XLOOKUP(AS666,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JUTAHY MAGALHÃES - DISTRITO DE ABOBORA")</f>
        <v>ANEXO - COLÉGIO ESTADUAL JUTAHY MAGALHÃES - DISTRITO DE ABOBORA</v>
      </c>
      <c r="H666" s="114" t="s">
        <v>3199</v>
      </c>
      <c r="I666" s="91" t="s">
        <v>3200</v>
      </c>
      <c r="J666" s="136" t="s">
        <v>149</v>
      </c>
      <c r="K666" s="136" t="s">
        <v>3201</v>
      </c>
      <c r="L666" s="83" t="s">
        <v>168</v>
      </c>
      <c r="M666" s="83" t="s">
        <v>152</v>
      </c>
      <c r="N666" s="115" t="s">
        <v>170</v>
      </c>
      <c r="O666" s="98" t="s">
        <v>155</v>
      </c>
      <c r="P666" s="99" t="str">
        <f>IFERROR(__xludf.DUMMYFUNCTION("IFERROR(VLOOKUP(AS666,IMPORTRANGE(""https://docs.google.com/spreadsheets/d/1juPI-Fb8LD0YtltB2mlGEnp_R3UVu1t3wSFPzgCyHXE/edit?gid=0#gid=0"",""GERAL!A2:C""),3,0),""-"")"),"CAMPO")</f>
        <v>CAMPO</v>
      </c>
      <c r="Q666" s="98" t="s">
        <v>171</v>
      </c>
      <c r="R666" s="98">
        <v>3.0</v>
      </c>
      <c r="S666" s="98" t="s">
        <v>171</v>
      </c>
      <c r="T666" s="98" t="s">
        <v>171</v>
      </c>
      <c r="U666" s="98" t="s">
        <v>171</v>
      </c>
      <c r="V666" s="98" t="s">
        <v>171</v>
      </c>
      <c r="W666" s="98" t="s">
        <v>171</v>
      </c>
      <c r="X666" s="98" t="s">
        <v>171</v>
      </c>
      <c r="Y666" s="98" t="s">
        <v>171</v>
      </c>
      <c r="Z666" s="98" t="s">
        <v>171</v>
      </c>
      <c r="AA666" s="98" t="s">
        <v>171</v>
      </c>
      <c r="AB666" s="98" t="s">
        <v>171</v>
      </c>
      <c r="AC666" s="98" t="s">
        <v>171</v>
      </c>
      <c r="AD666" s="98" t="s">
        <v>171</v>
      </c>
      <c r="AE666" s="98" t="s">
        <v>171</v>
      </c>
      <c r="AF666" s="98" t="s">
        <v>171</v>
      </c>
      <c r="AG666" s="98" t="s">
        <v>171</v>
      </c>
      <c r="AH666" s="98" t="s">
        <v>171</v>
      </c>
      <c r="AI666" s="98" t="s">
        <v>171</v>
      </c>
      <c r="AJ666" s="98" t="s">
        <v>171</v>
      </c>
      <c r="AK666" s="98" t="s">
        <v>171</v>
      </c>
      <c r="AL666" s="98" t="s">
        <v>171</v>
      </c>
      <c r="AM666" s="98" t="s">
        <v>171</v>
      </c>
      <c r="AN666" s="98" t="s">
        <v>171</v>
      </c>
      <c r="AO666" s="98" t="s">
        <v>171</v>
      </c>
      <c r="AP666" s="98" t="s">
        <v>171</v>
      </c>
      <c r="AQ666" s="98" t="s">
        <v>171</v>
      </c>
      <c r="AR666" s="102">
        <v>46191.0</v>
      </c>
      <c r="AS666" s="83">
        <v>1178230.0</v>
      </c>
    </row>
    <row r="667" ht="15.75" customHeight="1">
      <c r="A667" s="111" t="s">
        <v>796</v>
      </c>
      <c r="B667" s="83" t="s">
        <v>2087</v>
      </c>
      <c r="C667" s="83" t="s">
        <v>164</v>
      </c>
      <c r="D667" s="112">
        <v>1176091.0</v>
      </c>
      <c r="E667" s="83">
        <v>1178220.0</v>
      </c>
      <c r="F667" s="83"/>
      <c r="G667" s="91" t="str">
        <f>IFERROR(__xludf.DUMMYFUNCTION("XLOOKUP(AS667,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DONA GUIOMAR BARRETO MEIRA - DISTRITO MASSAROCA")</f>
        <v>ANEXO - COLÉGIO ESTADUAL DONA GUIOMAR BARRETO MEIRA - DISTRITO MASSAROCA</v>
      </c>
      <c r="H667" s="114" t="s">
        <v>3202</v>
      </c>
      <c r="I667" s="91" t="s">
        <v>3203</v>
      </c>
      <c r="J667" s="136" t="s">
        <v>149</v>
      </c>
      <c r="K667" s="83" t="s">
        <v>577</v>
      </c>
      <c r="L667" s="83" t="s">
        <v>168</v>
      </c>
      <c r="M667" s="83" t="s">
        <v>169</v>
      </c>
      <c r="N667" s="115" t="s">
        <v>170</v>
      </c>
      <c r="O667" s="98" t="s">
        <v>155</v>
      </c>
      <c r="P667" s="99" t="str">
        <f>IFERROR(__xludf.DUMMYFUNCTION("IFERROR(VLOOKUP(AS667,IMPORTRANGE(""https://docs.google.com/spreadsheets/d/1juPI-Fb8LD0YtltB2mlGEnp_R3UVu1t3wSFPzgCyHXE/edit?gid=0#gid=0"",""GERAL!A2:C""),3,0),""-"")"),"CAMPO")</f>
        <v>CAMPO</v>
      </c>
      <c r="Q667" s="98" t="s">
        <v>171</v>
      </c>
      <c r="R667" s="98">
        <v>3.0</v>
      </c>
      <c r="S667" s="98" t="s">
        <v>171</v>
      </c>
      <c r="T667" s="98" t="s">
        <v>171</v>
      </c>
      <c r="U667" s="98" t="s">
        <v>171</v>
      </c>
      <c r="V667" s="98" t="s">
        <v>171</v>
      </c>
      <c r="W667" s="98" t="s">
        <v>171</v>
      </c>
      <c r="X667" s="98" t="s">
        <v>171</v>
      </c>
      <c r="Y667" s="98" t="s">
        <v>171</v>
      </c>
      <c r="Z667" s="98" t="s">
        <v>171</v>
      </c>
      <c r="AA667" s="98" t="s">
        <v>171</v>
      </c>
      <c r="AB667" s="98" t="s">
        <v>171</v>
      </c>
      <c r="AC667" s="98" t="s">
        <v>171</v>
      </c>
      <c r="AD667" s="98" t="s">
        <v>171</v>
      </c>
      <c r="AE667" s="98" t="s">
        <v>171</v>
      </c>
      <c r="AF667" s="98" t="s">
        <v>171</v>
      </c>
      <c r="AG667" s="98" t="s">
        <v>171</v>
      </c>
      <c r="AH667" s="98" t="s">
        <v>171</v>
      </c>
      <c r="AI667" s="98" t="s">
        <v>171</v>
      </c>
      <c r="AJ667" s="98" t="s">
        <v>171</v>
      </c>
      <c r="AK667" s="98" t="s">
        <v>171</v>
      </c>
      <c r="AL667" s="98" t="s">
        <v>171</v>
      </c>
      <c r="AM667" s="98" t="s">
        <v>171</v>
      </c>
      <c r="AN667" s="98" t="s">
        <v>171</v>
      </c>
      <c r="AO667" s="98" t="s">
        <v>171</v>
      </c>
      <c r="AP667" s="98" t="s">
        <v>171</v>
      </c>
      <c r="AQ667" s="98" t="s">
        <v>171</v>
      </c>
      <c r="AR667" s="102">
        <v>46191.0</v>
      </c>
      <c r="AS667" s="83">
        <v>1178220.0</v>
      </c>
    </row>
    <row r="668" ht="15.75" customHeight="1">
      <c r="A668" s="111" t="s">
        <v>796</v>
      </c>
      <c r="B668" s="83" t="s">
        <v>2087</v>
      </c>
      <c r="C668" s="83" t="s">
        <v>164</v>
      </c>
      <c r="D668" s="112">
        <v>1178255.0</v>
      </c>
      <c r="E668" s="83">
        <v>1178670.0</v>
      </c>
      <c r="F668" s="83"/>
      <c r="G668" s="91" t="str">
        <f>IFERROR(__xludf.DUMMYFUNCTION("XLOOKUP(AS668,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PAULO JOSE DE OLIVEIRA - DISTRITO DE PINHÕES")</f>
        <v>ANEXO - COLEGIO ESTADUAL DE TEMPO INTEGRAL PAULO JOSE DE OLIVEIRA - DISTRITO DE PINHÕES</v>
      </c>
      <c r="H668" s="119" t="s">
        <v>3204</v>
      </c>
      <c r="I668" s="91" t="s">
        <v>3205</v>
      </c>
      <c r="J668" s="136" t="s">
        <v>149</v>
      </c>
      <c r="K668" s="136" t="s">
        <v>705</v>
      </c>
      <c r="L668" s="83" t="s">
        <v>168</v>
      </c>
      <c r="M668" s="83" t="s">
        <v>169</v>
      </c>
      <c r="N668" s="115" t="s">
        <v>170</v>
      </c>
      <c r="O668" s="98" t="s">
        <v>155</v>
      </c>
      <c r="P668" s="99" t="str">
        <f>IFERROR(__xludf.DUMMYFUNCTION("IFERROR(VLOOKUP(AS668,IMPORTRANGE(""https://docs.google.com/spreadsheets/d/1juPI-Fb8LD0YtltB2mlGEnp_R3UVu1t3wSFPzgCyHXE/edit?gid=0#gid=0"",""GERAL!A2:C""),3,0),""-"")"),"CAMPO")</f>
        <v>CAMPO</v>
      </c>
      <c r="Q668" s="98" t="s">
        <v>171</v>
      </c>
      <c r="R668" s="98">
        <v>3.0</v>
      </c>
      <c r="S668" s="98" t="s">
        <v>171</v>
      </c>
      <c r="T668" s="98" t="s">
        <v>171</v>
      </c>
      <c r="U668" s="98" t="s">
        <v>171</v>
      </c>
      <c r="V668" s="98" t="s">
        <v>171</v>
      </c>
      <c r="W668" s="98" t="s">
        <v>171</v>
      </c>
      <c r="X668" s="98" t="s">
        <v>171</v>
      </c>
      <c r="Y668" s="98" t="s">
        <v>171</v>
      </c>
      <c r="Z668" s="98" t="s">
        <v>171</v>
      </c>
      <c r="AA668" s="98" t="s">
        <v>171</v>
      </c>
      <c r="AB668" s="98" t="s">
        <v>171</v>
      </c>
      <c r="AC668" s="98" t="s">
        <v>171</v>
      </c>
      <c r="AD668" s="98" t="s">
        <v>171</v>
      </c>
      <c r="AE668" s="98" t="s">
        <v>171</v>
      </c>
      <c r="AF668" s="98" t="s">
        <v>171</v>
      </c>
      <c r="AG668" s="98" t="s">
        <v>171</v>
      </c>
      <c r="AH668" s="98" t="s">
        <v>171</v>
      </c>
      <c r="AI668" s="98" t="s">
        <v>171</v>
      </c>
      <c r="AJ668" s="98" t="s">
        <v>171</v>
      </c>
      <c r="AK668" s="98" t="s">
        <v>171</v>
      </c>
      <c r="AL668" s="98" t="s">
        <v>171</v>
      </c>
      <c r="AM668" s="98" t="s">
        <v>171</v>
      </c>
      <c r="AN668" s="98" t="s">
        <v>171</v>
      </c>
      <c r="AO668" s="98" t="s">
        <v>171</v>
      </c>
      <c r="AP668" s="98" t="s">
        <v>171</v>
      </c>
      <c r="AQ668" s="98" t="s">
        <v>171</v>
      </c>
      <c r="AR668" s="102">
        <v>46191.0</v>
      </c>
      <c r="AS668" s="83">
        <v>1178670.0</v>
      </c>
    </row>
    <row r="669" ht="15.75" customHeight="1">
      <c r="A669" s="111" t="s">
        <v>796</v>
      </c>
      <c r="B669" s="83" t="s">
        <v>2087</v>
      </c>
      <c r="C669" s="83" t="s">
        <v>164</v>
      </c>
      <c r="D669" s="112">
        <v>1178255.0</v>
      </c>
      <c r="E669" s="83">
        <v>1178671.0</v>
      </c>
      <c r="F669" s="83"/>
      <c r="G669" s="91" t="str">
        <f>IFERROR(__xludf.DUMMYFUNCTION("XLOOKUP(AS669,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PAULO JOSE DE OLIVEIRA - DISTRITO DE ANGICO")</f>
        <v>ANEXO - COLEGIO ESTADUAL DE TEMPO INTEGRAL PAULO JOSE DE OLIVEIRA - DISTRITO DE ANGICO</v>
      </c>
      <c r="H669" s="119" t="s">
        <v>3206</v>
      </c>
      <c r="I669" s="91" t="s">
        <v>3207</v>
      </c>
      <c r="J669" s="136" t="s">
        <v>149</v>
      </c>
      <c r="K669" s="136" t="s">
        <v>252</v>
      </c>
      <c r="L669" s="83" t="s">
        <v>168</v>
      </c>
      <c r="M669" s="83" t="s">
        <v>169</v>
      </c>
      <c r="N669" s="115" t="s">
        <v>170</v>
      </c>
      <c r="O669" s="98" t="s">
        <v>155</v>
      </c>
      <c r="P669" s="99" t="str">
        <f>IFERROR(__xludf.DUMMYFUNCTION("IFERROR(VLOOKUP(AS669,IMPORTRANGE(""https://docs.google.com/spreadsheets/d/1juPI-Fb8LD0YtltB2mlGEnp_R3UVu1t3wSFPzgCyHXE/edit?gid=0#gid=0"",""GERAL!A2:C""),3,0),""-"")"),"FUNDO E FECHO")</f>
        <v>FUNDO E FECHO</v>
      </c>
      <c r="Q669" s="98" t="s">
        <v>171</v>
      </c>
      <c r="R669" s="98">
        <v>3.0</v>
      </c>
      <c r="S669" s="98" t="s">
        <v>171</v>
      </c>
      <c r="T669" s="98" t="s">
        <v>171</v>
      </c>
      <c r="U669" s="98" t="s">
        <v>171</v>
      </c>
      <c r="V669" s="98" t="s">
        <v>171</v>
      </c>
      <c r="W669" s="98" t="s">
        <v>171</v>
      </c>
      <c r="X669" s="98" t="s">
        <v>171</v>
      </c>
      <c r="Y669" s="98" t="s">
        <v>171</v>
      </c>
      <c r="Z669" s="98" t="s">
        <v>171</v>
      </c>
      <c r="AA669" s="98" t="s">
        <v>171</v>
      </c>
      <c r="AB669" s="98" t="s">
        <v>171</v>
      </c>
      <c r="AC669" s="98" t="s">
        <v>171</v>
      </c>
      <c r="AD669" s="98" t="s">
        <v>171</v>
      </c>
      <c r="AE669" s="98" t="s">
        <v>171</v>
      </c>
      <c r="AF669" s="98" t="s">
        <v>171</v>
      </c>
      <c r="AG669" s="98" t="s">
        <v>171</v>
      </c>
      <c r="AH669" s="98" t="s">
        <v>171</v>
      </c>
      <c r="AI669" s="98" t="s">
        <v>171</v>
      </c>
      <c r="AJ669" s="98" t="s">
        <v>171</v>
      </c>
      <c r="AK669" s="98" t="s">
        <v>171</v>
      </c>
      <c r="AL669" s="98" t="s">
        <v>171</v>
      </c>
      <c r="AM669" s="98" t="s">
        <v>171</v>
      </c>
      <c r="AN669" s="98" t="s">
        <v>171</v>
      </c>
      <c r="AO669" s="98" t="s">
        <v>171</v>
      </c>
      <c r="AP669" s="98" t="s">
        <v>171</v>
      </c>
      <c r="AQ669" s="98" t="s">
        <v>171</v>
      </c>
      <c r="AR669" s="102">
        <v>46191.0</v>
      </c>
      <c r="AS669" s="83">
        <v>1178671.0</v>
      </c>
    </row>
    <row r="670" ht="15.75" customHeight="1">
      <c r="A670" s="111" t="s">
        <v>796</v>
      </c>
      <c r="B670" s="83" t="s">
        <v>2087</v>
      </c>
      <c r="C670" s="83" t="s">
        <v>164</v>
      </c>
      <c r="D670" s="112">
        <v>1120664.0</v>
      </c>
      <c r="E670" s="83">
        <v>1178212.0</v>
      </c>
      <c r="F670" s="83"/>
      <c r="G670" s="91" t="str">
        <f>IFERROR(__xludf.DUMMYFUNCTION("XLOOKUP(AS670,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LOMANTO JUNIOR - DISTRITO DE ITAMOTINGA")</f>
        <v>ANEXO - COLEGIO ESTADUAL DE TEMPO INTEGRAL LOMANTO JUNIOR - DISTRITO DE ITAMOTINGA</v>
      </c>
      <c r="H670" s="119" t="s">
        <v>3208</v>
      </c>
      <c r="I670" s="91" t="s">
        <v>3209</v>
      </c>
      <c r="J670" s="136" t="s">
        <v>3210</v>
      </c>
      <c r="K670" s="136" t="s">
        <v>1946</v>
      </c>
      <c r="L670" s="83" t="s">
        <v>168</v>
      </c>
      <c r="M670" s="83" t="s">
        <v>169</v>
      </c>
      <c r="N670" s="115" t="s">
        <v>170</v>
      </c>
      <c r="O670" s="98" t="s">
        <v>155</v>
      </c>
      <c r="P670" s="99" t="str">
        <f>IFERROR(__xludf.DUMMYFUNCTION("IFERROR(VLOOKUP(AS670,IMPORTRANGE(""https://docs.google.com/spreadsheets/d/1juPI-Fb8LD0YtltB2mlGEnp_R3UVu1t3wSFPzgCyHXE/edit?gid=0#gid=0"",""GERAL!A2:C""),3,0),""-"")"),"CAMPO")</f>
        <v>CAMPO</v>
      </c>
      <c r="Q670" s="98" t="s">
        <v>171</v>
      </c>
      <c r="R670" s="98">
        <v>3.0</v>
      </c>
      <c r="S670" s="98" t="s">
        <v>171</v>
      </c>
      <c r="T670" s="98" t="s">
        <v>171</v>
      </c>
      <c r="U670" s="98" t="s">
        <v>171</v>
      </c>
      <c r="V670" s="98" t="s">
        <v>171</v>
      </c>
      <c r="W670" s="98" t="s">
        <v>171</v>
      </c>
      <c r="X670" s="98" t="s">
        <v>171</v>
      </c>
      <c r="Y670" s="98" t="s">
        <v>171</v>
      </c>
      <c r="Z670" s="98" t="s">
        <v>171</v>
      </c>
      <c r="AA670" s="98" t="s">
        <v>171</v>
      </c>
      <c r="AB670" s="98" t="s">
        <v>171</v>
      </c>
      <c r="AC670" s="98" t="s">
        <v>171</v>
      </c>
      <c r="AD670" s="98" t="s">
        <v>171</v>
      </c>
      <c r="AE670" s="98" t="s">
        <v>171</v>
      </c>
      <c r="AF670" s="98" t="s">
        <v>171</v>
      </c>
      <c r="AG670" s="98" t="s">
        <v>171</v>
      </c>
      <c r="AH670" s="98" t="s">
        <v>171</v>
      </c>
      <c r="AI670" s="98" t="s">
        <v>171</v>
      </c>
      <c r="AJ670" s="98" t="s">
        <v>171</v>
      </c>
      <c r="AK670" s="98" t="s">
        <v>171</v>
      </c>
      <c r="AL670" s="98" t="s">
        <v>171</v>
      </c>
      <c r="AM670" s="98" t="s">
        <v>171</v>
      </c>
      <c r="AN670" s="98" t="s">
        <v>171</v>
      </c>
      <c r="AO670" s="98" t="s">
        <v>171</v>
      </c>
      <c r="AP670" s="98" t="s">
        <v>171</v>
      </c>
      <c r="AQ670" s="98" t="s">
        <v>171</v>
      </c>
      <c r="AR670" s="102">
        <v>46191.0</v>
      </c>
      <c r="AS670" s="83">
        <v>1178212.0</v>
      </c>
    </row>
    <row r="671" ht="15.75" customHeight="1">
      <c r="A671" s="111" t="s">
        <v>796</v>
      </c>
      <c r="B671" s="83" t="s">
        <v>2087</v>
      </c>
      <c r="C671" s="83" t="s">
        <v>164</v>
      </c>
      <c r="D671" s="112">
        <v>1160950.0</v>
      </c>
      <c r="E671" s="83">
        <v>1178673.0</v>
      </c>
      <c r="F671" s="83"/>
      <c r="G671" s="91" t="str">
        <f>IFERROR(__xludf.DUMMYFUNCTION("XLOOKUP(AS671,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AGOSTINHO MUNIZ  - POVOADO JARDIM PRIMAVERA")</f>
        <v>ANEXO - COLÉGIO ESTADUAL DE TEMPO INTEGRAL AGOSTINHO MUNIZ  - POVOADO JARDIM PRIMAVERA</v>
      </c>
      <c r="H671" s="119" t="s">
        <v>3211</v>
      </c>
      <c r="I671" s="91" t="s">
        <v>3212</v>
      </c>
      <c r="J671" s="136" t="s">
        <v>1563</v>
      </c>
      <c r="K671" s="83" t="s">
        <v>1502</v>
      </c>
      <c r="L671" s="83" t="s">
        <v>168</v>
      </c>
      <c r="M671" s="83" t="s">
        <v>169</v>
      </c>
      <c r="N671" s="115" t="s">
        <v>170</v>
      </c>
      <c r="O671" s="98" t="s">
        <v>155</v>
      </c>
      <c r="P671" s="99" t="str">
        <f>IFERROR(__xludf.DUMMYFUNCTION("IFERROR(VLOOKUP(AS671,IMPORTRANGE(""https://docs.google.com/spreadsheets/d/1juPI-Fb8LD0YtltB2mlGEnp_R3UVu1t3wSFPzgCyHXE/edit?gid=0#gid=0"",""GERAL!A2:C""),3,0),""-"")"),"CAMPO")</f>
        <v>CAMPO</v>
      </c>
      <c r="Q671" s="98" t="s">
        <v>171</v>
      </c>
      <c r="R671" s="98">
        <v>3.0</v>
      </c>
      <c r="S671" s="98" t="s">
        <v>171</v>
      </c>
      <c r="T671" s="98" t="s">
        <v>171</v>
      </c>
      <c r="U671" s="98" t="s">
        <v>171</v>
      </c>
      <c r="V671" s="98" t="s">
        <v>171</v>
      </c>
      <c r="W671" s="98" t="s">
        <v>171</v>
      </c>
      <c r="X671" s="98" t="s">
        <v>171</v>
      </c>
      <c r="Y671" s="98" t="s">
        <v>171</v>
      </c>
      <c r="Z671" s="98" t="s">
        <v>171</v>
      </c>
      <c r="AA671" s="98" t="s">
        <v>171</v>
      </c>
      <c r="AB671" s="98" t="s">
        <v>171</v>
      </c>
      <c r="AC671" s="98" t="s">
        <v>171</v>
      </c>
      <c r="AD671" s="98" t="s">
        <v>171</v>
      </c>
      <c r="AE671" s="98" t="s">
        <v>171</v>
      </c>
      <c r="AF671" s="98" t="s">
        <v>171</v>
      </c>
      <c r="AG671" s="98" t="s">
        <v>171</v>
      </c>
      <c r="AH671" s="98" t="s">
        <v>171</v>
      </c>
      <c r="AI671" s="98" t="s">
        <v>171</v>
      </c>
      <c r="AJ671" s="98" t="s">
        <v>171</v>
      </c>
      <c r="AK671" s="98" t="s">
        <v>171</v>
      </c>
      <c r="AL671" s="98" t="s">
        <v>171</v>
      </c>
      <c r="AM671" s="98" t="s">
        <v>171</v>
      </c>
      <c r="AN671" s="98" t="s">
        <v>171</v>
      </c>
      <c r="AO671" s="98" t="s">
        <v>171</v>
      </c>
      <c r="AP671" s="98" t="s">
        <v>171</v>
      </c>
      <c r="AQ671" s="98" t="s">
        <v>171</v>
      </c>
      <c r="AR671" s="102">
        <v>46191.0</v>
      </c>
      <c r="AS671" s="83">
        <v>1178673.0</v>
      </c>
    </row>
    <row r="672" ht="15.75" customHeight="1">
      <c r="A672" s="111" t="s">
        <v>796</v>
      </c>
      <c r="B672" s="83" t="s">
        <v>2087</v>
      </c>
      <c r="C672" s="98" t="s">
        <v>164</v>
      </c>
      <c r="D672" s="112">
        <v>1120389.0</v>
      </c>
      <c r="E672" s="98">
        <v>1176768.0</v>
      </c>
      <c r="F672" s="83"/>
      <c r="G672" s="91" t="str">
        <f>IFERROR(__xludf.DUMMYFUNCTION("XLOOKUP(AS672,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CECILIO MATTOS - SEDE")</f>
        <v>ANEXO - COLÉGIO ESTADUAL CECILIO MATTOS - SEDE</v>
      </c>
      <c r="H672" s="119" t="s">
        <v>3213</v>
      </c>
      <c r="I672" s="108" t="s">
        <v>3214</v>
      </c>
      <c r="J672" s="83" t="s">
        <v>149</v>
      </c>
      <c r="K672" s="83"/>
      <c r="L672" s="98" t="s">
        <v>168</v>
      </c>
      <c r="M672" s="98" t="s">
        <v>169</v>
      </c>
      <c r="N672" s="115" t="s">
        <v>170</v>
      </c>
      <c r="O672" s="98" t="s">
        <v>155</v>
      </c>
      <c r="P672" s="99" t="str">
        <f>IFERROR(__xludf.DUMMYFUNCTION("IFERROR(VLOOKUP(AS672,IMPORTRANGE(""https://docs.google.com/spreadsheets/d/1juPI-Fb8LD0YtltB2mlGEnp_R3UVu1t3wSFPzgCyHXE/edit?gid=0#gid=0"",""GERAL!A2:C""),3,0),""-"")"),"-")</f>
        <v>-</v>
      </c>
      <c r="Q672" s="98" t="s">
        <v>171</v>
      </c>
      <c r="R672" s="98" t="s">
        <v>171</v>
      </c>
      <c r="S672" s="98" t="s">
        <v>171</v>
      </c>
      <c r="T672" s="98" t="s">
        <v>171</v>
      </c>
      <c r="U672" s="98" t="s">
        <v>171</v>
      </c>
      <c r="V672" s="98" t="s">
        <v>171</v>
      </c>
      <c r="W672" s="98" t="s">
        <v>171</v>
      </c>
      <c r="X672" s="98" t="s">
        <v>171</v>
      </c>
      <c r="Y672" s="98" t="s">
        <v>171</v>
      </c>
      <c r="Z672" s="98" t="s">
        <v>171</v>
      </c>
      <c r="AA672" s="98" t="s">
        <v>171</v>
      </c>
      <c r="AB672" s="98" t="s">
        <v>171</v>
      </c>
      <c r="AC672" s="98" t="s">
        <v>171</v>
      </c>
      <c r="AD672" s="98" t="s">
        <v>171</v>
      </c>
      <c r="AE672" s="98" t="s">
        <v>171</v>
      </c>
      <c r="AF672" s="98" t="s">
        <v>171</v>
      </c>
      <c r="AG672" s="98" t="s">
        <v>171</v>
      </c>
      <c r="AH672" s="98" t="s">
        <v>171</v>
      </c>
      <c r="AI672" s="98"/>
      <c r="AJ672" s="98" t="s">
        <v>171</v>
      </c>
      <c r="AK672" s="98" t="s">
        <v>171</v>
      </c>
      <c r="AL672" s="98" t="s">
        <v>171</v>
      </c>
      <c r="AM672" s="98" t="s">
        <v>171</v>
      </c>
      <c r="AN672" s="98" t="s">
        <v>171</v>
      </c>
      <c r="AO672" s="98" t="s">
        <v>171</v>
      </c>
      <c r="AP672" s="98" t="s">
        <v>171</v>
      </c>
      <c r="AQ672" s="98" t="s">
        <v>171</v>
      </c>
      <c r="AR672" s="102">
        <v>46191.0</v>
      </c>
      <c r="AS672" s="98">
        <v>1176768.0</v>
      </c>
    </row>
    <row r="673" ht="15.75" customHeight="1">
      <c r="A673" s="111" t="s">
        <v>796</v>
      </c>
      <c r="B673" s="83" t="s">
        <v>2087</v>
      </c>
      <c r="C673" s="83" t="s">
        <v>164</v>
      </c>
      <c r="D673" s="112">
        <v>1120389.0</v>
      </c>
      <c r="E673" s="83">
        <v>1178170.0</v>
      </c>
      <c r="F673" s="83"/>
      <c r="G673" s="91" t="str">
        <f>IFERROR(__xludf.DUMMYFUNCTION("XLOOKUP(AS673,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CECILIO MATTOS - DISTRITO PROJETO MANDACARU")</f>
        <v>ANEXO - COLÉGIO ESTADUAL CECILIO MATTOS - DISTRITO PROJETO MANDACARU</v>
      </c>
      <c r="H673" s="114" t="s">
        <v>3215</v>
      </c>
      <c r="I673" s="91" t="s">
        <v>3216</v>
      </c>
      <c r="J673" s="83" t="s">
        <v>3118</v>
      </c>
      <c r="K673" s="83" t="s">
        <v>1502</v>
      </c>
      <c r="L673" s="83" t="s">
        <v>168</v>
      </c>
      <c r="M673" s="83" t="s">
        <v>169</v>
      </c>
      <c r="N673" s="115" t="s">
        <v>170</v>
      </c>
      <c r="O673" s="98" t="s">
        <v>155</v>
      </c>
      <c r="P673" s="99" t="str">
        <f>IFERROR(__xludf.DUMMYFUNCTION("IFERROR(VLOOKUP(AS673,IMPORTRANGE(""https://docs.google.com/spreadsheets/d/1juPI-Fb8LD0YtltB2mlGEnp_R3UVu1t3wSFPzgCyHXE/edit?gid=0#gid=0"",""GERAL!A2:C""),3,0),""-"")"),"CAMPO")</f>
        <v>CAMPO</v>
      </c>
      <c r="Q673" s="98" t="s">
        <v>171</v>
      </c>
      <c r="R673" s="98">
        <v>3.0</v>
      </c>
      <c r="S673" s="98" t="s">
        <v>171</v>
      </c>
      <c r="T673" s="98" t="s">
        <v>171</v>
      </c>
      <c r="U673" s="98" t="s">
        <v>171</v>
      </c>
      <c r="V673" s="98" t="s">
        <v>171</v>
      </c>
      <c r="W673" s="98" t="s">
        <v>171</v>
      </c>
      <c r="X673" s="98" t="s">
        <v>171</v>
      </c>
      <c r="Y673" s="98" t="s">
        <v>171</v>
      </c>
      <c r="Z673" s="98" t="s">
        <v>171</v>
      </c>
      <c r="AA673" s="98" t="s">
        <v>171</v>
      </c>
      <c r="AB673" s="98" t="s">
        <v>171</v>
      </c>
      <c r="AC673" s="98" t="s">
        <v>171</v>
      </c>
      <c r="AD673" s="98" t="s">
        <v>171</v>
      </c>
      <c r="AE673" s="98" t="s">
        <v>171</v>
      </c>
      <c r="AF673" s="98" t="s">
        <v>171</v>
      </c>
      <c r="AG673" s="98" t="s">
        <v>171</v>
      </c>
      <c r="AH673" s="98" t="s">
        <v>171</v>
      </c>
      <c r="AI673" s="98" t="s">
        <v>171</v>
      </c>
      <c r="AJ673" s="98" t="s">
        <v>171</v>
      </c>
      <c r="AK673" s="98" t="s">
        <v>171</v>
      </c>
      <c r="AL673" s="98" t="s">
        <v>171</v>
      </c>
      <c r="AM673" s="98" t="s">
        <v>171</v>
      </c>
      <c r="AN673" s="98" t="s">
        <v>171</v>
      </c>
      <c r="AO673" s="98" t="s">
        <v>171</v>
      </c>
      <c r="AP673" s="98" t="s">
        <v>171</v>
      </c>
      <c r="AQ673" s="98" t="s">
        <v>171</v>
      </c>
      <c r="AR673" s="102">
        <v>46191.0</v>
      </c>
      <c r="AS673" s="83">
        <v>1178170.0</v>
      </c>
    </row>
    <row r="674" ht="15.75" customHeight="1">
      <c r="A674" s="111" t="s">
        <v>796</v>
      </c>
      <c r="B674" s="83" t="s">
        <v>2087</v>
      </c>
      <c r="C674" s="83" t="s">
        <v>164</v>
      </c>
      <c r="D674" s="112">
        <v>1120389.0</v>
      </c>
      <c r="E674" s="83">
        <v>1178666.0</v>
      </c>
      <c r="F674" s="83"/>
      <c r="G674" s="91" t="str">
        <f>IFERROR(__xludf.DUMMYFUNCTION("XLOOKUP(AS674,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CECILIO MATTOS - COOPERATIVA AGRICOLA - CAJ")</f>
        <v>ANEXO - COLÉGIO ESTADUAL CECILIO MATTOS - COOPERATIVA AGRICOLA - CAJ</v>
      </c>
      <c r="H674" s="114" t="s">
        <v>3217</v>
      </c>
      <c r="I674" s="91" t="s">
        <v>3218</v>
      </c>
      <c r="J674" s="83" t="s">
        <v>3118</v>
      </c>
      <c r="K674" s="83" t="s">
        <v>3219</v>
      </c>
      <c r="L674" s="83" t="s">
        <v>168</v>
      </c>
      <c r="M674" s="83" t="s">
        <v>169</v>
      </c>
      <c r="N674" s="115" t="s">
        <v>170</v>
      </c>
      <c r="O674" s="98" t="s">
        <v>155</v>
      </c>
      <c r="P674" s="99" t="str">
        <f>IFERROR(__xludf.DUMMYFUNCTION("IFERROR(VLOOKUP(AS674,IMPORTRANGE(""https://docs.google.com/spreadsheets/d/1juPI-Fb8LD0YtltB2mlGEnp_R3UVu1t3wSFPzgCyHXE/edit?gid=0#gid=0"",""GERAL!A2:C""),3,0),""-"")"),"CAMPO")</f>
        <v>CAMPO</v>
      </c>
      <c r="Q674" s="98" t="s">
        <v>171</v>
      </c>
      <c r="R674" s="98">
        <v>3.0</v>
      </c>
      <c r="S674" s="98" t="s">
        <v>171</v>
      </c>
      <c r="T674" s="98" t="s">
        <v>171</v>
      </c>
      <c r="U674" s="98" t="s">
        <v>171</v>
      </c>
      <c r="V674" s="98" t="s">
        <v>171</v>
      </c>
      <c r="W674" s="98" t="s">
        <v>171</v>
      </c>
      <c r="X674" s="98" t="s">
        <v>171</v>
      </c>
      <c r="Y674" s="98" t="s">
        <v>171</v>
      </c>
      <c r="Z674" s="98" t="s">
        <v>171</v>
      </c>
      <c r="AA674" s="98" t="s">
        <v>171</v>
      </c>
      <c r="AB674" s="98" t="s">
        <v>171</v>
      </c>
      <c r="AC674" s="98" t="s">
        <v>171</v>
      </c>
      <c r="AD674" s="98" t="s">
        <v>171</v>
      </c>
      <c r="AE674" s="98" t="s">
        <v>171</v>
      </c>
      <c r="AF674" s="98" t="s">
        <v>171</v>
      </c>
      <c r="AG674" s="98" t="s">
        <v>171</v>
      </c>
      <c r="AH674" s="98" t="s">
        <v>171</v>
      </c>
      <c r="AI674" s="98" t="s">
        <v>171</v>
      </c>
      <c r="AJ674" s="98" t="s">
        <v>171</v>
      </c>
      <c r="AK674" s="98" t="s">
        <v>171</v>
      </c>
      <c r="AL674" s="98" t="s">
        <v>171</v>
      </c>
      <c r="AM674" s="98" t="s">
        <v>171</v>
      </c>
      <c r="AN674" s="98" t="s">
        <v>171</v>
      </c>
      <c r="AO674" s="98" t="s">
        <v>171</v>
      </c>
      <c r="AP674" s="98" t="s">
        <v>171</v>
      </c>
      <c r="AQ674" s="98" t="s">
        <v>171</v>
      </c>
      <c r="AR674" s="102">
        <v>46191.0</v>
      </c>
      <c r="AS674" s="83">
        <v>1178666.0</v>
      </c>
    </row>
    <row r="675" ht="15.75" customHeight="1">
      <c r="A675" s="111" t="s">
        <v>796</v>
      </c>
      <c r="B675" s="83" t="s">
        <v>2087</v>
      </c>
      <c r="C675" s="83" t="s">
        <v>164</v>
      </c>
      <c r="D675" s="112">
        <v>1120389.0</v>
      </c>
      <c r="E675" s="83">
        <v>1178668.0</v>
      </c>
      <c r="F675" s="83"/>
      <c r="G675" s="91" t="str">
        <f>IFERROR(__xludf.DUMMYFUNCTION("XLOOKUP(AS675,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CECILIO MATTOS - BAIRRO DE ITABERABA")</f>
        <v>ANEXO - COLÉGIO ESTADUAL CECILIO MATTOS - BAIRRO DE ITABERABA</v>
      </c>
      <c r="H675" s="114" t="s">
        <v>3220</v>
      </c>
      <c r="I675" s="91" t="s">
        <v>3221</v>
      </c>
      <c r="J675" s="136" t="s">
        <v>3222</v>
      </c>
      <c r="K675" s="83" t="s">
        <v>3223</v>
      </c>
      <c r="L675" s="83" t="s">
        <v>168</v>
      </c>
      <c r="M675" s="83" t="s">
        <v>169</v>
      </c>
      <c r="N675" s="115" t="s">
        <v>170</v>
      </c>
      <c r="O675" s="98" t="s">
        <v>155</v>
      </c>
      <c r="P675" s="99" t="str">
        <f>IFERROR(__xludf.DUMMYFUNCTION("IFERROR(VLOOKUP(AS675,IMPORTRANGE(""https://docs.google.com/spreadsheets/d/1juPI-Fb8LD0YtltB2mlGEnp_R3UVu1t3wSFPzgCyHXE/edit?gid=0#gid=0"",""GERAL!A2:C""),3,0),""-"")"),"CAMPO")</f>
        <v>CAMPO</v>
      </c>
      <c r="Q675" s="98" t="s">
        <v>171</v>
      </c>
      <c r="R675" s="98">
        <v>3.0</v>
      </c>
      <c r="S675" s="98" t="s">
        <v>171</v>
      </c>
      <c r="T675" s="98" t="s">
        <v>171</v>
      </c>
      <c r="U675" s="98" t="s">
        <v>171</v>
      </c>
      <c r="V675" s="98" t="s">
        <v>171</v>
      </c>
      <c r="W675" s="98" t="s">
        <v>171</v>
      </c>
      <c r="X675" s="98" t="s">
        <v>171</v>
      </c>
      <c r="Y675" s="98" t="s">
        <v>171</v>
      </c>
      <c r="Z675" s="98" t="s">
        <v>171</v>
      </c>
      <c r="AA675" s="98" t="s">
        <v>171</v>
      </c>
      <c r="AB675" s="98" t="s">
        <v>171</v>
      </c>
      <c r="AC675" s="98" t="s">
        <v>171</v>
      </c>
      <c r="AD675" s="98" t="s">
        <v>171</v>
      </c>
      <c r="AE675" s="98" t="s">
        <v>171</v>
      </c>
      <c r="AF675" s="98" t="s">
        <v>171</v>
      </c>
      <c r="AG675" s="98" t="s">
        <v>171</v>
      </c>
      <c r="AH675" s="98" t="s">
        <v>171</v>
      </c>
      <c r="AI675" s="98" t="s">
        <v>171</v>
      </c>
      <c r="AJ675" s="98" t="s">
        <v>171</v>
      </c>
      <c r="AK675" s="98" t="s">
        <v>171</v>
      </c>
      <c r="AL675" s="98" t="s">
        <v>171</v>
      </c>
      <c r="AM675" s="98" t="s">
        <v>171</v>
      </c>
      <c r="AN675" s="98" t="s">
        <v>171</v>
      </c>
      <c r="AO675" s="98" t="s">
        <v>171</v>
      </c>
      <c r="AP675" s="98" t="s">
        <v>171</v>
      </c>
      <c r="AQ675" s="98" t="s">
        <v>171</v>
      </c>
      <c r="AR675" s="102">
        <v>46191.0</v>
      </c>
      <c r="AS675" s="83">
        <v>1178668.0</v>
      </c>
    </row>
    <row r="676" ht="15.75" customHeight="1">
      <c r="A676" s="111" t="s">
        <v>796</v>
      </c>
      <c r="B676" s="83" t="s">
        <v>2087</v>
      </c>
      <c r="C676" s="83" t="s">
        <v>164</v>
      </c>
      <c r="D676" s="112">
        <v>1176930.0</v>
      </c>
      <c r="E676" s="83">
        <v>1178242.0</v>
      </c>
      <c r="F676" s="83"/>
      <c r="G676" s="91" t="str">
        <f>IFERROR(__xludf.DUMMYFUNCTION("XLOOKUP(AS676,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ARTUR OLIVEIRA DA SILVA - DISTRITO GOIABEIRA II")</f>
        <v>ANEXO - COLÉGIO ESTADUAL ARTUR OLIVEIRA DA SILVA - DISTRITO GOIABEIRA II</v>
      </c>
      <c r="H676" s="114" t="s">
        <v>3224</v>
      </c>
      <c r="I676" s="91" t="s">
        <v>3225</v>
      </c>
      <c r="J676" s="136" t="s">
        <v>3226</v>
      </c>
      <c r="K676" s="83" t="s">
        <v>3227</v>
      </c>
      <c r="L676" s="83" t="s">
        <v>168</v>
      </c>
      <c r="M676" s="83" t="s">
        <v>169</v>
      </c>
      <c r="N676" s="115" t="s">
        <v>170</v>
      </c>
      <c r="O676" s="98" t="s">
        <v>155</v>
      </c>
      <c r="P676" s="99" t="str">
        <f>IFERROR(__xludf.DUMMYFUNCTION("IFERROR(VLOOKUP(AS676,IMPORTRANGE(""https://docs.google.com/spreadsheets/d/1juPI-Fb8LD0YtltB2mlGEnp_R3UVu1t3wSFPzgCyHXE/edit?gid=0#gid=0"",""GERAL!A2:C""),3,0),""-"")"),"CAMPO")</f>
        <v>CAMPO</v>
      </c>
      <c r="Q676" s="98" t="s">
        <v>171</v>
      </c>
      <c r="R676" s="98">
        <v>4.0</v>
      </c>
      <c r="S676" s="98" t="s">
        <v>171</v>
      </c>
      <c r="T676" s="98" t="s">
        <v>171</v>
      </c>
      <c r="U676" s="98" t="s">
        <v>171</v>
      </c>
      <c r="V676" s="98" t="s">
        <v>171</v>
      </c>
      <c r="W676" s="98" t="s">
        <v>171</v>
      </c>
      <c r="X676" s="98" t="s">
        <v>171</v>
      </c>
      <c r="Y676" s="98" t="s">
        <v>171</v>
      </c>
      <c r="Z676" s="98" t="s">
        <v>171</v>
      </c>
      <c r="AA676" s="98" t="s">
        <v>171</v>
      </c>
      <c r="AB676" s="98" t="s">
        <v>171</v>
      </c>
      <c r="AC676" s="98" t="s">
        <v>171</v>
      </c>
      <c r="AD676" s="98" t="s">
        <v>171</v>
      </c>
      <c r="AE676" s="98" t="s">
        <v>171</v>
      </c>
      <c r="AF676" s="98" t="s">
        <v>171</v>
      </c>
      <c r="AG676" s="98" t="s">
        <v>171</v>
      </c>
      <c r="AH676" s="98" t="s">
        <v>171</v>
      </c>
      <c r="AI676" s="98" t="s">
        <v>171</v>
      </c>
      <c r="AJ676" s="98" t="s">
        <v>171</v>
      </c>
      <c r="AK676" s="98" t="s">
        <v>171</v>
      </c>
      <c r="AL676" s="98" t="s">
        <v>171</v>
      </c>
      <c r="AM676" s="98" t="s">
        <v>171</v>
      </c>
      <c r="AN676" s="98" t="s">
        <v>171</v>
      </c>
      <c r="AO676" s="98" t="s">
        <v>171</v>
      </c>
      <c r="AP676" s="98" t="s">
        <v>171</v>
      </c>
      <c r="AQ676" s="98" t="s">
        <v>171</v>
      </c>
      <c r="AR676" s="102">
        <v>46191.0</v>
      </c>
      <c r="AS676" s="83">
        <v>1178242.0</v>
      </c>
    </row>
    <row r="677" ht="15.75" customHeight="1">
      <c r="A677" s="111" t="s">
        <v>796</v>
      </c>
      <c r="B677" s="83" t="s">
        <v>2087</v>
      </c>
      <c r="C677" s="83" t="s">
        <v>164</v>
      </c>
      <c r="D677" s="112">
        <v>1120338.0</v>
      </c>
      <c r="E677" s="83">
        <v>1178231.0</v>
      </c>
      <c r="F677" s="83"/>
      <c r="G677" s="91" t="str">
        <f>IFERROR(__xludf.DUMMYFUNCTION("XLOOKUP(AS677,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ANTONILIO DA FRANCA CARDOSO - DISTRITO NH3")</f>
        <v>ANEXO - COLÉGIO ESTADUAL ANTONILIO DA FRANCA CARDOSO - DISTRITO NH3</v>
      </c>
      <c r="H677" s="114" t="s">
        <v>3229</v>
      </c>
      <c r="I677" s="91" t="s">
        <v>3230</v>
      </c>
      <c r="J677" s="136" t="s">
        <v>3231</v>
      </c>
      <c r="K677" s="83" t="s">
        <v>3232</v>
      </c>
      <c r="L677" s="98" t="s">
        <v>151</v>
      </c>
      <c r="M677" s="83" t="s">
        <v>169</v>
      </c>
      <c r="N677" s="115" t="s">
        <v>170</v>
      </c>
      <c r="O677" s="98" t="s">
        <v>155</v>
      </c>
      <c r="P677" s="99" t="str">
        <f>IFERROR(__xludf.DUMMYFUNCTION("IFERROR(VLOOKUP(AS677,IMPORTRANGE(""https://docs.google.com/spreadsheets/d/1juPI-Fb8LD0YtltB2mlGEnp_R3UVu1t3wSFPzgCyHXE/edit?gid=0#gid=0"",""GERAL!A2:C""),3,0),""-"")"),"CAMPO")</f>
        <v>CAMPO</v>
      </c>
      <c r="Q677" s="98" t="s">
        <v>171</v>
      </c>
      <c r="R677" s="98">
        <v>4.0</v>
      </c>
      <c r="S677" s="98" t="s">
        <v>171</v>
      </c>
      <c r="T677" s="98" t="s">
        <v>171</v>
      </c>
      <c r="U677" s="98" t="s">
        <v>171</v>
      </c>
      <c r="V677" s="98" t="s">
        <v>171</v>
      </c>
      <c r="W677" s="98" t="s">
        <v>171</v>
      </c>
      <c r="X677" s="98" t="s">
        <v>171</v>
      </c>
      <c r="Y677" s="98" t="s">
        <v>171</v>
      </c>
      <c r="Z677" s="98" t="s">
        <v>171</v>
      </c>
      <c r="AA677" s="98" t="s">
        <v>171</v>
      </c>
      <c r="AB677" s="98" t="s">
        <v>171</v>
      </c>
      <c r="AC677" s="98" t="s">
        <v>171</v>
      </c>
      <c r="AD677" s="98" t="s">
        <v>171</v>
      </c>
      <c r="AE677" s="98" t="s">
        <v>171</v>
      </c>
      <c r="AF677" s="98" t="s">
        <v>171</v>
      </c>
      <c r="AG677" s="98" t="s">
        <v>171</v>
      </c>
      <c r="AH677" s="98" t="s">
        <v>171</v>
      </c>
      <c r="AI677" s="98" t="s">
        <v>171</v>
      </c>
      <c r="AJ677" s="98" t="s">
        <v>171</v>
      </c>
      <c r="AK677" s="98" t="s">
        <v>171</v>
      </c>
      <c r="AL677" s="98" t="s">
        <v>171</v>
      </c>
      <c r="AM677" s="98" t="s">
        <v>171</v>
      </c>
      <c r="AN677" s="98" t="s">
        <v>171</v>
      </c>
      <c r="AO677" s="98" t="s">
        <v>171</v>
      </c>
      <c r="AP677" s="98" t="s">
        <v>171</v>
      </c>
      <c r="AQ677" s="98" t="s">
        <v>171</v>
      </c>
      <c r="AR677" s="102">
        <v>46191.0</v>
      </c>
      <c r="AS677" s="83">
        <v>1178231.0</v>
      </c>
    </row>
    <row r="678" ht="15.75" customHeight="1">
      <c r="A678" s="111" t="s">
        <v>796</v>
      </c>
      <c r="B678" s="83" t="s">
        <v>2087</v>
      </c>
      <c r="C678" s="83" t="s">
        <v>164</v>
      </c>
      <c r="D678" s="112">
        <v>1120338.0</v>
      </c>
      <c r="E678" s="83">
        <v>1178243.0</v>
      </c>
      <c r="F678" s="83"/>
      <c r="G678" s="91" t="str">
        <f>IFERROR(__xludf.DUMMYFUNCTION("XLOOKUP(AS678,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ANTONILIO DA FRANCA CARDOSO - DISTRITO NH2 - PROJETO ITAMOTINGA")</f>
        <v>ANEXO - COLÉGIO ESTADUAL ANTONILIO DA FRANCA CARDOSO - DISTRITO NH2 - PROJETO ITAMOTINGA</v>
      </c>
      <c r="H678" s="114" t="s">
        <v>3233</v>
      </c>
      <c r="I678" s="91" t="s">
        <v>3234</v>
      </c>
      <c r="J678" s="136" t="s">
        <v>3235</v>
      </c>
      <c r="K678" s="83" t="s">
        <v>1946</v>
      </c>
      <c r="L678" s="98" t="s">
        <v>151</v>
      </c>
      <c r="M678" s="83" t="s">
        <v>169</v>
      </c>
      <c r="N678" s="115" t="s">
        <v>170</v>
      </c>
      <c r="O678" s="98" t="s">
        <v>155</v>
      </c>
      <c r="P678" s="99" t="str">
        <f>IFERROR(__xludf.DUMMYFUNCTION("IFERROR(VLOOKUP(AS678,IMPORTRANGE(""https://docs.google.com/spreadsheets/d/1juPI-Fb8LD0YtltB2mlGEnp_R3UVu1t3wSFPzgCyHXE/edit?gid=0#gid=0"",""GERAL!A2:C""),3,0),""-"")"),"CAMPO")</f>
        <v>CAMPO</v>
      </c>
      <c r="Q678" s="98" t="s">
        <v>171</v>
      </c>
      <c r="R678" s="98">
        <v>3.0</v>
      </c>
      <c r="S678" s="98" t="s">
        <v>171</v>
      </c>
      <c r="T678" s="98" t="s">
        <v>171</v>
      </c>
      <c r="U678" s="98" t="s">
        <v>171</v>
      </c>
      <c r="V678" s="98" t="s">
        <v>171</v>
      </c>
      <c r="W678" s="98" t="s">
        <v>171</v>
      </c>
      <c r="X678" s="98" t="s">
        <v>171</v>
      </c>
      <c r="Y678" s="98" t="s">
        <v>171</v>
      </c>
      <c r="Z678" s="98" t="s">
        <v>171</v>
      </c>
      <c r="AA678" s="98" t="s">
        <v>171</v>
      </c>
      <c r="AB678" s="98" t="s">
        <v>171</v>
      </c>
      <c r="AC678" s="98" t="s">
        <v>171</v>
      </c>
      <c r="AD678" s="98" t="s">
        <v>171</v>
      </c>
      <c r="AE678" s="98" t="s">
        <v>171</v>
      </c>
      <c r="AF678" s="98" t="s">
        <v>171</v>
      </c>
      <c r="AG678" s="98" t="s">
        <v>171</v>
      </c>
      <c r="AH678" s="98" t="s">
        <v>171</v>
      </c>
      <c r="AI678" s="98" t="s">
        <v>171</v>
      </c>
      <c r="AJ678" s="98" t="s">
        <v>171</v>
      </c>
      <c r="AK678" s="98" t="s">
        <v>171</v>
      </c>
      <c r="AL678" s="98" t="s">
        <v>171</v>
      </c>
      <c r="AM678" s="98" t="s">
        <v>171</v>
      </c>
      <c r="AN678" s="98" t="s">
        <v>171</v>
      </c>
      <c r="AO678" s="98" t="s">
        <v>171</v>
      </c>
      <c r="AP678" s="98" t="s">
        <v>171</v>
      </c>
      <c r="AQ678" s="98" t="s">
        <v>171</v>
      </c>
      <c r="AR678" s="102">
        <v>46191.0</v>
      </c>
      <c r="AS678" s="83">
        <v>1178243.0</v>
      </c>
    </row>
    <row r="679" ht="15.75" customHeight="1">
      <c r="A679" s="111" t="s">
        <v>796</v>
      </c>
      <c r="B679" s="83" t="s">
        <v>2087</v>
      </c>
      <c r="C679" s="83" t="s">
        <v>164</v>
      </c>
      <c r="D679" s="112">
        <v>1161034.0</v>
      </c>
      <c r="E679" s="83">
        <v>1178171.0</v>
      </c>
      <c r="F679" s="83"/>
      <c r="G679" s="91" t="str">
        <f>IFERROR(__xludf.DUMMYFUNCTION("XLOOKUP(AS679,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DEMOCRATICO ESTADUAL PROFESSORA FLORENTINA ALVES DOS SANTOS - DISTRITO DE CARNAIBA")</f>
        <v>ANEXO - COLÉGIO DEMOCRATICO ESTADUAL PROFESSORA FLORENTINA ALVES DOS SANTOS - DISTRITO DE CARNAIBA</v>
      </c>
      <c r="H679" s="114" t="s">
        <v>3236</v>
      </c>
      <c r="I679" s="91" t="s">
        <v>3237</v>
      </c>
      <c r="J679" s="136" t="s">
        <v>149</v>
      </c>
      <c r="K679" s="83" t="s">
        <v>315</v>
      </c>
      <c r="L679" s="83" t="s">
        <v>168</v>
      </c>
      <c r="M679" s="83" t="s">
        <v>169</v>
      </c>
      <c r="N679" s="115" t="s">
        <v>170</v>
      </c>
      <c r="O679" s="98" t="s">
        <v>155</v>
      </c>
      <c r="P679" s="99" t="str">
        <f>IFERROR(__xludf.DUMMYFUNCTION("IFERROR(VLOOKUP(AS679,IMPORTRANGE(""https://docs.google.com/spreadsheets/d/1juPI-Fb8LD0YtltB2mlGEnp_R3UVu1t3wSFPzgCyHXE/edit?gid=0#gid=0"",""GERAL!A2:C""),3,0),""-"")"),"CAMPO")</f>
        <v>CAMPO</v>
      </c>
      <c r="Q679" s="98" t="s">
        <v>171</v>
      </c>
      <c r="R679" s="98">
        <v>3.0</v>
      </c>
      <c r="S679" s="98" t="s">
        <v>171</v>
      </c>
      <c r="T679" s="98" t="s">
        <v>171</v>
      </c>
      <c r="U679" s="98" t="s">
        <v>171</v>
      </c>
      <c r="V679" s="98" t="s">
        <v>171</v>
      </c>
      <c r="W679" s="98" t="s">
        <v>171</v>
      </c>
      <c r="X679" s="98" t="s">
        <v>171</v>
      </c>
      <c r="Y679" s="98" t="s">
        <v>171</v>
      </c>
      <c r="Z679" s="98" t="s">
        <v>171</v>
      </c>
      <c r="AA679" s="98" t="s">
        <v>171</v>
      </c>
      <c r="AB679" s="98" t="s">
        <v>171</v>
      </c>
      <c r="AC679" s="98" t="s">
        <v>171</v>
      </c>
      <c r="AD679" s="98" t="s">
        <v>171</v>
      </c>
      <c r="AE679" s="98" t="s">
        <v>171</v>
      </c>
      <c r="AF679" s="98" t="s">
        <v>171</v>
      </c>
      <c r="AG679" s="98" t="s">
        <v>171</v>
      </c>
      <c r="AH679" s="98" t="s">
        <v>171</v>
      </c>
      <c r="AI679" s="98" t="s">
        <v>171</v>
      </c>
      <c r="AJ679" s="98" t="s">
        <v>171</v>
      </c>
      <c r="AK679" s="98" t="s">
        <v>171</v>
      </c>
      <c r="AL679" s="98" t="s">
        <v>171</v>
      </c>
      <c r="AM679" s="98" t="s">
        <v>171</v>
      </c>
      <c r="AN679" s="98" t="s">
        <v>171</v>
      </c>
      <c r="AO679" s="98" t="s">
        <v>171</v>
      </c>
      <c r="AP679" s="98" t="s">
        <v>171</v>
      </c>
      <c r="AQ679" s="98" t="s">
        <v>171</v>
      </c>
      <c r="AR679" s="102">
        <v>46191.0</v>
      </c>
      <c r="AS679" s="83">
        <v>1178171.0</v>
      </c>
    </row>
    <row r="680" ht="15.75" customHeight="1">
      <c r="A680" s="111" t="s">
        <v>796</v>
      </c>
      <c r="B680" s="83" t="s">
        <v>3238</v>
      </c>
      <c r="C680" s="83" t="s">
        <v>68</v>
      </c>
      <c r="D680" s="112">
        <v>1121520.0</v>
      </c>
      <c r="E680" s="83"/>
      <c r="F680" s="83">
        <v>2.9029732E7</v>
      </c>
      <c r="G680" s="91" t="str">
        <f>IFERROR(__xludf.DUMMYFUNCTION("XLOOKUP(AS680,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SOFIA MASCARENHAS ")</f>
        <v>COLÉGIO ESTADUAL DE TEMPO INTEGRAL SOFIA MASCARENHAS </v>
      </c>
      <c r="H680" s="184" t="s">
        <v>3239</v>
      </c>
      <c r="I680" s="91" t="s">
        <v>3241</v>
      </c>
      <c r="J680" s="83" t="s">
        <v>149</v>
      </c>
      <c r="K680" s="83" t="s">
        <v>150</v>
      </c>
      <c r="L680" s="83" t="s">
        <v>151</v>
      </c>
      <c r="M680" s="83" t="s">
        <v>230</v>
      </c>
      <c r="N680" s="98" t="s">
        <v>3243</v>
      </c>
      <c r="O680" s="98" t="s">
        <v>162</v>
      </c>
      <c r="P680" s="99" t="str">
        <f>IFERROR(__xludf.DUMMYFUNCTION("IFERROR(VLOOKUP(AS680,IMPORTRANGE(""https://docs.google.com/spreadsheets/d/1juPI-Fb8LD0YtltB2mlGEnp_R3UVu1t3wSFPzgCyHXE/edit?gid=0#gid=0"",""GERAL!A2:C""),3,0),""-"")"),"-")</f>
        <v>-</v>
      </c>
      <c r="Q680" s="101" t="s">
        <v>156</v>
      </c>
      <c r="R680" s="98">
        <v>12.0</v>
      </c>
      <c r="S680" s="98">
        <v>0.0</v>
      </c>
      <c r="T680" s="98">
        <v>2.0</v>
      </c>
      <c r="U680" s="98">
        <v>0.0</v>
      </c>
      <c r="V680" s="98">
        <v>1.0</v>
      </c>
      <c r="W680" s="98">
        <v>3.0</v>
      </c>
      <c r="X680" s="98">
        <v>1.0</v>
      </c>
      <c r="Y680" s="98">
        <v>0.0</v>
      </c>
      <c r="Z680" s="98">
        <v>1.0</v>
      </c>
      <c r="AA680" s="98">
        <v>0.0</v>
      </c>
      <c r="AB680" s="98">
        <v>1.0</v>
      </c>
      <c r="AC680" s="98">
        <v>0.0</v>
      </c>
      <c r="AD680" s="98">
        <v>0.0</v>
      </c>
      <c r="AE680" s="98">
        <v>0.0</v>
      </c>
      <c r="AF680" s="98">
        <v>1.0</v>
      </c>
      <c r="AG680" s="98">
        <v>0.0</v>
      </c>
      <c r="AH680" s="98">
        <v>0.0</v>
      </c>
      <c r="AI680" s="98">
        <v>0.0</v>
      </c>
      <c r="AJ680" s="98">
        <v>0.0</v>
      </c>
      <c r="AK680" s="98">
        <v>1.0</v>
      </c>
      <c r="AL680" s="98">
        <v>0.0</v>
      </c>
      <c r="AM680" s="98">
        <v>0.0</v>
      </c>
      <c r="AN680" s="98">
        <v>0.0</v>
      </c>
      <c r="AO680" s="98">
        <v>0.0</v>
      </c>
      <c r="AP680" s="98">
        <v>0.0</v>
      </c>
      <c r="AQ680" s="98" t="s">
        <v>3244</v>
      </c>
      <c r="AR680" s="102">
        <v>46240.0</v>
      </c>
      <c r="AS680" s="83">
        <v>1121520.0</v>
      </c>
    </row>
    <row r="681" ht="15.75" customHeight="1">
      <c r="A681" s="111" t="s">
        <v>796</v>
      </c>
      <c r="B681" s="83" t="s">
        <v>3238</v>
      </c>
      <c r="C681" s="83" t="s">
        <v>164</v>
      </c>
      <c r="D681" s="112">
        <v>1121520.0</v>
      </c>
      <c r="E681" s="83">
        <v>1179364.0</v>
      </c>
      <c r="F681" s="83"/>
      <c r="G681" s="91" t="str">
        <f>IFERROR(__xludf.DUMMYFUNCTION("XLOOKUP(AS681,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VILA SALDANHA MARINHO")</f>
        <v>ANEXO - COLÉGIO ESTADUAL DE TEMPO INTEGRAL SOFIA MASCARENHAS - POVOADO VILA SALDANHA MARINHO</v>
      </c>
      <c r="H681" s="184" t="s">
        <v>3245</v>
      </c>
      <c r="I681" s="91" t="s">
        <v>3246</v>
      </c>
      <c r="J681" s="83" t="s">
        <v>149</v>
      </c>
      <c r="K681" s="83" t="s">
        <v>3247</v>
      </c>
      <c r="L681" s="83" t="s">
        <v>168</v>
      </c>
      <c r="M681" s="83" t="s">
        <v>169</v>
      </c>
      <c r="N681" s="115" t="s">
        <v>170</v>
      </c>
      <c r="O681" s="98" t="s">
        <v>155</v>
      </c>
      <c r="P681" s="99" t="str">
        <f>IFERROR(__xludf.DUMMYFUNCTION("IFERROR(VLOOKUP(AS681,IMPORTRANGE(""https://docs.google.com/spreadsheets/d/1juPI-Fb8LD0YtltB2mlGEnp_R3UVu1t3wSFPzgCyHXE/edit?gid=0#gid=0"",""GERAL!A2:C""),3,0),""-"")"),"CAMPO")</f>
        <v>CAMPO</v>
      </c>
      <c r="Q681" s="98" t="s">
        <v>171</v>
      </c>
      <c r="R681" s="98">
        <v>3.0</v>
      </c>
      <c r="S681" s="98" t="s">
        <v>171</v>
      </c>
      <c r="T681" s="98" t="s">
        <v>171</v>
      </c>
      <c r="U681" s="98" t="s">
        <v>171</v>
      </c>
      <c r="V681" s="98" t="s">
        <v>171</v>
      </c>
      <c r="W681" s="98" t="s">
        <v>171</v>
      </c>
      <c r="X681" s="98" t="s">
        <v>171</v>
      </c>
      <c r="Y681" s="98" t="s">
        <v>171</v>
      </c>
      <c r="Z681" s="98" t="s">
        <v>171</v>
      </c>
      <c r="AA681" s="98" t="s">
        <v>171</v>
      </c>
      <c r="AB681" s="98" t="s">
        <v>171</v>
      </c>
      <c r="AC681" s="98" t="s">
        <v>171</v>
      </c>
      <c r="AD681" s="98" t="s">
        <v>171</v>
      </c>
      <c r="AE681" s="98" t="s">
        <v>171</v>
      </c>
      <c r="AF681" s="98" t="s">
        <v>171</v>
      </c>
      <c r="AG681" s="98" t="s">
        <v>171</v>
      </c>
      <c r="AH681" s="98" t="s">
        <v>171</v>
      </c>
      <c r="AI681" s="98" t="s">
        <v>171</v>
      </c>
      <c r="AJ681" s="98" t="s">
        <v>171</v>
      </c>
      <c r="AK681" s="98" t="s">
        <v>171</v>
      </c>
      <c r="AL681" s="98" t="s">
        <v>171</v>
      </c>
      <c r="AM681" s="98" t="s">
        <v>171</v>
      </c>
      <c r="AN681" s="98" t="s">
        <v>171</v>
      </c>
      <c r="AO681" s="98" t="s">
        <v>171</v>
      </c>
      <c r="AP681" s="98" t="s">
        <v>171</v>
      </c>
      <c r="AQ681" s="98" t="s">
        <v>171</v>
      </c>
      <c r="AR681" s="102">
        <v>46240.0</v>
      </c>
      <c r="AS681" s="83">
        <v>1179364.0</v>
      </c>
    </row>
    <row r="682" ht="15.75" customHeight="1">
      <c r="A682" s="111" t="s">
        <v>796</v>
      </c>
      <c r="B682" s="83" t="s">
        <v>3238</v>
      </c>
      <c r="C682" s="83" t="s">
        <v>164</v>
      </c>
      <c r="D682" s="112">
        <v>1121520.0</v>
      </c>
      <c r="E682" s="83">
        <v>1179087.0</v>
      </c>
      <c r="F682" s="83"/>
      <c r="G682" s="91" t="str">
        <f>IFERROR(__xludf.DUMMYFUNCTION("XLOOKUP(AS682,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LAGOA DO PADRE")</f>
        <v>ANEXO - COLÉGIO ESTADUAL DE TEMPO INTEGRAL SOFIA MASCARENHAS - POVOADO LAGOA DO PADRE</v>
      </c>
      <c r="H682" s="184" t="s">
        <v>3250</v>
      </c>
      <c r="I682" s="91" t="s">
        <v>3251</v>
      </c>
      <c r="J682" s="83" t="s">
        <v>149</v>
      </c>
      <c r="K682" s="83" t="s">
        <v>183</v>
      </c>
      <c r="L682" s="83" t="s">
        <v>168</v>
      </c>
      <c r="M682" s="83" t="s">
        <v>169</v>
      </c>
      <c r="N682" s="115" t="s">
        <v>170</v>
      </c>
      <c r="O682" s="98" t="s">
        <v>155</v>
      </c>
      <c r="P682" s="99" t="str">
        <f>IFERROR(__xludf.DUMMYFUNCTION("IFERROR(VLOOKUP(AS682,IMPORTRANGE(""https://docs.google.com/spreadsheets/d/1juPI-Fb8LD0YtltB2mlGEnp_R3UVu1t3wSFPzgCyHXE/edit?gid=0#gid=0"",""GERAL!A2:C""),3,0),""-"")"),"CAMPO")</f>
        <v>CAMPO</v>
      </c>
      <c r="Q682" s="98" t="s">
        <v>171</v>
      </c>
      <c r="R682" s="98">
        <v>4.0</v>
      </c>
      <c r="S682" s="98" t="s">
        <v>171</v>
      </c>
      <c r="T682" s="98" t="s">
        <v>171</v>
      </c>
      <c r="U682" s="98" t="s">
        <v>171</v>
      </c>
      <c r="V682" s="98" t="s">
        <v>171</v>
      </c>
      <c r="W682" s="98" t="s">
        <v>171</v>
      </c>
      <c r="X682" s="98" t="s">
        <v>171</v>
      </c>
      <c r="Y682" s="98" t="s">
        <v>171</v>
      </c>
      <c r="Z682" s="98" t="s">
        <v>171</v>
      </c>
      <c r="AA682" s="98" t="s">
        <v>171</v>
      </c>
      <c r="AB682" s="98" t="s">
        <v>171</v>
      </c>
      <c r="AC682" s="98" t="s">
        <v>171</v>
      </c>
      <c r="AD682" s="98" t="s">
        <v>171</v>
      </c>
      <c r="AE682" s="98" t="s">
        <v>171</v>
      </c>
      <c r="AF682" s="98" t="s">
        <v>171</v>
      </c>
      <c r="AG682" s="98" t="s">
        <v>171</v>
      </c>
      <c r="AH682" s="98" t="s">
        <v>171</v>
      </c>
      <c r="AI682" s="98" t="s">
        <v>171</v>
      </c>
      <c r="AJ682" s="98" t="s">
        <v>171</v>
      </c>
      <c r="AK682" s="98" t="s">
        <v>171</v>
      </c>
      <c r="AL682" s="98" t="s">
        <v>171</v>
      </c>
      <c r="AM682" s="98" t="s">
        <v>171</v>
      </c>
      <c r="AN682" s="98" t="s">
        <v>171</v>
      </c>
      <c r="AO682" s="98" t="s">
        <v>171</v>
      </c>
      <c r="AP682" s="98" t="s">
        <v>171</v>
      </c>
      <c r="AQ682" s="98" t="s">
        <v>171</v>
      </c>
      <c r="AR682" s="102">
        <v>46240.0</v>
      </c>
      <c r="AS682" s="83">
        <v>1179087.0</v>
      </c>
    </row>
    <row r="683" ht="15.75" customHeight="1">
      <c r="A683" s="111" t="s">
        <v>796</v>
      </c>
      <c r="B683" s="83" t="s">
        <v>3238</v>
      </c>
      <c r="C683" s="83" t="s">
        <v>164</v>
      </c>
      <c r="D683" s="112">
        <v>1121520.0</v>
      </c>
      <c r="E683" s="83">
        <v>1179365.0</v>
      </c>
      <c r="F683" s="83"/>
      <c r="G683" s="91" t="str">
        <f>IFERROR(__xludf.DUMMYFUNCTION("XLOOKUP(AS683,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BREJO DE DOIS IRMAOS")</f>
        <v>ANEXO - COLÉGIO ESTADUAL DE TEMPO INTEGRAL SOFIA MASCARENHAS - POVOADO BREJO DE DOIS IRMAOS</v>
      </c>
      <c r="H683" s="184" t="s">
        <v>3253</v>
      </c>
      <c r="I683" s="91" t="s">
        <v>3254</v>
      </c>
      <c r="J683" s="83" t="s">
        <v>149</v>
      </c>
      <c r="K683" s="83" t="s">
        <v>3255</v>
      </c>
      <c r="L683" s="83" t="s">
        <v>168</v>
      </c>
      <c r="M683" s="83" t="s">
        <v>169</v>
      </c>
      <c r="N683" s="115" t="s">
        <v>170</v>
      </c>
      <c r="O683" s="98" t="s">
        <v>155</v>
      </c>
      <c r="P683" s="99" t="str">
        <f>IFERROR(__xludf.DUMMYFUNCTION("IFERROR(VLOOKUP(AS683,IMPORTRANGE(""https://docs.google.com/spreadsheets/d/1juPI-Fb8LD0YtltB2mlGEnp_R3UVu1t3wSFPzgCyHXE/edit?gid=0#gid=0"",""GERAL!A2:C""),3,0),""-"")"),"CAMPO")</f>
        <v>CAMPO</v>
      </c>
      <c r="Q683" s="98" t="s">
        <v>171</v>
      </c>
      <c r="R683" s="98">
        <v>3.0</v>
      </c>
      <c r="S683" s="98" t="s">
        <v>171</v>
      </c>
      <c r="T683" s="98" t="s">
        <v>171</v>
      </c>
      <c r="U683" s="98" t="s">
        <v>171</v>
      </c>
      <c r="V683" s="98" t="s">
        <v>171</v>
      </c>
      <c r="W683" s="98" t="s">
        <v>171</v>
      </c>
      <c r="X683" s="98" t="s">
        <v>171</v>
      </c>
      <c r="Y683" s="98" t="s">
        <v>171</v>
      </c>
      <c r="Z683" s="98" t="s">
        <v>171</v>
      </c>
      <c r="AA683" s="98" t="s">
        <v>171</v>
      </c>
      <c r="AB683" s="98" t="s">
        <v>171</v>
      </c>
      <c r="AC683" s="98" t="s">
        <v>171</v>
      </c>
      <c r="AD683" s="98" t="s">
        <v>171</v>
      </c>
      <c r="AE683" s="98" t="s">
        <v>171</v>
      </c>
      <c r="AF683" s="98" t="s">
        <v>171</v>
      </c>
      <c r="AG683" s="98" t="s">
        <v>171</v>
      </c>
      <c r="AH683" s="98" t="s">
        <v>171</v>
      </c>
      <c r="AI683" s="98" t="s">
        <v>171</v>
      </c>
      <c r="AJ683" s="98" t="s">
        <v>171</v>
      </c>
      <c r="AK683" s="98" t="s">
        <v>171</v>
      </c>
      <c r="AL683" s="98" t="s">
        <v>171</v>
      </c>
      <c r="AM683" s="98" t="s">
        <v>171</v>
      </c>
      <c r="AN683" s="98" t="s">
        <v>171</v>
      </c>
      <c r="AO683" s="98" t="s">
        <v>171</v>
      </c>
      <c r="AP683" s="98" t="s">
        <v>171</v>
      </c>
      <c r="AQ683" s="98" t="s">
        <v>171</v>
      </c>
      <c r="AR683" s="102">
        <v>46240.0</v>
      </c>
      <c r="AS683" s="83">
        <v>1179365.0</v>
      </c>
    </row>
    <row r="684" ht="15.75" customHeight="1">
      <c r="A684" s="111" t="s">
        <v>796</v>
      </c>
      <c r="B684" s="83" t="s">
        <v>3238</v>
      </c>
      <c r="C684" s="83" t="s">
        <v>164</v>
      </c>
      <c r="D684" s="112">
        <v>1121520.0</v>
      </c>
      <c r="E684" s="83">
        <v>1179143.0</v>
      </c>
      <c r="F684" s="83"/>
      <c r="G684" s="91" t="str">
        <f>IFERROR(__xludf.DUMMYFUNCTION("XLOOKUP(AS684,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DISTRITO DE CASA VERDE")</f>
        <v>ANEXO - COLÉGIO ESTADUAL DE TEMPO INTEGRAL SOFIA MASCARENHAS - DISTRITO DE CASA VERDE</v>
      </c>
      <c r="H684" s="184" t="s">
        <v>3261</v>
      </c>
      <c r="I684" s="91" t="s">
        <v>3262</v>
      </c>
      <c r="J684" s="83" t="s">
        <v>3263</v>
      </c>
      <c r="K684" s="83" t="s">
        <v>890</v>
      </c>
      <c r="L684" s="83" t="s">
        <v>168</v>
      </c>
      <c r="M684" s="83" t="s">
        <v>169</v>
      </c>
      <c r="N684" s="115" t="s">
        <v>170</v>
      </c>
      <c r="O684" s="98" t="s">
        <v>155</v>
      </c>
      <c r="P684" s="99" t="str">
        <f>IFERROR(__xludf.DUMMYFUNCTION("IFERROR(VLOOKUP(AS684,IMPORTRANGE(""https://docs.google.com/spreadsheets/d/1juPI-Fb8LD0YtltB2mlGEnp_R3UVu1t3wSFPzgCyHXE/edit?gid=0#gid=0"",""GERAL!A2:C""),3,0),""-"")"),"CAMPO")</f>
        <v>CAMPO</v>
      </c>
      <c r="Q684" s="98" t="s">
        <v>171</v>
      </c>
      <c r="R684" s="98">
        <v>3.0</v>
      </c>
      <c r="S684" s="98" t="s">
        <v>171</v>
      </c>
      <c r="T684" s="98" t="s">
        <v>171</v>
      </c>
      <c r="U684" s="98" t="s">
        <v>171</v>
      </c>
      <c r="V684" s="98" t="s">
        <v>171</v>
      </c>
      <c r="W684" s="98" t="s">
        <v>171</v>
      </c>
      <c r="X684" s="98" t="s">
        <v>171</v>
      </c>
      <c r="Y684" s="98" t="s">
        <v>171</v>
      </c>
      <c r="Z684" s="98" t="s">
        <v>171</v>
      </c>
      <c r="AA684" s="98" t="s">
        <v>171</v>
      </c>
      <c r="AB684" s="98" t="s">
        <v>171</v>
      </c>
      <c r="AC684" s="98" t="s">
        <v>171</v>
      </c>
      <c r="AD684" s="98" t="s">
        <v>171</v>
      </c>
      <c r="AE684" s="98" t="s">
        <v>171</v>
      </c>
      <c r="AF684" s="98" t="s">
        <v>171</v>
      </c>
      <c r="AG684" s="98" t="s">
        <v>171</v>
      </c>
      <c r="AH684" s="98" t="s">
        <v>171</v>
      </c>
      <c r="AI684" s="98" t="s">
        <v>171</v>
      </c>
      <c r="AJ684" s="98" t="s">
        <v>171</v>
      </c>
      <c r="AK684" s="98" t="s">
        <v>171</v>
      </c>
      <c r="AL684" s="98" t="s">
        <v>171</v>
      </c>
      <c r="AM684" s="98" t="s">
        <v>171</v>
      </c>
      <c r="AN684" s="98" t="s">
        <v>171</v>
      </c>
      <c r="AO684" s="98" t="s">
        <v>171</v>
      </c>
      <c r="AP684" s="98" t="s">
        <v>171</v>
      </c>
      <c r="AQ684" s="98" t="s">
        <v>171</v>
      </c>
      <c r="AR684" s="102">
        <v>46240.0</v>
      </c>
      <c r="AS684" s="83">
        <v>1179143.0</v>
      </c>
    </row>
    <row r="685" ht="15.75" customHeight="1">
      <c r="A685" s="111" t="s">
        <v>796</v>
      </c>
      <c r="B685" s="83" t="s">
        <v>3238</v>
      </c>
      <c r="C685" s="83" t="s">
        <v>164</v>
      </c>
      <c r="D685" s="112">
        <v>1121520.0</v>
      </c>
      <c r="E685" s="83">
        <v>1179142.0</v>
      </c>
      <c r="F685" s="83"/>
      <c r="G685" s="91" t="str">
        <f>IFERROR(__xludf.DUMMYFUNCTION("XLOOKUP(AS685,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DISTRITO BREJO DA SERRA")</f>
        <v>ANEXO - COLÉGIO ESTADUAL DE TEMPO INTEGRAL SOFIA MASCARENHAS - DISTRITO BREJO DA SERRA</v>
      </c>
      <c r="H685" s="184" t="s">
        <v>3266</v>
      </c>
      <c r="I685" s="91" t="s">
        <v>3267</v>
      </c>
      <c r="J685" s="83" t="s">
        <v>3268</v>
      </c>
      <c r="K685" s="83" t="s">
        <v>2928</v>
      </c>
      <c r="L685" s="83" t="s">
        <v>168</v>
      </c>
      <c r="M685" s="83" t="s">
        <v>169</v>
      </c>
      <c r="N685" s="115" t="s">
        <v>170</v>
      </c>
      <c r="O685" s="98" t="s">
        <v>155</v>
      </c>
      <c r="P685" s="99" t="str">
        <f>IFERROR(__xludf.DUMMYFUNCTION("IFERROR(VLOOKUP(AS685,IMPORTRANGE(""https://docs.google.com/spreadsheets/d/1juPI-Fb8LD0YtltB2mlGEnp_R3UVu1t3wSFPzgCyHXE/edit?gid=0#gid=0"",""GERAL!A2:C""),3,0),""-"")"),"CAMPO")</f>
        <v>CAMPO</v>
      </c>
      <c r="Q685" s="98" t="s">
        <v>171</v>
      </c>
      <c r="R685" s="98">
        <v>3.0</v>
      </c>
      <c r="S685" s="98" t="s">
        <v>171</v>
      </c>
      <c r="T685" s="98" t="s">
        <v>171</v>
      </c>
      <c r="U685" s="98" t="s">
        <v>171</v>
      </c>
      <c r="V685" s="98" t="s">
        <v>171</v>
      </c>
      <c r="W685" s="98" t="s">
        <v>171</v>
      </c>
      <c r="X685" s="98" t="s">
        <v>171</v>
      </c>
      <c r="Y685" s="98" t="s">
        <v>171</v>
      </c>
      <c r="Z685" s="98" t="s">
        <v>171</v>
      </c>
      <c r="AA685" s="98" t="s">
        <v>171</v>
      </c>
      <c r="AB685" s="98" t="s">
        <v>171</v>
      </c>
      <c r="AC685" s="98" t="s">
        <v>171</v>
      </c>
      <c r="AD685" s="98" t="s">
        <v>171</v>
      </c>
      <c r="AE685" s="98" t="s">
        <v>171</v>
      </c>
      <c r="AF685" s="98" t="s">
        <v>171</v>
      </c>
      <c r="AG685" s="98" t="s">
        <v>171</v>
      </c>
      <c r="AH685" s="98" t="s">
        <v>171</v>
      </c>
      <c r="AI685" s="98" t="s">
        <v>171</v>
      </c>
      <c r="AJ685" s="98" t="s">
        <v>171</v>
      </c>
      <c r="AK685" s="98" t="s">
        <v>171</v>
      </c>
      <c r="AL685" s="98" t="s">
        <v>171</v>
      </c>
      <c r="AM685" s="98" t="s">
        <v>171</v>
      </c>
      <c r="AN685" s="98" t="s">
        <v>171</v>
      </c>
      <c r="AO685" s="98" t="s">
        <v>171</v>
      </c>
      <c r="AP685" s="98" t="s">
        <v>171</v>
      </c>
      <c r="AQ685" s="98" t="s">
        <v>171</v>
      </c>
      <c r="AR685" s="102">
        <v>46240.0</v>
      </c>
      <c r="AS685" s="83">
        <v>1179142.0</v>
      </c>
    </row>
    <row r="686" ht="15.75" customHeight="1">
      <c r="A686" s="111" t="s">
        <v>796</v>
      </c>
      <c r="B686" s="83" t="s">
        <v>3238</v>
      </c>
      <c r="C686" s="83" t="s">
        <v>164</v>
      </c>
      <c r="D686" s="112">
        <v>1121520.0</v>
      </c>
      <c r="E686" s="83">
        <v>1179086.0</v>
      </c>
      <c r="F686" s="83"/>
      <c r="G686" s="91" t="str">
        <f>IFERROR(__xludf.DUMMYFUNCTION("XLOOKUP(AS686,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MANDARINO")</f>
        <v>ANEXO - COLÉGIO ESTADUAL DE TEMPO INTEGRAL SOFIA MASCARENHAS  - POVOADO MANDARINO</v>
      </c>
      <c r="H686" s="184" t="s">
        <v>3269</v>
      </c>
      <c r="I686" s="91" t="s">
        <v>3270</v>
      </c>
      <c r="J686" s="83" t="s">
        <v>149</v>
      </c>
      <c r="K686" s="83" t="s">
        <v>3271</v>
      </c>
      <c r="L686" s="83" t="s">
        <v>168</v>
      </c>
      <c r="M686" s="83" t="s">
        <v>169</v>
      </c>
      <c r="N686" s="115" t="s">
        <v>170</v>
      </c>
      <c r="O686" s="98" t="s">
        <v>155</v>
      </c>
      <c r="P686" s="99" t="str">
        <f>IFERROR(__xludf.DUMMYFUNCTION("IFERROR(VLOOKUP(AS686,IMPORTRANGE(""https://docs.google.com/spreadsheets/d/1juPI-Fb8LD0YtltB2mlGEnp_R3UVu1t3wSFPzgCyHXE/edit?gid=0#gid=0"",""GERAL!A2:C""),3,0),""-"")"),"CAMPO")</f>
        <v>CAMPO</v>
      </c>
      <c r="Q686" s="98" t="s">
        <v>171</v>
      </c>
      <c r="R686" s="98">
        <v>3.0</v>
      </c>
      <c r="S686" s="98" t="s">
        <v>171</v>
      </c>
      <c r="T686" s="98" t="s">
        <v>171</v>
      </c>
      <c r="U686" s="98" t="s">
        <v>171</v>
      </c>
      <c r="V686" s="98" t="s">
        <v>171</v>
      </c>
      <c r="W686" s="98" t="s">
        <v>171</v>
      </c>
      <c r="X686" s="98" t="s">
        <v>171</v>
      </c>
      <c r="Y686" s="98" t="s">
        <v>171</v>
      </c>
      <c r="Z686" s="98" t="s">
        <v>171</v>
      </c>
      <c r="AA686" s="98" t="s">
        <v>171</v>
      </c>
      <c r="AB686" s="98" t="s">
        <v>171</v>
      </c>
      <c r="AC686" s="98" t="s">
        <v>171</v>
      </c>
      <c r="AD686" s="98" t="s">
        <v>171</v>
      </c>
      <c r="AE686" s="98" t="s">
        <v>171</v>
      </c>
      <c r="AF686" s="98" t="s">
        <v>171</v>
      </c>
      <c r="AG686" s="98" t="s">
        <v>171</v>
      </c>
      <c r="AH686" s="98" t="s">
        <v>171</v>
      </c>
      <c r="AI686" s="98" t="s">
        <v>171</v>
      </c>
      <c r="AJ686" s="98" t="s">
        <v>171</v>
      </c>
      <c r="AK686" s="98" t="s">
        <v>171</v>
      </c>
      <c r="AL686" s="98" t="s">
        <v>171</v>
      </c>
      <c r="AM686" s="98" t="s">
        <v>171</v>
      </c>
      <c r="AN686" s="98" t="s">
        <v>171</v>
      </c>
      <c r="AO686" s="98" t="s">
        <v>171</v>
      </c>
      <c r="AP686" s="98" t="s">
        <v>171</v>
      </c>
      <c r="AQ686" s="98" t="s">
        <v>171</v>
      </c>
      <c r="AR686" s="102">
        <v>46240.0</v>
      </c>
      <c r="AS686" s="83">
        <v>1179086.0</v>
      </c>
    </row>
    <row r="687" ht="15.75" customHeight="1">
      <c r="A687" s="111" t="s">
        <v>796</v>
      </c>
      <c r="B687" s="83" t="s">
        <v>3238</v>
      </c>
      <c r="C687" s="83" t="s">
        <v>164</v>
      </c>
      <c r="D687" s="112">
        <v>1121520.0</v>
      </c>
      <c r="E687" s="83">
        <v>1179088.0</v>
      </c>
      <c r="F687" s="83"/>
      <c r="G687" s="91" t="str">
        <f>IFERROR(__xludf.DUMMYFUNCTION("XLOOKUP(AS687,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LAGOA GRANDE")</f>
        <v>ANEXO - COLÉGIO ESTADUAL DE TEMPO INTEGRAL SOFIA MASCARENHAS  - POVOADO LAGOA GRANDE</v>
      </c>
      <c r="H687" s="184" t="s">
        <v>3272</v>
      </c>
      <c r="I687" s="91" t="s">
        <v>3273</v>
      </c>
      <c r="J687" s="83" t="s">
        <v>149</v>
      </c>
      <c r="K687" s="83" t="s">
        <v>3274</v>
      </c>
      <c r="L687" s="83" t="s">
        <v>168</v>
      </c>
      <c r="M687" s="83" t="s">
        <v>169</v>
      </c>
      <c r="N687" s="115" t="s">
        <v>170</v>
      </c>
      <c r="O687" s="98" t="s">
        <v>155</v>
      </c>
      <c r="P687" s="99" t="str">
        <f>IFERROR(__xludf.DUMMYFUNCTION("IFERROR(VLOOKUP(AS687,IMPORTRANGE(""https://docs.google.com/spreadsheets/d/1juPI-Fb8LD0YtltB2mlGEnp_R3UVu1t3wSFPzgCyHXE/edit?gid=0#gid=0"",""GERAL!A2:C""),3,0),""-"")"),"CAMPO")</f>
        <v>CAMPO</v>
      </c>
      <c r="Q687" s="98" t="s">
        <v>171</v>
      </c>
      <c r="R687" s="98">
        <v>3.0</v>
      </c>
      <c r="S687" s="98" t="s">
        <v>171</v>
      </c>
      <c r="T687" s="98" t="s">
        <v>171</v>
      </c>
      <c r="U687" s="98" t="s">
        <v>171</v>
      </c>
      <c r="V687" s="98" t="s">
        <v>171</v>
      </c>
      <c r="W687" s="98" t="s">
        <v>171</v>
      </c>
      <c r="X687" s="98" t="s">
        <v>171</v>
      </c>
      <c r="Y687" s="98" t="s">
        <v>171</v>
      </c>
      <c r="Z687" s="98" t="s">
        <v>171</v>
      </c>
      <c r="AA687" s="98" t="s">
        <v>171</v>
      </c>
      <c r="AB687" s="98" t="s">
        <v>171</v>
      </c>
      <c r="AC687" s="98" t="s">
        <v>171</v>
      </c>
      <c r="AD687" s="98" t="s">
        <v>171</v>
      </c>
      <c r="AE687" s="98" t="s">
        <v>171</v>
      </c>
      <c r="AF687" s="98" t="s">
        <v>171</v>
      </c>
      <c r="AG687" s="98" t="s">
        <v>171</v>
      </c>
      <c r="AH687" s="98" t="s">
        <v>171</v>
      </c>
      <c r="AI687" s="98" t="s">
        <v>171</v>
      </c>
      <c r="AJ687" s="98" t="s">
        <v>171</v>
      </c>
      <c r="AK687" s="98" t="s">
        <v>171</v>
      </c>
      <c r="AL687" s="98" t="s">
        <v>171</v>
      </c>
      <c r="AM687" s="98" t="s">
        <v>171</v>
      </c>
      <c r="AN687" s="98" t="s">
        <v>171</v>
      </c>
      <c r="AO687" s="98" t="s">
        <v>171</v>
      </c>
      <c r="AP687" s="98" t="s">
        <v>171</v>
      </c>
      <c r="AQ687" s="98" t="s">
        <v>171</v>
      </c>
      <c r="AR687" s="102">
        <v>46240.0</v>
      </c>
      <c r="AS687" s="83">
        <v>1179088.0</v>
      </c>
    </row>
    <row r="688" ht="15.75" customHeight="1">
      <c r="A688" s="111" t="s">
        <v>796</v>
      </c>
      <c r="B688" s="83" t="s">
        <v>3238</v>
      </c>
      <c r="C688" s="83" t="s">
        <v>164</v>
      </c>
      <c r="D688" s="112">
        <v>1121520.0</v>
      </c>
      <c r="E688" s="83">
        <v>1178678.0</v>
      </c>
      <c r="F688" s="83"/>
      <c r="G688" s="91" t="str">
        <f>IFERROR(__xludf.DUMMYFUNCTION("XLOOKUP(AS688,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DE LAGOA DA PEDRA")</f>
        <v>ANEXO - COLÉGIO ESTADUAL DE TEMPO INTEGRAL SOFIA MASCARENHAS  - POVOADO DE LAGOA DA PEDRA</v>
      </c>
      <c r="H688" s="184" t="s">
        <v>3276</v>
      </c>
      <c r="I688" s="91" t="s">
        <v>3277</v>
      </c>
      <c r="J688" s="83" t="s">
        <v>149</v>
      </c>
      <c r="K688" s="83" t="s">
        <v>1745</v>
      </c>
      <c r="L688" s="83" t="s">
        <v>168</v>
      </c>
      <c r="M688" s="83" t="s">
        <v>169</v>
      </c>
      <c r="N688" s="115" t="s">
        <v>170</v>
      </c>
      <c r="O688" s="98" t="s">
        <v>155</v>
      </c>
      <c r="P688" s="99" t="str">
        <f>IFERROR(__xludf.DUMMYFUNCTION("IFERROR(VLOOKUP(AS688,IMPORTRANGE(""https://docs.google.com/spreadsheets/d/1juPI-Fb8LD0YtltB2mlGEnp_R3UVu1t3wSFPzgCyHXE/edit?gid=0#gid=0"",""GERAL!A2:C""),3,0),""-"")"),"CAMPO")</f>
        <v>CAMPO</v>
      </c>
      <c r="Q688" s="98" t="s">
        <v>171</v>
      </c>
      <c r="R688" s="98">
        <v>3.0</v>
      </c>
      <c r="S688" s="98" t="s">
        <v>171</v>
      </c>
      <c r="T688" s="98" t="s">
        <v>171</v>
      </c>
      <c r="U688" s="98" t="s">
        <v>171</v>
      </c>
      <c r="V688" s="98" t="s">
        <v>171</v>
      </c>
      <c r="W688" s="98" t="s">
        <v>171</v>
      </c>
      <c r="X688" s="98" t="s">
        <v>171</v>
      </c>
      <c r="Y688" s="98" t="s">
        <v>171</v>
      </c>
      <c r="Z688" s="98" t="s">
        <v>171</v>
      </c>
      <c r="AA688" s="98" t="s">
        <v>171</v>
      </c>
      <c r="AB688" s="98" t="s">
        <v>171</v>
      </c>
      <c r="AC688" s="98" t="s">
        <v>171</v>
      </c>
      <c r="AD688" s="98" t="s">
        <v>171</v>
      </c>
      <c r="AE688" s="98" t="s">
        <v>171</v>
      </c>
      <c r="AF688" s="98" t="s">
        <v>171</v>
      </c>
      <c r="AG688" s="98" t="s">
        <v>171</v>
      </c>
      <c r="AH688" s="98" t="s">
        <v>171</v>
      </c>
      <c r="AI688" s="98" t="s">
        <v>171</v>
      </c>
      <c r="AJ688" s="98" t="s">
        <v>171</v>
      </c>
      <c r="AK688" s="98" t="s">
        <v>171</v>
      </c>
      <c r="AL688" s="98" t="s">
        <v>171</v>
      </c>
      <c r="AM688" s="98" t="s">
        <v>171</v>
      </c>
      <c r="AN688" s="98" t="s">
        <v>171</v>
      </c>
      <c r="AO688" s="98" t="s">
        <v>171</v>
      </c>
      <c r="AP688" s="98" t="s">
        <v>171</v>
      </c>
      <c r="AQ688" s="98" t="s">
        <v>171</v>
      </c>
      <c r="AR688" s="102">
        <v>46240.0</v>
      </c>
      <c r="AS688" s="83">
        <v>1178678.0</v>
      </c>
    </row>
    <row r="689" ht="15.75" customHeight="1">
      <c r="A689" s="111" t="s">
        <v>796</v>
      </c>
      <c r="B689" s="83" t="s">
        <v>3238</v>
      </c>
      <c r="C689" s="83" t="s">
        <v>164</v>
      </c>
      <c r="D689" s="112">
        <v>1121520.0</v>
      </c>
      <c r="E689" s="83">
        <v>1178677.0</v>
      </c>
      <c r="F689" s="83"/>
      <c r="G689" s="91" t="str">
        <f>IFERROR(__xludf.DUMMYFUNCTION("XLOOKUP(AS689,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POVOADO DE CAMPO GRANDE")</f>
        <v>ANEXO - COLÉGIO ESTADUAL DE TEMPO INTEGRAL SOFIA MASCARENHAS  - POVOADO DE CAMPO GRANDE</v>
      </c>
      <c r="H689" s="184" t="s">
        <v>3278</v>
      </c>
      <c r="I689" s="91" t="s">
        <v>3279</v>
      </c>
      <c r="J689" s="83" t="s">
        <v>149</v>
      </c>
      <c r="K689" s="83" t="s">
        <v>694</v>
      </c>
      <c r="L689" s="83" t="s">
        <v>168</v>
      </c>
      <c r="M689" s="83" t="s">
        <v>169</v>
      </c>
      <c r="N689" s="115" t="s">
        <v>170</v>
      </c>
      <c r="O689" s="98" t="s">
        <v>155</v>
      </c>
      <c r="P689" s="99" t="str">
        <f>IFERROR(__xludf.DUMMYFUNCTION("IFERROR(VLOOKUP(AS689,IMPORTRANGE(""https://docs.google.com/spreadsheets/d/1juPI-Fb8LD0YtltB2mlGEnp_R3UVu1t3wSFPzgCyHXE/edit?gid=0#gid=0"",""GERAL!A2:C""),3,0),""-"")"),"CAMPO")</f>
        <v>CAMPO</v>
      </c>
      <c r="Q689" s="98" t="s">
        <v>171</v>
      </c>
      <c r="R689" s="98">
        <v>4.0</v>
      </c>
      <c r="S689" s="98" t="s">
        <v>171</v>
      </c>
      <c r="T689" s="98" t="s">
        <v>171</v>
      </c>
      <c r="U689" s="98" t="s">
        <v>171</v>
      </c>
      <c r="V689" s="98" t="s">
        <v>171</v>
      </c>
      <c r="W689" s="98" t="s">
        <v>171</v>
      </c>
      <c r="X689" s="98" t="s">
        <v>171</v>
      </c>
      <c r="Y689" s="98" t="s">
        <v>171</v>
      </c>
      <c r="Z689" s="98" t="s">
        <v>171</v>
      </c>
      <c r="AA689" s="98" t="s">
        <v>171</v>
      </c>
      <c r="AB689" s="98" t="s">
        <v>171</v>
      </c>
      <c r="AC689" s="98" t="s">
        <v>171</v>
      </c>
      <c r="AD689" s="98" t="s">
        <v>171</v>
      </c>
      <c r="AE689" s="98" t="s">
        <v>171</v>
      </c>
      <c r="AF689" s="98" t="s">
        <v>171</v>
      </c>
      <c r="AG689" s="98" t="s">
        <v>171</v>
      </c>
      <c r="AH689" s="98" t="s">
        <v>171</v>
      </c>
      <c r="AI689" s="98" t="s">
        <v>171</v>
      </c>
      <c r="AJ689" s="98" t="s">
        <v>171</v>
      </c>
      <c r="AK689" s="98" t="s">
        <v>171</v>
      </c>
      <c r="AL689" s="98" t="s">
        <v>171</v>
      </c>
      <c r="AM689" s="98" t="s">
        <v>171</v>
      </c>
      <c r="AN689" s="98" t="s">
        <v>171</v>
      </c>
      <c r="AO689" s="98" t="s">
        <v>171</v>
      </c>
      <c r="AP689" s="98" t="s">
        <v>171</v>
      </c>
      <c r="AQ689" s="98" t="s">
        <v>171</v>
      </c>
      <c r="AR689" s="102">
        <v>46240.0</v>
      </c>
      <c r="AS689" s="83">
        <v>1178677.0</v>
      </c>
    </row>
    <row r="690" ht="15.75" customHeight="1">
      <c r="A690" s="111" t="s">
        <v>796</v>
      </c>
      <c r="B690" s="83" t="s">
        <v>3238</v>
      </c>
      <c r="C690" s="83" t="s">
        <v>164</v>
      </c>
      <c r="D690" s="112">
        <v>1121520.0</v>
      </c>
      <c r="E690" s="83">
        <v>1178680.0</v>
      </c>
      <c r="F690" s="83"/>
      <c r="G690" s="91" t="str">
        <f>IFERROR(__xludf.DUMMYFUNCTION("XLOOKUP(AS690,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DISTRITO VILA BALUARTE")</f>
        <v>ANEXO - COLÉGIO ESTADUAL DE TEMPO INTEGRAL SOFIA MASCARENHAS  - DISTRITO VILA BALUARTE</v>
      </c>
      <c r="H690" s="184" t="s">
        <v>3289</v>
      </c>
      <c r="I690" s="91" t="s">
        <v>3290</v>
      </c>
      <c r="J690" s="83" t="s">
        <v>3291</v>
      </c>
      <c r="K690" s="83" t="s">
        <v>3292</v>
      </c>
      <c r="L690" s="83" t="s">
        <v>168</v>
      </c>
      <c r="M690" s="83" t="s">
        <v>169</v>
      </c>
      <c r="N690" s="115" t="s">
        <v>170</v>
      </c>
      <c r="O690" s="98" t="s">
        <v>155</v>
      </c>
      <c r="P690" s="99" t="str">
        <f>IFERROR(__xludf.DUMMYFUNCTION("IFERROR(VLOOKUP(AS690,IMPORTRANGE(""https://docs.google.com/spreadsheets/d/1juPI-Fb8LD0YtltB2mlGEnp_R3UVu1t3wSFPzgCyHXE/edit?gid=0#gid=0"",""GERAL!A2:C""),3,0),""-"")"),"CAMPO")</f>
        <v>CAMPO</v>
      </c>
      <c r="Q690" s="98" t="s">
        <v>171</v>
      </c>
      <c r="R690" s="98">
        <v>3.0</v>
      </c>
      <c r="S690" s="98" t="s">
        <v>171</v>
      </c>
      <c r="T690" s="98" t="s">
        <v>171</v>
      </c>
      <c r="U690" s="98" t="s">
        <v>171</v>
      </c>
      <c r="V690" s="98" t="s">
        <v>171</v>
      </c>
      <c r="W690" s="98" t="s">
        <v>171</v>
      </c>
      <c r="X690" s="98" t="s">
        <v>171</v>
      </c>
      <c r="Y690" s="98" t="s">
        <v>171</v>
      </c>
      <c r="Z690" s="98" t="s">
        <v>171</v>
      </c>
      <c r="AA690" s="98" t="s">
        <v>171</v>
      </c>
      <c r="AB690" s="98" t="s">
        <v>171</v>
      </c>
      <c r="AC690" s="98" t="s">
        <v>171</v>
      </c>
      <c r="AD690" s="98" t="s">
        <v>171</v>
      </c>
      <c r="AE690" s="98" t="s">
        <v>171</v>
      </c>
      <c r="AF690" s="98" t="s">
        <v>171</v>
      </c>
      <c r="AG690" s="98" t="s">
        <v>171</v>
      </c>
      <c r="AH690" s="98" t="s">
        <v>171</v>
      </c>
      <c r="AI690" s="98" t="s">
        <v>171</v>
      </c>
      <c r="AJ690" s="98" t="s">
        <v>171</v>
      </c>
      <c r="AK690" s="98" t="s">
        <v>171</v>
      </c>
      <c r="AL690" s="98" t="s">
        <v>171</v>
      </c>
      <c r="AM690" s="98" t="s">
        <v>171</v>
      </c>
      <c r="AN690" s="98" t="s">
        <v>171</v>
      </c>
      <c r="AO690" s="98" t="s">
        <v>171</v>
      </c>
      <c r="AP690" s="98" t="s">
        <v>171</v>
      </c>
      <c r="AQ690" s="98" t="s">
        <v>171</v>
      </c>
      <c r="AR690" s="102">
        <v>46240.0</v>
      </c>
      <c r="AS690" s="83">
        <v>1178680.0</v>
      </c>
    </row>
    <row r="691" ht="15.75" customHeight="1">
      <c r="A691" s="111" t="s">
        <v>796</v>
      </c>
      <c r="B691" s="83" t="s">
        <v>3238</v>
      </c>
      <c r="C691" s="83" t="s">
        <v>164</v>
      </c>
      <c r="D691" s="112">
        <v>1121520.0</v>
      </c>
      <c r="E691" s="83">
        <v>1178679.0</v>
      </c>
      <c r="F691" s="83"/>
      <c r="G691" s="91" t="str">
        <f>IFERROR(__xludf.DUMMYFUNCTION("XLOOKUP(AS691,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DISTRITO DE REDENÇÃO")</f>
        <v>ANEXO - COLÉGIO ESTADUAL DE TEMPO INTEGRAL SOFIA MASCARENHAS  - DISTRITO DE REDENÇÃO</v>
      </c>
      <c r="H691" s="184" t="s">
        <v>3293</v>
      </c>
      <c r="I691" s="91" t="s">
        <v>3294</v>
      </c>
      <c r="J691" s="83" t="s">
        <v>3295</v>
      </c>
      <c r="K691" s="83" t="s">
        <v>3296</v>
      </c>
      <c r="L691" s="83" t="s">
        <v>168</v>
      </c>
      <c r="M691" s="83" t="s">
        <v>169</v>
      </c>
      <c r="N691" s="115" t="s">
        <v>170</v>
      </c>
      <c r="O691" s="98" t="s">
        <v>155</v>
      </c>
      <c r="P691" s="99" t="str">
        <f>IFERROR(__xludf.DUMMYFUNCTION("IFERROR(VLOOKUP(AS691,IMPORTRANGE(""https://docs.google.com/spreadsheets/d/1juPI-Fb8LD0YtltB2mlGEnp_R3UVu1t3wSFPzgCyHXE/edit?gid=0#gid=0"",""GERAL!A2:C""),3,0),""-"")"),"CAMPO")</f>
        <v>CAMPO</v>
      </c>
      <c r="Q691" s="98" t="s">
        <v>171</v>
      </c>
      <c r="R691" s="98">
        <v>3.0</v>
      </c>
      <c r="S691" s="98" t="s">
        <v>171</v>
      </c>
      <c r="T691" s="98" t="s">
        <v>171</v>
      </c>
      <c r="U691" s="98" t="s">
        <v>171</v>
      </c>
      <c r="V691" s="98" t="s">
        <v>171</v>
      </c>
      <c r="W691" s="98" t="s">
        <v>171</v>
      </c>
      <c r="X691" s="98" t="s">
        <v>171</v>
      </c>
      <c r="Y691" s="98" t="s">
        <v>171</v>
      </c>
      <c r="Z691" s="98" t="s">
        <v>171</v>
      </c>
      <c r="AA691" s="98" t="s">
        <v>171</v>
      </c>
      <c r="AB691" s="98" t="s">
        <v>171</v>
      </c>
      <c r="AC691" s="98" t="s">
        <v>171</v>
      </c>
      <c r="AD691" s="98" t="s">
        <v>171</v>
      </c>
      <c r="AE691" s="98" t="s">
        <v>171</v>
      </c>
      <c r="AF691" s="98" t="s">
        <v>171</v>
      </c>
      <c r="AG691" s="98" t="s">
        <v>171</v>
      </c>
      <c r="AH691" s="98" t="s">
        <v>171</v>
      </c>
      <c r="AI691" s="98" t="s">
        <v>171</v>
      </c>
      <c r="AJ691" s="98" t="s">
        <v>171</v>
      </c>
      <c r="AK691" s="98" t="s">
        <v>171</v>
      </c>
      <c r="AL691" s="98" t="s">
        <v>171</v>
      </c>
      <c r="AM691" s="98" t="s">
        <v>171</v>
      </c>
      <c r="AN691" s="98" t="s">
        <v>171</v>
      </c>
      <c r="AO691" s="98" t="s">
        <v>171</v>
      </c>
      <c r="AP691" s="98" t="s">
        <v>171</v>
      </c>
      <c r="AQ691" s="98" t="s">
        <v>171</v>
      </c>
      <c r="AR691" s="102">
        <v>46240.0</v>
      </c>
      <c r="AS691" s="83">
        <v>1178679.0</v>
      </c>
    </row>
    <row r="692" ht="15.75" customHeight="1">
      <c r="A692" s="111" t="s">
        <v>796</v>
      </c>
      <c r="B692" s="83" t="s">
        <v>3238</v>
      </c>
      <c r="C692" s="83" t="s">
        <v>164</v>
      </c>
      <c r="D692" s="112">
        <v>1121520.0</v>
      </c>
      <c r="E692" s="83">
        <v>1178676.0</v>
      </c>
      <c r="F692" s="83"/>
      <c r="G692" s="91" t="str">
        <f>IFERROR(__xludf.DUMMYFUNCTION("XLOOKUP(AS692,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SOFIA MASCARENHAS   - DISTRITO NOVA HOLANDA")</f>
        <v>ANEXO - COLÉGIO ESTADUAL DE TEMPO INTEGRAL SOFIA MASCARENHAS   - DISTRITO NOVA HOLANDA</v>
      </c>
      <c r="H692" s="184" t="s">
        <v>3298</v>
      </c>
      <c r="I692" s="91" t="s">
        <v>3299</v>
      </c>
      <c r="J692" s="83" t="s">
        <v>3300</v>
      </c>
      <c r="K692" s="83" t="s">
        <v>3301</v>
      </c>
      <c r="L692" s="83" t="s">
        <v>151</v>
      </c>
      <c r="M692" s="83" t="s">
        <v>169</v>
      </c>
      <c r="N692" s="115" t="s">
        <v>170</v>
      </c>
      <c r="O692" s="98" t="s">
        <v>155</v>
      </c>
      <c r="P692" s="99" t="str">
        <f>IFERROR(__xludf.DUMMYFUNCTION("IFERROR(VLOOKUP(AS692,IMPORTRANGE(""https://docs.google.com/spreadsheets/d/1juPI-Fb8LD0YtltB2mlGEnp_R3UVu1t3wSFPzgCyHXE/edit?gid=0#gid=0"",""GERAL!A2:C""),3,0),""-"")"),"CAMPO")</f>
        <v>CAMPO</v>
      </c>
      <c r="Q692" s="98" t="s">
        <v>171</v>
      </c>
      <c r="R692" s="98">
        <v>3.0</v>
      </c>
      <c r="S692" s="98" t="s">
        <v>171</v>
      </c>
      <c r="T692" s="98" t="s">
        <v>171</v>
      </c>
      <c r="U692" s="98" t="s">
        <v>171</v>
      </c>
      <c r="V692" s="98" t="s">
        <v>171</v>
      </c>
      <c r="W692" s="98" t="s">
        <v>171</v>
      </c>
      <c r="X692" s="98" t="s">
        <v>171</v>
      </c>
      <c r="Y692" s="98" t="s">
        <v>171</v>
      </c>
      <c r="Z692" s="98" t="s">
        <v>171</v>
      </c>
      <c r="AA692" s="98" t="s">
        <v>171</v>
      </c>
      <c r="AB692" s="98" t="s">
        <v>171</v>
      </c>
      <c r="AC692" s="98" t="s">
        <v>171</v>
      </c>
      <c r="AD692" s="98" t="s">
        <v>171</v>
      </c>
      <c r="AE692" s="98" t="s">
        <v>171</v>
      </c>
      <c r="AF692" s="98" t="s">
        <v>171</v>
      </c>
      <c r="AG692" s="98" t="s">
        <v>171</v>
      </c>
      <c r="AH692" s="98" t="s">
        <v>171</v>
      </c>
      <c r="AI692" s="98" t="s">
        <v>171</v>
      </c>
      <c r="AJ692" s="98" t="s">
        <v>171</v>
      </c>
      <c r="AK692" s="98" t="s">
        <v>171</v>
      </c>
      <c r="AL692" s="98" t="s">
        <v>171</v>
      </c>
      <c r="AM692" s="98" t="s">
        <v>171</v>
      </c>
      <c r="AN692" s="98" t="s">
        <v>171</v>
      </c>
      <c r="AO692" s="98" t="s">
        <v>171</v>
      </c>
      <c r="AP692" s="98" t="s">
        <v>171</v>
      </c>
      <c r="AQ692" s="98" t="s">
        <v>171</v>
      </c>
      <c r="AR692" s="102">
        <v>46240.0</v>
      </c>
      <c r="AS692" s="83">
        <v>1178676.0</v>
      </c>
    </row>
    <row r="693" ht="15.75" customHeight="1">
      <c r="A693" s="111" t="s">
        <v>796</v>
      </c>
      <c r="B693" s="83" t="s">
        <v>2159</v>
      </c>
      <c r="C693" s="83" t="s">
        <v>68</v>
      </c>
      <c r="D693" s="112">
        <v>1121326.0</v>
      </c>
      <c r="E693" s="83"/>
      <c r="F693" s="83">
        <v>2.9030137E7</v>
      </c>
      <c r="G693" s="91" t="str">
        <f>IFERROR(__xludf.DUMMYFUNCTION("XLOOKUP(AS693,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REITOR EDGARD SANTOS")</f>
        <v>COLÉGIO ESTADUAL REITOR EDGARD SANTOS</v>
      </c>
      <c r="H693" s="114" t="s">
        <v>3303</v>
      </c>
      <c r="I693" s="91" t="s">
        <v>3304</v>
      </c>
      <c r="J693" s="83" t="s">
        <v>149</v>
      </c>
      <c r="K693" s="83" t="s">
        <v>150</v>
      </c>
      <c r="L693" s="83" t="s">
        <v>151</v>
      </c>
      <c r="M693" s="83" t="s">
        <v>76</v>
      </c>
      <c r="N693" s="98" t="s">
        <v>3305</v>
      </c>
      <c r="O693" s="98" t="s">
        <v>155</v>
      </c>
      <c r="P693" s="99" t="str">
        <f>IFERROR(__xludf.DUMMYFUNCTION("IFERROR(VLOOKUP(AS693,IMPORTRANGE(""https://docs.google.com/spreadsheets/d/1juPI-Fb8LD0YtltB2mlGEnp_R3UVu1t3wSFPzgCyHXE/edit?gid=0#gid=0"",""GERAL!A2:C""),3,0),""-"")"),"-")</f>
        <v>-</v>
      </c>
      <c r="Q693" s="83"/>
      <c r="R693" s="83"/>
      <c r="S693" s="83"/>
      <c r="T693" s="83"/>
      <c r="U693" s="83"/>
      <c r="V693" s="83"/>
      <c r="W693" s="83"/>
      <c r="X693" s="83"/>
      <c r="Y693" s="83"/>
      <c r="Z693" s="83"/>
      <c r="AA693" s="83"/>
      <c r="AB693" s="83"/>
      <c r="AC693" s="83"/>
      <c r="AD693" s="83"/>
      <c r="AE693" s="83"/>
      <c r="AF693" s="83"/>
      <c r="AG693" s="83"/>
      <c r="AH693" s="83"/>
      <c r="AI693" s="83"/>
      <c r="AJ693" s="83"/>
      <c r="AK693" s="83"/>
      <c r="AL693" s="83"/>
      <c r="AM693" s="83"/>
      <c r="AN693" s="83"/>
      <c r="AO693" s="83"/>
      <c r="AP693" s="83"/>
      <c r="AQ693" s="83"/>
      <c r="AR693" s="83"/>
      <c r="AS693" s="83">
        <v>1121326.0</v>
      </c>
    </row>
    <row r="694" ht="15.75" customHeight="1">
      <c r="A694" s="111" t="s">
        <v>796</v>
      </c>
      <c r="B694" s="83" t="s">
        <v>2159</v>
      </c>
      <c r="C694" s="83" t="s">
        <v>68</v>
      </c>
      <c r="D694" s="112">
        <v>1121342.0</v>
      </c>
      <c r="E694" s="83"/>
      <c r="F694" s="83">
        <v>2.9031265E7</v>
      </c>
      <c r="G694" s="91" t="str">
        <f>IFERROR(__xludf.DUMMYFUNCTION("XLOOKUP(AS694,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PROFESSORA IRENE DE SOUZA ARAUJO")</f>
        <v>COLEGIO ESTADUAL DE TEMPO INTEGRAL PROFESSORA IRENE DE SOUZA ARAUJO</v>
      </c>
      <c r="H694" s="119" t="s">
        <v>3306</v>
      </c>
      <c r="I694" s="91" t="s">
        <v>3307</v>
      </c>
      <c r="J694" s="83" t="s">
        <v>149</v>
      </c>
      <c r="K694" s="83" t="s">
        <v>150</v>
      </c>
      <c r="L694" s="83" t="s">
        <v>151</v>
      </c>
      <c r="M694" s="98" t="s">
        <v>230</v>
      </c>
      <c r="N694" s="98" t="s">
        <v>3305</v>
      </c>
      <c r="O694" s="98" t="s">
        <v>162</v>
      </c>
      <c r="P694" s="99" t="str">
        <f>IFERROR(__xludf.DUMMYFUNCTION("IFERROR(VLOOKUP(AS694,IMPORTRANGE(""https://docs.google.com/spreadsheets/d/1juPI-Fb8LD0YtltB2mlGEnp_R3UVu1t3wSFPzgCyHXE/edit?gid=0#gid=0"",""GERAL!A2:C""),3,0),""-"")"),"-")</f>
        <v>-</v>
      </c>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c r="AR694" s="83"/>
      <c r="AS694" s="83">
        <v>1121342.0</v>
      </c>
    </row>
    <row r="695" ht="15.75" customHeight="1">
      <c r="A695" s="111" t="s">
        <v>796</v>
      </c>
      <c r="B695" s="83" t="s">
        <v>2159</v>
      </c>
      <c r="C695" s="83" t="s">
        <v>164</v>
      </c>
      <c r="D695" s="112">
        <v>1179111.0</v>
      </c>
      <c r="E695" s="83">
        <v>1178688.0</v>
      </c>
      <c r="F695" s="83"/>
      <c r="G695" s="91" t="str">
        <f>IFERROR(__xludf.DUMMYFUNCTION("XLOOKUP(AS695,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DISTRITO DE SALINA DO DESIDERIO")</f>
        <v>ANEXO - CEMIT- SERTAO DO SAO FRANCISCO- DISTRITO DE SALINA DO DESIDERIO</v>
      </c>
      <c r="H695" s="114" t="s">
        <v>3309</v>
      </c>
      <c r="I695" s="91" t="s">
        <v>3310</v>
      </c>
      <c r="J695" s="83" t="s">
        <v>149</v>
      </c>
      <c r="K695" s="136" t="s">
        <v>2855</v>
      </c>
      <c r="L695" s="83" t="s">
        <v>168</v>
      </c>
      <c r="M695" s="83" t="s">
        <v>169</v>
      </c>
      <c r="N695" s="115" t="s">
        <v>170</v>
      </c>
      <c r="O695" s="98" t="s">
        <v>155</v>
      </c>
      <c r="P695" s="99" t="str">
        <f>IFERROR(__xludf.DUMMYFUNCTION("IFERROR(VLOOKUP(AS695,IMPORTRANGE(""https://docs.google.com/spreadsheets/d/1juPI-Fb8LD0YtltB2mlGEnp_R3UVu1t3wSFPzgCyHXE/edit?gid=0#gid=0"",""GERAL!A2:C""),3,0),""-"")"),"-")</f>
        <v>-</v>
      </c>
      <c r="Q695" s="83"/>
      <c r="R695" s="83"/>
      <c r="S695" s="83"/>
      <c r="T695" s="83"/>
      <c r="U695" s="83"/>
      <c r="V695" s="83"/>
      <c r="W695" s="83"/>
      <c r="X695" s="83"/>
      <c r="Y695" s="83"/>
      <c r="Z695" s="83"/>
      <c r="AA695" s="83"/>
      <c r="AB695" s="83"/>
      <c r="AC695" s="83"/>
      <c r="AD695" s="83"/>
      <c r="AE695" s="83"/>
      <c r="AF695" s="83"/>
      <c r="AG695" s="83"/>
      <c r="AH695" s="83"/>
      <c r="AI695" s="83"/>
      <c r="AJ695" s="83"/>
      <c r="AK695" s="83"/>
      <c r="AL695" s="83"/>
      <c r="AM695" s="83"/>
      <c r="AN695" s="83"/>
      <c r="AO695" s="83"/>
      <c r="AP695" s="83"/>
      <c r="AQ695" s="83"/>
      <c r="AR695" s="83"/>
      <c r="AS695" s="83">
        <v>1178688.0</v>
      </c>
    </row>
    <row r="696" ht="15.75" customHeight="1">
      <c r="A696" s="111" t="s">
        <v>796</v>
      </c>
      <c r="B696" s="83" t="s">
        <v>2159</v>
      </c>
      <c r="C696" s="83" t="s">
        <v>164</v>
      </c>
      <c r="D696" s="112">
        <v>1179111.0</v>
      </c>
      <c r="E696" s="83">
        <v>1178683.0</v>
      </c>
      <c r="F696" s="83"/>
      <c r="G696" s="91" t="str">
        <f>IFERROR(__xludf.DUMMYFUNCTION("XLOOKUP(AS696,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DISTRITO DE VILA APARECIDA")</f>
        <v>ANEXO - CEMIT- SERTAO DO SAO FRANCISCO - DISTRITO DE VILA APARECIDA</v>
      </c>
      <c r="H696" s="114" t="s">
        <v>3311</v>
      </c>
      <c r="I696" s="91" t="s">
        <v>3312</v>
      </c>
      <c r="J696" s="83" t="s">
        <v>149</v>
      </c>
      <c r="K696" s="136" t="s">
        <v>702</v>
      </c>
      <c r="L696" s="83" t="s">
        <v>168</v>
      </c>
      <c r="M696" s="83" t="s">
        <v>169</v>
      </c>
      <c r="N696" s="115" t="s">
        <v>170</v>
      </c>
      <c r="O696" s="98" t="s">
        <v>155</v>
      </c>
      <c r="P696" s="99" t="str">
        <f>IFERROR(__xludf.DUMMYFUNCTION("IFERROR(VLOOKUP(AS696,IMPORTRANGE(""https://docs.google.com/spreadsheets/d/1juPI-Fb8LD0YtltB2mlGEnp_R3UVu1t3wSFPzgCyHXE/edit?gid=0#gid=0"",""GERAL!A2:C""),3,0),""-"")"),"-")</f>
        <v>-</v>
      </c>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c r="AR696" s="83"/>
      <c r="AS696" s="83">
        <v>1178683.0</v>
      </c>
    </row>
    <row r="697" ht="15.75" customHeight="1">
      <c r="A697" s="111" t="s">
        <v>796</v>
      </c>
      <c r="B697" s="83" t="s">
        <v>2159</v>
      </c>
      <c r="C697" s="83" t="s">
        <v>164</v>
      </c>
      <c r="D697" s="112">
        <v>1179111.0</v>
      </c>
      <c r="E697" s="83">
        <v>1178682.0</v>
      </c>
      <c r="F697" s="83"/>
      <c r="G697" s="91" t="str">
        <f>IFERROR(__xludf.DUMMYFUNCTION("XLOOKUP(AS697,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DISTRITO DE JATOBA")</f>
        <v>ANEXO - CEMIT- SERTAO DO SAO FRANCISCO - DISTRITO DE JATOBA</v>
      </c>
      <c r="H697" s="114" t="s">
        <v>3313</v>
      </c>
      <c r="I697" s="91" t="s">
        <v>3314</v>
      </c>
      <c r="J697" s="193" t="s">
        <v>171</v>
      </c>
      <c r="K697" s="98" t="s">
        <v>784</v>
      </c>
      <c r="L697" s="83" t="s">
        <v>168</v>
      </c>
      <c r="M697" s="83" t="s">
        <v>512</v>
      </c>
      <c r="N697" s="115" t="s">
        <v>170</v>
      </c>
      <c r="O697" s="98" t="s">
        <v>155</v>
      </c>
      <c r="P697" s="99" t="str">
        <f>IFERROR(__xludf.DUMMYFUNCTION("IFERROR(VLOOKUP(AS697,IMPORTRANGE(""https://docs.google.com/spreadsheets/d/1juPI-Fb8LD0YtltB2mlGEnp_R3UVu1t3wSFPzgCyHXE/edit?gid=0#gid=0"",""GERAL!A2:C""),3,0),""-"")"),"-")</f>
        <v>-</v>
      </c>
      <c r="Q697" s="83"/>
      <c r="R697" s="83"/>
      <c r="S697" s="83"/>
      <c r="T697" s="83"/>
      <c r="U697" s="83"/>
      <c r="V697" s="83"/>
      <c r="W697" s="83"/>
      <c r="X697" s="83"/>
      <c r="Y697" s="83"/>
      <c r="Z697" s="83"/>
      <c r="AA697" s="83"/>
      <c r="AB697" s="83"/>
      <c r="AC697" s="83"/>
      <c r="AD697" s="83"/>
      <c r="AE697" s="83"/>
      <c r="AF697" s="83"/>
      <c r="AG697" s="83"/>
      <c r="AH697" s="83"/>
      <c r="AI697" s="83"/>
      <c r="AJ697" s="83"/>
      <c r="AK697" s="83"/>
      <c r="AL697" s="83"/>
      <c r="AM697" s="83"/>
      <c r="AN697" s="83"/>
      <c r="AO697" s="83"/>
      <c r="AP697" s="83"/>
      <c r="AQ697" s="83"/>
      <c r="AR697" s="83"/>
      <c r="AS697" s="83">
        <v>1178682.0</v>
      </c>
    </row>
    <row r="698" ht="15.75" customHeight="1">
      <c r="A698" s="111" t="s">
        <v>796</v>
      </c>
      <c r="B698" s="83" t="s">
        <v>2159</v>
      </c>
      <c r="C698" s="83" t="s">
        <v>164</v>
      </c>
      <c r="D698" s="112">
        <v>1179111.0</v>
      </c>
      <c r="E698" s="83">
        <v>1178687.0</v>
      </c>
      <c r="F698" s="83"/>
      <c r="G698" s="91" t="str">
        <f>IFERROR(__xludf.DUMMYFUNCTION("XLOOKUP(AS698,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ESPINHEIRO")</f>
        <v>ANEXO - CEMIT - SERTAO DO SAO FRANCISCO - POVOADO DE ESPINHEIRO</v>
      </c>
      <c r="H698" s="114" t="s">
        <v>3316</v>
      </c>
      <c r="I698" s="91" t="s">
        <v>3317</v>
      </c>
      <c r="J698" s="83" t="s">
        <v>149</v>
      </c>
      <c r="K698" s="136" t="s">
        <v>672</v>
      </c>
      <c r="L698" s="83" t="s">
        <v>151</v>
      </c>
      <c r="M698" s="83" t="s">
        <v>169</v>
      </c>
      <c r="N698" s="115" t="s">
        <v>170</v>
      </c>
      <c r="O698" s="98" t="s">
        <v>155</v>
      </c>
      <c r="P698" s="99" t="str">
        <f>IFERROR(__xludf.DUMMYFUNCTION("IFERROR(VLOOKUP(AS698,IMPORTRANGE(""https://docs.google.com/spreadsheets/d/1juPI-Fb8LD0YtltB2mlGEnp_R3UVu1t3wSFPzgCyHXE/edit?gid=0#gid=0"",""GERAL!A2:C""),3,0),""-"")"),"-")</f>
        <v>-</v>
      </c>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c r="AR698" s="83"/>
      <c r="AS698" s="83">
        <v>1178687.0</v>
      </c>
    </row>
    <row r="699" ht="15.75" customHeight="1">
      <c r="A699" s="111" t="s">
        <v>796</v>
      </c>
      <c r="B699" s="83" t="s">
        <v>2159</v>
      </c>
      <c r="C699" s="83" t="s">
        <v>164</v>
      </c>
      <c r="D699" s="112">
        <v>1179111.0</v>
      </c>
      <c r="E699" s="83">
        <v>1178681.0</v>
      </c>
      <c r="F699" s="83"/>
      <c r="G699" s="91" t="str">
        <f>IFERROR(__xludf.DUMMYFUNCTION("XLOOKUP(AS699,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NOVA ESPERANCA")</f>
        <v>ANEXO - CEMIT - SERTAO DO SAO FRANCISCO - DISTRITO NOVA ESPERANCA</v>
      </c>
      <c r="H699" s="114" t="s">
        <v>3318</v>
      </c>
      <c r="I699" s="91" t="s">
        <v>3304</v>
      </c>
      <c r="J699" s="83" t="s">
        <v>149</v>
      </c>
      <c r="K699" s="83" t="s">
        <v>3319</v>
      </c>
      <c r="L699" s="83" t="s">
        <v>168</v>
      </c>
      <c r="M699" s="83" t="s">
        <v>169</v>
      </c>
      <c r="N699" s="115" t="s">
        <v>170</v>
      </c>
      <c r="O699" s="98" t="s">
        <v>155</v>
      </c>
      <c r="P699" s="99" t="str">
        <f>IFERROR(__xludf.DUMMYFUNCTION("IFERROR(VLOOKUP(AS699,IMPORTRANGE(""https://docs.google.com/spreadsheets/d/1juPI-Fb8LD0YtltB2mlGEnp_R3UVu1t3wSFPzgCyHXE/edit?gid=0#gid=0"",""GERAL!A2:C""),3,0),""-"")"),"-")</f>
        <v>-</v>
      </c>
      <c r="Q699" s="83"/>
      <c r="R699" s="83"/>
      <c r="S699" s="83"/>
      <c r="T699" s="83"/>
      <c r="U699" s="83"/>
      <c r="V699" s="83"/>
      <c r="W699" s="83"/>
      <c r="X699" s="83"/>
      <c r="Y699" s="83"/>
      <c r="Z699" s="83"/>
      <c r="AA699" s="83"/>
      <c r="AB699" s="83"/>
      <c r="AC699" s="83"/>
      <c r="AD699" s="83"/>
      <c r="AE699" s="83"/>
      <c r="AF699" s="83"/>
      <c r="AG699" s="83"/>
      <c r="AH699" s="83"/>
      <c r="AI699" s="83"/>
      <c r="AJ699" s="83"/>
      <c r="AK699" s="83"/>
      <c r="AL699" s="83"/>
      <c r="AM699" s="83"/>
      <c r="AN699" s="83"/>
      <c r="AO699" s="83"/>
      <c r="AP699" s="83"/>
      <c r="AQ699" s="83"/>
      <c r="AR699" s="83"/>
      <c r="AS699" s="83">
        <v>1178681.0</v>
      </c>
    </row>
    <row r="700" ht="15.75" customHeight="1">
      <c r="A700" s="111" t="s">
        <v>796</v>
      </c>
      <c r="B700" s="83" t="s">
        <v>2159</v>
      </c>
      <c r="C700" s="83" t="s">
        <v>164</v>
      </c>
      <c r="D700" s="112">
        <v>1179111.0</v>
      </c>
      <c r="E700" s="83">
        <v>1178685.0</v>
      </c>
      <c r="F700" s="83"/>
      <c r="G700" s="91" t="str">
        <f>IFERROR(__xludf.DUMMYFUNCTION("XLOOKUP(AS700,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ESTACADA")</f>
        <v>ANEXO - CEMIT - SERTAO DO SAO FRANCISCO - DISTRITO DE ESTACADA</v>
      </c>
      <c r="H700" s="114" t="s">
        <v>3320</v>
      </c>
      <c r="I700" s="91" t="s">
        <v>3321</v>
      </c>
      <c r="J700" s="83" t="s">
        <v>149</v>
      </c>
      <c r="K700" s="83" t="s">
        <v>3319</v>
      </c>
      <c r="L700" s="83" t="s">
        <v>168</v>
      </c>
      <c r="M700" s="83" t="s">
        <v>169</v>
      </c>
      <c r="N700" s="115" t="s">
        <v>170</v>
      </c>
      <c r="O700" s="98" t="s">
        <v>155</v>
      </c>
      <c r="P700" s="99" t="str">
        <f>IFERROR(__xludf.DUMMYFUNCTION("IFERROR(VLOOKUP(AS700,IMPORTRANGE(""https://docs.google.com/spreadsheets/d/1juPI-Fb8LD0YtltB2mlGEnp_R3UVu1t3wSFPzgCyHXE/edit?gid=0#gid=0"",""GERAL!A2:C""),3,0),""-"")"),"-")</f>
        <v>-</v>
      </c>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c r="AR700" s="83"/>
      <c r="AS700" s="83">
        <v>1178685.0</v>
      </c>
    </row>
    <row r="701" ht="15.75" customHeight="1">
      <c r="A701" s="111" t="s">
        <v>796</v>
      </c>
      <c r="B701" s="83" t="s">
        <v>2159</v>
      </c>
      <c r="C701" s="83" t="s">
        <v>164</v>
      </c>
      <c r="D701" s="112">
        <v>1179111.0</v>
      </c>
      <c r="E701" s="83">
        <v>1178684.0</v>
      </c>
      <c r="F701" s="83"/>
      <c r="G701" s="91" t="str">
        <f>IFERROR(__xludf.DUMMYFUNCTION("XLOOKUP(AS701,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CACIMBA DO BASILIO")</f>
        <v>ANEXO - CEMIT - SERTAO DO SAO FRANCISCO - DISTRITO DE CACIMBA DO BASILIO</v>
      </c>
      <c r="H701" s="114" t="s">
        <v>3324</v>
      </c>
      <c r="I701" s="91" t="s">
        <v>3325</v>
      </c>
      <c r="J701" s="83" t="s">
        <v>149</v>
      </c>
      <c r="K701" s="83" t="s">
        <v>657</v>
      </c>
      <c r="L701" s="83" t="s">
        <v>168</v>
      </c>
      <c r="M701" s="83" t="s">
        <v>169</v>
      </c>
      <c r="N701" s="115" t="s">
        <v>170</v>
      </c>
      <c r="O701" s="98" t="s">
        <v>155</v>
      </c>
      <c r="P701" s="99" t="str">
        <f>IFERROR(__xludf.DUMMYFUNCTION("IFERROR(VLOOKUP(AS701,IMPORTRANGE(""https://docs.google.com/spreadsheets/d/1juPI-Fb8LD0YtltB2mlGEnp_R3UVu1t3wSFPzgCyHXE/edit?gid=0#gid=0"",""GERAL!A2:C""),3,0),""-"")"),"-")</f>
        <v>-</v>
      </c>
      <c r="Q701" s="83"/>
      <c r="R701" s="83"/>
      <c r="S701" s="83"/>
      <c r="T701" s="83"/>
      <c r="U701" s="83"/>
      <c r="V701" s="83"/>
      <c r="W701" s="83"/>
      <c r="X701" s="83"/>
      <c r="Y701" s="83"/>
      <c r="Z701" s="83"/>
      <c r="AA701" s="83"/>
      <c r="AB701" s="83"/>
      <c r="AC701" s="83"/>
      <c r="AD701" s="83"/>
      <c r="AE701" s="83"/>
      <c r="AF701" s="83"/>
      <c r="AG701" s="83"/>
      <c r="AH701" s="83"/>
      <c r="AI701" s="83"/>
      <c r="AJ701" s="83"/>
      <c r="AK701" s="83"/>
      <c r="AL701" s="83"/>
      <c r="AM701" s="83"/>
      <c r="AN701" s="83"/>
      <c r="AO701" s="83"/>
      <c r="AP701" s="83"/>
      <c r="AQ701" s="83"/>
      <c r="AR701" s="83"/>
      <c r="AS701" s="83">
        <v>1178684.0</v>
      </c>
    </row>
    <row r="702" ht="15.75" customHeight="1">
      <c r="A702" s="111" t="s">
        <v>796</v>
      </c>
      <c r="B702" s="83" t="s">
        <v>2234</v>
      </c>
      <c r="C702" s="83" t="s">
        <v>68</v>
      </c>
      <c r="D702" s="112">
        <v>1144156.0</v>
      </c>
      <c r="E702" s="189"/>
      <c r="F702" s="83">
        <v>2.903163E7</v>
      </c>
      <c r="G702" s="91" t="str">
        <f>IFERROR(__xludf.DUMMYFUNCTION("XLOOKUP(AS702,
IMPORTRANGE(""https://docs.google.com/spreadsheets/d/1YM-djuOLXomrZ9W0B4TyIBsVWnXY4EIOFD9HY-qGfv0/edit?usp=sharing"",""GERAL!BG5:BG""),
IMPORTRANGE(""https://docs.google.com/spreadsheets/d/1YM-djuOLXomrZ9W0B4TyIBsVWnXY4EIOFD9HY-qGfv0/edit?u"&amp;"sp=sharing"",""GERAL!G5:G""),
""CÓD. SEC NÃO ENCONTRADO NA PLANILHA DE MATRÍCULA"")"),"CÓD. SEC NÃO ENCONTRADO NA PLANILHA DE MATRÍCULA")</f>
        <v>CÓD. SEC NÃO ENCONTRADO NA PLANILHA DE MATRÍCULA</v>
      </c>
      <c r="H702" s="209" t="s">
        <v>2544</v>
      </c>
      <c r="I702" s="91" t="s">
        <v>3326</v>
      </c>
      <c r="J702" s="83" t="s">
        <v>149</v>
      </c>
      <c r="K702" s="83" t="s">
        <v>150</v>
      </c>
      <c r="L702" s="83" t="s">
        <v>151</v>
      </c>
      <c r="M702" s="98" t="s">
        <v>230</v>
      </c>
      <c r="N702" s="98" t="s">
        <v>3327</v>
      </c>
      <c r="O702" s="98" t="s">
        <v>176</v>
      </c>
      <c r="P702" s="99" t="str">
        <f>IFERROR(__xludf.DUMMYFUNCTION("IFERROR(VLOOKUP(AS702,IMPORTRANGE(""https://docs.google.com/spreadsheets/d/1juPI-Fb8LD0YtltB2mlGEnp_R3UVu1t3wSFPzgCyHXE/edit?gid=0#gid=0"",""GERAL!A2:C""),3,0),""-"")"),"-")</f>
        <v>-</v>
      </c>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c r="AR702" s="83"/>
      <c r="AS702" s="83">
        <v>1144156.0</v>
      </c>
    </row>
    <row r="703" ht="15.75" customHeight="1">
      <c r="A703" s="111" t="s">
        <v>796</v>
      </c>
      <c r="B703" s="83" t="s">
        <v>2234</v>
      </c>
      <c r="C703" s="83" t="s">
        <v>164</v>
      </c>
      <c r="D703" s="112">
        <v>1179111.0</v>
      </c>
      <c r="E703" s="212">
        <v>1179774.0</v>
      </c>
      <c r="F703" s="237"/>
      <c r="G703" s="91" t="str">
        <f>IFERROR(__xludf.DUMMYFUNCTION("XLOOKUP(AS703,
IMPORTRANGE(""https://docs.google.com/spreadsheets/d/1YM-djuOLXomrZ9W0B4TyIBsVWnXY4EIOFD9HY-qGfv0/edit?usp=sharing"",""GERAL!BG5:BG""),
IMPORTRANGE(""https://docs.google.com/spreadsheets/d/1YM-djuOLXomrZ9W0B4TyIBsVWnXY4EIOFD9HY-qGfv0/edit?u"&amp;"sp=sharing"",""GERAL!G5:G""),
""CÓD. SEC NÃO ENCONTRADO NA PLANILHA DE MATRÍCULA"")"),"ANEXO -CEMIT SERTÃO DO SÃO FRANCISCO - POVOADO DE CAMPO LARGO")</f>
        <v>ANEXO -CEMIT SERTÃO DO SÃO FRANCISCO - POVOADO DE CAMPO LARGO</v>
      </c>
      <c r="H703" s="209" t="s">
        <v>3328</v>
      </c>
      <c r="I703" s="108" t="s">
        <v>3329</v>
      </c>
      <c r="J703" s="360"/>
      <c r="K703" s="229"/>
      <c r="L703" s="83" t="s">
        <v>168</v>
      </c>
      <c r="M703" s="83" t="s">
        <v>169</v>
      </c>
      <c r="N703" s="115" t="s">
        <v>170</v>
      </c>
      <c r="O703" s="98" t="s">
        <v>155</v>
      </c>
      <c r="P703" s="99" t="str">
        <f>IFERROR(__xludf.DUMMYFUNCTION("IFERROR(VLOOKUP(AS703,IMPORTRANGE(""https://docs.google.com/spreadsheets/d/1juPI-Fb8LD0YtltB2mlGEnp_R3UVu1t3wSFPzgCyHXE/edit?gid=0#gid=0"",""GERAL!A2:C""),3,0),""-"")"),"-")</f>
        <v>-</v>
      </c>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v>1179774.0</v>
      </c>
    </row>
    <row r="704" ht="15.75" customHeight="1">
      <c r="A704" s="111" t="s">
        <v>796</v>
      </c>
      <c r="B704" s="83" t="s">
        <v>2234</v>
      </c>
      <c r="C704" s="191" t="s">
        <v>164</v>
      </c>
      <c r="D704" s="112">
        <v>1120990.0</v>
      </c>
      <c r="E704" s="83">
        <v>1178703.0</v>
      </c>
      <c r="F704" s="237"/>
      <c r="G704" s="91" t="str">
        <f>IFERROR(__xludf.DUMMYFUNCTION("XLOOKUP(AS704,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JUCA SENTO SÉ - POV. BREJO DE FORA")</f>
        <v>ANEXO - COLÉGIO ESTADUAL JUCA SENTO SÉ - POV. BREJO DE FORA</v>
      </c>
      <c r="H704" s="119" t="s">
        <v>3331</v>
      </c>
      <c r="I704" s="91" t="s">
        <v>3332</v>
      </c>
      <c r="J704" s="214" t="s">
        <v>3333</v>
      </c>
      <c r="K704" s="83" t="s">
        <v>3334</v>
      </c>
      <c r="L704" s="83" t="s">
        <v>151</v>
      </c>
      <c r="M704" s="83" t="s">
        <v>169</v>
      </c>
      <c r="N704" s="115" t="s">
        <v>170</v>
      </c>
      <c r="O704" s="98" t="s">
        <v>155</v>
      </c>
      <c r="P704" s="99" t="str">
        <f>IFERROR(__xludf.DUMMYFUNCTION("IFERROR(VLOOKUP(AS704,IMPORTRANGE(""https://docs.google.com/spreadsheets/d/1juPI-Fb8LD0YtltB2mlGEnp_R3UVu1t3wSFPzgCyHXE/edit?gid=0#gid=0"",""GERAL!A2:C""),3,0),""-"")"),"CAMPO")</f>
        <v>CAMPO</v>
      </c>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c r="AR704" s="83"/>
      <c r="AS704" s="83">
        <v>1178703.0</v>
      </c>
    </row>
    <row r="705" ht="15.75" customHeight="1">
      <c r="A705" s="111" t="s">
        <v>796</v>
      </c>
      <c r="B705" s="83" t="s">
        <v>2234</v>
      </c>
      <c r="C705" s="83" t="s">
        <v>164</v>
      </c>
      <c r="D705" s="112">
        <v>1120990.0</v>
      </c>
      <c r="E705" s="83">
        <v>1178700.0</v>
      </c>
      <c r="F705" s="83"/>
      <c r="G705" s="91" t="str">
        <f>IFERROR(__xludf.DUMMYFUNCTION("XLOOKUP(AS705,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DOUTOR JUCA SENTO SE - DISTRITO DE PICARRAO")</f>
        <v>ANEXO - COLÉGIO ESTADUAL DOUTOR JUCA SENTO SE - DISTRITO DE PICARRAO</v>
      </c>
      <c r="H705" s="119" t="s">
        <v>3335</v>
      </c>
      <c r="I705" s="91" t="s">
        <v>3336</v>
      </c>
      <c r="J705" s="172" t="s">
        <v>3337</v>
      </c>
      <c r="K705" s="83" t="s">
        <v>2410</v>
      </c>
      <c r="L705" s="83" t="s">
        <v>168</v>
      </c>
      <c r="M705" s="83" t="s">
        <v>169</v>
      </c>
      <c r="N705" s="115" t="s">
        <v>170</v>
      </c>
      <c r="O705" s="98" t="s">
        <v>155</v>
      </c>
      <c r="P705" s="99" t="str">
        <f>IFERROR(__xludf.DUMMYFUNCTION("IFERROR(VLOOKUP(AS705,IMPORTRANGE(""https://docs.google.com/spreadsheets/d/1juPI-Fb8LD0YtltB2mlGEnp_R3UVu1t3wSFPzgCyHXE/edit?gid=0#gid=0"",""GERAL!A2:C""),3,0),""-"")"),"CAMPO")</f>
        <v>CAMPO</v>
      </c>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v>1178700.0</v>
      </c>
    </row>
    <row r="706" ht="15.75" customHeight="1">
      <c r="A706" s="111" t="s">
        <v>796</v>
      </c>
      <c r="B706" s="83" t="s">
        <v>2234</v>
      </c>
      <c r="C706" s="83" t="s">
        <v>164</v>
      </c>
      <c r="D706" s="112">
        <v>1120990.0</v>
      </c>
      <c r="E706" s="83">
        <v>1178690.0</v>
      </c>
      <c r="F706" s="83"/>
      <c r="G706" s="91" t="str">
        <f>IFERROR(__xludf.DUMMYFUNCTION("XLOOKUP(AS706,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DOUTOR JUCA SENTO - DISTRITO DE PIRI")</f>
        <v>ANEXO - COLÉGIO ESTADUAL DOUTOR JUCA SENTO - DISTRITO DE PIRI</v>
      </c>
      <c r="H706" s="119" t="s">
        <v>3338</v>
      </c>
      <c r="I706" s="91" t="s">
        <v>3339</v>
      </c>
      <c r="J706" s="172" t="s">
        <v>3340</v>
      </c>
      <c r="K706" s="83" t="s">
        <v>568</v>
      </c>
      <c r="L706" s="83" t="s">
        <v>151</v>
      </c>
      <c r="M706" s="83" t="s">
        <v>169</v>
      </c>
      <c r="N706" s="115" t="s">
        <v>170</v>
      </c>
      <c r="O706" s="98" t="s">
        <v>155</v>
      </c>
      <c r="P706" s="99" t="str">
        <f>IFERROR(__xludf.DUMMYFUNCTION("IFERROR(VLOOKUP(AS706,IMPORTRANGE(""https://docs.google.com/spreadsheets/d/1juPI-Fb8LD0YtltB2mlGEnp_R3UVu1t3wSFPzgCyHXE/edit?gid=0#gid=0"",""GERAL!A2:C""),3,0),""-"")"),"CAMPO")</f>
        <v>CAMPO</v>
      </c>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c r="AR706" s="83"/>
      <c r="AS706" s="83">
        <v>1178690.0</v>
      </c>
    </row>
    <row r="707" ht="15.75" customHeight="1">
      <c r="A707" s="111" t="s">
        <v>796</v>
      </c>
      <c r="B707" s="83" t="s">
        <v>2234</v>
      </c>
      <c r="C707" s="83" t="s">
        <v>164</v>
      </c>
      <c r="D707" s="112">
        <v>1179111.0</v>
      </c>
      <c r="E707" s="98">
        <v>1179771.0</v>
      </c>
      <c r="F707" s="83"/>
      <c r="G707" s="91" t="str">
        <f>IFERROR(__xludf.DUMMYFUNCTION("XLOOKUP(AS707,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SERTÃO DO SERTAO DO SAO FRANCISCO - POVOADO DE SANHARO")</f>
        <v>ANEXO - CEMIT SERTÃO DO SERTAO DO SAO FRANCISCO - POVOADO DE SANHARO</v>
      </c>
      <c r="H707" s="119" t="s">
        <v>3341</v>
      </c>
      <c r="I707" s="108" t="s">
        <v>3342</v>
      </c>
      <c r="J707" s="229"/>
      <c r="K707" s="229"/>
      <c r="L707" s="98" t="s">
        <v>168</v>
      </c>
      <c r="M707" s="83"/>
      <c r="N707" s="115" t="s">
        <v>170</v>
      </c>
      <c r="O707" s="98" t="s">
        <v>155</v>
      </c>
      <c r="P707" s="99" t="str">
        <f>IFERROR(__xludf.DUMMYFUNCTION("IFERROR(VLOOKUP(AS707,IMPORTRANGE(""https://docs.google.com/spreadsheets/d/1juPI-Fb8LD0YtltB2mlGEnp_R3UVu1t3wSFPzgCyHXE/edit?gid=0#gid=0"",""GERAL!A2:C""),3,0),""-"")"),"-")</f>
        <v>-</v>
      </c>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v>1179771.0</v>
      </c>
    </row>
    <row r="708" ht="15.75" customHeight="1">
      <c r="A708" s="111" t="s">
        <v>796</v>
      </c>
      <c r="B708" s="83" t="s">
        <v>2234</v>
      </c>
      <c r="C708" s="83" t="s">
        <v>164</v>
      </c>
      <c r="D708" s="112">
        <v>1179111.0</v>
      </c>
      <c r="E708" s="83">
        <v>1178699.0</v>
      </c>
      <c r="F708" s="83"/>
      <c r="G708" s="91" t="str">
        <f>IFERROR(__xludf.DUMMYFUNCTION("XLOOKUP(AS708,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SERTAO DO SAO FRANCISCO - DISTRITO DE VOLTA DA SERRA")</f>
        <v>ANEXO - CEMIT SERTAO DO SAO FRANCISCO - DISTRITO DE VOLTA DA SERRA</v>
      </c>
      <c r="H708" s="114" t="s">
        <v>3343</v>
      </c>
      <c r="I708" s="91" t="s">
        <v>3344</v>
      </c>
      <c r="J708" s="172" t="s">
        <v>171</v>
      </c>
      <c r="K708" s="83" t="s">
        <v>3345</v>
      </c>
      <c r="L708" s="83" t="s">
        <v>151</v>
      </c>
      <c r="M708" s="83" t="s">
        <v>169</v>
      </c>
      <c r="N708" s="115" t="s">
        <v>170</v>
      </c>
      <c r="O708" s="98" t="s">
        <v>155</v>
      </c>
      <c r="P708" s="99" t="str">
        <f>IFERROR(__xludf.DUMMYFUNCTION("IFERROR(VLOOKUP(AS708,IMPORTRANGE(""https://docs.google.com/spreadsheets/d/1juPI-Fb8LD0YtltB2mlGEnp_R3UVu1t3wSFPzgCyHXE/edit?gid=0#gid=0"",""GERAL!A2:C""),3,0),""-"")"),"-")</f>
        <v>-</v>
      </c>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c r="AR708" s="83"/>
      <c r="AS708" s="83">
        <v>1178699.0</v>
      </c>
    </row>
    <row r="709" ht="15.75" customHeight="1">
      <c r="A709" s="111" t="s">
        <v>796</v>
      </c>
      <c r="B709" s="83" t="s">
        <v>2234</v>
      </c>
      <c r="C709" s="83" t="s">
        <v>164</v>
      </c>
      <c r="D709" s="112">
        <v>1179111.0</v>
      </c>
      <c r="E709" s="83">
        <v>1178697.0</v>
      </c>
      <c r="F709" s="83"/>
      <c r="G709" s="91" t="str">
        <f>IFERROR(__xludf.DUMMYFUNCTION("XLOOKUP(AS709,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DO JUNCO")</f>
        <v>ANEXO - CEMIT - SERTAO DO SAO FRANCISCO - POVOADO DO JUNCO</v>
      </c>
      <c r="H709" s="114" t="s">
        <v>3346</v>
      </c>
      <c r="I709" s="91" t="s">
        <v>3347</v>
      </c>
      <c r="J709" s="172" t="s">
        <v>171</v>
      </c>
      <c r="K709" s="83" t="s">
        <v>3025</v>
      </c>
      <c r="L709" s="83" t="s">
        <v>168</v>
      </c>
      <c r="M709" s="83" t="s">
        <v>169</v>
      </c>
      <c r="N709" s="115" t="s">
        <v>170</v>
      </c>
      <c r="O709" s="98" t="s">
        <v>155</v>
      </c>
      <c r="P709" s="99" t="str">
        <f>IFERROR(__xludf.DUMMYFUNCTION("IFERROR(VLOOKUP(AS709,IMPORTRANGE(""https://docs.google.com/spreadsheets/d/1juPI-Fb8LD0YtltB2mlGEnp_R3UVu1t3wSFPzgCyHXE/edit?gid=0#gid=0"",""GERAL!A2:C""),3,0),""-"")"),"-")</f>
        <v>-</v>
      </c>
      <c r="Q709" s="83"/>
      <c r="R709" s="83"/>
      <c r="S709" s="83"/>
      <c r="T709" s="83"/>
      <c r="U709" s="83"/>
      <c r="V709" s="83"/>
      <c r="W709" s="83"/>
      <c r="X709" s="83"/>
      <c r="Y709" s="83"/>
      <c r="Z709" s="83"/>
      <c r="AA709" s="83"/>
      <c r="AB709" s="83"/>
      <c r="AC709" s="83"/>
      <c r="AD709" s="83"/>
      <c r="AE709" s="83"/>
      <c r="AF709" s="83"/>
      <c r="AG709" s="83"/>
      <c r="AH709" s="83"/>
      <c r="AI709" s="83"/>
      <c r="AJ709" s="83"/>
      <c r="AK709" s="83"/>
      <c r="AL709" s="83"/>
      <c r="AM709" s="83"/>
      <c r="AN709" s="83"/>
      <c r="AO709" s="83"/>
      <c r="AP709" s="83"/>
      <c r="AQ709" s="83"/>
      <c r="AR709" s="83"/>
      <c r="AS709" s="83">
        <v>1178697.0</v>
      </c>
    </row>
    <row r="710" ht="15.75" customHeight="1">
      <c r="A710" s="111" t="s">
        <v>796</v>
      </c>
      <c r="B710" s="83" t="s">
        <v>2234</v>
      </c>
      <c r="C710" s="83" t="s">
        <v>164</v>
      </c>
      <c r="D710" s="112">
        <v>1179111.0</v>
      </c>
      <c r="E710" s="83">
        <v>1178696.0</v>
      </c>
      <c r="F710" s="83"/>
      <c r="G710" s="91" t="str">
        <f>IFERROR(__xludf.DUMMYFUNCTION("XLOOKUP(AS710,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DO CAJUI")</f>
        <v>ANEXO - CEMIT - SERTAO DO SAO FRANCISCO - POVOADO DO CAJUI</v>
      </c>
      <c r="H710" s="114" t="s">
        <v>3348</v>
      </c>
      <c r="I710" s="91" t="s">
        <v>3349</v>
      </c>
      <c r="J710" s="172" t="s">
        <v>171</v>
      </c>
      <c r="K710" s="83" t="s">
        <v>3350</v>
      </c>
      <c r="L710" s="83" t="s">
        <v>168</v>
      </c>
      <c r="M710" s="83" t="s">
        <v>169</v>
      </c>
      <c r="N710" s="115" t="s">
        <v>170</v>
      </c>
      <c r="O710" s="98" t="s">
        <v>155</v>
      </c>
      <c r="P710" s="99" t="str">
        <f>IFERROR(__xludf.DUMMYFUNCTION("IFERROR(VLOOKUP(AS710,IMPORTRANGE(""https://docs.google.com/spreadsheets/d/1juPI-Fb8LD0YtltB2mlGEnp_R3UVu1t3wSFPzgCyHXE/edit?gid=0#gid=0"",""GERAL!A2:C""),3,0),""-"")"),"-")</f>
        <v>-</v>
      </c>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c r="AR710" s="83"/>
      <c r="AS710" s="83">
        <v>1178696.0</v>
      </c>
    </row>
    <row r="711" ht="15.75" customHeight="1">
      <c r="A711" s="111" t="s">
        <v>796</v>
      </c>
      <c r="B711" s="83" t="s">
        <v>2234</v>
      </c>
      <c r="C711" s="83" t="s">
        <v>164</v>
      </c>
      <c r="D711" s="112">
        <v>1179111.0</v>
      </c>
      <c r="E711" s="83">
        <v>1178694.0</v>
      </c>
      <c r="F711" s="83"/>
      <c r="G711" s="91" t="str">
        <f>IFERROR(__xludf.DUMMYFUNCTION("XLOOKUP(AS711,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TOMBADOR DE CIMA")</f>
        <v>ANEXO - CEMIT - SERTAO DO SAO FRANCISCO - POVOADO DE TOMBADOR DE CIMA</v>
      </c>
      <c r="H711" s="114" t="s">
        <v>3351</v>
      </c>
      <c r="I711" s="91" t="s">
        <v>3352</v>
      </c>
      <c r="J711" s="172" t="s">
        <v>171</v>
      </c>
      <c r="K711" s="83" t="s">
        <v>464</v>
      </c>
      <c r="L711" s="83" t="s">
        <v>168</v>
      </c>
      <c r="M711" s="83" t="s">
        <v>169</v>
      </c>
      <c r="N711" s="115" t="s">
        <v>170</v>
      </c>
      <c r="O711" s="98" t="s">
        <v>155</v>
      </c>
      <c r="P711" s="99" t="str">
        <f>IFERROR(__xludf.DUMMYFUNCTION("IFERROR(VLOOKUP(AS711,IMPORTRANGE(""https://docs.google.com/spreadsheets/d/1juPI-Fb8LD0YtltB2mlGEnp_R3UVu1t3wSFPzgCyHXE/edit?gid=0#gid=0"",""GERAL!A2:C""),3,0),""-"")"),"-")</f>
        <v>-</v>
      </c>
      <c r="Q711" s="83"/>
      <c r="R711" s="83"/>
      <c r="S711" s="83"/>
      <c r="T711" s="83"/>
      <c r="U711" s="83"/>
      <c r="V711" s="83"/>
      <c r="W711" s="83"/>
      <c r="X711" s="83"/>
      <c r="Y711" s="83"/>
      <c r="Z711" s="83"/>
      <c r="AA711" s="83"/>
      <c r="AB711" s="83"/>
      <c r="AC711" s="83"/>
      <c r="AD711" s="83"/>
      <c r="AE711" s="83"/>
      <c r="AF711" s="83"/>
      <c r="AG711" s="83"/>
      <c r="AH711" s="83"/>
      <c r="AI711" s="83"/>
      <c r="AJ711" s="83"/>
      <c r="AK711" s="83"/>
      <c r="AL711" s="83"/>
      <c r="AM711" s="83"/>
      <c r="AN711" s="83"/>
      <c r="AO711" s="83"/>
      <c r="AP711" s="83"/>
      <c r="AQ711" s="83"/>
      <c r="AR711" s="83"/>
      <c r="AS711" s="83">
        <v>1178694.0</v>
      </c>
    </row>
    <row r="712" ht="15.75" customHeight="1">
      <c r="A712" s="111" t="s">
        <v>796</v>
      </c>
      <c r="B712" s="83" t="s">
        <v>2234</v>
      </c>
      <c r="C712" s="83" t="s">
        <v>164</v>
      </c>
      <c r="D712" s="112">
        <v>1179111.0</v>
      </c>
      <c r="E712" s="83">
        <v>1178693.0</v>
      </c>
      <c r="F712" s="83"/>
      <c r="G712" s="91" t="str">
        <f>IFERROR(__xludf.DUMMYFUNCTION("XLOOKUP(AS712,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PONTA DAGUA")</f>
        <v>ANEXO - CEMIT - SERTAO DO SAO FRANCISCO - POVOADO DE PONTA DAGUA</v>
      </c>
      <c r="H712" s="114" t="s">
        <v>3353</v>
      </c>
      <c r="I712" s="91" t="s">
        <v>3354</v>
      </c>
      <c r="J712" s="172" t="s">
        <v>171</v>
      </c>
      <c r="K712" s="83" t="s">
        <v>865</v>
      </c>
      <c r="L712" s="83" t="s">
        <v>168</v>
      </c>
      <c r="M712" s="83" t="s">
        <v>169</v>
      </c>
      <c r="N712" s="115" t="s">
        <v>170</v>
      </c>
      <c r="O712" s="98" t="s">
        <v>155</v>
      </c>
      <c r="P712" s="99" t="str">
        <f>IFERROR(__xludf.DUMMYFUNCTION("IFERROR(VLOOKUP(AS712,IMPORTRANGE(""https://docs.google.com/spreadsheets/d/1juPI-Fb8LD0YtltB2mlGEnp_R3UVu1t3wSFPzgCyHXE/edit?gid=0#gid=0"",""GERAL!A2:C""),3,0),""-"")"),"-")</f>
        <v>-</v>
      </c>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c r="AR712" s="83"/>
      <c r="AS712" s="83">
        <v>1178693.0</v>
      </c>
    </row>
    <row r="713" ht="15.75" customHeight="1">
      <c r="A713" s="111" t="s">
        <v>796</v>
      </c>
      <c r="B713" s="83" t="s">
        <v>2234</v>
      </c>
      <c r="C713" s="83" t="s">
        <v>164</v>
      </c>
      <c r="D713" s="112">
        <v>1179111.0</v>
      </c>
      <c r="E713" s="83">
        <v>1178698.0</v>
      </c>
      <c r="F713" s="83"/>
      <c r="G713" s="91" t="str">
        <f>IFERROR(__xludf.DUMMYFUNCTION("XLOOKUP(AS713,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LIMOEIRO DA BATATEIRA")</f>
        <v>ANEXO - CEMIT - SERTAO DO SAO FRANCISCO - POVOADO DE LIMOEIRO DA BATATEIRA</v>
      </c>
      <c r="H713" s="114" t="s">
        <v>3360</v>
      </c>
      <c r="I713" s="91" t="s">
        <v>3361</v>
      </c>
      <c r="J713" s="172" t="s">
        <v>171</v>
      </c>
      <c r="K713" s="83" t="s">
        <v>1870</v>
      </c>
      <c r="L713" s="83" t="s">
        <v>168</v>
      </c>
      <c r="M713" s="83" t="s">
        <v>169</v>
      </c>
      <c r="N713" s="115" t="s">
        <v>170</v>
      </c>
      <c r="O713" s="98" t="s">
        <v>155</v>
      </c>
      <c r="P713" s="99" t="str">
        <f>IFERROR(__xludf.DUMMYFUNCTION("IFERROR(VLOOKUP(AS713,IMPORTRANGE(""https://docs.google.com/spreadsheets/d/1juPI-Fb8LD0YtltB2mlGEnp_R3UVu1t3wSFPzgCyHXE/edit?gid=0#gid=0"",""GERAL!A2:C""),3,0),""-"")"),"-")</f>
        <v>-</v>
      </c>
      <c r="Q713" s="83"/>
      <c r="R713" s="83"/>
      <c r="S713" s="83"/>
      <c r="T713" s="83"/>
      <c r="U713" s="83"/>
      <c r="V713" s="83"/>
      <c r="W713" s="83"/>
      <c r="X713" s="83"/>
      <c r="Y713" s="83"/>
      <c r="Z713" s="83"/>
      <c r="AA713" s="83"/>
      <c r="AB713" s="83"/>
      <c r="AC713" s="83"/>
      <c r="AD713" s="83"/>
      <c r="AE713" s="83"/>
      <c r="AF713" s="83"/>
      <c r="AG713" s="83"/>
      <c r="AH713" s="83"/>
      <c r="AI713" s="83"/>
      <c r="AJ713" s="83"/>
      <c r="AK713" s="83"/>
      <c r="AL713" s="83"/>
      <c r="AM713" s="83"/>
      <c r="AN713" s="83"/>
      <c r="AO713" s="83"/>
      <c r="AP713" s="83"/>
      <c r="AQ713" s="83"/>
      <c r="AR713" s="83"/>
      <c r="AS713" s="83">
        <v>1178698.0</v>
      </c>
    </row>
    <row r="714" ht="15.75" customHeight="1">
      <c r="A714" s="111" t="s">
        <v>796</v>
      </c>
      <c r="B714" s="83" t="s">
        <v>2234</v>
      </c>
      <c r="C714" s="83" t="s">
        <v>164</v>
      </c>
      <c r="D714" s="112">
        <v>1179111.0</v>
      </c>
      <c r="E714" s="83">
        <v>1178692.0</v>
      </c>
      <c r="F714" s="83"/>
      <c r="G714" s="91" t="str">
        <f>IFERROR(__xludf.DUMMYFUNCTION("XLOOKUP(AS714,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POVOADO DE BAZUA")</f>
        <v>ANEXO - CEMIT - SERTAO DO SAO FRANCISCO - POVOADO DE BAZUA</v>
      </c>
      <c r="H714" s="114" t="s">
        <v>3362</v>
      </c>
      <c r="I714" s="91" t="s">
        <v>3363</v>
      </c>
      <c r="J714" s="172" t="s">
        <v>171</v>
      </c>
      <c r="K714" s="83" t="s">
        <v>315</v>
      </c>
      <c r="L714" s="83" t="s">
        <v>168</v>
      </c>
      <c r="M714" s="83" t="s">
        <v>169</v>
      </c>
      <c r="N714" s="115" t="s">
        <v>170</v>
      </c>
      <c r="O714" s="98" t="s">
        <v>155</v>
      </c>
      <c r="P714" s="99" t="str">
        <f>IFERROR(__xludf.DUMMYFUNCTION("IFERROR(VLOOKUP(AS714,IMPORTRANGE(""https://docs.google.com/spreadsheets/d/1juPI-Fb8LD0YtltB2mlGEnp_R3UVu1t3wSFPzgCyHXE/edit?gid=0#gid=0"",""GERAL!A2:C""),3,0),""-"")"),"-")</f>
        <v>-</v>
      </c>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c r="AR714" s="83"/>
      <c r="AS714" s="83">
        <v>1178692.0</v>
      </c>
    </row>
    <row r="715" ht="15.75" customHeight="1">
      <c r="A715" s="111" t="s">
        <v>796</v>
      </c>
      <c r="B715" s="83" t="s">
        <v>2234</v>
      </c>
      <c r="C715" s="83" t="s">
        <v>164</v>
      </c>
      <c r="D715" s="112">
        <v>1179111.0</v>
      </c>
      <c r="E715" s="83">
        <v>1179144.0</v>
      </c>
      <c r="F715" s="83"/>
      <c r="G715" s="91" t="str">
        <f>IFERROR(__xludf.DUMMYFUNCTION("XLOOKUP(AS715,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SERTAO DO SAO FRANCISCO - DISTRITO DE RETIRO DE CIMA")</f>
        <v>ANEXO - CEMIT - SERTAO DO SAO FRANCISCO - DISTRITO DE RETIRO DE CIMA</v>
      </c>
      <c r="H715" s="114" t="s">
        <v>3364</v>
      </c>
      <c r="I715" s="91" t="s">
        <v>3365</v>
      </c>
      <c r="J715" s="172" t="s">
        <v>171</v>
      </c>
      <c r="K715" s="83" t="s">
        <v>252</v>
      </c>
      <c r="L715" s="83" t="s">
        <v>168</v>
      </c>
      <c r="M715" s="83" t="s">
        <v>169</v>
      </c>
      <c r="N715" s="115" t="s">
        <v>170</v>
      </c>
      <c r="O715" s="98" t="s">
        <v>155</v>
      </c>
      <c r="P715" s="99" t="str">
        <f>IFERROR(__xludf.DUMMYFUNCTION("IFERROR(VLOOKUP(AS715,IMPORTRANGE(""https://docs.google.com/spreadsheets/d/1juPI-Fb8LD0YtltB2mlGEnp_R3UVu1t3wSFPzgCyHXE/edit?gid=0#gid=0"",""GERAL!A2:C""),3,0),""-"")"),"-")</f>
        <v>-</v>
      </c>
      <c r="Q715" s="83"/>
      <c r="R715" s="83"/>
      <c r="S715" s="83"/>
      <c r="T715" s="83"/>
      <c r="U715" s="83"/>
      <c r="V715" s="83"/>
      <c r="W715" s="83"/>
      <c r="X715" s="83"/>
      <c r="Y715" s="83"/>
      <c r="Z715" s="83"/>
      <c r="AA715" s="83"/>
      <c r="AB715" s="83"/>
      <c r="AC715" s="83"/>
      <c r="AD715" s="83"/>
      <c r="AE715" s="83"/>
      <c r="AF715" s="83"/>
      <c r="AG715" s="83"/>
      <c r="AH715" s="83"/>
      <c r="AI715" s="83"/>
      <c r="AJ715" s="83"/>
      <c r="AK715" s="83"/>
      <c r="AL715" s="83"/>
      <c r="AM715" s="83"/>
      <c r="AN715" s="83"/>
      <c r="AO715" s="83"/>
      <c r="AP715" s="83"/>
      <c r="AQ715" s="83"/>
      <c r="AR715" s="83"/>
      <c r="AS715" s="83">
        <v>1179144.0</v>
      </c>
    </row>
    <row r="716" ht="15.75" customHeight="1">
      <c r="A716" s="111" t="s">
        <v>796</v>
      </c>
      <c r="B716" s="83" t="s">
        <v>3366</v>
      </c>
      <c r="C716" s="83" t="s">
        <v>45</v>
      </c>
      <c r="D716" s="112">
        <v>1178380.0</v>
      </c>
      <c r="E716" s="83"/>
      <c r="F716" s="83">
        <v>2.9397731E7</v>
      </c>
      <c r="G716" s="91" t="str">
        <f>IFERROR(__xludf.DUMMYFUNCTION("XLOOKUP(AS716,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FAMÍLIA AGRÍCOLA DE SOBRADINHO")</f>
        <v>ESCOLA FAMÍLIA AGRÍCOLA DE SOBRADINHO</v>
      </c>
      <c r="H716" s="114" t="s">
        <v>3367</v>
      </c>
      <c r="I716" s="91" t="s">
        <v>3368</v>
      </c>
      <c r="J716" s="229" t="s">
        <v>149</v>
      </c>
      <c r="K716" s="229" t="s">
        <v>1301</v>
      </c>
      <c r="L716" s="83" t="s">
        <v>171</v>
      </c>
      <c r="M716" s="83" t="s">
        <v>169</v>
      </c>
      <c r="N716" s="98" t="s">
        <v>3370</v>
      </c>
      <c r="O716" s="98" t="s">
        <v>155</v>
      </c>
      <c r="P716" s="99" t="str">
        <f>IFERROR(__xludf.DUMMYFUNCTION("IFERROR(VLOOKUP(AS716,IMPORTRANGE(""https://docs.google.com/spreadsheets/d/1juPI-Fb8LD0YtltB2mlGEnp_R3UVu1t3wSFPzgCyHXE/edit?gid=0#gid=0"",""GERAL!A2:C""),3,0),""-"")"),"EFA")</f>
        <v>EFA</v>
      </c>
      <c r="Q716" s="98" t="s">
        <v>171</v>
      </c>
      <c r="R716" s="98">
        <v>4.0</v>
      </c>
      <c r="S716" s="98">
        <v>0.0</v>
      </c>
      <c r="T716" s="98">
        <v>1.0</v>
      </c>
      <c r="U716" s="98">
        <v>1.0</v>
      </c>
      <c r="V716" s="98">
        <v>1.0</v>
      </c>
      <c r="W716" s="98">
        <v>0.0</v>
      </c>
      <c r="X716" s="98">
        <v>1.0</v>
      </c>
      <c r="Y716" s="98">
        <v>0.0</v>
      </c>
      <c r="Z716" s="98">
        <v>0.0</v>
      </c>
      <c r="AA716" s="98">
        <v>1.0</v>
      </c>
      <c r="AB716" s="98">
        <v>0.0</v>
      </c>
      <c r="AC716" s="98">
        <v>1.0</v>
      </c>
      <c r="AD716" s="98">
        <v>0.0</v>
      </c>
      <c r="AE716" s="98">
        <v>0.0</v>
      </c>
      <c r="AF716" s="98">
        <v>1.0</v>
      </c>
      <c r="AG716" s="98">
        <v>0.0</v>
      </c>
      <c r="AH716" s="98">
        <v>0.0</v>
      </c>
      <c r="AI716" s="98">
        <v>0.0</v>
      </c>
      <c r="AJ716" s="98">
        <v>0.0</v>
      </c>
      <c r="AK716" s="98">
        <v>0.0</v>
      </c>
      <c r="AL716" s="98">
        <v>0.0</v>
      </c>
      <c r="AM716" s="98">
        <v>0.0</v>
      </c>
      <c r="AN716" s="98">
        <v>0.0</v>
      </c>
      <c r="AO716" s="98">
        <v>0.0</v>
      </c>
      <c r="AP716" s="98">
        <v>0.0</v>
      </c>
      <c r="AQ716" s="115"/>
      <c r="AR716" s="102">
        <v>46220.0</v>
      </c>
      <c r="AS716" s="83">
        <v>1178380.0</v>
      </c>
    </row>
    <row r="717" ht="15.75" customHeight="1">
      <c r="A717" s="111" t="s">
        <v>796</v>
      </c>
      <c r="B717" s="83" t="s">
        <v>3366</v>
      </c>
      <c r="C717" s="83" t="s">
        <v>68</v>
      </c>
      <c r="D717" s="112">
        <v>1120508.0</v>
      </c>
      <c r="E717" s="83"/>
      <c r="F717" s="83">
        <v>2.90323E7</v>
      </c>
      <c r="G717" s="91" t="str">
        <f>IFERROR(__xludf.DUMMYFUNCTION("XLOOKUP(AS717,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JORGE KHOURY - TEMPO INTEGRAL")</f>
        <v>COLÉGIO ESTADUAL JORGE KHOURY - TEMPO INTEGRAL</v>
      </c>
      <c r="H717" s="114" t="s">
        <v>3376</v>
      </c>
      <c r="I717" s="91" t="s">
        <v>3377</v>
      </c>
      <c r="J717" s="83" t="s">
        <v>149</v>
      </c>
      <c r="K717" s="83" t="s">
        <v>150</v>
      </c>
      <c r="L717" s="83" t="s">
        <v>151</v>
      </c>
      <c r="M717" s="83" t="s">
        <v>152</v>
      </c>
      <c r="N717" s="98" t="s">
        <v>3378</v>
      </c>
      <c r="O717" s="98" t="s">
        <v>155</v>
      </c>
      <c r="P717" s="99" t="str">
        <f>IFERROR(__xludf.DUMMYFUNCTION("IFERROR(VLOOKUP(AS717,IMPORTRANGE(""https://docs.google.com/spreadsheets/d/1juPI-Fb8LD0YtltB2mlGEnp_R3UVu1t3wSFPzgCyHXE/edit?gid=0#gid=0"",""GERAL!A2:C""),3,0),""-"")"),"-")</f>
        <v>-</v>
      </c>
      <c r="Q717" s="101" t="s">
        <v>156</v>
      </c>
      <c r="R717" s="98">
        <v>7.0</v>
      </c>
      <c r="S717" s="98">
        <v>0.0</v>
      </c>
      <c r="T717" s="98">
        <v>0.0</v>
      </c>
      <c r="U717" s="98">
        <v>0.0</v>
      </c>
      <c r="V717" s="98">
        <v>0.0</v>
      </c>
      <c r="W717" s="98">
        <v>0.0</v>
      </c>
      <c r="X717" s="98">
        <v>1.0</v>
      </c>
      <c r="Y717" s="98">
        <v>0.0</v>
      </c>
      <c r="Z717" s="98">
        <v>0.0</v>
      </c>
      <c r="AA717" s="98">
        <v>1.0</v>
      </c>
      <c r="AB717" s="98">
        <v>0.0</v>
      </c>
      <c r="AC717" s="98">
        <v>0.0</v>
      </c>
      <c r="AD717" s="98">
        <v>1.0</v>
      </c>
      <c r="AE717" s="98">
        <v>0.0</v>
      </c>
      <c r="AF717" s="98">
        <v>1.0</v>
      </c>
      <c r="AG717" s="98">
        <v>0.0</v>
      </c>
      <c r="AH717" s="98">
        <v>0.0</v>
      </c>
      <c r="AI717" s="98">
        <v>0.0</v>
      </c>
      <c r="AJ717" s="98">
        <v>0.0</v>
      </c>
      <c r="AK717" s="98">
        <v>0.0</v>
      </c>
      <c r="AL717" s="98">
        <v>0.0</v>
      </c>
      <c r="AM717" s="98">
        <v>0.0</v>
      </c>
      <c r="AN717" s="98">
        <v>0.0</v>
      </c>
      <c r="AO717" s="98">
        <v>0.0</v>
      </c>
      <c r="AP717" s="98">
        <v>4.0</v>
      </c>
      <c r="AQ717" s="98" t="s">
        <v>3388</v>
      </c>
      <c r="AR717" s="102">
        <v>46220.0</v>
      </c>
      <c r="AS717" s="83">
        <v>1120508.0</v>
      </c>
    </row>
    <row r="718" ht="15.75" customHeight="1">
      <c r="A718" s="111" t="s">
        <v>796</v>
      </c>
      <c r="B718" s="83" t="s">
        <v>3366</v>
      </c>
      <c r="C718" s="83" t="s">
        <v>68</v>
      </c>
      <c r="D718" s="112">
        <v>1120907.0</v>
      </c>
      <c r="E718" s="83"/>
      <c r="F718" s="83">
        <v>2.9032334E7</v>
      </c>
      <c r="G718" s="91" t="str">
        <f>IFERROR(__xludf.DUMMYFUNCTION("XLOOKUP(AS718,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VILA SÃO JOAQUIM")</f>
        <v>COLÉGIO ESTADUAL DE TEMPO INTEGRAL VILA SÃO JOAQUIM</v>
      </c>
      <c r="H718" s="119" t="s">
        <v>3394</v>
      </c>
      <c r="I718" s="91" t="s">
        <v>3395</v>
      </c>
      <c r="J718" s="83" t="s">
        <v>149</v>
      </c>
      <c r="K718" s="83" t="s">
        <v>150</v>
      </c>
      <c r="L718" s="83" t="s">
        <v>151</v>
      </c>
      <c r="M718" s="83" t="s">
        <v>152</v>
      </c>
      <c r="N718" s="98" t="s">
        <v>3396</v>
      </c>
      <c r="O718" s="98" t="s">
        <v>155</v>
      </c>
      <c r="P718" s="99" t="str">
        <f>IFERROR(__xludf.DUMMYFUNCTION("IFERROR(VLOOKUP(AS718,IMPORTRANGE(""https://docs.google.com/spreadsheets/d/1juPI-Fb8LD0YtltB2mlGEnp_R3UVu1t3wSFPzgCyHXE/edit?gid=0#gid=0"",""GERAL!A2:C""),3,0),""-"")"),"-")</f>
        <v>-</v>
      </c>
      <c r="Q718" s="101" t="s">
        <v>156</v>
      </c>
      <c r="R718" s="98">
        <v>11.0</v>
      </c>
      <c r="S718" s="98">
        <v>0.0</v>
      </c>
      <c r="T718" s="98">
        <v>0.0</v>
      </c>
      <c r="U718" s="98">
        <v>0.0</v>
      </c>
      <c r="V718" s="98">
        <v>0.0</v>
      </c>
      <c r="W718" s="98">
        <v>0.0</v>
      </c>
      <c r="X718" s="98">
        <v>0.0</v>
      </c>
      <c r="Y718" s="98">
        <v>0.0</v>
      </c>
      <c r="Z718" s="98">
        <v>0.0</v>
      </c>
      <c r="AA718" s="98">
        <v>0.0</v>
      </c>
      <c r="AB718" s="98">
        <v>0.0</v>
      </c>
      <c r="AC718" s="98">
        <v>0.0</v>
      </c>
      <c r="AD718" s="98">
        <v>0.0</v>
      </c>
      <c r="AE718" s="98">
        <v>0.0</v>
      </c>
      <c r="AF718" s="98">
        <v>1.0</v>
      </c>
      <c r="AG718" s="98">
        <v>0.0</v>
      </c>
      <c r="AH718" s="98">
        <v>0.0</v>
      </c>
      <c r="AI718" s="98">
        <v>0.0</v>
      </c>
      <c r="AJ718" s="98">
        <v>0.0</v>
      </c>
      <c r="AK718" s="98">
        <v>0.0</v>
      </c>
      <c r="AL718" s="98">
        <v>0.0</v>
      </c>
      <c r="AM718" s="98">
        <v>0.0</v>
      </c>
      <c r="AN718" s="98">
        <v>0.0</v>
      </c>
      <c r="AO718" s="98">
        <v>0.0</v>
      </c>
      <c r="AP718" s="98">
        <v>2.0</v>
      </c>
      <c r="AQ718" s="98" t="s">
        <v>3397</v>
      </c>
      <c r="AR718" s="102">
        <v>46220.0</v>
      </c>
      <c r="AS718" s="83">
        <v>1120907.0</v>
      </c>
    </row>
    <row r="719" ht="15.75" customHeight="1">
      <c r="A719" s="111" t="s">
        <v>796</v>
      </c>
      <c r="B719" s="83" t="s">
        <v>3366</v>
      </c>
      <c r="C719" s="83" t="s">
        <v>164</v>
      </c>
      <c r="D719" s="112">
        <v>1120907.0</v>
      </c>
      <c r="E719" s="83">
        <v>1179540.0</v>
      </c>
      <c r="F719" s="83"/>
      <c r="G719" s="91" t="str">
        <f>IFERROR(__xludf.DUMMYFUNCTION("XLOOKUP(AS719,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VILA SÃO JOAQUIM - ASSENTAMENTO VALE DA CONQUISTA")</f>
        <v>ANEXO - COLÉGIO ESTADUAL DE TEMPO INTEGRAL VILA SÃO JOAQUIM - ASSENTAMENTO VALE DA CONQUISTA</v>
      </c>
      <c r="H719" s="119" t="s">
        <v>3399</v>
      </c>
      <c r="I719" s="91" t="s">
        <v>3401</v>
      </c>
      <c r="J719" s="172" t="s">
        <v>3402</v>
      </c>
      <c r="K719" s="172" t="s">
        <v>822</v>
      </c>
      <c r="L719" s="83" t="s">
        <v>151</v>
      </c>
      <c r="M719" s="83" t="s">
        <v>169</v>
      </c>
      <c r="N719" s="115" t="s">
        <v>170</v>
      </c>
      <c r="O719" s="98" t="s">
        <v>155</v>
      </c>
      <c r="P719" s="99" t="str">
        <f>IFERROR(__xludf.DUMMYFUNCTION("IFERROR(VLOOKUP(AS719,IMPORTRANGE(""https://docs.google.com/spreadsheets/d/1juPI-Fb8LD0YtltB2mlGEnp_R3UVu1t3wSFPzgCyHXE/edit?gid=0#gid=0"",""GERAL!A2:C""),3,0),""-"")"),"ASSENTAMENTOS")</f>
        <v>ASSENTAMENTOS</v>
      </c>
      <c r="Q719" s="101" t="s">
        <v>156</v>
      </c>
      <c r="R719" s="98">
        <v>2.0</v>
      </c>
      <c r="S719" s="98" t="s">
        <v>171</v>
      </c>
      <c r="T719" s="98" t="s">
        <v>171</v>
      </c>
      <c r="U719" s="98" t="s">
        <v>171</v>
      </c>
      <c r="V719" s="98" t="s">
        <v>171</v>
      </c>
      <c r="W719" s="98" t="s">
        <v>171</v>
      </c>
      <c r="X719" s="98" t="s">
        <v>171</v>
      </c>
      <c r="Y719" s="98" t="s">
        <v>171</v>
      </c>
      <c r="Z719" s="98" t="s">
        <v>171</v>
      </c>
      <c r="AA719" s="98" t="s">
        <v>171</v>
      </c>
      <c r="AB719" s="98" t="s">
        <v>171</v>
      </c>
      <c r="AC719" s="98" t="s">
        <v>171</v>
      </c>
      <c r="AD719" s="98" t="s">
        <v>171</v>
      </c>
      <c r="AE719" s="98" t="s">
        <v>171</v>
      </c>
      <c r="AF719" s="98" t="s">
        <v>171</v>
      </c>
      <c r="AG719" s="98" t="s">
        <v>171</v>
      </c>
      <c r="AH719" s="98" t="s">
        <v>171</v>
      </c>
      <c r="AI719" s="98" t="s">
        <v>171</v>
      </c>
      <c r="AJ719" s="98" t="s">
        <v>171</v>
      </c>
      <c r="AK719" s="98" t="s">
        <v>171</v>
      </c>
      <c r="AL719" s="98" t="s">
        <v>171</v>
      </c>
      <c r="AM719" s="98" t="s">
        <v>171</v>
      </c>
      <c r="AN719" s="98" t="s">
        <v>171</v>
      </c>
      <c r="AO719" s="98" t="s">
        <v>171</v>
      </c>
      <c r="AP719" s="98" t="s">
        <v>171</v>
      </c>
      <c r="AQ719" s="98" t="s">
        <v>171</v>
      </c>
      <c r="AR719" s="102">
        <v>46220.0</v>
      </c>
      <c r="AS719" s="83">
        <v>1179540.0</v>
      </c>
    </row>
    <row r="720" ht="15.75" customHeight="1">
      <c r="A720" s="111" t="s">
        <v>796</v>
      </c>
      <c r="B720" s="83" t="s">
        <v>3417</v>
      </c>
      <c r="C720" s="83" t="s">
        <v>68</v>
      </c>
      <c r="D720" s="112">
        <v>1121474.0</v>
      </c>
      <c r="E720" s="83"/>
      <c r="F720" s="83">
        <v>2.9124506E7</v>
      </c>
      <c r="G720" s="91" t="str">
        <f>IFERROR(__xludf.DUMMYFUNCTION("XLOOKUP(AS720,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NOSSA SENHORA AUXILIADORA - TEMPO INTEGRAL")</f>
        <v>COLÉGIO ESTADUAL NOSSA SENHORA AUXILIADORA - TEMPO INTEGRAL</v>
      </c>
      <c r="H720" s="114" t="s">
        <v>3419</v>
      </c>
      <c r="I720" s="91" t="s">
        <v>3420</v>
      </c>
      <c r="J720" s="83" t="s">
        <v>149</v>
      </c>
      <c r="K720" s="83" t="s">
        <v>150</v>
      </c>
      <c r="L720" s="83" t="s">
        <v>151</v>
      </c>
      <c r="M720" s="83" t="s">
        <v>76</v>
      </c>
      <c r="N720" s="98" t="s">
        <v>3421</v>
      </c>
      <c r="O720" s="98" t="s">
        <v>155</v>
      </c>
      <c r="P720" s="99" t="str">
        <f>IFERROR(__xludf.DUMMYFUNCTION("IFERROR(VLOOKUP(AS720,IMPORTRANGE(""https://docs.google.com/spreadsheets/d/1juPI-Fb8LD0YtltB2mlGEnp_R3UVu1t3wSFPzgCyHXE/edit?gid=0#gid=0"",""GERAL!A2:C""),3,0),""-"")"),"-")</f>
        <v>-</v>
      </c>
      <c r="Q720" s="101" t="s">
        <v>156</v>
      </c>
      <c r="R720" s="98">
        <v>5.0</v>
      </c>
      <c r="S720" s="98">
        <v>0.0</v>
      </c>
      <c r="T720" s="98">
        <v>0.0</v>
      </c>
      <c r="U720" s="98">
        <v>1.0</v>
      </c>
      <c r="V720" s="98">
        <v>0.0</v>
      </c>
      <c r="W720" s="98">
        <v>0.0</v>
      </c>
      <c r="X720" s="98">
        <v>0.0</v>
      </c>
      <c r="Y720" s="98">
        <v>0.0</v>
      </c>
      <c r="Z720" s="98">
        <v>0.0</v>
      </c>
      <c r="AA720" s="98">
        <v>1.0</v>
      </c>
      <c r="AB720" s="98">
        <v>0.0</v>
      </c>
      <c r="AC720" s="98">
        <v>0.0</v>
      </c>
      <c r="AD720" s="98">
        <v>0.0</v>
      </c>
      <c r="AE720" s="98">
        <v>0.0</v>
      </c>
      <c r="AF720" s="98">
        <v>0.0</v>
      </c>
      <c r="AG720" s="98">
        <v>1.0</v>
      </c>
      <c r="AH720" s="98">
        <v>0.0</v>
      </c>
      <c r="AI720" s="98">
        <v>0.0</v>
      </c>
      <c r="AJ720" s="98">
        <v>0.0</v>
      </c>
      <c r="AK720" s="98">
        <v>0.0</v>
      </c>
      <c r="AL720" s="98">
        <v>0.0</v>
      </c>
      <c r="AM720" s="98">
        <v>0.0</v>
      </c>
      <c r="AN720" s="98">
        <v>0.0</v>
      </c>
      <c r="AO720" s="98">
        <v>0.0</v>
      </c>
      <c r="AP720" s="98">
        <v>4.0</v>
      </c>
      <c r="AQ720" s="98" t="s">
        <v>3425</v>
      </c>
      <c r="AR720" s="102">
        <v>46203.0</v>
      </c>
      <c r="AS720" s="83">
        <v>1121474.0</v>
      </c>
    </row>
    <row r="721" ht="15.75" customHeight="1">
      <c r="A721" s="111" t="s">
        <v>796</v>
      </c>
      <c r="B721" s="83" t="s">
        <v>3417</v>
      </c>
      <c r="C721" s="83" t="s">
        <v>68</v>
      </c>
      <c r="D721" s="112">
        <v>1161271.0</v>
      </c>
      <c r="E721" s="83"/>
      <c r="F721" s="83">
        <v>2.9125537E7</v>
      </c>
      <c r="G721" s="91" t="str">
        <f>IFERROR(__xludf.DUMMYFUNCTION("XLOOKUP(AS721,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PROFESSOR EDIVALDO MACHADO BOAVENTURA - DISTRITO SERRA DA CANABRAVA")</f>
        <v>COLÉGIO ESTADUAL DO CAMPO PROFESSOR EDIVALDO MACHADO BOAVENTURA - DISTRITO SERRA DA CANABRAVA</v>
      </c>
      <c r="H721" s="114" t="s">
        <v>3426</v>
      </c>
      <c r="I721" s="91" t="s">
        <v>3427</v>
      </c>
      <c r="J721" s="83" t="s">
        <v>576</v>
      </c>
      <c r="K721" s="83" t="s">
        <v>767</v>
      </c>
      <c r="L721" s="83" t="s">
        <v>151</v>
      </c>
      <c r="M721" s="83" t="s">
        <v>169</v>
      </c>
      <c r="N721" s="98" t="s">
        <v>3428</v>
      </c>
      <c r="O721" s="98" t="s">
        <v>155</v>
      </c>
      <c r="P721" s="99" t="str">
        <f>IFERROR(__xludf.DUMMYFUNCTION("IFERROR(VLOOKUP(AS721,IMPORTRANGE(""https://docs.google.com/spreadsheets/d/1juPI-Fb8LD0YtltB2mlGEnp_R3UVu1t3wSFPzgCyHXE/edit?gid=0#gid=0"",""GERAL!A2:C""),3,0),""-"")"),"CAMPO")</f>
        <v>CAMPO</v>
      </c>
      <c r="Q721" s="101" t="s">
        <v>156</v>
      </c>
      <c r="R721" s="98">
        <v>5.0</v>
      </c>
      <c r="S721" s="98">
        <v>0.0</v>
      </c>
      <c r="T721" s="98">
        <v>0.0</v>
      </c>
      <c r="U721" s="98">
        <v>0.0</v>
      </c>
      <c r="V721" s="98">
        <v>1.0</v>
      </c>
      <c r="W721" s="98">
        <v>0.0</v>
      </c>
      <c r="X721" s="98">
        <v>1.0</v>
      </c>
      <c r="Y721" s="98">
        <v>0.0</v>
      </c>
      <c r="Z721" s="98">
        <v>0.0</v>
      </c>
      <c r="AA721" s="98">
        <v>0.0</v>
      </c>
      <c r="AB721" s="98">
        <v>0.0</v>
      </c>
      <c r="AC721" s="98">
        <v>0.0</v>
      </c>
      <c r="AD721" s="98">
        <v>0.0</v>
      </c>
      <c r="AE721" s="98">
        <v>0.0</v>
      </c>
      <c r="AF721" s="98">
        <v>0.0</v>
      </c>
      <c r="AG721" s="98">
        <v>0.0</v>
      </c>
      <c r="AH721" s="98">
        <v>0.0</v>
      </c>
      <c r="AI721" s="98">
        <v>0.0</v>
      </c>
      <c r="AJ721" s="98">
        <v>0.0</v>
      </c>
      <c r="AK721" s="98">
        <v>0.0</v>
      </c>
      <c r="AL721" s="98">
        <v>0.0</v>
      </c>
      <c r="AM721" s="98">
        <v>0.0</v>
      </c>
      <c r="AN721" s="98">
        <v>0.0</v>
      </c>
      <c r="AO721" s="98">
        <v>0.0</v>
      </c>
      <c r="AP721" s="98">
        <v>2.0</v>
      </c>
      <c r="AQ721" s="98" t="s">
        <v>3430</v>
      </c>
      <c r="AR721" s="102">
        <v>46203.0</v>
      </c>
      <c r="AS721" s="83">
        <v>1161271.0</v>
      </c>
    </row>
    <row r="722" ht="15.75" customHeight="1">
      <c r="A722" s="111" t="s">
        <v>796</v>
      </c>
      <c r="B722" s="83" t="s">
        <v>3417</v>
      </c>
      <c r="C722" s="83" t="s">
        <v>68</v>
      </c>
      <c r="D722" s="112">
        <v>1121423.0</v>
      </c>
      <c r="E722" s="83"/>
      <c r="F722" s="83">
        <v>2.9124964E7</v>
      </c>
      <c r="G722" s="91" t="str">
        <f>IFERROR(__xludf.DUMMYFUNCTION("XLOOKUP(AS722,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INTEGRAÇÃO LAGOA DO PIRES - POVOADO LAGOA DO PIRES")</f>
        <v>COLÉGIO ESTADUAL DO CAMPO INTEGRAÇÃO LAGOA DO PIRES - POVOADO LAGOA DO PIRES</v>
      </c>
      <c r="H722" s="114" t="s">
        <v>3432</v>
      </c>
      <c r="I722" s="91" t="s">
        <v>3433</v>
      </c>
      <c r="J722" s="83" t="s">
        <v>576</v>
      </c>
      <c r="K722" s="83" t="s">
        <v>751</v>
      </c>
      <c r="L722" s="83" t="s">
        <v>151</v>
      </c>
      <c r="M722" s="98" t="s">
        <v>76</v>
      </c>
      <c r="N722" s="98" t="s">
        <v>3434</v>
      </c>
      <c r="O722" s="98" t="s">
        <v>155</v>
      </c>
      <c r="P722" s="99" t="str">
        <f>IFERROR(__xludf.DUMMYFUNCTION("IFERROR(VLOOKUP(AS722,IMPORTRANGE(""https://docs.google.com/spreadsheets/d/1juPI-Fb8LD0YtltB2mlGEnp_R3UVu1t3wSFPzgCyHXE/edit?gid=0#gid=0"",""GERAL!A2:C""),3,0),""-"")"),"CAMPO")</f>
        <v>CAMPO</v>
      </c>
      <c r="Q722" s="101" t="s">
        <v>156</v>
      </c>
      <c r="R722" s="98">
        <v>5.0</v>
      </c>
      <c r="S722" s="98">
        <v>0.0</v>
      </c>
      <c r="T722" s="98">
        <v>1.0</v>
      </c>
      <c r="U722" s="98">
        <v>0.0</v>
      </c>
      <c r="V722" s="98">
        <v>0.0</v>
      </c>
      <c r="W722" s="98">
        <v>1.0</v>
      </c>
      <c r="X722" s="98">
        <v>0.0</v>
      </c>
      <c r="Y722" s="98">
        <v>0.0</v>
      </c>
      <c r="Z722" s="98">
        <v>0.0</v>
      </c>
      <c r="AA722" s="98">
        <v>1.0</v>
      </c>
      <c r="AB722" s="98">
        <v>0.0</v>
      </c>
      <c r="AC722" s="98">
        <v>0.0</v>
      </c>
      <c r="AD722" s="98">
        <v>0.0</v>
      </c>
      <c r="AE722" s="98">
        <v>0.0</v>
      </c>
      <c r="AF722" s="98">
        <v>0.0</v>
      </c>
      <c r="AG722" s="98">
        <v>0.0</v>
      </c>
      <c r="AH722" s="98">
        <v>0.0</v>
      </c>
      <c r="AI722" s="98">
        <v>0.0</v>
      </c>
      <c r="AJ722" s="98">
        <v>0.0</v>
      </c>
      <c r="AK722" s="98">
        <v>0.0</v>
      </c>
      <c r="AL722" s="98">
        <v>0.0</v>
      </c>
      <c r="AM722" s="98">
        <v>0.0</v>
      </c>
      <c r="AN722" s="98">
        <v>0.0</v>
      </c>
      <c r="AO722" s="98">
        <v>0.0</v>
      </c>
      <c r="AP722" s="98">
        <v>1.0</v>
      </c>
      <c r="AQ722" s="98" t="s">
        <v>3444</v>
      </c>
      <c r="AR722" s="102">
        <v>46203.0</v>
      </c>
      <c r="AS722" s="83">
        <v>1121423.0</v>
      </c>
    </row>
    <row r="723" ht="15.75" customHeight="1">
      <c r="A723" s="111" t="s">
        <v>796</v>
      </c>
      <c r="B723" s="83" t="s">
        <v>3417</v>
      </c>
      <c r="C723" s="83" t="s">
        <v>68</v>
      </c>
      <c r="D723" s="112">
        <v>1161336.0</v>
      </c>
      <c r="E723" s="83"/>
      <c r="F723" s="83">
        <v>2.9124484E7</v>
      </c>
      <c r="G723" s="91" t="str">
        <f>IFERROR(__xludf.DUMMYFUNCTION("XLOOKUP(AS723,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DO SERTÃO DO SÃO FRANCISCO II ANTONIO CONSELHEIRO")</f>
        <v>CENTRO TERRITORIAL DE EDUCAÇÃO PROFISSIONAL DO SERTÃO DO SÃO FRANCISCO II ANTONIO CONSELHEIRO</v>
      </c>
      <c r="H723" s="114" t="s">
        <v>3445</v>
      </c>
      <c r="I723" s="108" t="s">
        <v>3446</v>
      </c>
      <c r="J723" s="83" t="s">
        <v>149</v>
      </c>
      <c r="K723" s="83" t="s">
        <v>150</v>
      </c>
      <c r="L723" s="83" t="s">
        <v>151</v>
      </c>
      <c r="M723" s="83" t="s">
        <v>230</v>
      </c>
      <c r="N723" s="98" t="s">
        <v>3448</v>
      </c>
      <c r="O723" s="98" t="s">
        <v>162</v>
      </c>
      <c r="P723" s="99" t="str">
        <f>IFERROR(__xludf.DUMMYFUNCTION("IFERROR(VLOOKUP(AS723,IMPORTRANGE(""https://docs.google.com/spreadsheets/d/1juPI-Fb8LD0YtltB2mlGEnp_R3UVu1t3wSFPzgCyHXE/edit?gid=0#gid=0"",""GERAL!A2:C""),3,0),""-"")"),"-")</f>
        <v>-</v>
      </c>
      <c r="Q723" s="101" t="s">
        <v>156</v>
      </c>
      <c r="R723" s="98">
        <v>17.0</v>
      </c>
      <c r="S723" s="98">
        <v>0.0</v>
      </c>
      <c r="T723" s="98">
        <v>0.0</v>
      </c>
      <c r="U723" s="98">
        <v>0.0</v>
      </c>
      <c r="V723" s="98">
        <v>1.0</v>
      </c>
      <c r="W723" s="98">
        <v>1.0</v>
      </c>
      <c r="X723" s="98">
        <v>0.0</v>
      </c>
      <c r="Y723" s="98">
        <v>0.0</v>
      </c>
      <c r="Z723" s="98">
        <v>1.0</v>
      </c>
      <c r="AA723" s="98">
        <v>0.0</v>
      </c>
      <c r="AB723" s="98">
        <v>1.0</v>
      </c>
      <c r="AC723" s="98">
        <v>0.0</v>
      </c>
      <c r="AD723" s="98">
        <v>0.0</v>
      </c>
      <c r="AE723" s="98">
        <v>0.0</v>
      </c>
      <c r="AF723" s="98">
        <v>1.0</v>
      </c>
      <c r="AG723" s="98">
        <v>0.0</v>
      </c>
      <c r="AH723" s="98">
        <v>0.0</v>
      </c>
      <c r="AI723" s="98">
        <v>0.0</v>
      </c>
      <c r="AJ723" s="98">
        <v>0.0</v>
      </c>
      <c r="AK723" s="98">
        <v>0.0</v>
      </c>
      <c r="AL723" s="98">
        <v>0.0</v>
      </c>
      <c r="AM723" s="98">
        <v>0.0</v>
      </c>
      <c r="AN723" s="98">
        <v>0.0</v>
      </c>
      <c r="AO723" s="98">
        <v>0.0</v>
      </c>
      <c r="AP723" s="98">
        <v>2.0</v>
      </c>
      <c r="AQ723" s="98" t="s">
        <v>3456</v>
      </c>
      <c r="AR723" s="102">
        <v>46203.0</v>
      </c>
      <c r="AS723" s="83">
        <v>1161336.0</v>
      </c>
    </row>
    <row r="724" ht="15.75" customHeight="1">
      <c r="A724" s="111" t="s">
        <v>796</v>
      </c>
      <c r="B724" s="83" t="s">
        <v>3417</v>
      </c>
      <c r="C724" s="83" t="s">
        <v>164</v>
      </c>
      <c r="D724" s="112">
        <v>1121423.0</v>
      </c>
      <c r="E724" s="83">
        <v>1179601.0</v>
      </c>
      <c r="F724" s="83"/>
      <c r="G724" s="91" t="str">
        <f>IFERROR(__xludf.DUMMYFUNCTION("XLOOKUP(AS724,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INTEGRACAO LAGOA DO PIRES- POVOADO SAO PAULO")</f>
        <v>ANEXO - COLÉGIO ESTADUAL INTEGRACAO LAGOA DO PIRES- POVOADO SAO PAULO</v>
      </c>
      <c r="H724" s="119" t="s">
        <v>3457</v>
      </c>
      <c r="I724" s="91" t="s">
        <v>3458</v>
      </c>
      <c r="J724" s="172" t="s">
        <v>3459</v>
      </c>
      <c r="K724" s="83" t="s">
        <v>252</v>
      </c>
      <c r="L724" s="83" t="s">
        <v>151</v>
      </c>
      <c r="M724" s="83" t="s">
        <v>169</v>
      </c>
      <c r="N724" s="115" t="s">
        <v>170</v>
      </c>
      <c r="O724" s="98" t="s">
        <v>155</v>
      </c>
      <c r="P724" s="99" t="str">
        <f>IFERROR(__xludf.DUMMYFUNCTION("IFERROR(VLOOKUP(AS724,IMPORTRANGE(""https://docs.google.com/spreadsheets/d/1juPI-Fb8LD0YtltB2mlGEnp_R3UVu1t3wSFPzgCyHXE/edit?gid=0#gid=0"",""GERAL!A2:C""),3,0),""-"")"),"-")</f>
        <v>-</v>
      </c>
      <c r="Q724" s="98" t="s">
        <v>171</v>
      </c>
      <c r="R724" s="98">
        <v>4.0</v>
      </c>
      <c r="S724" s="98" t="s">
        <v>171</v>
      </c>
      <c r="T724" s="98" t="s">
        <v>171</v>
      </c>
      <c r="U724" s="98" t="s">
        <v>171</v>
      </c>
      <c r="V724" s="98" t="s">
        <v>171</v>
      </c>
      <c r="W724" s="98" t="s">
        <v>171</v>
      </c>
      <c r="X724" s="98" t="s">
        <v>171</v>
      </c>
      <c r="Y724" s="98" t="s">
        <v>171</v>
      </c>
      <c r="Z724" s="98" t="s">
        <v>171</v>
      </c>
      <c r="AA724" s="98" t="s">
        <v>171</v>
      </c>
      <c r="AB724" s="98" t="s">
        <v>171</v>
      </c>
      <c r="AC724" s="98" t="s">
        <v>171</v>
      </c>
      <c r="AD724" s="98" t="s">
        <v>171</v>
      </c>
      <c r="AE724" s="98" t="s">
        <v>171</v>
      </c>
      <c r="AF724" s="98" t="s">
        <v>171</v>
      </c>
      <c r="AG724" s="98" t="s">
        <v>171</v>
      </c>
      <c r="AH724" s="98" t="s">
        <v>171</v>
      </c>
      <c r="AI724" s="98" t="s">
        <v>171</v>
      </c>
      <c r="AJ724" s="98" t="s">
        <v>171</v>
      </c>
      <c r="AK724" s="98" t="s">
        <v>171</v>
      </c>
      <c r="AL724" s="98" t="s">
        <v>171</v>
      </c>
      <c r="AM724" s="98" t="s">
        <v>171</v>
      </c>
      <c r="AN724" s="98" t="s">
        <v>171</v>
      </c>
      <c r="AO724" s="98" t="s">
        <v>171</v>
      </c>
      <c r="AP724" s="98" t="s">
        <v>171</v>
      </c>
      <c r="AQ724" s="98" t="s">
        <v>171</v>
      </c>
      <c r="AR724" s="102">
        <v>46206.0</v>
      </c>
      <c r="AS724" s="83">
        <v>1179601.0</v>
      </c>
    </row>
    <row r="725" ht="15.75" customHeight="1">
      <c r="A725" s="111" t="s">
        <v>796</v>
      </c>
      <c r="B725" s="83" t="s">
        <v>3417</v>
      </c>
      <c r="C725" s="83" t="s">
        <v>164</v>
      </c>
      <c r="D725" s="112">
        <v>1121423.0</v>
      </c>
      <c r="E725" s="83">
        <v>1179600.0</v>
      </c>
      <c r="F725" s="83"/>
      <c r="G725" s="91" t="str">
        <f>IFERROR(__xludf.DUMMYFUNCTION("XLOOKUP(AS725,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INTEGRACAO LAGOA DO PIRES - DISTRITO CALDEIRAO DO ALMEIDA")</f>
        <v>ANEXO - COLÉGIO ESTADUAL INTEGRACAO LAGOA DO PIRES - DISTRITO CALDEIRAO DO ALMEIDA</v>
      </c>
      <c r="H725" s="119" t="s">
        <v>3460</v>
      </c>
      <c r="I725" s="91" t="s">
        <v>3461</v>
      </c>
      <c r="J725" s="172" t="s">
        <v>3462</v>
      </c>
      <c r="K725" s="83" t="s">
        <v>443</v>
      </c>
      <c r="L725" s="83" t="s">
        <v>151</v>
      </c>
      <c r="M725" s="83" t="s">
        <v>169</v>
      </c>
      <c r="N725" s="115" t="s">
        <v>170</v>
      </c>
      <c r="O725" s="98" t="s">
        <v>155</v>
      </c>
      <c r="P725" s="99" t="str">
        <f>IFERROR(__xludf.DUMMYFUNCTION("IFERROR(VLOOKUP(AS725,IMPORTRANGE(""https://docs.google.com/spreadsheets/d/1juPI-Fb8LD0YtltB2mlGEnp_R3UVu1t3wSFPzgCyHXE/edit?gid=0#gid=0"",""GERAL!A2:C""),3,0),""-"")"),"CAMPO")</f>
        <v>CAMPO</v>
      </c>
      <c r="Q725" s="98" t="s">
        <v>171</v>
      </c>
      <c r="R725" s="98">
        <v>3.0</v>
      </c>
      <c r="S725" s="98" t="s">
        <v>171</v>
      </c>
      <c r="T725" s="98" t="s">
        <v>171</v>
      </c>
      <c r="U725" s="98" t="s">
        <v>171</v>
      </c>
      <c r="V725" s="98" t="s">
        <v>171</v>
      </c>
      <c r="W725" s="98" t="s">
        <v>171</v>
      </c>
      <c r="X725" s="98" t="s">
        <v>171</v>
      </c>
      <c r="Y725" s="98" t="s">
        <v>171</v>
      </c>
      <c r="Z725" s="98" t="s">
        <v>171</v>
      </c>
      <c r="AA725" s="98" t="s">
        <v>171</v>
      </c>
      <c r="AB725" s="98" t="s">
        <v>171</v>
      </c>
      <c r="AC725" s="98" t="s">
        <v>171</v>
      </c>
      <c r="AD725" s="98" t="s">
        <v>171</v>
      </c>
      <c r="AE725" s="98" t="s">
        <v>171</v>
      </c>
      <c r="AF725" s="98" t="s">
        <v>171</v>
      </c>
      <c r="AG725" s="98" t="s">
        <v>171</v>
      </c>
      <c r="AH725" s="98" t="s">
        <v>171</v>
      </c>
      <c r="AI725" s="98" t="s">
        <v>171</v>
      </c>
      <c r="AJ725" s="98" t="s">
        <v>171</v>
      </c>
      <c r="AK725" s="98" t="s">
        <v>171</v>
      </c>
      <c r="AL725" s="98" t="s">
        <v>171</v>
      </c>
      <c r="AM725" s="98" t="s">
        <v>171</v>
      </c>
      <c r="AN725" s="98" t="s">
        <v>171</v>
      </c>
      <c r="AO725" s="98" t="s">
        <v>171</v>
      </c>
      <c r="AP725" s="98" t="s">
        <v>171</v>
      </c>
      <c r="AQ725" s="98" t="s">
        <v>171</v>
      </c>
      <c r="AR725" s="102">
        <v>46206.0</v>
      </c>
      <c r="AS725" s="83">
        <v>1179600.0</v>
      </c>
    </row>
    <row r="726" ht="15.75" customHeight="1">
      <c r="A726" s="111" t="s">
        <v>860</v>
      </c>
      <c r="B726" s="83" t="s">
        <v>3463</v>
      </c>
      <c r="C726" s="83" t="s">
        <v>45</v>
      </c>
      <c r="D726" s="112">
        <v>1178383.0</v>
      </c>
      <c r="E726" s="83"/>
      <c r="F726" s="83">
        <v>2.9376718E7</v>
      </c>
      <c r="G726" s="91" t="str">
        <f>IFERROR(__xludf.DUMMYFUNCTION("XLOOKUP(AS726,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JOSE NUNES DA MATA - POVOADO DE COVAS")</f>
        <v>ESCOLA FAMILIA AGRICOLA JOSE NUNES DA MATA - POVOADO DE COVAS</v>
      </c>
      <c r="H726" s="114" t="s">
        <v>3464</v>
      </c>
      <c r="I726" s="91" t="s">
        <v>3465</v>
      </c>
      <c r="J726" s="83" t="s">
        <v>149</v>
      </c>
      <c r="K726" s="83" t="s">
        <v>3466</v>
      </c>
      <c r="L726" s="83" t="s">
        <v>3467</v>
      </c>
      <c r="M726" s="83" t="s">
        <v>169</v>
      </c>
      <c r="N726" s="98" t="s">
        <v>3468</v>
      </c>
      <c r="O726" s="98" t="s">
        <v>155</v>
      </c>
      <c r="P726" s="99" t="str">
        <f>IFERROR(__xludf.DUMMYFUNCTION("IFERROR(VLOOKUP(AS726,IMPORTRANGE(""https://docs.google.com/spreadsheets/d/1juPI-Fb8LD0YtltB2mlGEnp_R3UVu1t3wSFPzgCyHXE/edit?gid=0#gid=0"",""GERAL!A2:C""),3,0),""-"")"),"EFA")</f>
        <v>EFA</v>
      </c>
      <c r="Q726" s="98"/>
      <c r="R726" s="98"/>
      <c r="S726" s="98"/>
      <c r="T726" s="98"/>
      <c r="U726" s="98"/>
      <c r="V726" s="98"/>
      <c r="W726" s="98"/>
      <c r="X726" s="83"/>
      <c r="Y726" s="83"/>
      <c r="Z726" s="83"/>
      <c r="AA726" s="83"/>
      <c r="AB726" s="83"/>
      <c r="AC726" s="83"/>
      <c r="AD726" s="83"/>
      <c r="AE726" s="83"/>
      <c r="AF726" s="83"/>
      <c r="AG726" s="83"/>
      <c r="AH726" s="83"/>
      <c r="AI726" s="83"/>
      <c r="AJ726" s="83"/>
      <c r="AK726" s="83"/>
      <c r="AL726" s="83"/>
      <c r="AM726" s="83"/>
      <c r="AN726" s="83"/>
      <c r="AO726" s="83"/>
      <c r="AP726" s="83"/>
      <c r="AQ726" s="83"/>
      <c r="AR726" s="83"/>
      <c r="AS726" s="83">
        <v>1178383.0</v>
      </c>
    </row>
    <row r="727" ht="15.75" customHeight="1">
      <c r="A727" s="111" t="s">
        <v>860</v>
      </c>
      <c r="B727" s="83" t="s">
        <v>3463</v>
      </c>
      <c r="C727" s="83" t="s">
        <v>68</v>
      </c>
      <c r="D727" s="112">
        <v>1129521.0</v>
      </c>
      <c r="E727" s="83"/>
      <c r="F727" s="83">
        <v>2.9005752E7</v>
      </c>
      <c r="G727" s="91" t="str">
        <f>IFERROR(__xludf.DUMMYFUNCTION("XLOOKUP(AS727,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APARICIO JOSÉ DA SILVA ")</f>
        <v>COLÉGIO ESTADUAL DE TEMPO INTEGRAL APARICIO JOSÉ DA SILVA </v>
      </c>
      <c r="H727" s="119" t="s">
        <v>3469</v>
      </c>
      <c r="I727" s="91" t="s">
        <v>3470</v>
      </c>
      <c r="J727" s="83" t="s">
        <v>149</v>
      </c>
      <c r="K727" s="83" t="s">
        <v>150</v>
      </c>
      <c r="L727" s="83" t="s">
        <v>151</v>
      </c>
      <c r="M727" s="98" t="s">
        <v>152</v>
      </c>
      <c r="N727" s="98" t="s">
        <v>3471</v>
      </c>
      <c r="O727" s="98" t="s">
        <v>176</v>
      </c>
      <c r="P727" s="99" t="str">
        <f>IFERROR(__xludf.DUMMYFUNCTION("IFERROR(VLOOKUP(AS727,IMPORTRANGE(""https://docs.google.com/spreadsheets/d/1juPI-Fb8LD0YtltB2mlGEnp_R3UVu1t3wSFPzgCyHXE/edit?gid=0#gid=0"",""GERAL!A2:C""),3,0),""-"")"),"-")</f>
        <v>-</v>
      </c>
      <c r="Q727" s="101" t="s">
        <v>156</v>
      </c>
      <c r="R727" s="98">
        <v>8.0</v>
      </c>
      <c r="S727" s="98">
        <v>0.0</v>
      </c>
      <c r="T727" s="98">
        <v>0.0</v>
      </c>
      <c r="U727" s="98">
        <v>0.0</v>
      </c>
      <c r="V727" s="98">
        <v>1.0</v>
      </c>
      <c r="W727" s="98">
        <v>1.0</v>
      </c>
      <c r="X727" s="98">
        <v>0.0</v>
      </c>
      <c r="Y727" s="98">
        <v>1.0</v>
      </c>
      <c r="Z727" s="98">
        <v>0.0</v>
      </c>
      <c r="AA727" s="98">
        <v>0.0</v>
      </c>
      <c r="AB727" s="98">
        <v>0.0</v>
      </c>
      <c r="AC727" s="98">
        <v>0.0</v>
      </c>
      <c r="AD727" s="98">
        <v>0.0</v>
      </c>
      <c r="AE727" s="98">
        <v>0.0</v>
      </c>
      <c r="AF727" s="98">
        <v>0.0</v>
      </c>
      <c r="AG727" s="98">
        <v>1.0</v>
      </c>
      <c r="AH727" s="98">
        <v>0.0</v>
      </c>
      <c r="AI727" s="98">
        <v>0.0</v>
      </c>
      <c r="AJ727" s="98">
        <v>0.0</v>
      </c>
      <c r="AK727" s="98">
        <v>0.0</v>
      </c>
      <c r="AL727" s="98">
        <v>0.0</v>
      </c>
      <c r="AM727" s="98">
        <v>0.0</v>
      </c>
      <c r="AN727" s="98">
        <v>0.0</v>
      </c>
      <c r="AO727" s="98">
        <v>0.0</v>
      </c>
      <c r="AP727" s="98">
        <v>0.0</v>
      </c>
      <c r="AQ727" s="98" t="s">
        <v>3474</v>
      </c>
      <c r="AR727" s="102">
        <v>46241.0</v>
      </c>
      <c r="AS727" s="83">
        <v>1129521.0</v>
      </c>
    </row>
    <row r="728" ht="15.75" customHeight="1">
      <c r="A728" s="111" t="s">
        <v>860</v>
      </c>
      <c r="B728" s="83" t="s">
        <v>3463</v>
      </c>
      <c r="C728" s="83" t="s">
        <v>164</v>
      </c>
      <c r="D728" s="112">
        <v>1129521.0</v>
      </c>
      <c r="E728" s="83">
        <v>1178866.0</v>
      </c>
      <c r="F728" s="83"/>
      <c r="G728" s="91" t="str">
        <f>IFERROR(__xludf.DUMMYFUNCTION("XLOOKUP(AS728,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APARÍCIO JOSE DA SILVA- DISTRITO MUCAMBINHO")</f>
        <v>ANEXO - COLÉGIO ESTADUAL APARÍCIO JOSE DA SILVA- DISTRITO MUCAMBINHO</v>
      </c>
      <c r="H728" s="114" t="s">
        <v>3475</v>
      </c>
      <c r="I728" s="91" t="s">
        <v>3476</v>
      </c>
      <c r="J728" s="83" t="s">
        <v>149</v>
      </c>
      <c r="K728" s="83" t="s">
        <v>315</v>
      </c>
      <c r="L728" s="83" t="s">
        <v>168</v>
      </c>
      <c r="M728" s="83" t="s">
        <v>169</v>
      </c>
      <c r="N728" s="115" t="s">
        <v>170</v>
      </c>
      <c r="O728" s="98" t="s">
        <v>155</v>
      </c>
      <c r="P728" s="99" t="str">
        <f>IFERROR(__xludf.DUMMYFUNCTION("IFERROR(VLOOKUP(AS728,IMPORTRANGE(""https://docs.google.com/spreadsheets/d/1juPI-Fb8LD0YtltB2mlGEnp_R3UVu1t3wSFPzgCyHXE/edit?gid=0#gid=0"",""GERAL!A2:C""),3,0),""-"")"),"CAMPO")</f>
        <v>CAMPO</v>
      </c>
      <c r="Q728" s="98" t="s">
        <v>171</v>
      </c>
      <c r="R728" s="98">
        <v>6.0</v>
      </c>
      <c r="S728" s="98" t="s">
        <v>171</v>
      </c>
      <c r="T728" s="98" t="s">
        <v>171</v>
      </c>
      <c r="U728" s="98" t="s">
        <v>171</v>
      </c>
      <c r="V728" s="98" t="s">
        <v>171</v>
      </c>
      <c r="W728" s="98" t="s">
        <v>171</v>
      </c>
      <c r="X728" s="98" t="s">
        <v>171</v>
      </c>
      <c r="Y728" s="98" t="s">
        <v>171</v>
      </c>
      <c r="Z728" s="98" t="s">
        <v>171</v>
      </c>
      <c r="AA728" s="98" t="s">
        <v>171</v>
      </c>
      <c r="AB728" s="98" t="s">
        <v>171</v>
      </c>
      <c r="AC728" s="98" t="s">
        <v>171</v>
      </c>
      <c r="AD728" s="98" t="s">
        <v>171</v>
      </c>
      <c r="AE728" s="98" t="s">
        <v>171</v>
      </c>
      <c r="AF728" s="98" t="s">
        <v>171</v>
      </c>
      <c r="AG728" s="98" t="s">
        <v>171</v>
      </c>
      <c r="AH728" s="98" t="s">
        <v>171</v>
      </c>
      <c r="AI728" s="98" t="s">
        <v>171</v>
      </c>
      <c r="AJ728" s="98" t="s">
        <v>171</v>
      </c>
      <c r="AK728" s="98" t="s">
        <v>171</v>
      </c>
      <c r="AL728" s="98" t="s">
        <v>171</v>
      </c>
      <c r="AM728" s="98" t="s">
        <v>171</v>
      </c>
      <c r="AN728" s="98" t="s">
        <v>171</v>
      </c>
      <c r="AO728" s="98" t="s">
        <v>171</v>
      </c>
      <c r="AP728" s="98" t="s">
        <v>171</v>
      </c>
      <c r="AQ728" s="98" t="s">
        <v>171</v>
      </c>
      <c r="AR728" s="102">
        <v>46241.0</v>
      </c>
      <c r="AS728" s="83">
        <v>1178866.0</v>
      </c>
    </row>
    <row r="729" ht="15.75" customHeight="1">
      <c r="A729" s="111" t="s">
        <v>860</v>
      </c>
      <c r="B729" s="83" t="s">
        <v>3463</v>
      </c>
      <c r="C729" s="83" t="s">
        <v>164</v>
      </c>
      <c r="D729" s="112">
        <v>1129521.0</v>
      </c>
      <c r="E729" s="83">
        <v>1178865.0</v>
      </c>
      <c r="F729" s="83"/>
      <c r="G729" s="91" t="str">
        <f>IFERROR(__xludf.DUMMYFUNCTION("XLOOKUP(AS729,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APARÍCIO JOSE DA SILVA - DISTRITO MISSÃO DO ARICOBE")</f>
        <v>ANEXO - COLÉGIO ESTADUAL APARÍCIO JOSE DA SILVA - DISTRITO MISSÃO DO ARICOBE</v>
      </c>
      <c r="H729" s="119" t="s">
        <v>3480</v>
      </c>
      <c r="I729" s="91" t="s">
        <v>3481</v>
      </c>
      <c r="J729" s="83" t="s">
        <v>149</v>
      </c>
      <c r="K729" s="83" t="s">
        <v>467</v>
      </c>
      <c r="L729" s="83" t="s">
        <v>151</v>
      </c>
      <c r="M729" s="83" t="s">
        <v>169</v>
      </c>
      <c r="N729" s="115" t="s">
        <v>170</v>
      </c>
      <c r="O729" s="98" t="s">
        <v>155</v>
      </c>
      <c r="P729" s="99" t="str">
        <f>IFERROR(__xludf.DUMMYFUNCTION("IFERROR(VLOOKUP(AS729,IMPORTRANGE(""https://docs.google.com/spreadsheets/d/1juPI-Fb8LD0YtltB2mlGEnp_R3UVu1t3wSFPzgCyHXE/edit?gid=0#gid=0"",""GERAL!A2:C""),3,0),""-"")"),"CAMPO")</f>
        <v>CAMPO</v>
      </c>
      <c r="Q729" s="101" t="s">
        <v>156</v>
      </c>
      <c r="R729" s="98">
        <v>6.0</v>
      </c>
      <c r="S729" s="98">
        <v>0.0</v>
      </c>
      <c r="T729" s="98">
        <v>0.0</v>
      </c>
      <c r="U729" s="98">
        <v>0.0</v>
      </c>
      <c r="V729" s="98">
        <v>0.0</v>
      </c>
      <c r="W729" s="98">
        <v>1.0</v>
      </c>
      <c r="X729" s="98">
        <v>0.0</v>
      </c>
      <c r="Y729" s="98">
        <v>1.0</v>
      </c>
      <c r="Z729" s="98">
        <v>0.0</v>
      </c>
      <c r="AA729" s="98">
        <v>0.0</v>
      </c>
      <c r="AB729" s="98">
        <v>0.0</v>
      </c>
      <c r="AC729" s="98">
        <v>0.0</v>
      </c>
      <c r="AD729" s="98">
        <v>0.0</v>
      </c>
      <c r="AE729" s="98">
        <v>0.0</v>
      </c>
      <c r="AF729" s="98">
        <v>0.0</v>
      </c>
      <c r="AG729" s="98">
        <v>0.0</v>
      </c>
      <c r="AH729" s="98">
        <v>0.0</v>
      </c>
      <c r="AI729" s="98">
        <v>0.0</v>
      </c>
      <c r="AJ729" s="98">
        <v>0.0</v>
      </c>
      <c r="AK729" s="98">
        <v>0.0</v>
      </c>
      <c r="AL729" s="98">
        <v>0.0</v>
      </c>
      <c r="AM729" s="98">
        <v>0.0</v>
      </c>
      <c r="AN729" s="98">
        <v>0.0</v>
      </c>
      <c r="AO729" s="98">
        <v>0.0</v>
      </c>
      <c r="AP729" s="98">
        <v>0.0</v>
      </c>
      <c r="AQ729" s="98" t="s">
        <v>3485</v>
      </c>
      <c r="AR729" s="102">
        <v>46241.0</v>
      </c>
      <c r="AS729" s="83">
        <v>1178865.0</v>
      </c>
    </row>
    <row r="730" ht="15.75" customHeight="1">
      <c r="A730" s="111" t="s">
        <v>860</v>
      </c>
      <c r="B730" s="83" t="s">
        <v>3486</v>
      </c>
      <c r="C730" s="83" t="s">
        <v>68</v>
      </c>
      <c r="D730" s="112">
        <v>1129637.0</v>
      </c>
      <c r="E730" s="83"/>
      <c r="F730" s="83">
        <v>2.9000599E7</v>
      </c>
      <c r="G730" s="91" t="str">
        <f>IFERROR(__xludf.DUMMYFUNCTION("XLOOKUP(AS730,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PIO ALVES DOS SANTOS - TEMPO INTEGRAL")</f>
        <v>COLÉGIO ESTADUAL PIO ALVES DOS SANTOS - TEMPO INTEGRAL</v>
      </c>
      <c r="H730" s="119" t="s">
        <v>3487</v>
      </c>
      <c r="I730" s="91" t="s">
        <v>3488</v>
      </c>
      <c r="J730" s="172" t="s">
        <v>171</v>
      </c>
      <c r="K730" s="83" t="s">
        <v>150</v>
      </c>
      <c r="L730" s="83" t="s">
        <v>151</v>
      </c>
      <c r="M730" s="98" t="s">
        <v>152</v>
      </c>
      <c r="N730" s="98" t="s">
        <v>3489</v>
      </c>
      <c r="O730" s="98" t="s">
        <v>155</v>
      </c>
      <c r="P730" s="99" t="str">
        <f>IFERROR(__xludf.DUMMYFUNCTION("IFERROR(VLOOKUP(AS730,IMPORTRANGE(""https://docs.google.com/spreadsheets/d/1juPI-Fb8LD0YtltB2mlGEnp_R3UVu1t3wSFPzgCyHXE/edit?gid=0#gid=0"",""GERAL!A2:C""),3,0),""-"")"),"-")</f>
        <v>-</v>
      </c>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c r="AR730" s="83"/>
      <c r="AS730" s="83">
        <v>1129637.0</v>
      </c>
    </row>
    <row r="731" ht="15.75" customHeight="1">
      <c r="A731" s="111" t="s">
        <v>860</v>
      </c>
      <c r="B731" s="83" t="s">
        <v>3486</v>
      </c>
      <c r="C731" s="83" t="s">
        <v>68</v>
      </c>
      <c r="D731" s="112">
        <v>1179377.0</v>
      </c>
      <c r="E731" s="83"/>
      <c r="F731" s="83">
        <v>2.9464765E7</v>
      </c>
      <c r="G731" s="91" t="str">
        <f>IFERROR(__xludf.DUMMYFUNCTION("XLOOKUP(AS731,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VERONILDO MENDES PEREIRA - DISTRITO DE LAGOA CLARA")</f>
        <v>COLÉGIO ESTADUAL DO CAMPO VERONILDO MENDES PEREIRA - DISTRITO DE LAGOA CLARA</v>
      </c>
      <c r="H731" s="119" t="s">
        <v>3490</v>
      </c>
      <c r="I731" s="91" t="s">
        <v>3491</v>
      </c>
      <c r="J731" s="83" t="s">
        <v>3492</v>
      </c>
      <c r="K731" s="83" t="s">
        <v>331</v>
      </c>
      <c r="L731" s="83" t="s">
        <v>151</v>
      </c>
      <c r="M731" s="83" t="s">
        <v>169</v>
      </c>
      <c r="N731" s="98" t="s">
        <v>3493</v>
      </c>
      <c r="O731" s="98" t="s">
        <v>155</v>
      </c>
      <c r="P731" s="99" t="str">
        <f>IFERROR(__xludf.DUMMYFUNCTION("IFERROR(VLOOKUP(AS731,IMPORTRANGE(""https://docs.google.com/spreadsheets/d/1juPI-Fb8LD0YtltB2mlGEnp_R3UVu1t3wSFPzgCyHXE/edit?gid=0#gid=0"",""GERAL!A2:C""),3,0),""-"")"),"CAMPO")</f>
        <v>CAMPO</v>
      </c>
      <c r="Q731" s="83"/>
      <c r="R731" s="83"/>
      <c r="S731" s="83"/>
      <c r="T731" s="83"/>
      <c r="U731" s="83"/>
      <c r="V731" s="83"/>
      <c r="W731" s="83"/>
      <c r="X731" s="83"/>
      <c r="Y731" s="83"/>
      <c r="Z731" s="83"/>
      <c r="AA731" s="83"/>
      <c r="AB731" s="83"/>
      <c r="AC731" s="83"/>
      <c r="AD731" s="83"/>
      <c r="AE731" s="83"/>
      <c r="AF731" s="83"/>
      <c r="AG731" s="83"/>
      <c r="AH731" s="83"/>
      <c r="AI731" s="83"/>
      <c r="AJ731" s="83"/>
      <c r="AK731" s="83"/>
      <c r="AL731" s="83"/>
      <c r="AM731" s="83"/>
      <c r="AN731" s="83"/>
      <c r="AO731" s="83"/>
      <c r="AP731" s="83"/>
      <c r="AQ731" s="83"/>
      <c r="AR731" s="83"/>
      <c r="AS731" s="83">
        <v>1179377.0</v>
      </c>
    </row>
    <row r="732" ht="15.75" customHeight="1">
      <c r="A732" s="111" t="s">
        <v>860</v>
      </c>
      <c r="B732" s="83" t="s">
        <v>3486</v>
      </c>
      <c r="C732" s="83" t="s">
        <v>164</v>
      </c>
      <c r="D732" s="112">
        <v>1129637.0</v>
      </c>
      <c r="E732" s="83">
        <v>1178867.0</v>
      </c>
      <c r="F732" s="83"/>
      <c r="G732" s="91" t="str">
        <f>IFERROR(__xludf.DUMMYFUNCTION("XLOOKUP(AS732,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PIO ALVES DOS SANTOS - DISTRITO DE VARZEAS")</f>
        <v>ANEXO - COLÉGIO ESTADUAL PIO ALVES DOS SANTOS - DISTRITO DE VARZEAS</v>
      </c>
      <c r="H732" s="114" t="s">
        <v>3494</v>
      </c>
      <c r="I732" s="91" t="s">
        <v>3495</v>
      </c>
      <c r="J732" s="83" t="s">
        <v>149</v>
      </c>
      <c r="K732" s="83" t="s">
        <v>240</v>
      </c>
      <c r="L732" s="83" t="s">
        <v>168</v>
      </c>
      <c r="M732" s="83" t="s">
        <v>169</v>
      </c>
      <c r="N732" s="115" t="s">
        <v>170</v>
      </c>
      <c r="O732" s="98" t="s">
        <v>155</v>
      </c>
      <c r="P732" s="99" t="str">
        <f>IFERROR(__xludf.DUMMYFUNCTION("IFERROR(VLOOKUP(AS732,IMPORTRANGE(""https://docs.google.com/spreadsheets/d/1juPI-Fb8LD0YtltB2mlGEnp_R3UVu1t3wSFPzgCyHXE/edit?gid=0#gid=0"",""GERAL!A2:C""),3,0),""-"")"),"CAMPO")</f>
        <v>CAMPO</v>
      </c>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c r="AR732" s="83"/>
      <c r="AS732" s="83">
        <v>1178867.0</v>
      </c>
    </row>
    <row r="733" ht="15.75" customHeight="1">
      <c r="A733" s="111" t="s">
        <v>860</v>
      </c>
      <c r="B733" s="83" t="s">
        <v>3497</v>
      </c>
      <c r="C733" s="83" t="s">
        <v>68</v>
      </c>
      <c r="D733" s="112">
        <v>1129858.0</v>
      </c>
      <c r="E733" s="83"/>
      <c r="F733" s="83">
        <v>2.9001773E7</v>
      </c>
      <c r="G733" s="91" t="str">
        <f>IFERROR(__xludf.DUMMYFUNCTION("XLOOKUP(AS733,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PRISCO VIANA")</f>
        <v>COLÉGIO ESTADUAL PRISCO VIANA</v>
      </c>
      <c r="H733" s="119" t="s">
        <v>3498</v>
      </c>
      <c r="I733" s="91" t="s">
        <v>3499</v>
      </c>
      <c r="J733" s="136" t="s">
        <v>149</v>
      </c>
      <c r="K733" s="83" t="s">
        <v>150</v>
      </c>
      <c r="L733" s="83" t="s">
        <v>151</v>
      </c>
      <c r="M733" s="83" t="s">
        <v>76</v>
      </c>
      <c r="N733" s="98" t="s">
        <v>3500</v>
      </c>
      <c r="O733" s="98" t="s">
        <v>155</v>
      </c>
      <c r="P733" s="99" t="str">
        <f>IFERROR(__xludf.DUMMYFUNCTION("IFERROR(VLOOKUP(AS733,IMPORTRANGE(""https://docs.google.com/spreadsheets/d/1juPI-Fb8LD0YtltB2mlGEnp_R3UVu1t3wSFPzgCyHXE/edit?gid=0#gid=0"",""GERAL!A2:C""),3,0),""-"")"),"-")</f>
        <v>-</v>
      </c>
      <c r="Q733" s="101" t="s">
        <v>156</v>
      </c>
      <c r="R733" s="362">
        <v>8.0</v>
      </c>
      <c r="S733" s="98">
        <v>0.0</v>
      </c>
      <c r="T733" s="98">
        <v>0.0</v>
      </c>
      <c r="U733" s="98">
        <v>0.0</v>
      </c>
      <c r="V733" s="98">
        <v>1.0</v>
      </c>
      <c r="W733" s="98">
        <v>0.0</v>
      </c>
      <c r="X733" s="98">
        <v>0.0</v>
      </c>
      <c r="Y733" s="98">
        <v>0.0</v>
      </c>
      <c r="Z733" s="98">
        <v>0.0</v>
      </c>
      <c r="AA733" s="98">
        <v>1.0</v>
      </c>
      <c r="AB733" s="98">
        <v>0.0</v>
      </c>
      <c r="AC733" s="98">
        <v>0.0</v>
      </c>
      <c r="AD733" s="98">
        <v>0.0</v>
      </c>
      <c r="AE733" s="98">
        <v>0.0</v>
      </c>
      <c r="AF733" s="98">
        <v>1.0</v>
      </c>
      <c r="AG733" s="98">
        <v>0.0</v>
      </c>
      <c r="AH733" s="98">
        <v>0.0</v>
      </c>
      <c r="AI733" s="98">
        <v>0.0</v>
      </c>
      <c r="AJ733" s="98">
        <v>0.0</v>
      </c>
      <c r="AK733" s="98">
        <v>0.0</v>
      </c>
      <c r="AL733" s="98">
        <v>0.0</v>
      </c>
      <c r="AM733" s="98">
        <v>0.0</v>
      </c>
      <c r="AN733" s="98">
        <v>0.0</v>
      </c>
      <c r="AO733" s="98">
        <v>0.0</v>
      </c>
      <c r="AP733" s="98">
        <v>0.0</v>
      </c>
      <c r="AQ733" s="98" t="s">
        <v>171</v>
      </c>
      <c r="AR733" s="102">
        <v>46191.0</v>
      </c>
      <c r="AS733" s="83">
        <v>1129858.0</v>
      </c>
    </row>
    <row r="734" ht="15.75" customHeight="1">
      <c r="A734" s="111" t="s">
        <v>860</v>
      </c>
      <c r="B734" s="83" t="s">
        <v>3497</v>
      </c>
      <c r="C734" s="83" t="s">
        <v>68</v>
      </c>
      <c r="D734" s="112">
        <v>1129939.0</v>
      </c>
      <c r="E734" s="83"/>
      <c r="F734" s="83">
        <v>2.9383218E7</v>
      </c>
      <c r="G734" s="91" t="str">
        <f>IFERROR(__xludf.DUMMYFUNCTION("XLOOKUP(AS734,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HERCULANO FARIA")</f>
        <v>COLÉGIO ESTADUAL HERCULANO FARIA</v>
      </c>
      <c r="H734" s="119" t="s">
        <v>3502</v>
      </c>
      <c r="I734" s="91" t="s">
        <v>3503</v>
      </c>
      <c r="J734" s="136" t="s">
        <v>149</v>
      </c>
      <c r="K734" s="83" t="s">
        <v>150</v>
      </c>
      <c r="L734" s="83" t="s">
        <v>151</v>
      </c>
      <c r="M734" s="83" t="s">
        <v>76</v>
      </c>
      <c r="N734" s="98" t="s">
        <v>3504</v>
      </c>
      <c r="O734" s="98" t="s">
        <v>155</v>
      </c>
      <c r="P734" s="99" t="str">
        <f>IFERROR(__xludf.DUMMYFUNCTION("IFERROR(VLOOKUP(AS734,IMPORTRANGE(""https://docs.google.com/spreadsheets/d/1juPI-Fb8LD0YtltB2mlGEnp_R3UVu1t3wSFPzgCyHXE/edit?gid=0#gid=0"",""GERAL!A2:C""),3,0),""-"")"),"-")</f>
        <v>-</v>
      </c>
      <c r="Q734" s="101" t="s">
        <v>156</v>
      </c>
      <c r="R734" s="362">
        <v>10.0</v>
      </c>
      <c r="S734" s="98">
        <v>0.0</v>
      </c>
      <c r="T734" s="98">
        <v>0.0</v>
      </c>
      <c r="U734" s="98">
        <v>0.0</v>
      </c>
      <c r="V734" s="98">
        <v>1.0</v>
      </c>
      <c r="W734" s="98">
        <v>0.0</v>
      </c>
      <c r="X734" s="98">
        <v>0.0</v>
      </c>
      <c r="Y734" s="98">
        <v>0.0</v>
      </c>
      <c r="Z734" s="98">
        <v>0.0</v>
      </c>
      <c r="AA734" s="98">
        <v>1.0</v>
      </c>
      <c r="AB734" s="98">
        <v>0.0</v>
      </c>
      <c r="AC734" s="98">
        <v>0.0</v>
      </c>
      <c r="AD734" s="98">
        <v>0.0</v>
      </c>
      <c r="AE734" s="98">
        <v>0.0</v>
      </c>
      <c r="AF734" s="98">
        <v>0.0</v>
      </c>
      <c r="AG734" s="98">
        <v>1.0</v>
      </c>
      <c r="AH734" s="98">
        <v>0.0</v>
      </c>
      <c r="AI734" s="98">
        <v>0.0</v>
      </c>
      <c r="AJ734" s="98">
        <v>0.0</v>
      </c>
      <c r="AK734" s="98">
        <v>0.0</v>
      </c>
      <c r="AL734" s="98">
        <v>0.0</v>
      </c>
      <c r="AM734" s="98">
        <v>0.0</v>
      </c>
      <c r="AN734" s="98">
        <v>0.0</v>
      </c>
      <c r="AO734" s="98">
        <v>0.0</v>
      </c>
      <c r="AP734" s="98">
        <v>1.0</v>
      </c>
      <c r="AQ734" s="98" t="s">
        <v>3507</v>
      </c>
      <c r="AR734" s="102">
        <v>46191.0</v>
      </c>
      <c r="AS734" s="83">
        <v>1129939.0</v>
      </c>
    </row>
    <row r="735" ht="15.75" customHeight="1">
      <c r="A735" s="111" t="s">
        <v>860</v>
      </c>
      <c r="B735" s="83" t="s">
        <v>3497</v>
      </c>
      <c r="C735" s="83" t="s">
        <v>68</v>
      </c>
      <c r="D735" s="112">
        <v>1129718.0</v>
      </c>
      <c r="E735" s="83"/>
      <c r="F735" s="83">
        <v>2.9336325E7</v>
      </c>
      <c r="G735" s="91" t="str">
        <f>IFERROR(__xludf.DUMMYFUNCTION("XLOOKUP(AS735,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DUQUE DE CAXIAS")</f>
        <v>COLÉGIO ESTADUAL DUQUE DE CAXIAS</v>
      </c>
      <c r="H735" s="119" t="s">
        <v>3512</v>
      </c>
      <c r="I735" s="91" t="s">
        <v>3513</v>
      </c>
      <c r="J735" s="83" t="s">
        <v>3514</v>
      </c>
      <c r="K735" s="83" t="s">
        <v>150</v>
      </c>
      <c r="L735" s="83" t="s">
        <v>151</v>
      </c>
      <c r="M735" s="83" t="s">
        <v>152</v>
      </c>
      <c r="N735" s="137" t="s">
        <v>3515</v>
      </c>
      <c r="O735" s="98" t="s">
        <v>155</v>
      </c>
      <c r="P735" s="99" t="str">
        <f>IFERROR(__xludf.DUMMYFUNCTION("IFERROR(VLOOKUP(AS735,IMPORTRANGE(""https://docs.google.com/spreadsheets/d/1juPI-Fb8LD0YtltB2mlGEnp_R3UVu1t3wSFPzgCyHXE/edit?gid=0#gid=0"",""GERAL!A2:C""),3,0),""-"")"),"-")</f>
        <v>-</v>
      </c>
      <c r="Q735" s="101" t="s">
        <v>156</v>
      </c>
      <c r="R735" s="362">
        <v>9.0</v>
      </c>
      <c r="S735" s="98">
        <v>0.0</v>
      </c>
      <c r="T735" s="98">
        <v>0.0</v>
      </c>
      <c r="U735" s="98">
        <v>0.0</v>
      </c>
      <c r="V735" s="98">
        <v>0.0</v>
      </c>
      <c r="W735" s="98">
        <v>1.0</v>
      </c>
      <c r="X735" s="98">
        <v>1.0</v>
      </c>
      <c r="Y735" s="98">
        <v>0.0</v>
      </c>
      <c r="Z735" s="98">
        <v>0.0</v>
      </c>
      <c r="AA735" s="98">
        <v>0.0</v>
      </c>
      <c r="AB735" s="98">
        <v>0.0</v>
      </c>
      <c r="AC735" s="98">
        <v>0.0</v>
      </c>
      <c r="AD735" s="98">
        <v>0.0</v>
      </c>
      <c r="AE735" s="98">
        <v>0.0</v>
      </c>
      <c r="AF735" s="98">
        <v>0.0</v>
      </c>
      <c r="AG735" s="98">
        <v>1.0</v>
      </c>
      <c r="AH735" s="98">
        <v>0.0</v>
      </c>
      <c r="AI735" s="98">
        <v>0.0</v>
      </c>
      <c r="AJ735" s="98">
        <v>0.0</v>
      </c>
      <c r="AK735" s="98">
        <v>0.0</v>
      </c>
      <c r="AL735" s="98">
        <v>0.0</v>
      </c>
      <c r="AM735" s="98">
        <v>0.0</v>
      </c>
      <c r="AN735" s="98">
        <v>0.0</v>
      </c>
      <c r="AO735" s="98">
        <v>0.0</v>
      </c>
      <c r="AP735" s="98">
        <v>0.0</v>
      </c>
      <c r="AQ735" s="98" t="s">
        <v>3517</v>
      </c>
      <c r="AR735" s="102">
        <v>46191.0</v>
      </c>
      <c r="AS735" s="83">
        <v>1129718.0</v>
      </c>
    </row>
    <row r="736" ht="15.75" customHeight="1">
      <c r="A736" s="111" t="s">
        <v>860</v>
      </c>
      <c r="B736" s="83" t="s">
        <v>3497</v>
      </c>
      <c r="C736" s="83" t="s">
        <v>68</v>
      </c>
      <c r="D736" s="112">
        <v>1178162.0</v>
      </c>
      <c r="E736" s="83"/>
      <c r="F736" s="83">
        <v>2.9437881E7</v>
      </c>
      <c r="G736" s="91" t="str">
        <f>IFERROR(__xludf.DUMMYFUNCTION("XLOOKUP(AS736,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KELLY MAGALHÃES (ANTIGO - CE EL SHADAI)")</f>
        <v>COLÉGIO ESTADUAL DE TEMPO INTEGRAL PROFESSORA KELLY MAGALHÃES (ANTIGO - CE EL SHADAI)</v>
      </c>
      <c r="H736" s="119" t="s">
        <v>3518</v>
      </c>
      <c r="I736" s="91" t="s">
        <v>3519</v>
      </c>
      <c r="J736" s="83" t="s">
        <v>3520</v>
      </c>
      <c r="K736" s="83" t="s">
        <v>150</v>
      </c>
      <c r="L736" s="83" t="s">
        <v>3521</v>
      </c>
      <c r="M736" s="83" t="s">
        <v>152</v>
      </c>
      <c r="N736" s="98" t="s">
        <v>3522</v>
      </c>
      <c r="O736" s="245" t="s">
        <v>162</v>
      </c>
      <c r="P736" s="99" t="str">
        <f>IFERROR(__xludf.DUMMYFUNCTION("IFERROR(VLOOKUP(AS736,IMPORTRANGE(""https://docs.google.com/spreadsheets/d/1juPI-Fb8LD0YtltB2mlGEnp_R3UVu1t3wSFPzgCyHXE/edit?gid=0#gid=0"",""GERAL!A2:C""),3,0),""-"")"),"-")</f>
        <v>-</v>
      </c>
      <c r="Q736" s="101" t="s">
        <v>156</v>
      </c>
      <c r="R736" s="362">
        <v>16.0</v>
      </c>
      <c r="S736" s="98" t="s">
        <v>171</v>
      </c>
      <c r="T736" s="98" t="s">
        <v>171</v>
      </c>
      <c r="U736" s="98" t="s">
        <v>171</v>
      </c>
      <c r="V736" s="98" t="s">
        <v>171</v>
      </c>
      <c r="W736" s="98" t="s">
        <v>171</v>
      </c>
      <c r="X736" s="98" t="s">
        <v>171</v>
      </c>
      <c r="Y736" s="98" t="s">
        <v>171</v>
      </c>
      <c r="Z736" s="98" t="s">
        <v>171</v>
      </c>
      <c r="AA736" s="98" t="s">
        <v>171</v>
      </c>
      <c r="AB736" s="98" t="s">
        <v>171</v>
      </c>
      <c r="AC736" s="98" t="s">
        <v>171</v>
      </c>
      <c r="AD736" s="98" t="s">
        <v>171</v>
      </c>
      <c r="AE736" s="98" t="s">
        <v>171</v>
      </c>
      <c r="AF736" s="98" t="s">
        <v>171</v>
      </c>
      <c r="AG736" s="98" t="s">
        <v>171</v>
      </c>
      <c r="AH736" s="98" t="s">
        <v>171</v>
      </c>
      <c r="AI736" s="98" t="s">
        <v>171</v>
      </c>
      <c r="AJ736" s="98" t="s">
        <v>171</v>
      </c>
      <c r="AK736" s="98" t="s">
        <v>171</v>
      </c>
      <c r="AL736" s="98" t="s">
        <v>171</v>
      </c>
      <c r="AM736" s="98" t="s">
        <v>171</v>
      </c>
      <c r="AN736" s="98" t="s">
        <v>171</v>
      </c>
      <c r="AO736" s="98" t="s">
        <v>171</v>
      </c>
      <c r="AP736" s="98" t="s">
        <v>171</v>
      </c>
      <c r="AQ736" s="98" t="s">
        <v>171</v>
      </c>
      <c r="AR736" s="102">
        <v>46191.0</v>
      </c>
      <c r="AS736" s="83">
        <v>1178162.0</v>
      </c>
    </row>
    <row r="737" ht="15.75" customHeight="1">
      <c r="A737" s="111" t="s">
        <v>860</v>
      </c>
      <c r="B737" s="83" t="s">
        <v>3497</v>
      </c>
      <c r="C737" s="83" t="s">
        <v>68</v>
      </c>
      <c r="D737" s="112">
        <v>1129696.0</v>
      </c>
      <c r="E737" s="83"/>
      <c r="F737" s="83">
        <v>2.9001064E7</v>
      </c>
      <c r="G737" s="91" t="str">
        <f>IFERROR(__xludf.DUMMYFUNCTION("XLOOKUP(AS737,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BARREIRINHAS")</f>
        <v>COLÉGIO ESTADUAL DE BARREIRINHAS</v>
      </c>
      <c r="H737" s="119" t="s">
        <v>3524</v>
      </c>
      <c r="I737" s="91" t="s">
        <v>3525</v>
      </c>
      <c r="J737" s="136" t="s">
        <v>149</v>
      </c>
      <c r="K737" s="83" t="s">
        <v>150</v>
      </c>
      <c r="L737" s="83" t="s">
        <v>151</v>
      </c>
      <c r="M737" s="83" t="s">
        <v>152</v>
      </c>
      <c r="N737" s="98" t="s">
        <v>3526</v>
      </c>
      <c r="O737" s="98" t="s">
        <v>155</v>
      </c>
      <c r="P737" s="99" t="str">
        <f>IFERROR(__xludf.DUMMYFUNCTION("IFERROR(VLOOKUP(AS737,IMPORTRANGE(""https://docs.google.com/spreadsheets/d/1juPI-Fb8LD0YtltB2mlGEnp_R3UVu1t3wSFPzgCyHXE/edit?gid=0#gid=0"",""GERAL!A2:C""),3,0),""-"")"),"-")</f>
        <v>-</v>
      </c>
      <c r="Q737" s="101" t="s">
        <v>156</v>
      </c>
      <c r="R737" s="362">
        <v>8.0</v>
      </c>
      <c r="S737" s="98" t="s">
        <v>171</v>
      </c>
      <c r="T737" s="98" t="s">
        <v>171</v>
      </c>
      <c r="U737" s="98" t="s">
        <v>171</v>
      </c>
      <c r="V737" s="98" t="s">
        <v>171</v>
      </c>
      <c r="W737" s="98" t="s">
        <v>171</v>
      </c>
      <c r="X737" s="98" t="s">
        <v>171</v>
      </c>
      <c r="Y737" s="98" t="s">
        <v>171</v>
      </c>
      <c r="Z737" s="98" t="s">
        <v>171</v>
      </c>
      <c r="AA737" s="98" t="s">
        <v>171</v>
      </c>
      <c r="AB737" s="98" t="s">
        <v>171</v>
      </c>
      <c r="AC737" s="98" t="s">
        <v>171</v>
      </c>
      <c r="AD737" s="98" t="s">
        <v>171</v>
      </c>
      <c r="AE737" s="98" t="s">
        <v>171</v>
      </c>
      <c r="AF737" s="98" t="s">
        <v>171</v>
      </c>
      <c r="AG737" s="98" t="s">
        <v>171</v>
      </c>
      <c r="AH737" s="98" t="s">
        <v>171</v>
      </c>
      <c r="AI737" s="98" t="s">
        <v>171</v>
      </c>
      <c r="AJ737" s="98" t="s">
        <v>171</v>
      </c>
      <c r="AK737" s="98" t="s">
        <v>171</v>
      </c>
      <c r="AL737" s="98" t="s">
        <v>171</v>
      </c>
      <c r="AM737" s="98" t="s">
        <v>171</v>
      </c>
      <c r="AN737" s="98" t="s">
        <v>171</v>
      </c>
      <c r="AO737" s="98" t="s">
        <v>171</v>
      </c>
      <c r="AP737" s="98" t="s">
        <v>171</v>
      </c>
      <c r="AQ737" s="98" t="s">
        <v>171</v>
      </c>
      <c r="AR737" s="102">
        <v>46191.0</v>
      </c>
      <c r="AS737" s="83">
        <v>1129696.0</v>
      </c>
    </row>
    <row r="738" ht="15.75" customHeight="1">
      <c r="A738" s="111" t="s">
        <v>860</v>
      </c>
      <c r="B738" s="83" t="s">
        <v>3497</v>
      </c>
      <c r="C738" s="83" t="s">
        <v>68</v>
      </c>
      <c r="D738" s="112">
        <v>1139896.0</v>
      </c>
      <c r="E738" s="83"/>
      <c r="F738" s="83">
        <v>2.900084E7</v>
      </c>
      <c r="G738" s="91" t="str">
        <f>IFERROR(__xludf.DUMMYFUNCTION("XLOOKUP(AS738,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ANTONIO GERALDO")</f>
        <v>COLÉGIO ESTADUAL ANTONIO GERALDO</v>
      </c>
      <c r="H738" s="119" t="s">
        <v>3527</v>
      </c>
      <c r="I738" s="91" t="s">
        <v>3528</v>
      </c>
      <c r="J738" s="136" t="s">
        <v>149</v>
      </c>
      <c r="K738" s="136" t="s">
        <v>150</v>
      </c>
      <c r="L738" s="136" t="s">
        <v>151</v>
      </c>
      <c r="M738" s="83" t="s">
        <v>230</v>
      </c>
      <c r="N738" s="98" t="s">
        <v>3529</v>
      </c>
      <c r="O738" s="98" t="s">
        <v>155</v>
      </c>
      <c r="P738" s="99" t="str">
        <f>IFERROR(__xludf.DUMMYFUNCTION("IFERROR(VLOOKUP(AS738,IMPORTRANGE(""https://docs.google.com/spreadsheets/d/1juPI-Fb8LD0YtltB2mlGEnp_R3UVu1t3wSFPzgCyHXE/edit?gid=0#gid=0"",""GERAL!A2:C""),3,0),""-"")"),"-")</f>
        <v>-</v>
      </c>
      <c r="Q738" s="101" t="s">
        <v>156</v>
      </c>
      <c r="R738" s="362">
        <v>15.0</v>
      </c>
      <c r="S738" s="98">
        <v>1.0</v>
      </c>
      <c r="T738" s="98">
        <v>0.0</v>
      </c>
      <c r="U738" s="98">
        <v>0.0</v>
      </c>
      <c r="V738" s="98">
        <v>0.0</v>
      </c>
      <c r="W738" s="98">
        <v>0.0</v>
      </c>
      <c r="X738" s="98">
        <v>0.0</v>
      </c>
      <c r="Y738" s="98">
        <v>1.0</v>
      </c>
      <c r="Z738" s="98">
        <v>0.0</v>
      </c>
      <c r="AA738" s="98">
        <v>0.0</v>
      </c>
      <c r="AB738" s="98">
        <v>0.0</v>
      </c>
      <c r="AC738" s="98">
        <v>0.0</v>
      </c>
      <c r="AD738" s="98">
        <v>0.0</v>
      </c>
      <c r="AE738" s="98">
        <v>0.0</v>
      </c>
      <c r="AF738" s="98">
        <v>1.0</v>
      </c>
      <c r="AG738" s="98">
        <v>1.0</v>
      </c>
      <c r="AH738" s="98">
        <v>0.0</v>
      </c>
      <c r="AI738" s="98">
        <v>0.0</v>
      </c>
      <c r="AJ738" s="98">
        <v>0.0</v>
      </c>
      <c r="AK738" s="98">
        <v>0.0</v>
      </c>
      <c r="AL738" s="98">
        <v>0.0</v>
      </c>
      <c r="AM738" s="98">
        <v>0.0</v>
      </c>
      <c r="AN738" s="98">
        <v>0.0</v>
      </c>
      <c r="AO738" s="98">
        <v>0.0</v>
      </c>
      <c r="AP738" s="98">
        <v>1.0</v>
      </c>
      <c r="AQ738" s="98" t="s">
        <v>3538</v>
      </c>
      <c r="AR738" s="102">
        <v>46191.0</v>
      </c>
      <c r="AS738" s="83">
        <v>1139896.0</v>
      </c>
    </row>
    <row r="739" ht="15.75" customHeight="1">
      <c r="A739" s="111" t="s">
        <v>860</v>
      </c>
      <c r="B739" s="83" t="s">
        <v>3497</v>
      </c>
      <c r="C739" s="83" t="s">
        <v>68</v>
      </c>
      <c r="D739" s="112">
        <v>1165382.0</v>
      </c>
      <c r="E739" s="83"/>
      <c r="F739" s="83">
        <v>2.9000831E7</v>
      </c>
      <c r="G739" s="91" t="str">
        <f>IFERROR(__xludf.DUMMYFUNCTION("XLOOKUP(AS739,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DEMOCRATICO ESTADUAL MARCOS FREIRE - TEMPO INTEGRAL")</f>
        <v>COLÉGIO DEMOCRATICO ESTADUAL MARCOS FREIRE - TEMPO INTEGRAL</v>
      </c>
      <c r="H739" s="119" t="s">
        <v>3539</v>
      </c>
      <c r="I739" s="91" t="s">
        <v>3540</v>
      </c>
      <c r="J739" s="136" t="s">
        <v>149</v>
      </c>
      <c r="K739" s="136" t="s">
        <v>150</v>
      </c>
      <c r="L739" s="136" t="s">
        <v>151</v>
      </c>
      <c r="M739" s="83" t="s">
        <v>76</v>
      </c>
      <c r="N739" s="98" t="s">
        <v>3541</v>
      </c>
      <c r="O739" s="98" t="s">
        <v>155</v>
      </c>
      <c r="P739" s="99" t="str">
        <f>IFERROR(__xludf.DUMMYFUNCTION("IFERROR(VLOOKUP(AS739,IMPORTRANGE(""https://docs.google.com/spreadsheets/d/1juPI-Fb8LD0YtltB2mlGEnp_R3UVu1t3wSFPzgCyHXE/edit?gid=0#gid=0"",""GERAL!A2:C""),3,0),""-"")"),"-")</f>
        <v>-</v>
      </c>
      <c r="Q739" s="101" t="s">
        <v>156</v>
      </c>
      <c r="R739" s="363">
        <v>10.0</v>
      </c>
      <c r="S739" s="98">
        <v>0.0</v>
      </c>
      <c r="T739" s="98">
        <v>1.0</v>
      </c>
      <c r="U739" s="98">
        <v>0.0</v>
      </c>
      <c r="V739" s="98">
        <v>1.0</v>
      </c>
      <c r="W739" s="98">
        <v>0.0</v>
      </c>
      <c r="X739" s="98">
        <v>0.0</v>
      </c>
      <c r="Y739" s="98">
        <v>1.0</v>
      </c>
      <c r="Z739" s="98">
        <v>0.0</v>
      </c>
      <c r="AA739" s="98">
        <v>0.0</v>
      </c>
      <c r="AB739" s="98">
        <v>0.0</v>
      </c>
      <c r="AC739" s="98">
        <v>0.0</v>
      </c>
      <c r="AD739" s="98">
        <v>0.0</v>
      </c>
      <c r="AE739" s="98">
        <v>0.0</v>
      </c>
      <c r="AF739" s="98">
        <v>0.0</v>
      </c>
      <c r="AG739" s="98">
        <v>1.0</v>
      </c>
      <c r="AH739" s="98">
        <v>0.0</v>
      </c>
      <c r="AI739" s="98">
        <v>0.0</v>
      </c>
      <c r="AJ739" s="98">
        <v>0.0</v>
      </c>
      <c r="AK739" s="98">
        <v>0.0</v>
      </c>
      <c r="AL739" s="98">
        <v>0.0</v>
      </c>
      <c r="AM739" s="98">
        <v>0.0</v>
      </c>
      <c r="AN739" s="98">
        <v>0.0</v>
      </c>
      <c r="AO739" s="98">
        <v>0.0</v>
      </c>
      <c r="AP739" s="98">
        <v>2.0</v>
      </c>
      <c r="AQ739" s="98" t="s">
        <v>3549</v>
      </c>
      <c r="AR739" s="102">
        <v>46191.0</v>
      </c>
      <c r="AS739" s="83">
        <v>1165382.0</v>
      </c>
    </row>
    <row r="740" ht="15.75" customHeight="1">
      <c r="A740" s="111" t="s">
        <v>860</v>
      </c>
      <c r="B740" s="83" t="s">
        <v>3497</v>
      </c>
      <c r="C740" s="83" t="s">
        <v>68</v>
      </c>
      <c r="D740" s="112">
        <v>1129831.0</v>
      </c>
      <c r="E740" s="83"/>
      <c r="F740" s="83">
        <v>2.9001498E7</v>
      </c>
      <c r="G740" s="91" t="str">
        <f>IFERROR(__xludf.DUMMYFUNCTION("XLOOKUP(AS740,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DA POLICIA MILITAR - CPM PROFESSOR ALEXANDRE LEAL COSTA")</f>
        <v>COLÉGIO DA POLICIA MILITAR - CPM PROFESSOR ALEXANDRE LEAL COSTA</v>
      </c>
      <c r="H740" s="119" t="s">
        <v>3550</v>
      </c>
      <c r="I740" s="91" t="s">
        <v>3551</v>
      </c>
      <c r="J740" s="136" t="s">
        <v>149</v>
      </c>
      <c r="K740" s="136" t="s">
        <v>150</v>
      </c>
      <c r="L740" s="136" t="s">
        <v>151</v>
      </c>
      <c r="M740" s="98" t="s">
        <v>152</v>
      </c>
      <c r="N740" s="98" t="s">
        <v>3552</v>
      </c>
      <c r="O740" s="98" t="s">
        <v>176</v>
      </c>
      <c r="P740" s="99" t="str">
        <f>IFERROR(__xludf.DUMMYFUNCTION("IFERROR(VLOOKUP(AS740,IMPORTRANGE(""https://docs.google.com/spreadsheets/d/1juPI-Fb8LD0YtltB2mlGEnp_R3UVu1t3wSFPzgCyHXE/edit?gid=0#gid=0"",""GERAL!A2:C""),3,0),""-"")"),"-")</f>
        <v>-</v>
      </c>
      <c r="Q740" s="101" t="s">
        <v>156</v>
      </c>
      <c r="R740" s="362">
        <v>17.0</v>
      </c>
      <c r="S740" s="98" t="s">
        <v>171</v>
      </c>
      <c r="T740" s="98" t="s">
        <v>171</v>
      </c>
      <c r="U740" s="98" t="s">
        <v>171</v>
      </c>
      <c r="V740" s="98" t="s">
        <v>171</v>
      </c>
      <c r="W740" s="98" t="s">
        <v>171</v>
      </c>
      <c r="X740" s="98" t="s">
        <v>171</v>
      </c>
      <c r="Y740" s="98" t="s">
        <v>171</v>
      </c>
      <c r="Z740" s="98" t="s">
        <v>171</v>
      </c>
      <c r="AA740" s="98" t="s">
        <v>171</v>
      </c>
      <c r="AB740" s="98" t="s">
        <v>171</v>
      </c>
      <c r="AC740" s="98" t="s">
        <v>171</v>
      </c>
      <c r="AD740" s="98" t="s">
        <v>171</v>
      </c>
      <c r="AE740" s="98" t="s">
        <v>171</v>
      </c>
      <c r="AF740" s="98" t="s">
        <v>171</v>
      </c>
      <c r="AG740" s="98" t="s">
        <v>171</v>
      </c>
      <c r="AH740" s="98" t="s">
        <v>171</v>
      </c>
      <c r="AI740" s="98" t="s">
        <v>171</v>
      </c>
      <c r="AJ740" s="98" t="s">
        <v>171</v>
      </c>
      <c r="AK740" s="98" t="s">
        <v>171</v>
      </c>
      <c r="AL740" s="98" t="s">
        <v>171</v>
      </c>
      <c r="AM740" s="98" t="s">
        <v>171</v>
      </c>
      <c r="AN740" s="98" t="s">
        <v>171</v>
      </c>
      <c r="AO740" s="98" t="s">
        <v>171</v>
      </c>
      <c r="AP740" s="98" t="s">
        <v>171</v>
      </c>
      <c r="AQ740" s="98" t="s">
        <v>171</v>
      </c>
      <c r="AR740" s="102">
        <v>46191.0</v>
      </c>
      <c r="AS740" s="83">
        <v>1129831.0</v>
      </c>
    </row>
    <row r="741" ht="15.75" customHeight="1">
      <c r="A741" s="111" t="s">
        <v>860</v>
      </c>
      <c r="B741" s="83" t="s">
        <v>3497</v>
      </c>
      <c r="C741" s="83" t="s">
        <v>68</v>
      </c>
      <c r="D741" s="112">
        <v>1129742.0</v>
      </c>
      <c r="E741" s="83"/>
      <c r="F741" s="83">
        <v>2.9000971E7</v>
      </c>
      <c r="G741" s="91" t="str">
        <f>IFERROR(__xludf.DUMMYFUNCTION("XLOOKUP(AS741,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DA BACIA DO RIO GRANDE")</f>
        <v>CENTRO TERRITORIAL DE EDUCACAO PROFISSIONAL DA BACIA DO RIO GRANDE</v>
      </c>
      <c r="H741" s="114" t="s">
        <v>3556</v>
      </c>
      <c r="I741" s="91" t="s">
        <v>3557</v>
      </c>
      <c r="J741" s="136" t="s">
        <v>149</v>
      </c>
      <c r="K741" s="136" t="s">
        <v>150</v>
      </c>
      <c r="L741" s="136" t="s">
        <v>151</v>
      </c>
      <c r="M741" s="83" t="s">
        <v>230</v>
      </c>
      <c r="N741" s="98" t="s">
        <v>3558</v>
      </c>
      <c r="O741" s="98" t="s">
        <v>155</v>
      </c>
      <c r="P741" s="99" t="str">
        <f>IFERROR(__xludf.DUMMYFUNCTION("IFERROR(VLOOKUP(AS741,IMPORTRANGE(""https://docs.google.com/spreadsheets/d/1juPI-Fb8LD0YtltB2mlGEnp_R3UVu1t3wSFPzgCyHXE/edit?gid=0#gid=0"",""GERAL!A2:C""),3,0),""-"")"),"-")</f>
        <v>-</v>
      </c>
      <c r="Q741" s="98" t="s">
        <v>171</v>
      </c>
      <c r="R741" s="362">
        <v>15.0</v>
      </c>
      <c r="S741" s="98" t="s">
        <v>171</v>
      </c>
      <c r="T741" s="98" t="s">
        <v>171</v>
      </c>
      <c r="U741" s="98" t="s">
        <v>171</v>
      </c>
      <c r="V741" s="98" t="s">
        <v>171</v>
      </c>
      <c r="W741" s="98" t="s">
        <v>171</v>
      </c>
      <c r="X741" s="98" t="s">
        <v>171</v>
      </c>
      <c r="Y741" s="98" t="s">
        <v>171</v>
      </c>
      <c r="Z741" s="98" t="s">
        <v>171</v>
      </c>
      <c r="AA741" s="98" t="s">
        <v>171</v>
      </c>
      <c r="AB741" s="98" t="s">
        <v>171</v>
      </c>
      <c r="AC741" s="98" t="s">
        <v>171</v>
      </c>
      <c r="AD741" s="98" t="s">
        <v>171</v>
      </c>
      <c r="AE741" s="98" t="s">
        <v>171</v>
      </c>
      <c r="AF741" s="98" t="s">
        <v>171</v>
      </c>
      <c r="AG741" s="98" t="s">
        <v>171</v>
      </c>
      <c r="AH741" s="98" t="s">
        <v>171</v>
      </c>
      <c r="AI741" s="98" t="s">
        <v>171</v>
      </c>
      <c r="AJ741" s="98" t="s">
        <v>171</v>
      </c>
      <c r="AK741" s="98" t="s">
        <v>171</v>
      </c>
      <c r="AL741" s="98" t="s">
        <v>171</v>
      </c>
      <c r="AM741" s="98" t="s">
        <v>171</v>
      </c>
      <c r="AN741" s="98" t="s">
        <v>171</v>
      </c>
      <c r="AO741" s="98" t="s">
        <v>171</v>
      </c>
      <c r="AP741" s="98" t="s">
        <v>171</v>
      </c>
      <c r="AQ741" s="98" t="s">
        <v>171</v>
      </c>
      <c r="AR741" s="102">
        <v>46191.0</v>
      </c>
      <c r="AS741" s="83">
        <v>1129742.0</v>
      </c>
    </row>
    <row r="742" ht="15.75" customHeight="1">
      <c r="A742" s="111" t="s">
        <v>860</v>
      </c>
      <c r="B742" s="83" t="s">
        <v>3497</v>
      </c>
      <c r="C742" s="83" t="s">
        <v>68</v>
      </c>
      <c r="D742" s="112">
        <v>1179339.0</v>
      </c>
      <c r="E742" s="83"/>
      <c r="F742" s="83">
        <v>2.946148E7</v>
      </c>
      <c r="G742" s="91" t="str">
        <f>IFERROR(__xludf.DUMMYFUNCTION("XLOOKUP(AS742,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MEDIO COM INTERMEDIACAO TECNOLOGICA - CEMIT BACIA DO RIO GRANDE")</f>
        <v>CENTRO REGIONAL DE ENSINO MEDIO COM INTERMEDIACAO TECNOLOGICA - CEMIT BACIA DO RIO GRANDE</v>
      </c>
      <c r="H742" s="114" t="s">
        <v>3561</v>
      </c>
      <c r="I742" s="108" t="s">
        <v>3562</v>
      </c>
      <c r="J742" s="83" t="s">
        <v>149</v>
      </c>
      <c r="K742" s="136" t="s">
        <v>150</v>
      </c>
      <c r="L742" s="136" t="s">
        <v>151</v>
      </c>
      <c r="M742" s="136" t="s">
        <v>230</v>
      </c>
      <c r="N742" s="128" t="s">
        <v>171</v>
      </c>
      <c r="O742" s="98" t="s">
        <v>155</v>
      </c>
      <c r="P742" s="99" t="str">
        <f>IFERROR(__xludf.DUMMYFUNCTION("IFERROR(VLOOKUP(AS742,IMPORTRANGE(""https://docs.google.com/spreadsheets/d/1juPI-Fb8LD0YtltB2mlGEnp_R3UVu1t3wSFPzgCyHXE/edit?gid=0#gid=0"",""GERAL!A2:C""),3,0),""-"")"),"-")</f>
        <v>-</v>
      </c>
      <c r="Q742" s="98" t="s">
        <v>171</v>
      </c>
      <c r="R742" s="362">
        <v>0.0</v>
      </c>
      <c r="S742" s="98" t="s">
        <v>171</v>
      </c>
      <c r="T742" s="98" t="s">
        <v>171</v>
      </c>
      <c r="U742" s="98" t="s">
        <v>171</v>
      </c>
      <c r="V742" s="98" t="s">
        <v>171</v>
      </c>
      <c r="W742" s="98" t="s">
        <v>171</v>
      </c>
      <c r="X742" s="98" t="s">
        <v>171</v>
      </c>
      <c r="Y742" s="98" t="s">
        <v>171</v>
      </c>
      <c r="Z742" s="98" t="s">
        <v>171</v>
      </c>
      <c r="AA742" s="98" t="s">
        <v>171</v>
      </c>
      <c r="AB742" s="98" t="s">
        <v>171</v>
      </c>
      <c r="AC742" s="98" t="s">
        <v>171</v>
      </c>
      <c r="AD742" s="98" t="s">
        <v>171</v>
      </c>
      <c r="AE742" s="98" t="s">
        <v>171</v>
      </c>
      <c r="AF742" s="98" t="s">
        <v>171</v>
      </c>
      <c r="AG742" s="98" t="s">
        <v>171</v>
      </c>
      <c r="AH742" s="98" t="s">
        <v>171</v>
      </c>
      <c r="AI742" s="98" t="s">
        <v>171</v>
      </c>
      <c r="AJ742" s="98" t="s">
        <v>171</v>
      </c>
      <c r="AK742" s="98" t="s">
        <v>171</v>
      </c>
      <c r="AL742" s="98" t="s">
        <v>171</v>
      </c>
      <c r="AM742" s="98" t="s">
        <v>171</v>
      </c>
      <c r="AN742" s="98" t="s">
        <v>171</v>
      </c>
      <c r="AO742" s="98" t="s">
        <v>171</v>
      </c>
      <c r="AP742" s="98" t="s">
        <v>171</v>
      </c>
      <c r="AQ742" s="98" t="s">
        <v>171</v>
      </c>
      <c r="AR742" s="102">
        <v>46191.0</v>
      </c>
      <c r="AS742" s="83">
        <v>1179339.0</v>
      </c>
    </row>
    <row r="743" ht="15.75" customHeight="1">
      <c r="A743" s="111" t="s">
        <v>860</v>
      </c>
      <c r="B743" s="83" t="s">
        <v>3497</v>
      </c>
      <c r="C743" s="83" t="s">
        <v>68</v>
      </c>
      <c r="D743" s="112">
        <v>1179458.0</v>
      </c>
      <c r="E743" s="83"/>
      <c r="F743" s="83">
        <v>2.9468396E7</v>
      </c>
      <c r="G743" s="91" t="str">
        <f>IFERROR(__xludf.DUMMYFUNCTION("XLOOKUP(AS743,
IMPORTRANGE(""https://docs.google.com/spreadsheets/d/1YM-djuOLXomrZ9W0B4TyIBsVWnXY4EIOFD9HY-qGfv0/edit?usp=sharing"",""GERAL!BG5:BG""),
IMPORTRANGE(""https://docs.google.com/spreadsheets/d/1YM-djuOLXomrZ9W0B4TyIBsVWnXY4EIOFD9HY-qGfv0/edit?u"&amp;"sp=sharing"",""GERAL!G5:G""),
""CÓD. SEC NÃO ENCONTRADO NA PLANILHA DE MATRÍCULA"")"),"CENTRO JUVENIL DE CIENCIA E CULTURA - CJCC BARREIRAS")</f>
        <v>CENTRO JUVENIL DE CIENCIA E CULTURA - CJCC BARREIRAS</v>
      </c>
      <c r="H743" s="114" t="s">
        <v>3564</v>
      </c>
      <c r="I743" s="91" t="s">
        <v>3565</v>
      </c>
      <c r="J743" s="136" t="s">
        <v>3566</v>
      </c>
      <c r="K743" s="136" t="s">
        <v>150</v>
      </c>
      <c r="L743" s="83" t="s">
        <v>151</v>
      </c>
      <c r="M743" s="136" t="s">
        <v>230</v>
      </c>
      <c r="N743" s="98" t="s">
        <v>3567</v>
      </c>
      <c r="O743" s="98" t="s">
        <v>155</v>
      </c>
      <c r="P743" s="99" t="str">
        <f>IFERROR(__xludf.DUMMYFUNCTION("IFERROR(VLOOKUP(AS743,IMPORTRANGE(""https://docs.google.com/spreadsheets/d/1juPI-Fb8LD0YtltB2mlGEnp_R3UVu1t3wSFPzgCyHXE/edit?gid=0#gid=0"",""GERAL!A2:C""),3,0),""-"")"),"-")</f>
        <v>-</v>
      </c>
      <c r="Q743" s="98" t="s">
        <v>171</v>
      </c>
      <c r="R743" s="366">
        <v>8.0</v>
      </c>
      <c r="S743" s="98" t="s">
        <v>171</v>
      </c>
      <c r="T743" s="98" t="s">
        <v>171</v>
      </c>
      <c r="U743" s="98" t="s">
        <v>171</v>
      </c>
      <c r="V743" s="98" t="s">
        <v>171</v>
      </c>
      <c r="W743" s="98" t="s">
        <v>171</v>
      </c>
      <c r="X743" s="98" t="s">
        <v>171</v>
      </c>
      <c r="Y743" s="98" t="s">
        <v>171</v>
      </c>
      <c r="Z743" s="98" t="s">
        <v>171</v>
      </c>
      <c r="AA743" s="98" t="s">
        <v>171</v>
      </c>
      <c r="AB743" s="98" t="s">
        <v>171</v>
      </c>
      <c r="AC743" s="98" t="s">
        <v>171</v>
      </c>
      <c r="AD743" s="98" t="s">
        <v>171</v>
      </c>
      <c r="AE743" s="98" t="s">
        <v>171</v>
      </c>
      <c r="AF743" s="98" t="s">
        <v>171</v>
      </c>
      <c r="AG743" s="98" t="s">
        <v>171</v>
      </c>
      <c r="AH743" s="98" t="s">
        <v>171</v>
      </c>
      <c r="AI743" s="98" t="s">
        <v>171</v>
      </c>
      <c r="AJ743" s="98" t="s">
        <v>171</v>
      </c>
      <c r="AK743" s="98" t="s">
        <v>171</v>
      </c>
      <c r="AL743" s="98" t="s">
        <v>171</v>
      </c>
      <c r="AM743" s="98" t="s">
        <v>171</v>
      </c>
      <c r="AN743" s="98" t="s">
        <v>171</v>
      </c>
      <c r="AO743" s="98" t="s">
        <v>171</v>
      </c>
      <c r="AP743" s="98">
        <v>1.0</v>
      </c>
      <c r="AQ743" s="98" t="s">
        <v>3569</v>
      </c>
      <c r="AR743" s="102">
        <v>46191.0</v>
      </c>
      <c r="AS743" s="83">
        <v>1179458.0</v>
      </c>
    </row>
    <row r="744" ht="15.75" customHeight="1">
      <c r="A744" s="111" t="s">
        <v>860</v>
      </c>
      <c r="B744" s="83" t="s">
        <v>3497</v>
      </c>
      <c r="C744" s="83" t="s">
        <v>164</v>
      </c>
      <c r="D744" s="112">
        <v>1129858.0</v>
      </c>
      <c r="E744" s="98">
        <v>1179814.0</v>
      </c>
      <c r="F744" s="83"/>
      <c r="G744" s="91" t="str">
        <f>IFERROR(__xludf.DUMMYFUNCTION("XLOOKUP(AS744,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PRISCO VIANA - COMUNIDADE RIO DE PEDRAS")</f>
        <v>ANEXO - COLEGIO ESTADUAL PRISCO VIANA - COMUNIDADE RIO DE PEDRAS</v>
      </c>
      <c r="H744" s="119" t="s">
        <v>3570</v>
      </c>
      <c r="I744" s="108" t="s">
        <v>3571</v>
      </c>
      <c r="J744" s="83"/>
      <c r="K744" s="83"/>
      <c r="L744" s="83" t="s">
        <v>168</v>
      </c>
      <c r="M744" s="98" t="s">
        <v>512</v>
      </c>
      <c r="N744" s="115" t="s">
        <v>170</v>
      </c>
      <c r="O744" s="98"/>
      <c r="P744" s="99" t="str">
        <f>IFERROR(__xludf.DUMMYFUNCTION("IFERROR(VLOOKUP(AS744,IMPORTRANGE(""https://docs.google.com/spreadsheets/d/1juPI-Fb8LD0YtltB2mlGEnp_R3UVu1t3wSFPzgCyHXE/edit?gid=0#gid=0"",""GERAL!A2:C""),3,0),""-"")"),"-")</f>
        <v>-</v>
      </c>
      <c r="Q744" s="98" t="s">
        <v>171</v>
      </c>
      <c r="R744" s="367" t="s">
        <v>171</v>
      </c>
      <c r="S744" s="98" t="s">
        <v>171</v>
      </c>
      <c r="T744" s="98" t="s">
        <v>171</v>
      </c>
      <c r="U744" s="98" t="s">
        <v>171</v>
      </c>
      <c r="V744" s="98" t="s">
        <v>171</v>
      </c>
      <c r="W744" s="98" t="s">
        <v>171</v>
      </c>
      <c r="X744" s="98" t="s">
        <v>171</v>
      </c>
      <c r="Y744" s="98" t="s">
        <v>171</v>
      </c>
      <c r="Z744" s="98" t="s">
        <v>171</v>
      </c>
      <c r="AA744" s="98" t="s">
        <v>171</v>
      </c>
      <c r="AB744" s="98" t="s">
        <v>171</v>
      </c>
      <c r="AC744" s="98" t="s">
        <v>171</v>
      </c>
      <c r="AD744" s="98" t="s">
        <v>171</v>
      </c>
      <c r="AE744" s="98" t="s">
        <v>171</v>
      </c>
      <c r="AF744" s="98" t="s">
        <v>171</v>
      </c>
      <c r="AG744" s="98" t="s">
        <v>171</v>
      </c>
      <c r="AH744" s="98" t="s">
        <v>171</v>
      </c>
      <c r="AI744" s="98"/>
      <c r="AJ744" s="98" t="s">
        <v>171</v>
      </c>
      <c r="AK744" s="98" t="s">
        <v>171</v>
      </c>
      <c r="AL744" s="98" t="s">
        <v>171</v>
      </c>
      <c r="AM744" s="98" t="s">
        <v>171</v>
      </c>
      <c r="AN744" s="98" t="s">
        <v>171</v>
      </c>
      <c r="AO744" s="98" t="s">
        <v>171</v>
      </c>
      <c r="AP744" s="98" t="s">
        <v>171</v>
      </c>
      <c r="AQ744" s="98" t="s">
        <v>171</v>
      </c>
      <c r="AR744" s="102">
        <v>46191.0</v>
      </c>
      <c r="AS744" s="98">
        <v>1179814.0</v>
      </c>
    </row>
    <row r="745" ht="15.75" customHeight="1">
      <c r="A745" s="111" t="s">
        <v>860</v>
      </c>
      <c r="B745" s="83" t="s">
        <v>3497</v>
      </c>
      <c r="C745" s="83" t="s">
        <v>164</v>
      </c>
      <c r="D745" s="112">
        <v>1129718.0</v>
      </c>
      <c r="E745" s="83">
        <v>1179673.0</v>
      </c>
      <c r="F745" s="83"/>
      <c r="G745" s="91" t="str">
        <f>IFERROR(__xludf.DUMMYFUNCTION("XLOOKUP(AS745,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DUQUE DE CAXIAS - CONJUNTO PENAL DE BARREIRAS")</f>
        <v>ANEXO - COLÉGIO ESTADUAL DUQUE DE CAXIAS - CONJUNTO PENAL DE BARREIRAS</v>
      </c>
      <c r="H745" s="114" t="s">
        <v>3573</v>
      </c>
      <c r="I745" s="91" t="s">
        <v>3574</v>
      </c>
      <c r="J745" s="83" t="s">
        <v>149</v>
      </c>
      <c r="K745" s="83" t="s">
        <v>150</v>
      </c>
      <c r="L745" s="83" t="s">
        <v>168</v>
      </c>
      <c r="M745" s="83" t="s">
        <v>169</v>
      </c>
      <c r="N745" s="115" t="s">
        <v>170</v>
      </c>
      <c r="O745" s="98" t="s">
        <v>155</v>
      </c>
      <c r="P745" s="99" t="str">
        <f>IFERROR(__xludf.DUMMYFUNCTION("IFERROR(VLOOKUP(AS745,IMPORTRANGE(""https://docs.google.com/spreadsheets/d/1juPI-Fb8LD0YtltB2mlGEnp_R3UVu1t3wSFPzgCyHXE/edit?gid=0#gid=0"",""GERAL!A2:C""),3,0),""-"")"),"-")</f>
        <v>-</v>
      </c>
      <c r="Q745" s="98" t="s">
        <v>171</v>
      </c>
      <c r="R745" s="368">
        <v>3.0</v>
      </c>
      <c r="S745" s="98" t="s">
        <v>171</v>
      </c>
      <c r="T745" s="98" t="s">
        <v>171</v>
      </c>
      <c r="U745" s="98" t="s">
        <v>171</v>
      </c>
      <c r="V745" s="98" t="s">
        <v>171</v>
      </c>
      <c r="W745" s="98" t="s">
        <v>171</v>
      </c>
      <c r="X745" s="98" t="s">
        <v>171</v>
      </c>
      <c r="Y745" s="98" t="s">
        <v>171</v>
      </c>
      <c r="Z745" s="98" t="s">
        <v>171</v>
      </c>
      <c r="AA745" s="98" t="s">
        <v>171</v>
      </c>
      <c r="AB745" s="98" t="s">
        <v>171</v>
      </c>
      <c r="AC745" s="98" t="s">
        <v>171</v>
      </c>
      <c r="AD745" s="98" t="s">
        <v>171</v>
      </c>
      <c r="AE745" s="98" t="s">
        <v>171</v>
      </c>
      <c r="AF745" s="98" t="s">
        <v>171</v>
      </c>
      <c r="AG745" s="98" t="s">
        <v>171</v>
      </c>
      <c r="AH745" s="98" t="s">
        <v>171</v>
      </c>
      <c r="AI745" s="98" t="s">
        <v>171</v>
      </c>
      <c r="AJ745" s="98" t="s">
        <v>171</v>
      </c>
      <c r="AK745" s="98" t="s">
        <v>171</v>
      </c>
      <c r="AL745" s="98" t="s">
        <v>171</v>
      </c>
      <c r="AM745" s="98" t="s">
        <v>171</v>
      </c>
      <c r="AN745" s="98" t="s">
        <v>171</v>
      </c>
      <c r="AO745" s="98" t="s">
        <v>171</v>
      </c>
      <c r="AP745" s="98" t="s">
        <v>171</v>
      </c>
      <c r="AQ745" s="98" t="s">
        <v>171</v>
      </c>
      <c r="AR745" s="102">
        <v>46191.0</v>
      </c>
      <c r="AS745" s="83">
        <v>1179673.0</v>
      </c>
    </row>
    <row r="746" ht="15.75" customHeight="1">
      <c r="A746" s="111" t="s">
        <v>860</v>
      </c>
      <c r="B746" s="83" t="s">
        <v>3497</v>
      </c>
      <c r="C746" s="83" t="s">
        <v>164</v>
      </c>
      <c r="D746" s="112">
        <v>1179339.0</v>
      </c>
      <c r="E746" s="83">
        <v>1178869.0</v>
      </c>
      <c r="F746" s="83"/>
      <c r="G746" s="91" t="str">
        <f>IFERROR(__xludf.DUMMYFUNCTION("XLOOKUP(AS746,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CERRADAO")</f>
        <v>ANEXO - CEMIT - BACIA DO RIO GRANDE - POVOADO DE CERRADAO</v>
      </c>
      <c r="H746" s="114" t="s">
        <v>3576</v>
      </c>
      <c r="I746" s="91" t="s">
        <v>3577</v>
      </c>
      <c r="J746" s="83" t="s">
        <v>149</v>
      </c>
      <c r="K746" s="83" t="s">
        <v>568</v>
      </c>
      <c r="L746" s="83" t="s">
        <v>168</v>
      </c>
      <c r="M746" s="83" t="s">
        <v>169</v>
      </c>
      <c r="N746" s="115" t="s">
        <v>170</v>
      </c>
      <c r="O746" s="98" t="s">
        <v>155</v>
      </c>
      <c r="P746" s="99" t="str">
        <f>IFERROR(__xludf.DUMMYFUNCTION("IFERROR(VLOOKUP(AS746,IMPORTRANGE(""https://docs.google.com/spreadsheets/d/1juPI-Fb8LD0YtltB2mlGEnp_R3UVu1t3wSFPzgCyHXE/edit?gid=0#gid=0"",""GERAL!A2:C""),3,0),""-"")"),"-")</f>
        <v>-</v>
      </c>
      <c r="Q746" s="98" t="s">
        <v>171</v>
      </c>
      <c r="R746" s="368">
        <v>3.0</v>
      </c>
      <c r="S746" s="98" t="s">
        <v>171</v>
      </c>
      <c r="T746" s="98" t="s">
        <v>171</v>
      </c>
      <c r="U746" s="98" t="s">
        <v>171</v>
      </c>
      <c r="V746" s="98" t="s">
        <v>171</v>
      </c>
      <c r="W746" s="98" t="s">
        <v>171</v>
      </c>
      <c r="X746" s="98" t="s">
        <v>171</v>
      </c>
      <c r="Y746" s="98" t="s">
        <v>171</v>
      </c>
      <c r="Z746" s="98" t="s">
        <v>171</v>
      </c>
      <c r="AA746" s="98" t="s">
        <v>171</v>
      </c>
      <c r="AB746" s="98" t="s">
        <v>171</v>
      </c>
      <c r="AC746" s="98" t="s">
        <v>171</v>
      </c>
      <c r="AD746" s="98" t="s">
        <v>171</v>
      </c>
      <c r="AE746" s="98" t="s">
        <v>171</v>
      </c>
      <c r="AF746" s="98" t="s">
        <v>171</v>
      </c>
      <c r="AG746" s="98" t="s">
        <v>171</v>
      </c>
      <c r="AH746" s="98" t="s">
        <v>171</v>
      </c>
      <c r="AI746" s="98" t="s">
        <v>171</v>
      </c>
      <c r="AJ746" s="98" t="s">
        <v>171</v>
      </c>
      <c r="AK746" s="98" t="s">
        <v>171</v>
      </c>
      <c r="AL746" s="98" t="s">
        <v>171</v>
      </c>
      <c r="AM746" s="98" t="s">
        <v>171</v>
      </c>
      <c r="AN746" s="98" t="s">
        <v>171</v>
      </c>
      <c r="AO746" s="98" t="s">
        <v>171</v>
      </c>
      <c r="AP746" s="98" t="s">
        <v>171</v>
      </c>
      <c r="AQ746" s="98" t="s">
        <v>171</v>
      </c>
      <c r="AR746" s="102">
        <v>46191.0</v>
      </c>
      <c r="AS746" s="83">
        <v>1178869.0</v>
      </c>
    </row>
    <row r="747" ht="15.75" customHeight="1">
      <c r="A747" s="111" t="s">
        <v>860</v>
      </c>
      <c r="B747" s="83" t="s">
        <v>3497</v>
      </c>
      <c r="C747" s="83" t="s">
        <v>164</v>
      </c>
      <c r="D747" s="112">
        <v>1179339.0</v>
      </c>
      <c r="E747" s="83">
        <v>1179169.0</v>
      </c>
      <c r="F747" s="83"/>
      <c r="G747" s="91" t="str">
        <f>IFERROR(__xludf.DUMMYFUNCTION("XLOOKUP(AS747,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RIO BRANCO")</f>
        <v>ANEXO - CEMIT - BACIA DO RIO GRANDE - DISTRITO DE RIO BRANCO</v>
      </c>
      <c r="H747" s="114" t="s">
        <v>3580</v>
      </c>
      <c r="I747" s="91" t="s">
        <v>3581</v>
      </c>
      <c r="J747" s="83" t="s">
        <v>149</v>
      </c>
      <c r="K747" s="83" t="s">
        <v>244</v>
      </c>
      <c r="L747" s="83" t="s">
        <v>168</v>
      </c>
      <c r="M747" s="83" t="s">
        <v>169</v>
      </c>
      <c r="N747" s="115" t="s">
        <v>170</v>
      </c>
      <c r="O747" s="98" t="s">
        <v>155</v>
      </c>
      <c r="P747" s="99" t="str">
        <f>IFERROR(__xludf.DUMMYFUNCTION("IFERROR(VLOOKUP(AS747,IMPORTRANGE(""https://docs.google.com/spreadsheets/d/1juPI-Fb8LD0YtltB2mlGEnp_R3UVu1t3wSFPzgCyHXE/edit?gid=0#gid=0"",""GERAL!A2:C""),3,0),""-"")"),"-")</f>
        <v>-</v>
      </c>
      <c r="Q747" s="98" t="s">
        <v>171</v>
      </c>
      <c r="R747" s="368">
        <v>1.0</v>
      </c>
      <c r="S747" s="98" t="s">
        <v>171</v>
      </c>
      <c r="T747" s="98" t="s">
        <v>171</v>
      </c>
      <c r="U747" s="98" t="s">
        <v>171</v>
      </c>
      <c r="V747" s="98" t="s">
        <v>171</v>
      </c>
      <c r="W747" s="98" t="s">
        <v>171</v>
      </c>
      <c r="X747" s="98" t="s">
        <v>171</v>
      </c>
      <c r="Y747" s="98" t="s">
        <v>171</v>
      </c>
      <c r="Z747" s="98" t="s">
        <v>171</v>
      </c>
      <c r="AA747" s="98" t="s">
        <v>171</v>
      </c>
      <c r="AB747" s="98" t="s">
        <v>171</v>
      </c>
      <c r="AC747" s="98" t="s">
        <v>171</v>
      </c>
      <c r="AD747" s="98" t="s">
        <v>171</v>
      </c>
      <c r="AE747" s="98" t="s">
        <v>171</v>
      </c>
      <c r="AF747" s="98" t="s">
        <v>171</v>
      </c>
      <c r="AG747" s="98" t="s">
        <v>171</v>
      </c>
      <c r="AH747" s="98" t="s">
        <v>171</v>
      </c>
      <c r="AI747" s="98" t="s">
        <v>171</v>
      </c>
      <c r="AJ747" s="98" t="s">
        <v>171</v>
      </c>
      <c r="AK747" s="98" t="s">
        <v>171</v>
      </c>
      <c r="AL747" s="98" t="s">
        <v>171</v>
      </c>
      <c r="AM747" s="98" t="s">
        <v>171</v>
      </c>
      <c r="AN747" s="98" t="s">
        <v>171</v>
      </c>
      <c r="AO747" s="98" t="s">
        <v>171</v>
      </c>
      <c r="AP747" s="98" t="s">
        <v>171</v>
      </c>
      <c r="AQ747" s="98" t="s">
        <v>171</v>
      </c>
      <c r="AR747" s="102">
        <v>46191.0</v>
      </c>
      <c r="AS747" s="83">
        <v>1179169.0</v>
      </c>
    </row>
    <row r="748" ht="15.75" customHeight="1">
      <c r="A748" s="111" t="s">
        <v>860</v>
      </c>
      <c r="B748" s="83" t="s">
        <v>3497</v>
      </c>
      <c r="C748" s="83" t="s">
        <v>164</v>
      </c>
      <c r="D748" s="112">
        <v>1179339.0</v>
      </c>
      <c r="E748" s="83">
        <v>1179265.0</v>
      </c>
      <c r="F748" s="83"/>
      <c r="G748" s="91" t="str">
        <f>IFERROR(__xludf.DUMMYFUNCTION("XLOOKUP(AS748,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MOCAMBO")</f>
        <v>ANEXO - CEMIT - BACIA DO RIO GRANDE - DISTRITO DE MOCAMBO</v>
      </c>
      <c r="H748" s="114" t="s">
        <v>3584</v>
      </c>
      <c r="I748" s="91" t="s">
        <v>3585</v>
      </c>
      <c r="J748" s="83" t="s">
        <v>149</v>
      </c>
      <c r="K748" s="83" t="s">
        <v>694</v>
      </c>
      <c r="L748" s="83" t="s">
        <v>168</v>
      </c>
      <c r="M748" s="83" t="s">
        <v>169</v>
      </c>
      <c r="N748" s="115" t="s">
        <v>170</v>
      </c>
      <c r="O748" s="98" t="s">
        <v>155</v>
      </c>
      <c r="P748" s="99" t="str">
        <f>IFERROR(__xludf.DUMMYFUNCTION("IFERROR(VLOOKUP(AS748,IMPORTRANGE(""https://docs.google.com/spreadsheets/d/1juPI-Fb8LD0YtltB2mlGEnp_R3UVu1t3wSFPzgCyHXE/edit?gid=0#gid=0"",""GERAL!A2:C""),3,0),""-"")"),"-")</f>
        <v>-</v>
      </c>
      <c r="Q748" s="98" t="s">
        <v>171</v>
      </c>
      <c r="R748" s="368">
        <v>2.0</v>
      </c>
      <c r="S748" s="98" t="s">
        <v>171</v>
      </c>
      <c r="T748" s="98" t="s">
        <v>171</v>
      </c>
      <c r="U748" s="98" t="s">
        <v>171</v>
      </c>
      <c r="V748" s="98" t="s">
        <v>171</v>
      </c>
      <c r="W748" s="98" t="s">
        <v>171</v>
      </c>
      <c r="X748" s="98" t="s">
        <v>171</v>
      </c>
      <c r="Y748" s="98" t="s">
        <v>171</v>
      </c>
      <c r="Z748" s="98" t="s">
        <v>171</v>
      </c>
      <c r="AA748" s="98" t="s">
        <v>171</v>
      </c>
      <c r="AB748" s="98" t="s">
        <v>171</v>
      </c>
      <c r="AC748" s="98" t="s">
        <v>171</v>
      </c>
      <c r="AD748" s="98" t="s">
        <v>171</v>
      </c>
      <c r="AE748" s="98" t="s">
        <v>171</v>
      </c>
      <c r="AF748" s="98" t="s">
        <v>171</v>
      </c>
      <c r="AG748" s="98" t="s">
        <v>171</v>
      </c>
      <c r="AH748" s="98" t="s">
        <v>171</v>
      </c>
      <c r="AI748" s="98" t="s">
        <v>171</v>
      </c>
      <c r="AJ748" s="98" t="s">
        <v>171</v>
      </c>
      <c r="AK748" s="98" t="s">
        <v>171</v>
      </c>
      <c r="AL748" s="98" t="s">
        <v>171</v>
      </c>
      <c r="AM748" s="98" t="s">
        <v>171</v>
      </c>
      <c r="AN748" s="98" t="s">
        <v>171</v>
      </c>
      <c r="AO748" s="98" t="s">
        <v>171</v>
      </c>
      <c r="AP748" s="98" t="s">
        <v>171</v>
      </c>
      <c r="AQ748" s="98" t="s">
        <v>171</v>
      </c>
      <c r="AR748" s="102">
        <v>46191.0</v>
      </c>
      <c r="AS748" s="83">
        <v>1179265.0</v>
      </c>
    </row>
    <row r="749" ht="15.75" customHeight="1">
      <c r="A749" s="111" t="s">
        <v>860</v>
      </c>
      <c r="B749" s="83" t="s">
        <v>3591</v>
      </c>
      <c r="C749" s="83" t="s">
        <v>68</v>
      </c>
      <c r="D749" s="112">
        <v>1178003.0</v>
      </c>
      <c r="E749" s="83"/>
      <c r="F749" s="83">
        <v>2.941869E7</v>
      </c>
      <c r="G749" s="91" t="str">
        <f>IFERROR(__xludf.DUMMYFUNCTION("XLOOKUP(AS749,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ANTONIO RODRIGUES VIANA")</f>
        <v>COLÉGIO ESTADUAL ANTONIO RODRIGUES VIANA</v>
      </c>
      <c r="H749" s="119" t="s">
        <v>3592</v>
      </c>
      <c r="I749" s="91" t="s">
        <v>3593</v>
      </c>
      <c r="J749" s="136" t="s">
        <v>149</v>
      </c>
      <c r="K749" s="83" t="s">
        <v>150</v>
      </c>
      <c r="L749" s="83" t="s">
        <v>151</v>
      </c>
      <c r="M749" s="98" t="s">
        <v>152</v>
      </c>
      <c r="N749" s="98" t="s">
        <v>3594</v>
      </c>
      <c r="O749" s="98" t="s">
        <v>155</v>
      </c>
      <c r="P749" s="99" t="str">
        <f>IFERROR(__xludf.DUMMYFUNCTION("IFERROR(VLOOKUP(AS749,IMPORTRANGE(""https://docs.google.com/spreadsheets/d/1juPI-Fb8LD0YtltB2mlGEnp_R3UVu1t3wSFPzgCyHXE/edit?gid=0#gid=0"",""GERAL!A2:C""),3,0),""-"")"),"-")</f>
        <v>-</v>
      </c>
      <c r="Q749" s="83"/>
      <c r="R749" s="83"/>
      <c r="S749" s="83"/>
      <c r="T749" s="83"/>
      <c r="U749" s="83"/>
      <c r="V749" s="83"/>
      <c r="W749" s="83"/>
      <c r="X749" s="83"/>
      <c r="Y749" s="83"/>
      <c r="Z749" s="83"/>
      <c r="AA749" s="83"/>
      <c r="AB749" s="83"/>
      <c r="AC749" s="83"/>
      <c r="AD749" s="83"/>
      <c r="AE749" s="83"/>
      <c r="AF749" s="83"/>
      <c r="AG749" s="83"/>
      <c r="AH749" s="83"/>
      <c r="AI749" s="83"/>
      <c r="AJ749" s="83"/>
      <c r="AK749" s="83"/>
      <c r="AL749" s="83"/>
      <c r="AM749" s="83"/>
      <c r="AN749" s="83"/>
      <c r="AO749" s="83"/>
      <c r="AP749" s="83"/>
      <c r="AQ749" s="83"/>
      <c r="AR749" s="83"/>
      <c r="AS749" s="83">
        <v>1178003.0</v>
      </c>
    </row>
    <row r="750" ht="15.75" customHeight="1">
      <c r="A750" s="111" t="s">
        <v>860</v>
      </c>
      <c r="B750" s="83" t="s">
        <v>3591</v>
      </c>
      <c r="C750" s="83" t="s">
        <v>164</v>
      </c>
      <c r="D750" s="112">
        <v>1179339.0</v>
      </c>
      <c r="E750" s="83">
        <v>1178823.0</v>
      </c>
      <c r="F750" s="83"/>
      <c r="G750" s="91" t="str">
        <f>IFERROR(__xludf.DUMMYFUNCTION("XLOOKUP(AS750,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POCO DA JUREMA")</f>
        <v>ANEXO - CEMIT - BACIA DO RIO GRANDE - POVOADO DE POCO DA JUREMA</v>
      </c>
      <c r="H750" s="114" t="s">
        <v>3595</v>
      </c>
      <c r="I750" s="91" t="s">
        <v>3596</v>
      </c>
      <c r="J750" s="83" t="s">
        <v>3597</v>
      </c>
      <c r="K750" s="83" t="s">
        <v>222</v>
      </c>
      <c r="L750" s="83" t="s">
        <v>168</v>
      </c>
      <c r="M750" s="83" t="s">
        <v>169</v>
      </c>
      <c r="N750" s="115" t="s">
        <v>170</v>
      </c>
      <c r="O750" s="98" t="s">
        <v>155</v>
      </c>
      <c r="P750" s="99" t="str">
        <f>IFERROR(__xludf.DUMMYFUNCTION("IFERROR(VLOOKUP(AS750,IMPORTRANGE(""https://docs.google.com/spreadsheets/d/1juPI-Fb8LD0YtltB2mlGEnp_R3UVu1t3wSFPzgCyHXE/edit?gid=0#gid=0"",""GERAL!A2:C""),3,0),""-"")"),"-")</f>
        <v>-</v>
      </c>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c r="AR750" s="83"/>
      <c r="AS750" s="83">
        <v>1178823.0</v>
      </c>
    </row>
    <row r="751" ht="15.75" customHeight="1">
      <c r="A751" s="111" t="s">
        <v>860</v>
      </c>
      <c r="B751" s="83" t="s">
        <v>3591</v>
      </c>
      <c r="C751" s="83" t="s">
        <v>164</v>
      </c>
      <c r="D751" s="112">
        <v>1179339.0</v>
      </c>
      <c r="E751" s="83">
        <v>1179334.0</v>
      </c>
      <c r="F751" s="83"/>
      <c r="G751" s="91" t="str">
        <f>IFERROR(__xludf.DUMMYFUNCTION("XLOOKUP(AS751,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LAGOA BONITA")</f>
        <v>ANEXO - CEMIT - BACIA DO RIO GRANDE - POVOADO DE LAGOA BONITA</v>
      </c>
      <c r="H751" s="114" t="s">
        <v>3598</v>
      </c>
      <c r="I751" s="91" t="s">
        <v>3599</v>
      </c>
      <c r="J751" s="136" t="s">
        <v>3600</v>
      </c>
      <c r="K751" s="83" t="s">
        <v>331</v>
      </c>
      <c r="L751" s="83" t="s">
        <v>168</v>
      </c>
      <c r="M751" s="83" t="s">
        <v>169</v>
      </c>
      <c r="N751" s="115" t="s">
        <v>170</v>
      </c>
      <c r="O751" s="98" t="s">
        <v>155</v>
      </c>
      <c r="P751" s="99" t="str">
        <f>IFERROR(__xludf.DUMMYFUNCTION("IFERROR(VLOOKUP(AS751,IMPORTRANGE(""https://docs.google.com/spreadsheets/d/1juPI-Fb8LD0YtltB2mlGEnp_R3UVu1t3wSFPzgCyHXE/edit?gid=0#gid=0"",""GERAL!A2:C""),3,0),""-"")"),"-")</f>
        <v>-</v>
      </c>
      <c r="Q751" s="83"/>
      <c r="R751" s="83"/>
      <c r="S751" s="83"/>
      <c r="T751" s="83"/>
      <c r="U751" s="83"/>
      <c r="V751" s="83"/>
      <c r="W751" s="83"/>
      <c r="X751" s="83"/>
      <c r="Y751" s="83"/>
      <c r="Z751" s="83"/>
      <c r="AA751" s="83"/>
      <c r="AB751" s="83"/>
      <c r="AC751" s="83"/>
      <c r="AD751" s="83"/>
      <c r="AE751" s="83"/>
      <c r="AF751" s="83"/>
      <c r="AG751" s="83"/>
      <c r="AH751" s="83"/>
      <c r="AI751" s="83"/>
      <c r="AJ751" s="83"/>
      <c r="AK751" s="83"/>
      <c r="AL751" s="83"/>
      <c r="AM751" s="83"/>
      <c r="AN751" s="83"/>
      <c r="AO751" s="83"/>
      <c r="AP751" s="83"/>
      <c r="AQ751" s="83"/>
      <c r="AR751" s="83"/>
      <c r="AS751" s="83">
        <v>1179334.0</v>
      </c>
    </row>
    <row r="752" ht="15.75" customHeight="1">
      <c r="A752" s="111" t="s">
        <v>860</v>
      </c>
      <c r="B752" s="83" t="s">
        <v>3591</v>
      </c>
      <c r="C752" s="83" t="s">
        <v>164</v>
      </c>
      <c r="D752" s="112">
        <v>1179339.0</v>
      </c>
      <c r="E752" s="83">
        <v>1178826.0</v>
      </c>
      <c r="F752" s="83"/>
      <c r="G752" s="91" t="str">
        <f>IFERROR(__xludf.DUMMYFUNCTION("XLOOKUP(AS752,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BOM SOSSEGO")</f>
        <v>ANEXO - CEMIT - BACIA DO RIO GRANDE - POVOADO DE BOM SOSSEGO</v>
      </c>
      <c r="H752" s="114" t="s">
        <v>3601</v>
      </c>
      <c r="I752" s="91" t="s">
        <v>3602</v>
      </c>
      <c r="J752" s="83" t="s">
        <v>3603</v>
      </c>
      <c r="K752" s="83" t="s">
        <v>3227</v>
      </c>
      <c r="L752" s="83" t="s">
        <v>168</v>
      </c>
      <c r="M752" s="83" t="s">
        <v>169</v>
      </c>
      <c r="N752" s="115" t="s">
        <v>170</v>
      </c>
      <c r="O752" s="98" t="s">
        <v>155</v>
      </c>
      <c r="P752" s="99" t="str">
        <f>IFERROR(__xludf.DUMMYFUNCTION("IFERROR(VLOOKUP(AS752,IMPORTRANGE(""https://docs.google.com/spreadsheets/d/1juPI-Fb8LD0YtltB2mlGEnp_R3UVu1t3wSFPzgCyHXE/edit?gid=0#gid=0"",""GERAL!A2:C""),3,0),""-"")"),"-")</f>
        <v>-</v>
      </c>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v>1178826.0</v>
      </c>
    </row>
    <row r="753" ht="15.75" customHeight="1">
      <c r="A753" s="111" t="s">
        <v>860</v>
      </c>
      <c r="B753" s="83" t="s">
        <v>3591</v>
      </c>
      <c r="C753" s="83" t="s">
        <v>164</v>
      </c>
      <c r="D753" s="112">
        <v>1179339.0</v>
      </c>
      <c r="E753" s="83">
        <v>1178825.0</v>
      </c>
      <c r="F753" s="83"/>
      <c r="G753" s="91" t="str">
        <f>IFERROR(__xludf.DUMMYFUNCTION("XLOOKUP(AS753,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BAIXAO DE PANELA")</f>
        <v>ANEXO - CEMIT - BACIA DO RIO GRANDE - POVOADO DE BAIXAO DE PANELA</v>
      </c>
      <c r="H753" s="114" t="s">
        <v>3604</v>
      </c>
      <c r="I753" s="91" t="s">
        <v>3605</v>
      </c>
      <c r="J753" s="83" t="s">
        <v>3606</v>
      </c>
      <c r="K753" s="83" t="s">
        <v>315</v>
      </c>
      <c r="L753" s="83" t="s">
        <v>168</v>
      </c>
      <c r="M753" s="83" t="s">
        <v>169</v>
      </c>
      <c r="N753" s="115" t="s">
        <v>170</v>
      </c>
      <c r="O753" s="98" t="s">
        <v>155</v>
      </c>
      <c r="P753" s="99" t="str">
        <f>IFERROR(__xludf.DUMMYFUNCTION("IFERROR(VLOOKUP(AS753,IMPORTRANGE(""https://docs.google.com/spreadsheets/d/1juPI-Fb8LD0YtltB2mlGEnp_R3UVu1t3wSFPzgCyHXE/edit?gid=0#gid=0"",""GERAL!A2:C""),3,0),""-"")"),"-")</f>
        <v>-</v>
      </c>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v>1178825.0</v>
      </c>
    </row>
    <row r="754" ht="15.75" customHeight="1">
      <c r="A754" s="111" t="s">
        <v>860</v>
      </c>
      <c r="B754" s="83" t="s">
        <v>3591</v>
      </c>
      <c r="C754" s="83" t="s">
        <v>164</v>
      </c>
      <c r="D754" s="112">
        <v>1179339.0</v>
      </c>
      <c r="E754" s="83">
        <v>1178822.0</v>
      </c>
      <c r="F754" s="83"/>
      <c r="G754" s="91" t="str">
        <f>IFERROR(__xludf.DUMMYFUNCTION("XLOOKUP(AS754,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DE ALTAMIRA")</f>
        <v>ANEXO - CEMIT - BACIA DO RIO GRANDE - POVOADO DE ALTAMIRA</v>
      </c>
      <c r="H754" s="114" t="s">
        <v>3607</v>
      </c>
      <c r="I754" s="91" t="s">
        <v>3608</v>
      </c>
      <c r="J754" s="83" t="s">
        <v>3609</v>
      </c>
      <c r="K754" s="83" t="s">
        <v>331</v>
      </c>
      <c r="L754" s="83" t="s">
        <v>168</v>
      </c>
      <c r="M754" s="83" t="s">
        <v>169</v>
      </c>
      <c r="N754" s="115" t="s">
        <v>170</v>
      </c>
      <c r="O754" s="98" t="s">
        <v>155</v>
      </c>
      <c r="P754" s="99" t="str">
        <f>IFERROR(__xludf.DUMMYFUNCTION("IFERROR(VLOOKUP(AS754,IMPORTRANGE(""https://docs.google.com/spreadsheets/d/1juPI-Fb8LD0YtltB2mlGEnp_R3UVu1t3wSFPzgCyHXE/edit?gid=0#gid=0"",""GERAL!A2:C""),3,0),""-"")"),"-")</f>
        <v>-</v>
      </c>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c r="AR754" s="83"/>
      <c r="AS754" s="83">
        <v>1178822.0</v>
      </c>
    </row>
    <row r="755" ht="15.75" customHeight="1">
      <c r="A755" s="111" t="s">
        <v>860</v>
      </c>
      <c r="B755" s="83" t="s">
        <v>3591</v>
      </c>
      <c r="C755" s="83" t="s">
        <v>164</v>
      </c>
      <c r="D755" s="112">
        <v>1179339.0</v>
      </c>
      <c r="E755" s="83">
        <v>1178824.0</v>
      </c>
      <c r="F755" s="83"/>
      <c r="G755" s="91" t="str">
        <f>IFERROR(__xludf.DUMMYFUNCTION("XLOOKUP(AS755,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MORRINHOS")</f>
        <v>ANEXO - CEMIT - BACIA DO RIO GRANDE - DISTRITO DE MORRINHOS</v>
      </c>
      <c r="H755" s="114" t="s">
        <v>3610</v>
      </c>
      <c r="I755" s="91" t="s">
        <v>3611</v>
      </c>
      <c r="J755" s="83" t="s">
        <v>3612</v>
      </c>
      <c r="K755" s="83" t="s">
        <v>485</v>
      </c>
      <c r="L755" s="83" t="s">
        <v>168</v>
      </c>
      <c r="M755" s="83" t="s">
        <v>169</v>
      </c>
      <c r="N755" s="115" t="s">
        <v>170</v>
      </c>
      <c r="O755" s="98" t="s">
        <v>155</v>
      </c>
      <c r="P755" s="99" t="str">
        <f>IFERROR(__xludf.DUMMYFUNCTION("IFERROR(VLOOKUP(AS755,IMPORTRANGE(""https://docs.google.com/spreadsheets/d/1juPI-Fb8LD0YtltB2mlGEnp_R3UVu1t3wSFPzgCyHXE/edit?gid=0#gid=0"",""GERAL!A2:C""),3,0),""-"")"),"-")</f>
        <v>-</v>
      </c>
      <c r="Q755" s="83"/>
      <c r="R755" s="83"/>
      <c r="S755" s="83"/>
      <c r="T755" s="83"/>
      <c r="U755" s="83"/>
      <c r="V755" s="83"/>
      <c r="W755" s="83"/>
      <c r="X755" s="83"/>
      <c r="Y755" s="83"/>
      <c r="Z755" s="83"/>
      <c r="AA755" s="83"/>
      <c r="AB755" s="83"/>
      <c r="AC755" s="83"/>
      <c r="AD755" s="83"/>
      <c r="AE755" s="83"/>
      <c r="AF755" s="83"/>
      <c r="AG755" s="83"/>
      <c r="AH755" s="83"/>
      <c r="AI755" s="83"/>
      <c r="AJ755" s="83"/>
      <c r="AK755" s="83"/>
      <c r="AL755" s="83"/>
      <c r="AM755" s="83"/>
      <c r="AN755" s="83"/>
      <c r="AO755" s="83"/>
      <c r="AP755" s="83"/>
      <c r="AQ755" s="83"/>
      <c r="AR755" s="83"/>
      <c r="AS755" s="83">
        <v>1178824.0</v>
      </c>
    </row>
    <row r="756" ht="15.75" customHeight="1">
      <c r="A756" s="111" t="s">
        <v>860</v>
      </c>
      <c r="B756" s="83" t="s">
        <v>3591</v>
      </c>
      <c r="C756" s="83" t="s">
        <v>164</v>
      </c>
      <c r="D756" s="112">
        <v>1179339.0</v>
      </c>
      <c r="E756" s="83">
        <v>1179134.0</v>
      </c>
      <c r="F756" s="83"/>
      <c r="G756" s="91" t="str">
        <f>IFERROR(__xludf.DUMMYFUNCTION("XLOOKUP(AS756,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LAJEDO")</f>
        <v>ANEXO - CEMIT - BACIA DO RIO GRANDE - DISTRITO DE LAJEDO</v>
      </c>
      <c r="H756" s="114" t="s">
        <v>3613</v>
      </c>
      <c r="I756" s="91" t="s">
        <v>3614</v>
      </c>
      <c r="J756" s="83" t="s">
        <v>3616</v>
      </c>
      <c r="K756" s="83" t="s">
        <v>2855</v>
      </c>
      <c r="L756" s="83" t="s">
        <v>168</v>
      </c>
      <c r="M756" s="83" t="s">
        <v>169</v>
      </c>
      <c r="N756" s="115" t="s">
        <v>170</v>
      </c>
      <c r="O756" s="98" t="s">
        <v>155</v>
      </c>
      <c r="P756" s="99" t="str">
        <f>IFERROR(__xludf.DUMMYFUNCTION("IFERROR(VLOOKUP(AS756,IMPORTRANGE(""https://docs.google.com/spreadsheets/d/1juPI-Fb8LD0YtltB2mlGEnp_R3UVu1t3wSFPzgCyHXE/edit?gid=0#gid=0"",""GERAL!A2:C""),3,0),""-"")"),"-")</f>
        <v>-</v>
      </c>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c r="AR756" s="83"/>
      <c r="AS756" s="83">
        <v>1179134.0</v>
      </c>
    </row>
    <row r="757" ht="15.75" customHeight="1">
      <c r="A757" s="111" t="s">
        <v>860</v>
      </c>
      <c r="B757" s="83" t="s">
        <v>3591</v>
      </c>
      <c r="C757" s="83" t="s">
        <v>164</v>
      </c>
      <c r="D757" s="112">
        <v>1179339.0</v>
      </c>
      <c r="E757" s="83">
        <v>1179317.0</v>
      </c>
      <c r="F757" s="83"/>
      <c r="G757" s="91" t="str">
        <f>IFERROR(__xludf.DUMMYFUNCTION("XLOOKUP(AS757,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LAGOA COMPRIDA")</f>
        <v>ANEXO - CEMIT - BACIA DO RIO GRANDE - DISTRITO DE LAGOA COMPRIDA</v>
      </c>
      <c r="H757" s="114" t="s">
        <v>3622</v>
      </c>
      <c r="I757" s="91" t="s">
        <v>3623</v>
      </c>
      <c r="J757" s="83" t="s">
        <v>3624</v>
      </c>
      <c r="K757" s="83" t="s">
        <v>784</v>
      </c>
      <c r="L757" s="83" t="s">
        <v>168</v>
      </c>
      <c r="M757" s="83" t="s">
        <v>169</v>
      </c>
      <c r="N757" s="115" t="s">
        <v>170</v>
      </c>
      <c r="O757" s="98" t="s">
        <v>155</v>
      </c>
      <c r="P757" s="99" t="str">
        <f>IFERROR(__xludf.DUMMYFUNCTION("IFERROR(VLOOKUP(AS757,IMPORTRANGE(""https://docs.google.com/spreadsheets/d/1juPI-Fb8LD0YtltB2mlGEnp_R3UVu1t3wSFPzgCyHXE/edit?gid=0#gid=0"",""GERAL!A2:C""),3,0),""-"")"),"-")</f>
        <v>-</v>
      </c>
      <c r="Q757" s="83"/>
      <c r="R757" s="83"/>
      <c r="S757" s="83"/>
      <c r="T757" s="83"/>
      <c r="U757" s="83"/>
      <c r="V757" s="83"/>
      <c r="W757" s="83"/>
      <c r="X757" s="83"/>
      <c r="Y757" s="83"/>
      <c r="Z757" s="83"/>
      <c r="AA757" s="83"/>
      <c r="AB757" s="83"/>
      <c r="AC757" s="83"/>
      <c r="AD757" s="83"/>
      <c r="AE757" s="83"/>
      <c r="AF757" s="83"/>
      <c r="AG757" s="83"/>
      <c r="AH757" s="83"/>
      <c r="AI757" s="83"/>
      <c r="AJ757" s="83"/>
      <c r="AK757" s="83"/>
      <c r="AL757" s="83"/>
      <c r="AM757" s="83"/>
      <c r="AN757" s="83"/>
      <c r="AO757" s="83"/>
      <c r="AP757" s="83"/>
      <c r="AQ757" s="83"/>
      <c r="AR757" s="83"/>
      <c r="AS757" s="83">
        <v>1179317.0</v>
      </c>
    </row>
    <row r="758" ht="15.75" customHeight="1">
      <c r="A758" s="111" t="s">
        <v>860</v>
      </c>
      <c r="B758" s="83" t="s">
        <v>3591</v>
      </c>
      <c r="C758" s="83" t="s">
        <v>164</v>
      </c>
      <c r="D758" s="112">
        <v>1179339.0</v>
      </c>
      <c r="E758" s="83">
        <v>1179316.0</v>
      </c>
      <c r="F758" s="83"/>
      <c r="G758" s="91" t="str">
        <f>IFERROR(__xludf.DUMMYFUNCTION("XLOOKUP(AS758,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CURRAL NOVO")</f>
        <v>ANEXO - CEMIT - BACIA DO RIO GRANDE - DISTRITO CURRAL NOVO</v>
      </c>
      <c r="H758" s="114" t="s">
        <v>3626</v>
      </c>
      <c r="I758" s="91" t="s">
        <v>3627</v>
      </c>
      <c r="J758" s="83" t="s">
        <v>3628</v>
      </c>
      <c r="K758" s="83" t="s">
        <v>240</v>
      </c>
      <c r="L758" s="83" t="s">
        <v>168</v>
      </c>
      <c r="M758" s="83" t="s">
        <v>169</v>
      </c>
      <c r="N758" s="115" t="s">
        <v>170</v>
      </c>
      <c r="O758" s="98" t="s">
        <v>155</v>
      </c>
      <c r="P758" s="99" t="str">
        <f>IFERROR(__xludf.DUMMYFUNCTION("IFERROR(VLOOKUP(AS758,IMPORTRANGE(""https://docs.google.com/spreadsheets/d/1juPI-Fb8LD0YtltB2mlGEnp_R3UVu1t3wSFPzgCyHXE/edit?gid=0#gid=0"",""GERAL!A2:C""),3,0),""-"")"),"-")</f>
        <v>-</v>
      </c>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c r="AR758" s="83"/>
      <c r="AS758" s="83">
        <v>1179316.0</v>
      </c>
    </row>
    <row r="759" ht="15.75" customHeight="1">
      <c r="A759" s="111" t="s">
        <v>860</v>
      </c>
      <c r="B759" s="83" t="s">
        <v>3630</v>
      </c>
      <c r="C759" s="83" t="s">
        <v>68</v>
      </c>
      <c r="D759" s="112">
        <v>1129980.0</v>
      </c>
      <c r="E759" s="83"/>
      <c r="F759" s="83">
        <v>2.9002427E7</v>
      </c>
      <c r="G759" s="91" t="str">
        <f>IFERROR(__xludf.DUMMYFUNCTION("XLOOKUP(AS759,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NOSSA SENHORA DA PENHA - TEMPO INTEGRAL")</f>
        <v>COLÉGIO ESTADUAL NOSSA SENHORA DA PENHA - TEMPO INTEGRAL</v>
      </c>
      <c r="H759" s="119" t="s">
        <v>3631</v>
      </c>
      <c r="I759" s="91" t="s">
        <v>3632</v>
      </c>
      <c r="J759" s="136" t="s">
        <v>149</v>
      </c>
      <c r="K759" s="83" t="s">
        <v>150</v>
      </c>
      <c r="L759" s="83" t="s">
        <v>151</v>
      </c>
      <c r="M759" s="83" t="s">
        <v>169</v>
      </c>
      <c r="N759" s="98" t="s">
        <v>3633</v>
      </c>
      <c r="O759" s="98" t="s">
        <v>155</v>
      </c>
      <c r="P759" s="99" t="str">
        <f>IFERROR(__xludf.DUMMYFUNCTION("IFERROR(VLOOKUP(AS759,IMPORTRANGE(""https://docs.google.com/spreadsheets/d/1juPI-Fb8LD0YtltB2mlGEnp_R3UVu1t3wSFPzgCyHXE/edit?gid=0#gid=0"",""GERAL!A2:C""),3,0),""-"")"),"-")</f>
        <v>-</v>
      </c>
      <c r="Q759" s="83"/>
      <c r="R759" s="83"/>
      <c r="S759" s="83"/>
      <c r="T759" s="83"/>
      <c r="U759" s="83"/>
      <c r="V759" s="83"/>
      <c r="W759" s="83"/>
      <c r="X759" s="83"/>
      <c r="Y759" s="83"/>
      <c r="Z759" s="83"/>
      <c r="AA759" s="83"/>
      <c r="AB759" s="83"/>
      <c r="AC759" s="83"/>
      <c r="AD759" s="83"/>
      <c r="AE759" s="83"/>
      <c r="AF759" s="83"/>
      <c r="AG759" s="83"/>
      <c r="AH759" s="83"/>
      <c r="AI759" s="83"/>
      <c r="AJ759" s="83"/>
      <c r="AK759" s="83"/>
      <c r="AL759" s="83"/>
      <c r="AM759" s="83"/>
      <c r="AN759" s="83"/>
      <c r="AO759" s="83"/>
      <c r="AP759" s="83"/>
      <c r="AQ759" s="83"/>
      <c r="AR759" s="83"/>
      <c r="AS759" s="83">
        <v>1129980.0</v>
      </c>
    </row>
    <row r="760" ht="15.75" customHeight="1">
      <c r="A760" s="111" t="s">
        <v>860</v>
      </c>
      <c r="B760" s="83" t="s">
        <v>3630</v>
      </c>
      <c r="C760" s="83" t="s">
        <v>164</v>
      </c>
      <c r="D760" s="112">
        <v>1179339.0</v>
      </c>
      <c r="E760" s="83">
        <v>1178875.0</v>
      </c>
      <c r="F760" s="83"/>
      <c r="G760" s="91" t="str">
        <f>IFERROR(__xludf.DUMMYFUNCTION("XLOOKUP(AS760,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MOZONDO")</f>
        <v>ANEXO - CEMIT BACIA DO RIO GRANDE - DISTRITO MOZONDO</v>
      </c>
      <c r="H760" s="114" t="s">
        <v>3634</v>
      </c>
      <c r="I760" s="91" t="s">
        <v>3635</v>
      </c>
      <c r="J760" s="136" t="s">
        <v>3636</v>
      </c>
      <c r="K760" s="83" t="s">
        <v>822</v>
      </c>
      <c r="L760" s="83" t="s">
        <v>168</v>
      </c>
      <c r="M760" s="83" t="s">
        <v>169</v>
      </c>
      <c r="N760" s="115" t="s">
        <v>170</v>
      </c>
      <c r="O760" s="98" t="s">
        <v>155</v>
      </c>
      <c r="P760" s="99" t="str">
        <f>IFERROR(__xludf.DUMMYFUNCTION("IFERROR(VLOOKUP(AS760,IMPORTRANGE(""https://docs.google.com/spreadsheets/d/1juPI-Fb8LD0YtltB2mlGEnp_R3UVu1t3wSFPzgCyHXE/edit?gid=0#gid=0"",""GERAL!A2:C""),3,0),""-"")"),"-")</f>
        <v>-</v>
      </c>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c r="AR760" s="83"/>
      <c r="AS760" s="83">
        <v>1178875.0</v>
      </c>
    </row>
    <row r="761" ht="15.75" customHeight="1">
      <c r="A761" s="111" t="s">
        <v>860</v>
      </c>
      <c r="B761" s="83" t="s">
        <v>2218</v>
      </c>
      <c r="C761" s="83" t="s">
        <v>68</v>
      </c>
      <c r="D761" s="112">
        <v>1130260.0</v>
      </c>
      <c r="E761" s="83"/>
      <c r="F761" s="83">
        <v>2.90071E7</v>
      </c>
      <c r="G761" s="91" t="str">
        <f>IFERROR(__xludf.DUMMYFUNCTION("XLOOKUP(AS761,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MARCELO SILVEIRA MARIANI")</f>
        <v>COLÉGIO ESTADUAL DE TEMPO INTEGRAL JOSÉ MARCELO SILVEIRA MARIANI</v>
      </c>
      <c r="H761" s="119" t="s">
        <v>3637</v>
      </c>
      <c r="I761" s="108" t="s">
        <v>3638</v>
      </c>
      <c r="J761" s="136" t="s">
        <v>149</v>
      </c>
      <c r="K761" s="83" t="s">
        <v>150</v>
      </c>
      <c r="L761" s="83" t="s">
        <v>151</v>
      </c>
      <c r="M761" s="83" t="s">
        <v>152</v>
      </c>
      <c r="N761" s="98" t="s">
        <v>3639</v>
      </c>
      <c r="O761" s="98" t="s">
        <v>155</v>
      </c>
      <c r="P761" s="99" t="str">
        <f>IFERROR(__xludf.DUMMYFUNCTION("IFERROR(VLOOKUP(AS761,IMPORTRANGE(""https://docs.google.com/spreadsheets/d/1juPI-Fb8LD0YtltB2mlGEnp_R3UVu1t3wSFPzgCyHXE/edit?gid=0#gid=0"",""GERAL!A2:C""),3,0),""-"")"),"-")</f>
        <v>-</v>
      </c>
      <c r="Q761" s="98" t="s">
        <v>171</v>
      </c>
      <c r="R761" s="98">
        <v>12.0</v>
      </c>
      <c r="S761" s="98">
        <v>0.0</v>
      </c>
      <c r="T761" s="98">
        <v>0.0</v>
      </c>
      <c r="U761" s="98">
        <v>0.0</v>
      </c>
      <c r="V761" s="98">
        <v>1.0</v>
      </c>
      <c r="W761" s="98">
        <v>0.0</v>
      </c>
      <c r="X761" s="98">
        <v>1.0</v>
      </c>
      <c r="Y761" s="98">
        <v>0.0</v>
      </c>
      <c r="Z761" s="98">
        <v>1.0</v>
      </c>
      <c r="AA761" s="98">
        <v>0.0</v>
      </c>
      <c r="AB761" s="98">
        <v>1.0</v>
      </c>
      <c r="AC761" s="98">
        <v>0.0</v>
      </c>
      <c r="AD761" s="98">
        <v>0.0</v>
      </c>
      <c r="AE761" s="98">
        <v>0.0</v>
      </c>
      <c r="AF761" s="98">
        <v>0.0</v>
      </c>
      <c r="AG761" s="98">
        <v>0.0</v>
      </c>
      <c r="AH761" s="98">
        <v>0.0</v>
      </c>
      <c r="AI761" s="98">
        <v>0.0</v>
      </c>
      <c r="AJ761" s="98">
        <v>0.0</v>
      </c>
      <c r="AK761" s="98">
        <v>1.0</v>
      </c>
      <c r="AL761" s="98">
        <v>0.0</v>
      </c>
      <c r="AM761" s="98">
        <v>0.0</v>
      </c>
      <c r="AN761" s="98">
        <v>0.0</v>
      </c>
      <c r="AO761" s="98">
        <v>1.0</v>
      </c>
      <c r="AP761" s="98">
        <v>1.0</v>
      </c>
      <c r="AQ761" s="98" t="s">
        <v>3641</v>
      </c>
      <c r="AR761" s="102">
        <v>46241.0</v>
      </c>
      <c r="AS761" s="83">
        <v>1130260.0</v>
      </c>
    </row>
    <row r="762" ht="15.75" customHeight="1">
      <c r="A762" s="111" t="s">
        <v>860</v>
      </c>
      <c r="B762" s="83" t="s">
        <v>2218</v>
      </c>
      <c r="C762" s="83" t="s">
        <v>164</v>
      </c>
      <c r="D762" s="112">
        <v>1130260.0</v>
      </c>
      <c r="E762" s="83">
        <v>1178877.0</v>
      </c>
      <c r="F762" s="83"/>
      <c r="G762" s="91" t="str">
        <f>IFERROR(__xludf.DUMMYFUNCTION("XLOOKUP(AS762,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JOSÉ MARCELO SILVEIRA MARIANI - DISTRITO DE TAGUA")</f>
        <v>ANEXO - COLÉGIO ESTADUAL DE TEMPO INTEGRAL JOSÉ MARCELO SILVEIRA MARIANI - DISTRITO DE TAGUA</v>
      </c>
      <c r="H762" s="119" t="s">
        <v>3642</v>
      </c>
      <c r="I762" s="91" t="s">
        <v>3643</v>
      </c>
      <c r="J762" s="83" t="s">
        <v>3644</v>
      </c>
      <c r="K762" s="136" t="s">
        <v>3645</v>
      </c>
      <c r="L762" s="83" t="s">
        <v>168</v>
      </c>
      <c r="M762" s="83" t="s">
        <v>169</v>
      </c>
      <c r="N762" s="115" t="s">
        <v>170</v>
      </c>
      <c r="O762" s="98" t="s">
        <v>155</v>
      </c>
      <c r="P762" s="99" t="str">
        <f>IFERROR(__xludf.DUMMYFUNCTION("IFERROR(VLOOKUP(AS762,IMPORTRANGE(""https://docs.google.com/spreadsheets/d/1juPI-Fb8LD0YtltB2mlGEnp_R3UVu1t3wSFPzgCyHXE/edit?gid=0#gid=0"",""GERAL!A2:C""),3,0),""-"")"),"CAMPO")</f>
        <v>CAMPO</v>
      </c>
      <c r="Q762" s="98" t="s">
        <v>171</v>
      </c>
      <c r="R762" s="98">
        <v>3.0</v>
      </c>
      <c r="S762" s="98" t="s">
        <v>171</v>
      </c>
      <c r="T762" s="98" t="s">
        <v>171</v>
      </c>
      <c r="U762" s="98" t="s">
        <v>171</v>
      </c>
      <c r="V762" s="98" t="s">
        <v>171</v>
      </c>
      <c r="W762" s="98" t="s">
        <v>171</v>
      </c>
      <c r="X762" s="98" t="s">
        <v>171</v>
      </c>
      <c r="Y762" s="98" t="s">
        <v>171</v>
      </c>
      <c r="Z762" s="98" t="s">
        <v>171</v>
      </c>
      <c r="AA762" s="98" t="s">
        <v>171</v>
      </c>
      <c r="AB762" s="98" t="s">
        <v>171</v>
      </c>
      <c r="AC762" s="98" t="s">
        <v>171</v>
      </c>
      <c r="AD762" s="98" t="s">
        <v>171</v>
      </c>
      <c r="AE762" s="98" t="s">
        <v>171</v>
      </c>
      <c r="AF762" s="98" t="s">
        <v>171</v>
      </c>
      <c r="AG762" s="98" t="s">
        <v>171</v>
      </c>
      <c r="AH762" s="98" t="s">
        <v>171</v>
      </c>
      <c r="AI762" s="98" t="s">
        <v>171</v>
      </c>
      <c r="AJ762" s="98" t="s">
        <v>171</v>
      </c>
      <c r="AK762" s="98" t="s">
        <v>171</v>
      </c>
      <c r="AL762" s="98" t="s">
        <v>171</v>
      </c>
      <c r="AM762" s="98" t="s">
        <v>171</v>
      </c>
      <c r="AN762" s="98" t="s">
        <v>171</v>
      </c>
      <c r="AO762" s="98" t="s">
        <v>171</v>
      </c>
      <c r="AP762" s="98" t="s">
        <v>171</v>
      </c>
      <c r="AQ762" s="98" t="s">
        <v>171</v>
      </c>
      <c r="AR762" s="102">
        <v>46241.0</v>
      </c>
      <c r="AS762" s="83">
        <v>1178877.0</v>
      </c>
    </row>
    <row r="763" ht="15.75" customHeight="1">
      <c r="A763" s="111" t="s">
        <v>860</v>
      </c>
      <c r="B763" s="83" t="s">
        <v>2218</v>
      </c>
      <c r="C763" s="83" t="s">
        <v>164</v>
      </c>
      <c r="D763" s="112">
        <v>1130260.0</v>
      </c>
      <c r="E763" s="83">
        <v>1179073.0</v>
      </c>
      <c r="F763" s="83"/>
      <c r="G763" s="91" t="str">
        <f>IFERROR(__xludf.DUMMYFUNCTION("XLOOKUP(AS763,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JOSÉ MARCELO SILVEIRA MARIANI - DISTRITO DE JUPAGUA")</f>
        <v>ANEXO - COLÉGIO ESTADUAL DE TEMPO INTEGRAL JOSÉ MARCELO SILVEIRA MARIANI - DISTRITO DE JUPAGUA</v>
      </c>
      <c r="H763" s="119" t="s">
        <v>3647</v>
      </c>
      <c r="I763" s="91" t="s">
        <v>3648</v>
      </c>
      <c r="J763" s="83" t="s">
        <v>3649</v>
      </c>
      <c r="K763" s="83" t="s">
        <v>702</v>
      </c>
      <c r="L763" s="83" t="s">
        <v>168</v>
      </c>
      <c r="M763" s="83" t="s">
        <v>169</v>
      </c>
      <c r="N763" s="115" t="s">
        <v>170</v>
      </c>
      <c r="O763" s="98" t="s">
        <v>155</v>
      </c>
      <c r="P763" s="99" t="str">
        <f>IFERROR(__xludf.DUMMYFUNCTION("IFERROR(VLOOKUP(AS763,IMPORTRANGE(""https://docs.google.com/spreadsheets/d/1juPI-Fb8LD0YtltB2mlGEnp_R3UVu1t3wSFPzgCyHXE/edit?gid=0#gid=0"",""GERAL!A2:C""),3,0),""-"")"),"CAMPO")</f>
        <v>CAMPO</v>
      </c>
      <c r="Q763" s="98" t="s">
        <v>171</v>
      </c>
      <c r="R763" s="98">
        <v>3.0</v>
      </c>
      <c r="S763" s="98" t="s">
        <v>171</v>
      </c>
      <c r="T763" s="98" t="s">
        <v>171</v>
      </c>
      <c r="U763" s="98" t="s">
        <v>171</v>
      </c>
      <c r="V763" s="98" t="s">
        <v>171</v>
      </c>
      <c r="W763" s="98" t="s">
        <v>171</v>
      </c>
      <c r="X763" s="98" t="s">
        <v>171</v>
      </c>
      <c r="Y763" s="98" t="s">
        <v>171</v>
      </c>
      <c r="Z763" s="98" t="s">
        <v>171</v>
      </c>
      <c r="AA763" s="98" t="s">
        <v>171</v>
      </c>
      <c r="AB763" s="98" t="s">
        <v>171</v>
      </c>
      <c r="AC763" s="98" t="s">
        <v>171</v>
      </c>
      <c r="AD763" s="98" t="s">
        <v>171</v>
      </c>
      <c r="AE763" s="98" t="s">
        <v>171</v>
      </c>
      <c r="AF763" s="98" t="s">
        <v>171</v>
      </c>
      <c r="AG763" s="98" t="s">
        <v>171</v>
      </c>
      <c r="AH763" s="98" t="s">
        <v>171</v>
      </c>
      <c r="AI763" s="98" t="s">
        <v>171</v>
      </c>
      <c r="AJ763" s="98" t="s">
        <v>171</v>
      </c>
      <c r="AK763" s="98" t="s">
        <v>171</v>
      </c>
      <c r="AL763" s="98" t="s">
        <v>171</v>
      </c>
      <c r="AM763" s="98" t="s">
        <v>171</v>
      </c>
      <c r="AN763" s="98" t="s">
        <v>171</v>
      </c>
      <c r="AO763" s="98" t="s">
        <v>171</v>
      </c>
      <c r="AP763" s="98" t="s">
        <v>171</v>
      </c>
      <c r="AQ763" s="98" t="s">
        <v>171</v>
      </c>
      <c r="AR763" s="102">
        <v>46241.0</v>
      </c>
      <c r="AS763" s="83">
        <v>1179073.0</v>
      </c>
    </row>
    <row r="764" ht="15.75" customHeight="1">
      <c r="A764" s="111" t="s">
        <v>860</v>
      </c>
      <c r="B764" s="83" t="s">
        <v>2218</v>
      </c>
      <c r="C764" s="83" t="s">
        <v>164</v>
      </c>
      <c r="D764" s="112">
        <v>1179339.0</v>
      </c>
      <c r="E764" s="83">
        <v>1178878.0</v>
      </c>
      <c r="F764" s="83"/>
      <c r="G764" s="91" t="str">
        <f>IFERROR(__xludf.DUMMYFUNCTION("XLOOKUP(AS764,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REFORMA DO RIO GRANDE II")</f>
        <v>ANEXO - CEMIT BACIA DO RIO GRANDE - DISTRITO DE REFORMA DO RIO GRANDE II</v>
      </c>
      <c r="H764" s="114" t="s">
        <v>3650</v>
      </c>
      <c r="I764" s="91" t="s">
        <v>3651</v>
      </c>
      <c r="J764" s="136" t="s">
        <v>149</v>
      </c>
      <c r="K764" s="83" t="s">
        <v>244</v>
      </c>
      <c r="L764" s="83" t="s">
        <v>168</v>
      </c>
      <c r="M764" s="83" t="s">
        <v>169</v>
      </c>
      <c r="N764" s="115" t="s">
        <v>170</v>
      </c>
      <c r="O764" s="98" t="s">
        <v>155</v>
      </c>
      <c r="P764" s="99" t="str">
        <f>IFERROR(__xludf.DUMMYFUNCTION("IFERROR(VLOOKUP(AS764,IMPORTRANGE(""https://docs.google.com/spreadsheets/d/1juPI-Fb8LD0YtltB2mlGEnp_R3UVu1t3wSFPzgCyHXE/edit?gid=0#gid=0"",""GERAL!A2:C""),3,0),""-"")"),"-")</f>
        <v>-</v>
      </c>
      <c r="Q764" s="98" t="s">
        <v>171</v>
      </c>
      <c r="R764" s="98">
        <v>2.0</v>
      </c>
      <c r="S764" s="98" t="s">
        <v>171</v>
      </c>
      <c r="T764" s="98" t="s">
        <v>171</v>
      </c>
      <c r="U764" s="98" t="s">
        <v>171</v>
      </c>
      <c r="V764" s="98" t="s">
        <v>171</v>
      </c>
      <c r="W764" s="98" t="s">
        <v>171</v>
      </c>
      <c r="X764" s="98" t="s">
        <v>171</v>
      </c>
      <c r="Y764" s="98" t="s">
        <v>171</v>
      </c>
      <c r="Z764" s="98" t="s">
        <v>171</v>
      </c>
      <c r="AA764" s="98" t="s">
        <v>171</v>
      </c>
      <c r="AB764" s="98" t="s">
        <v>171</v>
      </c>
      <c r="AC764" s="98" t="s">
        <v>171</v>
      </c>
      <c r="AD764" s="98" t="s">
        <v>171</v>
      </c>
      <c r="AE764" s="98" t="s">
        <v>171</v>
      </c>
      <c r="AF764" s="98" t="s">
        <v>171</v>
      </c>
      <c r="AG764" s="98" t="s">
        <v>171</v>
      </c>
      <c r="AH764" s="98" t="s">
        <v>171</v>
      </c>
      <c r="AI764" s="98" t="s">
        <v>171</v>
      </c>
      <c r="AJ764" s="98" t="s">
        <v>171</v>
      </c>
      <c r="AK764" s="98" t="s">
        <v>171</v>
      </c>
      <c r="AL764" s="98" t="s">
        <v>171</v>
      </c>
      <c r="AM764" s="98" t="s">
        <v>171</v>
      </c>
      <c r="AN764" s="98" t="s">
        <v>171</v>
      </c>
      <c r="AO764" s="98" t="s">
        <v>171</v>
      </c>
      <c r="AP764" s="98" t="s">
        <v>171</v>
      </c>
      <c r="AQ764" s="98" t="s">
        <v>171</v>
      </c>
      <c r="AR764" s="102">
        <v>46241.0</v>
      </c>
      <c r="AS764" s="83">
        <v>1178878.0</v>
      </c>
    </row>
    <row r="765" ht="15.75" customHeight="1">
      <c r="A765" s="111" t="s">
        <v>860</v>
      </c>
      <c r="B765" s="83" t="s">
        <v>2218</v>
      </c>
      <c r="C765" s="83" t="s">
        <v>164</v>
      </c>
      <c r="D765" s="112">
        <v>1179339.0</v>
      </c>
      <c r="E765" s="83">
        <v>1179444.0</v>
      </c>
      <c r="F765" s="83"/>
      <c r="G765" s="91" t="str">
        <f>IFERROR(__xludf.DUMMYFUNCTION("XLOOKUP(AS765,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POVOADO BENFICA")</f>
        <v>ANEXO - CEMIT - BACIA DO RIO GRANDE - POVOADO BENFICA</v>
      </c>
      <c r="H765" s="114" t="s">
        <v>3653</v>
      </c>
      <c r="I765" s="91" t="s">
        <v>3654</v>
      </c>
      <c r="J765" s="136" t="s">
        <v>3655</v>
      </c>
      <c r="K765" s="83" t="s">
        <v>183</v>
      </c>
      <c r="L765" s="83" t="s">
        <v>168</v>
      </c>
      <c r="M765" s="83" t="s">
        <v>169</v>
      </c>
      <c r="N765" s="115" t="s">
        <v>170</v>
      </c>
      <c r="O765" s="98" t="s">
        <v>155</v>
      </c>
      <c r="P765" s="99" t="str">
        <f>IFERROR(__xludf.DUMMYFUNCTION("IFERROR(VLOOKUP(AS765,IMPORTRANGE(""https://docs.google.com/spreadsheets/d/1juPI-Fb8LD0YtltB2mlGEnp_R3UVu1t3wSFPzgCyHXE/edit?gid=0#gid=0"",""GERAL!A2:C""),3,0),""-"")"),"-")</f>
        <v>-</v>
      </c>
      <c r="Q765" s="98" t="s">
        <v>171</v>
      </c>
      <c r="R765" s="98">
        <v>3.0</v>
      </c>
      <c r="S765" s="98" t="s">
        <v>171</v>
      </c>
      <c r="T765" s="98" t="s">
        <v>171</v>
      </c>
      <c r="U765" s="98" t="s">
        <v>171</v>
      </c>
      <c r="V765" s="98" t="s">
        <v>171</v>
      </c>
      <c r="W765" s="98" t="s">
        <v>171</v>
      </c>
      <c r="X765" s="98" t="s">
        <v>171</v>
      </c>
      <c r="Y765" s="98" t="s">
        <v>171</v>
      </c>
      <c r="Z765" s="98" t="s">
        <v>171</v>
      </c>
      <c r="AA765" s="98" t="s">
        <v>171</v>
      </c>
      <c r="AB765" s="98" t="s">
        <v>171</v>
      </c>
      <c r="AC765" s="98" t="s">
        <v>171</v>
      </c>
      <c r="AD765" s="98" t="s">
        <v>171</v>
      </c>
      <c r="AE765" s="98" t="s">
        <v>171</v>
      </c>
      <c r="AF765" s="98" t="s">
        <v>171</v>
      </c>
      <c r="AG765" s="98" t="s">
        <v>171</v>
      </c>
      <c r="AH765" s="98" t="s">
        <v>171</v>
      </c>
      <c r="AI765" s="98" t="s">
        <v>171</v>
      </c>
      <c r="AJ765" s="98" t="s">
        <v>171</v>
      </c>
      <c r="AK765" s="98" t="s">
        <v>171</v>
      </c>
      <c r="AL765" s="98" t="s">
        <v>171</v>
      </c>
      <c r="AM765" s="98" t="s">
        <v>171</v>
      </c>
      <c r="AN765" s="98" t="s">
        <v>171</v>
      </c>
      <c r="AO765" s="98" t="s">
        <v>171</v>
      </c>
      <c r="AP765" s="98" t="s">
        <v>171</v>
      </c>
      <c r="AQ765" s="98" t="s">
        <v>171</v>
      </c>
      <c r="AR765" s="102">
        <v>46241.0</v>
      </c>
      <c r="AS765" s="83">
        <v>1179444.0</v>
      </c>
    </row>
    <row r="766" ht="15.75" customHeight="1">
      <c r="A766" s="111" t="s">
        <v>860</v>
      </c>
      <c r="B766" s="83" t="s">
        <v>2218</v>
      </c>
      <c r="C766" s="83" t="s">
        <v>164</v>
      </c>
      <c r="D766" s="112">
        <v>1179339.0</v>
      </c>
      <c r="E766" s="245">
        <v>1178876.0</v>
      </c>
      <c r="F766" s="83"/>
      <c r="G766" s="91" t="str">
        <f>IFERROR(__xludf.DUMMYFUNCTION("XLOOKUP(AS766,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TABATINGA")</f>
        <v>ANEXO - CEMIT - BACIA DO RIO GRANDE - DISTRITO DE TABATINGA</v>
      </c>
      <c r="H766" s="119" t="s">
        <v>3656</v>
      </c>
      <c r="I766" s="108" t="s">
        <v>3657</v>
      </c>
      <c r="J766" s="136"/>
      <c r="K766" s="83"/>
      <c r="L766" s="83"/>
      <c r="M766" s="83"/>
      <c r="N766" s="115" t="s">
        <v>170</v>
      </c>
      <c r="O766" s="98" t="s">
        <v>155</v>
      </c>
      <c r="P766" s="99" t="str">
        <f>IFERROR(__xludf.DUMMYFUNCTION("IFERROR(VLOOKUP(AS766,IMPORTRANGE(""https://docs.google.com/spreadsheets/d/1juPI-Fb8LD0YtltB2mlGEnp_R3UVu1t3wSFPzgCyHXE/edit?gid=0#gid=0"",""GERAL!A2:C""),3,0),""-"")"),"-")</f>
        <v>-</v>
      </c>
      <c r="Q766" s="98" t="s">
        <v>171</v>
      </c>
      <c r="R766" s="98" t="s">
        <v>171</v>
      </c>
      <c r="S766" s="98" t="s">
        <v>171</v>
      </c>
      <c r="T766" s="98" t="s">
        <v>171</v>
      </c>
      <c r="U766" s="98" t="s">
        <v>171</v>
      </c>
      <c r="V766" s="98" t="s">
        <v>171</v>
      </c>
      <c r="W766" s="98" t="s">
        <v>171</v>
      </c>
      <c r="X766" s="98" t="s">
        <v>171</v>
      </c>
      <c r="Y766" s="98" t="s">
        <v>171</v>
      </c>
      <c r="Z766" s="98" t="s">
        <v>171</v>
      </c>
      <c r="AA766" s="98" t="s">
        <v>171</v>
      </c>
      <c r="AB766" s="98" t="s">
        <v>171</v>
      </c>
      <c r="AC766" s="98" t="s">
        <v>171</v>
      </c>
      <c r="AD766" s="98" t="s">
        <v>171</v>
      </c>
      <c r="AE766" s="98" t="s">
        <v>171</v>
      </c>
      <c r="AF766" s="98" t="s">
        <v>171</v>
      </c>
      <c r="AG766" s="98" t="s">
        <v>171</v>
      </c>
      <c r="AH766" s="98" t="s">
        <v>171</v>
      </c>
      <c r="AI766" s="98" t="s">
        <v>171</v>
      </c>
      <c r="AJ766" s="98" t="s">
        <v>171</v>
      </c>
      <c r="AK766" s="98" t="s">
        <v>171</v>
      </c>
      <c r="AL766" s="98" t="s">
        <v>171</v>
      </c>
      <c r="AM766" s="98" t="s">
        <v>171</v>
      </c>
      <c r="AN766" s="98" t="s">
        <v>171</v>
      </c>
      <c r="AO766" s="98" t="s">
        <v>171</v>
      </c>
      <c r="AP766" s="98" t="s">
        <v>171</v>
      </c>
      <c r="AQ766" s="98" t="s">
        <v>171</v>
      </c>
      <c r="AR766" s="102">
        <v>46241.0</v>
      </c>
      <c r="AS766" s="98">
        <v>1178876.0</v>
      </c>
    </row>
    <row r="767" ht="15.75" customHeight="1">
      <c r="A767" s="111" t="s">
        <v>860</v>
      </c>
      <c r="B767" s="83" t="s">
        <v>2218</v>
      </c>
      <c r="C767" s="83" t="s">
        <v>164</v>
      </c>
      <c r="D767" s="112">
        <v>1179339.0</v>
      </c>
      <c r="E767" s="83">
        <v>1179236.0</v>
      </c>
      <c r="F767" s="83"/>
      <c r="G767" s="91" t="str">
        <f>IFERROR(__xludf.DUMMYFUNCTION("XLOOKUP(AS767,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MACAMBIRA")</f>
        <v>ANEXO - CEMIT - BACIA DO RIO GRANDE - DISTRITO DE MACAMBIRA</v>
      </c>
      <c r="H767" s="114" t="s">
        <v>3660</v>
      </c>
      <c r="I767" s="91" t="s">
        <v>3661</v>
      </c>
      <c r="J767" s="136" t="s">
        <v>149</v>
      </c>
      <c r="K767" s="83" t="s">
        <v>588</v>
      </c>
      <c r="L767" s="83" t="s">
        <v>168</v>
      </c>
      <c r="M767" s="83" t="s">
        <v>169</v>
      </c>
      <c r="N767" s="115" t="s">
        <v>170</v>
      </c>
      <c r="O767" s="98" t="s">
        <v>155</v>
      </c>
      <c r="P767" s="99" t="str">
        <f>IFERROR(__xludf.DUMMYFUNCTION("IFERROR(VLOOKUP(AS767,IMPORTRANGE(""https://docs.google.com/spreadsheets/d/1juPI-Fb8LD0YtltB2mlGEnp_R3UVu1t3wSFPzgCyHXE/edit?gid=0#gid=0"",""GERAL!A2:C""),3,0),""-"")"),"-")</f>
        <v>-</v>
      </c>
      <c r="Q767" s="98" t="s">
        <v>171</v>
      </c>
      <c r="R767" s="98">
        <v>3.0</v>
      </c>
      <c r="S767" s="98" t="s">
        <v>171</v>
      </c>
      <c r="T767" s="98" t="s">
        <v>171</v>
      </c>
      <c r="U767" s="98" t="s">
        <v>171</v>
      </c>
      <c r="V767" s="98" t="s">
        <v>171</v>
      </c>
      <c r="W767" s="98" t="s">
        <v>171</v>
      </c>
      <c r="X767" s="98" t="s">
        <v>171</v>
      </c>
      <c r="Y767" s="98" t="s">
        <v>171</v>
      </c>
      <c r="Z767" s="98" t="s">
        <v>171</v>
      </c>
      <c r="AA767" s="98" t="s">
        <v>171</v>
      </c>
      <c r="AB767" s="98" t="s">
        <v>171</v>
      </c>
      <c r="AC767" s="98" t="s">
        <v>171</v>
      </c>
      <c r="AD767" s="98" t="s">
        <v>171</v>
      </c>
      <c r="AE767" s="98" t="s">
        <v>171</v>
      </c>
      <c r="AF767" s="98" t="s">
        <v>171</v>
      </c>
      <c r="AG767" s="98" t="s">
        <v>171</v>
      </c>
      <c r="AH767" s="98" t="s">
        <v>171</v>
      </c>
      <c r="AI767" s="98" t="s">
        <v>171</v>
      </c>
      <c r="AJ767" s="98" t="s">
        <v>171</v>
      </c>
      <c r="AK767" s="98" t="s">
        <v>171</v>
      </c>
      <c r="AL767" s="98" t="s">
        <v>171</v>
      </c>
      <c r="AM767" s="98" t="s">
        <v>171</v>
      </c>
      <c r="AN767" s="98" t="s">
        <v>171</v>
      </c>
      <c r="AO767" s="98" t="s">
        <v>171</v>
      </c>
      <c r="AP767" s="98" t="s">
        <v>171</v>
      </c>
      <c r="AQ767" s="98" t="s">
        <v>171</v>
      </c>
      <c r="AR767" s="102">
        <v>46241.0</v>
      </c>
      <c r="AS767" s="83">
        <v>1179236.0</v>
      </c>
    </row>
    <row r="768" ht="15.75" customHeight="1">
      <c r="A768" s="111" t="s">
        <v>860</v>
      </c>
      <c r="B768" s="83" t="s">
        <v>2173</v>
      </c>
      <c r="C768" s="83" t="s">
        <v>68</v>
      </c>
      <c r="D768" s="112">
        <v>1169558.0</v>
      </c>
      <c r="E768" s="83"/>
      <c r="F768" s="83">
        <v>2.9007887E7</v>
      </c>
      <c r="G768" s="91" t="str">
        <f>IFERROR(__xludf.DUMMYFUNCTION("XLOOKUP(AS768,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CRISTÓPOLIS")</f>
        <v>COLÉGIO ESTADUAL DE TEMPO INTEGRAL DE CRISTÓPOLIS</v>
      </c>
      <c r="H768" s="119" t="s">
        <v>3662</v>
      </c>
      <c r="I768" s="91" t="s">
        <v>3663</v>
      </c>
      <c r="J768" s="136" t="s">
        <v>149</v>
      </c>
      <c r="K768" s="83" t="s">
        <v>150</v>
      </c>
      <c r="L768" s="83" t="s">
        <v>151</v>
      </c>
      <c r="M768" s="98" t="s">
        <v>152</v>
      </c>
      <c r="N768" s="98" t="s">
        <v>3664</v>
      </c>
      <c r="O768" s="98" t="s">
        <v>176</v>
      </c>
      <c r="P768" s="99" t="str">
        <f>IFERROR(__xludf.DUMMYFUNCTION("IFERROR(VLOOKUP(AS768,IMPORTRANGE(""https://docs.google.com/spreadsheets/d/1juPI-Fb8LD0YtltB2mlGEnp_R3UVu1t3wSFPzgCyHXE/edit?gid=0#gid=0"",""GERAL!A2:C""),3,0),""-"")"),"-")</f>
        <v>-</v>
      </c>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c r="AR768" s="83"/>
      <c r="AS768" s="83">
        <v>1169558.0</v>
      </c>
    </row>
    <row r="769" ht="15.75" customHeight="1">
      <c r="A769" s="111" t="s">
        <v>860</v>
      </c>
      <c r="B769" s="83" t="s">
        <v>2030</v>
      </c>
      <c r="C769" s="83" t="s">
        <v>68</v>
      </c>
      <c r="D769" s="112">
        <v>1179662.0</v>
      </c>
      <c r="E769" s="83"/>
      <c r="F769" s="83">
        <v>2.9474914E7</v>
      </c>
      <c r="G769" s="91" t="str">
        <f>IFERROR(__xludf.DUMMYFUNCTION("XLOOKUP(AS769,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ALMIR TEIXEIRA SANTOS ")</f>
        <v>CENTRO TERRITORIAL DE EDUCACAO PROFISSIONAL ALMIR TEIXEIRA SANTOS </v>
      </c>
      <c r="H769" s="119" t="s">
        <v>3665</v>
      </c>
      <c r="I769" s="108" t="s">
        <v>3666</v>
      </c>
      <c r="J769" s="83" t="s">
        <v>149</v>
      </c>
      <c r="K769" s="83" t="s">
        <v>150</v>
      </c>
      <c r="L769" s="83" t="s">
        <v>151</v>
      </c>
      <c r="M769" s="83" t="s">
        <v>230</v>
      </c>
      <c r="N769" s="137" t="s">
        <v>3667</v>
      </c>
      <c r="O769" s="98" t="s">
        <v>162</v>
      </c>
      <c r="P769" s="99" t="str">
        <f>IFERROR(__xludf.DUMMYFUNCTION("IFERROR(VLOOKUP(AS769,IMPORTRANGE(""https://docs.google.com/spreadsheets/d/1juPI-Fb8LD0YtltB2mlGEnp_R3UVu1t3wSFPzgCyHXE/edit?gid=0#gid=0"",""GERAL!A2:C""),3,0),""-"")"),"-")</f>
        <v>-</v>
      </c>
      <c r="Q769" s="83"/>
      <c r="R769" s="83"/>
      <c r="S769" s="83"/>
      <c r="T769" s="83"/>
      <c r="U769" s="83"/>
      <c r="V769" s="83"/>
      <c r="W769" s="83"/>
      <c r="X769" s="83"/>
      <c r="Y769" s="83"/>
      <c r="Z769" s="83"/>
      <c r="AA769" s="83"/>
      <c r="AB769" s="83"/>
      <c r="AC769" s="83"/>
      <c r="AD769" s="83"/>
      <c r="AE769" s="83"/>
      <c r="AF769" s="83"/>
      <c r="AG769" s="83"/>
      <c r="AH769" s="83"/>
      <c r="AI769" s="83"/>
      <c r="AJ769" s="83"/>
      <c r="AK769" s="83"/>
      <c r="AL769" s="83"/>
      <c r="AM769" s="83"/>
      <c r="AN769" s="83"/>
      <c r="AO769" s="83"/>
      <c r="AP769" s="83"/>
      <c r="AQ769" s="83"/>
      <c r="AR769" s="83"/>
      <c r="AS769" s="83">
        <v>1179662.0</v>
      </c>
    </row>
    <row r="770" ht="15.75" customHeight="1">
      <c r="A770" s="111" t="s">
        <v>860</v>
      </c>
      <c r="B770" s="83" t="s">
        <v>2403</v>
      </c>
      <c r="C770" s="83" t="s">
        <v>68</v>
      </c>
      <c r="D770" s="112">
        <v>1171390.0</v>
      </c>
      <c r="E770" s="83"/>
      <c r="F770" s="83">
        <v>2.9379423E7</v>
      </c>
      <c r="G770" s="91" t="str">
        <f>IFERROR(__xludf.DUMMYFUNCTION("XLOOKUP(AS770,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MIMOSO DO OESTE ")</f>
        <v>COLÉGIO ESTADUAL DE TEMPO INTEGRAL MIMOSO DO OESTE </v>
      </c>
      <c r="H770" s="184" t="s">
        <v>3669</v>
      </c>
      <c r="I770" s="91" t="s">
        <v>3670</v>
      </c>
      <c r="J770" s="83" t="s">
        <v>149</v>
      </c>
      <c r="K770" s="83" t="s">
        <v>150</v>
      </c>
      <c r="L770" s="83" t="s">
        <v>151</v>
      </c>
      <c r="M770" s="83" t="s">
        <v>230</v>
      </c>
      <c r="N770" s="137" t="s">
        <v>3671</v>
      </c>
      <c r="O770" s="98" t="s">
        <v>162</v>
      </c>
      <c r="P770" s="99" t="str">
        <f>IFERROR(__xludf.DUMMYFUNCTION("IFERROR(VLOOKUP(AS770,IMPORTRANGE(""https://docs.google.com/spreadsheets/d/1juPI-Fb8LD0YtltB2mlGEnp_R3UVu1t3wSFPzgCyHXE/edit?gid=0#gid=0"",""GERAL!A2:C""),3,0),""-"")"),"-")</f>
        <v>-</v>
      </c>
      <c r="Q770" s="101" t="s">
        <v>156</v>
      </c>
      <c r="R770" s="98">
        <v>24.0</v>
      </c>
      <c r="S770" s="98">
        <v>1.0</v>
      </c>
      <c r="T770" s="98">
        <v>0.0</v>
      </c>
      <c r="U770" s="98">
        <v>0.0</v>
      </c>
      <c r="V770" s="98">
        <v>1.0</v>
      </c>
      <c r="W770" s="98">
        <v>3.0</v>
      </c>
      <c r="X770" s="98">
        <v>1.0</v>
      </c>
      <c r="Y770" s="98">
        <v>0.0</v>
      </c>
      <c r="Z770" s="98">
        <v>1.0</v>
      </c>
      <c r="AA770" s="98">
        <v>0.0</v>
      </c>
      <c r="AB770" s="98">
        <v>1.0</v>
      </c>
      <c r="AC770" s="98">
        <v>0.0</v>
      </c>
      <c r="AD770" s="98">
        <v>1.0</v>
      </c>
      <c r="AE770" s="98">
        <v>0.0</v>
      </c>
      <c r="AF770" s="98">
        <v>1.0</v>
      </c>
      <c r="AG770" s="98">
        <v>0.0</v>
      </c>
      <c r="AH770" s="98">
        <v>0.0</v>
      </c>
      <c r="AI770" s="98">
        <v>0.0</v>
      </c>
      <c r="AJ770" s="98">
        <v>0.0</v>
      </c>
      <c r="AK770" s="98">
        <v>1.0</v>
      </c>
      <c r="AL770" s="98">
        <v>0.0</v>
      </c>
      <c r="AM770" s="98">
        <v>0.0</v>
      </c>
      <c r="AN770" s="98">
        <v>0.0</v>
      </c>
      <c r="AO770" s="98">
        <v>0.0</v>
      </c>
      <c r="AP770" s="98">
        <v>0.0</v>
      </c>
      <c r="AQ770" s="98" t="s">
        <v>3672</v>
      </c>
      <c r="AR770" s="102">
        <v>46231.0</v>
      </c>
      <c r="AS770" s="83">
        <v>1171390.0</v>
      </c>
    </row>
    <row r="771" ht="15.75" customHeight="1">
      <c r="A771" s="111" t="s">
        <v>860</v>
      </c>
      <c r="B771" s="83" t="s">
        <v>2403</v>
      </c>
      <c r="C771" s="83" t="s">
        <v>68</v>
      </c>
      <c r="D771" s="112">
        <v>1179440.0</v>
      </c>
      <c r="E771" s="83"/>
      <c r="F771" s="83">
        <v>2.9464773E7</v>
      </c>
      <c r="G771" s="91" t="str">
        <f>IFERROR(__xludf.DUMMYFUNCTION("XLOOKUP(AS771,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OTÍLIA LUTZ")</f>
        <v>COLÉGIO ESTADUAL DE TEMPO INTEGRAL MARIA OTÍLIA LUTZ</v>
      </c>
      <c r="H771" s="184" t="s">
        <v>3673</v>
      </c>
      <c r="I771" s="108" t="s">
        <v>3674</v>
      </c>
      <c r="J771" s="83" t="s">
        <v>3675</v>
      </c>
      <c r="K771" s="83" t="s">
        <v>150</v>
      </c>
      <c r="L771" s="83" t="s">
        <v>151</v>
      </c>
      <c r="M771" s="83" t="s">
        <v>230</v>
      </c>
      <c r="N771" s="137" t="s">
        <v>3676</v>
      </c>
      <c r="O771" s="98" t="s">
        <v>162</v>
      </c>
      <c r="P771" s="99" t="str">
        <f>IFERROR(__xludf.DUMMYFUNCTION("IFERROR(VLOOKUP(AS771,IMPORTRANGE(""https://docs.google.com/spreadsheets/d/1juPI-Fb8LD0YtltB2mlGEnp_R3UVu1t3wSFPzgCyHXE/edit?gid=0#gid=0"",""GERAL!A2:C""),3,0),""-"")"),"-")</f>
        <v>-</v>
      </c>
      <c r="Q771" s="101" t="s">
        <v>156</v>
      </c>
      <c r="R771" s="98">
        <v>18.0</v>
      </c>
      <c r="S771" s="98">
        <v>0.0</v>
      </c>
      <c r="T771" s="98">
        <v>0.0</v>
      </c>
      <c r="U771" s="98">
        <v>1.0</v>
      </c>
      <c r="V771" s="98">
        <v>1.0</v>
      </c>
      <c r="W771" s="98">
        <v>1.0</v>
      </c>
      <c r="X771" s="98">
        <v>1.0</v>
      </c>
      <c r="Y771" s="98">
        <v>0.0</v>
      </c>
      <c r="Z771" s="98">
        <v>0.0</v>
      </c>
      <c r="AA771" s="98">
        <v>1.0</v>
      </c>
      <c r="AB771" s="98">
        <v>0.0</v>
      </c>
      <c r="AC771" s="98">
        <v>0.0</v>
      </c>
      <c r="AD771" s="98">
        <v>0.0</v>
      </c>
      <c r="AE771" s="98">
        <v>0.0</v>
      </c>
      <c r="AF771" s="98">
        <v>1.0</v>
      </c>
      <c r="AG771" s="98">
        <v>0.0</v>
      </c>
      <c r="AH771" s="98">
        <v>0.0</v>
      </c>
      <c r="AI771" s="98">
        <v>0.0</v>
      </c>
      <c r="AJ771" s="98">
        <v>0.0</v>
      </c>
      <c r="AK771" s="98">
        <v>0.0</v>
      </c>
      <c r="AL771" s="98">
        <v>0.0</v>
      </c>
      <c r="AM771" s="98">
        <v>0.0</v>
      </c>
      <c r="AN771" s="98">
        <v>0.0</v>
      </c>
      <c r="AO771" s="98">
        <v>0.0</v>
      </c>
      <c r="AP771" s="98">
        <v>3.0</v>
      </c>
      <c r="AQ771" s="98" t="s">
        <v>3677</v>
      </c>
      <c r="AR771" s="102">
        <v>46231.0</v>
      </c>
      <c r="AS771" s="83">
        <v>1179440.0</v>
      </c>
    </row>
    <row r="772" ht="15.75" customHeight="1">
      <c r="A772" s="111" t="s">
        <v>860</v>
      </c>
      <c r="B772" s="83" t="s">
        <v>2403</v>
      </c>
      <c r="C772" s="83" t="s">
        <v>68</v>
      </c>
      <c r="D772" s="84">
        <v>1177102.0</v>
      </c>
      <c r="E772" s="82"/>
      <c r="F772" s="83">
        <v>2.942755E7</v>
      </c>
      <c r="G772" s="91" t="str">
        <f>IFERROR(__xludf.DUMMYFUNCTION("XLOOKUP(AS772,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CONSTANTINO CATARINO DE SOUZA")</f>
        <v>COLÉGIO ESTADUAL DE TEMPO INTEGRAL CONSTANTINO CATARINO DE SOUZA</v>
      </c>
      <c r="H772" s="244" t="s">
        <v>3678</v>
      </c>
      <c r="I772" s="91" t="s">
        <v>3679</v>
      </c>
      <c r="J772" s="83" t="s">
        <v>149</v>
      </c>
      <c r="K772" s="83" t="s">
        <v>150</v>
      </c>
      <c r="L772" s="83" t="s">
        <v>151</v>
      </c>
      <c r="M772" s="83" t="s">
        <v>230</v>
      </c>
      <c r="N772" s="137" t="s">
        <v>3680</v>
      </c>
      <c r="O772" s="98" t="s">
        <v>176</v>
      </c>
      <c r="P772" s="99" t="str">
        <f>IFERROR(__xludf.DUMMYFUNCTION("IFERROR(VLOOKUP(AS772,IMPORTRANGE(""https://docs.google.com/spreadsheets/d/1juPI-Fb8LD0YtltB2mlGEnp_R3UVu1t3wSFPzgCyHXE/edit?gid=0#gid=0"",""GERAL!A2:C""),3,0),""-"")"),"-")</f>
        <v>-</v>
      </c>
      <c r="Q772" s="101" t="s">
        <v>156</v>
      </c>
      <c r="R772" s="98">
        <v>15.0</v>
      </c>
      <c r="S772" s="98">
        <v>1.0</v>
      </c>
      <c r="T772" s="98">
        <v>0.0</v>
      </c>
      <c r="U772" s="98">
        <v>0.0</v>
      </c>
      <c r="V772" s="98">
        <v>1.0</v>
      </c>
      <c r="W772" s="98">
        <v>0.0</v>
      </c>
      <c r="X772" s="98">
        <v>0.0</v>
      </c>
      <c r="Y772" s="98">
        <v>1.0</v>
      </c>
      <c r="Z772" s="98">
        <v>0.0</v>
      </c>
      <c r="AA772" s="98">
        <v>0.0</v>
      </c>
      <c r="AB772" s="98">
        <v>1.0</v>
      </c>
      <c r="AC772" s="98">
        <v>0.0</v>
      </c>
      <c r="AD772" s="98">
        <v>0.0</v>
      </c>
      <c r="AE772" s="98">
        <v>0.0</v>
      </c>
      <c r="AF772" s="98">
        <v>1.0</v>
      </c>
      <c r="AG772" s="98">
        <v>0.0</v>
      </c>
      <c r="AH772" s="98">
        <v>0.0</v>
      </c>
      <c r="AI772" s="98">
        <v>0.0</v>
      </c>
      <c r="AJ772" s="98">
        <v>0.0</v>
      </c>
      <c r="AK772" s="98">
        <v>0.0</v>
      </c>
      <c r="AL772" s="98">
        <v>0.0</v>
      </c>
      <c r="AM772" s="98">
        <v>0.0</v>
      </c>
      <c r="AN772" s="98">
        <v>0.0</v>
      </c>
      <c r="AO772" s="98">
        <v>0.0</v>
      </c>
      <c r="AP772" s="98">
        <v>0.0</v>
      </c>
      <c r="AQ772" s="98" t="s">
        <v>171</v>
      </c>
      <c r="AR772" s="102">
        <v>46231.0</v>
      </c>
      <c r="AS772" s="83">
        <v>1177102.0</v>
      </c>
    </row>
    <row r="773" ht="15.75" customHeight="1">
      <c r="A773" s="111" t="s">
        <v>860</v>
      </c>
      <c r="B773" s="83" t="s">
        <v>2403</v>
      </c>
      <c r="C773" s="83" t="s">
        <v>164</v>
      </c>
      <c r="D773" s="112">
        <v>1179339.0</v>
      </c>
      <c r="E773" s="82">
        <v>1178885.0</v>
      </c>
      <c r="F773" s="83"/>
      <c r="G773" s="91" t="str">
        <f>IFERROR(__xludf.DUMMYFUNCTION("XLOOKUP(AS773,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NOVO PARANA")</f>
        <v>ANEXO - CEMIT BACIA DO RIO GRANDE - DISTRITO NOVO PARANA</v>
      </c>
      <c r="H773" s="91" t="s">
        <v>3688</v>
      </c>
      <c r="I773" s="91" t="s">
        <v>3689</v>
      </c>
      <c r="J773" s="136" t="s">
        <v>3690</v>
      </c>
      <c r="K773" s="83" t="s">
        <v>464</v>
      </c>
      <c r="L773" s="83" t="s">
        <v>168</v>
      </c>
      <c r="M773" s="83" t="s">
        <v>169</v>
      </c>
      <c r="N773" s="115" t="s">
        <v>170</v>
      </c>
      <c r="O773" s="98" t="s">
        <v>155</v>
      </c>
      <c r="P773" s="99" t="str">
        <f>IFERROR(__xludf.DUMMYFUNCTION("IFERROR(VLOOKUP(AS773,IMPORTRANGE(""https://docs.google.com/spreadsheets/d/1juPI-Fb8LD0YtltB2mlGEnp_R3UVu1t3wSFPzgCyHXE/edit?gid=0#gid=0"",""GERAL!A2:C""),3,0),""-"")"),"-")</f>
        <v>-</v>
      </c>
      <c r="Q773" s="98" t="s">
        <v>171</v>
      </c>
      <c r="R773" s="98">
        <v>3.0</v>
      </c>
      <c r="S773" s="98" t="s">
        <v>171</v>
      </c>
      <c r="T773" s="98" t="s">
        <v>171</v>
      </c>
      <c r="U773" s="98" t="s">
        <v>171</v>
      </c>
      <c r="V773" s="98" t="s">
        <v>171</v>
      </c>
      <c r="W773" s="98" t="s">
        <v>171</v>
      </c>
      <c r="X773" s="98" t="s">
        <v>171</v>
      </c>
      <c r="Y773" s="98" t="s">
        <v>171</v>
      </c>
      <c r="Z773" s="98" t="s">
        <v>171</v>
      </c>
      <c r="AA773" s="98" t="s">
        <v>171</v>
      </c>
      <c r="AB773" s="98" t="s">
        <v>171</v>
      </c>
      <c r="AC773" s="98" t="s">
        <v>171</v>
      </c>
      <c r="AD773" s="98" t="s">
        <v>171</v>
      </c>
      <c r="AE773" s="98" t="s">
        <v>171</v>
      </c>
      <c r="AF773" s="98" t="s">
        <v>171</v>
      </c>
      <c r="AG773" s="98" t="s">
        <v>171</v>
      </c>
      <c r="AH773" s="98" t="s">
        <v>171</v>
      </c>
      <c r="AI773" s="98" t="s">
        <v>171</v>
      </c>
      <c r="AJ773" s="98" t="s">
        <v>171</v>
      </c>
      <c r="AK773" s="98" t="s">
        <v>171</v>
      </c>
      <c r="AL773" s="98" t="s">
        <v>171</v>
      </c>
      <c r="AM773" s="98" t="s">
        <v>171</v>
      </c>
      <c r="AN773" s="98" t="s">
        <v>171</v>
      </c>
      <c r="AO773" s="98" t="s">
        <v>171</v>
      </c>
      <c r="AP773" s="98" t="s">
        <v>171</v>
      </c>
      <c r="AQ773" s="98" t="s">
        <v>171</v>
      </c>
      <c r="AR773" s="102">
        <v>46231.0</v>
      </c>
      <c r="AS773" s="83">
        <v>1178885.0</v>
      </c>
    </row>
    <row r="774" ht="15.75" customHeight="1">
      <c r="A774" s="111" t="s">
        <v>860</v>
      </c>
      <c r="B774" s="83" t="s">
        <v>2403</v>
      </c>
      <c r="C774" s="83" t="s">
        <v>164</v>
      </c>
      <c r="D774" s="112">
        <v>1179339.0</v>
      </c>
      <c r="E774" s="83">
        <v>1179335.0</v>
      </c>
      <c r="F774" s="83"/>
      <c r="G774" s="91" t="str">
        <f>IFERROR(__xludf.DUMMYFUNCTION("XLOOKUP(AS774,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REFORMA - VILA 02")</f>
        <v>ANEXO - CEMIT - BACIA DO RIO GRANDE - DISTRITO REFORMA - VILA 02</v>
      </c>
      <c r="H774" s="114" t="s">
        <v>3691</v>
      </c>
      <c r="I774" s="91" t="s">
        <v>3692</v>
      </c>
      <c r="J774" s="136" t="s">
        <v>3693</v>
      </c>
      <c r="K774" s="83" t="s">
        <v>868</v>
      </c>
      <c r="L774" s="83" t="s">
        <v>168</v>
      </c>
      <c r="M774" s="83" t="s">
        <v>169</v>
      </c>
      <c r="N774" s="115" t="s">
        <v>170</v>
      </c>
      <c r="O774" s="98" t="s">
        <v>155</v>
      </c>
      <c r="P774" s="99" t="str">
        <f>IFERROR(__xludf.DUMMYFUNCTION("IFERROR(VLOOKUP(AS774,IMPORTRANGE(""https://docs.google.com/spreadsheets/d/1juPI-Fb8LD0YtltB2mlGEnp_R3UVu1t3wSFPzgCyHXE/edit?gid=0#gid=0"",""GERAL!A2:C""),3,0),""-"")"),"-")</f>
        <v>-</v>
      </c>
      <c r="Q774" s="98" t="s">
        <v>171</v>
      </c>
      <c r="R774" s="98">
        <v>3.0</v>
      </c>
      <c r="S774" s="98" t="s">
        <v>171</v>
      </c>
      <c r="T774" s="98" t="s">
        <v>171</v>
      </c>
      <c r="U774" s="98" t="s">
        <v>171</v>
      </c>
      <c r="V774" s="98" t="s">
        <v>171</v>
      </c>
      <c r="W774" s="98" t="s">
        <v>171</v>
      </c>
      <c r="X774" s="98" t="s">
        <v>171</v>
      </c>
      <c r="Y774" s="98" t="s">
        <v>171</v>
      </c>
      <c r="Z774" s="98" t="s">
        <v>171</v>
      </c>
      <c r="AA774" s="98" t="s">
        <v>171</v>
      </c>
      <c r="AB774" s="98" t="s">
        <v>171</v>
      </c>
      <c r="AC774" s="98" t="s">
        <v>171</v>
      </c>
      <c r="AD774" s="98" t="s">
        <v>171</v>
      </c>
      <c r="AE774" s="98" t="s">
        <v>171</v>
      </c>
      <c r="AF774" s="98" t="s">
        <v>171</v>
      </c>
      <c r="AG774" s="98" t="s">
        <v>171</v>
      </c>
      <c r="AH774" s="98" t="s">
        <v>171</v>
      </c>
      <c r="AI774" s="98" t="s">
        <v>171</v>
      </c>
      <c r="AJ774" s="98" t="s">
        <v>171</v>
      </c>
      <c r="AK774" s="98" t="s">
        <v>171</v>
      </c>
      <c r="AL774" s="98" t="s">
        <v>171</v>
      </c>
      <c r="AM774" s="98" t="s">
        <v>171</v>
      </c>
      <c r="AN774" s="98" t="s">
        <v>171</v>
      </c>
      <c r="AO774" s="98" t="s">
        <v>171</v>
      </c>
      <c r="AP774" s="98" t="s">
        <v>171</v>
      </c>
      <c r="AQ774" s="98" t="s">
        <v>171</v>
      </c>
      <c r="AR774" s="102">
        <v>46231.0</v>
      </c>
      <c r="AS774" s="83">
        <v>1179335.0</v>
      </c>
    </row>
    <row r="775" ht="15.75" customHeight="1">
      <c r="A775" s="111" t="s">
        <v>860</v>
      </c>
      <c r="B775" s="83" t="s">
        <v>2403</v>
      </c>
      <c r="C775" s="83" t="s">
        <v>164</v>
      </c>
      <c r="D775" s="112">
        <v>1179339.0</v>
      </c>
      <c r="E775" s="83">
        <v>1179238.0</v>
      </c>
      <c r="F775" s="83"/>
      <c r="G775" s="91" t="str">
        <f>IFERROR(__xludf.DUMMYFUNCTION("XLOOKUP(AS775,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BELA VISTA")</f>
        <v>ANEXO - CEMIT - BACIA DO RIO GRANDE - DISTRITO DE BELA VISTA</v>
      </c>
      <c r="H775" s="114" t="s">
        <v>3699</v>
      </c>
      <c r="I775" s="91" t="s">
        <v>3700</v>
      </c>
      <c r="J775" s="136" t="s">
        <v>149</v>
      </c>
      <c r="K775" s="83" t="s">
        <v>183</v>
      </c>
      <c r="L775" s="83" t="s">
        <v>168</v>
      </c>
      <c r="M775" s="83" t="s">
        <v>169</v>
      </c>
      <c r="N775" s="115" t="s">
        <v>170</v>
      </c>
      <c r="O775" s="98" t="s">
        <v>155</v>
      </c>
      <c r="P775" s="99" t="str">
        <f>IFERROR(__xludf.DUMMYFUNCTION("IFERROR(VLOOKUP(AS775,IMPORTRANGE(""https://docs.google.com/spreadsheets/d/1juPI-Fb8LD0YtltB2mlGEnp_R3UVu1t3wSFPzgCyHXE/edit?gid=0#gid=0"",""GERAL!A2:C""),3,0),""-"")"),"-")</f>
        <v>-</v>
      </c>
      <c r="Q775" s="98" t="s">
        <v>171</v>
      </c>
      <c r="R775" s="98">
        <v>2.0</v>
      </c>
      <c r="S775" s="98" t="s">
        <v>171</v>
      </c>
      <c r="T775" s="98" t="s">
        <v>171</v>
      </c>
      <c r="U775" s="98" t="s">
        <v>171</v>
      </c>
      <c r="V775" s="98" t="s">
        <v>171</v>
      </c>
      <c r="W775" s="98" t="s">
        <v>171</v>
      </c>
      <c r="X775" s="98" t="s">
        <v>171</v>
      </c>
      <c r="Y775" s="98" t="s">
        <v>171</v>
      </c>
      <c r="Z775" s="98" t="s">
        <v>171</v>
      </c>
      <c r="AA775" s="98" t="s">
        <v>171</v>
      </c>
      <c r="AB775" s="98" t="s">
        <v>171</v>
      </c>
      <c r="AC775" s="98" t="s">
        <v>171</v>
      </c>
      <c r="AD775" s="98" t="s">
        <v>171</v>
      </c>
      <c r="AE775" s="98" t="s">
        <v>171</v>
      </c>
      <c r="AF775" s="98" t="s">
        <v>171</v>
      </c>
      <c r="AG775" s="98" t="s">
        <v>171</v>
      </c>
      <c r="AH775" s="98" t="s">
        <v>171</v>
      </c>
      <c r="AI775" s="98" t="s">
        <v>171</v>
      </c>
      <c r="AJ775" s="98" t="s">
        <v>171</v>
      </c>
      <c r="AK775" s="98" t="s">
        <v>171</v>
      </c>
      <c r="AL775" s="98" t="s">
        <v>171</v>
      </c>
      <c r="AM775" s="98" t="s">
        <v>171</v>
      </c>
      <c r="AN775" s="98" t="s">
        <v>171</v>
      </c>
      <c r="AO775" s="98" t="s">
        <v>171</v>
      </c>
      <c r="AP775" s="98" t="s">
        <v>171</v>
      </c>
      <c r="AQ775" s="98" t="s">
        <v>171</v>
      </c>
      <c r="AR775" s="102">
        <v>46231.0</v>
      </c>
      <c r="AS775" s="83">
        <v>1179238.0</v>
      </c>
    </row>
    <row r="776" ht="15.75" customHeight="1">
      <c r="A776" s="111" t="s">
        <v>860</v>
      </c>
      <c r="B776" s="83" t="s">
        <v>3701</v>
      </c>
      <c r="C776" s="83" t="s">
        <v>68</v>
      </c>
      <c r="D776" s="112">
        <v>1178086.0</v>
      </c>
      <c r="E776" s="83"/>
      <c r="F776" s="83">
        <v>2.9431662E7</v>
      </c>
      <c r="G776" s="91" t="str">
        <f>IFERROR(__xludf.DUMMYFUNCTION("XLOOKUP(AS776,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MARIA HELENA OLIVEIRA")</f>
        <v>COLÉGIO ESTADUAL DE TEMPO INTEGRAL PROFESSORA MARIA HELENA OLIVEIRA</v>
      </c>
      <c r="H776" s="184" t="s">
        <v>3702</v>
      </c>
      <c r="I776" s="91" t="s">
        <v>3703</v>
      </c>
      <c r="J776" s="83" t="s">
        <v>149</v>
      </c>
      <c r="K776" s="136" t="s">
        <v>150</v>
      </c>
      <c r="L776" s="83" t="s">
        <v>151</v>
      </c>
      <c r="M776" s="83" t="s">
        <v>152</v>
      </c>
      <c r="N776" s="371" t="s">
        <v>3704</v>
      </c>
      <c r="O776" s="98" t="s">
        <v>284</v>
      </c>
      <c r="P776" s="99" t="str">
        <f>IFERROR(__xludf.DUMMYFUNCTION("IFERROR(VLOOKUP(AS776,IMPORTRANGE(""https://docs.google.com/spreadsheets/d/1juPI-Fb8LD0YtltB2mlGEnp_R3UVu1t3wSFPzgCyHXE/edit?gid=0#gid=0"",""GERAL!A2:C""),3,0),""-"")"),"-")</f>
        <v>-</v>
      </c>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c r="AR776" s="83"/>
      <c r="AS776" s="83">
        <v>1178086.0</v>
      </c>
    </row>
    <row r="777" ht="15.75" customHeight="1">
      <c r="A777" s="111" t="s">
        <v>860</v>
      </c>
      <c r="B777" s="83" t="s">
        <v>3701</v>
      </c>
      <c r="C777" s="83" t="s">
        <v>164</v>
      </c>
      <c r="D777" s="112">
        <v>1178086.0</v>
      </c>
      <c r="E777" s="83">
        <v>1178889.0</v>
      </c>
      <c r="F777" s="83"/>
      <c r="G777" s="91" t="str">
        <f>IFERROR(__xludf.DUMMYFUNCTION("XLOOKUP(AS777,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PROFESSORA MARIA HELENA OLIVEIRA - POVOADO DE ANGICAL")</f>
        <v>ANEXO - COLÉGIO ESTADUAL DE TEMPO INTEGRAL PROFESSORA MARIA HELENA OLIVEIRA - POVOADO DE ANGICAL</v>
      </c>
      <c r="H777" s="184" t="s">
        <v>3711</v>
      </c>
      <c r="I777" s="91" t="s">
        <v>3712</v>
      </c>
      <c r="J777" s="83" t="s">
        <v>149</v>
      </c>
      <c r="K777" s="83" t="s">
        <v>187</v>
      </c>
      <c r="L777" s="83" t="s">
        <v>168</v>
      </c>
      <c r="M777" s="83" t="s">
        <v>169</v>
      </c>
      <c r="N777" s="115" t="s">
        <v>170</v>
      </c>
      <c r="O777" s="98" t="s">
        <v>155</v>
      </c>
      <c r="P777" s="99" t="str">
        <f>IFERROR(__xludf.DUMMYFUNCTION("IFERROR(VLOOKUP(AS777,IMPORTRANGE(""https://docs.google.com/spreadsheets/d/1juPI-Fb8LD0YtltB2mlGEnp_R3UVu1t3wSFPzgCyHXE/edit?gid=0#gid=0"",""GERAL!A2:C""),3,0),""-"")"),"CAMPO")</f>
        <v>CAMPO</v>
      </c>
      <c r="Q777" s="83"/>
      <c r="R777" s="83"/>
      <c r="S777" s="83"/>
      <c r="T777" s="83"/>
      <c r="U777" s="83"/>
      <c r="V777" s="83"/>
      <c r="W777" s="83"/>
      <c r="X777" s="83"/>
      <c r="Y777" s="83"/>
      <c r="Z777" s="83"/>
      <c r="AA777" s="83"/>
      <c r="AB777" s="83"/>
      <c r="AC777" s="83"/>
      <c r="AD777" s="83"/>
      <c r="AE777" s="83"/>
      <c r="AF777" s="83"/>
      <c r="AG777" s="83"/>
      <c r="AH777" s="83"/>
      <c r="AI777" s="83"/>
      <c r="AJ777" s="83"/>
      <c r="AK777" s="83"/>
      <c r="AL777" s="83"/>
      <c r="AM777" s="83"/>
      <c r="AN777" s="83"/>
      <c r="AO777" s="83"/>
      <c r="AP777" s="83"/>
      <c r="AQ777" s="83"/>
      <c r="AR777" s="83"/>
      <c r="AS777" s="83">
        <v>1178889.0</v>
      </c>
    </row>
    <row r="778" ht="15.75" customHeight="1">
      <c r="A778" s="111" t="s">
        <v>860</v>
      </c>
      <c r="B778" s="83" t="s">
        <v>3701</v>
      </c>
      <c r="C778" s="83" t="s">
        <v>164</v>
      </c>
      <c r="D778" s="112">
        <v>1178086.0</v>
      </c>
      <c r="E778" s="83">
        <v>1178888.0</v>
      </c>
      <c r="F778" s="83"/>
      <c r="G778" s="91" t="str">
        <f>IFERROR(__xludf.DUMMYFUNCTION("XLOOKUP(AS778,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PROFESSORA MARIA HELENA OLIVEIRA - DISTRITO DE AROEIRAS")</f>
        <v>ANEXO - COLÉGIO ESTADUAL DE TEMPO INTEGRAL PROFESSORA MARIA HELENA OLIVEIRA - DISTRITO DE AROEIRAS</v>
      </c>
      <c r="H778" s="184" t="s">
        <v>3714</v>
      </c>
      <c r="I778" s="91" t="s">
        <v>3715</v>
      </c>
      <c r="J778" s="83" t="s">
        <v>149</v>
      </c>
      <c r="K778" s="136" t="s">
        <v>872</v>
      </c>
      <c r="L778" s="83" t="s">
        <v>168</v>
      </c>
      <c r="M778" s="83" t="s">
        <v>169</v>
      </c>
      <c r="N778" s="115" t="s">
        <v>170</v>
      </c>
      <c r="O778" s="98" t="s">
        <v>155</v>
      </c>
      <c r="P778" s="99" t="str">
        <f>IFERROR(__xludf.DUMMYFUNCTION("IFERROR(VLOOKUP(AS778,IMPORTRANGE(""https://docs.google.com/spreadsheets/d/1juPI-Fb8LD0YtltB2mlGEnp_R3UVu1t3wSFPzgCyHXE/edit?gid=0#gid=0"",""GERAL!A2:C""),3,0),""-"")"),"CAMPO")</f>
        <v>CAMPO</v>
      </c>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c r="AR778" s="83"/>
      <c r="AS778" s="83">
        <v>1178888.0</v>
      </c>
    </row>
    <row r="779" ht="15.75" customHeight="1">
      <c r="A779" s="111" t="s">
        <v>860</v>
      </c>
      <c r="B779" s="83" t="s">
        <v>3701</v>
      </c>
      <c r="C779" s="83" t="s">
        <v>164</v>
      </c>
      <c r="D779" s="112">
        <v>1179339.0</v>
      </c>
      <c r="E779" s="83">
        <v>1179239.0</v>
      </c>
      <c r="F779" s="83"/>
      <c r="G779" s="91" t="str">
        <f>IFERROR(__xludf.DUMMYFUNCTION("XLOOKUP(AS779,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BURITIZINHO")</f>
        <v>ANEXO - CEMIT - BACIA DO RIO GRANDE - DISTRITO DE BURITIZINHO</v>
      </c>
      <c r="H779" s="114" t="s">
        <v>3716</v>
      </c>
      <c r="I779" s="91" t="s">
        <v>3717</v>
      </c>
      <c r="J779" s="136" t="s">
        <v>149</v>
      </c>
      <c r="K779" s="136" t="s">
        <v>865</v>
      </c>
      <c r="L779" s="83" t="s">
        <v>168</v>
      </c>
      <c r="M779" s="83" t="s">
        <v>169</v>
      </c>
      <c r="N779" s="115" t="s">
        <v>170</v>
      </c>
      <c r="O779" s="98" t="s">
        <v>155</v>
      </c>
      <c r="P779" s="99" t="str">
        <f>IFERROR(__xludf.DUMMYFUNCTION("IFERROR(VLOOKUP(AS779,IMPORTRANGE(""https://docs.google.com/spreadsheets/d/1juPI-Fb8LD0YtltB2mlGEnp_R3UVu1t3wSFPzgCyHXE/edit?gid=0#gid=0"",""GERAL!A2:C""),3,0),""-"")"),"-")</f>
        <v>-</v>
      </c>
      <c r="Q779" s="83"/>
      <c r="R779" s="83"/>
      <c r="S779" s="83"/>
      <c r="T779" s="83"/>
      <c r="U779" s="83"/>
      <c r="V779" s="83"/>
      <c r="W779" s="83"/>
      <c r="X779" s="83"/>
      <c r="Y779" s="83"/>
      <c r="Z779" s="83"/>
      <c r="AA779" s="83"/>
      <c r="AB779" s="83"/>
      <c r="AC779" s="83"/>
      <c r="AD779" s="83"/>
      <c r="AE779" s="83"/>
      <c r="AF779" s="83"/>
      <c r="AG779" s="83"/>
      <c r="AH779" s="83"/>
      <c r="AI779" s="83"/>
      <c r="AJ779" s="83"/>
      <c r="AK779" s="83"/>
      <c r="AL779" s="83"/>
      <c r="AM779" s="83"/>
      <c r="AN779" s="83"/>
      <c r="AO779" s="83"/>
      <c r="AP779" s="83"/>
      <c r="AQ779" s="83"/>
      <c r="AR779" s="83"/>
      <c r="AS779" s="83">
        <v>1179239.0</v>
      </c>
    </row>
    <row r="780" ht="15.75" customHeight="1">
      <c r="A780" s="111" t="s">
        <v>860</v>
      </c>
      <c r="B780" s="83" t="s">
        <v>3701</v>
      </c>
      <c r="C780" s="83" t="s">
        <v>164</v>
      </c>
      <c r="D780" s="112">
        <v>1178086.0</v>
      </c>
      <c r="E780" s="83">
        <v>1178890.0</v>
      </c>
      <c r="F780" s="83"/>
      <c r="G780" s="91" t="str">
        <f>IFERROR(__xludf.DUMMYFUNCTION("XLOOKUP(AS780,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PROFESSORA MARIA HELENA OLIVEIRA - POVOADO DE BARREIRO")</f>
        <v>ANEXO -  COLÉGIO ESTADUAL DE TEMPO INTEGRAL PROFESSORA MARIA HELENA OLIVEIRA - POVOADO DE BARREIRO</v>
      </c>
      <c r="H780" s="184" t="s">
        <v>3718</v>
      </c>
      <c r="I780" s="91" t="s">
        <v>3719</v>
      </c>
      <c r="J780" s="83" t="s">
        <v>149</v>
      </c>
      <c r="K780" s="83" t="s">
        <v>694</v>
      </c>
      <c r="L780" s="83" t="s">
        <v>168</v>
      </c>
      <c r="M780" s="83" t="s">
        <v>169</v>
      </c>
      <c r="N780" s="115" t="s">
        <v>170</v>
      </c>
      <c r="O780" s="98" t="s">
        <v>155</v>
      </c>
      <c r="P780" s="99" t="str">
        <f>IFERROR(__xludf.DUMMYFUNCTION("IFERROR(VLOOKUP(AS780,IMPORTRANGE(""https://docs.google.com/spreadsheets/d/1juPI-Fb8LD0YtltB2mlGEnp_R3UVu1t3wSFPzgCyHXE/edit?gid=0#gid=0"",""GERAL!A2:C""),3,0),""-"")"),"CAMPO")</f>
        <v>CAMPO</v>
      </c>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c r="AR780" s="83"/>
      <c r="AS780" s="83">
        <v>1178890.0</v>
      </c>
    </row>
    <row r="781" ht="15.75" customHeight="1">
      <c r="A781" s="111" t="s">
        <v>860</v>
      </c>
      <c r="B781" s="83" t="s">
        <v>2372</v>
      </c>
      <c r="C781" s="83" t="s">
        <v>68</v>
      </c>
      <c r="D781" s="112">
        <v>1130856.0</v>
      </c>
      <c r="E781" s="83"/>
      <c r="F781" s="83">
        <v>2.9343003E7</v>
      </c>
      <c r="G781" s="91" t="str">
        <f>IFERROR(__xludf.DUMMYFUNCTION("XLOOKUP(AS781,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RODOLFO DE QUEIROZ - TEMPO INTEGRAL")</f>
        <v>COLÉGIO ESTADUAL RODOLFO DE QUEIROZ - TEMPO INTEGRAL</v>
      </c>
      <c r="H781" s="119" t="s">
        <v>3720</v>
      </c>
      <c r="I781" s="91" t="s">
        <v>3721</v>
      </c>
      <c r="J781" s="83" t="s">
        <v>149</v>
      </c>
      <c r="K781" s="83" t="s">
        <v>150</v>
      </c>
      <c r="L781" s="83" t="s">
        <v>151</v>
      </c>
      <c r="M781" s="83" t="s">
        <v>152</v>
      </c>
      <c r="N781" s="137" t="s">
        <v>3722</v>
      </c>
      <c r="O781" s="98" t="s">
        <v>155</v>
      </c>
      <c r="P781" s="99" t="str">
        <f>IFERROR(__xludf.DUMMYFUNCTION("IFERROR(VLOOKUP(AS781,IMPORTRANGE(""https://docs.google.com/spreadsheets/d/1juPI-Fb8LD0YtltB2mlGEnp_R3UVu1t3wSFPzgCyHXE/edit?gid=0#gid=0"",""GERAL!A2:C""),3,0),""-"")"),"-")</f>
        <v>-</v>
      </c>
      <c r="Q781" s="83"/>
      <c r="R781" s="83"/>
      <c r="S781" s="83"/>
      <c r="T781" s="83"/>
      <c r="U781" s="83"/>
      <c r="V781" s="83"/>
      <c r="W781" s="83"/>
      <c r="X781" s="83"/>
      <c r="Y781" s="83"/>
      <c r="Z781" s="83"/>
      <c r="AA781" s="83"/>
      <c r="AB781" s="83"/>
      <c r="AC781" s="83"/>
      <c r="AD781" s="83"/>
      <c r="AE781" s="83"/>
      <c r="AF781" s="83"/>
      <c r="AG781" s="83"/>
      <c r="AH781" s="83"/>
      <c r="AI781" s="83"/>
      <c r="AJ781" s="83"/>
      <c r="AK781" s="83"/>
      <c r="AL781" s="83"/>
      <c r="AM781" s="83"/>
      <c r="AN781" s="83"/>
      <c r="AO781" s="83"/>
      <c r="AP781" s="83"/>
      <c r="AQ781" s="83"/>
      <c r="AR781" s="83"/>
      <c r="AS781" s="83">
        <v>1130856.0</v>
      </c>
    </row>
    <row r="782" ht="15.75" customHeight="1">
      <c r="A782" s="111" t="s">
        <v>860</v>
      </c>
      <c r="B782" s="83" t="s">
        <v>2372</v>
      </c>
      <c r="C782" s="83" t="s">
        <v>68</v>
      </c>
      <c r="D782" s="112">
        <v>1178288.0</v>
      </c>
      <c r="E782" s="83"/>
      <c r="F782" s="83">
        <v>2.9526809E7</v>
      </c>
      <c r="G782" s="91" t="str">
        <f>IFERROR(__xludf.DUMMYFUNCTION("XLOOKUP(AS782,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IVARDO PEREIRA BASTOS - DISTRITO DE CARIPARE")</f>
        <v>COLÉGIO ESTADUAL PROFESSOR IVARDO PEREIRA BASTOS - DISTRITO DE CARIPARE</v>
      </c>
      <c r="H782" s="119" t="s">
        <v>3726</v>
      </c>
      <c r="I782" s="91" t="s">
        <v>3727</v>
      </c>
      <c r="J782" s="83" t="s">
        <v>149</v>
      </c>
      <c r="K782" s="83" t="s">
        <v>464</v>
      </c>
      <c r="L782" s="83" t="s">
        <v>168</v>
      </c>
      <c r="M782" s="83" t="s">
        <v>76</v>
      </c>
      <c r="N782" s="171" t="s">
        <v>3728</v>
      </c>
      <c r="O782" s="98" t="s">
        <v>155</v>
      </c>
      <c r="P782" s="99" t="str">
        <f>IFERROR(__xludf.DUMMYFUNCTION("IFERROR(VLOOKUP(AS782,IMPORTRANGE(""https://docs.google.com/spreadsheets/d/1juPI-Fb8LD0YtltB2mlGEnp_R3UVu1t3wSFPzgCyHXE/edit?gid=0#gid=0"",""GERAL!A2:C""),3,0),""-"")"),"CAMPO")</f>
        <v>CAMPO</v>
      </c>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c r="AR782" s="83"/>
      <c r="AS782" s="83">
        <v>1178288.0</v>
      </c>
    </row>
    <row r="783" ht="15.75" customHeight="1">
      <c r="A783" s="111" t="s">
        <v>860</v>
      </c>
      <c r="B783" s="83" t="s">
        <v>2372</v>
      </c>
      <c r="C783" s="83" t="s">
        <v>164</v>
      </c>
      <c r="D783" s="112">
        <v>1178288.0</v>
      </c>
      <c r="E783" s="83">
        <v>1178892.0</v>
      </c>
      <c r="F783" s="83"/>
      <c r="G783" s="91" t="str">
        <f>IFERROR(__xludf.DUMMYFUNCTION("XLOOKUP(AS783,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PROFº IVARDO PEREIRA BASTOS- DISTRITO DE SÃO JOSÉ DO RIO GRANDE")</f>
        <v>ANEXO - COLÉGIO ESTADUAL PROFº IVARDO PEREIRA BASTOS- DISTRITO DE SÃO JOSÉ DO RIO GRANDE</v>
      </c>
      <c r="H783" s="114" t="s">
        <v>3729</v>
      </c>
      <c r="I783" s="91" t="s">
        <v>3730</v>
      </c>
      <c r="J783" s="83" t="s">
        <v>149</v>
      </c>
      <c r="K783" s="83" t="s">
        <v>702</v>
      </c>
      <c r="L783" s="83" t="s">
        <v>168</v>
      </c>
      <c r="M783" s="83" t="s">
        <v>169</v>
      </c>
      <c r="N783" s="115" t="s">
        <v>170</v>
      </c>
      <c r="O783" s="98" t="s">
        <v>155</v>
      </c>
      <c r="P783" s="99" t="str">
        <f>IFERROR(__xludf.DUMMYFUNCTION("IFERROR(VLOOKUP(AS783,IMPORTRANGE(""https://docs.google.com/spreadsheets/d/1juPI-Fb8LD0YtltB2mlGEnp_R3UVu1t3wSFPzgCyHXE/edit?gid=0#gid=0"",""GERAL!A2:C""),3,0),""-"")"),"CAMPO")</f>
        <v>CAMPO</v>
      </c>
      <c r="Q783" s="83"/>
      <c r="R783" s="83"/>
      <c r="S783" s="83"/>
      <c r="T783" s="83"/>
      <c r="U783" s="83"/>
      <c r="V783" s="83"/>
      <c r="W783" s="83"/>
      <c r="X783" s="83"/>
      <c r="Y783" s="83"/>
      <c r="Z783" s="83"/>
      <c r="AA783" s="83"/>
      <c r="AB783" s="83"/>
      <c r="AC783" s="83"/>
      <c r="AD783" s="83"/>
      <c r="AE783" s="83"/>
      <c r="AF783" s="83"/>
      <c r="AG783" s="83"/>
      <c r="AH783" s="83"/>
      <c r="AI783" s="83"/>
      <c r="AJ783" s="83"/>
      <c r="AK783" s="83"/>
      <c r="AL783" s="83"/>
      <c r="AM783" s="83"/>
      <c r="AN783" s="83"/>
      <c r="AO783" s="83"/>
      <c r="AP783" s="83"/>
      <c r="AQ783" s="83"/>
      <c r="AR783" s="83"/>
      <c r="AS783" s="83">
        <v>1178892.0</v>
      </c>
    </row>
    <row r="784" ht="15.75" customHeight="1">
      <c r="A784" s="111" t="s">
        <v>860</v>
      </c>
      <c r="B784" s="83" t="s">
        <v>2372</v>
      </c>
      <c r="C784" s="83" t="s">
        <v>164</v>
      </c>
      <c r="D784" s="112">
        <v>1178288.0</v>
      </c>
      <c r="E784" s="83">
        <v>1178893.0</v>
      </c>
      <c r="F784" s="83"/>
      <c r="G784" s="91" t="str">
        <f>IFERROR(__xludf.DUMMYFUNCTION("XLOOKUP(AS784,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PROFº IVARDO PEREIRA BASTOS - DISTRITO DE ENTROCAMENTO")</f>
        <v>ANEXO - COLÉGIO ESTADUAL PROFº IVARDO PEREIRA BASTOS - DISTRITO DE ENTROCAMENTO</v>
      </c>
      <c r="H784" s="114" t="s">
        <v>3737</v>
      </c>
      <c r="I784" s="91" t="s">
        <v>3738</v>
      </c>
      <c r="J784" s="83" t="s">
        <v>149</v>
      </c>
      <c r="K784" s="83" t="s">
        <v>252</v>
      </c>
      <c r="L784" s="83" t="s">
        <v>168</v>
      </c>
      <c r="M784" s="83" t="s">
        <v>169</v>
      </c>
      <c r="N784" s="115" t="s">
        <v>170</v>
      </c>
      <c r="O784" s="98" t="s">
        <v>155</v>
      </c>
      <c r="P784" s="99" t="str">
        <f>IFERROR(__xludf.DUMMYFUNCTION("IFERROR(VLOOKUP(AS784,IMPORTRANGE(""https://docs.google.com/spreadsheets/d/1juPI-Fb8LD0YtltB2mlGEnp_R3UVu1t3wSFPzgCyHXE/edit?gid=0#gid=0"",""GERAL!A2:C""),3,0),""-"")"),"CAMPO")</f>
        <v>CAMPO</v>
      </c>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c r="AR784" s="83"/>
      <c r="AS784" s="83">
        <v>1178893.0</v>
      </c>
    </row>
    <row r="785" ht="15.75" customHeight="1">
      <c r="A785" s="111" t="s">
        <v>860</v>
      </c>
      <c r="B785" s="83" t="s">
        <v>2372</v>
      </c>
      <c r="C785" s="83" t="s">
        <v>164</v>
      </c>
      <c r="D785" s="112">
        <v>1179339.0</v>
      </c>
      <c r="E785" s="83">
        <v>1179397.0</v>
      </c>
      <c r="F785" s="83"/>
      <c r="G785" s="91" t="str">
        <f>IFERROR(__xludf.DUMMYFUNCTION("XLOOKUP(AS785,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ANGICO")</f>
        <v>ANEXO - CEMIT BACIA DO RIO GRANDE - DISTRITO DE ANGICO</v>
      </c>
      <c r="H785" s="114" t="s">
        <v>3740</v>
      </c>
      <c r="I785" s="91" t="s">
        <v>3741</v>
      </c>
      <c r="J785" s="172" t="s">
        <v>3742</v>
      </c>
      <c r="K785" s="83" t="s">
        <v>3345</v>
      </c>
      <c r="L785" s="83" t="s">
        <v>168</v>
      </c>
      <c r="M785" s="83" t="s">
        <v>169</v>
      </c>
      <c r="N785" s="115" t="s">
        <v>170</v>
      </c>
      <c r="O785" s="98" t="s">
        <v>155</v>
      </c>
      <c r="P785" s="99" t="str">
        <f>IFERROR(__xludf.DUMMYFUNCTION("IFERROR(VLOOKUP(AS785,IMPORTRANGE(""https://docs.google.com/spreadsheets/d/1juPI-Fb8LD0YtltB2mlGEnp_R3UVu1t3wSFPzgCyHXE/edit?gid=0#gid=0"",""GERAL!A2:C""),3,0),""-"")"),"-")</f>
        <v>-</v>
      </c>
      <c r="Q785" s="83"/>
      <c r="R785" s="83"/>
      <c r="S785" s="83"/>
      <c r="T785" s="83"/>
      <c r="U785" s="83"/>
      <c r="V785" s="83"/>
      <c r="W785" s="83"/>
      <c r="X785" s="83"/>
      <c r="Y785" s="83"/>
      <c r="Z785" s="83"/>
      <c r="AA785" s="83"/>
      <c r="AB785" s="83"/>
      <c r="AC785" s="83"/>
      <c r="AD785" s="83"/>
      <c r="AE785" s="83"/>
      <c r="AF785" s="83"/>
      <c r="AG785" s="83"/>
      <c r="AH785" s="83"/>
      <c r="AI785" s="83"/>
      <c r="AJ785" s="83"/>
      <c r="AK785" s="83"/>
      <c r="AL785" s="83"/>
      <c r="AM785" s="83"/>
      <c r="AN785" s="83"/>
      <c r="AO785" s="83"/>
      <c r="AP785" s="83"/>
      <c r="AQ785" s="83"/>
      <c r="AR785" s="83"/>
      <c r="AS785" s="83">
        <v>1179397.0</v>
      </c>
    </row>
    <row r="786" ht="15.75" customHeight="1">
      <c r="A786" s="111" t="s">
        <v>860</v>
      </c>
      <c r="B786" s="83" t="s">
        <v>2229</v>
      </c>
      <c r="C786" s="83" t="s">
        <v>68</v>
      </c>
      <c r="D786" s="112">
        <v>1130929.0</v>
      </c>
      <c r="E786" s="83"/>
      <c r="F786" s="83">
        <v>2.9009197E7</v>
      </c>
      <c r="G786" s="91" t="str">
        <f>IFERROR(__xludf.DUMMYFUNCTION("XLOOKUP(AS786,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SANTA RITA DE CÁSSIA")</f>
        <v>CENTRO TERRITORIAL DE EDUCACAO PROFISSIONAL SANTA RITA DE CÁSSIA</v>
      </c>
      <c r="H786" s="119" t="s">
        <v>3749</v>
      </c>
      <c r="I786" s="91" t="s">
        <v>3750</v>
      </c>
      <c r="J786" s="172" t="s">
        <v>149</v>
      </c>
      <c r="K786" s="83" t="s">
        <v>150</v>
      </c>
      <c r="L786" s="83" t="s">
        <v>151</v>
      </c>
      <c r="M786" s="83" t="s">
        <v>230</v>
      </c>
      <c r="N786" s="98" t="s">
        <v>3751</v>
      </c>
      <c r="O786" s="98" t="s">
        <v>162</v>
      </c>
      <c r="P786" s="99" t="str">
        <f>IFERROR(__xludf.DUMMYFUNCTION("IFERROR(VLOOKUP(AS786,IMPORTRANGE(""https://docs.google.com/spreadsheets/d/1juPI-Fb8LD0YtltB2mlGEnp_R3UVu1t3wSFPzgCyHXE/edit?gid=0#gid=0"",""GERAL!A2:C""),3,0),""-"")"),"-")</f>
        <v>-</v>
      </c>
      <c r="Q786" s="101" t="s">
        <v>156</v>
      </c>
      <c r="R786" s="98">
        <v>32.0</v>
      </c>
      <c r="S786" s="98">
        <v>0.0</v>
      </c>
      <c r="T786" s="98">
        <v>2.0</v>
      </c>
      <c r="U786" s="98">
        <v>0.0</v>
      </c>
      <c r="V786" s="98">
        <v>1.0</v>
      </c>
      <c r="W786" s="98">
        <v>4.0</v>
      </c>
      <c r="X786" s="98">
        <v>1.0</v>
      </c>
      <c r="Y786" s="98">
        <v>0.0</v>
      </c>
      <c r="Z786" s="98">
        <v>1.0</v>
      </c>
      <c r="AA786" s="98">
        <v>0.0</v>
      </c>
      <c r="AB786" s="98">
        <v>1.0</v>
      </c>
      <c r="AC786" s="98">
        <v>0.0</v>
      </c>
      <c r="AD786" s="98">
        <v>0.0</v>
      </c>
      <c r="AE786" s="98">
        <v>0.0</v>
      </c>
      <c r="AF786" s="98">
        <v>1.0</v>
      </c>
      <c r="AG786" s="98">
        <v>0.0</v>
      </c>
      <c r="AH786" s="98">
        <v>0.0</v>
      </c>
      <c r="AI786" s="98">
        <v>0.0</v>
      </c>
      <c r="AJ786" s="98">
        <v>1.0</v>
      </c>
      <c r="AK786" s="98">
        <v>0.0</v>
      </c>
      <c r="AL786" s="98">
        <v>0.0</v>
      </c>
      <c r="AM786" s="98">
        <v>0.0</v>
      </c>
      <c r="AN786" s="98">
        <v>0.0</v>
      </c>
      <c r="AO786" s="98">
        <v>0.0</v>
      </c>
      <c r="AP786" s="98">
        <v>1.0</v>
      </c>
      <c r="AQ786" s="98" t="s">
        <v>3759</v>
      </c>
      <c r="AR786" s="102">
        <v>46226.0</v>
      </c>
      <c r="AS786" s="83">
        <v>1130929.0</v>
      </c>
    </row>
    <row r="787" ht="15.75" customHeight="1">
      <c r="A787" s="111" t="s">
        <v>860</v>
      </c>
      <c r="B787" s="83" t="s">
        <v>2229</v>
      </c>
      <c r="C787" s="83" t="s">
        <v>164</v>
      </c>
      <c r="D787" s="112">
        <v>1179339.0</v>
      </c>
      <c r="E787" s="83">
        <v>1179396.0</v>
      </c>
      <c r="F787" s="83"/>
      <c r="G787" s="91" t="str">
        <f>IFERROR(__xludf.DUMMYFUNCTION("XLOOKUP(AS787,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POVOADO DE PEDRAS")</f>
        <v>ANEXO - CEMIT BACIA DO RIO GRANDE - POVOADO DE PEDRAS</v>
      </c>
      <c r="H787" s="114" t="s">
        <v>3760</v>
      </c>
      <c r="I787" s="91" t="s">
        <v>3761</v>
      </c>
      <c r="J787" s="172" t="s">
        <v>3762</v>
      </c>
      <c r="K787" s="83" t="s">
        <v>191</v>
      </c>
      <c r="L787" s="83" t="s">
        <v>168</v>
      </c>
      <c r="M787" s="83" t="s">
        <v>169</v>
      </c>
      <c r="N787" s="115" t="s">
        <v>170</v>
      </c>
      <c r="O787" s="98" t="s">
        <v>155</v>
      </c>
      <c r="P787" s="99" t="str">
        <f>IFERROR(__xludf.DUMMYFUNCTION("IFERROR(VLOOKUP(AS787,IMPORTRANGE(""https://docs.google.com/spreadsheets/d/1juPI-Fb8LD0YtltB2mlGEnp_R3UVu1t3wSFPzgCyHXE/edit?gid=0#gid=0"",""GERAL!A2:C""),3,0),""-"")"),"-")</f>
        <v>-</v>
      </c>
      <c r="Q787" s="98" t="s">
        <v>171</v>
      </c>
      <c r="R787" s="98">
        <v>2.0</v>
      </c>
      <c r="S787" s="98" t="s">
        <v>171</v>
      </c>
      <c r="T787" s="98" t="s">
        <v>171</v>
      </c>
      <c r="U787" s="98" t="s">
        <v>171</v>
      </c>
      <c r="V787" s="98" t="s">
        <v>171</v>
      </c>
      <c r="W787" s="98" t="s">
        <v>171</v>
      </c>
      <c r="X787" s="98" t="s">
        <v>171</v>
      </c>
      <c r="Y787" s="98" t="s">
        <v>171</v>
      </c>
      <c r="Z787" s="98" t="s">
        <v>171</v>
      </c>
      <c r="AA787" s="98" t="s">
        <v>171</v>
      </c>
      <c r="AB787" s="98" t="s">
        <v>171</v>
      </c>
      <c r="AC787" s="98" t="s">
        <v>171</v>
      </c>
      <c r="AD787" s="98" t="s">
        <v>171</v>
      </c>
      <c r="AE787" s="98" t="s">
        <v>171</v>
      </c>
      <c r="AF787" s="98" t="s">
        <v>171</v>
      </c>
      <c r="AG787" s="98" t="s">
        <v>171</v>
      </c>
      <c r="AH787" s="98" t="s">
        <v>171</v>
      </c>
      <c r="AI787" s="98" t="s">
        <v>171</v>
      </c>
      <c r="AJ787" s="98" t="s">
        <v>171</v>
      </c>
      <c r="AK787" s="98" t="s">
        <v>171</v>
      </c>
      <c r="AL787" s="98" t="s">
        <v>171</v>
      </c>
      <c r="AM787" s="98" t="s">
        <v>171</v>
      </c>
      <c r="AN787" s="98" t="s">
        <v>171</v>
      </c>
      <c r="AO787" s="98" t="s">
        <v>171</v>
      </c>
      <c r="AP787" s="98" t="s">
        <v>171</v>
      </c>
      <c r="AQ787" s="98" t="s">
        <v>171</v>
      </c>
      <c r="AR787" s="102">
        <v>46226.0</v>
      </c>
      <c r="AS787" s="83">
        <v>1179396.0</v>
      </c>
    </row>
    <row r="788" ht="15.75" customHeight="1">
      <c r="A788" s="111" t="s">
        <v>860</v>
      </c>
      <c r="B788" s="83" t="s">
        <v>2229</v>
      </c>
      <c r="C788" s="83" t="s">
        <v>164</v>
      </c>
      <c r="D788" s="112">
        <v>1179339.0</v>
      </c>
      <c r="E788" s="83">
        <v>1179395.0</v>
      </c>
      <c r="F788" s="83"/>
      <c r="G788" s="91" t="str">
        <f>IFERROR(__xludf.DUMMYFUNCTION("XLOOKUP(AS788,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PEIXE DE FORA")</f>
        <v>ANEXO - CEMIT BACIA DO RIO GRANDE - DISTRITO DE PEIXE DE FORA</v>
      </c>
      <c r="H788" s="114" t="s">
        <v>3764</v>
      </c>
      <c r="I788" s="91" t="s">
        <v>3765</v>
      </c>
      <c r="J788" s="172" t="s">
        <v>3766</v>
      </c>
      <c r="K788" s="83" t="s">
        <v>244</v>
      </c>
      <c r="L788" s="83" t="s">
        <v>168</v>
      </c>
      <c r="M788" s="83" t="s">
        <v>169</v>
      </c>
      <c r="N788" s="115" t="s">
        <v>170</v>
      </c>
      <c r="O788" s="98" t="s">
        <v>155</v>
      </c>
      <c r="P788" s="99" t="str">
        <f>IFERROR(__xludf.DUMMYFUNCTION("IFERROR(VLOOKUP(AS788,IMPORTRANGE(""https://docs.google.com/spreadsheets/d/1juPI-Fb8LD0YtltB2mlGEnp_R3UVu1t3wSFPzgCyHXE/edit?gid=0#gid=0"",""GERAL!A2:C""),3,0),""-"")"),"-")</f>
        <v>-</v>
      </c>
      <c r="Q788" s="98" t="s">
        <v>171</v>
      </c>
      <c r="R788" s="98">
        <v>3.0</v>
      </c>
      <c r="S788" s="98" t="s">
        <v>171</v>
      </c>
      <c r="T788" s="98" t="s">
        <v>171</v>
      </c>
      <c r="U788" s="98" t="s">
        <v>171</v>
      </c>
      <c r="V788" s="98" t="s">
        <v>171</v>
      </c>
      <c r="W788" s="98" t="s">
        <v>171</v>
      </c>
      <c r="X788" s="98" t="s">
        <v>171</v>
      </c>
      <c r="Y788" s="98" t="s">
        <v>171</v>
      </c>
      <c r="Z788" s="98" t="s">
        <v>171</v>
      </c>
      <c r="AA788" s="98" t="s">
        <v>171</v>
      </c>
      <c r="AB788" s="98" t="s">
        <v>171</v>
      </c>
      <c r="AC788" s="98" t="s">
        <v>171</v>
      </c>
      <c r="AD788" s="98" t="s">
        <v>171</v>
      </c>
      <c r="AE788" s="98" t="s">
        <v>171</v>
      </c>
      <c r="AF788" s="98" t="s">
        <v>171</v>
      </c>
      <c r="AG788" s="98" t="s">
        <v>171</v>
      </c>
      <c r="AH788" s="98" t="s">
        <v>171</v>
      </c>
      <c r="AI788" s="98" t="s">
        <v>171</v>
      </c>
      <c r="AJ788" s="98" t="s">
        <v>171</v>
      </c>
      <c r="AK788" s="98" t="s">
        <v>171</v>
      </c>
      <c r="AL788" s="98" t="s">
        <v>171</v>
      </c>
      <c r="AM788" s="98" t="s">
        <v>171</v>
      </c>
      <c r="AN788" s="98" t="s">
        <v>171</v>
      </c>
      <c r="AO788" s="98" t="s">
        <v>171</v>
      </c>
      <c r="AP788" s="98" t="s">
        <v>171</v>
      </c>
      <c r="AQ788" s="98" t="s">
        <v>171</v>
      </c>
      <c r="AR788" s="102">
        <v>46226.0</v>
      </c>
      <c r="AS788" s="83">
        <v>1179395.0</v>
      </c>
    </row>
    <row r="789" ht="15.75" customHeight="1">
      <c r="A789" s="111" t="s">
        <v>860</v>
      </c>
      <c r="B789" s="83" t="s">
        <v>2229</v>
      </c>
      <c r="C789" s="83" t="s">
        <v>164</v>
      </c>
      <c r="D789" s="112">
        <v>1179339.0</v>
      </c>
      <c r="E789" s="83">
        <v>1179237.0</v>
      </c>
      <c r="F789" s="83"/>
      <c r="G789" s="91" t="str">
        <f>IFERROR(__xludf.DUMMYFUNCTION("XLOOKUP(AS789,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CARAIBA DE MELO")</f>
        <v>ANEXO - CEMIT BACIA DO RIO GRANDE - DISTRITO DE CARAIBA DE MELO</v>
      </c>
      <c r="H789" s="114" t="s">
        <v>3772</v>
      </c>
      <c r="I789" s="91" t="s">
        <v>3773</v>
      </c>
      <c r="J789" s="172" t="s">
        <v>3774</v>
      </c>
      <c r="K789" s="83" t="s">
        <v>890</v>
      </c>
      <c r="L789" s="83" t="s">
        <v>168</v>
      </c>
      <c r="M789" s="83" t="s">
        <v>169</v>
      </c>
      <c r="N789" s="115" t="s">
        <v>170</v>
      </c>
      <c r="O789" s="98" t="s">
        <v>155</v>
      </c>
      <c r="P789" s="99" t="str">
        <f>IFERROR(__xludf.DUMMYFUNCTION("IFERROR(VLOOKUP(AS789,IMPORTRANGE(""https://docs.google.com/spreadsheets/d/1juPI-Fb8LD0YtltB2mlGEnp_R3UVu1t3wSFPzgCyHXE/edit?gid=0#gid=0"",""GERAL!A2:C""),3,0),""-"")"),"-")</f>
        <v>-</v>
      </c>
      <c r="Q789" s="98" t="s">
        <v>171</v>
      </c>
      <c r="R789" s="98">
        <v>2.0</v>
      </c>
      <c r="S789" s="98" t="s">
        <v>171</v>
      </c>
      <c r="T789" s="98" t="s">
        <v>171</v>
      </c>
      <c r="U789" s="98" t="s">
        <v>171</v>
      </c>
      <c r="V789" s="98" t="s">
        <v>171</v>
      </c>
      <c r="W789" s="98" t="s">
        <v>171</v>
      </c>
      <c r="X789" s="98" t="s">
        <v>171</v>
      </c>
      <c r="Y789" s="98" t="s">
        <v>171</v>
      </c>
      <c r="Z789" s="98" t="s">
        <v>171</v>
      </c>
      <c r="AA789" s="98" t="s">
        <v>171</v>
      </c>
      <c r="AB789" s="98" t="s">
        <v>171</v>
      </c>
      <c r="AC789" s="98" t="s">
        <v>171</v>
      </c>
      <c r="AD789" s="98" t="s">
        <v>171</v>
      </c>
      <c r="AE789" s="98" t="s">
        <v>171</v>
      </c>
      <c r="AF789" s="98" t="s">
        <v>171</v>
      </c>
      <c r="AG789" s="98" t="s">
        <v>171</v>
      </c>
      <c r="AH789" s="98" t="s">
        <v>171</v>
      </c>
      <c r="AI789" s="98" t="s">
        <v>171</v>
      </c>
      <c r="AJ789" s="98" t="s">
        <v>171</v>
      </c>
      <c r="AK789" s="98" t="s">
        <v>171</v>
      </c>
      <c r="AL789" s="98" t="s">
        <v>171</v>
      </c>
      <c r="AM789" s="98" t="s">
        <v>171</v>
      </c>
      <c r="AN789" s="98" t="s">
        <v>171</v>
      </c>
      <c r="AO789" s="98" t="s">
        <v>171</v>
      </c>
      <c r="AP789" s="98" t="s">
        <v>171</v>
      </c>
      <c r="AQ789" s="98" t="s">
        <v>171</v>
      </c>
      <c r="AR789" s="102">
        <v>46226.0</v>
      </c>
      <c r="AS789" s="83">
        <v>1179237.0</v>
      </c>
    </row>
    <row r="790" ht="15.75" customHeight="1">
      <c r="A790" s="111" t="s">
        <v>860</v>
      </c>
      <c r="B790" s="83" t="s">
        <v>2229</v>
      </c>
      <c r="C790" s="83" t="s">
        <v>164</v>
      </c>
      <c r="D790" s="112">
        <v>1179339.0</v>
      </c>
      <c r="E790" s="83">
        <v>1178898.0</v>
      </c>
      <c r="F790" s="83"/>
      <c r="G790" s="91" t="str">
        <f>IFERROR(__xludf.DUMMYFUNCTION("XLOOKUP(AS790,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CAMPOS")</f>
        <v>ANEXO - CEMIT BACIA DO RIO GRANDE - DISTRITO DE CAMPOS</v>
      </c>
      <c r="H790" s="114" t="s">
        <v>3776</v>
      </c>
      <c r="I790" s="91" t="s">
        <v>3777</v>
      </c>
      <c r="J790" s="172" t="s">
        <v>3778</v>
      </c>
      <c r="K790" s="83" t="s">
        <v>641</v>
      </c>
      <c r="L790" s="83" t="s">
        <v>168</v>
      </c>
      <c r="M790" s="83" t="s">
        <v>169</v>
      </c>
      <c r="N790" s="115" t="s">
        <v>170</v>
      </c>
      <c r="O790" s="98" t="s">
        <v>155</v>
      </c>
      <c r="P790" s="99" t="str">
        <f>IFERROR(__xludf.DUMMYFUNCTION("IFERROR(VLOOKUP(AS790,IMPORTRANGE(""https://docs.google.com/spreadsheets/d/1juPI-Fb8LD0YtltB2mlGEnp_R3UVu1t3wSFPzgCyHXE/edit?gid=0#gid=0"",""GERAL!A2:C""),3,0),""-"")"),"-")</f>
        <v>-</v>
      </c>
      <c r="Q790" s="98" t="s">
        <v>171</v>
      </c>
      <c r="R790" s="98">
        <v>1.0</v>
      </c>
      <c r="S790" s="98" t="s">
        <v>171</v>
      </c>
      <c r="T790" s="98" t="s">
        <v>171</v>
      </c>
      <c r="U790" s="98" t="s">
        <v>171</v>
      </c>
      <c r="V790" s="98" t="s">
        <v>171</v>
      </c>
      <c r="W790" s="98" t="s">
        <v>171</v>
      </c>
      <c r="X790" s="98" t="s">
        <v>171</v>
      </c>
      <c r="Y790" s="98" t="s">
        <v>171</v>
      </c>
      <c r="Z790" s="98" t="s">
        <v>171</v>
      </c>
      <c r="AA790" s="98" t="s">
        <v>171</v>
      </c>
      <c r="AB790" s="98" t="s">
        <v>171</v>
      </c>
      <c r="AC790" s="98" t="s">
        <v>171</v>
      </c>
      <c r="AD790" s="98" t="s">
        <v>171</v>
      </c>
      <c r="AE790" s="98" t="s">
        <v>171</v>
      </c>
      <c r="AF790" s="98" t="s">
        <v>171</v>
      </c>
      <c r="AG790" s="98" t="s">
        <v>171</v>
      </c>
      <c r="AH790" s="98" t="s">
        <v>171</v>
      </c>
      <c r="AI790" s="98" t="s">
        <v>171</v>
      </c>
      <c r="AJ790" s="98" t="s">
        <v>171</v>
      </c>
      <c r="AK790" s="98" t="s">
        <v>171</v>
      </c>
      <c r="AL790" s="98" t="s">
        <v>171</v>
      </c>
      <c r="AM790" s="98" t="s">
        <v>171</v>
      </c>
      <c r="AN790" s="98" t="s">
        <v>171</v>
      </c>
      <c r="AO790" s="98" t="s">
        <v>171</v>
      </c>
      <c r="AP790" s="98" t="s">
        <v>171</v>
      </c>
      <c r="AQ790" s="98" t="s">
        <v>171</v>
      </c>
      <c r="AR790" s="102">
        <v>46226.0</v>
      </c>
      <c r="AS790" s="83">
        <v>1178898.0</v>
      </c>
    </row>
    <row r="791" ht="15.75" customHeight="1">
      <c r="A791" s="111" t="s">
        <v>860</v>
      </c>
      <c r="B791" s="83" t="s">
        <v>2229</v>
      </c>
      <c r="C791" s="83" t="s">
        <v>164</v>
      </c>
      <c r="D791" s="112">
        <v>1179339.0</v>
      </c>
      <c r="E791" s="83">
        <v>1178897.0</v>
      </c>
      <c r="F791" s="83"/>
      <c r="G791" s="91" t="str">
        <f>IFERROR(__xludf.DUMMYFUNCTION("XLOOKUP(AS791,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MALHADA GRANDE")</f>
        <v>ANEXO - CEMIT - BACIA DO RIO GRANDE - DISTRITO DE MALHADA GRANDE</v>
      </c>
      <c r="H791" s="114" t="s">
        <v>3780</v>
      </c>
      <c r="I791" s="91" t="s">
        <v>3782</v>
      </c>
      <c r="J791" s="172" t="s">
        <v>3783</v>
      </c>
      <c r="K791" s="83" t="s">
        <v>3785</v>
      </c>
      <c r="L791" s="83" t="s">
        <v>168</v>
      </c>
      <c r="M791" s="83" t="s">
        <v>169</v>
      </c>
      <c r="N791" s="115" t="s">
        <v>170</v>
      </c>
      <c r="O791" s="98" t="s">
        <v>155</v>
      </c>
      <c r="P791" s="99" t="str">
        <f>IFERROR(__xludf.DUMMYFUNCTION("IFERROR(VLOOKUP(AS791,IMPORTRANGE(""https://docs.google.com/spreadsheets/d/1juPI-Fb8LD0YtltB2mlGEnp_R3UVu1t3wSFPzgCyHXE/edit?gid=0#gid=0"",""GERAL!A2:C""),3,0),""-"")"),"-")</f>
        <v>-</v>
      </c>
      <c r="Q791" s="98" t="s">
        <v>171</v>
      </c>
      <c r="R791" s="98">
        <v>3.0</v>
      </c>
      <c r="S791" s="98" t="s">
        <v>171</v>
      </c>
      <c r="T791" s="98" t="s">
        <v>171</v>
      </c>
      <c r="U791" s="98" t="s">
        <v>171</v>
      </c>
      <c r="V791" s="98" t="s">
        <v>171</v>
      </c>
      <c r="W791" s="98" t="s">
        <v>171</v>
      </c>
      <c r="X791" s="98" t="s">
        <v>171</v>
      </c>
      <c r="Y791" s="98" t="s">
        <v>171</v>
      </c>
      <c r="Z791" s="98" t="s">
        <v>171</v>
      </c>
      <c r="AA791" s="98" t="s">
        <v>171</v>
      </c>
      <c r="AB791" s="98" t="s">
        <v>171</v>
      </c>
      <c r="AC791" s="98" t="s">
        <v>171</v>
      </c>
      <c r="AD791" s="98" t="s">
        <v>171</v>
      </c>
      <c r="AE791" s="98" t="s">
        <v>171</v>
      </c>
      <c r="AF791" s="98" t="s">
        <v>171</v>
      </c>
      <c r="AG791" s="98" t="s">
        <v>171</v>
      </c>
      <c r="AH791" s="98" t="s">
        <v>171</v>
      </c>
      <c r="AI791" s="98" t="s">
        <v>171</v>
      </c>
      <c r="AJ791" s="98" t="s">
        <v>171</v>
      </c>
      <c r="AK791" s="98" t="s">
        <v>171</v>
      </c>
      <c r="AL791" s="98" t="s">
        <v>171</v>
      </c>
      <c r="AM791" s="98" t="s">
        <v>171</v>
      </c>
      <c r="AN791" s="98" t="s">
        <v>171</v>
      </c>
      <c r="AO791" s="98" t="s">
        <v>171</v>
      </c>
      <c r="AP791" s="98" t="s">
        <v>171</v>
      </c>
      <c r="AQ791" s="98" t="s">
        <v>171</v>
      </c>
      <c r="AR791" s="102">
        <v>46226.0</v>
      </c>
      <c r="AS791" s="83">
        <v>1178897.0</v>
      </c>
    </row>
    <row r="792" ht="15.75" customHeight="1">
      <c r="A792" s="111" t="s">
        <v>860</v>
      </c>
      <c r="B792" s="83" t="s">
        <v>2229</v>
      </c>
      <c r="C792" s="83" t="s">
        <v>164</v>
      </c>
      <c r="D792" s="112">
        <v>1179339.0</v>
      </c>
      <c r="E792" s="83">
        <v>1178896.0</v>
      </c>
      <c r="F792" s="83"/>
      <c r="G792" s="91" t="str">
        <f>IFERROR(__xludf.DUMMYFUNCTION("XLOOKUP(AS792,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 BACIA DO RIO GRANDE - DISTRITO DE ITIQUIRA")</f>
        <v>ANEXO - CEMIT - BACIA DO RIO GRANDE - DISTRITO DE ITIQUIRA</v>
      </c>
      <c r="H792" s="114" t="s">
        <v>3788</v>
      </c>
      <c r="I792" s="91" t="s">
        <v>3789</v>
      </c>
      <c r="J792" s="172" t="s">
        <v>3790</v>
      </c>
      <c r="K792" s="83" t="s">
        <v>456</v>
      </c>
      <c r="L792" s="83" t="s">
        <v>151</v>
      </c>
      <c r="M792" s="83" t="s">
        <v>169</v>
      </c>
      <c r="N792" s="115" t="s">
        <v>170</v>
      </c>
      <c r="O792" s="98" t="s">
        <v>155</v>
      </c>
      <c r="P792" s="99" t="str">
        <f>IFERROR(__xludf.DUMMYFUNCTION("IFERROR(VLOOKUP(AS792,IMPORTRANGE(""https://docs.google.com/spreadsheets/d/1juPI-Fb8LD0YtltB2mlGEnp_R3UVu1t3wSFPzgCyHXE/edit?gid=0#gid=0"",""GERAL!A2:C""),3,0),""-"")"),"-")</f>
        <v>-</v>
      </c>
      <c r="Q792" s="98" t="s">
        <v>171</v>
      </c>
      <c r="R792" s="98">
        <v>3.0</v>
      </c>
      <c r="S792" s="98" t="s">
        <v>171</v>
      </c>
      <c r="T792" s="98" t="s">
        <v>171</v>
      </c>
      <c r="U792" s="98" t="s">
        <v>171</v>
      </c>
      <c r="V792" s="98" t="s">
        <v>171</v>
      </c>
      <c r="W792" s="98" t="s">
        <v>171</v>
      </c>
      <c r="X792" s="98" t="s">
        <v>171</v>
      </c>
      <c r="Y792" s="98" t="s">
        <v>171</v>
      </c>
      <c r="Z792" s="98" t="s">
        <v>171</v>
      </c>
      <c r="AA792" s="98" t="s">
        <v>171</v>
      </c>
      <c r="AB792" s="98" t="s">
        <v>171</v>
      </c>
      <c r="AC792" s="98" t="s">
        <v>171</v>
      </c>
      <c r="AD792" s="98" t="s">
        <v>171</v>
      </c>
      <c r="AE792" s="98" t="s">
        <v>171</v>
      </c>
      <c r="AF792" s="98" t="s">
        <v>171</v>
      </c>
      <c r="AG792" s="98" t="s">
        <v>171</v>
      </c>
      <c r="AH792" s="98" t="s">
        <v>171</v>
      </c>
      <c r="AI792" s="98" t="s">
        <v>171</v>
      </c>
      <c r="AJ792" s="98" t="s">
        <v>171</v>
      </c>
      <c r="AK792" s="98" t="s">
        <v>171</v>
      </c>
      <c r="AL792" s="98" t="s">
        <v>171</v>
      </c>
      <c r="AM792" s="98" t="s">
        <v>171</v>
      </c>
      <c r="AN792" s="98" t="s">
        <v>171</v>
      </c>
      <c r="AO792" s="98" t="s">
        <v>171</v>
      </c>
      <c r="AP792" s="98" t="s">
        <v>171</v>
      </c>
      <c r="AQ792" s="98" t="s">
        <v>171</v>
      </c>
      <c r="AR792" s="102">
        <v>46226.0</v>
      </c>
      <c r="AS792" s="83">
        <v>1178896.0</v>
      </c>
    </row>
    <row r="793" ht="15.75" customHeight="1">
      <c r="A793" s="111" t="s">
        <v>860</v>
      </c>
      <c r="B793" s="83" t="s">
        <v>2405</v>
      </c>
      <c r="C793" s="83" t="s">
        <v>68</v>
      </c>
      <c r="D793" s="112">
        <v>1179619.0</v>
      </c>
      <c r="E793" s="83"/>
      <c r="F793" s="83">
        <v>2.9470501E7</v>
      </c>
      <c r="G793" s="91" t="str">
        <f>IFERROR(__xludf.DUMMYFUNCTION("XLOOKUP(AS793,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MIGUEL MOREIRA DE CARVALHO - DIST RODA VELHA")</f>
        <v>COLÉGIO ESTADUAL DO CAMPO MIGUEL MOREIRA DE CARVALHO - DIST RODA VELHA</v>
      </c>
      <c r="H793" s="119" t="s">
        <v>3791</v>
      </c>
      <c r="I793" s="91" t="s">
        <v>495</v>
      </c>
      <c r="J793" s="172" t="s">
        <v>3792</v>
      </c>
      <c r="K793" s="83" t="s">
        <v>3793</v>
      </c>
      <c r="L793" s="83" t="s">
        <v>151</v>
      </c>
      <c r="M793" s="83" t="s">
        <v>169</v>
      </c>
      <c r="N793" s="98" t="s">
        <v>3794</v>
      </c>
      <c r="O793" s="98" t="s">
        <v>155</v>
      </c>
      <c r="P793" s="99" t="str">
        <f>IFERROR(__xludf.DUMMYFUNCTION("IFERROR(VLOOKUP(AS793,IMPORTRANGE(""https://docs.google.com/spreadsheets/d/1juPI-Fb8LD0YtltB2mlGEnp_R3UVu1t3wSFPzgCyHXE/edit?gid=0#gid=0"",""GERAL!A2:C""),3,0),""-"")"),"CAMPO")</f>
        <v>CAMPO</v>
      </c>
      <c r="Q793" s="83"/>
      <c r="R793" s="83"/>
      <c r="S793" s="83"/>
      <c r="T793" s="83"/>
      <c r="U793" s="83"/>
      <c r="V793" s="83"/>
      <c r="W793" s="83"/>
      <c r="X793" s="83"/>
      <c r="Y793" s="83"/>
      <c r="Z793" s="83"/>
      <c r="AA793" s="83"/>
      <c r="AB793" s="83"/>
      <c r="AC793" s="83"/>
      <c r="AD793" s="83"/>
      <c r="AE793" s="83"/>
      <c r="AF793" s="83"/>
      <c r="AG793" s="83"/>
      <c r="AH793" s="83"/>
      <c r="AI793" s="83"/>
      <c r="AJ793" s="83"/>
      <c r="AK793" s="83"/>
      <c r="AL793" s="83"/>
      <c r="AM793" s="83"/>
      <c r="AN793" s="83"/>
      <c r="AO793" s="83"/>
      <c r="AP793" s="83"/>
      <c r="AQ793" s="83"/>
      <c r="AR793" s="83"/>
      <c r="AS793" s="83">
        <v>1179619.0</v>
      </c>
    </row>
    <row r="794" ht="15.75" customHeight="1">
      <c r="A794" s="111" t="s">
        <v>860</v>
      </c>
      <c r="B794" s="83" t="s">
        <v>2405</v>
      </c>
      <c r="C794" s="83" t="s">
        <v>68</v>
      </c>
      <c r="D794" s="112">
        <v>1176129.0</v>
      </c>
      <c r="E794" s="189"/>
      <c r="F794" s="83">
        <v>2.9336082E7</v>
      </c>
      <c r="G794" s="91" t="str">
        <f>IFERROR(__xludf.DUMMYFUNCTION("XLOOKUP(AS794,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BENTO ALVES DAS NEVES DE SÃO DESIDÉRIO")</f>
        <v>CENTRO TERRITORIAL DE EDUCAÇÃO PROFISSIONAL BENTO ALVES DAS NEVES DE SÃO DESIDÉRIO</v>
      </c>
      <c r="H794" s="209" t="s">
        <v>3795</v>
      </c>
      <c r="I794" s="108" t="s">
        <v>3796</v>
      </c>
      <c r="J794" s="98" t="s">
        <v>2157</v>
      </c>
      <c r="K794" s="83" t="s">
        <v>150</v>
      </c>
      <c r="L794" s="83" t="s">
        <v>151</v>
      </c>
      <c r="M794" s="98" t="s">
        <v>152</v>
      </c>
      <c r="N794" s="98" t="s">
        <v>3797</v>
      </c>
      <c r="O794" s="98" t="s">
        <v>155</v>
      </c>
      <c r="P794" s="99" t="str">
        <f>IFERROR(__xludf.DUMMYFUNCTION("IFERROR(VLOOKUP(AS794,IMPORTRANGE(""https://docs.google.com/spreadsheets/d/1juPI-Fb8LD0YtltB2mlGEnp_R3UVu1t3wSFPzgCyHXE/edit?gid=0#gid=0"",""GERAL!A2:C""),3,0),""-"")"),"-")</f>
        <v>-</v>
      </c>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c r="AR794" s="83"/>
      <c r="AS794" s="83">
        <v>1176129.0</v>
      </c>
    </row>
    <row r="795" ht="15.75" customHeight="1">
      <c r="A795" s="111" t="s">
        <v>860</v>
      </c>
      <c r="B795" s="83" t="s">
        <v>2405</v>
      </c>
      <c r="C795" s="83" t="s">
        <v>164</v>
      </c>
      <c r="D795" s="112">
        <v>1176129.0</v>
      </c>
      <c r="E795" s="83">
        <v>1179720.0</v>
      </c>
      <c r="F795" s="237"/>
      <c r="G795" s="91" t="str">
        <f>IFERROR(__xludf.DUMMYFUNCTION("XLOOKUP(AS795,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BENTO ALVES DAS NEVES DE SÃO DESIDÉRIO - POVOADO PONTEZINHA")</f>
        <v>ANEXO - CENTRO TERRITORIAL DE EDUCAÇÃO PROFISSIONAL BENTO ALVES DAS NEVES DE SÃO DESIDÉRIO - POVOADO PONTEZINHA</v>
      </c>
      <c r="H795" s="119" t="s">
        <v>3798</v>
      </c>
      <c r="I795" s="91" t="s">
        <v>3799</v>
      </c>
      <c r="J795" s="372" t="s">
        <v>171</v>
      </c>
      <c r="K795" s="373" t="s">
        <v>3800</v>
      </c>
      <c r="L795" s="83" t="s">
        <v>168</v>
      </c>
      <c r="M795" s="83" t="s">
        <v>512</v>
      </c>
      <c r="N795" s="115" t="s">
        <v>170</v>
      </c>
      <c r="O795" s="98" t="s">
        <v>155</v>
      </c>
      <c r="P795" s="99" t="str">
        <f>IFERROR(__xludf.DUMMYFUNCTION("IFERROR(VLOOKUP(AS795,IMPORTRANGE(""https://docs.google.com/spreadsheets/d/1juPI-Fb8LD0YtltB2mlGEnp_R3UVu1t3wSFPzgCyHXE/edit?gid=0#gid=0"",""GERAL!A2:C""),3,0),""-"")"),"-")</f>
        <v>-</v>
      </c>
      <c r="Q795" s="83"/>
      <c r="R795" s="83"/>
      <c r="S795" s="83"/>
      <c r="T795" s="83"/>
      <c r="U795" s="83"/>
      <c r="V795" s="83"/>
      <c r="W795" s="83"/>
      <c r="X795" s="83"/>
      <c r="Y795" s="83"/>
      <c r="Z795" s="83"/>
      <c r="AA795" s="83"/>
      <c r="AB795" s="83"/>
      <c r="AC795" s="83"/>
      <c r="AD795" s="83"/>
      <c r="AE795" s="83"/>
      <c r="AF795" s="83"/>
      <c r="AG795" s="83"/>
      <c r="AH795" s="83"/>
      <c r="AI795" s="83"/>
      <c r="AJ795" s="83"/>
      <c r="AK795" s="83"/>
      <c r="AL795" s="83"/>
      <c r="AM795" s="83"/>
      <c r="AN795" s="83"/>
      <c r="AO795" s="83"/>
      <c r="AP795" s="83"/>
      <c r="AQ795" s="83"/>
      <c r="AR795" s="83"/>
      <c r="AS795" s="83">
        <v>1179720.0</v>
      </c>
    </row>
    <row r="796" ht="15.75" customHeight="1">
      <c r="A796" s="111" t="s">
        <v>860</v>
      </c>
      <c r="B796" s="83" t="s">
        <v>2405</v>
      </c>
      <c r="C796" s="83" t="s">
        <v>164</v>
      </c>
      <c r="D796" s="112">
        <v>1176129.0</v>
      </c>
      <c r="E796" s="82">
        <v>1179721.0</v>
      </c>
      <c r="F796" s="83"/>
      <c r="G796" s="91" t="str">
        <f>IFERROR(__xludf.DUMMYFUNCTION("XLOOKUP(AS796,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BENTO ALVES DAS NEVES DE SÃO DESIDÉRIO - POVOADO CAMPO GRANDE")</f>
        <v>ANEXO - CENTRO TERRITORIAL DE EDUCAÇÃO PROFISSIONAL BENTO ALVES DAS NEVES DE SÃO DESIDÉRIO - POVOADO CAMPO GRANDE</v>
      </c>
      <c r="H796" s="108" t="s">
        <v>3808</v>
      </c>
      <c r="I796" s="91" t="s">
        <v>3810</v>
      </c>
      <c r="J796" s="193" t="s">
        <v>171</v>
      </c>
      <c r="K796" s="373" t="s">
        <v>3811</v>
      </c>
      <c r="L796" s="83" t="s">
        <v>168</v>
      </c>
      <c r="M796" s="83" t="s">
        <v>512</v>
      </c>
      <c r="N796" s="115" t="s">
        <v>170</v>
      </c>
      <c r="O796" s="98" t="s">
        <v>155</v>
      </c>
      <c r="P796" s="99" t="str">
        <f>IFERROR(__xludf.DUMMYFUNCTION("IFERROR(VLOOKUP(AS796,IMPORTRANGE(""https://docs.google.com/spreadsheets/d/1juPI-Fb8LD0YtltB2mlGEnp_R3UVu1t3wSFPzgCyHXE/edit?gid=0#gid=0"",""GERAL!A2:C""),3,0),""-"")"),"-")</f>
        <v>-</v>
      </c>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c r="AR796" s="83"/>
      <c r="AS796" s="83">
        <v>1179721.0</v>
      </c>
    </row>
    <row r="797" ht="15.75" customHeight="1">
      <c r="A797" s="111" t="s">
        <v>860</v>
      </c>
      <c r="B797" s="83" t="s">
        <v>2405</v>
      </c>
      <c r="C797" s="83" t="s">
        <v>164</v>
      </c>
      <c r="D797" s="112">
        <v>1176129.0</v>
      </c>
      <c r="E797" s="189">
        <v>1179718.0</v>
      </c>
      <c r="F797" s="189"/>
      <c r="G797" s="91" t="str">
        <f>IFERROR(__xludf.DUMMYFUNCTION("XLOOKUP(AS797,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BENTO ALVES DAS NEVES DE SÃO DESIDÉRIO - POV. PONTE DE MATEUS")</f>
        <v>ANEXO - CENTRO TERRITORIAL DE EDUCAÇÃO PROFISSIONAL BENTO ALVES DAS NEVES DE SÃO DESIDÉRIO - POV. PONTE DE MATEUS</v>
      </c>
      <c r="H797" s="209" t="s">
        <v>3816</v>
      </c>
      <c r="I797" s="108" t="s">
        <v>3818</v>
      </c>
      <c r="J797" s="193" t="s">
        <v>171</v>
      </c>
      <c r="K797" s="373" t="s">
        <v>3821</v>
      </c>
      <c r="L797" s="83" t="s">
        <v>168</v>
      </c>
      <c r="M797" s="83" t="s">
        <v>512</v>
      </c>
      <c r="N797" s="115" t="s">
        <v>170</v>
      </c>
      <c r="O797" s="98" t="s">
        <v>155</v>
      </c>
      <c r="P797" s="99" t="str">
        <f>IFERROR(__xludf.DUMMYFUNCTION("IFERROR(VLOOKUP(AS797,IMPORTRANGE(""https://docs.google.com/spreadsheets/d/1juPI-Fb8LD0YtltB2mlGEnp_R3UVu1t3wSFPzgCyHXE/edit?gid=0#gid=0"",""GERAL!A2:C""),3,0),""-"")"),"-")</f>
        <v>-</v>
      </c>
      <c r="Q797" s="83"/>
      <c r="R797" s="83"/>
      <c r="S797" s="83"/>
      <c r="T797" s="83"/>
      <c r="U797" s="83"/>
      <c r="V797" s="83"/>
      <c r="W797" s="83"/>
      <c r="X797" s="83"/>
      <c r="Y797" s="83"/>
      <c r="Z797" s="83"/>
      <c r="AA797" s="83"/>
      <c r="AB797" s="83"/>
      <c r="AC797" s="83"/>
      <c r="AD797" s="83"/>
      <c r="AE797" s="83"/>
      <c r="AF797" s="83"/>
      <c r="AG797" s="83"/>
      <c r="AH797" s="83"/>
      <c r="AI797" s="83"/>
      <c r="AJ797" s="83"/>
      <c r="AK797" s="83"/>
      <c r="AL797" s="83"/>
      <c r="AM797" s="83"/>
      <c r="AN797" s="83"/>
      <c r="AO797" s="83"/>
      <c r="AP797" s="83"/>
      <c r="AQ797" s="83"/>
      <c r="AR797" s="83"/>
      <c r="AS797" s="83">
        <v>1179718.0</v>
      </c>
    </row>
    <row r="798" ht="15.75" customHeight="1">
      <c r="A798" s="111" t="s">
        <v>860</v>
      </c>
      <c r="B798" s="83" t="s">
        <v>3822</v>
      </c>
      <c r="C798" s="191" t="s">
        <v>68</v>
      </c>
      <c r="D798" s="190">
        <v>1165455.0</v>
      </c>
      <c r="E798" s="83"/>
      <c r="F798" s="83">
        <v>2.9010438E7</v>
      </c>
      <c r="G798" s="91" t="str">
        <f>IFERROR(__xludf.DUMMYFUNCTION("XLOOKUP(AS798,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ANTÔNIO INÁCIO DE OLIVEIRA")</f>
        <v>COLÉGIO ESTADUAL DE TEMPO INTEGRAL ANTÔNIO INÁCIO DE OLIVEIRA</v>
      </c>
      <c r="H798" s="374" t="s">
        <v>3829</v>
      </c>
      <c r="I798" s="108" t="s">
        <v>3830</v>
      </c>
      <c r="J798" s="248" t="s">
        <v>149</v>
      </c>
      <c r="K798" s="83" t="s">
        <v>150</v>
      </c>
      <c r="L798" s="83" t="s">
        <v>151</v>
      </c>
      <c r="M798" s="98" t="s">
        <v>152</v>
      </c>
      <c r="N798" s="98" t="s">
        <v>3831</v>
      </c>
      <c r="O798" s="98" t="s">
        <v>162</v>
      </c>
      <c r="P798" s="99" t="str">
        <f>IFERROR(__xludf.DUMMYFUNCTION("IFERROR(VLOOKUP(AS798,IMPORTRANGE(""https://docs.google.com/spreadsheets/d/1juPI-Fb8LD0YtltB2mlGEnp_R3UVu1t3wSFPzgCyHXE/edit?gid=0#gid=0"",""GERAL!A2:C""),3,0),""-"")"),"-")</f>
        <v>-</v>
      </c>
      <c r="Q798" s="101" t="s">
        <v>156</v>
      </c>
      <c r="R798" s="98">
        <v>9.0</v>
      </c>
      <c r="S798" s="98">
        <v>0.0</v>
      </c>
      <c r="T798" s="98">
        <v>0.0</v>
      </c>
      <c r="U798" s="98">
        <v>0.0</v>
      </c>
      <c r="V798" s="98">
        <v>0.0</v>
      </c>
      <c r="W798" s="98">
        <v>0.0</v>
      </c>
      <c r="X798" s="98">
        <v>0.0</v>
      </c>
      <c r="Y798" s="98">
        <v>1.0</v>
      </c>
      <c r="Z798" s="98">
        <v>1.0</v>
      </c>
      <c r="AA798" s="98">
        <v>0.0</v>
      </c>
      <c r="AB798" s="98">
        <v>1.0</v>
      </c>
      <c r="AC798" s="98">
        <v>0.0</v>
      </c>
      <c r="AD798" s="98">
        <v>0.0</v>
      </c>
      <c r="AE798" s="98">
        <v>0.0</v>
      </c>
      <c r="AF798" s="98">
        <v>0.0</v>
      </c>
      <c r="AG798" s="98">
        <v>0.0</v>
      </c>
      <c r="AH798" s="98">
        <v>1.0</v>
      </c>
      <c r="AI798" s="98">
        <v>0.0</v>
      </c>
      <c r="AJ798" s="98">
        <v>0.0</v>
      </c>
      <c r="AK798" s="98">
        <v>0.0</v>
      </c>
      <c r="AL798" s="98">
        <v>0.0</v>
      </c>
      <c r="AM798" s="98">
        <v>0.0</v>
      </c>
      <c r="AN798" s="98">
        <v>0.0</v>
      </c>
      <c r="AO798" s="98">
        <v>0.0</v>
      </c>
      <c r="AP798" s="98">
        <v>0.0</v>
      </c>
      <c r="AQ798" s="98" t="s">
        <v>171</v>
      </c>
      <c r="AR798" s="102">
        <v>46226.0</v>
      </c>
      <c r="AS798" s="83">
        <v>1165455.0</v>
      </c>
    </row>
    <row r="799" ht="15.75" customHeight="1">
      <c r="A799" s="111" t="s">
        <v>860</v>
      </c>
      <c r="B799" s="83" t="s">
        <v>3822</v>
      </c>
      <c r="C799" s="83" t="s">
        <v>164</v>
      </c>
      <c r="D799" s="84">
        <v>1179339.0</v>
      </c>
      <c r="E799" s="82">
        <v>1179454.0</v>
      </c>
      <c r="F799" s="82"/>
      <c r="G799" s="91" t="str">
        <f>IFERROR(__xludf.DUMMYFUNCTION("XLOOKUP(AS799,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POVOADO NOVA CALEMBE")</f>
        <v>ANEXO - CEMIT BACIA DO RIO GRANDE - POVOADO NOVA CALEMBE</v>
      </c>
      <c r="H799" s="91" t="s">
        <v>3839</v>
      </c>
      <c r="I799" s="91" t="s">
        <v>3840</v>
      </c>
      <c r="J799" s="136" t="s">
        <v>3841</v>
      </c>
      <c r="K799" s="83" t="s">
        <v>464</v>
      </c>
      <c r="L799" s="83" t="s">
        <v>168</v>
      </c>
      <c r="M799" s="83" t="s">
        <v>169</v>
      </c>
      <c r="N799" s="115" t="s">
        <v>170</v>
      </c>
      <c r="O799" s="98" t="s">
        <v>155</v>
      </c>
      <c r="P799" s="99" t="str">
        <f>IFERROR(__xludf.DUMMYFUNCTION("IFERROR(VLOOKUP(AS799,IMPORTRANGE(""https://docs.google.com/spreadsheets/d/1juPI-Fb8LD0YtltB2mlGEnp_R3UVu1t3wSFPzgCyHXE/edit?gid=0#gid=0"",""GERAL!A2:C""),3,0),""-"")"),"-")</f>
        <v>-</v>
      </c>
      <c r="Q799" s="98" t="s">
        <v>171</v>
      </c>
      <c r="R799" s="98">
        <v>2.0</v>
      </c>
      <c r="S799" s="98" t="s">
        <v>171</v>
      </c>
      <c r="T799" s="98" t="s">
        <v>171</v>
      </c>
      <c r="U799" s="98" t="s">
        <v>171</v>
      </c>
      <c r="V799" s="98" t="s">
        <v>171</v>
      </c>
      <c r="W799" s="98" t="s">
        <v>171</v>
      </c>
      <c r="X799" s="98" t="s">
        <v>171</v>
      </c>
      <c r="Y799" s="98" t="s">
        <v>171</v>
      </c>
      <c r="Z799" s="98" t="s">
        <v>171</v>
      </c>
      <c r="AA799" s="98" t="s">
        <v>171</v>
      </c>
      <c r="AB799" s="98" t="s">
        <v>171</v>
      </c>
      <c r="AC799" s="98" t="s">
        <v>171</v>
      </c>
      <c r="AD799" s="98" t="s">
        <v>171</v>
      </c>
      <c r="AE799" s="98" t="s">
        <v>171</v>
      </c>
      <c r="AF799" s="98" t="s">
        <v>171</v>
      </c>
      <c r="AG799" s="98" t="s">
        <v>171</v>
      </c>
      <c r="AH799" s="98" t="s">
        <v>171</v>
      </c>
      <c r="AI799" s="98" t="s">
        <v>171</v>
      </c>
      <c r="AJ799" s="98" t="s">
        <v>171</v>
      </c>
      <c r="AK799" s="98" t="s">
        <v>171</v>
      </c>
      <c r="AL799" s="98" t="s">
        <v>171</v>
      </c>
      <c r="AM799" s="98" t="s">
        <v>171</v>
      </c>
      <c r="AN799" s="98" t="s">
        <v>171</v>
      </c>
      <c r="AO799" s="98" t="s">
        <v>171</v>
      </c>
      <c r="AP799" s="98" t="s">
        <v>171</v>
      </c>
      <c r="AQ799" s="98" t="s">
        <v>171</v>
      </c>
      <c r="AR799" s="102">
        <v>46226.0</v>
      </c>
      <c r="AS799" s="83">
        <v>1179454.0</v>
      </c>
    </row>
    <row r="800" ht="15.75" customHeight="1">
      <c r="A800" s="111" t="s">
        <v>860</v>
      </c>
      <c r="B800" s="83" t="s">
        <v>3822</v>
      </c>
      <c r="C800" s="83" t="s">
        <v>164</v>
      </c>
      <c r="D800" s="112">
        <v>1179339.0</v>
      </c>
      <c r="E800" s="83">
        <v>1178906.0</v>
      </c>
      <c r="F800" s="83"/>
      <c r="G800" s="91" t="str">
        <f>IFERROR(__xludf.DUMMYFUNCTION("XLOOKUP(AS800,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RIO GRANDE - DISTRITO DE GOIABEIRA")</f>
        <v>ANEXO - CEMIT BACIA DO RIO GRANDE - DISTRITO DE GOIABEIRA</v>
      </c>
      <c r="H800" s="114" t="s">
        <v>3842</v>
      </c>
      <c r="I800" s="91" t="s">
        <v>3843</v>
      </c>
      <c r="J800" s="83" t="s">
        <v>149</v>
      </c>
      <c r="K800" s="83" t="s">
        <v>865</v>
      </c>
      <c r="L800" s="83" t="s">
        <v>168</v>
      </c>
      <c r="M800" s="83" t="s">
        <v>169</v>
      </c>
      <c r="N800" s="115" t="s">
        <v>170</v>
      </c>
      <c r="O800" s="98" t="s">
        <v>155</v>
      </c>
      <c r="P800" s="99" t="str">
        <f>IFERROR(__xludf.DUMMYFUNCTION("IFERROR(VLOOKUP(AS800,IMPORTRANGE(""https://docs.google.com/spreadsheets/d/1juPI-Fb8LD0YtltB2mlGEnp_R3UVu1t3wSFPzgCyHXE/edit?gid=0#gid=0"",""GERAL!A2:C""),3,0),""-"")"),"-")</f>
        <v>-</v>
      </c>
      <c r="Q800" s="98" t="s">
        <v>171</v>
      </c>
      <c r="R800" s="98">
        <v>3.0</v>
      </c>
      <c r="S800" s="98" t="s">
        <v>171</v>
      </c>
      <c r="T800" s="98" t="s">
        <v>171</v>
      </c>
      <c r="U800" s="98" t="s">
        <v>171</v>
      </c>
      <c r="V800" s="98" t="s">
        <v>171</v>
      </c>
      <c r="W800" s="98" t="s">
        <v>171</v>
      </c>
      <c r="X800" s="98" t="s">
        <v>171</v>
      </c>
      <c r="Y800" s="98" t="s">
        <v>171</v>
      </c>
      <c r="Z800" s="98" t="s">
        <v>171</v>
      </c>
      <c r="AA800" s="98" t="s">
        <v>171</v>
      </c>
      <c r="AB800" s="98" t="s">
        <v>171</v>
      </c>
      <c r="AC800" s="98" t="s">
        <v>171</v>
      </c>
      <c r="AD800" s="98" t="s">
        <v>171</v>
      </c>
      <c r="AE800" s="98" t="s">
        <v>171</v>
      </c>
      <c r="AF800" s="98" t="s">
        <v>171</v>
      </c>
      <c r="AG800" s="98" t="s">
        <v>171</v>
      </c>
      <c r="AH800" s="98" t="s">
        <v>171</v>
      </c>
      <c r="AI800" s="98" t="s">
        <v>171</v>
      </c>
      <c r="AJ800" s="98" t="s">
        <v>171</v>
      </c>
      <c r="AK800" s="98" t="s">
        <v>171</v>
      </c>
      <c r="AL800" s="98" t="s">
        <v>171</v>
      </c>
      <c r="AM800" s="98" t="s">
        <v>171</v>
      </c>
      <c r="AN800" s="98" t="s">
        <v>171</v>
      </c>
      <c r="AO800" s="98" t="s">
        <v>171</v>
      </c>
      <c r="AP800" s="98" t="s">
        <v>171</v>
      </c>
      <c r="AQ800" s="98" t="s">
        <v>171</v>
      </c>
      <c r="AR800" s="102">
        <v>46226.0</v>
      </c>
      <c r="AS800" s="83">
        <v>1178906.0</v>
      </c>
    </row>
    <row r="801" ht="15.75" customHeight="1">
      <c r="A801" s="111" t="s">
        <v>914</v>
      </c>
      <c r="B801" s="83" t="s">
        <v>3851</v>
      </c>
      <c r="C801" s="83" t="s">
        <v>45</v>
      </c>
      <c r="D801" s="112">
        <v>1178384.0</v>
      </c>
      <c r="E801" s="83"/>
      <c r="F801" s="83">
        <v>2.9203473E7</v>
      </c>
      <c r="G801" s="91" t="str">
        <f>IFERROR(__xludf.DUMMYFUNCTION("XLOOKUP(AS801,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BOQUIRA")</f>
        <v>ESCOLA FAMILIA AGRICOLA DE BOQUIRA</v>
      </c>
      <c r="H801" s="114" t="s">
        <v>3852</v>
      </c>
      <c r="I801" s="91" t="s">
        <v>3853</v>
      </c>
      <c r="J801" s="83" t="s">
        <v>149</v>
      </c>
      <c r="K801" s="115" t="s">
        <v>150</v>
      </c>
      <c r="L801" s="83" t="s">
        <v>171</v>
      </c>
      <c r="M801" s="83" t="s">
        <v>169</v>
      </c>
      <c r="N801" s="128" t="s">
        <v>171</v>
      </c>
      <c r="O801" s="98" t="s">
        <v>155</v>
      </c>
      <c r="P801" s="99" t="str">
        <f>IFERROR(__xludf.DUMMYFUNCTION("IFERROR(VLOOKUP(AS801,IMPORTRANGE(""https://docs.google.com/spreadsheets/d/1juPI-Fb8LD0YtltB2mlGEnp_R3UVu1t3wSFPzgCyHXE/edit?gid=0#gid=0"",""GERAL!A2:C""),3,0),""-"")"),"EFA")</f>
        <v>EFA</v>
      </c>
      <c r="Q801" s="98" t="s">
        <v>171</v>
      </c>
      <c r="R801" s="98">
        <v>4.0</v>
      </c>
      <c r="S801" s="98">
        <v>0.0</v>
      </c>
      <c r="T801" s="98">
        <v>9.0</v>
      </c>
      <c r="U801" s="98">
        <v>0.0</v>
      </c>
      <c r="V801" s="98">
        <v>0.0</v>
      </c>
      <c r="W801" s="98">
        <v>0.0</v>
      </c>
      <c r="X801" s="98">
        <v>0.0</v>
      </c>
      <c r="Y801" s="98">
        <v>1.0</v>
      </c>
      <c r="Z801" s="98">
        <v>0.0</v>
      </c>
      <c r="AA801" s="98">
        <v>1.0</v>
      </c>
      <c r="AB801" s="98">
        <v>0.0</v>
      </c>
      <c r="AC801" s="98">
        <v>1.0</v>
      </c>
      <c r="AD801" s="98">
        <v>0.0</v>
      </c>
      <c r="AE801" s="98">
        <v>0.0</v>
      </c>
      <c r="AF801" s="98">
        <v>0.0</v>
      </c>
      <c r="AG801" s="98">
        <v>0.0</v>
      </c>
      <c r="AH801" s="98">
        <v>0.0</v>
      </c>
      <c r="AI801" s="98">
        <v>0.0</v>
      </c>
      <c r="AJ801" s="98">
        <v>0.0</v>
      </c>
      <c r="AK801" s="98">
        <v>0.0</v>
      </c>
      <c r="AL801" s="98">
        <v>0.0</v>
      </c>
      <c r="AM801" s="98">
        <v>0.0</v>
      </c>
      <c r="AN801" s="98">
        <v>0.0</v>
      </c>
      <c r="AO801" s="98">
        <v>0.0</v>
      </c>
      <c r="AP801" s="98">
        <v>1.0</v>
      </c>
      <c r="AQ801" s="98" t="s">
        <v>3854</v>
      </c>
      <c r="AR801" s="102">
        <v>46230.0</v>
      </c>
      <c r="AS801" s="83">
        <v>1178384.0</v>
      </c>
    </row>
    <row r="802" ht="15.75" customHeight="1">
      <c r="A802" s="111" t="s">
        <v>914</v>
      </c>
      <c r="B802" s="83" t="s">
        <v>3851</v>
      </c>
      <c r="C802" s="83" t="s">
        <v>68</v>
      </c>
      <c r="D802" s="112">
        <v>1176443.0</v>
      </c>
      <c r="E802" s="83"/>
      <c r="F802" s="83">
        <v>2.93844E7</v>
      </c>
      <c r="G802" s="91" t="str">
        <f>IFERROR(__xludf.DUMMYFUNCTION("XLOOKUP(AS802,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BOQUIRA - EM TEMPO INTEGRAL")</f>
        <v>COLÉGIO ESTADUAL DE BOQUIRA - EM TEMPO INTEGRAL</v>
      </c>
      <c r="H802" s="119" t="s">
        <v>3855</v>
      </c>
      <c r="I802" s="91" t="s">
        <v>3856</v>
      </c>
      <c r="J802" s="83" t="s">
        <v>149</v>
      </c>
      <c r="K802" s="83" t="s">
        <v>150</v>
      </c>
      <c r="L802" s="83" t="s">
        <v>151</v>
      </c>
      <c r="M802" s="83" t="s">
        <v>152</v>
      </c>
      <c r="N802" s="137" t="s">
        <v>3857</v>
      </c>
      <c r="O802" s="98" t="s">
        <v>155</v>
      </c>
      <c r="P802" s="99" t="str">
        <f>IFERROR(__xludf.DUMMYFUNCTION("IFERROR(VLOOKUP(AS802,IMPORTRANGE(""https://docs.google.com/spreadsheets/d/1juPI-Fb8LD0YtltB2mlGEnp_R3UVu1t3wSFPzgCyHXE/edit?gid=0#gid=0"",""GERAL!A2:C""),3,0),""-"")"),"-")</f>
        <v>-</v>
      </c>
      <c r="Q802" s="101" t="s">
        <v>156</v>
      </c>
      <c r="R802" s="98">
        <v>10.0</v>
      </c>
      <c r="S802" s="98">
        <v>0.0</v>
      </c>
      <c r="T802" s="98">
        <v>0.0</v>
      </c>
      <c r="U802" s="98">
        <v>0.0</v>
      </c>
      <c r="V802" s="98">
        <v>0.0</v>
      </c>
      <c r="W802" s="98">
        <v>0.0</v>
      </c>
      <c r="X802" s="98">
        <v>0.0</v>
      </c>
      <c r="Y802" s="98">
        <v>0.0</v>
      </c>
      <c r="Z802" s="98">
        <v>0.0</v>
      </c>
      <c r="AA802" s="98">
        <v>0.0</v>
      </c>
      <c r="AB802" s="98">
        <v>0.0</v>
      </c>
      <c r="AC802" s="98">
        <v>0.0</v>
      </c>
      <c r="AD802" s="98">
        <v>0.0</v>
      </c>
      <c r="AE802" s="98">
        <v>0.0</v>
      </c>
      <c r="AF802" s="98">
        <v>1.0</v>
      </c>
      <c r="AG802" s="98">
        <v>0.0</v>
      </c>
      <c r="AH802" s="98">
        <v>0.0</v>
      </c>
      <c r="AI802" s="98">
        <v>0.0</v>
      </c>
      <c r="AJ802" s="98">
        <v>0.0</v>
      </c>
      <c r="AK802" s="98">
        <v>0.0</v>
      </c>
      <c r="AL802" s="98">
        <v>0.0</v>
      </c>
      <c r="AM802" s="98">
        <v>0.0</v>
      </c>
      <c r="AN802" s="98">
        <v>0.0</v>
      </c>
      <c r="AO802" s="98">
        <v>0.0</v>
      </c>
      <c r="AP802" s="98">
        <v>3.0</v>
      </c>
      <c r="AQ802" s="98" t="s">
        <v>3858</v>
      </c>
      <c r="AR802" s="102">
        <v>46230.0</v>
      </c>
      <c r="AS802" s="83">
        <v>1176443.0</v>
      </c>
    </row>
    <row r="803" ht="15.75" customHeight="1">
      <c r="A803" s="111" t="s">
        <v>914</v>
      </c>
      <c r="B803" s="83" t="s">
        <v>3851</v>
      </c>
      <c r="C803" s="83" t="s">
        <v>164</v>
      </c>
      <c r="D803" s="112">
        <v>1179717.0</v>
      </c>
      <c r="E803" s="83">
        <v>1178844.0</v>
      </c>
      <c r="F803" s="83"/>
      <c r="G803" s="91" t="str">
        <f>IFERROR(__xludf.DUMMYFUNCTION("XLOOKUP(AS803,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POVOADO DE VACA MORTA")</f>
        <v>ANEXO - CENTRO REGIONAL DE ENSINO MEDIO COM INTERMEDIACAO TECNOLOGICA-CEMIT - POVOADO DE VACA MORTA</v>
      </c>
      <c r="H803" s="119" t="s">
        <v>3859</v>
      </c>
      <c r="I803" s="91" t="s">
        <v>3860</v>
      </c>
      <c r="J803" s="83" t="s">
        <v>149</v>
      </c>
      <c r="K803" s="83" t="s">
        <v>464</v>
      </c>
      <c r="L803" s="83" t="s">
        <v>168</v>
      </c>
      <c r="M803" s="83" t="s">
        <v>169</v>
      </c>
      <c r="N803" s="115" t="s">
        <v>170</v>
      </c>
      <c r="O803" s="98" t="s">
        <v>155</v>
      </c>
      <c r="P803" s="99" t="str">
        <f>IFERROR(__xludf.DUMMYFUNCTION("IFERROR(VLOOKUP(AS803,IMPORTRANGE(""https://docs.google.com/spreadsheets/d/1juPI-Fb8LD0YtltB2mlGEnp_R3UVu1t3wSFPzgCyHXE/edit?gid=0#gid=0"",""GERAL!A2:C""),3,0),""-"")"),"CAMPO")</f>
        <v>CAMPO</v>
      </c>
      <c r="Q803" s="98" t="s">
        <v>171</v>
      </c>
      <c r="R803" s="98">
        <v>3.0</v>
      </c>
      <c r="S803" s="98" t="s">
        <v>171</v>
      </c>
      <c r="T803" s="98" t="s">
        <v>171</v>
      </c>
      <c r="U803" s="98" t="s">
        <v>171</v>
      </c>
      <c r="V803" s="98" t="s">
        <v>171</v>
      </c>
      <c r="W803" s="98" t="s">
        <v>171</v>
      </c>
      <c r="X803" s="98" t="s">
        <v>171</v>
      </c>
      <c r="Y803" s="98" t="s">
        <v>171</v>
      </c>
      <c r="Z803" s="98" t="s">
        <v>171</v>
      </c>
      <c r="AA803" s="98" t="s">
        <v>171</v>
      </c>
      <c r="AB803" s="98" t="s">
        <v>171</v>
      </c>
      <c r="AC803" s="98" t="s">
        <v>171</v>
      </c>
      <c r="AD803" s="98" t="s">
        <v>171</v>
      </c>
      <c r="AE803" s="98" t="s">
        <v>171</v>
      </c>
      <c r="AF803" s="98" t="s">
        <v>171</v>
      </c>
      <c r="AG803" s="98" t="s">
        <v>171</v>
      </c>
      <c r="AH803" s="98" t="s">
        <v>171</v>
      </c>
      <c r="AI803" s="98" t="s">
        <v>171</v>
      </c>
      <c r="AJ803" s="98" t="s">
        <v>171</v>
      </c>
      <c r="AK803" s="98" t="s">
        <v>171</v>
      </c>
      <c r="AL803" s="98" t="s">
        <v>171</v>
      </c>
      <c r="AM803" s="98" t="s">
        <v>171</v>
      </c>
      <c r="AN803" s="98" t="s">
        <v>171</v>
      </c>
      <c r="AO803" s="98" t="s">
        <v>171</v>
      </c>
      <c r="AP803" s="98" t="s">
        <v>171</v>
      </c>
      <c r="AQ803" s="98" t="s">
        <v>171</v>
      </c>
      <c r="AR803" s="102">
        <v>46230.0</v>
      </c>
      <c r="AS803" s="83">
        <v>1178844.0</v>
      </c>
    </row>
    <row r="804" ht="15.75" customHeight="1">
      <c r="A804" s="111" t="s">
        <v>914</v>
      </c>
      <c r="B804" s="83" t="s">
        <v>3851</v>
      </c>
      <c r="C804" s="83" t="s">
        <v>164</v>
      </c>
      <c r="D804" s="112">
        <v>1179717.0</v>
      </c>
      <c r="E804" s="83">
        <v>1179434.0</v>
      </c>
      <c r="F804" s="83"/>
      <c r="G804" s="91" t="str">
        <f>IFERROR(__xludf.DUMMYFUNCTION("XLOOKUP(AS804,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DISTRITO DE LAPINHA")</f>
        <v>ANEXO - CENTRO REGIONAL DE ENSINO MEDIO COM INTERMEDIACAO TECNOLOGICA-CEMIT - DISTRITO DE LAPINHA</v>
      </c>
      <c r="H804" s="119" t="s">
        <v>3861</v>
      </c>
      <c r="I804" s="91" t="s">
        <v>3862</v>
      </c>
      <c r="J804" s="83" t="s">
        <v>3863</v>
      </c>
      <c r="K804" s="83" t="s">
        <v>331</v>
      </c>
      <c r="L804" s="83" t="s">
        <v>168</v>
      </c>
      <c r="M804" s="83" t="s">
        <v>169</v>
      </c>
      <c r="N804" s="115" t="s">
        <v>170</v>
      </c>
      <c r="O804" s="98" t="s">
        <v>155</v>
      </c>
      <c r="P804" s="99" t="str">
        <f>IFERROR(__xludf.DUMMYFUNCTION("IFERROR(VLOOKUP(AS804,IMPORTRANGE(""https://docs.google.com/spreadsheets/d/1juPI-Fb8LD0YtltB2mlGEnp_R3UVu1t3wSFPzgCyHXE/edit?gid=0#gid=0"",""GERAL!A2:C""),3,0),""-"")"),"CAMPO")</f>
        <v>CAMPO</v>
      </c>
      <c r="Q804" s="98" t="s">
        <v>171</v>
      </c>
      <c r="R804" s="98">
        <v>3.0</v>
      </c>
      <c r="S804" s="98" t="s">
        <v>171</v>
      </c>
      <c r="T804" s="98" t="s">
        <v>171</v>
      </c>
      <c r="U804" s="98" t="s">
        <v>171</v>
      </c>
      <c r="V804" s="98" t="s">
        <v>171</v>
      </c>
      <c r="W804" s="98" t="s">
        <v>171</v>
      </c>
      <c r="X804" s="98" t="s">
        <v>171</v>
      </c>
      <c r="Y804" s="98" t="s">
        <v>171</v>
      </c>
      <c r="Z804" s="98" t="s">
        <v>171</v>
      </c>
      <c r="AA804" s="98" t="s">
        <v>171</v>
      </c>
      <c r="AB804" s="98" t="s">
        <v>171</v>
      </c>
      <c r="AC804" s="98" t="s">
        <v>171</v>
      </c>
      <c r="AD804" s="98" t="s">
        <v>171</v>
      </c>
      <c r="AE804" s="98" t="s">
        <v>171</v>
      </c>
      <c r="AF804" s="98" t="s">
        <v>171</v>
      </c>
      <c r="AG804" s="98" t="s">
        <v>171</v>
      </c>
      <c r="AH804" s="98" t="s">
        <v>171</v>
      </c>
      <c r="AI804" s="98" t="s">
        <v>171</v>
      </c>
      <c r="AJ804" s="98" t="s">
        <v>171</v>
      </c>
      <c r="AK804" s="98" t="s">
        <v>171</v>
      </c>
      <c r="AL804" s="98" t="s">
        <v>171</v>
      </c>
      <c r="AM804" s="98" t="s">
        <v>171</v>
      </c>
      <c r="AN804" s="98" t="s">
        <v>171</v>
      </c>
      <c r="AO804" s="98" t="s">
        <v>171</v>
      </c>
      <c r="AP804" s="98" t="s">
        <v>171</v>
      </c>
      <c r="AQ804" s="98" t="s">
        <v>171</v>
      </c>
      <c r="AR804" s="102">
        <v>46230.0</v>
      </c>
      <c r="AS804" s="83">
        <v>1179434.0</v>
      </c>
    </row>
    <row r="805" ht="15.75" customHeight="1">
      <c r="A805" s="111" t="s">
        <v>914</v>
      </c>
      <c r="B805" s="83" t="s">
        <v>3851</v>
      </c>
      <c r="C805" s="83" t="s">
        <v>164</v>
      </c>
      <c r="D805" s="112">
        <v>1179717.0</v>
      </c>
      <c r="E805" s="83">
        <v>1179153.0</v>
      </c>
      <c r="F805" s="83"/>
      <c r="G805" s="91" t="str">
        <f>IFERROR(__xludf.DUMMYFUNCTION("XLOOKUP(AS805,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 DISTRITO LAGOA DE FAZENDINHA")</f>
        <v>ANEXO - CENTRO REGIONAL DE ENSINO MEDIO COM INTERMEDIACAO TECNOLOGICA- DISTRITO LAGOA DE FAZENDINHA</v>
      </c>
      <c r="H805" s="119" t="s">
        <v>3864</v>
      </c>
      <c r="I805" s="91" t="s">
        <v>3865</v>
      </c>
      <c r="J805" s="83" t="s">
        <v>149</v>
      </c>
      <c r="K805" s="83" t="s">
        <v>183</v>
      </c>
      <c r="L805" s="83" t="s">
        <v>168</v>
      </c>
      <c r="M805" s="83" t="s">
        <v>169</v>
      </c>
      <c r="N805" s="115" t="s">
        <v>170</v>
      </c>
      <c r="O805" s="98" t="s">
        <v>155</v>
      </c>
      <c r="P805" s="99" t="str">
        <f>IFERROR(__xludf.DUMMYFUNCTION("IFERROR(VLOOKUP(AS805,IMPORTRANGE(""https://docs.google.com/spreadsheets/d/1juPI-Fb8LD0YtltB2mlGEnp_R3UVu1t3wSFPzgCyHXE/edit?gid=0#gid=0"",""GERAL!A2:C""),3,0),""-"")"),"CAMPO")</f>
        <v>CAMPO</v>
      </c>
      <c r="Q805" s="98" t="s">
        <v>171</v>
      </c>
      <c r="R805" s="98">
        <v>3.0</v>
      </c>
      <c r="S805" s="98" t="s">
        <v>171</v>
      </c>
      <c r="T805" s="98" t="s">
        <v>171</v>
      </c>
      <c r="U805" s="98" t="s">
        <v>171</v>
      </c>
      <c r="V805" s="98" t="s">
        <v>171</v>
      </c>
      <c r="W805" s="98" t="s">
        <v>171</v>
      </c>
      <c r="X805" s="98" t="s">
        <v>171</v>
      </c>
      <c r="Y805" s="98" t="s">
        <v>171</v>
      </c>
      <c r="Z805" s="98" t="s">
        <v>171</v>
      </c>
      <c r="AA805" s="98" t="s">
        <v>171</v>
      </c>
      <c r="AB805" s="98" t="s">
        <v>171</v>
      </c>
      <c r="AC805" s="98" t="s">
        <v>171</v>
      </c>
      <c r="AD805" s="98" t="s">
        <v>171</v>
      </c>
      <c r="AE805" s="98" t="s">
        <v>171</v>
      </c>
      <c r="AF805" s="98" t="s">
        <v>171</v>
      </c>
      <c r="AG805" s="98" t="s">
        <v>171</v>
      </c>
      <c r="AH805" s="98" t="s">
        <v>171</v>
      </c>
      <c r="AI805" s="98" t="s">
        <v>171</v>
      </c>
      <c r="AJ805" s="98" t="s">
        <v>171</v>
      </c>
      <c r="AK805" s="98" t="s">
        <v>171</v>
      </c>
      <c r="AL805" s="98" t="s">
        <v>171</v>
      </c>
      <c r="AM805" s="98" t="s">
        <v>171</v>
      </c>
      <c r="AN805" s="98" t="s">
        <v>171</v>
      </c>
      <c r="AO805" s="98" t="s">
        <v>171</v>
      </c>
      <c r="AP805" s="98" t="s">
        <v>171</v>
      </c>
      <c r="AQ805" s="98" t="s">
        <v>171</v>
      </c>
      <c r="AR805" s="102">
        <v>46230.0</v>
      </c>
      <c r="AS805" s="83">
        <v>1179153.0</v>
      </c>
    </row>
    <row r="806" ht="15.75" customHeight="1">
      <c r="A806" s="111" t="s">
        <v>914</v>
      </c>
      <c r="B806" s="83" t="s">
        <v>3866</v>
      </c>
      <c r="C806" s="83" t="s">
        <v>45</v>
      </c>
      <c r="D806" s="112">
        <v>1178392.0</v>
      </c>
      <c r="E806" s="83"/>
      <c r="F806" s="83">
        <v>2.9397723E7</v>
      </c>
      <c r="G806" s="91" t="str">
        <f>IFERROR(__xludf.DUMMYFUNCTION("XLOOKUP(AS806,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BOTUPORÃ")</f>
        <v>ESCOLA FAMILIA AGRICOLA DE BOTUPORÃ</v>
      </c>
      <c r="H806" s="114" t="s">
        <v>3867</v>
      </c>
      <c r="I806" s="91" t="s">
        <v>3868</v>
      </c>
      <c r="J806" s="83" t="s">
        <v>149</v>
      </c>
      <c r="K806" s="115" t="s">
        <v>150</v>
      </c>
      <c r="L806" s="83" t="s">
        <v>171</v>
      </c>
      <c r="M806" s="83" t="s">
        <v>169</v>
      </c>
      <c r="N806" s="98" t="s">
        <v>3869</v>
      </c>
      <c r="O806" s="98" t="s">
        <v>155</v>
      </c>
      <c r="P806" s="99" t="str">
        <f>IFERROR(__xludf.DUMMYFUNCTION("IFERROR(VLOOKUP(AS806,IMPORTRANGE(""https://docs.google.com/spreadsheets/d/1juPI-Fb8LD0YtltB2mlGEnp_R3UVu1t3wSFPzgCyHXE/edit?gid=0#gid=0"",""GERAL!A2:C""),3,0),""-"")"),"EFA")</f>
        <v>EFA</v>
      </c>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c r="AR806" s="83"/>
      <c r="AS806" s="83">
        <v>1178392.0</v>
      </c>
    </row>
    <row r="807" ht="15.75" customHeight="1">
      <c r="A807" s="111" t="s">
        <v>914</v>
      </c>
      <c r="B807" s="83" t="s">
        <v>3866</v>
      </c>
      <c r="C807" s="83" t="s">
        <v>68</v>
      </c>
      <c r="D807" s="112">
        <v>1176458.0</v>
      </c>
      <c r="E807" s="83"/>
      <c r="F807" s="83">
        <v>2.9384389E7</v>
      </c>
      <c r="G807" s="91" t="str">
        <f>IFERROR(__xludf.DUMMYFUNCTION("XLOOKUP(AS807,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DE BOTUPORÃ 
 (ANTIGO C.E LUIS EDUARDO MAGALHÃES)")</f>
        <v>COLÉGIO ESTADUAL DO CAMPO DE TEMPO INTEGRAL DE BOTUPORÃ 
 (ANTIGO C.E LUIS EDUARDO MAGALHÃES)</v>
      </c>
      <c r="H807" s="119" t="s">
        <v>3870</v>
      </c>
      <c r="I807" s="91" t="s">
        <v>3871</v>
      </c>
      <c r="J807" s="83" t="s">
        <v>149</v>
      </c>
      <c r="K807" s="83" t="s">
        <v>150</v>
      </c>
      <c r="L807" s="83" t="s">
        <v>151</v>
      </c>
      <c r="M807" s="83" t="s">
        <v>152</v>
      </c>
      <c r="N807" s="98" t="s">
        <v>3872</v>
      </c>
      <c r="O807" s="98" t="s">
        <v>284</v>
      </c>
      <c r="P807" s="99" t="str">
        <f>IFERROR(__xludf.DUMMYFUNCTION("IFERROR(VLOOKUP(AS807,IMPORTRANGE(""https://docs.google.com/spreadsheets/d/1juPI-Fb8LD0YtltB2mlGEnp_R3UVu1t3wSFPzgCyHXE/edit?gid=0#gid=0"",""GERAL!A2:C""),3,0),""-"")"),"CAMPO")</f>
        <v>CAMPO</v>
      </c>
      <c r="Q807" s="83"/>
      <c r="R807" s="83"/>
      <c r="S807" s="83"/>
      <c r="T807" s="83"/>
      <c r="U807" s="83"/>
      <c r="V807" s="83"/>
      <c r="W807" s="83"/>
      <c r="X807" s="83"/>
      <c r="Y807" s="83"/>
      <c r="Z807" s="83"/>
      <c r="AA807" s="83"/>
      <c r="AB807" s="83"/>
      <c r="AC807" s="83"/>
      <c r="AD807" s="83"/>
      <c r="AE807" s="83"/>
      <c r="AF807" s="83"/>
      <c r="AG807" s="83"/>
      <c r="AH807" s="83"/>
      <c r="AI807" s="83"/>
      <c r="AJ807" s="83"/>
      <c r="AK807" s="83"/>
      <c r="AL807" s="83"/>
      <c r="AM807" s="83"/>
      <c r="AN807" s="83"/>
      <c r="AO807" s="83"/>
      <c r="AP807" s="83"/>
      <c r="AQ807" s="83"/>
      <c r="AR807" s="83"/>
      <c r="AS807" s="83">
        <v>1176458.0</v>
      </c>
    </row>
    <row r="808" ht="15.75" customHeight="1">
      <c r="A808" s="111" t="s">
        <v>914</v>
      </c>
      <c r="B808" s="83" t="s">
        <v>3873</v>
      </c>
      <c r="C808" s="83" t="s">
        <v>68</v>
      </c>
      <c r="D808" s="112">
        <v>1167709.0</v>
      </c>
      <c r="E808" s="83"/>
      <c r="F808" s="83">
        <v>2.9205387E7</v>
      </c>
      <c r="G808" s="91" t="str">
        <f>IFERROR(__xludf.DUMMYFUNCTION("XLOOKUP(AS808,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SAO SEBASTIAO - TEMPO INTEGRAL")</f>
        <v>COLÉGIO ESTADUAL SAO SEBASTIAO - TEMPO INTEGRAL</v>
      </c>
      <c r="H808" s="119" t="s">
        <v>3874</v>
      </c>
      <c r="I808" s="91" t="s">
        <v>3875</v>
      </c>
      <c r="J808" s="136" t="s">
        <v>149</v>
      </c>
      <c r="K808" s="83" t="s">
        <v>150</v>
      </c>
      <c r="L808" s="83" t="s">
        <v>151</v>
      </c>
      <c r="M808" s="83" t="s">
        <v>3876</v>
      </c>
      <c r="N808" s="98" t="s">
        <v>3877</v>
      </c>
      <c r="O808" s="98" t="s">
        <v>155</v>
      </c>
      <c r="P808" s="99" t="str">
        <f>IFERROR(__xludf.DUMMYFUNCTION("IFERROR(VLOOKUP(AS808,IMPORTRANGE(""https://docs.google.com/spreadsheets/d/1juPI-Fb8LD0YtltB2mlGEnp_R3UVu1t3wSFPzgCyHXE/edit?gid=0#gid=0"",""GERAL!A2:C""),3,0),""-"")"),"-")</f>
        <v>-</v>
      </c>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c r="AR808" s="83"/>
      <c r="AS808" s="83">
        <v>1167709.0</v>
      </c>
    </row>
    <row r="809" ht="15.75" customHeight="1">
      <c r="A809" s="111" t="s">
        <v>914</v>
      </c>
      <c r="B809" s="83" t="s">
        <v>3878</v>
      </c>
      <c r="C809" s="83" t="s">
        <v>68</v>
      </c>
      <c r="D809" s="112">
        <v>1165056.0</v>
      </c>
      <c r="E809" s="83"/>
      <c r="F809" s="83">
        <v>2.9236606E7</v>
      </c>
      <c r="G809" s="91" t="str">
        <f>IFERROR(__xludf.DUMMYFUNCTION("XLOOKUP(AS809,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ÁGUA  QUENTE - ANTIGO ANTÔNIO CARLOS MAGALHÃES")</f>
        <v>COLÉGIO  ESTADUAL  DE  TEMPO  INTEGRAL  DE  ÁGUA  QUENTE - ANTIGO ANTÔNIO CARLOS MAGALHÃES</v>
      </c>
      <c r="H809" s="119" t="s">
        <v>3884</v>
      </c>
      <c r="I809" s="108" t="s">
        <v>3885</v>
      </c>
      <c r="J809" s="136" t="s">
        <v>149</v>
      </c>
      <c r="K809" s="83" t="s">
        <v>150</v>
      </c>
      <c r="L809" s="83" t="s">
        <v>151</v>
      </c>
      <c r="M809" s="83" t="s">
        <v>76</v>
      </c>
      <c r="N809" s="98" t="s">
        <v>3886</v>
      </c>
      <c r="O809" s="98" t="s">
        <v>155</v>
      </c>
      <c r="P809" s="99" t="str">
        <f>IFERROR(__xludf.DUMMYFUNCTION("IFERROR(VLOOKUP(AS809,IMPORTRANGE(""https://docs.google.com/spreadsheets/d/1juPI-Fb8LD0YtltB2mlGEnp_R3UVu1t3wSFPzgCyHXE/edit?gid=0#gid=0"",""GERAL!A2:C""),3,0),""-"")"),"-")</f>
        <v>-</v>
      </c>
      <c r="Q809" s="98" t="s">
        <v>171</v>
      </c>
      <c r="R809" s="98">
        <v>12.0</v>
      </c>
      <c r="S809" s="98">
        <v>1.0</v>
      </c>
      <c r="T809" s="98">
        <v>1.0</v>
      </c>
      <c r="U809" s="98">
        <v>0.0</v>
      </c>
      <c r="V809" s="98">
        <v>1.0</v>
      </c>
      <c r="W809" s="98">
        <v>3.0</v>
      </c>
      <c r="X809" s="98">
        <v>1.0</v>
      </c>
      <c r="Y809" s="98">
        <v>0.0</v>
      </c>
      <c r="Z809" s="98">
        <v>1.0</v>
      </c>
      <c r="AA809" s="98">
        <v>0.0</v>
      </c>
      <c r="AB809" s="98">
        <v>1.0</v>
      </c>
      <c r="AC809" s="98">
        <v>0.0</v>
      </c>
      <c r="AD809" s="98">
        <v>0.0</v>
      </c>
      <c r="AE809" s="98">
        <v>0.0</v>
      </c>
      <c r="AF809" s="98">
        <v>1.0</v>
      </c>
      <c r="AG809" s="98">
        <v>0.0</v>
      </c>
      <c r="AH809" s="98">
        <v>0.0</v>
      </c>
      <c r="AI809" s="98">
        <v>0.0</v>
      </c>
      <c r="AJ809" s="98">
        <v>0.0</v>
      </c>
      <c r="AK809" s="98">
        <v>1.0</v>
      </c>
      <c r="AL809" s="98">
        <v>0.0</v>
      </c>
      <c r="AM809" s="98">
        <v>0.0</v>
      </c>
      <c r="AN809" s="98">
        <v>0.0</v>
      </c>
      <c r="AO809" s="98">
        <v>0.0</v>
      </c>
      <c r="AP809" s="98">
        <v>0.0</v>
      </c>
      <c r="AQ809" s="98" t="s">
        <v>3887</v>
      </c>
      <c r="AR809" s="102">
        <v>46247.0</v>
      </c>
      <c r="AS809" s="83">
        <v>1165056.0</v>
      </c>
    </row>
    <row r="810" ht="15.75" customHeight="1">
      <c r="A810" s="111" t="s">
        <v>914</v>
      </c>
      <c r="B810" s="83" t="s">
        <v>3878</v>
      </c>
      <c r="C810" s="83" t="s">
        <v>164</v>
      </c>
      <c r="D810" s="112">
        <v>1165056.0</v>
      </c>
      <c r="E810" s="83">
        <v>1178845.0</v>
      </c>
      <c r="F810" s="83"/>
      <c r="G810" s="91" t="str">
        <f>IFERROR(__xludf.DUMMYFUNCTION("XLOOKUP(AS810,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DE  ÁGUA  QUENTE - DISTRITO DE RIO DA CAIXA")</f>
        <v>ANEXO - COLÉGIO  ESTADUAL  DE  TEMPO  INTEGRAL  DE  ÁGUA  QUENTE - DISTRITO DE RIO DA CAIXA</v>
      </c>
      <c r="H810" s="119" t="s">
        <v>3889</v>
      </c>
      <c r="I810" s="91" t="s">
        <v>3890</v>
      </c>
      <c r="J810" s="136" t="s">
        <v>3891</v>
      </c>
      <c r="K810" s="83" t="s">
        <v>244</v>
      </c>
      <c r="L810" s="83" t="s">
        <v>168</v>
      </c>
      <c r="M810" s="83" t="s">
        <v>169</v>
      </c>
      <c r="N810" s="115" t="s">
        <v>170</v>
      </c>
      <c r="O810" s="98" t="s">
        <v>155</v>
      </c>
      <c r="P810" s="99" t="str">
        <f>IFERROR(__xludf.DUMMYFUNCTION("IFERROR(VLOOKUP(AS810,IMPORTRANGE(""https://docs.google.com/spreadsheets/d/1juPI-Fb8LD0YtltB2mlGEnp_R3UVu1t3wSFPzgCyHXE/edit?gid=0#gid=0"",""GERAL!A2:C""),3,0),""-"")"),"CAMPO")</f>
        <v>CAMPO</v>
      </c>
      <c r="Q810" s="98" t="s">
        <v>171</v>
      </c>
      <c r="R810" s="98">
        <v>1.0</v>
      </c>
      <c r="S810" s="98" t="s">
        <v>171</v>
      </c>
      <c r="T810" s="98" t="s">
        <v>171</v>
      </c>
      <c r="U810" s="98" t="s">
        <v>171</v>
      </c>
      <c r="V810" s="98" t="s">
        <v>171</v>
      </c>
      <c r="W810" s="98" t="s">
        <v>171</v>
      </c>
      <c r="X810" s="98" t="s">
        <v>171</v>
      </c>
      <c r="Y810" s="98" t="s">
        <v>171</v>
      </c>
      <c r="Z810" s="98" t="s">
        <v>171</v>
      </c>
      <c r="AA810" s="98" t="s">
        <v>171</v>
      </c>
      <c r="AB810" s="98" t="s">
        <v>171</v>
      </c>
      <c r="AC810" s="98" t="s">
        <v>171</v>
      </c>
      <c r="AD810" s="98" t="s">
        <v>171</v>
      </c>
      <c r="AE810" s="98" t="s">
        <v>171</v>
      </c>
      <c r="AF810" s="98" t="s">
        <v>171</v>
      </c>
      <c r="AG810" s="98" t="s">
        <v>171</v>
      </c>
      <c r="AH810" s="98" t="s">
        <v>171</v>
      </c>
      <c r="AI810" s="98" t="s">
        <v>171</v>
      </c>
      <c r="AJ810" s="98"/>
      <c r="AK810" s="98" t="s">
        <v>171</v>
      </c>
      <c r="AL810" s="98" t="s">
        <v>171</v>
      </c>
      <c r="AM810" s="98" t="s">
        <v>171</v>
      </c>
      <c r="AN810" s="98" t="s">
        <v>171</v>
      </c>
      <c r="AO810" s="98" t="s">
        <v>171</v>
      </c>
      <c r="AP810" s="98" t="s">
        <v>171</v>
      </c>
      <c r="AQ810" s="98" t="s">
        <v>171</v>
      </c>
      <c r="AR810" s="102">
        <v>46247.0</v>
      </c>
      <c r="AS810" s="83">
        <v>1178845.0</v>
      </c>
    </row>
    <row r="811" ht="15.75" customHeight="1">
      <c r="A811" s="111" t="s">
        <v>914</v>
      </c>
      <c r="B811" s="83" t="s">
        <v>3900</v>
      </c>
      <c r="C811" s="83" t="s">
        <v>68</v>
      </c>
      <c r="D811" s="112">
        <v>1127960.0</v>
      </c>
      <c r="E811" s="83"/>
      <c r="F811" s="83">
        <v>2.9206545E7</v>
      </c>
      <c r="G811" s="91" t="str">
        <f>IFERROR(__xludf.DUMMYFUNCTION("XLOOKUP(AS811,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DE IBIPITANGA")</f>
        <v>COLÉGIO ESTADUAL DO CAMPO DE
TEMPO INTEGRAL DE IBIPITANGA</v>
      </c>
      <c r="H811" s="119" t="s">
        <v>3901</v>
      </c>
      <c r="I811" s="91" t="s">
        <v>3902</v>
      </c>
      <c r="J811" s="83" t="s">
        <v>149</v>
      </c>
      <c r="K811" s="83" t="s">
        <v>150</v>
      </c>
      <c r="L811" s="83" t="s">
        <v>151</v>
      </c>
      <c r="M811" s="83" t="s">
        <v>76</v>
      </c>
      <c r="N811" s="98" t="s">
        <v>3903</v>
      </c>
      <c r="O811" s="98" t="s">
        <v>155</v>
      </c>
      <c r="P811" s="99" t="str">
        <f>IFERROR(__xludf.DUMMYFUNCTION("IFERROR(VLOOKUP(AS811,IMPORTRANGE(""https://docs.google.com/spreadsheets/d/1juPI-Fb8LD0YtltB2mlGEnp_R3UVu1t3wSFPzgCyHXE/edit?gid=0#gid=0"",""GERAL!A2:C""),3,0),""-"")"),"CAMPO")</f>
        <v>CAMPO</v>
      </c>
      <c r="Q811" s="83"/>
      <c r="R811" s="83"/>
      <c r="S811" s="83"/>
      <c r="T811" s="83"/>
      <c r="U811" s="83"/>
      <c r="V811" s="83"/>
      <c r="W811" s="83"/>
      <c r="X811" s="83"/>
      <c r="Y811" s="83"/>
      <c r="Z811" s="83"/>
      <c r="AA811" s="83"/>
      <c r="AB811" s="83"/>
      <c r="AC811" s="83"/>
      <c r="AD811" s="83"/>
      <c r="AE811" s="83"/>
      <c r="AF811" s="83"/>
      <c r="AG811" s="83"/>
      <c r="AH811" s="83"/>
      <c r="AI811" s="83"/>
      <c r="AJ811" s="83"/>
      <c r="AK811" s="83"/>
      <c r="AL811" s="83"/>
      <c r="AM811" s="83"/>
      <c r="AN811" s="83"/>
      <c r="AO811" s="83"/>
      <c r="AP811" s="83"/>
      <c r="AQ811" s="83"/>
      <c r="AR811" s="83"/>
      <c r="AS811" s="83">
        <v>1127960.0</v>
      </c>
    </row>
    <row r="812" ht="15.75" customHeight="1">
      <c r="A812" s="111" t="s">
        <v>914</v>
      </c>
      <c r="B812" s="83" t="s">
        <v>3900</v>
      </c>
      <c r="C812" s="83" t="s">
        <v>164</v>
      </c>
      <c r="D812" s="112">
        <v>1179717.0</v>
      </c>
      <c r="E812" s="83">
        <v>1178850.0</v>
      </c>
      <c r="F812" s="83"/>
      <c r="G812" s="91" t="str">
        <f>IFERROR(__xludf.DUMMYFUNCTION("XLOOKUP(AS812,
IMPORTRANGE(""https://docs.google.com/spreadsheets/d/1YM-djuOLXomrZ9W0B4TyIBsVWnXY4EIOFD9HY-qGfv0/edit?usp=sharing"",""GERAL!BG5:BG""),
IMPORTRANGE(""https://docs.google.com/spreadsheets/d/1YM-djuOLXomrZ9W0B4TyIBsVWnXY4EIOFD9HY-qGfv0/edit?u"&amp;"sp=sharing"",""GERAL!G5:G""),
""CÓD. SEC NÃO ENCONTRADO NA PLANILHA DE MATRÍCULA"")"),"ANEXO- CENTRO REGIONAL DE ENSINO MEDIO COM INTERMEDIACAO TECNOLOGICA-CEMIT- POVOADO SACO DO FOGO")</f>
        <v>ANEXO- CENTRO REGIONAL DE ENSINO MEDIO COM INTERMEDIACAO TECNOLOGICA-CEMIT- POVOADO SACO DO FOGO</v>
      </c>
      <c r="H812" s="119" t="s">
        <v>3904</v>
      </c>
      <c r="I812" s="91" t="s">
        <v>3905</v>
      </c>
      <c r="J812" s="83" t="s">
        <v>149</v>
      </c>
      <c r="K812" s="83" t="s">
        <v>222</v>
      </c>
      <c r="L812" s="83" t="s">
        <v>151</v>
      </c>
      <c r="M812" s="83" t="s">
        <v>169</v>
      </c>
      <c r="N812" s="115" t="s">
        <v>170</v>
      </c>
      <c r="O812" s="98" t="s">
        <v>155</v>
      </c>
      <c r="P812" s="99" t="str">
        <f>IFERROR(__xludf.DUMMYFUNCTION("IFERROR(VLOOKUP(AS812,IMPORTRANGE(""https://docs.google.com/spreadsheets/d/1juPI-Fb8LD0YtltB2mlGEnp_R3UVu1t3wSFPzgCyHXE/edit?gid=0#gid=0"",""GERAL!A2:C""),3,0),""-"")"),"CAMPO")</f>
        <v>CAMPO</v>
      </c>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c r="AR812" s="83"/>
      <c r="AS812" s="83">
        <v>1178850.0</v>
      </c>
    </row>
    <row r="813" ht="15.75" customHeight="1">
      <c r="A813" s="111" t="s">
        <v>914</v>
      </c>
      <c r="B813" s="83" t="s">
        <v>3900</v>
      </c>
      <c r="C813" s="83" t="s">
        <v>164</v>
      </c>
      <c r="D813" s="112">
        <v>1179717.0</v>
      </c>
      <c r="E813" s="83">
        <v>1178849.0</v>
      </c>
      <c r="F813" s="83"/>
      <c r="G813" s="91" t="str">
        <f>IFERROR(__xludf.DUMMYFUNCTION("XLOOKUP(AS813,
IMPORTRANGE(""https://docs.google.com/spreadsheets/d/1YM-djuOLXomrZ9W0B4TyIBsVWnXY4EIOFD9HY-qGfv0/edit?usp=sharing"",""GERAL!BG5:BG""),
IMPORTRANGE(""https://docs.google.com/spreadsheets/d/1YM-djuOLXomrZ9W0B4TyIBsVWnXY4EIOFD9HY-qGfv0/edit?u"&amp;"sp=sharing"",""GERAL!G5:G""),
""CÓD. SEC NÃO ENCONTRADO NA PLANILHA DE MATRÍCULA"")"),"ANEXO- CENTRO REGIONAL DE ENSINO MEDIO COM INTERMEDIACAO TECNOLOGICA-CEMIT - POVOADO DE PITUCI")</f>
        <v>ANEXO- CENTRO REGIONAL DE ENSINO MEDIO COM INTERMEDIACAO TECNOLOGICA-CEMIT - POVOADO DE PITUCI</v>
      </c>
      <c r="H813" s="119" t="s">
        <v>3906</v>
      </c>
      <c r="I813" s="91" t="s">
        <v>3907</v>
      </c>
      <c r="J813" s="83" t="s">
        <v>149</v>
      </c>
      <c r="K813" s="83" t="s">
        <v>822</v>
      </c>
      <c r="L813" s="83" t="s">
        <v>151</v>
      </c>
      <c r="M813" s="83" t="s">
        <v>169</v>
      </c>
      <c r="N813" s="115" t="s">
        <v>170</v>
      </c>
      <c r="O813" s="98" t="s">
        <v>155</v>
      </c>
      <c r="P813" s="99" t="str">
        <f>IFERROR(__xludf.DUMMYFUNCTION("IFERROR(VLOOKUP(AS813,IMPORTRANGE(""https://docs.google.com/spreadsheets/d/1juPI-Fb8LD0YtltB2mlGEnp_R3UVu1t3wSFPzgCyHXE/edit?gid=0#gid=0"",""GERAL!A2:C""),3,0),""-"")"),"CAMPO")</f>
        <v>CAMPO</v>
      </c>
      <c r="Q813" s="83"/>
      <c r="R813" s="83"/>
      <c r="S813" s="83"/>
      <c r="T813" s="83"/>
      <c r="U813" s="83"/>
      <c r="V813" s="83"/>
      <c r="W813" s="83"/>
      <c r="X813" s="83"/>
      <c r="Y813" s="83"/>
      <c r="Z813" s="83"/>
      <c r="AA813" s="83"/>
      <c r="AB813" s="83"/>
      <c r="AC813" s="83"/>
      <c r="AD813" s="83"/>
      <c r="AE813" s="83"/>
      <c r="AF813" s="83"/>
      <c r="AG813" s="83"/>
      <c r="AH813" s="83"/>
      <c r="AI813" s="83"/>
      <c r="AJ813" s="83"/>
      <c r="AK813" s="83"/>
      <c r="AL813" s="83"/>
      <c r="AM813" s="83"/>
      <c r="AN813" s="83"/>
      <c r="AO813" s="83"/>
      <c r="AP813" s="83"/>
      <c r="AQ813" s="83"/>
      <c r="AR813" s="83"/>
      <c r="AS813" s="83">
        <v>1178849.0</v>
      </c>
    </row>
    <row r="814" ht="15.75" customHeight="1">
      <c r="A814" s="111" t="s">
        <v>914</v>
      </c>
      <c r="B814" s="83" t="s">
        <v>3900</v>
      </c>
      <c r="C814" s="83" t="s">
        <v>164</v>
      </c>
      <c r="D814" s="112">
        <v>1179717.0</v>
      </c>
      <c r="E814" s="83">
        <v>1178847.0</v>
      </c>
      <c r="F814" s="83"/>
      <c r="G814" s="91" t="str">
        <f>IFERROR(__xludf.DUMMYFUNCTION("XLOOKUP(AS814,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DISTRITO DE JUREMA")</f>
        <v>ANEXO - CENTRO REGIONAL DE ENSINO MEDIO COM INTERMEDIACAO TECNOLOGICA-CEMIT - DISTRITO DE JUREMA</v>
      </c>
      <c r="H814" s="119" t="s">
        <v>3914</v>
      </c>
      <c r="I814" s="91" t="s">
        <v>3915</v>
      </c>
      <c r="J814" s="83" t="s">
        <v>149</v>
      </c>
      <c r="K814" s="83" t="s">
        <v>244</v>
      </c>
      <c r="L814" s="83" t="s">
        <v>168</v>
      </c>
      <c r="M814" s="83" t="s">
        <v>169</v>
      </c>
      <c r="N814" s="115" t="s">
        <v>170</v>
      </c>
      <c r="O814" s="98" t="s">
        <v>155</v>
      </c>
      <c r="P814" s="99" t="str">
        <f>IFERROR(__xludf.DUMMYFUNCTION("IFERROR(VLOOKUP(AS814,IMPORTRANGE(""https://docs.google.com/spreadsheets/d/1juPI-Fb8LD0YtltB2mlGEnp_R3UVu1t3wSFPzgCyHXE/edit?gid=0#gid=0"",""GERAL!A2:C""),3,0),""-"")"),"CAMPO")</f>
        <v>CAMPO</v>
      </c>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c r="AR814" s="83"/>
      <c r="AS814" s="83">
        <v>1178847.0</v>
      </c>
    </row>
    <row r="815" ht="15.75" customHeight="1">
      <c r="A815" s="111" t="s">
        <v>914</v>
      </c>
      <c r="B815" s="83" t="s">
        <v>3900</v>
      </c>
      <c r="C815" s="83" t="s">
        <v>164</v>
      </c>
      <c r="D815" s="112">
        <v>1179717.0</v>
      </c>
      <c r="E815" s="83">
        <v>1178846.0</v>
      </c>
      <c r="F815" s="83"/>
      <c r="G815" s="91" t="str">
        <f>IFERROR(__xludf.DUMMYFUNCTION("XLOOKUP(AS815,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 POVOADO CASTANHAO - COMUNIDADE QUILOMBOLA")</f>
        <v>ANEXO - CENTRO REGIONAL DE ENSINO MEDIO COM INTERMEDIACAO TECNOLOGICA POVOADO CASTANHAO - COMUNIDADE QUILOMBOLA</v>
      </c>
      <c r="H815" s="119" t="s">
        <v>3916</v>
      </c>
      <c r="I815" s="91" t="s">
        <v>3917</v>
      </c>
      <c r="J815" s="83" t="s">
        <v>149</v>
      </c>
      <c r="K815" s="83" t="s">
        <v>240</v>
      </c>
      <c r="L815" s="83" t="s">
        <v>168</v>
      </c>
      <c r="M815" s="83" t="s">
        <v>169</v>
      </c>
      <c r="N815" s="115" t="s">
        <v>170</v>
      </c>
      <c r="O815" s="98" t="s">
        <v>155</v>
      </c>
      <c r="P815" s="99" t="str">
        <f>IFERROR(__xludf.DUMMYFUNCTION("IFERROR(VLOOKUP(AS815,IMPORTRANGE(""https://docs.google.com/spreadsheets/d/1juPI-Fb8LD0YtltB2mlGEnp_R3UVu1t3wSFPzgCyHXE/edit?gid=0#gid=0"",""GERAL!A2:C""),3,0),""-"")"),"QUILOMBOLAS")</f>
        <v>QUILOMBOLAS</v>
      </c>
      <c r="Q815" s="83"/>
      <c r="R815" s="83"/>
      <c r="S815" s="83"/>
      <c r="T815" s="83"/>
      <c r="U815" s="83"/>
      <c r="V815" s="83"/>
      <c r="W815" s="83"/>
      <c r="X815" s="83"/>
      <c r="Y815" s="83"/>
      <c r="Z815" s="83"/>
      <c r="AA815" s="83"/>
      <c r="AB815" s="83"/>
      <c r="AC815" s="83"/>
      <c r="AD815" s="83"/>
      <c r="AE815" s="83"/>
      <c r="AF815" s="83"/>
      <c r="AG815" s="83"/>
      <c r="AH815" s="83"/>
      <c r="AI815" s="83"/>
      <c r="AJ815" s="83"/>
      <c r="AK815" s="83"/>
      <c r="AL815" s="83"/>
      <c r="AM815" s="83"/>
      <c r="AN815" s="83"/>
      <c r="AO815" s="83"/>
      <c r="AP815" s="83"/>
      <c r="AQ815" s="83"/>
      <c r="AR815" s="83"/>
      <c r="AS815" s="83">
        <v>1178846.0</v>
      </c>
    </row>
    <row r="816" ht="15.75" customHeight="1">
      <c r="A816" s="111" t="s">
        <v>914</v>
      </c>
      <c r="B816" s="83" t="s">
        <v>3900</v>
      </c>
      <c r="C816" s="83" t="s">
        <v>164</v>
      </c>
      <c r="D816" s="112">
        <v>1179717.0</v>
      </c>
      <c r="E816" s="83">
        <v>1178848.0</v>
      </c>
      <c r="F816" s="83"/>
      <c r="G816" s="91" t="str">
        <f>IFERROR(__xludf.DUMMYFUNCTION("XLOOKUP(AS816,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 - DISTRITO DE ALVINOPOLIS")</f>
        <v>ANEXO - CENTRO REGIONAL DE ENSINO MEDIO COM INTERMEDIACAO TECNOLOGICA - DISTRITO DE ALVINOPOLIS</v>
      </c>
      <c r="H816" s="119" t="s">
        <v>3922</v>
      </c>
      <c r="I816" s="91" t="s">
        <v>3923</v>
      </c>
      <c r="J816" s="83" t="s">
        <v>149</v>
      </c>
      <c r="K816" s="83" t="s">
        <v>222</v>
      </c>
      <c r="L816" s="83" t="s">
        <v>168</v>
      </c>
      <c r="M816" s="83" t="s">
        <v>169</v>
      </c>
      <c r="N816" s="115" t="s">
        <v>170</v>
      </c>
      <c r="O816" s="98" t="s">
        <v>155</v>
      </c>
      <c r="P816" s="99" t="str">
        <f>IFERROR(__xludf.DUMMYFUNCTION("IFERROR(VLOOKUP(AS816,IMPORTRANGE(""https://docs.google.com/spreadsheets/d/1juPI-Fb8LD0YtltB2mlGEnp_R3UVu1t3wSFPzgCyHXE/edit?gid=0#gid=0"",""GERAL!A2:C""),3,0),""-"")"),"CAMPO")</f>
        <v>CAMPO</v>
      </c>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c r="AR816" s="83"/>
      <c r="AS816" s="83">
        <v>1178848.0</v>
      </c>
    </row>
    <row r="817" ht="15.75" customHeight="1">
      <c r="A817" s="111" t="s">
        <v>914</v>
      </c>
      <c r="B817" s="83" t="s">
        <v>3924</v>
      </c>
      <c r="C817" s="83" t="s">
        <v>45</v>
      </c>
      <c r="D817" s="112">
        <v>1178390.0</v>
      </c>
      <c r="E817" s="83"/>
      <c r="F817" s="83">
        <v>2.9981727E7</v>
      </c>
      <c r="G817" s="91" t="str">
        <f>IFERROR(__xludf.DUMMYFUNCTION("XLOOKUP(AS817,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MACAUBAS")</f>
        <v>ESCOLA FAMILIA AGRICOLA DE MACAUBAS</v>
      </c>
      <c r="H817" s="185" t="s">
        <v>3925</v>
      </c>
      <c r="I817" s="91" t="s">
        <v>3927</v>
      </c>
      <c r="J817" s="83" t="s">
        <v>149</v>
      </c>
      <c r="K817" s="115" t="s">
        <v>150</v>
      </c>
      <c r="L817" s="83" t="s">
        <v>171</v>
      </c>
      <c r="M817" s="83" t="s">
        <v>169</v>
      </c>
      <c r="N817" s="98" t="s">
        <v>3928</v>
      </c>
      <c r="O817" s="98" t="s">
        <v>155</v>
      </c>
      <c r="P817" s="99" t="str">
        <f>IFERROR(__xludf.DUMMYFUNCTION("IFERROR(VLOOKUP(AS817,IMPORTRANGE(""https://docs.google.com/spreadsheets/d/1juPI-Fb8LD0YtltB2mlGEnp_R3UVu1t3wSFPzgCyHXE/edit?gid=0#gid=0"",""GERAL!A2:C""),3,0),""-"")"),"EFA")</f>
        <v>EFA</v>
      </c>
      <c r="Q817" s="98" t="s">
        <v>171</v>
      </c>
      <c r="R817" s="98">
        <v>4.0</v>
      </c>
      <c r="S817" s="98">
        <v>0.0</v>
      </c>
      <c r="T817" s="98">
        <v>0.0</v>
      </c>
      <c r="U817" s="98">
        <v>0.0</v>
      </c>
      <c r="V817" s="98">
        <v>1.0</v>
      </c>
      <c r="W817" s="98">
        <v>4.0</v>
      </c>
      <c r="X817" s="98">
        <v>1.0</v>
      </c>
      <c r="Y817" s="98">
        <v>0.0</v>
      </c>
      <c r="Z817" s="98">
        <v>0.0</v>
      </c>
      <c r="AA817" s="98">
        <v>0.0</v>
      </c>
      <c r="AB817" s="98">
        <v>0.0</v>
      </c>
      <c r="AC817" s="98">
        <v>1.0</v>
      </c>
      <c r="AD817" s="98">
        <v>0.0</v>
      </c>
      <c r="AE817" s="98">
        <v>0.0</v>
      </c>
      <c r="AF817" s="98">
        <v>0.0</v>
      </c>
      <c r="AG817" s="98">
        <v>0.0</v>
      </c>
      <c r="AH817" s="98">
        <v>0.0</v>
      </c>
      <c r="AI817" s="98">
        <v>1.0</v>
      </c>
      <c r="AJ817" s="98">
        <v>0.0</v>
      </c>
      <c r="AK817" s="98">
        <v>0.0</v>
      </c>
      <c r="AL817" s="98">
        <v>0.0</v>
      </c>
      <c r="AM817" s="98">
        <v>0.0</v>
      </c>
      <c r="AN817" s="98">
        <v>0.0</v>
      </c>
      <c r="AO817" s="98">
        <v>0.0</v>
      </c>
      <c r="AP817" s="98">
        <v>0.0</v>
      </c>
      <c r="AQ817" s="98" t="s">
        <v>3929</v>
      </c>
      <c r="AR817" s="102">
        <v>46226.0</v>
      </c>
      <c r="AS817" s="83">
        <v>1178390.0</v>
      </c>
    </row>
    <row r="818" ht="15.75" customHeight="1">
      <c r="A818" s="375" t="s">
        <v>914</v>
      </c>
      <c r="B818" s="189" t="s">
        <v>3924</v>
      </c>
      <c r="C818" s="83" t="s">
        <v>68</v>
      </c>
      <c r="D818" s="208">
        <v>1128088.0</v>
      </c>
      <c r="E818" s="189"/>
      <c r="F818" s="189">
        <v>2.9209439E7</v>
      </c>
      <c r="G818" s="91" t="str">
        <f>IFERROR(__xludf.DUMMYFUNCTION("XLOOKUP(AS818,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CONEGO FIRMINO SOARES")</f>
        <v>COLÉGIO ESTADUAL CONEGO FIRMINO SOARES</v>
      </c>
      <c r="H818" s="376" t="s">
        <v>3931</v>
      </c>
      <c r="I818" s="91" t="s">
        <v>3932</v>
      </c>
      <c r="J818" s="189" t="s">
        <v>149</v>
      </c>
      <c r="K818" s="189" t="s">
        <v>150</v>
      </c>
      <c r="L818" s="189" t="s">
        <v>151</v>
      </c>
      <c r="M818" s="189" t="s">
        <v>76</v>
      </c>
      <c r="N818" s="98" t="s">
        <v>3933</v>
      </c>
      <c r="O818" s="98" t="s">
        <v>155</v>
      </c>
      <c r="P818" s="99" t="str">
        <f>IFERROR(__xludf.DUMMYFUNCTION("IFERROR(VLOOKUP(AS818,IMPORTRANGE(""https://docs.google.com/spreadsheets/d/1juPI-Fb8LD0YtltB2mlGEnp_R3UVu1t3wSFPzgCyHXE/edit?gid=0#gid=0"",""GERAL!A2:C""),3,0),""-"")"),"-")</f>
        <v>-</v>
      </c>
      <c r="Q818" s="101" t="s">
        <v>156</v>
      </c>
      <c r="R818" s="98">
        <v>7.0</v>
      </c>
      <c r="S818" s="98">
        <v>1.0</v>
      </c>
      <c r="T818" s="98">
        <v>0.0</v>
      </c>
      <c r="U818" s="98">
        <v>0.0</v>
      </c>
      <c r="V818" s="98">
        <v>0.0</v>
      </c>
      <c r="W818" s="98">
        <v>0.0</v>
      </c>
      <c r="X818" s="98">
        <v>0.0</v>
      </c>
      <c r="Y818" s="98">
        <v>0.0</v>
      </c>
      <c r="Z818" s="98">
        <v>0.0</v>
      </c>
      <c r="AA818" s="98">
        <v>0.0</v>
      </c>
      <c r="AB818" s="98">
        <v>0.0</v>
      </c>
      <c r="AC818" s="98">
        <v>0.0</v>
      </c>
      <c r="AD818" s="98">
        <v>0.0</v>
      </c>
      <c r="AE818" s="98">
        <v>0.0</v>
      </c>
      <c r="AF818" s="98">
        <v>0.0</v>
      </c>
      <c r="AG818" s="98">
        <v>1.0</v>
      </c>
      <c r="AH818" s="98">
        <v>0.0</v>
      </c>
      <c r="AI818" s="98">
        <v>0.0</v>
      </c>
      <c r="AJ818" s="98">
        <v>0.0</v>
      </c>
      <c r="AK818" s="98">
        <v>0.0</v>
      </c>
      <c r="AL818" s="98">
        <v>0.0</v>
      </c>
      <c r="AM818" s="98">
        <v>0.0</v>
      </c>
      <c r="AN818" s="98">
        <v>0.0</v>
      </c>
      <c r="AO818" s="98">
        <v>0.0</v>
      </c>
      <c r="AP818" s="98">
        <v>2.0</v>
      </c>
      <c r="AQ818" s="98" t="s">
        <v>3939</v>
      </c>
      <c r="AR818" s="102">
        <v>46226.0</v>
      </c>
      <c r="AS818" s="83">
        <v>1128088.0</v>
      </c>
    </row>
    <row r="819" ht="15.75" customHeight="1">
      <c r="A819" s="111" t="s">
        <v>914</v>
      </c>
      <c r="B819" s="83" t="s">
        <v>3924</v>
      </c>
      <c r="C819" s="83" t="s">
        <v>68</v>
      </c>
      <c r="D819" s="112">
        <v>1128177.0</v>
      </c>
      <c r="E819" s="83"/>
      <c r="F819" s="83">
        <v>2.9208297E7</v>
      </c>
      <c r="G819" s="91" t="str">
        <f>IFERROR(__xludf.DUMMYFUNCTION("XLOOKUP(AS819,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DA BACIA DO PARAMIRIM")</f>
        <v>CENTRO TERRITORIAL DE EDUCACAO PROFISSIONAL DA BACIA DO PARAMIRIM</v>
      </c>
      <c r="H819" s="185" t="s">
        <v>3940</v>
      </c>
      <c r="I819" s="91" t="s">
        <v>3941</v>
      </c>
      <c r="J819" s="189" t="s">
        <v>149</v>
      </c>
      <c r="K819" s="83" t="s">
        <v>150</v>
      </c>
      <c r="L819" s="83" t="s">
        <v>151</v>
      </c>
      <c r="M819" s="189" t="s">
        <v>230</v>
      </c>
      <c r="N819" s="98" t="s">
        <v>3942</v>
      </c>
      <c r="O819" s="98" t="s">
        <v>284</v>
      </c>
      <c r="P819" s="99" t="str">
        <f>IFERROR(__xludf.DUMMYFUNCTION("IFERROR(VLOOKUP(AS819,IMPORTRANGE(""https://docs.google.com/spreadsheets/d/1juPI-Fb8LD0YtltB2mlGEnp_R3UVu1t3wSFPzgCyHXE/edit?gid=0#gid=0"",""GERAL!A2:C""),3,0),""-"")"),"-")</f>
        <v>-</v>
      </c>
      <c r="Q819" s="101" t="s">
        <v>156</v>
      </c>
      <c r="R819" s="98">
        <v>25.0</v>
      </c>
      <c r="S819" s="98">
        <v>1.0</v>
      </c>
      <c r="T819" s="98">
        <v>1.0</v>
      </c>
      <c r="U819" s="98">
        <v>0.0</v>
      </c>
      <c r="V819" s="98">
        <v>1.0</v>
      </c>
      <c r="W819" s="98">
        <v>1.0</v>
      </c>
      <c r="X819" s="98">
        <v>0.0</v>
      </c>
      <c r="Y819" s="98">
        <v>0.0</v>
      </c>
      <c r="Z819" s="98">
        <v>1.0</v>
      </c>
      <c r="AA819" s="98">
        <v>0.0</v>
      </c>
      <c r="AB819" s="98">
        <v>1.0</v>
      </c>
      <c r="AC819" s="98">
        <v>0.0</v>
      </c>
      <c r="AD819" s="98">
        <v>0.0</v>
      </c>
      <c r="AE819" s="98">
        <v>0.0</v>
      </c>
      <c r="AF819" s="98">
        <v>1.0</v>
      </c>
      <c r="AG819" s="98">
        <v>0.0</v>
      </c>
      <c r="AH819" s="98">
        <v>0.0</v>
      </c>
      <c r="AI819" s="98">
        <v>0.0</v>
      </c>
      <c r="AJ819" s="98">
        <v>0.0</v>
      </c>
      <c r="AK819" s="98">
        <v>1.0</v>
      </c>
      <c r="AL819" s="98">
        <v>0.0</v>
      </c>
      <c r="AM819" s="98">
        <v>0.0</v>
      </c>
      <c r="AN819" s="98">
        <v>0.0</v>
      </c>
      <c r="AO819" s="98">
        <v>0.0</v>
      </c>
      <c r="AP819" s="98">
        <v>0.0</v>
      </c>
      <c r="AQ819" s="98" t="s">
        <v>3948</v>
      </c>
      <c r="AR819" s="102">
        <v>46226.0</v>
      </c>
      <c r="AS819" s="83">
        <v>1128177.0</v>
      </c>
    </row>
    <row r="820" ht="15.75" customHeight="1">
      <c r="A820" s="81" t="s">
        <v>914</v>
      </c>
      <c r="B820" s="82" t="s">
        <v>3924</v>
      </c>
      <c r="C820" s="82" t="s">
        <v>68</v>
      </c>
      <c r="D820" s="112">
        <v>1179717.0</v>
      </c>
      <c r="E820" s="82"/>
      <c r="F820" s="82">
        <v>2.9483395E7</v>
      </c>
      <c r="G820" s="91" t="str">
        <f>IFERROR(__xludf.DUMMYFUNCTION("XLOOKUP(AS820,
IMPORTRANGE(""https://docs.google.com/spreadsheets/d/1YM-djuOLXomrZ9W0B4TyIBsVWnXY4EIOFD9HY-qGfv0/edit?usp=sharing"",""GERAL!BG5:BG""),
IMPORTRANGE(""https://docs.google.com/spreadsheets/d/1YM-djuOLXomrZ9W0B4TyIBsVWnXY4EIOFD9HY-qGfv0/edit?u"&amp;"sp=sharing"",""GERAL!G5:G""),
""CÓD. SEC NÃO ENCONTRADO NA PLANILHA DE MATRÍCULA"")"),"CENTRO REGIONAL DE ENSINO MEDIO COM INTERMEDIACAO TECNOLOGICA-CEMIT BACIA DO PARAMIRIM")</f>
        <v>CENTRO REGIONAL DE ENSINO MEDIO COM INTERMEDIACAO TECNOLOGICA-CEMIT BACIA DO PARAMIRIM</v>
      </c>
      <c r="H820" s="91" t="s">
        <v>3949</v>
      </c>
      <c r="I820" s="91" t="s">
        <v>3950</v>
      </c>
      <c r="J820" s="382" t="s">
        <v>149</v>
      </c>
      <c r="K820" s="94" t="s">
        <v>150</v>
      </c>
      <c r="L820" s="82" t="s">
        <v>151</v>
      </c>
      <c r="M820" s="82" t="s">
        <v>230</v>
      </c>
      <c r="N820" s="98" t="s">
        <v>3951</v>
      </c>
      <c r="O820" s="98" t="s">
        <v>155</v>
      </c>
      <c r="P820" s="99" t="str">
        <f>IFERROR(__xludf.DUMMYFUNCTION("IFERROR(VLOOKUP(AS820,IMPORTRANGE(""https://docs.google.com/spreadsheets/d/1juPI-Fb8LD0YtltB2mlGEnp_R3UVu1t3wSFPzgCyHXE/edit?gid=0#gid=0"",""GERAL!A2:C""),3,0),""-"")"),"-")</f>
        <v>-</v>
      </c>
      <c r="Q820" s="98" t="s">
        <v>171</v>
      </c>
      <c r="R820" s="98" t="s">
        <v>171</v>
      </c>
      <c r="S820" s="98" t="s">
        <v>171</v>
      </c>
      <c r="T820" s="98" t="s">
        <v>171</v>
      </c>
      <c r="U820" s="98" t="s">
        <v>171</v>
      </c>
      <c r="V820" s="98" t="s">
        <v>171</v>
      </c>
      <c r="W820" s="98" t="s">
        <v>171</v>
      </c>
      <c r="X820" s="98" t="s">
        <v>171</v>
      </c>
      <c r="Y820" s="98" t="s">
        <v>171</v>
      </c>
      <c r="Z820" s="98" t="s">
        <v>171</v>
      </c>
      <c r="AA820" s="98" t="s">
        <v>171</v>
      </c>
      <c r="AB820" s="98" t="s">
        <v>171</v>
      </c>
      <c r="AC820" s="98" t="s">
        <v>171</v>
      </c>
      <c r="AD820" s="98" t="s">
        <v>171</v>
      </c>
      <c r="AE820" s="98" t="s">
        <v>171</v>
      </c>
      <c r="AF820" s="98" t="s">
        <v>171</v>
      </c>
      <c r="AG820" s="98" t="s">
        <v>171</v>
      </c>
      <c r="AH820" s="98" t="s">
        <v>171</v>
      </c>
      <c r="AI820" s="98"/>
      <c r="AJ820" s="98" t="s">
        <v>171</v>
      </c>
      <c r="AK820" s="98" t="s">
        <v>171</v>
      </c>
      <c r="AL820" s="98" t="s">
        <v>171</v>
      </c>
      <c r="AM820" s="98" t="s">
        <v>171</v>
      </c>
      <c r="AN820" s="98" t="s">
        <v>171</v>
      </c>
      <c r="AO820" s="98" t="s">
        <v>171</v>
      </c>
      <c r="AP820" s="98" t="s">
        <v>171</v>
      </c>
      <c r="AQ820" s="98" t="s">
        <v>171</v>
      </c>
      <c r="AR820" s="102">
        <v>46226.0</v>
      </c>
      <c r="AS820" s="83">
        <v>1179717.0</v>
      </c>
    </row>
    <row r="821" ht="15.75" customHeight="1">
      <c r="A821" s="111" t="s">
        <v>914</v>
      </c>
      <c r="B821" s="83" t="s">
        <v>3924</v>
      </c>
      <c r="C821" s="83" t="s">
        <v>164</v>
      </c>
      <c r="D821" s="112">
        <v>1179717.0</v>
      </c>
      <c r="E821" s="83">
        <v>1178853.0</v>
      </c>
      <c r="F821" s="83"/>
      <c r="G821" s="91" t="str">
        <f>IFERROR(__xludf.DUMMYFUNCTION("XLOOKUP(AS821,
IMPORTRANGE(""https://docs.google.com/spreadsheets/d/1YM-djuOLXomrZ9W0B4TyIBsVWnXY4EIOFD9HY-qGfv0/edit?usp=sharing"",""GERAL!BG5:BG""),
IMPORTRANGE(""https://docs.google.com/spreadsheets/d/1YM-djuOLXomrZ9W0B4TyIBsVWnXY4EIOFD9HY-qGfv0/edit?u"&amp;"sp=sharing"",""GERAL!G5:G""),
""CÓD. SEC NÃO ENCONTRADO NA PLANILHA DE MATRÍCULA"")"),"ANEXO-CENTRO REGIONAL DE ENSINO MEDIO COM INTERMEDIACAO TECNOLOGICA-DISTRITO DE SANTA TEREZINHA")</f>
        <v>ANEXO-CENTRO REGIONAL DE ENSINO MEDIO COM INTERMEDIACAO TECNOLOGICA-DISTRITO DE SANTA TEREZINHA</v>
      </c>
      <c r="H821" s="184" t="s">
        <v>3953</v>
      </c>
      <c r="I821" s="91" t="s">
        <v>3954</v>
      </c>
      <c r="J821" s="83" t="s">
        <v>149</v>
      </c>
      <c r="K821" s="83" t="s">
        <v>464</v>
      </c>
      <c r="L821" s="83" t="s">
        <v>168</v>
      </c>
      <c r="M821" s="83" t="s">
        <v>169</v>
      </c>
      <c r="N821" s="115" t="s">
        <v>170</v>
      </c>
      <c r="O821" s="98" t="s">
        <v>155</v>
      </c>
      <c r="P821" s="99" t="str">
        <f>IFERROR(__xludf.DUMMYFUNCTION("IFERROR(VLOOKUP(AS821,IMPORTRANGE(""https://docs.google.com/spreadsheets/d/1juPI-Fb8LD0YtltB2mlGEnp_R3UVu1t3wSFPzgCyHXE/edit?gid=0#gid=0"",""GERAL!A2:C""),3,0),""-"")"),"CAMPO")</f>
        <v>CAMPO</v>
      </c>
      <c r="Q821" s="98" t="s">
        <v>171</v>
      </c>
      <c r="R821" s="98" t="s">
        <v>171</v>
      </c>
      <c r="S821" s="98" t="s">
        <v>171</v>
      </c>
      <c r="T821" s="98" t="s">
        <v>171</v>
      </c>
      <c r="U821" s="98" t="s">
        <v>171</v>
      </c>
      <c r="V821" s="98" t="s">
        <v>171</v>
      </c>
      <c r="W821" s="98" t="s">
        <v>171</v>
      </c>
      <c r="X821" s="98" t="s">
        <v>171</v>
      </c>
      <c r="Y821" s="98" t="s">
        <v>171</v>
      </c>
      <c r="Z821" s="98" t="s">
        <v>171</v>
      </c>
      <c r="AA821" s="98" t="s">
        <v>171</v>
      </c>
      <c r="AB821" s="98" t="s">
        <v>171</v>
      </c>
      <c r="AC821" s="98" t="s">
        <v>171</v>
      </c>
      <c r="AD821" s="98" t="s">
        <v>171</v>
      </c>
      <c r="AE821" s="98" t="s">
        <v>171</v>
      </c>
      <c r="AF821" s="98" t="s">
        <v>171</v>
      </c>
      <c r="AG821" s="98" t="s">
        <v>171</v>
      </c>
      <c r="AH821" s="98" t="s">
        <v>171</v>
      </c>
      <c r="AI821" s="98"/>
      <c r="AJ821" s="98" t="s">
        <v>171</v>
      </c>
      <c r="AK821" s="98" t="s">
        <v>171</v>
      </c>
      <c r="AL821" s="98" t="s">
        <v>171</v>
      </c>
      <c r="AM821" s="98" t="s">
        <v>171</v>
      </c>
      <c r="AN821" s="98" t="s">
        <v>171</v>
      </c>
      <c r="AO821" s="98" t="s">
        <v>171</v>
      </c>
      <c r="AP821" s="98" t="s">
        <v>171</v>
      </c>
      <c r="AQ821" s="98" t="s">
        <v>171</v>
      </c>
      <c r="AR821" s="102">
        <v>46226.0</v>
      </c>
      <c r="AS821" s="83">
        <v>1178853.0</v>
      </c>
    </row>
    <row r="822" ht="15.75" customHeight="1">
      <c r="A822" s="111" t="s">
        <v>914</v>
      </c>
      <c r="B822" s="83" t="s">
        <v>3924</v>
      </c>
      <c r="C822" s="83" t="s">
        <v>164</v>
      </c>
      <c r="D822" s="112">
        <v>1179717.0</v>
      </c>
      <c r="E822" s="83">
        <v>1179149.0</v>
      </c>
      <c r="F822" s="83"/>
      <c r="G822" s="91" t="str">
        <f>IFERROR(__xludf.DUMMYFUNCTION("XLOOKUP(AS822,
IMPORTRANGE(""https://docs.google.com/spreadsheets/d/1YM-djuOLXomrZ9W0B4TyIBsVWnXY4EIOFD9HY-qGfv0/edit?usp=sharing"",""GERAL!BG5:BG""),
IMPORTRANGE(""https://docs.google.com/spreadsheets/d/1YM-djuOLXomrZ9W0B4TyIBsVWnXY4EIOFD9HY-qGfv0/edit?u"&amp;"sp=sharing"",""GERAL!G5:G""),
""CÓD. SEC NÃO ENCONTRADO NA PLANILHA DE MATRÍCULA"")"),"ANEXO-CENTRO REGIONAL DE ENSINO MEDIO COM INTERMEDIACAO TECNOLOGICA-CEMIT-DISTRITO BARRA DE CIMA")</f>
        <v>ANEXO-CENTRO REGIONAL DE ENSINO MEDIO COM INTERMEDIACAO TECNOLOGICA-CEMIT-DISTRITO BARRA DE CIMA</v>
      </c>
      <c r="H822" s="184" t="s">
        <v>3959</v>
      </c>
      <c r="I822" s="91" t="s">
        <v>3961</v>
      </c>
      <c r="J822" s="83" t="s">
        <v>149</v>
      </c>
      <c r="K822" s="83" t="s">
        <v>244</v>
      </c>
      <c r="L822" s="83" t="s">
        <v>168</v>
      </c>
      <c r="M822" s="83" t="s">
        <v>169</v>
      </c>
      <c r="N822" s="115" t="s">
        <v>170</v>
      </c>
      <c r="O822" s="98" t="s">
        <v>155</v>
      </c>
      <c r="P822" s="99" t="str">
        <f>IFERROR(__xludf.DUMMYFUNCTION("IFERROR(VLOOKUP(AS822,IMPORTRANGE(""https://docs.google.com/spreadsheets/d/1juPI-Fb8LD0YtltB2mlGEnp_R3UVu1t3wSFPzgCyHXE/edit?gid=0#gid=0"",""GERAL!A2:C""),3,0),""-"")"),"CAMPO")</f>
        <v>CAMPO</v>
      </c>
      <c r="Q822" s="98" t="s">
        <v>171</v>
      </c>
      <c r="R822" s="98" t="s">
        <v>171</v>
      </c>
      <c r="S822" s="98" t="s">
        <v>171</v>
      </c>
      <c r="T822" s="98" t="s">
        <v>171</v>
      </c>
      <c r="U822" s="98" t="s">
        <v>171</v>
      </c>
      <c r="V822" s="98" t="s">
        <v>171</v>
      </c>
      <c r="W822" s="98" t="s">
        <v>171</v>
      </c>
      <c r="X822" s="98" t="s">
        <v>171</v>
      </c>
      <c r="Y822" s="98" t="s">
        <v>171</v>
      </c>
      <c r="Z822" s="98" t="s">
        <v>171</v>
      </c>
      <c r="AA822" s="98" t="s">
        <v>171</v>
      </c>
      <c r="AB822" s="98" t="s">
        <v>171</v>
      </c>
      <c r="AC822" s="98" t="s">
        <v>171</v>
      </c>
      <c r="AD822" s="98" t="s">
        <v>171</v>
      </c>
      <c r="AE822" s="98" t="s">
        <v>171</v>
      </c>
      <c r="AF822" s="98" t="s">
        <v>171</v>
      </c>
      <c r="AG822" s="98" t="s">
        <v>171</v>
      </c>
      <c r="AH822" s="98" t="s">
        <v>171</v>
      </c>
      <c r="AI822" s="98"/>
      <c r="AJ822" s="98" t="s">
        <v>171</v>
      </c>
      <c r="AK822" s="98" t="s">
        <v>171</v>
      </c>
      <c r="AL822" s="98" t="s">
        <v>171</v>
      </c>
      <c r="AM822" s="98" t="s">
        <v>171</v>
      </c>
      <c r="AN822" s="98" t="s">
        <v>171</v>
      </c>
      <c r="AO822" s="98" t="s">
        <v>171</v>
      </c>
      <c r="AP822" s="98" t="s">
        <v>171</v>
      </c>
      <c r="AQ822" s="98" t="s">
        <v>171</v>
      </c>
      <c r="AR822" s="102">
        <v>46226.0</v>
      </c>
      <c r="AS822" s="83">
        <v>1179149.0</v>
      </c>
    </row>
    <row r="823" ht="15.75" customHeight="1">
      <c r="A823" s="111" t="s">
        <v>914</v>
      </c>
      <c r="B823" s="83" t="s">
        <v>3924</v>
      </c>
      <c r="C823" s="83" t="s">
        <v>164</v>
      </c>
      <c r="D823" s="112">
        <v>1179717.0</v>
      </c>
      <c r="E823" s="83">
        <v>1178851.0</v>
      </c>
      <c r="F823" s="83"/>
      <c r="G823" s="91" t="str">
        <f>IFERROR(__xludf.DUMMYFUNCTION("XLOOKUP(AS823,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DISTRITO DE LAGOA CLARA")</f>
        <v>ANEXO - CENTRO REGIONAL DE ENSINO MEDIO COM INTERMEDIACAO TECNOLOGICA-CEMIT DISTRITO DE LAGOA CLARA</v>
      </c>
      <c r="H823" s="184" t="s">
        <v>3963</v>
      </c>
      <c r="I823" s="91" t="s">
        <v>3964</v>
      </c>
      <c r="J823" s="83" t="s">
        <v>149</v>
      </c>
      <c r="K823" s="83" t="s">
        <v>456</v>
      </c>
      <c r="L823" s="83" t="s">
        <v>168</v>
      </c>
      <c r="M823" s="83" t="s">
        <v>169</v>
      </c>
      <c r="N823" s="115" t="s">
        <v>170</v>
      </c>
      <c r="O823" s="98" t="s">
        <v>155</v>
      </c>
      <c r="P823" s="99" t="str">
        <f>IFERROR(__xludf.DUMMYFUNCTION("IFERROR(VLOOKUP(AS823,IMPORTRANGE(""https://docs.google.com/spreadsheets/d/1juPI-Fb8LD0YtltB2mlGEnp_R3UVu1t3wSFPzgCyHXE/edit?gid=0#gid=0"",""GERAL!A2:C""),3,0),""-"")"),"CAMPO")</f>
        <v>CAMPO</v>
      </c>
      <c r="Q823" s="98" t="s">
        <v>171</v>
      </c>
      <c r="R823" s="98" t="s">
        <v>171</v>
      </c>
      <c r="S823" s="98" t="s">
        <v>171</v>
      </c>
      <c r="T823" s="98" t="s">
        <v>171</v>
      </c>
      <c r="U823" s="98" t="s">
        <v>171</v>
      </c>
      <c r="V823" s="98" t="s">
        <v>171</v>
      </c>
      <c r="W823" s="98" t="s">
        <v>171</v>
      </c>
      <c r="X823" s="98" t="s">
        <v>171</v>
      </c>
      <c r="Y823" s="98" t="s">
        <v>171</v>
      </c>
      <c r="Z823" s="98" t="s">
        <v>171</v>
      </c>
      <c r="AA823" s="98" t="s">
        <v>171</v>
      </c>
      <c r="AB823" s="98" t="s">
        <v>171</v>
      </c>
      <c r="AC823" s="98" t="s">
        <v>171</v>
      </c>
      <c r="AD823" s="98" t="s">
        <v>171</v>
      </c>
      <c r="AE823" s="98" t="s">
        <v>171</v>
      </c>
      <c r="AF823" s="98" t="s">
        <v>171</v>
      </c>
      <c r="AG823" s="98" t="s">
        <v>171</v>
      </c>
      <c r="AH823" s="98" t="s">
        <v>171</v>
      </c>
      <c r="AI823" s="98"/>
      <c r="AJ823" s="98" t="s">
        <v>171</v>
      </c>
      <c r="AK823" s="98" t="s">
        <v>171</v>
      </c>
      <c r="AL823" s="98" t="s">
        <v>171</v>
      </c>
      <c r="AM823" s="98" t="s">
        <v>171</v>
      </c>
      <c r="AN823" s="98" t="s">
        <v>171</v>
      </c>
      <c r="AO823" s="98" t="s">
        <v>171</v>
      </c>
      <c r="AP823" s="98" t="s">
        <v>171</v>
      </c>
      <c r="AQ823" s="98" t="s">
        <v>171</v>
      </c>
      <c r="AR823" s="102">
        <v>46226.0</v>
      </c>
      <c r="AS823" s="83">
        <v>1178851.0</v>
      </c>
    </row>
    <row r="824" ht="15.75" customHeight="1">
      <c r="A824" s="111" t="s">
        <v>914</v>
      </c>
      <c r="B824" s="83" t="s">
        <v>3924</v>
      </c>
      <c r="C824" s="83" t="s">
        <v>164</v>
      </c>
      <c r="D824" s="112">
        <v>1179717.0</v>
      </c>
      <c r="E824" s="83">
        <v>1178852.0</v>
      </c>
      <c r="F824" s="83"/>
      <c r="G824" s="91" t="str">
        <f>IFERROR(__xludf.DUMMYFUNCTION("XLOOKUP(AS824,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DISTRITO DE CANATIBA")</f>
        <v>ANEXO - CENTRO REGIONAL DE ENSINO MEDIO COM INTERMEDIACAO TECNOLOGICA-CEMIT - DISTRITO DE CANATIBA</v>
      </c>
      <c r="H824" s="184" t="s">
        <v>3965</v>
      </c>
      <c r="I824" s="91" t="s">
        <v>3966</v>
      </c>
      <c r="J824" s="83" t="s">
        <v>149</v>
      </c>
      <c r="K824" s="83" t="s">
        <v>1074</v>
      </c>
      <c r="L824" s="83" t="s">
        <v>151</v>
      </c>
      <c r="M824" s="83" t="s">
        <v>169</v>
      </c>
      <c r="N824" s="115" t="s">
        <v>170</v>
      </c>
      <c r="O824" s="98" t="s">
        <v>155</v>
      </c>
      <c r="P824" s="99" t="str">
        <f>IFERROR(__xludf.DUMMYFUNCTION("IFERROR(VLOOKUP(AS824,IMPORTRANGE(""https://docs.google.com/spreadsheets/d/1juPI-Fb8LD0YtltB2mlGEnp_R3UVu1t3wSFPzgCyHXE/edit?gid=0#gid=0"",""GERAL!A2:C""),3,0),""-"")"),"CAMPO")</f>
        <v>CAMPO</v>
      </c>
      <c r="Q824" s="98" t="s">
        <v>171</v>
      </c>
      <c r="R824" s="98" t="s">
        <v>171</v>
      </c>
      <c r="S824" s="98" t="s">
        <v>171</v>
      </c>
      <c r="T824" s="98" t="s">
        <v>171</v>
      </c>
      <c r="U824" s="98" t="s">
        <v>171</v>
      </c>
      <c r="V824" s="98" t="s">
        <v>171</v>
      </c>
      <c r="W824" s="98" t="s">
        <v>171</v>
      </c>
      <c r="X824" s="98" t="s">
        <v>171</v>
      </c>
      <c r="Y824" s="98" t="s">
        <v>171</v>
      </c>
      <c r="Z824" s="98" t="s">
        <v>171</v>
      </c>
      <c r="AA824" s="98" t="s">
        <v>171</v>
      </c>
      <c r="AB824" s="98" t="s">
        <v>171</v>
      </c>
      <c r="AC824" s="98" t="s">
        <v>171</v>
      </c>
      <c r="AD824" s="98" t="s">
        <v>171</v>
      </c>
      <c r="AE824" s="98" t="s">
        <v>171</v>
      </c>
      <c r="AF824" s="98" t="s">
        <v>171</v>
      </c>
      <c r="AG824" s="98" t="s">
        <v>171</v>
      </c>
      <c r="AH824" s="98" t="s">
        <v>171</v>
      </c>
      <c r="AI824" s="98"/>
      <c r="AJ824" s="98" t="s">
        <v>171</v>
      </c>
      <c r="AK824" s="98" t="s">
        <v>171</v>
      </c>
      <c r="AL824" s="98" t="s">
        <v>171</v>
      </c>
      <c r="AM824" s="98" t="s">
        <v>171</v>
      </c>
      <c r="AN824" s="98" t="s">
        <v>171</v>
      </c>
      <c r="AO824" s="98" t="s">
        <v>171</v>
      </c>
      <c r="AP824" s="98" t="s">
        <v>171</v>
      </c>
      <c r="AQ824" s="98" t="s">
        <v>171</v>
      </c>
      <c r="AR824" s="102">
        <v>46226.0</v>
      </c>
      <c r="AS824" s="83">
        <v>1178852.0</v>
      </c>
    </row>
    <row r="825" ht="15.75" customHeight="1">
      <c r="A825" s="111" t="s">
        <v>914</v>
      </c>
      <c r="B825" s="83" t="s">
        <v>3968</v>
      </c>
      <c r="C825" s="83" t="s">
        <v>45</v>
      </c>
      <c r="D825" s="98">
        <v>1179762.0</v>
      </c>
      <c r="E825" s="83"/>
      <c r="F825" s="83">
        <v>2.9379938E7</v>
      </c>
      <c r="G825" s="91" t="str">
        <f>IFERROR(__xludf.DUMMYFUNCTION("XLOOKUP(AS825,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PARAMIRIM")</f>
        <v>ESCOLA FAMILIA AGRICOLA DE PARAMIRIM</v>
      </c>
      <c r="H825" s="185" t="s">
        <v>3976</v>
      </c>
      <c r="I825" s="91" t="s">
        <v>3977</v>
      </c>
      <c r="J825" s="83" t="s">
        <v>149</v>
      </c>
      <c r="K825" s="83" t="s">
        <v>150</v>
      </c>
      <c r="L825" s="83" t="s">
        <v>151</v>
      </c>
      <c r="M825" s="83" t="s">
        <v>152</v>
      </c>
      <c r="N825" s="98" t="s">
        <v>3978</v>
      </c>
      <c r="O825" s="98" t="s">
        <v>155</v>
      </c>
      <c r="P825" s="99" t="str">
        <f>IFERROR(__xludf.DUMMYFUNCTION("IFERROR(VLOOKUP(AS825,IMPORTRANGE(""https://docs.google.com/spreadsheets/d/1juPI-Fb8LD0YtltB2mlGEnp_R3UVu1t3wSFPzgCyHXE/edit?gid=0#gid=0"",""GERAL!A2:C""),3,0),""-"")"),"EFA")</f>
        <v>EFA</v>
      </c>
      <c r="Q825" s="98" t="s">
        <v>171</v>
      </c>
      <c r="R825" s="98">
        <v>4.0</v>
      </c>
      <c r="S825" s="98">
        <v>0.0</v>
      </c>
      <c r="T825" s="98">
        <v>0.0</v>
      </c>
      <c r="U825" s="98">
        <v>0.0</v>
      </c>
      <c r="V825" s="98">
        <v>0.0</v>
      </c>
      <c r="W825" s="98">
        <v>1.0</v>
      </c>
      <c r="X825" s="98">
        <v>0.0</v>
      </c>
      <c r="Y825" s="98">
        <v>0.0</v>
      </c>
      <c r="Z825" s="98">
        <v>0.0</v>
      </c>
      <c r="AA825" s="98">
        <v>0.0</v>
      </c>
      <c r="AB825" s="98">
        <v>0.0</v>
      </c>
      <c r="AC825" s="98">
        <v>1.0</v>
      </c>
      <c r="AD825" s="98">
        <v>0.0</v>
      </c>
      <c r="AE825" s="98">
        <v>0.0</v>
      </c>
      <c r="AF825" s="98">
        <v>0.0</v>
      </c>
      <c r="AG825" s="98">
        <v>0.0</v>
      </c>
      <c r="AH825" s="98">
        <v>0.0</v>
      </c>
      <c r="AI825" s="98">
        <v>0.0</v>
      </c>
      <c r="AJ825" s="98">
        <v>0.0</v>
      </c>
      <c r="AK825" s="98">
        <v>0.0</v>
      </c>
      <c r="AL825" s="98">
        <v>0.0</v>
      </c>
      <c r="AM825" s="98">
        <v>0.0</v>
      </c>
      <c r="AN825" s="98">
        <v>0.0</v>
      </c>
      <c r="AO825" s="98">
        <v>0.0</v>
      </c>
      <c r="AP825" s="98">
        <v>0.0</v>
      </c>
      <c r="AQ825" s="98" t="s">
        <v>3979</v>
      </c>
      <c r="AR825" s="102">
        <v>46226.0</v>
      </c>
      <c r="AS825" s="98">
        <v>1179762.0</v>
      </c>
    </row>
    <row r="826" ht="15.75" customHeight="1">
      <c r="A826" s="111" t="s">
        <v>914</v>
      </c>
      <c r="B826" s="83" t="s">
        <v>3968</v>
      </c>
      <c r="C826" s="83" t="s">
        <v>68</v>
      </c>
      <c r="D826" s="112">
        <v>1127731.0</v>
      </c>
      <c r="E826" s="83"/>
      <c r="F826" s="83">
        <v>2.9239354E7</v>
      </c>
      <c r="G826" s="91" t="str">
        <f>IFERROR(__xludf.DUMMYFUNCTION("XLOOKUP(AS826,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PARAMIRIM")</f>
        <v>COLÉGIO ESTADUAL DE PARAMIRIM</v>
      </c>
      <c r="H826" s="184" t="s">
        <v>3980</v>
      </c>
      <c r="I826" s="91" t="s">
        <v>3981</v>
      </c>
      <c r="J826" s="83" t="s">
        <v>149</v>
      </c>
      <c r="K826" s="83" t="s">
        <v>150</v>
      </c>
      <c r="L826" s="83" t="s">
        <v>151</v>
      </c>
      <c r="M826" s="83" t="s">
        <v>152</v>
      </c>
      <c r="N826" s="98" t="s">
        <v>3983</v>
      </c>
      <c r="O826" s="98" t="s">
        <v>155</v>
      </c>
      <c r="P826" s="99" t="str">
        <f>IFERROR(__xludf.DUMMYFUNCTION("IFERROR(VLOOKUP(AS826,IMPORTRANGE(""https://docs.google.com/spreadsheets/d/1juPI-Fb8LD0YtltB2mlGEnp_R3UVu1t3wSFPzgCyHXE/edit?gid=0#gid=0"",""GERAL!A2:C""),3,0),""-"")"),"-")</f>
        <v>-</v>
      </c>
      <c r="Q826" s="101" t="s">
        <v>156</v>
      </c>
      <c r="R826" s="98">
        <v>8.0</v>
      </c>
      <c r="S826" s="98">
        <v>0.0</v>
      </c>
      <c r="T826" s="98">
        <v>0.0</v>
      </c>
      <c r="U826" s="98">
        <v>0.0</v>
      </c>
      <c r="V826" s="98">
        <v>0.0</v>
      </c>
      <c r="W826" s="98">
        <v>0.0</v>
      </c>
      <c r="X826" s="98">
        <v>0.0</v>
      </c>
      <c r="Y826" s="98">
        <v>0.0</v>
      </c>
      <c r="Z826" s="98">
        <v>0.0</v>
      </c>
      <c r="AA826" s="98">
        <v>0.0</v>
      </c>
      <c r="AB826" s="98">
        <v>0.0</v>
      </c>
      <c r="AC826" s="98">
        <v>0.0</v>
      </c>
      <c r="AD826" s="98">
        <v>0.0</v>
      </c>
      <c r="AE826" s="98">
        <v>0.0</v>
      </c>
      <c r="AF826" s="98">
        <v>0.0</v>
      </c>
      <c r="AG826" s="98">
        <v>1.0</v>
      </c>
      <c r="AH826" s="98">
        <v>0.0</v>
      </c>
      <c r="AI826" s="98">
        <v>0.0</v>
      </c>
      <c r="AJ826" s="98">
        <v>0.0</v>
      </c>
      <c r="AK826" s="98">
        <v>0.0</v>
      </c>
      <c r="AL826" s="98">
        <v>0.0</v>
      </c>
      <c r="AM826" s="98">
        <v>0.0</v>
      </c>
      <c r="AN826" s="98">
        <v>0.0</v>
      </c>
      <c r="AO826" s="98">
        <v>0.0</v>
      </c>
      <c r="AP826" s="98">
        <v>1.0</v>
      </c>
      <c r="AQ826" s="98" t="s">
        <v>3990</v>
      </c>
      <c r="AR826" s="102">
        <v>46226.0</v>
      </c>
      <c r="AS826" s="83">
        <v>1127731.0</v>
      </c>
    </row>
    <row r="827" ht="15.75" customHeight="1">
      <c r="A827" s="111" t="s">
        <v>914</v>
      </c>
      <c r="B827" s="83" t="s">
        <v>3968</v>
      </c>
      <c r="C827" s="83" t="s">
        <v>164</v>
      </c>
      <c r="D827" s="112">
        <v>1127731.0</v>
      </c>
      <c r="E827" s="83">
        <v>1178855.0</v>
      </c>
      <c r="F827" s="83"/>
      <c r="G827" s="91" t="str">
        <f>IFERROR(__xludf.DUMMYFUNCTION("XLOOKUP(AS827,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PARAMIRIM - DISTRITO DE CARAIBAS")</f>
        <v>ANEXO - COLÉGIO ESTADUAL DE PARAMIRIM - DISTRITO DE CARAIBAS</v>
      </c>
      <c r="H827" s="184" t="s">
        <v>3991</v>
      </c>
      <c r="I827" s="91" t="s">
        <v>3992</v>
      </c>
      <c r="J827" s="83" t="s">
        <v>149</v>
      </c>
      <c r="K827" s="83" t="s">
        <v>209</v>
      </c>
      <c r="L827" s="83" t="s">
        <v>168</v>
      </c>
      <c r="M827" s="83" t="s">
        <v>169</v>
      </c>
      <c r="N827" s="115" t="s">
        <v>170</v>
      </c>
      <c r="O827" s="98" t="s">
        <v>155</v>
      </c>
      <c r="P827" s="99" t="str">
        <f>IFERROR(__xludf.DUMMYFUNCTION("IFERROR(VLOOKUP(AS827,IMPORTRANGE(""https://docs.google.com/spreadsheets/d/1juPI-Fb8LD0YtltB2mlGEnp_R3UVu1t3wSFPzgCyHXE/edit?gid=0#gid=0"",""GERAL!A2:C""),3,0),""-"")"),"CAMPO")</f>
        <v>CAMPO</v>
      </c>
      <c r="Q827" s="98" t="s">
        <v>171</v>
      </c>
      <c r="R827" s="98">
        <v>3.0</v>
      </c>
      <c r="S827" s="98" t="s">
        <v>171</v>
      </c>
      <c r="T827" s="98" t="s">
        <v>171</v>
      </c>
      <c r="U827" s="98" t="s">
        <v>171</v>
      </c>
      <c r="V827" s="98" t="s">
        <v>171</v>
      </c>
      <c r="W827" s="98" t="s">
        <v>171</v>
      </c>
      <c r="X827" s="98" t="s">
        <v>171</v>
      </c>
      <c r="Y827" s="98" t="s">
        <v>171</v>
      </c>
      <c r="Z827" s="98" t="s">
        <v>171</v>
      </c>
      <c r="AA827" s="98" t="s">
        <v>171</v>
      </c>
      <c r="AB827" s="98" t="s">
        <v>171</v>
      </c>
      <c r="AC827" s="98" t="s">
        <v>171</v>
      </c>
      <c r="AD827" s="98" t="s">
        <v>171</v>
      </c>
      <c r="AE827" s="98" t="s">
        <v>171</v>
      </c>
      <c r="AF827" s="98" t="s">
        <v>171</v>
      </c>
      <c r="AG827" s="98" t="s">
        <v>171</v>
      </c>
      <c r="AH827" s="98" t="s">
        <v>171</v>
      </c>
      <c r="AI827" s="98" t="s">
        <v>171</v>
      </c>
      <c r="AJ827" s="98" t="s">
        <v>171</v>
      </c>
      <c r="AK827" s="98" t="s">
        <v>171</v>
      </c>
      <c r="AL827" s="98" t="s">
        <v>171</v>
      </c>
      <c r="AM827" s="98" t="s">
        <v>171</v>
      </c>
      <c r="AN827" s="98" t="s">
        <v>171</v>
      </c>
      <c r="AO827" s="98" t="s">
        <v>171</v>
      </c>
      <c r="AP827" s="98" t="s">
        <v>171</v>
      </c>
      <c r="AQ827" s="98" t="s">
        <v>171</v>
      </c>
      <c r="AR827" s="102">
        <v>46226.0</v>
      </c>
      <c r="AS827" s="83">
        <v>1178855.0</v>
      </c>
    </row>
    <row r="828" ht="15.75" customHeight="1">
      <c r="A828" s="111" t="s">
        <v>914</v>
      </c>
      <c r="B828" s="83" t="s">
        <v>4001</v>
      </c>
      <c r="C828" s="83" t="s">
        <v>68</v>
      </c>
      <c r="D828" s="112">
        <v>1127707.0</v>
      </c>
      <c r="E828" s="83"/>
      <c r="F828" s="83">
        <v>2.9240131E7</v>
      </c>
      <c r="G828" s="91" t="str">
        <f>IFERROR(__xludf.DUMMYFUNCTION("XLOOKUP(AS828,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PAULO VI")</f>
        <v>COLÉGIO ESTADUAL PAULO VI</v>
      </c>
      <c r="H828" s="119" t="s">
        <v>4002</v>
      </c>
      <c r="I828" s="91" t="s">
        <v>4003</v>
      </c>
      <c r="J828" s="136" t="s">
        <v>149</v>
      </c>
      <c r="K828" s="136" t="s">
        <v>150</v>
      </c>
      <c r="L828" s="83" t="s">
        <v>151</v>
      </c>
      <c r="M828" s="98" t="s">
        <v>76</v>
      </c>
      <c r="N828" s="98" t="s">
        <v>4004</v>
      </c>
      <c r="O828" s="98" t="s">
        <v>155</v>
      </c>
      <c r="P828" s="99" t="str">
        <f>IFERROR(__xludf.DUMMYFUNCTION("IFERROR(VLOOKUP(AS828,IMPORTRANGE(""https://docs.google.com/spreadsheets/d/1juPI-Fb8LD0YtltB2mlGEnp_R3UVu1t3wSFPzgCyHXE/edit?gid=0#gid=0"",""GERAL!A2:C""),3,0),""-"")"),"-")</f>
        <v>-</v>
      </c>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c r="AR828" s="83"/>
      <c r="AS828" s="83">
        <v>1127707.0</v>
      </c>
    </row>
    <row r="829" ht="15.75" customHeight="1">
      <c r="A829" s="111" t="s">
        <v>914</v>
      </c>
      <c r="B829" s="83" t="s">
        <v>4001</v>
      </c>
      <c r="C829" s="83" t="s">
        <v>68</v>
      </c>
      <c r="D829" s="112">
        <v>1127634.0</v>
      </c>
      <c r="E829" s="83"/>
      <c r="F829" s="83">
        <v>2.924053E7</v>
      </c>
      <c r="G829" s="91" t="str">
        <f>IFERROR(__xludf.DUMMYFUNCTION("XLOOKUP(AS829,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IBIAJARA - DISTRITO DE IBIAJARA")</f>
        <v>COLÉGIO ESTADUAL DO CAMPO DE IBIAJARA - DISTRITO DE IBIAJARA</v>
      </c>
      <c r="H829" s="119" t="s">
        <v>4005</v>
      </c>
      <c r="I829" s="91" t="s">
        <v>4006</v>
      </c>
      <c r="J829" s="136" t="s">
        <v>149</v>
      </c>
      <c r="K829" s="136" t="s">
        <v>784</v>
      </c>
      <c r="L829" s="83" t="s">
        <v>151</v>
      </c>
      <c r="M829" s="83" t="s">
        <v>169</v>
      </c>
      <c r="N829" s="98" t="s">
        <v>4007</v>
      </c>
      <c r="O829" s="98" t="s">
        <v>155</v>
      </c>
      <c r="P829" s="99" t="str">
        <f>IFERROR(__xludf.DUMMYFUNCTION("IFERROR(VLOOKUP(AS829,IMPORTRANGE(""https://docs.google.com/spreadsheets/d/1juPI-Fb8LD0YtltB2mlGEnp_R3UVu1t3wSFPzgCyHXE/edit?gid=0#gid=0"",""GERAL!A2:C""),3,0),""-"")"),"CAMPO")</f>
        <v>CAMPO</v>
      </c>
      <c r="Q829" s="83"/>
      <c r="R829" s="83"/>
      <c r="S829" s="83"/>
      <c r="T829" s="83"/>
      <c r="U829" s="83"/>
      <c r="V829" s="83"/>
      <c r="W829" s="83"/>
      <c r="X829" s="83"/>
      <c r="Y829" s="83"/>
      <c r="Z829" s="83"/>
      <c r="AA829" s="83"/>
      <c r="AB829" s="83"/>
      <c r="AC829" s="83"/>
      <c r="AD829" s="83"/>
      <c r="AE829" s="83"/>
      <c r="AF829" s="83"/>
      <c r="AG829" s="83"/>
      <c r="AH829" s="83"/>
      <c r="AI829" s="83"/>
      <c r="AJ829" s="83"/>
      <c r="AK829" s="83"/>
      <c r="AL829" s="83"/>
      <c r="AM829" s="83"/>
      <c r="AN829" s="83"/>
      <c r="AO829" s="83"/>
      <c r="AP829" s="83"/>
      <c r="AQ829" s="83"/>
      <c r="AR829" s="83"/>
      <c r="AS829" s="83">
        <v>1127634.0</v>
      </c>
    </row>
    <row r="830" ht="15.75" customHeight="1">
      <c r="A830" s="111" t="s">
        <v>914</v>
      </c>
      <c r="B830" s="83" t="s">
        <v>4001</v>
      </c>
      <c r="C830" s="83" t="s">
        <v>164</v>
      </c>
      <c r="D830" s="112">
        <v>1179717.0</v>
      </c>
      <c r="E830" s="83">
        <v>1178856.0</v>
      </c>
      <c r="F830" s="83"/>
      <c r="G830" s="91" t="str">
        <f>IFERROR(__xludf.DUMMYFUNCTION("XLOOKUP(AS830,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DISTRITO DE VARZINHA")</f>
        <v>ANEXO - CENTRO REGIONAL DE ENSINO MEDIO COM INTERMEDIACAO TECNOLOGICA-CEMIT - DISTRITO DE VARZINHA</v>
      </c>
      <c r="H830" s="119" t="s">
        <v>4008</v>
      </c>
      <c r="I830" s="91" t="s">
        <v>4009</v>
      </c>
      <c r="J830" s="136" t="s">
        <v>149</v>
      </c>
      <c r="K830" s="136" t="s">
        <v>315</v>
      </c>
      <c r="L830" s="83" t="s">
        <v>151</v>
      </c>
      <c r="M830" s="83" t="s">
        <v>169</v>
      </c>
      <c r="N830" s="115" t="s">
        <v>170</v>
      </c>
      <c r="O830" s="98" t="s">
        <v>155</v>
      </c>
      <c r="P830" s="99" t="str">
        <f>IFERROR(__xludf.DUMMYFUNCTION("IFERROR(VLOOKUP(AS830,IMPORTRANGE(""https://docs.google.com/spreadsheets/d/1juPI-Fb8LD0YtltB2mlGEnp_R3UVu1t3wSFPzgCyHXE/edit?gid=0#gid=0"",""GERAL!A2:C""),3,0),""-"")"),"CAMPO")</f>
        <v>CAMPO</v>
      </c>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c r="AR830" s="83"/>
      <c r="AS830" s="83">
        <v>1178856.0</v>
      </c>
    </row>
    <row r="831" ht="15.75" customHeight="1">
      <c r="A831" s="111" t="s">
        <v>914</v>
      </c>
      <c r="B831" s="83" t="s">
        <v>4001</v>
      </c>
      <c r="C831" s="83" t="s">
        <v>164</v>
      </c>
      <c r="D831" s="112">
        <v>1179717.0</v>
      </c>
      <c r="E831" s="83">
        <v>1179162.0</v>
      </c>
      <c r="F831" s="83"/>
      <c r="G831" s="91" t="str">
        <f>IFERROR(__xludf.DUMMYFUNCTION("XLOOKUP(AS831,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REGIONAL DE ENSINO MEDIO COM INTERMEDIACAO TECNOLOGICA-CEMIT - DISTRITO DE CURRALINHO")</f>
        <v>ANEXO - CENTRO REGIONAL DE ENSINO MEDIO COM INTERMEDIACAO TECNOLOGICA-CEMIT - DISTRITO DE CURRALINHO</v>
      </c>
      <c r="H831" s="119" t="s">
        <v>4010</v>
      </c>
      <c r="I831" s="91" t="s">
        <v>4011</v>
      </c>
      <c r="J831" s="136" t="s">
        <v>149</v>
      </c>
      <c r="K831" s="136" t="s">
        <v>183</v>
      </c>
      <c r="L831" s="83" t="s">
        <v>151</v>
      </c>
      <c r="M831" s="83" t="s">
        <v>169</v>
      </c>
      <c r="N831" s="115" t="s">
        <v>170</v>
      </c>
      <c r="O831" s="98" t="s">
        <v>155</v>
      </c>
      <c r="P831" s="99" t="str">
        <f>IFERROR(__xludf.DUMMYFUNCTION("IFERROR(VLOOKUP(AS831,IMPORTRANGE(""https://docs.google.com/spreadsheets/d/1juPI-Fb8LD0YtltB2mlGEnp_R3UVu1t3wSFPzgCyHXE/edit?gid=0#gid=0"",""GERAL!A2:C""),3,0),""-"")"),"CAMPO")</f>
        <v>CAMPO</v>
      </c>
      <c r="Q831" s="83"/>
      <c r="R831" s="83"/>
      <c r="S831" s="83"/>
      <c r="T831" s="83"/>
      <c r="U831" s="83"/>
      <c r="V831" s="83"/>
      <c r="W831" s="83"/>
      <c r="X831" s="83"/>
      <c r="Y831" s="83"/>
      <c r="Z831" s="83"/>
      <c r="AA831" s="83"/>
      <c r="AB831" s="83"/>
      <c r="AC831" s="83"/>
      <c r="AD831" s="83"/>
      <c r="AE831" s="83"/>
      <c r="AF831" s="83"/>
      <c r="AG831" s="83"/>
      <c r="AH831" s="83"/>
      <c r="AI831" s="83"/>
      <c r="AJ831" s="83"/>
      <c r="AK831" s="83"/>
      <c r="AL831" s="83"/>
      <c r="AM831" s="83"/>
      <c r="AN831" s="83"/>
      <c r="AO831" s="83"/>
      <c r="AP831" s="83"/>
      <c r="AQ831" s="83"/>
      <c r="AR831" s="83"/>
      <c r="AS831" s="83">
        <v>1179162.0</v>
      </c>
    </row>
    <row r="832" ht="15.75" customHeight="1">
      <c r="A832" s="111" t="s">
        <v>973</v>
      </c>
      <c r="B832" s="83" t="s">
        <v>2038</v>
      </c>
      <c r="C832" s="83" t="s">
        <v>68</v>
      </c>
      <c r="D832" s="112">
        <v>1123817.0</v>
      </c>
      <c r="E832" s="83"/>
      <c r="F832" s="83">
        <v>2.9256089E7</v>
      </c>
      <c r="G832" s="91" t="str">
        <f>IFERROR(__xludf.DUMMYFUNCTION("XLOOKUP(AS832,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BRUMADO")</f>
        <v>COLÉGIO ESTADUAL DE TEMPO INTEGRAL DE BRUMADO</v>
      </c>
      <c r="H832" s="119" t="s">
        <v>4012</v>
      </c>
      <c r="I832" s="108" t="s">
        <v>4013</v>
      </c>
      <c r="J832" s="136" t="s">
        <v>149</v>
      </c>
      <c r="K832" s="83" t="s">
        <v>150</v>
      </c>
      <c r="L832" s="83" t="s">
        <v>151</v>
      </c>
      <c r="M832" s="83" t="s">
        <v>230</v>
      </c>
      <c r="N832" s="98" t="s">
        <v>4014</v>
      </c>
      <c r="O832" s="98" t="s">
        <v>162</v>
      </c>
      <c r="P832" s="99" t="str">
        <f>IFERROR(__xludf.DUMMYFUNCTION("IFERROR(VLOOKUP(AS832,IMPORTRANGE(""https://docs.google.com/spreadsheets/d/1juPI-Fb8LD0YtltB2mlGEnp_R3UVu1t3wSFPzgCyHXE/edit?gid=0#gid=0"",""GERAL!A2:C""),3,0),""-"")"),"-")</f>
        <v>-</v>
      </c>
      <c r="Q832" s="101" t="s">
        <v>156</v>
      </c>
      <c r="R832" s="98">
        <v>24.0</v>
      </c>
      <c r="S832" s="98">
        <v>1.0</v>
      </c>
      <c r="T832" s="98">
        <v>2.0</v>
      </c>
      <c r="U832" s="98">
        <v>0.0</v>
      </c>
      <c r="V832" s="98">
        <v>1.0</v>
      </c>
      <c r="W832" s="98">
        <v>2.0</v>
      </c>
      <c r="X832" s="98">
        <v>1.0</v>
      </c>
      <c r="Y832" s="98">
        <v>0.0</v>
      </c>
      <c r="Z832" s="98">
        <v>1.0</v>
      </c>
      <c r="AA832" s="98">
        <v>0.0</v>
      </c>
      <c r="AB832" s="98">
        <v>1.0</v>
      </c>
      <c r="AC832" s="98">
        <v>0.0</v>
      </c>
      <c r="AD832" s="98">
        <v>1.0</v>
      </c>
      <c r="AE832" s="98">
        <v>0.0</v>
      </c>
      <c r="AF832" s="98">
        <v>0.0</v>
      </c>
      <c r="AG832" s="98">
        <v>0.0</v>
      </c>
      <c r="AH832" s="98">
        <v>1.0</v>
      </c>
      <c r="AI832" s="98">
        <v>0.0</v>
      </c>
      <c r="AJ832" s="98">
        <v>0.0</v>
      </c>
      <c r="AK832" s="98">
        <v>1.0</v>
      </c>
      <c r="AL832" s="98">
        <v>0.0</v>
      </c>
      <c r="AM832" s="98">
        <v>0.0</v>
      </c>
      <c r="AN832" s="98">
        <v>0.0</v>
      </c>
      <c r="AO832" s="98">
        <v>1.0</v>
      </c>
      <c r="AP832" s="98">
        <v>0.0</v>
      </c>
      <c r="AQ832" s="98" t="s">
        <v>4022</v>
      </c>
      <c r="AR832" s="102">
        <v>46216.0</v>
      </c>
      <c r="AS832" s="83">
        <v>1123817.0</v>
      </c>
    </row>
    <row r="833" ht="15.75" customHeight="1">
      <c r="A833" s="111" t="s">
        <v>973</v>
      </c>
      <c r="B833" s="83" t="s">
        <v>2038</v>
      </c>
      <c r="C833" s="83" t="s">
        <v>68</v>
      </c>
      <c r="D833" s="112">
        <v>1176430.0</v>
      </c>
      <c r="E833" s="83"/>
      <c r="F833" s="83">
        <v>2.9392365E7</v>
      </c>
      <c r="G833" s="91" t="str">
        <f>IFERROR(__xludf.DUMMYFUNCTION("XLOOKUP(AS833,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EM GESTAO E MEIO AMBIENTE")</f>
        <v>CENTRO ESTADUAL DE EDUCACAO PROFISSIONAL EM GESTAO E MEIO AMBIENTE</v>
      </c>
      <c r="H833" s="114" t="s">
        <v>4023</v>
      </c>
      <c r="I833" s="91" t="s">
        <v>4024</v>
      </c>
      <c r="J833" s="136" t="s">
        <v>149</v>
      </c>
      <c r="K833" s="83" t="s">
        <v>150</v>
      </c>
      <c r="L833" s="83" t="s">
        <v>151</v>
      </c>
      <c r="M833" s="83" t="s">
        <v>230</v>
      </c>
      <c r="N833" s="98" t="s">
        <v>4025</v>
      </c>
      <c r="O833" s="98" t="s">
        <v>155</v>
      </c>
      <c r="P833" s="99" t="str">
        <f>IFERROR(__xludf.DUMMYFUNCTION("IFERROR(VLOOKUP(AS833,IMPORTRANGE(""https://docs.google.com/spreadsheets/d/1juPI-Fb8LD0YtltB2mlGEnp_R3UVu1t3wSFPzgCyHXE/edit?gid=0#gid=0"",""GERAL!A2:C""),3,0),""-"")"),"-")</f>
        <v>-</v>
      </c>
      <c r="Q833" s="101" t="s">
        <v>156</v>
      </c>
      <c r="R833" s="98">
        <v>16.0</v>
      </c>
      <c r="S833" s="98">
        <v>0.0</v>
      </c>
      <c r="T833" s="98">
        <v>0.0</v>
      </c>
      <c r="U833" s="98">
        <v>0.0</v>
      </c>
      <c r="V833" s="98">
        <v>0.0</v>
      </c>
      <c r="W833" s="98">
        <v>0.0</v>
      </c>
      <c r="X833" s="98">
        <v>0.0</v>
      </c>
      <c r="Y833" s="98">
        <v>0.0</v>
      </c>
      <c r="Z833" s="98">
        <v>0.0</v>
      </c>
      <c r="AA833" s="98">
        <v>1.0</v>
      </c>
      <c r="AB833" s="98">
        <v>0.0</v>
      </c>
      <c r="AC833" s="98">
        <v>1.0</v>
      </c>
      <c r="AD833" s="98">
        <v>0.0</v>
      </c>
      <c r="AE833" s="98">
        <v>0.0</v>
      </c>
      <c r="AF833" s="98">
        <v>0.0</v>
      </c>
      <c r="AG833" s="98">
        <v>1.0</v>
      </c>
      <c r="AH833" s="98">
        <v>0.0</v>
      </c>
      <c r="AI833" s="98">
        <v>0.0</v>
      </c>
      <c r="AJ833" s="98">
        <v>0.0</v>
      </c>
      <c r="AK833" s="98">
        <v>0.0</v>
      </c>
      <c r="AL833" s="98">
        <v>0.0</v>
      </c>
      <c r="AM833" s="98">
        <v>0.0</v>
      </c>
      <c r="AN833" s="98">
        <v>0.0</v>
      </c>
      <c r="AO833" s="98">
        <v>0.0</v>
      </c>
      <c r="AP833" s="98">
        <v>4.0</v>
      </c>
      <c r="AQ833" s="98" t="s">
        <v>4027</v>
      </c>
      <c r="AR833" s="102">
        <v>46216.0</v>
      </c>
      <c r="AS833" s="83">
        <v>1176430.0</v>
      </c>
    </row>
    <row r="834" ht="15.75" customHeight="1">
      <c r="A834" s="127" t="s">
        <v>973</v>
      </c>
      <c r="B834" s="98" t="s">
        <v>2038</v>
      </c>
      <c r="C834" s="98" t="s">
        <v>164</v>
      </c>
      <c r="D834" s="98">
        <v>1176430.0</v>
      </c>
      <c r="E834" s="98">
        <v>1179834.0</v>
      </c>
      <c r="F834" s="83"/>
      <c r="G834" s="91" t="str">
        <f>IFERROR(__xludf.DUMMYFUNCTION("XLOOKUP(AS834,
IMPORTRANGE(""https://docs.google.com/spreadsheets/d/1YM-djuOLXomrZ9W0B4TyIBsVWnXY4EIOFD9HY-qGfv0/edit?usp=sharing"",""GERAL!BG5:BG""),
IMPORTRANGE(""https://docs.google.com/spreadsheets/d/1YM-djuOLXomrZ9W0B4TyIBsVWnXY4EIOFD9HY-qGfv0/edit?u"&amp;"sp=sharing"",""GERAL!G5:G""),
""CÓD. SEC NÃO ENCONTRADO NA PLANILHA DE MATRÍCULA"")"),"ANEXO AO CEEP EM GESTAO E MEIO AMBIENTE - CONJUNTO PENAL DE BRUMADO ")</f>
        <v>ANEXO AO CEEP EM GESTAO E MEIO AMBIENTE - CONJUNTO PENAL DE BRUMADO </v>
      </c>
      <c r="H834" s="119" t="s">
        <v>4028</v>
      </c>
      <c r="I834" s="108" t="s">
        <v>4029</v>
      </c>
      <c r="J834" s="83"/>
      <c r="K834" s="83"/>
      <c r="L834" s="98" t="s">
        <v>195</v>
      </c>
      <c r="M834" s="83" t="s">
        <v>512</v>
      </c>
      <c r="N834" s="115" t="s">
        <v>170</v>
      </c>
      <c r="O834" s="98"/>
      <c r="P834" s="99" t="str">
        <f>IFERROR(__xludf.DUMMYFUNCTION("IFERROR(VLOOKUP(AS834,IMPORTRANGE(""https://docs.google.com/spreadsheets/d/1juPI-Fb8LD0YtltB2mlGEnp_R3UVu1t3wSFPzgCyHXE/edit?gid=0#gid=0"",""GERAL!A2:C""),3,0),""-"")"),"-")</f>
        <v>-</v>
      </c>
      <c r="Q834" s="98" t="s">
        <v>171</v>
      </c>
      <c r="R834" s="98">
        <v>2.0</v>
      </c>
      <c r="S834" s="98">
        <v>0.0</v>
      </c>
      <c r="T834" s="98">
        <v>0.0</v>
      </c>
      <c r="U834" s="98">
        <v>0.0</v>
      </c>
      <c r="V834" s="98">
        <v>0.0</v>
      </c>
      <c r="W834" s="98">
        <v>0.0</v>
      </c>
      <c r="X834" s="98">
        <v>0.0</v>
      </c>
      <c r="Y834" s="98">
        <v>0.0</v>
      </c>
      <c r="Z834" s="98">
        <v>0.0</v>
      </c>
      <c r="AA834" s="98">
        <v>0.0</v>
      </c>
      <c r="AB834" s="98">
        <v>0.0</v>
      </c>
      <c r="AC834" s="98">
        <v>0.0</v>
      </c>
      <c r="AD834" s="98">
        <v>0.0</v>
      </c>
      <c r="AE834" s="98">
        <v>0.0</v>
      </c>
      <c r="AF834" s="98">
        <v>0.0</v>
      </c>
      <c r="AG834" s="98">
        <v>0.0</v>
      </c>
      <c r="AH834" s="98">
        <v>0.0</v>
      </c>
      <c r="AI834" s="98">
        <v>0.0</v>
      </c>
      <c r="AJ834" s="98">
        <v>0.0</v>
      </c>
      <c r="AK834" s="98">
        <v>0.0</v>
      </c>
      <c r="AL834" s="98">
        <v>0.0</v>
      </c>
      <c r="AM834" s="98">
        <v>0.0</v>
      </c>
      <c r="AN834" s="98">
        <v>0.0</v>
      </c>
      <c r="AO834" s="98">
        <v>0.0</v>
      </c>
      <c r="AP834" s="98">
        <v>0.0</v>
      </c>
      <c r="AQ834" s="98" t="s">
        <v>171</v>
      </c>
      <c r="AR834" s="102">
        <v>46216.0</v>
      </c>
      <c r="AS834" s="98">
        <v>1179834.0</v>
      </c>
    </row>
    <row r="835" ht="15.75" customHeight="1">
      <c r="A835" s="111" t="s">
        <v>973</v>
      </c>
      <c r="B835" s="83" t="s">
        <v>4035</v>
      </c>
      <c r="C835" s="83" t="s">
        <v>45</v>
      </c>
      <c r="D835" s="112">
        <v>1178396.0</v>
      </c>
      <c r="E835" s="83"/>
      <c r="F835" s="83">
        <v>2.9241065E7</v>
      </c>
      <c r="G835" s="91" t="str">
        <f>IFERROR(__xludf.DUMMYFUNCTION("XLOOKUP(AS835,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CACULE - FAZENDA DEUS ME LIVRE")</f>
        <v>ESCOLA FAMILIA AGRICOLA DE CACULE - FAZENDA DEUS ME LIVRE</v>
      </c>
      <c r="H835" s="114" t="s">
        <v>4038</v>
      </c>
      <c r="I835" s="91" t="s">
        <v>4039</v>
      </c>
      <c r="J835" s="83" t="s">
        <v>149</v>
      </c>
      <c r="K835" s="115" t="s">
        <v>4040</v>
      </c>
      <c r="L835" s="83" t="s">
        <v>171</v>
      </c>
      <c r="M835" s="83" t="s">
        <v>169</v>
      </c>
      <c r="N835" s="98" t="s">
        <v>4041</v>
      </c>
      <c r="O835" s="98" t="s">
        <v>155</v>
      </c>
      <c r="P835" s="99" t="str">
        <f>IFERROR(__xludf.DUMMYFUNCTION("IFERROR(VLOOKUP(AS835,IMPORTRANGE(""https://docs.google.com/spreadsheets/d/1juPI-Fb8LD0YtltB2mlGEnp_R3UVu1t3wSFPzgCyHXE/edit?gid=0#gid=0"",""GERAL!A2:C""),3,0),""-"")"),"EFA")</f>
        <v>EFA</v>
      </c>
      <c r="Q835" s="83"/>
      <c r="R835" s="83"/>
      <c r="S835" s="83"/>
      <c r="T835" s="83"/>
      <c r="U835" s="83"/>
      <c r="V835" s="83"/>
      <c r="W835" s="83"/>
      <c r="X835" s="83"/>
      <c r="Y835" s="83"/>
      <c r="Z835" s="83"/>
      <c r="AA835" s="83"/>
      <c r="AB835" s="83"/>
      <c r="AC835" s="83"/>
      <c r="AD835" s="83"/>
      <c r="AE835" s="83"/>
      <c r="AF835" s="83"/>
      <c r="AG835" s="83"/>
      <c r="AH835" s="83"/>
      <c r="AI835" s="83"/>
      <c r="AJ835" s="83"/>
      <c r="AK835" s="83"/>
      <c r="AL835" s="83"/>
      <c r="AM835" s="83"/>
      <c r="AN835" s="83"/>
      <c r="AO835" s="83"/>
      <c r="AP835" s="83"/>
      <c r="AQ835" s="83"/>
      <c r="AR835" s="83"/>
      <c r="AS835" s="83">
        <v>1178396.0</v>
      </c>
    </row>
    <row r="836" ht="15.75" customHeight="1">
      <c r="A836" s="111" t="s">
        <v>973</v>
      </c>
      <c r="B836" s="83" t="s">
        <v>4035</v>
      </c>
      <c r="C836" s="83" t="s">
        <v>68</v>
      </c>
      <c r="D836" s="112">
        <v>1128371.0</v>
      </c>
      <c r="E836" s="83"/>
      <c r="F836" s="83">
        <v>2.9240638E7</v>
      </c>
      <c r="G836" s="91" t="str">
        <f>IFERROR(__xludf.DUMMYFUNCTION("XLOOKUP(AS836,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NORBERTO FERNANDES
(ANTIGO C.E NORBERTO FERNANDES)")</f>
        <v>COLÉGIO ESTADUAL DE TEMPO INTEGRAL NORBERTO FERNANDES
(ANTIGO C.E NORBERTO FERNANDES)</v>
      </c>
      <c r="H836" s="119" t="s">
        <v>4044</v>
      </c>
      <c r="I836" s="91" t="s">
        <v>4046</v>
      </c>
      <c r="J836" s="136" t="s">
        <v>149</v>
      </c>
      <c r="K836" s="83" t="s">
        <v>150</v>
      </c>
      <c r="L836" s="83" t="s">
        <v>151</v>
      </c>
      <c r="M836" s="83" t="s">
        <v>230</v>
      </c>
      <c r="N836" s="98" t="s">
        <v>4049</v>
      </c>
      <c r="O836" s="98" t="s">
        <v>162</v>
      </c>
      <c r="P836" s="99" t="str">
        <f>IFERROR(__xludf.DUMMYFUNCTION("IFERROR(VLOOKUP(AS836,IMPORTRANGE(""https://docs.google.com/spreadsheets/d/1juPI-Fb8LD0YtltB2mlGEnp_R3UVu1t3wSFPzgCyHXE/edit?gid=0#gid=0"",""GERAL!A2:C""),3,0),""-"")"),"-")</f>
        <v>-</v>
      </c>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c r="AR836" s="83"/>
      <c r="AS836" s="83">
        <v>1128371.0</v>
      </c>
    </row>
    <row r="837" ht="15.75" customHeight="1">
      <c r="A837" s="111" t="s">
        <v>973</v>
      </c>
      <c r="B837" s="83" t="s">
        <v>4035</v>
      </c>
      <c r="C837" s="83" t="s">
        <v>164</v>
      </c>
      <c r="D837" s="112">
        <v>1128371.0</v>
      </c>
      <c r="E837" s="83">
        <v>1178232.0</v>
      </c>
      <c r="F837" s="83"/>
      <c r="G837" s="91" t="str">
        <f>IFERROR(__xludf.DUMMYFUNCTION("XLOOKUP(AS837,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NORBERTO FERNANDES - DISTRITO DE VARZEA GRANDE")</f>
        <v>ANEXO - COLÉGIO ESTADUAL NORBERTO FERNANDES - DISTRITO DE VARZEA GRANDE</v>
      </c>
      <c r="H837" s="119" t="s">
        <v>4051</v>
      </c>
      <c r="I837" s="91" t="s">
        <v>4052</v>
      </c>
      <c r="J837" s="136" t="s">
        <v>4053</v>
      </c>
      <c r="K837" s="136" t="s">
        <v>209</v>
      </c>
      <c r="L837" s="136" t="s">
        <v>168</v>
      </c>
      <c r="M837" s="136" t="s">
        <v>169</v>
      </c>
      <c r="N837" s="115" t="s">
        <v>170</v>
      </c>
      <c r="O837" s="98" t="s">
        <v>155</v>
      </c>
      <c r="P837" s="99" t="str">
        <f>IFERROR(__xludf.DUMMYFUNCTION("IFERROR(VLOOKUP(AS837,IMPORTRANGE(""https://docs.google.com/spreadsheets/d/1juPI-Fb8LD0YtltB2mlGEnp_R3UVu1t3wSFPzgCyHXE/edit?gid=0#gid=0"",""GERAL!A2:C""),3,0),""-"")"),"CAMPO")</f>
        <v>CAMPO</v>
      </c>
      <c r="Q837" s="83"/>
      <c r="R837" s="83"/>
      <c r="S837" s="83"/>
      <c r="T837" s="83"/>
      <c r="U837" s="83"/>
      <c r="V837" s="83"/>
      <c r="W837" s="83"/>
      <c r="X837" s="83"/>
      <c r="Y837" s="83"/>
      <c r="Z837" s="83"/>
      <c r="AA837" s="83"/>
      <c r="AB837" s="83"/>
      <c r="AC837" s="83"/>
      <c r="AD837" s="83"/>
      <c r="AE837" s="83"/>
      <c r="AF837" s="83"/>
      <c r="AG837" s="83"/>
      <c r="AH837" s="83"/>
      <c r="AI837" s="83"/>
      <c r="AJ837" s="83"/>
      <c r="AK837" s="83"/>
      <c r="AL837" s="83"/>
      <c r="AM837" s="83"/>
      <c r="AN837" s="83"/>
      <c r="AO837" s="83"/>
      <c r="AP837" s="83"/>
      <c r="AQ837" s="83"/>
      <c r="AR837" s="83"/>
      <c r="AS837" s="83">
        <v>1178232.0</v>
      </c>
    </row>
    <row r="838" ht="15.75" customHeight="1">
      <c r="A838" s="111" t="s">
        <v>973</v>
      </c>
      <c r="B838" s="83" t="s">
        <v>4035</v>
      </c>
      <c r="C838" s="83" t="s">
        <v>164</v>
      </c>
      <c r="D838" s="112">
        <v>1128371.0</v>
      </c>
      <c r="E838" s="98">
        <v>1179842.0</v>
      </c>
      <c r="F838" s="98"/>
      <c r="G838" s="91" t="str">
        <f>IFERROR(__xludf.DUMMYFUNCTION("XLOOKUP(AS838,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NORBERTO FERNANDES - DISTRITO DE  SAO DOMINGOS")</f>
        <v>ANEXO - COLÉGIO ESTADUAL NORBERTO FERNANDES - DISTRITO DE  SAO DOMINGOS</v>
      </c>
      <c r="H838" s="119" t="s">
        <v>4056</v>
      </c>
      <c r="I838" s="108"/>
      <c r="J838" s="115"/>
      <c r="K838" s="83"/>
      <c r="L838" s="136" t="s">
        <v>168</v>
      </c>
      <c r="M838" s="136" t="s">
        <v>169</v>
      </c>
      <c r="N838" s="115" t="s">
        <v>170</v>
      </c>
      <c r="O838" s="98"/>
      <c r="P838" s="99" t="str">
        <f>IFERROR(__xludf.DUMMYFUNCTION("IFERROR(VLOOKUP(AS838,IMPORTRANGE(""https://docs.google.com/spreadsheets/d/1juPI-Fb8LD0YtltB2mlGEnp_R3UVu1t3wSFPzgCyHXE/edit?gid=0#gid=0"",""GERAL!A2:C""),3,0),""-"")"),"-")</f>
        <v>-</v>
      </c>
      <c r="Q838" s="98"/>
      <c r="R838" s="98"/>
      <c r="S838" s="98"/>
      <c r="T838" s="98"/>
      <c r="U838" s="98"/>
      <c r="V838" s="98"/>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v>1179842.0</v>
      </c>
    </row>
    <row r="839" ht="15.75" customHeight="1">
      <c r="A839" s="111" t="s">
        <v>973</v>
      </c>
      <c r="B839" s="83" t="s">
        <v>2170</v>
      </c>
      <c r="C839" s="83" t="s">
        <v>68</v>
      </c>
      <c r="D839" s="98">
        <v>1179778.0</v>
      </c>
      <c r="E839" s="83"/>
      <c r="F839" s="98">
        <v>2.9242231E7</v>
      </c>
      <c r="G839" s="91" t="str">
        <f>IFERROR(__xludf.DUMMYFUNCTION("XLOOKUP(AS839,
IMPORTRANGE(""https://docs.google.com/spreadsheets/d/1YM-djuOLXomrZ9W0B4TyIBsVWnXY4EIOFD9HY-qGfv0/edit?usp=sharing"",""GERAL!BG5:BG""),
IMPORTRANGE(""https://docs.google.com/spreadsheets/d/1YM-djuOLXomrZ9W0B4TyIBsVWnXY4EIOFD9HY-qGfv0/edit?u"&amp;"sp=sharing"",""GERAL!G5:G""),
""CÓD. SEC NÃO ENCONTRADO NA PLANILHA DE MATRÍCULA"")"),"COMPLEXO INTEGRADO DE EDUCAÇÃO BÁSICA, PROFISSIONAL E TECNOLÓGICA - CIEBTEC - TEMPO INTEGRAL")</f>
        <v>COMPLEXO INTEGRADO DE EDUCAÇÃO BÁSICA, PROFISSIONAL E TECNOLÓGICA - CIEBTEC - TEMPO INTEGRAL</v>
      </c>
      <c r="H839" s="119" t="s">
        <v>4057</v>
      </c>
      <c r="I839" s="108" t="s">
        <v>4058</v>
      </c>
      <c r="J839" s="115" t="s">
        <v>149</v>
      </c>
      <c r="K839" s="83"/>
      <c r="L839" s="98" t="s">
        <v>3467</v>
      </c>
      <c r="M839" s="98" t="s">
        <v>230</v>
      </c>
      <c r="N839" s="171" t="s">
        <v>4059</v>
      </c>
      <c r="O839" s="98" t="s">
        <v>284</v>
      </c>
      <c r="P839" s="99" t="str">
        <f>IFERROR(__xludf.DUMMYFUNCTION("IFERROR(VLOOKUP(AS839,IMPORTRANGE(""https://docs.google.com/spreadsheets/d/1juPI-Fb8LD0YtltB2mlGEnp_R3UVu1t3wSFPzgCyHXE/edit?gid=0#gid=0"",""GERAL!A2:C""),3,0),""-"")"),"-")</f>
        <v>-</v>
      </c>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c r="AN839" s="98"/>
      <c r="AO839" s="98"/>
      <c r="AP839" s="98"/>
      <c r="AQ839" s="98"/>
      <c r="AR839" s="98"/>
      <c r="AS839" s="98">
        <v>1179778.0</v>
      </c>
    </row>
    <row r="840" ht="15.75" customHeight="1">
      <c r="A840" s="111" t="s">
        <v>973</v>
      </c>
      <c r="B840" s="83" t="s">
        <v>2170</v>
      </c>
      <c r="C840" s="83" t="s">
        <v>68</v>
      </c>
      <c r="D840" s="112">
        <v>1178115.0</v>
      </c>
      <c r="E840" s="83"/>
      <c r="F840" s="83">
        <v>2.9433568E7</v>
      </c>
      <c r="G840" s="91" t="str">
        <f>IFERROR(__xludf.DUMMYFUNCTION("XLOOKUP(AS840,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PEDRO ATANASIO GARCIA - DISTRITO DE MANIACU -EM TEMPO INTEGRAL")</f>
        <v>COLÉGIO ESTADUAL DO CAMPO PEDRO ATANASIO GARCIA - DISTRITO DE MANIACU -EM TEMPO INTEGRAL</v>
      </c>
      <c r="H840" s="119" t="s">
        <v>4060</v>
      </c>
      <c r="I840" s="91" t="s">
        <v>4061</v>
      </c>
      <c r="J840" s="136" t="s">
        <v>149</v>
      </c>
      <c r="K840" s="83" t="s">
        <v>702</v>
      </c>
      <c r="L840" s="83" t="s">
        <v>151</v>
      </c>
      <c r="M840" s="83" t="s">
        <v>76</v>
      </c>
      <c r="N840" s="137" t="s">
        <v>4062</v>
      </c>
      <c r="O840" s="98" t="s">
        <v>155</v>
      </c>
      <c r="P840" s="99" t="str">
        <f>IFERROR(__xludf.DUMMYFUNCTION("IFERROR(VLOOKUP(AS840,IMPORTRANGE(""https://docs.google.com/spreadsheets/d/1juPI-Fb8LD0YtltB2mlGEnp_R3UVu1t3wSFPzgCyHXE/edit?gid=0#gid=0"",""GERAL!A2:C""),3,0),""-"")"),"CAMPO")</f>
        <v>CAMPO</v>
      </c>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c r="AR840" s="83"/>
      <c r="AS840" s="83">
        <v>1178115.0</v>
      </c>
    </row>
    <row r="841" ht="15.75" customHeight="1">
      <c r="A841" s="111" t="s">
        <v>973</v>
      </c>
      <c r="B841" s="83" t="s">
        <v>2170</v>
      </c>
      <c r="C841" s="83" t="s">
        <v>68</v>
      </c>
      <c r="D841" s="112">
        <v>1176710.0</v>
      </c>
      <c r="E841" s="83"/>
      <c r="F841" s="83">
        <v>2.9410134E7</v>
      </c>
      <c r="G841" s="91" t="str">
        <f>IFERROR(__xludf.DUMMYFUNCTION("XLOOKUP(AS841,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EDUCACAO ESPECIAL DE CAETITE PROFESSORA IELITA NEVES COTRIM SILVA")</f>
        <v>CENTRO ESTADUAL EDUCACAO ESPECIAL DE CAETITE PROFESSORA IELITA NEVES COTRIM SILVA</v>
      </c>
      <c r="H841" s="114" t="s">
        <v>4063</v>
      </c>
      <c r="I841" s="91" t="s">
        <v>4064</v>
      </c>
      <c r="J841" s="83" t="s">
        <v>4065</v>
      </c>
      <c r="K841" s="83" t="s">
        <v>150</v>
      </c>
      <c r="L841" s="83" t="s">
        <v>151</v>
      </c>
      <c r="M841" s="83" t="s">
        <v>230</v>
      </c>
      <c r="N841" s="128" t="s">
        <v>171</v>
      </c>
      <c r="O841" s="98" t="s">
        <v>155</v>
      </c>
      <c r="P841" s="99" t="str">
        <f>IFERROR(__xludf.DUMMYFUNCTION("IFERROR(VLOOKUP(AS841,IMPORTRANGE(""https://docs.google.com/spreadsheets/d/1juPI-Fb8LD0YtltB2mlGEnp_R3UVu1t3wSFPzgCyHXE/edit?gid=0#gid=0"",""GERAL!A2:C""),3,0),""-"")"),"-")</f>
        <v>-</v>
      </c>
      <c r="Q841" s="83"/>
      <c r="R841" s="83"/>
      <c r="S841" s="83"/>
      <c r="T841" s="83"/>
      <c r="U841" s="83"/>
      <c r="V841" s="83"/>
      <c r="W841" s="83"/>
      <c r="X841" s="83"/>
      <c r="Y841" s="83"/>
      <c r="Z841" s="83"/>
      <c r="AA841" s="83"/>
      <c r="AB841" s="83"/>
      <c r="AC841" s="83"/>
      <c r="AD841" s="83"/>
      <c r="AE841" s="83"/>
      <c r="AF841" s="83"/>
      <c r="AG841" s="83"/>
      <c r="AH841" s="83"/>
      <c r="AI841" s="83"/>
      <c r="AJ841" s="83"/>
      <c r="AK841" s="83"/>
      <c r="AL841" s="83"/>
      <c r="AM841" s="83"/>
      <c r="AN841" s="83"/>
      <c r="AO841" s="83"/>
      <c r="AP841" s="83"/>
      <c r="AQ841" s="83"/>
      <c r="AR841" s="83"/>
      <c r="AS841" s="83">
        <v>1176710.0</v>
      </c>
    </row>
    <row r="842" ht="15.75" customHeight="1">
      <c r="A842" s="111" t="s">
        <v>973</v>
      </c>
      <c r="B842" s="83" t="s">
        <v>2170</v>
      </c>
      <c r="C842" s="83" t="s">
        <v>164</v>
      </c>
      <c r="D842" s="98">
        <v>1179778.0</v>
      </c>
      <c r="E842" s="83">
        <v>1178859.0</v>
      </c>
      <c r="F842" s="83"/>
      <c r="G842" s="91" t="str">
        <f>IFERROR(__xludf.DUMMYFUNCTION("XLOOKUP(AS842,
IMPORTRANGE(""https://docs.google.com/spreadsheets/d/1YM-djuOLXomrZ9W0B4TyIBsVWnXY4EIOFD9HY-qGfv0/edit?usp=sharing"",""GERAL!BG5:BG""),
IMPORTRANGE(""https://docs.google.com/spreadsheets/d/1YM-djuOLXomrZ9W0B4TyIBsVWnXY4EIOFD9HY-qGfv0/edit?u"&amp;"sp=sharing"",""GERAL!G5:G""),
""CÓD. SEC NÃO ENCONTRADO NA PLANILHA DE MATRÍCULA"")"),"ANEXO-COMPLEXO INTEGRADO DE EDUCAÇÃO BASICA, PROFISSIONAL E TECNOLÓ- DISTRITO BREJINHO DAS AMETISTAS")</f>
        <v>ANEXO-COMPLEXO INTEGRADO DE EDUCAÇÃO BASICA, PROFISSIONAL E TECNOLÓ- DISTRITO BREJINHO DAS AMETISTAS</v>
      </c>
      <c r="H842" s="119" t="s">
        <v>4066</v>
      </c>
      <c r="I842" s="91" t="s">
        <v>4067</v>
      </c>
      <c r="J842" s="136" t="s">
        <v>4068</v>
      </c>
      <c r="K842" s="83" t="s">
        <v>187</v>
      </c>
      <c r="L842" s="83" t="s">
        <v>168</v>
      </c>
      <c r="M842" s="83" t="s">
        <v>169</v>
      </c>
      <c r="N842" s="115" t="s">
        <v>170</v>
      </c>
      <c r="O842" s="98" t="s">
        <v>155</v>
      </c>
      <c r="P842" s="99" t="str">
        <f>IFERROR(__xludf.DUMMYFUNCTION("IFERROR(VLOOKUP(AS842,IMPORTRANGE(""https://docs.google.com/spreadsheets/d/1juPI-Fb8LD0YtltB2mlGEnp_R3UVu1t3wSFPzgCyHXE/edit?gid=0#gid=0"",""GERAL!A2:C""),3,0),""-"")"),"CAMPO")</f>
        <v>CAMPO</v>
      </c>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c r="AR842" s="83"/>
      <c r="AS842" s="83">
        <v>1178859.0</v>
      </c>
    </row>
    <row r="843" ht="15.75" customHeight="1">
      <c r="A843" s="111" t="s">
        <v>973</v>
      </c>
      <c r="B843" s="83" t="s">
        <v>4069</v>
      </c>
      <c r="C843" s="83" t="s">
        <v>68</v>
      </c>
      <c r="D843" s="112">
        <v>1170866.0</v>
      </c>
      <c r="E843" s="83"/>
      <c r="F843" s="83">
        <v>2.9243882E7</v>
      </c>
      <c r="G843" s="91" t="str">
        <f>IFERROR(__xludf.DUMMYFUNCTION("XLOOKUP(AS843,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ANTÔNIO BATISTA")</f>
        <v>COLÉGIO ESTADUAL DE TEMPO INTEGRAL ANTÔNIO BATISTA</v>
      </c>
      <c r="H843" s="119" t="s">
        <v>4071</v>
      </c>
      <c r="I843" s="91" t="s">
        <v>4072</v>
      </c>
      <c r="J843" s="83" t="s">
        <v>149</v>
      </c>
      <c r="K843" s="83" t="s">
        <v>150</v>
      </c>
      <c r="L843" s="83" t="s">
        <v>151</v>
      </c>
      <c r="M843" s="83" t="s">
        <v>152</v>
      </c>
      <c r="N843" s="98" t="s">
        <v>4074</v>
      </c>
      <c r="O843" s="98" t="s">
        <v>155</v>
      </c>
      <c r="P843" s="99" t="str">
        <f>IFERROR(__xludf.DUMMYFUNCTION("IFERROR(VLOOKUP(AS843,IMPORTRANGE(""https://docs.google.com/spreadsheets/d/1juPI-Fb8LD0YtltB2mlGEnp_R3UVu1t3wSFPzgCyHXE/edit?gid=0#gid=0"",""GERAL!A2:C""),3,0),""-"")"),"-")</f>
        <v>-</v>
      </c>
      <c r="Q843" s="83"/>
      <c r="R843" s="83"/>
      <c r="S843" s="83"/>
      <c r="T843" s="83"/>
      <c r="U843" s="83"/>
      <c r="V843" s="83"/>
      <c r="W843" s="83"/>
      <c r="X843" s="83"/>
      <c r="Y843" s="83"/>
      <c r="Z843" s="83"/>
      <c r="AA843" s="83"/>
      <c r="AB843" s="83"/>
      <c r="AC843" s="83"/>
      <c r="AD843" s="83"/>
      <c r="AE843" s="83"/>
      <c r="AF843" s="83"/>
      <c r="AG843" s="83"/>
      <c r="AH843" s="83"/>
      <c r="AI843" s="83"/>
      <c r="AJ843" s="83"/>
      <c r="AK843" s="83"/>
      <c r="AL843" s="83"/>
      <c r="AM843" s="83"/>
      <c r="AN843" s="83"/>
      <c r="AO843" s="83"/>
      <c r="AP843" s="83"/>
      <c r="AQ843" s="83"/>
      <c r="AR843" s="83"/>
      <c r="AS843" s="83">
        <v>1170866.0</v>
      </c>
    </row>
    <row r="844" ht="15.75" customHeight="1">
      <c r="A844" s="111" t="s">
        <v>973</v>
      </c>
      <c r="B844" s="83" t="s">
        <v>4080</v>
      </c>
      <c r="C844" s="83" t="s">
        <v>68</v>
      </c>
      <c r="D844" s="112">
        <v>1124163.0</v>
      </c>
      <c r="E844" s="83"/>
      <c r="F844" s="83">
        <v>2.9214866E7</v>
      </c>
      <c r="G844" s="91" t="str">
        <f>IFERROR(__xludf.DUMMYFUNCTION("XLOOKUP(AS844,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CONTENDAS DO SINCORÁ (ANTIGO - COLÉGIO ESTADUAL DOUTOR LUIZ EDSON DE GOUVEIA)")</f>
        <v>COLÉGIO ESTADUAL DE TEMPO INTEGRAL DE CONTENDAS DO SINCORÁ (ANTIGO - COLÉGIO ESTADUAL DOUTOR LUIZ EDSON DE GOUVEIA)</v>
      </c>
      <c r="H844" s="119" t="s">
        <v>4081</v>
      </c>
      <c r="I844" s="91" t="s">
        <v>4082</v>
      </c>
      <c r="J844" s="136" t="s">
        <v>149</v>
      </c>
      <c r="K844" s="83" t="s">
        <v>150</v>
      </c>
      <c r="L844" s="83" t="s">
        <v>151</v>
      </c>
      <c r="M844" s="83" t="s">
        <v>169</v>
      </c>
      <c r="N844" s="98" t="s">
        <v>4083</v>
      </c>
      <c r="O844" s="98" t="s">
        <v>162</v>
      </c>
      <c r="P844" s="99" t="str">
        <f>IFERROR(__xludf.DUMMYFUNCTION("IFERROR(VLOOKUP(AS844,IMPORTRANGE(""https://docs.google.com/spreadsheets/d/1juPI-Fb8LD0YtltB2mlGEnp_R3UVu1t3wSFPzgCyHXE/edit?gid=0#gid=0"",""GERAL!A2:C""),3,0),""-"")"),"-")</f>
        <v>-</v>
      </c>
      <c r="Q844" s="101" t="s">
        <v>156</v>
      </c>
      <c r="R844" s="98">
        <v>5.0</v>
      </c>
      <c r="S844" s="98" t="s">
        <v>171</v>
      </c>
      <c r="T844" s="98" t="s">
        <v>171</v>
      </c>
      <c r="U844" s="98" t="s">
        <v>171</v>
      </c>
      <c r="V844" s="98" t="s">
        <v>171</v>
      </c>
      <c r="W844" s="98" t="s">
        <v>171</v>
      </c>
      <c r="X844" s="98" t="s">
        <v>171</v>
      </c>
      <c r="Y844" s="98" t="s">
        <v>171</v>
      </c>
      <c r="Z844" s="98" t="s">
        <v>171</v>
      </c>
      <c r="AA844" s="98" t="s">
        <v>171</v>
      </c>
      <c r="AB844" s="98" t="s">
        <v>171</v>
      </c>
      <c r="AC844" s="98" t="s">
        <v>171</v>
      </c>
      <c r="AD844" s="98" t="s">
        <v>171</v>
      </c>
      <c r="AE844" s="98" t="s">
        <v>171</v>
      </c>
      <c r="AF844" s="98" t="s">
        <v>171</v>
      </c>
      <c r="AG844" s="98">
        <v>1.0</v>
      </c>
      <c r="AH844" s="98" t="s">
        <v>171</v>
      </c>
      <c r="AI844" s="98" t="s">
        <v>171</v>
      </c>
      <c r="AJ844" s="98" t="s">
        <v>171</v>
      </c>
      <c r="AK844" s="98" t="s">
        <v>171</v>
      </c>
      <c r="AL844" s="98" t="s">
        <v>171</v>
      </c>
      <c r="AM844" s="98" t="s">
        <v>171</v>
      </c>
      <c r="AN844" s="98" t="s">
        <v>171</v>
      </c>
      <c r="AO844" s="98" t="s">
        <v>171</v>
      </c>
      <c r="AP844" s="98" t="s">
        <v>171</v>
      </c>
      <c r="AQ844" s="98" t="s">
        <v>171</v>
      </c>
      <c r="AR844" s="102">
        <v>46226.0</v>
      </c>
      <c r="AS844" s="83">
        <v>1124163.0</v>
      </c>
    </row>
    <row r="845" ht="15.75" customHeight="1">
      <c r="A845" s="111" t="s">
        <v>973</v>
      </c>
      <c r="B845" s="83" t="s">
        <v>4086</v>
      </c>
      <c r="C845" s="83" t="s">
        <v>68</v>
      </c>
      <c r="D845" s="112">
        <v>1124287.0</v>
      </c>
      <c r="E845" s="83"/>
      <c r="F845" s="83">
        <v>2.9237629E7</v>
      </c>
      <c r="G845" s="91" t="str">
        <f>IFERROR(__xludf.DUMMYFUNCTION("XLOOKUP(AS845,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CAIRES ARAÚJO (ANTIGO CE MANOEL FRANCISCO DE CAIRES)")</f>
        <v>COLÉGIO ESTADUAL DE TEMPO INTEGRAL JOSÉ CAIRES ARAÚJO (ANTIGO CE MANOEL FRANCISCO DE CAIRES)</v>
      </c>
      <c r="H845" s="119" t="s">
        <v>4091</v>
      </c>
      <c r="I845" s="91" t="s">
        <v>4092</v>
      </c>
      <c r="J845" s="83" t="s">
        <v>171</v>
      </c>
      <c r="K845" s="83" t="s">
        <v>150</v>
      </c>
      <c r="L845" s="83" t="s">
        <v>151</v>
      </c>
      <c r="M845" s="83" t="s">
        <v>230</v>
      </c>
      <c r="N845" s="98" t="s">
        <v>4093</v>
      </c>
      <c r="O845" s="98" t="s">
        <v>162</v>
      </c>
      <c r="P845" s="99" t="str">
        <f>IFERROR(__xludf.DUMMYFUNCTION("IFERROR(VLOOKUP(AS845,IMPORTRANGE(""https://docs.google.com/spreadsheets/d/1juPI-Fb8LD0YtltB2mlGEnp_R3UVu1t3wSFPzgCyHXE/edit?gid=0#gid=0"",""GERAL!A2:C""),3,0),""-"")"),"-")</f>
        <v>-</v>
      </c>
      <c r="Q845" s="101" t="s">
        <v>156</v>
      </c>
      <c r="R845" s="98">
        <v>12.0</v>
      </c>
      <c r="S845" s="98">
        <v>1.0</v>
      </c>
      <c r="T845" s="98">
        <v>1.0</v>
      </c>
      <c r="U845" s="98">
        <v>0.0</v>
      </c>
      <c r="V845" s="98">
        <v>1.0</v>
      </c>
      <c r="W845" s="98">
        <v>3.0</v>
      </c>
      <c r="X845" s="98">
        <v>1.0</v>
      </c>
      <c r="Y845" s="98">
        <v>0.0</v>
      </c>
      <c r="Z845" s="98">
        <v>1.0</v>
      </c>
      <c r="AA845" s="98">
        <v>0.0</v>
      </c>
      <c r="AB845" s="98">
        <v>1.0</v>
      </c>
      <c r="AC845" s="98">
        <v>0.0</v>
      </c>
      <c r="AD845" s="98">
        <v>0.0</v>
      </c>
      <c r="AE845" s="98">
        <v>0.0</v>
      </c>
      <c r="AF845" s="98">
        <v>1.0</v>
      </c>
      <c r="AG845" s="98">
        <v>0.0</v>
      </c>
      <c r="AH845" s="98">
        <v>0.0</v>
      </c>
      <c r="AI845" s="98">
        <v>0.0</v>
      </c>
      <c r="AJ845" s="98">
        <v>0.0</v>
      </c>
      <c r="AK845" s="98">
        <v>1.0</v>
      </c>
      <c r="AL845" s="98">
        <v>0.0</v>
      </c>
      <c r="AM845" s="98">
        <v>0.0</v>
      </c>
      <c r="AN845" s="98">
        <v>0.0</v>
      </c>
      <c r="AO845" s="98">
        <v>1.0</v>
      </c>
      <c r="AP845" s="98">
        <v>0.0</v>
      </c>
      <c r="AQ845" s="98" t="s">
        <v>4105</v>
      </c>
      <c r="AR845" s="102">
        <v>46232.0</v>
      </c>
      <c r="AS845" s="83">
        <v>1124287.0</v>
      </c>
    </row>
    <row r="846" ht="15.75" customHeight="1">
      <c r="A846" s="111" t="s">
        <v>973</v>
      </c>
      <c r="B846" s="83" t="s">
        <v>4108</v>
      </c>
      <c r="C846" s="83" t="s">
        <v>68</v>
      </c>
      <c r="D846" s="112">
        <v>1128606.0</v>
      </c>
      <c r="E846" s="83"/>
      <c r="F846" s="83">
        <v>2.9243947E7</v>
      </c>
      <c r="G846" s="91" t="str">
        <f>IFERROR(__xludf.DUMMYFUNCTION("XLOOKUP(AS846,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GOVERNADOR LUIZ VIANA FILHO - TEMPO INTEGRAL")</f>
        <v>COLÉGIO ESTADUAL GOVERNADOR LUIZ VIANA FILHO - TEMPO INTEGRAL</v>
      </c>
      <c r="H846" s="119" t="s">
        <v>4109</v>
      </c>
      <c r="I846" s="91" t="s">
        <v>4110</v>
      </c>
      <c r="J846" s="136" t="s">
        <v>149</v>
      </c>
      <c r="K846" s="83" t="s">
        <v>150</v>
      </c>
      <c r="L846" s="83" t="s">
        <v>151</v>
      </c>
      <c r="M846" s="83" t="s">
        <v>230</v>
      </c>
      <c r="N846" s="98" t="s">
        <v>4111</v>
      </c>
      <c r="O846" s="98" t="s">
        <v>155</v>
      </c>
      <c r="P846" s="99" t="str">
        <f>IFERROR(__xludf.DUMMYFUNCTION("IFERROR(VLOOKUP(AS846,IMPORTRANGE(""https://docs.google.com/spreadsheets/d/1juPI-Fb8LD0YtltB2mlGEnp_R3UVu1t3wSFPzgCyHXE/edit?gid=0#gid=0"",""GERAL!A2:C""),3,0),""-"")"),"-")</f>
        <v>-</v>
      </c>
      <c r="Q846" s="101" t="s">
        <v>156</v>
      </c>
      <c r="R846" s="98">
        <v>18.0</v>
      </c>
      <c r="S846" s="98">
        <v>2.0</v>
      </c>
      <c r="T846" s="98">
        <v>3.0</v>
      </c>
      <c r="U846" s="98">
        <v>1.0</v>
      </c>
      <c r="V846" s="98">
        <v>1.0</v>
      </c>
      <c r="W846" s="98">
        <v>0.0</v>
      </c>
      <c r="X846" s="98">
        <v>0.0</v>
      </c>
      <c r="Y846" s="98">
        <v>0.0</v>
      </c>
      <c r="Z846" s="98">
        <v>0.0</v>
      </c>
      <c r="AA846" s="98">
        <v>0.0</v>
      </c>
      <c r="AB846" s="98">
        <v>0.0</v>
      </c>
      <c r="AC846" s="98">
        <v>0.0</v>
      </c>
      <c r="AD846" s="98">
        <v>0.0</v>
      </c>
      <c r="AE846" s="98">
        <v>0.0</v>
      </c>
      <c r="AF846" s="98">
        <v>1.0</v>
      </c>
      <c r="AG846" s="98">
        <v>1.0</v>
      </c>
      <c r="AH846" s="98">
        <v>0.0</v>
      </c>
      <c r="AI846" s="98">
        <v>0.0</v>
      </c>
      <c r="AJ846" s="98">
        <v>0.0</v>
      </c>
      <c r="AK846" s="98">
        <v>0.0</v>
      </c>
      <c r="AL846" s="98">
        <v>0.0</v>
      </c>
      <c r="AM846" s="98">
        <v>0.0</v>
      </c>
      <c r="AN846" s="98">
        <v>0.0</v>
      </c>
      <c r="AO846" s="98">
        <v>0.0</v>
      </c>
      <c r="AP846" s="98">
        <v>2.0</v>
      </c>
      <c r="AQ846" s="98" t="s">
        <v>4116</v>
      </c>
      <c r="AR846" s="102">
        <v>46220.0</v>
      </c>
      <c r="AS846" s="83">
        <v>1128606.0</v>
      </c>
    </row>
    <row r="847" ht="15.75" customHeight="1">
      <c r="A847" s="111" t="s">
        <v>973</v>
      </c>
      <c r="B847" s="83" t="s">
        <v>4108</v>
      </c>
      <c r="C847" s="83" t="s">
        <v>68</v>
      </c>
      <c r="D847" s="112">
        <v>1178149.0</v>
      </c>
      <c r="E847" s="83"/>
      <c r="F847" s="83">
        <v>2.9437814E7</v>
      </c>
      <c r="G847" s="91" t="str">
        <f>IFERROR(__xludf.DUMMYFUNCTION("XLOOKUP(AS847,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MUTÃS -DISTRITO DE MUTANS")</f>
        <v>COLÉGIO ESTADUAL DO CAMPO DE MUTÃS -DISTRITO DE MUTANS</v>
      </c>
      <c r="H847" s="119" t="s">
        <v>4122</v>
      </c>
      <c r="I847" s="91" t="s">
        <v>4123</v>
      </c>
      <c r="J847" s="136" t="s">
        <v>4124</v>
      </c>
      <c r="K847" s="83" t="s">
        <v>191</v>
      </c>
      <c r="L847" s="83" t="s">
        <v>151</v>
      </c>
      <c r="M847" s="83" t="s">
        <v>169</v>
      </c>
      <c r="N847" s="98" t="s">
        <v>4125</v>
      </c>
      <c r="O847" s="98" t="s">
        <v>155</v>
      </c>
      <c r="P847" s="99" t="str">
        <f>IFERROR(__xludf.DUMMYFUNCTION("IFERROR(VLOOKUP(AS847,IMPORTRANGE(""https://docs.google.com/spreadsheets/d/1juPI-Fb8LD0YtltB2mlGEnp_R3UVu1t3wSFPzgCyHXE/edit?gid=0#gid=0"",""GERAL!A2:C""),3,0),""-"")"),"CAMPO")</f>
        <v>CAMPO</v>
      </c>
      <c r="Q847" s="101" t="s">
        <v>156</v>
      </c>
      <c r="R847" s="98">
        <v>6.0</v>
      </c>
      <c r="S847" s="98">
        <v>1.0</v>
      </c>
      <c r="T847" s="98">
        <v>0.0</v>
      </c>
      <c r="U847" s="98">
        <v>0.0</v>
      </c>
      <c r="V847" s="98">
        <v>0.0</v>
      </c>
      <c r="W847" s="98">
        <v>3.0</v>
      </c>
      <c r="X847" s="98">
        <v>0.0</v>
      </c>
      <c r="Y847" s="98">
        <v>1.0</v>
      </c>
      <c r="Z847" s="98">
        <v>0.0</v>
      </c>
      <c r="AA847" s="98">
        <v>0.0</v>
      </c>
      <c r="AB847" s="98">
        <v>0.0</v>
      </c>
      <c r="AC847" s="98">
        <v>0.0</v>
      </c>
      <c r="AD847" s="98">
        <v>0.0</v>
      </c>
      <c r="AE847" s="98">
        <v>0.0</v>
      </c>
      <c r="AF847" s="98">
        <v>0.0</v>
      </c>
      <c r="AG847" s="98">
        <v>1.0</v>
      </c>
      <c r="AH847" s="98">
        <v>0.0</v>
      </c>
      <c r="AI847" s="98">
        <v>0.0</v>
      </c>
      <c r="AJ847" s="98">
        <v>0.0</v>
      </c>
      <c r="AK847" s="98">
        <v>0.0</v>
      </c>
      <c r="AL847" s="98">
        <v>0.0</v>
      </c>
      <c r="AM847" s="98">
        <v>0.0</v>
      </c>
      <c r="AN847" s="98">
        <v>0.0</v>
      </c>
      <c r="AO847" s="98">
        <v>0.0</v>
      </c>
      <c r="AP847" s="98">
        <v>0.0</v>
      </c>
      <c r="AQ847" s="98" t="s">
        <v>4129</v>
      </c>
      <c r="AR847" s="102">
        <v>46220.0</v>
      </c>
      <c r="AS847" s="83">
        <v>1178149.0</v>
      </c>
    </row>
    <row r="848" ht="15.75" customHeight="1">
      <c r="A848" s="111" t="s">
        <v>973</v>
      </c>
      <c r="B848" s="83" t="s">
        <v>4108</v>
      </c>
      <c r="C848" s="83" t="s">
        <v>68</v>
      </c>
      <c r="D848" s="112">
        <v>1176438.0</v>
      </c>
      <c r="E848" s="83"/>
      <c r="F848" s="83">
        <v>2.9394414E7</v>
      </c>
      <c r="G848" s="91" t="str">
        <f>IFERROR(__xludf.DUMMYFUNCTION("XLOOKUP(AS848,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BEATRIZ GOMES E SOUZA DE BARROS (ANTIGO MODELO LEM)")</f>
        <v>COLÉGIO ESTADUAL DE TEMPO INTEGRAL PROFESSORA BEATRIZ GOMES E SOUZA DE BARROS (ANTIGO MODELO LEM)</v>
      </c>
      <c r="H848" s="119" t="s">
        <v>4130</v>
      </c>
      <c r="I848" s="91" t="s">
        <v>4131</v>
      </c>
      <c r="J848" s="83" t="s">
        <v>149</v>
      </c>
      <c r="K848" s="83" t="s">
        <v>150</v>
      </c>
      <c r="L848" s="83" t="s">
        <v>151</v>
      </c>
      <c r="M848" s="83" t="s">
        <v>230</v>
      </c>
      <c r="N848" s="98" t="s">
        <v>4132</v>
      </c>
      <c r="O848" s="98" t="s">
        <v>155</v>
      </c>
      <c r="P848" s="99" t="str">
        <f>IFERROR(__xludf.DUMMYFUNCTION("IFERROR(VLOOKUP(AS848,IMPORTRANGE(""https://docs.google.com/spreadsheets/d/1juPI-Fb8LD0YtltB2mlGEnp_R3UVu1t3wSFPzgCyHXE/edit?gid=0#gid=0"",""GERAL!A2:C""),3,0),""-"")"),"-")</f>
        <v>-</v>
      </c>
      <c r="Q848" s="101" t="s">
        <v>156</v>
      </c>
      <c r="R848" s="98">
        <v>16.0</v>
      </c>
      <c r="S848" s="98">
        <v>1.0</v>
      </c>
      <c r="T848" s="98">
        <v>0.0</v>
      </c>
      <c r="U848" s="98">
        <v>0.0</v>
      </c>
      <c r="V848" s="98">
        <v>1.0</v>
      </c>
      <c r="W848" s="98">
        <v>2.0</v>
      </c>
      <c r="X848" s="98">
        <v>0.0</v>
      </c>
      <c r="Y848" s="98">
        <v>0.0</v>
      </c>
      <c r="Z848" s="98">
        <v>1.0</v>
      </c>
      <c r="AA848" s="98">
        <v>0.0</v>
      </c>
      <c r="AB848" s="98">
        <v>1.0</v>
      </c>
      <c r="AC848" s="98">
        <v>0.0</v>
      </c>
      <c r="AD848" s="98">
        <v>0.0</v>
      </c>
      <c r="AE848" s="98">
        <v>0.0</v>
      </c>
      <c r="AF848" s="98">
        <v>1.0</v>
      </c>
      <c r="AG848" s="98">
        <v>0.0</v>
      </c>
      <c r="AH848" s="98">
        <v>0.0</v>
      </c>
      <c r="AI848" s="98">
        <v>0.0</v>
      </c>
      <c r="AJ848" s="98">
        <v>1.0</v>
      </c>
      <c r="AK848" s="98">
        <v>0.0</v>
      </c>
      <c r="AL848" s="98">
        <v>0.0</v>
      </c>
      <c r="AM848" s="98">
        <v>0.0</v>
      </c>
      <c r="AN848" s="98">
        <v>0.0</v>
      </c>
      <c r="AO848" s="98">
        <v>0.0</v>
      </c>
      <c r="AP848" s="98">
        <v>0.0</v>
      </c>
      <c r="AQ848" s="98" t="s">
        <v>4133</v>
      </c>
      <c r="AR848" s="102">
        <v>46220.0</v>
      </c>
      <c r="AS848" s="83">
        <v>1176438.0</v>
      </c>
    </row>
    <row r="849" ht="15.75" customHeight="1">
      <c r="A849" s="111" t="s">
        <v>973</v>
      </c>
      <c r="B849" s="83" t="s">
        <v>4108</v>
      </c>
      <c r="C849" s="83" t="s">
        <v>68</v>
      </c>
      <c r="D849" s="112">
        <v>1129319.0</v>
      </c>
      <c r="E849" s="83"/>
      <c r="F849" s="83">
        <v>2.924392E7</v>
      </c>
      <c r="G849" s="91" t="str">
        <f>IFERROR(__xludf.DUMMYFUNCTION("XLOOKUP(AS849,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ESTADUAL DE EDUCACAO PROFISSIONAL EM SAUDE E GESTAO")</f>
        <v>CENTRO ESTADUAL DE EDUCACAO PROFISSIONAL EM SAUDE E GESTAO</v>
      </c>
      <c r="H849" s="114" t="s">
        <v>4134</v>
      </c>
      <c r="I849" s="91" t="s">
        <v>4135</v>
      </c>
      <c r="J849" s="136" t="s">
        <v>149</v>
      </c>
      <c r="K849" s="83" t="s">
        <v>150</v>
      </c>
      <c r="L849" s="83" t="s">
        <v>151</v>
      </c>
      <c r="M849" s="83" t="s">
        <v>230</v>
      </c>
      <c r="N849" s="171" t="s">
        <v>4136</v>
      </c>
      <c r="O849" s="98" t="s">
        <v>176</v>
      </c>
      <c r="P849" s="99" t="str">
        <f>IFERROR(__xludf.DUMMYFUNCTION("IFERROR(VLOOKUP(AS849,IMPORTRANGE(""https://docs.google.com/spreadsheets/d/1juPI-Fb8LD0YtltB2mlGEnp_R3UVu1t3wSFPzgCyHXE/edit?gid=0#gid=0"",""GERAL!A2:C""),3,0),""-"")"),"-")</f>
        <v>-</v>
      </c>
      <c r="Q849" s="101" t="s">
        <v>156</v>
      </c>
      <c r="R849" s="98">
        <v>30.0</v>
      </c>
      <c r="S849" s="98">
        <v>0.0</v>
      </c>
      <c r="T849" s="98">
        <v>0.0</v>
      </c>
      <c r="U849" s="98">
        <v>0.0</v>
      </c>
      <c r="V849" s="98">
        <v>1.0</v>
      </c>
      <c r="W849" s="98">
        <v>6.0</v>
      </c>
      <c r="X849" s="98">
        <v>0.0</v>
      </c>
      <c r="Y849" s="98">
        <v>0.0</v>
      </c>
      <c r="Z849" s="98">
        <v>1.0</v>
      </c>
      <c r="AA849" s="98">
        <v>0.0</v>
      </c>
      <c r="AB849" s="98">
        <v>1.0</v>
      </c>
      <c r="AC849" s="98">
        <v>0.0</v>
      </c>
      <c r="AD849" s="98">
        <v>0.0</v>
      </c>
      <c r="AE849" s="98">
        <v>0.0</v>
      </c>
      <c r="AF849" s="98">
        <v>1.0</v>
      </c>
      <c r="AG849" s="98">
        <v>0.0</v>
      </c>
      <c r="AH849" s="98">
        <v>0.0</v>
      </c>
      <c r="AI849" s="98">
        <v>0.0</v>
      </c>
      <c r="AJ849" s="98">
        <v>1.0</v>
      </c>
      <c r="AK849" s="98">
        <v>0.0</v>
      </c>
      <c r="AL849" s="98">
        <v>0.0</v>
      </c>
      <c r="AM849" s="98">
        <v>0.0</v>
      </c>
      <c r="AN849" s="98">
        <v>0.0</v>
      </c>
      <c r="AO849" s="98">
        <v>1.0</v>
      </c>
      <c r="AP849" s="98">
        <v>4.0</v>
      </c>
      <c r="AQ849" s="98" t="s">
        <v>4139</v>
      </c>
      <c r="AR849" s="102">
        <v>46220.0</v>
      </c>
      <c r="AS849" s="83">
        <v>1129319.0</v>
      </c>
    </row>
    <row r="850" ht="15.75" customHeight="1">
      <c r="A850" s="111" t="s">
        <v>973</v>
      </c>
      <c r="B850" s="83" t="s">
        <v>4140</v>
      </c>
      <c r="C850" s="191" t="s">
        <v>68</v>
      </c>
      <c r="D850" s="112">
        <v>1178031.0</v>
      </c>
      <c r="E850" s="189"/>
      <c r="F850" s="237">
        <v>2.9424348E7</v>
      </c>
      <c r="G850" s="91" t="str">
        <f>IFERROR(__xludf.DUMMYFUNCTION("XLOOKUP(AS850,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ANTONIO FIGUEREDO - TEMPO INTEGRAL")</f>
        <v>COLÉGIO ESTADUAL ANTONIO FIGUEREDO - TEMPO INTEGRAL</v>
      </c>
      <c r="H850" s="209" t="s">
        <v>4141</v>
      </c>
      <c r="I850" s="91" t="s">
        <v>4142</v>
      </c>
      <c r="J850" s="350" t="s">
        <v>149</v>
      </c>
      <c r="K850" s="83" t="s">
        <v>150</v>
      </c>
      <c r="L850" s="83" t="s">
        <v>151</v>
      </c>
      <c r="M850" s="83" t="s">
        <v>152</v>
      </c>
      <c r="N850" s="385" t="s">
        <v>4143</v>
      </c>
      <c r="O850" s="98" t="s">
        <v>155</v>
      </c>
      <c r="P850" s="99" t="str">
        <f>IFERROR(__xludf.DUMMYFUNCTION("IFERROR(VLOOKUP(AS850,IMPORTRANGE(""https://docs.google.com/spreadsheets/d/1juPI-Fb8LD0YtltB2mlGEnp_R3UVu1t3wSFPzgCyHXE/edit?gid=0#gid=0"",""GERAL!A2:C""),3,0),""-"")"),"-")</f>
        <v>-</v>
      </c>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c r="AR850" s="83"/>
      <c r="AS850" s="83">
        <v>1178031.0</v>
      </c>
    </row>
    <row r="851" ht="15.75" customHeight="1">
      <c r="A851" s="111" t="s">
        <v>973</v>
      </c>
      <c r="B851" s="83" t="s">
        <v>4144</v>
      </c>
      <c r="C851" s="83" t="s">
        <v>68</v>
      </c>
      <c r="D851" s="112">
        <v>1168039.0</v>
      </c>
      <c r="E851" s="83"/>
      <c r="F851" s="83">
        <v>2.9260256E7</v>
      </c>
      <c r="G851" s="91" t="str">
        <f>IFERROR(__xludf.DUMMYFUNCTION("XLOOKUP(AS851,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ALBÉRCIO DA COSTA BRITO")</f>
        <v>COLÉGIO ESTADUAL DE TEMPO INTEGRAL ALBÉRCIO DA COSTA BRITO</v>
      </c>
      <c r="H851" s="119" t="s">
        <v>4149</v>
      </c>
      <c r="I851" s="91" t="s">
        <v>4150</v>
      </c>
      <c r="J851" s="83" t="s">
        <v>149</v>
      </c>
      <c r="K851" s="83" t="s">
        <v>150</v>
      </c>
      <c r="L851" s="83" t="s">
        <v>151</v>
      </c>
      <c r="M851" s="83" t="s">
        <v>230</v>
      </c>
      <c r="N851" s="98" t="s">
        <v>4151</v>
      </c>
      <c r="O851" s="98" t="s">
        <v>162</v>
      </c>
      <c r="P851" s="99" t="str">
        <f>IFERROR(__xludf.DUMMYFUNCTION("IFERROR(VLOOKUP(AS851,IMPORTRANGE(""https://docs.google.com/spreadsheets/d/1juPI-Fb8LD0YtltB2mlGEnp_R3UVu1t3wSFPzgCyHXE/edit?gid=0#gid=0"",""GERAL!A2:C""),3,0),""-"")"),"-")</f>
        <v>-</v>
      </c>
      <c r="Q851" s="83"/>
      <c r="R851" s="83"/>
      <c r="S851" s="83"/>
      <c r="T851" s="83"/>
      <c r="U851" s="83"/>
      <c r="V851" s="83"/>
      <c r="W851" s="83"/>
      <c r="X851" s="83"/>
      <c r="Y851" s="83"/>
      <c r="Z851" s="83"/>
      <c r="AA851" s="83"/>
      <c r="AB851" s="83"/>
      <c r="AC851" s="83"/>
      <c r="AD851" s="83"/>
      <c r="AE851" s="83"/>
      <c r="AF851" s="83"/>
      <c r="AG851" s="83"/>
      <c r="AH851" s="83"/>
      <c r="AI851" s="83"/>
      <c r="AJ851" s="83"/>
      <c r="AK851" s="83"/>
      <c r="AL851" s="83"/>
      <c r="AM851" s="83"/>
      <c r="AN851" s="83"/>
      <c r="AO851" s="83"/>
      <c r="AP851" s="83"/>
      <c r="AQ851" s="83"/>
      <c r="AR851" s="83"/>
      <c r="AS851" s="83">
        <v>1168039.0</v>
      </c>
    </row>
    <row r="852" ht="15.75" customHeight="1">
      <c r="A852" s="111" t="s">
        <v>973</v>
      </c>
      <c r="B852" s="83" t="s">
        <v>4144</v>
      </c>
      <c r="C852" s="83" t="s">
        <v>164</v>
      </c>
      <c r="D852" s="112">
        <v>1168039.0</v>
      </c>
      <c r="E852" s="83">
        <v>1179338.0</v>
      </c>
      <c r="F852" s="83"/>
      <c r="G852" s="91" t="str">
        <f>IFERROR(__xludf.DUMMYFUNCTION("XLOOKUP(AS852,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ALBÉRCIO DA COSTA BRITO - POVOADO DE LARANJEIRAS")</f>
        <v>ANEXO - COLÉGIO ESTADUAL DE TEMPO INTEGRAL ALBÉRCIO DA COSTA BRITO - POVOADO DE LARANJEIRAS</v>
      </c>
      <c r="H852" s="184" t="s">
        <v>4152</v>
      </c>
      <c r="I852" s="91" t="s">
        <v>4154</v>
      </c>
      <c r="J852" s="172" t="s">
        <v>149</v>
      </c>
      <c r="K852" s="83" t="s">
        <v>767</v>
      </c>
      <c r="L852" s="83" t="s">
        <v>168</v>
      </c>
      <c r="M852" s="83" t="s">
        <v>169</v>
      </c>
      <c r="N852" s="115" t="s">
        <v>170</v>
      </c>
      <c r="O852" s="98" t="s">
        <v>155</v>
      </c>
      <c r="P852" s="99" t="str">
        <f>IFERROR(__xludf.DUMMYFUNCTION("IFERROR(VLOOKUP(AS852,IMPORTRANGE(""https://docs.google.com/spreadsheets/d/1juPI-Fb8LD0YtltB2mlGEnp_R3UVu1t3wSFPzgCyHXE/edit?gid=0#gid=0"",""GERAL!A2:C""),3,0),""-"")"),"CAMPO")</f>
        <v>CAMPO</v>
      </c>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c r="AR852" s="83"/>
      <c r="AS852" s="83">
        <v>1179338.0</v>
      </c>
    </row>
    <row r="853" ht="15.75" customHeight="1">
      <c r="A853" s="111" t="s">
        <v>973</v>
      </c>
      <c r="B853" s="83" t="s">
        <v>4144</v>
      </c>
      <c r="C853" s="83" t="s">
        <v>164</v>
      </c>
      <c r="D853" s="112">
        <v>1168039.0</v>
      </c>
      <c r="E853" s="83">
        <v>1178754.0</v>
      </c>
      <c r="F853" s="83"/>
      <c r="G853" s="91" t="str">
        <f>IFERROR(__xludf.DUMMYFUNCTION("XLOOKUP(AS853,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ALBÉRCIO DA COSTA BRITO - DISTRITO DE TRANQUEIRAS")</f>
        <v>ANEXO - COLÉGIO ESTADUAL DE TEMPO INTEGRAL ALBÉRCIO DA COSTA BRITO - DISTRITO DE TRANQUEIRAS</v>
      </c>
      <c r="H853" s="184" t="s">
        <v>4162</v>
      </c>
      <c r="I853" s="91" t="s">
        <v>4163</v>
      </c>
      <c r="J853" s="172" t="s">
        <v>4164</v>
      </c>
      <c r="K853" s="83" t="s">
        <v>705</v>
      </c>
      <c r="L853" s="83" t="s">
        <v>168</v>
      </c>
      <c r="M853" s="83" t="s">
        <v>169</v>
      </c>
      <c r="N853" s="115" t="s">
        <v>170</v>
      </c>
      <c r="O853" s="98" t="s">
        <v>155</v>
      </c>
      <c r="P853" s="99" t="str">
        <f>IFERROR(__xludf.DUMMYFUNCTION("IFERROR(VLOOKUP(AS853,IMPORTRANGE(""https://docs.google.com/spreadsheets/d/1juPI-Fb8LD0YtltB2mlGEnp_R3UVu1t3wSFPzgCyHXE/edit?gid=0#gid=0"",""GERAL!A2:C""),3,0),""-"")"),"CAMPO")</f>
        <v>CAMPO</v>
      </c>
      <c r="Q853" s="83"/>
      <c r="R853" s="83"/>
      <c r="S853" s="83"/>
      <c r="T853" s="83"/>
      <c r="U853" s="83"/>
      <c r="V853" s="83"/>
      <c r="W853" s="83"/>
      <c r="X853" s="83"/>
      <c r="Y853" s="83"/>
      <c r="Z853" s="83"/>
      <c r="AA853" s="83"/>
      <c r="AB853" s="83"/>
      <c r="AC853" s="83"/>
      <c r="AD853" s="83"/>
      <c r="AE853" s="83"/>
      <c r="AF853" s="83"/>
      <c r="AG853" s="83"/>
      <c r="AH853" s="83"/>
      <c r="AI853" s="83"/>
      <c r="AJ853" s="83"/>
      <c r="AK853" s="83"/>
      <c r="AL853" s="83"/>
      <c r="AM853" s="83"/>
      <c r="AN853" s="83"/>
      <c r="AO853" s="83"/>
      <c r="AP853" s="83"/>
      <c r="AQ853" s="83"/>
      <c r="AR853" s="83"/>
      <c r="AS853" s="83">
        <v>1178754.0</v>
      </c>
    </row>
    <row r="854" ht="15.75" customHeight="1">
      <c r="A854" s="111" t="s">
        <v>973</v>
      </c>
      <c r="B854" s="83" t="s">
        <v>4144</v>
      </c>
      <c r="C854" s="83" t="s">
        <v>164</v>
      </c>
      <c r="D854" s="112">
        <v>1168039.0</v>
      </c>
      <c r="E854" s="83">
        <v>1178753.0</v>
      </c>
      <c r="F854" s="83"/>
      <c r="G854" s="91" t="str">
        <f>IFERROR(__xludf.DUMMYFUNCTION("XLOOKUP(AS854,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ALBÉRCIO DA COSTA BRITO - DISTRITO DE LAGOA DA LAGE")</f>
        <v>ANEXO - COLÉGIO ESTADUAL DE TEMPO INTEGRAL ALBÉRCIO DA COSTA BRITO - DISTRITO DE LAGOA DA LAGE</v>
      </c>
      <c r="H854" s="184" t="s">
        <v>4165</v>
      </c>
      <c r="I854" s="91" t="s">
        <v>4166</v>
      </c>
      <c r="J854" s="172" t="s">
        <v>4167</v>
      </c>
      <c r="K854" s="83" t="s">
        <v>222</v>
      </c>
      <c r="L854" s="83" t="s">
        <v>168</v>
      </c>
      <c r="M854" s="83" t="s">
        <v>169</v>
      </c>
      <c r="N854" s="115" t="s">
        <v>170</v>
      </c>
      <c r="O854" s="98" t="s">
        <v>155</v>
      </c>
      <c r="P854" s="99" t="str">
        <f>IFERROR(__xludf.DUMMYFUNCTION("IFERROR(VLOOKUP(AS854,IMPORTRANGE(""https://docs.google.com/spreadsheets/d/1juPI-Fb8LD0YtltB2mlGEnp_R3UVu1t3wSFPzgCyHXE/edit?gid=0#gid=0"",""GERAL!A2:C""),3,0),""-"")"),"CAMPO")</f>
        <v>CAMPO</v>
      </c>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c r="AR854" s="83"/>
      <c r="AS854" s="83">
        <v>1178753.0</v>
      </c>
    </row>
    <row r="855" ht="15.75" customHeight="1">
      <c r="A855" s="111" t="s">
        <v>973</v>
      </c>
      <c r="B855" s="83" t="s">
        <v>4168</v>
      </c>
      <c r="C855" s="83" t="s">
        <v>68</v>
      </c>
      <c r="D855" s="112">
        <v>1178218.0</v>
      </c>
      <c r="E855" s="83"/>
      <c r="F855" s="83">
        <v>2.9443334E7</v>
      </c>
      <c r="G855" s="91" t="str">
        <f>IFERROR(__xludf.DUMMYFUNCTION("XLOOKUP(AS855,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JORGE AMADO")</f>
        <v>COLÉGIO ESTADUAL DE TEMPO INTEGRAL JORGE AMADO</v>
      </c>
      <c r="H855" s="119" t="s">
        <v>4169</v>
      </c>
      <c r="I855" s="91" t="s">
        <v>4170</v>
      </c>
      <c r="J855" s="172" t="s">
        <v>4171</v>
      </c>
      <c r="K855" s="83" t="s">
        <v>150</v>
      </c>
      <c r="L855" s="83" t="s">
        <v>151</v>
      </c>
      <c r="M855" s="83" t="s">
        <v>76</v>
      </c>
      <c r="N855" s="98" t="s">
        <v>4172</v>
      </c>
      <c r="O855" s="98" t="s">
        <v>176</v>
      </c>
      <c r="P855" s="99" t="str">
        <f>IFERROR(__xludf.DUMMYFUNCTION("IFERROR(VLOOKUP(AS855,IMPORTRANGE(""https://docs.google.com/spreadsheets/d/1juPI-Fb8LD0YtltB2mlGEnp_R3UVu1t3wSFPzgCyHXE/edit?gid=0#gid=0"",""GERAL!A2:C""),3,0),""-"")"),"-")</f>
        <v>-</v>
      </c>
      <c r="Q855" s="83"/>
      <c r="R855" s="83"/>
      <c r="S855" s="83"/>
      <c r="T855" s="83"/>
      <c r="U855" s="83"/>
      <c r="V855" s="83"/>
      <c r="W855" s="83"/>
      <c r="X855" s="83"/>
      <c r="Y855" s="83"/>
      <c r="Z855" s="83"/>
      <c r="AA855" s="83"/>
      <c r="AB855" s="83"/>
      <c r="AC855" s="83"/>
      <c r="AD855" s="83"/>
      <c r="AE855" s="83"/>
      <c r="AF855" s="83"/>
      <c r="AG855" s="83"/>
      <c r="AH855" s="83"/>
      <c r="AI855" s="83"/>
      <c r="AJ855" s="83"/>
      <c r="AK855" s="83"/>
      <c r="AL855" s="83"/>
      <c r="AM855" s="83"/>
      <c r="AN855" s="83"/>
      <c r="AO855" s="83"/>
      <c r="AP855" s="83"/>
      <c r="AQ855" s="83"/>
      <c r="AR855" s="83"/>
      <c r="AS855" s="83">
        <v>1178218.0</v>
      </c>
    </row>
    <row r="856" ht="15.75" customHeight="1">
      <c r="A856" s="111" t="s">
        <v>973</v>
      </c>
      <c r="B856" s="83" t="s">
        <v>4173</v>
      </c>
      <c r="C856" s="83" t="s">
        <v>68</v>
      </c>
      <c r="D856" s="112">
        <v>1140606.0</v>
      </c>
      <c r="E856" s="83"/>
      <c r="F856" s="83">
        <v>2.9248132E7</v>
      </c>
      <c r="G856" s="91" t="str">
        <f>IFERROR(__xludf.DUMMYFUNCTION("XLOOKUP(AS856,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LUIS PRISCO VIANA")</f>
        <v>COLÉGIO ESTADUAL LUIS PRISCO VIANA</v>
      </c>
      <c r="H856" s="119" t="s">
        <v>4177</v>
      </c>
      <c r="I856" s="91" t="s">
        <v>4179</v>
      </c>
      <c r="J856" s="136" t="s">
        <v>149</v>
      </c>
      <c r="K856" s="136" t="s">
        <v>150</v>
      </c>
      <c r="L856" s="83" t="s">
        <v>151</v>
      </c>
      <c r="M856" s="83" t="s">
        <v>152</v>
      </c>
      <c r="N856" s="98" t="s">
        <v>4183</v>
      </c>
      <c r="O856" s="98" t="s">
        <v>155</v>
      </c>
      <c r="P856" s="99" t="str">
        <f>IFERROR(__xludf.DUMMYFUNCTION("IFERROR(VLOOKUP(AS856,IMPORTRANGE(""https://docs.google.com/spreadsheets/d/1juPI-Fb8LD0YtltB2mlGEnp_R3UVu1t3wSFPzgCyHXE/edit?gid=0#gid=0"",""GERAL!A2:C""),3,0),""-"")"),"-")</f>
        <v>-</v>
      </c>
      <c r="Q856" s="101" t="s">
        <v>156</v>
      </c>
      <c r="R856" s="98">
        <v>8.0</v>
      </c>
      <c r="S856" s="98">
        <v>0.0</v>
      </c>
      <c r="T856" s="98">
        <v>0.0</v>
      </c>
      <c r="U856" s="98">
        <v>1.0</v>
      </c>
      <c r="V856" s="98">
        <v>1.0</v>
      </c>
      <c r="W856" s="98">
        <v>0.0</v>
      </c>
      <c r="X856" s="98">
        <v>0.0</v>
      </c>
      <c r="Y856" s="98">
        <v>0.0</v>
      </c>
      <c r="Z856" s="98">
        <v>0.0</v>
      </c>
      <c r="AA856" s="98">
        <v>0.0</v>
      </c>
      <c r="AB856" s="98">
        <v>0.0</v>
      </c>
      <c r="AC856" s="98">
        <v>0.0</v>
      </c>
      <c r="AD856" s="98">
        <v>0.0</v>
      </c>
      <c r="AE856" s="98">
        <v>0.0</v>
      </c>
      <c r="AF856" s="98">
        <v>1.0</v>
      </c>
      <c r="AG856" s="98">
        <v>0.0</v>
      </c>
      <c r="AH856" s="98">
        <v>0.0</v>
      </c>
      <c r="AI856" s="98">
        <v>0.0</v>
      </c>
      <c r="AJ856" s="98">
        <v>0.0</v>
      </c>
      <c r="AK856" s="98">
        <v>0.0</v>
      </c>
      <c r="AL856" s="98">
        <v>0.0</v>
      </c>
      <c r="AM856" s="98">
        <v>0.0</v>
      </c>
      <c r="AN856" s="98">
        <v>0.0</v>
      </c>
      <c r="AO856" s="98">
        <v>0.0</v>
      </c>
      <c r="AP856" s="98">
        <v>3.0</v>
      </c>
      <c r="AQ856" s="98" t="s">
        <v>4187</v>
      </c>
      <c r="AR856" s="102">
        <v>46232.0</v>
      </c>
      <c r="AS856" s="83">
        <v>1140606.0</v>
      </c>
    </row>
    <row r="857" ht="15.75" customHeight="1">
      <c r="A857" s="111" t="s">
        <v>973</v>
      </c>
      <c r="B857" s="83" t="s">
        <v>4188</v>
      </c>
      <c r="C857" s="83" t="s">
        <v>68</v>
      </c>
      <c r="D857" s="112">
        <v>1173130.0</v>
      </c>
      <c r="E857" s="83"/>
      <c r="F857" s="83">
        <v>2.9237645E7</v>
      </c>
      <c r="G857" s="91" t="str">
        <f>IFERROR(__xludf.DUMMYFUNCTION("XLOOKUP(AS857,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JOAO VILAS BOAS")</f>
        <v>COLÉGIO ESTADUAL DE TEMPO INTEGRAL JOAO VILAS BOAS</v>
      </c>
      <c r="H857" s="386" t="s">
        <v>4189</v>
      </c>
      <c r="I857" s="91" t="s">
        <v>4190</v>
      </c>
      <c r="J857" s="83" t="s">
        <v>149</v>
      </c>
      <c r="K857" s="83" t="s">
        <v>150</v>
      </c>
      <c r="L857" s="83" t="s">
        <v>151</v>
      </c>
      <c r="M857" s="83" t="s">
        <v>230</v>
      </c>
      <c r="N857" s="98" t="s">
        <v>4191</v>
      </c>
      <c r="O857" s="98" t="s">
        <v>155</v>
      </c>
      <c r="P857" s="99" t="str">
        <f>IFERROR(__xludf.DUMMYFUNCTION("IFERROR(VLOOKUP(AS857,IMPORTRANGE(""https://docs.google.com/spreadsheets/d/1juPI-Fb8LD0YtltB2mlGEnp_R3UVu1t3wSFPzgCyHXE/edit?gid=0#gid=0"",""GERAL!A2:C""),3,0),""-"")"),"-")</f>
        <v>-</v>
      </c>
      <c r="Q857" s="83"/>
      <c r="R857" s="83"/>
      <c r="S857" s="83"/>
      <c r="T857" s="83"/>
      <c r="U857" s="83"/>
      <c r="V857" s="83"/>
      <c r="W857" s="83"/>
      <c r="X857" s="83"/>
      <c r="Y857" s="83"/>
      <c r="Z857" s="83"/>
      <c r="AA857" s="83"/>
      <c r="AB857" s="83"/>
      <c r="AC857" s="83"/>
      <c r="AD857" s="83"/>
      <c r="AE857" s="83"/>
      <c r="AF857" s="83"/>
      <c r="AG857" s="83"/>
      <c r="AH857" s="83"/>
      <c r="AI857" s="83"/>
      <c r="AJ857" s="83"/>
      <c r="AK857" s="83"/>
      <c r="AL857" s="83"/>
      <c r="AM857" s="83"/>
      <c r="AN857" s="83"/>
      <c r="AO857" s="83"/>
      <c r="AP857" s="83"/>
      <c r="AQ857" s="83"/>
      <c r="AR857" s="83"/>
      <c r="AS857" s="83">
        <v>1173130.0</v>
      </c>
    </row>
    <row r="858" ht="15.75" customHeight="1">
      <c r="A858" s="111" t="s">
        <v>973</v>
      </c>
      <c r="B858" s="83" t="s">
        <v>4188</v>
      </c>
      <c r="C858" s="83" t="s">
        <v>164</v>
      </c>
      <c r="D858" s="112">
        <v>1173130.0</v>
      </c>
      <c r="E858" s="83">
        <v>1178758.0</v>
      </c>
      <c r="F858" s="83"/>
      <c r="G858" s="91" t="str">
        <f>IFERROR(__xludf.DUMMYFUNCTION("XLOOKUP(AS858,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JOAO VILAS BOAS -DISTRITO DE SAO TIMOTEO")</f>
        <v>ANEXO - COLÉGIO ESTADUAL DE TEMPO INTEGRAL JOAO VILAS BOAS -DISTRITO DE SAO TIMOTEO</v>
      </c>
      <c r="H858" s="184" t="s">
        <v>4193</v>
      </c>
      <c r="I858" s="91" t="s">
        <v>4194</v>
      </c>
      <c r="J858" s="172" t="s">
        <v>4195</v>
      </c>
      <c r="K858" s="83" t="s">
        <v>1074</v>
      </c>
      <c r="L858" s="83" t="s">
        <v>168</v>
      </c>
      <c r="M858" s="83" t="s">
        <v>169</v>
      </c>
      <c r="N858" s="115" t="s">
        <v>170</v>
      </c>
      <c r="O858" s="98" t="s">
        <v>155</v>
      </c>
      <c r="P858" s="99" t="str">
        <f>IFERROR(__xludf.DUMMYFUNCTION("IFERROR(VLOOKUP(AS858,IMPORTRANGE(""https://docs.google.com/spreadsheets/d/1juPI-Fb8LD0YtltB2mlGEnp_R3UVu1t3wSFPzgCyHXE/edit?gid=0#gid=0"",""GERAL!A2:C""),3,0),""-"")"),"CAMPO")</f>
        <v>CAMPO</v>
      </c>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c r="AR858" s="83"/>
      <c r="AS858" s="83">
        <v>1178758.0</v>
      </c>
    </row>
    <row r="859" ht="15.75" customHeight="1">
      <c r="A859" s="111" t="s">
        <v>973</v>
      </c>
      <c r="B859" s="83" t="s">
        <v>4188</v>
      </c>
      <c r="C859" s="83" t="s">
        <v>164</v>
      </c>
      <c r="D859" s="112">
        <v>1173130.0</v>
      </c>
      <c r="E859" s="83">
        <v>1178757.0</v>
      </c>
      <c r="F859" s="83"/>
      <c r="G859" s="91" t="str">
        <f>IFERROR(__xludf.DUMMYFUNCTION("XLOOKUP(AS859,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JOAO VILAS BOAS -DISTRITO DE ITANAGE")</f>
        <v>ANEXO - COLÉGIO ESTADUAL DE TEMPO INTEGRAL JOAO VILAS BOAS -DISTRITO DE ITANAGE</v>
      </c>
      <c r="H859" s="279" t="s">
        <v>4198</v>
      </c>
      <c r="I859" s="91" t="s">
        <v>4199</v>
      </c>
      <c r="J859" s="83" t="s">
        <v>4201</v>
      </c>
      <c r="K859" s="83" t="s">
        <v>784</v>
      </c>
      <c r="L859" s="83" t="s">
        <v>168</v>
      </c>
      <c r="M859" s="83" t="s">
        <v>169</v>
      </c>
      <c r="N859" s="115" t="s">
        <v>170</v>
      </c>
      <c r="O859" s="98" t="s">
        <v>155</v>
      </c>
      <c r="P859" s="99" t="str">
        <f>IFERROR(__xludf.DUMMYFUNCTION("IFERROR(VLOOKUP(AS859,IMPORTRANGE(""https://docs.google.com/spreadsheets/d/1juPI-Fb8LD0YtltB2mlGEnp_R3UVu1t3wSFPzgCyHXE/edit?gid=0#gid=0"",""GERAL!A2:C""),3,0),""-"")"),"CAMPO")</f>
        <v>CAMPO</v>
      </c>
      <c r="Q859" s="83"/>
      <c r="R859" s="83"/>
      <c r="S859" s="83"/>
      <c r="T859" s="83"/>
      <c r="U859" s="83"/>
      <c r="V859" s="83"/>
      <c r="W859" s="83"/>
      <c r="X859" s="83"/>
      <c r="Y859" s="83"/>
      <c r="Z859" s="83"/>
      <c r="AA859" s="83"/>
      <c r="AB859" s="83"/>
      <c r="AC859" s="83"/>
      <c r="AD859" s="83"/>
      <c r="AE859" s="83"/>
      <c r="AF859" s="83"/>
      <c r="AG859" s="83"/>
      <c r="AH859" s="83"/>
      <c r="AI859" s="83"/>
      <c r="AJ859" s="83"/>
      <c r="AK859" s="83"/>
      <c r="AL859" s="83"/>
      <c r="AM859" s="83"/>
      <c r="AN859" s="83"/>
      <c r="AO859" s="83"/>
      <c r="AP859" s="83"/>
      <c r="AQ859" s="83"/>
      <c r="AR859" s="83"/>
      <c r="AS859" s="83">
        <v>1178757.0</v>
      </c>
    </row>
    <row r="860" ht="15.75" customHeight="1">
      <c r="A860" s="111" t="s">
        <v>973</v>
      </c>
      <c r="B860" s="83" t="s">
        <v>4188</v>
      </c>
      <c r="C860" s="83" t="s">
        <v>164</v>
      </c>
      <c r="D860" s="112">
        <v>1173130.0</v>
      </c>
      <c r="E860" s="83">
        <v>1178756.0</v>
      </c>
      <c r="F860" s="83"/>
      <c r="G860" s="91" t="str">
        <f>IFERROR(__xludf.DUMMYFUNCTION("XLOOKUP(AS860,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JOAO VILAS BOAS -DISTRITO DE IGUATEMI")</f>
        <v>ANEXO - COLÉGIO ESTADUAL DE TEMPO INTEGRAL JOAO VILAS BOAS -DISTRITO DE IGUATEMI</v>
      </c>
      <c r="H860" s="184" t="s">
        <v>4202</v>
      </c>
      <c r="I860" s="91" t="s">
        <v>4203</v>
      </c>
      <c r="J860" s="83" t="s">
        <v>4205</v>
      </c>
      <c r="K860" s="83" t="s">
        <v>3227</v>
      </c>
      <c r="L860" s="83" t="s">
        <v>168</v>
      </c>
      <c r="M860" s="83" t="s">
        <v>169</v>
      </c>
      <c r="N860" s="115" t="s">
        <v>170</v>
      </c>
      <c r="O860" s="98" t="s">
        <v>155</v>
      </c>
      <c r="P860" s="99" t="str">
        <f>IFERROR(__xludf.DUMMYFUNCTION("IFERROR(VLOOKUP(AS860,IMPORTRANGE(""https://docs.google.com/spreadsheets/d/1juPI-Fb8LD0YtltB2mlGEnp_R3UVu1t3wSFPzgCyHXE/edit?gid=0#gid=0"",""GERAL!A2:C""),3,0),""-"")"),"CAMPO")</f>
        <v>CAMPO</v>
      </c>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c r="AR860" s="83"/>
      <c r="AS860" s="83">
        <v>1178756.0</v>
      </c>
    </row>
    <row r="861" ht="15.75" customHeight="1">
      <c r="A861" s="111" t="s">
        <v>973</v>
      </c>
      <c r="B861" s="83" t="s">
        <v>4188</v>
      </c>
      <c r="C861" s="83" t="s">
        <v>164</v>
      </c>
      <c r="D861" s="112">
        <v>1173130.0</v>
      </c>
      <c r="E861" s="83">
        <v>1179194.0</v>
      </c>
      <c r="F861" s="83"/>
      <c r="G861" s="91" t="str">
        <f>IFERROR(__xludf.DUMMYFUNCTION("XLOOKUP(AS861,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JOAO VILAS BOAS - POVOADO DE ITAGUACU - COMUNIDADE QUILOMBOLA")</f>
        <v>ANEXO - COLÉGIO ESTADUAL DE TEMPO INTEGRAL JOAO VILAS BOAS - POVOADO DE ITAGUACU - COMUNIDADE QUILOMBOLA</v>
      </c>
      <c r="H861" s="184" t="s">
        <v>4213</v>
      </c>
      <c r="I861" s="91" t="s">
        <v>4214</v>
      </c>
      <c r="J861" s="172" t="s">
        <v>4215</v>
      </c>
      <c r="K861" s="83" t="s">
        <v>694</v>
      </c>
      <c r="L861" s="83" t="s">
        <v>168</v>
      </c>
      <c r="M861" s="83" t="s">
        <v>169</v>
      </c>
      <c r="N861" s="115" t="s">
        <v>170</v>
      </c>
      <c r="O861" s="98" t="s">
        <v>155</v>
      </c>
      <c r="P861" s="99" t="str">
        <f>IFERROR(__xludf.DUMMYFUNCTION("IFERROR(VLOOKUP(AS861,IMPORTRANGE(""https://docs.google.com/spreadsheets/d/1juPI-Fb8LD0YtltB2mlGEnp_R3UVu1t3wSFPzgCyHXE/edit?gid=0#gid=0"",""GERAL!A2:C""),3,0),""-"")"),"QUILOMBOLAS")</f>
        <v>QUILOMBOLAS</v>
      </c>
      <c r="Q861" s="83"/>
      <c r="R861" s="83"/>
      <c r="S861" s="83"/>
      <c r="T861" s="83"/>
      <c r="U861" s="83"/>
      <c r="V861" s="83"/>
      <c r="W861" s="83"/>
      <c r="X861" s="83"/>
      <c r="Y861" s="83"/>
      <c r="Z861" s="83"/>
      <c r="AA861" s="83"/>
      <c r="AB861" s="83"/>
      <c r="AC861" s="83"/>
      <c r="AD861" s="83"/>
      <c r="AE861" s="83"/>
      <c r="AF861" s="83"/>
      <c r="AG861" s="83"/>
      <c r="AH861" s="83"/>
      <c r="AI861" s="83"/>
      <c r="AJ861" s="83"/>
      <c r="AK861" s="83"/>
      <c r="AL861" s="83"/>
      <c r="AM861" s="83"/>
      <c r="AN861" s="83"/>
      <c r="AO861" s="83"/>
      <c r="AP861" s="83"/>
      <c r="AQ861" s="83"/>
      <c r="AR861" s="83"/>
      <c r="AS861" s="83">
        <v>1179194.0</v>
      </c>
    </row>
    <row r="862" ht="15.75" customHeight="1">
      <c r="A862" s="111" t="s">
        <v>973</v>
      </c>
      <c r="B862" s="83" t="s">
        <v>4216</v>
      </c>
      <c r="C862" s="83" t="s">
        <v>68</v>
      </c>
      <c r="D862" s="112">
        <v>1124635.0</v>
      </c>
      <c r="E862" s="83"/>
      <c r="F862" s="83">
        <v>2.926166E7</v>
      </c>
      <c r="G862" s="91" t="str">
        <f>IFERROR(__xludf.DUMMYFUNCTION("XLOOKUP(AS862,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 MALHADA DE PEDRAS")</f>
        <v>COLEGIO ESTADUAL DE TEMPO INTEGRAL DE MALHADA DE PEDRAS</v>
      </c>
      <c r="H862" s="119" t="s">
        <v>4218</v>
      </c>
      <c r="I862" s="108" t="s">
        <v>4219</v>
      </c>
      <c r="J862" s="229" t="s">
        <v>4220</v>
      </c>
      <c r="K862" s="83" t="s">
        <v>150</v>
      </c>
      <c r="L862" s="83" t="s">
        <v>151</v>
      </c>
      <c r="M862" s="83" t="s">
        <v>76</v>
      </c>
      <c r="N862" s="137" t="s">
        <v>4221</v>
      </c>
      <c r="O862" s="98" t="s">
        <v>155</v>
      </c>
      <c r="P862" s="99" t="str">
        <f>IFERROR(__xludf.DUMMYFUNCTION("IFERROR(VLOOKUP(AS862,IMPORTRANGE(""https://docs.google.com/spreadsheets/d/1juPI-Fb8LD0YtltB2mlGEnp_R3UVu1t3wSFPzgCyHXE/edit?gid=0#gid=0"",""GERAL!A2:C""),3,0),""-"")"),"-")</f>
        <v>-</v>
      </c>
      <c r="Q862" s="101" t="s">
        <v>156</v>
      </c>
      <c r="R862" s="98">
        <v>12.0</v>
      </c>
      <c r="S862" s="98">
        <v>0.0</v>
      </c>
      <c r="T862" s="98">
        <v>0.0</v>
      </c>
      <c r="U862" s="98">
        <v>1.0</v>
      </c>
      <c r="V862" s="98">
        <v>1.0</v>
      </c>
      <c r="W862" s="98">
        <v>2.0</v>
      </c>
      <c r="X862" s="98">
        <v>1.0</v>
      </c>
      <c r="Y862" s="98">
        <v>0.0</v>
      </c>
      <c r="Z862" s="98">
        <v>1.0</v>
      </c>
      <c r="AA862" s="98">
        <v>0.0</v>
      </c>
      <c r="AB862" s="98">
        <v>0.0</v>
      </c>
      <c r="AC862" s="98">
        <v>1.0</v>
      </c>
      <c r="AD862" s="98">
        <v>1.0</v>
      </c>
      <c r="AE862" s="98">
        <v>0.0</v>
      </c>
      <c r="AF862" s="98">
        <v>0.0</v>
      </c>
      <c r="AG862" s="98">
        <v>0.0</v>
      </c>
      <c r="AH862" s="98">
        <v>1.0</v>
      </c>
      <c r="AI862" s="98">
        <v>0.0</v>
      </c>
      <c r="AJ862" s="98">
        <v>1.0</v>
      </c>
      <c r="AK862" s="98">
        <v>0.0</v>
      </c>
      <c r="AL862" s="98">
        <v>0.0</v>
      </c>
      <c r="AM862" s="98">
        <v>0.0</v>
      </c>
      <c r="AN862" s="98">
        <v>0.0</v>
      </c>
      <c r="AO862" s="98">
        <v>0.0</v>
      </c>
      <c r="AP862" s="98">
        <v>0.0</v>
      </c>
      <c r="AQ862" s="98" t="s">
        <v>4226</v>
      </c>
      <c r="AR862" s="102">
        <v>46238.0</v>
      </c>
      <c r="AS862" s="83">
        <v>1124635.0</v>
      </c>
    </row>
    <row r="863" ht="15.75" customHeight="1">
      <c r="A863" s="111" t="s">
        <v>973</v>
      </c>
      <c r="B863" s="83" t="s">
        <v>4227</v>
      </c>
      <c r="C863" s="83" t="s">
        <v>68</v>
      </c>
      <c r="D863" s="112">
        <v>1129130.0</v>
      </c>
      <c r="E863" s="83"/>
      <c r="F863" s="83">
        <v>2.9251648E7</v>
      </c>
      <c r="G863" s="91" t="str">
        <f>IFERROR(__xludf.DUMMYFUNCTION("XLOOKUP(AS863,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ANISIO TEIXEIRA")</f>
        <v>COLEGIO ESTADUAL DE TEMPO INTEGRAL ANISIO TEIXEIRA</v>
      </c>
      <c r="H863" s="184" t="s">
        <v>4228</v>
      </c>
      <c r="I863" s="91" t="s">
        <v>4229</v>
      </c>
      <c r="J863" s="83" t="s">
        <v>149</v>
      </c>
      <c r="K863" s="83" t="s">
        <v>150</v>
      </c>
      <c r="L863" s="83" t="s">
        <v>151</v>
      </c>
      <c r="M863" s="83" t="s">
        <v>152</v>
      </c>
      <c r="N863" s="137" t="s">
        <v>4230</v>
      </c>
      <c r="O863" s="98" t="s">
        <v>155</v>
      </c>
      <c r="P863" s="99" t="str">
        <f>IFERROR(__xludf.DUMMYFUNCTION("IFERROR(VLOOKUP(AS863,IMPORTRANGE(""https://docs.google.com/spreadsheets/d/1juPI-Fb8LD0YtltB2mlGEnp_R3UVu1t3wSFPzgCyHXE/edit?gid=0#gid=0"",""GERAL!A2:C""),3,0),""-"")"),"-")</f>
        <v>-</v>
      </c>
      <c r="Q863" s="83"/>
      <c r="R863" s="83"/>
      <c r="S863" s="83"/>
      <c r="T863" s="83"/>
      <c r="U863" s="83"/>
      <c r="V863" s="83"/>
      <c r="W863" s="83"/>
      <c r="X863" s="83"/>
      <c r="Y863" s="83"/>
      <c r="Z863" s="83"/>
      <c r="AA863" s="83"/>
      <c r="AB863" s="83"/>
      <c r="AC863" s="83"/>
      <c r="AD863" s="83"/>
      <c r="AE863" s="83"/>
      <c r="AF863" s="83"/>
      <c r="AG863" s="83"/>
      <c r="AH863" s="83"/>
      <c r="AI863" s="83"/>
      <c r="AJ863" s="83"/>
      <c r="AK863" s="83"/>
      <c r="AL863" s="83"/>
      <c r="AM863" s="83"/>
      <c r="AN863" s="83"/>
      <c r="AO863" s="83"/>
      <c r="AP863" s="83"/>
      <c r="AQ863" s="83"/>
      <c r="AR863" s="83"/>
      <c r="AS863" s="83">
        <v>1129130.0</v>
      </c>
    </row>
    <row r="864" ht="15.75" customHeight="1">
      <c r="A864" s="111" t="s">
        <v>973</v>
      </c>
      <c r="B864" s="83" t="s">
        <v>4227</v>
      </c>
      <c r="C864" s="83" t="s">
        <v>164</v>
      </c>
      <c r="D864" s="112">
        <v>1129130.0</v>
      </c>
      <c r="E864" s="83">
        <v>1179021.0</v>
      </c>
      <c r="F864" s="83"/>
      <c r="G864" s="91" t="str">
        <f>IFERROR(__xludf.DUMMYFUNCTION("XLOOKUP(AS864,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ANISIO TEIXEIRA - POVOADO DE ESPRAIADO")</f>
        <v>ANEXO - COLÉGIO ESTADUAL ANISIO TEIXEIRA - POVOADO DE ESPRAIADO</v>
      </c>
      <c r="H864" s="184" t="s">
        <v>4233</v>
      </c>
      <c r="I864" s="91" t="s">
        <v>4234</v>
      </c>
      <c r="J864" s="83" t="s">
        <v>149</v>
      </c>
      <c r="K864" s="83" t="s">
        <v>244</v>
      </c>
      <c r="L864" s="83" t="s">
        <v>168</v>
      </c>
      <c r="M864" s="83" t="s">
        <v>169</v>
      </c>
      <c r="N864" s="115" t="s">
        <v>170</v>
      </c>
      <c r="O864" s="98" t="s">
        <v>155</v>
      </c>
      <c r="P864" s="99" t="str">
        <f>IFERROR(__xludf.DUMMYFUNCTION("IFERROR(VLOOKUP(AS864,IMPORTRANGE(""https://docs.google.com/spreadsheets/d/1juPI-Fb8LD0YtltB2mlGEnp_R3UVu1t3wSFPzgCyHXE/edit?gid=0#gid=0"",""GERAL!A2:C""),3,0),""-"")"),"CAMPO")</f>
        <v>CAMPO</v>
      </c>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c r="AR864" s="83"/>
      <c r="AS864" s="83">
        <v>1179021.0</v>
      </c>
    </row>
    <row r="865" ht="15.75" customHeight="1">
      <c r="A865" s="111" t="s">
        <v>973</v>
      </c>
      <c r="B865" s="83" t="s">
        <v>4235</v>
      </c>
      <c r="C865" s="83" t="s">
        <v>68</v>
      </c>
      <c r="D865" s="112">
        <v>1176379.0</v>
      </c>
      <c r="E865" s="83"/>
      <c r="F865" s="83">
        <v>2.9359805E7</v>
      </c>
      <c r="G865" s="91" t="str">
        <f>IFERROR(__xludf.DUMMYFUNCTION("XLOOKUP(AS865,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PETRONILIO DA SILVA PRADO")</f>
        <v>COLÉGIO ESTADUAL DE TEMPO INTEGRAL PETRONILIO DA SILVA PRADO</v>
      </c>
      <c r="H865" s="184" t="s">
        <v>4236</v>
      </c>
      <c r="I865" s="108" t="s">
        <v>4237</v>
      </c>
      <c r="J865" s="98" t="s">
        <v>4238</v>
      </c>
      <c r="K865" s="83" t="s">
        <v>150</v>
      </c>
      <c r="L865" s="83" t="s">
        <v>151</v>
      </c>
      <c r="M865" s="83" t="s">
        <v>230</v>
      </c>
      <c r="N865" s="137" t="s">
        <v>4239</v>
      </c>
      <c r="O865" s="98" t="s">
        <v>162</v>
      </c>
      <c r="P865" s="99" t="str">
        <f>IFERROR(__xludf.DUMMYFUNCTION("IFERROR(VLOOKUP(AS865,IMPORTRANGE(""https://docs.google.com/spreadsheets/d/1juPI-Fb8LD0YtltB2mlGEnp_R3UVu1t3wSFPzgCyHXE/edit?gid=0#gid=0"",""GERAL!A2:C""),3,0),""-"")"),"-")</f>
        <v>-</v>
      </c>
      <c r="Q865" s="101" t="s">
        <v>4240</v>
      </c>
      <c r="R865" s="98">
        <v>12.0</v>
      </c>
      <c r="S865" s="98">
        <v>0.0</v>
      </c>
      <c r="T865" s="98">
        <v>2.0</v>
      </c>
      <c r="U865" s="98">
        <v>0.0</v>
      </c>
      <c r="V865" s="98">
        <v>1.0</v>
      </c>
      <c r="W865" s="98">
        <v>4.0</v>
      </c>
      <c r="X865" s="98">
        <v>0.0</v>
      </c>
      <c r="Y865" s="98">
        <v>0.0</v>
      </c>
      <c r="Z865" s="98">
        <v>1.0</v>
      </c>
      <c r="AA865" s="98">
        <v>0.0</v>
      </c>
      <c r="AB865" s="98">
        <v>1.0</v>
      </c>
      <c r="AC865" s="98">
        <v>0.0</v>
      </c>
      <c r="AD865" s="98">
        <v>0.0</v>
      </c>
      <c r="AE865" s="98">
        <v>0.0</v>
      </c>
      <c r="AF865" s="98">
        <v>1.0</v>
      </c>
      <c r="AG865" s="98">
        <v>0.0</v>
      </c>
      <c r="AH865" s="98">
        <v>0.0</v>
      </c>
      <c r="AI865" s="98">
        <v>0.0</v>
      </c>
      <c r="AJ865" s="98">
        <v>0.0</v>
      </c>
      <c r="AK865" s="98">
        <v>1.0</v>
      </c>
      <c r="AL865" s="98">
        <v>0.0</v>
      </c>
      <c r="AM865" s="98">
        <v>0.0</v>
      </c>
      <c r="AN865" s="98">
        <v>0.0</v>
      </c>
      <c r="AO865" s="98">
        <v>0.0</v>
      </c>
      <c r="AP865" s="98">
        <v>0.0</v>
      </c>
      <c r="AQ865" s="98" t="s">
        <v>4241</v>
      </c>
      <c r="AR865" s="102">
        <v>46226.0</v>
      </c>
      <c r="AS865" s="83">
        <v>1176379.0</v>
      </c>
    </row>
    <row r="866" ht="15.75" customHeight="1">
      <c r="A866" s="111" t="s">
        <v>973</v>
      </c>
      <c r="B866" s="83" t="s">
        <v>4235</v>
      </c>
      <c r="C866" s="83" t="s">
        <v>164</v>
      </c>
      <c r="D866" s="112">
        <v>1176379.0</v>
      </c>
      <c r="E866" s="83">
        <v>1179022.0</v>
      </c>
      <c r="F866" s="83"/>
      <c r="G866" s="91" t="str">
        <f>IFERROR(__xludf.DUMMYFUNCTION("XLOOKUP(AS866,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PETRONILIO DA SILVA PRADO - DISTRITO DE GUIRAPA")</f>
        <v>ANEXO - COLÉGIO ESTADUAL PETRONILIO DA SILVA PRADO - DISTRITO DE GUIRAPA</v>
      </c>
      <c r="H866" s="184" t="s">
        <v>4242</v>
      </c>
      <c r="I866" s="91" t="s">
        <v>4243</v>
      </c>
      <c r="J866" s="83" t="s">
        <v>149</v>
      </c>
      <c r="K866" s="83" t="s">
        <v>240</v>
      </c>
      <c r="L866" s="83" t="s">
        <v>168</v>
      </c>
      <c r="M866" s="83" t="s">
        <v>169</v>
      </c>
      <c r="N866" s="115" t="s">
        <v>170</v>
      </c>
      <c r="O866" s="98" t="s">
        <v>155</v>
      </c>
      <c r="P866" s="99" t="str">
        <f>IFERROR(__xludf.DUMMYFUNCTION("IFERROR(VLOOKUP(AS866,IMPORTRANGE(""https://docs.google.com/spreadsheets/d/1juPI-Fb8LD0YtltB2mlGEnp_R3UVu1t3wSFPzgCyHXE/edit?gid=0#gid=0"",""GERAL!A2:C""),3,0),""-"")"),"CAMPO")</f>
        <v>CAMPO</v>
      </c>
      <c r="Q866" s="98" t="s">
        <v>171</v>
      </c>
      <c r="R866" s="98">
        <v>2.0</v>
      </c>
      <c r="S866" s="98" t="s">
        <v>171</v>
      </c>
      <c r="T866" s="98" t="s">
        <v>171</v>
      </c>
      <c r="U866" s="98" t="s">
        <v>171</v>
      </c>
      <c r="V866" s="98" t="s">
        <v>171</v>
      </c>
      <c r="W866" s="98" t="s">
        <v>171</v>
      </c>
      <c r="X866" s="98" t="s">
        <v>171</v>
      </c>
      <c r="Y866" s="98" t="s">
        <v>171</v>
      </c>
      <c r="Z866" s="98" t="s">
        <v>171</v>
      </c>
      <c r="AA866" s="98" t="s">
        <v>171</v>
      </c>
      <c r="AB866" s="98" t="s">
        <v>171</v>
      </c>
      <c r="AC866" s="98" t="s">
        <v>171</v>
      </c>
      <c r="AD866" s="98" t="s">
        <v>171</v>
      </c>
      <c r="AE866" s="98" t="s">
        <v>171</v>
      </c>
      <c r="AF866" s="98" t="s">
        <v>171</v>
      </c>
      <c r="AG866" s="98" t="s">
        <v>171</v>
      </c>
      <c r="AH866" s="98" t="s">
        <v>171</v>
      </c>
      <c r="AI866" s="98" t="s">
        <v>171</v>
      </c>
      <c r="AJ866" s="98" t="s">
        <v>171</v>
      </c>
      <c r="AK866" s="98" t="s">
        <v>171</v>
      </c>
      <c r="AL866" s="98" t="s">
        <v>171</v>
      </c>
      <c r="AM866" s="98" t="s">
        <v>171</v>
      </c>
      <c r="AN866" s="98" t="s">
        <v>171</v>
      </c>
      <c r="AO866" s="98" t="s">
        <v>171</v>
      </c>
      <c r="AP866" s="98" t="s">
        <v>171</v>
      </c>
      <c r="AQ866" s="98" t="s">
        <v>171</v>
      </c>
      <c r="AR866" s="102">
        <v>46226.0</v>
      </c>
      <c r="AS866" s="83">
        <v>1179022.0</v>
      </c>
    </row>
    <row r="867" ht="15.75" customHeight="1">
      <c r="A867" s="111" t="s">
        <v>973</v>
      </c>
      <c r="B867" s="83" t="s">
        <v>4251</v>
      </c>
      <c r="C867" s="83" t="s">
        <v>68</v>
      </c>
      <c r="D867" s="112">
        <v>1129416.0</v>
      </c>
      <c r="E867" s="83"/>
      <c r="F867" s="83">
        <v>2.9264049E7</v>
      </c>
      <c r="G867" s="91" t="str">
        <f>IFERROR(__xludf.DUMMYFUNCTION("XLOOKUP(AS867,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LIA PUBLIO DE CASTRO - DISTRITO DE IBITIRA - TEMPO INTEGRAL")</f>
        <v>COLÉGIO ESTADUAL PROFESSORA LIA PUBLIO DE CASTRO - DISTRITO DE IBITIRA - TEMPO INTEGRAL</v>
      </c>
      <c r="H867" s="119" t="s">
        <v>4252</v>
      </c>
      <c r="I867" s="91" t="s">
        <v>4253</v>
      </c>
      <c r="J867" s="136" t="s">
        <v>4254</v>
      </c>
      <c r="K867" s="136" t="s">
        <v>310</v>
      </c>
      <c r="L867" s="83" t="s">
        <v>151</v>
      </c>
      <c r="M867" s="83" t="s">
        <v>76</v>
      </c>
      <c r="N867" s="137" t="s">
        <v>4255</v>
      </c>
      <c r="O867" s="98" t="s">
        <v>162</v>
      </c>
      <c r="P867" s="99" t="str">
        <f>IFERROR(__xludf.DUMMYFUNCTION("IFERROR(VLOOKUP(AS867,IMPORTRANGE(""https://docs.google.com/spreadsheets/d/1juPI-Fb8LD0YtltB2mlGEnp_R3UVu1t3wSFPzgCyHXE/edit?gid=0#gid=0"",""GERAL!A2:C""),3,0),""-"")"),"-")</f>
        <v>-</v>
      </c>
      <c r="Q867" s="83"/>
      <c r="R867" s="83"/>
      <c r="S867" s="83"/>
      <c r="T867" s="83"/>
      <c r="U867" s="83"/>
      <c r="V867" s="83"/>
      <c r="W867" s="83"/>
      <c r="X867" s="83"/>
      <c r="Y867" s="83"/>
      <c r="Z867" s="83"/>
      <c r="AA867" s="83"/>
      <c r="AB867" s="83"/>
      <c r="AC867" s="83"/>
      <c r="AD867" s="83"/>
      <c r="AE867" s="83"/>
      <c r="AF867" s="83"/>
      <c r="AG867" s="83"/>
      <c r="AH867" s="83"/>
      <c r="AI867" s="83"/>
      <c r="AJ867" s="83"/>
      <c r="AK867" s="83"/>
      <c r="AL867" s="83"/>
      <c r="AM867" s="83"/>
      <c r="AN867" s="83"/>
      <c r="AO867" s="83"/>
      <c r="AP867" s="83"/>
      <c r="AQ867" s="83"/>
      <c r="AR867" s="83"/>
      <c r="AS867" s="83">
        <v>1129416.0</v>
      </c>
    </row>
    <row r="868" ht="15.75" customHeight="1">
      <c r="A868" s="111" t="s">
        <v>973</v>
      </c>
      <c r="B868" s="83" t="s">
        <v>4251</v>
      </c>
      <c r="C868" s="83" t="s">
        <v>68</v>
      </c>
      <c r="D868" s="112">
        <v>1176197.0</v>
      </c>
      <c r="E868" s="83"/>
      <c r="F868" s="83">
        <v>2.9263972E7</v>
      </c>
      <c r="G868" s="91" t="str">
        <f>IFERROR(__xludf.DUMMYFUNCTION("XLOOKUP(AS868,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 RIO DO ANTONIO")</f>
        <v>COLEGIO ESTADUAL DE TEMPO INTEGRAL DE RIO DO ANTONIO</v>
      </c>
      <c r="H868" s="119" t="s">
        <v>4258</v>
      </c>
      <c r="I868" s="108" t="s">
        <v>4260</v>
      </c>
      <c r="J868" s="115" t="s">
        <v>4262</v>
      </c>
      <c r="K868" s="136" t="s">
        <v>150</v>
      </c>
      <c r="L868" s="83" t="s">
        <v>151</v>
      </c>
      <c r="M868" s="83" t="s">
        <v>169</v>
      </c>
      <c r="N868" s="137" t="s">
        <v>4264</v>
      </c>
      <c r="O868" s="98" t="s">
        <v>155</v>
      </c>
      <c r="P868" s="99" t="str">
        <f>IFERROR(__xludf.DUMMYFUNCTION("IFERROR(VLOOKUP(AS868,IMPORTRANGE(""https://docs.google.com/spreadsheets/d/1juPI-Fb8LD0YtltB2mlGEnp_R3UVu1t3wSFPzgCyHXE/edit?gid=0#gid=0"",""GERAL!A2:C""),3,0),""-"")"),"-")</f>
        <v>-</v>
      </c>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c r="AR868" s="83"/>
      <c r="AS868" s="83">
        <v>1176197.0</v>
      </c>
    </row>
    <row r="869" ht="15.75" customHeight="1">
      <c r="A869" s="111" t="s">
        <v>973</v>
      </c>
      <c r="B869" s="83" t="s">
        <v>4267</v>
      </c>
      <c r="C869" s="83" t="s">
        <v>68</v>
      </c>
      <c r="D869" s="112">
        <v>1129432.0</v>
      </c>
      <c r="E869" s="83"/>
      <c r="F869" s="83">
        <v>2.9254396E7</v>
      </c>
      <c r="G869" s="91" t="str">
        <f>IFERROR(__xludf.DUMMYFUNCTION("XLOOKUP(AS869,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DOM PEDRO I")</f>
        <v>COLÉGIO ESTADUAL DO CAMPO DE TEMPO INTEGRAL DOM PEDRO I</v>
      </c>
      <c r="H869" s="119" t="s">
        <v>4268</v>
      </c>
      <c r="I869" s="91" t="s">
        <v>4269</v>
      </c>
      <c r="J869" s="136" t="s">
        <v>149</v>
      </c>
      <c r="K869" s="83" t="s">
        <v>150</v>
      </c>
      <c r="L869" s="83" t="s">
        <v>151</v>
      </c>
      <c r="M869" s="83" t="s">
        <v>76</v>
      </c>
      <c r="N869" s="137" t="s">
        <v>4270</v>
      </c>
      <c r="O869" s="98" t="s">
        <v>155</v>
      </c>
      <c r="P869" s="99" t="str">
        <f>IFERROR(__xludf.DUMMYFUNCTION("IFERROR(VLOOKUP(AS869,IMPORTRANGE(""https://docs.google.com/spreadsheets/d/1juPI-Fb8LD0YtltB2mlGEnp_R3UVu1t3wSFPzgCyHXE/edit?gid=0#gid=0"",""GERAL!A2:C""),3,0),""-"")"),"-")</f>
        <v>-</v>
      </c>
      <c r="Q869" s="136"/>
      <c r="R869" s="136"/>
      <c r="S869" s="136"/>
      <c r="T869" s="136"/>
      <c r="U869" s="136"/>
      <c r="V869" s="136"/>
      <c r="W869" s="136"/>
      <c r="X869" s="136"/>
      <c r="Y869" s="136"/>
      <c r="Z869" s="136"/>
      <c r="AA869" s="136"/>
      <c r="AB869" s="136"/>
      <c r="AC869" s="136"/>
      <c r="AD869" s="136"/>
      <c r="AE869" s="136"/>
      <c r="AF869" s="136"/>
      <c r="AG869" s="136"/>
      <c r="AH869" s="136"/>
      <c r="AI869" s="136"/>
      <c r="AJ869" s="136"/>
      <c r="AK869" s="136"/>
      <c r="AL869" s="136"/>
      <c r="AM869" s="136"/>
      <c r="AN869" s="136"/>
      <c r="AO869" s="136"/>
      <c r="AP869" s="136"/>
      <c r="AQ869" s="136"/>
      <c r="AR869" s="136"/>
      <c r="AS869" s="136">
        <v>1129432.0</v>
      </c>
    </row>
    <row r="870" ht="15.75" customHeight="1">
      <c r="A870" s="111" t="s">
        <v>973</v>
      </c>
      <c r="B870" s="83" t="s">
        <v>4278</v>
      </c>
      <c r="C870" s="83" t="s">
        <v>68</v>
      </c>
      <c r="D870" s="112">
        <v>1178173.0</v>
      </c>
      <c r="E870" s="83"/>
      <c r="F870" s="83">
        <v>2.9442095E7</v>
      </c>
      <c r="G870" s="91" t="str">
        <f>IFERROR(__xludf.DUMMYFUNCTION("XLOOKUP(AS870,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JOÃO TEIXEIRA DE NOVAES (ANTIGO - CE COSTA E SILVA - DISTRITO DE SUSSUARANA)")</f>
        <v>COLÉGIO ESTADUAL DE TEMPO INTEGRAL JOÃO TEIXEIRA DE NOVAES (ANTIGO - CE COSTA E SILVA - DISTRITO DE SUSSUARANA)</v>
      </c>
      <c r="H870" s="119" t="s">
        <v>4281</v>
      </c>
      <c r="I870" s="91" t="s">
        <v>4282</v>
      </c>
      <c r="J870" s="172" t="s">
        <v>4283</v>
      </c>
      <c r="K870" s="83" t="s">
        <v>767</v>
      </c>
      <c r="L870" s="83" t="s">
        <v>151</v>
      </c>
      <c r="M870" s="83" t="s">
        <v>169</v>
      </c>
      <c r="N870" s="137" t="s">
        <v>4284</v>
      </c>
      <c r="O870" s="98" t="s">
        <v>155</v>
      </c>
      <c r="P870" s="99" t="str">
        <f>IFERROR(__xludf.DUMMYFUNCTION("IFERROR(VLOOKUP(AS870,IMPORTRANGE(""https://docs.google.com/spreadsheets/d/1juPI-Fb8LD0YtltB2mlGEnp_R3UVu1t3wSFPzgCyHXE/edit?gid=0#gid=0"",""GERAL!A2:C""),3,0),""-"")"),"CAMPO")</f>
        <v>CAMPO</v>
      </c>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c r="AR870" s="83"/>
      <c r="AS870" s="83">
        <v>1178173.0</v>
      </c>
    </row>
    <row r="871" ht="15.75" customHeight="1">
      <c r="A871" s="111" t="s">
        <v>973</v>
      </c>
      <c r="B871" s="83" t="s">
        <v>4278</v>
      </c>
      <c r="C871" s="83" t="s">
        <v>68</v>
      </c>
      <c r="D871" s="112">
        <v>1177101.0</v>
      </c>
      <c r="E871" s="83"/>
      <c r="F871" s="83">
        <v>2.9422167E7</v>
      </c>
      <c r="G871" s="91" t="str">
        <f>IFERROR(__xludf.DUMMYFUNCTION("XLOOKUP(AS871,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EVA ROCHA (ANTIGO ACM)")</f>
        <v>COLÉGIO ESTADUAL DE TEMPO INTEGRAL EVA ROCHA (ANTIGO ACM)</v>
      </c>
      <c r="H871" s="119" t="s">
        <v>4286</v>
      </c>
      <c r="I871" s="91" t="s">
        <v>4287</v>
      </c>
      <c r="J871" s="172" t="s">
        <v>149</v>
      </c>
      <c r="K871" s="83" t="s">
        <v>150</v>
      </c>
      <c r="L871" s="83" t="s">
        <v>151</v>
      </c>
      <c r="M871" s="83" t="s">
        <v>152</v>
      </c>
      <c r="N871" s="137" t="s">
        <v>4288</v>
      </c>
      <c r="O871" s="98" t="s">
        <v>176</v>
      </c>
      <c r="P871" s="99" t="str">
        <f>IFERROR(__xludf.DUMMYFUNCTION("IFERROR(VLOOKUP(AS871,IMPORTRANGE(""https://docs.google.com/spreadsheets/d/1juPI-Fb8LD0YtltB2mlGEnp_R3UVu1t3wSFPzgCyHXE/edit?gid=0#gid=0"",""GERAL!A2:C""),3,0),""-"")"),"-")</f>
        <v>-</v>
      </c>
      <c r="Q871" s="83"/>
      <c r="R871" s="83"/>
      <c r="S871" s="83"/>
      <c r="T871" s="83"/>
      <c r="U871" s="83"/>
      <c r="V871" s="83"/>
      <c r="W871" s="83"/>
      <c r="X871" s="83"/>
      <c r="Y871" s="83"/>
      <c r="Z871" s="83"/>
      <c r="AA871" s="83"/>
      <c r="AB871" s="83"/>
      <c r="AC871" s="83"/>
      <c r="AD871" s="83"/>
      <c r="AE871" s="83"/>
      <c r="AF871" s="83"/>
      <c r="AG871" s="83"/>
      <c r="AH871" s="83"/>
      <c r="AI871" s="83"/>
      <c r="AJ871" s="83"/>
      <c r="AK871" s="83"/>
      <c r="AL871" s="83"/>
      <c r="AM871" s="83"/>
      <c r="AN871" s="83"/>
      <c r="AO871" s="83"/>
      <c r="AP871" s="83"/>
      <c r="AQ871" s="83"/>
      <c r="AR871" s="83"/>
      <c r="AS871" s="83">
        <v>1177101.0</v>
      </c>
    </row>
    <row r="872" ht="15.75" customHeight="1">
      <c r="A872" s="111" t="s">
        <v>973</v>
      </c>
      <c r="B872" s="83" t="s">
        <v>4296</v>
      </c>
      <c r="C872" s="83" t="s">
        <v>45</v>
      </c>
      <c r="D872" s="112">
        <v>1178389.0</v>
      </c>
      <c r="E872" s="83"/>
      <c r="F872" s="83">
        <v>2.9210976E7</v>
      </c>
      <c r="G872" s="91" t="str">
        <f>IFERROR(__xludf.DUMMYFUNCTION("XLOOKUP(AS872,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DE TANQUE NOVO")</f>
        <v>ESCOLA FAMILIA AGRICOLA DE TANQUE NOVO</v>
      </c>
      <c r="H872" s="114" t="s">
        <v>4297</v>
      </c>
      <c r="I872" s="91" t="s">
        <v>4298</v>
      </c>
      <c r="J872" s="83" t="s">
        <v>149</v>
      </c>
      <c r="K872" s="115" t="s">
        <v>4299</v>
      </c>
      <c r="L872" s="83" t="s">
        <v>171</v>
      </c>
      <c r="M872" s="83" t="s">
        <v>169</v>
      </c>
      <c r="N872" s="98" t="s">
        <v>171</v>
      </c>
      <c r="O872" s="98" t="s">
        <v>155</v>
      </c>
      <c r="P872" s="99" t="str">
        <f>IFERROR(__xludf.DUMMYFUNCTION("IFERROR(VLOOKUP(AS872,IMPORTRANGE(""https://docs.google.com/spreadsheets/d/1juPI-Fb8LD0YtltB2mlGEnp_R3UVu1t3wSFPzgCyHXE/edit?gid=0#gid=0"",""GERAL!A2:C""),3,0),""-"")"),"EFA")</f>
        <v>EFA</v>
      </c>
      <c r="Q872" s="101" t="s">
        <v>156</v>
      </c>
      <c r="R872" s="98">
        <v>4.0</v>
      </c>
      <c r="S872" s="98" t="s">
        <v>171</v>
      </c>
      <c r="T872" s="98" t="s">
        <v>171</v>
      </c>
      <c r="U872" s="98" t="s">
        <v>171</v>
      </c>
      <c r="V872" s="98" t="s">
        <v>171</v>
      </c>
      <c r="W872" s="98" t="s">
        <v>171</v>
      </c>
      <c r="X872" s="98" t="s">
        <v>171</v>
      </c>
      <c r="Y872" s="98" t="s">
        <v>171</v>
      </c>
      <c r="Z872" s="98" t="s">
        <v>171</v>
      </c>
      <c r="AA872" s="98" t="s">
        <v>171</v>
      </c>
      <c r="AB872" s="98" t="s">
        <v>171</v>
      </c>
      <c r="AC872" s="98" t="s">
        <v>171</v>
      </c>
      <c r="AD872" s="98" t="s">
        <v>171</v>
      </c>
      <c r="AE872" s="98" t="s">
        <v>171</v>
      </c>
      <c r="AF872" s="98" t="s">
        <v>171</v>
      </c>
      <c r="AG872" s="98" t="s">
        <v>171</v>
      </c>
      <c r="AH872" s="98" t="s">
        <v>171</v>
      </c>
      <c r="AI872" s="98" t="s">
        <v>171</v>
      </c>
      <c r="AJ872" s="98" t="s">
        <v>171</v>
      </c>
      <c r="AK872" s="98" t="s">
        <v>171</v>
      </c>
      <c r="AL872" s="98" t="s">
        <v>171</v>
      </c>
      <c r="AM872" s="98" t="s">
        <v>171</v>
      </c>
      <c r="AN872" s="98" t="s">
        <v>171</v>
      </c>
      <c r="AO872" s="98" t="s">
        <v>171</v>
      </c>
      <c r="AP872" s="98" t="s">
        <v>171</v>
      </c>
      <c r="AQ872" s="98" t="s">
        <v>171</v>
      </c>
      <c r="AR872" s="102">
        <v>46226.0</v>
      </c>
      <c r="AS872" s="83">
        <v>1178389.0</v>
      </c>
    </row>
    <row r="873" ht="15.75" customHeight="1">
      <c r="A873" s="111" t="s">
        <v>973</v>
      </c>
      <c r="B873" s="83" t="s">
        <v>4296</v>
      </c>
      <c r="C873" s="83" t="s">
        <v>68</v>
      </c>
      <c r="D873" s="112">
        <v>1127910.0</v>
      </c>
      <c r="E873" s="83"/>
      <c r="F873" s="83">
        <v>2.921095E7</v>
      </c>
      <c r="G873" s="91" t="str">
        <f>IFERROR(__xludf.DUMMYFUNCTION("XLOOKUP(AS873,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TANQUE NOVO")</f>
        <v>COLÉGIO ESTADUAL DE TEMPO INTEGRAL DE TANQUE NOVO</v>
      </c>
      <c r="H873" s="119" t="s">
        <v>4301</v>
      </c>
      <c r="I873" s="108" t="s">
        <v>4302</v>
      </c>
      <c r="J873" s="229" t="s">
        <v>4303</v>
      </c>
      <c r="K873" s="136" t="s">
        <v>150</v>
      </c>
      <c r="L873" s="83" t="s">
        <v>151</v>
      </c>
      <c r="M873" s="98" t="s">
        <v>230</v>
      </c>
      <c r="N873" s="98" t="s">
        <v>4304</v>
      </c>
      <c r="O873" s="98" t="s">
        <v>162</v>
      </c>
      <c r="P873" s="99" t="str">
        <f>IFERROR(__xludf.DUMMYFUNCTION("IFERROR(VLOOKUP(AS873,IMPORTRANGE(""https://docs.google.com/spreadsheets/d/1juPI-Fb8LD0YtltB2mlGEnp_R3UVu1t3wSFPzgCyHXE/edit?gid=0#gid=0"",""GERAL!A2:C""),3,0),""-"")"),"-")</f>
        <v>-</v>
      </c>
      <c r="Q873" s="101" t="s">
        <v>156</v>
      </c>
      <c r="R873" s="98">
        <v>17.0</v>
      </c>
      <c r="S873" s="98">
        <v>0.0</v>
      </c>
      <c r="T873" s="98">
        <v>2.0</v>
      </c>
      <c r="U873" s="98">
        <v>0.0</v>
      </c>
      <c r="V873" s="98">
        <v>1.0</v>
      </c>
      <c r="W873" s="98">
        <v>4.0</v>
      </c>
      <c r="X873" s="98">
        <v>0.0</v>
      </c>
      <c r="Y873" s="98">
        <v>0.0</v>
      </c>
      <c r="Z873" s="98">
        <v>1.0</v>
      </c>
      <c r="AA873" s="98">
        <v>0.0</v>
      </c>
      <c r="AB873" s="98">
        <v>1.0</v>
      </c>
      <c r="AC873" s="98">
        <v>0.0</v>
      </c>
      <c r="AD873" s="98">
        <v>0.0</v>
      </c>
      <c r="AE873" s="98">
        <v>0.0</v>
      </c>
      <c r="AF873" s="98">
        <v>1.0</v>
      </c>
      <c r="AG873" s="98">
        <v>0.0</v>
      </c>
      <c r="AH873" s="98">
        <v>0.0</v>
      </c>
      <c r="AI873" s="98">
        <v>0.0</v>
      </c>
      <c r="AJ873" s="98">
        <v>0.0</v>
      </c>
      <c r="AK873" s="98">
        <v>1.0</v>
      </c>
      <c r="AL873" s="98">
        <v>0.0</v>
      </c>
      <c r="AM873" s="98">
        <v>0.0</v>
      </c>
      <c r="AN873" s="98">
        <v>0.0</v>
      </c>
      <c r="AO873" s="98">
        <v>0.0</v>
      </c>
      <c r="AP873" s="98">
        <v>0.0</v>
      </c>
      <c r="AQ873" s="98" t="s">
        <v>4305</v>
      </c>
      <c r="AR873" s="102">
        <v>46226.0</v>
      </c>
      <c r="AS873" s="83">
        <v>1127910.0</v>
      </c>
    </row>
    <row r="874" ht="15.75" customHeight="1">
      <c r="A874" s="111" t="s">
        <v>973</v>
      </c>
      <c r="B874" s="83" t="s">
        <v>4306</v>
      </c>
      <c r="C874" s="83" t="s">
        <v>68</v>
      </c>
      <c r="D874" s="112">
        <v>1137346.0</v>
      </c>
      <c r="E874" s="83"/>
      <c r="F874" s="83">
        <v>2.9254426E7</v>
      </c>
      <c r="G874" s="91" t="str">
        <f>IFERROR(__xludf.DUMMYFUNCTION("XLOOKUP(AS874,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URANDI")</f>
        <v>COLÉGIO ESTADUAL DE TEMPO INTEGRAL DE URANDI</v>
      </c>
      <c r="H874" s="119" t="s">
        <v>4307</v>
      </c>
      <c r="I874" s="108" t="s">
        <v>4308</v>
      </c>
      <c r="J874" s="229" t="s">
        <v>4309</v>
      </c>
      <c r="K874" s="83" t="s">
        <v>150</v>
      </c>
      <c r="L874" s="83" t="s">
        <v>151</v>
      </c>
      <c r="M874" s="83" t="s">
        <v>152</v>
      </c>
      <c r="N874" s="98" t="s">
        <v>4310</v>
      </c>
      <c r="O874" s="98" t="s">
        <v>155</v>
      </c>
      <c r="P874" s="99" t="str">
        <f>IFERROR(__xludf.DUMMYFUNCTION("IFERROR(VLOOKUP(AS874,IMPORTRANGE(""https://docs.google.com/spreadsheets/d/1juPI-Fb8LD0YtltB2mlGEnp_R3UVu1t3wSFPzgCyHXE/edit?gid=0#gid=0"",""GERAL!A2:C""),3,0),""-"")"),"-")</f>
        <v>-</v>
      </c>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c r="AR874" s="83"/>
      <c r="AS874" s="83">
        <v>1137346.0</v>
      </c>
    </row>
    <row r="875" ht="15.75" customHeight="1">
      <c r="A875" s="111" t="s">
        <v>1027</v>
      </c>
      <c r="B875" s="83" t="s">
        <v>4311</v>
      </c>
      <c r="C875" s="83" t="s">
        <v>68</v>
      </c>
      <c r="D875" s="112">
        <v>1123183.0</v>
      </c>
      <c r="E875" s="83"/>
      <c r="F875" s="83">
        <v>2.9081815E7</v>
      </c>
      <c r="G875" s="91" t="str">
        <f>IFERROR(__xludf.DUMMYFUNCTION("XLOOKUP(AS875,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EDGAR SANTOS - POVOADO DE AMPARO")</f>
        <v>COLÉGIO ESTADUAL DO CAMPO EDGAR SANTOS - POVOADO DE AMPARO</v>
      </c>
      <c r="H875" s="119" t="s">
        <v>4312</v>
      </c>
      <c r="I875" s="91" t="s">
        <v>4313</v>
      </c>
      <c r="J875" s="136" t="s">
        <v>4314</v>
      </c>
      <c r="K875" s="83" t="s">
        <v>519</v>
      </c>
      <c r="L875" s="83" t="s">
        <v>1685</v>
      </c>
      <c r="M875" s="83" t="s">
        <v>169</v>
      </c>
      <c r="N875" s="98" t="s">
        <v>4315</v>
      </c>
      <c r="O875" s="98" t="s">
        <v>155</v>
      </c>
      <c r="P875" s="99" t="str">
        <f>IFERROR(__xludf.DUMMYFUNCTION("IFERROR(VLOOKUP(AS875,IMPORTRANGE(""https://docs.google.com/spreadsheets/d/1juPI-Fb8LD0YtltB2mlGEnp_R3UVu1t3wSFPzgCyHXE/edit?gid=0#gid=0"",""GERAL!A2:C""),3,0),""-"")"),"CAMPO")</f>
        <v>CAMPO</v>
      </c>
      <c r="Q875" s="83"/>
      <c r="R875" s="83"/>
      <c r="S875" s="83"/>
      <c r="T875" s="83"/>
      <c r="U875" s="83"/>
      <c r="V875" s="83"/>
      <c r="W875" s="83"/>
      <c r="X875" s="83"/>
      <c r="Y875" s="83"/>
      <c r="Z875" s="83"/>
      <c r="AA875" s="83"/>
      <c r="AB875" s="83"/>
      <c r="AC875" s="83"/>
      <c r="AD875" s="83"/>
      <c r="AE875" s="83"/>
      <c r="AF875" s="83"/>
      <c r="AG875" s="83"/>
      <c r="AH875" s="83"/>
      <c r="AI875" s="83"/>
      <c r="AJ875" s="83"/>
      <c r="AK875" s="83"/>
      <c r="AL875" s="83"/>
      <c r="AM875" s="83"/>
      <c r="AN875" s="83"/>
      <c r="AO875" s="83"/>
      <c r="AP875" s="83"/>
      <c r="AQ875" s="83"/>
      <c r="AR875" s="83"/>
      <c r="AS875" s="83">
        <v>1123183.0</v>
      </c>
    </row>
    <row r="876" ht="15.75" customHeight="1">
      <c r="A876" s="111" t="s">
        <v>1027</v>
      </c>
      <c r="B876" s="83" t="s">
        <v>4311</v>
      </c>
      <c r="C876" s="83" t="s">
        <v>68</v>
      </c>
      <c r="D876" s="112">
        <v>1164351.0</v>
      </c>
      <c r="E876" s="83"/>
      <c r="F876" s="83">
        <v>2.908144E7</v>
      </c>
      <c r="G876" s="91" t="str">
        <f>IFERROR(__xludf.DUMMYFUNCTION("XLOOKUP(AS876,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CASTELO BRANCO - POVOADO TERRA BOA")</f>
        <v>COLÉGIO ESTADUAL DO CAMPO CASTELO BRANCO - POVOADO TERRA BOA</v>
      </c>
      <c r="H876" s="119" t="s">
        <v>4316</v>
      </c>
      <c r="I876" s="91" t="s">
        <v>4317</v>
      </c>
      <c r="J876" s="136" t="s">
        <v>4318</v>
      </c>
      <c r="K876" s="83" t="s">
        <v>4319</v>
      </c>
      <c r="L876" s="83" t="s">
        <v>151</v>
      </c>
      <c r="M876" s="83" t="s">
        <v>169</v>
      </c>
      <c r="N876" s="98" t="s">
        <v>4320</v>
      </c>
      <c r="O876" s="98" t="s">
        <v>155</v>
      </c>
      <c r="P876" s="99" t="str">
        <f>IFERROR(__xludf.DUMMYFUNCTION("IFERROR(VLOOKUP(AS876,IMPORTRANGE(""https://docs.google.com/spreadsheets/d/1juPI-Fb8LD0YtltB2mlGEnp_R3UVu1t3wSFPzgCyHXE/edit?gid=0#gid=0"",""GERAL!A2:C""),3,0),""-"")"),"CAMPO")</f>
        <v>CAMPO</v>
      </c>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c r="AR876" s="83"/>
      <c r="AS876" s="83">
        <v>1164351.0</v>
      </c>
    </row>
    <row r="877" ht="15.75" customHeight="1">
      <c r="A877" s="111" t="s">
        <v>1027</v>
      </c>
      <c r="B877" s="83" t="s">
        <v>4311</v>
      </c>
      <c r="C877" s="83" t="s">
        <v>68</v>
      </c>
      <c r="D877" s="112">
        <v>1179112.0</v>
      </c>
      <c r="E877" s="83"/>
      <c r="F877" s="83">
        <v>2.9450837E7</v>
      </c>
      <c r="G877" s="91" t="str">
        <f>IFERROR(__xludf.DUMMYFUNCTION("XLOOKUP(AS877,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ALOISIO DAMASCENO DE JESUS- ASSENTAMENTO BEIRA RIO")</f>
        <v>COLÉGIO ESTADUAL DO CAMPO ALOISIO DAMASCENO DE JESUS- ASSENTAMENTO BEIRA RIO</v>
      </c>
      <c r="H877" s="119" t="s">
        <v>4321</v>
      </c>
      <c r="I877" s="91" t="s">
        <v>4322</v>
      </c>
      <c r="J877" s="83" t="s">
        <v>4323</v>
      </c>
      <c r="K877" s="83" t="s">
        <v>4324</v>
      </c>
      <c r="L877" s="83" t="s">
        <v>151</v>
      </c>
      <c r="M877" s="83" t="s">
        <v>169</v>
      </c>
      <c r="N877" s="98" t="s">
        <v>4325</v>
      </c>
      <c r="O877" s="98" t="s">
        <v>155</v>
      </c>
      <c r="P877" s="99" t="str">
        <f>IFERROR(__xludf.DUMMYFUNCTION("IFERROR(VLOOKUP(AS877,IMPORTRANGE(""https://docs.google.com/spreadsheets/d/1juPI-Fb8LD0YtltB2mlGEnp_R3UVu1t3wSFPzgCyHXE/edit?gid=0#gid=0"",""GERAL!A2:C""),3,0),""-"")"),"ASSENTAMENTOS")</f>
        <v>ASSENTAMENTOS</v>
      </c>
      <c r="Q877" s="83"/>
      <c r="R877" s="83"/>
      <c r="S877" s="83"/>
      <c r="T877" s="83"/>
      <c r="U877" s="83"/>
      <c r="V877" s="83"/>
      <c r="W877" s="83"/>
      <c r="X877" s="83"/>
      <c r="Y877" s="83"/>
      <c r="Z877" s="83"/>
      <c r="AA877" s="83"/>
      <c r="AB877" s="83"/>
      <c r="AC877" s="83"/>
      <c r="AD877" s="83"/>
      <c r="AE877" s="83"/>
      <c r="AF877" s="83"/>
      <c r="AG877" s="83"/>
      <c r="AH877" s="83"/>
      <c r="AI877" s="83"/>
      <c r="AJ877" s="83"/>
      <c r="AK877" s="83"/>
      <c r="AL877" s="83"/>
      <c r="AM877" s="83"/>
      <c r="AN877" s="83"/>
      <c r="AO877" s="83"/>
      <c r="AP877" s="83"/>
      <c r="AQ877" s="83"/>
      <c r="AR877" s="83"/>
      <c r="AS877" s="83">
        <v>1179112.0</v>
      </c>
    </row>
    <row r="878" ht="15.75" customHeight="1">
      <c r="A878" s="111" t="s">
        <v>1027</v>
      </c>
      <c r="B878" s="83" t="s">
        <v>4311</v>
      </c>
      <c r="C878" s="83" t="s">
        <v>68</v>
      </c>
      <c r="D878" s="112">
        <v>1123159.0</v>
      </c>
      <c r="E878" s="83"/>
      <c r="F878" s="83">
        <v>2.9081319E7</v>
      </c>
      <c r="G878" s="91" t="str">
        <f>IFERROR(__xludf.DUMMYFUNCTION("XLOOKUP(AS878,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BOA VISTA DO TUPIM")</f>
        <v>COLÉGIO ESTADUAL BOA VISTA DO TUPIM</v>
      </c>
      <c r="H878" s="119" t="s">
        <v>4326</v>
      </c>
      <c r="I878" s="91" t="s">
        <v>4327</v>
      </c>
      <c r="J878" s="83" t="s">
        <v>149</v>
      </c>
      <c r="K878" s="83" t="s">
        <v>150</v>
      </c>
      <c r="L878" s="83" t="s">
        <v>151</v>
      </c>
      <c r="M878" s="98" t="s">
        <v>1421</v>
      </c>
      <c r="N878" s="98" t="s">
        <v>4329</v>
      </c>
      <c r="O878" s="98" t="s">
        <v>155</v>
      </c>
      <c r="P878" s="99" t="str">
        <f>IFERROR(__xludf.DUMMYFUNCTION("IFERROR(VLOOKUP(AS878,IMPORTRANGE(""https://docs.google.com/spreadsheets/d/1juPI-Fb8LD0YtltB2mlGEnp_R3UVu1t3wSFPzgCyHXE/edit?gid=0#gid=0"",""GERAL!A2:C""),3,0),""-"")"),"-")</f>
        <v>-</v>
      </c>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c r="AR878" s="83"/>
      <c r="AS878" s="83">
        <v>1123159.0</v>
      </c>
    </row>
    <row r="879" ht="15.75" customHeight="1">
      <c r="A879" s="111" t="s">
        <v>1027</v>
      </c>
      <c r="B879" s="83" t="s">
        <v>4311</v>
      </c>
      <c r="C879" s="83" t="s">
        <v>164</v>
      </c>
      <c r="D879" s="112">
        <v>1179112.0</v>
      </c>
      <c r="E879" s="83">
        <v>1179187.0</v>
      </c>
      <c r="F879" s="83"/>
      <c r="G879" s="91" t="str">
        <f>IFERROR(__xludf.DUMMYFUNCTION("XLOOKUP(AS879,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DO CAMPO ALOISIO DAMASCENO DE JESUS - ASSENTAMENTO BARRA VERDE")</f>
        <v>ANEXO - COLÉGIO ESTADUAL DO CAMPO ALOISIO DAMASCENO DE JESUS - ASSENTAMENTO BARRA VERDE</v>
      </c>
      <c r="H879" s="119" t="s">
        <v>4336</v>
      </c>
      <c r="I879" s="91" t="s">
        <v>4337</v>
      </c>
      <c r="J879" s="83" t="s">
        <v>4338</v>
      </c>
      <c r="K879" s="83" t="s">
        <v>467</v>
      </c>
      <c r="L879" s="83" t="s">
        <v>168</v>
      </c>
      <c r="M879" s="83" t="s">
        <v>169</v>
      </c>
      <c r="N879" s="115" t="s">
        <v>170</v>
      </c>
      <c r="O879" s="98" t="s">
        <v>155</v>
      </c>
      <c r="P879" s="99" t="str">
        <f>IFERROR(__xludf.DUMMYFUNCTION("IFERROR(VLOOKUP(AS879,IMPORTRANGE(""https://docs.google.com/spreadsheets/d/1juPI-Fb8LD0YtltB2mlGEnp_R3UVu1t3wSFPzgCyHXE/edit?gid=0#gid=0"",""GERAL!A2:C""),3,0),""-"")"),"ASSENTAMENTOS")</f>
        <v>ASSENTAMENTOS</v>
      </c>
      <c r="Q879" s="83"/>
      <c r="R879" s="83"/>
      <c r="S879" s="83"/>
      <c r="T879" s="83"/>
      <c r="U879" s="83"/>
      <c r="V879" s="83"/>
      <c r="W879" s="83"/>
      <c r="X879" s="83"/>
      <c r="Y879" s="83"/>
      <c r="Z879" s="83"/>
      <c r="AA879" s="83"/>
      <c r="AB879" s="83"/>
      <c r="AC879" s="83"/>
      <c r="AD879" s="83"/>
      <c r="AE879" s="83"/>
      <c r="AF879" s="83"/>
      <c r="AG879" s="83"/>
      <c r="AH879" s="83"/>
      <c r="AI879" s="83"/>
      <c r="AJ879" s="83"/>
      <c r="AK879" s="83"/>
      <c r="AL879" s="83"/>
      <c r="AM879" s="83"/>
      <c r="AN879" s="83"/>
      <c r="AO879" s="83"/>
      <c r="AP879" s="83"/>
      <c r="AQ879" s="83"/>
      <c r="AR879" s="83"/>
      <c r="AS879" s="83">
        <v>1179187.0</v>
      </c>
    </row>
    <row r="880" ht="15.75" customHeight="1">
      <c r="A880" s="111" t="s">
        <v>1027</v>
      </c>
      <c r="B880" s="83" t="s">
        <v>4344</v>
      </c>
      <c r="C880" s="83" t="s">
        <v>68</v>
      </c>
      <c r="D880" s="112">
        <v>1123310.0</v>
      </c>
      <c r="E880" s="83"/>
      <c r="F880" s="83">
        <v>2.9082234E7</v>
      </c>
      <c r="G880" s="91" t="str">
        <f>IFERROR(__xludf.DUMMYFUNCTION("XLOOKUP(AS880,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LAURO FARANI PEDREIRA DE FREITAS")</f>
        <v>COLÉGIO ESTADUAL DE TEMPO INTEGRAL LAURO FARANI PEDREIRA DE FREITAS</v>
      </c>
      <c r="H880" s="119" t="s">
        <v>4347</v>
      </c>
      <c r="I880" s="91" t="s">
        <v>4348</v>
      </c>
      <c r="J880" s="136" t="s">
        <v>149</v>
      </c>
      <c r="K880" s="83" t="s">
        <v>150</v>
      </c>
      <c r="L880" s="83" t="s">
        <v>151</v>
      </c>
      <c r="M880" s="83" t="s">
        <v>230</v>
      </c>
      <c r="N880" s="98" t="s">
        <v>4349</v>
      </c>
      <c r="O880" s="98" t="s">
        <v>155</v>
      </c>
      <c r="P880" s="99" t="str">
        <f>IFERROR(__xludf.DUMMYFUNCTION("IFERROR(VLOOKUP(AS880,IMPORTRANGE(""https://docs.google.com/spreadsheets/d/1juPI-Fb8LD0YtltB2mlGEnp_R3UVu1t3wSFPzgCyHXE/edit?gid=0#gid=0"",""GERAL!A2:C""),3,0),""-"")"),"-")</f>
        <v>-</v>
      </c>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c r="AR880" s="83"/>
      <c r="AS880" s="83">
        <v>1123310.0</v>
      </c>
    </row>
    <row r="881" ht="15.75" customHeight="1">
      <c r="A881" s="111" t="s">
        <v>1027</v>
      </c>
      <c r="B881" s="83" t="s">
        <v>4344</v>
      </c>
      <c r="C881" s="83" t="s">
        <v>164</v>
      </c>
      <c r="D881" s="112">
        <v>1123310.0</v>
      </c>
      <c r="E881" s="83">
        <v>1178736.0</v>
      </c>
      <c r="F881" s="83"/>
      <c r="G881" s="91" t="str">
        <f>IFERROR(__xludf.DUMMYFUNCTION("XLOOKUP(AS881,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LAURO FARANI PEDREIRA DE FREITAS - POVOADO JOAO AMARO")</f>
        <v>ANEXO - COLÉGIO ESTADUAL LAURO FARANI PEDREIRA DE FREITAS - POVOADO JOAO AMARO</v>
      </c>
      <c r="H881" s="119" t="s">
        <v>4350</v>
      </c>
      <c r="I881" s="91" t="s">
        <v>4351</v>
      </c>
      <c r="J881" s="136" t="s">
        <v>4352</v>
      </c>
      <c r="K881" s="83" t="s">
        <v>4353</v>
      </c>
      <c r="L881" s="83" t="s">
        <v>168</v>
      </c>
      <c r="M881" s="83" t="s">
        <v>169</v>
      </c>
      <c r="N881" s="115" t="s">
        <v>170</v>
      </c>
      <c r="O881" s="98" t="s">
        <v>155</v>
      </c>
      <c r="P881" s="99" t="str">
        <f>IFERROR(__xludf.DUMMYFUNCTION("IFERROR(VLOOKUP(AS881,IMPORTRANGE(""https://docs.google.com/spreadsheets/d/1juPI-Fb8LD0YtltB2mlGEnp_R3UVu1t3wSFPzgCyHXE/edit?gid=0#gid=0"",""GERAL!A2:C""),3,0),""-"")"),"CAMPO")</f>
        <v>CAMPO</v>
      </c>
      <c r="Q881" s="83"/>
      <c r="R881" s="83"/>
      <c r="S881" s="83"/>
      <c r="T881" s="83"/>
      <c r="U881" s="83"/>
      <c r="V881" s="83"/>
      <c r="W881" s="83"/>
      <c r="X881" s="83"/>
      <c r="Y881" s="83"/>
      <c r="Z881" s="83"/>
      <c r="AA881" s="83"/>
      <c r="AB881" s="83"/>
      <c r="AC881" s="83"/>
      <c r="AD881" s="83"/>
      <c r="AE881" s="83"/>
      <c r="AF881" s="83"/>
      <c r="AG881" s="83"/>
      <c r="AH881" s="83"/>
      <c r="AI881" s="83"/>
      <c r="AJ881" s="83"/>
      <c r="AK881" s="83"/>
      <c r="AL881" s="83"/>
      <c r="AM881" s="83"/>
      <c r="AN881" s="83"/>
      <c r="AO881" s="83"/>
      <c r="AP881" s="83"/>
      <c r="AQ881" s="83"/>
      <c r="AR881" s="83"/>
      <c r="AS881" s="83">
        <v>1178736.0</v>
      </c>
    </row>
    <row r="882" ht="15.75" customHeight="1">
      <c r="A882" s="111" t="s">
        <v>1027</v>
      </c>
      <c r="B882" s="83" t="s">
        <v>4358</v>
      </c>
      <c r="C882" s="83" t="s">
        <v>68</v>
      </c>
      <c r="D882" s="112">
        <v>1164343.0</v>
      </c>
      <c r="E882" s="83"/>
      <c r="F882" s="83">
        <v>2.9083044E7</v>
      </c>
      <c r="G882" s="91" t="str">
        <f>IFERROR(__xludf.DUMMYFUNCTION("XLOOKUP(AS882,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IBIQUERA")</f>
        <v>COLÉGIO ESTADUAL DE IBIQUERA</v>
      </c>
      <c r="H882" s="119" t="s">
        <v>4359</v>
      </c>
      <c r="I882" s="91" t="s">
        <v>4360</v>
      </c>
      <c r="J882" s="83" t="s">
        <v>149</v>
      </c>
      <c r="K882" s="83" t="s">
        <v>150</v>
      </c>
      <c r="L882" s="83" t="s">
        <v>151</v>
      </c>
      <c r="M882" s="98" t="s">
        <v>76</v>
      </c>
      <c r="N882" s="137" t="s">
        <v>4361</v>
      </c>
      <c r="O882" s="98" t="s">
        <v>155</v>
      </c>
      <c r="P882" s="99" t="str">
        <f>IFERROR(__xludf.DUMMYFUNCTION("IFERROR(VLOOKUP(AS882,IMPORTRANGE(""https://docs.google.com/spreadsheets/d/1juPI-Fb8LD0YtltB2mlGEnp_R3UVu1t3wSFPzgCyHXE/edit?gid=0#gid=0"",""GERAL!A2:C""),3,0),""-"")"),"-")</f>
        <v>-</v>
      </c>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v>1164343.0</v>
      </c>
    </row>
    <row r="883" ht="15.75" customHeight="1">
      <c r="A883" s="111" t="s">
        <v>1027</v>
      </c>
      <c r="B883" s="83" t="s">
        <v>2536</v>
      </c>
      <c r="C883" s="83" t="s">
        <v>68</v>
      </c>
      <c r="D883" s="112">
        <v>1176429.0</v>
      </c>
      <c r="E883" s="83"/>
      <c r="F883" s="83">
        <v>2.9393949E7</v>
      </c>
      <c r="G883" s="91" t="str">
        <f>IFERROR(__xludf.DUMMYFUNCTION("XLOOKUP(AS883,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DARCI MARQUES DOS SANTOS
(ANTIGO: COLÉGIO MODELO LUIS EDUARDO MAGALHÃES)")</f>
        <v>COLÉGIO ESTADUAL DE TEMPO INTEGRAL DARCI MARQUES DOS SANTOS
(ANTIGO: COLÉGIO MODELO LUIS EDUARDO MAGALHÃES)</v>
      </c>
      <c r="H883" s="218" t="s">
        <v>4369</v>
      </c>
      <c r="I883" s="91" t="s">
        <v>4371</v>
      </c>
      <c r="J883" s="172" t="s">
        <v>4373</v>
      </c>
      <c r="K883" s="83" t="s">
        <v>150</v>
      </c>
      <c r="L883" s="83" t="s">
        <v>151</v>
      </c>
      <c r="M883" s="83" t="s">
        <v>230</v>
      </c>
      <c r="N883" s="98" t="s">
        <v>4374</v>
      </c>
      <c r="O883" s="98" t="s">
        <v>176</v>
      </c>
      <c r="P883" s="99" t="str">
        <f>IFERROR(__xludf.DUMMYFUNCTION("IFERROR(VLOOKUP(AS883,IMPORTRANGE(""https://docs.google.com/spreadsheets/d/1juPI-Fb8LD0YtltB2mlGEnp_R3UVu1t3wSFPzgCyHXE/edit?gid=0#gid=0"",""GERAL!A2:C""),3,0),""-"")"),"-")</f>
        <v>-</v>
      </c>
      <c r="Q883" s="101" t="s">
        <v>156</v>
      </c>
      <c r="R883" s="98">
        <v>25.0</v>
      </c>
      <c r="S883" s="98">
        <v>0.0</v>
      </c>
      <c r="T883" s="98">
        <v>0.0</v>
      </c>
      <c r="U883" s="98">
        <v>0.0</v>
      </c>
      <c r="V883" s="98">
        <v>1.0</v>
      </c>
      <c r="W883" s="98">
        <v>0.0</v>
      </c>
      <c r="X883" s="98">
        <v>0.0</v>
      </c>
      <c r="Y883" s="98">
        <v>0.0</v>
      </c>
      <c r="Z883" s="98">
        <v>0.0</v>
      </c>
      <c r="AA883" s="98">
        <v>1.0</v>
      </c>
      <c r="AB883" s="98">
        <v>1.0</v>
      </c>
      <c r="AC883" s="98">
        <v>0.0</v>
      </c>
      <c r="AD883" s="98">
        <v>0.0</v>
      </c>
      <c r="AE883" s="98">
        <v>0.0</v>
      </c>
      <c r="AF883" s="98">
        <v>1.0</v>
      </c>
      <c r="AG883" s="98">
        <v>0.0</v>
      </c>
      <c r="AH883" s="98">
        <v>0.0</v>
      </c>
      <c r="AI883" s="98">
        <v>0.0</v>
      </c>
      <c r="AJ883" s="98">
        <v>1.0</v>
      </c>
      <c r="AK883" s="98">
        <v>0.0</v>
      </c>
      <c r="AL883" s="98">
        <v>0.0</v>
      </c>
      <c r="AM883" s="98">
        <v>0.0</v>
      </c>
      <c r="AN883" s="98">
        <v>0.0</v>
      </c>
      <c r="AO883" s="98">
        <v>0.0</v>
      </c>
      <c r="AP883" s="98">
        <v>1.0</v>
      </c>
      <c r="AQ883" s="98" t="s">
        <v>4381</v>
      </c>
      <c r="AR883" s="102">
        <v>46231.0</v>
      </c>
      <c r="AS883" s="83">
        <v>1176429.0</v>
      </c>
    </row>
    <row r="884" ht="15.75" customHeight="1">
      <c r="A884" s="111" t="s">
        <v>1027</v>
      </c>
      <c r="B884" s="83" t="s">
        <v>2536</v>
      </c>
      <c r="C884" s="83" t="s">
        <v>68</v>
      </c>
      <c r="D884" s="112">
        <v>1123485.0</v>
      </c>
      <c r="E884" s="83"/>
      <c r="F884" s="83">
        <v>2.9084202E7</v>
      </c>
      <c r="G884" s="91" t="str">
        <f>IFERROR(__xludf.DUMMYFUNCTION("XLOOKUP(AS884,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CENTENARIO - EM TEMPO INTEGRAL")</f>
        <v>COLÉGIO ESTADUAL CENTENARIO - EM TEMPO INTEGRAL</v>
      </c>
      <c r="H884" s="184" t="s">
        <v>4382</v>
      </c>
      <c r="I884" s="91" t="s">
        <v>4383</v>
      </c>
      <c r="J884" s="83" t="s">
        <v>4384</v>
      </c>
      <c r="K884" s="83" t="s">
        <v>150</v>
      </c>
      <c r="L884" s="83" t="s">
        <v>151</v>
      </c>
      <c r="M884" s="83" t="s">
        <v>152</v>
      </c>
      <c r="N884" s="137" t="s">
        <v>4385</v>
      </c>
      <c r="O884" s="98" t="s">
        <v>155</v>
      </c>
      <c r="P884" s="99" t="str">
        <f>IFERROR(__xludf.DUMMYFUNCTION("IFERROR(VLOOKUP(AS884,IMPORTRANGE(""https://docs.google.com/spreadsheets/d/1juPI-Fb8LD0YtltB2mlGEnp_R3UVu1t3wSFPzgCyHXE/edit?gid=0#gid=0"",""GERAL!A2:C""),3,0),""-"")"),"-")</f>
        <v>-</v>
      </c>
      <c r="Q884" s="101" t="s">
        <v>156</v>
      </c>
      <c r="R884" s="98">
        <v>7.0</v>
      </c>
      <c r="S884" s="98">
        <v>1.0</v>
      </c>
      <c r="T884" s="98">
        <v>0.0</v>
      </c>
      <c r="U884" s="98">
        <v>0.0</v>
      </c>
      <c r="V884" s="98">
        <v>0.0</v>
      </c>
      <c r="W884" s="98">
        <v>1.0</v>
      </c>
      <c r="X884" s="98">
        <v>0.0</v>
      </c>
      <c r="Y884" s="98">
        <v>0.0</v>
      </c>
      <c r="Z884" s="98">
        <v>0.0</v>
      </c>
      <c r="AA884" s="98">
        <v>0.0</v>
      </c>
      <c r="AB884" s="98">
        <v>0.0</v>
      </c>
      <c r="AC884" s="98">
        <v>0.0</v>
      </c>
      <c r="AD884" s="98">
        <v>0.0</v>
      </c>
      <c r="AE884" s="98">
        <v>0.0</v>
      </c>
      <c r="AF884" s="98">
        <v>0.0</v>
      </c>
      <c r="AG884" s="98">
        <v>1.0</v>
      </c>
      <c r="AH884" s="98">
        <v>0.0</v>
      </c>
      <c r="AI884" s="98">
        <v>0.0</v>
      </c>
      <c r="AJ884" s="98">
        <v>0.0</v>
      </c>
      <c r="AK884" s="98">
        <v>0.0</v>
      </c>
      <c r="AL884" s="98">
        <v>0.0</v>
      </c>
      <c r="AM884" s="98">
        <v>0.0</v>
      </c>
      <c r="AN884" s="98">
        <v>0.0</v>
      </c>
      <c r="AO884" s="98">
        <v>0.0</v>
      </c>
      <c r="AP884" s="98">
        <v>3.0</v>
      </c>
      <c r="AQ884" s="98" t="s">
        <v>4391</v>
      </c>
      <c r="AR884" s="102">
        <v>46231.0</v>
      </c>
      <c r="AS884" s="83">
        <v>1123485.0</v>
      </c>
    </row>
    <row r="885" ht="15.75" customHeight="1">
      <c r="A885" s="111" t="s">
        <v>1027</v>
      </c>
      <c r="B885" s="83" t="s">
        <v>2536</v>
      </c>
      <c r="C885" s="83" t="s">
        <v>68</v>
      </c>
      <c r="D885" s="112">
        <v>1123434.0</v>
      </c>
      <c r="E885" s="83"/>
      <c r="F885" s="83">
        <v>2.9083354E7</v>
      </c>
      <c r="G885" s="91" t="str">
        <f>IFERROR(__xludf.DUMMYFUNCTION("XLOOKUP(AS885,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PIEMONTE DO PARAGUACU I")</f>
        <v>CENTRO TERRITORIAL DE EDUCACAO PROFISSIONAL PIEMONTE DO PARAGUACU I</v>
      </c>
      <c r="H885" s="185" t="s">
        <v>4392</v>
      </c>
      <c r="I885" s="91" t="s">
        <v>4393</v>
      </c>
      <c r="J885" s="136" t="s">
        <v>149</v>
      </c>
      <c r="K885" s="83" t="s">
        <v>150</v>
      </c>
      <c r="L885" s="83" t="s">
        <v>151</v>
      </c>
      <c r="M885" s="83" t="s">
        <v>230</v>
      </c>
      <c r="N885" s="98" t="s">
        <v>4394</v>
      </c>
      <c r="O885" s="98" t="s">
        <v>284</v>
      </c>
      <c r="P885" s="99" t="str">
        <f>IFERROR(__xludf.DUMMYFUNCTION("IFERROR(VLOOKUP(AS885,IMPORTRANGE(""https://docs.google.com/spreadsheets/d/1juPI-Fb8LD0YtltB2mlGEnp_R3UVu1t3wSFPzgCyHXE/edit?gid=0#gid=0"",""GERAL!A2:C""),3,0),""-"")"),"-")</f>
        <v>-</v>
      </c>
      <c r="Q885" s="101" t="s">
        <v>156</v>
      </c>
      <c r="R885" s="98">
        <v>15.0</v>
      </c>
      <c r="S885" s="98">
        <v>0.0</v>
      </c>
      <c r="T885" s="98">
        <v>0.0</v>
      </c>
      <c r="U885" s="98">
        <v>0.0</v>
      </c>
      <c r="V885" s="98">
        <v>0.0</v>
      </c>
      <c r="W885" s="98">
        <v>0.0</v>
      </c>
      <c r="X885" s="98">
        <v>1.0</v>
      </c>
      <c r="Y885" s="98">
        <v>0.0</v>
      </c>
      <c r="Z885" s="98">
        <v>1.0</v>
      </c>
      <c r="AA885" s="98">
        <v>0.0</v>
      </c>
      <c r="AB885" s="98">
        <v>1.0</v>
      </c>
      <c r="AC885" s="98">
        <v>0.0</v>
      </c>
      <c r="AD885" s="98">
        <v>0.0</v>
      </c>
      <c r="AE885" s="98">
        <v>0.0</v>
      </c>
      <c r="AF885" s="98">
        <v>1.0</v>
      </c>
      <c r="AG885" s="98">
        <v>0.0</v>
      </c>
      <c r="AH885" s="98">
        <v>0.0</v>
      </c>
      <c r="AI885" s="98">
        <v>0.0</v>
      </c>
      <c r="AJ885" s="98">
        <v>0.0</v>
      </c>
      <c r="AK885" s="98">
        <v>1.0</v>
      </c>
      <c r="AL885" s="98">
        <v>0.0</v>
      </c>
      <c r="AM885" s="98">
        <v>0.0</v>
      </c>
      <c r="AN885" s="98">
        <v>0.0</v>
      </c>
      <c r="AO885" s="98">
        <v>1.0</v>
      </c>
      <c r="AP885" s="98">
        <v>8.0</v>
      </c>
      <c r="AQ885" s="98" t="s">
        <v>4403</v>
      </c>
      <c r="AR885" s="102">
        <v>46231.0</v>
      </c>
      <c r="AS885" s="83">
        <v>1123434.0</v>
      </c>
    </row>
    <row r="886" ht="15.75" customHeight="1">
      <c r="A886" s="127" t="s">
        <v>1027</v>
      </c>
      <c r="B886" s="98" t="s">
        <v>2536</v>
      </c>
      <c r="C886" s="83" t="s">
        <v>68</v>
      </c>
      <c r="D886" s="98">
        <v>1179789.0</v>
      </c>
      <c r="E886" s="83"/>
      <c r="F886" s="98">
        <v>44176.0</v>
      </c>
      <c r="G886" s="91" t="str">
        <f>IFERROR(__xludf.DUMMYFUNCTION("XLOOKUP(AS886,
IMPORTRANGE(""https://docs.google.com/spreadsheets/d/1YM-djuOLXomrZ9W0B4TyIBsVWnXY4EIOFD9HY-qGfv0/edit?usp=sharing"",""GERAL!BG5:BG""),
IMPORTRANGE(""https://docs.google.com/spreadsheets/d/1YM-djuOLXomrZ9W0B4TyIBsVWnXY4EIOFD9HY-qGfv0/edit?u"&amp;"sp=sharing"",""GERAL!G5:G""),
""CÓD. SEC NÃO ENCONTRADO NA PLANILHA DE MATRÍCULA"")"),"CÓD. SEC NÃO ENCONTRADO NA PLANILHA DE MATRÍCULA")</f>
        <v>CÓD. SEC NÃO ENCONTRADO NA PLANILHA DE MATRÍCULA</v>
      </c>
      <c r="H886" s="119" t="s">
        <v>2537</v>
      </c>
      <c r="I886" s="108" t="s">
        <v>4404</v>
      </c>
      <c r="J886" s="193"/>
      <c r="K886" s="98"/>
      <c r="L886" s="83"/>
      <c r="M886" s="83"/>
      <c r="N886" s="128" t="s">
        <v>171</v>
      </c>
      <c r="O886" s="98" t="s">
        <v>155</v>
      </c>
      <c r="P886" s="99" t="str">
        <f>IFERROR(__xludf.DUMMYFUNCTION("IFERROR(VLOOKUP(AS886,IMPORTRANGE(""https://docs.google.com/spreadsheets/d/1juPI-Fb8LD0YtltB2mlGEnp_R3UVu1t3wSFPzgCyHXE/edit?gid=0#gid=0"",""GERAL!A2:C""),3,0),""-"")"),"-")</f>
        <v>-</v>
      </c>
      <c r="Q886" s="98" t="s">
        <v>4410</v>
      </c>
      <c r="R886" s="98" t="s">
        <v>171</v>
      </c>
      <c r="S886" s="98" t="s">
        <v>171</v>
      </c>
      <c r="T886" s="98" t="s">
        <v>171</v>
      </c>
      <c r="U886" s="98" t="s">
        <v>171</v>
      </c>
      <c r="V886" s="98" t="s">
        <v>171</v>
      </c>
      <c r="W886" s="98" t="s">
        <v>171</v>
      </c>
      <c r="X886" s="98" t="s">
        <v>171</v>
      </c>
      <c r="Y886" s="98" t="s">
        <v>171</v>
      </c>
      <c r="Z886" s="98" t="s">
        <v>171</v>
      </c>
      <c r="AA886" s="98" t="s">
        <v>171</v>
      </c>
      <c r="AB886" s="98" t="s">
        <v>171</v>
      </c>
      <c r="AC886" s="98" t="s">
        <v>171</v>
      </c>
      <c r="AD886" s="98" t="s">
        <v>171</v>
      </c>
      <c r="AE886" s="98" t="s">
        <v>171</v>
      </c>
      <c r="AF886" s="98" t="s">
        <v>171</v>
      </c>
      <c r="AG886" s="98" t="s">
        <v>171</v>
      </c>
      <c r="AH886" s="98" t="s">
        <v>171</v>
      </c>
      <c r="AI886" s="98" t="s">
        <v>171</v>
      </c>
      <c r="AJ886" s="98" t="s">
        <v>171</v>
      </c>
      <c r="AK886" s="98" t="s">
        <v>171</v>
      </c>
      <c r="AL886" s="98" t="s">
        <v>171</v>
      </c>
      <c r="AM886" s="98" t="s">
        <v>171</v>
      </c>
      <c r="AN886" s="98" t="s">
        <v>171</v>
      </c>
      <c r="AO886" s="98" t="s">
        <v>171</v>
      </c>
      <c r="AP886" s="98" t="s">
        <v>171</v>
      </c>
      <c r="AQ886" s="98" t="s">
        <v>171</v>
      </c>
      <c r="AR886" s="98" t="s">
        <v>171</v>
      </c>
      <c r="AS886" s="98">
        <v>1179789.0</v>
      </c>
    </row>
    <row r="887" ht="15.75" customHeight="1">
      <c r="A887" s="111" t="s">
        <v>1027</v>
      </c>
      <c r="B887" s="83" t="s">
        <v>4411</v>
      </c>
      <c r="C887" s="83" t="s">
        <v>68</v>
      </c>
      <c r="D887" s="112">
        <v>1178268.0</v>
      </c>
      <c r="E887" s="83"/>
      <c r="F887" s="83">
        <v>2.9581605E7</v>
      </c>
      <c r="G887" s="91" t="str">
        <f>IFERROR(__xludf.DUMMYFUNCTION("XLOOKUP(AS887,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GEOVANIA NOGUEIRA NUNES")</f>
        <v>COLÉGIO ESTADUAL DE TEMPO INTEGRAL GEOVANIA NOGUEIRA NUNES</v>
      </c>
      <c r="H887" s="119" t="s">
        <v>4412</v>
      </c>
      <c r="I887" s="91" t="s">
        <v>4413</v>
      </c>
      <c r="J887" s="83" t="s">
        <v>149</v>
      </c>
      <c r="K887" s="83" t="s">
        <v>150</v>
      </c>
      <c r="L887" s="83" t="s">
        <v>151</v>
      </c>
      <c r="M887" s="83" t="s">
        <v>230</v>
      </c>
      <c r="N887" s="98" t="s">
        <v>4414</v>
      </c>
      <c r="O887" s="98" t="s">
        <v>155</v>
      </c>
      <c r="P887" s="99" t="str">
        <f>IFERROR(__xludf.DUMMYFUNCTION("IFERROR(VLOOKUP(AS887,IMPORTRANGE(""https://docs.google.com/spreadsheets/d/1juPI-Fb8LD0YtltB2mlGEnp_R3UVu1t3wSFPzgCyHXE/edit?gid=0#gid=0"",""GERAL!A2:C""),3,0),""-"")"),"-")</f>
        <v>-</v>
      </c>
      <c r="Q887" s="101" t="s">
        <v>156</v>
      </c>
      <c r="R887" s="98">
        <v>23.0</v>
      </c>
      <c r="S887" s="98">
        <v>1.0</v>
      </c>
      <c r="T887" s="98">
        <v>2.0</v>
      </c>
      <c r="U887" s="98">
        <v>0.0</v>
      </c>
      <c r="V887" s="98">
        <v>1.0</v>
      </c>
      <c r="W887" s="98">
        <v>2.0</v>
      </c>
      <c r="X887" s="98">
        <v>1.0</v>
      </c>
      <c r="Y887" s="98">
        <v>0.0</v>
      </c>
      <c r="Z887" s="98">
        <v>1.0</v>
      </c>
      <c r="AA887" s="98">
        <v>0.0</v>
      </c>
      <c r="AB887" s="98">
        <v>1.0</v>
      </c>
      <c r="AC887" s="98">
        <v>0.0</v>
      </c>
      <c r="AD887" s="98">
        <v>0.0</v>
      </c>
      <c r="AE887" s="98">
        <v>0.0</v>
      </c>
      <c r="AF887" s="98">
        <v>1.0</v>
      </c>
      <c r="AG887" s="98">
        <v>0.0</v>
      </c>
      <c r="AH887" s="98">
        <v>0.0</v>
      </c>
      <c r="AI887" s="98">
        <v>0.0</v>
      </c>
      <c r="AJ887" s="98">
        <v>0.0</v>
      </c>
      <c r="AK887" s="98">
        <v>1.0</v>
      </c>
      <c r="AL887" s="98">
        <v>0.0</v>
      </c>
      <c r="AM887" s="98">
        <v>0.0</v>
      </c>
      <c r="AN887" s="98">
        <v>0.0</v>
      </c>
      <c r="AO887" s="98">
        <v>0.0</v>
      </c>
      <c r="AP887" s="98">
        <v>0.0</v>
      </c>
      <c r="AQ887" s="98" t="s">
        <v>4423</v>
      </c>
      <c r="AR887" s="102">
        <v>46230.0</v>
      </c>
      <c r="AS887" s="83">
        <v>1178268.0</v>
      </c>
    </row>
    <row r="888" ht="15.75" customHeight="1">
      <c r="A888" s="111" t="s">
        <v>1027</v>
      </c>
      <c r="B888" s="83" t="s">
        <v>4424</v>
      </c>
      <c r="C888" s="83" t="s">
        <v>68</v>
      </c>
      <c r="D888" s="112">
        <v>1123531.0</v>
      </c>
      <c r="E888" s="83"/>
      <c r="F888" s="83">
        <v>2.9084784E7</v>
      </c>
      <c r="G888" s="91" t="str">
        <f>IFERROR(__xludf.DUMMYFUNCTION("XLOOKUP(AS888,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PROFESSORA DELZAIR NASCIMENTO GALVAO - TEMPO INTEGRAL")</f>
        <v>COLÉGIO ESTADUAL PROFESSORA DELZAIR NASCIMENTO GALVAO - TEMPO INTEGRAL</v>
      </c>
      <c r="H888" s="119" t="s">
        <v>4425</v>
      </c>
      <c r="I888" s="91" t="s">
        <v>4426</v>
      </c>
      <c r="J888" s="83" t="s">
        <v>149</v>
      </c>
      <c r="K888" s="83" t="s">
        <v>150</v>
      </c>
      <c r="L888" s="83" t="s">
        <v>151</v>
      </c>
      <c r="M888" s="98" t="s">
        <v>59</v>
      </c>
      <c r="N888" s="98" t="s">
        <v>4427</v>
      </c>
      <c r="O888" s="98" t="s">
        <v>162</v>
      </c>
      <c r="P888" s="99" t="str">
        <f>IFERROR(__xludf.DUMMYFUNCTION("IFERROR(VLOOKUP(AS888,IMPORTRANGE(""https://docs.google.com/spreadsheets/d/1juPI-Fb8LD0YtltB2mlGEnp_R3UVu1t3wSFPzgCyHXE/edit?gid=0#gid=0"",""GERAL!A2:C""),3,0),""-"")"),"-")</f>
        <v>-</v>
      </c>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c r="AR888" s="83"/>
      <c r="AS888" s="83">
        <v>1123531.0</v>
      </c>
    </row>
    <row r="889" ht="15.75" customHeight="1">
      <c r="A889" s="111" t="s">
        <v>1027</v>
      </c>
      <c r="B889" s="83" t="s">
        <v>4428</v>
      </c>
      <c r="C889" s="83" t="s">
        <v>68</v>
      </c>
      <c r="D889" s="112">
        <v>1178398.0</v>
      </c>
      <c r="E889" s="83"/>
      <c r="F889" s="83">
        <v>2.998072E7</v>
      </c>
      <c r="G889" s="91" t="str">
        <f>IFERROR(__xludf.DUMMYFUNCTION("XLOOKUP(AS889,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CARLITO DE CARVALHO")</f>
        <v>COLÉGIO ESTADUAL DE TEMPO INTEGRAL CARLITO DE CARVALHO</v>
      </c>
      <c r="H889" s="119" t="s">
        <v>4430</v>
      </c>
      <c r="I889" s="91" t="s">
        <v>4431</v>
      </c>
      <c r="J889" s="83" t="s">
        <v>149</v>
      </c>
      <c r="K889" s="83" t="s">
        <v>150</v>
      </c>
      <c r="L889" s="83" t="s">
        <v>151</v>
      </c>
      <c r="M889" s="98" t="s">
        <v>152</v>
      </c>
      <c r="N889" s="98" t="s">
        <v>4434</v>
      </c>
      <c r="O889" s="98" t="s">
        <v>155</v>
      </c>
      <c r="P889" s="99" t="str">
        <f>IFERROR(__xludf.DUMMYFUNCTION("IFERROR(VLOOKUP(AS889,IMPORTRANGE(""https://docs.google.com/spreadsheets/d/1juPI-Fb8LD0YtltB2mlGEnp_R3UVu1t3wSFPzgCyHXE/edit?gid=0#gid=0"",""GERAL!A2:C""),3,0),""-"")"),"-")</f>
        <v>-</v>
      </c>
      <c r="Q889" s="83"/>
      <c r="R889" s="83"/>
      <c r="S889" s="83"/>
      <c r="T889" s="83"/>
      <c r="U889" s="83"/>
      <c r="V889" s="83"/>
      <c r="W889" s="83"/>
      <c r="X889" s="83"/>
      <c r="Y889" s="83"/>
      <c r="Z889" s="83"/>
      <c r="AA889" s="83"/>
      <c r="AB889" s="83"/>
      <c r="AC889" s="83"/>
      <c r="AD889" s="83"/>
      <c r="AE889" s="83"/>
      <c r="AF889" s="83"/>
      <c r="AG889" s="83"/>
      <c r="AH889" s="83"/>
      <c r="AI889" s="83"/>
      <c r="AJ889" s="83"/>
      <c r="AK889" s="83"/>
      <c r="AL889" s="83"/>
      <c r="AM889" s="83"/>
      <c r="AN889" s="83"/>
      <c r="AO889" s="83"/>
      <c r="AP889" s="83"/>
      <c r="AQ889" s="83"/>
      <c r="AR889" s="83"/>
      <c r="AS889" s="83">
        <v>1178398.0</v>
      </c>
    </row>
    <row r="890" ht="15.75" customHeight="1">
      <c r="A890" s="111" t="s">
        <v>1027</v>
      </c>
      <c r="B890" s="83" t="s">
        <v>2276</v>
      </c>
      <c r="C890" s="83" t="s">
        <v>45</v>
      </c>
      <c r="D890" s="112">
        <v>1178442.0</v>
      </c>
      <c r="E890" s="83"/>
      <c r="F890" s="83">
        <v>2.9891736E7</v>
      </c>
      <c r="G890" s="91" t="str">
        <f>IFERROR(__xludf.DUMMYFUNCTION("XLOOKUP(AS890,
IMPORTRANGE(""https://docs.google.com/spreadsheets/d/1YM-djuOLXomrZ9W0B4TyIBsVWnXY4EIOFD9HY-qGfv0/edit?usp=sharing"",""GERAL!BG5:BG""),
IMPORTRANGE(""https://docs.google.com/spreadsheets/d/1YM-djuOLXomrZ9W0B4TyIBsVWnXY4EIOFD9HY-qGfv0/edit?u"&amp;"sp=sharing"",""GERAL!G5:G""),
""CÓD. SEC NÃO ENCONTRADO NA PLANILHA DE MATRÍCULA"")"),"ESCOLA TECNICA FAMILIA AGRICOLA DIVINA PASTORA")</f>
        <v>ESCOLA TECNICA FAMILIA AGRICOLA DIVINA PASTORA</v>
      </c>
      <c r="H890" s="185" t="s">
        <v>4438</v>
      </c>
      <c r="I890" s="91" t="s">
        <v>4439</v>
      </c>
      <c r="J890" s="83" t="s">
        <v>4440</v>
      </c>
      <c r="K890" s="115" t="s">
        <v>222</v>
      </c>
      <c r="L890" s="136" t="s">
        <v>171</v>
      </c>
      <c r="M890" s="83" t="s">
        <v>512</v>
      </c>
      <c r="N890" s="98" t="s">
        <v>4441</v>
      </c>
      <c r="O890" s="98" t="s">
        <v>155</v>
      </c>
      <c r="P890" s="99" t="str">
        <f>IFERROR(__xludf.DUMMYFUNCTION("IFERROR(VLOOKUP(AS890,IMPORTRANGE(""https://docs.google.com/spreadsheets/d/1juPI-Fb8LD0YtltB2mlGEnp_R3UVu1t3wSFPzgCyHXE/edit?gid=0#gid=0"",""GERAL!A2:C""),3,0),""-"")"),"EFA")</f>
        <v>EFA</v>
      </c>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c r="AR890" s="83"/>
      <c r="AS890" s="83">
        <v>1178442.0</v>
      </c>
    </row>
    <row r="891" ht="15.75" customHeight="1">
      <c r="A891" s="111" t="s">
        <v>1027</v>
      </c>
      <c r="B891" s="83" t="s">
        <v>2276</v>
      </c>
      <c r="C891" s="83" t="s">
        <v>68</v>
      </c>
      <c r="D891" s="112">
        <v>1123000.0</v>
      </c>
      <c r="E891" s="83"/>
      <c r="F891" s="83">
        <v>2.9086914E7</v>
      </c>
      <c r="G891" s="91" t="str">
        <f>IFERROR(__xludf.DUMMYFUNCTION("XLOOKUP(AS891,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PIEMONTE DO PARAGUACU II")</f>
        <v>CENTRO TERRITORIAL DE EDUCACAO PROFISSIONAL PIEMONTE DO PARAGUACU II</v>
      </c>
      <c r="H891" s="185" t="s">
        <v>4442</v>
      </c>
      <c r="I891" s="91" t="s">
        <v>4443</v>
      </c>
      <c r="J891" s="83" t="s">
        <v>149</v>
      </c>
      <c r="K891" s="136" t="s">
        <v>150</v>
      </c>
      <c r="L891" s="136" t="s">
        <v>151</v>
      </c>
      <c r="M891" s="83" t="s">
        <v>230</v>
      </c>
      <c r="N891" s="98" t="s">
        <v>4441</v>
      </c>
      <c r="O891" s="98" t="s">
        <v>155</v>
      </c>
      <c r="P891" s="99" t="str">
        <f>IFERROR(__xludf.DUMMYFUNCTION("IFERROR(VLOOKUP(AS891,IMPORTRANGE(""https://docs.google.com/spreadsheets/d/1juPI-Fb8LD0YtltB2mlGEnp_R3UVu1t3wSFPzgCyHXE/edit?gid=0#gid=0"",""GERAL!A2:C""),3,0),""-"")"),"-")</f>
        <v>-</v>
      </c>
      <c r="Q891" s="83"/>
      <c r="R891" s="83"/>
      <c r="S891" s="83"/>
      <c r="T891" s="83"/>
      <c r="U891" s="83"/>
      <c r="V891" s="83"/>
      <c r="W891" s="83"/>
      <c r="X891" s="83"/>
      <c r="Y891" s="83"/>
      <c r="Z891" s="83"/>
      <c r="AA891" s="83"/>
      <c r="AB891" s="83"/>
      <c r="AC891" s="83"/>
      <c r="AD891" s="83"/>
      <c r="AE891" s="83"/>
      <c r="AF891" s="83"/>
      <c r="AG891" s="83"/>
      <c r="AH891" s="83"/>
      <c r="AI891" s="83"/>
      <c r="AJ891" s="83"/>
      <c r="AK891" s="83"/>
      <c r="AL891" s="83"/>
      <c r="AM891" s="83"/>
      <c r="AN891" s="83"/>
      <c r="AO891" s="83"/>
      <c r="AP891" s="83"/>
      <c r="AQ891" s="83"/>
      <c r="AR891" s="83"/>
      <c r="AS891" s="83">
        <v>1123000.0</v>
      </c>
    </row>
    <row r="892" ht="15.75" customHeight="1">
      <c r="A892" s="111" t="s">
        <v>1027</v>
      </c>
      <c r="B892" s="83" t="s">
        <v>2276</v>
      </c>
      <c r="C892" s="83" t="s">
        <v>164</v>
      </c>
      <c r="D892" s="112">
        <v>1123000.0</v>
      </c>
      <c r="E892" s="83">
        <v>1178727.0</v>
      </c>
      <c r="F892" s="83"/>
      <c r="G892" s="91" t="str">
        <f>IFERROR(__xludf.DUMMYFUNCTION("XLOOKUP(AS892,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PIEMONTE DO PARAGUAÇU II - POVOADO DE VISGUEIRA
(ANTIGO POVOADO DE IBIAPORÃ)")</f>
        <v>ANEXO - CENTRO TERRITORIAL DE EDUCAÇÃO PROFISSIONAL PIEMONTE DO PARAGUAÇU II - POVOADO DE VISGUEIRA
(ANTIGO POVOADO DE IBIAPORÃ)</v>
      </c>
      <c r="H892" s="184" t="s">
        <v>4450</v>
      </c>
      <c r="I892" s="91" t="s">
        <v>4451</v>
      </c>
      <c r="J892" s="172" t="s">
        <v>149</v>
      </c>
      <c r="K892" s="136" t="s">
        <v>183</v>
      </c>
      <c r="L892" s="136" t="s">
        <v>168</v>
      </c>
      <c r="M892" s="83" t="s">
        <v>169</v>
      </c>
      <c r="N892" s="115" t="s">
        <v>170</v>
      </c>
      <c r="O892" s="98" t="s">
        <v>155</v>
      </c>
      <c r="P892" s="99" t="str">
        <f>IFERROR(__xludf.DUMMYFUNCTION("IFERROR(VLOOKUP(AS892,IMPORTRANGE(""https://docs.google.com/spreadsheets/d/1juPI-Fb8LD0YtltB2mlGEnp_R3UVu1t3wSFPzgCyHXE/edit?gid=0#gid=0"",""GERAL!A2:C""),3,0),""-"")"),"CAMPO")</f>
        <v>CAMPO</v>
      </c>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c r="AR892" s="83"/>
      <c r="AS892" s="83">
        <v>1178727.0</v>
      </c>
    </row>
    <row r="893" ht="15.75" customHeight="1">
      <c r="A893" s="111" t="s">
        <v>1027</v>
      </c>
      <c r="B893" s="83" t="s">
        <v>2276</v>
      </c>
      <c r="C893" s="83" t="s">
        <v>164</v>
      </c>
      <c r="D893" s="112">
        <v>1123000.0</v>
      </c>
      <c r="E893" s="83">
        <v>1179240.0</v>
      </c>
      <c r="F893" s="83"/>
      <c r="G893" s="91" t="str">
        <f>IFERROR(__xludf.DUMMYFUNCTION("XLOOKUP(AS893,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PIEMONTE DO PARAGUAÇU II - POV. DE UMBUZEIRO ")</f>
        <v>ANEXO - CENTRO TERRITORIAL DE EDUCAÇÃO PROFISSIONAL PIEMONTE DO PARAGUAÇU II - POV. DE UMBUZEIRO </v>
      </c>
      <c r="H893" s="184" t="s">
        <v>4452</v>
      </c>
      <c r="I893" s="91" t="s">
        <v>4453</v>
      </c>
      <c r="J893" s="83" t="s">
        <v>149</v>
      </c>
      <c r="K893" s="136" t="s">
        <v>187</v>
      </c>
      <c r="L893" s="136" t="s">
        <v>168</v>
      </c>
      <c r="M893" s="83" t="s">
        <v>169</v>
      </c>
      <c r="N893" s="115" t="s">
        <v>170</v>
      </c>
      <c r="O893" s="98" t="s">
        <v>155</v>
      </c>
      <c r="P893" s="99" t="str">
        <f>IFERROR(__xludf.DUMMYFUNCTION("IFERROR(VLOOKUP(AS893,IMPORTRANGE(""https://docs.google.com/spreadsheets/d/1juPI-Fb8LD0YtltB2mlGEnp_R3UVu1t3wSFPzgCyHXE/edit?gid=0#gid=0"",""GERAL!A2:C""),3,0),""-"")"),"CAMPO")</f>
        <v>CAMPO</v>
      </c>
      <c r="Q893" s="83"/>
      <c r="R893" s="83"/>
      <c r="S893" s="83"/>
      <c r="T893" s="83"/>
      <c r="U893" s="83"/>
      <c r="V893" s="83"/>
      <c r="W893" s="83"/>
      <c r="X893" s="83"/>
      <c r="Y893" s="83"/>
      <c r="Z893" s="83"/>
      <c r="AA893" s="83"/>
      <c r="AB893" s="83"/>
      <c r="AC893" s="83"/>
      <c r="AD893" s="83"/>
      <c r="AE893" s="83"/>
      <c r="AF893" s="83"/>
      <c r="AG893" s="83"/>
      <c r="AH893" s="83"/>
      <c r="AI893" s="83"/>
      <c r="AJ893" s="83"/>
      <c r="AK893" s="83"/>
      <c r="AL893" s="83"/>
      <c r="AM893" s="83"/>
      <c r="AN893" s="83"/>
      <c r="AO893" s="83"/>
      <c r="AP893" s="83"/>
      <c r="AQ893" s="83"/>
      <c r="AR893" s="83"/>
      <c r="AS893" s="83">
        <v>1179240.0</v>
      </c>
    </row>
    <row r="894" ht="15.75" customHeight="1">
      <c r="A894" s="111" t="s">
        <v>1027</v>
      </c>
      <c r="B894" s="83" t="s">
        <v>4459</v>
      </c>
      <c r="C894" s="83" t="s">
        <v>68</v>
      </c>
      <c r="D894" s="112">
        <v>1178016.0</v>
      </c>
      <c r="E894" s="83"/>
      <c r="F894" s="83">
        <v>2.942696E7</v>
      </c>
      <c r="G894" s="91" t="str">
        <f>IFERROR(__xludf.DUMMYFUNCTION("XLOOKUP(AS894,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AYDIL LIMA DOS SANTOS")</f>
        <v>COLÉGIO ESTADUAL DE TEMPO INTEGRAL PROFESSORA AYDIL LIMA DOS SANTOS</v>
      </c>
      <c r="H894" s="119" t="s">
        <v>4461</v>
      </c>
      <c r="I894" s="91" t="s">
        <v>4462</v>
      </c>
      <c r="J894" s="83" t="s">
        <v>149</v>
      </c>
      <c r="K894" s="83" t="s">
        <v>150</v>
      </c>
      <c r="L894" s="83" t="s">
        <v>151</v>
      </c>
      <c r="M894" s="83" t="s">
        <v>152</v>
      </c>
      <c r="N894" s="98" t="s">
        <v>4463</v>
      </c>
      <c r="O894" s="98" t="s">
        <v>155</v>
      </c>
      <c r="P894" s="99" t="str">
        <f>IFERROR(__xludf.DUMMYFUNCTION("IFERROR(VLOOKUP(AS894,IMPORTRANGE(""https://docs.google.com/spreadsheets/d/1juPI-Fb8LD0YtltB2mlGEnp_R3UVu1t3wSFPzgCyHXE/edit?gid=0#gid=0"",""GERAL!A2:C""),3,0),""-"")"),"-")</f>
        <v>-</v>
      </c>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c r="AR894" s="83"/>
      <c r="AS894" s="83">
        <v>1178016.0</v>
      </c>
    </row>
    <row r="895" ht="15.75" customHeight="1">
      <c r="A895" s="111" t="s">
        <v>1027</v>
      </c>
      <c r="B895" s="83" t="s">
        <v>4464</v>
      </c>
      <c r="C895" s="83" t="s">
        <v>68</v>
      </c>
      <c r="D895" s="112">
        <v>1178426.0</v>
      </c>
      <c r="E895" s="83"/>
      <c r="F895" s="83">
        <v>2.9441919E7</v>
      </c>
      <c r="G895" s="91" t="str">
        <f>IFERROR(__xludf.DUMMYFUNCTION("XLOOKUP(AS895,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SANTO ANTONIO DO ARGOIM - DISTRITO DE ARGOIM")</f>
        <v>COLÉGIO ESTADUAL DO CAMPO SANTO ANTONIO DO ARGOIM - DISTRITO DE ARGOIM</v>
      </c>
      <c r="H895" s="119" t="s">
        <v>4466</v>
      </c>
      <c r="I895" s="91" t="s">
        <v>4467</v>
      </c>
      <c r="J895" s="83" t="s">
        <v>149</v>
      </c>
      <c r="K895" s="136" t="s">
        <v>767</v>
      </c>
      <c r="L895" s="83" t="s">
        <v>151</v>
      </c>
      <c r="M895" s="83" t="s">
        <v>76</v>
      </c>
      <c r="N895" s="98" t="s">
        <v>4469</v>
      </c>
      <c r="O895" s="98" t="s">
        <v>155</v>
      </c>
      <c r="P895" s="99" t="str">
        <f>IFERROR(__xludf.DUMMYFUNCTION("IFERROR(VLOOKUP(AS895,IMPORTRANGE(""https://docs.google.com/spreadsheets/d/1juPI-Fb8LD0YtltB2mlGEnp_R3UVu1t3wSFPzgCyHXE/edit?gid=0#gid=0"",""GERAL!A2:C""),3,0),""-"")"),"CAMPO")</f>
        <v>CAMPO</v>
      </c>
      <c r="Q895" s="83"/>
      <c r="R895" s="83"/>
      <c r="S895" s="83"/>
      <c r="T895" s="83"/>
      <c r="U895" s="83"/>
      <c r="V895" s="83"/>
      <c r="W895" s="83"/>
      <c r="X895" s="83"/>
      <c r="Y895" s="83"/>
      <c r="Z895" s="83"/>
      <c r="AA895" s="83"/>
      <c r="AB895" s="83"/>
      <c r="AC895" s="83"/>
      <c r="AD895" s="83"/>
      <c r="AE895" s="83"/>
      <c r="AF895" s="83"/>
      <c r="AG895" s="83"/>
      <c r="AH895" s="83"/>
      <c r="AI895" s="83"/>
      <c r="AJ895" s="83"/>
      <c r="AK895" s="83"/>
      <c r="AL895" s="83"/>
      <c r="AM895" s="83"/>
      <c r="AN895" s="83"/>
      <c r="AO895" s="83"/>
      <c r="AP895" s="83"/>
      <c r="AQ895" s="83"/>
      <c r="AR895" s="83"/>
      <c r="AS895" s="83">
        <v>1178426.0</v>
      </c>
    </row>
    <row r="896" ht="15.75" customHeight="1">
      <c r="A896" s="111" t="s">
        <v>1027</v>
      </c>
      <c r="B896" s="83" t="s">
        <v>4464</v>
      </c>
      <c r="C896" s="83" t="s">
        <v>68</v>
      </c>
      <c r="D896" s="112">
        <v>1178044.0</v>
      </c>
      <c r="E896" s="83"/>
      <c r="F896" s="83">
        <v>2.9424038E7</v>
      </c>
      <c r="G896" s="91" t="str">
        <f>IFERROR(__xludf.DUMMYFUNCTION("XLOOKUP(AS896,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ANA LUCIA MAGALHAES")</f>
        <v>COLÉGIO ESTADUAL ANA LUCIA MAGALHAES</v>
      </c>
      <c r="H896" s="119" t="s">
        <v>4474</v>
      </c>
      <c r="I896" s="91" t="s">
        <v>4475</v>
      </c>
      <c r="J896" s="83" t="s">
        <v>149</v>
      </c>
      <c r="K896" s="136" t="s">
        <v>150</v>
      </c>
      <c r="L896" s="83" t="s">
        <v>151</v>
      </c>
      <c r="M896" s="83" t="s">
        <v>76</v>
      </c>
      <c r="N896" s="98" t="s">
        <v>4476</v>
      </c>
      <c r="O896" s="98" t="s">
        <v>155</v>
      </c>
      <c r="P896" s="99" t="str">
        <f>IFERROR(__xludf.DUMMYFUNCTION("IFERROR(VLOOKUP(AS896,IMPORTRANGE(""https://docs.google.com/spreadsheets/d/1juPI-Fb8LD0YtltB2mlGEnp_R3UVu1t3wSFPzgCyHXE/edit?gid=0#gid=0"",""GERAL!A2:C""),3,0),""-"")"),"-")</f>
        <v>-</v>
      </c>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c r="AR896" s="83"/>
      <c r="AS896" s="83">
        <v>1178044.0</v>
      </c>
    </row>
    <row r="897" ht="15.75" customHeight="1">
      <c r="A897" s="111" t="s">
        <v>1027</v>
      </c>
      <c r="B897" s="83" t="s">
        <v>4478</v>
      </c>
      <c r="C897" s="83" t="s">
        <v>45</v>
      </c>
      <c r="D897" s="112">
        <v>1178387.0</v>
      </c>
      <c r="E897" s="83"/>
      <c r="F897" s="83">
        <v>2.936082E7</v>
      </c>
      <c r="G897" s="91" t="str">
        <f>IFERROR(__xludf.DUMMYFUNCTION("XLOOKUP(AS897,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FAMILIA AGRICOLA MAE JOVINA")</f>
        <v>ESCOLA FAMILIA AGRICOLA MAE JOVINA</v>
      </c>
      <c r="H897" s="114" t="s">
        <v>4484</v>
      </c>
      <c r="I897" s="91" t="s">
        <v>4485</v>
      </c>
      <c r="J897" s="83" t="s">
        <v>149</v>
      </c>
      <c r="K897" s="115" t="s">
        <v>150</v>
      </c>
      <c r="L897" s="136" t="s">
        <v>171</v>
      </c>
      <c r="M897" s="83" t="s">
        <v>169</v>
      </c>
      <c r="N897" s="98" t="s">
        <v>4486</v>
      </c>
      <c r="O897" s="98" t="s">
        <v>155</v>
      </c>
      <c r="P897" s="99" t="str">
        <f>IFERROR(__xludf.DUMMYFUNCTION("IFERROR(VLOOKUP(AS897,IMPORTRANGE(""https://docs.google.com/spreadsheets/d/1juPI-Fb8LD0YtltB2mlGEnp_R3UVu1t3wSFPzgCyHXE/edit?gid=0#gid=0"",""GERAL!A2:C""),3,0),""-"")"),"EFA")</f>
        <v>EFA</v>
      </c>
      <c r="Q897" s="98" t="s">
        <v>171</v>
      </c>
      <c r="R897" s="98">
        <v>3.0</v>
      </c>
      <c r="S897" s="98">
        <v>0.0</v>
      </c>
      <c r="T897" s="98">
        <v>1.0</v>
      </c>
      <c r="U897" s="98">
        <v>0.0</v>
      </c>
      <c r="V897" s="98">
        <v>1.0</v>
      </c>
      <c r="W897" s="98">
        <v>16.0</v>
      </c>
      <c r="X897" s="98">
        <v>1.0</v>
      </c>
      <c r="Y897" s="98">
        <v>0.0</v>
      </c>
      <c r="Z897" s="98">
        <v>0.0</v>
      </c>
      <c r="AA897" s="98">
        <v>1.0</v>
      </c>
      <c r="AB897" s="98">
        <v>0.0</v>
      </c>
      <c r="AC897" s="98">
        <v>1.0</v>
      </c>
      <c r="AD897" s="98">
        <v>0.0</v>
      </c>
      <c r="AE897" s="98">
        <v>0.0</v>
      </c>
      <c r="AF897" s="98">
        <v>0.0</v>
      </c>
      <c r="AG897" s="98">
        <v>0.0</v>
      </c>
      <c r="AH897" s="98">
        <v>0.0</v>
      </c>
      <c r="AI897" s="98">
        <v>0.0</v>
      </c>
      <c r="AJ897" s="98">
        <v>0.0</v>
      </c>
      <c r="AK897" s="98">
        <v>0.0</v>
      </c>
      <c r="AL897" s="98">
        <v>1.0</v>
      </c>
      <c r="AM897" s="98">
        <v>0.0</v>
      </c>
      <c r="AN897" s="98">
        <v>0.0</v>
      </c>
      <c r="AO897" s="98">
        <v>0.0</v>
      </c>
      <c r="AP897" s="98">
        <v>0.0</v>
      </c>
      <c r="AQ897" s="98" t="s">
        <v>4487</v>
      </c>
      <c r="AR897" s="102">
        <v>46230.0</v>
      </c>
      <c r="AS897" s="83">
        <v>1178387.0</v>
      </c>
    </row>
    <row r="898" ht="15.75" customHeight="1">
      <c r="A898" s="111" t="s">
        <v>1027</v>
      </c>
      <c r="B898" s="83" t="s">
        <v>4478</v>
      </c>
      <c r="C898" s="83" t="s">
        <v>68</v>
      </c>
      <c r="D898" s="112">
        <v>1123957.0</v>
      </c>
      <c r="E898" s="83"/>
      <c r="F898" s="83">
        <v>2.9087236E7</v>
      </c>
      <c r="G898" s="91" t="str">
        <f>IFERROR(__xludf.DUMMYFUNCTION("XLOOKUP(AS898,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 MAGALHAES NETO
")</f>
        <v>COLEGIO ESTADUAL DE TEMPO INTEGRAL PROFESSOR MAGALHAES NETO
</v>
      </c>
      <c r="H898" s="119" t="s">
        <v>4488</v>
      </c>
      <c r="I898" s="91" t="s">
        <v>4489</v>
      </c>
      <c r="J898" s="136" t="s">
        <v>4490</v>
      </c>
      <c r="K898" s="136" t="s">
        <v>150</v>
      </c>
      <c r="L898" s="136" t="s">
        <v>151</v>
      </c>
      <c r="M898" s="83" t="s">
        <v>230</v>
      </c>
      <c r="N898" s="98" t="s">
        <v>4492</v>
      </c>
      <c r="O898" s="98" t="s">
        <v>155</v>
      </c>
      <c r="P898" s="99" t="str">
        <f>IFERROR(__xludf.DUMMYFUNCTION("IFERROR(VLOOKUP(AS898,IMPORTRANGE(""https://docs.google.com/spreadsheets/d/1juPI-Fb8LD0YtltB2mlGEnp_R3UVu1t3wSFPzgCyHXE/edit?gid=0#gid=0"",""GERAL!A2:C""),3,0),""-"")"),"-")</f>
        <v>-</v>
      </c>
      <c r="Q898" s="101" t="s">
        <v>156</v>
      </c>
      <c r="R898" s="98">
        <v>24.0</v>
      </c>
      <c r="S898" s="98">
        <v>1.0</v>
      </c>
      <c r="T898" s="98">
        <v>7.0</v>
      </c>
      <c r="U898" s="98">
        <v>0.0</v>
      </c>
      <c r="V898" s="98">
        <v>1.0</v>
      </c>
      <c r="W898" s="98">
        <v>4.0</v>
      </c>
      <c r="X898" s="98">
        <v>1.0</v>
      </c>
      <c r="Y898" s="98">
        <v>0.0</v>
      </c>
      <c r="Z898" s="98">
        <v>0.0</v>
      </c>
      <c r="AA898" s="98">
        <v>0.0</v>
      </c>
      <c r="AB898" s="98">
        <v>1.0</v>
      </c>
      <c r="AC898" s="98">
        <v>0.0</v>
      </c>
      <c r="AD898" s="98">
        <v>0.0</v>
      </c>
      <c r="AE898" s="98">
        <v>0.0</v>
      </c>
      <c r="AF898" s="98">
        <v>1.0</v>
      </c>
      <c r="AG898" s="98">
        <v>0.0</v>
      </c>
      <c r="AH898" s="98">
        <v>0.0</v>
      </c>
      <c r="AI898" s="98">
        <v>0.0</v>
      </c>
      <c r="AJ898" s="98">
        <v>0.0</v>
      </c>
      <c r="AK898" s="98">
        <v>0.0</v>
      </c>
      <c r="AL898" s="98">
        <v>0.0</v>
      </c>
      <c r="AM898" s="98">
        <v>0.0</v>
      </c>
      <c r="AN898" s="98">
        <v>0.0</v>
      </c>
      <c r="AO898" s="98">
        <v>0.0</v>
      </c>
      <c r="AP898" s="98">
        <v>1.0</v>
      </c>
      <c r="AQ898" s="98" t="s">
        <v>4497</v>
      </c>
      <c r="AR898" s="102">
        <v>46230.0</v>
      </c>
      <c r="AS898" s="83">
        <v>1123957.0</v>
      </c>
    </row>
    <row r="899" ht="15.75" customHeight="1">
      <c r="A899" s="111" t="s">
        <v>1027</v>
      </c>
      <c r="B899" s="83" t="s">
        <v>4478</v>
      </c>
      <c r="C899" s="83" t="s">
        <v>164</v>
      </c>
      <c r="D899" s="112">
        <v>1123957.0</v>
      </c>
      <c r="E899" s="83">
        <v>1178742.0</v>
      </c>
      <c r="F899" s="83"/>
      <c r="G899" s="91" t="str">
        <f>IFERROR(__xludf.DUMMYFUNCTION("XLOOKUP(AS899,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PROFESSOR MAGALHAES NETO
 - DISTRITO TAPIRAIPE")</f>
        <v>ANEXO - COLEGIO ESTADUAL DE TEMPO INTEGRAL PROFESSOR MAGALHAES NETO
 - DISTRITO TAPIRAIPE</v>
      </c>
      <c r="H899" s="119" t="s">
        <v>4498</v>
      </c>
      <c r="I899" s="91" t="s">
        <v>4499</v>
      </c>
      <c r="J899" s="136" t="s">
        <v>4500</v>
      </c>
      <c r="K899" s="136" t="s">
        <v>464</v>
      </c>
      <c r="L899" s="136" t="s">
        <v>168</v>
      </c>
      <c r="M899" s="83" t="s">
        <v>169</v>
      </c>
      <c r="N899" s="115" t="s">
        <v>170</v>
      </c>
      <c r="O899" s="98" t="s">
        <v>155</v>
      </c>
      <c r="P899" s="99" t="str">
        <f>IFERROR(__xludf.DUMMYFUNCTION("IFERROR(VLOOKUP(AS899,IMPORTRANGE(""https://docs.google.com/spreadsheets/d/1juPI-Fb8LD0YtltB2mlGEnp_R3UVu1t3wSFPzgCyHXE/edit?gid=0#gid=0"",""GERAL!A2:C""),3,0),""-"")"),"CAMPO")</f>
        <v>CAMPO</v>
      </c>
      <c r="Q899" s="98" t="s">
        <v>171</v>
      </c>
      <c r="R899" s="98">
        <v>3.0</v>
      </c>
      <c r="S899" s="98" t="s">
        <v>171</v>
      </c>
      <c r="T899" s="98" t="s">
        <v>171</v>
      </c>
      <c r="U899" s="98" t="s">
        <v>171</v>
      </c>
      <c r="V899" s="98" t="s">
        <v>171</v>
      </c>
      <c r="W899" s="98" t="s">
        <v>171</v>
      </c>
      <c r="X899" s="98" t="s">
        <v>171</v>
      </c>
      <c r="Y899" s="98" t="s">
        <v>171</v>
      </c>
      <c r="Z899" s="98" t="s">
        <v>171</v>
      </c>
      <c r="AA899" s="98" t="s">
        <v>171</v>
      </c>
      <c r="AB899" s="98" t="s">
        <v>171</v>
      </c>
      <c r="AC899" s="98" t="s">
        <v>171</v>
      </c>
      <c r="AD899" s="98" t="s">
        <v>171</v>
      </c>
      <c r="AE899" s="98" t="s">
        <v>171</v>
      </c>
      <c r="AF899" s="98" t="s">
        <v>171</v>
      </c>
      <c r="AG899" s="98" t="s">
        <v>171</v>
      </c>
      <c r="AH899" s="98" t="s">
        <v>171</v>
      </c>
      <c r="AI899" s="98" t="s">
        <v>171</v>
      </c>
      <c r="AJ899" s="98" t="s">
        <v>171</v>
      </c>
      <c r="AK899" s="98" t="s">
        <v>171</v>
      </c>
      <c r="AL899" s="98" t="s">
        <v>171</v>
      </c>
      <c r="AM899" s="98" t="s">
        <v>171</v>
      </c>
      <c r="AN899" s="98" t="s">
        <v>171</v>
      </c>
      <c r="AO899" s="98" t="s">
        <v>171</v>
      </c>
      <c r="AP899" s="98" t="s">
        <v>171</v>
      </c>
      <c r="AQ899" s="98" t="s">
        <v>171</v>
      </c>
      <c r="AR899" s="102">
        <v>46230.0</v>
      </c>
      <c r="AS899" s="83">
        <v>1178742.0</v>
      </c>
    </row>
    <row r="900" ht="15.75" customHeight="1">
      <c r="A900" s="111" t="s">
        <v>1027</v>
      </c>
      <c r="B900" s="83" t="s">
        <v>4478</v>
      </c>
      <c r="C900" s="83" t="s">
        <v>164</v>
      </c>
      <c r="D900" s="112">
        <v>1123957.0</v>
      </c>
      <c r="E900" s="83">
        <v>1178741.0</v>
      </c>
      <c r="F900" s="83"/>
      <c r="G900" s="91" t="str">
        <f>IFERROR(__xludf.DUMMYFUNCTION("XLOOKUP(AS900,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DE TEMPO INTEGRAL PROFESSOR MAGALHAES NETO
 - DISTRITO SANTA CLARA")</f>
        <v>ANEXO - COLEGIO ESTADUAL DE TEMPO INTEGRAL PROFESSOR MAGALHAES NETO
 - DISTRITO SANTA CLARA</v>
      </c>
      <c r="H900" s="119" t="s">
        <v>4505</v>
      </c>
      <c r="I900" s="91" t="s">
        <v>4506</v>
      </c>
      <c r="J900" s="136" t="s">
        <v>4507</v>
      </c>
      <c r="K900" s="136" t="s">
        <v>183</v>
      </c>
      <c r="L900" s="136" t="s">
        <v>168</v>
      </c>
      <c r="M900" s="83" t="s">
        <v>169</v>
      </c>
      <c r="N900" s="115" t="s">
        <v>170</v>
      </c>
      <c r="O900" s="98" t="s">
        <v>155</v>
      </c>
      <c r="P900" s="99" t="str">
        <f>IFERROR(__xludf.DUMMYFUNCTION("IFERROR(VLOOKUP(AS900,IMPORTRANGE(""https://docs.google.com/spreadsheets/d/1juPI-Fb8LD0YtltB2mlGEnp_R3UVu1t3wSFPzgCyHXE/edit?gid=0#gid=0"",""GERAL!A2:C""),3,0),""-"")"),"CAMPO")</f>
        <v>CAMPO</v>
      </c>
      <c r="Q900" s="101" t="s">
        <v>156</v>
      </c>
      <c r="R900" s="98">
        <v>2.0</v>
      </c>
      <c r="S900" s="98">
        <v>0.0</v>
      </c>
      <c r="T900" s="98">
        <v>0.0</v>
      </c>
      <c r="U900" s="98">
        <v>0.0</v>
      </c>
      <c r="V900" s="98">
        <v>0.0</v>
      </c>
      <c r="W900" s="98">
        <v>1.0</v>
      </c>
      <c r="X900" s="98">
        <v>1.0</v>
      </c>
      <c r="Y900" s="98">
        <v>0.0</v>
      </c>
      <c r="Z900" s="98">
        <v>0.0</v>
      </c>
      <c r="AA900" s="98">
        <v>0.0</v>
      </c>
      <c r="AB900" s="98">
        <v>0.0</v>
      </c>
      <c r="AC900" s="98">
        <v>0.0</v>
      </c>
      <c r="AD900" s="98">
        <v>0.0</v>
      </c>
      <c r="AE900" s="98">
        <v>0.0</v>
      </c>
      <c r="AF900" s="98">
        <v>0.0</v>
      </c>
      <c r="AG900" s="98">
        <v>0.0</v>
      </c>
      <c r="AH900" s="98">
        <v>0.0</v>
      </c>
      <c r="AI900" s="98">
        <v>0.0</v>
      </c>
      <c r="AJ900" s="98">
        <v>0.0</v>
      </c>
      <c r="AK900" s="98">
        <v>0.0</v>
      </c>
      <c r="AL900" s="98">
        <v>0.0</v>
      </c>
      <c r="AM900" s="98">
        <v>0.0</v>
      </c>
      <c r="AN900" s="98">
        <v>0.0</v>
      </c>
      <c r="AO900" s="98">
        <v>0.0</v>
      </c>
      <c r="AP900" s="98">
        <v>0.0</v>
      </c>
      <c r="AQ900" s="98" t="s">
        <v>4512</v>
      </c>
      <c r="AR900" s="102">
        <v>46230.0</v>
      </c>
      <c r="AS900" s="83">
        <v>1178741.0</v>
      </c>
    </row>
    <row r="901" ht="15.75" customHeight="1">
      <c r="A901" s="111" t="s">
        <v>1027</v>
      </c>
      <c r="B901" s="83" t="s">
        <v>4513</v>
      </c>
      <c r="C901" s="83" t="s">
        <v>68</v>
      </c>
      <c r="D901" s="112">
        <v>1178106.0</v>
      </c>
      <c r="E901" s="83"/>
      <c r="F901" s="83">
        <v>2.9443113E7</v>
      </c>
      <c r="G901" s="91" t="str">
        <f>IFERROR(__xludf.DUMMYFUNCTION("XLOOKUP(AS901,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LUIS EDUARDO MAGALHAES")</f>
        <v>COLÉGIO ESTADUAL LUIS EDUARDO MAGALHAES</v>
      </c>
      <c r="H901" s="119" t="s">
        <v>2277</v>
      </c>
      <c r="I901" s="91" t="s">
        <v>4514</v>
      </c>
      <c r="J901" s="83" t="s">
        <v>149</v>
      </c>
      <c r="K901" s="83" t="s">
        <v>150</v>
      </c>
      <c r="L901" s="83" t="s">
        <v>151</v>
      </c>
      <c r="M901" s="98" t="s">
        <v>1421</v>
      </c>
      <c r="N901" s="98" t="s">
        <v>4518</v>
      </c>
      <c r="O901" s="98" t="s">
        <v>155</v>
      </c>
      <c r="P901" s="99" t="str">
        <f>IFERROR(__xludf.DUMMYFUNCTION("IFERROR(VLOOKUP(AS901,IMPORTRANGE(""https://docs.google.com/spreadsheets/d/1juPI-Fb8LD0YtltB2mlGEnp_R3UVu1t3wSFPzgCyHXE/edit?gid=0#gid=0"",""GERAL!A2:C""),3,0),""-"")"),"-")</f>
        <v>-</v>
      </c>
      <c r="Q901" s="101" t="s">
        <v>156</v>
      </c>
      <c r="R901" s="98">
        <v>11.0</v>
      </c>
      <c r="S901" s="98">
        <v>0.0</v>
      </c>
      <c r="T901" s="98">
        <v>0.0</v>
      </c>
      <c r="U901" s="98">
        <v>0.0</v>
      </c>
      <c r="V901" s="98">
        <v>0.0</v>
      </c>
      <c r="W901" s="98">
        <v>1.0</v>
      </c>
      <c r="X901" s="98">
        <v>0.0</v>
      </c>
      <c r="Y901" s="98">
        <v>0.0</v>
      </c>
      <c r="Z901" s="98">
        <v>0.0</v>
      </c>
      <c r="AA901" s="98">
        <v>0.0</v>
      </c>
      <c r="AB901" s="98">
        <v>0.0</v>
      </c>
      <c r="AC901" s="98">
        <v>0.0</v>
      </c>
      <c r="AD901" s="98">
        <v>0.0</v>
      </c>
      <c r="AE901" s="98">
        <v>0.0</v>
      </c>
      <c r="AF901" s="98">
        <v>1.0</v>
      </c>
      <c r="AG901" s="98">
        <v>0.0</v>
      </c>
      <c r="AH901" s="98">
        <v>0.0</v>
      </c>
      <c r="AI901" s="98">
        <v>0.0</v>
      </c>
      <c r="AJ901" s="98">
        <v>0.0</v>
      </c>
      <c r="AK901" s="98">
        <v>0.0</v>
      </c>
      <c r="AL901" s="98">
        <v>0.0</v>
      </c>
      <c r="AM901" s="98">
        <v>0.0</v>
      </c>
      <c r="AN901" s="98">
        <v>0.0</v>
      </c>
      <c r="AO901" s="98">
        <v>0.0</v>
      </c>
      <c r="AP901" s="98">
        <v>2.0</v>
      </c>
      <c r="AQ901" s="98" t="s">
        <v>4524</v>
      </c>
      <c r="AR901" s="102">
        <v>46238.0</v>
      </c>
      <c r="AS901" s="83">
        <v>1178106.0</v>
      </c>
    </row>
    <row r="902" ht="15.75" customHeight="1">
      <c r="A902" s="111" t="s">
        <v>1027</v>
      </c>
      <c r="B902" s="83" t="s">
        <v>4525</v>
      </c>
      <c r="C902" s="83" t="s">
        <v>68</v>
      </c>
      <c r="D902" s="112">
        <v>1123043.0</v>
      </c>
      <c r="E902" s="83"/>
      <c r="F902" s="83">
        <v>2.908824E7</v>
      </c>
      <c r="G902" s="91" t="str">
        <f>IFERROR(__xludf.DUMMYFUNCTION("XLOOKUP(AS902,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JOÃO QUEIROZ")</f>
        <v>COLÉGIO ESTADUAL DE TEMPO INTEGRAL JOÃO QUEIROZ</v>
      </c>
      <c r="H902" s="119" t="s">
        <v>4526</v>
      </c>
      <c r="I902" s="108" t="s">
        <v>4527</v>
      </c>
      <c r="J902" s="98" t="s">
        <v>4528</v>
      </c>
      <c r="K902" s="83" t="s">
        <v>150</v>
      </c>
      <c r="L902" s="83" t="s">
        <v>151</v>
      </c>
      <c r="M902" s="83" t="s">
        <v>152</v>
      </c>
      <c r="N902" s="98" t="s">
        <v>4529</v>
      </c>
      <c r="O902" s="98" t="s">
        <v>155</v>
      </c>
      <c r="P902" s="99" t="str">
        <f>IFERROR(__xludf.DUMMYFUNCTION("IFERROR(VLOOKUP(AS902,IMPORTRANGE(""https://docs.google.com/spreadsheets/d/1juPI-Fb8LD0YtltB2mlGEnp_R3UVu1t3wSFPzgCyHXE/edit?gid=0#gid=0"",""GERAL!A2:C""),3,0),""-"")"),"-")</f>
        <v>-</v>
      </c>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c r="AR902" s="83"/>
      <c r="AS902" s="83">
        <v>1123043.0</v>
      </c>
    </row>
    <row r="903" ht="15.75" customHeight="1">
      <c r="A903" s="111" t="s">
        <v>1090</v>
      </c>
      <c r="B903" s="83" t="s">
        <v>4530</v>
      </c>
      <c r="C903" s="83" t="s">
        <v>68</v>
      </c>
      <c r="D903" s="112">
        <v>1122730.0</v>
      </c>
      <c r="E903" s="83"/>
      <c r="F903" s="83">
        <v>2.9080533E7</v>
      </c>
      <c r="G903" s="91" t="str">
        <f>IFERROR(__xludf.DUMMYFUNCTION("XLOOKUP(AS903,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RIBEIRO PAMPONET")</f>
        <v>COLÉGIO ESTADUAL DE TEMPO INTEGRAL JOSÉ RIBEIRO PAMPONET</v>
      </c>
      <c r="H903" s="119" t="s">
        <v>4531</v>
      </c>
      <c r="I903" s="108" t="s">
        <v>4532</v>
      </c>
      <c r="J903" s="229" t="s">
        <v>4533</v>
      </c>
      <c r="K903" s="83" t="s">
        <v>150</v>
      </c>
      <c r="L903" s="83" t="s">
        <v>1685</v>
      </c>
      <c r="M903" s="83" t="s">
        <v>230</v>
      </c>
      <c r="N903" s="98" t="s">
        <v>4534</v>
      </c>
      <c r="O903" s="98" t="s">
        <v>155</v>
      </c>
      <c r="P903" s="99" t="str">
        <f>IFERROR(__xludf.DUMMYFUNCTION("IFERROR(VLOOKUP(AS903,IMPORTRANGE(""https://docs.google.com/spreadsheets/d/1juPI-Fb8LD0YtltB2mlGEnp_R3UVu1t3wSFPzgCyHXE/edit?gid=0#gid=0"",""GERAL!A2:C""),3,0),""-"")"),"-")</f>
        <v>-</v>
      </c>
      <c r="Q903" s="101" t="s">
        <v>156</v>
      </c>
      <c r="R903" s="98">
        <v>19.0</v>
      </c>
      <c r="S903" s="98">
        <v>0.0</v>
      </c>
      <c r="T903" s="98">
        <v>1.0</v>
      </c>
      <c r="U903" s="98">
        <v>0.0</v>
      </c>
      <c r="V903" s="98">
        <v>1.0</v>
      </c>
      <c r="W903" s="98">
        <v>2.0</v>
      </c>
      <c r="X903" s="98">
        <v>1.0</v>
      </c>
      <c r="Y903" s="98">
        <v>0.0</v>
      </c>
      <c r="Z903" s="98">
        <v>1.0</v>
      </c>
      <c r="AA903" s="98">
        <v>0.0</v>
      </c>
      <c r="AB903" s="98">
        <v>0.0</v>
      </c>
      <c r="AC903" s="98">
        <v>1.0</v>
      </c>
      <c r="AD903" s="98">
        <v>0.0</v>
      </c>
      <c r="AE903" s="98">
        <v>0.0</v>
      </c>
      <c r="AF903" s="98">
        <v>1.0</v>
      </c>
      <c r="AG903" s="98">
        <v>0.0</v>
      </c>
      <c r="AH903" s="98">
        <v>0.0</v>
      </c>
      <c r="AI903" s="98">
        <v>0.0</v>
      </c>
      <c r="AJ903" s="98">
        <v>0.0</v>
      </c>
      <c r="AK903" s="98">
        <v>1.0</v>
      </c>
      <c r="AL903" s="98">
        <v>0.0</v>
      </c>
      <c r="AM903" s="98">
        <v>0.0</v>
      </c>
      <c r="AN903" s="98">
        <v>0.0</v>
      </c>
      <c r="AO903" s="98">
        <v>0.0</v>
      </c>
      <c r="AP903" s="98">
        <v>0.0</v>
      </c>
      <c r="AQ903" s="98" t="s">
        <v>4535</v>
      </c>
      <c r="AR903" s="102">
        <v>46230.0</v>
      </c>
      <c r="AS903" s="83">
        <v>1122730.0</v>
      </c>
    </row>
    <row r="904" ht="15.75" customHeight="1">
      <c r="A904" s="111" t="s">
        <v>1090</v>
      </c>
      <c r="B904" s="83" t="s">
        <v>4536</v>
      </c>
      <c r="C904" s="83" t="s">
        <v>68</v>
      </c>
      <c r="D904" s="112">
        <v>1179030.0</v>
      </c>
      <c r="E904" s="83"/>
      <c r="F904" s="83">
        <v>2.9398282E7</v>
      </c>
      <c r="G904" s="91" t="str">
        <f>IFERROR(__xludf.DUMMYFUNCTION("XLOOKUP(AS904,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ZENILDA FERNANDES DOS SANTOS FARIAS")</f>
        <v>COLÉGIO ESTADUAL DE TEMPO INTEGRAL PROFESSORA ZENILDA FERNANDES DOS SANTOS FARIAS</v>
      </c>
      <c r="H904" s="119" t="s">
        <v>4537</v>
      </c>
      <c r="I904" s="91" t="s">
        <v>4538</v>
      </c>
      <c r="J904" s="83" t="s">
        <v>149</v>
      </c>
      <c r="K904" s="83" t="s">
        <v>150</v>
      </c>
      <c r="L904" s="83" t="s">
        <v>1685</v>
      </c>
      <c r="M904" s="98" t="s">
        <v>152</v>
      </c>
      <c r="N904" s="98" t="s">
        <v>4539</v>
      </c>
      <c r="O904" s="98" t="s">
        <v>284</v>
      </c>
      <c r="P904" s="99" t="str">
        <f>IFERROR(__xludf.DUMMYFUNCTION("IFERROR(VLOOKUP(AS904,IMPORTRANGE(""https://docs.google.com/spreadsheets/d/1juPI-Fb8LD0YtltB2mlGEnp_R3UVu1t3wSFPzgCyHXE/edit?gid=0#gid=0"",""GERAL!A2:C""),3,0),""-"")"),"-")</f>
        <v>-</v>
      </c>
      <c r="Q904" s="101" t="s">
        <v>156</v>
      </c>
      <c r="R904" s="98">
        <v>9.0</v>
      </c>
      <c r="S904" s="98">
        <v>0.0</v>
      </c>
      <c r="T904" s="98">
        <v>0.0</v>
      </c>
      <c r="U904" s="98">
        <v>1.0</v>
      </c>
      <c r="V904" s="98">
        <v>1.0</v>
      </c>
      <c r="W904" s="98">
        <v>0.0</v>
      </c>
      <c r="X904" s="98">
        <v>1.0</v>
      </c>
      <c r="Y904" s="98">
        <v>0.0</v>
      </c>
      <c r="Z904" s="98">
        <v>1.0</v>
      </c>
      <c r="AA904" s="98">
        <v>0.0</v>
      </c>
      <c r="AB904" s="98">
        <v>1.0</v>
      </c>
      <c r="AC904" s="98">
        <v>0.0</v>
      </c>
      <c r="AD904" s="98">
        <v>0.0</v>
      </c>
      <c r="AE904" s="98">
        <v>0.0</v>
      </c>
      <c r="AF904" s="98">
        <v>1.0</v>
      </c>
      <c r="AG904" s="98">
        <v>0.0</v>
      </c>
      <c r="AH904" s="98">
        <v>0.0</v>
      </c>
      <c r="AI904" s="98">
        <v>0.0</v>
      </c>
      <c r="AJ904" s="98">
        <v>0.0</v>
      </c>
      <c r="AK904" s="98">
        <v>1.0</v>
      </c>
      <c r="AL904" s="98">
        <v>0.0</v>
      </c>
      <c r="AM904" s="98">
        <v>0.0</v>
      </c>
      <c r="AN904" s="98">
        <v>0.0</v>
      </c>
      <c r="AO904" s="98">
        <v>0.0</v>
      </c>
      <c r="AP904" s="98">
        <v>0.0</v>
      </c>
      <c r="AQ904" s="98" t="s">
        <v>171</v>
      </c>
      <c r="AR904" s="102">
        <v>46216.0</v>
      </c>
      <c r="AS904" s="83">
        <v>1179030.0</v>
      </c>
    </row>
    <row r="905" ht="15.75" customHeight="1">
      <c r="A905" s="111" t="s">
        <v>1090</v>
      </c>
      <c r="B905" s="83" t="s">
        <v>2332</v>
      </c>
      <c r="C905" s="83" t="s">
        <v>68</v>
      </c>
      <c r="D905" s="98">
        <v>1179806.0</v>
      </c>
      <c r="E905" s="83"/>
      <c r="F905" s="83"/>
      <c r="G905" s="91" t="str">
        <f>IFERROR(__xludf.DUMMYFUNCTION("XLOOKUP(AS905,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PEDRAS ALTAS")</f>
        <v>COLÉGIO ESTADUAL DO CAMPO DE PEDRAS ALTAS</v>
      </c>
      <c r="H905" s="119" t="s">
        <v>4540</v>
      </c>
      <c r="I905" s="91"/>
      <c r="J905" s="83"/>
      <c r="K905" s="83"/>
      <c r="L905" s="98" t="s">
        <v>132</v>
      </c>
      <c r="M905" s="83" t="s">
        <v>169</v>
      </c>
      <c r="N905" s="98" t="s">
        <v>4541</v>
      </c>
      <c r="O905" s="98"/>
      <c r="P905" s="99" t="str">
        <f>IFERROR(__xludf.DUMMYFUNCTION("IFERROR(VLOOKUP(AS905,IMPORTRANGE(""https://docs.google.com/spreadsheets/d/1juPI-Fb8LD0YtltB2mlGEnp_R3UVu1t3wSFPzgCyHXE/edit?gid=0#gid=0"",""GERAL!A2:C""),3,0),""-"")"),"CAMPO")</f>
        <v>CAMPO</v>
      </c>
      <c r="Q905" s="101" t="s">
        <v>156</v>
      </c>
      <c r="R905" s="98">
        <v>5.0</v>
      </c>
      <c r="S905" s="98">
        <v>0.0</v>
      </c>
      <c r="T905" s="98">
        <v>0.0</v>
      </c>
      <c r="U905" s="98">
        <v>0.0</v>
      </c>
      <c r="V905" s="98">
        <v>0.0</v>
      </c>
      <c r="W905" s="98">
        <v>0.0</v>
      </c>
      <c r="X905" s="98">
        <v>0.0</v>
      </c>
      <c r="Y905" s="98">
        <v>0.0</v>
      </c>
      <c r="Z905" s="98">
        <v>0.0</v>
      </c>
      <c r="AA905" s="98">
        <v>1.0</v>
      </c>
      <c r="AB905" s="98">
        <v>0.0</v>
      </c>
      <c r="AC905" s="98">
        <v>0.0</v>
      </c>
      <c r="AD905" s="98">
        <v>0.0</v>
      </c>
      <c r="AE905" s="98">
        <v>0.0</v>
      </c>
      <c r="AF905" s="98">
        <v>0.0</v>
      </c>
      <c r="AG905" s="98">
        <v>1.0</v>
      </c>
      <c r="AH905" s="98">
        <v>0.0</v>
      </c>
      <c r="AI905" s="98">
        <v>0.0</v>
      </c>
      <c r="AJ905" s="98">
        <v>0.0</v>
      </c>
      <c r="AK905" s="98">
        <v>0.0</v>
      </c>
      <c r="AL905" s="98">
        <v>0.0</v>
      </c>
      <c r="AM905" s="98">
        <v>0.0</v>
      </c>
      <c r="AN905" s="98">
        <v>0.0</v>
      </c>
      <c r="AO905" s="98">
        <v>0.0</v>
      </c>
      <c r="AP905" s="98">
        <v>0.0</v>
      </c>
      <c r="AQ905" s="98" t="s">
        <v>171</v>
      </c>
      <c r="AR905" s="102">
        <v>46227.0</v>
      </c>
      <c r="AS905" s="98">
        <v>1179806.0</v>
      </c>
    </row>
    <row r="906">
      <c r="A906" s="111" t="s">
        <v>1090</v>
      </c>
      <c r="B906" s="83" t="s">
        <v>2332</v>
      </c>
      <c r="C906" s="83" t="s">
        <v>68</v>
      </c>
      <c r="D906" s="112">
        <v>1162243.0</v>
      </c>
      <c r="E906" s="83"/>
      <c r="F906" s="83">
        <v>2.906958E7</v>
      </c>
      <c r="G906" s="91" t="str">
        <f>IFERROR(__xludf.DUMMYFUNCTION("XLOOKUP(AS906,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DA BACIA DO JACUÍPE III-EDNA DALTRO - EM TEMPO INTEGRAL")</f>
        <v>CENTRO TERRITORIAL DE EDUCAÇÃO PROFISSIONAL DA BACIA DO JACUÍPE III-EDNA DALTRO - EM TEMPO INTEGRAL</v>
      </c>
      <c r="H906" s="114" t="s">
        <v>4543</v>
      </c>
      <c r="I906" s="91" t="s">
        <v>4544</v>
      </c>
      <c r="J906" s="83" t="s">
        <v>149</v>
      </c>
      <c r="K906" s="83" t="s">
        <v>150</v>
      </c>
      <c r="L906" s="83" t="s">
        <v>1685</v>
      </c>
      <c r="M906" s="83" t="s">
        <v>230</v>
      </c>
      <c r="N906" s="98" t="s">
        <v>4545</v>
      </c>
      <c r="O906" s="98" t="s">
        <v>162</v>
      </c>
      <c r="P906" s="99" t="str">
        <f>IFERROR(__xludf.DUMMYFUNCTION("IFERROR(VLOOKUP(AS906,IMPORTRANGE(""https://docs.google.com/spreadsheets/d/1juPI-Fb8LD0YtltB2mlGEnp_R3UVu1t3wSFPzgCyHXE/edit?gid=0#gid=0"",""GERAL!A2:C""),3,0),""-"")"),"-")</f>
        <v>-</v>
      </c>
      <c r="Q906" s="101" t="s">
        <v>156</v>
      </c>
      <c r="R906" s="98">
        <v>29.0</v>
      </c>
      <c r="S906" s="98">
        <v>0.0</v>
      </c>
      <c r="T906" s="98">
        <v>0.0</v>
      </c>
      <c r="U906" s="98">
        <v>0.0</v>
      </c>
      <c r="V906" s="98">
        <v>0.0</v>
      </c>
      <c r="W906" s="98">
        <v>3.0</v>
      </c>
      <c r="X906" s="98">
        <v>0.0</v>
      </c>
      <c r="Y906" s="98">
        <v>0.0</v>
      </c>
      <c r="Z906" s="98">
        <v>1.0</v>
      </c>
      <c r="AA906" s="98">
        <v>0.0</v>
      </c>
      <c r="AB906" s="98">
        <v>1.0</v>
      </c>
      <c r="AC906" s="98">
        <v>0.0</v>
      </c>
      <c r="AD906" s="98">
        <v>0.0</v>
      </c>
      <c r="AE906" s="98">
        <v>0.0</v>
      </c>
      <c r="AF906" s="98">
        <v>1.0</v>
      </c>
      <c r="AG906" s="98">
        <v>0.0</v>
      </c>
      <c r="AH906" s="98">
        <v>0.0</v>
      </c>
      <c r="AI906" s="98">
        <v>0.0</v>
      </c>
      <c r="AJ906" s="98">
        <v>0.0</v>
      </c>
      <c r="AK906" s="98">
        <v>1.0</v>
      </c>
      <c r="AL906" s="98">
        <v>0.0</v>
      </c>
      <c r="AM906" s="98">
        <v>0.0</v>
      </c>
      <c r="AN906" s="98">
        <v>0.0</v>
      </c>
      <c r="AO906" s="98">
        <v>1.0</v>
      </c>
      <c r="AP906" s="98">
        <v>5.0</v>
      </c>
      <c r="AQ906" s="98" t="s">
        <v>4551</v>
      </c>
      <c r="AR906" s="102">
        <v>46227.0</v>
      </c>
      <c r="AS906" s="83">
        <v>1162243.0</v>
      </c>
    </row>
    <row r="907" ht="15.75" customHeight="1">
      <c r="A907" s="111" t="s">
        <v>1090</v>
      </c>
      <c r="B907" s="83" t="s">
        <v>4553</v>
      </c>
      <c r="C907" s="83" t="s">
        <v>68</v>
      </c>
      <c r="D907" s="112">
        <v>1106904.0</v>
      </c>
      <c r="E907" s="83"/>
      <c r="F907" s="83">
        <v>2.9139368E7</v>
      </c>
      <c r="G907" s="91" t="str">
        <f>IFERROR(__xludf.DUMMYFUNCTION("XLOOKUP(AS907,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ANÍSIO TEIXEIRA
(ANTIGO - CE NOSSA SENHORA DA CONCEIÇÃO)")</f>
        <v>COLÉGIO ESTADUAL DE TEMPO INTEGRAL ANÍSIO TEIXEIRA
(ANTIGO - CE NOSSA SENHORA DA CONCEIÇÃO)</v>
      </c>
      <c r="H907" s="119" t="s">
        <v>4554</v>
      </c>
      <c r="I907" s="91" t="s">
        <v>4555</v>
      </c>
      <c r="J907" s="83" t="s">
        <v>149</v>
      </c>
      <c r="K907" s="83" t="s">
        <v>150</v>
      </c>
      <c r="L907" s="83" t="s">
        <v>1685</v>
      </c>
      <c r="M907" s="83" t="s">
        <v>169</v>
      </c>
      <c r="N907" s="98" t="s">
        <v>4557</v>
      </c>
      <c r="O907" s="98" t="s">
        <v>155</v>
      </c>
      <c r="P907" s="99" t="str">
        <f>IFERROR(__xludf.DUMMYFUNCTION("IFERROR(VLOOKUP(AS907,IMPORTRANGE(""https://docs.google.com/spreadsheets/d/1juPI-Fb8LD0YtltB2mlGEnp_R3UVu1t3wSFPzgCyHXE/edit?gid=0#gid=0"",""GERAL!A2:C""),3,0),""-"")"),"-")</f>
        <v>-</v>
      </c>
      <c r="Q907" s="83"/>
      <c r="R907" s="83"/>
      <c r="S907" s="83"/>
      <c r="T907" s="83"/>
      <c r="U907" s="83"/>
      <c r="V907" s="83"/>
      <c r="W907" s="83"/>
      <c r="X907" s="83"/>
      <c r="Y907" s="83"/>
      <c r="Z907" s="83"/>
      <c r="AA907" s="83"/>
      <c r="AB907" s="83"/>
      <c r="AC907" s="83"/>
      <c r="AD907" s="83"/>
      <c r="AE907" s="83"/>
      <c r="AF907" s="83"/>
      <c r="AG907" s="83"/>
      <c r="AH907" s="83"/>
      <c r="AI907" s="83"/>
      <c r="AJ907" s="83"/>
      <c r="AK907" s="83"/>
      <c r="AL907" s="83"/>
      <c r="AM907" s="83"/>
      <c r="AN907" s="83"/>
      <c r="AO907" s="83"/>
      <c r="AP907" s="83"/>
      <c r="AQ907" s="83"/>
      <c r="AR907" s="83"/>
      <c r="AS907" s="83">
        <v>1106904.0</v>
      </c>
    </row>
    <row r="908" ht="15.75" customHeight="1">
      <c r="A908" s="111" t="s">
        <v>1090</v>
      </c>
      <c r="B908" s="83" t="s">
        <v>2261</v>
      </c>
      <c r="C908" s="83" t="s">
        <v>68</v>
      </c>
      <c r="D908" s="112">
        <v>1160445.0</v>
      </c>
      <c r="E908" s="83"/>
      <c r="F908" s="83">
        <v>2.9101719E7</v>
      </c>
      <c r="G908" s="91" t="str">
        <f>IFERROR(__xludf.DUMMYFUNCTION("XLOOKUP(AS908,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 ARISMÁRIO SENA FERREIRA")</f>
        <v>COLÉGIO ESTADUAL DE TEMPO INTEGRAL PROFESSOR ARISMÁRIO SENA FERREIRA</v>
      </c>
      <c r="H908" s="184" t="s">
        <v>4562</v>
      </c>
      <c r="I908" s="91" t="s">
        <v>4563</v>
      </c>
      <c r="J908" s="83" t="s">
        <v>4564</v>
      </c>
      <c r="K908" s="83" t="s">
        <v>150</v>
      </c>
      <c r="L908" s="83" t="s">
        <v>1685</v>
      </c>
      <c r="M908" s="83" t="s">
        <v>230</v>
      </c>
      <c r="N908" s="98" t="s">
        <v>4565</v>
      </c>
      <c r="O908" s="98" t="s">
        <v>162</v>
      </c>
      <c r="P908" s="99" t="str">
        <f>IFERROR(__xludf.DUMMYFUNCTION("IFERROR(VLOOKUP(AS908,IMPORTRANGE(""https://docs.google.com/spreadsheets/d/1juPI-Fb8LD0YtltB2mlGEnp_R3UVu1t3wSFPzgCyHXE/edit?gid=0#gid=0"",""GERAL!A2:C""),3,0),""-"")"),"-")</f>
        <v>-</v>
      </c>
      <c r="Q908" s="101" t="s">
        <v>156</v>
      </c>
      <c r="R908" s="98">
        <v>32.0</v>
      </c>
      <c r="S908" s="98">
        <v>1.0</v>
      </c>
      <c r="T908" s="98">
        <v>3.0</v>
      </c>
      <c r="U908" s="98">
        <v>1.0</v>
      </c>
      <c r="V908" s="98">
        <v>1.0</v>
      </c>
      <c r="W908" s="98">
        <v>2.0</v>
      </c>
      <c r="X908" s="98">
        <v>1.0</v>
      </c>
      <c r="Y908" s="98">
        <v>0.0</v>
      </c>
      <c r="Z908" s="98">
        <v>1.0</v>
      </c>
      <c r="AA908" s="98">
        <v>0.0</v>
      </c>
      <c r="AB908" s="98">
        <v>1.0</v>
      </c>
      <c r="AC908" s="98">
        <v>0.0</v>
      </c>
      <c r="AD908" s="98">
        <v>1.0</v>
      </c>
      <c r="AE908" s="98">
        <v>0.0</v>
      </c>
      <c r="AF908" s="98">
        <v>1.0</v>
      </c>
      <c r="AG908" s="98">
        <v>0.0</v>
      </c>
      <c r="AH908" s="98">
        <v>0.0</v>
      </c>
      <c r="AI908" s="98">
        <v>0.0</v>
      </c>
      <c r="AJ908" s="98">
        <v>0.0</v>
      </c>
      <c r="AK908" s="98">
        <v>1.0</v>
      </c>
      <c r="AL908" s="98">
        <v>0.0</v>
      </c>
      <c r="AM908" s="98">
        <v>0.0</v>
      </c>
      <c r="AN908" s="98">
        <v>0.0</v>
      </c>
      <c r="AO908" s="98">
        <v>1.0</v>
      </c>
      <c r="AP908" s="98">
        <v>1.0</v>
      </c>
      <c r="AQ908" s="98" t="s">
        <v>4568</v>
      </c>
      <c r="AR908" s="102">
        <v>46231.0</v>
      </c>
      <c r="AS908" s="83">
        <v>1160445.0</v>
      </c>
    </row>
    <row r="909" ht="15.75" customHeight="1">
      <c r="A909" s="111" t="s">
        <v>1090</v>
      </c>
      <c r="B909" s="83" t="s">
        <v>2261</v>
      </c>
      <c r="C909" s="83" t="s">
        <v>68</v>
      </c>
      <c r="D909" s="112">
        <v>1107323.0</v>
      </c>
      <c r="E909" s="83"/>
      <c r="F909" s="83">
        <v>2.9101484E7</v>
      </c>
      <c r="G909" s="91" t="str">
        <f>IFERROR(__xludf.DUMMYFUNCTION("XLOOKUP(AS909,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DA BACIA DO JACUÍPE PROFESSOR LUIZ CARLOS ARAÚJO")</f>
        <v>CENTRO TERRITORIAL DE EDUCAÇÃO PROFISSIONAL DA BACIA DO JACUÍPE PROFESSOR LUIZ CARLOS ARAÚJO</v>
      </c>
      <c r="H909" s="185" t="s">
        <v>4569</v>
      </c>
      <c r="I909" s="91" t="s">
        <v>4570</v>
      </c>
      <c r="J909" s="83" t="s">
        <v>149</v>
      </c>
      <c r="K909" s="83" t="s">
        <v>150</v>
      </c>
      <c r="L909" s="83" t="s">
        <v>1685</v>
      </c>
      <c r="M909" s="83" t="s">
        <v>230</v>
      </c>
      <c r="N909" s="171" t="s">
        <v>4571</v>
      </c>
      <c r="O909" s="98" t="s">
        <v>284</v>
      </c>
      <c r="P909" s="99" t="str">
        <f>IFERROR(__xludf.DUMMYFUNCTION("IFERROR(VLOOKUP(AS909,IMPORTRANGE(""https://docs.google.com/spreadsheets/d/1juPI-Fb8LD0YtltB2mlGEnp_R3UVu1t3wSFPzgCyHXE/edit?gid=0#gid=0"",""GERAL!A2:C""),3,0),""-"")"),"-")</f>
        <v>-</v>
      </c>
      <c r="Q909" s="101" t="s">
        <v>156</v>
      </c>
      <c r="R909" s="98">
        <v>20.0</v>
      </c>
      <c r="S909" s="98">
        <v>1.0</v>
      </c>
      <c r="T909" s="98">
        <v>1.0</v>
      </c>
      <c r="U909" s="98">
        <v>0.0</v>
      </c>
      <c r="V909" s="98">
        <v>1.0</v>
      </c>
      <c r="W909" s="98">
        <v>7.0</v>
      </c>
      <c r="X909" s="98">
        <v>1.0</v>
      </c>
      <c r="Y909" s="98">
        <v>0.0</v>
      </c>
      <c r="Z909" s="98">
        <v>0.0</v>
      </c>
      <c r="AA909" s="98">
        <v>2.0</v>
      </c>
      <c r="AB909" s="98">
        <v>1.0</v>
      </c>
      <c r="AC909" s="98">
        <v>0.0</v>
      </c>
      <c r="AD909" s="98">
        <v>0.0</v>
      </c>
      <c r="AE909" s="98">
        <v>0.0</v>
      </c>
      <c r="AF909" s="98">
        <v>1.0</v>
      </c>
      <c r="AG909" s="98">
        <v>0.0</v>
      </c>
      <c r="AH909" s="98">
        <v>0.0</v>
      </c>
      <c r="AI909" s="98">
        <v>0.0</v>
      </c>
      <c r="AJ909" s="98">
        <v>0.0</v>
      </c>
      <c r="AK909" s="98">
        <v>0.0</v>
      </c>
      <c r="AL909" s="98">
        <v>0.0</v>
      </c>
      <c r="AM909" s="98">
        <v>0.0</v>
      </c>
      <c r="AN909" s="98">
        <v>0.0</v>
      </c>
      <c r="AO909" s="98">
        <v>0.0</v>
      </c>
      <c r="AP909" s="98">
        <v>0.0</v>
      </c>
      <c r="AQ909" s="98" t="s">
        <v>4580</v>
      </c>
      <c r="AR909" s="102">
        <v>46231.0</v>
      </c>
      <c r="AS909" s="83">
        <v>1107323.0</v>
      </c>
    </row>
    <row r="910" ht="15.75" customHeight="1">
      <c r="A910" s="111" t="s">
        <v>1090</v>
      </c>
      <c r="B910" s="83" t="s">
        <v>2261</v>
      </c>
      <c r="C910" s="83" t="s">
        <v>68</v>
      </c>
      <c r="D910" s="98">
        <v>1179812.0</v>
      </c>
      <c r="E910" s="83"/>
      <c r="F910" s="83"/>
      <c r="G910" s="91" t="str">
        <f>IFERROR(__xludf.DUMMYFUNCTION("XLOOKUP(AS910,
IMPORTRANGE(""https://docs.google.com/spreadsheets/d/1YM-djuOLXomrZ9W0B4TyIBsVWnXY4EIOFD9HY-qGfv0/edit?usp=sharing"",""GERAL!BG5:BG""),
IMPORTRANGE(""https://docs.google.com/spreadsheets/d/1YM-djuOLXomrZ9W0B4TyIBsVWnXY4EIOFD9HY-qGfv0/edit?u"&amp;"sp=sharing"",""GERAL!G5:G""),
""CÓD. SEC NÃO ENCONTRADO NA PLANILHA DE MATRÍCULA"")"),"CEMIT BACIA DO JACUIPE")</f>
        <v>CEMIT BACIA DO JACUIPE</v>
      </c>
      <c r="H910" s="184" t="s">
        <v>4581</v>
      </c>
      <c r="I910" s="108" t="s">
        <v>4582</v>
      </c>
      <c r="J910" s="98" t="s">
        <v>4583</v>
      </c>
      <c r="K910" s="83"/>
      <c r="L910" s="83" t="s">
        <v>1685</v>
      </c>
      <c r="M910" s="83" t="s">
        <v>230</v>
      </c>
      <c r="N910" s="128" t="s">
        <v>171</v>
      </c>
      <c r="O910" s="98"/>
      <c r="P910" s="99" t="str">
        <f>IFERROR(__xludf.DUMMYFUNCTION("IFERROR(VLOOKUP(AS910,IMPORTRANGE(""https://docs.google.com/spreadsheets/d/1juPI-Fb8LD0YtltB2mlGEnp_R3UVu1t3wSFPzgCyHXE/edit?gid=0#gid=0"",""GERAL!A2:C""),3,0),""-"")"),"-")</f>
        <v>-</v>
      </c>
      <c r="Q910" s="98" t="s">
        <v>171</v>
      </c>
      <c r="R910" s="98" t="s">
        <v>171</v>
      </c>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102">
        <v>46231.0</v>
      </c>
      <c r="AS910" s="98">
        <v>1179812.0</v>
      </c>
    </row>
    <row r="911" ht="15.75" customHeight="1">
      <c r="A911" s="111" t="s">
        <v>1090</v>
      </c>
      <c r="B911" s="83" t="s">
        <v>2261</v>
      </c>
      <c r="C911" s="83" t="s">
        <v>164</v>
      </c>
      <c r="D911" s="98">
        <v>1179812.0</v>
      </c>
      <c r="E911" s="83">
        <v>1178455.0</v>
      </c>
      <c r="F911" s="83"/>
      <c r="G911" s="91" t="str">
        <f>IFERROR(__xludf.DUMMYFUNCTION("XLOOKUP(AS911,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JACUIPE - POVOADO SÃO ROQUE")</f>
        <v>ANEXO - CEMIT BACIA DO JACUIPE - POVOADO SÃO ROQUE</v>
      </c>
      <c r="H911" s="184" t="s">
        <v>4588</v>
      </c>
      <c r="I911" s="91" t="s">
        <v>4589</v>
      </c>
      <c r="J911" s="83" t="s">
        <v>149</v>
      </c>
      <c r="K911" s="83" t="s">
        <v>992</v>
      </c>
      <c r="L911" s="83" t="s">
        <v>1685</v>
      </c>
      <c r="M911" s="83" t="s">
        <v>169</v>
      </c>
      <c r="N911" s="115" t="s">
        <v>170</v>
      </c>
      <c r="O911" s="98" t="s">
        <v>155</v>
      </c>
      <c r="P911" s="99" t="str">
        <f>IFERROR(__xludf.DUMMYFUNCTION("IFERROR(VLOOKUP(AS911,IMPORTRANGE(""https://docs.google.com/spreadsheets/d/1juPI-Fb8LD0YtltB2mlGEnp_R3UVu1t3wSFPzgCyHXE/edit?gid=0#gid=0"",""GERAL!A2:C""),3,0),""-"")"),"CAMPO")</f>
        <v>CAMPO</v>
      </c>
      <c r="Q911" s="98" t="s">
        <v>171</v>
      </c>
      <c r="R911" s="98">
        <v>2.0</v>
      </c>
      <c r="S911" s="98" t="s">
        <v>171</v>
      </c>
      <c r="T911" s="98" t="s">
        <v>171</v>
      </c>
      <c r="U911" s="98" t="s">
        <v>171</v>
      </c>
      <c r="V911" s="98" t="s">
        <v>171</v>
      </c>
      <c r="W911" s="98" t="s">
        <v>171</v>
      </c>
      <c r="X911" s="98" t="s">
        <v>171</v>
      </c>
      <c r="Y911" s="98" t="s">
        <v>171</v>
      </c>
      <c r="Z911" s="98" t="s">
        <v>171</v>
      </c>
      <c r="AA911" s="98" t="s">
        <v>171</v>
      </c>
      <c r="AB911" s="98" t="s">
        <v>171</v>
      </c>
      <c r="AC911" s="98" t="s">
        <v>171</v>
      </c>
      <c r="AD911" s="98" t="s">
        <v>171</v>
      </c>
      <c r="AE911" s="98" t="s">
        <v>171</v>
      </c>
      <c r="AF911" s="98" t="s">
        <v>171</v>
      </c>
      <c r="AG911" s="98" t="s">
        <v>171</v>
      </c>
      <c r="AH911" s="98" t="s">
        <v>171</v>
      </c>
      <c r="AI911" s="98" t="s">
        <v>171</v>
      </c>
      <c r="AJ911" s="98" t="s">
        <v>171</v>
      </c>
      <c r="AK911" s="98" t="s">
        <v>171</v>
      </c>
      <c r="AL911" s="98" t="s">
        <v>171</v>
      </c>
      <c r="AM911" s="98" t="s">
        <v>171</v>
      </c>
      <c r="AN911" s="98" t="s">
        <v>171</v>
      </c>
      <c r="AO911" s="98" t="s">
        <v>171</v>
      </c>
      <c r="AP911" s="98" t="s">
        <v>171</v>
      </c>
      <c r="AQ911" s="98" t="s">
        <v>171</v>
      </c>
      <c r="AR911" s="102">
        <v>46231.0</v>
      </c>
      <c r="AS911" s="83">
        <v>1178455.0</v>
      </c>
    </row>
    <row r="912" ht="15.75" customHeight="1">
      <c r="A912" s="111" t="s">
        <v>1090</v>
      </c>
      <c r="B912" s="83" t="s">
        <v>2261</v>
      </c>
      <c r="C912" s="83" t="s">
        <v>164</v>
      </c>
      <c r="D912" s="98">
        <v>1179812.0</v>
      </c>
      <c r="E912" s="83">
        <v>1178454.0</v>
      </c>
      <c r="F912" s="83"/>
      <c r="G912" s="91" t="str">
        <f>IFERROR(__xludf.DUMMYFUNCTION("XLOOKUP(AS912,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JACUIPE - POVOADO MALHADOR")</f>
        <v>ANEXO - CEMIT BACIA DO JACUIPE - POVOADO MALHADOR</v>
      </c>
      <c r="H912" s="184" t="s">
        <v>4592</v>
      </c>
      <c r="I912" s="91" t="s">
        <v>4593</v>
      </c>
      <c r="J912" s="83" t="s">
        <v>149</v>
      </c>
      <c r="K912" s="83" t="s">
        <v>1460</v>
      </c>
      <c r="L912" s="83" t="s">
        <v>1022</v>
      </c>
      <c r="M912" s="83" t="s">
        <v>169</v>
      </c>
      <c r="N912" s="115" t="s">
        <v>170</v>
      </c>
      <c r="O912" s="98" t="s">
        <v>155</v>
      </c>
      <c r="P912" s="99" t="str">
        <f>IFERROR(__xludf.DUMMYFUNCTION("IFERROR(VLOOKUP(AS912,IMPORTRANGE(""https://docs.google.com/spreadsheets/d/1juPI-Fb8LD0YtltB2mlGEnp_R3UVu1t3wSFPzgCyHXE/edit?gid=0#gid=0"",""GERAL!A2:C""),3,0),""-"")"),"CAMPO")</f>
        <v>CAMPO</v>
      </c>
      <c r="Q912" s="98" t="s">
        <v>171</v>
      </c>
      <c r="R912" s="98">
        <v>2.0</v>
      </c>
      <c r="S912" s="98" t="s">
        <v>171</v>
      </c>
      <c r="T912" s="98" t="s">
        <v>171</v>
      </c>
      <c r="U912" s="98" t="s">
        <v>171</v>
      </c>
      <c r="V912" s="98" t="s">
        <v>171</v>
      </c>
      <c r="W912" s="98" t="s">
        <v>171</v>
      </c>
      <c r="X912" s="98" t="s">
        <v>171</v>
      </c>
      <c r="Y912" s="98" t="s">
        <v>171</v>
      </c>
      <c r="Z912" s="98" t="s">
        <v>171</v>
      </c>
      <c r="AA912" s="98" t="s">
        <v>171</v>
      </c>
      <c r="AB912" s="98" t="s">
        <v>171</v>
      </c>
      <c r="AC912" s="98" t="s">
        <v>171</v>
      </c>
      <c r="AD912" s="98" t="s">
        <v>171</v>
      </c>
      <c r="AE912" s="98" t="s">
        <v>171</v>
      </c>
      <c r="AF912" s="98" t="s">
        <v>171</v>
      </c>
      <c r="AG912" s="98" t="s">
        <v>171</v>
      </c>
      <c r="AH912" s="98" t="s">
        <v>171</v>
      </c>
      <c r="AI912" s="98" t="s">
        <v>171</v>
      </c>
      <c r="AJ912" s="98" t="s">
        <v>171</v>
      </c>
      <c r="AK912" s="98" t="s">
        <v>171</v>
      </c>
      <c r="AL912" s="98" t="s">
        <v>171</v>
      </c>
      <c r="AM912" s="98" t="s">
        <v>171</v>
      </c>
      <c r="AN912" s="98" t="s">
        <v>171</v>
      </c>
      <c r="AO912" s="98" t="s">
        <v>171</v>
      </c>
      <c r="AP912" s="98" t="s">
        <v>171</v>
      </c>
      <c r="AQ912" s="98" t="s">
        <v>171</v>
      </c>
      <c r="AR912" s="102">
        <v>46231.0</v>
      </c>
      <c r="AS912" s="83">
        <v>1178454.0</v>
      </c>
    </row>
    <row r="913" ht="15.75" customHeight="1">
      <c r="A913" s="111" t="s">
        <v>1090</v>
      </c>
      <c r="B913" s="83" t="s">
        <v>2261</v>
      </c>
      <c r="C913" s="83" t="s">
        <v>164</v>
      </c>
      <c r="D913" s="98">
        <v>1179812.0</v>
      </c>
      <c r="E913" s="83">
        <v>1178451.0</v>
      </c>
      <c r="F913" s="83">
        <v>2.9101719E7</v>
      </c>
      <c r="G913" s="91" t="str">
        <f>IFERROR(__xludf.DUMMYFUNCTION("XLOOKUP(AS913,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JACUIPE - POVOADO DE BONFIM")</f>
        <v>ANEXO - CEMIT BACIA DO JACUIPE - POVOADO DE BONFIM</v>
      </c>
      <c r="H913" s="184" t="s">
        <v>4599</v>
      </c>
      <c r="I913" s="91" t="s">
        <v>4600</v>
      </c>
      <c r="J913" s="186" t="s">
        <v>171</v>
      </c>
      <c r="K913" s="193"/>
      <c r="L913" s="83" t="s">
        <v>1022</v>
      </c>
      <c r="M913" s="98" t="s">
        <v>512</v>
      </c>
      <c r="N913" s="115" t="s">
        <v>170</v>
      </c>
      <c r="O913" s="98" t="s">
        <v>155</v>
      </c>
      <c r="P913" s="99" t="str">
        <f>IFERROR(__xludf.DUMMYFUNCTION("IFERROR(VLOOKUP(AS913,IMPORTRANGE(""https://docs.google.com/spreadsheets/d/1juPI-Fb8LD0YtltB2mlGEnp_R3UVu1t3wSFPzgCyHXE/edit?gid=0#gid=0"",""GERAL!A2:C""),3,0),""-"")"),"CAMPO")</f>
        <v>CAMPO</v>
      </c>
      <c r="Q913" s="98" t="s">
        <v>171</v>
      </c>
      <c r="R913" s="98">
        <v>1.0</v>
      </c>
      <c r="S913" s="98" t="s">
        <v>171</v>
      </c>
      <c r="T913" s="98" t="s">
        <v>171</v>
      </c>
      <c r="U913" s="98" t="s">
        <v>171</v>
      </c>
      <c r="V913" s="98" t="s">
        <v>171</v>
      </c>
      <c r="W913" s="98" t="s">
        <v>171</v>
      </c>
      <c r="X913" s="98" t="s">
        <v>171</v>
      </c>
      <c r="Y913" s="98" t="s">
        <v>171</v>
      </c>
      <c r="Z913" s="98" t="s">
        <v>171</v>
      </c>
      <c r="AA913" s="98" t="s">
        <v>171</v>
      </c>
      <c r="AB913" s="98" t="s">
        <v>171</v>
      </c>
      <c r="AC913" s="98" t="s">
        <v>171</v>
      </c>
      <c r="AD913" s="98" t="s">
        <v>171</v>
      </c>
      <c r="AE913" s="98" t="s">
        <v>171</v>
      </c>
      <c r="AF913" s="98" t="s">
        <v>171</v>
      </c>
      <c r="AG913" s="98" t="s">
        <v>171</v>
      </c>
      <c r="AH913" s="98" t="s">
        <v>171</v>
      </c>
      <c r="AI913" s="98" t="s">
        <v>171</v>
      </c>
      <c r="AJ913" s="98" t="s">
        <v>171</v>
      </c>
      <c r="AK913" s="98" t="s">
        <v>171</v>
      </c>
      <c r="AL913" s="98" t="s">
        <v>171</v>
      </c>
      <c r="AM913" s="98" t="s">
        <v>171</v>
      </c>
      <c r="AN913" s="98" t="s">
        <v>171</v>
      </c>
      <c r="AO913" s="98" t="s">
        <v>171</v>
      </c>
      <c r="AP913" s="98" t="s">
        <v>171</v>
      </c>
      <c r="AQ913" s="98" t="s">
        <v>171</v>
      </c>
      <c r="AR913" s="102">
        <v>46231.0</v>
      </c>
      <c r="AS913" s="83">
        <v>1178451.0</v>
      </c>
    </row>
    <row r="914" ht="15.75" customHeight="1">
      <c r="A914" s="111" t="s">
        <v>1090</v>
      </c>
      <c r="B914" s="83" t="s">
        <v>2261</v>
      </c>
      <c r="C914" s="83" t="s">
        <v>164</v>
      </c>
      <c r="D914" s="98">
        <v>1179812.0</v>
      </c>
      <c r="E914" s="83">
        <v>1178453.0</v>
      </c>
      <c r="F914" s="83"/>
      <c r="G914" s="91" t="str">
        <f>IFERROR(__xludf.DUMMYFUNCTION("XLOOKUP(AS914,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JACUIPE - POVOADO CORAÇÃO DE MARIA")</f>
        <v>ANEXO - CEMIT BACIA DO JACUIPE - POVOADO CORAÇÃO DE MARIA</v>
      </c>
      <c r="H914" s="184" t="s">
        <v>4607</v>
      </c>
      <c r="I914" s="91" t="s">
        <v>4608</v>
      </c>
      <c r="J914" s="83" t="s">
        <v>149</v>
      </c>
      <c r="K914" s="83" t="s">
        <v>209</v>
      </c>
      <c r="L914" s="83" t="s">
        <v>1685</v>
      </c>
      <c r="M914" s="83" t="s">
        <v>169</v>
      </c>
      <c r="N914" s="115" t="s">
        <v>170</v>
      </c>
      <c r="O914" s="98" t="s">
        <v>155</v>
      </c>
      <c r="P914" s="99" t="str">
        <f>IFERROR(__xludf.DUMMYFUNCTION("IFERROR(VLOOKUP(AS914,IMPORTRANGE(""https://docs.google.com/spreadsheets/d/1juPI-Fb8LD0YtltB2mlGEnp_R3UVu1t3wSFPzgCyHXE/edit?gid=0#gid=0"",""GERAL!A2:C""),3,0),""-"")"),"CAMPO")</f>
        <v>CAMPO</v>
      </c>
      <c r="Q914" s="98" t="s">
        <v>171</v>
      </c>
      <c r="R914" s="98">
        <v>2.0</v>
      </c>
      <c r="S914" s="98" t="s">
        <v>171</v>
      </c>
      <c r="T914" s="98" t="s">
        <v>171</v>
      </c>
      <c r="U914" s="98" t="s">
        <v>171</v>
      </c>
      <c r="V914" s="98" t="s">
        <v>171</v>
      </c>
      <c r="W914" s="98" t="s">
        <v>171</v>
      </c>
      <c r="X914" s="98" t="s">
        <v>171</v>
      </c>
      <c r="Y914" s="98" t="s">
        <v>171</v>
      </c>
      <c r="Z914" s="98" t="s">
        <v>171</v>
      </c>
      <c r="AA914" s="98" t="s">
        <v>171</v>
      </c>
      <c r="AB914" s="98" t="s">
        <v>171</v>
      </c>
      <c r="AC914" s="98" t="s">
        <v>171</v>
      </c>
      <c r="AD914" s="98" t="s">
        <v>171</v>
      </c>
      <c r="AE914" s="98" t="s">
        <v>171</v>
      </c>
      <c r="AF914" s="98" t="s">
        <v>171</v>
      </c>
      <c r="AG914" s="98" t="s">
        <v>171</v>
      </c>
      <c r="AH914" s="98" t="s">
        <v>171</v>
      </c>
      <c r="AI914" s="98" t="s">
        <v>171</v>
      </c>
      <c r="AJ914" s="98" t="s">
        <v>171</v>
      </c>
      <c r="AK914" s="98" t="s">
        <v>171</v>
      </c>
      <c r="AL914" s="98" t="s">
        <v>171</v>
      </c>
      <c r="AM914" s="98" t="s">
        <v>171</v>
      </c>
      <c r="AN914" s="98" t="s">
        <v>171</v>
      </c>
      <c r="AO914" s="98" t="s">
        <v>171</v>
      </c>
      <c r="AP914" s="98" t="s">
        <v>171</v>
      </c>
      <c r="AQ914" s="98" t="s">
        <v>171</v>
      </c>
      <c r="AR914" s="102">
        <v>46231.0</v>
      </c>
      <c r="AS914" s="83">
        <v>1178453.0</v>
      </c>
    </row>
    <row r="915" ht="15.75" customHeight="1">
      <c r="A915" s="111" t="s">
        <v>1090</v>
      </c>
      <c r="B915" s="83" t="s">
        <v>2261</v>
      </c>
      <c r="C915" s="83" t="s">
        <v>164</v>
      </c>
      <c r="D915" s="98">
        <v>1179812.0</v>
      </c>
      <c r="E915" s="98">
        <v>1178452.0</v>
      </c>
      <c r="F915" s="83"/>
      <c r="G915" s="91" t="str">
        <f>IFERROR(__xludf.DUMMYFUNCTION("XLOOKUP(AS915,
IMPORTRANGE(""https://docs.google.com/spreadsheets/d/1YM-djuOLXomrZ9W0B4TyIBsVWnXY4EIOFD9HY-qGfv0/edit?usp=sharing"",""GERAL!BG5:BG""),
IMPORTRANGE(""https://docs.google.com/spreadsheets/d/1YM-djuOLXomrZ9W0B4TyIBsVWnXY4EIOFD9HY-qGfv0/edit?u"&amp;"sp=sharing"",""GERAL!G5:G""),
""CÓD. SEC NÃO ENCONTRADO NA PLANILHA DE MATRÍCULA"")"),"ANEXO - CEMIT BACIA DO JACUIPE - POVOADO CAIXA D'AGUA")</f>
        <v>ANEXO - CEMIT BACIA DO JACUIPE - POVOADO CAIXA D'AGUA</v>
      </c>
      <c r="H915" s="184" t="s">
        <v>4616</v>
      </c>
      <c r="I915" s="392" t="s">
        <v>4617</v>
      </c>
      <c r="J915" s="193"/>
      <c r="K915" s="193"/>
      <c r="L915" s="186" t="s">
        <v>168</v>
      </c>
      <c r="M915" s="186" t="s">
        <v>169</v>
      </c>
      <c r="N915" s="115" t="s">
        <v>170</v>
      </c>
      <c r="O915" s="98" t="s">
        <v>155</v>
      </c>
      <c r="P915" s="99" t="str">
        <f>IFERROR(__xludf.DUMMYFUNCTION("IFERROR(VLOOKUP(AS915,IMPORTRANGE(""https://docs.google.com/spreadsheets/d/1juPI-Fb8LD0YtltB2mlGEnp_R3UVu1t3wSFPzgCyHXE/edit?gid=0#gid=0"",""GERAL!A2:C""),3,0),""-"")"),"-")</f>
        <v>-</v>
      </c>
      <c r="Q915" s="98" t="s">
        <v>171</v>
      </c>
      <c r="R915" s="98" t="s">
        <v>171</v>
      </c>
      <c r="S915" s="98" t="s">
        <v>171</v>
      </c>
      <c r="T915" s="98" t="s">
        <v>171</v>
      </c>
      <c r="U915" s="98" t="s">
        <v>171</v>
      </c>
      <c r="V915" s="98" t="s">
        <v>171</v>
      </c>
      <c r="W915" s="98" t="s">
        <v>171</v>
      </c>
      <c r="X915" s="98" t="s">
        <v>171</v>
      </c>
      <c r="Y915" s="98" t="s">
        <v>171</v>
      </c>
      <c r="Z915" s="98" t="s">
        <v>171</v>
      </c>
      <c r="AA915" s="98" t="s">
        <v>171</v>
      </c>
      <c r="AB915" s="98" t="s">
        <v>171</v>
      </c>
      <c r="AC915" s="98" t="s">
        <v>171</v>
      </c>
      <c r="AD915" s="98" t="s">
        <v>171</v>
      </c>
      <c r="AE915" s="98" t="s">
        <v>171</v>
      </c>
      <c r="AF915" s="98" t="s">
        <v>171</v>
      </c>
      <c r="AG915" s="98" t="s">
        <v>171</v>
      </c>
      <c r="AH915" s="98" t="s">
        <v>171</v>
      </c>
      <c r="AI915" s="98" t="s">
        <v>171</v>
      </c>
      <c r="AJ915" s="98" t="s">
        <v>171</v>
      </c>
      <c r="AK915" s="98" t="s">
        <v>171</v>
      </c>
      <c r="AL915" s="98" t="s">
        <v>171</v>
      </c>
      <c r="AM915" s="98" t="s">
        <v>171</v>
      </c>
      <c r="AN915" s="98" t="s">
        <v>171</v>
      </c>
      <c r="AO915" s="98" t="s">
        <v>171</v>
      </c>
      <c r="AP915" s="98" t="s">
        <v>171</v>
      </c>
      <c r="AQ915" s="98" t="s">
        <v>171</v>
      </c>
      <c r="AR915" s="102">
        <v>46231.0</v>
      </c>
      <c r="AS915" s="98">
        <v>1178452.0</v>
      </c>
    </row>
    <row r="916" ht="15.75" customHeight="1">
      <c r="A916" s="111" t="s">
        <v>1090</v>
      </c>
      <c r="B916" s="83" t="s">
        <v>4619</v>
      </c>
      <c r="C916" s="83" t="s">
        <v>68</v>
      </c>
      <c r="D916" s="112">
        <v>1122861.0</v>
      </c>
      <c r="E916" s="83"/>
      <c r="F916" s="83">
        <v>2.90855E7</v>
      </c>
      <c r="G916" s="91" t="str">
        <f>IFERROR(__xludf.DUMMYFUNCTION("XLOOKUP(AS916,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ABELARDO MOREIRA")</f>
        <v>COLÉGIO ESTADUAL DE TEMPO INTEGRAL ABELARDO MOREIRA</v>
      </c>
      <c r="H916" s="119" t="s">
        <v>4620</v>
      </c>
      <c r="I916" s="91" t="s">
        <v>4621</v>
      </c>
      <c r="J916" s="172" t="s">
        <v>149</v>
      </c>
      <c r="K916" s="83" t="s">
        <v>150</v>
      </c>
      <c r="L916" s="83" t="s">
        <v>1685</v>
      </c>
      <c r="M916" s="83" t="s">
        <v>152</v>
      </c>
      <c r="N916" s="98" t="s">
        <v>4622</v>
      </c>
      <c r="O916" s="98" t="s">
        <v>155</v>
      </c>
      <c r="P916" s="99" t="str">
        <f>IFERROR(__xludf.DUMMYFUNCTION("IFERROR(VLOOKUP(AS916,IMPORTRANGE(""https://docs.google.com/spreadsheets/d/1juPI-Fb8LD0YtltB2mlGEnp_R3UVu1t3wSFPzgCyHXE/edit?gid=0#gid=0"",""GERAL!A2:C""),3,0),""-"")"),"-")</f>
        <v>-</v>
      </c>
      <c r="Q916" s="101" t="s">
        <v>156</v>
      </c>
      <c r="R916" s="98">
        <v>12.0</v>
      </c>
      <c r="S916" s="98">
        <v>0.0</v>
      </c>
      <c r="T916" s="98">
        <v>2.0</v>
      </c>
      <c r="U916" s="98">
        <v>0.0</v>
      </c>
      <c r="V916" s="98">
        <v>1.0</v>
      </c>
      <c r="W916" s="98">
        <v>3.0</v>
      </c>
      <c r="X916" s="98">
        <v>1.0</v>
      </c>
      <c r="Y916" s="98">
        <v>0.0</v>
      </c>
      <c r="Z916" s="98">
        <v>1.0</v>
      </c>
      <c r="AA916" s="98">
        <v>0.0</v>
      </c>
      <c r="AB916" s="98">
        <v>1.0</v>
      </c>
      <c r="AC916" s="98">
        <v>0.0</v>
      </c>
      <c r="AD916" s="98">
        <v>0.0</v>
      </c>
      <c r="AE916" s="98">
        <v>0.0</v>
      </c>
      <c r="AF916" s="98">
        <v>1.0</v>
      </c>
      <c r="AG916" s="98">
        <v>0.0</v>
      </c>
      <c r="AH916" s="98">
        <v>0.0</v>
      </c>
      <c r="AI916" s="98">
        <v>0.0</v>
      </c>
      <c r="AJ916" s="98">
        <v>1.0</v>
      </c>
      <c r="AK916" s="98">
        <v>0.0</v>
      </c>
      <c r="AL916" s="98">
        <v>0.0</v>
      </c>
      <c r="AM916" s="98">
        <v>0.0</v>
      </c>
      <c r="AN916" s="98">
        <v>0.0</v>
      </c>
      <c r="AO916" s="98">
        <v>0.0</v>
      </c>
      <c r="AP916" s="98">
        <v>0.0</v>
      </c>
      <c r="AQ916" s="98" t="s">
        <v>4624</v>
      </c>
      <c r="AR916" s="102">
        <v>46227.0</v>
      </c>
      <c r="AS916" s="83">
        <v>1122861.0</v>
      </c>
    </row>
    <row r="917" ht="15.75" customHeight="1">
      <c r="A917" s="111" t="s">
        <v>1090</v>
      </c>
      <c r="B917" s="83" t="s">
        <v>4625</v>
      </c>
      <c r="C917" s="83" t="s">
        <v>68</v>
      </c>
      <c r="D917" s="112">
        <v>1160771.0</v>
      </c>
      <c r="E917" s="83"/>
      <c r="F917" s="83">
        <v>2.9140633E7</v>
      </c>
      <c r="G917" s="91" t="str">
        <f>IFERROR(__xludf.DUMMYFUNCTION("XLOOKUP(AS917,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VIRGÍLIO FRANCISCO PEREIRA")</f>
        <v>COLÉGIO ESTADUAL DE TEMPO INTEGRAL VIRGÍLIO FRANCISCO PEREIRA</v>
      </c>
      <c r="H917" s="119" t="s">
        <v>4627</v>
      </c>
      <c r="I917" s="91" t="s">
        <v>4628</v>
      </c>
      <c r="J917" s="136" t="s">
        <v>149</v>
      </c>
      <c r="K917" s="136" t="s">
        <v>150</v>
      </c>
      <c r="L917" s="136" t="s">
        <v>1685</v>
      </c>
      <c r="M917" s="83" t="s">
        <v>152</v>
      </c>
      <c r="N917" s="98" t="s">
        <v>4629</v>
      </c>
      <c r="O917" s="98" t="s">
        <v>155</v>
      </c>
      <c r="P917" s="99" t="str">
        <f>IFERROR(__xludf.DUMMYFUNCTION("IFERROR(VLOOKUP(AS917,IMPORTRANGE(""https://docs.google.com/spreadsheets/d/1juPI-Fb8LD0YtltB2mlGEnp_R3UVu1t3wSFPzgCyHXE/edit?gid=0#gid=0"",""GERAL!A2:C""),3,0),""-"")"),"-")</f>
        <v>-</v>
      </c>
      <c r="Q917" s="83"/>
      <c r="R917" s="83"/>
      <c r="S917" s="83"/>
      <c r="T917" s="83"/>
      <c r="U917" s="83"/>
      <c r="V917" s="83"/>
      <c r="W917" s="83"/>
      <c r="X917" s="83"/>
      <c r="Y917" s="83"/>
      <c r="Z917" s="83"/>
      <c r="AA917" s="83"/>
      <c r="AB917" s="83"/>
      <c r="AC917" s="83"/>
      <c r="AD917" s="83"/>
      <c r="AE917" s="83"/>
      <c r="AF917" s="83"/>
      <c r="AG917" s="83"/>
      <c r="AH917" s="83"/>
      <c r="AI917" s="83"/>
      <c r="AJ917" s="83"/>
      <c r="AK917" s="83"/>
      <c r="AL917" s="83"/>
      <c r="AM917" s="83"/>
      <c r="AN917" s="83"/>
      <c r="AO917" s="83"/>
      <c r="AP917" s="83"/>
      <c r="AQ917" s="83"/>
      <c r="AR917" s="83"/>
      <c r="AS917" s="83">
        <v>1160771.0</v>
      </c>
    </row>
    <row r="918" ht="15.75" customHeight="1">
      <c r="A918" s="111" t="s">
        <v>1090</v>
      </c>
      <c r="B918" s="83" t="s">
        <v>4630</v>
      </c>
      <c r="C918" s="83" t="s">
        <v>68</v>
      </c>
      <c r="D918" s="112">
        <v>1106840.0</v>
      </c>
      <c r="E918" s="83"/>
      <c r="F918" s="83">
        <v>2.9141044E7</v>
      </c>
      <c r="G918" s="91" t="str">
        <f>IFERROR(__xludf.DUMMYFUNCTION("XLOOKUP(AS918,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PEDRO FALCONERI RIOS")</f>
        <v>COLÉGIO ESTADUAL DE TEMPO INTEGRAL PEDRO FALCONERI RIOS</v>
      </c>
      <c r="H918" s="119" t="s">
        <v>4631</v>
      </c>
      <c r="I918" s="108" t="s">
        <v>4632</v>
      </c>
      <c r="J918" s="83" t="s">
        <v>149</v>
      </c>
      <c r="K918" s="83" t="s">
        <v>150</v>
      </c>
      <c r="L918" s="83" t="s">
        <v>1685</v>
      </c>
      <c r="M918" s="83" t="s">
        <v>152</v>
      </c>
      <c r="N918" s="98" t="s">
        <v>4633</v>
      </c>
      <c r="O918" s="98" t="s">
        <v>155</v>
      </c>
      <c r="P918" s="99" t="str">
        <f>IFERROR(__xludf.DUMMYFUNCTION("IFERROR(VLOOKUP(AS918,IMPORTRANGE(""https://docs.google.com/spreadsheets/d/1juPI-Fb8LD0YtltB2mlGEnp_R3UVu1t3wSFPzgCyHXE/edit?gid=0#gid=0"",""GERAL!A2:C""),3,0),""-"")"),"-")</f>
        <v>-</v>
      </c>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c r="AR918" s="83"/>
      <c r="AS918" s="83">
        <v>1106840.0</v>
      </c>
    </row>
    <row r="919" ht="15.75" customHeight="1">
      <c r="A919" s="111" t="s">
        <v>1090</v>
      </c>
      <c r="B919" s="83" t="s">
        <v>4640</v>
      </c>
      <c r="C919" s="83" t="s">
        <v>68</v>
      </c>
      <c r="D919" s="112">
        <v>1107234.0</v>
      </c>
      <c r="E919" s="83"/>
      <c r="F919" s="83">
        <v>2.9105684E7</v>
      </c>
      <c r="G919" s="91" t="str">
        <f>IFERROR(__xludf.DUMMYFUNCTION("XLOOKUP(AS919,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EUFRÁSIO GONÇALVES DE ALMEIDA - (ANTIGO NOME: COLEGIO ESTADUAL NORMAL DE PINTADAS - TEMPO INTEGRAL)")</f>
        <v>COLÉGIO ESTADUAL DE TEMPO INTEGRAL EUFRÁSIO GONÇALVES DE ALMEIDA - (ANTIGO NOME: COLEGIO ESTADUAL NORMAL DE PINTADAS - TEMPO INTEGRAL)</v>
      </c>
      <c r="H919" s="119" t="s">
        <v>4641</v>
      </c>
      <c r="I919" s="91" t="s">
        <v>4642</v>
      </c>
      <c r="J919" s="83" t="s">
        <v>149</v>
      </c>
      <c r="K919" s="83" t="s">
        <v>150</v>
      </c>
      <c r="L919" s="83" t="s">
        <v>1685</v>
      </c>
      <c r="M919" s="83" t="s">
        <v>152</v>
      </c>
      <c r="N919" s="98" t="s">
        <v>4643</v>
      </c>
      <c r="O919" s="98" t="s">
        <v>155</v>
      </c>
      <c r="P919" s="99" t="str">
        <f>IFERROR(__xludf.DUMMYFUNCTION("IFERROR(VLOOKUP(AS919,IMPORTRANGE(""https://docs.google.com/spreadsheets/d/1juPI-Fb8LD0YtltB2mlGEnp_R3UVu1t3wSFPzgCyHXE/edit?gid=0#gid=0"",""GERAL!A2:C""),3,0),""-"")"),"-")</f>
        <v>-</v>
      </c>
      <c r="Q919" s="101" t="s">
        <v>156</v>
      </c>
      <c r="R919" s="98">
        <v>12.0</v>
      </c>
      <c r="S919" s="98">
        <v>0.0</v>
      </c>
      <c r="T919" s="98">
        <v>2.0</v>
      </c>
      <c r="U919" s="98">
        <v>0.0</v>
      </c>
      <c r="V919" s="98">
        <v>1.0</v>
      </c>
      <c r="W919" s="98">
        <v>2.0</v>
      </c>
      <c r="X919" s="98">
        <v>1.0</v>
      </c>
      <c r="Y919" s="98">
        <v>0.0</v>
      </c>
      <c r="Z919" s="98">
        <v>1.0</v>
      </c>
      <c r="AA919" s="98">
        <v>0.0</v>
      </c>
      <c r="AB919" s="98">
        <v>1.0</v>
      </c>
      <c r="AC919" s="98">
        <v>0.0</v>
      </c>
      <c r="AD919" s="98">
        <v>0.0</v>
      </c>
      <c r="AE919" s="98">
        <v>0.0</v>
      </c>
      <c r="AF919" s="98">
        <v>1.0</v>
      </c>
      <c r="AG919" s="98">
        <v>0.0</v>
      </c>
      <c r="AH919" s="98">
        <v>0.0</v>
      </c>
      <c r="AI919" s="98">
        <v>0.0</v>
      </c>
      <c r="AJ919" s="98">
        <v>0.0</v>
      </c>
      <c r="AK919" s="98">
        <v>1.0</v>
      </c>
      <c r="AL919" s="98">
        <v>0.0</v>
      </c>
      <c r="AM919" s="98">
        <v>0.0</v>
      </c>
      <c r="AN919" s="98">
        <v>0.0</v>
      </c>
      <c r="AO919" s="98">
        <v>0.0</v>
      </c>
      <c r="AP919" s="98">
        <v>0.0</v>
      </c>
      <c r="AQ919" s="98" t="s">
        <v>4651</v>
      </c>
      <c r="AR919" s="102">
        <v>46232.0</v>
      </c>
      <c r="AS919" s="83">
        <v>1107234.0</v>
      </c>
    </row>
    <row r="920" ht="15.75" customHeight="1">
      <c r="A920" s="111" t="s">
        <v>1090</v>
      </c>
      <c r="B920" s="83" t="s">
        <v>4652</v>
      </c>
      <c r="C920" s="83" t="s">
        <v>45</v>
      </c>
      <c r="D920" s="112">
        <v>1178385.0</v>
      </c>
      <c r="E920" s="83"/>
      <c r="F920" s="83">
        <v>2.9367263E7</v>
      </c>
      <c r="G920" s="91" t="str">
        <f>IFERROR(__xludf.DUMMYFUNCTION("XLOOKUP(AS920,
IMPORTRANGE(""https://docs.google.com/spreadsheets/d/1YM-djuOLXomrZ9W0B4TyIBsVWnXY4EIOFD9HY-qGfv0/edit?usp=sharing"",""GERAL!BG5:BG""),
IMPORTRANGE(""https://docs.google.com/spreadsheets/d/1YM-djuOLXomrZ9W0B4TyIBsVWnXY4EIOFD9HY-qGfv0/edit?u"&amp;"sp=sharing"",""GERAL!G5:G""),
""CÓD. SEC NÃO ENCONTRADO NA PLANILHA DE MATRÍCULA"")"),"ESCOLA FAMÍLIA AGRÍCOLA DE JABOTICABA")</f>
        <v>ESCOLA FAMÍLIA AGRÍCOLA DE JABOTICABA</v>
      </c>
      <c r="H920" s="114" t="s">
        <v>4653</v>
      </c>
      <c r="I920" s="91" t="s">
        <v>4654</v>
      </c>
      <c r="J920" s="83" t="s">
        <v>4655</v>
      </c>
      <c r="K920" s="229" t="s">
        <v>327</v>
      </c>
      <c r="L920" s="83" t="s">
        <v>171</v>
      </c>
      <c r="M920" s="98" t="s">
        <v>76</v>
      </c>
      <c r="N920" s="98" t="s">
        <v>171</v>
      </c>
      <c r="O920" s="98" t="s">
        <v>155</v>
      </c>
      <c r="P920" s="99" t="str">
        <f>IFERROR(__xludf.DUMMYFUNCTION("IFERROR(VLOOKUP(AS920,IMPORTRANGE(""https://docs.google.com/spreadsheets/d/1juPI-Fb8LD0YtltB2mlGEnp_R3UVu1t3wSFPzgCyHXE/edit?gid=0#gid=0"",""GERAL!A2:C""),3,0),""-"")"),"EFA")</f>
        <v>EFA</v>
      </c>
      <c r="Q920" s="101" t="s">
        <v>156</v>
      </c>
      <c r="R920" s="98">
        <v>4.0</v>
      </c>
      <c r="S920" s="98">
        <v>0.0</v>
      </c>
      <c r="T920" s="98">
        <v>0.0</v>
      </c>
      <c r="U920" s="98">
        <v>1.0</v>
      </c>
      <c r="V920" s="98">
        <v>1.0</v>
      </c>
      <c r="W920" s="98">
        <v>11.0</v>
      </c>
      <c r="X920" s="98">
        <v>1.0</v>
      </c>
      <c r="Y920" s="98">
        <v>0.0</v>
      </c>
      <c r="Z920" s="98">
        <v>1.0</v>
      </c>
      <c r="AA920" s="98">
        <v>0.0</v>
      </c>
      <c r="AB920" s="98">
        <v>1.0</v>
      </c>
      <c r="AC920" s="98">
        <v>0.0</v>
      </c>
      <c r="AD920" s="98">
        <v>0.0</v>
      </c>
      <c r="AE920" s="98">
        <v>0.0</v>
      </c>
      <c r="AF920" s="98">
        <v>0.0</v>
      </c>
      <c r="AG920" s="98">
        <v>0.0</v>
      </c>
      <c r="AH920" s="98">
        <v>0.0</v>
      </c>
      <c r="AI920" s="98">
        <v>0.0</v>
      </c>
      <c r="AJ920" s="98">
        <v>0.0</v>
      </c>
      <c r="AK920" s="98">
        <v>0.0</v>
      </c>
      <c r="AL920" s="98">
        <v>0.0</v>
      </c>
      <c r="AM920" s="98">
        <v>0.0</v>
      </c>
      <c r="AN920" s="98">
        <v>0.0</v>
      </c>
      <c r="AO920" s="98">
        <v>0.0</v>
      </c>
      <c r="AP920" s="98">
        <v>0.0</v>
      </c>
      <c r="AQ920" s="98" t="s">
        <v>4656</v>
      </c>
      <c r="AR920" s="102">
        <v>46230.0</v>
      </c>
      <c r="AS920" s="83">
        <v>1178385.0</v>
      </c>
    </row>
    <row r="921" ht="15.75" customHeight="1">
      <c r="A921" s="111" t="s">
        <v>1090</v>
      </c>
      <c r="B921" s="83" t="s">
        <v>4652</v>
      </c>
      <c r="C921" s="83" t="s">
        <v>68</v>
      </c>
      <c r="D921" s="112">
        <v>1122705.0</v>
      </c>
      <c r="E921" s="83"/>
      <c r="F921" s="83">
        <v>2.907754E7</v>
      </c>
      <c r="G921" s="91" t="str">
        <f>IFERROR(__xludf.DUMMYFUNCTION("XLOOKUP(AS921,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TEREZINHA GONÇALVES NOVAIS")</f>
        <v>COLÉGIO ESTADUAL DE TEMPO INTEGRAL PROFESSORA TEREZINHA GONÇALVES NOVAIS</v>
      </c>
      <c r="H921" s="184" t="s">
        <v>4657</v>
      </c>
      <c r="I921" s="91" t="s">
        <v>4658</v>
      </c>
      <c r="J921" s="83" t="s">
        <v>149</v>
      </c>
      <c r="K921" s="136" t="s">
        <v>150</v>
      </c>
      <c r="L921" s="83" t="s">
        <v>1685</v>
      </c>
      <c r="M921" s="83" t="s">
        <v>152</v>
      </c>
      <c r="N921" s="98" t="s">
        <v>4659</v>
      </c>
      <c r="O921" s="98" t="s">
        <v>155</v>
      </c>
      <c r="P921" s="99" t="str">
        <f>IFERROR(__xludf.DUMMYFUNCTION("IFERROR(VLOOKUP(AS921,IMPORTRANGE(""https://docs.google.com/spreadsheets/d/1juPI-Fb8LD0YtltB2mlGEnp_R3UVu1t3wSFPzgCyHXE/edit?gid=0#gid=0"",""GERAL!A2:C""),3,0),""-"")"),"-")</f>
        <v>-</v>
      </c>
      <c r="Q921" s="98" t="s">
        <v>171</v>
      </c>
      <c r="R921" s="98">
        <v>9.0</v>
      </c>
      <c r="S921" s="98">
        <v>1.0</v>
      </c>
      <c r="T921" s="98">
        <v>1.0</v>
      </c>
      <c r="U921" s="98">
        <v>0.0</v>
      </c>
      <c r="V921" s="98">
        <v>1.0</v>
      </c>
      <c r="W921" s="98">
        <v>0.0</v>
      </c>
      <c r="X921" s="98">
        <v>1.0</v>
      </c>
      <c r="Y921" s="98">
        <v>0.0</v>
      </c>
      <c r="Z921" s="98">
        <v>0.0</v>
      </c>
      <c r="AA921" s="98">
        <v>0.0</v>
      </c>
      <c r="AB921" s="98">
        <v>0.0</v>
      </c>
      <c r="AC921" s="98">
        <v>0.0</v>
      </c>
      <c r="AD921" s="98">
        <v>0.0</v>
      </c>
      <c r="AE921" s="98">
        <v>0.0</v>
      </c>
      <c r="AF921" s="98">
        <v>0.0</v>
      </c>
      <c r="AG921" s="98">
        <v>1.0</v>
      </c>
      <c r="AH921" s="98">
        <v>0.0</v>
      </c>
      <c r="AI921" s="98">
        <v>0.0</v>
      </c>
      <c r="AJ921" s="98">
        <v>0.0</v>
      </c>
      <c r="AK921" s="98">
        <v>0.0</v>
      </c>
      <c r="AL921" s="98">
        <v>0.0</v>
      </c>
      <c r="AM921" s="98">
        <v>0.0</v>
      </c>
      <c r="AN921" s="98">
        <v>0.0</v>
      </c>
      <c r="AO921" s="98">
        <v>0.0</v>
      </c>
      <c r="AP921" s="98">
        <v>1.0</v>
      </c>
      <c r="AQ921" s="98" t="s">
        <v>498</v>
      </c>
      <c r="AR921" s="102">
        <v>46230.0</v>
      </c>
      <c r="AS921" s="83">
        <v>1122705.0</v>
      </c>
    </row>
    <row r="922" ht="15.75" customHeight="1">
      <c r="A922" s="111" t="s">
        <v>1090</v>
      </c>
      <c r="B922" s="83" t="s">
        <v>4667</v>
      </c>
      <c r="C922" s="83" t="s">
        <v>68</v>
      </c>
      <c r="D922" s="112">
        <v>1160828.0</v>
      </c>
      <c r="E922" s="83"/>
      <c r="F922" s="83">
        <v>2.9143942E7</v>
      </c>
      <c r="G922" s="91" t="str">
        <f>IFERROR(__xludf.DUMMYFUNCTION("XLOOKUP(AS922,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PROFESSOR DIDIMO MASCARENHAS RIOS - POVOADO DE CHAPADA")</f>
        <v>COLÉGIO ESTADUAL DO CAMPO PROFESSOR DIDIMO MASCARENHAS RIOS - POVOADO DE CHAPADA</v>
      </c>
      <c r="H922" s="114" t="s">
        <v>4668</v>
      </c>
      <c r="I922" s="91" t="s">
        <v>4669</v>
      </c>
      <c r="J922" s="83" t="s">
        <v>149</v>
      </c>
      <c r="K922" s="83" t="s">
        <v>1460</v>
      </c>
      <c r="L922" s="83" t="s">
        <v>1685</v>
      </c>
      <c r="M922" s="83" t="s">
        <v>169</v>
      </c>
      <c r="N922" s="98" t="s">
        <v>4670</v>
      </c>
      <c r="O922" s="98" t="s">
        <v>155</v>
      </c>
      <c r="P922" s="99" t="str">
        <f>IFERROR(__xludf.DUMMYFUNCTION("IFERROR(VLOOKUP(AS922,IMPORTRANGE(""https://docs.google.com/spreadsheets/d/1juPI-Fb8LD0YtltB2mlGEnp_R3UVu1t3wSFPzgCyHXE/edit?gid=0#gid=0"",""GERAL!A2:C""),3,0),""-"")"),"CAMPO")</f>
        <v>CAMPO</v>
      </c>
      <c r="Q922" s="101" t="s">
        <v>156</v>
      </c>
      <c r="R922" s="98">
        <v>4.0</v>
      </c>
      <c r="S922" s="98">
        <v>0.0</v>
      </c>
      <c r="T922" s="98">
        <v>0.0</v>
      </c>
      <c r="U922" s="98">
        <v>0.0</v>
      </c>
      <c r="V922" s="98">
        <v>0.0</v>
      </c>
      <c r="W922" s="98">
        <v>0.0</v>
      </c>
      <c r="X922" s="98">
        <v>0.0</v>
      </c>
      <c r="Y922" s="98">
        <v>1.0</v>
      </c>
      <c r="Z922" s="98">
        <v>0.0</v>
      </c>
      <c r="AA922" s="98">
        <v>0.0</v>
      </c>
      <c r="AB922" s="98">
        <v>0.0</v>
      </c>
      <c r="AC922" s="98">
        <v>0.0</v>
      </c>
      <c r="AD922" s="98">
        <v>0.0</v>
      </c>
      <c r="AE922" s="98">
        <v>0.0</v>
      </c>
      <c r="AF922" s="98">
        <v>0.0</v>
      </c>
      <c r="AG922" s="98">
        <v>1.0</v>
      </c>
      <c r="AH922" s="98">
        <v>0.0</v>
      </c>
      <c r="AI922" s="98">
        <v>0.0</v>
      </c>
      <c r="AJ922" s="98">
        <v>0.0</v>
      </c>
      <c r="AK922" s="98">
        <v>0.0</v>
      </c>
      <c r="AL922" s="98">
        <v>0.0</v>
      </c>
      <c r="AM922" s="98">
        <v>0.0</v>
      </c>
      <c r="AN922" s="98">
        <v>0.0</v>
      </c>
      <c r="AO922" s="98">
        <v>0.0</v>
      </c>
      <c r="AP922" s="98">
        <v>2.0</v>
      </c>
      <c r="AQ922" s="98" t="s">
        <v>4677</v>
      </c>
      <c r="AR922" s="102">
        <v>46230.0</v>
      </c>
      <c r="AS922" s="83">
        <v>1160828.0</v>
      </c>
    </row>
    <row r="923" ht="15.75" customHeight="1">
      <c r="A923" s="111" t="s">
        <v>1090</v>
      </c>
      <c r="B923" s="83" t="s">
        <v>4667</v>
      </c>
      <c r="C923" s="83" t="s">
        <v>68</v>
      </c>
      <c r="D923" s="112">
        <v>1138245.0</v>
      </c>
      <c r="E923" s="83"/>
      <c r="F923" s="83">
        <v>2.9143365E7</v>
      </c>
      <c r="G923" s="91" t="str">
        <f>IFERROR(__xludf.DUMMYFUNCTION("XLOOKUP(AS923,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DACILDA RIOS DE OLIVEIRA - DISTRITO DE BARREIROS")</f>
        <v>COLÉGIO ESTADUAL DO CAMPO DACILDA RIOS DE OLIVEIRA - DISTRITO DE BARREIROS</v>
      </c>
      <c r="H923" s="114" t="s">
        <v>4678</v>
      </c>
      <c r="I923" s="91" t="s">
        <v>4679</v>
      </c>
      <c r="J923" s="83" t="s">
        <v>149</v>
      </c>
      <c r="K923" s="83" t="s">
        <v>331</v>
      </c>
      <c r="L923" s="83" t="s">
        <v>1685</v>
      </c>
      <c r="M923" s="83" t="s">
        <v>169</v>
      </c>
      <c r="N923" s="98" t="s">
        <v>4680</v>
      </c>
      <c r="O923" s="98" t="s">
        <v>155</v>
      </c>
      <c r="P923" s="99" t="str">
        <f>IFERROR(__xludf.DUMMYFUNCTION("IFERROR(VLOOKUP(AS923,IMPORTRANGE(""https://docs.google.com/spreadsheets/d/1juPI-Fb8LD0YtltB2mlGEnp_R3UVu1t3wSFPzgCyHXE/edit?gid=0#gid=0"",""GERAL!A2:C""),3,0),""-"")"),"CAMPO")</f>
        <v>CAMPO</v>
      </c>
      <c r="Q923" s="101" t="s">
        <v>156</v>
      </c>
      <c r="R923" s="98">
        <v>6.0</v>
      </c>
      <c r="S923" s="98">
        <v>0.0</v>
      </c>
      <c r="T923" s="98">
        <v>0.0</v>
      </c>
      <c r="U923" s="98">
        <v>0.0</v>
      </c>
      <c r="V923" s="98">
        <v>1.0</v>
      </c>
      <c r="W923" s="98">
        <v>1.0</v>
      </c>
      <c r="X923" s="98">
        <v>0.0</v>
      </c>
      <c r="Y923" s="98">
        <v>1.0</v>
      </c>
      <c r="Z923" s="98">
        <v>0.0</v>
      </c>
      <c r="AA923" s="98">
        <v>0.0</v>
      </c>
      <c r="AB923" s="98">
        <v>0.0</v>
      </c>
      <c r="AC923" s="98">
        <v>1.0</v>
      </c>
      <c r="AD923" s="98">
        <v>0.0</v>
      </c>
      <c r="AE923" s="98">
        <v>0.0</v>
      </c>
      <c r="AF923" s="98">
        <v>0.0</v>
      </c>
      <c r="AG923" s="98">
        <v>1.0</v>
      </c>
      <c r="AH923" s="98">
        <v>0.0</v>
      </c>
      <c r="AI923" s="98">
        <v>0.0</v>
      </c>
      <c r="AJ923" s="98">
        <v>0.0</v>
      </c>
      <c r="AK923" s="98">
        <v>0.0</v>
      </c>
      <c r="AL923" s="98">
        <v>0.0</v>
      </c>
      <c r="AM923" s="98">
        <v>0.0</v>
      </c>
      <c r="AN923" s="98">
        <v>0.0</v>
      </c>
      <c r="AO923" s="98">
        <v>0.0</v>
      </c>
      <c r="AP923" s="98">
        <v>1.0</v>
      </c>
      <c r="AQ923" s="98" t="s">
        <v>4688</v>
      </c>
      <c r="AR923" s="102">
        <v>46230.0</v>
      </c>
      <c r="AS923" s="83">
        <v>1138245.0</v>
      </c>
    </row>
    <row r="924" ht="15.75" customHeight="1">
      <c r="A924" s="111" t="s">
        <v>1090</v>
      </c>
      <c r="B924" s="83" t="s">
        <v>4667</v>
      </c>
      <c r="C924" s="83" t="s">
        <v>68</v>
      </c>
      <c r="D924" s="112">
        <v>1137982.0</v>
      </c>
      <c r="E924" s="83"/>
      <c r="F924" s="83">
        <v>2.9142997E7</v>
      </c>
      <c r="G924" s="91" t="str">
        <f>IFERROR(__xludf.DUMMYFUNCTION("XLOOKUP(AS924,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DAGMAR MIRANDA")</f>
        <v>COLÉGIO ESTADUAL DE TEMPO INTEGRAL MARIA DAGMAR MIRANDA</v>
      </c>
      <c r="H924" s="119" t="s">
        <v>4689</v>
      </c>
      <c r="I924" s="91" t="s">
        <v>4690</v>
      </c>
      <c r="J924" s="83" t="s">
        <v>149</v>
      </c>
      <c r="K924" s="83" t="s">
        <v>150</v>
      </c>
      <c r="L924" s="83" t="s">
        <v>1685</v>
      </c>
      <c r="M924" s="83" t="s">
        <v>152</v>
      </c>
      <c r="N924" s="98" t="s">
        <v>4692</v>
      </c>
      <c r="O924" s="98" t="s">
        <v>284</v>
      </c>
      <c r="P924" s="99" t="str">
        <f>IFERROR(__xludf.DUMMYFUNCTION("IFERROR(VLOOKUP(AS924,IMPORTRANGE(""https://docs.google.com/spreadsheets/d/1juPI-Fb8LD0YtltB2mlGEnp_R3UVu1t3wSFPzgCyHXE/edit?gid=0#gid=0"",""GERAL!A2:C""),3,0),""-"")"),"-")</f>
        <v>-</v>
      </c>
      <c r="Q924" s="101" t="s">
        <v>156</v>
      </c>
      <c r="R924" s="98">
        <v>14.0</v>
      </c>
      <c r="S924" s="98">
        <v>0.0</v>
      </c>
      <c r="T924" s="98">
        <v>1.0</v>
      </c>
      <c r="U924" s="98">
        <v>1.0</v>
      </c>
      <c r="V924" s="98">
        <v>1.0</v>
      </c>
      <c r="W924" s="98">
        <v>0.0</v>
      </c>
      <c r="X924" s="98">
        <v>1.0</v>
      </c>
      <c r="Y924" s="98">
        <v>0.0</v>
      </c>
      <c r="Z924" s="98">
        <v>0.0</v>
      </c>
      <c r="AA924" s="98">
        <v>0.0</v>
      </c>
      <c r="AB924" s="98">
        <v>0.0</v>
      </c>
      <c r="AC924" s="98">
        <v>0.0</v>
      </c>
      <c r="AD924" s="98">
        <v>0.0</v>
      </c>
      <c r="AE924" s="98">
        <v>0.0</v>
      </c>
      <c r="AF924" s="98">
        <v>1.0</v>
      </c>
      <c r="AG924" s="98">
        <v>0.0</v>
      </c>
      <c r="AH924" s="98">
        <v>0.0</v>
      </c>
      <c r="AI924" s="98">
        <v>0.0</v>
      </c>
      <c r="AJ924" s="98">
        <v>0.0</v>
      </c>
      <c r="AK924" s="98">
        <v>0.0</v>
      </c>
      <c r="AL924" s="98">
        <v>0.0</v>
      </c>
      <c r="AM924" s="98">
        <v>0.0</v>
      </c>
      <c r="AN924" s="98">
        <v>0.0</v>
      </c>
      <c r="AO924" s="98">
        <v>0.0</v>
      </c>
      <c r="AP924" s="98">
        <v>2.0</v>
      </c>
      <c r="AQ924" s="98" t="s">
        <v>638</v>
      </c>
      <c r="AR924" s="102">
        <v>46230.0</v>
      </c>
      <c r="AS924" s="83">
        <v>1137982.0</v>
      </c>
    </row>
    <row r="925" ht="15.75" customHeight="1">
      <c r="A925" s="111" t="s">
        <v>1090</v>
      </c>
      <c r="B925" s="83" t="s">
        <v>4667</v>
      </c>
      <c r="C925" s="83" t="s">
        <v>68</v>
      </c>
      <c r="D925" s="112">
        <v>1138172.0</v>
      </c>
      <c r="E925" s="83"/>
      <c r="F925" s="83">
        <v>2.9142709E7</v>
      </c>
      <c r="G925" s="91" t="str">
        <f>IFERROR(__xludf.DUMMYFUNCTION("XLOOKUP(AS925,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DA BACIA DO JACUÍPE II JOÃO CAMPOS")</f>
        <v>CENTRO TERRITORIAL DE EDUCAÇÃO PROFISSIONAL DA BACIA DO JACUÍPE II JOÃO CAMPOS</v>
      </c>
      <c r="H925" s="114" t="s">
        <v>4701</v>
      </c>
      <c r="I925" s="91" t="s">
        <v>4702</v>
      </c>
      <c r="J925" s="136" t="s">
        <v>149</v>
      </c>
      <c r="K925" s="136" t="s">
        <v>150</v>
      </c>
      <c r="L925" s="83" t="s">
        <v>4703</v>
      </c>
      <c r="M925" s="83" t="s">
        <v>230</v>
      </c>
      <c r="N925" s="98" t="s">
        <v>4704</v>
      </c>
      <c r="O925" s="98" t="s">
        <v>155</v>
      </c>
      <c r="P925" s="99" t="str">
        <f>IFERROR(__xludf.DUMMYFUNCTION("IFERROR(VLOOKUP(AS925,IMPORTRANGE(""https://docs.google.com/spreadsheets/d/1juPI-Fb8LD0YtltB2mlGEnp_R3UVu1t3wSFPzgCyHXE/edit?gid=0#gid=0"",""GERAL!A2:C""),3,0),""-"")"),"-")</f>
        <v>-</v>
      </c>
      <c r="Q925" s="101" t="s">
        <v>156</v>
      </c>
      <c r="R925" s="98">
        <v>12.0</v>
      </c>
      <c r="S925" s="98">
        <v>0.0</v>
      </c>
      <c r="T925" s="98">
        <v>0.0</v>
      </c>
      <c r="U925" s="98">
        <v>0.0</v>
      </c>
      <c r="V925" s="98">
        <v>1.0</v>
      </c>
      <c r="W925" s="98">
        <v>5.0</v>
      </c>
      <c r="X925" s="98">
        <v>1.0</v>
      </c>
      <c r="Y925" s="98">
        <v>0.0</v>
      </c>
      <c r="Z925" s="98">
        <v>0.0</v>
      </c>
      <c r="AA925" s="98">
        <v>0.0</v>
      </c>
      <c r="AB925" s="98">
        <v>0.0</v>
      </c>
      <c r="AC925" s="98">
        <v>0.0</v>
      </c>
      <c r="AD925" s="98">
        <v>0.0</v>
      </c>
      <c r="AE925" s="98">
        <v>0.0</v>
      </c>
      <c r="AF925" s="98">
        <v>0.0</v>
      </c>
      <c r="AG925" s="98">
        <v>0.0</v>
      </c>
      <c r="AH925" s="98">
        <v>1.0</v>
      </c>
      <c r="AI925" s="98">
        <v>0.0</v>
      </c>
      <c r="AJ925" s="98">
        <v>1.0</v>
      </c>
      <c r="AK925" s="98">
        <v>0.0</v>
      </c>
      <c r="AL925" s="98">
        <v>1.0</v>
      </c>
      <c r="AM925" s="98">
        <v>1.0</v>
      </c>
      <c r="AN925" s="98">
        <v>0.0</v>
      </c>
      <c r="AO925" s="98">
        <v>0.0</v>
      </c>
      <c r="AP925" s="98">
        <v>0.0</v>
      </c>
      <c r="AQ925" s="98" t="s">
        <v>4712</v>
      </c>
      <c r="AR925" s="102">
        <v>46230.0</v>
      </c>
      <c r="AS925" s="83">
        <v>1138172.0</v>
      </c>
    </row>
    <row r="926" ht="15.75" customHeight="1">
      <c r="A926" s="111" t="s">
        <v>1090</v>
      </c>
      <c r="B926" s="83" t="s">
        <v>2239</v>
      </c>
      <c r="C926" s="98" t="s">
        <v>68</v>
      </c>
      <c r="D926" s="98">
        <v>1179792.0</v>
      </c>
      <c r="E926" s="83"/>
      <c r="F926" s="83"/>
      <c r="G926" s="91" t="str">
        <f>IFERROR(__xludf.DUMMYFUNCTION("XLOOKUP(AS926,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MARIA NEVES CARNEIRO
(ANTIGO ANEXO - BERILO VILAS BOAS - COLÉGIO EST - DIST. ITATIAIA)")</f>
        <v>COLÉGIO ESTADUAL DE TEMPO INTEGRAL MARIA NEVES CARNEIRO
(ANTIGO ANEXO - BERILO VILAS BOAS - COLÉGIO EST - DIST. ITATIAIA)</v>
      </c>
      <c r="H926" s="119" t="s">
        <v>2242</v>
      </c>
      <c r="I926" s="91" t="s">
        <v>4714</v>
      </c>
      <c r="J926" s="83" t="s">
        <v>149</v>
      </c>
      <c r="K926" s="83" t="s">
        <v>222</v>
      </c>
      <c r="L926" s="83" t="s">
        <v>1685</v>
      </c>
      <c r="M926" s="98" t="s">
        <v>76</v>
      </c>
      <c r="N926" s="98" t="s">
        <v>4715</v>
      </c>
      <c r="O926" s="98" t="s">
        <v>162</v>
      </c>
      <c r="P926" s="99" t="str">
        <f>IFERROR(__xludf.DUMMYFUNCTION("IFERROR(VLOOKUP(AS926,IMPORTRANGE(""https://docs.google.com/spreadsheets/d/1juPI-Fb8LD0YtltB2mlGEnp_R3UVu1t3wSFPzgCyHXE/edit?gid=0#gid=0"",""GERAL!A2:C""),3,0),""-"")"),"CAMPO")</f>
        <v>CAMPO</v>
      </c>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v>1179792.0</v>
      </c>
    </row>
    <row r="927" ht="15.75" customHeight="1">
      <c r="A927" s="111" t="s">
        <v>1090</v>
      </c>
      <c r="B927" s="83" t="s">
        <v>2239</v>
      </c>
      <c r="C927" s="83" t="s">
        <v>68</v>
      </c>
      <c r="D927" s="112">
        <v>1176125.0</v>
      </c>
      <c r="E927" s="83"/>
      <c r="F927" s="83">
        <v>2.9354943E7</v>
      </c>
      <c r="G927" s="91" t="str">
        <f>IFERROR(__xludf.DUMMYFUNCTION("XLOOKUP(AS927,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BERILO VILAS BOAS")</f>
        <v>COLÉGIO ESTADUAL DE TEMPO INTEGRAL BERILO VILAS BOAS</v>
      </c>
      <c r="H927" s="119" t="s">
        <v>4722</v>
      </c>
      <c r="I927" s="91" t="s">
        <v>4723</v>
      </c>
      <c r="J927" s="83" t="s">
        <v>149</v>
      </c>
      <c r="K927" s="83" t="s">
        <v>150</v>
      </c>
      <c r="L927" s="83" t="s">
        <v>1685</v>
      </c>
      <c r="M927" s="83" t="s">
        <v>152</v>
      </c>
      <c r="N927" s="98" t="s">
        <v>4724</v>
      </c>
      <c r="O927" s="98" t="s">
        <v>155</v>
      </c>
      <c r="P927" s="99" t="str">
        <f>IFERROR(__xludf.DUMMYFUNCTION("IFERROR(VLOOKUP(AS927,IMPORTRANGE(""https://docs.google.com/spreadsheets/d/1juPI-Fb8LD0YtltB2mlGEnp_R3UVu1t3wSFPzgCyHXE/edit?gid=0#gid=0"",""GERAL!A2:C""),3,0),""-"")"),"-")</f>
        <v>-</v>
      </c>
      <c r="Q927" s="83"/>
      <c r="R927" s="83"/>
      <c r="S927" s="83"/>
      <c r="T927" s="83"/>
      <c r="U927" s="83"/>
      <c r="V927" s="83"/>
      <c r="W927" s="83"/>
      <c r="X927" s="83"/>
      <c r="Y927" s="83"/>
      <c r="Z927" s="83"/>
      <c r="AA927" s="83"/>
      <c r="AB927" s="83"/>
      <c r="AC927" s="83"/>
      <c r="AD927" s="83"/>
      <c r="AE927" s="83"/>
      <c r="AF927" s="83"/>
      <c r="AG927" s="83"/>
      <c r="AH927" s="83"/>
      <c r="AI927" s="83"/>
      <c r="AJ927" s="83"/>
      <c r="AK927" s="83"/>
      <c r="AL927" s="83"/>
      <c r="AM927" s="83"/>
      <c r="AN927" s="83"/>
      <c r="AO927" s="83"/>
      <c r="AP927" s="83"/>
      <c r="AQ927" s="83"/>
      <c r="AR927" s="83"/>
      <c r="AS927" s="83">
        <v>1176125.0</v>
      </c>
    </row>
    <row r="928" ht="15.75" customHeight="1">
      <c r="A928" s="111" t="s">
        <v>1090</v>
      </c>
      <c r="B928" s="83" t="s">
        <v>4725</v>
      </c>
      <c r="C928" s="83" t="s">
        <v>68</v>
      </c>
      <c r="D928" s="112">
        <v>1107650.0</v>
      </c>
      <c r="E928" s="83"/>
      <c r="F928" s="83">
        <v>2.9111285E7</v>
      </c>
      <c r="G928" s="91" t="str">
        <f>IFERROR(__xludf.DUMMYFUNCTION("XLOOKUP(AS928,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NOSSA SENHORA DE LOURDES - DISTRITO DO PONTO")</f>
        <v>COLÉGIO ESTADUAL NOSSA SENHORA DE LOURDES - DISTRITO DO PONTO</v>
      </c>
      <c r="H928" s="114" t="s">
        <v>4728</v>
      </c>
      <c r="I928" s="91" t="s">
        <v>4730</v>
      </c>
      <c r="J928" s="83" t="s">
        <v>149</v>
      </c>
      <c r="K928" s="83" t="s">
        <v>2642</v>
      </c>
      <c r="L928" s="83" t="s">
        <v>1685</v>
      </c>
      <c r="M928" s="83" t="s">
        <v>169</v>
      </c>
      <c r="N928" s="98" t="s">
        <v>4734</v>
      </c>
      <c r="O928" s="98" t="s">
        <v>155</v>
      </c>
      <c r="P928" s="99" t="str">
        <f>IFERROR(__xludf.DUMMYFUNCTION("IFERROR(VLOOKUP(AS928,IMPORTRANGE(""https://docs.google.com/spreadsheets/d/1juPI-Fb8LD0YtltB2mlGEnp_R3UVu1t3wSFPzgCyHXE/edit?gid=0#gid=0"",""GERAL!A2:C""),3,0),""-"")"),"CAMPO")</f>
        <v>CAMPO</v>
      </c>
      <c r="Q928" s="101" t="s">
        <v>156</v>
      </c>
      <c r="R928" s="98">
        <v>6.0</v>
      </c>
      <c r="S928" s="98">
        <v>0.0</v>
      </c>
      <c r="T928" s="98">
        <v>0.0</v>
      </c>
      <c r="U928" s="98">
        <v>0.0</v>
      </c>
      <c r="V928" s="98">
        <v>0.0</v>
      </c>
      <c r="W928" s="98">
        <v>0.0</v>
      </c>
      <c r="X928" s="98">
        <v>0.0</v>
      </c>
      <c r="Y928" s="98">
        <v>0.0</v>
      </c>
      <c r="Z928" s="98">
        <v>0.0</v>
      </c>
      <c r="AA928" s="98">
        <v>0.0</v>
      </c>
      <c r="AB928" s="98">
        <v>0.0</v>
      </c>
      <c r="AC928" s="98">
        <v>0.0</v>
      </c>
      <c r="AD928" s="98">
        <v>0.0</v>
      </c>
      <c r="AE928" s="98">
        <v>0.0</v>
      </c>
      <c r="AF928" s="98">
        <v>0.0</v>
      </c>
      <c r="AG928" s="98">
        <v>0.0</v>
      </c>
      <c r="AH928" s="98">
        <v>0.0</v>
      </c>
      <c r="AI928" s="98">
        <v>0.0</v>
      </c>
      <c r="AJ928" s="98">
        <v>0.0</v>
      </c>
      <c r="AK928" s="98">
        <v>0.0</v>
      </c>
      <c r="AL928" s="98">
        <v>0.0</v>
      </c>
      <c r="AM928" s="98">
        <v>0.0</v>
      </c>
      <c r="AN928" s="98">
        <v>0.0</v>
      </c>
      <c r="AO928" s="98">
        <v>0.0</v>
      </c>
      <c r="AP928" s="98">
        <v>3.0</v>
      </c>
      <c r="AQ928" s="98" t="s">
        <v>4742</v>
      </c>
      <c r="AR928" s="102">
        <v>46216.0</v>
      </c>
      <c r="AS928" s="83">
        <v>1107650.0</v>
      </c>
    </row>
    <row r="929" ht="15.75" customHeight="1">
      <c r="A929" s="111" t="s">
        <v>1090</v>
      </c>
      <c r="B929" s="83" t="s">
        <v>4725</v>
      </c>
      <c r="C929" s="83" t="s">
        <v>68</v>
      </c>
      <c r="D929" s="112">
        <v>1107684.0</v>
      </c>
      <c r="E929" s="83"/>
      <c r="F929" s="83">
        <v>2.9110866E7</v>
      </c>
      <c r="G929" s="91" t="str">
        <f>IFERROR(__xludf.DUMMYFUNCTION("XLOOKUP(AS929,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EM TEMPO INTEGRAL RENATO MEDEIROS NETO - DISTRITO DE BRAVO")</f>
        <v>COLÉGIO ESTADUAL EM TEMPO INTEGRAL RENATO MEDEIROS NETO - DISTRITO DE BRAVO</v>
      </c>
      <c r="H929" s="119" t="s">
        <v>4743</v>
      </c>
      <c r="I929" s="91" t="s">
        <v>4744</v>
      </c>
      <c r="J929" s="83" t="s">
        <v>149</v>
      </c>
      <c r="K929" s="83" t="s">
        <v>240</v>
      </c>
      <c r="L929" s="83" t="s">
        <v>1685</v>
      </c>
      <c r="M929" s="83" t="s">
        <v>152</v>
      </c>
      <c r="N929" s="98" t="s">
        <v>4745</v>
      </c>
      <c r="O929" s="98" t="s">
        <v>155</v>
      </c>
      <c r="P929" s="99" t="str">
        <f>IFERROR(__xludf.DUMMYFUNCTION("IFERROR(VLOOKUP(AS929,IMPORTRANGE(""https://docs.google.com/spreadsheets/d/1juPI-Fb8LD0YtltB2mlGEnp_R3UVu1t3wSFPzgCyHXE/edit?gid=0#gid=0"",""GERAL!A2:C""),3,0),""-"")"),"CAMPO")</f>
        <v>CAMPO</v>
      </c>
      <c r="Q929" s="101" t="s">
        <v>156</v>
      </c>
      <c r="R929" s="98">
        <v>12.0</v>
      </c>
      <c r="S929" s="98">
        <v>1.0</v>
      </c>
      <c r="T929" s="98">
        <v>1.0</v>
      </c>
      <c r="U929" s="98">
        <v>1.0</v>
      </c>
      <c r="V929" s="98">
        <v>0.0</v>
      </c>
      <c r="W929" s="98">
        <v>0.0</v>
      </c>
      <c r="X929" s="98">
        <v>1.0</v>
      </c>
      <c r="Y929" s="98">
        <v>0.0</v>
      </c>
      <c r="Z929" s="98">
        <v>1.0</v>
      </c>
      <c r="AA929" s="98">
        <v>0.0</v>
      </c>
      <c r="AB929" s="98">
        <v>1.0</v>
      </c>
      <c r="AC929" s="98">
        <v>0.0</v>
      </c>
      <c r="AD929" s="98">
        <v>0.0</v>
      </c>
      <c r="AE929" s="98">
        <v>0.0</v>
      </c>
      <c r="AF929" s="98">
        <v>1.0</v>
      </c>
      <c r="AG929" s="98">
        <v>0.0</v>
      </c>
      <c r="AH929" s="98">
        <v>0.0</v>
      </c>
      <c r="AI929" s="98">
        <v>0.0</v>
      </c>
      <c r="AJ929" s="98">
        <v>0.0</v>
      </c>
      <c r="AK929" s="98">
        <v>0.0</v>
      </c>
      <c r="AL929" s="98">
        <v>0.0</v>
      </c>
      <c r="AM929" s="98">
        <v>0.0</v>
      </c>
      <c r="AN929" s="98">
        <v>0.0</v>
      </c>
      <c r="AO929" s="98">
        <v>0.0</v>
      </c>
      <c r="AP929" s="98">
        <v>1.0</v>
      </c>
      <c r="AQ929" s="98" t="s">
        <v>4753</v>
      </c>
      <c r="AR929" s="102">
        <v>46216.0</v>
      </c>
      <c r="AS929" s="83">
        <v>1107684.0</v>
      </c>
    </row>
    <row r="930" ht="15.75" customHeight="1">
      <c r="A930" s="111" t="s">
        <v>1090</v>
      </c>
      <c r="B930" s="83" t="s">
        <v>4754</v>
      </c>
      <c r="C930" s="83" t="s">
        <v>68</v>
      </c>
      <c r="D930" s="112">
        <v>1176069.0</v>
      </c>
      <c r="E930" s="83"/>
      <c r="F930" s="83">
        <v>2.9088623E7</v>
      </c>
      <c r="G930" s="91" t="str">
        <f>IFERROR(__xludf.DUMMYFUNCTION("XLOOKUP(AS930,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ADÉLIA MENDES")</f>
        <v>COLÉGIO ESTADUAL DE TEMPO INTEGRAL PROFESSORA ADÉLIA MENDES</v>
      </c>
      <c r="H930" s="119" t="s">
        <v>4755</v>
      </c>
      <c r="I930" s="91" t="s">
        <v>4756</v>
      </c>
      <c r="J930" s="172" t="s">
        <v>149</v>
      </c>
      <c r="K930" s="83" t="s">
        <v>150</v>
      </c>
      <c r="L930" s="83" t="s">
        <v>1685</v>
      </c>
      <c r="M930" s="83" t="s">
        <v>76</v>
      </c>
      <c r="N930" s="98" t="s">
        <v>4758</v>
      </c>
      <c r="O930" s="98" t="s">
        <v>155</v>
      </c>
      <c r="P930" s="99" t="str">
        <f>IFERROR(__xludf.DUMMYFUNCTION("IFERROR(VLOOKUP(AS930,IMPORTRANGE(""https://docs.google.com/spreadsheets/d/1juPI-Fb8LD0YtltB2mlGEnp_R3UVu1t3wSFPzgCyHXE/edit?gid=0#gid=0"",""GERAL!A2:C""),3,0),""-"")"),"-")</f>
        <v>-</v>
      </c>
      <c r="Q930" s="83"/>
      <c r="R930" s="83"/>
      <c r="S930" s="83"/>
      <c r="T930" s="83"/>
      <c r="U930" s="83"/>
      <c r="V930" s="83"/>
      <c r="W930" s="83"/>
      <c r="X930" s="83"/>
      <c r="Y930" s="83"/>
      <c r="Z930" s="83"/>
      <c r="AA930" s="83"/>
      <c r="AB930" s="83"/>
      <c r="AC930" s="83"/>
      <c r="AD930" s="83"/>
      <c r="AE930" s="83"/>
      <c r="AF930" s="83"/>
      <c r="AG930" s="83"/>
      <c r="AH930" s="83"/>
      <c r="AI930" s="83"/>
      <c r="AJ930" s="83"/>
      <c r="AK930" s="83"/>
      <c r="AL930" s="83"/>
      <c r="AM930" s="83"/>
      <c r="AN930" s="83"/>
      <c r="AO930" s="83"/>
      <c r="AP930" s="83"/>
      <c r="AQ930" s="83"/>
      <c r="AR930" s="83"/>
      <c r="AS930" s="83">
        <v>1176069.0</v>
      </c>
    </row>
    <row r="931" ht="15.75" customHeight="1">
      <c r="A931" s="111" t="s">
        <v>1090</v>
      </c>
      <c r="B931" s="83" t="s">
        <v>4765</v>
      </c>
      <c r="C931" s="83" t="s">
        <v>68</v>
      </c>
      <c r="D931" s="112">
        <v>1122306.0</v>
      </c>
      <c r="E931" s="83"/>
      <c r="F931" s="83">
        <v>2.9079934E7</v>
      </c>
      <c r="G931" s="91" t="str">
        <f>IFERROR(__xludf.DUMMYFUNCTION("XLOOKUP(AS931,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FELIPE CASSIANO")</f>
        <v>COLÉGIO ESTADUAL DE TEMPO INTEGRAL FELIPE CASSIANO</v>
      </c>
      <c r="H931" s="119" t="s">
        <v>4766</v>
      </c>
      <c r="I931" s="91" t="s">
        <v>4767</v>
      </c>
      <c r="J931" s="172" t="s">
        <v>149</v>
      </c>
      <c r="K931" s="83" t="s">
        <v>150</v>
      </c>
      <c r="L931" s="83" t="s">
        <v>1685</v>
      </c>
      <c r="M931" s="83" t="s">
        <v>76</v>
      </c>
      <c r="N931" s="98" t="s">
        <v>4768</v>
      </c>
      <c r="O931" s="98" t="s">
        <v>155</v>
      </c>
      <c r="P931" s="99" t="str">
        <f>IFERROR(__xludf.DUMMYFUNCTION("IFERROR(VLOOKUP(AS931,IMPORTRANGE(""https://docs.google.com/spreadsheets/d/1juPI-Fb8LD0YtltB2mlGEnp_R3UVu1t3wSFPzgCyHXE/edit?gid=0#gid=0"",""GERAL!A2:C""),3,0),""-"")"),"-")</f>
        <v>-</v>
      </c>
      <c r="Q931" s="101" t="s">
        <v>156</v>
      </c>
      <c r="R931" s="98">
        <v>10.0</v>
      </c>
      <c r="S931" s="98">
        <v>0.0</v>
      </c>
      <c r="T931" s="98">
        <v>2.0</v>
      </c>
      <c r="U931" s="98">
        <v>1.0</v>
      </c>
      <c r="V931" s="98">
        <v>1.0</v>
      </c>
      <c r="W931" s="98">
        <v>0.0</v>
      </c>
      <c r="X931" s="98">
        <v>1.0</v>
      </c>
      <c r="Y931" s="98">
        <v>0.0</v>
      </c>
      <c r="Z931" s="98">
        <v>1.0</v>
      </c>
      <c r="AA931" s="98">
        <v>0.0</v>
      </c>
      <c r="AB931" s="98">
        <v>1.0</v>
      </c>
      <c r="AC931" s="98">
        <v>0.0</v>
      </c>
      <c r="AD931" s="98">
        <v>0.0</v>
      </c>
      <c r="AE931" s="98">
        <v>0.0</v>
      </c>
      <c r="AF931" s="98">
        <v>1.0</v>
      </c>
      <c r="AG931" s="98">
        <v>0.0</v>
      </c>
      <c r="AH931" s="98">
        <v>0.0</v>
      </c>
      <c r="AI931" s="98">
        <v>0.0</v>
      </c>
      <c r="AJ931" s="98">
        <v>0.0</v>
      </c>
      <c r="AK931" s="98">
        <v>1.0</v>
      </c>
      <c r="AL931" s="98">
        <v>0.0</v>
      </c>
      <c r="AM931" s="98">
        <v>0.0</v>
      </c>
      <c r="AN931" s="98">
        <v>0.0</v>
      </c>
      <c r="AO931" s="98">
        <v>0.0</v>
      </c>
      <c r="AP931" s="98">
        <v>0.0</v>
      </c>
      <c r="AQ931" s="98" t="s">
        <v>4770</v>
      </c>
      <c r="AR931" s="102">
        <v>46230.0</v>
      </c>
      <c r="AS931" s="83">
        <v>1122306.0</v>
      </c>
    </row>
    <row r="932" ht="15.75" customHeight="1">
      <c r="A932" s="111" t="s">
        <v>1161</v>
      </c>
      <c r="B932" s="83" t="s">
        <v>4771</v>
      </c>
      <c r="C932" s="83" t="s">
        <v>68</v>
      </c>
      <c r="D932" s="112">
        <v>1178027.0</v>
      </c>
      <c r="E932" s="83"/>
      <c r="F932" s="83">
        <v>2.906832E7</v>
      </c>
      <c r="G932" s="91" t="str">
        <f>IFERROR(__xludf.DUMMYFUNCTION("XLOOKUP(AS932,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ARNALDO DE OLIVEIRA")</f>
        <v>COLÉGIO ESTADUAL DE TEMPO INTEGRAL ARNALDO DE OLIVEIRA</v>
      </c>
      <c r="H932" s="119" t="s">
        <v>4772</v>
      </c>
      <c r="I932" s="91" t="s">
        <v>4774</v>
      </c>
      <c r="J932" s="136" t="s">
        <v>149</v>
      </c>
      <c r="K932" s="83" t="s">
        <v>150</v>
      </c>
      <c r="L932" s="83" t="s">
        <v>151</v>
      </c>
      <c r="M932" s="83" t="s">
        <v>152</v>
      </c>
      <c r="N932" s="98" t="s">
        <v>4778</v>
      </c>
      <c r="O932" s="98" t="s">
        <v>162</v>
      </c>
      <c r="P932" s="99" t="str">
        <f>IFERROR(__xludf.DUMMYFUNCTION("IFERROR(VLOOKUP(AS932,IMPORTRANGE(""https://docs.google.com/spreadsheets/d/1juPI-Fb8LD0YtltB2mlGEnp_R3UVu1t3wSFPzgCyHXE/edit?gid=0#gid=0"",""GERAL!A2:C""),3,0),""-"")"),"-")</f>
        <v>-</v>
      </c>
      <c r="Q932" s="101" t="s">
        <v>156</v>
      </c>
      <c r="R932" s="98">
        <v>12.0</v>
      </c>
      <c r="S932" s="98">
        <v>0.0</v>
      </c>
      <c r="T932" s="98">
        <v>2.0</v>
      </c>
      <c r="U932" s="98">
        <v>0.0</v>
      </c>
      <c r="V932" s="98">
        <v>1.0</v>
      </c>
      <c r="W932" s="98">
        <v>3.0</v>
      </c>
      <c r="X932" s="98">
        <v>1.0</v>
      </c>
      <c r="Y932" s="98">
        <v>0.0</v>
      </c>
      <c r="Z932" s="98">
        <v>1.0</v>
      </c>
      <c r="AA932" s="98">
        <v>0.0</v>
      </c>
      <c r="AB932" s="98">
        <v>1.0</v>
      </c>
      <c r="AC932" s="98">
        <v>0.0</v>
      </c>
      <c r="AD932" s="98">
        <v>0.0</v>
      </c>
      <c r="AE932" s="98">
        <v>0.0</v>
      </c>
      <c r="AF932" s="98">
        <v>1.0</v>
      </c>
      <c r="AG932" s="98">
        <v>0.0</v>
      </c>
      <c r="AH932" s="98">
        <v>0.0</v>
      </c>
      <c r="AI932" s="98">
        <v>0.0</v>
      </c>
      <c r="AJ932" s="98">
        <v>0.0</v>
      </c>
      <c r="AK932" s="98">
        <v>1.0</v>
      </c>
      <c r="AL932" s="98">
        <v>0.0</v>
      </c>
      <c r="AM932" s="98">
        <v>0.0</v>
      </c>
      <c r="AN932" s="98">
        <v>0.0</v>
      </c>
      <c r="AO932" s="98">
        <v>1.0</v>
      </c>
      <c r="AP932" s="98">
        <v>0.0</v>
      </c>
      <c r="AQ932" s="98" t="s">
        <v>4780</v>
      </c>
      <c r="AR932" s="102">
        <v>46230.0</v>
      </c>
      <c r="AS932" s="83">
        <v>1178027.0</v>
      </c>
    </row>
    <row r="933" ht="15.75" customHeight="1">
      <c r="A933" s="111" t="s">
        <v>1161</v>
      </c>
      <c r="B933" s="83" t="s">
        <v>4771</v>
      </c>
      <c r="C933" s="83" t="s">
        <v>164</v>
      </c>
      <c r="D933" s="112">
        <v>1178027.0</v>
      </c>
      <c r="E933" s="83">
        <v>1178707.0</v>
      </c>
      <c r="F933" s="83"/>
      <c r="G933" s="91" t="str">
        <f>IFERROR(__xludf.DUMMYFUNCTION("XLOOKUP(AS933,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ARNALDO DE OLIVEIRA - DISTRITO DE GONÇALO")</f>
        <v>ANEXO - COLÉGIO ESTADUAL ARNALDO DE OLIVEIRA - DISTRITO DE GONÇALO</v>
      </c>
      <c r="H933" s="114" t="s">
        <v>4781</v>
      </c>
      <c r="I933" s="91" t="s">
        <v>4782</v>
      </c>
      <c r="J933" s="136" t="s">
        <v>4783</v>
      </c>
      <c r="K933" s="83" t="s">
        <v>244</v>
      </c>
      <c r="L933" s="83" t="s">
        <v>168</v>
      </c>
      <c r="M933" s="83" t="s">
        <v>169</v>
      </c>
      <c r="N933" s="115" t="s">
        <v>170</v>
      </c>
      <c r="O933" s="98" t="s">
        <v>155</v>
      </c>
      <c r="P933" s="99" t="str">
        <f>IFERROR(__xludf.DUMMYFUNCTION("IFERROR(VLOOKUP(AS933,IMPORTRANGE(""https://docs.google.com/spreadsheets/d/1juPI-Fb8LD0YtltB2mlGEnp_R3UVu1t3wSFPzgCyHXE/edit?gid=0#gid=0"",""GERAL!A2:C""),3,0),""-"")"),"CAMPO")</f>
        <v>CAMPO</v>
      </c>
      <c r="Q933" s="98" t="s">
        <v>171</v>
      </c>
      <c r="R933" s="98">
        <v>4.0</v>
      </c>
      <c r="S933" s="98" t="s">
        <v>171</v>
      </c>
      <c r="T933" s="98" t="s">
        <v>171</v>
      </c>
      <c r="U933" s="98" t="s">
        <v>171</v>
      </c>
      <c r="V933" s="98" t="s">
        <v>171</v>
      </c>
      <c r="W933" s="98" t="s">
        <v>171</v>
      </c>
      <c r="X933" s="98" t="s">
        <v>171</v>
      </c>
      <c r="Y933" s="98" t="s">
        <v>171</v>
      </c>
      <c r="Z933" s="98" t="s">
        <v>171</v>
      </c>
      <c r="AA933" s="98" t="s">
        <v>171</v>
      </c>
      <c r="AB933" s="98" t="s">
        <v>171</v>
      </c>
      <c r="AC933" s="98" t="s">
        <v>171</v>
      </c>
      <c r="AD933" s="98" t="s">
        <v>171</v>
      </c>
      <c r="AE933" s="98" t="s">
        <v>171</v>
      </c>
      <c r="AF933" s="98" t="s">
        <v>171</v>
      </c>
      <c r="AG933" s="98" t="s">
        <v>171</v>
      </c>
      <c r="AH933" s="98" t="s">
        <v>171</v>
      </c>
      <c r="AI933" s="98" t="s">
        <v>171</v>
      </c>
      <c r="AJ933" s="98" t="s">
        <v>171</v>
      </c>
      <c r="AK933" s="98" t="s">
        <v>171</v>
      </c>
      <c r="AL933" s="98" t="s">
        <v>171</v>
      </c>
      <c r="AM933" s="98" t="s">
        <v>171</v>
      </c>
      <c r="AN933" s="98" t="s">
        <v>171</v>
      </c>
      <c r="AO933" s="98" t="s">
        <v>171</v>
      </c>
      <c r="AP933" s="98" t="s">
        <v>171</v>
      </c>
      <c r="AQ933" s="98" t="s">
        <v>171</v>
      </c>
      <c r="AR933" s="102">
        <v>46230.0</v>
      </c>
      <c r="AS933" s="83">
        <v>1178707.0</v>
      </c>
    </row>
    <row r="934" ht="15.75" customHeight="1">
      <c r="A934" s="111" t="s">
        <v>1161</v>
      </c>
      <c r="B934" s="83" t="s">
        <v>2175</v>
      </c>
      <c r="C934" s="83" t="s">
        <v>68</v>
      </c>
      <c r="D934" s="98">
        <v>1179765.0</v>
      </c>
      <c r="E934" s="83"/>
      <c r="F934" s="98">
        <v>44168.0</v>
      </c>
      <c r="G934" s="91" t="str">
        <f>IFERROR(__xludf.DUMMYFUNCTION("XLOOKUP(AS934,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PROFESSORA MARIA IZABEL DE OLIVEIRA")</f>
        <v>COLEGIO ESTADUAL DO CAMPO PROFESSORA MARIA IZABEL DE OLIVEIRA</v>
      </c>
      <c r="H934" s="184" t="s">
        <v>4784</v>
      </c>
      <c r="I934" s="108" t="s">
        <v>4785</v>
      </c>
      <c r="J934" s="172"/>
      <c r="K934" s="83"/>
      <c r="L934" s="83" t="s">
        <v>151</v>
      </c>
      <c r="M934" s="98" t="s">
        <v>169</v>
      </c>
      <c r="N934" s="137" t="s">
        <v>4786</v>
      </c>
      <c r="O934" s="98" t="s">
        <v>155</v>
      </c>
      <c r="P934" s="99" t="str">
        <f>IFERROR(__xludf.DUMMYFUNCTION("IFERROR(VLOOKUP(AS934,IMPORTRANGE(""https://docs.google.com/spreadsheets/d/1juPI-Fb8LD0YtltB2mlGEnp_R3UVu1t3wSFPzgCyHXE/edit?gid=0#gid=0"",""GERAL!A2:C""),3,0),""-"")"),"CAMPO")</f>
        <v>CAMPO</v>
      </c>
      <c r="Q934" s="101" t="s">
        <v>156</v>
      </c>
      <c r="R934" s="98">
        <v>5.0</v>
      </c>
      <c r="S934" s="98">
        <v>0.0</v>
      </c>
      <c r="T934" s="98">
        <v>0.0</v>
      </c>
      <c r="U934" s="98">
        <v>0.0</v>
      </c>
      <c r="V934" s="98">
        <v>0.0</v>
      </c>
      <c r="W934" s="98">
        <v>0.0</v>
      </c>
      <c r="X934" s="98">
        <v>0.0</v>
      </c>
      <c r="Y934" s="98">
        <v>0.0</v>
      </c>
      <c r="Z934" s="98">
        <v>0.0</v>
      </c>
      <c r="AA934" s="98">
        <v>0.0</v>
      </c>
      <c r="AB934" s="98">
        <v>0.0</v>
      </c>
      <c r="AC934" s="98">
        <v>1.0</v>
      </c>
      <c r="AD934" s="98">
        <v>0.0</v>
      </c>
      <c r="AE934" s="98">
        <v>0.0</v>
      </c>
      <c r="AF934" s="98">
        <v>0.0</v>
      </c>
      <c r="AG934" s="98">
        <v>0.0</v>
      </c>
      <c r="AH934" s="98">
        <v>0.0</v>
      </c>
      <c r="AI934" s="98">
        <v>0.0</v>
      </c>
      <c r="AJ934" s="98">
        <v>0.0</v>
      </c>
      <c r="AK934" s="98">
        <v>0.0</v>
      </c>
      <c r="AL934" s="98">
        <v>0.0</v>
      </c>
      <c r="AM934" s="98">
        <v>0.0</v>
      </c>
      <c r="AN934" s="98">
        <v>0.0</v>
      </c>
      <c r="AO934" s="98">
        <v>0.0</v>
      </c>
      <c r="AP934" s="98">
        <v>0.0</v>
      </c>
      <c r="AQ934" s="98"/>
      <c r="AR934" s="102">
        <v>46245.0</v>
      </c>
      <c r="AS934" s="98">
        <v>1179765.0</v>
      </c>
    </row>
    <row r="935" ht="15.75" customHeight="1">
      <c r="A935" s="111" t="s">
        <v>1161</v>
      </c>
      <c r="B935" s="83" t="s">
        <v>2175</v>
      </c>
      <c r="C935" s="83" t="s">
        <v>68</v>
      </c>
      <c r="D935" s="98">
        <v>1179840.0</v>
      </c>
      <c r="E935" s="83"/>
      <c r="F935" s="83"/>
      <c r="G935" s="91" t="str">
        <f>IFERROR(__xludf.DUMMYFUNCTION("XLOOKUP(AS935,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DO CAMPO DA CAATINGA DO MOURA DISTRITO CAATINGA DO MOURA
")</f>
        <v>COLEGIO ESTADUAL DO CAMPO DA CAATINGA DO MOURA DISTRITO CAATINGA DO MOURA
</v>
      </c>
      <c r="H935" s="119" t="s">
        <v>4787</v>
      </c>
      <c r="I935" s="108" t="s">
        <v>4788</v>
      </c>
      <c r="J935" s="172" t="s">
        <v>4789</v>
      </c>
      <c r="K935" s="83"/>
      <c r="L935" s="136" t="s">
        <v>151</v>
      </c>
      <c r="M935" s="83" t="s">
        <v>169</v>
      </c>
      <c r="N935" s="128" t="s">
        <v>171</v>
      </c>
      <c r="O935" s="98"/>
      <c r="P935" s="99" t="str">
        <f>IFERROR(__xludf.DUMMYFUNCTION("IFERROR(VLOOKUP(AS935,IMPORTRANGE(""https://docs.google.com/spreadsheets/d/1juPI-Fb8LD0YtltB2mlGEnp_R3UVu1t3wSFPzgCyHXE/edit?gid=0#gid=0"",""GERAL!A2:C""),3,0),""-"")"),"CAMPO")</f>
        <v>CAMPO</v>
      </c>
      <c r="Q935" s="101" t="s">
        <v>156</v>
      </c>
      <c r="R935" s="98">
        <v>3.0</v>
      </c>
      <c r="S935" s="98" t="s">
        <v>171</v>
      </c>
      <c r="T935" s="98" t="s">
        <v>171</v>
      </c>
      <c r="U935" s="98" t="s">
        <v>171</v>
      </c>
      <c r="V935" s="98" t="s">
        <v>171</v>
      </c>
      <c r="W935" s="98" t="s">
        <v>171</v>
      </c>
      <c r="X935" s="98" t="s">
        <v>171</v>
      </c>
      <c r="Y935" s="98" t="s">
        <v>171</v>
      </c>
      <c r="Z935" s="98" t="s">
        <v>171</v>
      </c>
      <c r="AA935" s="98" t="s">
        <v>171</v>
      </c>
      <c r="AB935" s="98" t="s">
        <v>171</v>
      </c>
      <c r="AC935" s="98" t="s">
        <v>171</v>
      </c>
      <c r="AD935" s="98" t="s">
        <v>171</v>
      </c>
      <c r="AE935" s="98" t="s">
        <v>171</v>
      </c>
      <c r="AF935" s="98" t="s">
        <v>171</v>
      </c>
      <c r="AG935" s="98" t="s">
        <v>171</v>
      </c>
      <c r="AH935" s="98" t="s">
        <v>171</v>
      </c>
      <c r="AI935" s="98" t="s">
        <v>171</v>
      </c>
      <c r="AJ935" s="98" t="s">
        <v>171</v>
      </c>
      <c r="AK935" s="98" t="s">
        <v>171</v>
      </c>
      <c r="AL935" s="98" t="s">
        <v>171</v>
      </c>
      <c r="AM935" s="98" t="s">
        <v>171</v>
      </c>
      <c r="AN935" s="98" t="s">
        <v>171</v>
      </c>
      <c r="AO935" s="98" t="s">
        <v>171</v>
      </c>
      <c r="AP935" s="98" t="s">
        <v>171</v>
      </c>
      <c r="AQ935" s="98" t="s">
        <v>171</v>
      </c>
      <c r="AR935" s="102">
        <v>46245.0</v>
      </c>
      <c r="AS935" s="98">
        <v>1179840.0</v>
      </c>
    </row>
    <row r="936" ht="15.75" customHeight="1">
      <c r="A936" s="111" t="s">
        <v>1161</v>
      </c>
      <c r="B936" s="83" t="s">
        <v>2175</v>
      </c>
      <c r="C936" s="83" t="s">
        <v>68</v>
      </c>
      <c r="D936" s="112">
        <v>1121962.0</v>
      </c>
      <c r="E936" s="83"/>
      <c r="F936" s="83">
        <v>2.907035E7</v>
      </c>
      <c r="G936" s="91" t="str">
        <f>IFERROR(__xludf.DUMMYFUNCTION("XLOOKUP(AS936,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DEOCLECIANO BARBOSA DE CASTRO")</f>
        <v>COLEGIO ESTADUAL DE TEMPO INTEGRAL DEOCLECIANO BARBOSA DE CASTRO</v>
      </c>
      <c r="H936" s="184" t="s">
        <v>4798</v>
      </c>
      <c r="I936" s="91" t="s">
        <v>4799</v>
      </c>
      <c r="J936" s="172" t="s">
        <v>4800</v>
      </c>
      <c r="K936" s="83" t="s">
        <v>150</v>
      </c>
      <c r="L936" s="83" t="s">
        <v>151</v>
      </c>
      <c r="M936" s="83" t="s">
        <v>230</v>
      </c>
      <c r="N936" s="98" t="s">
        <v>4801</v>
      </c>
      <c r="O936" s="98" t="s">
        <v>284</v>
      </c>
      <c r="P936" s="99" t="str">
        <f>IFERROR(__xludf.DUMMYFUNCTION("IFERROR(VLOOKUP(AS936,IMPORTRANGE(""https://docs.google.com/spreadsheets/d/1juPI-Fb8LD0YtltB2mlGEnp_R3UVu1t3wSFPzgCyHXE/edit?gid=0#gid=0"",""GERAL!A2:C""),3,0),""-"")"),"-")</f>
        <v>-</v>
      </c>
      <c r="Q936" s="394" t="s">
        <v>156</v>
      </c>
      <c r="R936" s="98">
        <v>22.0</v>
      </c>
      <c r="S936" s="98">
        <v>0.0</v>
      </c>
      <c r="T936" s="98">
        <v>0.0</v>
      </c>
      <c r="U936" s="98">
        <v>1.0</v>
      </c>
      <c r="V936" s="98">
        <v>1.0</v>
      </c>
      <c r="W936" s="98">
        <v>0.0</v>
      </c>
      <c r="X936" s="98">
        <v>1.0</v>
      </c>
      <c r="Y936" s="98">
        <v>0.0</v>
      </c>
      <c r="Z936" s="98">
        <v>1.0</v>
      </c>
      <c r="AA936" s="98">
        <v>0.0</v>
      </c>
      <c r="AB936" s="98">
        <v>1.0</v>
      </c>
      <c r="AC936" s="98">
        <v>0.0</v>
      </c>
      <c r="AD936" s="98">
        <v>1.0</v>
      </c>
      <c r="AE936" s="98">
        <v>0.0</v>
      </c>
      <c r="AF936" s="98">
        <v>1.0</v>
      </c>
      <c r="AG936" s="98">
        <v>0.0</v>
      </c>
      <c r="AH936" s="98">
        <v>0.0</v>
      </c>
      <c r="AI936" s="98">
        <v>0.0</v>
      </c>
      <c r="AJ936" s="98">
        <v>0.0</v>
      </c>
      <c r="AK936" s="98">
        <v>1.0</v>
      </c>
      <c r="AL936" s="98">
        <v>0.0</v>
      </c>
      <c r="AM936" s="98">
        <v>0.0</v>
      </c>
      <c r="AN936" s="98">
        <v>0.0</v>
      </c>
      <c r="AO936" s="98">
        <v>1.0</v>
      </c>
      <c r="AP936" s="98">
        <v>1.0</v>
      </c>
      <c r="AQ936" s="98" t="s">
        <v>4803</v>
      </c>
      <c r="AR936" s="102">
        <v>46245.0</v>
      </c>
      <c r="AS936" s="83">
        <v>1121962.0</v>
      </c>
    </row>
    <row r="937" ht="15.75" customHeight="1">
      <c r="A937" s="111" t="s">
        <v>1161</v>
      </c>
      <c r="B937" s="83" t="s">
        <v>2175</v>
      </c>
      <c r="C937" s="83" t="s">
        <v>68</v>
      </c>
      <c r="D937" s="112">
        <v>1158157.0</v>
      </c>
      <c r="E937" s="83"/>
      <c r="F937" s="83">
        <v>2.9071275E7</v>
      </c>
      <c r="G937" s="91" t="str">
        <f>IFERROR(__xludf.DUMMYFUNCTION("XLOOKUP(AS937,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JUNCO - DISTRITO DE JUNCO - EM TEMPO INTEGRAL")</f>
        <v>COLÉGIO ESTADUAL DE JUNCO - DISTRITO DE JUNCO - EM TEMPO INTEGRAL</v>
      </c>
      <c r="H937" s="185" t="s">
        <v>4810</v>
      </c>
      <c r="I937" s="91" t="s">
        <v>4811</v>
      </c>
      <c r="J937" s="172" t="s">
        <v>4812</v>
      </c>
      <c r="K937" s="83" t="s">
        <v>471</v>
      </c>
      <c r="L937" s="83" t="s">
        <v>151</v>
      </c>
      <c r="M937" s="83" t="s">
        <v>76</v>
      </c>
      <c r="N937" s="98" t="s">
        <v>4813</v>
      </c>
      <c r="O937" s="98" t="s">
        <v>155</v>
      </c>
      <c r="P937" s="99" t="str">
        <f>IFERROR(__xludf.DUMMYFUNCTION("IFERROR(VLOOKUP(AS937,IMPORTRANGE(""https://docs.google.com/spreadsheets/d/1juPI-Fb8LD0YtltB2mlGEnp_R3UVu1t3wSFPzgCyHXE/edit?gid=0#gid=0"",""GERAL!A2:C""),3,0),""-"")"),"CAMPO")</f>
        <v>CAMPO</v>
      </c>
      <c r="Q937" s="101" t="s">
        <v>156</v>
      </c>
      <c r="R937" s="98">
        <v>6.0</v>
      </c>
      <c r="S937" s="98">
        <v>0.0</v>
      </c>
      <c r="T937" s="98">
        <v>0.0</v>
      </c>
      <c r="U937" s="98">
        <v>0.0</v>
      </c>
      <c r="V937" s="98">
        <v>0.0</v>
      </c>
      <c r="W937" s="98">
        <v>0.0</v>
      </c>
      <c r="X937" s="98">
        <v>0.0</v>
      </c>
      <c r="Y937" s="98">
        <v>0.0</v>
      </c>
      <c r="Z937" s="98">
        <v>0.0</v>
      </c>
      <c r="AA937" s="98">
        <v>0.0</v>
      </c>
      <c r="AB937" s="98">
        <v>0.0</v>
      </c>
      <c r="AC937" s="98">
        <v>1.0</v>
      </c>
      <c r="AD937" s="98">
        <v>0.0</v>
      </c>
      <c r="AE937" s="98">
        <v>0.0</v>
      </c>
      <c r="AF937" s="98">
        <v>0.0</v>
      </c>
      <c r="AG937" s="98">
        <v>0.0</v>
      </c>
      <c r="AH937" s="98">
        <v>0.0</v>
      </c>
      <c r="AI937" s="98">
        <v>0.0</v>
      </c>
      <c r="AJ937" s="98">
        <v>0.0</v>
      </c>
      <c r="AK937" s="98">
        <v>0.0</v>
      </c>
      <c r="AL937" s="98">
        <v>0.0</v>
      </c>
      <c r="AM937" s="98">
        <v>0.0</v>
      </c>
      <c r="AN937" s="98">
        <v>0.0</v>
      </c>
      <c r="AO937" s="98">
        <v>0.0</v>
      </c>
      <c r="AP937" s="98">
        <v>2.0</v>
      </c>
      <c r="AQ937" s="98" t="s">
        <v>4821</v>
      </c>
      <c r="AR937" s="102">
        <v>46245.0</v>
      </c>
      <c r="AS937" s="83">
        <v>1158157.0</v>
      </c>
    </row>
    <row r="938" ht="15.75" customHeight="1">
      <c r="A938" s="111" t="s">
        <v>1161</v>
      </c>
      <c r="B938" s="83" t="s">
        <v>2175</v>
      </c>
      <c r="C938" s="83" t="s">
        <v>68</v>
      </c>
      <c r="D938" s="112">
        <v>1176100.0</v>
      </c>
      <c r="E938" s="83"/>
      <c r="F938" s="83">
        <v>2.9344247E7</v>
      </c>
      <c r="G938" s="91" t="str">
        <f>IFERROR(__xludf.DUMMYFUNCTION("XLOOKUP(AS938,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 DO PIEMONTE DA DIAMANTINA II")</f>
        <v>CENTRO TERRITORIAL DE EDUCACAO PROFIS. DO PIEMONTE DA DIAMANTINA II</v>
      </c>
      <c r="H938" s="185" t="s">
        <v>4826</v>
      </c>
      <c r="I938" s="91" t="s">
        <v>4827</v>
      </c>
      <c r="J938" s="172" t="s">
        <v>4828</v>
      </c>
      <c r="K938" s="83" t="s">
        <v>150</v>
      </c>
      <c r="L938" s="83" t="s">
        <v>151</v>
      </c>
      <c r="M938" s="83" t="s">
        <v>230</v>
      </c>
      <c r="N938" s="98" t="s">
        <v>4829</v>
      </c>
      <c r="O938" s="98" t="s">
        <v>155</v>
      </c>
      <c r="P938" s="99" t="str">
        <f>IFERROR(__xludf.DUMMYFUNCTION("IFERROR(VLOOKUP(AS938,IMPORTRANGE(""https://docs.google.com/spreadsheets/d/1juPI-Fb8LD0YtltB2mlGEnp_R3UVu1t3wSFPzgCyHXE/edit?gid=0#gid=0"",""GERAL!A2:C""),3,0),""-"")"),"-")</f>
        <v>-</v>
      </c>
      <c r="Q938" s="101" t="s">
        <v>156</v>
      </c>
      <c r="R938" s="98">
        <v>20.0</v>
      </c>
      <c r="S938" s="98">
        <v>0.0</v>
      </c>
      <c r="T938" s="98">
        <v>0.0</v>
      </c>
      <c r="U938" s="98">
        <v>0.0</v>
      </c>
      <c r="V938" s="98">
        <v>1.0</v>
      </c>
      <c r="W938" s="98">
        <v>0.0</v>
      </c>
      <c r="X938" s="98">
        <v>0.0</v>
      </c>
      <c r="Y938" s="98">
        <v>0.0</v>
      </c>
      <c r="Z938" s="98">
        <v>0.0</v>
      </c>
      <c r="AA938" s="98">
        <v>0.0</v>
      </c>
      <c r="AB938" s="98">
        <v>0.0</v>
      </c>
      <c r="AC938" s="98">
        <v>1.0</v>
      </c>
      <c r="AD938" s="98">
        <v>0.0</v>
      </c>
      <c r="AE938" s="98">
        <v>0.0</v>
      </c>
      <c r="AF938" s="98">
        <v>1.0</v>
      </c>
      <c r="AG938" s="98">
        <v>0.0</v>
      </c>
      <c r="AH938" s="98">
        <v>0.0</v>
      </c>
      <c r="AI938" s="98">
        <v>0.0</v>
      </c>
      <c r="AJ938" s="98">
        <v>0.0</v>
      </c>
      <c r="AK938" s="98">
        <v>0.0</v>
      </c>
      <c r="AL938" s="98">
        <v>0.0</v>
      </c>
      <c r="AM938" s="98">
        <v>0.0</v>
      </c>
      <c r="AN938" s="98">
        <v>0.0</v>
      </c>
      <c r="AO938" s="98">
        <v>0.0</v>
      </c>
      <c r="AP938" s="98">
        <v>3.0</v>
      </c>
      <c r="AQ938" s="98" t="s">
        <v>4835</v>
      </c>
      <c r="AR938" s="102">
        <v>46245.0</v>
      </c>
      <c r="AS938" s="83">
        <v>1176100.0</v>
      </c>
    </row>
    <row r="939" ht="15.75" customHeight="1">
      <c r="A939" s="111" t="s">
        <v>1161</v>
      </c>
      <c r="B939" s="83" t="s">
        <v>2175</v>
      </c>
      <c r="C939" s="83" t="s">
        <v>164</v>
      </c>
      <c r="D939" s="112">
        <v>1158157.0</v>
      </c>
      <c r="E939" s="83">
        <v>1178713.0</v>
      </c>
      <c r="F939" s="83"/>
      <c r="G939" s="91" t="str">
        <f>IFERROR(__xludf.DUMMYFUNCTION("XLOOKUP(AS939,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JUNCO - DISTRITO ITAITU")</f>
        <v>ANEXO - COLÉGIO ESTADUAL DE JUNCO - DISTRITO ITAITU</v>
      </c>
      <c r="H939" s="184" t="s">
        <v>4840</v>
      </c>
      <c r="I939" s="91" t="s">
        <v>4841</v>
      </c>
      <c r="J939" s="83" t="s">
        <v>149</v>
      </c>
      <c r="K939" s="83" t="s">
        <v>464</v>
      </c>
      <c r="L939" s="83" t="s">
        <v>168</v>
      </c>
      <c r="M939" s="83" t="s">
        <v>169</v>
      </c>
      <c r="N939" s="115" t="s">
        <v>170</v>
      </c>
      <c r="O939" s="98" t="s">
        <v>155</v>
      </c>
      <c r="P939" s="99" t="str">
        <f>IFERROR(__xludf.DUMMYFUNCTION("IFERROR(VLOOKUP(AS939,IMPORTRANGE(""https://docs.google.com/spreadsheets/d/1juPI-Fb8LD0YtltB2mlGEnp_R3UVu1t3wSFPzgCyHXE/edit?gid=0#gid=0"",""GERAL!A2:C""),3,0),""-"")"),"CAMPO")</f>
        <v>CAMPO</v>
      </c>
      <c r="Q939" s="98" t="s">
        <v>171</v>
      </c>
      <c r="R939" s="98">
        <v>3.0</v>
      </c>
      <c r="S939" s="98" t="s">
        <v>171</v>
      </c>
      <c r="T939" s="98" t="s">
        <v>171</v>
      </c>
      <c r="U939" s="98" t="s">
        <v>171</v>
      </c>
      <c r="V939" s="98" t="s">
        <v>171</v>
      </c>
      <c r="W939" s="98" t="s">
        <v>171</v>
      </c>
      <c r="X939" s="98" t="s">
        <v>171</v>
      </c>
      <c r="Y939" s="98" t="s">
        <v>171</v>
      </c>
      <c r="Z939" s="98" t="s">
        <v>171</v>
      </c>
      <c r="AA939" s="98" t="s">
        <v>171</v>
      </c>
      <c r="AB939" s="98" t="s">
        <v>171</v>
      </c>
      <c r="AC939" s="98" t="s">
        <v>171</v>
      </c>
      <c r="AD939" s="98" t="s">
        <v>171</v>
      </c>
      <c r="AE939" s="98" t="s">
        <v>171</v>
      </c>
      <c r="AF939" s="98" t="s">
        <v>171</v>
      </c>
      <c r="AG939" s="98" t="s">
        <v>171</v>
      </c>
      <c r="AH939" s="98" t="s">
        <v>171</v>
      </c>
      <c r="AI939" s="98" t="s">
        <v>171</v>
      </c>
      <c r="AJ939" s="98" t="s">
        <v>171</v>
      </c>
      <c r="AK939" s="98" t="s">
        <v>171</v>
      </c>
      <c r="AL939" s="98" t="s">
        <v>171</v>
      </c>
      <c r="AM939" s="98" t="s">
        <v>171</v>
      </c>
      <c r="AN939" s="98" t="s">
        <v>171</v>
      </c>
      <c r="AO939" s="98" t="s">
        <v>171</v>
      </c>
      <c r="AP939" s="98" t="s">
        <v>171</v>
      </c>
      <c r="AQ939" s="98" t="s">
        <v>171</v>
      </c>
      <c r="AR939" s="102">
        <v>46245.0</v>
      </c>
      <c r="AS939" s="83">
        <v>1178713.0</v>
      </c>
    </row>
    <row r="940" ht="15.75" customHeight="1">
      <c r="A940" s="111" t="s">
        <v>1161</v>
      </c>
      <c r="B940" s="83" t="s">
        <v>2175</v>
      </c>
      <c r="C940" s="83" t="s">
        <v>164</v>
      </c>
      <c r="D940" s="98">
        <v>1179840.0</v>
      </c>
      <c r="E940" s="83">
        <v>1178712.0</v>
      </c>
      <c r="F940" s="83"/>
      <c r="G940" s="91" t="str">
        <f>IFERROR(__xludf.DUMMYFUNCTION("XLOOKUP(AS940,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COLEGIO ESTADUAL DO CAMPO DA CAATINGA DO MOURA  - DISTRITO LAGES DO BATATA - QUILOMBOLA")</f>
        <v>ANEXO - COLEGIO ESTADUAL DO CAMPO DA CAATINGA DO MOURA  - DISTRITO LAGES DO BATATA - QUILOMBOLA</v>
      </c>
      <c r="H940" s="184" t="s">
        <v>4850</v>
      </c>
      <c r="I940" s="91" t="s">
        <v>4851</v>
      </c>
      <c r="J940" s="172" t="s">
        <v>4852</v>
      </c>
      <c r="K940" s="83" t="s">
        <v>822</v>
      </c>
      <c r="L940" s="83" t="s">
        <v>168</v>
      </c>
      <c r="M940" s="83" t="s">
        <v>169</v>
      </c>
      <c r="N940" s="115" t="s">
        <v>170</v>
      </c>
      <c r="O940" s="98" t="s">
        <v>155</v>
      </c>
      <c r="P940" s="99" t="str">
        <f>IFERROR(__xludf.DUMMYFUNCTION("IFERROR(VLOOKUP(AS940,IMPORTRANGE(""https://docs.google.com/spreadsheets/d/1juPI-Fb8LD0YtltB2mlGEnp_R3UVu1t3wSFPzgCyHXE/edit?gid=0#gid=0"",""GERAL!A2:C""),3,0),""-"")"),"QUILOMBOLAS")</f>
        <v>QUILOMBOLAS</v>
      </c>
      <c r="Q940" s="101" t="s">
        <v>156</v>
      </c>
      <c r="R940" s="98">
        <v>3.0</v>
      </c>
      <c r="S940" s="98" t="s">
        <v>171</v>
      </c>
      <c r="T940" s="98" t="s">
        <v>171</v>
      </c>
      <c r="U940" s="98" t="s">
        <v>171</v>
      </c>
      <c r="V940" s="98" t="s">
        <v>171</v>
      </c>
      <c r="W940" s="98" t="s">
        <v>171</v>
      </c>
      <c r="X940" s="98" t="s">
        <v>171</v>
      </c>
      <c r="Y940" s="98" t="s">
        <v>171</v>
      </c>
      <c r="Z940" s="98" t="s">
        <v>171</v>
      </c>
      <c r="AA940" s="98" t="s">
        <v>171</v>
      </c>
      <c r="AB940" s="98" t="s">
        <v>171</v>
      </c>
      <c r="AC940" s="98" t="s">
        <v>171</v>
      </c>
      <c r="AD940" s="98" t="s">
        <v>171</v>
      </c>
      <c r="AE940" s="98" t="s">
        <v>171</v>
      </c>
      <c r="AF940" s="98" t="s">
        <v>171</v>
      </c>
      <c r="AG940" s="98" t="s">
        <v>171</v>
      </c>
      <c r="AH940" s="98" t="s">
        <v>171</v>
      </c>
      <c r="AI940" s="98" t="s">
        <v>171</v>
      </c>
      <c r="AJ940" s="98" t="s">
        <v>171</v>
      </c>
      <c r="AK940" s="98" t="s">
        <v>171</v>
      </c>
      <c r="AL940" s="98" t="s">
        <v>171</v>
      </c>
      <c r="AM940" s="98" t="s">
        <v>171</v>
      </c>
      <c r="AN940" s="98" t="s">
        <v>171</v>
      </c>
      <c r="AO940" s="98" t="s">
        <v>171</v>
      </c>
      <c r="AP940" s="98" t="s">
        <v>171</v>
      </c>
      <c r="AQ940" s="98" t="s">
        <v>171</v>
      </c>
      <c r="AR940" s="102">
        <v>46245.0</v>
      </c>
      <c r="AS940" s="83">
        <v>1178712.0</v>
      </c>
    </row>
    <row r="941" ht="15.75" customHeight="1">
      <c r="A941" s="111" t="s">
        <v>1161</v>
      </c>
      <c r="B941" s="83" t="s">
        <v>4859</v>
      </c>
      <c r="C941" s="83" t="s">
        <v>68</v>
      </c>
      <c r="D941" s="112">
        <v>1178026.0</v>
      </c>
      <c r="E941" s="83"/>
      <c r="F941" s="83">
        <v>2.942553E7</v>
      </c>
      <c r="G941" s="91" t="str">
        <f>IFERROR(__xludf.DUMMYFUNCTION("XLOOKUP(AS941,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NOSSA SENHORA DA CONCEIÇÃO")</f>
        <v>COLÉGIO ESTADUAL DE TEMPO INTEGRAL NOSSA SENHORA DA CONCEIÇÃO</v>
      </c>
      <c r="H941" s="119" t="s">
        <v>4861</v>
      </c>
      <c r="I941" s="91" t="s">
        <v>4862</v>
      </c>
      <c r="J941" s="172" t="s">
        <v>149</v>
      </c>
      <c r="K941" s="83" t="s">
        <v>150</v>
      </c>
      <c r="L941" s="83" t="s">
        <v>151</v>
      </c>
      <c r="M941" s="83" t="s">
        <v>152</v>
      </c>
      <c r="N941" s="98" t="s">
        <v>4863</v>
      </c>
      <c r="O941" s="98" t="s">
        <v>155</v>
      </c>
      <c r="P941" s="99" t="str">
        <f>IFERROR(__xludf.DUMMYFUNCTION("IFERROR(VLOOKUP(AS941,IMPORTRANGE(""https://docs.google.com/spreadsheets/d/1juPI-Fb8LD0YtltB2mlGEnp_R3UVu1t3wSFPzgCyHXE/edit?gid=0#gid=0"",""GERAL!A2:C""),3,0),""-"")"),"-")</f>
        <v>-</v>
      </c>
      <c r="Q941" s="101" t="s">
        <v>156</v>
      </c>
      <c r="R941" s="98">
        <v>6.0</v>
      </c>
      <c r="S941" s="98">
        <v>0.0</v>
      </c>
      <c r="T941" s="98">
        <v>0.0</v>
      </c>
      <c r="U941" s="98">
        <v>0.0</v>
      </c>
      <c r="V941" s="98">
        <v>0.0</v>
      </c>
      <c r="W941" s="98">
        <v>0.0</v>
      </c>
      <c r="X941" s="98">
        <v>0.0</v>
      </c>
      <c r="Y941" s="98">
        <v>0.0</v>
      </c>
      <c r="Z941" s="98">
        <v>0.0</v>
      </c>
      <c r="AA941" s="98">
        <v>1.0</v>
      </c>
      <c r="AB941" s="98">
        <v>0.0</v>
      </c>
      <c r="AC941" s="98">
        <v>0.0</v>
      </c>
      <c r="AD941" s="98">
        <v>0.0</v>
      </c>
      <c r="AE941" s="98">
        <v>0.0</v>
      </c>
      <c r="AF941" s="98">
        <v>0.0</v>
      </c>
      <c r="AG941" s="98">
        <v>1.0</v>
      </c>
      <c r="AH941" s="98">
        <v>0.0</v>
      </c>
      <c r="AI941" s="98">
        <v>0.0</v>
      </c>
      <c r="AJ941" s="98">
        <v>0.0</v>
      </c>
      <c r="AK941" s="98">
        <v>0.0</v>
      </c>
      <c r="AL941" s="98">
        <v>0.0</v>
      </c>
      <c r="AM941" s="98">
        <v>0.0</v>
      </c>
      <c r="AN941" s="98">
        <v>0.0</v>
      </c>
      <c r="AO941" s="98">
        <v>0.0</v>
      </c>
      <c r="AP941" s="98">
        <v>4.0</v>
      </c>
      <c r="AQ941" s="98" t="s">
        <v>4870</v>
      </c>
      <c r="AR941" s="102">
        <v>46262.0</v>
      </c>
      <c r="AS941" s="83">
        <v>1178026.0</v>
      </c>
    </row>
    <row r="942" ht="15.75" customHeight="1">
      <c r="A942" s="111" t="s">
        <v>1161</v>
      </c>
      <c r="B942" s="83" t="s">
        <v>4859</v>
      </c>
      <c r="C942" s="83" t="s">
        <v>68</v>
      </c>
      <c r="D942" s="112">
        <v>1122144.0</v>
      </c>
      <c r="E942" s="83"/>
      <c r="F942" s="83">
        <v>2.9073014E7</v>
      </c>
      <c r="G942" s="91" t="str">
        <f>IFERROR(__xludf.DUMMYFUNCTION("XLOOKUP(AS942,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MIGUEL CALMON (ANTIGO POLIVALENTE)")</f>
        <v>COLÉGIO ESTADUAL DE TEMPO INTEGRAL DE MIGUEL CALMON (ANTIGO POLIVALENTE)</v>
      </c>
      <c r="H942" s="119" t="s">
        <v>4876</v>
      </c>
      <c r="I942" s="91" t="s">
        <v>4877</v>
      </c>
      <c r="J942" s="136" t="s">
        <v>149</v>
      </c>
      <c r="K942" s="136" t="s">
        <v>150</v>
      </c>
      <c r="L942" s="136" t="s">
        <v>151</v>
      </c>
      <c r="M942" s="136" t="s">
        <v>152</v>
      </c>
      <c r="N942" s="98" t="s">
        <v>4878</v>
      </c>
      <c r="O942" s="98" t="s">
        <v>176</v>
      </c>
      <c r="P942" s="99" t="str">
        <f>IFERROR(__xludf.DUMMYFUNCTION("IFERROR(VLOOKUP(AS942,IMPORTRANGE(""https://docs.google.com/spreadsheets/d/1juPI-Fb8LD0YtltB2mlGEnp_R3UVu1t3wSFPzgCyHXE/edit?gid=0#gid=0"",""GERAL!A2:C""),3,0),""-"")"),"-")</f>
        <v>-</v>
      </c>
      <c r="Q942" s="101" t="s">
        <v>156</v>
      </c>
      <c r="R942" s="98">
        <v>10.0</v>
      </c>
      <c r="S942" s="98">
        <v>1.0</v>
      </c>
      <c r="T942" s="98">
        <v>3.0</v>
      </c>
      <c r="U942" s="98">
        <v>0.0</v>
      </c>
      <c r="V942" s="98">
        <v>0.0</v>
      </c>
      <c r="W942" s="98">
        <v>0.0</v>
      </c>
      <c r="X942" s="98">
        <v>1.0</v>
      </c>
      <c r="Y942" s="98">
        <v>0.0</v>
      </c>
      <c r="Z942" s="98">
        <v>1.0</v>
      </c>
      <c r="AA942" s="98">
        <v>0.0</v>
      </c>
      <c r="AB942" s="98">
        <v>1.0</v>
      </c>
      <c r="AC942" s="98">
        <v>0.0</v>
      </c>
      <c r="AD942" s="98">
        <v>0.0</v>
      </c>
      <c r="AE942" s="98">
        <v>0.0</v>
      </c>
      <c r="AF942" s="98">
        <v>1.0</v>
      </c>
      <c r="AG942" s="98">
        <v>0.0</v>
      </c>
      <c r="AH942" s="98">
        <v>0.0</v>
      </c>
      <c r="AI942" s="98">
        <v>0.0</v>
      </c>
      <c r="AJ942" s="98">
        <v>0.0</v>
      </c>
      <c r="AK942" s="98">
        <v>1.0</v>
      </c>
      <c r="AL942" s="98">
        <v>0.0</v>
      </c>
      <c r="AM942" s="98">
        <v>0.0</v>
      </c>
      <c r="AN942" s="98">
        <v>0.0</v>
      </c>
      <c r="AO942" s="98">
        <v>0.0</v>
      </c>
      <c r="AP942" s="98">
        <v>1.0</v>
      </c>
      <c r="AQ942" s="98" t="s">
        <v>4887</v>
      </c>
      <c r="AR942" s="102">
        <v>46262.0</v>
      </c>
      <c r="AS942" s="83">
        <v>1122144.0</v>
      </c>
    </row>
    <row r="943" ht="15.75" customHeight="1">
      <c r="A943" s="111" t="s">
        <v>1161</v>
      </c>
      <c r="B943" s="83" t="s">
        <v>4859</v>
      </c>
      <c r="C943" s="83" t="s">
        <v>164</v>
      </c>
      <c r="D943" s="112">
        <v>1178026.0</v>
      </c>
      <c r="E943" s="83">
        <v>1178714.0</v>
      </c>
      <c r="F943" s="83"/>
      <c r="G943" s="91" t="str">
        <f>IFERROR(__xludf.DUMMYFUNCTION("XLOOKUP(AS943,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NOSSA SENHORA DA CONCEIÇÃO - DISTRITO DE TAPIRANGA")</f>
        <v>ANEXO - COLÉGIO ESTADUAL NOSSA SENHORA DA CONCEIÇÃO - DISTRITO DE TAPIRANGA</v>
      </c>
      <c r="H943" s="114" t="s">
        <v>4889</v>
      </c>
      <c r="I943" s="91" t="s">
        <v>4890</v>
      </c>
      <c r="J943" s="172" t="s">
        <v>149</v>
      </c>
      <c r="K943" s="83" t="s">
        <v>187</v>
      </c>
      <c r="L943" s="83" t="s">
        <v>168</v>
      </c>
      <c r="M943" s="83" t="s">
        <v>169</v>
      </c>
      <c r="N943" s="115" t="s">
        <v>170</v>
      </c>
      <c r="O943" s="98" t="s">
        <v>155</v>
      </c>
      <c r="P943" s="99" t="str">
        <f>IFERROR(__xludf.DUMMYFUNCTION("IFERROR(VLOOKUP(AS943,IMPORTRANGE(""https://docs.google.com/spreadsheets/d/1juPI-Fb8LD0YtltB2mlGEnp_R3UVu1t3wSFPzgCyHXE/edit?gid=0#gid=0"",""GERAL!A2:C""),3,0),""-"")"),"CAMPO")</f>
        <v>CAMPO</v>
      </c>
      <c r="Q943" s="98" t="s">
        <v>171</v>
      </c>
      <c r="R943" s="98">
        <v>3.0</v>
      </c>
      <c r="S943" s="98" t="s">
        <v>171</v>
      </c>
      <c r="T943" s="98" t="s">
        <v>171</v>
      </c>
      <c r="U943" s="98" t="s">
        <v>171</v>
      </c>
      <c r="V943" s="98" t="s">
        <v>171</v>
      </c>
      <c r="W943" s="98" t="s">
        <v>171</v>
      </c>
      <c r="X943" s="98" t="s">
        <v>171</v>
      </c>
      <c r="Y943" s="98" t="s">
        <v>171</v>
      </c>
      <c r="Z943" s="98" t="s">
        <v>171</v>
      </c>
      <c r="AA943" s="98" t="s">
        <v>171</v>
      </c>
      <c r="AB943" s="98" t="s">
        <v>171</v>
      </c>
      <c r="AC943" s="98" t="s">
        <v>171</v>
      </c>
      <c r="AD943" s="98" t="s">
        <v>171</v>
      </c>
      <c r="AE943" s="98" t="s">
        <v>171</v>
      </c>
      <c r="AF943" s="98" t="s">
        <v>171</v>
      </c>
      <c r="AG943" s="98" t="s">
        <v>171</v>
      </c>
      <c r="AH943" s="98" t="s">
        <v>171</v>
      </c>
      <c r="AI943" s="98" t="s">
        <v>171</v>
      </c>
      <c r="AJ943" s="98" t="s">
        <v>171</v>
      </c>
      <c r="AK943" s="98" t="s">
        <v>171</v>
      </c>
      <c r="AL943" s="98" t="s">
        <v>171</v>
      </c>
      <c r="AM943" s="98" t="s">
        <v>171</v>
      </c>
      <c r="AN943" s="98" t="s">
        <v>171</v>
      </c>
      <c r="AO943" s="98" t="s">
        <v>171</v>
      </c>
      <c r="AP943" s="98" t="s">
        <v>171</v>
      </c>
      <c r="AQ943" s="98" t="s">
        <v>171</v>
      </c>
      <c r="AR943" s="102">
        <v>46262.0</v>
      </c>
      <c r="AS943" s="83">
        <v>1178714.0</v>
      </c>
    </row>
    <row r="944" ht="15.75" customHeight="1">
      <c r="A944" s="111" t="s">
        <v>1161</v>
      </c>
      <c r="B944" s="83" t="s">
        <v>4895</v>
      </c>
      <c r="C944" s="83" t="s">
        <v>68</v>
      </c>
      <c r="D944" s="112">
        <v>1122365.0</v>
      </c>
      <c r="E944" s="83"/>
      <c r="F944" s="83">
        <v>2.9073324E7</v>
      </c>
      <c r="G944" s="91" t="str">
        <f>IFERROR(__xludf.DUMMYFUNCTION("XLOOKUP(AS944,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SOROR JOANA ANGÉLICA")</f>
        <v>COLÉGIO ESTADUAL DE TEMPO INTEGRAL SOROR JOANA ANGÉLICA</v>
      </c>
      <c r="H944" s="184" t="s">
        <v>4896</v>
      </c>
      <c r="I944" s="91" t="s">
        <v>4897</v>
      </c>
      <c r="J944" s="83" t="s">
        <v>149</v>
      </c>
      <c r="K944" s="83" t="s">
        <v>150</v>
      </c>
      <c r="L944" s="83" t="s">
        <v>151</v>
      </c>
      <c r="M944" s="83" t="s">
        <v>152</v>
      </c>
      <c r="N944" s="98" t="s">
        <v>4898</v>
      </c>
      <c r="O944" s="98" t="s">
        <v>155</v>
      </c>
      <c r="P944" s="99" t="str">
        <f>IFERROR(__xludf.DUMMYFUNCTION("IFERROR(VLOOKUP(AS944,IMPORTRANGE(""https://docs.google.com/spreadsheets/d/1juPI-Fb8LD0YtltB2mlGEnp_R3UVu1t3wSFPzgCyHXE/edit?gid=0#gid=0"",""GERAL!A2:C""),3,0),""-"")"),"-")</f>
        <v>-</v>
      </c>
      <c r="Q944" s="101" t="s">
        <v>156</v>
      </c>
      <c r="R944" s="98">
        <v>7.0</v>
      </c>
      <c r="S944" s="98">
        <v>0.0</v>
      </c>
      <c r="T944" s="98">
        <v>0.0</v>
      </c>
      <c r="U944" s="98">
        <v>0.0</v>
      </c>
      <c r="V944" s="98">
        <v>1.0</v>
      </c>
      <c r="W944" s="98">
        <v>1.0</v>
      </c>
      <c r="X944" s="98">
        <v>1.0</v>
      </c>
      <c r="Y944" s="98">
        <v>0.0</v>
      </c>
      <c r="Z944" s="98">
        <v>0.0</v>
      </c>
      <c r="AA944" s="98">
        <v>0.0</v>
      </c>
      <c r="AB944" s="98">
        <v>0.0</v>
      </c>
      <c r="AC944" s="98">
        <v>0.0</v>
      </c>
      <c r="AD944" s="98">
        <v>0.0</v>
      </c>
      <c r="AE944" s="98">
        <v>0.0</v>
      </c>
      <c r="AF944" s="98">
        <v>1.0</v>
      </c>
      <c r="AG944" s="98">
        <v>0.0</v>
      </c>
      <c r="AH944" s="98">
        <v>0.0</v>
      </c>
      <c r="AI944" s="98">
        <v>0.0</v>
      </c>
      <c r="AJ944" s="98">
        <v>0.0</v>
      </c>
      <c r="AK944" s="98">
        <v>0.0</v>
      </c>
      <c r="AL944" s="98">
        <v>0.0</v>
      </c>
      <c r="AM944" s="98">
        <v>0.0</v>
      </c>
      <c r="AN944" s="98">
        <v>0.0</v>
      </c>
      <c r="AO944" s="98">
        <v>0.0</v>
      </c>
      <c r="AP944" s="98">
        <v>1.0</v>
      </c>
      <c r="AQ944" s="98" t="s">
        <v>2584</v>
      </c>
      <c r="AR944" s="102">
        <v>46238.0</v>
      </c>
      <c r="AS944" s="83">
        <v>1122365.0</v>
      </c>
    </row>
    <row r="945" ht="15.75" customHeight="1">
      <c r="A945" s="111" t="s">
        <v>1161</v>
      </c>
      <c r="B945" s="83" t="s">
        <v>4895</v>
      </c>
      <c r="C945" s="83" t="s">
        <v>164</v>
      </c>
      <c r="D945" s="112">
        <v>1122365.0</v>
      </c>
      <c r="E945" s="83">
        <v>1178715.0</v>
      </c>
      <c r="F945" s="83">
        <v>2.9073324E7</v>
      </c>
      <c r="G945" s="91" t="str">
        <f>IFERROR(__xludf.DUMMYFUNCTION("XLOOKUP(AS945,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SOROR JOANA ANGÉLICA - DISTRITO TAQUARANDI")</f>
        <v>ANEXO - COLÉGIO ESTADUAL DE TEMPO INTEGRAL SOROR JOANA ANGÉLICA - DISTRITO TAQUARANDI</v>
      </c>
      <c r="H945" s="184" t="s">
        <v>4910</v>
      </c>
      <c r="I945" s="91" t="s">
        <v>4911</v>
      </c>
      <c r="J945" s="83" t="s">
        <v>4916</v>
      </c>
      <c r="K945" s="83" t="s">
        <v>240</v>
      </c>
      <c r="L945" s="83" t="s">
        <v>151</v>
      </c>
      <c r="M945" s="83" t="s">
        <v>169</v>
      </c>
      <c r="N945" s="115" t="s">
        <v>170</v>
      </c>
      <c r="O945" s="98" t="s">
        <v>155</v>
      </c>
      <c r="P945" s="99" t="str">
        <f>IFERROR(__xludf.DUMMYFUNCTION("IFERROR(VLOOKUP(AS945,IMPORTRANGE(""https://docs.google.com/spreadsheets/d/1juPI-Fb8LD0YtltB2mlGEnp_R3UVu1t3wSFPzgCyHXE/edit?gid=0#gid=0"",""GERAL!A2:C""),3,0),""-"")"),"CAMPO")</f>
        <v>CAMPO</v>
      </c>
      <c r="Q945" s="98" t="s">
        <v>171</v>
      </c>
      <c r="R945" s="98">
        <v>3.0</v>
      </c>
      <c r="S945" s="98" t="s">
        <v>171</v>
      </c>
      <c r="T945" s="98" t="s">
        <v>171</v>
      </c>
      <c r="U945" s="98" t="s">
        <v>171</v>
      </c>
      <c r="V945" s="98" t="s">
        <v>171</v>
      </c>
      <c r="W945" s="98" t="s">
        <v>171</v>
      </c>
      <c r="X945" s="98" t="s">
        <v>171</v>
      </c>
      <c r="Y945" s="98" t="s">
        <v>171</v>
      </c>
      <c r="Z945" s="98" t="s">
        <v>171</v>
      </c>
      <c r="AA945" s="98" t="s">
        <v>171</v>
      </c>
      <c r="AB945" s="98" t="s">
        <v>171</v>
      </c>
      <c r="AC945" s="98" t="s">
        <v>171</v>
      </c>
      <c r="AD945" s="98" t="s">
        <v>171</v>
      </c>
      <c r="AE945" s="98" t="s">
        <v>171</v>
      </c>
      <c r="AF945" s="98" t="s">
        <v>171</v>
      </c>
      <c r="AG945" s="98" t="s">
        <v>171</v>
      </c>
      <c r="AH945" s="98" t="s">
        <v>171</v>
      </c>
      <c r="AI945" s="98" t="s">
        <v>171</v>
      </c>
      <c r="AJ945" s="98" t="s">
        <v>171</v>
      </c>
      <c r="AK945" s="98" t="s">
        <v>171</v>
      </c>
      <c r="AL945" s="98" t="s">
        <v>171</v>
      </c>
      <c r="AM945" s="98" t="s">
        <v>171</v>
      </c>
      <c r="AN945" s="98" t="s">
        <v>171</v>
      </c>
      <c r="AO945" s="98" t="s">
        <v>171</v>
      </c>
      <c r="AP945" s="98" t="s">
        <v>171</v>
      </c>
      <c r="AQ945" s="98" t="s">
        <v>171</v>
      </c>
      <c r="AR945" s="102">
        <v>46238.0</v>
      </c>
      <c r="AS945" s="83">
        <v>1178715.0</v>
      </c>
    </row>
    <row r="946" ht="15.75" customHeight="1">
      <c r="A946" s="111" t="s">
        <v>1161</v>
      </c>
      <c r="B946" s="83" t="s">
        <v>4895</v>
      </c>
      <c r="C946" s="83" t="s">
        <v>164</v>
      </c>
      <c r="D946" s="112">
        <v>1122365.0</v>
      </c>
      <c r="E946" s="83">
        <v>1179473.0</v>
      </c>
      <c r="F946" s="83">
        <v>2.9073324E7</v>
      </c>
      <c r="G946" s="91" t="str">
        <f>IFERROR(__xludf.DUMMYFUNCTION("XLOOKUP(AS946,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SOROR JOANA ANGÉLICA - DISTRITO SUSSUARANA")</f>
        <v>ANEXO - COLÉGIO ESTADUAL DE TEMPO INTEGRAL SOROR JOANA ANGÉLICA - DISTRITO SUSSUARANA</v>
      </c>
      <c r="H946" s="184" t="s">
        <v>4919</v>
      </c>
      <c r="I946" s="91" t="s">
        <v>4922</v>
      </c>
      <c r="J946" s="83" t="s">
        <v>4283</v>
      </c>
      <c r="K946" s="83" t="s">
        <v>2492</v>
      </c>
      <c r="L946" s="83" t="s">
        <v>168</v>
      </c>
      <c r="M946" s="83" t="s">
        <v>169</v>
      </c>
      <c r="N946" s="115" t="s">
        <v>170</v>
      </c>
      <c r="O946" s="98" t="s">
        <v>155</v>
      </c>
      <c r="P946" s="99" t="str">
        <f>IFERROR(__xludf.DUMMYFUNCTION("IFERROR(VLOOKUP(AS946,IMPORTRANGE(""https://docs.google.com/spreadsheets/d/1juPI-Fb8LD0YtltB2mlGEnp_R3UVu1t3wSFPzgCyHXE/edit?gid=0#gid=0"",""GERAL!A2:C""),3,0),""-"")"),"CAMPO")</f>
        <v>CAMPO</v>
      </c>
      <c r="Q946" s="98" t="s">
        <v>171</v>
      </c>
      <c r="R946" s="98">
        <v>2.0</v>
      </c>
      <c r="S946" s="98" t="s">
        <v>171</v>
      </c>
      <c r="T946" s="98" t="s">
        <v>171</v>
      </c>
      <c r="U946" s="98" t="s">
        <v>171</v>
      </c>
      <c r="V946" s="98" t="s">
        <v>171</v>
      </c>
      <c r="W946" s="98" t="s">
        <v>171</v>
      </c>
      <c r="X946" s="98" t="s">
        <v>171</v>
      </c>
      <c r="Y946" s="98" t="s">
        <v>171</v>
      </c>
      <c r="Z946" s="98" t="s">
        <v>171</v>
      </c>
      <c r="AA946" s="98" t="s">
        <v>171</v>
      </c>
      <c r="AB946" s="98" t="s">
        <v>171</v>
      </c>
      <c r="AC946" s="98" t="s">
        <v>171</v>
      </c>
      <c r="AD946" s="98" t="s">
        <v>171</v>
      </c>
      <c r="AE946" s="98" t="s">
        <v>171</v>
      </c>
      <c r="AF946" s="98" t="s">
        <v>171</v>
      </c>
      <c r="AG946" s="98" t="s">
        <v>171</v>
      </c>
      <c r="AH946" s="98" t="s">
        <v>171</v>
      </c>
      <c r="AI946" s="98" t="s">
        <v>171</v>
      </c>
      <c r="AJ946" s="98" t="s">
        <v>171</v>
      </c>
      <c r="AK946" s="98" t="s">
        <v>171</v>
      </c>
      <c r="AL946" s="98" t="s">
        <v>171</v>
      </c>
      <c r="AM946" s="98" t="s">
        <v>171</v>
      </c>
      <c r="AN946" s="98" t="s">
        <v>171</v>
      </c>
      <c r="AO946" s="98" t="s">
        <v>171</v>
      </c>
      <c r="AP946" s="98" t="s">
        <v>171</v>
      </c>
      <c r="AQ946" s="98" t="s">
        <v>171</v>
      </c>
      <c r="AR946" s="102">
        <v>46238.0</v>
      </c>
      <c r="AS946" s="83">
        <v>1179473.0</v>
      </c>
    </row>
    <row r="947" ht="15.75" customHeight="1">
      <c r="A947" s="111" t="s">
        <v>1161</v>
      </c>
      <c r="B947" s="83" t="s">
        <v>4895</v>
      </c>
      <c r="C947" s="83" t="s">
        <v>164</v>
      </c>
      <c r="D947" s="112">
        <v>1122365.0</v>
      </c>
      <c r="E947" s="83">
        <v>1179278.0</v>
      </c>
      <c r="F947" s="83">
        <v>2.9073324E7</v>
      </c>
      <c r="G947" s="91" t="str">
        <f>IFERROR(__xludf.DUMMYFUNCTION("XLOOKUP(AS947,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SOROR JOANA ANGÉLICA - DISTRITO DE NUGUACU - COMUNIDADE QUILOMBOLA")</f>
        <v>ANEXO - COLÉGIO ESTADUAL DE TEMPO INTEGRAL SOROR JOANA ANGÉLICA - DISTRITO DE NUGUACU - COMUNIDADE QUILOMBOLA</v>
      </c>
      <c r="H947" s="184" t="s">
        <v>4931</v>
      </c>
      <c r="I947" s="91" t="s">
        <v>4932</v>
      </c>
      <c r="J947" s="83" t="s">
        <v>4933</v>
      </c>
      <c r="K947" s="83" t="s">
        <v>209</v>
      </c>
      <c r="L947" s="83" t="s">
        <v>168</v>
      </c>
      <c r="M947" s="83" t="s">
        <v>169</v>
      </c>
      <c r="N947" s="115" t="s">
        <v>170</v>
      </c>
      <c r="O947" s="98" t="s">
        <v>155</v>
      </c>
      <c r="P947" s="99" t="str">
        <f>IFERROR(__xludf.DUMMYFUNCTION("IFERROR(VLOOKUP(AS947,IMPORTRANGE(""https://docs.google.com/spreadsheets/d/1juPI-Fb8LD0YtltB2mlGEnp_R3UVu1t3wSFPzgCyHXE/edit?gid=0#gid=0"",""GERAL!A2:C""),3,0),""-"")"),"QUILOMBOLAS")</f>
        <v>QUILOMBOLAS</v>
      </c>
      <c r="Q947" s="98" t="s">
        <v>171</v>
      </c>
      <c r="R947" s="98">
        <v>3.0</v>
      </c>
      <c r="S947" s="98" t="s">
        <v>171</v>
      </c>
      <c r="T947" s="98" t="s">
        <v>171</v>
      </c>
      <c r="U947" s="98" t="s">
        <v>171</v>
      </c>
      <c r="V947" s="98" t="s">
        <v>171</v>
      </c>
      <c r="W947" s="98" t="s">
        <v>171</v>
      </c>
      <c r="X947" s="98" t="s">
        <v>171</v>
      </c>
      <c r="Y947" s="98" t="s">
        <v>171</v>
      </c>
      <c r="Z947" s="98" t="s">
        <v>171</v>
      </c>
      <c r="AA947" s="98" t="s">
        <v>171</v>
      </c>
      <c r="AB947" s="98" t="s">
        <v>171</v>
      </c>
      <c r="AC947" s="98" t="s">
        <v>171</v>
      </c>
      <c r="AD947" s="98" t="s">
        <v>171</v>
      </c>
      <c r="AE947" s="98" t="s">
        <v>171</v>
      </c>
      <c r="AF947" s="98" t="s">
        <v>171</v>
      </c>
      <c r="AG947" s="98" t="s">
        <v>171</v>
      </c>
      <c r="AH947" s="98" t="s">
        <v>171</v>
      </c>
      <c r="AI947" s="98" t="s">
        <v>171</v>
      </c>
      <c r="AJ947" s="98" t="s">
        <v>171</v>
      </c>
      <c r="AK947" s="98" t="s">
        <v>171</v>
      </c>
      <c r="AL947" s="98" t="s">
        <v>171</v>
      </c>
      <c r="AM947" s="98" t="s">
        <v>171</v>
      </c>
      <c r="AN947" s="98" t="s">
        <v>171</v>
      </c>
      <c r="AO947" s="98" t="s">
        <v>171</v>
      </c>
      <c r="AP947" s="98" t="s">
        <v>171</v>
      </c>
      <c r="AQ947" s="98" t="s">
        <v>171</v>
      </c>
      <c r="AR947" s="102">
        <v>46238.0</v>
      </c>
      <c r="AS947" s="83">
        <v>1179278.0</v>
      </c>
    </row>
    <row r="948" ht="15.75" customHeight="1">
      <c r="A948" s="111" t="s">
        <v>1161</v>
      </c>
      <c r="B948" s="83" t="s">
        <v>4895</v>
      </c>
      <c r="C948" s="83" t="s">
        <v>164</v>
      </c>
      <c r="D948" s="112">
        <v>1122365.0</v>
      </c>
      <c r="E948" s="83">
        <v>1179472.0</v>
      </c>
      <c r="F948" s="98">
        <v>2.9073324E7</v>
      </c>
      <c r="G948" s="91" t="str">
        <f>IFERROR(__xludf.DUMMYFUNCTION("XLOOKUP(AS948,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SOROR JOANA ANGÉLICA - DISTRITO DE CANABRAVA")</f>
        <v>ANEXO - COLÉGIO ESTADUAL DE TEMPO INTEGRAL SOROR JOANA ANGÉLICA - DISTRITO DE CANABRAVA</v>
      </c>
      <c r="H948" s="119" t="s">
        <v>4941</v>
      </c>
      <c r="I948" s="108" t="s">
        <v>4942</v>
      </c>
      <c r="J948" s="98" t="s">
        <v>4943</v>
      </c>
      <c r="K948" s="83"/>
      <c r="L948" s="83" t="s">
        <v>168</v>
      </c>
      <c r="M948" s="83" t="s">
        <v>169</v>
      </c>
      <c r="N948" s="115" t="s">
        <v>170</v>
      </c>
      <c r="O948" s="98"/>
      <c r="P948" s="99" t="str">
        <f>IFERROR(__xludf.DUMMYFUNCTION("IFERROR(VLOOKUP(AS948,IMPORTRANGE(""https://docs.google.com/spreadsheets/d/1juPI-Fb8LD0YtltB2mlGEnp_R3UVu1t3wSFPzgCyHXE/edit?gid=0#gid=0"",""GERAL!A2:C""),3,0),""-"")"),"-")</f>
        <v>-</v>
      </c>
      <c r="Q948" s="98" t="s">
        <v>171</v>
      </c>
      <c r="R948" s="98" t="s">
        <v>171</v>
      </c>
      <c r="S948" s="98" t="s">
        <v>171</v>
      </c>
      <c r="T948" s="98" t="s">
        <v>171</v>
      </c>
      <c r="U948" s="98" t="s">
        <v>171</v>
      </c>
      <c r="V948" s="98" t="s">
        <v>171</v>
      </c>
      <c r="W948" s="98" t="s">
        <v>171</v>
      </c>
      <c r="X948" s="98" t="s">
        <v>171</v>
      </c>
      <c r="Y948" s="98" t="s">
        <v>171</v>
      </c>
      <c r="Z948" s="98" t="s">
        <v>171</v>
      </c>
      <c r="AA948" s="98" t="s">
        <v>171</v>
      </c>
      <c r="AB948" s="98" t="s">
        <v>171</v>
      </c>
      <c r="AC948" s="98" t="s">
        <v>171</v>
      </c>
      <c r="AD948" s="98" t="s">
        <v>171</v>
      </c>
      <c r="AE948" s="98" t="s">
        <v>171</v>
      </c>
      <c r="AF948" s="98" t="s">
        <v>171</v>
      </c>
      <c r="AG948" s="98" t="s">
        <v>171</v>
      </c>
      <c r="AH948" s="98" t="s">
        <v>171</v>
      </c>
      <c r="AI948" s="98" t="s">
        <v>171</v>
      </c>
      <c r="AJ948" s="98" t="s">
        <v>171</v>
      </c>
      <c r="AK948" s="98" t="s">
        <v>171</v>
      </c>
      <c r="AL948" s="98" t="s">
        <v>171</v>
      </c>
      <c r="AM948" s="98" t="s">
        <v>171</v>
      </c>
      <c r="AN948" s="98" t="s">
        <v>171</v>
      </c>
      <c r="AO948" s="98" t="s">
        <v>171</v>
      </c>
      <c r="AP948" s="98" t="s">
        <v>171</v>
      </c>
      <c r="AQ948" s="98" t="s">
        <v>171</v>
      </c>
      <c r="AR948" s="98" t="s">
        <v>171</v>
      </c>
      <c r="AS948" s="98">
        <v>1179472.0</v>
      </c>
    </row>
    <row r="949" ht="15.75" customHeight="1">
      <c r="A949" s="111" t="s">
        <v>1161</v>
      </c>
      <c r="B949" s="83" t="s">
        <v>2347</v>
      </c>
      <c r="C949" s="83" t="s">
        <v>68</v>
      </c>
      <c r="D949" s="98">
        <v>1179811.0</v>
      </c>
      <c r="E949" s="83"/>
      <c r="F949" s="83"/>
      <c r="G949" s="91" t="str">
        <f>IFERROR(__xludf.DUMMYFUNCTION("XLOOKUP(AS949,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MARIA LÚCIA BARBOSA DA PAIXÃO")</f>
        <v>COLÉGIO ESTADUAL DO CAMPO MARIA LÚCIA BARBOSA DA PAIXÃO</v>
      </c>
      <c r="H949" s="119" t="s">
        <v>4954</v>
      </c>
      <c r="I949" s="108" t="s">
        <v>4955</v>
      </c>
      <c r="J949" s="83"/>
      <c r="K949" s="83"/>
      <c r="L949" s="83" t="s">
        <v>151</v>
      </c>
      <c r="M949" s="83" t="s">
        <v>169</v>
      </c>
      <c r="N949" s="98" t="s">
        <v>4956</v>
      </c>
      <c r="O949" s="98"/>
      <c r="P949" s="99" t="str">
        <f>IFERROR(__xludf.DUMMYFUNCTION("IFERROR(VLOOKUP(AS949,IMPORTRANGE(""https://docs.google.com/spreadsheets/d/1juPI-Fb8LD0YtltB2mlGEnp_R3UVu1t3wSFPzgCyHXE/edit?gid=0#gid=0"",""GERAL!A2:C""),3,0),""-"")"),"-")</f>
        <v>-</v>
      </c>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v>1179811.0</v>
      </c>
    </row>
    <row r="950" ht="15.75" customHeight="1">
      <c r="A950" s="111" t="s">
        <v>1161</v>
      </c>
      <c r="B950" s="83" t="s">
        <v>2347</v>
      </c>
      <c r="C950" s="83" t="s">
        <v>68</v>
      </c>
      <c r="D950" s="112">
        <v>1172419.0</v>
      </c>
      <c r="E950" s="83"/>
      <c r="F950" s="83">
        <v>2.9075874E7</v>
      </c>
      <c r="G950" s="91" t="str">
        <f>IFERROR(__xludf.DUMMYFUNCTION("XLOOKUP(AS950,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OUROLÂNDIA")</f>
        <v>COLÉGIO ESTADUAL DE TEMPO INTEGRAL DE OUROLÂNDIA</v>
      </c>
      <c r="H950" s="119" t="s">
        <v>4957</v>
      </c>
      <c r="I950" s="91" t="s">
        <v>4958</v>
      </c>
      <c r="J950" s="83" t="s">
        <v>149</v>
      </c>
      <c r="K950" s="83" t="s">
        <v>150</v>
      </c>
      <c r="L950" s="83" t="s">
        <v>151</v>
      </c>
      <c r="M950" s="98" t="s">
        <v>230</v>
      </c>
      <c r="N950" s="98" t="s">
        <v>4959</v>
      </c>
      <c r="O950" s="98" t="s">
        <v>155</v>
      </c>
      <c r="P950" s="99" t="str">
        <f>IFERROR(__xludf.DUMMYFUNCTION("IFERROR(VLOOKUP(AS950,IMPORTRANGE(""https://docs.google.com/spreadsheets/d/1juPI-Fb8LD0YtltB2mlGEnp_R3UVu1t3wSFPzgCyHXE/edit?gid=0#gid=0"",""GERAL!A2:C""),3,0),""-"")"),"-")</f>
        <v>-</v>
      </c>
      <c r="Q950" s="83"/>
      <c r="R950" s="83"/>
      <c r="S950" s="83"/>
      <c r="T950" s="83"/>
      <c r="U950" s="83"/>
      <c r="V950" s="83"/>
      <c r="W950" s="83"/>
      <c r="X950" s="83"/>
      <c r="Y950" s="83"/>
      <c r="Z950" s="83"/>
      <c r="AA950" s="83"/>
      <c r="AB950" s="83"/>
      <c r="AC950" s="83"/>
      <c r="AD950" s="83"/>
      <c r="AE950" s="83"/>
      <c r="AF950" s="83"/>
      <c r="AG950" s="83"/>
      <c r="AH950" s="83"/>
      <c r="AI950" s="83"/>
      <c r="AJ950" s="83"/>
      <c r="AK950" s="83"/>
      <c r="AL950" s="83"/>
      <c r="AM950" s="83"/>
      <c r="AN950" s="83"/>
      <c r="AO950" s="83"/>
      <c r="AP950" s="83"/>
      <c r="AQ950" s="83"/>
      <c r="AR950" s="83"/>
      <c r="AS950" s="83">
        <v>1172419.0</v>
      </c>
    </row>
    <row r="951" ht="15.75" customHeight="1">
      <c r="A951" s="111" t="s">
        <v>1161</v>
      </c>
      <c r="B951" s="83" t="s">
        <v>4960</v>
      </c>
      <c r="C951" s="83" t="s">
        <v>68</v>
      </c>
      <c r="D951" s="112">
        <v>1122233.0</v>
      </c>
      <c r="E951" s="83"/>
      <c r="F951" s="83">
        <v>2.9079004E7</v>
      </c>
      <c r="G951" s="91" t="str">
        <f>IFERROR(__xludf.DUMMYFUNCTION("XLOOKUP(AS951,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ERNESTO CARNEIRO RIBEIRO")</f>
        <v>COLÉGIO ESTADUAL DE TEMPO INTEGRAL ERNESTO CARNEIRO RIBEIRO</v>
      </c>
      <c r="H951" s="119" t="s">
        <v>4961</v>
      </c>
      <c r="I951" s="91" t="s">
        <v>4962</v>
      </c>
      <c r="J951" s="83" t="s">
        <v>149</v>
      </c>
      <c r="K951" s="83" t="s">
        <v>150</v>
      </c>
      <c r="L951" s="83" t="s">
        <v>151</v>
      </c>
      <c r="M951" s="83" t="s">
        <v>152</v>
      </c>
      <c r="N951" s="98" t="s">
        <v>4963</v>
      </c>
      <c r="O951" s="98" t="s">
        <v>284</v>
      </c>
      <c r="P951" s="99" t="str">
        <f>IFERROR(__xludf.DUMMYFUNCTION("IFERROR(VLOOKUP(AS951,IMPORTRANGE(""https://docs.google.com/spreadsheets/d/1juPI-Fb8LD0YtltB2mlGEnp_R3UVu1t3wSFPzgCyHXE/edit?gid=0#gid=0"",""GERAL!A2:C""),3,0),""-"")"),"-")</f>
        <v>-</v>
      </c>
      <c r="Q951" s="101" t="s">
        <v>156</v>
      </c>
      <c r="R951" s="98">
        <v>8.0</v>
      </c>
      <c r="S951" s="98">
        <v>0.0</v>
      </c>
      <c r="T951" s="98">
        <v>0.0</v>
      </c>
      <c r="U951" s="98">
        <v>0.0</v>
      </c>
      <c r="V951" s="98">
        <v>1.0</v>
      </c>
      <c r="W951" s="98">
        <v>1.0</v>
      </c>
      <c r="X951" s="98">
        <v>0.0</v>
      </c>
      <c r="Y951" s="98">
        <v>1.0</v>
      </c>
      <c r="Z951" s="98">
        <v>1.0</v>
      </c>
      <c r="AA951" s="98">
        <v>0.0</v>
      </c>
      <c r="AB951" s="98">
        <v>1.0</v>
      </c>
      <c r="AC951" s="98">
        <v>0.0</v>
      </c>
      <c r="AD951" s="98">
        <v>0.0</v>
      </c>
      <c r="AE951" s="98">
        <v>0.0</v>
      </c>
      <c r="AF951" s="98">
        <v>1.0</v>
      </c>
      <c r="AG951" s="98">
        <v>0.0</v>
      </c>
      <c r="AH951" s="98">
        <v>0.0</v>
      </c>
      <c r="AI951" s="98">
        <v>0.0</v>
      </c>
      <c r="AJ951" s="98">
        <v>0.0</v>
      </c>
      <c r="AK951" s="98">
        <v>0.0</v>
      </c>
      <c r="AL951" s="98">
        <v>0.0</v>
      </c>
      <c r="AM951" s="98">
        <v>0.0</v>
      </c>
      <c r="AN951" s="98">
        <v>0.0</v>
      </c>
      <c r="AO951" s="98">
        <v>0.0</v>
      </c>
      <c r="AP951" s="98">
        <v>0.0</v>
      </c>
      <c r="AQ951" s="83"/>
      <c r="AR951" s="102">
        <v>46237.0</v>
      </c>
      <c r="AS951" s="83">
        <v>1122233.0</v>
      </c>
    </row>
    <row r="952" ht="15.75" customHeight="1">
      <c r="A952" s="111" t="s">
        <v>1161</v>
      </c>
      <c r="B952" s="83" t="s">
        <v>4973</v>
      </c>
      <c r="C952" s="83" t="s">
        <v>68</v>
      </c>
      <c r="D952" s="112">
        <v>1161794.0</v>
      </c>
      <c r="E952" s="83"/>
      <c r="F952" s="83">
        <v>2.9079055E7</v>
      </c>
      <c r="G952" s="91" t="str">
        <f>IFERROR(__xludf.DUMMYFUNCTION("XLOOKUP(AS952,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SERROLANDIA
(ANTIGO C.E DE SERROLANDIA)")</f>
        <v>COLÉGIO ESTADUAL DE TEMPO INTEGRAL DE SERROLANDIA
(ANTIGO C.E DE SERROLANDIA)</v>
      </c>
      <c r="H952" s="119" t="s">
        <v>4974</v>
      </c>
      <c r="I952" s="108" t="s">
        <v>4975</v>
      </c>
      <c r="J952" s="172" t="s">
        <v>149</v>
      </c>
      <c r="K952" s="83" t="s">
        <v>150</v>
      </c>
      <c r="L952" s="83" t="s">
        <v>151</v>
      </c>
      <c r="M952" s="83" t="s">
        <v>230</v>
      </c>
      <c r="N952" s="98" t="s">
        <v>4976</v>
      </c>
      <c r="O952" s="98" t="s">
        <v>162</v>
      </c>
      <c r="P952" s="99" t="str">
        <f>IFERROR(__xludf.DUMMYFUNCTION("IFERROR(VLOOKUP(AS952,IMPORTRANGE(""https://docs.google.com/spreadsheets/d/1juPI-Fb8LD0YtltB2mlGEnp_R3UVu1t3wSFPzgCyHXE/edit?gid=0#gid=0"",""GERAL!A2:C""),3,0),""-"")"),"-")</f>
        <v>-</v>
      </c>
      <c r="Q952" s="83"/>
      <c r="R952" s="83"/>
      <c r="S952" s="83"/>
      <c r="T952" s="83"/>
      <c r="U952" s="83"/>
      <c r="V952" s="83"/>
      <c r="W952" s="83"/>
      <c r="X952" s="83"/>
      <c r="Y952" s="83"/>
      <c r="Z952" s="83"/>
      <c r="AA952" s="83"/>
      <c r="AB952" s="83"/>
      <c r="AC952" s="83"/>
      <c r="AD952" s="83"/>
      <c r="AE952" s="83"/>
      <c r="AF952" s="83"/>
      <c r="AG952" s="83"/>
      <c r="AH952" s="83"/>
      <c r="AI952" s="83"/>
      <c r="AJ952" s="83"/>
      <c r="AK952" s="83"/>
      <c r="AL952" s="83"/>
      <c r="AM952" s="83"/>
      <c r="AN952" s="83"/>
      <c r="AO952" s="83"/>
      <c r="AP952" s="83"/>
      <c r="AQ952" s="83"/>
      <c r="AR952" s="83"/>
      <c r="AS952" s="83">
        <v>1161794.0</v>
      </c>
    </row>
    <row r="953" ht="57.0" customHeight="1">
      <c r="A953" s="111" t="s">
        <v>1161</v>
      </c>
      <c r="B953" s="83" t="s">
        <v>4978</v>
      </c>
      <c r="C953" s="83" t="s">
        <v>68</v>
      </c>
      <c r="D953" s="112">
        <v>1179205.0</v>
      </c>
      <c r="E953" s="83"/>
      <c r="F953" s="83">
        <v>2.9441609E7</v>
      </c>
      <c r="G953" s="91" t="str">
        <f>IFERROR(__xludf.DUMMYFUNCTION("XLOOKUP(AS953,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MARIA MADALENA DA SILVA")</f>
        <v>COLÉGIO ESTADUAL DE TEMPO INTEGRAL PROFESSORA MARIA MADALENA DA SILVA</v>
      </c>
      <c r="H953" s="119" t="s">
        <v>4979</v>
      </c>
      <c r="I953" s="91" t="s">
        <v>4980</v>
      </c>
      <c r="J953" s="83" t="s">
        <v>149</v>
      </c>
      <c r="K953" s="83" t="s">
        <v>150</v>
      </c>
      <c r="L953" s="83" t="s">
        <v>151</v>
      </c>
      <c r="M953" s="83" t="s">
        <v>152</v>
      </c>
      <c r="N953" s="98" t="s">
        <v>4981</v>
      </c>
      <c r="O953" s="98" t="s">
        <v>155</v>
      </c>
      <c r="P953" s="99" t="str">
        <f>IFERROR(__xludf.DUMMYFUNCTION("IFERROR(VLOOKUP(AS953,IMPORTRANGE(""https://docs.google.com/spreadsheets/d/1juPI-Fb8LD0YtltB2mlGEnp_R3UVu1t3wSFPzgCyHXE/edit?gid=0#gid=0"",""GERAL!A2:C""),3,0),""-"")"),"-")</f>
        <v>-</v>
      </c>
      <c r="Q953" s="83"/>
      <c r="R953" s="83"/>
      <c r="S953" s="83"/>
      <c r="T953" s="83"/>
      <c r="U953" s="83"/>
      <c r="V953" s="83"/>
      <c r="W953" s="83"/>
      <c r="X953" s="83"/>
      <c r="Y953" s="83"/>
      <c r="Z953" s="83"/>
      <c r="AA953" s="83"/>
      <c r="AB953" s="83"/>
      <c r="AC953" s="83"/>
      <c r="AD953" s="83"/>
      <c r="AE953" s="83"/>
      <c r="AF953" s="83"/>
      <c r="AG953" s="83"/>
      <c r="AH953" s="83"/>
      <c r="AI953" s="83"/>
      <c r="AJ953" s="83"/>
      <c r="AK953" s="83"/>
      <c r="AL953" s="83"/>
      <c r="AM953" s="83"/>
      <c r="AN953" s="83"/>
      <c r="AO953" s="83"/>
      <c r="AP953" s="83"/>
      <c r="AQ953" s="83"/>
      <c r="AR953" s="83"/>
      <c r="AS953" s="83">
        <v>1179205.0</v>
      </c>
    </row>
    <row r="954" ht="15.75" customHeight="1">
      <c r="A954" s="111" t="s">
        <v>1161</v>
      </c>
      <c r="B954" s="83" t="s">
        <v>4978</v>
      </c>
      <c r="C954" s="83" t="s">
        <v>164</v>
      </c>
      <c r="D954" s="208">
        <v>1179205.0</v>
      </c>
      <c r="E954" s="189">
        <v>1178724.0</v>
      </c>
      <c r="F954" s="83"/>
      <c r="G954" s="91" t="str">
        <f>IFERROR(__xludf.DUMMYFUNCTION("XLOOKUP(AS954,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PROFESSORA MARIA MADALENA DA SILVA - DISTRITO DE DELFINO")</f>
        <v>ANEXO - COLÉGIO ESTADUAL DE TEMPO INTEGRAL PROFESSORA MARIA MADALENA DA SILVA - DISTRITO DE DELFINO</v>
      </c>
      <c r="H954" s="119" t="s">
        <v>4983</v>
      </c>
      <c r="I954" s="114" t="s">
        <v>4984</v>
      </c>
      <c r="J954" s="83" t="s">
        <v>149</v>
      </c>
      <c r="K954" s="83" t="s">
        <v>464</v>
      </c>
      <c r="L954" s="83" t="s">
        <v>168</v>
      </c>
      <c r="M954" s="83" t="s">
        <v>169</v>
      </c>
      <c r="N954" s="115" t="s">
        <v>170</v>
      </c>
      <c r="O954" s="98" t="s">
        <v>155</v>
      </c>
      <c r="P954" s="99" t="str">
        <f>IFERROR(__xludf.DUMMYFUNCTION("IFERROR(VLOOKUP(AS954,IMPORTRANGE(""https://docs.google.com/spreadsheets/d/1juPI-Fb8LD0YtltB2mlGEnp_R3UVu1t3wSFPzgCyHXE/edit?gid=0#gid=0"",""GERAL!A2:C""),3,0),""-"")"),"CAMPO")</f>
        <v>CAMPO</v>
      </c>
      <c r="Q954" s="83"/>
      <c r="R954" s="83"/>
      <c r="S954" s="83"/>
      <c r="T954" s="83"/>
      <c r="U954" s="83"/>
      <c r="V954" s="83"/>
      <c r="W954" s="83"/>
      <c r="X954" s="83"/>
      <c r="Y954" s="83"/>
      <c r="Z954" s="83"/>
      <c r="AA954" s="83"/>
      <c r="AB954" s="83"/>
      <c r="AC954" s="83"/>
      <c r="AD954" s="83"/>
      <c r="AE954" s="83"/>
      <c r="AF954" s="83"/>
      <c r="AG954" s="83"/>
      <c r="AH954" s="83"/>
      <c r="AI954" s="83"/>
      <c r="AJ954" s="83"/>
      <c r="AK954" s="83"/>
      <c r="AL954" s="83"/>
      <c r="AM954" s="83"/>
      <c r="AN954" s="83"/>
      <c r="AO954" s="83"/>
      <c r="AP954" s="83"/>
      <c r="AQ954" s="83"/>
      <c r="AR954" s="83"/>
      <c r="AS954" s="83">
        <v>1178724.0</v>
      </c>
    </row>
    <row r="955" ht="15.75" customHeight="1">
      <c r="A955" s="111" t="s">
        <v>1161</v>
      </c>
      <c r="B955" s="83" t="s">
        <v>4992</v>
      </c>
      <c r="C955" s="83" t="s">
        <v>68</v>
      </c>
      <c r="D955" s="112">
        <v>1176123.0</v>
      </c>
      <c r="E955" s="248"/>
      <c r="F955" s="248">
        <v>2.934033E7</v>
      </c>
      <c r="G955" s="91" t="str">
        <f>IFERROR(__xludf.DUMMYFUNCTION("XLOOKUP(AS955,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ADJACI MARTINS DURANS")</f>
        <v>COLÉGIO ESTADUAL DE TEMPO INTEGRAL PROFESSORA ADJACI MARTINS DURANS</v>
      </c>
      <c r="H955" s="209" t="s">
        <v>4993</v>
      </c>
      <c r="I955" s="91" t="s">
        <v>4994</v>
      </c>
      <c r="J955" s="83" t="s">
        <v>149</v>
      </c>
      <c r="K955" s="83" t="s">
        <v>150</v>
      </c>
      <c r="L955" s="83" t="s">
        <v>151</v>
      </c>
      <c r="M955" s="83" t="s">
        <v>152</v>
      </c>
      <c r="N955" s="98" t="s">
        <v>4995</v>
      </c>
      <c r="O955" s="98" t="s">
        <v>155</v>
      </c>
      <c r="P955" s="99" t="str">
        <f>IFERROR(__xludf.DUMMYFUNCTION("IFERROR(VLOOKUP(AS955,IMPORTRANGE(""https://docs.google.com/spreadsheets/d/1juPI-Fb8LD0YtltB2mlGEnp_R3UVu1t3wSFPzgCyHXE/edit?gid=0#gid=0"",""GERAL!A2:C""),3,0),""-"")"),"-")</f>
        <v>-</v>
      </c>
      <c r="Q955" s="101" t="s">
        <v>156</v>
      </c>
      <c r="R955" s="98">
        <v>10.0</v>
      </c>
      <c r="S955" s="98">
        <v>1.0</v>
      </c>
      <c r="T955" s="98">
        <v>1.0</v>
      </c>
      <c r="U955" s="98">
        <v>1.0</v>
      </c>
      <c r="V955" s="98">
        <v>1.0</v>
      </c>
      <c r="W955" s="98">
        <v>0.0</v>
      </c>
      <c r="X955" s="98">
        <v>1.0</v>
      </c>
      <c r="Y955" s="98">
        <v>0.0</v>
      </c>
      <c r="Z955" s="98">
        <v>1.0</v>
      </c>
      <c r="AA955" s="98">
        <v>0.0</v>
      </c>
      <c r="AB955" s="98">
        <v>1.0</v>
      </c>
      <c r="AC955" s="98">
        <v>0.0</v>
      </c>
      <c r="AD955" s="98">
        <v>0.0</v>
      </c>
      <c r="AE955" s="98">
        <v>0.0</v>
      </c>
      <c r="AF955" s="98">
        <v>1.0</v>
      </c>
      <c r="AG955" s="98">
        <v>0.0</v>
      </c>
      <c r="AH955" s="98">
        <v>0.0</v>
      </c>
      <c r="AI955" s="98">
        <v>0.0</v>
      </c>
      <c r="AJ955" s="98">
        <v>0.0</v>
      </c>
      <c r="AK955" s="98">
        <v>1.0</v>
      </c>
      <c r="AL955" s="98">
        <v>0.0</v>
      </c>
      <c r="AM955" s="98">
        <v>0.0</v>
      </c>
      <c r="AN955" s="98">
        <v>0.0</v>
      </c>
      <c r="AO955" s="98">
        <v>0.0</v>
      </c>
      <c r="AP955" s="98">
        <v>0.0</v>
      </c>
      <c r="AQ955" s="98" t="s">
        <v>171</v>
      </c>
      <c r="AR955" s="102">
        <v>46231.0</v>
      </c>
      <c r="AS955" s="83">
        <v>1176123.0</v>
      </c>
    </row>
    <row r="956" ht="15.75" customHeight="1">
      <c r="A956" s="111" t="s">
        <v>1224</v>
      </c>
      <c r="B956" s="83" t="s">
        <v>5004</v>
      </c>
      <c r="C956" s="191" t="s">
        <v>68</v>
      </c>
      <c r="D956" s="112">
        <v>1165846.0</v>
      </c>
      <c r="E956" s="83"/>
      <c r="F956" s="237">
        <v>2.9125898E7</v>
      </c>
      <c r="G956" s="91" t="str">
        <f>IFERROR(__xludf.DUMMYFUNCTION("XLOOKUP(AS956,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CASTRO ALVES")</f>
        <v>COLÉGIO ESTADUAL DE TEMPO INTEGRAL CASTRO ALVES</v>
      </c>
      <c r="H956" s="119" t="s">
        <v>5006</v>
      </c>
      <c r="I956" s="91" t="s">
        <v>5007</v>
      </c>
      <c r="J956" s="397" t="s">
        <v>149</v>
      </c>
      <c r="K956" s="83" t="s">
        <v>150</v>
      </c>
      <c r="L956" s="83" t="s">
        <v>151</v>
      </c>
      <c r="M956" s="83" t="s">
        <v>152</v>
      </c>
      <c r="N956" s="98" t="s">
        <v>5014</v>
      </c>
      <c r="O956" s="98" t="s">
        <v>155</v>
      </c>
      <c r="P956" s="99" t="str">
        <f>IFERROR(__xludf.DUMMYFUNCTION("IFERROR(VLOOKUP(AS956,IMPORTRANGE(""https://docs.google.com/spreadsheets/d/1juPI-Fb8LD0YtltB2mlGEnp_R3UVu1t3wSFPzgCyHXE/edit?gid=0#gid=0"",""GERAL!A2:C""),3,0),""-"")"),"-")</f>
        <v>-</v>
      </c>
      <c r="Q956" s="83"/>
      <c r="R956" s="83"/>
      <c r="S956" s="83"/>
      <c r="T956" s="83"/>
      <c r="U956" s="83"/>
      <c r="V956" s="83"/>
      <c r="W956" s="83"/>
      <c r="X956" s="83"/>
      <c r="Y956" s="83"/>
      <c r="Z956" s="83"/>
      <c r="AA956" s="83"/>
      <c r="AB956" s="83"/>
      <c r="AC956" s="83"/>
      <c r="AD956" s="83"/>
      <c r="AE956" s="83"/>
      <c r="AF956" s="83"/>
      <c r="AG956" s="83"/>
      <c r="AH956" s="83"/>
      <c r="AI956" s="83"/>
      <c r="AJ956" s="83"/>
      <c r="AK956" s="83"/>
      <c r="AL956" s="83"/>
      <c r="AM956" s="83"/>
      <c r="AN956" s="83"/>
      <c r="AO956" s="83"/>
      <c r="AP956" s="83"/>
      <c r="AQ956" s="83"/>
      <c r="AR956" s="83"/>
      <c r="AS956" s="83">
        <v>1165846.0</v>
      </c>
    </row>
    <row r="957" ht="15.75" customHeight="1">
      <c r="A957" s="111" t="s">
        <v>1224</v>
      </c>
      <c r="B957" s="83" t="s">
        <v>5015</v>
      </c>
      <c r="C957" s="83" t="s">
        <v>68</v>
      </c>
      <c r="D957" s="84">
        <v>1114893.0</v>
      </c>
      <c r="E957" s="82"/>
      <c r="F957" s="237">
        <v>2.9126126E7</v>
      </c>
      <c r="G957" s="91" t="str">
        <f>IFERROR(__xludf.DUMMYFUNCTION("XLOOKUP(AS957,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LUZIA CARVALHO SILVA")</f>
        <v>COLÉGIO ESTADUAL DE TEMPO INTEGRAL PROFESSORA LUZIA CARVALHO SILVA</v>
      </c>
      <c r="H957" s="108" t="s">
        <v>5016</v>
      </c>
      <c r="I957" s="91" t="s">
        <v>5017</v>
      </c>
      <c r="J957" s="214" t="s">
        <v>149</v>
      </c>
      <c r="K957" s="83" t="s">
        <v>150</v>
      </c>
      <c r="L957" s="83" t="s">
        <v>151</v>
      </c>
      <c r="M957" s="83" t="s">
        <v>152</v>
      </c>
      <c r="N957" s="98" t="s">
        <v>5018</v>
      </c>
      <c r="O957" s="98" t="s">
        <v>155</v>
      </c>
      <c r="P957" s="99" t="str">
        <f>IFERROR(__xludf.DUMMYFUNCTION("IFERROR(VLOOKUP(AS957,IMPORTRANGE(""https://docs.google.com/spreadsheets/d/1juPI-Fb8LD0YtltB2mlGEnp_R3UVu1t3wSFPzgCyHXE/edit?gid=0#gid=0"",""GERAL!A2:C""),3,0),""-"")"),"-")</f>
        <v>-</v>
      </c>
      <c r="Q957" s="101" t="s">
        <v>156</v>
      </c>
      <c r="R957" s="98">
        <v>12.0</v>
      </c>
      <c r="S957" s="98">
        <v>0.0</v>
      </c>
      <c r="T957" s="98">
        <v>2.0</v>
      </c>
      <c r="U957" s="98">
        <v>0.0</v>
      </c>
      <c r="V957" s="98">
        <v>1.0</v>
      </c>
      <c r="W957" s="98">
        <v>3.0</v>
      </c>
      <c r="X957" s="98">
        <v>1.0</v>
      </c>
      <c r="Y957" s="98">
        <v>0.0</v>
      </c>
      <c r="Z957" s="98">
        <v>1.0</v>
      </c>
      <c r="AA957" s="98">
        <v>0.0</v>
      </c>
      <c r="AB957" s="98">
        <v>1.0</v>
      </c>
      <c r="AC957" s="98">
        <v>0.0</v>
      </c>
      <c r="AD957" s="98">
        <v>0.0</v>
      </c>
      <c r="AE957" s="98">
        <v>0.0</v>
      </c>
      <c r="AF957" s="98">
        <v>1.0</v>
      </c>
      <c r="AG957" s="98">
        <v>0.0</v>
      </c>
      <c r="AH957" s="98">
        <v>0.0</v>
      </c>
      <c r="AI957" s="98">
        <v>0.0</v>
      </c>
      <c r="AJ957" s="98">
        <v>0.0</v>
      </c>
      <c r="AK957" s="98">
        <v>1.0</v>
      </c>
      <c r="AL957" s="98">
        <v>0.0</v>
      </c>
      <c r="AM957" s="98">
        <v>0.0</v>
      </c>
      <c r="AN957" s="98">
        <v>0.0</v>
      </c>
      <c r="AO957" s="98">
        <v>0.0</v>
      </c>
      <c r="AP957" s="98">
        <v>0.0</v>
      </c>
      <c r="AQ957" s="98" t="s">
        <v>5023</v>
      </c>
      <c r="AR957" s="102">
        <v>46226.0</v>
      </c>
      <c r="AS957" s="83">
        <v>1114893.0</v>
      </c>
    </row>
    <row r="958" ht="15.75" customHeight="1">
      <c r="A958" s="111" t="s">
        <v>1224</v>
      </c>
      <c r="B958" s="83" t="s">
        <v>5024</v>
      </c>
      <c r="C958" s="83" t="s">
        <v>68</v>
      </c>
      <c r="D958" s="84">
        <v>1178443.0</v>
      </c>
      <c r="E958" s="82"/>
      <c r="F958" s="237">
        <v>2.944934E7</v>
      </c>
      <c r="G958" s="91" t="str">
        <f>IFERROR(__xludf.DUMMYFUNCTION("XLOOKUP(AS958,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TUXA CACIQUE RAUL VALERIO DE OLIVEIRA")</f>
        <v>COLÉGIO ESTADUAL INDIGENA TUXA CACIQUE RAUL VALERIO DE OLIVEIRA</v>
      </c>
      <c r="H958" s="108" t="s">
        <v>5025</v>
      </c>
      <c r="I958" s="91" t="s">
        <v>5026</v>
      </c>
      <c r="J958" s="248" t="s">
        <v>5027</v>
      </c>
      <c r="K958" s="83" t="s">
        <v>890</v>
      </c>
      <c r="L958" s="83" t="s">
        <v>168</v>
      </c>
      <c r="M958" s="83" t="s">
        <v>169</v>
      </c>
      <c r="N958" s="128" t="s">
        <v>171</v>
      </c>
      <c r="O958" s="98" t="s">
        <v>155</v>
      </c>
      <c r="P958" s="99" t="str">
        <f>IFERROR(__xludf.DUMMYFUNCTION("IFERROR(VLOOKUP(AS958,IMPORTRANGE(""https://docs.google.com/spreadsheets/d/1juPI-Fb8LD0YtltB2mlGEnp_R3UVu1t3wSFPzgCyHXE/edit?gid=0#gid=0"",""GERAL!A2:C""),3,0),""-"")"),"INDÍGENAS")</f>
        <v>INDÍGENAS</v>
      </c>
      <c r="Q958" s="83"/>
      <c r="R958" s="83"/>
      <c r="S958" s="83"/>
      <c r="T958" s="83"/>
      <c r="U958" s="83"/>
      <c r="V958" s="83"/>
      <c r="W958" s="83"/>
      <c r="X958" s="83"/>
      <c r="Y958" s="83"/>
      <c r="Z958" s="83"/>
      <c r="AA958" s="83"/>
      <c r="AB958" s="83"/>
      <c r="AC958" s="83"/>
      <c r="AD958" s="83"/>
      <c r="AE958" s="83"/>
      <c r="AF958" s="83"/>
      <c r="AG958" s="83"/>
      <c r="AH958" s="83"/>
      <c r="AI958" s="83"/>
      <c r="AJ958" s="83"/>
      <c r="AK958" s="83"/>
      <c r="AL958" s="83"/>
      <c r="AM958" s="83"/>
      <c r="AN958" s="83"/>
      <c r="AO958" s="83"/>
      <c r="AP958" s="83"/>
      <c r="AQ958" s="83"/>
      <c r="AR958" s="83"/>
      <c r="AS958" s="83">
        <v>1178443.0</v>
      </c>
    </row>
    <row r="959" ht="15.75" customHeight="1">
      <c r="A959" s="111" t="s">
        <v>1224</v>
      </c>
      <c r="B959" s="83" t="s">
        <v>5024</v>
      </c>
      <c r="C959" s="83" t="s">
        <v>68</v>
      </c>
      <c r="D959" s="112">
        <v>1179131.0</v>
      </c>
      <c r="E959" s="83"/>
      <c r="F959" s="83">
        <v>2.946398E7</v>
      </c>
      <c r="G959" s="91" t="str">
        <f>IFERROR(__xludf.DUMMYFUNCTION("XLOOKUP(AS959,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KIRIRI INDIO FELIZ - ALDEIA CAJAZEIRA")</f>
        <v>COLÉGIO ESTADUAL INDIGENA KIRIRI INDIO FELIZ - ALDEIA CAJAZEIRA</v>
      </c>
      <c r="H959" s="119" t="s">
        <v>5029</v>
      </c>
      <c r="I959" s="91" t="s">
        <v>5030</v>
      </c>
      <c r="J959" s="233" t="s">
        <v>5031</v>
      </c>
      <c r="K959" s="83" t="s">
        <v>822</v>
      </c>
      <c r="L959" s="83" t="s">
        <v>151</v>
      </c>
      <c r="M959" s="83" t="s">
        <v>169</v>
      </c>
      <c r="N959" s="98" t="s">
        <v>5032</v>
      </c>
      <c r="O959" s="98" t="s">
        <v>155</v>
      </c>
      <c r="P959" s="99" t="str">
        <f>IFERROR(__xludf.DUMMYFUNCTION("IFERROR(VLOOKUP(AS959,IMPORTRANGE(""https://docs.google.com/spreadsheets/d/1juPI-Fb8LD0YtltB2mlGEnp_R3UVu1t3wSFPzgCyHXE/edit?gid=0#gid=0"",""GERAL!A2:C""),3,0),""-"")"),"INDÍGENAS")</f>
        <v>INDÍGENAS</v>
      </c>
      <c r="Q959" s="83"/>
      <c r="R959" s="83"/>
      <c r="S959" s="83"/>
      <c r="T959" s="83"/>
      <c r="U959" s="83"/>
      <c r="V959" s="83"/>
      <c r="W959" s="83"/>
      <c r="X959" s="83"/>
      <c r="Y959" s="83"/>
      <c r="Z959" s="83"/>
      <c r="AA959" s="83"/>
      <c r="AB959" s="83"/>
      <c r="AC959" s="83"/>
      <c r="AD959" s="83"/>
      <c r="AE959" s="83"/>
      <c r="AF959" s="83"/>
      <c r="AG959" s="83"/>
      <c r="AH959" s="83"/>
      <c r="AI959" s="83"/>
      <c r="AJ959" s="83"/>
      <c r="AK959" s="83"/>
      <c r="AL959" s="83"/>
      <c r="AM959" s="83"/>
      <c r="AN959" s="83"/>
      <c r="AO959" s="83"/>
      <c r="AP959" s="83"/>
      <c r="AQ959" s="83"/>
      <c r="AR959" s="83"/>
      <c r="AS959" s="83">
        <v>1179131.0</v>
      </c>
    </row>
    <row r="960" ht="15.75" customHeight="1">
      <c r="A960" s="111" t="s">
        <v>1224</v>
      </c>
      <c r="B960" s="83" t="s">
        <v>5024</v>
      </c>
      <c r="C960" s="83" t="s">
        <v>68</v>
      </c>
      <c r="D960" s="112">
        <v>1178319.0</v>
      </c>
      <c r="E960" s="83"/>
      <c r="F960" s="83">
        <v>2.9599601E7</v>
      </c>
      <c r="G960" s="91" t="str">
        <f>IFERROR(__xludf.DUMMYFUNCTION("XLOOKUP(AS960,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JOSE ZACARIAS - ALDEIA MIRANDELA")</f>
        <v>COLÉGIO ESTADUAL INDIGENA JOSE ZACARIAS - ALDEIA MIRANDELA</v>
      </c>
      <c r="H960" s="119" t="s">
        <v>5038</v>
      </c>
      <c r="I960" s="91" t="s">
        <v>5039</v>
      </c>
      <c r="J960" s="136" t="s">
        <v>5040</v>
      </c>
      <c r="K960" s="83" t="s">
        <v>1347</v>
      </c>
      <c r="L960" s="83" t="s">
        <v>151</v>
      </c>
      <c r="M960" s="83" t="s">
        <v>76</v>
      </c>
      <c r="N960" s="98" t="s">
        <v>5041</v>
      </c>
      <c r="O960" s="98" t="s">
        <v>155</v>
      </c>
      <c r="P960" s="99" t="str">
        <f>IFERROR(__xludf.DUMMYFUNCTION("IFERROR(VLOOKUP(AS960,IMPORTRANGE(""https://docs.google.com/spreadsheets/d/1juPI-Fb8LD0YtltB2mlGEnp_R3UVu1t3wSFPzgCyHXE/edit?gid=0#gid=0"",""GERAL!A2:C""),3,0),""-"")"),"INDÍGENAS")</f>
        <v>INDÍGENAS</v>
      </c>
      <c r="Q960" s="83"/>
      <c r="R960" s="83"/>
      <c r="S960" s="83"/>
      <c r="T960" s="83"/>
      <c r="U960" s="83"/>
      <c r="V960" s="83"/>
      <c r="W960" s="83"/>
      <c r="X960" s="83"/>
      <c r="Y960" s="83"/>
      <c r="Z960" s="83"/>
      <c r="AA960" s="83"/>
      <c r="AB960" s="83"/>
      <c r="AC960" s="83"/>
      <c r="AD960" s="83"/>
      <c r="AE960" s="83"/>
      <c r="AF960" s="83"/>
      <c r="AG960" s="83"/>
      <c r="AH960" s="83"/>
      <c r="AI960" s="83"/>
      <c r="AJ960" s="83"/>
      <c r="AK960" s="83"/>
      <c r="AL960" s="83"/>
      <c r="AM960" s="83"/>
      <c r="AN960" s="83"/>
      <c r="AO960" s="83"/>
      <c r="AP960" s="83"/>
      <c r="AQ960" s="83"/>
      <c r="AR960" s="83"/>
      <c r="AS960" s="83">
        <v>1178319.0</v>
      </c>
    </row>
    <row r="961" ht="15.75" customHeight="1">
      <c r="A961" s="111" t="s">
        <v>1224</v>
      </c>
      <c r="B961" s="83" t="s">
        <v>5024</v>
      </c>
      <c r="C961" s="83" t="s">
        <v>68</v>
      </c>
      <c r="D961" s="112">
        <v>1179128.0</v>
      </c>
      <c r="E961" s="83"/>
      <c r="F961" s="83">
        <v>2.912655E7</v>
      </c>
      <c r="G961" s="91" t="str">
        <f>IFERROR(__xludf.DUMMYFUNCTION("XLOOKUP(AS961,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FLORENTINO DOMINGOS DE ANDRADE")</f>
        <v>COLÉGIO ESTADUAL INDIGENA FLORENTINO DOMINGOS DE ANDRADE</v>
      </c>
      <c r="H961" s="119" t="s">
        <v>5042</v>
      </c>
      <c r="I961" s="91" t="s">
        <v>5043</v>
      </c>
      <c r="J961" s="136" t="s">
        <v>5044</v>
      </c>
      <c r="K961" s="83" t="s">
        <v>1386</v>
      </c>
      <c r="L961" s="83" t="s">
        <v>168</v>
      </c>
      <c r="M961" s="83" t="s">
        <v>169</v>
      </c>
      <c r="N961" s="171" t="s">
        <v>5041</v>
      </c>
      <c r="O961" s="98" t="s">
        <v>155</v>
      </c>
      <c r="P961" s="99" t="str">
        <f>IFERROR(__xludf.DUMMYFUNCTION("IFERROR(VLOOKUP(AS961,IMPORTRANGE(""https://docs.google.com/spreadsheets/d/1juPI-Fb8LD0YtltB2mlGEnp_R3UVu1t3wSFPzgCyHXE/edit?gid=0#gid=0"",""GERAL!A2:C""),3,0),""-"")"),"INDÍGENAS")</f>
        <v>INDÍGENAS</v>
      </c>
      <c r="Q961" s="83"/>
      <c r="R961" s="83"/>
      <c r="S961" s="83"/>
      <c r="T961" s="83"/>
      <c r="U961" s="83"/>
      <c r="V961" s="83"/>
      <c r="W961" s="83"/>
      <c r="X961" s="83"/>
      <c r="Y961" s="83"/>
      <c r="Z961" s="83"/>
      <c r="AA961" s="83"/>
      <c r="AB961" s="83"/>
      <c r="AC961" s="83"/>
      <c r="AD961" s="83"/>
      <c r="AE961" s="83"/>
      <c r="AF961" s="83"/>
      <c r="AG961" s="83"/>
      <c r="AH961" s="83"/>
      <c r="AI961" s="83"/>
      <c r="AJ961" s="83"/>
      <c r="AK961" s="83"/>
      <c r="AL961" s="83"/>
      <c r="AM961" s="83"/>
      <c r="AN961" s="83"/>
      <c r="AO961" s="83"/>
      <c r="AP961" s="83"/>
      <c r="AQ961" s="83"/>
      <c r="AR961" s="83"/>
      <c r="AS961" s="83">
        <v>1179128.0</v>
      </c>
    </row>
    <row r="962" ht="15.75" customHeight="1">
      <c r="A962" s="111" t="s">
        <v>1224</v>
      </c>
      <c r="B962" s="83" t="s">
        <v>5024</v>
      </c>
      <c r="C962" s="83" t="s">
        <v>68</v>
      </c>
      <c r="D962" s="112">
        <v>1178096.0</v>
      </c>
      <c r="E962" s="83"/>
      <c r="F962" s="83">
        <v>2.9429889E7</v>
      </c>
      <c r="G962" s="91" t="str">
        <f>IFERROR(__xludf.DUMMYFUNCTION("XLOOKUP(AS962,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FLAVIANO DANTAS DO NASCIMENTO
")</f>
        <v>COLÉGIO ESTADUAL DE TEMPO INTEGRAL FLAVIANO DANTAS DO NASCIMENTO
</v>
      </c>
      <c r="H962" s="119" t="s">
        <v>5046</v>
      </c>
      <c r="I962" s="91" t="s">
        <v>5047</v>
      </c>
      <c r="J962" s="136" t="s">
        <v>149</v>
      </c>
      <c r="K962" s="83" t="s">
        <v>150</v>
      </c>
      <c r="L962" s="83" t="s">
        <v>151</v>
      </c>
      <c r="M962" s="83" t="s">
        <v>76</v>
      </c>
      <c r="N962" s="98" t="s">
        <v>5048</v>
      </c>
      <c r="O962" s="98" t="s">
        <v>155</v>
      </c>
      <c r="P962" s="99" t="str">
        <f>IFERROR(__xludf.DUMMYFUNCTION("IFERROR(VLOOKUP(AS962,IMPORTRANGE(""https://docs.google.com/spreadsheets/d/1juPI-Fb8LD0YtltB2mlGEnp_R3UVu1t3wSFPzgCyHXE/edit?gid=0#gid=0"",""GERAL!A2:C""),3,0),""-"")"),"-")</f>
        <v>-</v>
      </c>
      <c r="Q962" s="83"/>
      <c r="R962" s="83"/>
      <c r="S962" s="83"/>
      <c r="T962" s="83"/>
      <c r="U962" s="83"/>
      <c r="V962" s="83"/>
      <c r="W962" s="83"/>
      <c r="X962" s="83"/>
      <c r="Y962" s="83"/>
      <c r="Z962" s="83"/>
      <c r="AA962" s="83"/>
      <c r="AB962" s="83"/>
      <c r="AC962" s="83"/>
      <c r="AD962" s="83"/>
      <c r="AE962" s="83"/>
      <c r="AF962" s="83"/>
      <c r="AG962" s="83"/>
      <c r="AH962" s="83"/>
      <c r="AI962" s="83"/>
      <c r="AJ962" s="83"/>
      <c r="AK962" s="83"/>
      <c r="AL962" s="83"/>
      <c r="AM962" s="83"/>
      <c r="AN962" s="83"/>
      <c r="AO962" s="83"/>
      <c r="AP962" s="83"/>
      <c r="AQ962" s="83"/>
      <c r="AR962" s="83"/>
      <c r="AS962" s="83">
        <v>1178096.0</v>
      </c>
    </row>
    <row r="963" ht="15.75" customHeight="1">
      <c r="A963" s="111" t="s">
        <v>1224</v>
      </c>
      <c r="B963" s="83" t="s">
        <v>5024</v>
      </c>
      <c r="C963" s="83" t="s">
        <v>164</v>
      </c>
      <c r="D963" s="112">
        <v>1178319.0</v>
      </c>
      <c r="E963" s="83">
        <v>1178587.0</v>
      </c>
      <c r="F963" s="83"/>
      <c r="G963" s="91" t="str">
        <f>IFERROR(__xludf.DUMMYFUNCTION("XLOOKUP(AS963,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INDIGENA JOSE ZACARIAS - ALDEIA GADO VELHACO")</f>
        <v>ANEXO DO COLÉGIO ESTADUAL INDIGENA JOSE ZACARIAS - ALDEIA GADO VELHACO</v>
      </c>
      <c r="H963" s="119" t="s">
        <v>5056</v>
      </c>
      <c r="I963" s="91" t="s">
        <v>5057</v>
      </c>
      <c r="J963" s="136" t="s">
        <v>5058</v>
      </c>
      <c r="K963" s="83" t="s">
        <v>4299</v>
      </c>
      <c r="L963" s="83" t="s">
        <v>151</v>
      </c>
      <c r="M963" s="83" t="s">
        <v>169</v>
      </c>
      <c r="N963" s="115" t="s">
        <v>170</v>
      </c>
      <c r="O963" s="98" t="s">
        <v>155</v>
      </c>
      <c r="P963" s="99" t="str">
        <f>IFERROR(__xludf.DUMMYFUNCTION("IFERROR(VLOOKUP(AS963,IMPORTRANGE(""https://docs.google.com/spreadsheets/d/1juPI-Fb8LD0YtltB2mlGEnp_R3UVu1t3wSFPzgCyHXE/edit?gid=0#gid=0"",""GERAL!A2:C""),3,0),""-"")"),"INDÍGENAS")</f>
        <v>INDÍGENAS</v>
      </c>
      <c r="Q963" s="83"/>
      <c r="R963" s="83"/>
      <c r="S963" s="83"/>
      <c r="T963" s="83"/>
      <c r="U963" s="83"/>
      <c r="V963" s="83"/>
      <c r="W963" s="83"/>
      <c r="X963" s="83"/>
      <c r="Y963" s="83"/>
      <c r="Z963" s="83"/>
      <c r="AA963" s="83"/>
      <c r="AB963" s="83"/>
      <c r="AC963" s="83"/>
      <c r="AD963" s="83"/>
      <c r="AE963" s="83"/>
      <c r="AF963" s="83"/>
      <c r="AG963" s="83"/>
      <c r="AH963" s="83"/>
      <c r="AI963" s="83"/>
      <c r="AJ963" s="83"/>
      <c r="AK963" s="83"/>
      <c r="AL963" s="83"/>
      <c r="AM963" s="83"/>
      <c r="AN963" s="83"/>
      <c r="AO963" s="83"/>
      <c r="AP963" s="83"/>
      <c r="AQ963" s="83"/>
      <c r="AR963" s="83"/>
      <c r="AS963" s="83">
        <v>1178587.0</v>
      </c>
    </row>
    <row r="964" ht="15.75" customHeight="1">
      <c r="A964" s="111" t="s">
        <v>1224</v>
      </c>
      <c r="B964" s="83" t="s">
        <v>5024</v>
      </c>
      <c r="C964" s="83" t="s">
        <v>164</v>
      </c>
      <c r="D964" s="112">
        <v>1178319.0</v>
      </c>
      <c r="E964" s="83">
        <v>1178588.0</v>
      </c>
      <c r="F964" s="83"/>
      <c r="G964" s="91" t="str">
        <f>IFERROR(__xludf.DUMMYFUNCTION("XLOOKUP(AS964,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COLÉGIO ESTADUAL - INDIGENA JOSE ZACARIAS - ALDEIA PAU FERRO")</f>
        <v>ANEXO DO COLÉGIO ESTADUAL - INDIGENA JOSE ZACARIAS - ALDEIA PAU FERRO</v>
      </c>
      <c r="H964" s="114" t="s">
        <v>5059</v>
      </c>
      <c r="I964" s="91" t="s">
        <v>5060</v>
      </c>
      <c r="J964" s="136" t="s">
        <v>5060</v>
      </c>
      <c r="K964" s="83" t="s">
        <v>1012</v>
      </c>
      <c r="L964" s="83" t="s">
        <v>151</v>
      </c>
      <c r="M964" s="83" t="s">
        <v>169</v>
      </c>
      <c r="N964" s="115" t="s">
        <v>170</v>
      </c>
      <c r="O964" s="98" t="s">
        <v>155</v>
      </c>
      <c r="P964" s="99" t="str">
        <f>IFERROR(__xludf.DUMMYFUNCTION("IFERROR(VLOOKUP(AS964,IMPORTRANGE(""https://docs.google.com/spreadsheets/d/1juPI-Fb8LD0YtltB2mlGEnp_R3UVu1t3wSFPzgCyHXE/edit?gid=0#gid=0"",""GERAL!A2:C""),3,0),""-"")"),"INDÍGENAS")</f>
        <v>INDÍGENAS</v>
      </c>
      <c r="Q964" s="83"/>
      <c r="R964" s="83"/>
      <c r="S964" s="83"/>
      <c r="T964" s="83"/>
      <c r="U964" s="83"/>
      <c r="V964" s="83"/>
      <c r="W964" s="83"/>
      <c r="X964" s="83"/>
      <c r="Y964" s="83"/>
      <c r="Z964" s="83"/>
      <c r="AA964" s="83"/>
      <c r="AB964" s="83"/>
      <c r="AC964" s="83"/>
      <c r="AD964" s="83"/>
      <c r="AE964" s="83"/>
      <c r="AF964" s="83"/>
      <c r="AG964" s="83"/>
      <c r="AH964" s="83"/>
      <c r="AI964" s="83"/>
      <c r="AJ964" s="83"/>
      <c r="AK964" s="83"/>
      <c r="AL964" s="83"/>
      <c r="AM964" s="83"/>
      <c r="AN964" s="83"/>
      <c r="AO964" s="83"/>
      <c r="AP964" s="83"/>
      <c r="AQ964" s="83"/>
      <c r="AR964" s="83"/>
      <c r="AS964" s="83">
        <v>1178588.0</v>
      </c>
    </row>
    <row r="965" ht="15.75" customHeight="1">
      <c r="A965" s="111" t="s">
        <v>1224</v>
      </c>
      <c r="B965" s="83" t="s">
        <v>5024</v>
      </c>
      <c r="C965" s="83" t="s">
        <v>164</v>
      </c>
      <c r="D965" s="112">
        <v>1178319.0</v>
      </c>
      <c r="E965" s="83">
        <v>1178589.0</v>
      </c>
      <c r="F965" s="83"/>
      <c r="G965" s="91" t="str">
        <f>IFERROR(__xludf.DUMMYFUNCTION("XLOOKUP(AS965,
IMPORTRANGE(""https://docs.google.com/spreadsheets/d/1YM-djuOLXomrZ9W0B4TyIBsVWnXY4EIOFD9HY-qGfv0/edit?usp=sharing"",""GERAL!BG5:BG""),
IMPORTRANGE(""https://docs.google.com/spreadsheets/d/1YM-djuOLXomrZ9W0B4TyIBsVWnXY4EIOFD9HY-qGfv0/edit?u"&amp;"sp=sharing"",""GERAL!G5:G""),
""CÓD. SEC NÃO ENCONTRADO NA PLANILHA DE MATRÍCULA"")"),"ANEXO DO COL. EST - INDIGENA JOSE ZACARIAS - ALDEIA MARCACAO")</f>
        <v>ANEXO DO COL. EST - INDIGENA JOSE ZACARIAS - ALDEIA MARCACAO</v>
      </c>
      <c r="H965" s="114" t="s">
        <v>5062</v>
      </c>
      <c r="I965" s="91" t="s">
        <v>5063</v>
      </c>
      <c r="J965" s="136" t="s">
        <v>5064</v>
      </c>
      <c r="K965" s="83" t="s">
        <v>1741</v>
      </c>
      <c r="L965" s="83" t="s">
        <v>151</v>
      </c>
      <c r="M965" s="83" t="s">
        <v>169</v>
      </c>
      <c r="N965" s="115" t="s">
        <v>170</v>
      </c>
      <c r="O965" s="98" t="s">
        <v>155</v>
      </c>
      <c r="P965" s="99" t="str">
        <f>IFERROR(__xludf.DUMMYFUNCTION("IFERROR(VLOOKUP(AS965,IMPORTRANGE(""https://docs.google.com/spreadsheets/d/1juPI-Fb8LD0YtltB2mlGEnp_R3UVu1t3wSFPzgCyHXE/edit?gid=0#gid=0"",""GERAL!A2:C""),3,0),""-"")"),"INDÍGENAS")</f>
        <v>INDÍGENAS</v>
      </c>
      <c r="Q965" s="83"/>
      <c r="R965" s="83"/>
      <c r="S965" s="83"/>
      <c r="T965" s="83"/>
      <c r="U965" s="83"/>
      <c r="V965" s="83"/>
      <c r="W965" s="83"/>
      <c r="X965" s="83"/>
      <c r="Y965" s="83"/>
      <c r="Z965" s="83"/>
      <c r="AA965" s="83"/>
      <c r="AB965" s="83"/>
      <c r="AC965" s="83"/>
      <c r="AD965" s="83"/>
      <c r="AE965" s="83"/>
      <c r="AF965" s="83"/>
      <c r="AG965" s="83"/>
      <c r="AH965" s="83"/>
      <c r="AI965" s="83"/>
      <c r="AJ965" s="83"/>
      <c r="AK965" s="83"/>
      <c r="AL965" s="83"/>
      <c r="AM965" s="83"/>
      <c r="AN965" s="83"/>
      <c r="AO965" s="83"/>
      <c r="AP965" s="83"/>
      <c r="AQ965" s="83"/>
      <c r="AR965" s="83"/>
      <c r="AS965" s="83">
        <v>1178589.0</v>
      </c>
    </row>
    <row r="966" ht="15.75" customHeight="1">
      <c r="A966" s="111" t="s">
        <v>1224</v>
      </c>
      <c r="B966" s="83" t="s">
        <v>5024</v>
      </c>
      <c r="C966" s="83" t="s">
        <v>164</v>
      </c>
      <c r="D966" s="112">
        <v>1179128.0</v>
      </c>
      <c r="E966" s="83">
        <v>1179133.0</v>
      </c>
      <c r="F966" s="83"/>
      <c r="G966" s="91" t="str">
        <f>IFERROR(__xludf.DUMMYFUNCTION("XLOOKUP(AS966,
IMPORTRANGE(""https://docs.google.com/spreadsheets/d/1YM-djuOLXomrZ9W0B4TyIBsVWnXY4EIOFD9HY-qGfv0/edit?usp=sharing"",""GERAL!BG5:BG""),
IMPORTRANGE(""https://docs.google.com/spreadsheets/d/1YM-djuOLXomrZ9W0B4TyIBsVWnXY4EIOFD9HY-qGfv0/edit?u"&amp;"sp=sharing"",""GERAL!G5:G""),
""CÓD. SEC NÃO ENCONTRADO NA PLANILHA DE MATRÍCULA"")"),"ANEXO AO COL. EST. INDIGENA FLORENTINO DOMINGOS DE ANDRADE - ALDEIA BAIXA DO JUA")</f>
        <v>ANEXO AO COL. EST. INDIGENA FLORENTINO DOMINGOS DE ANDRADE - ALDEIA BAIXA DO JUA</v>
      </c>
      <c r="H966" s="114" t="s">
        <v>5072</v>
      </c>
      <c r="I966" s="91" t="s">
        <v>5073</v>
      </c>
      <c r="J966" s="83" t="s">
        <v>5074</v>
      </c>
      <c r="K966" s="83" t="s">
        <v>822</v>
      </c>
      <c r="L966" s="83" t="s">
        <v>168</v>
      </c>
      <c r="M966" s="83" t="s">
        <v>169</v>
      </c>
      <c r="N966" s="115" t="s">
        <v>170</v>
      </c>
      <c r="O966" s="98" t="s">
        <v>155</v>
      </c>
      <c r="P966" s="99" t="str">
        <f>IFERROR(__xludf.DUMMYFUNCTION("IFERROR(VLOOKUP(AS966,IMPORTRANGE(""https://docs.google.com/spreadsheets/d/1juPI-Fb8LD0YtltB2mlGEnp_R3UVu1t3wSFPzgCyHXE/edit?gid=0#gid=0"",""GERAL!A2:C""),3,0),""-"")"),"INDÍGENAS")</f>
        <v>INDÍGENAS</v>
      </c>
      <c r="Q966" s="83"/>
      <c r="R966" s="83"/>
      <c r="S966" s="83"/>
      <c r="T966" s="83"/>
      <c r="U966" s="83"/>
      <c r="V966" s="83"/>
      <c r="W966" s="83"/>
      <c r="X966" s="83"/>
      <c r="Y966" s="83"/>
      <c r="Z966" s="83"/>
      <c r="AA966" s="83"/>
      <c r="AB966" s="83"/>
      <c r="AC966" s="83"/>
      <c r="AD966" s="83"/>
      <c r="AE966" s="83"/>
      <c r="AF966" s="83"/>
      <c r="AG966" s="83"/>
      <c r="AH966" s="83"/>
      <c r="AI966" s="83"/>
      <c r="AJ966" s="83"/>
      <c r="AK966" s="83"/>
      <c r="AL966" s="83"/>
      <c r="AM966" s="83"/>
      <c r="AN966" s="83"/>
      <c r="AO966" s="83"/>
      <c r="AP966" s="83"/>
      <c r="AQ966" s="83"/>
      <c r="AR966" s="83"/>
      <c r="AS966" s="83">
        <v>1179133.0</v>
      </c>
    </row>
    <row r="967" ht="15.75" customHeight="1">
      <c r="A967" s="111" t="s">
        <v>1224</v>
      </c>
      <c r="B967" s="83" t="s">
        <v>5024</v>
      </c>
      <c r="C967" s="83" t="s">
        <v>164</v>
      </c>
      <c r="D967" s="112">
        <v>1179128.0</v>
      </c>
      <c r="E967" s="83">
        <v>1179130.0</v>
      </c>
      <c r="F967" s="83"/>
      <c r="G967" s="91" t="str">
        <f>IFERROR(__xludf.DUMMYFUNCTION("XLOOKUP(AS967,
IMPORTRANGE(""https://docs.google.com/spreadsheets/d/1YM-djuOLXomrZ9W0B4TyIBsVWnXY4EIOFD9HY-qGfv0/edit?usp=sharing"",""GERAL!BG5:BG""),
IMPORTRANGE(""https://docs.google.com/spreadsheets/d/1YM-djuOLXomrZ9W0B4TyIBsVWnXY4EIOFD9HY-qGfv0/edit?u"&amp;"sp=sharing"",""GERAL!G5:G""),
""CÓD. SEC NÃO ENCONTRADO NA PLANILHA DE MATRÍCULA"")"),"ANEXO AO COL. EST. INDIGENA FLORENTINO DOMINGOS DE ANDRADE - ALDEIA BAIXA DA CANGALHA")</f>
        <v>ANEXO AO COL. EST. INDIGENA FLORENTINO DOMINGOS DE ANDRADE - ALDEIA BAIXA DA CANGALHA</v>
      </c>
      <c r="H967" s="114" t="s">
        <v>5075</v>
      </c>
      <c r="I967" s="91" t="s">
        <v>5076</v>
      </c>
      <c r="J967" s="83" t="s">
        <v>5077</v>
      </c>
      <c r="K967" s="83" t="s">
        <v>1321</v>
      </c>
      <c r="L967" s="83" t="s">
        <v>168</v>
      </c>
      <c r="M967" s="83" t="s">
        <v>169</v>
      </c>
      <c r="N967" s="115" t="s">
        <v>170</v>
      </c>
      <c r="O967" s="98" t="s">
        <v>155</v>
      </c>
      <c r="P967" s="99" t="str">
        <f>IFERROR(__xludf.DUMMYFUNCTION("IFERROR(VLOOKUP(AS967,IMPORTRANGE(""https://docs.google.com/spreadsheets/d/1juPI-Fb8LD0YtltB2mlGEnp_R3UVu1t3wSFPzgCyHXE/edit?gid=0#gid=0"",""GERAL!A2:C""),3,0),""-"")"),"INDÍGENAS")</f>
        <v>INDÍGENAS</v>
      </c>
      <c r="Q967" s="83"/>
      <c r="R967" s="83"/>
      <c r="S967" s="83"/>
      <c r="T967" s="83"/>
      <c r="U967" s="83"/>
      <c r="V967" s="83"/>
      <c r="W967" s="83"/>
      <c r="X967" s="83"/>
      <c r="Y967" s="83"/>
      <c r="Z967" s="83"/>
      <c r="AA967" s="83"/>
      <c r="AB967" s="83"/>
      <c r="AC967" s="83"/>
      <c r="AD967" s="83"/>
      <c r="AE967" s="83"/>
      <c r="AF967" s="83"/>
      <c r="AG967" s="83"/>
      <c r="AH967" s="83"/>
      <c r="AI967" s="83"/>
      <c r="AJ967" s="83"/>
      <c r="AK967" s="83"/>
      <c r="AL967" s="83"/>
      <c r="AM967" s="83"/>
      <c r="AN967" s="83"/>
      <c r="AO967" s="83"/>
      <c r="AP967" s="83"/>
      <c r="AQ967" s="83"/>
      <c r="AR967" s="83"/>
      <c r="AS967" s="83">
        <v>1179130.0</v>
      </c>
    </row>
    <row r="968" ht="15.75" customHeight="1">
      <c r="A968" s="111" t="s">
        <v>1224</v>
      </c>
      <c r="B968" s="83" t="s">
        <v>5024</v>
      </c>
      <c r="C968" s="83" t="s">
        <v>164</v>
      </c>
      <c r="D968" s="112">
        <v>1179131.0</v>
      </c>
      <c r="E968" s="83">
        <v>1179531.0</v>
      </c>
      <c r="F968" s="83"/>
      <c r="G968" s="91" t="str">
        <f>IFERROR(__xludf.DUMMYFUNCTION("XLOOKUP(AS968,
IMPORTRANGE(""https://docs.google.com/spreadsheets/d/1YM-djuOLXomrZ9W0B4TyIBsVWnXY4EIOFD9HY-qGfv0/edit?usp=sharing"",""GERAL!BG5:BG""),
IMPORTRANGE(""https://docs.google.com/spreadsheets/d/1YM-djuOLXomrZ9W0B4TyIBsVWnXY4EIOFD9HY-qGfv0/edit?u"&amp;"sp=sharing"",""GERAL!G5:G""),
""CÓD. SEC NÃO ENCONTRADO NA PLANILHA DE MATRÍCULA"")"),"ANEXO -COLÉGIO EST. INDIGENA KIRIRI INDIO FELIZ - ALDEIA ARACAS")</f>
        <v>ANEXO -COLÉGIO EST. INDIGENA KIRIRI INDIO FELIZ - ALDEIA ARACAS</v>
      </c>
      <c r="H968" s="119" t="s">
        <v>5078</v>
      </c>
      <c r="I968" s="91" t="s">
        <v>5079</v>
      </c>
      <c r="J968" s="233" t="s">
        <v>5080</v>
      </c>
      <c r="K968" s="83" t="s">
        <v>1301</v>
      </c>
      <c r="L968" s="83" t="s">
        <v>168</v>
      </c>
      <c r="M968" s="83" t="s">
        <v>169</v>
      </c>
      <c r="N968" s="115" t="s">
        <v>170</v>
      </c>
      <c r="O968" s="98" t="s">
        <v>155</v>
      </c>
      <c r="P968" s="99" t="str">
        <f>IFERROR(__xludf.DUMMYFUNCTION("IFERROR(VLOOKUP(AS968,IMPORTRANGE(""https://docs.google.com/spreadsheets/d/1juPI-Fb8LD0YtltB2mlGEnp_R3UVu1t3wSFPzgCyHXE/edit?gid=0#gid=0"",""GERAL!A2:C""),3,0),""-"")"),"INDÍGENAS")</f>
        <v>INDÍGENAS</v>
      </c>
      <c r="Q968" s="83"/>
      <c r="R968" s="83"/>
      <c r="S968" s="83"/>
      <c r="T968" s="83"/>
      <c r="U968" s="83"/>
      <c r="V968" s="83"/>
      <c r="W968" s="83"/>
      <c r="X968" s="83"/>
      <c r="Y968" s="83"/>
      <c r="Z968" s="83"/>
      <c r="AA968" s="83"/>
      <c r="AB968" s="83"/>
      <c r="AC968" s="83"/>
      <c r="AD968" s="83"/>
      <c r="AE968" s="83"/>
      <c r="AF968" s="83"/>
      <c r="AG968" s="83"/>
      <c r="AH968" s="83"/>
      <c r="AI968" s="83"/>
      <c r="AJ968" s="83"/>
      <c r="AK968" s="83"/>
      <c r="AL968" s="83"/>
      <c r="AM968" s="83"/>
      <c r="AN968" s="83"/>
      <c r="AO968" s="83"/>
      <c r="AP968" s="83"/>
      <c r="AQ968" s="83"/>
      <c r="AR968" s="83"/>
      <c r="AS968" s="83">
        <v>1179531.0</v>
      </c>
    </row>
    <row r="969" ht="15.75" customHeight="1">
      <c r="A969" s="111" t="s">
        <v>1224</v>
      </c>
      <c r="B969" s="83" t="s">
        <v>5024</v>
      </c>
      <c r="C969" s="83" t="s">
        <v>164</v>
      </c>
      <c r="D969" s="112">
        <v>1179131.0</v>
      </c>
      <c r="E969" s="83">
        <v>1179710.0</v>
      </c>
      <c r="F969" s="83"/>
      <c r="G969" s="91" t="str">
        <f>IFERROR(__xludf.DUMMYFUNCTION("XLOOKUP(AS969,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INDIGENA KIRIRI INDIO FELIZ - SACÃO SACO DOS MORCEGOS")</f>
        <v>ANEXO - COLÉGIO ESTADUAL INDIGENA KIRIRI INDIO FELIZ - SACÃO SACO DOS MORCEGOS</v>
      </c>
      <c r="H969" s="114" t="s">
        <v>5086</v>
      </c>
      <c r="I969" s="160" t="s">
        <v>5087</v>
      </c>
      <c r="J969" s="136" t="s">
        <v>5088</v>
      </c>
      <c r="K969" s="98" t="s">
        <v>327</v>
      </c>
      <c r="L969" s="83" t="s">
        <v>168</v>
      </c>
      <c r="M969" s="83" t="s">
        <v>512</v>
      </c>
      <c r="N969" s="115" t="s">
        <v>170</v>
      </c>
      <c r="O969" s="98" t="s">
        <v>155</v>
      </c>
      <c r="P969" s="99" t="str">
        <f>IFERROR(__xludf.DUMMYFUNCTION("IFERROR(VLOOKUP(AS969,IMPORTRANGE(""https://docs.google.com/spreadsheets/d/1juPI-Fb8LD0YtltB2mlGEnp_R3UVu1t3wSFPzgCyHXE/edit?gid=0#gid=0"",""GERAL!A2:C""),3,0),""-"")"),"INDÍGENAS")</f>
        <v>INDÍGENAS</v>
      </c>
      <c r="Q969" s="83"/>
      <c r="R969" s="83"/>
      <c r="S969" s="83"/>
      <c r="T969" s="83"/>
      <c r="U969" s="83"/>
      <c r="V969" s="83"/>
      <c r="W969" s="83"/>
      <c r="X969" s="83"/>
      <c r="Y969" s="83"/>
      <c r="Z969" s="83"/>
      <c r="AA969" s="83"/>
      <c r="AB969" s="83"/>
      <c r="AC969" s="83"/>
      <c r="AD969" s="83"/>
      <c r="AE969" s="83"/>
      <c r="AF969" s="83"/>
      <c r="AG969" s="83"/>
      <c r="AH969" s="83"/>
      <c r="AI969" s="83"/>
      <c r="AJ969" s="83"/>
      <c r="AK969" s="83"/>
      <c r="AL969" s="83"/>
      <c r="AM969" s="83"/>
      <c r="AN969" s="83"/>
      <c r="AO969" s="83"/>
      <c r="AP969" s="83"/>
      <c r="AQ969" s="83"/>
      <c r="AR969" s="83"/>
      <c r="AS969" s="83">
        <v>1179710.0</v>
      </c>
    </row>
    <row r="970" ht="15.75" customHeight="1">
      <c r="A970" s="111" t="s">
        <v>1224</v>
      </c>
      <c r="B970" s="83" t="s">
        <v>5024</v>
      </c>
      <c r="C970" s="83" t="s">
        <v>164</v>
      </c>
      <c r="D970" s="112">
        <v>1179128.0</v>
      </c>
      <c r="E970" s="83">
        <v>1179529.0</v>
      </c>
      <c r="F970" s="83"/>
      <c r="G970" s="91" t="str">
        <f>IFERROR(__xludf.DUMMYFUNCTION("XLOOKUP(AS970,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INDIGENA FLORENTINO DOMINGOS DE ANDRADE - ALDEIA SEGREDO")</f>
        <v>ANEXO - COLÉGIO ESTADUAL INDIGENA FLORENTINO DOMINGOS DE ANDRADE - ALDEIA SEGREDO</v>
      </c>
      <c r="H970" s="119" t="s">
        <v>5089</v>
      </c>
      <c r="I970" s="91" t="s">
        <v>5090</v>
      </c>
      <c r="J970" s="136" t="s">
        <v>5091</v>
      </c>
      <c r="K970" s="83" t="s">
        <v>1012</v>
      </c>
      <c r="L970" s="83" t="s">
        <v>168</v>
      </c>
      <c r="M970" s="83" t="s">
        <v>169</v>
      </c>
      <c r="N970" s="115" t="s">
        <v>170</v>
      </c>
      <c r="O970" s="98" t="s">
        <v>155</v>
      </c>
      <c r="P970" s="99" t="str">
        <f>IFERROR(__xludf.DUMMYFUNCTION("IFERROR(VLOOKUP(AS970,IMPORTRANGE(""https://docs.google.com/spreadsheets/d/1juPI-Fb8LD0YtltB2mlGEnp_R3UVu1t3wSFPzgCyHXE/edit?gid=0#gid=0"",""GERAL!A2:C""),3,0),""-"")"),"INDÍGENAS")</f>
        <v>INDÍGENAS</v>
      </c>
      <c r="Q970" s="83"/>
      <c r="R970" s="83"/>
      <c r="S970" s="83"/>
      <c r="T970" s="83"/>
      <c r="U970" s="83"/>
      <c r="V970" s="83"/>
      <c r="W970" s="83"/>
      <c r="X970" s="83"/>
      <c r="Y970" s="83"/>
      <c r="Z970" s="83"/>
      <c r="AA970" s="83"/>
      <c r="AB970" s="83"/>
      <c r="AC970" s="83"/>
      <c r="AD970" s="83"/>
      <c r="AE970" s="83"/>
      <c r="AF970" s="83"/>
      <c r="AG970" s="83"/>
      <c r="AH970" s="83"/>
      <c r="AI970" s="83"/>
      <c r="AJ970" s="83"/>
      <c r="AK970" s="83"/>
      <c r="AL970" s="83"/>
      <c r="AM970" s="83"/>
      <c r="AN970" s="83"/>
      <c r="AO970" s="83"/>
      <c r="AP970" s="83"/>
      <c r="AQ970" s="83"/>
      <c r="AR970" s="83"/>
      <c r="AS970" s="83">
        <v>1179529.0</v>
      </c>
    </row>
    <row r="971" ht="15.75" customHeight="1">
      <c r="A971" s="111" t="s">
        <v>1224</v>
      </c>
      <c r="B971" s="83" t="s">
        <v>5024</v>
      </c>
      <c r="C971" s="83" t="s">
        <v>164</v>
      </c>
      <c r="D971" s="112">
        <v>1179131.0</v>
      </c>
      <c r="E971" s="83">
        <v>1179132.0</v>
      </c>
      <c r="F971" s="83"/>
      <c r="G971" s="91" t="str">
        <f>IFERROR(__xludf.DUMMYFUNCTION("XLOOKUP(AS971,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 INDIGENA KIRIRI INDIO FELIZ - ALDEIA SEGREDO")</f>
        <v>ANEXO - COLÉGIO EST. INDIGENA KIRIRI INDIO FELIZ - ALDEIA SEGREDO</v>
      </c>
      <c r="H971" s="119" t="s">
        <v>5097</v>
      </c>
      <c r="I971" s="91" t="s">
        <v>5098</v>
      </c>
      <c r="J971" s="233" t="s">
        <v>5091</v>
      </c>
      <c r="K971" s="83" t="s">
        <v>5099</v>
      </c>
      <c r="L971" s="83" t="s">
        <v>151</v>
      </c>
      <c r="M971" s="83" t="s">
        <v>169</v>
      </c>
      <c r="N971" s="115" t="s">
        <v>170</v>
      </c>
      <c r="O971" s="98" t="s">
        <v>155</v>
      </c>
      <c r="P971" s="99" t="str">
        <f>IFERROR(__xludf.DUMMYFUNCTION("IFERROR(VLOOKUP(AS971,IMPORTRANGE(""https://docs.google.com/spreadsheets/d/1juPI-Fb8LD0YtltB2mlGEnp_R3UVu1t3wSFPzgCyHXE/edit?gid=0#gid=0"",""GERAL!A2:C""),3,0),""-"")"),"INDÍGENAS")</f>
        <v>INDÍGENAS</v>
      </c>
      <c r="Q971" s="83"/>
      <c r="R971" s="83"/>
      <c r="S971" s="83"/>
      <c r="T971" s="83"/>
      <c r="U971" s="83"/>
      <c r="V971" s="83"/>
      <c r="W971" s="83"/>
      <c r="X971" s="83"/>
      <c r="Y971" s="83"/>
      <c r="Z971" s="83"/>
      <c r="AA971" s="83"/>
      <c r="AB971" s="83"/>
      <c r="AC971" s="83"/>
      <c r="AD971" s="83"/>
      <c r="AE971" s="83"/>
      <c r="AF971" s="83"/>
      <c r="AG971" s="83"/>
      <c r="AH971" s="83"/>
      <c r="AI971" s="83"/>
      <c r="AJ971" s="83"/>
      <c r="AK971" s="83"/>
      <c r="AL971" s="83"/>
      <c r="AM971" s="83"/>
      <c r="AN971" s="83"/>
      <c r="AO971" s="83"/>
      <c r="AP971" s="83"/>
      <c r="AQ971" s="83"/>
      <c r="AR971" s="83"/>
      <c r="AS971" s="83">
        <v>1179132.0</v>
      </c>
    </row>
    <row r="972" ht="15.75" customHeight="1">
      <c r="A972" s="111" t="s">
        <v>1224</v>
      </c>
      <c r="B972" s="83" t="s">
        <v>5101</v>
      </c>
      <c r="C972" s="83" t="s">
        <v>68</v>
      </c>
      <c r="D972" s="112">
        <v>1114729.0</v>
      </c>
      <c r="E972" s="83"/>
      <c r="F972" s="83">
        <v>2.9126991E7</v>
      </c>
      <c r="G972" s="91" t="str">
        <f>IFERROR(__xludf.DUMMYFUNCTION("XLOOKUP(AS972,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PROFESSOR LUIZ NAVARRO DE BRITO")</f>
        <v>COLÉGIO ESTADUAL PROFESSOR LUIZ NAVARRO DE BRITO</v>
      </c>
      <c r="H972" s="114" t="s">
        <v>5106</v>
      </c>
      <c r="I972" s="91" t="s">
        <v>5107</v>
      </c>
      <c r="J972" s="136" t="s">
        <v>149</v>
      </c>
      <c r="K972" s="83" t="s">
        <v>150</v>
      </c>
      <c r="L972" s="83" t="s">
        <v>151</v>
      </c>
      <c r="M972" s="83" t="s">
        <v>76</v>
      </c>
      <c r="N972" s="98" t="s">
        <v>5108</v>
      </c>
      <c r="O972" s="98" t="s">
        <v>155</v>
      </c>
      <c r="P972" s="99" t="str">
        <f>IFERROR(__xludf.DUMMYFUNCTION("IFERROR(VLOOKUP(AS972,IMPORTRANGE(""https://docs.google.com/spreadsheets/d/1juPI-Fb8LD0YtltB2mlGEnp_R3UVu1t3wSFPzgCyHXE/edit?gid=0#gid=0"",""GERAL!A2:C""),3,0),""-"")"),"-")</f>
        <v>-</v>
      </c>
      <c r="Q972" s="83"/>
      <c r="R972" s="83"/>
      <c r="S972" s="83"/>
      <c r="T972" s="83"/>
      <c r="U972" s="83"/>
      <c r="V972" s="83"/>
      <c r="W972" s="83"/>
      <c r="X972" s="83"/>
      <c r="Y972" s="83"/>
      <c r="Z972" s="83"/>
      <c r="AA972" s="83"/>
      <c r="AB972" s="83"/>
      <c r="AC972" s="83"/>
      <c r="AD972" s="83"/>
      <c r="AE972" s="83"/>
      <c r="AF972" s="83"/>
      <c r="AG972" s="83"/>
      <c r="AH972" s="83"/>
      <c r="AI972" s="83"/>
      <c r="AJ972" s="83"/>
      <c r="AK972" s="83"/>
      <c r="AL972" s="83"/>
      <c r="AM972" s="83"/>
      <c r="AN972" s="83"/>
      <c r="AO972" s="83"/>
      <c r="AP972" s="83"/>
      <c r="AQ972" s="83"/>
      <c r="AR972" s="83"/>
      <c r="AS972" s="83">
        <v>1114729.0</v>
      </c>
    </row>
    <row r="973" ht="15.75" customHeight="1">
      <c r="A973" s="111" t="s">
        <v>1224</v>
      </c>
      <c r="B973" s="83" t="s">
        <v>5101</v>
      </c>
      <c r="C973" s="83" t="s">
        <v>68</v>
      </c>
      <c r="D973" s="112">
        <v>1178254.0</v>
      </c>
      <c r="E973" s="83"/>
      <c r="F973" s="83">
        <v>2.9468E7</v>
      </c>
      <c r="G973" s="91" t="str">
        <f>IFERROR(__xludf.DUMMYFUNCTION("XLOOKUP(AS973,
IMPORTRANGE(""https://docs.google.com/spreadsheets/d/1YM-djuOLXomrZ9W0B4TyIBsVWnXY4EIOFD9HY-qGfv0/edit?usp=sharing"",""GERAL!BG5:BG""),
IMPORTRANGE(""https://docs.google.com/spreadsheets/d/1YM-djuOLXomrZ9W0B4TyIBsVWnXY4EIOFD9HY-qGfv0/edit?u"&amp;"sp=sharing"",""GERAL!G5:G""),
""CÓD. SEC NÃO ENCONTRADO NA PLANILHA DE MATRÍCULA"")"),"CENTRO EST DE EDUC PROFISSIONAL EM INFORMATICA E GESTAO LOURDES CARVALHO NEVES BATISTA")</f>
        <v>CENTRO EST DE EDUC PROFISSIONAL EM INFORMATICA E GESTAO LOURDES CARVALHO NEVES BATISTA</v>
      </c>
      <c r="H973" s="114" t="s">
        <v>5112</v>
      </c>
      <c r="I973" s="91" t="s">
        <v>5114</v>
      </c>
      <c r="J973" s="136" t="s">
        <v>149</v>
      </c>
      <c r="K973" s="83" t="s">
        <v>150</v>
      </c>
      <c r="L973" s="83" t="s">
        <v>151</v>
      </c>
      <c r="M973" s="83" t="s">
        <v>230</v>
      </c>
      <c r="N973" s="98" t="s">
        <v>5119</v>
      </c>
      <c r="O973" s="98" t="s">
        <v>155</v>
      </c>
      <c r="P973" s="99" t="str">
        <f>IFERROR(__xludf.DUMMYFUNCTION("IFERROR(VLOOKUP(AS973,IMPORTRANGE(""https://docs.google.com/spreadsheets/d/1juPI-Fb8LD0YtltB2mlGEnp_R3UVu1t3wSFPzgCyHXE/edit?gid=0#gid=0"",""GERAL!A2:C""),3,0),""-"")"),"-")</f>
        <v>-</v>
      </c>
      <c r="Q973" s="83"/>
      <c r="R973" s="83"/>
      <c r="S973" s="83"/>
      <c r="T973" s="83"/>
      <c r="U973" s="83"/>
      <c r="V973" s="83"/>
      <c r="W973" s="83"/>
      <c r="X973" s="83"/>
      <c r="Y973" s="83"/>
      <c r="Z973" s="83"/>
      <c r="AA973" s="83"/>
      <c r="AB973" s="83"/>
      <c r="AC973" s="83"/>
      <c r="AD973" s="83"/>
      <c r="AE973" s="83"/>
      <c r="AF973" s="83"/>
      <c r="AG973" s="83"/>
      <c r="AH973" s="83"/>
      <c r="AI973" s="83"/>
      <c r="AJ973" s="83"/>
      <c r="AK973" s="83"/>
      <c r="AL973" s="83"/>
      <c r="AM973" s="83"/>
      <c r="AN973" s="83"/>
      <c r="AO973" s="83"/>
      <c r="AP973" s="83"/>
      <c r="AQ973" s="83"/>
      <c r="AR973" s="83"/>
      <c r="AS973" s="83">
        <v>1178254.0</v>
      </c>
    </row>
    <row r="974" ht="15.75" customHeight="1">
      <c r="A974" s="111" t="s">
        <v>1224</v>
      </c>
      <c r="B974" s="83" t="s">
        <v>5101</v>
      </c>
      <c r="C974" s="83" t="s">
        <v>164</v>
      </c>
      <c r="D974" s="112">
        <v>1114729.0</v>
      </c>
      <c r="E974" s="83">
        <v>1178590.0</v>
      </c>
      <c r="F974" s="83"/>
      <c r="G974" s="91" t="str">
        <f>IFERROR(__xludf.DUMMYFUNCTION("XLOOKUP(AS974,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PROFESSOR LUIZ NAVARRO DE BRITO - POVOADO DE CAXIAS")</f>
        <v>ANEXO - COLÉGIO ESTADUAL PROFESSOR LUIZ NAVARRO DE BRITO - POVOADO DE CAXIAS</v>
      </c>
      <c r="H974" s="114" t="s">
        <v>5121</v>
      </c>
      <c r="I974" s="91" t="s">
        <v>5122</v>
      </c>
      <c r="J974" s="136" t="s">
        <v>149</v>
      </c>
      <c r="K974" s="83" t="s">
        <v>464</v>
      </c>
      <c r="L974" s="83" t="s">
        <v>168</v>
      </c>
      <c r="M974" s="83" t="s">
        <v>169</v>
      </c>
      <c r="N974" s="115" t="s">
        <v>170</v>
      </c>
      <c r="O974" s="98" t="s">
        <v>155</v>
      </c>
      <c r="P974" s="99" t="str">
        <f>IFERROR(__xludf.DUMMYFUNCTION("IFERROR(VLOOKUP(AS974,IMPORTRANGE(""https://docs.google.com/spreadsheets/d/1juPI-Fb8LD0YtltB2mlGEnp_R3UVu1t3wSFPzgCyHXE/edit?gid=0#gid=0"",""GERAL!A2:C""),3,0),""-"")"),"CAMPO")</f>
        <v>CAMPO</v>
      </c>
      <c r="Q974" s="83"/>
      <c r="R974" s="83"/>
      <c r="S974" s="83"/>
      <c r="T974" s="83"/>
      <c r="U974" s="83"/>
      <c r="V974" s="83"/>
      <c r="W974" s="83"/>
      <c r="X974" s="83"/>
      <c r="Y974" s="83"/>
      <c r="Z974" s="83"/>
      <c r="AA974" s="83"/>
      <c r="AB974" s="83"/>
      <c r="AC974" s="83"/>
      <c r="AD974" s="83"/>
      <c r="AE974" s="83"/>
      <c r="AF974" s="83"/>
      <c r="AG974" s="83"/>
      <c r="AH974" s="83"/>
      <c r="AI974" s="83"/>
      <c r="AJ974" s="83"/>
      <c r="AK974" s="83"/>
      <c r="AL974" s="83"/>
      <c r="AM974" s="83"/>
      <c r="AN974" s="83"/>
      <c r="AO974" s="83"/>
      <c r="AP974" s="83"/>
      <c r="AQ974" s="83"/>
      <c r="AR974" s="83"/>
      <c r="AS974" s="83">
        <v>1178590.0</v>
      </c>
    </row>
    <row r="975" ht="15.75" customHeight="1">
      <c r="A975" s="111" t="s">
        <v>1224</v>
      </c>
      <c r="B975" s="83" t="s">
        <v>5101</v>
      </c>
      <c r="C975" s="83" t="s">
        <v>164</v>
      </c>
      <c r="D975" s="112">
        <v>1114729.0</v>
      </c>
      <c r="E975" s="83">
        <v>1178592.0</v>
      </c>
      <c r="F975" s="83"/>
      <c r="G975" s="91" t="str">
        <f>IFERROR(__xludf.DUMMYFUNCTION("XLOOKUP(AS975,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PROFESSOR LUIZ NAVARRO DE BRITO - POV SÃO JOÃO DA FORTALEZA")</f>
        <v>ANEXO - COLÉGIO ESTADUAL PROFESSOR LUIZ NAVARRO DE BRITO - POV SÃO JOÃO DA FORTALEZA</v>
      </c>
      <c r="H975" s="119" t="s">
        <v>5128</v>
      </c>
      <c r="I975" s="91" t="s">
        <v>5129</v>
      </c>
      <c r="J975" s="83" t="s">
        <v>149</v>
      </c>
      <c r="K975" s="83" t="s">
        <v>252</v>
      </c>
      <c r="L975" s="83" t="s">
        <v>168</v>
      </c>
      <c r="M975" s="83" t="s">
        <v>169</v>
      </c>
      <c r="N975" s="115" t="s">
        <v>170</v>
      </c>
      <c r="O975" s="98" t="s">
        <v>155</v>
      </c>
      <c r="P975" s="99" t="str">
        <f>IFERROR(__xludf.DUMMYFUNCTION("IFERROR(VLOOKUP(AS975,IMPORTRANGE(""https://docs.google.com/spreadsheets/d/1juPI-Fb8LD0YtltB2mlGEnp_R3UVu1t3wSFPzgCyHXE/edit?gid=0#gid=0"",""GERAL!A2:C""),3,0),""-"")"),"CAMPO")</f>
        <v>CAMPO</v>
      </c>
      <c r="Q975" s="83"/>
      <c r="R975" s="83"/>
      <c r="S975" s="83"/>
      <c r="T975" s="83"/>
      <c r="U975" s="83"/>
      <c r="V975" s="83"/>
      <c r="W975" s="83"/>
      <c r="X975" s="83"/>
      <c r="Y975" s="83"/>
      <c r="Z975" s="83"/>
      <c r="AA975" s="83"/>
      <c r="AB975" s="83"/>
      <c r="AC975" s="83"/>
      <c r="AD975" s="83"/>
      <c r="AE975" s="83"/>
      <c r="AF975" s="83"/>
      <c r="AG975" s="83"/>
      <c r="AH975" s="83"/>
      <c r="AI975" s="83"/>
      <c r="AJ975" s="83"/>
      <c r="AK975" s="83"/>
      <c r="AL975" s="83"/>
      <c r="AM975" s="83"/>
      <c r="AN975" s="83"/>
      <c r="AO975" s="83"/>
      <c r="AP975" s="83"/>
      <c r="AQ975" s="83"/>
      <c r="AR975" s="83"/>
      <c r="AS975" s="83">
        <v>1178592.0</v>
      </c>
    </row>
    <row r="976" ht="15.75" customHeight="1">
      <c r="A976" s="111" t="s">
        <v>1224</v>
      </c>
      <c r="B976" s="83" t="s">
        <v>2005</v>
      </c>
      <c r="C976" s="83" t="s">
        <v>68</v>
      </c>
      <c r="D976" s="98">
        <v>1178322.0</v>
      </c>
      <c r="E976" s="83"/>
      <c r="F976" s="98">
        <v>2.9850843E7</v>
      </c>
      <c r="G976" s="91" t="str">
        <f>IFERROR(__xludf.DUMMYFUNCTION("XLOOKUP(AS976,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ÁGUAS TERMAIS DE CIPÓ (ANTIGO CE PROFESSORA IVONE VICTOR FERNANDES SANTOS, RECEBEU O ANEXO DO DISTRITO DE ITAPICURU E O CE PROFESSORA MARIA MACEDO VIEIRA DE BRITO) ")</f>
        <v>COLÉGIO ESTADUAL DE TEMPO INTEGRAL ÁGUAS TERMAIS DE CIPÓ (ANTIGO CE PROFESSORA IVONE VICTOR FERNANDES SANTOS, RECEBEU O ANEXO DO DISTRITO DE ITAPICURU E O CE PROFESSORA MARIA MACEDO VIEIRA DE BRITO) </v>
      </c>
      <c r="H976" s="119" t="s">
        <v>5136</v>
      </c>
      <c r="I976" s="108" t="s">
        <v>5137</v>
      </c>
      <c r="J976" s="115" t="s">
        <v>171</v>
      </c>
      <c r="K976" s="83" t="s">
        <v>150</v>
      </c>
      <c r="L976" s="83" t="s">
        <v>151</v>
      </c>
      <c r="M976" s="83" t="s">
        <v>230</v>
      </c>
      <c r="N976" s="98" t="s">
        <v>5138</v>
      </c>
      <c r="O976" s="98" t="s">
        <v>162</v>
      </c>
      <c r="P976" s="99" t="str">
        <f>IFERROR(__xludf.DUMMYFUNCTION("IFERROR(VLOOKUP(AS976,IMPORTRANGE(""https://docs.google.com/spreadsheets/d/1juPI-Fb8LD0YtltB2mlGEnp_R3UVu1t3wSFPzgCyHXE/edit?gid=0#gid=0"",""GERAL!A2:C""),3,0),""-"")"),"-")</f>
        <v>-</v>
      </c>
      <c r="Q976" s="101" t="s">
        <v>156</v>
      </c>
      <c r="R976" s="98">
        <v>13.0</v>
      </c>
      <c r="S976" s="98">
        <v>0.0</v>
      </c>
      <c r="T976" s="98">
        <v>1.0</v>
      </c>
      <c r="U976" s="98">
        <v>0.0</v>
      </c>
      <c r="V976" s="98">
        <v>1.0</v>
      </c>
      <c r="W976" s="98">
        <v>3.0</v>
      </c>
      <c r="X976" s="98">
        <v>1.0</v>
      </c>
      <c r="Y976" s="98">
        <v>0.0</v>
      </c>
      <c r="Z976" s="98">
        <v>1.0</v>
      </c>
      <c r="AA976" s="98">
        <v>0.0</v>
      </c>
      <c r="AB976" s="98">
        <v>1.0</v>
      </c>
      <c r="AC976" s="98">
        <v>0.0</v>
      </c>
      <c r="AD976" s="98">
        <v>0.0</v>
      </c>
      <c r="AE976" s="98">
        <v>0.0</v>
      </c>
      <c r="AF976" s="98">
        <v>0.0</v>
      </c>
      <c r="AG976" s="98">
        <v>0.0</v>
      </c>
      <c r="AH976" s="98">
        <v>1.0</v>
      </c>
      <c r="AI976" s="98">
        <v>0.0</v>
      </c>
      <c r="AJ976" s="98">
        <v>0.0</v>
      </c>
      <c r="AK976" s="98">
        <v>1.0</v>
      </c>
      <c r="AL976" s="98">
        <v>0.0</v>
      </c>
      <c r="AM976" s="98">
        <v>0.0</v>
      </c>
      <c r="AN976" s="98">
        <v>0.0</v>
      </c>
      <c r="AO976" s="98">
        <v>1.0</v>
      </c>
      <c r="AP976" s="98">
        <v>0.0</v>
      </c>
      <c r="AQ976" s="98" t="s">
        <v>5146</v>
      </c>
      <c r="AR976" s="102">
        <v>46227.0</v>
      </c>
      <c r="AS976" s="98">
        <v>1178322.0</v>
      </c>
    </row>
    <row r="977" ht="15.75" customHeight="1">
      <c r="A977" s="111" t="s">
        <v>1224</v>
      </c>
      <c r="B977" s="83" t="s">
        <v>5148</v>
      </c>
      <c r="C977" s="83" t="s">
        <v>68</v>
      </c>
      <c r="D977" s="112">
        <v>1178049.0</v>
      </c>
      <c r="E977" s="83"/>
      <c r="F977" s="83">
        <v>2.9423805E7</v>
      </c>
      <c r="G977" s="91" t="str">
        <f>IFERROR(__xludf.DUMMYFUNCTION("XLOOKUP(AS977,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DE SANTO ANTONIO")</f>
        <v>COLÉGIO ESTADUAL DE TEMPO INTEGRAL DE SANTO ANTONIO</v>
      </c>
      <c r="H977" s="119" t="s">
        <v>5155</v>
      </c>
      <c r="I977" s="91" t="s">
        <v>5156</v>
      </c>
      <c r="J977" s="136" t="s">
        <v>149</v>
      </c>
      <c r="K977" s="83" t="s">
        <v>150</v>
      </c>
      <c r="L977" s="83" t="s">
        <v>151</v>
      </c>
      <c r="M977" s="83" t="s">
        <v>152</v>
      </c>
      <c r="N977" s="98" t="s">
        <v>5157</v>
      </c>
      <c r="O977" s="98" t="s">
        <v>176</v>
      </c>
      <c r="P977" s="99" t="str">
        <f>IFERROR(__xludf.DUMMYFUNCTION("IFERROR(VLOOKUP(AS977,IMPORTRANGE(""https://docs.google.com/spreadsheets/d/1juPI-Fb8LD0YtltB2mlGEnp_R3UVu1t3wSFPzgCyHXE/edit?gid=0#gid=0"",""GERAL!A2:C""),3,0),""-"")"),"-")</f>
        <v>-</v>
      </c>
      <c r="Q977" s="101" t="s">
        <v>156</v>
      </c>
      <c r="R977" s="98">
        <v>15.0</v>
      </c>
      <c r="S977" s="98">
        <v>0.0</v>
      </c>
      <c r="T977" s="98">
        <v>1.0</v>
      </c>
      <c r="U977" s="98">
        <v>1.0</v>
      </c>
      <c r="V977" s="98">
        <v>1.0</v>
      </c>
      <c r="W977" s="98">
        <v>0.0</v>
      </c>
      <c r="X977" s="98">
        <v>0.0</v>
      </c>
      <c r="Y977" s="98">
        <v>1.0</v>
      </c>
      <c r="Z977" s="98">
        <v>1.0</v>
      </c>
      <c r="AA977" s="98">
        <v>0.0</v>
      </c>
      <c r="AB977" s="98">
        <v>1.0</v>
      </c>
      <c r="AC977" s="98">
        <v>0.0</v>
      </c>
      <c r="AD977" s="98">
        <v>0.0</v>
      </c>
      <c r="AE977" s="98">
        <v>0.0</v>
      </c>
      <c r="AF977" s="98">
        <v>1.0</v>
      </c>
      <c r="AG977" s="98">
        <v>0.0</v>
      </c>
      <c r="AH977" s="98">
        <v>0.0</v>
      </c>
      <c r="AI977" s="98">
        <v>0.0</v>
      </c>
      <c r="AJ977" s="98">
        <v>1.0</v>
      </c>
      <c r="AK977" s="98">
        <v>0.0</v>
      </c>
      <c r="AL977" s="98">
        <v>0.0</v>
      </c>
      <c r="AM977" s="98">
        <v>0.0</v>
      </c>
      <c r="AN977" s="98">
        <v>0.0</v>
      </c>
      <c r="AO977" s="98">
        <v>0.0</v>
      </c>
      <c r="AP977" s="98">
        <v>1.0</v>
      </c>
      <c r="AQ977" s="98" t="s">
        <v>5165</v>
      </c>
      <c r="AR977" s="102">
        <v>46231.0</v>
      </c>
      <c r="AS977" s="83">
        <v>1178049.0</v>
      </c>
    </row>
    <row r="978" ht="15.75" customHeight="1">
      <c r="A978" s="111" t="s">
        <v>1224</v>
      </c>
      <c r="B978" s="83" t="s">
        <v>2000</v>
      </c>
      <c r="C978" s="83" t="s">
        <v>68</v>
      </c>
      <c r="D978" s="112">
        <v>1179120.0</v>
      </c>
      <c r="E978" s="83"/>
      <c r="F978" s="83">
        <v>2.9117194E7</v>
      </c>
      <c r="G978" s="91" t="str">
        <f>IFERROR(__xludf.DUMMYFUNCTION("XLOOKUP(AS978,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INDIGENA DOM JACKSON BERENGUER PRADO - COMUNIDADE INDIGENA VILA MASSACARA")</f>
        <v>COLÉGIO ESTADUAL INDIGENA DOM JACKSON BERENGUER PRADO - COMUNIDADE INDIGENA VILA MASSACARA</v>
      </c>
      <c r="H978" s="119" t="s">
        <v>5171</v>
      </c>
      <c r="I978" s="91" t="s">
        <v>5173</v>
      </c>
      <c r="J978" s="136" t="s">
        <v>5175</v>
      </c>
      <c r="K978" s="83" t="s">
        <v>839</v>
      </c>
      <c r="L978" s="83" t="s">
        <v>168</v>
      </c>
      <c r="M978" s="83" t="s">
        <v>76</v>
      </c>
      <c r="N978" s="98" t="s">
        <v>5176</v>
      </c>
      <c r="O978" s="98" t="s">
        <v>155</v>
      </c>
      <c r="P978" s="99" t="str">
        <f>IFERROR(__xludf.DUMMYFUNCTION("IFERROR(VLOOKUP(AS978,IMPORTRANGE(""https://docs.google.com/spreadsheets/d/1juPI-Fb8LD0YtltB2mlGEnp_R3UVu1t3wSFPzgCyHXE/edit?gid=0#gid=0"",""GERAL!A2:C""),3,0),""-"")"),"INDÍGENAS")</f>
        <v>INDÍGENAS</v>
      </c>
      <c r="Q978" s="101" t="s">
        <v>156</v>
      </c>
      <c r="R978" s="98">
        <v>12.0</v>
      </c>
      <c r="S978" s="98">
        <v>1.0</v>
      </c>
      <c r="T978" s="98">
        <v>1.0</v>
      </c>
      <c r="U978" s="98">
        <v>0.0</v>
      </c>
      <c r="V978" s="98">
        <v>1.0</v>
      </c>
      <c r="W978" s="98">
        <v>3.0</v>
      </c>
      <c r="X978" s="98">
        <v>1.0</v>
      </c>
      <c r="Y978" s="98">
        <v>0.0</v>
      </c>
      <c r="Z978" s="98">
        <v>0.0</v>
      </c>
      <c r="AA978" s="98">
        <v>1.0</v>
      </c>
      <c r="AB978" s="98">
        <v>1.0</v>
      </c>
      <c r="AC978" s="98">
        <v>0.0</v>
      </c>
      <c r="AD978" s="98">
        <v>0.0</v>
      </c>
      <c r="AE978" s="98">
        <v>0.0</v>
      </c>
      <c r="AF978" s="98">
        <v>1.0</v>
      </c>
      <c r="AG978" s="98">
        <v>0.0</v>
      </c>
      <c r="AH978" s="98">
        <v>0.0</v>
      </c>
      <c r="AI978" s="98">
        <v>0.0</v>
      </c>
      <c r="AJ978" s="98">
        <v>0.0</v>
      </c>
      <c r="AK978" s="98">
        <v>0.0</v>
      </c>
      <c r="AL978" s="98">
        <v>0.0</v>
      </c>
      <c r="AM978" s="98">
        <v>0.0</v>
      </c>
      <c r="AN978" s="98">
        <v>0.0</v>
      </c>
      <c r="AO978" s="98">
        <v>0.0</v>
      </c>
      <c r="AP978" s="98">
        <v>0.0</v>
      </c>
      <c r="AQ978" s="407" t="s">
        <v>5177</v>
      </c>
      <c r="AR978" s="102">
        <v>46244.0</v>
      </c>
      <c r="AS978" s="83">
        <v>1179120.0</v>
      </c>
    </row>
    <row r="979" ht="15.75" customHeight="1">
      <c r="A979" s="111" t="s">
        <v>1224</v>
      </c>
      <c r="B979" s="83" t="s">
        <v>2000</v>
      </c>
      <c r="C979" s="83" t="s">
        <v>68</v>
      </c>
      <c r="D979" s="112">
        <v>1114680.0</v>
      </c>
      <c r="E979" s="83"/>
      <c r="F979" s="83">
        <v>2.911724E7</v>
      </c>
      <c r="G979" s="91" t="str">
        <f>IFERROR(__xludf.DUMMYFUNCTION("XLOOKUP(AS979,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EDUCANDÁRIO OLIVEIRA BRITO")</f>
        <v>COLÉGIO ESTADUAL DE TEMPO INTEGRAL EDUCANDÁRIO OLIVEIRA BRITO</v>
      </c>
      <c r="H979" s="119" t="s">
        <v>5178</v>
      </c>
      <c r="I979" s="91" t="s">
        <v>5179</v>
      </c>
      <c r="J979" s="83" t="s">
        <v>149</v>
      </c>
      <c r="K979" s="83" t="s">
        <v>150</v>
      </c>
      <c r="L979" s="83" t="s">
        <v>168</v>
      </c>
      <c r="M979" s="83" t="s">
        <v>230</v>
      </c>
      <c r="N979" s="98" t="s">
        <v>5181</v>
      </c>
      <c r="O979" s="98" t="s">
        <v>176</v>
      </c>
      <c r="P979" s="99" t="str">
        <f>IFERROR(__xludf.DUMMYFUNCTION("IFERROR(VLOOKUP(AS979,IMPORTRANGE(""https://docs.google.com/spreadsheets/d/1juPI-Fb8LD0YtltB2mlGEnp_R3UVu1t3wSFPzgCyHXE/edit?gid=0#gid=0"",""GERAL!A2:C""),3,0),""-"")"),"-")</f>
        <v>-</v>
      </c>
      <c r="Q979" s="101" t="s">
        <v>156</v>
      </c>
      <c r="R979" s="98">
        <v>15.0</v>
      </c>
      <c r="S979" s="98">
        <v>0.0</v>
      </c>
      <c r="T979" s="98">
        <v>0.0</v>
      </c>
      <c r="U979" s="98">
        <v>0.0</v>
      </c>
      <c r="V979" s="98">
        <v>0.0</v>
      </c>
      <c r="W979" s="98">
        <v>0.0</v>
      </c>
      <c r="X979" s="98">
        <v>0.0</v>
      </c>
      <c r="Y979" s="98">
        <v>0.0</v>
      </c>
      <c r="Z979" s="98">
        <v>0.0</v>
      </c>
      <c r="AA979" s="98">
        <v>1.0</v>
      </c>
      <c r="AB979" s="98">
        <v>0.0</v>
      </c>
      <c r="AC979" s="98">
        <v>1.0</v>
      </c>
      <c r="AD979" s="98">
        <v>0.0</v>
      </c>
      <c r="AE979" s="98">
        <v>0.0</v>
      </c>
      <c r="AF979" s="98">
        <v>1.0</v>
      </c>
      <c r="AG979" s="98">
        <v>0.0</v>
      </c>
      <c r="AH979" s="98">
        <v>0.0</v>
      </c>
      <c r="AI979" s="98">
        <v>0.0</v>
      </c>
      <c r="AJ979" s="98">
        <v>0.0</v>
      </c>
      <c r="AK979" s="98">
        <v>0.0</v>
      </c>
      <c r="AL979" s="98">
        <v>0.0</v>
      </c>
      <c r="AM979" s="98">
        <v>0.0</v>
      </c>
      <c r="AN979" s="98">
        <v>0.0</v>
      </c>
      <c r="AO979" s="98">
        <v>0.0</v>
      </c>
      <c r="AP979" s="98">
        <v>6.0</v>
      </c>
      <c r="AQ979" s="407" t="s">
        <v>5182</v>
      </c>
      <c r="AR979" s="102">
        <v>46244.0</v>
      </c>
      <c r="AS979" s="83">
        <v>1114680.0</v>
      </c>
    </row>
    <row r="980" ht="15.75" customHeight="1">
      <c r="A980" s="167" t="s">
        <v>1224</v>
      </c>
      <c r="B980" s="83" t="s">
        <v>2000</v>
      </c>
      <c r="C980" s="83" t="s">
        <v>68</v>
      </c>
      <c r="D980" s="98">
        <v>1114559.0</v>
      </c>
      <c r="E980" s="98"/>
      <c r="F980" s="83">
        <v>2.9117666E7</v>
      </c>
      <c r="G980" s="91" t="str">
        <f>IFERROR(__xludf.DUMMYFUNCTION("XLOOKUP(AS980,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SERTAO FORTE
(OBS: A NOVA UNIDADE RECEBEU TAMBÉM OS ESTUDANTES C.E. ANTONIETA XAVIER SIQUERA SANTOS) ")</f>
        <v>CENTRO TERRITORIAL DE EDUCACAO PROFISSIONAL SERTAO FORTE
(OBS: A NOVA UNIDADE RECEBEU TAMBÉM OS ESTUDANTES C.E. ANTONIETA XAVIER SIQUERA SANTOS) </v>
      </c>
      <c r="H980" s="119" t="s">
        <v>5183</v>
      </c>
      <c r="I980" s="402" t="s">
        <v>5184</v>
      </c>
      <c r="J980" s="136" t="s">
        <v>149</v>
      </c>
      <c r="K980" s="136" t="s">
        <v>150</v>
      </c>
      <c r="L980" s="136" t="s">
        <v>151</v>
      </c>
      <c r="M980" s="136" t="s">
        <v>230</v>
      </c>
      <c r="N980" s="98" t="s">
        <v>5185</v>
      </c>
      <c r="O980" s="98" t="s">
        <v>162</v>
      </c>
      <c r="P980" s="99" t="str">
        <f>IFERROR(__xludf.DUMMYFUNCTION("IFERROR(VLOOKUP(AS980,IMPORTRANGE(""https://docs.google.com/spreadsheets/d/1juPI-Fb8LD0YtltB2mlGEnp_R3UVu1t3wSFPzgCyHXE/edit?gid=0#gid=0"",""GERAL!A2:C""),3,0),""-"")"),"-")</f>
        <v>-</v>
      </c>
      <c r="Q980" s="169" t="s">
        <v>156</v>
      </c>
      <c r="R980" s="115">
        <v>24.0</v>
      </c>
      <c r="S980" s="115">
        <v>0.0</v>
      </c>
      <c r="T980" s="115">
        <v>5.0</v>
      </c>
      <c r="U980" s="115">
        <v>0.0</v>
      </c>
      <c r="V980" s="115">
        <v>1.0</v>
      </c>
      <c r="W980" s="115">
        <v>4.0</v>
      </c>
      <c r="X980" s="115">
        <v>0.0</v>
      </c>
      <c r="Y980" s="115">
        <v>0.0</v>
      </c>
      <c r="Z980" s="115">
        <v>1.0</v>
      </c>
      <c r="AA980" s="115">
        <v>0.0</v>
      </c>
      <c r="AB980" s="115">
        <v>1.0</v>
      </c>
      <c r="AC980" s="115">
        <v>0.0</v>
      </c>
      <c r="AD980" s="115">
        <v>0.0</v>
      </c>
      <c r="AE980" s="98">
        <v>0.0</v>
      </c>
      <c r="AF980" s="115">
        <v>1.0</v>
      </c>
      <c r="AG980" s="115">
        <v>0.0</v>
      </c>
      <c r="AH980" s="115">
        <v>0.0</v>
      </c>
      <c r="AI980" s="98">
        <v>0.0</v>
      </c>
      <c r="AJ980" s="115">
        <v>0.0</v>
      </c>
      <c r="AK980" s="115">
        <v>1.0</v>
      </c>
      <c r="AL980" s="115">
        <v>0.0</v>
      </c>
      <c r="AM980" s="115">
        <v>0.0</v>
      </c>
      <c r="AN980" s="115">
        <v>0.0</v>
      </c>
      <c r="AO980" s="115">
        <v>0.0</v>
      </c>
      <c r="AP980" s="115">
        <v>0.0</v>
      </c>
      <c r="AQ980" s="115" t="s">
        <v>5186</v>
      </c>
      <c r="AR980" s="102">
        <v>46203.0</v>
      </c>
      <c r="AS980" s="136">
        <v>1114559.0</v>
      </c>
    </row>
    <row r="981" ht="15.75" customHeight="1">
      <c r="A981" s="111" t="s">
        <v>1224</v>
      </c>
      <c r="B981" s="83" t="s">
        <v>2097</v>
      </c>
      <c r="C981" s="83" t="s">
        <v>68</v>
      </c>
      <c r="D981" s="112">
        <v>1114478.0</v>
      </c>
      <c r="E981" s="83"/>
      <c r="F981" s="83">
        <v>2.9128366E7</v>
      </c>
      <c r="G981" s="91" t="str">
        <f>IFERROR(__xludf.DUMMYFUNCTION("XLOOKUP(AS981,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ANA MIRENA DA SILVA (ANTIGO CE NOSSA SENHORA DE FATIMA)")</f>
        <v>COLÉGIO ESTADUAL DE TEMPO INTEGRAL PROFESSORA ANA MIRENA DA SILVA (ANTIGO CE NOSSA SENHORA DE FATIMA)</v>
      </c>
      <c r="H981" s="119" t="s">
        <v>5187</v>
      </c>
      <c r="I981" s="108" t="s">
        <v>5188</v>
      </c>
      <c r="J981" s="83" t="s">
        <v>149</v>
      </c>
      <c r="K981" s="83" t="s">
        <v>150</v>
      </c>
      <c r="L981" s="83" t="s">
        <v>151</v>
      </c>
      <c r="M981" s="83" t="s">
        <v>230</v>
      </c>
      <c r="N981" s="98" t="s">
        <v>5189</v>
      </c>
      <c r="O981" s="98" t="s">
        <v>162</v>
      </c>
      <c r="P981" s="99" t="str">
        <f>IFERROR(__xludf.DUMMYFUNCTION("IFERROR(VLOOKUP(AS981,IMPORTRANGE(""https://docs.google.com/spreadsheets/d/1juPI-Fb8LD0YtltB2mlGEnp_R3UVu1t3wSFPzgCyHXE/edit?gid=0#gid=0"",""GERAL!A2:C""),3,0),""-"")"),"-")</f>
        <v>-</v>
      </c>
      <c r="Q981" s="83"/>
      <c r="R981" s="83"/>
      <c r="S981" s="83"/>
      <c r="T981" s="83"/>
      <c r="U981" s="83"/>
      <c r="V981" s="83"/>
      <c r="W981" s="83"/>
      <c r="X981" s="83"/>
      <c r="Y981" s="83"/>
      <c r="Z981" s="83"/>
      <c r="AA981" s="83"/>
      <c r="AB981" s="83"/>
      <c r="AC981" s="83"/>
      <c r="AD981" s="83"/>
      <c r="AE981" s="83"/>
      <c r="AF981" s="83"/>
      <c r="AG981" s="83"/>
      <c r="AH981" s="83"/>
      <c r="AI981" s="83"/>
      <c r="AJ981" s="83"/>
      <c r="AK981" s="83"/>
      <c r="AL981" s="83"/>
      <c r="AM981" s="83"/>
      <c r="AN981" s="83"/>
      <c r="AO981" s="83"/>
      <c r="AP981" s="83"/>
      <c r="AQ981" s="83"/>
      <c r="AR981" s="83"/>
      <c r="AS981" s="83">
        <v>1114478.0</v>
      </c>
    </row>
    <row r="982" ht="15.75" customHeight="1">
      <c r="A982" s="111" t="s">
        <v>1224</v>
      </c>
      <c r="B982" s="83" t="s">
        <v>5190</v>
      </c>
      <c r="C982" s="83" t="s">
        <v>68</v>
      </c>
      <c r="D982" s="112">
        <v>1178118.0</v>
      </c>
      <c r="E982" s="83"/>
      <c r="F982" s="83">
        <v>2.943453E7</v>
      </c>
      <c r="G982" s="91" t="str">
        <f>IFERROR(__xludf.DUMMYFUNCTION("XLOOKUP(AS982,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JOSÉ DANTAS DE SOUZA")</f>
        <v>COLÉGIO ESTADUAL DE TEMPO INTEGRAL JOSÉ DANTAS DE SOUZA</v>
      </c>
      <c r="H982" s="119" t="s">
        <v>5191</v>
      </c>
      <c r="I982" s="91" t="s">
        <v>5192</v>
      </c>
      <c r="J982" s="136" t="s">
        <v>149</v>
      </c>
      <c r="K982" s="83" t="s">
        <v>150</v>
      </c>
      <c r="L982" s="83" t="s">
        <v>151</v>
      </c>
      <c r="M982" s="83" t="s">
        <v>152</v>
      </c>
      <c r="N982" s="98" t="s">
        <v>5193</v>
      </c>
      <c r="O982" s="98" t="s">
        <v>176</v>
      </c>
      <c r="P982" s="99" t="str">
        <f>IFERROR(__xludf.DUMMYFUNCTION("IFERROR(VLOOKUP(AS982,IMPORTRANGE(""https://docs.google.com/spreadsheets/d/1juPI-Fb8LD0YtltB2mlGEnp_R3UVu1t3wSFPzgCyHXE/edit?gid=0#gid=0"",""GERAL!A2:C""),3,0),""-"")"),"-")</f>
        <v>-</v>
      </c>
      <c r="Q982" s="83"/>
      <c r="R982" s="83"/>
      <c r="S982" s="83"/>
      <c r="T982" s="83"/>
      <c r="U982" s="83"/>
      <c r="V982" s="83"/>
      <c r="W982" s="83"/>
      <c r="X982" s="83"/>
      <c r="Y982" s="83"/>
      <c r="Z982" s="83"/>
      <c r="AA982" s="83"/>
      <c r="AB982" s="83"/>
      <c r="AC982" s="83"/>
      <c r="AD982" s="83"/>
      <c r="AE982" s="83"/>
      <c r="AF982" s="83"/>
      <c r="AG982" s="83"/>
      <c r="AH982" s="83"/>
      <c r="AI982" s="83"/>
      <c r="AJ982" s="83"/>
      <c r="AK982" s="83"/>
      <c r="AL982" s="83"/>
      <c r="AM982" s="83"/>
      <c r="AN982" s="83"/>
      <c r="AO982" s="83"/>
      <c r="AP982" s="83"/>
      <c r="AQ982" s="83"/>
      <c r="AR982" s="83"/>
      <c r="AS982" s="83">
        <v>1178118.0</v>
      </c>
    </row>
    <row r="983" ht="15.75" customHeight="1">
      <c r="A983" s="111" t="s">
        <v>1224</v>
      </c>
      <c r="B983" s="83" t="s">
        <v>2223</v>
      </c>
      <c r="C983" s="83" t="s">
        <v>68</v>
      </c>
      <c r="D983" s="112">
        <v>1178136.0</v>
      </c>
      <c r="E983" s="83"/>
      <c r="F983" s="83">
        <v>2.9436931E7</v>
      </c>
      <c r="G983" s="91" t="str">
        <f>IFERROR(__xludf.DUMMYFUNCTION("XLOOKUP(AS983,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EDUCAÇÃO PROFISSIONAL RASO DA CATARINA")</f>
        <v>CENTRO TERRITORIAL DE EDUCAÇÃO PROFISSIONAL RASO DA CATARINA</v>
      </c>
      <c r="H983" s="184" t="s">
        <v>5194</v>
      </c>
      <c r="I983" s="108" t="s">
        <v>5195</v>
      </c>
      <c r="J983" s="83" t="s">
        <v>149</v>
      </c>
      <c r="K983" s="83" t="s">
        <v>209</v>
      </c>
      <c r="L983" s="83" t="s">
        <v>151</v>
      </c>
      <c r="M983" s="83" t="s">
        <v>230</v>
      </c>
      <c r="N983" s="98" t="s">
        <v>5196</v>
      </c>
      <c r="O983" s="98" t="s">
        <v>162</v>
      </c>
      <c r="P983" s="99" t="str">
        <f>IFERROR(__xludf.DUMMYFUNCTION("IFERROR(VLOOKUP(AS983,IMPORTRANGE(""https://docs.google.com/spreadsheets/d/1juPI-Fb8LD0YtltB2mlGEnp_R3UVu1t3wSFPzgCyHXE/edit?gid=0#gid=0"",""GERAL!A2:C""),3,0),""-"")"),"-")</f>
        <v>-</v>
      </c>
      <c r="Q983" s="83"/>
      <c r="R983" s="83"/>
      <c r="S983" s="83"/>
      <c r="T983" s="83"/>
      <c r="U983" s="83"/>
      <c r="V983" s="83"/>
      <c r="W983" s="83"/>
      <c r="X983" s="83"/>
      <c r="Y983" s="83"/>
      <c r="Z983" s="83"/>
      <c r="AA983" s="83"/>
      <c r="AB983" s="83"/>
      <c r="AC983" s="83"/>
      <c r="AD983" s="83"/>
      <c r="AE983" s="83"/>
      <c r="AF983" s="83"/>
      <c r="AG983" s="83"/>
      <c r="AH983" s="83"/>
      <c r="AI983" s="83"/>
      <c r="AJ983" s="83"/>
      <c r="AK983" s="83"/>
      <c r="AL983" s="83"/>
      <c r="AM983" s="83"/>
      <c r="AN983" s="83"/>
      <c r="AO983" s="83"/>
      <c r="AP983" s="83"/>
      <c r="AQ983" s="83"/>
      <c r="AR983" s="83"/>
      <c r="AS983" s="83">
        <v>1178136.0</v>
      </c>
    </row>
    <row r="984" ht="15.75" customHeight="1">
      <c r="A984" s="111" t="s">
        <v>1224</v>
      </c>
      <c r="B984" s="83" t="s">
        <v>2223</v>
      </c>
      <c r="C984" s="83" t="s">
        <v>164</v>
      </c>
      <c r="D984" s="112">
        <v>1178136.0</v>
      </c>
      <c r="E984" s="83">
        <v>1178581.0</v>
      </c>
      <c r="F984" s="83"/>
      <c r="G984" s="91" t="str">
        <f>IFERROR(__xludf.DUMMYFUNCTION("XLOOKUP(AS984,
IMPORTRANGE(""https://docs.google.com/spreadsheets/d/1YM-djuOLXomrZ9W0B4TyIBsVWnXY4EIOFD9HY-qGfv0/edit?usp=sharing"",""GERAL!BG5:BG""),
IMPORTRANGE(""https://docs.google.com/spreadsheets/d/1YM-djuOLXomrZ9W0B4TyIBsVWnXY4EIOFD9HY-qGfv0/edit?u"&amp;"sp=sharing"",""GERAL!G5:G""),
""CÓD. SEC NÃO ENCONTRADO NA PLANILHA DE MATRÍCULA"")"),"ANEXO - CENTRO TERRITORIAL DE EDUCAÇÃO PROFISSIONAL RASO DA CATARINA - POV. DE LAGOA DO INACIO")</f>
        <v>ANEXO - CENTRO TERRITORIAL DE EDUCAÇÃO PROFISSIONAL RASO DA CATARINA - POV. DE LAGOA DO INACIO</v>
      </c>
      <c r="H984" s="184" t="s">
        <v>5197</v>
      </c>
      <c r="I984" s="91" t="s">
        <v>5198</v>
      </c>
      <c r="J984" s="83" t="s">
        <v>149</v>
      </c>
      <c r="K984" s="83" t="s">
        <v>252</v>
      </c>
      <c r="L984" s="83" t="s">
        <v>168</v>
      </c>
      <c r="M984" s="83" t="s">
        <v>169</v>
      </c>
      <c r="N984" s="115" t="s">
        <v>170</v>
      </c>
      <c r="O984" s="98" t="s">
        <v>155</v>
      </c>
      <c r="P984" s="99" t="str">
        <f>IFERROR(__xludf.DUMMYFUNCTION("IFERROR(VLOOKUP(AS984,IMPORTRANGE(""https://docs.google.com/spreadsheets/d/1juPI-Fb8LD0YtltB2mlGEnp_R3UVu1t3wSFPzgCyHXE/edit?gid=0#gid=0"",""GERAL!A2:C""),3,0),""-"")"),"CAMPO")</f>
        <v>CAMPO</v>
      </c>
      <c r="Q984" s="83"/>
      <c r="R984" s="83"/>
      <c r="S984" s="83"/>
      <c r="T984" s="83"/>
      <c r="U984" s="83"/>
      <c r="V984" s="83"/>
      <c r="W984" s="83"/>
      <c r="X984" s="83"/>
      <c r="Y984" s="83"/>
      <c r="Z984" s="83"/>
      <c r="AA984" s="83"/>
      <c r="AB984" s="83"/>
      <c r="AC984" s="83"/>
      <c r="AD984" s="83"/>
      <c r="AE984" s="83"/>
      <c r="AF984" s="83"/>
      <c r="AG984" s="83"/>
      <c r="AH984" s="83"/>
      <c r="AI984" s="83"/>
      <c r="AJ984" s="83"/>
      <c r="AK984" s="83"/>
      <c r="AL984" s="83"/>
      <c r="AM984" s="83"/>
      <c r="AN984" s="83"/>
      <c r="AO984" s="83"/>
      <c r="AP984" s="83"/>
      <c r="AQ984" s="83"/>
      <c r="AR984" s="83"/>
      <c r="AS984" s="83">
        <v>1178581.0</v>
      </c>
    </row>
    <row r="985" ht="15.75" customHeight="1">
      <c r="A985" s="111" t="s">
        <v>1224</v>
      </c>
      <c r="B985" s="83" t="s">
        <v>5199</v>
      </c>
      <c r="C985" s="83" t="s">
        <v>68</v>
      </c>
      <c r="D985" s="112">
        <v>1177006.0</v>
      </c>
      <c r="E985" s="83"/>
      <c r="F985" s="83">
        <v>2.9407834E7</v>
      </c>
      <c r="G985" s="91" t="str">
        <f>IFERROR(__xludf.DUMMYFUNCTION("XLOOKUP(AS985,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SERTÃO DA NATUBA DE NOVA SOURE")</f>
        <v>COLÉGIO ESTADUAL DE TEMPO INTEGRAL SERTÃO DA NATUBA DE NOVA SOURE</v>
      </c>
      <c r="H985" s="119" t="s">
        <v>5200</v>
      </c>
      <c r="I985" s="108" t="s">
        <v>5201</v>
      </c>
      <c r="J985" s="83" t="s">
        <v>5202</v>
      </c>
      <c r="K985" s="83" t="s">
        <v>150</v>
      </c>
      <c r="L985" s="83" t="s">
        <v>151</v>
      </c>
      <c r="M985" s="98" t="s">
        <v>230</v>
      </c>
      <c r="N985" s="98" t="s">
        <v>5203</v>
      </c>
      <c r="O985" s="98" t="s">
        <v>162</v>
      </c>
      <c r="P985" s="99" t="str">
        <f>IFERROR(__xludf.DUMMYFUNCTION("IFERROR(VLOOKUP(AS985,IMPORTRANGE(""https://docs.google.com/spreadsheets/d/1juPI-Fb8LD0YtltB2mlGEnp_R3UVu1t3wSFPzgCyHXE/edit?gid=0#gid=0"",""GERAL!A2:C""),3,0),""-"")"),"-")</f>
        <v>-</v>
      </c>
      <c r="Q985" s="83"/>
      <c r="R985" s="83"/>
      <c r="S985" s="83"/>
      <c r="T985" s="83"/>
      <c r="U985" s="83"/>
      <c r="V985" s="83"/>
      <c r="W985" s="83"/>
      <c r="X985" s="83"/>
      <c r="Y985" s="83"/>
      <c r="Z985" s="83"/>
      <c r="AA985" s="83"/>
      <c r="AB985" s="83"/>
      <c r="AC985" s="83"/>
      <c r="AD985" s="83"/>
      <c r="AE985" s="83"/>
      <c r="AF985" s="83"/>
      <c r="AG985" s="83"/>
      <c r="AH985" s="83"/>
      <c r="AI985" s="83"/>
      <c r="AJ985" s="83"/>
      <c r="AK985" s="83"/>
      <c r="AL985" s="83"/>
      <c r="AM985" s="83"/>
      <c r="AN985" s="83"/>
      <c r="AO985" s="83"/>
      <c r="AP985" s="83"/>
      <c r="AQ985" s="83"/>
      <c r="AR985" s="83"/>
      <c r="AS985" s="83">
        <v>1177006.0</v>
      </c>
    </row>
    <row r="986" ht="15.75" customHeight="1">
      <c r="A986" s="111" t="s">
        <v>1224</v>
      </c>
      <c r="B986" s="83" t="s">
        <v>5205</v>
      </c>
      <c r="C986" s="83" t="s">
        <v>68</v>
      </c>
      <c r="D986" s="112">
        <v>1166133.0</v>
      </c>
      <c r="E986" s="83"/>
      <c r="F986" s="83">
        <v>2.9131383E7</v>
      </c>
      <c r="G986" s="91" t="str">
        <f>IFERROR(__xludf.DUMMYFUNCTION("XLOOKUP(AS986,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MARIA TEREZA DE OLIVEIRA")</f>
        <v>COLÉGIO ESTADUAL DE TEMPO INTEGRAL PROFESSORA MARIA TEREZA DE OLIVEIRA</v>
      </c>
      <c r="H986" s="119" t="s">
        <v>5206</v>
      </c>
      <c r="I986" s="91" t="s">
        <v>5207</v>
      </c>
      <c r="J986" s="83" t="s">
        <v>149</v>
      </c>
      <c r="K986" s="83" t="s">
        <v>150</v>
      </c>
      <c r="L986" s="83" t="s">
        <v>151</v>
      </c>
      <c r="M986" s="83" t="s">
        <v>152</v>
      </c>
      <c r="N986" s="98" t="s">
        <v>5208</v>
      </c>
      <c r="O986" s="98" t="s">
        <v>162</v>
      </c>
      <c r="P986" s="99" t="str">
        <f>IFERROR(__xludf.DUMMYFUNCTION("IFERROR(VLOOKUP(AS986,IMPORTRANGE(""https://docs.google.com/spreadsheets/d/1juPI-Fb8LD0YtltB2mlGEnp_R3UVu1t3wSFPzgCyHXE/edit?gid=0#gid=0"",""GERAL!A2:C""),3,0),""-"")"),"-")</f>
        <v>-</v>
      </c>
      <c r="Q986" s="83"/>
      <c r="R986" s="83"/>
      <c r="S986" s="83"/>
      <c r="T986" s="83"/>
      <c r="U986" s="83"/>
      <c r="V986" s="83"/>
      <c r="W986" s="83"/>
      <c r="X986" s="83"/>
      <c r="Y986" s="83"/>
      <c r="Z986" s="83"/>
      <c r="AA986" s="83"/>
      <c r="AB986" s="83"/>
      <c r="AC986" s="83"/>
      <c r="AD986" s="83"/>
      <c r="AE986" s="83"/>
      <c r="AF986" s="83"/>
      <c r="AG986" s="83"/>
      <c r="AH986" s="83"/>
      <c r="AI986" s="83"/>
      <c r="AJ986" s="83"/>
      <c r="AK986" s="83"/>
      <c r="AL986" s="83"/>
      <c r="AM986" s="83"/>
      <c r="AN986" s="83"/>
      <c r="AO986" s="83"/>
      <c r="AP986" s="83"/>
      <c r="AQ986" s="83"/>
      <c r="AR986" s="83"/>
      <c r="AS986" s="83">
        <v>1166133.0</v>
      </c>
    </row>
    <row r="987" ht="15.75" customHeight="1">
      <c r="A987" s="111" t="s">
        <v>1224</v>
      </c>
      <c r="B987" s="83" t="s">
        <v>5210</v>
      </c>
      <c r="C987" s="83" t="s">
        <v>68</v>
      </c>
      <c r="D987" s="112">
        <v>1115091.0</v>
      </c>
      <c r="E987" s="83"/>
      <c r="F987" s="83">
        <v>2.9132045E7</v>
      </c>
      <c r="G987" s="91" t="str">
        <f>IFERROR(__xludf.DUMMYFUNCTION("XLOOKUP(AS987,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DOUTOR JOSÉ CARLOS BEZERRA CARVALHO")</f>
        <v>COLÉGIO ESTADUAL DE TEMPO INTEGRAL DOUTOR JOSÉ CARLOS BEZERRA CARVALHO</v>
      </c>
      <c r="H987" s="119" t="s">
        <v>5211</v>
      </c>
      <c r="I987" s="108" t="s">
        <v>5212</v>
      </c>
      <c r="J987" s="98" t="s">
        <v>5213</v>
      </c>
      <c r="K987" s="83" t="s">
        <v>150</v>
      </c>
      <c r="L987" s="83" t="s">
        <v>151</v>
      </c>
      <c r="M987" s="83" t="s">
        <v>152</v>
      </c>
      <c r="N987" s="98" t="s">
        <v>5214</v>
      </c>
      <c r="O987" s="98" t="s">
        <v>155</v>
      </c>
      <c r="P987" s="99" t="str">
        <f>IFERROR(__xludf.DUMMYFUNCTION("IFERROR(VLOOKUP(AS987,IMPORTRANGE(""https://docs.google.com/spreadsheets/d/1juPI-Fb8LD0YtltB2mlGEnp_R3UVu1t3wSFPzgCyHXE/edit?gid=0#gid=0"",""GERAL!A2:C""),3,0),""-"")"),"-")</f>
        <v>-</v>
      </c>
      <c r="Q987" s="101" t="s">
        <v>156</v>
      </c>
      <c r="R987" s="98">
        <v>24.0</v>
      </c>
      <c r="S987" s="98">
        <v>0.0</v>
      </c>
      <c r="T987" s="98">
        <v>2.0</v>
      </c>
      <c r="U987" s="98">
        <v>0.0</v>
      </c>
      <c r="V987" s="98">
        <v>1.0</v>
      </c>
      <c r="W987" s="98">
        <v>3.0</v>
      </c>
      <c r="X987" s="98">
        <v>1.0</v>
      </c>
      <c r="Y987" s="98">
        <v>0.0</v>
      </c>
      <c r="Z987" s="98">
        <v>1.0</v>
      </c>
      <c r="AA987" s="98">
        <v>0.0</v>
      </c>
      <c r="AB987" s="98">
        <v>1.0</v>
      </c>
      <c r="AC987" s="98">
        <v>0.0</v>
      </c>
      <c r="AD987" s="98">
        <v>0.0</v>
      </c>
      <c r="AE987" s="98">
        <v>0.0</v>
      </c>
      <c r="AF987" s="98">
        <v>1.0</v>
      </c>
      <c r="AG987" s="98">
        <v>0.0</v>
      </c>
      <c r="AH987" s="98">
        <v>0.0</v>
      </c>
      <c r="AI987" s="98">
        <v>0.0</v>
      </c>
      <c r="AJ987" s="98">
        <v>0.0</v>
      </c>
      <c r="AK987" s="98">
        <v>1.0</v>
      </c>
      <c r="AL987" s="98">
        <v>0.0</v>
      </c>
      <c r="AM987" s="98">
        <v>0.0</v>
      </c>
      <c r="AN987" s="98">
        <v>0.0</v>
      </c>
      <c r="AO987" s="98">
        <v>0.0</v>
      </c>
      <c r="AP987" s="98">
        <v>0.0</v>
      </c>
      <c r="AQ987" s="98" t="s">
        <v>5215</v>
      </c>
      <c r="AR987" s="102">
        <v>46220.0</v>
      </c>
      <c r="AS987" s="83">
        <v>1115091.0</v>
      </c>
    </row>
    <row r="988" ht="15.75" customHeight="1">
      <c r="A988" s="111" t="s">
        <v>1224</v>
      </c>
      <c r="B988" s="83" t="s">
        <v>5210</v>
      </c>
      <c r="C988" s="83" t="s">
        <v>164</v>
      </c>
      <c r="D988" s="112">
        <v>1115091.0</v>
      </c>
      <c r="E988" s="98">
        <v>1179801.0</v>
      </c>
      <c r="F988" s="83"/>
      <c r="G988" s="91" t="str">
        <f>IFERROR(__xludf.DUMMYFUNCTION("XLOOKUP(AS988,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DOUTOR JOSÉ CARLOS BEZERRA CARVALHO - POVOADO MARIA CORREIA")</f>
        <v>ANEXO - COLÉGIO ESTADUAL DE TEMPO INTEGRAL DOUTOR JOSÉ CARLOS BEZERRA CARVALHO - POVOADO MARIA CORREIA</v>
      </c>
      <c r="H988" s="184" t="s">
        <v>5216</v>
      </c>
      <c r="I988" s="91"/>
      <c r="J988" s="136"/>
      <c r="K988" s="136"/>
      <c r="L988" s="83" t="s">
        <v>168</v>
      </c>
      <c r="M988" s="136"/>
      <c r="N988" s="115" t="s">
        <v>170</v>
      </c>
      <c r="O988" s="98"/>
      <c r="P988" s="99" t="str">
        <f>IFERROR(__xludf.DUMMYFUNCTION("IFERROR(VLOOKUP(AS988,IMPORTRANGE(""https://docs.google.com/spreadsheets/d/1juPI-Fb8LD0YtltB2mlGEnp_R3UVu1t3wSFPzgCyHXE/edit?gid=0#gid=0"",""GERAL!A2:C""),3,0),""-"")"),"-")</f>
        <v>-</v>
      </c>
      <c r="Q988" s="115" t="s">
        <v>171</v>
      </c>
      <c r="R988" s="115" t="s">
        <v>171</v>
      </c>
      <c r="S988" s="115" t="s">
        <v>171</v>
      </c>
      <c r="T988" s="115" t="s">
        <v>171</v>
      </c>
      <c r="U988" s="115" t="s">
        <v>171</v>
      </c>
      <c r="V988" s="115" t="s">
        <v>171</v>
      </c>
      <c r="W988" s="115" t="s">
        <v>171</v>
      </c>
      <c r="X988" s="115" t="s">
        <v>171</v>
      </c>
      <c r="Y988" s="115" t="s">
        <v>171</v>
      </c>
      <c r="Z988" s="115" t="s">
        <v>171</v>
      </c>
      <c r="AA988" s="115" t="s">
        <v>171</v>
      </c>
      <c r="AB988" s="115" t="s">
        <v>171</v>
      </c>
      <c r="AC988" s="115" t="s">
        <v>171</v>
      </c>
      <c r="AD988" s="115" t="s">
        <v>171</v>
      </c>
      <c r="AE988" s="98" t="s">
        <v>171</v>
      </c>
      <c r="AF988" s="115" t="s">
        <v>171</v>
      </c>
      <c r="AG988" s="115" t="s">
        <v>171</v>
      </c>
      <c r="AH988" s="115" t="s">
        <v>171</v>
      </c>
      <c r="AI988" s="115"/>
      <c r="AJ988" s="115" t="s">
        <v>171</v>
      </c>
      <c r="AK988" s="115" t="s">
        <v>171</v>
      </c>
      <c r="AL988" s="115" t="s">
        <v>171</v>
      </c>
      <c r="AM988" s="115" t="s">
        <v>171</v>
      </c>
      <c r="AN988" s="115" t="s">
        <v>171</v>
      </c>
      <c r="AO988" s="115" t="s">
        <v>171</v>
      </c>
      <c r="AP988" s="115" t="s">
        <v>171</v>
      </c>
      <c r="AQ988" s="98" t="s">
        <v>171</v>
      </c>
      <c r="AR988" s="102">
        <v>46220.0</v>
      </c>
      <c r="AS988" s="115">
        <v>1179801.0</v>
      </c>
    </row>
    <row r="989" ht="15.75" customHeight="1">
      <c r="A989" s="111" t="s">
        <v>1224</v>
      </c>
      <c r="B989" s="83" t="s">
        <v>5210</v>
      </c>
      <c r="C989" s="83" t="s">
        <v>164</v>
      </c>
      <c r="D989" s="112">
        <v>1115091.0</v>
      </c>
      <c r="E989" s="98">
        <v>1179802.0</v>
      </c>
      <c r="F989" s="83"/>
      <c r="G989" s="91" t="str">
        <f>IFERROR(__xludf.DUMMYFUNCTION("XLOOKUP(AS989,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DOUTOR JOSÉ CARLOS BEZERRA CARVALHO - POVOADO LAGOA PRETA (ANTIGO ANTAS DO RASO)")</f>
        <v>ANEXO - COLÉGIO ESTADUAL DE TEMPO INTEGRAL DOUTOR JOSÉ CARLOS BEZERRA CARVALHO - POVOADO LAGOA PRETA (ANTIGO ANTAS DO RASO)</v>
      </c>
      <c r="H989" s="184" t="s">
        <v>5218</v>
      </c>
      <c r="I989" s="91"/>
      <c r="J989" s="136"/>
      <c r="K989" s="136"/>
      <c r="L989" s="83" t="s">
        <v>168</v>
      </c>
      <c r="M989" s="136"/>
      <c r="N989" s="115" t="s">
        <v>170</v>
      </c>
      <c r="O989" s="98"/>
      <c r="P989" s="99" t="str">
        <f>IFERROR(__xludf.DUMMYFUNCTION("IFERROR(VLOOKUP(AS989,IMPORTRANGE(""https://docs.google.com/spreadsheets/d/1juPI-Fb8LD0YtltB2mlGEnp_R3UVu1t3wSFPzgCyHXE/edit?gid=0#gid=0"",""GERAL!A2:C""),3,0),""-"")"),"-")</f>
        <v>-</v>
      </c>
      <c r="Q989" s="115" t="s">
        <v>171</v>
      </c>
      <c r="R989" s="115" t="s">
        <v>171</v>
      </c>
      <c r="S989" s="115" t="s">
        <v>171</v>
      </c>
      <c r="T989" s="115" t="s">
        <v>171</v>
      </c>
      <c r="U989" s="115" t="s">
        <v>171</v>
      </c>
      <c r="V989" s="115" t="s">
        <v>171</v>
      </c>
      <c r="W989" s="115" t="s">
        <v>171</v>
      </c>
      <c r="X989" s="115" t="s">
        <v>171</v>
      </c>
      <c r="Y989" s="115" t="s">
        <v>171</v>
      </c>
      <c r="Z989" s="115" t="s">
        <v>171</v>
      </c>
      <c r="AA989" s="115" t="s">
        <v>171</v>
      </c>
      <c r="AB989" s="115" t="s">
        <v>171</v>
      </c>
      <c r="AC989" s="115" t="s">
        <v>171</v>
      </c>
      <c r="AD989" s="115" t="s">
        <v>171</v>
      </c>
      <c r="AE989" s="98" t="s">
        <v>171</v>
      </c>
      <c r="AF989" s="115" t="s">
        <v>171</v>
      </c>
      <c r="AG989" s="115" t="s">
        <v>171</v>
      </c>
      <c r="AH989" s="115" t="s">
        <v>171</v>
      </c>
      <c r="AI989" s="115"/>
      <c r="AJ989" s="115" t="s">
        <v>171</v>
      </c>
      <c r="AK989" s="115" t="s">
        <v>171</v>
      </c>
      <c r="AL989" s="115" t="s">
        <v>171</v>
      </c>
      <c r="AM989" s="115" t="s">
        <v>171</v>
      </c>
      <c r="AN989" s="115" t="s">
        <v>171</v>
      </c>
      <c r="AO989" s="115" t="s">
        <v>171</v>
      </c>
      <c r="AP989" s="115" t="s">
        <v>171</v>
      </c>
      <c r="AQ989" s="98" t="s">
        <v>171</v>
      </c>
      <c r="AR989" s="102">
        <v>46220.0</v>
      </c>
      <c r="AS989" s="115">
        <v>1179802.0</v>
      </c>
    </row>
    <row r="990" ht="15.75" customHeight="1">
      <c r="A990" s="111" t="s">
        <v>1224</v>
      </c>
      <c r="B990" s="83" t="s">
        <v>5210</v>
      </c>
      <c r="C990" s="83" t="s">
        <v>164</v>
      </c>
      <c r="D990" s="112">
        <v>1115091.0</v>
      </c>
      <c r="E990" s="83">
        <v>1179101.0</v>
      </c>
      <c r="F990" s="83"/>
      <c r="G990" s="91" t="str">
        <f>IFERROR(__xludf.DUMMYFUNCTION("XLOOKUP(AS990,
IMPORTRANGE(""https://docs.google.com/spreadsheets/d/1YM-djuOLXomrZ9W0B4TyIBsVWnXY4EIOFD9HY-qGfv0/edit?usp=sharing"",""GERAL!BG5:BG""),
IMPORTRANGE(""https://docs.google.com/spreadsheets/d/1YM-djuOLXomrZ9W0B4TyIBsVWnXY4EIOFD9HY-qGfv0/edit?u"&amp;"sp=sharing"",""GERAL!G5:G""),
""CÓD. SEC NÃO ENCONTRADO NA PLANILHA DE MATRÍCULA"")"),"ANEXO - COLÉGIO ESTADUAL DE TEMPO INTEGRAL DOUTOR JOSÉ CARLOS BEZERRA CARVALHO - DISTRITO DE MARITA")</f>
        <v>ANEXO - COLÉGIO ESTADUAL DE TEMPO INTEGRAL DOUTOR JOSÉ CARLOS BEZERRA CARVALHO - DISTRITO DE MARITA</v>
      </c>
      <c r="H990" s="119" t="s">
        <v>5219</v>
      </c>
      <c r="I990" s="91" t="s">
        <v>5220</v>
      </c>
      <c r="J990" s="83" t="s">
        <v>149</v>
      </c>
      <c r="K990" s="83" t="s">
        <v>471</v>
      </c>
      <c r="L990" s="83" t="s">
        <v>168</v>
      </c>
      <c r="M990" s="83" t="s">
        <v>169</v>
      </c>
      <c r="N990" s="115" t="s">
        <v>170</v>
      </c>
      <c r="O990" s="98" t="s">
        <v>155</v>
      </c>
      <c r="P990" s="99" t="str">
        <f>IFERROR(__xludf.DUMMYFUNCTION("IFERROR(VLOOKUP(AS990,IMPORTRANGE(""https://docs.google.com/spreadsheets/d/1juPI-Fb8LD0YtltB2mlGEnp_R3UVu1t3wSFPzgCyHXE/edit?gid=0#gid=0"",""GERAL!A2:C""),3,0),""-"")"),"CAMPO")</f>
        <v>CAMPO</v>
      </c>
      <c r="Q990" s="98" t="s">
        <v>171</v>
      </c>
      <c r="R990" s="98">
        <v>3.0</v>
      </c>
      <c r="S990" s="115" t="s">
        <v>171</v>
      </c>
      <c r="T990" s="115" t="s">
        <v>171</v>
      </c>
      <c r="U990" s="115" t="s">
        <v>171</v>
      </c>
      <c r="V990" s="115" t="s">
        <v>171</v>
      </c>
      <c r="W990" s="115" t="s">
        <v>171</v>
      </c>
      <c r="X990" s="115" t="s">
        <v>171</v>
      </c>
      <c r="Y990" s="115" t="s">
        <v>171</v>
      </c>
      <c r="Z990" s="115" t="s">
        <v>171</v>
      </c>
      <c r="AA990" s="115" t="s">
        <v>171</v>
      </c>
      <c r="AB990" s="115" t="s">
        <v>171</v>
      </c>
      <c r="AC990" s="115" t="s">
        <v>171</v>
      </c>
      <c r="AD990" s="115" t="s">
        <v>171</v>
      </c>
      <c r="AE990" s="98" t="s">
        <v>171</v>
      </c>
      <c r="AF990" s="115" t="s">
        <v>171</v>
      </c>
      <c r="AG990" s="115" t="s">
        <v>171</v>
      </c>
      <c r="AH990" s="115" t="s">
        <v>171</v>
      </c>
      <c r="AI990" s="98" t="s">
        <v>171</v>
      </c>
      <c r="AJ990" s="115" t="s">
        <v>171</v>
      </c>
      <c r="AK990" s="115" t="s">
        <v>171</v>
      </c>
      <c r="AL990" s="115" t="s">
        <v>171</v>
      </c>
      <c r="AM990" s="115" t="s">
        <v>171</v>
      </c>
      <c r="AN990" s="115" t="s">
        <v>171</v>
      </c>
      <c r="AO990" s="115" t="s">
        <v>171</v>
      </c>
      <c r="AP990" s="115" t="s">
        <v>171</v>
      </c>
      <c r="AQ990" s="98" t="s">
        <v>171</v>
      </c>
      <c r="AR990" s="102">
        <v>46220.0</v>
      </c>
      <c r="AS990" s="83">
        <v>1179101.0</v>
      </c>
    </row>
    <row r="991" ht="15.75" customHeight="1">
      <c r="A991" s="111" t="s">
        <v>1224</v>
      </c>
      <c r="B991" s="83" t="s">
        <v>5221</v>
      </c>
      <c r="C991" s="83" t="s">
        <v>68</v>
      </c>
      <c r="D991" s="112">
        <v>1138539.0</v>
      </c>
      <c r="E991" s="83"/>
      <c r="F991" s="83">
        <v>2.9113881E7</v>
      </c>
      <c r="G991" s="91" t="str">
        <f>IFERROR(__xludf.DUMMYFUNCTION("XLOOKUP(AS991,
IMPORTRANGE(""https://docs.google.com/spreadsheets/d/1YM-djuOLXomrZ9W0B4TyIBsVWnXY4EIOFD9HY-qGfv0/edit?usp=sharing"",""GERAL!BG5:BG""),
IMPORTRANGE(""https://docs.google.com/spreadsheets/d/1YM-djuOLXomrZ9W0B4TyIBsVWnXY4EIOFD9HY-qGfv0/edit?u"&amp;"sp=sharing"",""GERAL!G5:G""),
""CÓD. SEC NÃO ENCONTRADO NA PLANILHA DE MATRÍCULA"")"),"COLEGIO ESTADUAL DE TEMPO INTEGRAL PROFESSORA HELENA BRITTO
 (ANTIGA UEE DR. RUY BACELAR)")</f>
        <v>COLEGIO ESTADUAL DE TEMPO INTEGRAL PROFESSORA HELENA BRITTO
 (ANTIGA UEE DR. RUY BACELAR)</v>
      </c>
      <c r="H991" s="98" t="s">
        <v>5222</v>
      </c>
      <c r="I991" s="91" t="s">
        <v>5223</v>
      </c>
      <c r="J991" s="172" t="s">
        <v>5224</v>
      </c>
      <c r="K991" s="83" t="s">
        <v>150</v>
      </c>
      <c r="L991" s="83" t="s">
        <v>151</v>
      </c>
      <c r="M991" s="83" t="s">
        <v>152</v>
      </c>
      <c r="N991" s="98" t="s">
        <v>5225</v>
      </c>
      <c r="O991" s="98" t="s">
        <v>155</v>
      </c>
      <c r="P991" s="99" t="str">
        <f>IFERROR(__xludf.DUMMYFUNCTION("IFERROR(VLOOKUP(AS991,IMPORTRANGE(""https://docs.google.com/spreadsheets/d/1juPI-Fb8LD0YtltB2mlGEnp_R3UVu1t3wSFPzgCyHXE/edit?gid=0#gid=0"",""GERAL!A2:C""),3,0),""-"")"),"-")</f>
        <v>-</v>
      </c>
      <c r="Q991" s="83"/>
      <c r="R991" s="83"/>
      <c r="S991" s="83"/>
      <c r="T991" s="83"/>
      <c r="U991" s="83"/>
      <c r="V991" s="83"/>
      <c r="W991" s="83"/>
      <c r="X991" s="83"/>
      <c r="Y991" s="83"/>
      <c r="Z991" s="83"/>
      <c r="AA991" s="83"/>
      <c r="AB991" s="83"/>
      <c r="AC991" s="83"/>
      <c r="AD991" s="83"/>
      <c r="AE991" s="83"/>
      <c r="AF991" s="83"/>
      <c r="AG991" s="83"/>
      <c r="AH991" s="83"/>
      <c r="AI991" s="83"/>
      <c r="AJ991" s="83"/>
      <c r="AK991" s="83"/>
      <c r="AL991" s="83"/>
      <c r="AM991" s="83"/>
      <c r="AN991" s="83"/>
      <c r="AO991" s="83"/>
      <c r="AP991" s="83"/>
      <c r="AQ991" s="83"/>
      <c r="AR991" s="83"/>
      <c r="AS991" s="83">
        <v>1138539.0</v>
      </c>
    </row>
    <row r="992" ht="15.75" customHeight="1">
      <c r="A992" s="111" t="s">
        <v>1224</v>
      </c>
      <c r="B992" s="83" t="s">
        <v>5226</v>
      </c>
      <c r="C992" s="83" t="s">
        <v>68</v>
      </c>
      <c r="D992" s="112">
        <v>1115342.0</v>
      </c>
      <c r="E992" s="83"/>
      <c r="F992" s="83">
        <v>2.9132711E7</v>
      </c>
      <c r="G992" s="91" t="str">
        <f>IFERROR(__xludf.DUMMYFUNCTION("XLOOKUP(AS992,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JOSEFA SOARES DE OLIVEIRA")</f>
        <v>COLÉGIO ESTADUAL JOSEFA SOARES DE OLIVEIRA</v>
      </c>
      <c r="H992" s="114" t="s">
        <v>5227</v>
      </c>
      <c r="I992" s="91" t="s">
        <v>5228</v>
      </c>
      <c r="J992" s="136" t="s">
        <v>149</v>
      </c>
      <c r="K992" s="136" t="s">
        <v>150</v>
      </c>
      <c r="L992" s="83" t="s">
        <v>151</v>
      </c>
      <c r="M992" s="83" t="s">
        <v>76</v>
      </c>
      <c r="N992" s="98" t="s">
        <v>5229</v>
      </c>
      <c r="O992" s="98" t="s">
        <v>155</v>
      </c>
      <c r="P992" s="99" t="str">
        <f>IFERROR(__xludf.DUMMYFUNCTION("IFERROR(VLOOKUP(AS992,IMPORTRANGE(""https://docs.google.com/spreadsheets/d/1juPI-Fb8LD0YtltB2mlGEnp_R3UVu1t3wSFPzgCyHXE/edit?gid=0#gid=0"",""GERAL!A2:C""),3,0),""-"")"),"-")</f>
        <v>-</v>
      </c>
      <c r="Q992" s="83"/>
      <c r="R992" s="83"/>
      <c r="S992" s="83"/>
      <c r="T992" s="83"/>
      <c r="U992" s="83"/>
      <c r="V992" s="83"/>
      <c r="W992" s="83"/>
      <c r="X992" s="83"/>
      <c r="Y992" s="83"/>
      <c r="Z992" s="83"/>
      <c r="AA992" s="83"/>
      <c r="AB992" s="83"/>
      <c r="AC992" s="83"/>
      <c r="AD992" s="83"/>
      <c r="AE992" s="83"/>
      <c r="AF992" s="83"/>
      <c r="AG992" s="83"/>
      <c r="AH992" s="83"/>
      <c r="AI992" s="83"/>
      <c r="AJ992" s="83"/>
      <c r="AK992" s="83"/>
      <c r="AL992" s="83"/>
      <c r="AM992" s="83"/>
      <c r="AN992" s="83"/>
      <c r="AO992" s="83"/>
      <c r="AP992" s="83"/>
      <c r="AQ992" s="83"/>
      <c r="AR992" s="83"/>
      <c r="AS992" s="83">
        <v>1115342.0</v>
      </c>
    </row>
    <row r="993" ht="15.75" customHeight="1">
      <c r="A993" s="111" t="s">
        <v>1224</v>
      </c>
      <c r="B993" s="83" t="s">
        <v>5230</v>
      </c>
      <c r="C993" s="83" t="s">
        <v>45</v>
      </c>
      <c r="D993" s="112">
        <v>1178393.0</v>
      </c>
      <c r="E993" s="83"/>
      <c r="F993" s="83">
        <v>2.937572E7</v>
      </c>
      <c r="G993" s="91" t="str">
        <f>IFERROR(__xludf.DUMMYFUNCTION("XLOOKUP(AS993,
IMPORTRANGE(""https://docs.google.com/spreadsheets/d/1YM-djuOLXomrZ9W0B4TyIBsVWnXY4EIOFD9HY-qGfv0/edit?usp=sharing"",""GERAL!BG5:BG""),
IMPORTRANGE(""https://docs.google.com/spreadsheets/d/1YM-djuOLXomrZ9W0B4TyIBsVWnXY4EIOFD9HY-qGfv0/edit?u"&amp;"sp=sharing"",""GERAL!G5:G""),
""CÓD. SEC NÃO ENCONTRADO NA PLANILHA DE MATRÍCULA"")"),"ESCOLA COMUNITARIA FAMILIA AGRICOLA DE RIBEIRA DO POMBAL")</f>
        <v>ESCOLA COMUNITARIA FAMILIA AGRICOLA DE RIBEIRA DO POMBAL</v>
      </c>
      <c r="H993" s="91" t="s">
        <v>5231</v>
      </c>
      <c r="I993" s="91" t="s">
        <v>5232</v>
      </c>
      <c r="J993" s="136" t="s">
        <v>149</v>
      </c>
      <c r="K993" s="115" t="s">
        <v>694</v>
      </c>
      <c r="L993" s="83" t="s">
        <v>171</v>
      </c>
      <c r="M993" s="83" t="s">
        <v>169</v>
      </c>
      <c r="N993" s="98" t="s">
        <v>5233</v>
      </c>
      <c r="O993" s="98" t="s">
        <v>155</v>
      </c>
      <c r="P993" s="99" t="str">
        <f>IFERROR(__xludf.DUMMYFUNCTION("IFERROR(VLOOKUP(AS993,IMPORTRANGE(""https://docs.google.com/spreadsheets/d/1juPI-Fb8LD0YtltB2mlGEnp_R3UVu1t3wSFPzgCyHXE/edit?gid=0#gid=0"",""GERAL!A2:C""),3,0),""-"")"),"EFA")</f>
        <v>EFA</v>
      </c>
      <c r="Q993" s="101" t="s">
        <v>156</v>
      </c>
      <c r="R993" s="98" t="s">
        <v>171</v>
      </c>
      <c r="S993" s="98" t="s">
        <v>171</v>
      </c>
      <c r="T993" s="98" t="s">
        <v>171</v>
      </c>
      <c r="U993" s="98" t="s">
        <v>171</v>
      </c>
      <c r="V993" s="98" t="s">
        <v>171</v>
      </c>
      <c r="W993" s="98" t="s">
        <v>171</v>
      </c>
      <c r="X993" s="98" t="s">
        <v>171</v>
      </c>
      <c r="Y993" s="98" t="s">
        <v>171</v>
      </c>
      <c r="Z993" s="98" t="s">
        <v>171</v>
      </c>
      <c r="AA993" s="98" t="s">
        <v>171</v>
      </c>
      <c r="AB993" s="98" t="s">
        <v>171</v>
      </c>
      <c r="AC993" s="98" t="s">
        <v>171</v>
      </c>
      <c r="AD993" s="98" t="s">
        <v>5234</v>
      </c>
      <c r="AE993" s="98" t="s">
        <v>171</v>
      </c>
      <c r="AF993" s="98" t="s">
        <v>171</v>
      </c>
      <c r="AG993" s="98" t="s">
        <v>171</v>
      </c>
      <c r="AH993" s="98" t="s">
        <v>171</v>
      </c>
      <c r="AI993" s="98" t="s">
        <v>171</v>
      </c>
      <c r="AJ993" s="98" t="s">
        <v>171</v>
      </c>
      <c r="AK993" s="98" t="s">
        <v>171</v>
      </c>
      <c r="AL993" s="98" t="s">
        <v>171</v>
      </c>
      <c r="AM993" s="98" t="s">
        <v>171</v>
      </c>
      <c r="AN993" s="98" t="s">
        <v>171</v>
      </c>
      <c r="AO993" s="98" t="s">
        <v>171</v>
      </c>
      <c r="AP993" s="98" t="s">
        <v>171</v>
      </c>
      <c r="AQ993" s="98" t="s">
        <v>171</v>
      </c>
      <c r="AR993" s="102">
        <v>46231.0</v>
      </c>
      <c r="AS993" s="83">
        <v>1178393.0</v>
      </c>
    </row>
    <row r="994" ht="15.75" customHeight="1">
      <c r="A994" s="111" t="s">
        <v>1224</v>
      </c>
      <c r="B994" s="83" t="s">
        <v>5230</v>
      </c>
      <c r="C994" s="83" t="s">
        <v>68</v>
      </c>
      <c r="D994" s="112">
        <v>1178429.0</v>
      </c>
      <c r="E994" s="83"/>
      <c r="F994" s="83">
        <v>2.939894E7</v>
      </c>
      <c r="G994" s="91" t="str">
        <f>IFERROR(__xludf.DUMMYFUNCTION("XLOOKUP(AS994,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DO CAMPO DE TEMPO INTEGRAL JOÃO MARQUES DA SILVA - DISTRITO DE VILA RODRIGUES")</f>
        <v>COLÉGIO ESTADUAL DO CAMPO DE TEMPO INTEGRAL JOÃO MARQUES DA SILVA - DISTRITO DE VILA RODRIGUES</v>
      </c>
      <c r="H994" s="119" t="s">
        <v>5235</v>
      </c>
      <c r="I994" s="108" t="s">
        <v>5236</v>
      </c>
      <c r="J994" s="136" t="s">
        <v>149</v>
      </c>
      <c r="K994" s="136" t="s">
        <v>240</v>
      </c>
      <c r="L994" s="83" t="s">
        <v>151</v>
      </c>
      <c r="M994" s="83" t="s">
        <v>169</v>
      </c>
      <c r="N994" s="98" t="s">
        <v>5237</v>
      </c>
      <c r="O994" s="98" t="s">
        <v>155</v>
      </c>
      <c r="P994" s="99" t="str">
        <f>IFERROR(__xludf.DUMMYFUNCTION("IFERROR(VLOOKUP(AS994,IMPORTRANGE(""https://docs.google.com/spreadsheets/d/1juPI-Fb8LD0YtltB2mlGEnp_R3UVu1t3wSFPzgCyHXE/edit?gid=0#gid=0"",""GERAL!A2:C""),3,0),""-"")"),"CAMPO")</f>
        <v>CAMPO</v>
      </c>
      <c r="Q994" s="101" t="s">
        <v>156</v>
      </c>
      <c r="R994" s="98">
        <v>6.0</v>
      </c>
      <c r="S994" s="98">
        <v>0.0</v>
      </c>
      <c r="T994" s="98">
        <v>0.0</v>
      </c>
      <c r="U994" s="98">
        <v>0.0</v>
      </c>
      <c r="V994" s="98">
        <v>0.0</v>
      </c>
      <c r="W994" s="98">
        <v>0.0</v>
      </c>
      <c r="X994" s="98">
        <v>0.0</v>
      </c>
      <c r="Y994" s="98">
        <v>1.0</v>
      </c>
      <c r="Z994" s="98">
        <v>0.0</v>
      </c>
      <c r="AA994" s="98">
        <v>0.0</v>
      </c>
      <c r="AB994" s="98">
        <v>0.0</v>
      </c>
      <c r="AC994" s="98">
        <v>0.0</v>
      </c>
      <c r="AD994" s="98">
        <v>0.0</v>
      </c>
      <c r="AE994" s="98">
        <v>0.0</v>
      </c>
      <c r="AF994" s="98">
        <v>1.0</v>
      </c>
      <c r="AG994" s="98">
        <v>0.0</v>
      </c>
      <c r="AH994" s="98">
        <v>0.0</v>
      </c>
      <c r="AI994" s="98">
        <v>0.0</v>
      </c>
      <c r="AJ994" s="98">
        <v>0.0</v>
      </c>
      <c r="AK994" s="98">
        <v>0.0</v>
      </c>
      <c r="AL994" s="98">
        <v>0.0</v>
      </c>
      <c r="AM994" s="98">
        <v>0.0</v>
      </c>
      <c r="AN994" s="98">
        <v>0.0</v>
      </c>
      <c r="AO994" s="98">
        <v>0.0</v>
      </c>
      <c r="AP994" s="98">
        <v>1.0</v>
      </c>
      <c r="AQ994" s="98" t="s">
        <v>5238</v>
      </c>
      <c r="AR994" s="102">
        <v>46231.0</v>
      </c>
      <c r="AS994" s="83">
        <v>1178429.0</v>
      </c>
    </row>
    <row r="995" ht="15.75" customHeight="1">
      <c r="A995" s="111" t="s">
        <v>1224</v>
      </c>
      <c r="B995" s="83" t="s">
        <v>5230</v>
      </c>
      <c r="C995" s="83" t="s">
        <v>68</v>
      </c>
      <c r="D995" s="112">
        <v>1115393.0</v>
      </c>
      <c r="E995" s="83"/>
      <c r="F995" s="83">
        <v>2.9133955E7</v>
      </c>
      <c r="G995" s="91" t="str">
        <f>IFERROR(__xludf.DUMMYFUNCTION("XLOOKUP(AS995,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PROFESSORA SILVIA FERREIRA DE BRITO")</f>
        <v>COLÉGIO ESTADUAL DE TEMPO INTEGRAL PROFESSORA SILVIA FERREIRA DE BRITO</v>
      </c>
      <c r="H995" s="119" t="s">
        <v>5239</v>
      </c>
      <c r="I995" s="91" t="s">
        <v>5240</v>
      </c>
      <c r="J995" s="136" t="s">
        <v>149</v>
      </c>
      <c r="K995" s="136" t="s">
        <v>150</v>
      </c>
      <c r="L995" s="83" t="s">
        <v>151</v>
      </c>
      <c r="M995" s="83" t="s">
        <v>152</v>
      </c>
      <c r="N995" s="98" t="s">
        <v>5241</v>
      </c>
      <c r="O995" s="98" t="s">
        <v>155</v>
      </c>
      <c r="P995" s="99" t="str">
        <f>IFERROR(__xludf.DUMMYFUNCTION("IFERROR(VLOOKUP(AS995,IMPORTRANGE(""https://docs.google.com/spreadsheets/d/1juPI-Fb8LD0YtltB2mlGEnp_R3UVu1t3wSFPzgCyHXE/edit?gid=0#gid=0"",""GERAL!A2:C""),3,0),""-"")"),"-")</f>
        <v>-</v>
      </c>
      <c r="Q995" s="101" t="s">
        <v>156</v>
      </c>
      <c r="R995" s="98">
        <v>8.0</v>
      </c>
      <c r="S995" s="98">
        <v>1.0</v>
      </c>
      <c r="T995" s="98">
        <v>0.0</v>
      </c>
      <c r="U995" s="98">
        <v>0.0</v>
      </c>
      <c r="V995" s="98">
        <v>1.0</v>
      </c>
      <c r="W995" s="98">
        <v>0.0</v>
      </c>
      <c r="X995" s="98">
        <v>0.0</v>
      </c>
      <c r="Y995" s="98">
        <v>1.0</v>
      </c>
      <c r="Z995" s="98">
        <v>0.0</v>
      </c>
      <c r="AA995" s="98">
        <v>0.0</v>
      </c>
      <c r="AB995" s="98">
        <v>0.0</v>
      </c>
      <c r="AC995" s="98">
        <v>0.0</v>
      </c>
      <c r="AD995" s="98">
        <v>0.0</v>
      </c>
      <c r="AE995" s="98">
        <v>0.0</v>
      </c>
      <c r="AF995" s="98">
        <v>0.0</v>
      </c>
      <c r="AG995" s="98">
        <v>0.0</v>
      </c>
      <c r="AH995" s="98">
        <v>0.0</v>
      </c>
      <c r="AI995" s="98">
        <v>0.0</v>
      </c>
      <c r="AJ995" s="98">
        <v>0.0</v>
      </c>
      <c r="AK995" s="98">
        <v>0.0</v>
      </c>
      <c r="AL995" s="98">
        <v>0.0</v>
      </c>
      <c r="AM995" s="98">
        <v>0.0</v>
      </c>
      <c r="AN995" s="98">
        <v>0.0</v>
      </c>
      <c r="AO995" s="98">
        <v>0.0</v>
      </c>
      <c r="AP995" s="98">
        <v>2.0</v>
      </c>
      <c r="AQ995" s="98" t="s">
        <v>5242</v>
      </c>
      <c r="AR995" s="102">
        <v>46231.0</v>
      </c>
      <c r="AS995" s="83">
        <v>1115393.0</v>
      </c>
    </row>
    <row r="996" ht="15.75" customHeight="1">
      <c r="A996" s="111" t="s">
        <v>1224</v>
      </c>
      <c r="B996" s="83" t="s">
        <v>5230</v>
      </c>
      <c r="C996" s="83" t="s">
        <v>68</v>
      </c>
      <c r="D996" s="112">
        <v>1178084.0</v>
      </c>
      <c r="E996" s="83"/>
      <c r="F996" s="83">
        <v>2.942853E7</v>
      </c>
      <c r="G996" s="91" t="str">
        <f>IFERROR(__xludf.DUMMYFUNCTION("XLOOKUP(AS996,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TERRAS DE CANABRAVA
(ANTIGO CENTRAL)
(IRÁ RECEBER OS ESTUDANTES DO CE SILVIA FERREIRA DE BRITO)")</f>
        <v>COLÉGIO ESTADUAL DE TEMPO INTEGRAL TERRAS DE CANABRAVA
(ANTIGO CENTRAL)
(IRÁ RECEBER OS ESTUDANTES DO CE SILVIA FERREIRA DE BRITO)</v>
      </c>
      <c r="H996" s="114" t="s">
        <v>5243</v>
      </c>
      <c r="I996" s="91" t="s">
        <v>5244</v>
      </c>
      <c r="J996" s="136" t="s">
        <v>149</v>
      </c>
      <c r="K996" s="136" t="s">
        <v>150</v>
      </c>
      <c r="L996" s="83" t="s">
        <v>151</v>
      </c>
      <c r="M996" s="83" t="s">
        <v>152</v>
      </c>
      <c r="N996" s="98" t="s">
        <v>5245</v>
      </c>
      <c r="O996" s="98" t="s">
        <v>155</v>
      </c>
      <c r="P996" s="99" t="str">
        <f>IFERROR(__xludf.DUMMYFUNCTION("IFERROR(VLOOKUP(AS996,IMPORTRANGE(""https://docs.google.com/spreadsheets/d/1juPI-Fb8LD0YtltB2mlGEnp_R3UVu1t3wSFPzgCyHXE/edit?gid=0#gid=0"",""GERAL!A2:C""),3,0),""-"")"),"-")</f>
        <v>-</v>
      </c>
      <c r="Q996" s="101" t="s">
        <v>156</v>
      </c>
      <c r="R996" s="98">
        <v>10.0</v>
      </c>
      <c r="S996" s="98">
        <v>0.0</v>
      </c>
      <c r="T996" s="98">
        <v>0.0</v>
      </c>
      <c r="U996" s="98">
        <v>0.0</v>
      </c>
      <c r="V996" s="98">
        <v>0.0</v>
      </c>
      <c r="W996" s="98">
        <v>0.0</v>
      </c>
      <c r="X996" s="98">
        <v>0.0</v>
      </c>
      <c r="Y996" s="98">
        <v>0.0</v>
      </c>
      <c r="Z996" s="98">
        <v>0.0</v>
      </c>
      <c r="AA996" s="98">
        <v>0.0</v>
      </c>
      <c r="AB996" s="98">
        <v>0.0</v>
      </c>
      <c r="AC996" s="98">
        <v>0.0</v>
      </c>
      <c r="AD996" s="98">
        <v>0.0</v>
      </c>
      <c r="AE996" s="98">
        <v>0.0</v>
      </c>
      <c r="AF996" s="98">
        <v>1.0</v>
      </c>
      <c r="AG996" s="98">
        <v>0.0</v>
      </c>
      <c r="AH996" s="98">
        <v>0.0</v>
      </c>
      <c r="AI996" s="98">
        <v>0.0</v>
      </c>
      <c r="AJ996" s="98">
        <v>0.0</v>
      </c>
      <c r="AK996" s="98">
        <v>0.0</v>
      </c>
      <c r="AL996" s="98">
        <v>0.0</v>
      </c>
      <c r="AM996" s="98">
        <v>0.0</v>
      </c>
      <c r="AN996" s="98">
        <v>0.0</v>
      </c>
      <c r="AO996" s="98">
        <v>0.0</v>
      </c>
      <c r="AP996" s="98">
        <v>0.0</v>
      </c>
      <c r="AQ996" s="98" t="s">
        <v>171</v>
      </c>
      <c r="AR996" s="102">
        <v>46231.0</v>
      </c>
      <c r="AS996" s="83">
        <v>1178084.0</v>
      </c>
    </row>
    <row r="997" ht="15.75" customHeight="1">
      <c r="A997" s="111" t="s">
        <v>1224</v>
      </c>
      <c r="B997" s="83" t="s">
        <v>5230</v>
      </c>
      <c r="C997" s="83" t="s">
        <v>68</v>
      </c>
      <c r="D997" s="112">
        <v>1115326.0</v>
      </c>
      <c r="E997" s="83"/>
      <c r="F997" s="83">
        <v>2.913313E7</v>
      </c>
      <c r="G997" s="91" t="str">
        <f>IFERROR(__xludf.DUMMYFUNCTION("XLOOKUP(AS997,
IMPORTRANGE(""https://docs.google.com/spreadsheets/d/1YM-djuOLXomrZ9W0B4TyIBsVWnXY4EIOFD9HY-qGfv0/edit?usp=sharing"",""GERAL!BG5:BG""),
IMPORTRANGE(""https://docs.google.com/spreadsheets/d/1YM-djuOLXomrZ9W0B4TyIBsVWnXY4EIOFD9HY-qGfv0/edit?u"&amp;"sp=sharing"",""GERAL!G5:G""),
""CÓD. SEC NÃO ENCONTRADO NA PLANILHA DE MATRÍCULA"")"),"CENTRO TERRITORIAL DE EDUCACAO PROFISSIONAL DO SEMIARIDO NORDESTE II")</f>
        <v>CENTRO TERRITORIAL DE EDUCACAO PROFISSIONAL DO SEMIARIDO NORDESTE II</v>
      </c>
      <c r="H997" s="119" t="s">
        <v>5246</v>
      </c>
      <c r="I997" s="91" t="s">
        <v>5247</v>
      </c>
      <c r="J997" s="136" t="s">
        <v>149</v>
      </c>
      <c r="K997" s="136" t="s">
        <v>150</v>
      </c>
      <c r="L997" s="83" t="s">
        <v>151</v>
      </c>
      <c r="M997" s="83" t="s">
        <v>230</v>
      </c>
      <c r="N997" s="98" t="s">
        <v>5248</v>
      </c>
      <c r="O997" s="98" t="s">
        <v>176</v>
      </c>
      <c r="P997" s="99" t="str">
        <f>IFERROR(__xludf.DUMMYFUNCTION("IFERROR(VLOOKUP(AS997,IMPORTRANGE(""https://docs.google.com/spreadsheets/d/1juPI-Fb8LD0YtltB2mlGEnp_R3UVu1t3wSFPzgCyHXE/edit?gid=0#gid=0"",""GERAL!A2:C""),3,0),""-"")"),"-")</f>
        <v>-</v>
      </c>
      <c r="Q997" s="101" t="s">
        <v>156</v>
      </c>
      <c r="R997" s="98">
        <v>11.0</v>
      </c>
      <c r="S997" s="98">
        <v>1.0</v>
      </c>
      <c r="T997" s="98">
        <v>1.0</v>
      </c>
      <c r="U997" s="98">
        <v>0.0</v>
      </c>
      <c r="V997" s="98">
        <v>1.0</v>
      </c>
      <c r="W997" s="98">
        <v>10.0</v>
      </c>
      <c r="X997" s="98">
        <v>1.0</v>
      </c>
      <c r="Y997" s="98">
        <v>0.0</v>
      </c>
      <c r="Z997" s="98">
        <v>1.0</v>
      </c>
      <c r="AA997" s="98">
        <v>0.0</v>
      </c>
      <c r="AB997" s="98">
        <v>1.0</v>
      </c>
      <c r="AC997" s="98">
        <v>0.0</v>
      </c>
      <c r="AD997" s="98">
        <v>0.0</v>
      </c>
      <c r="AE997" s="98">
        <v>0.0</v>
      </c>
      <c r="AF997" s="98">
        <v>1.0</v>
      </c>
      <c r="AG997" s="98">
        <v>0.0</v>
      </c>
      <c r="AH997" s="98">
        <v>0.0</v>
      </c>
      <c r="AI997" s="98">
        <v>0.0</v>
      </c>
      <c r="AJ997" s="98">
        <v>0.0</v>
      </c>
      <c r="AK997" s="98">
        <v>1.0</v>
      </c>
      <c r="AL997" s="98">
        <v>0.0</v>
      </c>
      <c r="AM997" s="98">
        <v>0.0</v>
      </c>
      <c r="AN997" s="98">
        <v>0.0</v>
      </c>
      <c r="AO997" s="98">
        <v>1.0</v>
      </c>
      <c r="AP997" s="98">
        <v>0.0</v>
      </c>
      <c r="AQ997" s="98" t="s">
        <v>5250</v>
      </c>
      <c r="AR997" s="102">
        <v>46231.0</v>
      </c>
      <c r="AS997" s="83">
        <v>1115326.0</v>
      </c>
    </row>
    <row r="998" ht="15.75" customHeight="1">
      <c r="A998" s="111" t="s">
        <v>1224</v>
      </c>
      <c r="B998" s="83" t="s">
        <v>5251</v>
      </c>
      <c r="C998" s="83" t="s">
        <v>68</v>
      </c>
      <c r="D998" s="112">
        <v>1114303.0</v>
      </c>
      <c r="E998" s="83"/>
      <c r="F998" s="83">
        <v>2.91145E7</v>
      </c>
      <c r="G998" s="91" t="str">
        <f>IFERROR(__xludf.DUMMYFUNCTION("XLOOKUP(AS998,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MADRINHA DODÔ - (ANTIGO CE LUIZ VIANA FILHO)")</f>
        <v>COLÉGIO ESTADUAL DE TEMPO INTEGRAL MADRINHA DODÔ - (ANTIGO CE LUIZ VIANA FILHO)</v>
      </c>
      <c r="H998" s="119" t="s">
        <v>5255</v>
      </c>
      <c r="I998" s="91" t="s">
        <v>5257</v>
      </c>
      <c r="J998" s="136" t="s">
        <v>149</v>
      </c>
      <c r="K998" s="83" t="s">
        <v>150</v>
      </c>
      <c r="L998" s="83" t="s">
        <v>151</v>
      </c>
      <c r="M998" s="83" t="s">
        <v>152</v>
      </c>
      <c r="N998" s="98" t="s">
        <v>5261</v>
      </c>
      <c r="O998" s="98" t="s">
        <v>176</v>
      </c>
      <c r="P998" s="99" t="str">
        <f>IFERROR(__xludf.DUMMYFUNCTION("IFERROR(VLOOKUP(AS998,IMPORTRANGE(""https://docs.google.com/spreadsheets/d/1juPI-Fb8LD0YtltB2mlGEnp_R3UVu1t3wSFPzgCyHXE/edit?gid=0#gid=0"",""GERAL!A2:C""),3,0),""-"")"),"-")</f>
        <v>-</v>
      </c>
      <c r="Q998" s="136"/>
      <c r="R998" s="136"/>
      <c r="S998" s="136"/>
      <c r="T998" s="136"/>
      <c r="U998" s="136"/>
      <c r="V998" s="136"/>
      <c r="W998" s="136"/>
      <c r="X998" s="136"/>
      <c r="Y998" s="136"/>
      <c r="Z998" s="136"/>
      <c r="AA998" s="136"/>
      <c r="AB998" s="136"/>
      <c r="AC998" s="136"/>
      <c r="AD998" s="136"/>
      <c r="AE998" s="136"/>
      <c r="AF998" s="136"/>
      <c r="AG998" s="136"/>
      <c r="AH998" s="136"/>
      <c r="AI998" s="136"/>
      <c r="AJ998" s="136"/>
      <c r="AK998" s="136"/>
      <c r="AL998" s="136"/>
      <c r="AM998" s="136"/>
      <c r="AN998" s="136"/>
      <c r="AO998" s="136"/>
      <c r="AP998" s="136"/>
      <c r="AQ998" s="136"/>
      <c r="AR998" s="136"/>
      <c r="AS998" s="136">
        <v>1114303.0</v>
      </c>
    </row>
    <row r="999" ht="15.75" customHeight="1">
      <c r="A999" s="111" t="s">
        <v>1224</v>
      </c>
      <c r="B999" s="83" t="s">
        <v>5263</v>
      </c>
      <c r="C999" s="83" t="s">
        <v>68</v>
      </c>
      <c r="D999" s="112">
        <v>1171196.0</v>
      </c>
      <c r="E999" s="83"/>
      <c r="F999" s="83">
        <v>2.9115396E7</v>
      </c>
      <c r="G999" s="91" t="str">
        <f>IFERROR(__xludf.DUMMYFUNCTION("XLOOKUP(AS999,
IMPORTRANGE(""https://docs.google.com/spreadsheets/d/1YM-djuOLXomrZ9W0B4TyIBsVWnXY4EIOFD9HY-qGfv0/edit?usp=sharing"",""GERAL!BG5:BG""),
IMPORTRANGE(""https://docs.google.com/spreadsheets/d/1YM-djuOLXomrZ9W0B4TyIBsVWnXY4EIOFD9HY-qGfv0/edit?u"&amp;"sp=sharing"",""GERAL!G5:G""),
""CÓD. SEC NÃO ENCONTRADO NA PLANILHA DE MATRÍCULA"")"),"COLÉGIO ESTADUAL DE TEMPO INTEGRAL JOÃO FRANCISCO DA SILVA")</f>
        <v>COLÉGIO ESTADUAL DE TEMPO INTEGRAL JOÃO FRANCISCO DA SILVA</v>
      </c>
      <c r="H999" s="119" t="s">
        <v>5264</v>
      </c>
      <c r="I999" s="108" t="s">
        <v>5265</v>
      </c>
      <c r="J999" s="172" t="s">
        <v>149</v>
      </c>
      <c r="K999" s="83" t="s">
        <v>150</v>
      </c>
      <c r="L999" s="83" t="s">
        <v>151</v>
      </c>
      <c r="M999" s="83" t="s">
        <v>230</v>
      </c>
      <c r="N999" s="98" t="s">
        <v>5266</v>
      </c>
      <c r="O999" s="98" t="s">
        <v>162</v>
      </c>
      <c r="P999" s="99" t="str">
        <f>IFERROR(__xludf.DUMMYFUNCTION("IFERROR(VLOOKUP(AS999,IMPORTRANGE(""https://docs.google.com/spreadsheets/d/1juPI-Fb8LD0YtltB2mlGEnp_R3UVu1t3wSFPzgCyHXE/edit?gid=0#gid=0"",""GERAL!A2:C""),3,0),""-"")"),"-")</f>
        <v>-</v>
      </c>
      <c r="Q999" s="101" t="s">
        <v>156</v>
      </c>
      <c r="R999" s="98">
        <v>12.0</v>
      </c>
      <c r="S999" s="98">
        <v>0.0</v>
      </c>
      <c r="T999" s="98">
        <v>0.0</v>
      </c>
      <c r="U999" s="98">
        <v>0.0</v>
      </c>
      <c r="V999" s="98">
        <v>0.0</v>
      </c>
      <c r="W999" s="98">
        <v>2.0</v>
      </c>
      <c r="X999" s="98">
        <v>1.0</v>
      </c>
      <c r="Y999" s="98">
        <v>0.0</v>
      </c>
      <c r="Z999" s="98">
        <v>1.0</v>
      </c>
      <c r="AA999" s="98">
        <v>0.0</v>
      </c>
      <c r="AB999" s="98">
        <v>1.0</v>
      </c>
      <c r="AC999" s="98">
        <v>0.0</v>
      </c>
      <c r="AD999" s="98">
        <v>0.0</v>
      </c>
      <c r="AE999" s="98">
        <v>0.0</v>
      </c>
      <c r="AF999" s="98">
        <v>1.0</v>
      </c>
      <c r="AG999" s="98">
        <v>0.0</v>
      </c>
      <c r="AH999" s="98">
        <v>0.0</v>
      </c>
      <c r="AI999" s="98">
        <v>0.0</v>
      </c>
      <c r="AJ999" s="98">
        <v>1.0</v>
      </c>
      <c r="AK999" s="98">
        <v>0.0</v>
      </c>
      <c r="AL999" s="98">
        <v>0.0</v>
      </c>
      <c r="AM999" s="98">
        <v>0.0</v>
      </c>
      <c r="AN999" s="98">
        <v>0.0</v>
      </c>
      <c r="AO999" s="98">
        <v>0.0</v>
      </c>
      <c r="AP999" s="98">
        <v>0.0</v>
      </c>
      <c r="AQ999" s="98" t="s">
        <v>5276</v>
      </c>
      <c r="AR999" s="102">
        <v>46231.0</v>
      </c>
      <c r="AS999" s="83">
        <v>1171196.0</v>
      </c>
    </row>
    <row r="1000" ht="15.75" customHeight="1">
      <c r="A1000" s="111" t="s">
        <v>1281</v>
      </c>
      <c r="B1000" s="83" t="s">
        <v>5277</v>
      </c>
      <c r="C1000" s="83" t="s">
        <v>68</v>
      </c>
      <c r="D1000" s="112">
        <v>1178221.0</v>
      </c>
      <c r="E1000" s="83"/>
      <c r="F1000" s="83">
        <v>2.944674E7</v>
      </c>
      <c r="G1000" s="91" t="str">
        <f>IFERROR(__xludf.DUMMYFUNCTION("XLOOKUP(AS1000,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ANTÔNIO DA COSTA BRITO")</f>
        <v>COLÉGIO ESTADUAL DE TEMPO INTEGRAL ANTÔNIO DA COSTA BRITO</v>
      </c>
      <c r="H1000" s="114" t="s">
        <v>5281</v>
      </c>
      <c r="I1000" s="91" t="s">
        <v>5283</v>
      </c>
      <c r="J1000" s="83" t="s">
        <v>149</v>
      </c>
      <c r="K1000" s="83" t="s">
        <v>150</v>
      </c>
      <c r="L1000" s="83" t="s">
        <v>151</v>
      </c>
      <c r="M1000" s="83" t="s">
        <v>152</v>
      </c>
      <c r="N1000" s="98" t="s">
        <v>5287</v>
      </c>
      <c r="O1000" s="98" t="s">
        <v>176</v>
      </c>
      <c r="P1000" s="99" t="str">
        <f>IFERROR(__xludf.DUMMYFUNCTION("IFERROR(VLOOKUP(AS1000,IMPORTRANGE(""https://docs.google.com/spreadsheets/d/1juPI-Fb8LD0YtltB2mlGEnp_R3UVu1t3wSFPzgCyHXE/edit?gid=0#gid=0"",""GERAL!A2:C""),3,0),""-"")"),"-")</f>
        <v>-</v>
      </c>
      <c r="Q1000" s="83"/>
      <c r="R1000" s="83"/>
      <c r="S1000" s="83"/>
      <c r="T1000" s="83"/>
      <c r="U1000" s="83"/>
      <c r="V1000" s="83"/>
      <c r="W1000" s="83"/>
      <c r="X1000" s="83"/>
      <c r="Y1000" s="83"/>
      <c r="Z1000" s="83"/>
      <c r="AA1000" s="83"/>
      <c r="AB1000" s="83"/>
      <c r="AC1000" s="83"/>
      <c r="AD1000" s="83"/>
      <c r="AE1000" s="83"/>
      <c r="AF1000" s="83"/>
      <c r="AG1000" s="83"/>
      <c r="AH1000" s="83"/>
      <c r="AI1000" s="83"/>
      <c r="AJ1000" s="83"/>
      <c r="AK1000" s="83"/>
      <c r="AL1000" s="83"/>
      <c r="AM1000" s="83"/>
      <c r="AN1000" s="83"/>
      <c r="AO1000" s="83"/>
      <c r="AP1000" s="83"/>
      <c r="AQ1000" s="83"/>
      <c r="AR1000" s="83"/>
      <c r="AS1000" s="83">
        <v>1178221.0</v>
      </c>
    </row>
    <row r="1001" ht="15.75" customHeight="1">
      <c r="A1001" s="111" t="s">
        <v>1281</v>
      </c>
      <c r="B1001" s="83" t="s">
        <v>2476</v>
      </c>
      <c r="C1001" s="83" t="s">
        <v>68</v>
      </c>
      <c r="D1001" s="112">
        <v>1107862.0</v>
      </c>
      <c r="E1001" s="83"/>
      <c r="F1001" s="83">
        <v>2.915059E7</v>
      </c>
      <c r="G1001" s="91" t="str">
        <f>IFERROR(__xludf.DUMMYFUNCTION("XLOOKUP(AS1001,
IMPORTRANGE(""https://docs.google.com/spreadsheets/d/1YM-djuOLXomrZ9W0B4TyIBsVWnXY4EIOFD9HY-qGfv0/edit?usp=sharing"",""GERAL!BG5:BG""),
IMPORTRANGE(""https://docs.google.com/spreadsheets/d/1YM-djuOLXomrZ9W0B4TyIBsVWnXY4EIOFD9HY-qGfv0/edit?"&amp;"usp=sharing"",""GERAL!G5:G""),
""CÓD. SEC NÃO ENCONTRADO NA PLANILHA DE MATRÍCULA"")"),"ESCOLA PROFESSOR JULIO LEAL ARAUJO")</f>
        <v>ESCOLA PROFESSOR JULIO LEAL ARAUJO</v>
      </c>
      <c r="H1001" s="114" t="s">
        <v>5288</v>
      </c>
      <c r="I1001" s="91" t="s">
        <v>5289</v>
      </c>
      <c r="J1001" s="83" t="s">
        <v>5290</v>
      </c>
      <c r="K1001" s="83" t="s">
        <v>150</v>
      </c>
      <c r="L1001" s="83" t="s">
        <v>151</v>
      </c>
      <c r="M1001" s="83" t="s">
        <v>169</v>
      </c>
      <c r="N1001" s="98" t="s">
        <v>5291</v>
      </c>
      <c r="O1001" s="98" t="s">
        <v>155</v>
      </c>
      <c r="P1001" s="99" t="str">
        <f>IFERROR(__xludf.DUMMYFUNCTION("IFERROR(VLOOKUP(AS1001,IMPORTRANGE(""https://docs.google.com/spreadsheets/d/1juPI-Fb8LD0YtltB2mlGEnp_R3UVu1t3wSFPzgCyHXE/edit?gid=0#gid=0"",""GERAL!A2:C""),3,0),""-"")"),"-")</f>
        <v>-</v>
      </c>
      <c r="Q1001" s="101" t="s">
        <v>156</v>
      </c>
      <c r="R1001" s="98">
        <v>4.0</v>
      </c>
      <c r="S1001" s="98">
        <v>0.0</v>
      </c>
      <c r="T1001" s="98">
        <v>0.0</v>
      </c>
      <c r="U1001" s="98">
        <v>0.0</v>
      </c>
      <c r="V1001" s="98">
        <v>0.0</v>
      </c>
      <c r="W1001" s="98">
        <v>0.0</v>
      </c>
      <c r="X1001" s="98">
        <v>0.0</v>
      </c>
      <c r="Y1001" s="98">
        <v>0.0</v>
      </c>
      <c r="Z1001" s="98">
        <v>0.0</v>
      </c>
      <c r="AA1001" s="98">
        <v>0.0</v>
      </c>
      <c r="AB1001" s="98">
        <v>0.0</v>
      </c>
      <c r="AC1001" s="98">
        <v>0.0</v>
      </c>
      <c r="AD1001" s="98">
        <v>0.0</v>
      </c>
      <c r="AE1001" s="98">
        <v>0.0</v>
      </c>
      <c r="AF1001" s="98">
        <v>0.0</v>
      </c>
      <c r="AG1001" s="98">
        <v>0.0</v>
      </c>
      <c r="AH1001" s="98">
        <v>0.0</v>
      </c>
      <c r="AI1001" s="98">
        <v>0.0</v>
      </c>
      <c r="AJ1001" s="98">
        <v>0.0</v>
      </c>
      <c r="AK1001" s="98">
        <v>0.0</v>
      </c>
      <c r="AL1001" s="98">
        <v>0.0</v>
      </c>
      <c r="AM1001" s="98">
        <v>0.0</v>
      </c>
      <c r="AN1001" s="98">
        <v>0.0</v>
      </c>
      <c r="AO1001" s="98">
        <v>0.0</v>
      </c>
      <c r="AP1001" s="98">
        <v>2.0</v>
      </c>
      <c r="AQ1001" s="98" t="s">
        <v>5300</v>
      </c>
      <c r="AR1001" s="102">
        <v>46212.0</v>
      </c>
      <c r="AS1001" s="83">
        <v>1107862.0</v>
      </c>
    </row>
    <row r="1002" ht="15.75" customHeight="1">
      <c r="A1002" s="111" t="s">
        <v>1281</v>
      </c>
      <c r="B1002" s="83" t="s">
        <v>2476</v>
      </c>
      <c r="C1002" s="83" t="s">
        <v>68</v>
      </c>
      <c r="D1002" s="112">
        <v>1107960.0</v>
      </c>
      <c r="E1002" s="83"/>
      <c r="F1002" s="83">
        <v>2.9150191E7</v>
      </c>
      <c r="G1002" s="91" t="str">
        <f>IFERROR(__xludf.DUMMYFUNCTION("XLOOKUP(AS1002,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OSCAR CORDEIRO")</f>
        <v>ESCOLA ESTADUAL OSCAR CORDEIRO</v>
      </c>
      <c r="H1002" s="114" t="s">
        <v>5301</v>
      </c>
      <c r="I1002" s="91" t="s">
        <v>5302</v>
      </c>
      <c r="J1002" s="83" t="s">
        <v>149</v>
      </c>
      <c r="K1002" s="83" t="s">
        <v>150</v>
      </c>
      <c r="L1002" s="83" t="s">
        <v>151</v>
      </c>
      <c r="M1002" s="83" t="s">
        <v>76</v>
      </c>
      <c r="N1002" s="98" t="s">
        <v>5303</v>
      </c>
      <c r="O1002" s="98" t="s">
        <v>155</v>
      </c>
      <c r="P1002" s="99" t="str">
        <f>IFERROR(__xludf.DUMMYFUNCTION("IFERROR(VLOOKUP(AS1002,IMPORTRANGE(""https://docs.google.com/spreadsheets/d/1juPI-Fb8LD0YtltB2mlGEnp_R3UVu1t3wSFPzgCyHXE/edit?gid=0#gid=0"",""GERAL!A2:C""),3,0),""-"")"),"-")</f>
        <v>-</v>
      </c>
      <c r="Q1002" s="101" t="s">
        <v>156</v>
      </c>
      <c r="R1002" s="98">
        <v>8.0</v>
      </c>
      <c r="S1002" s="98">
        <v>0.0</v>
      </c>
      <c r="T1002" s="98">
        <v>0.0</v>
      </c>
      <c r="U1002" s="98">
        <v>0.0</v>
      </c>
      <c r="V1002" s="98">
        <v>0.0</v>
      </c>
      <c r="W1002" s="98">
        <v>0.0</v>
      </c>
      <c r="X1002" s="98">
        <v>0.0</v>
      </c>
      <c r="Y1002" s="98">
        <v>0.0</v>
      </c>
      <c r="Z1002" s="98">
        <v>0.0</v>
      </c>
      <c r="AA1002" s="98">
        <v>0.0</v>
      </c>
      <c r="AB1002" s="98">
        <v>0.0</v>
      </c>
      <c r="AC1002" s="98">
        <v>0.0</v>
      </c>
      <c r="AD1002" s="98">
        <v>0.0</v>
      </c>
      <c r="AE1002" s="98">
        <v>0.0</v>
      </c>
      <c r="AF1002" s="98">
        <v>0.0</v>
      </c>
      <c r="AG1002" s="98">
        <v>1.0</v>
      </c>
      <c r="AH1002" s="98">
        <v>0.0</v>
      </c>
      <c r="AI1002" s="98">
        <v>0.0</v>
      </c>
      <c r="AJ1002" s="98">
        <v>0.0</v>
      </c>
      <c r="AK1002" s="98">
        <v>0.0</v>
      </c>
      <c r="AL1002" s="98">
        <v>0.0</v>
      </c>
      <c r="AM1002" s="98">
        <v>0.0</v>
      </c>
      <c r="AN1002" s="98">
        <v>0.0</v>
      </c>
      <c r="AO1002" s="98">
        <v>0.0</v>
      </c>
      <c r="AP1002" s="98">
        <v>1.0</v>
      </c>
      <c r="AQ1002" s="98" t="s">
        <v>5311</v>
      </c>
      <c r="AR1002" s="102">
        <v>46212.0</v>
      </c>
      <c r="AS1002" s="83">
        <v>1107960.0</v>
      </c>
    </row>
    <row r="1003" ht="15.75" customHeight="1">
      <c r="A1003" s="111" t="s">
        <v>1281</v>
      </c>
      <c r="B1003" s="83" t="s">
        <v>2476</v>
      </c>
      <c r="C1003" s="83" t="s">
        <v>68</v>
      </c>
      <c r="D1003" s="112">
        <v>1105207.0</v>
      </c>
      <c r="E1003" s="83"/>
      <c r="F1003" s="83">
        <v>2.915037E7</v>
      </c>
      <c r="G1003" s="91" t="str">
        <f>IFERROR(__xludf.DUMMYFUNCTION("XLOOKUP(AS1003,
IMPORTRANGE(""https://docs.google.com/spreadsheets/d/1YM-djuOLXomrZ9W0B4TyIBsVWnXY4EIOFD9HY-qGfv0/edit?usp=sharing"",""GERAL!BG5:BG""),
IMPORTRANGE(""https://docs.google.com/spreadsheets/d/1YM-djuOLXomrZ9W0B4TyIBsVWnXY4EIOFD9HY-qGfv0/edit?"&amp;"usp=sharing"",""GERAL!G5:G""),
""CÓD. SEC NÃO ENCONTRADO NA PLANILHA DE MATRÍCULA"")"),"ESCOLA DOS RODOVIARIOS")</f>
        <v>ESCOLA DOS RODOVIARIOS</v>
      </c>
      <c r="H1003" s="114" t="s">
        <v>5313</v>
      </c>
      <c r="I1003" s="91" t="s">
        <v>5314</v>
      </c>
      <c r="J1003" s="83" t="s">
        <v>5315</v>
      </c>
      <c r="K1003" s="83" t="s">
        <v>150</v>
      </c>
      <c r="L1003" s="83" t="s">
        <v>151</v>
      </c>
      <c r="M1003" s="83" t="s">
        <v>76</v>
      </c>
      <c r="N1003" s="98" t="s">
        <v>5316</v>
      </c>
      <c r="O1003" s="98" t="s">
        <v>155</v>
      </c>
      <c r="P1003" s="99" t="str">
        <f>IFERROR(__xludf.DUMMYFUNCTION("IFERROR(VLOOKUP(AS1003,IMPORTRANGE(""https://docs.google.com/spreadsheets/d/1juPI-Fb8LD0YtltB2mlGEnp_R3UVu1t3wSFPzgCyHXE/edit?gid=0#gid=0"",""GERAL!A2:C""),3,0),""-"")"),"-")</f>
        <v>-</v>
      </c>
      <c r="Q1003" s="101" t="s">
        <v>156</v>
      </c>
      <c r="R1003" s="98">
        <v>8.0</v>
      </c>
      <c r="S1003" s="98">
        <v>0.0</v>
      </c>
      <c r="T1003" s="98">
        <v>0.0</v>
      </c>
      <c r="U1003" s="98">
        <v>0.0</v>
      </c>
      <c r="V1003" s="98">
        <v>0.0</v>
      </c>
      <c r="W1003" s="98">
        <v>0.0</v>
      </c>
      <c r="X1003" s="98">
        <v>0.0</v>
      </c>
      <c r="Y1003" s="98">
        <v>0.0</v>
      </c>
      <c r="Z1003" s="98">
        <v>0.0</v>
      </c>
      <c r="AA1003" s="98">
        <v>0.0</v>
      </c>
      <c r="AB1003" s="98">
        <v>0.0</v>
      </c>
      <c r="AC1003" s="98">
        <v>0.0</v>
      </c>
      <c r="AD1003" s="98">
        <v>0.0</v>
      </c>
      <c r="AE1003" s="98">
        <v>0.0</v>
      </c>
      <c r="AF1003" s="98">
        <v>0.0</v>
      </c>
      <c r="AG1003" s="98">
        <v>0.0</v>
      </c>
      <c r="AH1003" s="98">
        <v>0.0</v>
      </c>
      <c r="AI1003" s="98">
        <v>0.0</v>
      </c>
      <c r="AJ1003" s="98">
        <v>0.0</v>
      </c>
      <c r="AK1003" s="98">
        <v>0.0</v>
      </c>
      <c r="AL1003" s="98">
        <v>0.0</v>
      </c>
      <c r="AM1003" s="98">
        <v>0.0</v>
      </c>
      <c r="AN1003" s="98">
        <v>0.0</v>
      </c>
      <c r="AO1003" s="98">
        <v>0.0</v>
      </c>
      <c r="AP1003" s="98">
        <v>3.0</v>
      </c>
      <c r="AQ1003" s="98" t="s">
        <v>5323</v>
      </c>
      <c r="AR1003" s="102">
        <v>46212.0</v>
      </c>
      <c r="AS1003" s="83">
        <v>1105207.0</v>
      </c>
    </row>
    <row r="1004" ht="15.75" customHeight="1">
      <c r="A1004" s="111" t="s">
        <v>1281</v>
      </c>
      <c r="B1004" s="83" t="s">
        <v>2476</v>
      </c>
      <c r="C1004" s="83" t="s">
        <v>68</v>
      </c>
      <c r="D1004" s="112">
        <v>1177089.0</v>
      </c>
      <c r="E1004" s="83"/>
      <c r="F1004" s="83">
        <v>2.9417163E7</v>
      </c>
      <c r="G1004" s="91" t="str">
        <f>IFERROR(__xludf.DUMMYFUNCTION("XLOOKUP(AS1004,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MODELO LUIS EDUARDO MAGALHÃES")</f>
        <v>COLÉGIO MODELO LUIS EDUARDO MAGALHÃES</v>
      </c>
      <c r="H1004" s="114" t="s">
        <v>3069</v>
      </c>
      <c r="I1004" s="91" t="s">
        <v>5328</v>
      </c>
      <c r="J1004" s="83" t="s">
        <v>149</v>
      </c>
      <c r="K1004" s="83" t="s">
        <v>150</v>
      </c>
      <c r="L1004" s="83" t="s">
        <v>151</v>
      </c>
      <c r="M1004" s="83" t="s">
        <v>152</v>
      </c>
      <c r="N1004" s="98" t="s">
        <v>5329</v>
      </c>
      <c r="O1004" s="98" t="s">
        <v>284</v>
      </c>
      <c r="P1004" s="99" t="str">
        <f>IFERROR(__xludf.DUMMYFUNCTION("IFERROR(VLOOKUP(AS1004,IMPORTRANGE(""https://docs.google.com/spreadsheets/d/1juPI-Fb8LD0YtltB2mlGEnp_R3UVu1t3wSFPzgCyHXE/edit?gid=0#gid=0"",""GERAL!A2:C""),3,0),""-"")"),"-")</f>
        <v>-</v>
      </c>
      <c r="Q1004" s="101" t="s">
        <v>156</v>
      </c>
      <c r="R1004" s="98">
        <v>16.0</v>
      </c>
      <c r="S1004" s="98">
        <v>1.0</v>
      </c>
      <c r="T1004" s="98">
        <v>2.0</v>
      </c>
      <c r="U1004" s="98">
        <v>1.0</v>
      </c>
      <c r="V1004" s="98">
        <v>1.0</v>
      </c>
      <c r="W1004" s="98">
        <v>0.0</v>
      </c>
      <c r="X1004" s="98">
        <v>1.0</v>
      </c>
      <c r="Y1004" s="98">
        <v>0.0</v>
      </c>
      <c r="Z1004" s="98">
        <v>0.0</v>
      </c>
      <c r="AA1004" s="98">
        <v>0.0</v>
      </c>
      <c r="AB1004" s="98">
        <v>0.0</v>
      </c>
      <c r="AC1004" s="98">
        <v>1.0</v>
      </c>
      <c r="AD1004" s="98">
        <v>0.0</v>
      </c>
      <c r="AE1004" s="98">
        <v>0.0</v>
      </c>
      <c r="AF1004" s="98">
        <v>1.0</v>
      </c>
      <c r="AG1004" s="98">
        <v>0.0</v>
      </c>
      <c r="AH1004" s="98">
        <v>0.0</v>
      </c>
      <c r="AI1004" s="98">
        <v>0.0</v>
      </c>
      <c r="AJ1004" s="98">
        <v>1.0</v>
      </c>
      <c r="AK1004" s="98">
        <v>0.0</v>
      </c>
      <c r="AL1004" s="98">
        <v>0.0</v>
      </c>
      <c r="AM1004" s="98">
        <v>0.0</v>
      </c>
      <c r="AN1004" s="98">
        <v>0.0</v>
      </c>
      <c r="AO1004" s="98">
        <v>0.0</v>
      </c>
      <c r="AP1004" s="98">
        <v>0.0</v>
      </c>
      <c r="AQ1004" s="98" t="s">
        <v>5333</v>
      </c>
      <c r="AR1004" s="83"/>
      <c r="AS1004" s="83">
        <v>1177089.0</v>
      </c>
    </row>
    <row r="1005" ht="15.75" customHeight="1">
      <c r="A1005" s="111" t="s">
        <v>1281</v>
      </c>
      <c r="B1005" s="83" t="s">
        <v>2476</v>
      </c>
      <c r="C1005" s="83" t="s">
        <v>68</v>
      </c>
      <c r="D1005" s="112">
        <v>1108028.0</v>
      </c>
      <c r="E1005" s="83"/>
      <c r="F1005" s="83">
        <v>2.9150663E7</v>
      </c>
      <c r="G1005" s="91" t="str">
        <f>IFERROR(__xludf.DUMMYFUNCTION("XLOOKUP(AS1005,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MARIA JOSE BASTOS SILVA")</f>
        <v>COLÉGIO ESTADUAL MARIA JOSE BASTOS SILVA</v>
      </c>
      <c r="H1005" s="119" t="s">
        <v>5337</v>
      </c>
      <c r="I1005" s="91" t="s">
        <v>5338</v>
      </c>
      <c r="J1005" s="83" t="s">
        <v>5339</v>
      </c>
      <c r="K1005" s="83" t="s">
        <v>150</v>
      </c>
      <c r="L1005" s="83" t="s">
        <v>151</v>
      </c>
      <c r="M1005" s="83" t="s">
        <v>152</v>
      </c>
      <c r="N1005" s="98" t="s">
        <v>5340</v>
      </c>
      <c r="O1005" s="98" t="s">
        <v>155</v>
      </c>
      <c r="P1005" s="99" t="str">
        <f>IFERROR(__xludf.DUMMYFUNCTION("IFERROR(VLOOKUP(AS1005,IMPORTRANGE(""https://docs.google.com/spreadsheets/d/1juPI-Fb8LD0YtltB2mlGEnp_R3UVu1t3wSFPzgCyHXE/edit?gid=0#gid=0"",""GERAL!A2:C""),3,0),""-"")"),"-")</f>
        <v>-</v>
      </c>
      <c r="Q1005" s="101" t="s">
        <v>156</v>
      </c>
      <c r="R1005" s="98">
        <v>12.0</v>
      </c>
      <c r="S1005" s="98">
        <v>0.0</v>
      </c>
      <c r="T1005" s="98">
        <v>0.0</v>
      </c>
      <c r="U1005" s="98">
        <v>0.0</v>
      </c>
      <c r="V1005" s="98">
        <v>0.0</v>
      </c>
      <c r="W1005" s="98">
        <v>0.0</v>
      </c>
      <c r="X1005" s="98">
        <v>0.0</v>
      </c>
      <c r="Y1005" s="98">
        <v>0.0</v>
      </c>
      <c r="Z1005" s="98">
        <v>0.0</v>
      </c>
      <c r="AA1005" s="98">
        <v>0.0</v>
      </c>
      <c r="AB1005" s="98">
        <v>0.0</v>
      </c>
      <c r="AC1005" s="98">
        <v>0.0</v>
      </c>
      <c r="AD1005" s="98">
        <v>0.0</v>
      </c>
      <c r="AE1005" s="98">
        <v>0.0</v>
      </c>
      <c r="AF1005" s="98">
        <v>0.0</v>
      </c>
      <c r="AG1005" s="98">
        <v>1.0</v>
      </c>
      <c r="AH1005" s="98">
        <v>0.0</v>
      </c>
      <c r="AI1005" s="98">
        <v>0.0</v>
      </c>
      <c r="AJ1005" s="98">
        <v>0.0</v>
      </c>
      <c r="AK1005" s="98">
        <v>0.0</v>
      </c>
      <c r="AL1005" s="98">
        <v>0.0</v>
      </c>
      <c r="AM1005" s="98">
        <v>0.0</v>
      </c>
      <c r="AN1005" s="98">
        <v>0.0</v>
      </c>
      <c r="AO1005" s="98">
        <v>0.0</v>
      </c>
      <c r="AP1005" s="98">
        <v>3.0</v>
      </c>
      <c r="AQ1005" s="98" t="s">
        <v>5347</v>
      </c>
      <c r="AR1005" s="102">
        <v>46213.0</v>
      </c>
      <c r="AS1005" s="83">
        <v>1108028.0</v>
      </c>
    </row>
    <row r="1006" ht="15.75" customHeight="1">
      <c r="A1006" s="111" t="s">
        <v>1281</v>
      </c>
      <c r="B1006" s="83" t="s">
        <v>2476</v>
      </c>
      <c r="C1006" s="83" t="s">
        <v>68</v>
      </c>
      <c r="D1006" s="112">
        <v>1178077.0</v>
      </c>
      <c r="E1006" s="83"/>
      <c r="F1006" s="83">
        <v>2.943153E7</v>
      </c>
      <c r="G1006" s="91" t="str">
        <f>IFERROR(__xludf.DUMMYFUNCTION("XLOOKUP(AS1006,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LUIZ NAVARRO DE BRITO")</f>
        <v>COLÉGIO ESTADUAL LUIZ NAVARRO DE BRITO</v>
      </c>
      <c r="H1006" s="119" t="s">
        <v>5350</v>
      </c>
      <c r="I1006" s="91" t="s">
        <v>5351</v>
      </c>
      <c r="J1006" s="83" t="s">
        <v>149</v>
      </c>
      <c r="K1006" s="83" t="s">
        <v>150</v>
      </c>
      <c r="L1006" s="83" t="s">
        <v>151</v>
      </c>
      <c r="M1006" s="83" t="s">
        <v>230</v>
      </c>
      <c r="N1006" s="98" t="s">
        <v>5352</v>
      </c>
      <c r="O1006" s="98" t="s">
        <v>155</v>
      </c>
      <c r="P1006" s="99" t="str">
        <f>IFERROR(__xludf.DUMMYFUNCTION("IFERROR(VLOOKUP(AS1006,IMPORTRANGE(""https://docs.google.com/spreadsheets/d/1juPI-Fb8LD0YtltB2mlGEnp_R3UVu1t3wSFPzgCyHXE/edit?gid=0#gid=0"",""GERAL!A2:C""),3,0),""-"")"),"-")</f>
        <v>-</v>
      </c>
      <c r="Q1006" s="101" t="s">
        <v>156</v>
      </c>
      <c r="R1006" s="98">
        <v>20.0</v>
      </c>
      <c r="S1006" s="98">
        <v>0.0</v>
      </c>
      <c r="T1006" s="98">
        <v>2.0</v>
      </c>
      <c r="U1006" s="98">
        <v>0.0</v>
      </c>
      <c r="V1006" s="98">
        <v>0.0</v>
      </c>
      <c r="W1006" s="98">
        <v>0.0</v>
      </c>
      <c r="X1006" s="98">
        <v>0.0</v>
      </c>
      <c r="Y1006" s="98">
        <v>1.0</v>
      </c>
      <c r="Z1006" s="98">
        <v>0.0</v>
      </c>
      <c r="AA1006" s="98">
        <v>0.0</v>
      </c>
      <c r="AB1006" s="98">
        <v>0.0</v>
      </c>
      <c r="AC1006" s="98">
        <v>0.0</v>
      </c>
      <c r="AD1006" s="98">
        <v>1.0</v>
      </c>
      <c r="AE1006" s="98">
        <v>1.0</v>
      </c>
      <c r="AF1006" s="98">
        <v>0.0</v>
      </c>
      <c r="AG1006" s="98">
        <v>1.0</v>
      </c>
      <c r="AH1006" s="98">
        <v>1.0</v>
      </c>
      <c r="AI1006" s="98">
        <v>0.0</v>
      </c>
      <c r="AJ1006" s="98">
        <v>0.0</v>
      </c>
      <c r="AK1006" s="98">
        <v>1.0</v>
      </c>
      <c r="AL1006" s="98">
        <v>1.0</v>
      </c>
      <c r="AM1006" s="98">
        <v>1.0</v>
      </c>
      <c r="AN1006" s="98">
        <v>0.0</v>
      </c>
      <c r="AO1006" s="98">
        <v>0.0</v>
      </c>
      <c r="AP1006" s="98">
        <v>8.0</v>
      </c>
      <c r="AQ1006" s="98" t="s">
        <v>5353</v>
      </c>
      <c r="AR1006" s="102">
        <v>46230.0</v>
      </c>
      <c r="AS1006" s="83">
        <v>1178077.0</v>
      </c>
    </row>
    <row r="1007" ht="15.75" customHeight="1">
      <c r="A1007" s="111" t="s">
        <v>1281</v>
      </c>
      <c r="B1007" s="83" t="s">
        <v>2476</v>
      </c>
      <c r="C1007" s="83" t="s">
        <v>68</v>
      </c>
      <c r="D1007" s="112">
        <v>1178440.0</v>
      </c>
      <c r="E1007" s="83"/>
      <c r="F1007" s="83">
        <v>2.9999812E7</v>
      </c>
      <c r="G1007" s="91" t="str">
        <f>IFERROR(__xludf.DUMMYFUNCTION("XLOOKUP(AS1007,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LEONCIO PEREIRA DOS SANTOS - POVOADO ESTEVAO")</f>
        <v>COLÉGIO ESTADUAL DO CAMPO LEONCIO PEREIRA DOS SANTOS - POVOADO ESTEVAO</v>
      </c>
      <c r="H1007" s="119" t="s">
        <v>5356</v>
      </c>
      <c r="I1007" s="91" t="s">
        <v>5358</v>
      </c>
      <c r="J1007" s="233" t="s">
        <v>5360</v>
      </c>
      <c r="K1007" s="83" t="s">
        <v>1301</v>
      </c>
      <c r="L1007" s="83" t="s">
        <v>151</v>
      </c>
      <c r="M1007" s="83" t="s">
        <v>169</v>
      </c>
      <c r="N1007" s="98" t="s">
        <v>5340</v>
      </c>
      <c r="O1007" s="98" t="s">
        <v>155</v>
      </c>
      <c r="P1007" s="99" t="str">
        <f>IFERROR(__xludf.DUMMYFUNCTION("IFERROR(VLOOKUP(AS1007,IMPORTRANGE(""https://docs.google.com/spreadsheets/d/1juPI-Fb8LD0YtltB2mlGEnp_R3UVu1t3wSFPzgCyHXE/edit?gid=0#gid=0"",""GERAL!A2:C""),3,0),""-"")"),"CAMPO")</f>
        <v>CAMPO</v>
      </c>
      <c r="Q1007" s="101" t="s">
        <v>156</v>
      </c>
      <c r="R1007" s="98">
        <v>6.0</v>
      </c>
      <c r="S1007" s="98">
        <v>0.0</v>
      </c>
      <c r="T1007" s="98">
        <v>1.0</v>
      </c>
      <c r="U1007" s="98">
        <v>0.0</v>
      </c>
      <c r="V1007" s="98">
        <v>1.0</v>
      </c>
      <c r="W1007" s="98">
        <v>0.0</v>
      </c>
      <c r="X1007" s="98">
        <v>0.0</v>
      </c>
      <c r="Y1007" s="98">
        <v>1.0</v>
      </c>
      <c r="Z1007" s="98">
        <v>0.0</v>
      </c>
      <c r="AA1007" s="98">
        <v>0.0</v>
      </c>
      <c r="AB1007" s="98">
        <v>0.0</v>
      </c>
      <c r="AC1007" s="98">
        <v>0.0</v>
      </c>
      <c r="AD1007" s="98">
        <v>0.0</v>
      </c>
      <c r="AE1007" s="98">
        <v>0.0</v>
      </c>
      <c r="AF1007" s="98">
        <v>0.0</v>
      </c>
      <c r="AG1007" s="98">
        <v>0.0</v>
      </c>
      <c r="AH1007" s="98">
        <v>0.0</v>
      </c>
      <c r="AI1007" s="98">
        <v>0.0</v>
      </c>
      <c r="AJ1007" s="98">
        <v>0.0</v>
      </c>
      <c r="AK1007" s="98">
        <v>0.0</v>
      </c>
      <c r="AL1007" s="98">
        <v>0.0</v>
      </c>
      <c r="AM1007" s="98">
        <v>0.0</v>
      </c>
      <c r="AN1007" s="98">
        <v>0.0</v>
      </c>
      <c r="AO1007" s="98">
        <v>0.0</v>
      </c>
      <c r="AP1007" s="98">
        <v>1.0</v>
      </c>
      <c r="AQ1007" s="98" t="s">
        <v>5311</v>
      </c>
      <c r="AR1007" s="102">
        <v>46213.0</v>
      </c>
      <c r="AS1007" s="83">
        <v>1178440.0</v>
      </c>
    </row>
    <row r="1008" ht="15.75" customHeight="1">
      <c r="A1008" s="111" t="s">
        <v>1281</v>
      </c>
      <c r="B1008" s="83" t="s">
        <v>2476</v>
      </c>
      <c r="C1008" s="83" t="s">
        <v>68</v>
      </c>
      <c r="D1008" s="112">
        <v>1178266.0</v>
      </c>
      <c r="E1008" s="83"/>
      <c r="F1008" s="83">
        <v>2.94568E7</v>
      </c>
      <c r="G1008" s="91" t="str">
        <f>IFERROR(__xludf.DUMMYFUNCTION("XLOOKUP(AS1008,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JOÃO CARLOS MEIRELES PAULILO")</f>
        <v>COLÉGIO ESTADUAL DO CAMPO JOÃO CARLOS MEIRELES PAULILO</v>
      </c>
      <c r="H1008" s="119" t="s">
        <v>5371</v>
      </c>
      <c r="I1008" s="91" t="s">
        <v>5372</v>
      </c>
      <c r="J1008" s="83" t="s">
        <v>5373</v>
      </c>
      <c r="K1008" s="83" t="s">
        <v>702</v>
      </c>
      <c r="L1008" s="83" t="s">
        <v>5374</v>
      </c>
      <c r="M1008" s="83" t="s">
        <v>76</v>
      </c>
      <c r="N1008" s="98" t="s">
        <v>5375</v>
      </c>
      <c r="O1008" s="98" t="s">
        <v>155</v>
      </c>
      <c r="P1008" s="99" t="str">
        <f>IFERROR(__xludf.DUMMYFUNCTION("IFERROR(VLOOKUP(AS1008,IMPORTRANGE(""https://docs.google.com/spreadsheets/d/1juPI-Fb8LD0YtltB2mlGEnp_R3UVu1t3wSFPzgCyHXE/edit?gid=0#gid=0"",""GERAL!A2:C""),3,0),""-"")"),"CAMPO")</f>
        <v>CAMPO</v>
      </c>
      <c r="Q1008" s="101" t="s">
        <v>156</v>
      </c>
      <c r="R1008" s="98">
        <v>7.0</v>
      </c>
      <c r="S1008" s="98">
        <v>0.0</v>
      </c>
      <c r="T1008" s="98">
        <v>1.0</v>
      </c>
      <c r="U1008" s="98">
        <v>0.0</v>
      </c>
      <c r="V1008" s="98">
        <v>0.0</v>
      </c>
      <c r="W1008" s="98">
        <v>0.0</v>
      </c>
      <c r="X1008" s="98">
        <v>0.0</v>
      </c>
      <c r="Y1008" s="98">
        <v>0.0</v>
      </c>
      <c r="Z1008" s="98">
        <v>0.0</v>
      </c>
      <c r="AA1008" s="98">
        <v>0.0</v>
      </c>
      <c r="AB1008" s="98">
        <v>0.0</v>
      </c>
      <c r="AC1008" s="98">
        <v>0.0</v>
      </c>
      <c r="AD1008" s="98">
        <v>0.0</v>
      </c>
      <c r="AE1008" s="98">
        <v>0.0</v>
      </c>
      <c r="AF1008" s="98">
        <v>0.0</v>
      </c>
      <c r="AG1008" s="98">
        <v>0.0</v>
      </c>
      <c r="AH1008" s="98">
        <v>0.0</v>
      </c>
      <c r="AI1008" s="98">
        <v>0.0</v>
      </c>
      <c r="AJ1008" s="98">
        <v>0.0</v>
      </c>
      <c r="AK1008" s="98">
        <v>0.0</v>
      </c>
      <c r="AL1008" s="98">
        <v>0.0</v>
      </c>
      <c r="AM1008" s="98">
        <v>0.0</v>
      </c>
      <c r="AN1008" s="98">
        <v>0.0</v>
      </c>
      <c r="AO1008" s="98">
        <v>0.0</v>
      </c>
      <c r="AP1008" s="98">
        <v>1.0</v>
      </c>
      <c r="AQ1008" s="98" t="s">
        <v>5376</v>
      </c>
      <c r="AR1008" s="102">
        <v>46216.0</v>
      </c>
      <c r="AS1008" s="83">
        <v>1178266.0</v>
      </c>
    </row>
    <row r="1009" ht="15.75" customHeight="1">
      <c r="A1009" s="111" t="s">
        <v>1281</v>
      </c>
      <c r="B1009" s="83" t="s">
        <v>2476</v>
      </c>
      <c r="C1009" s="83" t="s">
        <v>68</v>
      </c>
      <c r="D1009" s="112">
        <v>1176465.0</v>
      </c>
      <c r="E1009" s="83"/>
      <c r="F1009" s="83">
        <v>2.9395712E7</v>
      </c>
      <c r="G1009" s="91" t="str">
        <f>IFERROR(__xludf.DUMMYFUNCTION("XLOOKUP(AS1009,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DEPUTADO LUIS EDUARDO MAGALHAES")</f>
        <v>COLÉGIO ESTADUAL DEPUTADO LUIS EDUARDO MAGALHAES</v>
      </c>
      <c r="H1009" s="119" t="s">
        <v>5378</v>
      </c>
      <c r="I1009" s="91" t="s">
        <v>5379</v>
      </c>
      <c r="J1009" s="146" t="s">
        <v>5380</v>
      </c>
      <c r="K1009" s="83" t="s">
        <v>150</v>
      </c>
      <c r="L1009" s="83" t="s">
        <v>151</v>
      </c>
      <c r="M1009" s="83" t="s">
        <v>76</v>
      </c>
      <c r="N1009" s="98" t="s">
        <v>5381</v>
      </c>
      <c r="O1009" s="98" t="s">
        <v>155</v>
      </c>
      <c r="P1009" s="99" t="str">
        <f>IFERROR(__xludf.DUMMYFUNCTION("IFERROR(VLOOKUP(AS1009,IMPORTRANGE(""https://docs.google.com/spreadsheets/d/1juPI-Fb8LD0YtltB2mlGEnp_R3UVu1t3wSFPzgCyHXE/edit?gid=0#gid=0"",""GERAL!A2:C""),3,0),""-"")"),"-")</f>
        <v>-</v>
      </c>
      <c r="Q1009" s="101" t="s">
        <v>156</v>
      </c>
      <c r="R1009" s="98">
        <v>9.0</v>
      </c>
      <c r="S1009" s="98">
        <v>0.0</v>
      </c>
      <c r="T1009" s="98">
        <v>1.0</v>
      </c>
      <c r="U1009" s="98">
        <v>0.0</v>
      </c>
      <c r="V1009" s="98">
        <v>1.0</v>
      </c>
      <c r="W1009" s="98">
        <v>0.0</v>
      </c>
      <c r="X1009" s="98">
        <v>1.0</v>
      </c>
      <c r="Y1009" s="98">
        <v>0.0</v>
      </c>
      <c r="Z1009" s="98">
        <v>0.0</v>
      </c>
      <c r="AA1009" s="98">
        <v>0.0</v>
      </c>
      <c r="AB1009" s="98">
        <v>0.0</v>
      </c>
      <c r="AC1009" s="98">
        <v>0.0</v>
      </c>
      <c r="AD1009" s="98">
        <v>0.0</v>
      </c>
      <c r="AE1009" s="98">
        <v>0.0</v>
      </c>
      <c r="AF1009" s="98">
        <v>0.0</v>
      </c>
      <c r="AG1009" s="98">
        <v>1.0</v>
      </c>
      <c r="AH1009" s="98">
        <v>0.0</v>
      </c>
      <c r="AI1009" s="98">
        <v>0.0</v>
      </c>
      <c r="AJ1009" s="98">
        <v>0.0</v>
      </c>
      <c r="AK1009" s="98">
        <v>0.0</v>
      </c>
      <c r="AL1009" s="98">
        <v>0.0</v>
      </c>
      <c r="AM1009" s="98">
        <v>0.0</v>
      </c>
      <c r="AN1009" s="98">
        <v>0.0</v>
      </c>
      <c r="AO1009" s="98">
        <v>0.0</v>
      </c>
      <c r="AP1009" s="98">
        <v>1.0</v>
      </c>
      <c r="AQ1009" s="98" t="s">
        <v>5382</v>
      </c>
      <c r="AR1009" s="102">
        <v>46213.0</v>
      </c>
      <c r="AS1009" s="83">
        <v>1176465.0</v>
      </c>
    </row>
    <row r="1010" ht="15.75" customHeight="1">
      <c r="A1010" s="111" t="s">
        <v>1281</v>
      </c>
      <c r="B1010" s="83" t="s">
        <v>2476</v>
      </c>
      <c r="C1010" s="83" t="s">
        <v>68</v>
      </c>
      <c r="D1010" s="112">
        <v>1169809.0</v>
      </c>
      <c r="E1010" s="83"/>
      <c r="F1010" s="83">
        <v>2.9150442E7</v>
      </c>
      <c r="G1010" s="91" t="str">
        <f>IFERROR(__xludf.DUMMYFUNCTION("XLOOKUP(AS1010,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FRANCISCO")</f>
        <v>COLÉGIO ESTADUAL DE TEMPO INTEGRAL SÃO FRANCISCO</v>
      </c>
      <c r="H1010" s="119" t="s">
        <v>5387</v>
      </c>
      <c r="I1010" s="91" t="s">
        <v>5388</v>
      </c>
      <c r="J1010" s="83" t="s">
        <v>149</v>
      </c>
      <c r="K1010" s="83" t="s">
        <v>150</v>
      </c>
      <c r="L1010" s="83" t="s">
        <v>151</v>
      </c>
      <c r="M1010" s="83" t="s">
        <v>152</v>
      </c>
      <c r="N1010" s="98" t="s">
        <v>5390</v>
      </c>
      <c r="O1010" s="98" t="s">
        <v>155</v>
      </c>
      <c r="P1010" s="99" t="str">
        <f>IFERROR(__xludf.DUMMYFUNCTION("IFERROR(VLOOKUP(AS1010,IMPORTRANGE(""https://docs.google.com/spreadsheets/d/1juPI-Fb8LD0YtltB2mlGEnp_R3UVu1t3wSFPzgCyHXE/edit?gid=0#gid=0"",""GERAL!A2:C""),3,0),""-"")"),"-")</f>
        <v>-</v>
      </c>
      <c r="Q1010" s="101" t="s">
        <v>156</v>
      </c>
      <c r="R1010" s="98">
        <v>11.0</v>
      </c>
      <c r="S1010" s="98">
        <v>0.0</v>
      </c>
      <c r="T1010" s="98">
        <v>0.0</v>
      </c>
      <c r="U1010" s="98">
        <v>0.0</v>
      </c>
      <c r="V1010" s="98">
        <v>1.0</v>
      </c>
      <c r="W1010" s="98">
        <v>2.0</v>
      </c>
      <c r="X1010" s="98">
        <v>0.0</v>
      </c>
      <c r="Y1010" s="98">
        <v>0.0</v>
      </c>
      <c r="Z1010" s="98">
        <v>1.0</v>
      </c>
      <c r="AA1010" s="98">
        <v>0.0</v>
      </c>
      <c r="AB1010" s="98">
        <v>1.0</v>
      </c>
      <c r="AC1010" s="98">
        <v>0.0</v>
      </c>
      <c r="AD1010" s="98">
        <v>0.0</v>
      </c>
      <c r="AE1010" s="98">
        <v>0.0</v>
      </c>
      <c r="AF1010" s="98">
        <v>1.0</v>
      </c>
      <c r="AG1010" s="98">
        <v>0.0</v>
      </c>
      <c r="AH1010" s="98">
        <v>0.0</v>
      </c>
      <c r="AI1010" s="98">
        <v>0.0</v>
      </c>
      <c r="AJ1010" s="98">
        <v>0.0</v>
      </c>
      <c r="AK1010" s="98">
        <v>0.0</v>
      </c>
      <c r="AL1010" s="98">
        <v>0.0</v>
      </c>
      <c r="AM1010" s="98">
        <v>0.0</v>
      </c>
      <c r="AN1010" s="98">
        <v>0.0</v>
      </c>
      <c r="AO1010" s="98">
        <v>0.0</v>
      </c>
      <c r="AP1010" s="98">
        <v>1.0</v>
      </c>
      <c r="AQ1010" s="98" t="s">
        <v>5396</v>
      </c>
      <c r="AR1010" s="102">
        <v>46213.0</v>
      </c>
      <c r="AS1010" s="83">
        <v>1169809.0</v>
      </c>
    </row>
    <row r="1011" ht="15.75" customHeight="1">
      <c r="A1011" s="111" t="s">
        <v>1281</v>
      </c>
      <c r="B1011" s="83" t="s">
        <v>2476</v>
      </c>
      <c r="C1011" s="83" t="s">
        <v>68</v>
      </c>
      <c r="D1011" s="112">
        <v>1135637.0</v>
      </c>
      <c r="E1011" s="83"/>
      <c r="F1011" s="83">
        <v>2.9150418E7</v>
      </c>
      <c r="G1011" s="91" t="str">
        <f>IFERROR(__xludf.DUMMYFUNCTION("XLOOKUP(AS1011,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ALAGOINHAS")</f>
        <v>COLÉGIO ESTADUAL DE ALAGOINHAS</v>
      </c>
      <c r="H1011" s="119" t="s">
        <v>5399</v>
      </c>
      <c r="I1011" s="91" t="s">
        <v>5400</v>
      </c>
      <c r="J1011" s="83" t="s">
        <v>149</v>
      </c>
      <c r="K1011" s="83" t="s">
        <v>150</v>
      </c>
      <c r="L1011" s="83" t="s">
        <v>151</v>
      </c>
      <c r="M1011" s="83" t="s">
        <v>152</v>
      </c>
      <c r="N1011" s="98" t="s">
        <v>5401</v>
      </c>
      <c r="O1011" s="98" t="s">
        <v>155</v>
      </c>
      <c r="P1011" s="99" t="str">
        <f>IFERROR(__xludf.DUMMYFUNCTION("IFERROR(VLOOKUP(AS1011,IMPORTRANGE(""https://docs.google.com/spreadsheets/d/1juPI-Fb8LD0YtltB2mlGEnp_R3UVu1t3wSFPzgCyHXE/edit?gid=0#gid=0"",""GERAL!A2:C""),3,0),""-"")"),"-")</f>
        <v>-</v>
      </c>
      <c r="Q1011" s="101" t="s">
        <v>156</v>
      </c>
      <c r="R1011" s="98">
        <v>8.0</v>
      </c>
      <c r="S1011" s="98">
        <v>0.0</v>
      </c>
      <c r="T1011" s="98">
        <v>0.0</v>
      </c>
      <c r="U1011" s="98">
        <v>0.0</v>
      </c>
      <c r="V1011" s="98">
        <v>0.0</v>
      </c>
      <c r="W1011" s="98">
        <v>0.0</v>
      </c>
      <c r="X1011" s="98">
        <v>0.0</v>
      </c>
      <c r="Y1011" s="98">
        <v>0.0</v>
      </c>
      <c r="Z1011" s="98">
        <v>0.0</v>
      </c>
      <c r="AA1011" s="98">
        <v>0.0</v>
      </c>
      <c r="AB1011" s="98">
        <v>0.0</v>
      </c>
      <c r="AC1011" s="98">
        <v>0.0</v>
      </c>
      <c r="AD1011" s="98">
        <v>0.0</v>
      </c>
      <c r="AE1011" s="98">
        <v>0.0</v>
      </c>
      <c r="AF1011" s="98">
        <v>0.0</v>
      </c>
      <c r="AG1011" s="98">
        <v>0.0</v>
      </c>
      <c r="AH1011" s="98">
        <v>0.0</v>
      </c>
      <c r="AI1011" s="98">
        <v>0.0</v>
      </c>
      <c r="AJ1011" s="98">
        <v>0.0</v>
      </c>
      <c r="AK1011" s="98">
        <v>0.0</v>
      </c>
      <c r="AL1011" s="98">
        <v>0.0</v>
      </c>
      <c r="AM1011" s="98">
        <v>0.0</v>
      </c>
      <c r="AN1011" s="98">
        <v>0.0</v>
      </c>
      <c r="AO1011" s="98">
        <v>0.0</v>
      </c>
      <c r="AP1011" s="98">
        <v>1.0</v>
      </c>
      <c r="AQ1011" s="98" t="s">
        <v>5311</v>
      </c>
      <c r="AR1011" s="102">
        <v>46213.0</v>
      </c>
      <c r="AS1011" s="83">
        <v>1135637.0</v>
      </c>
    </row>
    <row r="1012" ht="15.75" customHeight="1">
      <c r="A1012" s="111" t="s">
        <v>1281</v>
      </c>
      <c r="B1012" s="83" t="s">
        <v>2476</v>
      </c>
      <c r="C1012" s="83" t="s">
        <v>68</v>
      </c>
      <c r="D1012" s="112">
        <v>1107773.0</v>
      </c>
      <c r="E1012" s="83"/>
      <c r="F1012" s="83">
        <v>2.915031E7</v>
      </c>
      <c r="G1012" s="91" t="str">
        <f>IFERROR(__xludf.DUMMYFUNCTION("XLOOKUP(AS1012,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BRAZILINO VIEGAS")</f>
        <v>COLÉGIO ESTADUAL BRAZILINO VIEGAS</v>
      </c>
      <c r="H1012" s="119" t="s">
        <v>5409</v>
      </c>
      <c r="I1012" s="91" t="s">
        <v>5410</v>
      </c>
      <c r="J1012" s="83" t="s">
        <v>149</v>
      </c>
      <c r="K1012" s="83" t="s">
        <v>150</v>
      </c>
      <c r="L1012" s="83" t="s">
        <v>151</v>
      </c>
      <c r="M1012" s="83" t="s">
        <v>230</v>
      </c>
      <c r="N1012" s="98" t="s">
        <v>5411</v>
      </c>
      <c r="O1012" s="98" t="s">
        <v>155</v>
      </c>
      <c r="P1012" s="99" t="str">
        <f>IFERROR(__xludf.DUMMYFUNCTION("IFERROR(VLOOKUP(AS1012,IMPORTRANGE(""https://docs.google.com/spreadsheets/d/1juPI-Fb8LD0YtltB2mlGEnp_R3UVu1t3wSFPzgCyHXE/edit?gid=0#gid=0"",""GERAL!A2:C""),3,0),""-"")"),"-")</f>
        <v>-</v>
      </c>
      <c r="Q1012" s="101" t="s">
        <v>156</v>
      </c>
      <c r="R1012" s="98">
        <v>17.0</v>
      </c>
      <c r="S1012" s="98">
        <v>0.0</v>
      </c>
      <c r="T1012" s="98">
        <v>1.0</v>
      </c>
      <c r="U1012" s="98">
        <v>0.0</v>
      </c>
      <c r="V1012" s="98">
        <v>0.0</v>
      </c>
      <c r="W1012" s="98">
        <v>1.0</v>
      </c>
      <c r="X1012" s="98">
        <v>0.0</v>
      </c>
      <c r="Y1012" s="98">
        <v>0.0</v>
      </c>
      <c r="Z1012" s="98">
        <v>0.0</v>
      </c>
      <c r="AA1012" s="98">
        <v>0.0</v>
      </c>
      <c r="AB1012" s="98">
        <v>0.0</v>
      </c>
      <c r="AC1012" s="98">
        <v>0.0</v>
      </c>
      <c r="AD1012" s="98">
        <v>0.0</v>
      </c>
      <c r="AE1012" s="98">
        <v>0.0</v>
      </c>
      <c r="AF1012" s="98">
        <v>0.0</v>
      </c>
      <c r="AG1012" s="98">
        <v>0.0</v>
      </c>
      <c r="AH1012" s="98">
        <v>0.0</v>
      </c>
      <c r="AI1012" s="98">
        <v>0.0</v>
      </c>
      <c r="AJ1012" s="98">
        <v>0.0</v>
      </c>
      <c r="AK1012" s="98">
        <v>0.0</v>
      </c>
      <c r="AL1012" s="98">
        <v>0.0</v>
      </c>
      <c r="AM1012" s="98">
        <v>0.0</v>
      </c>
      <c r="AN1012" s="98">
        <v>0.0</v>
      </c>
      <c r="AO1012" s="98">
        <v>0.0</v>
      </c>
      <c r="AP1012" s="98">
        <v>2.0</v>
      </c>
      <c r="AQ1012" s="98" t="s">
        <v>5413</v>
      </c>
      <c r="AR1012" s="102">
        <v>46212.0</v>
      </c>
      <c r="AS1012" s="83">
        <v>1107773.0</v>
      </c>
    </row>
    <row r="1013" ht="15.75" customHeight="1">
      <c r="A1013" s="111" t="s">
        <v>1281</v>
      </c>
      <c r="B1013" s="83" t="s">
        <v>2476</v>
      </c>
      <c r="C1013" s="83" t="s">
        <v>68</v>
      </c>
      <c r="D1013" s="112">
        <v>1176092.0</v>
      </c>
      <c r="E1013" s="83"/>
      <c r="F1013" s="83">
        <v>2.915045E7</v>
      </c>
      <c r="G1013" s="91" t="str">
        <f>IFERROR(__xludf.DUMMYFUNCTION("XLOOKUP(AS1013,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PROFESSOR CARLOS ROSA")</f>
        <v>COLÉGIO DA POLICIA MILITAR - CPM PROFESSOR CARLOS ROSA</v>
      </c>
      <c r="H1013" s="119" t="s">
        <v>5414</v>
      </c>
      <c r="I1013" s="91" t="s">
        <v>5415</v>
      </c>
      <c r="J1013" s="83" t="s">
        <v>5339</v>
      </c>
      <c r="K1013" s="83" t="s">
        <v>150</v>
      </c>
      <c r="L1013" s="83" t="s">
        <v>151</v>
      </c>
      <c r="M1013" s="83" t="s">
        <v>152</v>
      </c>
      <c r="N1013" s="98" t="s">
        <v>5416</v>
      </c>
      <c r="O1013" s="98" t="s">
        <v>155</v>
      </c>
      <c r="P1013" s="99" t="str">
        <f>IFERROR(__xludf.DUMMYFUNCTION("IFERROR(VLOOKUP(AS1013,IMPORTRANGE(""https://docs.google.com/spreadsheets/d/1juPI-Fb8LD0YtltB2mlGEnp_R3UVu1t3wSFPzgCyHXE/edit?gid=0#gid=0"",""GERAL!A2:C""),3,0),""-"")"),"-")</f>
        <v>-</v>
      </c>
      <c r="Q1013" s="101" t="s">
        <v>156</v>
      </c>
      <c r="R1013" s="98">
        <v>24.0</v>
      </c>
      <c r="S1013" s="98">
        <v>0.0</v>
      </c>
      <c r="T1013" s="98">
        <v>5.0</v>
      </c>
      <c r="U1013" s="98">
        <v>1.0</v>
      </c>
      <c r="V1013" s="98">
        <v>1.0</v>
      </c>
      <c r="W1013" s="98">
        <v>2.0</v>
      </c>
      <c r="X1013" s="98">
        <v>1.0</v>
      </c>
      <c r="Y1013" s="98">
        <v>0.0</v>
      </c>
      <c r="Z1013" s="98">
        <v>1.0</v>
      </c>
      <c r="AA1013" s="98">
        <v>0.0</v>
      </c>
      <c r="AB1013" s="98">
        <v>1.0</v>
      </c>
      <c r="AC1013" s="98">
        <v>0.0</v>
      </c>
      <c r="AD1013" s="98">
        <v>0.0</v>
      </c>
      <c r="AE1013" s="98">
        <v>0.0</v>
      </c>
      <c r="AF1013" s="98">
        <v>1.0</v>
      </c>
      <c r="AG1013" s="98">
        <v>0.0</v>
      </c>
      <c r="AH1013" s="98">
        <v>0.0</v>
      </c>
      <c r="AI1013" s="98">
        <v>0.0</v>
      </c>
      <c r="AJ1013" s="98">
        <v>1.0</v>
      </c>
      <c r="AK1013" s="98">
        <v>0.0</v>
      </c>
      <c r="AL1013" s="98">
        <v>0.0</v>
      </c>
      <c r="AM1013" s="98">
        <v>0.0</v>
      </c>
      <c r="AN1013" s="98">
        <v>0.0</v>
      </c>
      <c r="AO1013" s="98">
        <v>0.0</v>
      </c>
      <c r="AP1013" s="98">
        <v>0.0</v>
      </c>
      <c r="AQ1013" s="98" t="s">
        <v>5425</v>
      </c>
      <c r="AR1013" s="102">
        <v>46213.0</v>
      </c>
      <c r="AS1013" s="83">
        <v>1176092.0</v>
      </c>
    </row>
    <row r="1014" ht="15.75" customHeight="1">
      <c r="A1014" s="111" t="s">
        <v>1281</v>
      </c>
      <c r="B1014" s="83" t="s">
        <v>2476</v>
      </c>
      <c r="C1014" s="83" t="s">
        <v>68</v>
      </c>
      <c r="D1014" s="112">
        <v>1107927.0</v>
      </c>
      <c r="E1014" s="83"/>
      <c r="F1014" s="83">
        <v>2.9149835E7</v>
      </c>
      <c r="G1014" s="91" t="str">
        <f>IFERROR(__xludf.DUMMYFUNCTION("XLOOKUP(AS1014,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DO LITORAL NORTE E AGRESTE BAIANO")</f>
        <v>CENTRO TERRITORIAL DE EDUCACAO PROFISSIONAL DO LITORAL NORTE E AGRESTE BAIANO</v>
      </c>
      <c r="H1014" s="114" t="s">
        <v>5427</v>
      </c>
      <c r="I1014" s="91" t="s">
        <v>5429</v>
      </c>
      <c r="J1014" s="83" t="s">
        <v>149</v>
      </c>
      <c r="K1014" s="83" t="s">
        <v>150</v>
      </c>
      <c r="L1014" s="83" t="s">
        <v>151</v>
      </c>
      <c r="M1014" s="83" t="s">
        <v>230</v>
      </c>
      <c r="N1014" s="98" t="s">
        <v>5433</v>
      </c>
      <c r="O1014" s="98" t="s">
        <v>155</v>
      </c>
      <c r="P1014" s="99" t="str">
        <f>IFERROR(__xludf.DUMMYFUNCTION("IFERROR(VLOOKUP(AS1014,IMPORTRANGE(""https://docs.google.com/spreadsheets/d/1juPI-Fb8LD0YtltB2mlGEnp_R3UVu1t3wSFPzgCyHXE/edit?gid=0#gid=0"",""GERAL!A2:C""),3,0),""-"")"),"-")</f>
        <v>-</v>
      </c>
      <c r="Q1014" s="101" t="s">
        <v>156</v>
      </c>
      <c r="R1014" s="98">
        <v>30.0</v>
      </c>
      <c r="S1014" s="98">
        <v>0.0</v>
      </c>
      <c r="T1014" s="98">
        <v>2.0</v>
      </c>
      <c r="U1014" s="98">
        <v>0.0</v>
      </c>
      <c r="V1014" s="98">
        <v>3.0</v>
      </c>
      <c r="W1014" s="98">
        <v>4.0</v>
      </c>
      <c r="X1014" s="98">
        <v>1.0</v>
      </c>
      <c r="Y1014" s="98">
        <v>0.0</v>
      </c>
      <c r="Z1014" s="98">
        <v>0.0</v>
      </c>
      <c r="AA1014" s="98">
        <v>1.0</v>
      </c>
      <c r="AB1014" s="98">
        <v>0.0</v>
      </c>
      <c r="AC1014" s="98">
        <v>0.0</v>
      </c>
      <c r="AD1014" s="98">
        <v>0.0</v>
      </c>
      <c r="AE1014" s="98">
        <v>0.0</v>
      </c>
      <c r="AF1014" s="98">
        <v>0.0</v>
      </c>
      <c r="AG1014" s="98">
        <v>1.0</v>
      </c>
      <c r="AH1014" s="98">
        <v>0.0</v>
      </c>
      <c r="AI1014" s="98">
        <v>0.0</v>
      </c>
      <c r="AJ1014" s="98">
        <v>0.0</v>
      </c>
      <c r="AK1014" s="98">
        <v>0.0</v>
      </c>
      <c r="AL1014" s="98">
        <v>0.0</v>
      </c>
      <c r="AM1014" s="98">
        <v>0.0</v>
      </c>
      <c r="AN1014" s="98">
        <v>0.0</v>
      </c>
      <c r="AO1014" s="98">
        <v>0.0</v>
      </c>
      <c r="AP1014" s="98">
        <v>0.0</v>
      </c>
      <c r="AQ1014" s="98" t="s">
        <v>5440</v>
      </c>
      <c r="AR1014" s="102">
        <v>46213.0</v>
      </c>
      <c r="AS1014" s="83">
        <v>1107927.0</v>
      </c>
    </row>
    <row r="1015" ht="15.75" customHeight="1">
      <c r="A1015" s="111" t="s">
        <v>1281</v>
      </c>
      <c r="B1015" s="83" t="s">
        <v>2476</v>
      </c>
      <c r="C1015" s="83" t="s">
        <v>164</v>
      </c>
      <c r="D1015" s="112">
        <v>1107773.0</v>
      </c>
      <c r="E1015" s="83">
        <v>1178463.0</v>
      </c>
      <c r="F1015" s="83"/>
      <c r="G1015" s="91" t="str">
        <f>IFERROR(__xludf.DUMMYFUNCTION("XLOOKUP(AS1015,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BRAZILINO VIEGAS - DISTRITO BOA UNIAO - COMUNIDADE QUILOMBOLA")</f>
        <v>ANEXO - COLÉGIO ESTADUAL BRAZILINO VIEGAS - DISTRITO BOA UNIAO - COMUNIDADE QUILOMBOLA</v>
      </c>
      <c r="H1015" s="119" t="s">
        <v>5444</v>
      </c>
      <c r="I1015" s="91" t="s">
        <v>5445</v>
      </c>
      <c r="J1015" s="233" t="s">
        <v>5446</v>
      </c>
      <c r="K1015" s="83" t="s">
        <v>762</v>
      </c>
      <c r="L1015" s="83" t="s">
        <v>168</v>
      </c>
      <c r="M1015" s="83" t="s">
        <v>169</v>
      </c>
      <c r="N1015" s="115" t="s">
        <v>170</v>
      </c>
      <c r="O1015" s="98" t="s">
        <v>155</v>
      </c>
      <c r="P1015" s="99" t="str">
        <f>IFERROR(__xludf.DUMMYFUNCTION("IFERROR(VLOOKUP(AS1015,IMPORTRANGE(""https://docs.google.com/spreadsheets/d/1juPI-Fb8LD0YtltB2mlGEnp_R3UVu1t3wSFPzgCyHXE/edit?gid=0#gid=0"",""GERAL!A2:C""),3,0),""-"")"),"QUILOMBOLAS")</f>
        <v>QUILOMBOLAS</v>
      </c>
      <c r="Q1015" s="98" t="s">
        <v>171</v>
      </c>
      <c r="R1015" s="98" t="s">
        <v>171</v>
      </c>
      <c r="S1015" s="98" t="s">
        <v>171</v>
      </c>
      <c r="T1015" s="98" t="s">
        <v>171</v>
      </c>
      <c r="U1015" s="98" t="s">
        <v>171</v>
      </c>
      <c r="V1015" s="98" t="s">
        <v>171</v>
      </c>
      <c r="W1015" s="98" t="s">
        <v>171</v>
      </c>
      <c r="X1015" s="98" t="s">
        <v>171</v>
      </c>
      <c r="Y1015" s="98" t="s">
        <v>171</v>
      </c>
      <c r="Z1015" s="98" t="s">
        <v>171</v>
      </c>
      <c r="AA1015" s="98" t="s">
        <v>171</v>
      </c>
      <c r="AB1015" s="98" t="s">
        <v>171</v>
      </c>
      <c r="AC1015" s="98" t="s">
        <v>171</v>
      </c>
      <c r="AD1015" s="98" t="s">
        <v>171</v>
      </c>
      <c r="AE1015" s="98" t="s">
        <v>171</v>
      </c>
      <c r="AF1015" s="98" t="s">
        <v>171</v>
      </c>
      <c r="AG1015" s="98" t="s">
        <v>171</v>
      </c>
      <c r="AH1015" s="98">
        <v>0.0</v>
      </c>
      <c r="AI1015" s="98"/>
      <c r="AJ1015" s="98" t="s">
        <v>171</v>
      </c>
      <c r="AK1015" s="98" t="s">
        <v>171</v>
      </c>
      <c r="AL1015" s="98" t="s">
        <v>171</v>
      </c>
      <c r="AM1015" s="98" t="s">
        <v>171</v>
      </c>
      <c r="AN1015" s="98" t="s">
        <v>171</v>
      </c>
      <c r="AO1015" s="98" t="s">
        <v>171</v>
      </c>
      <c r="AP1015" s="98" t="s">
        <v>171</v>
      </c>
      <c r="AQ1015" s="98" t="s">
        <v>171</v>
      </c>
      <c r="AR1015" s="102">
        <v>46213.0</v>
      </c>
      <c r="AS1015" s="83">
        <v>1178463.0</v>
      </c>
    </row>
    <row r="1016" ht="15.75" customHeight="1">
      <c r="A1016" s="111" t="s">
        <v>1281</v>
      </c>
      <c r="B1016" s="83" t="s">
        <v>5447</v>
      </c>
      <c r="C1016" s="83" t="s">
        <v>68</v>
      </c>
      <c r="D1016" s="112">
        <v>1107749.0</v>
      </c>
      <c r="E1016" s="83"/>
      <c r="F1016" s="83">
        <v>2.9151554E7</v>
      </c>
      <c r="G1016" s="91" t="str">
        <f>IFERROR(__xludf.DUMMYFUNCTION("XLOOKUP(AS1016,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 AUREA DOS HUMILDES OLIVEIRA
(ANTIGO C.E PROFESSORA ÁUREA DOS HUMILDES OLIVEIRA)")</f>
        <v>COLÉGIO ESTADUAL DE TEMPO INTEGRAL PROF AUREA DOS HUMILDES OLIVEIRA
(ANTIGO C.E PROFESSORA ÁUREA DOS HUMILDES OLIVEIRA)</v>
      </c>
      <c r="H1016" s="119" t="s">
        <v>5448</v>
      </c>
      <c r="I1016" s="108" t="s">
        <v>5449</v>
      </c>
      <c r="J1016" s="83" t="s">
        <v>149</v>
      </c>
      <c r="K1016" s="83" t="s">
        <v>150</v>
      </c>
      <c r="L1016" s="83" t="s">
        <v>151</v>
      </c>
      <c r="M1016" s="83" t="s">
        <v>230</v>
      </c>
      <c r="N1016" s="98" t="s">
        <v>5450</v>
      </c>
      <c r="O1016" s="98" t="s">
        <v>162</v>
      </c>
      <c r="P1016" s="99" t="str">
        <f>IFERROR(__xludf.DUMMYFUNCTION("IFERROR(VLOOKUP(AS1016,IMPORTRANGE(""https://docs.google.com/spreadsheets/d/1juPI-Fb8LD0YtltB2mlGEnp_R3UVu1t3wSFPzgCyHXE/edit?gid=0#gid=0"",""GERAL!A2:C""),3,0),""-"")"),"-")</f>
        <v>-</v>
      </c>
      <c r="Q1016" s="83"/>
      <c r="R1016" s="83"/>
      <c r="S1016" s="83"/>
      <c r="T1016" s="83"/>
      <c r="U1016" s="83"/>
      <c r="V1016" s="83"/>
      <c r="W1016" s="83"/>
      <c r="X1016" s="83"/>
      <c r="Y1016" s="83"/>
      <c r="Z1016" s="83"/>
      <c r="AA1016" s="83"/>
      <c r="AB1016" s="83"/>
      <c r="AC1016" s="83"/>
      <c r="AD1016" s="83"/>
      <c r="AE1016" s="83"/>
      <c r="AF1016" s="83"/>
      <c r="AG1016" s="83"/>
      <c r="AH1016" s="83"/>
      <c r="AI1016" s="83"/>
      <c r="AJ1016" s="83"/>
      <c r="AK1016" s="83"/>
      <c r="AL1016" s="83"/>
      <c r="AM1016" s="83"/>
      <c r="AN1016" s="83"/>
      <c r="AO1016" s="83"/>
      <c r="AP1016" s="83"/>
      <c r="AQ1016" s="83"/>
      <c r="AR1016" s="83"/>
      <c r="AS1016" s="83">
        <v>1107749.0</v>
      </c>
    </row>
    <row r="1017" ht="72.75" customHeight="1">
      <c r="A1017" s="111" t="s">
        <v>1281</v>
      </c>
      <c r="B1017" s="83" t="s">
        <v>5447</v>
      </c>
      <c r="C1017" s="83" t="s">
        <v>68</v>
      </c>
      <c r="D1017" s="112">
        <v>1107730.0</v>
      </c>
      <c r="E1017" s="83"/>
      <c r="F1017" s="83">
        <v>2.9151651E7</v>
      </c>
      <c r="G1017" s="91" t="str">
        <f>IFERROR(__xludf.DUMMYFUNCTION("XLOOKUP(AS1017,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ITAMIRA - DISTRITO DE ITAMIRA")</f>
        <v>COLÉGIO ESTADUAL DE TEMPO INTEGRAL DE ITAMIRA - DISTRITO DE ITAMIRA</v>
      </c>
      <c r="H1017" s="119" t="s">
        <v>5456</v>
      </c>
      <c r="I1017" s="91" t="s">
        <v>5457</v>
      </c>
      <c r="J1017" s="136" t="s">
        <v>5458</v>
      </c>
      <c r="K1017" s="83" t="s">
        <v>240</v>
      </c>
      <c r="L1017" s="83" t="s">
        <v>151</v>
      </c>
      <c r="M1017" s="83" t="s">
        <v>230</v>
      </c>
      <c r="N1017" s="98" t="s">
        <v>5460</v>
      </c>
      <c r="O1017" s="98" t="s">
        <v>162</v>
      </c>
      <c r="P1017" s="99" t="str">
        <f>IFERROR(__xludf.DUMMYFUNCTION("IFERROR(VLOOKUP(AS1017,IMPORTRANGE(""https://docs.google.com/spreadsheets/d/1juPI-Fb8LD0YtltB2mlGEnp_R3UVu1t3wSFPzgCyHXE/edit?gid=0#gid=0"",""GERAL!A2:C""),3,0),""-"")"),"CAMPO")</f>
        <v>CAMPO</v>
      </c>
      <c r="Q1017" s="83"/>
      <c r="R1017" s="83"/>
      <c r="S1017" s="83"/>
      <c r="T1017" s="83"/>
      <c r="U1017" s="83"/>
      <c r="V1017" s="83"/>
      <c r="W1017" s="83"/>
      <c r="X1017" s="83"/>
      <c r="Y1017" s="83"/>
      <c r="Z1017" s="83"/>
      <c r="AA1017" s="83"/>
      <c r="AB1017" s="83"/>
      <c r="AC1017" s="83"/>
      <c r="AD1017" s="83"/>
      <c r="AE1017" s="83"/>
      <c r="AF1017" s="83"/>
      <c r="AG1017" s="83"/>
      <c r="AH1017" s="83"/>
      <c r="AI1017" s="83"/>
      <c r="AJ1017" s="83"/>
      <c r="AK1017" s="83"/>
      <c r="AL1017" s="83"/>
      <c r="AM1017" s="83"/>
      <c r="AN1017" s="83"/>
      <c r="AO1017" s="83"/>
      <c r="AP1017" s="83"/>
      <c r="AQ1017" s="83"/>
      <c r="AR1017" s="83"/>
      <c r="AS1017" s="83">
        <v>1107730.0</v>
      </c>
    </row>
    <row r="1018" ht="15.75" customHeight="1">
      <c r="A1018" s="111" t="s">
        <v>1281</v>
      </c>
      <c r="B1018" s="83" t="s">
        <v>5044</v>
      </c>
      <c r="C1018" s="83" t="s">
        <v>68</v>
      </c>
      <c r="D1018" s="112">
        <v>1179312.0</v>
      </c>
      <c r="E1018" s="83"/>
      <c r="F1018" s="83">
        <v>2.9461464E7</v>
      </c>
      <c r="G1018" s="91" t="str">
        <f>IFERROR(__xludf.DUMMYFUNCTION("XLOOKUP(AS1018,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JOSÉ VICENTE LEAL")</f>
        <v>COLÉGIO ESTADUAL DE TEMPO INTEGRAL JOSÉ VICENTE LEAL</v>
      </c>
      <c r="H1018" s="119" t="s">
        <v>5461</v>
      </c>
      <c r="I1018" s="91" t="s">
        <v>5462</v>
      </c>
      <c r="J1018" s="83" t="s">
        <v>149</v>
      </c>
      <c r="K1018" s="83" t="s">
        <v>150</v>
      </c>
      <c r="L1018" s="83" t="s">
        <v>151</v>
      </c>
      <c r="M1018" s="83" t="s">
        <v>230</v>
      </c>
      <c r="N1018" s="98" t="s">
        <v>5463</v>
      </c>
      <c r="O1018" s="98" t="s">
        <v>162</v>
      </c>
      <c r="P1018" s="99" t="str">
        <f>IFERROR(__xludf.DUMMYFUNCTION("IFERROR(VLOOKUP(AS1018,IMPORTRANGE(""https://docs.google.com/spreadsheets/d/1juPI-Fb8LD0YtltB2mlGEnp_R3UVu1t3wSFPzgCyHXE/edit?gid=0#gid=0"",""GERAL!A2:C""),3,0),""-"")"),"-")</f>
        <v>-</v>
      </c>
      <c r="Q1018" s="83"/>
      <c r="R1018" s="83"/>
      <c r="S1018" s="83"/>
      <c r="T1018" s="83"/>
      <c r="U1018" s="83"/>
      <c r="V1018" s="83"/>
      <c r="W1018" s="83"/>
      <c r="X1018" s="83"/>
      <c r="Y1018" s="83"/>
      <c r="Z1018" s="83"/>
      <c r="AA1018" s="83"/>
      <c r="AB1018" s="83"/>
      <c r="AC1018" s="83"/>
      <c r="AD1018" s="83"/>
      <c r="AE1018" s="83"/>
      <c r="AF1018" s="83"/>
      <c r="AG1018" s="83"/>
      <c r="AH1018" s="83"/>
      <c r="AI1018" s="83"/>
      <c r="AJ1018" s="83"/>
      <c r="AK1018" s="83"/>
      <c r="AL1018" s="83"/>
      <c r="AM1018" s="83"/>
      <c r="AN1018" s="83"/>
      <c r="AO1018" s="83"/>
      <c r="AP1018" s="83"/>
      <c r="AQ1018" s="83"/>
      <c r="AR1018" s="83"/>
      <c r="AS1018" s="83">
        <v>1179312.0</v>
      </c>
    </row>
    <row r="1019" ht="15.75" customHeight="1">
      <c r="A1019" s="111" t="s">
        <v>1281</v>
      </c>
      <c r="B1019" s="83" t="s">
        <v>5464</v>
      </c>
      <c r="C1019" s="83" t="s">
        <v>68</v>
      </c>
      <c r="D1019" s="112">
        <v>1179439.0</v>
      </c>
      <c r="E1019" s="83"/>
      <c r="F1019" s="83">
        <v>2.94654E7</v>
      </c>
      <c r="G1019" s="91" t="str">
        <f>IFERROR(__xludf.DUMMYFUNCTION("XLOOKUP(AS1019,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MARIA DO CARMO SANTANA
(ANTIGO C.E PROFESSORA MARIA DO CARMO SANTANA)")</f>
        <v>COLÉGIO ESTADUAL DE TEMPO INTEGRAL PROFESSORA MARIA DO CARMO SANTANA
(ANTIGO C.E PROFESSORA MARIA DO CARMO SANTANA)</v>
      </c>
      <c r="H1019" s="119" t="s">
        <v>5465</v>
      </c>
      <c r="I1019" s="91" t="s">
        <v>5466</v>
      </c>
      <c r="J1019" s="83" t="s">
        <v>149</v>
      </c>
      <c r="K1019" s="83" t="s">
        <v>150</v>
      </c>
      <c r="L1019" s="83" t="s">
        <v>151</v>
      </c>
      <c r="M1019" s="83" t="s">
        <v>230</v>
      </c>
      <c r="N1019" s="98" t="s">
        <v>5467</v>
      </c>
      <c r="O1019" s="98" t="s">
        <v>162</v>
      </c>
      <c r="P1019" s="99" t="str">
        <f>IFERROR(__xludf.DUMMYFUNCTION("IFERROR(VLOOKUP(AS1019,IMPORTRANGE(""https://docs.google.com/spreadsheets/d/1juPI-Fb8LD0YtltB2mlGEnp_R3UVu1t3wSFPzgCyHXE/edit?gid=0#gid=0"",""GERAL!A2:C""),3,0),""-"")"),"-")</f>
        <v>-</v>
      </c>
      <c r="Q1019" s="101" t="s">
        <v>156</v>
      </c>
      <c r="R1019" s="98">
        <v>10.0</v>
      </c>
      <c r="S1019" s="98">
        <v>1.0</v>
      </c>
      <c r="T1019" s="98">
        <v>0.0</v>
      </c>
      <c r="U1019" s="98">
        <v>0.0</v>
      </c>
      <c r="V1019" s="98">
        <v>0.0</v>
      </c>
      <c r="W1019" s="98">
        <v>1.0</v>
      </c>
      <c r="X1019" s="98">
        <v>2.0</v>
      </c>
      <c r="Y1019" s="98">
        <v>0.0</v>
      </c>
      <c r="Z1019" s="98">
        <v>1.0</v>
      </c>
      <c r="AA1019" s="98">
        <v>0.0</v>
      </c>
      <c r="AB1019" s="98">
        <v>1.0</v>
      </c>
      <c r="AC1019" s="98">
        <v>0.0</v>
      </c>
      <c r="AD1019" s="98">
        <v>0.0</v>
      </c>
      <c r="AE1019" s="98">
        <v>0.0</v>
      </c>
      <c r="AF1019" s="98">
        <v>1.0</v>
      </c>
      <c r="AG1019" s="98">
        <v>0.0</v>
      </c>
      <c r="AH1019" s="98">
        <v>0.0</v>
      </c>
      <c r="AI1019" s="98">
        <v>0.0</v>
      </c>
      <c r="AJ1019" s="98">
        <v>1.0</v>
      </c>
      <c r="AK1019" s="98">
        <v>0.0</v>
      </c>
      <c r="AL1019" s="98">
        <v>0.0</v>
      </c>
      <c r="AM1019" s="98">
        <v>0.0</v>
      </c>
      <c r="AN1019" s="98">
        <v>0.0</v>
      </c>
      <c r="AO1019" s="98">
        <v>0.0</v>
      </c>
      <c r="AP1019" s="98">
        <v>0.0</v>
      </c>
      <c r="AQ1019" s="98" t="s">
        <v>5474</v>
      </c>
      <c r="AR1019" s="102">
        <v>46227.0</v>
      </c>
      <c r="AS1019" s="83">
        <v>1179439.0</v>
      </c>
    </row>
    <row r="1020" ht="15.75" customHeight="1">
      <c r="A1020" s="111" t="s">
        <v>1281</v>
      </c>
      <c r="B1020" s="83" t="s">
        <v>5476</v>
      </c>
      <c r="C1020" s="83" t="s">
        <v>68</v>
      </c>
      <c r="D1020" s="112">
        <v>1108656.0</v>
      </c>
      <c r="E1020" s="83"/>
      <c r="F1020" s="83">
        <v>2.9155401E7</v>
      </c>
      <c r="G1020" s="91" t="str">
        <f>IFERROR(__xludf.DUMMYFUNCTION("XLOOKUP(AS1020,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DOUTOR JOSÉ ANTÔNIO DE ARAÚJO PIMENTA")</f>
        <v>COLÉGIO ESTADUAL DO CAMPO DE TEMPO INTEGRAL DOUTOR JOSÉ ANTÔNIO DE ARAÚJO PIMENTA</v>
      </c>
      <c r="H1020" s="119" t="s">
        <v>5482</v>
      </c>
      <c r="I1020" s="91" t="s">
        <v>5484</v>
      </c>
      <c r="J1020" s="83" t="s">
        <v>149</v>
      </c>
      <c r="K1020" s="83" t="s">
        <v>150</v>
      </c>
      <c r="L1020" s="83" t="s">
        <v>151</v>
      </c>
      <c r="M1020" s="83" t="s">
        <v>152</v>
      </c>
      <c r="N1020" s="98" t="s">
        <v>5485</v>
      </c>
      <c r="O1020" s="98" t="s">
        <v>155</v>
      </c>
      <c r="P1020" s="99" t="str">
        <f>IFERROR(__xludf.DUMMYFUNCTION("IFERROR(VLOOKUP(AS1020,IMPORTRANGE(""https://docs.google.com/spreadsheets/d/1juPI-Fb8LD0YtltB2mlGEnp_R3UVu1t3wSFPzgCyHXE/edit?gid=0#gid=0"",""GERAL!A2:C""),3,0),""-"")"),"CAMPO")</f>
        <v>CAMPO</v>
      </c>
      <c r="Q1020" s="101" t="s">
        <v>156</v>
      </c>
      <c r="R1020" s="98">
        <v>12.0</v>
      </c>
      <c r="S1020" s="98">
        <v>0.0</v>
      </c>
      <c r="T1020" s="98">
        <v>2.0</v>
      </c>
      <c r="U1020" s="98">
        <v>0.0</v>
      </c>
      <c r="V1020" s="98">
        <v>1.0</v>
      </c>
      <c r="W1020" s="98">
        <v>5.0</v>
      </c>
      <c r="X1020" s="98">
        <v>1.0</v>
      </c>
      <c r="Y1020" s="98">
        <v>0.0</v>
      </c>
      <c r="Z1020" s="98">
        <v>1.0</v>
      </c>
      <c r="AA1020" s="98">
        <v>0.0</v>
      </c>
      <c r="AB1020" s="98">
        <v>1.0</v>
      </c>
      <c r="AC1020" s="98">
        <v>0.0</v>
      </c>
      <c r="AD1020" s="98">
        <v>0.0</v>
      </c>
      <c r="AE1020" s="98">
        <v>0.0</v>
      </c>
      <c r="AF1020" s="98">
        <v>1.0</v>
      </c>
      <c r="AG1020" s="98">
        <v>0.0</v>
      </c>
      <c r="AH1020" s="98">
        <v>0.0</v>
      </c>
      <c r="AI1020" s="98">
        <v>0.0</v>
      </c>
      <c r="AJ1020" s="98">
        <v>0.0</v>
      </c>
      <c r="AK1020" s="98">
        <v>1.0</v>
      </c>
      <c r="AL1020" s="98">
        <v>0.0</v>
      </c>
      <c r="AM1020" s="98">
        <v>0.0</v>
      </c>
      <c r="AN1020" s="98">
        <v>0.0</v>
      </c>
      <c r="AO1020" s="98">
        <v>0.0</v>
      </c>
      <c r="AP1020" s="98">
        <v>0.0</v>
      </c>
      <c r="AQ1020" s="98" t="s">
        <v>5488</v>
      </c>
      <c r="AR1020" s="102">
        <v>46269.0</v>
      </c>
      <c r="AS1020" s="83">
        <v>1108656.0</v>
      </c>
    </row>
    <row r="1021" ht="15.75" customHeight="1">
      <c r="A1021" s="111" t="s">
        <v>1281</v>
      </c>
      <c r="B1021" s="83" t="s">
        <v>2307</v>
      </c>
      <c r="C1021" s="83" t="s">
        <v>68</v>
      </c>
      <c r="D1021" s="112">
        <v>1108729.0</v>
      </c>
      <c r="E1021" s="83"/>
      <c r="F1021" s="83">
        <v>2.915885E7</v>
      </c>
      <c r="G1021" s="91" t="str">
        <f>IFERROR(__xludf.DUMMYFUNCTION("XLOOKUP(AS1021,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ANTONIO CARLOS MAGALHAES - DISTRITO DE PAU LAVRADO")</f>
        <v>COLÉGIO ESTADUAL DOUTOR ANTONIO CARLOS MAGALHAES - DISTRITO DE PAU LAVRADO</v>
      </c>
      <c r="H1021" s="119" t="s">
        <v>5491</v>
      </c>
      <c r="I1021" s="91" t="s">
        <v>5492</v>
      </c>
      <c r="J1021" s="136" t="s">
        <v>149</v>
      </c>
      <c r="K1021" s="83" t="s">
        <v>2642</v>
      </c>
      <c r="L1021" s="83" t="s">
        <v>151</v>
      </c>
      <c r="M1021" s="83" t="s">
        <v>169</v>
      </c>
      <c r="N1021" s="98" t="s">
        <v>5493</v>
      </c>
      <c r="O1021" s="98" t="s">
        <v>155</v>
      </c>
      <c r="P1021" s="99" t="str">
        <f>IFERROR(__xludf.DUMMYFUNCTION("IFERROR(VLOOKUP(AS1021,IMPORTRANGE(""https://docs.google.com/spreadsheets/d/1juPI-Fb8LD0YtltB2mlGEnp_R3UVu1t3wSFPzgCyHXE/edit?gid=0#gid=0"",""GERAL!A2:C""),3,0),""-"")"),"CAMPO")</f>
        <v>CAMPO</v>
      </c>
      <c r="Q1021" s="101" t="s">
        <v>156</v>
      </c>
      <c r="R1021" s="98">
        <v>6.0</v>
      </c>
      <c r="S1021" s="98">
        <v>0.0</v>
      </c>
      <c r="T1021" s="98">
        <v>1.0</v>
      </c>
      <c r="U1021" s="98">
        <v>0.0</v>
      </c>
      <c r="V1021" s="98">
        <v>0.0</v>
      </c>
      <c r="W1021" s="98">
        <v>0.0</v>
      </c>
      <c r="X1021" s="98">
        <v>0.0</v>
      </c>
      <c r="Y1021" s="98">
        <v>0.0</v>
      </c>
      <c r="Z1021" s="98">
        <v>0.0</v>
      </c>
      <c r="AA1021" s="98">
        <v>0.0</v>
      </c>
      <c r="AB1021" s="98">
        <v>0.0</v>
      </c>
      <c r="AC1021" s="98">
        <v>0.0</v>
      </c>
      <c r="AD1021" s="98">
        <v>0.0</v>
      </c>
      <c r="AE1021" s="98">
        <v>0.0</v>
      </c>
      <c r="AF1021" s="98">
        <v>0.0</v>
      </c>
      <c r="AG1021" s="98">
        <v>0.0</v>
      </c>
      <c r="AH1021" s="98">
        <v>0.0</v>
      </c>
      <c r="AI1021" s="98">
        <v>0.0</v>
      </c>
      <c r="AJ1021" s="98">
        <v>0.0</v>
      </c>
      <c r="AK1021" s="98">
        <v>0.0</v>
      </c>
      <c r="AL1021" s="98">
        <v>0.0</v>
      </c>
      <c r="AM1021" s="98">
        <v>0.0</v>
      </c>
      <c r="AN1021" s="98">
        <v>0.0</v>
      </c>
      <c r="AO1021" s="98">
        <v>0.0</v>
      </c>
      <c r="AP1021" s="98">
        <v>2.0</v>
      </c>
      <c r="AQ1021" s="98" t="s">
        <v>5500</v>
      </c>
      <c r="AR1021" s="102">
        <v>46246.0</v>
      </c>
      <c r="AS1021" s="83">
        <v>1108729.0</v>
      </c>
    </row>
    <row r="1022" ht="15.75" customHeight="1">
      <c r="A1022" s="111" t="s">
        <v>1281</v>
      </c>
      <c r="B1022" s="83" t="s">
        <v>2307</v>
      </c>
      <c r="C1022" s="83" t="s">
        <v>68</v>
      </c>
      <c r="D1022" s="112">
        <v>1108591.0</v>
      </c>
      <c r="E1022" s="83"/>
      <c r="F1022" s="83">
        <v>2.9158893E7</v>
      </c>
      <c r="G1022" s="91" t="str">
        <f>IFERROR(__xludf.DUMMYFUNCTION("XLOOKUP(AS1022,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CATU - (ANTIGO COLÉGIO ESTADUAL ANTONIO DE DEUS SEIXAS)")</f>
        <v>COLÉGIO ESTADUAL DE TEMPO INTEGRAL DE CATU - (ANTIGO COLÉGIO ESTADUAL ANTONIO DE DEUS SEIXAS)</v>
      </c>
      <c r="H1022" s="119" t="s">
        <v>5501</v>
      </c>
      <c r="I1022" s="91" t="s">
        <v>5502</v>
      </c>
      <c r="J1022" s="83" t="s">
        <v>5503</v>
      </c>
      <c r="K1022" s="83" t="s">
        <v>150</v>
      </c>
      <c r="L1022" s="83" t="s">
        <v>151</v>
      </c>
      <c r="M1022" s="98" t="s">
        <v>152</v>
      </c>
      <c r="N1022" s="98" t="s">
        <v>5504</v>
      </c>
      <c r="O1022" s="98" t="s">
        <v>155</v>
      </c>
      <c r="P1022" s="99" t="str">
        <f>IFERROR(__xludf.DUMMYFUNCTION("IFERROR(VLOOKUP(AS1022,IMPORTRANGE(""https://docs.google.com/spreadsheets/d/1juPI-Fb8LD0YtltB2mlGEnp_R3UVu1t3wSFPzgCyHXE/edit?gid=0#gid=0"",""GERAL!A2:C""),3,0),""-"")"),"-")</f>
        <v>-</v>
      </c>
      <c r="Q1022" s="101" t="s">
        <v>156</v>
      </c>
      <c r="R1022" s="98">
        <v>12.0</v>
      </c>
      <c r="S1022" s="98">
        <v>1.0</v>
      </c>
      <c r="T1022" s="98">
        <v>1.0</v>
      </c>
      <c r="U1022" s="98">
        <v>0.0</v>
      </c>
      <c r="V1022" s="98">
        <v>1.0</v>
      </c>
      <c r="W1022" s="98">
        <v>3.0</v>
      </c>
      <c r="X1022" s="98">
        <v>1.0</v>
      </c>
      <c r="Y1022" s="98">
        <v>0.0</v>
      </c>
      <c r="Z1022" s="98">
        <v>1.0</v>
      </c>
      <c r="AA1022" s="98">
        <v>0.0</v>
      </c>
      <c r="AB1022" s="98">
        <v>1.0</v>
      </c>
      <c r="AC1022" s="98">
        <v>0.0</v>
      </c>
      <c r="AD1022" s="98">
        <v>0.0</v>
      </c>
      <c r="AE1022" s="98">
        <v>0.0</v>
      </c>
      <c r="AF1022" s="98">
        <v>1.0</v>
      </c>
      <c r="AG1022" s="98">
        <v>0.0</v>
      </c>
      <c r="AH1022" s="98">
        <v>0.0</v>
      </c>
      <c r="AI1022" s="98">
        <v>0.0</v>
      </c>
      <c r="AJ1022" s="98">
        <v>0.0</v>
      </c>
      <c r="AK1022" s="98">
        <v>1.0</v>
      </c>
      <c r="AL1022" s="98">
        <v>0.0</v>
      </c>
      <c r="AM1022" s="98">
        <v>0.0</v>
      </c>
      <c r="AN1022" s="98">
        <v>0.0</v>
      </c>
      <c r="AO1022" s="98">
        <v>1.0</v>
      </c>
      <c r="AP1022" s="98">
        <v>0.0</v>
      </c>
      <c r="AQ1022" s="83"/>
      <c r="AR1022" s="102">
        <v>46246.0</v>
      </c>
      <c r="AS1022" s="83">
        <v>1108591.0</v>
      </c>
    </row>
    <row r="1023" ht="15.75" customHeight="1">
      <c r="A1023" s="111" t="s">
        <v>1281</v>
      </c>
      <c r="B1023" s="83" t="s">
        <v>2307</v>
      </c>
      <c r="C1023" s="83" t="s">
        <v>68</v>
      </c>
      <c r="D1023" s="112">
        <v>1108648.0</v>
      </c>
      <c r="E1023" s="83"/>
      <c r="F1023" s="83">
        <v>2.9158605E7</v>
      </c>
      <c r="G1023" s="91" t="str">
        <f>IFERROR(__xludf.DUMMYFUNCTION("XLOOKUP(AS1023,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 EM CONTROLE E GESTAO DO NORDESTE BAIANO PEDRO RIBEIRO PESSOA")</f>
        <v>CENTRO ESTADUAL DE EDUCACAO PROF EM CONTROLE E GESTAO DO NORDESTE BAIANO PEDRO RIBEIRO PESSOA</v>
      </c>
      <c r="H1023" s="114" t="s">
        <v>5512</v>
      </c>
      <c r="I1023" s="91" t="s">
        <v>5513</v>
      </c>
      <c r="J1023" s="83" t="s">
        <v>149</v>
      </c>
      <c r="K1023" s="83" t="s">
        <v>150</v>
      </c>
      <c r="L1023" s="83" t="s">
        <v>151</v>
      </c>
      <c r="M1023" s="83" t="s">
        <v>230</v>
      </c>
      <c r="N1023" s="98" t="s">
        <v>5515</v>
      </c>
      <c r="O1023" s="98" t="s">
        <v>155</v>
      </c>
      <c r="P1023" s="99" t="str">
        <f>IFERROR(__xludf.DUMMYFUNCTION("IFERROR(VLOOKUP(AS1023,IMPORTRANGE(""https://docs.google.com/spreadsheets/d/1juPI-Fb8LD0YtltB2mlGEnp_R3UVu1t3wSFPzgCyHXE/edit?gid=0#gid=0"",""GERAL!A2:C""),3,0),""-"")"),"-")</f>
        <v>-</v>
      </c>
      <c r="Q1023" s="101" t="s">
        <v>156</v>
      </c>
      <c r="R1023" s="98">
        <v>20.0</v>
      </c>
      <c r="S1023" s="98">
        <v>0.0</v>
      </c>
      <c r="T1023" s="98">
        <v>1.0</v>
      </c>
      <c r="U1023" s="98">
        <v>0.0</v>
      </c>
      <c r="V1023" s="98">
        <v>1.0</v>
      </c>
      <c r="W1023" s="98">
        <v>5.0</v>
      </c>
      <c r="X1023" s="98">
        <v>1.0</v>
      </c>
      <c r="Y1023" s="98">
        <v>0.0</v>
      </c>
      <c r="Z1023" s="98">
        <v>1.0</v>
      </c>
      <c r="AA1023" s="98">
        <v>0.0</v>
      </c>
      <c r="AB1023" s="98">
        <v>1.0</v>
      </c>
      <c r="AC1023" s="98">
        <v>0.0</v>
      </c>
      <c r="AD1023" s="98">
        <v>0.0</v>
      </c>
      <c r="AE1023" s="98">
        <v>0.0</v>
      </c>
      <c r="AF1023" s="98">
        <v>1.0</v>
      </c>
      <c r="AG1023" s="98">
        <v>0.0</v>
      </c>
      <c r="AH1023" s="98">
        <v>0.0</v>
      </c>
      <c r="AI1023" s="98">
        <v>0.0</v>
      </c>
      <c r="AJ1023" s="98">
        <v>1.0</v>
      </c>
      <c r="AK1023" s="98">
        <v>0.0</v>
      </c>
      <c r="AL1023" s="98">
        <v>0.0</v>
      </c>
      <c r="AM1023" s="98">
        <v>0.0</v>
      </c>
      <c r="AN1023" s="98">
        <v>0.0</v>
      </c>
      <c r="AO1023" s="98">
        <v>0.0</v>
      </c>
      <c r="AP1023" s="98">
        <v>0.0</v>
      </c>
      <c r="AQ1023" s="98" t="s">
        <v>5516</v>
      </c>
      <c r="AR1023" s="102">
        <v>46246.0</v>
      </c>
      <c r="AS1023" s="83">
        <v>1108648.0</v>
      </c>
    </row>
    <row r="1024" ht="15.75" customHeight="1">
      <c r="A1024" s="111" t="s">
        <v>1281</v>
      </c>
      <c r="B1024" s="83" t="s">
        <v>5517</v>
      </c>
      <c r="C1024" s="83" t="s">
        <v>68</v>
      </c>
      <c r="D1024" s="112">
        <v>1108524.0</v>
      </c>
      <c r="E1024" s="83"/>
      <c r="F1024" s="83">
        <v>2.9155673E7</v>
      </c>
      <c r="G1024" s="91" t="str">
        <f>IFERROR(__xludf.DUMMYFUNCTION("XLOOKUP(AS1024,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DO CONDE
(ANTIGO CENTRO INTEGRADO DE EDUCAÇÃO DO CONDE)")</f>
        <v>COLÉGIO ESTADUAL DE TEMPO INTEGRAL DO CONDE
(ANTIGO CENTRO INTEGRADO DE EDUCAÇÃO DO CONDE)</v>
      </c>
      <c r="H1024" s="119" t="s">
        <v>5522</v>
      </c>
      <c r="I1024" s="91" t="s">
        <v>5524</v>
      </c>
      <c r="J1024" s="136" t="s">
        <v>149</v>
      </c>
      <c r="K1024" s="83" t="s">
        <v>150</v>
      </c>
      <c r="L1024" s="83" t="s">
        <v>151</v>
      </c>
      <c r="M1024" s="83" t="s">
        <v>152</v>
      </c>
      <c r="N1024" s="98" t="s">
        <v>5528</v>
      </c>
      <c r="O1024" s="98" t="s">
        <v>155</v>
      </c>
      <c r="P1024" s="99" t="str">
        <f>IFERROR(__xludf.DUMMYFUNCTION("IFERROR(VLOOKUP(AS1024,IMPORTRANGE(""https://docs.google.com/spreadsheets/d/1juPI-Fb8LD0YtltB2mlGEnp_R3UVu1t3wSFPzgCyHXE/edit?gid=0#gid=0"",""GERAL!A2:C""),3,0),""-"")"),"-")</f>
        <v>-</v>
      </c>
      <c r="Q1024" s="101" t="s">
        <v>156</v>
      </c>
      <c r="R1024" s="98">
        <v>16.0</v>
      </c>
      <c r="S1024" s="98">
        <v>1.0</v>
      </c>
      <c r="T1024" s="98">
        <v>6.0</v>
      </c>
      <c r="U1024" s="98">
        <v>0.0</v>
      </c>
      <c r="V1024" s="98">
        <v>0.0</v>
      </c>
      <c r="W1024" s="98">
        <v>2.0</v>
      </c>
      <c r="X1024" s="98">
        <v>0.0</v>
      </c>
      <c r="Y1024" s="98">
        <v>0.0</v>
      </c>
      <c r="Z1024" s="98">
        <v>0.0</v>
      </c>
      <c r="AA1024" s="98">
        <v>0.0</v>
      </c>
      <c r="AB1024" s="98">
        <v>1.0</v>
      </c>
      <c r="AC1024" s="98">
        <v>1.0</v>
      </c>
      <c r="AD1024" s="98">
        <v>0.0</v>
      </c>
      <c r="AE1024" s="98">
        <v>0.0</v>
      </c>
      <c r="AF1024" s="98">
        <v>1.0</v>
      </c>
      <c r="AG1024" s="98">
        <v>0.0</v>
      </c>
      <c r="AH1024" s="98">
        <v>0.0</v>
      </c>
      <c r="AI1024" s="98">
        <v>0.0</v>
      </c>
      <c r="AJ1024" s="98">
        <v>0.0</v>
      </c>
      <c r="AK1024" s="98">
        <v>1.0</v>
      </c>
      <c r="AL1024" s="98">
        <v>0.0</v>
      </c>
      <c r="AM1024" s="98">
        <v>0.0</v>
      </c>
      <c r="AN1024" s="98">
        <v>0.0</v>
      </c>
      <c r="AO1024" s="98">
        <v>0.0</v>
      </c>
      <c r="AP1024" s="98">
        <v>1.0</v>
      </c>
      <c r="AQ1024" s="98" t="s">
        <v>5530</v>
      </c>
      <c r="AR1024" s="102">
        <v>46231.0</v>
      </c>
      <c r="AS1024" s="83">
        <v>1108524.0</v>
      </c>
    </row>
    <row r="1025" ht="15.75" customHeight="1">
      <c r="A1025" s="111" t="s">
        <v>1281</v>
      </c>
      <c r="B1025" s="83" t="s">
        <v>5517</v>
      </c>
      <c r="C1025" s="83" t="s">
        <v>68</v>
      </c>
      <c r="D1025" s="112">
        <v>1108532.0</v>
      </c>
      <c r="E1025" s="83"/>
      <c r="F1025" s="83">
        <v>2.9155894E7</v>
      </c>
      <c r="G1025" s="91" t="str">
        <f>IFERROR(__xludf.DUMMYFUNCTION("XLOOKUP(AS1025,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CELSO MENDES DE LIMA - TEMPO INTEGRAL")</f>
        <v>COLÉGIO ESTADUAL CELSO MENDES DE LIMA - TEMPO INTEGRAL</v>
      </c>
      <c r="H1025" s="119" t="s">
        <v>5539</v>
      </c>
      <c r="I1025" s="91" t="s">
        <v>5540</v>
      </c>
      <c r="J1025" s="136" t="s">
        <v>149</v>
      </c>
      <c r="K1025" s="83" t="s">
        <v>150</v>
      </c>
      <c r="L1025" s="83" t="s">
        <v>151</v>
      </c>
      <c r="M1025" s="98" t="s">
        <v>76</v>
      </c>
      <c r="N1025" s="98" t="s">
        <v>5541</v>
      </c>
      <c r="O1025" s="98" t="s">
        <v>155</v>
      </c>
      <c r="P1025" s="99" t="str">
        <f>IFERROR(__xludf.DUMMYFUNCTION("IFERROR(VLOOKUP(AS1025,IMPORTRANGE(""https://docs.google.com/spreadsheets/d/1juPI-Fb8LD0YtltB2mlGEnp_R3UVu1t3wSFPzgCyHXE/edit?gid=0#gid=0"",""GERAL!A2:C""),3,0),""-"")"),"-")</f>
        <v>-</v>
      </c>
      <c r="Q1025" s="101" t="s">
        <v>156</v>
      </c>
      <c r="R1025" s="98">
        <v>4.0</v>
      </c>
      <c r="S1025" s="98">
        <v>0.0</v>
      </c>
      <c r="T1025" s="98">
        <v>0.0</v>
      </c>
      <c r="U1025" s="98">
        <v>0.0</v>
      </c>
      <c r="V1025" s="98">
        <v>1.0</v>
      </c>
      <c r="W1025" s="98">
        <v>3.0</v>
      </c>
      <c r="X1025" s="98">
        <v>0.0</v>
      </c>
      <c r="Y1025" s="98">
        <v>0.0</v>
      </c>
      <c r="Z1025" s="98">
        <v>0.0</v>
      </c>
      <c r="AA1025" s="98">
        <v>0.0</v>
      </c>
      <c r="AB1025" s="98">
        <v>0.0</v>
      </c>
      <c r="AC1025" s="98">
        <v>0.0</v>
      </c>
      <c r="AD1025" s="98">
        <v>0.0</v>
      </c>
      <c r="AE1025" s="98">
        <v>0.0</v>
      </c>
      <c r="AF1025" s="98">
        <v>1.0</v>
      </c>
      <c r="AG1025" s="98">
        <v>0.0</v>
      </c>
      <c r="AH1025" s="98">
        <v>0.0</v>
      </c>
      <c r="AI1025" s="98">
        <v>0.0</v>
      </c>
      <c r="AJ1025" s="98">
        <v>0.0</v>
      </c>
      <c r="AK1025" s="98">
        <v>0.0</v>
      </c>
      <c r="AL1025" s="98">
        <v>1.0</v>
      </c>
      <c r="AM1025" s="98">
        <v>0.0</v>
      </c>
      <c r="AN1025" s="98">
        <v>0.0</v>
      </c>
      <c r="AO1025" s="98">
        <v>0.0</v>
      </c>
      <c r="AP1025" s="98">
        <v>1.0</v>
      </c>
      <c r="AQ1025" s="98" t="s">
        <v>5542</v>
      </c>
      <c r="AR1025" s="102">
        <v>46231.0</v>
      </c>
      <c r="AS1025" s="83">
        <v>1108532.0</v>
      </c>
    </row>
    <row r="1026" ht="15.75" customHeight="1">
      <c r="A1026" s="111" t="s">
        <v>1281</v>
      </c>
      <c r="B1026" s="83" t="s">
        <v>5517</v>
      </c>
      <c r="C1026" s="83" t="s">
        <v>164</v>
      </c>
      <c r="D1026" s="98">
        <v>1179754.0</v>
      </c>
      <c r="E1026" s="83">
        <v>1178466.0</v>
      </c>
      <c r="F1026" s="83"/>
      <c r="G1026" s="91" t="str">
        <f>IFERROR(__xludf.DUMMYFUNCTION("XLOOKUP(AS1026,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DE SEMPRE VIVA COBO")</f>
        <v>ANEXO - CEMIT LITORAL NORTE E AGRESTE BAIANO - DISTRITO DE SEMPRE VIVA COBO</v>
      </c>
      <c r="H1026" s="119" t="s">
        <v>5543</v>
      </c>
      <c r="I1026" s="91" t="s">
        <v>5544</v>
      </c>
      <c r="J1026" s="136" t="s">
        <v>5545</v>
      </c>
      <c r="K1026" s="83" t="s">
        <v>209</v>
      </c>
      <c r="L1026" s="83" t="s">
        <v>168</v>
      </c>
      <c r="M1026" s="83" t="s">
        <v>230</v>
      </c>
      <c r="N1026" s="115" t="s">
        <v>170</v>
      </c>
      <c r="O1026" s="98" t="s">
        <v>155</v>
      </c>
      <c r="P1026" s="99" t="str">
        <f>IFERROR(__xludf.DUMMYFUNCTION("IFERROR(VLOOKUP(AS1026,IMPORTRANGE(""https://docs.google.com/spreadsheets/d/1juPI-Fb8LD0YtltB2mlGEnp_R3UVu1t3wSFPzgCyHXE/edit?gid=0#gid=0"",""GERAL!A2:C""),3,0),""-"")"),"CAMPO")</f>
        <v>CAMPO</v>
      </c>
      <c r="Q1026" s="98" t="s">
        <v>156</v>
      </c>
      <c r="R1026" s="98">
        <v>3.0</v>
      </c>
      <c r="S1026" s="98" t="s">
        <v>171</v>
      </c>
      <c r="T1026" s="98" t="s">
        <v>171</v>
      </c>
      <c r="U1026" s="98" t="s">
        <v>171</v>
      </c>
      <c r="V1026" s="98" t="s">
        <v>171</v>
      </c>
      <c r="W1026" s="98" t="s">
        <v>171</v>
      </c>
      <c r="X1026" s="98" t="s">
        <v>171</v>
      </c>
      <c r="Y1026" s="98" t="s">
        <v>171</v>
      </c>
      <c r="Z1026" s="98" t="s">
        <v>171</v>
      </c>
      <c r="AA1026" s="98" t="s">
        <v>171</v>
      </c>
      <c r="AB1026" s="98" t="s">
        <v>5546</v>
      </c>
      <c r="AC1026" s="98" t="s">
        <v>171</v>
      </c>
      <c r="AD1026" s="98" t="s">
        <v>171</v>
      </c>
      <c r="AE1026" s="98" t="s">
        <v>171</v>
      </c>
      <c r="AF1026" s="98" t="s">
        <v>171</v>
      </c>
      <c r="AG1026" s="98" t="s">
        <v>171</v>
      </c>
      <c r="AH1026" s="98" t="s">
        <v>171</v>
      </c>
      <c r="AI1026" s="98" t="s">
        <v>171</v>
      </c>
      <c r="AJ1026" s="98" t="s">
        <v>171</v>
      </c>
      <c r="AK1026" s="98" t="s">
        <v>171</v>
      </c>
      <c r="AL1026" s="98" t="s">
        <v>171</v>
      </c>
      <c r="AM1026" s="98" t="s">
        <v>171</v>
      </c>
      <c r="AN1026" s="98" t="s">
        <v>171</v>
      </c>
      <c r="AO1026" s="98" t="s">
        <v>171</v>
      </c>
      <c r="AP1026" s="98" t="s">
        <v>171</v>
      </c>
      <c r="AQ1026" s="98" t="s">
        <v>171</v>
      </c>
      <c r="AR1026" s="102">
        <v>46231.0</v>
      </c>
      <c r="AS1026" s="83">
        <v>1178466.0</v>
      </c>
    </row>
    <row r="1027" ht="15.75" customHeight="1">
      <c r="A1027" s="111" t="s">
        <v>1281</v>
      </c>
      <c r="B1027" s="83" t="s">
        <v>5517</v>
      </c>
      <c r="C1027" s="83" t="s">
        <v>164</v>
      </c>
      <c r="D1027" s="98">
        <v>1179754.0</v>
      </c>
      <c r="E1027" s="83">
        <v>1178465.0</v>
      </c>
      <c r="F1027" s="83"/>
      <c r="G1027" s="91" t="str">
        <f>IFERROR(__xludf.DUMMYFUNCTION("XLOOKUP(AS1027,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DE ALTAMIRA")</f>
        <v>ANEXO - CEMIT LITORAL NORTE E AGRESTE BAIANO - DISTRITO DE ALTAMIRA</v>
      </c>
      <c r="H1027" s="119" t="s">
        <v>5547</v>
      </c>
      <c r="I1027" s="91" t="s">
        <v>5548</v>
      </c>
      <c r="J1027" s="136" t="s">
        <v>5549</v>
      </c>
      <c r="K1027" s="83" t="s">
        <v>471</v>
      </c>
      <c r="L1027" s="83" t="s">
        <v>151</v>
      </c>
      <c r="M1027" s="83" t="s">
        <v>169</v>
      </c>
      <c r="N1027" s="115" t="s">
        <v>170</v>
      </c>
      <c r="O1027" s="98" t="s">
        <v>155</v>
      </c>
      <c r="P1027" s="99" t="str">
        <f>IFERROR(__xludf.DUMMYFUNCTION("IFERROR(VLOOKUP(AS1027,IMPORTRANGE(""https://docs.google.com/spreadsheets/d/1juPI-Fb8LD0YtltB2mlGEnp_R3UVu1t3wSFPzgCyHXE/edit?gid=0#gid=0"",""GERAL!A2:C""),3,0),""-"")"),"CAMPO")</f>
        <v>CAMPO</v>
      </c>
      <c r="Q1027" s="98" t="s">
        <v>156</v>
      </c>
      <c r="R1027" s="98">
        <v>3.0</v>
      </c>
      <c r="S1027" s="98" t="s">
        <v>171</v>
      </c>
      <c r="T1027" s="98" t="s">
        <v>171</v>
      </c>
      <c r="U1027" s="98" t="s">
        <v>171</v>
      </c>
      <c r="V1027" s="98" t="s">
        <v>171</v>
      </c>
      <c r="W1027" s="98" t="s">
        <v>171</v>
      </c>
      <c r="X1027" s="98" t="s">
        <v>171</v>
      </c>
      <c r="Y1027" s="98" t="s">
        <v>171</v>
      </c>
      <c r="Z1027" s="98" t="s">
        <v>171</v>
      </c>
      <c r="AA1027" s="98" t="s">
        <v>171</v>
      </c>
      <c r="AB1027" s="98" t="s">
        <v>5546</v>
      </c>
      <c r="AC1027" s="98" t="s">
        <v>171</v>
      </c>
      <c r="AD1027" s="98" t="s">
        <v>171</v>
      </c>
      <c r="AE1027" s="98" t="s">
        <v>171</v>
      </c>
      <c r="AF1027" s="98" t="s">
        <v>171</v>
      </c>
      <c r="AG1027" s="98" t="s">
        <v>171</v>
      </c>
      <c r="AH1027" s="98" t="s">
        <v>171</v>
      </c>
      <c r="AI1027" s="98" t="s">
        <v>171</v>
      </c>
      <c r="AJ1027" s="98" t="s">
        <v>171</v>
      </c>
      <c r="AK1027" s="98" t="s">
        <v>171</v>
      </c>
      <c r="AL1027" s="98" t="s">
        <v>171</v>
      </c>
      <c r="AM1027" s="98" t="s">
        <v>171</v>
      </c>
      <c r="AN1027" s="98" t="s">
        <v>171</v>
      </c>
      <c r="AO1027" s="98" t="s">
        <v>171</v>
      </c>
      <c r="AP1027" s="98" t="s">
        <v>171</v>
      </c>
      <c r="AQ1027" s="98" t="s">
        <v>171</v>
      </c>
      <c r="AR1027" s="102">
        <v>46231.0</v>
      </c>
      <c r="AS1027" s="83">
        <v>1178465.0</v>
      </c>
    </row>
    <row r="1028" ht="15.75" customHeight="1">
      <c r="A1028" s="111" t="s">
        <v>1281</v>
      </c>
      <c r="B1028" s="83" t="s">
        <v>2328</v>
      </c>
      <c r="C1028" s="83" t="s">
        <v>68</v>
      </c>
      <c r="D1028" s="112">
        <v>1114613.0</v>
      </c>
      <c r="E1028" s="83"/>
      <c r="F1028" s="83">
        <v>2.915319E7</v>
      </c>
      <c r="G1028" s="91" t="str">
        <f>IFERROR(__xludf.DUMMYFUNCTION("XLOOKUP(AS1028,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EUDOXIA MARIA ")</f>
        <v>COLÉGIO ESTADUAL DE TEMPO INTEGRAL EUDOXIA MARIA </v>
      </c>
      <c r="H1028" s="119" t="s">
        <v>5550</v>
      </c>
      <c r="I1028" s="402" t="s">
        <v>5551</v>
      </c>
      <c r="J1028" s="136" t="s">
        <v>149</v>
      </c>
      <c r="K1028" s="83" t="s">
        <v>150</v>
      </c>
      <c r="L1028" s="83" t="s">
        <v>151</v>
      </c>
      <c r="M1028" s="83" t="s">
        <v>230</v>
      </c>
      <c r="N1028" s="98" t="s">
        <v>5552</v>
      </c>
      <c r="O1028" s="98" t="s">
        <v>162</v>
      </c>
      <c r="P1028" s="99" t="str">
        <f>IFERROR(__xludf.DUMMYFUNCTION("IFERROR(VLOOKUP(AS1028,IMPORTRANGE(""https://docs.google.com/spreadsheets/d/1juPI-Fb8LD0YtltB2mlGEnp_R3UVu1t3wSFPzgCyHXE/edit?gid=0#gid=0"",""GERAL!A2:C""),3,0),""-"")"),"-")</f>
        <v>-</v>
      </c>
      <c r="Q1028" s="101" t="s">
        <v>156</v>
      </c>
      <c r="R1028" s="98">
        <v>17.0</v>
      </c>
      <c r="S1028" s="98">
        <v>0.0</v>
      </c>
      <c r="T1028" s="98">
        <v>7.0</v>
      </c>
      <c r="U1028" s="98">
        <v>0.0</v>
      </c>
      <c r="V1028" s="98">
        <v>1.0</v>
      </c>
      <c r="W1028" s="98">
        <v>3.0</v>
      </c>
      <c r="X1028" s="98">
        <v>1.0</v>
      </c>
      <c r="Y1028" s="98">
        <v>0.0</v>
      </c>
      <c r="Z1028" s="98">
        <v>1.0</v>
      </c>
      <c r="AA1028" s="98">
        <v>0.0</v>
      </c>
      <c r="AB1028" s="98">
        <v>1.0</v>
      </c>
      <c r="AC1028" s="98">
        <v>0.0</v>
      </c>
      <c r="AD1028" s="98">
        <v>0.0</v>
      </c>
      <c r="AE1028" s="98">
        <v>0.0</v>
      </c>
      <c r="AF1028" s="98">
        <v>1.0</v>
      </c>
      <c r="AG1028" s="98">
        <v>0.0</v>
      </c>
      <c r="AH1028" s="98">
        <v>0.0</v>
      </c>
      <c r="AI1028" s="98">
        <v>0.0</v>
      </c>
      <c r="AJ1028" s="98">
        <v>0.0</v>
      </c>
      <c r="AK1028" s="98">
        <v>1.0</v>
      </c>
      <c r="AL1028" s="98">
        <v>0.0</v>
      </c>
      <c r="AM1028" s="98">
        <v>0.0</v>
      </c>
      <c r="AN1028" s="98">
        <v>0.0</v>
      </c>
      <c r="AO1028" s="98">
        <v>0.0</v>
      </c>
      <c r="AP1028" s="98">
        <v>0.0</v>
      </c>
      <c r="AQ1028" s="98" t="s">
        <v>5553</v>
      </c>
      <c r="AR1028" s="102">
        <v>46231.0</v>
      </c>
      <c r="AS1028" s="83">
        <v>1114613.0</v>
      </c>
    </row>
    <row r="1029" ht="15.75" customHeight="1">
      <c r="A1029" s="111" t="s">
        <v>1281</v>
      </c>
      <c r="B1029" s="83" t="s">
        <v>2148</v>
      </c>
      <c r="C1029" s="83" t="s">
        <v>68</v>
      </c>
      <c r="D1029" s="112">
        <v>1179222.0</v>
      </c>
      <c r="E1029" s="83"/>
      <c r="F1029" s="83">
        <v>2.9456495E7</v>
      </c>
      <c r="G1029" s="91" t="str">
        <f>IFERROR(__xludf.DUMMYFUNCTION("XLOOKUP(AS1029,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PROFESSORA IVANECK MARIA AGUIAR COSTA ")</f>
        <v>COLÉGIO ESTADUAL DO CAMPO DE TEMPO INTEGRAL PROFESSORA IVANECK MARIA AGUIAR COSTA </v>
      </c>
      <c r="H1029" s="119" t="s">
        <v>5554</v>
      </c>
      <c r="I1029" s="91" t="s">
        <v>5555</v>
      </c>
      <c r="J1029" s="136" t="s">
        <v>149</v>
      </c>
      <c r="K1029" s="83" t="s">
        <v>672</v>
      </c>
      <c r="L1029" s="83" t="s">
        <v>151</v>
      </c>
      <c r="M1029" s="98" t="s">
        <v>152</v>
      </c>
      <c r="N1029" s="98" t="s">
        <v>5556</v>
      </c>
      <c r="O1029" s="98" t="s">
        <v>155</v>
      </c>
      <c r="P1029" s="99" t="str">
        <f>IFERROR(__xludf.DUMMYFUNCTION("IFERROR(VLOOKUP(AS1029,IMPORTRANGE(""https://docs.google.com/spreadsheets/d/1juPI-Fb8LD0YtltB2mlGEnp_R3UVu1t3wSFPzgCyHXE/edit?gid=0#gid=0"",""GERAL!A2:C""),3,0),""-"")"),"CAMPO")</f>
        <v>CAMPO</v>
      </c>
      <c r="Q1029" s="101" t="s">
        <v>156</v>
      </c>
      <c r="R1029" s="98">
        <v>9.0</v>
      </c>
      <c r="S1029" s="98">
        <v>0.0</v>
      </c>
      <c r="T1029" s="98">
        <v>0.0</v>
      </c>
      <c r="U1029" s="98">
        <v>1.0</v>
      </c>
      <c r="V1029" s="98">
        <v>1.0</v>
      </c>
      <c r="W1029" s="98">
        <v>0.0</v>
      </c>
      <c r="X1029" s="98">
        <v>0.0</v>
      </c>
      <c r="Y1029" s="98">
        <v>0.0</v>
      </c>
      <c r="Z1029" s="98">
        <v>0.0</v>
      </c>
      <c r="AA1029" s="98">
        <v>0.0</v>
      </c>
      <c r="AB1029" s="98">
        <v>0.0</v>
      </c>
      <c r="AC1029" s="98">
        <v>0.0</v>
      </c>
      <c r="AD1029" s="98">
        <v>0.0</v>
      </c>
      <c r="AE1029" s="98">
        <v>0.0</v>
      </c>
      <c r="AF1029" s="98">
        <v>0.0</v>
      </c>
      <c r="AG1029" s="98">
        <v>1.0</v>
      </c>
      <c r="AH1029" s="98">
        <v>0.0</v>
      </c>
      <c r="AI1029" s="98">
        <v>0.0</v>
      </c>
      <c r="AJ1029" s="98">
        <v>0.0</v>
      </c>
      <c r="AK1029" s="98">
        <v>0.0</v>
      </c>
      <c r="AL1029" s="98">
        <v>0.0</v>
      </c>
      <c r="AM1029" s="98">
        <v>0.0</v>
      </c>
      <c r="AN1029" s="98">
        <v>0.0</v>
      </c>
      <c r="AO1029" s="98">
        <v>0.0</v>
      </c>
      <c r="AP1029" s="98">
        <v>3.0</v>
      </c>
      <c r="AQ1029" s="98" t="s">
        <v>1548</v>
      </c>
      <c r="AR1029" s="102">
        <v>46230.0</v>
      </c>
      <c r="AS1029" s="83">
        <v>1179222.0</v>
      </c>
    </row>
    <row r="1030" ht="15.75" customHeight="1">
      <c r="A1030" s="111" t="s">
        <v>1281</v>
      </c>
      <c r="B1030" s="83" t="s">
        <v>2148</v>
      </c>
      <c r="C1030" s="83" t="s">
        <v>68</v>
      </c>
      <c r="D1030" s="112">
        <v>1108753.0</v>
      </c>
      <c r="E1030" s="83"/>
      <c r="F1030" s="83">
        <v>2.9156211E7</v>
      </c>
      <c r="G1030" s="91" t="str">
        <f>IFERROR(__xludf.DUMMYFUNCTION("XLOOKUP(AS1030,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DUQUE DE CAXIAS")</f>
        <v>COLÉGIO ESTADUAL DE TEMPO INTEGRAL DUQUE DE CAXIAS</v>
      </c>
      <c r="H1030" s="119" t="s">
        <v>5563</v>
      </c>
      <c r="I1030" s="91" t="s">
        <v>5564</v>
      </c>
      <c r="J1030" s="136" t="s">
        <v>149</v>
      </c>
      <c r="K1030" s="83" t="s">
        <v>150</v>
      </c>
      <c r="L1030" s="83" t="s">
        <v>151</v>
      </c>
      <c r="M1030" s="98" t="s">
        <v>230</v>
      </c>
      <c r="N1030" s="98" t="s">
        <v>3063</v>
      </c>
      <c r="O1030" s="98" t="s">
        <v>176</v>
      </c>
      <c r="P1030" s="99" t="str">
        <f>IFERROR(__xludf.DUMMYFUNCTION("IFERROR(VLOOKUP(AS1030,IMPORTRANGE(""https://docs.google.com/spreadsheets/d/1juPI-Fb8LD0YtltB2mlGEnp_R3UVu1t3wSFPzgCyHXE/edit?gid=0#gid=0"",""GERAL!A2:C""),3,0),""-"")"),"-")</f>
        <v>-</v>
      </c>
      <c r="Q1030" s="101" t="s">
        <v>156</v>
      </c>
      <c r="R1030" s="98">
        <v>21.0</v>
      </c>
      <c r="S1030" s="98">
        <v>0.0</v>
      </c>
      <c r="T1030" s="98">
        <v>0.0</v>
      </c>
      <c r="U1030" s="98">
        <v>0.0</v>
      </c>
      <c r="V1030" s="98">
        <v>1.0</v>
      </c>
      <c r="W1030" s="98">
        <v>1.0</v>
      </c>
      <c r="X1030" s="98">
        <v>0.0</v>
      </c>
      <c r="Y1030" s="98">
        <v>0.0</v>
      </c>
      <c r="Z1030" s="98">
        <v>0.0</v>
      </c>
      <c r="AA1030" s="98">
        <v>1.0</v>
      </c>
      <c r="AB1030" s="98">
        <v>0.0</v>
      </c>
      <c r="AC1030" s="98">
        <v>0.0</v>
      </c>
      <c r="AD1030" s="98">
        <v>0.0</v>
      </c>
      <c r="AE1030" s="98">
        <v>0.0</v>
      </c>
      <c r="AF1030" s="98">
        <v>1.0</v>
      </c>
      <c r="AG1030" s="98">
        <v>0.0</v>
      </c>
      <c r="AH1030" s="98">
        <v>0.0</v>
      </c>
      <c r="AI1030" s="98">
        <v>0.0</v>
      </c>
      <c r="AJ1030" s="98">
        <v>0.0</v>
      </c>
      <c r="AK1030" s="98">
        <v>0.0</v>
      </c>
      <c r="AL1030" s="98">
        <v>0.0</v>
      </c>
      <c r="AM1030" s="98">
        <v>0.0</v>
      </c>
      <c r="AN1030" s="98">
        <v>0.0</v>
      </c>
      <c r="AO1030" s="98">
        <v>0.0</v>
      </c>
      <c r="AP1030" s="98">
        <v>7.0</v>
      </c>
      <c r="AQ1030" s="98" t="s">
        <v>5572</v>
      </c>
      <c r="AR1030" s="102">
        <v>46230.0</v>
      </c>
      <c r="AS1030" s="83">
        <v>1108753.0</v>
      </c>
    </row>
    <row r="1031" ht="15.75" customHeight="1">
      <c r="A1031" s="111" t="s">
        <v>1281</v>
      </c>
      <c r="B1031" s="83" t="s">
        <v>2148</v>
      </c>
      <c r="C1031" s="83" t="s">
        <v>164</v>
      </c>
      <c r="D1031" s="112">
        <v>1108508.0</v>
      </c>
      <c r="E1031" s="83">
        <v>1178468.0</v>
      </c>
      <c r="F1031" s="83"/>
      <c r="G1031" s="91" t="str">
        <f>IFERROR(__xludf.DUMMYFUNCTION("XLOOKUP(AS1031,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ERALDO TINOCO - DIST. SITIO DO MEIO")</f>
        <v>ANEXO - COLÉGIO EST. ERALDO TINOCO - DIST. SITIO DO MEIO</v>
      </c>
      <c r="H1031" s="119" t="s">
        <v>5573</v>
      </c>
      <c r="I1031" s="114" t="s">
        <v>5574</v>
      </c>
      <c r="J1031" s="136" t="s">
        <v>5575</v>
      </c>
      <c r="K1031" s="83" t="s">
        <v>1502</v>
      </c>
      <c r="L1031" s="83" t="s">
        <v>168</v>
      </c>
      <c r="M1031" s="83" t="s">
        <v>169</v>
      </c>
      <c r="N1031" s="115" t="s">
        <v>170</v>
      </c>
      <c r="O1031" s="98" t="s">
        <v>155</v>
      </c>
      <c r="P1031" s="99" t="str">
        <f>IFERROR(__xludf.DUMMYFUNCTION("IFERROR(VLOOKUP(AS1031,IMPORTRANGE(""https://docs.google.com/spreadsheets/d/1juPI-Fb8LD0YtltB2mlGEnp_R3UVu1t3wSFPzgCyHXE/edit?gid=0#gid=0"",""GERAL!A2:C""),3,0),""-"")"),"CAMPO")</f>
        <v>CAMPO</v>
      </c>
      <c r="Q1031" s="98" t="s">
        <v>171</v>
      </c>
      <c r="R1031" s="98">
        <v>3.0</v>
      </c>
      <c r="S1031" s="98" t="s">
        <v>171</v>
      </c>
      <c r="T1031" s="98" t="s">
        <v>171</v>
      </c>
      <c r="U1031" s="98" t="s">
        <v>171</v>
      </c>
      <c r="V1031" s="98" t="s">
        <v>171</v>
      </c>
      <c r="W1031" s="98" t="s">
        <v>171</v>
      </c>
      <c r="X1031" s="98" t="s">
        <v>171</v>
      </c>
      <c r="Y1031" s="98" t="s">
        <v>171</v>
      </c>
      <c r="Z1031" s="98" t="s">
        <v>171</v>
      </c>
      <c r="AA1031" s="98" t="s">
        <v>171</v>
      </c>
      <c r="AB1031" s="98" t="s">
        <v>171</v>
      </c>
      <c r="AC1031" s="98" t="s">
        <v>171</v>
      </c>
      <c r="AD1031" s="98" t="s">
        <v>171</v>
      </c>
      <c r="AE1031" s="98" t="s">
        <v>171</v>
      </c>
      <c r="AF1031" s="98" t="s">
        <v>171</v>
      </c>
      <c r="AG1031" s="98" t="s">
        <v>171</v>
      </c>
      <c r="AH1031" s="98" t="s">
        <v>171</v>
      </c>
      <c r="AI1031" s="98" t="s">
        <v>171</v>
      </c>
      <c r="AJ1031" s="98" t="s">
        <v>171</v>
      </c>
      <c r="AK1031" s="98" t="s">
        <v>171</v>
      </c>
      <c r="AL1031" s="98" t="s">
        <v>171</v>
      </c>
      <c r="AM1031" s="98" t="s">
        <v>171</v>
      </c>
      <c r="AN1031" s="98" t="s">
        <v>171</v>
      </c>
      <c r="AO1031" s="98" t="s">
        <v>171</v>
      </c>
      <c r="AP1031" s="98" t="s">
        <v>171</v>
      </c>
      <c r="AQ1031" s="98" t="s">
        <v>171</v>
      </c>
      <c r="AR1031" s="102">
        <v>46230.0</v>
      </c>
      <c r="AS1031" s="83">
        <v>1178468.0</v>
      </c>
    </row>
    <row r="1032" ht="15.75" customHeight="1">
      <c r="A1032" s="111" t="s">
        <v>1281</v>
      </c>
      <c r="B1032" s="83" t="s">
        <v>2148</v>
      </c>
      <c r="C1032" s="83" t="s">
        <v>164</v>
      </c>
      <c r="D1032" s="98">
        <v>1179754.0</v>
      </c>
      <c r="E1032" s="83">
        <v>1178469.0</v>
      </c>
      <c r="F1032" s="83"/>
      <c r="G1032" s="91" t="str">
        <f>IFERROR(__xludf.DUMMYFUNCTION("XLOOKUP(AS1032,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DE SUBAUMA")</f>
        <v>ANEXO - CEMIT LITORAL NORTE E AGRESTE BAIANO - DISTRITO DE SUBAUMA</v>
      </c>
      <c r="H1032" s="119" t="s">
        <v>5578</v>
      </c>
      <c r="I1032" s="91" t="s">
        <v>5580</v>
      </c>
      <c r="J1032" s="136" t="s">
        <v>5581</v>
      </c>
      <c r="K1032" s="83" t="s">
        <v>568</v>
      </c>
      <c r="L1032" s="83" t="s">
        <v>168</v>
      </c>
      <c r="M1032" s="83" t="s">
        <v>169</v>
      </c>
      <c r="N1032" s="115" t="s">
        <v>170</v>
      </c>
      <c r="O1032" s="98" t="s">
        <v>155</v>
      </c>
      <c r="P1032" s="99" t="str">
        <f>IFERROR(__xludf.DUMMYFUNCTION("IFERROR(VLOOKUP(AS1032,IMPORTRANGE(""https://docs.google.com/spreadsheets/d/1juPI-Fb8LD0YtltB2mlGEnp_R3UVu1t3wSFPzgCyHXE/edit?gid=0#gid=0"",""GERAL!A2:C""),3,0),""-"")"),"CAMPO")</f>
        <v>CAMPO</v>
      </c>
      <c r="Q1032" s="98" t="s">
        <v>171</v>
      </c>
      <c r="R1032" s="98">
        <v>3.0</v>
      </c>
      <c r="S1032" s="98" t="s">
        <v>171</v>
      </c>
      <c r="T1032" s="98" t="s">
        <v>171</v>
      </c>
      <c r="U1032" s="98" t="s">
        <v>171</v>
      </c>
      <c r="V1032" s="98" t="s">
        <v>171</v>
      </c>
      <c r="W1032" s="98" t="s">
        <v>171</v>
      </c>
      <c r="X1032" s="98" t="s">
        <v>171</v>
      </c>
      <c r="Y1032" s="98" t="s">
        <v>171</v>
      </c>
      <c r="Z1032" s="98" t="s">
        <v>171</v>
      </c>
      <c r="AA1032" s="98" t="s">
        <v>171</v>
      </c>
      <c r="AB1032" s="98" t="s">
        <v>171</v>
      </c>
      <c r="AC1032" s="98" t="s">
        <v>171</v>
      </c>
      <c r="AD1032" s="98" t="s">
        <v>171</v>
      </c>
      <c r="AE1032" s="98" t="s">
        <v>171</v>
      </c>
      <c r="AF1032" s="98" t="s">
        <v>171</v>
      </c>
      <c r="AG1032" s="98" t="s">
        <v>171</v>
      </c>
      <c r="AH1032" s="98" t="s">
        <v>171</v>
      </c>
      <c r="AI1032" s="98" t="s">
        <v>171</v>
      </c>
      <c r="AJ1032" s="98" t="s">
        <v>171</v>
      </c>
      <c r="AK1032" s="98" t="s">
        <v>171</v>
      </c>
      <c r="AL1032" s="98" t="s">
        <v>171</v>
      </c>
      <c r="AM1032" s="98" t="s">
        <v>171</v>
      </c>
      <c r="AN1032" s="98" t="s">
        <v>171</v>
      </c>
      <c r="AO1032" s="98" t="s">
        <v>171</v>
      </c>
      <c r="AP1032" s="98" t="s">
        <v>171</v>
      </c>
      <c r="AQ1032" s="98" t="s">
        <v>171</v>
      </c>
      <c r="AR1032" s="102">
        <v>46230.0</v>
      </c>
      <c r="AS1032" s="83">
        <v>1178469.0</v>
      </c>
    </row>
    <row r="1033" ht="15.75" customHeight="1">
      <c r="A1033" s="111" t="s">
        <v>1281</v>
      </c>
      <c r="B1033" s="83" t="s">
        <v>5587</v>
      </c>
      <c r="C1033" s="83" t="s">
        <v>68</v>
      </c>
      <c r="D1033" s="112">
        <v>1176401.0</v>
      </c>
      <c r="E1033" s="83"/>
      <c r="F1033" s="83">
        <v>2.937328E7</v>
      </c>
      <c r="G1033" s="91" t="str">
        <f>IFERROR(__xludf.DUMMYFUNCTION("XLOOKUP(AS1033,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JOANICE BACELAR BATISTA")</f>
        <v>COLÉGIO ESTADUAL DE TEMPO INTEGRAL PROFESSORA JOANICE BACELAR BATISTA</v>
      </c>
      <c r="H1033" s="119" t="s">
        <v>5588</v>
      </c>
      <c r="I1033" s="91" t="s">
        <v>5589</v>
      </c>
      <c r="J1033" s="136" t="s">
        <v>149</v>
      </c>
      <c r="K1033" s="83" t="s">
        <v>150</v>
      </c>
      <c r="L1033" s="83" t="s">
        <v>151</v>
      </c>
      <c r="M1033" s="83" t="s">
        <v>230</v>
      </c>
      <c r="N1033" s="98" t="s">
        <v>5590</v>
      </c>
      <c r="O1033" s="98" t="s">
        <v>162</v>
      </c>
      <c r="P1033" s="99" t="str">
        <f>IFERROR(__xludf.DUMMYFUNCTION("IFERROR(VLOOKUP(AS1033,IMPORTRANGE(""https://docs.google.com/spreadsheets/d/1juPI-Fb8LD0YtltB2mlGEnp_R3UVu1t3wSFPzgCyHXE/edit?gid=0#gid=0"",""GERAL!A2:C""),3,0),""-"")"),"-")</f>
        <v>-</v>
      </c>
      <c r="Q1033" s="101" t="s">
        <v>156</v>
      </c>
      <c r="R1033" s="98">
        <v>23.0</v>
      </c>
      <c r="S1033" s="98">
        <v>0.0</v>
      </c>
      <c r="T1033" s="98">
        <v>2.0</v>
      </c>
      <c r="U1033" s="98">
        <v>0.0</v>
      </c>
      <c r="V1033" s="98">
        <v>1.0</v>
      </c>
      <c r="W1033" s="98">
        <v>3.0</v>
      </c>
      <c r="X1033" s="98">
        <v>1.0</v>
      </c>
      <c r="Y1033" s="98">
        <v>0.0</v>
      </c>
      <c r="Z1033" s="98">
        <v>1.0</v>
      </c>
      <c r="AA1033" s="98">
        <v>0.0</v>
      </c>
      <c r="AB1033" s="98">
        <v>1.0</v>
      </c>
      <c r="AC1033" s="98">
        <v>0.0</v>
      </c>
      <c r="AD1033" s="98">
        <v>0.0</v>
      </c>
      <c r="AE1033" s="98">
        <v>0.0</v>
      </c>
      <c r="AF1033" s="98">
        <v>1.0</v>
      </c>
      <c r="AG1033" s="98">
        <v>0.0</v>
      </c>
      <c r="AH1033" s="98">
        <v>0.0</v>
      </c>
      <c r="AI1033" s="98">
        <v>0.0</v>
      </c>
      <c r="AJ1033" s="98">
        <v>1.0</v>
      </c>
      <c r="AK1033" s="98">
        <v>0.0</v>
      </c>
      <c r="AL1033" s="98">
        <v>0.0</v>
      </c>
      <c r="AM1033" s="98">
        <v>0.0</v>
      </c>
      <c r="AN1033" s="98">
        <v>0.0</v>
      </c>
      <c r="AO1033" s="98">
        <v>1.0</v>
      </c>
      <c r="AP1033" s="98">
        <v>0.0</v>
      </c>
      <c r="AQ1033" s="98" t="s">
        <v>5592</v>
      </c>
      <c r="AR1033" s="102">
        <v>46216.0</v>
      </c>
      <c r="AS1033" s="83">
        <v>1176401.0</v>
      </c>
    </row>
    <row r="1034" ht="15.75" customHeight="1">
      <c r="A1034" s="111" t="s">
        <v>1281</v>
      </c>
      <c r="B1034" s="83" t="s">
        <v>5587</v>
      </c>
      <c r="C1034" s="83" t="s">
        <v>164</v>
      </c>
      <c r="D1034" s="98">
        <v>1179754.0</v>
      </c>
      <c r="E1034" s="83">
        <v>1178471.0</v>
      </c>
      <c r="F1034" s="83"/>
      <c r="G1034" s="91" t="str">
        <f>IFERROR(__xludf.DUMMYFUNCTION("XLOOKUP(AS1034,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SAO JOSE")</f>
        <v>ANEXO - CEMIT LITORAL NORTE E AGRESTE BAIANO - SAO JOSE</v>
      </c>
      <c r="H1034" s="119" t="s">
        <v>5596</v>
      </c>
      <c r="I1034" s="91" t="s">
        <v>5597</v>
      </c>
      <c r="J1034" s="136" t="s">
        <v>149</v>
      </c>
      <c r="K1034" s="83" t="s">
        <v>1806</v>
      </c>
      <c r="L1034" s="83" t="s">
        <v>168</v>
      </c>
      <c r="M1034" s="83" t="s">
        <v>169</v>
      </c>
      <c r="N1034" s="115" t="s">
        <v>170</v>
      </c>
      <c r="O1034" s="98" t="s">
        <v>155</v>
      </c>
      <c r="P1034" s="99" t="str">
        <f>IFERROR(__xludf.DUMMYFUNCTION("IFERROR(VLOOKUP(AS1034,IMPORTRANGE(""https://docs.google.com/spreadsheets/d/1juPI-Fb8LD0YtltB2mlGEnp_R3UVu1t3wSFPzgCyHXE/edit?gid=0#gid=0"",""GERAL!A2:C""),3,0),""-"")"),"CAMPO")</f>
        <v>CAMPO</v>
      </c>
      <c r="Q1034" s="98" t="s">
        <v>171</v>
      </c>
      <c r="R1034" s="98">
        <v>3.0</v>
      </c>
      <c r="S1034" s="98">
        <v>0.0</v>
      </c>
      <c r="T1034" s="98">
        <v>0.0</v>
      </c>
      <c r="U1034" s="98">
        <v>0.0</v>
      </c>
      <c r="V1034" s="98">
        <v>0.0</v>
      </c>
      <c r="W1034" s="98">
        <v>0.0</v>
      </c>
      <c r="X1034" s="98">
        <v>0.0</v>
      </c>
      <c r="Y1034" s="98">
        <v>0.0</v>
      </c>
      <c r="Z1034" s="98">
        <v>0.0</v>
      </c>
      <c r="AA1034" s="98">
        <v>0.0</v>
      </c>
      <c r="AB1034" s="98">
        <v>0.0</v>
      </c>
      <c r="AC1034" s="98">
        <v>0.0</v>
      </c>
      <c r="AD1034" s="98">
        <v>0.0</v>
      </c>
      <c r="AE1034" s="98">
        <v>0.0</v>
      </c>
      <c r="AF1034" s="98">
        <v>0.0</v>
      </c>
      <c r="AG1034" s="98">
        <v>0.0</v>
      </c>
      <c r="AH1034" s="98">
        <v>0.0</v>
      </c>
      <c r="AI1034" s="98">
        <v>0.0</v>
      </c>
      <c r="AJ1034" s="98">
        <v>0.0</v>
      </c>
      <c r="AK1034" s="98">
        <v>0.0</v>
      </c>
      <c r="AL1034" s="98">
        <v>0.0</v>
      </c>
      <c r="AM1034" s="98">
        <v>0.0</v>
      </c>
      <c r="AN1034" s="98">
        <v>0.0</v>
      </c>
      <c r="AO1034" s="98">
        <v>0.0</v>
      </c>
      <c r="AP1034" s="98">
        <v>0.0</v>
      </c>
      <c r="AQ1034" s="98" t="s">
        <v>171</v>
      </c>
      <c r="AR1034" s="102">
        <v>46216.0</v>
      </c>
      <c r="AS1034" s="83">
        <v>1178471.0</v>
      </c>
    </row>
    <row r="1035" ht="15.75" customHeight="1">
      <c r="A1035" s="111" t="s">
        <v>1281</v>
      </c>
      <c r="B1035" s="83" t="s">
        <v>5587</v>
      </c>
      <c r="C1035" s="83" t="s">
        <v>164</v>
      </c>
      <c r="D1035" s="98">
        <v>1179754.0</v>
      </c>
      <c r="E1035" s="83">
        <v>1178470.0</v>
      </c>
      <c r="F1035" s="83"/>
      <c r="G1035" s="91" t="str">
        <f>IFERROR(__xludf.DUMMYFUNCTION("XLOOKUP(AS1035,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BAIXIO")</f>
        <v>ANEXO - CEMIT LITORAL NORTE E AGRESTE BAIANO - BAIXIO</v>
      </c>
      <c r="H1035" s="119" t="s">
        <v>5603</v>
      </c>
      <c r="I1035" s="91" t="s">
        <v>5604</v>
      </c>
      <c r="J1035" s="136" t="s">
        <v>149</v>
      </c>
      <c r="K1035" s="83" t="s">
        <v>5605</v>
      </c>
      <c r="L1035" s="83" t="s">
        <v>168</v>
      </c>
      <c r="M1035" s="83" t="s">
        <v>169</v>
      </c>
      <c r="N1035" s="115" t="s">
        <v>170</v>
      </c>
      <c r="O1035" s="98" t="s">
        <v>155</v>
      </c>
      <c r="P1035" s="99" t="str">
        <f>IFERROR(__xludf.DUMMYFUNCTION("IFERROR(VLOOKUP(AS1035,IMPORTRANGE(""https://docs.google.com/spreadsheets/d/1juPI-Fb8LD0YtltB2mlGEnp_R3UVu1t3wSFPzgCyHXE/edit?gid=0#gid=0"",""GERAL!A2:C""),3,0),""-"")"),"CAMPO")</f>
        <v>CAMPO</v>
      </c>
      <c r="Q1035" s="98" t="s">
        <v>171</v>
      </c>
      <c r="R1035" s="98">
        <v>4.0</v>
      </c>
      <c r="S1035" s="98">
        <v>0.0</v>
      </c>
      <c r="T1035" s="98">
        <v>0.0</v>
      </c>
      <c r="U1035" s="98">
        <v>0.0</v>
      </c>
      <c r="V1035" s="98">
        <v>0.0</v>
      </c>
      <c r="W1035" s="98">
        <v>0.0</v>
      </c>
      <c r="X1035" s="98">
        <v>0.0</v>
      </c>
      <c r="Y1035" s="98">
        <v>0.0</v>
      </c>
      <c r="Z1035" s="98">
        <v>0.0</v>
      </c>
      <c r="AA1035" s="98">
        <v>0.0</v>
      </c>
      <c r="AB1035" s="98">
        <v>0.0</v>
      </c>
      <c r="AC1035" s="98">
        <v>0.0</v>
      </c>
      <c r="AD1035" s="98">
        <v>0.0</v>
      </c>
      <c r="AE1035" s="98">
        <v>0.0</v>
      </c>
      <c r="AF1035" s="98">
        <v>0.0</v>
      </c>
      <c r="AG1035" s="98">
        <v>0.0</v>
      </c>
      <c r="AH1035" s="98">
        <v>0.0</v>
      </c>
      <c r="AI1035" s="98">
        <v>0.0</v>
      </c>
      <c r="AJ1035" s="98">
        <v>0.0</v>
      </c>
      <c r="AK1035" s="98">
        <v>0.0</v>
      </c>
      <c r="AL1035" s="98">
        <v>0.0</v>
      </c>
      <c r="AM1035" s="98">
        <v>0.0</v>
      </c>
      <c r="AN1035" s="98">
        <v>0.0</v>
      </c>
      <c r="AO1035" s="98">
        <v>0.0</v>
      </c>
      <c r="AP1035" s="98">
        <v>0.0</v>
      </c>
      <c r="AQ1035" s="98" t="s">
        <v>171</v>
      </c>
      <c r="AR1035" s="102">
        <v>46216.0</v>
      </c>
      <c r="AS1035" s="83">
        <v>1178470.0</v>
      </c>
    </row>
    <row r="1036" ht="15.75" customHeight="1">
      <c r="A1036" s="111" t="s">
        <v>1281</v>
      </c>
      <c r="B1036" s="83" t="s">
        <v>5606</v>
      </c>
      <c r="C1036" s="83" t="s">
        <v>45</v>
      </c>
      <c r="D1036" s="112">
        <v>1178394.0</v>
      </c>
      <c r="E1036" s="83"/>
      <c r="F1036" s="83">
        <v>2.9432928E7</v>
      </c>
      <c r="G1036" s="91" t="str">
        <f>IFERROR(__xludf.DUMMYFUNCTION("XLOOKUP(AS1036,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DA REGIAO DE ALAGOINHAS")</f>
        <v>ESCOLA FAMILIA AGRICOLA DA REGIAO DE ALAGOINHAS</v>
      </c>
      <c r="H1036" s="114" t="s">
        <v>5607</v>
      </c>
      <c r="I1036" s="91" t="s">
        <v>5608</v>
      </c>
      <c r="J1036" s="83" t="s">
        <v>149</v>
      </c>
      <c r="K1036" s="115" t="s">
        <v>767</v>
      </c>
      <c r="L1036" s="83" t="s">
        <v>171</v>
      </c>
      <c r="M1036" s="83" t="s">
        <v>169</v>
      </c>
      <c r="N1036" s="98" t="s">
        <v>5609</v>
      </c>
      <c r="O1036" s="98" t="s">
        <v>155</v>
      </c>
      <c r="P1036" s="99" t="str">
        <f>IFERROR(__xludf.DUMMYFUNCTION("IFERROR(VLOOKUP(AS1036,IMPORTRANGE(""https://docs.google.com/spreadsheets/d/1juPI-Fb8LD0YtltB2mlGEnp_R3UVu1t3wSFPzgCyHXE/edit?gid=0#gid=0"",""GERAL!A2:C""),3,0),""-"")"),"EFA")</f>
        <v>EFA</v>
      </c>
      <c r="Q1036" s="83"/>
      <c r="R1036" s="83"/>
      <c r="S1036" s="83"/>
      <c r="T1036" s="83"/>
      <c r="U1036" s="83"/>
      <c r="V1036" s="83"/>
      <c r="W1036" s="83"/>
      <c r="X1036" s="83"/>
      <c r="Y1036" s="83"/>
      <c r="Z1036" s="83"/>
      <c r="AA1036" s="83"/>
      <c r="AB1036" s="83"/>
      <c r="AC1036" s="83"/>
      <c r="AD1036" s="83"/>
      <c r="AE1036" s="83"/>
      <c r="AF1036" s="83"/>
      <c r="AG1036" s="83"/>
      <c r="AH1036" s="83"/>
      <c r="AI1036" s="83"/>
      <c r="AJ1036" s="83"/>
      <c r="AK1036" s="83"/>
      <c r="AL1036" s="83"/>
      <c r="AM1036" s="83"/>
      <c r="AN1036" s="83"/>
      <c r="AO1036" s="83"/>
      <c r="AP1036" s="83"/>
      <c r="AQ1036" s="83"/>
      <c r="AR1036" s="83"/>
      <c r="AS1036" s="83">
        <v>1178394.0</v>
      </c>
    </row>
    <row r="1037" ht="15.75" customHeight="1">
      <c r="A1037" s="111" t="s">
        <v>1281</v>
      </c>
      <c r="B1037" s="83" t="s">
        <v>5606</v>
      </c>
      <c r="C1037" s="83" t="s">
        <v>68</v>
      </c>
      <c r="D1037" s="112">
        <v>1178251.0</v>
      </c>
      <c r="E1037" s="83"/>
      <c r="F1037" s="83">
        <v>2.9456606E7</v>
      </c>
      <c r="G1037" s="91" t="str">
        <f>IFERROR(__xludf.DUMMYFUNCTION("XLOOKUP(AS1037,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MARIA MENDES DE SOUZA (ANTIGO - COLÉGIO ESTADUAL DE INHAMBUPE)")</f>
        <v>COLÉGIO ESTADUAL DO CAMPO MARIA MENDES DE SOUZA (ANTIGO - COLÉGIO ESTADUAL DE INHAMBUPE)</v>
      </c>
      <c r="H1037" s="119" t="s">
        <v>5610</v>
      </c>
      <c r="I1037" s="91" t="s">
        <v>5611</v>
      </c>
      <c r="J1037" s="136" t="s">
        <v>149</v>
      </c>
      <c r="K1037" s="83" t="s">
        <v>467</v>
      </c>
      <c r="L1037" s="83" t="s">
        <v>151</v>
      </c>
      <c r="M1037" s="83" t="s">
        <v>169</v>
      </c>
      <c r="N1037" s="98" t="s">
        <v>5612</v>
      </c>
      <c r="O1037" s="98" t="s">
        <v>155</v>
      </c>
      <c r="P1037" s="99" t="str">
        <f>IFERROR(__xludf.DUMMYFUNCTION("IFERROR(VLOOKUP(AS1037,IMPORTRANGE(""https://docs.google.com/spreadsheets/d/1juPI-Fb8LD0YtltB2mlGEnp_R3UVu1t3wSFPzgCyHXE/edit?gid=0#gid=0"",""GERAL!A2:C""),3,0),""-"")"),"CAMPO")</f>
        <v>CAMPO</v>
      </c>
      <c r="Q1037" s="83"/>
      <c r="R1037" s="83"/>
      <c r="S1037" s="83"/>
      <c r="T1037" s="83"/>
      <c r="U1037" s="83"/>
      <c r="V1037" s="83"/>
      <c r="W1037" s="83"/>
      <c r="X1037" s="83"/>
      <c r="Y1037" s="83"/>
      <c r="Z1037" s="83"/>
      <c r="AA1037" s="83"/>
      <c r="AB1037" s="83"/>
      <c r="AC1037" s="83"/>
      <c r="AD1037" s="83"/>
      <c r="AE1037" s="83"/>
      <c r="AF1037" s="83"/>
      <c r="AG1037" s="83"/>
      <c r="AH1037" s="83"/>
      <c r="AI1037" s="83"/>
      <c r="AJ1037" s="83"/>
      <c r="AK1037" s="83"/>
      <c r="AL1037" s="83"/>
      <c r="AM1037" s="83"/>
      <c r="AN1037" s="83"/>
      <c r="AO1037" s="83"/>
      <c r="AP1037" s="83"/>
      <c r="AQ1037" s="83"/>
      <c r="AR1037" s="83"/>
      <c r="AS1037" s="83">
        <v>1178251.0</v>
      </c>
    </row>
    <row r="1038" ht="15.75" customHeight="1">
      <c r="A1038" s="111" t="s">
        <v>1281</v>
      </c>
      <c r="B1038" s="83" t="s">
        <v>5606</v>
      </c>
      <c r="C1038" s="83" t="s">
        <v>68</v>
      </c>
      <c r="D1038" s="112">
        <v>1178078.0</v>
      </c>
      <c r="E1038" s="83"/>
      <c r="F1038" s="83">
        <v>2.9430305E7</v>
      </c>
      <c r="G1038" s="91" t="str">
        <f>IFERROR(__xludf.DUMMYFUNCTION("XLOOKUP(AS1038,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SIMONE SIMÕES NERI")</f>
        <v>COLÉGIO ESTADUAL DE TEMPO INTEGRAL PROFESSORA SIMONE SIMÕES NERI</v>
      </c>
      <c r="H1038" s="119" t="s">
        <v>5613</v>
      </c>
      <c r="I1038" s="91" t="s">
        <v>5614</v>
      </c>
      <c r="J1038" s="83" t="s">
        <v>149</v>
      </c>
      <c r="K1038" s="83" t="s">
        <v>150</v>
      </c>
      <c r="L1038" s="83" t="s">
        <v>151</v>
      </c>
      <c r="M1038" s="83" t="s">
        <v>230</v>
      </c>
      <c r="N1038" s="98" t="s">
        <v>5615</v>
      </c>
      <c r="O1038" s="98" t="s">
        <v>155</v>
      </c>
      <c r="P1038" s="99" t="str">
        <f>IFERROR(__xludf.DUMMYFUNCTION("IFERROR(VLOOKUP(AS1038,IMPORTRANGE(""https://docs.google.com/spreadsheets/d/1juPI-Fb8LD0YtltB2mlGEnp_R3UVu1t3wSFPzgCyHXE/edit?gid=0#gid=0"",""GERAL!A2:C""),3,0),""-"")"),"-")</f>
        <v>-</v>
      </c>
      <c r="Q1038" s="83"/>
      <c r="R1038" s="83"/>
      <c r="S1038" s="83"/>
      <c r="T1038" s="83"/>
      <c r="U1038" s="83"/>
      <c r="V1038" s="83"/>
      <c r="W1038" s="83"/>
      <c r="X1038" s="83"/>
      <c r="Y1038" s="83"/>
      <c r="Z1038" s="83"/>
      <c r="AA1038" s="83"/>
      <c r="AB1038" s="83"/>
      <c r="AC1038" s="83"/>
      <c r="AD1038" s="83"/>
      <c r="AE1038" s="83"/>
      <c r="AF1038" s="83"/>
      <c r="AG1038" s="83"/>
      <c r="AH1038" s="83"/>
      <c r="AI1038" s="83"/>
      <c r="AJ1038" s="83"/>
      <c r="AK1038" s="83"/>
      <c r="AL1038" s="83"/>
      <c r="AM1038" s="83"/>
      <c r="AN1038" s="83"/>
      <c r="AO1038" s="83"/>
      <c r="AP1038" s="83"/>
      <c r="AQ1038" s="83"/>
      <c r="AR1038" s="83"/>
      <c r="AS1038" s="83">
        <v>1178078.0</v>
      </c>
    </row>
    <row r="1039" ht="15.75" customHeight="1">
      <c r="A1039" s="111" t="s">
        <v>1281</v>
      </c>
      <c r="B1039" s="98" t="s">
        <v>5606</v>
      </c>
      <c r="C1039" s="83" t="s">
        <v>68</v>
      </c>
      <c r="D1039" s="98">
        <v>1179754.0</v>
      </c>
      <c r="E1039" s="83"/>
      <c r="F1039" s="98">
        <v>2.94879E7</v>
      </c>
      <c r="G1039" s="91" t="str">
        <f>IFERROR(__xludf.DUMMYFUNCTION("XLOOKUP(AS1039,
IMPORTRANGE(""https://docs.google.com/spreadsheets/d/1YM-djuOLXomrZ9W0B4TyIBsVWnXY4EIOFD9HY-qGfv0/edit?usp=sharing"",""GERAL!BG5:BG""),
IMPORTRANGE(""https://docs.google.com/spreadsheets/d/1YM-djuOLXomrZ9W0B4TyIBsVWnXY4EIOFD9HY-qGfv0/edit?"&amp;"usp=sharing"",""GERAL!G5:G""),
""CÓD. SEC NÃO ENCONTRADO NA PLANILHA DE MATRÍCULA"")"),"CENTRO REG. INT. TECNOLOGICA-CEMIT LITORAL NORTE E AGRESTE BAIANO")</f>
        <v>CENTRO REG. INT. TECNOLOGICA-CEMIT LITORAL NORTE E AGRESTE BAIANO</v>
      </c>
      <c r="H1039" s="119" t="s">
        <v>5616</v>
      </c>
      <c r="I1039" s="108" t="s">
        <v>5617</v>
      </c>
      <c r="J1039" s="83"/>
      <c r="K1039" s="83"/>
      <c r="L1039" s="83"/>
      <c r="M1039" s="83"/>
      <c r="N1039" s="98" t="s">
        <v>5618</v>
      </c>
      <c r="O1039" s="98" t="s">
        <v>155</v>
      </c>
      <c r="P1039" s="99" t="str">
        <f>IFERROR(__xludf.DUMMYFUNCTION("IFERROR(VLOOKUP(AS1039,IMPORTRANGE(""https://docs.google.com/spreadsheets/d/1juPI-Fb8LD0YtltB2mlGEnp_R3UVu1t3wSFPzgCyHXE/edit?gid=0#gid=0"",""GERAL!A2:C""),3,0),""-"")"),"-")</f>
        <v>-</v>
      </c>
      <c r="Q1039" s="98"/>
      <c r="R1039" s="98"/>
      <c r="S1039" s="98"/>
      <c r="T1039" s="98"/>
      <c r="U1039" s="98"/>
      <c r="V1039" s="98"/>
      <c r="W1039" s="98"/>
      <c r="X1039" s="98"/>
      <c r="Y1039" s="98"/>
      <c r="Z1039" s="98"/>
      <c r="AA1039" s="98"/>
      <c r="AB1039" s="98"/>
      <c r="AC1039" s="98"/>
      <c r="AD1039" s="98"/>
      <c r="AE1039" s="98"/>
      <c r="AF1039" s="98"/>
      <c r="AG1039" s="98"/>
      <c r="AH1039" s="98"/>
      <c r="AI1039" s="98"/>
      <c r="AJ1039" s="98"/>
      <c r="AK1039" s="98"/>
      <c r="AL1039" s="98"/>
      <c r="AM1039" s="98"/>
      <c r="AN1039" s="98"/>
      <c r="AO1039" s="98"/>
      <c r="AP1039" s="98"/>
      <c r="AQ1039" s="98"/>
      <c r="AR1039" s="98"/>
      <c r="AS1039" s="98">
        <v>1179754.0</v>
      </c>
    </row>
    <row r="1040" ht="15.75" customHeight="1">
      <c r="A1040" s="111" t="s">
        <v>1281</v>
      </c>
      <c r="B1040" s="83" t="s">
        <v>5606</v>
      </c>
      <c r="C1040" s="83" t="s">
        <v>164</v>
      </c>
      <c r="D1040" s="98">
        <v>1179754.0</v>
      </c>
      <c r="E1040" s="83">
        <v>1178256.0</v>
      </c>
      <c r="F1040" s="83"/>
      <c r="G1040" s="91" t="str">
        <f>IFERROR(__xludf.DUMMYFUNCTION("XLOOKUP(AS1040,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POVOADO DE VOLTA DE CIMA")</f>
        <v>ANEXO - CEMIT LITORAL NORTE E AGRESTE BAIANO - POVOADO DE VOLTA DE CIMA</v>
      </c>
      <c r="H1040" s="119" t="s">
        <v>5620</v>
      </c>
      <c r="I1040" s="91" t="s">
        <v>5621</v>
      </c>
      <c r="J1040" s="136" t="s">
        <v>5622</v>
      </c>
      <c r="K1040" s="83" t="s">
        <v>240</v>
      </c>
      <c r="L1040" s="83" t="s">
        <v>168</v>
      </c>
      <c r="M1040" s="83" t="s">
        <v>169</v>
      </c>
      <c r="N1040" s="115" t="s">
        <v>170</v>
      </c>
      <c r="O1040" s="98" t="s">
        <v>155</v>
      </c>
      <c r="P1040" s="99" t="str">
        <f>IFERROR(__xludf.DUMMYFUNCTION("IFERROR(VLOOKUP(AS1040,IMPORTRANGE(""https://docs.google.com/spreadsheets/d/1juPI-Fb8LD0YtltB2mlGEnp_R3UVu1t3wSFPzgCyHXE/edit?gid=0#gid=0"",""GERAL!A2:C""),3,0),""-"")"),"CAMPO")</f>
        <v>CAMPO</v>
      </c>
      <c r="Q1040" s="83"/>
      <c r="R1040" s="83"/>
      <c r="S1040" s="83"/>
      <c r="T1040" s="83"/>
      <c r="U1040" s="83"/>
      <c r="V1040" s="83"/>
      <c r="W1040" s="83"/>
      <c r="X1040" s="83"/>
      <c r="Y1040" s="83"/>
      <c r="Z1040" s="83"/>
      <c r="AA1040" s="83"/>
      <c r="AB1040" s="83"/>
      <c r="AC1040" s="83"/>
      <c r="AD1040" s="83"/>
      <c r="AE1040" s="83"/>
      <c r="AF1040" s="83"/>
      <c r="AG1040" s="83"/>
      <c r="AH1040" s="83"/>
      <c r="AI1040" s="83"/>
      <c r="AJ1040" s="83"/>
      <c r="AK1040" s="83"/>
      <c r="AL1040" s="83"/>
      <c r="AM1040" s="83"/>
      <c r="AN1040" s="83"/>
      <c r="AO1040" s="83"/>
      <c r="AP1040" s="83"/>
      <c r="AQ1040" s="83"/>
      <c r="AR1040" s="83"/>
      <c r="AS1040" s="83">
        <v>1178256.0</v>
      </c>
    </row>
    <row r="1041" ht="15.75" customHeight="1">
      <c r="A1041" s="111" t="s">
        <v>1281</v>
      </c>
      <c r="B1041" s="83" t="s">
        <v>5606</v>
      </c>
      <c r="C1041" s="83" t="s">
        <v>164</v>
      </c>
      <c r="D1041" s="98">
        <v>1179754.0</v>
      </c>
      <c r="E1041" s="83">
        <v>1178472.0</v>
      </c>
      <c r="F1041" s="83"/>
      <c r="G1041" s="91" t="str">
        <f>IFERROR(__xludf.DUMMYFUNCTION("XLOOKUP(AS1041,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DE SAQUINHO")</f>
        <v>ANEXO - CEMIT LITORAL NORTE E AGRESTE BAIANO - DISTRITO DE SAQUINHO</v>
      </c>
      <c r="H1041" s="119" t="s">
        <v>5628</v>
      </c>
      <c r="I1041" s="91" t="s">
        <v>5629</v>
      </c>
      <c r="J1041" s="83" t="s">
        <v>149</v>
      </c>
      <c r="K1041" s="83" t="s">
        <v>240</v>
      </c>
      <c r="L1041" s="83" t="s">
        <v>168</v>
      </c>
      <c r="M1041" s="83" t="s">
        <v>169</v>
      </c>
      <c r="N1041" s="115" t="s">
        <v>170</v>
      </c>
      <c r="O1041" s="98" t="s">
        <v>155</v>
      </c>
      <c r="P1041" s="99" t="str">
        <f>IFERROR(__xludf.DUMMYFUNCTION("IFERROR(VLOOKUP(AS1041,IMPORTRANGE(""https://docs.google.com/spreadsheets/d/1juPI-Fb8LD0YtltB2mlGEnp_R3UVu1t3wSFPzgCyHXE/edit?gid=0#gid=0"",""GERAL!A2:C""),3,0),""-"")"),"CAMPO")</f>
        <v>CAMPO</v>
      </c>
      <c r="Q1041" s="83"/>
      <c r="R1041" s="83"/>
      <c r="S1041" s="83"/>
      <c r="T1041" s="83"/>
      <c r="U1041" s="83"/>
      <c r="V1041" s="83"/>
      <c r="W1041" s="83"/>
      <c r="X1041" s="83"/>
      <c r="Y1041" s="83"/>
      <c r="Z1041" s="83"/>
      <c r="AA1041" s="83"/>
      <c r="AB1041" s="83"/>
      <c r="AC1041" s="83"/>
      <c r="AD1041" s="83"/>
      <c r="AE1041" s="83"/>
      <c r="AF1041" s="83"/>
      <c r="AG1041" s="83"/>
      <c r="AH1041" s="83"/>
      <c r="AI1041" s="83"/>
      <c r="AJ1041" s="83"/>
      <c r="AK1041" s="83"/>
      <c r="AL1041" s="83"/>
      <c r="AM1041" s="83"/>
      <c r="AN1041" s="83"/>
      <c r="AO1041" s="83"/>
      <c r="AP1041" s="83"/>
      <c r="AQ1041" s="83"/>
      <c r="AR1041" s="83"/>
      <c r="AS1041" s="83">
        <v>1178472.0</v>
      </c>
    </row>
    <row r="1042" ht="15.75" customHeight="1">
      <c r="A1042" s="111" t="s">
        <v>1281</v>
      </c>
      <c r="B1042" s="83" t="s">
        <v>5606</v>
      </c>
      <c r="C1042" s="83" t="s">
        <v>164</v>
      </c>
      <c r="D1042" s="98">
        <v>1179754.0</v>
      </c>
      <c r="E1042" s="83">
        <v>1178246.0</v>
      </c>
      <c r="F1042" s="83"/>
      <c r="G1042" s="91" t="str">
        <f>IFERROR(__xludf.DUMMYFUNCTION("XLOOKUP(AS1042,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DE COLONIA")</f>
        <v>ANEXO - CEMIT LITORAL NORTE E AGRESTE BAIANO - DISTRITO DE COLONIA</v>
      </c>
      <c r="H1042" s="119" t="s">
        <v>5630</v>
      </c>
      <c r="I1042" s="91" t="s">
        <v>5631</v>
      </c>
      <c r="J1042" s="83" t="s">
        <v>149</v>
      </c>
      <c r="K1042" s="83" t="s">
        <v>209</v>
      </c>
      <c r="L1042" s="83" t="s">
        <v>168</v>
      </c>
      <c r="M1042" s="83" t="s">
        <v>169</v>
      </c>
      <c r="N1042" s="115" t="s">
        <v>170</v>
      </c>
      <c r="O1042" s="98" t="s">
        <v>155</v>
      </c>
      <c r="P1042" s="99" t="str">
        <f>IFERROR(__xludf.DUMMYFUNCTION("IFERROR(VLOOKUP(AS1042,IMPORTRANGE(""https://docs.google.com/spreadsheets/d/1juPI-Fb8LD0YtltB2mlGEnp_R3UVu1t3wSFPzgCyHXE/edit?gid=0#gid=0"",""GERAL!A2:C""),3,0),""-"")"),"CAMPO")</f>
        <v>CAMPO</v>
      </c>
      <c r="Q1042" s="83"/>
      <c r="R1042" s="83"/>
      <c r="S1042" s="83"/>
      <c r="T1042" s="83"/>
      <c r="U1042" s="83"/>
      <c r="V1042" s="83"/>
      <c r="W1042" s="83"/>
      <c r="X1042" s="83"/>
      <c r="Y1042" s="83"/>
      <c r="Z1042" s="83"/>
      <c r="AA1042" s="83"/>
      <c r="AB1042" s="83"/>
      <c r="AC1042" s="83"/>
      <c r="AD1042" s="83"/>
      <c r="AE1042" s="83"/>
      <c r="AF1042" s="83"/>
      <c r="AG1042" s="83"/>
      <c r="AH1042" s="83"/>
      <c r="AI1042" s="83"/>
      <c r="AJ1042" s="83"/>
      <c r="AK1042" s="83"/>
      <c r="AL1042" s="83"/>
      <c r="AM1042" s="83"/>
      <c r="AN1042" s="83"/>
      <c r="AO1042" s="83"/>
      <c r="AP1042" s="83"/>
      <c r="AQ1042" s="83"/>
      <c r="AR1042" s="83"/>
      <c r="AS1042" s="83">
        <v>1178246.0</v>
      </c>
    </row>
    <row r="1043" ht="15.75" customHeight="1">
      <c r="A1043" s="111" t="s">
        <v>1281</v>
      </c>
      <c r="B1043" s="83" t="s">
        <v>5632</v>
      </c>
      <c r="C1043" s="83" t="s">
        <v>68</v>
      </c>
      <c r="D1043" s="112">
        <v>1133936.0</v>
      </c>
      <c r="E1043" s="83"/>
      <c r="F1043" s="83">
        <v>2.9159318E7</v>
      </c>
      <c r="G1043" s="91" t="str">
        <f>IFERROR(__xludf.DUMMYFUNCTION("XLOOKUP(AS1043,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CARLOS SANTANA - TEMPO INTEGRAL")</f>
        <v>COLÉGIO ESTADUAL PROFESSOR CARLOS SANTANA - TEMPO INTEGRAL</v>
      </c>
      <c r="H1043" s="119" t="s">
        <v>5633</v>
      </c>
      <c r="I1043" s="91" t="s">
        <v>5634</v>
      </c>
      <c r="J1043" s="83" t="s">
        <v>149</v>
      </c>
      <c r="K1043" s="83" t="s">
        <v>150</v>
      </c>
      <c r="L1043" s="83" t="s">
        <v>151</v>
      </c>
      <c r="M1043" s="83" t="s">
        <v>152</v>
      </c>
      <c r="N1043" s="98" t="s">
        <v>5635</v>
      </c>
      <c r="O1043" s="98" t="s">
        <v>155</v>
      </c>
      <c r="P1043" s="99" t="str">
        <f>IFERROR(__xludf.DUMMYFUNCTION("IFERROR(VLOOKUP(AS1043,IMPORTRANGE(""https://docs.google.com/spreadsheets/d/1juPI-Fb8LD0YtltB2mlGEnp_R3UVu1t3wSFPzgCyHXE/edit?gid=0#gid=0"",""GERAL!A2:C""),3,0),""-"")"),"-")</f>
        <v>-</v>
      </c>
      <c r="Q1043" s="83"/>
      <c r="R1043" s="83"/>
      <c r="S1043" s="83"/>
      <c r="T1043" s="83"/>
      <c r="U1043" s="83"/>
      <c r="V1043" s="83"/>
      <c r="W1043" s="83"/>
      <c r="X1043" s="83"/>
      <c r="Y1043" s="83"/>
      <c r="Z1043" s="83"/>
      <c r="AA1043" s="83"/>
      <c r="AB1043" s="83"/>
      <c r="AC1043" s="83"/>
      <c r="AD1043" s="83"/>
      <c r="AE1043" s="83"/>
      <c r="AF1043" s="83"/>
      <c r="AG1043" s="83"/>
      <c r="AH1043" s="83"/>
      <c r="AI1043" s="83"/>
      <c r="AJ1043" s="83"/>
      <c r="AK1043" s="83"/>
      <c r="AL1043" s="83"/>
      <c r="AM1043" s="83"/>
      <c r="AN1043" s="83"/>
      <c r="AO1043" s="83"/>
      <c r="AP1043" s="83"/>
      <c r="AQ1043" s="83"/>
      <c r="AR1043" s="83"/>
      <c r="AS1043" s="83">
        <v>1133936.0</v>
      </c>
    </row>
    <row r="1044" ht="15.75" customHeight="1">
      <c r="A1044" s="111" t="s">
        <v>1281</v>
      </c>
      <c r="B1044" s="83" t="s">
        <v>5636</v>
      </c>
      <c r="C1044" s="83" t="s">
        <v>68</v>
      </c>
      <c r="D1044" s="112">
        <v>1179315.0</v>
      </c>
      <c r="E1044" s="83"/>
      <c r="F1044" s="83">
        <v>2.9459915E7</v>
      </c>
      <c r="G1044" s="91" t="str">
        <f>IFERROR(__xludf.DUMMYFUNCTION("XLOOKUP(AS1044,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PROFESSORA MARIA FREIRE ANUNCIAÇÃO SILVA - DIST. DE LAGOA REDONDA")</f>
        <v>COLÉGIO ESTADUAL DO CAMPO DE TEMPO INTEGRAL PROFESSORA MARIA FREIRE ANUNCIAÇÃO SILVA - DIST. DE LAGOA REDONDA</v>
      </c>
      <c r="H1044" s="184" t="s">
        <v>5637</v>
      </c>
      <c r="I1044" s="91" t="s">
        <v>5638</v>
      </c>
      <c r="J1044" s="172" t="s">
        <v>5639</v>
      </c>
      <c r="K1044" s="83" t="s">
        <v>315</v>
      </c>
      <c r="L1044" s="83" t="s">
        <v>151</v>
      </c>
      <c r="M1044" s="83" t="s">
        <v>152</v>
      </c>
      <c r="N1044" s="98" t="s">
        <v>5640</v>
      </c>
      <c r="O1044" s="98" t="s">
        <v>155</v>
      </c>
      <c r="P1044" s="99" t="str">
        <f>IFERROR(__xludf.DUMMYFUNCTION("IFERROR(VLOOKUP(AS1044,IMPORTRANGE(""https://docs.google.com/spreadsheets/d/1juPI-Fb8LD0YtltB2mlGEnp_R3UVu1t3wSFPzgCyHXE/edit?gid=0#gid=0"",""GERAL!A2:C""),3,0),""-"")"),"CAMPO")</f>
        <v>CAMPO</v>
      </c>
      <c r="Q1044" s="83"/>
      <c r="R1044" s="83"/>
      <c r="S1044" s="83"/>
      <c r="T1044" s="83"/>
      <c r="U1044" s="83"/>
      <c r="V1044" s="83"/>
      <c r="W1044" s="83"/>
      <c r="X1044" s="83"/>
      <c r="Y1044" s="83"/>
      <c r="Z1044" s="83"/>
      <c r="AA1044" s="83"/>
      <c r="AB1044" s="83"/>
      <c r="AC1044" s="83"/>
      <c r="AD1044" s="83"/>
      <c r="AE1044" s="83"/>
      <c r="AF1044" s="83"/>
      <c r="AG1044" s="83"/>
      <c r="AH1044" s="83"/>
      <c r="AI1044" s="83"/>
      <c r="AJ1044" s="83"/>
      <c r="AK1044" s="83"/>
      <c r="AL1044" s="83"/>
      <c r="AM1044" s="83"/>
      <c r="AN1044" s="83"/>
      <c r="AO1044" s="83"/>
      <c r="AP1044" s="83"/>
      <c r="AQ1044" s="83"/>
      <c r="AR1044" s="83"/>
      <c r="AS1044" s="83">
        <v>1179315.0</v>
      </c>
    </row>
    <row r="1045" ht="15.75" customHeight="1">
      <c r="A1045" s="111" t="s">
        <v>1281</v>
      </c>
      <c r="B1045" s="83" t="s">
        <v>5636</v>
      </c>
      <c r="C1045" s="83" t="s">
        <v>68</v>
      </c>
      <c r="D1045" s="112">
        <v>1143494.0</v>
      </c>
      <c r="E1045" s="83"/>
      <c r="F1045" s="83">
        <v>2.9129435E7</v>
      </c>
      <c r="G1045" s="91" t="str">
        <f>IFERROR(__xludf.DUMMYFUNCTION("XLOOKUP(AS1045,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UIRASSÚ DE ASSIS BATISTA
(ANTIGO CE ANTÔNIO CARLOS MAGALHÃES)")</f>
        <v>COLÉGIO ESTADUAL DE TEMPO INTEGRAL UIRASSÚ DE ASSIS BATISTA
(ANTIGO CE ANTÔNIO CARLOS MAGALHÃES)</v>
      </c>
      <c r="H1045" s="184" t="s">
        <v>5642</v>
      </c>
      <c r="I1045" s="91" t="s">
        <v>1656</v>
      </c>
      <c r="J1045" s="83" t="s">
        <v>149</v>
      </c>
      <c r="K1045" s="83" t="s">
        <v>150</v>
      </c>
      <c r="L1045" s="83" t="s">
        <v>151</v>
      </c>
      <c r="M1045" s="83" t="s">
        <v>76</v>
      </c>
      <c r="N1045" s="98" t="s">
        <v>5644</v>
      </c>
      <c r="O1045" s="98" t="s">
        <v>155</v>
      </c>
      <c r="P1045" s="99" t="str">
        <f>IFERROR(__xludf.DUMMYFUNCTION("IFERROR(VLOOKUP(AS1045,IMPORTRANGE(""https://docs.google.com/spreadsheets/d/1juPI-Fb8LD0YtltB2mlGEnp_R3UVu1t3wSFPzgCyHXE/edit?gid=0#gid=0"",""GERAL!A2:C""),3,0),""-"")"),"-")</f>
        <v>-</v>
      </c>
      <c r="Q1045" s="83"/>
      <c r="R1045" s="83"/>
      <c r="S1045" s="83"/>
      <c r="T1045" s="83"/>
      <c r="U1045" s="83"/>
      <c r="V1045" s="83"/>
      <c r="W1045" s="83"/>
      <c r="X1045" s="83"/>
      <c r="Y1045" s="83"/>
      <c r="Z1045" s="83"/>
      <c r="AA1045" s="83"/>
      <c r="AB1045" s="83"/>
      <c r="AC1045" s="83"/>
      <c r="AD1045" s="83"/>
      <c r="AE1045" s="83"/>
      <c r="AF1045" s="83"/>
      <c r="AG1045" s="83"/>
      <c r="AH1045" s="83"/>
      <c r="AI1045" s="83"/>
      <c r="AJ1045" s="83"/>
      <c r="AK1045" s="83"/>
      <c r="AL1045" s="83"/>
      <c r="AM1045" s="83"/>
      <c r="AN1045" s="83"/>
      <c r="AO1045" s="83"/>
      <c r="AP1045" s="83"/>
      <c r="AQ1045" s="83"/>
      <c r="AR1045" s="83"/>
      <c r="AS1045" s="83">
        <v>1143494.0</v>
      </c>
    </row>
    <row r="1046" ht="15.75" customHeight="1">
      <c r="A1046" s="111" t="s">
        <v>1281</v>
      </c>
      <c r="B1046" s="83" t="s">
        <v>5651</v>
      </c>
      <c r="C1046" s="83" t="s">
        <v>68</v>
      </c>
      <c r="D1046" s="112">
        <v>1108141.0</v>
      </c>
      <c r="E1046" s="83"/>
      <c r="F1046" s="83">
        <v>2.9157536E7</v>
      </c>
      <c r="G1046" s="91" t="str">
        <f>IFERROR(__xludf.DUMMYFUNCTION("XLOOKUP(AS1046,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ELISABETH CALAZANS ALVES DOS SANTOS
(ANTIGO: COLÉGIO ESTADUAL DOUTOR LUIS VIANA FILHO)")</f>
        <v>COLÉGIO ESTADUAL DE TEMPO  INTEGRAL PROFESSORA ELISABETH CALAZANS ALVES DOS SANTOS
(ANTIGO: COLÉGIO ESTADUAL DOUTOR LUIS VIANA FILHO)</v>
      </c>
      <c r="H1046" s="184" t="s">
        <v>5652</v>
      </c>
      <c r="I1046" s="91" t="s">
        <v>5653</v>
      </c>
      <c r="J1046" s="83" t="s">
        <v>149</v>
      </c>
      <c r="K1046" s="83" t="s">
        <v>150</v>
      </c>
      <c r="L1046" s="83" t="s">
        <v>151</v>
      </c>
      <c r="M1046" s="83" t="s">
        <v>76</v>
      </c>
      <c r="N1046" s="98" t="s">
        <v>5654</v>
      </c>
      <c r="O1046" s="98" t="s">
        <v>155</v>
      </c>
      <c r="P1046" s="99" t="str">
        <f>IFERROR(__xludf.DUMMYFUNCTION("IFERROR(VLOOKUP(AS1046,IMPORTRANGE(""https://docs.google.com/spreadsheets/d/1juPI-Fb8LD0YtltB2mlGEnp_R3UVu1t3wSFPzgCyHXE/edit?gid=0#gid=0"",""GERAL!A2:C""),3,0),""-"")"),"-")</f>
        <v>-</v>
      </c>
      <c r="Q1046" s="101" t="s">
        <v>156</v>
      </c>
      <c r="R1046" s="98">
        <v>8.0</v>
      </c>
      <c r="S1046" s="98">
        <v>1.0</v>
      </c>
      <c r="T1046" s="98">
        <v>2.0</v>
      </c>
      <c r="U1046" s="98">
        <v>0.0</v>
      </c>
      <c r="V1046" s="98">
        <v>0.0</v>
      </c>
      <c r="W1046" s="98">
        <v>2.0</v>
      </c>
      <c r="X1046" s="98">
        <v>1.0</v>
      </c>
      <c r="Y1046" s="98">
        <v>0.0</v>
      </c>
      <c r="Z1046" s="98">
        <v>1.0</v>
      </c>
      <c r="AA1046" s="98">
        <v>0.0</v>
      </c>
      <c r="AB1046" s="98">
        <v>1.0</v>
      </c>
      <c r="AC1046" s="98">
        <v>0.0</v>
      </c>
      <c r="AD1046" s="98">
        <v>0.0</v>
      </c>
      <c r="AE1046" s="98">
        <v>0.0</v>
      </c>
      <c r="AF1046" s="98">
        <v>1.0</v>
      </c>
      <c r="AG1046" s="98">
        <v>0.0</v>
      </c>
      <c r="AH1046" s="98">
        <v>0.0</v>
      </c>
      <c r="AI1046" s="98">
        <v>0.0</v>
      </c>
      <c r="AJ1046" s="98">
        <v>0.0</v>
      </c>
      <c r="AK1046" s="98">
        <v>1.0</v>
      </c>
      <c r="AL1046" s="98">
        <v>0.0</v>
      </c>
      <c r="AM1046" s="98">
        <v>0.0</v>
      </c>
      <c r="AN1046" s="98">
        <v>0.0</v>
      </c>
      <c r="AO1046" s="98">
        <v>0.0</v>
      </c>
      <c r="AP1046" s="98">
        <v>0.0</v>
      </c>
      <c r="AQ1046" s="98" t="s">
        <v>5655</v>
      </c>
      <c r="AR1046" s="102">
        <v>46230.0</v>
      </c>
      <c r="AS1046" s="83">
        <v>1108141.0</v>
      </c>
    </row>
    <row r="1047" ht="15.75" customHeight="1">
      <c r="A1047" s="111" t="s">
        <v>1281</v>
      </c>
      <c r="B1047" s="83" t="s">
        <v>5651</v>
      </c>
      <c r="C1047" s="83" t="s">
        <v>164</v>
      </c>
      <c r="D1047" s="98">
        <v>1179754.0</v>
      </c>
      <c r="E1047" s="83">
        <v>1179384.0</v>
      </c>
      <c r="F1047" s="83"/>
      <c r="G1047" s="91" t="str">
        <f>IFERROR(__xludf.DUMMYFUNCTION("XLOOKUP(AS1047,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POVOADO DE MONTE BELO")</f>
        <v>ANEXO - CEMIT LITORAL NORTE E AGRESTE BAIANO - POVOADO DE MONTE BELO</v>
      </c>
      <c r="H1047" s="184" t="s">
        <v>5657</v>
      </c>
      <c r="I1047" s="91" t="s">
        <v>5653</v>
      </c>
      <c r="J1047" s="83" t="s">
        <v>149</v>
      </c>
      <c r="K1047" s="83" t="s">
        <v>3645</v>
      </c>
      <c r="L1047" s="83" t="s">
        <v>168</v>
      </c>
      <c r="M1047" s="83" t="s">
        <v>169</v>
      </c>
      <c r="N1047" s="115" t="s">
        <v>170</v>
      </c>
      <c r="O1047" s="98" t="s">
        <v>155</v>
      </c>
      <c r="P1047" s="99" t="str">
        <f>IFERROR(__xludf.DUMMYFUNCTION("IFERROR(VLOOKUP(AS1047,IMPORTRANGE(""https://docs.google.com/spreadsheets/d/1juPI-Fb8LD0YtltB2mlGEnp_R3UVu1t3wSFPzgCyHXE/edit?gid=0#gid=0"",""GERAL!A2:C""),3,0),""-"")"),"CAMPO")</f>
        <v>CAMPO</v>
      </c>
      <c r="Q1047" s="98" t="s">
        <v>171</v>
      </c>
      <c r="R1047" s="98">
        <v>2.0</v>
      </c>
      <c r="S1047" s="98" t="s">
        <v>171</v>
      </c>
      <c r="T1047" s="98" t="s">
        <v>171</v>
      </c>
      <c r="U1047" s="98" t="s">
        <v>171</v>
      </c>
      <c r="V1047" s="98" t="s">
        <v>171</v>
      </c>
      <c r="W1047" s="98" t="s">
        <v>171</v>
      </c>
      <c r="X1047" s="98" t="s">
        <v>171</v>
      </c>
      <c r="Y1047" s="98" t="s">
        <v>171</v>
      </c>
      <c r="Z1047" s="98" t="s">
        <v>171</v>
      </c>
      <c r="AA1047" s="98" t="s">
        <v>171</v>
      </c>
      <c r="AB1047" s="98" t="s">
        <v>171</v>
      </c>
      <c r="AC1047" s="98" t="s">
        <v>171</v>
      </c>
      <c r="AD1047" s="98" t="s">
        <v>171</v>
      </c>
      <c r="AE1047" s="98" t="s">
        <v>171</v>
      </c>
      <c r="AF1047" s="98" t="s">
        <v>171</v>
      </c>
      <c r="AG1047" s="98" t="s">
        <v>171</v>
      </c>
      <c r="AH1047" s="98" t="s">
        <v>171</v>
      </c>
      <c r="AI1047" s="98" t="s">
        <v>171</v>
      </c>
      <c r="AJ1047" s="98" t="s">
        <v>171</v>
      </c>
      <c r="AK1047" s="98" t="s">
        <v>171</v>
      </c>
      <c r="AL1047" s="98" t="s">
        <v>171</v>
      </c>
      <c r="AM1047" s="98" t="s">
        <v>171</v>
      </c>
      <c r="AN1047" s="98" t="s">
        <v>171</v>
      </c>
      <c r="AO1047" s="98" t="s">
        <v>171</v>
      </c>
      <c r="AP1047" s="98" t="s">
        <v>171</v>
      </c>
      <c r="AQ1047" s="98" t="s">
        <v>171</v>
      </c>
      <c r="AR1047" s="102">
        <v>46230.0</v>
      </c>
      <c r="AS1047" s="83">
        <v>1179384.0</v>
      </c>
    </row>
    <row r="1048" ht="15.75" customHeight="1">
      <c r="A1048" s="111" t="s">
        <v>1281</v>
      </c>
      <c r="B1048" s="83" t="s">
        <v>5651</v>
      </c>
      <c r="C1048" s="83" t="s">
        <v>164</v>
      </c>
      <c r="D1048" s="98">
        <v>1179754.0</v>
      </c>
      <c r="E1048" s="83">
        <v>1178475.0</v>
      </c>
      <c r="F1048" s="83"/>
      <c r="G1048" s="91" t="str">
        <f>IFERROR(__xludf.DUMMYFUNCTION("XLOOKUP(AS1048,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COQUEIRO")</f>
        <v>ANEXO - CEMIT LITORAL NORTE E AGRESTE BAIANO - DISTRITO COQUEIRO</v>
      </c>
      <c r="H1048" s="184" t="s">
        <v>5665</v>
      </c>
      <c r="I1048" s="91" t="s">
        <v>5666</v>
      </c>
      <c r="J1048" s="172" t="s">
        <v>5667</v>
      </c>
      <c r="K1048" s="83" t="s">
        <v>1946</v>
      </c>
      <c r="L1048" s="83" t="s">
        <v>151</v>
      </c>
      <c r="M1048" s="83" t="s">
        <v>169</v>
      </c>
      <c r="N1048" s="115" t="s">
        <v>170</v>
      </c>
      <c r="O1048" s="98" t="s">
        <v>155</v>
      </c>
      <c r="P1048" s="99" t="str">
        <f>IFERROR(__xludf.DUMMYFUNCTION("IFERROR(VLOOKUP(AS1048,IMPORTRANGE(""https://docs.google.com/spreadsheets/d/1juPI-Fb8LD0YtltB2mlGEnp_R3UVu1t3wSFPzgCyHXE/edit?gid=0#gid=0"",""GERAL!A2:C""),3,0),""-"")"),"CAMPO")</f>
        <v>CAMPO</v>
      </c>
      <c r="Q1048" s="98" t="s">
        <v>171</v>
      </c>
      <c r="R1048" s="98">
        <v>3.0</v>
      </c>
      <c r="S1048" s="98" t="s">
        <v>171</v>
      </c>
      <c r="T1048" s="98" t="s">
        <v>171</v>
      </c>
      <c r="U1048" s="98" t="s">
        <v>171</v>
      </c>
      <c r="V1048" s="98" t="s">
        <v>171</v>
      </c>
      <c r="W1048" s="98" t="s">
        <v>171</v>
      </c>
      <c r="X1048" s="98" t="s">
        <v>171</v>
      </c>
      <c r="Y1048" s="98" t="s">
        <v>171</v>
      </c>
      <c r="Z1048" s="98" t="s">
        <v>171</v>
      </c>
      <c r="AA1048" s="98" t="s">
        <v>171</v>
      </c>
      <c r="AB1048" s="98" t="s">
        <v>171</v>
      </c>
      <c r="AC1048" s="98" t="s">
        <v>171</v>
      </c>
      <c r="AD1048" s="98" t="s">
        <v>171</v>
      </c>
      <c r="AE1048" s="98" t="s">
        <v>171</v>
      </c>
      <c r="AF1048" s="98" t="s">
        <v>171</v>
      </c>
      <c r="AG1048" s="98" t="s">
        <v>171</v>
      </c>
      <c r="AH1048" s="98" t="s">
        <v>171</v>
      </c>
      <c r="AI1048" s="98" t="s">
        <v>171</v>
      </c>
      <c r="AJ1048" s="98" t="s">
        <v>171</v>
      </c>
      <c r="AK1048" s="98" t="s">
        <v>171</v>
      </c>
      <c r="AL1048" s="98" t="s">
        <v>171</v>
      </c>
      <c r="AM1048" s="98" t="s">
        <v>171</v>
      </c>
      <c r="AN1048" s="98" t="s">
        <v>171</v>
      </c>
      <c r="AO1048" s="98" t="s">
        <v>171</v>
      </c>
      <c r="AP1048" s="98" t="s">
        <v>171</v>
      </c>
      <c r="AQ1048" s="98" t="s">
        <v>171</v>
      </c>
      <c r="AR1048" s="102">
        <v>46230.0</v>
      </c>
      <c r="AS1048" s="83">
        <v>1178475.0</v>
      </c>
    </row>
    <row r="1049" ht="15.75" customHeight="1">
      <c r="A1049" s="111" t="s">
        <v>1281</v>
      </c>
      <c r="B1049" s="83" t="s">
        <v>5651</v>
      </c>
      <c r="C1049" s="83" t="s">
        <v>164</v>
      </c>
      <c r="D1049" s="98">
        <v>1179754.0</v>
      </c>
      <c r="E1049" s="83">
        <v>1178474.0</v>
      </c>
      <c r="F1049" s="83"/>
      <c r="G1049" s="91" t="str">
        <f>IFERROR(__xludf.DUMMYFUNCTION("XLOOKUP(AS1049,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DISTRITO ABADIA")</f>
        <v>ANEXO - CEMIT LITORAL NORTE E AGRESTE BAIANO - DISTRITO ABADIA</v>
      </c>
      <c r="H1049" s="184" t="s">
        <v>5668</v>
      </c>
      <c r="I1049" s="91" t="s">
        <v>5669</v>
      </c>
      <c r="J1049" s="83" t="s">
        <v>5670</v>
      </c>
      <c r="K1049" s="83" t="s">
        <v>305</v>
      </c>
      <c r="L1049" s="83" t="s">
        <v>168</v>
      </c>
      <c r="M1049" s="83" t="s">
        <v>169</v>
      </c>
      <c r="N1049" s="115" t="s">
        <v>170</v>
      </c>
      <c r="O1049" s="98" t="s">
        <v>155</v>
      </c>
      <c r="P1049" s="99" t="str">
        <f>IFERROR(__xludf.DUMMYFUNCTION("IFERROR(VLOOKUP(AS1049,IMPORTRANGE(""https://docs.google.com/spreadsheets/d/1juPI-Fb8LD0YtltB2mlGEnp_R3UVu1t3wSFPzgCyHXE/edit?gid=0#gid=0"",""GERAL!A2:C""),3,0),""-"")"),"CAMPO")</f>
        <v>CAMPO</v>
      </c>
      <c r="Q1049" s="98" t="s">
        <v>171</v>
      </c>
      <c r="R1049" s="98">
        <v>3.0</v>
      </c>
      <c r="S1049" s="98" t="s">
        <v>171</v>
      </c>
      <c r="T1049" s="98" t="s">
        <v>171</v>
      </c>
      <c r="U1049" s="98" t="s">
        <v>171</v>
      </c>
      <c r="V1049" s="98" t="s">
        <v>171</v>
      </c>
      <c r="W1049" s="98" t="s">
        <v>171</v>
      </c>
      <c r="X1049" s="98" t="s">
        <v>171</v>
      </c>
      <c r="Y1049" s="98" t="s">
        <v>171</v>
      </c>
      <c r="Z1049" s="98" t="s">
        <v>171</v>
      </c>
      <c r="AA1049" s="98" t="s">
        <v>171</v>
      </c>
      <c r="AB1049" s="98" t="s">
        <v>171</v>
      </c>
      <c r="AC1049" s="98" t="s">
        <v>171</v>
      </c>
      <c r="AD1049" s="98" t="s">
        <v>171</v>
      </c>
      <c r="AE1049" s="98" t="s">
        <v>171</v>
      </c>
      <c r="AF1049" s="98" t="s">
        <v>171</v>
      </c>
      <c r="AG1049" s="98" t="s">
        <v>171</v>
      </c>
      <c r="AH1049" s="98" t="s">
        <v>171</v>
      </c>
      <c r="AI1049" s="98" t="s">
        <v>171</v>
      </c>
      <c r="AJ1049" s="98" t="s">
        <v>171</v>
      </c>
      <c r="AK1049" s="98" t="s">
        <v>171</v>
      </c>
      <c r="AL1049" s="98" t="s">
        <v>171</v>
      </c>
      <c r="AM1049" s="98" t="s">
        <v>171</v>
      </c>
      <c r="AN1049" s="98" t="s">
        <v>171</v>
      </c>
      <c r="AO1049" s="98" t="s">
        <v>171</v>
      </c>
      <c r="AP1049" s="98" t="s">
        <v>171</v>
      </c>
      <c r="AQ1049" s="98" t="s">
        <v>171</v>
      </c>
      <c r="AR1049" s="102">
        <v>46230.0</v>
      </c>
      <c r="AS1049" s="83">
        <v>1178474.0</v>
      </c>
    </row>
    <row r="1050" ht="15.75" customHeight="1">
      <c r="A1050" s="111" t="s">
        <v>1281</v>
      </c>
      <c r="B1050" s="83" t="s">
        <v>5651</v>
      </c>
      <c r="C1050" s="83" t="s">
        <v>164</v>
      </c>
      <c r="D1050" s="98">
        <v>1179754.0</v>
      </c>
      <c r="E1050" s="83">
        <v>1179049.0</v>
      </c>
      <c r="F1050" s="83"/>
      <c r="G1050" s="91" t="str">
        <f>IFERROR(__xludf.DUMMYFUNCTION("XLOOKUP(AS1050,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LITORAL NORTE E AGRESTE BAIANO - CACHOEIRA DO ITANHY")</f>
        <v>ANEXO - CEMIT LITORAL NORTE E AGRESTE BAIANO - CACHOEIRA DO ITANHY</v>
      </c>
      <c r="H1050" s="184" t="s">
        <v>5677</v>
      </c>
      <c r="I1050" s="91" t="s">
        <v>5678</v>
      </c>
      <c r="J1050" s="83" t="s">
        <v>149</v>
      </c>
      <c r="K1050" s="83" t="s">
        <v>467</v>
      </c>
      <c r="L1050" s="83" t="s">
        <v>151</v>
      </c>
      <c r="M1050" s="83" t="s">
        <v>169</v>
      </c>
      <c r="N1050" s="115" t="s">
        <v>170</v>
      </c>
      <c r="O1050" s="98" t="s">
        <v>155</v>
      </c>
      <c r="P1050" s="99" t="str">
        <f>IFERROR(__xludf.DUMMYFUNCTION("IFERROR(VLOOKUP(AS1050,IMPORTRANGE(""https://docs.google.com/spreadsheets/d/1juPI-Fb8LD0YtltB2mlGEnp_R3UVu1t3wSFPzgCyHXE/edit?gid=0#gid=0"",""GERAL!A2:C""),3,0),""-"")"),"CAMPO")</f>
        <v>CAMPO</v>
      </c>
      <c r="Q1050" s="98" t="s">
        <v>171</v>
      </c>
      <c r="R1050" s="98">
        <v>3.0</v>
      </c>
      <c r="S1050" s="98" t="s">
        <v>171</v>
      </c>
      <c r="T1050" s="98" t="s">
        <v>171</v>
      </c>
      <c r="U1050" s="98" t="s">
        <v>171</v>
      </c>
      <c r="V1050" s="98" t="s">
        <v>171</v>
      </c>
      <c r="W1050" s="98" t="s">
        <v>171</v>
      </c>
      <c r="X1050" s="98" t="s">
        <v>171</v>
      </c>
      <c r="Y1050" s="98" t="s">
        <v>171</v>
      </c>
      <c r="Z1050" s="98" t="s">
        <v>171</v>
      </c>
      <c r="AA1050" s="98" t="s">
        <v>171</v>
      </c>
      <c r="AB1050" s="98" t="s">
        <v>171</v>
      </c>
      <c r="AC1050" s="98" t="s">
        <v>171</v>
      </c>
      <c r="AD1050" s="98" t="s">
        <v>171</v>
      </c>
      <c r="AE1050" s="98" t="s">
        <v>171</v>
      </c>
      <c r="AF1050" s="98" t="s">
        <v>171</v>
      </c>
      <c r="AG1050" s="98" t="s">
        <v>171</v>
      </c>
      <c r="AH1050" s="98" t="s">
        <v>171</v>
      </c>
      <c r="AI1050" s="98" t="s">
        <v>171</v>
      </c>
      <c r="AJ1050" s="98" t="s">
        <v>171</v>
      </c>
      <c r="AK1050" s="98" t="s">
        <v>171</v>
      </c>
      <c r="AL1050" s="98" t="s">
        <v>171</v>
      </c>
      <c r="AM1050" s="98" t="s">
        <v>171</v>
      </c>
      <c r="AN1050" s="98" t="s">
        <v>171</v>
      </c>
      <c r="AO1050" s="98" t="s">
        <v>171</v>
      </c>
      <c r="AP1050" s="98" t="s">
        <v>171</v>
      </c>
      <c r="AQ1050" s="98" t="s">
        <v>171</v>
      </c>
      <c r="AR1050" s="102">
        <v>46230.0</v>
      </c>
      <c r="AS1050" s="83">
        <v>1179049.0</v>
      </c>
    </row>
    <row r="1051" ht="15.75" customHeight="1">
      <c r="A1051" s="111" t="s">
        <v>1281</v>
      </c>
      <c r="B1051" s="83" t="s">
        <v>2287</v>
      </c>
      <c r="C1051" s="83" t="s">
        <v>68</v>
      </c>
      <c r="D1051" s="112">
        <v>1115229.0</v>
      </c>
      <c r="E1051" s="83"/>
      <c r="F1051" s="83">
        <v>2.9131553E7</v>
      </c>
      <c r="G1051" s="91" t="str">
        <f>IFERROR(__xludf.DUMMYFUNCTION("XLOOKUP(AS1051,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NINALVA MARIA PARAIZO SILVA")</f>
        <v>COLÉGIO ESTADUAL DE TEMPO INTEGRAL PROFESSORA NINALVA MARIA PARAIZO SILVA</v>
      </c>
      <c r="H1051" s="119" t="s">
        <v>5679</v>
      </c>
      <c r="I1051" s="91" t="s">
        <v>5680</v>
      </c>
      <c r="J1051" s="83" t="s">
        <v>149</v>
      </c>
      <c r="K1051" s="83" t="s">
        <v>150</v>
      </c>
      <c r="L1051" s="83" t="s">
        <v>151</v>
      </c>
      <c r="M1051" s="83" t="s">
        <v>230</v>
      </c>
      <c r="N1051" s="98" t="s">
        <v>5681</v>
      </c>
      <c r="O1051" s="98" t="s">
        <v>5682</v>
      </c>
      <c r="P1051" s="99" t="str">
        <f>IFERROR(__xludf.DUMMYFUNCTION("IFERROR(VLOOKUP(AS1051,IMPORTRANGE(""https://docs.google.com/spreadsheets/d/1juPI-Fb8LD0YtltB2mlGEnp_R3UVu1t3wSFPzgCyHXE/edit?gid=0#gid=0"",""GERAL!A2:C""),3,0),""-"")"),"CAMPO")</f>
        <v>CAMPO</v>
      </c>
      <c r="Q1051" s="98" t="s">
        <v>171</v>
      </c>
      <c r="R1051" s="98">
        <v>17.0</v>
      </c>
      <c r="S1051" s="98">
        <v>1.0</v>
      </c>
      <c r="T1051" s="98">
        <v>1.0</v>
      </c>
      <c r="U1051" s="98">
        <v>0.0</v>
      </c>
      <c r="V1051" s="98">
        <v>1.0</v>
      </c>
      <c r="W1051" s="98">
        <v>5.0</v>
      </c>
      <c r="X1051" s="98">
        <v>1.0</v>
      </c>
      <c r="Y1051" s="98">
        <v>0.0</v>
      </c>
      <c r="Z1051" s="98">
        <v>1.0</v>
      </c>
      <c r="AA1051" s="98">
        <v>0.0</v>
      </c>
      <c r="AB1051" s="98">
        <v>1.0</v>
      </c>
      <c r="AC1051" s="98">
        <v>0.0</v>
      </c>
      <c r="AD1051" s="98">
        <v>0.0</v>
      </c>
      <c r="AE1051" s="98">
        <v>0.0</v>
      </c>
      <c r="AF1051" s="98">
        <v>1.0</v>
      </c>
      <c r="AG1051" s="98">
        <v>0.0</v>
      </c>
      <c r="AH1051" s="98">
        <v>0.0</v>
      </c>
      <c r="AI1051" s="98">
        <v>0.0</v>
      </c>
      <c r="AJ1051" s="98">
        <v>0.0</v>
      </c>
      <c r="AK1051" s="98">
        <v>1.0</v>
      </c>
      <c r="AL1051" s="98">
        <v>0.0</v>
      </c>
      <c r="AM1051" s="98">
        <v>0.0</v>
      </c>
      <c r="AN1051" s="98">
        <v>0.0</v>
      </c>
      <c r="AO1051" s="98">
        <v>0.0</v>
      </c>
      <c r="AP1051" s="98">
        <v>2.0</v>
      </c>
      <c r="AQ1051" s="98" t="s">
        <v>5683</v>
      </c>
      <c r="AR1051" s="102">
        <v>46246.0</v>
      </c>
      <c r="AS1051" s="83">
        <v>1115229.0</v>
      </c>
    </row>
    <row r="1052" ht="15.75" customHeight="1">
      <c r="A1052" s="111" t="s">
        <v>1281</v>
      </c>
      <c r="B1052" s="83" t="s">
        <v>2287</v>
      </c>
      <c r="C1052" s="83" t="s">
        <v>68</v>
      </c>
      <c r="D1052" s="112">
        <v>1178259.0</v>
      </c>
      <c r="E1052" s="83"/>
      <c r="F1052" s="83">
        <v>2.9848873E7</v>
      </c>
      <c r="G1052" s="91" t="str">
        <f>IFERROR(__xludf.DUMMYFUNCTION("XLOOKUP(AS1052,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ACELINA DANTAS DA SILVA - DISTRITO DONA MARIA - EM TEMPO INTEGRAL")</f>
        <v>COLÉGIO ESTADUAL ACELINA DANTAS DA SILVA - DISTRITO DONA MARIA - EM TEMPO INTEGRAL</v>
      </c>
      <c r="H1052" s="119" t="s">
        <v>5684</v>
      </c>
      <c r="I1052" s="91" t="s">
        <v>5685</v>
      </c>
      <c r="J1052" s="83" t="s">
        <v>149</v>
      </c>
      <c r="K1052" s="83" t="s">
        <v>1347</v>
      </c>
      <c r="L1052" s="83" t="s">
        <v>151</v>
      </c>
      <c r="M1052" s="83" t="s">
        <v>169</v>
      </c>
      <c r="N1052" s="98" t="s">
        <v>5686</v>
      </c>
      <c r="O1052" s="98" t="s">
        <v>155</v>
      </c>
      <c r="P1052" s="99" t="str">
        <f>IFERROR(__xludf.DUMMYFUNCTION("IFERROR(VLOOKUP(AS1052,IMPORTRANGE(""https://docs.google.com/spreadsheets/d/1juPI-Fb8LD0YtltB2mlGEnp_R3UVu1t3wSFPzgCyHXE/edit?gid=0#gid=0"",""GERAL!A2:C""),3,0),""-"")"),"CAMPO")</f>
        <v>CAMPO</v>
      </c>
      <c r="Q1052" s="101" t="s">
        <v>156</v>
      </c>
      <c r="R1052" s="98">
        <v>8.0</v>
      </c>
      <c r="S1052" s="98">
        <v>1.0</v>
      </c>
      <c r="T1052" s="98">
        <v>0.0</v>
      </c>
      <c r="U1052" s="98">
        <v>0.0</v>
      </c>
      <c r="V1052" s="98">
        <v>1.0</v>
      </c>
      <c r="W1052" s="98">
        <v>1.0</v>
      </c>
      <c r="X1052" s="98">
        <v>0.0</v>
      </c>
      <c r="Y1052" s="98">
        <v>1.0</v>
      </c>
      <c r="Z1052" s="98">
        <v>0.0</v>
      </c>
      <c r="AA1052" s="98">
        <v>0.0</v>
      </c>
      <c r="AB1052" s="98">
        <v>0.0</v>
      </c>
      <c r="AC1052" s="98">
        <v>0.0</v>
      </c>
      <c r="AD1052" s="98">
        <v>0.0</v>
      </c>
      <c r="AE1052" s="98">
        <v>0.0</v>
      </c>
      <c r="AF1052" s="98">
        <v>1.0</v>
      </c>
      <c r="AG1052" s="98">
        <v>0.0</v>
      </c>
      <c r="AH1052" s="98">
        <v>0.0</v>
      </c>
      <c r="AI1052" s="98">
        <v>0.0</v>
      </c>
      <c r="AJ1052" s="98">
        <v>0.0</v>
      </c>
      <c r="AK1052" s="98">
        <v>0.0</v>
      </c>
      <c r="AL1052" s="98">
        <v>0.0</v>
      </c>
      <c r="AM1052" s="98">
        <v>0.0</v>
      </c>
      <c r="AN1052" s="98">
        <v>0.0</v>
      </c>
      <c r="AO1052" s="98">
        <v>0.0</v>
      </c>
      <c r="AP1052" s="98">
        <v>1.0</v>
      </c>
      <c r="AQ1052" s="98" t="s">
        <v>5687</v>
      </c>
      <c r="AR1052" s="102">
        <v>46246.0</v>
      </c>
      <c r="AS1052" s="83">
        <v>1178259.0</v>
      </c>
    </row>
    <row r="1053" ht="15.75" customHeight="1">
      <c r="A1053" s="111" t="s">
        <v>1281</v>
      </c>
      <c r="B1053" s="83" t="s">
        <v>5688</v>
      </c>
      <c r="C1053" s="83" t="s">
        <v>68</v>
      </c>
      <c r="D1053" s="112">
        <v>1160186.0</v>
      </c>
      <c r="E1053" s="83"/>
      <c r="F1053" s="83">
        <v>2.9104505E7</v>
      </c>
      <c r="G1053" s="91" t="str">
        <f>IFERROR(__xludf.DUMMYFUNCTION("XLOOKUP(AS1053,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ELIEL MARTINS")</f>
        <v>COLÉGIO ESTADUAL DE TEMPO INTEGRAL ELIEL MARTINS</v>
      </c>
      <c r="H1053" s="119" t="s">
        <v>5689</v>
      </c>
      <c r="I1053" s="91" t="s">
        <v>5690</v>
      </c>
      <c r="J1053" s="83" t="s">
        <v>149</v>
      </c>
      <c r="K1053" s="83" t="s">
        <v>150</v>
      </c>
      <c r="L1053" s="98" t="s">
        <v>230</v>
      </c>
      <c r="M1053" s="83" t="s">
        <v>152</v>
      </c>
      <c r="N1053" s="98" t="s">
        <v>5691</v>
      </c>
      <c r="O1053" s="98" t="s">
        <v>162</v>
      </c>
      <c r="P1053" s="99" t="str">
        <f>IFERROR(__xludf.DUMMYFUNCTION("IFERROR(VLOOKUP(AS1053,IMPORTRANGE(""https://docs.google.com/spreadsheets/d/1juPI-Fb8LD0YtltB2mlGEnp_R3UVu1t3wSFPzgCyHXE/edit?gid=0#gid=0"",""GERAL!A2:C""),3,0),""-"")"),"CAMPO")</f>
        <v>CAMPO</v>
      </c>
      <c r="Q1053" s="83"/>
      <c r="R1053" s="83"/>
      <c r="S1053" s="83"/>
      <c r="T1053" s="83"/>
      <c r="U1053" s="83"/>
      <c r="V1053" s="83"/>
      <c r="W1053" s="83"/>
      <c r="X1053" s="83"/>
      <c r="Y1053" s="83"/>
      <c r="Z1053" s="83"/>
      <c r="AA1053" s="83"/>
      <c r="AB1053" s="83"/>
      <c r="AC1053" s="83"/>
      <c r="AD1053" s="83"/>
      <c r="AE1053" s="83"/>
      <c r="AF1053" s="83"/>
      <c r="AG1053" s="83"/>
      <c r="AH1053" s="83"/>
      <c r="AI1053" s="83"/>
      <c r="AJ1053" s="83"/>
      <c r="AK1053" s="83"/>
      <c r="AL1053" s="83"/>
      <c r="AM1053" s="83"/>
      <c r="AN1053" s="83"/>
      <c r="AO1053" s="83"/>
      <c r="AP1053" s="83"/>
      <c r="AQ1053" s="83"/>
      <c r="AR1053" s="83"/>
      <c r="AS1053" s="83">
        <v>1160186.0</v>
      </c>
    </row>
    <row r="1054" ht="15.75" customHeight="1">
      <c r="A1054" s="111" t="s">
        <v>1281</v>
      </c>
      <c r="B1054" s="83" t="s">
        <v>5693</v>
      </c>
      <c r="C1054" s="83" t="s">
        <v>68</v>
      </c>
      <c r="D1054" s="112">
        <v>1108222.0</v>
      </c>
      <c r="E1054" s="83"/>
      <c r="F1054" s="83">
        <v>2.910458E7</v>
      </c>
      <c r="G1054" s="91" t="str">
        <f>IFERROR(__xludf.DUMMYFUNCTION("XLOOKUP(AS1054,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JOAO BENEVIDES NOGUEIRA - EM TEMPO INTEGRAL")</f>
        <v>COLÉGIO ESTADUAL JOAO BENEVIDES NOGUEIRA - EM TEMPO INTEGRAL</v>
      </c>
      <c r="H1054" s="119" t="s">
        <v>5694</v>
      </c>
      <c r="I1054" s="91" t="s">
        <v>5695</v>
      </c>
      <c r="J1054" s="83" t="s">
        <v>149</v>
      </c>
      <c r="K1054" s="83" t="s">
        <v>150</v>
      </c>
      <c r="L1054" s="83" t="s">
        <v>151</v>
      </c>
      <c r="M1054" s="83" t="s">
        <v>76</v>
      </c>
      <c r="N1054" s="98" t="s">
        <v>5696</v>
      </c>
      <c r="O1054" s="98" t="s">
        <v>155</v>
      </c>
      <c r="P1054" s="99" t="str">
        <f>IFERROR(__xludf.DUMMYFUNCTION("IFERROR(VLOOKUP(AS1054,IMPORTRANGE(""https://docs.google.com/spreadsheets/d/1juPI-Fb8LD0YtltB2mlGEnp_R3UVu1t3wSFPzgCyHXE/edit?gid=0#gid=0"",""GERAL!A2:C""),3,0),""-"")"),"-")</f>
        <v>-</v>
      </c>
      <c r="Q1054" s="101" t="s">
        <v>156</v>
      </c>
      <c r="R1054" s="98">
        <v>5.0</v>
      </c>
      <c r="S1054" s="98">
        <v>0.0</v>
      </c>
      <c r="T1054" s="98">
        <v>0.0</v>
      </c>
      <c r="U1054" s="98">
        <v>0.0</v>
      </c>
      <c r="V1054" s="98">
        <v>0.0</v>
      </c>
      <c r="W1054" s="98">
        <v>0.0</v>
      </c>
      <c r="X1054" s="98">
        <v>0.0</v>
      </c>
      <c r="Y1054" s="98">
        <v>0.0</v>
      </c>
      <c r="Z1054" s="98">
        <v>0.0</v>
      </c>
      <c r="AA1054" s="98">
        <v>0.0</v>
      </c>
      <c r="AB1054" s="98">
        <v>0.0</v>
      </c>
      <c r="AC1054" s="98">
        <v>0.0</v>
      </c>
      <c r="AD1054" s="98">
        <v>0.0</v>
      </c>
      <c r="AE1054" s="98">
        <v>0.0</v>
      </c>
      <c r="AF1054" s="98">
        <v>1.0</v>
      </c>
      <c r="AG1054" s="98">
        <v>0.0</v>
      </c>
      <c r="AH1054" s="98">
        <v>0.0</v>
      </c>
      <c r="AI1054" s="98">
        <v>0.0</v>
      </c>
      <c r="AJ1054" s="98">
        <v>0.0</v>
      </c>
      <c r="AK1054" s="98">
        <v>0.0</v>
      </c>
      <c r="AL1054" s="98">
        <v>0.0</v>
      </c>
      <c r="AM1054" s="98">
        <v>0.0</v>
      </c>
      <c r="AN1054" s="98">
        <v>0.0</v>
      </c>
      <c r="AO1054" s="98">
        <v>0.0</v>
      </c>
      <c r="AP1054" s="98">
        <v>5.0</v>
      </c>
      <c r="AQ1054" s="98" t="s">
        <v>5697</v>
      </c>
      <c r="AR1054" s="102">
        <v>46226.0</v>
      </c>
      <c r="AS1054" s="83">
        <v>1108222.0</v>
      </c>
    </row>
    <row r="1055" ht="15.75" customHeight="1">
      <c r="A1055" s="111" t="s">
        <v>1281</v>
      </c>
      <c r="B1055" s="83" t="s">
        <v>2518</v>
      </c>
      <c r="C1055" s="83" t="s">
        <v>45</v>
      </c>
      <c r="D1055" s="112">
        <v>1178395.0</v>
      </c>
      <c r="E1055" s="83"/>
      <c r="F1055" s="83">
        <v>2.9529026E7</v>
      </c>
      <c r="G1055" s="91" t="str">
        <f>IFERROR(__xludf.DUMMYFUNCTION("XLOOKUP(AS1055,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DO LITORAL NORTE")</f>
        <v>ESCOLA FAMILIA AGRICOLA DO LITORAL NORTE</v>
      </c>
      <c r="H1055" s="114" t="s">
        <v>5698</v>
      </c>
      <c r="I1055" s="91" t="s">
        <v>5699</v>
      </c>
      <c r="J1055" s="83" t="s">
        <v>5700</v>
      </c>
      <c r="K1055" s="115" t="s">
        <v>694</v>
      </c>
      <c r="L1055" s="83" t="s">
        <v>171</v>
      </c>
      <c r="M1055" s="83" t="s">
        <v>169</v>
      </c>
      <c r="N1055" s="98" t="s">
        <v>5701</v>
      </c>
      <c r="O1055" s="98" t="s">
        <v>155</v>
      </c>
      <c r="P1055" s="99" t="str">
        <f>IFERROR(__xludf.DUMMYFUNCTION("IFERROR(VLOOKUP(AS1055,IMPORTRANGE(""https://docs.google.com/spreadsheets/d/1juPI-Fb8LD0YtltB2mlGEnp_R3UVu1t3wSFPzgCyHXE/edit?gid=0#gid=0"",""GERAL!A2:C""),3,0),""-"")"),"EFA")</f>
        <v>EFA</v>
      </c>
      <c r="Q1055" s="83"/>
      <c r="R1055" s="83"/>
      <c r="S1055" s="83"/>
      <c r="T1055" s="83"/>
      <c r="U1055" s="83"/>
      <c r="V1055" s="83"/>
      <c r="W1055" s="83"/>
      <c r="X1055" s="83"/>
      <c r="Y1055" s="83"/>
      <c r="Z1055" s="83"/>
      <c r="AA1055" s="83"/>
      <c r="AB1055" s="83"/>
      <c r="AC1055" s="83"/>
      <c r="AD1055" s="83"/>
      <c r="AE1055" s="83"/>
      <c r="AF1055" s="83"/>
      <c r="AG1055" s="83"/>
      <c r="AH1055" s="83"/>
      <c r="AI1055" s="83"/>
      <c r="AJ1055" s="83"/>
      <c r="AK1055" s="83"/>
      <c r="AL1055" s="83"/>
      <c r="AM1055" s="83"/>
      <c r="AN1055" s="83"/>
      <c r="AO1055" s="83"/>
      <c r="AP1055" s="83"/>
      <c r="AQ1055" s="83"/>
      <c r="AR1055" s="83"/>
      <c r="AS1055" s="83">
        <v>1178395.0</v>
      </c>
    </row>
    <row r="1056" ht="15.75" customHeight="1">
      <c r="A1056" s="111" t="s">
        <v>1281</v>
      </c>
      <c r="B1056" s="83" t="s">
        <v>2518</v>
      </c>
      <c r="C1056" s="83" t="s">
        <v>68</v>
      </c>
      <c r="D1056" s="98">
        <v>1179837.0</v>
      </c>
      <c r="E1056" s="83"/>
      <c r="F1056" s="98">
        <v>2.9154618E7</v>
      </c>
      <c r="G1056" s="91" t="str">
        <f>IFERROR(__xludf.DUMMYFUNCTION("XLOOKUP(AS1056,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DE TEMPO INTEGRAL DE RIO REAL")</f>
        <v>COLEGIO ESTADUAL DE TEMPO INTEGRAL DE RIO REAL</v>
      </c>
      <c r="H1056" s="119" t="s">
        <v>5703</v>
      </c>
      <c r="I1056" s="108" t="s">
        <v>5704</v>
      </c>
      <c r="J1056" s="98" t="s">
        <v>5705</v>
      </c>
      <c r="K1056" s="83" t="s">
        <v>150</v>
      </c>
      <c r="L1056" s="83" t="s">
        <v>151</v>
      </c>
      <c r="M1056" s="98" t="s">
        <v>230</v>
      </c>
      <c r="N1056" s="98" t="s">
        <v>5706</v>
      </c>
      <c r="O1056" s="98"/>
      <c r="P1056" s="99" t="str">
        <f>IFERROR(__xludf.DUMMYFUNCTION("IFERROR(VLOOKUP(AS1056,IMPORTRANGE(""https://docs.google.com/spreadsheets/d/1juPI-Fb8LD0YtltB2mlGEnp_R3UVu1t3wSFPzgCyHXE/edit?gid=0#gid=0"",""GERAL!A2:C""),3,0),""-"")"),"-")</f>
        <v>-</v>
      </c>
      <c r="Q1056" s="98"/>
      <c r="R1056" s="98"/>
      <c r="S1056" s="98"/>
      <c r="T1056" s="98"/>
      <c r="U1056" s="98"/>
      <c r="V1056" s="98"/>
      <c r="W1056" s="98"/>
      <c r="X1056" s="98"/>
      <c r="Y1056" s="98"/>
      <c r="Z1056" s="98"/>
      <c r="AA1056" s="98"/>
      <c r="AB1056" s="98"/>
      <c r="AC1056" s="98"/>
      <c r="AD1056" s="98"/>
      <c r="AE1056" s="98"/>
      <c r="AF1056" s="98"/>
      <c r="AG1056" s="98"/>
      <c r="AH1056" s="98"/>
      <c r="AI1056" s="98"/>
      <c r="AJ1056" s="98"/>
      <c r="AK1056" s="98"/>
      <c r="AL1056" s="98"/>
      <c r="AM1056" s="98"/>
      <c r="AN1056" s="98"/>
      <c r="AO1056" s="98"/>
      <c r="AP1056" s="98"/>
      <c r="AQ1056" s="98"/>
      <c r="AR1056" s="98"/>
      <c r="AS1056" s="98">
        <v>1179837.0</v>
      </c>
    </row>
    <row r="1057" ht="15.75" customHeight="1">
      <c r="A1057" s="111" t="s">
        <v>1281</v>
      </c>
      <c r="B1057" s="83" t="s">
        <v>2524</v>
      </c>
      <c r="C1057" s="83" t="s">
        <v>68</v>
      </c>
      <c r="D1057" s="112">
        <v>1108273.0</v>
      </c>
      <c r="E1057" s="83"/>
      <c r="F1057" s="83">
        <v>2.9154707E7</v>
      </c>
      <c r="G1057" s="91" t="str">
        <f>IFERROR(__xludf.DUMMYFUNCTION("XLOOKUP(AS1057,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EDGARD SANTOS")</f>
        <v>COLÉGIO ESTADUAL DE TEMPO INTEGRAL PROFESSOR EDGARD SANTOS</v>
      </c>
      <c r="H1057" s="119" t="s">
        <v>5707</v>
      </c>
      <c r="I1057" s="91" t="s">
        <v>5708</v>
      </c>
      <c r="J1057" s="83" t="s">
        <v>149</v>
      </c>
      <c r="K1057" s="83" t="s">
        <v>150</v>
      </c>
      <c r="L1057" s="83" t="s">
        <v>151</v>
      </c>
      <c r="M1057" s="83" t="s">
        <v>152</v>
      </c>
      <c r="N1057" s="98" t="s">
        <v>5709</v>
      </c>
      <c r="O1057" s="98" t="s">
        <v>155</v>
      </c>
      <c r="P1057" s="99" t="str">
        <f>IFERROR(__xludf.DUMMYFUNCTION("IFERROR(VLOOKUP(AS1057,IMPORTRANGE(""https://docs.google.com/spreadsheets/d/1juPI-Fb8LD0YtltB2mlGEnp_R3UVu1t3wSFPzgCyHXE/edit?gid=0#gid=0"",""GERAL!A2:C""),3,0),""-"")"),"-")</f>
        <v>-</v>
      </c>
      <c r="Q1057" s="83"/>
      <c r="R1057" s="83"/>
      <c r="S1057" s="83"/>
      <c r="T1057" s="83"/>
      <c r="U1057" s="83"/>
      <c r="V1057" s="83"/>
      <c r="W1057" s="83"/>
      <c r="X1057" s="83"/>
      <c r="Y1057" s="83"/>
      <c r="Z1057" s="83"/>
      <c r="AA1057" s="83"/>
      <c r="AB1057" s="83"/>
      <c r="AC1057" s="83"/>
      <c r="AD1057" s="83"/>
      <c r="AE1057" s="83"/>
      <c r="AF1057" s="83"/>
      <c r="AG1057" s="83"/>
      <c r="AH1057" s="83"/>
      <c r="AI1057" s="83"/>
      <c r="AJ1057" s="83"/>
      <c r="AK1057" s="83"/>
      <c r="AL1057" s="83"/>
      <c r="AM1057" s="83"/>
      <c r="AN1057" s="83"/>
      <c r="AO1057" s="83"/>
      <c r="AP1057" s="83"/>
      <c r="AQ1057" s="83"/>
      <c r="AR1057" s="83"/>
      <c r="AS1057" s="83">
        <v>1108273.0</v>
      </c>
    </row>
    <row r="1058" ht="15.75" customHeight="1">
      <c r="A1058" s="111" t="s">
        <v>1335</v>
      </c>
      <c r="B1058" s="83" t="s">
        <v>5710</v>
      </c>
      <c r="C1058" s="83" t="s">
        <v>68</v>
      </c>
      <c r="D1058" s="112">
        <v>1105320.0</v>
      </c>
      <c r="E1058" s="83"/>
      <c r="F1058" s="83">
        <v>2.9089115E7</v>
      </c>
      <c r="G1058" s="91" t="str">
        <f>IFERROR(__xludf.DUMMYFUNCTION("XLOOKUP(AS1058,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ÁGUA FRIA")</f>
        <v>COLÉGIO ESTADUAL DE ÁGUA FRIA</v>
      </c>
      <c r="H1058" s="114" t="s">
        <v>5711</v>
      </c>
      <c r="I1058" s="91" t="s">
        <v>5712</v>
      </c>
      <c r="J1058" s="136" t="s">
        <v>149</v>
      </c>
      <c r="K1058" s="136" t="s">
        <v>150</v>
      </c>
      <c r="L1058" s="136" t="s">
        <v>151</v>
      </c>
      <c r="M1058" s="83" t="s">
        <v>152</v>
      </c>
      <c r="N1058" s="98" t="s">
        <v>5713</v>
      </c>
      <c r="O1058" s="98" t="s">
        <v>155</v>
      </c>
      <c r="P1058" s="99" t="str">
        <f>IFERROR(__xludf.DUMMYFUNCTION("IFERROR(VLOOKUP(AS1058,IMPORTRANGE(""https://docs.google.com/spreadsheets/d/1juPI-Fb8LD0YtltB2mlGEnp_R3UVu1t3wSFPzgCyHXE/edit?gid=0#gid=0"",""GERAL!A2:C""),3,0),""-"")"),"-")</f>
        <v>-</v>
      </c>
      <c r="Q1058" s="83"/>
      <c r="R1058" s="83"/>
      <c r="S1058" s="83"/>
      <c r="T1058" s="83"/>
      <c r="U1058" s="83"/>
      <c r="V1058" s="83"/>
      <c r="W1058" s="83"/>
      <c r="X1058" s="83"/>
      <c r="Y1058" s="83"/>
      <c r="Z1058" s="83"/>
      <c r="AA1058" s="83"/>
      <c r="AB1058" s="83"/>
      <c r="AC1058" s="83"/>
      <c r="AD1058" s="83"/>
      <c r="AE1058" s="83"/>
      <c r="AF1058" s="83"/>
      <c r="AG1058" s="83"/>
      <c r="AH1058" s="83"/>
      <c r="AI1058" s="83"/>
      <c r="AJ1058" s="83"/>
      <c r="AK1058" s="83"/>
      <c r="AL1058" s="83"/>
      <c r="AM1058" s="83"/>
      <c r="AN1058" s="83"/>
      <c r="AO1058" s="83"/>
      <c r="AP1058" s="83"/>
      <c r="AQ1058" s="83"/>
      <c r="AR1058" s="83"/>
      <c r="AS1058" s="83">
        <v>1105320.0</v>
      </c>
    </row>
    <row r="1059" ht="15.75" customHeight="1">
      <c r="A1059" s="111" t="s">
        <v>1335</v>
      </c>
      <c r="B1059" s="83" t="s">
        <v>5710</v>
      </c>
      <c r="C1059" s="83" t="s">
        <v>164</v>
      </c>
      <c r="D1059" s="112">
        <v>1105320.0</v>
      </c>
      <c r="E1059" s="83">
        <v>1178598.0</v>
      </c>
      <c r="F1059" s="83"/>
      <c r="G1059" s="91" t="str">
        <f>IFERROR(__xludf.DUMMYFUNCTION("XLOOKUP(AS1059,
IMPORTRANGE(""https://docs.google.com/spreadsheets/d/1YM-djuOLXomrZ9W0B4TyIBsVWnXY4EIOFD9HY-qGfv0/edit?usp=sharing"",""GERAL!BG5:BG""),
IMPORTRANGE(""https://docs.google.com/spreadsheets/d/1YM-djuOLXomrZ9W0B4TyIBsVWnXY4EIOFD9HY-qGfv0/edit?"&amp;"usp=sharing"",""GERAL!G5:G""),
""CÓD. SEC NÃO ENCONTRADO NA PLANILHA DE MATRÍCULA"")"),"ANEXO- COLÉGIO ESTADUAL DE ÁGUA FRIA DISTRITO DE PATAIBA")</f>
        <v>ANEXO- COLÉGIO ESTADUAL DE ÁGUA FRIA DISTRITO DE PATAIBA</v>
      </c>
      <c r="H1059" s="114" t="s">
        <v>5714</v>
      </c>
      <c r="I1059" s="91" t="s">
        <v>5715</v>
      </c>
      <c r="J1059" s="83" t="s">
        <v>149</v>
      </c>
      <c r="K1059" s="83" t="s">
        <v>2574</v>
      </c>
      <c r="L1059" s="83" t="s">
        <v>151</v>
      </c>
      <c r="M1059" s="83" t="s">
        <v>169</v>
      </c>
      <c r="N1059" s="115" t="s">
        <v>170</v>
      </c>
      <c r="O1059" s="98" t="s">
        <v>155</v>
      </c>
      <c r="P1059" s="99" t="str">
        <f>IFERROR(__xludf.DUMMYFUNCTION("IFERROR(VLOOKUP(AS1059,IMPORTRANGE(""https://docs.google.com/spreadsheets/d/1juPI-Fb8LD0YtltB2mlGEnp_R3UVu1t3wSFPzgCyHXE/edit?gid=0#gid=0"",""GERAL!A2:C""),3,0),""-"")"),"CAMPO")</f>
        <v>CAMPO</v>
      </c>
      <c r="Q1059" s="83"/>
      <c r="R1059" s="83"/>
      <c r="S1059" s="83"/>
      <c r="T1059" s="83"/>
      <c r="U1059" s="83"/>
      <c r="V1059" s="83"/>
      <c r="W1059" s="83"/>
      <c r="X1059" s="83"/>
      <c r="Y1059" s="83"/>
      <c r="Z1059" s="83"/>
      <c r="AA1059" s="83"/>
      <c r="AB1059" s="83"/>
      <c r="AC1059" s="83"/>
      <c r="AD1059" s="83"/>
      <c r="AE1059" s="83"/>
      <c r="AF1059" s="83"/>
      <c r="AG1059" s="83"/>
      <c r="AH1059" s="83"/>
      <c r="AI1059" s="83"/>
      <c r="AJ1059" s="83"/>
      <c r="AK1059" s="83"/>
      <c r="AL1059" s="83"/>
      <c r="AM1059" s="83"/>
      <c r="AN1059" s="83"/>
      <c r="AO1059" s="83"/>
      <c r="AP1059" s="83"/>
      <c r="AQ1059" s="83"/>
      <c r="AR1059" s="83"/>
      <c r="AS1059" s="83">
        <v>1178598.0</v>
      </c>
    </row>
    <row r="1060" ht="15.75" customHeight="1">
      <c r="A1060" s="111" t="s">
        <v>1335</v>
      </c>
      <c r="B1060" s="83" t="s">
        <v>5717</v>
      </c>
      <c r="C1060" s="83" t="s">
        <v>68</v>
      </c>
      <c r="D1060" s="112">
        <v>1105436.0</v>
      </c>
      <c r="E1060" s="83"/>
      <c r="F1060" s="83">
        <v>2.9157803E7</v>
      </c>
      <c r="G1060" s="91" t="str">
        <f>IFERROR(__xludf.DUMMYFUNCTION("XLOOKUP(AS1060,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AMELIA RODRIGUES 
(ANTIGO C.E MARIA TEOFILA0")</f>
        <v>COLÉGIO ESTADUAL DE TEMPO INTEGRAL AMELIA RODRIGUES 
(ANTIGO C.E MARIA TEOFILA0</v>
      </c>
      <c r="H1060" s="119" t="s">
        <v>5722</v>
      </c>
      <c r="I1060" s="91" t="s">
        <v>5723</v>
      </c>
      <c r="J1060" s="83" t="s">
        <v>149</v>
      </c>
      <c r="K1060" s="83" t="s">
        <v>150</v>
      </c>
      <c r="L1060" s="83" t="s">
        <v>151</v>
      </c>
      <c r="M1060" s="83" t="s">
        <v>230</v>
      </c>
      <c r="N1060" s="98" t="s">
        <v>5726</v>
      </c>
      <c r="O1060" s="98" t="s">
        <v>162</v>
      </c>
      <c r="P1060" s="99" t="str">
        <f>IFERROR(__xludf.DUMMYFUNCTION("IFERROR(VLOOKUP(AS1060,IMPORTRANGE(""https://docs.google.com/spreadsheets/d/1juPI-Fb8LD0YtltB2mlGEnp_R3UVu1t3wSFPzgCyHXE/edit?gid=0#gid=0"",""GERAL!A2:C""),3,0),""-"")"),"-")</f>
        <v>-</v>
      </c>
      <c r="Q1060" s="101" t="s">
        <v>156</v>
      </c>
      <c r="R1060" s="98">
        <v>23.0</v>
      </c>
      <c r="S1060" s="98">
        <v>1.0</v>
      </c>
      <c r="T1060" s="98">
        <v>2.0</v>
      </c>
      <c r="U1060" s="98">
        <v>0.0</v>
      </c>
      <c r="V1060" s="98">
        <v>1.0</v>
      </c>
      <c r="W1060" s="98">
        <v>2.0</v>
      </c>
      <c r="X1060" s="98">
        <v>1.0</v>
      </c>
      <c r="Y1060" s="98">
        <v>0.0</v>
      </c>
      <c r="Z1060" s="98">
        <v>1.0</v>
      </c>
      <c r="AA1060" s="98">
        <v>0.0</v>
      </c>
      <c r="AB1060" s="98">
        <v>1.0</v>
      </c>
      <c r="AC1060" s="98">
        <v>0.0</v>
      </c>
      <c r="AD1060" s="98">
        <v>0.0</v>
      </c>
      <c r="AE1060" s="98">
        <v>0.0</v>
      </c>
      <c r="AF1060" s="98">
        <v>1.0</v>
      </c>
      <c r="AG1060" s="98">
        <v>0.0</v>
      </c>
      <c r="AH1060" s="98">
        <v>0.0</v>
      </c>
      <c r="AI1060" s="98">
        <v>0.0</v>
      </c>
      <c r="AJ1060" s="98">
        <v>0.0</v>
      </c>
      <c r="AK1060" s="98">
        <v>1.0</v>
      </c>
      <c r="AL1060" s="98">
        <v>0.0</v>
      </c>
      <c r="AM1060" s="98">
        <v>0.0</v>
      </c>
      <c r="AN1060" s="98">
        <v>0.0</v>
      </c>
      <c r="AO1060" s="98">
        <v>1.0</v>
      </c>
      <c r="AP1060" s="98">
        <v>0.0</v>
      </c>
      <c r="AQ1060" s="98" t="s">
        <v>5727</v>
      </c>
      <c r="AR1060" s="102">
        <v>46213.0</v>
      </c>
      <c r="AS1060" s="83">
        <v>1105436.0</v>
      </c>
    </row>
    <row r="1061" ht="15.75" customHeight="1">
      <c r="A1061" s="111" t="s">
        <v>1335</v>
      </c>
      <c r="B1061" s="83" t="s">
        <v>5728</v>
      </c>
      <c r="C1061" s="83" t="s">
        <v>68</v>
      </c>
      <c r="D1061" s="112">
        <v>1105584.0</v>
      </c>
      <c r="E1061" s="83"/>
      <c r="F1061" s="83">
        <v>2.9089964E7</v>
      </c>
      <c r="G1061" s="91" t="str">
        <f>IFERROR(__xludf.DUMMYFUNCTION("XLOOKUP(AS1061,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ARTHUR VIEIRA DE OLIVEIRA")</f>
        <v>COLÉGIO ESTADUAL DE TEMPO INTEGRAL ARTHUR VIEIRA DE OLIVEIRA</v>
      </c>
      <c r="H1061" s="119" t="s">
        <v>5729</v>
      </c>
      <c r="I1061" s="91" t="s">
        <v>5730</v>
      </c>
      <c r="J1061" s="83" t="s">
        <v>149</v>
      </c>
      <c r="K1061" s="83" t="s">
        <v>150</v>
      </c>
      <c r="L1061" s="83" t="s">
        <v>151</v>
      </c>
      <c r="M1061" s="98" t="s">
        <v>152</v>
      </c>
      <c r="N1061" s="98" t="s">
        <v>5731</v>
      </c>
      <c r="O1061" s="98" t="s">
        <v>155</v>
      </c>
      <c r="P1061" s="99" t="str">
        <f>IFERROR(__xludf.DUMMYFUNCTION("IFERROR(VLOOKUP(AS1061,IMPORTRANGE(""https://docs.google.com/spreadsheets/d/1juPI-Fb8LD0YtltB2mlGEnp_R3UVu1t3wSFPzgCyHXE/edit?gid=0#gid=0"",""GERAL!A2:C""),3,0),""-"")"),"-")</f>
        <v>-</v>
      </c>
      <c r="Q1061" s="83"/>
      <c r="R1061" s="83"/>
      <c r="S1061" s="83"/>
      <c r="T1061" s="83"/>
      <c r="U1061" s="83"/>
      <c r="V1061" s="83"/>
      <c r="W1061" s="83"/>
      <c r="X1061" s="83"/>
      <c r="Y1061" s="83"/>
      <c r="Z1061" s="83"/>
      <c r="AA1061" s="83"/>
      <c r="AB1061" s="83"/>
      <c r="AC1061" s="83"/>
      <c r="AD1061" s="83"/>
      <c r="AE1061" s="83"/>
      <c r="AF1061" s="83"/>
      <c r="AG1061" s="83"/>
      <c r="AH1061" s="83"/>
      <c r="AI1061" s="83"/>
      <c r="AJ1061" s="83"/>
      <c r="AK1061" s="83"/>
      <c r="AL1061" s="83"/>
      <c r="AM1061" s="83"/>
      <c r="AN1061" s="83"/>
      <c r="AO1061" s="83"/>
      <c r="AP1061" s="83"/>
      <c r="AQ1061" s="83"/>
      <c r="AR1061" s="83"/>
      <c r="AS1061" s="83">
        <v>1105584.0</v>
      </c>
    </row>
    <row r="1062" ht="15.75" customHeight="1">
      <c r="A1062" s="111" t="s">
        <v>1335</v>
      </c>
      <c r="B1062" s="83" t="s">
        <v>5732</v>
      </c>
      <c r="C1062" s="83" t="s">
        <v>68</v>
      </c>
      <c r="D1062" s="112">
        <v>1105460.0</v>
      </c>
      <c r="E1062" s="83"/>
      <c r="F1062" s="83">
        <v>2.909035E7</v>
      </c>
      <c r="G1062" s="91" t="str">
        <f>IFERROR(__xludf.DUMMYFUNCTION("XLOOKUP(AS1062,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GENIVALDO DE ALMEIDA BRANDÃO")</f>
        <v>COLÉGIO ESTADUAL DO CAMPO DE TEMPO INTEGRAL GENIVALDO DE ALMEIDA BRANDÃO</v>
      </c>
      <c r="H1062" s="119" t="s">
        <v>5733</v>
      </c>
      <c r="I1062" s="108" t="s">
        <v>5734</v>
      </c>
      <c r="J1062" s="83" t="s">
        <v>149</v>
      </c>
      <c r="K1062" s="83" t="s">
        <v>150</v>
      </c>
      <c r="L1062" s="83" t="s">
        <v>151</v>
      </c>
      <c r="M1062" s="98" t="s">
        <v>76</v>
      </c>
      <c r="N1062" s="98" t="s">
        <v>5735</v>
      </c>
      <c r="O1062" s="98" t="s">
        <v>162</v>
      </c>
      <c r="P1062" s="99" t="str">
        <f>IFERROR(__xludf.DUMMYFUNCTION("IFERROR(VLOOKUP(AS1062,IMPORTRANGE(""https://docs.google.com/spreadsheets/d/1juPI-Fb8LD0YtltB2mlGEnp_R3UVu1t3wSFPzgCyHXE/edit?gid=0#gid=0"",""GERAL!A2:C""),3,0),""-"")"),"CAMPO")</f>
        <v>CAMPO</v>
      </c>
      <c r="Q1062" s="83"/>
      <c r="R1062" s="83"/>
      <c r="S1062" s="83"/>
      <c r="T1062" s="83"/>
      <c r="U1062" s="83"/>
      <c r="V1062" s="83"/>
      <c r="W1062" s="83"/>
      <c r="X1062" s="83"/>
      <c r="Y1062" s="83"/>
      <c r="Z1062" s="83"/>
      <c r="AA1062" s="83"/>
      <c r="AB1062" s="83"/>
      <c r="AC1062" s="83"/>
      <c r="AD1062" s="83"/>
      <c r="AE1062" s="83"/>
      <c r="AF1062" s="83"/>
      <c r="AG1062" s="83"/>
      <c r="AH1062" s="83"/>
      <c r="AI1062" s="83"/>
      <c r="AJ1062" s="83"/>
      <c r="AK1062" s="83"/>
      <c r="AL1062" s="83"/>
      <c r="AM1062" s="83"/>
      <c r="AN1062" s="83"/>
      <c r="AO1062" s="83"/>
      <c r="AP1062" s="83"/>
      <c r="AQ1062" s="83"/>
      <c r="AR1062" s="83"/>
      <c r="AS1062" s="83">
        <v>1105460.0</v>
      </c>
    </row>
    <row r="1063" ht="15.75" customHeight="1">
      <c r="A1063" s="111" t="s">
        <v>1335</v>
      </c>
      <c r="B1063" s="83" t="s">
        <v>5736</v>
      </c>
      <c r="C1063" s="83" t="s">
        <v>68</v>
      </c>
      <c r="D1063" s="112">
        <v>1105568.0</v>
      </c>
      <c r="E1063" s="83"/>
      <c r="F1063" s="83">
        <v>2.9090865E7</v>
      </c>
      <c r="G1063" s="91" t="str">
        <f>IFERROR(__xludf.DUMMYFUNCTION("XLOOKUP(AS1063,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CONCEICAO DA FEIRA ")</f>
        <v>COLÉGIO ESTADUAL DE TEMPO INTEGRAL DE CONCEICAO DA FEIRA </v>
      </c>
      <c r="H1063" s="119" t="s">
        <v>5737</v>
      </c>
      <c r="I1063" s="91" t="s">
        <v>5738</v>
      </c>
      <c r="J1063" s="136" t="s">
        <v>149</v>
      </c>
      <c r="K1063" s="83" t="s">
        <v>150</v>
      </c>
      <c r="L1063" s="83" t="s">
        <v>151</v>
      </c>
      <c r="M1063" s="83" t="s">
        <v>152</v>
      </c>
      <c r="N1063" s="98" t="s">
        <v>5739</v>
      </c>
      <c r="O1063" s="98" t="s">
        <v>176</v>
      </c>
      <c r="P1063" s="99" t="str">
        <f>IFERROR(__xludf.DUMMYFUNCTION("IFERROR(VLOOKUP(AS1063,IMPORTRANGE(""https://docs.google.com/spreadsheets/d/1juPI-Fb8LD0YtltB2mlGEnp_R3UVu1t3wSFPzgCyHXE/edit?gid=0#gid=0"",""GERAL!A2:C""),3,0),""-"")"),"-")</f>
        <v>-</v>
      </c>
      <c r="Q1063" s="83"/>
      <c r="R1063" s="83"/>
      <c r="S1063" s="83"/>
      <c r="T1063" s="83"/>
      <c r="U1063" s="83"/>
      <c r="V1063" s="83"/>
      <c r="W1063" s="83"/>
      <c r="X1063" s="83"/>
      <c r="Y1063" s="83"/>
      <c r="Z1063" s="83"/>
      <c r="AA1063" s="83"/>
      <c r="AB1063" s="83"/>
      <c r="AC1063" s="83"/>
      <c r="AD1063" s="83"/>
      <c r="AE1063" s="83"/>
      <c r="AF1063" s="83"/>
      <c r="AG1063" s="83"/>
      <c r="AH1063" s="83"/>
      <c r="AI1063" s="83"/>
      <c r="AJ1063" s="83"/>
      <c r="AK1063" s="83"/>
      <c r="AL1063" s="83"/>
      <c r="AM1063" s="83"/>
      <c r="AN1063" s="83"/>
      <c r="AO1063" s="83"/>
      <c r="AP1063" s="83"/>
      <c r="AQ1063" s="83"/>
      <c r="AR1063" s="83"/>
      <c r="AS1063" s="83">
        <v>1105568.0</v>
      </c>
    </row>
    <row r="1064" ht="15.75" customHeight="1">
      <c r="A1064" s="111" t="s">
        <v>1335</v>
      </c>
      <c r="B1064" s="83" t="s">
        <v>2113</v>
      </c>
      <c r="C1064" s="83" t="s">
        <v>68</v>
      </c>
      <c r="D1064" s="112">
        <v>1105266.0</v>
      </c>
      <c r="E1064" s="83"/>
      <c r="F1064" s="83">
        <v>2.909147E7</v>
      </c>
      <c r="G1064" s="91" t="str">
        <f>IFERROR(__xludf.DUMMYFUNCTION("XLOOKUP(AS1064,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CONCEIÇÃO DO JACUIPE")</f>
        <v>COLÉGIO ESTADUAL DE TEMPO INTEGRAL CONCEIÇÃO DO JACUIPE</v>
      </c>
      <c r="H1064" s="119" t="s">
        <v>5740</v>
      </c>
      <c r="I1064" s="91" t="s">
        <v>5741</v>
      </c>
      <c r="J1064" s="136" t="s">
        <v>149</v>
      </c>
      <c r="K1064" s="83" t="s">
        <v>150</v>
      </c>
      <c r="L1064" s="83" t="s">
        <v>151</v>
      </c>
      <c r="M1064" s="83" t="s">
        <v>230</v>
      </c>
      <c r="N1064" s="98" t="s">
        <v>5742</v>
      </c>
      <c r="O1064" s="98" t="s">
        <v>162</v>
      </c>
      <c r="P1064" s="99" t="str">
        <f>IFERROR(__xludf.DUMMYFUNCTION("IFERROR(VLOOKUP(AS1064,IMPORTRANGE(""https://docs.google.com/spreadsheets/d/1juPI-Fb8LD0YtltB2mlGEnp_R3UVu1t3wSFPzgCyHXE/edit?gid=0#gid=0"",""GERAL!A2:C""),3,0),""-"")"),"-")</f>
        <v>-</v>
      </c>
      <c r="Q1064" s="83"/>
      <c r="R1064" s="83"/>
      <c r="S1064" s="83"/>
      <c r="T1064" s="83"/>
      <c r="U1064" s="83"/>
      <c r="V1064" s="83"/>
      <c r="W1064" s="83"/>
      <c r="X1064" s="83"/>
      <c r="Y1064" s="83"/>
      <c r="Z1064" s="83"/>
      <c r="AA1064" s="83"/>
      <c r="AB1064" s="83"/>
      <c r="AC1064" s="83"/>
      <c r="AD1064" s="83"/>
      <c r="AE1064" s="83"/>
      <c r="AF1064" s="83"/>
      <c r="AG1064" s="83"/>
      <c r="AH1064" s="83"/>
      <c r="AI1064" s="83"/>
      <c r="AJ1064" s="83"/>
      <c r="AK1064" s="83"/>
      <c r="AL1064" s="83"/>
      <c r="AM1064" s="83"/>
      <c r="AN1064" s="83"/>
      <c r="AO1064" s="83"/>
      <c r="AP1064" s="83"/>
      <c r="AQ1064" s="83"/>
      <c r="AR1064" s="83"/>
      <c r="AS1064" s="83">
        <v>1105266.0</v>
      </c>
    </row>
    <row r="1065" ht="15.75" customHeight="1">
      <c r="A1065" s="111" t="s">
        <v>1335</v>
      </c>
      <c r="B1065" s="83" t="s">
        <v>5743</v>
      </c>
      <c r="C1065" s="83" t="s">
        <v>68</v>
      </c>
      <c r="D1065" s="112">
        <v>1105100.0</v>
      </c>
      <c r="E1065" s="83"/>
      <c r="F1065" s="83">
        <v>2.9092213E7</v>
      </c>
      <c r="G1065" s="91" t="str">
        <f>IFERROR(__xludf.DUMMYFUNCTION("XLOOKUP(AS1065,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PROFESSOR JOSÉ WALDOMIRO SANTOS DA CONCEIÇÃO - DISTRITO DO RETIRO")</f>
        <v>COLÉGIO ESTADUAL DO CAMPO PROFESSOR JOSÉ WALDOMIRO SANTOS DA CONCEIÇÃO - DISTRITO DO RETIRO</v>
      </c>
      <c r="H1065" s="119" t="s">
        <v>5744</v>
      </c>
      <c r="I1065" s="91" t="s">
        <v>5745</v>
      </c>
      <c r="J1065" s="136" t="s">
        <v>5746</v>
      </c>
      <c r="K1065" s="83" t="s">
        <v>2574</v>
      </c>
      <c r="L1065" s="83" t="s">
        <v>151</v>
      </c>
      <c r="M1065" s="83" t="s">
        <v>76</v>
      </c>
      <c r="N1065" s="98" t="s">
        <v>5747</v>
      </c>
      <c r="O1065" s="98" t="s">
        <v>155</v>
      </c>
      <c r="P1065" s="99" t="str">
        <f>IFERROR(__xludf.DUMMYFUNCTION("IFERROR(VLOOKUP(AS1065,IMPORTRANGE(""https://docs.google.com/spreadsheets/d/1juPI-Fb8LD0YtltB2mlGEnp_R3UVu1t3wSFPzgCyHXE/edit?gid=0#gid=0"",""GERAL!A2:C""),3,0),""-"")"),"CAMPO")</f>
        <v>CAMPO</v>
      </c>
      <c r="Q1065" s="83"/>
      <c r="R1065" s="83"/>
      <c r="S1065" s="83"/>
      <c r="T1065" s="83"/>
      <c r="U1065" s="83"/>
      <c r="V1065" s="83"/>
      <c r="W1065" s="83"/>
      <c r="X1065" s="83"/>
      <c r="Y1065" s="83"/>
      <c r="Z1065" s="83"/>
      <c r="AA1065" s="83"/>
      <c r="AB1065" s="83"/>
      <c r="AC1065" s="83"/>
      <c r="AD1065" s="83"/>
      <c r="AE1065" s="83"/>
      <c r="AF1065" s="83"/>
      <c r="AG1065" s="83"/>
      <c r="AH1065" s="83"/>
      <c r="AI1065" s="83"/>
      <c r="AJ1065" s="83"/>
      <c r="AK1065" s="83"/>
      <c r="AL1065" s="83"/>
      <c r="AM1065" s="83"/>
      <c r="AN1065" s="83"/>
      <c r="AO1065" s="83"/>
      <c r="AP1065" s="83"/>
      <c r="AQ1065" s="83"/>
      <c r="AR1065" s="83"/>
      <c r="AS1065" s="83">
        <v>1105100.0</v>
      </c>
    </row>
    <row r="1066" ht="15.75" customHeight="1">
      <c r="A1066" s="111" t="s">
        <v>1335</v>
      </c>
      <c r="B1066" s="83" t="s">
        <v>5743</v>
      </c>
      <c r="C1066" s="83" t="s">
        <v>68</v>
      </c>
      <c r="D1066" s="112">
        <v>1105169.0</v>
      </c>
      <c r="E1066" s="83"/>
      <c r="F1066" s="83">
        <v>2.9092191E7</v>
      </c>
      <c r="G1066" s="91" t="str">
        <f>IFERROR(__xludf.DUMMYFUNCTION("XLOOKUP(AS1066,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MARIA LUZIA COSTA DOS SANTOS")</f>
        <v>COLÉGIO ESTADUAL DE TEMPO INTEGRAL MARIA LUZIA COSTA DOS SANTOS</v>
      </c>
      <c r="H1066" s="119" t="s">
        <v>5755</v>
      </c>
      <c r="I1066" s="91" t="s">
        <v>5756</v>
      </c>
      <c r="J1066" s="136" t="s">
        <v>149</v>
      </c>
      <c r="K1066" s="83" t="s">
        <v>150</v>
      </c>
      <c r="L1066" s="83" t="s">
        <v>151</v>
      </c>
      <c r="M1066" s="83" t="s">
        <v>230</v>
      </c>
      <c r="N1066" s="98" t="s">
        <v>5757</v>
      </c>
      <c r="O1066" s="98" t="s">
        <v>176</v>
      </c>
      <c r="P1066" s="99" t="str">
        <f>IFERROR(__xludf.DUMMYFUNCTION("IFERROR(VLOOKUP(AS1066,IMPORTRANGE(""https://docs.google.com/spreadsheets/d/1juPI-Fb8LD0YtltB2mlGEnp_R3UVu1t3wSFPzgCyHXE/edit?gid=0#gid=0"",""GERAL!A2:C""),3,0),""-"")"),"-")</f>
        <v>-</v>
      </c>
      <c r="Q1066" s="83"/>
      <c r="R1066" s="83"/>
      <c r="S1066" s="83"/>
      <c r="T1066" s="83"/>
      <c r="U1066" s="83"/>
      <c r="V1066" s="83"/>
      <c r="W1066" s="83"/>
      <c r="X1066" s="83"/>
      <c r="Y1066" s="83"/>
      <c r="Z1066" s="83"/>
      <c r="AA1066" s="83"/>
      <c r="AB1066" s="83"/>
      <c r="AC1066" s="83"/>
      <c r="AD1066" s="83"/>
      <c r="AE1066" s="83"/>
      <c r="AF1066" s="83"/>
      <c r="AG1066" s="83"/>
      <c r="AH1066" s="83"/>
      <c r="AI1066" s="83"/>
      <c r="AJ1066" s="83"/>
      <c r="AK1066" s="83"/>
      <c r="AL1066" s="83"/>
      <c r="AM1066" s="83"/>
      <c r="AN1066" s="83"/>
      <c r="AO1066" s="83"/>
      <c r="AP1066" s="83"/>
      <c r="AQ1066" s="83"/>
      <c r="AR1066" s="83"/>
      <c r="AS1066" s="83">
        <v>1105169.0</v>
      </c>
    </row>
    <row r="1067" ht="15.75" customHeight="1">
      <c r="A1067" s="111" t="s">
        <v>1335</v>
      </c>
      <c r="B1067" s="83" t="s">
        <v>2050</v>
      </c>
      <c r="C1067" s="83" t="s">
        <v>68</v>
      </c>
      <c r="D1067" s="112">
        <v>1105959.0</v>
      </c>
      <c r="E1067" s="83"/>
      <c r="F1067" s="83">
        <v>2.9096243E7</v>
      </c>
      <c r="G1067" s="91" t="str">
        <f>IFERROR(__xludf.DUMMYFUNCTION("XLOOKUP(AS1067,
IMPORTRANGE(""https://docs.google.com/spreadsheets/d/1YM-djuOLXomrZ9W0B4TyIBsVWnXY4EIOFD9HY-qGfv0/edit?usp=sharing"",""GERAL!BG5:BG""),
IMPORTRANGE(""https://docs.google.com/spreadsheets/d/1YM-djuOLXomrZ9W0B4TyIBsVWnXY4EIOFD9HY-qGfv0/edit?"&amp;"usp=sharing"",""GERAL!G5:G""),
""CÓD. SEC NÃO ENCONTRADO NA PLANILHA DE MATRÍCULA"")"),"INSTITUTO DE EDUCACAO DE TEMPO INTEGRAL GASTAO GUIMARAES")</f>
        <v>INSTITUTO DE EDUCACAO DE TEMPO INTEGRAL GASTAO GUIMARAES</v>
      </c>
      <c r="H1067" s="119" t="s">
        <v>5758</v>
      </c>
      <c r="I1067" s="91" t="s">
        <v>5759</v>
      </c>
      <c r="J1067" s="83" t="s">
        <v>149</v>
      </c>
      <c r="K1067" s="83" t="s">
        <v>150</v>
      </c>
      <c r="L1067" s="83" t="s">
        <v>151</v>
      </c>
      <c r="M1067" s="83" t="s">
        <v>230</v>
      </c>
      <c r="N1067" s="98" t="s">
        <v>5760</v>
      </c>
      <c r="O1067" s="98" t="s">
        <v>284</v>
      </c>
      <c r="P1067" s="99" t="str">
        <f>IFERROR(__xludf.DUMMYFUNCTION("IFERROR(VLOOKUP(AS1067,IMPORTRANGE(""https://docs.google.com/spreadsheets/d/1juPI-Fb8LD0YtltB2mlGEnp_R3UVu1t3wSFPzgCyHXE/edit?gid=0#gid=0"",""GERAL!A2:C""),3,0),""-"")"),"-")</f>
        <v>-</v>
      </c>
      <c r="Q1067" s="101" t="s">
        <v>156</v>
      </c>
      <c r="R1067" s="98">
        <v>32.0</v>
      </c>
      <c r="S1067" s="98">
        <v>2.0</v>
      </c>
      <c r="T1067" s="98">
        <v>0.0</v>
      </c>
      <c r="U1067" s="98">
        <v>1.0</v>
      </c>
      <c r="V1067" s="98">
        <v>1.0</v>
      </c>
      <c r="W1067" s="98">
        <v>0.0</v>
      </c>
      <c r="X1067" s="98">
        <v>1.0</v>
      </c>
      <c r="Y1067" s="98">
        <v>0.0</v>
      </c>
      <c r="Z1067" s="98">
        <v>0.0</v>
      </c>
      <c r="AA1067" s="98">
        <v>0.0</v>
      </c>
      <c r="AB1067" s="98">
        <v>1.0</v>
      </c>
      <c r="AC1067" s="98">
        <v>0.0</v>
      </c>
      <c r="AD1067" s="98">
        <v>0.0</v>
      </c>
      <c r="AE1067" s="98">
        <v>0.0</v>
      </c>
      <c r="AF1067" s="98">
        <v>1.0</v>
      </c>
      <c r="AG1067" s="98">
        <v>0.0</v>
      </c>
      <c r="AH1067" s="98">
        <v>0.0</v>
      </c>
      <c r="AI1067" s="98">
        <v>0.0</v>
      </c>
      <c r="AJ1067" s="98">
        <v>0.0</v>
      </c>
      <c r="AK1067" s="98">
        <v>1.0</v>
      </c>
      <c r="AL1067" s="98">
        <v>0.0</v>
      </c>
      <c r="AM1067" s="98">
        <v>1.0</v>
      </c>
      <c r="AN1067" s="98">
        <v>0.0</v>
      </c>
      <c r="AO1067" s="98">
        <v>1.0</v>
      </c>
      <c r="AP1067" s="98">
        <v>0.0</v>
      </c>
      <c r="AQ1067" s="83"/>
      <c r="AR1067" s="102">
        <v>46262.0</v>
      </c>
      <c r="AS1067" s="83">
        <v>1105959.0</v>
      </c>
    </row>
    <row r="1068" ht="15.75" customHeight="1">
      <c r="A1068" s="111" t="s">
        <v>1335</v>
      </c>
      <c r="B1068" s="83" t="s">
        <v>2050</v>
      </c>
      <c r="C1068" s="83" t="s">
        <v>68</v>
      </c>
      <c r="D1068" s="112">
        <v>1176423.0</v>
      </c>
      <c r="E1068" s="83"/>
      <c r="F1068" s="83">
        <v>2.9387736E7</v>
      </c>
      <c r="G1068" s="91" t="str">
        <f>IFERROR(__xludf.DUMMYFUNCTION("XLOOKUP(AS1068,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MODELO LUIS EDUARDO MAGALHAES - TEMPO INTEGRAL")</f>
        <v>COLÉGIO MODELO LUIS EDUARDO MAGALHAES - TEMPO INTEGRAL</v>
      </c>
      <c r="H1068" s="119" t="s">
        <v>1536</v>
      </c>
      <c r="I1068" s="91" t="s">
        <v>5762</v>
      </c>
      <c r="J1068" s="83" t="s">
        <v>149</v>
      </c>
      <c r="K1068" s="83" t="s">
        <v>150</v>
      </c>
      <c r="L1068" s="83" t="s">
        <v>151</v>
      </c>
      <c r="M1068" s="83" t="s">
        <v>230</v>
      </c>
      <c r="N1068" s="98" t="s">
        <v>5763</v>
      </c>
      <c r="O1068" s="98" t="s">
        <v>155</v>
      </c>
      <c r="P1068" s="99" t="str">
        <f>IFERROR(__xludf.DUMMYFUNCTION("IFERROR(VLOOKUP(AS1068,IMPORTRANGE(""https://docs.google.com/spreadsheets/d/1juPI-Fb8LD0YtltB2mlGEnp_R3UVu1t3wSFPzgCyHXE/edit?gid=0#gid=0"",""GERAL!A2:C""),3,0),""-"")"),"-")</f>
        <v>-</v>
      </c>
      <c r="Q1068" s="101" t="s">
        <v>156</v>
      </c>
      <c r="R1068" s="98">
        <v>22.0</v>
      </c>
      <c r="S1068" s="98">
        <v>0.0</v>
      </c>
      <c r="T1068" s="98">
        <v>1.0</v>
      </c>
      <c r="U1068" s="98">
        <v>1.0</v>
      </c>
      <c r="V1068" s="98">
        <v>0.0</v>
      </c>
      <c r="W1068" s="98">
        <v>0.0</v>
      </c>
      <c r="X1068" s="98">
        <v>1.0</v>
      </c>
      <c r="Y1068" s="98">
        <v>0.0</v>
      </c>
      <c r="Z1068" s="98">
        <v>0.0</v>
      </c>
      <c r="AA1068" s="98">
        <v>1.0</v>
      </c>
      <c r="AB1068" s="98">
        <v>0.0</v>
      </c>
      <c r="AC1068" s="98">
        <v>0.0</v>
      </c>
      <c r="AD1068" s="98">
        <v>0.0</v>
      </c>
      <c r="AE1068" s="98">
        <v>0.0</v>
      </c>
      <c r="AF1068" s="98">
        <v>0.0</v>
      </c>
      <c r="AG1068" s="98">
        <v>1.0</v>
      </c>
      <c r="AH1068" s="98">
        <v>0.0</v>
      </c>
      <c r="AI1068" s="98">
        <v>0.0</v>
      </c>
      <c r="AJ1068" s="98">
        <v>0.0</v>
      </c>
      <c r="AK1068" s="98">
        <v>0.0</v>
      </c>
      <c r="AL1068" s="98">
        <v>0.0</v>
      </c>
      <c r="AM1068" s="98">
        <v>0.0</v>
      </c>
      <c r="AN1068" s="98">
        <v>0.0</v>
      </c>
      <c r="AO1068" s="98">
        <v>0.0</v>
      </c>
      <c r="AP1068" s="98">
        <v>1.0</v>
      </c>
      <c r="AQ1068" s="98" t="s">
        <v>498</v>
      </c>
      <c r="AR1068" s="102">
        <v>46262.0</v>
      </c>
      <c r="AS1068" s="83">
        <v>1176423.0</v>
      </c>
    </row>
    <row r="1069" ht="15.75" customHeight="1">
      <c r="A1069" s="111" t="s">
        <v>1335</v>
      </c>
      <c r="B1069" s="83" t="s">
        <v>2050</v>
      </c>
      <c r="C1069" s="83" t="s">
        <v>68</v>
      </c>
      <c r="D1069" s="112">
        <v>1106084.0</v>
      </c>
      <c r="E1069" s="83"/>
      <c r="F1069" s="83">
        <v>2.909519E7</v>
      </c>
      <c r="G1069" s="91" t="str">
        <f>IFERROR(__xludf.DUMMYFUNCTION("XLOOKUP(AS1069,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GEORGINA SOARES NASCIMENTO")</f>
        <v>COLÉGIO GEORGINA SOARES NASCIMENTO</v>
      </c>
      <c r="H1069" s="114" t="s">
        <v>5764</v>
      </c>
      <c r="I1069" s="91" t="s">
        <v>5765</v>
      </c>
      <c r="J1069" s="83" t="s">
        <v>5766</v>
      </c>
      <c r="K1069" s="83" t="s">
        <v>150</v>
      </c>
      <c r="L1069" s="83" t="s">
        <v>5767</v>
      </c>
      <c r="M1069" s="83" t="s">
        <v>152</v>
      </c>
      <c r="N1069" s="98" t="s">
        <v>5768</v>
      </c>
      <c r="O1069" s="98" t="s">
        <v>155</v>
      </c>
      <c r="P1069" s="99" t="str">
        <f>IFERROR(__xludf.DUMMYFUNCTION("IFERROR(VLOOKUP(AS1069,IMPORTRANGE(""https://docs.google.com/spreadsheets/d/1juPI-Fb8LD0YtltB2mlGEnp_R3UVu1t3wSFPzgCyHXE/edit?gid=0#gid=0"",""GERAL!A2:C""),3,0),""-"")"),"-")</f>
        <v>-</v>
      </c>
      <c r="Q1069" s="101" t="s">
        <v>156</v>
      </c>
      <c r="R1069" s="98">
        <v>11.0</v>
      </c>
      <c r="S1069" s="98">
        <v>1.0</v>
      </c>
      <c r="T1069" s="98">
        <v>0.0</v>
      </c>
      <c r="U1069" s="98">
        <v>0.0</v>
      </c>
      <c r="V1069" s="98">
        <v>0.0</v>
      </c>
      <c r="W1069" s="98">
        <v>0.0</v>
      </c>
      <c r="X1069" s="98">
        <v>1.0</v>
      </c>
      <c r="Y1069" s="98">
        <v>0.0</v>
      </c>
      <c r="Z1069" s="98">
        <v>0.0</v>
      </c>
      <c r="AA1069" s="98">
        <v>0.0</v>
      </c>
      <c r="AB1069" s="98">
        <v>0.0</v>
      </c>
      <c r="AC1069" s="98">
        <v>0.0</v>
      </c>
      <c r="AD1069" s="98">
        <v>0.0</v>
      </c>
      <c r="AE1069" s="98">
        <v>0.0</v>
      </c>
      <c r="AF1069" s="98">
        <v>0.0</v>
      </c>
      <c r="AG1069" s="98">
        <v>1.0</v>
      </c>
      <c r="AH1069" s="98">
        <v>0.0</v>
      </c>
      <c r="AI1069" s="98">
        <v>0.0</v>
      </c>
      <c r="AJ1069" s="98">
        <v>0.0</v>
      </c>
      <c r="AK1069" s="98">
        <v>0.0</v>
      </c>
      <c r="AL1069" s="98">
        <v>0.0</v>
      </c>
      <c r="AM1069" s="98">
        <v>0.0</v>
      </c>
      <c r="AN1069" s="98">
        <v>0.0</v>
      </c>
      <c r="AO1069" s="98">
        <v>0.0</v>
      </c>
      <c r="AP1069" s="98">
        <v>2.0</v>
      </c>
      <c r="AQ1069" s="98" t="s">
        <v>5769</v>
      </c>
      <c r="AR1069" s="102">
        <v>46262.0</v>
      </c>
      <c r="AS1069" s="83">
        <v>1106084.0</v>
      </c>
    </row>
    <row r="1070" ht="15.75" customHeight="1">
      <c r="A1070" s="111" t="s">
        <v>1335</v>
      </c>
      <c r="B1070" s="83" t="s">
        <v>2050</v>
      </c>
      <c r="C1070" s="83" t="s">
        <v>68</v>
      </c>
      <c r="D1070" s="112">
        <v>1142242.0</v>
      </c>
      <c r="E1070" s="83"/>
      <c r="F1070" s="83">
        <v>2.9097665E7</v>
      </c>
      <c r="G1070" s="91" t="str">
        <f>IFERROR(__xludf.DUMMYFUNCTION("XLOOKUP(AS1070,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TEOTÔNIO VILELA - TEMPO INTEGRAL")</f>
        <v>COLÉGIO ESTADUAL TEOTÔNIO VILELA - TEMPO INTEGRAL</v>
      </c>
      <c r="H1070" s="114" t="s">
        <v>5770</v>
      </c>
      <c r="I1070" s="91" t="s">
        <v>5771</v>
      </c>
      <c r="J1070" s="83" t="s">
        <v>5772</v>
      </c>
      <c r="K1070" s="83" t="s">
        <v>150</v>
      </c>
      <c r="L1070" s="83" t="s">
        <v>151</v>
      </c>
      <c r="M1070" s="83" t="s">
        <v>230</v>
      </c>
      <c r="N1070" s="98" t="s">
        <v>5773</v>
      </c>
      <c r="O1070" s="98" t="s">
        <v>155</v>
      </c>
      <c r="P1070" s="99" t="str">
        <f>IFERROR(__xludf.DUMMYFUNCTION("IFERROR(VLOOKUP(AS1070,IMPORTRANGE(""https://docs.google.com/spreadsheets/d/1juPI-Fb8LD0YtltB2mlGEnp_R3UVu1t3wSFPzgCyHXE/edit?gid=0#gid=0"",""GERAL!A2:C""),3,0),""-"")"),"-")</f>
        <v>-</v>
      </c>
      <c r="Q1070" s="101" t="s">
        <v>156</v>
      </c>
      <c r="R1070" s="98">
        <v>16.0</v>
      </c>
      <c r="S1070" s="98">
        <v>0.0</v>
      </c>
      <c r="T1070" s="98">
        <v>0.0</v>
      </c>
      <c r="U1070" s="98">
        <v>1.0</v>
      </c>
      <c r="V1070" s="98">
        <v>1.0</v>
      </c>
      <c r="W1070" s="98">
        <v>0.0</v>
      </c>
      <c r="X1070" s="98">
        <v>0.0</v>
      </c>
      <c r="Y1070" s="98">
        <v>0.0</v>
      </c>
      <c r="Z1070" s="98">
        <v>0.0</v>
      </c>
      <c r="AA1070" s="98">
        <v>0.0</v>
      </c>
      <c r="AB1070" s="98">
        <v>0.0</v>
      </c>
      <c r="AC1070" s="98">
        <v>0.0</v>
      </c>
      <c r="AD1070" s="98">
        <v>0.0</v>
      </c>
      <c r="AE1070" s="98">
        <v>0.0</v>
      </c>
      <c r="AF1070" s="98">
        <v>1.0</v>
      </c>
      <c r="AG1070" s="98">
        <v>0.0</v>
      </c>
      <c r="AH1070" s="98">
        <v>0.0</v>
      </c>
      <c r="AI1070" s="98">
        <v>0.0</v>
      </c>
      <c r="AJ1070" s="98">
        <v>0.0</v>
      </c>
      <c r="AK1070" s="98">
        <v>0.0</v>
      </c>
      <c r="AL1070" s="98">
        <v>0.0</v>
      </c>
      <c r="AM1070" s="98">
        <v>0.0</v>
      </c>
      <c r="AN1070" s="98">
        <v>0.0</v>
      </c>
      <c r="AO1070" s="98">
        <v>0.0</v>
      </c>
      <c r="AP1070" s="98">
        <v>3.0</v>
      </c>
      <c r="AQ1070" s="98" t="s">
        <v>5779</v>
      </c>
      <c r="AR1070" s="102">
        <v>46262.0</v>
      </c>
      <c r="AS1070" s="83">
        <v>1142242.0</v>
      </c>
    </row>
    <row r="1071" ht="15.75" customHeight="1">
      <c r="A1071" s="111" t="s">
        <v>1335</v>
      </c>
      <c r="B1071" s="83" t="s">
        <v>2050</v>
      </c>
      <c r="C1071" s="83" t="s">
        <v>68</v>
      </c>
      <c r="D1071" s="112">
        <v>1106220.0</v>
      </c>
      <c r="E1071" s="83"/>
      <c r="F1071" s="83">
        <v>2.9094216E7</v>
      </c>
      <c r="G1071" s="91" t="str">
        <f>IFERROR(__xludf.DUMMYFUNCTION("XLOOKUP(AS1071,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SANTO ANTÔNIO")</f>
        <v>COLÉGIO ESTADUAL SANTO ANTÔNIO</v>
      </c>
      <c r="H1071" s="114" t="s">
        <v>5781</v>
      </c>
      <c r="I1071" s="91" t="s">
        <v>5782</v>
      </c>
      <c r="J1071" s="83" t="s">
        <v>5783</v>
      </c>
      <c r="K1071" s="83" t="s">
        <v>150</v>
      </c>
      <c r="L1071" s="83" t="s">
        <v>5784</v>
      </c>
      <c r="M1071" s="83" t="s">
        <v>152</v>
      </c>
      <c r="N1071" s="98" t="s">
        <v>5760</v>
      </c>
      <c r="O1071" s="98" t="s">
        <v>155</v>
      </c>
      <c r="P1071" s="99" t="str">
        <f>IFERROR(__xludf.DUMMYFUNCTION("IFERROR(VLOOKUP(AS1071,IMPORTRANGE(""https://docs.google.com/spreadsheets/d/1juPI-Fb8LD0YtltB2mlGEnp_R3UVu1t3wSFPzgCyHXE/edit?gid=0#gid=0"",""GERAL!A2:C""),3,0),""-"")"),"-")</f>
        <v>-</v>
      </c>
      <c r="Q1071" s="101" t="s">
        <v>156</v>
      </c>
      <c r="R1071" s="98">
        <v>15.0</v>
      </c>
      <c r="S1071" s="98">
        <v>1.0</v>
      </c>
      <c r="T1071" s="98">
        <v>1.0</v>
      </c>
      <c r="U1071" s="98">
        <v>0.0</v>
      </c>
      <c r="V1071" s="98">
        <v>0.0</v>
      </c>
      <c r="W1071" s="98">
        <v>0.0</v>
      </c>
      <c r="X1071" s="98">
        <v>0.0</v>
      </c>
      <c r="Y1071" s="98">
        <v>0.0</v>
      </c>
      <c r="Z1071" s="98">
        <v>0.0</v>
      </c>
      <c r="AA1071" s="98">
        <v>0.0</v>
      </c>
      <c r="AB1071" s="98">
        <v>0.0</v>
      </c>
      <c r="AC1071" s="98">
        <v>0.0</v>
      </c>
      <c r="AD1071" s="98">
        <v>0.0</v>
      </c>
      <c r="AE1071" s="98">
        <v>0.0</v>
      </c>
      <c r="AF1071" s="98">
        <v>0.0</v>
      </c>
      <c r="AG1071" s="98">
        <v>1.0</v>
      </c>
      <c r="AH1071" s="98">
        <v>0.0</v>
      </c>
      <c r="AI1071" s="98">
        <v>0.0</v>
      </c>
      <c r="AJ1071" s="98">
        <v>0.0</v>
      </c>
      <c r="AK1071" s="98">
        <v>0.0</v>
      </c>
      <c r="AL1071" s="98">
        <v>0.0</v>
      </c>
      <c r="AM1071" s="98">
        <v>0.0</v>
      </c>
      <c r="AN1071" s="98">
        <v>0.0</v>
      </c>
      <c r="AO1071" s="98">
        <v>0.0</v>
      </c>
      <c r="AP1071" s="98">
        <v>2.0</v>
      </c>
      <c r="AQ1071" s="98" t="s">
        <v>5785</v>
      </c>
      <c r="AR1071" s="102">
        <v>46262.0</v>
      </c>
      <c r="AS1071" s="83">
        <v>1106220.0</v>
      </c>
    </row>
    <row r="1072" ht="15.75" customHeight="1">
      <c r="A1072" s="111" t="s">
        <v>1335</v>
      </c>
      <c r="B1072" s="83" t="s">
        <v>2050</v>
      </c>
      <c r="C1072" s="83" t="s">
        <v>68</v>
      </c>
      <c r="D1072" s="112">
        <v>1106556.0</v>
      </c>
      <c r="E1072" s="83"/>
      <c r="F1072" s="83">
        <v>2.9094798E7</v>
      </c>
      <c r="G1072" s="91" t="str">
        <f>IFERROR(__xludf.DUMMYFUNCTION("XLOOKUP(AS1072,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ROTARY")</f>
        <v>COLÉGIO ESTADUAL ROTARY</v>
      </c>
      <c r="H1072" s="114" t="s">
        <v>5786</v>
      </c>
      <c r="I1072" s="91" t="s">
        <v>5788</v>
      </c>
      <c r="J1072" s="83" t="s">
        <v>5783</v>
      </c>
      <c r="K1072" s="83" t="s">
        <v>150</v>
      </c>
      <c r="L1072" s="83" t="s">
        <v>5791</v>
      </c>
      <c r="M1072" s="83" t="s">
        <v>76</v>
      </c>
      <c r="N1072" s="98" t="s">
        <v>5794</v>
      </c>
      <c r="O1072" s="98" t="s">
        <v>155</v>
      </c>
      <c r="P1072" s="99" t="str">
        <f>IFERROR(__xludf.DUMMYFUNCTION("IFERROR(VLOOKUP(AS1072,IMPORTRANGE(""https://docs.google.com/spreadsheets/d/1juPI-Fb8LD0YtltB2mlGEnp_R3UVu1t3wSFPzgCyHXE/edit?gid=0#gid=0"",""GERAL!A2:C""),3,0),""-"")"),"-")</f>
        <v>-</v>
      </c>
      <c r="Q1072" s="101" t="s">
        <v>156</v>
      </c>
      <c r="R1072" s="98">
        <v>7.0</v>
      </c>
      <c r="S1072" s="98">
        <v>0.0</v>
      </c>
      <c r="T1072" s="98">
        <v>0.0</v>
      </c>
      <c r="U1072" s="98">
        <v>0.0</v>
      </c>
      <c r="V1072" s="98">
        <v>1.0</v>
      </c>
      <c r="W1072" s="98">
        <v>0.0</v>
      </c>
      <c r="X1072" s="98">
        <v>1.0</v>
      </c>
      <c r="Y1072" s="98">
        <v>0.0</v>
      </c>
      <c r="Z1072" s="98">
        <v>0.0</v>
      </c>
      <c r="AA1072" s="98">
        <v>0.0</v>
      </c>
      <c r="AB1072" s="98">
        <v>0.0</v>
      </c>
      <c r="AC1072" s="98">
        <v>0.0</v>
      </c>
      <c r="AD1072" s="98">
        <v>0.0</v>
      </c>
      <c r="AE1072" s="98">
        <v>0.0</v>
      </c>
      <c r="AF1072" s="98">
        <v>0.0</v>
      </c>
      <c r="AG1072" s="98">
        <v>0.0</v>
      </c>
      <c r="AH1072" s="98">
        <v>0.0</v>
      </c>
      <c r="AI1072" s="98">
        <v>0.0</v>
      </c>
      <c r="AJ1072" s="98">
        <v>0.0</v>
      </c>
      <c r="AK1072" s="98">
        <v>0.0</v>
      </c>
      <c r="AL1072" s="98">
        <v>0.0</v>
      </c>
      <c r="AM1072" s="98">
        <v>0.0</v>
      </c>
      <c r="AN1072" s="98">
        <v>0.0</v>
      </c>
      <c r="AO1072" s="98">
        <v>0.0</v>
      </c>
      <c r="AP1072" s="98">
        <v>1.0</v>
      </c>
      <c r="AQ1072" s="98" t="s">
        <v>498</v>
      </c>
      <c r="AR1072" s="102">
        <v>46262.0</v>
      </c>
      <c r="AS1072" s="83">
        <v>1106556.0</v>
      </c>
    </row>
    <row r="1073" ht="15.75" customHeight="1">
      <c r="A1073" s="111" t="s">
        <v>1335</v>
      </c>
      <c r="B1073" s="83" t="s">
        <v>2050</v>
      </c>
      <c r="C1073" s="83" t="s">
        <v>68</v>
      </c>
      <c r="D1073" s="98">
        <v>1179826.0</v>
      </c>
      <c r="E1073" s="83"/>
      <c r="F1073" s="98">
        <v>44449.0</v>
      </c>
      <c r="G1073" s="91" t="str">
        <f>IFERROR(__xludf.DUMMYFUNCTION("XLOOKUP(AS1073,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QUILOMBOLA DE TEMPO INTEGRAL 
DISTRITO DE MATINHA")</f>
        <v>COLÉGIO ESTADUAL QUILOMBOLA DE TEMPO INTEGRAL 
DISTRITO DE MATINHA</v>
      </c>
      <c r="H1073" s="218" t="s">
        <v>5799</v>
      </c>
      <c r="I1073" s="108" t="s">
        <v>5801</v>
      </c>
      <c r="J1073" s="98" t="s">
        <v>5803</v>
      </c>
      <c r="K1073" s="83"/>
      <c r="L1073" s="83" t="s">
        <v>151</v>
      </c>
      <c r="M1073" s="98" t="s">
        <v>169</v>
      </c>
      <c r="N1073" s="98" t="s">
        <v>5805</v>
      </c>
      <c r="O1073" s="98"/>
      <c r="P1073" s="99" t="str">
        <f>IFERROR(__xludf.DUMMYFUNCTION("IFERROR(VLOOKUP(AS1073,IMPORTRANGE(""https://docs.google.com/spreadsheets/d/1juPI-Fb8LD0YtltB2mlGEnp_R3UVu1t3wSFPzgCyHXE/edit?gid=0#gid=0"",""GERAL!A2:C""),3,0),""-"")"),"QUILOMBOLAS")</f>
        <v>QUILOMBOLAS</v>
      </c>
      <c r="Q1073" s="98" t="s">
        <v>171</v>
      </c>
      <c r="R1073" s="98">
        <v>10.0</v>
      </c>
      <c r="S1073" s="98">
        <v>0.0</v>
      </c>
      <c r="T1073" s="98">
        <v>1.0</v>
      </c>
      <c r="U1073" s="98">
        <v>1.0</v>
      </c>
      <c r="V1073" s="98">
        <v>0.0</v>
      </c>
      <c r="W1073" s="98">
        <v>1.0</v>
      </c>
      <c r="X1073" s="98">
        <v>1.0</v>
      </c>
      <c r="Y1073" s="98">
        <v>0.0</v>
      </c>
      <c r="Z1073" s="98">
        <v>1.0</v>
      </c>
      <c r="AA1073" s="98">
        <v>0.0</v>
      </c>
      <c r="AB1073" s="98">
        <v>1.0</v>
      </c>
      <c r="AC1073" s="98">
        <v>0.0</v>
      </c>
      <c r="AD1073" s="98">
        <v>0.0</v>
      </c>
      <c r="AE1073" s="98">
        <v>0.0</v>
      </c>
      <c r="AF1073" s="98">
        <v>1.0</v>
      </c>
      <c r="AG1073" s="98">
        <v>0.0</v>
      </c>
      <c r="AH1073" s="98">
        <v>0.0</v>
      </c>
      <c r="AI1073" s="98">
        <v>0.0</v>
      </c>
      <c r="AJ1073" s="98">
        <v>0.0</v>
      </c>
      <c r="AK1073" s="98">
        <v>1.0</v>
      </c>
      <c r="AL1073" s="98">
        <v>0.0</v>
      </c>
      <c r="AM1073" s="98">
        <v>0.0</v>
      </c>
      <c r="AN1073" s="98">
        <v>0.0</v>
      </c>
      <c r="AO1073" s="98">
        <v>0.0</v>
      </c>
      <c r="AP1073" s="98">
        <v>0.0</v>
      </c>
      <c r="AQ1073" s="98"/>
      <c r="AR1073" s="102">
        <v>46262.0</v>
      </c>
      <c r="AS1073" s="98">
        <v>1179826.0</v>
      </c>
    </row>
    <row r="1074" ht="15.75" customHeight="1">
      <c r="A1074" s="111" t="s">
        <v>1335</v>
      </c>
      <c r="B1074" s="83" t="s">
        <v>2050</v>
      </c>
      <c r="C1074" s="83" t="s">
        <v>68</v>
      </c>
      <c r="D1074" s="112">
        <v>1106637.0</v>
      </c>
      <c r="E1074" s="83"/>
      <c r="F1074" s="83">
        <v>2.9095999E7</v>
      </c>
      <c r="G1074" s="91" t="str">
        <f>IFERROR(__xludf.DUMMYFUNCTION("XLOOKUP(AS1074,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TECLA MELLO")</f>
        <v>COLÉGIO ESTADUAL PROFESSORA TECLA MELLO</v>
      </c>
      <c r="H1074" s="119" t="s">
        <v>5807</v>
      </c>
      <c r="I1074" s="91" t="s">
        <v>5808</v>
      </c>
      <c r="J1074" s="83" t="s">
        <v>156</v>
      </c>
      <c r="K1074" s="83" t="s">
        <v>150</v>
      </c>
      <c r="L1074" s="83" t="s">
        <v>5791</v>
      </c>
      <c r="M1074" s="83" t="s">
        <v>76</v>
      </c>
      <c r="N1074" s="98" t="s">
        <v>5809</v>
      </c>
      <c r="O1074" s="98" t="s">
        <v>155</v>
      </c>
      <c r="P1074" s="99" t="str">
        <f>IFERROR(__xludf.DUMMYFUNCTION("IFERROR(VLOOKUP(AS1074,IMPORTRANGE(""https://docs.google.com/spreadsheets/d/1juPI-Fb8LD0YtltB2mlGEnp_R3UVu1t3wSFPzgCyHXE/edit?gid=0#gid=0"",""GERAL!A2:C""),3,0),""-"")"),"-")</f>
        <v>-</v>
      </c>
      <c r="Q1074" s="101" t="s">
        <v>156</v>
      </c>
      <c r="R1074" s="98">
        <v>11.0</v>
      </c>
      <c r="S1074" s="98">
        <v>0.0</v>
      </c>
      <c r="T1074" s="98">
        <v>0.0</v>
      </c>
      <c r="U1074" s="98">
        <v>0.0</v>
      </c>
      <c r="V1074" s="98">
        <v>0.0</v>
      </c>
      <c r="W1074" s="98">
        <v>0.0</v>
      </c>
      <c r="X1074" s="98">
        <v>1.0</v>
      </c>
      <c r="Y1074" s="98">
        <v>0.0</v>
      </c>
      <c r="Z1074" s="98">
        <v>0.0</v>
      </c>
      <c r="AA1074" s="98">
        <v>0.0</v>
      </c>
      <c r="AB1074" s="98">
        <v>0.0</v>
      </c>
      <c r="AC1074" s="98">
        <v>1.0</v>
      </c>
      <c r="AD1074" s="98">
        <v>0.0</v>
      </c>
      <c r="AE1074" s="98">
        <v>0.0</v>
      </c>
      <c r="AF1074" s="98">
        <v>0.0</v>
      </c>
      <c r="AG1074" s="98">
        <v>1.0</v>
      </c>
      <c r="AH1074" s="98">
        <v>0.0</v>
      </c>
      <c r="AI1074" s="98">
        <v>0.0</v>
      </c>
      <c r="AJ1074" s="98">
        <v>0.0</v>
      </c>
      <c r="AK1074" s="98">
        <v>0.0</v>
      </c>
      <c r="AL1074" s="98">
        <v>0.0</v>
      </c>
      <c r="AM1074" s="98">
        <v>0.0</v>
      </c>
      <c r="AN1074" s="98">
        <v>0.0</v>
      </c>
      <c r="AO1074" s="98">
        <v>0.0</v>
      </c>
      <c r="AP1074" s="98">
        <v>0.0</v>
      </c>
      <c r="AQ1074" s="83"/>
      <c r="AR1074" s="102">
        <v>46262.0</v>
      </c>
      <c r="AS1074" s="83">
        <v>1106637.0</v>
      </c>
    </row>
    <row r="1075" ht="15.75" customHeight="1">
      <c r="A1075" s="111" t="s">
        <v>1335</v>
      </c>
      <c r="B1075" s="83" t="s">
        <v>2050</v>
      </c>
      <c r="C1075" s="83" t="s">
        <v>68</v>
      </c>
      <c r="D1075" s="112">
        <v>1106289.0</v>
      </c>
      <c r="E1075" s="83"/>
      <c r="F1075" s="83">
        <v>2.909335E7</v>
      </c>
      <c r="G1075" s="91" t="str">
        <f>IFERROR(__xludf.DUMMYFUNCTION("XLOOKUP(AS1075,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ODORICO TAVARES")</f>
        <v>COLÉGIO ESTADUAL ODORICO TAVARES</v>
      </c>
      <c r="H1075" s="114" t="s">
        <v>5815</v>
      </c>
      <c r="I1075" s="91" t="s">
        <v>5816</v>
      </c>
      <c r="J1075" s="83" t="s">
        <v>5817</v>
      </c>
      <c r="K1075" s="83" t="s">
        <v>150</v>
      </c>
      <c r="L1075" s="83" t="s">
        <v>151</v>
      </c>
      <c r="M1075" s="83" t="s">
        <v>152</v>
      </c>
      <c r="N1075" s="98" t="s">
        <v>5818</v>
      </c>
      <c r="O1075" s="98" t="s">
        <v>155</v>
      </c>
      <c r="P1075" s="99" t="str">
        <f>IFERROR(__xludf.DUMMYFUNCTION("IFERROR(VLOOKUP(AS1075,IMPORTRANGE(""https://docs.google.com/spreadsheets/d/1juPI-Fb8LD0YtltB2mlGEnp_R3UVu1t3wSFPzgCyHXE/edit?gid=0#gid=0"",""GERAL!A2:C""),3,0),""-"")"),"-")</f>
        <v>-</v>
      </c>
      <c r="Q1075" s="101" t="s">
        <v>156</v>
      </c>
      <c r="R1075" s="98">
        <v>14.0</v>
      </c>
      <c r="S1075" s="98">
        <v>1.0</v>
      </c>
      <c r="T1075" s="98">
        <v>0.0</v>
      </c>
      <c r="U1075" s="98">
        <v>0.0</v>
      </c>
      <c r="V1075" s="98">
        <v>0.0</v>
      </c>
      <c r="W1075" s="98">
        <v>0.0</v>
      </c>
      <c r="X1075" s="98">
        <v>1.0</v>
      </c>
      <c r="Y1075" s="98">
        <v>0.0</v>
      </c>
      <c r="Z1075" s="98">
        <v>0.0</v>
      </c>
      <c r="AA1075" s="98">
        <v>0.0</v>
      </c>
      <c r="AB1075" s="98">
        <v>0.0</v>
      </c>
      <c r="AC1075" s="98">
        <v>1.0</v>
      </c>
      <c r="AD1075" s="98">
        <v>0.0</v>
      </c>
      <c r="AE1075" s="98">
        <v>0.0</v>
      </c>
      <c r="AF1075" s="98">
        <v>0.0</v>
      </c>
      <c r="AG1075" s="98">
        <v>1.0</v>
      </c>
      <c r="AH1075" s="98">
        <v>0.0</v>
      </c>
      <c r="AI1075" s="98">
        <v>0.0</v>
      </c>
      <c r="AJ1075" s="98">
        <v>0.0</v>
      </c>
      <c r="AK1075" s="98">
        <v>0.0</v>
      </c>
      <c r="AL1075" s="98">
        <v>0.0</v>
      </c>
      <c r="AM1075" s="98">
        <v>0.0</v>
      </c>
      <c r="AN1075" s="98">
        <v>0.0</v>
      </c>
      <c r="AO1075" s="98">
        <v>0.0</v>
      </c>
      <c r="AP1075" s="98">
        <v>0.0</v>
      </c>
      <c r="AQ1075" s="83"/>
      <c r="AR1075" s="102">
        <v>46262.0</v>
      </c>
      <c r="AS1075" s="83">
        <v>1106289.0</v>
      </c>
    </row>
    <row r="1076" ht="15.75" customHeight="1">
      <c r="A1076" s="111" t="s">
        <v>1335</v>
      </c>
      <c r="B1076" s="83" t="s">
        <v>2050</v>
      </c>
      <c r="C1076" s="83" t="s">
        <v>68</v>
      </c>
      <c r="D1076" s="112">
        <v>1176068.0</v>
      </c>
      <c r="E1076" s="83"/>
      <c r="F1076" s="83">
        <v>2.9093473E7</v>
      </c>
      <c r="G1076" s="91" t="str">
        <f>IFERROR(__xludf.DUMMYFUNCTION("XLOOKUP(AS1076,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LAZÁRO DOS SANTOS FERREIRA - TEMPO INTEGRAL")</f>
        <v>COLÉGIO ESTADUAL LAZÁRO DOS SANTOS FERREIRA - TEMPO INTEGRAL</v>
      </c>
      <c r="H1076" s="114" t="s">
        <v>5824</v>
      </c>
      <c r="I1076" s="91" t="s">
        <v>5825</v>
      </c>
      <c r="J1076" s="83" t="s">
        <v>149</v>
      </c>
      <c r="K1076" s="83" t="s">
        <v>150</v>
      </c>
      <c r="L1076" s="83" t="s">
        <v>151</v>
      </c>
      <c r="M1076" s="83" t="s">
        <v>152</v>
      </c>
      <c r="N1076" s="98" t="s">
        <v>5826</v>
      </c>
      <c r="O1076" s="98" t="s">
        <v>162</v>
      </c>
      <c r="P1076" s="99" t="str">
        <f>IFERROR(__xludf.DUMMYFUNCTION("IFERROR(VLOOKUP(AS1076,IMPORTRANGE(""https://docs.google.com/spreadsheets/d/1juPI-Fb8LD0YtltB2mlGEnp_R3UVu1t3wSFPzgCyHXE/edit?gid=0#gid=0"",""GERAL!A2:C""),3,0),""-"")"),"-")</f>
        <v>-</v>
      </c>
      <c r="Q1076" s="101" t="s">
        <v>156</v>
      </c>
      <c r="R1076" s="98">
        <v>7.0</v>
      </c>
      <c r="S1076" s="98">
        <v>0.0</v>
      </c>
      <c r="T1076" s="98">
        <v>0.0</v>
      </c>
      <c r="U1076" s="98">
        <v>1.0</v>
      </c>
      <c r="V1076" s="98">
        <v>1.0</v>
      </c>
      <c r="W1076" s="98">
        <v>0.0</v>
      </c>
      <c r="X1076" s="98">
        <v>0.0</v>
      </c>
      <c r="Y1076" s="98">
        <v>1.0</v>
      </c>
      <c r="Z1076" s="98">
        <v>0.0</v>
      </c>
      <c r="AA1076" s="98">
        <v>0.0</v>
      </c>
      <c r="AB1076" s="98">
        <v>0.0</v>
      </c>
      <c r="AC1076" s="98">
        <v>0.0</v>
      </c>
      <c r="AD1076" s="98">
        <v>0.0</v>
      </c>
      <c r="AE1076" s="98">
        <v>0.0</v>
      </c>
      <c r="AF1076" s="98">
        <v>1.0</v>
      </c>
      <c r="AG1076" s="98">
        <v>0.0</v>
      </c>
      <c r="AH1076" s="98">
        <v>0.0</v>
      </c>
      <c r="AI1076" s="98">
        <v>0.0</v>
      </c>
      <c r="AJ1076" s="98">
        <v>0.0</v>
      </c>
      <c r="AK1076" s="98">
        <v>0.0</v>
      </c>
      <c r="AL1076" s="98">
        <v>0.0</v>
      </c>
      <c r="AM1076" s="98">
        <v>0.0</v>
      </c>
      <c r="AN1076" s="98">
        <v>0.0</v>
      </c>
      <c r="AO1076" s="98">
        <v>0.0</v>
      </c>
      <c r="AP1076" s="98">
        <v>1.0</v>
      </c>
      <c r="AQ1076" s="98" t="s">
        <v>5827</v>
      </c>
      <c r="AR1076" s="102">
        <v>46262.0</v>
      </c>
      <c r="AS1076" s="83">
        <v>1176068.0</v>
      </c>
    </row>
    <row r="1077" ht="15.75" customHeight="1">
      <c r="A1077" s="111" t="s">
        <v>1335</v>
      </c>
      <c r="B1077" s="83" t="s">
        <v>2050</v>
      </c>
      <c r="C1077" s="83" t="s">
        <v>68</v>
      </c>
      <c r="D1077" s="112">
        <v>1106491.0</v>
      </c>
      <c r="E1077" s="83"/>
      <c r="F1077" s="83">
        <v>2.9093554E7</v>
      </c>
      <c r="G1077" s="91" t="str">
        <f>IFERROR(__xludf.DUMMYFUNCTION("XLOOKUP(AS1077,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JUIZ JORGE FARIAS GÓES - TEMPO INTEGRAL")</f>
        <v>COLÉGIO ESTADUAL JUIZ JORGE FARIAS GÓES - TEMPO INTEGRAL</v>
      </c>
      <c r="H1077" s="114" t="s">
        <v>5828</v>
      </c>
      <c r="I1077" s="91" t="s">
        <v>5829</v>
      </c>
      <c r="J1077" s="83" t="s">
        <v>4373</v>
      </c>
      <c r="K1077" s="83" t="s">
        <v>150</v>
      </c>
      <c r="L1077" s="83" t="s">
        <v>151</v>
      </c>
      <c r="M1077" s="83" t="s">
        <v>152</v>
      </c>
      <c r="N1077" s="98" t="s">
        <v>5832</v>
      </c>
      <c r="O1077" s="98" t="s">
        <v>155</v>
      </c>
      <c r="P1077" s="99" t="str">
        <f>IFERROR(__xludf.DUMMYFUNCTION("IFERROR(VLOOKUP(AS1077,IMPORTRANGE(""https://docs.google.com/spreadsheets/d/1juPI-Fb8LD0YtltB2mlGEnp_R3UVu1t3wSFPzgCyHXE/edit?gid=0#gid=0"",""GERAL!A2:C""),3,0),""-"")"),"-")</f>
        <v>-</v>
      </c>
      <c r="Q1077" s="101" t="s">
        <v>156</v>
      </c>
      <c r="R1077" s="98">
        <v>16.0</v>
      </c>
      <c r="S1077" s="98">
        <v>0.0</v>
      </c>
      <c r="T1077" s="98">
        <v>0.0</v>
      </c>
      <c r="U1077" s="98">
        <v>1.0</v>
      </c>
      <c r="V1077" s="98">
        <v>0.0</v>
      </c>
      <c r="W1077" s="98">
        <v>0.0</v>
      </c>
      <c r="X1077" s="98">
        <v>0.0</v>
      </c>
      <c r="Y1077" s="98">
        <v>0.0</v>
      </c>
      <c r="Z1077" s="98">
        <v>0.0</v>
      </c>
      <c r="AA1077" s="98">
        <v>0.0</v>
      </c>
      <c r="AB1077" s="98">
        <v>0.0</v>
      </c>
      <c r="AC1077" s="98">
        <v>2.0</v>
      </c>
      <c r="AD1077" s="98">
        <v>0.0</v>
      </c>
      <c r="AE1077" s="98">
        <v>0.0</v>
      </c>
      <c r="AF1077" s="98">
        <v>0.0</v>
      </c>
      <c r="AG1077" s="98">
        <v>1.0</v>
      </c>
      <c r="AH1077" s="98">
        <v>0.0</v>
      </c>
      <c r="AI1077" s="98">
        <v>0.0</v>
      </c>
      <c r="AJ1077" s="98">
        <v>0.0</v>
      </c>
      <c r="AK1077" s="98">
        <v>0.0</v>
      </c>
      <c r="AL1077" s="98">
        <v>0.0</v>
      </c>
      <c r="AM1077" s="98">
        <v>0.0</v>
      </c>
      <c r="AN1077" s="98">
        <v>0.0</v>
      </c>
      <c r="AO1077" s="98">
        <v>0.0</v>
      </c>
      <c r="AP1077" s="98">
        <v>0.0</v>
      </c>
      <c r="AQ1077" s="83"/>
      <c r="AR1077" s="102">
        <v>46262.0</v>
      </c>
      <c r="AS1077" s="83">
        <v>1106491.0</v>
      </c>
    </row>
    <row r="1078" ht="15.75" customHeight="1">
      <c r="A1078" s="111" t="s">
        <v>1335</v>
      </c>
      <c r="B1078" s="83" t="s">
        <v>2050</v>
      </c>
      <c r="C1078" s="83" t="s">
        <v>68</v>
      </c>
      <c r="D1078" s="112">
        <v>1106106.0</v>
      </c>
      <c r="E1078" s="83"/>
      <c r="F1078" s="83">
        <v>2.9097541E7</v>
      </c>
      <c r="G1078" s="91" t="str">
        <f>IFERROR(__xludf.DUMMYFUNCTION("XLOOKUP(AS1078,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ITAN GUIMARÃES CERQUEIRA - POVOADO DE SANTA QUITÉRIA")</f>
        <v>COLÉGIO ESTADUAL ITAN GUIMARÃES CERQUEIRA - POVOADO DE SANTA QUITÉRIA</v>
      </c>
      <c r="H1078" s="114" t="s">
        <v>5833</v>
      </c>
      <c r="I1078" s="91" t="s">
        <v>5834</v>
      </c>
      <c r="J1078" s="83" t="s">
        <v>5835</v>
      </c>
      <c r="K1078" s="83" t="s">
        <v>5836</v>
      </c>
      <c r="L1078" s="83" t="s">
        <v>151</v>
      </c>
      <c r="M1078" s="98" t="s">
        <v>76</v>
      </c>
      <c r="N1078" s="98" t="s">
        <v>5837</v>
      </c>
      <c r="O1078" s="98" t="s">
        <v>155</v>
      </c>
      <c r="P1078" s="99" t="str">
        <f>IFERROR(__xludf.DUMMYFUNCTION("IFERROR(VLOOKUP(AS1078,IMPORTRANGE(""https://docs.google.com/spreadsheets/d/1juPI-Fb8LD0YtltB2mlGEnp_R3UVu1t3wSFPzgCyHXE/edit?gid=0#gid=0"",""GERAL!A2:C""),3,0),""-"")"),"CAMPO")</f>
        <v>CAMPO</v>
      </c>
      <c r="Q1078" s="98" t="s">
        <v>171</v>
      </c>
      <c r="R1078" s="98">
        <v>6.0</v>
      </c>
      <c r="S1078" s="98">
        <v>0.0</v>
      </c>
      <c r="T1078" s="98">
        <v>1.0</v>
      </c>
      <c r="U1078" s="98">
        <v>0.0</v>
      </c>
      <c r="V1078" s="98">
        <v>0.0</v>
      </c>
      <c r="W1078" s="98">
        <v>0.0</v>
      </c>
      <c r="X1078" s="98">
        <v>0.0</v>
      </c>
      <c r="Y1078" s="98">
        <v>0.0</v>
      </c>
      <c r="Z1078" s="98">
        <v>0.0</v>
      </c>
      <c r="AA1078" s="98">
        <v>0.0</v>
      </c>
      <c r="AB1078" s="98">
        <v>0.0</v>
      </c>
      <c r="AC1078" s="98">
        <v>1.0</v>
      </c>
      <c r="AD1078" s="98">
        <v>0.0</v>
      </c>
      <c r="AE1078" s="98">
        <v>0.0</v>
      </c>
      <c r="AF1078" s="98">
        <v>0.0</v>
      </c>
      <c r="AG1078" s="98">
        <v>0.0</v>
      </c>
      <c r="AH1078" s="98">
        <v>0.0</v>
      </c>
      <c r="AI1078" s="98">
        <v>0.0</v>
      </c>
      <c r="AJ1078" s="98">
        <v>0.0</v>
      </c>
      <c r="AK1078" s="98">
        <v>0.0</v>
      </c>
      <c r="AL1078" s="98">
        <v>0.0</v>
      </c>
      <c r="AM1078" s="98">
        <v>0.0</v>
      </c>
      <c r="AN1078" s="98">
        <v>0.0</v>
      </c>
      <c r="AO1078" s="98">
        <v>0.0</v>
      </c>
      <c r="AP1078" s="98">
        <v>0.0</v>
      </c>
      <c r="AQ1078" s="83"/>
      <c r="AR1078" s="102">
        <v>46262.0</v>
      </c>
      <c r="AS1078" s="83">
        <v>1106106.0</v>
      </c>
    </row>
    <row r="1079" ht="15.75" customHeight="1">
      <c r="A1079" s="111" t="s">
        <v>1335</v>
      </c>
      <c r="B1079" s="83" t="s">
        <v>2050</v>
      </c>
      <c r="C1079" s="83" t="s">
        <v>68</v>
      </c>
      <c r="D1079" s="112">
        <v>1106599.0</v>
      </c>
      <c r="E1079" s="83"/>
      <c r="F1079" s="83">
        <v>2.9095212E7</v>
      </c>
      <c r="G1079" s="91" t="str">
        <f>IFERROR(__xludf.DUMMYFUNCTION("XLOOKUP(AS1079,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IRMÃ ROSA APARECIDA")</f>
        <v>COLÉGIO ESTADUAL IRMÃ ROSA APARECIDA</v>
      </c>
      <c r="H1079" s="114" t="s">
        <v>5838</v>
      </c>
      <c r="I1079" s="91" t="s">
        <v>5839</v>
      </c>
      <c r="J1079" s="83" t="s">
        <v>5840</v>
      </c>
      <c r="K1079" s="83" t="s">
        <v>150</v>
      </c>
      <c r="L1079" s="83" t="s">
        <v>5791</v>
      </c>
      <c r="M1079" s="83" t="s">
        <v>169</v>
      </c>
      <c r="N1079" s="98" t="s">
        <v>5841</v>
      </c>
      <c r="O1079" s="98" t="s">
        <v>155</v>
      </c>
      <c r="P1079" s="99" t="str">
        <f>IFERROR(__xludf.DUMMYFUNCTION("IFERROR(VLOOKUP(AS1079,IMPORTRANGE(""https://docs.google.com/spreadsheets/d/1juPI-Fb8LD0YtltB2mlGEnp_R3UVu1t3wSFPzgCyHXE/edit?gid=0#gid=0"",""GERAL!A2:C""),3,0),""-"")"),"-")</f>
        <v>-</v>
      </c>
      <c r="Q1079" s="101" t="s">
        <v>156</v>
      </c>
      <c r="R1079" s="98">
        <v>12.0</v>
      </c>
      <c r="S1079" s="98">
        <v>0.0</v>
      </c>
      <c r="T1079" s="98">
        <v>0.0</v>
      </c>
      <c r="U1079" s="98">
        <v>1.0</v>
      </c>
      <c r="V1079" s="98">
        <v>1.0</v>
      </c>
      <c r="W1079" s="98">
        <v>0.0</v>
      </c>
      <c r="X1079" s="98">
        <v>1.0</v>
      </c>
      <c r="Y1079" s="98">
        <v>0.0</v>
      </c>
      <c r="Z1079" s="98">
        <v>0.0</v>
      </c>
      <c r="AA1079" s="98">
        <v>1.0</v>
      </c>
      <c r="AB1079" s="98">
        <v>0.0</v>
      </c>
      <c r="AC1079" s="98">
        <v>1.0</v>
      </c>
      <c r="AD1079" s="98">
        <v>0.0</v>
      </c>
      <c r="AE1079" s="98">
        <v>0.0</v>
      </c>
      <c r="AF1079" s="98">
        <v>1.0</v>
      </c>
      <c r="AG1079" s="98">
        <v>0.0</v>
      </c>
      <c r="AH1079" s="98">
        <v>0.0</v>
      </c>
      <c r="AI1079" s="98">
        <v>0.0</v>
      </c>
      <c r="AJ1079" s="98">
        <v>0.0</v>
      </c>
      <c r="AK1079" s="98">
        <v>0.0</v>
      </c>
      <c r="AL1079" s="98">
        <v>0.0</v>
      </c>
      <c r="AM1079" s="98">
        <v>0.0</v>
      </c>
      <c r="AN1079" s="98">
        <v>0.0</v>
      </c>
      <c r="AO1079" s="98">
        <v>0.0</v>
      </c>
      <c r="AP1079" s="98">
        <v>2.0</v>
      </c>
      <c r="AQ1079" s="98" t="s">
        <v>5842</v>
      </c>
      <c r="AR1079" s="102">
        <v>46262.0</v>
      </c>
      <c r="AS1079" s="83">
        <v>1106599.0</v>
      </c>
    </row>
    <row r="1080" ht="15.75" customHeight="1">
      <c r="A1080" s="111" t="s">
        <v>1335</v>
      </c>
      <c r="B1080" s="83" t="s">
        <v>2050</v>
      </c>
      <c r="C1080" s="83" t="s">
        <v>68</v>
      </c>
      <c r="D1080" s="112">
        <v>1106297.0</v>
      </c>
      <c r="E1080" s="83"/>
      <c r="F1080" s="83">
        <v>2.9094151E7</v>
      </c>
      <c r="G1080" s="91" t="str">
        <f>IFERROR(__xludf.DUMMYFUNCTION("XLOOKUP(AS1080,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IMACULADA CONCEIÇÃO")</f>
        <v>COLÉGIO ESTADUAL IMACULADA CONCEIÇÃO</v>
      </c>
      <c r="H1080" s="114" t="s">
        <v>2131</v>
      </c>
      <c r="I1080" s="91" t="s">
        <v>5843</v>
      </c>
      <c r="J1080" s="83" t="s">
        <v>5844</v>
      </c>
      <c r="K1080" s="83" t="s">
        <v>150</v>
      </c>
      <c r="L1080" s="83" t="s">
        <v>151</v>
      </c>
      <c r="M1080" s="83" t="s">
        <v>152</v>
      </c>
      <c r="N1080" s="98" t="s">
        <v>5845</v>
      </c>
      <c r="O1080" s="98" t="s">
        <v>155</v>
      </c>
      <c r="P1080" s="99" t="str">
        <f>IFERROR(__xludf.DUMMYFUNCTION("IFERROR(VLOOKUP(AS1080,IMPORTRANGE(""https://docs.google.com/spreadsheets/d/1juPI-Fb8LD0YtltB2mlGEnp_R3UVu1t3wSFPzgCyHXE/edit?gid=0#gid=0"",""GERAL!A2:C""),3,0),""-"")"),"-")</f>
        <v>-</v>
      </c>
      <c r="Q1080" s="101" t="s">
        <v>156</v>
      </c>
      <c r="R1080" s="98">
        <v>9.0</v>
      </c>
      <c r="S1080" s="98">
        <v>1.0</v>
      </c>
      <c r="T1080" s="98">
        <v>0.0</v>
      </c>
      <c r="U1080" s="98">
        <v>0.0</v>
      </c>
      <c r="V1080" s="98">
        <v>0.0</v>
      </c>
      <c r="W1080" s="98">
        <v>0.0</v>
      </c>
      <c r="X1080" s="98">
        <v>0.0</v>
      </c>
      <c r="Y1080" s="98">
        <v>1.0</v>
      </c>
      <c r="Z1080" s="98">
        <v>0.0</v>
      </c>
      <c r="AA1080" s="98">
        <v>0.0</v>
      </c>
      <c r="AB1080" s="98">
        <v>0.0</v>
      </c>
      <c r="AC1080" s="98">
        <v>0.0</v>
      </c>
      <c r="AD1080" s="98">
        <v>0.0</v>
      </c>
      <c r="AE1080" s="98">
        <v>0.0</v>
      </c>
      <c r="AF1080" s="98">
        <v>0.0</v>
      </c>
      <c r="AG1080" s="98">
        <v>0.0</v>
      </c>
      <c r="AH1080" s="98">
        <v>0.0</v>
      </c>
      <c r="AI1080" s="98">
        <v>0.0</v>
      </c>
      <c r="AJ1080" s="98">
        <v>0.0</v>
      </c>
      <c r="AK1080" s="98">
        <v>0.0</v>
      </c>
      <c r="AL1080" s="98">
        <v>0.0</v>
      </c>
      <c r="AM1080" s="98">
        <v>0.0</v>
      </c>
      <c r="AN1080" s="98">
        <v>0.0</v>
      </c>
      <c r="AO1080" s="98">
        <v>0.0</v>
      </c>
      <c r="AP1080" s="98">
        <v>1.0</v>
      </c>
      <c r="AQ1080" s="98" t="s">
        <v>498</v>
      </c>
      <c r="AR1080" s="102">
        <v>46262.0</v>
      </c>
      <c r="AS1080" s="83">
        <v>1106297.0</v>
      </c>
    </row>
    <row r="1081" ht="15.75" customHeight="1">
      <c r="A1081" s="111" t="s">
        <v>1335</v>
      </c>
      <c r="B1081" s="83" t="s">
        <v>2050</v>
      </c>
      <c r="C1081" s="83" t="s">
        <v>68</v>
      </c>
      <c r="D1081" s="112">
        <v>1176448.0</v>
      </c>
      <c r="E1081" s="83"/>
      <c r="F1081" s="83">
        <v>2.9387728E7</v>
      </c>
      <c r="G1081" s="91" t="str">
        <f>IFERROR(__xludf.DUMMYFUNCTION("XLOOKUP(AS1081,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HELENA ASSIS SUZART")</f>
        <v>COLÉGIO ESTADUAL HELENA ASSIS SUZART</v>
      </c>
      <c r="H1081" s="114" t="s">
        <v>5846</v>
      </c>
      <c r="I1081" s="91" t="s">
        <v>5847</v>
      </c>
      <c r="J1081" s="83" t="s">
        <v>5848</v>
      </c>
      <c r="K1081" s="83" t="s">
        <v>150</v>
      </c>
      <c r="L1081" s="83" t="s">
        <v>151</v>
      </c>
      <c r="M1081" s="83" t="s">
        <v>76</v>
      </c>
      <c r="N1081" s="98" t="s">
        <v>5849</v>
      </c>
      <c r="O1081" s="98" t="s">
        <v>155</v>
      </c>
      <c r="P1081" s="99" t="str">
        <f>IFERROR(__xludf.DUMMYFUNCTION("IFERROR(VLOOKUP(AS1081,IMPORTRANGE(""https://docs.google.com/spreadsheets/d/1juPI-Fb8LD0YtltB2mlGEnp_R3UVu1t3wSFPzgCyHXE/edit?gid=0#gid=0"",""GERAL!A2:C""),3,0),""-"")"),"-")</f>
        <v>-</v>
      </c>
      <c r="Q1081" s="101" t="s">
        <v>156</v>
      </c>
      <c r="R1081" s="98">
        <v>6.0</v>
      </c>
      <c r="S1081" s="98">
        <v>0.0</v>
      </c>
      <c r="T1081" s="98">
        <v>0.0</v>
      </c>
      <c r="U1081" s="98">
        <v>0.0</v>
      </c>
      <c r="V1081" s="98">
        <v>0.0</v>
      </c>
      <c r="W1081" s="98">
        <v>0.0</v>
      </c>
      <c r="X1081" s="98">
        <v>0.0</v>
      </c>
      <c r="Y1081" s="98">
        <v>1.0</v>
      </c>
      <c r="Z1081" s="98">
        <v>0.0</v>
      </c>
      <c r="AA1081" s="98">
        <v>0.0</v>
      </c>
      <c r="AB1081" s="98">
        <v>0.0</v>
      </c>
      <c r="AC1081" s="98">
        <v>0.0</v>
      </c>
      <c r="AD1081" s="98">
        <v>0.0</v>
      </c>
      <c r="AE1081" s="98">
        <v>0.0</v>
      </c>
      <c r="AF1081" s="98">
        <v>0.0</v>
      </c>
      <c r="AG1081" s="98">
        <v>0.0</v>
      </c>
      <c r="AH1081" s="98">
        <v>0.0</v>
      </c>
      <c r="AI1081" s="98">
        <v>0.0</v>
      </c>
      <c r="AJ1081" s="98">
        <v>0.0</v>
      </c>
      <c r="AK1081" s="98">
        <v>0.0</v>
      </c>
      <c r="AL1081" s="98">
        <v>0.0</v>
      </c>
      <c r="AM1081" s="98">
        <v>0.0</v>
      </c>
      <c r="AN1081" s="98">
        <v>0.0</v>
      </c>
      <c r="AO1081" s="98">
        <v>0.0</v>
      </c>
      <c r="AP1081" s="98">
        <v>1.0</v>
      </c>
      <c r="AQ1081" s="98" t="s">
        <v>498</v>
      </c>
      <c r="AR1081" s="102">
        <v>46262.0</v>
      </c>
      <c r="AS1081" s="83">
        <v>1176448.0</v>
      </c>
    </row>
    <row r="1082" ht="15.75" customHeight="1">
      <c r="A1082" s="111" t="s">
        <v>1335</v>
      </c>
      <c r="B1082" s="83" t="s">
        <v>2050</v>
      </c>
      <c r="C1082" s="83" t="s">
        <v>68</v>
      </c>
      <c r="D1082" s="112">
        <v>1106742.0</v>
      </c>
      <c r="E1082" s="83"/>
      <c r="F1082" s="83">
        <v>2.9093279E7</v>
      </c>
      <c r="G1082" s="91" t="str">
        <f>IFERROR(__xludf.DUMMYFUNCTION("XLOOKUP(AS1082,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GOVERNADOR LUIZ VIANA FILHO")</f>
        <v>COLÉGIO ESTADUAL GOVERNADOR LUIZ VIANA FILHO</v>
      </c>
      <c r="H1082" s="114" t="s">
        <v>2233</v>
      </c>
      <c r="I1082" s="91" t="s">
        <v>5850</v>
      </c>
      <c r="J1082" s="83" t="s">
        <v>1288</v>
      </c>
      <c r="K1082" s="83" t="s">
        <v>150</v>
      </c>
      <c r="L1082" s="83" t="s">
        <v>151</v>
      </c>
      <c r="M1082" s="83" t="s">
        <v>230</v>
      </c>
      <c r="N1082" s="98" t="s">
        <v>5851</v>
      </c>
      <c r="O1082" s="98" t="s">
        <v>155</v>
      </c>
      <c r="P1082" s="99" t="str">
        <f>IFERROR(__xludf.DUMMYFUNCTION("IFERROR(VLOOKUP(AS1082,IMPORTRANGE(""https://docs.google.com/spreadsheets/d/1juPI-Fb8LD0YtltB2mlGEnp_R3UVu1t3wSFPzgCyHXE/edit?gid=0#gid=0"",""GERAL!A2:C""),3,0),""-"")"),"-")</f>
        <v>-</v>
      </c>
      <c r="Q1082" s="101" t="s">
        <v>156</v>
      </c>
      <c r="R1082" s="98">
        <v>21.0</v>
      </c>
      <c r="S1082" s="98">
        <v>0.0</v>
      </c>
      <c r="T1082" s="98">
        <v>1.0</v>
      </c>
      <c r="U1082" s="98">
        <v>1.0</v>
      </c>
      <c r="V1082" s="98">
        <v>1.0</v>
      </c>
      <c r="W1082" s="98">
        <v>0.0</v>
      </c>
      <c r="X1082" s="98">
        <v>1.0</v>
      </c>
      <c r="Y1082" s="98">
        <v>0.0</v>
      </c>
      <c r="Z1082" s="98">
        <v>0.0</v>
      </c>
      <c r="AA1082" s="98">
        <v>0.0</v>
      </c>
      <c r="AB1082" s="98">
        <v>0.0</v>
      </c>
      <c r="AC1082" s="98">
        <v>0.0</v>
      </c>
      <c r="AD1082" s="98">
        <v>0.0</v>
      </c>
      <c r="AE1082" s="98">
        <v>0.0</v>
      </c>
      <c r="AF1082" s="98">
        <v>0.0</v>
      </c>
      <c r="AG1082" s="98">
        <v>1.0</v>
      </c>
      <c r="AH1082" s="98">
        <v>0.0</v>
      </c>
      <c r="AI1082" s="98">
        <v>0.0</v>
      </c>
      <c r="AJ1082" s="98">
        <v>0.0</v>
      </c>
      <c r="AK1082" s="98">
        <v>0.0</v>
      </c>
      <c r="AL1082" s="98">
        <v>0.0</v>
      </c>
      <c r="AM1082" s="98">
        <v>0.0</v>
      </c>
      <c r="AN1082" s="98">
        <v>0.0</v>
      </c>
      <c r="AO1082" s="98">
        <v>0.0</v>
      </c>
      <c r="AP1082" s="98">
        <v>2.0</v>
      </c>
      <c r="AQ1082" s="98" t="s">
        <v>5769</v>
      </c>
      <c r="AR1082" s="102">
        <v>46262.0</v>
      </c>
      <c r="AS1082" s="83">
        <v>1106742.0</v>
      </c>
    </row>
    <row r="1083" ht="15.75" customHeight="1">
      <c r="A1083" s="111" t="s">
        <v>1335</v>
      </c>
      <c r="B1083" s="83" t="s">
        <v>2050</v>
      </c>
      <c r="C1083" s="83" t="s">
        <v>68</v>
      </c>
      <c r="D1083" s="112">
        <v>1105940.0</v>
      </c>
      <c r="E1083" s="83"/>
      <c r="F1083" s="83">
        <v>2.9094194E7</v>
      </c>
      <c r="G1083" s="91" t="str">
        <f>IFERROR(__xludf.DUMMYFUNCTION("XLOOKUP(AS1083,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ERNESTO CARNEIRO RIBEIRO")</f>
        <v>COLÉGIO ESTADUAL ERNESTO CARNEIRO RIBEIRO</v>
      </c>
      <c r="H1083" s="114" t="s">
        <v>5859</v>
      </c>
      <c r="I1083" s="91" t="s">
        <v>5860</v>
      </c>
      <c r="J1083" s="83" t="s">
        <v>149</v>
      </c>
      <c r="K1083" s="83" t="s">
        <v>150</v>
      </c>
      <c r="L1083" s="83" t="s">
        <v>151</v>
      </c>
      <c r="M1083" s="83" t="s">
        <v>152</v>
      </c>
      <c r="N1083" s="98" t="s">
        <v>5861</v>
      </c>
      <c r="O1083" s="98" t="s">
        <v>155</v>
      </c>
      <c r="P1083" s="99" t="str">
        <f>IFERROR(__xludf.DUMMYFUNCTION("IFERROR(VLOOKUP(AS1083,IMPORTRANGE(""https://docs.google.com/spreadsheets/d/1juPI-Fb8LD0YtltB2mlGEnp_R3UVu1t3wSFPzgCyHXE/edit?gid=0#gid=0"",""GERAL!A2:C""),3,0),""-"")"),"-")</f>
        <v>-</v>
      </c>
      <c r="Q1083" s="101" t="s">
        <v>156</v>
      </c>
      <c r="R1083" s="98">
        <v>16.0</v>
      </c>
      <c r="S1083" s="98">
        <v>0.0</v>
      </c>
      <c r="T1083" s="98">
        <v>1.0</v>
      </c>
      <c r="U1083" s="98">
        <v>0.0</v>
      </c>
      <c r="V1083" s="98">
        <v>0.0</v>
      </c>
      <c r="W1083" s="98">
        <v>0.0</v>
      </c>
      <c r="X1083" s="98">
        <v>0.0</v>
      </c>
      <c r="Y1083" s="98">
        <v>0.0</v>
      </c>
      <c r="Z1083" s="98">
        <v>0.0</v>
      </c>
      <c r="AA1083" s="98">
        <v>0.0</v>
      </c>
      <c r="AB1083" s="98">
        <v>0.0</v>
      </c>
      <c r="AC1083" s="98">
        <v>1.0</v>
      </c>
      <c r="AD1083" s="98">
        <v>0.0</v>
      </c>
      <c r="AE1083" s="98">
        <v>0.0</v>
      </c>
      <c r="AF1083" s="98">
        <v>0.0</v>
      </c>
      <c r="AG1083" s="98">
        <v>1.0</v>
      </c>
      <c r="AH1083" s="98">
        <v>0.0</v>
      </c>
      <c r="AI1083" s="98">
        <v>0.0</v>
      </c>
      <c r="AJ1083" s="98">
        <v>0.0</v>
      </c>
      <c r="AK1083" s="98">
        <v>0.0</v>
      </c>
      <c r="AL1083" s="98">
        <v>0.0</v>
      </c>
      <c r="AM1083" s="98">
        <v>0.0</v>
      </c>
      <c r="AN1083" s="98">
        <v>0.0</v>
      </c>
      <c r="AO1083" s="98">
        <v>0.0</v>
      </c>
      <c r="AP1083" s="98">
        <v>1.0</v>
      </c>
      <c r="AQ1083" s="98" t="s">
        <v>498</v>
      </c>
      <c r="AR1083" s="102">
        <v>46262.0</v>
      </c>
      <c r="AS1083" s="83">
        <v>1105940.0</v>
      </c>
    </row>
    <row r="1084" ht="15.75" customHeight="1">
      <c r="A1084" s="111" t="s">
        <v>1335</v>
      </c>
      <c r="B1084" s="83" t="s">
        <v>2050</v>
      </c>
      <c r="C1084" s="83" t="s">
        <v>68</v>
      </c>
      <c r="D1084" s="112">
        <v>1105886.0</v>
      </c>
      <c r="E1084" s="83"/>
      <c r="F1084" s="83">
        <v>2.909366E7</v>
      </c>
      <c r="G1084" s="91" t="str">
        <f>IFERROR(__xludf.DUMMYFUNCTION("XLOOKUP(AS1084,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DURVALINA CARNEIRO")</f>
        <v>COLÉGIO ESTADUAL DURVALINA CARNEIRO</v>
      </c>
      <c r="H1084" s="114" t="s">
        <v>5862</v>
      </c>
      <c r="I1084" s="91" t="s">
        <v>5863</v>
      </c>
      <c r="J1084" s="83" t="s">
        <v>5864</v>
      </c>
      <c r="K1084" s="83" t="s">
        <v>150</v>
      </c>
      <c r="L1084" s="83" t="s">
        <v>151</v>
      </c>
      <c r="M1084" s="83" t="s">
        <v>152</v>
      </c>
      <c r="N1084" s="98" t="s">
        <v>5865</v>
      </c>
      <c r="O1084" s="98" t="s">
        <v>155</v>
      </c>
      <c r="P1084" s="99" t="str">
        <f>IFERROR(__xludf.DUMMYFUNCTION("IFERROR(VLOOKUP(AS1084,IMPORTRANGE(""https://docs.google.com/spreadsheets/d/1juPI-Fb8LD0YtltB2mlGEnp_R3UVu1t3wSFPzgCyHXE/edit?gid=0#gid=0"",""GERAL!A2:C""),3,0),""-"")"),"-")</f>
        <v>-</v>
      </c>
      <c r="Q1084" s="98" t="s">
        <v>171</v>
      </c>
      <c r="R1084" s="98">
        <v>10.0</v>
      </c>
      <c r="S1084" s="98">
        <v>0.0</v>
      </c>
      <c r="T1084" s="98">
        <v>1.0</v>
      </c>
      <c r="U1084" s="98">
        <v>0.0</v>
      </c>
      <c r="V1084" s="98">
        <v>0.0</v>
      </c>
      <c r="W1084" s="98">
        <v>0.0</v>
      </c>
      <c r="X1084" s="98">
        <v>1.0</v>
      </c>
      <c r="Y1084" s="98">
        <v>0.0</v>
      </c>
      <c r="Z1084" s="98">
        <v>0.0</v>
      </c>
      <c r="AA1084" s="98">
        <v>0.0</v>
      </c>
      <c r="AB1084" s="98">
        <v>0.0</v>
      </c>
      <c r="AC1084" s="98">
        <v>0.0</v>
      </c>
      <c r="AD1084" s="98">
        <v>0.0</v>
      </c>
      <c r="AE1084" s="98">
        <v>0.0</v>
      </c>
      <c r="AF1084" s="98">
        <v>1.0</v>
      </c>
      <c r="AG1084" s="98">
        <v>0.0</v>
      </c>
      <c r="AH1084" s="98">
        <v>0.0</v>
      </c>
      <c r="AI1084" s="98">
        <v>0.0</v>
      </c>
      <c r="AJ1084" s="98">
        <v>0.0</v>
      </c>
      <c r="AK1084" s="98">
        <v>0.0</v>
      </c>
      <c r="AL1084" s="98">
        <v>0.0</v>
      </c>
      <c r="AM1084" s="98">
        <v>0.0</v>
      </c>
      <c r="AN1084" s="98">
        <v>0.0</v>
      </c>
      <c r="AO1084" s="98">
        <v>0.0</v>
      </c>
      <c r="AP1084" s="98">
        <v>1.0</v>
      </c>
      <c r="AQ1084" s="98" t="s">
        <v>498</v>
      </c>
      <c r="AR1084" s="102">
        <v>46262.0</v>
      </c>
      <c r="AS1084" s="83">
        <v>1105886.0</v>
      </c>
    </row>
    <row r="1085" ht="15.75" customHeight="1">
      <c r="A1085" s="111" t="s">
        <v>1335</v>
      </c>
      <c r="B1085" s="83" t="s">
        <v>2050</v>
      </c>
      <c r="C1085" s="83" t="s">
        <v>68</v>
      </c>
      <c r="D1085" s="112">
        <v>1178219.0</v>
      </c>
      <c r="E1085" s="83"/>
      <c r="F1085" s="83">
        <v>2.9443768E7</v>
      </c>
      <c r="G1085" s="91" t="str">
        <f>IFERROR(__xludf.DUMMYFUNCTION("XLOOKUP(AS1085,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JAIR SANTOS SILVA")</f>
        <v>COLÉGIO ESTADUAL DOUTOR JAIR SANTOS SILVA</v>
      </c>
      <c r="H1085" s="114" t="s">
        <v>5866</v>
      </c>
      <c r="I1085" s="91" t="s">
        <v>5867</v>
      </c>
      <c r="J1085" s="83" t="s">
        <v>5868</v>
      </c>
      <c r="K1085" s="83" t="s">
        <v>150</v>
      </c>
      <c r="L1085" s="83" t="s">
        <v>151</v>
      </c>
      <c r="M1085" s="83" t="s">
        <v>76</v>
      </c>
      <c r="N1085" s="98" t="s">
        <v>5869</v>
      </c>
      <c r="O1085" s="98" t="s">
        <v>155</v>
      </c>
      <c r="P1085" s="99" t="str">
        <f>IFERROR(__xludf.DUMMYFUNCTION("IFERROR(VLOOKUP(AS1085,IMPORTRANGE(""https://docs.google.com/spreadsheets/d/1juPI-Fb8LD0YtltB2mlGEnp_R3UVu1t3wSFPzgCyHXE/edit?gid=0#gid=0"",""GERAL!A2:C""),3,0),""-"")"),"-")</f>
        <v>-</v>
      </c>
      <c r="Q1085" s="101" t="s">
        <v>156</v>
      </c>
      <c r="R1085" s="98">
        <v>9.0</v>
      </c>
      <c r="S1085" s="98">
        <v>0.0</v>
      </c>
      <c r="T1085" s="98">
        <v>1.0</v>
      </c>
      <c r="U1085" s="98">
        <v>1.0</v>
      </c>
      <c r="V1085" s="98">
        <v>1.0</v>
      </c>
      <c r="W1085" s="98">
        <v>0.0</v>
      </c>
      <c r="X1085" s="98">
        <v>1.0</v>
      </c>
      <c r="Y1085" s="98">
        <v>0.0</v>
      </c>
      <c r="Z1085" s="98">
        <v>0.0</v>
      </c>
      <c r="AA1085" s="98">
        <v>0.0</v>
      </c>
      <c r="AB1085" s="98">
        <v>0.0</v>
      </c>
      <c r="AC1085" s="98">
        <v>0.0</v>
      </c>
      <c r="AD1085" s="98">
        <v>0.0</v>
      </c>
      <c r="AE1085" s="98">
        <v>0.0</v>
      </c>
      <c r="AF1085" s="98">
        <v>0.0</v>
      </c>
      <c r="AG1085" s="98">
        <v>1.0</v>
      </c>
      <c r="AH1085" s="98">
        <v>0.0</v>
      </c>
      <c r="AI1085" s="98">
        <v>0.0</v>
      </c>
      <c r="AJ1085" s="98">
        <v>0.0</v>
      </c>
      <c r="AK1085" s="98">
        <v>0.0</v>
      </c>
      <c r="AL1085" s="98">
        <v>0.0</v>
      </c>
      <c r="AM1085" s="98">
        <v>0.0</v>
      </c>
      <c r="AN1085" s="98">
        <v>0.0</v>
      </c>
      <c r="AO1085" s="98">
        <v>0.0</v>
      </c>
      <c r="AP1085" s="98">
        <v>1.0</v>
      </c>
      <c r="AQ1085" s="98" t="s">
        <v>498</v>
      </c>
      <c r="AR1085" s="102">
        <v>46262.0</v>
      </c>
      <c r="AS1085" s="83">
        <v>1178219.0</v>
      </c>
    </row>
    <row r="1086" ht="15.75" customHeight="1">
      <c r="A1086" s="111" t="s">
        <v>1335</v>
      </c>
      <c r="B1086" s="83" t="s">
        <v>2050</v>
      </c>
      <c r="C1086" s="83" t="s">
        <v>68</v>
      </c>
      <c r="D1086" s="112">
        <v>1106211.0</v>
      </c>
      <c r="E1086" s="83"/>
      <c r="F1086" s="83">
        <v>2.9096596E7</v>
      </c>
      <c r="G1086" s="91" t="str">
        <f>IFERROR(__xludf.DUMMYFUNCTION("XLOOKUP(AS1086,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PADRE HENRIQUE ALVES BORGES - DISTRITO DE HUMILDES")</f>
        <v>COLÉGIO ESTADUAL DO CAMPO PADRE HENRIQUE ALVES BORGES - DISTRITO DE HUMILDES</v>
      </c>
      <c r="H1086" s="114" t="s">
        <v>5876</v>
      </c>
      <c r="I1086" s="91" t="s">
        <v>5877</v>
      </c>
      <c r="J1086" s="83" t="s">
        <v>5878</v>
      </c>
      <c r="K1086" s="83" t="s">
        <v>2714</v>
      </c>
      <c r="L1086" s="83" t="s">
        <v>151</v>
      </c>
      <c r="M1086" s="83" t="s">
        <v>152</v>
      </c>
      <c r="N1086" s="98" t="s">
        <v>5879</v>
      </c>
      <c r="O1086" s="98" t="s">
        <v>155</v>
      </c>
      <c r="P1086" s="99" t="str">
        <f>IFERROR(__xludf.DUMMYFUNCTION("IFERROR(VLOOKUP(AS1086,IMPORTRANGE(""https://docs.google.com/spreadsheets/d/1juPI-Fb8LD0YtltB2mlGEnp_R3UVu1t3wSFPzgCyHXE/edit?gid=0#gid=0"",""GERAL!A2:C""),3,0),""-"")"),"CAMPO")</f>
        <v>CAMPO</v>
      </c>
      <c r="Q1086" s="101" t="s">
        <v>156</v>
      </c>
      <c r="R1086" s="98">
        <v>12.0</v>
      </c>
      <c r="S1086" s="98">
        <v>0.0</v>
      </c>
      <c r="T1086" s="98">
        <v>0.0</v>
      </c>
      <c r="U1086" s="98">
        <v>0.0</v>
      </c>
      <c r="V1086" s="98">
        <v>0.0</v>
      </c>
      <c r="W1086" s="98">
        <v>0.0</v>
      </c>
      <c r="X1086" s="98">
        <v>0.0</v>
      </c>
      <c r="Y1086" s="98">
        <v>0.0</v>
      </c>
      <c r="Z1086" s="98">
        <v>0.0</v>
      </c>
      <c r="AA1086" s="98">
        <v>0.0</v>
      </c>
      <c r="AB1086" s="98">
        <v>0.0</v>
      </c>
      <c r="AC1086" s="98">
        <v>0.0</v>
      </c>
      <c r="AD1086" s="98">
        <v>0.0</v>
      </c>
      <c r="AE1086" s="98">
        <v>0.0</v>
      </c>
      <c r="AF1086" s="98">
        <v>0.0</v>
      </c>
      <c r="AG1086" s="98">
        <v>1.0</v>
      </c>
      <c r="AH1086" s="98">
        <v>0.0</v>
      </c>
      <c r="AI1086" s="98">
        <v>0.0</v>
      </c>
      <c r="AJ1086" s="98">
        <v>0.0</v>
      </c>
      <c r="AK1086" s="98">
        <v>0.0</v>
      </c>
      <c r="AL1086" s="98">
        <v>0.0</v>
      </c>
      <c r="AM1086" s="98">
        <v>0.0</v>
      </c>
      <c r="AN1086" s="98">
        <v>0.0</v>
      </c>
      <c r="AO1086" s="98">
        <v>0.0</v>
      </c>
      <c r="AP1086" s="98">
        <v>2.0</v>
      </c>
      <c r="AQ1086" s="98" t="s">
        <v>5769</v>
      </c>
      <c r="AR1086" s="102">
        <v>46262.0</v>
      </c>
      <c r="AS1086" s="83">
        <v>1106211.0</v>
      </c>
    </row>
    <row r="1087" ht="15.75" customHeight="1">
      <c r="A1087" s="111" t="s">
        <v>1335</v>
      </c>
      <c r="B1087" s="83" t="s">
        <v>2050</v>
      </c>
      <c r="C1087" s="83" t="s">
        <v>68</v>
      </c>
      <c r="D1087" s="112">
        <v>1106718.0</v>
      </c>
      <c r="E1087" s="83"/>
      <c r="F1087" s="83">
        <v>2.9097703E7</v>
      </c>
      <c r="G1087" s="91" t="str">
        <f>IFERROR(__xludf.DUMMYFUNCTION("XLOOKUP(AS1087,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MARIA QUITÉRIA- DISTRITO DE MARIA QUITÉRIA")</f>
        <v>COLÉGIO ESTADUAL DO CAMPO MARIA QUITÉRIA- DISTRITO DE MARIA QUITÉRIA</v>
      </c>
      <c r="H1087" s="114" t="s">
        <v>5880</v>
      </c>
      <c r="I1087" s="91" t="s">
        <v>5881</v>
      </c>
      <c r="J1087" s="233" t="s">
        <v>5882</v>
      </c>
      <c r="K1087" s="83" t="s">
        <v>1498</v>
      </c>
      <c r="L1087" s="83" t="s">
        <v>151</v>
      </c>
      <c r="M1087" s="83" t="s">
        <v>230</v>
      </c>
      <c r="N1087" s="98" t="s">
        <v>5883</v>
      </c>
      <c r="O1087" s="98" t="s">
        <v>155</v>
      </c>
      <c r="P1087" s="99" t="str">
        <f>IFERROR(__xludf.DUMMYFUNCTION("IFERROR(VLOOKUP(AS1087,IMPORTRANGE(""https://docs.google.com/spreadsheets/d/1juPI-Fb8LD0YtltB2mlGEnp_R3UVu1t3wSFPzgCyHXE/edit?gid=0#gid=0"",""GERAL!A2:C""),3,0),""-"")"),"CAMPO")</f>
        <v>CAMPO</v>
      </c>
      <c r="Q1087" s="101" t="s">
        <v>156</v>
      </c>
      <c r="R1087" s="98">
        <v>13.0</v>
      </c>
      <c r="S1087" s="98">
        <v>1.0</v>
      </c>
      <c r="T1087" s="98">
        <v>0.0</v>
      </c>
      <c r="U1087" s="98">
        <v>0.0</v>
      </c>
      <c r="V1087" s="98">
        <v>0.0</v>
      </c>
      <c r="W1087" s="98">
        <v>0.0</v>
      </c>
      <c r="X1087" s="98">
        <v>0.0</v>
      </c>
      <c r="Y1087" s="98">
        <v>0.0</v>
      </c>
      <c r="Z1087" s="98">
        <v>0.0</v>
      </c>
      <c r="AA1087" s="98">
        <v>1.0</v>
      </c>
      <c r="AB1087" s="98">
        <v>0.0</v>
      </c>
      <c r="AC1087" s="98">
        <v>0.0</v>
      </c>
      <c r="AD1087" s="98">
        <v>0.0</v>
      </c>
      <c r="AE1087" s="98">
        <v>0.0</v>
      </c>
      <c r="AF1087" s="98">
        <v>0.0</v>
      </c>
      <c r="AG1087" s="98">
        <v>1.0</v>
      </c>
      <c r="AH1087" s="98">
        <v>0.0</v>
      </c>
      <c r="AI1087" s="98">
        <v>0.0</v>
      </c>
      <c r="AJ1087" s="98">
        <v>0.0</v>
      </c>
      <c r="AK1087" s="98">
        <v>0.0</v>
      </c>
      <c r="AL1087" s="98">
        <v>0.0</v>
      </c>
      <c r="AM1087" s="98">
        <v>0.0</v>
      </c>
      <c r="AN1087" s="98">
        <v>0.0</v>
      </c>
      <c r="AO1087" s="98">
        <v>0.0</v>
      </c>
      <c r="AP1087" s="98">
        <v>1.0</v>
      </c>
      <c r="AQ1087" s="98" t="s">
        <v>5884</v>
      </c>
      <c r="AR1087" s="102">
        <v>46262.0</v>
      </c>
      <c r="AS1087" s="83">
        <v>1106718.0</v>
      </c>
    </row>
    <row r="1088" ht="15.75" customHeight="1">
      <c r="A1088" s="111" t="s">
        <v>1335</v>
      </c>
      <c r="B1088" s="83" t="s">
        <v>2050</v>
      </c>
      <c r="C1088" s="83" t="s">
        <v>68</v>
      </c>
      <c r="D1088" s="112">
        <v>1106394.0</v>
      </c>
      <c r="E1088" s="83"/>
      <c r="F1088" s="83">
        <v>2.9095239E7</v>
      </c>
      <c r="G1088" s="91" t="str">
        <f>IFERROR(__xludf.DUMMYFUNCTION("XLOOKUP(AS1088,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JOÃO BAPTISTA CARNEIRO - DISTRITO DE IPUAÇU")</f>
        <v>COLÉGIO ESTADUAL DO CAMPO JOÃO BAPTISTA CARNEIRO - DISTRITO DE IPUAÇU</v>
      </c>
      <c r="H1088" s="114" t="s">
        <v>5890</v>
      </c>
      <c r="I1088" s="91" t="s">
        <v>5891</v>
      </c>
      <c r="J1088" s="83" t="s">
        <v>5893</v>
      </c>
      <c r="K1088" s="83" t="s">
        <v>2668</v>
      </c>
      <c r="L1088" s="83" t="s">
        <v>151</v>
      </c>
      <c r="M1088" s="83" t="s">
        <v>169</v>
      </c>
      <c r="N1088" s="98" t="s">
        <v>5894</v>
      </c>
      <c r="O1088" s="98" t="s">
        <v>155</v>
      </c>
      <c r="P1088" s="99" t="str">
        <f>IFERROR(__xludf.DUMMYFUNCTION("IFERROR(VLOOKUP(AS1088,IMPORTRANGE(""https://docs.google.com/spreadsheets/d/1juPI-Fb8LD0YtltB2mlGEnp_R3UVu1t3wSFPzgCyHXE/edit?gid=0#gid=0"",""GERAL!A2:C""),3,0),""-"")"),"CAMPO")</f>
        <v>CAMPO</v>
      </c>
      <c r="Q1088" s="101" t="s">
        <v>156</v>
      </c>
      <c r="R1088" s="98">
        <v>9.0</v>
      </c>
      <c r="S1088" s="98">
        <v>0.0</v>
      </c>
      <c r="T1088" s="98">
        <v>0.0</v>
      </c>
      <c r="U1088" s="98">
        <v>0.0</v>
      </c>
      <c r="V1088" s="98">
        <v>0.0</v>
      </c>
      <c r="W1088" s="98">
        <v>0.0</v>
      </c>
      <c r="X1088" s="98">
        <v>0.0</v>
      </c>
      <c r="Y1088" s="98">
        <v>0.0</v>
      </c>
      <c r="Z1088" s="98">
        <v>0.0</v>
      </c>
      <c r="AA1088" s="98">
        <v>0.0</v>
      </c>
      <c r="AB1088" s="98">
        <v>0.0</v>
      </c>
      <c r="AC1088" s="98">
        <v>0.0</v>
      </c>
      <c r="AD1088" s="98">
        <v>0.0</v>
      </c>
      <c r="AE1088" s="98">
        <v>0.0</v>
      </c>
      <c r="AF1088" s="98">
        <v>0.0</v>
      </c>
      <c r="AG1088" s="98">
        <v>0.0</v>
      </c>
      <c r="AH1088" s="98">
        <v>0.0</v>
      </c>
      <c r="AI1088" s="98">
        <v>0.0</v>
      </c>
      <c r="AJ1088" s="98">
        <v>0.0</v>
      </c>
      <c r="AK1088" s="98">
        <v>0.0</v>
      </c>
      <c r="AL1088" s="98">
        <v>0.0</v>
      </c>
      <c r="AM1088" s="98">
        <v>0.0</v>
      </c>
      <c r="AN1088" s="98">
        <v>0.0</v>
      </c>
      <c r="AO1088" s="98">
        <v>0.0</v>
      </c>
      <c r="AP1088" s="98">
        <v>1.0</v>
      </c>
      <c r="AQ1088" s="98" t="s">
        <v>5895</v>
      </c>
      <c r="AR1088" s="102">
        <v>46262.0</v>
      </c>
      <c r="AS1088" s="83">
        <v>1106394.0</v>
      </c>
    </row>
    <row r="1089" ht="15.75" customHeight="1">
      <c r="A1089" s="111" t="s">
        <v>1335</v>
      </c>
      <c r="B1089" s="83" t="s">
        <v>2050</v>
      </c>
      <c r="C1089" s="83" t="s">
        <v>68</v>
      </c>
      <c r="D1089" s="112">
        <v>1105932.0</v>
      </c>
      <c r="E1089" s="83"/>
      <c r="F1089" s="83">
        <v>2.9096847E7</v>
      </c>
      <c r="G1089" s="91" t="str">
        <f>IFERROR(__xludf.DUMMYFUNCTION("XLOOKUP(AS1089,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EDIVALDO MACHADO BOAVENTURA - DISTRITO DE IPUAÇU")</f>
        <v>COLÉGIO ESTADUAL DO CAMPO EDIVALDO MACHADO BOAVENTURA - DISTRITO DE IPUAÇU</v>
      </c>
      <c r="H1089" s="114" t="s">
        <v>5896</v>
      </c>
      <c r="I1089" s="91" t="s">
        <v>5897</v>
      </c>
      <c r="J1089" s="83" t="s">
        <v>5893</v>
      </c>
      <c r="K1089" s="83" t="s">
        <v>5898</v>
      </c>
      <c r="L1089" s="83" t="s">
        <v>151</v>
      </c>
      <c r="M1089" s="83" t="s">
        <v>169</v>
      </c>
      <c r="N1089" s="98" t="s">
        <v>5899</v>
      </c>
      <c r="O1089" s="98" t="s">
        <v>155</v>
      </c>
      <c r="P1089" s="99" t="str">
        <f>IFERROR(__xludf.DUMMYFUNCTION("IFERROR(VLOOKUP(AS1089,IMPORTRANGE(""https://docs.google.com/spreadsheets/d/1juPI-Fb8LD0YtltB2mlGEnp_R3UVu1t3wSFPzgCyHXE/edit?gid=0#gid=0"",""GERAL!A2:C""),3,0),""-"")"),"CAMPO")</f>
        <v>CAMPO</v>
      </c>
      <c r="Q1089" s="101" t="s">
        <v>156</v>
      </c>
      <c r="R1089" s="98">
        <v>6.0</v>
      </c>
      <c r="S1089" s="98">
        <v>0.0</v>
      </c>
      <c r="T1089" s="98">
        <v>0.0</v>
      </c>
      <c r="U1089" s="98">
        <v>0.0</v>
      </c>
      <c r="V1089" s="98">
        <v>0.0</v>
      </c>
      <c r="W1089" s="98">
        <v>0.0</v>
      </c>
      <c r="X1089" s="98">
        <v>0.0</v>
      </c>
      <c r="Y1089" s="98">
        <v>1.0</v>
      </c>
      <c r="Z1089" s="98">
        <v>0.0</v>
      </c>
      <c r="AA1089" s="98">
        <v>0.0</v>
      </c>
      <c r="AB1089" s="98">
        <v>0.0</v>
      </c>
      <c r="AC1089" s="98">
        <v>0.0</v>
      </c>
      <c r="AD1089" s="98">
        <v>0.0</v>
      </c>
      <c r="AE1089" s="98">
        <v>0.0</v>
      </c>
      <c r="AF1089" s="98">
        <v>0.0</v>
      </c>
      <c r="AG1089" s="98">
        <v>0.0</v>
      </c>
      <c r="AH1089" s="98">
        <v>0.0</v>
      </c>
      <c r="AI1089" s="98">
        <v>0.0</v>
      </c>
      <c r="AJ1089" s="98">
        <v>0.0</v>
      </c>
      <c r="AK1089" s="98">
        <v>0.0</v>
      </c>
      <c r="AL1089" s="98">
        <v>0.0</v>
      </c>
      <c r="AM1089" s="98">
        <v>0.0</v>
      </c>
      <c r="AN1089" s="98">
        <v>0.0</v>
      </c>
      <c r="AO1089" s="98">
        <v>0.0</v>
      </c>
      <c r="AP1089" s="98">
        <v>2.0</v>
      </c>
      <c r="AQ1089" s="98" t="s">
        <v>5902</v>
      </c>
      <c r="AR1089" s="102">
        <v>46262.0</v>
      </c>
      <c r="AS1089" s="83">
        <v>1105932.0</v>
      </c>
    </row>
    <row r="1090" ht="15.75" customHeight="1">
      <c r="A1090" s="111" t="s">
        <v>1335</v>
      </c>
      <c r="B1090" s="83" t="s">
        <v>2050</v>
      </c>
      <c r="C1090" s="83" t="s">
        <v>68</v>
      </c>
      <c r="D1090" s="112">
        <v>1178137.0</v>
      </c>
      <c r="E1090" s="83"/>
      <c r="F1090" s="83">
        <v>2.9441633E7</v>
      </c>
      <c r="G1090" s="91" t="str">
        <f>IFERROR(__xludf.DUMMYFUNCTION("XLOOKUP(AS1090,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JAGUARA - DISTRITO DE JAGUARA")</f>
        <v>COLÉGIO ESTADUAL DO CAMPO DE JAGUARA - DISTRITO DE JAGUARA</v>
      </c>
      <c r="H1090" s="114" t="s">
        <v>5903</v>
      </c>
      <c r="I1090" s="91" t="s">
        <v>5904</v>
      </c>
      <c r="J1090" s="83" t="s">
        <v>149</v>
      </c>
      <c r="K1090" s="83" t="s">
        <v>2668</v>
      </c>
      <c r="L1090" s="83" t="s">
        <v>1078</v>
      </c>
      <c r="M1090" s="83" t="s">
        <v>169</v>
      </c>
      <c r="N1090" s="98" t="s">
        <v>5905</v>
      </c>
      <c r="O1090" s="98" t="s">
        <v>155</v>
      </c>
      <c r="P1090" s="99" t="str">
        <f>IFERROR(__xludf.DUMMYFUNCTION("IFERROR(VLOOKUP(AS1090,IMPORTRANGE(""https://docs.google.com/spreadsheets/d/1juPI-Fb8LD0YtltB2mlGEnp_R3UVu1t3wSFPzgCyHXE/edit?gid=0#gid=0"",""GERAL!A2:C""),3,0),""-"")"),"CAMPO")</f>
        <v>CAMPO</v>
      </c>
      <c r="Q1090" s="101" t="s">
        <v>156</v>
      </c>
      <c r="R1090" s="98">
        <v>3.0</v>
      </c>
      <c r="S1090" s="98">
        <v>0.0</v>
      </c>
      <c r="T1090" s="98">
        <v>1.0</v>
      </c>
      <c r="U1090" s="98">
        <v>0.0</v>
      </c>
      <c r="V1090" s="98">
        <v>0.0</v>
      </c>
      <c r="W1090" s="98">
        <v>0.0</v>
      </c>
      <c r="X1090" s="98">
        <v>0.0</v>
      </c>
      <c r="Y1090" s="98">
        <v>1.0</v>
      </c>
      <c r="Z1090" s="98">
        <v>0.0</v>
      </c>
      <c r="AA1090" s="98">
        <v>0.0</v>
      </c>
      <c r="AB1090" s="98">
        <v>0.0</v>
      </c>
      <c r="AC1090" s="98">
        <v>0.0</v>
      </c>
      <c r="AD1090" s="98">
        <v>0.0</v>
      </c>
      <c r="AE1090" s="98">
        <v>0.0</v>
      </c>
      <c r="AF1090" s="98">
        <v>0.0</v>
      </c>
      <c r="AG1090" s="98">
        <v>0.0</v>
      </c>
      <c r="AH1090" s="98">
        <v>0.0</v>
      </c>
      <c r="AI1090" s="98">
        <v>0.0</v>
      </c>
      <c r="AJ1090" s="98">
        <v>0.0</v>
      </c>
      <c r="AK1090" s="98">
        <v>0.0</v>
      </c>
      <c r="AL1090" s="98">
        <v>0.0</v>
      </c>
      <c r="AM1090" s="98">
        <v>0.0</v>
      </c>
      <c r="AN1090" s="98">
        <v>0.0</v>
      </c>
      <c r="AO1090" s="98">
        <v>0.0</v>
      </c>
      <c r="AP1090" s="98">
        <v>0.0</v>
      </c>
      <c r="AQ1090" s="83"/>
      <c r="AR1090" s="102">
        <v>46262.0</v>
      </c>
      <c r="AS1090" s="83">
        <v>1178137.0</v>
      </c>
    </row>
    <row r="1091" ht="15.75" customHeight="1">
      <c r="A1091" s="111" t="s">
        <v>1335</v>
      </c>
      <c r="B1091" s="83" t="s">
        <v>2050</v>
      </c>
      <c r="C1091" s="83" t="s">
        <v>68</v>
      </c>
      <c r="D1091" s="98">
        <v>1179769.0</v>
      </c>
      <c r="E1091" s="83"/>
      <c r="F1091" s="98">
        <v>2.9095158E7</v>
      </c>
      <c r="G1091" s="91" t="str">
        <f>IFERROR(__xludf.DUMMYFUNCTION("XLOOKUP(AS1091,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DE TEMPO INTEGRAL PROFESSORA CELIA SANTOS ANDRADE (ANTIGO GENERAL SAMPAIO)")</f>
        <v>COLEGIO ESTADUAL DE TEMPO INTEGRAL PROFESSORA CELIA SANTOS ANDRADE (ANTIGO GENERAL SAMPAIO)</v>
      </c>
      <c r="H1091" s="119" t="s">
        <v>5907</v>
      </c>
      <c r="I1091" s="108" t="s">
        <v>5908</v>
      </c>
      <c r="J1091" s="83"/>
      <c r="K1091" s="83" t="s">
        <v>5909</v>
      </c>
      <c r="L1091" s="83" t="s">
        <v>5910</v>
      </c>
      <c r="M1091" s="83" t="s">
        <v>5911</v>
      </c>
      <c r="N1091" s="98" t="s">
        <v>5912</v>
      </c>
      <c r="O1091" s="98" t="s">
        <v>155</v>
      </c>
      <c r="P1091" s="99" t="str">
        <f>IFERROR(__xludf.DUMMYFUNCTION("IFERROR(VLOOKUP(AS1091,IMPORTRANGE(""https://docs.google.com/spreadsheets/d/1juPI-Fb8LD0YtltB2mlGEnp_R3UVu1t3wSFPzgCyHXE/edit?gid=0#gid=0"",""GERAL!A2:C""),3,0),""-"")"),"-")</f>
        <v>-</v>
      </c>
      <c r="Q1091" s="101" t="s">
        <v>156</v>
      </c>
      <c r="R1091" s="98">
        <v>18.0</v>
      </c>
      <c r="S1091" s="98">
        <v>0.0</v>
      </c>
      <c r="T1091" s="98">
        <v>0.0</v>
      </c>
      <c r="U1091" s="98">
        <v>1.0</v>
      </c>
      <c r="V1091" s="98">
        <v>1.0</v>
      </c>
      <c r="W1091" s="98">
        <v>0.0</v>
      </c>
      <c r="X1091" s="98">
        <v>1.0</v>
      </c>
      <c r="Y1091" s="98">
        <v>0.0</v>
      </c>
      <c r="Z1091" s="98">
        <v>1.0</v>
      </c>
      <c r="AA1091" s="98">
        <v>0.0</v>
      </c>
      <c r="AB1091" s="98">
        <v>1.0</v>
      </c>
      <c r="AC1091" s="98">
        <v>0.0</v>
      </c>
      <c r="AD1091" s="98">
        <v>0.0</v>
      </c>
      <c r="AE1091" s="98">
        <v>0.0</v>
      </c>
      <c r="AF1091" s="98">
        <v>1.0</v>
      </c>
      <c r="AG1091" s="98">
        <v>0.0</v>
      </c>
      <c r="AH1091" s="98">
        <v>0.0</v>
      </c>
      <c r="AI1091" s="98">
        <v>0.0</v>
      </c>
      <c r="AJ1091" s="98">
        <v>1.0</v>
      </c>
      <c r="AK1091" s="98">
        <v>0.0</v>
      </c>
      <c r="AL1091" s="98">
        <v>0.0</v>
      </c>
      <c r="AM1091" s="98">
        <v>0.0</v>
      </c>
      <c r="AN1091" s="98">
        <v>0.0</v>
      </c>
      <c r="AO1091" s="98">
        <v>0.0</v>
      </c>
      <c r="AP1091" s="98">
        <v>0.0</v>
      </c>
      <c r="AQ1091" s="98"/>
      <c r="AR1091" s="102">
        <v>46262.0</v>
      </c>
      <c r="AS1091" s="98">
        <v>1179769.0</v>
      </c>
    </row>
    <row r="1092" ht="15.75" customHeight="1">
      <c r="A1092" s="111" t="s">
        <v>1335</v>
      </c>
      <c r="B1092" s="83" t="s">
        <v>2050</v>
      </c>
      <c r="C1092" s="83" t="s">
        <v>68</v>
      </c>
      <c r="D1092" s="112">
        <v>1106335.0</v>
      </c>
      <c r="E1092" s="83"/>
      <c r="F1092" s="83">
        <v>2.909326E7</v>
      </c>
      <c r="G1092" s="91" t="str">
        <f>IFERROR(__xludf.DUMMYFUNCTION("XLOOKUP(AS1092,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CARMINDA MASCARENHAS VIEIRA (ANTIGO  GENERAL OSÓRIO)")</f>
        <v>COLÉGIO ESTADUAL DE TEMPO INTEGRAL PROFESSORA CARMINDA MASCARENHAS VIEIRA (ANTIGO  GENERAL OSÓRIO)</v>
      </c>
      <c r="H1092" s="119" t="s">
        <v>5913</v>
      </c>
      <c r="I1092" s="91" t="s">
        <v>4514</v>
      </c>
      <c r="J1092" s="83" t="s">
        <v>149</v>
      </c>
      <c r="K1092" s="83" t="s">
        <v>150</v>
      </c>
      <c r="L1092" s="83" t="s">
        <v>151</v>
      </c>
      <c r="M1092" s="83" t="s">
        <v>76</v>
      </c>
      <c r="N1092" s="98" t="s">
        <v>5914</v>
      </c>
      <c r="O1092" s="98" t="s">
        <v>284</v>
      </c>
      <c r="P1092" s="99" t="str">
        <f>IFERROR(__xludf.DUMMYFUNCTION("IFERROR(VLOOKUP(AS1092,IMPORTRANGE(""https://docs.google.com/spreadsheets/d/1juPI-Fb8LD0YtltB2mlGEnp_R3UVu1t3wSFPzgCyHXE/edit?gid=0#gid=0"",""GERAL!A2:C""),3,0),""-"")"),"-")</f>
        <v>-</v>
      </c>
      <c r="Q1092" s="101" t="s">
        <v>156</v>
      </c>
      <c r="R1092" s="98">
        <v>15.0</v>
      </c>
      <c r="S1092" s="98">
        <v>0.0</v>
      </c>
      <c r="T1092" s="98">
        <v>0.0</v>
      </c>
      <c r="U1092" s="98">
        <v>1.0</v>
      </c>
      <c r="V1092" s="98">
        <v>1.0</v>
      </c>
      <c r="W1092" s="98">
        <v>0.0</v>
      </c>
      <c r="X1092" s="98">
        <v>1.0</v>
      </c>
      <c r="Y1092" s="98">
        <v>0.0</v>
      </c>
      <c r="Z1092" s="98">
        <v>1.0</v>
      </c>
      <c r="AA1092" s="98">
        <v>0.0</v>
      </c>
      <c r="AB1092" s="98">
        <v>1.0</v>
      </c>
      <c r="AC1092" s="98">
        <v>0.0</v>
      </c>
      <c r="AD1092" s="98">
        <v>0.0</v>
      </c>
      <c r="AE1092" s="98">
        <v>0.0</v>
      </c>
      <c r="AF1092" s="98">
        <v>1.0</v>
      </c>
      <c r="AG1092" s="98">
        <v>0.0</v>
      </c>
      <c r="AH1092" s="98">
        <v>0.0</v>
      </c>
      <c r="AI1092" s="98">
        <v>0.0</v>
      </c>
      <c r="AJ1092" s="98">
        <v>0.0</v>
      </c>
      <c r="AK1092" s="98">
        <v>0.0</v>
      </c>
      <c r="AL1092" s="98">
        <v>0.0</v>
      </c>
      <c r="AM1092" s="98">
        <v>0.0</v>
      </c>
      <c r="AN1092" s="98">
        <v>0.0</v>
      </c>
      <c r="AO1092" s="98">
        <v>0.0</v>
      </c>
      <c r="AP1092" s="98">
        <v>1.0</v>
      </c>
      <c r="AQ1092" s="98" t="s">
        <v>323</v>
      </c>
      <c r="AR1092" s="102">
        <v>46262.0</v>
      </c>
      <c r="AS1092" s="83">
        <v>1106335.0</v>
      </c>
    </row>
    <row r="1093" ht="15.75" customHeight="1">
      <c r="A1093" s="111" t="s">
        <v>1335</v>
      </c>
      <c r="B1093" s="83" t="s">
        <v>2050</v>
      </c>
      <c r="C1093" s="83" t="s">
        <v>68</v>
      </c>
      <c r="D1093" s="112">
        <v>1106467.0</v>
      </c>
      <c r="E1093" s="83"/>
      <c r="F1093" s="83">
        <v>2.9093546E7</v>
      </c>
      <c r="G1093" s="91" t="str">
        <f>IFERROR(__xludf.DUMMYFUNCTION("XLOOKUP(AS1093,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ANA ANGÉLICA VERGNE DE MORAIS (ANTIGO - CE JOSÉ FERREIRA PINTO)")</f>
        <v>COLÉGIO ESTADUAL DE TEMPO INTEGRAL PROFESSORA ANA ANGÉLICA VERGNE DE MORAIS (ANTIGO - CE JOSÉ FERREIRA PINTO)</v>
      </c>
      <c r="H1093" s="184" t="s">
        <v>5915</v>
      </c>
      <c r="I1093" s="108" t="s">
        <v>5916</v>
      </c>
      <c r="J1093" s="83" t="s">
        <v>5917</v>
      </c>
      <c r="K1093" s="83" t="s">
        <v>150</v>
      </c>
      <c r="L1093" s="83" t="s">
        <v>151</v>
      </c>
      <c r="M1093" s="83" t="s">
        <v>230</v>
      </c>
      <c r="N1093" s="98" t="s">
        <v>5918</v>
      </c>
      <c r="O1093" s="98" t="s">
        <v>162</v>
      </c>
      <c r="P1093" s="99" t="str">
        <f>IFERROR(__xludf.DUMMYFUNCTION("IFERROR(VLOOKUP(AS1093,IMPORTRANGE(""https://docs.google.com/spreadsheets/d/1juPI-Fb8LD0YtltB2mlGEnp_R3UVu1t3wSFPzgCyHXE/edit?gid=0#gid=0"",""GERAL!A2:C""),3,0),""-"")"),"-")</f>
        <v>-</v>
      </c>
      <c r="Q1093" s="98" t="s">
        <v>171</v>
      </c>
      <c r="R1093" s="98">
        <v>24.0</v>
      </c>
      <c r="S1093" s="98">
        <v>0.0</v>
      </c>
      <c r="T1093" s="98">
        <v>2.0</v>
      </c>
      <c r="U1093" s="98">
        <v>1.0</v>
      </c>
      <c r="V1093" s="98">
        <v>1.0</v>
      </c>
      <c r="W1093" s="98">
        <v>1.0</v>
      </c>
      <c r="X1093" s="98">
        <v>1.0</v>
      </c>
      <c r="Y1093" s="98">
        <v>0.0</v>
      </c>
      <c r="Z1093" s="98">
        <v>1.0</v>
      </c>
      <c r="AA1093" s="98">
        <v>0.0</v>
      </c>
      <c r="AB1093" s="98">
        <v>1.0</v>
      </c>
      <c r="AC1093" s="98">
        <v>0.0</v>
      </c>
      <c r="AD1093" s="98">
        <v>1.0</v>
      </c>
      <c r="AE1093" s="98">
        <v>0.0</v>
      </c>
      <c r="AF1093" s="98">
        <v>1.0</v>
      </c>
      <c r="AG1093" s="98">
        <v>0.0</v>
      </c>
      <c r="AH1093" s="98">
        <v>0.0</v>
      </c>
      <c r="AI1093" s="98">
        <v>0.0</v>
      </c>
      <c r="AJ1093" s="98">
        <v>0.0</v>
      </c>
      <c r="AK1093" s="98">
        <v>1.0</v>
      </c>
      <c r="AL1093" s="98">
        <v>0.0</v>
      </c>
      <c r="AM1093" s="98">
        <v>0.0</v>
      </c>
      <c r="AN1093" s="98">
        <v>0.0</v>
      </c>
      <c r="AO1093" s="98">
        <v>1.0</v>
      </c>
      <c r="AP1093" s="98">
        <v>0.0</v>
      </c>
      <c r="AQ1093" s="98" t="s">
        <v>5919</v>
      </c>
      <c r="AR1093" s="102">
        <v>46262.0</v>
      </c>
      <c r="AS1093" s="83">
        <v>1106467.0</v>
      </c>
    </row>
    <row r="1094" ht="15.75" customHeight="1">
      <c r="A1094" s="111" t="s">
        <v>1335</v>
      </c>
      <c r="B1094" s="83" t="s">
        <v>2050</v>
      </c>
      <c r="C1094" s="83" t="s">
        <v>68</v>
      </c>
      <c r="D1094" s="112">
        <v>1106564.0</v>
      </c>
      <c r="E1094" s="83"/>
      <c r="F1094" s="83">
        <v>2.9094712E7</v>
      </c>
      <c r="G1094" s="91" t="str">
        <f>IFERROR(__xludf.DUMMYFUNCTION("XLOOKUP(AS1094,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ANA ALICE FIGUEREDO DOS SANTOS (ANTIGO POLIVALENTE)")</f>
        <v>COLÉGIO ESTADUAL DE TEMPO INTEGRAL PROFESSORA ANA ALICE FIGUEREDO DOS SANTOS (ANTIGO POLIVALENTE)</v>
      </c>
      <c r="H1094" s="119" t="s">
        <v>5920</v>
      </c>
      <c r="I1094" s="91" t="s">
        <v>5921</v>
      </c>
      <c r="J1094" s="83" t="s">
        <v>5922</v>
      </c>
      <c r="K1094" s="83" t="s">
        <v>150</v>
      </c>
      <c r="L1094" s="83" t="s">
        <v>151</v>
      </c>
      <c r="M1094" s="83" t="s">
        <v>230</v>
      </c>
      <c r="N1094" s="98" t="s">
        <v>5923</v>
      </c>
      <c r="O1094" s="98" t="s">
        <v>155</v>
      </c>
      <c r="P1094" s="99" t="str">
        <f>IFERROR(__xludf.DUMMYFUNCTION("IFERROR(VLOOKUP(AS1094,IMPORTRANGE(""https://docs.google.com/spreadsheets/d/1juPI-Fb8LD0YtltB2mlGEnp_R3UVu1t3wSFPzgCyHXE/edit?gid=0#gid=0"",""GERAL!A2:C""),3,0),""-"")"),"-")</f>
        <v>-</v>
      </c>
      <c r="Q1094" s="101" t="s">
        <v>156</v>
      </c>
      <c r="R1094" s="98">
        <v>24.0</v>
      </c>
      <c r="S1094" s="98">
        <v>1.0</v>
      </c>
      <c r="T1094" s="98">
        <v>3.0</v>
      </c>
      <c r="U1094" s="98">
        <v>1.0</v>
      </c>
      <c r="V1094" s="98">
        <v>0.0</v>
      </c>
      <c r="W1094" s="98">
        <v>1.0</v>
      </c>
      <c r="X1094" s="98">
        <v>1.0</v>
      </c>
      <c r="Y1094" s="98">
        <v>0.0</v>
      </c>
      <c r="Z1094" s="98">
        <v>0.0</v>
      </c>
      <c r="AA1094" s="98">
        <v>1.0</v>
      </c>
      <c r="AB1094" s="98">
        <v>0.0</v>
      </c>
      <c r="AC1094" s="98">
        <v>0.0</v>
      </c>
      <c r="AD1094" s="98">
        <v>0.0</v>
      </c>
      <c r="AE1094" s="98">
        <v>0.0</v>
      </c>
      <c r="AF1094" s="98">
        <v>1.0</v>
      </c>
      <c r="AG1094" s="98">
        <v>0.0</v>
      </c>
      <c r="AH1094" s="98">
        <v>0.0</v>
      </c>
      <c r="AI1094" s="98">
        <v>0.0</v>
      </c>
      <c r="AJ1094" s="98">
        <v>0.0</v>
      </c>
      <c r="AK1094" s="98">
        <v>1.0</v>
      </c>
      <c r="AL1094" s="98">
        <v>0.0</v>
      </c>
      <c r="AM1094" s="98">
        <v>0.0</v>
      </c>
      <c r="AN1094" s="98">
        <v>0.0</v>
      </c>
      <c r="AO1094" s="98">
        <v>0.0</v>
      </c>
      <c r="AP1094" s="98">
        <v>2.0</v>
      </c>
      <c r="AQ1094" s="98" t="s">
        <v>5924</v>
      </c>
      <c r="AR1094" s="102">
        <v>46262.0</v>
      </c>
      <c r="AS1094" s="83">
        <v>1106564.0</v>
      </c>
    </row>
    <row r="1095" ht="15.75" customHeight="1">
      <c r="A1095" s="111" t="s">
        <v>1335</v>
      </c>
      <c r="B1095" s="83" t="s">
        <v>2050</v>
      </c>
      <c r="C1095" s="83" t="s">
        <v>68</v>
      </c>
      <c r="D1095" s="112">
        <v>1106270.0</v>
      </c>
      <c r="E1095" s="83"/>
      <c r="F1095" s="83">
        <v>2.909514E7</v>
      </c>
      <c r="G1095" s="91" t="str">
        <f>IFERROR(__xludf.DUMMYFUNCTION("XLOOKUP(AS1095,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HILDA CARNEIRO")</f>
        <v>COLÉGIO ESTADUAL DE TEMPO INTEGRAL HILDA CARNEIRO</v>
      </c>
      <c r="H1095" s="119" t="s">
        <v>5925</v>
      </c>
      <c r="I1095" s="91" t="s">
        <v>5926</v>
      </c>
      <c r="J1095" s="83" t="s">
        <v>5772</v>
      </c>
      <c r="K1095" s="83" t="s">
        <v>150</v>
      </c>
      <c r="L1095" s="83" t="s">
        <v>151</v>
      </c>
      <c r="M1095" s="83" t="s">
        <v>152</v>
      </c>
      <c r="N1095" s="98" t="s">
        <v>5927</v>
      </c>
      <c r="O1095" s="98" t="s">
        <v>155</v>
      </c>
      <c r="P1095" s="99" t="str">
        <f>IFERROR(__xludf.DUMMYFUNCTION("IFERROR(VLOOKUP(AS1095,IMPORTRANGE(""https://docs.google.com/spreadsheets/d/1juPI-Fb8LD0YtltB2mlGEnp_R3UVu1t3wSFPzgCyHXE/edit?gid=0#gid=0"",""GERAL!A2:C""),3,0),""-"")"),"-")</f>
        <v>-</v>
      </c>
      <c r="Q1095" s="101" t="s">
        <v>156</v>
      </c>
      <c r="R1095" s="98">
        <v>9.0</v>
      </c>
      <c r="S1095" s="98">
        <v>0.0</v>
      </c>
      <c r="T1095" s="98">
        <v>0.0</v>
      </c>
      <c r="U1095" s="98">
        <v>0.0</v>
      </c>
      <c r="V1095" s="98">
        <v>0.0</v>
      </c>
      <c r="W1095" s="98">
        <v>0.0</v>
      </c>
      <c r="X1095" s="98">
        <v>0.0</v>
      </c>
      <c r="Y1095" s="98">
        <v>0.0</v>
      </c>
      <c r="Z1095" s="98">
        <v>0.0</v>
      </c>
      <c r="AA1095" s="98">
        <v>0.0</v>
      </c>
      <c r="AB1095" s="98">
        <v>0.0</v>
      </c>
      <c r="AC1095" s="98">
        <v>0.0</v>
      </c>
      <c r="AD1095" s="98">
        <v>0.0</v>
      </c>
      <c r="AE1095" s="98">
        <v>0.0</v>
      </c>
      <c r="AF1095" s="98">
        <v>0.0</v>
      </c>
      <c r="AG1095" s="98">
        <v>1.0</v>
      </c>
      <c r="AH1095" s="98">
        <v>0.0</v>
      </c>
      <c r="AI1095" s="98">
        <v>0.0</v>
      </c>
      <c r="AJ1095" s="98">
        <v>0.0</v>
      </c>
      <c r="AK1095" s="98">
        <v>0.0</v>
      </c>
      <c r="AL1095" s="98">
        <v>0.0</v>
      </c>
      <c r="AM1095" s="98">
        <v>0.0</v>
      </c>
      <c r="AN1095" s="98">
        <v>0.0</v>
      </c>
      <c r="AO1095" s="98">
        <v>0.0</v>
      </c>
      <c r="AP1095" s="98">
        <v>1.0</v>
      </c>
      <c r="AQ1095" s="98" t="s">
        <v>498</v>
      </c>
      <c r="AR1095" s="102">
        <v>46262.0</v>
      </c>
      <c r="AS1095" s="83">
        <v>1106270.0</v>
      </c>
    </row>
    <row r="1096" ht="15.75" customHeight="1">
      <c r="A1096" s="111" t="s">
        <v>1335</v>
      </c>
      <c r="B1096" s="83" t="s">
        <v>2050</v>
      </c>
      <c r="C1096" s="83" t="s">
        <v>68</v>
      </c>
      <c r="D1096" s="98">
        <v>1179770.0</v>
      </c>
      <c r="E1096" s="83"/>
      <c r="F1096" s="83">
        <v>2.9094143E7</v>
      </c>
      <c r="G1096" s="91" t="str">
        <f>IFERROR(__xludf.DUMMYFUNCTION("XLOOKUP(AS1096,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GEORGINA DE MELO ERISMANN")</f>
        <v>COLÉGIO ESTADUAL DE TEMPO INTEGRAL GEORGINA DE MELO ERISMANN</v>
      </c>
      <c r="H1096" s="119" t="s">
        <v>5929</v>
      </c>
      <c r="I1096" s="91" t="s">
        <v>5930</v>
      </c>
      <c r="J1096" s="98" t="s">
        <v>5931</v>
      </c>
      <c r="K1096" s="83" t="s">
        <v>150</v>
      </c>
      <c r="L1096" s="83" t="s">
        <v>151</v>
      </c>
      <c r="M1096" s="83" t="s">
        <v>230</v>
      </c>
      <c r="N1096" s="98" t="s">
        <v>5932</v>
      </c>
      <c r="O1096" s="98" t="s">
        <v>162</v>
      </c>
      <c r="P1096" s="99" t="str">
        <f>IFERROR(__xludf.DUMMYFUNCTION("IFERROR(VLOOKUP(AS1096,IMPORTRANGE(""https://docs.google.com/spreadsheets/d/1juPI-Fb8LD0YtltB2mlGEnp_R3UVu1t3wSFPzgCyHXE/edit?gid=0#gid=0"",""GERAL!A2:C""),3,0),""-"")"),"-")</f>
        <v>-</v>
      </c>
      <c r="Q1096" s="101" t="s">
        <v>156</v>
      </c>
      <c r="R1096" s="98">
        <v>35.0</v>
      </c>
      <c r="S1096" s="98">
        <v>0.0</v>
      </c>
      <c r="T1096" s="98">
        <v>0.0</v>
      </c>
      <c r="U1096" s="98">
        <v>1.0</v>
      </c>
      <c r="V1096" s="98">
        <v>1.0</v>
      </c>
      <c r="W1096" s="98">
        <v>3.0</v>
      </c>
      <c r="X1096" s="98">
        <v>1.0</v>
      </c>
      <c r="Y1096" s="98">
        <v>0.0</v>
      </c>
      <c r="Z1096" s="98">
        <v>1.0</v>
      </c>
      <c r="AA1096" s="98">
        <v>0.0</v>
      </c>
      <c r="AB1096" s="98">
        <v>1.0</v>
      </c>
      <c r="AC1096" s="98">
        <v>0.0</v>
      </c>
      <c r="AD1096" s="98">
        <v>0.0</v>
      </c>
      <c r="AE1096" s="98">
        <v>0.0</v>
      </c>
      <c r="AF1096" s="98">
        <v>0.0</v>
      </c>
      <c r="AG1096" s="98">
        <v>1.0</v>
      </c>
      <c r="AH1096" s="98">
        <v>0.0</v>
      </c>
      <c r="AI1096" s="98">
        <v>0.0</v>
      </c>
      <c r="AJ1096" s="98">
        <v>0.0</v>
      </c>
      <c r="AK1096" s="98">
        <v>1.0</v>
      </c>
      <c r="AL1096" s="98">
        <v>0.0</v>
      </c>
      <c r="AM1096" s="98">
        <v>0.0</v>
      </c>
      <c r="AN1096" s="98">
        <v>0.0</v>
      </c>
      <c r="AO1096" s="98">
        <v>1.0</v>
      </c>
      <c r="AP1096" s="98">
        <v>0.0</v>
      </c>
      <c r="AQ1096" s="98" t="s">
        <v>5939</v>
      </c>
      <c r="AR1096" s="102">
        <v>46262.0</v>
      </c>
      <c r="AS1096" s="98">
        <v>1179770.0</v>
      </c>
    </row>
    <row r="1097" ht="15.75" customHeight="1">
      <c r="A1097" s="111" t="s">
        <v>1335</v>
      </c>
      <c r="B1097" s="83" t="s">
        <v>2050</v>
      </c>
      <c r="C1097" s="83" t="s">
        <v>68</v>
      </c>
      <c r="D1097" s="112">
        <v>1105916.0</v>
      </c>
      <c r="E1097" s="83"/>
      <c r="F1097" s="83">
        <v>2.9093511E7</v>
      </c>
      <c r="G1097" s="91" t="str">
        <f>IFERROR(__xludf.DUMMYFUNCTION("XLOOKUP(AS1097,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EDITH MACHADO BOAVENTURA")</f>
        <v>COLÉGIO ESTADUAL DE TEMPO INTEGRAL EDITH MACHADO BOAVENTURA</v>
      </c>
      <c r="H1097" s="119" t="s">
        <v>5940</v>
      </c>
      <c r="I1097" s="91" t="s">
        <v>5941</v>
      </c>
      <c r="J1097" s="83" t="s">
        <v>149</v>
      </c>
      <c r="K1097" s="83" t="s">
        <v>150</v>
      </c>
      <c r="L1097" s="83" t="s">
        <v>151</v>
      </c>
      <c r="M1097" s="83" t="s">
        <v>230</v>
      </c>
      <c r="N1097" s="98" t="s">
        <v>5942</v>
      </c>
      <c r="O1097" s="98" t="s">
        <v>155</v>
      </c>
      <c r="P1097" s="99" t="str">
        <f>IFERROR(__xludf.DUMMYFUNCTION("IFERROR(VLOOKUP(AS1097,IMPORTRANGE(""https://docs.google.com/spreadsheets/d/1juPI-Fb8LD0YtltB2mlGEnp_R3UVu1t3wSFPzgCyHXE/edit?gid=0#gid=0"",""GERAL!A2:C""),3,0),""-"")"),"-")</f>
        <v>-</v>
      </c>
      <c r="Q1097" s="101" t="s">
        <v>156</v>
      </c>
      <c r="R1097" s="98">
        <v>26.0</v>
      </c>
      <c r="S1097" s="98">
        <v>1.0</v>
      </c>
      <c r="T1097" s="98">
        <v>0.0</v>
      </c>
      <c r="U1097" s="98">
        <v>1.0</v>
      </c>
      <c r="V1097" s="98">
        <v>1.0</v>
      </c>
      <c r="W1097" s="98">
        <v>0.0</v>
      </c>
      <c r="X1097" s="98">
        <v>1.0</v>
      </c>
      <c r="Y1097" s="98">
        <v>0.0</v>
      </c>
      <c r="Z1097" s="98">
        <v>1.0</v>
      </c>
      <c r="AA1097" s="98">
        <v>0.0</v>
      </c>
      <c r="AB1097" s="98">
        <v>1.0</v>
      </c>
      <c r="AC1097" s="98">
        <v>0.0</v>
      </c>
      <c r="AD1097" s="98">
        <v>0.0</v>
      </c>
      <c r="AE1097" s="98">
        <v>0.0</v>
      </c>
      <c r="AF1097" s="98">
        <v>1.0</v>
      </c>
      <c r="AG1097" s="98">
        <v>0.0</v>
      </c>
      <c r="AH1097" s="98">
        <v>0.0</v>
      </c>
      <c r="AI1097" s="98">
        <v>0.0</v>
      </c>
      <c r="AJ1097" s="98">
        <v>0.0</v>
      </c>
      <c r="AK1097" s="98">
        <v>0.0</v>
      </c>
      <c r="AL1097" s="98">
        <v>0.0</v>
      </c>
      <c r="AM1097" s="98">
        <v>0.0</v>
      </c>
      <c r="AN1097" s="98">
        <v>0.0</v>
      </c>
      <c r="AO1097" s="98">
        <v>0.0</v>
      </c>
      <c r="AP1097" s="98">
        <v>0.0</v>
      </c>
      <c r="AQ1097" s="83"/>
      <c r="AR1097" s="102">
        <v>46262.0</v>
      </c>
      <c r="AS1097" s="83">
        <v>1105916.0</v>
      </c>
    </row>
    <row r="1098" ht="15.75" customHeight="1">
      <c r="A1098" s="111" t="s">
        <v>1335</v>
      </c>
      <c r="B1098" s="83" t="s">
        <v>2050</v>
      </c>
      <c r="C1098" s="83" t="s">
        <v>68</v>
      </c>
      <c r="D1098" s="112">
        <v>1106386.0</v>
      </c>
      <c r="E1098" s="83"/>
      <c r="F1098" s="83">
        <v>2.90941E7</v>
      </c>
      <c r="G1098" s="91" t="str">
        <f>IFERROR(__xludf.DUMMYFUNCTION("XLOOKUP(AS1098,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FEIRA DE SANTANA
 (ANTIGO CE PAULO VI)")</f>
        <v>COLÉGIO ESTADUAL DE TEMPO INTEGRAL DE FEIRA DE SANTANA
 (ANTIGO CE PAULO VI)</v>
      </c>
      <c r="H1098" s="119" t="s">
        <v>5945</v>
      </c>
      <c r="I1098" s="91" t="s">
        <v>5947</v>
      </c>
      <c r="J1098" s="83" t="s">
        <v>5948</v>
      </c>
      <c r="K1098" s="83" t="s">
        <v>150</v>
      </c>
      <c r="L1098" s="83" t="s">
        <v>151</v>
      </c>
      <c r="M1098" s="83" t="s">
        <v>230</v>
      </c>
      <c r="N1098" s="98" t="s">
        <v>5950</v>
      </c>
      <c r="O1098" s="98" t="s">
        <v>162</v>
      </c>
      <c r="P1098" s="99" t="str">
        <f>IFERROR(__xludf.DUMMYFUNCTION("IFERROR(VLOOKUP(AS1098,IMPORTRANGE(""https://docs.google.com/spreadsheets/d/1juPI-Fb8LD0YtltB2mlGEnp_R3UVu1t3wSFPzgCyHXE/edit?gid=0#gid=0"",""GERAL!A2:C""),3,0),""-"")"),"-")</f>
        <v>-</v>
      </c>
      <c r="Q1098" s="101" t="s">
        <v>156</v>
      </c>
      <c r="R1098" s="98">
        <v>24.0</v>
      </c>
      <c r="S1098" s="98">
        <v>1.0</v>
      </c>
      <c r="T1098" s="98">
        <v>2.0</v>
      </c>
      <c r="U1098" s="98">
        <v>0.0</v>
      </c>
      <c r="V1098" s="98">
        <v>1.0</v>
      </c>
      <c r="W1098" s="98">
        <v>6.0</v>
      </c>
      <c r="X1098" s="98">
        <v>1.0</v>
      </c>
      <c r="Y1098" s="98">
        <v>0.0</v>
      </c>
      <c r="Z1098" s="98">
        <v>1.0</v>
      </c>
      <c r="AA1098" s="98">
        <v>0.0</v>
      </c>
      <c r="AB1098" s="98">
        <v>1.0</v>
      </c>
      <c r="AC1098" s="98">
        <v>0.0</v>
      </c>
      <c r="AD1098" s="98">
        <v>1.0</v>
      </c>
      <c r="AE1098" s="98">
        <v>0.0</v>
      </c>
      <c r="AF1098" s="98">
        <v>0.0</v>
      </c>
      <c r="AG1098" s="98">
        <v>0.0</v>
      </c>
      <c r="AH1098" s="98">
        <v>1.0</v>
      </c>
      <c r="AI1098" s="98">
        <v>0.0</v>
      </c>
      <c r="AJ1098" s="98">
        <v>0.0</v>
      </c>
      <c r="AK1098" s="98">
        <v>1.0</v>
      </c>
      <c r="AL1098" s="98">
        <v>3.0</v>
      </c>
      <c r="AM1098" s="98">
        <v>0.0</v>
      </c>
      <c r="AN1098" s="98">
        <v>0.0</v>
      </c>
      <c r="AO1098" s="98">
        <v>1.0</v>
      </c>
      <c r="AP1098" s="98">
        <v>0.0</v>
      </c>
      <c r="AQ1098" s="98" t="s">
        <v>5952</v>
      </c>
      <c r="AR1098" s="102">
        <v>46262.0</v>
      </c>
      <c r="AS1098" s="83">
        <v>1106386.0</v>
      </c>
    </row>
    <row r="1099" ht="15.75" customHeight="1">
      <c r="A1099" s="111" t="s">
        <v>1335</v>
      </c>
      <c r="B1099" s="83" t="s">
        <v>2050</v>
      </c>
      <c r="C1099" s="83" t="s">
        <v>68</v>
      </c>
      <c r="D1099" s="112">
        <v>1106645.0</v>
      </c>
      <c r="E1099" s="83"/>
      <c r="F1099" s="83">
        <v>2.9095166E7</v>
      </c>
      <c r="G1099" s="91" t="str">
        <f>IFERROR(__xludf.DUMMYFUNCTION("XLOOKUP(AS1099,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CAROLINA MARIA DE JESUS
 (ANTIGA C.E. UYARA PORTUGAL)")</f>
        <v>COLÉGIO ESTADUAL DE TEMPO INTEGRAL CAROLINA MARIA DE JESUS
 (ANTIGA C.E. UYARA PORTUGAL)</v>
      </c>
      <c r="H1099" s="240" t="s">
        <v>5953</v>
      </c>
      <c r="I1099" s="91" t="s">
        <v>5954</v>
      </c>
      <c r="J1099" s="83" t="s">
        <v>5766</v>
      </c>
      <c r="K1099" s="83" t="s">
        <v>150</v>
      </c>
      <c r="L1099" s="83" t="s">
        <v>151</v>
      </c>
      <c r="M1099" s="83" t="s">
        <v>230</v>
      </c>
      <c r="N1099" s="98" t="s">
        <v>5955</v>
      </c>
      <c r="O1099" s="98" t="s">
        <v>155</v>
      </c>
      <c r="P1099" s="99" t="str">
        <f>IFERROR(__xludf.DUMMYFUNCTION("IFERROR(VLOOKUP(AS1099,IMPORTRANGE(""https://docs.google.com/spreadsheets/d/1juPI-Fb8LD0YtltB2mlGEnp_R3UVu1t3wSFPzgCyHXE/edit?gid=0#gid=0"",""GERAL!A2:C""),3,0),""-"")"),"-")</f>
        <v>-</v>
      </c>
      <c r="Q1099" s="101" t="s">
        <v>156</v>
      </c>
      <c r="R1099" s="98">
        <v>28.0</v>
      </c>
      <c r="S1099" s="98">
        <v>1.0</v>
      </c>
      <c r="T1099" s="98">
        <v>4.0</v>
      </c>
      <c r="U1099" s="98">
        <v>1.0</v>
      </c>
      <c r="V1099" s="98">
        <v>1.0</v>
      </c>
      <c r="W1099" s="98">
        <v>0.0</v>
      </c>
      <c r="X1099" s="98">
        <v>1.0</v>
      </c>
      <c r="Y1099" s="98">
        <v>0.0</v>
      </c>
      <c r="Z1099" s="98">
        <v>1.0</v>
      </c>
      <c r="AA1099" s="98">
        <v>0.0</v>
      </c>
      <c r="AB1099" s="98">
        <v>1.0</v>
      </c>
      <c r="AC1099" s="98">
        <v>0.0</v>
      </c>
      <c r="AD1099" s="98">
        <v>0.0</v>
      </c>
      <c r="AE1099" s="98">
        <v>0.0</v>
      </c>
      <c r="AF1099" s="98">
        <v>1.0</v>
      </c>
      <c r="AG1099" s="98">
        <v>0.0</v>
      </c>
      <c r="AH1099" s="98">
        <v>0.0</v>
      </c>
      <c r="AI1099" s="98">
        <v>0.0</v>
      </c>
      <c r="AJ1099" s="98">
        <v>1.0</v>
      </c>
      <c r="AK1099" s="98">
        <v>0.0</v>
      </c>
      <c r="AL1099" s="98">
        <v>0.0</v>
      </c>
      <c r="AM1099" s="98">
        <v>0.0</v>
      </c>
      <c r="AN1099" s="98">
        <v>0.0</v>
      </c>
      <c r="AO1099" s="98">
        <v>0.0</v>
      </c>
      <c r="AP1099" s="98">
        <v>0.0</v>
      </c>
      <c r="AQ1099" s="83"/>
      <c r="AR1099" s="102">
        <v>46262.0</v>
      </c>
      <c r="AS1099" s="83">
        <v>1106645.0</v>
      </c>
    </row>
    <row r="1100" ht="15.75" customHeight="1">
      <c r="A1100" s="111" t="s">
        <v>1335</v>
      </c>
      <c r="B1100" s="83" t="s">
        <v>2050</v>
      </c>
      <c r="C1100" s="83" t="s">
        <v>68</v>
      </c>
      <c r="D1100" s="112">
        <v>1105754.0</v>
      </c>
      <c r="E1100" s="83"/>
      <c r="F1100" s="83">
        <v>2.9093457E7</v>
      </c>
      <c r="G1100" s="91" t="str">
        <f>IFERROR(__xludf.DUMMYFUNCTION("XLOOKUP(AS1100,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ASSIS CHATEAUBRIAND
")</f>
        <v>COLÉGIO ESTADUAL DE TEMPO INTEGRAL ASSIS CHATEAUBRIAND
</v>
      </c>
      <c r="H1100" s="119" t="s">
        <v>5958</v>
      </c>
      <c r="I1100" s="91" t="s">
        <v>5959</v>
      </c>
      <c r="J1100" s="83" t="s">
        <v>3366</v>
      </c>
      <c r="K1100" s="83" t="s">
        <v>150</v>
      </c>
      <c r="L1100" s="83" t="s">
        <v>151</v>
      </c>
      <c r="M1100" s="83" t="s">
        <v>230</v>
      </c>
      <c r="N1100" s="98" t="s">
        <v>5960</v>
      </c>
      <c r="O1100" s="98" t="s">
        <v>155</v>
      </c>
      <c r="P1100" s="99" t="str">
        <f>IFERROR(__xludf.DUMMYFUNCTION("IFERROR(VLOOKUP(AS1100,IMPORTRANGE(""https://docs.google.com/spreadsheets/d/1juPI-Fb8LD0YtltB2mlGEnp_R3UVu1t3wSFPzgCyHXE/edit?gid=0#gid=0"",""GERAL!A2:C""),3,0),""-"")"),"-")</f>
        <v>-</v>
      </c>
      <c r="Q1100" s="101" t="s">
        <v>156</v>
      </c>
      <c r="R1100" s="98">
        <v>53.0</v>
      </c>
      <c r="S1100" s="98">
        <v>0.0</v>
      </c>
      <c r="T1100" s="98">
        <v>0.0</v>
      </c>
      <c r="U1100" s="98">
        <v>1.0</v>
      </c>
      <c r="V1100" s="98">
        <v>1.0</v>
      </c>
      <c r="W1100" s="98">
        <v>1.0</v>
      </c>
      <c r="X1100" s="98">
        <v>1.0</v>
      </c>
      <c r="Y1100" s="98">
        <v>0.0</v>
      </c>
      <c r="Z1100" s="98">
        <v>1.0</v>
      </c>
      <c r="AA1100" s="98">
        <v>1.0</v>
      </c>
      <c r="AB1100" s="98">
        <v>1.0</v>
      </c>
      <c r="AC1100" s="98">
        <v>0.0</v>
      </c>
      <c r="AD1100" s="98">
        <v>0.0</v>
      </c>
      <c r="AE1100" s="98">
        <v>0.0</v>
      </c>
      <c r="AF1100" s="98">
        <v>2.0</v>
      </c>
      <c r="AG1100" s="98">
        <v>0.0</v>
      </c>
      <c r="AH1100" s="98">
        <v>0.0</v>
      </c>
      <c r="AI1100" s="98">
        <v>0.0</v>
      </c>
      <c r="AJ1100" s="98">
        <v>0.0</v>
      </c>
      <c r="AK1100" s="98">
        <v>1.0</v>
      </c>
      <c r="AL1100" s="98">
        <v>0.0</v>
      </c>
      <c r="AM1100" s="98">
        <v>0.0</v>
      </c>
      <c r="AN1100" s="98">
        <v>0.0</v>
      </c>
      <c r="AO1100" s="98">
        <v>0.0</v>
      </c>
      <c r="AP1100" s="98">
        <v>2.0</v>
      </c>
      <c r="AQ1100" s="98" t="s">
        <v>5964</v>
      </c>
      <c r="AR1100" s="102">
        <v>46262.0</v>
      </c>
      <c r="AS1100" s="83">
        <v>1105754.0</v>
      </c>
    </row>
    <row r="1101" ht="15.75" customHeight="1">
      <c r="A1101" s="111" t="s">
        <v>1335</v>
      </c>
      <c r="B1101" s="83" t="s">
        <v>2050</v>
      </c>
      <c r="C1101" s="83" t="s">
        <v>68</v>
      </c>
      <c r="D1101" s="112">
        <v>1105878.0</v>
      </c>
      <c r="E1101" s="83"/>
      <c r="F1101" s="83">
        <v>2.9093317E7</v>
      </c>
      <c r="G1101" s="91" t="str">
        <f>IFERROR(__xludf.DUMMYFUNCTION("XLOOKUP(AS1101,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POLÍCIA MILITAR CPM DIVA PORTELA")</f>
        <v>COLÉGIO DA POLÍCIA MILITAR CPM DIVA PORTELA</v>
      </c>
      <c r="H1101" s="114" t="s">
        <v>5969</v>
      </c>
      <c r="I1101" s="91" t="s">
        <v>5970</v>
      </c>
      <c r="J1101" s="83" t="s">
        <v>5917</v>
      </c>
      <c r="K1101" s="83" t="s">
        <v>150</v>
      </c>
      <c r="L1101" s="83" t="s">
        <v>151</v>
      </c>
      <c r="M1101" s="83" t="s">
        <v>152</v>
      </c>
      <c r="N1101" s="98" t="s">
        <v>5971</v>
      </c>
      <c r="O1101" s="98" t="s">
        <v>155</v>
      </c>
      <c r="P1101" s="99" t="str">
        <f>IFERROR(__xludf.DUMMYFUNCTION("IFERROR(VLOOKUP(AS1101,IMPORTRANGE(""https://docs.google.com/spreadsheets/d/1juPI-Fb8LD0YtltB2mlGEnp_R3UVu1t3wSFPzgCyHXE/edit?gid=0#gid=0"",""GERAL!A2:C""),3,0),""-"")"),"-")</f>
        <v>-</v>
      </c>
      <c r="Q1101" s="101" t="s">
        <v>156</v>
      </c>
      <c r="R1101" s="98">
        <v>15.0</v>
      </c>
      <c r="S1101" s="98">
        <v>1.0</v>
      </c>
      <c r="T1101" s="98">
        <v>0.0</v>
      </c>
      <c r="U1101" s="98">
        <v>1.0</v>
      </c>
      <c r="V1101" s="98">
        <v>0.0</v>
      </c>
      <c r="W1101" s="98">
        <v>0.0</v>
      </c>
      <c r="X1101" s="98">
        <v>1.0</v>
      </c>
      <c r="Y1101" s="98">
        <v>0.0</v>
      </c>
      <c r="Z1101" s="98">
        <v>0.0</v>
      </c>
      <c r="AA1101" s="98">
        <v>1.0</v>
      </c>
      <c r="AB1101" s="98">
        <v>0.0</v>
      </c>
      <c r="AC1101" s="98">
        <v>0.0</v>
      </c>
      <c r="AD1101" s="98">
        <v>0.0</v>
      </c>
      <c r="AE1101" s="98">
        <v>0.0</v>
      </c>
      <c r="AF1101" s="98">
        <v>1.0</v>
      </c>
      <c r="AG1101" s="98">
        <v>0.0</v>
      </c>
      <c r="AH1101" s="98">
        <v>0.0</v>
      </c>
      <c r="AI1101" s="98">
        <v>0.0</v>
      </c>
      <c r="AJ1101" s="98">
        <v>1.0</v>
      </c>
      <c r="AK1101" s="98">
        <v>0.0</v>
      </c>
      <c r="AL1101" s="98">
        <v>0.0</v>
      </c>
      <c r="AM1101" s="98">
        <v>0.0</v>
      </c>
      <c r="AN1101" s="98">
        <v>0.0</v>
      </c>
      <c r="AO1101" s="98">
        <v>0.0</v>
      </c>
      <c r="AP1101" s="98">
        <v>1.0</v>
      </c>
      <c r="AQ1101" s="98" t="s">
        <v>498</v>
      </c>
      <c r="AR1101" s="102">
        <v>46262.0</v>
      </c>
      <c r="AS1101" s="83">
        <v>1105878.0</v>
      </c>
    </row>
    <row r="1102" ht="15.75" customHeight="1">
      <c r="A1102" s="111" t="s">
        <v>1335</v>
      </c>
      <c r="B1102" s="83" t="s">
        <v>2050</v>
      </c>
      <c r="C1102" s="83" t="s">
        <v>68</v>
      </c>
      <c r="D1102" s="112">
        <v>1163894.0</v>
      </c>
      <c r="E1102" s="83"/>
      <c r="F1102" s="83">
        <v>2.9097509E7</v>
      </c>
      <c r="G1102" s="91" t="str">
        <f>IFERROR(__xludf.DUMMYFUNCTION("XLOOKUP(AS1102,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EDUCAÇÃO PROFISSIONAL DO PORTAL DO SERTÃO - DISTRITO DE MARIA QUITÉRIA")</f>
        <v>CENTRO TERRITORIAL DE EDUCAÇÃO PROFISSIONAL DO PORTAL DO SERTÃO - DISTRITO DE MARIA QUITÉRIA</v>
      </c>
      <c r="H1102" s="114" t="s">
        <v>5972</v>
      </c>
      <c r="I1102" s="91" t="s">
        <v>5973</v>
      </c>
      <c r="J1102" s="83" t="s">
        <v>149</v>
      </c>
      <c r="K1102" s="83" t="s">
        <v>1173</v>
      </c>
      <c r="L1102" s="83" t="s">
        <v>151</v>
      </c>
      <c r="M1102" s="83" t="s">
        <v>230</v>
      </c>
      <c r="N1102" s="98" t="s">
        <v>5974</v>
      </c>
      <c r="O1102" s="98" t="s">
        <v>155</v>
      </c>
      <c r="P1102" s="99" t="str">
        <f>IFERROR(__xludf.DUMMYFUNCTION("IFERROR(VLOOKUP(AS1102,IMPORTRANGE(""https://docs.google.com/spreadsheets/d/1juPI-Fb8LD0YtltB2mlGEnp_R3UVu1t3wSFPzgCyHXE/edit?gid=0#gid=0"",""GERAL!A2:C""),3,0),""-"")"),"-")</f>
        <v>-</v>
      </c>
      <c r="Q1102" s="101" t="s">
        <v>156</v>
      </c>
      <c r="R1102" s="98">
        <v>15.0</v>
      </c>
      <c r="S1102" s="98">
        <v>0.0</v>
      </c>
      <c r="T1102" s="98">
        <v>2.0</v>
      </c>
      <c r="U1102" s="98">
        <v>1.0</v>
      </c>
      <c r="V1102" s="98">
        <v>2.0</v>
      </c>
      <c r="W1102" s="98">
        <v>6.0</v>
      </c>
      <c r="X1102" s="98">
        <v>1.0</v>
      </c>
      <c r="Y1102" s="98">
        <v>0.0</v>
      </c>
      <c r="Z1102" s="98">
        <v>0.0</v>
      </c>
      <c r="AA1102" s="98">
        <v>1.0</v>
      </c>
      <c r="AB1102" s="98">
        <v>0.0</v>
      </c>
      <c r="AC1102" s="98">
        <v>1.0</v>
      </c>
      <c r="AD1102" s="98">
        <v>0.0</v>
      </c>
      <c r="AE1102" s="98">
        <v>0.0</v>
      </c>
      <c r="AF1102" s="98">
        <v>1.0</v>
      </c>
      <c r="AG1102" s="98">
        <v>0.0</v>
      </c>
      <c r="AH1102" s="98">
        <v>0.0</v>
      </c>
      <c r="AI1102" s="98">
        <v>0.0</v>
      </c>
      <c r="AJ1102" s="98">
        <v>0.0</v>
      </c>
      <c r="AK1102" s="98">
        <v>1.0</v>
      </c>
      <c r="AL1102" s="98">
        <v>0.0</v>
      </c>
      <c r="AM1102" s="98">
        <v>0.0</v>
      </c>
      <c r="AN1102" s="98">
        <v>0.0</v>
      </c>
      <c r="AO1102" s="98">
        <v>0.0</v>
      </c>
      <c r="AP1102" s="98">
        <v>1.0</v>
      </c>
      <c r="AQ1102" s="98" t="s">
        <v>5975</v>
      </c>
      <c r="AR1102" s="102">
        <v>46262.0</v>
      </c>
      <c r="AS1102" s="83">
        <v>1163894.0</v>
      </c>
    </row>
    <row r="1103" ht="15.75" customHeight="1">
      <c r="A1103" s="111" t="s">
        <v>1335</v>
      </c>
      <c r="B1103" s="83" t="s">
        <v>2050</v>
      </c>
      <c r="C1103" s="83" t="s">
        <v>68</v>
      </c>
      <c r="D1103" s="112">
        <v>1179657.0</v>
      </c>
      <c r="E1103" s="83"/>
      <c r="F1103" s="83">
        <v>2.9474264E7</v>
      </c>
      <c r="G1103" s="91" t="str">
        <f>IFERROR(__xludf.DUMMYFUNCTION("XLOOKUP(AS1103,
IMPORTRANGE(""https://docs.google.com/spreadsheets/d/1YM-djuOLXomrZ9W0B4TyIBsVWnXY4EIOFD9HY-qGfv0/edit?usp=sharing"",""GERAL!BG5:BG""),
IMPORTRANGE(""https://docs.google.com/spreadsheets/d/1YM-djuOLXomrZ9W0B4TyIBsVWnXY4EIOFD9HY-qGfv0/edit?"&amp;"usp=sharing"",""GERAL!G5:G""),
""CÓD. SEC NÃO ENCONTRADO NA PLANILHA DE MATRÍCULA"")"),"CENTRO JUVENIL DE CIÊNCIA E CULTURA - CJCC FEIRA DE SANTANA")</f>
        <v>CENTRO JUVENIL DE CIÊNCIA E CULTURA - CJCC FEIRA DE SANTANA</v>
      </c>
      <c r="H1103" s="114" t="s">
        <v>5976</v>
      </c>
      <c r="I1103" s="91" t="s">
        <v>5977</v>
      </c>
      <c r="J1103" s="83" t="s">
        <v>5978</v>
      </c>
      <c r="K1103" s="83" t="s">
        <v>150</v>
      </c>
      <c r="L1103" s="83" t="s">
        <v>151</v>
      </c>
      <c r="M1103" s="83" t="s">
        <v>230</v>
      </c>
      <c r="N1103" s="98" t="s">
        <v>5979</v>
      </c>
      <c r="O1103" s="98" t="s">
        <v>155</v>
      </c>
      <c r="P1103" s="99" t="str">
        <f>IFERROR(__xludf.DUMMYFUNCTION("IFERROR(VLOOKUP(AS1103,IMPORTRANGE(""https://docs.google.com/spreadsheets/d/1juPI-Fb8LD0YtltB2mlGEnp_R3UVu1t3wSFPzgCyHXE/edit?gid=0#gid=0"",""GERAL!A2:C""),3,0),""-"")"),"-")</f>
        <v>-</v>
      </c>
      <c r="Q1103" s="98" t="s">
        <v>171</v>
      </c>
      <c r="R1103" s="98" t="s">
        <v>171</v>
      </c>
      <c r="S1103" s="98">
        <v>0.0</v>
      </c>
      <c r="T1103" s="98">
        <v>0.0</v>
      </c>
      <c r="U1103" s="98">
        <v>0.0</v>
      </c>
      <c r="V1103" s="98">
        <v>0.0</v>
      </c>
      <c r="W1103" s="98">
        <v>0.0</v>
      </c>
      <c r="X1103" s="98">
        <v>0.0</v>
      </c>
      <c r="Y1103" s="98">
        <v>0.0</v>
      </c>
      <c r="Z1103" s="98">
        <v>0.0</v>
      </c>
      <c r="AA1103" s="98">
        <v>0.0</v>
      </c>
      <c r="AB1103" s="98">
        <v>0.0</v>
      </c>
      <c r="AC1103" s="98">
        <v>0.0</v>
      </c>
      <c r="AD1103" s="98">
        <v>0.0</v>
      </c>
      <c r="AE1103" s="98">
        <v>0.0</v>
      </c>
      <c r="AF1103" s="98">
        <v>0.0</v>
      </c>
      <c r="AG1103" s="98">
        <v>0.0</v>
      </c>
      <c r="AH1103" s="98">
        <v>0.0</v>
      </c>
      <c r="AI1103" s="98">
        <v>0.0</v>
      </c>
      <c r="AJ1103" s="98">
        <v>0.0</v>
      </c>
      <c r="AK1103" s="98">
        <v>0.0</v>
      </c>
      <c r="AL1103" s="98">
        <v>0.0</v>
      </c>
      <c r="AM1103" s="98">
        <v>0.0</v>
      </c>
      <c r="AN1103" s="98">
        <v>0.0</v>
      </c>
      <c r="AO1103" s="98">
        <v>0.0</v>
      </c>
      <c r="AP1103" s="98">
        <v>1.0</v>
      </c>
      <c r="AQ1103" s="98" t="s">
        <v>947</v>
      </c>
      <c r="AR1103" s="102">
        <v>46262.0</v>
      </c>
      <c r="AS1103" s="83">
        <v>1179657.0</v>
      </c>
    </row>
    <row r="1104" ht="15.75" customHeight="1">
      <c r="A1104" s="111" t="s">
        <v>1335</v>
      </c>
      <c r="B1104" s="83" t="s">
        <v>2050</v>
      </c>
      <c r="C1104" s="83" t="s">
        <v>68</v>
      </c>
      <c r="D1104" s="112">
        <v>1105975.0</v>
      </c>
      <c r="E1104" s="83"/>
      <c r="F1104" s="83">
        <v>2.909352E7</v>
      </c>
      <c r="G1104" s="91" t="str">
        <f>IFERROR(__xludf.DUMMYFUNCTION("XLOOKUP(AS1104,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EM SAÚDE DO CENTRO BAIANO")</f>
        <v>CENTRO ESTADUAL DE EDUCAÇÃO PROFISSIONAL EM SAÚDE DO CENTRO BAIANO</v>
      </c>
      <c r="H1104" s="114" t="s">
        <v>5980</v>
      </c>
      <c r="I1104" s="108" t="s">
        <v>5981</v>
      </c>
      <c r="J1104" s="83" t="s">
        <v>149</v>
      </c>
      <c r="K1104" s="83" t="s">
        <v>150</v>
      </c>
      <c r="L1104" s="83" t="s">
        <v>151</v>
      </c>
      <c r="M1104" s="83" t="s">
        <v>230</v>
      </c>
      <c r="N1104" s="98" t="s">
        <v>5982</v>
      </c>
      <c r="O1104" s="98" t="s">
        <v>155</v>
      </c>
      <c r="P1104" s="99" t="str">
        <f>IFERROR(__xludf.DUMMYFUNCTION("IFERROR(VLOOKUP(AS1104,IMPORTRANGE(""https://docs.google.com/spreadsheets/d/1juPI-Fb8LD0YtltB2mlGEnp_R3UVu1t3wSFPzgCyHXE/edit?gid=0#gid=0"",""GERAL!A2:C""),3,0),""-"")"),"-")</f>
        <v>-</v>
      </c>
      <c r="Q1104" s="98" t="s">
        <v>171</v>
      </c>
      <c r="R1104" s="98">
        <v>19.0</v>
      </c>
      <c r="S1104" s="98">
        <v>0.0</v>
      </c>
      <c r="T1104" s="98">
        <v>0.0</v>
      </c>
      <c r="U1104" s="98">
        <v>0.0</v>
      </c>
      <c r="V1104" s="98">
        <v>1.0</v>
      </c>
      <c r="W1104" s="98">
        <v>3.0</v>
      </c>
      <c r="X1104" s="98">
        <v>1.0</v>
      </c>
      <c r="Y1104" s="98">
        <v>0.0</v>
      </c>
      <c r="Z1104" s="98">
        <v>0.0</v>
      </c>
      <c r="AA1104" s="98">
        <v>1.0</v>
      </c>
      <c r="AB1104" s="98">
        <v>0.0</v>
      </c>
      <c r="AC1104" s="98">
        <v>0.0</v>
      </c>
      <c r="AD1104" s="98">
        <v>0.0</v>
      </c>
      <c r="AE1104" s="98">
        <v>0.0</v>
      </c>
      <c r="AF1104" s="98">
        <v>0.0</v>
      </c>
      <c r="AG1104" s="98">
        <v>0.0</v>
      </c>
      <c r="AH1104" s="98">
        <v>0.0</v>
      </c>
      <c r="AI1104" s="98">
        <v>0.0</v>
      </c>
      <c r="AJ1104" s="98">
        <v>0.0</v>
      </c>
      <c r="AK1104" s="98">
        <v>0.0</v>
      </c>
      <c r="AL1104" s="98">
        <v>0.0</v>
      </c>
      <c r="AM1104" s="98">
        <v>0.0</v>
      </c>
      <c r="AN1104" s="98">
        <v>0.0</v>
      </c>
      <c r="AO1104" s="98">
        <v>0.0</v>
      </c>
      <c r="AP1104" s="98">
        <v>1.0</v>
      </c>
      <c r="AQ1104" s="98" t="s">
        <v>5983</v>
      </c>
      <c r="AR1104" s="102">
        <v>46262.0</v>
      </c>
      <c r="AS1104" s="83">
        <v>1105975.0</v>
      </c>
    </row>
    <row r="1105" ht="15.75" customHeight="1">
      <c r="A1105" s="111" t="s">
        <v>1335</v>
      </c>
      <c r="B1105" s="83" t="s">
        <v>2050</v>
      </c>
      <c r="C1105" s="83" t="s">
        <v>68</v>
      </c>
      <c r="D1105" s="112">
        <v>1105797.0</v>
      </c>
      <c r="E1105" s="83"/>
      <c r="F1105" s="83">
        <v>2.943296E7</v>
      </c>
      <c r="G1105" s="91" t="str">
        <f>IFERROR(__xludf.DUMMYFUNCTION("XLOOKUP(AS1105,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ÁUREO DE OLIVEIRA FILHO")</f>
        <v>CENTRO ESTADUAL DE EDUCAÇÃO PROFISSIONAL ÁUREO DE OLIVEIRA FILHO</v>
      </c>
      <c r="H1105" s="114" t="s">
        <v>5984</v>
      </c>
      <c r="I1105" s="91" t="s">
        <v>5985</v>
      </c>
      <c r="J1105" s="83" t="s">
        <v>5986</v>
      </c>
      <c r="K1105" s="83" t="s">
        <v>150</v>
      </c>
      <c r="L1105" s="83" t="s">
        <v>151</v>
      </c>
      <c r="M1105" s="83" t="s">
        <v>230</v>
      </c>
      <c r="N1105" s="98" t="s">
        <v>5987</v>
      </c>
      <c r="O1105" s="98" t="s">
        <v>155</v>
      </c>
      <c r="P1105" s="99" t="str">
        <f>IFERROR(__xludf.DUMMYFUNCTION("IFERROR(VLOOKUP(AS1105,IMPORTRANGE(""https://docs.google.com/spreadsheets/d/1juPI-Fb8LD0YtltB2mlGEnp_R3UVu1t3wSFPzgCyHXE/edit?gid=0#gid=0"",""GERAL!A2:C""),3,0),""-"")"),"-")</f>
        <v>-</v>
      </c>
      <c r="Q1105" s="98" t="s">
        <v>171</v>
      </c>
      <c r="R1105" s="98">
        <v>19.0</v>
      </c>
      <c r="S1105" s="98">
        <v>0.0</v>
      </c>
      <c r="T1105" s="98">
        <v>0.0</v>
      </c>
      <c r="U1105" s="98">
        <v>0.0</v>
      </c>
      <c r="V1105" s="98">
        <v>2.0</v>
      </c>
      <c r="W1105" s="98">
        <v>7.0</v>
      </c>
      <c r="X1105" s="98">
        <v>1.0</v>
      </c>
      <c r="Y1105" s="98">
        <v>0.0</v>
      </c>
      <c r="Z1105" s="98">
        <v>0.0</v>
      </c>
      <c r="AA1105" s="98">
        <v>1.0</v>
      </c>
      <c r="AB1105" s="98">
        <v>0.0</v>
      </c>
      <c r="AC1105" s="98">
        <v>0.0</v>
      </c>
      <c r="AD1105" s="98">
        <v>0.0</v>
      </c>
      <c r="AE1105" s="98">
        <v>0.0</v>
      </c>
      <c r="AF1105" s="98">
        <v>0.0</v>
      </c>
      <c r="AG1105" s="98">
        <v>1.0</v>
      </c>
      <c r="AH1105" s="98">
        <v>0.0</v>
      </c>
      <c r="AI1105" s="98">
        <v>0.0</v>
      </c>
      <c r="AJ1105" s="98">
        <v>0.0</v>
      </c>
      <c r="AK1105" s="98">
        <v>0.0</v>
      </c>
      <c r="AL1105" s="98">
        <v>0.0</v>
      </c>
      <c r="AM1105" s="98">
        <v>0.0</v>
      </c>
      <c r="AN1105" s="98">
        <v>0.0</v>
      </c>
      <c r="AO1105" s="98">
        <v>0.0</v>
      </c>
      <c r="AP1105" s="98">
        <v>2.0</v>
      </c>
      <c r="AQ1105" s="98" t="s">
        <v>5988</v>
      </c>
      <c r="AR1105" s="102">
        <v>46262.0</v>
      </c>
      <c r="AS1105" s="83">
        <v>1105797.0</v>
      </c>
    </row>
    <row r="1106" ht="15.75" customHeight="1">
      <c r="A1106" s="111" t="s">
        <v>1335</v>
      </c>
      <c r="B1106" s="83" t="s">
        <v>2050</v>
      </c>
      <c r="C1106" s="83" t="s">
        <v>68</v>
      </c>
      <c r="D1106" s="112">
        <v>1160607.0</v>
      </c>
      <c r="E1106" s="83"/>
      <c r="F1106" s="83">
        <v>2.9093341E7</v>
      </c>
      <c r="G1106" s="91" t="str">
        <f>IFERROR(__xludf.DUMMYFUNCTION("XLOOKUP(AS1106,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CENECISTA DO CAMPO CÔNEGO CUPERTINO DE LACERDA - DISTRITO BONFIM DE FEIRA")</f>
        <v>CENTRO EDUCACIONAL CENECISTA DO CAMPO CÔNEGO CUPERTINO DE LACERDA - DISTRITO BONFIM DE FEIRA</v>
      </c>
      <c r="H1106" s="114" t="s">
        <v>5989</v>
      </c>
      <c r="I1106" s="91" t="s">
        <v>5990</v>
      </c>
      <c r="J1106" s="83" t="s">
        <v>5991</v>
      </c>
      <c r="K1106" s="83" t="s">
        <v>5992</v>
      </c>
      <c r="L1106" s="83" t="s">
        <v>151</v>
      </c>
      <c r="M1106" s="83" t="s">
        <v>152</v>
      </c>
      <c r="N1106" s="98" t="s">
        <v>5993</v>
      </c>
      <c r="O1106" s="98" t="s">
        <v>155</v>
      </c>
      <c r="P1106" s="99" t="str">
        <f>IFERROR(__xludf.DUMMYFUNCTION("IFERROR(VLOOKUP(AS1106,IMPORTRANGE(""https://docs.google.com/spreadsheets/d/1juPI-Fb8LD0YtltB2mlGEnp_R3UVu1t3wSFPzgCyHXE/edit?gid=0#gid=0"",""GERAL!A2:C""),3,0),""-"")"),"CAMPO")</f>
        <v>CAMPO</v>
      </c>
      <c r="Q1106" s="101" t="s">
        <v>156</v>
      </c>
      <c r="R1106" s="98">
        <v>8.0</v>
      </c>
      <c r="S1106" s="98" t="s">
        <v>171</v>
      </c>
      <c r="T1106" s="98" t="s">
        <v>171</v>
      </c>
      <c r="U1106" s="98" t="s">
        <v>171</v>
      </c>
      <c r="V1106" s="98" t="s">
        <v>171</v>
      </c>
      <c r="W1106" s="98" t="s">
        <v>171</v>
      </c>
      <c r="X1106" s="98" t="s">
        <v>171</v>
      </c>
      <c r="Y1106" s="98" t="s">
        <v>171</v>
      </c>
      <c r="Z1106" s="98" t="s">
        <v>171</v>
      </c>
      <c r="AA1106" s="98" t="s">
        <v>171</v>
      </c>
      <c r="AB1106" s="98" t="s">
        <v>171</v>
      </c>
      <c r="AC1106" s="98" t="s">
        <v>171</v>
      </c>
      <c r="AD1106" s="98" t="s">
        <v>171</v>
      </c>
      <c r="AE1106" s="98" t="s">
        <v>171</v>
      </c>
      <c r="AF1106" s="98" t="s">
        <v>171</v>
      </c>
      <c r="AG1106" s="98" t="s">
        <v>171</v>
      </c>
      <c r="AH1106" s="98" t="s">
        <v>171</v>
      </c>
      <c r="AI1106" s="98" t="s">
        <v>171</v>
      </c>
      <c r="AJ1106" s="98" t="s">
        <v>171</v>
      </c>
      <c r="AK1106" s="98" t="s">
        <v>171</v>
      </c>
      <c r="AL1106" s="98" t="s">
        <v>171</v>
      </c>
      <c r="AM1106" s="98" t="s">
        <v>171</v>
      </c>
      <c r="AN1106" s="98" t="s">
        <v>171</v>
      </c>
      <c r="AO1106" s="98" t="s">
        <v>171</v>
      </c>
      <c r="AP1106" s="98" t="s">
        <v>171</v>
      </c>
      <c r="AQ1106" s="83"/>
      <c r="AR1106" s="102">
        <v>46262.0</v>
      </c>
      <c r="AS1106" s="83">
        <v>1160607.0</v>
      </c>
    </row>
    <row r="1107" ht="15.75" customHeight="1">
      <c r="A1107" s="111" t="s">
        <v>1335</v>
      </c>
      <c r="B1107" s="83" t="s">
        <v>2050</v>
      </c>
      <c r="C1107" s="83" t="s">
        <v>68</v>
      </c>
      <c r="D1107" s="112">
        <v>1142994.0</v>
      </c>
      <c r="E1107" s="83"/>
      <c r="F1107" s="83">
        <v>2.9093295E7</v>
      </c>
      <c r="G1107" s="91" t="str">
        <f>IFERROR(__xludf.DUMMYFUNCTION("XLOOKUP(AS1107,
IMPORTRANGE(""https://docs.google.com/spreadsheets/d/1YM-djuOLXomrZ9W0B4TyIBsVWnXY4EIOFD9HY-qGfv0/edit?usp=sharing"",""GERAL!BG5:BG""),
IMPORTRANGE(""https://docs.google.com/spreadsheets/d/1YM-djuOLXomrZ9W0B4TyIBsVWnXY4EIOFD9HY-qGfv0/edit?"&amp;"usp=sharing"",""GERAL!G5:G""),
""CÓD. SEC NÃO ENCONTRADO NA PLANILHA DE MATRÍCULA"")"),"CÓD. SEC NÃO ENCONTRADO NA PLANILHA DE MATRÍCULA")</f>
        <v>CÓD. SEC NÃO ENCONTRADO NA PLANILHA DE MATRÍCULA</v>
      </c>
      <c r="H1107" s="114" t="s">
        <v>2543</v>
      </c>
      <c r="I1107" s="91" t="s">
        <v>5994</v>
      </c>
      <c r="J1107" s="83" t="s">
        <v>5995</v>
      </c>
      <c r="K1107" s="83" t="s">
        <v>150</v>
      </c>
      <c r="L1107" s="83" t="s">
        <v>151</v>
      </c>
      <c r="M1107" s="83" t="s">
        <v>169</v>
      </c>
      <c r="N1107" s="98" t="s">
        <v>5993</v>
      </c>
      <c r="O1107" s="98" t="s">
        <v>155</v>
      </c>
      <c r="P1107" s="99" t="str">
        <f>IFERROR(__xludf.DUMMYFUNCTION("IFERROR(VLOOKUP(AS1107,IMPORTRANGE(""https://docs.google.com/spreadsheets/d/1juPI-Fb8LD0YtltB2mlGEnp_R3UVu1t3wSFPzgCyHXE/edit?gid=0#gid=0"",""GERAL!A2:C""),3,0),""-"")"),"-")</f>
        <v>-</v>
      </c>
      <c r="Q1107" s="98" t="s">
        <v>171</v>
      </c>
      <c r="R1107" s="83"/>
      <c r="S1107" s="83"/>
      <c r="T1107" s="83"/>
      <c r="U1107" s="83"/>
      <c r="V1107" s="83"/>
      <c r="W1107" s="83"/>
      <c r="X1107" s="83"/>
      <c r="Y1107" s="83"/>
      <c r="Z1107" s="83"/>
      <c r="AA1107" s="83"/>
      <c r="AB1107" s="83"/>
      <c r="AC1107" s="83"/>
      <c r="AD1107" s="83"/>
      <c r="AE1107" s="83"/>
      <c r="AF1107" s="83"/>
      <c r="AG1107" s="83"/>
      <c r="AH1107" s="83"/>
      <c r="AI1107" s="83"/>
      <c r="AJ1107" s="83"/>
      <c r="AK1107" s="83"/>
      <c r="AL1107" s="83"/>
      <c r="AM1107" s="83"/>
      <c r="AN1107" s="83"/>
      <c r="AO1107" s="83"/>
      <c r="AP1107" s="83"/>
      <c r="AQ1107" s="83"/>
      <c r="AR1107" s="102"/>
      <c r="AS1107" s="83">
        <v>1142994.0</v>
      </c>
    </row>
    <row r="1108" ht="15.75" customHeight="1">
      <c r="A1108" s="111" t="s">
        <v>1335</v>
      </c>
      <c r="B1108" s="83" t="s">
        <v>2050</v>
      </c>
      <c r="C1108" s="83" t="s">
        <v>68</v>
      </c>
      <c r="D1108" s="112">
        <v>1178163.0</v>
      </c>
      <c r="E1108" s="83"/>
      <c r="F1108" s="83">
        <v>2.9380375E7</v>
      </c>
      <c r="G1108" s="91" t="str">
        <f>IFERROR(__xludf.DUMMYFUNCTION("XLOOKUP(AS1108,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PEDAGÓGICO AO DEFICIENTE VISUAL JONATHAS TELES DE CARVALHO - CAP")</f>
        <v>CENTRO DE APOIO PEDAGÓGICO AO DEFICIENTE VISUAL JONATHAS TELES DE CARVALHO - CAP</v>
      </c>
      <c r="H1108" s="114" t="s">
        <v>5996</v>
      </c>
      <c r="I1108" s="91" t="s">
        <v>5996</v>
      </c>
      <c r="J1108" s="83" t="s">
        <v>5986</v>
      </c>
      <c r="K1108" s="83" t="s">
        <v>150</v>
      </c>
      <c r="L1108" s="83" t="s">
        <v>5997</v>
      </c>
      <c r="M1108" s="83" t="s">
        <v>230</v>
      </c>
      <c r="N1108" s="98" t="s">
        <v>5993</v>
      </c>
      <c r="O1108" s="98" t="s">
        <v>155</v>
      </c>
      <c r="P1108" s="99" t="str">
        <f>IFERROR(__xludf.DUMMYFUNCTION("IFERROR(VLOOKUP(AS1108,IMPORTRANGE(""https://docs.google.com/spreadsheets/d/1juPI-Fb8LD0YtltB2mlGEnp_R3UVu1t3wSFPzgCyHXE/edit?gid=0#gid=0"",""GERAL!A2:C""),3,0),""-"")"),"-")</f>
        <v>-</v>
      </c>
      <c r="Q1108" s="101" t="s">
        <v>156</v>
      </c>
      <c r="R1108" s="98">
        <v>11.0</v>
      </c>
      <c r="S1108" s="98">
        <v>0.0</v>
      </c>
      <c r="T1108" s="98">
        <v>0.0</v>
      </c>
      <c r="U1108" s="98">
        <v>0.0</v>
      </c>
      <c r="V1108" s="98">
        <v>1.0</v>
      </c>
      <c r="W1108" s="98">
        <v>0.0</v>
      </c>
      <c r="X1108" s="98">
        <v>0.0</v>
      </c>
      <c r="Y1108" s="98">
        <v>0.0</v>
      </c>
      <c r="Z1108" s="98">
        <v>0.0</v>
      </c>
      <c r="AA1108" s="98">
        <v>1.0</v>
      </c>
      <c r="AB1108" s="98">
        <v>0.0</v>
      </c>
      <c r="AC1108" s="98">
        <v>0.0</v>
      </c>
      <c r="AD1108" s="98">
        <v>0.0</v>
      </c>
      <c r="AE1108" s="98">
        <v>0.0</v>
      </c>
      <c r="AF1108" s="98">
        <v>0.0</v>
      </c>
      <c r="AG1108" s="98">
        <v>0.0</v>
      </c>
      <c r="AH1108" s="98">
        <v>0.0</v>
      </c>
      <c r="AI1108" s="98">
        <v>0.0</v>
      </c>
      <c r="AJ1108" s="98">
        <v>0.0</v>
      </c>
      <c r="AK1108" s="98">
        <v>0.0</v>
      </c>
      <c r="AL1108" s="98">
        <v>0.0</v>
      </c>
      <c r="AM1108" s="98">
        <v>0.0</v>
      </c>
      <c r="AN1108" s="98">
        <v>0.0</v>
      </c>
      <c r="AO1108" s="98">
        <v>0.0</v>
      </c>
      <c r="AP1108" s="98">
        <v>1.0</v>
      </c>
      <c r="AQ1108" s="98" t="s">
        <v>498</v>
      </c>
      <c r="AR1108" s="102">
        <v>46262.0</v>
      </c>
      <c r="AS1108" s="83">
        <v>1178163.0</v>
      </c>
    </row>
    <row r="1109" ht="15.75" customHeight="1">
      <c r="A1109" s="111" t="s">
        <v>1335</v>
      </c>
      <c r="B1109" s="83" t="s">
        <v>2050</v>
      </c>
      <c r="C1109" s="83" t="s">
        <v>68</v>
      </c>
      <c r="D1109" s="112">
        <v>1178101.0</v>
      </c>
      <c r="E1109" s="83"/>
      <c r="F1109" s="83">
        <v>2.9436842E7</v>
      </c>
      <c r="G1109" s="91" t="str">
        <f>IFERROR(__xludf.DUMMYFUNCTION("XLOOKUP(AS1109,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PEDAGÓGICO - CAP")</f>
        <v>CENTRO DE APOIO PEDAGÓGICO - CAP</v>
      </c>
      <c r="H1109" s="114" t="s">
        <v>5998</v>
      </c>
      <c r="I1109" s="91" t="s">
        <v>5999</v>
      </c>
      <c r="J1109" s="83" t="s">
        <v>149</v>
      </c>
      <c r="K1109" s="83" t="s">
        <v>150</v>
      </c>
      <c r="L1109" s="83" t="s">
        <v>151</v>
      </c>
      <c r="M1109" s="83" t="s">
        <v>230</v>
      </c>
      <c r="N1109" s="98" t="s">
        <v>6000</v>
      </c>
      <c r="O1109" s="98" t="s">
        <v>155</v>
      </c>
      <c r="P1109" s="99" t="str">
        <f>IFERROR(__xludf.DUMMYFUNCTION("IFERROR(VLOOKUP(AS1109,IMPORTRANGE(""https://docs.google.com/spreadsheets/d/1juPI-Fb8LD0YtltB2mlGEnp_R3UVu1t3wSFPzgCyHXE/edit?gid=0#gid=0"",""GERAL!A2:C""),3,0),""-"")"),"-")</f>
        <v>-</v>
      </c>
      <c r="Q1109" s="101" t="s">
        <v>156</v>
      </c>
      <c r="R1109" s="98">
        <v>22.0</v>
      </c>
      <c r="S1109" s="98">
        <v>0.0</v>
      </c>
      <c r="T1109" s="98">
        <v>1.0</v>
      </c>
      <c r="U1109" s="98">
        <v>0.0</v>
      </c>
      <c r="V1109" s="98">
        <v>0.0</v>
      </c>
      <c r="W1109" s="98">
        <v>0.0</v>
      </c>
      <c r="X1109" s="98">
        <v>0.0</v>
      </c>
      <c r="Y1109" s="98">
        <v>0.0</v>
      </c>
      <c r="Z1109" s="98">
        <v>0.0</v>
      </c>
      <c r="AA1109" s="98">
        <v>0.0</v>
      </c>
      <c r="AB1109" s="98">
        <v>0.0</v>
      </c>
      <c r="AC1109" s="98">
        <v>0.0</v>
      </c>
      <c r="AD1109" s="98">
        <v>0.0</v>
      </c>
      <c r="AE1109" s="98">
        <v>0.0</v>
      </c>
      <c r="AF1109" s="98">
        <v>0.0</v>
      </c>
      <c r="AG1109" s="98">
        <v>0.0</v>
      </c>
      <c r="AH1109" s="98">
        <v>0.0</v>
      </c>
      <c r="AI1109" s="98">
        <v>0.0</v>
      </c>
      <c r="AJ1109" s="98">
        <v>0.0</v>
      </c>
      <c r="AK1109" s="98">
        <v>0.0</v>
      </c>
      <c r="AL1109" s="98">
        <v>0.0</v>
      </c>
      <c r="AM1109" s="98">
        <v>0.0</v>
      </c>
      <c r="AN1109" s="98">
        <v>0.0</v>
      </c>
      <c r="AO1109" s="98">
        <v>0.0</v>
      </c>
      <c r="AP1109" s="98">
        <v>3.0</v>
      </c>
      <c r="AQ1109" s="98" t="s">
        <v>6001</v>
      </c>
      <c r="AR1109" s="102">
        <v>46262.0</v>
      </c>
      <c r="AS1109" s="83">
        <v>1178101.0</v>
      </c>
    </row>
    <row r="1110" ht="15.75" customHeight="1">
      <c r="A1110" s="111" t="s">
        <v>1335</v>
      </c>
      <c r="B1110" s="83" t="s">
        <v>2050</v>
      </c>
      <c r="C1110" s="83" t="s">
        <v>164</v>
      </c>
      <c r="D1110" s="112">
        <v>1106386.0</v>
      </c>
      <c r="E1110" s="83">
        <v>1178347.0</v>
      </c>
      <c r="F1110" s="83"/>
      <c r="G1110" s="91" t="str">
        <f>IFERROR(__xludf.DUMMYFUNCTION("XLOOKUP(AS1110,
IMPORTRANGE(""https://docs.google.com/spreadsheets/d/1YM-djuOLXomrZ9W0B4TyIBsVWnXY4EIOFD9HY-qGfv0/edit?usp=sharing"",""GERAL!BG5:BG""),
IMPORTRANGE(""https://docs.google.com/spreadsheets/d/1YM-djuOLXomrZ9W0B4TyIBsVWnXY4EIOFD9HY-qGfv0/edit?"&amp;"usp=sharing"",""GERAL!G5:G""),
""CÓD. SEC NÃO ENCONTRADO NA PLANILHA DE MATRÍCULA"")"),"ANEXO II - COLÉGIO ESTADUAL DE TEMPO INTEGRAL DE FEIRA DE SANTANA  - CASA DE ATENDIMENTO SOCIOEDUCATIVO JUIZ DE MELO MATOS")</f>
        <v>ANEXO II - COLÉGIO ESTADUAL DE TEMPO INTEGRAL DE FEIRA DE SANTANA  - CASA DE ATENDIMENTO SOCIOEDUCATIVO JUIZ DE MELO MATOS</v>
      </c>
      <c r="H1110" s="119" t="s">
        <v>6002</v>
      </c>
      <c r="I1110" s="91" t="s">
        <v>6003</v>
      </c>
      <c r="J1110" s="83" t="s">
        <v>5948</v>
      </c>
      <c r="K1110" s="83" t="s">
        <v>6004</v>
      </c>
      <c r="L1110" s="83" t="s">
        <v>168</v>
      </c>
      <c r="M1110" s="83" t="s">
        <v>169</v>
      </c>
      <c r="N1110" s="115" t="s">
        <v>170</v>
      </c>
      <c r="O1110" s="98" t="s">
        <v>155</v>
      </c>
      <c r="P1110" s="99" t="str">
        <f>IFERROR(__xludf.DUMMYFUNCTION("IFERROR(VLOOKUP(AS1110,IMPORTRANGE(""https://docs.google.com/spreadsheets/d/1juPI-Fb8LD0YtltB2mlGEnp_R3UVu1t3wSFPzgCyHXE/edit?gid=0#gid=0"",""GERAL!A2:C""),3,0),""-"")"),"-")</f>
        <v>-</v>
      </c>
      <c r="Q1110" s="98" t="s">
        <v>171</v>
      </c>
      <c r="R1110" s="98">
        <v>6.0</v>
      </c>
      <c r="S1110" s="98" t="s">
        <v>171</v>
      </c>
      <c r="T1110" s="98" t="s">
        <v>171</v>
      </c>
      <c r="U1110" s="98" t="s">
        <v>171</v>
      </c>
      <c r="V1110" s="98" t="s">
        <v>171</v>
      </c>
      <c r="W1110" s="98" t="s">
        <v>171</v>
      </c>
      <c r="X1110" s="98" t="s">
        <v>171</v>
      </c>
      <c r="Y1110" s="98" t="s">
        <v>171</v>
      </c>
      <c r="Z1110" s="98" t="s">
        <v>171</v>
      </c>
      <c r="AA1110" s="98" t="s">
        <v>171</v>
      </c>
      <c r="AB1110" s="98" t="s">
        <v>171</v>
      </c>
      <c r="AC1110" s="98" t="s">
        <v>171</v>
      </c>
      <c r="AD1110" s="98" t="s">
        <v>171</v>
      </c>
      <c r="AE1110" s="98" t="s">
        <v>171</v>
      </c>
      <c r="AF1110" s="98" t="s">
        <v>171</v>
      </c>
      <c r="AG1110" s="98" t="s">
        <v>171</v>
      </c>
      <c r="AH1110" s="98" t="s">
        <v>171</v>
      </c>
      <c r="AI1110" s="98" t="s">
        <v>171</v>
      </c>
      <c r="AJ1110" s="98" t="s">
        <v>171</v>
      </c>
      <c r="AK1110" s="98" t="s">
        <v>171</v>
      </c>
      <c r="AL1110" s="98" t="s">
        <v>171</v>
      </c>
      <c r="AM1110" s="98" t="s">
        <v>171</v>
      </c>
      <c r="AN1110" s="98" t="s">
        <v>171</v>
      </c>
      <c r="AO1110" s="98" t="s">
        <v>171</v>
      </c>
      <c r="AP1110" s="98" t="s">
        <v>171</v>
      </c>
      <c r="AQ1110" s="83"/>
      <c r="AR1110" s="102">
        <v>46262.0</v>
      </c>
      <c r="AS1110" s="83">
        <v>1178347.0</v>
      </c>
    </row>
    <row r="1111" ht="15.75" customHeight="1">
      <c r="A1111" s="111" t="s">
        <v>1335</v>
      </c>
      <c r="B1111" s="83" t="s">
        <v>2050</v>
      </c>
      <c r="C1111" s="83" t="s">
        <v>164</v>
      </c>
      <c r="D1111" s="112">
        <v>1106386.0</v>
      </c>
      <c r="E1111" s="83">
        <v>1178346.0</v>
      </c>
      <c r="F1111" s="83"/>
      <c r="G1111" s="91" t="str">
        <f>IFERROR(__xludf.DUMMYFUNCTION("XLOOKUP(AS1111,
IMPORTRANGE(""https://docs.google.com/spreadsheets/d/1YM-djuOLXomrZ9W0B4TyIBsVWnXY4EIOFD9HY-qGfv0/edit?usp=sharing"",""GERAL!BG5:BG""),
IMPORTRANGE(""https://docs.google.com/spreadsheets/d/1YM-djuOLXomrZ9W0B4TyIBsVWnXY4EIOFD9HY-qGfv0/edit?"&amp;"usp=sharing"",""GERAL!G5:G""),
""CÓD. SEC NÃO ENCONTRADO NA PLANILHA DE MATRÍCULA"")"),"ANEXO I - COLÉGIO ESTADUAL DE TEMPO INTEGRAL DE FEIRA DE SANTANA - CONJUNTO PENAL DE FEIRA DE SANTANA")</f>
        <v>ANEXO I - COLÉGIO ESTADUAL DE TEMPO INTEGRAL DE FEIRA DE SANTANA - CONJUNTO PENAL DE FEIRA DE SANTANA</v>
      </c>
      <c r="H1111" s="119" t="s">
        <v>6005</v>
      </c>
      <c r="I1111" s="91" t="s">
        <v>6006</v>
      </c>
      <c r="J1111" s="83" t="s">
        <v>5948</v>
      </c>
      <c r="K1111" s="83" t="s">
        <v>6007</v>
      </c>
      <c r="L1111" s="83" t="s">
        <v>168</v>
      </c>
      <c r="M1111" s="83" t="s">
        <v>169</v>
      </c>
      <c r="N1111" s="115" t="s">
        <v>170</v>
      </c>
      <c r="O1111" s="98" t="s">
        <v>155</v>
      </c>
      <c r="P1111" s="99" t="str">
        <f>IFERROR(__xludf.DUMMYFUNCTION("IFERROR(VLOOKUP(AS1111,IMPORTRANGE(""https://docs.google.com/spreadsheets/d/1juPI-Fb8LD0YtltB2mlGEnp_R3UVu1t3wSFPzgCyHXE/edit?gid=0#gid=0"",""GERAL!A2:C""),3,0),""-"")"),"-")</f>
        <v>-</v>
      </c>
      <c r="Q1111" s="98" t="s">
        <v>171</v>
      </c>
      <c r="R1111" s="98">
        <v>16.0</v>
      </c>
      <c r="S1111" s="98" t="s">
        <v>171</v>
      </c>
      <c r="T1111" s="98" t="s">
        <v>171</v>
      </c>
      <c r="U1111" s="98" t="s">
        <v>171</v>
      </c>
      <c r="V1111" s="98" t="s">
        <v>171</v>
      </c>
      <c r="W1111" s="98" t="s">
        <v>171</v>
      </c>
      <c r="X1111" s="98" t="s">
        <v>171</v>
      </c>
      <c r="Y1111" s="98" t="s">
        <v>171</v>
      </c>
      <c r="Z1111" s="98" t="s">
        <v>171</v>
      </c>
      <c r="AA1111" s="98" t="s">
        <v>171</v>
      </c>
      <c r="AB1111" s="98" t="s">
        <v>171</v>
      </c>
      <c r="AC1111" s="98" t="s">
        <v>171</v>
      </c>
      <c r="AD1111" s="98" t="s">
        <v>171</v>
      </c>
      <c r="AE1111" s="98" t="s">
        <v>171</v>
      </c>
      <c r="AF1111" s="98" t="s">
        <v>171</v>
      </c>
      <c r="AG1111" s="98" t="s">
        <v>171</v>
      </c>
      <c r="AH1111" s="98" t="s">
        <v>171</v>
      </c>
      <c r="AI1111" s="98" t="s">
        <v>171</v>
      </c>
      <c r="AJ1111" s="98" t="s">
        <v>171</v>
      </c>
      <c r="AK1111" s="98" t="s">
        <v>171</v>
      </c>
      <c r="AL1111" s="98" t="s">
        <v>171</v>
      </c>
      <c r="AM1111" s="98" t="s">
        <v>171</v>
      </c>
      <c r="AN1111" s="98" t="s">
        <v>171</v>
      </c>
      <c r="AO1111" s="98" t="s">
        <v>171</v>
      </c>
      <c r="AP1111" s="98" t="s">
        <v>171</v>
      </c>
      <c r="AQ1111" s="83"/>
      <c r="AR1111" s="102">
        <v>46262.0</v>
      </c>
      <c r="AS1111" s="83">
        <v>1178346.0</v>
      </c>
    </row>
    <row r="1112" ht="15.75" customHeight="1">
      <c r="A1112" s="111" t="s">
        <v>1335</v>
      </c>
      <c r="B1112" s="83" t="s">
        <v>2050</v>
      </c>
      <c r="C1112" s="83" t="s">
        <v>164</v>
      </c>
      <c r="D1112" s="112">
        <v>1106386.0</v>
      </c>
      <c r="E1112" s="83">
        <v>1179180.0</v>
      </c>
      <c r="F1112" s="83"/>
      <c r="G1112" s="91" t="str">
        <f>IFERROR(__xludf.DUMMYFUNCTION("XLOOKUP(AS1112,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FEIRA DE SANTANA - CASA DE ATENDIMENTO SOCIOEDUCATIVO ZILDA ARNS - DISTRITO MERCANT")</f>
        <v>ANEXO - COLÉGIO ESTADUAL DE TEMPO INTEGRAL DE FEIRA DE SANTANA - CASA DE ATENDIMENTO SOCIOEDUCATIVO ZILDA ARNS - DISTRITO MERCANT</v>
      </c>
      <c r="H1112" s="119" t="s">
        <v>6008</v>
      </c>
      <c r="I1112" s="91" t="s">
        <v>6009</v>
      </c>
      <c r="J1112" s="83" t="s">
        <v>149</v>
      </c>
      <c r="K1112" s="83" t="s">
        <v>6004</v>
      </c>
      <c r="L1112" s="83" t="s">
        <v>168</v>
      </c>
      <c r="M1112" s="83" t="s">
        <v>169</v>
      </c>
      <c r="N1112" s="115" t="s">
        <v>170</v>
      </c>
      <c r="O1112" s="98" t="s">
        <v>155</v>
      </c>
      <c r="P1112" s="99" t="str">
        <f>IFERROR(__xludf.DUMMYFUNCTION("IFERROR(VLOOKUP(AS1112,IMPORTRANGE(""https://docs.google.com/spreadsheets/d/1juPI-Fb8LD0YtltB2mlGEnp_R3UVu1t3wSFPzgCyHXE/edit?gid=0#gid=0"",""GERAL!A2:C""),3,0),""-"")"),"-")</f>
        <v>-</v>
      </c>
      <c r="Q1112" s="98" t="s">
        <v>171</v>
      </c>
      <c r="R1112" s="98">
        <v>14.0</v>
      </c>
      <c r="S1112" s="98" t="s">
        <v>171</v>
      </c>
      <c r="T1112" s="98" t="s">
        <v>171</v>
      </c>
      <c r="U1112" s="98" t="s">
        <v>171</v>
      </c>
      <c r="V1112" s="98" t="s">
        <v>171</v>
      </c>
      <c r="W1112" s="98" t="s">
        <v>171</v>
      </c>
      <c r="X1112" s="98" t="s">
        <v>171</v>
      </c>
      <c r="Y1112" s="98" t="s">
        <v>171</v>
      </c>
      <c r="Z1112" s="98" t="s">
        <v>171</v>
      </c>
      <c r="AA1112" s="98" t="s">
        <v>171</v>
      </c>
      <c r="AB1112" s="98" t="s">
        <v>171</v>
      </c>
      <c r="AC1112" s="98" t="s">
        <v>171</v>
      </c>
      <c r="AD1112" s="98" t="s">
        <v>171</v>
      </c>
      <c r="AE1112" s="98" t="s">
        <v>171</v>
      </c>
      <c r="AF1112" s="98" t="s">
        <v>171</v>
      </c>
      <c r="AG1112" s="98" t="s">
        <v>171</v>
      </c>
      <c r="AH1112" s="98" t="s">
        <v>171</v>
      </c>
      <c r="AI1112" s="98" t="s">
        <v>171</v>
      </c>
      <c r="AJ1112" s="98" t="s">
        <v>171</v>
      </c>
      <c r="AK1112" s="98" t="s">
        <v>171</v>
      </c>
      <c r="AL1112" s="98" t="s">
        <v>171</v>
      </c>
      <c r="AM1112" s="98" t="s">
        <v>171</v>
      </c>
      <c r="AN1112" s="98" t="s">
        <v>171</v>
      </c>
      <c r="AO1112" s="98" t="s">
        <v>171</v>
      </c>
      <c r="AP1112" s="98" t="s">
        <v>171</v>
      </c>
      <c r="AQ1112" s="83"/>
      <c r="AR1112" s="102">
        <v>46262.0</v>
      </c>
      <c r="AS1112" s="83">
        <v>1179180.0</v>
      </c>
    </row>
    <row r="1113" ht="15.75" customHeight="1">
      <c r="A1113" s="111" t="s">
        <v>1335</v>
      </c>
      <c r="B1113" s="83" t="s">
        <v>6010</v>
      </c>
      <c r="C1113" s="83" t="s">
        <v>68</v>
      </c>
      <c r="D1113" s="112">
        <v>1160380.0</v>
      </c>
      <c r="E1113" s="83"/>
      <c r="F1113" s="83">
        <v>2.9098165E7</v>
      </c>
      <c r="G1113" s="91" t="str">
        <f>IFERROR(__xludf.DUMMYFUNCTION("XLOOKUP(AS1113,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ÁUREO FILHO ")</f>
        <v>COLÉGIO ESTADUAL DE TEMPO INTEGRAL ÁUREO FILHO </v>
      </c>
      <c r="H1113" s="119" t="s">
        <v>6011</v>
      </c>
      <c r="I1113" s="91" t="s">
        <v>6012</v>
      </c>
      <c r="J1113" s="136" t="s">
        <v>149</v>
      </c>
      <c r="K1113" s="83" t="s">
        <v>150</v>
      </c>
      <c r="L1113" s="83" t="s">
        <v>151</v>
      </c>
      <c r="M1113" s="83" t="s">
        <v>230</v>
      </c>
      <c r="N1113" s="98" t="s">
        <v>6014</v>
      </c>
      <c r="O1113" s="98" t="s">
        <v>162</v>
      </c>
      <c r="P1113" s="99" t="str">
        <f>IFERROR(__xludf.DUMMYFUNCTION("IFERROR(VLOOKUP(AS1113,IMPORTRANGE(""https://docs.google.com/spreadsheets/d/1juPI-Fb8LD0YtltB2mlGEnp_R3UVu1t3wSFPzgCyHXE/edit?gid=0#gid=0"",""GERAL!A2:C""),3,0),""-"")"),"-")</f>
        <v>-</v>
      </c>
      <c r="Q1113" s="101" t="s">
        <v>156</v>
      </c>
      <c r="R1113" s="98">
        <v>13.0</v>
      </c>
      <c r="S1113" s="98">
        <v>0.0</v>
      </c>
      <c r="T1113" s="98">
        <v>1.0</v>
      </c>
      <c r="U1113" s="98">
        <v>0.0</v>
      </c>
      <c r="V1113" s="98">
        <v>1.0</v>
      </c>
      <c r="W1113" s="98">
        <v>3.0</v>
      </c>
      <c r="X1113" s="98">
        <v>1.0</v>
      </c>
      <c r="Y1113" s="98">
        <v>0.0</v>
      </c>
      <c r="Z1113" s="98">
        <v>1.0</v>
      </c>
      <c r="AA1113" s="98">
        <v>0.0</v>
      </c>
      <c r="AB1113" s="98">
        <v>1.0</v>
      </c>
      <c r="AC1113" s="98">
        <v>0.0</v>
      </c>
      <c r="AD1113" s="98">
        <v>0.0</v>
      </c>
      <c r="AE1113" s="98">
        <v>0.0</v>
      </c>
      <c r="AF1113" s="98">
        <v>1.0</v>
      </c>
      <c r="AG1113" s="98">
        <v>0.0</v>
      </c>
      <c r="AH1113" s="98">
        <v>0.0</v>
      </c>
      <c r="AI1113" s="98">
        <v>0.0</v>
      </c>
      <c r="AJ1113" s="98">
        <v>0.0</v>
      </c>
      <c r="AK1113" s="98">
        <v>1.0</v>
      </c>
      <c r="AL1113" s="98">
        <v>0.0</v>
      </c>
      <c r="AM1113" s="98">
        <v>0.0</v>
      </c>
      <c r="AN1113" s="98">
        <v>0.0</v>
      </c>
      <c r="AO1113" s="98">
        <v>1.0</v>
      </c>
      <c r="AP1113" s="98">
        <v>0.0</v>
      </c>
      <c r="AQ1113" s="98" t="s">
        <v>835</v>
      </c>
      <c r="AR1113" s="102">
        <v>46227.0</v>
      </c>
      <c r="AS1113" s="83">
        <v>1160380.0</v>
      </c>
    </row>
    <row r="1114" ht="15.75" customHeight="1">
      <c r="A1114" s="111" t="s">
        <v>1335</v>
      </c>
      <c r="B1114" s="83" t="s">
        <v>6023</v>
      </c>
      <c r="C1114" s="83" t="s">
        <v>45</v>
      </c>
      <c r="D1114" s="112">
        <v>1178418.0</v>
      </c>
      <c r="E1114" s="83"/>
      <c r="F1114" s="83">
        <v>2.9396158E7</v>
      </c>
      <c r="G1114" s="91" t="str">
        <f>IFERROR(__xludf.DUMMYFUNCTION("XLOOKUP(AS1114,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FAMÍLIA AGRÍCOLA DOS MUNICÍPIOS INTEGRADOS DA REGIÃO DE IRARÁ")</f>
        <v>ESCOLA FAMÍLIA AGRÍCOLA DOS MUNICÍPIOS INTEGRADOS DA REGIÃO DE IRARÁ</v>
      </c>
      <c r="H1114" s="185" t="s">
        <v>6024</v>
      </c>
      <c r="I1114" s="91" t="s">
        <v>6025</v>
      </c>
      <c r="J1114" s="83" t="s">
        <v>6026</v>
      </c>
      <c r="K1114" s="115" t="s">
        <v>150</v>
      </c>
      <c r="L1114" s="83" t="s">
        <v>171</v>
      </c>
      <c r="M1114" s="83" t="s">
        <v>169</v>
      </c>
      <c r="N1114" s="98" t="s">
        <v>6027</v>
      </c>
      <c r="O1114" s="98" t="s">
        <v>155</v>
      </c>
      <c r="P1114" s="99" t="str">
        <f>IFERROR(__xludf.DUMMYFUNCTION("IFERROR(VLOOKUP(AS1114,IMPORTRANGE(""https://docs.google.com/spreadsheets/d/1juPI-Fb8LD0YtltB2mlGEnp_R3UVu1t3wSFPzgCyHXE/edit?gid=0#gid=0"",""GERAL!A2:C""),3,0),""-"")"),"EFA")</f>
        <v>EFA</v>
      </c>
      <c r="Q1114" s="83"/>
      <c r="R1114" s="83"/>
      <c r="S1114" s="83"/>
      <c r="T1114" s="83"/>
      <c r="U1114" s="83"/>
      <c r="V1114" s="83"/>
      <c r="W1114" s="83"/>
      <c r="X1114" s="83"/>
      <c r="Y1114" s="83"/>
      <c r="Z1114" s="83"/>
      <c r="AA1114" s="83"/>
      <c r="AB1114" s="83"/>
      <c r="AC1114" s="83"/>
      <c r="AD1114" s="83"/>
      <c r="AE1114" s="83"/>
      <c r="AF1114" s="83"/>
      <c r="AG1114" s="83"/>
      <c r="AH1114" s="83"/>
      <c r="AI1114" s="83"/>
      <c r="AJ1114" s="83"/>
      <c r="AK1114" s="83"/>
      <c r="AL1114" s="83"/>
      <c r="AM1114" s="83"/>
      <c r="AN1114" s="83"/>
      <c r="AO1114" s="83"/>
      <c r="AP1114" s="83"/>
      <c r="AQ1114" s="83"/>
      <c r="AR1114" s="83"/>
      <c r="AS1114" s="83">
        <v>1178418.0</v>
      </c>
    </row>
    <row r="1115" ht="15.75" customHeight="1">
      <c r="A1115" s="111" t="s">
        <v>1335</v>
      </c>
      <c r="B1115" s="83" t="s">
        <v>6023</v>
      </c>
      <c r="C1115" s="83" t="s">
        <v>68</v>
      </c>
      <c r="D1115" s="112">
        <v>1107129.0</v>
      </c>
      <c r="E1115" s="83"/>
      <c r="F1115" s="83">
        <v>2.910329E7</v>
      </c>
      <c r="G1115" s="91" t="str">
        <f>IFERROR(__xludf.DUMMYFUNCTION("XLOOKUP(AS1115,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MARLENE ALVES DOS SANTOS ")</f>
        <v>COLÉGIO ESTADUAL DE TEMPO INTEGRAL PROFESSORA MARLENE ALVES DOS SANTOS </v>
      </c>
      <c r="H1115" s="184" t="s">
        <v>6028</v>
      </c>
      <c r="I1115" s="108" t="s">
        <v>6029</v>
      </c>
      <c r="J1115" s="83" t="s">
        <v>149</v>
      </c>
      <c r="K1115" s="83" t="s">
        <v>150</v>
      </c>
      <c r="L1115" s="83" t="s">
        <v>151</v>
      </c>
      <c r="M1115" s="83" t="s">
        <v>230</v>
      </c>
      <c r="N1115" s="98" t="s">
        <v>6030</v>
      </c>
      <c r="O1115" s="98" t="s">
        <v>162</v>
      </c>
      <c r="P1115" s="99" t="str">
        <f>IFERROR(__xludf.DUMMYFUNCTION("IFERROR(VLOOKUP(AS1115,IMPORTRANGE(""https://docs.google.com/spreadsheets/d/1juPI-Fb8LD0YtltB2mlGEnp_R3UVu1t3wSFPzgCyHXE/edit?gid=0#gid=0"",""GERAL!A2:C""),3,0),""-"")"),"-")</f>
        <v>-</v>
      </c>
      <c r="Q1115" s="83"/>
      <c r="R1115" s="83"/>
      <c r="S1115" s="83"/>
      <c r="T1115" s="83"/>
      <c r="U1115" s="83"/>
      <c r="V1115" s="83"/>
      <c r="W1115" s="83"/>
      <c r="X1115" s="83"/>
      <c r="Y1115" s="83"/>
      <c r="Z1115" s="83"/>
      <c r="AA1115" s="83"/>
      <c r="AB1115" s="83"/>
      <c r="AC1115" s="83"/>
      <c r="AD1115" s="83"/>
      <c r="AE1115" s="83"/>
      <c r="AF1115" s="83"/>
      <c r="AG1115" s="83"/>
      <c r="AH1115" s="83"/>
      <c r="AI1115" s="83"/>
      <c r="AJ1115" s="83"/>
      <c r="AK1115" s="83"/>
      <c r="AL1115" s="83"/>
      <c r="AM1115" s="83"/>
      <c r="AN1115" s="83"/>
      <c r="AO1115" s="83"/>
      <c r="AP1115" s="83"/>
      <c r="AQ1115" s="83"/>
      <c r="AR1115" s="83"/>
      <c r="AS1115" s="83">
        <v>1107129.0</v>
      </c>
    </row>
    <row r="1116" ht="15.75" customHeight="1">
      <c r="A1116" s="111" t="s">
        <v>1335</v>
      </c>
      <c r="B1116" s="83" t="s">
        <v>6023</v>
      </c>
      <c r="C1116" s="83" t="s">
        <v>164</v>
      </c>
      <c r="D1116" s="112">
        <v>1107129.0</v>
      </c>
      <c r="E1116" s="83">
        <v>1178457.0</v>
      </c>
      <c r="F1116" s="83"/>
      <c r="G1116" s="91" t="str">
        <f>IFERROR(__xludf.DUMMYFUNCTION("XLOOKUP(AS1116,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PROFESSORA MARLENE ALVES DOS SANTOS - DISTRITO DE LARGO")</f>
        <v>ANEXO - COLÉGIO ESTADUAL DE TEMPO INTEGRAL PROFESSORA MARLENE ALVES DOS SANTOS - DISTRITO DE LARGO</v>
      </c>
      <c r="H1116" s="184" t="s">
        <v>6031</v>
      </c>
      <c r="I1116" s="91" t="s">
        <v>6032</v>
      </c>
      <c r="J1116" s="83" t="s">
        <v>149</v>
      </c>
      <c r="K1116" s="83" t="s">
        <v>6033</v>
      </c>
      <c r="L1116" s="83" t="s">
        <v>168</v>
      </c>
      <c r="M1116" s="83" t="s">
        <v>169</v>
      </c>
      <c r="N1116" s="115" t="s">
        <v>170</v>
      </c>
      <c r="O1116" s="98" t="s">
        <v>155</v>
      </c>
      <c r="P1116" s="99" t="str">
        <f>IFERROR(__xludf.DUMMYFUNCTION("IFERROR(VLOOKUP(AS1116,IMPORTRANGE(""https://docs.google.com/spreadsheets/d/1juPI-Fb8LD0YtltB2mlGEnp_R3UVu1t3wSFPzgCyHXE/edit?gid=0#gid=0"",""GERAL!A2:C""),3,0),""-"")"),"CAMPO")</f>
        <v>CAMPO</v>
      </c>
      <c r="Q1116" s="83"/>
      <c r="R1116" s="83"/>
      <c r="S1116" s="83"/>
      <c r="T1116" s="83"/>
      <c r="U1116" s="83"/>
      <c r="V1116" s="83"/>
      <c r="W1116" s="83"/>
      <c r="X1116" s="83"/>
      <c r="Y1116" s="83"/>
      <c r="Z1116" s="83"/>
      <c r="AA1116" s="83"/>
      <c r="AB1116" s="83"/>
      <c r="AC1116" s="83"/>
      <c r="AD1116" s="83"/>
      <c r="AE1116" s="83"/>
      <c r="AF1116" s="83"/>
      <c r="AG1116" s="83"/>
      <c r="AH1116" s="83"/>
      <c r="AI1116" s="83"/>
      <c r="AJ1116" s="83"/>
      <c r="AK1116" s="83"/>
      <c r="AL1116" s="83"/>
      <c r="AM1116" s="83"/>
      <c r="AN1116" s="83"/>
      <c r="AO1116" s="83"/>
      <c r="AP1116" s="83"/>
      <c r="AQ1116" s="83"/>
      <c r="AR1116" s="83"/>
      <c r="AS1116" s="83">
        <v>1178457.0</v>
      </c>
    </row>
    <row r="1117" ht="15.75" customHeight="1">
      <c r="A1117" s="111" t="s">
        <v>1335</v>
      </c>
      <c r="B1117" s="83" t="s">
        <v>6023</v>
      </c>
      <c r="C1117" s="83" t="s">
        <v>164</v>
      </c>
      <c r="D1117" s="112">
        <v>1107129.0</v>
      </c>
      <c r="E1117" s="83">
        <v>1179181.0</v>
      </c>
      <c r="F1117" s="83"/>
      <c r="G1117" s="91" t="str">
        <f>IFERROR(__xludf.DUMMYFUNCTION("XLOOKUP(AS1117,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PROFESSORA MARLENE ALVES DOS SANTOS - DISTRITO BENTO SIMOES")</f>
        <v>ANEXO - COLÉGIO ESTADUAL DE TEMPO INTEGRAL PROFESSORA MARLENE ALVES DOS SANTOS - DISTRITO BENTO SIMOES</v>
      </c>
      <c r="H1117" s="184" t="s">
        <v>6034</v>
      </c>
      <c r="I1117" s="91" t="s">
        <v>6035</v>
      </c>
      <c r="J1117" s="83" t="s">
        <v>149</v>
      </c>
      <c r="K1117" s="83" t="s">
        <v>2704</v>
      </c>
      <c r="L1117" s="83" t="s">
        <v>168</v>
      </c>
      <c r="M1117" s="83" t="s">
        <v>169</v>
      </c>
      <c r="N1117" s="115" t="s">
        <v>170</v>
      </c>
      <c r="O1117" s="98" t="s">
        <v>155</v>
      </c>
      <c r="P1117" s="99" t="str">
        <f>IFERROR(__xludf.DUMMYFUNCTION("IFERROR(VLOOKUP(AS1117,IMPORTRANGE(""https://docs.google.com/spreadsheets/d/1juPI-Fb8LD0YtltB2mlGEnp_R3UVu1t3wSFPzgCyHXE/edit?gid=0#gid=0"",""GERAL!A2:C""),3,0),""-"")"),"CAMPO")</f>
        <v>CAMPO</v>
      </c>
      <c r="Q1117" s="83"/>
      <c r="R1117" s="83"/>
      <c r="S1117" s="83"/>
      <c r="T1117" s="83"/>
      <c r="U1117" s="83"/>
      <c r="V1117" s="83"/>
      <c r="W1117" s="83"/>
      <c r="X1117" s="83"/>
      <c r="Y1117" s="83"/>
      <c r="Z1117" s="83"/>
      <c r="AA1117" s="83"/>
      <c r="AB1117" s="83"/>
      <c r="AC1117" s="83"/>
      <c r="AD1117" s="83"/>
      <c r="AE1117" s="83"/>
      <c r="AF1117" s="83"/>
      <c r="AG1117" s="83"/>
      <c r="AH1117" s="83"/>
      <c r="AI1117" s="83"/>
      <c r="AJ1117" s="83"/>
      <c r="AK1117" s="83"/>
      <c r="AL1117" s="83"/>
      <c r="AM1117" s="83"/>
      <c r="AN1117" s="83"/>
      <c r="AO1117" s="83"/>
      <c r="AP1117" s="83"/>
      <c r="AQ1117" s="83"/>
      <c r="AR1117" s="83"/>
      <c r="AS1117" s="83">
        <v>1179181.0</v>
      </c>
    </row>
    <row r="1118" ht="15.75" customHeight="1">
      <c r="A1118" s="111" t="s">
        <v>1335</v>
      </c>
      <c r="B1118" s="83" t="s">
        <v>6036</v>
      </c>
      <c r="C1118" s="83" t="s">
        <v>68</v>
      </c>
      <c r="D1118" s="112">
        <v>1107382.0</v>
      </c>
      <c r="E1118" s="83"/>
      <c r="F1118" s="83">
        <v>2.9107466E7</v>
      </c>
      <c r="G1118" s="91" t="str">
        <f>IFERROR(__xludf.DUMMYFUNCTION("XLOOKUP(AS1118,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CARLOS VALADARES")</f>
        <v>COLÉGIO ESTADUAL PROFESSOR CARLOS VALADARES</v>
      </c>
      <c r="H1118" s="114" t="s">
        <v>6037</v>
      </c>
      <c r="I1118" s="91" t="s">
        <v>6038</v>
      </c>
      <c r="J1118" s="83" t="s">
        <v>149</v>
      </c>
      <c r="K1118" s="83" t="s">
        <v>150</v>
      </c>
      <c r="L1118" s="83" t="s">
        <v>151</v>
      </c>
      <c r="M1118" s="83" t="s">
        <v>152</v>
      </c>
      <c r="N1118" s="98" t="s">
        <v>6039</v>
      </c>
      <c r="O1118" s="98" t="s">
        <v>155</v>
      </c>
      <c r="P1118" s="99" t="str">
        <f>IFERROR(__xludf.DUMMYFUNCTION("IFERROR(VLOOKUP(AS1118,IMPORTRANGE(""https://docs.google.com/spreadsheets/d/1juPI-Fb8LD0YtltB2mlGEnp_R3UVu1t3wSFPzgCyHXE/edit?gid=0#gid=0"",""GERAL!A2:C""),3,0),""-"")"),"-")</f>
        <v>-</v>
      </c>
      <c r="Q1118" s="136"/>
      <c r="R1118" s="136"/>
      <c r="S1118" s="136"/>
      <c r="T1118" s="136"/>
      <c r="U1118" s="136"/>
      <c r="V1118" s="136"/>
      <c r="W1118" s="136"/>
      <c r="X1118" s="136"/>
      <c r="Y1118" s="136"/>
      <c r="Z1118" s="136"/>
      <c r="AA1118" s="136"/>
      <c r="AB1118" s="136"/>
      <c r="AC1118" s="136"/>
      <c r="AD1118" s="136"/>
      <c r="AE1118" s="136"/>
      <c r="AF1118" s="136"/>
      <c r="AG1118" s="136"/>
      <c r="AH1118" s="136"/>
      <c r="AI1118" s="136"/>
      <c r="AJ1118" s="136"/>
      <c r="AK1118" s="136"/>
      <c r="AL1118" s="136"/>
      <c r="AM1118" s="136"/>
      <c r="AN1118" s="136"/>
      <c r="AO1118" s="136"/>
      <c r="AP1118" s="136"/>
      <c r="AQ1118" s="136"/>
      <c r="AR1118" s="136"/>
      <c r="AS1118" s="136">
        <v>1107382.0</v>
      </c>
    </row>
    <row r="1119" ht="15.75" customHeight="1">
      <c r="A1119" s="111" t="s">
        <v>1335</v>
      </c>
      <c r="B1119" s="83" t="s">
        <v>6036</v>
      </c>
      <c r="C1119" s="83" t="s">
        <v>68</v>
      </c>
      <c r="D1119" s="112">
        <v>1107404.0</v>
      </c>
      <c r="E1119" s="83"/>
      <c r="F1119" s="83">
        <v>2.910744E7</v>
      </c>
      <c r="G1119" s="91" t="str">
        <f>IFERROR(__xludf.DUMMYFUNCTION("XLOOKUP(AS1119,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JOSÉ")</f>
        <v>COLÉGIO ESTADUAL DE TEMPO INTEGRAL SÃO JOSÉ</v>
      </c>
      <c r="H1119" s="119" t="s">
        <v>6040</v>
      </c>
      <c r="I1119" s="91" t="s">
        <v>6041</v>
      </c>
      <c r="J1119" s="83" t="s">
        <v>149</v>
      </c>
      <c r="K1119" s="83" t="s">
        <v>150</v>
      </c>
      <c r="L1119" s="83" t="s">
        <v>5791</v>
      </c>
      <c r="M1119" s="83" t="s">
        <v>152</v>
      </c>
      <c r="N1119" s="98" t="s">
        <v>6042</v>
      </c>
      <c r="O1119" s="98" t="s">
        <v>155</v>
      </c>
      <c r="P1119" s="99" t="str">
        <f>IFERROR(__xludf.DUMMYFUNCTION("IFERROR(VLOOKUP(AS1119,IMPORTRANGE(""https://docs.google.com/spreadsheets/d/1juPI-Fb8LD0YtltB2mlGEnp_R3UVu1t3wSFPzgCyHXE/edit?gid=0#gid=0"",""GERAL!A2:C""),3,0),""-"")"),"-")</f>
        <v>-</v>
      </c>
      <c r="Q1119" s="83"/>
      <c r="R1119" s="83"/>
      <c r="S1119" s="83"/>
      <c r="T1119" s="83"/>
      <c r="U1119" s="83"/>
      <c r="V1119" s="83"/>
      <c r="W1119" s="83"/>
      <c r="X1119" s="83"/>
      <c r="Y1119" s="83"/>
      <c r="Z1119" s="83"/>
      <c r="AA1119" s="83"/>
      <c r="AB1119" s="83"/>
      <c r="AC1119" s="83"/>
      <c r="AD1119" s="83"/>
      <c r="AE1119" s="83"/>
      <c r="AF1119" s="83"/>
      <c r="AG1119" s="83"/>
      <c r="AH1119" s="83"/>
      <c r="AI1119" s="83"/>
      <c r="AJ1119" s="83"/>
      <c r="AK1119" s="83"/>
      <c r="AL1119" s="83"/>
      <c r="AM1119" s="83"/>
      <c r="AN1119" s="83"/>
      <c r="AO1119" s="83"/>
      <c r="AP1119" s="83"/>
      <c r="AQ1119" s="83"/>
      <c r="AR1119" s="83"/>
      <c r="AS1119" s="83">
        <v>1107404.0</v>
      </c>
    </row>
    <row r="1120" ht="15.75" customHeight="1">
      <c r="A1120" s="111" t="s">
        <v>1335</v>
      </c>
      <c r="B1120" s="83" t="s">
        <v>6043</v>
      </c>
      <c r="C1120" s="83" t="s">
        <v>68</v>
      </c>
      <c r="D1120" s="112">
        <v>1107420.0</v>
      </c>
      <c r="E1120" s="83"/>
      <c r="F1120" s="83">
        <v>2.9108047E7</v>
      </c>
      <c r="G1120" s="91" t="str">
        <f>IFERROR(__xludf.DUMMYFUNCTION("XLOOKUP(AS1120,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JOSÉ ANTÔNIO DE ALMEIDA")</f>
        <v>COLÉGIO ESTADUAL DO CAMPO DE TEMPO INTEGRAL JOSÉ ANTÔNIO DE ALMEIDA</v>
      </c>
      <c r="H1120" s="119" t="s">
        <v>6044</v>
      </c>
      <c r="I1120" s="91" t="s">
        <v>6045</v>
      </c>
      <c r="J1120" s="83" t="s">
        <v>149</v>
      </c>
      <c r="K1120" s="83" t="s">
        <v>150</v>
      </c>
      <c r="L1120" s="83" t="s">
        <v>151</v>
      </c>
      <c r="M1120" s="83" t="s">
        <v>152</v>
      </c>
      <c r="N1120" s="98" t="s">
        <v>6046</v>
      </c>
      <c r="O1120" s="98" t="s">
        <v>155</v>
      </c>
      <c r="P1120" s="99" t="str">
        <f>IFERROR(__xludf.DUMMYFUNCTION("IFERROR(VLOOKUP(AS1120,IMPORTRANGE(""https://docs.google.com/spreadsheets/d/1juPI-Fb8LD0YtltB2mlGEnp_R3UVu1t3wSFPzgCyHXE/edit?gid=0#gid=0"",""GERAL!A2:C""),3,0),""-"")"),"CAMPO")</f>
        <v>CAMPO</v>
      </c>
      <c r="Q1120" s="83"/>
      <c r="R1120" s="83"/>
      <c r="S1120" s="83"/>
      <c r="T1120" s="83"/>
      <c r="U1120" s="83"/>
      <c r="V1120" s="83"/>
      <c r="W1120" s="83"/>
      <c r="X1120" s="83"/>
      <c r="Y1120" s="83"/>
      <c r="Z1120" s="83"/>
      <c r="AA1120" s="83"/>
      <c r="AB1120" s="83"/>
      <c r="AC1120" s="83"/>
      <c r="AD1120" s="83"/>
      <c r="AE1120" s="83"/>
      <c r="AF1120" s="83"/>
      <c r="AG1120" s="83"/>
      <c r="AH1120" s="83"/>
      <c r="AI1120" s="83"/>
      <c r="AJ1120" s="83"/>
      <c r="AK1120" s="83"/>
      <c r="AL1120" s="83"/>
      <c r="AM1120" s="83"/>
      <c r="AN1120" s="83"/>
      <c r="AO1120" s="83"/>
      <c r="AP1120" s="83"/>
      <c r="AQ1120" s="83"/>
      <c r="AR1120" s="83"/>
      <c r="AS1120" s="83">
        <v>1107420.0</v>
      </c>
    </row>
    <row r="1121" ht="15.75" customHeight="1">
      <c r="A1121" s="111" t="s">
        <v>1335</v>
      </c>
      <c r="B1121" s="83" t="s">
        <v>6047</v>
      </c>
      <c r="C1121" s="83" t="s">
        <v>68</v>
      </c>
      <c r="D1121" s="112">
        <v>1107455.0</v>
      </c>
      <c r="E1121" s="83"/>
      <c r="F1121" s="83">
        <v>2.91089E7</v>
      </c>
      <c r="G1121" s="91" t="str">
        <f>IFERROR(__xludf.DUMMYFUNCTION("XLOOKUP(AS1121,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EDITE FERREIRA FONSECA")</f>
        <v>COLÉGIO ESTADUAL DE TEMPO INTEGRAL PROFESSORA EDITE FERREIRA FONSECA</v>
      </c>
      <c r="H1121" s="119" t="s">
        <v>6048</v>
      </c>
      <c r="I1121" s="91" t="s">
        <v>6049</v>
      </c>
      <c r="J1121" s="83" t="s">
        <v>149</v>
      </c>
      <c r="K1121" s="83" t="s">
        <v>150</v>
      </c>
      <c r="L1121" s="83" t="s">
        <v>151</v>
      </c>
      <c r="M1121" s="83" t="s">
        <v>230</v>
      </c>
      <c r="N1121" s="98" t="s">
        <v>6050</v>
      </c>
      <c r="O1121" s="98" t="s">
        <v>284</v>
      </c>
      <c r="P1121" s="99" t="str">
        <f>IFERROR(__xludf.DUMMYFUNCTION("IFERROR(VLOOKUP(AS1121,IMPORTRANGE(""https://docs.google.com/spreadsheets/d/1juPI-Fb8LD0YtltB2mlGEnp_R3UVu1t3wSFPzgCyHXE/edit?gid=0#gid=0"",""GERAL!A2:C""),3,0),""-"")"),"-")</f>
        <v>-</v>
      </c>
      <c r="Q1121" s="83"/>
      <c r="R1121" s="83"/>
      <c r="S1121" s="83"/>
      <c r="T1121" s="83"/>
      <c r="U1121" s="83"/>
      <c r="V1121" s="83"/>
      <c r="W1121" s="83"/>
      <c r="X1121" s="83"/>
      <c r="Y1121" s="83"/>
      <c r="Z1121" s="83"/>
      <c r="AA1121" s="83"/>
      <c r="AB1121" s="83"/>
      <c r="AC1121" s="83"/>
      <c r="AD1121" s="83"/>
      <c r="AE1121" s="83"/>
      <c r="AF1121" s="83"/>
      <c r="AG1121" s="83"/>
      <c r="AH1121" s="83"/>
      <c r="AI1121" s="83"/>
      <c r="AJ1121" s="83"/>
      <c r="AK1121" s="83"/>
      <c r="AL1121" s="83"/>
      <c r="AM1121" s="83"/>
      <c r="AN1121" s="83"/>
      <c r="AO1121" s="83"/>
      <c r="AP1121" s="83"/>
      <c r="AQ1121" s="83"/>
      <c r="AR1121" s="83"/>
      <c r="AS1121" s="83">
        <v>1107455.0</v>
      </c>
    </row>
    <row r="1122" ht="15.75" customHeight="1">
      <c r="A1122" s="111" t="s">
        <v>1335</v>
      </c>
      <c r="B1122" s="83" t="s">
        <v>6047</v>
      </c>
      <c r="C1122" s="83" t="s">
        <v>68</v>
      </c>
      <c r="D1122" s="112">
        <v>1107501.0</v>
      </c>
      <c r="E1122" s="83"/>
      <c r="F1122" s="83">
        <v>2.9109361E7</v>
      </c>
      <c r="G1122" s="91" t="str">
        <f>IFERROR(__xludf.DUMMYFUNCTION("XLOOKUP(AS1122,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SANTO ESTEVÃO")</f>
        <v>COLÉGIO ESTADUAL DE TEMPO INTEGRAL DE SANTO ESTEVÃO</v>
      </c>
      <c r="H1122" s="119" t="s">
        <v>6052</v>
      </c>
      <c r="I1122" s="108" t="s">
        <v>6053</v>
      </c>
      <c r="J1122" s="83" t="s">
        <v>149</v>
      </c>
      <c r="K1122" s="83" t="s">
        <v>150</v>
      </c>
      <c r="L1122" s="83" t="s">
        <v>151</v>
      </c>
      <c r="M1122" s="83" t="s">
        <v>230</v>
      </c>
      <c r="N1122" s="98" t="s">
        <v>6054</v>
      </c>
      <c r="O1122" s="98" t="s">
        <v>284</v>
      </c>
      <c r="P1122" s="99" t="str">
        <f>IFERROR(__xludf.DUMMYFUNCTION("IFERROR(VLOOKUP(AS1122,IMPORTRANGE(""https://docs.google.com/spreadsheets/d/1juPI-Fb8LD0YtltB2mlGEnp_R3UVu1t3wSFPzgCyHXE/edit?gid=0#gid=0"",""GERAL!A2:C""),3,0),""-"")"),"-")</f>
        <v>-</v>
      </c>
      <c r="Q1122" s="83"/>
      <c r="R1122" s="83"/>
      <c r="S1122" s="83"/>
      <c r="T1122" s="83"/>
      <c r="U1122" s="83"/>
      <c r="V1122" s="83"/>
      <c r="W1122" s="83"/>
      <c r="X1122" s="83"/>
      <c r="Y1122" s="83"/>
      <c r="Z1122" s="83"/>
      <c r="AA1122" s="83"/>
      <c r="AB1122" s="83"/>
      <c r="AC1122" s="83"/>
      <c r="AD1122" s="83"/>
      <c r="AE1122" s="83"/>
      <c r="AF1122" s="83"/>
      <c r="AG1122" s="83"/>
      <c r="AH1122" s="83"/>
      <c r="AI1122" s="83"/>
      <c r="AJ1122" s="83"/>
      <c r="AK1122" s="83"/>
      <c r="AL1122" s="83"/>
      <c r="AM1122" s="83"/>
      <c r="AN1122" s="83"/>
      <c r="AO1122" s="83"/>
      <c r="AP1122" s="83"/>
      <c r="AQ1122" s="83"/>
      <c r="AR1122" s="83"/>
      <c r="AS1122" s="83">
        <v>1107501.0</v>
      </c>
    </row>
    <row r="1123" ht="15.75" customHeight="1">
      <c r="A1123" s="111" t="s">
        <v>1335</v>
      </c>
      <c r="B1123" s="83" t="s">
        <v>6059</v>
      </c>
      <c r="C1123" s="83" t="s">
        <v>68</v>
      </c>
      <c r="D1123" s="112">
        <v>1107536.0</v>
      </c>
      <c r="E1123" s="83"/>
      <c r="F1123" s="83">
        <v>2.9110076E7</v>
      </c>
      <c r="G1123" s="91" t="str">
        <f>IFERROR(__xludf.DUMMYFUNCTION("XLOOKUP(AS1123,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SÃO GONÇALO DOS CAMPOS")</f>
        <v>COLÉGIO ESTADUAL DE TEMPO INTEGRAL DE SÃO GONÇALO DOS CAMPOS</v>
      </c>
      <c r="H1123" s="119" t="s">
        <v>6062</v>
      </c>
      <c r="I1123" s="91" t="s">
        <v>6063</v>
      </c>
      <c r="J1123" s="83" t="s">
        <v>149</v>
      </c>
      <c r="K1123" s="83" t="s">
        <v>150</v>
      </c>
      <c r="L1123" s="83" t="s">
        <v>151</v>
      </c>
      <c r="M1123" s="83" t="s">
        <v>1326</v>
      </c>
      <c r="N1123" s="98" t="s">
        <v>6064</v>
      </c>
      <c r="O1123" s="98" t="s">
        <v>6065</v>
      </c>
      <c r="P1123" s="99" t="str">
        <f>IFERROR(__xludf.DUMMYFUNCTION("IFERROR(VLOOKUP(AS1123,IMPORTRANGE(""https://docs.google.com/spreadsheets/d/1juPI-Fb8LD0YtltB2mlGEnp_R3UVu1t3wSFPzgCyHXE/edit?gid=0#gid=0"",""GERAL!A2:C""),3,0),""-"")"),"-")</f>
        <v>-</v>
      </c>
      <c r="Q1123" s="101" t="s">
        <v>156</v>
      </c>
      <c r="R1123" s="98">
        <v>17.0</v>
      </c>
      <c r="S1123" s="98">
        <v>1.0</v>
      </c>
      <c r="T1123" s="98">
        <v>0.0</v>
      </c>
      <c r="U1123" s="98">
        <v>1.0</v>
      </c>
      <c r="V1123" s="98">
        <v>1.0</v>
      </c>
      <c r="W1123" s="98">
        <v>0.0</v>
      </c>
      <c r="X1123" s="98">
        <v>1.0</v>
      </c>
      <c r="Y1123" s="98">
        <v>0.0</v>
      </c>
      <c r="Z1123" s="98">
        <v>0.0</v>
      </c>
      <c r="AA1123" s="98">
        <v>0.0</v>
      </c>
      <c r="AB1123" s="98">
        <v>0.0</v>
      </c>
      <c r="AC1123" s="98">
        <v>0.0</v>
      </c>
      <c r="AD1123" s="98">
        <v>0.0</v>
      </c>
      <c r="AE1123" s="98">
        <v>1.0</v>
      </c>
      <c r="AF1123" s="98">
        <v>1.0</v>
      </c>
      <c r="AG1123" s="98">
        <v>0.0</v>
      </c>
      <c r="AH1123" s="98">
        <v>1.0</v>
      </c>
      <c r="AI1123" s="98">
        <v>0.0</v>
      </c>
      <c r="AJ1123" s="98">
        <v>0.0</v>
      </c>
      <c r="AK1123" s="98">
        <v>1.0</v>
      </c>
      <c r="AL1123" s="98">
        <v>1.0</v>
      </c>
      <c r="AM1123" s="98">
        <v>0.0</v>
      </c>
      <c r="AN1123" s="98">
        <v>0.0</v>
      </c>
      <c r="AO1123" s="98">
        <v>0.0</v>
      </c>
      <c r="AP1123" s="98">
        <v>2.0</v>
      </c>
      <c r="AQ1123" s="98" t="s">
        <v>6067</v>
      </c>
      <c r="AR1123" s="102">
        <v>46230.0</v>
      </c>
      <c r="AS1123" s="83">
        <v>1107536.0</v>
      </c>
    </row>
    <row r="1124" ht="15.75" customHeight="1">
      <c r="A1124" s="111" t="s">
        <v>1335</v>
      </c>
      <c r="B1124" s="83" t="s">
        <v>6068</v>
      </c>
      <c r="C1124" s="83" t="s">
        <v>68</v>
      </c>
      <c r="D1124" s="112">
        <v>1107706.0</v>
      </c>
      <c r="E1124" s="83"/>
      <c r="F1124" s="83">
        <v>2.911173E7</v>
      </c>
      <c r="G1124" s="91" t="str">
        <f>IFERROR(__xludf.DUMMYFUNCTION("XLOOKUP(AS1124,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NOVIS FILHO")</f>
        <v>COLÉGIO ESTADUAL DE TEMPO INTEGRAL NOVIS FILHO</v>
      </c>
      <c r="H1124" s="119" t="s">
        <v>6069</v>
      </c>
      <c r="I1124" s="422" t="s">
        <v>6071</v>
      </c>
      <c r="J1124" s="83" t="s">
        <v>149</v>
      </c>
      <c r="K1124" s="136" t="s">
        <v>150</v>
      </c>
      <c r="L1124" s="83" t="s">
        <v>151</v>
      </c>
      <c r="M1124" s="83" t="s">
        <v>76</v>
      </c>
      <c r="N1124" s="98" t="s">
        <v>6074</v>
      </c>
      <c r="O1124" s="98" t="s">
        <v>162</v>
      </c>
      <c r="P1124" s="99" t="str">
        <f>IFERROR(__xludf.DUMMYFUNCTION("IFERROR(VLOOKUP(AS1124,IMPORTRANGE(""https://docs.google.com/spreadsheets/d/1juPI-Fb8LD0YtltB2mlGEnp_R3UVu1t3wSFPzgCyHXE/edit?gid=0#gid=0"",""GERAL!A2:C""),3,0),""-"")"),"-")</f>
        <v>-</v>
      </c>
      <c r="Q1124" s="83"/>
      <c r="R1124" s="83"/>
      <c r="S1124" s="83"/>
      <c r="T1124" s="83"/>
      <c r="U1124" s="83"/>
      <c r="V1124" s="83"/>
      <c r="W1124" s="83"/>
      <c r="X1124" s="83"/>
      <c r="Y1124" s="83"/>
      <c r="Z1124" s="83"/>
      <c r="AA1124" s="83"/>
      <c r="AB1124" s="83"/>
      <c r="AC1124" s="83"/>
      <c r="AD1124" s="83"/>
      <c r="AE1124" s="83"/>
      <c r="AF1124" s="83"/>
      <c r="AG1124" s="83"/>
      <c r="AH1124" s="83"/>
      <c r="AI1124" s="83"/>
      <c r="AJ1124" s="83"/>
      <c r="AK1124" s="83"/>
      <c r="AL1124" s="83"/>
      <c r="AM1124" s="83"/>
      <c r="AN1124" s="83"/>
      <c r="AO1124" s="83"/>
      <c r="AP1124" s="83"/>
      <c r="AQ1124" s="83"/>
      <c r="AR1124" s="83"/>
      <c r="AS1124" s="83">
        <v>1107706.0</v>
      </c>
    </row>
    <row r="1125" ht="15.75" customHeight="1">
      <c r="A1125" s="111" t="s">
        <v>1335</v>
      </c>
      <c r="B1125" s="83" t="s">
        <v>6077</v>
      </c>
      <c r="C1125" s="83" t="s">
        <v>68</v>
      </c>
      <c r="D1125" s="112">
        <v>1178202.0</v>
      </c>
      <c r="E1125" s="83"/>
      <c r="F1125" s="83">
        <v>2.9443288E7</v>
      </c>
      <c r="G1125" s="91" t="str">
        <f>IFERROR(__xludf.DUMMYFUNCTION("XLOOKUP(AS1125,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ASSIS VALENTE")</f>
        <v>COLÉGIO ESTADUAL ASSIS VALENTE</v>
      </c>
      <c r="H1125" s="114" t="s">
        <v>6078</v>
      </c>
      <c r="I1125" s="91" t="s">
        <v>6079</v>
      </c>
      <c r="J1125" s="83" t="s">
        <v>149</v>
      </c>
      <c r="K1125" s="83" t="s">
        <v>150</v>
      </c>
      <c r="L1125" s="83" t="s">
        <v>151</v>
      </c>
      <c r="M1125" s="83" t="s">
        <v>169</v>
      </c>
      <c r="N1125" s="98" t="s">
        <v>6080</v>
      </c>
      <c r="O1125" s="98" t="s">
        <v>155</v>
      </c>
      <c r="P1125" s="99" t="str">
        <f>IFERROR(__xludf.DUMMYFUNCTION("IFERROR(VLOOKUP(AS1125,IMPORTRANGE(""https://docs.google.com/spreadsheets/d/1juPI-Fb8LD0YtltB2mlGEnp_R3UVu1t3wSFPzgCyHXE/edit?gid=0#gid=0"",""GERAL!A2:C""),3,0),""-"")"),"CAMPO")</f>
        <v>CAMPO</v>
      </c>
      <c r="Q1125" s="83"/>
      <c r="R1125" s="83"/>
      <c r="S1125" s="83"/>
      <c r="T1125" s="83"/>
      <c r="U1125" s="83"/>
      <c r="V1125" s="83"/>
      <c r="W1125" s="83"/>
      <c r="X1125" s="83"/>
      <c r="Y1125" s="83"/>
      <c r="Z1125" s="83"/>
      <c r="AA1125" s="83"/>
      <c r="AB1125" s="83"/>
      <c r="AC1125" s="83"/>
      <c r="AD1125" s="83"/>
      <c r="AE1125" s="83"/>
      <c r="AF1125" s="83"/>
      <c r="AG1125" s="83"/>
      <c r="AH1125" s="83"/>
      <c r="AI1125" s="83"/>
      <c r="AJ1125" s="83"/>
      <c r="AK1125" s="83"/>
      <c r="AL1125" s="83"/>
      <c r="AM1125" s="83"/>
      <c r="AN1125" s="83"/>
      <c r="AO1125" s="83"/>
      <c r="AP1125" s="83"/>
      <c r="AQ1125" s="83"/>
      <c r="AR1125" s="83"/>
      <c r="AS1125" s="83">
        <v>1178202.0</v>
      </c>
    </row>
    <row r="1126" ht="15.75" customHeight="1">
      <c r="A1126" s="111" t="s">
        <v>1335</v>
      </c>
      <c r="B1126" s="83" t="s">
        <v>6081</v>
      </c>
      <c r="C1126" s="83" t="s">
        <v>68</v>
      </c>
      <c r="D1126" s="112">
        <v>1178047.0</v>
      </c>
      <c r="E1126" s="83"/>
      <c r="F1126" s="83">
        <v>2.943251E7</v>
      </c>
      <c r="G1126" s="91" t="str">
        <f>IFERROR(__xludf.DUMMYFUNCTION("XLOOKUP(AS1126,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TERRA NOVA")</f>
        <v>COLÉGIO ESTADUAL TERRA NOVA</v>
      </c>
      <c r="H1126" s="114" t="s">
        <v>6082</v>
      </c>
      <c r="I1126" s="125" t="s">
        <v>6083</v>
      </c>
      <c r="J1126" s="83" t="s">
        <v>149</v>
      </c>
      <c r="K1126" s="83" t="s">
        <v>150</v>
      </c>
      <c r="L1126" s="83" t="s">
        <v>151</v>
      </c>
      <c r="M1126" s="83" t="s">
        <v>152</v>
      </c>
      <c r="N1126" s="98" t="s">
        <v>6084</v>
      </c>
      <c r="O1126" s="98" t="s">
        <v>155</v>
      </c>
      <c r="P1126" s="99" t="str">
        <f>IFERROR(__xludf.DUMMYFUNCTION("IFERROR(VLOOKUP(AS1126,IMPORTRANGE(""https://docs.google.com/spreadsheets/d/1juPI-Fb8LD0YtltB2mlGEnp_R3UVu1t3wSFPzgCyHXE/edit?gid=0#gid=0"",""GERAL!A2:C""),3,0),""-"")"),"-")</f>
        <v>-</v>
      </c>
      <c r="Q1126" s="101" t="s">
        <v>156</v>
      </c>
      <c r="R1126" s="98">
        <v>7.0</v>
      </c>
      <c r="S1126" s="98">
        <v>0.0</v>
      </c>
      <c r="T1126" s="98">
        <v>0.0</v>
      </c>
      <c r="U1126" s="98">
        <v>0.0</v>
      </c>
      <c r="V1126" s="98">
        <v>1.0</v>
      </c>
      <c r="W1126" s="98">
        <v>0.0</v>
      </c>
      <c r="X1126" s="98">
        <v>1.0</v>
      </c>
      <c r="Y1126" s="98">
        <v>0.0</v>
      </c>
      <c r="Z1126" s="98">
        <v>0.0</v>
      </c>
      <c r="AA1126" s="98">
        <v>0.0</v>
      </c>
      <c r="AB1126" s="98">
        <v>0.0</v>
      </c>
      <c r="AC1126" s="98">
        <v>0.0</v>
      </c>
      <c r="AD1126" s="98">
        <v>0.0</v>
      </c>
      <c r="AE1126" s="98">
        <v>0.0</v>
      </c>
      <c r="AF1126" s="98">
        <v>0.0</v>
      </c>
      <c r="AG1126" s="98">
        <v>1.0</v>
      </c>
      <c r="AH1126" s="98">
        <v>0.0</v>
      </c>
      <c r="AI1126" s="98">
        <v>0.0</v>
      </c>
      <c r="AJ1126" s="98">
        <v>0.0</v>
      </c>
      <c r="AK1126" s="98">
        <v>0.0</v>
      </c>
      <c r="AL1126" s="98">
        <v>0.0</v>
      </c>
      <c r="AM1126" s="98">
        <v>0.0</v>
      </c>
      <c r="AN1126" s="98">
        <v>0.0</v>
      </c>
      <c r="AO1126" s="98">
        <v>0.0</v>
      </c>
      <c r="AP1126" s="98">
        <v>1.0</v>
      </c>
      <c r="AQ1126" s="98" t="s">
        <v>5238</v>
      </c>
      <c r="AR1126" s="102">
        <v>46233.0</v>
      </c>
      <c r="AS1126" s="83">
        <v>1178047.0</v>
      </c>
    </row>
    <row r="1127" ht="15.75" customHeight="1">
      <c r="A1127" s="111" t="s">
        <v>1393</v>
      </c>
      <c r="B1127" s="83" t="s">
        <v>6091</v>
      </c>
      <c r="C1127" s="83" t="s">
        <v>45</v>
      </c>
      <c r="D1127" s="112">
        <v>1178306.0</v>
      </c>
      <c r="E1127" s="83"/>
      <c r="F1127" s="83">
        <v>2.9448786E7</v>
      </c>
      <c r="G1127" s="91" t="str">
        <f>IFERROR(__xludf.DUMMYFUNCTION("XLOOKUP(AS1127,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DE ANAGE")</f>
        <v>ESCOLA FAMILIA AGRICOLA DE ANAGE</v>
      </c>
      <c r="H1127" s="114" t="s">
        <v>6094</v>
      </c>
      <c r="I1127" s="91" t="s">
        <v>6095</v>
      </c>
      <c r="J1127" s="136" t="s">
        <v>149</v>
      </c>
      <c r="K1127" s="115" t="s">
        <v>6096</v>
      </c>
      <c r="L1127" s="136"/>
      <c r="M1127" s="83" t="s">
        <v>76</v>
      </c>
      <c r="N1127" s="98" t="s">
        <v>6097</v>
      </c>
      <c r="O1127" s="98" t="s">
        <v>155</v>
      </c>
      <c r="P1127" s="99" t="str">
        <f>IFERROR(__xludf.DUMMYFUNCTION("IFERROR(VLOOKUP(AS1127,IMPORTRANGE(""https://docs.google.com/spreadsheets/d/1juPI-Fb8LD0YtltB2mlGEnp_R3UVu1t3wSFPzgCyHXE/edit?gid=0#gid=0"",""GERAL!A2:C""),3,0),""-"")"),"EFA")</f>
        <v>EFA</v>
      </c>
      <c r="Q1127" s="98" t="s">
        <v>171</v>
      </c>
      <c r="R1127" s="98">
        <v>4.0</v>
      </c>
      <c r="S1127" s="98">
        <v>0.0</v>
      </c>
      <c r="T1127" s="98">
        <v>0.0</v>
      </c>
      <c r="U1127" s="98">
        <v>0.0</v>
      </c>
      <c r="V1127" s="98">
        <v>0.0</v>
      </c>
      <c r="W1127" s="98">
        <v>11.0</v>
      </c>
      <c r="X1127" s="98">
        <v>1.0</v>
      </c>
      <c r="Y1127" s="98">
        <v>0.0</v>
      </c>
      <c r="Z1127" s="98">
        <v>0.0</v>
      </c>
      <c r="AA1127" s="98">
        <v>0.0</v>
      </c>
      <c r="AB1127" s="98">
        <v>0.0</v>
      </c>
      <c r="AC1127" s="98">
        <v>1.0</v>
      </c>
      <c r="AD1127" s="98">
        <v>0.0</v>
      </c>
      <c r="AE1127" s="98">
        <v>0.0</v>
      </c>
      <c r="AF1127" s="98">
        <v>0.0</v>
      </c>
      <c r="AG1127" s="98">
        <v>0.0</v>
      </c>
      <c r="AH1127" s="98">
        <v>0.0</v>
      </c>
      <c r="AI1127" s="98">
        <v>1.0</v>
      </c>
      <c r="AJ1127" s="98">
        <v>0.0</v>
      </c>
      <c r="AK1127" s="98">
        <v>0.0</v>
      </c>
      <c r="AL1127" s="98">
        <v>0.0</v>
      </c>
      <c r="AM1127" s="98">
        <v>0.0</v>
      </c>
      <c r="AN1127" s="98">
        <v>0.0</v>
      </c>
      <c r="AO1127" s="98">
        <v>0.0</v>
      </c>
      <c r="AP1127" s="98">
        <v>0.0</v>
      </c>
      <c r="AQ1127" s="98" t="s">
        <v>6098</v>
      </c>
      <c r="AR1127" s="102">
        <v>46238.0</v>
      </c>
      <c r="AS1127" s="83">
        <v>1178306.0</v>
      </c>
    </row>
    <row r="1128" ht="15.75" customHeight="1">
      <c r="A1128" s="111" t="s">
        <v>1393</v>
      </c>
      <c r="B1128" s="83" t="s">
        <v>6091</v>
      </c>
      <c r="C1128" s="83" t="s">
        <v>68</v>
      </c>
      <c r="D1128" s="112">
        <v>1178405.0</v>
      </c>
      <c r="E1128" s="83"/>
      <c r="F1128" s="83">
        <v>2.939595E7</v>
      </c>
      <c r="G1128" s="91" t="str">
        <f>IFERROR(__xludf.DUMMYFUNCTION("XLOOKUP(AS1128,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SISINIO RIBEIRO SILVA  - DISTRITO DE LINDO HORIZONTE")</f>
        <v>COLÉGIO ESTADUAL DE TEMPO INTEGRAL SISINIO RIBEIRO SILVA  - DISTRITO DE LINDO HORIZONTE</v>
      </c>
      <c r="H1128" s="119" t="s">
        <v>6099</v>
      </c>
      <c r="I1128" s="91" t="s">
        <v>6100</v>
      </c>
      <c r="J1128" s="136" t="s">
        <v>149</v>
      </c>
      <c r="K1128" s="136" t="s">
        <v>3821</v>
      </c>
      <c r="L1128" s="136" t="s">
        <v>151</v>
      </c>
      <c r="M1128" s="83" t="s">
        <v>169</v>
      </c>
      <c r="N1128" s="98" t="s">
        <v>6101</v>
      </c>
      <c r="O1128" s="98" t="s">
        <v>155</v>
      </c>
      <c r="P1128" s="99" t="str">
        <f>IFERROR(__xludf.DUMMYFUNCTION("IFERROR(VLOOKUP(AS1128,IMPORTRANGE(""https://docs.google.com/spreadsheets/d/1juPI-Fb8LD0YtltB2mlGEnp_R3UVu1t3wSFPzgCyHXE/edit?gid=0#gid=0"",""GERAL!A2:C""),3,0),""-"")"),"CAMPO")</f>
        <v>CAMPO</v>
      </c>
      <c r="Q1128" s="101" t="s">
        <v>156</v>
      </c>
      <c r="R1128" s="98">
        <v>6.0</v>
      </c>
      <c r="S1128" s="98">
        <v>0.0</v>
      </c>
      <c r="T1128" s="98">
        <v>0.0</v>
      </c>
      <c r="U1128" s="98">
        <v>0.0</v>
      </c>
      <c r="V1128" s="98">
        <v>1.0</v>
      </c>
      <c r="W1128" s="98">
        <v>0.0</v>
      </c>
      <c r="X1128" s="98">
        <v>0.0</v>
      </c>
      <c r="Y1128" s="98">
        <v>1.0</v>
      </c>
      <c r="Z1128" s="98">
        <v>0.0</v>
      </c>
      <c r="AA1128" s="98">
        <v>0.0</v>
      </c>
      <c r="AB1128" s="98">
        <v>0.0</v>
      </c>
      <c r="AC1128" s="98">
        <v>0.0</v>
      </c>
      <c r="AD1128" s="98">
        <v>0.0</v>
      </c>
      <c r="AE1128" s="98">
        <v>0.0</v>
      </c>
      <c r="AF1128" s="98">
        <v>0.0</v>
      </c>
      <c r="AG1128" s="98">
        <v>0.0</v>
      </c>
      <c r="AH1128" s="98">
        <v>0.0</v>
      </c>
      <c r="AI1128" s="98">
        <v>0.0</v>
      </c>
      <c r="AJ1128" s="98">
        <v>0.0</v>
      </c>
      <c r="AK1128" s="98">
        <v>0.0</v>
      </c>
      <c r="AL1128" s="98">
        <v>0.0</v>
      </c>
      <c r="AM1128" s="98">
        <v>0.0</v>
      </c>
      <c r="AN1128" s="98">
        <v>0.0</v>
      </c>
      <c r="AO1128" s="98">
        <v>0.0</v>
      </c>
      <c r="AP1128" s="98">
        <v>0.0</v>
      </c>
      <c r="AQ1128" s="98" t="s">
        <v>171</v>
      </c>
      <c r="AR1128" s="102">
        <v>46238.0</v>
      </c>
      <c r="AS1128" s="83">
        <v>1178405.0</v>
      </c>
    </row>
    <row r="1129" ht="15.75" customHeight="1">
      <c r="A1129" s="111" t="s">
        <v>1393</v>
      </c>
      <c r="B1129" s="83" t="s">
        <v>6091</v>
      </c>
      <c r="C1129" s="83" t="s">
        <v>68</v>
      </c>
      <c r="D1129" s="112">
        <v>1124813.0</v>
      </c>
      <c r="E1129" s="83"/>
      <c r="F1129" s="83">
        <v>2.926742E7</v>
      </c>
      <c r="G1129" s="91" t="str">
        <f>IFERROR(__xludf.DUMMYFUNCTION("XLOOKUP(AS1129,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ANAGÉ (ANTIGO - CE RENATO VIANA)")</f>
        <v>COLÉGIO ESTADUAL DE TEMPO INTEGRAL DE ANAGÉ (ANTIGO - CE RENATO VIANA)</v>
      </c>
      <c r="H1129" s="119" t="s">
        <v>6107</v>
      </c>
      <c r="I1129" s="108" t="s">
        <v>6108</v>
      </c>
      <c r="J1129" s="115" t="s">
        <v>6109</v>
      </c>
      <c r="K1129" s="136" t="s">
        <v>150</v>
      </c>
      <c r="L1129" s="136" t="s">
        <v>151</v>
      </c>
      <c r="M1129" s="83" t="s">
        <v>152</v>
      </c>
      <c r="N1129" s="98" t="s">
        <v>6110</v>
      </c>
      <c r="O1129" s="98" t="s">
        <v>155</v>
      </c>
      <c r="P1129" s="99" t="str">
        <f>IFERROR(__xludf.DUMMYFUNCTION("IFERROR(VLOOKUP(AS1129,IMPORTRANGE(""https://docs.google.com/spreadsheets/d/1juPI-Fb8LD0YtltB2mlGEnp_R3UVu1t3wSFPzgCyHXE/edit?gid=0#gid=0"",""GERAL!A2:C""),3,0),""-"")"),"-")</f>
        <v>-</v>
      </c>
      <c r="Q1129" s="101" t="s">
        <v>156</v>
      </c>
      <c r="R1129" s="98">
        <v>17.0</v>
      </c>
      <c r="S1129" s="98">
        <v>1.0</v>
      </c>
      <c r="T1129" s="98">
        <v>1.0</v>
      </c>
      <c r="U1129" s="98">
        <v>0.0</v>
      </c>
      <c r="V1129" s="98">
        <v>1.0</v>
      </c>
      <c r="W1129" s="98">
        <v>3.0</v>
      </c>
      <c r="X1129" s="98">
        <v>1.0</v>
      </c>
      <c r="Y1129" s="98">
        <v>0.0</v>
      </c>
      <c r="Z1129" s="98">
        <v>1.0</v>
      </c>
      <c r="AA1129" s="98">
        <v>0.0</v>
      </c>
      <c r="AB1129" s="98">
        <v>1.0</v>
      </c>
      <c r="AC1129" s="98">
        <v>0.0</v>
      </c>
      <c r="AD1129" s="98">
        <v>0.0</v>
      </c>
      <c r="AE1129" s="98">
        <v>0.0</v>
      </c>
      <c r="AF1129" s="98">
        <v>1.0</v>
      </c>
      <c r="AG1129" s="98">
        <v>0.0</v>
      </c>
      <c r="AH1129" s="98">
        <v>0.0</v>
      </c>
      <c r="AI1129" s="98">
        <v>0.0</v>
      </c>
      <c r="AJ1129" s="98">
        <v>0.0</v>
      </c>
      <c r="AK1129" s="98">
        <v>1.0</v>
      </c>
      <c r="AL1129" s="98">
        <v>0.0</v>
      </c>
      <c r="AM1129" s="98">
        <v>0.0</v>
      </c>
      <c r="AN1129" s="98">
        <v>0.0</v>
      </c>
      <c r="AO1129" s="98">
        <v>0.0</v>
      </c>
      <c r="AP1129" s="98">
        <v>0.0</v>
      </c>
      <c r="AQ1129" s="98" t="s">
        <v>6115</v>
      </c>
      <c r="AR1129" s="102">
        <v>46238.0</v>
      </c>
      <c r="AS1129" s="83">
        <v>1124813.0</v>
      </c>
    </row>
    <row r="1130" ht="15.75" customHeight="1">
      <c r="A1130" s="111" t="s">
        <v>1393</v>
      </c>
      <c r="B1130" s="83" t="s">
        <v>6116</v>
      </c>
      <c r="C1130" s="83" t="s">
        <v>68</v>
      </c>
      <c r="D1130" s="112">
        <v>1123671.0</v>
      </c>
      <c r="E1130" s="83"/>
      <c r="F1130" s="83">
        <v>2.9255597E7</v>
      </c>
      <c r="G1130" s="91" t="str">
        <f>IFERROR(__xludf.DUMMYFUNCTION("XLOOKUP(AS1130,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ARACATU
 (ANTIGO CE CORONEL CANDIDO SILVEIRA SANTOS)")</f>
        <v>COLÉGIO ESTADUAL DE TEMPO INTEGRAL DE ARACATU
 (ANTIGO CE CORONEL CANDIDO SILVEIRA SANTOS)</v>
      </c>
      <c r="H1130" s="119" t="s">
        <v>6117</v>
      </c>
      <c r="I1130" s="108" t="s">
        <v>6118</v>
      </c>
      <c r="J1130" s="136" t="s">
        <v>149</v>
      </c>
      <c r="K1130" s="136" t="s">
        <v>150</v>
      </c>
      <c r="L1130" s="136" t="s">
        <v>151</v>
      </c>
      <c r="M1130" s="83" t="s">
        <v>230</v>
      </c>
      <c r="N1130" s="98" t="s">
        <v>6119</v>
      </c>
      <c r="O1130" s="98" t="s">
        <v>162</v>
      </c>
      <c r="P1130" s="99" t="str">
        <f>IFERROR(__xludf.DUMMYFUNCTION("IFERROR(VLOOKUP(AS1130,IMPORTRANGE(""https://docs.google.com/spreadsheets/d/1juPI-Fb8LD0YtltB2mlGEnp_R3UVu1t3wSFPzgCyHXE/edit?gid=0#gid=0"",""GERAL!A2:C""),3,0),""-"")"),"-")</f>
        <v>-</v>
      </c>
      <c r="Q1130" s="83"/>
      <c r="R1130" s="83"/>
      <c r="S1130" s="83"/>
      <c r="T1130" s="83"/>
      <c r="U1130" s="83"/>
      <c r="V1130" s="83"/>
      <c r="W1130" s="83"/>
      <c r="X1130" s="83"/>
      <c r="Y1130" s="83"/>
      <c r="Z1130" s="83"/>
      <c r="AA1130" s="83"/>
      <c r="AB1130" s="83"/>
      <c r="AC1130" s="83"/>
      <c r="AD1130" s="83"/>
      <c r="AE1130" s="83"/>
      <c r="AF1130" s="83"/>
      <c r="AG1130" s="83"/>
      <c r="AH1130" s="83"/>
      <c r="AI1130" s="83"/>
      <c r="AJ1130" s="83"/>
      <c r="AK1130" s="83"/>
      <c r="AL1130" s="83"/>
      <c r="AM1130" s="83"/>
      <c r="AN1130" s="83"/>
      <c r="AO1130" s="83"/>
      <c r="AP1130" s="83"/>
      <c r="AQ1130" s="83"/>
      <c r="AR1130" s="83"/>
      <c r="AS1130" s="83">
        <v>1123671.0</v>
      </c>
    </row>
    <row r="1131" ht="15.75" customHeight="1">
      <c r="A1131" s="111" t="s">
        <v>1393</v>
      </c>
      <c r="B1131" s="83" t="s">
        <v>6120</v>
      </c>
      <c r="C1131" s="83" t="s">
        <v>68</v>
      </c>
      <c r="D1131" s="112">
        <v>1179113.0</v>
      </c>
      <c r="E1131" s="83"/>
      <c r="F1131" s="83">
        <v>2.9449332E7</v>
      </c>
      <c r="G1131" s="91" t="str">
        <f>IFERROR(__xludf.DUMMYFUNCTION("XLOOKUP(AS1131,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LUCIA ROCHA MACEDO- ASSENTAMENTO CANGUSSU")</f>
        <v>COLÉGIO ESTADUAL DO CAMPO LUCIA ROCHA MACEDO- ASSENTAMENTO CANGUSSU</v>
      </c>
      <c r="H1131" s="119" t="s">
        <v>6121</v>
      </c>
      <c r="I1131" s="91" t="s">
        <v>6122</v>
      </c>
      <c r="J1131" s="83" t="s">
        <v>6123</v>
      </c>
      <c r="K1131" s="83" t="s">
        <v>6124</v>
      </c>
      <c r="L1131" s="83" t="s">
        <v>151</v>
      </c>
      <c r="M1131" s="83" t="s">
        <v>169</v>
      </c>
      <c r="N1131" s="98" t="s">
        <v>6125</v>
      </c>
      <c r="O1131" s="98" t="s">
        <v>155</v>
      </c>
      <c r="P1131" s="99" t="str">
        <f>IFERROR(__xludf.DUMMYFUNCTION("IFERROR(VLOOKUP(AS1131,IMPORTRANGE(""https://docs.google.com/spreadsheets/d/1juPI-Fb8LD0YtltB2mlGEnp_R3UVu1t3wSFPzgCyHXE/edit?gid=0#gid=0"",""GERAL!A2:C""),3,0),""-"")"),"ASSENTAMENTOS")</f>
        <v>ASSENTAMENTOS</v>
      </c>
      <c r="Q1131" s="83"/>
      <c r="R1131" s="83"/>
      <c r="S1131" s="83"/>
      <c r="T1131" s="83"/>
      <c r="U1131" s="83"/>
      <c r="V1131" s="83"/>
      <c r="W1131" s="83"/>
      <c r="X1131" s="83"/>
      <c r="Y1131" s="83"/>
      <c r="Z1131" s="83"/>
      <c r="AA1131" s="83"/>
      <c r="AB1131" s="83"/>
      <c r="AC1131" s="83"/>
      <c r="AD1131" s="83"/>
      <c r="AE1131" s="83"/>
      <c r="AF1131" s="83"/>
      <c r="AG1131" s="83"/>
      <c r="AH1131" s="83"/>
      <c r="AI1131" s="83"/>
      <c r="AJ1131" s="83"/>
      <c r="AK1131" s="83"/>
      <c r="AL1131" s="83"/>
      <c r="AM1131" s="83"/>
      <c r="AN1131" s="83"/>
      <c r="AO1131" s="83"/>
      <c r="AP1131" s="83"/>
      <c r="AQ1131" s="83"/>
      <c r="AR1131" s="83"/>
      <c r="AS1131" s="83">
        <v>1179113.0</v>
      </c>
    </row>
    <row r="1132" ht="15.75" customHeight="1">
      <c r="A1132" s="111" t="s">
        <v>1393</v>
      </c>
      <c r="B1132" s="83" t="s">
        <v>6120</v>
      </c>
      <c r="C1132" s="83" t="s">
        <v>68</v>
      </c>
      <c r="D1132" s="112">
        <v>1178404.0</v>
      </c>
      <c r="E1132" s="83"/>
      <c r="F1132" s="83">
        <v>2.939586E7</v>
      </c>
      <c r="G1132" s="91" t="str">
        <f>IFERROR(__xludf.DUMMYFUNCTION("XLOOKUP(AS1132,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VITORIA LIMA DE OLIVEIRA - DISTRITO DE BARRA NOVA")</f>
        <v>COLÉGIO ESTADUAL DE TEMPO INTEGRAL VITORIA LIMA DE OLIVEIRA - DISTRITO DE BARRA NOVA</v>
      </c>
      <c r="H1132" s="119" t="s">
        <v>6127</v>
      </c>
      <c r="I1132" s="91" t="s">
        <v>6128</v>
      </c>
      <c r="J1132" s="83" t="s">
        <v>6129</v>
      </c>
      <c r="K1132" s="83" t="s">
        <v>1347</v>
      </c>
      <c r="L1132" s="83" t="s">
        <v>151</v>
      </c>
      <c r="M1132" s="83" t="s">
        <v>169</v>
      </c>
      <c r="N1132" s="98" t="s">
        <v>6130</v>
      </c>
      <c r="O1132" s="98" t="s">
        <v>155</v>
      </c>
      <c r="P1132" s="99" t="str">
        <f>IFERROR(__xludf.DUMMYFUNCTION("IFERROR(VLOOKUP(AS1132,IMPORTRANGE(""https://docs.google.com/spreadsheets/d/1juPI-Fb8LD0YtltB2mlGEnp_R3UVu1t3wSFPzgCyHXE/edit?gid=0#gid=0"",""GERAL!A2:C""),3,0),""-"")"),"CAMPO")</f>
        <v>CAMPO</v>
      </c>
      <c r="Q1132" s="83"/>
      <c r="R1132" s="83"/>
      <c r="S1132" s="83"/>
      <c r="T1132" s="83"/>
      <c r="U1132" s="83"/>
      <c r="V1132" s="83"/>
      <c r="W1132" s="83"/>
      <c r="X1132" s="83"/>
      <c r="Y1132" s="83"/>
      <c r="Z1132" s="83"/>
      <c r="AA1132" s="83"/>
      <c r="AB1132" s="83"/>
      <c r="AC1132" s="83"/>
      <c r="AD1132" s="83"/>
      <c r="AE1132" s="83"/>
      <c r="AF1132" s="83"/>
      <c r="AG1132" s="83"/>
      <c r="AH1132" s="83"/>
      <c r="AI1132" s="83"/>
      <c r="AJ1132" s="83"/>
      <c r="AK1132" s="83"/>
      <c r="AL1132" s="83"/>
      <c r="AM1132" s="83"/>
      <c r="AN1132" s="83"/>
      <c r="AO1132" s="83"/>
      <c r="AP1132" s="83"/>
      <c r="AQ1132" s="83"/>
      <c r="AR1132" s="83"/>
      <c r="AS1132" s="83">
        <v>1178404.0</v>
      </c>
    </row>
    <row r="1133" ht="15.75" customHeight="1">
      <c r="A1133" s="111" t="s">
        <v>1393</v>
      </c>
      <c r="B1133" s="83" t="s">
        <v>6120</v>
      </c>
      <c r="C1133" s="83" t="s">
        <v>68</v>
      </c>
      <c r="D1133" s="112">
        <v>1124856.0</v>
      </c>
      <c r="E1133" s="83"/>
      <c r="F1133" s="83">
        <v>2.926748E7</v>
      </c>
      <c r="G1133" s="91" t="str">
        <f>IFERROR(__xludf.DUMMYFUNCTION("XLOOKUP(AS1133,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BARRA DO CHOÇA (ANTIGO CE DARIA VIANA DE QUEIROZ)")</f>
        <v>COLÉGIO ESTADUAL DE TEMPO INTEGRAL DE BARRA DO CHOÇA (ANTIGO CE DARIA VIANA DE QUEIROZ)</v>
      </c>
      <c r="H1133" s="119" t="s">
        <v>6131</v>
      </c>
      <c r="I1133" s="108" t="s">
        <v>6132</v>
      </c>
      <c r="J1133" s="136" t="s">
        <v>149</v>
      </c>
      <c r="K1133" s="83" t="s">
        <v>150</v>
      </c>
      <c r="L1133" s="83" t="s">
        <v>151</v>
      </c>
      <c r="M1133" s="83" t="s">
        <v>230</v>
      </c>
      <c r="N1133" s="98" t="s">
        <v>6133</v>
      </c>
      <c r="O1133" s="98" t="s">
        <v>162</v>
      </c>
      <c r="P1133" s="99" t="str">
        <f>IFERROR(__xludf.DUMMYFUNCTION("IFERROR(VLOOKUP(AS1133,IMPORTRANGE(""https://docs.google.com/spreadsheets/d/1juPI-Fb8LD0YtltB2mlGEnp_R3UVu1t3wSFPzgCyHXE/edit?gid=0#gid=0"",""GERAL!A2:C""),3,0),""-"")"),"-")</f>
        <v>-</v>
      </c>
      <c r="Q1133" s="83"/>
      <c r="R1133" s="83"/>
      <c r="S1133" s="83"/>
      <c r="T1133" s="83"/>
      <c r="U1133" s="83"/>
      <c r="V1133" s="83"/>
      <c r="W1133" s="83"/>
      <c r="X1133" s="83"/>
      <c r="Y1133" s="83"/>
      <c r="Z1133" s="83"/>
      <c r="AA1133" s="83"/>
      <c r="AB1133" s="83"/>
      <c r="AC1133" s="83"/>
      <c r="AD1133" s="83"/>
      <c r="AE1133" s="83"/>
      <c r="AF1133" s="83"/>
      <c r="AG1133" s="83"/>
      <c r="AH1133" s="83"/>
      <c r="AI1133" s="83"/>
      <c r="AJ1133" s="83"/>
      <c r="AK1133" s="83"/>
      <c r="AL1133" s="83"/>
      <c r="AM1133" s="83"/>
      <c r="AN1133" s="83"/>
      <c r="AO1133" s="83"/>
      <c r="AP1133" s="83"/>
      <c r="AQ1133" s="83"/>
      <c r="AR1133" s="83"/>
      <c r="AS1133" s="83">
        <v>1124856.0</v>
      </c>
    </row>
    <row r="1134" ht="15.75" customHeight="1">
      <c r="A1134" s="111" t="s">
        <v>1393</v>
      </c>
      <c r="B1134" s="83" t="s">
        <v>6120</v>
      </c>
      <c r="C1134" s="83" t="s">
        <v>164</v>
      </c>
      <c r="D1134" s="112">
        <v>1179113.0</v>
      </c>
      <c r="E1134" s="146">
        <v>1179641.0</v>
      </c>
      <c r="F1134" s="83">
        <v>2.9449332E7</v>
      </c>
      <c r="G1134" s="91" t="str">
        <f>IFERROR(__xludf.DUMMYFUNCTION("XLOOKUP(AS1134,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LUCIA ROCHA MACEDO - ASSENTAMENTO PATRIA LIVRE")</f>
        <v>ANEXO - COLÉGIO ESTADUAL DO CAMPO LUCIA ROCHA MACEDO - ASSENTAMENTO PATRIA LIVRE</v>
      </c>
      <c r="H1134" s="119" t="s">
        <v>6134</v>
      </c>
      <c r="I1134" s="91" t="s">
        <v>6135</v>
      </c>
      <c r="J1134" s="83" t="s">
        <v>6136</v>
      </c>
      <c r="K1134" s="83" t="s">
        <v>2821</v>
      </c>
      <c r="L1134" s="83" t="s">
        <v>151</v>
      </c>
      <c r="M1134" s="83" t="s">
        <v>169</v>
      </c>
      <c r="N1134" s="115" t="s">
        <v>170</v>
      </c>
      <c r="O1134" s="98" t="s">
        <v>155</v>
      </c>
      <c r="P1134" s="99" t="str">
        <f>IFERROR(__xludf.DUMMYFUNCTION("IFERROR(VLOOKUP(AS1134,IMPORTRANGE(""https://docs.google.com/spreadsheets/d/1juPI-Fb8LD0YtltB2mlGEnp_R3UVu1t3wSFPzgCyHXE/edit?gid=0#gid=0"",""GERAL!A2:C""),3,0),""-"")"),"ASSENTAMENTOS")</f>
        <v>ASSENTAMENTOS</v>
      </c>
      <c r="Q1134" s="83"/>
      <c r="R1134" s="83"/>
      <c r="S1134" s="83"/>
      <c r="T1134" s="83"/>
      <c r="U1134" s="83"/>
      <c r="V1134" s="83"/>
      <c r="W1134" s="83"/>
      <c r="X1134" s="83"/>
      <c r="Y1134" s="83"/>
      <c r="Z1134" s="83"/>
      <c r="AA1134" s="83"/>
      <c r="AB1134" s="83"/>
      <c r="AC1134" s="83"/>
      <c r="AD1134" s="83"/>
      <c r="AE1134" s="83"/>
      <c r="AF1134" s="83"/>
      <c r="AG1134" s="83"/>
      <c r="AH1134" s="83"/>
      <c r="AI1134" s="83"/>
      <c r="AJ1134" s="83"/>
      <c r="AK1134" s="83"/>
      <c r="AL1134" s="83"/>
      <c r="AM1134" s="83"/>
      <c r="AN1134" s="83"/>
      <c r="AO1134" s="83"/>
      <c r="AP1134" s="83"/>
      <c r="AQ1134" s="83"/>
      <c r="AR1134" s="83"/>
      <c r="AS1134" s="83">
        <v>1179641.0</v>
      </c>
    </row>
    <row r="1135" ht="15.75" customHeight="1">
      <c r="A1135" s="111" t="s">
        <v>1393</v>
      </c>
      <c r="B1135" s="83" t="s">
        <v>6120</v>
      </c>
      <c r="C1135" s="83" t="s">
        <v>164</v>
      </c>
      <c r="D1135" s="112">
        <v>1179285.0</v>
      </c>
      <c r="E1135" s="83">
        <v>1179723.0</v>
      </c>
      <c r="F1135" s="83">
        <v>2.9461472E7</v>
      </c>
      <c r="G1135" s="91" t="str">
        <f>IFERROR(__xludf.DUMMYFUNCTION("XLOOKUP(AS1135,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DE VIT.DA CONQUISTA - POVOADO DO SOSSEGO")</f>
        <v>ANEXO - CEMIT DE VIT.DA CONQUISTA - POVOADO DO SOSSEGO</v>
      </c>
      <c r="H1135" s="114" t="s">
        <v>6145</v>
      </c>
      <c r="I1135" s="108" t="s">
        <v>6147</v>
      </c>
      <c r="J1135" s="98" t="s">
        <v>6148</v>
      </c>
      <c r="K1135" s="83" t="s">
        <v>2668</v>
      </c>
      <c r="L1135" s="83" t="s">
        <v>151</v>
      </c>
      <c r="M1135" s="83" t="s">
        <v>512</v>
      </c>
      <c r="N1135" s="115" t="s">
        <v>170</v>
      </c>
      <c r="O1135" s="98" t="s">
        <v>155</v>
      </c>
      <c r="P1135" s="99" t="str">
        <f>IFERROR(__xludf.DUMMYFUNCTION("IFERROR(VLOOKUP(AS1135,IMPORTRANGE(""https://docs.google.com/spreadsheets/d/1juPI-Fb8LD0YtltB2mlGEnp_R3UVu1t3wSFPzgCyHXE/edit?gid=0#gid=0"",""GERAL!A2:C""),3,0),""-"")"),"-")</f>
        <v>-</v>
      </c>
      <c r="Q1135" s="83"/>
      <c r="R1135" s="83"/>
      <c r="S1135" s="83"/>
      <c r="T1135" s="83"/>
      <c r="U1135" s="83"/>
      <c r="V1135" s="83"/>
      <c r="W1135" s="83"/>
      <c r="X1135" s="83"/>
      <c r="Y1135" s="83"/>
      <c r="Z1135" s="83"/>
      <c r="AA1135" s="83"/>
      <c r="AB1135" s="83"/>
      <c r="AC1135" s="83"/>
      <c r="AD1135" s="83"/>
      <c r="AE1135" s="83"/>
      <c r="AF1135" s="83"/>
      <c r="AG1135" s="83"/>
      <c r="AH1135" s="83"/>
      <c r="AI1135" s="83"/>
      <c r="AJ1135" s="83"/>
      <c r="AK1135" s="83"/>
      <c r="AL1135" s="83"/>
      <c r="AM1135" s="83"/>
      <c r="AN1135" s="83"/>
      <c r="AO1135" s="83"/>
      <c r="AP1135" s="83"/>
      <c r="AQ1135" s="83"/>
      <c r="AR1135" s="83"/>
      <c r="AS1135" s="83">
        <v>1179723.0</v>
      </c>
    </row>
    <row r="1136" ht="15.75" customHeight="1">
      <c r="A1136" s="111" t="s">
        <v>1393</v>
      </c>
      <c r="B1136" s="83" t="s">
        <v>6149</v>
      </c>
      <c r="C1136" s="83" t="s">
        <v>68</v>
      </c>
      <c r="D1136" s="112">
        <v>1124872.0</v>
      </c>
      <c r="E1136" s="83"/>
      <c r="F1136" s="83">
        <v>2.9268168E7</v>
      </c>
      <c r="G1136" s="91" t="str">
        <f>IFERROR(__xludf.DUMMYFUNCTION("XLOOKUP(AS1136,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ELINEUZA DA SILVA FERREIRA
(ANTIGO COLÉGIO ESTADUAL CARLOS SANTANA)")</f>
        <v>COLÉGIO ESTADUAL DE TEMPO INTEGRAL PROFESSORA ELINEUZA DA SILVA FERREIRA
(ANTIGO COLÉGIO ESTADUAL CARLOS SANTANA)</v>
      </c>
      <c r="H1136" s="119" t="s">
        <v>6150</v>
      </c>
      <c r="I1136" s="91" t="s">
        <v>6151</v>
      </c>
      <c r="J1136" s="136" t="s">
        <v>149</v>
      </c>
      <c r="K1136" s="83" t="s">
        <v>150</v>
      </c>
      <c r="L1136" s="83" t="s">
        <v>151</v>
      </c>
      <c r="M1136" s="98" t="s">
        <v>152</v>
      </c>
      <c r="N1136" s="98" t="s">
        <v>6152</v>
      </c>
      <c r="O1136" s="98" t="s">
        <v>176</v>
      </c>
      <c r="P1136" s="99" t="str">
        <f>IFERROR(__xludf.DUMMYFUNCTION("IFERROR(VLOOKUP(AS1136,IMPORTRANGE(""https://docs.google.com/spreadsheets/d/1juPI-Fb8LD0YtltB2mlGEnp_R3UVu1t3wSFPzgCyHXE/edit?gid=0#gid=0"",""GERAL!A2:C""),3,0),""-"")"),"-")</f>
        <v>-</v>
      </c>
      <c r="Q1136" s="83"/>
      <c r="R1136" s="83"/>
      <c r="S1136" s="83"/>
      <c r="T1136" s="83"/>
      <c r="U1136" s="83"/>
      <c r="V1136" s="83"/>
      <c r="W1136" s="83"/>
      <c r="X1136" s="83"/>
      <c r="Y1136" s="83"/>
      <c r="Z1136" s="83"/>
      <c r="AA1136" s="83"/>
      <c r="AB1136" s="83"/>
      <c r="AC1136" s="83"/>
      <c r="AD1136" s="83"/>
      <c r="AE1136" s="83"/>
      <c r="AF1136" s="83"/>
      <c r="AG1136" s="83"/>
      <c r="AH1136" s="83"/>
      <c r="AI1136" s="83"/>
      <c r="AJ1136" s="83"/>
      <c r="AK1136" s="83"/>
      <c r="AL1136" s="83"/>
      <c r="AM1136" s="83"/>
      <c r="AN1136" s="83"/>
      <c r="AO1136" s="83"/>
      <c r="AP1136" s="83"/>
      <c r="AQ1136" s="83"/>
      <c r="AR1136" s="83"/>
      <c r="AS1136" s="83">
        <v>1124872.0</v>
      </c>
    </row>
    <row r="1137" ht="15.75" customHeight="1">
      <c r="A1137" s="111" t="s">
        <v>1393</v>
      </c>
      <c r="B1137" s="83" t="s">
        <v>6149</v>
      </c>
      <c r="C1137" s="83" t="s">
        <v>164</v>
      </c>
      <c r="D1137" s="112">
        <v>1124872.0</v>
      </c>
      <c r="E1137" s="83">
        <v>1178762.0</v>
      </c>
      <c r="F1137" s="83"/>
      <c r="G1137" s="91" t="str">
        <f>IFERROR(__xludf.DUMMYFUNCTION("XLOOKUP(AS1137,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PROFESSORA ELINEUZA DA SILVA FERREIRA
 - DISTRITO DE TIMBO")</f>
        <v>ANEXO - COLÉGIO ESTADUAL DE TEMPO INTEGRAL PROFESSORA ELINEUZA DA SILVA FERREIRA
 - DISTRITO DE TIMBO</v>
      </c>
      <c r="H1137" s="119" t="s">
        <v>6154</v>
      </c>
      <c r="I1137" s="91" t="s">
        <v>6155</v>
      </c>
      <c r="J1137" s="136" t="s">
        <v>6156</v>
      </c>
      <c r="K1137" s="83" t="s">
        <v>2821</v>
      </c>
      <c r="L1137" s="83" t="s">
        <v>168</v>
      </c>
      <c r="M1137" s="83" t="s">
        <v>169</v>
      </c>
      <c r="N1137" s="115" t="s">
        <v>170</v>
      </c>
      <c r="O1137" s="98" t="s">
        <v>155</v>
      </c>
      <c r="P1137" s="99" t="str">
        <f>IFERROR(__xludf.DUMMYFUNCTION("IFERROR(VLOOKUP(AS1137,IMPORTRANGE(""https://docs.google.com/spreadsheets/d/1juPI-Fb8LD0YtltB2mlGEnp_R3UVu1t3wSFPzgCyHXE/edit?gid=0#gid=0"",""GERAL!A2:C""),3,0),""-"")"),"CAMPO")</f>
        <v>CAMPO</v>
      </c>
      <c r="Q1137" s="83"/>
      <c r="R1137" s="83"/>
      <c r="S1137" s="83"/>
      <c r="T1137" s="83"/>
      <c r="U1137" s="83"/>
      <c r="V1137" s="83"/>
      <c r="W1137" s="83"/>
      <c r="X1137" s="83"/>
      <c r="Y1137" s="83"/>
      <c r="Z1137" s="83"/>
      <c r="AA1137" s="83"/>
      <c r="AB1137" s="83"/>
      <c r="AC1137" s="83"/>
      <c r="AD1137" s="83"/>
      <c r="AE1137" s="83"/>
      <c r="AF1137" s="83"/>
      <c r="AG1137" s="83"/>
      <c r="AH1137" s="83"/>
      <c r="AI1137" s="83"/>
      <c r="AJ1137" s="83"/>
      <c r="AK1137" s="83"/>
      <c r="AL1137" s="83"/>
      <c r="AM1137" s="83"/>
      <c r="AN1137" s="83"/>
      <c r="AO1137" s="83"/>
      <c r="AP1137" s="83"/>
      <c r="AQ1137" s="83"/>
      <c r="AR1137" s="83"/>
      <c r="AS1137" s="83">
        <v>1178762.0</v>
      </c>
    </row>
    <row r="1138" ht="15.75" customHeight="1">
      <c r="A1138" s="111" t="s">
        <v>1393</v>
      </c>
      <c r="B1138" s="83" t="s">
        <v>6157</v>
      </c>
      <c r="C1138" s="83" t="s">
        <v>68</v>
      </c>
      <c r="D1138" s="112">
        <v>1165706.0</v>
      </c>
      <c r="E1138" s="83"/>
      <c r="F1138" s="83">
        <v>2.9269806E7</v>
      </c>
      <c r="G1138" s="91" t="str">
        <f>IFERROR(__xludf.DUMMYFUNCTION("XLOOKUP(AS1138,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BOM JESUS DA SERRA")</f>
        <v>COLÉGIO ESTADUAL DE TEMPO INTEGRAL DE BOM JESUS DA SERRA</v>
      </c>
      <c r="H1138" s="119" t="s">
        <v>6158</v>
      </c>
      <c r="I1138" s="108" t="s">
        <v>6159</v>
      </c>
      <c r="J1138" s="83" t="s">
        <v>149</v>
      </c>
      <c r="K1138" s="83" t="s">
        <v>150</v>
      </c>
      <c r="L1138" s="83" t="s">
        <v>151</v>
      </c>
      <c r="M1138" s="83" t="s">
        <v>230</v>
      </c>
      <c r="N1138" s="98" t="s">
        <v>6160</v>
      </c>
      <c r="O1138" s="98" t="s">
        <v>162</v>
      </c>
      <c r="P1138" s="99" t="str">
        <f>IFERROR(__xludf.DUMMYFUNCTION("IFERROR(VLOOKUP(AS1138,IMPORTRANGE(""https://docs.google.com/spreadsheets/d/1juPI-Fb8LD0YtltB2mlGEnp_R3UVu1t3wSFPzgCyHXE/edit?gid=0#gid=0"",""GERAL!A2:C""),3,0),""-"")"),"-")</f>
        <v>-</v>
      </c>
      <c r="Q1138" s="136"/>
      <c r="R1138" s="136"/>
      <c r="S1138" s="136"/>
      <c r="T1138" s="136"/>
      <c r="U1138" s="136"/>
      <c r="V1138" s="136"/>
      <c r="W1138" s="136"/>
      <c r="X1138" s="136"/>
      <c r="Y1138" s="136"/>
      <c r="Z1138" s="136"/>
      <c r="AA1138" s="136"/>
      <c r="AB1138" s="136"/>
      <c r="AC1138" s="136"/>
      <c r="AD1138" s="136"/>
      <c r="AE1138" s="136"/>
      <c r="AF1138" s="136"/>
      <c r="AG1138" s="136"/>
      <c r="AH1138" s="136"/>
      <c r="AI1138" s="136"/>
      <c r="AJ1138" s="136"/>
      <c r="AK1138" s="136"/>
      <c r="AL1138" s="136"/>
      <c r="AM1138" s="136"/>
      <c r="AN1138" s="136"/>
      <c r="AO1138" s="136"/>
      <c r="AP1138" s="136"/>
      <c r="AQ1138" s="136"/>
      <c r="AR1138" s="136"/>
      <c r="AS1138" s="136">
        <v>1165706.0</v>
      </c>
    </row>
    <row r="1139" ht="15.75" customHeight="1">
      <c r="A1139" s="111" t="s">
        <v>1393</v>
      </c>
      <c r="B1139" s="83" t="s">
        <v>6161</v>
      </c>
      <c r="C1139" s="83" t="s">
        <v>68</v>
      </c>
      <c r="D1139" s="112">
        <v>1165722.0</v>
      </c>
      <c r="E1139" s="83"/>
      <c r="F1139" s="83">
        <v>2.927057E7</v>
      </c>
      <c r="G1139" s="91" t="str">
        <f>IFERROR(__xludf.DUMMYFUNCTION("XLOOKUP(AS1139,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CAETANOS - (ANTIGO CE JOAO LOPES DE OLIVEIRA)")</f>
        <v>COLÉGIO ESTADUAL DE TEMPO INTEGRAL DE CAETANOS - (ANTIGO CE JOAO LOPES DE OLIVEIRA)</v>
      </c>
      <c r="H1139" s="119" t="s">
        <v>6162</v>
      </c>
      <c r="I1139" s="91" t="s">
        <v>6163</v>
      </c>
      <c r="J1139" s="136" t="s">
        <v>149</v>
      </c>
      <c r="K1139" s="83" t="s">
        <v>150</v>
      </c>
      <c r="L1139" s="83" t="s">
        <v>151</v>
      </c>
      <c r="M1139" s="83" t="s">
        <v>152</v>
      </c>
      <c r="N1139" s="98" t="s">
        <v>6164</v>
      </c>
      <c r="O1139" s="98" t="s">
        <v>155</v>
      </c>
      <c r="P1139" s="99" t="str">
        <f>IFERROR(__xludf.DUMMYFUNCTION("IFERROR(VLOOKUP(AS1139,IMPORTRANGE(""https://docs.google.com/spreadsheets/d/1juPI-Fb8LD0YtltB2mlGEnp_R3UVu1t3wSFPzgCyHXE/edit?gid=0#gid=0"",""GERAL!A2:C""),3,0),""-"")"),"-")</f>
        <v>-</v>
      </c>
      <c r="Q1139" s="101" t="s">
        <v>156</v>
      </c>
      <c r="R1139" s="98">
        <v>12.0</v>
      </c>
      <c r="S1139" s="98">
        <v>1.0</v>
      </c>
      <c r="T1139" s="98">
        <v>1.0</v>
      </c>
      <c r="U1139" s="98">
        <v>0.0</v>
      </c>
      <c r="V1139" s="98">
        <v>1.0</v>
      </c>
      <c r="W1139" s="98">
        <v>3.0</v>
      </c>
      <c r="X1139" s="98">
        <v>1.0</v>
      </c>
      <c r="Y1139" s="98">
        <v>0.0</v>
      </c>
      <c r="Z1139" s="98">
        <v>0.0</v>
      </c>
      <c r="AA1139" s="98">
        <v>0.0</v>
      </c>
      <c r="AB1139" s="98">
        <v>1.0</v>
      </c>
      <c r="AC1139" s="98">
        <v>0.0</v>
      </c>
      <c r="AD1139" s="98">
        <v>0.0</v>
      </c>
      <c r="AE1139" s="98">
        <v>0.0</v>
      </c>
      <c r="AF1139" s="98">
        <v>1.0</v>
      </c>
      <c r="AG1139" s="98">
        <v>0.0</v>
      </c>
      <c r="AH1139" s="98">
        <v>0.0</v>
      </c>
      <c r="AI1139" s="98">
        <v>0.0</v>
      </c>
      <c r="AJ1139" s="98">
        <v>0.0</v>
      </c>
      <c r="AK1139" s="98">
        <v>1.0</v>
      </c>
      <c r="AL1139" s="98">
        <v>0.0</v>
      </c>
      <c r="AM1139" s="98">
        <v>0.0</v>
      </c>
      <c r="AN1139" s="98">
        <v>0.0</v>
      </c>
      <c r="AO1139" s="98">
        <v>1.0</v>
      </c>
      <c r="AP1139" s="98">
        <v>0.0</v>
      </c>
      <c r="AQ1139" s="98" t="s">
        <v>6166</v>
      </c>
      <c r="AR1139" s="102">
        <v>46231.0</v>
      </c>
      <c r="AS1139" s="83">
        <v>1165722.0</v>
      </c>
    </row>
    <row r="1140" ht="15.75" customHeight="1">
      <c r="A1140" s="111" t="s">
        <v>1393</v>
      </c>
      <c r="B1140" s="83" t="s">
        <v>6161</v>
      </c>
      <c r="C1140" s="83" t="s">
        <v>164</v>
      </c>
      <c r="D1140" s="112">
        <v>1165722.0</v>
      </c>
      <c r="E1140" s="83">
        <v>1178763.0</v>
      </c>
      <c r="F1140" s="83"/>
      <c r="G1140" s="91" t="str">
        <f>IFERROR(__xludf.DUMMYFUNCTION("XLOOKUP(AS1140,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CAETANOS - DIST. DE CALDEIRAO")</f>
        <v>ANEXO - COLÉGIO ESTADUAL DE TEMPO INTEGRAL DE CAETANOS - DIST. DE CALDEIRAO</v>
      </c>
      <c r="H1140" s="119" t="s">
        <v>6168</v>
      </c>
      <c r="I1140" s="91" t="s">
        <v>6169</v>
      </c>
      <c r="J1140" s="136" t="s">
        <v>6170</v>
      </c>
      <c r="K1140" s="83" t="s">
        <v>6171</v>
      </c>
      <c r="L1140" s="83" t="s">
        <v>168</v>
      </c>
      <c r="M1140" s="83" t="s">
        <v>169</v>
      </c>
      <c r="N1140" s="115" t="s">
        <v>170</v>
      </c>
      <c r="O1140" s="98" t="s">
        <v>155</v>
      </c>
      <c r="P1140" s="99" t="str">
        <f>IFERROR(__xludf.DUMMYFUNCTION("IFERROR(VLOOKUP(AS1140,IMPORTRANGE(""https://docs.google.com/spreadsheets/d/1juPI-Fb8LD0YtltB2mlGEnp_R3UVu1t3wSFPzgCyHXE/edit?gid=0#gid=0"",""GERAL!A2:C""),3,0),""-"")"),"CAMPO")</f>
        <v>CAMPO</v>
      </c>
      <c r="Q1140" s="98" t="s">
        <v>171</v>
      </c>
      <c r="R1140" s="98">
        <v>3.0</v>
      </c>
      <c r="S1140" s="98">
        <v>0.0</v>
      </c>
      <c r="T1140" s="98">
        <v>0.0</v>
      </c>
      <c r="U1140" s="98">
        <v>0.0</v>
      </c>
      <c r="V1140" s="98">
        <v>0.0</v>
      </c>
      <c r="W1140" s="98">
        <v>0.0</v>
      </c>
      <c r="X1140" s="98">
        <v>1.0</v>
      </c>
      <c r="Y1140" s="98">
        <v>0.0</v>
      </c>
      <c r="Z1140" s="98">
        <v>0.0</v>
      </c>
      <c r="AA1140" s="98">
        <v>0.0</v>
      </c>
      <c r="AB1140" s="98">
        <v>0.0</v>
      </c>
      <c r="AC1140" s="98">
        <v>0.0</v>
      </c>
      <c r="AD1140" s="98">
        <v>0.0</v>
      </c>
      <c r="AE1140" s="98">
        <v>0.0</v>
      </c>
      <c r="AF1140" s="98">
        <v>0.0</v>
      </c>
      <c r="AG1140" s="98">
        <v>1.0</v>
      </c>
      <c r="AH1140" s="98">
        <v>0.0</v>
      </c>
      <c r="AI1140" s="98">
        <v>0.0</v>
      </c>
      <c r="AJ1140" s="98">
        <v>0.0</v>
      </c>
      <c r="AK1140" s="98">
        <v>0.0</v>
      </c>
      <c r="AL1140" s="98">
        <v>0.0</v>
      </c>
      <c r="AM1140" s="98">
        <v>0.0</v>
      </c>
      <c r="AN1140" s="98">
        <v>0.0</v>
      </c>
      <c r="AO1140" s="98">
        <v>0.0</v>
      </c>
      <c r="AP1140" s="98">
        <v>0.0</v>
      </c>
      <c r="AQ1140" s="98"/>
      <c r="AR1140" s="102">
        <v>46231.0</v>
      </c>
      <c r="AS1140" s="83">
        <v>1178763.0</v>
      </c>
    </row>
    <row r="1141" ht="15.75" customHeight="1">
      <c r="A1141" s="111" t="s">
        <v>1393</v>
      </c>
      <c r="B1141" s="83" t="s">
        <v>6178</v>
      </c>
      <c r="C1141" s="83" t="s">
        <v>68</v>
      </c>
      <c r="D1141" s="112">
        <v>1179136.0</v>
      </c>
      <c r="E1141" s="83"/>
      <c r="F1141" s="83">
        <v>2.9449545E7</v>
      </c>
      <c r="G1141" s="91" t="str">
        <f>IFERROR(__xludf.DUMMYFUNCTION("XLOOKUP(AS1141,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MAMEDIO BATISTA LOBÃO - DISTRITO DE LAGOA GRANDE")</f>
        <v>COLÉGIO ESTADUAL DO CAMPO DE TEMPO INTEGRAL MAMEDIO BATISTA LOBÃO - DISTRITO DE LAGOA GRANDE</v>
      </c>
      <c r="H1141" s="119" t="s">
        <v>6179</v>
      </c>
      <c r="I1141" s="91" t="s">
        <v>6180</v>
      </c>
      <c r="J1141" s="83" t="s">
        <v>149</v>
      </c>
      <c r="K1141" s="83" t="s">
        <v>331</v>
      </c>
      <c r="L1141" s="83" t="s">
        <v>151</v>
      </c>
      <c r="M1141" s="83" t="s">
        <v>169</v>
      </c>
      <c r="N1141" s="98" t="s">
        <v>6181</v>
      </c>
      <c r="O1141" s="98" t="s">
        <v>155</v>
      </c>
      <c r="P1141" s="99" t="str">
        <f>IFERROR(__xludf.DUMMYFUNCTION("IFERROR(VLOOKUP(AS1141,IMPORTRANGE(""https://docs.google.com/spreadsheets/d/1juPI-Fb8LD0YtltB2mlGEnp_R3UVu1t3wSFPzgCyHXE/edit?gid=0#gid=0"",""GERAL!A2:C""),3,0),""-"")"),"CAMPO")</f>
        <v>CAMPO</v>
      </c>
      <c r="Q1141" s="101" t="s">
        <v>156</v>
      </c>
      <c r="R1141" s="98">
        <v>6.0</v>
      </c>
      <c r="S1141" s="98" t="s">
        <v>171</v>
      </c>
      <c r="T1141" s="98" t="s">
        <v>171</v>
      </c>
      <c r="U1141" s="98" t="s">
        <v>171</v>
      </c>
      <c r="V1141" s="98" t="s">
        <v>171</v>
      </c>
      <c r="W1141" s="98" t="s">
        <v>171</v>
      </c>
      <c r="X1141" s="98" t="s">
        <v>171</v>
      </c>
      <c r="Y1141" s="98" t="s">
        <v>171</v>
      </c>
      <c r="Z1141" s="98" t="s">
        <v>171</v>
      </c>
      <c r="AA1141" s="98" t="s">
        <v>171</v>
      </c>
      <c r="AB1141" s="98" t="s">
        <v>171</v>
      </c>
      <c r="AC1141" s="98" t="s">
        <v>171</v>
      </c>
      <c r="AD1141" s="98" t="s">
        <v>171</v>
      </c>
      <c r="AE1141" s="98" t="s">
        <v>171</v>
      </c>
      <c r="AF1141" s="98" t="s">
        <v>171</v>
      </c>
      <c r="AG1141" s="98" t="s">
        <v>171</v>
      </c>
      <c r="AH1141" s="98" t="s">
        <v>171</v>
      </c>
      <c r="AI1141" s="98" t="s">
        <v>171</v>
      </c>
      <c r="AJ1141" s="98" t="s">
        <v>171</v>
      </c>
      <c r="AK1141" s="98" t="s">
        <v>171</v>
      </c>
      <c r="AL1141" s="98" t="s">
        <v>171</v>
      </c>
      <c r="AM1141" s="98" t="s">
        <v>171</v>
      </c>
      <c r="AN1141" s="98" t="s">
        <v>171</v>
      </c>
      <c r="AO1141" s="98" t="s">
        <v>171</v>
      </c>
      <c r="AP1141" s="98" t="s">
        <v>171</v>
      </c>
      <c r="AQ1141" s="98" t="s">
        <v>171</v>
      </c>
      <c r="AR1141" s="102">
        <v>46231.0</v>
      </c>
      <c r="AS1141" s="83">
        <v>1179136.0</v>
      </c>
    </row>
    <row r="1142" ht="15.75" customHeight="1">
      <c r="A1142" s="111" t="s">
        <v>1393</v>
      </c>
      <c r="B1142" s="83" t="s">
        <v>6178</v>
      </c>
      <c r="C1142" s="83" t="s">
        <v>68</v>
      </c>
      <c r="D1142" s="112">
        <v>1179137.0</v>
      </c>
      <c r="E1142" s="83"/>
      <c r="F1142" s="83">
        <v>2.9449456E7</v>
      </c>
      <c r="G1142" s="91" t="str">
        <f>IFERROR(__xludf.DUMMYFUNCTION("XLOOKUP(AS1142,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GEOVANE FERREIRA DE QUEIROZ - DISTRITO DE QUARACU")</f>
        <v>COLÉGIO ESTADUAL DO CAMPO DE TEMPO INTEGRAL GEOVANE FERREIRA DE QUEIROZ - DISTRITO DE QUARACU</v>
      </c>
      <c r="H1142" s="119" t="s">
        <v>6183</v>
      </c>
      <c r="I1142" s="91" t="s">
        <v>6184</v>
      </c>
      <c r="J1142" s="136" t="s">
        <v>6185</v>
      </c>
      <c r="K1142" s="83" t="s">
        <v>538</v>
      </c>
      <c r="L1142" s="83" t="s">
        <v>151</v>
      </c>
      <c r="M1142" s="83" t="s">
        <v>169</v>
      </c>
      <c r="N1142" s="98" t="s">
        <v>6186</v>
      </c>
      <c r="O1142" s="98" t="s">
        <v>155</v>
      </c>
      <c r="P1142" s="99" t="str">
        <f>IFERROR(__xludf.DUMMYFUNCTION("IFERROR(VLOOKUP(AS1142,IMPORTRANGE(""https://docs.google.com/spreadsheets/d/1juPI-Fb8LD0YtltB2mlGEnp_R3UVu1t3wSFPzgCyHXE/edit?gid=0#gid=0"",""GERAL!A2:C""),3,0),""-"")"),"CAMPO")</f>
        <v>CAMPO</v>
      </c>
      <c r="Q1142" s="101" t="s">
        <v>156</v>
      </c>
      <c r="R1142" s="98">
        <v>6.0</v>
      </c>
      <c r="S1142" s="98">
        <v>0.0</v>
      </c>
      <c r="T1142" s="98">
        <v>0.0</v>
      </c>
      <c r="U1142" s="98">
        <v>0.0</v>
      </c>
      <c r="V1142" s="98">
        <v>1.0</v>
      </c>
      <c r="W1142" s="98">
        <v>0.0</v>
      </c>
      <c r="X1142" s="98">
        <v>0.0</v>
      </c>
      <c r="Y1142" s="98">
        <v>1.0</v>
      </c>
      <c r="Z1142" s="98">
        <v>0.0</v>
      </c>
      <c r="AA1142" s="98">
        <v>0.0</v>
      </c>
      <c r="AB1142" s="98">
        <v>0.0</v>
      </c>
      <c r="AC1142" s="98">
        <v>0.0</v>
      </c>
      <c r="AD1142" s="98">
        <v>0.0</v>
      </c>
      <c r="AE1142" s="98">
        <v>0.0</v>
      </c>
      <c r="AF1142" s="98">
        <v>0.0</v>
      </c>
      <c r="AG1142" s="98">
        <v>0.0</v>
      </c>
      <c r="AH1142" s="98">
        <v>0.0</v>
      </c>
      <c r="AI1142" s="98">
        <v>0.0</v>
      </c>
      <c r="AJ1142" s="98">
        <v>0.0</v>
      </c>
      <c r="AK1142" s="98">
        <v>0.0</v>
      </c>
      <c r="AL1142" s="98">
        <v>0.0</v>
      </c>
      <c r="AM1142" s="98">
        <v>0.0</v>
      </c>
      <c r="AN1142" s="98">
        <v>0.0</v>
      </c>
      <c r="AO1142" s="98">
        <v>0.0</v>
      </c>
      <c r="AP1142" s="98">
        <v>0.0</v>
      </c>
      <c r="AQ1142" s="98"/>
      <c r="AR1142" s="102">
        <v>46231.0</v>
      </c>
      <c r="AS1142" s="83">
        <v>1179137.0</v>
      </c>
    </row>
    <row r="1143" ht="15.75" customHeight="1">
      <c r="A1143" s="111" t="s">
        <v>1393</v>
      </c>
      <c r="B1143" s="83" t="s">
        <v>6178</v>
      </c>
      <c r="C1143" s="83" t="s">
        <v>68</v>
      </c>
      <c r="D1143" s="112">
        <v>1178438.0</v>
      </c>
      <c r="E1143" s="83"/>
      <c r="F1143" s="83">
        <v>2.9434734E7</v>
      </c>
      <c r="G1143" s="91" t="str">
        <f>IFERROR(__xludf.DUMMYFUNCTION("XLOOKUP(AS1143,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CÂNDIDO SALES")</f>
        <v>COLÉGIO ESTADUAL DE TEMPO INTEGRAL DE CÂNDIDO SALES</v>
      </c>
      <c r="H1143" s="119" t="s">
        <v>6187</v>
      </c>
      <c r="I1143" s="91" t="s">
        <v>6188</v>
      </c>
      <c r="J1143" s="83" t="s">
        <v>149</v>
      </c>
      <c r="K1143" s="83" t="s">
        <v>150</v>
      </c>
      <c r="L1143" s="83" t="s">
        <v>151</v>
      </c>
      <c r="M1143" s="83" t="s">
        <v>152</v>
      </c>
      <c r="N1143" s="98" t="s">
        <v>6189</v>
      </c>
      <c r="O1143" s="98" t="s">
        <v>155</v>
      </c>
      <c r="P1143" s="99" t="str">
        <f>IFERROR(__xludf.DUMMYFUNCTION("IFERROR(VLOOKUP(AS1143,IMPORTRANGE(""https://docs.google.com/spreadsheets/d/1juPI-Fb8LD0YtltB2mlGEnp_R3UVu1t3wSFPzgCyHXE/edit?gid=0#gid=0"",""GERAL!A2:C""),3,0),""-"")"),"-")</f>
        <v>-</v>
      </c>
      <c r="Q1143" s="101" t="s">
        <v>156</v>
      </c>
      <c r="R1143" s="98">
        <v>12.0</v>
      </c>
      <c r="S1143" s="98">
        <v>0.0</v>
      </c>
      <c r="T1143" s="98">
        <v>2.0</v>
      </c>
      <c r="U1143" s="98">
        <v>0.0</v>
      </c>
      <c r="V1143" s="98">
        <v>1.0</v>
      </c>
      <c r="W1143" s="98">
        <v>3.0</v>
      </c>
      <c r="X1143" s="98">
        <v>1.0</v>
      </c>
      <c r="Y1143" s="98">
        <v>0.0</v>
      </c>
      <c r="Z1143" s="98">
        <v>1.0</v>
      </c>
      <c r="AA1143" s="98">
        <v>0.0</v>
      </c>
      <c r="AB1143" s="98">
        <v>1.0</v>
      </c>
      <c r="AC1143" s="98">
        <v>0.0</v>
      </c>
      <c r="AD1143" s="98">
        <v>0.0</v>
      </c>
      <c r="AE1143" s="98">
        <v>0.0</v>
      </c>
      <c r="AF1143" s="98">
        <v>1.0</v>
      </c>
      <c r="AG1143" s="98">
        <v>0.0</v>
      </c>
      <c r="AH1143" s="98">
        <v>0.0</v>
      </c>
      <c r="AI1143" s="98">
        <v>0.0</v>
      </c>
      <c r="AJ1143" s="98">
        <v>0.0</v>
      </c>
      <c r="AK1143" s="98">
        <v>1.0</v>
      </c>
      <c r="AL1143" s="98">
        <v>0.0</v>
      </c>
      <c r="AM1143" s="98">
        <v>0.0</v>
      </c>
      <c r="AN1143" s="98">
        <v>0.0</v>
      </c>
      <c r="AO1143" s="98">
        <v>0.0</v>
      </c>
      <c r="AP1143" s="98">
        <v>0.0</v>
      </c>
      <c r="AQ1143" s="98" t="s">
        <v>6190</v>
      </c>
      <c r="AR1143" s="102">
        <v>46231.0</v>
      </c>
      <c r="AS1143" s="83">
        <v>1178438.0</v>
      </c>
    </row>
    <row r="1144" ht="15.75" customHeight="1">
      <c r="A1144" s="111" t="s">
        <v>1393</v>
      </c>
      <c r="B1144" s="83" t="s">
        <v>6178</v>
      </c>
      <c r="C1144" s="83" t="s">
        <v>164</v>
      </c>
      <c r="D1144" s="112">
        <v>1179285.0</v>
      </c>
      <c r="E1144" s="83">
        <v>1179490.0</v>
      </c>
      <c r="F1144" s="83"/>
      <c r="G1144" s="91" t="str">
        <f>IFERROR(__xludf.DUMMYFUNCTION("XLOOKUP(AS1144,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DISTRITO LAGOA DE TIMOTEO")</f>
        <v>ANEXO - CEMIT VITORIA DA CONQUISTA - DISTRITO LAGOA DE TIMOTEO</v>
      </c>
      <c r="H1144" s="114" t="s">
        <v>6191</v>
      </c>
      <c r="I1144" s="91" t="s">
        <v>6192</v>
      </c>
      <c r="J1144" s="136" t="s">
        <v>6193</v>
      </c>
      <c r="K1144" s="83" t="s">
        <v>6194</v>
      </c>
      <c r="L1144" s="83" t="s">
        <v>168</v>
      </c>
      <c r="M1144" s="83" t="s">
        <v>169</v>
      </c>
      <c r="N1144" s="115" t="s">
        <v>170</v>
      </c>
      <c r="O1144" s="98" t="s">
        <v>155</v>
      </c>
      <c r="P1144" s="99" t="str">
        <f>IFERROR(__xludf.DUMMYFUNCTION("IFERROR(VLOOKUP(AS1144,IMPORTRANGE(""https://docs.google.com/spreadsheets/d/1juPI-Fb8LD0YtltB2mlGEnp_R3UVu1t3wSFPzgCyHXE/edit?gid=0#gid=0"",""GERAL!A2:C""),3,0),""-"")"),"CAMPO")</f>
        <v>CAMPO</v>
      </c>
      <c r="Q1144" s="98" t="s">
        <v>171</v>
      </c>
      <c r="R1144" s="98">
        <v>3.0</v>
      </c>
      <c r="S1144" s="98" t="s">
        <v>171</v>
      </c>
      <c r="T1144" s="98" t="s">
        <v>171</v>
      </c>
      <c r="U1144" s="98" t="s">
        <v>171</v>
      </c>
      <c r="V1144" s="98" t="s">
        <v>171</v>
      </c>
      <c r="W1144" s="98" t="s">
        <v>171</v>
      </c>
      <c r="X1144" s="98" t="s">
        <v>171</v>
      </c>
      <c r="Y1144" s="98" t="s">
        <v>171</v>
      </c>
      <c r="Z1144" s="98" t="s">
        <v>171</v>
      </c>
      <c r="AA1144" s="98" t="s">
        <v>171</v>
      </c>
      <c r="AB1144" s="98" t="s">
        <v>171</v>
      </c>
      <c r="AC1144" s="98" t="s">
        <v>171</v>
      </c>
      <c r="AD1144" s="98" t="s">
        <v>171</v>
      </c>
      <c r="AE1144" s="98" t="s">
        <v>171</v>
      </c>
      <c r="AF1144" s="98" t="s">
        <v>171</v>
      </c>
      <c r="AG1144" s="98" t="s">
        <v>171</v>
      </c>
      <c r="AH1144" s="98" t="s">
        <v>171</v>
      </c>
      <c r="AI1144" s="98" t="s">
        <v>171</v>
      </c>
      <c r="AJ1144" s="98" t="s">
        <v>171</v>
      </c>
      <c r="AK1144" s="98" t="s">
        <v>171</v>
      </c>
      <c r="AL1144" s="98" t="s">
        <v>171</v>
      </c>
      <c r="AM1144" s="98" t="s">
        <v>171</v>
      </c>
      <c r="AN1144" s="98" t="s">
        <v>171</v>
      </c>
      <c r="AO1144" s="98" t="s">
        <v>171</v>
      </c>
      <c r="AP1144" s="98" t="s">
        <v>171</v>
      </c>
      <c r="AQ1144" s="98" t="s">
        <v>171</v>
      </c>
      <c r="AR1144" s="102">
        <v>46231.0</v>
      </c>
      <c r="AS1144" s="83">
        <v>1179490.0</v>
      </c>
    </row>
    <row r="1145" ht="15.75" customHeight="1">
      <c r="A1145" s="111" t="s">
        <v>1393</v>
      </c>
      <c r="B1145" s="83" t="s">
        <v>6195</v>
      </c>
      <c r="C1145" s="83" t="s">
        <v>68</v>
      </c>
      <c r="D1145" s="112">
        <v>1177071.0</v>
      </c>
      <c r="E1145" s="83"/>
      <c r="F1145" s="83">
        <v>2.9409535E7</v>
      </c>
      <c r="G1145" s="91" t="str">
        <f>IFERROR(__xludf.DUMMYFUNCTION("XLOOKUP(AS1145,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PETRINA NOVAIS SILVA CAIRO")</f>
        <v>COLÉGIO ESTADUAL PETRINA NOVAIS SILVA CAIRO</v>
      </c>
      <c r="H1145" s="119" t="s">
        <v>6196</v>
      </c>
      <c r="I1145" s="91" t="s">
        <v>6197</v>
      </c>
      <c r="J1145" s="136" t="s">
        <v>149</v>
      </c>
      <c r="K1145" s="83" t="s">
        <v>150</v>
      </c>
      <c r="L1145" s="83" t="s">
        <v>151</v>
      </c>
      <c r="M1145" s="83" t="s">
        <v>76</v>
      </c>
      <c r="N1145" s="98" t="s">
        <v>6198</v>
      </c>
      <c r="O1145" s="98" t="s">
        <v>155</v>
      </c>
      <c r="P1145" s="99" t="str">
        <f>IFERROR(__xludf.DUMMYFUNCTION("IFERROR(VLOOKUP(AS1145,IMPORTRANGE(""https://docs.google.com/spreadsheets/d/1juPI-Fb8LD0YtltB2mlGEnp_R3UVu1t3wSFPzgCyHXE/edit?gid=0#gid=0"",""GERAL!A2:C""),3,0),""-"")"),"-")</f>
        <v>-</v>
      </c>
      <c r="Q1145" s="101" t="s">
        <v>156</v>
      </c>
      <c r="R1145" s="98">
        <v>9.0</v>
      </c>
      <c r="S1145" s="98">
        <v>1.0</v>
      </c>
      <c r="T1145" s="98">
        <v>0.0</v>
      </c>
      <c r="U1145" s="98">
        <v>0.0</v>
      </c>
      <c r="V1145" s="98">
        <v>0.0</v>
      </c>
      <c r="W1145" s="98">
        <v>0.0</v>
      </c>
      <c r="X1145" s="98">
        <v>1.0</v>
      </c>
      <c r="Y1145" s="98">
        <v>0.0</v>
      </c>
      <c r="Z1145" s="98">
        <v>0.0</v>
      </c>
      <c r="AA1145" s="98">
        <v>0.0</v>
      </c>
      <c r="AB1145" s="98">
        <v>0.0</v>
      </c>
      <c r="AC1145" s="98">
        <v>0.0</v>
      </c>
      <c r="AD1145" s="98">
        <v>0.0</v>
      </c>
      <c r="AE1145" s="98">
        <v>0.0</v>
      </c>
      <c r="AF1145" s="98">
        <v>0.0</v>
      </c>
      <c r="AG1145" s="98">
        <v>1.0</v>
      </c>
      <c r="AH1145" s="98">
        <v>0.0</v>
      </c>
      <c r="AI1145" s="98">
        <v>0.0</v>
      </c>
      <c r="AJ1145" s="98">
        <v>0.0</v>
      </c>
      <c r="AK1145" s="98">
        <v>0.0</v>
      </c>
      <c r="AL1145" s="98">
        <v>0.0</v>
      </c>
      <c r="AM1145" s="98">
        <v>0.0</v>
      </c>
      <c r="AN1145" s="98">
        <v>0.0</v>
      </c>
      <c r="AO1145" s="98">
        <v>0.0</v>
      </c>
      <c r="AP1145" s="98">
        <v>3.0</v>
      </c>
      <c r="AQ1145" s="98" t="s">
        <v>6199</v>
      </c>
      <c r="AR1145" s="102">
        <v>46227.0</v>
      </c>
      <c r="AS1145" s="83">
        <v>1177071.0</v>
      </c>
    </row>
    <row r="1146" ht="15.75" customHeight="1">
      <c r="A1146" s="111" t="s">
        <v>1393</v>
      </c>
      <c r="B1146" s="83" t="s">
        <v>2349</v>
      </c>
      <c r="C1146" s="83" t="s">
        <v>68</v>
      </c>
      <c r="D1146" s="112">
        <v>1128878.0</v>
      </c>
      <c r="E1146" s="83"/>
      <c r="F1146" s="83">
        <v>2.9258324E7</v>
      </c>
      <c r="G1146" s="91" t="str">
        <f>IFERROR(__xludf.DUMMYFUNCTION("XLOOKUP(AS1146,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CONDEÚBA")</f>
        <v>COLÉGIO ESTADUAL DE TEMPO INTEGRAL DE CONDEÚBA</v>
      </c>
      <c r="H1146" s="119" t="s">
        <v>6200</v>
      </c>
      <c r="I1146" s="91" t="s">
        <v>6201</v>
      </c>
      <c r="J1146" s="136" t="s">
        <v>149</v>
      </c>
      <c r="K1146" s="83" t="s">
        <v>150</v>
      </c>
      <c r="L1146" s="83" t="s">
        <v>151</v>
      </c>
      <c r="M1146" s="83" t="s">
        <v>76</v>
      </c>
      <c r="N1146" s="98" t="s">
        <v>6202</v>
      </c>
      <c r="O1146" s="98" t="s">
        <v>284</v>
      </c>
      <c r="P1146" s="99" t="str">
        <f>IFERROR(__xludf.DUMMYFUNCTION("IFERROR(VLOOKUP(AS1146,IMPORTRANGE(""https://docs.google.com/spreadsheets/d/1juPI-Fb8LD0YtltB2mlGEnp_R3UVu1t3wSFPzgCyHXE/edit?gid=0#gid=0"",""GERAL!A2:C""),3,0),""-"")"),"-")</f>
        <v>-</v>
      </c>
      <c r="Q1146" s="101" t="s">
        <v>156</v>
      </c>
      <c r="R1146" s="98">
        <v>10.0</v>
      </c>
      <c r="S1146" s="98">
        <v>1.0</v>
      </c>
      <c r="T1146" s="98">
        <v>0.0</v>
      </c>
      <c r="U1146" s="98">
        <v>0.0</v>
      </c>
      <c r="V1146" s="98">
        <v>0.0</v>
      </c>
      <c r="W1146" s="98">
        <v>0.0</v>
      </c>
      <c r="X1146" s="98">
        <v>0.0</v>
      </c>
      <c r="Y1146" s="98">
        <v>0.0</v>
      </c>
      <c r="Z1146" s="98">
        <v>1.0</v>
      </c>
      <c r="AA1146" s="98">
        <v>0.0</v>
      </c>
      <c r="AB1146" s="98">
        <v>1.0</v>
      </c>
      <c r="AC1146" s="98">
        <v>0.0</v>
      </c>
      <c r="AD1146" s="98">
        <v>0.0</v>
      </c>
      <c r="AE1146" s="98">
        <v>0.0</v>
      </c>
      <c r="AF1146" s="98">
        <v>0.0</v>
      </c>
      <c r="AG1146" s="98">
        <v>1.0</v>
      </c>
      <c r="AH1146" s="98">
        <v>1.0</v>
      </c>
      <c r="AI1146" s="98">
        <v>0.0</v>
      </c>
      <c r="AJ1146" s="98">
        <v>0.0</v>
      </c>
      <c r="AK1146" s="98">
        <v>0.0</v>
      </c>
      <c r="AL1146" s="98">
        <v>0.0</v>
      </c>
      <c r="AM1146" s="98">
        <v>0.0</v>
      </c>
      <c r="AN1146" s="98">
        <v>0.0</v>
      </c>
      <c r="AO1146" s="98">
        <v>0.0</v>
      </c>
      <c r="AP1146" s="98">
        <v>3.0</v>
      </c>
      <c r="AQ1146" s="98" t="s">
        <v>6205</v>
      </c>
      <c r="AR1146" s="102">
        <v>46231.0</v>
      </c>
      <c r="AS1146" s="83">
        <v>1128878.0</v>
      </c>
    </row>
    <row r="1147" ht="15.75" customHeight="1">
      <c r="A1147" s="111" t="s">
        <v>1393</v>
      </c>
      <c r="B1147" s="83" t="s">
        <v>6206</v>
      </c>
      <c r="C1147" s="83" t="s">
        <v>68</v>
      </c>
      <c r="D1147" s="112">
        <v>1128924.0</v>
      </c>
      <c r="E1147" s="83"/>
      <c r="F1147" s="83">
        <v>2.925963E7</v>
      </c>
      <c r="G1147" s="91" t="str">
        <f>IFERROR(__xludf.DUMMYFUNCTION("XLOOKUP(AS1147,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CORDEIROS
")</f>
        <v>COLÉGIO ESTADUAL DE TEMPO INTEGRAL DE CORDEIROS
</v>
      </c>
      <c r="H1147" s="119" t="s">
        <v>6207</v>
      </c>
      <c r="I1147" s="91" t="s">
        <v>6208</v>
      </c>
      <c r="J1147" s="136" t="s">
        <v>149</v>
      </c>
      <c r="K1147" s="83" t="s">
        <v>150</v>
      </c>
      <c r="L1147" s="83" t="s">
        <v>151</v>
      </c>
      <c r="M1147" s="83" t="s">
        <v>76</v>
      </c>
      <c r="N1147" s="98" t="s">
        <v>6209</v>
      </c>
      <c r="O1147" s="98" t="s">
        <v>155</v>
      </c>
      <c r="P1147" s="99" t="str">
        <f>IFERROR(__xludf.DUMMYFUNCTION("IFERROR(VLOOKUP(AS1147,IMPORTRANGE(""https://docs.google.com/spreadsheets/d/1juPI-Fb8LD0YtltB2mlGEnp_R3UVu1t3wSFPzgCyHXE/edit?gid=0#gid=0"",""GERAL!A2:C""),3,0),""-"")"),"-")</f>
        <v>-</v>
      </c>
      <c r="Q1147" s="101" t="s">
        <v>156</v>
      </c>
      <c r="R1147" s="98">
        <v>9.0</v>
      </c>
      <c r="S1147" s="98">
        <v>1.0</v>
      </c>
      <c r="T1147" s="98">
        <v>0.0</v>
      </c>
      <c r="U1147" s="98">
        <v>0.0</v>
      </c>
      <c r="V1147" s="98">
        <v>0.0</v>
      </c>
      <c r="W1147" s="98">
        <v>1.0</v>
      </c>
      <c r="X1147" s="98">
        <v>0.0</v>
      </c>
      <c r="Y1147" s="98">
        <v>0.0</v>
      </c>
      <c r="Z1147" s="98">
        <v>1.0</v>
      </c>
      <c r="AA1147" s="98">
        <v>0.0</v>
      </c>
      <c r="AB1147" s="98">
        <v>1.0</v>
      </c>
      <c r="AC1147" s="98">
        <v>0.0</v>
      </c>
      <c r="AD1147" s="98">
        <v>0.0</v>
      </c>
      <c r="AE1147" s="98">
        <v>0.0</v>
      </c>
      <c r="AF1147" s="98">
        <v>1.0</v>
      </c>
      <c r="AG1147" s="98">
        <v>0.0</v>
      </c>
      <c r="AH1147" s="98">
        <v>0.0</v>
      </c>
      <c r="AI1147" s="98">
        <v>0.0</v>
      </c>
      <c r="AJ1147" s="98">
        <v>0.0</v>
      </c>
      <c r="AK1147" s="98">
        <v>1.0</v>
      </c>
      <c r="AL1147" s="98">
        <v>0.0</v>
      </c>
      <c r="AM1147" s="98">
        <v>0.0</v>
      </c>
      <c r="AN1147" s="98">
        <v>0.0</v>
      </c>
      <c r="AO1147" s="98">
        <v>0.0</v>
      </c>
      <c r="AP1147" s="98">
        <v>2.0</v>
      </c>
      <c r="AQ1147" s="98" t="s">
        <v>6213</v>
      </c>
      <c r="AR1147" s="102">
        <v>46231.0</v>
      </c>
      <c r="AS1147" s="83">
        <v>1128924.0</v>
      </c>
    </row>
    <row r="1148" ht="15.75" customHeight="1">
      <c r="A1148" s="111" t="s">
        <v>1393</v>
      </c>
      <c r="B1148" s="83" t="s">
        <v>6214</v>
      </c>
      <c r="C1148" s="83" t="s">
        <v>68</v>
      </c>
      <c r="D1148" s="112">
        <v>1179271.0</v>
      </c>
      <c r="E1148" s="83"/>
      <c r="F1148" s="83">
        <v>2.9459028E7</v>
      </c>
      <c r="G1148" s="91" t="str">
        <f>IFERROR(__xludf.DUMMYFUNCTION("XLOOKUP(AS1148,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NANCY DE CASTRO ESTAVES - DIST DE VILA DO CAFE")</f>
        <v>COLÉGIO ESTADUAL DO CAMPO NANCY DE CASTRO ESTAVES - DIST DE VILA DO CAFE</v>
      </c>
      <c r="H1148" s="119" t="s">
        <v>6215</v>
      </c>
      <c r="I1148" s="91" t="s">
        <v>6216</v>
      </c>
      <c r="J1148" s="136" t="s">
        <v>6217</v>
      </c>
      <c r="K1148" s="83" t="s">
        <v>167</v>
      </c>
      <c r="L1148" s="83" t="s">
        <v>151</v>
      </c>
      <c r="M1148" s="83" t="s">
        <v>169</v>
      </c>
      <c r="N1148" s="98" t="s">
        <v>6218</v>
      </c>
      <c r="O1148" s="98" t="s">
        <v>155</v>
      </c>
      <c r="P1148" s="99" t="str">
        <f>IFERROR(__xludf.DUMMYFUNCTION("IFERROR(VLOOKUP(AS1148,IMPORTRANGE(""https://docs.google.com/spreadsheets/d/1juPI-Fb8LD0YtltB2mlGEnp_R3UVu1t3wSFPzgCyHXE/edit?gid=0#gid=0"",""GERAL!A2:C""),3,0),""-"")"),"CAMPO")</f>
        <v>CAMPO</v>
      </c>
      <c r="Q1148" s="83"/>
      <c r="R1148" s="83"/>
      <c r="S1148" s="83"/>
      <c r="T1148" s="83"/>
      <c r="U1148" s="83"/>
      <c r="V1148" s="83"/>
      <c r="W1148" s="83"/>
      <c r="X1148" s="83"/>
      <c r="Y1148" s="83"/>
      <c r="Z1148" s="83"/>
      <c r="AA1148" s="83"/>
      <c r="AB1148" s="83"/>
      <c r="AC1148" s="83"/>
      <c r="AD1148" s="83"/>
      <c r="AE1148" s="83"/>
      <c r="AF1148" s="83"/>
      <c r="AG1148" s="83"/>
      <c r="AH1148" s="83"/>
      <c r="AI1148" s="83"/>
      <c r="AJ1148" s="83"/>
      <c r="AK1148" s="83"/>
      <c r="AL1148" s="83"/>
      <c r="AM1148" s="83"/>
      <c r="AN1148" s="83"/>
      <c r="AO1148" s="83"/>
      <c r="AP1148" s="83"/>
      <c r="AQ1148" s="83"/>
      <c r="AR1148" s="83"/>
      <c r="AS1148" s="83">
        <v>1179271.0</v>
      </c>
    </row>
    <row r="1149" ht="15.75" customHeight="1">
      <c r="A1149" s="111" t="s">
        <v>1393</v>
      </c>
      <c r="B1149" s="83" t="s">
        <v>6214</v>
      </c>
      <c r="C1149" s="83" t="s">
        <v>68</v>
      </c>
      <c r="D1149" s="112">
        <v>1165277.0</v>
      </c>
      <c r="E1149" s="83"/>
      <c r="F1149" s="83">
        <v>2.9281261E7</v>
      </c>
      <c r="G1149" s="91" t="str">
        <f>IFERROR(__xludf.DUMMYFUNCTION("XLOOKUP(AS1149,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JOSÉ PALLES SOBRINHO")</f>
        <v>COLÉGIO ESTADUAL DE TEMPO INTEGRAL JOSÉ PALLES SOBRINHO</v>
      </c>
      <c r="H1149" s="119" t="s">
        <v>6222</v>
      </c>
      <c r="I1149" s="91" t="s">
        <v>6223</v>
      </c>
      <c r="J1149" s="136" t="s">
        <v>149</v>
      </c>
      <c r="K1149" s="83" t="s">
        <v>150</v>
      </c>
      <c r="L1149" s="83" t="s">
        <v>151</v>
      </c>
      <c r="M1149" s="83" t="s">
        <v>3876</v>
      </c>
      <c r="N1149" s="98" t="s">
        <v>6224</v>
      </c>
      <c r="O1149" s="98" t="s">
        <v>155</v>
      </c>
      <c r="P1149" s="99" t="str">
        <f>IFERROR(__xludf.DUMMYFUNCTION("IFERROR(VLOOKUP(AS1149,IMPORTRANGE(""https://docs.google.com/spreadsheets/d/1juPI-Fb8LD0YtltB2mlGEnp_R3UVu1t3wSFPzgCyHXE/edit?gid=0#gid=0"",""GERAL!A2:C""),3,0),""-"")"),"-")</f>
        <v>-</v>
      </c>
      <c r="Q1149" s="83"/>
      <c r="R1149" s="83"/>
      <c r="S1149" s="83"/>
      <c r="T1149" s="83"/>
      <c r="U1149" s="83"/>
      <c r="V1149" s="83"/>
      <c r="W1149" s="83"/>
      <c r="X1149" s="83"/>
      <c r="Y1149" s="83"/>
      <c r="Z1149" s="83"/>
      <c r="AA1149" s="83"/>
      <c r="AB1149" s="83"/>
      <c r="AC1149" s="83"/>
      <c r="AD1149" s="83"/>
      <c r="AE1149" s="83"/>
      <c r="AF1149" s="83"/>
      <c r="AG1149" s="83"/>
      <c r="AH1149" s="83"/>
      <c r="AI1149" s="83"/>
      <c r="AJ1149" s="83"/>
      <c r="AK1149" s="83"/>
      <c r="AL1149" s="83"/>
      <c r="AM1149" s="83"/>
      <c r="AN1149" s="83"/>
      <c r="AO1149" s="83"/>
      <c r="AP1149" s="83"/>
      <c r="AQ1149" s="83"/>
      <c r="AR1149" s="83"/>
      <c r="AS1149" s="83">
        <v>1165277.0</v>
      </c>
    </row>
    <row r="1150" ht="15.75" customHeight="1">
      <c r="A1150" s="111" t="s">
        <v>1393</v>
      </c>
      <c r="B1150" s="83" t="s">
        <v>6225</v>
      </c>
      <c r="C1150" s="83" t="s">
        <v>68</v>
      </c>
      <c r="D1150" s="112">
        <v>1178271.0</v>
      </c>
      <c r="E1150" s="83"/>
      <c r="F1150" s="83">
        <v>2.9535816E7</v>
      </c>
      <c r="G1150" s="91" t="str">
        <f>IFERROR(__xludf.DUMMYFUNCTION("XLOOKUP(AS1150,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JORGE AMADO")</f>
        <v>COLÉGIO ESTADUAL DE TEMPO INTEGRAL JORGE AMADO</v>
      </c>
      <c r="H1150" s="119" t="s">
        <v>4169</v>
      </c>
      <c r="I1150" s="91" t="s">
        <v>6226</v>
      </c>
      <c r="J1150" s="83" t="s">
        <v>149</v>
      </c>
      <c r="K1150" s="83" t="s">
        <v>150</v>
      </c>
      <c r="L1150" s="83" t="s">
        <v>151</v>
      </c>
      <c r="M1150" s="98" t="s">
        <v>76</v>
      </c>
      <c r="N1150" s="98" t="s">
        <v>6227</v>
      </c>
      <c r="O1150" s="98" t="s">
        <v>155</v>
      </c>
      <c r="P1150" s="99" t="str">
        <f>IFERROR(__xludf.DUMMYFUNCTION("IFERROR(VLOOKUP(AS1150,IMPORTRANGE(""https://docs.google.com/spreadsheets/d/1juPI-Fb8LD0YtltB2mlGEnp_R3UVu1t3wSFPzgCyHXE/edit?gid=0#gid=0"",""GERAL!A2:C""),3,0),""-"")"),"-")</f>
        <v>-</v>
      </c>
      <c r="Q1150" s="101" t="s">
        <v>156</v>
      </c>
      <c r="R1150" s="98">
        <v>7.0</v>
      </c>
      <c r="S1150" s="98">
        <v>0.0</v>
      </c>
      <c r="T1150" s="98">
        <v>0.0</v>
      </c>
      <c r="U1150" s="98">
        <v>0.0</v>
      </c>
      <c r="V1150" s="98">
        <v>1.0</v>
      </c>
      <c r="W1150" s="98">
        <v>2.0</v>
      </c>
      <c r="X1150" s="98">
        <v>1.0</v>
      </c>
      <c r="Y1150" s="98">
        <v>0.0</v>
      </c>
      <c r="Z1150" s="98">
        <v>0.0</v>
      </c>
      <c r="AA1150" s="98">
        <v>0.0</v>
      </c>
      <c r="AB1150" s="98">
        <v>0.0</v>
      </c>
      <c r="AC1150" s="98">
        <v>0.0</v>
      </c>
      <c r="AD1150" s="98">
        <v>0.0</v>
      </c>
      <c r="AE1150" s="98">
        <v>0.0</v>
      </c>
      <c r="AF1150" s="98">
        <v>0.0</v>
      </c>
      <c r="AG1150" s="98">
        <v>1.0</v>
      </c>
      <c r="AH1150" s="98">
        <v>0.0</v>
      </c>
      <c r="AI1150" s="98">
        <v>0.0</v>
      </c>
      <c r="AJ1150" s="98">
        <v>0.0</v>
      </c>
      <c r="AK1150" s="98">
        <v>0.0</v>
      </c>
      <c r="AL1150" s="98">
        <v>0.0</v>
      </c>
      <c r="AM1150" s="98">
        <v>0.0</v>
      </c>
      <c r="AN1150" s="98">
        <v>0.0</v>
      </c>
      <c r="AO1150" s="98">
        <v>0.0</v>
      </c>
      <c r="AP1150" s="98">
        <v>2.0</v>
      </c>
      <c r="AQ1150" s="98" t="s">
        <v>6228</v>
      </c>
      <c r="AR1150" s="102">
        <v>46238.0</v>
      </c>
      <c r="AS1150" s="83">
        <v>1178271.0</v>
      </c>
    </row>
    <row r="1151" ht="15.75" customHeight="1">
      <c r="A1151" s="111" t="s">
        <v>1393</v>
      </c>
      <c r="B1151" s="83" t="s">
        <v>6231</v>
      </c>
      <c r="C1151" s="83" t="s">
        <v>68</v>
      </c>
      <c r="D1151" s="112">
        <v>1176160.0</v>
      </c>
      <c r="E1151" s="83"/>
      <c r="F1151" s="83">
        <v>2.9335132E7</v>
      </c>
      <c r="G1151" s="91" t="str">
        <f>IFERROR(__xludf.DUMMYFUNCTION("XLOOKUP(AS1151,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ZULEIDE FREIRE DE ABREU")</f>
        <v>COLÉGIO ESTADUAL ZULEIDE FREIRE DE ABREU</v>
      </c>
      <c r="H1151" s="119" t="s">
        <v>6232</v>
      </c>
      <c r="I1151" s="91" t="s">
        <v>6233</v>
      </c>
      <c r="J1151" s="172" t="s">
        <v>149</v>
      </c>
      <c r="K1151" s="83" t="s">
        <v>150</v>
      </c>
      <c r="L1151" s="83" t="s">
        <v>151</v>
      </c>
      <c r="M1151" s="83" t="s">
        <v>76</v>
      </c>
      <c r="N1151" s="98" t="s">
        <v>6234</v>
      </c>
      <c r="O1151" s="98" t="s">
        <v>162</v>
      </c>
      <c r="P1151" s="99" t="str">
        <f>IFERROR(__xludf.DUMMYFUNCTION("IFERROR(VLOOKUP(AS1151,IMPORTRANGE(""https://docs.google.com/spreadsheets/d/1juPI-Fb8LD0YtltB2mlGEnp_R3UVu1t3wSFPzgCyHXE/edit?gid=0#gid=0"",""GERAL!A2:C""),3,0),""-"")"),"-")</f>
        <v>-</v>
      </c>
      <c r="Q1151" s="101" t="s">
        <v>156</v>
      </c>
      <c r="R1151" s="98">
        <v>6.0</v>
      </c>
      <c r="S1151" s="98">
        <v>0.0</v>
      </c>
      <c r="T1151" s="98">
        <v>0.0</v>
      </c>
      <c r="U1151" s="98">
        <v>0.0</v>
      </c>
      <c r="V1151" s="98">
        <v>1.0</v>
      </c>
      <c r="W1151" s="98">
        <v>0.0</v>
      </c>
      <c r="X1151" s="98">
        <v>1.0</v>
      </c>
      <c r="Y1151" s="98">
        <v>0.0</v>
      </c>
      <c r="Z1151" s="98">
        <v>0.0</v>
      </c>
      <c r="AA1151" s="98">
        <v>1.0</v>
      </c>
      <c r="AB1151" s="98">
        <v>0.0</v>
      </c>
      <c r="AC1151" s="98">
        <v>1.0</v>
      </c>
      <c r="AD1151" s="98">
        <v>0.0</v>
      </c>
      <c r="AE1151" s="98">
        <v>0.0</v>
      </c>
      <c r="AF1151" s="98">
        <v>0.0</v>
      </c>
      <c r="AG1151" s="98">
        <v>0.0</v>
      </c>
      <c r="AH1151" s="98">
        <v>0.0</v>
      </c>
      <c r="AI1151" s="98">
        <v>0.0</v>
      </c>
      <c r="AJ1151" s="98">
        <v>0.0</v>
      </c>
      <c r="AK1151" s="98">
        <v>0.0</v>
      </c>
      <c r="AL1151" s="98">
        <v>0.0</v>
      </c>
      <c r="AM1151" s="98">
        <v>0.0</v>
      </c>
      <c r="AN1151" s="98">
        <v>0.0</v>
      </c>
      <c r="AO1151" s="98">
        <v>0.0</v>
      </c>
      <c r="AP1151" s="98">
        <v>0.0</v>
      </c>
      <c r="AQ1151" s="98" t="s">
        <v>6242</v>
      </c>
      <c r="AR1151" s="102">
        <v>46231.0</v>
      </c>
      <c r="AS1151" s="83">
        <v>1176160.0</v>
      </c>
    </row>
    <row r="1152" ht="15.75" customHeight="1">
      <c r="A1152" s="111" t="s">
        <v>1393</v>
      </c>
      <c r="B1152" s="83" t="s">
        <v>6231</v>
      </c>
      <c r="C1152" s="83" t="s">
        <v>164</v>
      </c>
      <c r="D1152" s="112">
        <v>1176160.0</v>
      </c>
      <c r="E1152" s="83">
        <v>1179233.0</v>
      </c>
      <c r="F1152" s="83"/>
      <c r="G1152" s="91" t="str">
        <f>IFERROR(__xludf.DUMMYFUNCTION("XLOOKUP(AS1152,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ZULEIDE FREIRE DE ABREU - DISTRITO DE VILA PAIOL")</f>
        <v>ANEXO - COLÉGIO EST ZULEIDE FREIRE DE ABREU - DISTRITO DE VILA PAIOL</v>
      </c>
      <c r="H1152" s="119" t="s">
        <v>6244</v>
      </c>
      <c r="I1152" s="91" t="s">
        <v>6245</v>
      </c>
      <c r="J1152" s="83" t="s">
        <v>6246</v>
      </c>
      <c r="K1152" s="83" t="s">
        <v>6247</v>
      </c>
      <c r="L1152" s="83" t="s">
        <v>151</v>
      </c>
      <c r="M1152" s="83" t="s">
        <v>169</v>
      </c>
      <c r="N1152" s="115" t="s">
        <v>170</v>
      </c>
      <c r="O1152" s="98" t="s">
        <v>155</v>
      </c>
      <c r="P1152" s="99" t="str">
        <f>IFERROR(__xludf.DUMMYFUNCTION("IFERROR(VLOOKUP(AS1152,IMPORTRANGE(""https://docs.google.com/spreadsheets/d/1juPI-Fb8LD0YtltB2mlGEnp_R3UVu1t3wSFPzgCyHXE/edit?gid=0#gid=0"",""GERAL!A2:C""),3,0),""-"")"),"CAMPO")</f>
        <v>CAMPO</v>
      </c>
      <c r="Q1152" s="101" t="s">
        <v>156</v>
      </c>
      <c r="R1152" s="98">
        <v>3.0</v>
      </c>
      <c r="S1152" s="98" t="s">
        <v>171</v>
      </c>
      <c r="T1152" s="98" t="s">
        <v>171</v>
      </c>
      <c r="U1152" s="98" t="s">
        <v>171</v>
      </c>
      <c r="V1152" s="98" t="s">
        <v>171</v>
      </c>
      <c r="W1152" s="98" t="s">
        <v>171</v>
      </c>
      <c r="X1152" s="98" t="s">
        <v>171</v>
      </c>
      <c r="Y1152" s="98">
        <v>1.0</v>
      </c>
      <c r="Z1152" s="98" t="s">
        <v>171</v>
      </c>
      <c r="AA1152" s="98" t="s">
        <v>171</v>
      </c>
      <c r="AB1152" s="98" t="s">
        <v>171</v>
      </c>
      <c r="AC1152" s="98" t="s">
        <v>171</v>
      </c>
      <c r="AD1152" s="98" t="s">
        <v>171</v>
      </c>
      <c r="AE1152" s="98" t="s">
        <v>171</v>
      </c>
      <c r="AF1152" s="98" t="s">
        <v>171</v>
      </c>
      <c r="AG1152" s="98" t="s">
        <v>171</v>
      </c>
      <c r="AH1152" s="98" t="s">
        <v>171</v>
      </c>
      <c r="AI1152" s="98" t="s">
        <v>171</v>
      </c>
      <c r="AJ1152" s="98" t="s">
        <v>171</v>
      </c>
      <c r="AK1152" s="98" t="s">
        <v>171</v>
      </c>
      <c r="AL1152" s="98" t="s">
        <v>171</v>
      </c>
      <c r="AM1152" s="98" t="s">
        <v>171</v>
      </c>
      <c r="AN1152" s="98" t="s">
        <v>171</v>
      </c>
      <c r="AO1152" s="98" t="s">
        <v>171</v>
      </c>
      <c r="AP1152" s="98" t="s">
        <v>171</v>
      </c>
      <c r="AQ1152" s="98" t="s">
        <v>171</v>
      </c>
      <c r="AR1152" s="102">
        <v>46231.0</v>
      </c>
      <c r="AS1152" s="83">
        <v>1179233.0</v>
      </c>
    </row>
    <row r="1153" ht="15.75" customHeight="1">
      <c r="A1153" s="111" t="s">
        <v>1393</v>
      </c>
      <c r="B1153" s="83" t="s">
        <v>6231</v>
      </c>
      <c r="C1153" s="83" t="s">
        <v>164</v>
      </c>
      <c r="D1153" s="112">
        <v>1176160.0</v>
      </c>
      <c r="E1153" s="83">
        <v>1178863.0</v>
      </c>
      <c r="F1153" s="83"/>
      <c r="G1153" s="91" t="str">
        <f>IFERROR(__xludf.DUMMYFUNCTION("XLOOKUP(AS1153,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ZULEIDE FREIRE DE ABREU - DISTRITO DE SAO JOSE")</f>
        <v>ANEXO - COLÉGIO EST ZULEIDE FREIRE DE ABREU - DISTRITO DE SAO JOSE</v>
      </c>
      <c r="H1153" s="119" t="s">
        <v>6249</v>
      </c>
      <c r="I1153" s="91" t="s">
        <v>6250</v>
      </c>
      <c r="J1153" s="172" t="s">
        <v>6251</v>
      </c>
      <c r="K1153" s="83" t="s">
        <v>4353</v>
      </c>
      <c r="L1153" s="83" t="s">
        <v>168</v>
      </c>
      <c r="M1153" s="83" t="s">
        <v>169</v>
      </c>
      <c r="N1153" s="115" t="s">
        <v>170</v>
      </c>
      <c r="O1153" s="98" t="s">
        <v>155</v>
      </c>
      <c r="P1153" s="99" t="str">
        <f>IFERROR(__xludf.DUMMYFUNCTION("IFERROR(VLOOKUP(AS1153,IMPORTRANGE(""https://docs.google.com/spreadsheets/d/1juPI-Fb8LD0YtltB2mlGEnp_R3UVu1t3wSFPzgCyHXE/edit?gid=0#gid=0"",""GERAL!A2:C""),3,0),""-"")"),"CAMPO")</f>
        <v>CAMPO</v>
      </c>
      <c r="Q1153" s="101" t="s">
        <v>156</v>
      </c>
      <c r="R1153" s="98">
        <v>4.0</v>
      </c>
      <c r="S1153" s="98" t="s">
        <v>171</v>
      </c>
      <c r="T1153" s="98" t="s">
        <v>171</v>
      </c>
      <c r="U1153" s="98" t="s">
        <v>171</v>
      </c>
      <c r="V1153" s="98" t="s">
        <v>171</v>
      </c>
      <c r="W1153" s="98" t="s">
        <v>171</v>
      </c>
      <c r="X1153" s="98" t="s">
        <v>171</v>
      </c>
      <c r="Y1153" s="98" t="s">
        <v>171</v>
      </c>
      <c r="Z1153" s="98" t="s">
        <v>171</v>
      </c>
      <c r="AA1153" s="98" t="s">
        <v>171</v>
      </c>
      <c r="AB1153" s="98" t="s">
        <v>171</v>
      </c>
      <c r="AC1153" s="98" t="s">
        <v>171</v>
      </c>
      <c r="AD1153" s="98" t="s">
        <v>171</v>
      </c>
      <c r="AE1153" s="98" t="s">
        <v>171</v>
      </c>
      <c r="AF1153" s="98" t="s">
        <v>171</v>
      </c>
      <c r="AG1153" s="98" t="s">
        <v>171</v>
      </c>
      <c r="AH1153" s="98" t="s">
        <v>171</v>
      </c>
      <c r="AI1153" s="98" t="s">
        <v>171</v>
      </c>
      <c r="AJ1153" s="98" t="s">
        <v>171</v>
      </c>
      <c r="AK1153" s="98" t="s">
        <v>171</v>
      </c>
      <c r="AL1153" s="98" t="s">
        <v>171</v>
      </c>
      <c r="AM1153" s="98" t="s">
        <v>171</v>
      </c>
      <c r="AN1153" s="98" t="s">
        <v>171</v>
      </c>
      <c r="AO1153" s="98" t="s">
        <v>171</v>
      </c>
      <c r="AP1153" s="98" t="s">
        <v>171</v>
      </c>
      <c r="AQ1153" s="98" t="s">
        <v>171</v>
      </c>
      <c r="AR1153" s="102">
        <v>46231.0</v>
      </c>
      <c r="AS1153" s="83">
        <v>1178863.0</v>
      </c>
    </row>
    <row r="1154" ht="15.75" customHeight="1">
      <c r="A1154" s="111" t="s">
        <v>1393</v>
      </c>
      <c r="B1154" s="83" t="s">
        <v>6231</v>
      </c>
      <c r="C1154" s="83" t="s">
        <v>164</v>
      </c>
      <c r="D1154" s="112">
        <v>1176160.0</v>
      </c>
      <c r="E1154" s="83">
        <v>1178862.0</v>
      </c>
      <c r="F1154" s="83"/>
      <c r="G1154" s="91" t="str">
        <f>IFERROR(__xludf.DUMMYFUNCTION("XLOOKUP(AS1154,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ZULEIDE FREIRE DE ABREU - DISTRITO DE ITUMERIM")</f>
        <v>ANEXO - COLÉGIO EST ZULEIDE FREIRE DE ABREU - DISTRITO DE ITUMERIM</v>
      </c>
      <c r="H1154" s="119" t="s">
        <v>6253</v>
      </c>
      <c r="I1154" s="91" t="s">
        <v>6254</v>
      </c>
      <c r="J1154" s="83" t="s">
        <v>6255</v>
      </c>
      <c r="K1154" s="83" t="s">
        <v>183</v>
      </c>
      <c r="L1154" s="83" t="s">
        <v>168</v>
      </c>
      <c r="M1154" s="83" t="s">
        <v>169</v>
      </c>
      <c r="N1154" s="115" t="s">
        <v>170</v>
      </c>
      <c r="O1154" s="98" t="s">
        <v>155</v>
      </c>
      <c r="P1154" s="99" t="str">
        <f>IFERROR(__xludf.DUMMYFUNCTION("IFERROR(VLOOKUP(AS1154,IMPORTRANGE(""https://docs.google.com/spreadsheets/d/1juPI-Fb8LD0YtltB2mlGEnp_R3UVu1t3wSFPzgCyHXE/edit?gid=0#gid=0"",""GERAL!A2:C""),3,0),""-"")"),"CAMPO")</f>
        <v>CAMPO</v>
      </c>
      <c r="Q1154" s="101" t="s">
        <v>156</v>
      </c>
      <c r="R1154" s="98">
        <v>3.0</v>
      </c>
      <c r="S1154" s="98" t="s">
        <v>171</v>
      </c>
      <c r="T1154" s="98" t="s">
        <v>171</v>
      </c>
      <c r="U1154" s="98" t="s">
        <v>171</v>
      </c>
      <c r="V1154" s="98" t="s">
        <v>171</v>
      </c>
      <c r="W1154" s="98" t="s">
        <v>171</v>
      </c>
      <c r="X1154" s="98" t="s">
        <v>171</v>
      </c>
      <c r="Y1154" s="98" t="s">
        <v>171</v>
      </c>
      <c r="Z1154" s="98" t="s">
        <v>171</v>
      </c>
      <c r="AA1154" s="98" t="s">
        <v>171</v>
      </c>
      <c r="AB1154" s="98" t="s">
        <v>171</v>
      </c>
      <c r="AC1154" s="98" t="s">
        <v>171</v>
      </c>
      <c r="AD1154" s="98" t="s">
        <v>171</v>
      </c>
      <c r="AE1154" s="98" t="s">
        <v>171</v>
      </c>
      <c r="AF1154" s="98" t="s">
        <v>171</v>
      </c>
      <c r="AG1154" s="98" t="s">
        <v>171</v>
      </c>
      <c r="AH1154" s="98" t="s">
        <v>171</v>
      </c>
      <c r="AI1154" s="98" t="s">
        <v>171</v>
      </c>
      <c r="AJ1154" s="98" t="s">
        <v>171</v>
      </c>
      <c r="AK1154" s="98" t="s">
        <v>171</v>
      </c>
      <c r="AL1154" s="98" t="s">
        <v>171</v>
      </c>
      <c r="AM1154" s="98" t="s">
        <v>171</v>
      </c>
      <c r="AN1154" s="98" t="s">
        <v>171</v>
      </c>
      <c r="AO1154" s="98" t="s">
        <v>171</v>
      </c>
      <c r="AP1154" s="98" t="s">
        <v>171</v>
      </c>
      <c r="AQ1154" s="98" t="s">
        <v>171</v>
      </c>
      <c r="AR1154" s="102">
        <v>46231.0</v>
      </c>
      <c r="AS1154" s="83">
        <v>1178862.0</v>
      </c>
    </row>
    <row r="1155" ht="15.75" customHeight="1">
      <c r="A1155" s="111" t="s">
        <v>1393</v>
      </c>
      <c r="B1155" s="83" t="s">
        <v>6231</v>
      </c>
      <c r="C1155" s="83" t="s">
        <v>164</v>
      </c>
      <c r="D1155" s="112">
        <v>1176160.0</v>
      </c>
      <c r="E1155" s="83">
        <v>1178861.0</v>
      </c>
      <c r="F1155" s="83"/>
      <c r="G1155" s="91" t="str">
        <f>IFERROR(__xludf.DUMMYFUNCTION("XLOOKUP(AS1155,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ZULEIDE FREIRE DE ABREU - DISTRITO DE IRUNDIARA")</f>
        <v>ANEXO - COLÉGIO EST ZULEIDE FREIRE DE ABREU - DISTRITO DE IRUNDIARA</v>
      </c>
      <c r="H1155" s="119" t="s">
        <v>6266</v>
      </c>
      <c r="I1155" s="91" t="s">
        <v>6268</v>
      </c>
      <c r="J1155" s="83" t="s">
        <v>6269</v>
      </c>
      <c r="K1155" s="83" t="s">
        <v>6270</v>
      </c>
      <c r="L1155" s="83" t="s">
        <v>151</v>
      </c>
      <c r="M1155" s="83" t="s">
        <v>169</v>
      </c>
      <c r="N1155" s="115" t="s">
        <v>170</v>
      </c>
      <c r="O1155" s="98" t="s">
        <v>155</v>
      </c>
      <c r="P1155" s="99" t="str">
        <f>IFERROR(__xludf.DUMMYFUNCTION("IFERROR(VLOOKUP(AS1155,IMPORTRANGE(""https://docs.google.com/spreadsheets/d/1juPI-Fb8LD0YtltB2mlGEnp_R3UVu1t3wSFPzgCyHXE/edit?gid=0#gid=0"",""GERAL!A2:C""),3,0),""-"")"),"CAMPO")</f>
        <v>CAMPO</v>
      </c>
      <c r="Q1155" s="101" t="s">
        <v>156</v>
      </c>
      <c r="R1155" s="98">
        <v>4.0</v>
      </c>
      <c r="S1155" s="98" t="s">
        <v>171</v>
      </c>
      <c r="T1155" s="98" t="s">
        <v>171</v>
      </c>
      <c r="U1155" s="98" t="s">
        <v>171</v>
      </c>
      <c r="V1155" s="98" t="s">
        <v>171</v>
      </c>
      <c r="W1155" s="98" t="s">
        <v>171</v>
      </c>
      <c r="X1155" s="98" t="s">
        <v>171</v>
      </c>
      <c r="Y1155" s="98">
        <v>1.0</v>
      </c>
      <c r="Z1155" s="98" t="s">
        <v>171</v>
      </c>
      <c r="AA1155" s="98" t="s">
        <v>171</v>
      </c>
      <c r="AB1155" s="98" t="s">
        <v>171</v>
      </c>
      <c r="AC1155" s="98" t="s">
        <v>171</v>
      </c>
      <c r="AD1155" s="98" t="s">
        <v>171</v>
      </c>
      <c r="AE1155" s="98" t="s">
        <v>171</v>
      </c>
      <c r="AF1155" s="98" t="s">
        <v>171</v>
      </c>
      <c r="AG1155" s="98" t="s">
        <v>171</v>
      </c>
      <c r="AH1155" s="98" t="s">
        <v>171</v>
      </c>
      <c r="AI1155" s="98" t="s">
        <v>171</v>
      </c>
      <c r="AJ1155" s="98" t="s">
        <v>171</v>
      </c>
      <c r="AK1155" s="98" t="s">
        <v>171</v>
      </c>
      <c r="AL1155" s="98" t="s">
        <v>171</v>
      </c>
      <c r="AM1155" s="98" t="s">
        <v>171</v>
      </c>
      <c r="AN1155" s="98" t="s">
        <v>171</v>
      </c>
      <c r="AO1155" s="98" t="s">
        <v>171</v>
      </c>
      <c r="AP1155" s="98" t="s">
        <v>171</v>
      </c>
      <c r="AQ1155" s="98" t="s">
        <v>171</v>
      </c>
      <c r="AR1155" s="102">
        <v>46231.0</v>
      </c>
      <c r="AS1155" s="83">
        <v>1178861.0</v>
      </c>
    </row>
    <row r="1156" ht="15.75" customHeight="1">
      <c r="A1156" s="111" t="s">
        <v>1393</v>
      </c>
      <c r="B1156" s="83" t="s">
        <v>6282</v>
      </c>
      <c r="C1156" s="83" t="s">
        <v>45</v>
      </c>
      <c r="D1156" s="112">
        <v>1128479.0</v>
      </c>
      <c r="E1156" s="83"/>
      <c r="F1156" s="83">
        <v>2.9248663E7</v>
      </c>
      <c r="G1156" s="91" t="str">
        <f>IFERROR(__xludf.DUMMYFUNCTION("XLOOKUP(AS1156,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DE LICINIO DE ALMEIDA")</f>
        <v>ESCOLA FAMILIA AGRICOLA DE LICINIO DE ALMEIDA</v>
      </c>
      <c r="H1156" s="114" t="s">
        <v>6283</v>
      </c>
      <c r="I1156" s="91" t="s">
        <v>6284</v>
      </c>
      <c r="J1156" s="136" t="s">
        <v>149</v>
      </c>
      <c r="K1156" s="115" t="s">
        <v>6285</v>
      </c>
      <c r="L1156" s="83" t="s">
        <v>171</v>
      </c>
      <c r="M1156" s="83" t="s">
        <v>512</v>
      </c>
      <c r="N1156" s="98" t="s">
        <v>6286</v>
      </c>
      <c r="O1156" s="98" t="s">
        <v>155</v>
      </c>
      <c r="P1156" s="99" t="str">
        <f>IFERROR(__xludf.DUMMYFUNCTION("IFERROR(VLOOKUP(AS1156,IMPORTRANGE(""https://docs.google.com/spreadsheets/d/1juPI-Fb8LD0YtltB2mlGEnp_R3UVu1t3wSFPzgCyHXE/edit?gid=0#gid=0"",""GERAL!A2:C""),3,0),""-"")"),"EFA")</f>
        <v>EFA</v>
      </c>
      <c r="Q1156" s="83"/>
      <c r="R1156" s="83"/>
      <c r="S1156" s="83"/>
      <c r="T1156" s="83"/>
      <c r="U1156" s="83"/>
      <c r="V1156" s="83"/>
      <c r="W1156" s="83"/>
      <c r="X1156" s="83"/>
      <c r="Y1156" s="83"/>
      <c r="Z1156" s="83"/>
      <c r="AA1156" s="83"/>
      <c r="AB1156" s="83"/>
      <c r="AC1156" s="83"/>
      <c r="AD1156" s="83"/>
      <c r="AE1156" s="83"/>
      <c r="AF1156" s="83"/>
      <c r="AG1156" s="83"/>
      <c r="AH1156" s="83"/>
      <c r="AI1156" s="83"/>
      <c r="AJ1156" s="83"/>
      <c r="AK1156" s="83"/>
      <c r="AL1156" s="83"/>
      <c r="AM1156" s="83"/>
      <c r="AN1156" s="83"/>
      <c r="AO1156" s="83"/>
      <c r="AP1156" s="83"/>
      <c r="AQ1156" s="83"/>
      <c r="AR1156" s="83"/>
      <c r="AS1156" s="83">
        <v>1128479.0</v>
      </c>
    </row>
    <row r="1157" ht="15.75" customHeight="1">
      <c r="A1157" s="111" t="s">
        <v>1393</v>
      </c>
      <c r="B1157" s="83" t="s">
        <v>6282</v>
      </c>
      <c r="C1157" s="83" t="s">
        <v>68</v>
      </c>
      <c r="D1157" s="112">
        <v>1128460.0</v>
      </c>
      <c r="E1157" s="83"/>
      <c r="F1157" s="83">
        <v>2.9249104E7</v>
      </c>
      <c r="G1157" s="91" t="str">
        <f>IFERROR(__xludf.DUMMYFUNCTION("XLOOKUP(AS1157,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LICÍNIO DE ALMEIDA (ANTIGO CE DUQUE DE CAXIAS)")</f>
        <v>COLÉGIO ESTADUAL DE TEMPO INTEGRAL DE LICÍNIO DE ALMEIDA (ANTIGO CE DUQUE DE CAXIAS)</v>
      </c>
      <c r="H1157" s="119" t="s">
        <v>6287</v>
      </c>
      <c r="I1157" s="108" t="s">
        <v>6288</v>
      </c>
      <c r="J1157" s="136" t="s">
        <v>6289</v>
      </c>
      <c r="K1157" s="136" t="s">
        <v>150</v>
      </c>
      <c r="L1157" s="83" t="s">
        <v>151</v>
      </c>
      <c r="M1157" s="83" t="s">
        <v>76</v>
      </c>
      <c r="N1157" s="98" t="s">
        <v>6290</v>
      </c>
      <c r="O1157" s="98" t="s">
        <v>155</v>
      </c>
      <c r="P1157" s="99" t="str">
        <f>IFERROR(__xludf.DUMMYFUNCTION("IFERROR(VLOOKUP(AS1157,IMPORTRANGE(""https://docs.google.com/spreadsheets/d/1juPI-Fb8LD0YtltB2mlGEnp_R3UVu1t3wSFPzgCyHXE/edit?gid=0#gid=0"",""GERAL!A2:C""),3,0),""-"")"),"-")</f>
        <v>-</v>
      </c>
      <c r="Q1157" s="101" t="s">
        <v>156</v>
      </c>
      <c r="R1157" s="98">
        <v>12.0</v>
      </c>
      <c r="S1157" s="98">
        <v>1.0</v>
      </c>
      <c r="T1157" s="98">
        <v>0.0</v>
      </c>
      <c r="U1157" s="98">
        <v>0.0</v>
      </c>
      <c r="V1157" s="98">
        <v>1.0</v>
      </c>
      <c r="W1157" s="98">
        <v>3.0</v>
      </c>
      <c r="X1157" s="98">
        <v>1.0</v>
      </c>
      <c r="Y1157" s="98">
        <v>0.0</v>
      </c>
      <c r="Z1157" s="98">
        <v>1.0</v>
      </c>
      <c r="AA1157" s="98">
        <v>0.0</v>
      </c>
      <c r="AB1157" s="98">
        <v>1.0</v>
      </c>
      <c r="AC1157" s="98">
        <v>0.0</v>
      </c>
      <c r="AD1157" s="98">
        <v>0.0</v>
      </c>
      <c r="AE1157" s="98">
        <v>0.0</v>
      </c>
      <c r="AF1157" s="98">
        <v>1.0</v>
      </c>
      <c r="AG1157" s="98">
        <v>0.0</v>
      </c>
      <c r="AH1157" s="98">
        <v>0.0</v>
      </c>
      <c r="AI1157" s="98">
        <v>0.0</v>
      </c>
      <c r="AJ1157" s="98">
        <v>0.0</v>
      </c>
      <c r="AK1157" s="98">
        <v>1.0</v>
      </c>
      <c r="AL1157" s="98">
        <v>0.0</v>
      </c>
      <c r="AM1157" s="98">
        <v>0.0</v>
      </c>
      <c r="AN1157" s="98">
        <v>0.0</v>
      </c>
      <c r="AO1157" s="98">
        <v>0.0</v>
      </c>
      <c r="AP1157" s="98">
        <v>0.0</v>
      </c>
      <c r="AQ1157" s="98" t="s">
        <v>6291</v>
      </c>
      <c r="AR1157" s="102">
        <v>46227.0</v>
      </c>
      <c r="AS1157" s="83">
        <v>1128460.0</v>
      </c>
    </row>
    <row r="1158" ht="15.75" customHeight="1">
      <c r="A1158" s="111" t="s">
        <v>1393</v>
      </c>
      <c r="B1158" s="83" t="s">
        <v>6282</v>
      </c>
      <c r="C1158" s="83" t="s">
        <v>164</v>
      </c>
      <c r="D1158" s="112">
        <v>1128460.0</v>
      </c>
      <c r="E1158" s="83">
        <v>1178864.0</v>
      </c>
      <c r="F1158" s="83"/>
      <c r="G1158" s="91" t="str">
        <f>IFERROR(__xludf.DUMMYFUNCTION("XLOOKUP(AS1158,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LICÍNIO DE ALMEIDA - POV DE JUREMA")</f>
        <v>ANEXO - COLÉGIO ESTADUAL DE TEMPO INTEGRAL DE LICÍNIO DE ALMEIDA - POV DE JUREMA</v>
      </c>
      <c r="H1158" s="119" t="s">
        <v>6292</v>
      </c>
      <c r="I1158" s="91" t="s">
        <v>6293</v>
      </c>
      <c r="J1158" s="83" t="s">
        <v>6294</v>
      </c>
      <c r="K1158" s="83" t="s">
        <v>2668</v>
      </c>
      <c r="L1158" s="83" t="s">
        <v>168</v>
      </c>
      <c r="M1158" s="83" t="s">
        <v>169</v>
      </c>
      <c r="N1158" s="115" t="s">
        <v>170</v>
      </c>
      <c r="O1158" s="98" t="s">
        <v>155</v>
      </c>
      <c r="P1158" s="99" t="str">
        <f>IFERROR(__xludf.DUMMYFUNCTION("IFERROR(VLOOKUP(AS1158,IMPORTRANGE(""https://docs.google.com/spreadsheets/d/1juPI-Fb8LD0YtltB2mlGEnp_R3UVu1t3wSFPzgCyHXE/edit?gid=0#gid=0"",""GERAL!A2:C""),3,0),""-"")"),"CAMPO")</f>
        <v>CAMPO</v>
      </c>
      <c r="Q1158" s="98" t="s">
        <v>171</v>
      </c>
      <c r="R1158" s="98">
        <v>3.0</v>
      </c>
      <c r="S1158" s="98">
        <v>0.0</v>
      </c>
      <c r="T1158" s="98">
        <v>0.0</v>
      </c>
      <c r="U1158" s="98">
        <v>0.0</v>
      </c>
      <c r="V1158" s="98">
        <v>0.0</v>
      </c>
      <c r="W1158" s="98">
        <v>0.0</v>
      </c>
      <c r="X1158" s="98">
        <v>0.0</v>
      </c>
      <c r="Y1158" s="98">
        <v>0.0</v>
      </c>
      <c r="Z1158" s="98">
        <v>0.0</v>
      </c>
      <c r="AA1158" s="98">
        <v>0.0</v>
      </c>
      <c r="AB1158" s="98">
        <v>0.0</v>
      </c>
      <c r="AC1158" s="98">
        <v>0.0</v>
      </c>
      <c r="AD1158" s="98">
        <v>0.0</v>
      </c>
      <c r="AE1158" s="98">
        <v>0.0</v>
      </c>
      <c r="AF1158" s="98">
        <v>1.0</v>
      </c>
      <c r="AG1158" s="98">
        <v>0.0</v>
      </c>
      <c r="AH1158" s="98">
        <v>0.0</v>
      </c>
      <c r="AI1158" s="98">
        <v>0.0</v>
      </c>
      <c r="AJ1158" s="98">
        <v>0.0</v>
      </c>
      <c r="AK1158" s="98">
        <v>0.0</v>
      </c>
      <c r="AL1158" s="98">
        <v>0.0</v>
      </c>
      <c r="AM1158" s="98">
        <v>0.0</v>
      </c>
      <c r="AN1158" s="98">
        <v>0.0</v>
      </c>
      <c r="AO1158" s="98">
        <v>0.0</v>
      </c>
      <c r="AP1158" s="98">
        <v>0.0</v>
      </c>
      <c r="AQ1158" s="98" t="s">
        <v>171</v>
      </c>
      <c r="AR1158" s="102">
        <v>46227.0</v>
      </c>
      <c r="AS1158" s="83">
        <v>1178864.0</v>
      </c>
    </row>
    <row r="1159" ht="15.75" customHeight="1">
      <c r="A1159" s="111" t="s">
        <v>1393</v>
      </c>
      <c r="B1159" s="83" t="s">
        <v>6282</v>
      </c>
      <c r="C1159" s="83" t="s">
        <v>164</v>
      </c>
      <c r="D1159" s="112">
        <v>1128460.0</v>
      </c>
      <c r="E1159" s="83">
        <v>1179647.0</v>
      </c>
      <c r="F1159" s="83"/>
      <c r="G1159" s="91" t="str">
        <f>IFERROR(__xludf.DUMMYFUNCTION("XLOOKUP(AS1159,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LICÍNIO DE ALMEIDA - DIST TAUAPE")</f>
        <v>ANEXO - COLÉGIO ESTADUAL DE TEMPO INTEGRAL DE LICÍNIO DE ALMEIDA - DIST TAUAPE</v>
      </c>
      <c r="H1159" s="119" t="s">
        <v>6295</v>
      </c>
      <c r="I1159" s="91" t="s">
        <v>6296</v>
      </c>
      <c r="J1159" s="83" t="s">
        <v>149</v>
      </c>
      <c r="K1159" s="83" t="s">
        <v>1173</v>
      </c>
      <c r="L1159" s="83" t="s">
        <v>151</v>
      </c>
      <c r="M1159" s="83" t="s">
        <v>169</v>
      </c>
      <c r="N1159" s="115" t="s">
        <v>170</v>
      </c>
      <c r="O1159" s="98" t="s">
        <v>155</v>
      </c>
      <c r="P1159" s="99" t="str">
        <f>IFERROR(__xludf.DUMMYFUNCTION("IFERROR(VLOOKUP(AS1159,IMPORTRANGE(""https://docs.google.com/spreadsheets/d/1juPI-Fb8LD0YtltB2mlGEnp_R3UVu1t3wSFPzgCyHXE/edit?gid=0#gid=0"",""GERAL!A2:C""),3,0),""-"")"),"CAMPO")</f>
        <v>CAMPO</v>
      </c>
      <c r="Q1159" s="98" t="s">
        <v>171</v>
      </c>
      <c r="R1159" s="98">
        <v>4.0</v>
      </c>
      <c r="S1159" s="98">
        <v>0.0</v>
      </c>
      <c r="T1159" s="98">
        <v>0.0</v>
      </c>
      <c r="U1159" s="98">
        <v>0.0</v>
      </c>
      <c r="V1159" s="98">
        <v>0.0</v>
      </c>
      <c r="W1159" s="98">
        <v>0.0</v>
      </c>
      <c r="X1159" s="98">
        <v>0.0</v>
      </c>
      <c r="Y1159" s="98">
        <v>0.0</v>
      </c>
      <c r="Z1159" s="98">
        <v>0.0</v>
      </c>
      <c r="AA1159" s="98">
        <v>0.0</v>
      </c>
      <c r="AB1159" s="98">
        <v>0.0</v>
      </c>
      <c r="AC1159" s="98">
        <v>0.0</v>
      </c>
      <c r="AD1159" s="98">
        <v>0.0</v>
      </c>
      <c r="AE1159" s="98">
        <v>0.0</v>
      </c>
      <c r="AF1159" s="98">
        <v>1.0</v>
      </c>
      <c r="AG1159" s="98">
        <v>0.0</v>
      </c>
      <c r="AH1159" s="98">
        <v>0.0</v>
      </c>
      <c r="AI1159" s="98">
        <v>0.0</v>
      </c>
      <c r="AJ1159" s="98">
        <v>0.0</v>
      </c>
      <c r="AK1159" s="98">
        <v>0.0</v>
      </c>
      <c r="AL1159" s="98">
        <v>0.0</v>
      </c>
      <c r="AM1159" s="98">
        <v>0.0</v>
      </c>
      <c r="AN1159" s="98">
        <v>0.0</v>
      </c>
      <c r="AO1159" s="98">
        <v>0.0</v>
      </c>
      <c r="AP1159" s="98">
        <v>0.0</v>
      </c>
      <c r="AQ1159" s="98" t="s">
        <v>171</v>
      </c>
      <c r="AR1159" s="102">
        <v>46227.0</v>
      </c>
      <c r="AS1159" s="83">
        <v>1179647.0</v>
      </c>
    </row>
    <row r="1160" ht="15.75" customHeight="1">
      <c r="A1160" s="111" t="s">
        <v>1393</v>
      </c>
      <c r="B1160" s="83" t="s">
        <v>6297</v>
      </c>
      <c r="C1160" s="83" t="s">
        <v>68</v>
      </c>
      <c r="D1160" s="112">
        <v>1141815.0</v>
      </c>
      <c r="E1160" s="83"/>
      <c r="F1160" s="83">
        <v>2.9261481E7</v>
      </c>
      <c r="G1160" s="91" t="str">
        <f>IFERROR(__xludf.DUMMYFUNCTION("XLOOKUP(AS1160,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MAETINGA (ANITGO CE EDVALDO FLORES)")</f>
        <v>COLÉGIO ESTADUAL DE TEMPO INTEGRAL DE MAETINGA (ANITGO CE EDVALDO FLORES)</v>
      </c>
      <c r="H1160" s="119" t="s">
        <v>6298</v>
      </c>
      <c r="I1160" s="91" t="s">
        <v>6299</v>
      </c>
      <c r="J1160" s="83" t="s">
        <v>149</v>
      </c>
      <c r="K1160" s="83" t="s">
        <v>150</v>
      </c>
      <c r="L1160" s="83" t="s">
        <v>151</v>
      </c>
      <c r="M1160" s="83" t="s">
        <v>76</v>
      </c>
      <c r="N1160" s="98" t="s">
        <v>6300</v>
      </c>
      <c r="O1160" s="98" t="s">
        <v>155</v>
      </c>
      <c r="P1160" s="99" t="str">
        <f>IFERROR(__xludf.DUMMYFUNCTION("IFERROR(VLOOKUP(AS1160,IMPORTRANGE(""https://docs.google.com/spreadsheets/d/1juPI-Fb8LD0YtltB2mlGEnp_R3UVu1t3wSFPzgCyHXE/edit?gid=0#gid=0"",""GERAL!A2:C""),3,0),""-"")"),"-")</f>
        <v>-</v>
      </c>
      <c r="Q1160" s="83"/>
      <c r="R1160" s="83"/>
      <c r="S1160" s="83"/>
      <c r="T1160" s="83"/>
      <c r="U1160" s="83"/>
      <c r="V1160" s="83"/>
      <c r="W1160" s="83"/>
      <c r="X1160" s="83"/>
      <c r="Y1160" s="83"/>
      <c r="Z1160" s="83"/>
      <c r="AA1160" s="83"/>
      <c r="AB1160" s="83"/>
      <c r="AC1160" s="83"/>
      <c r="AD1160" s="83"/>
      <c r="AE1160" s="83"/>
      <c r="AF1160" s="83"/>
      <c r="AG1160" s="83"/>
      <c r="AH1160" s="83"/>
      <c r="AI1160" s="83"/>
      <c r="AJ1160" s="83"/>
      <c r="AK1160" s="83"/>
      <c r="AL1160" s="83"/>
      <c r="AM1160" s="83"/>
      <c r="AN1160" s="83"/>
      <c r="AO1160" s="83"/>
      <c r="AP1160" s="83"/>
      <c r="AQ1160" s="83"/>
      <c r="AR1160" s="83"/>
      <c r="AS1160" s="83">
        <v>1141815.0</v>
      </c>
    </row>
    <row r="1161" ht="15.75" customHeight="1">
      <c r="A1161" s="111" t="s">
        <v>1393</v>
      </c>
      <c r="B1161" s="83" t="s">
        <v>6301</v>
      </c>
      <c r="C1161" s="83" t="s">
        <v>68</v>
      </c>
      <c r="D1161" s="112">
        <v>1178113.0</v>
      </c>
      <c r="E1161" s="83"/>
      <c r="F1161" s="83">
        <v>2.9434726E7</v>
      </c>
      <c r="G1161" s="91" t="str">
        <f>IFERROR(__xludf.DUMMYFUNCTION("XLOOKUP(AS1161,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DIOMAR SILVA BRITO")</f>
        <v>COLÉGIO ESTADUAL DE TEMPO INTEGRAL PROFESSOR DIOMAR SILVA BRITO</v>
      </c>
      <c r="H1161" s="119" t="s">
        <v>6302</v>
      </c>
      <c r="I1161" s="91" t="s">
        <v>6303</v>
      </c>
      <c r="J1161" s="136" t="s">
        <v>149</v>
      </c>
      <c r="K1161" s="136" t="s">
        <v>150</v>
      </c>
      <c r="L1161" s="136" t="s">
        <v>151</v>
      </c>
      <c r="M1161" s="136" t="s">
        <v>76</v>
      </c>
      <c r="N1161" s="98" t="s">
        <v>6304</v>
      </c>
      <c r="O1161" s="98" t="s">
        <v>155</v>
      </c>
      <c r="P1161" s="99" t="str">
        <f>IFERROR(__xludf.DUMMYFUNCTION("IFERROR(VLOOKUP(AS1161,IMPORTRANGE(""https://docs.google.com/spreadsheets/d/1juPI-Fb8LD0YtltB2mlGEnp_R3UVu1t3wSFPzgCyHXE/edit?gid=0#gid=0"",""GERAL!A2:C""),3,0),""-"")"),"-")</f>
        <v>-</v>
      </c>
      <c r="Q1161" s="83"/>
      <c r="R1161" s="83"/>
      <c r="S1161" s="83"/>
      <c r="T1161" s="83"/>
      <c r="U1161" s="83"/>
      <c r="V1161" s="83"/>
      <c r="W1161" s="83"/>
      <c r="X1161" s="83"/>
      <c r="Y1161" s="83"/>
      <c r="Z1161" s="83"/>
      <c r="AA1161" s="83"/>
      <c r="AB1161" s="83"/>
      <c r="AC1161" s="83"/>
      <c r="AD1161" s="83"/>
      <c r="AE1161" s="83"/>
      <c r="AF1161" s="83"/>
      <c r="AG1161" s="83"/>
      <c r="AH1161" s="83"/>
      <c r="AI1161" s="83"/>
      <c r="AJ1161" s="83"/>
      <c r="AK1161" s="83"/>
      <c r="AL1161" s="83"/>
      <c r="AM1161" s="83"/>
      <c r="AN1161" s="83"/>
      <c r="AO1161" s="83"/>
      <c r="AP1161" s="83"/>
      <c r="AQ1161" s="83"/>
      <c r="AR1161" s="83"/>
      <c r="AS1161" s="83">
        <v>1178113.0</v>
      </c>
    </row>
    <row r="1162" ht="15.75" customHeight="1">
      <c r="A1162" s="111" t="s">
        <v>1393</v>
      </c>
      <c r="B1162" s="83" t="s">
        <v>6305</v>
      </c>
      <c r="C1162" s="83" t="s">
        <v>68</v>
      </c>
      <c r="D1162" s="112">
        <v>1129181.0</v>
      </c>
      <c r="E1162" s="83"/>
      <c r="F1162" s="83">
        <v>2.9250285E7</v>
      </c>
      <c r="G1162" s="91" t="str">
        <f>IFERROR(__xludf.DUMMYFUNCTION("XLOOKUP(AS1162,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MORTUGABA (ANTIGO - CE LEONIDIA SILVA MOREIRA PARDINHO)")</f>
        <v>COLÉGIO ESTADUAL DE TEMPO INTEGRAL DE MORTUGABA (ANTIGO - CE LEONIDIA SILVA MOREIRA PARDINHO)</v>
      </c>
      <c r="H1162" s="119" t="s">
        <v>6306</v>
      </c>
      <c r="I1162" s="108" t="s">
        <v>6307</v>
      </c>
      <c r="J1162" s="98" t="s">
        <v>3062</v>
      </c>
      <c r="K1162" s="83" t="s">
        <v>150</v>
      </c>
      <c r="L1162" s="83" t="s">
        <v>151</v>
      </c>
      <c r="M1162" s="83" t="s">
        <v>152</v>
      </c>
      <c r="N1162" s="98" t="s">
        <v>6308</v>
      </c>
      <c r="O1162" s="98" t="s">
        <v>155</v>
      </c>
      <c r="P1162" s="99" t="str">
        <f>IFERROR(__xludf.DUMMYFUNCTION("IFERROR(VLOOKUP(AS1162,IMPORTRANGE(""https://docs.google.com/spreadsheets/d/1juPI-Fb8LD0YtltB2mlGEnp_R3UVu1t3wSFPzgCyHXE/edit?gid=0#gid=0"",""GERAL!A2:C""),3,0),""-"")"),"-")</f>
        <v>-</v>
      </c>
      <c r="Q1162" s="101" t="s">
        <v>156</v>
      </c>
      <c r="R1162" s="98">
        <v>12.0</v>
      </c>
      <c r="S1162" s="98">
        <v>0.0</v>
      </c>
      <c r="T1162" s="98">
        <v>2.0</v>
      </c>
      <c r="U1162" s="98">
        <v>0.0</v>
      </c>
      <c r="V1162" s="98">
        <v>1.0</v>
      </c>
      <c r="W1162" s="98">
        <v>3.0</v>
      </c>
      <c r="X1162" s="98">
        <v>1.0</v>
      </c>
      <c r="Y1162" s="98">
        <v>0.0</v>
      </c>
      <c r="Z1162" s="98">
        <v>1.0</v>
      </c>
      <c r="AA1162" s="98">
        <v>0.0</v>
      </c>
      <c r="AB1162" s="98">
        <v>1.0</v>
      </c>
      <c r="AC1162" s="98">
        <v>0.0</v>
      </c>
      <c r="AD1162" s="98">
        <v>0.0</v>
      </c>
      <c r="AE1162" s="98">
        <v>0.0</v>
      </c>
      <c r="AF1162" s="98">
        <v>1.0</v>
      </c>
      <c r="AG1162" s="98">
        <v>0.0</v>
      </c>
      <c r="AH1162" s="98">
        <v>0.0</v>
      </c>
      <c r="AI1162" s="98">
        <v>0.0</v>
      </c>
      <c r="AJ1162" s="98">
        <v>0.0</v>
      </c>
      <c r="AK1162" s="98">
        <v>1.0</v>
      </c>
      <c r="AL1162" s="98">
        <v>0.0</v>
      </c>
      <c r="AM1162" s="98">
        <v>0.0</v>
      </c>
      <c r="AN1162" s="98">
        <v>0.0</v>
      </c>
      <c r="AO1162" s="98">
        <v>0.0</v>
      </c>
      <c r="AP1162" s="98">
        <v>0.0</v>
      </c>
      <c r="AQ1162" s="98" t="s">
        <v>6312</v>
      </c>
      <c r="AR1162" s="102">
        <v>46216.0</v>
      </c>
      <c r="AS1162" s="83">
        <v>1129181.0</v>
      </c>
    </row>
    <row r="1163" ht="15.75" customHeight="1">
      <c r="A1163" s="111" t="s">
        <v>1393</v>
      </c>
      <c r="B1163" s="83" t="s">
        <v>6313</v>
      </c>
      <c r="C1163" s="83" t="s">
        <v>68</v>
      </c>
      <c r="D1163" s="112">
        <v>1156634.0</v>
      </c>
      <c r="E1163" s="83"/>
      <c r="F1163" s="83">
        <v>2.9261953E7</v>
      </c>
      <c r="G1163" s="91" t="str">
        <f>IFERROR(__xludf.DUMMYFUNCTION("XLOOKUP(AS1163,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PIRIPA")</f>
        <v>COLÉGIO ESTADUAL DE TEMPO INTEGRAL DE PIRIPA</v>
      </c>
      <c r="H1163" s="119" t="s">
        <v>6319</v>
      </c>
      <c r="I1163" s="91" t="s">
        <v>6321</v>
      </c>
      <c r="J1163" s="83" t="s">
        <v>149</v>
      </c>
      <c r="K1163" s="83" t="s">
        <v>150</v>
      </c>
      <c r="L1163" s="83" t="s">
        <v>151</v>
      </c>
      <c r="M1163" s="136" t="s">
        <v>76</v>
      </c>
      <c r="N1163" s="98" t="s">
        <v>6323</v>
      </c>
      <c r="O1163" s="98" t="s">
        <v>155</v>
      </c>
      <c r="P1163" s="99" t="str">
        <f>IFERROR(__xludf.DUMMYFUNCTION("IFERROR(VLOOKUP(AS1163,IMPORTRANGE(""https://docs.google.com/spreadsheets/d/1juPI-Fb8LD0YtltB2mlGEnp_R3UVu1t3wSFPzgCyHXE/edit?gid=0#gid=0"",""GERAL!A2:C""),3,0),""-"")"),"-")</f>
        <v>-</v>
      </c>
      <c r="Q1163" s="83"/>
      <c r="R1163" s="83"/>
      <c r="S1163" s="83"/>
      <c r="T1163" s="83"/>
      <c r="U1163" s="83"/>
      <c r="V1163" s="83"/>
      <c r="W1163" s="83"/>
      <c r="X1163" s="83"/>
      <c r="Y1163" s="83"/>
      <c r="Z1163" s="83"/>
      <c r="AA1163" s="83"/>
      <c r="AB1163" s="83"/>
      <c r="AC1163" s="83"/>
      <c r="AD1163" s="83"/>
      <c r="AE1163" s="83"/>
      <c r="AF1163" s="83"/>
      <c r="AG1163" s="83"/>
      <c r="AH1163" s="83"/>
      <c r="AI1163" s="83"/>
      <c r="AJ1163" s="83"/>
      <c r="AK1163" s="83"/>
      <c r="AL1163" s="83"/>
      <c r="AM1163" s="83"/>
      <c r="AN1163" s="83"/>
      <c r="AO1163" s="83"/>
      <c r="AP1163" s="83"/>
      <c r="AQ1163" s="83"/>
      <c r="AR1163" s="83"/>
      <c r="AS1163" s="83">
        <v>1156634.0</v>
      </c>
    </row>
    <row r="1164" ht="15.75" customHeight="1">
      <c r="A1164" s="111" t="s">
        <v>1393</v>
      </c>
      <c r="B1164" s="83" t="s">
        <v>6313</v>
      </c>
      <c r="C1164" s="83" t="s">
        <v>164</v>
      </c>
      <c r="D1164" s="112">
        <v>1179285.0</v>
      </c>
      <c r="E1164" s="83">
        <v>1178769.0</v>
      </c>
      <c r="F1164" s="83"/>
      <c r="G1164" s="91" t="str">
        <f>IFERROR(__xludf.DUMMYFUNCTION("XLOOKUP(AS1164,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DISTRITO DE BARRA DA ILHA")</f>
        <v>ANEXO - CEMIT VITORIA DA CONQUISTA - DISTRITO DE BARRA DA ILHA</v>
      </c>
      <c r="H1164" s="114" t="s">
        <v>6324</v>
      </c>
      <c r="I1164" s="91" t="s">
        <v>6325</v>
      </c>
      <c r="J1164" s="83" t="s">
        <v>149</v>
      </c>
      <c r="K1164" s="83" t="s">
        <v>6326</v>
      </c>
      <c r="L1164" s="83" t="s">
        <v>168</v>
      </c>
      <c r="M1164" s="83" t="s">
        <v>169</v>
      </c>
      <c r="N1164" s="115" t="s">
        <v>170</v>
      </c>
      <c r="O1164" s="98" t="s">
        <v>155</v>
      </c>
      <c r="P1164" s="99" t="str">
        <f>IFERROR(__xludf.DUMMYFUNCTION("IFERROR(VLOOKUP(AS1164,IMPORTRANGE(""https://docs.google.com/spreadsheets/d/1juPI-Fb8LD0YtltB2mlGEnp_R3UVu1t3wSFPzgCyHXE/edit?gid=0#gid=0"",""GERAL!A2:C""),3,0),""-"")"),"CAMPO")</f>
        <v>CAMPO</v>
      </c>
      <c r="Q1164" s="83"/>
      <c r="R1164" s="83"/>
      <c r="S1164" s="83"/>
      <c r="T1164" s="83"/>
      <c r="U1164" s="83"/>
      <c r="V1164" s="83"/>
      <c r="W1164" s="83"/>
      <c r="X1164" s="83"/>
      <c r="Y1164" s="83"/>
      <c r="Z1164" s="83"/>
      <c r="AA1164" s="83"/>
      <c r="AB1164" s="83"/>
      <c r="AC1164" s="83"/>
      <c r="AD1164" s="83"/>
      <c r="AE1164" s="83"/>
      <c r="AF1164" s="83"/>
      <c r="AG1164" s="83"/>
      <c r="AH1164" s="83"/>
      <c r="AI1164" s="83"/>
      <c r="AJ1164" s="83"/>
      <c r="AK1164" s="83"/>
      <c r="AL1164" s="83"/>
      <c r="AM1164" s="83"/>
      <c r="AN1164" s="83"/>
      <c r="AO1164" s="83"/>
      <c r="AP1164" s="83"/>
      <c r="AQ1164" s="83"/>
      <c r="AR1164" s="83"/>
      <c r="AS1164" s="83">
        <v>1178769.0</v>
      </c>
    </row>
    <row r="1165" ht="15.75" customHeight="1">
      <c r="A1165" s="111" t="s">
        <v>1393</v>
      </c>
      <c r="B1165" s="83" t="s">
        <v>2352</v>
      </c>
      <c r="C1165" s="83" t="s">
        <v>68</v>
      </c>
      <c r="D1165" s="112">
        <v>1124996.0</v>
      </c>
      <c r="E1165" s="83"/>
      <c r="F1165" s="83">
        <v>2.9275474E7</v>
      </c>
      <c r="G1165" s="91" t="str">
        <f>IFERROR(__xludf.DUMMYFUNCTION("XLOOKUP(AS1165,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PLANALTO")</f>
        <v>COLÉGIO ESTADUAL DE TEMPO INTEGRAL DE PLANALTO</v>
      </c>
      <c r="H1165" s="184" t="s">
        <v>6327</v>
      </c>
      <c r="I1165" s="91" t="s">
        <v>6328</v>
      </c>
      <c r="J1165" s="172" t="s">
        <v>6329</v>
      </c>
      <c r="K1165" s="83" t="s">
        <v>150</v>
      </c>
      <c r="L1165" s="83" t="s">
        <v>151</v>
      </c>
      <c r="M1165" s="83" t="s">
        <v>152</v>
      </c>
      <c r="N1165" s="98" t="s">
        <v>6330</v>
      </c>
      <c r="O1165" s="98" t="s">
        <v>155</v>
      </c>
      <c r="P1165" s="99" t="str">
        <f>IFERROR(__xludf.DUMMYFUNCTION("IFERROR(VLOOKUP(AS1165,IMPORTRANGE(""https://docs.google.com/spreadsheets/d/1juPI-Fb8LD0YtltB2mlGEnp_R3UVu1t3wSFPzgCyHXE/edit?gid=0#gid=0"",""GERAL!A2:C""),3,0),""-"")"),"-")</f>
        <v>-</v>
      </c>
      <c r="Q1165" s="101" t="s">
        <v>156</v>
      </c>
      <c r="R1165" s="98">
        <v>18.0</v>
      </c>
      <c r="S1165" s="98">
        <v>1.0</v>
      </c>
      <c r="T1165" s="98">
        <v>0.0</v>
      </c>
      <c r="U1165" s="98">
        <v>1.0</v>
      </c>
      <c r="V1165" s="98">
        <v>1.0</v>
      </c>
      <c r="W1165" s="98">
        <v>0.0</v>
      </c>
      <c r="X1165" s="98">
        <v>1.0</v>
      </c>
      <c r="Y1165" s="98">
        <v>0.0</v>
      </c>
      <c r="Z1165" s="98">
        <v>1.0</v>
      </c>
      <c r="AA1165" s="98">
        <v>0.0</v>
      </c>
      <c r="AB1165" s="98">
        <v>1.0</v>
      </c>
      <c r="AC1165" s="98">
        <v>0.0</v>
      </c>
      <c r="AD1165" s="98">
        <v>0.0</v>
      </c>
      <c r="AE1165" s="98">
        <v>0.0</v>
      </c>
      <c r="AF1165" s="98">
        <v>1.0</v>
      </c>
      <c r="AG1165" s="98">
        <v>0.0</v>
      </c>
      <c r="AH1165" s="98">
        <v>0.0</v>
      </c>
      <c r="AI1165" s="98">
        <v>0.0</v>
      </c>
      <c r="AJ1165" s="98">
        <v>0.0</v>
      </c>
      <c r="AK1165" s="98">
        <v>1.0</v>
      </c>
      <c r="AL1165" s="98">
        <v>0.0</v>
      </c>
      <c r="AM1165" s="98">
        <v>0.0</v>
      </c>
      <c r="AN1165" s="98">
        <v>0.0</v>
      </c>
      <c r="AO1165" s="98">
        <v>0.0</v>
      </c>
      <c r="AP1165" s="98">
        <v>0.0</v>
      </c>
      <c r="AQ1165" s="83"/>
      <c r="AR1165" s="102">
        <v>46227.0</v>
      </c>
      <c r="AS1165" s="83">
        <v>1124996.0</v>
      </c>
    </row>
    <row r="1166" ht="15.75" customHeight="1">
      <c r="A1166" s="111" t="s">
        <v>1393</v>
      </c>
      <c r="B1166" s="83" t="s">
        <v>2352</v>
      </c>
      <c r="C1166" s="83" t="s">
        <v>164</v>
      </c>
      <c r="D1166" s="112">
        <v>1124996.0</v>
      </c>
      <c r="E1166" s="83">
        <v>1179450.0</v>
      </c>
      <c r="F1166" s="83"/>
      <c r="G1166" s="91" t="str">
        <f>IFERROR(__xludf.DUMMYFUNCTION("XLOOKUP(AS1166,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PLANALTO - DISTRITO DE GERIBA")</f>
        <v>ANEXO - COLÉGIO ESTADUAL DE TEMPO INTEGRAL DE PLANALTO - DISTRITO DE GERIBA</v>
      </c>
      <c r="H1166" s="184" t="s">
        <v>6333</v>
      </c>
      <c r="I1166" s="91" t="s">
        <v>6334</v>
      </c>
      <c r="J1166" s="172" t="s">
        <v>6335</v>
      </c>
      <c r="K1166" s="83" t="s">
        <v>6336</v>
      </c>
      <c r="L1166" s="83" t="s">
        <v>168</v>
      </c>
      <c r="M1166" s="83" t="s">
        <v>169</v>
      </c>
      <c r="N1166" s="115" t="s">
        <v>170</v>
      </c>
      <c r="O1166" s="98" t="s">
        <v>155</v>
      </c>
      <c r="P1166" s="99" t="str">
        <f>IFERROR(__xludf.DUMMYFUNCTION("IFERROR(VLOOKUP(AS1166,IMPORTRANGE(""https://docs.google.com/spreadsheets/d/1juPI-Fb8LD0YtltB2mlGEnp_R3UVu1t3wSFPzgCyHXE/edit?gid=0#gid=0"",""GERAL!A2:C""),3,0),""-"")"),"CAMPO")</f>
        <v>CAMPO</v>
      </c>
      <c r="Q1166" s="98" t="s">
        <v>171</v>
      </c>
      <c r="R1166" s="98">
        <v>3.0</v>
      </c>
      <c r="S1166" s="98" t="s">
        <v>171</v>
      </c>
      <c r="T1166" s="98" t="s">
        <v>171</v>
      </c>
      <c r="U1166" s="98" t="s">
        <v>171</v>
      </c>
      <c r="V1166" s="98" t="s">
        <v>171</v>
      </c>
      <c r="W1166" s="98" t="s">
        <v>171</v>
      </c>
      <c r="X1166" s="98" t="s">
        <v>171</v>
      </c>
      <c r="Y1166" s="98" t="s">
        <v>171</v>
      </c>
      <c r="Z1166" s="98" t="s">
        <v>171</v>
      </c>
      <c r="AA1166" s="98" t="s">
        <v>171</v>
      </c>
      <c r="AB1166" s="98" t="s">
        <v>171</v>
      </c>
      <c r="AC1166" s="98" t="s">
        <v>171</v>
      </c>
      <c r="AD1166" s="98" t="s">
        <v>171</v>
      </c>
      <c r="AE1166" s="98" t="s">
        <v>171</v>
      </c>
      <c r="AF1166" s="98" t="s">
        <v>171</v>
      </c>
      <c r="AG1166" s="98" t="s">
        <v>171</v>
      </c>
      <c r="AH1166" s="98" t="s">
        <v>171</v>
      </c>
      <c r="AI1166" s="98" t="s">
        <v>171</v>
      </c>
      <c r="AJ1166" s="98" t="s">
        <v>171</v>
      </c>
      <c r="AK1166" s="98" t="s">
        <v>171</v>
      </c>
      <c r="AL1166" s="98" t="s">
        <v>171</v>
      </c>
      <c r="AM1166" s="98" t="s">
        <v>171</v>
      </c>
      <c r="AN1166" s="98" t="s">
        <v>171</v>
      </c>
      <c r="AO1166" s="98" t="s">
        <v>171</v>
      </c>
      <c r="AP1166" s="98" t="s">
        <v>171</v>
      </c>
      <c r="AQ1166" s="98" t="s">
        <v>171</v>
      </c>
      <c r="AR1166" s="102">
        <v>46227.0</v>
      </c>
      <c r="AS1166" s="83">
        <v>1179450.0</v>
      </c>
    </row>
    <row r="1167" ht="15.75" customHeight="1">
      <c r="A1167" s="111" t="s">
        <v>1393</v>
      </c>
      <c r="B1167" s="83" t="s">
        <v>2245</v>
      </c>
      <c r="C1167" s="83" t="s">
        <v>68</v>
      </c>
      <c r="D1167" s="112">
        <v>1125186.0</v>
      </c>
      <c r="E1167" s="83"/>
      <c r="F1167" s="83">
        <v>2.9276411E7</v>
      </c>
      <c r="G1167" s="91" t="str">
        <f>IFERROR(__xludf.DUMMYFUNCTION("XLOOKUP(AS1167,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ROBERTO SANTOS
(ANTIGO DR ROBERTO SANTOS)")</f>
        <v>COLÉGIO ESTADUAL DE TEMPO INTEGRAL ROBERTO SANTOS
(ANTIGO DR ROBERTO SANTOS)</v>
      </c>
      <c r="H1167" s="425" t="s">
        <v>6337</v>
      </c>
      <c r="I1167" s="91" t="s">
        <v>6338</v>
      </c>
      <c r="J1167" s="136" t="s">
        <v>6339</v>
      </c>
      <c r="K1167" s="136" t="s">
        <v>150</v>
      </c>
      <c r="L1167" s="83" t="s">
        <v>151</v>
      </c>
      <c r="M1167" s="83" t="s">
        <v>230</v>
      </c>
      <c r="N1167" s="98" t="s">
        <v>6340</v>
      </c>
      <c r="O1167" s="98" t="s">
        <v>162</v>
      </c>
      <c r="P1167" s="99" t="str">
        <f>IFERROR(__xludf.DUMMYFUNCTION("IFERROR(VLOOKUP(AS1167,IMPORTRANGE(""https://docs.google.com/spreadsheets/d/1juPI-Fb8LD0YtltB2mlGEnp_R3UVu1t3wSFPzgCyHXE/edit?gid=0#gid=0"",""GERAL!A2:C""),3,0),""-"")"),"-")</f>
        <v>-</v>
      </c>
      <c r="Q1167" s="83"/>
      <c r="R1167" s="83"/>
      <c r="S1167" s="83"/>
      <c r="T1167" s="83"/>
      <c r="U1167" s="83"/>
      <c r="V1167" s="83"/>
      <c r="W1167" s="83"/>
      <c r="X1167" s="83"/>
      <c r="Y1167" s="83"/>
      <c r="Z1167" s="83"/>
      <c r="AA1167" s="83"/>
      <c r="AB1167" s="83"/>
      <c r="AC1167" s="83"/>
      <c r="AD1167" s="83"/>
      <c r="AE1167" s="83"/>
      <c r="AF1167" s="83"/>
      <c r="AG1167" s="83"/>
      <c r="AH1167" s="83"/>
      <c r="AI1167" s="83"/>
      <c r="AJ1167" s="83"/>
      <c r="AK1167" s="83"/>
      <c r="AL1167" s="83"/>
      <c r="AM1167" s="83"/>
      <c r="AN1167" s="83"/>
      <c r="AO1167" s="83"/>
      <c r="AP1167" s="83"/>
      <c r="AQ1167" s="83"/>
      <c r="AR1167" s="83"/>
      <c r="AS1167" s="83">
        <v>1125186.0</v>
      </c>
    </row>
    <row r="1168" ht="15.75" customHeight="1">
      <c r="A1168" s="111" t="s">
        <v>1393</v>
      </c>
      <c r="B1168" s="83" t="s">
        <v>2245</v>
      </c>
      <c r="C1168" s="83" t="s">
        <v>68</v>
      </c>
      <c r="D1168" s="112">
        <v>1125062.0</v>
      </c>
      <c r="E1168" s="83"/>
      <c r="F1168" s="83">
        <v>2.927723E7</v>
      </c>
      <c r="G1168" s="91" t="str">
        <f>IFERROR(__xludf.DUMMYFUNCTION("XLOOKUP(AS1168,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EURIDES SANTANA")</f>
        <v>COLÉGIO ESTADUAL DE TEMPO INTEGRAL EURIDES SANTANA</v>
      </c>
      <c r="H1168" s="184" t="s">
        <v>6341</v>
      </c>
      <c r="I1168" s="91" t="s">
        <v>6342</v>
      </c>
      <c r="J1168" s="136" t="s">
        <v>4065</v>
      </c>
      <c r="K1168" s="136" t="s">
        <v>150</v>
      </c>
      <c r="L1168" s="83" t="s">
        <v>151</v>
      </c>
      <c r="M1168" s="83" t="s">
        <v>152</v>
      </c>
      <c r="N1168" s="98" t="s">
        <v>6343</v>
      </c>
      <c r="O1168" s="98" t="s">
        <v>155</v>
      </c>
      <c r="P1168" s="99" t="str">
        <f>IFERROR(__xludf.DUMMYFUNCTION("IFERROR(VLOOKUP(AS1168,IMPORTRANGE(""https://docs.google.com/spreadsheets/d/1juPI-Fb8LD0YtltB2mlGEnp_R3UVu1t3wSFPzgCyHXE/edit?gid=0#gid=0"",""GERAL!A2:C""),3,0),""-"")"),"-")</f>
        <v>-</v>
      </c>
      <c r="Q1168" s="83"/>
      <c r="R1168" s="83"/>
      <c r="S1168" s="83"/>
      <c r="T1168" s="83"/>
      <c r="U1168" s="83"/>
      <c r="V1168" s="83"/>
      <c r="W1168" s="83"/>
      <c r="X1168" s="83"/>
      <c r="Y1168" s="83"/>
      <c r="Z1168" s="83"/>
      <c r="AA1168" s="83"/>
      <c r="AB1168" s="83"/>
      <c r="AC1168" s="83"/>
      <c r="AD1168" s="83"/>
      <c r="AE1168" s="83"/>
      <c r="AF1168" s="83"/>
      <c r="AG1168" s="83"/>
      <c r="AH1168" s="83"/>
      <c r="AI1168" s="83"/>
      <c r="AJ1168" s="83"/>
      <c r="AK1168" s="83"/>
      <c r="AL1168" s="83"/>
      <c r="AM1168" s="83"/>
      <c r="AN1168" s="83"/>
      <c r="AO1168" s="83"/>
      <c r="AP1168" s="83"/>
      <c r="AQ1168" s="83"/>
      <c r="AR1168" s="83"/>
      <c r="AS1168" s="83">
        <v>1125062.0</v>
      </c>
    </row>
    <row r="1169" ht="15.75" customHeight="1">
      <c r="A1169" s="111" t="s">
        <v>1393</v>
      </c>
      <c r="B1169" s="83" t="s">
        <v>2245</v>
      </c>
      <c r="C1169" s="83" t="s">
        <v>164</v>
      </c>
      <c r="D1169" s="112">
        <v>1179285.0</v>
      </c>
      <c r="E1169" s="83">
        <v>1179428.0</v>
      </c>
      <c r="F1169" s="83"/>
      <c r="G1169" s="91" t="str">
        <f>IFERROR(__xludf.DUMMYFUNCTION("XLOOKUP(AS1169,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DISTRITO ROCADO GRANDE")</f>
        <v>ANEXO - CEMIT VITORIA DA CONQUISTA - DISTRITO ROCADO GRANDE</v>
      </c>
      <c r="H1169" s="185" t="s">
        <v>6344</v>
      </c>
      <c r="I1169" s="91" t="s">
        <v>6345</v>
      </c>
      <c r="J1169" s="83" t="s">
        <v>149</v>
      </c>
      <c r="K1169" s="83" t="s">
        <v>6346</v>
      </c>
      <c r="L1169" s="83" t="s">
        <v>168</v>
      </c>
      <c r="M1169" s="83" t="s">
        <v>169</v>
      </c>
      <c r="N1169" s="115" t="s">
        <v>170</v>
      </c>
      <c r="O1169" s="98" t="s">
        <v>155</v>
      </c>
      <c r="P1169" s="99" t="str">
        <f>IFERROR(__xludf.DUMMYFUNCTION("IFERROR(VLOOKUP(AS1169,IMPORTRANGE(""https://docs.google.com/spreadsheets/d/1juPI-Fb8LD0YtltB2mlGEnp_R3UVu1t3wSFPzgCyHXE/edit?gid=0#gid=0"",""GERAL!A2:C""),3,0),""-"")"),"-")</f>
        <v>-</v>
      </c>
      <c r="Q1169" s="83"/>
      <c r="R1169" s="83"/>
      <c r="S1169" s="83"/>
      <c r="T1169" s="83"/>
      <c r="U1169" s="83"/>
      <c r="V1169" s="83"/>
      <c r="W1169" s="83"/>
      <c r="X1169" s="83"/>
      <c r="Y1169" s="83"/>
      <c r="Z1169" s="83"/>
      <c r="AA1169" s="83"/>
      <c r="AB1169" s="83"/>
      <c r="AC1169" s="83"/>
      <c r="AD1169" s="83"/>
      <c r="AE1169" s="83"/>
      <c r="AF1169" s="83"/>
      <c r="AG1169" s="83"/>
      <c r="AH1169" s="83"/>
      <c r="AI1169" s="83"/>
      <c r="AJ1169" s="83"/>
      <c r="AK1169" s="83"/>
      <c r="AL1169" s="83"/>
      <c r="AM1169" s="83"/>
      <c r="AN1169" s="83"/>
      <c r="AO1169" s="83"/>
      <c r="AP1169" s="83"/>
      <c r="AQ1169" s="83"/>
      <c r="AR1169" s="83"/>
      <c r="AS1169" s="83">
        <v>1179428.0</v>
      </c>
    </row>
    <row r="1170" ht="15.75" customHeight="1">
      <c r="A1170" s="111" t="s">
        <v>1393</v>
      </c>
      <c r="B1170" s="83" t="s">
        <v>2245</v>
      </c>
      <c r="C1170" s="83" t="s">
        <v>164</v>
      </c>
      <c r="D1170" s="112">
        <v>1179285.0</v>
      </c>
      <c r="E1170" s="83">
        <v>1179429.0</v>
      </c>
      <c r="F1170" s="83"/>
      <c r="G1170" s="91" t="str">
        <f>IFERROR(__xludf.DUMMYFUNCTION("XLOOKUP(AS1170,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DISTRITO DE BANDEIRA NOVA")</f>
        <v>ANEXO - CEMIT VITORIA DA CONQUISTA - DISTRITO DE BANDEIRA NOVA</v>
      </c>
      <c r="H1170" s="185" t="s">
        <v>6347</v>
      </c>
      <c r="I1170" s="91" t="s">
        <v>6345</v>
      </c>
      <c r="J1170" s="136" t="s">
        <v>149</v>
      </c>
      <c r="K1170" s="136" t="s">
        <v>2752</v>
      </c>
      <c r="L1170" s="83" t="s">
        <v>168</v>
      </c>
      <c r="M1170" s="83" t="s">
        <v>169</v>
      </c>
      <c r="N1170" s="115" t="s">
        <v>170</v>
      </c>
      <c r="O1170" s="98" t="s">
        <v>155</v>
      </c>
      <c r="P1170" s="99" t="str">
        <f>IFERROR(__xludf.DUMMYFUNCTION("IFERROR(VLOOKUP(AS1170,IMPORTRANGE(""https://docs.google.com/spreadsheets/d/1juPI-Fb8LD0YtltB2mlGEnp_R3UVu1t3wSFPzgCyHXE/edit?gid=0#gid=0"",""GERAL!A2:C""),3,0),""-"")"),"-")</f>
        <v>-</v>
      </c>
      <c r="Q1170" s="83"/>
      <c r="R1170" s="83"/>
      <c r="S1170" s="83"/>
      <c r="T1170" s="83"/>
      <c r="U1170" s="83"/>
      <c r="V1170" s="83"/>
      <c r="W1170" s="83"/>
      <c r="X1170" s="83"/>
      <c r="Y1170" s="83"/>
      <c r="Z1170" s="83"/>
      <c r="AA1170" s="83"/>
      <c r="AB1170" s="83"/>
      <c r="AC1170" s="83"/>
      <c r="AD1170" s="83"/>
      <c r="AE1170" s="83"/>
      <c r="AF1170" s="83"/>
      <c r="AG1170" s="83"/>
      <c r="AH1170" s="83"/>
      <c r="AI1170" s="83"/>
      <c r="AJ1170" s="83"/>
      <c r="AK1170" s="83"/>
      <c r="AL1170" s="83"/>
      <c r="AM1170" s="83"/>
      <c r="AN1170" s="83"/>
      <c r="AO1170" s="83"/>
      <c r="AP1170" s="83"/>
      <c r="AQ1170" s="83"/>
      <c r="AR1170" s="83"/>
      <c r="AS1170" s="83">
        <v>1179429.0</v>
      </c>
    </row>
    <row r="1171" ht="15.75" customHeight="1">
      <c r="A1171" s="111" t="s">
        <v>1393</v>
      </c>
      <c r="B1171" s="83" t="s">
        <v>2245</v>
      </c>
      <c r="C1171" s="83" t="s">
        <v>164</v>
      </c>
      <c r="D1171" s="112">
        <v>1179285.0</v>
      </c>
      <c r="E1171" s="83">
        <v>1178771.0</v>
      </c>
      <c r="F1171" s="83"/>
      <c r="G1171" s="91" t="str">
        <f>IFERROR(__xludf.DUMMYFUNCTION("XLOOKUP(AS1171,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 DE LAGOA DA SERRA")</f>
        <v>ANEXO - CEMIT VITORIA DA CONQUISTA - DIST. DE LAGOA DA SERRA</v>
      </c>
      <c r="H1171" s="185" t="s">
        <v>6348</v>
      </c>
      <c r="I1171" s="91" t="s">
        <v>6349</v>
      </c>
      <c r="J1171" s="136" t="s">
        <v>149</v>
      </c>
      <c r="K1171" s="136" t="s">
        <v>6350</v>
      </c>
      <c r="L1171" s="83" t="s">
        <v>168</v>
      </c>
      <c r="M1171" s="83" t="s">
        <v>169</v>
      </c>
      <c r="N1171" s="115" t="s">
        <v>170</v>
      </c>
      <c r="O1171" s="98" t="s">
        <v>155</v>
      </c>
      <c r="P1171" s="99" t="str">
        <f>IFERROR(__xludf.DUMMYFUNCTION("IFERROR(VLOOKUP(AS1171,IMPORTRANGE(""https://docs.google.com/spreadsheets/d/1juPI-Fb8LD0YtltB2mlGEnp_R3UVu1t3wSFPzgCyHXE/edit?gid=0#gid=0"",""GERAL!A2:C""),3,0),""-"")"),"-")</f>
        <v>-</v>
      </c>
      <c r="Q1171" s="83"/>
      <c r="R1171" s="83"/>
      <c r="S1171" s="83"/>
      <c r="T1171" s="83"/>
      <c r="U1171" s="83"/>
      <c r="V1171" s="83"/>
      <c r="W1171" s="83"/>
      <c r="X1171" s="83"/>
      <c r="Y1171" s="83"/>
      <c r="Z1171" s="83"/>
      <c r="AA1171" s="83"/>
      <c r="AB1171" s="83"/>
      <c r="AC1171" s="83"/>
      <c r="AD1171" s="83"/>
      <c r="AE1171" s="83"/>
      <c r="AF1171" s="83"/>
      <c r="AG1171" s="83"/>
      <c r="AH1171" s="83"/>
      <c r="AI1171" s="83"/>
      <c r="AJ1171" s="83"/>
      <c r="AK1171" s="83"/>
      <c r="AL1171" s="83"/>
      <c r="AM1171" s="83"/>
      <c r="AN1171" s="83"/>
      <c r="AO1171" s="83"/>
      <c r="AP1171" s="83"/>
      <c r="AQ1171" s="83"/>
      <c r="AR1171" s="83"/>
      <c r="AS1171" s="83">
        <v>1178771.0</v>
      </c>
    </row>
    <row r="1172" ht="15.75" customHeight="1">
      <c r="A1172" s="111" t="s">
        <v>1393</v>
      </c>
      <c r="B1172" s="83" t="s">
        <v>6351</v>
      </c>
      <c r="C1172" s="83" t="s">
        <v>68</v>
      </c>
      <c r="D1172" s="112">
        <v>1178071.0</v>
      </c>
      <c r="E1172" s="83"/>
      <c r="F1172" s="83">
        <v>2.9428556E7</v>
      </c>
      <c r="G1172" s="91" t="str">
        <f>IFERROR(__xludf.DUMMYFUNCTION("XLOOKUP(AS1172,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ERALDO TINOCO - TEMPO INTEGRAL")</f>
        <v>COLÉGIO ESTADUAL DO CAMPO ERALDO TINOCO - TEMPO INTEGRAL</v>
      </c>
      <c r="H1172" s="119" t="s">
        <v>6352</v>
      </c>
      <c r="I1172" s="91" t="s">
        <v>6353</v>
      </c>
      <c r="J1172" s="83" t="s">
        <v>149</v>
      </c>
      <c r="K1172" s="83" t="s">
        <v>150</v>
      </c>
      <c r="L1172" s="83" t="s">
        <v>151</v>
      </c>
      <c r="M1172" s="83" t="s">
        <v>152</v>
      </c>
      <c r="N1172" s="98" t="s">
        <v>6354</v>
      </c>
      <c r="O1172" s="98" t="s">
        <v>155</v>
      </c>
      <c r="P1172" s="99" t="str">
        <f>IFERROR(__xludf.DUMMYFUNCTION("IFERROR(VLOOKUP(AS1172,IMPORTRANGE(""https://docs.google.com/spreadsheets/d/1juPI-Fb8LD0YtltB2mlGEnp_R3UVu1t3wSFPzgCyHXE/edit?gid=0#gid=0"",""GERAL!A2:C""),3,0),""-"")"),"CAMPO")</f>
        <v>CAMPO</v>
      </c>
      <c r="Q1172" s="83"/>
      <c r="R1172" s="83"/>
      <c r="S1172" s="83"/>
      <c r="T1172" s="83"/>
      <c r="U1172" s="83"/>
      <c r="V1172" s="83"/>
      <c r="W1172" s="83"/>
      <c r="X1172" s="83"/>
      <c r="Y1172" s="83"/>
      <c r="Z1172" s="83"/>
      <c r="AA1172" s="83"/>
      <c r="AB1172" s="83"/>
      <c r="AC1172" s="83"/>
      <c r="AD1172" s="83"/>
      <c r="AE1172" s="83"/>
      <c r="AF1172" s="83"/>
      <c r="AG1172" s="83"/>
      <c r="AH1172" s="83"/>
      <c r="AI1172" s="83"/>
      <c r="AJ1172" s="83"/>
      <c r="AK1172" s="83"/>
      <c r="AL1172" s="83"/>
      <c r="AM1172" s="83"/>
      <c r="AN1172" s="83"/>
      <c r="AO1172" s="83"/>
      <c r="AP1172" s="83"/>
      <c r="AQ1172" s="83"/>
      <c r="AR1172" s="83"/>
      <c r="AS1172" s="83">
        <v>1178071.0</v>
      </c>
    </row>
    <row r="1173" ht="15.75" customHeight="1">
      <c r="A1173" s="111" t="s">
        <v>1393</v>
      </c>
      <c r="B1173" s="83" t="s">
        <v>6361</v>
      </c>
      <c r="C1173" s="83" t="s">
        <v>68</v>
      </c>
      <c r="D1173" s="112">
        <v>1124929.0</v>
      </c>
      <c r="E1173" s="83"/>
      <c r="F1173" s="83">
        <v>2.9285291E7</v>
      </c>
      <c r="G1173" s="91" t="str">
        <f>IFERROR(__xludf.DUMMYFUNCTION("XLOOKUP(AS1173,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ANTÔNIO GONÇALVES")</f>
        <v>COLÉGIO ESTADUAL DE TEMPO INTEGRAL ANTÔNIO GONÇALVES</v>
      </c>
      <c r="H1173" s="119" t="s">
        <v>6362</v>
      </c>
      <c r="I1173" s="91" t="s">
        <v>6363</v>
      </c>
      <c r="J1173" s="136" t="s">
        <v>149</v>
      </c>
      <c r="K1173" s="136" t="s">
        <v>150</v>
      </c>
      <c r="L1173" s="83" t="s">
        <v>151</v>
      </c>
      <c r="M1173" s="83" t="s">
        <v>76</v>
      </c>
      <c r="N1173" s="98" t="s">
        <v>6364</v>
      </c>
      <c r="O1173" s="98" t="s">
        <v>155</v>
      </c>
      <c r="P1173" s="99" t="str">
        <f>IFERROR(__xludf.DUMMYFUNCTION("IFERROR(VLOOKUP(AS1173,IMPORTRANGE(""https://docs.google.com/spreadsheets/d/1juPI-Fb8LD0YtltB2mlGEnp_R3UVu1t3wSFPzgCyHXE/edit?gid=0#gid=0"",""GERAL!A2:C""),3,0),""-"")"),"-")</f>
        <v>-</v>
      </c>
      <c r="Q1173" s="83"/>
      <c r="R1173" s="83"/>
      <c r="S1173" s="83"/>
      <c r="T1173" s="83"/>
      <c r="U1173" s="83"/>
      <c r="V1173" s="83"/>
      <c r="W1173" s="83"/>
      <c r="X1173" s="83"/>
      <c r="Y1173" s="83"/>
      <c r="Z1173" s="83"/>
      <c r="AA1173" s="83"/>
      <c r="AB1173" s="83"/>
      <c r="AC1173" s="83"/>
      <c r="AD1173" s="83"/>
      <c r="AE1173" s="83"/>
      <c r="AF1173" s="83"/>
      <c r="AG1173" s="83"/>
      <c r="AH1173" s="83"/>
      <c r="AI1173" s="83"/>
      <c r="AJ1173" s="83"/>
      <c r="AK1173" s="83"/>
      <c r="AL1173" s="83"/>
      <c r="AM1173" s="83"/>
      <c r="AN1173" s="83"/>
      <c r="AO1173" s="83"/>
      <c r="AP1173" s="83"/>
      <c r="AQ1173" s="83"/>
      <c r="AR1173" s="83"/>
      <c r="AS1173" s="83">
        <v>1124929.0</v>
      </c>
    </row>
    <row r="1174" ht="15.75" customHeight="1">
      <c r="A1174" s="111" t="s">
        <v>1393</v>
      </c>
      <c r="B1174" s="83" t="s">
        <v>6361</v>
      </c>
      <c r="C1174" s="83" t="s">
        <v>164</v>
      </c>
      <c r="D1174" s="112">
        <v>1179113.0</v>
      </c>
      <c r="E1174" s="83">
        <v>1179164.0</v>
      </c>
      <c r="F1174" s="83">
        <v>2.9449332E7</v>
      </c>
      <c r="G1174" s="91" t="str">
        <f>IFERROR(__xludf.DUMMYFUNCTION("XLOOKUP(AS1174,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LUCIA ROCHA MACEDO - ASSENTAMENTO BOA SORTE")</f>
        <v>ANEXO - COLÉGIO ESTADUAL DO CAMPO LUCIA ROCHA MACEDO - ASSENTAMENTO BOA SORTE</v>
      </c>
      <c r="H1174" s="119" t="s">
        <v>6366</v>
      </c>
      <c r="I1174" s="91" t="s">
        <v>6367</v>
      </c>
      <c r="J1174" s="136" t="s">
        <v>149</v>
      </c>
      <c r="K1174" s="136" t="s">
        <v>6368</v>
      </c>
      <c r="L1174" s="83" t="s">
        <v>151</v>
      </c>
      <c r="M1174" s="83" t="s">
        <v>169</v>
      </c>
      <c r="N1174" s="115" t="s">
        <v>170</v>
      </c>
      <c r="O1174" s="98" t="s">
        <v>155</v>
      </c>
      <c r="P1174" s="99" t="str">
        <f>IFERROR(__xludf.DUMMYFUNCTION("IFERROR(VLOOKUP(AS1174,IMPORTRANGE(""https://docs.google.com/spreadsheets/d/1juPI-Fb8LD0YtltB2mlGEnp_R3UVu1t3wSFPzgCyHXE/edit?gid=0#gid=0"",""GERAL!A2:C""),3,0),""-"")"),"ASSENTAMENTOS")</f>
        <v>ASSENTAMENTOS</v>
      </c>
      <c r="Q1174" s="83"/>
      <c r="R1174" s="83"/>
      <c r="S1174" s="83"/>
      <c r="T1174" s="83"/>
      <c r="U1174" s="83"/>
      <c r="V1174" s="83"/>
      <c r="W1174" s="83"/>
      <c r="X1174" s="83"/>
      <c r="Y1174" s="83"/>
      <c r="Z1174" s="83"/>
      <c r="AA1174" s="83"/>
      <c r="AB1174" s="83"/>
      <c r="AC1174" s="83"/>
      <c r="AD1174" s="83"/>
      <c r="AE1174" s="83"/>
      <c r="AF1174" s="83"/>
      <c r="AG1174" s="83"/>
      <c r="AH1174" s="83"/>
      <c r="AI1174" s="83"/>
      <c r="AJ1174" s="83"/>
      <c r="AK1174" s="83"/>
      <c r="AL1174" s="83"/>
      <c r="AM1174" s="83"/>
      <c r="AN1174" s="83"/>
      <c r="AO1174" s="83"/>
      <c r="AP1174" s="83"/>
      <c r="AQ1174" s="83"/>
      <c r="AR1174" s="83"/>
      <c r="AS1174" s="83">
        <v>1179164.0</v>
      </c>
    </row>
    <row r="1175" ht="15.75" customHeight="1">
      <c r="A1175" s="111" t="s">
        <v>1393</v>
      </c>
      <c r="B1175" s="83" t="s">
        <v>6361</v>
      </c>
      <c r="C1175" s="83" t="s">
        <v>164</v>
      </c>
      <c r="D1175" s="112">
        <v>1124929.0</v>
      </c>
      <c r="E1175" s="83">
        <v>1178774.0</v>
      </c>
      <c r="F1175" s="83"/>
      <c r="G1175" s="91" t="str">
        <f>IFERROR(__xludf.DUMMYFUNCTION("XLOOKUP(AS1175,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ANTÔNIO GONÇALVES - DISTRITO NOVA BRASÍLIA")</f>
        <v>ANEXO - COLÉGIO ESTADUAL DE TEMPO INTEGRAL ANTÔNIO GONÇALVES - DISTRITO NOVA BRASÍLIA</v>
      </c>
      <c r="H1175" s="218" t="s">
        <v>6369</v>
      </c>
      <c r="I1175" s="91" t="s">
        <v>6370</v>
      </c>
      <c r="J1175" s="136" t="s">
        <v>149</v>
      </c>
      <c r="K1175" s="136" t="s">
        <v>6371</v>
      </c>
      <c r="L1175" s="83" t="s">
        <v>151</v>
      </c>
      <c r="M1175" s="83" t="s">
        <v>169</v>
      </c>
      <c r="N1175" s="115" t="s">
        <v>170</v>
      </c>
      <c r="O1175" s="98" t="s">
        <v>155</v>
      </c>
      <c r="P1175" s="99" t="str">
        <f>IFERROR(__xludf.DUMMYFUNCTION("IFERROR(VLOOKUP(AS1175,IMPORTRANGE(""https://docs.google.com/spreadsheets/d/1juPI-Fb8LD0YtltB2mlGEnp_R3UVu1t3wSFPzgCyHXE/edit?gid=0#gid=0"",""GERAL!A2:C""),3,0),""-"")"),"CAMPO")</f>
        <v>CAMPO</v>
      </c>
      <c r="Q1175" s="83"/>
      <c r="R1175" s="83"/>
      <c r="S1175" s="83"/>
      <c r="T1175" s="83"/>
      <c r="U1175" s="83"/>
      <c r="V1175" s="83"/>
      <c r="W1175" s="83"/>
      <c r="X1175" s="83"/>
      <c r="Y1175" s="83"/>
      <c r="Z1175" s="83"/>
      <c r="AA1175" s="83"/>
      <c r="AB1175" s="83"/>
      <c r="AC1175" s="83"/>
      <c r="AD1175" s="83"/>
      <c r="AE1175" s="83"/>
      <c r="AF1175" s="83"/>
      <c r="AG1175" s="83"/>
      <c r="AH1175" s="83"/>
      <c r="AI1175" s="83"/>
      <c r="AJ1175" s="83"/>
      <c r="AK1175" s="83"/>
      <c r="AL1175" s="83"/>
      <c r="AM1175" s="83"/>
      <c r="AN1175" s="83"/>
      <c r="AO1175" s="83"/>
      <c r="AP1175" s="83"/>
      <c r="AQ1175" s="83"/>
      <c r="AR1175" s="83"/>
      <c r="AS1175" s="83">
        <v>1178774.0</v>
      </c>
    </row>
    <row r="1176" ht="15.75" customHeight="1">
      <c r="A1176" s="111" t="s">
        <v>1393</v>
      </c>
      <c r="B1176" s="83" t="s">
        <v>6361</v>
      </c>
      <c r="C1176" s="83" t="s">
        <v>164</v>
      </c>
      <c r="D1176" s="112">
        <v>1179285.0</v>
      </c>
      <c r="E1176" s="83">
        <v>1178775.0</v>
      </c>
      <c r="F1176" s="83"/>
      <c r="G1176" s="91" t="str">
        <f>IFERROR(__xludf.DUMMYFUNCTION("XLOOKUP(AS1176,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 DISTRITO DE CACHOEIRA")</f>
        <v>ANEXO - CEMIT VITORIA DA CONQUISTA - DISTRITO DE CACHOEIRA</v>
      </c>
      <c r="H1176" s="114" t="s">
        <v>6373</v>
      </c>
      <c r="I1176" s="91" t="s">
        <v>6374</v>
      </c>
      <c r="J1176" s="136" t="s">
        <v>149</v>
      </c>
      <c r="K1176" s="136" t="s">
        <v>3271</v>
      </c>
      <c r="L1176" s="83" t="s">
        <v>168</v>
      </c>
      <c r="M1176" s="83" t="s">
        <v>169</v>
      </c>
      <c r="N1176" s="115" t="s">
        <v>170</v>
      </c>
      <c r="O1176" s="98" t="s">
        <v>155</v>
      </c>
      <c r="P1176" s="99" t="str">
        <f>IFERROR(__xludf.DUMMYFUNCTION("IFERROR(VLOOKUP(AS1176,IMPORTRANGE(""https://docs.google.com/spreadsheets/d/1juPI-Fb8LD0YtltB2mlGEnp_R3UVu1t3wSFPzgCyHXE/edit?gid=0#gid=0"",""GERAL!A2:C""),3,0),""-"")"),"-")</f>
        <v>-</v>
      </c>
      <c r="Q1176" s="83"/>
      <c r="R1176" s="83"/>
      <c r="S1176" s="83"/>
      <c r="T1176" s="83"/>
      <c r="U1176" s="83"/>
      <c r="V1176" s="83"/>
      <c r="W1176" s="83"/>
      <c r="X1176" s="83"/>
      <c r="Y1176" s="83"/>
      <c r="Z1176" s="83"/>
      <c r="AA1176" s="83"/>
      <c r="AB1176" s="83"/>
      <c r="AC1176" s="83"/>
      <c r="AD1176" s="83"/>
      <c r="AE1176" s="83"/>
      <c r="AF1176" s="83"/>
      <c r="AG1176" s="83"/>
      <c r="AH1176" s="83"/>
      <c r="AI1176" s="83"/>
      <c r="AJ1176" s="83"/>
      <c r="AK1176" s="83"/>
      <c r="AL1176" s="83"/>
      <c r="AM1176" s="83"/>
      <c r="AN1176" s="83"/>
      <c r="AO1176" s="83"/>
      <c r="AP1176" s="83"/>
      <c r="AQ1176" s="83"/>
      <c r="AR1176" s="83"/>
      <c r="AS1176" s="83">
        <v>1178775.0</v>
      </c>
    </row>
    <row r="1177" ht="15.75" customHeight="1">
      <c r="A1177" s="111" t="s">
        <v>1393</v>
      </c>
      <c r="B1177" s="83" t="s">
        <v>6375</v>
      </c>
      <c r="C1177" s="83" t="s">
        <v>68</v>
      </c>
      <c r="D1177" s="112">
        <v>1178248.0</v>
      </c>
      <c r="E1177" s="83"/>
      <c r="F1177" s="83">
        <v>2.9265932E7</v>
      </c>
      <c r="G1177" s="91" t="str">
        <f>IFERROR(__xludf.DUMMYFUNCTION("XLOOKUP(AS1177,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MARIETA PEREIRA DOS SANTOS - TEMPO INTEGRAL")</f>
        <v>COLÉGIO ESTADUAL MARIETA PEREIRA DOS SANTOS - TEMPO INTEGRAL</v>
      </c>
      <c r="H1177" s="119" t="s">
        <v>6377</v>
      </c>
      <c r="I1177" s="91" t="s">
        <v>6378</v>
      </c>
      <c r="J1177" s="172" t="s">
        <v>149</v>
      </c>
      <c r="K1177" s="83" t="s">
        <v>150</v>
      </c>
      <c r="L1177" s="83" t="s">
        <v>151</v>
      </c>
      <c r="M1177" s="98" t="s">
        <v>230</v>
      </c>
      <c r="N1177" s="98" t="s">
        <v>6379</v>
      </c>
      <c r="O1177" s="98" t="s">
        <v>155</v>
      </c>
      <c r="P1177" s="99" t="str">
        <f>IFERROR(__xludf.DUMMYFUNCTION("IFERROR(VLOOKUP(AS1177,IMPORTRANGE(""https://docs.google.com/spreadsheets/d/1juPI-Fb8LD0YtltB2mlGEnp_R3UVu1t3wSFPzgCyHXE/edit?gid=0#gid=0"",""GERAL!A2:C""),3,0),""-"")"),"-")</f>
        <v>-</v>
      </c>
      <c r="Q1177" s="83"/>
      <c r="R1177" s="83"/>
      <c r="S1177" s="83"/>
      <c r="T1177" s="83"/>
      <c r="U1177" s="83"/>
      <c r="V1177" s="83"/>
      <c r="W1177" s="83"/>
      <c r="X1177" s="83"/>
      <c r="Y1177" s="83"/>
      <c r="Z1177" s="83"/>
      <c r="AA1177" s="83"/>
      <c r="AB1177" s="83"/>
      <c r="AC1177" s="83"/>
      <c r="AD1177" s="83"/>
      <c r="AE1177" s="83"/>
      <c r="AF1177" s="83"/>
      <c r="AG1177" s="83"/>
      <c r="AH1177" s="83"/>
      <c r="AI1177" s="83"/>
      <c r="AJ1177" s="83"/>
      <c r="AK1177" s="83"/>
      <c r="AL1177" s="83"/>
      <c r="AM1177" s="83"/>
      <c r="AN1177" s="83"/>
      <c r="AO1177" s="83"/>
      <c r="AP1177" s="83"/>
      <c r="AQ1177" s="83"/>
      <c r="AR1177" s="83"/>
      <c r="AS1177" s="83">
        <v>1178248.0</v>
      </c>
    </row>
    <row r="1178" ht="15.75" customHeight="1">
      <c r="A1178" s="111" t="s">
        <v>1393</v>
      </c>
      <c r="B1178" s="83" t="s">
        <v>6375</v>
      </c>
      <c r="C1178" s="83" t="s">
        <v>164</v>
      </c>
      <c r="D1178" s="112">
        <v>1178248.0</v>
      </c>
      <c r="E1178" s="83">
        <v>1178776.0</v>
      </c>
      <c r="F1178" s="83"/>
      <c r="G1178" s="91" t="str">
        <f>IFERROR(__xludf.DUMMYFUNCTION("XLOOKUP(AS1178,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 MARIETA PEREIRA DOS SANTOS - DIST. FURADO DA CANCELA")</f>
        <v>ANEXO - COLÉGIO EST. MARIETA PEREIRA DOS SANTOS - DIST. FURADO DA CANCELA</v>
      </c>
      <c r="H1178" s="119" t="s">
        <v>6380</v>
      </c>
      <c r="I1178" s="91" t="s">
        <v>6381</v>
      </c>
      <c r="J1178" s="172" t="s">
        <v>6382</v>
      </c>
      <c r="K1178" s="83" t="s">
        <v>187</v>
      </c>
      <c r="L1178" s="83" t="s">
        <v>168</v>
      </c>
      <c r="M1178" s="83" t="s">
        <v>169</v>
      </c>
      <c r="N1178" s="115" t="s">
        <v>170</v>
      </c>
      <c r="O1178" s="98" t="s">
        <v>155</v>
      </c>
      <c r="P1178" s="99" t="str">
        <f>IFERROR(__xludf.DUMMYFUNCTION("IFERROR(VLOOKUP(AS1178,IMPORTRANGE(""https://docs.google.com/spreadsheets/d/1juPI-Fb8LD0YtltB2mlGEnp_R3UVu1t3wSFPzgCyHXE/edit?gid=0#gid=0"",""GERAL!A2:C""),3,0),""-"")"),"CAMPO")</f>
        <v>CAMPO</v>
      </c>
      <c r="Q1178" s="83"/>
      <c r="R1178" s="83"/>
      <c r="S1178" s="83"/>
      <c r="T1178" s="83"/>
      <c r="U1178" s="83"/>
      <c r="V1178" s="83"/>
      <c r="W1178" s="83"/>
      <c r="X1178" s="83"/>
      <c r="Y1178" s="83"/>
      <c r="Z1178" s="83"/>
      <c r="AA1178" s="83"/>
      <c r="AB1178" s="83"/>
      <c r="AC1178" s="83"/>
      <c r="AD1178" s="83"/>
      <c r="AE1178" s="83"/>
      <c r="AF1178" s="83"/>
      <c r="AG1178" s="83"/>
      <c r="AH1178" s="83"/>
      <c r="AI1178" s="83"/>
      <c r="AJ1178" s="83"/>
      <c r="AK1178" s="83"/>
      <c r="AL1178" s="83"/>
      <c r="AM1178" s="83"/>
      <c r="AN1178" s="83"/>
      <c r="AO1178" s="83"/>
      <c r="AP1178" s="83"/>
      <c r="AQ1178" s="83"/>
      <c r="AR1178" s="83"/>
      <c r="AS1178" s="83">
        <v>1178776.0</v>
      </c>
    </row>
    <row r="1179" ht="15.75" customHeight="1">
      <c r="A1179" s="111" t="s">
        <v>1393</v>
      </c>
      <c r="B1179" s="83" t="s">
        <v>6375</v>
      </c>
      <c r="C1179" s="83" t="s">
        <v>164</v>
      </c>
      <c r="D1179" s="112">
        <v>1178248.0</v>
      </c>
      <c r="E1179" s="83">
        <v>1178777.0</v>
      </c>
      <c r="F1179" s="83"/>
      <c r="G1179" s="91" t="str">
        <f>IFERROR(__xludf.DUMMYFUNCTION("XLOOKUP(AS1179,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 ESTADUAL MARIETA PEREIRA DOS SANTOS - DIST. LAGOA PRETA")</f>
        <v>ANEXO - COL. ESTADUAL MARIETA PEREIRA DOS SANTOS - DIST. LAGOA PRETA</v>
      </c>
      <c r="H1179" s="114" t="s">
        <v>6388</v>
      </c>
      <c r="I1179" s="91" t="s">
        <v>6389</v>
      </c>
      <c r="J1179" s="172" t="s">
        <v>6390</v>
      </c>
      <c r="K1179" s="83" t="s">
        <v>6391</v>
      </c>
      <c r="L1179" s="83" t="s">
        <v>168</v>
      </c>
      <c r="M1179" s="83" t="s">
        <v>169</v>
      </c>
      <c r="N1179" s="115" t="s">
        <v>170</v>
      </c>
      <c r="O1179" s="98" t="s">
        <v>155</v>
      </c>
      <c r="P1179" s="99" t="str">
        <f>IFERROR(__xludf.DUMMYFUNCTION("IFERROR(VLOOKUP(AS1179,IMPORTRANGE(""https://docs.google.com/spreadsheets/d/1juPI-Fb8LD0YtltB2mlGEnp_R3UVu1t3wSFPzgCyHXE/edit?gid=0#gid=0"",""GERAL!A2:C""),3,0),""-"")"),"CAMPO")</f>
        <v>CAMPO</v>
      </c>
      <c r="Q1179" s="83"/>
      <c r="R1179" s="83"/>
      <c r="S1179" s="83"/>
      <c r="T1179" s="83"/>
      <c r="U1179" s="83"/>
      <c r="V1179" s="83"/>
      <c r="W1179" s="83"/>
      <c r="X1179" s="83"/>
      <c r="Y1179" s="83"/>
      <c r="Z1179" s="83"/>
      <c r="AA1179" s="83"/>
      <c r="AB1179" s="83"/>
      <c r="AC1179" s="83"/>
      <c r="AD1179" s="83"/>
      <c r="AE1179" s="83"/>
      <c r="AF1179" s="83"/>
      <c r="AG1179" s="83"/>
      <c r="AH1179" s="83"/>
      <c r="AI1179" s="83"/>
      <c r="AJ1179" s="83"/>
      <c r="AK1179" s="83"/>
      <c r="AL1179" s="83"/>
      <c r="AM1179" s="83"/>
      <c r="AN1179" s="83"/>
      <c r="AO1179" s="83"/>
      <c r="AP1179" s="83"/>
      <c r="AQ1179" s="83"/>
      <c r="AR1179" s="83"/>
      <c r="AS1179" s="83">
        <v>1178777.0</v>
      </c>
    </row>
    <row r="1180" ht="15.75" customHeight="1">
      <c r="A1180" s="111" t="s">
        <v>1393</v>
      </c>
      <c r="B1180" s="83" t="s">
        <v>2282</v>
      </c>
      <c r="C1180" s="83" t="s">
        <v>68</v>
      </c>
      <c r="D1180" s="112">
        <v>1125305.0</v>
      </c>
      <c r="E1180" s="83"/>
      <c r="F1180" s="83">
        <v>2.927964E7</v>
      </c>
      <c r="G1180" s="91" t="str">
        <f>IFERROR(__xludf.DUMMYFUNCTION("XLOOKUP(AS1180,
IMPORTRANGE(""https://docs.google.com/spreadsheets/d/1YM-djuOLXomrZ9W0B4TyIBsVWnXY4EIOFD9HY-qGfv0/edit?usp=sharing"",""GERAL!BG5:BG""),
IMPORTRANGE(""https://docs.google.com/spreadsheets/d/1YM-djuOLXomrZ9W0B4TyIBsVWnXY4EIOFD9HY-qGfv0/edit?"&amp;"usp=sharing"",""GERAL!G5:G""),
""CÓD. SEC NÃO ENCONTRADO NA PLANILHA DE MATRÍCULA"")"),"COMPLEXO INTEGRADO DE EDUCAÇÃO BÁSICA TECNOLÓGICA E PROFISSIONAL DE VITÓRIA DA CONQUISTA")</f>
        <v>COMPLEXO INTEGRADO DE EDUCAÇÃO BÁSICA TECNOLÓGICA E PROFISSIONAL DE VITÓRIA DA CONQUISTA</v>
      </c>
      <c r="H1180" s="114" t="s">
        <v>6392</v>
      </c>
      <c r="I1180" s="91" t="s">
        <v>6393</v>
      </c>
      <c r="J1180" s="83" t="s">
        <v>6394</v>
      </c>
      <c r="K1180" s="83" t="s">
        <v>150</v>
      </c>
      <c r="L1180" s="83" t="s">
        <v>151</v>
      </c>
      <c r="M1180" s="83" t="s">
        <v>230</v>
      </c>
      <c r="N1180" s="98" t="s">
        <v>6395</v>
      </c>
      <c r="O1180" s="98" t="s">
        <v>6065</v>
      </c>
      <c r="P1180" s="99" t="str">
        <f>IFERROR(__xludf.DUMMYFUNCTION("IFERROR(VLOOKUP(AS1180,IMPORTRANGE(""https://docs.google.com/spreadsheets/d/1juPI-Fb8LD0YtltB2mlGEnp_R3UVu1t3wSFPzgCyHXE/edit?gid=0#gid=0"",""GERAL!A2:C""),3,0),""-"")"),"-")</f>
        <v>-</v>
      </c>
      <c r="Q1180" s="101" t="s">
        <v>156</v>
      </c>
      <c r="R1180" s="98">
        <v>53.0</v>
      </c>
      <c r="S1180" s="98">
        <v>0.0</v>
      </c>
      <c r="T1180" s="98">
        <v>1.0</v>
      </c>
      <c r="U1180" s="98">
        <v>2.0</v>
      </c>
      <c r="V1180" s="98">
        <v>2.0</v>
      </c>
      <c r="W1180" s="98">
        <v>0.0</v>
      </c>
      <c r="X1180" s="98">
        <v>0.0</v>
      </c>
      <c r="Y1180" s="98">
        <v>0.0</v>
      </c>
      <c r="Z1180" s="98">
        <v>0.0</v>
      </c>
      <c r="AA1180" s="98">
        <v>2.0</v>
      </c>
      <c r="AB1180" s="98">
        <v>0.0</v>
      </c>
      <c r="AC1180" s="98">
        <v>0.0</v>
      </c>
      <c r="AD1180" s="98">
        <v>0.0</v>
      </c>
      <c r="AE1180" s="98">
        <v>0.0</v>
      </c>
      <c r="AF1180" s="98">
        <v>2.0</v>
      </c>
      <c r="AG1180" s="98">
        <v>1.0</v>
      </c>
      <c r="AH1180" s="98">
        <v>0.0</v>
      </c>
      <c r="AI1180" s="98">
        <v>0.0</v>
      </c>
      <c r="AJ1180" s="98">
        <v>0.0</v>
      </c>
      <c r="AK1180" s="98">
        <v>1.0</v>
      </c>
      <c r="AL1180" s="98">
        <v>0.0</v>
      </c>
      <c r="AM1180" s="98">
        <v>1.0</v>
      </c>
      <c r="AN1180" s="98">
        <v>0.0</v>
      </c>
      <c r="AO1180" s="98">
        <v>1.0</v>
      </c>
      <c r="AP1180" s="98">
        <v>1.0</v>
      </c>
      <c r="AQ1180" s="98" t="s">
        <v>3507</v>
      </c>
      <c r="AR1180" s="102">
        <v>46204.0</v>
      </c>
      <c r="AS1180" s="83">
        <v>1125305.0</v>
      </c>
    </row>
    <row r="1181" ht="15.75" customHeight="1">
      <c r="A1181" s="111" t="s">
        <v>1393</v>
      </c>
      <c r="B1181" s="83" t="s">
        <v>2282</v>
      </c>
      <c r="C1181" s="83" t="s">
        <v>68</v>
      </c>
      <c r="D1181" s="112">
        <v>1176435.0</v>
      </c>
      <c r="E1181" s="83"/>
      <c r="F1181" s="83">
        <v>2.940283E7</v>
      </c>
      <c r="G1181" s="91" t="str">
        <f>IFERROR(__xludf.DUMMYFUNCTION("XLOOKUP(AS1181,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HELEUSA FIGUEIRA CAMARA - TEMPO INTEGRAL")</f>
        <v>COLÉGIO ESTADUAL PROFESSORA HELEUSA FIGUEIRA CAMARA - TEMPO INTEGRAL</v>
      </c>
      <c r="H1181" s="119" t="s">
        <v>6401</v>
      </c>
      <c r="I1181" s="91" t="s">
        <v>6402</v>
      </c>
      <c r="J1181" s="172" t="s">
        <v>6403</v>
      </c>
      <c r="K1181" s="83" t="s">
        <v>150</v>
      </c>
      <c r="L1181" s="83" t="s">
        <v>151</v>
      </c>
      <c r="M1181" s="83" t="s">
        <v>152</v>
      </c>
      <c r="N1181" s="98" t="s">
        <v>6404</v>
      </c>
      <c r="O1181" s="98" t="s">
        <v>155</v>
      </c>
      <c r="P1181" s="99" t="str">
        <f>IFERROR(__xludf.DUMMYFUNCTION("IFERROR(VLOOKUP(AS1181,IMPORTRANGE(""https://docs.google.com/spreadsheets/d/1juPI-Fb8LD0YtltB2mlGEnp_R3UVu1t3wSFPzgCyHXE/edit?gid=0#gid=0"",""GERAL!A2:C""),3,0),""-"")"),"-")</f>
        <v>-</v>
      </c>
      <c r="Q1181" s="101" t="s">
        <v>156</v>
      </c>
      <c r="R1181" s="98">
        <v>16.0</v>
      </c>
      <c r="S1181" s="98">
        <v>0.0</v>
      </c>
      <c r="T1181" s="98">
        <v>0.0</v>
      </c>
      <c r="U1181" s="98">
        <v>1.0</v>
      </c>
      <c r="V1181" s="98">
        <v>0.0</v>
      </c>
      <c r="W1181" s="98">
        <v>0.0</v>
      </c>
      <c r="X1181" s="98">
        <v>1.0</v>
      </c>
      <c r="Y1181" s="98">
        <v>0.0</v>
      </c>
      <c r="Z1181" s="98">
        <v>0.0</v>
      </c>
      <c r="AA1181" s="98">
        <v>1.0</v>
      </c>
      <c r="AB1181" s="98">
        <v>0.0</v>
      </c>
      <c r="AC1181" s="98">
        <v>1.0</v>
      </c>
      <c r="AD1181" s="98">
        <v>0.0</v>
      </c>
      <c r="AE1181" s="98">
        <v>0.0</v>
      </c>
      <c r="AF1181" s="98">
        <v>1.0</v>
      </c>
      <c r="AG1181" s="98">
        <v>0.0</v>
      </c>
      <c r="AH1181" s="98">
        <v>0.0</v>
      </c>
      <c r="AI1181" s="98">
        <v>0.0</v>
      </c>
      <c r="AJ1181" s="98">
        <v>0.0</v>
      </c>
      <c r="AK1181" s="98">
        <v>0.0</v>
      </c>
      <c r="AL1181" s="98">
        <v>0.0</v>
      </c>
      <c r="AM1181" s="98">
        <v>0.0</v>
      </c>
      <c r="AN1181" s="98">
        <v>0.0</v>
      </c>
      <c r="AO1181" s="98">
        <v>0.0</v>
      </c>
      <c r="AP1181" s="98">
        <v>0.0</v>
      </c>
      <c r="AQ1181" s="98" t="s">
        <v>171</v>
      </c>
      <c r="AR1181" s="102">
        <v>46204.0</v>
      </c>
      <c r="AS1181" s="83">
        <v>1176435.0</v>
      </c>
    </row>
    <row r="1182" ht="15.75" customHeight="1">
      <c r="A1182" s="111" t="s">
        <v>1393</v>
      </c>
      <c r="B1182" s="83" t="s">
        <v>2282</v>
      </c>
      <c r="C1182" s="83" t="s">
        <v>68</v>
      </c>
      <c r="D1182" s="112">
        <v>1125160.0</v>
      </c>
      <c r="E1182" s="83"/>
      <c r="F1182" s="83">
        <v>2.9277809E7</v>
      </c>
      <c r="G1182" s="91" t="str">
        <f>IFERROR(__xludf.DUMMYFUNCTION("XLOOKUP(AS1182,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JOSE SA NUNES")</f>
        <v>COLÉGIO ESTADUAL JOSE SA NUNES</v>
      </c>
      <c r="H1182" s="119" t="s">
        <v>6405</v>
      </c>
      <c r="I1182" s="91" t="s">
        <v>6406</v>
      </c>
      <c r="J1182" s="172" t="s">
        <v>955</v>
      </c>
      <c r="K1182" s="83" t="s">
        <v>150</v>
      </c>
      <c r="L1182" s="83" t="s">
        <v>151</v>
      </c>
      <c r="M1182" s="83" t="s">
        <v>152</v>
      </c>
      <c r="N1182" s="98" t="s">
        <v>6407</v>
      </c>
      <c r="O1182" s="98" t="s">
        <v>155</v>
      </c>
      <c r="P1182" s="99" t="str">
        <f>IFERROR(__xludf.DUMMYFUNCTION("IFERROR(VLOOKUP(AS1182,IMPORTRANGE(""https://docs.google.com/spreadsheets/d/1juPI-Fb8LD0YtltB2mlGEnp_R3UVu1t3wSFPzgCyHXE/edit?gid=0#gid=0"",""GERAL!A2:C""),3,0),""-"")"),"-")</f>
        <v>-</v>
      </c>
      <c r="Q1182" s="101" t="s">
        <v>156</v>
      </c>
      <c r="R1182" s="98">
        <v>15.0</v>
      </c>
      <c r="S1182" s="98">
        <v>0.0</v>
      </c>
      <c r="T1182" s="98">
        <v>0.0</v>
      </c>
      <c r="U1182" s="98">
        <v>0.0</v>
      </c>
      <c r="V1182" s="98">
        <v>0.0</v>
      </c>
      <c r="W1182" s="98">
        <v>1.0</v>
      </c>
      <c r="X1182" s="98">
        <v>0.0</v>
      </c>
      <c r="Y1182" s="98">
        <v>0.0</v>
      </c>
      <c r="Z1182" s="98">
        <v>0.0</v>
      </c>
      <c r="AA1182" s="98">
        <v>1.0</v>
      </c>
      <c r="AB1182" s="98">
        <v>0.0</v>
      </c>
      <c r="AC1182" s="98">
        <v>1.0</v>
      </c>
      <c r="AD1182" s="98">
        <v>0.0</v>
      </c>
      <c r="AE1182" s="98">
        <v>0.0</v>
      </c>
      <c r="AF1182" s="98">
        <v>1.0</v>
      </c>
      <c r="AG1182" s="98">
        <v>1.0</v>
      </c>
      <c r="AH1182" s="98">
        <v>0.0</v>
      </c>
      <c r="AI1182" s="98">
        <v>0.0</v>
      </c>
      <c r="AJ1182" s="98">
        <v>0.0</v>
      </c>
      <c r="AK1182" s="98">
        <v>0.0</v>
      </c>
      <c r="AL1182" s="98">
        <v>0.0</v>
      </c>
      <c r="AM1182" s="98">
        <v>0.0</v>
      </c>
      <c r="AN1182" s="98">
        <v>0.0</v>
      </c>
      <c r="AO1182" s="98">
        <v>0.0</v>
      </c>
      <c r="AP1182" s="98">
        <v>1.0</v>
      </c>
      <c r="AQ1182" s="98" t="s">
        <v>6408</v>
      </c>
      <c r="AR1182" s="102">
        <v>46204.0</v>
      </c>
      <c r="AS1182" s="83">
        <v>1125160.0</v>
      </c>
    </row>
    <row r="1183" ht="15.75" customHeight="1">
      <c r="A1183" s="111" t="s">
        <v>1393</v>
      </c>
      <c r="B1183" s="83" t="s">
        <v>2282</v>
      </c>
      <c r="C1183" s="83" t="s">
        <v>68</v>
      </c>
      <c r="D1183" s="112">
        <v>1179224.0</v>
      </c>
      <c r="E1183" s="83"/>
      <c r="F1183" s="83">
        <v>2.9456487E7</v>
      </c>
      <c r="G1183" s="91" t="str">
        <f>IFERROR(__xludf.DUMMYFUNCTION("XLOOKUP(AS1183,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JOSE GONCALVES - DISTRITO DE JOSE GONCALVES - TEMPO INTEGRAL")</f>
        <v>COLÉGIO ESTADUAL DO CAMPO JOSE GONCALVES - DISTRITO DE JOSE GONCALVES - TEMPO INTEGRAL</v>
      </c>
      <c r="H1183" s="119" t="s">
        <v>6409</v>
      </c>
      <c r="I1183" s="91" t="s">
        <v>6410</v>
      </c>
      <c r="J1183" s="172" t="s">
        <v>6411</v>
      </c>
      <c r="K1183" s="83" t="s">
        <v>2025</v>
      </c>
      <c r="L1183" s="83" t="s">
        <v>151</v>
      </c>
      <c r="M1183" s="83" t="s">
        <v>152</v>
      </c>
      <c r="N1183" s="98" t="s">
        <v>6413</v>
      </c>
      <c r="O1183" s="98" t="s">
        <v>155</v>
      </c>
      <c r="P1183" s="99" t="str">
        <f>IFERROR(__xludf.DUMMYFUNCTION("IFERROR(VLOOKUP(AS1183,IMPORTRANGE(""https://docs.google.com/spreadsheets/d/1juPI-Fb8LD0YtltB2mlGEnp_R3UVu1t3wSFPzgCyHXE/edit?gid=0#gid=0"",""GERAL!A2:C""),3,0),""-"")"),"CAMPO")</f>
        <v>CAMPO</v>
      </c>
      <c r="Q1183" s="101" t="s">
        <v>156</v>
      </c>
      <c r="R1183" s="98">
        <v>6.0</v>
      </c>
      <c r="S1183" s="98">
        <v>0.0</v>
      </c>
      <c r="T1183" s="98">
        <v>0.0</v>
      </c>
      <c r="U1183" s="98">
        <v>0.0</v>
      </c>
      <c r="V1183" s="98">
        <v>0.0</v>
      </c>
      <c r="W1183" s="98">
        <v>2.0</v>
      </c>
      <c r="X1183" s="98">
        <v>0.0</v>
      </c>
      <c r="Y1183" s="98">
        <v>0.0</v>
      </c>
      <c r="Z1183" s="98">
        <v>0.0</v>
      </c>
      <c r="AA1183" s="98">
        <v>0.0</v>
      </c>
      <c r="AB1183" s="98">
        <v>0.0</v>
      </c>
      <c r="AC1183" s="98">
        <v>0.0</v>
      </c>
      <c r="AD1183" s="98">
        <v>0.0</v>
      </c>
      <c r="AE1183" s="98">
        <v>0.0</v>
      </c>
      <c r="AF1183" s="98">
        <v>0.0</v>
      </c>
      <c r="AG1183" s="98">
        <v>0.0</v>
      </c>
      <c r="AH1183" s="98">
        <v>0.0</v>
      </c>
      <c r="AI1183" s="98">
        <v>0.0</v>
      </c>
      <c r="AJ1183" s="98">
        <v>0.0</v>
      </c>
      <c r="AK1183" s="98">
        <v>0.0</v>
      </c>
      <c r="AL1183" s="98">
        <v>0.0</v>
      </c>
      <c r="AM1183" s="98">
        <v>0.0</v>
      </c>
      <c r="AN1183" s="98">
        <v>0.0</v>
      </c>
      <c r="AO1183" s="98">
        <v>0.0</v>
      </c>
      <c r="AP1183" s="98">
        <v>2.0</v>
      </c>
      <c r="AQ1183" s="98" t="s">
        <v>6420</v>
      </c>
      <c r="AR1183" s="102">
        <v>46204.0</v>
      </c>
      <c r="AS1183" s="83">
        <v>1179224.0</v>
      </c>
    </row>
    <row r="1184" ht="15.75" customHeight="1">
      <c r="A1184" s="111" t="s">
        <v>1393</v>
      </c>
      <c r="B1184" s="83" t="s">
        <v>2282</v>
      </c>
      <c r="C1184" s="83" t="s">
        <v>68</v>
      </c>
      <c r="D1184" s="98">
        <v>1125399.0</v>
      </c>
      <c r="E1184" s="83"/>
      <c r="F1184" s="98">
        <v>2.9277752E7</v>
      </c>
      <c r="G1184" s="91" t="str">
        <f>IFERROR(__xludf.DUMMYFUNCTION("XLOOKUP(AS1184,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ERASMO NOVAIS DOS SANTOS")</f>
        <v>COLÉGIO ESTADUAL DO CAMPO ERASMO NOVAIS DOS SANTOS</v>
      </c>
      <c r="H1184" s="119" t="s">
        <v>6423</v>
      </c>
      <c r="I1184" s="108" t="s">
        <v>6425</v>
      </c>
      <c r="J1184" s="98" t="s">
        <v>6427</v>
      </c>
      <c r="K1184" s="83" t="s">
        <v>150</v>
      </c>
      <c r="L1184" s="83" t="s">
        <v>151</v>
      </c>
      <c r="M1184" s="83" t="s">
        <v>230</v>
      </c>
      <c r="N1184" s="98" t="s">
        <v>6430</v>
      </c>
      <c r="O1184" s="98" t="s">
        <v>155</v>
      </c>
      <c r="P1184" s="99" t="str">
        <f>IFERROR(__xludf.DUMMYFUNCTION("IFERROR(VLOOKUP(AS1184,IMPORTRANGE(""https://docs.google.com/spreadsheets/d/1juPI-Fb8LD0YtltB2mlGEnp_R3UVu1t3wSFPzgCyHXE/edit?gid=0#gid=0"",""GERAL!A2:C""),3,0),""-"")"),"-")</f>
        <v>-</v>
      </c>
      <c r="Q1184" s="101" t="s">
        <v>156</v>
      </c>
      <c r="R1184" s="98">
        <v>24.0</v>
      </c>
      <c r="S1184" s="98">
        <v>0.0</v>
      </c>
      <c r="T1184" s="98">
        <v>0.0</v>
      </c>
      <c r="U1184" s="98">
        <v>0.0</v>
      </c>
      <c r="V1184" s="98">
        <v>0.0</v>
      </c>
      <c r="W1184" s="98">
        <v>0.0</v>
      </c>
      <c r="X1184" s="98">
        <v>0.0</v>
      </c>
      <c r="Y1184" s="98">
        <v>0.0</v>
      </c>
      <c r="Z1184" s="98">
        <v>0.0</v>
      </c>
      <c r="AA1184" s="98">
        <v>0.0</v>
      </c>
      <c r="AB1184" s="98">
        <v>0.0</v>
      </c>
      <c r="AC1184" s="98">
        <v>0.0</v>
      </c>
      <c r="AD1184" s="98">
        <v>0.0</v>
      </c>
      <c r="AE1184" s="98">
        <v>0.0</v>
      </c>
      <c r="AF1184" s="98">
        <v>0.0</v>
      </c>
      <c r="AG1184" s="98">
        <v>0.0</v>
      </c>
      <c r="AH1184" s="98">
        <v>0.0</v>
      </c>
      <c r="AI1184" s="98">
        <v>0.0</v>
      </c>
      <c r="AJ1184" s="98">
        <v>0.0</v>
      </c>
      <c r="AK1184" s="98">
        <v>0.0</v>
      </c>
      <c r="AL1184" s="98">
        <v>0.0</v>
      </c>
      <c r="AM1184" s="98">
        <v>0.0</v>
      </c>
      <c r="AN1184" s="98">
        <v>0.0</v>
      </c>
      <c r="AO1184" s="98">
        <v>0.0</v>
      </c>
      <c r="AP1184" s="98">
        <v>2.0</v>
      </c>
      <c r="AQ1184" s="98" t="s">
        <v>3079</v>
      </c>
      <c r="AR1184" s="102">
        <v>46204.0</v>
      </c>
      <c r="AS1184" s="98">
        <v>1125399.0</v>
      </c>
    </row>
    <row r="1185" ht="15.75" customHeight="1">
      <c r="A1185" s="111" t="s">
        <v>1393</v>
      </c>
      <c r="B1185" s="83" t="s">
        <v>2282</v>
      </c>
      <c r="C1185" s="83" t="s">
        <v>68</v>
      </c>
      <c r="D1185" s="98">
        <v>1179822.0</v>
      </c>
      <c r="E1185" s="83"/>
      <c r="F1185" s="98">
        <v>44414.0</v>
      </c>
      <c r="G1185" s="91" t="str">
        <f>IFERROR(__xludf.DUMMYFUNCTION("XLOOKUP(AS1185,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DO CAMPO DE TEMPO INTEGRAL PROFESSORA ELISABETH MARIA COUTO ")</f>
        <v>COLEGIO ESTADUAL DO CAMPO DE TEMPO INTEGRAL PROFESSORA ELISABETH MARIA COUTO </v>
      </c>
      <c r="H1185" s="119" t="s">
        <v>6437</v>
      </c>
      <c r="I1185" s="108" t="s">
        <v>6438</v>
      </c>
      <c r="J1185" s="83"/>
      <c r="K1185" s="83"/>
      <c r="L1185" s="83" t="s">
        <v>151</v>
      </c>
      <c r="M1185" s="98" t="s">
        <v>76</v>
      </c>
      <c r="N1185" s="98" t="s">
        <v>6439</v>
      </c>
      <c r="O1185" s="98"/>
      <c r="P1185" s="99" t="str">
        <f>IFERROR(__xludf.DUMMYFUNCTION("IFERROR(VLOOKUP(AS1185,IMPORTRANGE(""https://docs.google.com/spreadsheets/d/1juPI-Fb8LD0YtltB2mlGEnp_R3UVu1t3wSFPzgCyHXE/edit?gid=0#gid=0"",""GERAL!A2:C""),3,0),""-"")"),"CAMPO")</f>
        <v>CAMPO</v>
      </c>
      <c r="Q1185" s="101" t="s">
        <v>156</v>
      </c>
      <c r="R1185" s="98">
        <v>12.0</v>
      </c>
      <c r="S1185" s="98">
        <v>1.0</v>
      </c>
      <c r="T1185" s="98">
        <v>1.0</v>
      </c>
      <c r="U1185" s="98">
        <v>0.0</v>
      </c>
      <c r="V1185" s="98">
        <v>1.0</v>
      </c>
      <c r="W1185" s="98">
        <v>3.0</v>
      </c>
      <c r="X1185" s="98">
        <v>1.0</v>
      </c>
      <c r="Y1185" s="98">
        <v>0.0</v>
      </c>
      <c r="Z1185" s="98">
        <v>1.0</v>
      </c>
      <c r="AA1185" s="98">
        <v>0.0</v>
      </c>
      <c r="AB1185" s="98">
        <v>1.0</v>
      </c>
      <c r="AC1185" s="98">
        <v>0.0</v>
      </c>
      <c r="AD1185" s="98">
        <v>0.0</v>
      </c>
      <c r="AE1185" s="98">
        <v>0.0</v>
      </c>
      <c r="AF1185" s="98">
        <v>1.0</v>
      </c>
      <c r="AG1185" s="98">
        <v>0.0</v>
      </c>
      <c r="AH1185" s="98">
        <v>0.0</v>
      </c>
      <c r="AI1185" s="98">
        <v>0.0</v>
      </c>
      <c r="AJ1185" s="98">
        <v>0.0</v>
      </c>
      <c r="AK1185" s="98">
        <v>1.0</v>
      </c>
      <c r="AL1185" s="98">
        <v>0.0</v>
      </c>
      <c r="AM1185" s="98">
        <v>0.0</v>
      </c>
      <c r="AN1185" s="98">
        <v>0.0</v>
      </c>
      <c r="AO1185" s="98">
        <v>0.0</v>
      </c>
      <c r="AP1185" s="98">
        <v>0.0</v>
      </c>
      <c r="AQ1185" s="98" t="s">
        <v>6440</v>
      </c>
      <c r="AR1185" s="102">
        <v>46204.0</v>
      </c>
      <c r="AS1185" s="98">
        <v>1179822.0</v>
      </c>
    </row>
    <row r="1186" ht="15.75" customHeight="1">
      <c r="A1186" s="111" t="s">
        <v>1393</v>
      </c>
      <c r="B1186" s="83" t="s">
        <v>2282</v>
      </c>
      <c r="C1186" s="83" t="s">
        <v>68</v>
      </c>
      <c r="D1186" s="112">
        <v>1179246.0</v>
      </c>
      <c r="E1186" s="83"/>
      <c r="F1186" s="83">
        <v>2.9457491E7</v>
      </c>
      <c r="G1186" s="91" t="str">
        <f>IFERROR(__xludf.DUMMYFUNCTION("XLOOKUP(AS1186,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DA CABECEIRA DO RIO JIBÓIA - DISTRITO CABECEIRA DA JIBOIA")</f>
        <v>COLÉGIO ESTADUAL DO CAMPO DA CABECEIRA DO RIO JIBÓIA - DISTRITO CABECEIRA DA JIBOIA</v>
      </c>
      <c r="H1186" s="119" t="s">
        <v>6441</v>
      </c>
      <c r="I1186" s="91" t="s">
        <v>6442</v>
      </c>
      <c r="J1186" s="83" t="s">
        <v>6443</v>
      </c>
      <c r="K1186" s="83" t="s">
        <v>923</v>
      </c>
      <c r="L1186" s="83" t="s">
        <v>6444</v>
      </c>
      <c r="M1186" s="83" t="s">
        <v>169</v>
      </c>
      <c r="N1186" s="98" t="s">
        <v>6445</v>
      </c>
      <c r="O1186" s="98" t="s">
        <v>155</v>
      </c>
      <c r="P1186" s="99" t="str">
        <f>IFERROR(__xludf.DUMMYFUNCTION("IFERROR(VLOOKUP(AS1186,IMPORTRANGE(""https://docs.google.com/spreadsheets/d/1juPI-Fb8LD0YtltB2mlGEnp_R3UVu1t3wSFPzgCyHXE/edit?gid=0#gid=0"",""GERAL!A2:C""),3,0),""-"")"),"CAMPO")</f>
        <v>CAMPO</v>
      </c>
      <c r="Q1186" s="101" t="s">
        <v>156</v>
      </c>
      <c r="R1186" s="98">
        <v>4.0</v>
      </c>
      <c r="S1186" s="98" t="s">
        <v>171</v>
      </c>
      <c r="T1186" s="98" t="s">
        <v>171</v>
      </c>
      <c r="U1186" s="98" t="s">
        <v>171</v>
      </c>
      <c r="V1186" s="98" t="s">
        <v>171</v>
      </c>
      <c r="W1186" s="98" t="s">
        <v>171</v>
      </c>
      <c r="X1186" s="98" t="s">
        <v>171</v>
      </c>
      <c r="Y1186" s="98" t="s">
        <v>171</v>
      </c>
      <c r="Z1186" s="98" t="s">
        <v>171</v>
      </c>
      <c r="AA1186" s="98" t="s">
        <v>171</v>
      </c>
      <c r="AB1186" s="98" t="s">
        <v>171</v>
      </c>
      <c r="AC1186" s="98" t="s">
        <v>171</v>
      </c>
      <c r="AD1186" s="98" t="s">
        <v>171</v>
      </c>
      <c r="AE1186" s="98" t="s">
        <v>171</v>
      </c>
      <c r="AF1186" s="98" t="s">
        <v>171</v>
      </c>
      <c r="AG1186" s="98" t="s">
        <v>171</v>
      </c>
      <c r="AH1186" s="98" t="s">
        <v>171</v>
      </c>
      <c r="AI1186" s="98" t="s">
        <v>171</v>
      </c>
      <c r="AJ1186" s="98" t="s">
        <v>171</v>
      </c>
      <c r="AK1186" s="98" t="s">
        <v>171</v>
      </c>
      <c r="AL1186" s="98" t="s">
        <v>171</v>
      </c>
      <c r="AM1186" s="98" t="s">
        <v>171</v>
      </c>
      <c r="AN1186" s="98" t="s">
        <v>171</v>
      </c>
      <c r="AO1186" s="98" t="s">
        <v>171</v>
      </c>
      <c r="AP1186" s="98" t="s">
        <v>171</v>
      </c>
      <c r="AQ1186" s="98" t="s">
        <v>171</v>
      </c>
      <c r="AR1186" s="102">
        <v>46206.0</v>
      </c>
      <c r="AS1186" s="83">
        <v>1179246.0</v>
      </c>
    </row>
    <row r="1187" ht="66.75" customHeight="1">
      <c r="A1187" s="111" t="s">
        <v>1393</v>
      </c>
      <c r="B1187" s="83" t="s">
        <v>2282</v>
      </c>
      <c r="C1187" s="83" t="s">
        <v>68</v>
      </c>
      <c r="D1187" s="112">
        <v>1165358.0</v>
      </c>
      <c r="E1187" s="83"/>
      <c r="F1187" s="83">
        <v>2.9279151E7</v>
      </c>
      <c r="G1187" s="91" t="str">
        <f>IFERROR(__xludf.DUMMYFUNCTION("XLOOKUP(AS1187,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PADRE LUIS SOARES PALMEIRA")</f>
        <v>COLÉGIO ESTADUAL DE TEMPO INTEGRAL PADRE LUIS SOARES PALMEIRA</v>
      </c>
      <c r="H1187" s="119" t="s">
        <v>6447</v>
      </c>
      <c r="I1187" s="91" t="s">
        <v>6448</v>
      </c>
      <c r="J1187" s="83" t="s">
        <v>6449</v>
      </c>
      <c r="K1187" s="83" t="s">
        <v>150</v>
      </c>
      <c r="L1187" s="83" t="s">
        <v>151</v>
      </c>
      <c r="M1187" s="98" t="s">
        <v>1391</v>
      </c>
      <c r="N1187" s="98" t="s">
        <v>6450</v>
      </c>
      <c r="O1187" s="98" t="s">
        <v>162</v>
      </c>
      <c r="P1187" s="99" t="str">
        <f>IFERROR(__xludf.DUMMYFUNCTION("IFERROR(VLOOKUP(AS1187,IMPORTRANGE(""https://docs.google.com/spreadsheets/d/1juPI-Fb8LD0YtltB2mlGEnp_R3UVu1t3wSFPzgCyHXE/edit?gid=0#gid=0"",""GERAL!A2:C""),3,0),""-"")"),"-")</f>
        <v>-</v>
      </c>
      <c r="Q1187" s="101" t="s">
        <v>156</v>
      </c>
      <c r="R1187" s="98">
        <v>15.0</v>
      </c>
      <c r="S1187" s="98">
        <v>0.0</v>
      </c>
      <c r="T1187" s="98">
        <v>0.0</v>
      </c>
      <c r="U1187" s="98">
        <v>0.0</v>
      </c>
      <c r="V1187" s="98">
        <v>0.0</v>
      </c>
      <c r="W1187" s="98">
        <v>0.0</v>
      </c>
      <c r="X1187" s="98">
        <v>0.0</v>
      </c>
      <c r="Y1187" s="98">
        <v>1.0</v>
      </c>
      <c r="Z1187" s="98">
        <v>1.0</v>
      </c>
      <c r="AA1187" s="98">
        <v>0.0</v>
      </c>
      <c r="AB1187" s="98">
        <v>1.0</v>
      </c>
      <c r="AC1187" s="98">
        <v>0.0</v>
      </c>
      <c r="AD1187" s="98">
        <v>0.0</v>
      </c>
      <c r="AE1187" s="98">
        <v>0.0</v>
      </c>
      <c r="AF1187" s="98">
        <v>1.0</v>
      </c>
      <c r="AG1187" s="98">
        <v>0.0</v>
      </c>
      <c r="AH1187" s="98">
        <v>0.0</v>
      </c>
      <c r="AI1187" s="98">
        <v>0.0</v>
      </c>
      <c r="AJ1187" s="98">
        <v>1.0</v>
      </c>
      <c r="AK1187" s="98">
        <v>0.0</v>
      </c>
      <c r="AL1187" s="98">
        <v>0.0</v>
      </c>
      <c r="AM1187" s="98">
        <v>0.0</v>
      </c>
      <c r="AN1187" s="98">
        <v>0.0</v>
      </c>
      <c r="AO1187" s="98">
        <v>0.0</v>
      </c>
      <c r="AP1187" s="98">
        <v>2.0</v>
      </c>
      <c r="AQ1187" s="98" t="s">
        <v>6451</v>
      </c>
      <c r="AR1187" s="102">
        <v>46204.0</v>
      </c>
      <c r="AS1187" s="83">
        <v>1165358.0</v>
      </c>
    </row>
    <row r="1188" ht="15.75" customHeight="1">
      <c r="A1188" s="111" t="s">
        <v>1393</v>
      </c>
      <c r="B1188" s="83" t="s">
        <v>2282</v>
      </c>
      <c r="C1188" s="83" t="s">
        <v>68</v>
      </c>
      <c r="D1188" s="112">
        <v>1178119.0</v>
      </c>
      <c r="E1188" s="83"/>
      <c r="F1188" s="83">
        <v>2.943341E7</v>
      </c>
      <c r="G1188" s="91" t="str">
        <f>IFERROR(__xludf.DUMMYFUNCTION("XLOOKUP(AS1188,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DOM CLIMERIO ALMEIDA DE ANDRADE,")</f>
        <v>COLÉGIO ESTADUAL DE TEMPO INTEGRAL DOM CLIMERIO ALMEIDA DE ANDRADE,</v>
      </c>
      <c r="H1188" s="119" t="s">
        <v>6457</v>
      </c>
      <c r="I1188" s="91" t="s">
        <v>6458</v>
      </c>
      <c r="J1188" s="83" t="s">
        <v>6449</v>
      </c>
      <c r="K1188" s="83" t="s">
        <v>150</v>
      </c>
      <c r="L1188" s="83" t="s">
        <v>151</v>
      </c>
      <c r="M1188" s="83" t="s">
        <v>152</v>
      </c>
      <c r="N1188" s="98" t="s">
        <v>6459</v>
      </c>
      <c r="O1188" s="98" t="s">
        <v>284</v>
      </c>
      <c r="P1188" s="99" t="str">
        <f>IFERROR(__xludf.DUMMYFUNCTION("IFERROR(VLOOKUP(AS1188,IMPORTRANGE(""https://docs.google.com/spreadsheets/d/1juPI-Fb8LD0YtltB2mlGEnp_R3UVu1t3wSFPzgCyHXE/edit?gid=0#gid=0"",""GERAL!A2:C""),3,0),""-"")"),"-")</f>
        <v>-</v>
      </c>
      <c r="Q1188" s="101" t="s">
        <v>156</v>
      </c>
      <c r="R1188" s="98">
        <v>18.0</v>
      </c>
      <c r="S1188" s="98">
        <v>0.0</v>
      </c>
      <c r="T1188" s="98">
        <v>0.0</v>
      </c>
      <c r="U1188" s="98">
        <v>1.0</v>
      </c>
      <c r="V1188" s="98">
        <v>0.0</v>
      </c>
      <c r="W1188" s="98">
        <v>0.0</v>
      </c>
      <c r="X1188" s="98">
        <v>1.0</v>
      </c>
      <c r="Y1188" s="98">
        <v>0.0</v>
      </c>
      <c r="Z1188" s="98">
        <v>1.0</v>
      </c>
      <c r="AA1188" s="98">
        <v>0.0</v>
      </c>
      <c r="AB1188" s="98">
        <v>0.0</v>
      </c>
      <c r="AC1188" s="98">
        <v>1.0</v>
      </c>
      <c r="AD1188" s="98">
        <v>0.0</v>
      </c>
      <c r="AE1188" s="98">
        <v>0.0</v>
      </c>
      <c r="AF1188" s="98">
        <v>1.0</v>
      </c>
      <c r="AG1188" s="98">
        <v>0.0</v>
      </c>
      <c r="AH1188" s="98">
        <v>0.0</v>
      </c>
      <c r="AI1188" s="98">
        <v>0.0</v>
      </c>
      <c r="AJ1188" s="98">
        <v>0.0</v>
      </c>
      <c r="AK1188" s="98">
        <v>0.0</v>
      </c>
      <c r="AL1188" s="98">
        <v>0.0</v>
      </c>
      <c r="AM1188" s="98">
        <v>0.0</v>
      </c>
      <c r="AN1188" s="98">
        <v>0.0</v>
      </c>
      <c r="AO1188" s="98">
        <v>0.0</v>
      </c>
      <c r="AP1188" s="98">
        <v>1.0</v>
      </c>
      <c r="AQ1188" s="98" t="s">
        <v>6466</v>
      </c>
      <c r="AR1188" s="102">
        <v>46204.0</v>
      </c>
      <c r="AS1188" s="83">
        <v>1178119.0</v>
      </c>
    </row>
    <row r="1189" ht="15.75" customHeight="1">
      <c r="A1189" s="111" t="s">
        <v>1393</v>
      </c>
      <c r="B1189" s="83" t="s">
        <v>2282</v>
      </c>
      <c r="C1189" s="83" t="s">
        <v>68</v>
      </c>
      <c r="D1189" s="112">
        <v>1125992.0</v>
      </c>
      <c r="E1189" s="83"/>
      <c r="F1189" s="83">
        <v>2.9279887E7</v>
      </c>
      <c r="G1189" s="91" t="str">
        <f>IFERROR(__xludf.DUMMYFUNCTION("XLOOKUP(AS1189,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VITÓRIA DA CONQUISTA (ANTIGO ABDIAS)")</f>
        <v>COLÉGIO ESTADUAL DE TEMPO INTEGRAL DE VITÓRIA DA CONQUISTA (ANTIGO ABDIAS)</v>
      </c>
      <c r="H1189" s="119" t="s">
        <v>6469</v>
      </c>
      <c r="I1189" s="91" t="s">
        <v>6470</v>
      </c>
      <c r="J1189" s="172" t="s">
        <v>6471</v>
      </c>
      <c r="K1189" s="83" t="s">
        <v>150</v>
      </c>
      <c r="L1189" s="83" t="s">
        <v>151</v>
      </c>
      <c r="M1189" s="83" t="s">
        <v>230</v>
      </c>
      <c r="N1189" s="98" t="s">
        <v>6472</v>
      </c>
      <c r="O1189" s="98" t="s">
        <v>155</v>
      </c>
      <c r="P1189" s="99" t="str">
        <f>IFERROR(__xludf.DUMMYFUNCTION("IFERROR(VLOOKUP(AS1189,IMPORTRANGE(""https://docs.google.com/spreadsheets/d/1juPI-Fb8LD0YtltB2mlGEnp_R3UVu1t3wSFPzgCyHXE/edit?gid=0#gid=0"",""GERAL!A2:C""),3,0),""-"")"),"-")</f>
        <v>-</v>
      </c>
      <c r="Q1189" s="101" t="s">
        <v>156</v>
      </c>
      <c r="R1189" s="98">
        <v>22.0</v>
      </c>
      <c r="S1189" s="98">
        <v>0.0</v>
      </c>
      <c r="T1189" s="98">
        <v>1.0</v>
      </c>
      <c r="U1189" s="98">
        <v>0.0</v>
      </c>
      <c r="V1189" s="98">
        <v>1.0</v>
      </c>
      <c r="W1189" s="98">
        <v>2.0</v>
      </c>
      <c r="X1189" s="98">
        <v>0.0</v>
      </c>
      <c r="Y1189" s="98">
        <v>0.0</v>
      </c>
      <c r="Z1189" s="98">
        <v>1.0</v>
      </c>
      <c r="AA1189" s="98">
        <v>0.0</v>
      </c>
      <c r="AB1189" s="98">
        <v>1.0</v>
      </c>
      <c r="AC1189" s="98">
        <v>0.0</v>
      </c>
      <c r="AD1189" s="98">
        <v>0.0</v>
      </c>
      <c r="AE1189" s="98">
        <v>0.0</v>
      </c>
      <c r="AF1189" s="98">
        <v>1.0</v>
      </c>
      <c r="AG1189" s="98">
        <v>0.0</v>
      </c>
      <c r="AH1189" s="98">
        <v>0.0</v>
      </c>
      <c r="AI1189" s="98">
        <v>0.0</v>
      </c>
      <c r="AJ1189" s="98">
        <v>0.0</v>
      </c>
      <c r="AK1189" s="98">
        <v>0.0</v>
      </c>
      <c r="AL1189" s="98">
        <v>0.0</v>
      </c>
      <c r="AM1189" s="98">
        <v>0.0</v>
      </c>
      <c r="AN1189" s="98">
        <v>0.0</v>
      </c>
      <c r="AO1189" s="98">
        <v>1.0</v>
      </c>
      <c r="AP1189" s="98">
        <v>0.0</v>
      </c>
      <c r="AQ1189" s="98" t="s">
        <v>6480</v>
      </c>
      <c r="AR1189" s="102">
        <v>46204.0</v>
      </c>
      <c r="AS1189" s="83">
        <v>1125992.0</v>
      </c>
    </row>
    <row r="1190" ht="15.75" customHeight="1">
      <c r="A1190" s="111" t="s">
        <v>1393</v>
      </c>
      <c r="B1190" s="83" t="s">
        <v>2282</v>
      </c>
      <c r="C1190" s="83" t="s">
        <v>68</v>
      </c>
      <c r="D1190" s="112">
        <v>1179223.0</v>
      </c>
      <c r="E1190" s="83"/>
      <c r="F1190" s="83">
        <v>2.9456479E7</v>
      </c>
      <c r="G1190" s="91" t="str">
        <f>IFERROR(__xludf.DUMMYFUNCTION("XLOOKUP(AS1190,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CAMILLO DE JESUS LIMA")</f>
        <v>COLÉGIO ESTADUAL DE TEMPO INTEGRAL CAMILLO DE JESUS LIMA</v>
      </c>
      <c r="H1190" s="119" t="s">
        <v>6481</v>
      </c>
      <c r="I1190" s="91" t="s">
        <v>6482</v>
      </c>
      <c r="J1190" s="83" t="s">
        <v>6483</v>
      </c>
      <c r="K1190" s="83" t="s">
        <v>150</v>
      </c>
      <c r="L1190" s="83" t="s">
        <v>151</v>
      </c>
      <c r="M1190" s="98" t="s">
        <v>1391</v>
      </c>
      <c r="N1190" s="98" t="s">
        <v>6484</v>
      </c>
      <c r="O1190" s="98" t="s">
        <v>176</v>
      </c>
      <c r="P1190" s="99" t="str">
        <f>IFERROR(__xludf.DUMMYFUNCTION("IFERROR(VLOOKUP(AS1190,IMPORTRANGE(""https://docs.google.com/spreadsheets/d/1juPI-Fb8LD0YtltB2mlGEnp_R3UVu1t3wSFPzgCyHXE/edit?gid=0#gid=0"",""GERAL!A2:C""),3,0),""-"")"),"-")</f>
        <v>-</v>
      </c>
      <c r="Q1190" s="101" t="s">
        <v>156</v>
      </c>
      <c r="R1190" s="98">
        <v>8.0</v>
      </c>
      <c r="S1190" s="98">
        <v>0.0</v>
      </c>
      <c r="T1190" s="98">
        <v>0.0</v>
      </c>
      <c r="U1190" s="98">
        <v>1.0</v>
      </c>
      <c r="V1190" s="98">
        <v>1.0</v>
      </c>
      <c r="W1190" s="98">
        <v>0.0</v>
      </c>
      <c r="X1190" s="98">
        <v>1.0</v>
      </c>
      <c r="Y1190" s="98">
        <v>0.0</v>
      </c>
      <c r="Z1190" s="98">
        <v>1.0</v>
      </c>
      <c r="AA1190" s="98">
        <v>0.0</v>
      </c>
      <c r="AB1190" s="98">
        <v>1.0</v>
      </c>
      <c r="AC1190" s="98">
        <v>0.0</v>
      </c>
      <c r="AD1190" s="98">
        <v>0.0</v>
      </c>
      <c r="AE1190" s="98">
        <v>0.0</v>
      </c>
      <c r="AF1190" s="98">
        <v>1.0</v>
      </c>
      <c r="AG1190" s="98">
        <v>0.0</v>
      </c>
      <c r="AH1190" s="98">
        <v>0.0</v>
      </c>
      <c r="AI1190" s="98">
        <v>0.0</v>
      </c>
      <c r="AJ1190" s="98">
        <v>0.0</v>
      </c>
      <c r="AK1190" s="98">
        <v>0.0</v>
      </c>
      <c r="AL1190" s="98">
        <v>0.0</v>
      </c>
      <c r="AM1190" s="98">
        <v>0.0</v>
      </c>
      <c r="AN1190" s="98">
        <v>0.0</v>
      </c>
      <c r="AO1190" s="98">
        <v>0.0</v>
      </c>
      <c r="AP1190" s="98">
        <v>0.0</v>
      </c>
      <c r="AQ1190" s="98" t="s">
        <v>171</v>
      </c>
      <c r="AR1190" s="102">
        <v>46204.0</v>
      </c>
      <c r="AS1190" s="83">
        <v>1179223.0</v>
      </c>
    </row>
    <row r="1191" ht="15.75" customHeight="1">
      <c r="A1191" s="111" t="s">
        <v>1393</v>
      </c>
      <c r="B1191" s="83" t="s">
        <v>2282</v>
      </c>
      <c r="C1191" s="83" t="s">
        <v>68</v>
      </c>
      <c r="D1191" s="112">
        <v>1125496.0</v>
      </c>
      <c r="E1191" s="83"/>
      <c r="F1191" s="83">
        <v>2.927981E7</v>
      </c>
      <c r="G1191" s="91" t="str">
        <f>IFERROR(__xludf.DUMMYFUNCTION("XLOOKUP(AS1191,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ANISIO TEIXEIRA")</f>
        <v>COLÉGIO ESTADUAL DE TEMPO INTEGRAL ANISIO TEIXEIRA</v>
      </c>
      <c r="H1191" s="119" t="s">
        <v>2579</v>
      </c>
      <c r="I1191" s="91" t="s">
        <v>6485</v>
      </c>
      <c r="J1191" s="172" t="s">
        <v>6486</v>
      </c>
      <c r="K1191" s="83" t="s">
        <v>150</v>
      </c>
      <c r="L1191" s="83" t="s">
        <v>151</v>
      </c>
      <c r="M1191" s="83" t="s">
        <v>152</v>
      </c>
      <c r="N1191" s="98" t="s">
        <v>6487</v>
      </c>
      <c r="O1191" s="98" t="s">
        <v>155</v>
      </c>
      <c r="P1191" s="99" t="str">
        <f>IFERROR(__xludf.DUMMYFUNCTION("IFERROR(VLOOKUP(AS1191,IMPORTRANGE(""https://docs.google.com/spreadsheets/d/1juPI-Fb8LD0YtltB2mlGEnp_R3UVu1t3wSFPzgCyHXE/edit?gid=0#gid=0"",""GERAL!A2:C""),3,0),""-"")"),"-")</f>
        <v>-</v>
      </c>
      <c r="Q1191" s="101" t="s">
        <v>156</v>
      </c>
      <c r="R1191" s="98">
        <v>14.0</v>
      </c>
      <c r="S1191" s="98">
        <v>0.0</v>
      </c>
      <c r="T1191" s="98">
        <v>0.0</v>
      </c>
      <c r="U1191" s="98">
        <v>1.0</v>
      </c>
      <c r="V1191" s="98">
        <v>0.0</v>
      </c>
      <c r="W1191" s="98">
        <v>0.0</v>
      </c>
      <c r="X1191" s="98">
        <v>0.0</v>
      </c>
      <c r="Y1191" s="98">
        <v>0.0</v>
      </c>
      <c r="Z1191" s="98">
        <v>0.0</v>
      </c>
      <c r="AA1191" s="98">
        <v>0.0</v>
      </c>
      <c r="AB1191" s="98">
        <v>0.0</v>
      </c>
      <c r="AC1191" s="98">
        <v>0.0</v>
      </c>
      <c r="AD1191" s="98">
        <v>0.0</v>
      </c>
      <c r="AE1191" s="98">
        <v>0.0</v>
      </c>
      <c r="AF1191" s="98">
        <v>0.0</v>
      </c>
      <c r="AG1191" s="98">
        <v>1.0</v>
      </c>
      <c r="AH1191" s="98">
        <v>0.0</v>
      </c>
      <c r="AI1191" s="98">
        <v>0.0</v>
      </c>
      <c r="AJ1191" s="98">
        <v>0.0</v>
      </c>
      <c r="AK1191" s="98">
        <v>0.0</v>
      </c>
      <c r="AL1191" s="98">
        <v>0.0</v>
      </c>
      <c r="AM1191" s="98">
        <v>0.0</v>
      </c>
      <c r="AN1191" s="98">
        <v>0.0</v>
      </c>
      <c r="AO1191" s="98">
        <v>0.0</v>
      </c>
      <c r="AP1191" s="98">
        <v>2.0</v>
      </c>
      <c r="AQ1191" s="98" t="s">
        <v>6488</v>
      </c>
      <c r="AR1191" s="102">
        <v>46204.0</v>
      </c>
      <c r="AS1191" s="83">
        <v>1125496.0</v>
      </c>
    </row>
    <row r="1192" ht="15.75" customHeight="1">
      <c r="A1192" s="111" t="s">
        <v>1393</v>
      </c>
      <c r="B1192" s="83" t="s">
        <v>2282</v>
      </c>
      <c r="C1192" s="83" t="s">
        <v>68</v>
      </c>
      <c r="D1192" s="112">
        <v>1125640.0</v>
      </c>
      <c r="E1192" s="83"/>
      <c r="F1192" s="83">
        <v>2.9277787E7</v>
      </c>
      <c r="G1192" s="91" t="str">
        <f>IFERROR(__xludf.DUMMYFUNCTION("XLOOKUP(AS1192,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ERALDO TINOCO")</f>
        <v>COLÉGIO DA POLICIA MILITAR - CPM ERALDO TINOCO</v>
      </c>
      <c r="H1192" s="119" t="s">
        <v>6492</v>
      </c>
      <c r="I1192" s="91" t="s">
        <v>6493</v>
      </c>
      <c r="J1192" s="172" t="s">
        <v>6494</v>
      </c>
      <c r="K1192" s="83" t="s">
        <v>150</v>
      </c>
      <c r="L1192" s="83" t="s">
        <v>151</v>
      </c>
      <c r="M1192" s="83" t="s">
        <v>152</v>
      </c>
      <c r="N1192" s="98" t="s">
        <v>6495</v>
      </c>
      <c r="O1192" s="98" t="s">
        <v>284</v>
      </c>
      <c r="P1192" s="99" t="str">
        <f>IFERROR(__xludf.DUMMYFUNCTION("IFERROR(VLOOKUP(AS1192,IMPORTRANGE(""https://docs.google.com/spreadsheets/d/1juPI-Fb8LD0YtltB2mlGEnp_R3UVu1t3wSFPzgCyHXE/edit?gid=0#gid=0"",""GERAL!A2:C""),3,0),""-"")"),"-")</f>
        <v>-</v>
      </c>
      <c r="Q1192" s="101" t="s">
        <v>156</v>
      </c>
      <c r="R1192" s="98">
        <v>17.0</v>
      </c>
      <c r="S1192" s="98">
        <v>1.0</v>
      </c>
      <c r="T1192" s="98">
        <v>0.0</v>
      </c>
      <c r="U1192" s="98">
        <v>0.0</v>
      </c>
      <c r="V1192" s="98">
        <v>0.0</v>
      </c>
      <c r="W1192" s="98">
        <v>1.0</v>
      </c>
      <c r="X1192" s="98">
        <v>0.0</v>
      </c>
      <c r="Y1192" s="98">
        <v>1.0</v>
      </c>
      <c r="Z1192" s="98">
        <v>1.0</v>
      </c>
      <c r="AA1192" s="98">
        <v>0.0</v>
      </c>
      <c r="AB1192" s="98">
        <v>0.0</v>
      </c>
      <c r="AC1192" s="98">
        <v>0.0</v>
      </c>
      <c r="AD1192" s="98">
        <v>0.0</v>
      </c>
      <c r="AE1192" s="98">
        <v>0.0</v>
      </c>
      <c r="AF1192" s="98">
        <v>1.0</v>
      </c>
      <c r="AG1192" s="98">
        <v>0.0</v>
      </c>
      <c r="AH1192" s="98">
        <v>0.0</v>
      </c>
      <c r="AI1192" s="98">
        <v>0.0</v>
      </c>
      <c r="AJ1192" s="98">
        <v>1.0</v>
      </c>
      <c r="AK1192" s="98">
        <v>0.0</v>
      </c>
      <c r="AL1192" s="98">
        <v>0.0</v>
      </c>
      <c r="AM1192" s="98">
        <v>0.0</v>
      </c>
      <c r="AN1192" s="98">
        <v>0.0</v>
      </c>
      <c r="AO1192" s="98">
        <v>0.0</v>
      </c>
      <c r="AP1192" s="98">
        <v>1.0</v>
      </c>
      <c r="AQ1192" s="98" t="s">
        <v>6496</v>
      </c>
      <c r="AR1192" s="102">
        <v>46204.0</v>
      </c>
      <c r="AS1192" s="83">
        <v>1125640.0</v>
      </c>
    </row>
    <row r="1193" ht="15.75" customHeight="1">
      <c r="A1193" s="111" t="s">
        <v>1393</v>
      </c>
      <c r="B1193" s="83" t="s">
        <v>2282</v>
      </c>
      <c r="C1193" s="83" t="s">
        <v>68</v>
      </c>
      <c r="D1193" s="112">
        <v>1125224.0</v>
      </c>
      <c r="E1193" s="83"/>
      <c r="F1193" s="83">
        <v>2.9278112E7</v>
      </c>
      <c r="G1193" s="91" t="str">
        <f>IFERROR(__xludf.DUMMYFUNCTION("XLOOKUP(AS1193,
IMPORTRANGE(""https://docs.google.com/spreadsheets/d/1YM-djuOLXomrZ9W0B4TyIBsVWnXY4EIOFD9HY-qGfv0/edit?usp=sharing"",""GERAL!BG5:BG""),
IMPORTRANGE(""https://docs.google.com/spreadsheets/d/1YM-djuOLXomrZ9W0B4TyIBsVWnXY4EIOFD9HY-qGfv0/edit?"&amp;"usp=sharing"",""GERAL!G5:G""),
""CÓD. SEC NÃO ENCONTRADO NA PLANILHA DE MATRÍCULA"")"),"COL. EST. KLEBER PACHECO DE OLIVEIRA - PRISIONAL")</f>
        <v>COL. EST. KLEBER PACHECO DE OLIVEIRA - PRISIONAL</v>
      </c>
      <c r="H1193" s="114" t="s">
        <v>6497</v>
      </c>
      <c r="I1193" s="91" t="s">
        <v>6498</v>
      </c>
      <c r="J1193" s="172" t="s">
        <v>6499</v>
      </c>
      <c r="K1193" s="83" t="s">
        <v>150</v>
      </c>
      <c r="L1193" s="83" t="s">
        <v>151</v>
      </c>
      <c r="M1193" s="83" t="s">
        <v>169</v>
      </c>
      <c r="N1193" s="98" t="s">
        <v>6500</v>
      </c>
      <c r="O1193" s="98" t="s">
        <v>155</v>
      </c>
      <c r="P1193" s="99" t="str">
        <f>IFERROR(__xludf.DUMMYFUNCTION("IFERROR(VLOOKUP(AS1193,IMPORTRANGE(""https://docs.google.com/spreadsheets/d/1juPI-Fb8LD0YtltB2mlGEnp_R3UVu1t3wSFPzgCyHXE/edit?gid=0#gid=0"",""GERAL!A2:C""),3,0),""-"")"),"-")</f>
        <v>-</v>
      </c>
      <c r="Q1193" s="98" t="s">
        <v>171</v>
      </c>
      <c r="R1193" s="98">
        <v>5.0</v>
      </c>
      <c r="S1193" s="98" t="s">
        <v>171</v>
      </c>
      <c r="T1193" s="98" t="s">
        <v>171</v>
      </c>
      <c r="U1193" s="98" t="s">
        <v>171</v>
      </c>
      <c r="V1193" s="98" t="s">
        <v>171</v>
      </c>
      <c r="W1193" s="98" t="s">
        <v>171</v>
      </c>
      <c r="X1193" s="98" t="s">
        <v>171</v>
      </c>
      <c r="Y1193" s="98" t="s">
        <v>171</v>
      </c>
      <c r="Z1193" s="98" t="s">
        <v>171</v>
      </c>
      <c r="AA1193" s="98" t="s">
        <v>171</v>
      </c>
      <c r="AB1193" s="98" t="s">
        <v>171</v>
      </c>
      <c r="AC1193" s="98" t="s">
        <v>171</v>
      </c>
      <c r="AD1193" s="98" t="s">
        <v>171</v>
      </c>
      <c r="AE1193" s="98" t="s">
        <v>171</v>
      </c>
      <c r="AF1193" s="98" t="s">
        <v>171</v>
      </c>
      <c r="AG1193" s="98" t="s">
        <v>171</v>
      </c>
      <c r="AH1193" s="98" t="s">
        <v>171</v>
      </c>
      <c r="AI1193" s="98" t="s">
        <v>171</v>
      </c>
      <c r="AJ1193" s="98" t="s">
        <v>171</v>
      </c>
      <c r="AK1193" s="98" t="s">
        <v>171</v>
      </c>
      <c r="AL1193" s="98" t="s">
        <v>171</v>
      </c>
      <c r="AM1193" s="98" t="s">
        <v>171</v>
      </c>
      <c r="AN1193" s="98" t="s">
        <v>171</v>
      </c>
      <c r="AO1193" s="98" t="s">
        <v>171</v>
      </c>
      <c r="AP1193" s="98" t="s">
        <v>171</v>
      </c>
      <c r="AQ1193" s="98" t="s">
        <v>171</v>
      </c>
      <c r="AR1193" s="102">
        <v>46206.0</v>
      </c>
      <c r="AS1193" s="83">
        <v>1125224.0</v>
      </c>
    </row>
    <row r="1194" ht="15.75" customHeight="1">
      <c r="A1194" s="111" t="s">
        <v>1393</v>
      </c>
      <c r="B1194" s="83" t="s">
        <v>2282</v>
      </c>
      <c r="C1194" s="83" t="s">
        <v>68</v>
      </c>
      <c r="D1194" s="112">
        <v>1125429.0</v>
      </c>
      <c r="E1194" s="83"/>
      <c r="F1194" s="83">
        <v>2.927799E7</v>
      </c>
      <c r="G1194" s="91" t="str">
        <f>IFERROR(__xludf.DUMMYFUNCTION("XLOOKUP(AS1194,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DE VITORIA DA CONQUISTA")</f>
        <v>CENTRO TERRITORIAL DE EDUCACAO PROFISSIONAL DE VITORIA DA CONQUISTA</v>
      </c>
      <c r="H1194" s="114" t="s">
        <v>6501</v>
      </c>
      <c r="I1194" s="91" t="s">
        <v>6502</v>
      </c>
      <c r="J1194" s="172" t="s">
        <v>6403</v>
      </c>
      <c r="K1194" s="83" t="s">
        <v>150</v>
      </c>
      <c r="L1194" s="83" t="s">
        <v>151</v>
      </c>
      <c r="M1194" s="83" t="s">
        <v>230</v>
      </c>
      <c r="N1194" s="98" t="s">
        <v>6504</v>
      </c>
      <c r="O1194" s="98" t="s">
        <v>284</v>
      </c>
      <c r="P1194" s="99" t="str">
        <f>IFERROR(__xludf.DUMMYFUNCTION("IFERROR(VLOOKUP(AS1194,IMPORTRANGE(""https://docs.google.com/spreadsheets/d/1juPI-Fb8LD0YtltB2mlGEnp_R3UVu1t3wSFPzgCyHXE/edit?gid=0#gid=0"",""GERAL!A2:C""),3,0),""-"")"),"-")</f>
        <v>-</v>
      </c>
      <c r="Q1194" s="101" t="s">
        <v>156</v>
      </c>
      <c r="R1194" s="98">
        <v>17.0</v>
      </c>
      <c r="S1194" s="98">
        <v>0.0</v>
      </c>
      <c r="T1194" s="98">
        <v>0.0</v>
      </c>
      <c r="U1194" s="98">
        <v>0.0</v>
      </c>
      <c r="V1194" s="98">
        <v>4.0</v>
      </c>
      <c r="W1194" s="98">
        <v>9.0</v>
      </c>
      <c r="X1194" s="98">
        <v>1.0</v>
      </c>
      <c r="Y1194" s="98">
        <v>0.0</v>
      </c>
      <c r="Z1194" s="98">
        <v>0.0</v>
      </c>
      <c r="AA1194" s="98">
        <v>0.0</v>
      </c>
      <c r="AB1194" s="98">
        <v>0.0</v>
      </c>
      <c r="AC1194" s="98">
        <v>1.0</v>
      </c>
      <c r="AD1194" s="98">
        <v>0.0</v>
      </c>
      <c r="AE1194" s="98">
        <v>0.0</v>
      </c>
      <c r="AF1194" s="98">
        <v>1.0</v>
      </c>
      <c r="AG1194" s="98">
        <v>0.0</v>
      </c>
      <c r="AH1194" s="98">
        <v>0.0</v>
      </c>
      <c r="AI1194" s="98">
        <v>0.0</v>
      </c>
      <c r="AJ1194" s="98">
        <v>1.0</v>
      </c>
      <c r="AK1194" s="98">
        <v>0.0</v>
      </c>
      <c r="AL1194" s="98">
        <v>0.0</v>
      </c>
      <c r="AM1194" s="98">
        <v>0.0</v>
      </c>
      <c r="AN1194" s="98">
        <v>0.0</v>
      </c>
      <c r="AO1194" s="98">
        <v>0.0</v>
      </c>
      <c r="AP1194" s="98">
        <v>1.0</v>
      </c>
      <c r="AQ1194" s="98" t="s">
        <v>6512</v>
      </c>
      <c r="AR1194" s="102">
        <v>46204.0</v>
      </c>
      <c r="AS1194" s="83">
        <v>1125429.0</v>
      </c>
    </row>
    <row r="1195" ht="15.75" customHeight="1">
      <c r="A1195" s="111" t="s">
        <v>1393</v>
      </c>
      <c r="B1195" s="83" t="s">
        <v>2282</v>
      </c>
      <c r="C1195" s="83" t="s">
        <v>68</v>
      </c>
      <c r="D1195" s="112">
        <v>1179285.0</v>
      </c>
      <c r="E1195" s="83"/>
      <c r="F1195" s="83">
        <v>2.9461472E7</v>
      </c>
      <c r="G1195" s="91" t="str">
        <f>IFERROR(__xludf.DUMMYFUNCTION("XLOOKUP(AS1195,
IMPORTRANGE(""https://docs.google.com/spreadsheets/d/1YM-djuOLXomrZ9W0B4TyIBsVWnXY4EIOFD9HY-qGfv0/edit?usp=sharing"",""GERAL!BG5:BG""),
IMPORTRANGE(""https://docs.google.com/spreadsheets/d/1YM-djuOLXomrZ9W0B4TyIBsVWnXY4EIOFD9HY-qGfv0/edit?"&amp;"usp=sharing"",""GERAL!G5:G""),
""CÓD. SEC NÃO ENCONTRADO NA PLANILHA DE MATRÍCULA"")"),"CENTRO REG DE ENS MEDIO COM INTERMEDIACAO TEC-CEMIT DE VIT.DA CONQUISTA")</f>
        <v>CENTRO REG DE ENS MEDIO COM INTERMEDIACAO TEC-CEMIT DE VIT.DA CONQUISTA</v>
      </c>
      <c r="H1195" s="114" t="s">
        <v>6513</v>
      </c>
      <c r="I1195" s="108" t="s">
        <v>6514</v>
      </c>
      <c r="J1195" s="172" t="s">
        <v>6403</v>
      </c>
      <c r="K1195" s="83" t="s">
        <v>150</v>
      </c>
      <c r="L1195" s="83" t="s">
        <v>151</v>
      </c>
      <c r="M1195" s="83" t="s">
        <v>230</v>
      </c>
      <c r="N1195" s="98" t="s">
        <v>6515</v>
      </c>
      <c r="O1195" s="98" t="s">
        <v>155</v>
      </c>
      <c r="P1195" s="99" t="str">
        <f>IFERROR(__xludf.DUMMYFUNCTION("IFERROR(VLOOKUP(AS1195,IMPORTRANGE(""https://docs.google.com/spreadsheets/d/1juPI-Fb8LD0YtltB2mlGEnp_R3UVu1t3wSFPzgCyHXE/edit?gid=0#gid=0"",""GERAL!A2:C""),3,0),""-"")"),"-")</f>
        <v>-</v>
      </c>
      <c r="Q1195" s="98" t="s">
        <v>171</v>
      </c>
      <c r="R1195" s="98">
        <v>0.0</v>
      </c>
      <c r="S1195" s="98" t="s">
        <v>171</v>
      </c>
      <c r="T1195" s="98" t="s">
        <v>171</v>
      </c>
      <c r="U1195" s="98" t="s">
        <v>171</v>
      </c>
      <c r="V1195" s="98" t="s">
        <v>171</v>
      </c>
      <c r="W1195" s="98" t="s">
        <v>171</v>
      </c>
      <c r="X1195" s="98" t="s">
        <v>171</v>
      </c>
      <c r="Y1195" s="98" t="s">
        <v>171</v>
      </c>
      <c r="Z1195" s="98" t="s">
        <v>171</v>
      </c>
      <c r="AA1195" s="98" t="s">
        <v>171</v>
      </c>
      <c r="AB1195" s="98" t="s">
        <v>171</v>
      </c>
      <c r="AC1195" s="98" t="s">
        <v>171</v>
      </c>
      <c r="AD1195" s="98" t="s">
        <v>171</v>
      </c>
      <c r="AE1195" s="98" t="s">
        <v>171</v>
      </c>
      <c r="AF1195" s="98" t="s">
        <v>171</v>
      </c>
      <c r="AG1195" s="98" t="s">
        <v>171</v>
      </c>
      <c r="AH1195" s="98" t="s">
        <v>171</v>
      </c>
      <c r="AI1195" s="98" t="s">
        <v>171</v>
      </c>
      <c r="AJ1195" s="98" t="s">
        <v>171</v>
      </c>
      <c r="AK1195" s="98" t="s">
        <v>171</v>
      </c>
      <c r="AL1195" s="98" t="s">
        <v>171</v>
      </c>
      <c r="AM1195" s="98" t="s">
        <v>171</v>
      </c>
      <c r="AN1195" s="98" t="s">
        <v>171</v>
      </c>
      <c r="AO1195" s="98" t="s">
        <v>171</v>
      </c>
      <c r="AP1195" s="98" t="s">
        <v>171</v>
      </c>
      <c r="AQ1195" s="98" t="s">
        <v>171</v>
      </c>
      <c r="AR1195" s="102">
        <v>46206.0</v>
      </c>
      <c r="AS1195" s="83">
        <v>1179285.0</v>
      </c>
    </row>
    <row r="1196" ht="15.75" customHeight="1">
      <c r="A1196" s="111" t="s">
        <v>1393</v>
      </c>
      <c r="B1196" s="83" t="s">
        <v>2282</v>
      </c>
      <c r="C1196" s="83" t="s">
        <v>68</v>
      </c>
      <c r="D1196" s="112">
        <v>1179448.0</v>
      </c>
      <c r="E1196" s="83"/>
      <c r="F1196" s="83">
        <v>2.9467861E7</v>
      </c>
      <c r="G1196" s="91" t="str">
        <f>IFERROR(__xludf.DUMMYFUNCTION("XLOOKUP(AS1196,
IMPORTRANGE(""https://docs.google.com/spreadsheets/d/1YM-djuOLXomrZ9W0B4TyIBsVWnXY4EIOFD9HY-qGfv0/edit?usp=sharing"",""GERAL!BG5:BG""),
IMPORTRANGE(""https://docs.google.com/spreadsheets/d/1YM-djuOLXomrZ9W0B4TyIBsVWnXY4EIOFD9HY-qGfv0/edit?"&amp;"usp=sharing"",""GERAL!G5:G""),
""CÓD. SEC NÃO ENCONTRADO NA PLANILHA DE MATRÍCULA"")"),"CENTRO JUVENIL DE CIENCIA E CULTURA - CJCC VITORIA DA CONQUISTA")</f>
        <v>CENTRO JUVENIL DE CIENCIA E CULTURA - CJCC VITORIA DA CONQUISTA</v>
      </c>
      <c r="H1196" s="114" t="s">
        <v>6518</v>
      </c>
      <c r="I1196" s="91" t="s">
        <v>6519</v>
      </c>
      <c r="J1196" s="172" t="s">
        <v>6427</v>
      </c>
      <c r="K1196" s="83" t="s">
        <v>150</v>
      </c>
      <c r="L1196" s="83" t="s">
        <v>151</v>
      </c>
      <c r="M1196" s="83" t="s">
        <v>230</v>
      </c>
      <c r="N1196" s="98" t="s">
        <v>6521</v>
      </c>
      <c r="O1196" s="98" t="s">
        <v>155</v>
      </c>
      <c r="P1196" s="99" t="str">
        <f>IFERROR(__xludf.DUMMYFUNCTION("IFERROR(VLOOKUP(AS1196,IMPORTRANGE(""https://docs.google.com/spreadsheets/d/1juPI-Fb8LD0YtltB2mlGEnp_R3UVu1t3wSFPzgCyHXE/edit?gid=0#gid=0"",""GERAL!A2:C""),3,0),""-"")"),"-")</f>
        <v>-</v>
      </c>
      <c r="Q1196" s="98" t="s">
        <v>171</v>
      </c>
      <c r="R1196" s="98">
        <v>7.0</v>
      </c>
      <c r="S1196" s="98" t="s">
        <v>171</v>
      </c>
      <c r="T1196" s="98" t="s">
        <v>171</v>
      </c>
      <c r="U1196" s="98" t="s">
        <v>171</v>
      </c>
      <c r="V1196" s="98" t="s">
        <v>171</v>
      </c>
      <c r="W1196" s="98" t="s">
        <v>171</v>
      </c>
      <c r="X1196" s="98" t="s">
        <v>171</v>
      </c>
      <c r="Y1196" s="98" t="s">
        <v>171</v>
      </c>
      <c r="Z1196" s="98" t="s">
        <v>171</v>
      </c>
      <c r="AA1196" s="98" t="s">
        <v>171</v>
      </c>
      <c r="AB1196" s="98" t="s">
        <v>171</v>
      </c>
      <c r="AC1196" s="98" t="s">
        <v>171</v>
      </c>
      <c r="AD1196" s="98" t="s">
        <v>171</v>
      </c>
      <c r="AE1196" s="98" t="s">
        <v>171</v>
      </c>
      <c r="AF1196" s="98" t="s">
        <v>171</v>
      </c>
      <c r="AG1196" s="98" t="s">
        <v>171</v>
      </c>
      <c r="AH1196" s="98" t="s">
        <v>171</v>
      </c>
      <c r="AI1196" s="98" t="s">
        <v>171</v>
      </c>
      <c r="AJ1196" s="98" t="s">
        <v>171</v>
      </c>
      <c r="AK1196" s="98" t="s">
        <v>171</v>
      </c>
      <c r="AL1196" s="98" t="s">
        <v>171</v>
      </c>
      <c r="AM1196" s="98" t="s">
        <v>171</v>
      </c>
      <c r="AN1196" s="98" t="s">
        <v>171</v>
      </c>
      <c r="AO1196" s="98" t="s">
        <v>171</v>
      </c>
      <c r="AP1196" s="98" t="s">
        <v>171</v>
      </c>
      <c r="AQ1196" s="98" t="s">
        <v>171</v>
      </c>
      <c r="AR1196" s="102">
        <v>46206.0</v>
      </c>
      <c r="AS1196" s="83">
        <v>1179448.0</v>
      </c>
    </row>
    <row r="1197" ht="15.75" customHeight="1">
      <c r="A1197" s="127" t="s">
        <v>1393</v>
      </c>
      <c r="B1197" s="98" t="s">
        <v>2282</v>
      </c>
      <c r="C1197" s="83" t="s">
        <v>68</v>
      </c>
      <c r="D1197" s="98">
        <v>1179790.0</v>
      </c>
      <c r="E1197" s="83"/>
      <c r="F1197" s="98">
        <v>44177.0</v>
      </c>
      <c r="G1197" s="91" t="str">
        <f>IFERROR(__xludf.DUMMYFUNCTION("XLOOKUP(AS1197,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PEDAGÓGICO ESPECIALIZADO DE VITÓRIA DA CONQUISTA")</f>
        <v>CENTRO DE APOIO PEDAGÓGICO ESPECIALIZADO DE VITÓRIA DA CONQUISTA</v>
      </c>
      <c r="H1197" s="119" t="s">
        <v>6522</v>
      </c>
      <c r="I1197" s="108" t="s">
        <v>6523</v>
      </c>
      <c r="J1197" s="115" t="s">
        <v>6449</v>
      </c>
      <c r="K1197" s="98"/>
      <c r="L1197" s="83" t="s">
        <v>151</v>
      </c>
      <c r="M1197" s="83" t="s">
        <v>230</v>
      </c>
      <c r="N1197" s="98" t="s">
        <v>6524</v>
      </c>
      <c r="O1197" s="98" t="s">
        <v>155</v>
      </c>
      <c r="P1197" s="99" t="str">
        <f>IFERROR(__xludf.DUMMYFUNCTION("IFERROR(VLOOKUP(AS1197,IMPORTRANGE(""https://docs.google.com/spreadsheets/d/1juPI-Fb8LD0YtltB2mlGEnp_R3UVu1t3wSFPzgCyHXE/edit?gid=0#gid=0"",""GERAL!A2:C""),3,0),""-"")"),"-")</f>
        <v>-</v>
      </c>
      <c r="Q1197" s="98" t="s">
        <v>171</v>
      </c>
      <c r="R1197" s="98" t="s">
        <v>171</v>
      </c>
      <c r="S1197" s="98" t="s">
        <v>171</v>
      </c>
      <c r="T1197" s="98" t="s">
        <v>171</v>
      </c>
      <c r="U1197" s="98" t="s">
        <v>171</v>
      </c>
      <c r="V1197" s="98" t="s">
        <v>171</v>
      </c>
      <c r="W1197" s="98" t="s">
        <v>171</v>
      </c>
      <c r="X1197" s="98" t="s">
        <v>171</v>
      </c>
      <c r="Y1197" s="98" t="s">
        <v>171</v>
      </c>
      <c r="Z1197" s="98" t="s">
        <v>171</v>
      </c>
      <c r="AA1197" s="98" t="s">
        <v>171</v>
      </c>
      <c r="AB1197" s="98" t="s">
        <v>171</v>
      </c>
      <c r="AC1197" s="98" t="s">
        <v>171</v>
      </c>
      <c r="AD1197" s="98" t="s">
        <v>171</v>
      </c>
      <c r="AE1197" s="98" t="s">
        <v>171</v>
      </c>
      <c r="AF1197" s="98" t="s">
        <v>171</v>
      </c>
      <c r="AG1197" s="98" t="s">
        <v>171</v>
      </c>
      <c r="AH1197" s="98" t="s">
        <v>171</v>
      </c>
      <c r="AI1197" s="98"/>
      <c r="AJ1197" s="98" t="s">
        <v>171</v>
      </c>
      <c r="AK1197" s="98" t="s">
        <v>171</v>
      </c>
      <c r="AL1197" s="98" t="s">
        <v>171</v>
      </c>
      <c r="AM1197" s="98" t="s">
        <v>171</v>
      </c>
      <c r="AN1197" s="98" t="s">
        <v>171</v>
      </c>
      <c r="AO1197" s="98" t="s">
        <v>171</v>
      </c>
      <c r="AP1197" s="98" t="s">
        <v>171</v>
      </c>
      <c r="AQ1197" s="98" t="s">
        <v>171</v>
      </c>
      <c r="AR1197" s="102">
        <v>46216.0</v>
      </c>
      <c r="AS1197" s="98">
        <v>1179790.0</v>
      </c>
    </row>
    <row r="1198" ht="15.75" customHeight="1">
      <c r="A1198" s="111" t="s">
        <v>1393</v>
      </c>
      <c r="B1198" s="83" t="s">
        <v>2282</v>
      </c>
      <c r="C1198" s="83" t="s">
        <v>164</v>
      </c>
      <c r="D1198" s="112">
        <v>1125224.0</v>
      </c>
      <c r="E1198" s="83">
        <v>1179700.0</v>
      </c>
      <c r="F1198" s="291"/>
      <c r="G1198" s="91" t="str">
        <f>IFERROR(__xludf.DUMMYFUNCTION("XLOOKUP(AS1198,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KLEBER PACHECO - CASE WANDERLINO NOGUEIRA NETO")</f>
        <v>ANEXO - COLÉGIO ESTADUAL KLEBER PACHECO - CASE WANDERLINO NOGUEIRA NETO</v>
      </c>
      <c r="H1198" s="184" t="s">
        <v>6526</v>
      </c>
      <c r="I1198" s="91" t="s">
        <v>6527</v>
      </c>
      <c r="J1198" s="136" t="s">
        <v>6403</v>
      </c>
      <c r="K1198" s="83" t="s">
        <v>150</v>
      </c>
      <c r="L1198" s="83" t="s">
        <v>168</v>
      </c>
      <c r="M1198" s="83" t="s">
        <v>512</v>
      </c>
      <c r="N1198" s="115" t="s">
        <v>170</v>
      </c>
      <c r="O1198" s="98" t="s">
        <v>155</v>
      </c>
      <c r="P1198" s="99" t="str">
        <f>IFERROR(__xludf.DUMMYFUNCTION("IFERROR(VLOOKUP(AS1198,IMPORTRANGE(""https://docs.google.com/spreadsheets/d/1juPI-Fb8LD0YtltB2mlGEnp_R3UVu1t3wSFPzgCyHXE/edit?gid=0#gid=0"",""GERAL!A2:C""),3,0),""-"")"),"-")</f>
        <v>-</v>
      </c>
      <c r="Q1198" s="98" t="s">
        <v>171</v>
      </c>
      <c r="R1198" s="98" t="s">
        <v>171</v>
      </c>
      <c r="S1198" s="98" t="s">
        <v>171</v>
      </c>
      <c r="T1198" s="98" t="s">
        <v>171</v>
      </c>
      <c r="U1198" s="98" t="s">
        <v>171</v>
      </c>
      <c r="V1198" s="98" t="s">
        <v>171</v>
      </c>
      <c r="W1198" s="98" t="s">
        <v>171</v>
      </c>
      <c r="X1198" s="98" t="s">
        <v>171</v>
      </c>
      <c r="Y1198" s="98" t="s">
        <v>171</v>
      </c>
      <c r="Z1198" s="98" t="s">
        <v>171</v>
      </c>
      <c r="AA1198" s="98" t="s">
        <v>171</v>
      </c>
      <c r="AB1198" s="98" t="s">
        <v>171</v>
      </c>
      <c r="AC1198" s="98" t="s">
        <v>171</v>
      </c>
      <c r="AD1198" s="98" t="s">
        <v>171</v>
      </c>
      <c r="AE1198" s="98" t="s">
        <v>171</v>
      </c>
      <c r="AF1198" s="98" t="s">
        <v>171</v>
      </c>
      <c r="AG1198" s="98" t="s">
        <v>171</v>
      </c>
      <c r="AH1198" s="98" t="s">
        <v>171</v>
      </c>
      <c r="AI1198" s="98"/>
      <c r="AJ1198" s="98" t="s">
        <v>171</v>
      </c>
      <c r="AK1198" s="98" t="s">
        <v>171</v>
      </c>
      <c r="AL1198" s="98" t="s">
        <v>171</v>
      </c>
      <c r="AM1198" s="98" t="s">
        <v>171</v>
      </c>
      <c r="AN1198" s="98" t="s">
        <v>171</v>
      </c>
      <c r="AO1198" s="98" t="s">
        <v>171</v>
      </c>
      <c r="AP1198" s="98" t="s">
        <v>171</v>
      </c>
      <c r="AQ1198" s="98" t="s">
        <v>171</v>
      </c>
      <c r="AR1198" s="102">
        <v>46206.0</v>
      </c>
      <c r="AS1198" s="83">
        <v>1179700.0</v>
      </c>
    </row>
    <row r="1199" ht="15.75" customHeight="1">
      <c r="A1199" s="111" t="s">
        <v>1393</v>
      </c>
      <c r="B1199" s="83" t="s">
        <v>2282</v>
      </c>
      <c r="C1199" s="83" t="s">
        <v>164</v>
      </c>
      <c r="D1199" s="112">
        <v>1179113.0</v>
      </c>
      <c r="E1199" s="83">
        <v>1179165.0</v>
      </c>
      <c r="F1199" s="83">
        <v>2.9449332E7</v>
      </c>
      <c r="G1199" s="91" t="str">
        <f>IFERROR(__xludf.DUMMYFUNCTION("XLOOKUP(AS1199,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LUCIA ROCHA MACEDO - ASSENTAMENTO LAGOA DO CALDEIRAO")</f>
        <v>ANEXO - COLÉGIO ESTADUAL DO CAMPO LUCIA ROCHA MACEDO - ASSENTAMENTO LAGOA DO CALDEIRAO</v>
      </c>
      <c r="H1199" s="184" t="s">
        <v>6530</v>
      </c>
      <c r="I1199" s="91" t="s">
        <v>6531</v>
      </c>
      <c r="J1199" s="136" t="s">
        <v>149</v>
      </c>
      <c r="K1199" s="83" t="s">
        <v>6124</v>
      </c>
      <c r="L1199" s="83" t="s">
        <v>168</v>
      </c>
      <c r="M1199" s="83" t="s">
        <v>169</v>
      </c>
      <c r="N1199" s="115" t="s">
        <v>170</v>
      </c>
      <c r="O1199" s="98" t="s">
        <v>155</v>
      </c>
      <c r="P1199" s="99" t="str">
        <f>IFERROR(__xludf.DUMMYFUNCTION("IFERROR(VLOOKUP(AS1199,IMPORTRANGE(""https://docs.google.com/spreadsheets/d/1juPI-Fb8LD0YtltB2mlGEnp_R3UVu1t3wSFPzgCyHXE/edit?gid=0#gid=0"",""GERAL!A2:C""),3,0),""-"")"),"ASSENTAMENTOS")</f>
        <v>ASSENTAMENTOS</v>
      </c>
      <c r="Q1199" s="98" t="s">
        <v>171</v>
      </c>
      <c r="R1199" s="98">
        <v>3.0</v>
      </c>
      <c r="S1199" s="98" t="s">
        <v>171</v>
      </c>
      <c r="T1199" s="98" t="s">
        <v>171</v>
      </c>
      <c r="U1199" s="98" t="s">
        <v>171</v>
      </c>
      <c r="V1199" s="98" t="s">
        <v>171</v>
      </c>
      <c r="W1199" s="98" t="s">
        <v>171</v>
      </c>
      <c r="X1199" s="98" t="s">
        <v>171</v>
      </c>
      <c r="Y1199" s="98" t="s">
        <v>171</v>
      </c>
      <c r="Z1199" s="98" t="s">
        <v>171</v>
      </c>
      <c r="AA1199" s="98" t="s">
        <v>171</v>
      </c>
      <c r="AB1199" s="98" t="s">
        <v>171</v>
      </c>
      <c r="AC1199" s="98" t="s">
        <v>171</v>
      </c>
      <c r="AD1199" s="98" t="s">
        <v>171</v>
      </c>
      <c r="AE1199" s="98" t="s">
        <v>171</v>
      </c>
      <c r="AF1199" s="98" t="s">
        <v>171</v>
      </c>
      <c r="AG1199" s="98" t="s">
        <v>171</v>
      </c>
      <c r="AH1199" s="98" t="s">
        <v>171</v>
      </c>
      <c r="AI1199" s="98" t="s">
        <v>171</v>
      </c>
      <c r="AJ1199" s="98" t="s">
        <v>171</v>
      </c>
      <c r="AK1199" s="98" t="s">
        <v>171</v>
      </c>
      <c r="AL1199" s="98" t="s">
        <v>171</v>
      </c>
      <c r="AM1199" s="98" t="s">
        <v>171</v>
      </c>
      <c r="AN1199" s="98" t="s">
        <v>171</v>
      </c>
      <c r="AO1199" s="98" t="s">
        <v>171</v>
      </c>
      <c r="AP1199" s="98" t="s">
        <v>171</v>
      </c>
      <c r="AQ1199" s="98" t="s">
        <v>171</v>
      </c>
      <c r="AR1199" s="102">
        <v>46206.0</v>
      </c>
      <c r="AS1199" s="83">
        <v>1179165.0</v>
      </c>
    </row>
    <row r="1200" ht="15.75" customHeight="1">
      <c r="A1200" s="111" t="s">
        <v>1393</v>
      </c>
      <c r="B1200" s="83" t="s">
        <v>2282</v>
      </c>
      <c r="C1200" s="83" t="s">
        <v>164</v>
      </c>
      <c r="D1200" s="98">
        <v>1125399.0</v>
      </c>
      <c r="E1200" s="83">
        <v>1177015.0</v>
      </c>
      <c r="F1200" s="291"/>
      <c r="G1200" s="91" t="str">
        <f>IFERROR(__xludf.DUMMYFUNCTION("XLOOKUP(AS1200,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ERASMO NOVAIS DOS SANTOS - DIST. DE BATE-PE")</f>
        <v>ANEXO - COLÉGIO ESTADUAL DO CAMPO ERASMO NOVAIS DOS SANTOS - DIST. DE BATE-PE</v>
      </c>
      <c r="H1200" s="184" t="s">
        <v>6532</v>
      </c>
      <c r="I1200" s="91" t="s">
        <v>6533</v>
      </c>
      <c r="J1200" s="136" t="s">
        <v>149</v>
      </c>
      <c r="K1200" s="83" t="s">
        <v>2142</v>
      </c>
      <c r="L1200" s="83" t="s">
        <v>168</v>
      </c>
      <c r="M1200" s="83" t="s">
        <v>169</v>
      </c>
      <c r="N1200" s="115" t="s">
        <v>170</v>
      </c>
      <c r="O1200" s="98" t="s">
        <v>155</v>
      </c>
      <c r="P1200" s="99" t="str">
        <f>IFERROR(__xludf.DUMMYFUNCTION("IFERROR(VLOOKUP(AS1200,IMPORTRANGE(""https://docs.google.com/spreadsheets/d/1juPI-Fb8LD0YtltB2mlGEnp_R3UVu1t3wSFPzgCyHXE/edit?gid=0#gid=0"",""GERAL!A2:C""),3,0),""-"")"),"CAMPO")</f>
        <v>CAMPO</v>
      </c>
      <c r="Q1200" s="98" t="s">
        <v>171</v>
      </c>
      <c r="R1200" s="98">
        <v>7.0</v>
      </c>
      <c r="S1200" s="98" t="s">
        <v>171</v>
      </c>
      <c r="T1200" s="98" t="s">
        <v>171</v>
      </c>
      <c r="U1200" s="98" t="s">
        <v>171</v>
      </c>
      <c r="V1200" s="98" t="s">
        <v>171</v>
      </c>
      <c r="W1200" s="98" t="s">
        <v>171</v>
      </c>
      <c r="X1200" s="98" t="s">
        <v>171</v>
      </c>
      <c r="Y1200" s="98" t="s">
        <v>171</v>
      </c>
      <c r="Z1200" s="98" t="s">
        <v>171</v>
      </c>
      <c r="AA1200" s="98" t="s">
        <v>171</v>
      </c>
      <c r="AB1200" s="98" t="s">
        <v>171</v>
      </c>
      <c r="AC1200" s="98" t="s">
        <v>171</v>
      </c>
      <c r="AD1200" s="98" t="s">
        <v>171</v>
      </c>
      <c r="AE1200" s="98" t="s">
        <v>171</v>
      </c>
      <c r="AF1200" s="98" t="s">
        <v>171</v>
      </c>
      <c r="AG1200" s="98" t="s">
        <v>171</v>
      </c>
      <c r="AH1200" s="98" t="s">
        <v>171</v>
      </c>
      <c r="AI1200" s="98" t="s">
        <v>171</v>
      </c>
      <c r="AJ1200" s="98" t="s">
        <v>171</v>
      </c>
      <c r="AK1200" s="98" t="s">
        <v>171</v>
      </c>
      <c r="AL1200" s="98" t="s">
        <v>171</v>
      </c>
      <c r="AM1200" s="98" t="s">
        <v>171</v>
      </c>
      <c r="AN1200" s="98" t="s">
        <v>171</v>
      </c>
      <c r="AO1200" s="98" t="s">
        <v>171</v>
      </c>
      <c r="AP1200" s="98" t="s">
        <v>171</v>
      </c>
      <c r="AQ1200" s="98" t="s">
        <v>171</v>
      </c>
      <c r="AR1200" s="102">
        <v>46206.0</v>
      </c>
      <c r="AS1200" s="83">
        <v>1177015.0</v>
      </c>
    </row>
    <row r="1201" ht="15.75" customHeight="1">
      <c r="A1201" s="111" t="s">
        <v>1393</v>
      </c>
      <c r="B1201" s="83" t="s">
        <v>2282</v>
      </c>
      <c r="C1201" s="83" t="s">
        <v>164</v>
      </c>
      <c r="D1201" s="112">
        <v>1179246.0</v>
      </c>
      <c r="E1201" s="83">
        <v>1179475.0</v>
      </c>
      <c r="F1201" s="291"/>
      <c r="G1201" s="91" t="str">
        <f>IFERROR(__xludf.DUMMYFUNCTION("XLOOKUP(AS1201,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DA CABECEIRA DA JIBOIA - DISTRITO CAPINAL")</f>
        <v>ANEXO - COLÉGIO ESTADUAL DO CAMPO DA CABECEIRA DA JIBOIA - DISTRITO CAPINAL</v>
      </c>
      <c r="H1201" s="184" t="s">
        <v>6534</v>
      </c>
      <c r="I1201" s="91" t="s">
        <v>6535</v>
      </c>
      <c r="J1201" s="136" t="s">
        <v>6443</v>
      </c>
      <c r="K1201" s="83" t="s">
        <v>2704</v>
      </c>
      <c r="L1201" s="83" t="s">
        <v>168</v>
      </c>
      <c r="M1201" s="83" t="s">
        <v>169</v>
      </c>
      <c r="N1201" s="115" t="s">
        <v>170</v>
      </c>
      <c r="O1201" s="98" t="s">
        <v>155</v>
      </c>
      <c r="P1201" s="99" t="str">
        <f>IFERROR(__xludf.DUMMYFUNCTION("IFERROR(VLOOKUP(AS1201,IMPORTRANGE(""https://docs.google.com/spreadsheets/d/1juPI-Fb8LD0YtltB2mlGEnp_R3UVu1t3wSFPzgCyHXE/edit?gid=0#gid=0"",""GERAL!A2:C""),3,0),""-"")"),"CAMPO")</f>
        <v>CAMPO</v>
      </c>
      <c r="Q1201" s="98" t="s">
        <v>171</v>
      </c>
      <c r="R1201" s="98">
        <v>4.0</v>
      </c>
      <c r="S1201" s="98" t="s">
        <v>171</v>
      </c>
      <c r="T1201" s="98" t="s">
        <v>171</v>
      </c>
      <c r="U1201" s="98" t="s">
        <v>171</v>
      </c>
      <c r="V1201" s="98" t="s">
        <v>171</v>
      </c>
      <c r="W1201" s="98" t="s">
        <v>171</v>
      </c>
      <c r="X1201" s="98" t="s">
        <v>171</v>
      </c>
      <c r="Y1201" s="98" t="s">
        <v>171</v>
      </c>
      <c r="Z1201" s="98" t="s">
        <v>171</v>
      </c>
      <c r="AA1201" s="98" t="s">
        <v>171</v>
      </c>
      <c r="AB1201" s="98" t="s">
        <v>171</v>
      </c>
      <c r="AC1201" s="98" t="s">
        <v>171</v>
      </c>
      <c r="AD1201" s="98" t="s">
        <v>171</v>
      </c>
      <c r="AE1201" s="98" t="s">
        <v>171</v>
      </c>
      <c r="AF1201" s="98" t="s">
        <v>171</v>
      </c>
      <c r="AG1201" s="98" t="s">
        <v>171</v>
      </c>
      <c r="AH1201" s="98" t="s">
        <v>171</v>
      </c>
      <c r="AI1201" s="98" t="s">
        <v>171</v>
      </c>
      <c r="AJ1201" s="98" t="s">
        <v>171</v>
      </c>
      <c r="AK1201" s="98" t="s">
        <v>171</v>
      </c>
      <c r="AL1201" s="98" t="s">
        <v>171</v>
      </c>
      <c r="AM1201" s="98" t="s">
        <v>171</v>
      </c>
      <c r="AN1201" s="98" t="s">
        <v>171</v>
      </c>
      <c r="AO1201" s="98" t="s">
        <v>171</v>
      </c>
      <c r="AP1201" s="98" t="s">
        <v>171</v>
      </c>
      <c r="AQ1201" s="98" t="s">
        <v>171</v>
      </c>
      <c r="AR1201" s="102">
        <v>46206.0</v>
      </c>
      <c r="AS1201" s="83">
        <v>1179475.0</v>
      </c>
    </row>
    <row r="1202" ht="15.75" customHeight="1">
      <c r="A1202" s="111" t="s">
        <v>1393</v>
      </c>
      <c r="B1202" s="83" t="s">
        <v>2282</v>
      </c>
      <c r="C1202" s="83" t="s">
        <v>164</v>
      </c>
      <c r="D1202" s="112">
        <v>1125160.0</v>
      </c>
      <c r="E1202" s="83">
        <v>1178183.0</v>
      </c>
      <c r="F1202" s="291"/>
      <c r="G1202" s="91" t="str">
        <f>IFERROR(__xludf.DUMMYFUNCTION("XLOOKUP(AS1202,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VITORIA DA CONQUISTA DISTRITO DE CERCADINHO
")</f>
        <v>ANEXO - CEMIT VITORIA DA CONQUISTA DISTRITO DE CERCADINHO
</v>
      </c>
      <c r="H1202" s="184" t="s">
        <v>6536</v>
      </c>
      <c r="I1202" s="91" t="s">
        <v>6537</v>
      </c>
      <c r="J1202" s="136" t="s">
        <v>6538</v>
      </c>
      <c r="K1202" s="83" t="s">
        <v>6539</v>
      </c>
      <c r="L1202" s="83" t="s">
        <v>168</v>
      </c>
      <c r="M1202" s="83" t="s">
        <v>169</v>
      </c>
      <c r="N1202" s="115" t="s">
        <v>170</v>
      </c>
      <c r="O1202" s="98" t="s">
        <v>155</v>
      </c>
      <c r="P1202" s="99" t="str">
        <f>IFERROR(__xludf.DUMMYFUNCTION("IFERROR(VLOOKUP(AS1202,IMPORTRANGE(""https://docs.google.com/spreadsheets/d/1juPI-Fb8LD0YtltB2mlGEnp_R3UVu1t3wSFPzgCyHXE/edit?gid=0#gid=0"",""GERAL!A2:C""),3,0),""-"")"),"CAMPO")</f>
        <v>CAMPO</v>
      </c>
      <c r="Q1202" s="98" t="s">
        <v>171</v>
      </c>
      <c r="R1202" s="98">
        <v>3.0</v>
      </c>
      <c r="S1202" s="98" t="s">
        <v>171</v>
      </c>
      <c r="T1202" s="98" t="s">
        <v>171</v>
      </c>
      <c r="U1202" s="98" t="s">
        <v>171</v>
      </c>
      <c r="V1202" s="98" t="s">
        <v>171</v>
      </c>
      <c r="W1202" s="98" t="s">
        <v>171</v>
      </c>
      <c r="X1202" s="98" t="s">
        <v>171</v>
      </c>
      <c r="Y1202" s="98" t="s">
        <v>171</v>
      </c>
      <c r="Z1202" s="98" t="s">
        <v>171</v>
      </c>
      <c r="AA1202" s="98" t="s">
        <v>171</v>
      </c>
      <c r="AB1202" s="98" t="s">
        <v>171</v>
      </c>
      <c r="AC1202" s="98" t="s">
        <v>171</v>
      </c>
      <c r="AD1202" s="98" t="s">
        <v>171</v>
      </c>
      <c r="AE1202" s="98" t="s">
        <v>171</v>
      </c>
      <c r="AF1202" s="98" t="s">
        <v>171</v>
      </c>
      <c r="AG1202" s="98" t="s">
        <v>171</v>
      </c>
      <c r="AH1202" s="98" t="s">
        <v>171</v>
      </c>
      <c r="AI1202" s="98" t="s">
        <v>171</v>
      </c>
      <c r="AJ1202" s="98" t="s">
        <v>171</v>
      </c>
      <c r="AK1202" s="98" t="s">
        <v>171</v>
      </c>
      <c r="AL1202" s="98" t="s">
        <v>171</v>
      </c>
      <c r="AM1202" s="98" t="s">
        <v>171</v>
      </c>
      <c r="AN1202" s="98" t="s">
        <v>171</v>
      </c>
      <c r="AO1202" s="98" t="s">
        <v>171</v>
      </c>
      <c r="AP1202" s="98" t="s">
        <v>171</v>
      </c>
      <c r="AQ1202" s="98" t="s">
        <v>171</v>
      </c>
      <c r="AR1202" s="102">
        <v>46206.0</v>
      </c>
      <c r="AS1202" s="83">
        <v>1178183.0</v>
      </c>
    </row>
    <row r="1203" ht="15.75" customHeight="1">
      <c r="A1203" s="111" t="s">
        <v>1463</v>
      </c>
      <c r="B1203" s="83" t="s">
        <v>6541</v>
      </c>
      <c r="C1203" s="83" t="s">
        <v>68</v>
      </c>
      <c r="D1203" s="112">
        <v>1178152.0</v>
      </c>
      <c r="E1203" s="83"/>
      <c r="F1203" s="83">
        <v>2.9440173E7</v>
      </c>
      <c r="G1203" s="91" t="str">
        <f>IFERROR(__xludf.DUMMYFUNCTION("XLOOKUP(AS1203,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ALBERICO GOMES SANTANA")</f>
        <v>COLÉGIO ESTADUAL ALBERICO GOMES SANTANA</v>
      </c>
      <c r="H1203" s="114" t="s">
        <v>6547</v>
      </c>
      <c r="I1203" s="91" t="s">
        <v>6548</v>
      </c>
      <c r="J1203" s="83" t="s">
        <v>149</v>
      </c>
      <c r="K1203" s="83" t="s">
        <v>150</v>
      </c>
      <c r="L1203" s="83" t="s">
        <v>151</v>
      </c>
      <c r="M1203" s="83" t="s">
        <v>152</v>
      </c>
      <c r="N1203" s="98" t="s">
        <v>6549</v>
      </c>
      <c r="O1203" s="98" t="s">
        <v>155</v>
      </c>
      <c r="P1203" s="99" t="str">
        <f>IFERROR(__xludf.DUMMYFUNCTION("IFERROR(VLOOKUP(AS1203,IMPORTRANGE(""https://docs.google.com/spreadsheets/d/1juPI-Fb8LD0YtltB2mlGEnp_R3UVu1t3wSFPzgCyHXE/edit?gid=0#gid=0"",""GERAL!A2:C""),3,0),""-"")"),"-")</f>
        <v>-</v>
      </c>
      <c r="Q1203" s="101" t="s">
        <v>156</v>
      </c>
      <c r="R1203" s="98">
        <v>8.0</v>
      </c>
      <c r="S1203" s="98">
        <v>0.0</v>
      </c>
      <c r="T1203" s="98">
        <v>0.0</v>
      </c>
      <c r="U1203" s="98">
        <v>0.0</v>
      </c>
      <c r="V1203" s="98">
        <v>0.0</v>
      </c>
      <c r="W1203" s="98">
        <v>0.0</v>
      </c>
      <c r="X1203" s="98">
        <v>0.0</v>
      </c>
      <c r="Y1203" s="98">
        <v>0.0</v>
      </c>
      <c r="Z1203" s="98">
        <v>0.0</v>
      </c>
      <c r="AA1203" s="98">
        <v>0.0</v>
      </c>
      <c r="AB1203" s="98">
        <v>0.0</v>
      </c>
      <c r="AC1203" s="98">
        <v>0.0</v>
      </c>
      <c r="AD1203" s="98">
        <v>0.0</v>
      </c>
      <c r="AE1203" s="98">
        <v>0.0</v>
      </c>
      <c r="AF1203" s="98">
        <v>1.0</v>
      </c>
      <c r="AG1203" s="98">
        <v>0.0</v>
      </c>
      <c r="AH1203" s="98">
        <v>0.0</v>
      </c>
      <c r="AI1203" s="98">
        <v>0.0</v>
      </c>
      <c r="AJ1203" s="98">
        <v>1.0</v>
      </c>
      <c r="AK1203" s="98">
        <v>0.0</v>
      </c>
      <c r="AL1203" s="98">
        <v>0.0</v>
      </c>
      <c r="AM1203" s="98">
        <v>0.0</v>
      </c>
      <c r="AN1203" s="98">
        <v>0.0</v>
      </c>
      <c r="AO1203" s="98">
        <v>0.0</v>
      </c>
      <c r="AP1203" s="98">
        <v>2.0</v>
      </c>
      <c r="AQ1203" s="98" t="s">
        <v>3430</v>
      </c>
      <c r="AR1203" s="102">
        <v>46203.0</v>
      </c>
      <c r="AS1203" s="83">
        <v>1178152.0</v>
      </c>
    </row>
    <row r="1204" ht="15.75" customHeight="1">
      <c r="A1204" s="111" t="s">
        <v>1463</v>
      </c>
      <c r="B1204" s="83" t="s">
        <v>6541</v>
      </c>
      <c r="C1204" s="83" t="s">
        <v>164</v>
      </c>
      <c r="D1204" s="112">
        <v>1178152.0</v>
      </c>
      <c r="E1204" s="83">
        <v>1179028.0</v>
      </c>
      <c r="F1204" s="83"/>
      <c r="G1204" s="91" t="str">
        <f>IFERROR(__xludf.DUMMYFUNCTION("XLOOKUP(AS1204,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ALBERICO GOMES SANTANA - POVOADO DE TIMBORINHA")</f>
        <v>ANEXO - COLÉGIO ESTADUAL ALBERICO GOMES SANTANA - POVOADO DE TIMBORINHA</v>
      </c>
      <c r="H1204" s="114" t="s">
        <v>6550</v>
      </c>
      <c r="I1204" s="91" t="s">
        <v>6551</v>
      </c>
      <c r="J1204" s="136" t="s">
        <v>6552</v>
      </c>
      <c r="K1204" s="83" t="s">
        <v>310</v>
      </c>
      <c r="L1204" s="83" t="s">
        <v>168</v>
      </c>
      <c r="M1204" s="83" t="s">
        <v>169</v>
      </c>
      <c r="N1204" s="115" t="s">
        <v>170</v>
      </c>
      <c r="O1204" s="98" t="s">
        <v>155</v>
      </c>
      <c r="P1204" s="99" t="str">
        <f>IFERROR(__xludf.DUMMYFUNCTION("IFERROR(VLOOKUP(AS1204,IMPORTRANGE(""https://docs.google.com/spreadsheets/d/1juPI-Fb8LD0YtltB2mlGEnp_R3UVu1t3wSFPzgCyHXE/edit?gid=0#gid=0"",""GERAL!A2:C""),3,0),""-"")"),"CAMPO")</f>
        <v>CAMPO</v>
      </c>
      <c r="Q1204" s="98" t="s">
        <v>171</v>
      </c>
      <c r="R1204" s="98">
        <v>3.0</v>
      </c>
      <c r="S1204" s="98" t="s">
        <v>171</v>
      </c>
      <c r="T1204" s="98" t="s">
        <v>171</v>
      </c>
      <c r="U1204" s="98" t="s">
        <v>171</v>
      </c>
      <c r="V1204" s="98" t="s">
        <v>171</v>
      </c>
      <c r="W1204" s="98" t="s">
        <v>171</v>
      </c>
      <c r="X1204" s="98" t="s">
        <v>171</v>
      </c>
      <c r="Y1204" s="98" t="s">
        <v>171</v>
      </c>
      <c r="Z1204" s="98" t="s">
        <v>171</v>
      </c>
      <c r="AA1204" s="98" t="s">
        <v>171</v>
      </c>
      <c r="AB1204" s="98" t="s">
        <v>171</v>
      </c>
      <c r="AC1204" s="98" t="s">
        <v>171</v>
      </c>
      <c r="AD1204" s="98" t="s">
        <v>171</v>
      </c>
      <c r="AE1204" s="98" t="s">
        <v>171</v>
      </c>
      <c r="AF1204" s="98" t="s">
        <v>171</v>
      </c>
      <c r="AG1204" s="98" t="s">
        <v>171</v>
      </c>
      <c r="AH1204" s="98" t="s">
        <v>171</v>
      </c>
      <c r="AI1204" s="98" t="s">
        <v>171</v>
      </c>
      <c r="AJ1204" s="98" t="s">
        <v>171</v>
      </c>
      <c r="AK1204" s="98" t="s">
        <v>171</v>
      </c>
      <c r="AL1204" s="98" t="s">
        <v>171</v>
      </c>
      <c r="AM1204" s="98" t="s">
        <v>171</v>
      </c>
      <c r="AN1204" s="98" t="s">
        <v>171</v>
      </c>
      <c r="AO1204" s="98" t="s">
        <v>171</v>
      </c>
      <c r="AP1204" s="98" t="s">
        <v>171</v>
      </c>
      <c r="AQ1204" s="98" t="s">
        <v>171</v>
      </c>
      <c r="AR1204" s="102">
        <v>46206.0</v>
      </c>
      <c r="AS1204" s="83">
        <v>1179028.0</v>
      </c>
    </row>
    <row r="1205" ht="15.75" customHeight="1">
      <c r="A1205" s="111" t="s">
        <v>1463</v>
      </c>
      <c r="B1205" s="83" t="s">
        <v>6541</v>
      </c>
      <c r="C1205" s="83" t="s">
        <v>164</v>
      </c>
      <c r="D1205" s="112">
        <v>1178152.0</v>
      </c>
      <c r="E1205" s="83">
        <v>1179027.0</v>
      </c>
      <c r="F1205" s="83"/>
      <c r="G1205" s="91" t="str">
        <f>IFERROR(__xludf.DUMMYFUNCTION("XLOOKUP(AS1205,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ALBERICO GOMES SANTANA - DISTRITO DE GEOLANDIA")</f>
        <v>ANEXO - COLÉGIO ESTADUAL ALBERICO GOMES SANTANA - DISTRITO DE GEOLANDIA</v>
      </c>
      <c r="H1205" s="114" t="s">
        <v>6553</v>
      </c>
      <c r="I1205" s="91" t="s">
        <v>6554</v>
      </c>
      <c r="J1205" s="136" t="s">
        <v>6555</v>
      </c>
      <c r="K1205" s="83" t="s">
        <v>1645</v>
      </c>
      <c r="L1205" s="83" t="s">
        <v>168</v>
      </c>
      <c r="M1205" s="83" t="s">
        <v>169</v>
      </c>
      <c r="N1205" s="115" t="s">
        <v>170</v>
      </c>
      <c r="O1205" s="98" t="s">
        <v>155</v>
      </c>
      <c r="P1205" s="99" t="str">
        <f>IFERROR(__xludf.DUMMYFUNCTION("IFERROR(VLOOKUP(AS1205,IMPORTRANGE(""https://docs.google.com/spreadsheets/d/1juPI-Fb8LD0YtltB2mlGEnp_R3UVu1t3wSFPzgCyHXE/edit?gid=0#gid=0"",""GERAL!A2:C""),3,0),""-"")"),"CAMPO")</f>
        <v>CAMPO</v>
      </c>
      <c r="Q1205" s="98" t="s">
        <v>171</v>
      </c>
      <c r="R1205" s="98">
        <v>3.0</v>
      </c>
      <c r="S1205" s="98" t="s">
        <v>171</v>
      </c>
      <c r="T1205" s="98" t="s">
        <v>171</v>
      </c>
      <c r="U1205" s="98" t="s">
        <v>171</v>
      </c>
      <c r="V1205" s="98" t="s">
        <v>171</v>
      </c>
      <c r="W1205" s="98" t="s">
        <v>171</v>
      </c>
      <c r="X1205" s="98" t="s">
        <v>171</v>
      </c>
      <c r="Y1205" s="98" t="s">
        <v>171</v>
      </c>
      <c r="Z1205" s="98" t="s">
        <v>171</v>
      </c>
      <c r="AA1205" s="98" t="s">
        <v>171</v>
      </c>
      <c r="AB1205" s="98" t="s">
        <v>171</v>
      </c>
      <c r="AC1205" s="98" t="s">
        <v>171</v>
      </c>
      <c r="AD1205" s="98" t="s">
        <v>171</v>
      </c>
      <c r="AE1205" s="98" t="s">
        <v>171</v>
      </c>
      <c r="AF1205" s="98" t="s">
        <v>171</v>
      </c>
      <c r="AG1205" s="98" t="s">
        <v>171</v>
      </c>
      <c r="AH1205" s="98" t="s">
        <v>171</v>
      </c>
      <c r="AI1205" s="98" t="s">
        <v>171</v>
      </c>
      <c r="AJ1205" s="98" t="s">
        <v>171</v>
      </c>
      <c r="AK1205" s="98" t="s">
        <v>171</v>
      </c>
      <c r="AL1205" s="98" t="s">
        <v>171</v>
      </c>
      <c r="AM1205" s="98" t="s">
        <v>171</v>
      </c>
      <c r="AN1205" s="98" t="s">
        <v>171</v>
      </c>
      <c r="AO1205" s="98" t="s">
        <v>171</v>
      </c>
      <c r="AP1205" s="98" t="s">
        <v>171</v>
      </c>
      <c r="AQ1205" s="98" t="s">
        <v>171</v>
      </c>
      <c r="AR1205" s="102">
        <v>46206.0</v>
      </c>
      <c r="AS1205" s="83">
        <v>1179027.0</v>
      </c>
    </row>
    <row r="1206" ht="15.75" customHeight="1">
      <c r="A1206" s="111" t="s">
        <v>1463</v>
      </c>
      <c r="B1206" s="83" t="s">
        <v>6556</v>
      </c>
      <c r="C1206" s="83" t="s">
        <v>68</v>
      </c>
      <c r="D1206" s="112">
        <v>1135394.0</v>
      </c>
      <c r="E1206" s="83"/>
      <c r="F1206" s="83">
        <v>2.9163234E7</v>
      </c>
      <c r="G1206" s="91" t="str">
        <f>IFERROR(__xludf.DUMMYFUNCTION("XLOOKUP(AS1206,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QUILOMBOLA DE TEMPO INTEGRAL DA BACIA DO IGUAPE - DISTRITO DE SANTIAGO DO IGUAPE")</f>
        <v>COLÉGIO ESTADUAL QUILOMBOLA DE TEMPO INTEGRAL DA BACIA DO IGUAPE - DISTRITO DE SANTIAGO DO IGUAPE</v>
      </c>
      <c r="H1206" s="119" t="s">
        <v>6557</v>
      </c>
      <c r="I1206" s="91" t="s">
        <v>6558</v>
      </c>
      <c r="J1206" s="83" t="s">
        <v>6559</v>
      </c>
      <c r="K1206" s="83" t="s">
        <v>751</v>
      </c>
      <c r="L1206" s="83" t="s">
        <v>151</v>
      </c>
      <c r="M1206" s="98" t="s">
        <v>76</v>
      </c>
      <c r="N1206" s="98" t="s">
        <v>6560</v>
      </c>
      <c r="O1206" s="98" t="s">
        <v>284</v>
      </c>
      <c r="P1206" s="99" t="str">
        <f>IFERROR(__xludf.DUMMYFUNCTION("IFERROR(VLOOKUP(AS1206,IMPORTRANGE(""https://docs.google.com/spreadsheets/d/1juPI-Fb8LD0YtltB2mlGEnp_R3UVu1t3wSFPzgCyHXE/edit?gid=0#gid=0"",""GERAL!A2:C""),3,0),""-"")"),"QUILOMBOLAS")</f>
        <v>QUILOMBOLAS</v>
      </c>
      <c r="Q1206" s="101" t="s">
        <v>156</v>
      </c>
      <c r="R1206" s="98">
        <v>6.0</v>
      </c>
      <c r="S1206" s="98">
        <v>0.0</v>
      </c>
      <c r="T1206" s="98">
        <v>0.0</v>
      </c>
      <c r="U1206" s="98">
        <v>0.0</v>
      </c>
      <c r="V1206" s="98">
        <v>0.0</v>
      </c>
      <c r="W1206" s="98">
        <v>0.0</v>
      </c>
      <c r="X1206" s="98">
        <v>1.0</v>
      </c>
      <c r="Y1206" s="98">
        <v>0.0</v>
      </c>
      <c r="Z1206" s="98">
        <v>0.0</v>
      </c>
      <c r="AA1206" s="98">
        <v>0.0</v>
      </c>
      <c r="AB1206" s="98">
        <v>1.0</v>
      </c>
      <c r="AC1206" s="98">
        <v>0.0</v>
      </c>
      <c r="AD1206" s="98">
        <v>0.0</v>
      </c>
      <c r="AE1206" s="98">
        <v>0.0</v>
      </c>
      <c r="AF1206" s="98">
        <v>1.0</v>
      </c>
      <c r="AG1206" s="98">
        <v>0.0</v>
      </c>
      <c r="AH1206" s="98">
        <v>0.0</v>
      </c>
      <c r="AI1206" s="98">
        <v>0.0</v>
      </c>
      <c r="AJ1206" s="98">
        <v>0.0</v>
      </c>
      <c r="AK1206" s="98">
        <v>0.0</v>
      </c>
      <c r="AL1206" s="98">
        <v>0.0</v>
      </c>
      <c r="AM1206" s="98">
        <v>0.0</v>
      </c>
      <c r="AN1206" s="98">
        <v>0.0</v>
      </c>
      <c r="AO1206" s="98">
        <v>0.0</v>
      </c>
      <c r="AP1206" s="98">
        <v>0.0</v>
      </c>
      <c r="AQ1206" s="98" t="s">
        <v>171</v>
      </c>
      <c r="AR1206" s="102">
        <v>46203.0</v>
      </c>
      <c r="AS1206" s="83">
        <v>1135394.0</v>
      </c>
    </row>
    <row r="1207" ht="15.75" customHeight="1">
      <c r="A1207" s="111" t="s">
        <v>1463</v>
      </c>
      <c r="B1207" s="83" t="s">
        <v>6556</v>
      </c>
      <c r="C1207" s="83" t="s">
        <v>68</v>
      </c>
      <c r="D1207" s="112">
        <v>1133715.0</v>
      </c>
      <c r="E1207" s="83"/>
      <c r="F1207" s="83">
        <v>2.916261E7</v>
      </c>
      <c r="G1207" s="91" t="str">
        <f>IFERROR(__xludf.DUMMYFUNCTION("XLOOKUP(AS1207,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DA CACHOEIRA")</f>
        <v>COLÉGIO ESTADUAL DE TEMPO INTEGRAL DA CACHOEIRA</v>
      </c>
      <c r="H1207" s="114" t="s">
        <v>6561</v>
      </c>
      <c r="I1207" s="91" t="s">
        <v>6562</v>
      </c>
      <c r="J1207" s="136" t="s">
        <v>149</v>
      </c>
      <c r="K1207" s="136" t="s">
        <v>150</v>
      </c>
      <c r="L1207" s="136" t="s">
        <v>151</v>
      </c>
      <c r="M1207" s="136" t="s">
        <v>152</v>
      </c>
      <c r="N1207" s="98" t="s">
        <v>6563</v>
      </c>
      <c r="O1207" s="98" t="s">
        <v>155</v>
      </c>
      <c r="P1207" s="99" t="str">
        <f>IFERROR(__xludf.DUMMYFUNCTION("IFERROR(VLOOKUP(AS1207,IMPORTRANGE(""https://docs.google.com/spreadsheets/d/1juPI-Fb8LD0YtltB2mlGEnp_R3UVu1t3wSFPzgCyHXE/edit?gid=0#gid=0"",""GERAL!A2:C""),3,0),""-"")"),"-")</f>
        <v>-</v>
      </c>
      <c r="Q1207" s="101" t="s">
        <v>156</v>
      </c>
      <c r="R1207" s="98">
        <v>20.0</v>
      </c>
      <c r="S1207" s="98">
        <v>0.0</v>
      </c>
      <c r="T1207" s="98">
        <v>0.0</v>
      </c>
      <c r="U1207" s="98">
        <v>0.0</v>
      </c>
      <c r="V1207" s="98">
        <v>0.0</v>
      </c>
      <c r="W1207" s="98">
        <v>0.0</v>
      </c>
      <c r="X1207" s="98">
        <v>0.0</v>
      </c>
      <c r="Y1207" s="98">
        <v>0.0</v>
      </c>
      <c r="Z1207" s="98">
        <v>0.0</v>
      </c>
      <c r="AA1207" s="98">
        <v>1.0</v>
      </c>
      <c r="AB1207" s="98">
        <v>0.0</v>
      </c>
      <c r="AC1207" s="98">
        <v>1.0</v>
      </c>
      <c r="AD1207" s="98">
        <v>0.0</v>
      </c>
      <c r="AE1207" s="98">
        <v>0.0</v>
      </c>
      <c r="AF1207" s="98">
        <v>0.0</v>
      </c>
      <c r="AG1207" s="98">
        <v>1.0</v>
      </c>
      <c r="AH1207" s="98">
        <v>0.0</v>
      </c>
      <c r="AI1207" s="98">
        <v>0.0</v>
      </c>
      <c r="AJ1207" s="98">
        <v>0.0</v>
      </c>
      <c r="AK1207" s="98">
        <v>0.0</v>
      </c>
      <c r="AL1207" s="98">
        <v>0.0</v>
      </c>
      <c r="AM1207" s="98">
        <v>0.0</v>
      </c>
      <c r="AN1207" s="98">
        <v>0.0</v>
      </c>
      <c r="AO1207" s="98">
        <v>0.0</v>
      </c>
      <c r="AP1207" s="98">
        <v>1.0</v>
      </c>
      <c r="AQ1207" s="98" t="s">
        <v>3507</v>
      </c>
      <c r="AR1207" s="102">
        <v>46203.0</v>
      </c>
      <c r="AS1207" s="83">
        <v>1133715.0</v>
      </c>
    </row>
    <row r="1208" ht="15.75" customHeight="1">
      <c r="A1208" s="111" t="s">
        <v>1463</v>
      </c>
      <c r="B1208" s="83" t="s">
        <v>6564</v>
      </c>
      <c r="C1208" s="83" t="s">
        <v>68</v>
      </c>
      <c r="D1208" s="112">
        <v>1109059.0</v>
      </c>
      <c r="E1208" s="83"/>
      <c r="F1208" s="83">
        <v>2.9163374E7</v>
      </c>
      <c r="G1208" s="91" t="str">
        <f>IFERROR(__xludf.DUMMYFUNCTION("XLOOKUP(AS1208,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CASTRO ALVES (ANTIGO POLIVALENTE)")</f>
        <v>COLÉGIO ESTADUAL DO CAMPO DE  TEMPO INTEGRAL CASTRO ALVES (ANTIGO POLIVALENTE)</v>
      </c>
      <c r="H1208" s="119" t="s">
        <v>6565</v>
      </c>
      <c r="I1208" s="91" t="s">
        <v>6566</v>
      </c>
      <c r="J1208" s="136" t="s">
        <v>149</v>
      </c>
      <c r="K1208" s="83" t="s">
        <v>150</v>
      </c>
      <c r="L1208" s="83" t="s">
        <v>151</v>
      </c>
      <c r="M1208" s="83" t="s">
        <v>230</v>
      </c>
      <c r="N1208" s="98" t="s">
        <v>6567</v>
      </c>
      <c r="O1208" s="98" t="s">
        <v>284</v>
      </c>
      <c r="P1208" s="99" t="str">
        <f>IFERROR(__xludf.DUMMYFUNCTION("IFERROR(VLOOKUP(AS1208,IMPORTRANGE(""https://docs.google.com/spreadsheets/d/1juPI-Fb8LD0YtltB2mlGEnp_R3UVu1t3wSFPzgCyHXE/edit?gid=0#gid=0"",""GERAL!A2:C""),3,0),""-"")"),"CAMPO")</f>
        <v>CAMPO</v>
      </c>
      <c r="Q1208" s="101" t="s">
        <v>156</v>
      </c>
      <c r="R1208" s="98">
        <v>16.0</v>
      </c>
      <c r="S1208" s="98">
        <v>0.0</v>
      </c>
      <c r="T1208" s="98">
        <v>0.0</v>
      </c>
      <c r="U1208" s="98">
        <v>0.0</v>
      </c>
      <c r="V1208" s="98">
        <v>0.0</v>
      </c>
      <c r="W1208" s="98">
        <v>0.0</v>
      </c>
      <c r="X1208" s="98">
        <v>0.0</v>
      </c>
      <c r="Y1208" s="98">
        <v>0.0</v>
      </c>
      <c r="Z1208" s="98">
        <v>1.0</v>
      </c>
      <c r="AA1208" s="98">
        <v>0.0</v>
      </c>
      <c r="AB1208" s="98">
        <v>1.0</v>
      </c>
      <c r="AC1208" s="98">
        <v>0.0</v>
      </c>
      <c r="AD1208" s="98">
        <v>0.0</v>
      </c>
      <c r="AE1208" s="98">
        <v>0.0</v>
      </c>
      <c r="AF1208" s="98">
        <v>1.0</v>
      </c>
      <c r="AG1208" s="98">
        <v>0.0</v>
      </c>
      <c r="AH1208" s="98">
        <v>0.0</v>
      </c>
      <c r="AI1208" s="98">
        <v>0.0</v>
      </c>
      <c r="AJ1208" s="98">
        <v>1.0</v>
      </c>
      <c r="AK1208" s="98">
        <v>0.0</v>
      </c>
      <c r="AL1208" s="98">
        <v>0.0</v>
      </c>
      <c r="AM1208" s="98">
        <v>0.0</v>
      </c>
      <c r="AN1208" s="98">
        <v>0.0</v>
      </c>
      <c r="AO1208" s="98">
        <v>0.0</v>
      </c>
      <c r="AP1208" s="98">
        <v>2.0</v>
      </c>
      <c r="AQ1208" s="98" t="s">
        <v>6568</v>
      </c>
      <c r="AR1208" s="102">
        <v>46227.0</v>
      </c>
      <c r="AS1208" s="83">
        <v>1109059.0</v>
      </c>
    </row>
    <row r="1209" ht="15.75" customHeight="1">
      <c r="A1209" s="111" t="s">
        <v>1463</v>
      </c>
      <c r="B1209" s="83" t="s">
        <v>6569</v>
      </c>
      <c r="C1209" s="83" t="s">
        <v>68</v>
      </c>
      <c r="D1209" s="112">
        <v>1108893.0</v>
      </c>
      <c r="E1209" s="83"/>
      <c r="F1209" s="83">
        <v>2.9164826E7</v>
      </c>
      <c r="G1209" s="91" t="str">
        <f>IFERROR(__xludf.DUMMYFUNCTION("XLOOKUP(AS1209,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MANDINHO DE SOUZA ALMEIDA")</f>
        <v>COLÉGIO ESTADUAL DE TEMPO INTEGRAL MANDINHO DE SOUZA ALMEIDA</v>
      </c>
      <c r="H1209" s="119" t="s">
        <v>6570</v>
      </c>
      <c r="I1209" s="91" t="s">
        <v>6571</v>
      </c>
      <c r="J1209" s="136" t="s">
        <v>149</v>
      </c>
      <c r="K1209" s="83" t="s">
        <v>150</v>
      </c>
      <c r="L1209" s="83" t="s">
        <v>151</v>
      </c>
      <c r="M1209" s="83" t="s">
        <v>152</v>
      </c>
      <c r="N1209" s="98" t="s">
        <v>6572</v>
      </c>
      <c r="O1209" s="98" t="s">
        <v>155</v>
      </c>
      <c r="P1209" s="99" t="str">
        <f>IFERROR(__xludf.DUMMYFUNCTION("IFERROR(VLOOKUP(AS1209,IMPORTRANGE(""https://docs.google.com/spreadsheets/d/1juPI-Fb8LD0YtltB2mlGEnp_R3UVu1t3wSFPzgCyHXE/edit?gid=0#gid=0"",""GERAL!A2:C""),3,0),""-"")"),"-")</f>
        <v>-</v>
      </c>
      <c r="Q1209" s="83"/>
      <c r="R1209" s="83"/>
      <c r="S1209" s="83"/>
      <c r="T1209" s="83"/>
      <c r="U1209" s="83"/>
      <c r="V1209" s="83"/>
      <c r="W1209" s="83"/>
      <c r="X1209" s="83"/>
      <c r="Y1209" s="83"/>
      <c r="Z1209" s="83"/>
      <c r="AA1209" s="83"/>
      <c r="AB1209" s="83"/>
      <c r="AC1209" s="83"/>
      <c r="AD1209" s="83"/>
      <c r="AE1209" s="83"/>
      <c r="AF1209" s="83"/>
      <c r="AG1209" s="83"/>
      <c r="AH1209" s="83"/>
      <c r="AI1209" s="83"/>
      <c r="AJ1209" s="83"/>
      <c r="AK1209" s="83"/>
      <c r="AL1209" s="83"/>
      <c r="AM1209" s="83"/>
      <c r="AN1209" s="83"/>
      <c r="AO1209" s="83"/>
      <c r="AP1209" s="83"/>
      <c r="AQ1209" s="83"/>
      <c r="AR1209" s="83"/>
      <c r="AS1209" s="83">
        <v>1108893.0</v>
      </c>
    </row>
    <row r="1210" ht="15.75" customHeight="1">
      <c r="A1210" s="111" t="s">
        <v>1463</v>
      </c>
      <c r="B1210" s="83" t="s">
        <v>6573</v>
      </c>
      <c r="C1210" s="83" t="s">
        <v>68</v>
      </c>
      <c r="D1210" s="112">
        <v>1176464.0</v>
      </c>
      <c r="E1210" s="83"/>
      <c r="F1210" s="83">
        <v>2.9391466E7</v>
      </c>
      <c r="G1210" s="91" t="str">
        <f>IFERROR(__xludf.DUMMYFUNCTION("XLOOKUP(AS1210,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LUCIANO PASSOS")</f>
        <v>COLÉGIO ESTADUAL DE TEMPO INTEGRAL LUCIANO PASSOS</v>
      </c>
      <c r="H1210" s="114" t="s">
        <v>6574</v>
      </c>
      <c r="I1210" s="91" t="s">
        <v>6575</v>
      </c>
      <c r="J1210" s="136" t="s">
        <v>6576</v>
      </c>
      <c r="K1210" s="83" t="s">
        <v>150</v>
      </c>
      <c r="L1210" s="83" t="s">
        <v>151</v>
      </c>
      <c r="M1210" s="83" t="s">
        <v>152</v>
      </c>
      <c r="N1210" s="98" t="s">
        <v>6577</v>
      </c>
      <c r="O1210" s="98" t="s">
        <v>155</v>
      </c>
      <c r="P1210" s="99" t="str">
        <f>IFERROR(__xludf.DUMMYFUNCTION("IFERROR(VLOOKUP(AS1210,IMPORTRANGE(""https://docs.google.com/spreadsheets/d/1juPI-Fb8LD0YtltB2mlGEnp_R3UVu1t3wSFPzgCyHXE/edit?gid=0#gid=0"",""GERAL!A2:C""),3,0),""-"")"),"-")</f>
        <v>-</v>
      </c>
      <c r="Q1210" s="101" t="s">
        <v>156</v>
      </c>
      <c r="R1210" s="98">
        <v>10.0</v>
      </c>
      <c r="S1210" s="98">
        <v>0.0</v>
      </c>
      <c r="T1210" s="98">
        <v>0.0</v>
      </c>
      <c r="U1210" s="98">
        <v>0.0</v>
      </c>
      <c r="V1210" s="98">
        <v>0.0</v>
      </c>
      <c r="W1210" s="98">
        <v>0.0</v>
      </c>
      <c r="X1210" s="98">
        <v>0.0</v>
      </c>
      <c r="Y1210" s="98">
        <v>1.0</v>
      </c>
      <c r="Z1210" s="98">
        <v>0.0</v>
      </c>
      <c r="AA1210" s="98">
        <v>0.0</v>
      </c>
      <c r="AB1210" s="98">
        <v>0.0</v>
      </c>
      <c r="AC1210" s="98">
        <v>0.0</v>
      </c>
      <c r="AD1210" s="98">
        <v>0.0</v>
      </c>
      <c r="AE1210" s="98">
        <v>0.0</v>
      </c>
      <c r="AF1210" s="98">
        <v>0.0</v>
      </c>
      <c r="AG1210" s="98">
        <v>0.0</v>
      </c>
      <c r="AH1210" s="98">
        <v>0.0</v>
      </c>
      <c r="AI1210" s="98">
        <v>0.0</v>
      </c>
      <c r="AJ1210" s="98">
        <v>0.0</v>
      </c>
      <c r="AK1210" s="98">
        <v>0.0</v>
      </c>
      <c r="AL1210" s="98">
        <v>0.0</v>
      </c>
      <c r="AM1210" s="98">
        <v>0.0</v>
      </c>
      <c r="AN1210" s="98">
        <v>0.0</v>
      </c>
      <c r="AO1210" s="98">
        <v>0.0</v>
      </c>
      <c r="AP1210" s="98">
        <v>2.0</v>
      </c>
      <c r="AQ1210" s="98" t="s">
        <v>6578</v>
      </c>
      <c r="AR1210" s="102">
        <v>46231.0</v>
      </c>
      <c r="AS1210" s="83">
        <v>1176464.0</v>
      </c>
    </row>
    <row r="1211" ht="15.75" customHeight="1">
      <c r="A1211" s="111" t="s">
        <v>1463</v>
      </c>
      <c r="B1211" s="83" t="s">
        <v>6573</v>
      </c>
      <c r="C1211" s="83" t="s">
        <v>68</v>
      </c>
      <c r="D1211" s="112">
        <v>1133502.0</v>
      </c>
      <c r="E1211" s="83"/>
      <c r="F1211" s="83">
        <v>2.9165555E7</v>
      </c>
      <c r="G1211" s="91" t="str">
        <f>IFERROR(__xludf.DUMMYFUNCTION("XLOOKUP(AS1211,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LANDULFO ALVES DE ALMEIDA")</f>
        <v>COLÉGIO ESTADUAL LANDULFO ALVES DE ALMEIDA</v>
      </c>
      <c r="H1211" s="114" t="s">
        <v>6579</v>
      </c>
      <c r="I1211" s="91" t="s">
        <v>6580</v>
      </c>
      <c r="J1211" s="136" t="s">
        <v>6576</v>
      </c>
      <c r="K1211" s="83" t="s">
        <v>150</v>
      </c>
      <c r="L1211" s="83" t="s">
        <v>151</v>
      </c>
      <c r="M1211" s="83" t="s">
        <v>152</v>
      </c>
      <c r="N1211" s="98" t="s">
        <v>6581</v>
      </c>
      <c r="O1211" s="98" t="s">
        <v>155</v>
      </c>
      <c r="P1211" s="99" t="str">
        <f>IFERROR(__xludf.DUMMYFUNCTION("IFERROR(VLOOKUP(AS1211,IMPORTRANGE(""https://docs.google.com/spreadsheets/d/1juPI-Fb8LD0YtltB2mlGEnp_R3UVu1t3wSFPzgCyHXE/edit?gid=0#gid=0"",""GERAL!A2:C""),3,0),""-"")"),"-")</f>
        <v>-</v>
      </c>
      <c r="Q1211" s="101" t="s">
        <v>156</v>
      </c>
      <c r="R1211" s="98">
        <v>9.0</v>
      </c>
      <c r="S1211" s="98">
        <v>0.0</v>
      </c>
      <c r="T1211" s="98">
        <v>0.0</v>
      </c>
      <c r="U1211" s="98">
        <v>0.0</v>
      </c>
      <c r="V1211" s="98">
        <v>0.0</v>
      </c>
      <c r="W1211" s="98">
        <v>0.0</v>
      </c>
      <c r="X1211" s="98">
        <v>0.0</v>
      </c>
      <c r="Y1211" s="98">
        <v>0.0</v>
      </c>
      <c r="Z1211" s="98">
        <v>0.0</v>
      </c>
      <c r="AA1211" s="98">
        <v>0.0</v>
      </c>
      <c r="AB1211" s="98">
        <v>0.0</v>
      </c>
      <c r="AC1211" s="98">
        <v>0.0</v>
      </c>
      <c r="AD1211" s="98">
        <v>0.0</v>
      </c>
      <c r="AE1211" s="98">
        <v>0.0</v>
      </c>
      <c r="AF1211" s="98">
        <v>0.0</v>
      </c>
      <c r="AG1211" s="98">
        <v>1.0</v>
      </c>
      <c r="AH1211" s="98">
        <v>0.0</v>
      </c>
      <c r="AI1211" s="98">
        <v>0.0</v>
      </c>
      <c r="AJ1211" s="98">
        <v>0.0</v>
      </c>
      <c r="AK1211" s="98">
        <v>0.0</v>
      </c>
      <c r="AL1211" s="98">
        <v>0.0</v>
      </c>
      <c r="AM1211" s="98">
        <v>0.0</v>
      </c>
      <c r="AN1211" s="98">
        <v>0.0</v>
      </c>
      <c r="AO1211" s="98">
        <v>0.0</v>
      </c>
      <c r="AP1211" s="98">
        <v>3.0</v>
      </c>
      <c r="AQ1211" s="98" t="s">
        <v>6587</v>
      </c>
      <c r="AR1211" s="102">
        <v>46231.0</v>
      </c>
      <c r="AS1211" s="83">
        <v>1133502.0</v>
      </c>
    </row>
    <row r="1212" ht="15.75" customHeight="1">
      <c r="A1212" s="111" t="s">
        <v>1463</v>
      </c>
      <c r="B1212" s="83" t="s">
        <v>6573</v>
      </c>
      <c r="C1212" s="83" t="s">
        <v>68</v>
      </c>
      <c r="D1212" s="112">
        <v>1133405.0</v>
      </c>
      <c r="E1212" s="83"/>
      <c r="F1212" s="83">
        <v>2.9165407E7</v>
      </c>
      <c r="G1212" s="91" t="str">
        <f>IFERROR(__xludf.DUMMYFUNCTION("XLOOKUP(AS1212,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LAURO PASSOS")</f>
        <v>COLÉGIO ESTADUAL DOUTOR LAURO PASSOS</v>
      </c>
      <c r="H1212" s="114" t="s">
        <v>6588</v>
      </c>
      <c r="I1212" s="91" t="s">
        <v>6589</v>
      </c>
      <c r="J1212" s="136" t="s">
        <v>5636</v>
      </c>
      <c r="K1212" s="83" t="s">
        <v>150</v>
      </c>
      <c r="L1212" s="83" t="s">
        <v>151</v>
      </c>
      <c r="M1212" s="83" t="s">
        <v>76</v>
      </c>
      <c r="N1212" s="98" t="s">
        <v>6591</v>
      </c>
      <c r="O1212" s="98" t="s">
        <v>155</v>
      </c>
      <c r="P1212" s="99" t="str">
        <f>IFERROR(__xludf.DUMMYFUNCTION("IFERROR(VLOOKUP(AS1212,IMPORTRANGE(""https://docs.google.com/spreadsheets/d/1juPI-Fb8LD0YtltB2mlGEnp_R3UVu1t3wSFPzgCyHXE/edit?gid=0#gid=0"",""GERAL!A2:C""),3,0),""-"")"),"-")</f>
        <v>-</v>
      </c>
      <c r="Q1212" s="101" t="s">
        <v>156</v>
      </c>
      <c r="R1212" s="98">
        <v>7.0</v>
      </c>
      <c r="S1212" s="98">
        <v>0.0</v>
      </c>
      <c r="T1212" s="98">
        <v>1.0</v>
      </c>
      <c r="U1212" s="98">
        <v>0.0</v>
      </c>
      <c r="V1212" s="98">
        <v>0.0</v>
      </c>
      <c r="W1212" s="98">
        <v>0.0</v>
      </c>
      <c r="X1212" s="98">
        <v>0.0</v>
      </c>
      <c r="Y1212" s="98">
        <v>0.0</v>
      </c>
      <c r="Z1212" s="98">
        <v>0.0</v>
      </c>
      <c r="AA1212" s="98">
        <v>0.0</v>
      </c>
      <c r="AB1212" s="98">
        <v>0.0</v>
      </c>
      <c r="AC1212" s="98">
        <v>0.0</v>
      </c>
      <c r="AD1212" s="98">
        <v>0.0</v>
      </c>
      <c r="AE1212" s="98">
        <v>0.0</v>
      </c>
      <c r="AF1212" s="98">
        <v>0.0</v>
      </c>
      <c r="AG1212" s="98">
        <v>1.0</v>
      </c>
      <c r="AH1212" s="98">
        <v>0.0</v>
      </c>
      <c r="AI1212" s="98">
        <v>0.0</v>
      </c>
      <c r="AJ1212" s="98">
        <v>0.0</v>
      </c>
      <c r="AK1212" s="98">
        <v>0.0</v>
      </c>
      <c r="AL1212" s="98">
        <v>0.0</v>
      </c>
      <c r="AM1212" s="98">
        <v>0.0</v>
      </c>
      <c r="AN1212" s="98">
        <v>0.0</v>
      </c>
      <c r="AO1212" s="98">
        <v>0.0</v>
      </c>
      <c r="AP1212" s="98">
        <v>0.0</v>
      </c>
      <c r="AQ1212" s="83"/>
      <c r="AR1212" s="102">
        <v>46231.0</v>
      </c>
      <c r="AS1212" s="83">
        <v>1133405.0</v>
      </c>
    </row>
    <row r="1213" ht="15.75" customHeight="1">
      <c r="A1213" s="111" t="s">
        <v>1463</v>
      </c>
      <c r="B1213" s="83" t="s">
        <v>6573</v>
      </c>
      <c r="C1213" s="83" t="s">
        <v>68</v>
      </c>
      <c r="D1213" s="112">
        <v>1133618.0</v>
      </c>
      <c r="E1213" s="83"/>
      <c r="F1213" s="83">
        <v>2.9165253E7</v>
      </c>
      <c r="G1213" s="91" t="str">
        <f>IFERROR(__xludf.DUMMYFUNCTION("XLOOKUP(AS1213,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EDUCAÇÃO PROFISSIONAL RECONCAVO II ALBERTO TORRES")</f>
        <v>CENTRO TERRITORIAL DE EDUCAÇÃO PROFISSIONAL RECONCAVO II ALBERTO TORRES</v>
      </c>
      <c r="H1213" s="114" t="s">
        <v>6598</v>
      </c>
      <c r="I1213" s="91" t="s">
        <v>6599</v>
      </c>
      <c r="J1213" s="136" t="s">
        <v>149</v>
      </c>
      <c r="K1213" s="83" t="s">
        <v>150</v>
      </c>
      <c r="L1213" s="83" t="s">
        <v>151</v>
      </c>
      <c r="M1213" s="83" t="s">
        <v>230</v>
      </c>
      <c r="N1213" s="98" t="s">
        <v>6602</v>
      </c>
      <c r="O1213" s="98" t="s">
        <v>284</v>
      </c>
      <c r="P1213" s="99" t="str">
        <f>IFERROR(__xludf.DUMMYFUNCTION("IFERROR(VLOOKUP(AS1213,IMPORTRANGE(""https://docs.google.com/spreadsheets/d/1juPI-Fb8LD0YtltB2mlGEnp_R3UVu1t3wSFPzgCyHXE/edit?gid=0#gid=0"",""GERAL!A2:C""),3,0),""-"")"),"-")</f>
        <v>-</v>
      </c>
      <c r="Q1213" s="101" t="s">
        <v>156</v>
      </c>
      <c r="R1213" s="98">
        <v>35.0</v>
      </c>
      <c r="S1213" s="98">
        <v>0.0</v>
      </c>
      <c r="T1213" s="98">
        <v>0.0</v>
      </c>
      <c r="U1213" s="98">
        <v>0.0</v>
      </c>
      <c r="V1213" s="98">
        <v>1.0</v>
      </c>
      <c r="W1213" s="98">
        <v>8.0</v>
      </c>
      <c r="X1213" s="98">
        <v>1.0</v>
      </c>
      <c r="Y1213" s="98">
        <v>0.0</v>
      </c>
      <c r="Z1213" s="98">
        <v>1.0</v>
      </c>
      <c r="AA1213" s="98">
        <v>0.0</v>
      </c>
      <c r="AB1213" s="98">
        <v>1.0</v>
      </c>
      <c r="AC1213" s="98">
        <v>0.0</v>
      </c>
      <c r="AD1213" s="98">
        <v>0.0</v>
      </c>
      <c r="AE1213" s="98">
        <v>0.0</v>
      </c>
      <c r="AF1213" s="98">
        <v>2.0</v>
      </c>
      <c r="AG1213" s="98">
        <v>0.0</v>
      </c>
      <c r="AH1213" s="98">
        <v>0.0</v>
      </c>
      <c r="AI1213" s="98">
        <v>0.0</v>
      </c>
      <c r="AJ1213" s="98">
        <v>0.0</v>
      </c>
      <c r="AK1213" s="98">
        <v>1.0</v>
      </c>
      <c r="AL1213" s="98">
        <v>0.0</v>
      </c>
      <c r="AM1213" s="98">
        <v>0.0</v>
      </c>
      <c r="AN1213" s="98">
        <v>0.0</v>
      </c>
      <c r="AO1213" s="98">
        <v>1.0</v>
      </c>
      <c r="AP1213" s="98">
        <v>1.0</v>
      </c>
      <c r="AQ1213" s="98" t="s">
        <v>6607</v>
      </c>
      <c r="AR1213" s="102">
        <v>46231.0</v>
      </c>
      <c r="AS1213" s="83">
        <v>1133618.0</v>
      </c>
    </row>
    <row r="1214" ht="15.75" customHeight="1">
      <c r="A1214" s="111" t="s">
        <v>1463</v>
      </c>
      <c r="B1214" s="83" t="s">
        <v>6611</v>
      </c>
      <c r="C1214" s="83" t="s">
        <v>68</v>
      </c>
      <c r="D1214" s="112">
        <v>1109164.0</v>
      </c>
      <c r="E1214" s="83"/>
      <c r="F1214" s="83">
        <v>2.9166063E7</v>
      </c>
      <c r="G1214" s="91" t="str">
        <f>IFERROR(__xludf.DUMMYFUNCTION("XLOOKUP(AS1214,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MARIA JURANDI OLIVEIRA BARRÊTTO (ANTIGO - CE ERALDO TINOCO MELO)")</f>
        <v>COLÉGIO ESTADUAL DE TEMPO INTEGRAL MARIA JURANDI OLIVEIRA BARRÊTTO (ANTIGO - CE ERALDO TINOCO MELO)</v>
      </c>
      <c r="H1214" s="119" t="s">
        <v>6616</v>
      </c>
      <c r="I1214" s="91" t="s">
        <v>6617</v>
      </c>
      <c r="J1214" s="136" t="s">
        <v>149</v>
      </c>
      <c r="K1214" s="83" t="s">
        <v>150</v>
      </c>
      <c r="L1214" s="83" t="s">
        <v>151</v>
      </c>
      <c r="M1214" s="83" t="s">
        <v>169</v>
      </c>
      <c r="N1214" s="98" t="s">
        <v>6618</v>
      </c>
      <c r="O1214" s="98" t="s">
        <v>155</v>
      </c>
      <c r="P1214" s="99" t="str">
        <f>IFERROR(__xludf.DUMMYFUNCTION("IFERROR(VLOOKUP(AS1214,IMPORTRANGE(""https://docs.google.com/spreadsheets/d/1juPI-Fb8LD0YtltB2mlGEnp_R3UVu1t3wSFPzgCyHXE/edit?gid=0#gid=0"",""GERAL!A2:C""),3,0),""-"")"),"-")</f>
        <v>-</v>
      </c>
      <c r="Q1214" s="83"/>
      <c r="R1214" s="83"/>
      <c r="S1214" s="83"/>
      <c r="T1214" s="83"/>
      <c r="U1214" s="83"/>
      <c r="V1214" s="83"/>
      <c r="W1214" s="83"/>
      <c r="X1214" s="83"/>
      <c r="Y1214" s="83"/>
      <c r="Z1214" s="83"/>
      <c r="AA1214" s="83"/>
      <c r="AB1214" s="83"/>
      <c r="AC1214" s="83"/>
      <c r="AD1214" s="83"/>
      <c r="AE1214" s="83"/>
      <c r="AF1214" s="83"/>
      <c r="AG1214" s="83"/>
      <c r="AH1214" s="83"/>
      <c r="AI1214" s="83"/>
      <c r="AJ1214" s="83"/>
      <c r="AK1214" s="83"/>
      <c r="AL1214" s="83"/>
      <c r="AM1214" s="83"/>
      <c r="AN1214" s="83"/>
      <c r="AO1214" s="83"/>
      <c r="AP1214" s="83"/>
      <c r="AQ1214" s="83"/>
      <c r="AR1214" s="83"/>
      <c r="AS1214" s="83">
        <v>1109164.0</v>
      </c>
    </row>
    <row r="1215" ht="15.75" customHeight="1">
      <c r="A1215" s="111" t="s">
        <v>1463</v>
      </c>
      <c r="B1215" s="83" t="s">
        <v>6619</v>
      </c>
      <c r="C1215" s="83" t="s">
        <v>68</v>
      </c>
      <c r="D1215" s="112">
        <v>1134029.0</v>
      </c>
      <c r="E1215" s="83"/>
      <c r="F1215" s="83">
        <v>2.9166314E7</v>
      </c>
      <c r="G1215" s="91" t="str">
        <f>IFERROR(__xludf.DUMMYFUNCTION("XLOOKUP(AS1215,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EDGARD SANTOS")</f>
        <v>COLÉGIO ESTADUAL PROFESSOR EDGARD SANTOS</v>
      </c>
      <c r="H1215" s="114" t="s">
        <v>6620</v>
      </c>
      <c r="I1215" s="91" t="s">
        <v>6621</v>
      </c>
      <c r="J1215" s="83" t="s">
        <v>149</v>
      </c>
      <c r="K1215" s="83" t="s">
        <v>150</v>
      </c>
      <c r="L1215" s="83" t="s">
        <v>151</v>
      </c>
      <c r="M1215" s="83" t="s">
        <v>152</v>
      </c>
      <c r="N1215" s="98" t="s">
        <v>6622</v>
      </c>
      <c r="O1215" s="98" t="s">
        <v>155</v>
      </c>
      <c r="P1215" s="99" t="str">
        <f>IFERROR(__xludf.DUMMYFUNCTION("IFERROR(VLOOKUP(AS1215,IMPORTRANGE(""https://docs.google.com/spreadsheets/d/1juPI-Fb8LD0YtltB2mlGEnp_R3UVu1t3wSFPzgCyHXE/edit?gid=0#gid=0"",""GERAL!A2:C""),3,0),""-"")"),"-")</f>
        <v>-</v>
      </c>
      <c r="Q1215" s="98"/>
      <c r="R1215" s="98"/>
      <c r="S1215" s="98"/>
      <c r="T1215" s="98"/>
      <c r="U1215" s="98"/>
      <c r="V1215" s="98"/>
      <c r="W1215" s="98"/>
      <c r="X1215" s="98"/>
      <c r="Y1215" s="98"/>
      <c r="Z1215" s="98"/>
      <c r="AA1215" s="98"/>
      <c r="AB1215" s="98"/>
      <c r="AC1215" s="98"/>
      <c r="AD1215" s="98"/>
      <c r="AE1215" s="98"/>
      <c r="AF1215" s="98"/>
      <c r="AG1215" s="98"/>
      <c r="AH1215" s="98"/>
      <c r="AI1215" s="98"/>
      <c r="AJ1215" s="98"/>
      <c r="AK1215" s="98"/>
      <c r="AL1215" s="98"/>
      <c r="AM1215" s="98"/>
      <c r="AN1215" s="98"/>
      <c r="AO1215" s="98"/>
      <c r="AP1215" s="98"/>
      <c r="AQ1215" s="98"/>
      <c r="AR1215" s="102"/>
      <c r="AS1215" s="83">
        <v>1134029.0</v>
      </c>
    </row>
    <row r="1216" ht="15.75" customHeight="1">
      <c r="A1216" s="111" t="s">
        <v>1463</v>
      </c>
      <c r="B1216" s="83" t="s">
        <v>6619</v>
      </c>
      <c r="C1216" s="83" t="s">
        <v>164</v>
      </c>
      <c r="D1216" s="112">
        <v>1134029.0</v>
      </c>
      <c r="E1216" s="83">
        <v>1179029.0</v>
      </c>
      <c r="F1216" s="83"/>
      <c r="G1216" s="91" t="str">
        <f>IFERROR(__xludf.DUMMYFUNCTION("XLOOKUP(AS1216,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 EDGARD SANTOS - DISTRITO DE QUIXABEIRA")</f>
        <v>ANEXO - COLÉGIO ESTADUAL PROFESSOR EDGARD SANTOS - DISTRITO DE QUIXABEIRA</v>
      </c>
      <c r="H1216" s="114" t="s">
        <v>6627</v>
      </c>
      <c r="I1216" s="91" t="s">
        <v>6628</v>
      </c>
      <c r="J1216" s="136" t="s">
        <v>6629</v>
      </c>
      <c r="K1216" s="83" t="s">
        <v>5099</v>
      </c>
      <c r="L1216" s="83" t="s">
        <v>168</v>
      </c>
      <c r="M1216" s="83" t="s">
        <v>169</v>
      </c>
      <c r="N1216" s="115" t="s">
        <v>170</v>
      </c>
      <c r="O1216" s="98" t="s">
        <v>155</v>
      </c>
      <c r="P1216" s="99" t="str">
        <f>IFERROR(__xludf.DUMMYFUNCTION("IFERROR(VLOOKUP(AS1216,IMPORTRANGE(""https://docs.google.com/spreadsheets/d/1juPI-Fb8LD0YtltB2mlGEnp_R3UVu1t3wSFPzgCyHXE/edit?gid=0#gid=0"",""GERAL!A2:C""),3,0),""-"")"),"CAMPO")</f>
        <v>CAMPO</v>
      </c>
      <c r="Q1216" s="98"/>
      <c r="R1216" s="98"/>
      <c r="S1216" s="98"/>
      <c r="T1216" s="98"/>
      <c r="U1216" s="98"/>
      <c r="V1216" s="98"/>
      <c r="W1216" s="98"/>
      <c r="X1216" s="98"/>
      <c r="Y1216" s="98"/>
      <c r="Z1216" s="98"/>
      <c r="AA1216" s="98"/>
      <c r="AB1216" s="98"/>
      <c r="AC1216" s="98"/>
      <c r="AD1216" s="98"/>
      <c r="AE1216" s="98"/>
      <c r="AF1216" s="98"/>
      <c r="AG1216" s="98"/>
      <c r="AH1216" s="98"/>
      <c r="AI1216" s="98"/>
      <c r="AJ1216" s="98"/>
      <c r="AK1216" s="98"/>
      <c r="AL1216" s="98"/>
      <c r="AM1216" s="98"/>
      <c r="AN1216" s="98"/>
      <c r="AO1216" s="98"/>
      <c r="AP1216" s="98"/>
      <c r="AQ1216" s="98"/>
      <c r="AR1216" s="102"/>
      <c r="AS1216" s="83">
        <v>1179029.0</v>
      </c>
    </row>
    <row r="1217" ht="15.75" customHeight="1">
      <c r="A1217" s="111" t="s">
        <v>1463</v>
      </c>
      <c r="B1217" s="83" t="s">
        <v>6630</v>
      </c>
      <c r="C1217" s="83" t="s">
        <v>68</v>
      </c>
      <c r="D1217" s="112">
        <v>1166222.0</v>
      </c>
      <c r="E1217" s="83"/>
      <c r="F1217" s="83">
        <v>2.9168775E7</v>
      </c>
      <c r="G1217" s="91" t="str">
        <f>IFERROR(__xludf.DUMMYFUNCTION("XLOOKUP(AS1217,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KLEBER PACHECO - DISTRITO SÃO ROQUE DO PARAGUAÇU")</f>
        <v>COLÉGIO ESTADUAL DO CAMPO KLEBER PACHECO - DISTRITO SÃO ROQUE DO PARAGUAÇU</v>
      </c>
      <c r="H1217" s="114" t="s">
        <v>6631</v>
      </c>
      <c r="I1217" s="91" t="s">
        <v>6632</v>
      </c>
      <c r="J1217" s="83" t="s">
        <v>149</v>
      </c>
      <c r="K1217" s="83" t="s">
        <v>187</v>
      </c>
      <c r="L1217" s="83" t="s">
        <v>151</v>
      </c>
      <c r="M1217" s="83" t="s">
        <v>169</v>
      </c>
      <c r="N1217" s="98" t="s">
        <v>6633</v>
      </c>
      <c r="O1217" s="98" t="s">
        <v>155</v>
      </c>
      <c r="P1217" s="99" t="str">
        <f>IFERROR(__xludf.DUMMYFUNCTION("IFERROR(VLOOKUP(AS1217,IMPORTRANGE(""https://docs.google.com/spreadsheets/d/1juPI-Fb8LD0YtltB2mlGEnp_R3UVu1t3wSFPzgCyHXE/edit?gid=0#gid=0"",""GERAL!A2:C""),3,0),""-"")"),"CAMPO")</f>
        <v>CAMPO</v>
      </c>
      <c r="Q1217" s="101" t="s">
        <v>156</v>
      </c>
      <c r="R1217" s="98">
        <v>4.0</v>
      </c>
      <c r="S1217" s="98">
        <v>0.0</v>
      </c>
      <c r="T1217" s="98">
        <v>1.0</v>
      </c>
      <c r="U1217" s="98">
        <v>0.0</v>
      </c>
      <c r="V1217" s="98">
        <v>0.0</v>
      </c>
      <c r="W1217" s="98">
        <v>0.0</v>
      </c>
      <c r="X1217" s="98">
        <v>0.0</v>
      </c>
      <c r="Y1217" s="98">
        <v>0.0</v>
      </c>
      <c r="Z1217" s="98">
        <v>0.0</v>
      </c>
      <c r="AA1217" s="98">
        <v>0.0</v>
      </c>
      <c r="AB1217" s="98">
        <v>0.0</v>
      </c>
      <c r="AC1217" s="98">
        <v>0.0</v>
      </c>
      <c r="AD1217" s="98">
        <v>0.0</v>
      </c>
      <c r="AE1217" s="98">
        <v>0.0</v>
      </c>
      <c r="AF1217" s="98">
        <v>0.0</v>
      </c>
      <c r="AG1217" s="98">
        <v>1.0</v>
      </c>
      <c r="AH1217" s="98">
        <v>0.0</v>
      </c>
      <c r="AI1217" s="98">
        <v>0.0</v>
      </c>
      <c r="AJ1217" s="98">
        <v>0.0</v>
      </c>
      <c r="AK1217" s="98">
        <v>0.0</v>
      </c>
      <c r="AL1217" s="98">
        <v>0.0</v>
      </c>
      <c r="AM1217" s="98">
        <v>0.0</v>
      </c>
      <c r="AN1217" s="98">
        <v>0.0</v>
      </c>
      <c r="AO1217" s="98">
        <v>0.0</v>
      </c>
      <c r="AP1217" s="98">
        <v>2.0</v>
      </c>
      <c r="AQ1217" s="98" t="s">
        <v>157</v>
      </c>
      <c r="AR1217" s="102">
        <v>46231.0</v>
      </c>
      <c r="AS1217" s="83">
        <v>1166222.0</v>
      </c>
    </row>
    <row r="1218" ht="15.75" customHeight="1">
      <c r="A1218" s="111" t="s">
        <v>1463</v>
      </c>
      <c r="B1218" s="83" t="s">
        <v>6630</v>
      </c>
      <c r="C1218" s="83" t="s">
        <v>68</v>
      </c>
      <c r="D1218" s="112">
        <v>1178153.0</v>
      </c>
      <c r="E1218" s="83"/>
      <c r="F1218" s="83">
        <v>2.9444896E7</v>
      </c>
      <c r="G1218" s="91" t="str">
        <f>IFERROR(__xludf.DUMMYFUNCTION("XLOOKUP(AS1218,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DO CAMPO DE TEMPO INTEGRAL NOSSA SENHORA DA CONCEICAO - FAZENDA DO ROSARIO")</f>
        <v>COLEGIO ESTADUAL DO CAMPO DE TEMPO INTEGRAL NOSSA SENHORA DA CONCEICAO - FAZENDA DO ROSARIO</v>
      </c>
      <c r="H1218" s="119" t="s">
        <v>6641</v>
      </c>
      <c r="I1218" s="91" t="s">
        <v>6642</v>
      </c>
      <c r="J1218" s="83" t="s">
        <v>149</v>
      </c>
      <c r="K1218" s="136" t="s">
        <v>1321</v>
      </c>
      <c r="L1218" s="83" t="s">
        <v>151</v>
      </c>
      <c r="M1218" s="83" t="s">
        <v>76</v>
      </c>
      <c r="N1218" s="98" t="s">
        <v>6643</v>
      </c>
      <c r="O1218" s="98" t="s">
        <v>155</v>
      </c>
      <c r="P1218" s="99" t="str">
        <f>IFERROR(__xludf.DUMMYFUNCTION("IFERROR(VLOOKUP(AS1218,IMPORTRANGE(""https://docs.google.com/spreadsheets/d/1juPI-Fb8LD0YtltB2mlGEnp_R3UVu1t3wSFPzgCyHXE/edit?gid=0#gid=0"",""GERAL!A2:C""),3,0),""-"")"),"CAMPO")</f>
        <v>CAMPO</v>
      </c>
      <c r="Q1218" s="101" t="s">
        <v>156</v>
      </c>
      <c r="R1218" s="98">
        <v>6.0</v>
      </c>
      <c r="S1218" s="98">
        <v>1.0</v>
      </c>
      <c r="T1218" s="98">
        <v>0.0</v>
      </c>
      <c r="U1218" s="98">
        <v>0.0</v>
      </c>
      <c r="V1218" s="98">
        <v>1.0</v>
      </c>
      <c r="W1218" s="98">
        <v>2.0</v>
      </c>
      <c r="X1218" s="98">
        <v>0.0</v>
      </c>
      <c r="Y1218" s="98">
        <v>1.0</v>
      </c>
      <c r="Z1218" s="98">
        <v>0.0</v>
      </c>
      <c r="AA1218" s="98">
        <v>0.0</v>
      </c>
      <c r="AB1218" s="98">
        <v>0.0</v>
      </c>
      <c r="AC1218" s="98">
        <v>0.0</v>
      </c>
      <c r="AD1218" s="98">
        <v>0.0</v>
      </c>
      <c r="AE1218" s="98">
        <v>0.0</v>
      </c>
      <c r="AF1218" s="98">
        <v>0.0</v>
      </c>
      <c r="AG1218" s="98">
        <v>1.0</v>
      </c>
      <c r="AH1218" s="98">
        <v>0.0</v>
      </c>
      <c r="AI1218" s="98">
        <v>0.0</v>
      </c>
      <c r="AJ1218" s="98">
        <v>0.0</v>
      </c>
      <c r="AK1218" s="98">
        <v>0.0</v>
      </c>
      <c r="AL1218" s="98">
        <v>0.0</v>
      </c>
      <c r="AM1218" s="98">
        <v>0.0</v>
      </c>
      <c r="AN1218" s="98">
        <v>0.0</v>
      </c>
      <c r="AO1218" s="98">
        <v>0.0</v>
      </c>
      <c r="AP1218" s="98">
        <v>2.0</v>
      </c>
      <c r="AQ1218" s="98" t="s">
        <v>6644</v>
      </c>
      <c r="AR1218" s="102">
        <v>46231.0</v>
      </c>
      <c r="AS1218" s="83">
        <v>1178153.0</v>
      </c>
    </row>
    <row r="1219" ht="15.75" customHeight="1">
      <c r="A1219" s="111" t="s">
        <v>1463</v>
      </c>
      <c r="B1219" s="83" t="s">
        <v>6630</v>
      </c>
      <c r="C1219" s="83" t="s">
        <v>68</v>
      </c>
      <c r="D1219" s="112">
        <v>1133863.0</v>
      </c>
      <c r="E1219" s="83"/>
      <c r="F1219" s="83">
        <v>2.9167388E7</v>
      </c>
      <c r="G1219" s="91" t="str">
        <f>IFERROR(__xludf.DUMMYFUNCTION("XLOOKUP(AS1219,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MARAGOGIPE (ANTIGO - COLÉGIO ESTADUAL GERHARD MEYER SUERDIECK) ")</f>
        <v>COLÉGIO ESTADUAL DE TEMPO INTEGRAL DE MARAGOGIPE (ANTIGO - COLÉGIO ESTADUAL GERHARD MEYER SUERDIECK) </v>
      </c>
      <c r="H1219" s="119" t="s">
        <v>6645</v>
      </c>
      <c r="I1219" s="91" t="s">
        <v>6646</v>
      </c>
      <c r="J1219" s="83" t="s">
        <v>6647</v>
      </c>
      <c r="K1219" s="83" t="s">
        <v>150</v>
      </c>
      <c r="L1219" s="83" t="s">
        <v>151</v>
      </c>
      <c r="M1219" s="83" t="s">
        <v>152</v>
      </c>
      <c r="N1219" s="98" t="s">
        <v>6648</v>
      </c>
      <c r="O1219" s="98" t="s">
        <v>284</v>
      </c>
      <c r="P1219" s="99" t="str">
        <f>IFERROR(__xludf.DUMMYFUNCTION("IFERROR(VLOOKUP(AS1219,IMPORTRANGE(""https://docs.google.com/spreadsheets/d/1juPI-Fb8LD0YtltB2mlGEnp_R3UVu1t3wSFPzgCyHXE/edit?gid=0#gid=0"",""GERAL!A2:C""),3,0),""-"")"),"-")</f>
        <v>-</v>
      </c>
      <c r="Q1219" s="101" t="s">
        <v>156</v>
      </c>
      <c r="R1219" s="98">
        <v>14.0</v>
      </c>
      <c r="S1219" s="98">
        <v>1.0</v>
      </c>
      <c r="T1219" s="98">
        <v>1.0</v>
      </c>
      <c r="U1219" s="98">
        <v>0.0</v>
      </c>
      <c r="V1219" s="98">
        <v>0.0</v>
      </c>
      <c r="W1219" s="98">
        <v>0.0</v>
      </c>
      <c r="X1219" s="98">
        <v>0.0</v>
      </c>
      <c r="Y1219" s="98">
        <v>0.0</v>
      </c>
      <c r="Z1219" s="98">
        <v>0.0</v>
      </c>
      <c r="AA1219" s="98">
        <v>0.0</v>
      </c>
      <c r="AB1219" s="98">
        <v>0.0</v>
      </c>
      <c r="AC1219" s="98">
        <v>0.0</v>
      </c>
      <c r="AD1219" s="98">
        <v>0.0</v>
      </c>
      <c r="AE1219" s="98">
        <v>0.0</v>
      </c>
      <c r="AF1219" s="98">
        <v>1.0</v>
      </c>
      <c r="AG1219" s="98">
        <v>1.0</v>
      </c>
      <c r="AH1219" s="98">
        <v>0.0</v>
      </c>
      <c r="AI1219" s="98">
        <v>0.0</v>
      </c>
      <c r="AJ1219" s="98">
        <v>0.0</v>
      </c>
      <c r="AK1219" s="98">
        <v>0.0</v>
      </c>
      <c r="AL1219" s="98">
        <v>0.0</v>
      </c>
      <c r="AM1219" s="98">
        <v>0.0</v>
      </c>
      <c r="AN1219" s="98">
        <v>0.0</v>
      </c>
      <c r="AO1219" s="98">
        <v>0.0</v>
      </c>
      <c r="AP1219" s="98">
        <v>0.0</v>
      </c>
      <c r="AQ1219" s="98" t="s">
        <v>6649</v>
      </c>
      <c r="AR1219" s="102">
        <v>46231.0</v>
      </c>
      <c r="AS1219" s="83">
        <v>1133863.0</v>
      </c>
    </row>
    <row r="1220" ht="15.75" customHeight="1">
      <c r="A1220" s="111" t="s">
        <v>1463</v>
      </c>
      <c r="B1220" s="83" t="s">
        <v>6630</v>
      </c>
      <c r="C1220" s="83" t="s">
        <v>68</v>
      </c>
      <c r="D1220" s="112">
        <v>1176201.0</v>
      </c>
      <c r="E1220" s="83"/>
      <c r="F1220" s="83">
        <v>2.9375983E7</v>
      </c>
      <c r="G1220" s="91" t="str">
        <f>IFERROR(__xludf.DUMMYFUNCTION("XLOOKUP(AS1220,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DO VALE DO PARAGUAÇU - COMUNIDADE QUILOMBOLA")</f>
        <v>CENTRO ESTADUAL DE EDUCAÇÃO PROFISSIONAL DO VALE DO PARAGUAÇU - COMUNIDADE QUILOMBOLA</v>
      </c>
      <c r="H1220" s="114" t="s">
        <v>6650</v>
      </c>
      <c r="I1220" s="91" t="s">
        <v>6651</v>
      </c>
      <c r="J1220" s="83" t="s">
        <v>4215</v>
      </c>
      <c r="K1220" s="83" t="s">
        <v>4299</v>
      </c>
      <c r="L1220" s="83" t="s">
        <v>151</v>
      </c>
      <c r="M1220" s="83" t="s">
        <v>230</v>
      </c>
      <c r="N1220" s="98" t="s">
        <v>6652</v>
      </c>
      <c r="O1220" s="98" t="s">
        <v>155</v>
      </c>
      <c r="P1220" s="99" t="str">
        <f>IFERROR(__xludf.DUMMYFUNCTION("IFERROR(VLOOKUP(AS1220,IMPORTRANGE(""https://docs.google.com/spreadsheets/d/1juPI-Fb8LD0YtltB2mlGEnp_R3UVu1t3wSFPzgCyHXE/edit?gid=0#gid=0"",""GERAL!A2:C""),3,0),""-"")"),"QUILOMBOLAS")</f>
        <v>QUILOMBOLAS</v>
      </c>
      <c r="Q1220" s="101" t="s">
        <v>156</v>
      </c>
      <c r="R1220" s="98">
        <v>7.0</v>
      </c>
      <c r="S1220" s="98">
        <v>0.0</v>
      </c>
      <c r="T1220" s="98">
        <v>1.0</v>
      </c>
      <c r="U1220" s="98">
        <v>0.0</v>
      </c>
      <c r="V1220" s="98">
        <v>0.0</v>
      </c>
      <c r="W1220" s="98">
        <v>1.0</v>
      </c>
      <c r="X1220" s="98">
        <v>1.0</v>
      </c>
      <c r="Y1220" s="98">
        <v>0.0</v>
      </c>
      <c r="Z1220" s="98">
        <v>1.0</v>
      </c>
      <c r="AA1220" s="98">
        <v>0.0</v>
      </c>
      <c r="AB1220" s="98">
        <v>0.0</v>
      </c>
      <c r="AC1220" s="98">
        <v>0.0</v>
      </c>
      <c r="AD1220" s="98">
        <v>0.0</v>
      </c>
      <c r="AE1220" s="98">
        <v>0.0</v>
      </c>
      <c r="AF1220" s="98">
        <v>0.0</v>
      </c>
      <c r="AG1220" s="98">
        <v>1.0</v>
      </c>
      <c r="AH1220" s="98">
        <v>0.0</v>
      </c>
      <c r="AI1220" s="98">
        <v>0.0</v>
      </c>
      <c r="AJ1220" s="98">
        <v>0.0</v>
      </c>
      <c r="AK1220" s="98">
        <v>0.0</v>
      </c>
      <c r="AL1220" s="98">
        <v>0.0</v>
      </c>
      <c r="AM1220" s="98">
        <v>0.0</v>
      </c>
      <c r="AN1220" s="98">
        <v>0.0</v>
      </c>
      <c r="AO1220" s="98">
        <v>0.0</v>
      </c>
      <c r="AP1220" s="98">
        <v>6.0</v>
      </c>
      <c r="AQ1220" s="98" t="s">
        <v>6653</v>
      </c>
      <c r="AR1220" s="102">
        <v>46231.0</v>
      </c>
      <c r="AS1220" s="83">
        <v>1176201.0</v>
      </c>
    </row>
    <row r="1221" ht="15.75" customHeight="1">
      <c r="A1221" s="111" t="s">
        <v>1463</v>
      </c>
      <c r="B1221" s="83" t="s">
        <v>6654</v>
      </c>
      <c r="C1221" s="83" t="s">
        <v>68</v>
      </c>
      <c r="D1221" s="112">
        <v>1178143.0</v>
      </c>
      <c r="E1221" s="83"/>
      <c r="F1221" s="83">
        <v>2.9441641E7</v>
      </c>
      <c r="G1221" s="91" t="str">
        <f>IFERROR(__xludf.DUMMYFUNCTION("XLOOKUP(AS1221,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EVANCLEIDE ALMEIDA SANTOS BARRETO - (ANTIGO CELEM)")</f>
        <v>COLÉGIO ESTADUAL DE TEMPO INTEGRAL EVANCLEIDE ALMEIDA SANTOS BARRETO - (ANTIGO CELEM)</v>
      </c>
      <c r="H1221" s="119" t="s">
        <v>6655</v>
      </c>
      <c r="I1221" s="91" t="s">
        <v>6656</v>
      </c>
      <c r="J1221" s="83" t="s">
        <v>149</v>
      </c>
      <c r="K1221" s="136" t="s">
        <v>150</v>
      </c>
      <c r="L1221" s="136" t="s">
        <v>151</v>
      </c>
      <c r="M1221" s="83" t="s">
        <v>76</v>
      </c>
      <c r="N1221" s="98" t="s">
        <v>6657</v>
      </c>
      <c r="O1221" s="98" t="s">
        <v>155</v>
      </c>
      <c r="P1221" s="99" t="str">
        <f>IFERROR(__xludf.DUMMYFUNCTION("IFERROR(VLOOKUP(AS1221,IMPORTRANGE(""https://docs.google.com/spreadsheets/d/1juPI-Fb8LD0YtltB2mlGEnp_R3UVu1t3wSFPzgCyHXE/edit?gid=0#gid=0"",""GERAL!A2:C""),3,0),""-"")"),"-")</f>
        <v>-</v>
      </c>
      <c r="Q1221" s="83"/>
      <c r="R1221" s="83"/>
      <c r="S1221" s="83"/>
      <c r="T1221" s="83"/>
      <c r="U1221" s="83"/>
      <c r="V1221" s="83"/>
      <c r="W1221" s="83"/>
      <c r="X1221" s="83"/>
      <c r="Y1221" s="83"/>
      <c r="Z1221" s="83"/>
      <c r="AA1221" s="83"/>
      <c r="AB1221" s="83"/>
      <c r="AC1221" s="83"/>
      <c r="AD1221" s="83"/>
      <c r="AE1221" s="83"/>
      <c r="AF1221" s="83"/>
      <c r="AG1221" s="83"/>
      <c r="AH1221" s="83"/>
      <c r="AI1221" s="83"/>
      <c r="AJ1221" s="83"/>
      <c r="AK1221" s="83"/>
      <c r="AL1221" s="83"/>
      <c r="AM1221" s="83"/>
      <c r="AN1221" s="83"/>
      <c r="AO1221" s="83"/>
      <c r="AP1221" s="83"/>
      <c r="AQ1221" s="83"/>
      <c r="AR1221" s="83"/>
      <c r="AS1221" s="83">
        <v>1178143.0</v>
      </c>
    </row>
    <row r="1222" ht="15.75" customHeight="1">
      <c r="A1222" s="111" t="s">
        <v>1463</v>
      </c>
      <c r="B1222" s="83" t="s">
        <v>2709</v>
      </c>
      <c r="C1222" s="83" t="s">
        <v>68</v>
      </c>
      <c r="D1222" s="112">
        <v>1135610.0</v>
      </c>
      <c r="E1222" s="83"/>
      <c r="F1222" s="83">
        <v>2.916916E7</v>
      </c>
      <c r="G1222" s="91" t="str">
        <f>IFERROR(__xludf.DUMMYFUNCTION("XLOOKUP(AS1222,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JOÃO BATISTA PEREIRA FRAGA")</f>
        <v>COLÉGIO ESTADUAL JOÃO BATISTA PEREIRA FRAGA</v>
      </c>
      <c r="H1222" s="114" t="s">
        <v>6658</v>
      </c>
      <c r="I1222" s="91" t="s">
        <v>6659</v>
      </c>
      <c r="J1222" s="83" t="s">
        <v>149</v>
      </c>
      <c r="K1222" s="83" t="s">
        <v>150</v>
      </c>
      <c r="L1222" s="83" t="s">
        <v>151</v>
      </c>
      <c r="M1222" s="83" t="s">
        <v>152</v>
      </c>
      <c r="N1222" s="98" t="s">
        <v>6660</v>
      </c>
      <c r="O1222" s="98" t="s">
        <v>284</v>
      </c>
      <c r="P1222" s="99" t="str">
        <f>IFERROR(__xludf.DUMMYFUNCTION("IFERROR(VLOOKUP(AS1222,IMPORTRANGE(""https://docs.google.com/spreadsheets/d/1juPI-Fb8LD0YtltB2mlGEnp_R3UVu1t3wSFPzgCyHXE/edit?gid=0#gid=0"",""GERAL!A2:C""),3,0),""-"")"),"-")</f>
        <v>-</v>
      </c>
      <c r="Q1222" s="83"/>
      <c r="R1222" s="83"/>
      <c r="S1222" s="83"/>
      <c r="T1222" s="83"/>
      <c r="U1222" s="83"/>
      <c r="V1222" s="83"/>
      <c r="W1222" s="83"/>
      <c r="X1222" s="83"/>
      <c r="Y1222" s="83"/>
      <c r="Z1222" s="83"/>
      <c r="AA1222" s="83"/>
      <c r="AB1222" s="83"/>
      <c r="AC1222" s="83"/>
      <c r="AD1222" s="83"/>
      <c r="AE1222" s="83"/>
      <c r="AF1222" s="83"/>
      <c r="AG1222" s="83"/>
      <c r="AH1222" s="83"/>
      <c r="AI1222" s="83"/>
      <c r="AJ1222" s="83"/>
      <c r="AK1222" s="83"/>
      <c r="AL1222" s="83"/>
      <c r="AM1222" s="83"/>
      <c r="AN1222" s="83"/>
      <c r="AO1222" s="83"/>
      <c r="AP1222" s="83"/>
      <c r="AQ1222" s="83"/>
      <c r="AR1222" s="83"/>
      <c r="AS1222" s="83">
        <v>1135610.0</v>
      </c>
    </row>
    <row r="1223" ht="15.75" customHeight="1">
      <c r="A1223" s="111" t="s">
        <v>1463</v>
      </c>
      <c r="B1223" s="83" t="s">
        <v>2709</v>
      </c>
      <c r="C1223" s="83" t="s">
        <v>68</v>
      </c>
      <c r="D1223" s="112">
        <v>1178001.0</v>
      </c>
      <c r="E1223" s="83"/>
      <c r="F1223" s="83">
        <v>2.9417287E7</v>
      </c>
      <c r="G1223" s="91" t="str">
        <f>IFERROR(__xludf.DUMMYFUNCTION("XLOOKUP(AS1223,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MANOEL BENEDITO MASCARENHAS - DISTRITO DE ITAPORÃ")</f>
        <v>COLÉGIO ESTADUAL DO CAMPO MANOEL BENEDITO MASCARENHAS - DISTRITO DE ITAPORÃ</v>
      </c>
      <c r="H1223" s="119" t="s">
        <v>6662</v>
      </c>
      <c r="I1223" s="91" t="s">
        <v>6663</v>
      </c>
      <c r="J1223" s="83" t="s">
        <v>149</v>
      </c>
      <c r="K1223" s="83" t="s">
        <v>209</v>
      </c>
      <c r="L1223" s="83" t="s">
        <v>151</v>
      </c>
      <c r="M1223" s="83" t="s">
        <v>76</v>
      </c>
      <c r="N1223" s="98" t="s">
        <v>6664</v>
      </c>
      <c r="O1223" s="98" t="s">
        <v>155</v>
      </c>
      <c r="P1223" s="99" t="str">
        <f>IFERROR(__xludf.DUMMYFUNCTION("IFERROR(VLOOKUP(AS1223,IMPORTRANGE(""https://docs.google.com/spreadsheets/d/1juPI-Fb8LD0YtltB2mlGEnp_R3UVu1t3wSFPzgCyHXE/edit?gid=0#gid=0"",""GERAL!A2:C""),3,0),""-"")"),"CAMPO")</f>
        <v>CAMPO</v>
      </c>
      <c r="Q1223" s="83"/>
      <c r="R1223" s="83"/>
      <c r="S1223" s="83"/>
      <c r="T1223" s="83"/>
      <c r="U1223" s="83"/>
      <c r="V1223" s="83"/>
      <c r="W1223" s="83"/>
      <c r="X1223" s="83"/>
      <c r="Y1223" s="83"/>
      <c r="Z1223" s="83"/>
      <c r="AA1223" s="83"/>
      <c r="AB1223" s="83"/>
      <c r="AC1223" s="83"/>
      <c r="AD1223" s="83"/>
      <c r="AE1223" s="83"/>
      <c r="AF1223" s="83"/>
      <c r="AG1223" s="83"/>
      <c r="AH1223" s="83"/>
      <c r="AI1223" s="83"/>
      <c r="AJ1223" s="83"/>
      <c r="AK1223" s="83"/>
      <c r="AL1223" s="83"/>
      <c r="AM1223" s="83"/>
      <c r="AN1223" s="83"/>
      <c r="AO1223" s="83"/>
      <c r="AP1223" s="83"/>
      <c r="AQ1223" s="83"/>
      <c r="AR1223" s="83"/>
      <c r="AS1223" s="83">
        <v>1178001.0</v>
      </c>
    </row>
    <row r="1224" ht="15.75" customHeight="1">
      <c r="A1224" s="111" t="s">
        <v>1463</v>
      </c>
      <c r="B1224" s="83" t="s">
        <v>4828</v>
      </c>
      <c r="C1224" s="83" t="s">
        <v>68</v>
      </c>
      <c r="D1224" s="112">
        <v>1109326.0</v>
      </c>
      <c r="E1224" s="83"/>
      <c r="F1224" s="83">
        <v>2.9169615E7</v>
      </c>
      <c r="G1224" s="91" t="str">
        <f>IFERROR(__xludf.DUMMYFUNCTION("XLOOKUP(AS1224,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GOVERNADOR LUIZ VIANA FILHO - EM TEMPO INTEGRAL")</f>
        <v>COLÉGIO ESTADUAL GOVERNADOR LUIZ VIANA FILHO - EM TEMPO INTEGRAL</v>
      </c>
      <c r="H1224" s="114" t="s">
        <v>6668</v>
      </c>
      <c r="I1224" s="91" t="s">
        <v>6669</v>
      </c>
      <c r="J1224" s="172" t="s">
        <v>2709</v>
      </c>
      <c r="K1224" s="83" t="s">
        <v>150</v>
      </c>
      <c r="L1224" s="83" t="s">
        <v>151</v>
      </c>
      <c r="M1224" s="83" t="s">
        <v>152</v>
      </c>
      <c r="N1224" s="98" t="s">
        <v>6670</v>
      </c>
      <c r="O1224" s="98" t="s">
        <v>155</v>
      </c>
      <c r="P1224" s="99" t="str">
        <f>IFERROR(__xludf.DUMMYFUNCTION("IFERROR(VLOOKUP(AS1224,IMPORTRANGE(""https://docs.google.com/spreadsheets/d/1juPI-Fb8LD0YtltB2mlGEnp_R3UVu1t3wSFPzgCyHXE/edit?gid=0#gid=0"",""GERAL!A2:C""),3,0),""-"")"),"-")</f>
        <v>-</v>
      </c>
      <c r="Q1224" s="101" t="s">
        <v>156</v>
      </c>
      <c r="R1224" s="98">
        <v>12.0</v>
      </c>
      <c r="S1224" s="98">
        <v>0.0</v>
      </c>
      <c r="T1224" s="98">
        <v>0.0</v>
      </c>
      <c r="U1224" s="98">
        <v>0.0</v>
      </c>
      <c r="V1224" s="98">
        <v>0.0</v>
      </c>
      <c r="W1224" s="98">
        <v>0.0</v>
      </c>
      <c r="X1224" s="98">
        <v>1.0</v>
      </c>
      <c r="Y1224" s="98">
        <v>0.0</v>
      </c>
      <c r="Z1224" s="98">
        <v>0.0</v>
      </c>
      <c r="AA1224" s="98">
        <v>0.0</v>
      </c>
      <c r="AB1224" s="98">
        <v>0.0</v>
      </c>
      <c r="AC1224" s="98">
        <v>0.0</v>
      </c>
      <c r="AD1224" s="98">
        <v>0.0</v>
      </c>
      <c r="AE1224" s="98">
        <v>0.0</v>
      </c>
      <c r="AF1224" s="98">
        <v>0.0</v>
      </c>
      <c r="AG1224" s="98">
        <v>1.0</v>
      </c>
      <c r="AH1224" s="98">
        <v>0.0</v>
      </c>
      <c r="AI1224" s="98">
        <v>0.0</v>
      </c>
      <c r="AJ1224" s="98">
        <v>0.0</v>
      </c>
      <c r="AK1224" s="98">
        <v>0.0</v>
      </c>
      <c r="AL1224" s="98">
        <v>0.0</v>
      </c>
      <c r="AM1224" s="98">
        <v>0.0</v>
      </c>
      <c r="AN1224" s="98">
        <v>0.0</v>
      </c>
      <c r="AO1224" s="98">
        <v>0.0</v>
      </c>
      <c r="AP1224" s="98">
        <v>9.0</v>
      </c>
      <c r="AQ1224" s="98" t="s">
        <v>6674</v>
      </c>
      <c r="AR1224" s="102">
        <v>46227.0</v>
      </c>
      <c r="AS1224" s="83">
        <v>1109326.0</v>
      </c>
    </row>
    <row r="1225" ht="15.75" customHeight="1">
      <c r="A1225" s="111" t="s">
        <v>1463</v>
      </c>
      <c r="B1225" s="83" t="s">
        <v>4828</v>
      </c>
      <c r="C1225" s="83" t="s">
        <v>68</v>
      </c>
      <c r="D1225" s="112">
        <v>1145691.0</v>
      </c>
      <c r="E1225" s="83"/>
      <c r="F1225" s="83">
        <v>2.9169607E7</v>
      </c>
      <c r="G1225" s="91" t="str">
        <f>IFERROR(__xludf.DUMMYFUNCTION("XLOOKUP(AS1225,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JOSÉ MARCELINO DE SOUZA")</f>
        <v>COLÉGIO ESTADUAL DOUTOR JOSÉ MARCELINO DE SOUZA</v>
      </c>
      <c r="H1225" s="114" t="s">
        <v>6675</v>
      </c>
      <c r="I1225" s="91" t="s">
        <v>6676</v>
      </c>
      <c r="J1225" s="83" t="s">
        <v>6677</v>
      </c>
      <c r="K1225" s="83" t="s">
        <v>150</v>
      </c>
      <c r="L1225" s="83" t="s">
        <v>151</v>
      </c>
      <c r="M1225" s="83" t="s">
        <v>152</v>
      </c>
      <c r="N1225" s="98" t="s">
        <v>6678</v>
      </c>
      <c r="O1225" s="98" t="s">
        <v>155</v>
      </c>
      <c r="P1225" s="99" t="str">
        <f>IFERROR(__xludf.DUMMYFUNCTION("IFERROR(VLOOKUP(AS1225,IMPORTRANGE(""https://docs.google.com/spreadsheets/d/1juPI-Fb8LD0YtltB2mlGEnp_R3UVu1t3wSFPzgCyHXE/edit?gid=0#gid=0"",""GERAL!A2:C""),3,0),""-"")"),"-")</f>
        <v>-</v>
      </c>
      <c r="Q1225" s="101" t="s">
        <v>156</v>
      </c>
      <c r="R1225" s="98">
        <v>20.0</v>
      </c>
      <c r="S1225" s="98">
        <v>0.0</v>
      </c>
      <c r="T1225" s="98">
        <v>0.0</v>
      </c>
      <c r="U1225" s="98">
        <v>0.0</v>
      </c>
      <c r="V1225" s="98">
        <v>1.0</v>
      </c>
      <c r="W1225" s="98">
        <v>0.0</v>
      </c>
      <c r="X1225" s="98">
        <v>0.0</v>
      </c>
      <c r="Y1225" s="98">
        <v>1.0</v>
      </c>
      <c r="Z1225" s="98">
        <v>0.0</v>
      </c>
      <c r="AA1225" s="98">
        <v>1.0</v>
      </c>
      <c r="AB1225" s="98">
        <v>0.0</v>
      </c>
      <c r="AC1225" s="98">
        <v>0.0</v>
      </c>
      <c r="AD1225" s="98">
        <v>0.0</v>
      </c>
      <c r="AE1225" s="98">
        <v>0.0</v>
      </c>
      <c r="AF1225" s="98">
        <v>1.0</v>
      </c>
      <c r="AG1225" s="98">
        <v>0.0</v>
      </c>
      <c r="AH1225" s="98">
        <v>0.0</v>
      </c>
      <c r="AI1225" s="98">
        <v>0.0</v>
      </c>
      <c r="AJ1225" s="98">
        <v>0.0</v>
      </c>
      <c r="AK1225" s="98">
        <v>0.0</v>
      </c>
      <c r="AL1225" s="98">
        <v>0.0</v>
      </c>
      <c r="AM1225" s="98">
        <v>0.0</v>
      </c>
      <c r="AN1225" s="98">
        <v>0.0</v>
      </c>
      <c r="AO1225" s="98">
        <v>0.0</v>
      </c>
      <c r="AP1225" s="98">
        <v>0.0</v>
      </c>
      <c r="AQ1225" s="83"/>
      <c r="AR1225" s="102">
        <v>46227.0</v>
      </c>
      <c r="AS1225" s="83">
        <v>1145691.0</v>
      </c>
    </row>
    <row r="1226" ht="15.75" customHeight="1">
      <c r="A1226" s="111" t="s">
        <v>1463</v>
      </c>
      <c r="B1226" s="83" t="s">
        <v>6679</v>
      </c>
      <c r="C1226" s="83" t="s">
        <v>68</v>
      </c>
      <c r="D1226" s="112">
        <v>1176467.0</v>
      </c>
      <c r="E1226" s="83"/>
      <c r="F1226" s="83">
        <v>2.940022E7</v>
      </c>
      <c r="G1226" s="91" t="str">
        <f>IFERROR(__xludf.DUMMYFUNCTION("XLOOKUP(AS1226,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SALINAS DA MARGARIDA
(ANTIGO CE JURACY MAGALHÃES)")</f>
        <v>COLÉGIO ESTADUAL DE TEMPO INTEGRAL DE SALINAS DA MARGARIDA
(ANTIGO CE JURACY MAGALHÃES)</v>
      </c>
      <c r="H1226" s="119" t="s">
        <v>6680</v>
      </c>
      <c r="I1226" s="91" t="s">
        <v>6681</v>
      </c>
      <c r="J1226" s="136" t="s">
        <v>149</v>
      </c>
      <c r="K1226" s="136" t="s">
        <v>150</v>
      </c>
      <c r="L1226" s="83" t="s">
        <v>151</v>
      </c>
      <c r="M1226" s="98" t="s">
        <v>230</v>
      </c>
      <c r="N1226" s="98" t="s">
        <v>6682</v>
      </c>
      <c r="O1226" s="98" t="s">
        <v>162</v>
      </c>
      <c r="P1226" s="99" t="str">
        <f>IFERROR(__xludf.DUMMYFUNCTION("IFERROR(VLOOKUP(AS1226,IMPORTRANGE(""https://docs.google.com/spreadsheets/d/1juPI-Fb8LD0YtltB2mlGEnp_R3UVu1t3wSFPzgCyHXE/edit?gid=0#gid=0"",""GERAL!A2:C""),3,0),""-"")"),"-")</f>
        <v>-</v>
      </c>
      <c r="Q1226" s="101" t="s">
        <v>156</v>
      </c>
      <c r="R1226" s="98">
        <v>22.0</v>
      </c>
      <c r="S1226" s="98">
        <v>0.0</v>
      </c>
      <c r="T1226" s="98">
        <v>1.0</v>
      </c>
      <c r="U1226" s="98">
        <v>0.0</v>
      </c>
      <c r="V1226" s="98">
        <v>1.0</v>
      </c>
      <c r="W1226" s="98">
        <v>6.0</v>
      </c>
      <c r="X1226" s="98">
        <v>1.0</v>
      </c>
      <c r="Y1226" s="98">
        <v>0.0</v>
      </c>
      <c r="Z1226" s="98">
        <v>1.0</v>
      </c>
      <c r="AA1226" s="98">
        <v>0.0</v>
      </c>
      <c r="AB1226" s="98">
        <v>1.0</v>
      </c>
      <c r="AC1226" s="98">
        <v>0.0</v>
      </c>
      <c r="AD1226" s="98">
        <v>0.0</v>
      </c>
      <c r="AE1226" s="98">
        <v>0.0</v>
      </c>
      <c r="AF1226" s="98">
        <v>1.0</v>
      </c>
      <c r="AG1226" s="98">
        <v>0.0</v>
      </c>
      <c r="AH1226" s="98">
        <v>0.0</v>
      </c>
      <c r="AI1226" s="98">
        <v>0.0</v>
      </c>
      <c r="AJ1226" s="98">
        <v>0.0</v>
      </c>
      <c r="AK1226" s="98">
        <v>1.0</v>
      </c>
      <c r="AL1226" s="98">
        <v>0.0</v>
      </c>
      <c r="AM1226" s="98">
        <v>0.0</v>
      </c>
      <c r="AN1226" s="98">
        <v>0.0</v>
      </c>
      <c r="AO1226" s="98">
        <v>0.0</v>
      </c>
      <c r="AP1226" s="98">
        <v>1.0</v>
      </c>
      <c r="AQ1226" s="98" t="s">
        <v>6689</v>
      </c>
      <c r="AR1226" s="102">
        <v>46227.0</v>
      </c>
      <c r="AS1226" s="83">
        <v>1176467.0</v>
      </c>
    </row>
    <row r="1227" ht="15.75" customHeight="1">
      <c r="A1227" s="111" t="s">
        <v>1463</v>
      </c>
      <c r="B1227" s="83" t="s">
        <v>6690</v>
      </c>
      <c r="C1227" s="83" t="s">
        <v>68</v>
      </c>
      <c r="D1227" s="112">
        <v>1134568.0</v>
      </c>
      <c r="E1227" s="83"/>
      <c r="F1227" s="83">
        <v>2.9170583E7</v>
      </c>
      <c r="G1227" s="91" t="str">
        <f>IFERROR(__xludf.DUMMYFUNCTION("XLOOKUP(AS1227,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TEODORO SAMPAIO")</f>
        <v>COLÉGIO ESTADUAL DE TEMPO INTEGRAL TEODORO SAMPAIO</v>
      </c>
      <c r="H1227" s="119" t="s">
        <v>6691</v>
      </c>
      <c r="I1227" s="108" t="s">
        <v>6692</v>
      </c>
      <c r="J1227" s="83" t="s">
        <v>149</v>
      </c>
      <c r="K1227" s="83" t="s">
        <v>150</v>
      </c>
      <c r="L1227" s="83" t="s">
        <v>151</v>
      </c>
      <c r="M1227" s="83" t="s">
        <v>230</v>
      </c>
      <c r="N1227" s="98" t="s">
        <v>6693</v>
      </c>
      <c r="O1227" s="98" t="s">
        <v>162</v>
      </c>
      <c r="P1227" s="99" t="str">
        <f>IFERROR(__xludf.DUMMYFUNCTION("IFERROR(VLOOKUP(AS1227,IMPORTRANGE(""https://docs.google.com/spreadsheets/d/1juPI-Fb8LD0YtltB2mlGEnp_R3UVu1t3wSFPzgCyHXE/edit?gid=0#gid=0"",""GERAL!A2:C""),3,0),""-"")"),"-")</f>
        <v>-</v>
      </c>
      <c r="Q1227" s="101" t="s">
        <v>156</v>
      </c>
      <c r="R1227" s="98">
        <v>24.0</v>
      </c>
      <c r="S1227" s="98">
        <v>0.0</v>
      </c>
      <c r="T1227" s="98">
        <v>1.0</v>
      </c>
      <c r="U1227" s="98">
        <v>0.0</v>
      </c>
      <c r="V1227" s="98">
        <v>1.0</v>
      </c>
      <c r="W1227" s="98">
        <v>2.0</v>
      </c>
      <c r="X1227" s="98">
        <v>0.0</v>
      </c>
      <c r="Y1227" s="98">
        <v>1.0</v>
      </c>
      <c r="Z1227" s="98">
        <v>1.0</v>
      </c>
      <c r="AA1227" s="98">
        <v>0.0</v>
      </c>
      <c r="AB1227" s="98">
        <v>1.0</v>
      </c>
      <c r="AC1227" s="98">
        <v>0.0</v>
      </c>
      <c r="AD1227" s="98">
        <v>0.0</v>
      </c>
      <c r="AE1227" s="98">
        <v>0.0</v>
      </c>
      <c r="AF1227" s="98">
        <v>1.0</v>
      </c>
      <c r="AG1227" s="98">
        <v>0.0</v>
      </c>
      <c r="AH1227" s="98">
        <v>0.0</v>
      </c>
      <c r="AI1227" s="98">
        <v>0.0</v>
      </c>
      <c r="AJ1227" s="98">
        <v>0.0</v>
      </c>
      <c r="AK1227" s="98">
        <v>1.0</v>
      </c>
      <c r="AL1227" s="98">
        <v>0.0</v>
      </c>
      <c r="AM1227" s="98">
        <v>0.0</v>
      </c>
      <c r="AN1227" s="98">
        <v>0.0</v>
      </c>
      <c r="AO1227" s="98">
        <v>1.0</v>
      </c>
      <c r="AP1227" s="98">
        <v>1.0</v>
      </c>
      <c r="AQ1227" s="98" t="s">
        <v>6699</v>
      </c>
      <c r="AR1227" s="102">
        <v>46204.0</v>
      </c>
      <c r="AS1227" s="83">
        <v>1134568.0</v>
      </c>
    </row>
    <row r="1228" ht="15.75" customHeight="1">
      <c r="A1228" s="111" t="s">
        <v>1463</v>
      </c>
      <c r="B1228" s="83" t="s">
        <v>6690</v>
      </c>
      <c r="C1228" s="83" t="s">
        <v>68</v>
      </c>
      <c r="D1228" s="112">
        <v>1178052.0</v>
      </c>
      <c r="E1228" s="83"/>
      <c r="F1228" s="83">
        <v>2.9426383E7</v>
      </c>
      <c r="G1228" s="91" t="str">
        <f>IFERROR(__xludf.DUMMYFUNCTION("XLOOKUP(AS1228,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CASTRO ALVES - DISTRITO DE ACUPE")</f>
        <v>COLÉGIO ESTADUAL CASTRO ALVES - DISTRITO DE ACUPE</v>
      </c>
      <c r="H1228" s="114" t="s">
        <v>6702</v>
      </c>
      <c r="I1228" s="91" t="s">
        <v>6703</v>
      </c>
      <c r="J1228" s="83" t="s">
        <v>149</v>
      </c>
      <c r="K1228" s="83" t="s">
        <v>240</v>
      </c>
      <c r="L1228" s="83" t="s">
        <v>151</v>
      </c>
      <c r="M1228" s="83" t="s">
        <v>76</v>
      </c>
      <c r="N1228" s="98" t="s">
        <v>6706</v>
      </c>
      <c r="O1228" s="98" t="s">
        <v>155</v>
      </c>
      <c r="P1228" s="99" t="str">
        <f>IFERROR(__xludf.DUMMYFUNCTION("IFERROR(VLOOKUP(AS1228,IMPORTRANGE(""https://docs.google.com/spreadsheets/d/1juPI-Fb8LD0YtltB2mlGEnp_R3UVu1t3wSFPzgCyHXE/edit?gid=0#gid=0"",""GERAL!A2:C""),3,0),""-"")"),"CAMPO")</f>
        <v>CAMPO</v>
      </c>
      <c r="Q1228" s="101" t="s">
        <v>156</v>
      </c>
      <c r="R1228" s="98">
        <v>6.0</v>
      </c>
      <c r="S1228" s="98">
        <v>0.0</v>
      </c>
      <c r="T1228" s="98">
        <v>0.0</v>
      </c>
      <c r="U1228" s="98">
        <v>0.0</v>
      </c>
      <c r="V1228" s="98">
        <v>0.0</v>
      </c>
      <c r="W1228" s="98">
        <v>0.0</v>
      </c>
      <c r="X1228" s="98">
        <v>0.0</v>
      </c>
      <c r="Y1228" s="98">
        <v>0.0</v>
      </c>
      <c r="Z1228" s="98">
        <v>0.0</v>
      </c>
      <c r="AA1228" s="98">
        <v>0.0</v>
      </c>
      <c r="AB1228" s="98">
        <v>0.0</v>
      </c>
      <c r="AC1228" s="98">
        <v>0.0</v>
      </c>
      <c r="AD1228" s="98">
        <v>0.0</v>
      </c>
      <c r="AE1228" s="98">
        <v>0.0</v>
      </c>
      <c r="AF1228" s="98">
        <v>0.0</v>
      </c>
      <c r="AG1228" s="98">
        <v>1.0</v>
      </c>
      <c r="AH1228" s="98">
        <v>0.0</v>
      </c>
      <c r="AI1228" s="98">
        <v>0.0</v>
      </c>
      <c r="AJ1228" s="98">
        <v>0.0</v>
      </c>
      <c r="AK1228" s="98">
        <v>0.0</v>
      </c>
      <c r="AL1228" s="98">
        <v>0.0</v>
      </c>
      <c r="AM1228" s="98">
        <v>0.0</v>
      </c>
      <c r="AN1228" s="98">
        <v>0.0</v>
      </c>
      <c r="AO1228" s="98">
        <v>0.0</v>
      </c>
      <c r="AP1228" s="98">
        <v>2.0</v>
      </c>
      <c r="AQ1228" s="98" t="s">
        <v>6711</v>
      </c>
      <c r="AR1228" s="102">
        <v>46204.0</v>
      </c>
      <c r="AS1228" s="83">
        <v>1178052.0</v>
      </c>
    </row>
    <row r="1229" ht="15.75" customHeight="1">
      <c r="A1229" s="111" t="s">
        <v>1463</v>
      </c>
      <c r="B1229" s="83" t="s">
        <v>6690</v>
      </c>
      <c r="C1229" s="83" t="s">
        <v>68</v>
      </c>
      <c r="D1229" s="112">
        <v>1178262.0</v>
      </c>
      <c r="E1229" s="83"/>
      <c r="F1229" s="83">
        <v>2.9432537E7</v>
      </c>
      <c r="G1229" s="91" t="str">
        <f>IFERROR(__xludf.DUMMYFUNCTION("XLOOKUP(AS1229,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ANTONIO DOS SANTOS PAIM - DISTRITO OLIVEIRA DOS CAMPINHOS")</f>
        <v>COLÉGIO ESTADUAL ANTONIO DOS SANTOS PAIM - DISTRITO OLIVEIRA DOS CAMPINHOS</v>
      </c>
      <c r="H1229" s="114" t="s">
        <v>6712</v>
      </c>
      <c r="I1229" s="91" t="s">
        <v>6713</v>
      </c>
      <c r="J1229" s="83" t="s">
        <v>149</v>
      </c>
      <c r="K1229" s="83" t="s">
        <v>4299</v>
      </c>
      <c r="L1229" s="83" t="s">
        <v>151</v>
      </c>
      <c r="M1229" s="83" t="s">
        <v>169</v>
      </c>
      <c r="N1229" s="98" t="s">
        <v>6714</v>
      </c>
      <c r="O1229" s="98" t="s">
        <v>155</v>
      </c>
      <c r="P1229" s="99" t="str">
        <f>IFERROR(__xludf.DUMMYFUNCTION("IFERROR(VLOOKUP(AS1229,IMPORTRANGE(""https://docs.google.com/spreadsheets/d/1juPI-Fb8LD0YtltB2mlGEnp_R3UVu1t3wSFPzgCyHXE/edit?gid=0#gid=0"",""GERAL!A2:C""),3,0),""-"")"),"-")</f>
        <v>-</v>
      </c>
      <c r="Q1229" s="101" t="s">
        <v>156</v>
      </c>
      <c r="R1229" s="98">
        <v>6.0</v>
      </c>
      <c r="S1229" s="98">
        <v>0.0</v>
      </c>
      <c r="T1229" s="98">
        <v>0.0</v>
      </c>
      <c r="U1229" s="98">
        <v>1.0</v>
      </c>
      <c r="V1229" s="98">
        <v>1.0</v>
      </c>
      <c r="W1229" s="98">
        <v>0.0</v>
      </c>
      <c r="X1229" s="98">
        <v>0.0</v>
      </c>
      <c r="Y1229" s="98">
        <v>1.0</v>
      </c>
      <c r="Z1229" s="98">
        <v>0.0</v>
      </c>
      <c r="AA1229" s="98">
        <v>0.0</v>
      </c>
      <c r="AB1229" s="98">
        <v>0.0</v>
      </c>
      <c r="AC1229" s="98">
        <v>0.0</v>
      </c>
      <c r="AD1229" s="98">
        <v>0.0</v>
      </c>
      <c r="AE1229" s="98">
        <v>0.0</v>
      </c>
      <c r="AF1229" s="98">
        <v>0.0</v>
      </c>
      <c r="AG1229" s="98">
        <v>0.0</v>
      </c>
      <c r="AH1229" s="98">
        <v>0.0</v>
      </c>
      <c r="AI1229" s="98">
        <v>0.0</v>
      </c>
      <c r="AJ1229" s="98">
        <v>0.0</v>
      </c>
      <c r="AK1229" s="98">
        <v>0.0</v>
      </c>
      <c r="AL1229" s="98">
        <v>0.0</v>
      </c>
      <c r="AM1229" s="98">
        <v>0.0</v>
      </c>
      <c r="AN1229" s="98">
        <v>0.0</v>
      </c>
      <c r="AO1229" s="98">
        <v>0.0</v>
      </c>
      <c r="AP1229" s="98">
        <v>0.0</v>
      </c>
      <c r="AQ1229" s="98" t="s">
        <v>171</v>
      </c>
      <c r="AR1229" s="102">
        <v>46204.0</v>
      </c>
      <c r="AS1229" s="83">
        <v>1178262.0</v>
      </c>
    </row>
    <row r="1230" ht="15.75" customHeight="1">
      <c r="A1230" s="111" t="s">
        <v>1463</v>
      </c>
      <c r="B1230" s="83" t="s">
        <v>6690</v>
      </c>
      <c r="C1230" s="83" t="s">
        <v>68</v>
      </c>
      <c r="D1230" s="112">
        <v>1134665.0</v>
      </c>
      <c r="E1230" s="83"/>
      <c r="F1230" s="83">
        <v>2.9170877E7</v>
      </c>
      <c r="G1230" s="91" t="str">
        <f>IFERROR(__xludf.DUMMYFUNCTION("XLOOKUP(AS1230,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EDUCACÃO PROFISSIONAL EM TURISMO DO LESTE BAIANO")</f>
        <v>CENTRO ESTADUAL DE EDUCACÃO PROFISSIONAL EM TURISMO DO LESTE BAIANO</v>
      </c>
      <c r="H1230" s="114" t="s">
        <v>6715</v>
      </c>
      <c r="I1230" s="91" t="s">
        <v>6716</v>
      </c>
      <c r="J1230" s="83" t="s">
        <v>149</v>
      </c>
      <c r="K1230" s="83" t="s">
        <v>150</v>
      </c>
      <c r="L1230" s="83" t="s">
        <v>151</v>
      </c>
      <c r="M1230" s="83" t="s">
        <v>230</v>
      </c>
      <c r="N1230" s="98" t="s">
        <v>6693</v>
      </c>
      <c r="O1230" s="98" t="s">
        <v>155</v>
      </c>
      <c r="P1230" s="99" t="str">
        <f>IFERROR(__xludf.DUMMYFUNCTION("IFERROR(VLOOKUP(AS1230,IMPORTRANGE(""https://docs.google.com/spreadsheets/d/1juPI-Fb8LD0YtltB2mlGEnp_R3UVu1t3wSFPzgCyHXE/edit?gid=0#gid=0"",""GERAL!A2:C""),3,0),""-"")"),"-")</f>
        <v>-</v>
      </c>
      <c r="Q1230" s="101" t="s">
        <v>156</v>
      </c>
      <c r="R1230" s="98">
        <v>20.0</v>
      </c>
      <c r="S1230" s="98">
        <v>0.0</v>
      </c>
      <c r="T1230" s="98">
        <v>0.0</v>
      </c>
      <c r="U1230" s="98">
        <v>0.0</v>
      </c>
      <c r="V1230" s="98">
        <v>1.0</v>
      </c>
      <c r="W1230" s="98">
        <v>1.0</v>
      </c>
      <c r="X1230" s="98">
        <v>0.0</v>
      </c>
      <c r="Y1230" s="98">
        <v>1.0</v>
      </c>
      <c r="Z1230" s="98">
        <v>0.0</v>
      </c>
      <c r="AA1230" s="98">
        <v>1.0</v>
      </c>
      <c r="AB1230" s="98">
        <v>0.0</v>
      </c>
      <c r="AC1230" s="98">
        <v>0.0</v>
      </c>
      <c r="AD1230" s="98">
        <v>0.0</v>
      </c>
      <c r="AE1230" s="98">
        <v>0.0</v>
      </c>
      <c r="AF1230" s="98">
        <v>0.0</v>
      </c>
      <c r="AG1230" s="98">
        <v>1.0</v>
      </c>
      <c r="AH1230" s="98">
        <v>0.0</v>
      </c>
      <c r="AI1230" s="98">
        <v>0.0</v>
      </c>
      <c r="AJ1230" s="98">
        <v>0.0</v>
      </c>
      <c r="AK1230" s="98">
        <v>0.0</v>
      </c>
      <c r="AL1230" s="98">
        <v>0.0</v>
      </c>
      <c r="AM1230" s="98">
        <v>0.0</v>
      </c>
      <c r="AN1230" s="98">
        <v>0.0</v>
      </c>
      <c r="AO1230" s="98">
        <v>0.0</v>
      </c>
      <c r="AP1230" s="98">
        <v>0.0</v>
      </c>
      <c r="AQ1230" s="98" t="s">
        <v>6724</v>
      </c>
      <c r="AR1230" s="102">
        <v>46204.0</v>
      </c>
      <c r="AS1230" s="83">
        <v>1134665.0</v>
      </c>
    </row>
    <row r="1231" ht="15.75" customHeight="1">
      <c r="A1231" s="111" t="s">
        <v>1463</v>
      </c>
      <c r="B1231" s="83" t="s">
        <v>6727</v>
      </c>
      <c r="C1231" s="83" t="s">
        <v>68</v>
      </c>
      <c r="D1231" s="112">
        <v>1109652.0</v>
      </c>
      <c r="E1231" s="83"/>
      <c r="F1231" s="83">
        <v>2.9171601E7</v>
      </c>
      <c r="G1231" s="91" t="str">
        <f>IFERROR(__xludf.DUMMYFUNCTION("XLOOKUP(AS1231,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FRANCISCO DA CONCEIÇÃO MENEZES")</f>
        <v>COLÉGIO ESTADUAL FRANCISCO DA CONCEIÇÃO MENEZES</v>
      </c>
      <c r="H1231" s="114" t="s">
        <v>6729</v>
      </c>
      <c r="I1231" s="91" t="s">
        <v>6730</v>
      </c>
      <c r="J1231" s="83" t="s">
        <v>6731</v>
      </c>
      <c r="K1231" s="83" t="s">
        <v>150</v>
      </c>
      <c r="L1231" s="83" t="s">
        <v>151</v>
      </c>
      <c r="M1231" s="83" t="s">
        <v>230</v>
      </c>
      <c r="N1231" s="98" t="s">
        <v>6732</v>
      </c>
      <c r="O1231" s="98" t="s">
        <v>155</v>
      </c>
      <c r="P1231" s="99" t="str">
        <f>IFERROR(__xludf.DUMMYFUNCTION("IFERROR(VLOOKUP(AS1231,IMPORTRANGE(""https://docs.google.com/spreadsheets/d/1juPI-Fb8LD0YtltB2mlGEnp_R3UVu1t3wSFPzgCyHXE/edit?gid=0#gid=0"",""GERAL!A2:C""),3,0),""-"")"),"-")</f>
        <v>-</v>
      </c>
      <c r="Q1231" s="83"/>
      <c r="R1231" s="83"/>
      <c r="S1231" s="83"/>
      <c r="T1231" s="83"/>
      <c r="U1231" s="83"/>
      <c r="V1231" s="83"/>
      <c r="W1231" s="83"/>
      <c r="X1231" s="83"/>
      <c r="Y1231" s="83"/>
      <c r="Z1231" s="83"/>
      <c r="AA1231" s="83"/>
      <c r="AB1231" s="83"/>
      <c r="AC1231" s="83"/>
      <c r="AD1231" s="83"/>
      <c r="AE1231" s="83"/>
      <c r="AF1231" s="83"/>
      <c r="AG1231" s="83"/>
      <c r="AH1231" s="83"/>
      <c r="AI1231" s="83"/>
      <c r="AJ1231" s="83"/>
      <c r="AK1231" s="83"/>
      <c r="AL1231" s="83"/>
      <c r="AM1231" s="83"/>
      <c r="AN1231" s="83"/>
      <c r="AO1231" s="83"/>
      <c r="AP1231" s="83"/>
      <c r="AQ1231" s="83"/>
      <c r="AR1231" s="83"/>
      <c r="AS1231" s="83">
        <v>1109652.0</v>
      </c>
    </row>
    <row r="1232" ht="15.75" customHeight="1">
      <c r="A1232" s="111" t="s">
        <v>1463</v>
      </c>
      <c r="B1232" s="83" t="s">
        <v>6727</v>
      </c>
      <c r="C1232" s="83" t="s">
        <v>68</v>
      </c>
      <c r="D1232" s="112">
        <v>1164564.0</v>
      </c>
      <c r="E1232" s="83"/>
      <c r="F1232" s="83">
        <v>2.917161E7</v>
      </c>
      <c r="G1232" s="91" t="str">
        <f>IFERROR(__xludf.DUMMYFUNCTION("XLOOKUP(AS1232,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CLÓVIS ESEQUIEL DOS SANTOS")</f>
        <v>COLÉGIO ESTADUAL DE TEMPO INTEGRAL PROFESSOR CLÓVIS ESEQUIEL DOS SANTOS</v>
      </c>
      <c r="H1232" s="119" t="s">
        <v>6736</v>
      </c>
      <c r="I1232" s="108" t="s">
        <v>6739</v>
      </c>
      <c r="J1232" s="83" t="s">
        <v>149</v>
      </c>
      <c r="K1232" s="172" t="s">
        <v>150</v>
      </c>
      <c r="L1232" s="172" t="s">
        <v>168</v>
      </c>
      <c r="M1232" s="83" t="s">
        <v>230</v>
      </c>
      <c r="N1232" s="98" t="s">
        <v>6742</v>
      </c>
      <c r="O1232" s="98" t="s">
        <v>155</v>
      </c>
      <c r="P1232" s="99" t="str">
        <f>IFERROR(__xludf.DUMMYFUNCTION("IFERROR(VLOOKUP(AS1232,IMPORTRANGE(""https://docs.google.com/spreadsheets/d/1juPI-Fb8LD0YtltB2mlGEnp_R3UVu1t3wSFPzgCyHXE/edit?gid=0#gid=0"",""GERAL!A2:C""),3,0),""-"")"),"-")</f>
        <v>-</v>
      </c>
      <c r="Q1232" s="83"/>
      <c r="R1232" s="83"/>
      <c r="S1232" s="83"/>
      <c r="T1232" s="83"/>
      <c r="U1232" s="83"/>
      <c r="V1232" s="83"/>
      <c r="W1232" s="83"/>
      <c r="X1232" s="83"/>
      <c r="Y1232" s="83"/>
      <c r="Z1232" s="83"/>
      <c r="AA1232" s="83"/>
      <c r="AB1232" s="83"/>
      <c r="AC1232" s="83"/>
      <c r="AD1232" s="83"/>
      <c r="AE1232" s="83"/>
      <c r="AF1232" s="83"/>
      <c r="AG1232" s="83"/>
      <c r="AH1232" s="83"/>
      <c r="AI1232" s="83"/>
      <c r="AJ1232" s="83"/>
      <c r="AK1232" s="83"/>
      <c r="AL1232" s="83"/>
      <c r="AM1232" s="83"/>
      <c r="AN1232" s="83"/>
      <c r="AO1232" s="83"/>
      <c r="AP1232" s="83"/>
      <c r="AQ1232" s="83"/>
      <c r="AR1232" s="83"/>
      <c r="AS1232" s="83">
        <v>1164564.0</v>
      </c>
    </row>
    <row r="1233" ht="15.75" customHeight="1">
      <c r="A1233" s="111" t="s">
        <v>1463</v>
      </c>
      <c r="B1233" s="83" t="s">
        <v>6727</v>
      </c>
      <c r="C1233" s="83" t="s">
        <v>68</v>
      </c>
      <c r="D1233" s="112">
        <v>1178087.0</v>
      </c>
      <c r="E1233" s="83"/>
      <c r="F1233" s="83">
        <v>2.9432626E7</v>
      </c>
      <c r="G1233" s="91" t="str">
        <f>IFERROR(__xludf.DUMMYFUNCTION("XLOOKUP(AS1233,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EDUCAÇÃO PROFISSIONAL DO RECONCAVO")</f>
        <v>CENTRO TERRITORIAL DE EDUCAÇÃO PROFISSIONAL DO RECONCAVO</v>
      </c>
      <c r="H1233" s="114" t="s">
        <v>6744</v>
      </c>
      <c r="I1233" s="91" t="s">
        <v>6745</v>
      </c>
      <c r="J1233" s="83" t="s">
        <v>6746</v>
      </c>
      <c r="K1233" s="83" t="s">
        <v>150</v>
      </c>
      <c r="L1233" s="83" t="s">
        <v>151</v>
      </c>
      <c r="M1233" s="83" t="s">
        <v>230</v>
      </c>
      <c r="N1233" s="98" t="s">
        <v>6747</v>
      </c>
      <c r="O1233" s="98" t="s">
        <v>6749</v>
      </c>
      <c r="P1233" s="99" t="str">
        <f>IFERROR(__xludf.DUMMYFUNCTION("IFERROR(VLOOKUP(AS1233,IMPORTRANGE(""https://docs.google.com/spreadsheets/d/1juPI-Fb8LD0YtltB2mlGEnp_R3UVu1t3wSFPzgCyHXE/edit?gid=0#gid=0"",""GERAL!A2:C""),3,0),""-"")"),"-")</f>
        <v>-</v>
      </c>
      <c r="Q1233" s="83"/>
      <c r="R1233" s="83"/>
      <c r="S1233" s="83"/>
      <c r="T1233" s="83"/>
      <c r="U1233" s="83"/>
      <c r="V1233" s="83"/>
      <c r="W1233" s="83"/>
      <c r="X1233" s="83"/>
      <c r="Y1233" s="83"/>
      <c r="Z1233" s="83"/>
      <c r="AA1233" s="83"/>
      <c r="AB1233" s="83"/>
      <c r="AC1233" s="83"/>
      <c r="AD1233" s="83"/>
      <c r="AE1233" s="83"/>
      <c r="AF1233" s="83"/>
      <c r="AG1233" s="83"/>
      <c r="AH1233" s="83"/>
      <c r="AI1233" s="83"/>
      <c r="AJ1233" s="83"/>
      <c r="AK1233" s="83"/>
      <c r="AL1233" s="83"/>
      <c r="AM1233" s="83"/>
      <c r="AN1233" s="83"/>
      <c r="AO1233" s="83"/>
      <c r="AP1233" s="83"/>
      <c r="AQ1233" s="83"/>
      <c r="AR1233" s="83"/>
      <c r="AS1233" s="83">
        <v>1178087.0</v>
      </c>
    </row>
    <row r="1234" ht="15.75" customHeight="1">
      <c r="A1234" s="111" t="s">
        <v>1463</v>
      </c>
      <c r="B1234" s="83" t="s">
        <v>6727</v>
      </c>
      <c r="C1234" s="83" t="s">
        <v>68</v>
      </c>
      <c r="D1234" s="112">
        <v>1176152.0</v>
      </c>
      <c r="E1234" s="83"/>
      <c r="F1234" s="83">
        <v>2.9337534E7</v>
      </c>
      <c r="G1234" s="91" t="str">
        <f>IFERROR(__xludf.DUMMYFUNCTION("XLOOKUP(AS1234,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PEDAGOGICO COMPANHEIRO LEAO AURELIO PIRES - CAP")</f>
        <v>CENTRO DE APOIO PEDAGOGICO COMPANHEIRO LEAO AURELIO PIRES - CAP</v>
      </c>
      <c r="H1234" s="114" t="s">
        <v>6750</v>
      </c>
      <c r="I1234" s="91" t="s">
        <v>6751</v>
      </c>
      <c r="J1234" s="83" t="s">
        <v>6752</v>
      </c>
      <c r="K1234" s="83" t="s">
        <v>150</v>
      </c>
      <c r="L1234" s="83" t="s">
        <v>151</v>
      </c>
      <c r="M1234" s="83" t="s">
        <v>230</v>
      </c>
      <c r="N1234" s="98" t="s">
        <v>6753</v>
      </c>
      <c r="O1234" s="98" t="s">
        <v>155</v>
      </c>
      <c r="P1234" s="99" t="str">
        <f>IFERROR(__xludf.DUMMYFUNCTION("IFERROR(VLOOKUP(AS1234,IMPORTRANGE(""https://docs.google.com/spreadsheets/d/1juPI-Fb8LD0YtltB2mlGEnp_R3UVu1t3wSFPzgCyHXE/edit?gid=0#gid=0"",""GERAL!A2:C""),3,0),""-"")"),"-")</f>
        <v>-</v>
      </c>
      <c r="Q1234" s="83"/>
      <c r="R1234" s="83"/>
      <c r="S1234" s="83"/>
      <c r="T1234" s="83"/>
      <c r="U1234" s="83"/>
      <c r="V1234" s="83"/>
      <c r="W1234" s="83"/>
      <c r="X1234" s="83"/>
      <c r="Y1234" s="83"/>
      <c r="Z1234" s="83"/>
      <c r="AA1234" s="83"/>
      <c r="AB1234" s="83"/>
      <c r="AC1234" s="83"/>
      <c r="AD1234" s="83"/>
      <c r="AE1234" s="83"/>
      <c r="AF1234" s="83"/>
      <c r="AG1234" s="83"/>
      <c r="AH1234" s="83"/>
      <c r="AI1234" s="83"/>
      <c r="AJ1234" s="83"/>
      <c r="AK1234" s="83"/>
      <c r="AL1234" s="83"/>
      <c r="AM1234" s="83"/>
      <c r="AN1234" s="83"/>
      <c r="AO1234" s="83"/>
      <c r="AP1234" s="83"/>
      <c r="AQ1234" s="83"/>
      <c r="AR1234" s="83"/>
      <c r="AS1234" s="83">
        <v>1176152.0</v>
      </c>
    </row>
    <row r="1235" ht="15.75" customHeight="1">
      <c r="A1235" s="111" t="s">
        <v>1463</v>
      </c>
      <c r="B1235" s="83" t="s">
        <v>6754</v>
      </c>
      <c r="C1235" s="83" t="s">
        <v>68</v>
      </c>
      <c r="D1235" s="112">
        <v>1134509.0</v>
      </c>
      <c r="E1235" s="83"/>
      <c r="F1235" s="83">
        <v>2.9173531E7</v>
      </c>
      <c r="G1235" s="91" t="str">
        <f>IFERROR(__xludf.DUMMYFUNCTION("XLOOKUP(AS1235,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FELIPE")</f>
        <v>COLÉGIO ESTADUAL DE TEMPO INTEGRAL SÃO FELIPE</v>
      </c>
      <c r="H1235" s="119" t="s">
        <v>6755</v>
      </c>
      <c r="I1235" s="91" t="s">
        <v>6756</v>
      </c>
      <c r="J1235" s="83" t="s">
        <v>149</v>
      </c>
      <c r="K1235" s="83" t="s">
        <v>150</v>
      </c>
      <c r="L1235" s="83" t="s">
        <v>151</v>
      </c>
      <c r="M1235" s="83" t="s">
        <v>152</v>
      </c>
      <c r="N1235" s="98" t="s">
        <v>6757</v>
      </c>
      <c r="O1235" s="98" t="s">
        <v>155</v>
      </c>
      <c r="P1235" s="99" t="str">
        <f>IFERROR(__xludf.DUMMYFUNCTION("IFERROR(VLOOKUP(AS1235,IMPORTRANGE(""https://docs.google.com/spreadsheets/d/1juPI-Fb8LD0YtltB2mlGEnp_R3UVu1t3wSFPzgCyHXE/edit?gid=0#gid=0"",""GERAL!A2:C""),3,0),""-"")"),"-")</f>
        <v>-</v>
      </c>
      <c r="Q1235" s="83"/>
      <c r="R1235" s="83"/>
      <c r="S1235" s="83"/>
      <c r="T1235" s="83"/>
      <c r="U1235" s="83"/>
      <c r="V1235" s="83"/>
      <c r="W1235" s="83"/>
      <c r="X1235" s="83"/>
      <c r="Y1235" s="83"/>
      <c r="Z1235" s="83"/>
      <c r="AA1235" s="83"/>
      <c r="AB1235" s="83"/>
      <c r="AC1235" s="83"/>
      <c r="AD1235" s="83"/>
      <c r="AE1235" s="83"/>
      <c r="AF1235" s="83"/>
      <c r="AG1235" s="83"/>
      <c r="AH1235" s="83"/>
      <c r="AI1235" s="83"/>
      <c r="AJ1235" s="83"/>
      <c r="AK1235" s="83"/>
      <c r="AL1235" s="83"/>
      <c r="AM1235" s="83"/>
      <c r="AN1235" s="83"/>
      <c r="AO1235" s="83"/>
      <c r="AP1235" s="83"/>
      <c r="AQ1235" s="83"/>
      <c r="AR1235" s="83"/>
      <c r="AS1235" s="83">
        <v>1134509.0</v>
      </c>
    </row>
    <row r="1236" ht="15.75" customHeight="1">
      <c r="A1236" s="111" t="s">
        <v>1463</v>
      </c>
      <c r="B1236" s="83" t="s">
        <v>6758</v>
      </c>
      <c r="C1236" s="83" t="s">
        <v>68</v>
      </c>
      <c r="D1236" s="112">
        <v>1134657.0</v>
      </c>
      <c r="E1236" s="83"/>
      <c r="F1236" s="83">
        <v>2.917287E7</v>
      </c>
      <c r="G1236" s="91" t="str">
        <f>IFERROR(__xludf.DUMMYFUNCTION("XLOOKUP(AS1236,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ROMULO GALVÃO - TEMPO INTEGRAL")</f>
        <v>COLÉGIO ESTADUAL ROMULO GALVÃO - TEMPO INTEGRAL</v>
      </c>
      <c r="H1236" s="114" t="s">
        <v>6759</v>
      </c>
      <c r="I1236" s="91" t="s">
        <v>6760</v>
      </c>
      <c r="J1236" s="83" t="s">
        <v>149</v>
      </c>
      <c r="K1236" s="83" t="s">
        <v>150</v>
      </c>
      <c r="L1236" s="83" t="s">
        <v>151</v>
      </c>
      <c r="M1236" s="83" t="s">
        <v>152</v>
      </c>
      <c r="N1236" s="98" t="s">
        <v>6761</v>
      </c>
      <c r="O1236" s="98" t="s">
        <v>155</v>
      </c>
      <c r="P1236" s="99" t="str">
        <f>IFERROR(__xludf.DUMMYFUNCTION("IFERROR(VLOOKUP(AS1236,IMPORTRANGE(""https://docs.google.com/spreadsheets/d/1juPI-Fb8LD0YtltB2mlGEnp_R3UVu1t3wSFPzgCyHXE/edit?gid=0#gid=0"",""GERAL!A2:C""),3,0),""-"")"),"-")</f>
        <v>-</v>
      </c>
      <c r="Q1236" s="83"/>
      <c r="R1236" s="83"/>
      <c r="S1236" s="83"/>
      <c r="T1236" s="83"/>
      <c r="U1236" s="83"/>
      <c r="V1236" s="83"/>
      <c r="W1236" s="83"/>
      <c r="X1236" s="83"/>
      <c r="Y1236" s="83"/>
      <c r="Z1236" s="83"/>
      <c r="AA1236" s="83"/>
      <c r="AB1236" s="83"/>
      <c r="AC1236" s="83"/>
      <c r="AD1236" s="83"/>
      <c r="AE1236" s="83"/>
      <c r="AF1236" s="83"/>
      <c r="AG1236" s="83"/>
      <c r="AH1236" s="83"/>
      <c r="AI1236" s="83"/>
      <c r="AJ1236" s="83"/>
      <c r="AK1236" s="83"/>
      <c r="AL1236" s="83"/>
      <c r="AM1236" s="83"/>
      <c r="AN1236" s="83"/>
      <c r="AO1236" s="83"/>
      <c r="AP1236" s="83"/>
      <c r="AQ1236" s="83"/>
      <c r="AR1236" s="83"/>
      <c r="AS1236" s="83">
        <v>1134657.0</v>
      </c>
    </row>
    <row r="1237" ht="15.75" customHeight="1">
      <c r="A1237" s="111" t="s">
        <v>1463</v>
      </c>
      <c r="B1237" s="83" t="s">
        <v>6758</v>
      </c>
      <c r="C1237" s="83" t="s">
        <v>164</v>
      </c>
      <c r="D1237" s="112">
        <v>1134657.0</v>
      </c>
      <c r="E1237" s="83">
        <v>1178229.0</v>
      </c>
      <c r="F1237" s="83"/>
      <c r="G1237" s="91" t="str">
        <f>IFERROR(__xludf.DUMMYFUNCTION("XLOOKUP(AS1237,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ROMULO GALVÃO - DISTRITO DE OUTEIRO REDONDO")</f>
        <v>ANEXO - COLÉGIO ESTADUAL ROMULO GALVÃO - DISTRITO DE OUTEIRO REDONDO</v>
      </c>
      <c r="H1237" s="114" t="s">
        <v>6762</v>
      </c>
      <c r="I1237" s="91" t="s">
        <v>6763</v>
      </c>
      <c r="J1237" s="83" t="s">
        <v>576</v>
      </c>
      <c r="K1237" s="83" t="s">
        <v>694</v>
      </c>
      <c r="L1237" s="83" t="s">
        <v>168</v>
      </c>
      <c r="M1237" s="83" t="s">
        <v>169</v>
      </c>
      <c r="N1237" s="115" t="s">
        <v>170</v>
      </c>
      <c r="O1237" s="98" t="s">
        <v>155</v>
      </c>
      <c r="P1237" s="99" t="str">
        <f>IFERROR(__xludf.DUMMYFUNCTION("IFERROR(VLOOKUP(AS1237,IMPORTRANGE(""https://docs.google.com/spreadsheets/d/1juPI-Fb8LD0YtltB2mlGEnp_R3UVu1t3wSFPzgCyHXE/edit?gid=0#gid=0"",""GERAL!A2:C""),3,0),""-"")"),"CAMPO")</f>
        <v>CAMPO</v>
      </c>
      <c r="Q1237" s="83"/>
      <c r="R1237" s="83"/>
      <c r="S1237" s="83"/>
      <c r="T1237" s="83"/>
      <c r="U1237" s="83"/>
      <c r="V1237" s="83"/>
      <c r="W1237" s="83"/>
      <c r="X1237" s="83"/>
      <c r="Y1237" s="83"/>
      <c r="Z1237" s="83"/>
      <c r="AA1237" s="83"/>
      <c r="AB1237" s="83"/>
      <c r="AC1237" s="83"/>
      <c r="AD1237" s="83"/>
      <c r="AE1237" s="83"/>
      <c r="AF1237" s="83"/>
      <c r="AG1237" s="83"/>
      <c r="AH1237" s="83"/>
      <c r="AI1237" s="83"/>
      <c r="AJ1237" s="83"/>
      <c r="AK1237" s="83"/>
      <c r="AL1237" s="83"/>
      <c r="AM1237" s="83"/>
      <c r="AN1237" s="83"/>
      <c r="AO1237" s="83"/>
      <c r="AP1237" s="83"/>
      <c r="AQ1237" s="83"/>
      <c r="AR1237" s="83"/>
      <c r="AS1237" s="83">
        <v>1178229.0</v>
      </c>
    </row>
    <row r="1238" ht="15.75" customHeight="1">
      <c r="A1238" s="111" t="s">
        <v>1463</v>
      </c>
      <c r="B1238" s="83" t="s">
        <v>6770</v>
      </c>
      <c r="C1238" s="83" t="s">
        <v>68</v>
      </c>
      <c r="D1238" s="112">
        <v>1138954.0</v>
      </c>
      <c r="E1238" s="83"/>
      <c r="F1238" s="83">
        <v>2.9174546E7</v>
      </c>
      <c r="G1238" s="91" t="str">
        <f>IFERROR(__xludf.DUMMYFUNCTION("XLOOKUP(AS1238,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ELIEL DA SILVA MARTINS")</f>
        <v>COLÉGIO ESTADUAL DOUTOR ELIEL DA SILVA MARTINS</v>
      </c>
      <c r="H1238" s="114" t="s">
        <v>6771</v>
      </c>
      <c r="I1238" s="91" t="s">
        <v>6772</v>
      </c>
      <c r="J1238" s="83" t="s">
        <v>149</v>
      </c>
      <c r="K1238" s="83" t="s">
        <v>150</v>
      </c>
      <c r="L1238" s="83" t="s">
        <v>151</v>
      </c>
      <c r="M1238" s="83" t="s">
        <v>152</v>
      </c>
      <c r="N1238" s="98" t="s">
        <v>6773</v>
      </c>
      <c r="O1238" s="98" t="s">
        <v>155</v>
      </c>
      <c r="P1238" s="99" t="str">
        <f>IFERROR(__xludf.DUMMYFUNCTION("IFERROR(VLOOKUP(AS1238,IMPORTRANGE(""https://docs.google.com/spreadsheets/d/1juPI-Fb8LD0YtltB2mlGEnp_R3UVu1t3wSFPzgCyHXE/edit?gid=0#gid=0"",""GERAL!A2:C""),3,0),""-"")"),"-")</f>
        <v>-</v>
      </c>
      <c r="Q1238" s="83"/>
      <c r="R1238" s="83"/>
      <c r="S1238" s="83"/>
      <c r="T1238" s="83"/>
      <c r="U1238" s="83"/>
      <c r="V1238" s="83"/>
      <c r="W1238" s="83"/>
      <c r="X1238" s="83"/>
      <c r="Y1238" s="83"/>
      <c r="Z1238" s="83"/>
      <c r="AA1238" s="83"/>
      <c r="AB1238" s="83"/>
      <c r="AC1238" s="83"/>
      <c r="AD1238" s="83"/>
      <c r="AE1238" s="83"/>
      <c r="AF1238" s="83"/>
      <c r="AG1238" s="83"/>
      <c r="AH1238" s="83"/>
      <c r="AI1238" s="83"/>
      <c r="AJ1238" s="83"/>
      <c r="AK1238" s="83"/>
      <c r="AL1238" s="83"/>
      <c r="AM1238" s="83"/>
      <c r="AN1238" s="83"/>
      <c r="AO1238" s="83"/>
      <c r="AP1238" s="83"/>
      <c r="AQ1238" s="83"/>
      <c r="AR1238" s="83"/>
      <c r="AS1238" s="83">
        <v>1138954.0</v>
      </c>
    </row>
    <row r="1239" ht="15.75" customHeight="1">
      <c r="A1239" s="111" t="s">
        <v>1463</v>
      </c>
      <c r="B1239" s="83" t="s">
        <v>6770</v>
      </c>
      <c r="C1239" s="83" t="s">
        <v>68</v>
      </c>
      <c r="D1239" s="112">
        <v>1178265.0</v>
      </c>
      <c r="E1239" s="83"/>
      <c r="F1239" s="83">
        <v>2.998176E7</v>
      </c>
      <c r="G1239" s="91" t="str">
        <f>IFERROR(__xludf.DUMMYFUNCTION("XLOOKUP(AS1239,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ANATIVO DO SACRAMENTO - DISTRITO MUCURI")</f>
        <v>COLÉGIO ESTADUAL ANATIVO DO SACRAMENTO - DISTRITO MUCURI</v>
      </c>
      <c r="H1239" s="114" t="s">
        <v>6775</v>
      </c>
      <c r="I1239" s="91" t="s">
        <v>6776</v>
      </c>
      <c r="J1239" s="83" t="s">
        <v>149</v>
      </c>
      <c r="K1239" s="83" t="s">
        <v>5099</v>
      </c>
      <c r="L1239" s="83" t="s">
        <v>151</v>
      </c>
      <c r="M1239" s="83" t="s">
        <v>169</v>
      </c>
      <c r="N1239" s="98" t="s">
        <v>6779</v>
      </c>
      <c r="O1239" s="98" t="s">
        <v>155</v>
      </c>
      <c r="P1239" s="99" t="str">
        <f>IFERROR(__xludf.DUMMYFUNCTION("IFERROR(VLOOKUP(AS1239,IMPORTRANGE(""https://docs.google.com/spreadsheets/d/1juPI-Fb8LD0YtltB2mlGEnp_R3UVu1t3wSFPzgCyHXE/edit?gid=0#gid=0"",""GERAL!A2:C""),3,0),""-"")"),"CAMPO")</f>
        <v>CAMPO</v>
      </c>
      <c r="Q1239" s="83"/>
      <c r="R1239" s="83"/>
      <c r="S1239" s="83"/>
      <c r="T1239" s="83"/>
      <c r="U1239" s="83"/>
      <c r="V1239" s="83"/>
      <c r="W1239" s="83"/>
      <c r="X1239" s="83"/>
      <c r="Y1239" s="83"/>
      <c r="Z1239" s="83"/>
      <c r="AA1239" s="83"/>
      <c r="AB1239" s="83"/>
      <c r="AC1239" s="83"/>
      <c r="AD1239" s="83"/>
      <c r="AE1239" s="83"/>
      <c r="AF1239" s="83"/>
      <c r="AG1239" s="83"/>
      <c r="AH1239" s="83"/>
      <c r="AI1239" s="83"/>
      <c r="AJ1239" s="83"/>
      <c r="AK1239" s="83"/>
      <c r="AL1239" s="83"/>
      <c r="AM1239" s="83"/>
      <c r="AN1239" s="83"/>
      <c r="AO1239" s="83"/>
      <c r="AP1239" s="83"/>
      <c r="AQ1239" s="83"/>
      <c r="AR1239" s="83"/>
      <c r="AS1239" s="83">
        <v>1178265.0</v>
      </c>
    </row>
    <row r="1240" ht="15.75" customHeight="1">
      <c r="A1240" s="111" t="s">
        <v>1463</v>
      </c>
      <c r="B1240" s="83" t="s">
        <v>6770</v>
      </c>
      <c r="C1240" s="83" t="s">
        <v>68</v>
      </c>
      <c r="D1240" s="112">
        <v>1134932.0</v>
      </c>
      <c r="E1240" s="83"/>
      <c r="F1240" s="83">
        <v>2.917418E7</v>
      </c>
      <c r="G1240" s="91" t="str">
        <f>IFERROR(__xludf.DUMMYFUNCTION("XLOOKUP(AS1240,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EDUCAÇÃO PROFISSIONAL DO RECONCAVO JONIVAL LUCAS")</f>
        <v>CENTRO TERRITORIAL DE EDUCAÇÃO PROFISSIONAL DO RECONCAVO JONIVAL LUCAS</v>
      </c>
      <c r="H1240" s="114" t="s">
        <v>6786</v>
      </c>
      <c r="I1240" s="91" t="s">
        <v>6787</v>
      </c>
      <c r="J1240" s="83" t="s">
        <v>149</v>
      </c>
      <c r="K1240" s="83" t="s">
        <v>150</v>
      </c>
      <c r="L1240" s="83" t="s">
        <v>151</v>
      </c>
      <c r="M1240" s="83" t="s">
        <v>230</v>
      </c>
      <c r="N1240" s="98" t="s">
        <v>6788</v>
      </c>
      <c r="O1240" s="98" t="s">
        <v>155</v>
      </c>
      <c r="P1240" s="99" t="str">
        <f>IFERROR(__xludf.DUMMYFUNCTION("IFERROR(VLOOKUP(AS1240,IMPORTRANGE(""https://docs.google.com/spreadsheets/d/1juPI-Fb8LD0YtltB2mlGEnp_R3UVu1t3wSFPzgCyHXE/edit?gid=0#gid=0"",""GERAL!A2:C""),3,0),""-"")"),"-")</f>
        <v>-</v>
      </c>
      <c r="Q1240" s="83"/>
      <c r="R1240" s="83"/>
      <c r="S1240" s="83"/>
      <c r="T1240" s="83"/>
      <c r="U1240" s="83"/>
      <c r="V1240" s="83"/>
      <c r="W1240" s="83"/>
      <c r="X1240" s="83"/>
      <c r="Y1240" s="83"/>
      <c r="Z1240" s="83"/>
      <c r="AA1240" s="83"/>
      <c r="AB1240" s="83"/>
      <c r="AC1240" s="83"/>
      <c r="AD1240" s="83"/>
      <c r="AE1240" s="83"/>
      <c r="AF1240" s="83"/>
      <c r="AG1240" s="83"/>
      <c r="AH1240" s="83"/>
      <c r="AI1240" s="83"/>
      <c r="AJ1240" s="83"/>
      <c r="AK1240" s="83"/>
      <c r="AL1240" s="83"/>
      <c r="AM1240" s="83"/>
      <c r="AN1240" s="83"/>
      <c r="AO1240" s="83"/>
      <c r="AP1240" s="83"/>
      <c r="AQ1240" s="83"/>
      <c r="AR1240" s="83"/>
      <c r="AS1240" s="83">
        <v>1134932.0</v>
      </c>
    </row>
    <row r="1241" ht="15.75" customHeight="1">
      <c r="A1241" s="111" t="s">
        <v>1463</v>
      </c>
      <c r="B1241" s="83" t="s">
        <v>6789</v>
      </c>
      <c r="C1241" s="83" t="s">
        <v>68</v>
      </c>
      <c r="D1241" s="112">
        <v>1178053.0</v>
      </c>
      <c r="E1241" s="83"/>
      <c r="F1241" s="83">
        <v>2.9432529E7</v>
      </c>
      <c r="G1241" s="91" t="str">
        <f>IFERROR(__xludf.DUMMYFUNCTION("XLOOKUP(AS1241,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RICARDO CÂMARA DA SILVA")</f>
        <v>COLÉGIO ESTADUAL DE TEMPO INTEGRAL RICARDO CÂMARA DA SILVA</v>
      </c>
      <c r="H1241" s="119" t="s">
        <v>6795</v>
      </c>
      <c r="I1241" s="91" t="s">
        <v>6796</v>
      </c>
      <c r="J1241" s="83" t="s">
        <v>149</v>
      </c>
      <c r="K1241" s="83" t="s">
        <v>150</v>
      </c>
      <c r="L1241" s="83" t="s">
        <v>151</v>
      </c>
      <c r="M1241" s="83" t="s">
        <v>152</v>
      </c>
      <c r="N1241" s="98" t="s">
        <v>6797</v>
      </c>
      <c r="O1241" s="98" t="s">
        <v>155</v>
      </c>
      <c r="P1241" s="99" t="str">
        <f>IFERROR(__xludf.DUMMYFUNCTION("IFERROR(VLOOKUP(AS1241,IMPORTRANGE(""https://docs.google.com/spreadsheets/d/1juPI-Fb8LD0YtltB2mlGEnp_R3UVu1t3wSFPzgCyHXE/edit?gid=0#gid=0"",""GERAL!A2:C""),3,0),""-"")"),"-")</f>
        <v>-</v>
      </c>
      <c r="Q1241" s="101" t="s">
        <v>156</v>
      </c>
      <c r="R1241" s="98">
        <v>11.0</v>
      </c>
      <c r="S1241" s="98">
        <v>0.0</v>
      </c>
      <c r="T1241" s="98">
        <v>1.0</v>
      </c>
      <c r="U1241" s="98">
        <v>0.0</v>
      </c>
      <c r="V1241" s="98">
        <v>0.0</v>
      </c>
      <c r="W1241" s="98">
        <v>0.0</v>
      </c>
      <c r="X1241" s="98">
        <v>1.0</v>
      </c>
      <c r="Y1241" s="98">
        <v>1.0</v>
      </c>
      <c r="Z1241" s="98">
        <v>1.0</v>
      </c>
      <c r="AA1241" s="98">
        <v>0.0</v>
      </c>
      <c r="AB1241" s="98">
        <v>1.0</v>
      </c>
      <c r="AC1241" s="98">
        <v>0.0</v>
      </c>
      <c r="AD1241" s="98">
        <v>0.0</v>
      </c>
      <c r="AE1241" s="98">
        <v>0.0</v>
      </c>
      <c r="AF1241" s="98">
        <v>1.0</v>
      </c>
      <c r="AG1241" s="98">
        <v>0.0</v>
      </c>
      <c r="AH1241" s="98">
        <v>0.0</v>
      </c>
      <c r="AI1241" s="98">
        <v>0.0</v>
      </c>
      <c r="AJ1241" s="98">
        <v>0.0</v>
      </c>
      <c r="AK1241" s="98">
        <v>0.0</v>
      </c>
      <c r="AL1241" s="98">
        <v>0.0</v>
      </c>
      <c r="AM1241" s="98">
        <v>0.0</v>
      </c>
      <c r="AN1241" s="98">
        <v>0.0</v>
      </c>
      <c r="AO1241" s="98">
        <v>0.0</v>
      </c>
      <c r="AP1241" s="98">
        <v>0.0</v>
      </c>
      <c r="AQ1241" s="98"/>
      <c r="AR1241" s="102">
        <v>46280.0</v>
      </c>
      <c r="AS1241" s="83">
        <v>1178053.0</v>
      </c>
    </row>
    <row r="1242" ht="15.75" customHeight="1">
      <c r="A1242" s="111" t="s">
        <v>1463</v>
      </c>
      <c r="B1242" s="83" t="s">
        <v>6802</v>
      </c>
      <c r="C1242" s="83" t="s">
        <v>68</v>
      </c>
      <c r="D1242" s="112">
        <v>1178030.0</v>
      </c>
      <c r="E1242" s="83"/>
      <c r="F1242" s="83">
        <v>2.9174805E7</v>
      </c>
      <c r="G1242" s="91" t="str">
        <f>IFERROR(__xludf.DUMMYFUNCTION("XLOOKUP(AS1242,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NOSSA SENHORA DA CONCEIÇÃO")</f>
        <v>COLÉGIO ESTADUAL NOSSA SENHORA DA CONCEIÇÃO</v>
      </c>
      <c r="H1242" s="114" t="s">
        <v>6803</v>
      </c>
      <c r="I1242" s="91" t="s">
        <v>6804</v>
      </c>
      <c r="J1242" s="83" t="s">
        <v>6805</v>
      </c>
      <c r="K1242" s="83" t="s">
        <v>150</v>
      </c>
      <c r="L1242" s="83" t="s">
        <v>151</v>
      </c>
      <c r="M1242" s="83" t="s">
        <v>76</v>
      </c>
      <c r="N1242" s="98" t="s">
        <v>6806</v>
      </c>
      <c r="O1242" s="98" t="s">
        <v>155</v>
      </c>
      <c r="P1242" s="99" t="str">
        <f>IFERROR(__xludf.DUMMYFUNCTION("IFERROR(VLOOKUP(AS1242,IMPORTRANGE(""https://docs.google.com/spreadsheets/d/1juPI-Fb8LD0YtltB2mlGEnp_R3UVu1t3wSFPzgCyHXE/edit?gid=0#gid=0"",""GERAL!A2:C""),3,0),""-"")"),"-")</f>
        <v>-</v>
      </c>
      <c r="Q1242" s="101" t="s">
        <v>156</v>
      </c>
      <c r="R1242" s="98">
        <v>6.0</v>
      </c>
      <c r="S1242" s="98">
        <v>1.0</v>
      </c>
      <c r="T1242" s="98">
        <v>0.0</v>
      </c>
      <c r="U1242" s="98">
        <v>0.0</v>
      </c>
      <c r="V1242" s="98">
        <v>1.0</v>
      </c>
      <c r="W1242" s="98">
        <v>0.0</v>
      </c>
      <c r="X1242" s="98">
        <v>1.0</v>
      </c>
      <c r="Y1242" s="98">
        <v>0.0</v>
      </c>
      <c r="Z1242" s="98">
        <v>0.0</v>
      </c>
      <c r="AA1242" s="98">
        <v>0.0</v>
      </c>
      <c r="AB1242" s="98">
        <v>0.0</v>
      </c>
      <c r="AC1242" s="98">
        <v>1.0</v>
      </c>
      <c r="AD1242" s="98">
        <v>0.0</v>
      </c>
      <c r="AE1242" s="98">
        <v>0.0</v>
      </c>
      <c r="AF1242" s="98">
        <v>0.0</v>
      </c>
      <c r="AG1242" s="98">
        <v>0.0</v>
      </c>
      <c r="AH1242" s="98">
        <v>0.0</v>
      </c>
      <c r="AI1242" s="98">
        <v>0.0</v>
      </c>
      <c r="AJ1242" s="98">
        <v>0.0</v>
      </c>
      <c r="AK1242" s="98">
        <v>0.0</v>
      </c>
      <c r="AL1242" s="98">
        <v>0.0</v>
      </c>
      <c r="AM1242" s="98">
        <v>0.0</v>
      </c>
      <c r="AN1242" s="98">
        <v>0.0</v>
      </c>
      <c r="AO1242" s="98">
        <v>0.0</v>
      </c>
      <c r="AP1242" s="98">
        <v>0.0</v>
      </c>
      <c r="AQ1242" s="98" t="s">
        <v>6808</v>
      </c>
      <c r="AR1242" s="102">
        <v>46203.0</v>
      </c>
      <c r="AS1242" s="83">
        <v>1178030.0</v>
      </c>
    </row>
    <row r="1243" ht="15.75" customHeight="1">
      <c r="A1243" s="111" t="s">
        <v>1535</v>
      </c>
      <c r="B1243" s="83" t="s">
        <v>6809</v>
      </c>
      <c r="C1243" s="83" t="s">
        <v>68</v>
      </c>
      <c r="D1243" s="112">
        <v>1178051.0</v>
      </c>
      <c r="E1243" s="83"/>
      <c r="F1243" s="83">
        <v>2.9425417E7</v>
      </c>
      <c r="G1243" s="91" t="str">
        <f>IFERROR(__xludf.DUMMYFUNCTION("XLOOKUP(AS1243,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AIQUARA ")</f>
        <v>COLÉGIO ESTADUAL DE TEMPO INTEGRAL DE  AIQUARA </v>
      </c>
      <c r="H1243" s="119" t="s">
        <v>6810</v>
      </c>
      <c r="I1243" s="91" t="s">
        <v>6811</v>
      </c>
      <c r="J1243" s="172" t="s">
        <v>149</v>
      </c>
      <c r="K1243" s="83" t="s">
        <v>150</v>
      </c>
      <c r="L1243" s="83" t="s">
        <v>151</v>
      </c>
      <c r="M1243" s="83" t="s">
        <v>76</v>
      </c>
      <c r="N1243" s="98" t="s">
        <v>6812</v>
      </c>
      <c r="O1243" s="98" t="s">
        <v>155</v>
      </c>
      <c r="P1243" s="99" t="str">
        <f>IFERROR(__xludf.DUMMYFUNCTION("IFERROR(VLOOKUP(AS1243,IMPORTRANGE(""https://docs.google.com/spreadsheets/d/1juPI-Fb8LD0YtltB2mlGEnp_R3UVu1t3wSFPzgCyHXE/edit?gid=0#gid=0"",""GERAL!A2:C""),3,0),""-"")"),"-")</f>
        <v>-</v>
      </c>
      <c r="Q1243" s="83"/>
      <c r="R1243" s="83"/>
      <c r="S1243" s="83"/>
      <c r="T1243" s="83"/>
      <c r="U1243" s="83"/>
      <c r="V1243" s="83"/>
      <c r="W1243" s="83"/>
      <c r="X1243" s="83"/>
      <c r="Y1243" s="83"/>
      <c r="Z1243" s="83"/>
      <c r="AA1243" s="83"/>
      <c r="AB1243" s="83"/>
      <c r="AC1243" s="83"/>
      <c r="AD1243" s="83"/>
      <c r="AE1243" s="83"/>
      <c r="AF1243" s="83"/>
      <c r="AG1243" s="83"/>
      <c r="AH1243" s="83"/>
      <c r="AI1243" s="83"/>
      <c r="AJ1243" s="83"/>
      <c r="AK1243" s="83"/>
      <c r="AL1243" s="83"/>
      <c r="AM1243" s="83"/>
      <c r="AN1243" s="83"/>
      <c r="AO1243" s="83"/>
      <c r="AP1243" s="83"/>
      <c r="AQ1243" s="83"/>
      <c r="AR1243" s="83"/>
      <c r="AS1243" s="83">
        <v>1178051.0</v>
      </c>
    </row>
    <row r="1244" ht="15.75" customHeight="1">
      <c r="A1244" s="111" t="s">
        <v>1535</v>
      </c>
      <c r="B1244" s="83" t="s">
        <v>6809</v>
      </c>
      <c r="C1244" s="83" t="s">
        <v>164</v>
      </c>
      <c r="D1244" s="112">
        <v>1178051.0</v>
      </c>
      <c r="E1244" s="112">
        <v>1179827.0</v>
      </c>
      <c r="F1244" s="83">
        <v>2.9425417E7</v>
      </c>
      <c r="G1244" s="91" t="str">
        <f>IFERROR(__xludf.DUMMYFUNCTION("XLOOKUP(AS1244,
IMPORTRANGE(""https://docs.google.com/spreadsheets/d/1YM-djuOLXomrZ9W0B4TyIBsVWnXY4EIOFD9HY-qGfv0/edit?usp=sharing"",""GERAL!BG5:BG""),
IMPORTRANGE(""https://docs.google.com/spreadsheets/d/1YM-djuOLXomrZ9W0B4TyIBsVWnXY4EIOFD9HY-qGfv0/edit?"&amp;"usp=sharing"",""GERAL!G5:G""),
""CÓD. SEC NÃO ENCONTRADO NA PLANILHA DE MATRÍCULA"")"),"ANEXO AO COL EST DE TEMPO INTEGRAL DE AIQUARA DISTRITO DE PALMEIRINHA ")</f>
        <v>ANEXO AO COL EST DE TEMPO INTEGRAL DE AIQUARA DISTRITO DE PALMEIRINHA </v>
      </c>
      <c r="H1244" s="119" t="s">
        <v>6818</v>
      </c>
      <c r="I1244" s="108" t="s">
        <v>6819</v>
      </c>
      <c r="J1244" s="136"/>
      <c r="K1244" s="83"/>
      <c r="L1244" s="98" t="s">
        <v>168</v>
      </c>
      <c r="M1244" s="98" t="s">
        <v>6820</v>
      </c>
      <c r="N1244" s="115" t="s">
        <v>170</v>
      </c>
      <c r="O1244" s="98"/>
      <c r="P1244" s="99" t="str">
        <f>IFERROR(__xludf.DUMMYFUNCTION("IFERROR(VLOOKUP(AS1244,IMPORTRANGE(""https://docs.google.com/spreadsheets/d/1juPI-Fb8LD0YtltB2mlGEnp_R3UVu1t3wSFPzgCyHXE/edit?gid=0#gid=0"",""GERAL!A2:C""),3,0),""-"")"),"-")</f>
        <v>-</v>
      </c>
      <c r="Q1244" s="112"/>
      <c r="R1244" s="112"/>
      <c r="S1244" s="112"/>
      <c r="T1244" s="112"/>
      <c r="U1244" s="112"/>
      <c r="V1244" s="112"/>
      <c r="W1244" s="112"/>
      <c r="X1244" s="112"/>
      <c r="Y1244" s="112"/>
      <c r="Z1244" s="112"/>
      <c r="AA1244" s="112"/>
      <c r="AB1244" s="112"/>
      <c r="AC1244" s="112"/>
      <c r="AD1244" s="112"/>
      <c r="AE1244" s="112"/>
      <c r="AF1244" s="112"/>
      <c r="AG1244" s="112"/>
      <c r="AH1244" s="112"/>
      <c r="AI1244" s="112"/>
      <c r="AJ1244" s="112"/>
      <c r="AK1244" s="112"/>
      <c r="AL1244" s="112"/>
      <c r="AM1244" s="112"/>
      <c r="AN1244" s="112"/>
      <c r="AO1244" s="112"/>
      <c r="AP1244" s="112"/>
      <c r="AQ1244" s="112"/>
      <c r="AR1244" s="112"/>
      <c r="AS1244" s="112">
        <v>1179827.0</v>
      </c>
    </row>
    <row r="1245" ht="15.75" customHeight="1">
      <c r="A1245" s="111" t="s">
        <v>1535</v>
      </c>
      <c r="B1245" s="83" t="s">
        <v>6821</v>
      </c>
      <c r="C1245" s="83" t="s">
        <v>68</v>
      </c>
      <c r="D1245" s="112">
        <v>1110758.0</v>
      </c>
      <c r="E1245" s="83"/>
      <c r="F1245" s="83">
        <v>2.9223652E7</v>
      </c>
      <c r="G1245" s="91" t="str">
        <f>IFERROR(__xludf.DUMMYFUNCTION("XLOOKUP(AS1245,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DOUTOR VASCO FILHO")</f>
        <v>COLÉGIO ESTADUAL DE TEMPO INTEGRAL DOUTOR VASCO FILHO</v>
      </c>
      <c r="H1245" s="119" t="s">
        <v>6826</v>
      </c>
      <c r="I1245" s="108" t="s">
        <v>6828</v>
      </c>
      <c r="J1245" s="136" t="s">
        <v>149</v>
      </c>
      <c r="K1245" s="83" t="s">
        <v>150</v>
      </c>
      <c r="L1245" s="83" t="s">
        <v>151</v>
      </c>
      <c r="M1245" s="83" t="s">
        <v>76</v>
      </c>
      <c r="N1245" s="98" t="s">
        <v>6831</v>
      </c>
      <c r="O1245" s="98" t="s">
        <v>155</v>
      </c>
      <c r="P1245" s="99" t="str">
        <f>IFERROR(__xludf.DUMMYFUNCTION("IFERROR(VLOOKUP(AS1245,IMPORTRANGE(""https://docs.google.com/spreadsheets/d/1juPI-Fb8LD0YtltB2mlGEnp_R3UVu1t3wSFPzgCyHXE/edit?gid=0#gid=0"",""GERAL!A2:C""),3,0),""-"")"),"-")</f>
        <v>-</v>
      </c>
      <c r="Q1245" s="101" t="s">
        <v>156</v>
      </c>
      <c r="R1245" s="98">
        <v>0.0</v>
      </c>
      <c r="S1245" s="98">
        <v>1.0</v>
      </c>
      <c r="T1245" s="98">
        <v>0.0</v>
      </c>
      <c r="U1245" s="98">
        <v>0.0</v>
      </c>
      <c r="V1245" s="98">
        <v>1.0</v>
      </c>
      <c r="W1245" s="98">
        <v>1.0</v>
      </c>
      <c r="X1245" s="98">
        <v>1.0</v>
      </c>
      <c r="Y1245" s="98">
        <v>0.0</v>
      </c>
      <c r="Z1245" s="98">
        <v>1.0</v>
      </c>
      <c r="AA1245" s="98">
        <v>0.0</v>
      </c>
      <c r="AB1245" s="98">
        <v>1.0</v>
      </c>
      <c r="AC1245" s="98">
        <v>0.0</v>
      </c>
      <c r="AD1245" s="98">
        <v>0.0</v>
      </c>
      <c r="AE1245" s="98">
        <v>0.0</v>
      </c>
      <c r="AF1245" s="98">
        <v>0.0</v>
      </c>
      <c r="AG1245" s="98">
        <v>0.0</v>
      </c>
      <c r="AH1245" s="98">
        <v>1.0</v>
      </c>
      <c r="AI1245" s="98">
        <v>0.0</v>
      </c>
      <c r="AJ1245" s="98">
        <v>1.0</v>
      </c>
      <c r="AK1245" s="98">
        <v>0.0</v>
      </c>
      <c r="AL1245" s="98">
        <v>0.0</v>
      </c>
      <c r="AM1245" s="98">
        <v>0.0</v>
      </c>
      <c r="AN1245" s="98">
        <v>0.0</v>
      </c>
      <c r="AO1245" s="98">
        <v>0.0</v>
      </c>
      <c r="AP1245" s="98">
        <v>0.0</v>
      </c>
      <c r="AQ1245" s="98" t="s">
        <v>3517</v>
      </c>
      <c r="AR1245" s="102">
        <v>46203.0</v>
      </c>
      <c r="AS1245" s="83">
        <v>1110758.0</v>
      </c>
    </row>
    <row r="1246" ht="15.75" customHeight="1">
      <c r="A1246" s="111" t="s">
        <v>1535</v>
      </c>
      <c r="B1246" s="83" t="s">
        <v>6833</v>
      </c>
      <c r="C1246" s="83" t="s">
        <v>68</v>
      </c>
      <c r="D1246" s="112">
        <v>1117310.0</v>
      </c>
      <c r="E1246" s="83"/>
      <c r="F1246" s="83">
        <v>2.9293707E7</v>
      </c>
      <c r="G1246" s="91" t="str">
        <f>IFERROR(__xludf.DUMMYFUNCTION("XLOOKUP(AS1246,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ANTONIO MOTA BITTENCOURT - TEMPO INTEGRAL")</f>
        <v>COLÉGIO ESTADUAL ANTONIO MOTA BITTENCOURT - TEMPO INTEGRAL</v>
      </c>
      <c r="H1246" s="114" t="s">
        <v>6834</v>
      </c>
      <c r="I1246" s="91" t="s">
        <v>6835</v>
      </c>
      <c r="J1246" s="136" t="s">
        <v>149</v>
      </c>
      <c r="K1246" s="83" t="s">
        <v>150</v>
      </c>
      <c r="L1246" s="83" t="s">
        <v>151</v>
      </c>
      <c r="M1246" s="83" t="s">
        <v>76</v>
      </c>
      <c r="N1246" s="98" t="s">
        <v>6836</v>
      </c>
      <c r="O1246" s="98" t="s">
        <v>155</v>
      </c>
      <c r="P1246" s="99" t="str">
        <f>IFERROR(__xludf.DUMMYFUNCTION("IFERROR(VLOOKUP(AS1246,IMPORTRANGE(""https://docs.google.com/spreadsheets/d/1juPI-Fb8LD0YtltB2mlGEnp_R3UVu1t3wSFPzgCyHXE/edit?gid=0#gid=0"",""GERAL!A2:C""),3,0),""-"")"),"-")</f>
        <v>-</v>
      </c>
      <c r="Q1246" s="83"/>
      <c r="R1246" s="83"/>
      <c r="S1246" s="83"/>
      <c r="T1246" s="83"/>
      <c r="U1246" s="83"/>
      <c r="V1246" s="83"/>
      <c r="W1246" s="83"/>
      <c r="X1246" s="83"/>
      <c r="Y1246" s="83"/>
      <c r="Z1246" s="83"/>
      <c r="AA1246" s="83"/>
      <c r="AB1246" s="83"/>
      <c r="AC1246" s="83"/>
      <c r="AD1246" s="83"/>
      <c r="AE1246" s="83"/>
      <c r="AF1246" s="83"/>
      <c r="AG1246" s="83"/>
      <c r="AH1246" s="83"/>
      <c r="AI1246" s="83"/>
      <c r="AJ1246" s="83"/>
      <c r="AK1246" s="83"/>
      <c r="AL1246" s="83"/>
      <c r="AM1246" s="83"/>
      <c r="AN1246" s="83"/>
      <c r="AO1246" s="83"/>
      <c r="AP1246" s="83"/>
      <c r="AQ1246" s="83"/>
      <c r="AR1246" s="83"/>
      <c r="AS1246" s="83">
        <v>1117310.0</v>
      </c>
    </row>
    <row r="1247" ht="15.75" customHeight="1">
      <c r="A1247" s="111" t="s">
        <v>1535</v>
      </c>
      <c r="B1247" s="83" t="s">
        <v>2366</v>
      </c>
      <c r="C1247" s="83" t="s">
        <v>68</v>
      </c>
      <c r="D1247" s="112">
        <v>1117221.0</v>
      </c>
      <c r="E1247" s="83"/>
      <c r="F1247" s="83">
        <v>2.9268524E7</v>
      </c>
      <c r="G1247" s="91" t="str">
        <f>IFERROR(__xludf.DUMMYFUNCTION("XLOOKUP(AS1247,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BOANOVENSE - TEMPO INTEGRAL")</f>
        <v>COLÉGIO ESTADUAL BOANOVENSE - TEMPO INTEGRAL</v>
      </c>
      <c r="H1247" s="114" t="s">
        <v>6838</v>
      </c>
      <c r="I1247" s="91" t="s">
        <v>6839</v>
      </c>
      <c r="J1247" s="136" t="s">
        <v>149</v>
      </c>
      <c r="K1247" s="83" t="s">
        <v>150</v>
      </c>
      <c r="L1247" s="83" t="s">
        <v>151</v>
      </c>
      <c r="M1247" s="83" t="s">
        <v>152</v>
      </c>
      <c r="N1247" s="98" t="s">
        <v>6842</v>
      </c>
      <c r="O1247" s="98" t="s">
        <v>155</v>
      </c>
      <c r="P1247" s="99" t="str">
        <f>IFERROR(__xludf.DUMMYFUNCTION("IFERROR(VLOOKUP(AS1247,IMPORTRANGE(""https://docs.google.com/spreadsheets/d/1juPI-Fb8LD0YtltB2mlGEnp_R3UVu1t3wSFPzgCyHXE/edit?gid=0#gid=0"",""GERAL!A2:C""),3,0),""-"")"),"-")</f>
        <v>-</v>
      </c>
      <c r="Q1247" s="101" t="s">
        <v>156</v>
      </c>
      <c r="R1247" s="98">
        <v>9.0</v>
      </c>
      <c r="S1247" s="98">
        <v>1.0</v>
      </c>
      <c r="T1247" s="98">
        <v>1.0</v>
      </c>
      <c r="U1247" s="98">
        <v>0.0</v>
      </c>
      <c r="V1247" s="98">
        <v>0.0</v>
      </c>
      <c r="W1247" s="98">
        <v>0.0</v>
      </c>
      <c r="X1247" s="98">
        <v>0.0</v>
      </c>
      <c r="Y1247" s="98">
        <v>1.0</v>
      </c>
      <c r="Z1247" s="98">
        <v>0.0</v>
      </c>
      <c r="AA1247" s="98">
        <v>0.0</v>
      </c>
      <c r="AB1247" s="98">
        <v>0.0</v>
      </c>
      <c r="AC1247" s="98">
        <v>0.0</v>
      </c>
      <c r="AD1247" s="98">
        <v>0.0</v>
      </c>
      <c r="AE1247" s="98">
        <v>0.0</v>
      </c>
      <c r="AF1247" s="98">
        <v>1.0</v>
      </c>
      <c r="AG1247" s="98">
        <v>0.0</v>
      </c>
      <c r="AH1247" s="98">
        <v>0.0</v>
      </c>
      <c r="AI1247" s="98">
        <v>0.0</v>
      </c>
      <c r="AJ1247" s="98">
        <v>0.0</v>
      </c>
      <c r="AK1247" s="98">
        <v>0.0</v>
      </c>
      <c r="AL1247" s="98">
        <v>0.0</v>
      </c>
      <c r="AM1247" s="98">
        <v>0.0</v>
      </c>
      <c r="AN1247" s="98">
        <v>0.0</v>
      </c>
      <c r="AO1247" s="98">
        <v>0.0</v>
      </c>
      <c r="AP1247" s="98">
        <v>1.0</v>
      </c>
      <c r="AQ1247" s="98" t="s">
        <v>6852</v>
      </c>
      <c r="AR1247" s="102">
        <v>46241.0</v>
      </c>
      <c r="AS1247" s="83">
        <v>1117221.0</v>
      </c>
    </row>
    <row r="1248" ht="15.75" customHeight="1">
      <c r="A1248" s="111" t="s">
        <v>1535</v>
      </c>
      <c r="B1248" s="83" t="s">
        <v>2366</v>
      </c>
      <c r="C1248" s="83" t="s">
        <v>164</v>
      </c>
      <c r="D1248" s="112">
        <v>1179277.0</v>
      </c>
      <c r="E1248" s="436">
        <v>1179828.0</v>
      </c>
      <c r="F1248" s="83"/>
      <c r="G1248" s="91" t="str">
        <f>IFERROR(__xludf.DUMMYFUNCTION("XLOOKUP(AS1248,
IMPORTRANGE(""https://docs.google.com/spreadsheets/d/1YM-djuOLXomrZ9W0B4TyIBsVWnXY4EIOFD9HY-qGfv0/edit?usp=sharing"",""GERAL!BG5:BG""),
IMPORTRANGE(""https://docs.google.com/spreadsheets/d/1YM-djuOLXomrZ9W0B4TyIBsVWnXY4EIOFD9HY-qGfv0/edit?"&amp;"usp=sharing"",""GERAL!G5:G""),
""CÓD. SEC NÃO ENCONTRADO NA PLANILHA DE MATRÍCULA"")"),"ANEXO AO COLEGIO ESTADUAL BOANOVENSE POVOADO DO PENACHINHO ")</f>
        <v>ANEXO AO COLEGIO ESTADUAL BOANOVENSE POVOADO DO PENACHINHO </v>
      </c>
      <c r="H1248" s="119" t="s">
        <v>6854</v>
      </c>
      <c r="I1248" s="108" t="s">
        <v>6855</v>
      </c>
      <c r="J1248" s="83"/>
      <c r="K1248" s="98" t="s">
        <v>6856</v>
      </c>
      <c r="L1248" s="98" t="s">
        <v>168</v>
      </c>
      <c r="M1248" s="83" t="s">
        <v>169</v>
      </c>
      <c r="N1248" s="115" t="s">
        <v>170</v>
      </c>
      <c r="O1248" s="98"/>
      <c r="P1248" s="99" t="str">
        <f>IFERROR(__xludf.DUMMYFUNCTION("IFERROR(VLOOKUP(AS1248,IMPORTRANGE(""https://docs.google.com/spreadsheets/d/1juPI-Fb8LD0YtltB2mlGEnp_R3UVu1t3wSFPzgCyHXE/edit?gid=0#gid=0"",""GERAL!A2:C""),3,0),""-"")"),"-")</f>
        <v>-</v>
      </c>
      <c r="Q1248" s="98" t="s">
        <v>171</v>
      </c>
      <c r="R1248" s="98" t="s">
        <v>171</v>
      </c>
      <c r="S1248" s="98" t="s">
        <v>171</v>
      </c>
      <c r="T1248" s="98" t="s">
        <v>171</v>
      </c>
      <c r="U1248" s="98" t="s">
        <v>171</v>
      </c>
      <c r="V1248" s="98" t="s">
        <v>171</v>
      </c>
      <c r="W1248" s="98" t="s">
        <v>171</v>
      </c>
      <c r="X1248" s="98" t="s">
        <v>171</v>
      </c>
      <c r="Y1248" s="98" t="s">
        <v>171</v>
      </c>
      <c r="Z1248" s="98" t="s">
        <v>171</v>
      </c>
      <c r="AA1248" s="98" t="s">
        <v>171</v>
      </c>
      <c r="AB1248" s="98" t="s">
        <v>171</v>
      </c>
      <c r="AC1248" s="98" t="s">
        <v>171</v>
      </c>
      <c r="AD1248" s="98" t="s">
        <v>171</v>
      </c>
      <c r="AE1248" s="98" t="s">
        <v>171</v>
      </c>
      <c r="AF1248" s="98" t="s">
        <v>171</v>
      </c>
      <c r="AG1248" s="98" t="s">
        <v>171</v>
      </c>
      <c r="AH1248" s="98" t="s">
        <v>171</v>
      </c>
      <c r="AI1248" s="98" t="s">
        <v>171</v>
      </c>
      <c r="AJ1248" s="98" t="s">
        <v>171</v>
      </c>
      <c r="AK1248" s="98" t="s">
        <v>171</v>
      </c>
      <c r="AL1248" s="98" t="s">
        <v>171</v>
      </c>
      <c r="AM1248" s="98" t="s">
        <v>171</v>
      </c>
      <c r="AN1248" s="98" t="s">
        <v>171</v>
      </c>
      <c r="AO1248" s="98" t="s">
        <v>171</v>
      </c>
      <c r="AP1248" s="98" t="s">
        <v>171</v>
      </c>
      <c r="AQ1248" s="98" t="s">
        <v>171</v>
      </c>
      <c r="AR1248" s="102">
        <v>46241.0</v>
      </c>
      <c r="AS1248" s="98">
        <v>1179828.0</v>
      </c>
    </row>
    <row r="1249" ht="15.75" customHeight="1">
      <c r="A1249" s="111" t="s">
        <v>1535</v>
      </c>
      <c r="B1249" s="83" t="s">
        <v>2366</v>
      </c>
      <c r="C1249" s="83" t="s">
        <v>164</v>
      </c>
      <c r="D1249" s="112">
        <v>1179277.0</v>
      </c>
      <c r="E1249" s="83">
        <v>1178615.0</v>
      </c>
      <c r="F1249" s="83"/>
      <c r="G1249" s="91" t="str">
        <f>IFERROR(__xludf.DUMMYFUNCTION("XLOOKUP(AS1249,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DE VALENTIM")</f>
        <v>ANEXO - CEMIT- MÉDIO RIO DE CONTAS - DISTRITO DE VALENTIM</v>
      </c>
      <c r="H1249" s="114" t="s">
        <v>6864</v>
      </c>
      <c r="I1249" s="91" t="s">
        <v>6865</v>
      </c>
      <c r="J1249" s="83" t="s">
        <v>149</v>
      </c>
      <c r="K1249" s="83" t="s">
        <v>315</v>
      </c>
      <c r="L1249" s="83" t="s">
        <v>151</v>
      </c>
      <c r="M1249" s="83" t="s">
        <v>169</v>
      </c>
      <c r="N1249" s="115" t="s">
        <v>170</v>
      </c>
      <c r="O1249" s="98" t="s">
        <v>155</v>
      </c>
      <c r="P1249" s="99" t="str">
        <f>IFERROR(__xludf.DUMMYFUNCTION("IFERROR(VLOOKUP(AS1249,IMPORTRANGE(""https://docs.google.com/spreadsheets/d/1juPI-Fb8LD0YtltB2mlGEnp_R3UVu1t3wSFPzgCyHXE/edit?gid=0#gid=0"",""GERAL!A2:C""),3,0),""-"")"),"-")</f>
        <v>-</v>
      </c>
      <c r="Q1249" s="98" t="s">
        <v>171</v>
      </c>
      <c r="R1249" s="98">
        <v>1.0</v>
      </c>
      <c r="S1249" s="98" t="s">
        <v>171</v>
      </c>
      <c r="T1249" s="98" t="s">
        <v>171</v>
      </c>
      <c r="U1249" s="98" t="s">
        <v>171</v>
      </c>
      <c r="V1249" s="98" t="s">
        <v>171</v>
      </c>
      <c r="W1249" s="98" t="s">
        <v>171</v>
      </c>
      <c r="X1249" s="98" t="s">
        <v>171</v>
      </c>
      <c r="Y1249" s="98" t="s">
        <v>171</v>
      </c>
      <c r="Z1249" s="98" t="s">
        <v>171</v>
      </c>
      <c r="AA1249" s="98" t="s">
        <v>171</v>
      </c>
      <c r="AB1249" s="98" t="s">
        <v>171</v>
      </c>
      <c r="AC1249" s="98" t="s">
        <v>171</v>
      </c>
      <c r="AD1249" s="98" t="s">
        <v>171</v>
      </c>
      <c r="AE1249" s="98" t="s">
        <v>171</v>
      </c>
      <c r="AF1249" s="98" t="s">
        <v>171</v>
      </c>
      <c r="AG1249" s="98" t="s">
        <v>171</v>
      </c>
      <c r="AH1249" s="98" t="s">
        <v>171</v>
      </c>
      <c r="AI1249" s="98" t="s">
        <v>171</v>
      </c>
      <c r="AJ1249" s="98" t="s">
        <v>171</v>
      </c>
      <c r="AK1249" s="98" t="s">
        <v>171</v>
      </c>
      <c r="AL1249" s="98" t="s">
        <v>171</v>
      </c>
      <c r="AM1249" s="98" t="s">
        <v>171</v>
      </c>
      <c r="AN1249" s="98" t="s">
        <v>171</v>
      </c>
      <c r="AO1249" s="98" t="s">
        <v>171</v>
      </c>
      <c r="AP1249" s="98" t="s">
        <v>171</v>
      </c>
      <c r="AQ1249" s="98" t="s">
        <v>171</v>
      </c>
      <c r="AR1249" s="102">
        <v>46241.0</v>
      </c>
      <c r="AS1249" s="83">
        <v>1178615.0</v>
      </c>
    </row>
    <row r="1250" ht="15.75" customHeight="1">
      <c r="A1250" s="111" t="s">
        <v>1535</v>
      </c>
      <c r="B1250" s="83" t="s">
        <v>2366</v>
      </c>
      <c r="C1250" s="83" t="s">
        <v>164</v>
      </c>
      <c r="D1250" s="112">
        <v>1179277.0</v>
      </c>
      <c r="E1250" s="98">
        <v>1179819.0</v>
      </c>
      <c r="F1250" s="83"/>
      <c r="G1250" s="91" t="str">
        <f>IFERROR(__xludf.DUMMYFUNCTION("XLOOKUP(AS1250,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MEDIO RIO DE CONTAS - COMUNIDADE DO LAGOAO ")</f>
        <v>ANEXO - CEMIT MEDIO RIO DE CONTAS - COMUNIDADE DO LAGOAO </v>
      </c>
      <c r="H1250" s="119" t="s">
        <v>6867</v>
      </c>
      <c r="I1250" s="108" t="s">
        <v>6868</v>
      </c>
      <c r="J1250" s="83"/>
      <c r="K1250" s="98" t="s">
        <v>2821</v>
      </c>
      <c r="L1250" s="98" t="s">
        <v>168</v>
      </c>
      <c r="M1250" s="83" t="s">
        <v>169</v>
      </c>
      <c r="N1250" s="115" t="s">
        <v>170</v>
      </c>
      <c r="O1250" s="98"/>
      <c r="P1250" s="99" t="str">
        <f>IFERROR(__xludf.DUMMYFUNCTION("IFERROR(VLOOKUP(AS1250,IMPORTRANGE(""https://docs.google.com/spreadsheets/d/1juPI-Fb8LD0YtltB2mlGEnp_R3UVu1t3wSFPzgCyHXE/edit?gid=0#gid=0"",""GERAL!A2:C""),3,0),""-"")"),"-")</f>
        <v>-</v>
      </c>
      <c r="Q1250" s="98" t="s">
        <v>171</v>
      </c>
      <c r="R1250" s="98" t="s">
        <v>171</v>
      </c>
      <c r="S1250" s="98" t="s">
        <v>171</v>
      </c>
      <c r="T1250" s="98" t="s">
        <v>171</v>
      </c>
      <c r="U1250" s="98" t="s">
        <v>171</v>
      </c>
      <c r="V1250" s="98" t="s">
        <v>171</v>
      </c>
      <c r="W1250" s="98" t="s">
        <v>171</v>
      </c>
      <c r="X1250" s="98" t="s">
        <v>171</v>
      </c>
      <c r="Y1250" s="98" t="s">
        <v>171</v>
      </c>
      <c r="Z1250" s="98" t="s">
        <v>171</v>
      </c>
      <c r="AA1250" s="98" t="s">
        <v>171</v>
      </c>
      <c r="AB1250" s="98" t="s">
        <v>171</v>
      </c>
      <c r="AC1250" s="98" t="s">
        <v>171</v>
      </c>
      <c r="AD1250" s="98" t="s">
        <v>171</v>
      </c>
      <c r="AE1250" s="98" t="s">
        <v>171</v>
      </c>
      <c r="AF1250" s="98" t="s">
        <v>171</v>
      </c>
      <c r="AG1250" s="98" t="s">
        <v>171</v>
      </c>
      <c r="AH1250" s="98" t="s">
        <v>171</v>
      </c>
      <c r="AI1250" s="98" t="s">
        <v>171</v>
      </c>
      <c r="AJ1250" s="98" t="s">
        <v>171</v>
      </c>
      <c r="AK1250" s="98" t="s">
        <v>171</v>
      </c>
      <c r="AL1250" s="98" t="s">
        <v>171</v>
      </c>
      <c r="AM1250" s="98" t="s">
        <v>171</v>
      </c>
      <c r="AN1250" s="98" t="s">
        <v>171</v>
      </c>
      <c r="AO1250" s="98" t="s">
        <v>171</v>
      </c>
      <c r="AP1250" s="98" t="s">
        <v>171</v>
      </c>
      <c r="AQ1250" s="98" t="s">
        <v>171</v>
      </c>
      <c r="AR1250" s="102">
        <v>46241.0</v>
      </c>
      <c r="AS1250" s="98">
        <v>1179819.0</v>
      </c>
    </row>
    <row r="1251" ht="15.75" customHeight="1">
      <c r="A1251" s="111" t="s">
        <v>1535</v>
      </c>
      <c r="B1251" s="83" t="s">
        <v>6870</v>
      </c>
      <c r="C1251" s="83" t="s">
        <v>68</v>
      </c>
      <c r="D1251" s="112">
        <v>1116950.0</v>
      </c>
      <c r="E1251" s="83"/>
      <c r="F1251" s="83">
        <v>2.9271967E7</v>
      </c>
      <c r="G1251" s="91" t="str">
        <f>IFERROR(__xludf.DUMMYFUNCTION("XLOOKUP(AS1251,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DÁRIO MEIRA")</f>
        <v>COLÉGIO ESTADUAL DE TEMPO INTEGRAL DE DÁRIO MEIRA</v>
      </c>
      <c r="H1251" s="119" t="s">
        <v>6871</v>
      </c>
      <c r="I1251" s="108" t="s">
        <v>6872</v>
      </c>
      <c r="J1251" s="115" t="s">
        <v>6873</v>
      </c>
      <c r="K1251" s="83" t="s">
        <v>150</v>
      </c>
      <c r="L1251" s="83" t="s">
        <v>151</v>
      </c>
      <c r="M1251" s="83" t="s">
        <v>76</v>
      </c>
      <c r="N1251" s="98" t="s">
        <v>6874</v>
      </c>
      <c r="O1251" s="98" t="s">
        <v>162</v>
      </c>
      <c r="P1251" s="99" t="str">
        <f>IFERROR(__xludf.DUMMYFUNCTION("IFERROR(VLOOKUP(AS1251,IMPORTRANGE(""https://docs.google.com/spreadsheets/d/1juPI-Fb8LD0YtltB2mlGEnp_R3UVu1t3wSFPzgCyHXE/edit?gid=0#gid=0"",""GERAL!A2:C""),3,0),""-"")"),"-")</f>
        <v>-</v>
      </c>
      <c r="Q1251" s="101" t="s">
        <v>156</v>
      </c>
      <c r="R1251" s="98">
        <v>10.0</v>
      </c>
      <c r="S1251" s="98">
        <v>1.0</v>
      </c>
      <c r="T1251" s="98">
        <v>1.0</v>
      </c>
      <c r="U1251" s="98">
        <v>1.0</v>
      </c>
      <c r="V1251" s="98">
        <v>0.0</v>
      </c>
      <c r="W1251" s="98">
        <v>0.0</v>
      </c>
      <c r="X1251" s="98">
        <v>1.0</v>
      </c>
      <c r="Y1251" s="98">
        <v>0.0</v>
      </c>
      <c r="Z1251" s="98">
        <v>1.0</v>
      </c>
      <c r="AA1251" s="98">
        <v>0.0</v>
      </c>
      <c r="AB1251" s="98">
        <v>1.0</v>
      </c>
      <c r="AC1251" s="98">
        <v>0.0</v>
      </c>
      <c r="AD1251" s="98">
        <v>0.0</v>
      </c>
      <c r="AE1251" s="98">
        <v>0.0</v>
      </c>
      <c r="AF1251" s="98">
        <v>1.0</v>
      </c>
      <c r="AG1251" s="98">
        <v>0.0</v>
      </c>
      <c r="AH1251" s="98">
        <v>0.0</v>
      </c>
      <c r="AI1251" s="98">
        <v>0.0</v>
      </c>
      <c r="AJ1251" s="98">
        <v>1.0</v>
      </c>
      <c r="AK1251" s="98">
        <v>0.0</v>
      </c>
      <c r="AL1251" s="98">
        <v>0.0</v>
      </c>
      <c r="AM1251" s="98">
        <v>0.0</v>
      </c>
      <c r="AN1251" s="98">
        <v>0.0</v>
      </c>
      <c r="AO1251" s="98">
        <v>0.0</v>
      </c>
      <c r="AP1251" s="98">
        <v>0.0</v>
      </c>
      <c r="AQ1251" s="83"/>
      <c r="AR1251" s="102">
        <v>46233.0</v>
      </c>
      <c r="AS1251" s="83">
        <v>1116950.0</v>
      </c>
    </row>
    <row r="1252" ht="15.75" customHeight="1">
      <c r="A1252" s="111" t="s">
        <v>1535</v>
      </c>
      <c r="B1252" s="83" t="s">
        <v>6870</v>
      </c>
      <c r="C1252" s="83" t="s">
        <v>164</v>
      </c>
      <c r="D1252" s="208">
        <v>1179277.0</v>
      </c>
      <c r="E1252" s="189">
        <v>1178617.0</v>
      </c>
      <c r="F1252" s="83"/>
      <c r="G1252" s="91" t="str">
        <f>IFERROR(__xludf.DUMMYFUNCTION("XLOOKUP(AS1252,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DE PONTO NOVO")</f>
        <v>ANEXO - CEMIT MÉDIO RIO DE CONTAS - DISTRITO DE PONTO NOVO</v>
      </c>
      <c r="H1252" s="377" t="s">
        <v>6879</v>
      </c>
      <c r="I1252" s="91" t="s">
        <v>6881</v>
      </c>
      <c r="J1252" s="136" t="s">
        <v>6882</v>
      </c>
      <c r="K1252" s="83" t="s">
        <v>467</v>
      </c>
      <c r="L1252" s="83" t="s">
        <v>168</v>
      </c>
      <c r="M1252" s="82" t="s">
        <v>169</v>
      </c>
      <c r="N1252" s="115" t="s">
        <v>170</v>
      </c>
      <c r="O1252" s="98" t="s">
        <v>155</v>
      </c>
      <c r="P1252" s="99" t="str">
        <f>IFERROR(__xludf.DUMMYFUNCTION("IFERROR(VLOOKUP(AS1252,IMPORTRANGE(""https://docs.google.com/spreadsheets/d/1juPI-Fb8LD0YtltB2mlGEnp_R3UVu1t3wSFPzgCyHXE/edit?gid=0#gid=0"",""GERAL!A2:C""),3,0),""-"")"),"-")</f>
        <v>-</v>
      </c>
      <c r="Q1252" s="98" t="s">
        <v>171</v>
      </c>
      <c r="R1252" s="98">
        <v>3.0</v>
      </c>
      <c r="S1252" s="98" t="s">
        <v>171</v>
      </c>
      <c r="T1252" s="98" t="s">
        <v>171</v>
      </c>
      <c r="U1252" s="98" t="s">
        <v>171</v>
      </c>
      <c r="V1252" s="98" t="s">
        <v>171</v>
      </c>
      <c r="W1252" s="98" t="s">
        <v>171</v>
      </c>
      <c r="X1252" s="98" t="s">
        <v>171</v>
      </c>
      <c r="Y1252" s="98" t="s">
        <v>171</v>
      </c>
      <c r="Z1252" s="98" t="s">
        <v>171</v>
      </c>
      <c r="AA1252" s="98" t="s">
        <v>171</v>
      </c>
      <c r="AB1252" s="98" t="s">
        <v>171</v>
      </c>
      <c r="AC1252" s="98" t="s">
        <v>171</v>
      </c>
      <c r="AD1252" s="98" t="s">
        <v>171</v>
      </c>
      <c r="AE1252" s="98" t="s">
        <v>171</v>
      </c>
      <c r="AF1252" s="98" t="s">
        <v>171</v>
      </c>
      <c r="AG1252" s="98" t="s">
        <v>171</v>
      </c>
      <c r="AH1252" s="98" t="s">
        <v>171</v>
      </c>
      <c r="AI1252" s="98" t="s">
        <v>171</v>
      </c>
      <c r="AJ1252" s="98" t="s">
        <v>171</v>
      </c>
      <c r="AK1252" s="98" t="s">
        <v>171</v>
      </c>
      <c r="AL1252" s="98" t="s">
        <v>171</v>
      </c>
      <c r="AM1252" s="98" t="s">
        <v>171</v>
      </c>
      <c r="AN1252" s="98" t="s">
        <v>171</v>
      </c>
      <c r="AO1252" s="98" t="s">
        <v>171</v>
      </c>
      <c r="AP1252" s="98" t="s">
        <v>171</v>
      </c>
      <c r="AQ1252" s="98" t="s">
        <v>171</v>
      </c>
      <c r="AR1252" s="102">
        <v>46233.0</v>
      </c>
      <c r="AS1252" s="83">
        <v>1178617.0</v>
      </c>
    </row>
    <row r="1253" ht="15.75" customHeight="1">
      <c r="A1253" s="111" t="s">
        <v>1535</v>
      </c>
      <c r="B1253" s="83" t="s">
        <v>6870</v>
      </c>
      <c r="C1253" s="83" t="s">
        <v>164</v>
      </c>
      <c r="D1253" s="112">
        <v>1179277.0</v>
      </c>
      <c r="E1253" s="83">
        <v>1178618.0</v>
      </c>
      <c r="F1253" s="83"/>
      <c r="G1253" s="91" t="str">
        <f>IFERROR(__xludf.DUMMYFUNCTION("XLOOKUP(AS1253,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DE PLANALTO IRIS")</f>
        <v>ANEXO - CEMIT MÉDIO RIO DE CONTAS - DISTRITO DE PLANALTO IRIS</v>
      </c>
      <c r="H1253" s="114" t="s">
        <v>6883</v>
      </c>
      <c r="I1253" s="91" t="s">
        <v>6884</v>
      </c>
      <c r="J1253" s="136" t="s">
        <v>149</v>
      </c>
      <c r="K1253" s="83" t="s">
        <v>1502</v>
      </c>
      <c r="L1253" s="83" t="s">
        <v>168</v>
      </c>
      <c r="M1253" s="83" t="s">
        <v>169</v>
      </c>
      <c r="N1253" s="115" t="s">
        <v>170</v>
      </c>
      <c r="O1253" s="98" t="s">
        <v>155</v>
      </c>
      <c r="P1253" s="99" t="str">
        <f>IFERROR(__xludf.DUMMYFUNCTION("IFERROR(VLOOKUP(AS1253,IMPORTRANGE(""https://docs.google.com/spreadsheets/d/1juPI-Fb8LD0YtltB2mlGEnp_R3UVu1t3wSFPzgCyHXE/edit?gid=0#gid=0"",""GERAL!A2:C""),3,0),""-"")"),"-")</f>
        <v>-</v>
      </c>
      <c r="Q1253" s="98" t="s">
        <v>171</v>
      </c>
      <c r="R1253" s="98">
        <v>4.0</v>
      </c>
      <c r="S1253" s="98" t="s">
        <v>171</v>
      </c>
      <c r="T1253" s="98" t="s">
        <v>171</v>
      </c>
      <c r="U1253" s="98" t="s">
        <v>171</v>
      </c>
      <c r="V1253" s="98" t="s">
        <v>171</v>
      </c>
      <c r="W1253" s="98" t="s">
        <v>171</v>
      </c>
      <c r="X1253" s="98" t="s">
        <v>171</v>
      </c>
      <c r="Y1253" s="98" t="s">
        <v>171</v>
      </c>
      <c r="Z1253" s="98" t="s">
        <v>171</v>
      </c>
      <c r="AA1253" s="98" t="s">
        <v>171</v>
      </c>
      <c r="AB1253" s="98" t="s">
        <v>171</v>
      </c>
      <c r="AC1253" s="98" t="s">
        <v>171</v>
      </c>
      <c r="AD1253" s="98" t="s">
        <v>171</v>
      </c>
      <c r="AE1253" s="98" t="s">
        <v>171</v>
      </c>
      <c r="AF1253" s="98" t="s">
        <v>171</v>
      </c>
      <c r="AG1253" s="98" t="s">
        <v>171</v>
      </c>
      <c r="AH1253" s="98" t="s">
        <v>171</v>
      </c>
      <c r="AI1253" s="98" t="s">
        <v>171</v>
      </c>
      <c r="AJ1253" s="98" t="s">
        <v>171</v>
      </c>
      <c r="AK1253" s="98" t="s">
        <v>171</v>
      </c>
      <c r="AL1253" s="98" t="s">
        <v>171</v>
      </c>
      <c r="AM1253" s="98" t="s">
        <v>171</v>
      </c>
      <c r="AN1253" s="98" t="s">
        <v>171</v>
      </c>
      <c r="AO1253" s="98" t="s">
        <v>171</v>
      </c>
      <c r="AP1253" s="98" t="s">
        <v>171</v>
      </c>
      <c r="AQ1253" s="98" t="s">
        <v>171</v>
      </c>
      <c r="AR1253" s="102">
        <v>46233.0</v>
      </c>
      <c r="AS1253" s="83">
        <v>1178618.0</v>
      </c>
    </row>
    <row r="1254" ht="15.75" customHeight="1">
      <c r="A1254" s="111" t="s">
        <v>1535</v>
      </c>
      <c r="B1254" s="83" t="s">
        <v>6892</v>
      </c>
      <c r="C1254" s="83" t="s">
        <v>68</v>
      </c>
      <c r="D1254" s="112">
        <v>1158882.0</v>
      </c>
      <c r="E1254" s="83"/>
      <c r="F1254" s="83">
        <v>2.9299268E7</v>
      </c>
      <c r="G1254" s="91" t="str">
        <f>IFERROR(__xludf.DUMMYFUNCTION("XLOOKUP(AS1254,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JOSE ARAUJO PEREIRA -TEMPO INTEGRAL")</f>
        <v>COLÉGIO ESTADUAL JOSE ARAUJO PEREIRA -TEMPO INTEGRAL</v>
      </c>
      <c r="H1254" s="114" t="s">
        <v>6893</v>
      </c>
      <c r="I1254" s="91" t="s">
        <v>6894</v>
      </c>
      <c r="J1254" s="136" t="s">
        <v>149</v>
      </c>
      <c r="K1254" s="83" t="s">
        <v>150</v>
      </c>
      <c r="L1254" s="83" t="s">
        <v>151</v>
      </c>
      <c r="M1254" s="83" t="s">
        <v>76</v>
      </c>
      <c r="N1254" s="98" t="s">
        <v>6895</v>
      </c>
      <c r="O1254" s="98" t="s">
        <v>155</v>
      </c>
      <c r="P1254" s="99" t="str">
        <f>IFERROR(__xludf.DUMMYFUNCTION("IFERROR(VLOOKUP(AS1254,IMPORTRANGE(""https://docs.google.com/spreadsheets/d/1juPI-Fb8LD0YtltB2mlGEnp_R3UVu1t3wSFPzgCyHXE/edit?gid=0#gid=0"",""GERAL!A2:C""),3,0),""-"")"),"-")</f>
        <v>-</v>
      </c>
      <c r="Q1254" s="83"/>
      <c r="R1254" s="83"/>
      <c r="S1254" s="83"/>
      <c r="T1254" s="83"/>
      <c r="U1254" s="83"/>
      <c r="V1254" s="83"/>
      <c r="W1254" s="83"/>
      <c r="X1254" s="83"/>
      <c r="Y1254" s="83"/>
      <c r="Z1254" s="83"/>
      <c r="AA1254" s="83"/>
      <c r="AB1254" s="83"/>
      <c r="AC1254" s="83"/>
      <c r="AD1254" s="83"/>
      <c r="AE1254" s="83"/>
      <c r="AF1254" s="83"/>
      <c r="AG1254" s="83"/>
      <c r="AH1254" s="83"/>
      <c r="AI1254" s="83"/>
      <c r="AJ1254" s="83"/>
      <c r="AK1254" s="83"/>
      <c r="AL1254" s="83"/>
      <c r="AM1254" s="83"/>
      <c r="AN1254" s="83"/>
      <c r="AO1254" s="83"/>
      <c r="AP1254" s="83"/>
      <c r="AQ1254" s="83"/>
      <c r="AR1254" s="83"/>
      <c r="AS1254" s="83">
        <v>1158882.0</v>
      </c>
    </row>
    <row r="1255" ht="15.75" customHeight="1">
      <c r="A1255" s="111" t="s">
        <v>1535</v>
      </c>
      <c r="B1255" s="83" t="s">
        <v>6892</v>
      </c>
      <c r="C1255" s="83" t="s">
        <v>164</v>
      </c>
      <c r="D1255" s="112">
        <v>1158882.0</v>
      </c>
      <c r="E1255" s="83">
        <v>1178502.0</v>
      </c>
      <c r="F1255" s="83"/>
      <c r="G1255" s="91" t="str">
        <f>IFERROR(__xludf.DUMMYFUNCTION("XLOOKUP(AS1255,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JOSE ARAUJO PEREIRA - DISTRITO NOVA PALMA")</f>
        <v>ANEXO - COLÉGIO ESTADUAL JOSE ARAUJO PEREIRA - DISTRITO NOVA PALMA</v>
      </c>
      <c r="H1255" s="114" t="s">
        <v>6898</v>
      </c>
      <c r="I1255" s="91" t="s">
        <v>6899</v>
      </c>
      <c r="J1255" s="136" t="s">
        <v>6900</v>
      </c>
      <c r="K1255" s="83" t="s">
        <v>240</v>
      </c>
      <c r="L1255" s="83" t="s">
        <v>168</v>
      </c>
      <c r="M1255" s="83" t="s">
        <v>169</v>
      </c>
      <c r="N1255" s="115" t="s">
        <v>170</v>
      </c>
      <c r="O1255" s="98" t="s">
        <v>155</v>
      </c>
      <c r="P1255" s="99" t="str">
        <f>IFERROR(__xludf.DUMMYFUNCTION("IFERROR(VLOOKUP(AS1255,IMPORTRANGE(""https://docs.google.com/spreadsheets/d/1juPI-Fb8LD0YtltB2mlGEnp_R3UVu1t3wSFPzgCyHXE/edit?gid=0#gid=0"",""GERAL!A2:C""),3,0),""-"")"),"CAMPO")</f>
        <v>CAMPO</v>
      </c>
      <c r="Q1255" s="83"/>
      <c r="R1255" s="83"/>
      <c r="S1255" s="83"/>
      <c r="T1255" s="83"/>
      <c r="U1255" s="83"/>
      <c r="V1255" s="83"/>
      <c r="W1255" s="83"/>
      <c r="X1255" s="83"/>
      <c r="Y1255" s="83"/>
      <c r="Z1255" s="83"/>
      <c r="AA1255" s="83"/>
      <c r="AB1255" s="83"/>
      <c r="AC1255" s="83"/>
      <c r="AD1255" s="83"/>
      <c r="AE1255" s="83"/>
      <c r="AF1255" s="83"/>
      <c r="AG1255" s="83"/>
      <c r="AH1255" s="83"/>
      <c r="AI1255" s="83"/>
      <c r="AJ1255" s="83"/>
      <c r="AK1255" s="83"/>
      <c r="AL1255" s="83"/>
      <c r="AM1255" s="83"/>
      <c r="AN1255" s="83"/>
      <c r="AO1255" s="83"/>
      <c r="AP1255" s="83"/>
      <c r="AQ1255" s="83"/>
      <c r="AR1255" s="83"/>
      <c r="AS1255" s="83">
        <v>1178502.0</v>
      </c>
    </row>
    <row r="1256" ht="15.75" customHeight="1">
      <c r="A1256" s="111" t="s">
        <v>1535</v>
      </c>
      <c r="B1256" s="83" t="s">
        <v>6892</v>
      </c>
      <c r="C1256" s="83" t="s">
        <v>164</v>
      </c>
      <c r="D1256" s="112">
        <v>1179277.0</v>
      </c>
      <c r="E1256" s="83">
        <v>1178503.0</v>
      </c>
      <c r="F1256" s="83"/>
      <c r="G1256" s="91" t="str">
        <f>IFERROR(__xludf.DUMMYFUNCTION("XLOOKUP(AS1256,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TAPIRAMA")</f>
        <v>ANEXO - CEMIT MÉDIO RIO DE CONTAS - DISTRITO TAPIRAMA</v>
      </c>
      <c r="H1256" s="114" t="s">
        <v>6903</v>
      </c>
      <c r="I1256" s="91" t="s">
        <v>6905</v>
      </c>
      <c r="J1256" s="136" t="s">
        <v>6906</v>
      </c>
      <c r="K1256" s="83" t="s">
        <v>6907</v>
      </c>
      <c r="L1256" s="83" t="s">
        <v>168</v>
      </c>
      <c r="M1256" s="83" t="s">
        <v>169</v>
      </c>
      <c r="N1256" s="115" t="s">
        <v>170</v>
      </c>
      <c r="O1256" s="98" t="s">
        <v>155</v>
      </c>
      <c r="P1256" s="99" t="str">
        <f>IFERROR(__xludf.DUMMYFUNCTION("IFERROR(VLOOKUP(AS1256,IMPORTRANGE(""https://docs.google.com/spreadsheets/d/1juPI-Fb8LD0YtltB2mlGEnp_R3UVu1t3wSFPzgCyHXE/edit?gid=0#gid=0"",""GERAL!A2:C""),3,0),""-"")"),"-")</f>
        <v>-</v>
      </c>
      <c r="Q1256" s="83"/>
      <c r="R1256" s="83"/>
      <c r="S1256" s="83"/>
      <c r="T1256" s="83"/>
      <c r="U1256" s="83"/>
      <c r="V1256" s="83"/>
      <c r="W1256" s="83"/>
      <c r="X1256" s="83"/>
      <c r="Y1256" s="83"/>
      <c r="Z1256" s="83"/>
      <c r="AA1256" s="83"/>
      <c r="AB1256" s="83"/>
      <c r="AC1256" s="83"/>
      <c r="AD1256" s="83"/>
      <c r="AE1256" s="83"/>
      <c r="AF1256" s="83"/>
      <c r="AG1256" s="83"/>
      <c r="AH1256" s="83"/>
      <c r="AI1256" s="83"/>
      <c r="AJ1256" s="83"/>
      <c r="AK1256" s="83"/>
      <c r="AL1256" s="83"/>
      <c r="AM1256" s="83"/>
      <c r="AN1256" s="83"/>
      <c r="AO1256" s="83"/>
      <c r="AP1256" s="83"/>
      <c r="AQ1256" s="83"/>
      <c r="AR1256" s="83"/>
      <c r="AS1256" s="83">
        <v>1178503.0</v>
      </c>
    </row>
    <row r="1257" ht="15.75" customHeight="1">
      <c r="A1257" s="111" t="s">
        <v>1535</v>
      </c>
      <c r="B1257" s="83" t="s">
        <v>6910</v>
      </c>
      <c r="C1257" s="83" t="s">
        <v>68</v>
      </c>
      <c r="D1257" s="112">
        <v>1178097.0</v>
      </c>
      <c r="E1257" s="83"/>
      <c r="F1257" s="83">
        <v>2.9429781E7</v>
      </c>
      <c r="G1257" s="91" t="str">
        <f>IFERROR(__xludf.DUMMYFUNCTION("XLOOKUP(AS1257,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ALGODÃO - DISTRITO DE ALGODÃO")</f>
        <v>COLÉGIO ESTADUAL DO CAMPO DE ALGODÃO - DISTRITO DE ALGODÃO</v>
      </c>
      <c r="H1257" s="114" t="s">
        <v>6911</v>
      </c>
      <c r="I1257" s="91" t="s">
        <v>6912</v>
      </c>
      <c r="J1257" s="136" t="s">
        <v>6913</v>
      </c>
      <c r="K1257" s="83" t="s">
        <v>1347</v>
      </c>
      <c r="L1257" s="83" t="s">
        <v>151</v>
      </c>
      <c r="M1257" s="83" t="s">
        <v>169</v>
      </c>
      <c r="N1257" s="98" t="s">
        <v>6914</v>
      </c>
      <c r="O1257" s="98" t="s">
        <v>155</v>
      </c>
      <c r="P1257" s="99" t="str">
        <f>IFERROR(__xludf.DUMMYFUNCTION("IFERROR(VLOOKUP(AS1257,IMPORTRANGE(""https://docs.google.com/spreadsheets/d/1juPI-Fb8LD0YtltB2mlGEnp_R3UVu1t3wSFPzgCyHXE/edit?gid=0#gid=0"",""GERAL!A2:C""),3,0),""-"")"),"CAMPO")</f>
        <v>CAMPO</v>
      </c>
      <c r="Q1257" s="101" t="s">
        <v>156</v>
      </c>
      <c r="R1257" s="98">
        <v>5.0</v>
      </c>
      <c r="S1257" s="98">
        <v>1.0</v>
      </c>
      <c r="T1257" s="98">
        <v>1.0</v>
      </c>
      <c r="U1257" s="98">
        <v>0.0</v>
      </c>
      <c r="V1257" s="98">
        <v>1.0</v>
      </c>
      <c r="W1257" s="98">
        <v>1.0</v>
      </c>
      <c r="X1257" s="98">
        <v>0.0</v>
      </c>
      <c r="Y1257" s="98">
        <v>0.0</v>
      </c>
      <c r="Z1257" s="98">
        <v>0.0</v>
      </c>
      <c r="AA1257" s="98">
        <v>0.0</v>
      </c>
      <c r="AB1257" s="98">
        <v>0.0</v>
      </c>
      <c r="AC1257" s="98">
        <v>0.0</v>
      </c>
      <c r="AD1257" s="98">
        <v>0.0</v>
      </c>
      <c r="AE1257" s="98">
        <v>0.0</v>
      </c>
      <c r="AF1257" s="98">
        <v>0.0</v>
      </c>
      <c r="AG1257" s="98">
        <v>1.0</v>
      </c>
      <c r="AH1257" s="98">
        <v>0.0</v>
      </c>
      <c r="AI1257" s="98">
        <v>0.0</v>
      </c>
      <c r="AJ1257" s="98">
        <v>0.0</v>
      </c>
      <c r="AK1257" s="98">
        <v>0.0</v>
      </c>
      <c r="AL1257" s="98">
        <v>0.0</v>
      </c>
      <c r="AM1257" s="98">
        <v>0.0</v>
      </c>
      <c r="AN1257" s="98">
        <v>0.0</v>
      </c>
      <c r="AO1257" s="98">
        <v>0.0</v>
      </c>
      <c r="AP1257" s="98">
        <v>2.0</v>
      </c>
      <c r="AQ1257" s="98" t="s">
        <v>6925</v>
      </c>
      <c r="AR1257" s="102">
        <v>46224.0</v>
      </c>
      <c r="AS1257" s="83">
        <v>1178097.0</v>
      </c>
    </row>
    <row r="1258" ht="15.75" customHeight="1">
      <c r="A1258" s="111" t="s">
        <v>1535</v>
      </c>
      <c r="B1258" s="83" t="s">
        <v>6910</v>
      </c>
      <c r="C1258" s="83" t="s">
        <v>68</v>
      </c>
      <c r="D1258" s="112">
        <v>1117108.0</v>
      </c>
      <c r="E1258" s="83"/>
      <c r="F1258" s="83">
        <v>2.9300762E7</v>
      </c>
      <c r="G1258" s="91" t="str">
        <f>IFERROR(__xludf.DUMMYFUNCTION("XLOOKUP(AS1258,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IBIRATAIA - TEMPO INTEGRAL")</f>
        <v>COLÉGIO ESTADUAL DE IBIRATAIA - TEMPO INTEGRAL</v>
      </c>
      <c r="H1258" s="114" t="s">
        <v>6934</v>
      </c>
      <c r="I1258" s="91" t="s">
        <v>6935</v>
      </c>
      <c r="J1258" s="136" t="s">
        <v>149</v>
      </c>
      <c r="K1258" s="83" t="s">
        <v>150</v>
      </c>
      <c r="L1258" s="83" t="s">
        <v>151</v>
      </c>
      <c r="M1258" s="83" t="s">
        <v>230</v>
      </c>
      <c r="N1258" s="98" t="s">
        <v>6936</v>
      </c>
      <c r="O1258" s="98" t="s">
        <v>155</v>
      </c>
      <c r="P1258" s="99" t="str">
        <f>IFERROR(__xludf.DUMMYFUNCTION("IFERROR(VLOOKUP(AS1258,IMPORTRANGE(""https://docs.google.com/spreadsheets/d/1juPI-Fb8LD0YtltB2mlGEnp_R3UVu1t3wSFPzgCyHXE/edit?gid=0#gid=0"",""GERAL!A2:C""),3,0),""-"")"),"-")</f>
        <v>-</v>
      </c>
      <c r="Q1258" s="101" t="s">
        <v>156</v>
      </c>
      <c r="R1258" s="98">
        <v>13.0</v>
      </c>
      <c r="S1258" s="98">
        <v>0.0</v>
      </c>
      <c r="T1258" s="98">
        <v>0.0</v>
      </c>
      <c r="U1258" s="98">
        <v>1.0</v>
      </c>
      <c r="V1258" s="98">
        <v>0.0</v>
      </c>
      <c r="W1258" s="98">
        <v>0.0</v>
      </c>
      <c r="X1258" s="98">
        <v>1.0</v>
      </c>
      <c r="Y1258" s="98">
        <v>0.0</v>
      </c>
      <c r="Z1258" s="98">
        <v>0.0</v>
      </c>
      <c r="AA1258" s="98">
        <v>1.0</v>
      </c>
      <c r="AB1258" s="98">
        <v>0.0</v>
      </c>
      <c r="AC1258" s="98">
        <v>0.0</v>
      </c>
      <c r="AD1258" s="98">
        <v>1.0</v>
      </c>
      <c r="AE1258" s="98">
        <v>0.0</v>
      </c>
      <c r="AF1258" s="98">
        <v>2.0</v>
      </c>
      <c r="AG1258" s="98">
        <v>1.0</v>
      </c>
      <c r="AH1258" s="98">
        <v>0.0</v>
      </c>
      <c r="AI1258" s="98">
        <v>0.0</v>
      </c>
      <c r="AJ1258" s="98">
        <v>0.0</v>
      </c>
      <c r="AK1258" s="98">
        <v>1.0</v>
      </c>
      <c r="AL1258" s="98">
        <v>0.0</v>
      </c>
      <c r="AM1258" s="98">
        <v>1.0</v>
      </c>
      <c r="AN1258" s="98">
        <v>0.0</v>
      </c>
      <c r="AO1258" s="98">
        <v>1.0</v>
      </c>
      <c r="AP1258" s="98">
        <v>1.0</v>
      </c>
      <c r="AQ1258" s="98" t="s">
        <v>5311</v>
      </c>
      <c r="AR1258" s="102">
        <v>46224.0</v>
      </c>
      <c r="AS1258" s="83">
        <v>1117108.0</v>
      </c>
    </row>
    <row r="1259" ht="15.75" customHeight="1">
      <c r="A1259" s="111" t="s">
        <v>1535</v>
      </c>
      <c r="B1259" s="83" t="s">
        <v>6943</v>
      </c>
      <c r="C1259" s="83" t="s">
        <v>68</v>
      </c>
      <c r="D1259" s="112">
        <v>1176433.0</v>
      </c>
      <c r="E1259" s="83"/>
      <c r="F1259" s="83">
        <v>2.9390532E7</v>
      </c>
      <c r="G1259" s="91" t="str">
        <f>IFERROR(__xludf.DUMMYFUNCTION("XLOOKUP(AS1259,
IMPORTRANGE(""https://docs.google.com/spreadsheets/d/1YM-djuOLXomrZ9W0B4TyIBsVWnXY4EIOFD9HY-qGfv0/edit?usp=sharing"",""GERAL!BG5:BG""),
IMPORTRANGE(""https://docs.google.com/spreadsheets/d/1YM-djuOLXomrZ9W0B4TyIBsVWnXY4EIOFD9HY-qGfv0/edit?"&amp;"usp=sharing"",""GERAL!G5:G""),
""CÓD. SEC NÃO ENCONTRADO NA PLANILHA DE MATRÍCULA"")"),"COMPLEXO INTEGRADO DE EDUCAÇÃO DE IPIAÚ - CIE DE IPIAÚ")</f>
        <v>COMPLEXO INTEGRADO DE EDUCAÇÃO DE IPIAÚ - CIE DE IPIAÚ</v>
      </c>
      <c r="H1259" s="184" t="s">
        <v>6944</v>
      </c>
      <c r="I1259" s="91" t="s">
        <v>6945</v>
      </c>
      <c r="J1259" s="83" t="s">
        <v>6946</v>
      </c>
      <c r="K1259" s="83" t="s">
        <v>150</v>
      </c>
      <c r="L1259" s="83" t="s">
        <v>151</v>
      </c>
      <c r="M1259" s="83" t="s">
        <v>230</v>
      </c>
      <c r="N1259" s="98" t="s">
        <v>6947</v>
      </c>
      <c r="O1259" s="98" t="s">
        <v>155</v>
      </c>
      <c r="P1259" s="99" t="str">
        <f>IFERROR(__xludf.DUMMYFUNCTION("IFERROR(VLOOKUP(AS1259,IMPORTRANGE(""https://docs.google.com/spreadsheets/d/1juPI-Fb8LD0YtltB2mlGEnp_R3UVu1t3wSFPzgCyHXE/edit?gid=0#gid=0"",""GERAL!A2:C""),3,0),""-"")"),"-")</f>
        <v>-</v>
      </c>
      <c r="Q1259" s="83"/>
      <c r="R1259" s="83"/>
      <c r="S1259" s="83"/>
      <c r="T1259" s="83"/>
      <c r="U1259" s="83"/>
      <c r="V1259" s="83"/>
      <c r="W1259" s="83"/>
      <c r="X1259" s="83"/>
      <c r="Y1259" s="83"/>
      <c r="Z1259" s="83"/>
      <c r="AA1259" s="83"/>
      <c r="AB1259" s="83"/>
      <c r="AC1259" s="83"/>
      <c r="AD1259" s="83"/>
      <c r="AE1259" s="83"/>
      <c r="AF1259" s="83"/>
      <c r="AG1259" s="83"/>
      <c r="AH1259" s="83"/>
      <c r="AI1259" s="83"/>
      <c r="AJ1259" s="83"/>
      <c r="AK1259" s="83"/>
      <c r="AL1259" s="83"/>
      <c r="AM1259" s="83"/>
      <c r="AN1259" s="83"/>
      <c r="AO1259" s="83"/>
      <c r="AP1259" s="83"/>
      <c r="AQ1259" s="83"/>
      <c r="AR1259" s="83"/>
      <c r="AS1259" s="83">
        <v>1176433.0</v>
      </c>
    </row>
    <row r="1260" ht="15.75" customHeight="1">
      <c r="A1260" s="111" t="s">
        <v>1535</v>
      </c>
      <c r="B1260" s="83" t="s">
        <v>6943</v>
      </c>
      <c r="C1260" s="83" t="s">
        <v>68</v>
      </c>
      <c r="D1260" s="112">
        <v>1117035.0</v>
      </c>
      <c r="E1260" s="83"/>
      <c r="F1260" s="83">
        <v>2.9303354E7</v>
      </c>
      <c r="G1260" s="91" t="str">
        <f>IFERROR(__xludf.DUMMYFUNCTION("XLOOKUP(AS1260,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IPIAÚ")</f>
        <v>COLÉGIO ESTADUAL DE TEMPO INTEGRAL DE IPIAÚ</v>
      </c>
      <c r="H1260" s="184" t="s">
        <v>6953</v>
      </c>
      <c r="I1260" s="91" t="s">
        <v>6954</v>
      </c>
      <c r="J1260" s="172" t="s">
        <v>6955</v>
      </c>
      <c r="K1260" s="83" t="s">
        <v>150</v>
      </c>
      <c r="L1260" s="83" t="s">
        <v>151</v>
      </c>
      <c r="M1260" s="83" t="s">
        <v>152</v>
      </c>
      <c r="N1260" s="98" t="s">
        <v>6956</v>
      </c>
      <c r="O1260" s="98" t="s">
        <v>155</v>
      </c>
      <c r="P1260" s="99" t="str">
        <f>IFERROR(__xludf.DUMMYFUNCTION("IFERROR(VLOOKUP(AS1260,IMPORTRANGE(""https://docs.google.com/spreadsheets/d/1juPI-Fb8LD0YtltB2mlGEnp_R3UVu1t3wSFPzgCyHXE/edit?gid=0#gid=0"",""GERAL!A2:C""),3,0),""-"")"),"-")</f>
        <v>-</v>
      </c>
      <c r="Q1260" s="83"/>
      <c r="R1260" s="83"/>
      <c r="S1260" s="83"/>
      <c r="T1260" s="83"/>
      <c r="U1260" s="83"/>
      <c r="V1260" s="83"/>
      <c r="W1260" s="83"/>
      <c r="X1260" s="83"/>
      <c r="Y1260" s="83"/>
      <c r="Z1260" s="83"/>
      <c r="AA1260" s="83"/>
      <c r="AB1260" s="83"/>
      <c r="AC1260" s="83"/>
      <c r="AD1260" s="83"/>
      <c r="AE1260" s="83"/>
      <c r="AF1260" s="83"/>
      <c r="AG1260" s="83"/>
      <c r="AH1260" s="83"/>
      <c r="AI1260" s="83"/>
      <c r="AJ1260" s="83"/>
      <c r="AK1260" s="83"/>
      <c r="AL1260" s="83"/>
      <c r="AM1260" s="83"/>
      <c r="AN1260" s="83"/>
      <c r="AO1260" s="83"/>
      <c r="AP1260" s="83"/>
      <c r="AQ1260" s="83"/>
      <c r="AR1260" s="83"/>
      <c r="AS1260" s="83">
        <v>1117035.0</v>
      </c>
    </row>
    <row r="1261" ht="15.75" customHeight="1">
      <c r="A1261" s="111" t="s">
        <v>1535</v>
      </c>
      <c r="B1261" s="83" t="s">
        <v>6943</v>
      </c>
      <c r="C1261" s="83" t="s">
        <v>68</v>
      </c>
      <c r="D1261" s="112">
        <v>1166621.0</v>
      </c>
      <c r="E1261" s="83"/>
      <c r="F1261" s="83">
        <v>2.9303702E7</v>
      </c>
      <c r="G1261" s="91" t="str">
        <f>IFERROR(__xludf.DUMMYFUNCTION("XLOOKUP(AS1261,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EDUCAÇÃO PROFISSIONAL DO MÉDIO RIO DAS CONTAS - TEMPO INTEGRAL")</f>
        <v>CENTRO TERRITORIAL DE EDUCAÇÃO PROFISSIONAL DO MÉDIO RIO DAS CONTAS - TEMPO INTEGRAL</v>
      </c>
      <c r="H1261" s="185" t="s">
        <v>6958</v>
      </c>
      <c r="I1261" s="91" t="s">
        <v>6959</v>
      </c>
      <c r="J1261" s="83" t="s">
        <v>149</v>
      </c>
      <c r="K1261" s="83" t="s">
        <v>150</v>
      </c>
      <c r="L1261" s="83" t="s">
        <v>151</v>
      </c>
      <c r="M1261" s="83" t="s">
        <v>230</v>
      </c>
      <c r="N1261" s="98" t="s">
        <v>6962</v>
      </c>
      <c r="O1261" s="98" t="s">
        <v>155</v>
      </c>
      <c r="P1261" s="99" t="str">
        <f>IFERROR(__xludf.DUMMYFUNCTION("IFERROR(VLOOKUP(AS1261,IMPORTRANGE(""https://docs.google.com/spreadsheets/d/1juPI-Fb8LD0YtltB2mlGEnp_R3UVu1t3wSFPzgCyHXE/edit?gid=0#gid=0"",""GERAL!A2:C""),3,0),""-"")"),"-")</f>
        <v>-</v>
      </c>
      <c r="Q1261" s="83"/>
      <c r="R1261" s="83"/>
      <c r="S1261" s="83"/>
      <c r="T1261" s="83"/>
      <c r="U1261" s="83"/>
      <c r="V1261" s="83"/>
      <c r="W1261" s="83"/>
      <c r="X1261" s="83"/>
      <c r="Y1261" s="83"/>
      <c r="Z1261" s="83"/>
      <c r="AA1261" s="83"/>
      <c r="AB1261" s="83"/>
      <c r="AC1261" s="83"/>
      <c r="AD1261" s="83"/>
      <c r="AE1261" s="83"/>
      <c r="AF1261" s="83"/>
      <c r="AG1261" s="83"/>
      <c r="AH1261" s="83"/>
      <c r="AI1261" s="83"/>
      <c r="AJ1261" s="83"/>
      <c r="AK1261" s="83"/>
      <c r="AL1261" s="83"/>
      <c r="AM1261" s="83"/>
      <c r="AN1261" s="83"/>
      <c r="AO1261" s="83"/>
      <c r="AP1261" s="83"/>
      <c r="AQ1261" s="83"/>
      <c r="AR1261" s="83"/>
      <c r="AS1261" s="83">
        <v>1166621.0</v>
      </c>
    </row>
    <row r="1262" ht="15.75" customHeight="1">
      <c r="A1262" s="111" t="s">
        <v>1535</v>
      </c>
      <c r="B1262" s="83" t="s">
        <v>6943</v>
      </c>
      <c r="C1262" s="83" t="s">
        <v>68</v>
      </c>
      <c r="D1262" s="112">
        <v>1178377.0</v>
      </c>
      <c r="E1262" s="83"/>
      <c r="F1262" s="83">
        <v>2.9848792E7</v>
      </c>
      <c r="G1262" s="91" t="str">
        <f>IFERROR(__xludf.DUMMYFUNCTION("XLOOKUP(AS1262,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PEDAGÓGICO DE IPIAÚ - CAP")</f>
        <v>CENTRO DE APOIO PEDAGÓGICO DE IPIAÚ - CAP</v>
      </c>
      <c r="H1262" s="185" t="s">
        <v>6967</v>
      </c>
      <c r="I1262" s="91" t="s">
        <v>6968</v>
      </c>
      <c r="J1262" s="83" t="s">
        <v>149</v>
      </c>
      <c r="K1262" s="83" t="s">
        <v>150</v>
      </c>
      <c r="L1262" s="83" t="s">
        <v>151</v>
      </c>
      <c r="M1262" s="83" t="s">
        <v>230</v>
      </c>
      <c r="N1262" s="98" t="s">
        <v>6969</v>
      </c>
      <c r="O1262" s="98" t="s">
        <v>155</v>
      </c>
      <c r="P1262" s="99" t="str">
        <f>IFERROR(__xludf.DUMMYFUNCTION("IFERROR(VLOOKUP(AS1262,IMPORTRANGE(""https://docs.google.com/spreadsheets/d/1juPI-Fb8LD0YtltB2mlGEnp_R3UVu1t3wSFPzgCyHXE/edit?gid=0#gid=0"",""GERAL!A2:C""),3,0),""-"")"),"-")</f>
        <v>-</v>
      </c>
      <c r="Q1262" s="83"/>
      <c r="R1262" s="83"/>
      <c r="S1262" s="83"/>
      <c r="T1262" s="83"/>
      <c r="U1262" s="83"/>
      <c r="V1262" s="83"/>
      <c r="W1262" s="83"/>
      <c r="X1262" s="83"/>
      <c r="Y1262" s="83"/>
      <c r="Z1262" s="83"/>
      <c r="AA1262" s="83"/>
      <c r="AB1262" s="83"/>
      <c r="AC1262" s="83"/>
      <c r="AD1262" s="83"/>
      <c r="AE1262" s="83"/>
      <c r="AF1262" s="83"/>
      <c r="AG1262" s="83"/>
      <c r="AH1262" s="83"/>
      <c r="AI1262" s="83"/>
      <c r="AJ1262" s="83"/>
      <c r="AK1262" s="83"/>
      <c r="AL1262" s="83"/>
      <c r="AM1262" s="83"/>
      <c r="AN1262" s="83"/>
      <c r="AO1262" s="83"/>
      <c r="AP1262" s="83"/>
      <c r="AQ1262" s="83"/>
      <c r="AR1262" s="83"/>
      <c r="AS1262" s="83">
        <v>1178377.0</v>
      </c>
    </row>
    <row r="1263" ht="15.75" customHeight="1">
      <c r="A1263" s="111" t="s">
        <v>1535</v>
      </c>
      <c r="B1263" s="83" t="s">
        <v>6943</v>
      </c>
      <c r="C1263" s="83" t="s">
        <v>164</v>
      </c>
      <c r="D1263" s="112">
        <v>1179277.0</v>
      </c>
      <c r="E1263" s="83">
        <v>1179256.0</v>
      </c>
      <c r="F1263" s="83"/>
      <c r="G1263" s="91" t="str">
        <f>IFERROR(__xludf.DUMMYFUNCTION("XLOOKUP(AS1263,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DE CORREGO DE PEDRAS")</f>
        <v>ANEXO - CEMIT- MÉDIO RIO DE CONTAS - DISTRITO DE CORREGO DE PEDRAS</v>
      </c>
      <c r="H1263" s="114" t="s">
        <v>6978</v>
      </c>
      <c r="I1263" s="91" t="s">
        <v>6979</v>
      </c>
      <c r="J1263" s="136" t="s">
        <v>149</v>
      </c>
      <c r="K1263" s="83" t="s">
        <v>183</v>
      </c>
      <c r="L1263" s="83" t="s">
        <v>168</v>
      </c>
      <c r="M1263" s="83" t="s">
        <v>169</v>
      </c>
      <c r="N1263" s="115" t="s">
        <v>170</v>
      </c>
      <c r="O1263" s="98" t="s">
        <v>155</v>
      </c>
      <c r="P1263" s="99" t="str">
        <f>IFERROR(__xludf.DUMMYFUNCTION("IFERROR(VLOOKUP(AS1263,IMPORTRANGE(""https://docs.google.com/spreadsheets/d/1juPI-Fb8LD0YtltB2mlGEnp_R3UVu1t3wSFPzgCyHXE/edit?gid=0#gid=0"",""GERAL!A2:C""),3,0),""-"")"),"-")</f>
        <v>-</v>
      </c>
      <c r="Q1263" s="83"/>
      <c r="R1263" s="83"/>
      <c r="S1263" s="83"/>
      <c r="T1263" s="83"/>
      <c r="U1263" s="83"/>
      <c r="V1263" s="83"/>
      <c r="W1263" s="83"/>
      <c r="X1263" s="83"/>
      <c r="Y1263" s="83"/>
      <c r="Z1263" s="83"/>
      <c r="AA1263" s="83"/>
      <c r="AB1263" s="83"/>
      <c r="AC1263" s="83"/>
      <c r="AD1263" s="83"/>
      <c r="AE1263" s="83"/>
      <c r="AF1263" s="83"/>
      <c r="AG1263" s="83"/>
      <c r="AH1263" s="83"/>
      <c r="AI1263" s="83"/>
      <c r="AJ1263" s="83"/>
      <c r="AK1263" s="83"/>
      <c r="AL1263" s="83"/>
      <c r="AM1263" s="83"/>
      <c r="AN1263" s="83"/>
      <c r="AO1263" s="83"/>
      <c r="AP1263" s="83"/>
      <c r="AQ1263" s="83"/>
      <c r="AR1263" s="83"/>
      <c r="AS1263" s="83">
        <v>1179256.0</v>
      </c>
    </row>
    <row r="1264" ht="15.75" customHeight="1">
      <c r="A1264" s="111" t="s">
        <v>1535</v>
      </c>
      <c r="B1264" s="83" t="s">
        <v>6980</v>
      </c>
      <c r="C1264" s="83" t="s">
        <v>68</v>
      </c>
      <c r="D1264" s="112">
        <v>1178015.0</v>
      </c>
      <c r="E1264" s="83"/>
      <c r="F1264" s="83">
        <v>2.9429005E7</v>
      </c>
      <c r="G1264" s="91" t="str">
        <f>IFERROR(__xludf.DUMMYFUNCTION("XLOOKUP(AS1264,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RENI MIRANDA FERREIRA - TEMPO INTEGRAL")</f>
        <v>COLÉGIO ESTADUAL PROFESSORA RENI MIRANDA FERREIRA - TEMPO INTEGRAL</v>
      </c>
      <c r="H1264" s="114" t="s">
        <v>6981</v>
      </c>
      <c r="I1264" s="91" t="s">
        <v>6982</v>
      </c>
      <c r="J1264" s="83" t="s">
        <v>149</v>
      </c>
      <c r="K1264" s="83" t="s">
        <v>150</v>
      </c>
      <c r="L1264" s="83" t="s">
        <v>151</v>
      </c>
      <c r="M1264" s="83" t="s">
        <v>152</v>
      </c>
      <c r="N1264" s="98" t="s">
        <v>6984</v>
      </c>
      <c r="O1264" s="98" t="s">
        <v>155</v>
      </c>
      <c r="P1264" s="99" t="str">
        <f>IFERROR(__xludf.DUMMYFUNCTION("IFERROR(VLOOKUP(AS1264,IMPORTRANGE(""https://docs.google.com/spreadsheets/d/1juPI-Fb8LD0YtltB2mlGEnp_R3UVu1t3wSFPzgCyHXE/edit?gid=0#gid=0"",""GERAL!A2:C""),3,0),""-"")"),"-")</f>
        <v>-</v>
      </c>
      <c r="Q1264" s="98" t="s">
        <v>171</v>
      </c>
      <c r="R1264" s="98">
        <v>9.0</v>
      </c>
      <c r="S1264" s="98">
        <v>1.0</v>
      </c>
      <c r="T1264" s="98">
        <v>2.0</v>
      </c>
      <c r="U1264" s="98">
        <v>0.0</v>
      </c>
      <c r="V1264" s="98">
        <v>0.0</v>
      </c>
      <c r="W1264" s="98">
        <v>0.0</v>
      </c>
      <c r="X1264" s="98">
        <v>0.0</v>
      </c>
      <c r="Y1264" s="98">
        <v>0.0</v>
      </c>
      <c r="Z1264" s="98">
        <v>0.0</v>
      </c>
      <c r="AA1264" s="98">
        <v>0.0</v>
      </c>
      <c r="AB1264" s="98">
        <v>0.0</v>
      </c>
      <c r="AC1264" s="98">
        <v>0.0</v>
      </c>
      <c r="AD1264" s="98">
        <v>0.0</v>
      </c>
      <c r="AE1264" s="98">
        <v>0.0</v>
      </c>
      <c r="AF1264" s="98">
        <v>0.0</v>
      </c>
      <c r="AG1264" s="98">
        <v>1.0</v>
      </c>
      <c r="AH1264" s="98">
        <v>0.0</v>
      </c>
      <c r="AI1264" s="98">
        <v>0.0</v>
      </c>
      <c r="AJ1264" s="98">
        <v>0.0</v>
      </c>
      <c r="AK1264" s="98">
        <v>0.0</v>
      </c>
      <c r="AL1264" s="98">
        <v>0.0</v>
      </c>
      <c r="AM1264" s="98">
        <v>0.0</v>
      </c>
      <c r="AN1264" s="98">
        <v>0.0</v>
      </c>
      <c r="AO1264" s="98">
        <v>0.0</v>
      </c>
      <c r="AP1264" s="98">
        <v>2.0</v>
      </c>
      <c r="AQ1264" s="98" t="s">
        <v>6985</v>
      </c>
      <c r="AR1264" s="102">
        <v>46230.0</v>
      </c>
      <c r="AS1264" s="83">
        <v>1178015.0</v>
      </c>
    </row>
    <row r="1265" ht="15.75" customHeight="1">
      <c r="A1265" s="111" t="s">
        <v>1535</v>
      </c>
      <c r="B1265" s="83" t="s">
        <v>6986</v>
      </c>
      <c r="C1265" s="83" t="s">
        <v>68</v>
      </c>
      <c r="D1265" s="112">
        <v>1117434.0</v>
      </c>
      <c r="E1265" s="83"/>
      <c r="F1265" s="83">
        <v>2.9307759E7</v>
      </c>
      <c r="G1265" s="91" t="str">
        <f>IFERROR(__xludf.DUMMYFUNCTION("XLOOKUP(AS1265,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DULCE ALMEIDA")</f>
        <v>COLÉGIO ESTADUAL DE TEMPO INTEGRAL DULCE ALMEIDA</v>
      </c>
      <c r="H1265" s="119" t="s">
        <v>6987</v>
      </c>
      <c r="I1265" s="91" t="s">
        <v>6988</v>
      </c>
      <c r="J1265" s="83" t="s">
        <v>149</v>
      </c>
      <c r="K1265" s="83" t="s">
        <v>150</v>
      </c>
      <c r="L1265" s="83" t="s">
        <v>151</v>
      </c>
      <c r="M1265" s="83" t="s">
        <v>152</v>
      </c>
      <c r="N1265" s="98" t="s">
        <v>6989</v>
      </c>
      <c r="O1265" s="98" t="s">
        <v>155</v>
      </c>
      <c r="P1265" s="99" t="str">
        <f>IFERROR(__xludf.DUMMYFUNCTION("IFERROR(VLOOKUP(AS1265,IMPORTRANGE(""https://docs.google.com/spreadsheets/d/1juPI-Fb8LD0YtltB2mlGEnp_R3UVu1t3wSFPzgCyHXE/edit?gid=0#gid=0"",""GERAL!A2:C""),3,0),""-"")"),"-")</f>
        <v>-</v>
      </c>
      <c r="Q1265" s="101" t="s">
        <v>156</v>
      </c>
      <c r="R1265" s="98">
        <v>9.0</v>
      </c>
      <c r="S1265" s="98">
        <v>1.0</v>
      </c>
      <c r="T1265" s="98">
        <v>1.0</v>
      </c>
      <c r="U1265" s="98">
        <v>1.0</v>
      </c>
      <c r="V1265" s="98">
        <v>1.0</v>
      </c>
      <c r="W1265" s="98">
        <v>0.0</v>
      </c>
      <c r="X1265" s="98">
        <v>1.0</v>
      </c>
      <c r="Y1265" s="98">
        <v>0.0</v>
      </c>
      <c r="Z1265" s="98">
        <v>1.0</v>
      </c>
      <c r="AA1265" s="98">
        <v>0.0</v>
      </c>
      <c r="AB1265" s="98">
        <v>1.0</v>
      </c>
      <c r="AC1265" s="98">
        <v>0.0</v>
      </c>
      <c r="AD1265" s="98">
        <v>0.0</v>
      </c>
      <c r="AE1265" s="98">
        <v>0.0</v>
      </c>
      <c r="AF1265" s="98">
        <v>1.0</v>
      </c>
      <c r="AG1265" s="98">
        <v>0.0</v>
      </c>
      <c r="AH1265" s="98">
        <v>0.0</v>
      </c>
      <c r="AI1265" s="98">
        <v>0.0</v>
      </c>
      <c r="AJ1265" s="98">
        <v>1.0</v>
      </c>
      <c r="AK1265" s="98">
        <v>0.0</v>
      </c>
      <c r="AL1265" s="98">
        <v>0.0</v>
      </c>
      <c r="AM1265" s="98">
        <v>0.0</v>
      </c>
      <c r="AN1265" s="98">
        <v>0.0</v>
      </c>
      <c r="AO1265" s="98">
        <v>0.0</v>
      </c>
      <c r="AP1265" s="98">
        <v>2.0</v>
      </c>
      <c r="AQ1265" s="98"/>
      <c r="AR1265" s="102">
        <v>46246.0</v>
      </c>
      <c r="AS1265" s="83">
        <v>1117434.0</v>
      </c>
    </row>
    <row r="1266" ht="15.75" customHeight="1">
      <c r="A1266" s="111" t="s">
        <v>1535</v>
      </c>
      <c r="B1266" s="83" t="s">
        <v>6986</v>
      </c>
      <c r="C1266" s="83" t="s">
        <v>164</v>
      </c>
      <c r="D1266" s="112">
        <v>1179277.0</v>
      </c>
      <c r="E1266" s="83">
        <v>1178627.0</v>
      </c>
      <c r="F1266" s="83"/>
      <c r="G1266" s="91" t="str">
        <f>IFERROR(__xludf.DUMMYFUNCTION("XLOOKUP(AS1266,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MÉDIO RIO DE CONTAS - DISTRITO DE TAPIRAGI")</f>
        <v>ANEXO - CEMIT - MÉDIO RIO DE CONTAS - DISTRITO DE TAPIRAGI</v>
      </c>
      <c r="H1266" s="114" t="s">
        <v>7002</v>
      </c>
      <c r="I1266" s="91" t="s">
        <v>7004</v>
      </c>
      <c r="J1266" s="136" t="s">
        <v>149</v>
      </c>
      <c r="K1266" s="83" t="s">
        <v>1347</v>
      </c>
      <c r="L1266" s="83" t="s">
        <v>151</v>
      </c>
      <c r="M1266" s="83" t="s">
        <v>169</v>
      </c>
      <c r="N1266" s="115" t="s">
        <v>170</v>
      </c>
      <c r="O1266" s="98" t="s">
        <v>155</v>
      </c>
      <c r="P1266" s="99" t="str">
        <f>IFERROR(__xludf.DUMMYFUNCTION("IFERROR(VLOOKUP(AS1266,IMPORTRANGE(""https://docs.google.com/spreadsheets/d/1juPI-Fb8LD0YtltB2mlGEnp_R3UVu1t3wSFPzgCyHXE/edit?gid=0#gid=0"",""GERAL!A2:C""),3,0),""-"")"),"-")</f>
        <v>-</v>
      </c>
      <c r="Q1266" s="98" t="s">
        <v>171</v>
      </c>
      <c r="R1266" s="98">
        <v>2.0</v>
      </c>
      <c r="S1266" s="98" t="s">
        <v>171</v>
      </c>
      <c r="T1266" s="98" t="s">
        <v>171</v>
      </c>
      <c r="U1266" s="98" t="s">
        <v>171</v>
      </c>
      <c r="V1266" s="98" t="s">
        <v>171</v>
      </c>
      <c r="W1266" s="98" t="s">
        <v>171</v>
      </c>
      <c r="X1266" s="98" t="s">
        <v>171</v>
      </c>
      <c r="Y1266" s="98" t="s">
        <v>171</v>
      </c>
      <c r="Z1266" s="98" t="s">
        <v>171</v>
      </c>
      <c r="AA1266" s="98" t="s">
        <v>171</v>
      </c>
      <c r="AB1266" s="98" t="s">
        <v>171</v>
      </c>
      <c r="AC1266" s="98" t="s">
        <v>171</v>
      </c>
      <c r="AD1266" s="98" t="s">
        <v>171</v>
      </c>
      <c r="AE1266" s="98" t="s">
        <v>171</v>
      </c>
      <c r="AF1266" s="98" t="s">
        <v>171</v>
      </c>
      <c r="AG1266" s="98" t="s">
        <v>171</v>
      </c>
      <c r="AH1266" s="98" t="s">
        <v>171</v>
      </c>
      <c r="AI1266" s="98" t="s">
        <v>171</v>
      </c>
      <c r="AJ1266" s="98" t="s">
        <v>171</v>
      </c>
      <c r="AK1266" s="98" t="s">
        <v>171</v>
      </c>
      <c r="AL1266" s="98" t="s">
        <v>171</v>
      </c>
      <c r="AM1266" s="98" t="s">
        <v>171</v>
      </c>
      <c r="AN1266" s="98" t="s">
        <v>171</v>
      </c>
      <c r="AO1266" s="98" t="s">
        <v>171</v>
      </c>
      <c r="AP1266" s="98" t="s">
        <v>171</v>
      </c>
      <c r="AQ1266" s="98" t="s">
        <v>171</v>
      </c>
      <c r="AR1266" s="102">
        <v>46231.0</v>
      </c>
      <c r="AS1266" s="83">
        <v>1178627.0</v>
      </c>
    </row>
    <row r="1267" ht="15.75" customHeight="1">
      <c r="A1267" s="111" t="s">
        <v>1535</v>
      </c>
      <c r="B1267" s="83" t="s">
        <v>7005</v>
      </c>
      <c r="C1267" s="83" t="s">
        <v>68</v>
      </c>
      <c r="D1267" s="112">
        <v>1110294.0</v>
      </c>
      <c r="E1267" s="83"/>
      <c r="F1267" s="83">
        <v>2.9309034E7</v>
      </c>
      <c r="G1267" s="91" t="str">
        <f>IFERROR(__xludf.DUMMYFUNCTION("XLOOKUP(AS1267,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JOÃO GALVÃO SOBRINHO")</f>
        <v>COLÉGIO ESTADUAL DE TEMPO INTEGRAL JOÃO GALVÃO SOBRINHO</v>
      </c>
      <c r="H1267" s="119" t="s">
        <v>7009</v>
      </c>
      <c r="I1267" s="91" t="s">
        <v>7010</v>
      </c>
      <c r="J1267" s="83" t="s">
        <v>149</v>
      </c>
      <c r="K1267" s="83" t="s">
        <v>150</v>
      </c>
      <c r="L1267" s="83" t="s">
        <v>151</v>
      </c>
      <c r="M1267" s="83" t="s">
        <v>76</v>
      </c>
      <c r="N1267" s="98" t="s">
        <v>7013</v>
      </c>
      <c r="O1267" s="98" t="s">
        <v>155</v>
      </c>
      <c r="P1267" s="99" t="str">
        <f>IFERROR(__xludf.DUMMYFUNCTION("IFERROR(VLOOKUP(AS1267,IMPORTRANGE(""https://docs.google.com/spreadsheets/d/1juPI-Fb8LD0YtltB2mlGEnp_R3UVu1t3wSFPzgCyHXE/edit?gid=0#gid=0"",""GERAL!A2:C""),3,0),""-"")"),"-")</f>
        <v>-</v>
      </c>
      <c r="Q1267" s="83"/>
      <c r="R1267" s="83"/>
      <c r="S1267" s="83"/>
      <c r="T1267" s="83"/>
      <c r="U1267" s="83"/>
      <c r="V1267" s="83"/>
      <c r="W1267" s="83"/>
      <c r="X1267" s="83"/>
      <c r="Y1267" s="83"/>
      <c r="Z1267" s="83"/>
      <c r="AA1267" s="83"/>
      <c r="AB1267" s="83"/>
      <c r="AC1267" s="83"/>
      <c r="AD1267" s="83"/>
      <c r="AE1267" s="83"/>
      <c r="AF1267" s="83"/>
      <c r="AG1267" s="83"/>
      <c r="AH1267" s="83"/>
      <c r="AI1267" s="83"/>
      <c r="AJ1267" s="83"/>
      <c r="AK1267" s="83"/>
      <c r="AL1267" s="83"/>
      <c r="AM1267" s="83"/>
      <c r="AN1267" s="83"/>
      <c r="AO1267" s="83"/>
      <c r="AP1267" s="83"/>
      <c r="AQ1267" s="83"/>
      <c r="AR1267" s="83"/>
      <c r="AS1267" s="83">
        <v>1110294.0</v>
      </c>
    </row>
    <row r="1268" ht="15.75" customHeight="1">
      <c r="A1268" s="111" t="s">
        <v>1535</v>
      </c>
      <c r="B1268" s="83" t="s">
        <v>7016</v>
      </c>
      <c r="C1268" s="83" t="s">
        <v>68</v>
      </c>
      <c r="D1268" s="112">
        <v>1117868.0</v>
      </c>
      <c r="E1268" s="83"/>
      <c r="F1268" s="83">
        <v>2.9227658E7</v>
      </c>
      <c r="G1268" s="91" t="str">
        <f>IFERROR(__xludf.DUMMYFUNCTION("XLOOKUP(AS1268,
IMPORTRANGE(""https://docs.google.com/spreadsheets/d/1YM-djuOLXomrZ9W0B4TyIBsVWnXY4EIOFD9HY-qGfv0/edit?usp=sharing"",""GERAL!BG5:BG""),
IMPORTRANGE(""https://docs.google.com/spreadsheets/d/1YM-djuOLXomrZ9W0B4TyIBsVWnXY4EIOFD9HY-qGfv0/edit?"&amp;"usp=sharing"",""GERAL!G5:G""),
""CÓD. SEC NÃO ENCONTRADO NA PLANILHA DE MATRÍCULA"")"),"COMPLEXO INTEGRADO DE EDUCACAO BÁSICA, PROFISSIONAL E TECNÓLOGICA DE JEQUIÉ - EM TEMPO INTEGRAL")</f>
        <v>COMPLEXO INTEGRADO DE EDUCACAO BÁSICA, PROFISSIONAL E TECNÓLOGICA DE JEQUIÉ - EM TEMPO INTEGRAL</v>
      </c>
      <c r="H1268" s="114" t="s">
        <v>7017</v>
      </c>
      <c r="I1268" s="91" t="s">
        <v>7018</v>
      </c>
      <c r="J1268" s="83" t="s">
        <v>7019</v>
      </c>
      <c r="K1268" s="83" t="s">
        <v>150</v>
      </c>
      <c r="L1268" s="83" t="s">
        <v>151</v>
      </c>
      <c r="M1268" s="83" t="s">
        <v>230</v>
      </c>
      <c r="N1268" s="98" t="s">
        <v>7020</v>
      </c>
      <c r="O1268" s="98" t="s">
        <v>155</v>
      </c>
      <c r="P1268" s="99" t="str">
        <f>IFERROR(__xludf.DUMMYFUNCTION("IFERROR(VLOOKUP(AS1268,IMPORTRANGE(""https://docs.google.com/spreadsheets/d/1juPI-Fb8LD0YtltB2mlGEnp_R3UVu1t3wSFPzgCyHXE/edit?gid=0#gid=0"",""GERAL!A2:C""),3,0),""-"")"),"-")</f>
        <v>-</v>
      </c>
      <c r="Q1268" s="101" t="s">
        <v>156</v>
      </c>
      <c r="R1268" s="98">
        <v>17.0</v>
      </c>
      <c r="S1268" s="98">
        <v>2.0</v>
      </c>
      <c r="T1268" s="98">
        <v>5.0</v>
      </c>
      <c r="U1268" s="98">
        <v>1.0</v>
      </c>
      <c r="V1268" s="98">
        <v>0.0</v>
      </c>
      <c r="W1268" s="98">
        <v>1.0</v>
      </c>
      <c r="X1268" s="98">
        <v>1.0</v>
      </c>
      <c r="Y1268" s="98">
        <v>0.0</v>
      </c>
      <c r="Z1268" s="98">
        <v>1.0</v>
      </c>
      <c r="AA1268" s="98">
        <v>0.0</v>
      </c>
      <c r="AB1268" s="98">
        <v>0.0</v>
      </c>
      <c r="AC1268" s="98">
        <v>0.0</v>
      </c>
      <c r="AD1268" s="98">
        <v>0.0</v>
      </c>
      <c r="AE1268" s="98">
        <v>0.0</v>
      </c>
      <c r="AF1268" s="98">
        <v>1.0</v>
      </c>
      <c r="AG1268" s="98">
        <v>0.0</v>
      </c>
      <c r="AH1268" s="98">
        <v>0.0</v>
      </c>
      <c r="AI1268" s="98">
        <v>0.0</v>
      </c>
      <c r="AJ1268" s="98">
        <v>1.0</v>
      </c>
      <c r="AK1268" s="98">
        <v>0.0</v>
      </c>
      <c r="AL1268" s="98">
        <v>0.0</v>
      </c>
      <c r="AM1268" s="98">
        <v>0.0</v>
      </c>
      <c r="AN1268" s="98">
        <v>0.0</v>
      </c>
      <c r="AO1268" s="98">
        <v>0.0</v>
      </c>
      <c r="AP1268" s="98">
        <v>1.0</v>
      </c>
      <c r="AQ1268" s="98" t="s">
        <v>7031</v>
      </c>
      <c r="AR1268" s="102">
        <v>46231.0</v>
      </c>
      <c r="AS1268" s="83">
        <v>1117868.0</v>
      </c>
    </row>
    <row r="1269" ht="15.75" customHeight="1">
      <c r="A1269" s="111" t="s">
        <v>1535</v>
      </c>
      <c r="B1269" s="83" t="s">
        <v>7016</v>
      </c>
      <c r="C1269" s="83" t="s">
        <v>68</v>
      </c>
      <c r="D1269" s="112">
        <v>1117736.0</v>
      </c>
      <c r="E1269" s="83"/>
      <c r="F1269" s="83">
        <v>2.9229464E7</v>
      </c>
      <c r="G1269" s="91" t="str">
        <f>IFERROR(__xludf.DUMMYFUNCTION("XLOOKUP(AS1269,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FIRMO NUNES DE OLIVEIRA - TEMPO INTEGRAL")</f>
        <v>COLÉGIO ESTADUAL PROFESSOR FIRMO NUNES DE OLIVEIRA - TEMPO INTEGRAL</v>
      </c>
      <c r="H1269" s="114" t="s">
        <v>7037</v>
      </c>
      <c r="I1269" s="91" t="s">
        <v>7038</v>
      </c>
      <c r="J1269" s="83" t="s">
        <v>7039</v>
      </c>
      <c r="K1269" s="83" t="s">
        <v>150</v>
      </c>
      <c r="L1269" s="83" t="s">
        <v>151</v>
      </c>
      <c r="M1269" s="83" t="s">
        <v>230</v>
      </c>
      <c r="N1269" s="98" t="s">
        <v>7040</v>
      </c>
      <c r="O1269" s="98" t="s">
        <v>155</v>
      </c>
      <c r="P1269" s="99" t="str">
        <f>IFERROR(__xludf.DUMMYFUNCTION("IFERROR(VLOOKUP(AS1269,IMPORTRANGE(""https://docs.google.com/spreadsheets/d/1juPI-Fb8LD0YtltB2mlGEnp_R3UVu1t3wSFPzgCyHXE/edit?gid=0#gid=0"",""GERAL!A2:C""),3,0),""-"")"),"-")</f>
        <v>-</v>
      </c>
      <c r="Q1269" s="101" t="s">
        <v>156</v>
      </c>
      <c r="R1269" s="98">
        <v>14.0</v>
      </c>
      <c r="S1269" s="98">
        <v>1.0</v>
      </c>
      <c r="T1269" s="98">
        <v>1.0</v>
      </c>
      <c r="U1269" s="98">
        <v>0.0</v>
      </c>
      <c r="V1269" s="98">
        <v>0.0</v>
      </c>
      <c r="W1269" s="98">
        <v>0.0</v>
      </c>
      <c r="X1269" s="98">
        <v>0.0</v>
      </c>
      <c r="Y1269" s="98">
        <v>1.0</v>
      </c>
      <c r="Z1269" s="98">
        <v>0.0</v>
      </c>
      <c r="AA1269" s="98">
        <v>0.0</v>
      </c>
      <c r="AB1269" s="98">
        <v>1.0</v>
      </c>
      <c r="AC1269" s="98">
        <v>0.0</v>
      </c>
      <c r="AD1269" s="98">
        <v>0.0</v>
      </c>
      <c r="AE1269" s="98">
        <v>0.0</v>
      </c>
      <c r="AF1269" s="98">
        <v>0.0</v>
      </c>
      <c r="AG1269" s="98">
        <v>1.0</v>
      </c>
      <c r="AH1269" s="98">
        <v>0.0</v>
      </c>
      <c r="AI1269" s="98">
        <v>0.0</v>
      </c>
      <c r="AJ1269" s="98">
        <v>0.0</v>
      </c>
      <c r="AK1269" s="98">
        <v>0.0</v>
      </c>
      <c r="AL1269" s="98">
        <v>0.0</v>
      </c>
      <c r="AM1269" s="98">
        <v>0.0</v>
      </c>
      <c r="AN1269" s="98">
        <v>0.0</v>
      </c>
      <c r="AO1269" s="98">
        <v>0.0</v>
      </c>
      <c r="AP1269" s="98">
        <v>1.0</v>
      </c>
      <c r="AQ1269" s="98" t="s">
        <v>237</v>
      </c>
      <c r="AR1269" s="102">
        <v>46231.0</v>
      </c>
      <c r="AS1269" s="83">
        <v>1117736.0</v>
      </c>
    </row>
    <row r="1270" ht="15.75" customHeight="1">
      <c r="A1270" s="111" t="s">
        <v>1535</v>
      </c>
      <c r="B1270" s="83" t="s">
        <v>7016</v>
      </c>
      <c r="C1270" s="83" t="s">
        <v>68</v>
      </c>
      <c r="D1270" s="112">
        <v>1177092.0</v>
      </c>
      <c r="E1270" s="83"/>
      <c r="F1270" s="83">
        <v>2.9416604E7</v>
      </c>
      <c r="G1270" s="91" t="str">
        <f>IFERROR(__xludf.DUMMYFUNCTION("XLOOKUP(AS1270,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PAULO FREIRE")</f>
        <v>COLÉGIO ESTADUAL PAULO FREIRE</v>
      </c>
      <c r="H1270" s="114" t="s">
        <v>2098</v>
      </c>
      <c r="I1270" s="91" t="s">
        <v>7048</v>
      </c>
      <c r="J1270" s="83" t="s">
        <v>7019</v>
      </c>
      <c r="K1270" s="83" t="s">
        <v>150</v>
      </c>
      <c r="L1270" s="83" t="s">
        <v>151</v>
      </c>
      <c r="M1270" s="83" t="s">
        <v>152</v>
      </c>
      <c r="N1270" s="98" t="s">
        <v>7049</v>
      </c>
      <c r="O1270" s="98" t="s">
        <v>155</v>
      </c>
      <c r="P1270" s="99" t="str">
        <f>IFERROR(__xludf.DUMMYFUNCTION("IFERROR(VLOOKUP(AS1270,IMPORTRANGE(""https://docs.google.com/spreadsheets/d/1juPI-Fb8LD0YtltB2mlGEnp_R3UVu1t3wSFPzgCyHXE/edit?gid=0#gid=0"",""GERAL!A2:C""),3,0),""-"")"),"-")</f>
        <v>-</v>
      </c>
      <c r="Q1270" s="101" t="s">
        <v>156</v>
      </c>
      <c r="R1270" s="98">
        <v>13.0</v>
      </c>
      <c r="S1270" s="98">
        <v>1.0</v>
      </c>
      <c r="T1270" s="98">
        <v>1.0</v>
      </c>
      <c r="U1270" s="98">
        <v>0.0</v>
      </c>
      <c r="V1270" s="98">
        <v>0.0</v>
      </c>
      <c r="W1270" s="98">
        <v>4.0</v>
      </c>
      <c r="X1270" s="98">
        <v>1.0</v>
      </c>
      <c r="Y1270" s="98">
        <v>0.0</v>
      </c>
      <c r="Z1270" s="98">
        <v>0.0</v>
      </c>
      <c r="AA1270" s="98">
        <v>1.0</v>
      </c>
      <c r="AB1270" s="98">
        <v>0.0</v>
      </c>
      <c r="AC1270" s="98">
        <v>1.0</v>
      </c>
      <c r="AD1270" s="98">
        <v>0.0</v>
      </c>
      <c r="AE1270" s="98">
        <v>0.0</v>
      </c>
      <c r="AF1270" s="98">
        <v>1.0</v>
      </c>
      <c r="AG1270" s="98">
        <v>0.0</v>
      </c>
      <c r="AH1270" s="98">
        <v>0.0</v>
      </c>
      <c r="AI1270" s="98">
        <v>0.0</v>
      </c>
      <c r="AJ1270" s="98">
        <v>1.0</v>
      </c>
      <c r="AK1270" s="98">
        <v>0.0</v>
      </c>
      <c r="AL1270" s="98">
        <v>0.0</v>
      </c>
      <c r="AM1270" s="98">
        <v>0.0</v>
      </c>
      <c r="AN1270" s="98">
        <v>0.0</v>
      </c>
      <c r="AO1270" s="98">
        <v>0.0</v>
      </c>
      <c r="AP1270" s="98">
        <v>0.0</v>
      </c>
      <c r="AQ1270" s="98" t="s">
        <v>7057</v>
      </c>
      <c r="AR1270" s="102">
        <v>46231.0</v>
      </c>
      <c r="AS1270" s="83">
        <v>1177092.0</v>
      </c>
    </row>
    <row r="1271" ht="15.75" customHeight="1">
      <c r="A1271" s="111" t="s">
        <v>1535</v>
      </c>
      <c r="B1271" s="83" t="s">
        <v>7016</v>
      </c>
      <c r="C1271" s="83" t="s">
        <v>68</v>
      </c>
      <c r="D1271" s="112">
        <v>1117663.0</v>
      </c>
      <c r="E1271" s="83"/>
      <c r="F1271" s="83">
        <v>2.9229294E7</v>
      </c>
      <c r="G1271" s="91" t="str">
        <f>IFERROR(__xludf.DUMMYFUNCTION("XLOOKUP(AS1271,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QUILOMBOLA DOUTOR MILTON SANTOS")</f>
        <v>COLÉGIO ESTADUAL QUILOMBOLA DOUTOR MILTON SANTOS</v>
      </c>
      <c r="H1271" s="119" t="s">
        <v>7066</v>
      </c>
      <c r="I1271" s="91" t="s">
        <v>7067</v>
      </c>
      <c r="J1271" s="83" t="s">
        <v>1366</v>
      </c>
      <c r="K1271" s="83" t="s">
        <v>150</v>
      </c>
      <c r="L1271" s="83" t="s">
        <v>151</v>
      </c>
      <c r="M1271" s="83" t="s">
        <v>76</v>
      </c>
      <c r="N1271" s="98" t="s">
        <v>7068</v>
      </c>
      <c r="O1271" s="98" t="s">
        <v>155</v>
      </c>
      <c r="P1271" s="99" t="str">
        <f>IFERROR(__xludf.DUMMYFUNCTION("IFERROR(VLOOKUP(AS1271,IMPORTRANGE(""https://docs.google.com/spreadsheets/d/1juPI-Fb8LD0YtltB2mlGEnp_R3UVu1t3wSFPzgCyHXE/edit?gid=0#gid=0"",""GERAL!A2:C""),3,0),""-"")"),"QUILOMBOLAS")</f>
        <v>QUILOMBOLAS</v>
      </c>
      <c r="Q1271" s="101" t="s">
        <v>156</v>
      </c>
      <c r="R1271" s="98">
        <v>9.0</v>
      </c>
      <c r="S1271" s="98">
        <v>1.0</v>
      </c>
      <c r="T1271" s="98">
        <v>0.0</v>
      </c>
      <c r="U1271" s="98">
        <v>0.0</v>
      </c>
      <c r="V1271" s="98">
        <v>0.0</v>
      </c>
      <c r="W1271" s="98">
        <v>0.0</v>
      </c>
      <c r="X1271" s="98">
        <v>0.0</v>
      </c>
      <c r="Y1271" s="98">
        <v>0.0</v>
      </c>
      <c r="Z1271" s="98">
        <v>0.0</v>
      </c>
      <c r="AA1271" s="98">
        <v>0.0</v>
      </c>
      <c r="AB1271" s="98">
        <v>0.0</v>
      </c>
      <c r="AC1271" s="98">
        <v>0.0</v>
      </c>
      <c r="AD1271" s="98">
        <v>0.0</v>
      </c>
      <c r="AE1271" s="98">
        <v>0.0</v>
      </c>
      <c r="AF1271" s="98">
        <v>1.0</v>
      </c>
      <c r="AG1271" s="98">
        <v>0.0</v>
      </c>
      <c r="AH1271" s="98">
        <v>0.0</v>
      </c>
      <c r="AI1271" s="98">
        <v>0.0</v>
      </c>
      <c r="AJ1271" s="98">
        <v>0.0</v>
      </c>
      <c r="AK1271" s="98">
        <v>0.0</v>
      </c>
      <c r="AL1271" s="98">
        <v>0.0</v>
      </c>
      <c r="AM1271" s="98">
        <v>0.0</v>
      </c>
      <c r="AN1271" s="98">
        <v>0.0</v>
      </c>
      <c r="AO1271" s="98">
        <v>0.0</v>
      </c>
      <c r="AP1271" s="98">
        <v>1.0</v>
      </c>
      <c r="AQ1271" s="98" t="s">
        <v>498</v>
      </c>
      <c r="AR1271" s="102">
        <v>46231.0</v>
      </c>
      <c r="AS1271" s="83">
        <v>1117663.0</v>
      </c>
    </row>
    <row r="1272" ht="15.75" customHeight="1">
      <c r="A1272" s="111" t="s">
        <v>1535</v>
      </c>
      <c r="B1272" s="83" t="s">
        <v>7016</v>
      </c>
      <c r="C1272" s="83" t="s">
        <v>68</v>
      </c>
      <c r="D1272" s="112">
        <v>1117701.0</v>
      </c>
      <c r="E1272" s="83"/>
      <c r="F1272" s="83">
        <v>2.9229324E7</v>
      </c>
      <c r="G1272" s="91" t="str">
        <f>IFERROR(__xludf.DUMMYFUNCTION("XLOOKUP(AS1272,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FARAILDES SANTOS")</f>
        <v>COLÉGIO ESTADUAL DE TEMPO INTEGRAL PROFESSORA FARAILDES SANTOS</v>
      </c>
      <c r="H1272" s="119" t="s">
        <v>7070</v>
      </c>
      <c r="I1272" s="91" t="s">
        <v>7071</v>
      </c>
      <c r="J1272" s="83" t="s">
        <v>7072</v>
      </c>
      <c r="K1272" s="83" t="s">
        <v>150</v>
      </c>
      <c r="L1272" s="83" t="s">
        <v>151</v>
      </c>
      <c r="M1272" s="83" t="s">
        <v>152</v>
      </c>
      <c r="N1272" s="98" t="s">
        <v>7073</v>
      </c>
      <c r="O1272" s="98" t="s">
        <v>284</v>
      </c>
      <c r="P1272" s="99" t="str">
        <f>IFERROR(__xludf.DUMMYFUNCTION("IFERROR(VLOOKUP(AS1272,IMPORTRANGE(""https://docs.google.com/spreadsheets/d/1juPI-Fb8LD0YtltB2mlGEnp_R3UVu1t3wSFPzgCyHXE/edit?gid=0#gid=0"",""GERAL!A2:C""),3,0),""-"")"),"-")</f>
        <v>-</v>
      </c>
      <c r="Q1272" s="101" t="s">
        <v>156</v>
      </c>
      <c r="R1272" s="98">
        <v>10.0</v>
      </c>
      <c r="S1272" s="98">
        <v>0.0</v>
      </c>
      <c r="T1272" s="98">
        <v>0.0</v>
      </c>
      <c r="U1272" s="98">
        <v>0.0</v>
      </c>
      <c r="V1272" s="98">
        <v>1.0</v>
      </c>
      <c r="W1272" s="98">
        <v>0.0</v>
      </c>
      <c r="X1272" s="98">
        <v>0.0</v>
      </c>
      <c r="Y1272" s="98">
        <v>0.0</v>
      </c>
      <c r="Z1272" s="98">
        <v>0.0</v>
      </c>
      <c r="AA1272" s="98">
        <v>1.0</v>
      </c>
      <c r="AB1272" s="98">
        <v>1.0</v>
      </c>
      <c r="AC1272" s="98">
        <v>0.0</v>
      </c>
      <c r="AD1272" s="98">
        <v>0.0</v>
      </c>
      <c r="AE1272" s="98">
        <v>0.0</v>
      </c>
      <c r="AF1272" s="98">
        <v>1.0</v>
      </c>
      <c r="AG1272" s="98">
        <v>0.0</v>
      </c>
      <c r="AH1272" s="98">
        <v>0.0</v>
      </c>
      <c r="AI1272" s="98">
        <v>0.0</v>
      </c>
      <c r="AJ1272" s="98">
        <v>1.0</v>
      </c>
      <c r="AK1272" s="98">
        <v>0.0</v>
      </c>
      <c r="AL1272" s="98">
        <v>0.0</v>
      </c>
      <c r="AM1272" s="98">
        <v>0.0</v>
      </c>
      <c r="AN1272" s="98">
        <v>0.0</v>
      </c>
      <c r="AO1272" s="98">
        <v>0.0</v>
      </c>
      <c r="AP1272" s="98">
        <v>3.0</v>
      </c>
      <c r="AQ1272" s="98" t="s">
        <v>7076</v>
      </c>
      <c r="AR1272" s="102">
        <v>46231.0</v>
      </c>
      <c r="AS1272" s="83">
        <v>1117701.0</v>
      </c>
    </row>
    <row r="1273" ht="15.75" customHeight="1">
      <c r="A1273" s="111" t="s">
        <v>1535</v>
      </c>
      <c r="B1273" s="83" t="s">
        <v>7016</v>
      </c>
      <c r="C1273" s="83" t="s">
        <v>68</v>
      </c>
      <c r="D1273" s="112">
        <v>1117850.0</v>
      </c>
      <c r="E1273" s="83"/>
      <c r="F1273" s="83">
        <v>2.9229421E7</v>
      </c>
      <c r="G1273" s="91" t="str">
        <f>IFERROR(__xludf.DUMMYFUNCTION("XLOOKUP(AS1273,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LUIZ NAVARRO DE BRITO")</f>
        <v>COLÉGIO ESTADUAL DE TEMPO INTEGRAL LUIZ NAVARRO DE BRITO</v>
      </c>
      <c r="H1273" s="119" t="s">
        <v>7079</v>
      </c>
      <c r="I1273" s="91" t="s">
        <v>7081</v>
      </c>
      <c r="J1273" s="83" t="s">
        <v>7083</v>
      </c>
      <c r="K1273" s="83" t="s">
        <v>150</v>
      </c>
      <c r="L1273" s="83" t="s">
        <v>151</v>
      </c>
      <c r="M1273" s="83" t="s">
        <v>152</v>
      </c>
      <c r="N1273" s="98" t="s">
        <v>7087</v>
      </c>
      <c r="O1273" s="98" t="s">
        <v>155</v>
      </c>
      <c r="P1273" s="99" t="str">
        <f>IFERROR(__xludf.DUMMYFUNCTION("IFERROR(VLOOKUP(AS1273,IMPORTRANGE(""https://docs.google.com/spreadsheets/d/1juPI-Fb8LD0YtltB2mlGEnp_R3UVu1t3wSFPzgCyHXE/edit?gid=0#gid=0"",""GERAL!A2:C""),3,0),""-"")"),"-")</f>
        <v>-</v>
      </c>
      <c r="Q1273" s="101" t="s">
        <v>156</v>
      </c>
      <c r="R1273" s="98">
        <v>12.0</v>
      </c>
      <c r="S1273" s="98">
        <v>0.0</v>
      </c>
      <c r="T1273" s="98">
        <v>2.0</v>
      </c>
      <c r="U1273" s="98">
        <v>0.0</v>
      </c>
      <c r="V1273" s="98">
        <v>1.0</v>
      </c>
      <c r="W1273" s="98">
        <v>4.0</v>
      </c>
      <c r="X1273" s="98">
        <v>1.0</v>
      </c>
      <c r="Y1273" s="98">
        <v>0.0</v>
      </c>
      <c r="Z1273" s="98">
        <v>1.0</v>
      </c>
      <c r="AA1273" s="98">
        <v>0.0</v>
      </c>
      <c r="AB1273" s="98">
        <v>1.0</v>
      </c>
      <c r="AC1273" s="98">
        <v>0.0</v>
      </c>
      <c r="AD1273" s="98">
        <v>0.0</v>
      </c>
      <c r="AE1273" s="98">
        <v>0.0</v>
      </c>
      <c r="AF1273" s="98">
        <v>1.0</v>
      </c>
      <c r="AG1273" s="98">
        <v>0.0</v>
      </c>
      <c r="AH1273" s="98">
        <v>0.0</v>
      </c>
      <c r="AI1273" s="98">
        <v>0.0</v>
      </c>
      <c r="AJ1273" s="98">
        <v>0.0</v>
      </c>
      <c r="AK1273" s="98">
        <v>1.0</v>
      </c>
      <c r="AL1273" s="98">
        <v>0.0</v>
      </c>
      <c r="AM1273" s="98">
        <v>0.0</v>
      </c>
      <c r="AN1273" s="98">
        <v>0.0</v>
      </c>
      <c r="AO1273" s="98">
        <v>0.0</v>
      </c>
      <c r="AP1273" s="98">
        <v>0.0</v>
      </c>
      <c r="AQ1273" s="98" t="s">
        <v>7095</v>
      </c>
      <c r="AR1273" s="102">
        <v>46231.0</v>
      </c>
      <c r="AS1273" s="83">
        <v>1117850.0</v>
      </c>
    </row>
    <row r="1274" ht="15.75" customHeight="1">
      <c r="A1274" s="111" t="s">
        <v>1535</v>
      </c>
      <c r="B1274" s="83" t="s">
        <v>7016</v>
      </c>
      <c r="C1274" s="83" t="s">
        <v>68</v>
      </c>
      <c r="D1274" s="112">
        <v>1176664.0</v>
      </c>
      <c r="E1274" s="83"/>
      <c r="F1274" s="83">
        <v>2.9408172E7</v>
      </c>
      <c r="G1274" s="91" t="str">
        <f>IFERROR(__xludf.DUMMYFUNCTION("XLOOKUP(AS1274,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LUISA MAHIM")</f>
        <v>COLÉGIO ESTADUAL DE TEMPO INTEGRAL LUISA MAHIM</v>
      </c>
      <c r="H1274" s="119" t="s">
        <v>7098</v>
      </c>
      <c r="I1274" s="91" t="s">
        <v>7099</v>
      </c>
      <c r="J1274" s="83" t="s">
        <v>7100</v>
      </c>
      <c r="K1274" s="83" t="s">
        <v>150</v>
      </c>
      <c r="L1274" s="83" t="s">
        <v>151</v>
      </c>
      <c r="M1274" s="83" t="s">
        <v>152</v>
      </c>
      <c r="N1274" s="98" t="s">
        <v>7101</v>
      </c>
      <c r="O1274" s="98" t="s">
        <v>155</v>
      </c>
      <c r="P1274" s="99" t="str">
        <f>IFERROR(__xludf.DUMMYFUNCTION("IFERROR(VLOOKUP(AS1274,IMPORTRANGE(""https://docs.google.com/spreadsheets/d/1juPI-Fb8LD0YtltB2mlGEnp_R3UVu1t3wSFPzgCyHXE/edit?gid=0#gid=0"",""GERAL!A2:C""),3,0),""-"")"),"-")</f>
        <v>-</v>
      </c>
      <c r="Q1274" s="101" t="s">
        <v>156</v>
      </c>
      <c r="R1274" s="98">
        <v>7.0</v>
      </c>
      <c r="S1274" s="98">
        <v>1.0</v>
      </c>
      <c r="T1274" s="98">
        <v>2.0</v>
      </c>
      <c r="U1274" s="98">
        <v>0.0</v>
      </c>
      <c r="V1274" s="98">
        <v>0.0</v>
      </c>
      <c r="W1274" s="98">
        <v>1.0</v>
      </c>
      <c r="X1274" s="98">
        <v>1.0</v>
      </c>
      <c r="Y1274" s="98">
        <v>0.0</v>
      </c>
      <c r="Z1274" s="98">
        <v>1.0</v>
      </c>
      <c r="AA1274" s="98">
        <v>0.0</v>
      </c>
      <c r="AB1274" s="98">
        <v>1.0</v>
      </c>
      <c r="AC1274" s="98">
        <v>0.0</v>
      </c>
      <c r="AD1274" s="98">
        <v>0.0</v>
      </c>
      <c r="AE1274" s="98">
        <v>0.0</v>
      </c>
      <c r="AF1274" s="98">
        <v>1.0</v>
      </c>
      <c r="AG1274" s="98">
        <v>0.0</v>
      </c>
      <c r="AH1274" s="98">
        <v>0.0</v>
      </c>
      <c r="AI1274" s="98">
        <v>0.0</v>
      </c>
      <c r="AJ1274" s="98">
        <v>1.0</v>
      </c>
      <c r="AK1274" s="98">
        <v>0.0</v>
      </c>
      <c r="AL1274" s="98">
        <v>0.0</v>
      </c>
      <c r="AM1274" s="98">
        <v>0.0</v>
      </c>
      <c r="AN1274" s="98">
        <v>0.0</v>
      </c>
      <c r="AO1274" s="98">
        <v>0.0</v>
      </c>
      <c r="AP1274" s="98">
        <v>0.0</v>
      </c>
      <c r="AQ1274" s="98" t="s">
        <v>7106</v>
      </c>
      <c r="AR1274" s="102">
        <v>46231.0</v>
      </c>
      <c r="AS1274" s="83">
        <v>1176664.0</v>
      </c>
    </row>
    <row r="1275" ht="15.75" customHeight="1">
      <c r="A1275" s="111" t="s">
        <v>1535</v>
      </c>
      <c r="B1275" s="83" t="s">
        <v>7016</v>
      </c>
      <c r="C1275" s="83" t="s">
        <v>68</v>
      </c>
      <c r="D1275" s="112">
        <v>1117698.0</v>
      </c>
      <c r="E1275" s="83"/>
      <c r="F1275" s="83">
        <v>2.9228549E7</v>
      </c>
      <c r="G1275" s="91" t="str">
        <f>IFERROR(__xludf.DUMMYFUNCTION("XLOOKUP(AS1275,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JEQUIÉ")</f>
        <v>COLÉGIO ESTADUAL DE TEMPO INTEGRAL DE JEQUIÉ</v>
      </c>
      <c r="H1275" s="119" t="s">
        <v>7107</v>
      </c>
      <c r="I1275" s="91" t="s">
        <v>7108</v>
      </c>
      <c r="J1275" s="83" t="s">
        <v>7019</v>
      </c>
      <c r="K1275" s="83" t="s">
        <v>150</v>
      </c>
      <c r="L1275" s="83" t="s">
        <v>151</v>
      </c>
      <c r="M1275" s="83" t="s">
        <v>230</v>
      </c>
      <c r="N1275" s="98" t="s">
        <v>7109</v>
      </c>
      <c r="O1275" s="98" t="s">
        <v>155</v>
      </c>
      <c r="P1275" s="99" t="str">
        <f>IFERROR(__xludf.DUMMYFUNCTION("IFERROR(VLOOKUP(AS1275,IMPORTRANGE(""https://docs.google.com/spreadsheets/d/1juPI-Fb8LD0YtltB2mlGEnp_R3UVu1t3wSFPzgCyHXE/edit?gid=0#gid=0"",""GERAL!A2:C""),3,0),""-"")"),"-")</f>
        <v>-</v>
      </c>
      <c r="Q1275" s="101" t="s">
        <v>156</v>
      </c>
      <c r="R1275" s="98">
        <v>27.0</v>
      </c>
      <c r="S1275" s="98">
        <v>1.0</v>
      </c>
      <c r="T1275" s="98">
        <v>0.0</v>
      </c>
      <c r="U1275" s="98">
        <v>0.0</v>
      </c>
      <c r="V1275" s="98">
        <v>0.0</v>
      </c>
      <c r="W1275" s="98">
        <v>4.0</v>
      </c>
      <c r="X1275" s="98">
        <v>0.0</v>
      </c>
      <c r="Y1275" s="98">
        <v>0.0</v>
      </c>
      <c r="Z1275" s="98">
        <v>1.0</v>
      </c>
      <c r="AA1275" s="98">
        <v>0.0</v>
      </c>
      <c r="AB1275" s="98">
        <v>0.0</v>
      </c>
      <c r="AC1275" s="98">
        <v>1.0</v>
      </c>
      <c r="AD1275" s="98">
        <v>0.0</v>
      </c>
      <c r="AE1275" s="98">
        <v>0.0</v>
      </c>
      <c r="AF1275" s="98">
        <v>1.0</v>
      </c>
      <c r="AG1275" s="98">
        <v>0.0</v>
      </c>
      <c r="AH1275" s="98">
        <v>0.0</v>
      </c>
      <c r="AI1275" s="98">
        <v>0.0</v>
      </c>
      <c r="AJ1275" s="98">
        <v>0.0</v>
      </c>
      <c r="AK1275" s="98">
        <v>1.0</v>
      </c>
      <c r="AL1275" s="98">
        <v>0.0</v>
      </c>
      <c r="AM1275" s="98">
        <v>0.0</v>
      </c>
      <c r="AN1275" s="98">
        <v>0.0</v>
      </c>
      <c r="AO1275" s="98">
        <v>0.0</v>
      </c>
      <c r="AP1275" s="98">
        <v>1.0</v>
      </c>
      <c r="AQ1275" s="98" t="s">
        <v>7117</v>
      </c>
      <c r="AR1275" s="102">
        <v>46231.0</v>
      </c>
      <c r="AS1275" s="83">
        <v>1117698.0</v>
      </c>
    </row>
    <row r="1276" ht="15.75" customHeight="1">
      <c r="A1276" s="111" t="s">
        <v>1535</v>
      </c>
      <c r="B1276" s="83" t="s">
        <v>7016</v>
      </c>
      <c r="C1276" s="83" t="s">
        <v>68</v>
      </c>
      <c r="D1276" s="112">
        <v>1176093.0</v>
      </c>
      <c r="E1276" s="83"/>
      <c r="F1276" s="83">
        <v>2.922769E7</v>
      </c>
      <c r="G1276" s="91" t="str">
        <f>IFERROR(__xludf.DUMMYFUNCTION("XLOOKUP(AS1276,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PROFESSOR POETA LUIS NEVES COTRIM")</f>
        <v>COLÉGIO DA POLICIA MILITAR - CPM PROFESSOR POETA LUIS NEVES COTRIM</v>
      </c>
      <c r="H1276" s="114" t="s">
        <v>7118</v>
      </c>
      <c r="I1276" s="91" t="s">
        <v>7119</v>
      </c>
      <c r="J1276" s="83" t="s">
        <v>7019</v>
      </c>
      <c r="K1276" s="83" t="s">
        <v>150</v>
      </c>
      <c r="L1276" s="83" t="s">
        <v>151</v>
      </c>
      <c r="M1276" s="83" t="s">
        <v>152</v>
      </c>
      <c r="N1276" s="98" t="s">
        <v>7121</v>
      </c>
      <c r="O1276" s="98" t="s">
        <v>162</v>
      </c>
      <c r="P1276" s="99" t="str">
        <f>IFERROR(__xludf.DUMMYFUNCTION("IFERROR(VLOOKUP(AS1276,IMPORTRANGE(""https://docs.google.com/spreadsheets/d/1juPI-Fb8LD0YtltB2mlGEnp_R3UVu1t3wSFPzgCyHXE/edit?gid=0#gid=0"",""GERAL!A2:C""),3,0),""-"")"),"-")</f>
        <v>-</v>
      </c>
      <c r="Q1276" s="101" t="s">
        <v>156</v>
      </c>
      <c r="R1276" s="98">
        <v>18.0</v>
      </c>
      <c r="S1276" s="98">
        <v>0.0</v>
      </c>
      <c r="T1276" s="98">
        <v>0.0</v>
      </c>
      <c r="U1276" s="98">
        <v>1.0</v>
      </c>
      <c r="V1276" s="98">
        <v>0.0</v>
      </c>
      <c r="W1276" s="98">
        <v>0.0</v>
      </c>
      <c r="X1276" s="98">
        <v>1.0</v>
      </c>
      <c r="Y1276" s="98">
        <v>0.0</v>
      </c>
      <c r="Z1276" s="98">
        <v>0.0</v>
      </c>
      <c r="AA1276" s="98">
        <v>1.0</v>
      </c>
      <c r="AB1276" s="98">
        <v>0.0</v>
      </c>
      <c r="AC1276" s="98">
        <v>1.0</v>
      </c>
      <c r="AD1276" s="98">
        <v>0.0</v>
      </c>
      <c r="AE1276" s="98">
        <v>0.0</v>
      </c>
      <c r="AF1276" s="98">
        <v>1.0</v>
      </c>
      <c r="AG1276" s="98">
        <v>0.0</v>
      </c>
      <c r="AH1276" s="98">
        <v>0.0</v>
      </c>
      <c r="AI1276" s="98">
        <v>0.0</v>
      </c>
      <c r="AJ1276" s="98">
        <v>1.0</v>
      </c>
      <c r="AK1276" s="98">
        <v>0.0</v>
      </c>
      <c r="AL1276" s="98">
        <v>0.0</v>
      </c>
      <c r="AM1276" s="98">
        <v>0.0</v>
      </c>
      <c r="AN1276" s="98">
        <v>0.0</v>
      </c>
      <c r="AO1276" s="98">
        <v>0.0</v>
      </c>
      <c r="AP1276" s="98">
        <v>4.0</v>
      </c>
      <c r="AQ1276" s="98" t="s">
        <v>7129</v>
      </c>
      <c r="AR1276" s="102">
        <v>46231.0</v>
      </c>
      <c r="AS1276" s="83">
        <v>1176093.0</v>
      </c>
    </row>
    <row r="1277" ht="15.75" customHeight="1">
      <c r="A1277" s="111" t="s">
        <v>1535</v>
      </c>
      <c r="B1277" s="83" t="s">
        <v>7016</v>
      </c>
      <c r="C1277" s="83" t="s">
        <v>68</v>
      </c>
      <c r="D1277" s="112">
        <v>1179277.0</v>
      </c>
      <c r="E1277" s="83"/>
      <c r="F1277" s="83">
        <v>2.9458994E7</v>
      </c>
      <c r="G1277" s="91" t="str">
        <f>IFERROR(__xludf.DUMMYFUNCTION("XLOOKUP(AS1277,
IMPORTRANGE(""https://docs.google.com/spreadsheets/d/1YM-djuOLXomrZ9W0B4TyIBsVWnXY4EIOFD9HY-qGfv0/edit?usp=sharing"",""GERAL!BG5:BG""),
IMPORTRANGE(""https://docs.google.com/spreadsheets/d/1YM-djuOLXomrZ9W0B4TyIBsVWnXY4EIOFD9HY-qGfv0/edit?"&amp;"usp=sharing"",""GERAL!G5:G""),
""CÓD. SEC NÃO ENCONTRADO NA PLANILHA DE MATRÍCULA"")"),"CENTRO REGIONAL DE ENSINO MÉDIO COM INTERMEDIAÇÃO TECNOLÓGICA MÉDIO RIO DE CONTAS")</f>
        <v>CENTRO REGIONAL DE ENSINO MÉDIO COM INTERMEDIAÇÃO TECNOLÓGICA MÉDIO RIO DE CONTAS</v>
      </c>
      <c r="H1277" s="114" t="s">
        <v>7136</v>
      </c>
      <c r="I1277" s="91" t="s">
        <v>7137</v>
      </c>
      <c r="J1277" s="136" t="s">
        <v>7138</v>
      </c>
      <c r="K1277" s="83" t="s">
        <v>150</v>
      </c>
      <c r="L1277" s="83" t="s">
        <v>151</v>
      </c>
      <c r="M1277" s="83" t="s">
        <v>230</v>
      </c>
      <c r="N1277" s="98" t="s">
        <v>7139</v>
      </c>
      <c r="O1277" s="98" t="s">
        <v>155</v>
      </c>
      <c r="P1277" s="99" t="str">
        <f>IFERROR(__xludf.DUMMYFUNCTION("IFERROR(VLOOKUP(AS1277,IMPORTRANGE(""https://docs.google.com/spreadsheets/d/1juPI-Fb8LD0YtltB2mlGEnp_R3UVu1t3wSFPzgCyHXE/edit?gid=0#gid=0"",""GERAL!A2:C""),3,0),""-"")"),"-")</f>
        <v>-</v>
      </c>
      <c r="Q1277" s="98" t="s">
        <v>171</v>
      </c>
      <c r="R1277" s="98" t="s">
        <v>171</v>
      </c>
      <c r="S1277" s="98" t="s">
        <v>171</v>
      </c>
      <c r="T1277" s="98" t="s">
        <v>171</v>
      </c>
      <c r="U1277" s="98" t="s">
        <v>171</v>
      </c>
      <c r="V1277" s="98" t="s">
        <v>171</v>
      </c>
      <c r="W1277" s="98" t="s">
        <v>171</v>
      </c>
      <c r="X1277" s="98" t="s">
        <v>171</v>
      </c>
      <c r="Y1277" s="98" t="s">
        <v>171</v>
      </c>
      <c r="Z1277" s="98" t="s">
        <v>171</v>
      </c>
      <c r="AA1277" s="98" t="s">
        <v>171</v>
      </c>
      <c r="AB1277" s="98" t="s">
        <v>171</v>
      </c>
      <c r="AC1277" s="98" t="s">
        <v>171</v>
      </c>
      <c r="AD1277" s="98" t="s">
        <v>171</v>
      </c>
      <c r="AE1277" s="98" t="s">
        <v>171</v>
      </c>
      <c r="AF1277" s="98" t="s">
        <v>171</v>
      </c>
      <c r="AG1277" s="98" t="s">
        <v>171</v>
      </c>
      <c r="AH1277" s="98" t="s">
        <v>171</v>
      </c>
      <c r="AI1277" s="98" t="s">
        <v>171</v>
      </c>
      <c r="AJ1277" s="98" t="s">
        <v>171</v>
      </c>
      <c r="AK1277" s="98" t="s">
        <v>171</v>
      </c>
      <c r="AL1277" s="98" t="s">
        <v>171</v>
      </c>
      <c r="AM1277" s="98" t="s">
        <v>171</v>
      </c>
      <c r="AN1277" s="98" t="s">
        <v>171</v>
      </c>
      <c r="AO1277" s="98" t="s">
        <v>171</v>
      </c>
      <c r="AP1277" s="98" t="s">
        <v>171</v>
      </c>
      <c r="AQ1277" s="98" t="s">
        <v>171</v>
      </c>
      <c r="AR1277" s="102">
        <v>46231.0</v>
      </c>
      <c r="AS1277" s="83">
        <v>1179277.0</v>
      </c>
    </row>
    <row r="1278" ht="15.75" customHeight="1">
      <c r="A1278" s="111" t="s">
        <v>1535</v>
      </c>
      <c r="B1278" s="83" t="s">
        <v>7016</v>
      </c>
      <c r="C1278" s="83" t="s">
        <v>68</v>
      </c>
      <c r="D1278" s="112">
        <v>1179659.0</v>
      </c>
      <c r="E1278" s="83"/>
      <c r="F1278" s="83">
        <v>2.94739E7</v>
      </c>
      <c r="G1278" s="91" t="str">
        <f>IFERROR(__xludf.DUMMYFUNCTION("XLOOKUP(AS1278,
IMPORTRANGE(""https://docs.google.com/spreadsheets/d/1YM-djuOLXomrZ9W0B4TyIBsVWnXY4EIOFD9HY-qGfv0/edit?usp=sharing"",""GERAL!BG5:BG""),
IMPORTRANGE(""https://docs.google.com/spreadsheets/d/1YM-djuOLXomrZ9W0B4TyIBsVWnXY4EIOFD9HY-qGfv0/edit?"&amp;"usp=sharing"",""GERAL!G5:G""),
""CÓD. SEC NÃO ENCONTRADO NA PLANILHA DE MATRÍCULA"")"),"CENTRO JUVENIL DE CIÊNCIA E CULTURA - CJCC JEQUIÉ")</f>
        <v>CENTRO JUVENIL DE CIÊNCIA E CULTURA - CJCC JEQUIÉ</v>
      </c>
      <c r="H1278" s="114" t="s">
        <v>7141</v>
      </c>
      <c r="I1278" s="91" t="s">
        <v>7142</v>
      </c>
      <c r="J1278" s="83" t="s">
        <v>7138</v>
      </c>
      <c r="K1278" s="83" t="s">
        <v>150</v>
      </c>
      <c r="L1278" s="83" t="s">
        <v>151</v>
      </c>
      <c r="M1278" s="83" t="s">
        <v>230</v>
      </c>
      <c r="N1278" s="98" t="s">
        <v>7145</v>
      </c>
      <c r="O1278" s="98" t="s">
        <v>155</v>
      </c>
      <c r="P1278" s="99" t="str">
        <f>IFERROR(__xludf.DUMMYFUNCTION("IFERROR(VLOOKUP(AS1278,IMPORTRANGE(""https://docs.google.com/spreadsheets/d/1juPI-Fb8LD0YtltB2mlGEnp_R3UVu1t3wSFPzgCyHXE/edit?gid=0#gid=0"",""GERAL!A2:C""),3,0),""-"")"),"-")</f>
        <v>-</v>
      </c>
      <c r="Q1278" s="101" t="s">
        <v>156</v>
      </c>
      <c r="R1278" s="98">
        <v>4.0</v>
      </c>
      <c r="S1278" s="98" t="s">
        <v>171</v>
      </c>
      <c r="T1278" s="98" t="s">
        <v>171</v>
      </c>
      <c r="U1278" s="98" t="s">
        <v>171</v>
      </c>
      <c r="V1278" s="98" t="s">
        <v>171</v>
      </c>
      <c r="W1278" s="98" t="s">
        <v>171</v>
      </c>
      <c r="X1278" s="98" t="s">
        <v>171</v>
      </c>
      <c r="Y1278" s="98" t="s">
        <v>171</v>
      </c>
      <c r="Z1278" s="98" t="s">
        <v>171</v>
      </c>
      <c r="AA1278" s="98" t="s">
        <v>171</v>
      </c>
      <c r="AB1278" s="98" t="s">
        <v>171</v>
      </c>
      <c r="AC1278" s="98" t="s">
        <v>171</v>
      </c>
      <c r="AD1278" s="98" t="s">
        <v>171</v>
      </c>
      <c r="AE1278" s="98" t="s">
        <v>171</v>
      </c>
      <c r="AF1278" s="98" t="s">
        <v>171</v>
      </c>
      <c r="AG1278" s="98" t="s">
        <v>171</v>
      </c>
      <c r="AH1278" s="98" t="s">
        <v>171</v>
      </c>
      <c r="AI1278" s="98" t="s">
        <v>171</v>
      </c>
      <c r="AJ1278" s="98" t="s">
        <v>171</v>
      </c>
      <c r="AK1278" s="98" t="s">
        <v>171</v>
      </c>
      <c r="AL1278" s="98" t="s">
        <v>171</v>
      </c>
      <c r="AM1278" s="98" t="s">
        <v>171</v>
      </c>
      <c r="AN1278" s="98" t="s">
        <v>171</v>
      </c>
      <c r="AO1278" s="98" t="s">
        <v>171</v>
      </c>
      <c r="AP1278" s="98" t="s">
        <v>171</v>
      </c>
      <c r="AQ1278" s="98" t="s">
        <v>171</v>
      </c>
      <c r="AR1278" s="102">
        <v>46231.0</v>
      </c>
      <c r="AS1278" s="83">
        <v>1179659.0</v>
      </c>
    </row>
    <row r="1279" ht="15.75" customHeight="1">
      <c r="A1279" s="111" t="s">
        <v>1535</v>
      </c>
      <c r="B1279" s="83" t="s">
        <v>7016</v>
      </c>
      <c r="C1279" s="83" t="s">
        <v>68</v>
      </c>
      <c r="D1279" s="112">
        <v>1117892.0</v>
      </c>
      <c r="E1279" s="83"/>
      <c r="F1279" s="83">
        <v>2.9229529E7</v>
      </c>
      <c r="G1279" s="91" t="str">
        <f>IFERROR(__xludf.DUMMYFUNCTION("XLOOKUP(AS1279,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EM GESTÃO E TECNOLOGIA DA INFORMAÇÃO REGIS PACHECO")</f>
        <v>CENTRO ESTADUAL DE EDUCAÇÃO PROFISSIONAL EM GESTÃO E TECNOLOGIA DA INFORMAÇÃO REGIS PACHECO</v>
      </c>
      <c r="H1279" s="114" t="s">
        <v>7153</v>
      </c>
      <c r="I1279" s="91" t="s">
        <v>7154</v>
      </c>
      <c r="J1279" s="136" t="s">
        <v>7155</v>
      </c>
      <c r="K1279" s="83" t="s">
        <v>150</v>
      </c>
      <c r="L1279" s="83" t="s">
        <v>151</v>
      </c>
      <c r="M1279" s="83" t="s">
        <v>230</v>
      </c>
      <c r="N1279" s="98" t="s">
        <v>7156</v>
      </c>
      <c r="O1279" s="98" t="s">
        <v>155</v>
      </c>
      <c r="P1279" s="99" t="str">
        <f>IFERROR(__xludf.DUMMYFUNCTION("IFERROR(VLOOKUP(AS1279,IMPORTRANGE(""https://docs.google.com/spreadsheets/d/1juPI-Fb8LD0YtltB2mlGEnp_R3UVu1t3wSFPzgCyHXE/edit?gid=0#gid=0"",""GERAL!A2:C""),3,0),""-"")"),"-")</f>
        <v>-</v>
      </c>
      <c r="Q1279" s="101" t="s">
        <v>156</v>
      </c>
      <c r="R1279" s="98">
        <v>34.0</v>
      </c>
      <c r="S1279" s="98">
        <v>2.0</v>
      </c>
      <c r="T1279" s="98">
        <v>4.0</v>
      </c>
      <c r="U1279" s="98">
        <v>1.0</v>
      </c>
      <c r="V1279" s="98">
        <v>2.0</v>
      </c>
      <c r="W1279" s="98">
        <v>8.0</v>
      </c>
      <c r="X1279" s="98">
        <v>1.0</v>
      </c>
      <c r="Y1279" s="98">
        <v>0.0</v>
      </c>
      <c r="Z1279" s="98">
        <v>0.0</v>
      </c>
      <c r="AA1279" s="98">
        <v>1.0</v>
      </c>
      <c r="AB1279" s="98">
        <v>0.0</v>
      </c>
      <c r="AC1279" s="98">
        <v>1.0</v>
      </c>
      <c r="AD1279" s="98">
        <v>0.0</v>
      </c>
      <c r="AE1279" s="98">
        <v>0.0</v>
      </c>
      <c r="AF1279" s="98">
        <v>1.0</v>
      </c>
      <c r="AG1279" s="98">
        <v>1.0</v>
      </c>
      <c r="AH1279" s="98">
        <v>0.0</v>
      </c>
      <c r="AI1279" s="98">
        <v>0.0</v>
      </c>
      <c r="AJ1279" s="98">
        <v>1.0</v>
      </c>
      <c r="AK1279" s="98">
        <v>0.0</v>
      </c>
      <c r="AL1279" s="98">
        <v>0.0</v>
      </c>
      <c r="AM1279" s="98">
        <v>0.0</v>
      </c>
      <c r="AN1279" s="98">
        <v>0.0</v>
      </c>
      <c r="AO1279" s="98">
        <v>0.0</v>
      </c>
      <c r="AP1279" s="98">
        <v>0.0</v>
      </c>
      <c r="AQ1279" s="98" t="s">
        <v>7175</v>
      </c>
      <c r="AR1279" s="102">
        <v>46231.0</v>
      </c>
      <c r="AS1279" s="83">
        <v>1117892.0</v>
      </c>
    </row>
    <row r="1280" ht="15.75" customHeight="1">
      <c r="A1280" s="111" t="s">
        <v>1535</v>
      </c>
      <c r="B1280" s="83" t="s">
        <v>7016</v>
      </c>
      <c r="C1280" s="83" t="s">
        <v>68</v>
      </c>
      <c r="D1280" s="112">
        <v>1178421.0</v>
      </c>
      <c r="E1280" s="83"/>
      <c r="F1280" s="83">
        <v>2.9397324E7</v>
      </c>
      <c r="G1280" s="91" t="str">
        <f>IFERROR(__xludf.DUMMYFUNCTION("XLOOKUP(AS1280,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PEDAGÓGICO DE JEQUIÉ - CAP")</f>
        <v>CENTRO DE APOIO PEDAGÓGICO DE JEQUIÉ - CAP</v>
      </c>
      <c r="H1280" s="114" t="s">
        <v>7176</v>
      </c>
      <c r="I1280" s="91" t="s">
        <v>7177</v>
      </c>
      <c r="J1280" s="83" t="s">
        <v>7178</v>
      </c>
      <c r="K1280" s="83" t="s">
        <v>150</v>
      </c>
      <c r="L1280" s="83" t="s">
        <v>151</v>
      </c>
      <c r="M1280" s="83" t="s">
        <v>230</v>
      </c>
      <c r="N1280" s="98" t="s">
        <v>7179</v>
      </c>
      <c r="O1280" s="98" t="s">
        <v>155</v>
      </c>
      <c r="P1280" s="99" t="str">
        <f>IFERROR(__xludf.DUMMYFUNCTION("IFERROR(VLOOKUP(AS1280,IMPORTRANGE(""https://docs.google.com/spreadsheets/d/1juPI-Fb8LD0YtltB2mlGEnp_R3UVu1t3wSFPzgCyHXE/edit?gid=0#gid=0"",""GERAL!A2:C""),3,0),""-"")"),"-")</f>
        <v>-</v>
      </c>
      <c r="Q1280" s="101" t="s">
        <v>156</v>
      </c>
      <c r="R1280" s="98">
        <v>30.0</v>
      </c>
      <c r="S1280" s="98" t="s">
        <v>171</v>
      </c>
      <c r="T1280" s="98" t="s">
        <v>171</v>
      </c>
      <c r="U1280" s="98" t="s">
        <v>171</v>
      </c>
      <c r="V1280" s="98" t="s">
        <v>171</v>
      </c>
      <c r="W1280" s="98" t="s">
        <v>171</v>
      </c>
      <c r="X1280" s="98" t="s">
        <v>171</v>
      </c>
      <c r="Y1280" s="98" t="s">
        <v>171</v>
      </c>
      <c r="Z1280" s="98" t="s">
        <v>171</v>
      </c>
      <c r="AA1280" s="98" t="s">
        <v>171</v>
      </c>
      <c r="AB1280" s="98" t="s">
        <v>171</v>
      </c>
      <c r="AC1280" s="98" t="s">
        <v>171</v>
      </c>
      <c r="AD1280" s="98" t="s">
        <v>171</v>
      </c>
      <c r="AE1280" s="98" t="s">
        <v>171</v>
      </c>
      <c r="AF1280" s="98" t="s">
        <v>171</v>
      </c>
      <c r="AG1280" s="98" t="s">
        <v>171</v>
      </c>
      <c r="AH1280" s="98" t="s">
        <v>171</v>
      </c>
      <c r="AI1280" s="98" t="s">
        <v>171</v>
      </c>
      <c r="AJ1280" s="98" t="s">
        <v>171</v>
      </c>
      <c r="AK1280" s="98" t="s">
        <v>171</v>
      </c>
      <c r="AL1280" s="98" t="s">
        <v>171</v>
      </c>
      <c r="AM1280" s="98" t="s">
        <v>171</v>
      </c>
      <c r="AN1280" s="98" t="s">
        <v>171</v>
      </c>
      <c r="AO1280" s="98" t="s">
        <v>171</v>
      </c>
      <c r="AP1280" s="98">
        <v>1.0</v>
      </c>
      <c r="AQ1280" s="98" t="s">
        <v>7189</v>
      </c>
      <c r="AR1280" s="102">
        <v>46231.0</v>
      </c>
      <c r="AS1280" s="83">
        <v>1178421.0</v>
      </c>
    </row>
    <row r="1281" ht="15.75" customHeight="1">
      <c r="A1281" s="111" t="s">
        <v>1535</v>
      </c>
      <c r="B1281" s="83" t="s">
        <v>7016</v>
      </c>
      <c r="C1281" s="83" t="s">
        <v>164</v>
      </c>
      <c r="D1281" s="112">
        <v>1117850.0</v>
      </c>
      <c r="E1281" s="83">
        <v>1178630.0</v>
      </c>
      <c r="F1281" s="83"/>
      <c r="G1281" s="91" t="str">
        <f>IFERROR(__xludf.DUMMYFUNCTION("XLOOKUP(AS1281,
IMPORTRANGE(""https://docs.google.com/spreadsheets/d/1YM-djuOLXomrZ9W0B4TyIBsVWnXY4EIOFD9HY-qGfv0/edit?usp=sharing"",""GERAL!BG5:BG""),
IMPORTRANGE(""https://docs.google.com/spreadsheets/d/1YM-djuOLXomrZ9W0B4TyIBsVWnXY4EIOFD9HY-qGfv0/edit?"&amp;"usp=sharing"",""GERAL!G5:G""),
""CÓD. SEC NÃO ENCONTRADO NA PLANILHA DE MATRÍCULA"")"),"ANEXO-COLÉGIO ESTADUAL LUIZ NAVARRO DE BRITO - PRESIDIO PENAL FAZENDA SITIO PANGOLANDIA")</f>
        <v>ANEXO-COLÉGIO ESTADUAL LUIZ NAVARRO DE BRITO - PRESIDIO PENAL FAZENDA SITIO PANGOLANDIA</v>
      </c>
      <c r="H1281" s="114" t="s">
        <v>7195</v>
      </c>
      <c r="I1281" s="91" t="s">
        <v>7196</v>
      </c>
      <c r="J1281" s="136" t="s">
        <v>7197</v>
      </c>
      <c r="K1281" s="83" t="s">
        <v>1301</v>
      </c>
      <c r="L1281" s="83" t="s">
        <v>168</v>
      </c>
      <c r="M1281" s="83" t="s">
        <v>169</v>
      </c>
      <c r="N1281" s="115" t="s">
        <v>170</v>
      </c>
      <c r="O1281" s="98" t="s">
        <v>155</v>
      </c>
      <c r="P1281" s="99" t="str">
        <f>IFERROR(__xludf.DUMMYFUNCTION("IFERROR(VLOOKUP(AS1281,IMPORTRANGE(""https://docs.google.com/spreadsheets/d/1juPI-Fb8LD0YtltB2mlGEnp_R3UVu1t3wSFPzgCyHXE/edit?gid=0#gid=0"",""GERAL!A2:C""),3,0),""-"")"),"-")</f>
        <v>-</v>
      </c>
      <c r="Q1281" s="98" t="s">
        <v>171</v>
      </c>
      <c r="R1281" s="98">
        <v>5.0</v>
      </c>
      <c r="S1281" s="98" t="s">
        <v>171</v>
      </c>
      <c r="T1281" s="98" t="s">
        <v>171</v>
      </c>
      <c r="U1281" s="98" t="s">
        <v>171</v>
      </c>
      <c r="V1281" s="98" t="s">
        <v>171</v>
      </c>
      <c r="W1281" s="98" t="s">
        <v>171</v>
      </c>
      <c r="X1281" s="98" t="s">
        <v>171</v>
      </c>
      <c r="Y1281" s="98" t="s">
        <v>171</v>
      </c>
      <c r="Z1281" s="98" t="s">
        <v>171</v>
      </c>
      <c r="AA1281" s="98" t="s">
        <v>171</v>
      </c>
      <c r="AB1281" s="98" t="s">
        <v>171</v>
      </c>
      <c r="AC1281" s="98" t="s">
        <v>171</v>
      </c>
      <c r="AD1281" s="98" t="s">
        <v>171</v>
      </c>
      <c r="AE1281" s="98" t="s">
        <v>171</v>
      </c>
      <c r="AF1281" s="98" t="s">
        <v>171</v>
      </c>
      <c r="AG1281" s="98" t="s">
        <v>171</v>
      </c>
      <c r="AH1281" s="98" t="s">
        <v>171</v>
      </c>
      <c r="AI1281" s="98" t="s">
        <v>171</v>
      </c>
      <c r="AJ1281" s="98" t="s">
        <v>171</v>
      </c>
      <c r="AK1281" s="98" t="s">
        <v>171</v>
      </c>
      <c r="AL1281" s="98" t="s">
        <v>171</v>
      </c>
      <c r="AM1281" s="98" t="s">
        <v>171</v>
      </c>
      <c r="AN1281" s="98" t="s">
        <v>171</v>
      </c>
      <c r="AO1281" s="98" t="s">
        <v>171</v>
      </c>
      <c r="AP1281" s="98" t="s">
        <v>171</v>
      </c>
      <c r="AQ1281" s="98" t="s">
        <v>171</v>
      </c>
      <c r="AR1281" s="102">
        <v>46231.0</v>
      </c>
      <c r="AS1281" s="83">
        <v>1178630.0</v>
      </c>
    </row>
    <row r="1282" ht="15.75" customHeight="1">
      <c r="A1282" s="111" t="s">
        <v>1535</v>
      </c>
      <c r="B1282" s="83" t="s">
        <v>7016</v>
      </c>
      <c r="C1282" s="83" t="s">
        <v>164</v>
      </c>
      <c r="D1282" s="112">
        <v>1117850.0</v>
      </c>
      <c r="E1282" s="83">
        <v>1178253.0</v>
      </c>
      <c r="F1282" s="83"/>
      <c r="G1282" s="91" t="str">
        <f>IFERROR(__xludf.DUMMYFUNCTION("XLOOKUP(AS1282,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LUIZ NAVARRO DE BRITO - DISTRITO DE ITAJURU")</f>
        <v>ANEXO - COLÉGIO ESTADUAL LUIZ NAVARRO DE BRITO - DISTRITO DE ITAJURU</v>
      </c>
      <c r="H1282" s="114" t="s">
        <v>7198</v>
      </c>
      <c r="I1282" s="91" t="s">
        <v>7199</v>
      </c>
      <c r="J1282" s="136" t="s">
        <v>7200</v>
      </c>
      <c r="K1282" s="83" t="s">
        <v>839</v>
      </c>
      <c r="L1282" s="83" t="s">
        <v>168</v>
      </c>
      <c r="M1282" s="83" t="s">
        <v>169</v>
      </c>
      <c r="N1282" s="115" t="s">
        <v>170</v>
      </c>
      <c r="O1282" s="98" t="s">
        <v>155</v>
      </c>
      <c r="P1282" s="99" t="str">
        <f>IFERROR(__xludf.DUMMYFUNCTION("IFERROR(VLOOKUP(AS1282,IMPORTRANGE(""https://docs.google.com/spreadsheets/d/1juPI-Fb8LD0YtltB2mlGEnp_R3UVu1t3wSFPzgCyHXE/edit?gid=0#gid=0"",""GERAL!A2:C""),3,0),""-"")"),"CAMPO")</f>
        <v>CAMPO</v>
      </c>
      <c r="Q1282" s="98" t="s">
        <v>171</v>
      </c>
      <c r="R1282" s="98">
        <v>4.0</v>
      </c>
      <c r="S1282" s="98" t="s">
        <v>171</v>
      </c>
      <c r="T1282" s="98" t="s">
        <v>171</v>
      </c>
      <c r="U1282" s="98" t="s">
        <v>171</v>
      </c>
      <c r="V1282" s="98" t="s">
        <v>171</v>
      </c>
      <c r="W1282" s="98" t="s">
        <v>171</v>
      </c>
      <c r="X1282" s="98" t="s">
        <v>171</v>
      </c>
      <c r="Y1282" s="98" t="s">
        <v>171</v>
      </c>
      <c r="Z1282" s="98" t="s">
        <v>171</v>
      </c>
      <c r="AA1282" s="98" t="s">
        <v>171</v>
      </c>
      <c r="AB1282" s="98" t="s">
        <v>171</v>
      </c>
      <c r="AC1282" s="98" t="s">
        <v>171</v>
      </c>
      <c r="AD1282" s="98" t="s">
        <v>171</v>
      </c>
      <c r="AE1282" s="98" t="s">
        <v>171</v>
      </c>
      <c r="AF1282" s="98" t="s">
        <v>171</v>
      </c>
      <c r="AG1282" s="98" t="s">
        <v>171</v>
      </c>
      <c r="AH1282" s="98" t="s">
        <v>171</v>
      </c>
      <c r="AI1282" s="98" t="s">
        <v>171</v>
      </c>
      <c r="AJ1282" s="98" t="s">
        <v>171</v>
      </c>
      <c r="AK1282" s="98" t="s">
        <v>171</v>
      </c>
      <c r="AL1282" s="98" t="s">
        <v>171</v>
      </c>
      <c r="AM1282" s="98" t="s">
        <v>171</v>
      </c>
      <c r="AN1282" s="98" t="s">
        <v>171</v>
      </c>
      <c r="AO1282" s="98" t="s">
        <v>171</v>
      </c>
      <c r="AP1282" s="98" t="s">
        <v>171</v>
      </c>
      <c r="AQ1282" s="98" t="s">
        <v>171</v>
      </c>
      <c r="AR1282" s="102">
        <v>46231.0</v>
      </c>
      <c r="AS1282" s="83">
        <v>1178253.0</v>
      </c>
    </row>
    <row r="1283" ht="15.75" customHeight="1">
      <c r="A1283" s="111" t="s">
        <v>1535</v>
      </c>
      <c r="B1283" s="83" t="s">
        <v>7016</v>
      </c>
      <c r="C1283" s="83" t="s">
        <v>164</v>
      </c>
      <c r="D1283" s="112">
        <v>1117850.0</v>
      </c>
      <c r="E1283" s="83">
        <v>1178252.0</v>
      </c>
      <c r="F1283" s="83"/>
      <c r="G1283" s="91" t="str">
        <f>IFERROR(__xludf.DUMMYFUNCTION("XLOOKUP(AS1283,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LUIZ NAVARRO DE BRITO - DISTRITO DE FLORESTAL")</f>
        <v>ANEXO - COLÉGIO ESTADUAL LUIZ NAVARRO DE BRITO - DISTRITO DE FLORESTAL</v>
      </c>
      <c r="H1283" s="114" t="s">
        <v>7203</v>
      </c>
      <c r="I1283" s="91" t="s">
        <v>7204</v>
      </c>
      <c r="J1283" s="136" t="s">
        <v>7205</v>
      </c>
      <c r="K1283" s="83" t="s">
        <v>1765</v>
      </c>
      <c r="L1283" s="83" t="s">
        <v>168</v>
      </c>
      <c r="M1283" s="83" t="s">
        <v>169</v>
      </c>
      <c r="N1283" s="115" t="s">
        <v>170</v>
      </c>
      <c r="O1283" s="98" t="s">
        <v>155</v>
      </c>
      <c r="P1283" s="99" t="str">
        <f>IFERROR(__xludf.DUMMYFUNCTION("IFERROR(VLOOKUP(AS1283,IMPORTRANGE(""https://docs.google.com/spreadsheets/d/1juPI-Fb8LD0YtltB2mlGEnp_R3UVu1t3wSFPzgCyHXE/edit?gid=0#gid=0"",""GERAL!A2:C""),3,0),""-"")"),"CAMPO")</f>
        <v>CAMPO</v>
      </c>
      <c r="Q1283" s="98" t="s">
        <v>171</v>
      </c>
      <c r="R1283" s="98">
        <v>3.0</v>
      </c>
      <c r="S1283" s="98" t="s">
        <v>171</v>
      </c>
      <c r="T1283" s="98" t="s">
        <v>171</v>
      </c>
      <c r="U1283" s="98" t="s">
        <v>171</v>
      </c>
      <c r="V1283" s="98" t="s">
        <v>171</v>
      </c>
      <c r="W1283" s="98" t="s">
        <v>171</v>
      </c>
      <c r="X1283" s="98" t="s">
        <v>171</v>
      </c>
      <c r="Y1283" s="98" t="s">
        <v>171</v>
      </c>
      <c r="Z1283" s="98" t="s">
        <v>171</v>
      </c>
      <c r="AA1283" s="98" t="s">
        <v>171</v>
      </c>
      <c r="AB1283" s="98" t="s">
        <v>171</v>
      </c>
      <c r="AC1283" s="98" t="s">
        <v>171</v>
      </c>
      <c r="AD1283" s="98" t="s">
        <v>171</v>
      </c>
      <c r="AE1283" s="98" t="s">
        <v>171</v>
      </c>
      <c r="AF1283" s="98" t="s">
        <v>171</v>
      </c>
      <c r="AG1283" s="98" t="s">
        <v>171</v>
      </c>
      <c r="AH1283" s="98" t="s">
        <v>171</v>
      </c>
      <c r="AI1283" s="98" t="s">
        <v>171</v>
      </c>
      <c r="AJ1283" s="98" t="s">
        <v>171</v>
      </c>
      <c r="AK1283" s="98" t="s">
        <v>171</v>
      </c>
      <c r="AL1283" s="98" t="s">
        <v>171</v>
      </c>
      <c r="AM1283" s="98" t="s">
        <v>171</v>
      </c>
      <c r="AN1283" s="98" t="s">
        <v>171</v>
      </c>
      <c r="AO1283" s="98" t="s">
        <v>171</v>
      </c>
      <c r="AP1283" s="98" t="s">
        <v>171</v>
      </c>
      <c r="AQ1283" s="98" t="s">
        <v>171</v>
      </c>
      <c r="AR1283" s="102">
        <v>46231.0</v>
      </c>
      <c r="AS1283" s="83">
        <v>1178252.0</v>
      </c>
    </row>
    <row r="1284" ht="15.75" customHeight="1">
      <c r="A1284" s="111" t="s">
        <v>1535</v>
      </c>
      <c r="B1284" s="83" t="s">
        <v>7016</v>
      </c>
      <c r="C1284" s="83" t="s">
        <v>164</v>
      </c>
      <c r="D1284" s="112">
        <v>1179277.0</v>
      </c>
      <c r="E1284" s="83">
        <v>1178633.0</v>
      </c>
      <c r="F1284" s="83"/>
      <c r="G1284" s="91" t="str">
        <f>IFERROR(__xludf.DUMMYFUNCTION("XLOOKUP(AS1284,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MÉDIO RIO DE CONTAS - DISTRITO DE NOVA ESPERANÇA")</f>
        <v>ANEXO - CEMIT MÉDIO RIO DE CONTAS - DISTRITO DE NOVA ESPERANÇA</v>
      </c>
      <c r="H1284" s="114" t="s">
        <v>7214</v>
      </c>
      <c r="I1284" s="91" t="s">
        <v>7216</v>
      </c>
      <c r="J1284" s="136" t="s">
        <v>149</v>
      </c>
      <c r="K1284" s="83" t="s">
        <v>315</v>
      </c>
      <c r="L1284" s="83" t="s">
        <v>168</v>
      </c>
      <c r="M1284" s="83" t="s">
        <v>169</v>
      </c>
      <c r="N1284" s="115" t="s">
        <v>170</v>
      </c>
      <c r="O1284" s="98" t="s">
        <v>155</v>
      </c>
      <c r="P1284" s="99" t="str">
        <f>IFERROR(__xludf.DUMMYFUNCTION("IFERROR(VLOOKUP(AS1284,IMPORTRANGE(""https://docs.google.com/spreadsheets/d/1juPI-Fb8LD0YtltB2mlGEnp_R3UVu1t3wSFPzgCyHXE/edit?gid=0#gid=0"",""GERAL!A2:C""),3,0),""-"")"),"-")</f>
        <v>-</v>
      </c>
      <c r="Q1284" s="98" t="s">
        <v>171</v>
      </c>
      <c r="R1284" s="98">
        <v>3.0</v>
      </c>
      <c r="S1284" s="98" t="s">
        <v>171</v>
      </c>
      <c r="T1284" s="98" t="s">
        <v>171</v>
      </c>
      <c r="U1284" s="98" t="s">
        <v>171</v>
      </c>
      <c r="V1284" s="98" t="s">
        <v>171</v>
      </c>
      <c r="W1284" s="98" t="s">
        <v>171</v>
      </c>
      <c r="X1284" s="98" t="s">
        <v>171</v>
      </c>
      <c r="Y1284" s="98" t="s">
        <v>171</v>
      </c>
      <c r="Z1284" s="98" t="s">
        <v>171</v>
      </c>
      <c r="AA1284" s="98" t="s">
        <v>171</v>
      </c>
      <c r="AB1284" s="98" t="s">
        <v>171</v>
      </c>
      <c r="AC1284" s="98" t="s">
        <v>171</v>
      </c>
      <c r="AD1284" s="98" t="s">
        <v>171</v>
      </c>
      <c r="AE1284" s="98" t="s">
        <v>171</v>
      </c>
      <c r="AF1284" s="98" t="s">
        <v>171</v>
      </c>
      <c r="AG1284" s="98" t="s">
        <v>171</v>
      </c>
      <c r="AH1284" s="98" t="s">
        <v>171</v>
      </c>
      <c r="AI1284" s="98" t="s">
        <v>171</v>
      </c>
      <c r="AJ1284" s="98" t="s">
        <v>171</v>
      </c>
      <c r="AK1284" s="98" t="s">
        <v>171</v>
      </c>
      <c r="AL1284" s="98" t="s">
        <v>171</v>
      </c>
      <c r="AM1284" s="98" t="s">
        <v>171</v>
      </c>
      <c r="AN1284" s="98" t="s">
        <v>171</v>
      </c>
      <c r="AO1284" s="98" t="s">
        <v>171</v>
      </c>
      <c r="AP1284" s="98" t="s">
        <v>171</v>
      </c>
      <c r="AQ1284" s="98" t="s">
        <v>171</v>
      </c>
      <c r="AR1284" s="102">
        <v>46231.0</v>
      </c>
      <c r="AS1284" s="83">
        <v>1178633.0</v>
      </c>
    </row>
    <row r="1285" ht="15.75" customHeight="1">
      <c r="A1285" s="111" t="s">
        <v>1535</v>
      </c>
      <c r="B1285" s="83" t="s">
        <v>7222</v>
      </c>
      <c r="C1285" s="83" t="s">
        <v>68</v>
      </c>
      <c r="D1285" s="98">
        <v>1178260.0</v>
      </c>
      <c r="E1285" s="83"/>
      <c r="F1285" s="83">
        <v>2.9457602E7</v>
      </c>
      <c r="G1285" s="91" t="str">
        <f>IFERROR(__xludf.DUMMYFUNCTION("XLOOKUP(AS1285,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GILDA RAMOS DOS SANTOS")</f>
        <v>COLÉGIO ESTADUAL DE TEMPO INTEGRAL GILDA RAMOS DOS SANTOS</v>
      </c>
      <c r="H1285" s="119" t="s">
        <v>7223</v>
      </c>
      <c r="I1285" s="91" t="s">
        <v>7224</v>
      </c>
      <c r="J1285" s="83" t="s">
        <v>149</v>
      </c>
      <c r="K1285" s="83" t="s">
        <v>150</v>
      </c>
      <c r="L1285" s="83" t="s">
        <v>151</v>
      </c>
      <c r="M1285" s="83" t="s">
        <v>230</v>
      </c>
      <c r="N1285" s="98" t="s">
        <v>7225</v>
      </c>
      <c r="O1285" s="98" t="s">
        <v>155</v>
      </c>
      <c r="P1285" s="99" t="str">
        <f>IFERROR(__xludf.DUMMYFUNCTION("IFERROR(VLOOKUP(AS1285,IMPORTRANGE(""https://docs.google.com/spreadsheets/d/1juPI-Fb8LD0YtltB2mlGEnp_R3UVu1t3wSFPzgCyHXE/edit?gid=0#gid=0"",""GERAL!A2:C""),3,0),""-"")"),"-")</f>
        <v>-</v>
      </c>
      <c r="Q1285" s="83"/>
      <c r="R1285" s="83"/>
      <c r="S1285" s="83"/>
      <c r="T1285" s="83"/>
      <c r="U1285" s="83"/>
      <c r="V1285" s="83"/>
      <c r="W1285" s="83"/>
      <c r="X1285" s="83"/>
      <c r="Y1285" s="83"/>
      <c r="Z1285" s="83"/>
      <c r="AA1285" s="83"/>
      <c r="AB1285" s="83"/>
      <c r="AC1285" s="83"/>
      <c r="AD1285" s="83"/>
      <c r="AE1285" s="83"/>
      <c r="AF1285" s="83"/>
      <c r="AG1285" s="83"/>
      <c r="AH1285" s="83"/>
      <c r="AI1285" s="83"/>
      <c r="AJ1285" s="83"/>
      <c r="AK1285" s="83"/>
      <c r="AL1285" s="83"/>
      <c r="AM1285" s="83"/>
      <c r="AN1285" s="83"/>
      <c r="AO1285" s="83"/>
      <c r="AP1285" s="83"/>
      <c r="AQ1285" s="83"/>
      <c r="AR1285" s="83"/>
      <c r="AS1285" s="83">
        <v>1178260.0</v>
      </c>
    </row>
    <row r="1286" ht="15.75" customHeight="1">
      <c r="A1286" s="111" t="s">
        <v>1535</v>
      </c>
      <c r="B1286" s="83" t="s">
        <v>7233</v>
      </c>
      <c r="C1286" s="83" t="s">
        <v>68</v>
      </c>
      <c r="D1286" s="112">
        <v>1118147.0</v>
      </c>
      <c r="E1286" s="83"/>
      <c r="F1286" s="83">
        <v>2.927379E7</v>
      </c>
      <c r="G1286" s="91" t="str">
        <f>IFERROR(__xludf.DUMMYFUNCTION("XLOOKUP(AS1286,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ALMERINDA MEIRA DO CARMO - TEMPO INTEGRAL")</f>
        <v>COLÉGIO ESTADUAL PROFESSORA ALMERINDA MEIRA DO CARMO - TEMPO INTEGRAL</v>
      </c>
      <c r="H1286" s="114" t="s">
        <v>7236</v>
      </c>
      <c r="I1286" s="91" t="s">
        <v>7237</v>
      </c>
      <c r="J1286" s="172" t="s">
        <v>149</v>
      </c>
      <c r="K1286" s="83" t="s">
        <v>150</v>
      </c>
      <c r="L1286" s="83" t="s">
        <v>151</v>
      </c>
      <c r="M1286" s="83" t="s">
        <v>152</v>
      </c>
      <c r="N1286" s="98" t="s">
        <v>7238</v>
      </c>
      <c r="O1286" s="98" t="s">
        <v>155</v>
      </c>
      <c r="P1286" s="99" t="str">
        <f>IFERROR(__xludf.DUMMYFUNCTION("IFERROR(VLOOKUP(AS1286,IMPORTRANGE(""https://docs.google.com/spreadsheets/d/1juPI-Fb8LD0YtltB2mlGEnp_R3UVu1t3wSFPzgCyHXE/edit?gid=0#gid=0"",""GERAL!A2:C""),3,0),""-"")"),"-")</f>
        <v>-</v>
      </c>
      <c r="Q1286" s="83"/>
      <c r="R1286" s="83"/>
      <c r="S1286" s="83"/>
      <c r="T1286" s="83"/>
      <c r="U1286" s="83"/>
      <c r="V1286" s="83"/>
      <c r="W1286" s="83"/>
      <c r="X1286" s="83"/>
      <c r="Y1286" s="83"/>
      <c r="Z1286" s="83"/>
      <c r="AA1286" s="83"/>
      <c r="AB1286" s="83"/>
      <c r="AC1286" s="83"/>
      <c r="AD1286" s="83"/>
      <c r="AE1286" s="83"/>
      <c r="AF1286" s="83"/>
      <c r="AG1286" s="83"/>
      <c r="AH1286" s="83"/>
      <c r="AI1286" s="83"/>
      <c r="AJ1286" s="83"/>
      <c r="AK1286" s="83"/>
      <c r="AL1286" s="83"/>
      <c r="AM1286" s="83"/>
      <c r="AN1286" s="83"/>
      <c r="AO1286" s="83"/>
      <c r="AP1286" s="83"/>
      <c r="AQ1286" s="83"/>
      <c r="AR1286" s="83"/>
      <c r="AS1286" s="83">
        <v>1118147.0</v>
      </c>
    </row>
    <row r="1287" ht="15.75" customHeight="1">
      <c r="A1287" s="111" t="s">
        <v>1535</v>
      </c>
      <c r="B1287" s="83" t="s">
        <v>7233</v>
      </c>
      <c r="C1287" s="83" t="s">
        <v>164</v>
      </c>
      <c r="D1287" s="112">
        <v>1118147.0</v>
      </c>
      <c r="E1287" s="98">
        <v>1179807.0</v>
      </c>
      <c r="F1287" s="83"/>
      <c r="G1287" s="91" t="str">
        <f>IFERROR(__xludf.DUMMYFUNCTION("XLOOKUP(AS1287,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ALMERINDA MEIRA DO CARMO - POVOADO DO SALGADO")</f>
        <v>ANEXO - COLÉGIO ESTADUAL PROFESSORA ALMERINDA MEIRA DO CARMO - POVOADO DO SALGADO</v>
      </c>
      <c r="H1287" s="119" t="s">
        <v>7240</v>
      </c>
      <c r="I1287" s="108" t="s">
        <v>7241</v>
      </c>
      <c r="J1287" s="136"/>
      <c r="K1287" s="83"/>
      <c r="L1287" s="83" t="s">
        <v>151</v>
      </c>
      <c r="M1287" s="83" t="s">
        <v>169</v>
      </c>
      <c r="N1287" s="115" t="s">
        <v>170</v>
      </c>
      <c r="O1287" s="98" t="s">
        <v>155</v>
      </c>
      <c r="P1287" s="99" t="str">
        <f>IFERROR(__xludf.DUMMYFUNCTION("IFERROR(VLOOKUP(AS1287,IMPORTRANGE(""https://docs.google.com/spreadsheets/d/1juPI-Fb8LD0YtltB2mlGEnp_R3UVu1t3wSFPzgCyHXE/edit?gid=0#gid=0"",""GERAL!A2:C""),3,0),""-"")"),"-")</f>
        <v>-</v>
      </c>
      <c r="Q1287" s="98"/>
      <c r="R1287" s="98"/>
      <c r="S1287" s="98"/>
      <c r="T1287" s="98"/>
      <c r="U1287" s="98"/>
      <c r="V1287" s="98"/>
      <c r="W1287" s="98"/>
      <c r="X1287" s="98"/>
      <c r="Y1287" s="98"/>
      <c r="Z1287" s="98"/>
      <c r="AA1287" s="98"/>
      <c r="AB1287" s="98"/>
      <c r="AC1287" s="98"/>
      <c r="AD1287" s="98"/>
      <c r="AE1287" s="98"/>
      <c r="AF1287" s="98"/>
      <c r="AG1287" s="98"/>
      <c r="AH1287" s="98"/>
      <c r="AI1287" s="98"/>
      <c r="AJ1287" s="98"/>
      <c r="AK1287" s="98"/>
      <c r="AL1287" s="98"/>
      <c r="AM1287" s="98"/>
      <c r="AN1287" s="98"/>
      <c r="AO1287" s="98"/>
      <c r="AP1287" s="98"/>
      <c r="AQ1287" s="98"/>
      <c r="AR1287" s="98"/>
      <c r="AS1287" s="98">
        <v>1179807.0</v>
      </c>
    </row>
    <row r="1288" ht="15.75" customHeight="1">
      <c r="A1288" s="111" t="s">
        <v>1535</v>
      </c>
      <c r="B1288" s="83" t="s">
        <v>7233</v>
      </c>
      <c r="C1288" s="83" t="s">
        <v>164</v>
      </c>
      <c r="D1288" s="112">
        <v>1118147.0</v>
      </c>
      <c r="E1288" s="98">
        <v>1179808.0</v>
      </c>
      <c r="F1288" s="83"/>
      <c r="G1288" s="91" t="str">
        <f>IFERROR(__xludf.DUMMYFUNCTION("XLOOKUP(AS1288,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ALMERINDA MEIRA DO CARMO - DISTRITO DE CATINGAL")</f>
        <v>ANEXO - COLÉGIO ESTADUAL PROFESSORA ALMERINDA MEIRA DO CARMO - DISTRITO DE CATINGAL</v>
      </c>
      <c r="H1288" s="119" t="s">
        <v>7242</v>
      </c>
      <c r="I1288" s="108" t="s">
        <v>7243</v>
      </c>
      <c r="J1288" s="172" t="s">
        <v>149</v>
      </c>
      <c r="K1288" s="83"/>
      <c r="L1288" s="83" t="s">
        <v>151</v>
      </c>
      <c r="M1288" s="83" t="s">
        <v>169</v>
      </c>
      <c r="N1288" s="115" t="s">
        <v>170</v>
      </c>
      <c r="O1288" s="98" t="s">
        <v>155</v>
      </c>
      <c r="P1288" s="99" t="str">
        <f>IFERROR(__xludf.DUMMYFUNCTION("IFERROR(VLOOKUP(AS1288,IMPORTRANGE(""https://docs.google.com/spreadsheets/d/1juPI-Fb8LD0YtltB2mlGEnp_R3UVu1t3wSFPzgCyHXE/edit?gid=0#gid=0"",""GERAL!A2:C""),3,0),""-"")"),"-")</f>
        <v>-</v>
      </c>
      <c r="Q1288" s="98"/>
      <c r="R1288" s="98"/>
      <c r="S1288" s="98"/>
      <c r="T1288" s="98"/>
      <c r="U1288" s="98"/>
      <c r="V1288" s="98"/>
      <c r="W1288" s="98"/>
      <c r="X1288" s="98"/>
      <c r="Y1288" s="98"/>
      <c r="Z1288" s="98"/>
      <c r="AA1288" s="98"/>
      <c r="AB1288" s="98"/>
      <c r="AC1288" s="98"/>
      <c r="AD1288" s="98"/>
      <c r="AE1288" s="98"/>
      <c r="AF1288" s="98"/>
      <c r="AG1288" s="98"/>
      <c r="AH1288" s="98"/>
      <c r="AI1288" s="98"/>
      <c r="AJ1288" s="98"/>
      <c r="AK1288" s="98"/>
      <c r="AL1288" s="98"/>
      <c r="AM1288" s="98"/>
      <c r="AN1288" s="98"/>
      <c r="AO1288" s="98"/>
      <c r="AP1288" s="98"/>
      <c r="AQ1288" s="98"/>
      <c r="AR1288" s="98"/>
      <c r="AS1288" s="98">
        <v>1179808.0</v>
      </c>
    </row>
    <row r="1289" ht="15.75" customHeight="1">
      <c r="A1289" s="111" t="s">
        <v>1535</v>
      </c>
      <c r="B1289" s="83" t="s">
        <v>7233</v>
      </c>
      <c r="C1289" s="83" t="s">
        <v>164</v>
      </c>
      <c r="D1289" s="112">
        <v>1179277.0</v>
      </c>
      <c r="E1289" s="83">
        <v>1179075.0</v>
      </c>
      <c r="F1289" s="83"/>
      <c r="G1289" s="91" t="str">
        <f>IFERROR(__xludf.DUMMYFUNCTION("XLOOKUP(AS1289,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MÉDIO RIO DE CONTAS - DISTRITO DE POMBAS")</f>
        <v>ANEXO - CEMIT - MÉDIO RIO DE CONTAS - DISTRITO DE POMBAS</v>
      </c>
      <c r="H1289" s="114" t="s">
        <v>7251</v>
      </c>
      <c r="I1289" s="91" t="s">
        <v>7252</v>
      </c>
      <c r="J1289" s="136" t="s">
        <v>149</v>
      </c>
      <c r="K1289" s="83" t="s">
        <v>7253</v>
      </c>
      <c r="L1289" s="83" t="s">
        <v>168</v>
      </c>
      <c r="M1289" s="83" t="s">
        <v>169</v>
      </c>
      <c r="N1289" s="115" t="s">
        <v>170</v>
      </c>
      <c r="O1289" s="98" t="s">
        <v>155</v>
      </c>
      <c r="P1289" s="99" t="str">
        <f>IFERROR(__xludf.DUMMYFUNCTION("IFERROR(VLOOKUP(AS1289,IMPORTRANGE(""https://docs.google.com/spreadsheets/d/1juPI-Fb8LD0YtltB2mlGEnp_R3UVu1t3wSFPzgCyHXE/edit?gid=0#gid=0"",""GERAL!A2:C""),3,0),""-"")"),"-")</f>
        <v>-</v>
      </c>
      <c r="Q1289" s="83"/>
      <c r="R1289" s="83"/>
      <c r="S1289" s="83"/>
      <c r="T1289" s="83"/>
      <c r="U1289" s="83"/>
      <c r="V1289" s="83"/>
      <c r="W1289" s="83"/>
      <c r="X1289" s="83"/>
      <c r="Y1289" s="83"/>
      <c r="Z1289" s="83"/>
      <c r="AA1289" s="83"/>
      <c r="AB1289" s="83"/>
      <c r="AC1289" s="83"/>
      <c r="AD1289" s="83"/>
      <c r="AE1289" s="83"/>
      <c r="AF1289" s="83"/>
      <c r="AG1289" s="83"/>
      <c r="AH1289" s="83"/>
      <c r="AI1289" s="83"/>
      <c r="AJ1289" s="83"/>
      <c r="AK1289" s="83"/>
      <c r="AL1289" s="83"/>
      <c r="AM1289" s="83"/>
      <c r="AN1289" s="83"/>
      <c r="AO1289" s="83"/>
      <c r="AP1289" s="83"/>
      <c r="AQ1289" s="83"/>
      <c r="AR1289" s="83"/>
      <c r="AS1289" s="83">
        <v>1179075.0</v>
      </c>
    </row>
    <row r="1290" ht="15.75" customHeight="1">
      <c r="A1290" s="111" t="s">
        <v>1535</v>
      </c>
      <c r="B1290" s="83" t="s">
        <v>7254</v>
      </c>
      <c r="C1290" s="83" t="s">
        <v>68</v>
      </c>
      <c r="D1290" s="112">
        <v>1178083.0</v>
      </c>
      <c r="E1290" s="83"/>
      <c r="F1290" s="83">
        <v>2.9429498E7</v>
      </c>
      <c r="G1290" s="91" t="str">
        <f>IFERROR(__xludf.DUMMYFUNCTION("XLOOKUP(AS1290,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MARIA LEAL LOPES - TEMPO INTEGRAL")</f>
        <v>COLÉGIO ESTADUAL PROFESSORA MARIA LEAL LOPES - TEMPO INTEGRAL</v>
      </c>
      <c r="H1290" s="114" t="s">
        <v>7255</v>
      </c>
      <c r="I1290" s="91" t="s">
        <v>7258</v>
      </c>
      <c r="J1290" s="136" t="s">
        <v>149</v>
      </c>
      <c r="K1290" s="136" t="s">
        <v>150</v>
      </c>
      <c r="L1290" s="136" t="s">
        <v>151</v>
      </c>
      <c r="M1290" s="83" t="s">
        <v>76</v>
      </c>
      <c r="N1290" s="98" t="s">
        <v>7264</v>
      </c>
      <c r="O1290" s="98" t="s">
        <v>155</v>
      </c>
      <c r="P1290" s="99" t="str">
        <f>IFERROR(__xludf.DUMMYFUNCTION("IFERROR(VLOOKUP(AS1290,IMPORTRANGE(""https://docs.google.com/spreadsheets/d/1juPI-Fb8LD0YtltB2mlGEnp_R3UVu1t3wSFPzgCyHXE/edit?gid=0#gid=0"",""GERAL!A2:C""),3,0),""-"")"),"-")</f>
        <v>-</v>
      </c>
      <c r="Q1290" s="101" t="s">
        <v>156</v>
      </c>
      <c r="R1290" s="98">
        <v>6.0</v>
      </c>
      <c r="S1290" s="98">
        <v>1.0</v>
      </c>
      <c r="T1290" s="98">
        <v>1.0</v>
      </c>
      <c r="U1290" s="98">
        <v>0.0</v>
      </c>
      <c r="V1290" s="98">
        <v>1.0</v>
      </c>
      <c r="W1290" s="98">
        <v>0.0</v>
      </c>
      <c r="X1290" s="98">
        <v>0.0</v>
      </c>
      <c r="Y1290" s="98">
        <v>0.0</v>
      </c>
      <c r="Z1290" s="98">
        <v>0.0</v>
      </c>
      <c r="AA1290" s="98">
        <v>0.0</v>
      </c>
      <c r="AB1290" s="98">
        <v>0.0</v>
      </c>
      <c r="AC1290" s="98">
        <v>0.0</v>
      </c>
      <c r="AD1290" s="98">
        <v>0.0</v>
      </c>
      <c r="AE1290" s="98">
        <v>0.0</v>
      </c>
      <c r="AF1290" s="98">
        <v>1.0</v>
      </c>
      <c r="AG1290" s="98">
        <v>0.0</v>
      </c>
      <c r="AH1290" s="98">
        <v>0.0</v>
      </c>
      <c r="AI1290" s="98">
        <v>0.0</v>
      </c>
      <c r="AJ1290" s="98">
        <v>0.0</v>
      </c>
      <c r="AK1290" s="98">
        <v>0.0</v>
      </c>
      <c r="AL1290" s="98">
        <v>0.0</v>
      </c>
      <c r="AM1290" s="98">
        <v>0.0</v>
      </c>
      <c r="AN1290" s="98">
        <v>0.0</v>
      </c>
      <c r="AO1290" s="98">
        <v>0.0</v>
      </c>
      <c r="AP1290" s="98">
        <v>0.0</v>
      </c>
      <c r="AQ1290" s="98" t="s">
        <v>7265</v>
      </c>
      <c r="AR1290" s="102">
        <v>46232.0</v>
      </c>
      <c r="AS1290" s="83">
        <v>1178083.0</v>
      </c>
    </row>
    <row r="1291" ht="15.75" customHeight="1">
      <c r="A1291" s="111" t="s">
        <v>1535</v>
      </c>
      <c r="B1291" s="83" t="s">
        <v>7266</v>
      </c>
      <c r="C1291" s="83" t="s">
        <v>68</v>
      </c>
      <c r="D1291" s="112">
        <v>1118406.0</v>
      </c>
      <c r="E1291" s="83"/>
      <c r="F1291" s="83">
        <v>2.9314348E7</v>
      </c>
      <c r="G1291" s="91" t="str">
        <f>IFERROR(__xludf.DUMMYFUNCTION("XLOOKUP(AS1291,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UBATÃ")</f>
        <v>COLÉGIO ESTADUAL DE TEMPO INTEGRAL DE UBATÃ</v>
      </c>
      <c r="H1291" s="119" t="s">
        <v>7268</v>
      </c>
      <c r="I1291" s="91" t="s">
        <v>7269</v>
      </c>
      <c r="J1291" s="172" t="s">
        <v>149</v>
      </c>
      <c r="K1291" s="83" t="s">
        <v>150</v>
      </c>
      <c r="L1291" s="83" t="s">
        <v>151</v>
      </c>
      <c r="M1291" s="83" t="s">
        <v>230</v>
      </c>
      <c r="N1291" s="98" t="s">
        <v>7270</v>
      </c>
      <c r="O1291" s="98" t="s">
        <v>7271</v>
      </c>
      <c r="P1291" s="99" t="str">
        <f>IFERROR(__xludf.DUMMYFUNCTION("IFERROR(VLOOKUP(AS1291,IMPORTRANGE(""https://docs.google.com/spreadsheets/d/1juPI-Fb8LD0YtltB2mlGEnp_R3UVu1t3wSFPzgCyHXE/edit?gid=0#gid=0"",""GERAL!A2:C""),3,0),""-"")"),"-")</f>
        <v>-</v>
      </c>
      <c r="Q1291" s="101" t="s">
        <v>156</v>
      </c>
      <c r="R1291" s="98">
        <v>14.0</v>
      </c>
      <c r="S1291" s="98">
        <v>0.0</v>
      </c>
      <c r="T1291" s="98">
        <v>2.0</v>
      </c>
      <c r="U1291" s="98">
        <v>0.0</v>
      </c>
      <c r="V1291" s="98">
        <v>0.0</v>
      </c>
      <c r="W1291" s="98">
        <v>4.0</v>
      </c>
      <c r="X1291" s="98">
        <v>1.0</v>
      </c>
      <c r="Y1291" s="98">
        <v>0.0</v>
      </c>
      <c r="Z1291" s="98">
        <v>1.0</v>
      </c>
      <c r="AA1291" s="98">
        <v>0.0</v>
      </c>
      <c r="AB1291" s="98">
        <v>1.0</v>
      </c>
      <c r="AC1291" s="98">
        <v>0.0</v>
      </c>
      <c r="AD1291" s="98">
        <v>0.0</v>
      </c>
      <c r="AE1291" s="98">
        <v>0.0</v>
      </c>
      <c r="AF1291" s="98">
        <v>1.0</v>
      </c>
      <c r="AG1291" s="98">
        <v>0.0</v>
      </c>
      <c r="AH1291" s="98">
        <v>0.0</v>
      </c>
      <c r="AI1291" s="98">
        <v>0.0</v>
      </c>
      <c r="AJ1291" s="98">
        <v>1.0</v>
      </c>
      <c r="AK1291" s="98">
        <v>0.0</v>
      </c>
      <c r="AL1291" s="98">
        <v>0.0</v>
      </c>
      <c r="AM1291" s="98">
        <v>1.0</v>
      </c>
      <c r="AN1291" s="98">
        <v>0.0</v>
      </c>
      <c r="AO1291" s="98">
        <v>1.0</v>
      </c>
      <c r="AP1291" s="98">
        <v>0.0</v>
      </c>
      <c r="AQ1291" s="98" t="s">
        <v>7273</v>
      </c>
      <c r="AR1291" s="102">
        <v>46191.0</v>
      </c>
      <c r="AS1291" s="83">
        <v>1118406.0</v>
      </c>
    </row>
    <row r="1292" ht="15.75" customHeight="1">
      <c r="A1292" s="111" t="s">
        <v>1573</v>
      </c>
      <c r="B1292" s="83" t="s">
        <v>2426</v>
      </c>
      <c r="C1292" s="83" t="s">
        <v>45</v>
      </c>
      <c r="D1292" s="112">
        <v>1178388.0</v>
      </c>
      <c r="E1292" s="83"/>
      <c r="F1292" s="83">
        <v>2.9529409E7</v>
      </c>
      <c r="G1292" s="91" t="str">
        <f>IFERROR(__xludf.DUMMYFUNCTION("XLOOKUP(AS1292,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PADRE LUIS LINTNER")</f>
        <v>ESCOLA FAMILIA AGRICOLA PADRE LUIS LINTNER</v>
      </c>
      <c r="H1292" s="114" t="s">
        <v>7274</v>
      </c>
      <c r="I1292" s="91" t="s">
        <v>7275</v>
      </c>
      <c r="J1292" s="83" t="s">
        <v>149</v>
      </c>
      <c r="K1292" s="115" t="s">
        <v>222</v>
      </c>
      <c r="L1292" s="83" t="s">
        <v>171</v>
      </c>
      <c r="M1292" s="83" t="s">
        <v>512</v>
      </c>
      <c r="N1292" s="98" t="s">
        <v>7276</v>
      </c>
      <c r="O1292" s="98" t="s">
        <v>155</v>
      </c>
      <c r="P1292" s="99" t="str">
        <f>IFERROR(__xludf.DUMMYFUNCTION("IFERROR(VLOOKUP(AS1292,IMPORTRANGE(""https://docs.google.com/spreadsheets/d/1juPI-Fb8LD0YtltB2mlGEnp_R3UVu1t3wSFPzgCyHXE/edit?gid=0#gid=0"",""GERAL!A2:C""),3,0),""-"")"),"EFA")</f>
        <v>EFA</v>
      </c>
      <c r="Q1292" s="98" t="s">
        <v>171</v>
      </c>
      <c r="R1292" s="98">
        <v>4.0</v>
      </c>
      <c r="S1292" s="98">
        <v>0.0</v>
      </c>
      <c r="T1292" s="98">
        <v>0.0</v>
      </c>
      <c r="U1292" s="98">
        <v>1.0</v>
      </c>
      <c r="V1292" s="98">
        <v>1.0</v>
      </c>
      <c r="W1292" s="98">
        <v>7.0</v>
      </c>
      <c r="X1292" s="98">
        <v>1.0</v>
      </c>
      <c r="Y1292" s="98">
        <v>0.0</v>
      </c>
      <c r="Z1292" s="98">
        <v>0.0</v>
      </c>
      <c r="AA1292" s="98">
        <v>0.0</v>
      </c>
      <c r="AB1292" s="98">
        <v>0.0</v>
      </c>
      <c r="AC1292" s="98">
        <v>1.0</v>
      </c>
      <c r="AD1292" s="98">
        <v>0.0</v>
      </c>
      <c r="AE1292" s="98">
        <v>0.0</v>
      </c>
      <c r="AF1292" s="98">
        <v>0.0</v>
      </c>
      <c r="AG1292" s="98">
        <v>0.0</v>
      </c>
      <c r="AH1292" s="98">
        <v>0.0</v>
      </c>
      <c r="AI1292" s="98">
        <v>1.0</v>
      </c>
      <c r="AJ1292" s="98">
        <v>0.0</v>
      </c>
      <c r="AK1292" s="98">
        <v>0.0</v>
      </c>
      <c r="AL1292" s="98">
        <v>0.0</v>
      </c>
      <c r="AM1292" s="98">
        <v>0.0</v>
      </c>
      <c r="AN1292" s="98">
        <v>0.0</v>
      </c>
      <c r="AO1292" s="98">
        <v>0.0</v>
      </c>
      <c r="AP1292" s="98">
        <v>0.0</v>
      </c>
      <c r="AQ1292" s="98" t="s">
        <v>7277</v>
      </c>
      <c r="AR1292" s="102">
        <v>46230.0</v>
      </c>
      <c r="AS1292" s="83">
        <v>1178388.0</v>
      </c>
    </row>
    <row r="1293" ht="15.75" customHeight="1">
      <c r="A1293" s="111" t="s">
        <v>1573</v>
      </c>
      <c r="B1293" s="83" t="s">
        <v>2426</v>
      </c>
      <c r="C1293" s="83" t="s">
        <v>68</v>
      </c>
      <c r="D1293" s="112">
        <v>1178048.0</v>
      </c>
      <c r="E1293" s="83"/>
      <c r="F1293" s="83">
        <v>2.9427541E7</v>
      </c>
      <c r="G1293" s="91" t="str">
        <f>IFERROR(__xludf.DUMMYFUNCTION("XLOOKUP(AS1293,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BREJOLÂNDIA (ANTIGO - CE LUIS EDUARDO MAGALHAES)")</f>
        <v>COLÉGIO ESTADUAL DE BREJOLÂNDIA (ANTIGO - CE LUIS EDUARDO MAGALHAES)</v>
      </c>
      <c r="H1293" s="119" t="s">
        <v>7278</v>
      </c>
      <c r="I1293" s="91" t="s">
        <v>7279</v>
      </c>
      <c r="J1293" s="83" t="s">
        <v>149</v>
      </c>
      <c r="K1293" s="83" t="s">
        <v>150</v>
      </c>
      <c r="L1293" s="83" t="s">
        <v>151</v>
      </c>
      <c r="M1293" s="83" t="s">
        <v>169</v>
      </c>
      <c r="N1293" s="98" t="s">
        <v>7280</v>
      </c>
      <c r="O1293" s="98" t="s">
        <v>155</v>
      </c>
      <c r="P1293" s="99" t="str">
        <f>IFERROR(__xludf.DUMMYFUNCTION("IFERROR(VLOOKUP(AS1293,IMPORTRANGE(""https://docs.google.com/spreadsheets/d/1juPI-Fb8LD0YtltB2mlGEnp_R3UVu1t3wSFPzgCyHXE/edit?gid=0#gid=0"",""GERAL!A2:C""),3,0),""-"")"),"-")</f>
        <v>-</v>
      </c>
      <c r="Q1293" s="101" t="s">
        <v>156</v>
      </c>
      <c r="R1293" s="98">
        <v>6.0</v>
      </c>
      <c r="S1293" s="98">
        <v>0.0</v>
      </c>
      <c r="T1293" s="98">
        <v>0.0</v>
      </c>
      <c r="U1293" s="98">
        <v>0.0</v>
      </c>
      <c r="V1293" s="98">
        <v>0.0</v>
      </c>
      <c r="W1293" s="98">
        <v>1.0</v>
      </c>
      <c r="X1293" s="98">
        <v>0.0</v>
      </c>
      <c r="Y1293" s="98">
        <v>0.0</v>
      </c>
      <c r="Z1293" s="98">
        <v>0.0</v>
      </c>
      <c r="AA1293" s="98">
        <v>0.0</v>
      </c>
      <c r="AB1293" s="98">
        <v>0.0</v>
      </c>
      <c r="AC1293" s="98">
        <v>0.0</v>
      </c>
      <c r="AD1293" s="98">
        <v>0.0</v>
      </c>
      <c r="AE1293" s="98">
        <v>0.0</v>
      </c>
      <c r="AF1293" s="98">
        <v>0.0</v>
      </c>
      <c r="AG1293" s="98">
        <v>1.0</v>
      </c>
      <c r="AH1293" s="98">
        <v>0.0</v>
      </c>
      <c r="AI1293" s="98">
        <v>0.0</v>
      </c>
      <c r="AJ1293" s="98">
        <v>0.0</v>
      </c>
      <c r="AK1293" s="98">
        <v>0.0</v>
      </c>
      <c r="AL1293" s="98">
        <v>0.0</v>
      </c>
      <c r="AM1293" s="98">
        <v>0.0</v>
      </c>
      <c r="AN1293" s="98">
        <v>0.0</v>
      </c>
      <c r="AO1293" s="98">
        <v>0.0</v>
      </c>
      <c r="AP1293" s="98">
        <v>4.0</v>
      </c>
      <c r="AQ1293" s="98" t="s">
        <v>7281</v>
      </c>
      <c r="AR1293" s="102">
        <v>46230.0</v>
      </c>
      <c r="AS1293" s="83">
        <v>1178048.0</v>
      </c>
    </row>
    <row r="1294" ht="15.75" customHeight="1">
      <c r="A1294" s="111" t="s">
        <v>1573</v>
      </c>
      <c r="B1294" s="83" t="s">
        <v>2426</v>
      </c>
      <c r="C1294" s="83" t="s">
        <v>164</v>
      </c>
      <c r="D1294" s="112">
        <v>1178048.0</v>
      </c>
      <c r="E1294" s="83">
        <v>1178873.0</v>
      </c>
      <c r="F1294" s="83"/>
      <c r="G1294" s="91" t="str">
        <f>IFERROR(__xludf.DUMMYFUNCTION("XLOOKUP(AS1294,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BREJOLÂNDIA - POVOADO DE MAMONAL")</f>
        <v>ANEXO - COLÉGIO ESTADUAL DE BREJOLÂNDIA - POVOADO DE MAMONAL</v>
      </c>
      <c r="H1294" s="119" t="s">
        <v>7282</v>
      </c>
      <c r="I1294" s="91" t="s">
        <v>7283</v>
      </c>
      <c r="J1294" s="83" t="s">
        <v>7284</v>
      </c>
      <c r="K1294" s="83" t="s">
        <v>1074</v>
      </c>
      <c r="L1294" s="83" t="s">
        <v>168</v>
      </c>
      <c r="M1294" s="83" t="s">
        <v>169</v>
      </c>
      <c r="N1294" s="115" t="s">
        <v>170</v>
      </c>
      <c r="O1294" s="98" t="s">
        <v>155</v>
      </c>
      <c r="P1294" s="99" t="str">
        <f>IFERROR(__xludf.DUMMYFUNCTION("IFERROR(VLOOKUP(AS1294,IMPORTRANGE(""https://docs.google.com/spreadsheets/d/1juPI-Fb8LD0YtltB2mlGEnp_R3UVu1t3wSFPzgCyHXE/edit?gid=0#gid=0"",""GERAL!A2:C""),3,0),""-"")"),"CAMPO")</f>
        <v>CAMPO</v>
      </c>
      <c r="Q1294" s="98" t="s">
        <v>171</v>
      </c>
      <c r="R1294" s="98">
        <v>3.0</v>
      </c>
      <c r="S1294" s="98" t="s">
        <v>171</v>
      </c>
      <c r="T1294" s="98" t="s">
        <v>171</v>
      </c>
      <c r="U1294" s="98" t="s">
        <v>171</v>
      </c>
      <c r="V1294" s="98" t="s">
        <v>171</v>
      </c>
      <c r="W1294" s="98" t="s">
        <v>171</v>
      </c>
      <c r="X1294" s="98" t="s">
        <v>171</v>
      </c>
      <c r="Y1294" s="98" t="s">
        <v>171</v>
      </c>
      <c r="Z1294" s="98" t="s">
        <v>171</v>
      </c>
      <c r="AA1294" s="98" t="s">
        <v>171</v>
      </c>
      <c r="AB1294" s="98" t="s">
        <v>171</v>
      </c>
      <c r="AC1294" s="98" t="s">
        <v>171</v>
      </c>
      <c r="AD1294" s="98" t="s">
        <v>171</v>
      </c>
      <c r="AE1294" s="98" t="s">
        <v>171</v>
      </c>
      <c r="AF1294" s="98" t="s">
        <v>171</v>
      </c>
      <c r="AG1294" s="98" t="s">
        <v>171</v>
      </c>
      <c r="AH1294" s="98" t="s">
        <v>171</v>
      </c>
      <c r="AI1294" s="98" t="s">
        <v>171</v>
      </c>
      <c r="AJ1294" s="98" t="s">
        <v>171</v>
      </c>
      <c r="AK1294" s="98" t="s">
        <v>171</v>
      </c>
      <c r="AL1294" s="98" t="s">
        <v>171</v>
      </c>
      <c r="AM1294" s="98" t="s">
        <v>171</v>
      </c>
      <c r="AN1294" s="98" t="s">
        <v>171</v>
      </c>
      <c r="AO1294" s="98" t="s">
        <v>171</v>
      </c>
      <c r="AP1294" s="98" t="s">
        <v>171</v>
      </c>
      <c r="AQ1294" s="98" t="s">
        <v>171</v>
      </c>
      <c r="AR1294" s="102">
        <v>46230.0</v>
      </c>
      <c r="AS1294" s="83">
        <v>1178873.0</v>
      </c>
    </row>
    <row r="1295" ht="15.75" customHeight="1">
      <c r="A1295" s="111" t="s">
        <v>1573</v>
      </c>
      <c r="B1295" s="83" t="s">
        <v>2426</v>
      </c>
      <c r="C1295" s="83" t="s">
        <v>164</v>
      </c>
      <c r="D1295" s="112">
        <v>1178048.0</v>
      </c>
      <c r="E1295" s="83">
        <v>1178874.0</v>
      </c>
      <c r="F1295" s="83"/>
      <c r="G1295" s="91" t="str">
        <f>IFERROR(__xludf.DUMMYFUNCTION("XLOOKUP(AS1295,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BREJOLÂNDIA - DISTRITO DE MOMBACA")</f>
        <v>ANEXO - COLÉGIO ESTADUAL DE BREJOLÂNDIA - DISTRITO DE MOMBACA</v>
      </c>
      <c r="H1295" s="119" t="s">
        <v>7285</v>
      </c>
      <c r="I1295" s="91" t="s">
        <v>7286</v>
      </c>
      <c r="J1295" s="83" t="s">
        <v>7287</v>
      </c>
      <c r="K1295" s="83" t="s">
        <v>839</v>
      </c>
      <c r="L1295" s="83" t="s">
        <v>168</v>
      </c>
      <c r="M1295" s="83" t="s">
        <v>169</v>
      </c>
      <c r="N1295" s="115" t="s">
        <v>170</v>
      </c>
      <c r="O1295" s="98" t="s">
        <v>155</v>
      </c>
      <c r="P1295" s="99" t="str">
        <f>IFERROR(__xludf.DUMMYFUNCTION("IFERROR(VLOOKUP(AS1295,IMPORTRANGE(""https://docs.google.com/spreadsheets/d/1juPI-Fb8LD0YtltB2mlGEnp_R3UVu1t3wSFPzgCyHXE/edit?gid=0#gid=0"",""GERAL!A2:C""),3,0),""-"")"),"CAMPO")</f>
        <v>CAMPO</v>
      </c>
      <c r="Q1295" s="98" t="s">
        <v>171</v>
      </c>
      <c r="R1295" s="98">
        <v>3.0</v>
      </c>
      <c r="S1295" s="98" t="s">
        <v>171</v>
      </c>
      <c r="T1295" s="98" t="s">
        <v>171</v>
      </c>
      <c r="U1295" s="98" t="s">
        <v>171</v>
      </c>
      <c r="V1295" s="98" t="s">
        <v>171</v>
      </c>
      <c r="W1295" s="98" t="s">
        <v>171</v>
      </c>
      <c r="X1295" s="98" t="s">
        <v>171</v>
      </c>
      <c r="Y1295" s="98" t="s">
        <v>171</v>
      </c>
      <c r="Z1295" s="98" t="s">
        <v>171</v>
      </c>
      <c r="AA1295" s="98" t="s">
        <v>171</v>
      </c>
      <c r="AB1295" s="98" t="s">
        <v>171</v>
      </c>
      <c r="AC1295" s="98" t="s">
        <v>171</v>
      </c>
      <c r="AD1295" s="98" t="s">
        <v>171</v>
      </c>
      <c r="AE1295" s="98" t="s">
        <v>171</v>
      </c>
      <c r="AF1295" s="98" t="s">
        <v>171</v>
      </c>
      <c r="AG1295" s="98" t="s">
        <v>171</v>
      </c>
      <c r="AH1295" s="98" t="s">
        <v>171</v>
      </c>
      <c r="AI1295" s="98" t="s">
        <v>171</v>
      </c>
      <c r="AJ1295" s="98" t="s">
        <v>171</v>
      </c>
      <c r="AK1295" s="98" t="s">
        <v>171</v>
      </c>
      <c r="AL1295" s="98" t="s">
        <v>171</v>
      </c>
      <c r="AM1295" s="98" t="s">
        <v>171</v>
      </c>
      <c r="AN1295" s="98" t="s">
        <v>171</v>
      </c>
      <c r="AO1295" s="98" t="s">
        <v>171</v>
      </c>
      <c r="AP1295" s="98" t="s">
        <v>171</v>
      </c>
      <c r="AQ1295" s="98" t="s">
        <v>171</v>
      </c>
      <c r="AR1295" s="102">
        <v>46230.0</v>
      </c>
      <c r="AS1295" s="83">
        <v>1178874.0</v>
      </c>
    </row>
    <row r="1296" ht="15.75" customHeight="1">
      <c r="A1296" s="111" t="s">
        <v>1573</v>
      </c>
      <c r="B1296" s="83" t="s">
        <v>7288</v>
      </c>
      <c r="C1296" s="83" t="s">
        <v>68</v>
      </c>
      <c r="D1296" s="112">
        <v>1131674.0</v>
      </c>
      <c r="E1296" s="83"/>
      <c r="F1296" s="83">
        <v>2.9011507E7</v>
      </c>
      <c r="G1296" s="91" t="str">
        <f>IFERROR(__xludf.DUMMYFUNCTION("XLOOKUP(AS1296,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RUY BARBOSA")</f>
        <v>COLÉGIO ESTADUAL DE TEMPO INTEGRAL RUY BARBOSA</v>
      </c>
      <c r="H1296" s="119" t="s">
        <v>2335</v>
      </c>
      <c r="I1296" s="108" t="s">
        <v>7289</v>
      </c>
      <c r="J1296" s="136" t="s">
        <v>149</v>
      </c>
      <c r="K1296" s="83" t="s">
        <v>150</v>
      </c>
      <c r="L1296" s="83" t="s">
        <v>151</v>
      </c>
      <c r="M1296" s="83" t="s">
        <v>152</v>
      </c>
      <c r="N1296" s="98" t="s">
        <v>7290</v>
      </c>
      <c r="O1296" s="98" t="s">
        <v>155</v>
      </c>
      <c r="P1296" s="99" t="str">
        <f>IFERROR(__xludf.DUMMYFUNCTION("IFERROR(VLOOKUP(AS1296,IMPORTRANGE(""https://docs.google.com/spreadsheets/d/1juPI-Fb8LD0YtltB2mlGEnp_R3UVu1t3wSFPzgCyHXE/edit?gid=0#gid=0"",""GERAL!A2:C""),3,0),""-"")"),"-")</f>
        <v>-</v>
      </c>
      <c r="Q1296" s="101" t="s">
        <v>156</v>
      </c>
      <c r="R1296" s="98">
        <v>12.0</v>
      </c>
      <c r="S1296" s="98">
        <v>1.0</v>
      </c>
      <c r="T1296" s="98">
        <v>1.0</v>
      </c>
      <c r="U1296" s="98">
        <v>0.0</v>
      </c>
      <c r="V1296" s="98">
        <v>1.0</v>
      </c>
      <c r="W1296" s="98">
        <v>3.0</v>
      </c>
      <c r="X1296" s="98">
        <v>1.0</v>
      </c>
      <c r="Y1296" s="98">
        <v>0.0</v>
      </c>
      <c r="Z1296" s="98">
        <v>1.0</v>
      </c>
      <c r="AA1296" s="98">
        <v>0.0</v>
      </c>
      <c r="AB1296" s="98">
        <v>1.0</v>
      </c>
      <c r="AC1296" s="98">
        <v>0.0</v>
      </c>
      <c r="AD1296" s="98">
        <v>0.0</v>
      </c>
      <c r="AE1296" s="98">
        <v>0.0</v>
      </c>
      <c r="AF1296" s="98">
        <v>1.0</v>
      </c>
      <c r="AG1296" s="98">
        <v>0.0</v>
      </c>
      <c r="AH1296" s="98">
        <v>0.0</v>
      </c>
      <c r="AI1296" s="98">
        <v>0.0</v>
      </c>
      <c r="AJ1296" s="98">
        <v>0.0</v>
      </c>
      <c r="AK1296" s="98">
        <v>1.0</v>
      </c>
      <c r="AL1296" s="98">
        <v>0.0</v>
      </c>
      <c r="AM1296" s="98">
        <v>0.0</v>
      </c>
      <c r="AN1296" s="98">
        <v>0.0</v>
      </c>
      <c r="AO1296" s="98">
        <v>0.0</v>
      </c>
      <c r="AP1296" s="98">
        <v>0.0</v>
      </c>
      <c r="AQ1296" s="98" t="s">
        <v>163</v>
      </c>
      <c r="AR1296" s="102">
        <v>46231.0</v>
      </c>
      <c r="AS1296" s="83">
        <v>1131674.0</v>
      </c>
    </row>
    <row r="1297" ht="15.75" customHeight="1">
      <c r="A1297" s="111" t="s">
        <v>1573</v>
      </c>
      <c r="B1297" s="83" t="s">
        <v>7291</v>
      </c>
      <c r="C1297" s="83" t="s">
        <v>68</v>
      </c>
      <c r="D1297" s="112">
        <v>1131607.0</v>
      </c>
      <c r="E1297" s="83"/>
      <c r="F1297" s="83">
        <v>2.9011604E7</v>
      </c>
      <c r="G1297" s="91" t="str">
        <f>IFERROR(__xludf.DUMMYFUNCTION("XLOOKUP(AS1297,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COCOS")</f>
        <v>COLÉGIO ESTADUAL DE TEMPO INTEGRAL DE COCOS</v>
      </c>
      <c r="H1297" s="119" t="s">
        <v>7292</v>
      </c>
      <c r="I1297" s="91" t="s">
        <v>7293</v>
      </c>
      <c r="J1297" s="83" t="s">
        <v>149</v>
      </c>
      <c r="K1297" s="83" t="s">
        <v>150</v>
      </c>
      <c r="L1297" s="83" t="s">
        <v>151</v>
      </c>
      <c r="M1297" s="83" t="s">
        <v>230</v>
      </c>
      <c r="N1297" s="171" t="s">
        <v>7294</v>
      </c>
      <c r="O1297" s="98" t="s">
        <v>176</v>
      </c>
      <c r="P1297" s="99" t="str">
        <f>IFERROR(__xludf.DUMMYFUNCTION("IFERROR(VLOOKUP(AS1297,IMPORTRANGE(""https://docs.google.com/spreadsheets/d/1juPI-Fb8LD0YtltB2mlGEnp_R3UVu1t3wSFPzgCyHXE/edit?gid=0#gid=0"",""GERAL!A2:C""),3,0),""-"")"),"-")</f>
        <v>-</v>
      </c>
      <c r="Q1297" s="101" t="s">
        <v>156</v>
      </c>
      <c r="R1297" s="98">
        <v>15.0</v>
      </c>
      <c r="S1297" s="98">
        <v>1.0</v>
      </c>
      <c r="T1297" s="98">
        <v>1.0</v>
      </c>
      <c r="U1297" s="98">
        <v>0.0</v>
      </c>
      <c r="V1297" s="98">
        <v>0.0</v>
      </c>
      <c r="W1297" s="98">
        <v>1.0</v>
      </c>
      <c r="X1297" s="98">
        <v>0.0</v>
      </c>
      <c r="Y1297" s="98">
        <v>0.0</v>
      </c>
      <c r="Z1297" s="98">
        <v>1.0</v>
      </c>
      <c r="AA1297" s="98">
        <v>0.0</v>
      </c>
      <c r="AB1297" s="98">
        <v>1.0</v>
      </c>
      <c r="AC1297" s="98">
        <v>0.0</v>
      </c>
      <c r="AD1297" s="98">
        <v>0.0</v>
      </c>
      <c r="AE1297" s="98">
        <v>0.0</v>
      </c>
      <c r="AF1297" s="98">
        <v>1.0</v>
      </c>
      <c r="AG1297" s="98">
        <v>0.0</v>
      </c>
      <c r="AH1297" s="98">
        <v>0.0</v>
      </c>
      <c r="AI1297" s="98">
        <v>0.0</v>
      </c>
      <c r="AJ1297" s="98">
        <v>1.0</v>
      </c>
      <c r="AK1297" s="98">
        <v>0.0</v>
      </c>
      <c r="AL1297" s="98">
        <v>0.0</v>
      </c>
      <c r="AM1297" s="98">
        <v>0.0</v>
      </c>
      <c r="AN1297" s="98">
        <v>0.0</v>
      </c>
      <c r="AO1297" s="98">
        <v>0.0</v>
      </c>
      <c r="AP1297" s="98">
        <v>2.0</v>
      </c>
      <c r="AQ1297" s="98" t="s">
        <v>7295</v>
      </c>
      <c r="AR1297" s="83"/>
      <c r="AS1297" s="83">
        <v>1131607.0</v>
      </c>
    </row>
    <row r="1298" ht="15.75" customHeight="1">
      <c r="A1298" s="111" t="s">
        <v>1573</v>
      </c>
      <c r="B1298" s="83" t="s">
        <v>7291</v>
      </c>
      <c r="C1298" s="83" t="s">
        <v>164</v>
      </c>
      <c r="D1298" s="112">
        <v>1131607.0</v>
      </c>
      <c r="E1298" s="83">
        <v>1179610.0</v>
      </c>
      <c r="F1298" s="83"/>
      <c r="G1298" s="91" t="str">
        <f>IFERROR(__xludf.DUMMYFUNCTION("XLOOKUP(AS1298,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COCOS - COMUNIDADE QUILOMBOLA DE CAJUEIRO")</f>
        <v>ANEXO - COLÉGIO ESTADUAL DE TEMPO INTEGRAL DE COCOS - COMUNIDADE QUILOMBOLA DE CAJUEIRO</v>
      </c>
      <c r="H1298" s="119" t="s">
        <v>7296</v>
      </c>
      <c r="I1298" s="91" t="s">
        <v>7297</v>
      </c>
      <c r="J1298" s="83" t="s">
        <v>149</v>
      </c>
      <c r="K1298" s="83" t="s">
        <v>461</v>
      </c>
      <c r="L1298" s="83" t="s">
        <v>168</v>
      </c>
      <c r="M1298" s="83" t="s">
        <v>169</v>
      </c>
      <c r="N1298" s="115" t="s">
        <v>170</v>
      </c>
      <c r="O1298" s="98" t="s">
        <v>155</v>
      </c>
      <c r="P1298" s="99" t="str">
        <f>IFERROR(__xludf.DUMMYFUNCTION("IFERROR(VLOOKUP(AS1298,IMPORTRANGE(""https://docs.google.com/spreadsheets/d/1juPI-Fb8LD0YtltB2mlGEnp_R3UVu1t3wSFPzgCyHXE/edit?gid=0#gid=0"",""GERAL!A2:C""),3,0),""-"")"),"QUILOMBOLAS")</f>
        <v>QUILOMBOLAS</v>
      </c>
      <c r="Q1298" s="98" t="s">
        <v>171</v>
      </c>
      <c r="R1298" s="98">
        <v>3.0</v>
      </c>
      <c r="S1298" s="83"/>
      <c r="T1298" s="83"/>
      <c r="U1298" s="83"/>
      <c r="V1298" s="83"/>
      <c r="W1298" s="83"/>
      <c r="X1298" s="83"/>
      <c r="Y1298" s="83"/>
      <c r="Z1298" s="83"/>
      <c r="AA1298" s="83"/>
      <c r="AB1298" s="83"/>
      <c r="AC1298" s="83"/>
      <c r="AD1298" s="83"/>
      <c r="AE1298" s="83"/>
      <c r="AF1298" s="83"/>
      <c r="AG1298" s="83"/>
      <c r="AH1298" s="83"/>
      <c r="AI1298" s="83"/>
      <c r="AJ1298" s="83"/>
      <c r="AK1298" s="83"/>
      <c r="AL1298" s="83"/>
      <c r="AM1298" s="83"/>
      <c r="AN1298" s="83"/>
      <c r="AO1298" s="83"/>
      <c r="AP1298" s="83"/>
      <c r="AQ1298" s="83"/>
      <c r="AR1298" s="83"/>
      <c r="AS1298" s="83">
        <v>1179610.0</v>
      </c>
    </row>
    <row r="1299" ht="15.75" customHeight="1">
      <c r="A1299" s="111" t="s">
        <v>1573</v>
      </c>
      <c r="B1299" s="83" t="s">
        <v>7291</v>
      </c>
      <c r="C1299" s="83" t="s">
        <v>164</v>
      </c>
      <c r="D1299" s="112">
        <v>1131607.0</v>
      </c>
      <c r="E1299" s="83">
        <v>1179609.0</v>
      </c>
      <c r="F1299" s="83"/>
      <c r="G1299" s="91" t="str">
        <f>IFERROR(__xludf.DUMMYFUNCTION("XLOOKUP(AS1299,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COCOS - COMUNIDADE INDIGENA DE PORCOS")</f>
        <v>ANEXO - COLÉGIO ESTADUAL DE TEMPO INTEGRAL DE COCOS - COMUNIDADE INDIGENA DE PORCOS</v>
      </c>
      <c r="H1299" s="119" t="s">
        <v>7298</v>
      </c>
      <c r="I1299" s="91" t="s">
        <v>7299</v>
      </c>
      <c r="J1299" s="83" t="s">
        <v>149</v>
      </c>
      <c r="K1299" s="83" t="s">
        <v>7300</v>
      </c>
      <c r="L1299" s="83" t="s">
        <v>168</v>
      </c>
      <c r="M1299" s="83" t="s">
        <v>169</v>
      </c>
      <c r="N1299" s="115" t="s">
        <v>170</v>
      </c>
      <c r="O1299" s="98" t="s">
        <v>155</v>
      </c>
      <c r="P1299" s="99" t="str">
        <f>IFERROR(__xludf.DUMMYFUNCTION("IFERROR(VLOOKUP(AS1299,IMPORTRANGE(""https://docs.google.com/spreadsheets/d/1juPI-Fb8LD0YtltB2mlGEnp_R3UVu1t3wSFPzgCyHXE/edit?gid=0#gid=0"",""GERAL!A2:C""),3,0),""-"")"),"INDÍGENAS")</f>
        <v>INDÍGENAS</v>
      </c>
      <c r="Q1299" s="98" t="s">
        <v>171</v>
      </c>
      <c r="R1299" s="98">
        <v>1.0</v>
      </c>
      <c r="S1299" s="83"/>
      <c r="T1299" s="83"/>
      <c r="U1299" s="83"/>
      <c r="V1299" s="83"/>
      <c r="W1299" s="83"/>
      <c r="X1299" s="83"/>
      <c r="Y1299" s="83"/>
      <c r="Z1299" s="83"/>
      <c r="AA1299" s="83"/>
      <c r="AB1299" s="83"/>
      <c r="AC1299" s="83"/>
      <c r="AD1299" s="83"/>
      <c r="AE1299" s="83"/>
      <c r="AF1299" s="83"/>
      <c r="AG1299" s="83"/>
      <c r="AH1299" s="83"/>
      <c r="AI1299" s="83"/>
      <c r="AJ1299" s="83"/>
      <c r="AK1299" s="83"/>
      <c r="AL1299" s="83"/>
      <c r="AM1299" s="83"/>
      <c r="AN1299" s="83"/>
      <c r="AO1299" s="83"/>
      <c r="AP1299" s="83"/>
      <c r="AQ1299" s="83"/>
      <c r="AR1299" s="83"/>
      <c r="AS1299" s="83">
        <v>1179609.0</v>
      </c>
    </row>
    <row r="1300" ht="15.75" customHeight="1">
      <c r="A1300" s="111" t="s">
        <v>1573</v>
      </c>
      <c r="B1300" s="83" t="s">
        <v>7306</v>
      </c>
      <c r="C1300" s="83" t="s">
        <v>68</v>
      </c>
      <c r="D1300" s="112">
        <v>1131534.0</v>
      </c>
      <c r="E1300" s="83"/>
      <c r="F1300" s="83">
        <v>2.9012465E7</v>
      </c>
      <c r="G1300" s="91" t="str">
        <f>IFERROR(__xludf.DUMMYFUNCTION("XLOOKUP(AS1300,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JOÃO DOS GERAIS")</f>
        <v>COLÉGIO ESTADUAL DE TEMPO INTEGRAL SÃO JOÃO DOS GERAIS</v>
      </c>
      <c r="H1300" s="119" t="s">
        <v>7307</v>
      </c>
      <c r="I1300" s="91" t="s">
        <v>7308</v>
      </c>
      <c r="J1300" s="136" t="s">
        <v>149</v>
      </c>
      <c r="K1300" s="83" t="s">
        <v>150</v>
      </c>
      <c r="L1300" s="83" t="s">
        <v>151</v>
      </c>
      <c r="M1300" s="83" t="s">
        <v>152</v>
      </c>
      <c r="N1300" s="171" t="s">
        <v>7309</v>
      </c>
      <c r="O1300" s="98" t="s">
        <v>155</v>
      </c>
      <c r="P1300" s="99" t="str">
        <f>IFERROR(__xludf.DUMMYFUNCTION("IFERROR(VLOOKUP(AS1300,IMPORTRANGE(""https://docs.google.com/spreadsheets/d/1juPI-Fb8LD0YtltB2mlGEnp_R3UVu1t3wSFPzgCyHXE/edit?gid=0#gid=0"",""GERAL!A2:C""),3,0),""-"")"),"-")</f>
        <v>-</v>
      </c>
      <c r="Q1300" s="83"/>
      <c r="R1300" s="83"/>
      <c r="S1300" s="83"/>
      <c r="T1300" s="83"/>
      <c r="U1300" s="83"/>
      <c r="V1300" s="83"/>
      <c r="W1300" s="83"/>
      <c r="X1300" s="83"/>
      <c r="Y1300" s="83"/>
      <c r="Z1300" s="83"/>
      <c r="AA1300" s="83"/>
      <c r="AB1300" s="83"/>
      <c r="AC1300" s="83"/>
      <c r="AD1300" s="83"/>
      <c r="AE1300" s="83"/>
      <c r="AF1300" s="83"/>
      <c r="AG1300" s="83"/>
      <c r="AH1300" s="83"/>
      <c r="AI1300" s="83"/>
      <c r="AJ1300" s="83"/>
      <c r="AK1300" s="83"/>
      <c r="AL1300" s="83"/>
      <c r="AM1300" s="83"/>
      <c r="AN1300" s="83"/>
      <c r="AO1300" s="83"/>
      <c r="AP1300" s="83"/>
      <c r="AQ1300" s="83"/>
      <c r="AR1300" s="83"/>
      <c r="AS1300" s="83">
        <v>1131534.0</v>
      </c>
    </row>
    <row r="1301" ht="15.75" customHeight="1">
      <c r="A1301" s="111" t="s">
        <v>1573</v>
      </c>
      <c r="B1301" s="83" t="s">
        <v>7306</v>
      </c>
      <c r="C1301" s="83" t="s">
        <v>164</v>
      </c>
      <c r="D1301" s="112">
        <v>1131534.0</v>
      </c>
      <c r="E1301" s="83">
        <v>1178227.0</v>
      </c>
      <c r="F1301" s="83"/>
      <c r="G1301" s="91" t="str">
        <f>IFERROR(__xludf.DUMMYFUNCTION("XLOOKUP(AS1301,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SÃO JOÃO DOS GERAIS -DISTRITO DE COLONIA DO FORMOSO")</f>
        <v>ANEXO - COLÉGIO ESTADUAL DE TEMPO INTEGRAL SÃO JOÃO DOS GERAIS -DISTRITO DE COLONIA DO FORMOSO</v>
      </c>
      <c r="H1301" s="119" t="s">
        <v>7310</v>
      </c>
      <c r="I1301" s="91" t="s">
        <v>7311</v>
      </c>
      <c r="J1301" s="136" t="s">
        <v>7312</v>
      </c>
      <c r="K1301" s="83" t="s">
        <v>244</v>
      </c>
      <c r="L1301" s="98" t="s">
        <v>7313</v>
      </c>
      <c r="M1301" s="83" t="s">
        <v>169</v>
      </c>
      <c r="N1301" s="115" t="s">
        <v>170</v>
      </c>
      <c r="O1301" s="98" t="s">
        <v>155</v>
      </c>
      <c r="P1301" s="99" t="str">
        <f>IFERROR(__xludf.DUMMYFUNCTION("IFERROR(VLOOKUP(AS1301,IMPORTRANGE(""https://docs.google.com/spreadsheets/d/1juPI-Fb8LD0YtltB2mlGEnp_R3UVu1t3wSFPzgCyHXE/edit?gid=0#gid=0"",""GERAL!A2:C""),3,0),""-"")"),"CAMPO")</f>
        <v>CAMPO</v>
      </c>
      <c r="Q1301" s="83"/>
      <c r="R1301" s="83"/>
      <c r="S1301" s="83"/>
      <c r="T1301" s="83"/>
      <c r="U1301" s="83"/>
      <c r="V1301" s="83"/>
      <c r="W1301" s="83"/>
      <c r="X1301" s="83"/>
      <c r="Y1301" s="83"/>
      <c r="Z1301" s="83"/>
      <c r="AA1301" s="83"/>
      <c r="AB1301" s="83"/>
      <c r="AC1301" s="83"/>
      <c r="AD1301" s="83"/>
      <c r="AE1301" s="83"/>
      <c r="AF1301" s="83"/>
      <c r="AG1301" s="83"/>
      <c r="AH1301" s="83"/>
      <c r="AI1301" s="83"/>
      <c r="AJ1301" s="83"/>
      <c r="AK1301" s="83"/>
      <c r="AL1301" s="83"/>
      <c r="AM1301" s="83"/>
      <c r="AN1301" s="83"/>
      <c r="AO1301" s="83"/>
      <c r="AP1301" s="83"/>
      <c r="AQ1301" s="83"/>
      <c r="AR1301" s="83"/>
      <c r="AS1301" s="83">
        <v>1178227.0</v>
      </c>
    </row>
    <row r="1302" ht="15.75" customHeight="1">
      <c r="A1302" s="111" t="s">
        <v>1573</v>
      </c>
      <c r="B1302" s="83" t="s">
        <v>7306</v>
      </c>
      <c r="C1302" s="83" t="s">
        <v>164</v>
      </c>
      <c r="D1302" s="112">
        <v>1131534.0</v>
      </c>
      <c r="E1302" s="83">
        <v>1178916.0</v>
      </c>
      <c r="F1302" s="83"/>
      <c r="G1302" s="91" t="str">
        <f>IFERROR(__xludf.DUMMYFUNCTION("XLOOKUP(AS1302,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SÃO JOÃO DOS GERAIS - DISTRITO DE DESCOBERTO")</f>
        <v>ANEXO - COLÉGIO ESTADUAL DE TEMPO INTEGRAL SÃO JOÃO DOS GERAIS - DISTRITO DE DESCOBERTO</v>
      </c>
      <c r="H1302" s="119" t="s">
        <v>7318</v>
      </c>
      <c r="I1302" s="91" t="s">
        <v>7319</v>
      </c>
      <c r="J1302" s="136" t="s">
        <v>7320</v>
      </c>
      <c r="K1302" s="83" t="s">
        <v>467</v>
      </c>
      <c r="L1302" s="83" t="s">
        <v>168</v>
      </c>
      <c r="M1302" s="83" t="s">
        <v>169</v>
      </c>
      <c r="N1302" s="115" t="s">
        <v>170</v>
      </c>
      <c r="O1302" s="98" t="s">
        <v>155</v>
      </c>
      <c r="P1302" s="99" t="str">
        <f>IFERROR(__xludf.DUMMYFUNCTION("IFERROR(VLOOKUP(AS1302,IMPORTRANGE(""https://docs.google.com/spreadsheets/d/1juPI-Fb8LD0YtltB2mlGEnp_R3UVu1t3wSFPzgCyHXE/edit?gid=0#gid=0"",""GERAL!A2:C""),3,0),""-"")"),"CAMPO")</f>
        <v>CAMPO</v>
      </c>
      <c r="Q1302" s="83"/>
      <c r="R1302" s="83"/>
      <c r="S1302" s="83"/>
      <c r="T1302" s="83"/>
      <c r="U1302" s="83"/>
      <c r="V1302" s="83"/>
      <c r="W1302" s="83"/>
      <c r="X1302" s="83"/>
      <c r="Y1302" s="83"/>
      <c r="Z1302" s="83"/>
      <c r="AA1302" s="83"/>
      <c r="AB1302" s="83"/>
      <c r="AC1302" s="83"/>
      <c r="AD1302" s="83"/>
      <c r="AE1302" s="83"/>
      <c r="AF1302" s="83"/>
      <c r="AG1302" s="83"/>
      <c r="AH1302" s="83"/>
      <c r="AI1302" s="83"/>
      <c r="AJ1302" s="83"/>
      <c r="AK1302" s="83"/>
      <c r="AL1302" s="83"/>
      <c r="AM1302" s="83"/>
      <c r="AN1302" s="83"/>
      <c r="AO1302" s="83"/>
      <c r="AP1302" s="83"/>
      <c r="AQ1302" s="83"/>
      <c r="AR1302" s="83"/>
      <c r="AS1302" s="83">
        <v>1178916.0</v>
      </c>
    </row>
    <row r="1303" ht="15.75" customHeight="1">
      <c r="A1303" s="111" t="s">
        <v>1573</v>
      </c>
      <c r="B1303" s="83" t="s">
        <v>2297</v>
      </c>
      <c r="C1303" s="83" t="s">
        <v>45</v>
      </c>
      <c r="D1303" s="112">
        <v>1178379.0</v>
      </c>
      <c r="E1303" s="83"/>
      <c r="F1303" s="83">
        <v>2.937751E7</v>
      </c>
      <c r="G1303" s="91" t="str">
        <f>IFERROR(__xludf.DUMMYFUNCTION("XLOOKUP(AS1303,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DE CORRENTINA")</f>
        <v>ESCOLA FAMILIA AGRICOLA DE CORRENTINA</v>
      </c>
      <c r="H1303" s="114" t="s">
        <v>7321</v>
      </c>
      <c r="I1303" s="91" t="s">
        <v>7322</v>
      </c>
      <c r="J1303" s="136" t="s">
        <v>149</v>
      </c>
      <c r="K1303" s="115" t="s">
        <v>1498</v>
      </c>
      <c r="L1303" s="83" t="s">
        <v>171</v>
      </c>
      <c r="M1303" s="83" t="s">
        <v>76</v>
      </c>
      <c r="N1303" s="98" t="s">
        <v>7323</v>
      </c>
      <c r="O1303" s="98" t="s">
        <v>155</v>
      </c>
      <c r="P1303" s="99" t="str">
        <f>IFERROR(__xludf.DUMMYFUNCTION("IFERROR(VLOOKUP(AS1303,IMPORTRANGE(""https://docs.google.com/spreadsheets/d/1juPI-Fb8LD0YtltB2mlGEnp_R3UVu1t3wSFPzgCyHXE/edit?gid=0#gid=0"",""GERAL!A2:C""),3,0),""-"")"),"EFA")</f>
        <v>EFA</v>
      </c>
      <c r="Q1303" s="98" t="s">
        <v>171</v>
      </c>
      <c r="R1303" s="98">
        <v>2.0</v>
      </c>
      <c r="S1303" s="98">
        <v>0.0</v>
      </c>
      <c r="T1303" s="98">
        <v>0.0</v>
      </c>
      <c r="U1303" s="98">
        <v>1.0</v>
      </c>
      <c r="V1303" s="98">
        <v>1.0</v>
      </c>
      <c r="W1303" s="98">
        <v>18.0</v>
      </c>
      <c r="X1303" s="98">
        <v>1.0</v>
      </c>
      <c r="Y1303" s="98">
        <v>0.0</v>
      </c>
      <c r="Z1303" s="98">
        <v>0.0</v>
      </c>
      <c r="AA1303" s="98">
        <v>1.0</v>
      </c>
      <c r="AB1303" s="98">
        <v>0.0</v>
      </c>
      <c r="AC1303" s="98">
        <v>1.0</v>
      </c>
      <c r="AD1303" s="98">
        <v>0.0</v>
      </c>
      <c r="AE1303" s="98">
        <v>0.0</v>
      </c>
      <c r="AF1303" s="98">
        <v>0.0</v>
      </c>
      <c r="AG1303" s="98">
        <v>0.0</v>
      </c>
      <c r="AH1303" s="98">
        <v>0.0</v>
      </c>
      <c r="AI1303" s="98">
        <v>1.0</v>
      </c>
      <c r="AJ1303" s="98">
        <v>0.0</v>
      </c>
      <c r="AK1303" s="98">
        <v>0.0</v>
      </c>
      <c r="AL1303" s="98">
        <v>1.0</v>
      </c>
      <c r="AM1303" s="98">
        <v>0.0</v>
      </c>
      <c r="AN1303" s="98">
        <v>0.0</v>
      </c>
      <c r="AO1303" s="98">
        <v>0.0</v>
      </c>
      <c r="AP1303" s="98">
        <v>0.0</v>
      </c>
      <c r="AQ1303" s="98" t="s">
        <v>7326</v>
      </c>
      <c r="AR1303" s="102">
        <v>46231.0</v>
      </c>
      <c r="AS1303" s="83">
        <v>1178379.0</v>
      </c>
    </row>
    <row r="1304" ht="15.75" customHeight="1">
      <c r="A1304" s="111" t="s">
        <v>1573</v>
      </c>
      <c r="B1304" s="83" t="s">
        <v>2297</v>
      </c>
      <c r="C1304" s="83" t="s">
        <v>68</v>
      </c>
      <c r="D1304" s="112">
        <v>1131453.0</v>
      </c>
      <c r="E1304" s="83"/>
      <c r="F1304" s="83">
        <v>2.9013275E7</v>
      </c>
      <c r="G1304" s="91" t="str">
        <f>IFERROR(__xludf.DUMMYFUNCTION("XLOOKUP(AS1304,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CORRENTINA (ANTIGO - COLÉGIO ESTADUAL DUQUE DE CAXIAS)")</f>
        <v>COLÉGIO ESTADUAL DE TEMPO INTEGRAL DE CORRENTINA (ANTIGO - COLÉGIO ESTADUAL DUQUE DE CAXIAS)</v>
      </c>
      <c r="H1304" s="119" t="s">
        <v>7327</v>
      </c>
      <c r="I1304" s="91" t="s">
        <v>7328</v>
      </c>
      <c r="J1304" s="136" t="s">
        <v>149</v>
      </c>
      <c r="K1304" s="136" t="s">
        <v>150</v>
      </c>
      <c r="L1304" s="83" t="s">
        <v>151</v>
      </c>
      <c r="M1304" s="98" t="s">
        <v>1391</v>
      </c>
      <c r="N1304" s="98" t="s">
        <v>7329</v>
      </c>
      <c r="O1304" s="98" t="s">
        <v>155</v>
      </c>
      <c r="P1304" s="99" t="str">
        <f>IFERROR(__xludf.DUMMYFUNCTION("IFERROR(VLOOKUP(AS1304,IMPORTRANGE(""https://docs.google.com/spreadsheets/d/1juPI-Fb8LD0YtltB2mlGEnp_R3UVu1t3wSFPzgCyHXE/edit?gid=0#gid=0"",""GERAL!A2:C""),3,0),""-"")"),"-")</f>
        <v>-</v>
      </c>
      <c r="Q1304" s="101" t="s">
        <v>156</v>
      </c>
      <c r="R1304" s="98">
        <v>36.0</v>
      </c>
      <c r="S1304" s="98">
        <v>1.0</v>
      </c>
      <c r="T1304" s="98">
        <v>1.0</v>
      </c>
      <c r="U1304" s="98">
        <v>0.0</v>
      </c>
      <c r="V1304" s="98">
        <v>1.0</v>
      </c>
      <c r="W1304" s="98">
        <v>5.0</v>
      </c>
      <c r="X1304" s="98">
        <v>1.0</v>
      </c>
      <c r="Y1304" s="98">
        <v>0.0</v>
      </c>
      <c r="Z1304" s="98">
        <v>1.0</v>
      </c>
      <c r="AA1304" s="98">
        <v>0.0</v>
      </c>
      <c r="AB1304" s="98">
        <v>1.0</v>
      </c>
      <c r="AC1304" s="98">
        <v>0.0</v>
      </c>
      <c r="AD1304" s="98">
        <v>0.0</v>
      </c>
      <c r="AE1304" s="98">
        <v>0.0</v>
      </c>
      <c r="AF1304" s="98">
        <v>1.0</v>
      </c>
      <c r="AG1304" s="98">
        <v>0.0</v>
      </c>
      <c r="AH1304" s="98">
        <v>0.0</v>
      </c>
      <c r="AI1304" s="98">
        <v>0.0</v>
      </c>
      <c r="AJ1304" s="98">
        <v>0.0</v>
      </c>
      <c r="AK1304" s="98">
        <v>0.0</v>
      </c>
      <c r="AL1304" s="98">
        <v>0.0</v>
      </c>
      <c r="AM1304" s="98">
        <v>0.0</v>
      </c>
      <c r="AN1304" s="98">
        <v>0.0</v>
      </c>
      <c r="AO1304" s="98">
        <v>1.0</v>
      </c>
      <c r="AP1304" s="98">
        <v>0.0</v>
      </c>
      <c r="AQ1304" s="98" t="s">
        <v>7335</v>
      </c>
      <c r="AR1304" s="102">
        <v>46191.0</v>
      </c>
      <c r="AS1304" s="83">
        <v>1131453.0</v>
      </c>
    </row>
    <row r="1305" ht="15.75" customHeight="1">
      <c r="A1305" s="111" t="s">
        <v>1573</v>
      </c>
      <c r="B1305" s="83" t="s">
        <v>2297</v>
      </c>
      <c r="C1305" s="83" t="s">
        <v>68</v>
      </c>
      <c r="D1305" s="98">
        <v>1179830.0</v>
      </c>
      <c r="E1305" s="83"/>
      <c r="F1305" s="98">
        <v>44459.0</v>
      </c>
      <c r="G1305" s="91" t="str">
        <f>IFERROR(__xludf.DUMMYFUNCTION("XLOOKUP(AS1305,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CENILDA SELMA SCHERRER STIMER
 DISTRITO DE VILA DO ROSÁRIO")</f>
        <v>COLÉGIO ESTADUAL DE TEMPO INTEGRAL CENILDA SELMA SCHERRER STIMER
 DISTRITO DE VILA DO ROSÁRIO</v>
      </c>
      <c r="H1305" s="119" t="s">
        <v>7336</v>
      </c>
      <c r="I1305" s="108" t="s">
        <v>7337</v>
      </c>
      <c r="J1305" s="136"/>
      <c r="K1305" s="136"/>
      <c r="L1305" s="83" t="s">
        <v>151</v>
      </c>
      <c r="M1305" s="83" t="s">
        <v>169</v>
      </c>
      <c r="N1305" s="98" t="s">
        <v>7338</v>
      </c>
      <c r="O1305" s="98"/>
      <c r="P1305" s="99" t="str">
        <f>IFERROR(__xludf.DUMMYFUNCTION("IFERROR(VLOOKUP(AS1305,IMPORTRANGE(""https://docs.google.com/spreadsheets/d/1juPI-Fb8LD0YtltB2mlGEnp_R3UVu1t3wSFPzgCyHXE/edit?gid=0#gid=0"",""GERAL!A2:C""),3,0),""-"")"),"-")</f>
        <v>-</v>
      </c>
      <c r="Q1305" s="101" t="s">
        <v>156</v>
      </c>
      <c r="R1305" s="98">
        <v>6.0</v>
      </c>
      <c r="S1305" s="98">
        <v>1.0</v>
      </c>
      <c r="T1305" s="98">
        <v>0.0</v>
      </c>
      <c r="U1305" s="98">
        <v>0.0</v>
      </c>
      <c r="V1305" s="98">
        <v>1.0</v>
      </c>
      <c r="W1305" s="98">
        <v>1.0</v>
      </c>
      <c r="X1305" s="98">
        <v>0.0</v>
      </c>
      <c r="Y1305" s="98">
        <v>1.0</v>
      </c>
      <c r="Z1305" s="98">
        <v>1.0</v>
      </c>
      <c r="AA1305" s="98">
        <v>0.0</v>
      </c>
      <c r="AB1305" s="98">
        <v>1.0</v>
      </c>
      <c r="AC1305" s="98">
        <v>0.0</v>
      </c>
      <c r="AD1305" s="98">
        <v>0.0</v>
      </c>
      <c r="AE1305" s="98">
        <v>0.0</v>
      </c>
      <c r="AF1305" s="98">
        <v>1.0</v>
      </c>
      <c r="AG1305" s="98">
        <v>0.0</v>
      </c>
      <c r="AH1305" s="98">
        <v>0.0</v>
      </c>
      <c r="AI1305" s="98">
        <v>0.0</v>
      </c>
      <c r="AJ1305" s="98">
        <v>1.0</v>
      </c>
      <c r="AK1305" s="98">
        <v>0.0</v>
      </c>
      <c r="AL1305" s="98">
        <v>0.0</v>
      </c>
      <c r="AM1305" s="98">
        <v>0.0</v>
      </c>
      <c r="AN1305" s="98">
        <v>0.0</v>
      </c>
      <c r="AO1305" s="98">
        <v>0.0</v>
      </c>
      <c r="AP1305" s="98">
        <v>0.0</v>
      </c>
      <c r="AQ1305" s="98" t="s">
        <v>7340</v>
      </c>
      <c r="AR1305" s="102">
        <v>46191.0</v>
      </c>
      <c r="AS1305" s="98">
        <v>1179830.0</v>
      </c>
    </row>
    <row r="1306" ht="15.75" customHeight="1">
      <c r="A1306" s="111" t="s">
        <v>1573</v>
      </c>
      <c r="B1306" s="83" t="s">
        <v>2297</v>
      </c>
      <c r="C1306" s="83" t="s">
        <v>164</v>
      </c>
      <c r="D1306" s="112">
        <v>1131453.0</v>
      </c>
      <c r="E1306" s="83">
        <v>1178917.0</v>
      </c>
      <c r="F1306" s="83"/>
      <c r="G1306" s="91" t="str">
        <f>IFERROR(__xludf.DUMMYFUNCTION("XLOOKUP(AS1306,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CORRENTINA - DISTRITO DE ARROGELANDIA (ANTIGO - COLÉGIO ESTADUAL DUQUE DE CAXIAS)")</f>
        <v>ANEXO - COLÉGIO ESTADUAL DE TEMPO INTEGRAL DE CORRENTINA - DISTRITO DE ARROGELANDIA (ANTIGO - COLÉGIO ESTADUAL DUQUE DE CAXIAS)</v>
      </c>
      <c r="H1306" s="119" t="s">
        <v>7341</v>
      </c>
      <c r="I1306" s="91" t="s">
        <v>7342</v>
      </c>
      <c r="J1306" s="136" t="s">
        <v>7343</v>
      </c>
      <c r="K1306" s="83" t="s">
        <v>664</v>
      </c>
      <c r="L1306" s="83" t="s">
        <v>168</v>
      </c>
      <c r="M1306" s="83" t="s">
        <v>169</v>
      </c>
      <c r="N1306" s="115" t="s">
        <v>170</v>
      </c>
      <c r="O1306" s="98" t="s">
        <v>155</v>
      </c>
      <c r="P1306" s="99" t="str">
        <f>IFERROR(__xludf.DUMMYFUNCTION("IFERROR(VLOOKUP(AS1306,IMPORTRANGE(""https://docs.google.com/spreadsheets/d/1juPI-Fb8LD0YtltB2mlGEnp_R3UVu1t3wSFPzgCyHXE/edit?gid=0#gid=0"",""GERAL!A2:C""),3,0),""-"")"),"CAMPO")</f>
        <v>CAMPO</v>
      </c>
      <c r="Q1306" s="98" t="s">
        <v>171</v>
      </c>
      <c r="R1306" s="98">
        <v>3.0</v>
      </c>
      <c r="S1306" s="98">
        <v>0.0</v>
      </c>
      <c r="T1306" s="98">
        <v>0.0</v>
      </c>
      <c r="U1306" s="98">
        <v>0.0</v>
      </c>
      <c r="V1306" s="98">
        <v>0.0</v>
      </c>
      <c r="W1306" s="98">
        <v>0.0</v>
      </c>
      <c r="X1306" s="98">
        <v>1.0</v>
      </c>
      <c r="Y1306" s="98">
        <v>0.0</v>
      </c>
      <c r="Z1306" s="98">
        <v>0.0</v>
      </c>
      <c r="AA1306" s="98">
        <v>0.0</v>
      </c>
      <c r="AB1306" s="98">
        <v>0.0</v>
      </c>
      <c r="AC1306" s="98">
        <v>1.0</v>
      </c>
      <c r="AD1306" s="98">
        <v>0.0</v>
      </c>
      <c r="AE1306" s="98">
        <v>0.0</v>
      </c>
      <c r="AF1306" s="98">
        <v>0.0</v>
      </c>
      <c r="AG1306" s="98">
        <v>0.0</v>
      </c>
      <c r="AH1306" s="98">
        <v>1.0</v>
      </c>
      <c r="AI1306" s="98">
        <v>0.0</v>
      </c>
      <c r="AJ1306" s="98">
        <v>0.0</v>
      </c>
      <c r="AK1306" s="98">
        <v>0.0</v>
      </c>
      <c r="AL1306" s="98">
        <v>0.0</v>
      </c>
      <c r="AM1306" s="98">
        <v>0.0</v>
      </c>
      <c r="AN1306" s="98">
        <v>0.0</v>
      </c>
      <c r="AO1306" s="98">
        <v>0.0</v>
      </c>
      <c r="AP1306" s="98">
        <v>0.0</v>
      </c>
      <c r="AQ1306" s="98" t="s">
        <v>171</v>
      </c>
      <c r="AR1306" s="102">
        <v>46206.0</v>
      </c>
      <c r="AS1306" s="83">
        <v>1178917.0</v>
      </c>
    </row>
    <row r="1307" ht="15.75" customHeight="1">
      <c r="A1307" s="111" t="s">
        <v>1573</v>
      </c>
      <c r="B1307" s="83" t="s">
        <v>7345</v>
      </c>
      <c r="C1307" s="83" t="s">
        <v>68</v>
      </c>
      <c r="D1307" s="112">
        <v>1141726.0</v>
      </c>
      <c r="E1307" s="83"/>
      <c r="F1307" s="83">
        <v>2.9013887E7</v>
      </c>
      <c r="G1307" s="91" t="str">
        <f>IFERROR(__xludf.DUMMYFUNCTION("XLOOKUP(AS1307,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MARIA DO SOCORRO PEREIRA DE MATOS - (ANTIGO CE FRANCISCO MOREIRA ALVES)")</f>
        <v>COLÉGIO ESTADUAL DE TEMPO INTEGRAL MARIA DO SOCORRO PEREIRA DE MATOS - (ANTIGO CE FRANCISCO MOREIRA ALVES)</v>
      </c>
      <c r="H1307" s="119" t="s">
        <v>7346</v>
      </c>
      <c r="I1307" s="91" t="s">
        <v>7347</v>
      </c>
      <c r="J1307" s="172" t="s">
        <v>149</v>
      </c>
      <c r="K1307" s="83" t="s">
        <v>150</v>
      </c>
      <c r="L1307" s="83" t="s">
        <v>168</v>
      </c>
      <c r="M1307" s="83" t="s">
        <v>76</v>
      </c>
      <c r="N1307" s="98" t="s">
        <v>7348</v>
      </c>
      <c r="O1307" s="98" t="s">
        <v>155</v>
      </c>
      <c r="P1307" s="99" t="str">
        <f>IFERROR(__xludf.DUMMYFUNCTION("IFERROR(VLOOKUP(AS1307,IMPORTRANGE(""https://docs.google.com/spreadsheets/d/1juPI-Fb8LD0YtltB2mlGEnp_R3UVu1t3wSFPzgCyHXE/edit?gid=0#gid=0"",""GERAL!A2:C""),3,0),""-"")"),"-")</f>
        <v>-</v>
      </c>
      <c r="Q1307" s="98" t="s">
        <v>156</v>
      </c>
      <c r="R1307" s="98">
        <v>11.0</v>
      </c>
      <c r="S1307" s="98">
        <v>1.0</v>
      </c>
      <c r="T1307" s="98">
        <v>0.0</v>
      </c>
      <c r="U1307" s="98">
        <v>0.0</v>
      </c>
      <c r="V1307" s="98">
        <v>0.0</v>
      </c>
      <c r="W1307" s="98">
        <v>2.0</v>
      </c>
      <c r="X1307" s="98">
        <v>1.0</v>
      </c>
      <c r="Y1307" s="98">
        <v>0.0</v>
      </c>
      <c r="Z1307" s="98">
        <v>1.0</v>
      </c>
      <c r="AA1307" s="98">
        <v>0.0</v>
      </c>
      <c r="AB1307" s="98">
        <v>1.0</v>
      </c>
      <c r="AC1307" s="98">
        <v>0.0</v>
      </c>
      <c r="AD1307" s="98">
        <v>0.0</v>
      </c>
      <c r="AE1307" s="98">
        <v>0.0</v>
      </c>
      <c r="AF1307" s="98">
        <v>1.0</v>
      </c>
      <c r="AG1307" s="98">
        <v>0.0</v>
      </c>
      <c r="AH1307" s="98">
        <v>0.0</v>
      </c>
      <c r="AI1307" s="98">
        <v>0.0</v>
      </c>
      <c r="AJ1307" s="98">
        <v>1.0</v>
      </c>
      <c r="AK1307" s="98">
        <v>0.0</v>
      </c>
      <c r="AL1307" s="98">
        <v>0.0</v>
      </c>
      <c r="AM1307" s="98">
        <v>0.0</v>
      </c>
      <c r="AN1307" s="98">
        <v>0.0</v>
      </c>
      <c r="AO1307" s="98">
        <v>0.0</v>
      </c>
      <c r="AP1307" s="98">
        <v>0.0</v>
      </c>
      <c r="AQ1307" s="98" t="s">
        <v>7350</v>
      </c>
      <c r="AR1307" s="102">
        <v>46231.0</v>
      </c>
      <c r="AS1307" s="83">
        <v>1141726.0</v>
      </c>
    </row>
    <row r="1308" ht="15.75" customHeight="1">
      <c r="A1308" s="111" t="s">
        <v>1573</v>
      </c>
      <c r="B1308" s="83" t="s">
        <v>7345</v>
      </c>
      <c r="C1308" s="83" t="s">
        <v>164</v>
      </c>
      <c r="D1308" s="112">
        <v>1141726.0</v>
      </c>
      <c r="E1308" s="83">
        <v>1178919.0</v>
      </c>
      <c r="F1308" s="83"/>
      <c r="G1308" s="91" t="str">
        <f>IFERROR(__xludf.DUMMYFUNCTION("XLOOKUP(AS1308,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FRANCISCO MOREIRA ALVES - POVOADO DE BREJAO")</f>
        <v>ANEXO - COLÉGIO ESTADUAL FRANCISCO MOREIRA ALVES - POVOADO DE BREJAO</v>
      </c>
      <c r="H1308" s="119" t="s">
        <v>7351</v>
      </c>
      <c r="I1308" s="91" t="s">
        <v>7352</v>
      </c>
      <c r="J1308" s="172" t="s">
        <v>149</v>
      </c>
      <c r="K1308" s="83" t="s">
        <v>939</v>
      </c>
      <c r="L1308" s="83" t="s">
        <v>168</v>
      </c>
      <c r="M1308" s="83" t="s">
        <v>169</v>
      </c>
      <c r="N1308" s="115" t="s">
        <v>170</v>
      </c>
      <c r="O1308" s="98" t="s">
        <v>155</v>
      </c>
      <c r="P1308" s="99" t="str">
        <f>IFERROR(__xludf.DUMMYFUNCTION("IFERROR(VLOOKUP(AS1308,IMPORTRANGE(""https://docs.google.com/spreadsheets/d/1juPI-Fb8LD0YtltB2mlGEnp_R3UVu1t3wSFPzgCyHXE/edit?gid=0#gid=0"",""GERAL!A2:C""),3,0),""-"")"),"CAMPO")</f>
        <v>CAMPO</v>
      </c>
      <c r="Q1308" s="98" t="s">
        <v>156</v>
      </c>
      <c r="R1308" s="98">
        <v>1.0</v>
      </c>
      <c r="S1308" s="98">
        <v>0.0</v>
      </c>
      <c r="T1308" s="98">
        <v>0.0</v>
      </c>
      <c r="U1308" s="98">
        <v>0.0</v>
      </c>
      <c r="V1308" s="98">
        <v>0.0</v>
      </c>
      <c r="W1308" s="98">
        <v>0.0</v>
      </c>
      <c r="X1308" s="98">
        <v>0.0</v>
      </c>
      <c r="Y1308" s="98">
        <v>0.0</v>
      </c>
      <c r="Z1308" s="98">
        <v>0.0</v>
      </c>
      <c r="AA1308" s="98">
        <v>0.0</v>
      </c>
      <c r="AB1308" s="98">
        <v>0.0</v>
      </c>
      <c r="AC1308" s="98">
        <v>0.0</v>
      </c>
      <c r="AD1308" s="98">
        <v>0.0</v>
      </c>
      <c r="AE1308" s="98">
        <v>0.0</v>
      </c>
      <c r="AF1308" s="98">
        <v>0.0</v>
      </c>
      <c r="AG1308" s="98">
        <v>0.0</v>
      </c>
      <c r="AH1308" s="98">
        <v>0.0</v>
      </c>
      <c r="AI1308" s="98">
        <v>0.0</v>
      </c>
      <c r="AJ1308" s="98">
        <v>0.0</v>
      </c>
      <c r="AK1308" s="98">
        <v>0.0</v>
      </c>
      <c r="AL1308" s="98">
        <v>0.0</v>
      </c>
      <c r="AM1308" s="98">
        <v>0.0</v>
      </c>
      <c r="AN1308" s="98">
        <v>0.0</v>
      </c>
      <c r="AO1308" s="98">
        <v>0.0</v>
      </c>
      <c r="AP1308" s="98">
        <v>0.0</v>
      </c>
      <c r="AQ1308" s="98" t="s">
        <v>171</v>
      </c>
      <c r="AR1308" s="102">
        <v>46231.0</v>
      </c>
      <c r="AS1308" s="83">
        <v>1178919.0</v>
      </c>
    </row>
    <row r="1309" ht="15.75" customHeight="1">
      <c r="A1309" s="111" t="s">
        <v>1573</v>
      </c>
      <c r="B1309" s="83" t="s">
        <v>7353</v>
      </c>
      <c r="C1309" s="83" t="s">
        <v>68</v>
      </c>
      <c r="D1309" s="112">
        <v>1131860.0</v>
      </c>
      <c r="E1309" s="83"/>
      <c r="F1309" s="83">
        <v>2.9015227E7</v>
      </c>
      <c r="G1309" s="91" t="str">
        <f>IFERROR(__xludf.DUMMYFUNCTION("XLOOKUP(AS1309,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ROLANDO LARANJEIRA BARBOSA")</f>
        <v>COLÉGIO ESTADUAL ROLANDO LARANJEIRA BARBOSA</v>
      </c>
      <c r="H1309" s="119" t="s">
        <v>7355</v>
      </c>
      <c r="I1309" s="91" t="s">
        <v>7356</v>
      </c>
      <c r="J1309" s="172" t="s">
        <v>149</v>
      </c>
      <c r="K1309" s="83" t="s">
        <v>150</v>
      </c>
      <c r="L1309" s="83" t="s">
        <v>151</v>
      </c>
      <c r="M1309" s="83" t="s">
        <v>152</v>
      </c>
      <c r="N1309" s="98" t="s">
        <v>7357</v>
      </c>
      <c r="O1309" s="98" t="s">
        <v>155</v>
      </c>
      <c r="P1309" s="99" t="str">
        <f>IFERROR(__xludf.DUMMYFUNCTION("IFERROR(VLOOKUP(AS1309,IMPORTRANGE(""https://docs.google.com/spreadsheets/d/1juPI-Fb8LD0YtltB2mlGEnp_R3UVu1t3wSFPzgCyHXE/edit?gid=0#gid=0"",""GERAL!A2:C""),3,0),""-"")"),"-")</f>
        <v>-</v>
      </c>
      <c r="Q1309" s="101" t="s">
        <v>156</v>
      </c>
      <c r="R1309" s="98">
        <v>10.0</v>
      </c>
      <c r="S1309" s="98">
        <v>0.0</v>
      </c>
      <c r="T1309" s="98">
        <v>0.0</v>
      </c>
      <c r="U1309" s="98">
        <v>0.0</v>
      </c>
      <c r="V1309" s="98">
        <v>0.0</v>
      </c>
      <c r="W1309" s="98">
        <v>0.0</v>
      </c>
      <c r="X1309" s="98">
        <v>0.0</v>
      </c>
      <c r="Y1309" s="98">
        <v>0.0</v>
      </c>
      <c r="Z1309" s="98">
        <v>0.0</v>
      </c>
      <c r="AA1309" s="98">
        <v>0.0</v>
      </c>
      <c r="AB1309" s="98">
        <v>0.0</v>
      </c>
      <c r="AC1309" s="98">
        <v>0.0</v>
      </c>
      <c r="AD1309" s="98">
        <v>0.0</v>
      </c>
      <c r="AE1309" s="98">
        <v>0.0</v>
      </c>
      <c r="AF1309" s="98">
        <v>0.0</v>
      </c>
      <c r="AG1309" s="98">
        <v>1.0</v>
      </c>
      <c r="AH1309" s="98">
        <v>0.0</v>
      </c>
      <c r="AI1309" s="98">
        <v>0.0</v>
      </c>
      <c r="AJ1309" s="98">
        <v>0.0</v>
      </c>
      <c r="AK1309" s="98">
        <v>0.0</v>
      </c>
      <c r="AL1309" s="98">
        <v>0.0</v>
      </c>
      <c r="AM1309" s="98">
        <v>0.0</v>
      </c>
      <c r="AN1309" s="98">
        <v>0.0</v>
      </c>
      <c r="AO1309" s="98">
        <v>0.0</v>
      </c>
      <c r="AP1309" s="98">
        <v>3.0</v>
      </c>
      <c r="AQ1309" s="98" t="s">
        <v>7358</v>
      </c>
      <c r="AR1309" s="102">
        <v>46216.0</v>
      </c>
      <c r="AS1309" s="83">
        <v>1131860.0</v>
      </c>
    </row>
    <row r="1310" ht="15.75" customHeight="1">
      <c r="A1310" s="111" t="s">
        <v>1573</v>
      </c>
      <c r="B1310" s="83" t="s">
        <v>7353</v>
      </c>
      <c r="C1310" s="83" t="s">
        <v>68</v>
      </c>
      <c r="D1310" s="112">
        <v>1132000.0</v>
      </c>
      <c r="E1310" s="83"/>
      <c r="F1310" s="83">
        <v>2.9014433E7</v>
      </c>
      <c r="G1310" s="91" t="str">
        <f>IFERROR(__xludf.DUMMYFUNCTION("XLOOKUP(AS1310,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DA BACIA DO RIO CORRENTE")</f>
        <v>CENTRO TERRITORIAL DE EDUCACAO PROFISSIONAL DA BACIA DO RIO CORRENTE</v>
      </c>
      <c r="H1310" s="114" t="s">
        <v>7359</v>
      </c>
      <c r="I1310" s="91" t="s">
        <v>5916</v>
      </c>
      <c r="J1310" s="229" t="s">
        <v>5917</v>
      </c>
      <c r="K1310" s="83" t="s">
        <v>150</v>
      </c>
      <c r="L1310" s="83" t="s">
        <v>151</v>
      </c>
      <c r="M1310" s="83" t="s">
        <v>230</v>
      </c>
      <c r="N1310" s="98" t="s">
        <v>7360</v>
      </c>
      <c r="O1310" s="98" t="s">
        <v>284</v>
      </c>
      <c r="P1310" s="99" t="str">
        <f>IFERROR(__xludf.DUMMYFUNCTION("IFERROR(VLOOKUP(AS1310,IMPORTRANGE(""https://docs.google.com/spreadsheets/d/1juPI-Fb8LD0YtltB2mlGEnp_R3UVu1t3wSFPzgCyHXE/edit?gid=0#gid=0"",""GERAL!A2:C""),3,0),""-"")"),"-")</f>
        <v>-</v>
      </c>
      <c r="Q1310" s="101" t="s">
        <v>156</v>
      </c>
      <c r="R1310" s="98">
        <v>14.0</v>
      </c>
      <c r="S1310" s="98">
        <v>0.0</v>
      </c>
      <c r="T1310" s="98">
        <v>4.0</v>
      </c>
      <c r="U1310" s="98">
        <v>0.0</v>
      </c>
      <c r="V1310" s="98">
        <v>1.0</v>
      </c>
      <c r="W1310" s="98">
        <v>4.0</v>
      </c>
      <c r="X1310" s="98">
        <v>0.0</v>
      </c>
      <c r="Y1310" s="98">
        <v>0.0</v>
      </c>
      <c r="Z1310" s="98">
        <v>1.0</v>
      </c>
      <c r="AA1310" s="98">
        <v>0.0</v>
      </c>
      <c r="AB1310" s="98">
        <v>1.0</v>
      </c>
      <c r="AC1310" s="98">
        <v>0.0</v>
      </c>
      <c r="AD1310" s="98">
        <v>0.0</v>
      </c>
      <c r="AE1310" s="98">
        <v>0.0</v>
      </c>
      <c r="AF1310" s="98">
        <v>1.0</v>
      </c>
      <c r="AG1310" s="98">
        <v>0.0</v>
      </c>
      <c r="AH1310" s="98">
        <v>0.0</v>
      </c>
      <c r="AI1310" s="98">
        <v>0.0</v>
      </c>
      <c r="AJ1310" s="98">
        <v>0.0</v>
      </c>
      <c r="AK1310" s="98">
        <v>1.0</v>
      </c>
      <c r="AL1310" s="98">
        <v>0.0</v>
      </c>
      <c r="AM1310" s="98">
        <v>0.0</v>
      </c>
      <c r="AN1310" s="98">
        <v>0.0</v>
      </c>
      <c r="AO1310" s="98">
        <v>1.0</v>
      </c>
      <c r="AP1310" s="98">
        <v>2.0</v>
      </c>
      <c r="AQ1310" s="98" t="s">
        <v>7374</v>
      </c>
      <c r="AR1310" s="102">
        <v>46216.0</v>
      </c>
      <c r="AS1310" s="83">
        <v>1132000.0</v>
      </c>
    </row>
    <row r="1311" ht="15.75" customHeight="1">
      <c r="A1311" s="111" t="s">
        <v>1573</v>
      </c>
      <c r="B1311" s="83" t="s">
        <v>7353</v>
      </c>
      <c r="C1311" s="83" t="s">
        <v>68</v>
      </c>
      <c r="D1311" s="98">
        <v>1179821.0</v>
      </c>
      <c r="E1311" s="83"/>
      <c r="F1311" s="98">
        <v>44442.0</v>
      </c>
      <c r="G1311" s="91" t="str">
        <f>IFERROR(__xludf.DUMMYFUNCTION("XLOOKUP(AS1311,
IMPORTRANGE(""https://docs.google.com/spreadsheets/d/1YM-djuOLXomrZ9W0B4TyIBsVWnXY4EIOFD9HY-qGfv0/edit?usp=sharing"",""GERAL!BG5:BG""),
IMPORTRANGE(""https://docs.google.com/spreadsheets/d/1YM-djuOLXomrZ9W0B4TyIBsVWnXY4EIOFD9HY-qGfv0/edit?"&amp;"usp=sharing"",""GERAL!G5:G""),
""CÓD. SEC NÃO ENCONTRADO NA PLANILHA DE MATRÍCULA"")"),"CEMIT BACIA DO RIO CORRENTE ")</f>
        <v>CEMIT BACIA DO RIO CORRENTE </v>
      </c>
      <c r="H1311" s="119" t="s">
        <v>7375</v>
      </c>
      <c r="I1311" s="108" t="s">
        <v>7376</v>
      </c>
      <c r="J1311" s="172" t="s">
        <v>149</v>
      </c>
      <c r="K1311" s="83"/>
      <c r="L1311" s="83" t="s">
        <v>151</v>
      </c>
      <c r="M1311" s="83" t="s">
        <v>169</v>
      </c>
      <c r="N1311" s="98" t="s">
        <v>7377</v>
      </c>
      <c r="O1311" s="98"/>
      <c r="P1311" s="99" t="str">
        <f>IFERROR(__xludf.DUMMYFUNCTION("IFERROR(VLOOKUP(AS1311,IMPORTRANGE(""https://docs.google.com/spreadsheets/d/1juPI-Fb8LD0YtltB2mlGEnp_R3UVu1t3wSFPzgCyHXE/edit?gid=0#gid=0"",""GERAL!A2:C""),3,0),""-"")"),"-")</f>
        <v>-</v>
      </c>
      <c r="Q1311" s="98" t="s">
        <v>171</v>
      </c>
      <c r="R1311" s="98" t="s">
        <v>171</v>
      </c>
      <c r="S1311" s="98" t="s">
        <v>171</v>
      </c>
      <c r="T1311" s="98" t="s">
        <v>171</v>
      </c>
      <c r="U1311" s="98" t="s">
        <v>171</v>
      </c>
      <c r="V1311" s="98" t="s">
        <v>171</v>
      </c>
      <c r="W1311" s="98" t="s">
        <v>171</v>
      </c>
      <c r="X1311" s="98" t="s">
        <v>171</v>
      </c>
      <c r="Y1311" s="98" t="s">
        <v>171</v>
      </c>
      <c r="Z1311" s="98" t="s">
        <v>171</v>
      </c>
      <c r="AA1311" s="98" t="s">
        <v>171</v>
      </c>
      <c r="AB1311" s="98" t="s">
        <v>171</v>
      </c>
      <c r="AC1311" s="98" t="s">
        <v>171</v>
      </c>
      <c r="AD1311" s="98" t="s">
        <v>171</v>
      </c>
      <c r="AE1311" s="98" t="s">
        <v>171</v>
      </c>
      <c r="AF1311" s="98" t="s">
        <v>171</v>
      </c>
      <c r="AG1311" s="98" t="s">
        <v>171</v>
      </c>
      <c r="AH1311" s="98" t="s">
        <v>171</v>
      </c>
      <c r="AI1311" s="98"/>
      <c r="AJ1311" s="98" t="s">
        <v>171</v>
      </c>
      <c r="AK1311" s="98" t="s">
        <v>171</v>
      </c>
      <c r="AL1311" s="98" t="s">
        <v>171</v>
      </c>
      <c r="AM1311" s="98" t="s">
        <v>171</v>
      </c>
      <c r="AN1311" s="98" t="s">
        <v>171</v>
      </c>
      <c r="AO1311" s="98" t="s">
        <v>171</v>
      </c>
      <c r="AP1311" s="98" t="s">
        <v>171</v>
      </c>
      <c r="AQ1311" s="98" t="s">
        <v>171</v>
      </c>
      <c r="AR1311" s="102">
        <v>46216.0</v>
      </c>
      <c r="AS1311" s="98">
        <v>1179821.0</v>
      </c>
    </row>
    <row r="1312" ht="15.75" customHeight="1">
      <c r="A1312" s="111" t="s">
        <v>1573</v>
      </c>
      <c r="B1312" s="83" t="s">
        <v>7353</v>
      </c>
      <c r="C1312" s="83" t="s">
        <v>164</v>
      </c>
      <c r="D1312" s="112">
        <v>1131860.0</v>
      </c>
      <c r="E1312" s="83">
        <v>1179604.0</v>
      </c>
      <c r="F1312" s="83"/>
      <c r="G1312" s="91" t="str">
        <f>IFERROR(__xludf.DUMMYFUNCTION("XLOOKUP(AS1312,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ROLANDO LARANJEIRAS BARBOSA - DISTRITO DE JATOBA")</f>
        <v>ANEXO - COLÉGIO ESTADUAL ROLANDO LARANJEIRAS BARBOSA - DISTRITO DE JATOBA</v>
      </c>
      <c r="H1312" s="119" t="s">
        <v>7381</v>
      </c>
      <c r="I1312" s="91" t="s">
        <v>7382</v>
      </c>
      <c r="J1312" s="172" t="s">
        <v>149</v>
      </c>
      <c r="K1312" s="83" t="s">
        <v>727</v>
      </c>
      <c r="L1312" s="83" t="s">
        <v>168</v>
      </c>
      <c r="M1312" s="83" t="s">
        <v>169</v>
      </c>
      <c r="N1312" s="115" t="s">
        <v>170</v>
      </c>
      <c r="O1312" s="98" t="s">
        <v>155</v>
      </c>
      <c r="P1312" s="99" t="str">
        <f>IFERROR(__xludf.DUMMYFUNCTION("IFERROR(VLOOKUP(AS1312,IMPORTRANGE(""https://docs.google.com/spreadsheets/d/1juPI-Fb8LD0YtltB2mlGEnp_R3UVu1t3wSFPzgCyHXE/edit?gid=0#gid=0"",""GERAL!A2:C""),3,0),""-"")"),"CAMPO")</f>
        <v>CAMPO</v>
      </c>
      <c r="Q1312" s="98" t="s">
        <v>171</v>
      </c>
      <c r="R1312" s="98">
        <v>3.0</v>
      </c>
      <c r="S1312" s="98" t="s">
        <v>171</v>
      </c>
      <c r="T1312" s="98" t="s">
        <v>171</v>
      </c>
      <c r="U1312" s="98" t="s">
        <v>171</v>
      </c>
      <c r="V1312" s="98" t="s">
        <v>171</v>
      </c>
      <c r="W1312" s="98" t="s">
        <v>171</v>
      </c>
      <c r="X1312" s="98" t="s">
        <v>171</v>
      </c>
      <c r="Y1312" s="98" t="s">
        <v>171</v>
      </c>
      <c r="Z1312" s="98" t="s">
        <v>171</v>
      </c>
      <c r="AA1312" s="98" t="s">
        <v>171</v>
      </c>
      <c r="AB1312" s="98" t="s">
        <v>171</v>
      </c>
      <c r="AC1312" s="98" t="s">
        <v>171</v>
      </c>
      <c r="AD1312" s="98" t="s">
        <v>171</v>
      </c>
      <c r="AE1312" s="98" t="s">
        <v>171</v>
      </c>
      <c r="AF1312" s="98" t="s">
        <v>171</v>
      </c>
      <c r="AG1312" s="98" t="s">
        <v>171</v>
      </c>
      <c r="AH1312" s="98" t="s">
        <v>171</v>
      </c>
      <c r="AI1312" s="98" t="s">
        <v>171</v>
      </c>
      <c r="AJ1312" s="98" t="s">
        <v>171</v>
      </c>
      <c r="AK1312" s="98" t="s">
        <v>171</v>
      </c>
      <c r="AL1312" s="98" t="s">
        <v>171</v>
      </c>
      <c r="AM1312" s="98" t="s">
        <v>171</v>
      </c>
      <c r="AN1312" s="83"/>
      <c r="AO1312" s="98" t="s">
        <v>171</v>
      </c>
      <c r="AP1312" s="98" t="s">
        <v>171</v>
      </c>
      <c r="AQ1312" s="98" t="s">
        <v>171</v>
      </c>
      <c r="AR1312" s="102">
        <v>46216.0</v>
      </c>
      <c r="AS1312" s="83">
        <v>1179604.0</v>
      </c>
    </row>
    <row r="1313" ht="15.75" customHeight="1">
      <c r="A1313" s="111" t="s">
        <v>1573</v>
      </c>
      <c r="B1313" s="83" t="s">
        <v>7353</v>
      </c>
      <c r="C1313" s="83" t="s">
        <v>164</v>
      </c>
      <c r="D1313" s="112">
        <v>1131860.0</v>
      </c>
      <c r="E1313" s="146">
        <v>1178424.0</v>
      </c>
      <c r="F1313" s="83"/>
      <c r="G1313" s="91" t="str">
        <f>IFERROR(__xludf.DUMMYFUNCTION("XLOOKUP(AS1313,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ROLANDO LARANJEIRA BARBOSA - POVOADO DE INHAUMAS")</f>
        <v>ANEXO - COLÉGIO ESTADUAL ROLANDO LARANJEIRA BARBOSA - POVOADO DE INHAUMAS</v>
      </c>
      <c r="H1313" s="119" t="s">
        <v>7386</v>
      </c>
      <c r="I1313" s="91" t="s">
        <v>7387</v>
      </c>
      <c r="J1313" s="172" t="s">
        <v>7388</v>
      </c>
      <c r="K1313" s="83" t="s">
        <v>1904</v>
      </c>
      <c r="L1313" s="83" t="s">
        <v>168</v>
      </c>
      <c r="M1313" s="83" t="s">
        <v>169</v>
      </c>
      <c r="N1313" s="115" t="s">
        <v>170</v>
      </c>
      <c r="O1313" s="98" t="s">
        <v>155</v>
      </c>
      <c r="P1313" s="99" t="str">
        <f>IFERROR(__xludf.DUMMYFUNCTION("IFERROR(VLOOKUP(AS1313,IMPORTRANGE(""https://docs.google.com/spreadsheets/d/1juPI-Fb8LD0YtltB2mlGEnp_R3UVu1t3wSFPzgCyHXE/edit?gid=0#gid=0"",""GERAL!A2:C""),3,0),""-"")"),"CAMPO")</f>
        <v>CAMPO</v>
      </c>
      <c r="Q1313" s="98" t="s">
        <v>171</v>
      </c>
      <c r="R1313" s="98">
        <v>3.0</v>
      </c>
      <c r="S1313" s="98" t="s">
        <v>171</v>
      </c>
      <c r="T1313" s="98" t="s">
        <v>171</v>
      </c>
      <c r="U1313" s="98" t="s">
        <v>171</v>
      </c>
      <c r="V1313" s="98" t="s">
        <v>171</v>
      </c>
      <c r="W1313" s="98" t="s">
        <v>171</v>
      </c>
      <c r="X1313" s="98" t="s">
        <v>171</v>
      </c>
      <c r="Y1313" s="98" t="s">
        <v>171</v>
      </c>
      <c r="Z1313" s="98" t="s">
        <v>171</v>
      </c>
      <c r="AA1313" s="98" t="s">
        <v>171</v>
      </c>
      <c r="AB1313" s="98" t="s">
        <v>171</v>
      </c>
      <c r="AC1313" s="98" t="s">
        <v>171</v>
      </c>
      <c r="AD1313" s="98" t="s">
        <v>171</v>
      </c>
      <c r="AE1313" s="98" t="s">
        <v>171</v>
      </c>
      <c r="AF1313" s="98" t="s">
        <v>171</v>
      </c>
      <c r="AG1313" s="98" t="s">
        <v>171</v>
      </c>
      <c r="AH1313" s="98" t="s">
        <v>171</v>
      </c>
      <c r="AI1313" s="98" t="s">
        <v>171</v>
      </c>
      <c r="AJ1313" s="98" t="s">
        <v>171</v>
      </c>
      <c r="AK1313" s="98" t="s">
        <v>171</v>
      </c>
      <c r="AL1313" s="98" t="s">
        <v>171</v>
      </c>
      <c r="AM1313" s="98" t="s">
        <v>171</v>
      </c>
      <c r="AN1313" s="83"/>
      <c r="AO1313" s="98" t="s">
        <v>171</v>
      </c>
      <c r="AP1313" s="98" t="s">
        <v>171</v>
      </c>
      <c r="AQ1313" s="98" t="s">
        <v>171</v>
      </c>
      <c r="AR1313" s="102">
        <v>46216.0</v>
      </c>
      <c r="AS1313" s="83">
        <v>1178424.0</v>
      </c>
    </row>
    <row r="1314" ht="15.75" customHeight="1">
      <c r="A1314" s="111" t="s">
        <v>1573</v>
      </c>
      <c r="B1314" s="83" t="s">
        <v>7353</v>
      </c>
      <c r="C1314" s="83" t="s">
        <v>164</v>
      </c>
      <c r="D1314" s="112">
        <v>1131860.0</v>
      </c>
      <c r="E1314" s="83">
        <v>1178423.0</v>
      </c>
      <c r="F1314" s="83"/>
      <c r="G1314" s="91" t="str">
        <f>IFERROR(__xludf.DUMMYFUNCTION("XLOOKUP(AS1314,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ROLANDO LARANJEIRA BARBOSA - DISTRITO DE MOCAMBO")</f>
        <v>ANEXO - COLÉGIO ESTADUAL ROLANDO LARANJEIRA BARBOSA - DISTRITO DE MOCAMBO</v>
      </c>
      <c r="H1314" s="119" t="s">
        <v>7390</v>
      </c>
      <c r="I1314" s="91" t="s">
        <v>7391</v>
      </c>
      <c r="J1314" s="172" t="s">
        <v>7392</v>
      </c>
      <c r="K1314" s="83" t="s">
        <v>868</v>
      </c>
      <c r="L1314" s="83" t="s">
        <v>168</v>
      </c>
      <c r="M1314" s="83" t="s">
        <v>169</v>
      </c>
      <c r="N1314" s="115" t="s">
        <v>170</v>
      </c>
      <c r="O1314" s="98" t="s">
        <v>155</v>
      </c>
      <c r="P1314" s="99" t="str">
        <f>IFERROR(__xludf.DUMMYFUNCTION("IFERROR(VLOOKUP(AS1314,IMPORTRANGE(""https://docs.google.com/spreadsheets/d/1juPI-Fb8LD0YtltB2mlGEnp_R3UVu1t3wSFPzgCyHXE/edit?gid=0#gid=0"",""GERAL!A2:C""),3,0),""-"")"),"CAMPO")</f>
        <v>CAMPO</v>
      </c>
      <c r="Q1314" s="98" t="s">
        <v>171</v>
      </c>
      <c r="R1314" s="98">
        <v>4.0</v>
      </c>
      <c r="S1314" s="98" t="s">
        <v>171</v>
      </c>
      <c r="T1314" s="98" t="s">
        <v>171</v>
      </c>
      <c r="U1314" s="98" t="s">
        <v>171</v>
      </c>
      <c r="V1314" s="98" t="s">
        <v>171</v>
      </c>
      <c r="W1314" s="98" t="s">
        <v>171</v>
      </c>
      <c r="X1314" s="98" t="s">
        <v>171</v>
      </c>
      <c r="Y1314" s="98" t="s">
        <v>171</v>
      </c>
      <c r="Z1314" s="98" t="s">
        <v>171</v>
      </c>
      <c r="AA1314" s="98" t="s">
        <v>171</v>
      </c>
      <c r="AB1314" s="98" t="s">
        <v>171</v>
      </c>
      <c r="AC1314" s="98" t="s">
        <v>171</v>
      </c>
      <c r="AD1314" s="98" t="s">
        <v>171</v>
      </c>
      <c r="AE1314" s="98" t="s">
        <v>171</v>
      </c>
      <c r="AF1314" s="98" t="s">
        <v>171</v>
      </c>
      <c r="AG1314" s="98" t="s">
        <v>171</v>
      </c>
      <c r="AH1314" s="98" t="s">
        <v>171</v>
      </c>
      <c r="AI1314" s="98" t="s">
        <v>171</v>
      </c>
      <c r="AJ1314" s="98" t="s">
        <v>171</v>
      </c>
      <c r="AK1314" s="98" t="s">
        <v>171</v>
      </c>
      <c r="AL1314" s="98" t="s">
        <v>171</v>
      </c>
      <c r="AM1314" s="98" t="s">
        <v>171</v>
      </c>
      <c r="AN1314" s="83"/>
      <c r="AO1314" s="98" t="s">
        <v>171</v>
      </c>
      <c r="AP1314" s="98" t="s">
        <v>171</v>
      </c>
      <c r="AQ1314" s="98" t="s">
        <v>171</v>
      </c>
      <c r="AR1314" s="102">
        <v>46216.0</v>
      </c>
      <c r="AS1314" s="83">
        <v>1178423.0</v>
      </c>
    </row>
    <row r="1315" ht="15.75" customHeight="1">
      <c r="A1315" s="111" t="s">
        <v>1573</v>
      </c>
      <c r="B1315" s="83" t="s">
        <v>7353</v>
      </c>
      <c r="C1315" s="83" t="s">
        <v>164</v>
      </c>
      <c r="D1315" s="112">
        <v>1131860.0</v>
      </c>
      <c r="E1315" s="83">
        <v>1178927.0</v>
      </c>
      <c r="F1315" s="83"/>
      <c r="G1315" s="91" t="str">
        <f>IFERROR(__xludf.DUMMYFUNCTION("XLOOKUP(AS1315,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ROLANDO LARANJEIRA BARBOSA - DISTRITO DE ACUDINA")</f>
        <v>ANEXO - COLÉGIO ESTADUAL ROLANDO LARANJEIRA BARBOSA - DISTRITO DE ACUDINA</v>
      </c>
      <c r="H1315" s="119" t="s">
        <v>7393</v>
      </c>
      <c r="I1315" s="91"/>
      <c r="J1315" s="172" t="s">
        <v>7394</v>
      </c>
      <c r="K1315" s="83" t="s">
        <v>187</v>
      </c>
      <c r="L1315" s="83" t="s">
        <v>168</v>
      </c>
      <c r="M1315" s="83" t="s">
        <v>169</v>
      </c>
      <c r="N1315" s="115" t="s">
        <v>170</v>
      </c>
      <c r="O1315" s="98" t="s">
        <v>155</v>
      </c>
      <c r="P1315" s="99" t="str">
        <f>IFERROR(__xludf.DUMMYFUNCTION("IFERROR(VLOOKUP(AS1315,IMPORTRANGE(""https://docs.google.com/spreadsheets/d/1juPI-Fb8LD0YtltB2mlGEnp_R3UVu1t3wSFPzgCyHXE/edit?gid=0#gid=0"",""GERAL!A2:C""),3,0),""-"")"),"CAMPO")</f>
        <v>CAMPO</v>
      </c>
      <c r="Q1315" s="98" t="s">
        <v>171</v>
      </c>
      <c r="R1315" s="98">
        <v>3.0</v>
      </c>
      <c r="S1315" s="98" t="s">
        <v>171</v>
      </c>
      <c r="T1315" s="98" t="s">
        <v>171</v>
      </c>
      <c r="U1315" s="98" t="s">
        <v>171</v>
      </c>
      <c r="V1315" s="98" t="s">
        <v>171</v>
      </c>
      <c r="W1315" s="98" t="s">
        <v>171</v>
      </c>
      <c r="X1315" s="98" t="s">
        <v>171</v>
      </c>
      <c r="Y1315" s="98" t="s">
        <v>171</v>
      </c>
      <c r="Z1315" s="98" t="s">
        <v>171</v>
      </c>
      <c r="AA1315" s="98" t="s">
        <v>171</v>
      </c>
      <c r="AB1315" s="98" t="s">
        <v>171</v>
      </c>
      <c r="AC1315" s="98" t="s">
        <v>171</v>
      </c>
      <c r="AD1315" s="98" t="s">
        <v>171</v>
      </c>
      <c r="AE1315" s="98" t="s">
        <v>171</v>
      </c>
      <c r="AF1315" s="98" t="s">
        <v>171</v>
      </c>
      <c r="AG1315" s="98" t="s">
        <v>171</v>
      </c>
      <c r="AH1315" s="98" t="s">
        <v>171</v>
      </c>
      <c r="AI1315" s="98" t="s">
        <v>171</v>
      </c>
      <c r="AJ1315" s="98" t="s">
        <v>171</v>
      </c>
      <c r="AK1315" s="98" t="s">
        <v>171</v>
      </c>
      <c r="AL1315" s="98" t="s">
        <v>171</v>
      </c>
      <c r="AM1315" s="98" t="s">
        <v>171</v>
      </c>
      <c r="AN1315" s="83"/>
      <c r="AO1315" s="98" t="s">
        <v>171</v>
      </c>
      <c r="AP1315" s="98" t="s">
        <v>171</v>
      </c>
      <c r="AQ1315" s="98" t="s">
        <v>171</v>
      </c>
      <c r="AR1315" s="102">
        <v>46216.0</v>
      </c>
      <c r="AS1315" s="83">
        <v>1178927.0</v>
      </c>
    </row>
    <row r="1316" ht="15.75" customHeight="1">
      <c r="A1316" s="111" t="s">
        <v>1573</v>
      </c>
      <c r="B1316" s="83" t="s">
        <v>7353</v>
      </c>
      <c r="C1316" s="83" t="s">
        <v>164</v>
      </c>
      <c r="D1316" s="112">
        <v>1131860.0</v>
      </c>
      <c r="E1316" s="83">
        <v>1178925.0</v>
      </c>
      <c r="F1316" s="83"/>
      <c r="G1316" s="91" t="str">
        <f>IFERROR(__xludf.DUMMYFUNCTION("XLOOKUP(AS1316,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ROLANDO LARANJEIRA BARBOSA - CURRAIS")</f>
        <v>ANEXO - COLÉGIO ESTADUAL ROLANDO LARANJEIRA BARBOSA - CURRAIS</v>
      </c>
      <c r="H1316" s="119" t="s">
        <v>7395</v>
      </c>
      <c r="I1316" s="91" t="s">
        <v>7396</v>
      </c>
      <c r="J1316" s="172" t="s">
        <v>7397</v>
      </c>
      <c r="K1316" s="83" t="s">
        <v>464</v>
      </c>
      <c r="L1316" s="83" t="s">
        <v>168</v>
      </c>
      <c r="M1316" s="83" t="s">
        <v>169</v>
      </c>
      <c r="N1316" s="115" t="s">
        <v>170</v>
      </c>
      <c r="O1316" s="98" t="s">
        <v>155</v>
      </c>
      <c r="P1316" s="99" t="str">
        <f>IFERROR(__xludf.DUMMYFUNCTION("IFERROR(VLOOKUP(AS1316,IMPORTRANGE(""https://docs.google.com/spreadsheets/d/1juPI-Fb8LD0YtltB2mlGEnp_R3UVu1t3wSFPzgCyHXE/edit?gid=0#gid=0"",""GERAL!A2:C""),3,0),""-"")"),"CAMPO")</f>
        <v>CAMPO</v>
      </c>
      <c r="Q1316" s="98" t="s">
        <v>171</v>
      </c>
      <c r="R1316" s="98">
        <v>3.0</v>
      </c>
      <c r="S1316" s="98" t="s">
        <v>171</v>
      </c>
      <c r="T1316" s="98" t="s">
        <v>171</v>
      </c>
      <c r="U1316" s="98" t="s">
        <v>171</v>
      </c>
      <c r="V1316" s="98" t="s">
        <v>171</v>
      </c>
      <c r="W1316" s="98" t="s">
        <v>171</v>
      </c>
      <c r="X1316" s="98" t="s">
        <v>171</v>
      </c>
      <c r="Y1316" s="98" t="s">
        <v>171</v>
      </c>
      <c r="Z1316" s="98" t="s">
        <v>171</v>
      </c>
      <c r="AA1316" s="98" t="s">
        <v>171</v>
      </c>
      <c r="AB1316" s="98" t="s">
        <v>171</v>
      </c>
      <c r="AC1316" s="98" t="s">
        <v>171</v>
      </c>
      <c r="AD1316" s="98" t="s">
        <v>171</v>
      </c>
      <c r="AE1316" s="98" t="s">
        <v>171</v>
      </c>
      <c r="AF1316" s="98" t="s">
        <v>171</v>
      </c>
      <c r="AG1316" s="98" t="s">
        <v>171</v>
      </c>
      <c r="AH1316" s="98" t="s">
        <v>171</v>
      </c>
      <c r="AI1316" s="98" t="s">
        <v>171</v>
      </c>
      <c r="AJ1316" s="98" t="s">
        <v>171</v>
      </c>
      <c r="AK1316" s="98" t="s">
        <v>171</v>
      </c>
      <c r="AL1316" s="98" t="s">
        <v>171</v>
      </c>
      <c r="AM1316" s="98" t="s">
        <v>171</v>
      </c>
      <c r="AN1316" s="83"/>
      <c r="AO1316" s="98" t="s">
        <v>171</v>
      </c>
      <c r="AP1316" s="98" t="s">
        <v>171</v>
      </c>
      <c r="AQ1316" s="98" t="s">
        <v>171</v>
      </c>
      <c r="AR1316" s="102">
        <v>46216.0</v>
      </c>
      <c r="AS1316" s="83">
        <v>1178925.0</v>
      </c>
    </row>
    <row r="1317" ht="15.75" customHeight="1">
      <c r="A1317" s="111" t="s">
        <v>1573</v>
      </c>
      <c r="B1317" s="83" t="s">
        <v>6946</v>
      </c>
      <c r="C1317" s="83" t="s">
        <v>45</v>
      </c>
      <c r="D1317" s="112">
        <v>1178386.0</v>
      </c>
      <c r="E1317" s="83"/>
      <c r="F1317" s="83">
        <v>2.9527201E7</v>
      </c>
      <c r="G1317" s="91" t="str">
        <f>IFERROR(__xludf.DUMMYFUNCTION("XLOOKUP(AS1317,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DE SANTANA PADRE ARTHUR BIRK")</f>
        <v>ESCOLA FAMILIA AGRICOLA DE SANTANA PADRE ARTHUR BIRK</v>
      </c>
      <c r="H1317" s="114" t="s">
        <v>7398</v>
      </c>
      <c r="I1317" s="91" t="s">
        <v>7399</v>
      </c>
      <c r="J1317" s="83" t="s">
        <v>149</v>
      </c>
      <c r="K1317" s="229" t="s">
        <v>4299</v>
      </c>
      <c r="L1317" s="83" t="s">
        <v>171</v>
      </c>
      <c r="M1317" s="83" t="s">
        <v>169</v>
      </c>
      <c r="N1317" s="128" t="s">
        <v>171</v>
      </c>
      <c r="O1317" s="98" t="s">
        <v>155</v>
      </c>
      <c r="P1317" s="99" t="str">
        <f>IFERROR(__xludf.DUMMYFUNCTION("IFERROR(VLOOKUP(AS1317,IMPORTRANGE(""https://docs.google.com/spreadsheets/d/1juPI-Fb8LD0YtltB2mlGEnp_R3UVu1t3wSFPzgCyHXE/edit?gid=0#gid=0"",""GERAL!A2:C""),3,0),""-"")"),"EFA")</f>
        <v>EFA</v>
      </c>
      <c r="Q1317" s="83"/>
      <c r="R1317" s="83"/>
      <c r="S1317" s="83"/>
      <c r="T1317" s="83"/>
      <c r="U1317" s="83"/>
      <c r="V1317" s="83"/>
      <c r="W1317" s="83"/>
      <c r="X1317" s="83"/>
      <c r="Y1317" s="83"/>
      <c r="Z1317" s="83"/>
      <c r="AA1317" s="83"/>
      <c r="AB1317" s="83"/>
      <c r="AC1317" s="83"/>
      <c r="AD1317" s="83"/>
      <c r="AE1317" s="83"/>
      <c r="AF1317" s="83"/>
      <c r="AG1317" s="83"/>
      <c r="AH1317" s="83"/>
      <c r="AI1317" s="83"/>
      <c r="AJ1317" s="83"/>
      <c r="AK1317" s="83"/>
      <c r="AL1317" s="83"/>
      <c r="AM1317" s="83"/>
      <c r="AN1317" s="83"/>
      <c r="AO1317" s="83"/>
      <c r="AP1317" s="83"/>
      <c r="AQ1317" s="83"/>
      <c r="AR1317" s="83"/>
      <c r="AS1317" s="83">
        <v>1178386.0</v>
      </c>
    </row>
    <row r="1318" ht="15.75" customHeight="1">
      <c r="A1318" s="111" t="s">
        <v>1573</v>
      </c>
      <c r="B1318" s="83" t="s">
        <v>6946</v>
      </c>
      <c r="C1318" s="83" t="s">
        <v>68</v>
      </c>
      <c r="D1318" s="112">
        <v>1132158.0</v>
      </c>
      <c r="E1318" s="83"/>
      <c r="F1318" s="83">
        <v>2.9015413E7</v>
      </c>
      <c r="G1318" s="91" t="str">
        <f>IFERROR(__xludf.DUMMYFUNCTION("XLOOKUP(AS1318,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SANTANA")</f>
        <v>COLÉGIO ESTADUAL DE TEMPO INTEGRAL DE SANTANA</v>
      </c>
      <c r="H1318" s="119" t="s">
        <v>7400</v>
      </c>
      <c r="I1318" s="91" t="s">
        <v>7401</v>
      </c>
      <c r="J1318" s="172" t="s">
        <v>149</v>
      </c>
      <c r="K1318" s="83" t="s">
        <v>150</v>
      </c>
      <c r="L1318" s="83" t="s">
        <v>151</v>
      </c>
      <c r="M1318" s="98" t="s">
        <v>230</v>
      </c>
      <c r="N1318" s="98" t="s">
        <v>7402</v>
      </c>
      <c r="O1318" s="98" t="s">
        <v>162</v>
      </c>
      <c r="P1318" s="99" t="str">
        <f>IFERROR(__xludf.DUMMYFUNCTION("IFERROR(VLOOKUP(AS1318,IMPORTRANGE(""https://docs.google.com/spreadsheets/d/1juPI-Fb8LD0YtltB2mlGEnp_R3UVu1t3wSFPzgCyHXE/edit?gid=0#gid=0"",""GERAL!A2:C""),3,0),""-"")"),"-")</f>
        <v>-</v>
      </c>
      <c r="Q1318" s="83"/>
      <c r="R1318" s="83"/>
      <c r="S1318" s="83"/>
      <c r="T1318" s="83"/>
      <c r="U1318" s="83"/>
      <c r="V1318" s="83"/>
      <c r="W1318" s="83"/>
      <c r="X1318" s="83"/>
      <c r="Y1318" s="83"/>
      <c r="Z1318" s="83"/>
      <c r="AA1318" s="83"/>
      <c r="AB1318" s="83"/>
      <c r="AC1318" s="83"/>
      <c r="AD1318" s="83"/>
      <c r="AE1318" s="83"/>
      <c r="AF1318" s="83"/>
      <c r="AG1318" s="83"/>
      <c r="AH1318" s="83"/>
      <c r="AI1318" s="83"/>
      <c r="AJ1318" s="83"/>
      <c r="AK1318" s="83"/>
      <c r="AL1318" s="83"/>
      <c r="AM1318" s="83"/>
      <c r="AN1318" s="83"/>
      <c r="AO1318" s="83"/>
      <c r="AP1318" s="83"/>
      <c r="AQ1318" s="83"/>
      <c r="AR1318" s="83"/>
      <c r="AS1318" s="83">
        <v>1132158.0</v>
      </c>
    </row>
    <row r="1319" ht="15.75" customHeight="1">
      <c r="A1319" s="111" t="s">
        <v>1573</v>
      </c>
      <c r="B1319" s="83" t="s">
        <v>6946</v>
      </c>
      <c r="C1319" s="83" t="s">
        <v>164</v>
      </c>
      <c r="D1319" s="112">
        <v>1132158.0</v>
      </c>
      <c r="E1319" s="83">
        <v>1178928.0</v>
      </c>
      <c r="F1319" s="83"/>
      <c r="G1319" s="91" t="str">
        <f>IFERROR(__xludf.DUMMYFUNCTION("XLOOKUP(AS1319,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EDVALDO FLORES - DISTRITO DE PORTO NOVO")</f>
        <v>ANEXO - COLÉGIO ESTADUAL EDVALDO FLORES - DISTRITO DE PORTO NOVO</v>
      </c>
      <c r="H1319" s="119" t="s">
        <v>7404</v>
      </c>
      <c r="I1319" s="91" t="s">
        <v>7405</v>
      </c>
      <c r="J1319" s="172" t="s">
        <v>7406</v>
      </c>
      <c r="K1319" s="83" t="s">
        <v>331</v>
      </c>
      <c r="L1319" s="83" t="s">
        <v>151</v>
      </c>
      <c r="M1319" s="83" t="s">
        <v>169</v>
      </c>
      <c r="N1319" s="115" t="s">
        <v>170</v>
      </c>
      <c r="O1319" s="98" t="s">
        <v>155</v>
      </c>
      <c r="P1319" s="99" t="str">
        <f>IFERROR(__xludf.DUMMYFUNCTION("IFERROR(VLOOKUP(AS1319,IMPORTRANGE(""https://docs.google.com/spreadsheets/d/1juPI-Fb8LD0YtltB2mlGEnp_R3UVu1t3wSFPzgCyHXE/edit?gid=0#gid=0"",""GERAL!A2:C""),3,0),""-"")"),"CAMPO")</f>
        <v>CAMPO</v>
      </c>
      <c r="Q1319" s="83"/>
      <c r="R1319" s="83"/>
      <c r="S1319" s="83"/>
      <c r="T1319" s="83"/>
      <c r="U1319" s="83"/>
      <c r="V1319" s="83"/>
      <c r="W1319" s="83"/>
      <c r="X1319" s="83"/>
      <c r="Y1319" s="83"/>
      <c r="Z1319" s="83"/>
      <c r="AA1319" s="83"/>
      <c r="AB1319" s="83"/>
      <c r="AC1319" s="83"/>
      <c r="AD1319" s="83"/>
      <c r="AE1319" s="83"/>
      <c r="AF1319" s="83"/>
      <c r="AG1319" s="83"/>
      <c r="AH1319" s="83"/>
      <c r="AI1319" s="83"/>
      <c r="AJ1319" s="83"/>
      <c r="AK1319" s="83"/>
      <c r="AL1319" s="83"/>
      <c r="AM1319" s="83"/>
      <c r="AN1319" s="83"/>
      <c r="AO1319" s="83"/>
      <c r="AP1319" s="83"/>
      <c r="AQ1319" s="83"/>
      <c r="AR1319" s="83"/>
      <c r="AS1319" s="83">
        <v>1178928.0</v>
      </c>
    </row>
    <row r="1320" ht="15.75" customHeight="1">
      <c r="A1320" s="111" t="s">
        <v>1573</v>
      </c>
      <c r="B1320" s="83" t="s">
        <v>7414</v>
      </c>
      <c r="C1320" s="83" t="s">
        <v>68</v>
      </c>
      <c r="D1320" s="112">
        <v>1167741.0</v>
      </c>
      <c r="E1320" s="83"/>
      <c r="F1320" s="83">
        <v>2.9016339E7</v>
      </c>
      <c r="G1320" s="91" t="str">
        <f>IFERROR(__xludf.DUMMYFUNCTION("XLOOKUP(AS1320,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RIO CORRENTE")</f>
        <v>COLÉGIO ESTADUAL DE TEMPO INTEGRAL RIO CORRENTE</v>
      </c>
      <c r="H1320" s="119" t="s">
        <v>7415</v>
      </c>
      <c r="I1320" s="91" t="s">
        <v>7416</v>
      </c>
      <c r="J1320" s="172" t="s">
        <v>149</v>
      </c>
      <c r="K1320" s="146" t="s">
        <v>150</v>
      </c>
      <c r="L1320" s="83" t="s">
        <v>151</v>
      </c>
      <c r="M1320" s="98" t="s">
        <v>230</v>
      </c>
      <c r="N1320" s="98" t="s">
        <v>7417</v>
      </c>
      <c r="O1320" s="98" t="s">
        <v>155</v>
      </c>
      <c r="P1320" s="99" t="str">
        <f>IFERROR(__xludf.DUMMYFUNCTION("IFERROR(VLOOKUP(AS1320,IMPORTRANGE(""https://docs.google.com/spreadsheets/d/1juPI-Fb8LD0YtltB2mlGEnp_R3UVu1t3wSFPzgCyHXE/edit?gid=0#gid=0"",""GERAL!A2:C""),3,0),""-"")"),"-")</f>
        <v>-</v>
      </c>
      <c r="Q1320" s="101" t="s">
        <v>156</v>
      </c>
      <c r="R1320" s="98">
        <v>12.0</v>
      </c>
      <c r="S1320" s="98">
        <v>1.0</v>
      </c>
      <c r="T1320" s="98">
        <v>1.0</v>
      </c>
      <c r="U1320" s="98">
        <v>0.0</v>
      </c>
      <c r="V1320" s="98">
        <v>1.0</v>
      </c>
      <c r="W1320" s="98">
        <v>3.0</v>
      </c>
      <c r="X1320" s="98">
        <v>1.0</v>
      </c>
      <c r="Y1320" s="98">
        <v>0.0</v>
      </c>
      <c r="Z1320" s="98">
        <v>1.0</v>
      </c>
      <c r="AA1320" s="98">
        <v>0.0</v>
      </c>
      <c r="AB1320" s="98">
        <v>1.0</v>
      </c>
      <c r="AC1320" s="98">
        <v>0.0</v>
      </c>
      <c r="AD1320" s="98">
        <v>0.0</v>
      </c>
      <c r="AE1320" s="98">
        <v>0.0</v>
      </c>
      <c r="AF1320" s="98">
        <v>1.0</v>
      </c>
      <c r="AG1320" s="98">
        <v>0.0</v>
      </c>
      <c r="AH1320" s="98">
        <v>0.0</v>
      </c>
      <c r="AI1320" s="98">
        <v>0.0</v>
      </c>
      <c r="AJ1320" s="98">
        <v>0.0</v>
      </c>
      <c r="AK1320" s="98">
        <v>1.0</v>
      </c>
      <c r="AL1320" s="98">
        <v>0.0</v>
      </c>
      <c r="AM1320" s="98">
        <v>0.0</v>
      </c>
      <c r="AN1320" s="98">
        <v>0.0</v>
      </c>
      <c r="AO1320" s="98">
        <v>0.0</v>
      </c>
      <c r="AP1320" s="98">
        <v>0.0</v>
      </c>
      <c r="AQ1320" s="98" t="s">
        <v>7425</v>
      </c>
      <c r="AR1320" s="102">
        <v>46230.0</v>
      </c>
      <c r="AS1320" s="83">
        <v>1167741.0</v>
      </c>
    </row>
    <row r="1321" ht="15.75" customHeight="1">
      <c r="A1321" s="111" t="s">
        <v>1573</v>
      </c>
      <c r="B1321" s="83" t="s">
        <v>7414</v>
      </c>
      <c r="C1321" s="83" t="s">
        <v>164</v>
      </c>
      <c r="D1321" s="112">
        <v>1167741.0</v>
      </c>
      <c r="E1321" s="83">
        <v>1179371.0</v>
      </c>
      <c r="F1321" s="83"/>
      <c r="G1321" s="91" t="str">
        <f>IFERROR(__xludf.DUMMYFUNCTION("XLOOKUP(AS1321,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RIO CORRENTE - DISTRITO DE TABULEIRO")</f>
        <v>ANEXO - COLÉGIO ESTADUAL RIO CORRENTE - DISTRITO DE TABULEIRO</v>
      </c>
      <c r="H1321" s="119" t="s">
        <v>7431</v>
      </c>
      <c r="I1321" s="91" t="s">
        <v>7432</v>
      </c>
      <c r="J1321" s="83" t="s">
        <v>149</v>
      </c>
      <c r="K1321" s="83" t="s">
        <v>3645</v>
      </c>
      <c r="L1321" s="83" t="s">
        <v>168</v>
      </c>
      <c r="M1321" s="83" t="s">
        <v>169</v>
      </c>
      <c r="N1321" s="115" t="s">
        <v>170</v>
      </c>
      <c r="O1321" s="98" t="s">
        <v>155</v>
      </c>
      <c r="P1321" s="99" t="str">
        <f>IFERROR(__xludf.DUMMYFUNCTION("IFERROR(VLOOKUP(AS1321,IMPORTRANGE(""https://docs.google.com/spreadsheets/d/1juPI-Fb8LD0YtltB2mlGEnp_R3UVu1t3wSFPzgCyHXE/edit?gid=0#gid=0"",""GERAL!A2:C""),3,0),""-"")"),"CAMPO")</f>
        <v>CAMPO</v>
      </c>
      <c r="Q1321" s="98" t="s">
        <v>171</v>
      </c>
      <c r="R1321" s="98">
        <v>3.0</v>
      </c>
      <c r="S1321" s="98" t="s">
        <v>171</v>
      </c>
      <c r="T1321" s="98" t="s">
        <v>171</v>
      </c>
      <c r="U1321" s="98" t="s">
        <v>171</v>
      </c>
      <c r="V1321" s="98" t="s">
        <v>171</v>
      </c>
      <c r="W1321" s="98" t="s">
        <v>171</v>
      </c>
      <c r="X1321" s="98" t="s">
        <v>171</v>
      </c>
      <c r="Y1321" s="98" t="s">
        <v>171</v>
      </c>
      <c r="Z1321" s="98" t="s">
        <v>171</v>
      </c>
      <c r="AA1321" s="98" t="s">
        <v>171</v>
      </c>
      <c r="AB1321" s="98" t="s">
        <v>171</v>
      </c>
      <c r="AC1321" s="98" t="s">
        <v>171</v>
      </c>
      <c r="AD1321" s="98" t="s">
        <v>171</v>
      </c>
      <c r="AE1321" s="98" t="s">
        <v>171</v>
      </c>
      <c r="AF1321" s="98" t="s">
        <v>171</v>
      </c>
      <c r="AG1321" s="98" t="s">
        <v>171</v>
      </c>
      <c r="AH1321" s="98" t="s">
        <v>171</v>
      </c>
      <c r="AI1321" s="98" t="s">
        <v>171</v>
      </c>
      <c r="AJ1321" s="98" t="s">
        <v>171</v>
      </c>
      <c r="AK1321" s="98" t="s">
        <v>171</v>
      </c>
      <c r="AL1321" s="98" t="s">
        <v>171</v>
      </c>
      <c r="AM1321" s="98" t="s">
        <v>171</v>
      </c>
      <c r="AN1321" s="83"/>
      <c r="AO1321" s="98" t="s">
        <v>171</v>
      </c>
      <c r="AP1321" s="98" t="s">
        <v>171</v>
      </c>
      <c r="AQ1321" s="98" t="s">
        <v>171</v>
      </c>
      <c r="AR1321" s="102">
        <v>46230.0</v>
      </c>
      <c r="AS1321" s="83">
        <v>1179371.0</v>
      </c>
    </row>
    <row r="1322" ht="15.75" customHeight="1">
      <c r="A1322" s="111" t="s">
        <v>1573</v>
      </c>
      <c r="B1322" s="83" t="s">
        <v>7414</v>
      </c>
      <c r="C1322" s="83" t="s">
        <v>164</v>
      </c>
      <c r="D1322" s="112">
        <v>1167741.0</v>
      </c>
      <c r="E1322" s="83">
        <v>1178930.0</v>
      </c>
      <c r="F1322" s="83"/>
      <c r="G1322" s="91" t="str">
        <f>IFERROR(__xludf.DUMMYFUNCTION("XLOOKUP(AS1322,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RIO CORRENTE - DISTRITO DE ALAGOINHA")</f>
        <v>ANEXO - COLÉGIO ESTADUAL RIO CORRENTE - DISTRITO DE ALAGOINHA</v>
      </c>
      <c r="H1322" s="119" t="s">
        <v>7435</v>
      </c>
      <c r="I1322" s="91" t="s">
        <v>7436</v>
      </c>
      <c r="J1322" s="83" t="s">
        <v>149</v>
      </c>
      <c r="K1322" s="83" t="s">
        <v>3227</v>
      </c>
      <c r="L1322" s="83" t="s">
        <v>168</v>
      </c>
      <c r="M1322" s="83" t="s">
        <v>169</v>
      </c>
      <c r="N1322" s="115" t="s">
        <v>170</v>
      </c>
      <c r="O1322" s="98" t="s">
        <v>155</v>
      </c>
      <c r="P1322" s="99" t="str">
        <f>IFERROR(__xludf.DUMMYFUNCTION("IFERROR(VLOOKUP(AS1322,IMPORTRANGE(""https://docs.google.com/spreadsheets/d/1juPI-Fb8LD0YtltB2mlGEnp_R3UVu1t3wSFPzgCyHXE/edit?gid=0#gid=0"",""GERAL!A2:C""),3,0),""-"")"),"CAMPO")</f>
        <v>CAMPO</v>
      </c>
      <c r="Q1322" s="98" t="s">
        <v>171</v>
      </c>
      <c r="R1322" s="98">
        <v>3.0</v>
      </c>
      <c r="S1322" s="98" t="s">
        <v>171</v>
      </c>
      <c r="T1322" s="98" t="s">
        <v>171</v>
      </c>
      <c r="U1322" s="98" t="s">
        <v>171</v>
      </c>
      <c r="V1322" s="98" t="s">
        <v>171</v>
      </c>
      <c r="W1322" s="98" t="s">
        <v>171</v>
      </c>
      <c r="X1322" s="98" t="s">
        <v>171</v>
      </c>
      <c r="Y1322" s="98" t="s">
        <v>171</v>
      </c>
      <c r="Z1322" s="98" t="s">
        <v>171</v>
      </c>
      <c r="AA1322" s="98" t="s">
        <v>171</v>
      </c>
      <c r="AB1322" s="98" t="s">
        <v>171</v>
      </c>
      <c r="AC1322" s="98" t="s">
        <v>171</v>
      </c>
      <c r="AD1322" s="98" t="s">
        <v>171</v>
      </c>
      <c r="AE1322" s="98" t="s">
        <v>171</v>
      </c>
      <c r="AF1322" s="98" t="s">
        <v>171</v>
      </c>
      <c r="AG1322" s="98" t="s">
        <v>171</v>
      </c>
      <c r="AH1322" s="98" t="s">
        <v>171</v>
      </c>
      <c r="AI1322" s="98" t="s">
        <v>171</v>
      </c>
      <c r="AJ1322" s="98" t="s">
        <v>171</v>
      </c>
      <c r="AK1322" s="98" t="s">
        <v>171</v>
      </c>
      <c r="AL1322" s="98" t="s">
        <v>171</v>
      </c>
      <c r="AM1322" s="98" t="s">
        <v>171</v>
      </c>
      <c r="AN1322" s="83"/>
      <c r="AO1322" s="98" t="s">
        <v>171</v>
      </c>
      <c r="AP1322" s="98" t="s">
        <v>171</v>
      </c>
      <c r="AQ1322" s="98" t="s">
        <v>171</v>
      </c>
      <c r="AR1322" s="102">
        <v>46230.0</v>
      </c>
      <c r="AS1322" s="83">
        <v>1178930.0</v>
      </c>
    </row>
    <row r="1323" ht="15.75" customHeight="1">
      <c r="A1323" s="111" t="s">
        <v>1573</v>
      </c>
      <c r="B1323" s="83" t="s">
        <v>7440</v>
      </c>
      <c r="C1323" s="83" t="s">
        <v>68</v>
      </c>
      <c r="D1323" s="112">
        <v>1131798.0</v>
      </c>
      <c r="E1323" s="83"/>
      <c r="F1323" s="83">
        <v>2.9016916E7</v>
      </c>
      <c r="G1323" s="91" t="str">
        <f>IFERROR(__xludf.DUMMYFUNCTION("XLOOKUP(AS1323,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GONÇALO")</f>
        <v>COLÉGIO ESTADUAL DE TEMPO INTEGRAL SÃO GONÇALO</v>
      </c>
      <c r="H1323" s="119" t="s">
        <v>7441</v>
      </c>
      <c r="I1323" s="91" t="s">
        <v>7442</v>
      </c>
      <c r="J1323" s="172" t="s">
        <v>149</v>
      </c>
      <c r="K1323" s="83" t="s">
        <v>150</v>
      </c>
      <c r="L1323" s="83" t="s">
        <v>151</v>
      </c>
      <c r="M1323" s="83" t="s">
        <v>152</v>
      </c>
      <c r="N1323" s="98" t="s">
        <v>7443</v>
      </c>
      <c r="O1323" s="98" t="s">
        <v>155</v>
      </c>
      <c r="P1323" s="99" t="str">
        <f>IFERROR(__xludf.DUMMYFUNCTION("IFERROR(VLOOKUP(AS1323,IMPORTRANGE(""https://docs.google.com/spreadsheets/d/1juPI-Fb8LD0YtltB2mlGEnp_R3UVu1t3wSFPzgCyHXE/edit?gid=0#gid=0"",""GERAL!A2:C""),3,0),""-"")"),"-")</f>
        <v>-</v>
      </c>
      <c r="Q1323" s="83"/>
      <c r="R1323" s="83"/>
      <c r="S1323" s="83"/>
      <c r="T1323" s="83"/>
      <c r="U1323" s="83"/>
      <c r="V1323" s="83"/>
      <c r="W1323" s="83"/>
      <c r="X1323" s="83"/>
      <c r="Y1323" s="83"/>
      <c r="Z1323" s="83"/>
      <c r="AA1323" s="83"/>
      <c r="AB1323" s="83"/>
      <c r="AC1323" s="83"/>
      <c r="AD1323" s="83"/>
      <c r="AE1323" s="83"/>
      <c r="AF1323" s="83"/>
      <c r="AG1323" s="83"/>
      <c r="AH1323" s="83"/>
      <c r="AI1323" s="83"/>
      <c r="AJ1323" s="83"/>
      <c r="AK1323" s="83"/>
      <c r="AL1323" s="83"/>
      <c r="AM1323" s="83"/>
      <c r="AN1323" s="83"/>
      <c r="AO1323" s="83"/>
      <c r="AP1323" s="83"/>
      <c r="AQ1323" s="83"/>
      <c r="AR1323" s="83"/>
      <c r="AS1323" s="83">
        <v>1131798.0</v>
      </c>
    </row>
    <row r="1324">
      <c r="A1324" s="111" t="s">
        <v>1573</v>
      </c>
      <c r="B1324" s="83" t="s">
        <v>7440</v>
      </c>
      <c r="C1324" s="83" t="s">
        <v>164</v>
      </c>
      <c r="D1324" s="112">
        <v>1131798.0</v>
      </c>
      <c r="E1324" s="83">
        <v>1178952.0</v>
      </c>
      <c r="F1324" s="83"/>
      <c r="G1324" s="91" t="str">
        <f>IFERROR(__xludf.DUMMYFUNCTION("XLOOKUP(AS1324,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SAO GONCALO - DISTRITO DE TRAIRAS")</f>
        <v>ANEXO - COLÉGIO ESTADUAL SAO GONCALO - DISTRITO DE TRAIRAS</v>
      </c>
      <c r="H1324" s="119" t="s">
        <v>7451</v>
      </c>
      <c r="I1324" s="91" t="s">
        <v>7452</v>
      </c>
      <c r="J1324" s="172" t="s">
        <v>7453</v>
      </c>
      <c r="K1324" s="83" t="s">
        <v>334</v>
      </c>
      <c r="L1324" s="83" t="s">
        <v>168</v>
      </c>
      <c r="M1324" s="83" t="s">
        <v>169</v>
      </c>
      <c r="N1324" s="115" t="s">
        <v>170</v>
      </c>
      <c r="O1324" s="98" t="s">
        <v>155</v>
      </c>
      <c r="P1324" s="99" t="str">
        <f>IFERROR(__xludf.DUMMYFUNCTION("IFERROR(VLOOKUP(AS1324,IMPORTRANGE(""https://docs.google.com/spreadsheets/d/1juPI-Fb8LD0YtltB2mlGEnp_R3UVu1t3wSFPzgCyHXE/edit?gid=0#gid=0"",""GERAL!A2:C""),3,0),""-"")"),"CAMPO")</f>
        <v>CAMPO</v>
      </c>
      <c r="Q1324" s="83"/>
      <c r="R1324" s="83"/>
      <c r="S1324" s="83"/>
      <c r="T1324" s="83"/>
      <c r="U1324" s="83"/>
      <c r="V1324" s="83"/>
      <c r="W1324" s="83"/>
      <c r="X1324" s="83"/>
      <c r="Y1324" s="83"/>
      <c r="Z1324" s="83"/>
      <c r="AA1324" s="83"/>
      <c r="AB1324" s="83"/>
      <c r="AC1324" s="83"/>
      <c r="AD1324" s="83"/>
      <c r="AE1324" s="83"/>
      <c r="AF1324" s="83"/>
      <c r="AG1324" s="83"/>
      <c r="AH1324" s="83"/>
      <c r="AI1324" s="83"/>
      <c r="AJ1324" s="83"/>
      <c r="AK1324" s="83"/>
      <c r="AL1324" s="83"/>
      <c r="AM1324" s="83"/>
      <c r="AN1324" s="83"/>
      <c r="AO1324" s="83"/>
      <c r="AP1324" s="83"/>
      <c r="AQ1324" s="83"/>
      <c r="AR1324" s="83"/>
      <c r="AS1324" s="83">
        <v>1178952.0</v>
      </c>
    </row>
    <row r="1325" ht="15.75" customHeight="1">
      <c r="A1325" s="111" t="s">
        <v>1573</v>
      </c>
      <c r="B1325" s="83" t="s">
        <v>2437</v>
      </c>
      <c r="C1325" s="83" t="s">
        <v>68</v>
      </c>
      <c r="D1325" s="112">
        <v>1131739.0</v>
      </c>
      <c r="E1325" s="83"/>
      <c r="F1325" s="83">
        <v>2.900988E7</v>
      </c>
      <c r="G1325" s="91" t="str">
        <f>IFERROR(__xludf.DUMMYFUNCTION("XLOOKUP(AS1325,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TABOCAS
(ANTIGO - COLÉGIO ESTADUAL DE TEMPO INTEGRAL LEONIDAS DE ARAÚJO SILVA)")</f>
        <v>COLÉGIO ESTADUAL DE TEMPO INTEGRAL DE TABOCAS
(ANTIGO - COLÉGIO ESTADUAL DE TEMPO INTEGRAL LEONIDAS DE ARAÚJO SILVA)</v>
      </c>
      <c r="H1325" s="218" t="s">
        <v>7458</v>
      </c>
      <c r="I1325" s="91" t="s">
        <v>7459</v>
      </c>
      <c r="J1325" s="83" t="s">
        <v>149</v>
      </c>
      <c r="K1325" s="83" t="s">
        <v>150</v>
      </c>
      <c r="L1325" s="83" t="s">
        <v>151</v>
      </c>
      <c r="M1325" s="83" t="s">
        <v>76</v>
      </c>
      <c r="N1325" s="98" t="s">
        <v>7460</v>
      </c>
      <c r="O1325" s="98" t="s">
        <v>155</v>
      </c>
      <c r="P1325" s="99" t="str">
        <f>IFERROR(__xludf.DUMMYFUNCTION("IFERROR(VLOOKUP(AS1325,IMPORTRANGE(""https://docs.google.com/spreadsheets/d/1juPI-Fb8LD0YtltB2mlGEnp_R3UVu1t3wSFPzgCyHXE/edit?gid=0#gid=0"",""GERAL!A2:C""),3,0),""-"")"),"-")</f>
        <v>-</v>
      </c>
      <c r="Q1325" s="83"/>
      <c r="R1325" s="83"/>
      <c r="S1325" s="83"/>
      <c r="T1325" s="83"/>
      <c r="U1325" s="83"/>
      <c r="V1325" s="83"/>
      <c r="W1325" s="83"/>
      <c r="X1325" s="83"/>
      <c r="Y1325" s="83"/>
      <c r="Z1325" s="83"/>
      <c r="AA1325" s="83"/>
      <c r="AB1325" s="83"/>
      <c r="AC1325" s="83"/>
      <c r="AD1325" s="83"/>
      <c r="AE1325" s="83"/>
      <c r="AF1325" s="83"/>
      <c r="AG1325" s="83"/>
      <c r="AH1325" s="83"/>
      <c r="AI1325" s="83"/>
      <c r="AJ1325" s="83"/>
      <c r="AK1325" s="83"/>
      <c r="AL1325" s="83"/>
      <c r="AM1325" s="83"/>
      <c r="AN1325" s="83"/>
      <c r="AO1325" s="83"/>
      <c r="AP1325" s="83"/>
      <c r="AQ1325" s="83"/>
      <c r="AR1325" s="83"/>
      <c r="AS1325" s="83">
        <v>1131739.0</v>
      </c>
    </row>
    <row r="1326" ht="15.75" customHeight="1">
      <c r="A1326" s="111" t="s">
        <v>1573</v>
      </c>
      <c r="B1326" s="83" t="s">
        <v>2437</v>
      </c>
      <c r="C1326" s="83" t="s">
        <v>164</v>
      </c>
      <c r="D1326" s="112">
        <v>1131739.0</v>
      </c>
      <c r="E1326" s="83">
        <v>1179173.0</v>
      </c>
      <c r="F1326" s="83"/>
      <c r="G1326" s="91" t="str">
        <f>IFERROR(__xludf.DUMMYFUNCTION("XLOOKUP(AS1326,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TABOCAS - DISTRITO DE VEREDA")</f>
        <v>ANEXO - COLÉGIO ESTADUAL DE TEMPO INTEGRAL DE TABOCAS - DISTRITO DE VEREDA</v>
      </c>
      <c r="H1326" s="119" t="s">
        <v>7462</v>
      </c>
      <c r="I1326" s="91" t="s">
        <v>7463</v>
      </c>
      <c r="J1326" s="83" t="s">
        <v>149</v>
      </c>
      <c r="K1326" s="83" t="s">
        <v>767</v>
      </c>
      <c r="L1326" s="83" t="s">
        <v>168</v>
      </c>
      <c r="M1326" s="83" t="s">
        <v>169</v>
      </c>
      <c r="N1326" s="115" t="s">
        <v>170</v>
      </c>
      <c r="O1326" s="98" t="s">
        <v>155</v>
      </c>
      <c r="P1326" s="99" t="str">
        <f>IFERROR(__xludf.DUMMYFUNCTION("IFERROR(VLOOKUP(AS1326,IMPORTRANGE(""https://docs.google.com/spreadsheets/d/1juPI-Fb8LD0YtltB2mlGEnp_R3UVu1t3wSFPzgCyHXE/edit?gid=0#gid=0"",""GERAL!A2:C""),3,0),""-"")"),"CAMPO")</f>
        <v>CAMPO</v>
      </c>
      <c r="Q1326" s="83"/>
      <c r="R1326" s="83"/>
      <c r="S1326" s="83"/>
      <c r="T1326" s="83"/>
      <c r="U1326" s="83"/>
      <c r="V1326" s="83"/>
      <c r="W1326" s="83"/>
      <c r="X1326" s="83"/>
      <c r="Y1326" s="83"/>
      <c r="Z1326" s="83"/>
      <c r="AA1326" s="83"/>
      <c r="AB1326" s="83"/>
      <c r="AC1326" s="83"/>
      <c r="AD1326" s="83"/>
      <c r="AE1326" s="83"/>
      <c r="AF1326" s="83"/>
      <c r="AG1326" s="83"/>
      <c r="AH1326" s="83"/>
      <c r="AI1326" s="83"/>
      <c r="AJ1326" s="83"/>
      <c r="AK1326" s="83"/>
      <c r="AL1326" s="83"/>
      <c r="AM1326" s="83"/>
      <c r="AN1326" s="83"/>
      <c r="AO1326" s="83"/>
      <c r="AP1326" s="83"/>
      <c r="AQ1326" s="83"/>
      <c r="AR1326" s="83"/>
      <c r="AS1326" s="83">
        <v>1179173.0</v>
      </c>
    </row>
    <row r="1327" ht="15.75" customHeight="1">
      <c r="A1327" s="111" t="s">
        <v>1573</v>
      </c>
      <c r="B1327" s="83" t="s">
        <v>2437</v>
      </c>
      <c r="C1327" s="83" t="s">
        <v>164</v>
      </c>
      <c r="D1327" s="112">
        <v>1131739.0</v>
      </c>
      <c r="E1327" s="83">
        <v>1178904.0</v>
      </c>
      <c r="F1327" s="83"/>
      <c r="G1327" s="91" t="str">
        <f>IFERROR(__xludf.DUMMYFUNCTION("XLOOKUP(AS1327,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TABOCAS - DISTRITO DE MARIQUITA")</f>
        <v>ANEXO - COLÉGIO ESTADUAL DE TEMPO INTEGRAL DE TABOCAS - DISTRITO DE MARIQUITA</v>
      </c>
      <c r="H1327" s="119" t="s">
        <v>7469</v>
      </c>
      <c r="I1327" s="91" t="s">
        <v>7470</v>
      </c>
      <c r="J1327" s="83" t="s">
        <v>149</v>
      </c>
      <c r="K1327" s="83" t="s">
        <v>252</v>
      </c>
      <c r="L1327" s="83" t="s">
        <v>168</v>
      </c>
      <c r="M1327" s="83" t="s">
        <v>169</v>
      </c>
      <c r="N1327" s="115" t="s">
        <v>170</v>
      </c>
      <c r="O1327" s="98" t="s">
        <v>155</v>
      </c>
      <c r="P1327" s="99" t="str">
        <f>IFERROR(__xludf.DUMMYFUNCTION("IFERROR(VLOOKUP(AS1327,IMPORTRANGE(""https://docs.google.com/spreadsheets/d/1juPI-Fb8LD0YtltB2mlGEnp_R3UVu1t3wSFPzgCyHXE/edit?gid=0#gid=0"",""GERAL!A2:C""),3,0),""-"")"),"CAMPO")</f>
        <v>CAMPO</v>
      </c>
      <c r="Q1327" s="83"/>
      <c r="R1327" s="83"/>
      <c r="S1327" s="83"/>
      <c r="T1327" s="83"/>
      <c r="U1327" s="83"/>
      <c r="V1327" s="83"/>
      <c r="W1327" s="83"/>
      <c r="X1327" s="83"/>
      <c r="Y1327" s="83"/>
      <c r="Z1327" s="83"/>
      <c r="AA1327" s="83"/>
      <c r="AB1327" s="83"/>
      <c r="AC1327" s="83"/>
      <c r="AD1327" s="83"/>
      <c r="AE1327" s="83"/>
      <c r="AF1327" s="83"/>
      <c r="AG1327" s="83"/>
      <c r="AH1327" s="83"/>
      <c r="AI1327" s="83"/>
      <c r="AJ1327" s="83"/>
      <c r="AK1327" s="83"/>
      <c r="AL1327" s="83"/>
      <c r="AM1327" s="83"/>
      <c r="AN1327" s="83"/>
      <c r="AO1327" s="83"/>
      <c r="AP1327" s="83"/>
      <c r="AQ1327" s="83"/>
      <c r="AR1327" s="83"/>
      <c r="AS1327" s="83">
        <v>1178904.0</v>
      </c>
    </row>
    <row r="1328" ht="15.75" customHeight="1">
      <c r="A1328" s="111" t="s">
        <v>1629</v>
      </c>
      <c r="B1328" s="83" t="s">
        <v>7471</v>
      </c>
      <c r="C1328" s="83" t="s">
        <v>68</v>
      </c>
      <c r="D1328" s="112">
        <v>1179245.0</v>
      </c>
      <c r="E1328" s="83"/>
      <c r="F1328" s="83">
        <v>2.9456886E7</v>
      </c>
      <c r="G1328" s="91" t="str">
        <f>IFERROR(__xludf.DUMMYFUNCTION("XLOOKUP(AS1328,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INDÍGENA DE TEMPO INTEGRAL SANTO ANTÔNIO DO PAMBU - ALDEIA PAMBU")</f>
        <v>COLÉGIO ESTADUAL INDÍGENA DE TEMPO INTEGRAL SANTO ANTÔNIO DO PAMBU - ALDEIA PAMBU</v>
      </c>
      <c r="H1328" s="119" t="s">
        <v>7472</v>
      </c>
      <c r="I1328" s="91" t="s">
        <v>7475</v>
      </c>
      <c r="J1328" s="83" t="s">
        <v>7477</v>
      </c>
      <c r="K1328" s="83" t="s">
        <v>464</v>
      </c>
      <c r="L1328" s="83" t="s">
        <v>168</v>
      </c>
      <c r="M1328" s="83" t="s">
        <v>169</v>
      </c>
      <c r="N1328" s="98" t="s">
        <v>7482</v>
      </c>
      <c r="O1328" s="98" t="s">
        <v>155</v>
      </c>
      <c r="P1328" s="99" t="str">
        <f>IFERROR(__xludf.DUMMYFUNCTION("IFERROR(VLOOKUP(AS1328,IMPORTRANGE(""https://docs.google.com/spreadsheets/d/1juPI-Fb8LD0YtltB2mlGEnp_R3UVu1t3wSFPzgCyHXE/edit?gid=0#gid=0"",""GERAL!A2:C""),3,0),""-"")"),"INDÍGENAS")</f>
        <v>INDÍGENAS</v>
      </c>
      <c r="Q1328" s="101" t="s">
        <v>156</v>
      </c>
      <c r="R1328" s="98">
        <v>3.0</v>
      </c>
      <c r="S1328" s="98">
        <v>0.0</v>
      </c>
      <c r="T1328" s="98">
        <v>0.0</v>
      </c>
      <c r="U1328" s="98">
        <v>0.0</v>
      </c>
      <c r="V1328" s="98">
        <v>0.0</v>
      </c>
      <c r="W1328" s="98">
        <v>0.0</v>
      </c>
      <c r="X1328" s="98">
        <v>0.0</v>
      </c>
      <c r="Y1328" s="98">
        <v>0.0</v>
      </c>
      <c r="Z1328" s="98">
        <v>0.0</v>
      </c>
      <c r="AA1328" s="98">
        <v>0.0</v>
      </c>
      <c r="AB1328" s="98">
        <v>1.0</v>
      </c>
      <c r="AC1328" s="98">
        <v>0.0</v>
      </c>
      <c r="AD1328" s="98">
        <v>0.0</v>
      </c>
      <c r="AE1328" s="98">
        <v>0.0</v>
      </c>
      <c r="AF1328" s="98">
        <v>0.0</v>
      </c>
      <c r="AG1328" s="98">
        <v>1.0</v>
      </c>
      <c r="AH1328" s="98">
        <v>0.0</v>
      </c>
      <c r="AI1328" s="98">
        <v>0.0</v>
      </c>
      <c r="AJ1328" s="98">
        <v>0.0</v>
      </c>
      <c r="AK1328" s="98">
        <v>0.0</v>
      </c>
      <c r="AL1328" s="98">
        <v>0.0</v>
      </c>
      <c r="AM1328" s="98">
        <v>0.0</v>
      </c>
      <c r="AN1328" s="98">
        <v>0.0</v>
      </c>
      <c r="AO1328" s="98">
        <v>0.0</v>
      </c>
      <c r="AP1328" s="98">
        <v>0.0</v>
      </c>
      <c r="AQ1328" s="98" t="s">
        <v>2992</v>
      </c>
      <c r="AR1328" s="102">
        <v>46233.0</v>
      </c>
      <c r="AS1328" s="83">
        <v>1179245.0</v>
      </c>
    </row>
    <row r="1329" ht="15.75" customHeight="1">
      <c r="A1329" s="111" t="s">
        <v>1629</v>
      </c>
      <c r="B1329" s="83" t="s">
        <v>7471</v>
      </c>
      <c r="C1329" s="83" t="s">
        <v>68</v>
      </c>
      <c r="D1329" s="112">
        <v>1113927.0</v>
      </c>
      <c r="E1329" s="83"/>
      <c r="F1329" s="83">
        <v>2.9033047E7</v>
      </c>
      <c r="G1329" s="91" t="str">
        <f>IFERROR(__xludf.DUMMYFUNCTION("XLOOKUP(AS1329,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JOSEFINA GOMES DE ARAÚJO - DISTRITO DE IBÓ")</f>
        <v>COLÉGIO ESTADUAL DO CAMPO JOSEFINA GOMES DE ARAÚJO - DISTRITO DE IBÓ</v>
      </c>
      <c r="H1329" s="114" t="s">
        <v>7487</v>
      </c>
      <c r="I1329" s="91" t="s">
        <v>7488</v>
      </c>
      <c r="J1329" s="136" t="s">
        <v>7489</v>
      </c>
      <c r="K1329" s="83" t="s">
        <v>923</v>
      </c>
      <c r="L1329" s="83" t="s">
        <v>168</v>
      </c>
      <c r="M1329" s="83" t="s">
        <v>169</v>
      </c>
      <c r="N1329" s="98" t="s">
        <v>7490</v>
      </c>
      <c r="O1329" s="98" t="s">
        <v>155</v>
      </c>
      <c r="P1329" s="99" t="str">
        <f>IFERROR(__xludf.DUMMYFUNCTION("IFERROR(VLOOKUP(AS1329,IMPORTRANGE(""https://docs.google.com/spreadsheets/d/1juPI-Fb8LD0YtltB2mlGEnp_R3UVu1t3wSFPzgCyHXE/edit?gid=0#gid=0"",""GERAL!A2:C""),3,0),""-"")"),"CAMPO")</f>
        <v>CAMPO</v>
      </c>
      <c r="Q1329" s="101" t="s">
        <v>156</v>
      </c>
      <c r="R1329" s="98">
        <v>7.0</v>
      </c>
      <c r="S1329" s="98">
        <v>0.0</v>
      </c>
      <c r="T1329" s="98">
        <v>1.0</v>
      </c>
      <c r="U1329" s="98">
        <v>0.0</v>
      </c>
      <c r="V1329" s="98">
        <v>0.0</v>
      </c>
      <c r="W1329" s="98">
        <v>1.0</v>
      </c>
      <c r="X1329" s="98">
        <v>1.0</v>
      </c>
      <c r="Y1329" s="98">
        <v>0.0</v>
      </c>
      <c r="Z1329" s="98">
        <v>0.0</v>
      </c>
      <c r="AA1329" s="98">
        <v>0.0</v>
      </c>
      <c r="AB1329" s="98">
        <v>0.0</v>
      </c>
      <c r="AC1329" s="98">
        <v>0.0</v>
      </c>
      <c r="AD1329" s="98">
        <v>0.0</v>
      </c>
      <c r="AE1329" s="98">
        <v>0.0</v>
      </c>
      <c r="AF1329" s="98">
        <v>0.0</v>
      </c>
      <c r="AG1329" s="98">
        <v>1.0</v>
      </c>
      <c r="AH1329" s="98">
        <v>0.0</v>
      </c>
      <c r="AI1329" s="98">
        <v>0.0</v>
      </c>
      <c r="AJ1329" s="98">
        <v>0.0</v>
      </c>
      <c r="AK1329" s="98">
        <v>0.0</v>
      </c>
      <c r="AL1329" s="98">
        <v>0.0</v>
      </c>
      <c r="AM1329" s="98">
        <v>0.0</v>
      </c>
      <c r="AN1329" s="98">
        <v>0.0</v>
      </c>
      <c r="AO1329" s="98">
        <v>0.0</v>
      </c>
      <c r="AP1329" s="98">
        <v>1.0</v>
      </c>
      <c r="AQ1329" s="98" t="s">
        <v>7497</v>
      </c>
      <c r="AR1329" s="102">
        <v>46233.0</v>
      </c>
      <c r="AS1329" s="83">
        <v>1113927.0</v>
      </c>
    </row>
    <row r="1330" ht="15.75" customHeight="1">
      <c r="A1330" s="111" t="s">
        <v>1629</v>
      </c>
      <c r="B1330" s="83" t="s">
        <v>7471</v>
      </c>
      <c r="C1330" s="83" t="s">
        <v>68</v>
      </c>
      <c r="D1330" s="112">
        <v>1113960.0</v>
      </c>
      <c r="E1330" s="83"/>
      <c r="F1330" s="83">
        <v>2.9032539E7</v>
      </c>
      <c r="G1330" s="91" t="str">
        <f>IFERROR(__xludf.DUMMYFUNCTION("XLOOKUP(AS1330,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MARIA DO SOCORRO GOMES POSSIDÔNIO (ANTIGO C. E. SANTO ANTÔNIO DE ABARÉ)")</f>
        <v>COLÉGIO ESTADUAL DE TEMPO INTEGRAL PROFESSORA MARIA DO SOCORRO GOMES POSSIDÔNIO (ANTIGO C. E. SANTO ANTÔNIO DE ABARÉ)</v>
      </c>
      <c r="H1330" s="119" t="s">
        <v>7505</v>
      </c>
      <c r="I1330" s="108" t="s">
        <v>7506</v>
      </c>
      <c r="J1330" s="136" t="s">
        <v>149</v>
      </c>
      <c r="K1330" s="83" t="s">
        <v>150</v>
      </c>
      <c r="L1330" s="83" t="s">
        <v>151</v>
      </c>
      <c r="M1330" s="98" t="s">
        <v>230</v>
      </c>
      <c r="N1330" s="98" t="s">
        <v>7507</v>
      </c>
      <c r="O1330" s="98" t="s">
        <v>162</v>
      </c>
      <c r="P1330" s="99" t="str">
        <f>IFERROR(__xludf.DUMMYFUNCTION("IFERROR(VLOOKUP(AS1330,IMPORTRANGE(""https://docs.google.com/spreadsheets/d/1juPI-Fb8LD0YtltB2mlGEnp_R3UVu1t3wSFPzgCyHXE/edit?gid=0#gid=0"",""GERAL!A2:C""),3,0),""-"")"),"-")</f>
        <v>-</v>
      </c>
      <c r="Q1330" s="101" t="s">
        <v>156</v>
      </c>
      <c r="R1330" s="98">
        <v>12.0</v>
      </c>
      <c r="S1330" s="98">
        <v>0.0</v>
      </c>
      <c r="T1330" s="98">
        <v>2.0</v>
      </c>
      <c r="U1330" s="98">
        <v>0.0</v>
      </c>
      <c r="V1330" s="98">
        <v>1.0</v>
      </c>
      <c r="W1330" s="98">
        <v>4.0</v>
      </c>
      <c r="X1330" s="98">
        <v>0.0</v>
      </c>
      <c r="Y1330" s="98">
        <v>0.0</v>
      </c>
      <c r="Z1330" s="98">
        <v>1.0</v>
      </c>
      <c r="AA1330" s="98">
        <v>0.0</v>
      </c>
      <c r="AB1330" s="98">
        <v>1.0</v>
      </c>
      <c r="AC1330" s="98">
        <v>0.0</v>
      </c>
      <c r="AD1330" s="98">
        <v>0.0</v>
      </c>
      <c r="AE1330" s="98">
        <v>0.0</v>
      </c>
      <c r="AF1330" s="98">
        <v>1.0</v>
      </c>
      <c r="AG1330" s="98">
        <v>0.0</v>
      </c>
      <c r="AH1330" s="98">
        <v>0.0</v>
      </c>
      <c r="AI1330" s="98">
        <v>0.0</v>
      </c>
      <c r="AJ1330" s="98">
        <v>0.0</v>
      </c>
      <c r="AK1330" s="98">
        <v>1.0</v>
      </c>
      <c r="AL1330" s="98">
        <v>0.0</v>
      </c>
      <c r="AM1330" s="98">
        <v>0.0</v>
      </c>
      <c r="AN1330" s="98">
        <v>0.0</v>
      </c>
      <c r="AO1330" s="98">
        <v>1.0</v>
      </c>
      <c r="AP1330" s="98">
        <v>0.0</v>
      </c>
      <c r="AQ1330" s="98" t="s">
        <v>7515</v>
      </c>
      <c r="AR1330" s="102">
        <v>46233.0</v>
      </c>
      <c r="AS1330" s="83">
        <v>1113960.0</v>
      </c>
    </row>
    <row r="1331" ht="15.75" customHeight="1">
      <c r="A1331" s="111" t="s">
        <v>1629</v>
      </c>
      <c r="B1331" s="83" t="s">
        <v>7471</v>
      </c>
      <c r="C1331" s="83" t="s">
        <v>164</v>
      </c>
      <c r="D1331" s="112">
        <v>1113960.0</v>
      </c>
      <c r="E1331" s="83">
        <v>1178576.0</v>
      </c>
      <c r="F1331" s="83"/>
      <c r="G1331" s="91" t="str">
        <f>IFERROR(__xludf.DUMMYFUNCTION("XLOOKUP(AS1331,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PROFESSORA MARIA DO SOCORRO GOMES BARBOSA - DISTRITO ICOZEIRA")</f>
        <v>ANEXO - COLÉGIO ESTADUAL DE TEMPO INTEGRAL PROFESSORA MARIA DO SOCORRO GOMES BARBOSA - DISTRITO ICOZEIRA</v>
      </c>
      <c r="H1331" s="119" t="s">
        <v>7516</v>
      </c>
      <c r="I1331" s="91" t="s">
        <v>7518</v>
      </c>
      <c r="J1331" s="136" t="s">
        <v>7520</v>
      </c>
      <c r="K1331" s="83" t="s">
        <v>252</v>
      </c>
      <c r="L1331" s="83" t="s">
        <v>168</v>
      </c>
      <c r="M1331" s="83" t="s">
        <v>169</v>
      </c>
      <c r="N1331" s="115" t="s">
        <v>170</v>
      </c>
      <c r="O1331" s="98" t="s">
        <v>155</v>
      </c>
      <c r="P1331" s="99" t="str">
        <f>IFERROR(__xludf.DUMMYFUNCTION("IFERROR(VLOOKUP(AS1331,IMPORTRANGE(""https://docs.google.com/spreadsheets/d/1juPI-Fb8LD0YtltB2mlGEnp_R3UVu1t3wSFPzgCyHXE/edit?gid=0#gid=0"",""GERAL!A2:C""),3,0),""-"")"),"CAMPO")</f>
        <v>CAMPO</v>
      </c>
      <c r="Q1331" s="98" t="s">
        <v>171</v>
      </c>
      <c r="R1331" s="98">
        <v>2.0</v>
      </c>
      <c r="S1331" s="98" t="s">
        <v>171</v>
      </c>
      <c r="T1331" s="98" t="s">
        <v>171</v>
      </c>
      <c r="U1331" s="98" t="s">
        <v>171</v>
      </c>
      <c r="V1331" s="98" t="s">
        <v>171</v>
      </c>
      <c r="W1331" s="98" t="s">
        <v>171</v>
      </c>
      <c r="X1331" s="98" t="s">
        <v>171</v>
      </c>
      <c r="Y1331" s="98" t="s">
        <v>171</v>
      </c>
      <c r="Z1331" s="98" t="s">
        <v>171</v>
      </c>
      <c r="AA1331" s="98" t="s">
        <v>171</v>
      </c>
      <c r="AB1331" s="98" t="s">
        <v>171</v>
      </c>
      <c r="AC1331" s="98" t="s">
        <v>171</v>
      </c>
      <c r="AD1331" s="98" t="s">
        <v>171</v>
      </c>
      <c r="AE1331" s="98" t="s">
        <v>171</v>
      </c>
      <c r="AF1331" s="98" t="s">
        <v>171</v>
      </c>
      <c r="AG1331" s="98">
        <v>1.0</v>
      </c>
      <c r="AH1331" s="98" t="s">
        <v>171</v>
      </c>
      <c r="AI1331" s="98" t="s">
        <v>171</v>
      </c>
      <c r="AJ1331" s="98" t="s">
        <v>171</v>
      </c>
      <c r="AK1331" s="98" t="s">
        <v>171</v>
      </c>
      <c r="AL1331" s="98" t="s">
        <v>171</v>
      </c>
      <c r="AM1331" s="98" t="s">
        <v>171</v>
      </c>
      <c r="AN1331" s="98" t="s">
        <v>171</v>
      </c>
      <c r="AO1331" s="98" t="s">
        <v>171</v>
      </c>
      <c r="AP1331" s="98" t="s">
        <v>171</v>
      </c>
      <c r="AQ1331" s="98" t="s">
        <v>171</v>
      </c>
      <c r="AR1331" s="102">
        <v>46233.0</v>
      </c>
      <c r="AS1331" s="83">
        <v>1178576.0</v>
      </c>
    </row>
    <row r="1332" ht="15.75" customHeight="1">
      <c r="A1332" s="111" t="s">
        <v>1629</v>
      </c>
      <c r="B1332" s="83" t="s">
        <v>7471</v>
      </c>
      <c r="C1332" s="83" t="s">
        <v>164</v>
      </c>
      <c r="D1332" s="112">
        <v>1113960.0</v>
      </c>
      <c r="E1332" s="83">
        <v>1178575.0</v>
      </c>
      <c r="F1332" s="83"/>
      <c r="G1332" s="91" t="str">
        <f>IFERROR(__xludf.DUMMYFUNCTION("XLOOKUP(AS1332,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PROFESSORA MARIA DO SOCORRO GOMES BARBOSA - AGROVILA 18")</f>
        <v>ANEXO - COLÉGIO ESTADUAL DE TEMPO INTEGRAL PROFESSORA MARIA DO SOCORRO GOMES BARBOSA - AGROVILA 18</v>
      </c>
      <c r="H1332" s="119" t="s">
        <v>7526</v>
      </c>
      <c r="I1332" s="91" t="s">
        <v>7527</v>
      </c>
      <c r="J1332" s="136" t="s">
        <v>7528</v>
      </c>
      <c r="K1332" s="83" t="s">
        <v>7529</v>
      </c>
      <c r="L1332" s="83" t="s">
        <v>168</v>
      </c>
      <c r="M1332" s="83" t="s">
        <v>169</v>
      </c>
      <c r="N1332" s="115" t="s">
        <v>170</v>
      </c>
      <c r="O1332" s="98" t="s">
        <v>155</v>
      </c>
      <c r="P1332" s="99" t="str">
        <f>IFERROR(__xludf.DUMMYFUNCTION("IFERROR(VLOOKUP(AS1332,IMPORTRANGE(""https://docs.google.com/spreadsheets/d/1juPI-Fb8LD0YtltB2mlGEnp_R3UVu1t3wSFPzgCyHXE/edit?gid=0#gid=0"",""GERAL!A2:C""),3,0),""-"")"),"CAMPO")</f>
        <v>CAMPO</v>
      </c>
      <c r="Q1332" s="98" t="s">
        <v>171</v>
      </c>
      <c r="R1332" s="98">
        <v>3.0</v>
      </c>
      <c r="S1332" s="98" t="s">
        <v>171</v>
      </c>
      <c r="T1332" s="98" t="s">
        <v>171</v>
      </c>
      <c r="U1332" s="98" t="s">
        <v>171</v>
      </c>
      <c r="V1332" s="98" t="s">
        <v>171</v>
      </c>
      <c r="W1332" s="98" t="s">
        <v>171</v>
      </c>
      <c r="X1332" s="98" t="s">
        <v>171</v>
      </c>
      <c r="Y1332" s="98" t="s">
        <v>171</v>
      </c>
      <c r="Z1332" s="98" t="s">
        <v>171</v>
      </c>
      <c r="AA1332" s="98" t="s">
        <v>171</v>
      </c>
      <c r="AB1332" s="98" t="s">
        <v>171</v>
      </c>
      <c r="AC1332" s="98" t="s">
        <v>171</v>
      </c>
      <c r="AD1332" s="98" t="s">
        <v>171</v>
      </c>
      <c r="AE1332" s="98" t="s">
        <v>171</v>
      </c>
      <c r="AF1332" s="98" t="s">
        <v>171</v>
      </c>
      <c r="AG1332" s="98" t="s">
        <v>171</v>
      </c>
      <c r="AH1332" s="98" t="s">
        <v>171</v>
      </c>
      <c r="AI1332" s="98" t="s">
        <v>171</v>
      </c>
      <c r="AJ1332" s="98" t="s">
        <v>171</v>
      </c>
      <c r="AK1332" s="98" t="s">
        <v>171</v>
      </c>
      <c r="AL1332" s="98" t="s">
        <v>171</v>
      </c>
      <c r="AM1332" s="98" t="s">
        <v>171</v>
      </c>
      <c r="AN1332" s="98" t="s">
        <v>171</v>
      </c>
      <c r="AO1332" s="98" t="s">
        <v>171</v>
      </c>
      <c r="AP1332" s="98" t="s">
        <v>171</v>
      </c>
      <c r="AQ1332" s="98" t="s">
        <v>171</v>
      </c>
      <c r="AR1332" s="102">
        <v>46233.0</v>
      </c>
      <c r="AS1332" s="83">
        <v>1178575.0</v>
      </c>
    </row>
    <row r="1333" ht="15.75" customHeight="1">
      <c r="A1333" s="111" t="s">
        <v>1629</v>
      </c>
      <c r="B1333" s="83" t="s">
        <v>2190</v>
      </c>
      <c r="C1333" s="83" t="s">
        <v>68</v>
      </c>
      <c r="D1333" s="112">
        <v>1113994.0</v>
      </c>
      <c r="E1333" s="83"/>
      <c r="F1333" s="83">
        <v>2.9033187E7</v>
      </c>
      <c r="G1333" s="91" t="str">
        <f>IFERROR(__xludf.DUMMYFUNCTION("XLOOKUP(AS1333,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MARIA DE LOURDES LIMA PEREIRA - POVOADO DE TARRACHIL")</f>
        <v>COLÉGIO ESTADUAL MARIA DE LOURDES LIMA PEREIRA - POVOADO DE TARRACHIL</v>
      </c>
      <c r="H1333" s="119" t="s">
        <v>7537</v>
      </c>
      <c r="I1333" s="91" t="s">
        <v>7538</v>
      </c>
      <c r="J1333" s="136" t="s">
        <v>7539</v>
      </c>
      <c r="K1333" s="83" t="s">
        <v>1074</v>
      </c>
      <c r="L1333" s="83" t="s">
        <v>168</v>
      </c>
      <c r="M1333" s="83" t="s">
        <v>169</v>
      </c>
      <c r="N1333" s="98" t="s">
        <v>7540</v>
      </c>
      <c r="O1333" s="98" t="s">
        <v>155</v>
      </c>
      <c r="P1333" s="99" t="str">
        <f>IFERROR(__xludf.DUMMYFUNCTION("IFERROR(VLOOKUP(AS1333,IMPORTRANGE(""https://docs.google.com/spreadsheets/d/1juPI-Fb8LD0YtltB2mlGEnp_R3UVu1t3wSFPzgCyHXE/edit?gid=0#gid=0"",""GERAL!A2:C""),3,0),""-"")"),"CAMPO")</f>
        <v>CAMPO</v>
      </c>
      <c r="Q1333" s="101" t="s">
        <v>156</v>
      </c>
      <c r="R1333" s="98">
        <v>6.0</v>
      </c>
      <c r="S1333" s="98">
        <v>1.0</v>
      </c>
      <c r="T1333" s="98">
        <v>0.0</v>
      </c>
      <c r="U1333" s="98">
        <v>0.0</v>
      </c>
      <c r="V1333" s="98">
        <v>0.0</v>
      </c>
      <c r="W1333" s="98">
        <v>1.0</v>
      </c>
      <c r="X1333" s="98">
        <v>0.0</v>
      </c>
      <c r="Y1333" s="98">
        <v>0.0</v>
      </c>
      <c r="Z1333" s="98">
        <v>0.0</v>
      </c>
      <c r="AA1333" s="98">
        <v>0.0</v>
      </c>
      <c r="AB1333" s="98">
        <v>0.0</v>
      </c>
      <c r="AC1333" s="98">
        <v>0.0</v>
      </c>
      <c r="AD1333" s="98">
        <v>0.0</v>
      </c>
      <c r="AE1333" s="98">
        <v>0.0</v>
      </c>
      <c r="AF1333" s="98">
        <v>0.0</v>
      </c>
      <c r="AG1333" s="98">
        <v>1.0</v>
      </c>
      <c r="AH1333" s="98">
        <v>0.0</v>
      </c>
      <c r="AI1333" s="98">
        <v>0.0</v>
      </c>
      <c r="AJ1333" s="98">
        <v>0.0</v>
      </c>
      <c r="AK1333" s="98">
        <v>0.0</v>
      </c>
      <c r="AL1333" s="98">
        <v>0.0</v>
      </c>
      <c r="AM1333" s="98">
        <v>0.0</v>
      </c>
      <c r="AN1333" s="98">
        <v>0.0</v>
      </c>
      <c r="AO1333" s="98">
        <v>0.0</v>
      </c>
      <c r="AP1333" s="98">
        <v>2.0</v>
      </c>
      <c r="AQ1333" s="98" t="s">
        <v>7551</v>
      </c>
      <c r="AR1333" s="102">
        <v>46226.0</v>
      </c>
      <c r="AS1333" s="83">
        <v>1113994.0</v>
      </c>
    </row>
    <row r="1334" ht="15.75" customHeight="1">
      <c r="A1334" s="111" t="s">
        <v>1629</v>
      </c>
      <c r="B1334" s="83" t="s">
        <v>2190</v>
      </c>
      <c r="C1334" s="83" t="s">
        <v>68</v>
      </c>
      <c r="D1334" s="112">
        <v>1178070.0</v>
      </c>
      <c r="E1334" s="83"/>
      <c r="F1334" s="83">
        <v>2.9424526E7</v>
      </c>
      <c r="G1334" s="91" t="str">
        <f>IFERROR(__xludf.DUMMYFUNCTION("XLOOKUP(AS1334,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JOSÉ")</f>
        <v>COLÉGIO ESTADUAL DE TEMPO INTEGRAL SÃO JOSÉ</v>
      </c>
      <c r="H1334" s="119" t="s">
        <v>6040</v>
      </c>
      <c r="I1334" s="91" t="s">
        <v>7559</v>
      </c>
      <c r="J1334" s="136" t="s">
        <v>149</v>
      </c>
      <c r="K1334" s="83" t="s">
        <v>150</v>
      </c>
      <c r="L1334" s="83" t="s">
        <v>151</v>
      </c>
      <c r="M1334" s="98" t="s">
        <v>230</v>
      </c>
      <c r="N1334" s="98" t="s">
        <v>7560</v>
      </c>
      <c r="O1334" s="98" t="s">
        <v>162</v>
      </c>
      <c r="P1334" s="99" t="str">
        <f>IFERROR(__xludf.DUMMYFUNCTION("IFERROR(VLOOKUP(AS1334,IMPORTRANGE(""https://docs.google.com/spreadsheets/d/1juPI-Fb8LD0YtltB2mlGEnp_R3UVu1t3wSFPzgCyHXE/edit?gid=0#gid=0"",""GERAL!A2:C""),3,0),""-"")"),"-")</f>
        <v>-</v>
      </c>
      <c r="Q1334" s="101" t="s">
        <v>156</v>
      </c>
      <c r="R1334" s="98">
        <v>12.0</v>
      </c>
      <c r="S1334" s="98">
        <v>1.0</v>
      </c>
      <c r="T1334" s="98">
        <v>1.0</v>
      </c>
      <c r="U1334" s="98">
        <v>0.0</v>
      </c>
      <c r="V1334" s="98">
        <v>1.0</v>
      </c>
      <c r="W1334" s="98">
        <v>3.0</v>
      </c>
      <c r="X1334" s="98">
        <v>1.0</v>
      </c>
      <c r="Y1334" s="98">
        <v>0.0</v>
      </c>
      <c r="Z1334" s="98">
        <v>1.0</v>
      </c>
      <c r="AA1334" s="98">
        <v>0.0</v>
      </c>
      <c r="AB1334" s="98">
        <v>1.0</v>
      </c>
      <c r="AC1334" s="98">
        <v>0.0</v>
      </c>
      <c r="AD1334" s="98">
        <v>0.0</v>
      </c>
      <c r="AE1334" s="98">
        <v>0.0</v>
      </c>
      <c r="AF1334" s="98">
        <v>0.0</v>
      </c>
      <c r="AG1334" s="98">
        <v>0.0</v>
      </c>
      <c r="AH1334" s="98">
        <v>0.0</v>
      </c>
      <c r="AI1334" s="98">
        <v>0.0</v>
      </c>
      <c r="AJ1334" s="98">
        <v>0.0</v>
      </c>
      <c r="AK1334" s="98">
        <v>1.0</v>
      </c>
      <c r="AL1334" s="98">
        <v>0.0</v>
      </c>
      <c r="AM1334" s="98">
        <v>0.0</v>
      </c>
      <c r="AN1334" s="98">
        <v>0.0</v>
      </c>
      <c r="AO1334" s="98">
        <v>0.0</v>
      </c>
      <c r="AP1334" s="98">
        <v>0.0</v>
      </c>
      <c r="AQ1334" s="98" t="s">
        <v>163</v>
      </c>
      <c r="AR1334" s="102">
        <v>46226.0</v>
      </c>
      <c r="AS1334" s="83">
        <v>1178070.0</v>
      </c>
    </row>
    <row r="1335" ht="15.75" customHeight="1">
      <c r="A1335" s="111" t="s">
        <v>1629</v>
      </c>
      <c r="B1335" s="83" t="s">
        <v>2190</v>
      </c>
      <c r="C1335" s="83" t="s">
        <v>164</v>
      </c>
      <c r="D1335" s="112">
        <v>1178070.0</v>
      </c>
      <c r="E1335" s="83">
        <v>1179528.0</v>
      </c>
      <c r="F1335" s="83"/>
      <c r="G1335" s="91" t="str">
        <f>IFERROR(__xludf.DUMMYFUNCTION("XLOOKUP(AS1335,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SÃO JOSÉ - DISTRITO DE CARAIBAS")</f>
        <v>ANEXO - COLÉGIO ESTADUAL SÃO JOSÉ - DISTRITO DE CARAIBAS</v>
      </c>
      <c r="H1335" s="114" t="s">
        <v>7568</v>
      </c>
      <c r="I1335" s="91" t="s">
        <v>7569</v>
      </c>
      <c r="J1335" s="136" t="s">
        <v>7570</v>
      </c>
      <c r="K1335" s="83" t="s">
        <v>2461</v>
      </c>
      <c r="L1335" s="83" t="s">
        <v>151</v>
      </c>
      <c r="M1335" s="83" t="s">
        <v>169</v>
      </c>
      <c r="N1335" s="115" t="s">
        <v>170</v>
      </c>
      <c r="O1335" s="98" t="s">
        <v>155</v>
      </c>
      <c r="P1335" s="99" t="str">
        <f>IFERROR(__xludf.DUMMYFUNCTION("IFERROR(VLOOKUP(AS1335,IMPORTRANGE(""https://docs.google.com/spreadsheets/d/1juPI-Fb8LD0YtltB2mlGEnp_R3UVu1t3wSFPzgCyHXE/edit?gid=0#gid=0"",""GERAL!A2:C""),3,0),""-"")"),"-")</f>
        <v>-</v>
      </c>
      <c r="Q1335" s="101" t="s">
        <v>156</v>
      </c>
      <c r="R1335" s="98">
        <v>4.0</v>
      </c>
      <c r="S1335" s="98" t="s">
        <v>171</v>
      </c>
      <c r="T1335" s="98" t="s">
        <v>171</v>
      </c>
      <c r="U1335" s="98" t="s">
        <v>171</v>
      </c>
      <c r="V1335" s="98" t="s">
        <v>171</v>
      </c>
      <c r="W1335" s="98" t="s">
        <v>171</v>
      </c>
      <c r="X1335" s="98" t="s">
        <v>171</v>
      </c>
      <c r="Y1335" s="98" t="s">
        <v>171</v>
      </c>
      <c r="Z1335" s="98" t="s">
        <v>171</v>
      </c>
      <c r="AA1335" s="98">
        <v>1.0</v>
      </c>
      <c r="AB1335" s="98" t="s">
        <v>171</v>
      </c>
      <c r="AC1335" s="98" t="s">
        <v>171</v>
      </c>
      <c r="AD1335" s="98" t="s">
        <v>171</v>
      </c>
      <c r="AE1335" s="98" t="s">
        <v>171</v>
      </c>
      <c r="AF1335" s="98" t="s">
        <v>171</v>
      </c>
      <c r="AG1335" s="98" t="s">
        <v>171</v>
      </c>
      <c r="AH1335" s="98" t="s">
        <v>171</v>
      </c>
      <c r="AI1335" s="98" t="s">
        <v>171</v>
      </c>
      <c r="AJ1335" s="98" t="s">
        <v>171</v>
      </c>
      <c r="AK1335" s="98" t="s">
        <v>171</v>
      </c>
      <c r="AL1335" s="98" t="s">
        <v>171</v>
      </c>
      <c r="AM1335" s="98" t="s">
        <v>171</v>
      </c>
      <c r="AN1335" s="98" t="s">
        <v>171</v>
      </c>
      <c r="AO1335" s="98" t="s">
        <v>171</v>
      </c>
      <c r="AP1335" s="98" t="s">
        <v>171</v>
      </c>
      <c r="AQ1335" s="98" t="s">
        <v>171</v>
      </c>
      <c r="AR1335" s="102">
        <v>46226.0</v>
      </c>
      <c r="AS1335" s="83">
        <v>1179528.0</v>
      </c>
    </row>
    <row r="1336" ht="15.75" customHeight="1">
      <c r="A1336" s="111" t="s">
        <v>1629</v>
      </c>
      <c r="B1336" s="83" t="s">
        <v>2381</v>
      </c>
      <c r="C1336" s="83" t="s">
        <v>68</v>
      </c>
      <c r="D1336" s="112">
        <v>1179203.0</v>
      </c>
      <c r="E1336" s="83"/>
      <c r="F1336" s="83">
        <v>2.9373018E7</v>
      </c>
      <c r="G1336" s="91" t="str">
        <f>IFERROR(__xludf.DUMMYFUNCTION("XLOOKUP(AS1336,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INDÍGENA MANOEL COELHO - POVOADO BAIXA DAS PEDRAS")</f>
        <v>ESCOLA ESTADUAL INDÍGENA MANOEL COELHO - POVOADO BAIXA DAS PEDRAS</v>
      </c>
      <c r="H1336" s="114" t="s">
        <v>7571</v>
      </c>
      <c r="I1336" s="91" t="s">
        <v>7572</v>
      </c>
      <c r="J1336" s="136" t="s">
        <v>7573</v>
      </c>
      <c r="K1336" s="83" t="s">
        <v>464</v>
      </c>
      <c r="L1336" s="83" t="s">
        <v>151</v>
      </c>
      <c r="M1336" s="83" t="s">
        <v>169</v>
      </c>
      <c r="N1336" s="98" t="s">
        <v>7576</v>
      </c>
      <c r="O1336" s="98" t="s">
        <v>155</v>
      </c>
      <c r="P1336" s="99" t="str">
        <f>IFERROR(__xludf.DUMMYFUNCTION("IFERROR(VLOOKUP(AS1336,IMPORTRANGE(""https://docs.google.com/spreadsheets/d/1juPI-Fb8LD0YtltB2mlGEnp_R3UVu1t3wSFPzgCyHXE/edit?gid=0#gid=0"",""GERAL!A2:C""),3,0),""-"")"),"INDÍGENAS")</f>
        <v>INDÍGENAS</v>
      </c>
      <c r="Q1336" s="83"/>
      <c r="R1336" s="83"/>
      <c r="S1336" s="83"/>
      <c r="T1336" s="83"/>
      <c r="U1336" s="83"/>
      <c r="V1336" s="83"/>
      <c r="W1336" s="83"/>
      <c r="X1336" s="83"/>
      <c r="Y1336" s="83"/>
      <c r="Z1336" s="83"/>
      <c r="AA1336" s="83"/>
      <c r="AB1336" s="83"/>
      <c r="AC1336" s="83"/>
      <c r="AD1336" s="83"/>
      <c r="AE1336" s="83"/>
      <c r="AF1336" s="83"/>
      <c r="AG1336" s="83"/>
      <c r="AH1336" s="83"/>
      <c r="AI1336" s="83"/>
      <c r="AJ1336" s="83"/>
      <c r="AK1336" s="83"/>
      <c r="AL1336" s="83"/>
      <c r="AM1336" s="83"/>
      <c r="AN1336" s="83"/>
      <c r="AO1336" s="83"/>
      <c r="AP1336" s="83"/>
      <c r="AQ1336" s="83"/>
      <c r="AR1336" s="83"/>
      <c r="AS1336" s="83">
        <v>1179203.0</v>
      </c>
    </row>
    <row r="1337" ht="15.75" customHeight="1">
      <c r="A1337" s="111" t="s">
        <v>1629</v>
      </c>
      <c r="B1337" s="83" t="s">
        <v>2381</v>
      </c>
      <c r="C1337" s="83" t="s">
        <v>68</v>
      </c>
      <c r="D1337" s="112">
        <v>1179479.0</v>
      </c>
      <c r="E1337" s="83"/>
      <c r="F1337" s="83">
        <v>2.9739624E7</v>
      </c>
      <c r="G1337" s="91" t="str">
        <f>IFERROR(__xludf.DUMMYFUNCTION("XLOOKUP(AS1337,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INDIGENA JOSE MARTINS - POV.BREJO DO BURGO")</f>
        <v>ESCOLA ESTADUAL INDIGENA JOSE MARTINS - POV.BREJO DO BURGO</v>
      </c>
      <c r="H1337" s="114" t="s">
        <v>7582</v>
      </c>
      <c r="I1337" s="91" t="s">
        <v>7583</v>
      </c>
      <c r="J1337" s="83" t="s">
        <v>7584</v>
      </c>
      <c r="K1337" s="83" t="s">
        <v>464</v>
      </c>
      <c r="L1337" s="83" t="s">
        <v>151</v>
      </c>
      <c r="M1337" s="83" t="s">
        <v>169</v>
      </c>
      <c r="N1337" s="98" t="s">
        <v>7585</v>
      </c>
      <c r="O1337" s="98" t="s">
        <v>155</v>
      </c>
      <c r="P1337" s="99" t="str">
        <f>IFERROR(__xludf.DUMMYFUNCTION("IFERROR(VLOOKUP(AS1337,IMPORTRANGE(""https://docs.google.com/spreadsheets/d/1juPI-Fb8LD0YtltB2mlGEnp_R3UVu1t3wSFPzgCyHXE/edit?gid=0#gid=0"",""GERAL!A2:C""),3,0),""-"")"),"INDÍGENAS")</f>
        <v>INDÍGENAS</v>
      </c>
      <c r="Q1337" s="83"/>
      <c r="R1337" s="83"/>
      <c r="S1337" s="83"/>
      <c r="T1337" s="83"/>
      <c r="U1337" s="83"/>
      <c r="V1337" s="83"/>
      <c r="W1337" s="83"/>
      <c r="X1337" s="83"/>
      <c r="Y1337" s="83"/>
      <c r="Z1337" s="83"/>
      <c r="AA1337" s="83"/>
      <c r="AB1337" s="83"/>
      <c r="AC1337" s="83"/>
      <c r="AD1337" s="83"/>
      <c r="AE1337" s="83"/>
      <c r="AF1337" s="83"/>
      <c r="AG1337" s="83"/>
      <c r="AH1337" s="83"/>
      <c r="AI1337" s="83"/>
      <c r="AJ1337" s="83"/>
      <c r="AK1337" s="83"/>
      <c r="AL1337" s="83"/>
      <c r="AM1337" s="83"/>
      <c r="AN1337" s="83"/>
      <c r="AO1337" s="83"/>
      <c r="AP1337" s="83"/>
      <c r="AQ1337" s="83"/>
      <c r="AR1337" s="83"/>
      <c r="AS1337" s="83">
        <v>1179479.0</v>
      </c>
    </row>
    <row r="1338" ht="15.75" customHeight="1">
      <c r="A1338" s="111" t="s">
        <v>1629</v>
      </c>
      <c r="B1338" s="83" t="s">
        <v>2381</v>
      </c>
      <c r="C1338" s="83" t="s">
        <v>68</v>
      </c>
      <c r="D1338" s="112">
        <v>1179204.0</v>
      </c>
      <c r="E1338" s="83"/>
      <c r="F1338" s="83">
        <v>2.9366739E7</v>
      </c>
      <c r="G1338" s="91" t="str">
        <f>IFERROR(__xludf.DUMMYFUNCTION("XLOOKUP(AS1338,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INDIGENA XUCURU KARIRI")</f>
        <v>COLÉGIO ESTADUAL INDIGENA XUCURU KARIRI</v>
      </c>
      <c r="H1338" s="119" t="s">
        <v>7586</v>
      </c>
      <c r="I1338" s="91" t="s">
        <v>7587</v>
      </c>
      <c r="J1338" s="83" t="s">
        <v>7588</v>
      </c>
      <c r="K1338" s="83" t="s">
        <v>923</v>
      </c>
      <c r="L1338" s="83" t="s">
        <v>151</v>
      </c>
      <c r="M1338" s="83" t="s">
        <v>169</v>
      </c>
      <c r="N1338" s="98" t="s">
        <v>7590</v>
      </c>
      <c r="O1338" s="98" t="s">
        <v>155</v>
      </c>
      <c r="P1338" s="99" t="str">
        <f>IFERROR(__xludf.DUMMYFUNCTION("IFERROR(VLOOKUP(AS1338,IMPORTRANGE(""https://docs.google.com/spreadsheets/d/1juPI-Fb8LD0YtltB2mlGEnp_R3UVu1t3wSFPzgCyHXE/edit?gid=0#gid=0"",""GERAL!A2:C""),3,0),""-"")"),"INDÍGENAS")</f>
        <v>INDÍGENAS</v>
      </c>
      <c r="Q1338" s="83"/>
      <c r="R1338" s="83"/>
      <c r="S1338" s="83"/>
      <c r="T1338" s="83"/>
      <c r="U1338" s="83"/>
      <c r="V1338" s="83"/>
      <c r="W1338" s="83"/>
      <c r="X1338" s="83"/>
      <c r="Y1338" s="83"/>
      <c r="Z1338" s="83"/>
      <c r="AA1338" s="83"/>
      <c r="AB1338" s="83"/>
      <c r="AC1338" s="83"/>
      <c r="AD1338" s="83"/>
      <c r="AE1338" s="83"/>
      <c r="AF1338" s="83"/>
      <c r="AG1338" s="83"/>
      <c r="AH1338" s="83"/>
      <c r="AI1338" s="83"/>
      <c r="AJ1338" s="83"/>
      <c r="AK1338" s="83"/>
      <c r="AL1338" s="83"/>
      <c r="AM1338" s="83"/>
      <c r="AN1338" s="83"/>
      <c r="AO1338" s="83"/>
      <c r="AP1338" s="83"/>
      <c r="AQ1338" s="83"/>
      <c r="AR1338" s="83"/>
      <c r="AS1338" s="83">
        <v>1179204.0</v>
      </c>
    </row>
    <row r="1339" ht="15.75" customHeight="1">
      <c r="A1339" s="111" t="s">
        <v>1629</v>
      </c>
      <c r="B1339" s="83" t="s">
        <v>2381</v>
      </c>
      <c r="C1339" s="83" t="s">
        <v>68</v>
      </c>
      <c r="D1339" s="112">
        <v>1179202.0</v>
      </c>
      <c r="E1339" s="83"/>
      <c r="F1339" s="83">
        <v>2.903395E7</v>
      </c>
      <c r="G1339" s="91" t="str">
        <f>IFERROR(__xludf.DUMMYFUNCTION("XLOOKUP(AS1339,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INDIGENA SANTA RITA DE CASSIA - FAZ. GLORIA")</f>
        <v>COLÉGIO ESTADUAL INDIGENA SANTA RITA DE CASSIA - FAZ. GLORIA</v>
      </c>
      <c r="H1339" s="119" t="s">
        <v>7591</v>
      </c>
      <c r="I1339" s="91" t="s">
        <v>7592</v>
      </c>
      <c r="J1339" s="83" t="s">
        <v>7593</v>
      </c>
      <c r="K1339" s="83" t="s">
        <v>641</v>
      </c>
      <c r="L1339" s="83" t="s">
        <v>151</v>
      </c>
      <c r="M1339" s="83" t="s">
        <v>169</v>
      </c>
      <c r="N1339" s="98" t="s">
        <v>7594</v>
      </c>
      <c r="O1339" s="98" t="s">
        <v>155</v>
      </c>
      <c r="P1339" s="99" t="str">
        <f>IFERROR(__xludf.DUMMYFUNCTION("IFERROR(VLOOKUP(AS1339,IMPORTRANGE(""https://docs.google.com/spreadsheets/d/1juPI-Fb8LD0YtltB2mlGEnp_R3UVu1t3wSFPzgCyHXE/edit?gid=0#gid=0"",""GERAL!A2:C""),3,0),""-"")"),"INDÍGENAS")</f>
        <v>INDÍGENAS</v>
      </c>
      <c r="Q1339" s="83"/>
      <c r="R1339" s="83"/>
      <c r="S1339" s="83"/>
      <c r="T1339" s="83"/>
      <c r="U1339" s="83"/>
      <c r="V1339" s="83"/>
      <c r="W1339" s="83"/>
      <c r="X1339" s="83"/>
      <c r="Y1339" s="83"/>
      <c r="Z1339" s="83"/>
      <c r="AA1339" s="83"/>
      <c r="AB1339" s="83"/>
      <c r="AC1339" s="83"/>
      <c r="AD1339" s="83"/>
      <c r="AE1339" s="83"/>
      <c r="AF1339" s="83"/>
      <c r="AG1339" s="83"/>
      <c r="AH1339" s="83"/>
      <c r="AI1339" s="83"/>
      <c r="AJ1339" s="83"/>
      <c r="AK1339" s="83"/>
      <c r="AL1339" s="83"/>
      <c r="AM1339" s="83"/>
      <c r="AN1339" s="83"/>
      <c r="AO1339" s="83"/>
      <c r="AP1339" s="83"/>
      <c r="AQ1339" s="83"/>
      <c r="AR1339" s="83"/>
      <c r="AS1339" s="83">
        <v>1179202.0</v>
      </c>
    </row>
    <row r="1340" ht="15.75" customHeight="1">
      <c r="A1340" s="111" t="s">
        <v>1629</v>
      </c>
      <c r="B1340" s="83" t="s">
        <v>2381</v>
      </c>
      <c r="C1340" s="83" t="s">
        <v>68</v>
      </c>
      <c r="D1340" s="112">
        <v>1179123.0</v>
      </c>
      <c r="E1340" s="83"/>
      <c r="F1340" s="83">
        <v>2.9354536E7</v>
      </c>
      <c r="G1340" s="91" t="str">
        <f>IFERROR(__xludf.DUMMYFUNCTION("XLOOKUP(AS1340,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INDIGENA ANGELO PEREIRA XAVIER")</f>
        <v>COLÉGIO ESTADUAL INDIGENA ANGELO PEREIRA XAVIER</v>
      </c>
      <c r="H1340" s="119" t="s">
        <v>7596</v>
      </c>
      <c r="I1340" s="91" t="s">
        <v>7597</v>
      </c>
      <c r="J1340" s="136" t="s">
        <v>7598</v>
      </c>
      <c r="K1340" s="83" t="s">
        <v>150</v>
      </c>
      <c r="L1340" s="83" t="s">
        <v>151</v>
      </c>
      <c r="M1340" s="83" t="s">
        <v>169</v>
      </c>
      <c r="N1340" s="98" t="s">
        <v>7599</v>
      </c>
      <c r="O1340" s="98" t="s">
        <v>155</v>
      </c>
      <c r="P1340" s="99" t="str">
        <f>IFERROR(__xludf.DUMMYFUNCTION("IFERROR(VLOOKUP(AS1340,IMPORTRANGE(""https://docs.google.com/spreadsheets/d/1juPI-Fb8LD0YtltB2mlGEnp_R3UVu1t3wSFPzgCyHXE/edit?gid=0#gid=0"",""GERAL!A2:C""),3,0),""-"")"),"INDÍGENAS")</f>
        <v>INDÍGENAS</v>
      </c>
      <c r="Q1340" s="83"/>
      <c r="R1340" s="83"/>
      <c r="S1340" s="83"/>
      <c r="T1340" s="83"/>
      <c r="U1340" s="83"/>
      <c r="V1340" s="83"/>
      <c r="W1340" s="83"/>
      <c r="X1340" s="83"/>
      <c r="Y1340" s="83"/>
      <c r="Z1340" s="83"/>
      <c r="AA1340" s="83"/>
      <c r="AB1340" s="83"/>
      <c r="AC1340" s="83"/>
      <c r="AD1340" s="83"/>
      <c r="AE1340" s="83"/>
      <c r="AF1340" s="83"/>
      <c r="AG1340" s="83"/>
      <c r="AH1340" s="83"/>
      <c r="AI1340" s="83"/>
      <c r="AJ1340" s="83"/>
      <c r="AK1340" s="83"/>
      <c r="AL1340" s="83"/>
      <c r="AM1340" s="83"/>
      <c r="AN1340" s="83"/>
      <c r="AO1340" s="83"/>
      <c r="AP1340" s="83"/>
      <c r="AQ1340" s="83"/>
      <c r="AR1340" s="83"/>
      <c r="AS1340" s="83">
        <v>1179123.0</v>
      </c>
    </row>
    <row r="1341" ht="15.75" customHeight="1">
      <c r="A1341" s="111" t="s">
        <v>1629</v>
      </c>
      <c r="B1341" s="83" t="s">
        <v>2381</v>
      </c>
      <c r="C1341" s="83" t="s">
        <v>68</v>
      </c>
      <c r="D1341" s="98">
        <v>1179669.0</v>
      </c>
      <c r="E1341" s="83"/>
      <c r="F1341" s="98">
        <v>44359.0</v>
      </c>
      <c r="G1341" s="91" t="str">
        <f>IFERROR(__xludf.DUMMYFUNCTION("XLOOKUP(AS1341,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INDÍGENA ANANIAS VITORIANO")</f>
        <v>COLÉGIO ESTADUAL INDÍGENA ANANIAS VITORIANO</v>
      </c>
      <c r="H1341" s="119" t="s">
        <v>7600</v>
      </c>
      <c r="I1341" s="108" t="s">
        <v>7601</v>
      </c>
      <c r="J1341" s="83"/>
      <c r="K1341" s="83"/>
      <c r="L1341" s="83" t="s">
        <v>151</v>
      </c>
      <c r="M1341" s="83" t="s">
        <v>169</v>
      </c>
      <c r="N1341" s="98" t="s">
        <v>171</v>
      </c>
      <c r="O1341" s="98" t="s">
        <v>155</v>
      </c>
      <c r="P1341" s="99" t="str">
        <f>IFERROR(__xludf.DUMMYFUNCTION("IFERROR(VLOOKUP(AS1341,IMPORTRANGE(""https://docs.google.com/spreadsheets/d/1juPI-Fb8LD0YtltB2mlGEnp_R3UVu1t3wSFPzgCyHXE/edit?gid=0#gid=0"",""GERAL!A2:C""),3,0),""-"")"),"INDÍGENAS")</f>
        <v>INDÍGENAS</v>
      </c>
      <c r="Q1341" s="98"/>
      <c r="R1341" s="98"/>
      <c r="S1341" s="98"/>
      <c r="T1341" s="98"/>
      <c r="U1341" s="98"/>
      <c r="V1341" s="98"/>
      <c r="W1341" s="98"/>
      <c r="X1341" s="98"/>
      <c r="Y1341" s="98"/>
      <c r="Z1341" s="98"/>
      <c r="AA1341" s="98"/>
      <c r="AB1341" s="98"/>
      <c r="AC1341" s="98"/>
      <c r="AD1341" s="98"/>
      <c r="AE1341" s="98"/>
      <c r="AF1341" s="98"/>
      <c r="AG1341" s="98"/>
      <c r="AH1341" s="98"/>
      <c r="AI1341" s="98"/>
      <c r="AJ1341" s="98"/>
      <c r="AK1341" s="98"/>
      <c r="AL1341" s="98"/>
      <c r="AM1341" s="98"/>
      <c r="AN1341" s="98"/>
      <c r="AO1341" s="98"/>
      <c r="AP1341" s="98"/>
      <c r="AQ1341" s="98"/>
      <c r="AR1341" s="98"/>
      <c r="AS1341" s="98">
        <v>1179669.0</v>
      </c>
    </row>
    <row r="1342" ht="15.75" customHeight="1">
      <c r="A1342" s="111" t="s">
        <v>1629</v>
      </c>
      <c r="B1342" s="83" t="s">
        <v>2381</v>
      </c>
      <c r="C1342" s="83" t="s">
        <v>68</v>
      </c>
      <c r="D1342" s="112">
        <v>1138504.0</v>
      </c>
      <c r="E1342" s="83"/>
      <c r="F1342" s="83">
        <v>2.9034205E7</v>
      </c>
      <c r="G1342" s="91" t="str">
        <f>IFERROR(__xludf.DUMMYFUNCTION("XLOOKUP(AS1342,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REIS MAGALHÃES")</f>
        <v>COLÉGIO ESTADUAL DE TEMPO INTEGRAL REIS MAGALHÃES</v>
      </c>
      <c r="H1342" s="119" t="s">
        <v>7602</v>
      </c>
      <c r="I1342" s="91" t="s">
        <v>7603</v>
      </c>
      <c r="J1342" s="136" t="s">
        <v>149</v>
      </c>
      <c r="K1342" s="83" t="s">
        <v>150</v>
      </c>
      <c r="L1342" s="83" t="s">
        <v>151</v>
      </c>
      <c r="M1342" s="83" t="s">
        <v>152</v>
      </c>
      <c r="N1342" s="137" t="s">
        <v>7604</v>
      </c>
      <c r="O1342" s="98" t="s">
        <v>5682</v>
      </c>
      <c r="P1342" s="99" t="str">
        <f>IFERROR(__xludf.DUMMYFUNCTION("IFERROR(VLOOKUP(AS1342,IMPORTRANGE(""https://docs.google.com/spreadsheets/d/1juPI-Fb8LD0YtltB2mlGEnp_R3UVu1t3wSFPzgCyHXE/edit?gid=0#gid=0"",""GERAL!A2:C""),3,0),""-"")"),"-")</f>
        <v>-</v>
      </c>
      <c r="Q1342" s="83"/>
      <c r="R1342" s="83"/>
      <c r="S1342" s="83"/>
      <c r="T1342" s="83"/>
      <c r="U1342" s="83"/>
      <c r="V1342" s="83"/>
      <c r="W1342" s="83"/>
      <c r="X1342" s="83"/>
      <c r="Y1342" s="83"/>
      <c r="Z1342" s="83"/>
      <c r="AA1342" s="83"/>
      <c r="AB1342" s="83"/>
      <c r="AC1342" s="83"/>
      <c r="AD1342" s="83"/>
      <c r="AE1342" s="83"/>
      <c r="AF1342" s="83"/>
      <c r="AG1342" s="83"/>
      <c r="AH1342" s="83"/>
      <c r="AI1342" s="83"/>
      <c r="AJ1342" s="83"/>
      <c r="AK1342" s="83"/>
      <c r="AL1342" s="83"/>
      <c r="AM1342" s="83"/>
      <c r="AN1342" s="83"/>
      <c r="AO1342" s="83"/>
      <c r="AP1342" s="83"/>
      <c r="AQ1342" s="83"/>
      <c r="AR1342" s="83"/>
      <c r="AS1342" s="83">
        <v>1138504.0</v>
      </c>
    </row>
    <row r="1343" ht="15.75" customHeight="1">
      <c r="A1343" s="111" t="s">
        <v>1629</v>
      </c>
      <c r="B1343" s="83" t="s">
        <v>2381</v>
      </c>
      <c r="C1343" s="83" t="s">
        <v>164</v>
      </c>
      <c r="D1343" s="112">
        <v>1179123.0</v>
      </c>
      <c r="E1343" s="83">
        <v>1179125.0</v>
      </c>
      <c r="F1343" s="83"/>
      <c r="G1343" s="91" t="str">
        <f>IFERROR(__xludf.DUMMYFUNCTION("XLOOKUP(AS1343,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ÂNGELO PEREIRA XAVIER - RASO DA CATARINA")</f>
        <v>ANEXO - COLÉGIO ESTADUAL INDÍGENA ÂNGELO PEREIRA XAVIER - RASO DA CATARINA</v>
      </c>
      <c r="H1343" s="114" t="s">
        <v>7605</v>
      </c>
      <c r="I1343" s="91" t="s">
        <v>7606</v>
      </c>
      <c r="J1343" s="136" t="s">
        <v>7607</v>
      </c>
      <c r="K1343" s="83" t="s">
        <v>865</v>
      </c>
      <c r="L1343" s="83" t="s">
        <v>151</v>
      </c>
      <c r="M1343" s="83" t="s">
        <v>169</v>
      </c>
      <c r="N1343" s="115" t="s">
        <v>170</v>
      </c>
      <c r="O1343" s="98" t="s">
        <v>155</v>
      </c>
      <c r="P1343" s="99" t="str">
        <f>IFERROR(__xludf.DUMMYFUNCTION("IFERROR(VLOOKUP(AS1343,IMPORTRANGE(""https://docs.google.com/spreadsheets/d/1juPI-Fb8LD0YtltB2mlGEnp_R3UVu1t3wSFPzgCyHXE/edit?gid=0#gid=0"",""GERAL!A2:C""),3,0),""-"")"),"INDÍGENAS")</f>
        <v>INDÍGENAS</v>
      </c>
      <c r="Q1343" s="83"/>
      <c r="R1343" s="83"/>
      <c r="S1343" s="83"/>
      <c r="T1343" s="83"/>
      <c r="U1343" s="83"/>
      <c r="V1343" s="83"/>
      <c r="W1343" s="83"/>
      <c r="X1343" s="83"/>
      <c r="Y1343" s="83"/>
      <c r="Z1343" s="83"/>
      <c r="AA1343" s="83"/>
      <c r="AB1343" s="83"/>
      <c r="AC1343" s="83"/>
      <c r="AD1343" s="83"/>
      <c r="AE1343" s="83"/>
      <c r="AF1343" s="83"/>
      <c r="AG1343" s="83"/>
      <c r="AH1343" s="83"/>
      <c r="AI1343" s="83"/>
      <c r="AJ1343" s="83"/>
      <c r="AK1343" s="83"/>
      <c r="AL1343" s="83"/>
      <c r="AM1343" s="83"/>
      <c r="AN1343" s="83"/>
      <c r="AO1343" s="83"/>
      <c r="AP1343" s="83"/>
      <c r="AQ1343" s="83"/>
      <c r="AR1343" s="83"/>
      <c r="AS1343" s="83">
        <v>1179125.0</v>
      </c>
    </row>
    <row r="1344" ht="15.75" customHeight="1">
      <c r="A1344" s="111" t="s">
        <v>1629</v>
      </c>
      <c r="B1344" s="83" t="s">
        <v>2381</v>
      </c>
      <c r="C1344" s="83" t="s">
        <v>164</v>
      </c>
      <c r="D1344" s="112">
        <v>1179123.0</v>
      </c>
      <c r="E1344" s="83">
        <v>1179124.0</v>
      </c>
      <c r="F1344" s="83"/>
      <c r="G1344" s="91" t="str">
        <f>IFERROR(__xludf.DUMMYFUNCTION("XLOOKUP(AS1344,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ÂNGELO PEREIRA XAVIER - FAZENDA SERROTA")</f>
        <v>ANEXO - COLÉGIO ESTADUAL INDÍGENA ÂNGELO PEREIRA XAVIER - FAZENDA SERROTA</v>
      </c>
      <c r="H1344" s="114" t="s">
        <v>7608</v>
      </c>
      <c r="I1344" s="91" t="s">
        <v>7609</v>
      </c>
      <c r="J1344" s="83" t="s">
        <v>7610</v>
      </c>
      <c r="K1344" s="83" t="s">
        <v>865</v>
      </c>
      <c r="L1344" s="83" t="s">
        <v>151</v>
      </c>
      <c r="M1344" s="83" t="s">
        <v>169</v>
      </c>
      <c r="N1344" s="115" t="s">
        <v>170</v>
      </c>
      <c r="O1344" s="98" t="s">
        <v>155</v>
      </c>
      <c r="P1344" s="99" t="str">
        <f>IFERROR(__xludf.DUMMYFUNCTION("IFERROR(VLOOKUP(AS1344,IMPORTRANGE(""https://docs.google.com/spreadsheets/d/1juPI-Fb8LD0YtltB2mlGEnp_R3UVu1t3wSFPzgCyHXE/edit?gid=0#gid=0"",""GERAL!A2:C""),3,0),""-"")"),"INDÍGENAS")</f>
        <v>INDÍGENAS</v>
      </c>
      <c r="Q1344" s="83"/>
      <c r="R1344" s="83"/>
      <c r="S1344" s="83"/>
      <c r="T1344" s="83"/>
      <c r="U1344" s="83"/>
      <c r="V1344" s="83"/>
      <c r="W1344" s="83"/>
      <c r="X1344" s="83"/>
      <c r="Y1344" s="83"/>
      <c r="Z1344" s="83"/>
      <c r="AA1344" s="83"/>
      <c r="AB1344" s="83"/>
      <c r="AC1344" s="83"/>
      <c r="AD1344" s="83"/>
      <c r="AE1344" s="83"/>
      <c r="AF1344" s="83"/>
      <c r="AG1344" s="83"/>
      <c r="AH1344" s="83"/>
      <c r="AI1344" s="83"/>
      <c r="AJ1344" s="83"/>
      <c r="AK1344" s="83"/>
      <c r="AL1344" s="83"/>
      <c r="AM1344" s="83"/>
      <c r="AN1344" s="83"/>
      <c r="AO1344" s="83"/>
      <c r="AP1344" s="83"/>
      <c r="AQ1344" s="83"/>
      <c r="AR1344" s="83"/>
      <c r="AS1344" s="83">
        <v>1179124.0</v>
      </c>
    </row>
    <row r="1345" ht="15.75" customHeight="1">
      <c r="A1345" s="111" t="s">
        <v>1629</v>
      </c>
      <c r="B1345" s="83" t="s">
        <v>7612</v>
      </c>
      <c r="C1345" s="83" t="s">
        <v>68</v>
      </c>
      <c r="D1345" s="112">
        <v>1114265.0</v>
      </c>
      <c r="E1345" s="83"/>
      <c r="F1345" s="83">
        <v>2.903428E7</v>
      </c>
      <c r="G1345" s="91" t="str">
        <f>IFERROR(__xludf.DUMMYFUNCTION("XLOOKUP(AS1345,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IRMÃ OLIVEIRA")</f>
        <v>COLÉGIO ESTADUAL DE TEMPO INTEGRAL IRMÃ OLIVEIRA</v>
      </c>
      <c r="H1345" s="184" t="s">
        <v>7613</v>
      </c>
      <c r="I1345" s="108" t="s">
        <v>7614</v>
      </c>
      <c r="J1345" s="83" t="s">
        <v>149</v>
      </c>
      <c r="K1345" s="83" t="s">
        <v>150</v>
      </c>
      <c r="L1345" s="83" t="s">
        <v>151</v>
      </c>
      <c r="M1345" s="98" t="s">
        <v>76</v>
      </c>
      <c r="N1345" s="137" t="s">
        <v>7615</v>
      </c>
      <c r="O1345" s="98" t="s">
        <v>155</v>
      </c>
      <c r="P1345" s="99" t="str">
        <f>IFERROR(__xludf.DUMMYFUNCTION("IFERROR(VLOOKUP(AS1345,IMPORTRANGE(""https://docs.google.com/spreadsheets/d/1juPI-Fb8LD0YtltB2mlGEnp_R3UVu1t3wSFPzgCyHXE/edit?gid=0#gid=0"",""GERAL!A2:C""),3,0),""-"")"),"-")</f>
        <v>-</v>
      </c>
      <c r="Q1345" s="136"/>
      <c r="R1345" s="136"/>
      <c r="S1345" s="136"/>
      <c r="T1345" s="136"/>
      <c r="U1345" s="136"/>
      <c r="V1345" s="136"/>
      <c r="W1345" s="136"/>
      <c r="X1345" s="136"/>
      <c r="Y1345" s="136"/>
      <c r="Z1345" s="136"/>
      <c r="AA1345" s="136"/>
      <c r="AB1345" s="136"/>
      <c r="AC1345" s="136"/>
      <c r="AD1345" s="136"/>
      <c r="AE1345" s="136"/>
      <c r="AF1345" s="136"/>
      <c r="AG1345" s="136"/>
      <c r="AH1345" s="136"/>
      <c r="AI1345" s="136"/>
      <c r="AJ1345" s="136"/>
      <c r="AK1345" s="136"/>
      <c r="AL1345" s="136"/>
      <c r="AM1345" s="136"/>
      <c r="AN1345" s="136"/>
      <c r="AO1345" s="136"/>
      <c r="AP1345" s="136"/>
      <c r="AQ1345" s="136"/>
      <c r="AR1345" s="136"/>
      <c r="AS1345" s="136">
        <v>1114265.0</v>
      </c>
    </row>
    <row r="1346" ht="15.75" customHeight="1">
      <c r="A1346" s="111" t="s">
        <v>1629</v>
      </c>
      <c r="B1346" s="83" t="s">
        <v>7612</v>
      </c>
      <c r="C1346" s="83" t="s">
        <v>164</v>
      </c>
      <c r="D1346" s="112">
        <v>1114265.0</v>
      </c>
      <c r="E1346" s="83">
        <v>1178582.0</v>
      </c>
      <c r="F1346" s="83"/>
      <c r="G1346" s="91" t="str">
        <f>IFERROR(__xludf.DUMMYFUNCTION("XLOOKUP(AS1346,
IMPORTRANGE(""https://docs.google.com/spreadsheets/d/1YM-djuOLXomrZ9W0B4TyIBsVWnXY4EIOFD9HY-qGfv0/edit?usp=sharing"",""GERAL!BG5:BG""),
IMPORTRANGE(""https://docs.google.com/spreadsheets/d/1YM-djuOLXomrZ9W0B4TyIBsVWnXY4EIOFD9HY-qGfv0/edit?"&amp;"usp=sharing"",""GERAL!G5:G""),
""CÓD. SEC NÃO ENCONTRADO NA PLANILHA DE MATRÍCULA"")"),"ANEXO -COLÉGIO ESTADUAL DE TEMPO INTEGRAL IRMÃ OLIVEIRA - POVOADO SALGADO DO MELÃO")</f>
        <v>ANEXO -COLÉGIO ESTADUAL DE TEMPO INTEGRAL IRMÃ OLIVEIRA - POVOADO SALGADO DO MELÃO</v>
      </c>
      <c r="H1346" s="184" t="s">
        <v>7617</v>
      </c>
      <c r="I1346" s="91" t="s">
        <v>7618</v>
      </c>
      <c r="J1346" s="83" t="s">
        <v>149</v>
      </c>
      <c r="K1346" s="83" t="s">
        <v>865</v>
      </c>
      <c r="L1346" s="83" t="s">
        <v>168</v>
      </c>
      <c r="M1346" s="83" t="s">
        <v>169</v>
      </c>
      <c r="N1346" s="115" t="s">
        <v>170</v>
      </c>
      <c r="O1346" s="98" t="s">
        <v>155</v>
      </c>
      <c r="P1346" s="99" t="str">
        <f>IFERROR(__xludf.DUMMYFUNCTION("IFERROR(VLOOKUP(AS1346,IMPORTRANGE(""https://docs.google.com/spreadsheets/d/1juPI-Fb8LD0YtltB2mlGEnp_R3UVu1t3wSFPzgCyHXE/edit?gid=0#gid=0"",""GERAL!A2:C""),3,0),""-"")"),"CAMPO")</f>
        <v>CAMPO</v>
      </c>
      <c r="Q1346" s="136"/>
      <c r="R1346" s="136"/>
      <c r="S1346" s="136"/>
      <c r="T1346" s="136"/>
      <c r="U1346" s="136"/>
      <c r="V1346" s="136"/>
      <c r="W1346" s="136"/>
      <c r="X1346" s="136"/>
      <c r="Y1346" s="136"/>
      <c r="Z1346" s="136"/>
      <c r="AA1346" s="136"/>
      <c r="AB1346" s="136"/>
      <c r="AC1346" s="136"/>
      <c r="AD1346" s="136"/>
      <c r="AE1346" s="136"/>
      <c r="AF1346" s="136"/>
      <c r="AG1346" s="136"/>
      <c r="AH1346" s="136"/>
      <c r="AI1346" s="136"/>
      <c r="AJ1346" s="136"/>
      <c r="AK1346" s="136"/>
      <c r="AL1346" s="136"/>
      <c r="AM1346" s="136"/>
      <c r="AN1346" s="136"/>
      <c r="AO1346" s="136"/>
      <c r="AP1346" s="136"/>
      <c r="AQ1346" s="136"/>
      <c r="AR1346" s="136"/>
      <c r="AS1346" s="136">
        <v>1178582.0</v>
      </c>
    </row>
    <row r="1347" ht="15.75" customHeight="1">
      <c r="A1347" s="111" t="s">
        <v>1629</v>
      </c>
      <c r="B1347" s="83" t="s">
        <v>7612</v>
      </c>
      <c r="C1347" s="83" t="s">
        <v>164</v>
      </c>
      <c r="D1347" s="112">
        <v>1114265.0</v>
      </c>
      <c r="E1347" s="83">
        <v>1179213.0</v>
      </c>
      <c r="F1347" s="83"/>
      <c r="G1347" s="91" t="str">
        <f>IFERROR(__xludf.DUMMYFUNCTION("XLOOKUP(AS1347,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IRMÃ OLIVEIRA - POVOADO DE SITIO")</f>
        <v>ANEXO - COLÉGIO ESTADUAL DE TEMPO INTEGRAL IRMÃ OLIVEIRA - POVOADO DE SITIO</v>
      </c>
      <c r="H1347" s="184" t="s">
        <v>7619</v>
      </c>
      <c r="I1347" s="91" t="s">
        <v>7620</v>
      </c>
      <c r="J1347" s="83" t="s">
        <v>149</v>
      </c>
      <c r="K1347" s="83" t="s">
        <v>183</v>
      </c>
      <c r="L1347" s="83" t="s">
        <v>168</v>
      </c>
      <c r="M1347" s="83" t="s">
        <v>169</v>
      </c>
      <c r="N1347" s="115" t="s">
        <v>170</v>
      </c>
      <c r="O1347" s="98" t="s">
        <v>155</v>
      </c>
      <c r="P1347" s="99" t="str">
        <f>IFERROR(__xludf.DUMMYFUNCTION("IFERROR(VLOOKUP(AS1347,IMPORTRANGE(""https://docs.google.com/spreadsheets/d/1juPI-Fb8LD0YtltB2mlGEnp_R3UVu1t3wSFPzgCyHXE/edit?gid=0#gid=0"",""GERAL!A2:C""),3,0),""-"")"),"CAMPO")</f>
        <v>CAMPO</v>
      </c>
      <c r="Q1347" s="136"/>
      <c r="R1347" s="136"/>
      <c r="S1347" s="136"/>
      <c r="T1347" s="136"/>
      <c r="U1347" s="136"/>
      <c r="V1347" s="136"/>
      <c r="W1347" s="136"/>
      <c r="X1347" s="136"/>
      <c r="Y1347" s="136"/>
      <c r="Z1347" s="136"/>
      <c r="AA1347" s="136"/>
      <c r="AB1347" s="136"/>
      <c r="AC1347" s="136"/>
      <c r="AD1347" s="136"/>
      <c r="AE1347" s="136"/>
      <c r="AF1347" s="136"/>
      <c r="AG1347" s="136"/>
      <c r="AH1347" s="136"/>
      <c r="AI1347" s="136"/>
      <c r="AJ1347" s="136"/>
      <c r="AK1347" s="136"/>
      <c r="AL1347" s="136"/>
      <c r="AM1347" s="136"/>
      <c r="AN1347" s="136"/>
      <c r="AO1347" s="136"/>
      <c r="AP1347" s="136"/>
      <c r="AQ1347" s="136"/>
      <c r="AR1347" s="136"/>
      <c r="AS1347" s="136">
        <v>1179213.0</v>
      </c>
    </row>
    <row r="1348" ht="15.75" customHeight="1">
      <c r="A1348" s="111" t="s">
        <v>1629</v>
      </c>
      <c r="B1348" s="83" t="s">
        <v>7612</v>
      </c>
      <c r="C1348" s="83" t="s">
        <v>164</v>
      </c>
      <c r="D1348" s="112">
        <v>1114265.0</v>
      </c>
      <c r="E1348" s="83">
        <v>1178584.0</v>
      </c>
      <c r="F1348" s="83"/>
      <c r="G1348" s="91" t="str">
        <f>IFERROR(__xludf.DUMMYFUNCTION("XLOOKUP(AS1348,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IRMÃ OLIVEIRA - POVOADO DE SÃO FRANCISCO")</f>
        <v>ANEXO - COLÉGIO ESTADUAL DE TEMPO INTEGRAL IRMÃ OLIVEIRA - POVOADO DE SÃO FRANCISCO</v>
      </c>
      <c r="H1348" s="184" t="s">
        <v>7622</v>
      </c>
      <c r="I1348" s="91" t="s">
        <v>1778</v>
      </c>
      <c r="J1348" s="83" t="s">
        <v>149</v>
      </c>
      <c r="K1348" s="83" t="s">
        <v>865</v>
      </c>
      <c r="L1348" s="83" t="s">
        <v>168</v>
      </c>
      <c r="M1348" s="83" t="s">
        <v>169</v>
      </c>
      <c r="N1348" s="115" t="s">
        <v>170</v>
      </c>
      <c r="O1348" s="98" t="s">
        <v>155</v>
      </c>
      <c r="P1348" s="99" t="str">
        <f>IFERROR(__xludf.DUMMYFUNCTION("IFERROR(VLOOKUP(AS1348,IMPORTRANGE(""https://docs.google.com/spreadsheets/d/1juPI-Fb8LD0YtltB2mlGEnp_R3UVu1t3wSFPzgCyHXE/edit?gid=0#gid=0"",""GERAL!A2:C""),3,0),""-"")"),"CAMPO")</f>
        <v>CAMPO</v>
      </c>
      <c r="Q1348" s="136"/>
      <c r="R1348" s="136"/>
      <c r="S1348" s="136"/>
      <c r="T1348" s="136"/>
      <c r="U1348" s="136"/>
      <c r="V1348" s="136"/>
      <c r="W1348" s="136"/>
      <c r="X1348" s="136"/>
      <c r="Y1348" s="136"/>
      <c r="Z1348" s="136"/>
      <c r="AA1348" s="136"/>
      <c r="AB1348" s="136"/>
      <c r="AC1348" s="136"/>
      <c r="AD1348" s="136"/>
      <c r="AE1348" s="136"/>
      <c r="AF1348" s="136"/>
      <c r="AG1348" s="136"/>
      <c r="AH1348" s="136"/>
      <c r="AI1348" s="136"/>
      <c r="AJ1348" s="136"/>
      <c r="AK1348" s="136"/>
      <c r="AL1348" s="136"/>
      <c r="AM1348" s="136"/>
      <c r="AN1348" s="136"/>
      <c r="AO1348" s="136"/>
      <c r="AP1348" s="136"/>
      <c r="AQ1348" s="136"/>
      <c r="AR1348" s="136"/>
      <c r="AS1348" s="136">
        <v>1178584.0</v>
      </c>
    </row>
    <row r="1349" ht="15.75" customHeight="1">
      <c r="A1349" s="111" t="s">
        <v>1629</v>
      </c>
      <c r="B1349" s="83" t="s">
        <v>7612</v>
      </c>
      <c r="C1349" s="83" t="s">
        <v>164</v>
      </c>
      <c r="D1349" s="112">
        <v>1114265.0</v>
      </c>
      <c r="E1349" s="83">
        <v>1178583.0</v>
      </c>
      <c r="F1349" s="83"/>
      <c r="G1349" s="91" t="str">
        <f>IFERROR(__xludf.DUMMYFUNCTION("XLOOKUP(AS1349,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IRMÃ OLIVEIRA - POVOADO DE FORMOSA")</f>
        <v>ANEXO - COLÉGIO ESTADUAL DE TEMPO INTEGRAL IRMÃ OLIVEIRA - POVOADO DE FORMOSA</v>
      </c>
      <c r="H1349" s="184" t="s">
        <v>7623</v>
      </c>
      <c r="I1349" s="91" t="s">
        <v>7624</v>
      </c>
      <c r="J1349" s="83" t="s">
        <v>149</v>
      </c>
      <c r="K1349" s="83" t="s">
        <v>865</v>
      </c>
      <c r="L1349" s="83" t="s">
        <v>168</v>
      </c>
      <c r="M1349" s="83" t="s">
        <v>169</v>
      </c>
      <c r="N1349" s="115" t="s">
        <v>170</v>
      </c>
      <c r="O1349" s="98" t="s">
        <v>155</v>
      </c>
      <c r="P1349" s="99" t="str">
        <f>IFERROR(__xludf.DUMMYFUNCTION("IFERROR(VLOOKUP(AS1349,IMPORTRANGE(""https://docs.google.com/spreadsheets/d/1juPI-Fb8LD0YtltB2mlGEnp_R3UVu1t3wSFPzgCyHXE/edit?gid=0#gid=0"",""GERAL!A2:C""),3,0),""-"")"),"CAMPO")</f>
        <v>CAMPO</v>
      </c>
      <c r="Q1349" s="172"/>
      <c r="R1349" s="172"/>
      <c r="S1349" s="172"/>
      <c r="T1349" s="172"/>
      <c r="U1349" s="172"/>
      <c r="V1349" s="172"/>
      <c r="W1349" s="172"/>
      <c r="X1349" s="172"/>
      <c r="Y1349" s="172"/>
      <c r="Z1349" s="172"/>
      <c r="AA1349" s="172"/>
      <c r="AB1349" s="172"/>
      <c r="AC1349" s="172"/>
      <c r="AD1349" s="172"/>
      <c r="AE1349" s="172"/>
      <c r="AF1349" s="172"/>
      <c r="AG1349" s="172"/>
      <c r="AH1349" s="172"/>
      <c r="AI1349" s="172"/>
      <c r="AJ1349" s="172"/>
      <c r="AK1349" s="172"/>
      <c r="AL1349" s="172"/>
      <c r="AM1349" s="172"/>
      <c r="AN1349" s="172"/>
      <c r="AO1349" s="172"/>
      <c r="AP1349" s="172"/>
      <c r="AQ1349" s="172"/>
      <c r="AR1349" s="172"/>
      <c r="AS1349" s="172">
        <v>1178583.0</v>
      </c>
    </row>
    <row r="1350" ht="15.75" customHeight="1">
      <c r="A1350" s="111" t="s">
        <v>1629</v>
      </c>
      <c r="B1350" s="83" t="s">
        <v>7625</v>
      </c>
      <c r="C1350" s="83" t="s">
        <v>68</v>
      </c>
      <c r="D1350" s="112">
        <v>1176426.0</v>
      </c>
      <c r="E1350" s="83"/>
      <c r="F1350" s="83">
        <v>2.9389976E7</v>
      </c>
      <c r="G1350" s="91" t="str">
        <f>IFERROR(__xludf.DUMMYFUNCTION("XLOOKUP(AS1350,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PAULO FREIRE
(Antigo - Colégio Modelo Luis Eduardo Magalhães)")</f>
        <v>COLÉGIO ESTADUAL PAULO FREIRE
(Antigo - Colégio Modelo Luis Eduardo Magalhães)</v>
      </c>
      <c r="H1350" s="184" t="s">
        <v>7626</v>
      </c>
      <c r="I1350" s="91" t="s">
        <v>7627</v>
      </c>
      <c r="J1350" s="136" t="s">
        <v>149</v>
      </c>
      <c r="K1350" s="136" t="s">
        <v>150</v>
      </c>
      <c r="L1350" s="136" t="s">
        <v>151</v>
      </c>
      <c r="M1350" s="136" t="s">
        <v>152</v>
      </c>
      <c r="N1350" s="98" t="s">
        <v>7628</v>
      </c>
      <c r="O1350" s="98" t="s">
        <v>155</v>
      </c>
      <c r="P1350" s="99" t="str">
        <f>IFERROR(__xludf.DUMMYFUNCTION("IFERROR(VLOOKUP(AS1350,IMPORTRANGE(""https://docs.google.com/spreadsheets/d/1juPI-Fb8LD0YtltB2mlGEnp_R3UVu1t3wSFPzgCyHXE/edit?gid=0#gid=0"",""GERAL!A2:C""),3,0),""-"")"),"-")</f>
        <v>-</v>
      </c>
      <c r="Q1350" s="83"/>
      <c r="R1350" s="83"/>
      <c r="S1350" s="83"/>
      <c r="T1350" s="83"/>
      <c r="U1350" s="83"/>
      <c r="V1350" s="83"/>
      <c r="W1350" s="83"/>
      <c r="X1350" s="83"/>
      <c r="Y1350" s="83"/>
      <c r="Z1350" s="83"/>
      <c r="AA1350" s="83"/>
      <c r="AB1350" s="83"/>
      <c r="AC1350" s="83"/>
      <c r="AD1350" s="83"/>
      <c r="AE1350" s="83"/>
      <c r="AF1350" s="83"/>
      <c r="AG1350" s="83"/>
      <c r="AH1350" s="83"/>
      <c r="AI1350" s="83"/>
      <c r="AJ1350" s="83"/>
      <c r="AK1350" s="83"/>
      <c r="AL1350" s="83"/>
      <c r="AM1350" s="83"/>
      <c r="AN1350" s="83"/>
      <c r="AO1350" s="83"/>
      <c r="AP1350" s="83"/>
      <c r="AQ1350" s="83"/>
      <c r="AR1350" s="83"/>
      <c r="AS1350" s="83">
        <v>1176426.0</v>
      </c>
    </row>
    <row r="1351" ht="15.75" customHeight="1">
      <c r="A1351" s="111" t="s">
        <v>1629</v>
      </c>
      <c r="B1351" s="83" t="s">
        <v>7625</v>
      </c>
      <c r="C1351" s="83" t="s">
        <v>68</v>
      </c>
      <c r="D1351" s="112">
        <v>1117779.0</v>
      </c>
      <c r="E1351" s="83"/>
      <c r="F1351" s="83">
        <v>2.9035007E7</v>
      </c>
      <c r="G1351" s="91" t="str">
        <f>IFERROR(__xludf.DUMMYFUNCTION("XLOOKUP(AS1351,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PAULO AFONSO")</f>
        <v>COLÉGIO ESTADUAL DE TEMPO INTEGRAL PAULO AFONSO</v>
      </c>
      <c r="H1351" s="184" t="s">
        <v>7629</v>
      </c>
      <c r="I1351" s="91" t="s">
        <v>7630</v>
      </c>
      <c r="J1351" s="136" t="s">
        <v>149</v>
      </c>
      <c r="K1351" s="136" t="s">
        <v>150</v>
      </c>
      <c r="L1351" s="136" t="s">
        <v>151</v>
      </c>
      <c r="M1351" s="136" t="s">
        <v>152</v>
      </c>
      <c r="N1351" s="171" t="s">
        <v>7631</v>
      </c>
      <c r="O1351" s="98" t="s">
        <v>284</v>
      </c>
      <c r="P1351" s="99" t="str">
        <f>IFERROR(__xludf.DUMMYFUNCTION("IFERROR(VLOOKUP(AS1351,IMPORTRANGE(""https://docs.google.com/spreadsheets/d/1juPI-Fb8LD0YtltB2mlGEnp_R3UVu1t3wSFPzgCyHXE/edit?gid=0#gid=0"",""GERAL!A2:C""),3,0),""-"")"),"-")</f>
        <v>-</v>
      </c>
      <c r="Q1351" s="83"/>
      <c r="R1351" s="83"/>
      <c r="S1351" s="83"/>
      <c r="T1351" s="83"/>
      <c r="U1351" s="83"/>
      <c r="V1351" s="83"/>
      <c r="W1351" s="83"/>
      <c r="X1351" s="83"/>
      <c r="Y1351" s="83"/>
      <c r="Z1351" s="83"/>
      <c r="AA1351" s="83"/>
      <c r="AB1351" s="83"/>
      <c r="AC1351" s="83"/>
      <c r="AD1351" s="83"/>
      <c r="AE1351" s="83"/>
      <c r="AF1351" s="83"/>
      <c r="AG1351" s="83"/>
      <c r="AH1351" s="83"/>
      <c r="AI1351" s="83"/>
      <c r="AJ1351" s="83"/>
      <c r="AK1351" s="83"/>
      <c r="AL1351" s="83"/>
      <c r="AM1351" s="83"/>
      <c r="AN1351" s="83"/>
      <c r="AO1351" s="83"/>
      <c r="AP1351" s="83"/>
      <c r="AQ1351" s="83"/>
      <c r="AR1351" s="83"/>
      <c r="AS1351" s="83">
        <v>1117779.0</v>
      </c>
    </row>
    <row r="1352" ht="15.75" customHeight="1">
      <c r="A1352" s="111" t="s">
        <v>1629</v>
      </c>
      <c r="B1352" s="83" t="s">
        <v>7625</v>
      </c>
      <c r="C1352" s="83" t="s">
        <v>68</v>
      </c>
      <c r="D1352" s="112">
        <v>1118040.0</v>
      </c>
      <c r="E1352" s="83"/>
      <c r="F1352" s="83">
        <v>2.903499E7</v>
      </c>
      <c r="G1352" s="91" t="str">
        <f>IFERROR(__xludf.DUMMYFUNCTION("XLOOKUP(AS1352,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DEMOCRATICO QUITÉRIA MARIA DE JESUS")</f>
        <v>COLÉGIO ESTADUAL DE TEMPO INTEGRAL DEMOCRATICO QUITÉRIA MARIA DE JESUS</v>
      </c>
      <c r="H1352" s="184" t="s">
        <v>7632</v>
      </c>
      <c r="I1352" s="91" t="s">
        <v>7633</v>
      </c>
      <c r="J1352" s="136" t="s">
        <v>7634</v>
      </c>
      <c r="K1352" s="136" t="s">
        <v>150</v>
      </c>
      <c r="L1352" s="136" t="s">
        <v>151</v>
      </c>
      <c r="M1352" s="136" t="s">
        <v>152</v>
      </c>
      <c r="N1352" s="98" t="s">
        <v>7635</v>
      </c>
      <c r="O1352" s="98" t="s">
        <v>284</v>
      </c>
      <c r="P1352" s="99" t="str">
        <f>IFERROR(__xludf.DUMMYFUNCTION("IFERROR(VLOOKUP(AS1352,IMPORTRANGE(""https://docs.google.com/spreadsheets/d/1juPI-Fb8LD0YtltB2mlGEnp_R3UVu1t3wSFPzgCyHXE/edit?gid=0#gid=0"",""GERAL!A2:C""),3,0),""-"")"),"-")</f>
        <v>-</v>
      </c>
      <c r="Q1352" s="83"/>
      <c r="R1352" s="83"/>
      <c r="S1352" s="83"/>
      <c r="T1352" s="83"/>
      <c r="U1352" s="83"/>
      <c r="V1352" s="83"/>
      <c r="W1352" s="83"/>
      <c r="X1352" s="83"/>
      <c r="Y1352" s="83"/>
      <c r="Z1352" s="83"/>
      <c r="AA1352" s="83"/>
      <c r="AB1352" s="83"/>
      <c r="AC1352" s="83"/>
      <c r="AD1352" s="83"/>
      <c r="AE1352" s="83"/>
      <c r="AF1352" s="83"/>
      <c r="AG1352" s="83"/>
      <c r="AH1352" s="83"/>
      <c r="AI1352" s="83"/>
      <c r="AJ1352" s="83"/>
      <c r="AK1352" s="83"/>
      <c r="AL1352" s="83"/>
      <c r="AM1352" s="83"/>
      <c r="AN1352" s="83"/>
      <c r="AO1352" s="83"/>
      <c r="AP1352" s="83"/>
      <c r="AQ1352" s="83"/>
      <c r="AR1352" s="83"/>
      <c r="AS1352" s="83">
        <v>1118040.0</v>
      </c>
    </row>
    <row r="1353" ht="15.75" customHeight="1">
      <c r="A1353" s="111" t="s">
        <v>1629</v>
      </c>
      <c r="B1353" s="83" t="s">
        <v>7625</v>
      </c>
      <c r="C1353" s="83" t="s">
        <v>68</v>
      </c>
      <c r="D1353" s="112">
        <v>1174292.0</v>
      </c>
      <c r="E1353" s="83"/>
      <c r="F1353" s="83">
        <v>2.9034965E7</v>
      </c>
      <c r="G1353" s="91" t="str">
        <f>IFERROR(__xludf.DUMMYFUNCTION("XLOOKUP(AS1353,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CARLINA BARBOSA DE DEUS")</f>
        <v>COLÉGIO ESTADUAL CARLINA BARBOSA DE DEUS</v>
      </c>
      <c r="H1353" s="184" t="s">
        <v>7636</v>
      </c>
      <c r="I1353" s="91" t="s">
        <v>7637</v>
      </c>
      <c r="J1353" s="136" t="s">
        <v>7638</v>
      </c>
      <c r="K1353" s="136" t="s">
        <v>150</v>
      </c>
      <c r="L1353" s="136" t="s">
        <v>151</v>
      </c>
      <c r="M1353" s="136" t="s">
        <v>230</v>
      </c>
      <c r="N1353" s="137" t="s">
        <v>7639</v>
      </c>
      <c r="O1353" s="98" t="s">
        <v>155</v>
      </c>
      <c r="P1353" s="99" t="str">
        <f>IFERROR(__xludf.DUMMYFUNCTION("IFERROR(VLOOKUP(AS1353,IMPORTRANGE(""https://docs.google.com/spreadsheets/d/1juPI-Fb8LD0YtltB2mlGEnp_R3UVu1t3wSFPzgCyHXE/edit?gid=0#gid=0"",""GERAL!A2:C""),3,0),""-"")"),"-")</f>
        <v>-</v>
      </c>
      <c r="Q1353" s="83"/>
      <c r="R1353" s="83"/>
      <c r="S1353" s="83"/>
      <c r="T1353" s="83"/>
      <c r="U1353" s="83"/>
      <c r="V1353" s="83"/>
      <c r="W1353" s="83"/>
      <c r="X1353" s="83"/>
      <c r="Y1353" s="83"/>
      <c r="Z1353" s="83"/>
      <c r="AA1353" s="83"/>
      <c r="AB1353" s="83"/>
      <c r="AC1353" s="83"/>
      <c r="AD1353" s="83"/>
      <c r="AE1353" s="83"/>
      <c r="AF1353" s="83"/>
      <c r="AG1353" s="83"/>
      <c r="AH1353" s="83"/>
      <c r="AI1353" s="83"/>
      <c r="AJ1353" s="83"/>
      <c r="AK1353" s="83"/>
      <c r="AL1353" s="83"/>
      <c r="AM1353" s="83"/>
      <c r="AN1353" s="83"/>
      <c r="AO1353" s="83"/>
      <c r="AP1353" s="83"/>
      <c r="AQ1353" s="83"/>
      <c r="AR1353" s="83"/>
      <c r="AS1353" s="83">
        <v>1174292.0</v>
      </c>
    </row>
    <row r="1354" ht="15.75" customHeight="1">
      <c r="A1354" s="111" t="s">
        <v>1629</v>
      </c>
      <c r="B1354" s="83" t="s">
        <v>7625</v>
      </c>
      <c r="C1354" s="83" t="s">
        <v>68</v>
      </c>
      <c r="D1354" s="112">
        <v>1176143.0</v>
      </c>
      <c r="E1354" s="83"/>
      <c r="F1354" s="83">
        <v>2.933223E7</v>
      </c>
      <c r="G1354" s="91" t="str">
        <f>IFERROR(__xludf.DUMMYFUNCTION("XLOOKUP(AS1354,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ITAPARICA II WILSON PEREIRA")</f>
        <v>CENTRO TERRITORIAL DE EDUCACAO PROFISSIONAL ITAPARICA II WILSON PEREIRA</v>
      </c>
      <c r="H1354" s="185" t="s">
        <v>7640</v>
      </c>
      <c r="I1354" s="91" t="s">
        <v>7641</v>
      </c>
      <c r="J1354" s="83" t="s">
        <v>7642</v>
      </c>
      <c r="K1354" s="83" t="s">
        <v>150</v>
      </c>
      <c r="L1354" s="83" t="s">
        <v>151</v>
      </c>
      <c r="M1354" s="83" t="s">
        <v>230</v>
      </c>
      <c r="N1354" s="385" t="s">
        <v>7643</v>
      </c>
      <c r="O1354" s="98" t="s">
        <v>284</v>
      </c>
      <c r="P1354" s="99" t="str">
        <f>IFERROR(__xludf.DUMMYFUNCTION("IFERROR(VLOOKUP(AS1354,IMPORTRANGE(""https://docs.google.com/spreadsheets/d/1juPI-Fb8LD0YtltB2mlGEnp_R3UVu1t3wSFPzgCyHXE/edit?gid=0#gid=0"",""GERAL!A2:C""),3,0),""-"")"),"-")</f>
        <v>-</v>
      </c>
      <c r="Q1354" s="83"/>
      <c r="R1354" s="83"/>
      <c r="S1354" s="83"/>
      <c r="T1354" s="83"/>
      <c r="U1354" s="83"/>
      <c r="V1354" s="83"/>
      <c r="W1354" s="83"/>
      <c r="X1354" s="83"/>
      <c r="Y1354" s="83"/>
      <c r="Z1354" s="83"/>
      <c r="AA1354" s="83"/>
      <c r="AB1354" s="83"/>
      <c r="AC1354" s="83"/>
      <c r="AD1354" s="83"/>
      <c r="AE1354" s="83"/>
      <c r="AF1354" s="83"/>
      <c r="AG1354" s="83"/>
      <c r="AH1354" s="83"/>
      <c r="AI1354" s="83"/>
      <c r="AJ1354" s="83"/>
      <c r="AK1354" s="83"/>
      <c r="AL1354" s="83"/>
      <c r="AM1354" s="83"/>
      <c r="AN1354" s="83"/>
      <c r="AO1354" s="83"/>
      <c r="AP1354" s="83"/>
      <c r="AQ1354" s="83"/>
      <c r="AR1354" s="83"/>
      <c r="AS1354" s="83">
        <v>1176143.0</v>
      </c>
    </row>
    <row r="1355" ht="15.75" customHeight="1">
      <c r="A1355" s="111" t="s">
        <v>1629</v>
      </c>
      <c r="B1355" s="83" t="s">
        <v>7625</v>
      </c>
      <c r="C1355" s="83" t="s">
        <v>68</v>
      </c>
      <c r="D1355" s="112">
        <v>1114257.0</v>
      </c>
      <c r="E1355" s="83"/>
      <c r="F1355" s="83">
        <v>2.9034922E7</v>
      </c>
      <c r="G1355" s="91" t="str">
        <f>IFERROR(__xludf.DUMMYFUNCTION("XLOOKUP(AS1355,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DE ITAPARICA")</f>
        <v>CENTRO TERRITORIAL DE EDUCACAO PROFISSIONAL DE ITAPARICA</v>
      </c>
      <c r="H1355" s="185" t="s">
        <v>7644</v>
      </c>
      <c r="I1355" s="91" t="s">
        <v>7645</v>
      </c>
      <c r="J1355" s="172" t="s">
        <v>7646</v>
      </c>
      <c r="K1355" s="83" t="s">
        <v>150</v>
      </c>
      <c r="L1355" s="83" t="s">
        <v>151</v>
      </c>
      <c r="M1355" s="83" t="s">
        <v>230</v>
      </c>
      <c r="N1355" s="98" t="s">
        <v>7647</v>
      </c>
      <c r="O1355" s="98" t="s">
        <v>284</v>
      </c>
      <c r="P1355" s="99" t="str">
        <f>IFERROR(__xludf.DUMMYFUNCTION("IFERROR(VLOOKUP(AS1355,IMPORTRANGE(""https://docs.google.com/spreadsheets/d/1juPI-Fb8LD0YtltB2mlGEnp_R3UVu1t3wSFPzgCyHXE/edit?gid=0#gid=0"",""GERAL!A2:C""),3,0),""-"")"),"-")</f>
        <v>-</v>
      </c>
      <c r="Q1355" s="83"/>
      <c r="R1355" s="83"/>
      <c r="S1355" s="83"/>
      <c r="T1355" s="83"/>
      <c r="U1355" s="83"/>
      <c r="V1355" s="83"/>
      <c r="W1355" s="83"/>
      <c r="X1355" s="83"/>
      <c r="Y1355" s="83"/>
      <c r="Z1355" s="83"/>
      <c r="AA1355" s="83"/>
      <c r="AB1355" s="83"/>
      <c r="AC1355" s="83"/>
      <c r="AD1355" s="83"/>
      <c r="AE1355" s="83"/>
      <c r="AF1355" s="83"/>
      <c r="AG1355" s="83"/>
      <c r="AH1355" s="83"/>
      <c r="AI1355" s="83"/>
      <c r="AJ1355" s="83"/>
      <c r="AK1355" s="83"/>
      <c r="AL1355" s="83"/>
      <c r="AM1355" s="83"/>
      <c r="AN1355" s="83"/>
      <c r="AO1355" s="83"/>
      <c r="AP1355" s="83"/>
      <c r="AQ1355" s="83"/>
      <c r="AR1355" s="83"/>
      <c r="AS1355" s="83">
        <v>1114257.0</v>
      </c>
    </row>
    <row r="1356" ht="15.75" customHeight="1">
      <c r="A1356" s="111" t="s">
        <v>1629</v>
      </c>
      <c r="B1356" s="83" t="s">
        <v>7625</v>
      </c>
      <c r="C1356" s="83" t="s">
        <v>164</v>
      </c>
      <c r="D1356" s="112">
        <v>1179204.0</v>
      </c>
      <c r="E1356" s="83">
        <v>1179290.0</v>
      </c>
      <c r="F1356" s="83"/>
      <c r="G1356" s="91" t="str">
        <f>IFERROR(__xludf.DUMMYFUNCTION("XLOOKUP(AS1356,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INDIGENA XUCURU KARIRI - ALDEIA TRUKA TUPAN")</f>
        <v>ANEXO - COLÉGIO ESTADUAL INDIGENA XUCURU KARIRI - ALDEIA TRUKA TUPAN</v>
      </c>
      <c r="H1356" s="184" t="s">
        <v>7649</v>
      </c>
      <c r="I1356" s="91" t="s">
        <v>7650</v>
      </c>
      <c r="J1356" s="136" t="s">
        <v>149</v>
      </c>
      <c r="K1356" s="136" t="s">
        <v>923</v>
      </c>
      <c r="L1356" s="136" t="s">
        <v>1078</v>
      </c>
      <c r="M1356" s="136" t="s">
        <v>169</v>
      </c>
      <c r="N1356" s="115" t="s">
        <v>170</v>
      </c>
      <c r="O1356" s="98" t="s">
        <v>155</v>
      </c>
      <c r="P1356" s="99" t="str">
        <f>IFERROR(__xludf.DUMMYFUNCTION("IFERROR(VLOOKUP(AS1356,IMPORTRANGE(""https://docs.google.com/spreadsheets/d/1juPI-Fb8LD0YtltB2mlGEnp_R3UVu1t3wSFPzgCyHXE/edit?gid=0#gid=0"",""GERAL!A2:C""),3,0),""-"")"),"INDÍGENAS")</f>
        <v>INDÍGENAS</v>
      </c>
      <c r="Q1356" s="83"/>
      <c r="R1356" s="83"/>
      <c r="S1356" s="83"/>
      <c r="T1356" s="83"/>
      <c r="U1356" s="83"/>
      <c r="V1356" s="83"/>
      <c r="W1356" s="83"/>
      <c r="X1356" s="83"/>
      <c r="Y1356" s="83"/>
      <c r="Z1356" s="83"/>
      <c r="AA1356" s="83"/>
      <c r="AB1356" s="83"/>
      <c r="AC1356" s="83"/>
      <c r="AD1356" s="83"/>
      <c r="AE1356" s="83"/>
      <c r="AF1356" s="83"/>
      <c r="AG1356" s="83"/>
      <c r="AH1356" s="83"/>
      <c r="AI1356" s="83"/>
      <c r="AJ1356" s="83"/>
      <c r="AK1356" s="83"/>
      <c r="AL1356" s="83"/>
      <c r="AM1356" s="83"/>
      <c r="AN1356" s="83"/>
      <c r="AO1356" s="83"/>
      <c r="AP1356" s="83"/>
      <c r="AQ1356" s="83"/>
      <c r="AR1356" s="83"/>
      <c r="AS1356" s="83">
        <v>1179290.0</v>
      </c>
    </row>
    <row r="1357" ht="15.75" customHeight="1">
      <c r="A1357" s="111" t="s">
        <v>1629</v>
      </c>
      <c r="B1357" s="83" t="s">
        <v>7625</v>
      </c>
      <c r="C1357" s="83" t="s">
        <v>164</v>
      </c>
      <c r="D1357" s="112">
        <v>1118040.0</v>
      </c>
      <c r="E1357" s="83">
        <v>1179617.0</v>
      </c>
      <c r="F1357" s="83"/>
      <c r="G1357" s="91" t="str">
        <f>IFERROR(__xludf.DUMMYFUNCTION("XLOOKUP(AS1357,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DEMOCRÁTICO QUITÉRIA MARIA DE JESUS - CONJUNTO PENAL")</f>
        <v>ANEXO - COLÉGIO ESTADUAL DEMOCRÁTICO QUITÉRIA MARIA DE JESUS - CONJUNTO PENAL</v>
      </c>
      <c r="H1357" s="185" t="s">
        <v>7651</v>
      </c>
      <c r="I1357" s="91" t="s">
        <v>7652</v>
      </c>
      <c r="J1357" s="136" t="s">
        <v>7653</v>
      </c>
      <c r="K1357" s="136" t="s">
        <v>150</v>
      </c>
      <c r="L1357" s="136" t="s">
        <v>168</v>
      </c>
      <c r="M1357" s="136" t="s">
        <v>169</v>
      </c>
      <c r="N1357" s="115" t="s">
        <v>170</v>
      </c>
      <c r="O1357" s="98" t="s">
        <v>284</v>
      </c>
      <c r="P1357" s="99" t="str">
        <f>IFERROR(__xludf.DUMMYFUNCTION("IFERROR(VLOOKUP(AS1357,IMPORTRANGE(""https://docs.google.com/spreadsheets/d/1juPI-Fb8LD0YtltB2mlGEnp_R3UVu1t3wSFPzgCyHXE/edit?gid=0#gid=0"",""GERAL!A2:C""),3,0),""-"")"),"-")</f>
        <v>-</v>
      </c>
      <c r="Q1357" s="83"/>
      <c r="R1357" s="83"/>
      <c r="S1357" s="83"/>
      <c r="T1357" s="83"/>
      <c r="U1357" s="83"/>
      <c r="V1357" s="83"/>
      <c r="W1357" s="83"/>
      <c r="X1357" s="83"/>
      <c r="Y1357" s="83"/>
      <c r="Z1357" s="83"/>
      <c r="AA1357" s="83"/>
      <c r="AB1357" s="83"/>
      <c r="AC1357" s="83"/>
      <c r="AD1357" s="83"/>
      <c r="AE1357" s="83"/>
      <c r="AF1357" s="83"/>
      <c r="AG1357" s="83"/>
      <c r="AH1357" s="83"/>
      <c r="AI1357" s="83"/>
      <c r="AJ1357" s="83"/>
      <c r="AK1357" s="83"/>
      <c r="AL1357" s="83"/>
      <c r="AM1357" s="83"/>
      <c r="AN1357" s="83"/>
      <c r="AO1357" s="83"/>
      <c r="AP1357" s="83"/>
      <c r="AQ1357" s="83"/>
      <c r="AR1357" s="83"/>
      <c r="AS1357" s="83">
        <v>1179617.0</v>
      </c>
    </row>
    <row r="1358" ht="15.75" customHeight="1">
      <c r="A1358" s="111" t="s">
        <v>1629</v>
      </c>
      <c r="B1358" s="83" t="s">
        <v>7654</v>
      </c>
      <c r="C1358" s="83" t="s">
        <v>68</v>
      </c>
      <c r="D1358" s="112">
        <v>1178006.0</v>
      </c>
      <c r="E1358" s="83"/>
      <c r="F1358" s="83">
        <v>2.9423708E7</v>
      </c>
      <c r="G1358" s="91" t="str">
        <f>IFERROR(__xludf.DUMMYFUNCTION("XLOOKUP(AS1358,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INDIGENA DE TEMPO INTEGRAL CAPITAO FRANCISCO RODELAS
 -ALDEIA TUXÁ")</f>
        <v>COLEGIO ESTADUAL INDIGENA DE TEMPO INTEGRAL CAPITAO FRANCISCO RODELAS
 -ALDEIA TUXÁ</v>
      </c>
      <c r="H1358" s="119" t="s">
        <v>7655</v>
      </c>
      <c r="I1358" s="91" t="s">
        <v>7656</v>
      </c>
      <c r="J1358" s="136" t="s">
        <v>149</v>
      </c>
      <c r="K1358" s="136" t="s">
        <v>150</v>
      </c>
      <c r="L1358" s="83" t="s">
        <v>151</v>
      </c>
      <c r="M1358" s="83" t="s">
        <v>169</v>
      </c>
      <c r="N1358" s="98" t="s">
        <v>7657</v>
      </c>
      <c r="O1358" s="98" t="s">
        <v>155</v>
      </c>
      <c r="P1358" s="99" t="str">
        <f>IFERROR(__xludf.DUMMYFUNCTION("IFERROR(VLOOKUP(AS1358,IMPORTRANGE(""https://docs.google.com/spreadsheets/d/1juPI-Fb8LD0YtltB2mlGEnp_R3UVu1t3wSFPzgCyHXE/edit?gid=0#gid=0"",""GERAL!A2:C""),3,0),""-"")"),"INDÍGENAS")</f>
        <v>INDÍGENAS</v>
      </c>
      <c r="Q1358" s="83"/>
      <c r="R1358" s="83"/>
      <c r="S1358" s="83"/>
      <c r="T1358" s="83"/>
      <c r="U1358" s="83"/>
      <c r="V1358" s="83"/>
      <c r="W1358" s="83"/>
      <c r="X1358" s="83"/>
      <c r="Y1358" s="83"/>
      <c r="Z1358" s="83"/>
      <c r="AA1358" s="83"/>
      <c r="AB1358" s="83"/>
      <c r="AC1358" s="83"/>
      <c r="AD1358" s="83"/>
      <c r="AE1358" s="83"/>
      <c r="AF1358" s="83"/>
      <c r="AG1358" s="83"/>
      <c r="AH1358" s="83"/>
      <c r="AI1358" s="83"/>
      <c r="AJ1358" s="83"/>
      <c r="AK1358" s="83"/>
      <c r="AL1358" s="83"/>
      <c r="AM1358" s="83"/>
      <c r="AN1358" s="83"/>
      <c r="AO1358" s="83"/>
      <c r="AP1358" s="83"/>
      <c r="AQ1358" s="83"/>
      <c r="AR1358" s="83"/>
      <c r="AS1358" s="83">
        <v>1178006.0</v>
      </c>
    </row>
    <row r="1359" ht="15.75" customHeight="1">
      <c r="A1359" s="111" t="s">
        <v>1629</v>
      </c>
      <c r="B1359" s="83" t="s">
        <v>7654</v>
      </c>
      <c r="C1359" s="83" t="s">
        <v>68</v>
      </c>
      <c r="D1359" s="112">
        <v>1114133.0</v>
      </c>
      <c r="E1359" s="83"/>
      <c r="F1359" s="83">
        <v>2.9036046E7</v>
      </c>
      <c r="G1359" s="91" t="str">
        <f>IFERROR(__xludf.DUMMYFUNCTION("XLOOKUP(AS1359,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DULCINA CRUZ LIMA")</f>
        <v>COLÉGIO ESTADUAL DULCINA CRUZ LIMA</v>
      </c>
      <c r="H1359" s="119" t="s">
        <v>7659</v>
      </c>
      <c r="I1359" s="91" t="s">
        <v>7660</v>
      </c>
      <c r="J1359" s="136" t="s">
        <v>149</v>
      </c>
      <c r="K1359" s="136" t="s">
        <v>150</v>
      </c>
      <c r="L1359" s="83" t="s">
        <v>151</v>
      </c>
      <c r="M1359" s="83" t="s">
        <v>76</v>
      </c>
      <c r="N1359" s="98" t="s">
        <v>7661</v>
      </c>
      <c r="O1359" s="98" t="s">
        <v>155</v>
      </c>
      <c r="P1359" s="99" t="str">
        <f>IFERROR(__xludf.DUMMYFUNCTION("IFERROR(VLOOKUP(AS1359,IMPORTRANGE(""https://docs.google.com/spreadsheets/d/1juPI-Fb8LD0YtltB2mlGEnp_R3UVu1t3wSFPzgCyHXE/edit?gid=0#gid=0"",""GERAL!A2:C""),3,0),""-"")"),"-")</f>
        <v>-</v>
      </c>
      <c r="Q1359" s="83"/>
      <c r="R1359" s="83"/>
      <c r="S1359" s="83"/>
      <c r="T1359" s="83"/>
      <c r="U1359" s="83"/>
      <c r="V1359" s="83"/>
      <c r="W1359" s="83"/>
      <c r="X1359" s="83"/>
      <c r="Y1359" s="83"/>
      <c r="Z1359" s="83"/>
      <c r="AA1359" s="83"/>
      <c r="AB1359" s="83"/>
      <c r="AC1359" s="83"/>
      <c r="AD1359" s="83"/>
      <c r="AE1359" s="83"/>
      <c r="AF1359" s="83"/>
      <c r="AG1359" s="83"/>
      <c r="AH1359" s="83"/>
      <c r="AI1359" s="83"/>
      <c r="AJ1359" s="83"/>
      <c r="AK1359" s="83"/>
      <c r="AL1359" s="83"/>
      <c r="AM1359" s="83"/>
      <c r="AN1359" s="83"/>
      <c r="AO1359" s="83"/>
      <c r="AP1359" s="83"/>
      <c r="AQ1359" s="83"/>
      <c r="AR1359" s="83"/>
      <c r="AS1359" s="83">
        <v>1114133.0</v>
      </c>
    </row>
    <row r="1360" ht="15.75" customHeight="1">
      <c r="A1360" s="111" t="s">
        <v>1707</v>
      </c>
      <c r="B1360" s="83" t="s">
        <v>2110</v>
      </c>
      <c r="C1360" s="83" t="s">
        <v>68</v>
      </c>
      <c r="D1360" s="112">
        <v>1164998.0</v>
      </c>
      <c r="E1360" s="83"/>
      <c r="F1360" s="83">
        <v>2.9047501E7</v>
      </c>
      <c r="G1360" s="91" t="str">
        <f>IFERROR(__xludf.DUMMYFUNCTION("XLOOKUP(AS1360,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DE ANDORINHA")</f>
        <v>COLÉGIO ESTADUAL DO CAMPO DE TEMPO INTEGRAL DE ANDORINHA</v>
      </c>
      <c r="H1360" s="119" t="s">
        <v>7662</v>
      </c>
      <c r="I1360" s="91" t="s">
        <v>7663</v>
      </c>
      <c r="J1360" s="83" t="s">
        <v>149</v>
      </c>
      <c r="K1360" s="136" t="s">
        <v>150</v>
      </c>
      <c r="L1360" s="83" t="s">
        <v>151</v>
      </c>
      <c r="M1360" s="136" t="s">
        <v>152</v>
      </c>
      <c r="N1360" s="98" t="s">
        <v>7664</v>
      </c>
      <c r="O1360" s="98" t="s">
        <v>176</v>
      </c>
      <c r="P1360" s="99" t="str">
        <f>IFERROR(__xludf.DUMMYFUNCTION("IFERROR(VLOOKUP(AS1360,IMPORTRANGE(""https://docs.google.com/spreadsheets/d/1juPI-Fb8LD0YtltB2mlGEnp_R3UVu1t3wSFPzgCyHXE/edit?gid=0#gid=0"",""GERAL!A2:C""),3,0),""-"")"),"CAMPO")</f>
        <v>CAMPO</v>
      </c>
      <c r="Q1360" s="83"/>
      <c r="R1360" s="83"/>
      <c r="S1360" s="83"/>
      <c r="T1360" s="83"/>
      <c r="U1360" s="83"/>
      <c r="V1360" s="83"/>
      <c r="W1360" s="83"/>
      <c r="X1360" s="83"/>
      <c r="Y1360" s="83"/>
      <c r="Z1360" s="83"/>
      <c r="AA1360" s="83"/>
      <c r="AB1360" s="83"/>
      <c r="AC1360" s="83"/>
      <c r="AD1360" s="83"/>
      <c r="AE1360" s="83"/>
      <c r="AF1360" s="83"/>
      <c r="AG1360" s="83"/>
      <c r="AH1360" s="83"/>
      <c r="AI1360" s="83"/>
      <c r="AJ1360" s="83"/>
      <c r="AK1360" s="83"/>
      <c r="AL1360" s="83"/>
      <c r="AM1360" s="83"/>
      <c r="AN1360" s="83"/>
      <c r="AO1360" s="83"/>
      <c r="AP1360" s="83"/>
      <c r="AQ1360" s="83"/>
      <c r="AR1360" s="83"/>
      <c r="AS1360" s="83">
        <v>1164998.0</v>
      </c>
    </row>
    <row r="1361" ht="15.75" customHeight="1">
      <c r="A1361" s="111" t="s">
        <v>1707</v>
      </c>
      <c r="B1361" s="83" t="s">
        <v>2110</v>
      </c>
      <c r="C1361" s="83" t="s">
        <v>164</v>
      </c>
      <c r="D1361" s="112">
        <v>1178039.0</v>
      </c>
      <c r="E1361" s="83">
        <v>1179135.0</v>
      </c>
      <c r="F1361" s="83"/>
      <c r="G1361" s="91" t="str">
        <f>IFERROR(__xludf.DUMMYFUNCTION("XLOOKUP(AS1361,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CARLOS HUMBERTO DE MIRANDA PEREIRA MELLO - POVOADO DE MORRO BRANCO")</f>
        <v>ANEXO - COLÉGIO ESTADUAL DO CAMPO CARLOS HUMBERTO DE MIRANDA PEREIRA MELLO - POVOADO DE MORRO BRANCO</v>
      </c>
      <c r="H1361" s="119" t="s">
        <v>7666</v>
      </c>
      <c r="I1361" s="91" t="s">
        <v>7667</v>
      </c>
      <c r="J1361" s="83" t="s">
        <v>149</v>
      </c>
      <c r="K1361" s="83" t="s">
        <v>3227</v>
      </c>
      <c r="L1361" s="83" t="s">
        <v>168</v>
      </c>
      <c r="M1361" s="83" t="s">
        <v>76</v>
      </c>
      <c r="N1361" s="115" t="s">
        <v>170</v>
      </c>
      <c r="O1361" s="98" t="s">
        <v>155</v>
      </c>
      <c r="P1361" s="99" t="str">
        <f>IFERROR(__xludf.DUMMYFUNCTION("IFERROR(VLOOKUP(AS1361,IMPORTRANGE(""https://docs.google.com/spreadsheets/d/1juPI-Fb8LD0YtltB2mlGEnp_R3UVu1t3wSFPzgCyHXE/edit?gid=0#gid=0"",""GERAL!A2:C""),3,0),""-"")"),"CAMPO")</f>
        <v>CAMPO</v>
      </c>
      <c r="Q1361" s="83"/>
      <c r="R1361" s="83"/>
      <c r="S1361" s="83"/>
      <c r="T1361" s="83"/>
      <c r="U1361" s="83"/>
      <c r="V1361" s="83"/>
      <c r="W1361" s="83"/>
      <c r="X1361" s="83"/>
      <c r="Y1361" s="83"/>
      <c r="Z1361" s="83"/>
      <c r="AA1361" s="83"/>
      <c r="AB1361" s="83"/>
      <c r="AC1361" s="83"/>
      <c r="AD1361" s="83"/>
      <c r="AE1361" s="83"/>
      <c r="AF1361" s="83"/>
      <c r="AG1361" s="83"/>
      <c r="AH1361" s="83"/>
      <c r="AI1361" s="83"/>
      <c r="AJ1361" s="83"/>
      <c r="AK1361" s="83"/>
      <c r="AL1361" s="83"/>
      <c r="AM1361" s="83"/>
      <c r="AN1361" s="83"/>
      <c r="AO1361" s="83"/>
      <c r="AP1361" s="83"/>
      <c r="AQ1361" s="83"/>
      <c r="AR1361" s="83"/>
      <c r="AS1361" s="83">
        <v>1179135.0</v>
      </c>
    </row>
    <row r="1362" ht="15.75" customHeight="1">
      <c r="A1362" s="111" t="s">
        <v>1707</v>
      </c>
      <c r="B1362" s="83" t="s">
        <v>2110</v>
      </c>
      <c r="C1362" s="98" t="s">
        <v>164</v>
      </c>
      <c r="D1362" s="112">
        <v>1164998.0</v>
      </c>
      <c r="E1362" s="98">
        <v>1179764.0</v>
      </c>
      <c r="F1362" s="83"/>
      <c r="G1362" s="91" t="str">
        <f>IFERROR(__xludf.DUMMYFUNCTION("XLOOKUP(AS1362,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CAMPO DE ANDORINHA - DISTRITO DE VILA MEDRADO")</f>
        <v>ANEXO - COLÉGIO ESTADUAL DE CAMPO DE ANDORINHA - DISTRITO DE VILA MEDRADO</v>
      </c>
      <c r="H1362" s="119" t="s">
        <v>7668</v>
      </c>
      <c r="I1362" s="108" t="s">
        <v>7669</v>
      </c>
      <c r="J1362" s="83"/>
      <c r="K1362" s="136"/>
      <c r="L1362" s="83" t="s">
        <v>151</v>
      </c>
      <c r="M1362" s="83" t="s">
        <v>169</v>
      </c>
      <c r="N1362" s="115" t="s">
        <v>170</v>
      </c>
      <c r="O1362" s="98" t="s">
        <v>155</v>
      </c>
      <c r="P1362" s="99" t="str">
        <f>IFERROR(__xludf.DUMMYFUNCTION("IFERROR(VLOOKUP(AS1362,IMPORTRANGE(""https://docs.google.com/spreadsheets/d/1juPI-Fb8LD0YtltB2mlGEnp_R3UVu1t3wSFPzgCyHXE/edit?gid=0#gid=0"",""GERAL!A2:C""),3,0),""-"")"),"-")</f>
        <v>-</v>
      </c>
      <c r="Q1362" s="98"/>
      <c r="R1362" s="98"/>
      <c r="S1362" s="98"/>
      <c r="T1362" s="98"/>
      <c r="U1362" s="98"/>
      <c r="V1362" s="98"/>
      <c r="W1362" s="98"/>
      <c r="X1362" s="98"/>
      <c r="Y1362" s="98"/>
      <c r="Z1362" s="98"/>
      <c r="AA1362" s="98"/>
      <c r="AB1362" s="98"/>
      <c r="AC1362" s="98"/>
      <c r="AD1362" s="98"/>
      <c r="AE1362" s="98"/>
      <c r="AF1362" s="98"/>
      <c r="AG1362" s="98"/>
      <c r="AH1362" s="98"/>
      <c r="AI1362" s="98"/>
      <c r="AJ1362" s="98"/>
      <c r="AK1362" s="98"/>
      <c r="AL1362" s="98"/>
      <c r="AM1362" s="98"/>
      <c r="AN1362" s="98"/>
      <c r="AO1362" s="98"/>
      <c r="AP1362" s="98"/>
      <c r="AQ1362" s="98"/>
      <c r="AR1362" s="98"/>
      <c r="AS1362" s="98">
        <v>1179764.0</v>
      </c>
    </row>
    <row r="1363" ht="15.75" customHeight="1">
      <c r="A1363" s="111" t="s">
        <v>1707</v>
      </c>
      <c r="B1363" s="83" t="s">
        <v>7670</v>
      </c>
      <c r="C1363" s="83" t="s">
        <v>45</v>
      </c>
      <c r="D1363" s="112">
        <v>1172397.0</v>
      </c>
      <c r="E1363" s="83"/>
      <c r="F1363" s="83">
        <v>2.9522803E7</v>
      </c>
      <c r="G1363" s="91" t="str">
        <f>IFERROR(__xludf.DUMMYFUNCTION("XLOOKUP(AS1363,
IMPORTRANGE(""https://docs.google.com/spreadsheets/d/1YM-djuOLXomrZ9W0B4TyIBsVWnXY4EIOFD9HY-qGfv0/edit?usp=sharing"",""GERAL!BG5:BG""),
IMPORTRANGE(""https://docs.google.com/spreadsheets/d/1YM-djuOLXomrZ9W0B4TyIBsVWnXY4EIOFD9HY-qGfv0/edit?"&amp;"usp=sharing"",""GERAL!G5:G""),
""CÓD. SEC NÃO ENCONTRADO NA PLANILHA DE MATRÍCULA"")"),"ESCOLA FAMILIA AGRICOLA DE ANTONIO GONCALVES")</f>
        <v>ESCOLA FAMILIA AGRICOLA DE ANTONIO GONCALVES</v>
      </c>
      <c r="H1363" s="114" t="s">
        <v>7671</v>
      </c>
      <c r="I1363" s="91" t="s">
        <v>7672</v>
      </c>
      <c r="J1363" s="83" t="s">
        <v>7673</v>
      </c>
      <c r="K1363" s="115" t="s">
        <v>1321</v>
      </c>
      <c r="L1363" s="83" t="s">
        <v>171</v>
      </c>
      <c r="M1363" s="83" t="s">
        <v>76</v>
      </c>
      <c r="N1363" s="98" t="s">
        <v>7674</v>
      </c>
      <c r="O1363" s="98" t="s">
        <v>155</v>
      </c>
      <c r="P1363" s="99" t="str">
        <f>IFERROR(__xludf.DUMMYFUNCTION("IFERROR(VLOOKUP(AS1363,IMPORTRANGE(""https://docs.google.com/spreadsheets/d/1juPI-Fb8LD0YtltB2mlGEnp_R3UVu1t3wSFPzgCyHXE/edit?gid=0#gid=0"",""GERAL!A2:C""),3,0),""-"")"),"EFA")</f>
        <v>EFA</v>
      </c>
      <c r="Q1363" s="83"/>
      <c r="R1363" s="83"/>
      <c r="S1363" s="83"/>
      <c r="T1363" s="83"/>
      <c r="U1363" s="83"/>
      <c r="V1363" s="83"/>
      <c r="W1363" s="83"/>
      <c r="X1363" s="83"/>
      <c r="Y1363" s="83"/>
      <c r="Z1363" s="83"/>
      <c r="AA1363" s="83"/>
      <c r="AB1363" s="83"/>
      <c r="AC1363" s="83"/>
      <c r="AD1363" s="83"/>
      <c r="AE1363" s="83"/>
      <c r="AF1363" s="83"/>
      <c r="AG1363" s="83"/>
      <c r="AH1363" s="83"/>
      <c r="AI1363" s="83"/>
      <c r="AJ1363" s="83"/>
      <c r="AK1363" s="83"/>
      <c r="AL1363" s="83"/>
      <c r="AM1363" s="83"/>
      <c r="AN1363" s="83"/>
      <c r="AO1363" s="83"/>
      <c r="AP1363" s="83"/>
      <c r="AQ1363" s="83"/>
      <c r="AR1363" s="83"/>
      <c r="AS1363" s="83">
        <v>1172397.0</v>
      </c>
    </row>
    <row r="1364" ht="15.75" customHeight="1">
      <c r="A1364" s="111" t="s">
        <v>1707</v>
      </c>
      <c r="B1364" s="83" t="s">
        <v>7670</v>
      </c>
      <c r="C1364" s="83" t="s">
        <v>68</v>
      </c>
      <c r="D1364" s="112">
        <v>1119577.0</v>
      </c>
      <c r="E1364" s="83"/>
      <c r="F1364" s="83">
        <v>2.9048184E7</v>
      </c>
      <c r="G1364" s="91" t="str">
        <f>IFERROR(__xludf.DUMMYFUNCTION("XLOOKUP(AS1364,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ANTONIO GONCALVES 
(ANTIGO CE ARTUR OLIVEIRA DA SILVA)")</f>
        <v>COLÉGIO ESTADUAL DE TEMPO INTEGRAL ANTONIO GONCALVES 
(ANTIGO CE ARTUR OLIVEIRA DA SILVA)</v>
      </c>
      <c r="H1364" s="119" t="s">
        <v>7675</v>
      </c>
      <c r="I1364" s="108" t="s">
        <v>7676</v>
      </c>
      <c r="J1364" s="172" t="s">
        <v>149</v>
      </c>
      <c r="K1364" s="136" t="s">
        <v>150</v>
      </c>
      <c r="L1364" s="83" t="s">
        <v>151</v>
      </c>
      <c r="M1364" s="83" t="s">
        <v>230</v>
      </c>
      <c r="N1364" s="98" t="s">
        <v>7677</v>
      </c>
      <c r="O1364" s="98" t="s">
        <v>162</v>
      </c>
      <c r="P1364" s="99" t="str">
        <f>IFERROR(__xludf.DUMMYFUNCTION("IFERROR(VLOOKUP(AS1364,IMPORTRANGE(""https://docs.google.com/spreadsheets/d/1juPI-Fb8LD0YtltB2mlGEnp_R3UVu1t3wSFPzgCyHXE/edit?gid=0#gid=0"",""GERAL!A2:C""),3,0),""-"")"),"-")</f>
        <v>-</v>
      </c>
      <c r="Q1364" s="83"/>
      <c r="R1364" s="83"/>
      <c r="S1364" s="83"/>
      <c r="T1364" s="83"/>
      <c r="U1364" s="83"/>
      <c r="V1364" s="83"/>
      <c r="W1364" s="83"/>
      <c r="X1364" s="83"/>
      <c r="Y1364" s="83"/>
      <c r="Z1364" s="83"/>
      <c r="AA1364" s="83"/>
      <c r="AB1364" s="83"/>
      <c r="AC1364" s="83"/>
      <c r="AD1364" s="83"/>
      <c r="AE1364" s="83"/>
      <c r="AF1364" s="83"/>
      <c r="AG1364" s="83"/>
      <c r="AH1364" s="83"/>
      <c r="AI1364" s="83"/>
      <c r="AJ1364" s="83"/>
      <c r="AK1364" s="83"/>
      <c r="AL1364" s="83"/>
      <c r="AM1364" s="83"/>
      <c r="AN1364" s="83"/>
      <c r="AO1364" s="83"/>
      <c r="AP1364" s="83"/>
      <c r="AQ1364" s="83"/>
      <c r="AR1364" s="83"/>
      <c r="AS1364" s="83">
        <v>1119577.0</v>
      </c>
    </row>
    <row r="1365" ht="15.75" customHeight="1">
      <c r="A1365" s="111" t="s">
        <v>1707</v>
      </c>
      <c r="B1365" s="83" t="s">
        <v>7678</v>
      </c>
      <c r="C1365" s="83" t="s">
        <v>68</v>
      </c>
      <c r="D1365" s="112">
        <v>1122020.0</v>
      </c>
      <c r="E1365" s="83"/>
      <c r="F1365" s="83">
        <v>2.9069106E7</v>
      </c>
      <c r="G1365" s="91" t="str">
        <f>IFERROR(__xludf.DUMMYFUNCTION("XLOOKUP(AS1365,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RÔMULO GALVÃO")</f>
        <v>COLÉGIO ESTADUAL DO CAMPO RÔMULO GALVÃO</v>
      </c>
      <c r="H1365" s="119" t="s">
        <v>7679</v>
      </c>
      <c r="I1365" s="91" t="s">
        <v>7680</v>
      </c>
      <c r="J1365" s="136" t="s">
        <v>149</v>
      </c>
      <c r="K1365" s="83" t="s">
        <v>150</v>
      </c>
      <c r="L1365" s="83" t="s">
        <v>151</v>
      </c>
      <c r="M1365" s="83" t="s">
        <v>152</v>
      </c>
      <c r="N1365" s="98" t="s">
        <v>7681</v>
      </c>
      <c r="O1365" s="98" t="s">
        <v>155</v>
      </c>
      <c r="P1365" s="99" t="str">
        <f>IFERROR(__xludf.DUMMYFUNCTION("IFERROR(VLOOKUP(AS1365,IMPORTRANGE(""https://docs.google.com/spreadsheets/d/1juPI-Fb8LD0YtltB2mlGEnp_R3UVu1t3wSFPzgCyHXE/edit?gid=0#gid=0"",""GERAL!A2:C""),3,0),""-"")"),"-")</f>
        <v>-</v>
      </c>
      <c r="Q1365" s="136"/>
      <c r="R1365" s="136"/>
      <c r="S1365" s="136"/>
      <c r="T1365" s="136"/>
      <c r="U1365" s="136"/>
      <c r="V1365" s="136"/>
      <c r="W1365" s="136"/>
      <c r="X1365" s="136"/>
      <c r="Y1365" s="136"/>
      <c r="Z1365" s="136"/>
      <c r="AA1365" s="136"/>
      <c r="AB1365" s="136"/>
      <c r="AC1365" s="136"/>
      <c r="AD1365" s="136"/>
      <c r="AE1365" s="136"/>
      <c r="AF1365" s="136"/>
      <c r="AG1365" s="136"/>
      <c r="AH1365" s="136"/>
      <c r="AI1365" s="136"/>
      <c r="AJ1365" s="136"/>
      <c r="AK1365" s="136"/>
      <c r="AL1365" s="136"/>
      <c r="AM1365" s="136"/>
      <c r="AN1365" s="136"/>
      <c r="AO1365" s="136"/>
      <c r="AP1365" s="136"/>
      <c r="AQ1365" s="136"/>
      <c r="AR1365" s="136"/>
      <c r="AS1365" s="136">
        <v>1122020.0</v>
      </c>
    </row>
    <row r="1366" ht="15.75" customHeight="1">
      <c r="A1366" s="111" t="s">
        <v>1707</v>
      </c>
      <c r="B1366" s="83" t="s">
        <v>7682</v>
      </c>
      <c r="C1366" s="83" t="s">
        <v>68</v>
      </c>
      <c r="D1366" s="112">
        <v>1179606.0</v>
      </c>
      <c r="E1366" s="83"/>
      <c r="F1366" s="83">
        <v>2.9470579E7</v>
      </c>
      <c r="G1366" s="91" t="str">
        <f>IFERROR(__xludf.DUMMYFUNCTION("XLOOKUP(AS1366,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QUILOMBOLA LUIS JOSE DOS SANTOS - DISTRITO DE LAGE DOS NEGROS - TEMPO INTEGRAL")</f>
        <v>COLÉGIO ESTADUAL QUILOMBOLA LUIS JOSE DOS SANTOS - DISTRITO DE LAGE DOS NEGROS - TEMPO INTEGRAL</v>
      </c>
      <c r="H1366" s="119" t="s">
        <v>7683</v>
      </c>
      <c r="I1366" s="91" t="s">
        <v>7684</v>
      </c>
      <c r="J1366" s="136" t="s">
        <v>7685</v>
      </c>
      <c r="K1366" s="83" t="s">
        <v>1806</v>
      </c>
      <c r="L1366" s="83" t="s">
        <v>151</v>
      </c>
      <c r="M1366" s="83" t="s">
        <v>152</v>
      </c>
      <c r="N1366" s="98" t="s">
        <v>7686</v>
      </c>
      <c r="O1366" s="98" t="s">
        <v>162</v>
      </c>
      <c r="P1366" s="99" t="str">
        <f>IFERROR(__xludf.DUMMYFUNCTION("IFERROR(VLOOKUP(AS1366,IMPORTRANGE(""https://docs.google.com/spreadsheets/d/1juPI-Fb8LD0YtltB2mlGEnp_R3UVu1t3wSFPzgCyHXE/edit?gid=0#gid=0"",""GERAL!A2:C""),3,0),""-"")"),"QUILOMBOLAS")</f>
        <v>QUILOMBOLAS</v>
      </c>
      <c r="Q1366" s="83"/>
      <c r="R1366" s="83"/>
      <c r="S1366" s="83"/>
      <c r="T1366" s="83"/>
      <c r="U1366" s="83"/>
      <c r="V1366" s="83"/>
      <c r="W1366" s="83"/>
      <c r="X1366" s="83"/>
      <c r="Y1366" s="83"/>
      <c r="Z1366" s="83"/>
      <c r="AA1366" s="83"/>
      <c r="AB1366" s="83"/>
      <c r="AC1366" s="83"/>
      <c r="AD1366" s="83"/>
      <c r="AE1366" s="83"/>
      <c r="AF1366" s="83"/>
      <c r="AG1366" s="83"/>
      <c r="AH1366" s="83"/>
      <c r="AI1366" s="83"/>
      <c r="AJ1366" s="83"/>
      <c r="AK1366" s="83"/>
      <c r="AL1366" s="83"/>
      <c r="AM1366" s="83"/>
      <c r="AN1366" s="83"/>
      <c r="AO1366" s="83"/>
      <c r="AP1366" s="83"/>
      <c r="AQ1366" s="83"/>
      <c r="AR1366" s="83"/>
      <c r="AS1366" s="83">
        <v>1179606.0</v>
      </c>
    </row>
    <row r="1367" ht="15.75" customHeight="1">
      <c r="A1367" s="111" t="s">
        <v>1707</v>
      </c>
      <c r="B1367" s="83" t="s">
        <v>7682</v>
      </c>
      <c r="C1367" s="83" t="s">
        <v>68</v>
      </c>
      <c r="D1367" s="112">
        <v>1179314.0</v>
      </c>
      <c r="E1367" s="83"/>
      <c r="F1367" s="83">
        <v>2.946151E7</v>
      </c>
      <c r="G1367" s="91" t="str">
        <f>IFERROR(__xludf.DUMMYFUNCTION("XLOOKUP(AS1367,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QUILOMBOLA DE SAO TOME - COMUNIDADE QUILOMBOLA")</f>
        <v>COLÉGIO ESTADUAL QUILOMBOLA DE SAO TOME - COMUNIDADE QUILOMBOLA</v>
      </c>
      <c r="H1367" s="119" t="s">
        <v>7688</v>
      </c>
      <c r="I1367" s="91" t="s">
        <v>7689</v>
      </c>
      <c r="J1367" s="83" t="s">
        <v>7690</v>
      </c>
      <c r="K1367" s="83" t="s">
        <v>774</v>
      </c>
      <c r="L1367" s="83" t="s">
        <v>151</v>
      </c>
      <c r="M1367" s="83" t="s">
        <v>169</v>
      </c>
      <c r="N1367" s="98" t="s">
        <v>7691</v>
      </c>
      <c r="O1367" s="98" t="s">
        <v>155</v>
      </c>
      <c r="P1367" s="99" t="str">
        <f>IFERROR(__xludf.DUMMYFUNCTION("IFERROR(VLOOKUP(AS1367,IMPORTRANGE(""https://docs.google.com/spreadsheets/d/1juPI-Fb8LD0YtltB2mlGEnp_R3UVu1t3wSFPzgCyHXE/edit?gid=0#gid=0"",""GERAL!A2:C""),3,0),""-"")"),"QUILOMBOLAS")</f>
        <v>QUILOMBOLAS</v>
      </c>
      <c r="Q1367" s="83"/>
      <c r="R1367" s="83"/>
      <c r="S1367" s="83"/>
      <c r="T1367" s="83"/>
      <c r="U1367" s="83"/>
      <c r="V1367" s="83"/>
      <c r="W1367" s="83"/>
      <c r="X1367" s="83"/>
      <c r="Y1367" s="83"/>
      <c r="Z1367" s="83"/>
      <c r="AA1367" s="83"/>
      <c r="AB1367" s="83"/>
      <c r="AC1367" s="83"/>
      <c r="AD1367" s="83"/>
      <c r="AE1367" s="83"/>
      <c r="AF1367" s="83"/>
      <c r="AG1367" s="83"/>
      <c r="AH1367" s="83"/>
      <c r="AI1367" s="83"/>
      <c r="AJ1367" s="83"/>
      <c r="AK1367" s="83"/>
      <c r="AL1367" s="83"/>
      <c r="AM1367" s="83"/>
      <c r="AN1367" s="83"/>
      <c r="AO1367" s="83"/>
      <c r="AP1367" s="83"/>
      <c r="AQ1367" s="83"/>
      <c r="AR1367" s="83"/>
      <c r="AS1367" s="83">
        <v>1179314.0</v>
      </c>
    </row>
    <row r="1368" ht="15.75" customHeight="1">
      <c r="A1368" s="111" t="s">
        <v>1707</v>
      </c>
      <c r="B1368" s="83" t="s">
        <v>7682</v>
      </c>
      <c r="C1368" s="83" t="s">
        <v>68</v>
      </c>
      <c r="D1368" s="112">
        <v>1119828.0</v>
      </c>
      <c r="E1368" s="83"/>
      <c r="F1368" s="83">
        <v>2.9050057E7</v>
      </c>
      <c r="G1368" s="91" t="str">
        <f>IFERROR(__xludf.DUMMYFUNCTION("XLOOKUP(AS1368,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PROFESSORA HILDA MONTEIRO MENEZES")</f>
        <v>COLÉGIO ESTADUAL DO CAMPO PROFESSORA HILDA MONTEIRO MENEZES</v>
      </c>
      <c r="H1368" s="119" t="s">
        <v>7692</v>
      </c>
      <c r="I1368" s="91" t="s">
        <v>7693</v>
      </c>
      <c r="J1368" s="136" t="s">
        <v>149</v>
      </c>
      <c r="K1368" s="83" t="s">
        <v>150</v>
      </c>
      <c r="L1368" s="83" t="s">
        <v>151</v>
      </c>
      <c r="M1368" s="83" t="s">
        <v>230</v>
      </c>
      <c r="N1368" s="98" t="s">
        <v>7694</v>
      </c>
      <c r="O1368" s="98" t="s">
        <v>155</v>
      </c>
      <c r="P1368" s="99" t="str">
        <f>IFERROR(__xludf.DUMMYFUNCTION("IFERROR(VLOOKUP(AS1368,IMPORTRANGE(""https://docs.google.com/spreadsheets/d/1juPI-Fb8LD0YtltB2mlGEnp_R3UVu1t3wSFPzgCyHXE/edit?gid=0#gid=0"",""GERAL!A2:C""),3,0),""-"")"),"CAMPO")</f>
        <v>CAMPO</v>
      </c>
      <c r="Q1368" s="83"/>
      <c r="R1368" s="83"/>
      <c r="S1368" s="83"/>
      <c r="T1368" s="83"/>
      <c r="U1368" s="83"/>
      <c r="V1368" s="83"/>
      <c r="W1368" s="83"/>
      <c r="X1368" s="83"/>
      <c r="Y1368" s="83"/>
      <c r="Z1368" s="83"/>
      <c r="AA1368" s="83"/>
      <c r="AB1368" s="83"/>
      <c r="AC1368" s="83"/>
      <c r="AD1368" s="83"/>
      <c r="AE1368" s="83"/>
      <c r="AF1368" s="83"/>
      <c r="AG1368" s="83"/>
      <c r="AH1368" s="83"/>
      <c r="AI1368" s="83"/>
      <c r="AJ1368" s="83"/>
      <c r="AK1368" s="83"/>
      <c r="AL1368" s="83"/>
      <c r="AM1368" s="83"/>
      <c r="AN1368" s="83"/>
      <c r="AO1368" s="83"/>
      <c r="AP1368" s="83"/>
      <c r="AQ1368" s="83"/>
      <c r="AR1368" s="83"/>
      <c r="AS1368" s="83">
        <v>1119828.0</v>
      </c>
    </row>
    <row r="1369" ht="15.75" customHeight="1">
      <c r="A1369" s="111" t="s">
        <v>1707</v>
      </c>
      <c r="B1369" s="83" t="s">
        <v>7682</v>
      </c>
      <c r="C1369" s="98" t="s">
        <v>164</v>
      </c>
      <c r="D1369" s="112">
        <v>1179606.0</v>
      </c>
      <c r="E1369" s="98">
        <v>1178988.0</v>
      </c>
      <c r="F1369" s="83"/>
      <c r="G1369" s="91" t="str">
        <f>IFERROR(__xludf.DUMMYFUNCTION("XLOOKUP(AS1369,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QUILOMBOLA LUIS JOSÉ DOS SANTOS - POVOADO OLHOS D'ÁGUA DAS POMBAS")</f>
        <v>ANEXO - COLÉGIO ESTADUAL QUILOMBOLA LUIS JOSÉ DOS SANTOS - POVOADO OLHOS D'ÁGUA DAS POMBAS</v>
      </c>
      <c r="H1369" s="119" t="s">
        <v>7695</v>
      </c>
      <c r="I1369" s="108" t="s">
        <v>7696</v>
      </c>
      <c r="J1369" s="136"/>
      <c r="K1369" s="83"/>
      <c r="L1369" s="98" t="s">
        <v>168</v>
      </c>
      <c r="M1369" s="83"/>
      <c r="N1369" s="115" t="s">
        <v>170</v>
      </c>
      <c r="O1369" s="98" t="s">
        <v>155</v>
      </c>
      <c r="P1369" s="99" t="str">
        <f>IFERROR(__xludf.DUMMYFUNCTION("IFERROR(VLOOKUP(AS1369,IMPORTRANGE(""https://docs.google.com/spreadsheets/d/1juPI-Fb8LD0YtltB2mlGEnp_R3UVu1t3wSFPzgCyHXE/edit?gid=0#gid=0"",""GERAL!A2:C""),3,0),""-"")"),"-")</f>
        <v>-</v>
      </c>
      <c r="Q1369" s="98"/>
      <c r="R1369" s="98"/>
      <c r="S1369" s="98"/>
      <c r="T1369" s="98"/>
      <c r="U1369" s="98"/>
      <c r="V1369" s="98"/>
      <c r="W1369" s="98"/>
      <c r="X1369" s="98"/>
      <c r="Y1369" s="98"/>
      <c r="Z1369" s="98"/>
      <c r="AA1369" s="98"/>
      <c r="AB1369" s="98"/>
      <c r="AC1369" s="98"/>
      <c r="AD1369" s="98"/>
      <c r="AE1369" s="98"/>
      <c r="AF1369" s="98"/>
      <c r="AG1369" s="98"/>
      <c r="AH1369" s="98"/>
      <c r="AI1369" s="98"/>
      <c r="AJ1369" s="98"/>
      <c r="AK1369" s="98"/>
      <c r="AL1369" s="98"/>
      <c r="AM1369" s="98"/>
      <c r="AN1369" s="98"/>
      <c r="AO1369" s="98"/>
      <c r="AP1369" s="98"/>
      <c r="AQ1369" s="98"/>
      <c r="AR1369" s="98"/>
      <c r="AS1369" s="98">
        <v>1178988.0</v>
      </c>
    </row>
    <row r="1370" ht="15.75" customHeight="1">
      <c r="A1370" s="111" t="s">
        <v>1707</v>
      </c>
      <c r="B1370" s="83" t="s">
        <v>7682</v>
      </c>
      <c r="C1370" s="83" t="s">
        <v>164</v>
      </c>
      <c r="D1370" s="98">
        <v>1179606.0</v>
      </c>
      <c r="E1370" s="83">
        <v>1178981.0</v>
      </c>
      <c r="F1370" s="83"/>
      <c r="G1370" s="91" t="str">
        <f>IFERROR(__xludf.DUMMYFUNCTION("XLOOKUP(AS1370,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COLEGIO ESTADUAL QUILOMBOLA LUIS JOSE DOS SANTOS - POVOADO CURRAL VELHO")</f>
        <v>ANEXO - COLEGIO ESTADUAL QUILOMBOLA LUIS JOSE DOS SANTOS - POVOADO CURRAL VELHO</v>
      </c>
      <c r="H1370" s="119" t="s">
        <v>7704</v>
      </c>
      <c r="I1370" s="91" t="s">
        <v>7705</v>
      </c>
      <c r="J1370" s="136" t="s">
        <v>7706</v>
      </c>
      <c r="K1370" s="83" t="s">
        <v>461</v>
      </c>
      <c r="L1370" s="83" t="s">
        <v>168</v>
      </c>
      <c r="M1370" s="83" t="s">
        <v>230</v>
      </c>
      <c r="N1370" s="115" t="s">
        <v>170</v>
      </c>
      <c r="O1370" s="98" t="s">
        <v>155</v>
      </c>
      <c r="P1370" s="99" t="str">
        <f>IFERROR(__xludf.DUMMYFUNCTION("IFERROR(VLOOKUP(AS1370,IMPORTRANGE(""https://docs.google.com/spreadsheets/d/1juPI-Fb8LD0YtltB2mlGEnp_R3UVu1t3wSFPzgCyHXE/edit?gid=0#gid=0"",""GERAL!A2:C""),3,0),""-"")"),"CAMPO")</f>
        <v>CAMPO</v>
      </c>
      <c r="Q1370" s="83"/>
      <c r="R1370" s="83"/>
      <c r="S1370" s="83"/>
      <c r="T1370" s="83"/>
      <c r="U1370" s="83"/>
      <c r="V1370" s="83"/>
      <c r="W1370" s="83"/>
      <c r="X1370" s="83"/>
      <c r="Y1370" s="83"/>
      <c r="Z1370" s="83"/>
      <c r="AA1370" s="83"/>
      <c r="AB1370" s="83"/>
      <c r="AC1370" s="83"/>
      <c r="AD1370" s="83"/>
      <c r="AE1370" s="83"/>
      <c r="AF1370" s="83"/>
      <c r="AG1370" s="83"/>
      <c r="AH1370" s="83"/>
      <c r="AI1370" s="83"/>
      <c r="AJ1370" s="83"/>
      <c r="AK1370" s="83"/>
      <c r="AL1370" s="83"/>
      <c r="AM1370" s="83"/>
      <c r="AN1370" s="83"/>
      <c r="AO1370" s="83"/>
      <c r="AP1370" s="83"/>
      <c r="AQ1370" s="83"/>
      <c r="AR1370" s="83"/>
      <c r="AS1370" s="83">
        <v>1178981.0</v>
      </c>
    </row>
    <row r="1371" ht="15.75" customHeight="1">
      <c r="A1371" s="111" t="s">
        <v>1707</v>
      </c>
      <c r="B1371" s="83" t="s">
        <v>7682</v>
      </c>
      <c r="C1371" s="83" t="s">
        <v>164</v>
      </c>
      <c r="D1371" s="112">
        <v>1179314.0</v>
      </c>
      <c r="E1371" s="83">
        <v>1178984.0</v>
      </c>
      <c r="F1371" s="83"/>
      <c r="G1371" s="91" t="str">
        <f>IFERROR(__xludf.DUMMYFUNCTION("XLOOKUP(AS1371,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COLEGIO ESTADUAL QUILOMBOLA DE SAO TOME - POVOADO DE LAGOA DA BARRA")</f>
        <v>ANEXO - COLEGIO ESTADUAL QUILOMBOLA DE SAO TOME - POVOADO DE LAGOA DA BARRA</v>
      </c>
      <c r="H1371" s="119" t="s">
        <v>7707</v>
      </c>
      <c r="I1371" s="91" t="s">
        <v>7708</v>
      </c>
      <c r="J1371" s="136" t="s">
        <v>7709</v>
      </c>
      <c r="K1371" s="83" t="s">
        <v>7710</v>
      </c>
      <c r="L1371" s="83" t="s">
        <v>168</v>
      </c>
      <c r="M1371" s="83" t="s">
        <v>230</v>
      </c>
      <c r="N1371" s="115" t="s">
        <v>170</v>
      </c>
      <c r="O1371" s="98" t="s">
        <v>155</v>
      </c>
      <c r="P1371" s="99" t="str">
        <f>IFERROR(__xludf.DUMMYFUNCTION("IFERROR(VLOOKUP(AS1371,IMPORTRANGE(""https://docs.google.com/spreadsheets/d/1juPI-Fb8LD0YtltB2mlGEnp_R3UVu1t3wSFPzgCyHXE/edit?gid=0#gid=0"",""GERAL!A2:C""),3,0),""-"")"),"CAMPO")</f>
        <v>CAMPO</v>
      </c>
      <c r="Q1371" s="83"/>
      <c r="R1371" s="83"/>
      <c r="S1371" s="83"/>
      <c r="T1371" s="83"/>
      <c r="U1371" s="83"/>
      <c r="V1371" s="83"/>
      <c r="W1371" s="83"/>
      <c r="X1371" s="83"/>
      <c r="Y1371" s="83"/>
      <c r="Z1371" s="83"/>
      <c r="AA1371" s="83"/>
      <c r="AB1371" s="83"/>
      <c r="AC1371" s="83"/>
      <c r="AD1371" s="83"/>
      <c r="AE1371" s="83"/>
      <c r="AF1371" s="83"/>
      <c r="AG1371" s="83"/>
      <c r="AH1371" s="83"/>
      <c r="AI1371" s="83"/>
      <c r="AJ1371" s="83"/>
      <c r="AK1371" s="83"/>
      <c r="AL1371" s="83"/>
      <c r="AM1371" s="83"/>
      <c r="AN1371" s="83"/>
      <c r="AO1371" s="83"/>
      <c r="AP1371" s="83"/>
      <c r="AQ1371" s="83"/>
      <c r="AR1371" s="83"/>
      <c r="AS1371" s="83">
        <v>1178984.0</v>
      </c>
    </row>
    <row r="1372" ht="15.75" customHeight="1">
      <c r="A1372" s="111" t="s">
        <v>1707</v>
      </c>
      <c r="B1372" s="83" t="s">
        <v>7682</v>
      </c>
      <c r="C1372" s="83" t="s">
        <v>164</v>
      </c>
      <c r="D1372" s="112">
        <v>1179314.0</v>
      </c>
      <c r="E1372" s="83">
        <v>1178986.0</v>
      </c>
      <c r="F1372" s="83"/>
      <c r="G1372" s="91" t="str">
        <f>IFERROR(__xludf.DUMMYFUNCTION("XLOOKUP(AS1372,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COLEGIO ESTADUAL QUILOMBOLA DE SAO TOME - DISTRITO DE BREJAO DA CAATINGA")</f>
        <v>ANEXO - COLEGIO ESTADUAL QUILOMBOLA DE SAO TOME - DISTRITO DE BREJAO DA CAATINGA</v>
      </c>
      <c r="H1372" s="119" t="s">
        <v>7712</v>
      </c>
      <c r="I1372" s="91" t="s">
        <v>7713</v>
      </c>
      <c r="J1372" s="136" t="s">
        <v>7714</v>
      </c>
      <c r="K1372" s="83" t="s">
        <v>508</v>
      </c>
      <c r="L1372" s="83" t="s">
        <v>168</v>
      </c>
      <c r="M1372" s="83" t="s">
        <v>230</v>
      </c>
      <c r="N1372" s="115" t="s">
        <v>170</v>
      </c>
      <c r="O1372" s="98" t="s">
        <v>155</v>
      </c>
      <c r="P1372" s="99" t="str">
        <f>IFERROR(__xludf.DUMMYFUNCTION("IFERROR(VLOOKUP(AS1372,IMPORTRANGE(""https://docs.google.com/spreadsheets/d/1juPI-Fb8LD0YtltB2mlGEnp_R3UVu1t3wSFPzgCyHXE/edit?gid=0#gid=0"",""GERAL!A2:C""),3,0),""-"")"),"CAMPO")</f>
        <v>CAMPO</v>
      </c>
      <c r="Q1372" s="83"/>
      <c r="R1372" s="83"/>
      <c r="S1372" s="83"/>
      <c r="T1372" s="83"/>
      <c r="U1372" s="83"/>
      <c r="V1372" s="83"/>
      <c r="W1372" s="83"/>
      <c r="X1372" s="83"/>
      <c r="Y1372" s="83"/>
      <c r="Z1372" s="83"/>
      <c r="AA1372" s="83"/>
      <c r="AB1372" s="83"/>
      <c r="AC1372" s="83"/>
      <c r="AD1372" s="83"/>
      <c r="AE1372" s="83"/>
      <c r="AF1372" s="83"/>
      <c r="AG1372" s="83"/>
      <c r="AH1372" s="83"/>
      <c r="AI1372" s="83"/>
      <c r="AJ1372" s="83"/>
      <c r="AK1372" s="83"/>
      <c r="AL1372" s="83"/>
      <c r="AM1372" s="83"/>
      <c r="AN1372" s="83"/>
      <c r="AO1372" s="83"/>
      <c r="AP1372" s="83"/>
      <c r="AQ1372" s="83"/>
      <c r="AR1372" s="83"/>
      <c r="AS1372" s="83">
        <v>1178986.0</v>
      </c>
    </row>
    <row r="1373" ht="15.75" customHeight="1">
      <c r="A1373" s="111" t="s">
        <v>1707</v>
      </c>
      <c r="B1373" s="83" t="s">
        <v>7682</v>
      </c>
      <c r="C1373" s="83" t="s">
        <v>164</v>
      </c>
      <c r="D1373" s="112">
        <v>1119828.0</v>
      </c>
      <c r="E1373" s="83">
        <v>1179039.0</v>
      </c>
      <c r="F1373" s="83"/>
      <c r="G1373" s="91" t="str">
        <f>IFERROR(__xludf.DUMMYFUNCTION("XLOOKUP(AS1373,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HILDA MONTEIRO MENEZES - POVOADO TUIUTIBA")</f>
        <v>ANEXO - COLÉGIO ESTADUAL PROFESSORA HILDA MONTEIRO MENEZES - POVOADO TUIUTIBA</v>
      </c>
      <c r="H1373" s="119" t="s">
        <v>7716</v>
      </c>
      <c r="I1373" s="91" t="s">
        <v>7717</v>
      </c>
      <c r="J1373" s="136" t="s">
        <v>7718</v>
      </c>
      <c r="K1373" s="83" t="s">
        <v>767</v>
      </c>
      <c r="L1373" s="83" t="s">
        <v>168</v>
      </c>
      <c r="M1373" s="83" t="s">
        <v>230</v>
      </c>
      <c r="N1373" s="115" t="s">
        <v>170</v>
      </c>
      <c r="O1373" s="98" t="s">
        <v>155</v>
      </c>
      <c r="P1373" s="99" t="str">
        <f>IFERROR(__xludf.DUMMYFUNCTION("IFERROR(VLOOKUP(AS1373,IMPORTRANGE(""https://docs.google.com/spreadsheets/d/1juPI-Fb8LD0YtltB2mlGEnp_R3UVu1t3wSFPzgCyHXE/edit?gid=0#gid=0"",""GERAL!A2:C""),3,0),""-"")"),"CAMPO")</f>
        <v>CAMPO</v>
      </c>
      <c r="Q1373" s="83"/>
      <c r="R1373" s="83"/>
      <c r="S1373" s="83"/>
      <c r="T1373" s="83"/>
      <c r="U1373" s="83"/>
      <c r="V1373" s="83"/>
      <c r="W1373" s="83"/>
      <c r="X1373" s="83"/>
      <c r="Y1373" s="83"/>
      <c r="Z1373" s="83"/>
      <c r="AA1373" s="83"/>
      <c r="AB1373" s="83"/>
      <c r="AC1373" s="83"/>
      <c r="AD1373" s="83"/>
      <c r="AE1373" s="83"/>
      <c r="AF1373" s="83"/>
      <c r="AG1373" s="83"/>
      <c r="AH1373" s="83"/>
      <c r="AI1373" s="83"/>
      <c r="AJ1373" s="83"/>
      <c r="AK1373" s="83"/>
      <c r="AL1373" s="83"/>
      <c r="AM1373" s="83"/>
      <c r="AN1373" s="83"/>
      <c r="AO1373" s="83"/>
      <c r="AP1373" s="83"/>
      <c r="AQ1373" s="83"/>
      <c r="AR1373" s="83"/>
      <c r="AS1373" s="83">
        <v>1179039.0</v>
      </c>
    </row>
    <row r="1374" ht="15.75" customHeight="1">
      <c r="A1374" s="111" t="s">
        <v>1707</v>
      </c>
      <c r="B1374" s="83" t="s">
        <v>7682</v>
      </c>
      <c r="C1374" s="83" t="s">
        <v>164</v>
      </c>
      <c r="D1374" s="112">
        <v>1119828.0</v>
      </c>
      <c r="E1374" s="83">
        <v>1178977.0</v>
      </c>
      <c r="F1374" s="83"/>
      <c r="G1374" s="91" t="str">
        <f>IFERROR(__xludf.DUMMYFUNCTION("XLOOKUP(AS1374,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HILDA MONTEIRO MENEZES - POVOADO DE ARARAS")</f>
        <v>ANEXO - COLÉGIO ESTADUAL PROFESSORA HILDA MONTEIRO MENEZES - POVOADO DE ARARAS</v>
      </c>
      <c r="H1374" s="119" t="s">
        <v>7720</v>
      </c>
      <c r="I1374" s="91" t="s">
        <v>7721</v>
      </c>
      <c r="J1374" s="136" t="s">
        <v>7722</v>
      </c>
      <c r="K1374" s="83" t="s">
        <v>705</v>
      </c>
      <c r="L1374" s="83" t="s">
        <v>168</v>
      </c>
      <c r="M1374" s="83" t="s">
        <v>230</v>
      </c>
      <c r="N1374" s="115" t="s">
        <v>170</v>
      </c>
      <c r="O1374" s="98" t="s">
        <v>155</v>
      </c>
      <c r="P1374" s="99" t="str">
        <f>IFERROR(__xludf.DUMMYFUNCTION("IFERROR(VLOOKUP(AS1374,IMPORTRANGE(""https://docs.google.com/spreadsheets/d/1juPI-Fb8LD0YtltB2mlGEnp_R3UVu1t3wSFPzgCyHXE/edit?gid=0#gid=0"",""GERAL!A2:C""),3,0),""-"")"),"CAMPO")</f>
        <v>CAMPO</v>
      </c>
      <c r="Q1374" s="83"/>
      <c r="R1374" s="83"/>
      <c r="S1374" s="83"/>
      <c r="T1374" s="83"/>
      <c r="U1374" s="83"/>
      <c r="V1374" s="83"/>
      <c r="W1374" s="83"/>
      <c r="X1374" s="83"/>
      <c r="Y1374" s="83"/>
      <c r="Z1374" s="83"/>
      <c r="AA1374" s="83"/>
      <c r="AB1374" s="83"/>
      <c r="AC1374" s="83"/>
      <c r="AD1374" s="83"/>
      <c r="AE1374" s="83"/>
      <c r="AF1374" s="83"/>
      <c r="AG1374" s="83"/>
      <c r="AH1374" s="83"/>
      <c r="AI1374" s="83"/>
      <c r="AJ1374" s="83"/>
      <c r="AK1374" s="83"/>
      <c r="AL1374" s="83"/>
      <c r="AM1374" s="83"/>
      <c r="AN1374" s="83"/>
      <c r="AO1374" s="83"/>
      <c r="AP1374" s="83"/>
      <c r="AQ1374" s="83"/>
      <c r="AR1374" s="83"/>
      <c r="AS1374" s="83">
        <v>1178977.0</v>
      </c>
    </row>
    <row r="1375" ht="15.75" customHeight="1">
      <c r="A1375" s="111" t="s">
        <v>1707</v>
      </c>
      <c r="B1375" s="83" t="s">
        <v>7682</v>
      </c>
      <c r="C1375" s="83" t="s">
        <v>164</v>
      </c>
      <c r="D1375" s="112">
        <v>1119828.0</v>
      </c>
      <c r="E1375" s="83">
        <v>1178980.0</v>
      </c>
      <c r="F1375" s="83"/>
      <c r="G1375" s="91" t="str">
        <f>IFERROR(__xludf.DUMMYFUNCTION("XLOOKUP(AS1375,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PROFESSORA HILDA MONTEIRO MENEZES - DIST. DE TIQUARA")</f>
        <v>ANEXO - COLÉGIO ESTADUAL DO CAMPO PROFESSORA HILDA MONTEIRO MENEZES - DIST. DE TIQUARA</v>
      </c>
      <c r="H1375" s="119" t="s">
        <v>7724</v>
      </c>
      <c r="I1375" s="91" t="s">
        <v>7725</v>
      </c>
      <c r="J1375" s="136" t="s">
        <v>7726</v>
      </c>
      <c r="K1375" s="83" t="s">
        <v>471</v>
      </c>
      <c r="L1375" s="83" t="s">
        <v>168</v>
      </c>
      <c r="M1375" s="83" t="s">
        <v>230</v>
      </c>
      <c r="N1375" s="115" t="s">
        <v>170</v>
      </c>
      <c r="O1375" s="98" t="s">
        <v>155</v>
      </c>
      <c r="P1375" s="99" t="str">
        <f>IFERROR(__xludf.DUMMYFUNCTION("IFERROR(VLOOKUP(AS1375,IMPORTRANGE(""https://docs.google.com/spreadsheets/d/1juPI-Fb8LD0YtltB2mlGEnp_R3UVu1t3wSFPzgCyHXE/edit?gid=0#gid=0"",""GERAL!A2:C""),3,0),""-"")"),"CAMPO")</f>
        <v>CAMPO</v>
      </c>
      <c r="Q1375" s="83"/>
      <c r="R1375" s="83"/>
      <c r="S1375" s="83"/>
      <c r="T1375" s="83"/>
      <c r="U1375" s="83"/>
      <c r="V1375" s="83"/>
      <c r="W1375" s="83"/>
      <c r="X1375" s="83"/>
      <c r="Y1375" s="83"/>
      <c r="Z1375" s="83"/>
      <c r="AA1375" s="83"/>
      <c r="AB1375" s="83"/>
      <c r="AC1375" s="83"/>
      <c r="AD1375" s="83"/>
      <c r="AE1375" s="83"/>
      <c r="AF1375" s="83"/>
      <c r="AG1375" s="83"/>
      <c r="AH1375" s="83"/>
      <c r="AI1375" s="83"/>
      <c r="AJ1375" s="83"/>
      <c r="AK1375" s="83"/>
      <c r="AL1375" s="83"/>
      <c r="AM1375" s="83"/>
      <c r="AN1375" s="83"/>
      <c r="AO1375" s="83"/>
      <c r="AP1375" s="83"/>
      <c r="AQ1375" s="83"/>
      <c r="AR1375" s="83"/>
      <c r="AS1375" s="83">
        <v>1178980.0</v>
      </c>
    </row>
    <row r="1376" ht="15.75" customHeight="1">
      <c r="A1376" s="111" t="s">
        <v>1707</v>
      </c>
      <c r="B1376" s="83" t="s">
        <v>7682</v>
      </c>
      <c r="C1376" s="83" t="s">
        <v>164</v>
      </c>
      <c r="D1376" s="112">
        <v>1179286.0</v>
      </c>
      <c r="E1376" s="83">
        <v>1178985.0</v>
      </c>
      <c r="F1376" s="83"/>
      <c r="G1376" s="91" t="str">
        <f>IFERROR(__xludf.DUMMYFUNCTION("XLOOKUP(AS1376,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PIEMONTE NORTE DO ITAPICURU - POVOADO DE LAGOA DO PORCO")</f>
        <v>ANEXO - CEMIT - PIEMONTE NORTE DO ITAPICURU - POVOADO DE LAGOA DO PORCO</v>
      </c>
      <c r="H1376" s="114" t="s">
        <v>7728</v>
      </c>
      <c r="I1376" s="91" t="s">
        <v>7729</v>
      </c>
      <c r="J1376" s="136" t="s">
        <v>7730</v>
      </c>
      <c r="K1376" s="83" t="s">
        <v>244</v>
      </c>
      <c r="L1376" s="83" t="s">
        <v>168</v>
      </c>
      <c r="M1376" s="83" t="s">
        <v>169</v>
      </c>
      <c r="N1376" s="115" t="s">
        <v>170</v>
      </c>
      <c r="O1376" s="98" t="s">
        <v>155</v>
      </c>
      <c r="P1376" s="99" t="str">
        <f>IFERROR(__xludf.DUMMYFUNCTION("IFERROR(VLOOKUP(AS1376,IMPORTRANGE(""https://docs.google.com/spreadsheets/d/1juPI-Fb8LD0YtltB2mlGEnp_R3UVu1t3wSFPzgCyHXE/edit?gid=0#gid=0"",""GERAL!A2:C""),3,0),""-"")"),"-")</f>
        <v>-</v>
      </c>
      <c r="Q1376" s="83"/>
      <c r="R1376" s="83"/>
      <c r="S1376" s="83"/>
      <c r="T1376" s="83"/>
      <c r="U1376" s="83"/>
      <c r="V1376" s="83"/>
      <c r="W1376" s="83"/>
      <c r="X1376" s="83"/>
      <c r="Y1376" s="83"/>
      <c r="Z1376" s="83"/>
      <c r="AA1376" s="83"/>
      <c r="AB1376" s="83"/>
      <c r="AC1376" s="83"/>
      <c r="AD1376" s="83"/>
      <c r="AE1376" s="83"/>
      <c r="AF1376" s="83"/>
      <c r="AG1376" s="83"/>
      <c r="AH1376" s="83"/>
      <c r="AI1376" s="83"/>
      <c r="AJ1376" s="83"/>
      <c r="AK1376" s="83"/>
      <c r="AL1376" s="83"/>
      <c r="AM1376" s="83"/>
      <c r="AN1376" s="83"/>
      <c r="AO1376" s="83"/>
      <c r="AP1376" s="83"/>
      <c r="AQ1376" s="83"/>
      <c r="AR1376" s="83"/>
      <c r="AS1376" s="83">
        <v>1178985.0</v>
      </c>
    </row>
    <row r="1377" ht="15.75" customHeight="1">
      <c r="A1377" s="111" t="s">
        <v>1707</v>
      </c>
      <c r="B1377" s="83" t="s">
        <v>7682</v>
      </c>
      <c r="C1377" s="83" t="s">
        <v>164</v>
      </c>
      <c r="D1377" s="112">
        <v>1179286.0</v>
      </c>
      <c r="E1377" s="83">
        <v>1178983.0</v>
      </c>
      <c r="F1377" s="83"/>
      <c r="G1377" s="91" t="str">
        <f>IFERROR(__xludf.DUMMYFUNCTION("XLOOKUP(AS1377,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PIEMONTE NORTE DO ITAPICURU - POVOADO DE CARAIBAS")</f>
        <v>ANEXO - CEMIT - PIEMONTE NORTE DO ITAPICURU - POVOADO DE CARAIBAS</v>
      </c>
      <c r="H1377" s="114" t="s">
        <v>7731</v>
      </c>
      <c r="I1377" s="91" t="s">
        <v>7732</v>
      </c>
      <c r="J1377" s="136" t="s">
        <v>7733</v>
      </c>
      <c r="K1377" s="83" t="s">
        <v>315</v>
      </c>
      <c r="L1377" s="83" t="s">
        <v>168</v>
      </c>
      <c r="M1377" s="83" t="s">
        <v>169</v>
      </c>
      <c r="N1377" s="115" t="s">
        <v>170</v>
      </c>
      <c r="O1377" s="98" t="s">
        <v>155</v>
      </c>
      <c r="P1377" s="99" t="str">
        <f>IFERROR(__xludf.DUMMYFUNCTION("IFERROR(VLOOKUP(AS1377,IMPORTRANGE(""https://docs.google.com/spreadsheets/d/1juPI-Fb8LD0YtltB2mlGEnp_R3UVu1t3wSFPzgCyHXE/edit?gid=0#gid=0"",""GERAL!A2:C""),3,0),""-"")"),"-")</f>
        <v>-</v>
      </c>
      <c r="Q1377" s="83"/>
      <c r="R1377" s="83"/>
      <c r="S1377" s="83"/>
      <c r="T1377" s="83"/>
      <c r="U1377" s="83"/>
      <c r="V1377" s="83"/>
      <c r="W1377" s="83"/>
      <c r="X1377" s="83"/>
      <c r="Y1377" s="83"/>
      <c r="Z1377" s="83"/>
      <c r="AA1377" s="83"/>
      <c r="AB1377" s="83"/>
      <c r="AC1377" s="83"/>
      <c r="AD1377" s="83"/>
      <c r="AE1377" s="83"/>
      <c r="AF1377" s="83"/>
      <c r="AG1377" s="83"/>
      <c r="AH1377" s="83"/>
      <c r="AI1377" s="83"/>
      <c r="AJ1377" s="83"/>
      <c r="AK1377" s="83"/>
      <c r="AL1377" s="83"/>
      <c r="AM1377" s="83"/>
      <c r="AN1377" s="83"/>
      <c r="AO1377" s="83"/>
      <c r="AP1377" s="83"/>
      <c r="AQ1377" s="83"/>
      <c r="AR1377" s="83"/>
      <c r="AS1377" s="83">
        <v>1178983.0</v>
      </c>
    </row>
    <row r="1378" ht="15.75" customHeight="1">
      <c r="A1378" s="111" t="s">
        <v>1707</v>
      </c>
      <c r="B1378" s="83" t="s">
        <v>7735</v>
      </c>
      <c r="C1378" s="83" t="s">
        <v>68</v>
      </c>
      <c r="D1378" s="112">
        <v>1121172.0</v>
      </c>
      <c r="E1378" s="83"/>
      <c r="F1378" s="83">
        <v>2.905091E7</v>
      </c>
      <c r="G1378" s="91" t="str">
        <f>IFERROR(__xludf.DUMMYFUNCTION("XLOOKUP(AS1378,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CECENTINO PEREIRA MAIA")</f>
        <v>COLÉGIO ESTADUAL DE TEMPO INTEGRAL CECENTINO PEREIRA MAIA</v>
      </c>
      <c r="H1378" s="119" t="s">
        <v>7736</v>
      </c>
      <c r="I1378" s="91" t="s">
        <v>7737</v>
      </c>
      <c r="J1378" s="83" t="s">
        <v>149</v>
      </c>
      <c r="K1378" s="83" t="s">
        <v>150</v>
      </c>
      <c r="L1378" s="83" t="s">
        <v>151</v>
      </c>
      <c r="M1378" s="98" t="s">
        <v>152</v>
      </c>
      <c r="N1378" s="137" t="s">
        <v>7738</v>
      </c>
      <c r="O1378" s="98" t="s">
        <v>155</v>
      </c>
      <c r="P1378" s="99" t="str">
        <f>IFERROR(__xludf.DUMMYFUNCTION("IFERROR(VLOOKUP(AS1378,IMPORTRANGE(""https://docs.google.com/spreadsheets/d/1juPI-Fb8LD0YtltB2mlGEnp_R3UVu1t3wSFPzgCyHXE/edit?gid=0#gid=0"",""GERAL!A2:C""),3,0),""-"")"),"-")</f>
        <v>-</v>
      </c>
      <c r="Q1378" s="83"/>
      <c r="R1378" s="83"/>
      <c r="S1378" s="83"/>
      <c r="T1378" s="83"/>
      <c r="U1378" s="83"/>
      <c r="V1378" s="83"/>
      <c r="W1378" s="83"/>
      <c r="X1378" s="83"/>
      <c r="Y1378" s="83"/>
      <c r="Z1378" s="83"/>
      <c r="AA1378" s="83"/>
      <c r="AB1378" s="83"/>
      <c r="AC1378" s="83"/>
      <c r="AD1378" s="83"/>
      <c r="AE1378" s="83"/>
      <c r="AF1378" s="83"/>
      <c r="AG1378" s="83"/>
      <c r="AH1378" s="83"/>
      <c r="AI1378" s="83"/>
      <c r="AJ1378" s="83"/>
      <c r="AK1378" s="83"/>
      <c r="AL1378" s="83"/>
      <c r="AM1378" s="83"/>
      <c r="AN1378" s="83"/>
      <c r="AO1378" s="83"/>
      <c r="AP1378" s="83"/>
      <c r="AQ1378" s="83"/>
      <c r="AR1378" s="83"/>
      <c r="AS1378" s="83">
        <v>1121172.0</v>
      </c>
    </row>
    <row r="1379" ht="15.75" customHeight="1">
      <c r="A1379" s="111" t="s">
        <v>1707</v>
      </c>
      <c r="B1379" s="83" t="s">
        <v>7739</v>
      </c>
      <c r="C1379" s="83" t="s">
        <v>68</v>
      </c>
      <c r="D1379" s="112">
        <v>1120257.0</v>
      </c>
      <c r="E1379" s="83"/>
      <c r="F1379" s="83">
        <v>2.9053544E7</v>
      </c>
      <c r="G1379" s="91" t="str">
        <f>IFERROR(__xludf.DUMMYFUNCTION("XLOOKUP(AS1379,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PETRONIO PORTELA - DISTRITO DE PILAR - EM TEMPO INTEGRAL")</f>
        <v>COLÉGIO ESTADUAL DO CAMPO PETRONIO PORTELA - DISTRITO DE PILAR - EM TEMPO INTEGRAL</v>
      </c>
      <c r="H1379" s="184" t="s">
        <v>7741</v>
      </c>
      <c r="I1379" s="91" t="s">
        <v>7742</v>
      </c>
      <c r="J1379" s="83" t="s">
        <v>7743</v>
      </c>
      <c r="K1379" s="83" t="s">
        <v>3345</v>
      </c>
      <c r="L1379" s="83" t="s">
        <v>151</v>
      </c>
      <c r="M1379" s="98" t="s">
        <v>152</v>
      </c>
      <c r="N1379" s="137" t="s">
        <v>7744</v>
      </c>
      <c r="O1379" s="98" t="s">
        <v>155</v>
      </c>
      <c r="P1379" s="99" t="str">
        <f>IFERROR(__xludf.DUMMYFUNCTION("IFERROR(VLOOKUP(AS1379,IMPORTRANGE(""https://docs.google.com/spreadsheets/d/1juPI-Fb8LD0YtltB2mlGEnp_R3UVu1t3wSFPzgCyHXE/edit?gid=0#gid=0"",""GERAL!A2:C""),3,0),""-"")"),"CAMPO")</f>
        <v>CAMPO</v>
      </c>
      <c r="Q1379" s="83"/>
      <c r="R1379" s="83"/>
      <c r="S1379" s="83"/>
      <c r="T1379" s="83"/>
      <c r="U1379" s="83"/>
      <c r="V1379" s="83"/>
      <c r="W1379" s="83"/>
      <c r="X1379" s="83"/>
      <c r="Y1379" s="83"/>
      <c r="Z1379" s="83"/>
      <c r="AA1379" s="83"/>
      <c r="AB1379" s="83"/>
      <c r="AC1379" s="83"/>
      <c r="AD1379" s="83"/>
      <c r="AE1379" s="83"/>
      <c r="AF1379" s="83"/>
      <c r="AG1379" s="83"/>
      <c r="AH1379" s="83"/>
      <c r="AI1379" s="83"/>
      <c r="AJ1379" s="83"/>
      <c r="AK1379" s="83"/>
      <c r="AL1379" s="83"/>
      <c r="AM1379" s="83"/>
      <c r="AN1379" s="83"/>
      <c r="AO1379" s="83"/>
      <c r="AP1379" s="83"/>
      <c r="AQ1379" s="83"/>
      <c r="AR1379" s="83"/>
      <c r="AS1379" s="83">
        <v>1120257.0</v>
      </c>
    </row>
    <row r="1380" ht="15.75" customHeight="1">
      <c r="A1380" s="111" t="s">
        <v>1707</v>
      </c>
      <c r="B1380" s="83" t="s">
        <v>7739</v>
      </c>
      <c r="C1380" s="83" t="s">
        <v>68</v>
      </c>
      <c r="D1380" s="112">
        <v>1176700.0</v>
      </c>
      <c r="E1380" s="83"/>
      <c r="F1380" s="83">
        <v>2.9419468E7</v>
      </c>
      <c r="G1380" s="91" t="str">
        <f>IFERROR(__xludf.DUMMYFUNCTION("XLOOKUP(AS1380,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DO PIEMONTE N DO ITAPICURU - TEMPO INTEGRAL")</f>
        <v>CENTRO TERRITORIAL DE EDUCACAO PROFISSIONAL DO PIEMONTE N DO ITAPICURU - TEMPO INTEGRAL</v>
      </c>
      <c r="H1380" s="185" t="s">
        <v>7746</v>
      </c>
      <c r="I1380" s="91" t="s">
        <v>7747</v>
      </c>
      <c r="J1380" s="83" t="s">
        <v>149</v>
      </c>
      <c r="K1380" s="83" t="s">
        <v>150</v>
      </c>
      <c r="L1380" s="83" t="s">
        <v>151</v>
      </c>
      <c r="M1380" s="83" t="s">
        <v>230</v>
      </c>
      <c r="N1380" s="137" t="s">
        <v>7748</v>
      </c>
      <c r="O1380" s="98" t="s">
        <v>162</v>
      </c>
      <c r="P1380" s="99" t="str">
        <f>IFERROR(__xludf.DUMMYFUNCTION("IFERROR(VLOOKUP(AS1380,IMPORTRANGE(""https://docs.google.com/spreadsheets/d/1juPI-Fb8LD0YtltB2mlGEnp_R3UVu1t3wSFPzgCyHXE/edit?gid=0#gid=0"",""GERAL!A2:C""),3,0),""-"")"),"-")</f>
        <v>-</v>
      </c>
      <c r="Q1380" s="83"/>
      <c r="R1380" s="83"/>
      <c r="S1380" s="83"/>
      <c r="T1380" s="83"/>
      <c r="U1380" s="83"/>
      <c r="V1380" s="83"/>
      <c r="W1380" s="83"/>
      <c r="X1380" s="83"/>
      <c r="Y1380" s="83"/>
      <c r="Z1380" s="83"/>
      <c r="AA1380" s="83"/>
      <c r="AB1380" s="83"/>
      <c r="AC1380" s="83"/>
      <c r="AD1380" s="83"/>
      <c r="AE1380" s="83"/>
      <c r="AF1380" s="83"/>
      <c r="AG1380" s="83"/>
      <c r="AH1380" s="83"/>
      <c r="AI1380" s="83"/>
      <c r="AJ1380" s="83"/>
      <c r="AK1380" s="83"/>
      <c r="AL1380" s="83"/>
      <c r="AM1380" s="83"/>
      <c r="AN1380" s="83"/>
      <c r="AO1380" s="83"/>
      <c r="AP1380" s="83"/>
      <c r="AQ1380" s="83"/>
      <c r="AR1380" s="83"/>
      <c r="AS1380" s="83">
        <v>1176700.0</v>
      </c>
    </row>
    <row r="1381" ht="15.75" customHeight="1">
      <c r="A1381" s="111" t="s">
        <v>1707</v>
      </c>
      <c r="B1381" s="83" t="s">
        <v>7739</v>
      </c>
      <c r="C1381" s="83" t="s">
        <v>164</v>
      </c>
      <c r="D1381" s="112">
        <v>1179286.0</v>
      </c>
      <c r="E1381" s="83">
        <v>1179000.0</v>
      </c>
      <c r="F1381" s="83"/>
      <c r="G1381" s="91" t="str">
        <f>IFERROR(__xludf.DUMMYFUNCTION("XLOOKUP(AS1381,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PIEMONTE NORTE DO ITAPICURU - DISTRITO DE SANTA ROSA DE LIMA")</f>
        <v>ANEXO - CEMIT - PIEMONTE NORTE DO ITAPICURU - DISTRITO DE SANTA ROSA DE LIMA</v>
      </c>
      <c r="H1381" s="114" t="s">
        <v>7750</v>
      </c>
      <c r="I1381" s="91" t="s">
        <v>7751</v>
      </c>
      <c r="J1381" s="136" t="s">
        <v>7752</v>
      </c>
      <c r="K1381" s="83" t="s">
        <v>568</v>
      </c>
      <c r="L1381" s="83" t="s">
        <v>168</v>
      </c>
      <c r="M1381" s="83" t="s">
        <v>169</v>
      </c>
      <c r="N1381" s="115" t="s">
        <v>170</v>
      </c>
      <c r="O1381" s="98" t="s">
        <v>155</v>
      </c>
      <c r="P1381" s="99" t="str">
        <f>IFERROR(__xludf.DUMMYFUNCTION("IFERROR(VLOOKUP(AS1381,IMPORTRANGE(""https://docs.google.com/spreadsheets/d/1juPI-Fb8LD0YtltB2mlGEnp_R3UVu1t3wSFPzgCyHXE/edit?gid=0#gid=0"",""GERAL!A2:C""),3,0),""-"")"),"-")</f>
        <v>-</v>
      </c>
      <c r="Q1381" s="83"/>
      <c r="R1381" s="83"/>
      <c r="S1381" s="83"/>
      <c r="T1381" s="83"/>
      <c r="U1381" s="83"/>
      <c r="V1381" s="83"/>
      <c r="W1381" s="83"/>
      <c r="X1381" s="83"/>
      <c r="Y1381" s="83"/>
      <c r="Z1381" s="83"/>
      <c r="AA1381" s="83"/>
      <c r="AB1381" s="83"/>
      <c r="AC1381" s="83"/>
      <c r="AD1381" s="83"/>
      <c r="AE1381" s="83"/>
      <c r="AF1381" s="83"/>
      <c r="AG1381" s="83"/>
      <c r="AH1381" s="83"/>
      <c r="AI1381" s="83"/>
      <c r="AJ1381" s="83"/>
      <c r="AK1381" s="83"/>
      <c r="AL1381" s="83"/>
      <c r="AM1381" s="83"/>
      <c r="AN1381" s="83"/>
      <c r="AO1381" s="83"/>
      <c r="AP1381" s="83"/>
      <c r="AQ1381" s="83"/>
      <c r="AR1381" s="83"/>
      <c r="AS1381" s="83">
        <v>1179000.0</v>
      </c>
    </row>
    <row r="1382" ht="15.75" customHeight="1">
      <c r="A1382" s="111" t="s">
        <v>1707</v>
      </c>
      <c r="B1382" s="83" t="s">
        <v>7739</v>
      </c>
      <c r="C1382" s="83" t="s">
        <v>164</v>
      </c>
      <c r="D1382" s="112">
        <v>1179286.0</v>
      </c>
      <c r="E1382" s="83">
        <v>1178998.0</v>
      </c>
      <c r="F1382" s="83"/>
      <c r="G1382" s="91" t="str">
        <f>IFERROR(__xludf.DUMMYFUNCTION("XLOOKUP(AS1382,
IMPORTRANGE(""https://docs.google.com/spreadsheets/d/1YM-djuOLXomrZ9W0B4TyIBsVWnXY4EIOFD9HY-qGfv0/edit?usp=sharing"",""GERAL!BG5:BG""),
IMPORTRANGE(""https://docs.google.com/spreadsheets/d/1YM-djuOLXomrZ9W0B4TyIBsVWnXY4EIOFD9HY-qGfv0/edit?"&amp;"usp=sharing"",""GERAL!G5:G""),
""CÓD. SEC NÃO ENCONTRADO NA PLANILHA DE MATRÍCULA"")"),"ANEXO - CEMIT - PIEMONTE NORTE DO ITAPICURU - DISTRITO DE FLAMENGO")</f>
        <v>ANEXO - CEMIT - PIEMONTE NORTE DO ITAPICURU - DISTRITO DE FLAMENGO</v>
      </c>
      <c r="H1382" s="114" t="s">
        <v>7753</v>
      </c>
      <c r="I1382" s="91" t="s">
        <v>7754</v>
      </c>
      <c r="J1382" s="136" t="s">
        <v>7755</v>
      </c>
      <c r="K1382" s="83" t="s">
        <v>315</v>
      </c>
      <c r="L1382" s="83" t="s">
        <v>168</v>
      </c>
      <c r="M1382" s="83" t="s">
        <v>169</v>
      </c>
      <c r="N1382" s="115" t="s">
        <v>170</v>
      </c>
      <c r="O1382" s="98" t="s">
        <v>155</v>
      </c>
      <c r="P1382" s="99" t="str">
        <f>IFERROR(__xludf.DUMMYFUNCTION("IFERROR(VLOOKUP(AS1382,IMPORTRANGE(""https://docs.google.com/spreadsheets/d/1juPI-Fb8LD0YtltB2mlGEnp_R3UVu1t3wSFPzgCyHXE/edit?gid=0#gid=0"",""GERAL!A2:C""),3,0),""-"")"),"-")</f>
        <v>-</v>
      </c>
      <c r="Q1382" s="83"/>
      <c r="R1382" s="83"/>
      <c r="S1382" s="83"/>
      <c r="T1382" s="83"/>
      <c r="U1382" s="83"/>
      <c r="V1382" s="83"/>
      <c r="W1382" s="83"/>
      <c r="X1382" s="83"/>
      <c r="Y1382" s="83"/>
      <c r="Z1382" s="83"/>
      <c r="AA1382" s="83"/>
      <c r="AB1382" s="83"/>
      <c r="AC1382" s="83"/>
      <c r="AD1382" s="83"/>
      <c r="AE1382" s="83"/>
      <c r="AF1382" s="83"/>
      <c r="AG1382" s="83"/>
      <c r="AH1382" s="83"/>
      <c r="AI1382" s="83"/>
      <c r="AJ1382" s="83"/>
      <c r="AK1382" s="83"/>
      <c r="AL1382" s="83"/>
      <c r="AM1382" s="83"/>
      <c r="AN1382" s="83"/>
      <c r="AO1382" s="83"/>
      <c r="AP1382" s="83"/>
      <c r="AQ1382" s="83"/>
      <c r="AR1382" s="83"/>
      <c r="AS1382" s="83">
        <v>1178998.0</v>
      </c>
    </row>
    <row r="1383" ht="15.75" customHeight="1">
      <c r="A1383" s="111" t="s">
        <v>1707</v>
      </c>
      <c r="B1383" s="83" t="s">
        <v>7757</v>
      </c>
      <c r="C1383" s="83" t="s">
        <v>68</v>
      </c>
      <c r="D1383" s="112">
        <v>1140452.0</v>
      </c>
      <c r="E1383" s="83"/>
      <c r="F1383" s="83">
        <v>2.9055075E7</v>
      </c>
      <c r="G1383" s="91" t="str">
        <f>IFERROR(__xludf.DUMMYFUNCTION("XLOOKUP(AS1383,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DE CARNAÍBA - DISTRITO DE CARNAIBA")</f>
        <v>COLÉGIO ESTADUAL DO CAMPO  DE TEMPO INTEGRAL DE CARNAÍBA - DISTRITO DE CARNAIBA</v>
      </c>
      <c r="H1383" s="184" t="s">
        <v>7758</v>
      </c>
      <c r="I1383" s="91" t="s">
        <v>7759</v>
      </c>
      <c r="J1383" s="83" t="s">
        <v>149</v>
      </c>
      <c r="K1383" s="83" t="s">
        <v>240</v>
      </c>
      <c r="L1383" s="83" t="s">
        <v>151</v>
      </c>
      <c r="M1383" s="98" t="s">
        <v>76</v>
      </c>
      <c r="N1383" s="137" t="s">
        <v>7760</v>
      </c>
      <c r="O1383" s="98" t="s">
        <v>155</v>
      </c>
      <c r="P1383" s="99" t="str">
        <f>IFERROR(__xludf.DUMMYFUNCTION("IFERROR(VLOOKUP(AS1383,IMPORTRANGE(""https://docs.google.com/spreadsheets/d/1juPI-Fb8LD0YtltB2mlGEnp_R3UVu1t3wSFPzgCyHXE/edit?gid=0#gid=0"",""GERAL!A2:C""),3,0),""-"")"),"CAMPO")</f>
        <v>CAMPO</v>
      </c>
      <c r="Q1383" s="98" t="s">
        <v>171</v>
      </c>
      <c r="R1383" s="98">
        <v>7.0</v>
      </c>
      <c r="S1383" s="98">
        <v>0.0</v>
      </c>
      <c r="T1383" s="98">
        <v>0.0</v>
      </c>
      <c r="U1383" s="98">
        <v>0.0</v>
      </c>
      <c r="V1383" s="98">
        <v>0.0</v>
      </c>
      <c r="W1383" s="98">
        <v>1.0</v>
      </c>
      <c r="X1383" s="98">
        <v>0.0</v>
      </c>
      <c r="Y1383" s="98">
        <v>0.0</v>
      </c>
      <c r="Z1383" s="98">
        <v>0.0</v>
      </c>
      <c r="AA1383" s="98">
        <v>0.0</v>
      </c>
      <c r="AB1383" s="98">
        <v>0.0</v>
      </c>
      <c r="AC1383" s="98">
        <v>0.0</v>
      </c>
      <c r="AD1383" s="98">
        <v>0.0</v>
      </c>
      <c r="AE1383" s="98">
        <v>0.0</v>
      </c>
      <c r="AF1383" s="98">
        <v>0.0</v>
      </c>
      <c r="AG1383" s="98">
        <v>0.0</v>
      </c>
      <c r="AH1383" s="98">
        <v>0.0</v>
      </c>
      <c r="AI1383" s="98">
        <v>0.0</v>
      </c>
      <c r="AJ1383" s="98">
        <v>0.0</v>
      </c>
      <c r="AK1383" s="98">
        <v>0.0</v>
      </c>
      <c r="AL1383" s="98">
        <v>0.0</v>
      </c>
      <c r="AM1383" s="98">
        <v>0.0</v>
      </c>
      <c r="AN1383" s="98">
        <v>0.0</v>
      </c>
      <c r="AO1383" s="98">
        <v>0.0</v>
      </c>
      <c r="AP1383" s="98">
        <v>1.0</v>
      </c>
      <c r="AQ1383" s="98" t="s">
        <v>7762</v>
      </c>
      <c r="AR1383" s="102">
        <v>46253.0</v>
      </c>
      <c r="AS1383" s="83">
        <v>1140452.0</v>
      </c>
    </row>
    <row r="1384" ht="15.75" customHeight="1">
      <c r="A1384" s="111" t="s">
        <v>1707</v>
      </c>
      <c r="B1384" s="83" t="s">
        <v>7757</v>
      </c>
      <c r="C1384" s="83" t="s">
        <v>68</v>
      </c>
      <c r="D1384" s="112">
        <v>1144032.0</v>
      </c>
      <c r="E1384" s="83"/>
      <c r="F1384" s="83">
        <v>2.9055067E7</v>
      </c>
      <c r="G1384" s="91" t="str">
        <f>IFERROR(__xludf.DUMMYFUNCTION("XLOOKUP(AS1384,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PINDOBAÇU")</f>
        <v>COLÉGIO ESTADUAL DE TEMPO INTEGRAL DE PINDOBAÇU</v>
      </c>
      <c r="H1384" s="184" t="s">
        <v>7763</v>
      </c>
      <c r="I1384" s="91" t="s">
        <v>7764</v>
      </c>
      <c r="J1384" s="83" t="s">
        <v>149</v>
      </c>
      <c r="K1384" s="83" t="s">
        <v>150</v>
      </c>
      <c r="L1384" s="83" t="s">
        <v>151</v>
      </c>
      <c r="M1384" s="83" t="s">
        <v>152</v>
      </c>
      <c r="N1384" s="171" t="s">
        <v>7765</v>
      </c>
      <c r="O1384" s="98" t="s">
        <v>155</v>
      </c>
      <c r="P1384" s="99" t="str">
        <f>IFERROR(__xludf.DUMMYFUNCTION("IFERROR(VLOOKUP(AS1384,IMPORTRANGE(""https://docs.google.com/spreadsheets/d/1juPI-Fb8LD0YtltB2mlGEnp_R3UVu1t3wSFPzgCyHXE/edit?gid=0#gid=0"",""GERAL!A2:C""),3,0),""-"")"),"-")</f>
        <v>-</v>
      </c>
      <c r="Q1384" s="101" t="s">
        <v>156</v>
      </c>
      <c r="R1384" s="98">
        <v>12.0</v>
      </c>
      <c r="S1384" s="98">
        <v>0.0</v>
      </c>
      <c r="T1384" s="98">
        <v>2.0</v>
      </c>
      <c r="U1384" s="98">
        <v>0.0</v>
      </c>
      <c r="V1384" s="98">
        <v>1.0</v>
      </c>
      <c r="W1384" s="98">
        <v>3.0</v>
      </c>
      <c r="X1384" s="98">
        <v>1.0</v>
      </c>
      <c r="Y1384" s="98">
        <v>0.0</v>
      </c>
      <c r="Z1384" s="98">
        <v>1.0</v>
      </c>
      <c r="AA1384" s="98">
        <v>0.0</v>
      </c>
      <c r="AB1384" s="98">
        <v>1.0</v>
      </c>
      <c r="AC1384" s="98">
        <v>0.0</v>
      </c>
      <c r="AD1384" s="98">
        <v>0.0</v>
      </c>
      <c r="AE1384" s="98">
        <v>0.0</v>
      </c>
      <c r="AF1384" s="98">
        <v>1.0</v>
      </c>
      <c r="AG1384" s="98">
        <v>0.0</v>
      </c>
      <c r="AH1384" s="98">
        <v>0.0</v>
      </c>
      <c r="AI1384" s="98">
        <v>0.0</v>
      </c>
      <c r="AJ1384" s="98">
        <v>0.0</v>
      </c>
      <c r="AK1384" s="98">
        <v>1.0</v>
      </c>
      <c r="AL1384" s="98">
        <v>0.0</v>
      </c>
      <c r="AM1384" s="98">
        <v>0.0</v>
      </c>
      <c r="AN1384" s="98">
        <v>0.0</v>
      </c>
      <c r="AO1384" s="98">
        <v>0.0</v>
      </c>
      <c r="AP1384" s="98">
        <v>0.0</v>
      </c>
      <c r="AQ1384" s="98" t="s">
        <v>7767</v>
      </c>
      <c r="AR1384" s="102">
        <v>46206.0</v>
      </c>
      <c r="AS1384" s="83">
        <v>1144032.0</v>
      </c>
    </row>
    <row r="1385" ht="15.75" customHeight="1">
      <c r="A1385" s="111" t="s">
        <v>1707</v>
      </c>
      <c r="B1385" s="83" t="s">
        <v>7757</v>
      </c>
      <c r="C1385" s="83" t="s">
        <v>164</v>
      </c>
      <c r="D1385" s="112">
        <v>1179286.0</v>
      </c>
      <c r="E1385" s="83">
        <v>1179467.0</v>
      </c>
      <c r="F1385" s="83"/>
      <c r="G1385" s="91" t="str">
        <f>IFERROR(__xludf.DUMMYFUNCTION("XLOOKUP(AS1385,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CEMIT PIEMONTE NORTE DO ITAPICURU POVOADO DE BANANEIRAS-COMUNIDADE QUILOMBOLA")</f>
        <v>ANEXO DO CEMIT PIEMONTE NORTE DO ITAPICURU POVOADO DE BANANEIRAS-COMUNIDADE QUILOMBOLA</v>
      </c>
      <c r="H1385" s="185" t="s">
        <v>7769</v>
      </c>
      <c r="I1385" s="91" t="s">
        <v>7770</v>
      </c>
      <c r="J1385" s="83" t="s">
        <v>149</v>
      </c>
      <c r="K1385" s="83" t="s">
        <v>641</v>
      </c>
      <c r="L1385" s="83" t="s">
        <v>168</v>
      </c>
      <c r="M1385" s="83" t="s">
        <v>169</v>
      </c>
      <c r="N1385" s="115" t="s">
        <v>170</v>
      </c>
      <c r="O1385" s="98" t="s">
        <v>155</v>
      </c>
      <c r="P1385" s="99" t="str">
        <f>IFERROR(__xludf.DUMMYFUNCTION("IFERROR(VLOOKUP(AS1385,IMPORTRANGE(""https://docs.google.com/spreadsheets/d/1juPI-Fb8LD0YtltB2mlGEnp_R3UVu1t3wSFPzgCyHXE/edit?gid=0#gid=0"",""GERAL!A2:C""),3,0),""-"")"),"QUILOMBOLAS")</f>
        <v>QUILOMBOLAS</v>
      </c>
      <c r="Q1385" s="98" t="s">
        <v>171</v>
      </c>
      <c r="R1385" s="98">
        <v>2.0</v>
      </c>
      <c r="S1385" s="98" t="s">
        <v>171</v>
      </c>
      <c r="T1385" s="98" t="s">
        <v>171</v>
      </c>
      <c r="U1385" s="98" t="s">
        <v>171</v>
      </c>
      <c r="V1385" s="98" t="s">
        <v>171</v>
      </c>
      <c r="W1385" s="98" t="s">
        <v>171</v>
      </c>
      <c r="X1385" s="98" t="s">
        <v>171</v>
      </c>
      <c r="Y1385" s="98" t="s">
        <v>171</v>
      </c>
      <c r="Z1385" s="98" t="s">
        <v>171</v>
      </c>
      <c r="AA1385" s="98" t="s">
        <v>171</v>
      </c>
      <c r="AB1385" s="98" t="s">
        <v>171</v>
      </c>
      <c r="AC1385" s="98" t="s">
        <v>171</v>
      </c>
      <c r="AD1385" s="98" t="s">
        <v>171</v>
      </c>
      <c r="AE1385" s="98" t="s">
        <v>171</v>
      </c>
      <c r="AF1385" s="98" t="s">
        <v>171</v>
      </c>
      <c r="AG1385" s="98" t="s">
        <v>171</v>
      </c>
      <c r="AH1385" s="98" t="s">
        <v>171</v>
      </c>
      <c r="AI1385" s="98" t="s">
        <v>171</v>
      </c>
      <c r="AJ1385" s="98" t="s">
        <v>171</v>
      </c>
      <c r="AK1385" s="98" t="s">
        <v>171</v>
      </c>
      <c r="AL1385" s="98" t="s">
        <v>171</v>
      </c>
      <c r="AM1385" s="98" t="s">
        <v>171</v>
      </c>
      <c r="AN1385" s="98" t="s">
        <v>171</v>
      </c>
      <c r="AO1385" s="98" t="s">
        <v>171</v>
      </c>
      <c r="AP1385" s="98" t="s">
        <v>171</v>
      </c>
      <c r="AQ1385" s="98" t="s">
        <v>171</v>
      </c>
      <c r="AR1385" s="102">
        <v>46206.0</v>
      </c>
      <c r="AS1385" s="83">
        <v>1179467.0</v>
      </c>
    </row>
    <row r="1386" ht="15.75" customHeight="1">
      <c r="A1386" s="111" t="s">
        <v>1707</v>
      </c>
      <c r="B1386" s="83" t="s">
        <v>7757</v>
      </c>
      <c r="C1386" s="83" t="s">
        <v>164</v>
      </c>
      <c r="D1386" s="112">
        <v>1179286.0</v>
      </c>
      <c r="E1386" s="83">
        <v>1179469.0</v>
      </c>
      <c r="F1386" s="83"/>
      <c r="G1386" s="91" t="str">
        <f>IFERROR(__xludf.DUMMYFUNCTION("XLOOKUP(AS1386,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CEMIT PIEMONTE NORTE DO ITAPICURU - POVOADO DE LAGINHA-COMUNIDADE QUILOMBOLA")</f>
        <v>ANEXO DO CEMIT PIEMONTE NORTE DO ITAPICURU - POVOADO DE LAGINHA-COMUNIDADE QUILOMBOLA</v>
      </c>
      <c r="H1386" s="185" t="s">
        <v>7772</v>
      </c>
      <c r="I1386" s="91" t="s">
        <v>7773</v>
      </c>
      <c r="J1386" s="83" t="s">
        <v>149</v>
      </c>
      <c r="K1386" s="83" t="s">
        <v>1074</v>
      </c>
      <c r="L1386" s="83" t="s">
        <v>168</v>
      </c>
      <c r="M1386" s="83" t="s">
        <v>169</v>
      </c>
      <c r="N1386" s="115" t="s">
        <v>170</v>
      </c>
      <c r="O1386" s="98" t="s">
        <v>155</v>
      </c>
      <c r="P1386" s="99" t="str">
        <f>IFERROR(__xludf.DUMMYFUNCTION("IFERROR(VLOOKUP(AS1386,IMPORTRANGE(""https://docs.google.com/spreadsheets/d/1juPI-Fb8LD0YtltB2mlGEnp_R3UVu1t3wSFPzgCyHXE/edit?gid=0#gid=0"",""GERAL!A2:C""),3,0),""-"")"),"QUILOMBOLAS")</f>
        <v>QUILOMBOLAS</v>
      </c>
      <c r="Q1386" s="98" t="s">
        <v>171</v>
      </c>
      <c r="R1386" s="98">
        <v>2.0</v>
      </c>
      <c r="S1386" s="98" t="s">
        <v>171</v>
      </c>
      <c r="T1386" s="98" t="s">
        <v>171</v>
      </c>
      <c r="U1386" s="98" t="s">
        <v>171</v>
      </c>
      <c r="V1386" s="98" t="s">
        <v>171</v>
      </c>
      <c r="W1386" s="98" t="s">
        <v>171</v>
      </c>
      <c r="X1386" s="98" t="s">
        <v>171</v>
      </c>
      <c r="Y1386" s="98" t="s">
        <v>171</v>
      </c>
      <c r="Z1386" s="98" t="s">
        <v>171</v>
      </c>
      <c r="AA1386" s="98" t="s">
        <v>171</v>
      </c>
      <c r="AB1386" s="98" t="s">
        <v>171</v>
      </c>
      <c r="AC1386" s="98" t="s">
        <v>171</v>
      </c>
      <c r="AD1386" s="98" t="s">
        <v>171</v>
      </c>
      <c r="AE1386" s="98" t="s">
        <v>171</v>
      </c>
      <c r="AF1386" s="98" t="s">
        <v>171</v>
      </c>
      <c r="AG1386" s="98" t="s">
        <v>171</v>
      </c>
      <c r="AH1386" s="98" t="s">
        <v>171</v>
      </c>
      <c r="AI1386" s="98" t="s">
        <v>171</v>
      </c>
      <c r="AJ1386" s="98" t="s">
        <v>171</v>
      </c>
      <c r="AK1386" s="98" t="s">
        <v>171</v>
      </c>
      <c r="AL1386" s="98" t="s">
        <v>171</v>
      </c>
      <c r="AM1386" s="98" t="s">
        <v>171</v>
      </c>
      <c r="AN1386" s="98" t="s">
        <v>171</v>
      </c>
      <c r="AO1386" s="98" t="s">
        <v>171</v>
      </c>
      <c r="AP1386" s="98" t="s">
        <v>171</v>
      </c>
      <c r="AQ1386" s="98" t="s">
        <v>171</v>
      </c>
      <c r="AR1386" s="102">
        <v>46206.0</v>
      </c>
      <c r="AS1386" s="83">
        <v>1179469.0</v>
      </c>
    </row>
    <row r="1387" ht="15.75" customHeight="1">
      <c r="A1387" s="111" t="s">
        <v>1707</v>
      </c>
      <c r="B1387" s="83" t="s">
        <v>7774</v>
      </c>
      <c r="C1387" s="83" t="s">
        <v>68</v>
      </c>
      <c r="D1387" s="112">
        <v>1164947.0</v>
      </c>
      <c r="E1387" s="83"/>
      <c r="F1387" s="83">
        <v>2.9076846E7</v>
      </c>
      <c r="G1387" s="91" t="str">
        <f>IFERROR(__xludf.DUMMYFUNCTION("XLOOKUP(AS1387,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NELSON MAIA")</f>
        <v>COLÉGIO ESTADUAL DE TEMPO INTEGRAL NELSON MAIA</v>
      </c>
      <c r="H1387" s="119" t="s">
        <v>7775</v>
      </c>
      <c r="I1387" s="91" t="s">
        <v>7776</v>
      </c>
      <c r="J1387" s="136" t="s">
        <v>149</v>
      </c>
      <c r="K1387" s="136" t="s">
        <v>150</v>
      </c>
      <c r="L1387" s="83" t="s">
        <v>151</v>
      </c>
      <c r="M1387" s="83" t="s">
        <v>152</v>
      </c>
      <c r="N1387" s="98" t="s">
        <v>7777</v>
      </c>
      <c r="O1387" s="98" t="s">
        <v>162</v>
      </c>
      <c r="P1387" s="99" t="str">
        <f>IFERROR(__xludf.DUMMYFUNCTION("IFERROR(VLOOKUP(AS1387,IMPORTRANGE(""https://docs.google.com/spreadsheets/d/1juPI-Fb8LD0YtltB2mlGEnp_R3UVu1t3wSFPzgCyHXE/edit?gid=0#gid=0"",""GERAL!A2:C""),3,0),""-"")"),"-")</f>
        <v>-</v>
      </c>
      <c r="Q1387" s="101" t="s">
        <v>156</v>
      </c>
      <c r="R1387" s="98">
        <v>11.0</v>
      </c>
      <c r="S1387" s="98">
        <v>1.0</v>
      </c>
      <c r="T1387" s="98">
        <v>1.0</v>
      </c>
      <c r="U1387" s="98">
        <v>0.0</v>
      </c>
      <c r="V1387" s="98">
        <v>1.0</v>
      </c>
      <c r="W1387" s="98">
        <v>3.0</v>
      </c>
      <c r="X1387" s="98">
        <v>1.0</v>
      </c>
      <c r="Y1387" s="98">
        <v>0.0</v>
      </c>
      <c r="Z1387" s="98">
        <v>1.0</v>
      </c>
      <c r="AA1387" s="98">
        <v>0.0</v>
      </c>
      <c r="AB1387" s="98">
        <v>1.0</v>
      </c>
      <c r="AC1387" s="98">
        <v>0.0</v>
      </c>
      <c r="AD1387" s="98">
        <v>1.0</v>
      </c>
      <c r="AE1387" s="98">
        <v>0.0</v>
      </c>
      <c r="AF1387" s="98">
        <v>1.0</v>
      </c>
      <c r="AG1387" s="98">
        <v>0.0</v>
      </c>
      <c r="AH1387" s="98">
        <v>0.0</v>
      </c>
      <c r="AI1387" s="98">
        <v>0.0</v>
      </c>
      <c r="AJ1387" s="98">
        <v>0.0</v>
      </c>
      <c r="AK1387" s="98">
        <v>1.0</v>
      </c>
      <c r="AL1387" s="98">
        <v>0.0</v>
      </c>
      <c r="AM1387" s="98">
        <v>0.0</v>
      </c>
      <c r="AN1387" s="98">
        <v>0.0</v>
      </c>
      <c r="AO1387" s="98">
        <v>0.0</v>
      </c>
      <c r="AP1387" s="98">
        <v>1.0</v>
      </c>
      <c r="AQ1387" s="98" t="s">
        <v>7784</v>
      </c>
      <c r="AR1387" s="102">
        <v>46237.0</v>
      </c>
      <c r="AS1387" s="83">
        <v>1164947.0</v>
      </c>
    </row>
    <row r="1388" ht="15.75" customHeight="1">
      <c r="A1388" s="111" t="s">
        <v>1707</v>
      </c>
      <c r="B1388" s="83" t="s">
        <v>7774</v>
      </c>
      <c r="C1388" s="83" t="s">
        <v>164</v>
      </c>
      <c r="D1388" s="112">
        <v>1164947.0</v>
      </c>
      <c r="E1388" s="83">
        <v>1179001.0</v>
      </c>
      <c r="F1388" s="83"/>
      <c r="G1388" s="91" t="str">
        <f>IFERROR(__xludf.DUMMYFUNCTION("XLOOKUP(AS1388,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NELSON MAIA - DISTRITO DE BARRACAS")</f>
        <v>ANEXO - COLÉGIO ESTADUAL NELSON MAIA - DISTRITO DE BARRACAS</v>
      </c>
      <c r="H1388" s="119" t="s">
        <v>7790</v>
      </c>
      <c r="I1388" s="108" t="s">
        <v>7791</v>
      </c>
      <c r="J1388" s="136" t="s">
        <v>149</v>
      </c>
      <c r="K1388" s="136" t="s">
        <v>5099</v>
      </c>
      <c r="L1388" s="83" t="s">
        <v>168</v>
      </c>
      <c r="M1388" s="83" t="s">
        <v>169</v>
      </c>
      <c r="N1388" s="115" t="s">
        <v>170</v>
      </c>
      <c r="O1388" s="98" t="s">
        <v>155</v>
      </c>
      <c r="P1388" s="99" t="str">
        <f>IFERROR(__xludf.DUMMYFUNCTION("IFERROR(VLOOKUP(AS1388,IMPORTRANGE(""https://docs.google.com/spreadsheets/d/1juPI-Fb8LD0YtltB2mlGEnp_R3UVu1t3wSFPzgCyHXE/edit?gid=0#gid=0"",""GERAL!A2:C""),3,0),""-"")"),"-")</f>
        <v>-</v>
      </c>
      <c r="Q1388" s="101" t="s">
        <v>156</v>
      </c>
      <c r="R1388" s="98">
        <v>3.0</v>
      </c>
      <c r="S1388" s="98">
        <v>0.0</v>
      </c>
      <c r="T1388" s="98">
        <v>1.0</v>
      </c>
      <c r="U1388" s="98">
        <v>0.0</v>
      </c>
      <c r="V1388" s="98">
        <v>0.0</v>
      </c>
      <c r="W1388" s="98">
        <v>0.0</v>
      </c>
      <c r="X1388" s="98">
        <v>0.0</v>
      </c>
      <c r="Y1388" s="98">
        <v>0.0</v>
      </c>
      <c r="Z1388" s="98">
        <v>0.0</v>
      </c>
      <c r="AA1388" s="98">
        <v>0.0</v>
      </c>
      <c r="AB1388" s="98">
        <v>0.0</v>
      </c>
      <c r="AC1388" s="98">
        <v>0.0</v>
      </c>
      <c r="AD1388" s="98">
        <v>0.0</v>
      </c>
      <c r="AE1388" s="98">
        <v>0.0</v>
      </c>
      <c r="AF1388" s="98">
        <v>0.0</v>
      </c>
      <c r="AG1388" s="98">
        <v>0.0</v>
      </c>
      <c r="AH1388" s="98">
        <v>0.0</v>
      </c>
      <c r="AI1388" s="98">
        <v>0.0</v>
      </c>
      <c r="AJ1388" s="98">
        <v>0.0</v>
      </c>
      <c r="AK1388" s="98">
        <v>0.0</v>
      </c>
      <c r="AL1388" s="98">
        <v>0.0</v>
      </c>
      <c r="AM1388" s="98">
        <v>0.0</v>
      </c>
      <c r="AN1388" s="98">
        <v>0.0</v>
      </c>
      <c r="AO1388" s="98">
        <v>0.0</v>
      </c>
      <c r="AP1388" s="98">
        <v>1.0</v>
      </c>
      <c r="AQ1388" s="98" t="s">
        <v>498</v>
      </c>
      <c r="AR1388" s="102">
        <v>46237.0</v>
      </c>
      <c r="AS1388" s="83">
        <v>1179001.0</v>
      </c>
    </row>
    <row r="1389" ht="15.75" customHeight="1">
      <c r="A1389" s="111" t="s">
        <v>1707</v>
      </c>
      <c r="B1389" s="83" t="s">
        <v>7792</v>
      </c>
      <c r="C1389" s="83" t="s">
        <v>68</v>
      </c>
      <c r="D1389" s="112">
        <v>1178104.0</v>
      </c>
      <c r="E1389" s="83"/>
      <c r="F1389" s="83">
        <v>2.9433517E7</v>
      </c>
      <c r="G1389" s="91" t="str">
        <f>IFERROR(__xludf.DUMMYFUNCTION("XLOOKUP(AS1389,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MODELO LUIS EDUARDO MAGALHAES - TEMPO INTEGRAL")</f>
        <v>COLÉGIO MODELO LUIS EDUARDO MAGALHAES - TEMPO INTEGRAL</v>
      </c>
      <c r="H1389" s="184" t="s">
        <v>1536</v>
      </c>
      <c r="I1389" s="91" t="s">
        <v>7793</v>
      </c>
      <c r="J1389" s="172" t="s">
        <v>7794</v>
      </c>
      <c r="K1389" s="83" t="s">
        <v>150</v>
      </c>
      <c r="L1389" s="83" t="s">
        <v>151</v>
      </c>
      <c r="M1389" s="83" t="s">
        <v>152</v>
      </c>
      <c r="N1389" s="223" t="s">
        <v>7795</v>
      </c>
      <c r="O1389" s="98" t="s">
        <v>284</v>
      </c>
      <c r="P1389" s="99" t="str">
        <f>IFERROR(__xludf.DUMMYFUNCTION("IFERROR(VLOOKUP(AS1389,IMPORTRANGE(""https://docs.google.com/spreadsheets/d/1juPI-Fb8LD0YtltB2mlGEnp_R3UVu1t3wSFPzgCyHXE/edit?gid=0#gid=0"",""GERAL!A2:C""),3,0),""-"")"),"-")</f>
        <v>-</v>
      </c>
      <c r="Q1389" s="101" t="s">
        <v>156</v>
      </c>
      <c r="R1389" s="471">
        <v>14.0</v>
      </c>
      <c r="S1389" s="98">
        <v>0.0</v>
      </c>
      <c r="T1389" s="98">
        <v>3.0</v>
      </c>
      <c r="U1389" s="98">
        <v>0.0</v>
      </c>
      <c r="V1389" s="98">
        <v>1.0</v>
      </c>
      <c r="W1389" s="98">
        <v>1.0</v>
      </c>
      <c r="X1389" s="98">
        <v>1.0</v>
      </c>
      <c r="Y1389" s="98">
        <v>0.0</v>
      </c>
      <c r="Z1389" s="98">
        <v>0.0</v>
      </c>
      <c r="AA1389" s="98">
        <v>1.0</v>
      </c>
      <c r="AB1389" s="98">
        <v>0.0</v>
      </c>
      <c r="AC1389" s="98">
        <v>1.0</v>
      </c>
      <c r="AD1389" s="98">
        <v>0.0</v>
      </c>
      <c r="AE1389" s="98">
        <v>0.0</v>
      </c>
      <c r="AF1389" s="98">
        <v>1.0</v>
      </c>
      <c r="AG1389" s="98">
        <v>0.0</v>
      </c>
      <c r="AH1389" s="98">
        <v>0.0</v>
      </c>
      <c r="AI1389" s="98">
        <v>0.0</v>
      </c>
      <c r="AJ1389" s="98">
        <v>1.0</v>
      </c>
      <c r="AK1389" s="98">
        <v>0.0</v>
      </c>
      <c r="AL1389" s="98">
        <v>0.0</v>
      </c>
      <c r="AM1389" s="98">
        <v>0.0</v>
      </c>
      <c r="AN1389" s="98">
        <v>0.0</v>
      </c>
      <c r="AO1389" s="98">
        <v>0.0</v>
      </c>
      <c r="AP1389" s="98">
        <v>1.0</v>
      </c>
      <c r="AQ1389" s="98" t="s">
        <v>7796</v>
      </c>
      <c r="AR1389" s="102">
        <v>46198.0</v>
      </c>
      <c r="AS1389" s="83">
        <v>1178104.0</v>
      </c>
    </row>
    <row r="1390" ht="15.75" customHeight="1">
      <c r="A1390" s="111" t="s">
        <v>1707</v>
      </c>
      <c r="B1390" s="83" t="s">
        <v>7792</v>
      </c>
      <c r="C1390" s="83" t="s">
        <v>68</v>
      </c>
      <c r="D1390" s="112">
        <v>1120923.0</v>
      </c>
      <c r="E1390" s="83"/>
      <c r="F1390" s="83">
        <v>2.9056144E7</v>
      </c>
      <c r="G1390" s="91" t="str">
        <f>IFERROR(__xludf.DUMMYFUNCTION("XLOOKUP(AS1390,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TEIXEIRA DE FREITAS - TEMPO INTEGRAL")</f>
        <v>COLÉGIO ESTADUAL TEIXEIRA DE FREITAS - TEMPO INTEGRAL</v>
      </c>
      <c r="H1390" s="184" t="s">
        <v>7797</v>
      </c>
      <c r="I1390" s="91" t="s">
        <v>7798</v>
      </c>
      <c r="J1390" s="83" t="s">
        <v>149</v>
      </c>
      <c r="K1390" s="83" t="s">
        <v>150</v>
      </c>
      <c r="L1390" s="83" t="s">
        <v>151</v>
      </c>
      <c r="M1390" s="83" t="s">
        <v>230</v>
      </c>
      <c r="N1390" s="171" t="s">
        <v>7799</v>
      </c>
      <c r="O1390" s="98" t="s">
        <v>155</v>
      </c>
      <c r="P1390" s="99" t="str">
        <f>IFERROR(__xludf.DUMMYFUNCTION("IFERROR(VLOOKUP(AS1390,IMPORTRANGE(""https://docs.google.com/spreadsheets/d/1juPI-Fb8LD0YtltB2mlGEnp_R3UVu1t3wSFPzgCyHXE/edit?gid=0#gid=0"",""GERAL!A2:C""),3,0),""-"")"),"-")</f>
        <v>-</v>
      </c>
      <c r="Q1390" s="101" t="s">
        <v>156</v>
      </c>
      <c r="R1390" s="473">
        <v>11.0</v>
      </c>
      <c r="S1390" s="98">
        <v>0.0</v>
      </c>
      <c r="T1390" s="98">
        <v>0.0</v>
      </c>
      <c r="U1390" s="98">
        <v>0.0</v>
      </c>
      <c r="V1390" s="98">
        <v>0.0</v>
      </c>
      <c r="W1390" s="98">
        <v>0.0</v>
      </c>
      <c r="X1390" s="98">
        <v>0.0</v>
      </c>
      <c r="Y1390" s="98">
        <v>0.0</v>
      </c>
      <c r="Z1390" s="98">
        <v>0.0</v>
      </c>
      <c r="AA1390" s="98">
        <v>0.0</v>
      </c>
      <c r="AB1390" s="98">
        <v>1.0</v>
      </c>
      <c r="AC1390" s="98">
        <v>0.0</v>
      </c>
      <c r="AD1390" s="98">
        <v>0.0</v>
      </c>
      <c r="AE1390" s="98">
        <v>0.0</v>
      </c>
      <c r="AF1390" s="98">
        <v>1.0</v>
      </c>
      <c r="AG1390" s="98">
        <v>0.0</v>
      </c>
      <c r="AH1390" s="98">
        <v>0.0</v>
      </c>
      <c r="AI1390" s="98">
        <v>0.0</v>
      </c>
      <c r="AJ1390" s="98">
        <v>1.0</v>
      </c>
      <c r="AK1390" s="98">
        <v>0.0</v>
      </c>
      <c r="AL1390" s="98">
        <v>0.0</v>
      </c>
      <c r="AM1390" s="98">
        <v>0.0</v>
      </c>
      <c r="AN1390" s="98">
        <v>0.0</v>
      </c>
      <c r="AO1390" s="98">
        <v>0.0</v>
      </c>
      <c r="AP1390" s="98">
        <v>3.0</v>
      </c>
      <c r="AQ1390" s="98" t="s">
        <v>7801</v>
      </c>
      <c r="AR1390" s="102">
        <v>46198.0</v>
      </c>
      <c r="AS1390" s="83">
        <v>1120923.0</v>
      </c>
    </row>
    <row r="1391" ht="15.75" customHeight="1">
      <c r="A1391" s="111" t="s">
        <v>1707</v>
      </c>
      <c r="B1391" s="83" t="s">
        <v>7792</v>
      </c>
      <c r="C1391" s="83" t="s">
        <v>68</v>
      </c>
      <c r="D1391" s="112">
        <v>1121156.0</v>
      </c>
      <c r="E1391" s="83"/>
      <c r="F1391" s="83">
        <v>2.905678E7</v>
      </c>
      <c r="G1391" s="91" t="str">
        <f>IFERROR(__xludf.DUMMYFUNCTION("XLOOKUP(AS1391,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PROFESSORA MARIANA AGOSTINHO DE OLIVEIRA DIST. DE IGARA")</f>
        <v>COLÉGIO ESTADUAL DO CAMPO PROFESSORA MARIANA AGOSTINHO DE OLIVEIRA DIST. DE IGARA</v>
      </c>
      <c r="H1391" s="184" t="s">
        <v>7802</v>
      </c>
      <c r="I1391" s="91" t="s">
        <v>7803</v>
      </c>
      <c r="J1391" s="83" t="s">
        <v>149</v>
      </c>
      <c r="K1391" s="83" t="s">
        <v>822</v>
      </c>
      <c r="L1391" s="83" t="s">
        <v>151</v>
      </c>
      <c r="M1391" s="98" t="s">
        <v>76</v>
      </c>
      <c r="N1391" s="171" t="s">
        <v>7804</v>
      </c>
      <c r="O1391" s="98" t="s">
        <v>155</v>
      </c>
      <c r="P1391" s="99" t="str">
        <f>IFERROR(__xludf.DUMMYFUNCTION("IFERROR(VLOOKUP(AS1391,IMPORTRANGE(""https://docs.google.com/spreadsheets/d/1juPI-Fb8LD0YtltB2mlGEnp_R3UVu1t3wSFPzgCyHXE/edit?gid=0#gid=0"",""GERAL!A2:C""),3,0),""-"")"),"CAMPO")</f>
        <v>CAMPO</v>
      </c>
      <c r="Q1391" s="169" t="s">
        <v>156</v>
      </c>
      <c r="R1391" s="473">
        <v>7.0</v>
      </c>
      <c r="S1391" s="115">
        <v>0.0</v>
      </c>
      <c r="T1391" s="115">
        <v>0.0</v>
      </c>
      <c r="U1391" s="115">
        <v>1.0</v>
      </c>
      <c r="V1391" s="115">
        <v>0.0</v>
      </c>
      <c r="W1391" s="115">
        <v>0.0</v>
      </c>
      <c r="X1391" s="115">
        <v>0.0</v>
      </c>
      <c r="Y1391" s="115">
        <v>0.0</v>
      </c>
      <c r="Z1391" s="115">
        <v>0.0</v>
      </c>
      <c r="AA1391" s="115">
        <v>0.0</v>
      </c>
      <c r="AB1391" s="115">
        <v>0.0</v>
      </c>
      <c r="AC1391" s="115">
        <v>0.0</v>
      </c>
      <c r="AD1391" s="115">
        <v>0.0</v>
      </c>
      <c r="AE1391" s="98">
        <v>0.0</v>
      </c>
      <c r="AF1391" s="115">
        <v>0.0</v>
      </c>
      <c r="AG1391" s="115">
        <v>1.0</v>
      </c>
      <c r="AH1391" s="115">
        <v>0.0</v>
      </c>
      <c r="AI1391" s="98">
        <v>0.0</v>
      </c>
      <c r="AJ1391" s="115">
        <v>0.0</v>
      </c>
      <c r="AK1391" s="115">
        <v>0.0</v>
      </c>
      <c r="AL1391" s="115">
        <v>0.0</v>
      </c>
      <c r="AM1391" s="115">
        <v>0.0</v>
      </c>
      <c r="AN1391" s="115">
        <v>0.0</v>
      </c>
      <c r="AO1391" s="115">
        <v>0.0</v>
      </c>
      <c r="AP1391" s="115">
        <v>0.0</v>
      </c>
      <c r="AQ1391" s="115" t="s">
        <v>171</v>
      </c>
      <c r="AR1391" s="102">
        <v>46198.0</v>
      </c>
      <c r="AS1391" s="136">
        <v>1121156.0</v>
      </c>
    </row>
    <row r="1392" ht="15.75" customHeight="1">
      <c r="A1392" s="111" t="s">
        <v>1707</v>
      </c>
      <c r="B1392" s="83" t="s">
        <v>7792</v>
      </c>
      <c r="C1392" s="83" t="s">
        <v>68</v>
      </c>
      <c r="D1392" s="112">
        <v>1121261.0</v>
      </c>
      <c r="E1392" s="83"/>
      <c r="F1392" s="83">
        <v>2.9055393E7</v>
      </c>
      <c r="G1392" s="91" t="str">
        <f>IFERROR(__xludf.DUMMYFUNCTION("XLOOKUP(AS1392,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SENHOR DO BONFIM")</f>
        <v>COLÉGIO ESTADUAL DE TEMPO INTEGRAL SENHOR DO BONFIM</v>
      </c>
      <c r="H1392" s="184" t="s">
        <v>7807</v>
      </c>
      <c r="I1392" s="91" t="s">
        <v>7808</v>
      </c>
      <c r="J1392" s="83" t="s">
        <v>149</v>
      </c>
      <c r="K1392" s="83" t="s">
        <v>150</v>
      </c>
      <c r="L1392" s="83" t="s">
        <v>151</v>
      </c>
      <c r="M1392" s="83" t="s">
        <v>230</v>
      </c>
      <c r="N1392" s="385" t="s">
        <v>7809</v>
      </c>
      <c r="O1392" s="98" t="s">
        <v>284</v>
      </c>
      <c r="P1392" s="99" t="str">
        <f>IFERROR(__xludf.DUMMYFUNCTION("IFERROR(VLOOKUP(AS1392,IMPORTRANGE(""https://docs.google.com/spreadsheets/d/1juPI-Fb8LD0YtltB2mlGEnp_R3UVu1t3wSFPzgCyHXE/edit?gid=0#gid=0"",""GERAL!A2:C""),3,0),""-"")"),"-")</f>
        <v>-</v>
      </c>
      <c r="Q1392" s="101" t="s">
        <v>156</v>
      </c>
      <c r="R1392" s="473">
        <v>20.0</v>
      </c>
      <c r="S1392" s="98">
        <v>0.0</v>
      </c>
      <c r="T1392" s="98">
        <v>0.0</v>
      </c>
      <c r="U1392" s="98">
        <v>0.0</v>
      </c>
      <c r="V1392" s="98">
        <v>0.0</v>
      </c>
      <c r="W1392" s="98">
        <v>0.0</v>
      </c>
      <c r="X1392" s="98">
        <v>1.0</v>
      </c>
      <c r="Y1392" s="98">
        <v>0.0</v>
      </c>
      <c r="Z1392" s="98">
        <v>0.0</v>
      </c>
      <c r="AA1392" s="98">
        <v>1.0</v>
      </c>
      <c r="AB1392" s="98">
        <v>2.0</v>
      </c>
      <c r="AC1392" s="98">
        <v>0.0</v>
      </c>
      <c r="AD1392" s="98">
        <v>0.0</v>
      </c>
      <c r="AE1392" s="98">
        <v>0.0</v>
      </c>
      <c r="AF1392" s="98">
        <v>1.0</v>
      </c>
      <c r="AG1392" s="98">
        <v>0.0</v>
      </c>
      <c r="AH1392" s="98">
        <v>0.0</v>
      </c>
      <c r="AI1392" s="98">
        <v>0.0</v>
      </c>
      <c r="AJ1392" s="98">
        <v>1.0</v>
      </c>
      <c r="AK1392" s="98">
        <v>0.0</v>
      </c>
      <c r="AL1392" s="98">
        <v>0.0</v>
      </c>
      <c r="AM1392" s="98">
        <v>0.0</v>
      </c>
      <c r="AN1392" s="98">
        <v>0.0</v>
      </c>
      <c r="AO1392" s="98">
        <v>0.0</v>
      </c>
      <c r="AP1392" s="98">
        <v>12.0</v>
      </c>
      <c r="AQ1392" s="98" t="s">
        <v>7810</v>
      </c>
      <c r="AR1392" s="102">
        <v>46198.0</v>
      </c>
      <c r="AS1392" s="83">
        <v>1121261.0</v>
      </c>
    </row>
    <row r="1393" ht="15.75" customHeight="1">
      <c r="A1393" s="111" t="s">
        <v>1707</v>
      </c>
      <c r="B1393" s="83" t="s">
        <v>7792</v>
      </c>
      <c r="C1393" s="83" t="s">
        <v>68</v>
      </c>
      <c r="D1393" s="112">
        <v>1179286.0</v>
      </c>
      <c r="E1393" s="83"/>
      <c r="F1393" s="83">
        <v>2.9461529E7</v>
      </c>
      <c r="G1393" s="91" t="str">
        <f>IFERROR(__xludf.DUMMYFUNCTION("XLOOKUP(AS1393,
IMPORTRANGE(""https://docs.google.com/spreadsheets/d/1YM-djuOLXomrZ9W0B4TyIBsVWnXY4EIOFD9HY-qGfv0/edit?usp=sharing"",""GERAL!BG5:BG""),
IMPORTRANGE(""https://docs.google.com/spreadsheets/d/1YM-djuOLXomrZ9W0B4TyIBsVWnXY4EIOFD9HY-qGfv0/edit?"&amp;"usp=sharing"",""GERAL!G5:G""),
""CÓD. SEC NÃO ENCONTRADO NA PLANILHA DE MATRÍCULA"")"),"CENTRO REGIONAL DE ENSINO MEDIO INTERMEDIACAO TEC - CEMIT DO PIEMONTE NORTE DO ITAPICURU")</f>
        <v>CENTRO REGIONAL DE ENSINO MEDIO INTERMEDIACAO TEC - CEMIT DO PIEMONTE NORTE DO ITAPICURU</v>
      </c>
      <c r="H1393" s="185" t="s">
        <v>7811</v>
      </c>
      <c r="I1393" s="91" t="s">
        <v>7812</v>
      </c>
      <c r="J1393" s="172" t="s">
        <v>7813</v>
      </c>
      <c r="K1393" s="83" t="s">
        <v>150</v>
      </c>
      <c r="L1393" s="83" t="s">
        <v>151</v>
      </c>
      <c r="M1393" s="83" t="s">
        <v>230</v>
      </c>
      <c r="N1393" s="98" t="s">
        <v>7814</v>
      </c>
      <c r="O1393" s="98" t="s">
        <v>155</v>
      </c>
      <c r="P1393" s="99" t="str">
        <f>IFERROR(__xludf.DUMMYFUNCTION("IFERROR(VLOOKUP(AS1393,IMPORTRANGE(""https://docs.google.com/spreadsheets/d/1juPI-Fb8LD0YtltB2mlGEnp_R3UVu1t3wSFPzgCyHXE/edit?gid=0#gid=0"",""GERAL!A2:C""),3,0),""-"")"),"-")</f>
        <v>-</v>
      </c>
      <c r="Q1393" s="98" t="s">
        <v>171</v>
      </c>
      <c r="R1393" s="473">
        <v>0.0</v>
      </c>
      <c r="S1393" s="98">
        <v>0.0</v>
      </c>
      <c r="T1393" s="98">
        <v>0.0</v>
      </c>
      <c r="U1393" s="98">
        <v>0.0</v>
      </c>
      <c r="V1393" s="98">
        <v>0.0</v>
      </c>
      <c r="W1393" s="98">
        <v>0.0</v>
      </c>
      <c r="X1393" s="98">
        <v>0.0</v>
      </c>
      <c r="Y1393" s="98">
        <v>0.0</v>
      </c>
      <c r="Z1393" s="98">
        <v>0.0</v>
      </c>
      <c r="AA1393" s="98">
        <v>0.0</v>
      </c>
      <c r="AB1393" s="98">
        <v>0.0</v>
      </c>
      <c r="AC1393" s="98">
        <v>0.0</v>
      </c>
      <c r="AD1393" s="98">
        <v>0.0</v>
      </c>
      <c r="AE1393" s="98">
        <v>0.0</v>
      </c>
      <c r="AF1393" s="98">
        <v>0.0</v>
      </c>
      <c r="AG1393" s="98">
        <v>0.0</v>
      </c>
      <c r="AH1393" s="98">
        <v>0.0</v>
      </c>
      <c r="AI1393" s="98">
        <v>0.0</v>
      </c>
      <c r="AJ1393" s="98">
        <v>0.0</v>
      </c>
      <c r="AK1393" s="98">
        <v>0.0</v>
      </c>
      <c r="AL1393" s="98">
        <v>0.0</v>
      </c>
      <c r="AM1393" s="98">
        <v>0.0</v>
      </c>
      <c r="AN1393" s="98">
        <v>0.0</v>
      </c>
      <c r="AO1393" s="98">
        <v>0.0</v>
      </c>
      <c r="AP1393" s="98">
        <v>0.0</v>
      </c>
      <c r="AQ1393" s="98" t="s">
        <v>171</v>
      </c>
      <c r="AR1393" s="102">
        <v>46198.0</v>
      </c>
      <c r="AS1393" s="83">
        <v>1179286.0</v>
      </c>
    </row>
    <row r="1394" ht="15.75" customHeight="1">
      <c r="A1394" s="111" t="s">
        <v>1707</v>
      </c>
      <c r="B1394" s="83" t="s">
        <v>7792</v>
      </c>
      <c r="C1394" s="83" t="s">
        <v>68</v>
      </c>
      <c r="D1394" s="112">
        <v>1179287.0</v>
      </c>
      <c r="E1394" s="83"/>
      <c r="F1394" s="83">
        <v>2.9461871E7</v>
      </c>
      <c r="G1394" s="91" t="str">
        <f>IFERROR(__xludf.DUMMYFUNCTION("XLOOKUP(AS1394,
IMPORTRANGE(""https://docs.google.com/spreadsheets/d/1YM-djuOLXomrZ9W0B4TyIBsVWnXY4EIOFD9HY-qGfv0/edit?usp=sharing"",""GERAL!BG5:BG""),
IMPORTRANGE(""https://docs.google.com/spreadsheets/d/1YM-djuOLXomrZ9W0B4TyIBsVWnXY4EIOFD9HY-qGfv0/edit?"&amp;"usp=sharing"",""GERAL!G5:G""),
""CÓD. SEC NÃO ENCONTRADO NA PLANILHA DE MATRÍCULA"")"),"CENTRO JUVENIL DE CIENCIA E CULTURA - CJCC SENHOR DO BOMFIM")</f>
        <v>CENTRO JUVENIL DE CIENCIA E CULTURA - CJCC SENHOR DO BOMFIM</v>
      </c>
      <c r="H1394" s="185" t="s">
        <v>7815</v>
      </c>
      <c r="I1394" s="91" t="s">
        <v>7816</v>
      </c>
      <c r="J1394" s="172" t="s">
        <v>7817</v>
      </c>
      <c r="K1394" s="83" t="s">
        <v>150</v>
      </c>
      <c r="L1394" s="83" t="s">
        <v>151</v>
      </c>
      <c r="M1394" s="83" t="s">
        <v>230</v>
      </c>
      <c r="N1394" s="137" t="s">
        <v>7818</v>
      </c>
      <c r="O1394" s="98" t="s">
        <v>155</v>
      </c>
      <c r="P1394" s="99" t="str">
        <f>IFERROR(__xludf.DUMMYFUNCTION("IFERROR(VLOOKUP(AS1394,IMPORTRANGE(""https://docs.google.com/spreadsheets/d/1juPI-Fb8LD0YtltB2mlGEnp_R3UVu1t3wSFPzgCyHXE/edit?gid=0#gid=0"",""GERAL!A2:C""),3,0),""-"")"),"-")</f>
        <v>-</v>
      </c>
      <c r="Q1394" s="98" t="s">
        <v>171</v>
      </c>
      <c r="R1394" s="473" t="s">
        <v>171</v>
      </c>
      <c r="S1394" s="98" t="s">
        <v>171</v>
      </c>
      <c r="T1394" s="98" t="s">
        <v>171</v>
      </c>
      <c r="U1394" s="98" t="s">
        <v>171</v>
      </c>
      <c r="V1394" s="98" t="s">
        <v>171</v>
      </c>
      <c r="W1394" s="98" t="s">
        <v>171</v>
      </c>
      <c r="X1394" s="98" t="s">
        <v>171</v>
      </c>
      <c r="Y1394" s="98" t="s">
        <v>171</v>
      </c>
      <c r="Z1394" s="98" t="s">
        <v>171</v>
      </c>
      <c r="AA1394" s="98" t="s">
        <v>171</v>
      </c>
      <c r="AB1394" s="98" t="s">
        <v>171</v>
      </c>
      <c r="AC1394" s="98" t="s">
        <v>171</v>
      </c>
      <c r="AD1394" s="98" t="s">
        <v>171</v>
      </c>
      <c r="AE1394" s="98" t="s">
        <v>171</v>
      </c>
      <c r="AF1394" s="98" t="s">
        <v>171</v>
      </c>
      <c r="AG1394" s="98" t="s">
        <v>171</v>
      </c>
      <c r="AH1394" s="98" t="s">
        <v>171</v>
      </c>
      <c r="AI1394" s="98"/>
      <c r="AJ1394" s="98" t="s">
        <v>171</v>
      </c>
      <c r="AK1394" s="98" t="s">
        <v>171</v>
      </c>
      <c r="AL1394" s="98" t="s">
        <v>171</v>
      </c>
      <c r="AM1394" s="98" t="s">
        <v>171</v>
      </c>
      <c r="AN1394" s="98" t="s">
        <v>171</v>
      </c>
      <c r="AO1394" s="98" t="s">
        <v>171</v>
      </c>
      <c r="AP1394" s="98" t="s">
        <v>171</v>
      </c>
      <c r="AQ1394" s="98" t="s">
        <v>171</v>
      </c>
      <c r="AR1394" s="102">
        <v>46198.0</v>
      </c>
      <c r="AS1394" s="83">
        <v>1179287.0</v>
      </c>
    </row>
    <row r="1395" ht="15.75" customHeight="1">
      <c r="A1395" s="111" t="s">
        <v>1707</v>
      </c>
      <c r="B1395" s="83" t="s">
        <v>7792</v>
      </c>
      <c r="C1395" s="83" t="s">
        <v>68</v>
      </c>
      <c r="D1395" s="112">
        <v>1164602.0</v>
      </c>
      <c r="E1395" s="83"/>
      <c r="F1395" s="83">
        <v>2.9055385E7</v>
      </c>
      <c r="G1395" s="91" t="str">
        <f>IFERROR(__xludf.DUMMYFUNCTION("XLOOKUP(AS1395,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PROF. PAULO BATISTA MACHADO")</f>
        <v>CENTRO ESTADUAL DE EDUCACAO PROFISSIONAL PROF. PAULO BATISTA MACHADO</v>
      </c>
      <c r="H1395" s="185" t="s">
        <v>7826</v>
      </c>
      <c r="I1395" s="91" t="s">
        <v>7827</v>
      </c>
      <c r="J1395" s="83" t="s">
        <v>149</v>
      </c>
      <c r="K1395" s="83" t="s">
        <v>150</v>
      </c>
      <c r="L1395" s="83" t="s">
        <v>151</v>
      </c>
      <c r="M1395" s="83" t="s">
        <v>230</v>
      </c>
      <c r="N1395" s="137" t="s">
        <v>7828</v>
      </c>
      <c r="O1395" s="98" t="s">
        <v>162</v>
      </c>
      <c r="P1395" s="99" t="str">
        <f>IFERROR(__xludf.DUMMYFUNCTION("IFERROR(VLOOKUP(AS1395,IMPORTRANGE(""https://docs.google.com/spreadsheets/d/1juPI-Fb8LD0YtltB2mlGEnp_R3UVu1t3wSFPzgCyHXE/edit?gid=0#gid=0"",""GERAL!A2:C""),3,0),""-"")"),"-")</f>
        <v>-</v>
      </c>
      <c r="Q1395" s="101" t="s">
        <v>156</v>
      </c>
      <c r="R1395" s="473">
        <v>24.0</v>
      </c>
      <c r="S1395" s="98">
        <v>0.0</v>
      </c>
      <c r="T1395" s="98">
        <v>0.0</v>
      </c>
      <c r="U1395" s="98">
        <v>0.0</v>
      </c>
      <c r="V1395" s="98">
        <v>0.0</v>
      </c>
      <c r="W1395" s="98">
        <v>4.0</v>
      </c>
      <c r="X1395" s="98">
        <v>1.0</v>
      </c>
      <c r="Y1395" s="98">
        <v>0.0</v>
      </c>
      <c r="Z1395" s="98">
        <v>1.0</v>
      </c>
      <c r="AA1395" s="98">
        <v>0.0</v>
      </c>
      <c r="AB1395" s="98">
        <v>1.0</v>
      </c>
      <c r="AC1395" s="98">
        <v>0.0</v>
      </c>
      <c r="AD1395" s="98">
        <v>0.0</v>
      </c>
      <c r="AE1395" s="98">
        <v>0.0</v>
      </c>
      <c r="AF1395" s="98">
        <v>0.0</v>
      </c>
      <c r="AG1395" s="98">
        <v>0.0</v>
      </c>
      <c r="AH1395" s="98">
        <v>1.0</v>
      </c>
      <c r="AI1395" s="98">
        <v>0.0</v>
      </c>
      <c r="AJ1395" s="98">
        <v>1.0</v>
      </c>
      <c r="AK1395" s="98">
        <v>0.0</v>
      </c>
      <c r="AL1395" s="98">
        <v>0.0</v>
      </c>
      <c r="AM1395" s="98">
        <v>0.0</v>
      </c>
      <c r="AN1395" s="98">
        <v>0.0</v>
      </c>
      <c r="AO1395" s="98">
        <v>1.0</v>
      </c>
      <c r="AP1395" s="98">
        <v>4.0</v>
      </c>
      <c r="AQ1395" s="98" t="s">
        <v>7833</v>
      </c>
      <c r="AR1395" s="102">
        <v>46198.0</v>
      </c>
      <c r="AS1395" s="83">
        <v>1164602.0</v>
      </c>
    </row>
    <row r="1396" ht="15.75" customHeight="1">
      <c r="A1396" s="111" t="s">
        <v>1707</v>
      </c>
      <c r="B1396" s="83" t="s">
        <v>7792</v>
      </c>
      <c r="C1396" s="83" t="s">
        <v>68</v>
      </c>
      <c r="D1396" s="112">
        <v>1144261.0</v>
      </c>
      <c r="E1396" s="83"/>
      <c r="F1396" s="83">
        <v>2.9056616E7</v>
      </c>
      <c r="G1396" s="91" t="str">
        <f>IFERROR(__xludf.DUMMYFUNCTION("XLOOKUP(AS1396,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PEDAGOGICO ESPECIALIZADO - CAPE SENHOR DO BONFIM")</f>
        <v>CENTRO DE APOIO PEDAGOGICO ESPECIALIZADO - CAPE SENHOR DO BONFIM</v>
      </c>
      <c r="H1396" s="184" t="s">
        <v>7834</v>
      </c>
      <c r="I1396" s="91" t="s">
        <v>7835</v>
      </c>
      <c r="J1396" s="83" t="s">
        <v>149</v>
      </c>
      <c r="K1396" s="83" t="s">
        <v>150</v>
      </c>
      <c r="L1396" s="83" t="s">
        <v>168</v>
      </c>
      <c r="M1396" s="83" t="s">
        <v>230</v>
      </c>
      <c r="N1396" s="137" t="s">
        <v>7836</v>
      </c>
      <c r="O1396" s="98" t="s">
        <v>155</v>
      </c>
      <c r="P1396" s="99" t="str">
        <f>IFERROR(__xludf.DUMMYFUNCTION("IFERROR(VLOOKUP(AS1396,IMPORTRANGE(""https://docs.google.com/spreadsheets/d/1juPI-Fb8LD0YtltB2mlGEnp_R3UVu1t3wSFPzgCyHXE/edit?gid=0#gid=0"",""GERAL!A2:C""),3,0),""-"")"),"-")</f>
        <v>-</v>
      </c>
      <c r="Q1396" s="169" t="s">
        <v>156</v>
      </c>
      <c r="R1396" s="471">
        <v>12.0</v>
      </c>
      <c r="S1396" s="115">
        <v>0.0</v>
      </c>
      <c r="T1396" s="115">
        <v>0.0</v>
      </c>
      <c r="U1396" s="115">
        <v>0.0</v>
      </c>
      <c r="V1396" s="115">
        <v>1.0</v>
      </c>
      <c r="W1396" s="115">
        <v>0.0</v>
      </c>
      <c r="X1396" s="115">
        <v>0.0</v>
      </c>
      <c r="Y1396" s="115">
        <v>0.0</v>
      </c>
      <c r="Z1396" s="115">
        <v>0.0</v>
      </c>
      <c r="AA1396" s="115">
        <v>0.0</v>
      </c>
      <c r="AB1396" s="115">
        <v>0.0</v>
      </c>
      <c r="AC1396" s="115">
        <v>1.0</v>
      </c>
      <c r="AD1396" s="115">
        <v>0.0</v>
      </c>
      <c r="AE1396" s="98">
        <v>0.0</v>
      </c>
      <c r="AF1396" s="115">
        <v>0.0</v>
      </c>
      <c r="AG1396" s="115">
        <v>0.0</v>
      </c>
      <c r="AH1396" s="115">
        <v>0.0</v>
      </c>
      <c r="AI1396" s="98">
        <v>0.0</v>
      </c>
      <c r="AJ1396" s="115">
        <v>0.0</v>
      </c>
      <c r="AK1396" s="115">
        <v>0.0</v>
      </c>
      <c r="AL1396" s="115">
        <v>0.0</v>
      </c>
      <c r="AM1396" s="115">
        <v>0.0</v>
      </c>
      <c r="AN1396" s="115">
        <v>0.0</v>
      </c>
      <c r="AO1396" s="115">
        <v>0.0</v>
      </c>
      <c r="AP1396" s="115">
        <v>0.0</v>
      </c>
      <c r="AQ1396" s="115" t="s">
        <v>171</v>
      </c>
      <c r="AR1396" s="102">
        <v>46198.0</v>
      </c>
      <c r="AS1396" s="136">
        <v>1144261.0</v>
      </c>
    </row>
    <row r="1397" ht="15.75" customHeight="1">
      <c r="A1397" s="111" t="s">
        <v>1707</v>
      </c>
      <c r="B1397" s="83" t="s">
        <v>7792</v>
      </c>
      <c r="C1397" s="83" t="s">
        <v>164</v>
      </c>
      <c r="D1397" s="112">
        <v>1179286.0</v>
      </c>
      <c r="E1397" s="83">
        <v>1179003.0</v>
      </c>
      <c r="F1397" s="83"/>
      <c r="G1397" s="91" t="str">
        <f>IFERROR(__xludf.DUMMYFUNCTION("XLOOKUP(AS1397,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CEMIT PIEMONTE NORTE DO ITAPICURU - POVOADO DE UMBURANA - COMUNIDADE QUILOMBOLA")</f>
        <v>ANEXO DO CEMIT PIEMONTE NORTE DO ITAPICURU - POVOADO DE UMBURANA - COMUNIDADE QUILOMBOLA</v>
      </c>
      <c r="H1397" s="185" t="s">
        <v>7840</v>
      </c>
      <c r="I1397" s="91" t="s">
        <v>7841</v>
      </c>
      <c r="J1397" s="136" t="s">
        <v>7842</v>
      </c>
      <c r="K1397" s="83" t="s">
        <v>5099</v>
      </c>
      <c r="L1397" s="83" t="s">
        <v>168</v>
      </c>
      <c r="M1397" s="83" t="s">
        <v>169</v>
      </c>
      <c r="N1397" s="115" t="s">
        <v>170</v>
      </c>
      <c r="O1397" s="98" t="s">
        <v>155</v>
      </c>
      <c r="P1397" s="99" t="str">
        <f>IFERROR(__xludf.DUMMYFUNCTION("IFERROR(VLOOKUP(AS1397,IMPORTRANGE(""https://docs.google.com/spreadsheets/d/1juPI-Fb8LD0YtltB2mlGEnp_R3UVu1t3wSFPzgCyHXE/edit?gid=0#gid=0"",""GERAL!A2:C""),3,0),""-"")"),"QUILOMBOLAS")</f>
        <v>QUILOMBOLAS</v>
      </c>
      <c r="Q1397" s="115" t="s">
        <v>171</v>
      </c>
      <c r="R1397" s="473">
        <v>3.0</v>
      </c>
      <c r="S1397" s="115">
        <v>0.0</v>
      </c>
      <c r="T1397" s="115">
        <v>0.0</v>
      </c>
      <c r="U1397" s="115">
        <v>0.0</v>
      </c>
      <c r="V1397" s="115">
        <v>0.0</v>
      </c>
      <c r="W1397" s="115">
        <v>0.0</v>
      </c>
      <c r="X1397" s="115">
        <v>0.0</v>
      </c>
      <c r="Y1397" s="115">
        <v>0.0</v>
      </c>
      <c r="Z1397" s="115">
        <v>0.0</v>
      </c>
      <c r="AA1397" s="115">
        <v>0.0</v>
      </c>
      <c r="AB1397" s="115">
        <v>0.0</v>
      </c>
      <c r="AC1397" s="115">
        <v>0.0</v>
      </c>
      <c r="AD1397" s="115">
        <v>0.0</v>
      </c>
      <c r="AE1397" s="98">
        <v>0.0</v>
      </c>
      <c r="AF1397" s="115">
        <v>0.0</v>
      </c>
      <c r="AG1397" s="115">
        <v>0.0</v>
      </c>
      <c r="AH1397" s="115">
        <v>0.0</v>
      </c>
      <c r="AI1397" s="98">
        <v>0.0</v>
      </c>
      <c r="AJ1397" s="115">
        <v>0.0</v>
      </c>
      <c r="AK1397" s="115">
        <v>0.0</v>
      </c>
      <c r="AL1397" s="115">
        <v>0.0</v>
      </c>
      <c r="AM1397" s="115">
        <v>0.0</v>
      </c>
      <c r="AN1397" s="115">
        <v>0.0</v>
      </c>
      <c r="AO1397" s="115">
        <v>0.0</v>
      </c>
      <c r="AP1397" s="115">
        <v>0.0</v>
      </c>
      <c r="AQ1397" s="115" t="s">
        <v>171</v>
      </c>
      <c r="AR1397" s="102">
        <v>46198.0</v>
      </c>
      <c r="AS1397" s="136">
        <v>1179003.0</v>
      </c>
    </row>
    <row r="1398" ht="15.75" customHeight="1">
      <c r="A1398" s="111" t="s">
        <v>1707</v>
      </c>
      <c r="B1398" s="83" t="s">
        <v>7792</v>
      </c>
      <c r="C1398" s="83" t="s">
        <v>164</v>
      </c>
      <c r="D1398" s="112">
        <v>1179286.0</v>
      </c>
      <c r="E1398" s="83">
        <v>1179366.0</v>
      </c>
      <c r="F1398" s="83"/>
      <c r="G1398" s="91" t="str">
        <f>IFERROR(__xludf.DUMMYFUNCTION("XLOOKUP(AS1398,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CEMIT PIEMONTE NORTE DO ITAPICURU - POVOADO DE CARIACA - COMUNIDADE QUILOMBOLA")</f>
        <v>ANEXO DO CEMIT PIEMONTE NORTE DO ITAPICURU - POVOADO DE CARIACA - COMUNIDADE QUILOMBOLA</v>
      </c>
      <c r="H1398" s="185" t="s">
        <v>7844</v>
      </c>
      <c r="I1398" s="91" t="s">
        <v>7845</v>
      </c>
      <c r="J1398" s="136" t="s">
        <v>4215</v>
      </c>
      <c r="K1398" s="83" t="s">
        <v>1386</v>
      </c>
      <c r="L1398" s="83" t="s">
        <v>168</v>
      </c>
      <c r="M1398" s="83" t="s">
        <v>169</v>
      </c>
      <c r="N1398" s="115" t="s">
        <v>170</v>
      </c>
      <c r="O1398" s="98" t="s">
        <v>155</v>
      </c>
      <c r="P1398" s="99" t="str">
        <f>IFERROR(__xludf.DUMMYFUNCTION("IFERROR(VLOOKUP(AS1398,IMPORTRANGE(""https://docs.google.com/spreadsheets/d/1juPI-Fb8LD0YtltB2mlGEnp_R3UVu1t3wSFPzgCyHXE/edit?gid=0#gid=0"",""GERAL!A2:C""),3,0),""-"")"),"QUILOMBOLAS")</f>
        <v>QUILOMBOLAS</v>
      </c>
      <c r="Q1398" s="115" t="s">
        <v>171</v>
      </c>
      <c r="R1398" s="473">
        <v>2.0</v>
      </c>
      <c r="S1398" s="115">
        <v>0.0</v>
      </c>
      <c r="T1398" s="115">
        <v>0.0</v>
      </c>
      <c r="U1398" s="115">
        <v>0.0</v>
      </c>
      <c r="V1398" s="115">
        <v>0.0</v>
      </c>
      <c r="W1398" s="115">
        <v>0.0</v>
      </c>
      <c r="X1398" s="115">
        <v>0.0</v>
      </c>
      <c r="Y1398" s="115">
        <v>0.0</v>
      </c>
      <c r="Z1398" s="115">
        <v>0.0</v>
      </c>
      <c r="AA1398" s="115">
        <v>0.0</v>
      </c>
      <c r="AB1398" s="115">
        <v>0.0</v>
      </c>
      <c r="AC1398" s="115">
        <v>0.0</v>
      </c>
      <c r="AD1398" s="115">
        <v>0.0</v>
      </c>
      <c r="AE1398" s="98">
        <v>0.0</v>
      </c>
      <c r="AF1398" s="115">
        <v>0.0</v>
      </c>
      <c r="AG1398" s="115">
        <v>0.0</v>
      </c>
      <c r="AH1398" s="115">
        <v>0.0</v>
      </c>
      <c r="AI1398" s="98">
        <v>0.0</v>
      </c>
      <c r="AJ1398" s="115">
        <v>0.0</v>
      </c>
      <c r="AK1398" s="115">
        <v>0.0</v>
      </c>
      <c r="AL1398" s="115">
        <v>0.0</v>
      </c>
      <c r="AM1398" s="115">
        <v>0.0</v>
      </c>
      <c r="AN1398" s="115">
        <v>0.0</v>
      </c>
      <c r="AO1398" s="115">
        <v>0.0</v>
      </c>
      <c r="AP1398" s="115">
        <v>0.0</v>
      </c>
      <c r="AQ1398" s="115" t="s">
        <v>171</v>
      </c>
      <c r="AR1398" s="102">
        <v>46198.0</v>
      </c>
      <c r="AS1398" s="136">
        <v>1179366.0</v>
      </c>
    </row>
    <row r="1399" ht="15.75" customHeight="1">
      <c r="A1399" s="111" t="s">
        <v>1707</v>
      </c>
      <c r="B1399" s="83" t="s">
        <v>7792</v>
      </c>
      <c r="C1399" s="83" t="s">
        <v>164</v>
      </c>
      <c r="D1399" s="112">
        <v>1120923.0</v>
      </c>
      <c r="E1399" s="83">
        <v>1179629.0</v>
      </c>
      <c r="F1399" s="83"/>
      <c r="G1399" s="91" t="str">
        <f>IFERROR(__xludf.DUMMYFUNCTION("XLOOKUP(AS1399,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TEIXEIRA DE FREITAS - DISTRITO DE MISSAO DO SAHY")</f>
        <v>ANEXO - COLÉGIO ESTADUAL TEIXEIRA DE FREITAS - DISTRITO DE MISSAO DO SAHY</v>
      </c>
      <c r="H1399" s="184" t="s">
        <v>7846</v>
      </c>
      <c r="I1399" s="91" t="s">
        <v>7847</v>
      </c>
      <c r="J1399" s="83" t="s">
        <v>7848</v>
      </c>
      <c r="K1399" s="83" t="s">
        <v>5099</v>
      </c>
      <c r="L1399" s="83" t="s">
        <v>151</v>
      </c>
      <c r="M1399" s="83" t="s">
        <v>169</v>
      </c>
      <c r="N1399" s="115" t="s">
        <v>170</v>
      </c>
      <c r="O1399" s="98" t="s">
        <v>155</v>
      </c>
      <c r="P1399" s="99" t="str">
        <f>IFERROR(__xludf.DUMMYFUNCTION("IFERROR(VLOOKUP(AS1399,IMPORTRANGE(""https://docs.google.com/spreadsheets/d/1juPI-Fb8LD0YtltB2mlGEnp_R3UVu1t3wSFPzgCyHXE/edit?gid=0#gid=0"",""GERAL!A2:C""),3,0),""-"")"),"-")</f>
        <v>-</v>
      </c>
      <c r="Q1399" s="115" t="s">
        <v>171</v>
      </c>
      <c r="R1399" s="473">
        <v>3.0</v>
      </c>
      <c r="S1399" s="115">
        <v>0.0</v>
      </c>
      <c r="T1399" s="115">
        <v>0.0</v>
      </c>
      <c r="U1399" s="115">
        <v>0.0</v>
      </c>
      <c r="V1399" s="115">
        <v>0.0</v>
      </c>
      <c r="W1399" s="115">
        <v>0.0</v>
      </c>
      <c r="X1399" s="115">
        <v>0.0</v>
      </c>
      <c r="Y1399" s="115">
        <v>0.0</v>
      </c>
      <c r="Z1399" s="115">
        <v>0.0</v>
      </c>
      <c r="AA1399" s="115">
        <v>0.0</v>
      </c>
      <c r="AB1399" s="115">
        <v>0.0</v>
      </c>
      <c r="AC1399" s="115">
        <v>0.0</v>
      </c>
      <c r="AD1399" s="115">
        <v>0.0</v>
      </c>
      <c r="AE1399" s="98">
        <v>0.0</v>
      </c>
      <c r="AF1399" s="115">
        <v>0.0</v>
      </c>
      <c r="AG1399" s="115">
        <v>1.0</v>
      </c>
      <c r="AH1399" s="115">
        <v>0.0</v>
      </c>
      <c r="AI1399" s="98">
        <v>0.0</v>
      </c>
      <c r="AJ1399" s="115">
        <v>0.0</v>
      </c>
      <c r="AK1399" s="115">
        <v>0.0</v>
      </c>
      <c r="AL1399" s="115">
        <v>0.0</v>
      </c>
      <c r="AM1399" s="115">
        <v>0.0</v>
      </c>
      <c r="AN1399" s="115">
        <v>0.0</v>
      </c>
      <c r="AO1399" s="115">
        <v>0.0</v>
      </c>
      <c r="AP1399" s="115">
        <v>0.0</v>
      </c>
      <c r="AQ1399" s="115" t="s">
        <v>171</v>
      </c>
      <c r="AR1399" s="102">
        <v>46198.0</v>
      </c>
      <c r="AS1399" s="136">
        <v>1179629.0</v>
      </c>
    </row>
    <row r="1400" ht="15.75" customHeight="1">
      <c r="A1400" s="111" t="s">
        <v>1707</v>
      </c>
      <c r="B1400" s="83" t="s">
        <v>7792</v>
      </c>
      <c r="C1400" s="83" t="s">
        <v>164</v>
      </c>
      <c r="D1400" s="112">
        <v>1120923.0</v>
      </c>
      <c r="E1400" s="83">
        <v>1179002.0</v>
      </c>
      <c r="F1400" s="83"/>
      <c r="G1400" s="91" t="str">
        <f>IFERROR(__xludf.DUMMYFUNCTION("XLOOKUP(AS1400,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TEIXEIRA DE FREITAS - DIST. DE TIJUACU - COMUNIDADE QUILOMBOLA")</f>
        <v>ANEXO - COLÉGIO ESTADUAL TEIXEIRA DE FREITAS - DIST. DE TIJUACU - COMUNIDADE QUILOMBOLA</v>
      </c>
      <c r="H1400" s="184" t="s">
        <v>7849</v>
      </c>
      <c r="I1400" s="91" t="s">
        <v>7850</v>
      </c>
      <c r="J1400" s="172" t="s">
        <v>4215</v>
      </c>
      <c r="K1400" s="83" t="s">
        <v>694</v>
      </c>
      <c r="L1400" s="83" t="s">
        <v>168</v>
      </c>
      <c r="M1400" s="83" t="s">
        <v>169</v>
      </c>
      <c r="N1400" s="115" t="s">
        <v>170</v>
      </c>
      <c r="O1400" s="98" t="s">
        <v>155</v>
      </c>
      <c r="P1400" s="99" t="str">
        <f>IFERROR(__xludf.DUMMYFUNCTION("IFERROR(VLOOKUP(AS1400,IMPORTRANGE(""https://docs.google.com/spreadsheets/d/1juPI-Fb8LD0YtltB2mlGEnp_R3UVu1t3wSFPzgCyHXE/edit?gid=0#gid=0"",""GERAL!A2:C""),3,0),""-"")"),"QUILOMBOLAS")</f>
        <v>QUILOMBOLAS</v>
      </c>
      <c r="Q1400" s="115" t="s">
        <v>171</v>
      </c>
      <c r="R1400" s="473">
        <v>3.0</v>
      </c>
      <c r="S1400" s="115">
        <v>0.0</v>
      </c>
      <c r="T1400" s="115">
        <v>0.0</v>
      </c>
      <c r="U1400" s="115">
        <v>0.0</v>
      </c>
      <c r="V1400" s="115">
        <v>0.0</v>
      </c>
      <c r="W1400" s="115">
        <v>0.0</v>
      </c>
      <c r="X1400" s="115">
        <v>0.0</v>
      </c>
      <c r="Y1400" s="115">
        <v>0.0</v>
      </c>
      <c r="Z1400" s="115">
        <v>0.0</v>
      </c>
      <c r="AA1400" s="115">
        <v>0.0</v>
      </c>
      <c r="AB1400" s="115">
        <v>0.0</v>
      </c>
      <c r="AC1400" s="115">
        <v>0.0</v>
      </c>
      <c r="AD1400" s="115">
        <v>0.0</v>
      </c>
      <c r="AE1400" s="98">
        <v>0.0</v>
      </c>
      <c r="AF1400" s="115">
        <v>0.0</v>
      </c>
      <c r="AG1400" s="115">
        <v>0.0</v>
      </c>
      <c r="AH1400" s="115">
        <v>0.0</v>
      </c>
      <c r="AI1400" s="98">
        <v>0.0</v>
      </c>
      <c r="AJ1400" s="115">
        <v>0.0</v>
      </c>
      <c r="AK1400" s="115">
        <v>0.0</v>
      </c>
      <c r="AL1400" s="115">
        <v>0.0</v>
      </c>
      <c r="AM1400" s="115">
        <v>0.0</v>
      </c>
      <c r="AN1400" s="115">
        <v>0.0</v>
      </c>
      <c r="AO1400" s="115">
        <v>0.0</v>
      </c>
      <c r="AP1400" s="115">
        <v>0.0</v>
      </c>
      <c r="AQ1400" s="115" t="s">
        <v>171</v>
      </c>
      <c r="AR1400" s="102">
        <v>46198.0</v>
      </c>
      <c r="AS1400" s="136">
        <v>1179002.0</v>
      </c>
    </row>
    <row r="1401" ht="15.75" customHeight="1">
      <c r="A1401" s="111" t="s">
        <v>1707</v>
      </c>
      <c r="B1401" s="83" t="s">
        <v>7792</v>
      </c>
      <c r="C1401" s="83" t="s">
        <v>164</v>
      </c>
      <c r="D1401" s="112">
        <v>1121261.0</v>
      </c>
      <c r="E1401" s="83">
        <v>1179004.0</v>
      </c>
      <c r="F1401" s="83"/>
      <c r="G1401" s="91" t="str">
        <f>IFERROR(__xludf.DUMMYFUNCTION("XLOOKUP(AS1401,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SENHOR DO BONFIM - DISTRITO DE QUICE")</f>
        <v>ANEXO - COLÉGIO ESTADUAL DE TEMPO INTEGRAL SENHOR DO BONFIM - DISTRITO DE QUICE</v>
      </c>
      <c r="H1401" s="184" t="s">
        <v>7852</v>
      </c>
      <c r="I1401" s="91" t="s">
        <v>7853</v>
      </c>
      <c r="J1401" s="136" t="s">
        <v>7854</v>
      </c>
      <c r="K1401" s="83" t="s">
        <v>767</v>
      </c>
      <c r="L1401" s="83" t="s">
        <v>168</v>
      </c>
      <c r="M1401" s="83" t="s">
        <v>169</v>
      </c>
      <c r="N1401" s="115" t="s">
        <v>170</v>
      </c>
      <c r="O1401" s="98" t="s">
        <v>155</v>
      </c>
      <c r="P1401" s="99" t="str">
        <f>IFERROR(__xludf.DUMMYFUNCTION("IFERROR(VLOOKUP(AS1401,IMPORTRANGE(""https://docs.google.com/spreadsheets/d/1juPI-Fb8LD0YtltB2mlGEnp_R3UVu1t3wSFPzgCyHXE/edit?gid=0#gid=0"",""GERAL!A2:C""),3,0),""-"")"),"-")</f>
        <v>-</v>
      </c>
      <c r="Q1401" s="115" t="s">
        <v>171</v>
      </c>
      <c r="R1401" s="473">
        <v>3.0</v>
      </c>
      <c r="S1401" s="115">
        <v>0.0</v>
      </c>
      <c r="T1401" s="115">
        <v>0.0</v>
      </c>
      <c r="U1401" s="115">
        <v>0.0</v>
      </c>
      <c r="V1401" s="115">
        <v>0.0</v>
      </c>
      <c r="W1401" s="115">
        <v>0.0</v>
      </c>
      <c r="X1401" s="115">
        <v>0.0</v>
      </c>
      <c r="Y1401" s="115">
        <v>0.0</v>
      </c>
      <c r="Z1401" s="115">
        <v>0.0</v>
      </c>
      <c r="AA1401" s="115">
        <v>0.0</v>
      </c>
      <c r="AB1401" s="115">
        <v>0.0</v>
      </c>
      <c r="AC1401" s="115">
        <v>0.0</v>
      </c>
      <c r="AD1401" s="115">
        <v>0.0</v>
      </c>
      <c r="AE1401" s="98">
        <v>0.0</v>
      </c>
      <c r="AF1401" s="115">
        <v>0.0</v>
      </c>
      <c r="AG1401" s="115">
        <v>0.0</v>
      </c>
      <c r="AH1401" s="115">
        <v>0.0</v>
      </c>
      <c r="AI1401" s="98">
        <v>0.0</v>
      </c>
      <c r="AJ1401" s="115">
        <v>0.0</v>
      </c>
      <c r="AK1401" s="115">
        <v>0.0</v>
      </c>
      <c r="AL1401" s="115">
        <v>0.0</v>
      </c>
      <c r="AM1401" s="115">
        <v>0.0</v>
      </c>
      <c r="AN1401" s="115">
        <v>0.0</v>
      </c>
      <c r="AO1401" s="115">
        <v>0.0</v>
      </c>
      <c r="AP1401" s="115">
        <v>0.0</v>
      </c>
      <c r="AQ1401" s="115" t="s">
        <v>171</v>
      </c>
      <c r="AR1401" s="102">
        <v>46198.0</v>
      </c>
      <c r="AS1401" s="136">
        <v>1179004.0</v>
      </c>
    </row>
    <row r="1402" ht="15.75" customHeight="1">
      <c r="A1402" s="111" t="s">
        <v>1707</v>
      </c>
      <c r="B1402" s="83" t="s">
        <v>7792</v>
      </c>
      <c r="C1402" s="83" t="s">
        <v>164</v>
      </c>
      <c r="D1402" s="112">
        <v>1121261.0</v>
      </c>
      <c r="E1402" s="211">
        <v>1179605.0</v>
      </c>
      <c r="F1402" s="83"/>
      <c r="G1402" s="91" t="str">
        <f>IFERROR(__xludf.DUMMYFUNCTION("XLOOKUP(AS1402,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SENHOR DO BONFIM - DISTRITO DE CARRAPICHEL")</f>
        <v>ANEXO - COLÉGIO ESTADUAL DE TEMPO INTEGRAL SENHOR DO BONFIM - DISTRITO DE CARRAPICHEL</v>
      </c>
      <c r="H1402" s="294" t="s">
        <v>7855</v>
      </c>
      <c r="I1402" s="91" t="s">
        <v>7856</v>
      </c>
      <c r="J1402" s="172" t="s">
        <v>7857</v>
      </c>
      <c r="K1402" s="83" t="s">
        <v>1386</v>
      </c>
      <c r="L1402" s="83" t="s">
        <v>151</v>
      </c>
      <c r="M1402" s="83" t="s">
        <v>169</v>
      </c>
      <c r="N1402" s="115" t="s">
        <v>170</v>
      </c>
      <c r="O1402" s="98" t="s">
        <v>155</v>
      </c>
      <c r="P1402" s="99" t="str">
        <f>IFERROR(__xludf.DUMMYFUNCTION("IFERROR(VLOOKUP(AS1402,IMPORTRANGE(""https://docs.google.com/spreadsheets/d/1juPI-Fb8LD0YtltB2mlGEnp_R3UVu1t3wSFPzgCyHXE/edit?gid=0#gid=0"",""GERAL!A2:C""),3,0),""-"")"),"-")</f>
        <v>-</v>
      </c>
      <c r="Q1402" s="115" t="s">
        <v>171</v>
      </c>
      <c r="R1402" s="473">
        <v>3.0</v>
      </c>
      <c r="S1402" s="115">
        <v>0.0</v>
      </c>
      <c r="T1402" s="115">
        <v>0.0</v>
      </c>
      <c r="U1402" s="115">
        <v>0.0</v>
      </c>
      <c r="V1402" s="115">
        <v>0.0</v>
      </c>
      <c r="W1402" s="115">
        <v>0.0</v>
      </c>
      <c r="X1402" s="115">
        <v>0.0</v>
      </c>
      <c r="Y1402" s="115">
        <v>0.0</v>
      </c>
      <c r="Z1402" s="115">
        <v>0.0</v>
      </c>
      <c r="AA1402" s="115">
        <v>0.0</v>
      </c>
      <c r="AB1402" s="115">
        <v>0.0</v>
      </c>
      <c r="AC1402" s="115">
        <v>1.0</v>
      </c>
      <c r="AD1402" s="115">
        <v>0.0</v>
      </c>
      <c r="AE1402" s="98">
        <v>0.0</v>
      </c>
      <c r="AF1402" s="115">
        <v>0.0</v>
      </c>
      <c r="AG1402" s="115">
        <v>1.0</v>
      </c>
      <c r="AH1402" s="115">
        <v>0.0</v>
      </c>
      <c r="AI1402" s="98">
        <v>0.0</v>
      </c>
      <c r="AJ1402" s="115">
        <v>0.0</v>
      </c>
      <c r="AK1402" s="115">
        <v>0.0</v>
      </c>
      <c r="AL1402" s="115">
        <v>0.0</v>
      </c>
      <c r="AM1402" s="115">
        <v>0.0</v>
      </c>
      <c r="AN1402" s="115">
        <v>0.0</v>
      </c>
      <c r="AO1402" s="115">
        <v>0.0</v>
      </c>
      <c r="AP1402" s="115">
        <v>0.0</v>
      </c>
      <c r="AQ1402" s="115" t="s">
        <v>171</v>
      </c>
      <c r="AR1402" s="102">
        <v>46198.0</v>
      </c>
      <c r="AS1402" s="136">
        <v>1179605.0</v>
      </c>
    </row>
    <row r="1403" ht="15.75" customHeight="1">
      <c r="A1403" s="111" t="s">
        <v>1785</v>
      </c>
      <c r="B1403" s="83" t="s">
        <v>2197</v>
      </c>
      <c r="C1403" s="83" t="s">
        <v>68</v>
      </c>
      <c r="D1403" s="112">
        <v>1178420.0</v>
      </c>
      <c r="E1403" s="83"/>
      <c r="F1403" s="485">
        <v>2.9397863E7</v>
      </c>
      <c r="G1403" s="91" t="str">
        <f>IFERROR(__xludf.DUMMYFUNCTION("XLOOKUP(AS1403,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NADIR ARAUJO COPQUE - TEMPO INTEGRAL")</f>
        <v>COLÉGIO ESTADUAL PROFESSORA NADIR ARAUJO COPQUE - TEMPO INTEGRAL</v>
      </c>
      <c r="H1403" s="119" t="s">
        <v>7858</v>
      </c>
      <c r="I1403" s="91" t="s">
        <v>7859</v>
      </c>
      <c r="J1403" s="238" t="s">
        <v>7860</v>
      </c>
      <c r="K1403" s="83" t="s">
        <v>7861</v>
      </c>
      <c r="L1403" s="83" t="s">
        <v>151</v>
      </c>
      <c r="M1403" s="83" t="s">
        <v>230</v>
      </c>
      <c r="N1403" s="137" t="s">
        <v>7862</v>
      </c>
      <c r="O1403" s="98" t="s">
        <v>162</v>
      </c>
      <c r="P1403" s="99" t="str">
        <f>IFERROR(__xludf.DUMMYFUNCTION("IFERROR(VLOOKUP(AS1403,IMPORTRANGE(""https://docs.google.com/spreadsheets/d/1juPI-Fb8LD0YtltB2mlGEnp_R3UVu1t3wSFPzgCyHXE/edit?gid=0#gid=0"",""GERAL!A2:C""),3,0),""-"")"),"-")</f>
        <v>-</v>
      </c>
      <c r="Q1403" s="101" t="s">
        <v>156</v>
      </c>
      <c r="R1403" s="486">
        <v>8.0</v>
      </c>
      <c r="S1403" s="98">
        <v>0.0</v>
      </c>
      <c r="T1403" s="98">
        <v>0.0</v>
      </c>
      <c r="U1403" s="98">
        <v>1.0</v>
      </c>
      <c r="V1403" s="98">
        <v>1.0</v>
      </c>
      <c r="W1403" s="98">
        <v>0.0</v>
      </c>
      <c r="X1403" s="98">
        <v>0.0</v>
      </c>
      <c r="Y1403" s="98">
        <v>0.0</v>
      </c>
      <c r="Z1403" s="98">
        <v>0.0</v>
      </c>
      <c r="AA1403" s="98">
        <v>0.0</v>
      </c>
      <c r="AB1403" s="98">
        <v>1.0</v>
      </c>
      <c r="AC1403" s="98">
        <v>0.0</v>
      </c>
      <c r="AD1403" s="98">
        <v>0.0</v>
      </c>
      <c r="AE1403" s="98">
        <v>0.0</v>
      </c>
      <c r="AF1403" s="98">
        <v>1.0</v>
      </c>
      <c r="AG1403" s="98">
        <v>0.0</v>
      </c>
      <c r="AH1403" s="98">
        <v>0.0</v>
      </c>
      <c r="AI1403" s="98">
        <v>0.0</v>
      </c>
      <c r="AJ1403" s="98">
        <v>0.0</v>
      </c>
      <c r="AK1403" s="98">
        <v>0.0</v>
      </c>
      <c r="AL1403" s="98">
        <v>0.0</v>
      </c>
      <c r="AM1403" s="98">
        <v>0.0</v>
      </c>
      <c r="AN1403" s="98">
        <v>0.0</v>
      </c>
      <c r="AO1403" s="98">
        <v>0.0</v>
      </c>
      <c r="AP1403" s="98">
        <v>0.0</v>
      </c>
      <c r="AQ1403" s="98" t="s">
        <v>171</v>
      </c>
      <c r="AR1403" s="102">
        <v>46198.0</v>
      </c>
      <c r="AS1403" s="83">
        <v>1178420.0</v>
      </c>
    </row>
    <row r="1404" ht="15.75" customHeight="1">
      <c r="A1404" s="111" t="s">
        <v>1785</v>
      </c>
      <c r="B1404" s="83" t="s">
        <v>2197</v>
      </c>
      <c r="C1404" s="83" t="s">
        <v>68</v>
      </c>
      <c r="D1404" s="84">
        <v>1104707.0</v>
      </c>
      <c r="E1404" s="82"/>
      <c r="F1404" s="83">
        <v>2.917595E7</v>
      </c>
      <c r="G1404" s="91" t="str">
        <f>IFERROR(__xludf.DUMMYFUNCTION("XLOOKUP(AS1404,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ROSÁLIA NATIVIDADE GOMES 
(ANTIGO POLIVALENTE)")</f>
        <v>COLÉGIO ESTADUAL DE TEMPO INTEGRAL ROSÁLIA NATIVIDADE GOMES 
(ANTIGO POLIVALENTE)</v>
      </c>
      <c r="H1404" s="108" t="s">
        <v>7863</v>
      </c>
      <c r="I1404" s="91" t="s">
        <v>7864</v>
      </c>
      <c r="J1404" s="83" t="s">
        <v>149</v>
      </c>
      <c r="K1404" s="83" t="s">
        <v>150</v>
      </c>
      <c r="L1404" s="83" t="s">
        <v>151</v>
      </c>
      <c r="M1404" s="83" t="s">
        <v>230</v>
      </c>
      <c r="N1404" s="385" t="s">
        <v>7865</v>
      </c>
      <c r="O1404" s="98" t="s">
        <v>284</v>
      </c>
      <c r="P1404" s="99" t="str">
        <f>IFERROR(__xludf.DUMMYFUNCTION("IFERROR(VLOOKUP(AS1404,IMPORTRANGE(""https://docs.google.com/spreadsheets/d/1juPI-Fb8LD0YtltB2mlGEnp_R3UVu1t3wSFPzgCyHXE/edit?gid=0#gid=0"",""GERAL!A2:C""),3,0),""-"")"),"-")</f>
        <v>-</v>
      </c>
      <c r="Q1404" s="101" t="s">
        <v>156</v>
      </c>
      <c r="R1404" s="486">
        <v>20.0</v>
      </c>
      <c r="S1404" s="98">
        <v>1.0</v>
      </c>
      <c r="T1404" s="98">
        <v>1.0</v>
      </c>
      <c r="U1404" s="98">
        <v>1.0</v>
      </c>
      <c r="V1404" s="98">
        <v>1.0</v>
      </c>
      <c r="W1404" s="98">
        <v>1.0</v>
      </c>
      <c r="X1404" s="98">
        <v>1.0</v>
      </c>
      <c r="Y1404" s="98">
        <v>0.0</v>
      </c>
      <c r="Z1404" s="98">
        <v>1.0</v>
      </c>
      <c r="AA1404" s="98">
        <v>0.0</v>
      </c>
      <c r="AB1404" s="98">
        <v>0.0</v>
      </c>
      <c r="AC1404" s="98">
        <v>1.0</v>
      </c>
      <c r="AD1404" s="98">
        <v>0.0</v>
      </c>
      <c r="AE1404" s="98">
        <v>0.0</v>
      </c>
      <c r="AF1404" s="98">
        <v>1.0</v>
      </c>
      <c r="AG1404" s="98">
        <v>0.0</v>
      </c>
      <c r="AH1404" s="98">
        <v>0.0</v>
      </c>
      <c r="AI1404" s="98">
        <v>0.0</v>
      </c>
      <c r="AJ1404" s="98">
        <v>1.0</v>
      </c>
      <c r="AK1404" s="98">
        <v>0.0</v>
      </c>
      <c r="AL1404" s="98">
        <v>0.0</v>
      </c>
      <c r="AM1404" s="98">
        <v>0.0</v>
      </c>
      <c r="AN1404" s="98">
        <v>0.0</v>
      </c>
      <c r="AO1404" s="98">
        <v>0.0</v>
      </c>
      <c r="AP1404" s="98">
        <v>0.0</v>
      </c>
      <c r="AQ1404" s="98" t="s">
        <v>7867</v>
      </c>
      <c r="AR1404" s="102">
        <v>46198.0</v>
      </c>
      <c r="AS1404" s="83">
        <v>1104707.0</v>
      </c>
    </row>
    <row r="1405" ht="15.75" customHeight="1">
      <c r="A1405" s="111" t="s">
        <v>1785</v>
      </c>
      <c r="B1405" s="83" t="s">
        <v>2197</v>
      </c>
      <c r="C1405" s="83" t="s">
        <v>68</v>
      </c>
      <c r="D1405" s="112">
        <v>1102259.0</v>
      </c>
      <c r="E1405" s="83"/>
      <c r="F1405" s="83">
        <v>2.9175518E7</v>
      </c>
      <c r="G1405" s="91" t="str">
        <f>IFERROR(__xludf.DUMMYFUNCTION("XLOOKUP(AS1405,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MASCARENHAS DE CAMAÇARI")</f>
        <v>COLÉGIO ESTADUAL DE TEMPO INTEGRAL MASCARENHAS DE CAMAÇARI</v>
      </c>
      <c r="H1405" s="119" t="s">
        <v>7868</v>
      </c>
      <c r="I1405" s="91" t="s">
        <v>7869</v>
      </c>
      <c r="J1405" s="83" t="s">
        <v>7870</v>
      </c>
      <c r="K1405" s="83" t="s">
        <v>150</v>
      </c>
      <c r="L1405" s="83" t="s">
        <v>151</v>
      </c>
      <c r="M1405" s="83" t="s">
        <v>230</v>
      </c>
      <c r="N1405" s="171" t="s">
        <v>7871</v>
      </c>
      <c r="O1405" s="98" t="s">
        <v>284</v>
      </c>
      <c r="P1405" s="99" t="str">
        <f>IFERROR(__xludf.DUMMYFUNCTION("IFERROR(VLOOKUP(AS1405,IMPORTRANGE(""https://docs.google.com/spreadsheets/d/1juPI-Fb8LD0YtltB2mlGEnp_R3UVu1t3wSFPzgCyHXE/edit?gid=0#gid=0"",""GERAL!A2:C""),3,0),""-"")"),"-")</f>
        <v>-</v>
      </c>
      <c r="Q1405" s="101" t="s">
        <v>156</v>
      </c>
      <c r="R1405" s="486">
        <v>37.0</v>
      </c>
      <c r="S1405" s="98">
        <v>0.0</v>
      </c>
      <c r="T1405" s="98">
        <v>0.0</v>
      </c>
      <c r="U1405" s="98">
        <v>0.0</v>
      </c>
      <c r="V1405" s="98">
        <v>1.0</v>
      </c>
      <c r="W1405" s="98">
        <v>3.0</v>
      </c>
      <c r="X1405" s="98">
        <v>1.0</v>
      </c>
      <c r="Y1405" s="98">
        <v>0.0</v>
      </c>
      <c r="Z1405" s="98">
        <v>1.0</v>
      </c>
      <c r="AA1405" s="98">
        <v>0.0</v>
      </c>
      <c r="AB1405" s="98">
        <v>1.0</v>
      </c>
      <c r="AC1405" s="98">
        <v>0.0</v>
      </c>
      <c r="AD1405" s="98">
        <v>0.0</v>
      </c>
      <c r="AE1405" s="98">
        <v>0.0</v>
      </c>
      <c r="AF1405" s="98">
        <v>1.0</v>
      </c>
      <c r="AG1405" s="98">
        <v>1.0</v>
      </c>
      <c r="AH1405" s="98">
        <v>0.0</v>
      </c>
      <c r="AI1405" s="98">
        <v>0.0</v>
      </c>
      <c r="AJ1405" s="98">
        <v>1.0</v>
      </c>
      <c r="AK1405" s="98">
        <v>0.0</v>
      </c>
      <c r="AL1405" s="98">
        <v>0.0</v>
      </c>
      <c r="AM1405" s="98">
        <v>0.0</v>
      </c>
      <c r="AN1405" s="98">
        <v>0.0</v>
      </c>
      <c r="AO1405" s="98">
        <v>1.0</v>
      </c>
      <c r="AP1405" s="98">
        <v>0.0</v>
      </c>
      <c r="AQ1405" s="98" t="s">
        <v>7872</v>
      </c>
      <c r="AR1405" s="102">
        <v>46198.0</v>
      </c>
      <c r="AS1405" s="83">
        <v>1102259.0</v>
      </c>
    </row>
    <row r="1406" ht="15.75" customHeight="1">
      <c r="A1406" s="111" t="s">
        <v>1785</v>
      </c>
      <c r="B1406" s="83" t="s">
        <v>2197</v>
      </c>
      <c r="C1406" s="83" t="s">
        <v>68</v>
      </c>
      <c r="D1406" s="112">
        <v>1101961.0</v>
      </c>
      <c r="E1406" s="83"/>
      <c r="F1406" s="83">
        <v>2.9175771E7</v>
      </c>
      <c r="G1406" s="91" t="str">
        <f>IFERROR(__xludf.DUMMYFUNCTION("XLOOKUP(AS1406,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GONÇALO MUNIZ 
")</f>
        <v>COLÉGIO ESTADUAL DE TEMPO INTEGRAL GONÇALO MUNIZ 
</v>
      </c>
      <c r="H1406" s="119" t="s">
        <v>7875</v>
      </c>
      <c r="I1406" s="91" t="s">
        <v>7876</v>
      </c>
      <c r="J1406" s="83" t="s">
        <v>7877</v>
      </c>
      <c r="K1406" s="83" t="s">
        <v>150</v>
      </c>
      <c r="L1406" s="83" t="s">
        <v>151</v>
      </c>
      <c r="M1406" s="83" t="s">
        <v>230</v>
      </c>
      <c r="N1406" s="171" t="s">
        <v>7878</v>
      </c>
      <c r="O1406" s="98" t="s">
        <v>162</v>
      </c>
      <c r="P1406" s="99" t="str">
        <f>IFERROR(__xludf.DUMMYFUNCTION("IFERROR(VLOOKUP(AS1406,IMPORTRANGE(""https://docs.google.com/spreadsheets/d/1juPI-Fb8LD0YtltB2mlGEnp_R3UVu1t3wSFPzgCyHXE/edit?gid=0#gid=0"",""GERAL!A2:C""),3,0),""-"")"),"-")</f>
        <v>-</v>
      </c>
      <c r="Q1406" s="101" t="s">
        <v>156</v>
      </c>
      <c r="R1406" s="488">
        <v>25.0</v>
      </c>
      <c r="S1406" s="98">
        <v>1.0</v>
      </c>
      <c r="T1406" s="98">
        <v>1.0</v>
      </c>
      <c r="U1406" s="98">
        <v>0.0</v>
      </c>
      <c r="V1406" s="98">
        <v>1.0</v>
      </c>
      <c r="W1406" s="98">
        <v>3.0</v>
      </c>
      <c r="X1406" s="98">
        <v>1.0</v>
      </c>
      <c r="Y1406" s="98">
        <v>0.0</v>
      </c>
      <c r="Z1406" s="98">
        <v>1.0</v>
      </c>
      <c r="AA1406" s="98">
        <v>0.0</v>
      </c>
      <c r="AB1406" s="98">
        <v>1.0</v>
      </c>
      <c r="AC1406" s="98">
        <v>0.0</v>
      </c>
      <c r="AD1406" s="98">
        <v>0.0</v>
      </c>
      <c r="AE1406" s="98">
        <v>0.0</v>
      </c>
      <c r="AF1406" s="98">
        <v>1.0</v>
      </c>
      <c r="AG1406" s="98">
        <v>0.0</v>
      </c>
      <c r="AH1406" s="98">
        <v>0.0</v>
      </c>
      <c r="AI1406" s="98">
        <v>0.0</v>
      </c>
      <c r="AJ1406" s="98">
        <v>0.0</v>
      </c>
      <c r="AK1406" s="98">
        <v>0.0</v>
      </c>
      <c r="AL1406" s="98">
        <v>0.0</v>
      </c>
      <c r="AM1406" s="98">
        <v>0.0</v>
      </c>
      <c r="AN1406" s="98">
        <v>0.0</v>
      </c>
      <c r="AO1406" s="98">
        <v>0.0</v>
      </c>
      <c r="AP1406" s="98">
        <v>0.0</v>
      </c>
      <c r="AQ1406" s="98" t="s">
        <v>7886</v>
      </c>
      <c r="AR1406" s="102">
        <v>46198.0</v>
      </c>
      <c r="AS1406" s="83">
        <v>1101961.0</v>
      </c>
    </row>
    <row r="1407" ht="15.75" customHeight="1">
      <c r="A1407" s="111" t="s">
        <v>1785</v>
      </c>
      <c r="B1407" s="83" t="s">
        <v>2197</v>
      </c>
      <c r="C1407" s="83" t="s">
        <v>68</v>
      </c>
      <c r="D1407" s="112">
        <v>1178400.0</v>
      </c>
      <c r="E1407" s="83"/>
      <c r="F1407" s="83">
        <v>2.9982758E7</v>
      </c>
      <c r="G1407" s="91" t="str">
        <f>IFERROR(__xludf.DUMMYFUNCTION("XLOOKUP(AS1407,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VILA DE ABRANTES")</f>
        <v>COLÉGIO ESTADUAL DE TEMPO INTEGRAL DE VILA DE ABRANTES</v>
      </c>
      <c r="H1407" s="119" t="s">
        <v>7887</v>
      </c>
      <c r="I1407" s="91" t="s">
        <v>7888</v>
      </c>
      <c r="J1407" s="83" t="s">
        <v>7889</v>
      </c>
      <c r="K1407" s="83" t="s">
        <v>7890</v>
      </c>
      <c r="L1407" s="98" t="s">
        <v>151</v>
      </c>
      <c r="M1407" s="83" t="s">
        <v>230</v>
      </c>
      <c r="N1407" s="171" t="s">
        <v>7893</v>
      </c>
      <c r="O1407" s="98" t="s">
        <v>176</v>
      </c>
      <c r="P1407" s="99" t="str">
        <f>IFERROR(__xludf.DUMMYFUNCTION("IFERROR(VLOOKUP(AS1407,IMPORTRANGE(""https://docs.google.com/spreadsheets/d/1juPI-Fb8LD0YtltB2mlGEnp_R3UVu1t3wSFPzgCyHXE/edit?gid=0#gid=0"",""GERAL!A2:C""),3,0),""-"")"),"-")</f>
        <v>-</v>
      </c>
      <c r="Q1407" s="101" t="s">
        <v>156</v>
      </c>
      <c r="R1407" s="486">
        <v>39.0</v>
      </c>
      <c r="S1407" s="98">
        <v>1.0</v>
      </c>
      <c r="T1407" s="98">
        <v>0.0</v>
      </c>
      <c r="U1407" s="98">
        <v>0.0</v>
      </c>
      <c r="V1407" s="98">
        <v>0.0</v>
      </c>
      <c r="W1407" s="98">
        <v>0.0</v>
      </c>
      <c r="X1407" s="98">
        <v>0.0</v>
      </c>
      <c r="Y1407" s="98">
        <v>0.0</v>
      </c>
      <c r="Z1407" s="98">
        <v>1.0</v>
      </c>
      <c r="AA1407" s="98">
        <v>0.0</v>
      </c>
      <c r="AB1407" s="98">
        <v>1.0</v>
      </c>
      <c r="AC1407" s="98">
        <v>0.0</v>
      </c>
      <c r="AD1407" s="98">
        <v>1.0</v>
      </c>
      <c r="AE1407" s="98">
        <v>0.0</v>
      </c>
      <c r="AF1407" s="98">
        <v>1.0</v>
      </c>
      <c r="AG1407" s="98">
        <v>0.0</v>
      </c>
      <c r="AH1407" s="98">
        <v>0.0</v>
      </c>
      <c r="AI1407" s="98">
        <v>0.0</v>
      </c>
      <c r="AJ1407" s="98">
        <v>0.0</v>
      </c>
      <c r="AK1407" s="98">
        <v>0.0</v>
      </c>
      <c r="AL1407" s="98">
        <v>0.0</v>
      </c>
      <c r="AM1407" s="98">
        <v>0.0</v>
      </c>
      <c r="AN1407" s="98">
        <v>0.0</v>
      </c>
      <c r="AO1407" s="98">
        <v>1.0</v>
      </c>
      <c r="AP1407" s="98">
        <v>4.0</v>
      </c>
      <c r="AQ1407" s="98" t="s">
        <v>7899</v>
      </c>
      <c r="AR1407" s="102">
        <v>46198.0</v>
      </c>
      <c r="AS1407" s="83">
        <v>1178400.0</v>
      </c>
    </row>
    <row r="1408" ht="15.75" customHeight="1">
      <c r="A1408" s="111" t="s">
        <v>1785</v>
      </c>
      <c r="B1408" s="83" t="s">
        <v>2197</v>
      </c>
      <c r="C1408" s="83" t="s">
        <v>68</v>
      </c>
      <c r="D1408" s="112">
        <v>1178399.0</v>
      </c>
      <c r="E1408" s="83"/>
      <c r="F1408" s="83">
        <v>2.9362016E7</v>
      </c>
      <c r="G1408" s="91" t="str">
        <f>IFERROR(__xludf.DUMMYFUNCTION("XLOOKUP(AS1408,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MONTE GORDO")</f>
        <v>COLÉGIO ESTADUAL DE TEMPO INTEGRAL DE MONTE GORDO</v>
      </c>
      <c r="H1408" s="119" t="s">
        <v>7900</v>
      </c>
      <c r="I1408" s="91" t="s">
        <v>7901</v>
      </c>
      <c r="J1408" s="83" t="s">
        <v>7902</v>
      </c>
      <c r="K1408" s="83" t="s">
        <v>7903</v>
      </c>
      <c r="L1408" s="83" t="s">
        <v>151</v>
      </c>
      <c r="M1408" s="83" t="s">
        <v>230</v>
      </c>
      <c r="N1408" s="223" t="s">
        <v>7904</v>
      </c>
      <c r="O1408" s="98" t="s">
        <v>162</v>
      </c>
      <c r="P1408" s="99" t="str">
        <f>IFERROR(__xludf.DUMMYFUNCTION("IFERROR(VLOOKUP(AS1408,IMPORTRANGE(""https://docs.google.com/spreadsheets/d/1juPI-Fb8LD0YtltB2mlGEnp_R3UVu1t3wSFPzgCyHXE/edit?gid=0#gid=0"",""GERAL!A2:C""),3,0),""-"")"),"-")</f>
        <v>-</v>
      </c>
      <c r="Q1408" s="101" t="s">
        <v>156</v>
      </c>
      <c r="R1408" s="486">
        <v>23.0</v>
      </c>
      <c r="S1408" s="98">
        <v>1.0</v>
      </c>
      <c r="T1408" s="98">
        <v>1.0</v>
      </c>
      <c r="U1408" s="98">
        <v>1.0</v>
      </c>
      <c r="V1408" s="98">
        <v>1.0</v>
      </c>
      <c r="W1408" s="98">
        <v>0.0</v>
      </c>
      <c r="X1408" s="98">
        <v>1.0</v>
      </c>
      <c r="Y1408" s="98">
        <v>2.0</v>
      </c>
      <c r="Z1408" s="98">
        <v>0.0</v>
      </c>
      <c r="AA1408" s="98">
        <v>1.0</v>
      </c>
      <c r="AB1408" s="98">
        <v>0.0</v>
      </c>
      <c r="AC1408" s="98">
        <v>1.0</v>
      </c>
      <c r="AD1408" s="98">
        <v>0.0</v>
      </c>
      <c r="AE1408" s="98">
        <v>0.0</v>
      </c>
      <c r="AF1408" s="98">
        <v>0.0</v>
      </c>
      <c r="AG1408" s="98">
        <v>1.0</v>
      </c>
      <c r="AH1408" s="98">
        <v>0.0</v>
      </c>
      <c r="AI1408" s="98">
        <v>0.0</v>
      </c>
      <c r="AJ1408" s="98">
        <v>1.0</v>
      </c>
      <c r="AK1408" s="98">
        <v>0.0</v>
      </c>
      <c r="AL1408" s="98">
        <v>0.0</v>
      </c>
      <c r="AM1408" s="98">
        <v>0.0</v>
      </c>
      <c r="AN1408" s="98">
        <v>0.0</v>
      </c>
      <c r="AO1408" s="98">
        <v>1.0</v>
      </c>
      <c r="AP1408" s="98">
        <v>0.0</v>
      </c>
      <c r="AQ1408" s="98" t="s">
        <v>7911</v>
      </c>
      <c r="AR1408" s="102">
        <v>46198.0</v>
      </c>
      <c r="AS1408" s="83">
        <v>1178399.0</v>
      </c>
    </row>
    <row r="1409" ht="15.75" customHeight="1">
      <c r="A1409" s="111" t="s">
        <v>1785</v>
      </c>
      <c r="B1409" s="83" t="s">
        <v>2197</v>
      </c>
      <c r="C1409" s="83" t="s">
        <v>68</v>
      </c>
      <c r="D1409" s="112">
        <v>1177090.0</v>
      </c>
      <c r="E1409" s="83"/>
      <c r="F1409" s="83">
        <v>2.941368E7</v>
      </c>
      <c r="G1409" s="91" t="str">
        <f>IFERROR(__xludf.DUMMYFUNCTION("XLOOKUP(AS1409,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CAMAÇARI - (ANTIGO MODELO)")</f>
        <v>COLÉGIO ESTADUAL DE TEMPO INTEGRAL DE CAMAÇARI - (ANTIGO MODELO)</v>
      </c>
      <c r="H1409" s="119" t="s">
        <v>7912</v>
      </c>
      <c r="I1409" s="91" t="s">
        <v>7913</v>
      </c>
      <c r="J1409" s="83" t="s">
        <v>149</v>
      </c>
      <c r="K1409" s="83" t="s">
        <v>150</v>
      </c>
      <c r="L1409" s="83" t="s">
        <v>151</v>
      </c>
      <c r="M1409" s="83" t="s">
        <v>230</v>
      </c>
      <c r="N1409" s="171" t="s">
        <v>7914</v>
      </c>
      <c r="O1409" s="98" t="s">
        <v>284</v>
      </c>
      <c r="P1409" s="99" t="str">
        <f>IFERROR(__xludf.DUMMYFUNCTION("IFERROR(VLOOKUP(AS1409,IMPORTRANGE(""https://docs.google.com/spreadsheets/d/1juPI-Fb8LD0YtltB2mlGEnp_R3UVu1t3wSFPzgCyHXE/edit?gid=0#gid=0"",""GERAL!A2:C""),3,0),""-"")"),"-")</f>
        <v>-</v>
      </c>
      <c r="Q1409" s="101" t="s">
        <v>156</v>
      </c>
      <c r="R1409" s="486">
        <v>20.0</v>
      </c>
      <c r="S1409" s="98">
        <v>0.0</v>
      </c>
      <c r="T1409" s="98">
        <v>1.0</v>
      </c>
      <c r="U1409" s="98">
        <v>1.0</v>
      </c>
      <c r="V1409" s="98">
        <v>1.0</v>
      </c>
      <c r="W1409" s="98">
        <v>1.0</v>
      </c>
      <c r="X1409" s="98">
        <v>1.0</v>
      </c>
      <c r="Y1409" s="98">
        <v>0.0</v>
      </c>
      <c r="Z1409" s="98">
        <v>1.0</v>
      </c>
      <c r="AA1409" s="98">
        <v>0.0</v>
      </c>
      <c r="AB1409" s="98">
        <v>1.0</v>
      </c>
      <c r="AC1409" s="98">
        <v>0.0</v>
      </c>
      <c r="AD1409" s="98">
        <v>0.0</v>
      </c>
      <c r="AE1409" s="98">
        <v>0.0</v>
      </c>
      <c r="AF1409" s="98">
        <v>1.0</v>
      </c>
      <c r="AG1409" s="98">
        <v>0.0</v>
      </c>
      <c r="AH1409" s="98">
        <v>0.0</v>
      </c>
      <c r="AI1409" s="98">
        <v>0.0</v>
      </c>
      <c r="AJ1409" s="98">
        <v>1.0</v>
      </c>
      <c r="AK1409" s="98">
        <v>0.0</v>
      </c>
      <c r="AL1409" s="98">
        <v>0.0</v>
      </c>
      <c r="AM1409" s="98">
        <v>0.0</v>
      </c>
      <c r="AN1409" s="98">
        <v>0.0</v>
      </c>
      <c r="AO1409" s="98">
        <v>0.0</v>
      </c>
      <c r="AP1409" s="98">
        <v>0.0</v>
      </c>
      <c r="AQ1409" s="98" t="s">
        <v>7921</v>
      </c>
      <c r="AR1409" s="102">
        <v>46198.0</v>
      </c>
      <c r="AS1409" s="83">
        <v>1177090.0</v>
      </c>
    </row>
    <row r="1410" ht="15.75" customHeight="1">
      <c r="A1410" s="111" t="s">
        <v>1785</v>
      </c>
      <c r="B1410" s="83" t="s">
        <v>2197</v>
      </c>
      <c r="C1410" s="83" t="s">
        <v>68</v>
      </c>
      <c r="D1410" s="112">
        <v>1178445.0</v>
      </c>
      <c r="E1410" s="83"/>
      <c r="F1410" s="83">
        <v>2.9448018E7</v>
      </c>
      <c r="G1410" s="91" t="str">
        <f>IFERROR(__xludf.DUMMYFUNCTION("XLOOKUP(AS1410,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BARRA DE POJUCA")</f>
        <v>COLÉGIO ESTADUAL DE TEMPO INTEGRAL DE BARRA DE POJUCA</v>
      </c>
      <c r="H1410" s="119" t="s">
        <v>7925</v>
      </c>
      <c r="I1410" s="91" t="s">
        <v>7926</v>
      </c>
      <c r="J1410" s="83" t="s">
        <v>149</v>
      </c>
      <c r="K1410" s="83" t="s">
        <v>7927</v>
      </c>
      <c r="L1410" s="83" t="s">
        <v>151</v>
      </c>
      <c r="M1410" s="83" t="s">
        <v>230</v>
      </c>
      <c r="N1410" s="171" t="s">
        <v>7928</v>
      </c>
      <c r="O1410" s="98" t="s">
        <v>162</v>
      </c>
      <c r="P1410" s="99" t="str">
        <f>IFERROR(__xludf.DUMMYFUNCTION("IFERROR(VLOOKUP(AS1410,IMPORTRANGE(""https://docs.google.com/spreadsheets/d/1juPI-Fb8LD0YtltB2mlGEnp_R3UVu1t3wSFPzgCyHXE/edit?gid=0#gid=0"",""GERAL!A2:C""),3,0),""-"")"),"-")</f>
        <v>-</v>
      </c>
      <c r="Q1410" s="101" t="s">
        <v>156</v>
      </c>
      <c r="R1410" s="486">
        <v>19.0</v>
      </c>
      <c r="S1410" s="98">
        <v>0.0</v>
      </c>
      <c r="T1410" s="98">
        <v>0.0</v>
      </c>
      <c r="U1410" s="98">
        <v>1.0</v>
      </c>
      <c r="V1410" s="98">
        <v>1.0</v>
      </c>
      <c r="W1410" s="98">
        <v>0.0</v>
      </c>
      <c r="X1410" s="98">
        <v>1.0</v>
      </c>
      <c r="Y1410" s="98">
        <v>0.0</v>
      </c>
      <c r="Z1410" s="98">
        <v>1.0</v>
      </c>
      <c r="AA1410" s="98">
        <v>0.0</v>
      </c>
      <c r="AB1410" s="98">
        <v>1.0</v>
      </c>
      <c r="AC1410" s="98">
        <v>0.0</v>
      </c>
      <c r="AD1410" s="98">
        <v>0.0</v>
      </c>
      <c r="AE1410" s="98">
        <v>0.0</v>
      </c>
      <c r="AF1410" s="98">
        <v>1.0</v>
      </c>
      <c r="AG1410" s="98">
        <v>0.0</v>
      </c>
      <c r="AH1410" s="98">
        <v>0.0</v>
      </c>
      <c r="AI1410" s="98">
        <v>0.0</v>
      </c>
      <c r="AJ1410" s="98">
        <v>0.0</v>
      </c>
      <c r="AK1410" s="98">
        <v>1.0</v>
      </c>
      <c r="AL1410" s="98">
        <v>0.0</v>
      </c>
      <c r="AM1410" s="98">
        <v>0.0</v>
      </c>
      <c r="AN1410" s="98">
        <v>0.0</v>
      </c>
      <c r="AO1410" s="98">
        <v>0.0</v>
      </c>
      <c r="AP1410" s="98">
        <v>1.0</v>
      </c>
      <c r="AQ1410" s="98" t="s">
        <v>3115</v>
      </c>
      <c r="AR1410" s="102">
        <v>46198.0</v>
      </c>
      <c r="AS1410" s="83">
        <v>1178445.0</v>
      </c>
    </row>
    <row r="1411" ht="15.75" customHeight="1">
      <c r="A1411" s="111" t="s">
        <v>1785</v>
      </c>
      <c r="B1411" s="83" t="s">
        <v>2197</v>
      </c>
      <c r="C1411" s="83" t="s">
        <v>68</v>
      </c>
      <c r="D1411" s="112">
        <v>1176611.0</v>
      </c>
      <c r="E1411" s="83"/>
      <c r="F1411" s="83">
        <v>2.9447348E7</v>
      </c>
      <c r="G1411" s="91" t="str">
        <f>IFERROR(__xludf.DUMMYFUNCTION("XLOOKUP(AS1411,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DA REGIAO METROPOLITANA")</f>
        <v>CENTRO TERRITORIAL DE EDUCACAO PROFISSIONAL DA REGIAO METROPOLITANA</v>
      </c>
      <c r="H1411" s="114" t="s">
        <v>7936</v>
      </c>
      <c r="I1411" s="91" t="s">
        <v>7937</v>
      </c>
      <c r="J1411" s="83" t="s">
        <v>149</v>
      </c>
      <c r="K1411" s="83" t="s">
        <v>150</v>
      </c>
      <c r="L1411" s="83" t="s">
        <v>151</v>
      </c>
      <c r="M1411" s="83" t="s">
        <v>230</v>
      </c>
      <c r="N1411" s="385" t="s">
        <v>7938</v>
      </c>
      <c r="O1411" s="98" t="s">
        <v>155</v>
      </c>
      <c r="P1411" s="99" t="str">
        <f>IFERROR(__xludf.DUMMYFUNCTION("IFERROR(VLOOKUP(AS1411,IMPORTRANGE(""https://docs.google.com/spreadsheets/d/1juPI-Fb8LD0YtltB2mlGEnp_R3UVu1t3wSFPzgCyHXE/edit?gid=0#gid=0"",""GERAL!A2:C""),3,0),""-"")"),"-")</f>
        <v>-</v>
      </c>
      <c r="Q1411" s="101" t="s">
        <v>156</v>
      </c>
      <c r="R1411" s="486">
        <v>16.0</v>
      </c>
      <c r="S1411" s="98">
        <v>0.0</v>
      </c>
      <c r="T1411" s="98">
        <v>0.0</v>
      </c>
      <c r="U1411" s="98">
        <v>0.0</v>
      </c>
      <c r="V1411" s="98">
        <v>1.0</v>
      </c>
      <c r="W1411" s="98">
        <v>6.0</v>
      </c>
      <c r="X1411" s="98">
        <v>1.0</v>
      </c>
      <c r="Y1411" s="98">
        <v>0.0</v>
      </c>
      <c r="Z1411" s="98">
        <v>0.0</v>
      </c>
      <c r="AA1411" s="98">
        <v>0.0</v>
      </c>
      <c r="AB1411" s="98">
        <v>0.0</v>
      </c>
      <c r="AC1411" s="98">
        <v>1.0</v>
      </c>
      <c r="AD1411" s="98">
        <v>0.0</v>
      </c>
      <c r="AE1411" s="98">
        <v>0.0</v>
      </c>
      <c r="AF1411" s="98">
        <v>0.0</v>
      </c>
      <c r="AG1411" s="98">
        <v>0.0</v>
      </c>
      <c r="AH1411" s="98">
        <v>0.0</v>
      </c>
      <c r="AI1411" s="98">
        <v>0.0</v>
      </c>
      <c r="AJ1411" s="98">
        <v>0.0</v>
      </c>
      <c r="AK1411" s="98">
        <v>0.0</v>
      </c>
      <c r="AL1411" s="98">
        <v>0.0</v>
      </c>
      <c r="AM1411" s="98">
        <v>0.0</v>
      </c>
      <c r="AN1411" s="98">
        <v>0.0</v>
      </c>
      <c r="AO1411" s="98">
        <v>0.0</v>
      </c>
      <c r="AP1411" s="98">
        <v>0.0</v>
      </c>
      <c r="AQ1411" s="98" t="s">
        <v>7940</v>
      </c>
      <c r="AR1411" s="102">
        <v>46198.0</v>
      </c>
      <c r="AS1411" s="83">
        <v>1176611.0</v>
      </c>
    </row>
    <row r="1412" ht="15.75" customHeight="1">
      <c r="A1412" s="111" t="s">
        <v>1785</v>
      </c>
      <c r="B1412" s="83" t="s">
        <v>2197</v>
      </c>
      <c r="C1412" s="83" t="s">
        <v>164</v>
      </c>
      <c r="D1412" s="112">
        <v>1102259.0</v>
      </c>
      <c r="E1412" s="83">
        <v>1179297.0</v>
      </c>
      <c r="F1412" s="83"/>
      <c r="G1412" s="91" t="str">
        <f>IFERROR(__xludf.DUMMYFUNCTION("XLOOKUP(AS1412,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COLÉGIO ESTADUAL DE TEMPO INTEGRAL MASCARENHAS DE CAMACARI - CASE")</f>
        <v>ANEXO DO COLÉGIO ESTADUAL DE TEMPO INTEGRAL MASCARENHAS DE CAMACARI - CASE</v>
      </c>
      <c r="H1412" s="119" t="s">
        <v>7941</v>
      </c>
      <c r="I1412" s="91" t="s">
        <v>7942</v>
      </c>
      <c r="J1412" s="83" t="s">
        <v>7943</v>
      </c>
      <c r="K1412" s="83" t="s">
        <v>7944</v>
      </c>
      <c r="L1412" s="83" t="s">
        <v>168</v>
      </c>
      <c r="M1412" s="83" t="s">
        <v>169</v>
      </c>
      <c r="N1412" s="115" t="s">
        <v>170</v>
      </c>
      <c r="O1412" s="98" t="s">
        <v>155</v>
      </c>
      <c r="P1412" s="99" t="str">
        <f>IFERROR(__xludf.DUMMYFUNCTION("IFERROR(VLOOKUP(AS1412,IMPORTRANGE(""https://docs.google.com/spreadsheets/d/1juPI-Fb8LD0YtltB2mlGEnp_R3UVu1t3wSFPzgCyHXE/edit?gid=0#gid=0"",""GERAL!A2:C""),3,0),""-"")"),"-")</f>
        <v>-</v>
      </c>
      <c r="Q1412" s="98" t="s">
        <v>171</v>
      </c>
      <c r="R1412" s="486">
        <v>3.0</v>
      </c>
      <c r="S1412" s="98">
        <v>0.0</v>
      </c>
      <c r="T1412" s="98">
        <v>0.0</v>
      </c>
      <c r="U1412" s="98">
        <v>0.0</v>
      </c>
      <c r="V1412" s="98">
        <v>0.0</v>
      </c>
      <c r="W1412" s="98">
        <v>0.0</v>
      </c>
      <c r="X1412" s="98">
        <v>0.0</v>
      </c>
      <c r="Y1412" s="98">
        <v>0.0</v>
      </c>
      <c r="Z1412" s="98">
        <v>0.0</v>
      </c>
      <c r="AA1412" s="98">
        <v>0.0</v>
      </c>
      <c r="AB1412" s="98">
        <v>0.0</v>
      </c>
      <c r="AC1412" s="98">
        <v>0.0</v>
      </c>
      <c r="AD1412" s="98">
        <v>0.0</v>
      </c>
      <c r="AE1412" s="98">
        <v>0.0</v>
      </c>
      <c r="AF1412" s="98">
        <v>0.0</v>
      </c>
      <c r="AG1412" s="98">
        <v>0.0</v>
      </c>
      <c r="AH1412" s="98">
        <v>0.0</v>
      </c>
      <c r="AI1412" s="98">
        <v>0.0</v>
      </c>
      <c r="AJ1412" s="98">
        <v>0.0</v>
      </c>
      <c r="AK1412" s="98">
        <v>0.0</v>
      </c>
      <c r="AL1412" s="98">
        <v>0.0</v>
      </c>
      <c r="AM1412" s="98">
        <v>0.0</v>
      </c>
      <c r="AN1412" s="98">
        <v>0.0</v>
      </c>
      <c r="AO1412" s="98">
        <v>0.0</v>
      </c>
      <c r="AP1412" s="98">
        <v>0.0</v>
      </c>
      <c r="AQ1412" s="98" t="s">
        <v>171</v>
      </c>
      <c r="AR1412" s="102">
        <v>46198.0</v>
      </c>
      <c r="AS1412" s="83">
        <v>1179297.0</v>
      </c>
    </row>
    <row r="1413" ht="90.0" customHeight="1">
      <c r="A1413" s="111" t="s">
        <v>1785</v>
      </c>
      <c r="B1413" s="83" t="s">
        <v>2197</v>
      </c>
      <c r="C1413" s="83" t="s">
        <v>164</v>
      </c>
      <c r="D1413" s="112">
        <v>1178420.0</v>
      </c>
      <c r="E1413" s="83">
        <v>1178569.0</v>
      </c>
      <c r="F1413" s="83"/>
      <c r="G1413" s="91" t="str">
        <f>IFERROR(__xludf.DUMMYFUNCTION("XLOOKUP(AS1413,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NADIR ARAUJO COPQUE - DISTRITO DE AREIAS")</f>
        <v>ANEXO - COLÉGIO ESTADUAL PROFESSORA NADIR ARAUJO COPQUE - DISTRITO DE AREIAS</v>
      </c>
      <c r="H1413" s="119" t="s">
        <v>7947</v>
      </c>
      <c r="I1413" s="91" t="s">
        <v>7948</v>
      </c>
      <c r="J1413" s="193" t="s">
        <v>171</v>
      </c>
      <c r="K1413" s="98" t="s">
        <v>7949</v>
      </c>
      <c r="L1413" s="83" t="s">
        <v>168</v>
      </c>
      <c r="M1413" s="83" t="s">
        <v>512</v>
      </c>
      <c r="N1413" s="115" t="s">
        <v>170</v>
      </c>
      <c r="O1413" s="98" t="s">
        <v>155</v>
      </c>
      <c r="P1413" s="99" t="str">
        <f>IFERROR(__xludf.DUMMYFUNCTION("IFERROR(VLOOKUP(AS1413,IMPORTRANGE(""https://docs.google.com/spreadsheets/d/1juPI-Fb8LD0YtltB2mlGEnp_R3UVu1t3wSFPzgCyHXE/edit?gid=0#gid=0"",""GERAL!A2:C""),3,0),""-"")"),"-")</f>
        <v>-</v>
      </c>
      <c r="Q1413" s="98" t="s">
        <v>171</v>
      </c>
      <c r="R1413" s="489" t="s">
        <v>171</v>
      </c>
      <c r="S1413" s="98" t="s">
        <v>171</v>
      </c>
      <c r="T1413" s="98" t="s">
        <v>171</v>
      </c>
      <c r="U1413" s="98" t="s">
        <v>171</v>
      </c>
      <c r="V1413" s="98" t="s">
        <v>171</v>
      </c>
      <c r="W1413" s="98" t="s">
        <v>171</v>
      </c>
      <c r="X1413" s="98" t="s">
        <v>171</v>
      </c>
      <c r="Y1413" s="98" t="s">
        <v>171</v>
      </c>
      <c r="Z1413" s="98" t="s">
        <v>171</v>
      </c>
      <c r="AA1413" s="98" t="s">
        <v>171</v>
      </c>
      <c r="AB1413" s="98" t="s">
        <v>171</v>
      </c>
      <c r="AC1413" s="98" t="s">
        <v>171</v>
      </c>
      <c r="AD1413" s="98" t="s">
        <v>171</v>
      </c>
      <c r="AE1413" s="98" t="s">
        <v>171</v>
      </c>
      <c r="AF1413" s="98" t="s">
        <v>171</v>
      </c>
      <c r="AG1413" s="98" t="s">
        <v>171</v>
      </c>
      <c r="AH1413" s="98" t="s">
        <v>171</v>
      </c>
      <c r="AI1413" s="98"/>
      <c r="AJ1413" s="98" t="s">
        <v>171</v>
      </c>
      <c r="AK1413" s="98" t="s">
        <v>171</v>
      </c>
      <c r="AL1413" s="98" t="s">
        <v>171</v>
      </c>
      <c r="AM1413" s="98" t="s">
        <v>171</v>
      </c>
      <c r="AN1413" s="98" t="s">
        <v>171</v>
      </c>
      <c r="AO1413" s="98" t="s">
        <v>171</v>
      </c>
      <c r="AP1413" s="98" t="s">
        <v>171</v>
      </c>
      <c r="AQ1413" s="98" t="s">
        <v>171</v>
      </c>
      <c r="AR1413" s="102">
        <v>46198.0</v>
      </c>
      <c r="AS1413" s="83">
        <v>1178569.0</v>
      </c>
    </row>
    <row r="1414" ht="15.75" customHeight="1">
      <c r="A1414" s="111" t="s">
        <v>1785</v>
      </c>
      <c r="B1414" s="83" t="s">
        <v>6403</v>
      </c>
      <c r="C1414" s="83" t="s">
        <v>68</v>
      </c>
      <c r="D1414" s="112">
        <v>1103719.0</v>
      </c>
      <c r="E1414" s="83"/>
      <c r="F1414" s="83">
        <v>2.917709E7</v>
      </c>
      <c r="G1414" s="91" t="str">
        <f>IFERROR(__xludf.DUMMYFUNCTION("XLOOKUP(AS1414,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OURO NEGRO")</f>
        <v>COLÉGIO ESTADUAL OURO NEGRO</v>
      </c>
      <c r="H1414" s="119" t="s">
        <v>7956</v>
      </c>
      <c r="I1414" s="91" t="s">
        <v>7957</v>
      </c>
      <c r="J1414" s="83" t="s">
        <v>149</v>
      </c>
      <c r="K1414" s="83" t="s">
        <v>150</v>
      </c>
      <c r="L1414" s="83" t="s">
        <v>151</v>
      </c>
      <c r="M1414" s="83" t="s">
        <v>152</v>
      </c>
      <c r="N1414" s="137" t="s">
        <v>7958</v>
      </c>
      <c r="O1414" s="98" t="s">
        <v>155</v>
      </c>
      <c r="P1414" s="99" t="str">
        <f>IFERROR(__xludf.DUMMYFUNCTION("IFERROR(VLOOKUP(AS1414,IMPORTRANGE(""https://docs.google.com/spreadsheets/d/1juPI-Fb8LD0YtltB2mlGEnp_R3UVu1t3wSFPzgCyHXE/edit?gid=0#gid=0"",""GERAL!A2:C""),3,0),""-"")"),"-")</f>
        <v>-</v>
      </c>
      <c r="Q1414" s="83"/>
      <c r="R1414" s="83"/>
      <c r="S1414" s="83"/>
      <c r="T1414" s="83"/>
      <c r="U1414" s="83"/>
      <c r="V1414" s="83"/>
      <c r="W1414" s="83"/>
      <c r="X1414" s="83"/>
      <c r="Y1414" s="83"/>
      <c r="Z1414" s="83"/>
      <c r="AA1414" s="83"/>
      <c r="AB1414" s="83"/>
      <c r="AC1414" s="83"/>
      <c r="AD1414" s="83"/>
      <c r="AE1414" s="83"/>
      <c r="AF1414" s="83"/>
      <c r="AG1414" s="83"/>
      <c r="AH1414" s="83"/>
      <c r="AI1414" s="83"/>
      <c r="AJ1414" s="83"/>
      <c r="AK1414" s="83"/>
      <c r="AL1414" s="83"/>
      <c r="AM1414" s="83"/>
      <c r="AN1414" s="83"/>
      <c r="AO1414" s="83"/>
      <c r="AP1414" s="83"/>
      <c r="AQ1414" s="83"/>
      <c r="AR1414" s="83"/>
      <c r="AS1414" s="83">
        <v>1103719.0</v>
      </c>
    </row>
    <row r="1415" ht="15.75" customHeight="1">
      <c r="A1415" s="111" t="s">
        <v>1785</v>
      </c>
      <c r="B1415" s="83" t="s">
        <v>6403</v>
      </c>
      <c r="C1415" s="83" t="s">
        <v>68</v>
      </c>
      <c r="D1415" s="112">
        <v>1104863.0</v>
      </c>
      <c r="E1415" s="83"/>
      <c r="F1415" s="83">
        <v>2.9176808E7</v>
      </c>
      <c r="G1415" s="91" t="str">
        <f>IFERROR(__xludf.DUMMYFUNCTION("XLOOKUP(AS1415,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LUIZ VIANA FILHO")</f>
        <v>COLÉGIO ESTADUAL LUIZ VIANA FILHO</v>
      </c>
      <c r="H1415" s="119" t="s">
        <v>7959</v>
      </c>
      <c r="I1415" s="91" t="s">
        <v>7960</v>
      </c>
      <c r="J1415" s="83" t="s">
        <v>7961</v>
      </c>
      <c r="K1415" s="83" t="s">
        <v>150</v>
      </c>
      <c r="L1415" s="83" t="s">
        <v>151</v>
      </c>
      <c r="M1415" s="83" t="s">
        <v>152</v>
      </c>
      <c r="N1415" s="137" t="s">
        <v>7962</v>
      </c>
      <c r="O1415" s="98" t="s">
        <v>155</v>
      </c>
      <c r="P1415" s="99" t="str">
        <f>IFERROR(__xludf.DUMMYFUNCTION("IFERROR(VLOOKUP(AS1415,IMPORTRANGE(""https://docs.google.com/spreadsheets/d/1juPI-Fb8LD0YtltB2mlGEnp_R3UVu1t3wSFPzgCyHXE/edit?gid=0#gid=0"",""GERAL!A2:C""),3,0),""-"")"),"-")</f>
        <v>-</v>
      </c>
      <c r="Q1415" s="83"/>
      <c r="R1415" s="83"/>
      <c r="S1415" s="83"/>
      <c r="T1415" s="83"/>
      <c r="U1415" s="83"/>
      <c r="V1415" s="83"/>
      <c r="W1415" s="83"/>
      <c r="X1415" s="83"/>
      <c r="Y1415" s="83"/>
      <c r="Z1415" s="83"/>
      <c r="AA1415" s="83"/>
      <c r="AB1415" s="83"/>
      <c r="AC1415" s="83"/>
      <c r="AD1415" s="83"/>
      <c r="AE1415" s="83"/>
      <c r="AF1415" s="83"/>
      <c r="AG1415" s="83"/>
      <c r="AH1415" s="83"/>
      <c r="AI1415" s="83"/>
      <c r="AJ1415" s="83"/>
      <c r="AK1415" s="83"/>
      <c r="AL1415" s="83"/>
      <c r="AM1415" s="83"/>
      <c r="AN1415" s="83"/>
      <c r="AO1415" s="83"/>
      <c r="AP1415" s="83"/>
      <c r="AQ1415" s="83"/>
      <c r="AR1415" s="83"/>
      <c r="AS1415" s="83">
        <v>1104863.0</v>
      </c>
    </row>
    <row r="1416" ht="15.75" customHeight="1">
      <c r="A1416" s="111" t="s">
        <v>1785</v>
      </c>
      <c r="B1416" s="83" t="s">
        <v>6403</v>
      </c>
      <c r="C1416" s="83" t="s">
        <v>68</v>
      </c>
      <c r="D1416" s="112">
        <v>1177099.0</v>
      </c>
      <c r="E1416" s="83"/>
      <c r="F1416" s="83">
        <v>2.9415969E7</v>
      </c>
      <c r="G1416" s="91" t="str">
        <f>IFERROR(__xludf.DUMMYFUNCTION("XLOOKUP(AS1416,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CIDADE DE CANDEIAS")</f>
        <v>COLÉGIO ESTADUAL CIDADE DE CANDEIAS</v>
      </c>
      <c r="H1416" s="119" t="s">
        <v>7964</v>
      </c>
      <c r="I1416" s="91" t="s">
        <v>7960</v>
      </c>
      <c r="J1416" s="83" t="s">
        <v>7961</v>
      </c>
      <c r="K1416" s="83" t="s">
        <v>150</v>
      </c>
      <c r="L1416" s="83" t="s">
        <v>168</v>
      </c>
      <c r="M1416" s="83" t="s">
        <v>76</v>
      </c>
      <c r="N1416" s="137" t="s">
        <v>7965</v>
      </c>
      <c r="O1416" s="98" t="s">
        <v>155</v>
      </c>
      <c r="P1416" s="99" t="str">
        <f>IFERROR(__xludf.DUMMYFUNCTION("IFERROR(VLOOKUP(AS1416,IMPORTRANGE(""https://docs.google.com/spreadsheets/d/1juPI-Fb8LD0YtltB2mlGEnp_R3UVu1t3wSFPzgCyHXE/edit?gid=0#gid=0"",""GERAL!A2:C""),3,0),""-"")"),"-")</f>
        <v>-</v>
      </c>
      <c r="Q1416" s="83"/>
      <c r="R1416" s="83"/>
      <c r="S1416" s="83"/>
      <c r="T1416" s="83"/>
      <c r="U1416" s="83"/>
      <c r="V1416" s="83"/>
      <c r="W1416" s="83"/>
      <c r="X1416" s="83"/>
      <c r="Y1416" s="83"/>
      <c r="Z1416" s="83"/>
      <c r="AA1416" s="83"/>
      <c r="AB1416" s="83"/>
      <c r="AC1416" s="83"/>
      <c r="AD1416" s="83"/>
      <c r="AE1416" s="83"/>
      <c r="AF1416" s="83"/>
      <c r="AG1416" s="83"/>
      <c r="AH1416" s="83"/>
      <c r="AI1416" s="83"/>
      <c r="AJ1416" s="83"/>
      <c r="AK1416" s="83"/>
      <c r="AL1416" s="83"/>
      <c r="AM1416" s="83"/>
      <c r="AN1416" s="83"/>
      <c r="AO1416" s="83"/>
      <c r="AP1416" s="83"/>
      <c r="AQ1416" s="83"/>
      <c r="AR1416" s="83"/>
      <c r="AS1416" s="83">
        <v>1177099.0</v>
      </c>
    </row>
    <row r="1417" ht="32.25" customHeight="1">
      <c r="A1417" s="111" t="s">
        <v>1785</v>
      </c>
      <c r="B1417" s="83" t="s">
        <v>6403</v>
      </c>
      <c r="C1417" s="83" t="s">
        <v>68</v>
      </c>
      <c r="D1417" s="112">
        <v>1176410.0</v>
      </c>
      <c r="E1417" s="83"/>
      <c r="F1417" s="83">
        <v>2.9383234E7</v>
      </c>
      <c r="G1417" s="91" t="str">
        <f>IFERROR(__xludf.DUMMYFUNCTION("XLOOKUP(AS1417,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FRANCISCO PEDRO DE OLIVEIRA")</f>
        <v>COLÉGIO DA POLICIA MILITAR - CPM FRANCISCO PEDRO DE OLIVEIRA</v>
      </c>
      <c r="H1417" s="119" t="s">
        <v>7966</v>
      </c>
      <c r="I1417" s="91" t="s">
        <v>7967</v>
      </c>
      <c r="J1417" s="83" t="s">
        <v>149</v>
      </c>
      <c r="K1417" s="83" t="s">
        <v>150</v>
      </c>
      <c r="L1417" s="83" t="s">
        <v>151</v>
      </c>
      <c r="M1417" s="83" t="s">
        <v>230</v>
      </c>
      <c r="N1417" s="137" t="s">
        <v>7968</v>
      </c>
      <c r="O1417" s="98" t="s">
        <v>162</v>
      </c>
      <c r="P1417" s="99" t="str">
        <f>IFERROR(__xludf.DUMMYFUNCTION("IFERROR(VLOOKUP(AS1417,IMPORTRANGE(""https://docs.google.com/spreadsheets/d/1juPI-Fb8LD0YtltB2mlGEnp_R3UVu1t3wSFPzgCyHXE/edit?gid=0#gid=0"",""GERAL!A2:C""),3,0),""-"")"),"-")</f>
        <v>-</v>
      </c>
      <c r="Q1417" s="83"/>
      <c r="R1417" s="83"/>
      <c r="S1417" s="83"/>
      <c r="T1417" s="83"/>
      <c r="U1417" s="83"/>
      <c r="V1417" s="83"/>
      <c r="W1417" s="83"/>
      <c r="X1417" s="83"/>
      <c r="Y1417" s="83"/>
      <c r="Z1417" s="83"/>
      <c r="AA1417" s="83"/>
      <c r="AB1417" s="83"/>
      <c r="AC1417" s="83"/>
      <c r="AD1417" s="83"/>
      <c r="AE1417" s="83"/>
      <c r="AF1417" s="83"/>
      <c r="AG1417" s="83"/>
      <c r="AH1417" s="83"/>
      <c r="AI1417" s="83"/>
      <c r="AJ1417" s="83"/>
      <c r="AK1417" s="83"/>
      <c r="AL1417" s="83"/>
      <c r="AM1417" s="83"/>
      <c r="AN1417" s="83"/>
      <c r="AO1417" s="83"/>
      <c r="AP1417" s="83"/>
      <c r="AQ1417" s="83"/>
      <c r="AR1417" s="83"/>
      <c r="AS1417" s="83">
        <v>1176410.0</v>
      </c>
    </row>
    <row r="1418" ht="15.75" customHeight="1">
      <c r="A1418" s="111" t="s">
        <v>1785</v>
      </c>
      <c r="B1418" s="83" t="s">
        <v>6403</v>
      </c>
      <c r="C1418" s="83" t="s">
        <v>68</v>
      </c>
      <c r="D1418" s="112">
        <v>1104669.0</v>
      </c>
      <c r="E1418" s="83"/>
      <c r="F1418" s="83">
        <v>2.9176409E7</v>
      </c>
      <c r="G1418" s="91" t="str">
        <f>IFERROR(__xludf.DUMMYFUNCTION("XLOOKUP(AS1418,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DE CANDEIAS
(ANTIGO: POLIVALENTE DE CANDEIAS)")</f>
        <v>CENTRO ESTADUAL DE EDUCAÇÃO PROFISSIONAL DE CANDEIAS
(ANTIGO: POLIVALENTE DE CANDEIAS)</v>
      </c>
      <c r="H1418" s="119" t="s">
        <v>7975</v>
      </c>
      <c r="I1418" s="91" t="s">
        <v>7976</v>
      </c>
      <c r="J1418" s="83" t="s">
        <v>7977</v>
      </c>
      <c r="K1418" s="83" t="s">
        <v>150</v>
      </c>
      <c r="L1418" s="83" t="s">
        <v>151</v>
      </c>
      <c r="M1418" s="83" t="s">
        <v>152</v>
      </c>
      <c r="N1418" s="137" t="s">
        <v>7978</v>
      </c>
      <c r="O1418" s="98" t="s">
        <v>155</v>
      </c>
      <c r="P1418" s="99" t="str">
        <f>IFERROR(__xludf.DUMMYFUNCTION("IFERROR(VLOOKUP(AS1418,IMPORTRANGE(""https://docs.google.com/spreadsheets/d/1juPI-Fb8LD0YtltB2mlGEnp_R3UVu1t3wSFPzgCyHXE/edit?gid=0#gid=0"",""GERAL!A2:C""),3,0),""-"")"),"-")</f>
        <v>-</v>
      </c>
      <c r="Q1418" s="83"/>
      <c r="R1418" s="83"/>
      <c r="S1418" s="83"/>
      <c r="T1418" s="83"/>
      <c r="U1418" s="83"/>
      <c r="V1418" s="83"/>
      <c r="W1418" s="83"/>
      <c r="X1418" s="83"/>
      <c r="Y1418" s="83"/>
      <c r="Z1418" s="83"/>
      <c r="AA1418" s="83"/>
      <c r="AB1418" s="83"/>
      <c r="AC1418" s="83"/>
      <c r="AD1418" s="83"/>
      <c r="AE1418" s="83"/>
      <c r="AF1418" s="83"/>
      <c r="AG1418" s="83"/>
      <c r="AH1418" s="83"/>
      <c r="AI1418" s="83"/>
      <c r="AJ1418" s="83"/>
      <c r="AK1418" s="83"/>
      <c r="AL1418" s="83"/>
      <c r="AM1418" s="83"/>
      <c r="AN1418" s="83"/>
      <c r="AO1418" s="83"/>
      <c r="AP1418" s="83"/>
      <c r="AQ1418" s="83"/>
      <c r="AR1418" s="83"/>
      <c r="AS1418" s="83">
        <v>1104669.0</v>
      </c>
    </row>
    <row r="1419" ht="15.75" customHeight="1">
      <c r="A1419" s="111" t="s">
        <v>1785</v>
      </c>
      <c r="B1419" s="83" t="s">
        <v>6403</v>
      </c>
      <c r="C1419" s="83" t="s">
        <v>164</v>
      </c>
      <c r="D1419" s="112">
        <v>1104669.0</v>
      </c>
      <c r="E1419" s="83">
        <v>1176940.0</v>
      </c>
      <c r="F1419" s="83"/>
      <c r="G1419" s="91" t="str">
        <f>IFERROR(__xludf.DUMMYFUNCTION("XLOOKUP(AS1419,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POLIVALENTE DE CANDEIAS - DIST. DE PASSE")</f>
        <v>ANEXO - COLÉGIO ESTADUAL POLIVALENTE DE CANDEIAS - DIST. DE PASSE</v>
      </c>
      <c r="H1419" s="119" t="s">
        <v>7980</v>
      </c>
      <c r="I1419" s="91" t="s">
        <v>7981</v>
      </c>
      <c r="J1419" s="136" t="s">
        <v>7983</v>
      </c>
      <c r="K1419" s="83" t="s">
        <v>694</v>
      </c>
      <c r="L1419" s="83" t="s">
        <v>168</v>
      </c>
      <c r="M1419" s="83" t="s">
        <v>169</v>
      </c>
      <c r="N1419" s="115" t="s">
        <v>170</v>
      </c>
      <c r="O1419" s="98" t="s">
        <v>155</v>
      </c>
      <c r="P1419" s="99" t="str">
        <f>IFERROR(__xludf.DUMMYFUNCTION("IFERROR(VLOOKUP(AS1419,IMPORTRANGE(""https://docs.google.com/spreadsheets/d/1juPI-Fb8LD0YtltB2mlGEnp_R3UVu1t3wSFPzgCyHXE/edit?gid=0#gid=0"",""GERAL!A2:C""),3,0),""-"")"),"CAMPO")</f>
        <v>CAMPO</v>
      </c>
      <c r="Q1419" s="83"/>
      <c r="R1419" s="83"/>
      <c r="S1419" s="83"/>
      <c r="T1419" s="83"/>
      <c r="U1419" s="83"/>
      <c r="V1419" s="83"/>
      <c r="W1419" s="83"/>
      <c r="X1419" s="83"/>
      <c r="Y1419" s="83"/>
      <c r="Z1419" s="83"/>
      <c r="AA1419" s="83"/>
      <c r="AB1419" s="83"/>
      <c r="AC1419" s="83"/>
      <c r="AD1419" s="83"/>
      <c r="AE1419" s="83"/>
      <c r="AF1419" s="83"/>
      <c r="AG1419" s="83"/>
      <c r="AH1419" s="83"/>
      <c r="AI1419" s="83"/>
      <c r="AJ1419" s="83"/>
      <c r="AK1419" s="83"/>
      <c r="AL1419" s="83"/>
      <c r="AM1419" s="83"/>
      <c r="AN1419" s="83"/>
      <c r="AO1419" s="83"/>
      <c r="AP1419" s="83"/>
      <c r="AQ1419" s="83"/>
      <c r="AR1419" s="83"/>
      <c r="AS1419" s="83">
        <v>1176940.0</v>
      </c>
    </row>
    <row r="1420" ht="15.75" customHeight="1">
      <c r="A1420" s="111" t="s">
        <v>1785</v>
      </c>
      <c r="B1420" s="83" t="s">
        <v>6403</v>
      </c>
      <c r="C1420" s="83" t="s">
        <v>164</v>
      </c>
      <c r="D1420" s="112">
        <v>1104863.0</v>
      </c>
      <c r="E1420" s="83">
        <v>1179293.0</v>
      </c>
      <c r="F1420" s="83"/>
      <c r="G1420" s="91" t="str">
        <f>IFERROR(__xludf.DUMMYFUNCTION("XLOOKUP(AS1420,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LUIZ VIANA FILHO - DISTRITO DE CAROBA")</f>
        <v>ANEXO - COLÉGIO ESTADUAL LUIZ VIANA FILHO - DISTRITO DE CAROBA</v>
      </c>
      <c r="H1420" s="119" t="s">
        <v>7986</v>
      </c>
      <c r="I1420" s="91" t="s">
        <v>7987</v>
      </c>
      <c r="J1420" s="83" t="s">
        <v>7988</v>
      </c>
      <c r="K1420" s="83" t="s">
        <v>1012</v>
      </c>
      <c r="L1420" s="83" t="s">
        <v>151</v>
      </c>
      <c r="M1420" s="83" t="s">
        <v>169</v>
      </c>
      <c r="N1420" s="115" t="s">
        <v>170</v>
      </c>
      <c r="O1420" s="98" t="s">
        <v>155</v>
      </c>
      <c r="P1420" s="99" t="str">
        <f>IFERROR(__xludf.DUMMYFUNCTION("IFERROR(VLOOKUP(AS1420,IMPORTRANGE(""https://docs.google.com/spreadsheets/d/1juPI-Fb8LD0YtltB2mlGEnp_R3UVu1t3wSFPzgCyHXE/edit?gid=0#gid=0"",""GERAL!A2:C""),3,0),""-"")"),"CAMPO")</f>
        <v>CAMPO</v>
      </c>
      <c r="Q1420" s="83"/>
      <c r="R1420" s="83"/>
      <c r="S1420" s="83"/>
      <c r="T1420" s="83"/>
      <c r="U1420" s="83"/>
      <c r="V1420" s="83"/>
      <c r="W1420" s="83"/>
      <c r="X1420" s="83"/>
      <c r="Y1420" s="83"/>
      <c r="Z1420" s="83"/>
      <c r="AA1420" s="83"/>
      <c r="AB1420" s="83"/>
      <c r="AC1420" s="83"/>
      <c r="AD1420" s="83"/>
      <c r="AE1420" s="83"/>
      <c r="AF1420" s="83"/>
      <c r="AG1420" s="83"/>
      <c r="AH1420" s="83"/>
      <c r="AI1420" s="83"/>
      <c r="AJ1420" s="83"/>
      <c r="AK1420" s="83"/>
      <c r="AL1420" s="83"/>
      <c r="AM1420" s="83"/>
      <c r="AN1420" s="83"/>
      <c r="AO1420" s="83"/>
      <c r="AP1420" s="83"/>
      <c r="AQ1420" s="83"/>
      <c r="AR1420" s="83"/>
      <c r="AS1420" s="83">
        <v>1179293.0</v>
      </c>
    </row>
    <row r="1421" ht="15.75" customHeight="1">
      <c r="A1421" s="111" t="s">
        <v>1785</v>
      </c>
      <c r="B1421" s="83" t="s">
        <v>7989</v>
      </c>
      <c r="C1421" s="83" t="s">
        <v>68</v>
      </c>
      <c r="D1421" s="112">
        <v>1178035.0</v>
      </c>
      <c r="E1421" s="83"/>
      <c r="F1421" s="83">
        <v>2.9427959E7</v>
      </c>
      <c r="G1421" s="91" t="str">
        <f>IFERROR(__xludf.DUMMYFUNCTION("XLOOKUP(AS1421,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EDILSON SOUTO FREIRE")</f>
        <v>COLÉGIO ESTADUAL PROFESSOR EDILSON SOUTO FREIRE</v>
      </c>
      <c r="H1421" s="119" t="s">
        <v>7990</v>
      </c>
      <c r="I1421" s="91" t="s">
        <v>7991</v>
      </c>
      <c r="J1421" s="83" t="s">
        <v>149</v>
      </c>
      <c r="K1421" s="83" t="s">
        <v>150</v>
      </c>
      <c r="L1421" s="83" t="s">
        <v>151</v>
      </c>
      <c r="M1421" s="83" t="s">
        <v>230</v>
      </c>
      <c r="N1421" s="137" t="s">
        <v>7992</v>
      </c>
      <c r="O1421" s="98" t="s">
        <v>155</v>
      </c>
      <c r="P1421" s="99" t="str">
        <f>IFERROR(__xludf.DUMMYFUNCTION("IFERROR(VLOOKUP(AS1421,IMPORTRANGE(""https://docs.google.com/spreadsheets/d/1juPI-Fb8LD0YtltB2mlGEnp_R3UVu1t3wSFPzgCyHXE/edit?gid=0#gid=0"",""GERAL!A2:C""),3,0),""-"")"),"-")</f>
        <v>-</v>
      </c>
      <c r="Q1421" s="101" t="s">
        <v>156</v>
      </c>
      <c r="R1421" s="98">
        <v>14.0</v>
      </c>
      <c r="S1421" s="98">
        <v>1.0</v>
      </c>
      <c r="T1421" s="98">
        <v>0.0</v>
      </c>
      <c r="U1421" s="98">
        <v>0.0</v>
      </c>
      <c r="V1421" s="98">
        <v>1.0</v>
      </c>
      <c r="W1421" s="98">
        <v>0.0</v>
      </c>
      <c r="X1421" s="98">
        <v>1.0</v>
      </c>
      <c r="Y1421" s="98">
        <v>0.0</v>
      </c>
      <c r="Z1421" s="98">
        <v>0.0</v>
      </c>
      <c r="AA1421" s="98">
        <v>1.0</v>
      </c>
      <c r="AB1421" s="98">
        <v>0.0</v>
      </c>
      <c r="AC1421" s="98">
        <v>0.0</v>
      </c>
      <c r="AD1421" s="98">
        <v>0.0</v>
      </c>
      <c r="AE1421" s="98">
        <v>0.0</v>
      </c>
      <c r="AF1421" s="98">
        <v>0.0</v>
      </c>
      <c r="AG1421" s="98">
        <v>0.0</v>
      </c>
      <c r="AH1421" s="98">
        <v>0.0</v>
      </c>
      <c r="AI1421" s="98">
        <v>0.0</v>
      </c>
      <c r="AJ1421" s="98">
        <v>0.0</v>
      </c>
      <c r="AK1421" s="98">
        <v>0.0</v>
      </c>
      <c r="AL1421" s="98">
        <v>0.0</v>
      </c>
      <c r="AM1421" s="98">
        <v>0.0</v>
      </c>
      <c r="AN1421" s="98">
        <v>0.0</v>
      </c>
      <c r="AO1421" s="98">
        <v>0.0</v>
      </c>
      <c r="AP1421" s="98">
        <v>2.0</v>
      </c>
      <c r="AQ1421" s="98" t="s">
        <v>7999</v>
      </c>
      <c r="AR1421" s="102">
        <v>46233.0</v>
      </c>
      <c r="AS1421" s="83">
        <v>1178035.0</v>
      </c>
    </row>
    <row r="1422" ht="15.75" customHeight="1">
      <c r="A1422" s="111" t="s">
        <v>1785</v>
      </c>
      <c r="B1422" s="83" t="s">
        <v>7989</v>
      </c>
      <c r="C1422" s="83" t="s">
        <v>68</v>
      </c>
      <c r="D1422" s="112">
        <v>1179670.0</v>
      </c>
      <c r="E1422" s="491"/>
      <c r="F1422" s="83">
        <v>2.9475082E7</v>
      </c>
      <c r="G1422" s="91" t="str">
        <f>IFERROR(__xludf.DUMMYFUNCTION("XLOOKUP(AS1422,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 DE EDUC. PROFIS. DE DIAS D AVILA-CETEP DE DIAS D AVILA ( RECEBEU OS ALUNOS DO ANEXO - CETEP E CE DR. LUIS MOURA BASTOS)")</f>
        <v>CENTRO TERRITO. DE EDUC. PROFIS. DE DIAS D AVILA-CETEP DE DIAS D AVILA ( RECEBEU OS ALUNOS DO ANEXO - CETEP E CE DR. LUIS MOURA BASTOS)</v>
      </c>
      <c r="H1422" s="119" t="s">
        <v>8001</v>
      </c>
      <c r="I1422" s="108" t="s">
        <v>8002</v>
      </c>
      <c r="J1422" s="83" t="s">
        <v>149</v>
      </c>
      <c r="K1422" s="83" t="s">
        <v>150</v>
      </c>
      <c r="L1422" s="98" t="s">
        <v>151</v>
      </c>
      <c r="M1422" s="83" t="s">
        <v>230</v>
      </c>
      <c r="N1422" s="98" t="s">
        <v>8003</v>
      </c>
      <c r="O1422" s="98" t="s">
        <v>162</v>
      </c>
      <c r="P1422" s="99" t="str">
        <f>IFERROR(__xludf.DUMMYFUNCTION("IFERROR(VLOOKUP(AS1422,IMPORTRANGE(""https://docs.google.com/spreadsheets/d/1juPI-Fb8LD0YtltB2mlGEnp_R3UVu1t3wSFPzgCyHXE/edit?gid=0#gid=0"",""GERAL!A2:C""),3,0),""-"")"),"-")</f>
        <v>-</v>
      </c>
      <c r="Q1422" s="101" t="s">
        <v>156</v>
      </c>
      <c r="R1422" s="98">
        <v>32.0</v>
      </c>
      <c r="S1422" s="98">
        <v>0.0</v>
      </c>
      <c r="T1422" s="98">
        <v>0.0</v>
      </c>
      <c r="U1422" s="98">
        <v>0.0</v>
      </c>
      <c r="V1422" s="98">
        <v>1.0</v>
      </c>
      <c r="W1422" s="98">
        <v>3.0</v>
      </c>
      <c r="X1422" s="98">
        <v>1.0</v>
      </c>
      <c r="Y1422" s="98">
        <v>0.0</v>
      </c>
      <c r="Z1422" s="98">
        <v>1.0</v>
      </c>
      <c r="AA1422" s="98">
        <v>0.0</v>
      </c>
      <c r="AB1422" s="98">
        <v>1.0</v>
      </c>
      <c r="AC1422" s="98">
        <v>0.0</v>
      </c>
      <c r="AD1422" s="98">
        <v>0.0</v>
      </c>
      <c r="AE1422" s="98">
        <v>0.0</v>
      </c>
      <c r="AF1422" s="98">
        <v>1.0</v>
      </c>
      <c r="AG1422" s="98">
        <v>0.0</v>
      </c>
      <c r="AH1422" s="98">
        <v>0.0</v>
      </c>
      <c r="AI1422" s="98">
        <v>0.0</v>
      </c>
      <c r="AJ1422" s="98">
        <v>1.0</v>
      </c>
      <c r="AK1422" s="98">
        <v>0.0</v>
      </c>
      <c r="AL1422" s="98">
        <v>0.0</v>
      </c>
      <c r="AM1422" s="98">
        <v>0.0</v>
      </c>
      <c r="AN1422" s="98">
        <v>0.0</v>
      </c>
      <c r="AO1422" s="98">
        <v>1.0</v>
      </c>
      <c r="AP1422" s="98">
        <v>3.0</v>
      </c>
      <c r="AQ1422" s="98" t="s">
        <v>8010</v>
      </c>
      <c r="AR1422" s="102">
        <v>46233.0</v>
      </c>
      <c r="AS1422" s="83">
        <v>1179670.0</v>
      </c>
    </row>
    <row r="1423" ht="15.75" customHeight="1">
      <c r="A1423" s="111" t="s">
        <v>1785</v>
      </c>
      <c r="B1423" s="83" t="s">
        <v>7989</v>
      </c>
      <c r="C1423" s="98" t="s">
        <v>164</v>
      </c>
      <c r="D1423" s="112">
        <v>1179670.0</v>
      </c>
      <c r="E1423" s="83">
        <v>1178204.0</v>
      </c>
      <c r="F1423" s="83"/>
      <c r="G1423" s="91" t="str">
        <f>IFERROR(__xludf.DUMMYFUNCTION("XLOOKUP(AS1423,
IMPORTRANGE(""https://docs.google.com/spreadsheets/d/1YM-djuOLXomrZ9W0B4TyIBsVWnXY4EIOFD9HY-qGfv0/edit?usp=sharing"",""GERAL!BG5:BG""),
IMPORTRANGE(""https://docs.google.com/spreadsheets/d/1YM-djuOLXomrZ9W0B4TyIBsVWnXY4EIOFD9HY-qGfv0/edit?"&amp;"usp=sharing"",""GERAL!G5:G""),
""CÓD. SEC NÃO ENCONTRADO NA PLANILHA DE MATRÍCULA"")"),"ANEXO - CENTRO TERRITO. DE EDUC. PROFIS. DE DIAS D AVILA-CETEP DE DIAS D AVILA - ENTROCAMENTO (ANTIGO ANEXO - COLEGIO ESTADUAL DOUTOR LUIS DE MOURA BASTOS - ENTRONCAMENTO)")</f>
        <v>ANEXO - CENTRO TERRITO. DE EDUC. PROFIS. DE DIAS D AVILA-CETEP DE DIAS D AVILA - ENTROCAMENTO (ANTIGO ANEXO - COLEGIO ESTADUAL DOUTOR LUIS DE MOURA BASTOS - ENTRONCAMENTO)</v>
      </c>
      <c r="H1423" s="119" t="s">
        <v>8017</v>
      </c>
      <c r="I1423" s="91"/>
      <c r="J1423" s="83"/>
      <c r="K1423" s="83"/>
      <c r="L1423" s="98" t="s">
        <v>168</v>
      </c>
      <c r="M1423" s="83"/>
      <c r="N1423" s="115" t="s">
        <v>170</v>
      </c>
      <c r="O1423" s="98" t="s">
        <v>155</v>
      </c>
      <c r="P1423" s="99" t="str">
        <f>IFERROR(__xludf.DUMMYFUNCTION("IFERROR(VLOOKUP(AS1423,IMPORTRANGE(""https://docs.google.com/spreadsheets/d/1juPI-Fb8LD0YtltB2mlGEnp_R3UVu1t3wSFPzgCyHXE/edit?gid=0#gid=0"",""GERAL!A2:C""),3,0),""-"")"),"-")</f>
        <v>-</v>
      </c>
      <c r="Q1423" s="98" t="s">
        <v>171</v>
      </c>
      <c r="R1423" s="98">
        <v>3.0</v>
      </c>
      <c r="S1423" s="98">
        <v>0.0</v>
      </c>
      <c r="T1423" s="98">
        <v>0.0</v>
      </c>
      <c r="U1423" s="98">
        <v>0.0</v>
      </c>
      <c r="V1423" s="98">
        <v>0.0</v>
      </c>
      <c r="W1423" s="98">
        <v>0.0</v>
      </c>
      <c r="X1423" s="98">
        <v>0.0</v>
      </c>
      <c r="Y1423" s="98">
        <v>0.0</v>
      </c>
      <c r="Z1423" s="98">
        <v>0.0</v>
      </c>
      <c r="AA1423" s="98">
        <v>0.0</v>
      </c>
      <c r="AB1423" s="98">
        <v>0.0</v>
      </c>
      <c r="AC1423" s="98">
        <v>1.0</v>
      </c>
      <c r="AD1423" s="98">
        <v>0.0</v>
      </c>
      <c r="AE1423" s="98">
        <v>0.0</v>
      </c>
      <c r="AF1423" s="98">
        <v>0.0</v>
      </c>
      <c r="AG1423" s="98">
        <v>0.0</v>
      </c>
      <c r="AH1423" s="98">
        <v>0.0</v>
      </c>
      <c r="AI1423" s="98">
        <v>0.0</v>
      </c>
      <c r="AJ1423" s="98">
        <v>0.0</v>
      </c>
      <c r="AK1423" s="98">
        <v>0.0</v>
      </c>
      <c r="AL1423" s="98">
        <v>0.0</v>
      </c>
      <c r="AM1423" s="98">
        <v>0.0</v>
      </c>
      <c r="AN1423" s="98">
        <v>0.0</v>
      </c>
      <c r="AO1423" s="98">
        <v>0.0</v>
      </c>
      <c r="AP1423" s="98">
        <v>0.0</v>
      </c>
      <c r="AQ1423" s="98"/>
      <c r="AR1423" s="102">
        <v>46233.0</v>
      </c>
      <c r="AS1423" s="98">
        <v>1178204.0</v>
      </c>
    </row>
    <row r="1424" ht="15.75" customHeight="1">
      <c r="A1424" s="111" t="s">
        <v>1785</v>
      </c>
      <c r="B1424" s="83" t="s">
        <v>2135</v>
      </c>
      <c r="C1424" s="83" t="s">
        <v>68</v>
      </c>
      <c r="D1424" s="112">
        <v>1102453.0</v>
      </c>
      <c r="E1424" s="83"/>
      <c r="F1424" s="83">
        <v>2.9177812E7</v>
      </c>
      <c r="G1424" s="91" t="str">
        <f>IFERROR(__xludf.DUMMYFUNCTION("XLOOKUP(AS1424,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ERNESTO CARNEIRO RIBEIRO")</f>
        <v>COLÉGIO ESTADUAL DE TEMPO INTEGRAL ERNESTO CARNEIRO RIBEIRO</v>
      </c>
      <c r="H1424" s="184" t="s">
        <v>4961</v>
      </c>
      <c r="I1424" s="108" t="s">
        <v>8019</v>
      </c>
      <c r="J1424" s="83" t="s">
        <v>149</v>
      </c>
      <c r="K1424" s="83" t="s">
        <v>150</v>
      </c>
      <c r="L1424" s="83" t="s">
        <v>151</v>
      </c>
      <c r="M1424" s="83" t="s">
        <v>230</v>
      </c>
      <c r="N1424" s="137" t="s">
        <v>8020</v>
      </c>
      <c r="O1424" s="98" t="s">
        <v>162</v>
      </c>
      <c r="P1424" s="99" t="str">
        <f>IFERROR(__xludf.DUMMYFUNCTION("IFERROR(VLOOKUP(AS1424,IMPORTRANGE(""https://docs.google.com/spreadsheets/d/1juPI-Fb8LD0YtltB2mlGEnp_R3UVu1t3wSFPzgCyHXE/edit?gid=0#gid=0"",""GERAL!A2:C""),3,0),""-"")"),"-")</f>
        <v>-</v>
      </c>
      <c r="Q1424" s="83"/>
      <c r="R1424" s="83"/>
      <c r="S1424" s="83"/>
      <c r="T1424" s="83"/>
      <c r="U1424" s="83"/>
      <c r="V1424" s="83"/>
      <c r="W1424" s="83"/>
      <c r="X1424" s="83"/>
      <c r="Y1424" s="83"/>
      <c r="Z1424" s="83"/>
      <c r="AA1424" s="83"/>
      <c r="AB1424" s="83"/>
      <c r="AC1424" s="83"/>
      <c r="AD1424" s="83"/>
      <c r="AE1424" s="83"/>
      <c r="AF1424" s="83"/>
      <c r="AG1424" s="83"/>
      <c r="AH1424" s="83"/>
      <c r="AI1424" s="83"/>
      <c r="AJ1424" s="83"/>
      <c r="AK1424" s="83"/>
      <c r="AL1424" s="83"/>
      <c r="AM1424" s="83"/>
      <c r="AN1424" s="83"/>
      <c r="AO1424" s="83"/>
      <c r="AP1424" s="83"/>
      <c r="AQ1424" s="83"/>
      <c r="AR1424" s="83"/>
      <c r="AS1424" s="83">
        <v>1102453.0</v>
      </c>
    </row>
    <row r="1425" ht="15.75" customHeight="1">
      <c r="A1425" s="111" t="s">
        <v>1785</v>
      </c>
      <c r="B1425" s="83" t="s">
        <v>2021</v>
      </c>
      <c r="C1425" s="83" t="s">
        <v>68</v>
      </c>
      <c r="D1425" s="112">
        <v>1176364.0</v>
      </c>
      <c r="E1425" s="83"/>
      <c r="F1425" s="83">
        <v>2.9359635E7</v>
      </c>
      <c r="G1425" s="91" t="str">
        <f>IFERROR(__xludf.DUMMYFUNCTION("XLOOKUP(AS1425,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HERMANO GOUVEIA NETO")</f>
        <v>COLÉGIO ESTADUAL HERMANO GOUVEIA NETO</v>
      </c>
      <c r="H1425" s="184" t="s">
        <v>8029</v>
      </c>
      <c r="I1425" s="91" t="s">
        <v>8030</v>
      </c>
      <c r="J1425" s="83" t="s">
        <v>149</v>
      </c>
      <c r="K1425" s="83" t="s">
        <v>150</v>
      </c>
      <c r="L1425" s="83" t="s">
        <v>151</v>
      </c>
      <c r="M1425" s="83" t="s">
        <v>230</v>
      </c>
      <c r="N1425" s="137" t="s">
        <v>8031</v>
      </c>
      <c r="O1425" s="98" t="s">
        <v>155</v>
      </c>
      <c r="P1425" s="99" t="str">
        <f>IFERROR(__xludf.DUMMYFUNCTION("IFERROR(VLOOKUP(AS1425,IMPORTRANGE(""https://docs.google.com/spreadsheets/d/1juPI-Fb8LD0YtltB2mlGEnp_R3UVu1t3wSFPzgCyHXE/edit?gid=0#gid=0"",""GERAL!A2:C""),3,0),""-"")"),"-")</f>
        <v>-</v>
      </c>
      <c r="Q1425" s="83"/>
      <c r="R1425" s="83"/>
      <c r="S1425" s="83"/>
      <c r="T1425" s="83"/>
      <c r="U1425" s="83"/>
      <c r="V1425" s="83"/>
      <c r="W1425" s="83"/>
      <c r="X1425" s="83"/>
      <c r="Y1425" s="83"/>
      <c r="Z1425" s="83"/>
      <c r="AA1425" s="83"/>
      <c r="AB1425" s="83"/>
      <c r="AC1425" s="83"/>
      <c r="AD1425" s="83"/>
      <c r="AE1425" s="83"/>
      <c r="AF1425" s="83"/>
      <c r="AG1425" s="83"/>
      <c r="AH1425" s="83"/>
      <c r="AI1425" s="83"/>
      <c r="AJ1425" s="83"/>
      <c r="AK1425" s="83"/>
      <c r="AL1425" s="83"/>
      <c r="AM1425" s="83"/>
      <c r="AN1425" s="83"/>
      <c r="AO1425" s="83"/>
      <c r="AP1425" s="83"/>
      <c r="AQ1425" s="83"/>
      <c r="AR1425" s="83"/>
      <c r="AS1425" s="83">
        <v>1176364.0</v>
      </c>
    </row>
    <row r="1426" ht="15.75" customHeight="1">
      <c r="A1426" s="111" t="s">
        <v>1785</v>
      </c>
      <c r="B1426" s="83" t="s">
        <v>2021</v>
      </c>
      <c r="C1426" s="83" t="s">
        <v>68</v>
      </c>
      <c r="D1426" s="112">
        <v>1110081.0</v>
      </c>
      <c r="E1426" s="83"/>
      <c r="F1426" s="83">
        <v>2.9178584E7</v>
      </c>
      <c r="G1426" s="91" t="str">
        <f>IFERROR(__xludf.DUMMYFUNCTION("XLOOKUP(AS1426,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FRANCISCO PEREIRA FRANCO")</f>
        <v>COLÉGIO ESTADUAL FRANCISCO PEREIRA FRANCO</v>
      </c>
      <c r="H1426" s="184" t="s">
        <v>8035</v>
      </c>
      <c r="I1426" s="91" t="s">
        <v>8037</v>
      </c>
      <c r="J1426" s="83" t="s">
        <v>8039</v>
      </c>
      <c r="K1426" s="83" t="s">
        <v>150</v>
      </c>
      <c r="L1426" s="83" t="s">
        <v>151</v>
      </c>
      <c r="M1426" s="83" t="s">
        <v>152</v>
      </c>
      <c r="N1426" s="137" t="s">
        <v>8041</v>
      </c>
      <c r="O1426" s="98" t="s">
        <v>155</v>
      </c>
      <c r="P1426" s="99" t="str">
        <f>IFERROR(__xludf.DUMMYFUNCTION("IFERROR(VLOOKUP(AS1426,IMPORTRANGE(""https://docs.google.com/spreadsheets/d/1juPI-Fb8LD0YtltB2mlGEnp_R3UVu1t3wSFPzgCyHXE/edit?gid=0#gid=0"",""GERAL!A2:C""),3,0),""-"")"),"-")</f>
        <v>-</v>
      </c>
      <c r="Q1426" s="83"/>
      <c r="R1426" s="83"/>
      <c r="S1426" s="83"/>
      <c r="T1426" s="83"/>
      <c r="U1426" s="83"/>
      <c r="V1426" s="83"/>
      <c r="W1426" s="83"/>
      <c r="X1426" s="83"/>
      <c r="Y1426" s="83"/>
      <c r="Z1426" s="83"/>
      <c r="AA1426" s="83"/>
      <c r="AB1426" s="83"/>
      <c r="AC1426" s="83"/>
      <c r="AD1426" s="83"/>
      <c r="AE1426" s="83"/>
      <c r="AF1426" s="83"/>
      <c r="AG1426" s="83"/>
      <c r="AH1426" s="83"/>
      <c r="AI1426" s="83"/>
      <c r="AJ1426" s="83"/>
      <c r="AK1426" s="83"/>
      <c r="AL1426" s="83"/>
      <c r="AM1426" s="83"/>
      <c r="AN1426" s="83"/>
      <c r="AO1426" s="83"/>
      <c r="AP1426" s="83"/>
      <c r="AQ1426" s="83"/>
      <c r="AR1426" s="83"/>
      <c r="AS1426" s="83">
        <v>1110081.0</v>
      </c>
    </row>
    <row r="1427" ht="15.75" customHeight="1">
      <c r="A1427" s="111" t="s">
        <v>1785</v>
      </c>
      <c r="B1427" s="83" t="s">
        <v>2021</v>
      </c>
      <c r="C1427" s="83" t="s">
        <v>68</v>
      </c>
      <c r="D1427" s="112">
        <v>1102470.0</v>
      </c>
      <c r="E1427" s="83"/>
      <c r="F1427" s="83">
        <v>2.917855E7</v>
      </c>
      <c r="G1427" s="91" t="str">
        <f>IFERROR(__xludf.DUMMYFUNCTION("XLOOKUP(AS1427,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PORTÃO (ANTIGO CE KLEBER PACHECO DE OLIVEIRA)")</f>
        <v>COLÉGIO ESTADUAL DE TEMPO INTEGRAL DE PORTÃO (ANTIGO CE KLEBER PACHECO DE OLIVEIRA)</v>
      </c>
      <c r="H1427" s="184" t="s">
        <v>8043</v>
      </c>
      <c r="I1427" s="91" t="s">
        <v>8044</v>
      </c>
      <c r="J1427" s="136" t="s">
        <v>8045</v>
      </c>
      <c r="K1427" s="136" t="s">
        <v>150</v>
      </c>
      <c r="L1427" s="83" t="s">
        <v>151</v>
      </c>
      <c r="M1427" s="83" t="s">
        <v>230</v>
      </c>
      <c r="N1427" s="137" t="s">
        <v>8046</v>
      </c>
      <c r="O1427" s="98" t="s">
        <v>162</v>
      </c>
      <c r="P1427" s="99" t="str">
        <f>IFERROR(__xludf.DUMMYFUNCTION("IFERROR(VLOOKUP(AS1427,IMPORTRANGE(""https://docs.google.com/spreadsheets/d/1juPI-Fb8LD0YtltB2mlGEnp_R3UVu1t3wSFPzgCyHXE/edit?gid=0#gid=0"",""GERAL!A2:C""),3,0),""-"")"),"-")</f>
        <v>-</v>
      </c>
      <c r="Q1427" s="83"/>
      <c r="R1427" s="83"/>
      <c r="S1427" s="83"/>
      <c r="T1427" s="83"/>
      <c r="U1427" s="83"/>
      <c r="V1427" s="83"/>
      <c r="W1427" s="83"/>
      <c r="X1427" s="83"/>
      <c r="Y1427" s="83"/>
      <c r="Z1427" s="83"/>
      <c r="AA1427" s="83"/>
      <c r="AB1427" s="83"/>
      <c r="AC1427" s="83"/>
      <c r="AD1427" s="83"/>
      <c r="AE1427" s="83"/>
      <c r="AF1427" s="83"/>
      <c r="AG1427" s="83"/>
      <c r="AH1427" s="83"/>
      <c r="AI1427" s="83"/>
      <c r="AJ1427" s="83"/>
      <c r="AK1427" s="83"/>
      <c r="AL1427" s="83"/>
      <c r="AM1427" s="83"/>
      <c r="AN1427" s="83"/>
      <c r="AO1427" s="83"/>
      <c r="AP1427" s="83"/>
      <c r="AQ1427" s="83"/>
      <c r="AR1427" s="83"/>
      <c r="AS1427" s="83">
        <v>1102470.0</v>
      </c>
    </row>
    <row r="1428" ht="15.75" customHeight="1">
      <c r="A1428" s="111" t="s">
        <v>1785</v>
      </c>
      <c r="B1428" s="83" t="s">
        <v>2021</v>
      </c>
      <c r="C1428" s="83" t="s">
        <v>68</v>
      </c>
      <c r="D1428" s="112">
        <v>1100809.0</v>
      </c>
      <c r="E1428" s="83"/>
      <c r="F1428" s="83">
        <v>2.9178231E7</v>
      </c>
      <c r="G1428" s="91" t="str">
        <f>IFERROR(__xludf.DUMMYFUNCTION("XLOOKUP(AS1428,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BARTOLOMEU DE GUSMÃO")</f>
        <v>COLÉGIO ESTADUAL DE TEMPO INTEGRAL BARTOLOMEU DE GUSMÃO</v>
      </c>
      <c r="H1428" s="184" t="s">
        <v>8055</v>
      </c>
      <c r="I1428" s="91" t="s">
        <v>8056</v>
      </c>
      <c r="J1428" s="136" t="s">
        <v>149</v>
      </c>
      <c r="K1428" s="136" t="s">
        <v>150</v>
      </c>
      <c r="L1428" s="83" t="s">
        <v>151</v>
      </c>
      <c r="M1428" s="83" t="s">
        <v>230</v>
      </c>
      <c r="N1428" s="137" t="s">
        <v>8057</v>
      </c>
      <c r="O1428" s="98" t="s">
        <v>155</v>
      </c>
      <c r="P1428" s="99" t="str">
        <f>IFERROR(__xludf.DUMMYFUNCTION("IFERROR(VLOOKUP(AS1428,IMPORTRANGE(""https://docs.google.com/spreadsheets/d/1juPI-Fb8LD0YtltB2mlGEnp_R3UVu1t3wSFPzgCyHXE/edit?gid=0#gid=0"",""GERAL!A2:C""),3,0),""-"")"),"-")</f>
        <v>-</v>
      </c>
      <c r="Q1428" s="83"/>
      <c r="R1428" s="83"/>
      <c r="S1428" s="83"/>
      <c r="T1428" s="83"/>
      <c r="U1428" s="83"/>
      <c r="V1428" s="83"/>
      <c r="W1428" s="83"/>
      <c r="X1428" s="83"/>
      <c r="Y1428" s="83"/>
      <c r="Z1428" s="83"/>
      <c r="AA1428" s="83"/>
      <c r="AB1428" s="83"/>
      <c r="AC1428" s="83"/>
      <c r="AD1428" s="83"/>
      <c r="AE1428" s="83"/>
      <c r="AF1428" s="83"/>
      <c r="AG1428" s="83"/>
      <c r="AH1428" s="83"/>
      <c r="AI1428" s="83"/>
      <c r="AJ1428" s="83"/>
      <c r="AK1428" s="83"/>
      <c r="AL1428" s="83"/>
      <c r="AM1428" s="83"/>
      <c r="AN1428" s="83"/>
      <c r="AO1428" s="83"/>
      <c r="AP1428" s="83"/>
      <c r="AQ1428" s="83"/>
      <c r="AR1428" s="83"/>
      <c r="AS1428" s="83">
        <v>1100809.0</v>
      </c>
    </row>
    <row r="1429" ht="15.75" customHeight="1">
      <c r="A1429" s="111" t="s">
        <v>1785</v>
      </c>
      <c r="B1429" s="83" t="s">
        <v>2021</v>
      </c>
      <c r="C1429" s="83" t="s">
        <v>68</v>
      </c>
      <c r="D1429" s="112">
        <v>1100477.0</v>
      </c>
      <c r="E1429" s="83"/>
      <c r="F1429" s="83">
        <v>2.9178487E7</v>
      </c>
      <c r="G1429" s="91" t="str">
        <f>IFERROR(__xludf.DUMMYFUNCTION("XLOOKUP(AS1429,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AMERICO SIMAS")</f>
        <v>COLÉGIO ESTADUAL AMERICO SIMAS</v>
      </c>
      <c r="H1429" s="184" t="s">
        <v>8058</v>
      </c>
      <c r="I1429" s="91" t="s">
        <v>8059</v>
      </c>
      <c r="J1429" s="83" t="s">
        <v>149</v>
      </c>
      <c r="K1429" s="83" t="s">
        <v>150</v>
      </c>
      <c r="L1429" s="83" t="s">
        <v>151</v>
      </c>
      <c r="M1429" s="82" t="s">
        <v>230</v>
      </c>
      <c r="N1429" s="137" t="s">
        <v>8061</v>
      </c>
      <c r="O1429" s="98" t="s">
        <v>155</v>
      </c>
      <c r="P1429" s="99" t="str">
        <f>IFERROR(__xludf.DUMMYFUNCTION("IFERROR(VLOOKUP(AS1429,IMPORTRANGE(""https://docs.google.com/spreadsheets/d/1juPI-Fb8LD0YtltB2mlGEnp_R3UVu1t3wSFPzgCyHXE/edit?gid=0#gid=0"",""GERAL!A2:C""),3,0),""-"")"),"-")</f>
        <v>-</v>
      </c>
      <c r="Q1429" s="83"/>
      <c r="R1429" s="83"/>
      <c r="S1429" s="83"/>
      <c r="T1429" s="83"/>
      <c r="U1429" s="83"/>
      <c r="V1429" s="83"/>
      <c r="W1429" s="83"/>
      <c r="X1429" s="83"/>
      <c r="Y1429" s="83"/>
      <c r="Z1429" s="83"/>
      <c r="AA1429" s="83"/>
      <c r="AB1429" s="83"/>
      <c r="AC1429" s="83"/>
      <c r="AD1429" s="83"/>
      <c r="AE1429" s="83"/>
      <c r="AF1429" s="83"/>
      <c r="AG1429" s="83"/>
      <c r="AH1429" s="83"/>
      <c r="AI1429" s="83"/>
      <c r="AJ1429" s="83"/>
      <c r="AK1429" s="83"/>
      <c r="AL1429" s="83"/>
      <c r="AM1429" s="83"/>
      <c r="AN1429" s="83"/>
      <c r="AO1429" s="83"/>
      <c r="AP1429" s="83"/>
      <c r="AQ1429" s="83"/>
      <c r="AR1429" s="83"/>
      <c r="AS1429" s="83">
        <v>1100477.0</v>
      </c>
    </row>
    <row r="1430" ht="15.75" customHeight="1">
      <c r="A1430" s="111" t="s">
        <v>1785</v>
      </c>
      <c r="B1430" s="83" t="s">
        <v>2021</v>
      </c>
      <c r="C1430" s="83" t="s">
        <v>68</v>
      </c>
      <c r="D1430" s="112">
        <v>1100256.0</v>
      </c>
      <c r="E1430" s="83"/>
      <c r="F1430" s="83">
        <v>2.917832E7</v>
      </c>
      <c r="G1430" s="91" t="str">
        <f>IFERROR(__xludf.DUMMYFUNCTION("XLOOKUP(AS1430,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ALFREDO AGOSTINHO DE DEUS")</f>
        <v>COLÉGIO ESTADUAL ALFREDO AGOSTINHO DE DEUS</v>
      </c>
      <c r="H1430" s="184" t="s">
        <v>8068</v>
      </c>
      <c r="I1430" s="91" t="s">
        <v>8069</v>
      </c>
      <c r="J1430" s="83" t="s">
        <v>8039</v>
      </c>
      <c r="K1430" s="83" t="s">
        <v>150</v>
      </c>
      <c r="L1430" s="83" t="s">
        <v>151</v>
      </c>
      <c r="M1430" s="83" t="s">
        <v>230</v>
      </c>
      <c r="N1430" s="137" t="s">
        <v>8070</v>
      </c>
      <c r="O1430" s="98" t="s">
        <v>155</v>
      </c>
      <c r="P1430" s="99" t="str">
        <f>IFERROR(__xludf.DUMMYFUNCTION("IFERROR(VLOOKUP(AS1430,IMPORTRANGE(""https://docs.google.com/spreadsheets/d/1juPI-Fb8LD0YtltB2mlGEnp_R3UVu1t3wSFPzgCyHXE/edit?gid=0#gid=0"",""GERAL!A2:C""),3,0),""-"")"),"-")</f>
        <v>-</v>
      </c>
      <c r="Q1430" s="83"/>
      <c r="R1430" s="83"/>
      <c r="S1430" s="83"/>
      <c r="T1430" s="83"/>
      <c r="U1430" s="83"/>
      <c r="V1430" s="83"/>
      <c r="W1430" s="83"/>
      <c r="X1430" s="83"/>
      <c r="Y1430" s="83"/>
      <c r="Z1430" s="83"/>
      <c r="AA1430" s="83"/>
      <c r="AB1430" s="83"/>
      <c r="AC1430" s="83"/>
      <c r="AD1430" s="83"/>
      <c r="AE1430" s="83"/>
      <c r="AF1430" s="83"/>
      <c r="AG1430" s="83"/>
      <c r="AH1430" s="83"/>
      <c r="AI1430" s="83"/>
      <c r="AJ1430" s="83"/>
      <c r="AK1430" s="83"/>
      <c r="AL1430" s="83"/>
      <c r="AM1430" s="83"/>
      <c r="AN1430" s="83"/>
      <c r="AO1430" s="83"/>
      <c r="AP1430" s="83"/>
      <c r="AQ1430" s="83"/>
      <c r="AR1430" s="83"/>
      <c r="AS1430" s="83">
        <v>1100256.0</v>
      </c>
    </row>
    <row r="1431" ht="15.75" customHeight="1">
      <c r="A1431" s="111" t="s">
        <v>1785</v>
      </c>
      <c r="B1431" s="83" t="s">
        <v>2021</v>
      </c>
      <c r="C1431" s="83" t="s">
        <v>68</v>
      </c>
      <c r="D1431" s="112">
        <v>1178431.0</v>
      </c>
      <c r="E1431" s="83"/>
      <c r="F1431" s="83">
        <v>2.9398673E7</v>
      </c>
      <c r="G1431" s="91" t="str">
        <f>IFERROR(__xludf.DUMMYFUNCTION("XLOOKUP(AS1431,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TECNOLOGIA INFORMACAO E COMUNICACAO")</f>
        <v>CENTRO ESTADUAL DE EDUCACAO PROFISSIONAL EM TECNOLOGIA INFORMACAO E COMUNICACAO</v>
      </c>
      <c r="H1431" s="185" t="s">
        <v>8074</v>
      </c>
      <c r="I1431" s="91" t="s">
        <v>8076</v>
      </c>
      <c r="J1431" s="83" t="s">
        <v>149</v>
      </c>
      <c r="K1431" s="83" t="s">
        <v>150</v>
      </c>
      <c r="L1431" s="83" t="s">
        <v>151</v>
      </c>
      <c r="M1431" s="83" t="s">
        <v>230</v>
      </c>
      <c r="N1431" s="137" t="s">
        <v>8078</v>
      </c>
      <c r="O1431" s="98" t="s">
        <v>162</v>
      </c>
      <c r="P1431" s="99" t="str">
        <f>IFERROR(__xludf.DUMMYFUNCTION("IFERROR(VLOOKUP(AS1431,IMPORTRANGE(""https://docs.google.com/spreadsheets/d/1juPI-Fb8LD0YtltB2mlGEnp_R3UVu1t3wSFPzgCyHXE/edit?gid=0#gid=0"",""GERAL!A2:C""),3,0),""-"")"),"CAMPO")</f>
        <v>CAMPO</v>
      </c>
      <c r="Q1431" s="83"/>
      <c r="R1431" s="83"/>
      <c r="S1431" s="83"/>
      <c r="T1431" s="83"/>
      <c r="U1431" s="83"/>
      <c r="V1431" s="83"/>
      <c r="W1431" s="83"/>
      <c r="X1431" s="83"/>
      <c r="Y1431" s="83"/>
      <c r="Z1431" s="83"/>
      <c r="AA1431" s="83"/>
      <c r="AB1431" s="83"/>
      <c r="AC1431" s="83"/>
      <c r="AD1431" s="83"/>
      <c r="AE1431" s="83"/>
      <c r="AF1431" s="83"/>
      <c r="AG1431" s="83"/>
      <c r="AH1431" s="83"/>
      <c r="AI1431" s="83"/>
      <c r="AJ1431" s="83"/>
      <c r="AK1431" s="83"/>
      <c r="AL1431" s="83"/>
      <c r="AM1431" s="83"/>
      <c r="AN1431" s="83"/>
      <c r="AO1431" s="83"/>
      <c r="AP1431" s="83"/>
      <c r="AQ1431" s="83"/>
      <c r="AR1431" s="83"/>
      <c r="AS1431" s="83">
        <v>1178431.0</v>
      </c>
    </row>
    <row r="1432" ht="15.75" customHeight="1">
      <c r="A1432" s="111" t="s">
        <v>1785</v>
      </c>
      <c r="B1432" s="83" t="s">
        <v>2021</v>
      </c>
      <c r="C1432" s="83" t="s">
        <v>164</v>
      </c>
      <c r="D1432" s="112">
        <v>1100477.0</v>
      </c>
      <c r="E1432" s="83">
        <v>1178599.0</v>
      </c>
      <c r="F1432" s="83"/>
      <c r="G1432" s="91" t="str">
        <f>IFERROR(__xludf.DUMMYFUNCTION("XLOOKUP(AS1432,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COLÉGIO ESTADUAL AMERICO SIMAS - CONJUNTO PENAL")</f>
        <v>ANEXO DO COLÉGIO ESTADUAL AMERICO SIMAS - CONJUNTO PENAL</v>
      </c>
      <c r="H1432" s="185" t="s">
        <v>8079</v>
      </c>
      <c r="I1432" s="91" t="s">
        <v>8080</v>
      </c>
      <c r="J1432" s="83" t="s">
        <v>149</v>
      </c>
      <c r="K1432" s="83" t="s">
        <v>150</v>
      </c>
      <c r="L1432" s="83" t="s">
        <v>151</v>
      </c>
      <c r="M1432" s="83" t="s">
        <v>169</v>
      </c>
      <c r="N1432" s="115" t="s">
        <v>170</v>
      </c>
      <c r="O1432" s="98" t="s">
        <v>155</v>
      </c>
      <c r="P1432" s="99" t="str">
        <f>IFERROR(__xludf.DUMMYFUNCTION("IFERROR(VLOOKUP(AS1432,IMPORTRANGE(""https://docs.google.com/spreadsheets/d/1juPI-Fb8LD0YtltB2mlGEnp_R3UVu1t3wSFPzgCyHXE/edit?gid=0#gid=0"",""GERAL!A2:C""),3,0),""-"")"),"-")</f>
        <v>-</v>
      </c>
      <c r="Q1432" s="83"/>
      <c r="R1432" s="83"/>
      <c r="S1432" s="83"/>
      <c r="T1432" s="83"/>
      <c r="U1432" s="83"/>
      <c r="V1432" s="83"/>
      <c r="W1432" s="83"/>
      <c r="X1432" s="83"/>
      <c r="Y1432" s="83"/>
      <c r="Z1432" s="83"/>
      <c r="AA1432" s="83"/>
      <c r="AB1432" s="83"/>
      <c r="AC1432" s="83"/>
      <c r="AD1432" s="83"/>
      <c r="AE1432" s="83"/>
      <c r="AF1432" s="83"/>
      <c r="AG1432" s="83"/>
      <c r="AH1432" s="83"/>
      <c r="AI1432" s="83"/>
      <c r="AJ1432" s="83"/>
      <c r="AK1432" s="83"/>
      <c r="AL1432" s="83"/>
      <c r="AM1432" s="83"/>
      <c r="AN1432" s="83"/>
      <c r="AO1432" s="83"/>
      <c r="AP1432" s="83"/>
      <c r="AQ1432" s="83"/>
      <c r="AR1432" s="83"/>
      <c r="AS1432" s="83">
        <v>1178599.0</v>
      </c>
    </row>
    <row r="1433" ht="15.75" customHeight="1">
      <c r="A1433" s="111" t="s">
        <v>1785</v>
      </c>
      <c r="B1433" s="83" t="s">
        <v>8086</v>
      </c>
      <c r="C1433" s="83" t="s">
        <v>68</v>
      </c>
      <c r="D1433" s="112">
        <v>1101147.0</v>
      </c>
      <c r="E1433" s="83"/>
      <c r="F1433" s="83">
        <v>2.917922E7</v>
      </c>
      <c r="G1433" s="91" t="str">
        <f>IFERROR(__xludf.DUMMYFUNCTION("XLOOKUP(AS1433,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ANTONIO BALBINO - TEMPO INTEGRAL")</f>
        <v>COLÉGIO ESTADUAL ANTONIO BALBINO - TEMPO INTEGRAL</v>
      </c>
      <c r="H1433" s="114" t="s">
        <v>8089</v>
      </c>
      <c r="I1433" s="91" t="s">
        <v>8090</v>
      </c>
      <c r="J1433" s="83" t="s">
        <v>149</v>
      </c>
      <c r="K1433" s="83" t="s">
        <v>150</v>
      </c>
      <c r="L1433" s="83" t="s">
        <v>151</v>
      </c>
      <c r="M1433" s="83" t="s">
        <v>230</v>
      </c>
      <c r="N1433" s="137" t="s">
        <v>8091</v>
      </c>
      <c r="O1433" s="98" t="s">
        <v>155</v>
      </c>
      <c r="P1433" s="99" t="str">
        <f>IFERROR(__xludf.DUMMYFUNCTION("IFERROR(VLOOKUP(AS1433,IMPORTRANGE(""https://docs.google.com/spreadsheets/d/1juPI-Fb8LD0YtltB2mlGEnp_R3UVu1t3wSFPzgCyHXE/edit?gid=0#gid=0"",""GERAL!A2:C""),3,0),""-"")"),"-")</f>
        <v>-</v>
      </c>
      <c r="Q1433" s="83"/>
      <c r="R1433" s="83"/>
      <c r="S1433" s="83"/>
      <c r="T1433" s="83"/>
      <c r="U1433" s="83"/>
      <c r="V1433" s="83"/>
      <c r="W1433" s="83"/>
      <c r="X1433" s="83"/>
      <c r="Y1433" s="83"/>
      <c r="Z1433" s="83"/>
      <c r="AA1433" s="83"/>
      <c r="AB1433" s="83"/>
      <c r="AC1433" s="83"/>
      <c r="AD1433" s="83"/>
      <c r="AE1433" s="83"/>
      <c r="AF1433" s="83"/>
      <c r="AG1433" s="83"/>
      <c r="AH1433" s="83"/>
      <c r="AI1433" s="83"/>
      <c r="AJ1433" s="83"/>
      <c r="AK1433" s="83"/>
      <c r="AL1433" s="83"/>
      <c r="AM1433" s="83"/>
      <c r="AN1433" s="83"/>
      <c r="AO1433" s="83"/>
      <c r="AP1433" s="83"/>
      <c r="AQ1433" s="83"/>
      <c r="AR1433" s="83"/>
      <c r="AS1433" s="83">
        <v>1101147.0</v>
      </c>
    </row>
    <row r="1434" ht="15.75" customHeight="1">
      <c r="A1434" s="111" t="s">
        <v>1785</v>
      </c>
      <c r="B1434" s="83" t="s">
        <v>2378</v>
      </c>
      <c r="C1434" s="83" t="s">
        <v>68</v>
      </c>
      <c r="D1434" s="112">
        <v>1134134.0</v>
      </c>
      <c r="E1434" s="83"/>
      <c r="F1434" s="83">
        <v>2.9159539E7</v>
      </c>
      <c r="G1434" s="91" t="str">
        <f>IFERROR(__xludf.DUMMYFUNCTION("XLOOKUP(AS1434,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MATA DE SÃO JOÃO")</f>
        <v>COLÉGIO ESTADUAL DE TEMPO INTEGRAL DE MATA DE SÃO JOÃO</v>
      </c>
      <c r="H1434" s="119" t="s">
        <v>8093</v>
      </c>
      <c r="I1434" s="91" t="s">
        <v>8094</v>
      </c>
      <c r="J1434" s="136" t="s">
        <v>149</v>
      </c>
      <c r="K1434" s="136" t="s">
        <v>150</v>
      </c>
      <c r="L1434" s="136" t="s">
        <v>151</v>
      </c>
      <c r="M1434" s="136" t="s">
        <v>152</v>
      </c>
      <c r="N1434" s="137" t="s">
        <v>8096</v>
      </c>
      <c r="O1434" s="98" t="s">
        <v>155</v>
      </c>
      <c r="P1434" s="99" t="str">
        <f>IFERROR(__xludf.DUMMYFUNCTION("IFERROR(VLOOKUP(AS1434,IMPORTRANGE(""https://docs.google.com/spreadsheets/d/1juPI-Fb8LD0YtltB2mlGEnp_R3UVu1t3wSFPzgCyHXE/edit?gid=0#gid=0"",""GERAL!A2:C""),3,0),""-"")"),"-")</f>
        <v>-</v>
      </c>
      <c r="Q1434" s="101" t="s">
        <v>156</v>
      </c>
      <c r="R1434" s="98">
        <v>36.0</v>
      </c>
      <c r="S1434" s="98">
        <v>1.0</v>
      </c>
      <c r="T1434" s="98">
        <v>1.0</v>
      </c>
      <c r="U1434" s="98">
        <v>0.0</v>
      </c>
      <c r="V1434" s="98">
        <v>1.0</v>
      </c>
      <c r="W1434" s="98">
        <v>3.0</v>
      </c>
      <c r="X1434" s="98">
        <v>1.0</v>
      </c>
      <c r="Y1434" s="98">
        <v>0.0</v>
      </c>
      <c r="Z1434" s="98">
        <v>1.0</v>
      </c>
      <c r="AA1434" s="98">
        <v>0.0</v>
      </c>
      <c r="AB1434" s="98">
        <v>1.0</v>
      </c>
      <c r="AC1434" s="98">
        <v>0.0</v>
      </c>
      <c r="AD1434" s="98">
        <v>0.0</v>
      </c>
      <c r="AE1434" s="98">
        <v>0.0</v>
      </c>
      <c r="AF1434" s="98">
        <v>1.0</v>
      </c>
      <c r="AG1434" s="98">
        <v>0.0</v>
      </c>
      <c r="AH1434" s="98">
        <v>0.0</v>
      </c>
      <c r="AI1434" s="98">
        <v>0.0</v>
      </c>
      <c r="AJ1434" s="98">
        <v>0.0</v>
      </c>
      <c r="AK1434" s="98">
        <v>1.0</v>
      </c>
      <c r="AL1434" s="98">
        <v>0.0</v>
      </c>
      <c r="AM1434" s="98">
        <v>0.0</v>
      </c>
      <c r="AN1434" s="98">
        <v>0.0</v>
      </c>
      <c r="AO1434" s="98">
        <v>0.0</v>
      </c>
      <c r="AP1434" s="98">
        <v>0.0</v>
      </c>
      <c r="AQ1434" s="98" t="s">
        <v>8101</v>
      </c>
      <c r="AR1434" s="102">
        <v>46216.0</v>
      </c>
      <c r="AS1434" s="83">
        <v>1134134.0</v>
      </c>
    </row>
    <row r="1435" ht="15.75" customHeight="1">
      <c r="A1435" s="111" t="s">
        <v>1785</v>
      </c>
      <c r="B1435" s="83" t="s">
        <v>2378</v>
      </c>
      <c r="C1435" s="83" t="s">
        <v>68</v>
      </c>
      <c r="D1435" s="112">
        <v>1176073.0</v>
      </c>
      <c r="E1435" s="83"/>
      <c r="F1435" s="83">
        <v>2.9160227E7</v>
      </c>
      <c r="G1435" s="91" t="str">
        <f>IFERROR(__xludf.DUMMYFUNCTION("XLOOKUP(AS1435,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ALAOR COUTINHO - TEMPO INTEGRAL")</f>
        <v>COLÉGIO ESTADUAL ALAOR COUTINHO - TEMPO INTEGRAL</v>
      </c>
      <c r="H1435" s="114" t="s">
        <v>8107</v>
      </c>
      <c r="I1435" s="91" t="s">
        <v>8108</v>
      </c>
      <c r="J1435" s="83" t="s">
        <v>149</v>
      </c>
      <c r="K1435" s="83" t="s">
        <v>183</v>
      </c>
      <c r="L1435" s="83" t="s">
        <v>151</v>
      </c>
      <c r="M1435" s="83" t="s">
        <v>230</v>
      </c>
      <c r="N1435" s="98" t="s">
        <v>8109</v>
      </c>
      <c r="O1435" s="98" t="s">
        <v>155</v>
      </c>
      <c r="P1435" s="99" t="str">
        <f>IFERROR(__xludf.DUMMYFUNCTION("IFERROR(VLOOKUP(AS1435,IMPORTRANGE(""https://docs.google.com/spreadsheets/d/1juPI-Fb8LD0YtltB2mlGEnp_R3UVu1t3wSFPzgCyHXE/edit?gid=0#gid=0"",""GERAL!A2:C""),3,0),""-"")"),"-")</f>
        <v>-</v>
      </c>
      <c r="Q1435" s="101" t="s">
        <v>156</v>
      </c>
      <c r="R1435" s="98">
        <v>10.0</v>
      </c>
      <c r="S1435" s="98">
        <v>1.0</v>
      </c>
      <c r="T1435" s="98">
        <v>0.0</v>
      </c>
      <c r="U1435" s="98">
        <v>0.0</v>
      </c>
      <c r="V1435" s="98">
        <v>0.0</v>
      </c>
      <c r="W1435" s="98">
        <v>0.0</v>
      </c>
      <c r="X1435" s="98">
        <v>1.0</v>
      </c>
      <c r="Y1435" s="98">
        <v>0.0</v>
      </c>
      <c r="Z1435" s="98">
        <v>0.0</v>
      </c>
      <c r="AA1435" s="98">
        <v>1.0</v>
      </c>
      <c r="AB1435" s="98">
        <v>0.0</v>
      </c>
      <c r="AC1435" s="98">
        <v>1.0</v>
      </c>
      <c r="AD1435" s="98">
        <v>0.0</v>
      </c>
      <c r="AE1435" s="98">
        <v>0.0</v>
      </c>
      <c r="AF1435" s="98">
        <v>0.0</v>
      </c>
      <c r="AG1435" s="98">
        <v>1.0</v>
      </c>
      <c r="AH1435" s="98">
        <v>0.0</v>
      </c>
      <c r="AI1435" s="98">
        <v>0.0</v>
      </c>
      <c r="AJ1435" s="98">
        <v>0.0</v>
      </c>
      <c r="AK1435" s="98">
        <v>0.0</v>
      </c>
      <c r="AL1435" s="98">
        <v>0.0</v>
      </c>
      <c r="AM1435" s="98">
        <v>0.0</v>
      </c>
      <c r="AN1435" s="98">
        <v>0.0</v>
      </c>
      <c r="AO1435" s="98">
        <v>0.0</v>
      </c>
      <c r="AP1435" s="98">
        <v>4.0</v>
      </c>
      <c r="AQ1435" s="98" t="s">
        <v>8110</v>
      </c>
      <c r="AR1435" s="102">
        <v>46216.0</v>
      </c>
      <c r="AS1435" s="83">
        <v>1176073.0</v>
      </c>
    </row>
    <row r="1436" ht="15.75" customHeight="1">
      <c r="A1436" s="111" t="s">
        <v>1785</v>
      </c>
      <c r="B1436" s="83" t="s">
        <v>8111</v>
      </c>
      <c r="C1436" s="83" t="s">
        <v>45</v>
      </c>
      <c r="D1436" s="98">
        <v>1179763.0</v>
      </c>
      <c r="E1436" s="98"/>
      <c r="F1436" s="98">
        <v>2.9477697E7</v>
      </c>
      <c r="G1436" s="91" t="str">
        <f>IFERROR(__xludf.DUMMYFUNCTION("XLOOKUP(AS1436,
IMPORTRANGE(""https://docs.google.com/spreadsheets/d/1YM-djuOLXomrZ9W0B4TyIBsVWnXY4EIOFD9HY-qGfv0/edit?usp=sharing"",""GERAL!BG5:BG""),
IMPORTRANGE(""https://docs.google.com/spreadsheets/d/1YM-djuOLXomrZ9W0B4TyIBsVWnXY4EIOFD9HY-qGfv0/edit?"&amp;"usp=sharing"",""GERAL!G5:G""),
""CÓD. SEC NÃO ENCONTRADO NA PLANILHA DE MATRÍCULA"")"),"ETFAP - ESCOLA TÉCNICA FAMÍLIA AGRÍCOLA A PARTILHA")</f>
        <v>ETFAP - ESCOLA TÉCNICA FAMÍLIA AGRÍCOLA A PARTILHA</v>
      </c>
      <c r="H1436" s="184" t="s">
        <v>8112</v>
      </c>
      <c r="I1436" s="91" t="s">
        <v>8113</v>
      </c>
      <c r="J1436" s="115" t="s">
        <v>8114</v>
      </c>
      <c r="K1436" s="115" t="s">
        <v>150</v>
      </c>
      <c r="L1436" s="83" t="s">
        <v>151</v>
      </c>
      <c r="M1436" s="83" t="s">
        <v>169</v>
      </c>
      <c r="N1436" s="98" t="s">
        <v>171</v>
      </c>
      <c r="O1436" s="98" t="s">
        <v>155</v>
      </c>
      <c r="P1436" s="99" t="str">
        <f>IFERROR(__xludf.DUMMYFUNCTION("IFERROR(VLOOKUP(AS1436,IMPORTRANGE(""https://docs.google.com/spreadsheets/d/1juPI-Fb8LD0YtltB2mlGEnp_R3UVu1t3wSFPzgCyHXE/edit?gid=0#gid=0"",""GERAL!A2:C""),3,0),""-"")"),"EFA")</f>
        <v>EFA</v>
      </c>
      <c r="Q1436" s="98" t="s">
        <v>171</v>
      </c>
      <c r="R1436" s="98">
        <v>9.0</v>
      </c>
      <c r="S1436" s="98">
        <v>0.0</v>
      </c>
      <c r="T1436" s="98">
        <v>0.0</v>
      </c>
      <c r="U1436" s="98">
        <v>1.0</v>
      </c>
      <c r="V1436" s="98">
        <v>1.0</v>
      </c>
      <c r="W1436" s="98">
        <v>1.0</v>
      </c>
      <c r="X1436" s="98">
        <v>1.0</v>
      </c>
      <c r="Y1436" s="98">
        <v>0.0</v>
      </c>
      <c r="Z1436" s="98">
        <v>0.0</v>
      </c>
      <c r="AA1436" s="98">
        <v>0.0</v>
      </c>
      <c r="AB1436" s="98">
        <v>0.0</v>
      </c>
      <c r="AC1436" s="98">
        <v>1.0</v>
      </c>
      <c r="AD1436" s="98">
        <v>0.0</v>
      </c>
      <c r="AE1436" s="98">
        <v>0.0</v>
      </c>
      <c r="AF1436" s="98">
        <v>0.0</v>
      </c>
      <c r="AG1436" s="98">
        <v>0.0</v>
      </c>
      <c r="AH1436" s="98">
        <v>0.0</v>
      </c>
      <c r="AI1436" s="98">
        <v>0.0</v>
      </c>
      <c r="AJ1436" s="98">
        <v>0.0</v>
      </c>
      <c r="AK1436" s="98">
        <v>0.0</v>
      </c>
      <c r="AL1436" s="98">
        <v>0.0</v>
      </c>
      <c r="AM1436" s="98">
        <v>0.0</v>
      </c>
      <c r="AN1436" s="98">
        <v>0.0</v>
      </c>
      <c r="AO1436" s="98">
        <v>0.0</v>
      </c>
      <c r="AP1436" s="98">
        <v>0.0</v>
      </c>
      <c r="AQ1436" s="98" t="s">
        <v>8115</v>
      </c>
      <c r="AR1436" s="102">
        <v>46241.0</v>
      </c>
      <c r="AS1436" s="98">
        <v>1179763.0</v>
      </c>
    </row>
    <row r="1437" ht="15.75" customHeight="1">
      <c r="A1437" s="111" t="s">
        <v>1785</v>
      </c>
      <c r="B1437" s="83" t="s">
        <v>8111</v>
      </c>
      <c r="C1437" s="83" t="s">
        <v>68</v>
      </c>
      <c r="D1437" s="112">
        <v>1166354.0</v>
      </c>
      <c r="E1437" s="83"/>
      <c r="F1437" s="83">
        <v>2.9160502E7</v>
      </c>
      <c r="G1437" s="91" t="str">
        <f>IFERROR(__xludf.DUMMYFUNCTION("XLOOKUP(AS1437,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PADRE JOÃO MONTEZ")</f>
        <v>COLÉGIO ESTADUAL PADRE JOÃO MONTEZ</v>
      </c>
      <c r="H1437" s="185" t="s">
        <v>8116</v>
      </c>
      <c r="I1437" s="91" t="s">
        <v>8117</v>
      </c>
      <c r="J1437" s="136" t="s">
        <v>149</v>
      </c>
      <c r="K1437" s="136" t="s">
        <v>150</v>
      </c>
      <c r="L1437" s="83" t="s">
        <v>151</v>
      </c>
      <c r="M1437" s="83" t="s">
        <v>152</v>
      </c>
      <c r="N1437" s="98" t="s">
        <v>8118</v>
      </c>
      <c r="O1437" s="98" t="s">
        <v>155</v>
      </c>
      <c r="P1437" s="99" t="str">
        <f>IFERROR(__xludf.DUMMYFUNCTION("IFERROR(VLOOKUP(AS1437,IMPORTRANGE(""https://docs.google.com/spreadsheets/d/1juPI-Fb8LD0YtltB2mlGEnp_R3UVu1t3wSFPzgCyHXE/edit?gid=0#gid=0"",""GERAL!A2:C""),3,0),""-"")"),"-")</f>
        <v>-</v>
      </c>
      <c r="Q1437" s="101" t="s">
        <v>156</v>
      </c>
      <c r="R1437" s="98">
        <v>9.0</v>
      </c>
      <c r="S1437" s="98">
        <v>1.0</v>
      </c>
      <c r="T1437" s="98">
        <v>0.0</v>
      </c>
      <c r="U1437" s="98">
        <v>0.0</v>
      </c>
      <c r="V1437" s="98">
        <v>0.0</v>
      </c>
      <c r="W1437" s="98">
        <v>0.0</v>
      </c>
      <c r="X1437" s="98">
        <v>0.0</v>
      </c>
      <c r="Y1437" s="98">
        <v>1.0</v>
      </c>
      <c r="Z1437" s="98">
        <v>0.0</v>
      </c>
      <c r="AA1437" s="98">
        <v>0.0</v>
      </c>
      <c r="AB1437" s="98">
        <v>0.0</v>
      </c>
      <c r="AC1437" s="98">
        <v>0.0</v>
      </c>
      <c r="AD1437" s="98">
        <v>0.0</v>
      </c>
      <c r="AE1437" s="98">
        <v>0.0</v>
      </c>
      <c r="AF1437" s="98">
        <v>0.0</v>
      </c>
      <c r="AG1437" s="98">
        <v>1.0</v>
      </c>
      <c r="AH1437" s="98">
        <v>0.0</v>
      </c>
      <c r="AI1437" s="98">
        <v>0.0</v>
      </c>
      <c r="AJ1437" s="98">
        <v>0.0</v>
      </c>
      <c r="AK1437" s="98">
        <v>0.0</v>
      </c>
      <c r="AL1437" s="98">
        <v>0.0</v>
      </c>
      <c r="AM1437" s="98">
        <v>0.0</v>
      </c>
      <c r="AN1437" s="98">
        <v>0.0</v>
      </c>
      <c r="AO1437" s="98">
        <v>0.0</v>
      </c>
      <c r="AP1437" s="98">
        <v>0.0</v>
      </c>
      <c r="AQ1437" s="83"/>
      <c r="AR1437" s="102">
        <v>46241.0</v>
      </c>
      <c r="AS1437" s="83">
        <v>1166354.0</v>
      </c>
    </row>
    <row r="1438" ht="15.75" customHeight="1">
      <c r="A1438" s="111" t="s">
        <v>1785</v>
      </c>
      <c r="B1438" s="83" t="s">
        <v>8111</v>
      </c>
      <c r="C1438" s="83" t="s">
        <v>68</v>
      </c>
      <c r="D1438" s="112">
        <v>1176461.0</v>
      </c>
      <c r="E1438" s="83"/>
      <c r="F1438" s="83">
        <v>2.9391253E7</v>
      </c>
      <c r="G1438" s="91" t="str">
        <f>IFERROR(__xludf.DUMMYFUNCTION("XLOOKUP(AS1438,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LUIS EDUARDO MAGALHÃES - TEMPO INTEGRAL")</f>
        <v>COLÉGIO ESTADUAL LUIS EDUARDO MAGALHÃES - TEMPO INTEGRAL</v>
      </c>
      <c r="H1438" s="185" t="s">
        <v>8120</v>
      </c>
      <c r="I1438" s="91" t="s">
        <v>8121</v>
      </c>
      <c r="J1438" s="136" t="s">
        <v>149</v>
      </c>
      <c r="K1438" s="136" t="s">
        <v>150</v>
      </c>
      <c r="L1438" s="83" t="s">
        <v>151</v>
      </c>
      <c r="M1438" s="83" t="s">
        <v>152</v>
      </c>
      <c r="N1438" s="98" t="s">
        <v>8122</v>
      </c>
      <c r="O1438" s="98" t="s">
        <v>155</v>
      </c>
      <c r="P1438" s="99" t="str">
        <f>IFERROR(__xludf.DUMMYFUNCTION("IFERROR(VLOOKUP(AS1438,IMPORTRANGE(""https://docs.google.com/spreadsheets/d/1juPI-Fb8LD0YtltB2mlGEnp_R3UVu1t3wSFPzgCyHXE/edit?gid=0#gid=0"",""GERAL!A2:C""),3,0),""-"")"),"-")</f>
        <v>-</v>
      </c>
      <c r="Q1438" s="101" t="s">
        <v>156</v>
      </c>
      <c r="R1438" s="98">
        <v>17.0</v>
      </c>
      <c r="S1438" s="98">
        <v>0.0</v>
      </c>
      <c r="T1438" s="98">
        <v>0.0</v>
      </c>
      <c r="U1438" s="98">
        <v>0.0</v>
      </c>
      <c r="V1438" s="98">
        <v>0.0</v>
      </c>
      <c r="W1438" s="98">
        <v>0.0</v>
      </c>
      <c r="X1438" s="98">
        <v>0.0</v>
      </c>
      <c r="Y1438" s="98">
        <v>0.0</v>
      </c>
      <c r="Z1438" s="98">
        <v>0.0</v>
      </c>
      <c r="AA1438" s="98">
        <v>0.0</v>
      </c>
      <c r="AB1438" s="98">
        <v>0.0</v>
      </c>
      <c r="AC1438" s="98">
        <v>0.0</v>
      </c>
      <c r="AD1438" s="98">
        <v>0.0</v>
      </c>
      <c r="AE1438" s="98">
        <v>0.0</v>
      </c>
      <c r="AF1438" s="98">
        <v>1.0</v>
      </c>
      <c r="AG1438" s="98">
        <v>0.0</v>
      </c>
      <c r="AH1438" s="98">
        <v>0.0</v>
      </c>
      <c r="AI1438" s="98">
        <v>0.0</v>
      </c>
      <c r="AJ1438" s="98">
        <v>0.0</v>
      </c>
      <c r="AK1438" s="98">
        <v>0.0</v>
      </c>
      <c r="AL1438" s="98">
        <v>0.0</v>
      </c>
      <c r="AM1438" s="98">
        <v>0.0</v>
      </c>
      <c r="AN1438" s="98">
        <v>0.0</v>
      </c>
      <c r="AO1438" s="98">
        <v>0.0</v>
      </c>
      <c r="AP1438" s="98">
        <v>5.0</v>
      </c>
      <c r="AQ1438" s="98" t="s">
        <v>8124</v>
      </c>
      <c r="AR1438" s="102">
        <v>46241.0</v>
      </c>
      <c r="AS1438" s="83">
        <v>1176461.0</v>
      </c>
    </row>
    <row r="1439" ht="15.75" customHeight="1">
      <c r="A1439" s="111" t="s">
        <v>1785</v>
      </c>
      <c r="B1439" s="83" t="s">
        <v>1994</v>
      </c>
      <c r="C1439" s="83" t="s">
        <v>68</v>
      </c>
      <c r="D1439" s="112">
        <v>1103492.0</v>
      </c>
      <c r="E1439" s="83"/>
      <c r="F1439" s="83">
        <v>2.9188695E7</v>
      </c>
      <c r="G1439" s="91" t="str">
        <f>IFERROR(__xludf.DUMMYFUNCTION("XLOOKUP(AS1439,
IMPORTRANGE(""https://docs.google.com/spreadsheets/d/1YM-djuOLXomrZ9W0B4TyIBsVWnXY4EIOFD9HY-qGfv0/edit?usp=sharing"",""GERAL!BG5:BG""),
IMPORTRANGE(""https://docs.google.com/spreadsheets/d/1YM-djuOLXomrZ9W0B4TyIBsVWnXY4EIOFD9HY-qGfv0/edit?"&amp;"usp=sharing"",""GERAL!G5:G""),
""CÓD. SEC NÃO ENCONTRADO NA PLANILHA DE MATRÍCULA"")"),"ESCOLA VISCONDE DE ITAPARICA")</f>
        <v>ESCOLA VISCONDE DE ITAPARICA</v>
      </c>
      <c r="H1439" s="114" t="s">
        <v>8127</v>
      </c>
      <c r="I1439" s="91" t="s">
        <v>8131</v>
      </c>
      <c r="J1439" s="136" t="s">
        <v>8133</v>
      </c>
      <c r="K1439" s="136" t="s">
        <v>150</v>
      </c>
      <c r="L1439" s="83" t="s">
        <v>168</v>
      </c>
      <c r="M1439" s="83" t="s">
        <v>152</v>
      </c>
      <c r="N1439" s="98" t="s">
        <v>8136</v>
      </c>
      <c r="O1439" s="98" t="s">
        <v>155</v>
      </c>
      <c r="P1439" s="99" t="str">
        <f>IFERROR(__xludf.DUMMYFUNCTION("IFERROR(VLOOKUP(AS1439,IMPORTRANGE(""https://docs.google.com/spreadsheets/d/1juPI-Fb8LD0YtltB2mlGEnp_R3UVu1t3wSFPzgCyHXE/edit?gid=0#gid=0"",""GERAL!A2:C""),3,0),""-"")"),"-")</f>
        <v>-</v>
      </c>
      <c r="Q1439" s="83"/>
      <c r="R1439" s="83"/>
      <c r="S1439" s="83"/>
      <c r="T1439" s="83"/>
      <c r="U1439" s="83"/>
      <c r="V1439" s="83"/>
      <c r="W1439" s="83"/>
      <c r="X1439" s="83"/>
      <c r="Y1439" s="83"/>
      <c r="Z1439" s="83"/>
      <c r="AA1439" s="83"/>
      <c r="AB1439" s="83"/>
      <c r="AC1439" s="83"/>
      <c r="AD1439" s="83"/>
      <c r="AE1439" s="83"/>
      <c r="AF1439" s="83"/>
      <c r="AG1439" s="83"/>
      <c r="AH1439" s="83"/>
      <c r="AI1439" s="83"/>
      <c r="AJ1439" s="83"/>
      <c r="AK1439" s="83"/>
      <c r="AL1439" s="83"/>
      <c r="AM1439" s="83"/>
      <c r="AN1439" s="83"/>
      <c r="AO1439" s="83"/>
      <c r="AP1439" s="83"/>
      <c r="AQ1439" s="83"/>
      <c r="AR1439" s="83"/>
      <c r="AS1439" s="83">
        <v>1103492.0</v>
      </c>
    </row>
    <row r="1440" ht="15.75" customHeight="1">
      <c r="A1440" s="111" t="s">
        <v>1785</v>
      </c>
      <c r="B1440" s="83" t="s">
        <v>1994</v>
      </c>
      <c r="C1440" s="83" t="s">
        <v>68</v>
      </c>
      <c r="D1440" s="112">
        <v>1103506.0</v>
      </c>
      <c r="E1440" s="83"/>
      <c r="F1440" s="83">
        <v>2.9187346E7</v>
      </c>
      <c r="G1440" s="91" t="str">
        <f>IFERROR(__xludf.DUMMYFUNCTION("XLOOKUP(AS1440,
IMPORTRANGE(""https://docs.google.com/spreadsheets/d/1YM-djuOLXomrZ9W0B4TyIBsVWnXY4EIOFD9HY-qGfv0/edit?usp=sharing"",""GERAL!BG5:BG""),
IMPORTRANGE(""https://docs.google.com/spreadsheets/d/1YM-djuOLXomrZ9W0B4TyIBsVWnXY4EIOFD9HY-qGfv0/edit?"&amp;"usp=sharing"",""GERAL!G5:G""),
""CÓD. SEC NÃO ENCONTRADO NA PLANILHA DE MATRÍCULA"")"),"ESCOLA PROFESSOR ROBERTO SANTOS")</f>
        <v>ESCOLA PROFESSOR ROBERTO SANTOS</v>
      </c>
      <c r="H1440" s="114" t="s">
        <v>8138</v>
      </c>
      <c r="I1440" s="91" t="s">
        <v>8139</v>
      </c>
      <c r="J1440" s="136" t="s">
        <v>3098</v>
      </c>
      <c r="K1440" s="136" t="s">
        <v>150</v>
      </c>
      <c r="L1440" s="83" t="s">
        <v>151</v>
      </c>
      <c r="M1440" s="83" t="s">
        <v>152</v>
      </c>
      <c r="N1440" s="171" t="s">
        <v>8140</v>
      </c>
      <c r="O1440" s="98" t="s">
        <v>155</v>
      </c>
      <c r="P1440" s="99" t="str">
        <f>IFERROR(__xludf.DUMMYFUNCTION("IFERROR(VLOOKUP(AS1440,IMPORTRANGE(""https://docs.google.com/spreadsheets/d/1juPI-Fb8LD0YtltB2mlGEnp_R3UVu1t3wSFPzgCyHXE/edit?gid=0#gid=0"",""GERAL!A2:C""),3,0),""-"")"),"-")</f>
        <v>-</v>
      </c>
      <c r="Q1440" s="83"/>
      <c r="R1440" s="83"/>
      <c r="S1440" s="83"/>
      <c r="T1440" s="83"/>
      <c r="U1440" s="83"/>
      <c r="V1440" s="83"/>
      <c r="W1440" s="83"/>
      <c r="X1440" s="83"/>
      <c r="Y1440" s="83"/>
      <c r="Z1440" s="83"/>
      <c r="AA1440" s="83"/>
      <c r="AB1440" s="83"/>
      <c r="AC1440" s="83"/>
      <c r="AD1440" s="83"/>
      <c r="AE1440" s="83"/>
      <c r="AF1440" s="83"/>
      <c r="AG1440" s="83"/>
      <c r="AH1440" s="83"/>
      <c r="AI1440" s="83"/>
      <c r="AJ1440" s="83"/>
      <c r="AK1440" s="83"/>
      <c r="AL1440" s="83"/>
      <c r="AM1440" s="83"/>
      <c r="AN1440" s="83"/>
      <c r="AO1440" s="83"/>
      <c r="AP1440" s="83"/>
      <c r="AQ1440" s="83"/>
      <c r="AR1440" s="83"/>
      <c r="AS1440" s="83">
        <v>1103506.0</v>
      </c>
    </row>
    <row r="1441" ht="15.75" customHeight="1">
      <c r="A1441" s="111" t="s">
        <v>1785</v>
      </c>
      <c r="B1441" s="83" t="s">
        <v>1994</v>
      </c>
      <c r="C1441" s="83" t="s">
        <v>68</v>
      </c>
      <c r="D1441" s="112">
        <v>1104022.0</v>
      </c>
      <c r="E1441" s="83"/>
      <c r="F1441" s="83">
        <v>2.9188431E7</v>
      </c>
      <c r="G1441" s="91" t="str">
        <f>IFERROR(__xludf.DUMMYFUNCTION("XLOOKUP(AS1441,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TEODORO SAMPAIO")</f>
        <v>ESCOLA ESTADUAL TEODORO SAMPAIO</v>
      </c>
      <c r="H1441" s="114" t="s">
        <v>8141</v>
      </c>
      <c r="I1441" s="91" t="s">
        <v>8142</v>
      </c>
      <c r="J1441" s="136" t="s">
        <v>8143</v>
      </c>
      <c r="K1441" s="136" t="s">
        <v>150</v>
      </c>
      <c r="L1441" s="83" t="s">
        <v>151</v>
      </c>
      <c r="M1441" s="83" t="s">
        <v>152</v>
      </c>
      <c r="N1441" s="98" t="s">
        <v>8144</v>
      </c>
      <c r="O1441" s="98" t="s">
        <v>155</v>
      </c>
      <c r="P1441" s="99" t="str">
        <f>IFERROR(__xludf.DUMMYFUNCTION("IFERROR(VLOOKUP(AS1441,IMPORTRANGE(""https://docs.google.com/spreadsheets/d/1juPI-Fb8LD0YtltB2mlGEnp_R3UVu1t3wSFPzgCyHXE/edit?gid=0#gid=0"",""GERAL!A2:C""),3,0),""-"")"),"-")</f>
        <v>-</v>
      </c>
      <c r="Q1441" s="83"/>
      <c r="R1441" s="83"/>
      <c r="S1441" s="83"/>
      <c r="T1441" s="83"/>
      <c r="U1441" s="83"/>
      <c r="V1441" s="83"/>
      <c r="W1441" s="83"/>
      <c r="X1441" s="83"/>
      <c r="Y1441" s="83"/>
      <c r="Z1441" s="83"/>
      <c r="AA1441" s="83"/>
      <c r="AB1441" s="83"/>
      <c r="AC1441" s="83"/>
      <c r="AD1441" s="83"/>
      <c r="AE1441" s="83"/>
      <c r="AF1441" s="83"/>
      <c r="AG1441" s="83"/>
      <c r="AH1441" s="83"/>
      <c r="AI1441" s="83"/>
      <c r="AJ1441" s="83"/>
      <c r="AK1441" s="83"/>
      <c r="AL1441" s="83"/>
      <c r="AM1441" s="83"/>
      <c r="AN1441" s="83"/>
      <c r="AO1441" s="83"/>
      <c r="AP1441" s="83"/>
      <c r="AQ1441" s="83"/>
      <c r="AR1441" s="83"/>
      <c r="AS1441" s="83">
        <v>1104022.0</v>
      </c>
    </row>
    <row r="1442" ht="15.75" customHeight="1">
      <c r="A1442" s="111" t="s">
        <v>1785</v>
      </c>
      <c r="B1442" s="83" t="s">
        <v>1994</v>
      </c>
      <c r="C1442" s="83" t="s">
        <v>68</v>
      </c>
      <c r="D1442" s="112">
        <v>1176392.0</v>
      </c>
      <c r="E1442" s="83"/>
      <c r="F1442" s="83">
        <v>2.9374677E7</v>
      </c>
      <c r="G1442" s="91" t="str">
        <f>IFERROR(__xludf.DUMMYFUNCTION("XLOOKUP(AS1442,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SEVERINO VIEIRA - TEMPO INTEGRAL")</f>
        <v>ESCOLA ESTADUAL SEVERINO VIEIRA - TEMPO INTEGRAL</v>
      </c>
      <c r="H1442" s="114" t="s">
        <v>8145</v>
      </c>
      <c r="I1442" s="91" t="s">
        <v>8146</v>
      </c>
      <c r="J1442" s="136" t="s">
        <v>4828</v>
      </c>
      <c r="K1442" s="136" t="s">
        <v>150</v>
      </c>
      <c r="L1442" s="83" t="s">
        <v>151</v>
      </c>
      <c r="M1442" s="83" t="s">
        <v>152</v>
      </c>
      <c r="N1442" s="98" t="s">
        <v>8147</v>
      </c>
      <c r="O1442" s="98" t="s">
        <v>155</v>
      </c>
      <c r="P1442" s="99" t="str">
        <f>IFERROR(__xludf.DUMMYFUNCTION("IFERROR(VLOOKUP(AS1442,IMPORTRANGE(""https://docs.google.com/spreadsheets/d/1juPI-Fb8LD0YtltB2mlGEnp_R3UVu1t3wSFPzgCyHXE/edit?gid=0#gid=0"",""GERAL!A2:C""),3,0),""-"")"),"-")</f>
        <v>-</v>
      </c>
      <c r="Q1442" s="83"/>
      <c r="R1442" s="83"/>
      <c r="S1442" s="83"/>
      <c r="T1442" s="83"/>
      <c r="U1442" s="83"/>
      <c r="V1442" s="83"/>
      <c r="W1442" s="83"/>
      <c r="X1442" s="83"/>
      <c r="Y1442" s="83"/>
      <c r="Z1442" s="83"/>
      <c r="AA1442" s="83"/>
      <c r="AB1442" s="83"/>
      <c r="AC1442" s="83"/>
      <c r="AD1442" s="83"/>
      <c r="AE1442" s="83"/>
      <c r="AF1442" s="83"/>
      <c r="AG1442" s="83"/>
      <c r="AH1442" s="83"/>
      <c r="AI1442" s="83"/>
      <c r="AJ1442" s="83"/>
      <c r="AK1442" s="83"/>
      <c r="AL1442" s="83"/>
      <c r="AM1442" s="83"/>
      <c r="AN1442" s="83"/>
      <c r="AO1442" s="83"/>
      <c r="AP1442" s="83"/>
      <c r="AQ1442" s="83"/>
      <c r="AR1442" s="83"/>
      <c r="AS1442" s="83">
        <v>1176392.0</v>
      </c>
    </row>
    <row r="1443" ht="15.75" customHeight="1">
      <c r="A1443" s="111" t="s">
        <v>1785</v>
      </c>
      <c r="B1443" s="83" t="s">
        <v>1994</v>
      </c>
      <c r="C1443" s="83" t="s">
        <v>68</v>
      </c>
      <c r="D1443" s="112">
        <v>1141998.0</v>
      </c>
      <c r="E1443" s="83"/>
      <c r="F1443" s="83">
        <v>2.9192218E7</v>
      </c>
      <c r="G1443" s="91" t="str">
        <f>IFERROR(__xludf.DUMMYFUNCTION("XLOOKUP(AS1443,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RAUL SA")</f>
        <v>ESCOLA ESTADUAL RAUL SA</v>
      </c>
      <c r="H1443" s="114" t="s">
        <v>8148</v>
      </c>
      <c r="I1443" s="91" t="s">
        <v>8149</v>
      </c>
      <c r="J1443" s="136" t="s">
        <v>8150</v>
      </c>
      <c r="K1443" s="136" t="s">
        <v>150</v>
      </c>
      <c r="L1443" s="83" t="s">
        <v>151</v>
      </c>
      <c r="M1443" s="83" t="s">
        <v>152</v>
      </c>
      <c r="N1443" s="98" t="s">
        <v>8151</v>
      </c>
      <c r="O1443" s="98" t="s">
        <v>155</v>
      </c>
      <c r="P1443" s="99" t="str">
        <f>IFERROR(__xludf.DUMMYFUNCTION("IFERROR(VLOOKUP(AS1443,IMPORTRANGE(""https://docs.google.com/spreadsheets/d/1juPI-Fb8LD0YtltB2mlGEnp_R3UVu1t3wSFPzgCyHXE/edit?gid=0#gid=0"",""GERAL!A2:C""),3,0),""-"")"),"-")</f>
        <v>-</v>
      </c>
      <c r="Q1443" s="83"/>
      <c r="R1443" s="83"/>
      <c r="S1443" s="83"/>
      <c r="T1443" s="83"/>
      <c r="U1443" s="83"/>
      <c r="V1443" s="83"/>
      <c r="W1443" s="83"/>
      <c r="X1443" s="83"/>
      <c r="Y1443" s="83"/>
      <c r="Z1443" s="83"/>
      <c r="AA1443" s="83"/>
      <c r="AB1443" s="83"/>
      <c r="AC1443" s="83"/>
      <c r="AD1443" s="83"/>
      <c r="AE1443" s="83"/>
      <c r="AF1443" s="83"/>
      <c r="AG1443" s="83"/>
      <c r="AH1443" s="83"/>
      <c r="AI1443" s="83"/>
      <c r="AJ1443" s="83"/>
      <c r="AK1443" s="83"/>
      <c r="AL1443" s="83"/>
      <c r="AM1443" s="83"/>
      <c r="AN1443" s="83"/>
      <c r="AO1443" s="83"/>
      <c r="AP1443" s="83"/>
      <c r="AQ1443" s="83"/>
      <c r="AR1443" s="83"/>
      <c r="AS1443" s="83">
        <v>1141998.0</v>
      </c>
    </row>
    <row r="1444" ht="15.75" customHeight="1">
      <c r="A1444" s="111" t="s">
        <v>1785</v>
      </c>
      <c r="B1444" s="83" t="s">
        <v>1994</v>
      </c>
      <c r="C1444" s="83" t="s">
        <v>68</v>
      </c>
      <c r="D1444" s="112">
        <v>1102917.0</v>
      </c>
      <c r="E1444" s="83"/>
      <c r="F1444" s="83">
        <v>2.9186552E7</v>
      </c>
      <c r="G1444" s="91" t="str">
        <f>IFERROR(__xludf.DUMMYFUNCTION("XLOOKUP(AS1444,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PROFESSORA NATALIA VINHAES - TEMPO INTEGRAL")</f>
        <v>ESCOLA ESTADUAL PROFESSORA NATALIA VINHAES - TEMPO INTEGRAL</v>
      </c>
      <c r="H1444" s="114" t="s">
        <v>8152</v>
      </c>
      <c r="I1444" s="91" t="s">
        <v>8153</v>
      </c>
      <c r="J1444" s="136" t="s">
        <v>8154</v>
      </c>
      <c r="K1444" s="136" t="s">
        <v>150</v>
      </c>
      <c r="L1444" s="83" t="s">
        <v>151</v>
      </c>
      <c r="M1444" s="98" t="s">
        <v>76</v>
      </c>
      <c r="N1444" s="98" t="s">
        <v>8155</v>
      </c>
      <c r="O1444" s="98" t="s">
        <v>155</v>
      </c>
      <c r="P1444" s="99" t="str">
        <f>IFERROR(__xludf.DUMMYFUNCTION("IFERROR(VLOOKUP(AS1444,IMPORTRANGE(""https://docs.google.com/spreadsheets/d/1juPI-Fb8LD0YtltB2mlGEnp_R3UVu1t3wSFPzgCyHXE/edit?gid=0#gid=0"",""GERAL!A2:C""),3,0),""-"")"),"-")</f>
        <v>-</v>
      </c>
      <c r="Q1444" s="83"/>
      <c r="R1444" s="83"/>
      <c r="S1444" s="83"/>
      <c r="T1444" s="83"/>
      <c r="U1444" s="83"/>
      <c r="V1444" s="83"/>
      <c r="W1444" s="83"/>
      <c r="X1444" s="83"/>
      <c r="Y1444" s="83"/>
      <c r="Z1444" s="83"/>
      <c r="AA1444" s="83"/>
      <c r="AB1444" s="83"/>
      <c r="AC1444" s="83"/>
      <c r="AD1444" s="83"/>
      <c r="AE1444" s="83"/>
      <c r="AF1444" s="83"/>
      <c r="AG1444" s="83"/>
      <c r="AH1444" s="83"/>
      <c r="AI1444" s="83"/>
      <c r="AJ1444" s="83"/>
      <c r="AK1444" s="83"/>
      <c r="AL1444" s="83"/>
      <c r="AM1444" s="83"/>
      <c r="AN1444" s="83"/>
      <c r="AO1444" s="83"/>
      <c r="AP1444" s="83"/>
      <c r="AQ1444" s="83"/>
      <c r="AR1444" s="83"/>
      <c r="AS1444" s="83">
        <v>1102917.0</v>
      </c>
    </row>
    <row r="1445" ht="15.75" customHeight="1">
      <c r="A1445" s="111" t="s">
        <v>1785</v>
      </c>
      <c r="B1445" s="83" t="s">
        <v>1994</v>
      </c>
      <c r="C1445" s="83" t="s">
        <v>68</v>
      </c>
      <c r="D1445" s="112">
        <v>1176074.0</v>
      </c>
      <c r="E1445" s="83"/>
      <c r="F1445" s="83">
        <v>2.9185408E7</v>
      </c>
      <c r="G1445" s="91" t="str">
        <f>IFERROR(__xludf.DUMMYFUNCTION("XLOOKUP(AS1445,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PROFESSORA MARIINHA TAVARES - TEMPO INTEGRAL")</f>
        <v>ESCOLA ESTADUAL PROFESSORA MARIINHA TAVARES - TEMPO INTEGRAL</v>
      </c>
      <c r="H1445" s="114" t="s">
        <v>8156</v>
      </c>
      <c r="I1445" s="91" t="s">
        <v>8157</v>
      </c>
      <c r="J1445" s="136" t="s">
        <v>8158</v>
      </c>
      <c r="K1445" s="136" t="s">
        <v>150</v>
      </c>
      <c r="L1445" s="83" t="s">
        <v>151</v>
      </c>
      <c r="M1445" s="83" t="s">
        <v>152</v>
      </c>
      <c r="N1445" s="385" t="s">
        <v>8159</v>
      </c>
      <c r="O1445" s="98" t="s">
        <v>155</v>
      </c>
      <c r="P1445" s="99" t="str">
        <f>IFERROR(__xludf.DUMMYFUNCTION("IFERROR(VLOOKUP(AS1445,IMPORTRANGE(""https://docs.google.com/spreadsheets/d/1juPI-Fb8LD0YtltB2mlGEnp_R3UVu1t3wSFPzgCyHXE/edit?gid=0#gid=0"",""GERAL!A2:C""),3,0),""-"")"),"-")</f>
        <v>-</v>
      </c>
      <c r="Q1445" s="83"/>
      <c r="R1445" s="83"/>
      <c r="S1445" s="83"/>
      <c r="T1445" s="83"/>
      <c r="U1445" s="83"/>
      <c r="V1445" s="83"/>
      <c r="W1445" s="83"/>
      <c r="X1445" s="83"/>
      <c r="Y1445" s="83"/>
      <c r="Z1445" s="83"/>
      <c r="AA1445" s="83"/>
      <c r="AB1445" s="83"/>
      <c r="AC1445" s="83"/>
      <c r="AD1445" s="83"/>
      <c r="AE1445" s="83"/>
      <c r="AF1445" s="83"/>
      <c r="AG1445" s="83"/>
      <c r="AH1445" s="83"/>
      <c r="AI1445" s="83"/>
      <c r="AJ1445" s="83"/>
      <c r="AK1445" s="83"/>
      <c r="AL1445" s="83"/>
      <c r="AM1445" s="83"/>
      <c r="AN1445" s="83"/>
      <c r="AO1445" s="83"/>
      <c r="AP1445" s="83"/>
      <c r="AQ1445" s="83"/>
      <c r="AR1445" s="83"/>
      <c r="AS1445" s="83">
        <v>1176074.0</v>
      </c>
    </row>
    <row r="1446" ht="15.75" customHeight="1">
      <c r="A1446" s="111" t="s">
        <v>1785</v>
      </c>
      <c r="B1446" s="83" t="s">
        <v>1994</v>
      </c>
      <c r="C1446" s="83" t="s">
        <v>68</v>
      </c>
      <c r="D1446" s="112">
        <v>1104375.0</v>
      </c>
      <c r="E1446" s="83"/>
      <c r="F1446" s="83">
        <v>2.9183839E7</v>
      </c>
      <c r="G1446" s="91" t="str">
        <f>IFERROR(__xludf.DUMMYFUNCTION("XLOOKUP(AS1446,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PROFESSORA ARMANDINA MARQUES")</f>
        <v>ESCOLA ESTADUAL PROFESSORA ARMANDINA MARQUES</v>
      </c>
      <c r="H1446" s="114" t="s">
        <v>8160</v>
      </c>
      <c r="I1446" s="91" t="s">
        <v>8161</v>
      </c>
      <c r="J1446" s="136" t="s">
        <v>8162</v>
      </c>
      <c r="K1446" s="136" t="s">
        <v>150</v>
      </c>
      <c r="L1446" s="83" t="s">
        <v>8163</v>
      </c>
      <c r="M1446" s="83" t="s">
        <v>152</v>
      </c>
      <c r="N1446" s="98" t="s">
        <v>8164</v>
      </c>
      <c r="O1446" s="98" t="s">
        <v>155</v>
      </c>
      <c r="P1446" s="99" t="str">
        <f>IFERROR(__xludf.DUMMYFUNCTION("IFERROR(VLOOKUP(AS1446,IMPORTRANGE(""https://docs.google.com/spreadsheets/d/1juPI-Fb8LD0YtltB2mlGEnp_R3UVu1t3wSFPzgCyHXE/edit?gid=0#gid=0"",""GERAL!A2:C""),3,0),""-"")"),"-")</f>
        <v>-</v>
      </c>
      <c r="Q1446" s="83"/>
      <c r="R1446" s="83"/>
      <c r="S1446" s="83"/>
      <c r="T1446" s="83"/>
      <c r="U1446" s="83"/>
      <c r="V1446" s="83"/>
      <c r="W1446" s="83"/>
      <c r="X1446" s="83"/>
      <c r="Y1446" s="83"/>
      <c r="Z1446" s="83"/>
      <c r="AA1446" s="83"/>
      <c r="AB1446" s="83"/>
      <c r="AC1446" s="83"/>
      <c r="AD1446" s="83"/>
      <c r="AE1446" s="83"/>
      <c r="AF1446" s="83"/>
      <c r="AG1446" s="83"/>
      <c r="AH1446" s="83"/>
      <c r="AI1446" s="83"/>
      <c r="AJ1446" s="83"/>
      <c r="AK1446" s="83"/>
      <c r="AL1446" s="83"/>
      <c r="AM1446" s="83"/>
      <c r="AN1446" s="83"/>
      <c r="AO1446" s="83"/>
      <c r="AP1446" s="83"/>
      <c r="AQ1446" s="83"/>
      <c r="AR1446" s="83"/>
      <c r="AS1446" s="83">
        <v>1104375.0</v>
      </c>
    </row>
    <row r="1447" ht="15.75" customHeight="1">
      <c r="A1447" s="111" t="s">
        <v>1785</v>
      </c>
      <c r="B1447" s="83" t="s">
        <v>1994</v>
      </c>
      <c r="C1447" s="83" t="s">
        <v>68</v>
      </c>
      <c r="D1447" s="112">
        <v>1176800.0</v>
      </c>
      <c r="E1447" s="83"/>
      <c r="F1447" s="83">
        <v>2.9404312E7</v>
      </c>
      <c r="G1447" s="91" t="str">
        <f>IFERROR(__xludf.DUMMYFUNCTION("XLOOKUP(AS1447,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PROFESSOR GERMANO MACHADO NETO")</f>
        <v>ESCOLA ESTADUAL PROFESSOR GERMANO MACHADO NETO</v>
      </c>
      <c r="H1447" s="114" t="s">
        <v>8165</v>
      </c>
      <c r="I1447" s="91" t="s">
        <v>8166</v>
      </c>
      <c r="J1447" s="83" t="s">
        <v>8167</v>
      </c>
      <c r="K1447" s="83" t="s">
        <v>150</v>
      </c>
      <c r="L1447" s="83" t="s">
        <v>151</v>
      </c>
      <c r="M1447" s="83" t="s">
        <v>76</v>
      </c>
      <c r="N1447" s="98" t="s">
        <v>8168</v>
      </c>
      <c r="O1447" s="98" t="s">
        <v>155</v>
      </c>
      <c r="P1447" s="99" t="str">
        <f>IFERROR(__xludf.DUMMYFUNCTION("IFERROR(VLOOKUP(AS1447,IMPORTRANGE(""https://docs.google.com/spreadsheets/d/1juPI-Fb8LD0YtltB2mlGEnp_R3UVu1t3wSFPzgCyHXE/edit?gid=0#gid=0"",""GERAL!A2:C""),3,0),""-"")"),"-")</f>
        <v>-</v>
      </c>
      <c r="Q1447" s="83"/>
      <c r="R1447" s="83"/>
      <c r="S1447" s="83"/>
      <c r="T1447" s="83"/>
      <c r="U1447" s="83"/>
      <c r="V1447" s="83"/>
      <c r="W1447" s="83"/>
      <c r="X1447" s="83"/>
      <c r="Y1447" s="83"/>
      <c r="Z1447" s="83"/>
      <c r="AA1447" s="83"/>
      <c r="AB1447" s="83"/>
      <c r="AC1447" s="83"/>
      <c r="AD1447" s="83"/>
      <c r="AE1447" s="83"/>
      <c r="AF1447" s="83"/>
      <c r="AG1447" s="83"/>
      <c r="AH1447" s="83"/>
      <c r="AI1447" s="83"/>
      <c r="AJ1447" s="83"/>
      <c r="AK1447" s="83"/>
      <c r="AL1447" s="83"/>
      <c r="AM1447" s="83"/>
      <c r="AN1447" s="83"/>
      <c r="AO1447" s="83"/>
      <c r="AP1447" s="83"/>
      <c r="AQ1447" s="83"/>
      <c r="AR1447" s="83"/>
      <c r="AS1447" s="83">
        <v>1176800.0</v>
      </c>
    </row>
    <row r="1448" ht="15.75" customHeight="1">
      <c r="A1448" s="111" t="s">
        <v>1785</v>
      </c>
      <c r="B1448" s="83" t="s">
        <v>1994</v>
      </c>
      <c r="C1448" s="83" t="s">
        <v>68</v>
      </c>
      <c r="D1448" s="112">
        <v>1104715.0</v>
      </c>
      <c r="E1448" s="83"/>
      <c r="F1448" s="83">
        <v>2.9187079E7</v>
      </c>
      <c r="G1448" s="91" t="str">
        <f>IFERROR(__xludf.DUMMYFUNCTION("XLOOKUP(AS1448,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PRESCILIANO SILVA - TEMPO INTEGRAL")</f>
        <v>ESCOLA ESTADUAL PRESCILIANO SILVA - TEMPO INTEGRAL</v>
      </c>
      <c r="H1448" s="114" t="s">
        <v>8169</v>
      </c>
      <c r="I1448" s="91" t="s">
        <v>8170</v>
      </c>
      <c r="J1448" s="83" t="s">
        <v>8171</v>
      </c>
      <c r="K1448" s="83" t="s">
        <v>150</v>
      </c>
      <c r="L1448" s="83" t="s">
        <v>151</v>
      </c>
      <c r="M1448" s="83" t="s">
        <v>152</v>
      </c>
      <c r="N1448" s="98" t="s">
        <v>8172</v>
      </c>
      <c r="O1448" s="98" t="s">
        <v>155</v>
      </c>
      <c r="P1448" s="99" t="str">
        <f>IFERROR(__xludf.DUMMYFUNCTION("IFERROR(VLOOKUP(AS1448,IMPORTRANGE(""https://docs.google.com/spreadsheets/d/1juPI-Fb8LD0YtltB2mlGEnp_R3UVu1t3wSFPzgCyHXE/edit?gid=0#gid=0"",""GERAL!A2:C""),3,0),""-"")"),"-")</f>
        <v>-</v>
      </c>
      <c r="Q1448" s="83"/>
      <c r="R1448" s="83"/>
      <c r="S1448" s="83"/>
      <c r="T1448" s="83"/>
      <c r="U1448" s="83"/>
      <c r="V1448" s="83"/>
      <c r="W1448" s="83"/>
      <c r="X1448" s="83"/>
      <c r="Y1448" s="83"/>
      <c r="Z1448" s="83"/>
      <c r="AA1448" s="83"/>
      <c r="AB1448" s="83"/>
      <c r="AC1448" s="83"/>
      <c r="AD1448" s="83"/>
      <c r="AE1448" s="83"/>
      <c r="AF1448" s="83"/>
      <c r="AG1448" s="83"/>
      <c r="AH1448" s="83"/>
      <c r="AI1448" s="83"/>
      <c r="AJ1448" s="83"/>
      <c r="AK1448" s="83"/>
      <c r="AL1448" s="83"/>
      <c r="AM1448" s="83"/>
      <c r="AN1448" s="83"/>
      <c r="AO1448" s="83"/>
      <c r="AP1448" s="83"/>
      <c r="AQ1448" s="83"/>
      <c r="AR1448" s="83"/>
      <c r="AS1448" s="83">
        <v>1104715.0</v>
      </c>
    </row>
    <row r="1449" ht="15.75" customHeight="1">
      <c r="A1449" s="111" t="s">
        <v>1785</v>
      </c>
      <c r="B1449" s="83" t="s">
        <v>1994</v>
      </c>
      <c r="C1449" s="83" t="s">
        <v>68</v>
      </c>
      <c r="D1449" s="112">
        <v>1101759.0</v>
      </c>
      <c r="E1449" s="83"/>
      <c r="F1449" s="83">
        <v>2.9187877E7</v>
      </c>
      <c r="G1449" s="91" t="str">
        <f>IFERROR(__xludf.DUMMYFUNCTION("XLOOKUP(AS1449,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PIERRE VERGER")</f>
        <v>ESCOLA ESTADUAL PIERRE VERGER</v>
      </c>
      <c r="H1449" s="114" t="s">
        <v>8173</v>
      </c>
      <c r="I1449" s="91" t="s">
        <v>8174</v>
      </c>
      <c r="J1449" s="83" t="s">
        <v>8175</v>
      </c>
      <c r="K1449" s="83" t="s">
        <v>150</v>
      </c>
      <c r="L1449" s="83" t="s">
        <v>151</v>
      </c>
      <c r="M1449" s="83" t="s">
        <v>152</v>
      </c>
      <c r="N1449" s="98" t="s">
        <v>8176</v>
      </c>
      <c r="O1449" s="98" t="s">
        <v>155</v>
      </c>
      <c r="P1449" s="99" t="str">
        <f>IFERROR(__xludf.DUMMYFUNCTION("IFERROR(VLOOKUP(AS1449,IMPORTRANGE(""https://docs.google.com/spreadsheets/d/1juPI-Fb8LD0YtltB2mlGEnp_R3UVu1t3wSFPzgCyHXE/edit?gid=0#gid=0"",""GERAL!A2:C""),3,0),""-"")"),"-")</f>
        <v>-</v>
      </c>
      <c r="Q1449" s="83"/>
      <c r="R1449" s="83"/>
      <c r="S1449" s="83"/>
      <c r="T1449" s="83"/>
      <c r="U1449" s="83"/>
      <c r="V1449" s="83"/>
      <c r="W1449" s="83"/>
      <c r="X1449" s="83"/>
      <c r="Y1449" s="83"/>
      <c r="Z1449" s="83"/>
      <c r="AA1449" s="83"/>
      <c r="AB1449" s="83"/>
      <c r="AC1449" s="83"/>
      <c r="AD1449" s="83"/>
      <c r="AE1449" s="83"/>
      <c r="AF1449" s="83"/>
      <c r="AG1449" s="83"/>
      <c r="AH1449" s="83"/>
      <c r="AI1449" s="83"/>
      <c r="AJ1449" s="83"/>
      <c r="AK1449" s="83"/>
      <c r="AL1449" s="83"/>
      <c r="AM1449" s="83"/>
      <c r="AN1449" s="83"/>
      <c r="AO1449" s="83"/>
      <c r="AP1449" s="83"/>
      <c r="AQ1449" s="83"/>
      <c r="AR1449" s="83"/>
      <c r="AS1449" s="83">
        <v>1101759.0</v>
      </c>
    </row>
    <row r="1450" ht="15.75" customHeight="1">
      <c r="A1450" s="111" t="s">
        <v>1785</v>
      </c>
      <c r="B1450" s="83" t="s">
        <v>1994</v>
      </c>
      <c r="C1450" s="83" t="s">
        <v>68</v>
      </c>
      <c r="D1450" s="112">
        <v>1103557.0</v>
      </c>
      <c r="E1450" s="83"/>
      <c r="F1450" s="83">
        <v>2.9186749E7</v>
      </c>
      <c r="G1450" s="91" t="str">
        <f>IFERROR(__xludf.DUMMYFUNCTION("XLOOKUP(AS1450,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OCRIDALINA MADUREIRA")</f>
        <v>ESCOLA ESTADUAL OCRIDALINA MADUREIRA</v>
      </c>
      <c r="H1450" s="114" t="s">
        <v>8177</v>
      </c>
      <c r="I1450" s="91" t="s">
        <v>8178</v>
      </c>
      <c r="J1450" s="83" t="s">
        <v>8179</v>
      </c>
      <c r="K1450" s="83" t="s">
        <v>150</v>
      </c>
      <c r="L1450" s="83" t="s">
        <v>151</v>
      </c>
      <c r="M1450" s="83" t="s">
        <v>152</v>
      </c>
      <c r="N1450" s="137" t="s">
        <v>8180</v>
      </c>
      <c r="O1450" s="98" t="s">
        <v>155</v>
      </c>
      <c r="P1450" s="99" t="str">
        <f>IFERROR(__xludf.DUMMYFUNCTION("IFERROR(VLOOKUP(AS1450,IMPORTRANGE(""https://docs.google.com/spreadsheets/d/1juPI-Fb8LD0YtltB2mlGEnp_R3UVu1t3wSFPzgCyHXE/edit?gid=0#gid=0"",""GERAL!A2:C""),3,0),""-"")"),"-")</f>
        <v>-</v>
      </c>
      <c r="Q1450" s="83"/>
      <c r="R1450" s="83"/>
      <c r="S1450" s="83"/>
      <c r="T1450" s="83"/>
      <c r="U1450" s="83"/>
      <c r="V1450" s="83"/>
      <c r="W1450" s="83"/>
      <c r="X1450" s="83"/>
      <c r="Y1450" s="83"/>
      <c r="Z1450" s="83"/>
      <c r="AA1450" s="83"/>
      <c r="AB1450" s="83"/>
      <c r="AC1450" s="83"/>
      <c r="AD1450" s="83"/>
      <c r="AE1450" s="83"/>
      <c r="AF1450" s="83"/>
      <c r="AG1450" s="83"/>
      <c r="AH1450" s="83"/>
      <c r="AI1450" s="83"/>
      <c r="AJ1450" s="83"/>
      <c r="AK1450" s="83"/>
      <c r="AL1450" s="83"/>
      <c r="AM1450" s="83"/>
      <c r="AN1450" s="83"/>
      <c r="AO1450" s="83"/>
      <c r="AP1450" s="83"/>
      <c r="AQ1450" s="83"/>
      <c r="AR1450" s="83"/>
      <c r="AS1450" s="83">
        <v>1103557.0</v>
      </c>
    </row>
    <row r="1451" ht="15.75" customHeight="1">
      <c r="A1451" s="111" t="s">
        <v>1785</v>
      </c>
      <c r="B1451" s="83" t="s">
        <v>1994</v>
      </c>
      <c r="C1451" s="83" t="s">
        <v>68</v>
      </c>
      <c r="D1451" s="112">
        <v>1102836.0</v>
      </c>
      <c r="E1451" s="83"/>
      <c r="F1451" s="83">
        <v>2.9193656E7</v>
      </c>
      <c r="G1451" s="91" t="str">
        <f>IFERROR(__xludf.DUMMYFUNCTION("XLOOKUP(AS1451,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MARIA ROMANA CALMON")</f>
        <v>ESCOLA ESTADUAL MARIA ROMANA CALMON</v>
      </c>
      <c r="H1451" s="114" t="s">
        <v>8181</v>
      </c>
      <c r="I1451" s="91" t="s">
        <v>8182</v>
      </c>
      <c r="J1451" s="83" t="s">
        <v>8183</v>
      </c>
      <c r="K1451" s="83" t="s">
        <v>150</v>
      </c>
      <c r="L1451" s="83" t="s">
        <v>151</v>
      </c>
      <c r="M1451" s="83" t="s">
        <v>76</v>
      </c>
      <c r="N1451" s="98" t="s">
        <v>8184</v>
      </c>
      <c r="O1451" s="98" t="s">
        <v>155</v>
      </c>
      <c r="P1451" s="99" t="str">
        <f>IFERROR(__xludf.DUMMYFUNCTION("IFERROR(VLOOKUP(AS1451,IMPORTRANGE(""https://docs.google.com/spreadsheets/d/1juPI-Fb8LD0YtltB2mlGEnp_R3UVu1t3wSFPzgCyHXE/edit?gid=0#gid=0"",""GERAL!A2:C""),3,0),""-"")"),"-")</f>
        <v>-</v>
      </c>
      <c r="Q1451" s="83"/>
      <c r="R1451" s="83"/>
      <c r="S1451" s="83"/>
      <c r="T1451" s="83"/>
      <c r="U1451" s="83"/>
      <c r="V1451" s="83"/>
      <c r="W1451" s="83"/>
      <c r="X1451" s="83"/>
      <c r="Y1451" s="83"/>
      <c r="Z1451" s="83"/>
      <c r="AA1451" s="83"/>
      <c r="AB1451" s="83"/>
      <c r="AC1451" s="83"/>
      <c r="AD1451" s="83"/>
      <c r="AE1451" s="83"/>
      <c r="AF1451" s="83"/>
      <c r="AG1451" s="83"/>
      <c r="AH1451" s="83"/>
      <c r="AI1451" s="83"/>
      <c r="AJ1451" s="83"/>
      <c r="AK1451" s="83"/>
      <c r="AL1451" s="83"/>
      <c r="AM1451" s="83"/>
      <c r="AN1451" s="83"/>
      <c r="AO1451" s="83"/>
      <c r="AP1451" s="83"/>
      <c r="AQ1451" s="83"/>
      <c r="AR1451" s="83"/>
      <c r="AS1451" s="83">
        <v>1102836.0</v>
      </c>
    </row>
    <row r="1452" ht="15.75" customHeight="1">
      <c r="A1452" s="111" t="s">
        <v>1785</v>
      </c>
      <c r="B1452" s="83" t="s">
        <v>1994</v>
      </c>
      <c r="C1452" s="83" t="s">
        <v>68</v>
      </c>
      <c r="D1452" s="112">
        <v>1176202.0</v>
      </c>
      <c r="E1452" s="83"/>
      <c r="F1452" s="83">
        <v>2.9357624E7</v>
      </c>
      <c r="G1452" s="91" t="str">
        <f>IFERROR(__xludf.DUMMYFUNCTION("XLOOKUP(AS1452,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LEA LEAL - TEMPO INTEGRAL")</f>
        <v>ESCOLA ESTADUAL LEA LEAL - TEMPO INTEGRAL</v>
      </c>
      <c r="H1452" s="114" t="s">
        <v>8185</v>
      </c>
      <c r="I1452" s="91" t="s">
        <v>8186</v>
      </c>
      <c r="J1452" s="83" t="s">
        <v>8187</v>
      </c>
      <c r="K1452" s="83" t="s">
        <v>150</v>
      </c>
      <c r="L1452" s="83" t="s">
        <v>151</v>
      </c>
      <c r="M1452" s="83" t="s">
        <v>76</v>
      </c>
      <c r="N1452" s="98" t="s">
        <v>8188</v>
      </c>
      <c r="O1452" s="98" t="s">
        <v>155</v>
      </c>
      <c r="P1452" s="99" t="str">
        <f>IFERROR(__xludf.DUMMYFUNCTION("IFERROR(VLOOKUP(AS1452,IMPORTRANGE(""https://docs.google.com/spreadsheets/d/1juPI-Fb8LD0YtltB2mlGEnp_R3UVu1t3wSFPzgCyHXE/edit?gid=0#gid=0"",""GERAL!A2:C""),3,0),""-"")"),"-")</f>
        <v>-</v>
      </c>
      <c r="Q1452" s="83"/>
      <c r="R1452" s="83"/>
      <c r="S1452" s="83"/>
      <c r="T1452" s="83"/>
      <c r="U1452" s="83"/>
      <c r="V1452" s="83"/>
      <c r="W1452" s="83"/>
      <c r="X1452" s="83"/>
      <c r="Y1452" s="83"/>
      <c r="Z1452" s="83"/>
      <c r="AA1452" s="83"/>
      <c r="AB1452" s="83"/>
      <c r="AC1452" s="83"/>
      <c r="AD1452" s="83"/>
      <c r="AE1452" s="83"/>
      <c r="AF1452" s="83"/>
      <c r="AG1452" s="83"/>
      <c r="AH1452" s="83"/>
      <c r="AI1452" s="83"/>
      <c r="AJ1452" s="83"/>
      <c r="AK1452" s="83"/>
      <c r="AL1452" s="83"/>
      <c r="AM1452" s="83"/>
      <c r="AN1452" s="83"/>
      <c r="AO1452" s="83"/>
      <c r="AP1452" s="83"/>
      <c r="AQ1452" s="83"/>
      <c r="AR1452" s="83"/>
      <c r="AS1452" s="83">
        <v>1176202.0</v>
      </c>
    </row>
    <row r="1453" ht="15.75" customHeight="1">
      <c r="A1453" s="111" t="s">
        <v>1785</v>
      </c>
      <c r="B1453" s="83" t="s">
        <v>1994</v>
      </c>
      <c r="C1453" s="83" t="s">
        <v>68</v>
      </c>
      <c r="D1453" s="112">
        <v>1102909.0</v>
      </c>
      <c r="E1453" s="83"/>
      <c r="F1453" s="83">
        <v>2.9188784E7</v>
      </c>
      <c r="G1453" s="91" t="str">
        <f>IFERROR(__xludf.DUMMYFUNCTION("XLOOKUP(AS1453,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DEPUTADO NAOMAR ALCANTARA - TEMPO INTEGRAL")</f>
        <v>ESCOLA ESTADUAL DEPUTADO NAOMAR ALCANTARA - TEMPO INTEGRAL</v>
      </c>
      <c r="H1453" s="114" t="s">
        <v>8189</v>
      </c>
      <c r="I1453" s="91" t="s">
        <v>8190</v>
      </c>
      <c r="J1453" s="83" t="s">
        <v>8191</v>
      </c>
      <c r="K1453" s="83" t="s">
        <v>150</v>
      </c>
      <c r="L1453" s="83" t="s">
        <v>151</v>
      </c>
      <c r="M1453" s="83" t="s">
        <v>76</v>
      </c>
      <c r="N1453" s="98" t="s">
        <v>8192</v>
      </c>
      <c r="O1453" s="98" t="s">
        <v>155</v>
      </c>
      <c r="P1453" s="99" t="str">
        <f>IFERROR(__xludf.DUMMYFUNCTION("IFERROR(VLOOKUP(AS1453,IMPORTRANGE(""https://docs.google.com/spreadsheets/d/1juPI-Fb8LD0YtltB2mlGEnp_R3UVu1t3wSFPzgCyHXE/edit?gid=0#gid=0"",""GERAL!A2:C""),3,0),""-"")"),"-")</f>
        <v>-</v>
      </c>
      <c r="Q1453" s="83"/>
      <c r="R1453" s="83"/>
      <c r="S1453" s="83"/>
      <c r="T1453" s="83"/>
      <c r="U1453" s="83"/>
      <c r="V1453" s="83"/>
      <c r="W1453" s="83"/>
      <c r="X1453" s="83"/>
      <c r="Y1453" s="83"/>
      <c r="Z1453" s="83"/>
      <c r="AA1453" s="83"/>
      <c r="AB1453" s="83"/>
      <c r="AC1453" s="83"/>
      <c r="AD1453" s="83"/>
      <c r="AE1453" s="83"/>
      <c r="AF1453" s="83"/>
      <c r="AG1453" s="83"/>
      <c r="AH1453" s="83"/>
      <c r="AI1453" s="83"/>
      <c r="AJ1453" s="83"/>
      <c r="AK1453" s="83"/>
      <c r="AL1453" s="83"/>
      <c r="AM1453" s="83"/>
      <c r="AN1453" s="83"/>
      <c r="AO1453" s="83"/>
      <c r="AP1453" s="83"/>
      <c r="AQ1453" s="83"/>
      <c r="AR1453" s="83"/>
      <c r="AS1453" s="83">
        <v>1102909.0</v>
      </c>
    </row>
    <row r="1454" ht="15.75" customHeight="1">
      <c r="A1454" s="111" t="s">
        <v>1785</v>
      </c>
      <c r="B1454" s="83" t="s">
        <v>1994</v>
      </c>
      <c r="C1454" s="83" t="s">
        <v>68</v>
      </c>
      <c r="D1454" s="112">
        <v>1101546.0</v>
      </c>
      <c r="E1454" s="83"/>
      <c r="F1454" s="83">
        <v>2.918995E7</v>
      </c>
      <c r="G1454" s="91" t="str">
        <f>IFERROR(__xludf.DUMMYFUNCTION("XLOOKUP(AS1454,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CASTRO ALVES")</f>
        <v>ESCOLA ESTADUAL CASTRO ALVES</v>
      </c>
      <c r="H1454" s="114" t="s">
        <v>8193</v>
      </c>
      <c r="I1454" s="91" t="s">
        <v>8194</v>
      </c>
      <c r="J1454" s="83" t="s">
        <v>8195</v>
      </c>
      <c r="K1454" s="83" t="s">
        <v>150</v>
      </c>
      <c r="L1454" s="83" t="s">
        <v>151</v>
      </c>
      <c r="M1454" s="83" t="s">
        <v>76</v>
      </c>
      <c r="N1454" s="98" t="s">
        <v>8197</v>
      </c>
      <c r="O1454" s="98" t="s">
        <v>155</v>
      </c>
      <c r="P1454" s="99" t="str">
        <f>IFERROR(__xludf.DUMMYFUNCTION("IFERROR(VLOOKUP(AS1454,IMPORTRANGE(""https://docs.google.com/spreadsheets/d/1juPI-Fb8LD0YtltB2mlGEnp_R3UVu1t3wSFPzgCyHXE/edit?gid=0#gid=0"",""GERAL!A2:C""),3,0),""-"")"),"-")</f>
        <v>-</v>
      </c>
      <c r="Q1454" s="83"/>
      <c r="R1454" s="83"/>
      <c r="S1454" s="83"/>
      <c r="T1454" s="83"/>
      <c r="U1454" s="83"/>
      <c r="V1454" s="83"/>
      <c r="W1454" s="83"/>
      <c r="X1454" s="83"/>
      <c r="Y1454" s="83"/>
      <c r="Z1454" s="83"/>
      <c r="AA1454" s="83"/>
      <c r="AB1454" s="83"/>
      <c r="AC1454" s="83"/>
      <c r="AD1454" s="83"/>
      <c r="AE1454" s="83"/>
      <c r="AF1454" s="83"/>
      <c r="AG1454" s="83"/>
      <c r="AH1454" s="83"/>
      <c r="AI1454" s="83"/>
      <c r="AJ1454" s="83"/>
      <c r="AK1454" s="83"/>
      <c r="AL1454" s="83"/>
      <c r="AM1454" s="83"/>
      <c r="AN1454" s="83"/>
      <c r="AO1454" s="83"/>
      <c r="AP1454" s="83"/>
      <c r="AQ1454" s="83"/>
      <c r="AR1454" s="83"/>
      <c r="AS1454" s="83">
        <v>1101546.0</v>
      </c>
    </row>
    <row r="1455" ht="15.75" customHeight="1">
      <c r="A1455" s="111" t="s">
        <v>1785</v>
      </c>
      <c r="B1455" s="83" t="s">
        <v>1994</v>
      </c>
      <c r="C1455" s="83" t="s">
        <v>68</v>
      </c>
      <c r="D1455" s="112">
        <v>1104367.0</v>
      </c>
      <c r="E1455" s="83"/>
      <c r="F1455" s="83">
        <v>2.9200296E7</v>
      </c>
      <c r="G1455" s="91" t="str">
        <f>IFERROR(__xludf.DUMMYFUNCTION("XLOOKUP(AS1455,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BILÍNGUE E CENTRO DE APOIO PEDAGÓGICO ESPECIALIZADO PARA PESSOAS COM SURDEZ - WILSON LINS")</f>
        <v>ESCOLA ESTADUAL BILÍNGUE E CENTRO DE APOIO PEDAGÓGICO ESPECIALIZADO PARA PESSOAS COM SURDEZ - WILSON LINS</v>
      </c>
      <c r="H1455" s="119" t="s">
        <v>8201</v>
      </c>
      <c r="I1455" s="91" t="s">
        <v>8202</v>
      </c>
      <c r="J1455" s="83" t="s">
        <v>8204</v>
      </c>
      <c r="K1455" s="83" t="s">
        <v>150</v>
      </c>
      <c r="L1455" s="83" t="s">
        <v>151</v>
      </c>
      <c r="M1455" s="83" t="s">
        <v>230</v>
      </c>
      <c r="N1455" s="98" t="s">
        <v>8205</v>
      </c>
      <c r="O1455" s="98" t="s">
        <v>155</v>
      </c>
      <c r="P1455" s="99" t="str">
        <f>IFERROR(__xludf.DUMMYFUNCTION("IFERROR(VLOOKUP(AS1455,IMPORTRANGE(""https://docs.google.com/spreadsheets/d/1juPI-Fb8LD0YtltB2mlGEnp_R3UVu1t3wSFPzgCyHXE/edit?gid=0#gid=0"",""GERAL!A2:C""),3,0),""-"")"),"-")</f>
        <v>-</v>
      </c>
      <c r="Q1455" s="83"/>
      <c r="R1455" s="83"/>
      <c r="S1455" s="83"/>
      <c r="T1455" s="83"/>
      <c r="U1455" s="83"/>
      <c r="V1455" s="83"/>
      <c r="W1455" s="83"/>
      <c r="X1455" s="83"/>
      <c r="Y1455" s="83"/>
      <c r="Z1455" s="83"/>
      <c r="AA1455" s="83"/>
      <c r="AB1455" s="83"/>
      <c r="AC1455" s="83"/>
      <c r="AD1455" s="83"/>
      <c r="AE1455" s="83"/>
      <c r="AF1455" s="83"/>
      <c r="AG1455" s="83"/>
      <c r="AH1455" s="83"/>
      <c r="AI1455" s="83"/>
      <c r="AJ1455" s="83"/>
      <c r="AK1455" s="83"/>
      <c r="AL1455" s="83"/>
      <c r="AM1455" s="83"/>
      <c r="AN1455" s="83"/>
      <c r="AO1455" s="83"/>
      <c r="AP1455" s="83"/>
      <c r="AQ1455" s="83"/>
      <c r="AR1455" s="83"/>
      <c r="AS1455" s="83">
        <v>1104367.0</v>
      </c>
    </row>
    <row r="1456" ht="15.75" customHeight="1">
      <c r="A1456" s="111" t="s">
        <v>1785</v>
      </c>
      <c r="B1456" s="83" t="s">
        <v>1994</v>
      </c>
      <c r="C1456" s="83" t="s">
        <v>68</v>
      </c>
      <c r="D1456" s="112">
        <v>1176390.0</v>
      </c>
      <c r="E1456" s="83"/>
      <c r="F1456" s="83">
        <v>2.935814E7</v>
      </c>
      <c r="G1456" s="91" t="str">
        <f>IFERROR(__xludf.DUMMYFUNCTION("XLOOKUP(AS1456,
IMPORTRANGE(""https://docs.google.com/spreadsheets/d/1YM-djuOLXomrZ9W0B4TyIBsVWnXY4EIOFD9HY-qGfv0/edit?usp=sharing"",""GERAL!BG5:BG""),
IMPORTRANGE(""https://docs.google.com/spreadsheets/d/1YM-djuOLXomrZ9W0B4TyIBsVWnXY4EIOFD9HY-qGfv0/edit?"&amp;"usp=sharing"",""GERAL!G5:G""),
""CÓD. SEC NÃO ENCONTRADO NA PLANILHA DE MATRÍCULA"")"),"ESCOLA ESTADUAL ANÍSIO TEIXEIRA - CLASSE VI - TEMPO INTEGRAL")</f>
        <v>ESCOLA ESTADUAL ANÍSIO TEIXEIRA - CLASSE VI - TEMPO INTEGRAL</v>
      </c>
      <c r="H1456" s="114" t="s">
        <v>8206</v>
      </c>
      <c r="I1456" s="91" t="s">
        <v>8207</v>
      </c>
      <c r="J1456" s="83" t="s">
        <v>8208</v>
      </c>
      <c r="K1456" s="83" t="s">
        <v>150</v>
      </c>
      <c r="L1456" s="83" t="s">
        <v>151</v>
      </c>
      <c r="M1456" s="83" t="s">
        <v>152</v>
      </c>
      <c r="N1456" s="98" t="s">
        <v>8209</v>
      </c>
      <c r="O1456" s="98" t="s">
        <v>155</v>
      </c>
      <c r="P1456" s="99" t="str">
        <f>IFERROR(__xludf.DUMMYFUNCTION("IFERROR(VLOOKUP(AS1456,IMPORTRANGE(""https://docs.google.com/spreadsheets/d/1juPI-Fb8LD0YtltB2mlGEnp_R3UVu1t3wSFPzgCyHXE/edit?gid=0#gid=0"",""GERAL!A2:C""),3,0),""-"")"),"-")</f>
        <v>-</v>
      </c>
      <c r="Q1456" s="83"/>
      <c r="R1456" s="83"/>
      <c r="S1456" s="83"/>
      <c r="T1456" s="83"/>
      <c r="U1456" s="83"/>
      <c r="V1456" s="83"/>
      <c r="W1456" s="83"/>
      <c r="X1456" s="83"/>
      <c r="Y1456" s="83"/>
      <c r="Z1456" s="83"/>
      <c r="AA1456" s="83"/>
      <c r="AB1456" s="83"/>
      <c r="AC1456" s="83"/>
      <c r="AD1456" s="83"/>
      <c r="AE1456" s="83"/>
      <c r="AF1456" s="83"/>
      <c r="AG1456" s="83"/>
      <c r="AH1456" s="83"/>
      <c r="AI1456" s="83"/>
      <c r="AJ1456" s="83"/>
      <c r="AK1456" s="83"/>
      <c r="AL1456" s="83"/>
      <c r="AM1456" s="83"/>
      <c r="AN1456" s="83"/>
      <c r="AO1456" s="83"/>
      <c r="AP1456" s="83"/>
      <c r="AQ1456" s="83"/>
      <c r="AR1456" s="83"/>
      <c r="AS1456" s="83">
        <v>1176390.0</v>
      </c>
    </row>
    <row r="1457" ht="15.75" customHeight="1">
      <c r="A1457" s="111" t="s">
        <v>1785</v>
      </c>
      <c r="B1457" s="83" t="s">
        <v>1994</v>
      </c>
      <c r="C1457" s="83" t="s">
        <v>68</v>
      </c>
      <c r="D1457" s="112">
        <v>1101791.0</v>
      </c>
      <c r="E1457" s="83"/>
      <c r="F1457" s="83">
        <v>2.9191637E7</v>
      </c>
      <c r="G1457" s="91" t="str">
        <f>IFERROR(__xludf.DUMMYFUNCTION("XLOOKUP(AS1457,
IMPORTRANGE(""https://docs.google.com/spreadsheets/d/1YM-djuOLXomrZ9W0B4TyIBsVWnXY4EIOFD9HY-qGfv0/edit?usp=sharing"",""GERAL!BG5:BG""),
IMPORTRANGE(""https://docs.google.com/spreadsheets/d/1YM-djuOLXomrZ9W0B4TyIBsVWnXY4EIOFD9HY-qGfv0/edit?"&amp;"usp=sharing"",""GERAL!G5:G""),
""CÓD. SEC NÃO ENCONTRADO NA PLANILHA DE MATRÍCULA"")"),"ESCOLA DONA JENNY GOMES")</f>
        <v>ESCOLA DONA JENNY GOMES</v>
      </c>
      <c r="H1457" s="114" t="s">
        <v>8217</v>
      </c>
      <c r="I1457" s="91" t="s">
        <v>8218</v>
      </c>
      <c r="J1457" s="83" t="s">
        <v>8219</v>
      </c>
      <c r="K1457" s="83" t="s">
        <v>150</v>
      </c>
      <c r="L1457" s="83" t="s">
        <v>151</v>
      </c>
      <c r="M1457" s="83" t="s">
        <v>152</v>
      </c>
      <c r="N1457" s="98" t="s">
        <v>8220</v>
      </c>
      <c r="O1457" s="98" t="s">
        <v>155</v>
      </c>
      <c r="P1457" s="99" t="str">
        <f>IFERROR(__xludf.DUMMYFUNCTION("IFERROR(VLOOKUP(AS1457,IMPORTRANGE(""https://docs.google.com/spreadsheets/d/1juPI-Fb8LD0YtltB2mlGEnp_R3UVu1t3wSFPzgCyHXE/edit?gid=0#gid=0"",""GERAL!A2:C""),3,0),""-"")"),"-")</f>
        <v>-</v>
      </c>
      <c r="Q1457" s="83"/>
      <c r="R1457" s="83"/>
      <c r="S1457" s="83"/>
      <c r="T1457" s="83"/>
      <c r="U1457" s="83"/>
      <c r="V1457" s="83"/>
      <c r="W1457" s="83"/>
      <c r="X1457" s="83"/>
      <c r="Y1457" s="83"/>
      <c r="Z1457" s="83"/>
      <c r="AA1457" s="83"/>
      <c r="AB1457" s="83"/>
      <c r="AC1457" s="83"/>
      <c r="AD1457" s="83"/>
      <c r="AE1457" s="83"/>
      <c r="AF1457" s="83"/>
      <c r="AG1457" s="83"/>
      <c r="AH1457" s="83"/>
      <c r="AI1457" s="83"/>
      <c r="AJ1457" s="83"/>
      <c r="AK1457" s="83"/>
      <c r="AL1457" s="83"/>
      <c r="AM1457" s="83"/>
      <c r="AN1457" s="83"/>
      <c r="AO1457" s="83"/>
      <c r="AP1457" s="83"/>
      <c r="AQ1457" s="83"/>
      <c r="AR1457" s="83"/>
      <c r="AS1457" s="83">
        <v>1101791.0</v>
      </c>
    </row>
    <row r="1458" ht="15.75" customHeight="1">
      <c r="A1458" s="111" t="s">
        <v>1785</v>
      </c>
      <c r="B1458" s="83" t="s">
        <v>1994</v>
      </c>
      <c r="C1458" s="83" t="s">
        <v>68</v>
      </c>
      <c r="D1458" s="112">
        <v>1168837.0</v>
      </c>
      <c r="E1458" s="83"/>
      <c r="F1458" s="83">
        <v>2.9182182E7</v>
      </c>
      <c r="G1458" s="91" t="str">
        <f>IFERROR(__xludf.DUMMYFUNCTION("XLOOKUP(AS1458,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YPIRANGA - TEMPO INTEGRAL")</f>
        <v>COLÉGIO ESTADUAL YPIRANGA - TEMPO INTEGRAL</v>
      </c>
      <c r="H1458" s="119" t="s">
        <v>8222</v>
      </c>
      <c r="I1458" s="91" t="s">
        <v>8223</v>
      </c>
      <c r="J1458" s="83" t="s">
        <v>8224</v>
      </c>
      <c r="K1458" s="83" t="s">
        <v>150</v>
      </c>
      <c r="L1458" s="83" t="s">
        <v>151</v>
      </c>
      <c r="M1458" s="83" t="s">
        <v>169</v>
      </c>
      <c r="N1458" s="98" t="s">
        <v>8225</v>
      </c>
      <c r="O1458" s="98" t="s">
        <v>155</v>
      </c>
      <c r="P1458" s="99" t="str">
        <f>IFERROR(__xludf.DUMMYFUNCTION("IFERROR(VLOOKUP(AS1458,IMPORTRANGE(""https://docs.google.com/spreadsheets/d/1juPI-Fb8LD0YtltB2mlGEnp_R3UVu1t3wSFPzgCyHXE/edit?gid=0#gid=0"",""GERAL!A2:C""),3,0),""-"")"),"-")</f>
        <v>-</v>
      </c>
      <c r="Q1458" s="83"/>
      <c r="R1458" s="83"/>
      <c r="S1458" s="83"/>
      <c r="T1458" s="83"/>
      <c r="U1458" s="83"/>
      <c r="V1458" s="83"/>
      <c r="W1458" s="83"/>
      <c r="X1458" s="83"/>
      <c r="Y1458" s="83"/>
      <c r="Z1458" s="83"/>
      <c r="AA1458" s="83"/>
      <c r="AB1458" s="83"/>
      <c r="AC1458" s="83"/>
      <c r="AD1458" s="83"/>
      <c r="AE1458" s="83"/>
      <c r="AF1458" s="83"/>
      <c r="AG1458" s="83"/>
      <c r="AH1458" s="83"/>
      <c r="AI1458" s="83"/>
      <c r="AJ1458" s="83"/>
      <c r="AK1458" s="83"/>
      <c r="AL1458" s="83"/>
      <c r="AM1458" s="83"/>
      <c r="AN1458" s="83"/>
      <c r="AO1458" s="83"/>
      <c r="AP1458" s="83"/>
      <c r="AQ1458" s="83"/>
      <c r="AR1458" s="83"/>
      <c r="AS1458" s="83">
        <v>1168837.0</v>
      </c>
    </row>
    <row r="1459" ht="15.75" customHeight="1">
      <c r="A1459" s="111" t="s">
        <v>1785</v>
      </c>
      <c r="B1459" s="83" t="s">
        <v>1994</v>
      </c>
      <c r="C1459" s="83" t="s">
        <v>68</v>
      </c>
      <c r="D1459" s="112">
        <v>1135998.0</v>
      </c>
      <c r="E1459" s="83"/>
      <c r="F1459" s="83">
        <v>2.9191173E7</v>
      </c>
      <c r="G1459" s="91" t="str">
        <f>IFERROR(__xludf.DUMMYFUNCTION("XLOOKUP(AS1459,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YEDA BARRADAS CARNEIRO - TEMPO INTEGRAL")</f>
        <v>COLÉGIO ESTADUAL YEDA BARRADAS CARNEIRO - TEMPO INTEGRAL</v>
      </c>
      <c r="H1459" s="119" t="s">
        <v>2256</v>
      </c>
      <c r="I1459" s="91" t="s">
        <v>8227</v>
      </c>
      <c r="J1459" s="83" t="s">
        <v>8219</v>
      </c>
      <c r="K1459" s="83" t="s">
        <v>150</v>
      </c>
      <c r="L1459" s="83" t="s">
        <v>151</v>
      </c>
      <c r="M1459" s="83" t="s">
        <v>152</v>
      </c>
      <c r="N1459" s="98" t="s">
        <v>8228</v>
      </c>
      <c r="O1459" s="98" t="s">
        <v>155</v>
      </c>
      <c r="P1459" s="99" t="str">
        <f>IFERROR(__xludf.DUMMYFUNCTION("IFERROR(VLOOKUP(AS1459,IMPORTRANGE(""https://docs.google.com/spreadsheets/d/1juPI-Fb8LD0YtltB2mlGEnp_R3UVu1t3wSFPzgCyHXE/edit?gid=0#gid=0"",""GERAL!A2:C""),3,0),""-"")"),"-")</f>
        <v>-</v>
      </c>
      <c r="Q1459" s="83"/>
      <c r="R1459" s="83"/>
      <c r="S1459" s="83"/>
      <c r="T1459" s="83"/>
      <c r="U1459" s="83"/>
      <c r="V1459" s="83"/>
      <c r="W1459" s="83"/>
      <c r="X1459" s="83"/>
      <c r="Y1459" s="83"/>
      <c r="Z1459" s="83"/>
      <c r="AA1459" s="83"/>
      <c r="AB1459" s="83"/>
      <c r="AC1459" s="83"/>
      <c r="AD1459" s="83"/>
      <c r="AE1459" s="83"/>
      <c r="AF1459" s="83"/>
      <c r="AG1459" s="83"/>
      <c r="AH1459" s="83"/>
      <c r="AI1459" s="83"/>
      <c r="AJ1459" s="83"/>
      <c r="AK1459" s="83"/>
      <c r="AL1459" s="83"/>
      <c r="AM1459" s="83"/>
      <c r="AN1459" s="83"/>
      <c r="AO1459" s="83"/>
      <c r="AP1459" s="83"/>
      <c r="AQ1459" s="83"/>
      <c r="AR1459" s="83"/>
      <c r="AS1459" s="83">
        <v>1135998.0</v>
      </c>
    </row>
    <row r="1460" ht="15.75" customHeight="1">
      <c r="A1460" s="111" t="s">
        <v>1785</v>
      </c>
      <c r="B1460" s="83" t="s">
        <v>1994</v>
      </c>
      <c r="C1460" s="83" t="s">
        <v>68</v>
      </c>
      <c r="D1460" s="112">
        <v>1103085.0</v>
      </c>
      <c r="E1460" s="83"/>
      <c r="F1460" s="83">
        <v>2.9191165E7</v>
      </c>
      <c r="G1460" s="91" t="str">
        <f>IFERROR(__xludf.DUMMYFUNCTION("XLOOKUP(AS1460,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VISCONDE DE MAUA")</f>
        <v>COLÉGIO ESTADUAL VISCONDE DE MAUA</v>
      </c>
      <c r="H1460" s="119" t="s">
        <v>8231</v>
      </c>
      <c r="I1460" s="91" t="s">
        <v>8232</v>
      </c>
      <c r="J1460" s="83" t="s">
        <v>8233</v>
      </c>
      <c r="K1460" s="83" t="s">
        <v>150</v>
      </c>
      <c r="L1460" s="83" t="s">
        <v>151</v>
      </c>
      <c r="M1460" s="83" t="s">
        <v>76</v>
      </c>
      <c r="N1460" s="98" t="s">
        <v>8234</v>
      </c>
      <c r="O1460" s="98" t="s">
        <v>155</v>
      </c>
      <c r="P1460" s="99" t="str">
        <f>IFERROR(__xludf.DUMMYFUNCTION("IFERROR(VLOOKUP(AS1460,IMPORTRANGE(""https://docs.google.com/spreadsheets/d/1juPI-Fb8LD0YtltB2mlGEnp_R3UVu1t3wSFPzgCyHXE/edit?gid=0#gid=0"",""GERAL!A2:C""),3,0),""-"")"),"-")</f>
        <v>-</v>
      </c>
      <c r="Q1460" s="83"/>
      <c r="R1460" s="83"/>
      <c r="S1460" s="83"/>
      <c r="T1460" s="83"/>
      <c r="U1460" s="83"/>
      <c r="V1460" s="83"/>
      <c r="W1460" s="83"/>
      <c r="X1460" s="83"/>
      <c r="Y1460" s="83"/>
      <c r="Z1460" s="83"/>
      <c r="AA1460" s="83"/>
      <c r="AB1460" s="83"/>
      <c r="AC1460" s="83"/>
      <c r="AD1460" s="83"/>
      <c r="AE1460" s="83"/>
      <c r="AF1460" s="83"/>
      <c r="AG1460" s="83"/>
      <c r="AH1460" s="83"/>
      <c r="AI1460" s="83"/>
      <c r="AJ1460" s="83"/>
      <c r="AK1460" s="83"/>
      <c r="AL1460" s="83"/>
      <c r="AM1460" s="83"/>
      <c r="AN1460" s="83"/>
      <c r="AO1460" s="83"/>
      <c r="AP1460" s="83"/>
      <c r="AQ1460" s="83"/>
      <c r="AR1460" s="83"/>
      <c r="AS1460" s="83">
        <v>1103085.0</v>
      </c>
    </row>
    <row r="1461" ht="15.75" customHeight="1">
      <c r="A1461" s="111" t="s">
        <v>1785</v>
      </c>
      <c r="B1461" s="83" t="s">
        <v>1994</v>
      </c>
      <c r="C1461" s="83" t="s">
        <v>68</v>
      </c>
      <c r="D1461" s="112">
        <v>1176760.0</v>
      </c>
      <c r="E1461" s="83"/>
      <c r="F1461" s="83">
        <v>2.9404304E7</v>
      </c>
      <c r="G1461" s="91" t="str">
        <f>IFERROR(__xludf.DUMMYFUNCTION("XLOOKUP(AS1461,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VILA CANARIA - TEMPO INTEGRAL
(ANTIGO C.E VILA CANÁRIA)")</f>
        <v>COLÉGIO ESTADUAL VILA CANARIA - TEMPO INTEGRAL
(ANTIGO C.E VILA CANÁRIA)</v>
      </c>
      <c r="H1461" s="119" t="s">
        <v>8236</v>
      </c>
      <c r="I1461" s="91" t="s">
        <v>8237</v>
      </c>
      <c r="J1461" s="83" t="s">
        <v>8238</v>
      </c>
      <c r="K1461" s="83" t="s">
        <v>150</v>
      </c>
      <c r="L1461" s="83" t="s">
        <v>151</v>
      </c>
      <c r="M1461" s="98" t="s">
        <v>230</v>
      </c>
      <c r="N1461" s="98" t="s">
        <v>8239</v>
      </c>
      <c r="O1461" s="98" t="s">
        <v>162</v>
      </c>
      <c r="P1461" s="99" t="str">
        <f>IFERROR(__xludf.DUMMYFUNCTION("IFERROR(VLOOKUP(AS1461,IMPORTRANGE(""https://docs.google.com/spreadsheets/d/1juPI-Fb8LD0YtltB2mlGEnp_R3UVu1t3wSFPzgCyHXE/edit?gid=0#gid=0"",""GERAL!A2:C""),3,0),""-"")"),"-")</f>
        <v>-</v>
      </c>
      <c r="Q1461" s="83"/>
      <c r="R1461" s="83"/>
      <c r="S1461" s="83"/>
      <c r="T1461" s="83"/>
      <c r="U1461" s="83"/>
      <c r="V1461" s="83"/>
      <c r="W1461" s="83"/>
      <c r="X1461" s="83"/>
      <c r="Y1461" s="83"/>
      <c r="Z1461" s="83"/>
      <c r="AA1461" s="83"/>
      <c r="AB1461" s="83"/>
      <c r="AC1461" s="83"/>
      <c r="AD1461" s="83"/>
      <c r="AE1461" s="83"/>
      <c r="AF1461" s="83"/>
      <c r="AG1461" s="83"/>
      <c r="AH1461" s="83"/>
      <c r="AI1461" s="83"/>
      <c r="AJ1461" s="83"/>
      <c r="AK1461" s="83"/>
      <c r="AL1461" s="83"/>
      <c r="AM1461" s="83"/>
      <c r="AN1461" s="83"/>
      <c r="AO1461" s="83"/>
      <c r="AP1461" s="83"/>
      <c r="AQ1461" s="83"/>
      <c r="AR1461" s="83"/>
      <c r="AS1461" s="83">
        <v>1176760.0</v>
      </c>
    </row>
    <row r="1462" ht="15.75" customHeight="1">
      <c r="A1462" s="111" t="s">
        <v>1785</v>
      </c>
      <c r="B1462" s="83" t="s">
        <v>1994</v>
      </c>
      <c r="C1462" s="83" t="s">
        <v>68</v>
      </c>
      <c r="D1462" s="112">
        <v>1104243.0</v>
      </c>
      <c r="E1462" s="83"/>
      <c r="F1462" s="83">
        <v>2.9191157E7</v>
      </c>
      <c r="G1462" s="91" t="str">
        <f>IFERROR(__xludf.DUMMYFUNCTION("XLOOKUP(AS1462,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VERA LUX")</f>
        <v>COLÉGIO ESTADUAL VERA LUX</v>
      </c>
      <c r="H1462" s="119" t="s">
        <v>8240</v>
      </c>
      <c r="I1462" s="91" t="s">
        <v>8241</v>
      </c>
      <c r="J1462" s="83" t="s">
        <v>8242</v>
      </c>
      <c r="K1462" s="83" t="s">
        <v>150</v>
      </c>
      <c r="L1462" s="83" t="s">
        <v>8243</v>
      </c>
      <c r="M1462" s="83" t="s">
        <v>152</v>
      </c>
      <c r="N1462" s="98" t="s">
        <v>8244</v>
      </c>
      <c r="O1462" s="98" t="s">
        <v>155</v>
      </c>
      <c r="P1462" s="99" t="str">
        <f>IFERROR(__xludf.DUMMYFUNCTION("IFERROR(VLOOKUP(AS1462,IMPORTRANGE(""https://docs.google.com/spreadsheets/d/1juPI-Fb8LD0YtltB2mlGEnp_R3UVu1t3wSFPzgCyHXE/edit?gid=0#gid=0"",""GERAL!A2:C""),3,0),""-"")"),"-")</f>
        <v>-</v>
      </c>
      <c r="Q1462" s="83"/>
      <c r="R1462" s="83"/>
      <c r="S1462" s="83"/>
      <c r="T1462" s="83"/>
      <c r="U1462" s="83"/>
      <c r="V1462" s="83"/>
      <c r="W1462" s="83"/>
      <c r="X1462" s="83"/>
      <c r="Y1462" s="83"/>
      <c r="Z1462" s="83"/>
      <c r="AA1462" s="83"/>
      <c r="AB1462" s="83"/>
      <c r="AC1462" s="83"/>
      <c r="AD1462" s="83"/>
      <c r="AE1462" s="83"/>
      <c r="AF1462" s="83"/>
      <c r="AG1462" s="83"/>
      <c r="AH1462" s="83"/>
      <c r="AI1462" s="83"/>
      <c r="AJ1462" s="83"/>
      <c r="AK1462" s="83"/>
      <c r="AL1462" s="83"/>
      <c r="AM1462" s="83"/>
      <c r="AN1462" s="83"/>
      <c r="AO1462" s="83"/>
      <c r="AP1462" s="83"/>
      <c r="AQ1462" s="83"/>
      <c r="AR1462" s="83"/>
      <c r="AS1462" s="83">
        <v>1104243.0</v>
      </c>
    </row>
    <row r="1463" ht="15.75" customHeight="1">
      <c r="A1463" s="111" t="s">
        <v>1785</v>
      </c>
      <c r="B1463" s="83" t="s">
        <v>1994</v>
      </c>
      <c r="C1463" s="83" t="s">
        <v>68</v>
      </c>
      <c r="D1463" s="112">
        <v>1136072.0</v>
      </c>
      <c r="E1463" s="83"/>
      <c r="F1463" s="83">
        <v>2.9192226E7</v>
      </c>
      <c r="G1463" s="91" t="str">
        <f>IFERROR(__xludf.DUMMYFUNCTION("XLOOKUP(AS1463,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VALE DOS LAGOS")</f>
        <v>COLÉGIO ESTADUAL VALE DOS LAGOS</v>
      </c>
      <c r="H1463" s="119" t="s">
        <v>8245</v>
      </c>
      <c r="I1463" s="91" t="s">
        <v>8246</v>
      </c>
      <c r="J1463" s="83" t="s">
        <v>8247</v>
      </c>
      <c r="K1463" s="83" t="s">
        <v>150</v>
      </c>
      <c r="L1463" s="83" t="s">
        <v>151</v>
      </c>
      <c r="M1463" s="83" t="s">
        <v>152</v>
      </c>
      <c r="N1463" s="137" t="s">
        <v>8248</v>
      </c>
      <c r="O1463" s="98" t="s">
        <v>155</v>
      </c>
      <c r="P1463" s="99" t="str">
        <f>IFERROR(__xludf.DUMMYFUNCTION("IFERROR(VLOOKUP(AS1463,IMPORTRANGE(""https://docs.google.com/spreadsheets/d/1juPI-Fb8LD0YtltB2mlGEnp_R3UVu1t3wSFPzgCyHXE/edit?gid=0#gid=0"",""GERAL!A2:C""),3,0),""-"")"),"-")</f>
        <v>-</v>
      </c>
      <c r="Q1463" s="83"/>
      <c r="R1463" s="83"/>
      <c r="S1463" s="83"/>
      <c r="T1463" s="83"/>
      <c r="U1463" s="83"/>
      <c r="V1463" s="83"/>
      <c r="W1463" s="83"/>
      <c r="X1463" s="83"/>
      <c r="Y1463" s="83"/>
      <c r="Z1463" s="83"/>
      <c r="AA1463" s="83"/>
      <c r="AB1463" s="83"/>
      <c r="AC1463" s="83"/>
      <c r="AD1463" s="83"/>
      <c r="AE1463" s="83"/>
      <c r="AF1463" s="83"/>
      <c r="AG1463" s="83"/>
      <c r="AH1463" s="83"/>
      <c r="AI1463" s="83"/>
      <c r="AJ1463" s="83"/>
      <c r="AK1463" s="83"/>
      <c r="AL1463" s="83"/>
      <c r="AM1463" s="83"/>
      <c r="AN1463" s="83"/>
      <c r="AO1463" s="83"/>
      <c r="AP1463" s="83"/>
      <c r="AQ1463" s="83"/>
      <c r="AR1463" s="83"/>
      <c r="AS1463" s="83">
        <v>1136072.0</v>
      </c>
    </row>
    <row r="1464" ht="15.75" customHeight="1">
      <c r="A1464" s="111" t="s">
        <v>1785</v>
      </c>
      <c r="B1464" s="83" t="s">
        <v>1994</v>
      </c>
      <c r="C1464" s="83" t="s">
        <v>68</v>
      </c>
      <c r="D1464" s="112">
        <v>1103751.0</v>
      </c>
      <c r="E1464" s="83"/>
      <c r="F1464" s="83">
        <v>2.918228E7</v>
      </c>
      <c r="G1464" s="91" t="str">
        <f>IFERROR(__xludf.DUMMYFUNCTION("XLOOKUP(AS1464,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URSULA CATHARINO")</f>
        <v>COLÉGIO ESTADUAL URSULA CATHARINO</v>
      </c>
      <c r="H1464" s="119" t="s">
        <v>8249</v>
      </c>
      <c r="I1464" s="91" t="s">
        <v>8250</v>
      </c>
      <c r="J1464" s="172" t="s">
        <v>8251</v>
      </c>
      <c r="K1464" s="83" t="s">
        <v>150</v>
      </c>
      <c r="L1464" s="83" t="s">
        <v>151</v>
      </c>
      <c r="M1464" s="83" t="s">
        <v>152</v>
      </c>
      <c r="N1464" s="137" t="s">
        <v>8252</v>
      </c>
      <c r="O1464" s="98" t="s">
        <v>155</v>
      </c>
      <c r="P1464" s="99" t="str">
        <f>IFERROR(__xludf.DUMMYFUNCTION("IFERROR(VLOOKUP(AS1464,IMPORTRANGE(""https://docs.google.com/spreadsheets/d/1juPI-Fb8LD0YtltB2mlGEnp_R3UVu1t3wSFPzgCyHXE/edit?gid=0#gid=0"",""GERAL!A2:C""),3,0),""-"")"),"-")</f>
        <v>-</v>
      </c>
      <c r="Q1464" s="83"/>
      <c r="R1464" s="83"/>
      <c r="S1464" s="83"/>
      <c r="T1464" s="83"/>
      <c r="U1464" s="83"/>
      <c r="V1464" s="83"/>
      <c r="W1464" s="83"/>
      <c r="X1464" s="83"/>
      <c r="Y1464" s="83"/>
      <c r="Z1464" s="83"/>
      <c r="AA1464" s="83"/>
      <c r="AB1464" s="83"/>
      <c r="AC1464" s="83"/>
      <c r="AD1464" s="83"/>
      <c r="AE1464" s="83"/>
      <c r="AF1464" s="83"/>
      <c r="AG1464" s="83"/>
      <c r="AH1464" s="83"/>
      <c r="AI1464" s="83"/>
      <c r="AJ1464" s="83"/>
      <c r="AK1464" s="83"/>
      <c r="AL1464" s="83"/>
      <c r="AM1464" s="83"/>
      <c r="AN1464" s="83"/>
      <c r="AO1464" s="83"/>
      <c r="AP1464" s="83"/>
      <c r="AQ1464" s="83"/>
      <c r="AR1464" s="83"/>
      <c r="AS1464" s="83">
        <v>1103751.0</v>
      </c>
    </row>
    <row r="1465" ht="15.75" customHeight="1">
      <c r="A1465" s="111" t="s">
        <v>1785</v>
      </c>
      <c r="B1465" s="83" t="s">
        <v>1994</v>
      </c>
      <c r="C1465" s="83" t="s">
        <v>68</v>
      </c>
      <c r="D1465" s="112">
        <v>1176377.0</v>
      </c>
      <c r="E1465" s="83"/>
      <c r="F1465" s="83">
        <v>2.9357861E7</v>
      </c>
      <c r="G1465" s="91" t="str">
        <f>IFERROR(__xludf.DUMMYFUNCTION("XLOOKUP(AS1465,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THALES DE AZEVEDO")</f>
        <v>COLÉGIO ESTADUAL THALES DE AZEVEDO</v>
      </c>
      <c r="H1465" s="119" t="s">
        <v>8253</v>
      </c>
      <c r="I1465" s="91" t="s">
        <v>8254</v>
      </c>
      <c r="J1465" s="83" t="s">
        <v>8255</v>
      </c>
      <c r="K1465" s="83" t="s">
        <v>150</v>
      </c>
      <c r="L1465" s="83" t="s">
        <v>151</v>
      </c>
      <c r="M1465" s="83" t="s">
        <v>152</v>
      </c>
      <c r="N1465" s="98" t="s">
        <v>8256</v>
      </c>
      <c r="O1465" s="98" t="s">
        <v>284</v>
      </c>
      <c r="P1465" s="99" t="str">
        <f>IFERROR(__xludf.DUMMYFUNCTION("IFERROR(VLOOKUP(AS1465,IMPORTRANGE(""https://docs.google.com/spreadsheets/d/1juPI-Fb8LD0YtltB2mlGEnp_R3UVu1t3wSFPzgCyHXE/edit?gid=0#gid=0"",""GERAL!A2:C""),3,0),""-"")"),"-")</f>
        <v>-</v>
      </c>
      <c r="Q1465" s="83"/>
      <c r="R1465" s="83"/>
      <c r="S1465" s="83"/>
      <c r="T1465" s="83"/>
      <c r="U1465" s="83"/>
      <c r="V1465" s="83"/>
      <c r="W1465" s="83"/>
      <c r="X1465" s="83"/>
      <c r="Y1465" s="83"/>
      <c r="Z1465" s="83"/>
      <c r="AA1465" s="83"/>
      <c r="AB1465" s="83"/>
      <c r="AC1465" s="83"/>
      <c r="AD1465" s="83"/>
      <c r="AE1465" s="83"/>
      <c r="AF1465" s="83"/>
      <c r="AG1465" s="83"/>
      <c r="AH1465" s="83"/>
      <c r="AI1465" s="83"/>
      <c r="AJ1465" s="83"/>
      <c r="AK1465" s="83"/>
      <c r="AL1465" s="83"/>
      <c r="AM1465" s="83"/>
      <c r="AN1465" s="83"/>
      <c r="AO1465" s="83"/>
      <c r="AP1465" s="83"/>
      <c r="AQ1465" s="83"/>
      <c r="AR1465" s="83"/>
      <c r="AS1465" s="83">
        <v>1176377.0</v>
      </c>
    </row>
    <row r="1466" ht="15.75" customHeight="1">
      <c r="A1466" s="111" t="s">
        <v>1785</v>
      </c>
      <c r="B1466" s="83" t="s">
        <v>1994</v>
      </c>
      <c r="C1466" s="83" t="s">
        <v>68</v>
      </c>
      <c r="D1466" s="112">
        <v>1103654.0</v>
      </c>
      <c r="E1466" s="83"/>
      <c r="F1466" s="83">
        <v>2.9188458E7</v>
      </c>
      <c r="G1466" s="91" t="str">
        <f>IFERROR(__xludf.DUMMYFUNCTION("XLOOKUP(AS1466,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TEREZA HELENA MATA PIRES")</f>
        <v>COLÉGIO ESTADUAL TEREZA HELENA MATA PIRES</v>
      </c>
      <c r="H1466" s="114" t="s">
        <v>8257</v>
      </c>
      <c r="I1466" s="91" t="s">
        <v>8258</v>
      </c>
      <c r="J1466" s="83" t="s">
        <v>8259</v>
      </c>
      <c r="K1466" s="83" t="s">
        <v>150</v>
      </c>
      <c r="L1466" s="83" t="s">
        <v>151</v>
      </c>
      <c r="M1466" s="83" t="s">
        <v>152</v>
      </c>
      <c r="N1466" s="98" t="s">
        <v>8260</v>
      </c>
      <c r="O1466" s="98" t="s">
        <v>155</v>
      </c>
      <c r="P1466" s="99" t="str">
        <f>IFERROR(__xludf.DUMMYFUNCTION("IFERROR(VLOOKUP(AS1466,IMPORTRANGE(""https://docs.google.com/spreadsheets/d/1juPI-Fb8LD0YtltB2mlGEnp_R3UVu1t3wSFPzgCyHXE/edit?gid=0#gid=0"",""GERAL!A2:C""),3,0),""-"")"),"-")</f>
        <v>-</v>
      </c>
      <c r="Q1466" s="83"/>
      <c r="R1466" s="83"/>
      <c r="S1466" s="83"/>
      <c r="T1466" s="83"/>
      <c r="U1466" s="83"/>
      <c r="V1466" s="83"/>
      <c r="W1466" s="83"/>
      <c r="X1466" s="83"/>
      <c r="Y1466" s="83"/>
      <c r="Z1466" s="83"/>
      <c r="AA1466" s="83"/>
      <c r="AB1466" s="83"/>
      <c r="AC1466" s="83"/>
      <c r="AD1466" s="83"/>
      <c r="AE1466" s="83"/>
      <c r="AF1466" s="83"/>
      <c r="AG1466" s="83"/>
      <c r="AH1466" s="83"/>
      <c r="AI1466" s="83"/>
      <c r="AJ1466" s="83"/>
      <c r="AK1466" s="83"/>
      <c r="AL1466" s="83"/>
      <c r="AM1466" s="83"/>
      <c r="AN1466" s="83"/>
      <c r="AO1466" s="83"/>
      <c r="AP1466" s="83"/>
      <c r="AQ1466" s="83"/>
      <c r="AR1466" s="83"/>
      <c r="AS1466" s="83">
        <v>1103654.0</v>
      </c>
    </row>
    <row r="1467" ht="15.75" customHeight="1">
      <c r="A1467" s="111" t="s">
        <v>1785</v>
      </c>
      <c r="B1467" s="83" t="s">
        <v>1994</v>
      </c>
      <c r="C1467" s="83" t="s">
        <v>68</v>
      </c>
      <c r="D1467" s="112">
        <v>1104820.0</v>
      </c>
      <c r="E1467" s="83"/>
      <c r="F1467" s="83">
        <v>2.918205E7</v>
      </c>
      <c r="G1467" s="91" t="str">
        <f>IFERROR(__xludf.DUMMYFUNCTION("XLOOKUP(AS1467,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TEREZA CONCEICAO MENEZES")</f>
        <v>COLÉGIO ESTADUAL TEREZA CONCEICAO MENEZES</v>
      </c>
      <c r="H1467" s="114" t="s">
        <v>8262</v>
      </c>
      <c r="I1467" s="91" t="s">
        <v>8263</v>
      </c>
      <c r="J1467" s="193" t="s">
        <v>8175</v>
      </c>
      <c r="K1467" s="83" t="s">
        <v>150</v>
      </c>
      <c r="L1467" s="83" t="s">
        <v>151</v>
      </c>
      <c r="M1467" s="83" t="s">
        <v>152</v>
      </c>
      <c r="N1467" s="98" t="s">
        <v>8264</v>
      </c>
      <c r="O1467" s="98" t="s">
        <v>155</v>
      </c>
      <c r="P1467" s="99" t="str">
        <f>IFERROR(__xludf.DUMMYFUNCTION("IFERROR(VLOOKUP(AS1467,IMPORTRANGE(""https://docs.google.com/spreadsheets/d/1juPI-Fb8LD0YtltB2mlGEnp_R3UVu1t3wSFPzgCyHXE/edit?gid=0#gid=0"",""GERAL!A2:C""),3,0),""-"")"),"-")</f>
        <v>-</v>
      </c>
      <c r="Q1467" s="83"/>
      <c r="R1467" s="83"/>
      <c r="S1467" s="83"/>
      <c r="T1467" s="83"/>
      <c r="U1467" s="83"/>
      <c r="V1467" s="83"/>
      <c r="W1467" s="83"/>
      <c r="X1467" s="83"/>
      <c r="Y1467" s="83"/>
      <c r="Z1467" s="83"/>
      <c r="AA1467" s="83"/>
      <c r="AB1467" s="83"/>
      <c r="AC1467" s="83"/>
      <c r="AD1467" s="83"/>
      <c r="AE1467" s="83"/>
      <c r="AF1467" s="83"/>
      <c r="AG1467" s="83"/>
      <c r="AH1467" s="83"/>
      <c r="AI1467" s="83"/>
      <c r="AJ1467" s="83"/>
      <c r="AK1467" s="83"/>
      <c r="AL1467" s="83"/>
      <c r="AM1467" s="83"/>
      <c r="AN1467" s="83"/>
      <c r="AO1467" s="83"/>
      <c r="AP1467" s="83"/>
      <c r="AQ1467" s="83"/>
      <c r="AR1467" s="83"/>
      <c r="AS1467" s="83">
        <v>1104820.0</v>
      </c>
    </row>
    <row r="1468" ht="15.75" customHeight="1">
      <c r="A1468" s="111" t="s">
        <v>1785</v>
      </c>
      <c r="B1468" s="83" t="s">
        <v>1994</v>
      </c>
      <c r="C1468" s="83" t="s">
        <v>68</v>
      </c>
      <c r="D1468" s="112">
        <v>1104537.0</v>
      </c>
      <c r="E1468" s="83"/>
      <c r="F1468" s="83">
        <v>2.9191149E7</v>
      </c>
      <c r="G1468" s="91" t="str">
        <f>IFERROR(__xludf.DUMMYFUNCTION("XLOOKUP(AS1468,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SOLANGE HORTELIO FRANCO - TEMPO INTEGRAL")</f>
        <v>COLÉGIO ESTADUAL SOLANGE HORTELIO FRANCO - TEMPO INTEGRAL</v>
      </c>
      <c r="H1468" s="114" t="s">
        <v>8270</v>
      </c>
      <c r="I1468" s="91" t="s">
        <v>8271</v>
      </c>
      <c r="J1468" s="83" t="s">
        <v>8272</v>
      </c>
      <c r="K1468" s="83" t="s">
        <v>150</v>
      </c>
      <c r="L1468" s="83" t="s">
        <v>151</v>
      </c>
      <c r="M1468" s="83" t="s">
        <v>230</v>
      </c>
      <c r="N1468" s="98" t="s">
        <v>8273</v>
      </c>
      <c r="O1468" s="98" t="s">
        <v>155</v>
      </c>
      <c r="P1468" s="99" t="str">
        <f>IFERROR(__xludf.DUMMYFUNCTION("IFERROR(VLOOKUP(AS1468,IMPORTRANGE(""https://docs.google.com/spreadsheets/d/1juPI-Fb8LD0YtltB2mlGEnp_R3UVu1t3wSFPzgCyHXE/edit?gid=0#gid=0"",""GERAL!A2:C""),3,0),""-"")"),"-")</f>
        <v>-</v>
      </c>
      <c r="Q1468" s="83"/>
      <c r="R1468" s="83"/>
      <c r="S1468" s="83"/>
      <c r="T1468" s="83"/>
      <c r="U1468" s="83"/>
      <c r="V1468" s="83"/>
      <c r="W1468" s="83"/>
      <c r="X1468" s="83"/>
      <c r="Y1468" s="83"/>
      <c r="Z1468" s="83"/>
      <c r="AA1468" s="83"/>
      <c r="AB1468" s="83"/>
      <c r="AC1468" s="83"/>
      <c r="AD1468" s="83"/>
      <c r="AE1468" s="83"/>
      <c r="AF1468" s="83"/>
      <c r="AG1468" s="83"/>
      <c r="AH1468" s="83"/>
      <c r="AI1468" s="83"/>
      <c r="AJ1468" s="83"/>
      <c r="AK1468" s="83"/>
      <c r="AL1468" s="83"/>
      <c r="AM1468" s="83"/>
      <c r="AN1468" s="83"/>
      <c r="AO1468" s="83"/>
      <c r="AP1468" s="83"/>
      <c r="AQ1468" s="83"/>
      <c r="AR1468" s="83"/>
      <c r="AS1468" s="83">
        <v>1104537.0</v>
      </c>
    </row>
    <row r="1469" ht="15.75" customHeight="1">
      <c r="A1469" s="111" t="s">
        <v>1785</v>
      </c>
      <c r="B1469" s="83" t="s">
        <v>1994</v>
      </c>
      <c r="C1469" s="83" t="s">
        <v>68</v>
      </c>
      <c r="D1469" s="112">
        <v>1176610.0</v>
      </c>
      <c r="E1469" s="83"/>
      <c r="F1469" s="83">
        <v>2.9404266E7</v>
      </c>
      <c r="G1469" s="91" t="str">
        <f>IFERROR(__xludf.DUMMYFUNCTION("XLOOKUP(AS1469,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SETE DE SETEMBRO")</f>
        <v>COLÉGIO ESTADUAL SETE DE SETEMBRO</v>
      </c>
      <c r="H1469" s="119" t="s">
        <v>8274</v>
      </c>
      <c r="I1469" s="91" t="s">
        <v>8276</v>
      </c>
      <c r="J1469" s="83" t="s">
        <v>8278</v>
      </c>
      <c r="K1469" s="83" t="s">
        <v>150</v>
      </c>
      <c r="L1469" s="83" t="s">
        <v>8280</v>
      </c>
      <c r="M1469" s="83" t="s">
        <v>152</v>
      </c>
      <c r="N1469" s="98" t="s">
        <v>171</v>
      </c>
      <c r="O1469" s="98" t="s">
        <v>155</v>
      </c>
      <c r="P1469" s="99" t="str">
        <f>IFERROR(__xludf.DUMMYFUNCTION("IFERROR(VLOOKUP(AS1469,IMPORTRANGE(""https://docs.google.com/spreadsheets/d/1juPI-Fb8LD0YtltB2mlGEnp_R3UVu1t3wSFPzgCyHXE/edit?gid=0#gid=0"",""GERAL!A2:C""),3,0),""-"")"),"-")</f>
        <v>-</v>
      </c>
      <c r="Q1469" s="83"/>
      <c r="R1469" s="83"/>
      <c r="S1469" s="83"/>
      <c r="T1469" s="83"/>
      <c r="U1469" s="83"/>
      <c r="V1469" s="83"/>
      <c r="W1469" s="83"/>
      <c r="X1469" s="83"/>
      <c r="Y1469" s="83"/>
      <c r="Z1469" s="83"/>
      <c r="AA1469" s="83"/>
      <c r="AB1469" s="83"/>
      <c r="AC1469" s="83"/>
      <c r="AD1469" s="83"/>
      <c r="AE1469" s="83"/>
      <c r="AF1469" s="83"/>
      <c r="AG1469" s="83"/>
      <c r="AH1469" s="83"/>
      <c r="AI1469" s="83"/>
      <c r="AJ1469" s="83"/>
      <c r="AK1469" s="83"/>
      <c r="AL1469" s="83"/>
      <c r="AM1469" s="83"/>
      <c r="AN1469" s="83"/>
      <c r="AO1469" s="83"/>
      <c r="AP1469" s="83"/>
      <c r="AQ1469" s="83"/>
      <c r="AR1469" s="83"/>
      <c r="AS1469" s="83">
        <v>1176610.0</v>
      </c>
    </row>
    <row r="1470" ht="15.75" customHeight="1">
      <c r="A1470" s="111" t="s">
        <v>1785</v>
      </c>
      <c r="B1470" s="83" t="s">
        <v>1994</v>
      </c>
      <c r="C1470" s="83" t="s">
        <v>68</v>
      </c>
      <c r="D1470" s="112">
        <v>1103387.0</v>
      </c>
      <c r="E1470" s="83"/>
      <c r="F1470" s="83">
        <v>2.918155E7</v>
      </c>
      <c r="G1470" s="91" t="str">
        <f>IFERROR(__xludf.DUMMYFUNCTION("XLOOKUP(AS1470,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SENHOR DO BONFIM")</f>
        <v>COLÉGIO ESTADUAL SENHOR DO BONFIM</v>
      </c>
      <c r="H1470" s="119" t="s">
        <v>4362</v>
      </c>
      <c r="I1470" s="91" t="s">
        <v>8282</v>
      </c>
      <c r="J1470" s="83" t="s">
        <v>8283</v>
      </c>
      <c r="K1470" s="83" t="s">
        <v>150</v>
      </c>
      <c r="L1470" s="83" t="s">
        <v>151</v>
      </c>
      <c r="M1470" s="83" t="s">
        <v>152</v>
      </c>
      <c r="N1470" s="98" t="s">
        <v>8284</v>
      </c>
      <c r="O1470" s="98" t="s">
        <v>155</v>
      </c>
      <c r="P1470" s="99" t="str">
        <f>IFERROR(__xludf.DUMMYFUNCTION("IFERROR(VLOOKUP(AS1470,IMPORTRANGE(""https://docs.google.com/spreadsheets/d/1juPI-Fb8LD0YtltB2mlGEnp_R3UVu1t3wSFPzgCyHXE/edit?gid=0#gid=0"",""GERAL!A2:C""),3,0),""-"")"),"-")</f>
        <v>-</v>
      </c>
      <c r="Q1470" s="83"/>
      <c r="R1470" s="83"/>
      <c r="S1470" s="83"/>
      <c r="T1470" s="83"/>
      <c r="U1470" s="83"/>
      <c r="V1470" s="83"/>
      <c r="W1470" s="83"/>
      <c r="X1470" s="83"/>
      <c r="Y1470" s="83"/>
      <c r="Z1470" s="83"/>
      <c r="AA1470" s="83"/>
      <c r="AB1470" s="83"/>
      <c r="AC1470" s="83"/>
      <c r="AD1470" s="83"/>
      <c r="AE1470" s="83"/>
      <c r="AF1470" s="83"/>
      <c r="AG1470" s="83"/>
      <c r="AH1470" s="83"/>
      <c r="AI1470" s="83"/>
      <c r="AJ1470" s="83"/>
      <c r="AK1470" s="83"/>
      <c r="AL1470" s="83"/>
      <c r="AM1470" s="83"/>
      <c r="AN1470" s="83"/>
      <c r="AO1470" s="83"/>
      <c r="AP1470" s="83"/>
      <c r="AQ1470" s="83"/>
      <c r="AR1470" s="83"/>
      <c r="AS1470" s="83">
        <v>1103387.0</v>
      </c>
    </row>
    <row r="1471" ht="15.75" customHeight="1">
      <c r="A1471" s="111" t="s">
        <v>1785</v>
      </c>
      <c r="B1471" s="83" t="s">
        <v>1994</v>
      </c>
      <c r="C1471" s="83" t="s">
        <v>68</v>
      </c>
      <c r="D1471" s="112">
        <v>1103239.0</v>
      </c>
      <c r="E1471" s="83"/>
      <c r="F1471" s="83">
        <v>2.919113E7</v>
      </c>
      <c r="G1471" s="91" t="str">
        <f>IFERROR(__xludf.DUMMYFUNCTION("XLOOKUP(AS1471,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SATIRO DIAS")</f>
        <v>COLÉGIO ESTADUAL SATIRO DIAS</v>
      </c>
      <c r="H1471" s="119" t="s">
        <v>8292</v>
      </c>
      <c r="I1471" s="91" t="s">
        <v>8293</v>
      </c>
      <c r="J1471" s="83" t="s">
        <v>8294</v>
      </c>
      <c r="K1471" s="83" t="s">
        <v>150</v>
      </c>
      <c r="L1471" s="83" t="s">
        <v>151</v>
      </c>
      <c r="M1471" s="83" t="s">
        <v>152</v>
      </c>
      <c r="N1471" s="98" t="s">
        <v>8295</v>
      </c>
      <c r="O1471" s="98" t="s">
        <v>155</v>
      </c>
      <c r="P1471" s="99" t="str">
        <f>IFERROR(__xludf.DUMMYFUNCTION("IFERROR(VLOOKUP(AS1471,IMPORTRANGE(""https://docs.google.com/spreadsheets/d/1juPI-Fb8LD0YtltB2mlGEnp_R3UVu1t3wSFPzgCyHXE/edit?gid=0#gid=0"",""GERAL!A2:C""),3,0),""-"")"),"-")</f>
        <v>-</v>
      </c>
      <c r="Q1471" s="83"/>
      <c r="R1471" s="83"/>
      <c r="S1471" s="83"/>
      <c r="T1471" s="83"/>
      <c r="U1471" s="83"/>
      <c r="V1471" s="83"/>
      <c r="W1471" s="83"/>
      <c r="X1471" s="83"/>
      <c r="Y1471" s="83"/>
      <c r="Z1471" s="83"/>
      <c r="AA1471" s="83"/>
      <c r="AB1471" s="83"/>
      <c r="AC1471" s="83"/>
      <c r="AD1471" s="83"/>
      <c r="AE1471" s="83"/>
      <c r="AF1471" s="83"/>
      <c r="AG1471" s="83"/>
      <c r="AH1471" s="83"/>
      <c r="AI1471" s="83"/>
      <c r="AJ1471" s="83"/>
      <c r="AK1471" s="83"/>
      <c r="AL1471" s="83"/>
      <c r="AM1471" s="83"/>
      <c r="AN1471" s="83"/>
      <c r="AO1471" s="83"/>
      <c r="AP1471" s="83"/>
      <c r="AQ1471" s="83"/>
      <c r="AR1471" s="83"/>
      <c r="AS1471" s="83">
        <v>1103239.0</v>
      </c>
    </row>
    <row r="1472" ht="15.75" customHeight="1">
      <c r="A1472" s="111" t="s">
        <v>1785</v>
      </c>
      <c r="B1472" s="83" t="s">
        <v>1994</v>
      </c>
      <c r="C1472" s="83" t="s">
        <v>68</v>
      </c>
      <c r="D1472" s="112">
        <v>1103212.0</v>
      </c>
      <c r="E1472" s="83"/>
      <c r="F1472" s="83">
        <v>2.9200075E7</v>
      </c>
      <c r="G1472" s="91" t="str">
        <f>IFERROR(__xludf.DUMMYFUNCTION("XLOOKUP(AS1472,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SARA VIOLETA DE MELLO KERTESZ")</f>
        <v>COLÉGIO ESTADUAL SARA VIOLETA DE MELLO KERTESZ</v>
      </c>
      <c r="H1472" s="114" t="s">
        <v>8296</v>
      </c>
      <c r="I1472" s="91" t="s">
        <v>8297</v>
      </c>
      <c r="J1472" s="83" t="s">
        <v>8298</v>
      </c>
      <c r="K1472" s="83" t="s">
        <v>150</v>
      </c>
      <c r="L1472" s="83" t="s">
        <v>151</v>
      </c>
      <c r="M1472" s="83" t="s">
        <v>152</v>
      </c>
      <c r="N1472" s="98" t="s">
        <v>8299</v>
      </c>
      <c r="O1472" s="98" t="s">
        <v>155</v>
      </c>
      <c r="P1472" s="99" t="str">
        <f>IFERROR(__xludf.DUMMYFUNCTION("IFERROR(VLOOKUP(AS1472,IMPORTRANGE(""https://docs.google.com/spreadsheets/d/1juPI-Fb8LD0YtltB2mlGEnp_R3UVu1t3wSFPzgCyHXE/edit?gid=0#gid=0"",""GERAL!A2:C""),3,0),""-"")"),"-")</f>
        <v>-</v>
      </c>
      <c r="Q1472" s="83"/>
      <c r="R1472" s="83"/>
      <c r="S1472" s="83"/>
      <c r="T1472" s="83"/>
      <c r="U1472" s="83"/>
      <c r="V1472" s="83"/>
      <c r="W1472" s="83"/>
      <c r="X1472" s="83"/>
      <c r="Y1472" s="83"/>
      <c r="Z1472" s="83"/>
      <c r="AA1472" s="83"/>
      <c r="AB1472" s="83"/>
      <c r="AC1472" s="83"/>
      <c r="AD1472" s="83"/>
      <c r="AE1472" s="83"/>
      <c r="AF1472" s="83"/>
      <c r="AG1472" s="83"/>
      <c r="AH1472" s="83"/>
      <c r="AI1472" s="83"/>
      <c r="AJ1472" s="83"/>
      <c r="AK1472" s="83"/>
      <c r="AL1472" s="83"/>
      <c r="AM1472" s="83"/>
      <c r="AN1472" s="83"/>
      <c r="AO1472" s="83"/>
      <c r="AP1472" s="83"/>
      <c r="AQ1472" s="83"/>
      <c r="AR1472" s="83"/>
      <c r="AS1472" s="83">
        <v>1103212.0</v>
      </c>
    </row>
    <row r="1473" ht="15.75" customHeight="1">
      <c r="A1473" s="111" t="s">
        <v>1785</v>
      </c>
      <c r="B1473" s="83" t="s">
        <v>1994</v>
      </c>
      <c r="C1473" s="83" t="s">
        <v>68</v>
      </c>
      <c r="D1473" s="112">
        <v>1101520.0</v>
      </c>
      <c r="E1473" s="83"/>
      <c r="F1473" s="83">
        <v>2.918827E7</v>
      </c>
      <c r="G1473" s="91" t="str">
        <f>IFERROR(__xludf.DUMMYFUNCTION("XLOOKUP(AS1473,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SANTA RITA DE CASSIA")</f>
        <v>COLÉGIO ESTADUAL SANTA RITA DE CASSIA</v>
      </c>
      <c r="H1473" s="114" t="s">
        <v>8305</v>
      </c>
      <c r="I1473" s="91" t="s">
        <v>8306</v>
      </c>
      <c r="J1473" s="83" t="s">
        <v>8307</v>
      </c>
      <c r="K1473" s="83" t="s">
        <v>150</v>
      </c>
      <c r="L1473" s="83" t="s">
        <v>151</v>
      </c>
      <c r="M1473" s="83" t="s">
        <v>152</v>
      </c>
      <c r="N1473" s="98" t="s">
        <v>8308</v>
      </c>
      <c r="O1473" s="98" t="s">
        <v>155</v>
      </c>
      <c r="P1473" s="99" t="str">
        <f>IFERROR(__xludf.DUMMYFUNCTION("IFERROR(VLOOKUP(AS1473,IMPORTRANGE(""https://docs.google.com/spreadsheets/d/1juPI-Fb8LD0YtltB2mlGEnp_R3UVu1t3wSFPzgCyHXE/edit?gid=0#gid=0"",""GERAL!A2:C""),3,0),""-"")"),"-")</f>
        <v>-</v>
      </c>
      <c r="Q1473" s="83"/>
      <c r="R1473" s="83"/>
      <c r="S1473" s="83"/>
      <c r="T1473" s="83"/>
      <c r="U1473" s="83"/>
      <c r="V1473" s="83"/>
      <c r="W1473" s="83"/>
      <c r="X1473" s="83"/>
      <c r="Y1473" s="83"/>
      <c r="Z1473" s="83"/>
      <c r="AA1473" s="83"/>
      <c r="AB1473" s="83"/>
      <c r="AC1473" s="83"/>
      <c r="AD1473" s="83"/>
      <c r="AE1473" s="83"/>
      <c r="AF1473" s="83"/>
      <c r="AG1473" s="83"/>
      <c r="AH1473" s="83"/>
      <c r="AI1473" s="83"/>
      <c r="AJ1473" s="83"/>
      <c r="AK1473" s="83"/>
      <c r="AL1473" s="83"/>
      <c r="AM1473" s="83"/>
      <c r="AN1473" s="83"/>
      <c r="AO1473" s="83"/>
      <c r="AP1473" s="83"/>
      <c r="AQ1473" s="83"/>
      <c r="AR1473" s="83"/>
      <c r="AS1473" s="83">
        <v>1101520.0</v>
      </c>
    </row>
    <row r="1474" ht="15.75" customHeight="1">
      <c r="A1474" s="111" t="s">
        <v>1785</v>
      </c>
      <c r="B1474" s="83" t="s">
        <v>1994</v>
      </c>
      <c r="C1474" s="83" t="s">
        <v>68</v>
      </c>
      <c r="D1474" s="112">
        <v>1103972.0</v>
      </c>
      <c r="E1474" s="83"/>
      <c r="F1474" s="83">
        <v>2.9191114E7</v>
      </c>
      <c r="G1474" s="91" t="str">
        <f>IFERROR(__xludf.DUMMYFUNCTION("XLOOKUP(AS1474,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RUTH PACHECO")</f>
        <v>COLÉGIO ESTADUAL RUTH PACHECO</v>
      </c>
      <c r="H1474" s="119" t="s">
        <v>8311</v>
      </c>
      <c r="I1474" s="91" t="s">
        <v>8312</v>
      </c>
      <c r="J1474" s="83" t="s">
        <v>8313</v>
      </c>
      <c r="K1474" s="83" t="s">
        <v>150</v>
      </c>
      <c r="L1474" s="83" t="s">
        <v>151</v>
      </c>
      <c r="M1474" s="83" t="s">
        <v>152</v>
      </c>
      <c r="N1474" s="98" t="s">
        <v>8308</v>
      </c>
      <c r="O1474" s="98" t="s">
        <v>155</v>
      </c>
      <c r="P1474" s="99" t="str">
        <f>IFERROR(__xludf.DUMMYFUNCTION("IFERROR(VLOOKUP(AS1474,IMPORTRANGE(""https://docs.google.com/spreadsheets/d/1juPI-Fb8LD0YtltB2mlGEnp_R3UVu1t3wSFPzgCyHXE/edit?gid=0#gid=0"",""GERAL!A2:C""),3,0),""-"")"),"-")</f>
        <v>-</v>
      </c>
      <c r="Q1474" s="83"/>
      <c r="R1474" s="83"/>
      <c r="S1474" s="83"/>
      <c r="T1474" s="83"/>
      <c r="U1474" s="83"/>
      <c r="V1474" s="83"/>
      <c r="W1474" s="83"/>
      <c r="X1474" s="83"/>
      <c r="Y1474" s="83"/>
      <c r="Z1474" s="83"/>
      <c r="AA1474" s="83"/>
      <c r="AB1474" s="83"/>
      <c r="AC1474" s="83"/>
      <c r="AD1474" s="83"/>
      <c r="AE1474" s="83"/>
      <c r="AF1474" s="83"/>
      <c r="AG1474" s="83"/>
      <c r="AH1474" s="83"/>
      <c r="AI1474" s="83"/>
      <c r="AJ1474" s="83"/>
      <c r="AK1474" s="83"/>
      <c r="AL1474" s="83"/>
      <c r="AM1474" s="83"/>
      <c r="AN1474" s="83"/>
      <c r="AO1474" s="83"/>
      <c r="AP1474" s="83"/>
      <c r="AQ1474" s="83"/>
      <c r="AR1474" s="83"/>
      <c r="AS1474" s="83">
        <v>1103972.0</v>
      </c>
    </row>
    <row r="1475" ht="15.75" customHeight="1">
      <c r="A1475" s="111" t="s">
        <v>1785</v>
      </c>
      <c r="B1475" s="83" t="s">
        <v>1994</v>
      </c>
      <c r="C1475" s="83" t="s">
        <v>68</v>
      </c>
      <c r="D1475" s="112">
        <v>1103905.0</v>
      </c>
      <c r="E1475" s="83"/>
      <c r="F1475" s="83">
        <v>2.9182735E7</v>
      </c>
      <c r="G1475" s="91" t="str">
        <f>IFERROR(__xludf.DUMMYFUNCTION("XLOOKUP(AS1475,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RUBEN DARIO")</f>
        <v>COLÉGIO ESTADUAL RUBEN DARIO</v>
      </c>
      <c r="H1475" s="114" t="s">
        <v>8321</v>
      </c>
      <c r="I1475" s="91" t="s">
        <v>8322</v>
      </c>
      <c r="J1475" s="193" t="s">
        <v>5746</v>
      </c>
      <c r="K1475" s="83" t="s">
        <v>150</v>
      </c>
      <c r="L1475" s="83" t="s">
        <v>151</v>
      </c>
      <c r="M1475" s="83" t="s">
        <v>230</v>
      </c>
      <c r="N1475" s="98" t="s">
        <v>8323</v>
      </c>
      <c r="O1475" s="98" t="s">
        <v>155</v>
      </c>
      <c r="P1475" s="99" t="str">
        <f>IFERROR(__xludf.DUMMYFUNCTION("IFERROR(VLOOKUP(AS1475,IMPORTRANGE(""https://docs.google.com/spreadsheets/d/1juPI-Fb8LD0YtltB2mlGEnp_R3UVu1t3wSFPzgCyHXE/edit?gid=0#gid=0"",""GERAL!A2:C""),3,0),""-"")"),"-")</f>
        <v>-</v>
      </c>
      <c r="Q1475" s="83"/>
      <c r="R1475" s="83"/>
      <c r="S1475" s="83"/>
      <c r="T1475" s="83"/>
      <c r="U1475" s="83"/>
      <c r="V1475" s="83"/>
      <c r="W1475" s="83"/>
      <c r="X1475" s="83"/>
      <c r="Y1475" s="83"/>
      <c r="Z1475" s="83"/>
      <c r="AA1475" s="83"/>
      <c r="AB1475" s="83"/>
      <c r="AC1475" s="83"/>
      <c r="AD1475" s="83"/>
      <c r="AE1475" s="83"/>
      <c r="AF1475" s="83"/>
      <c r="AG1475" s="83"/>
      <c r="AH1475" s="83"/>
      <c r="AI1475" s="83"/>
      <c r="AJ1475" s="83"/>
      <c r="AK1475" s="83"/>
      <c r="AL1475" s="83"/>
      <c r="AM1475" s="83"/>
      <c r="AN1475" s="83"/>
      <c r="AO1475" s="83"/>
      <c r="AP1475" s="83"/>
      <c r="AQ1475" s="83"/>
      <c r="AR1475" s="83"/>
      <c r="AS1475" s="83">
        <v>1103905.0</v>
      </c>
    </row>
    <row r="1476" ht="15.75" customHeight="1">
      <c r="A1476" s="111" t="s">
        <v>1785</v>
      </c>
      <c r="B1476" s="83" t="s">
        <v>1994</v>
      </c>
      <c r="C1476" s="83" t="s">
        <v>68</v>
      </c>
      <c r="D1476" s="112">
        <v>1176210.0</v>
      </c>
      <c r="E1476" s="83"/>
      <c r="F1476" s="83">
        <v>2.936096E7</v>
      </c>
      <c r="G1476" s="91" t="str">
        <f>IFERROR(__xludf.DUMMYFUNCTION("XLOOKUP(AS1476,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RAYMUNDO MATTA")</f>
        <v>COLÉGIO ESTADUAL RAYMUNDO MATTA</v>
      </c>
      <c r="H1476" s="114" t="s">
        <v>8325</v>
      </c>
      <c r="I1476" s="91" t="s">
        <v>8326</v>
      </c>
      <c r="J1476" s="83" t="s">
        <v>8327</v>
      </c>
      <c r="K1476" s="83" t="s">
        <v>150</v>
      </c>
      <c r="L1476" s="83" t="s">
        <v>5791</v>
      </c>
      <c r="M1476" s="83" t="s">
        <v>76</v>
      </c>
      <c r="N1476" s="98" t="s">
        <v>8331</v>
      </c>
      <c r="O1476" s="98" t="s">
        <v>155</v>
      </c>
      <c r="P1476" s="99" t="str">
        <f>IFERROR(__xludf.DUMMYFUNCTION("IFERROR(VLOOKUP(AS1476,IMPORTRANGE(""https://docs.google.com/spreadsheets/d/1juPI-Fb8LD0YtltB2mlGEnp_R3UVu1t3wSFPzgCyHXE/edit?gid=0#gid=0"",""GERAL!A2:C""),3,0),""-"")"),"-")</f>
        <v>-</v>
      </c>
      <c r="Q1476" s="83"/>
      <c r="R1476" s="83"/>
      <c r="S1476" s="83"/>
      <c r="T1476" s="83"/>
      <c r="U1476" s="83"/>
      <c r="V1476" s="83"/>
      <c r="W1476" s="83"/>
      <c r="X1476" s="83"/>
      <c r="Y1476" s="83"/>
      <c r="Z1476" s="83"/>
      <c r="AA1476" s="83"/>
      <c r="AB1476" s="83"/>
      <c r="AC1476" s="83"/>
      <c r="AD1476" s="83"/>
      <c r="AE1476" s="83"/>
      <c r="AF1476" s="83"/>
      <c r="AG1476" s="83"/>
      <c r="AH1476" s="83"/>
      <c r="AI1476" s="83"/>
      <c r="AJ1476" s="83"/>
      <c r="AK1476" s="83"/>
      <c r="AL1476" s="83"/>
      <c r="AM1476" s="83"/>
      <c r="AN1476" s="83"/>
      <c r="AO1476" s="83"/>
      <c r="AP1476" s="83"/>
      <c r="AQ1476" s="83"/>
      <c r="AR1476" s="83"/>
      <c r="AS1476" s="83">
        <v>1176210.0</v>
      </c>
    </row>
    <row r="1477" ht="15.75" customHeight="1">
      <c r="A1477" s="111" t="s">
        <v>1785</v>
      </c>
      <c r="B1477" s="83" t="s">
        <v>1994</v>
      </c>
      <c r="C1477" s="83" t="s">
        <v>68</v>
      </c>
      <c r="D1477" s="112">
        <v>1103344.0</v>
      </c>
      <c r="E1477" s="83"/>
      <c r="F1477" s="83">
        <v>2.9200024E7</v>
      </c>
      <c r="G1477" s="91" t="str">
        <f>IFERROR(__xludf.DUMMYFUNCTION("XLOOKUP(AS1477,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RAYMUNDO DE ALMEIDA GOUVEIA")</f>
        <v>COLÉGIO ESTADUAL RAYMUNDO DE ALMEIDA GOUVEIA</v>
      </c>
      <c r="H1477" s="114" t="s">
        <v>8336</v>
      </c>
      <c r="I1477" s="91" t="s">
        <v>8337</v>
      </c>
      <c r="J1477" s="172" t="s">
        <v>3098</v>
      </c>
      <c r="K1477" s="83" t="s">
        <v>150</v>
      </c>
      <c r="L1477" s="83" t="s">
        <v>151</v>
      </c>
      <c r="M1477" s="83" t="s">
        <v>230</v>
      </c>
      <c r="N1477" s="98" t="s">
        <v>8338</v>
      </c>
      <c r="O1477" s="98" t="s">
        <v>155</v>
      </c>
      <c r="P1477" s="99" t="str">
        <f>IFERROR(__xludf.DUMMYFUNCTION("IFERROR(VLOOKUP(AS1477,IMPORTRANGE(""https://docs.google.com/spreadsheets/d/1juPI-Fb8LD0YtltB2mlGEnp_R3UVu1t3wSFPzgCyHXE/edit?gid=0#gid=0"",""GERAL!A2:C""),3,0),""-"")"),"-")</f>
        <v>-</v>
      </c>
      <c r="Q1477" s="83"/>
      <c r="R1477" s="83"/>
      <c r="S1477" s="83"/>
      <c r="T1477" s="83"/>
      <c r="U1477" s="83"/>
      <c r="V1477" s="83"/>
      <c r="W1477" s="83"/>
      <c r="X1477" s="83"/>
      <c r="Y1477" s="83"/>
      <c r="Z1477" s="83"/>
      <c r="AA1477" s="83"/>
      <c r="AB1477" s="83"/>
      <c r="AC1477" s="83"/>
      <c r="AD1477" s="83"/>
      <c r="AE1477" s="83"/>
      <c r="AF1477" s="83"/>
      <c r="AG1477" s="83"/>
      <c r="AH1477" s="83"/>
      <c r="AI1477" s="83"/>
      <c r="AJ1477" s="83"/>
      <c r="AK1477" s="83"/>
      <c r="AL1477" s="83"/>
      <c r="AM1477" s="83"/>
      <c r="AN1477" s="83"/>
      <c r="AO1477" s="83"/>
      <c r="AP1477" s="83"/>
      <c r="AQ1477" s="83"/>
      <c r="AR1477" s="83"/>
      <c r="AS1477" s="83">
        <v>1103344.0</v>
      </c>
    </row>
    <row r="1478" ht="15.75" customHeight="1">
      <c r="A1478" s="111" t="s">
        <v>1785</v>
      </c>
      <c r="B1478" s="83" t="s">
        <v>1994</v>
      </c>
      <c r="C1478" s="83" t="s">
        <v>68</v>
      </c>
      <c r="D1478" s="112">
        <v>1103301.0</v>
      </c>
      <c r="E1478" s="83"/>
      <c r="F1478" s="83">
        <v>2.9185173E7</v>
      </c>
      <c r="G1478" s="91" t="str">
        <f>IFERROR(__xludf.DUMMYFUNCTION("XLOOKUP(AS1478,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RAFAEL OLIVEIRA")</f>
        <v>COLÉGIO ESTADUAL RAFAEL OLIVEIRA</v>
      </c>
      <c r="H1478" s="114" t="s">
        <v>8341</v>
      </c>
      <c r="I1478" s="91" t="s">
        <v>8342</v>
      </c>
      <c r="J1478" s="83" t="s">
        <v>8343</v>
      </c>
      <c r="K1478" s="83" t="s">
        <v>150</v>
      </c>
      <c r="L1478" s="83" t="s">
        <v>151</v>
      </c>
      <c r="M1478" s="83" t="s">
        <v>152</v>
      </c>
      <c r="N1478" s="98" t="s">
        <v>8344</v>
      </c>
      <c r="O1478" s="98" t="s">
        <v>155</v>
      </c>
      <c r="P1478" s="99" t="str">
        <f>IFERROR(__xludf.DUMMYFUNCTION("IFERROR(VLOOKUP(AS1478,IMPORTRANGE(""https://docs.google.com/spreadsheets/d/1juPI-Fb8LD0YtltB2mlGEnp_R3UVu1t3wSFPzgCyHXE/edit?gid=0#gid=0"",""GERAL!A2:C""),3,0),""-"")"),"-")</f>
        <v>-</v>
      </c>
      <c r="Q1478" s="83"/>
      <c r="R1478" s="83"/>
      <c r="S1478" s="83"/>
      <c r="T1478" s="83"/>
      <c r="U1478" s="83"/>
      <c r="V1478" s="83"/>
      <c r="W1478" s="83"/>
      <c r="X1478" s="83"/>
      <c r="Y1478" s="83"/>
      <c r="Z1478" s="83"/>
      <c r="AA1478" s="83"/>
      <c r="AB1478" s="83"/>
      <c r="AC1478" s="83"/>
      <c r="AD1478" s="83"/>
      <c r="AE1478" s="83"/>
      <c r="AF1478" s="83"/>
      <c r="AG1478" s="83"/>
      <c r="AH1478" s="83"/>
      <c r="AI1478" s="83"/>
      <c r="AJ1478" s="83"/>
      <c r="AK1478" s="83"/>
      <c r="AL1478" s="83"/>
      <c r="AM1478" s="83"/>
      <c r="AN1478" s="83"/>
      <c r="AO1478" s="83"/>
      <c r="AP1478" s="83"/>
      <c r="AQ1478" s="83"/>
      <c r="AR1478" s="83"/>
      <c r="AS1478" s="83">
        <v>1103301.0</v>
      </c>
    </row>
    <row r="1479" ht="15.75" customHeight="1">
      <c r="A1479" s="111" t="s">
        <v>1785</v>
      </c>
      <c r="B1479" s="83" t="s">
        <v>1994</v>
      </c>
      <c r="C1479" s="83" t="s">
        <v>68</v>
      </c>
      <c r="D1479" s="112">
        <v>1176071.0</v>
      </c>
      <c r="E1479" s="83"/>
      <c r="F1479" s="83">
        <v>2.9192331E7</v>
      </c>
      <c r="G1479" s="91" t="str">
        <f>IFERROR(__xludf.DUMMYFUNCTION("XLOOKUP(AS1479,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MARILEINE DA SILVA")</f>
        <v>COLÉGIO ESTADUAL PROFESSORA MARILEINE DA SILVA</v>
      </c>
      <c r="H1479" s="114" t="s">
        <v>8345</v>
      </c>
      <c r="I1479" s="91" t="s">
        <v>8346</v>
      </c>
      <c r="J1479" s="83" t="s">
        <v>8347</v>
      </c>
      <c r="K1479" s="83" t="s">
        <v>150</v>
      </c>
      <c r="L1479" s="83" t="s">
        <v>151</v>
      </c>
      <c r="M1479" s="83" t="s">
        <v>152</v>
      </c>
      <c r="N1479" s="98" t="s">
        <v>8348</v>
      </c>
      <c r="O1479" s="98" t="s">
        <v>155</v>
      </c>
      <c r="P1479" s="99" t="str">
        <f>IFERROR(__xludf.DUMMYFUNCTION("IFERROR(VLOOKUP(AS1479,IMPORTRANGE(""https://docs.google.com/spreadsheets/d/1juPI-Fb8LD0YtltB2mlGEnp_R3UVu1t3wSFPzgCyHXE/edit?gid=0#gid=0"",""GERAL!A2:C""),3,0),""-"")"),"-")</f>
        <v>-</v>
      </c>
      <c r="Q1479" s="83"/>
      <c r="R1479" s="83"/>
      <c r="S1479" s="83"/>
      <c r="T1479" s="83"/>
      <c r="U1479" s="83"/>
      <c r="V1479" s="83"/>
      <c r="W1479" s="83"/>
      <c r="X1479" s="83"/>
      <c r="Y1479" s="83"/>
      <c r="Z1479" s="83"/>
      <c r="AA1479" s="83"/>
      <c r="AB1479" s="83"/>
      <c r="AC1479" s="83"/>
      <c r="AD1479" s="83"/>
      <c r="AE1479" s="83"/>
      <c r="AF1479" s="83"/>
      <c r="AG1479" s="83"/>
      <c r="AH1479" s="83"/>
      <c r="AI1479" s="83"/>
      <c r="AJ1479" s="83"/>
      <c r="AK1479" s="83"/>
      <c r="AL1479" s="83"/>
      <c r="AM1479" s="83"/>
      <c r="AN1479" s="83"/>
      <c r="AO1479" s="83"/>
      <c r="AP1479" s="83"/>
      <c r="AQ1479" s="83"/>
      <c r="AR1479" s="83"/>
      <c r="AS1479" s="83">
        <v>1176071.0</v>
      </c>
    </row>
    <row r="1480" ht="15.75" customHeight="1">
      <c r="A1480" s="111" t="s">
        <v>1785</v>
      </c>
      <c r="B1480" s="83" t="s">
        <v>1994</v>
      </c>
      <c r="C1480" s="83" t="s">
        <v>68</v>
      </c>
      <c r="D1480" s="112">
        <v>1176765.0</v>
      </c>
      <c r="E1480" s="83"/>
      <c r="F1480" s="83">
        <v>2.940424E7</v>
      </c>
      <c r="G1480" s="91" t="str">
        <f>IFERROR(__xludf.DUMMYFUNCTION("XLOOKUP(AS1480,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MARIA ODETTE PITHON RAYNAL")</f>
        <v>COLÉGIO ESTADUAL PROFESSORA MARIA ODETTE PITHON RAYNAL</v>
      </c>
      <c r="H1480" s="119" t="s">
        <v>8349</v>
      </c>
      <c r="I1480" s="91" t="s">
        <v>8350</v>
      </c>
      <c r="J1480" s="83" t="s">
        <v>8278</v>
      </c>
      <c r="K1480" s="83" t="s">
        <v>150</v>
      </c>
      <c r="L1480" s="83" t="s">
        <v>8351</v>
      </c>
      <c r="M1480" s="83" t="s">
        <v>152</v>
      </c>
      <c r="N1480" s="98" t="s">
        <v>8352</v>
      </c>
      <c r="O1480" s="98" t="s">
        <v>155</v>
      </c>
      <c r="P1480" s="99" t="str">
        <f>IFERROR(__xludf.DUMMYFUNCTION("IFERROR(VLOOKUP(AS1480,IMPORTRANGE(""https://docs.google.com/spreadsheets/d/1juPI-Fb8LD0YtltB2mlGEnp_R3UVu1t3wSFPzgCyHXE/edit?gid=0#gid=0"",""GERAL!A2:C""),3,0),""-"")"),"-")</f>
        <v>-</v>
      </c>
      <c r="Q1480" s="83"/>
      <c r="R1480" s="83"/>
      <c r="S1480" s="83"/>
      <c r="T1480" s="83"/>
      <c r="U1480" s="83"/>
      <c r="V1480" s="83"/>
      <c r="W1480" s="83"/>
      <c r="X1480" s="83"/>
      <c r="Y1480" s="83"/>
      <c r="Z1480" s="83"/>
      <c r="AA1480" s="83"/>
      <c r="AB1480" s="83"/>
      <c r="AC1480" s="83"/>
      <c r="AD1480" s="83"/>
      <c r="AE1480" s="83"/>
      <c r="AF1480" s="83"/>
      <c r="AG1480" s="83"/>
      <c r="AH1480" s="83"/>
      <c r="AI1480" s="83"/>
      <c r="AJ1480" s="83"/>
      <c r="AK1480" s="83"/>
      <c r="AL1480" s="83"/>
      <c r="AM1480" s="83"/>
      <c r="AN1480" s="83"/>
      <c r="AO1480" s="83"/>
      <c r="AP1480" s="83"/>
      <c r="AQ1480" s="83"/>
      <c r="AR1480" s="83"/>
      <c r="AS1480" s="83">
        <v>1176765.0</v>
      </c>
    </row>
    <row r="1481" ht="15.75" customHeight="1">
      <c r="A1481" s="111" t="s">
        <v>1785</v>
      </c>
      <c r="B1481" s="83" t="s">
        <v>1994</v>
      </c>
      <c r="C1481" s="83" t="s">
        <v>68</v>
      </c>
      <c r="D1481" s="112">
        <v>1176880.0</v>
      </c>
      <c r="E1481" s="83"/>
      <c r="F1481" s="83">
        <v>2.9404339E7</v>
      </c>
      <c r="G1481" s="91" t="str">
        <f>IFERROR(__xludf.DUMMYFUNCTION("XLOOKUP(AS1481,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MARIA DE LOURDES PARADA FRANCH")</f>
        <v>COLÉGIO ESTADUAL PROFESSORA MARIA DE LOURDES PARADA FRANCH</v>
      </c>
      <c r="H1481" s="114" t="s">
        <v>8353</v>
      </c>
      <c r="I1481" s="91" t="s">
        <v>8354</v>
      </c>
      <c r="J1481" s="83" t="s">
        <v>8162</v>
      </c>
      <c r="K1481" s="83" t="s">
        <v>150</v>
      </c>
      <c r="L1481" s="83" t="s">
        <v>8355</v>
      </c>
      <c r="M1481" s="83" t="s">
        <v>152</v>
      </c>
      <c r="N1481" s="98" t="s">
        <v>8356</v>
      </c>
      <c r="O1481" s="98" t="s">
        <v>155</v>
      </c>
      <c r="P1481" s="99" t="str">
        <f>IFERROR(__xludf.DUMMYFUNCTION("IFERROR(VLOOKUP(AS1481,IMPORTRANGE(""https://docs.google.com/spreadsheets/d/1juPI-Fb8LD0YtltB2mlGEnp_R3UVu1t3wSFPzgCyHXE/edit?gid=0#gid=0"",""GERAL!A2:C""),3,0),""-"")"),"-")</f>
        <v>-</v>
      </c>
      <c r="Q1481" s="83"/>
      <c r="R1481" s="83"/>
      <c r="S1481" s="83"/>
      <c r="T1481" s="83"/>
      <c r="U1481" s="83"/>
      <c r="V1481" s="83"/>
      <c r="W1481" s="83"/>
      <c r="X1481" s="83"/>
      <c r="Y1481" s="83"/>
      <c r="Z1481" s="83"/>
      <c r="AA1481" s="83"/>
      <c r="AB1481" s="83"/>
      <c r="AC1481" s="83"/>
      <c r="AD1481" s="83"/>
      <c r="AE1481" s="83"/>
      <c r="AF1481" s="83"/>
      <c r="AG1481" s="83"/>
      <c r="AH1481" s="83"/>
      <c r="AI1481" s="83"/>
      <c r="AJ1481" s="83"/>
      <c r="AK1481" s="83"/>
      <c r="AL1481" s="83"/>
      <c r="AM1481" s="83"/>
      <c r="AN1481" s="83"/>
      <c r="AO1481" s="83"/>
      <c r="AP1481" s="83"/>
      <c r="AQ1481" s="83"/>
      <c r="AR1481" s="83"/>
      <c r="AS1481" s="83">
        <v>1176880.0</v>
      </c>
    </row>
    <row r="1482" ht="15.75" customHeight="1">
      <c r="A1482" s="111" t="s">
        <v>1785</v>
      </c>
      <c r="B1482" s="83" t="s">
        <v>1994</v>
      </c>
      <c r="C1482" s="83" t="s">
        <v>68</v>
      </c>
      <c r="D1482" s="112">
        <v>1176810.0</v>
      </c>
      <c r="E1482" s="83"/>
      <c r="F1482" s="83">
        <v>2.9411491E7</v>
      </c>
      <c r="G1482" s="91" t="str">
        <f>IFERROR(__xludf.DUMMYFUNCTION("XLOOKUP(AS1482,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MARIA BERNADETE BRANDÃO")</f>
        <v>COLÉGIO ESTADUAL DE TEMPO INTEGRAL PROFESSORA MARIA BERNADETE BRANDÃO</v>
      </c>
      <c r="H1482" s="119" t="s">
        <v>8357</v>
      </c>
      <c r="I1482" s="91" t="s">
        <v>8358</v>
      </c>
      <c r="J1482" s="83" t="s">
        <v>8133</v>
      </c>
      <c r="K1482" s="83" t="s">
        <v>150</v>
      </c>
      <c r="L1482" s="83" t="s">
        <v>8359</v>
      </c>
      <c r="M1482" s="83" t="s">
        <v>230</v>
      </c>
      <c r="N1482" s="98" t="s">
        <v>8360</v>
      </c>
      <c r="O1482" s="98" t="s">
        <v>155</v>
      </c>
      <c r="P1482" s="99" t="str">
        <f>IFERROR(__xludf.DUMMYFUNCTION("IFERROR(VLOOKUP(AS1482,IMPORTRANGE(""https://docs.google.com/spreadsheets/d/1juPI-Fb8LD0YtltB2mlGEnp_R3UVu1t3wSFPzgCyHXE/edit?gid=0#gid=0"",""GERAL!A2:C""),3,0),""-"")"),"-")</f>
        <v>-</v>
      </c>
      <c r="Q1482" s="83"/>
      <c r="R1482" s="83"/>
      <c r="S1482" s="83"/>
      <c r="T1482" s="83"/>
      <c r="U1482" s="83"/>
      <c r="V1482" s="83"/>
      <c r="W1482" s="83"/>
      <c r="X1482" s="83"/>
      <c r="Y1482" s="83"/>
      <c r="Z1482" s="83"/>
      <c r="AA1482" s="83"/>
      <c r="AB1482" s="83"/>
      <c r="AC1482" s="83"/>
      <c r="AD1482" s="83"/>
      <c r="AE1482" s="83"/>
      <c r="AF1482" s="83"/>
      <c r="AG1482" s="83"/>
      <c r="AH1482" s="83"/>
      <c r="AI1482" s="83"/>
      <c r="AJ1482" s="83"/>
      <c r="AK1482" s="83"/>
      <c r="AL1482" s="83"/>
      <c r="AM1482" s="83"/>
      <c r="AN1482" s="83"/>
      <c r="AO1482" s="83"/>
      <c r="AP1482" s="83"/>
      <c r="AQ1482" s="83"/>
      <c r="AR1482" s="83"/>
      <c r="AS1482" s="83">
        <v>1176810.0</v>
      </c>
    </row>
    <row r="1483" ht="15.75" customHeight="1">
      <c r="A1483" s="111" t="s">
        <v>1785</v>
      </c>
      <c r="B1483" s="83" t="s">
        <v>1994</v>
      </c>
      <c r="C1483" s="83" t="s">
        <v>68</v>
      </c>
      <c r="D1483" s="112">
        <v>1174772.0</v>
      </c>
      <c r="E1483" s="83"/>
      <c r="F1483" s="83">
        <v>2.919208E7</v>
      </c>
      <c r="G1483" s="91" t="str">
        <f>IFERROR(__xludf.DUMMYFUNCTION("XLOOKUP(AS1483,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MARIA ANITA")</f>
        <v>COLÉGIO ESTADUAL PROFESSORA MARIA ANITA</v>
      </c>
      <c r="H1483" s="119" t="s">
        <v>8361</v>
      </c>
      <c r="I1483" s="91" t="s">
        <v>8362</v>
      </c>
      <c r="J1483" s="83" t="s">
        <v>8363</v>
      </c>
      <c r="K1483" s="83" t="s">
        <v>150</v>
      </c>
      <c r="L1483" s="83" t="s">
        <v>151</v>
      </c>
      <c r="M1483" s="83" t="s">
        <v>152</v>
      </c>
      <c r="N1483" s="98" t="s">
        <v>8364</v>
      </c>
      <c r="O1483" s="98" t="s">
        <v>155</v>
      </c>
      <c r="P1483" s="99" t="str">
        <f>IFERROR(__xludf.DUMMYFUNCTION("IFERROR(VLOOKUP(AS1483,IMPORTRANGE(""https://docs.google.com/spreadsheets/d/1juPI-Fb8LD0YtltB2mlGEnp_R3UVu1t3wSFPzgCyHXE/edit?gid=0#gid=0"",""GERAL!A2:C""),3,0),""-"")"),"-")</f>
        <v>-</v>
      </c>
      <c r="Q1483" s="83"/>
      <c r="R1483" s="83"/>
      <c r="S1483" s="83"/>
      <c r="T1483" s="83"/>
      <c r="U1483" s="83"/>
      <c r="V1483" s="83"/>
      <c r="W1483" s="83"/>
      <c r="X1483" s="83"/>
      <c r="Y1483" s="83"/>
      <c r="Z1483" s="83"/>
      <c r="AA1483" s="83"/>
      <c r="AB1483" s="83"/>
      <c r="AC1483" s="83"/>
      <c r="AD1483" s="83"/>
      <c r="AE1483" s="83"/>
      <c r="AF1483" s="83"/>
      <c r="AG1483" s="83"/>
      <c r="AH1483" s="83"/>
      <c r="AI1483" s="83"/>
      <c r="AJ1483" s="83"/>
      <c r="AK1483" s="83"/>
      <c r="AL1483" s="83"/>
      <c r="AM1483" s="83"/>
      <c r="AN1483" s="83"/>
      <c r="AO1483" s="83"/>
      <c r="AP1483" s="83"/>
      <c r="AQ1483" s="83"/>
      <c r="AR1483" s="83"/>
      <c r="AS1483" s="83">
        <v>1174772.0</v>
      </c>
    </row>
    <row r="1484" ht="15.75" customHeight="1">
      <c r="A1484" s="111" t="s">
        <v>1785</v>
      </c>
      <c r="B1484" s="83" t="s">
        <v>1994</v>
      </c>
      <c r="C1484" s="83" t="s">
        <v>68</v>
      </c>
      <c r="D1484" s="112">
        <v>1100884.0</v>
      </c>
      <c r="E1484" s="83"/>
      <c r="F1484" s="83">
        <v>2.9184983E7</v>
      </c>
      <c r="G1484" s="91" t="str">
        <f>IFERROR(__xludf.DUMMYFUNCTION("XLOOKUP(AS1484,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LEILA RUBENS FONSECA")</f>
        <v>COLÉGIO ESTADUAL PROFESSORA LEILA RUBENS FONSECA</v>
      </c>
      <c r="H1484" s="119" t="s">
        <v>8367</v>
      </c>
      <c r="I1484" s="91" t="s">
        <v>8369</v>
      </c>
      <c r="J1484" s="83" t="s">
        <v>8150</v>
      </c>
      <c r="K1484" s="83" t="s">
        <v>150</v>
      </c>
      <c r="L1484" s="83" t="s">
        <v>151</v>
      </c>
      <c r="M1484" s="83" t="s">
        <v>169</v>
      </c>
      <c r="N1484" s="98" t="s">
        <v>8372</v>
      </c>
      <c r="O1484" s="98" t="s">
        <v>155</v>
      </c>
      <c r="P1484" s="99" t="str">
        <f>IFERROR(__xludf.DUMMYFUNCTION("IFERROR(VLOOKUP(AS1484,IMPORTRANGE(""https://docs.google.com/spreadsheets/d/1juPI-Fb8LD0YtltB2mlGEnp_R3UVu1t3wSFPzgCyHXE/edit?gid=0#gid=0"",""GERAL!A2:C""),3,0),""-"")"),"-")</f>
        <v>-</v>
      </c>
      <c r="Q1484" s="83"/>
      <c r="R1484" s="83"/>
      <c r="S1484" s="83"/>
      <c r="T1484" s="83"/>
      <c r="U1484" s="83"/>
      <c r="V1484" s="83"/>
      <c r="W1484" s="83"/>
      <c r="X1484" s="83"/>
      <c r="Y1484" s="83"/>
      <c r="Z1484" s="83"/>
      <c r="AA1484" s="83"/>
      <c r="AB1484" s="83"/>
      <c r="AC1484" s="83"/>
      <c r="AD1484" s="83"/>
      <c r="AE1484" s="83"/>
      <c r="AF1484" s="83"/>
      <c r="AG1484" s="83"/>
      <c r="AH1484" s="83"/>
      <c r="AI1484" s="83"/>
      <c r="AJ1484" s="83"/>
      <c r="AK1484" s="83"/>
      <c r="AL1484" s="83"/>
      <c r="AM1484" s="83"/>
      <c r="AN1484" s="83"/>
      <c r="AO1484" s="83"/>
      <c r="AP1484" s="83"/>
      <c r="AQ1484" s="83"/>
      <c r="AR1484" s="83"/>
      <c r="AS1484" s="83">
        <v>1100884.0</v>
      </c>
    </row>
    <row r="1485" ht="15.75" customHeight="1">
      <c r="A1485" s="111" t="s">
        <v>1785</v>
      </c>
      <c r="B1485" s="83" t="s">
        <v>1994</v>
      </c>
      <c r="C1485" s="83" t="s">
        <v>68</v>
      </c>
      <c r="D1485" s="112">
        <v>1101619.0</v>
      </c>
      <c r="E1485" s="83"/>
      <c r="F1485" s="83">
        <v>2.919265E7</v>
      </c>
      <c r="G1485" s="91" t="str">
        <f>IFERROR(__xludf.DUMMYFUNCTION("XLOOKUP(AS1485,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GEORGINA RAMOS DA SILVA")</f>
        <v>COLÉGIO ESTADUAL PROFESSORA GEORGINA RAMOS DA SILVA</v>
      </c>
      <c r="H1485" s="119" t="s">
        <v>8375</v>
      </c>
      <c r="I1485" s="91" t="s">
        <v>8376</v>
      </c>
      <c r="J1485" s="83" t="s">
        <v>8377</v>
      </c>
      <c r="K1485" s="83" t="s">
        <v>150</v>
      </c>
      <c r="L1485" s="83" t="s">
        <v>151</v>
      </c>
      <c r="M1485" s="83" t="s">
        <v>76</v>
      </c>
      <c r="N1485" s="98" t="s">
        <v>8378</v>
      </c>
      <c r="O1485" s="98" t="s">
        <v>155</v>
      </c>
      <c r="P1485" s="99" t="str">
        <f>IFERROR(__xludf.DUMMYFUNCTION("IFERROR(VLOOKUP(AS1485,IMPORTRANGE(""https://docs.google.com/spreadsheets/d/1juPI-Fb8LD0YtltB2mlGEnp_R3UVu1t3wSFPzgCyHXE/edit?gid=0#gid=0"",""GERAL!A2:C""),3,0),""-"")"),"-")</f>
        <v>-</v>
      </c>
      <c r="Q1485" s="83"/>
      <c r="R1485" s="83"/>
      <c r="S1485" s="83"/>
      <c r="T1485" s="83"/>
      <c r="U1485" s="83"/>
      <c r="V1485" s="83"/>
      <c r="W1485" s="83"/>
      <c r="X1485" s="83"/>
      <c r="Y1485" s="83"/>
      <c r="Z1485" s="83"/>
      <c r="AA1485" s="83"/>
      <c r="AB1485" s="83"/>
      <c r="AC1485" s="83"/>
      <c r="AD1485" s="83"/>
      <c r="AE1485" s="83"/>
      <c r="AF1485" s="83"/>
      <c r="AG1485" s="83"/>
      <c r="AH1485" s="83"/>
      <c r="AI1485" s="83"/>
      <c r="AJ1485" s="83"/>
      <c r="AK1485" s="83"/>
      <c r="AL1485" s="83"/>
      <c r="AM1485" s="83"/>
      <c r="AN1485" s="83"/>
      <c r="AO1485" s="83"/>
      <c r="AP1485" s="83"/>
      <c r="AQ1485" s="83"/>
      <c r="AR1485" s="83"/>
      <c r="AS1485" s="83">
        <v>1101619.0</v>
      </c>
    </row>
    <row r="1486" ht="15.75" customHeight="1">
      <c r="A1486" s="111" t="s">
        <v>1785</v>
      </c>
      <c r="B1486" s="83" t="s">
        <v>1994</v>
      </c>
      <c r="C1486" s="83" t="s">
        <v>68</v>
      </c>
      <c r="D1486" s="112">
        <v>1101120.0</v>
      </c>
      <c r="E1486" s="83"/>
      <c r="F1486" s="83">
        <v>2.9187419E7</v>
      </c>
      <c r="G1486" s="91" t="str">
        <f>IFERROR(__xludf.DUMMYFUNCTION("XLOOKUP(AS1486,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ELISABETH CHAVES VELOSO")</f>
        <v>COLÉGIO ESTADUAL PROFESSORA ELISABETH CHAVES VELOSO</v>
      </c>
      <c r="H1486" s="119" t="s">
        <v>8380</v>
      </c>
      <c r="I1486" s="91" t="s">
        <v>8381</v>
      </c>
      <c r="J1486" s="83" t="s">
        <v>8382</v>
      </c>
      <c r="K1486" s="83" t="s">
        <v>150</v>
      </c>
      <c r="L1486" s="83" t="s">
        <v>151</v>
      </c>
      <c r="M1486" s="83" t="s">
        <v>152</v>
      </c>
      <c r="N1486" s="98" t="s">
        <v>8383</v>
      </c>
      <c r="O1486" s="98" t="s">
        <v>155</v>
      </c>
      <c r="P1486" s="99" t="str">
        <f>IFERROR(__xludf.DUMMYFUNCTION("IFERROR(VLOOKUP(AS1486,IMPORTRANGE(""https://docs.google.com/spreadsheets/d/1juPI-Fb8LD0YtltB2mlGEnp_R3UVu1t3wSFPzgCyHXE/edit?gid=0#gid=0"",""GERAL!A2:C""),3,0),""-"")"),"-")</f>
        <v>-</v>
      </c>
      <c r="Q1486" s="83"/>
      <c r="R1486" s="83"/>
      <c r="S1486" s="83"/>
      <c r="T1486" s="83"/>
      <c r="U1486" s="83"/>
      <c r="V1486" s="83"/>
      <c r="W1486" s="83"/>
      <c r="X1486" s="83"/>
      <c r="Y1486" s="83"/>
      <c r="Z1486" s="83"/>
      <c r="AA1486" s="83"/>
      <c r="AB1486" s="83"/>
      <c r="AC1486" s="83"/>
      <c r="AD1486" s="83"/>
      <c r="AE1486" s="83"/>
      <c r="AF1486" s="83"/>
      <c r="AG1486" s="83"/>
      <c r="AH1486" s="83"/>
      <c r="AI1486" s="83"/>
      <c r="AJ1486" s="83"/>
      <c r="AK1486" s="83"/>
      <c r="AL1486" s="83"/>
      <c r="AM1486" s="83"/>
      <c r="AN1486" s="83"/>
      <c r="AO1486" s="83"/>
      <c r="AP1486" s="83"/>
      <c r="AQ1486" s="83"/>
      <c r="AR1486" s="83"/>
      <c r="AS1486" s="83">
        <v>1101120.0</v>
      </c>
    </row>
    <row r="1487" ht="15.75" customHeight="1">
      <c r="A1487" s="111" t="s">
        <v>1785</v>
      </c>
      <c r="B1487" s="83" t="s">
        <v>1994</v>
      </c>
      <c r="C1487" s="83" t="s">
        <v>68</v>
      </c>
      <c r="D1487" s="112">
        <v>1146094.0</v>
      </c>
      <c r="E1487" s="83"/>
      <c r="F1487" s="83">
        <v>2.9191343E7</v>
      </c>
      <c r="G1487" s="91" t="str">
        <f>IFERROR(__xludf.DUMMYFUNCTION("XLOOKUP(AS1487,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ROMULO ALMEIDA - TEMPO INTEGRAL")</f>
        <v>COLÉGIO ESTADUAL PROFESSOR ROMULO ALMEIDA - TEMPO INTEGRAL</v>
      </c>
      <c r="H1487" s="119" t="s">
        <v>8384</v>
      </c>
      <c r="I1487" s="91" t="s">
        <v>8385</v>
      </c>
      <c r="J1487" s="83" t="s">
        <v>8386</v>
      </c>
      <c r="K1487" s="83" t="s">
        <v>150</v>
      </c>
      <c r="L1487" s="83" t="s">
        <v>151</v>
      </c>
      <c r="M1487" s="83" t="s">
        <v>230</v>
      </c>
      <c r="N1487" s="137" t="s">
        <v>8388</v>
      </c>
      <c r="O1487" s="98" t="s">
        <v>162</v>
      </c>
      <c r="P1487" s="99" t="str">
        <f>IFERROR(__xludf.DUMMYFUNCTION("IFERROR(VLOOKUP(AS1487,IMPORTRANGE(""https://docs.google.com/spreadsheets/d/1juPI-Fb8LD0YtltB2mlGEnp_R3UVu1t3wSFPzgCyHXE/edit?gid=0#gid=0"",""GERAL!A2:C""),3,0),""-"")"),"-")</f>
        <v>-</v>
      </c>
      <c r="Q1487" s="83"/>
      <c r="R1487" s="83"/>
      <c r="S1487" s="83"/>
      <c r="T1487" s="83"/>
      <c r="U1487" s="83"/>
      <c r="V1487" s="83"/>
      <c r="W1487" s="83"/>
      <c r="X1487" s="83"/>
      <c r="Y1487" s="83"/>
      <c r="Z1487" s="83"/>
      <c r="AA1487" s="83"/>
      <c r="AB1487" s="83"/>
      <c r="AC1487" s="83"/>
      <c r="AD1487" s="83"/>
      <c r="AE1487" s="83"/>
      <c r="AF1487" s="83"/>
      <c r="AG1487" s="83"/>
      <c r="AH1487" s="83"/>
      <c r="AI1487" s="83"/>
      <c r="AJ1487" s="83"/>
      <c r="AK1487" s="83"/>
      <c r="AL1487" s="83"/>
      <c r="AM1487" s="83"/>
      <c r="AN1487" s="83"/>
      <c r="AO1487" s="83"/>
      <c r="AP1487" s="83"/>
      <c r="AQ1487" s="83"/>
      <c r="AR1487" s="83"/>
      <c r="AS1487" s="83">
        <v>1146094.0</v>
      </c>
    </row>
    <row r="1488" ht="15.75" customHeight="1">
      <c r="A1488" s="111" t="s">
        <v>1785</v>
      </c>
      <c r="B1488" s="83" t="s">
        <v>1994</v>
      </c>
      <c r="C1488" s="83" t="s">
        <v>68</v>
      </c>
      <c r="D1488" s="112">
        <v>1176661.0</v>
      </c>
      <c r="E1488" s="83"/>
      <c r="F1488" s="83">
        <v>2.940429E7</v>
      </c>
      <c r="G1488" s="91" t="str">
        <f>IFERROR(__xludf.DUMMYFUNCTION("XLOOKUP(AS1488,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JOSE BARRETO DE ARAUJO BASTOS")</f>
        <v>COLÉGIO ESTADUAL PROFESSOR JOSE BARRETO DE ARAUJO BASTOS</v>
      </c>
      <c r="H1488" s="119" t="s">
        <v>8389</v>
      </c>
      <c r="I1488" s="91" t="s">
        <v>8390</v>
      </c>
      <c r="J1488" s="83" t="s">
        <v>8391</v>
      </c>
      <c r="K1488" s="83" t="s">
        <v>150</v>
      </c>
      <c r="L1488" s="83" t="s">
        <v>151</v>
      </c>
      <c r="M1488" s="83" t="s">
        <v>152</v>
      </c>
      <c r="N1488" s="137" t="s">
        <v>8392</v>
      </c>
      <c r="O1488" s="98" t="s">
        <v>155</v>
      </c>
      <c r="P1488" s="99" t="str">
        <f>IFERROR(__xludf.DUMMYFUNCTION("IFERROR(VLOOKUP(AS1488,IMPORTRANGE(""https://docs.google.com/spreadsheets/d/1juPI-Fb8LD0YtltB2mlGEnp_R3UVu1t3wSFPzgCyHXE/edit?gid=0#gid=0"",""GERAL!A2:C""),3,0),""-"")"),"-")</f>
        <v>-</v>
      </c>
      <c r="Q1488" s="83"/>
      <c r="R1488" s="83"/>
      <c r="S1488" s="83"/>
      <c r="T1488" s="83"/>
      <c r="U1488" s="83"/>
      <c r="V1488" s="83"/>
      <c r="W1488" s="83"/>
      <c r="X1488" s="83"/>
      <c r="Y1488" s="83"/>
      <c r="Z1488" s="83"/>
      <c r="AA1488" s="83"/>
      <c r="AB1488" s="83"/>
      <c r="AC1488" s="83"/>
      <c r="AD1488" s="83"/>
      <c r="AE1488" s="83"/>
      <c r="AF1488" s="83"/>
      <c r="AG1488" s="83"/>
      <c r="AH1488" s="83"/>
      <c r="AI1488" s="83"/>
      <c r="AJ1488" s="83"/>
      <c r="AK1488" s="83"/>
      <c r="AL1488" s="83"/>
      <c r="AM1488" s="83"/>
      <c r="AN1488" s="83"/>
      <c r="AO1488" s="83"/>
      <c r="AP1488" s="83"/>
      <c r="AQ1488" s="83"/>
      <c r="AR1488" s="83"/>
      <c r="AS1488" s="83">
        <v>1176661.0</v>
      </c>
    </row>
    <row r="1489" ht="15.75" customHeight="1">
      <c r="A1489" s="111" t="s">
        <v>1785</v>
      </c>
      <c r="B1489" s="83" t="s">
        <v>1994</v>
      </c>
      <c r="C1489" s="83" t="s">
        <v>68</v>
      </c>
      <c r="D1489" s="112">
        <v>1176189.0</v>
      </c>
      <c r="E1489" s="83"/>
      <c r="F1489" s="83">
        <v>2.91853E7</v>
      </c>
      <c r="G1489" s="91" t="str">
        <f>IFERROR(__xludf.DUMMYFUNCTION("XLOOKUP(AS1489,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GEORGE FRAGOSO MODESTO")</f>
        <v>COLÉGIO ESTADUAL PROFESSOR GEORGE FRAGOSO MODESTO</v>
      </c>
      <c r="H1489" s="119" t="s">
        <v>8395</v>
      </c>
      <c r="I1489" s="91" t="s">
        <v>8396</v>
      </c>
      <c r="J1489" s="146" t="s">
        <v>8347</v>
      </c>
      <c r="K1489" s="83" t="s">
        <v>150</v>
      </c>
      <c r="L1489" s="83" t="s">
        <v>8397</v>
      </c>
      <c r="M1489" s="83" t="s">
        <v>152</v>
      </c>
      <c r="N1489" s="137" t="s">
        <v>8398</v>
      </c>
      <c r="O1489" s="98" t="s">
        <v>155</v>
      </c>
      <c r="P1489" s="99" t="str">
        <f>IFERROR(__xludf.DUMMYFUNCTION("IFERROR(VLOOKUP(AS1489,IMPORTRANGE(""https://docs.google.com/spreadsheets/d/1juPI-Fb8LD0YtltB2mlGEnp_R3UVu1t3wSFPzgCyHXE/edit?gid=0#gid=0"",""GERAL!A2:C""),3,0),""-"")"),"-")</f>
        <v>-</v>
      </c>
      <c r="Q1489" s="83"/>
      <c r="R1489" s="83"/>
      <c r="S1489" s="83"/>
      <c r="T1489" s="83"/>
      <c r="U1489" s="83"/>
      <c r="V1489" s="83"/>
      <c r="W1489" s="83"/>
      <c r="X1489" s="83"/>
      <c r="Y1489" s="83"/>
      <c r="Z1489" s="83"/>
      <c r="AA1489" s="83"/>
      <c r="AB1489" s="83"/>
      <c r="AC1489" s="83"/>
      <c r="AD1489" s="83"/>
      <c r="AE1489" s="83"/>
      <c r="AF1489" s="83"/>
      <c r="AG1489" s="83"/>
      <c r="AH1489" s="83"/>
      <c r="AI1489" s="83"/>
      <c r="AJ1489" s="83"/>
      <c r="AK1489" s="83"/>
      <c r="AL1489" s="83"/>
      <c r="AM1489" s="83"/>
      <c r="AN1489" s="83"/>
      <c r="AO1489" s="83"/>
      <c r="AP1489" s="83"/>
      <c r="AQ1489" s="83"/>
      <c r="AR1489" s="83"/>
      <c r="AS1489" s="83">
        <v>1176189.0</v>
      </c>
    </row>
    <row r="1490" ht="15.75" customHeight="1">
      <c r="A1490" s="111" t="s">
        <v>1785</v>
      </c>
      <c r="B1490" s="83" t="s">
        <v>1994</v>
      </c>
      <c r="C1490" s="83" t="s">
        <v>68</v>
      </c>
      <c r="D1490" s="112">
        <v>1100833.0</v>
      </c>
      <c r="E1490" s="83"/>
      <c r="F1490" s="83">
        <v>2.9184932E7</v>
      </c>
      <c r="G1490" s="91" t="str">
        <f>IFERROR(__xludf.DUMMYFUNCTION("XLOOKUP(AS1490,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EDSON CARNEIRO")</f>
        <v>COLÉGIO ESTADUAL PROFESSOR EDSON CARNEIRO</v>
      </c>
      <c r="H1490" s="119" t="s">
        <v>8399</v>
      </c>
      <c r="I1490" s="91" t="s">
        <v>8400</v>
      </c>
      <c r="J1490" s="83" t="s">
        <v>8391</v>
      </c>
      <c r="K1490" s="83" t="s">
        <v>150</v>
      </c>
      <c r="L1490" s="83" t="s">
        <v>151</v>
      </c>
      <c r="M1490" s="83" t="s">
        <v>152</v>
      </c>
      <c r="N1490" s="137" t="s">
        <v>8401</v>
      </c>
      <c r="O1490" s="98" t="s">
        <v>155</v>
      </c>
      <c r="P1490" s="99" t="str">
        <f>IFERROR(__xludf.DUMMYFUNCTION("IFERROR(VLOOKUP(AS1490,IMPORTRANGE(""https://docs.google.com/spreadsheets/d/1juPI-Fb8LD0YtltB2mlGEnp_R3UVu1t3wSFPzgCyHXE/edit?gid=0#gid=0"",""GERAL!A2:C""),3,0),""-"")"),"-")</f>
        <v>-</v>
      </c>
      <c r="Q1490" s="83"/>
      <c r="R1490" s="83"/>
      <c r="S1490" s="83"/>
      <c r="T1490" s="83"/>
      <c r="U1490" s="83"/>
      <c r="V1490" s="83"/>
      <c r="W1490" s="83"/>
      <c r="X1490" s="83"/>
      <c r="Y1490" s="83"/>
      <c r="Z1490" s="83"/>
      <c r="AA1490" s="83"/>
      <c r="AB1490" s="83"/>
      <c r="AC1490" s="83"/>
      <c r="AD1490" s="83"/>
      <c r="AE1490" s="83"/>
      <c r="AF1490" s="83"/>
      <c r="AG1490" s="83"/>
      <c r="AH1490" s="83"/>
      <c r="AI1490" s="83"/>
      <c r="AJ1490" s="83"/>
      <c r="AK1490" s="83"/>
      <c r="AL1490" s="83"/>
      <c r="AM1490" s="83"/>
      <c r="AN1490" s="83"/>
      <c r="AO1490" s="83"/>
      <c r="AP1490" s="83"/>
      <c r="AQ1490" s="83"/>
      <c r="AR1490" s="83"/>
      <c r="AS1490" s="83">
        <v>1100833.0</v>
      </c>
    </row>
    <row r="1491" ht="15.75" customHeight="1">
      <c r="A1491" s="111" t="s">
        <v>1785</v>
      </c>
      <c r="B1491" s="83" t="s">
        <v>1994</v>
      </c>
      <c r="C1491" s="83" t="s">
        <v>68</v>
      </c>
      <c r="D1491" s="112">
        <v>1176109.0</v>
      </c>
      <c r="E1491" s="83"/>
      <c r="F1491" s="83">
        <v>2.934316E7</v>
      </c>
      <c r="G1491" s="91" t="str">
        <f>IFERROR(__xludf.DUMMYFUNCTION("XLOOKUP(AS1491,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CARLOS BARROS")</f>
        <v>COLÉGIO ESTADUAL PROFESSOR CARLOS BARROS</v>
      </c>
      <c r="H1491" s="119" t="s">
        <v>8402</v>
      </c>
      <c r="I1491" s="91" t="s">
        <v>8403</v>
      </c>
      <c r="J1491" s="83" t="s">
        <v>8278</v>
      </c>
      <c r="K1491" s="83" t="s">
        <v>150</v>
      </c>
      <c r="L1491" s="83" t="s">
        <v>151</v>
      </c>
      <c r="M1491" s="83" t="s">
        <v>152</v>
      </c>
      <c r="N1491" s="137" t="s">
        <v>8404</v>
      </c>
      <c r="O1491" s="98" t="s">
        <v>155</v>
      </c>
      <c r="P1491" s="99" t="str">
        <f>IFERROR(__xludf.DUMMYFUNCTION("IFERROR(VLOOKUP(AS1491,IMPORTRANGE(""https://docs.google.com/spreadsheets/d/1juPI-Fb8LD0YtltB2mlGEnp_R3UVu1t3wSFPzgCyHXE/edit?gid=0#gid=0"",""GERAL!A2:C""),3,0),""-"")"),"-")</f>
        <v>-</v>
      </c>
      <c r="Q1491" s="83"/>
      <c r="R1491" s="83"/>
      <c r="S1491" s="83"/>
      <c r="T1491" s="83"/>
      <c r="U1491" s="83"/>
      <c r="V1491" s="83"/>
      <c r="W1491" s="83"/>
      <c r="X1491" s="83"/>
      <c r="Y1491" s="83"/>
      <c r="Z1491" s="83"/>
      <c r="AA1491" s="83"/>
      <c r="AB1491" s="83"/>
      <c r="AC1491" s="83"/>
      <c r="AD1491" s="83"/>
      <c r="AE1491" s="83"/>
      <c r="AF1491" s="83"/>
      <c r="AG1491" s="83"/>
      <c r="AH1491" s="83"/>
      <c r="AI1491" s="83"/>
      <c r="AJ1491" s="83"/>
      <c r="AK1491" s="83"/>
      <c r="AL1491" s="83"/>
      <c r="AM1491" s="83"/>
      <c r="AN1491" s="83"/>
      <c r="AO1491" s="83"/>
      <c r="AP1491" s="83"/>
      <c r="AQ1491" s="83"/>
      <c r="AR1491" s="83"/>
      <c r="AS1491" s="83">
        <v>1176109.0</v>
      </c>
    </row>
    <row r="1492" ht="15.75" customHeight="1">
      <c r="A1492" s="111" t="s">
        <v>1785</v>
      </c>
      <c r="B1492" s="83" t="s">
        <v>1994</v>
      </c>
      <c r="C1492" s="83" t="s">
        <v>68</v>
      </c>
      <c r="D1492" s="112">
        <v>1176095.0</v>
      </c>
      <c r="E1492" s="83"/>
      <c r="F1492" s="83">
        <v>2.9336473E7</v>
      </c>
      <c r="G1492" s="91" t="str">
        <f>IFERROR(__xludf.DUMMYFUNCTION("XLOOKUP(AS1492,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CARLOS ALBERTO CERQUEIRA")</f>
        <v>COLÉGIO ESTADUAL PROFESSOR CARLOS ALBERTO CERQUEIRA</v>
      </c>
      <c r="H1492" s="119" t="s">
        <v>8405</v>
      </c>
      <c r="I1492" s="91" t="s">
        <v>8406</v>
      </c>
      <c r="J1492" s="83" t="s">
        <v>8391</v>
      </c>
      <c r="K1492" s="83" t="s">
        <v>150</v>
      </c>
      <c r="L1492" s="83" t="s">
        <v>151</v>
      </c>
      <c r="M1492" s="83" t="s">
        <v>152</v>
      </c>
      <c r="N1492" s="98" t="s">
        <v>8407</v>
      </c>
      <c r="O1492" s="98" t="s">
        <v>155</v>
      </c>
      <c r="P1492" s="99" t="str">
        <f>IFERROR(__xludf.DUMMYFUNCTION("IFERROR(VLOOKUP(AS1492,IMPORTRANGE(""https://docs.google.com/spreadsheets/d/1juPI-Fb8LD0YtltB2mlGEnp_R3UVu1t3wSFPzgCyHXE/edit?gid=0#gid=0"",""GERAL!A2:C""),3,0),""-"")"),"-")</f>
        <v>-</v>
      </c>
      <c r="Q1492" s="83"/>
      <c r="R1492" s="83"/>
      <c r="S1492" s="83"/>
      <c r="T1492" s="83"/>
      <c r="U1492" s="83"/>
      <c r="V1492" s="83"/>
      <c r="W1492" s="83"/>
      <c r="X1492" s="83"/>
      <c r="Y1492" s="83"/>
      <c r="Z1492" s="83"/>
      <c r="AA1492" s="83"/>
      <c r="AB1492" s="83"/>
      <c r="AC1492" s="83"/>
      <c r="AD1492" s="83"/>
      <c r="AE1492" s="83"/>
      <c r="AF1492" s="83"/>
      <c r="AG1492" s="83"/>
      <c r="AH1492" s="83"/>
      <c r="AI1492" s="83"/>
      <c r="AJ1492" s="83"/>
      <c r="AK1492" s="83"/>
      <c r="AL1492" s="83"/>
      <c r="AM1492" s="83"/>
      <c r="AN1492" s="83"/>
      <c r="AO1492" s="83"/>
      <c r="AP1492" s="83"/>
      <c r="AQ1492" s="83"/>
      <c r="AR1492" s="83"/>
      <c r="AS1492" s="83">
        <v>1176095.0</v>
      </c>
    </row>
    <row r="1493" ht="15.75" customHeight="1">
      <c r="A1493" s="111" t="s">
        <v>1785</v>
      </c>
      <c r="B1493" s="83" t="s">
        <v>1994</v>
      </c>
      <c r="C1493" s="83" t="s">
        <v>68</v>
      </c>
      <c r="D1493" s="112">
        <v>1176720.0</v>
      </c>
      <c r="E1493" s="83"/>
      <c r="F1493" s="83">
        <v>2.9404371E7</v>
      </c>
      <c r="G1493" s="91" t="str">
        <f>IFERROR(__xludf.DUMMYFUNCTION("XLOOKUP(AS1493,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 ARISTIDES DE SOUZA OLIVEIRA")</f>
        <v>COLÉGIO ESTADUAL PROFESSOR ARISTIDES DE SOUZA OLIVEIRA</v>
      </c>
      <c r="H1493" s="114" t="s">
        <v>8415</v>
      </c>
      <c r="I1493" s="91" t="s">
        <v>8416</v>
      </c>
      <c r="J1493" s="83" t="s">
        <v>8417</v>
      </c>
      <c r="K1493" s="83" t="s">
        <v>150</v>
      </c>
      <c r="L1493" s="83" t="s">
        <v>151</v>
      </c>
      <c r="M1493" s="83" t="s">
        <v>76</v>
      </c>
      <c r="N1493" s="98" t="s">
        <v>8352</v>
      </c>
      <c r="O1493" s="98" t="s">
        <v>155</v>
      </c>
      <c r="P1493" s="99" t="str">
        <f>IFERROR(__xludf.DUMMYFUNCTION("IFERROR(VLOOKUP(AS1493,IMPORTRANGE(""https://docs.google.com/spreadsheets/d/1juPI-Fb8LD0YtltB2mlGEnp_R3UVu1t3wSFPzgCyHXE/edit?gid=0#gid=0"",""GERAL!A2:C""),3,0),""-"")"),"-")</f>
        <v>-</v>
      </c>
      <c r="Q1493" s="83"/>
      <c r="R1493" s="83"/>
      <c r="S1493" s="83"/>
      <c r="T1493" s="83"/>
      <c r="U1493" s="83"/>
      <c r="V1493" s="83"/>
      <c r="W1493" s="83"/>
      <c r="X1493" s="83"/>
      <c r="Y1493" s="83"/>
      <c r="Z1493" s="83"/>
      <c r="AA1493" s="83"/>
      <c r="AB1493" s="83"/>
      <c r="AC1493" s="83"/>
      <c r="AD1493" s="83"/>
      <c r="AE1493" s="83"/>
      <c r="AF1493" s="83"/>
      <c r="AG1493" s="83"/>
      <c r="AH1493" s="83"/>
      <c r="AI1493" s="83"/>
      <c r="AJ1493" s="83"/>
      <c r="AK1493" s="83"/>
      <c r="AL1493" s="83"/>
      <c r="AM1493" s="83"/>
      <c r="AN1493" s="83"/>
      <c r="AO1493" s="83"/>
      <c r="AP1493" s="83"/>
      <c r="AQ1493" s="83"/>
      <c r="AR1493" s="83"/>
      <c r="AS1493" s="83">
        <v>1176720.0</v>
      </c>
    </row>
    <row r="1494" ht="15.75" customHeight="1">
      <c r="A1494" s="111" t="s">
        <v>1785</v>
      </c>
      <c r="B1494" s="83" t="s">
        <v>1994</v>
      </c>
      <c r="C1494" s="83" t="s">
        <v>68</v>
      </c>
      <c r="D1494" s="112">
        <v>1104219.0</v>
      </c>
      <c r="E1494" s="83"/>
      <c r="F1494" s="83">
        <v>2.9187095E7</v>
      </c>
      <c r="G1494" s="91" t="str">
        <f>IFERROR(__xludf.DUMMYFUNCTION("XLOOKUP(AS1494,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PRINCESA IZABEL")</f>
        <v>COLÉGIO ESTADUAL PRINCESA IZABEL</v>
      </c>
      <c r="H1494" s="114" t="s">
        <v>8419</v>
      </c>
      <c r="I1494" s="91" t="s">
        <v>8420</v>
      </c>
      <c r="J1494" s="83" t="s">
        <v>1288</v>
      </c>
      <c r="K1494" s="83" t="s">
        <v>150</v>
      </c>
      <c r="L1494" s="83" t="s">
        <v>151</v>
      </c>
      <c r="M1494" s="83" t="s">
        <v>76</v>
      </c>
      <c r="N1494" s="98" t="s">
        <v>8423</v>
      </c>
      <c r="O1494" s="98" t="s">
        <v>155</v>
      </c>
      <c r="P1494" s="99" t="str">
        <f>IFERROR(__xludf.DUMMYFUNCTION("IFERROR(VLOOKUP(AS1494,IMPORTRANGE(""https://docs.google.com/spreadsheets/d/1juPI-Fb8LD0YtltB2mlGEnp_R3UVu1t3wSFPzgCyHXE/edit?gid=0#gid=0"",""GERAL!A2:C""),3,0),""-"")"),"-")</f>
        <v>-</v>
      </c>
      <c r="Q1494" s="83"/>
      <c r="R1494" s="83"/>
      <c r="S1494" s="83"/>
      <c r="T1494" s="83"/>
      <c r="U1494" s="83"/>
      <c r="V1494" s="83"/>
      <c r="W1494" s="83"/>
      <c r="X1494" s="83"/>
      <c r="Y1494" s="83"/>
      <c r="Z1494" s="83"/>
      <c r="AA1494" s="83"/>
      <c r="AB1494" s="83"/>
      <c r="AC1494" s="83"/>
      <c r="AD1494" s="83"/>
      <c r="AE1494" s="83"/>
      <c r="AF1494" s="83"/>
      <c r="AG1494" s="83"/>
      <c r="AH1494" s="83"/>
      <c r="AI1494" s="83"/>
      <c r="AJ1494" s="83"/>
      <c r="AK1494" s="83"/>
      <c r="AL1494" s="83"/>
      <c r="AM1494" s="83"/>
      <c r="AN1494" s="83"/>
      <c r="AO1494" s="83"/>
      <c r="AP1494" s="83"/>
      <c r="AQ1494" s="83"/>
      <c r="AR1494" s="83"/>
      <c r="AS1494" s="83">
        <v>1104219.0</v>
      </c>
    </row>
    <row r="1495" ht="15.75" customHeight="1">
      <c r="A1495" s="111" t="s">
        <v>1785</v>
      </c>
      <c r="B1495" s="83" t="s">
        <v>1994</v>
      </c>
      <c r="C1495" s="83" t="s">
        <v>68</v>
      </c>
      <c r="D1495" s="112">
        <v>1104677.0</v>
      </c>
      <c r="E1495" s="83"/>
      <c r="F1495" s="83">
        <v>2.918701E7</v>
      </c>
      <c r="G1495" s="91" t="str">
        <f>IFERROR(__xludf.DUMMYFUNCTION("XLOOKUP(AS1495,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POLIVALENTE SAN DIEGO")</f>
        <v>COLÉGIO ESTADUAL POLIVALENTE SAN DIEGO</v>
      </c>
      <c r="H1495" s="114" t="s">
        <v>8425</v>
      </c>
      <c r="I1495" s="91" t="s">
        <v>8426</v>
      </c>
      <c r="J1495" s="83" t="s">
        <v>8272</v>
      </c>
      <c r="K1495" s="83" t="s">
        <v>150</v>
      </c>
      <c r="L1495" s="83" t="s">
        <v>151</v>
      </c>
      <c r="M1495" s="83" t="s">
        <v>152</v>
      </c>
      <c r="N1495" s="98" t="s">
        <v>8427</v>
      </c>
      <c r="O1495" s="98" t="s">
        <v>155</v>
      </c>
      <c r="P1495" s="99" t="str">
        <f>IFERROR(__xludf.DUMMYFUNCTION("IFERROR(VLOOKUP(AS1495,IMPORTRANGE(""https://docs.google.com/spreadsheets/d/1juPI-Fb8LD0YtltB2mlGEnp_R3UVu1t3wSFPzgCyHXE/edit?gid=0#gid=0"",""GERAL!A2:C""),3,0),""-"")"),"-")</f>
        <v>-</v>
      </c>
      <c r="Q1495" s="83"/>
      <c r="R1495" s="83"/>
      <c r="S1495" s="83"/>
      <c r="T1495" s="83"/>
      <c r="U1495" s="83"/>
      <c r="V1495" s="83"/>
      <c r="W1495" s="83"/>
      <c r="X1495" s="83"/>
      <c r="Y1495" s="83"/>
      <c r="Z1495" s="83"/>
      <c r="AA1495" s="83"/>
      <c r="AB1495" s="83"/>
      <c r="AC1495" s="83"/>
      <c r="AD1495" s="83"/>
      <c r="AE1495" s="83"/>
      <c r="AF1495" s="83"/>
      <c r="AG1495" s="83"/>
      <c r="AH1495" s="83"/>
      <c r="AI1495" s="83"/>
      <c r="AJ1495" s="83"/>
      <c r="AK1495" s="83"/>
      <c r="AL1495" s="83"/>
      <c r="AM1495" s="83"/>
      <c r="AN1495" s="83"/>
      <c r="AO1495" s="83"/>
      <c r="AP1495" s="83"/>
      <c r="AQ1495" s="83"/>
      <c r="AR1495" s="83"/>
      <c r="AS1495" s="83">
        <v>1104677.0</v>
      </c>
    </row>
    <row r="1496" ht="15.75" customHeight="1">
      <c r="A1496" s="111" t="s">
        <v>1785</v>
      </c>
      <c r="B1496" s="83" t="s">
        <v>1994</v>
      </c>
      <c r="C1496" s="83" t="s">
        <v>68</v>
      </c>
      <c r="D1496" s="112">
        <v>1104731.0</v>
      </c>
      <c r="E1496" s="83"/>
      <c r="F1496" s="83">
        <v>2.9187001E7</v>
      </c>
      <c r="G1496" s="91" t="str">
        <f>IFERROR(__xludf.DUMMYFUNCTION("XLOOKUP(AS1496,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POLIVALENTE DE AMARALINA")</f>
        <v>COLÉGIO ESTADUAL POLIVALENTE DE AMARALINA</v>
      </c>
      <c r="H1496" s="114" t="s">
        <v>8428</v>
      </c>
      <c r="I1496" s="91" t="s">
        <v>8429</v>
      </c>
      <c r="J1496" s="83" t="s">
        <v>8294</v>
      </c>
      <c r="K1496" s="83" t="s">
        <v>150</v>
      </c>
      <c r="L1496" s="83" t="s">
        <v>151</v>
      </c>
      <c r="M1496" s="83" t="s">
        <v>152</v>
      </c>
      <c r="N1496" s="137" t="s">
        <v>8430</v>
      </c>
      <c r="O1496" s="98" t="s">
        <v>155</v>
      </c>
      <c r="P1496" s="99" t="str">
        <f>IFERROR(__xludf.DUMMYFUNCTION("IFERROR(VLOOKUP(AS1496,IMPORTRANGE(""https://docs.google.com/spreadsheets/d/1juPI-Fb8LD0YtltB2mlGEnp_R3UVu1t3wSFPzgCyHXE/edit?gid=0#gid=0"",""GERAL!A2:C""),3,0),""-"")"),"-")</f>
        <v>-</v>
      </c>
      <c r="Q1496" s="83"/>
      <c r="R1496" s="83"/>
      <c r="S1496" s="83"/>
      <c r="T1496" s="83"/>
      <c r="U1496" s="83"/>
      <c r="V1496" s="83"/>
      <c r="W1496" s="83"/>
      <c r="X1496" s="83"/>
      <c r="Y1496" s="83"/>
      <c r="Z1496" s="83"/>
      <c r="AA1496" s="83"/>
      <c r="AB1496" s="83"/>
      <c r="AC1496" s="83"/>
      <c r="AD1496" s="83"/>
      <c r="AE1496" s="83"/>
      <c r="AF1496" s="83"/>
      <c r="AG1496" s="83"/>
      <c r="AH1496" s="83"/>
      <c r="AI1496" s="83"/>
      <c r="AJ1496" s="83"/>
      <c r="AK1496" s="83"/>
      <c r="AL1496" s="83"/>
      <c r="AM1496" s="83"/>
      <c r="AN1496" s="83"/>
      <c r="AO1496" s="83"/>
      <c r="AP1496" s="83"/>
      <c r="AQ1496" s="83"/>
      <c r="AR1496" s="83"/>
      <c r="AS1496" s="83">
        <v>1104731.0</v>
      </c>
    </row>
    <row r="1497" ht="15.75" customHeight="1">
      <c r="A1497" s="111" t="s">
        <v>1785</v>
      </c>
      <c r="B1497" s="83" t="s">
        <v>1994</v>
      </c>
      <c r="C1497" s="83" t="s">
        <v>68</v>
      </c>
      <c r="D1497" s="112">
        <v>1104626.0</v>
      </c>
      <c r="E1497" s="83"/>
      <c r="F1497" s="83">
        <v>2.9199026E7</v>
      </c>
      <c r="G1497" s="91" t="str">
        <f>IFERROR(__xludf.DUMMYFUNCTION("XLOOKUP(AS1497,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PAULO AMÉRICO DE OLIVEIRA")</f>
        <v>COLÉGIO ESTADUAL PAULO AMÉRICO DE OLIVEIRA</v>
      </c>
      <c r="H1497" s="114" t="s">
        <v>8431</v>
      </c>
      <c r="I1497" s="91" t="s">
        <v>8432</v>
      </c>
      <c r="J1497" s="83" t="s">
        <v>8433</v>
      </c>
      <c r="K1497" s="83" t="s">
        <v>150</v>
      </c>
      <c r="L1497" s="83" t="s">
        <v>151</v>
      </c>
      <c r="M1497" s="83" t="s">
        <v>152</v>
      </c>
      <c r="N1497" s="137" t="s">
        <v>8435</v>
      </c>
      <c r="O1497" s="98" t="s">
        <v>155</v>
      </c>
      <c r="P1497" s="99" t="str">
        <f>IFERROR(__xludf.DUMMYFUNCTION("IFERROR(VLOOKUP(AS1497,IMPORTRANGE(""https://docs.google.com/spreadsheets/d/1juPI-Fb8LD0YtltB2mlGEnp_R3UVu1t3wSFPzgCyHXE/edit?gid=0#gid=0"",""GERAL!A2:C""),3,0),""-"")"),"-")</f>
        <v>-</v>
      </c>
      <c r="Q1497" s="83"/>
      <c r="R1497" s="83"/>
      <c r="S1497" s="83"/>
      <c r="T1497" s="83"/>
      <c r="U1497" s="83"/>
      <c r="V1497" s="83"/>
      <c r="W1497" s="83"/>
      <c r="X1497" s="83"/>
      <c r="Y1497" s="83"/>
      <c r="Z1497" s="83"/>
      <c r="AA1497" s="83"/>
      <c r="AB1497" s="83"/>
      <c r="AC1497" s="83"/>
      <c r="AD1497" s="83"/>
      <c r="AE1497" s="83"/>
      <c r="AF1497" s="83"/>
      <c r="AG1497" s="83"/>
      <c r="AH1497" s="83"/>
      <c r="AI1497" s="83"/>
      <c r="AJ1497" s="83"/>
      <c r="AK1497" s="83"/>
      <c r="AL1497" s="83"/>
      <c r="AM1497" s="83"/>
      <c r="AN1497" s="83"/>
      <c r="AO1497" s="83"/>
      <c r="AP1497" s="83"/>
      <c r="AQ1497" s="83"/>
      <c r="AR1497" s="83"/>
      <c r="AS1497" s="83">
        <v>1104626.0</v>
      </c>
    </row>
    <row r="1498" ht="15.75" customHeight="1">
      <c r="A1498" s="111" t="s">
        <v>1785</v>
      </c>
      <c r="B1498" s="83" t="s">
        <v>1994</v>
      </c>
      <c r="C1498" s="83" t="s">
        <v>68</v>
      </c>
      <c r="D1498" s="112">
        <v>1102348.0</v>
      </c>
      <c r="E1498" s="83"/>
      <c r="F1498" s="83">
        <v>2.9186935E7</v>
      </c>
      <c r="G1498" s="91" t="str">
        <f>IFERROR(__xludf.DUMMYFUNCTION("XLOOKUP(AS1498,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PADRE JOSE VASCONCELOS")</f>
        <v>COLÉGIO ESTADUAL PADRE JOSE VASCONCELOS</v>
      </c>
      <c r="H1498" s="119" t="s">
        <v>8436</v>
      </c>
      <c r="I1498" s="91" t="s">
        <v>8437</v>
      </c>
      <c r="J1498" s="83" t="s">
        <v>8438</v>
      </c>
      <c r="K1498" s="83" t="s">
        <v>150</v>
      </c>
      <c r="L1498" s="83" t="s">
        <v>151</v>
      </c>
      <c r="M1498" s="83" t="s">
        <v>152</v>
      </c>
      <c r="N1498" s="137" t="s">
        <v>8439</v>
      </c>
      <c r="O1498" s="98" t="s">
        <v>155</v>
      </c>
      <c r="P1498" s="99" t="str">
        <f>IFERROR(__xludf.DUMMYFUNCTION("IFERROR(VLOOKUP(AS1498,IMPORTRANGE(""https://docs.google.com/spreadsheets/d/1juPI-Fb8LD0YtltB2mlGEnp_R3UVu1t3wSFPzgCyHXE/edit?gid=0#gid=0"",""GERAL!A2:C""),3,0),""-"")"),"-")</f>
        <v>-</v>
      </c>
      <c r="Q1498" s="83"/>
      <c r="R1498" s="83"/>
      <c r="S1498" s="83"/>
      <c r="T1498" s="83"/>
      <c r="U1498" s="83"/>
      <c r="V1498" s="83"/>
      <c r="W1498" s="83"/>
      <c r="X1498" s="83"/>
      <c r="Y1498" s="83"/>
      <c r="Z1498" s="83"/>
      <c r="AA1498" s="83"/>
      <c r="AB1498" s="83"/>
      <c r="AC1498" s="83"/>
      <c r="AD1498" s="83"/>
      <c r="AE1498" s="83"/>
      <c r="AF1498" s="83"/>
      <c r="AG1498" s="83"/>
      <c r="AH1498" s="83"/>
      <c r="AI1498" s="83"/>
      <c r="AJ1498" s="83"/>
      <c r="AK1498" s="83"/>
      <c r="AL1498" s="83"/>
      <c r="AM1498" s="83"/>
      <c r="AN1498" s="83"/>
      <c r="AO1498" s="83"/>
      <c r="AP1498" s="83"/>
      <c r="AQ1498" s="83"/>
      <c r="AR1498" s="83"/>
      <c r="AS1498" s="83">
        <v>1102348.0</v>
      </c>
    </row>
    <row r="1499" ht="15.75" customHeight="1">
      <c r="A1499" s="111" t="s">
        <v>1785</v>
      </c>
      <c r="B1499" s="83" t="s">
        <v>1994</v>
      </c>
      <c r="C1499" s="83" t="s">
        <v>68</v>
      </c>
      <c r="D1499" s="112">
        <v>1176387.0</v>
      </c>
      <c r="E1499" s="83"/>
      <c r="F1499" s="83">
        <v>2.9382017E7</v>
      </c>
      <c r="G1499" s="91" t="str">
        <f>IFERROR(__xludf.DUMMYFUNCTION("XLOOKUP(AS1499,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OLIVEIRA BRITO - TEMPO INTEGRAL")</f>
        <v>COLÉGIO ESTADUAL OLIVEIRA BRITO - TEMPO INTEGRAL</v>
      </c>
      <c r="H1499" s="119" t="s">
        <v>8440</v>
      </c>
      <c r="I1499" s="91" t="s">
        <v>8441</v>
      </c>
      <c r="J1499" s="83" t="s">
        <v>8442</v>
      </c>
      <c r="K1499" s="83" t="s">
        <v>150</v>
      </c>
      <c r="L1499" s="83" t="s">
        <v>151</v>
      </c>
      <c r="M1499" s="83" t="s">
        <v>152</v>
      </c>
      <c r="N1499" s="137" t="s">
        <v>8443</v>
      </c>
      <c r="O1499" s="98" t="s">
        <v>155</v>
      </c>
      <c r="P1499" s="99" t="str">
        <f>IFERROR(__xludf.DUMMYFUNCTION("IFERROR(VLOOKUP(AS1499,IMPORTRANGE(""https://docs.google.com/spreadsheets/d/1juPI-Fb8LD0YtltB2mlGEnp_R3UVu1t3wSFPzgCyHXE/edit?gid=0#gid=0"",""GERAL!A2:C""),3,0),""-"")"),"-")</f>
        <v>-</v>
      </c>
      <c r="Q1499" s="83"/>
      <c r="R1499" s="83"/>
      <c r="S1499" s="83"/>
      <c r="T1499" s="83"/>
      <c r="U1499" s="83"/>
      <c r="V1499" s="83"/>
      <c r="W1499" s="83"/>
      <c r="X1499" s="83"/>
      <c r="Y1499" s="83"/>
      <c r="Z1499" s="83"/>
      <c r="AA1499" s="83"/>
      <c r="AB1499" s="83"/>
      <c r="AC1499" s="83"/>
      <c r="AD1499" s="83"/>
      <c r="AE1499" s="83"/>
      <c r="AF1499" s="83"/>
      <c r="AG1499" s="83"/>
      <c r="AH1499" s="83"/>
      <c r="AI1499" s="83"/>
      <c r="AJ1499" s="83"/>
      <c r="AK1499" s="83"/>
      <c r="AL1499" s="83"/>
      <c r="AM1499" s="83"/>
      <c r="AN1499" s="83"/>
      <c r="AO1499" s="83"/>
      <c r="AP1499" s="83"/>
      <c r="AQ1499" s="83"/>
      <c r="AR1499" s="83"/>
      <c r="AS1499" s="83">
        <v>1176387.0</v>
      </c>
    </row>
    <row r="1500" ht="15.75" customHeight="1">
      <c r="A1500" s="111" t="s">
        <v>1785</v>
      </c>
      <c r="B1500" s="83" t="s">
        <v>1994</v>
      </c>
      <c r="C1500" s="83" t="s">
        <v>68</v>
      </c>
      <c r="D1500" s="112">
        <v>1104103.0</v>
      </c>
      <c r="E1500" s="83"/>
      <c r="F1500" s="83">
        <v>2.9194776E7</v>
      </c>
      <c r="G1500" s="91" t="str">
        <f>IFERROR(__xludf.DUMMYFUNCTION("XLOOKUP(AS1500,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NOSSA SENHORA DE FATIMA - DERBA")</f>
        <v>COLÉGIO ESTADUAL NOSSA SENHORA DE FATIMA - DERBA</v>
      </c>
      <c r="H1500" s="114" t="s">
        <v>8444</v>
      </c>
      <c r="I1500" s="91" t="s">
        <v>8445</v>
      </c>
      <c r="J1500" s="83" t="s">
        <v>8446</v>
      </c>
      <c r="K1500" s="83" t="s">
        <v>150</v>
      </c>
      <c r="L1500" s="83" t="s">
        <v>8447</v>
      </c>
      <c r="M1500" s="83" t="s">
        <v>152</v>
      </c>
      <c r="N1500" s="137" t="s">
        <v>8449</v>
      </c>
      <c r="O1500" s="98" t="s">
        <v>155</v>
      </c>
      <c r="P1500" s="99" t="str">
        <f>IFERROR(__xludf.DUMMYFUNCTION("IFERROR(VLOOKUP(AS1500,IMPORTRANGE(""https://docs.google.com/spreadsheets/d/1juPI-Fb8LD0YtltB2mlGEnp_R3UVu1t3wSFPzgCyHXE/edit?gid=0#gid=0"",""GERAL!A2:C""),3,0),""-"")"),"-")</f>
        <v>-</v>
      </c>
      <c r="Q1500" s="83"/>
      <c r="R1500" s="83"/>
      <c r="S1500" s="83"/>
      <c r="T1500" s="83"/>
      <c r="U1500" s="83"/>
      <c r="V1500" s="83"/>
      <c r="W1500" s="83"/>
      <c r="X1500" s="83"/>
      <c r="Y1500" s="83"/>
      <c r="Z1500" s="83"/>
      <c r="AA1500" s="83"/>
      <c r="AB1500" s="83"/>
      <c r="AC1500" s="83"/>
      <c r="AD1500" s="83"/>
      <c r="AE1500" s="83"/>
      <c r="AF1500" s="83"/>
      <c r="AG1500" s="83"/>
      <c r="AH1500" s="83"/>
      <c r="AI1500" s="83"/>
      <c r="AJ1500" s="83"/>
      <c r="AK1500" s="83"/>
      <c r="AL1500" s="83"/>
      <c r="AM1500" s="83"/>
      <c r="AN1500" s="83"/>
      <c r="AO1500" s="83"/>
      <c r="AP1500" s="83"/>
      <c r="AQ1500" s="83"/>
      <c r="AR1500" s="83"/>
      <c r="AS1500" s="83">
        <v>1104103.0</v>
      </c>
    </row>
    <row r="1501" ht="15.75" customHeight="1">
      <c r="A1501" s="111" t="s">
        <v>1785</v>
      </c>
      <c r="B1501" s="83" t="s">
        <v>1994</v>
      </c>
      <c r="C1501" s="83" t="s">
        <v>68</v>
      </c>
      <c r="D1501" s="112">
        <v>1104111.0</v>
      </c>
      <c r="E1501" s="83"/>
      <c r="F1501" s="83">
        <v>2.919475E7</v>
      </c>
      <c r="G1501" s="91" t="str">
        <f>IFERROR(__xludf.DUMMYFUNCTION("XLOOKUP(AS1501,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NOSSA SENHORA DE FATIMA")</f>
        <v>COLÉGIO ESTADUAL NOSSA SENHORA DE FATIMA</v>
      </c>
      <c r="H1501" s="119" t="s">
        <v>8450</v>
      </c>
      <c r="I1501" s="91" t="s">
        <v>8451</v>
      </c>
      <c r="J1501" s="83" t="s">
        <v>8363</v>
      </c>
      <c r="K1501" s="83" t="s">
        <v>150</v>
      </c>
      <c r="L1501" s="83" t="s">
        <v>151</v>
      </c>
      <c r="M1501" s="83" t="s">
        <v>152</v>
      </c>
      <c r="N1501" s="137" t="s">
        <v>8452</v>
      </c>
      <c r="O1501" s="98" t="s">
        <v>155</v>
      </c>
      <c r="P1501" s="99" t="str">
        <f>IFERROR(__xludf.DUMMYFUNCTION("IFERROR(VLOOKUP(AS1501,IMPORTRANGE(""https://docs.google.com/spreadsheets/d/1juPI-Fb8LD0YtltB2mlGEnp_R3UVu1t3wSFPzgCyHXE/edit?gid=0#gid=0"",""GERAL!A2:C""),3,0),""-"")"),"-")</f>
        <v>-</v>
      </c>
      <c r="Q1501" s="83"/>
      <c r="R1501" s="83"/>
      <c r="S1501" s="83"/>
      <c r="T1501" s="83"/>
      <c r="U1501" s="83"/>
      <c r="V1501" s="83"/>
      <c r="W1501" s="83"/>
      <c r="X1501" s="83"/>
      <c r="Y1501" s="83"/>
      <c r="Z1501" s="83"/>
      <c r="AA1501" s="83"/>
      <c r="AB1501" s="83"/>
      <c r="AC1501" s="83"/>
      <c r="AD1501" s="83"/>
      <c r="AE1501" s="83"/>
      <c r="AF1501" s="83"/>
      <c r="AG1501" s="83"/>
      <c r="AH1501" s="83"/>
      <c r="AI1501" s="83"/>
      <c r="AJ1501" s="83"/>
      <c r="AK1501" s="83"/>
      <c r="AL1501" s="83"/>
      <c r="AM1501" s="83"/>
      <c r="AN1501" s="83"/>
      <c r="AO1501" s="83"/>
      <c r="AP1501" s="83"/>
      <c r="AQ1501" s="83"/>
      <c r="AR1501" s="83"/>
      <c r="AS1501" s="83">
        <v>1104111.0</v>
      </c>
    </row>
    <row r="1502" ht="39.75" customHeight="1">
      <c r="A1502" s="111" t="s">
        <v>1785</v>
      </c>
      <c r="B1502" s="83" t="s">
        <v>1994</v>
      </c>
      <c r="C1502" s="83" t="s">
        <v>68</v>
      </c>
      <c r="D1502" s="112">
        <v>1100701.0</v>
      </c>
      <c r="E1502" s="83"/>
      <c r="F1502" s="83">
        <v>2.919217E7</v>
      </c>
      <c r="G1502" s="91" t="str">
        <f>IFERROR(__xludf.DUMMYFUNCTION("XLOOKUP(AS1502,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NORMA RIBEIRO - TEMPO INTEGRAL")</f>
        <v>COLÉGIO ESTADUAL NORMA RIBEIRO - TEMPO INTEGRAL</v>
      </c>
      <c r="H1502" s="119" t="s">
        <v>8459</v>
      </c>
      <c r="I1502" s="91" t="s">
        <v>8460</v>
      </c>
      <c r="J1502" s="83" t="s">
        <v>8461</v>
      </c>
      <c r="K1502" s="83" t="s">
        <v>150</v>
      </c>
      <c r="L1502" s="83" t="s">
        <v>151</v>
      </c>
      <c r="M1502" s="98" t="s">
        <v>152</v>
      </c>
      <c r="N1502" s="137" t="s">
        <v>8462</v>
      </c>
      <c r="O1502" s="98" t="s">
        <v>155</v>
      </c>
      <c r="P1502" s="99" t="str">
        <f>IFERROR(__xludf.DUMMYFUNCTION("IFERROR(VLOOKUP(AS1502,IMPORTRANGE(""https://docs.google.com/spreadsheets/d/1juPI-Fb8LD0YtltB2mlGEnp_R3UVu1t3wSFPzgCyHXE/edit?gid=0#gid=0"",""GERAL!A2:C""),3,0),""-"")"),"-")</f>
        <v>-</v>
      </c>
      <c r="Q1502" s="83"/>
      <c r="R1502" s="83"/>
      <c r="S1502" s="83"/>
      <c r="T1502" s="83"/>
      <c r="U1502" s="83"/>
      <c r="V1502" s="83"/>
      <c r="W1502" s="83"/>
      <c r="X1502" s="83"/>
      <c r="Y1502" s="83"/>
      <c r="Z1502" s="83"/>
      <c r="AA1502" s="83"/>
      <c r="AB1502" s="83"/>
      <c r="AC1502" s="83"/>
      <c r="AD1502" s="83"/>
      <c r="AE1502" s="83"/>
      <c r="AF1502" s="83"/>
      <c r="AG1502" s="83"/>
      <c r="AH1502" s="83"/>
      <c r="AI1502" s="83"/>
      <c r="AJ1502" s="83"/>
      <c r="AK1502" s="83"/>
      <c r="AL1502" s="83"/>
      <c r="AM1502" s="83"/>
      <c r="AN1502" s="83"/>
      <c r="AO1502" s="83"/>
      <c r="AP1502" s="83"/>
      <c r="AQ1502" s="83"/>
      <c r="AR1502" s="83"/>
      <c r="AS1502" s="83">
        <v>1100701.0</v>
      </c>
    </row>
    <row r="1503" ht="15.75" customHeight="1">
      <c r="A1503" s="111" t="s">
        <v>1785</v>
      </c>
      <c r="B1503" s="83" t="s">
        <v>1994</v>
      </c>
      <c r="C1503" s="83" t="s">
        <v>68</v>
      </c>
      <c r="D1503" s="112">
        <v>1146140.0</v>
      </c>
      <c r="E1503" s="83"/>
      <c r="F1503" s="83">
        <v>2.919993E7</v>
      </c>
      <c r="G1503" s="91" t="str">
        <f>IFERROR(__xludf.DUMMYFUNCTION("XLOOKUP(AS1503,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MONTEIRO LOBATO")</f>
        <v>COLÉGIO ESTADUAL MONTEIRO LOBATO</v>
      </c>
      <c r="H1503" s="119" t="s">
        <v>8463</v>
      </c>
      <c r="I1503" s="91" t="s">
        <v>8464</v>
      </c>
      <c r="J1503" s="83" t="s">
        <v>8465</v>
      </c>
      <c r="K1503" s="83" t="s">
        <v>150</v>
      </c>
      <c r="L1503" s="83" t="s">
        <v>151</v>
      </c>
      <c r="M1503" s="83" t="s">
        <v>152</v>
      </c>
      <c r="N1503" s="137" t="s">
        <v>8467</v>
      </c>
      <c r="O1503" s="98" t="s">
        <v>155</v>
      </c>
      <c r="P1503" s="99" t="str">
        <f>IFERROR(__xludf.DUMMYFUNCTION("IFERROR(VLOOKUP(AS1503,IMPORTRANGE(""https://docs.google.com/spreadsheets/d/1juPI-Fb8LD0YtltB2mlGEnp_R3UVu1t3wSFPzgCyHXE/edit?gid=0#gid=0"",""GERAL!A2:C""),3,0),""-"")"),"-")</f>
        <v>-</v>
      </c>
      <c r="Q1503" s="83"/>
      <c r="R1503" s="83"/>
      <c r="S1503" s="83"/>
      <c r="T1503" s="83"/>
      <c r="U1503" s="83"/>
      <c r="V1503" s="83"/>
      <c r="W1503" s="83"/>
      <c r="X1503" s="83"/>
      <c r="Y1503" s="83"/>
      <c r="Z1503" s="83"/>
      <c r="AA1503" s="83"/>
      <c r="AB1503" s="83"/>
      <c r="AC1503" s="83"/>
      <c r="AD1503" s="83"/>
      <c r="AE1503" s="83"/>
      <c r="AF1503" s="83"/>
      <c r="AG1503" s="83"/>
      <c r="AH1503" s="83"/>
      <c r="AI1503" s="83"/>
      <c r="AJ1503" s="83"/>
      <c r="AK1503" s="83"/>
      <c r="AL1503" s="83"/>
      <c r="AM1503" s="83"/>
      <c r="AN1503" s="83"/>
      <c r="AO1503" s="83"/>
      <c r="AP1503" s="83"/>
      <c r="AQ1503" s="83"/>
      <c r="AR1503" s="83"/>
      <c r="AS1503" s="83">
        <v>1146140.0</v>
      </c>
    </row>
    <row r="1504" ht="15.75" customHeight="1">
      <c r="A1504" s="111" t="s">
        <v>1785</v>
      </c>
      <c r="B1504" s="83" t="s">
        <v>1994</v>
      </c>
      <c r="C1504" s="83" t="s">
        <v>68</v>
      </c>
      <c r="D1504" s="112">
        <v>1172320.0</v>
      </c>
      <c r="E1504" s="83"/>
      <c r="F1504" s="83">
        <v>2.9192242E7</v>
      </c>
      <c r="G1504" s="91" t="str">
        <f>IFERROR(__xludf.DUMMYFUNCTION("XLOOKUP(AS1504,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MESTRE MOA DO KATENDE - EM TEMPO INTEGRAL")</f>
        <v>COLÉGIO ESTADUAL MESTRE MOA DO KATENDE - EM TEMPO INTEGRAL</v>
      </c>
      <c r="H1504" s="114" t="s">
        <v>8475</v>
      </c>
      <c r="I1504" s="91" t="s">
        <v>8476</v>
      </c>
      <c r="J1504" s="83" t="s">
        <v>8477</v>
      </c>
      <c r="K1504" s="83" t="s">
        <v>150</v>
      </c>
      <c r="L1504" s="83" t="s">
        <v>151</v>
      </c>
      <c r="M1504" s="83" t="s">
        <v>169</v>
      </c>
      <c r="N1504" s="137" t="s">
        <v>8478</v>
      </c>
      <c r="O1504" s="98" t="s">
        <v>155</v>
      </c>
      <c r="P1504" s="99" t="str">
        <f>IFERROR(__xludf.DUMMYFUNCTION("IFERROR(VLOOKUP(AS1504,IMPORTRANGE(""https://docs.google.com/spreadsheets/d/1juPI-Fb8LD0YtltB2mlGEnp_R3UVu1t3wSFPzgCyHXE/edit?gid=0#gid=0"",""GERAL!A2:C""),3,0),""-"")"),"-")</f>
        <v>-</v>
      </c>
      <c r="Q1504" s="83"/>
      <c r="R1504" s="83"/>
      <c r="S1504" s="83"/>
      <c r="T1504" s="83"/>
      <c r="U1504" s="83"/>
      <c r="V1504" s="83"/>
      <c r="W1504" s="83"/>
      <c r="X1504" s="83"/>
      <c r="Y1504" s="83"/>
      <c r="Z1504" s="83"/>
      <c r="AA1504" s="83"/>
      <c r="AB1504" s="83"/>
      <c r="AC1504" s="83"/>
      <c r="AD1504" s="83"/>
      <c r="AE1504" s="83"/>
      <c r="AF1504" s="83"/>
      <c r="AG1504" s="83"/>
      <c r="AH1504" s="83"/>
      <c r="AI1504" s="83"/>
      <c r="AJ1504" s="83"/>
      <c r="AK1504" s="83"/>
      <c r="AL1504" s="83"/>
      <c r="AM1504" s="83"/>
      <c r="AN1504" s="83"/>
      <c r="AO1504" s="83"/>
      <c r="AP1504" s="83"/>
      <c r="AQ1504" s="83"/>
      <c r="AR1504" s="83"/>
      <c r="AS1504" s="83">
        <v>1172320.0</v>
      </c>
    </row>
    <row r="1505" ht="15.75" customHeight="1">
      <c r="A1505" s="111" t="s">
        <v>1785</v>
      </c>
      <c r="B1505" s="83" t="s">
        <v>1994</v>
      </c>
      <c r="C1505" s="83" t="s">
        <v>68</v>
      </c>
      <c r="D1505" s="112">
        <v>1102852.0</v>
      </c>
      <c r="E1505" s="83"/>
      <c r="F1505" s="83">
        <v>2.9182204E7</v>
      </c>
      <c r="G1505" s="91" t="str">
        <f>IFERROR(__xludf.DUMMYFUNCTION("XLOOKUP(AS1505,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MARQUÊS DE MARICÁ - TEMPO INTEGRAL")</f>
        <v>COLÉGIO ESTADUAL MARQUÊS DE MARICÁ - TEMPO INTEGRAL</v>
      </c>
      <c r="H1505" s="114" t="s">
        <v>8480</v>
      </c>
      <c r="I1505" s="91" t="s">
        <v>8481</v>
      </c>
      <c r="J1505" s="83" t="s">
        <v>8482</v>
      </c>
      <c r="K1505" s="83" t="s">
        <v>150</v>
      </c>
      <c r="L1505" s="83" t="s">
        <v>151</v>
      </c>
      <c r="M1505" s="98" t="s">
        <v>152</v>
      </c>
      <c r="N1505" s="137" t="s">
        <v>8483</v>
      </c>
      <c r="O1505" s="98" t="s">
        <v>155</v>
      </c>
      <c r="P1505" s="99" t="str">
        <f>IFERROR(__xludf.DUMMYFUNCTION("IFERROR(VLOOKUP(AS1505,IMPORTRANGE(""https://docs.google.com/spreadsheets/d/1juPI-Fb8LD0YtltB2mlGEnp_R3UVu1t3wSFPzgCyHXE/edit?gid=0#gid=0"",""GERAL!A2:C""),3,0),""-"")"),"-")</f>
        <v>-</v>
      </c>
      <c r="Q1505" s="83"/>
      <c r="R1505" s="83"/>
      <c r="S1505" s="83"/>
      <c r="T1505" s="83"/>
      <c r="U1505" s="83"/>
      <c r="V1505" s="83"/>
      <c r="W1505" s="83"/>
      <c r="X1505" s="83"/>
      <c r="Y1505" s="83"/>
      <c r="Z1505" s="83"/>
      <c r="AA1505" s="83"/>
      <c r="AB1505" s="83"/>
      <c r="AC1505" s="83"/>
      <c r="AD1505" s="83"/>
      <c r="AE1505" s="83"/>
      <c r="AF1505" s="83"/>
      <c r="AG1505" s="83"/>
      <c r="AH1505" s="83"/>
      <c r="AI1505" s="83"/>
      <c r="AJ1505" s="83"/>
      <c r="AK1505" s="83"/>
      <c r="AL1505" s="83"/>
      <c r="AM1505" s="83"/>
      <c r="AN1505" s="83"/>
      <c r="AO1505" s="83"/>
      <c r="AP1505" s="83"/>
      <c r="AQ1505" s="83"/>
      <c r="AR1505" s="83"/>
      <c r="AS1505" s="83">
        <v>1102852.0</v>
      </c>
    </row>
    <row r="1506" ht="15.75" customHeight="1">
      <c r="A1506" s="111" t="s">
        <v>1785</v>
      </c>
      <c r="B1506" s="83" t="s">
        <v>1994</v>
      </c>
      <c r="C1506" s="83" t="s">
        <v>68</v>
      </c>
      <c r="D1506" s="112">
        <v>1102844.0</v>
      </c>
      <c r="E1506" s="83"/>
      <c r="F1506" s="83">
        <v>2.9185394E7</v>
      </c>
      <c r="G1506" s="91" t="str">
        <f>IFERROR(__xludf.DUMMYFUNCTION("XLOOKUP(AS1506,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MARIO AUGUSTO TEIXEIRA DE FREITAS")</f>
        <v>COLÉGIO ESTADUAL MARIO AUGUSTO TEIXEIRA DE FREITAS</v>
      </c>
      <c r="H1506" s="119" t="s">
        <v>8491</v>
      </c>
      <c r="I1506" s="91" t="s">
        <v>8492</v>
      </c>
      <c r="J1506" s="83" t="s">
        <v>4828</v>
      </c>
      <c r="K1506" s="83" t="s">
        <v>150</v>
      </c>
      <c r="L1506" s="83" t="s">
        <v>151</v>
      </c>
      <c r="M1506" s="83" t="s">
        <v>152</v>
      </c>
      <c r="N1506" s="137" t="s">
        <v>8493</v>
      </c>
      <c r="O1506" s="98" t="s">
        <v>155</v>
      </c>
      <c r="P1506" s="99" t="str">
        <f>IFERROR(__xludf.DUMMYFUNCTION("IFERROR(VLOOKUP(AS1506,IMPORTRANGE(""https://docs.google.com/spreadsheets/d/1juPI-Fb8LD0YtltB2mlGEnp_R3UVu1t3wSFPzgCyHXE/edit?gid=0#gid=0"",""GERAL!A2:C""),3,0),""-"")"),"-")</f>
        <v>-</v>
      </c>
      <c r="Q1506" s="83"/>
      <c r="R1506" s="83"/>
      <c r="S1506" s="83"/>
      <c r="T1506" s="83"/>
      <c r="U1506" s="83"/>
      <c r="V1506" s="83"/>
      <c r="W1506" s="83"/>
      <c r="X1506" s="83"/>
      <c r="Y1506" s="83"/>
      <c r="Z1506" s="83"/>
      <c r="AA1506" s="83"/>
      <c r="AB1506" s="83"/>
      <c r="AC1506" s="83"/>
      <c r="AD1506" s="83"/>
      <c r="AE1506" s="83"/>
      <c r="AF1506" s="83"/>
      <c r="AG1506" s="83"/>
      <c r="AH1506" s="83"/>
      <c r="AI1506" s="83"/>
      <c r="AJ1506" s="83"/>
      <c r="AK1506" s="83"/>
      <c r="AL1506" s="83"/>
      <c r="AM1506" s="83"/>
      <c r="AN1506" s="83"/>
      <c r="AO1506" s="83"/>
      <c r="AP1506" s="83"/>
      <c r="AQ1506" s="83"/>
      <c r="AR1506" s="83"/>
      <c r="AS1506" s="83">
        <v>1102844.0</v>
      </c>
    </row>
    <row r="1507" ht="15.75" customHeight="1">
      <c r="A1507" s="111" t="s">
        <v>1785</v>
      </c>
      <c r="B1507" s="83" t="s">
        <v>1994</v>
      </c>
      <c r="C1507" s="83" t="s">
        <v>68</v>
      </c>
      <c r="D1507" s="112">
        <v>1102747.0</v>
      </c>
      <c r="E1507" s="83"/>
      <c r="F1507" s="83">
        <v>2.9193567E7</v>
      </c>
      <c r="G1507" s="91" t="str">
        <f>IFERROR(__xludf.DUMMYFUNCTION("XLOOKUP(AS1507,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MARIA AMELIA SANTOS")</f>
        <v>COLÉGIO ESTADUAL MARIA AMELIA SANTOS</v>
      </c>
      <c r="H1507" s="119" t="s">
        <v>8494</v>
      </c>
      <c r="I1507" s="91" t="s">
        <v>8495</v>
      </c>
      <c r="J1507" s="83" t="s">
        <v>8247</v>
      </c>
      <c r="K1507" s="83" t="s">
        <v>150</v>
      </c>
      <c r="L1507" s="83" t="s">
        <v>151</v>
      </c>
      <c r="M1507" s="83" t="s">
        <v>152</v>
      </c>
      <c r="N1507" s="137" t="s">
        <v>8496</v>
      </c>
      <c r="O1507" s="98" t="s">
        <v>155</v>
      </c>
      <c r="P1507" s="99" t="str">
        <f>IFERROR(__xludf.DUMMYFUNCTION("IFERROR(VLOOKUP(AS1507,IMPORTRANGE(""https://docs.google.com/spreadsheets/d/1juPI-Fb8LD0YtltB2mlGEnp_R3UVu1t3wSFPzgCyHXE/edit?gid=0#gid=0"",""GERAL!A2:C""),3,0),""-"")"),"-")</f>
        <v>-</v>
      </c>
      <c r="Q1507" s="83"/>
      <c r="R1507" s="83"/>
      <c r="S1507" s="83"/>
      <c r="T1507" s="83"/>
      <c r="U1507" s="83"/>
      <c r="V1507" s="83"/>
      <c r="W1507" s="83"/>
      <c r="X1507" s="83"/>
      <c r="Y1507" s="83"/>
      <c r="Z1507" s="83"/>
      <c r="AA1507" s="83"/>
      <c r="AB1507" s="83"/>
      <c r="AC1507" s="83"/>
      <c r="AD1507" s="83"/>
      <c r="AE1507" s="83"/>
      <c r="AF1507" s="83"/>
      <c r="AG1507" s="83"/>
      <c r="AH1507" s="83"/>
      <c r="AI1507" s="83"/>
      <c r="AJ1507" s="83"/>
      <c r="AK1507" s="83"/>
      <c r="AL1507" s="83"/>
      <c r="AM1507" s="83"/>
      <c r="AN1507" s="83"/>
      <c r="AO1507" s="83"/>
      <c r="AP1507" s="83"/>
      <c r="AQ1507" s="83"/>
      <c r="AR1507" s="83"/>
      <c r="AS1507" s="83">
        <v>1102747.0</v>
      </c>
    </row>
    <row r="1508" ht="15.75" customHeight="1">
      <c r="A1508" s="111" t="s">
        <v>1785</v>
      </c>
      <c r="B1508" s="83" t="s">
        <v>1994</v>
      </c>
      <c r="C1508" s="83" t="s">
        <v>68</v>
      </c>
      <c r="D1508" s="112">
        <v>1103107.0</v>
      </c>
      <c r="E1508" s="83"/>
      <c r="F1508" s="83">
        <v>2.9193532E7</v>
      </c>
      <c r="G1508" s="91" t="str">
        <f>IFERROR(__xludf.DUMMYFUNCTION("XLOOKUP(AS1508,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MARECHAL MASCARENHAS DE MORAIS")</f>
        <v>COLÉGIO ESTADUAL MARECHAL MASCARENHAS DE MORAIS</v>
      </c>
      <c r="H1508" s="119" t="s">
        <v>8497</v>
      </c>
      <c r="I1508" s="91" t="s">
        <v>8498</v>
      </c>
      <c r="J1508" s="83" t="s">
        <v>8219</v>
      </c>
      <c r="K1508" s="83" t="s">
        <v>150</v>
      </c>
      <c r="L1508" s="83" t="s">
        <v>151</v>
      </c>
      <c r="M1508" s="83" t="s">
        <v>152</v>
      </c>
      <c r="N1508" s="195" t="s">
        <v>8499</v>
      </c>
      <c r="O1508" s="98" t="s">
        <v>155</v>
      </c>
      <c r="P1508" s="99" t="str">
        <f>IFERROR(__xludf.DUMMYFUNCTION("IFERROR(VLOOKUP(AS1508,IMPORTRANGE(""https://docs.google.com/spreadsheets/d/1juPI-Fb8LD0YtltB2mlGEnp_R3UVu1t3wSFPzgCyHXE/edit?gid=0#gid=0"",""GERAL!A2:C""),3,0),""-"")"),"-")</f>
        <v>-</v>
      </c>
      <c r="Q1508" s="83"/>
      <c r="R1508" s="83"/>
      <c r="S1508" s="83"/>
      <c r="T1508" s="83"/>
      <c r="U1508" s="83"/>
      <c r="V1508" s="83"/>
      <c r="W1508" s="83"/>
      <c r="X1508" s="83"/>
      <c r="Y1508" s="83"/>
      <c r="Z1508" s="83"/>
      <c r="AA1508" s="83"/>
      <c r="AB1508" s="83"/>
      <c r="AC1508" s="83"/>
      <c r="AD1508" s="83"/>
      <c r="AE1508" s="83"/>
      <c r="AF1508" s="83"/>
      <c r="AG1508" s="83"/>
      <c r="AH1508" s="83"/>
      <c r="AI1508" s="83"/>
      <c r="AJ1508" s="83"/>
      <c r="AK1508" s="83"/>
      <c r="AL1508" s="83"/>
      <c r="AM1508" s="83"/>
      <c r="AN1508" s="83"/>
      <c r="AO1508" s="83"/>
      <c r="AP1508" s="83"/>
      <c r="AQ1508" s="83"/>
      <c r="AR1508" s="83"/>
      <c r="AS1508" s="83">
        <v>1103107.0</v>
      </c>
    </row>
    <row r="1509" ht="15.75" customHeight="1">
      <c r="A1509" s="111" t="s">
        <v>1785</v>
      </c>
      <c r="B1509" s="83" t="s">
        <v>1994</v>
      </c>
      <c r="C1509" s="83" t="s">
        <v>68</v>
      </c>
      <c r="D1509" s="112">
        <v>1102704.0</v>
      </c>
      <c r="E1509" s="83"/>
      <c r="F1509" s="83">
        <v>2.9183987E7</v>
      </c>
      <c r="G1509" s="91" t="str">
        <f>IFERROR(__xludf.DUMMYFUNCTION("XLOOKUP(AS1509,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MARCILIO DIAS - TEMPO INTEGRAL")</f>
        <v>COLÉGIO ESTADUAL MARCILIO DIAS - TEMPO INTEGRAL</v>
      </c>
      <c r="H1509" s="119" t="s">
        <v>8500</v>
      </c>
      <c r="I1509" s="91" t="s">
        <v>8501</v>
      </c>
      <c r="J1509" s="83" t="s">
        <v>8502</v>
      </c>
      <c r="K1509" s="83" t="s">
        <v>150</v>
      </c>
      <c r="L1509" s="83" t="s">
        <v>168</v>
      </c>
      <c r="M1509" s="83" t="s">
        <v>152</v>
      </c>
      <c r="N1509" s="188" t="s">
        <v>8503</v>
      </c>
      <c r="O1509" s="98" t="s">
        <v>155</v>
      </c>
      <c r="P1509" s="99" t="str">
        <f>IFERROR(__xludf.DUMMYFUNCTION("IFERROR(VLOOKUP(AS1509,IMPORTRANGE(""https://docs.google.com/spreadsheets/d/1juPI-Fb8LD0YtltB2mlGEnp_R3UVu1t3wSFPzgCyHXE/edit?gid=0#gid=0"",""GERAL!A2:C""),3,0),""-"")"),"-")</f>
        <v>-</v>
      </c>
      <c r="Q1509" s="83"/>
      <c r="R1509" s="83"/>
      <c r="S1509" s="83"/>
      <c r="T1509" s="83"/>
      <c r="U1509" s="83"/>
      <c r="V1509" s="83"/>
      <c r="W1509" s="83"/>
      <c r="X1509" s="83"/>
      <c r="Y1509" s="83"/>
      <c r="Z1509" s="83"/>
      <c r="AA1509" s="83"/>
      <c r="AB1509" s="83"/>
      <c r="AC1509" s="83"/>
      <c r="AD1509" s="83"/>
      <c r="AE1509" s="83"/>
      <c r="AF1509" s="83"/>
      <c r="AG1509" s="83"/>
      <c r="AH1509" s="83"/>
      <c r="AI1509" s="83"/>
      <c r="AJ1509" s="83"/>
      <c r="AK1509" s="83"/>
      <c r="AL1509" s="83"/>
      <c r="AM1509" s="83"/>
      <c r="AN1509" s="83"/>
      <c r="AO1509" s="83"/>
      <c r="AP1509" s="83"/>
      <c r="AQ1509" s="83"/>
      <c r="AR1509" s="83"/>
      <c r="AS1509" s="83">
        <v>1102704.0</v>
      </c>
    </row>
    <row r="1510" ht="15.75" customHeight="1">
      <c r="A1510" s="111" t="s">
        <v>1785</v>
      </c>
      <c r="B1510" s="83" t="s">
        <v>1994</v>
      </c>
      <c r="C1510" s="83" t="s">
        <v>68</v>
      </c>
      <c r="D1510" s="112">
        <v>1104898.0</v>
      </c>
      <c r="E1510" s="83"/>
      <c r="F1510" s="83">
        <v>2.9192021E7</v>
      </c>
      <c r="G1510" s="91" t="str">
        <f>IFERROR(__xludf.DUMMYFUNCTION("XLOOKUP(AS1510,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LUIZ JOSE DE OLIVEIRA")</f>
        <v>COLÉGIO ESTADUAL LUIZ JOSE DE OLIVEIRA</v>
      </c>
      <c r="H1510" s="114" t="s">
        <v>8504</v>
      </c>
      <c r="I1510" s="91" t="s">
        <v>8505</v>
      </c>
      <c r="J1510" s="83" t="s">
        <v>8506</v>
      </c>
      <c r="K1510" s="83" t="s">
        <v>150</v>
      </c>
      <c r="L1510" s="83" t="s">
        <v>151</v>
      </c>
      <c r="M1510" s="83" t="s">
        <v>152</v>
      </c>
      <c r="N1510" s="137" t="s">
        <v>8507</v>
      </c>
      <c r="O1510" s="98" t="s">
        <v>155</v>
      </c>
      <c r="P1510" s="99" t="str">
        <f>IFERROR(__xludf.DUMMYFUNCTION("IFERROR(VLOOKUP(AS1510,IMPORTRANGE(""https://docs.google.com/spreadsheets/d/1juPI-Fb8LD0YtltB2mlGEnp_R3UVu1t3wSFPzgCyHXE/edit?gid=0#gid=0"",""GERAL!A2:C""),3,0),""-"")"),"-")</f>
        <v>-</v>
      </c>
      <c r="Q1510" s="83"/>
      <c r="R1510" s="83"/>
      <c r="S1510" s="83"/>
      <c r="T1510" s="83"/>
      <c r="U1510" s="83"/>
      <c r="V1510" s="83"/>
      <c r="W1510" s="83"/>
      <c r="X1510" s="83"/>
      <c r="Y1510" s="83"/>
      <c r="Z1510" s="83"/>
      <c r="AA1510" s="83"/>
      <c r="AB1510" s="83"/>
      <c r="AC1510" s="83"/>
      <c r="AD1510" s="83"/>
      <c r="AE1510" s="83"/>
      <c r="AF1510" s="83"/>
      <c r="AG1510" s="83"/>
      <c r="AH1510" s="83"/>
      <c r="AI1510" s="83"/>
      <c r="AJ1510" s="83"/>
      <c r="AK1510" s="83"/>
      <c r="AL1510" s="83"/>
      <c r="AM1510" s="83"/>
      <c r="AN1510" s="83"/>
      <c r="AO1510" s="83"/>
      <c r="AP1510" s="83"/>
      <c r="AQ1510" s="83"/>
      <c r="AR1510" s="83"/>
      <c r="AS1510" s="83">
        <v>1104898.0</v>
      </c>
    </row>
    <row r="1511" ht="15.75" customHeight="1">
      <c r="A1511" s="111" t="s">
        <v>1785</v>
      </c>
      <c r="B1511" s="83" t="s">
        <v>1994</v>
      </c>
      <c r="C1511" s="83" t="s">
        <v>68</v>
      </c>
      <c r="D1511" s="112">
        <v>1104880.0</v>
      </c>
      <c r="E1511" s="83"/>
      <c r="F1511" s="83">
        <v>2.9187303E7</v>
      </c>
      <c r="G1511" s="91" t="str">
        <f>IFERROR(__xludf.DUMMYFUNCTION("XLOOKUP(AS1511,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LUIZ FERNANDO MACEDO COSTA - TEMPO INTEGRAL")</f>
        <v>COLÉGIO ESTADUAL LUIZ FERNANDO MACEDO COSTA - TEMPO INTEGRAL</v>
      </c>
      <c r="H1511" s="114" t="s">
        <v>8508</v>
      </c>
      <c r="I1511" s="91" t="s">
        <v>8509</v>
      </c>
      <c r="J1511" s="83" t="s">
        <v>8510</v>
      </c>
      <c r="K1511" s="83" t="s">
        <v>150</v>
      </c>
      <c r="L1511" s="83" t="s">
        <v>151</v>
      </c>
      <c r="M1511" s="83" t="s">
        <v>152</v>
      </c>
      <c r="N1511" s="188" t="s">
        <v>8511</v>
      </c>
      <c r="O1511" s="98" t="s">
        <v>155</v>
      </c>
      <c r="P1511" s="99" t="str">
        <f>IFERROR(__xludf.DUMMYFUNCTION("IFERROR(VLOOKUP(AS1511,IMPORTRANGE(""https://docs.google.com/spreadsheets/d/1juPI-Fb8LD0YtltB2mlGEnp_R3UVu1t3wSFPzgCyHXE/edit?gid=0#gid=0"",""GERAL!A2:C""),3,0),""-"")"),"-")</f>
        <v>-</v>
      </c>
      <c r="Q1511" s="83"/>
      <c r="R1511" s="83"/>
      <c r="S1511" s="83"/>
      <c r="T1511" s="83"/>
      <c r="U1511" s="83"/>
      <c r="V1511" s="83"/>
      <c r="W1511" s="83"/>
      <c r="X1511" s="83"/>
      <c r="Y1511" s="83"/>
      <c r="Z1511" s="83"/>
      <c r="AA1511" s="83"/>
      <c r="AB1511" s="83"/>
      <c r="AC1511" s="83"/>
      <c r="AD1511" s="83"/>
      <c r="AE1511" s="83"/>
      <c r="AF1511" s="83"/>
      <c r="AG1511" s="83"/>
      <c r="AH1511" s="83"/>
      <c r="AI1511" s="83"/>
      <c r="AJ1511" s="83"/>
      <c r="AK1511" s="83"/>
      <c r="AL1511" s="83"/>
      <c r="AM1511" s="83"/>
      <c r="AN1511" s="83"/>
      <c r="AO1511" s="83"/>
      <c r="AP1511" s="83"/>
      <c r="AQ1511" s="83"/>
      <c r="AR1511" s="83"/>
      <c r="AS1511" s="83">
        <v>1104880.0</v>
      </c>
    </row>
    <row r="1512" ht="15.75" customHeight="1">
      <c r="A1512" s="111" t="s">
        <v>1785</v>
      </c>
      <c r="B1512" s="83" t="s">
        <v>1994</v>
      </c>
      <c r="C1512" s="83" t="s">
        <v>68</v>
      </c>
      <c r="D1512" s="112">
        <v>1102542.0</v>
      </c>
      <c r="E1512" s="83"/>
      <c r="F1512" s="83">
        <v>2.9190908E7</v>
      </c>
      <c r="G1512" s="91" t="str">
        <f>IFERROR(__xludf.DUMMYFUNCTION("XLOOKUP(AS1512,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LUÍS ROGÉRIO DE SOUZA")</f>
        <v>COLÉGIO ESTADUAL LUÍS ROGÉRIO DE SOUZA</v>
      </c>
      <c r="H1512" s="114" t="s">
        <v>8512</v>
      </c>
      <c r="I1512" s="91" t="s">
        <v>8513</v>
      </c>
      <c r="J1512" s="83" t="s">
        <v>8417</v>
      </c>
      <c r="K1512" s="83" t="s">
        <v>150</v>
      </c>
      <c r="L1512" s="83" t="s">
        <v>151</v>
      </c>
      <c r="M1512" s="83" t="s">
        <v>152</v>
      </c>
      <c r="N1512" s="137" t="s">
        <v>8514</v>
      </c>
      <c r="O1512" s="98" t="s">
        <v>155</v>
      </c>
      <c r="P1512" s="99" t="str">
        <f>IFERROR(__xludf.DUMMYFUNCTION("IFERROR(VLOOKUP(AS1512,IMPORTRANGE(""https://docs.google.com/spreadsheets/d/1juPI-Fb8LD0YtltB2mlGEnp_R3UVu1t3wSFPzgCyHXE/edit?gid=0#gid=0"",""GERAL!A2:C""),3,0),""-"")"),"-")</f>
        <v>-</v>
      </c>
      <c r="Q1512" s="83"/>
      <c r="R1512" s="83"/>
      <c r="S1512" s="83"/>
      <c r="T1512" s="83"/>
      <c r="U1512" s="83"/>
      <c r="V1512" s="83"/>
      <c r="W1512" s="83"/>
      <c r="X1512" s="83"/>
      <c r="Y1512" s="83"/>
      <c r="Z1512" s="83"/>
      <c r="AA1512" s="83"/>
      <c r="AB1512" s="83"/>
      <c r="AC1512" s="83"/>
      <c r="AD1512" s="83"/>
      <c r="AE1512" s="83"/>
      <c r="AF1512" s="83"/>
      <c r="AG1512" s="83"/>
      <c r="AH1512" s="83"/>
      <c r="AI1512" s="83"/>
      <c r="AJ1512" s="83"/>
      <c r="AK1512" s="83"/>
      <c r="AL1512" s="83"/>
      <c r="AM1512" s="83"/>
      <c r="AN1512" s="83"/>
      <c r="AO1512" s="83"/>
      <c r="AP1512" s="83"/>
      <c r="AQ1512" s="83"/>
      <c r="AR1512" s="83"/>
      <c r="AS1512" s="83">
        <v>1102542.0</v>
      </c>
    </row>
    <row r="1513" ht="15.75" customHeight="1">
      <c r="A1513" s="111" t="s">
        <v>1785</v>
      </c>
      <c r="B1513" s="83" t="s">
        <v>1994</v>
      </c>
      <c r="C1513" s="83" t="s">
        <v>68</v>
      </c>
      <c r="D1513" s="112">
        <v>1176446.0</v>
      </c>
      <c r="E1513" s="83"/>
      <c r="F1513" s="83">
        <v>2.9386535E7</v>
      </c>
      <c r="G1513" s="91" t="str">
        <f>IFERROR(__xludf.DUMMYFUNCTION("XLOOKUP(AS1513,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LINDEMBERGUE CARDOSO")</f>
        <v>COLÉGIO ESTADUAL LINDEMBERGUE CARDOSO</v>
      </c>
      <c r="H1513" s="119" t="s">
        <v>8515</v>
      </c>
      <c r="I1513" s="91" t="s">
        <v>8516</v>
      </c>
      <c r="J1513" s="83" t="s">
        <v>8517</v>
      </c>
      <c r="K1513" s="83" t="s">
        <v>150</v>
      </c>
      <c r="L1513" s="83" t="s">
        <v>151</v>
      </c>
      <c r="M1513" s="83" t="s">
        <v>169</v>
      </c>
      <c r="N1513" s="137" t="s">
        <v>8518</v>
      </c>
      <c r="O1513" s="98" t="s">
        <v>155</v>
      </c>
      <c r="P1513" s="99" t="str">
        <f>IFERROR(__xludf.DUMMYFUNCTION("IFERROR(VLOOKUP(AS1513,IMPORTRANGE(""https://docs.google.com/spreadsheets/d/1juPI-Fb8LD0YtltB2mlGEnp_R3UVu1t3wSFPzgCyHXE/edit?gid=0#gid=0"",""GERAL!A2:C""),3,0),""-"")"),"-")</f>
        <v>-</v>
      </c>
      <c r="Q1513" s="83"/>
      <c r="R1513" s="83"/>
      <c r="S1513" s="83"/>
      <c r="T1513" s="83"/>
      <c r="U1513" s="83"/>
      <c r="V1513" s="83"/>
      <c r="W1513" s="83"/>
      <c r="X1513" s="83"/>
      <c r="Y1513" s="83"/>
      <c r="Z1513" s="83"/>
      <c r="AA1513" s="83"/>
      <c r="AB1513" s="83"/>
      <c r="AC1513" s="83"/>
      <c r="AD1513" s="83"/>
      <c r="AE1513" s="83"/>
      <c r="AF1513" s="83"/>
      <c r="AG1513" s="83"/>
      <c r="AH1513" s="83"/>
      <c r="AI1513" s="83"/>
      <c r="AJ1513" s="83"/>
      <c r="AK1513" s="83"/>
      <c r="AL1513" s="83"/>
      <c r="AM1513" s="83"/>
      <c r="AN1513" s="83"/>
      <c r="AO1513" s="83"/>
      <c r="AP1513" s="83"/>
      <c r="AQ1513" s="83"/>
      <c r="AR1513" s="83"/>
      <c r="AS1513" s="83">
        <v>1176446.0</v>
      </c>
    </row>
    <row r="1514" ht="15.75" customHeight="1">
      <c r="A1514" s="111" t="s">
        <v>1785</v>
      </c>
      <c r="B1514" s="83" t="s">
        <v>1994</v>
      </c>
      <c r="C1514" s="83" t="s">
        <v>68</v>
      </c>
      <c r="D1514" s="112">
        <v>1101333.0</v>
      </c>
      <c r="E1514" s="83"/>
      <c r="F1514" s="83">
        <v>2.9185351E7</v>
      </c>
      <c r="G1514" s="91" t="str">
        <f>IFERROR(__xludf.DUMMYFUNCTION("XLOOKUP(AS1514,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LEDA JESUÍNO DOS SANTOS - TEMPO INTEGRAL")</f>
        <v>COLÉGIO ESTADUAL LEDA JESUÍNO DOS SANTOS - TEMPO INTEGRAL</v>
      </c>
      <c r="H1514" s="114" t="s">
        <v>8519</v>
      </c>
      <c r="I1514" s="91" t="s">
        <v>8520</v>
      </c>
      <c r="J1514" s="83" t="s">
        <v>8183</v>
      </c>
      <c r="K1514" s="83" t="s">
        <v>150</v>
      </c>
      <c r="L1514" s="83" t="s">
        <v>151</v>
      </c>
      <c r="M1514" s="83" t="s">
        <v>76</v>
      </c>
      <c r="N1514" s="137" t="s">
        <v>8521</v>
      </c>
      <c r="O1514" s="98" t="s">
        <v>155</v>
      </c>
      <c r="P1514" s="99" t="str">
        <f>IFERROR(__xludf.DUMMYFUNCTION("IFERROR(VLOOKUP(AS1514,IMPORTRANGE(""https://docs.google.com/spreadsheets/d/1juPI-Fb8LD0YtltB2mlGEnp_R3UVu1t3wSFPzgCyHXE/edit?gid=0#gid=0"",""GERAL!A2:C""),3,0),""-"")"),"-")</f>
        <v>-</v>
      </c>
      <c r="Q1514" s="83"/>
      <c r="R1514" s="83"/>
      <c r="S1514" s="83"/>
      <c r="T1514" s="83"/>
      <c r="U1514" s="83"/>
      <c r="V1514" s="83"/>
      <c r="W1514" s="83"/>
      <c r="X1514" s="83"/>
      <c r="Y1514" s="83"/>
      <c r="Z1514" s="83"/>
      <c r="AA1514" s="83"/>
      <c r="AB1514" s="83"/>
      <c r="AC1514" s="83"/>
      <c r="AD1514" s="83"/>
      <c r="AE1514" s="83"/>
      <c r="AF1514" s="83"/>
      <c r="AG1514" s="83"/>
      <c r="AH1514" s="83"/>
      <c r="AI1514" s="83"/>
      <c r="AJ1514" s="83"/>
      <c r="AK1514" s="83"/>
      <c r="AL1514" s="83"/>
      <c r="AM1514" s="83"/>
      <c r="AN1514" s="83"/>
      <c r="AO1514" s="83"/>
      <c r="AP1514" s="83"/>
      <c r="AQ1514" s="83"/>
      <c r="AR1514" s="83"/>
      <c r="AS1514" s="83">
        <v>1101333.0</v>
      </c>
    </row>
    <row r="1515" ht="15.75" customHeight="1">
      <c r="A1515" s="111" t="s">
        <v>1785</v>
      </c>
      <c r="B1515" s="83" t="s">
        <v>1994</v>
      </c>
      <c r="C1515" s="83" t="s">
        <v>68</v>
      </c>
      <c r="D1515" s="112">
        <v>1102445.0</v>
      </c>
      <c r="E1515" s="83"/>
      <c r="F1515" s="83">
        <v>2.9191009E7</v>
      </c>
      <c r="G1515" s="91" t="str">
        <f>IFERROR(__xludf.DUMMYFUNCTION("XLOOKUP(AS1515,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KLEBER PACHECO - TEMPO INTEGRAL")</f>
        <v>COLÉGIO ESTADUAL KLEBER PACHECO - TEMPO INTEGRAL</v>
      </c>
      <c r="H1515" s="114" t="s">
        <v>8523</v>
      </c>
      <c r="I1515" s="91" t="s">
        <v>8524</v>
      </c>
      <c r="J1515" s="83" t="s">
        <v>8158</v>
      </c>
      <c r="K1515" s="83" t="s">
        <v>150</v>
      </c>
      <c r="L1515" s="83" t="s">
        <v>151</v>
      </c>
      <c r="M1515" s="83" t="s">
        <v>152</v>
      </c>
      <c r="N1515" s="137" t="s">
        <v>8525</v>
      </c>
      <c r="O1515" s="98" t="s">
        <v>155</v>
      </c>
      <c r="P1515" s="99" t="str">
        <f>IFERROR(__xludf.DUMMYFUNCTION("IFERROR(VLOOKUP(AS1515,IMPORTRANGE(""https://docs.google.com/spreadsheets/d/1juPI-Fb8LD0YtltB2mlGEnp_R3UVu1t3wSFPzgCyHXE/edit?gid=0#gid=0"",""GERAL!A2:C""),3,0),""-"")"),"-")</f>
        <v>-</v>
      </c>
      <c r="Q1515" s="83"/>
      <c r="R1515" s="83"/>
      <c r="S1515" s="83"/>
      <c r="T1515" s="83"/>
      <c r="U1515" s="83"/>
      <c r="V1515" s="83"/>
      <c r="W1515" s="83"/>
      <c r="X1515" s="83"/>
      <c r="Y1515" s="83"/>
      <c r="Z1515" s="83"/>
      <c r="AA1515" s="83"/>
      <c r="AB1515" s="83"/>
      <c r="AC1515" s="83"/>
      <c r="AD1515" s="83"/>
      <c r="AE1515" s="83"/>
      <c r="AF1515" s="83"/>
      <c r="AG1515" s="83"/>
      <c r="AH1515" s="83"/>
      <c r="AI1515" s="83"/>
      <c r="AJ1515" s="83"/>
      <c r="AK1515" s="83"/>
      <c r="AL1515" s="83"/>
      <c r="AM1515" s="83"/>
      <c r="AN1515" s="83"/>
      <c r="AO1515" s="83"/>
      <c r="AP1515" s="83"/>
      <c r="AQ1515" s="83"/>
      <c r="AR1515" s="83"/>
      <c r="AS1515" s="83">
        <v>1102445.0</v>
      </c>
    </row>
    <row r="1516" ht="15.75" customHeight="1">
      <c r="A1516" s="111" t="s">
        <v>1785</v>
      </c>
      <c r="B1516" s="83" t="s">
        <v>1994</v>
      </c>
      <c r="C1516" s="83" t="s">
        <v>68</v>
      </c>
      <c r="D1516" s="112">
        <v>1102364.0</v>
      </c>
      <c r="E1516" s="83"/>
      <c r="F1516" s="83">
        <v>2.9188768E7</v>
      </c>
      <c r="G1516" s="91" t="str">
        <f>IFERROR(__xludf.DUMMYFUNCTION("XLOOKUP(AS1516,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JOSIAS DE ALMEIDA MELO")</f>
        <v>COLÉGIO ESTADUAL JOSIAS DE ALMEIDA MELO</v>
      </c>
      <c r="H1516" s="114" t="s">
        <v>8526</v>
      </c>
      <c r="I1516" s="91" t="s">
        <v>8527</v>
      </c>
      <c r="J1516" s="83" t="s">
        <v>8417</v>
      </c>
      <c r="K1516" s="83" t="s">
        <v>150</v>
      </c>
      <c r="L1516" s="83" t="s">
        <v>151</v>
      </c>
      <c r="M1516" s="83" t="s">
        <v>152</v>
      </c>
      <c r="N1516" s="137" t="s">
        <v>8528</v>
      </c>
      <c r="O1516" s="98" t="s">
        <v>155</v>
      </c>
      <c r="P1516" s="99" t="str">
        <f>IFERROR(__xludf.DUMMYFUNCTION("IFERROR(VLOOKUP(AS1516,IMPORTRANGE(""https://docs.google.com/spreadsheets/d/1juPI-Fb8LD0YtltB2mlGEnp_R3UVu1t3wSFPzgCyHXE/edit?gid=0#gid=0"",""GERAL!A2:C""),3,0),""-"")"),"-")</f>
        <v>-</v>
      </c>
      <c r="Q1516" s="83"/>
      <c r="R1516" s="83"/>
      <c r="S1516" s="83"/>
      <c r="T1516" s="83"/>
      <c r="U1516" s="83"/>
      <c r="V1516" s="83"/>
      <c r="W1516" s="83"/>
      <c r="X1516" s="83"/>
      <c r="Y1516" s="83"/>
      <c r="Z1516" s="83"/>
      <c r="AA1516" s="83"/>
      <c r="AB1516" s="83"/>
      <c r="AC1516" s="83"/>
      <c r="AD1516" s="83"/>
      <c r="AE1516" s="83"/>
      <c r="AF1516" s="83"/>
      <c r="AG1516" s="83"/>
      <c r="AH1516" s="83"/>
      <c r="AI1516" s="83"/>
      <c r="AJ1516" s="83"/>
      <c r="AK1516" s="83"/>
      <c r="AL1516" s="83"/>
      <c r="AM1516" s="83"/>
      <c r="AN1516" s="83"/>
      <c r="AO1516" s="83"/>
      <c r="AP1516" s="83"/>
      <c r="AQ1516" s="83"/>
      <c r="AR1516" s="83"/>
      <c r="AS1516" s="83">
        <v>1102364.0</v>
      </c>
    </row>
    <row r="1517" ht="15.75" customHeight="1">
      <c r="A1517" s="111" t="s">
        <v>1785</v>
      </c>
      <c r="B1517" s="83" t="s">
        <v>1994</v>
      </c>
      <c r="C1517" s="83" t="s">
        <v>68</v>
      </c>
      <c r="D1517" s="112">
        <v>1101988.0</v>
      </c>
      <c r="E1517" s="83"/>
      <c r="F1517" s="83">
        <v>2.9190991E7</v>
      </c>
      <c r="G1517" s="91" t="str">
        <f>IFERROR(__xludf.DUMMYFUNCTION("XLOOKUP(AS1517,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JOÃO DAS BOTAS")</f>
        <v>COLÉGIO ESTADUAL JOÃO DAS BOTAS</v>
      </c>
      <c r="H1517" s="114" t="s">
        <v>8529</v>
      </c>
      <c r="I1517" s="91" t="s">
        <v>8530</v>
      </c>
      <c r="J1517" s="83" t="s">
        <v>426</v>
      </c>
      <c r="K1517" s="83" t="s">
        <v>150</v>
      </c>
      <c r="L1517" s="83" t="s">
        <v>151</v>
      </c>
      <c r="M1517" s="83" t="s">
        <v>76</v>
      </c>
      <c r="N1517" s="137" t="s">
        <v>8532</v>
      </c>
      <c r="O1517" s="98" t="s">
        <v>155</v>
      </c>
      <c r="P1517" s="99" t="str">
        <f>IFERROR(__xludf.DUMMYFUNCTION("IFERROR(VLOOKUP(AS1517,IMPORTRANGE(""https://docs.google.com/spreadsheets/d/1juPI-Fb8LD0YtltB2mlGEnp_R3UVu1t3wSFPzgCyHXE/edit?gid=0#gid=0"",""GERAL!A2:C""),3,0),""-"")"),"-")</f>
        <v>-</v>
      </c>
      <c r="Q1517" s="83"/>
      <c r="R1517" s="83"/>
      <c r="S1517" s="83"/>
      <c r="T1517" s="83"/>
      <c r="U1517" s="83"/>
      <c r="V1517" s="83"/>
      <c r="W1517" s="83"/>
      <c r="X1517" s="83"/>
      <c r="Y1517" s="83"/>
      <c r="Z1517" s="83"/>
      <c r="AA1517" s="83"/>
      <c r="AB1517" s="83"/>
      <c r="AC1517" s="83"/>
      <c r="AD1517" s="83"/>
      <c r="AE1517" s="83"/>
      <c r="AF1517" s="83"/>
      <c r="AG1517" s="83"/>
      <c r="AH1517" s="83"/>
      <c r="AI1517" s="83"/>
      <c r="AJ1517" s="83"/>
      <c r="AK1517" s="83"/>
      <c r="AL1517" s="83"/>
      <c r="AM1517" s="83"/>
      <c r="AN1517" s="83"/>
      <c r="AO1517" s="83"/>
      <c r="AP1517" s="83"/>
      <c r="AQ1517" s="83"/>
      <c r="AR1517" s="83"/>
      <c r="AS1517" s="83">
        <v>1101988.0</v>
      </c>
    </row>
    <row r="1518" ht="15.75" customHeight="1">
      <c r="A1518" s="111" t="s">
        <v>1785</v>
      </c>
      <c r="B1518" s="83" t="s">
        <v>1994</v>
      </c>
      <c r="C1518" s="83" t="s">
        <v>68</v>
      </c>
      <c r="D1518" s="112">
        <v>1101953.0</v>
      </c>
      <c r="E1518" s="83"/>
      <c r="F1518" s="83">
        <v>2.9193095E7</v>
      </c>
      <c r="G1518" s="91" t="str">
        <f>IFERROR(__xludf.DUMMYFUNCTION("XLOOKUP(AS1518,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JOAO CARIBE")</f>
        <v>COLÉGIO ESTADUAL JOAO CARIBE</v>
      </c>
      <c r="H1518" s="119" t="s">
        <v>8539</v>
      </c>
      <c r="I1518" s="91" t="s">
        <v>8540</v>
      </c>
      <c r="J1518" s="83" t="s">
        <v>8502</v>
      </c>
      <c r="K1518" s="83" t="s">
        <v>150</v>
      </c>
      <c r="L1518" s="83" t="s">
        <v>151</v>
      </c>
      <c r="M1518" s="83" t="s">
        <v>76</v>
      </c>
      <c r="N1518" s="137" t="s">
        <v>8541</v>
      </c>
      <c r="O1518" s="98" t="s">
        <v>155</v>
      </c>
      <c r="P1518" s="99" t="str">
        <f>IFERROR(__xludf.DUMMYFUNCTION("IFERROR(VLOOKUP(AS1518,IMPORTRANGE(""https://docs.google.com/spreadsheets/d/1juPI-Fb8LD0YtltB2mlGEnp_R3UVu1t3wSFPzgCyHXE/edit?gid=0#gid=0"",""GERAL!A2:C""),3,0),""-"")"),"-")</f>
        <v>-</v>
      </c>
      <c r="Q1518" s="83"/>
      <c r="R1518" s="83"/>
      <c r="S1518" s="83"/>
      <c r="T1518" s="83"/>
      <c r="U1518" s="83"/>
      <c r="V1518" s="83"/>
      <c r="W1518" s="83"/>
      <c r="X1518" s="83"/>
      <c r="Y1518" s="83"/>
      <c r="Z1518" s="83"/>
      <c r="AA1518" s="83"/>
      <c r="AB1518" s="83"/>
      <c r="AC1518" s="83"/>
      <c r="AD1518" s="83"/>
      <c r="AE1518" s="83"/>
      <c r="AF1518" s="83"/>
      <c r="AG1518" s="83"/>
      <c r="AH1518" s="83"/>
      <c r="AI1518" s="83"/>
      <c r="AJ1518" s="83"/>
      <c r="AK1518" s="83"/>
      <c r="AL1518" s="83"/>
      <c r="AM1518" s="83"/>
      <c r="AN1518" s="83"/>
      <c r="AO1518" s="83"/>
      <c r="AP1518" s="83"/>
      <c r="AQ1518" s="83"/>
      <c r="AR1518" s="83"/>
      <c r="AS1518" s="83">
        <v>1101953.0</v>
      </c>
    </row>
    <row r="1519" ht="15.75" customHeight="1">
      <c r="A1519" s="111" t="s">
        <v>1785</v>
      </c>
      <c r="B1519" s="83" t="s">
        <v>1994</v>
      </c>
      <c r="C1519" s="83" t="s">
        <v>68</v>
      </c>
      <c r="D1519" s="112">
        <v>1104413.0</v>
      </c>
      <c r="E1519" s="83"/>
      <c r="F1519" s="83">
        <v>2.919279E7</v>
      </c>
      <c r="G1519" s="91" t="str">
        <f>IFERROR(__xludf.DUMMYFUNCTION("XLOOKUP(AS1519,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HENRIQUETA MARTINS CATHARINO")</f>
        <v>COLÉGIO ESTADUAL HENRIQUETA MARTINS CATHARINO</v>
      </c>
      <c r="H1519" s="119" t="s">
        <v>8543</v>
      </c>
      <c r="I1519" s="91" t="s">
        <v>8544</v>
      </c>
      <c r="J1519" s="83" t="s">
        <v>8545</v>
      </c>
      <c r="K1519" s="83" t="s">
        <v>150</v>
      </c>
      <c r="L1519" s="83" t="s">
        <v>151</v>
      </c>
      <c r="M1519" s="83" t="s">
        <v>152</v>
      </c>
      <c r="N1519" s="137" t="s">
        <v>8546</v>
      </c>
      <c r="O1519" s="98" t="s">
        <v>155</v>
      </c>
      <c r="P1519" s="99" t="str">
        <f>IFERROR(__xludf.DUMMYFUNCTION("IFERROR(VLOOKUP(AS1519,IMPORTRANGE(""https://docs.google.com/spreadsheets/d/1juPI-Fb8LD0YtltB2mlGEnp_R3UVu1t3wSFPzgCyHXE/edit?gid=0#gid=0"",""GERAL!A2:C""),3,0),""-"")"),"-")</f>
        <v>-</v>
      </c>
      <c r="Q1519" s="83"/>
      <c r="R1519" s="83"/>
      <c r="S1519" s="83"/>
      <c r="T1519" s="83"/>
      <c r="U1519" s="83"/>
      <c r="V1519" s="83"/>
      <c r="W1519" s="83"/>
      <c r="X1519" s="83"/>
      <c r="Y1519" s="83"/>
      <c r="Z1519" s="83"/>
      <c r="AA1519" s="83"/>
      <c r="AB1519" s="83"/>
      <c r="AC1519" s="83"/>
      <c r="AD1519" s="83"/>
      <c r="AE1519" s="83"/>
      <c r="AF1519" s="83"/>
      <c r="AG1519" s="83"/>
      <c r="AH1519" s="83"/>
      <c r="AI1519" s="83"/>
      <c r="AJ1519" s="83"/>
      <c r="AK1519" s="83"/>
      <c r="AL1519" s="83"/>
      <c r="AM1519" s="83"/>
      <c r="AN1519" s="83"/>
      <c r="AO1519" s="83"/>
      <c r="AP1519" s="83"/>
      <c r="AQ1519" s="83"/>
      <c r="AR1519" s="83"/>
      <c r="AS1519" s="83">
        <v>1104413.0</v>
      </c>
    </row>
    <row r="1520" ht="15.75" customHeight="1">
      <c r="A1520" s="111" t="s">
        <v>1785</v>
      </c>
      <c r="B1520" s="83" t="s">
        <v>1994</v>
      </c>
      <c r="C1520" s="83" t="s">
        <v>68</v>
      </c>
      <c r="D1520" s="112">
        <v>1103220.0</v>
      </c>
      <c r="E1520" s="83"/>
      <c r="F1520" s="83">
        <v>2.9182042E7</v>
      </c>
      <c r="G1520" s="91" t="str">
        <f>IFERROR(__xludf.DUMMYFUNCTION("XLOOKUP(AS1520,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HELENA CELESTINO MAGALHÃES - TEMPO INTEGRAL")</f>
        <v>COLÉGIO ESTADUAL HELENA CELESTINO MAGALHÃES - TEMPO INTEGRAL</v>
      </c>
      <c r="H1520" s="114" t="s">
        <v>8551</v>
      </c>
      <c r="I1520" s="91" t="s">
        <v>8552</v>
      </c>
      <c r="J1520" s="83" t="s">
        <v>8553</v>
      </c>
      <c r="K1520" s="83" t="s">
        <v>150</v>
      </c>
      <c r="L1520" s="83" t="s">
        <v>151</v>
      </c>
      <c r="M1520" s="83" t="s">
        <v>152</v>
      </c>
      <c r="N1520" s="137" t="s">
        <v>8554</v>
      </c>
      <c r="O1520" s="98" t="s">
        <v>155</v>
      </c>
      <c r="P1520" s="99" t="str">
        <f>IFERROR(__xludf.DUMMYFUNCTION("IFERROR(VLOOKUP(AS1520,IMPORTRANGE(""https://docs.google.com/spreadsheets/d/1juPI-Fb8LD0YtltB2mlGEnp_R3UVu1t3wSFPzgCyHXE/edit?gid=0#gid=0"",""GERAL!A2:C""),3,0),""-"")"),"-")</f>
        <v>-</v>
      </c>
      <c r="Q1520" s="83"/>
      <c r="R1520" s="83"/>
      <c r="S1520" s="83"/>
      <c r="T1520" s="83"/>
      <c r="U1520" s="83"/>
      <c r="V1520" s="83"/>
      <c r="W1520" s="83"/>
      <c r="X1520" s="83"/>
      <c r="Y1520" s="83"/>
      <c r="Z1520" s="83"/>
      <c r="AA1520" s="83"/>
      <c r="AB1520" s="83"/>
      <c r="AC1520" s="83"/>
      <c r="AD1520" s="83"/>
      <c r="AE1520" s="83"/>
      <c r="AF1520" s="83"/>
      <c r="AG1520" s="83"/>
      <c r="AH1520" s="83"/>
      <c r="AI1520" s="83"/>
      <c r="AJ1520" s="83"/>
      <c r="AK1520" s="83"/>
      <c r="AL1520" s="83"/>
      <c r="AM1520" s="83"/>
      <c r="AN1520" s="83"/>
      <c r="AO1520" s="83"/>
      <c r="AP1520" s="83"/>
      <c r="AQ1520" s="83"/>
      <c r="AR1520" s="83"/>
      <c r="AS1520" s="83">
        <v>1103220.0</v>
      </c>
    </row>
    <row r="1521" ht="15.75" customHeight="1">
      <c r="A1521" s="111" t="s">
        <v>1785</v>
      </c>
      <c r="B1521" s="83" t="s">
        <v>1994</v>
      </c>
      <c r="C1521" s="83" t="s">
        <v>68</v>
      </c>
      <c r="D1521" s="112">
        <v>1136498.0</v>
      </c>
      <c r="E1521" s="83"/>
      <c r="F1521" s="83">
        <v>2.9190967E7</v>
      </c>
      <c r="G1521" s="91" t="str">
        <f>IFERROR(__xludf.DUMMYFUNCTION("XLOOKUP(AS1521,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GOVERNADOR OTAVIO MANGABEIRA")</f>
        <v>COLÉGIO ESTADUAL GOVERNADOR OTAVIO MANGABEIRA</v>
      </c>
      <c r="H1521" s="119" t="s">
        <v>8558</v>
      </c>
      <c r="I1521" s="91" t="s">
        <v>8560</v>
      </c>
      <c r="J1521" s="83" t="s">
        <v>8561</v>
      </c>
      <c r="K1521" s="83" t="s">
        <v>150</v>
      </c>
      <c r="L1521" s="83" t="s">
        <v>151</v>
      </c>
      <c r="M1521" s="83" t="s">
        <v>152</v>
      </c>
      <c r="N1521" s="137" t="s">
        <v>8563</v>
      </c>
      <c r="O1521" s="98" t="s">
        <v>155</v>
      </c>
      <c r="P1521" s="99" t="str">
        <f>IFERROR(__xludf.DUMMYFUNCTION("IFERROR(VLOOKUP(AS1521,IMPORTRANGE(""https://docs.google.com/spreadsheets/d/1juPI-Fb8LD0YtltB2mlGEnp_R3UVu1t3wSFPzgCyHXE/edit?gid=0#gid=0"",""GERAL!A2:C""),3,0),""-"")"),"-")</f>
        <v>-</v>
      </c>
      <c r="Q1521" s="83"/>
      <c r="R1521" s="83"/>
      <c r="S1521" s="83"/>
      <c r="T1521" s="83"/>
      <c r="U1521" s="83"/>
      <c r="V1521" s="83"/>
      <c r="W1521" s="83"/>
      <c r="X1521" s="83"/>
      <c r="Y1521" s="83"/>
      <c r="Z1521" s="83"/>
      <c r="AA1521" s="83"/>
      <c r="AB1521" s="83"/>
      <c r="AC1521" s="83"/>
      <c r="AD1521" s="83"/>
      <c r="AE1521" s="83"/>
      <c r="AF1521" s="83"/>
      <c r="AG1521" s="83"/>
      <c r="AH1521" s="83"/>
      <c r="AI1521" s="83"/>
      <c r="AJ1521" s="83"/>
      <c r="AK1521" s="83"/>
      <c r="AL1521" s="83"/>
      <c r="AM1521" s="83"/>
      <c r="AN1521" s="83"/>
      <c r="AO1521" s="83"/>
      <c r="AP1521" s="83"/>
      <c r="AQ1521" s="83"/>
      <c r="AR1521" s="83"/>
      <c r="AS1521" s="83">
        <v>1136498.0</v>
      </c>
    </row>
    <row r="1522" ht="15.75" customHeight="1">
      <c r="A1522" s="111" t="s">
        <v>1785</v>
      </c>
      <c r="B1522" s="83" t="s">
        <v>1994</v>
      </c>
      <c r="C1522" s="83" t="s">
        <v>68</v>
      </c>
      <c r="D1522" s="112">
        <v>1101899.0</v>
      </c>
      <c r="E1522" s="83"/>
      <c r="F1522" s="83">
        <v>2.9181488E7</v>
      </c>
      <c r="G1522" s="91" t="str">
        <f>IFERROR(__xludf.DUMMYFUNCTION("XLOOKUP(AS1522,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LOMANTO JUNIOR")</f>
        <v>COLÉGIO ESTADUAL DE TEMPO INTEGRAL LOMANTO JUNIOR</v>
      </c>
      <c r="H1522" s="119" t="s">
        <v>8565</v>
      </c>
      <c r="I1522" s="91" t="s">
        <v>8566</v>
      </c>
      <c r="J1522" s="83" t="s">
        <v>8219</v>
      </c>
      <c r="K1522" s="83" t="s">
        <v>150</v>
      </c>
      <c r="L1522" s="83" t="s">
        <v>151</v>
      </c>
      <c r="M1522" s="83" t="s">
        <v>152</v>
      </c>
      <c r="N1522" s="137" t="s">
        <v>8567</v>
      </c>
      <c r="O1522" s="98" t="s">
        <v>284</v>
      </c>
      <c r="P1522" s="99" t="str">
        <f>IFERROR(__xludf.DUMMYFUNCTION("IFERROR(VLOOKUP(AS1522,IMPORTRANGE(""https://docs.google.com/spreadsheets/d/1juPI-Fb8LD0YtltB2mlGEnp_R3UVu1t3wSFPzgCyHXE/edit?gid=0#gid=0"",""GERAL!A2:C""),3,0),""-"")"),"-")</f>
        <v>-</v>
      </c>
      <c r="Q1522" s="83"/>
      <c r="R1522" s="83"/>
      <c r="S1522" s="83"/>
      <c r="T1522" s="83"/>
      <c r="U1522" s="83"/>
      <c r="V1522" s="83"/>
      <c r="W1522" s="83"/>
      <c r="X1522" s="83"/>
      <c r="Y1522" s="83"/>
      <c r="Z1522" s="83"/>
      <c r="AA1522" s="83"/>
      <c r="AB1522" s="83"/>
      <c r="AC1522" s="83"/>
      <c r="AD1522" s="83"/>
      <c r="AE1522" s="83"/>
      <c r="AF1522" s="83"/>
      <c r="AG1522" s="83"/>
      <c r="AH1522" s="83"/>
      <c r="AI1522" s="83"/>
      <c r="AJ1522" s="83"/>
      <c r="AK1522" s="83"/>
      <c r="AL1522" s="83"/>
      <c r="AM1522" s="83"/>
      <c r="AN1522" s="83"/>
      <c r="AO1522" s="83"/>
      <c r="AP1522" s="83"/>
      <c r="AQ1522" s="83"/>
      <c r="AR1522" s="83"/>
      <c r="AS1522" s="83">
        <v>1101899.0</v>
      </c>
    </row>
    <row r="1523" ht="15.75" customHeight="1">
      <c r="A1523" s="111" t="s">
        <v>1785</v>
      </c>
      <c r="B1523" s="83" t="s">
        <v>1994</v>
      </c>
      <c r="C1523" s="83" t="s">
        <v>68</v>
      </c>
      <c r="D1523" s="112">
        <v>1101872.0</v>
      </c>
      <c r="E1523" s="83"/>
      <c r="F1523" s="83">
        <v>2.9182166E7</v>
      </c>
      <c r="G1523" s="91" t="str">
        <f>IFERROR(__xludf.DUMMYFUNCTION("XLOOKUP(AS1523,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GOES CALMON")</f>
        <v>COLÉGIO ESTADUAL GOES CALMON</v>
      </c>
      <c r="H1523" s="114" t="s">
        <v>8568</v>
      </c>
      <c r="I1523" s="91" t="s">
        <v>8569</v>
      </c>
      <c r="J1523" s="83" t="s">
        <v>8570</v>
      </c>
      <c r="K1523" s="83" t="s">
        <v>150</v>
      </c>
      <c r="L1523" s="83" t="s">
        <v>151</v>
      </c>
      <c r="M1523" s="83" t="s">
        <v>152</v>
      </c>
      <c r="N1523" s="137" t="s">
        <v>8571</v>
      </c>
      <c r="O1523" s="98" t="s">
        <v>155</v>
      </c>
      <c r="P1523" s="99" t="str">
        <f>IFERROR(__xludf.DUMMYFUNCTION("IFERROR(VLOOKUP(AS1523,IMPORTRANGE(""https://docs.google.com/spreadsheets/d/1juPI-Fb8LD0YtltB2mlGEnp_R3UVu1t3wSFPzgCyHXE/edit?gid=0#gid=0"",""GERAL!A2:C""),3,0),""-"")"),"-")</f>
        <v>-</v>
      </c>
      <c r="Q1523" s="83"/>
      <c r="R1523" s="83"/>
      <c r="S1523" s="83"/>
      <c r="T1523" s="83"/>
      <c r="U1523" s="83"/>
      <c r="V1523" s="83"/>
      <c r="W1523" s="83"/>
      <c r="X1523" s="83"/>
      <c r="Y1523" s="83"/>
      <c r="Z1523" s="83"/>
      <c r="AA1523" s="83"/>
      <c r="AB1523" s="83"/>
      <c r="AC1523" s="83"/>
      <c r="AD1523" s="83"/>
      <c r="AE1523" s="83"/>
      <c r="AF1523" s="83"/>
      <c r="AG1523" s="83"/>
      <c r="AH1523" s="83"/>
      <c r="AI1523" s="83"/>
      <c r="AJ1523" s="83"/>
      <c r="AK1523" s="83"/>
      <c r="AL1523" s="83"/>
      <c r="AM1523" s="83"/>
      <c r="AN1523" s="83"/>
      <c r="AO1523" s="83"/>
      <c r="AP1523" s="83"/>
      <c r="AQ1523" s="83"/>
      <c r="AR1523" s="83"/>
      <c r="AS1523" s="83">
        <v>1101872.0</v>
      </c>
    </row>
    <row r="1524" ht="15.75" customHeight="1">
      <c r="A1524" s="111" t="s">
        <v>1785</v>
      </c>
      <c r="B1524" s="83" t="s">
        <v>1994</v>
      </c>
      <c r="C1524" s="83" t="s">
        <v>68</v>
      </c>
      <c r="D1524" s="112">
        <v>1176205.0</v>
      </c>
      <c r="E1524" s="83"/>
      <c r="F1524" s="83">
        <v>2.9359597E7</v>
      </c>
      <c r="G1524" s="91" t="str">
        <f>IFERROR(__xludf.DUMMYFUNCTION("XLOOKUP(AS1524,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FRANCISCO DA CONCEICAO MENEZES")</f>
        <v>COLÉGIO ESTADUAL FRANCISCO DA CONCEICAO MENEZES</v>
      </c>
      <c r="H1524" s="119" t="s">
        <v>8574</v>
      </c>
      <c r="I1524" s="91" t="s">
        <v>8575</v>
      </c>
      <c r="J1524" s="83" t="s">
        <v>8133</v>
      </c>
      <c r="K1524" s="83" t="s">
        <v>150</v>
      </c>
      <c r="L1524" s="83" t="s">
        <v>151</v>
      </c>
      <c r="M1524" s="83" t="s">
        <v>152</v>
      </c>
      <c r="N1524" s="137" t="s">
        <v>8576</v>
      </c>
      <c r="O1524" s="98" t="s">
        <v>155</v>
      </c>
      <c r="P1524" s="99" t="str">
        <f>IFERROR(__xludf.DUMMYFUNCTION("IFERROR(VLOOKUP(AS1524,IMPORTRANGE(""https://docs.google.com/spreadsheets/d/1juPI-Fb8LD0YtltB2mlGEnp_R3UVu1t3wSFPzgCyHXE/edit?gid=0#gid=0"",""GERAL!A2:C""),3,0),""-"")"),"-")</f>
        <v>-</v>
      </c>
      <c r="Q1524" s="83"/>
      <c r="R1524" s="83"/>
      <c r="S1524" s="83"/>
      <c r="T1524" s="83"/>
      <c r="U1524" s="83"/>
      <c r="V1524" s="83"/>
      <c r="W1524" s="83"/>
      <c r="X1524" s="83"/>
      <c r="Y1524" s="83"/>
      <c r="Z1524" s="83"/>
      <c r="AA1524" s="83"/>
      <c r="AB1524" s="83"/>
      <c r="AC1524" s="83"/>
      <c r="AD1524" s="83"/>
      <c r="AE1524" s="83"/>
      <c r="AF1524" s="83"/>
      <c r="AG1524" s="83"/>
      <c r="AH1524" s="83"/>
      <c r="AI1524" s="83"/>
      <c r="AJ1524" s="83"/>
      <c r="AK1524" s="83"/>
      <c r="AL1524" s="83"/>
      <c r="AM1524" s="83"/>
      <c r="AN1524" s="83"/>
      <c r="AO1524" s="83"/>
      <c r="AP1524" s="83"/>
      <c r="AQ1524" s="83"/>
      <c r="AR1524" s="83"/>
      <c r="AS1524" s="83">
        <v>1176205.0</v>
      </c>
    </row>
    <row r="1525" ht="15.75" customHeight="1">
      <c r="A1525" s="111" t="s">
        <v>1785</v>
      </c>
      <c r="B1525" s="83" t="s">
        <v>1994</v>
      </c>
      <c r="C1525" s="83" t="s">
        <v>68</v>
      </c>
      <c r="D1525" s="112">
        <v>1102976.0</v>
      </c>
      <c r="E1525" s="83"/>
      <c r="F1525" s="83">
        <v>2.9190932E7</v>
      </c>
      <c r="G1525" s="91" t="str">
        <f>IFERROR(__xludf.DUMMYFUNCTION("XLOOKUP(AS1525,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EURICLES DE MATOS")</f>
        <v>COLÉGIO ESTADUAL EURICLES DE MATOS</v>
      </c>
      <c r="H1525" s="114" t="s">
        <v>8577</v>
      </c>
      <c r="I1525" s="91" t="s">
        <v>8578</v>
      </c>
      <c r="J1525" s="83" t="s">
        <v>8579</v>
      </c>
      <c r="K1525" s="83" t="s">
        <v>150</v>
      </c>
      <c r="L1525" s="83" t="s">
        <v>151</v>
      </c>
      <c r="M1525" s="83" t="s">
        <v>152</v>
      </c>
      <c r="N1525" s="137" t="s">
        <v>8580</v>
      </c>
      <c r="O1525" s="98" t="s">
        <v>155</v>
      </c>
      <c r="P1525" s="99" t="str">
        <f>IFERROR(__xludf.DUMMYFUNCTION("IFERROR(VLOOKUP(AS1525,IMPORTRANGE(""https://docs.google.com/spreadsheets/d/1juPI-Fb8LD0YtltB2mlGEnp_R3UVu1t3wSFPzgCyHXE/edit?gid=0#gid=0"",""GERAL!A2:C""),3,0),""-"")"),"-")</f>
        <v>-</v>
      </c>
      <c r="Q1525" s="83"/>
      <c r="R1525" s="83"/>
      <c r="S1525" s="83"/>
      <c r="T1525" s="83"/>
      <c r="U1525" s="83"/>
      <c r="V1525" s="83"/>
      <c r="W1525" s="83"/>
      <c r="X1525" s="83"/>
      <c r="Y1525" s="83"/>
      <c r="Z1525" s="83"/>
      <c r="AA1525" s="83"/>
      <c r="AB1525" s="83"/>
      <c r="AC1525" s="83"/>
      <c r="AD1525" s="83"/>
      <c r="AE1525" s="83"/>
      <c r="AF1525" s="83"/>
      <c r="AG1525" s="83"/>
      <c r="AH1525" s="83"/>
      <c r="AI1525" s="83"/>
      <c r="AJ1525" s="83"/>
      <c r="AK1525" s="83"/>
      <c r="AL1525" s="83"/>
      <c r="AM1525" s="83"/>
      <c r="AN1525" s="83"/>
      <c r="AO1525" s="83"/>
      <c r="AP1525" s="83"/>
      <c r="AQ1525" s="83"/>
      <c r="AR1525" s="83"/>
      <c r="AS1525" s="83">
        <v>1102976.0</v>
      </c>
    </row>
    <row r="1526" ht="15.75" customHeight="1">
      <c r="A1526" s="111" t="s">
        <v>1785</v>
      </c>
      <c r="B1526" s="83" t="s">
        <v>1994</v>
      </c>
      <c r="C1526" s="83" t="s">
        <v>68</v>
      </c>
      <c r="D1526" s="112">
        <v>1101449.0</v>
      </c>
      <c r="E1526" s="83"/>
      <c r="F1526" s="83">
        <v>2.919192E7</v>
      </c>
      <c r="G1526" s="91" t="str">
        <f>IFERROR(__xludf.DUMMYFUNCTION("XLOOKUP(AS1526,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ERALDO TINOCO")</f>
        <v>COLÉGIO ESTADUAL ERALDO TINOCO</v>
      </c>
      <c r="H1526" s="114" t="s">
        <v>8582</v>
      </c>
      <c r="I1526" s="91" t="s">
        <v>8583</v>
      </c>
      <c r="J1526" s="83" t="s">
        <v>8584</v>
      </c>
      <c r="K1526" s="83" t="s">
        <v>150</v>
      </c>
      <c r="L1526" s="83" t="s">
        <v>151</v>
      </c>
      <c r="M1526" s="83" t="s">
        <v>152</v>
      </c>
      <c r="N1526" s="137" t="s">
        <v>8585</v>
      </c>
      <c r="O1526" s="98" t="s">
        <v>155</v>
      </c>
      <c r="P1526" s="99" t="str">
        <f>IFERROR(__xludf.DUMMYFUNCTION("IFERROR(VLOOKUP(AS1526,IMPORTRANGE(""https://docs.google.com/spreadsheets/d/1juPI-Fb8LD0YtltB2mlGEnp_R3UVu1t3wSFPzgCyHXE/edit?gid=0#gid=0"",""GERAL!A2:C""),3,0),""-"")"),"-")</f>
        <v>-</v>
      </c>
      <c r="Q1526" s="83"/>
      <c r="R1526" s="83"/>
      <c r="S1526" s="83"/>
      <c r="T1526" s="83"/>
      <c r="U1526" s="83"/>
      <c r="V1526" s="83"/>
      <c r="W1526" s="83"/>
      <c r="X1526" s="83"/>
      <c r="Y1526" s="83"/>
      <c r="Z1526" s="83"/>
      <c r="AA1526" s="83"/>
      <c r="AB1526" s="83"/>
      <c r="AC1526" s="83"/>
      <c r="AD1526" s="83"/>
      <c r="AE1526" s="83"/>
      <c r="AF1526" s="83"/>
      <c r="AG1526" s="83"/>
      <c r="AH1526" s="83"/>
      <c r="AI1526" s="83"/>
      <c r="AJ1526" s="83"/>
      <c r="AK1526" s="83"/>
      <c r="AL1526" s="83"/>
      <c r="AM1526" s="83"/>
      <c r="AN1526" s="83"/>
      <c r="AO1526" s="83"/>
      <c r="AP1526" s="83"/>
      <c r="AQ1526" s="83"/>
      <c r="AR1526" s="83"/>
      <c r="AS1526" s="83">
        <v>1101449.0</v>
      </c>
    </row>
    <row r="1527" ht="15.75" customHeight="1">
      <c r="A1527" s="111" t="s">
        <v>1785</v>
      </c>
      <c r="B1527" s="83" t="s">
        <v>1994</v>
      </c>
      <c r="C1527" s="83" t="s">
        <v>68</v>
      </c>
      <c r="D1527" s="112">
        <v>1100957.0</v>
      </c>
      <c r="E1527" s="83"/>
      <c r="F1527" s="83">
        <v>2.9190916E7</v>
      </c>
      <c r="G1527" s="91" t="str">
        <f>IFERROR(__xludf.DUMMYFUNCTION("XLOOKUP(AS1527,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EDIVALDO BOAVENTURA")</f>
        <v>COLÉGIO ESTADUAL EDIVALDO BOAVENTURA</v>
      </c>
      <c r="H1527" s="119" t="s">
        <v>8586</v>
      </c>
      <c r="I1527" s="91" t="s">
        <v>8587</v>
      </c>
      <c r="J1527" s="83" t="s">
        <v>8588</v>
      </c>
      <c r="K1527" s="136" t="s">
        <v>150</v>
      </c>
      <c r="L1527" s="83" t="s">
        <v>151</v>
      </c>
      <c r="M1527" s="83" t="s">
        <v>76</v>
      </c>
      <c r="N1527" s="137" t="s">
        <v>8589</v>
      </c>
      <c r="O1527" s="98" t="s">
        <v>155</v>
      </c>
      <c r="P1527" s="99" t="str">
        <f>IFERROR(__xludf.DUMMYFUNCTION("IFERROR(VLOOKUP(AS1527,IMPORTRANGE(""https://docs.google.com/spreadsheets/d/1juPI-Fb8LD0YtltB2mlGEnp_R3UVu1t3wSFPzgCyHXE/edit?gid=0#gid=0"",""GERAL!A2:C""),3,0),""-"")"),"-")</f>
        <v>-</v>
      </c>
      <c r="Q1527" s="83"/>
      <c r="R1527" s="83"/>
      <c r="S1527" s="83"/>
      <c r="T1527" s="83"/>
      <c r="U1527" s="83"/>
      <c r="V1527" s="83"/>
      <c r="W1527" s="83"/>
      <c r="X1527" s="83"/>
      <c r="Y1527" s="83"/>
      <c r="Z1527" s="83"/>
      <c r="AA1527" s="83"/>
      <c r="AB1527" s="83"/>
      <c r="AC1527" s="83"/>
      <c r="AD1527" s="83"/>
      <c r="AE1527" s="83"/>
      <c r="AF1527" s="83"/>
      <c r="AG1527" s="83"/>
      <c r="AH1527" s="83"/>
      <c r="AI1527" s="83"/>
      <c r="AJ1527" s="83"/>
      <c r="AK1527" s="83"/>
      <c r="AL1527" s="83"/>
      <c r="AM1527" s="83"/>
      <c r="AN1527" s="83"/>
      <c r="AO1527" s="83"/>
      <c r="AP1527" s="83"/>
      <c r="AQ1527" s="83"/>
      <c r="AR1527" s="83"/>
      <c r="AS1527" s="83">
        <v>1100957.0</v>
      </c>
    </row>
    <row r="1528" ht="15.75" customHeight="1">
      <c r="A1528" s="111" t="s">
        <v>1785</v>
      </c>
      <c r="B1528" s="83" t="s">
        <v>1994</v>
      </c>
      <c r="C1528" s="83" t="s">
        <v>68</v>
      </c>
      <c r="D1528" s="112">
        <v>1102160.0</v>
      </c>
      <c r="E1528" s="83"/>
      <c r="F1528" s="83">
        <v>2.9190754E7</v>
      </c>
      <c r="G1528" s="91" t="str">
        <f>IFERROR(__xludf.DUMMYFUNCTION("XLOOKUP(AS1528,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JOÃO PEDRO DOS SANTOS")</f>
        <v>COLÉGIO ESTADUAL DOUTOR JOÃO PEDRO DOS SANTOS</v>
      </c>
      <c r="H1528" s="114" t="s">
        <v>8591</v>
      </c>
      <c r="I1528" s="91" t="s">
        <v>8592</v>
      </c>
      <c r="J1528" s="83" t="s">
        <v>8593</v>
      </c>
      <c r="K1528" s="136" t="s">
        <v>150</v>
      </c>
      <c r="L1528" s="83" t="s">
        <v>151</v>
      </c>
      <c r="M1528" s="83" t="s">
        <v>152</v>
      </c>
      <c r="N1528" s="137" t="s">
        <v>8594</v>
      </c>
      <c r="O1528" s="98" t="s">
        <v>155</v>
      </c>
      <c r="P1528" s="99" t="str">
        <f>IFERROR(__xludf.DUMMYFUNCTION("IFERROR(VLOOKUP(AS1528,IMPORTRANGE(""https://docs.google.com/spreadsheets/d/1juPI-Fb8LD0YtltB2mlGEnp_R3UVu1t3wSFPzgCyHXE/edit?gid=0#gid=0"",""GERAL!A2:C""),3,0),""-"")"),"-")</f>
        <v>-</v>
      </c>
      <c r="Q1528" s="83"/>
      <c r="R1528" s="83"/>
      <c r="S1528" s="83"/>
      <c r="T1528" s="83"/>
      <c r="U1528" s="83"/>
      <c r="V1528" s="83"/>
      <c r="W1528" s="83"/>
      <c r="X1528" s="83"/>
      <c r="Y1528" s="83"/>
      <c r="Z1528" s="83"/>
      <c r="AA1528" s="83"/>
      <c r="AB1528" s="83"/>
      <c r="AC1528" s="83"/>
      <c r="AD1528" s="83"/>
      <c r="AE1528" s="83"/>
      <c r="AF1528" s="83"/>
      <c r="AG1528" s="83"/>
      <c r="AH1528" s="83"/>
      <c r="AI1528" s="83"/>
      <c r="AJ1528" s="83"/>
      <c r="AK1528" s="83"/>
      <c r="AL1528" s="83"/>
      <c r="AM1528" s="83"/>
      <c r="AN1528" s="83"/>
      <c r="AO1528" s="83"/>
      <c r="AP1528" s="83"/>
      <c r="AQ1528" s="83"/>
      <c r="AR1528" s="83"/>
      <c r="AS1528" s="83">
        <v>1102160.0</v>
      </c>
    </row>
    <row r="1529" ht="15.75" customHeight="1">
      <c r="A1529" s="111" t="s">
        <v>1785</v>
      </c>
      <c r="B1529" s="83" t="s">
        <v>1994</v>
      </c>
      <c r="C1529" s="83" t="s">
        <v>68</v>
      </c>
      <c r="D1529" s="112">
        <v>1100337.0</v>
      </c>
      <c r="E1529" s="83"/>
      <c r="F1529" s="83">
        <v>2.9189012E7</v>
      </c>
      <c r="G1529" s="91" t="str">
        <f>IFERROR(__xludf.DUMMYFUNCTION("XLOOKUP(AS1529,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AILTON PINTO DE ANDRADE")</f>
        <v>COLÉGIO ESTADUAL DOUTOR AILTON PINTO DE ANDRADE</v>
      </c>
      <c r="H1529" s="119" t="s">
        <v>8596</v>
      </c>
      <c r="I1529" s="91" t="s">
        <v>8597</v>
      </c>
      <c r="J1529" s="83" t="s">
        <v>8327</v>
      </c>
      <c r="K1529" s="136" t="s">
        <v>150</v>
      </c>
      <c r="L1529" s="83" t="s">
        <v>151</v>
      </c>
      <c r="M1529" s="83" t="s">
        <v>152</v>
      </c>
      <c r="N1529" s="188" t="s">
        <v>8598</v>
      </c>
      <c r="O1529" s="98" t="s">
        <v>155</v>
      </c>
      <c r="P1529" s="99" t="str">
        <f>IFERROR(__xludf.DUMMYFUNCTION("IFERROR(VLOOKUP(AS1529,IMPORTRANGE(""https://docs.google.com/spreadsheets/d/1juPI-Fb8LD0YtltB2mlGEnp_R3UVu1t3wSFPzgCyHXE/edit?gid=0#gid=0"",""GERAL!A2:C""),3,0),""-"")"),"-")</f>
        <v>-</v>
      </c>
      <c r="Q1529" s="83"/>
      <c r="R1529" s="83"/>
      <c r="S1529" s="83"/>
      <c r="T1529" s="83"/>
      <c r="U1529" s="83"/>
      <c r="V1529" s="83"/>
      <c r="W1529" s="83"/>
      <c r="X1529" s="83"/>
      <c r="Y1529" s="83"/>
      <c r="Z1529" s="83"/>
      <c r="AA1529" s="83"/>
      <c r="AB1529" s="83"/>
      <c r="AC1529" s="83"/>
      <c r="AD1529" s="83"/>
      <c r="AE1529" s="83"/>
      <c r="AF1529" s="83"/>
      <c r="AG1529" s="83"/>
      <c r="AH1529" s="83"/>
      <c r="AI1529" s="83"/>
      <c r="AJ1529" s="83"/>
      <c r="AK1529" s="83"/>
      <c r="AL1529" s="83"/>
      <c r="AM1529" s="83"/>
      <c r="AN1529" s="83"/>
      <c r="AO1529" s="83"/>
      <c r="AP1529" s="83"/>
      <c r="AQ1529" s="83"/>
      <c r="AR1529" s="83"/>
      <c r="AS1529" s="83">
        <v>1100337.0</v>
      </c>
    </row>
    <row r="1530" ht="15.75" customHeight="1">
      <c r="A1530" s="111" t="s">
        <v>1785</v>
      </c>
      <c r="B1530" s="83" t="s">
        <v>1994</v>
      </c>
      <c r="C1530" s="83" t="s">
        <v>68</v>
      </c>
      <c r="D1530" s="112">
        <v>1163924.0</v>
      </c>
      <c r="E1530" s="83"/>
      <c r="F1530" s="83">
        <v>2.9192277E7</v>
      </c>
      <c r="G1530" s="91" t="str">
        <f>IFERROR(__xludf.DUMMYFUNCTION("XLOOKUP(AS1530,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DONA MORA GUIMARAES")</f>
        <v>COLÉGIO ESTADUAL DONA MORA GUIMARAES</v>
      </c>
      <c r="H1530" s="119" t="s">
        <v>8599</v>
      </c>
      <c r="I1530" s="91" t="s">
        <v>8600</v>
      </c>
      <c r="J1530" s="83" t="s">
        <v>8601</v>
      </c>
      <c r="K1530" s="136" t="s">
        <v>150</v>
      </c>
      <c r="L1530" s="83" t="s">
        <v>151</v>
      </c>
      <c r="M1530" s="83" t="s">
        <v>230</v>
      </c>
      <c r="N1530" s="137" t="s">
        <v>8602</v>
      </c>
      <c r="O1530" s="98" t="s">
        <v>155</v>
      </c>
      <c r="P1530" s="99" t="str">
        <f>IFERROR(__xludf.DUMMYFUNCTION("IFERROR(VLOOKUP(AS1530,IMPORTRANGE(""https://docs.google.com/spreadsheets/d/1juPI-Fb8LD0YtltB2mlGEnp_R3UVu1t3wSFPzgCyHXE/edit?gid=0#gid=0"",""GERAL!A2:C""),3,0),""-"")"),"-")</f>
        <v>-</v>
      </c>
      <c r="Q1530" s="83"/>
      <c r="R1530" s="83"/>
      <c r="S1530" s="83"/>
      <c r="T1530" s="83"/>
      <c r="U1530" s="83"/>
      <c r="V1530" s="83"/>
      <c r="W1530" s="83"/>
      <c r="X1530" s="83"/>
      <c r="Y1530" s="83"/>
      <c r="Z1530" s="83"/>
      <c r="AA1530" s="83"/>
      <c r="AB1530" s="83"/>
      <c r="AC1530" s="83"/>
      <c r="AD1530" s="83"/>
      <c r="AE1530" s="83"/>
      <c r="AF1530" s="83"/>
      <c r="AG1530" s="83"/>
      <c r="AH1530" s="83"/>
      <c r="AI1530" s="83"/>
      <c r="AJ1530" s="83"/>
      <c r="AK1530" s="83"/>
      <c r="AL1530" s="83"/>
      <c r="AM1530" s="83"/>
      <c r="AN1530" s="83"/>
      <c r="AO1530" s="83"/>
      <c r="AP1530" s="83"/>
      <c r="AQ1530" s="83"/>
      <c r="AR1530" s="83"/>
      <c r="AS1530" s="83">
        <v>1163924.0</v>
      </c>
    </row>
    <row r="1531" ht="15.75" customHeight="1">
      <c r="A1531" s="111" t="s">
        <v>1785</v>
      </c>
      <c r="B1531" s="83" t="s">
        <v>1994</v>
      </c>
      <c r="C1531" s="83" t="s">
        <v>68</v>
      </c>
      <c r="D1531" s="112">
        <v>1100949.0</v>
      </c>
      <c r="E1531" s="83"/>
      <c r="F1531" s="83">
        <v>2.9192889E7</v>
      </c>
      <c r="G1531" s="91" t="str">
        <f>IFERROR(__xludf.DUMMYFUNCTION("XLOOKUP(AS1531,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DOIS DE JULHO")</f>
        <v>COLÉGIO ESTADUAL DOIS DE JULHO</v>
      </c>
      <c r="H1531" s="114" t="s">
        <v>8607</v>
      </c>
      <c r="I1531" s="91" t="s">
        <v>8608</v>
      </c>
      <c r="J1531" s="83" t="s">
        <v>8609</v>
      </c>
      <c r="K1531" s="83" t="s">
        <v>150</v>
      </c>
      <c r="L1531" s="83" t="s">
        <v>151</v>
      </c>
      <c r="M1531" s="83" t="s">
        <v>152</v>
      </c>
      <c r="N1531" s="137" t="s">
        <v>8610</v>
      </c>
      <c r="O1531" s="98" t="s">
        <v>155</v>
      </c>
      <c r="P1531" s="99" t="str">
        <f>IFERROR(__xludf.DUMMYFUNCTION("IFERROR(VLOOKUP(AS1531,IMPORTRANGE(""https://docs.google.com/spreadsheets/d/1juPI-Fb8LD0YtltB2mlGEnp_R3UVu1t3wSFPzgCyHXE/edit?gid=0#gid=0"",""GERAL!A2:C""),3,0),""-"")"),"-")</f>
        <v>-</v>
      </c>
      <c r="Q1531" s="83"/>
      <c r="R1531" s="83"/>
      <c r="S1531" s="83"/>
      <c r="T1531" s="83"/>
      <c r="U1531" s="83"/>
      <c r="V1531" s="83"/>
      <c r="W1531" s="83"/>
      <c r="X1531" s="83"/>
      <c r="Y1531" s="83"/>
      <c r="Z1531" s="83"/>
      <c r="AA1531" s="83"/>
      <c r="AB1531" s="83"/>
      <c r="AC1531" s="83"/>
      <c r="AD1531" s="83"/>
      <c r="AE1531" s="83"/>
      <c r="AF1531" s="83"/>
      <c r="AG1531" s="83"/>
      <c r="AH1531" s="83"/>
      <c r="AI1531" s="83"/>
      <c r="AJ1531" s="83"/>
      <c r="AK1531" s="83"/>
      <c r="AL1531" s="83"/>
      <c r="AM1531" s="83"/>
      <c r="AN1531" s="83"/>
      <c r="AO1531" s="83"/>
      <c r="AP1531" s="83"/>
      <c r="AQ1531" s="83"/>
      <c r="AR1531" s="83"/>
      <c r="AS1531" s="83">
        <v>1100949.0</v>
      </c>
    </row>
    <row r="1532" ht="15.75" customHeight="1">
      <c r="A1532" s="111" t="s">
        <v>1785</v>
      </c>
      <c r="B1532" s="83" t="s">
        <v>1994</v>
      </c>
      <c r="C1532" s="83" t="s">
        <v>68</v>
      </c>
      <c r="D1532" s="112">
        <v>1101376.0</v>
      </c>
      <c r="E1532" s="83"/>
      <c r="F1532" s="83">
        <v>2.9182247E7</v>
      </c>
      <c r="G1532" s="91" t="str">
        <f>IFERROR(__xludf.DUMMYFUNCTION("XLOOKUP(AS1532,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STIEP CARLOS MARIGHELLA")</f>
        <v>COLÉGIO ESTADUAL DO STIEP CARLOS MARIGHELLA</v>
      </c>
      <c r="H1532" s="119" t="s">
        <v>8611</v>
      </c>
      <c r="I1532" s="91" t="s">
        <v>8612</v>
      </c>
      <c r="J1532" s="83" t="s">
        <v>8588</v>
      </c>
      <c r="K1532" s="83" t="s">
        <v>150</v>
      </c>
      <c r="L1532" s="83" t="s">
        <v>151</v>
      </c>
      <c r="M1532" s="83" t="s">
        <v>152</v>
      </c>
      <c r="N1532" s="137" t="s">
        <v>8613</v>
      </c>
      <c r="O1532" s="98" t="s">
        <v>155</v>
      </c>
      <c r="P1532" s="99" t="str">
        <f>IFERROR(__xludf.DUMMYFUNCTION("IFERROR(VLOOKUP(AS1532,IMPORTRANGE(""https://docs.google.com/spreadsheets/d/1juPI-Fb8LD0YtltB2mlGEnp_R3UVu1t3wSFPzgCyHXE/edit?gid=0#gid=0"",""GERAL!A2:C""),3,0),""-"")"),"-")</f>
        <v>-</v>
      </c>
      <c r="Q1532" s="83"/>
      <c r="R1532" s="83"/>
      <c r="S1532" s="83"/>
      <c r="T1532" s="83"/>
      <c r="U1532" s="83"/>
      <c r="V1532" s="83"/>
      <c r="W1532" s="83"/>
      <c r="X1532" s="83"/>
      <c r="Y1532" s="83"/>
      <c r="Z1532" s="83"/>
      <c r="AA1532" s="83"/>
      <c r="AB1532" s="83"/>
      <c r="AC1532" s="83"/>
      <c r="AD1532" s="83"/>
      <c r="AE1532" s="83"/>
      <c r="AF1532" s="83"/>
      <c r="AG1532" s="83"/>
      <c r="AH1532" s="83"/>
      <c r="AI1532" s="83"/>
      <c r="AJ1532" s="83"/>
      <c r="AK1532" s="83"/>
      <c r="AL1532" s="83"/>
      <c r="AM1532" s="83"/>
      <c r="AN1532" s="83"/>
      <c r="AO1532" s="83"/>
      <c r="AP1532" s="83"/>
      <c r="AQ1532" s="83"/>
      <c r="AR1532" s="83"/>
      <c r="AS1532" s="83">
        <v>1101376.0</v>
      </c>
    </row>
    <row r="1533" ht="15.75" customHeight="1">
      <c r="A1533" s="111" t="s">
        <v>1785</v>
      </c>
      <c r="B1533" s="83" t="s">
        <v>1994</v>
      </c>
      <c r="C1533" s="83" t="s">
        <v>68</v>
      </c>
      <c r="D1533" s="112">
        <v>1104642.0</v>
      </c>
      <c r="E1533" s="83"/>
      <c r="F1533" s="83">
        <v>2.9184916E7</v>
      </c>
      <c r="G1533" s="91" t="str">
        <f>IFERROR(__xludf.DUMMYFUNCTION("XLOOKUP(AS1533,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DESEMBARGADOR PEDRO RIBEIRO")</f>
        <v>COLÉGIO ESTADUAL DESEMBARGADOR PEDRO RIBEIRO</v>
      </c>
      <c r="H1533" s="119" t="s">
        <v>8614</v>
      </c>
      <c r="I1533" s="91" t="s">
        <v>8615</v>
      </c>
      <c r="J1533" s="83" t="s">
        <v>8391</v>
      </c>
      <c r="K1533" s="83" t="s">
        <v>150</v>
      </c>
      <c r="L1533" s="83" t="s">
        <v>151</v>
      </c>
      <c r="M1533" s="83" t="s">
        <v>152</v>
      </c>
      <c r="N1533" s="137" t="s">
        <v>8616</v>
      </c>
      <c r="O1533" s="98" t="s">
        <v>155</v>
      </c>
      <c r="P1533" s="99" t="str">
        <f>IFERROR(__xludf.DUMMYFUNCTION("IFERROR(VLOOKUP(AS1533,IMPORTRANGE(""https://docs.google.com/spreadsheets/d/1juPI-Fb8LD0YtltB2mlGEnp_R3UVu1t3wSFPzgCyHXE/edit?gid=0#gid=0"",""GERAL!A2:C""),3,0),""-"")"),"-")</f>
        <v>-</v>
      </c>
      <c r="Q1533" s="83"/>
      <c r="R1533" s="83"/>
      <c r="S1533" s="83"/>
      <c r="T1533" s="83"/>
      <c r="U1533" s="83"/>
      <c r="V1533" s="83"/>
      <c r="W1533" s="83"/>
      <c r="X1533" s="83"/>
      <c r="Y1533" s="83"/>
      <c r="Z1533" s="83"/>
      <c r="AA1533" s="83"/>
      <c r="AB1533" s="83"/>
      <c r="AC1533" s="83"/>
      <c r="AD1533" s="83"/>
      <c r="AE1533" s="83"/>
      <c r="AF1533" s="83"/>
      <c r="AG1533" s="83"/>
      <c r="AH1533" s="83"/>
      <c r="AI1533" s="83"/>
      <c r="AJ1533" s="83"/>
      <c r="AK1533" s="83"/>
      <c r="AL1533" s="83"/>
      <c r="AM1533" s="83"/>
      <c r="AN1533" s="83"/>
      <c r="AO1533" s="83"/>
      <c r="AP1533" s="83"/>
      <c r="AQ1533" s="83"/>
      <c r="AR1533" s="83"/>
      <c r="AS1533" s="83">
        <v>1104642.0</v>
      </c>
    </row>
    <row r="1534" ht="15.75" customHeight="1">
      <c r="A1534" s="111" t="s">
        <v>1785</v>
      </c>
      <c r="B1534" s="83" t="s">
        <v>1994</v>
      </c>
      <c r="C1534" s="83" t="s">
        <v>68</v>
      </c>
      <c r="D1534" s="112">
        <v>1173946.0</v>
      </c>
      <c r="E1534" s="83"/>
      <c r="F1534" s="83">
        <v>2.9182131E7</v>
      </c>
      <c r="G1534" s="91" t="str">
        <f>IFERROR(__xludf.DUMMYFUNCTION("XLOOKUP(AS1534,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DEPUTADO MANOEL NOVAES")</f>
        <v>COLÉGIO ESTADUAL DEPUTADO MANOEL NOVAES</v>
      </c>
      <c r="H1534" s="119" t="s">
        <v>8617</v>
      </c>
      <c r="I1534" s="91" t="s">
        <v>8618</v>
      </c>
      <c r="J1534" s="83" t="s">
        <v>8619</v>
      </c>
      <c r="K1534" s="83" t="s">
        <v>150</v>
      </c>
      <c r="L1534" s="83" t="s">
        <v>151</v>
      </c>
      <c r="M1534" s="83" t="s">
        <v>230</v>
      </c>
      <c r="N1534" s="188" t="s">
        <v>8620</v>
      </c>
      <c r="O1534" s="98" t="s">
        <v>155</v>
      </c>
      <c r="P1534" s="99" t="str">
        <f>IFERROR(__xludf.DUMMYFUNCTION("IFERROR(VLOOKUP(AS1534,IMPORTRANGE(""https://docs.google.com/spreadsheets/d/1juPI-Fb8LD0YtltB2mlGEnp_R3UVu1t3wSFPzgCyHXE/edit?gid=0#gid=0"",""GERAL!A2:C""),3,0),""-"")"),"-")</f>
        <v>-</v>
      </c>
      <c r="Q1534" s="83"/>
      <c r="R1534" s="83"/>
      <c r="S1534" s="83"/>
      <c r="T1534" s="83"/>
      <c r="U1534" s="83"/>
      <c r="V1534" s="83"/>
      <c r="W1534" s="83"/>
      <c r="X1534" s="83"/>
      <c r="Y1534" s="83"/>
      <c r="Z1534" s="83"/>
      <c r="AA1534" s="83"/>
      <c r="AB1534" s="83"/>
      <c r="AC1534" s="83"/>
      <c r="AD1534" s="83"/>
      <c r="AE1534" s="83"/>
      <c r="AF1534" s="83"/>
      <c r="AG1534" s="83"/>
      <c r="AH1534" s="83"/>
      <c r="AI1534" s="83"/>
      <c r="AJ1534" s="83"/>
      <c r="AK1534" s="83"/>
      <c r="AL1534" s="83"/>
      <c r="AM1534" s="83"/>
      <c r="AN1534" s="83"/>
      <c r="AO1534" s="83"/>
      <c r="AP1534" s="83"/>
      <c r="AQ1534" s="83"/>
      <c r="AR1534" s="83"/>
      <c r="AS1534" s="83">
        <v>1173946.0</v>
      </c>
    </row>
    <row r="1535" ht="15.75" customHeight="1">
      <c r="A1535" s="111" t="s">
        <v>1785</v>
      </c>
      <c r="B1535" s="83" t="s">
        <v>1994</v>
      </c>
      <c r="C1535" s="83" t="s">
        <v>68</v>
      </c>
      <c r="D1535" s="112">
        <v>1104570.0</v>
      </c>
      <c r="E1535" s="83"/>
      <c r="F1535" s="83">
        <v>2.919136E7</v>
      </c>
      <c r="G1535" s="91" t="str">
        <f>IFERROR(__xludf.DUMMYFUNCTION("XLOOKUP(AS1535,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DEPUTADO HENRIQUE BRITO - TEMPO INTEGRAL")</f>
        <v>COLÉGIO ESTADUAL DEPUTADO HENRIQUE BRITO - TEMPO INTEGRAL</v>
      </c>
      <c r="H1535" s="114" t="s">
        <v>8621</v>
      </c>
      <c r="I1535" s="91" t="s">
        <v>8622</v>
      </c>
      <c r="J1535" s="136" t="s">
        <v>8570</v>
      </c>
      <c r="K1535" s="83" t="s">
        <v>150</v>
      </c>
      <c r="L1535" s="83" t="s">
        <v>151</v>
      </c>
      <c r="M1535" s="83" t="s">
        <v>76</v>
      </c>
      <c r="N1535" s="137" t="s">
        <v>8623</v>
      </c>
      <c r="O1535" s="98" t="s">
        <v>155</v>
      </c>
      <c r="P1535" s="99" t="str">
        <f>IFERROR(__xludf.DUMMYFUNCTION("IFERROR(VLOOKUP(AS1535,IMPORTRANGE(""https://docs.google.com/spreadsheets/d/1juPI-Fb8LD0YtltB2mlGEnp_R3UVu1t3wSFPzgCyHXE/edit?gid=0#gid=0"",""GERAL!A2:C""),3,0),""-"")"),"-")</f>
        <v>-</v>
      </c>
      <c r="Q1535" s="83"/>
      <c r="R1535" s="83"/>
      <c r="S1535" s="83"/>
      <c r="T1535" s="83"/>
      <c r="U1535" s="83"/>
      <c r="V1535" s="83"/>
      <c r="W1535" s="83"/>
      <c r="X1535" s="83"/>
      <c r="Y1535" s="83"/>
      <c r="Z1535" s="83"/>
      <c r="AA1535" s="83"/>
      <c r="AB1535" s="83"/>
      <c r="AC1535" s="83"/>
      <c r="AD1535" s="83"/>
      <c r="AE1535" s="83"/>
      <c r="AF1535" s="83"/>
      <c r="AG1535" s="83"/>
      <c r="AH1535" s="83"/>
      <c r="AI1535" s="83"/>
      <c r="AJ1535" s="83"/>
      <c r="AK1535" s="83"/>
      <c r="AL1535" s="83"/>
      <c r="AM1535" s="83"/>
      <c r="AN1535" s="83"/>
      <c r="AO1535" s="83"/>
      <c r="AP1535" s="83"/>
      <c r="AQ1535" s="83"/>
      <c r="AR1535" s="83"/>
      <c r="AS1535" s="83">
        <v>1104570.0</v>
      </c>
    </row>
    <row r="1536" ht="15.75" customHeight="1">
      <c r="A1536" s="111" t="s">
        <v>1785</v>
      </c>
      <c r="B1536" s="83" t="s">
        <v>1994</v>
      </c>
      <c r="C1536" s="83" t="s">
        <v>68</v>
      </c>
      <c r="D1536" s="112">
        <v>1100981.0</v>
      </c>
      <c r="E1536" s="83"/>
      <c r="F1536" s="83">
        <v>2.918446E7</v>
      </c>
      <c r="G1536" s="91" t="str">
        <f>IFERROR(__xludf.DUMMYFUNCTION("XLOOKUP(AS1536,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DEMOCRATICO BERTHOLDO CIRILO DOS REIS")</f>
        <v>COLÉGIO ESTADUAL DEMOCRATICO BERTHOLDO CIRILO DOS REIS</v>
      </c>
      <c r="H1536" s="114" t="s">
        <v>8626</v>
      </c>
      <c r="I1536" s="91" t="s">
        <v>8627</v>
      </c>
      <c r="J1536" s="136" t="s">
        <v>8417</v>
      </c>
      <c r="K1536" s="83" t="s">
        <v>150</v>
      </c>
      <c r="L1536" s="83" t="s">
        <v>151</v>
      </c>
      <c r="M1536" s="83" t="s">
        <v>230</v>
      </c>
      <c r="N1536" s="137" t="s">
        <v>8628</v>
      </c>
      <c r="O1536" s="98" t="s">
        <v>155</v>
      </c>
      <c r="P1536" s="99" t="str">
        <f>IFERROR(__xludf.DUMMYFUNCTION("IFERROR(VLOOKUP(AS1536,IMPORTRANGE(""https://docs.google.com/spreadsheets/d/1juPI-Fb8LD0YtltB2mlGEnp_R3UVu1t3wSFPzgCyHXE/edit?gid=0#gid=0"",""GERAL!A2:C""),3,0),""-"")"),"-")</f>
        <v>-</v>
      </c>
      <c r="Q1536" s="83"/>
      <c r="R1536" s="83"/>
      <c r="S1536" s="83"/>
      <c r="T1536" s="83"/>
      <c r="U1536" s="83"/>
      <c r="V1536" s="83"/>
      <c r="W1536" s="83"/>
      <c r="X1536" s="83"/>
      <c r="Y1536" s="83"/>
      <c r="Z1536" s="83"/>
      <c r="AA1536" s="83"/>
      <c r="AB1536" s="83"/>
      <c r="AC1536" s="83"/>
      <c r="AD1536" s="83"/>
      <c r="AE1536" s="83"/>
      <c r="AF1536" s="83"/>
      <c r="AG1536" s="83"/>
      <c r="AH1536" s="83"/>
      <c r="AI1536" s="83"/>
      <c r="AJ1536" s="83"/>
      <c r="AK1536" s="83"/>
      <c r="AL1536" s="83"/>
      <c r="AM1536" s="83"/>
      <c r="AN1536" s="83"/>
      <c r="AO1536" s="83"/>
      <c r="AP1536" s="83"/>
      <c r="AQ1536" s="83"/>
      <c r="AR1536" s="83"/>
      <c r="AS1536" s="83">
        <v>1100981.0</v>
      </c>
    </row>
    <row r="1537" ht="15.75" customHeight="1">
      <c r="A1537" s="111" t="s">
        <v>1785</v>
      </c>
      <c r="B1537" s="83" t="s">
        <v>1994</v>
      </c>
      <c r="C1537" s="83" t="s">
        <v>68</v>
      </c>
      <c r="D1537" s="112">
        <v>1100973.0</v>
      </c>
      <c r="E1537" s="83"/>
      <c r="F1537" s="83">
        <v>2.9191092E7</v>
      </c>
      <c r="G1537" s="91" t="str">
        <f>IFERROR(__xludf.DUMMYFUNCTION("XLOOKUP(AS1537,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ZUMBI DOS PALMARES")</f>
        <v>COLÉGIO ESTADUAL DE TEMPO INTEGRAL ZUMBI DOS PALMARES</v>
      </c>
      <c r="H1537" s="119" t="s">
        <v>8629</v>
      </c>
      <c r="I1537" s="91" t="s">
        <v>8630</v>
      </c>
      <c r="J1537" s="83" t="s">
        <v>8461</v>
      </c>
      <c r="K1537" s="83" t="s">
        <v>150</v>
      </c>
      <c r="L1537" s="83" t="s">
        <v>151</v>
      </c>
      <c r="M1537" s="83" t="s">
        <v>230</v>
      </c>
      <c r="N1537" s="137" t="s">
        <v>8631</v>
      </c>
      <c r="O1537" s="98" t="s">
        <v>155</v>
      </c>
      <c r="P1537" s="99" t="str">
        <f>IFERROR(__xludf.DUMMYFUNCTION("IFERROR(VLOOKUP(AS1537,IMPORTRANGE(""https://docs.google.com/spreadsheets/d/1juPI-Fb8LD0YtltB2mlGEnp_R3UVu1t3wSFPzgCyHXE/edit?gid=0#gid=0"",""GERAL!A2:C""),3,0),""-"")"),"-")</f>
        <v>-</v>
      </c>
      <c r="Q1537" s="83"/>
      <c r="R1537" s="83"/>
      <c r="S1537" s="83"/>
      <c r="T1537" s="83"/>
      <c r="U1537" s="83"/>
      <c r="V1537" s="83"/>
      <c r="W1537" s="83"/>
      <c r="X1537" s="83"/>
      <c r="Y1537" s="83"/>
      <c r="Z1537" s="83"/>
      <c r="AA1537" s="83"/>
      <c r="AB1537" s="83"/>
      <c r="AC1537" s="83"/>
      <c r="AD1537" s="83"/>
      <c r="AE1537" s="83"/>
      <c r="AF1537" s="83"/>
      <c r="AG1537" s="83"/>
      <c r="AH1537" s="83"/>
      <c r="AI1537" s="83"/>
      <c r="AJ1537" s="83"/>
      <c r="AK1537" s="83"/>
      <c r="AL1537" s="83"/>
      <c r="AM1537" s="83"/>
      <c r="AN1537" s="83"/>
      <c r="AO1537" s="83"/>
      <c r="AP1537" s="83"/>
      <c r="AQ1537" s="83"/>
      <c r="AR1537" s="83"/>
      <c r="AS1537" s="83">
        <v>1100973.0</v>
      </c>
    </row>
    <row r="1538" ht="15.75" customHeight="1">
      <c r="A1538" s="111" t="s">
        <v>1785</v>
      </c>
      <c r="B1538" s="83" t="s">
        <v>1994</v>
      </c>
      <c r="C1538" s="83" t="s">
        <v>68</v>
      </c>
      <c r="D1538" s="112">
        <v>1178076.0</v>
      </c>
      <c r="E1538" s="83"/>
      <c r="F1538" s="83">
        <v>2.9436877E7</v>
      </c>
      <c r="G1538" s="91" t="str">
        <f>IFERROR(__xludf.DUMMYFUNCTION("XLOOKUP(AS1538,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SATÉLITE")</f>
        <v>COLÉGIO ESTADUAL DE TEMPO INTEGRAL SATÉLITE</v>
      </c>
      <c r="H1538" s="119" t="s">
        <v>8640</v>
      </c>
      <c r="I1538" s="91" t="s">
        <v>8641</v>
      </c>
      <c r="J1538" s="83" t="s">
        <v>8642</v>
      </c>
      <c r="K1538" s="83" t="s">
        <v>150</v>
      </c>
      <c r="L1538" s="83" t="s">
        <v>5791</v>
      </c>
      <c r="M1538" s="83" t="s">
        <v>152</v>
      </c>
      <c r="N1538" s="385" t="s">
        <v>8643</v>
      </c>
      <c r="O1538" s="98" t="s">
        <v>155</v>
      </c>
      <c r="P1538" s="99" t="str">
        <f>IFERROR(__xludf.DUMMYFUNCTION("IFERROR(VLOOKUP(AS1538,IMPORTRANGE(""https://docs.google.com/spreadsheets/d/1juPI-Fb8LD0YtltB2mlGEnp_R3UVu1t3wSFPzgCyHXE/edit?gid=0#gid=0"",""GERAL!A2:C""),3,0),""-"")"),"-")</f>
        <v>-</v>
      </c>
      <c r="Q1538" s="83"/>
      <c r="R1538" s="83"/>
      <c r="S1538" s="83"/>
      <c r="T1538" s="83"/>
      <c r="U1538" s="83"/>
      <c r="V1538" s="83"/>
      <c r="W1538" s="83"/>
      <c r="X1538" s="83"/>
      <c r="Y1538" s="83"/>
      <c r="Z1538" s="83"/>
      <c r="AA1538" s="83"/>
      <c r="AB1538" s="83"/>
      <c r="AC1538" s="83"/>
      <c r="AD1538" s="83"/>
      <c r="AE1538" s="83"/>
      <c r="AF1538" s="83"/>
      <c r="AG1538" s="83"/>
      <c r="AH1538" s="83"/>
      <c r="AI1538" s="83"/>
      <c r="AJ1538" s="83"/>
      <c r="AK1538" s="83"/>
      <c r="AL1538" s="83"/>
      <c r="AM1538" s="83"/>
      <c r="AN1538" s="83"/>
      <c r="AO1538" s="83"/>
      <c r="AP1538" s="83"/>
      <c r="AQ1538" s="83"/>
      <c r="AR1538" s="83"/>
      <c r="AS1538" s="83">
        <v>1178076.0</v>
      </c>
    </row>
    <row r="1539" ht="15.75" customHeight="1">
      <c r="A1539" s="111" t="s">
        <v>1785</v>
      </c>
      <c r="B1539" s="83" t="s">
        <v>1994</v>
      </c>
      <c r="C1539" s="83" t="s">
        <v>68</v>
      </c>
      <c r="D1539" s="112">
        <v>1178325.0</v>
      </c>
      <c r="E1539" s="83"/>
      <c r="F1539" s="83">
        <v>2.9842727E7</v>
      </c>
      <c r="G1539" s="91" t="str">
        <f>IFERROR(__xludf.DUMMYFUNCTION("XLOOKUP(AS1539,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SÃO DANIEL COMBONI")</f>
        <v>COLÉGIO ESTADUAL DE TEMPO INTEGRAL SÃO DANIEL COMBONI</v>
      </c>
      <c r="H1539" s="114" t="s">
        <v>8644</v>
      </c>
      <c r="I1539" s="91" t="s">
        <v>8645</v>
      </c>
      <c r="J1539" s="136" t="s">
        <v>8646</v>
      </c>
      <c r="K1539" s="83" t="s">
        <v>150</v>
      </c>
      <c r="L1539" s="83" t="s">
        <v>151</v>
      </c>
      <c r="M1539" s="98" t="s">
        <v>230</v>
      </c>
      <c r="N1539" s="137" t="s">
        <v>8647</v>
      </c>
      <c r="O1539" s="98" t="s">
        <v>162</v>
      </c>
      <c r="P1539" s="99" t="str">
        <f>IFERROR(__xludf.DUMMYFUNCTION("IFERROR(VLOOKUP(AS1539,IMPORTRANGE(""https://docs.google.com/spreadsheets/d/1juPI-Fb8LD0YtltB2mlGEnp_R3UVu1t3wSFPzgCyHXE/edit?gid=0#gid=0"",""GERAL!A2:C""),3,0),""-"")"),"-")</f>
        <v>-</v>
      </c>
      <c r="Q1539" s="83"/>
      <c r="R1539" s="83"/>
      <c r="S1539" s="83"/>
      <c r="T1539" s="83"/>
      <c r="U1539" s="83"/>
      <c r="V1539" s="83"/>
      <c r="W1539" s="83"/>
      <c r="X1539" s="83"/>
      <c r="Y1539" s="83"/>
      <c r="Z1539" s="83"/>
      <c r="AA1539" s="83"/>
      <c r="AB1539" s="83"/>
      <c r="AC1539" s="83"/>
      <c r="AD1539" s="83"/>
      <c r="AE1539" s="83"/>
      <c r="AF1539" s="83"/>
      <c r="AG1539" s="83"/>
      <c r="AH1539" s="83"/>
      <c r="AI1539" s="83"/>
      <c r="AJ1539" s="83"/>
      <c r="AK1539" s="83"/>
      <c r="AL1539" s="83"/>
      <c r="AM1539" s="83"/>
      <c r="AN1539" s="83"/>
      <c r="AO1539" s="83"/>
      <c r="AP1539" s="83"/>
      <c r="AQ1539" s="83"/>
      <c r="AR1539" s="83"/>
      <c r="AS1539" s="83">
        <v>1178325.0</v>
      </c>
    </row>
    <row r="1540" ht="15.75" customHeight="1">
      <c r="A1540" s="111" t="s">
        <v>1785</v>
      </c>
      <c r="B1540" s="83" t="s">
        <v>1994</v>
      </c>
      <c r="C1540" s="83" t="s">
        <v>68</v>
      </c>
      <c r="D1540" s="112">
        <v>1103859.0</v>
      </c>
      <c r="E1540" s="83"/>
      <c r="F1540" s="83">
        <v>2.9182565E7</v>
      </c>
      <c r="G1540" s="91" t="str">
        <f>IFERROR(__xludf.DUMMYFUNCTION("XLOOKUP(AS1540,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ROTARY")</f>
        <v>COLÉGIO ESTADUAL DE TEMPO INTEGRAL ROTARY</v>
      </c>
      <c r="H1540" s="119" t="s">
        <v>8650</v>
      </c>
      <c r="I1540" s="91" t="s">
        <v>8651</v>
      </c>
      <c r="J1540" s="83" t="s">
        <v>8219</v>
      </c>
      <c r="K1540" s="83" t="s">
        <v>150</v>
      </c>
      <c r="L1540" s="83" t="s">
        <v>168</v>
      </c>
      <c r="M1540" s="83" t="s">
        <v>230</v>
      </c>
      <c r="N1540" s="137" t="s">
        <v>8652</v>
      </c>
      <c r="O1540" s="98" t="s">
        <v>155</v>
      </c>
      <c r="P1540" s="99" t="str">
        <f>IFERROR(__xludf.DUMMYFUNCTION("IFERROR(VLOOKUP(AS1540,IMPORTRANGE(""https://docs.google.com/spreadsheets/d/1juPI-Fb8LD0YtltB2mlGEnp_R3UVu1t3wSFPzgCyHXE/edit?gid=0#gid=0"",""GERAL!A2:C""),3,0),""-"")"),"-")</f>
        <v>-</v>
      </c>
      <c r="Q1540" s="83"/>
      <c r="R1540" s="83"/>
      <c r="S1540" s="83"/>
      <c r="T1540" s="83"/>
      <c r="U1540" s="83"/>
      <c r="V1540" s="83"/>
      <c r="W1540" s="83"/>
      <c r="X1540" s="83"/>
      <c r="Y1540" s="83"/>
      <c r="Z1540" s="83"/>
      <c r="AA1540" s="83"/>
      <c r="AB1540" s="83"/>
      <c r="AC1540" s="83"/>
      <c r="AD1540" s="83"/>
      <c r="AE1540" s="83"/>
      <c r="AF1540" s="83"/>
      <c r="AG1540" s="83"/>
      <c r="AH1540" s="83"/>
      <c r="AI1540" s="83"/>
      <c r="AJ1540" s="83"/>
      <c r="AK1540" s="83"/>
      <c r="AL1540" s="83"/>
      <c r="AM1540" s="83"/>
      <c r="AN1540" s="83"/>
      <c r="AO1540" s="83"/>
      <c r="AP1540" s="83"/>
      <c r="AQ1540" s="83"/>
      <c r="AR1540" s="83"/>
      <c r="AS1540" s="83">
        <v>1103859.0</v>
      </c>
    </row>
    <row r="1541" ht="15.75" customHeight="1">
      <c r="A1541" s="111" t="s">
        <v>1785</v>
      </c>
      <c r="B1541" s="83" t="s">
        <v>1994</v>
      </c>
      <c r="C1541" s="83" t="s">
        <v>68</v>
      </c>
      <c r="D1541" s="112">
        <v>1103417.0</v>
      </c>
      <c r="E1541" s="83"/>
      <c r="F1541" s="83">
        <v>2.9187583E7</v>
      </c>
      <c r="G1541" s="91" t="str">
        <f>IFERROR(__xludf.DUMMYFUNCTION("XLOOKUP(AS1541,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RENAN BALEEIRO")</f>
        <v>COLÉGIO ESTADUAL DE TEMPO INTEGRAL RENAN BALEEIRO</v>
      </c>
      <c r="H1541" s="119" t="s">
        <v>8653</v>
      </c>
      <c r="I1541" s="91" t="s">
        <v>8654</v>
      </c>
      <c r="J1541" s="83" t="s">
        <v>8307</v>
      </c>
      <c r="K1541" s="83" t="s">
        <v>150</v>
      </c>
      <c r="L1541" s="83" t="s">
        <v>151</v>
      </c>
      <c r="M1541" s="83" t="s">
        <v>152</v>
      </c>
      <c r="N1541" s="188" t="s">
        <v>8655</v>
      </c>
      <c r="O1541" s="98" t="s">
        <v>155</v>
      </c>
      <c r="P1541" s="99" t="str">
        <f>IFERROR(__xludf.DUMMYFUNCTION("IFERROR(VLOOKUP(AS1541,IMPORTRANGE(""https://docs.google.com/spreadsheets/d/1juPI-Fb8LD0YtltB2mlGEnp_R3UVu1t3wSFPzgCyHXE/edit?gid=0#gid=0"",""GERAL!A2:C""),3,0),""-"")"),"-")</f>
        <v>-</v>
      </c>
      <c r="Q1541" s="83"/>
      <c r="R1541" s="83"/>
      <c r="S1541" s="83"/>
      <c r="T1541" s="83"/>
      <c r="U1541" s="83"/>
      <c r="V1541" s="83"/>
      <c r="W1541" s="83"/>
      <c r="X1541" s="83"/>
      <c r="Y1541" s="83"/>
      <c r="Z1541" s="83"/>
      <c r="AA1541" s="83"/>
      <c r="AB1541" s="83"/>
      <c r="AC1541" s="83"/>
      <c r="AD1541" s="83"/>
      <c r="AE1541" s="83"/>
      <c r="AF1541" s="83"/>
      <c r="AG1541" s="83"/>
      <c r="AH1541" s="83"/>
      <c r="AI1541" s="83"/>
      <c r="AJ1541" s="83"/>
      <c r="AK1541" s="83"/>
      <c r="AL1541" s="83"/>
      <c r="AM1541" s="83"/>
      <c r="AN1541" s="83"/>
      <c r="AO1541" s="83"/>
      <c r="AP1541" s="83"/>
      <c r="AQ1541" s="83"/>
      <c r="AR1541" s="83"/>
      <c r="AS1541" s="83">
        <v>1103417.0</v>
      </c>
    </row>
    <row r="1542" ht="15.75" customHeight="1">
      <c r="A1542" s="111" t="s">
        <v>1785</v>
      </c>
      <c r="B1542" s="83" t="s">
        <v>1994</v>
      </c>
      <c r="C1542" s="83" t="s">
        <v>68</v>
      </c>
      <c r="D1542" s="112">
        <v>1103336.0</v>
      </c>
      <c r="E1542" s="83"/>
      <c r="F1542" s="83">
        <v>2.9182271E7</v>
      </c>
      <c r="G1542" s="91" t="str">
        <f>IFERROR(__xludf.DUMMYFUNCTION("XLOOKUP(AS1542,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RAPHAEL SERRAVALLE")</f>
        <v>COLÉGIO ESTADUAL DE TEMPO INTEGRAL RAPHAEL SERRAVALLE</v>
      </c>
      <c r="H1542" s="119" t="s">
        <v>8656</v>
      </c>
      <c r="I1542" s="91" t="s">
        <v>8657</v>
      </c>
      <c r="J1542" s="83" t="s">
        <v>8294</v>
      </c>
      <c r="K1542" s="83" t="s">
        <v>150</v>
      </c>
      <c r="L1542" s="83" t="s">
        <v>151</v>
      </c>
      <c r="M1542" s="83" t="s">
        <v>230</v>
      </c>
      <c r="N1542" s="137" t="s">
        <v>8658</v>
      </c>
      <c r="O1542" s="98" t="s">
        <v>155</v>
      </c>
      <c r="P1542" s="99" t="str">
        <f>IFERROR(__xludf.DUMMYFUNCTION("IFERROR(VLOOKUP(AS1542,IMPORTRANGE(""https://docs.google.com/spreadsheets/d/1juPI-Fb8LD0YtltB2mlGEnp_R3UVu1t3wSFPzgCyHXE/edit?gid=0#gid=0"",""GERAL!A2:C""),3,0),""-"")"),"-")</f>
        <v>-</v>
      </c>
      <c r="Q1542" s="83"/>
      <c r="R1542" s="83"/>
      <c r="S1542" s="83"/>
      <c r="T1542" s="83"/>
      <c r="U1542" s="83"/>
      <c r="V1542" s="83"/>
      <c r="W1542" s="83"/>
      <c r="X1542" s="83"/>
      <c r="Y1542" s="83"/>
      <c r="Z1542" s="83"/>
      <c r="AA1542" s="83"/>
      <c r="AB1542" s="83"/>
      <c r="AC1542" s="83"/>
      <c r="AD1542" s="83"/>
      <c r="AE1542" s="83"/>
      <c r="AF1542" s="83"/>
      <c r="AG1542" s="83"/>
      <c r="AH1542" s="83"/>
      <c r="AI1542" s="83"/>
      <c r="AJ1542" s="83"/>
      <c r="AK1542" s="83"/>
      <c r="AL1542" s="83"/>
      <c r="AM1542" s="83"/>
      <c r="AN1542" s="83"/>
      <c r="AO1542" s="83"/>
      <c r="AP1542" s="83"/>
      <c r="AQ1542" s="83"/>
      <c r="AR1542" s="83"/>
      <c r="AS1542" s="83">
        <v>1103336.0</v>
      </c>
    </row>
    <row r="1543" ht="15.75" customHeight="1">
      <c r="A1543" s="111" t="s">
        <v>1785</v>
      </c>
      <c r="B1543" s="83" t="s">
        <v>1994</v>
      </c>
      <c r="C1543" s="83" t="s">
        <v>68</v>
      </c>
      <c r="D1543" s="112">
        <v>1176660.0</v>
      </c>
      <c r="E1543" s="83"/>
      <c r="F1543" s="83">
        <v>2.9404274E7</v>
      </c>
      <c r="G1543" s="91" t="str">
        <f>IFERROR(__xludf.DUMMYFUNCTION("XLOOKUP(AS1543,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NOÊMIA REGO ")</f>
        <v>COLÉGIO ESTADUAL DE TEMPO INTEGRAL PROFESSORA NOÊMIA REGO </v>
      </c>
      <c r="H1543" s="119" t="s">
        <v>8659</v>
      </c>
      <c r="I1543" s="91" t="s">
        <v>8660</v>
      </c>
      <c r="J1543" s="83" t="s">
        <v>8446</v>
      </c>
      <c r="K1543" s="83" t="s">
        <v>150</v>
      </c>
      <c r="L1543" s="83" t="s">
        <v>151</v>
      </c>
      <c r="M1543" s="83" t="s">
        <v>230</v>
      </c>
      <c r="N1543" s="137" t="s">
        <v>8661</v>
      </c>
      <c r="O1543" s="98" t="s">
        <v>155</v>
      </c>
      <c r="P1543" s="99" t="str">
        <f>IFERROR(__xludf.DUMMYFUNCTION("IFERROR(VLOOKUP(AS1543,IMPORTRANGE(""https://docs.google.com/spreadsheets/d/1juPI-Fb8LD0YtltB2mlGEnp_R3UVu1t3wSFPzgCyHXE/edit?gid=0#gid=0"",""GERAL!A2:C""),3,0),""-"")"),"-")</f>
        <v>-</v>
      </c>
      <c r="Q1543" s="83"/>
      <c r="R1543" s="83"/>
      <c r="S1543" s="83"/>
      <c r="T1543" s="83"/>
      <c r="U1543" s="83"/>
      <c r="V1543" s="83"/>
      <c r="W1543" s="83"/>
      <c r="X1543" s="83"/>
      <c r="Y1543" s="83"/>
      <c r="Z1543" s="83"/>
      <c r="AA1543" s="83"/>
      <c r="AB1543" s="83"/>
      <c r="AC1543" s="83"/>
      <c r="AD1543" s="83"/>
      <c r="AE1543" s="83"/>
      <c r="AF1543" s="83"/>
      <c r="AG1543" s="83"/>
      <c r="AH1543" s="83"/>
      <c r="AI1543" s="83"/>
      <c r="AJ1543" s="83"/>
      <c r="AK1543" s="83"/>
      <c r="AL1543" s="83"/>
      <c r="AM1543" s="83"/>
      <c r="AN1543" s="83"/>
      <c r="AO1543" s="83"/>
      <c r="AP1543" s="83"/>
      <c r="AQ1543" s="83"/>
      <c r="AR1543" s="83"/>
      <c r="AS1543" s="83">
        <v>1176660.0</v>
      </c>
    </row>
    <row r="1544" ht="15.75" customHeight="1">
      <c r="A1544" s="111" t="s">
        <v>1785</v>
      </c>
      <c r="B1544" s="83" t="s">
        <v>1994</v>
      </c>
      <c r="C1544" s="83" t="s">
        <v>68</v>
      </c>
      <c r="D1544" s="112">
        <v>1176445.0</v>
      </c>
      <c r="E1544" s="83"/>
      <c r="F1544" s="83">
        <v>2.9386543E7</v>
      </c>
      <c r="G1544" s="91" t="str">
        <f>IFERROR(__xludf.DUMMYFUNCTION("XLOOKUP(AS1544,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HELOÍSA COSTA  - (ANTIGO CE JOSÉ AUGUSTO TOURINHO DANTAS)")</f>
        <v>COLÉGIO ESTADUAL DE TEMPO INTEGRAL PROFESSORA HELOÍSA COSTA  - (ANTIGO CE JOSÉ AUGUSTO TOURINHO DANTAS)</v>
      </c>
      <c r="H1544" s="218" t="s">
        <v>8662</v>
      </c>
      <c r="I1544" s="91" t="s">
        <v>8663</v>
      </c>
      <c r="J1544" s="83" t="s">
        <v>8233</v>
      </c>
      <c r="K1544" s="83" t="s">
        <v>150</v>
      </c>
      <c r="L1544" s="83" t="s">
        <v>151</v>
      </c>
      <c r="M1544" s="83" t="s">
        <v>152</v>
      </c>
      <c r="N1544" s="171" t="s">
        <v>8664</v>
      </c>
      <c r="O1544" s="98" t="s">
        <v>155</v>
      </c>
      <c r="P1544" s="99" t="str">
        <f>IFERROR(__xludf.DUMMYFUNCTION("IFERROR(VLOOKUP(AS1544,IMPORTRANGE(""https://docs.google.com/spreadsheets/d/1juPI-Fb8LD0YtltB2mlGEnp_R3UVu1t3wSFPzgCyHXE/edit?gid=0#gid=0"",""GERAL!A2:C""),3,0),""-"")"),"-")</f>
        <v>-</v>
      </c>
      <c r="Q1544" s="83"/>
      <c r="R1544" s="83"/>
      <c r="S1544" s="83"/>
      <c r="T1544" s="83"/>
      <c r="U1544" s="83"/>
      <c r="V1544" s="83"/>
      <c r="W1544" s="83"/>
      <c r="X1544" s="83"/>
      <c r="Y1544" s="83"/>
      <c r="Z1544" s="83"/>
      <c r="AA1544" s="83"/>
      <c r="AB1544" s="83"/>
      <c r="AC1544" s="83"/>
      <c r="AD1544" s="83"/>
      <c r="AE1544" s="83"/>
      <c r="AF1544" s="83"/>
      <c r="AG1544" s="83"/>
      <c r="AH1544" s="83"/>
      <c r="AI1544" s="83"/>
      <c r="AJ1544" s="83"/>
      <c r="AK1544" s="83"/>
      <c r="AL1544" s="83"/>
      <c r="AM1544" s="83"/>
      <c r="AN1544" s="83"/>
      <c r="AO1544" s="83"/>
      <c r="AP1544" s="83"/>
      <c r="AQ1544" s="83"/>
      <c r="AR1544" s="83"/>
      <c r="AS1544" s="83">
        <v>1176445.0</v>
      </c>
    </row>
    <row r="1545" ht="15.75" customHeight="1">
      <c r="A1545" s="111" t="s">
        <v>1785</v>
      </c>
      <c r="B1545" s="83" t="s">
        <v>1994</v>
      </c>
      <c r="C1545" s="83" t="s">
        <v>68</v>
      </c>
      <c r="D1545" s="112">
        <v>1100817.0</v>
      </c>
      <c r="E1545" s="83"/>
      <c r="F1545" s="83">
        <v>2.9192617E7</v>
      </c>
      <c r="G1545" s="91" t="str">
        <f>IFERROR(__xludf.DUMMYFUNCTION("XLOOKUP(AS1545,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PROFESSORA CLARICE PEREIRA DOS SANTOS")</f>
        <v>COLÉGIO ESTADUAL DE TEMPO INTEGRAL PROFESSORA CLARICE PEREIRA DOS SANTOS</v>
      </c>
      <c r="H1545" s="119" t="s">
        <v>8667</v>
      </c>
      <c r="I1545" s="91" t="s">
        <v>8668</v>
      </c>
      <c r="J1545" s="83" t="s">
        <v>8669</v>
      </c>
      <c r="K1545" s="83" t="s">
        <v>150</v>
      </c>
      <c r="L1545" s="83" t="s">
        <v>151</v>
      </c>
      <c r="M1545" s="98" t="s">
        <v>76</v>
      </c>
      <c r="N1545" s="137" t="s">
        <v>8670</v>
      </c>
      <c r="O1545" s="98" t="s">
        <v>155</v>
      </c>
      <c r="P1545" s="99" t="str">
        <f>IFERROR(__xludf.DUMMYFUNCTION("IFERROR(VLOOKUP(AS1545,IMPORTRANGE(""https://docs.google.com/spreadsheets/d/1juPI-Fb8LD0YtltB2mlGEnp_R3UVu1t3wSFPzgCyHXE/edit?gid=0#gid=0"",""GERAL!A2:C""),3,0),""-"")"),"-")</f>
        <v>-</v>
      </c>
      <c r="Q1545" s="83"/>
      <c r="R1545" s="83"/>
      <c r="S1545" s="83"/>
      <c r="T1545" s="83"/>
      <c r="U1545" s="83"/>
      <c r="V1545" s="83"/>
      <c r="W1545" s="83"/>
      <c r="X1545" s="83"/>
      <c r="Y1545" s="83"/>
      <c r="Z1545" s="83"/>
      <c r="AA1545" s="83"/>
      <c r="AB1545" s="83"/>
      <c r="AC1545" s="83"/>
      <c r="AD1545" s="83"/>
      <c r="AE1545" s="83"/>
      <c r="AF1545" s="83"/>
      <c r="AG1545" s="83"/>
      <c r="AH1545" s="83"/>
      <c r="AI1545" s="83"/>
      <c r="AJ1545" s="83"/>
      <c r="AK1545" s="83"/>
      <c r="AL1545" s="83"/>
      <c r="AM1545" s="83"/>
      <c r="AN1545" s="83"/>
      <c r="AO1545" s="83"/>
      <c r="AP1545" s="83"/>
      <c r="AQ1545" s="83"/>
      <c r="AR1545" s="83"/>
      <c r="AS1545" s="83">
        <v>1100817.0</v>
      </c>
    </row>
    <row r="1546" ht="15.75" customHeight="1">
      <c r="A1546" s="111" t="s">
        <v>1785</v>
      </c>
      <c r="B1546" s="83" t="s">
        <v>1994</v>
      </c>
      <c r="C1546" s="83" t="s">
        <v>68</v>
      </c>
      <c r="D1546" s="112">
        <v>1104600.0</v>
      </c>
      <c r="E1546" s="83"/>
      <c r="F1546" s="83">
        <v>2.9182174E7</v>
      </c>
      <c r="G1546" s="91" t="str">
        <f>IFERROR(__xludf.DUMMYFUNCTION("XLOOKUP(AS1546,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PEDRO PAULO MARQUES E MARQUES")</f>
        <v>COLÉGIO ESTADUAL DE TEMPO INTEGRAL PROFESSOR PEDRO PAULO MARQUES E MARQUES</v>
      </c>
      <c r="H1546" s="119" t="s">
        <v>8677</v>
      </c>
      <c r="I1546" s="91" t="s">
        <v>8678</v>
      </c>
      <c r="J1546" s="83" t="s">
        <v>8233</v>
      </c>
      <c r="K1546" s="83" t="s">
        <v>150</v>
      </c>
      <c r="L1546" s="83" t="s">
        <v>151</v>
      </c>
      <c r="M1546" s="98" t="s">
        <v>230</v>
      </c>
      <c r="N1546" s="137" t="s">
        <v>8679</v>
      </c>
      <c r="O1546" s="98" t="s">
        <v>162</v>
      </c>
      <c r="P1546" s="99" t="str">
        <f>IFERROR(__xludf.DUMMYFUNCTION("IFERROR(VLOOKUP(AS1546,IMPORTRANGE(""https://docs.google.com/spreadsheets/d/1juPI-Fb8LD0YtltB2mlGEnp_R3UVu1t3wSFPzgCyHXE/edit?gid=0#gid=0"",""GERAL!A2:C""),3,0),""-"")"),"-")</f>
        <v>-</v>
      </c>
      <c r="Q1546" s="83"/>
      <c r="R1546" s="83"/>
      <c r="S1546" s="83"/>
      <c r="T1546" s="83"/>
      <c r="U1546" s="83"/>
      <c r="V1546" s="83"/>
      <c r="W1546" s="83"/>
      <c r="X1546" s="83"/>
      <c r="Y1546" s="83"/>
      <c r="Z1546" s="83"/>
      <c r="AA1546" s="83"/>
      <c r="AB1546" s="83"/>
      <c r="AC1546" s="83"/>
      <c r="AD1546" s="83"/>
      <c r="AE1546" s="83"/>
      <c r="AF1546" s="83"/>
      <c r="AG1546" s="83"/>
      <c r="AH1546" s="83"/>
      <c r="AI1546" s="83"/>
      <c r="AJ1546" s="83"/>
      <c r="AK1546" s="83"/>
      <c r="AL1546" s="83"/>
      <c r="AM1546" s="83"/>
      <c r="AN1546" s="83"/>
      <c r="AO1546" s="83"/>
      <c r="AP1546" s="83"/>
      <c r="AQ1546" s="83"/>
      <c r="AR1546" s="83"/>
      <c r="AS1546" s="83">
        <v>1104600.0</v>
      </c>
    </row>
    <row r="1547" ht="15.75" customHeight="1">
      <c r="A1547" s="111" t="s">
        <v>1785</v>
      </c>
      <c r="B1547" s="83" t="s">
        <v>1994</v>
      </c>
      <c r="C1547" s="83" t="s">
        <v>68</v>
      </c>
      <c r="D1547" s="112">
        <v>1174721.0</v>
      </c>
      <c r="E1547" s="83"/>
      <c r="F1547" s="83">
        <v>2.9195462E7</v>
      </c>
      <c r="G1547" s="91" t="str">
        <f>IFERROR(__xludf.DUMMYFUNCTION("XLOOKUP(AS1547,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NOGUEIRA PASSOS")</f>
        <v>COLÉGIO ESTADUAL DE TEMPO INTEGRAL PROFESSOR NOGUEIRA PASSOS</v>
      </c>
      <c r="H1547" s="119" t="s">
        <v>8680</v>
      </c>
      <c r="I1547" s="108" t="s">
        <v>8681</v>
      </c>
      <c r="J1547" s="83" t="s">
        <v>8294</v>
      </c>
      <c r="K1547" s="83" t="s">
        <v>150</v>
      </c>
      <c r="L1547" s="83" t="s">
        <v>151</v>
      </c>
      <c r="M1547" s="83" t="s">
        <v>76</v>
      </c>
      <c r="N1547" s="137" t="s">
        <v>8683</v>
      </c>
      <c r="O1547" s="98" t="s">
        <v>155</v>
      </c>
      <c r="P1547" s="99" t="str">
        <f>IFERROR(__xludf.DUMMYFUNCTION("IFERROR(VLOOKUP(AS1547,IMPORTRANGE(""https://docs.google.com/spreadsheets/d/1juPI-Fb8LD0YtltB2mlGEnp_R3UVu1t3wSFPzgCyHXE/edit?gid=0#gid=0"",""GERAL!A2:C""),3,0),""-"")"),"-")</f>
        <v>-</v>
      </c>
      <c r="Q1547" s="83"/>
      <c r="R1547" s="83"/>
      <c r="S1547" s="83"/>
      <c r="T1547" s="83"/>
      <c r="U1547" s="83"/>
      <c r="V1547" s="83"/>
      <c r="W1547" s="83"/>
      <c r="X1547" s="83"/>
      <c r="Y1547" s="83"/>
      <c r="Z1547" s="83"/>
      <c r="AA1547" s="83"/>
      <c r="AB1547" s="83"/>
      <c r="AC1547" s="83"/>
      <c r="AD1547" s="83"/>
      <c r="AE1547" s="83"/>
      <c r="AF1547" s="83"/>
      <c r="AG1547" s="83"/>
      <c r="AH1547" s="83"/>
      <c r="AI1547" s="83"/>
      <c r="AJ1547" s="83"/>
      <c r="AK1547" s="83"/>
      <c r="AL1547" s="83"/>
      <c r="AM1547" s="83"/>
      <c r="AN1547" s="83"/>
      <c r="AO1547" s="83"/>
      <c r="AP1547" s="83"/>
      <c r="AQ1547" s="83"/>
      <c r="AR1547" s="83"/>
      <c r="AS1547" s="83">
        <v>1174721.0</v>
      </c>
    </row>
    <row r="1548" ht="15.75" customHeight="1">
      <c r="A1548" s="111" t="s">
        <v>1785</v>
      </c>
      <c r="B1548" s="83" t="s">
        <v>1994</v>
      </c>
      <c r="C1548" s="83" t="s">
        <v>68</v>
      </c>
      <c r="D1548" s="112">
        <v>1102925.0</v>
      </c>
      <c r="E1548" s="83"/>
      <c r="F1548" s="83">
        <v>2.9192153E7</v>
      </c>
      <c r="G1548" s="91" t="str">
        <f>IFERROR(__xludf.DUMMYFUNCTION("XLOOKUP(AS1548,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PROFESSOR NELSON BARROS")</f>
        <v>COLÉGIO ESTADUAL DE TEMPO INTEGRAL PROFESSOR NELSON BARROS</v>
      </c>
      <c r="H1548" s="119" t="s">
        <v>8688</v>
      </c>
      <c r="I1548" s="91" t="s">
        <v>8689</v>
      </c>
      <c r="J1548" s="83" t="s">
        <v>8690</v>
      </c>
      <c r="K1548" s="83" t="s">
        <v>150</v>
      </c>
      <c r="L1548" s="83" t="s">
        <v>151</v>
      </c>
      <c r="M1548" s="83" t="s">
        <v>152</v>
      </c>
      <c r="N1548" s="137" t="s">
        <v>8691</v>
      </c>
      <c r="O1548" s="98" t="s">
        <v>155</v>
      </c>
      <c r="P1548" s="99" t="str">
        <f>IFERROR(__xludf.DUMMYFUNCTION("IFERROR(VLOOKUP(AS1548,IMPORTRANGE(""https://docs.google.com/spreadsheets/d/1juPI-Fb8LD0YtltB2mlGEnp_R3UVu1t3wSFPzgCyHXE/edit?gid=0#gid=0"",""GERAL!A2:C""),3,0),""-"")"),"-")</f>
        <v>-</v>
      </c>
      <c r="Q1548" s="83"/>
      <c r="R1548" s="83"/>
      <c r="S1548" s="83"/>
      <c r="T1548" s="83"/>
      <c r="U1548" s="83"/>
      <c r="V1548" s="83"/>
      <c r="W1548" s="83"/>
      <c r="X1548" s="83"/>
      <c r="Y1548" s="83"/>
      <c r="Z1548" s="83"/>
      <c r="AA1548" s="83"/>
      <c r="AB1548" s="83"/>
      <c r="AC1548" s="83"/>
      <c r="AD1548" s="83"/>
      <c r="AE1548" s="83"/>
      <c r="AF1548" s="83"/>
      <c r="AG1548" s="83"/>
      <c r="AH1548" s="83"/>
      <c r="AI1548" s="83"/>
      <c r="AJ1548" s="83"/>
      <c r="AK1548" s="83"/>
      <c r="AL1548" s="83"/>
      <c r="AM1548" s="83"/>
      <c r="AN1548" s="83"/>
      <c r="AO1548" s="83"/>
      <c r="AP1548" s="83"/>
      <c r="AQ1548" s="83"/>
      <c r="AR1548" s="83"/>
      <c r="AS1548" s="83">
        <v>1102925.0</v>
      </c>
    </row>
    <row r="1549" ht="15.75" customHeight="1">
      <c r="A1549" s="111" t="s">
        <v>1785</v>
      </c>
      <c r="B1549" s="83" t="s">
        <v>1994</v>
      </c>
      <c r="C1549" s="83" t="s">
        <v>68</v>
      </c>
      <c r="D1549" s="112">
        <v>1104057.0</v>
      </c>
      <c r="E1549" s="83"/>
      <c r="F1549" s="83">
        <v>2.9191068E7</v>
      </c>
      <c r="G1549" s="91" t="str">
        <f>IFERROR(__xludf.DUMMYFUNCTION("XLOOKUP(AS1549,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PINTO DE AGUIAR")</f>
        <v>COLÉGIO ESTADUAL DE TEMPO INTEGRAL PINTO DE AGUIAR</v>
      </c>
      <c r="H1549" s="119" t="s">
        <v>8697</v>
      </c>
      <c r="I1549" s="91" t="s">
        <v>8699</v>
      </c>
      <c r="J1549" s="83" t="s">
        <v>8150</v>
      </c>
      <c r="K1549" s="83" t="s">
        <v>150</v>
      </c>
      <c r="L1549" s="83" t="s">
        <v>151</v>
      </c>
      <c r="M1549" s="83" t="s">
        <v>152</v>
      </c>
      <c r="N1549" s="137" t="s">
        <v>8701</v>
      </c>
      <c r="O1549" s="98" t="s">
        <v>155</v>
      </c>
      <c r="P1549" s="99" t="str">
        <f>IFERROR(__xludf.DUMMYFUNCTION("IFERROR(VLOOKUP(AS1549,IMPORTRANGE(""https://docs.google.com/spreadsheets/d/1juPI-Fb8LD0YtltB2mlGEnp_R3UVu1t3wSFPzgCyHXE/edit?gid=0#gid=0"",""GERAL!A2:C""),3,0),""-"")"),"-")</f>
        <v>-</v>
      </c>
      <c r="Q1549" s="83"/>
      <c r="R1549" s="83"/>
      <c r="S1549" s="83"/>
      <c r="T1549" s="83"/>
      <c r="U1549" s="83"/>
      <c r="V1549" s="83"/>
      <c r="W1549" s="83"/>
      <c r="X1549" s="83"/>
      <c r="Y1549" s="83"/>
      <c r="Z1549" s="83"/>
      <c r="AA1549" s="83"/>
      <c r="AB1549" s="83"/>
      <c r="AC1549" s="83"/>
      <c r="AD1549" s="83"/>
      <c r="AE1549" s="83"/>
      <c r="AF1549" s="83"/>
      <c r="AG1549" s="83"/>
      <c r="AH1549" s="83"/>
      <c r="AI1549" s="83"/>
      <c r="AJ1549" s="83"/>
      <c r="AK1549" s="83"/>
      <c r="AL1549" s="83"/>
      <c r="AM1549" s="83"/>
      <c r="AN1549" s="83"/>
      <c r="AO1549" s="83"/>
      <c r="AP1549" s="83"/>
      <c r="AQ1549" s="83"/>
      <c r="AR1549" s="83"/>
      <c r="AS1549" s="83">
        <v>1104057.0</v>
      </c>
    </row>
    <row r="1550" ht="15.75" customHeight="1">
      <c r="A1550" s="111" t="s">
        <v>1785</v>
      </c>
      <c r="B1550" s="83" t="s">
        <v>1994</v>
      </c>
      <c r="C1550" s="83" t="s">
        <v>68</v>
      </c>
      <c r="D1550" s="112">
        <v>1103662.0</v>
      </c>
      <c r="E1550" s="83"/>
      <c r="F1550" s="83">
        <v>2.9182239E7</v>
      </c>
      <c r="G1550" s="91" t="str">
        <f>IFERROR(__xludf.DUMMYFUNCTION("XLOOKUP(AS1550,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PEDRO CALMON")</f>
        <v>COLÉGIO ESTADUAL DE TEMPO INTEGRAL PEDRO CALMON</v>
      </c>
      <c r="H1550" s="119" t="s">
        <v>2447</v>
      </c>
      <c r="I1550" s="91" t="s">
        <v>8702</v>
      </c>
      <c r="J1550" s="83" t="s">
        <v>8703</v>
      </c>
      <c r="K1550" s="83" t="s">
        <v>150</v>
      </c>
      <c r="L1550" s="83" t="s">
        <v>151</v>
      </c>
      <c r="M1550" s="83" t="s">
        <v>152</v>
      </c>
      <c r="N1550" s="171" t="s">
        <v>8705</v>
      </c>
      <c r="O1550" s="98" t="s">
        <v>155</v>
      </c>
      <c r="P1550" s="99" t="str">
        <f>IFERROR(__xludf.DUMMYFUNCTION("IFERROR(VLOOKUP(AS1550,IMPORTRANGE(""https://docs.google.com/spreadsheets/d/1juPI-Fb8LD0YtltB2mlGEnp_R3UVu1t3wSFPzgCyHXE/edit?gid=0#gid=0"",""GERAL!A2:C""),3,0),""-"")"),"-")</f>
        <v>-</v>
      </c>
      <c r="Q1550" s="83"/>
      <c r="R1550" s="83"/>
      <c r="S1550" s="83"/>
      <c r="T1550" s="83"/>
      <c r="U1550" s="83"/>
      <c r="V1550" s="83"/>
      <c r="W1550" s="83"/>
      <c r="X1550" s="83"/>
      <c r="Y1550" s="83"/>
      <c r="Z1550" s="83"/>
      <c r="AA1550" s="83"/>
      <c r="AB1550" s="83"/>
      <c r="AC1550" s="83"/>
      <c r="AD1550" s="83"/>
      <c r="AE1550" s="83"/>
      <c r="AF1550" s="83"/>
      <c r="AG1550" s="83"/>
      <c r="AH1550" s="83"/>
      <c r="AI1550" s="83"/>
      <c r="AJ1550" s="83"/>
      <c r="AK1550" s="83"/>
      <c r="AL1550" s="83"/>
      <c r="AM1550" s="83"/>
      <c r="AN1550" s="83"/>
      <c r="AO1550" s="83"/>
      <c r="AP1550" s="83"/>
      <c r="AQ1550" s="83"/>
      <c r="AR1550" s="83"/>
      <c r="AS1550" s="83">
        <v>1103662.0</v>
      </c>
    </row>
    <row r="1551" ht="15.75" customHeight="1">
      <c r="A1551" s="111" t="s">
        <v>1785</v>
      </c>
      <c r="B1551" s="83" t="s">
        <v>1994</v>
      </c>
      <c r="C1551" s="83" t="s">
        <v>68</v>
      </c>
      <c r="D1551" s="112">
        <v>1176422.0</v>
      </c>
      <c r="E1551" s="83"/>
      <c r="F1551" s="83">
        <v>2.9392861E7</v>
      </c>
      <c r="G1551" s="91" t="str">
        <f>IFERROR(__xludf.DUMMYFUNCTION("XLOOKUP(AS1551,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DE TEMPO INTEGRAL PAULO FREIRE")</f>
        <v>COLEGIO ESTADUAL DE TEMPO INTEGRAL PAULO FREIRE</v>
      </c>
      <c r="H1551" s="119" t="s">
        <v>8706</v>
      </c>
      <c r="I1551" s="91" t="s">
        <v>8707</v>
      </c>
      <c r="J1551" s="83" t="s">
        <v>8154</v>
      </c>
      <c r="K1551" s="83" t="s">
        <v>150</v>
      </c>
      <c r="L1551" s="83" t="s">
        <v>151</v>
      </c>
      <c r="M1551" s="83" t="s">
        <v>152</v>
      </c>
      <c r="N1551" s="137" t="s">
        <v>8708</v>
      </c>
      <c r="O1551" s="98" t="s">
        <v>155</v>
      </c>
      <c r="P1551" s="99" t="str">
        <f>IFERROR(__xludf.DUMMYFUNCTION("IFERROR(VLOOKUP(AS1551,IMPORTRANGE(""https://docs.google.com/spreadsheets/d/1juPI-Fb8LD0YtltB2mlGEnp_R3UVu1t3wSFPzgCyHXE/edit?gid=0#gid=0"",""GERAL!A2:C""),3,0),""-"")"),"-")</f>
        <v>-</v>
      </c>
      <c r="Q1551" s="83"/>
      <c r="R1551" s="83"/>
      <c r="S1551" s="83"/>
      <c r="T1551" s="83"/>
      <c r="U1551" s="83"/>
      <c r="V1551" s="83"/>
      <c r="W1551" s="83"/>
      <c r="X1551" s="83"/>
      <c r="Y1551" s="83"/>
      <c r="Z1551" s="83"/>
      <c r="AA1551" s="83"/>
      <c r="AB1551" s="83"/>
      <c r="AC1551" s="83"/>
      <c r="AD1551" s="83"/>
      <c r="AE1551" s="83"/>
      <c r="AF1551" s="83"/>
      <c r="AG1551" s="83"/>
      <c r="AH1551" s="83"/>
      <c r="AI1551" s="83"/>
      <c r="AJ1551" s="83"/>
      <c r="AK1551" s="83"/>
      <c r="AL1551" s="83"/>
      <c r="AM1551" s="83"/>
      <c r="AN1551" s="83"/>
      <c r="AO1551" s="83"/>
      <c r="AP1551" s="83"/>
      <c r="AQ1551" s="83"/>
      <c r="AR1551" s="83"/>
      <c r="AS1551" s="83">
        <v>1176422.0</v>
      </c>
    </row>
    <row r="1552" ht="15.75" customHeight="1">
      <c r="A1552" s="111" t="s">
        <v>1785</v>
      </c>
      <c r="B1552" s="83" t="s">
        <v>1994</v>
      </c>
      <c r="C1552" s="83" t="s">
        <v>68</v>
      </c>
      <c r="D1552" s="112">
        <v>1104596.0</v>
      </c>
      <c r="E1552" s="83"/>
      <c r="F1552" s="83">
        <v>2.9181534E7</v>
      </c>
      <c r="G1552" s="91" t="str">
        <f>IFERROR(__xludf.DUMMYFUNCTION("XLOOKUP(AS1552,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NELSON MANDELA")</f>
        <v>COLÉGIO ESTADUAL DE TEMPO INTEGRAL NELSON MANDELA</v>
      </c>
      <c r="H1552" s="119" t="s">
        <v>8710</v>
      </c>
      <c r="I1552" s="91" t="s">
        <v>8711</v>
      </c>
      <c r="J1552" s="83" t="s">
        <v>8363</v>
      </c>
      <c r="K1552" s="83" t="s">
        <v>150</v>
      </c>
      <c r="L1552" s="83" t="s">
        <v>151</v>
      </c>
      <c r="M1552" s="83" t="s">
        <v>230</v>
      </c>
      <c r="N1552" s="137" t="s">
        <v>8715</v>
      </c>
      <c r="O1552" s="98" t="s">
        <v>155</v>
      </c>
      <c r="P1552" s="99" t="str">
        <f>IFERROR(__xludf.DUMMYFUNCTION("IFERROR(VLOOKUP(AS1552,IMPORTRANGE(""https://docs.google.com/spreadsheets/d/1juPI-Fb8LD0YtltB2mlGEnp_R3UVu1t3wSFPzgCyHXE/edit?gid=0#gid=0"",""GERAL!A2:C""),3,0),""-"")"),"-")</f>
        <v>-</v>
      </c>
      <c r="Q1552" s="83"/>
      <c r="R1552" s="83"/>
      <c r="S1552" s="83"/>
      <c r="T1552" s="83"/>
      <c r="U1552" s="83"/>
      <c r="V1552" s="83"/>
      <c r="W1552" s="83"/>
      <c r="X1552" s="83"/>
      <c r="Y1552" s="83"/>
      <c r="Z1552" s="83"/>
      <c r="AA1552" s="83"/>
      <c r="AB1552" s="83"/>
      <c r="AC1552" s="83"/>
      <c r="AD1552" s="83"/>
      <c r="AE1552" s="83"/>
      <c r="AF1552" s="83"/>
      <c r="AG1552" s="83"/>
      <c r="AH1552" s="83"/>
      <c r="AI1552" s="83"/>
      <c r="AJ1552" s="83"/>
      <c r="AK1552" s="83"/>
      <c r="AL1552" s="83"/>
      <c r="AM1552" s="83"/>
      <c r="AN1552" s="83"/>
      <c r="AO1552" s="83"/>
      <c r="AP1552" s="83"/>
      <c r="AQ1552" s="83"/>
      <c r="AR1552" s="83"/>
      <c r="AS1552" s="83">
        <v>1104596.0</v>
      </c>
    </row>
    <row r="1553" ht="15.75" customHeight="1">
      <c r="A1553" s="111" t="s">
        <v>1785</v>
      </c>
      <c r="B1553" s="83" t="s">
        <v>1994</v>
      </c>
      <c r="C1553" s="83" t="s">
        <v>68</v>
      </c>
      <c r="D1553" s="112">
        <v>1100426.0</v>
      </c>
      <c r="E1553" s="83"/>
      <c r="F1553" s="83">
        <v>2.919203E7</v>
      </c>
      <c r="G1553" s="91" t="str">
        <f>IFERROR(__xludf.DUMMYFUNCTION("XLOOKUP(AS1553,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MINISTRO ALIOMAR BALEEIRO")</f>
        <v>COLÉGIO ESTADUAL DE TEMPO INTEGRAL MINISTRO ALIOMAR BALEEIRO</v>
      </c>
      <c r="H1553" s="119" t="s">
        <v>8720</v>
      </c>
      <c r="I1553" s="91" t="s">
        <v>8721</v>
      </c>
      <c r="J1553" s="83" t="s">
        <v>8158</v>
      </c>
      <c r="K1553" s="83" t="s">
        <v>150</v>
      </c>
      <c r="L1553" s="83" t="s">
        <v>151</v>
      </c>
      <c r="M1553" s="83" t="s">
        <v>152</v>
      </c>
      <c r="N1553" s="137" t="s">
        <v>8722</v>
      </c>
      <c r="O1553" s="98" t="s">
        <v>155</v>
      </c>
      <c r="P1553" s="99" t="str">
        <f>IFERROR(__xludf.DUMMYFUNCTION("IFERROR(VLOOKUP(AS1553,IMPORTRANGE(""https://docs.google.com/spreadsheets/d/1juPI-Fb8LD0YtltB2mlGEnp_R3UVu1t3wSFPzgCyHXE/edit?gid=0#gid=0"",""GERAL!A2:C""),3,0),""-"")"),"-")</f>
        <v>-</v>
      </c>
      <c r="Q1553" s="83"/>
      <c r="R1553" s="83"/>
      <c r="S1553" s="83"/>
      <c r="T1553" s="83"/>
      <c r="U1553" s="83"/>
      <c r="V1553" s="83"/>
      <c r="W1553" s="83"/>
      <c r="X1553" s="83"/>
      <c r="Y1553" s="83"/>
      <c r="Z1553" s="83"/>
      <c r="AA1553" s="83"/>
      <c r="AB1553" s="83"/>
      <c r="AC1553" s="83"/>
      <c r="AD1553" s="83"/>
      <c r="AE1553" s="83"/>
      <c r="AF1553" s="83"/>
      <c r="AG1553" s="83"/>
      <c r="AH1553" s="83"/>
      <c r="AI1553" s="83"/>
      <c r="AJ1553" s="83"/>
      <c r="AK1553" s="83"/>
      <c r="AL1553" s="83"/>
      <c r="AM1553" s="83"/>
      <c r="AN1553" s="83"/>
      <c r="AO1553" s="83"/>
      <c r="AP1553" s="83"/>
      <c r="AQ1553" s="83"/>
      <c r="AR1553" s="83"/>
      <c r="AS1553" s="83">
        <v>1100426.0</v>
      </c>
    </row>
    <row r="1554" ht="15.75" customHeight="1">
      <c r="A1554" s="111" t="s">
        <v>1785</v>
      </c>
      <c r="B1554" s="83" t="s">
        <v>1994</v>
      </c>
      <c r="C1554" s="83" t="s">
        <v>68</v>
      </c>
      <c r="D1554" s="112">
        <v>1178138.0</v>
      </c>
      <c r="E1554" s="83"/>
      <c r="F1554" s="83">
        <v>2.9438934E7</v>
      </c>
      <c r="G1554" s="91" t="str">
        <f>IFERROR(__xludf.DUMMYFUNCTION("XLOOKUP(AS1554,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MESTRE PAULO DOS ANJOS")</f>
        <v>COLÉGIO ESTADUAL DE TEMPO INTEGRAL MESTRE PAULO DOS ANJOS</v>
      </c>
      <c r="H1554" s="119" t="s">
        <v>8723</v>
      </c>
      <c r="I1554" s="91" t="s">
        <v>8724</v>
      </c>
      <c r="J1554" s="83" t="s">
        <v>8725</v>
      </c>
      <c r="K1554" s="83" t="s">
        <v>150</v>
      </c>
      <c r="L1554" s="83" t="s">
        <v>151</v>
      </c>
      <c r="M1554" s="98" t="s">
        <v>230</v>
      </c>
      <c r="N1554" s="137" t="s">
        <v>8726</v>
      </c>
      <c r="O1554" s="98" t="s">
        <v>155</v>
      </c>
      <c r="P1554" s="99" t="str">
        <f>IFERROR(__xludf.DUMMYFUNCTION("IFERROR(VLOOKUP(AS1554,IMPORTRANGE(""https://docs.google.com/spreadsheets/d/1juPI-Fb8LD0YtltB2mlGEnp_R3UVu1t3wSFPzgCyHXE/edit?gid=0#gid=0"",""GERAL!A2:C""),3,0),""-"")"),"-")</f>
        <v>-</v>
      </c>
      <c r="Q1554" s="83"/>
      <c r="R1554" s="83"/>
      <c r="S1554" s="83"/>
      <c r="T1554" s="83"/>
      <c r="U1554" s="83"/>
      <c r="V1554" s="83"/>
      <c r="W1554" s="83"/>
      <c r="X1554" s="83"/>
      <c r="Y1554" s="83"/>
      <c r="Z1554" s="83"/>
      <c r="AA1554" s="83"/>
      <c r="AB1554" s="83"/>
      <c r="AC1554" s="83"/>
      <c r="AD1554" s="83"/>
      <c r="AE1554" s="83"/>
      <c r="AF1554" s="83"/>
      <c r="AG1554" s="83"/>
      <c r="AH1554" s="83"/>
      <c r="AI1554" s="83"/>
      <c r="AJ1554" s="83"/>
      <c r="AK1554" s="83"/>
      <c r="AL1554" s="83"/>
      <c r="AM1554" s="83"/>
      <c r="AN1554" s="83"/>
      <c r="AO1554" s="83"/>
      <c r="AP1554" s="83"/>
      <c r="AQ1554" s="83"/>
      <c r="AR1554" s="83"/>
      <c r="AS1554" s="83">
        <v>1178138.0</v>
      </c>
    </row>
    <row r="1555" ht="15.75" customHeight="1">
      <c r="A1555" s="111" t="s">
        <v>1785</v>
      </c>
      <c r="B1555" s="83" t="s">
        <v>1994</v>
      </c>
      <c r="C1555" s="83" t="s">
        <v>68</v>
      </c>
      <c r="D1555" s="112">
        <v>1102984.0</v>
      </c>
      <c r="E1555" s="83"/>
      <c r="F1555" s="83">
        <v>2.9193699E7</v>
      </c>
      <c r="G1555" s="91" t="str">
        <f>IFERROR(__xludf.DUMMYFUNCTION("XLOOKUP(AS1555,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MARIO COSTA NETO")</f>
        <v>COLÉGIO ESTADUAL DE TEMPO INTEGRAL MARIO COSTA NETO</v>
      </c>
      <c r="H1555" s="119" t="s">
        <v>8727</v>
      </c>
      <c r="I1555" s="91" t="s">
        <v>8728</v>
      </c>
      <c r="J1555" s="83" t="s">
        <v>8545</v>
      </c>
      <c r="K1555" s="83" t="s">
        <v>150</v>
      </c>
      <c r="L1555" s="83" t="s">
        <v>151</v>
      </c>
      <c r="M1555" s="83" t="s">
        <v>152</v>
      </c>
      <c r="N1555" s="137" t="s">
        <v>8729</v>
      </c>
      <c r="O1555" s="98" t="s">
        <v>155</v>
      </c>
      <c r="P1555" s="99" t="str">
        <f>IFERROR(__xludf.DUMMYFUNCTION("IFERROR(VLOOKUP(AS1555,IMPORTRANGE(""https://docs.google.com/spreadsheets/d/1juPI-Fb8LD0YtltB2mlGEnp_R3UVu1t3wSFPzgCyHXE/edit?gid=0#gid=0"",""GERAL!A2:C""),3,0),""-"")"),"-")</f>
        <v>-</v>
      </c>
      <c r="Q1555" s="83"/>
      <c r="R1555" s="83"/>
      <c r="S1555" s="83"/>
      <c r="T1555" s="83"/>
      <c r="U1555" s="83"/>
      <c r="V1555" s="83"/>
      <c r="W1555" s="83"/>
      <c r="X1555" s="83"/>
      <c r="Y1555" s="83"/>
      <c r="Z1555" s="83"/>
      <c r="AA1555" s="83"/>
      <c r="AB1555" s="83"/>
      <c r="AC1555" s="83"/>
      <c r="AD1555" s="83"/>
      <c r="AE1555" s="83"/>
      <c r="AF1555" s="83"/>
      <c r="AG1555" s="83"/>
      <c r="AH1555" s="83"/>
      <c r="AI1555" s="83"/>
      <c r="AJ1555" s="83"/>
      <c r="AK1555" s="83"/>
      <c r="AL1555" s="83"/>
      <c r="AM1555" s="83"/>
      <c r="AN1555" s="83"/>
      <c r="AO1555" s="83"/>
      <c r="AP1555" s="83"/>
      <c r="AQ1555" s="83"/>
      <c r="AR1555" s="83"/>
      <c r="AS1555" s="83">
        <v>1102984.0</v>
      </c>
    </row>
    <row r="1556" ht="15.75" customHeight="1">
      <c r="A1556" s="111" t="s">
        <v>1785</v>
      </c>
      <c r="B1556" s="83" t="s">
        <v>1994</v>
      </c>
      <c r="C1556" s="83" t="s">
        <v>68</v>
      </c>
      <c r="D1556" s="112">
        <v>1102666.0</v>
      </c>
      <c r="E1556" s="83"/>
      <c r="F1556" s="83">
        <v>2.91815E7</v>
      </c>
      <c r="G1556" s="91" t="str">
        <f>IFERROR(__xludf.DUMMYFUNCTION("XLOOKUP(AS1556,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MANOEL DEVOTO")</f>
        <v>COLÉGIO ESTADUAL DE TEMPO INTEGRAL MANOEL DEVOTO</v>
      </c>
      <c r="H1556" s="119" t="s">
        <v>8730</v>
      </c>
      <c r="I1556" s="91" t="s">
        <v>8731</v>
      </c>
      <c r="J1556" s="83" t="s">
        <v>8579</v>
      </c>
      <c r="K1556" s="83" t="s">
        <v>150</v>
      </c>
      <c r="L1556" s="83" t="s">
        <v>151</v>
      </c>
      <c r="M1556" s="83" t="s">
        <v>230</v>
      </c>
      <c r="N1556" s="137" t="s">
        <v>8732</v>
      </c>
      <c r="O1556" s="98" t="s">
        <v>155</v>
      </c>
      <c r="P1556" s="99" t="str">
        <f>IFERROR(__xludf.DUMMYFUNCTION("IFERROR(VLOOKUP(AS1556,IMPORTRANGE(""https://docs.google.com/spreadsheets/d/1juPI-Fb8LD0YtltB2mlGEnp_R3UVu1t3wSFPzgCyHXE/edit?gid=0#gid=0"",""GERAL!A2:C""),3,0),""-"")"),"-")</f>
        <v>-</v>
      </c>
      <c r="Q1556" s="83"/>
      <c r="R1556" s="83"/>
      <c r="S1556" s="83"/>
      <c r="T1556" s="83"/>
      <c r="U1556" s="83"/>
      <c r="V1556" s="83"/>
      <c r="W1556" s="83"/>
      <c r="X1556" s="83"/>
      <c r="Y1556" s="83"/>
      <c r="Z1556" s="83"/>
      <c r="AA1556" s="83"/>
      <c r="AB1556" s="83"/>
      <c r="AC1556" s="83"/>
      <c r="AD1556" s="83"/>
      <c r="AE1556" s="83"/>
      <c r="AF1556" s="83"/>
      <c r="AG1556" s="83"/>
      <c r="AH1556" s="83"/>
      <c r="AI1556" s="83"/>
      <c r="AJ1556" s="83"/>
      <c r="AK1556" s="83"/>
      <c r="AL1556" s="83"/>
      <c r="AM1556" s="83"/>
      <c r="AN1556" s="83"/>
      <c r="AO1556" s="83"/>
      <c r="AP1556" s="83"/>
      <c r="AQ1556" s="83"/>
      <c r="AR1556" s="83"/>
      <c r="AS1556" s="83">
        <v>1102666.0</v>
      </c>
    </row>
    <row r="1557" ht="15.75" customHeight="1">
      <c r="A1557" s="111" t="s">
        <v>1785</v>
      </c>
      <c r="B1557" s="83" t="s">
        <v>1994</v>
      </c>
      <c r="C1557" s="83" t="s">
        <v>68</v>
      </c>
      <c r="D1557" s="112">
        <v>1103816.0</v>
      </c>
      <c r="E1557" s="83"/>
      <c r="F1557" s="83">
        <v>2.9190894E7</v>
      </c>
      <c r="G1557" s="91" t="str">
        <f>IFERROR(__xludf.DUMMYFUNCTION("XLOOKUP(AS1557,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JOSÉ DIAS DE SALES - JARDIM CAJAZEIRAS 
(ANTIGO COLÉGIO ESTADUAL DEPUTADO ROGÉRIO RÊGO)")</f>
        <v>COLÉGIO ESTADUAL DE TEMPO INTEGRAL JOSÉ DIAS DE SALES - JARDIM CAJAZEIRAS 
(ANTIGO COLÉGIO ESTADUAL DEPUTADO ROGÉRIO RÊGO)</v>
      </c>
      <c r="H1557" s="119" t="s">
        <v>8733</v>
      </c>
      <c r="I1557" s="91" t="s">
        <v>8734</v>
      </c>
      <c r="J1557" s="83" t="s">
        <v>8735</v>
      </c>
      <c r="K1557" s="83" t="s">
        <v>150</v>
      </c>
      <c r="L1557" s="83" t="s">
        <v>151</v>
      </c>
      <c r="M1557" s="98" t="s">
        <v>230</v>
      </c>
      <c r="N1557" s="137" t="s">
        <v>8736</v>
      </c>
      <c r="O1557" s="98" t="s">
        <v>162</v>
      </c>
      <c r="P1557" s="99" t="str">
        <f>IFERROR(__xludf.DUMMYFUNCTION("IFERROR(VLOOKUP(AS1557,IMPORTRANGE(""https://docs.google.com/spreadsheets/d/1juPI-Fb8LD0YtltB2mlGEnp_R3UVu1t3wSFPzgCyHXE/edit?gid=0#gid=0"",""GERAL!A2:C""),3,0),""-"")"),"-")</f>
        <v>-</v>
      </c>
      <c r="Q1557" s="83"/>
      <c r="R1557" s="83"/>
      <c r="S1557" s="83"/>
      <c r="T1557" s="83"/>
      <c r="U1557" s="83"/>
      <c r="V1557" s="83"/>
      <c r="W1557" s="83"/>
      <c r="X1557" s="83"/>
      <c r="Y1557" s="83"/>
      <c r="Z1557" s="83"/>
      <c r="AA1557" s="83"/>
      <c r="AB1557" s="83"/>
      <c r="AC1557" s="83"/>
      <c r="AD1557" s="83"/>
      <c r="AE1557" s="83"/>
      <c r="AF1557" s="83"/>
      <c r="AG1557" s="83"/>
      <c r="AH1557" s="83"/>
      <c r="AI1557" s="83"/>
      <c r="AJ1557" s="83"/>
      <c r="AK1557" s="83"/>
      <c r="AL1557" s="83"/>
      <c r="AM1557" s="83"/>
      <c r="AN1557" s="83"/>
      <c r="AO1557" s="83"/>
      <c r="AP1557" s="83"/>
      <c r="AQ1557" s="83"/>
      <c r="AR1557" s="83"/>
      <c r="AS1557" s="83">
        <v>1103816.0</v>
      </c>
    </row>
    <row r="1558" ht="15.75" customHeight="1">
      <c r="A1558" s="111" t="s">
        <v>1785</v>
      </c>
      <c r="B1558" s="83" t="s">
        <v>1994</v>
      </c>
      <c r="C1558" s="83" t="s">
        <v>68</v>
      </c>
      <c r="D1558" s="112">
        <v>1175280.0</v>
      </c>
      <c r="E1558" s="83"/>
      <c r="F1558" s="83">
        <v>2.9192307E7</v>
      </c>
      <c r="G1558" s="91" t="str">
        <f>IFERROR(__xludf.DUMMYFUNCTION("XLOOKUP(AS1558,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HELENA MAGALHÃES")</f>
        <v>COLÉGIO ESTADUAL DE TEMPO INTEGRAL HELENA MAGALHÃES</v>
      </c>
      <c r="H1558" s="119" t="s">
        <v>8737</v>
      </c>
      <c r="I1558" s="91" t="s">
        <v>8738</v>
      </c>
      <c r="J1558" s="83" t="s">
        <v>8461</v>
      </c>
      <c r="K1558" s="83" t="s">
        <v>150</v>
      </c>
      <c r="L1558" s="83" t="s">
        <v>151</v>
      </c>
      <c r="M1558" s="83" t="s">
        <v>152</v>
      </c>
      <c r="N1558" s="137" t="s">
        <v>8739</v>
      </c>
      <c r="O1558" s="98" t="s">
        <v>155</v>
      </c>
      <c r="P1558" s="99" t="str">
        <f>IFERROR(__xludf.DUMMYFUNCTION("IFERROR(VLOOKUP(AS1558,IMPORTRANGE(""https://docs.google.com/spreadsheets/d/1juPI-Fb8LD0YtltB2mlGEnp_R3UVu1t3wSFPzgCyHXE/edit?gid=0#gid=0"",""GERAL!A2:C""),3,0),""-"")"),"-")</f>
        <v>-</v>
      </c>
      <c r="Q1558" s="83"/>
      <c r="R1558" s="83"/>
      <c r="S1558" s="83"/>
      <c r="T1558" s="83"/>
      <c r="U1558" s="83"/>
      <c r="V1558" s="83"/>
      <c r="W1558" s="83"/>
      <c r="X1558" s="83"/>
      <c r="Y1558" s="83"/>
      <c r="Z1558" s="83"/>
      <c r="AA1558" s="83"/>
      <c r="AB1558" s="83"/>
      <c r="AC1558" s="83"/>
      <c r="AD1558" s="83"/>
      <c r="AE1558" s="83"/>
      <c r="AF1558" s="83"/>
      <c r="AG1558" s="83"/>
      <c r="AH1558" s="83"/>
      <c r="AI1558" s="83"/>
      <c r="AJ1558" s="83"/>
      <c r="AK1558" s="83"/>
      <c r="AL1558" s="83"/>
      <c r="AM1558" s="83"/>
      <c r="AN1558" s="83"/>
      <c r="AO1558" s="83"/>
      <c r="AP1558" s="83"/>
      <c r="AQ1558" s="83"/>
      <c r="AR1558" s="83"/>
      <c r="AS1558" s="83">
        <v>1175280.0</v>
      </c>
    </row>
    <row r="1559" ht="15.75" customHeight="1">
      <c r="A1559" s="111" t="s">
        <v>1785</v>
      </c>
      <c r="B1559" s="83" t="s">
        <v>1994</v>
      </c>
      <c r="C1559" s="83" t="s">
        <v>68</v>
      </c>
      <c r="D1559" s="112">
        <v>1141939.0</v>
      </c>
      <c r="E1559" s="83"/>
      <c r="F1559" s="83">
        <v>2.9192293E7</v>
      </c>
      <c r="G1559" s="91" t="str">
        <f>IFERROR(__xludf.DUMMYFUNCTION("XLOOKUP(AS1559,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HEITOR VILLA LOBOS")</f>
        <v>COLÉGIO ESTADUAL DE TEMPO INTEGRAL HEITOR VILLA LOBOS</v>
      </c>
      <c r="H1559" s="119" t="s">
        <v>8740</v>
      </c>
      <c r="I1559" s="91" t="s">
        <v>8741</v>
      </c>
      <c r="J1559" s="83" t="s">
        <v>8382</v>
      </c>
      <c r="K1559" s="83" t="s">
        <v>150</v>
      </c>
      <c r="L1559" s="83" t="s">
        <v>151</v>
      </c>
      <c r="M1559" s="83" t="s">
        <v>152</v>
      </c>
      <c r="N1559" s="137" t="s">
        <v>8742</v>
      </c>
      <c r="O1559" s="98" t="s">
        <v>155</v>
      </c>
      <c r="P1559" s="99" t="str">
        <f>IFERROR(__xludf.DUMMYFUNCTION("IFERROR(VLOOKUP(AS1559,IMPORTRANGE(""https://docs.google.com/spreadsheets/d/1juPI-Fb8LD0YtltB2mlGEnp_R3UVu1t3wSFPzgCyHXE/edit?gid=0#gid=0"",""GERAL!A2:C""),3,0),""-"")"),"-")</f>
        <v>-</v>
      </c>
      <c r="Q1559" s="83"/>
      <c r="R1559" s="83"/>
      <c r="S1559" s="83"/>
      <c r="T1559" s="83"/>
      <c r="U1559" s="83"/>
      <c r="V1559" s="83"/>
      <c r="W1559" s="83"/>
      <c r="X1559" s="83"/>
      <c r="Y1559" s="83"/>
      <c r="Z1559" s="83"/>
      <c r="AA1559" s="83"/>
      <c r="AB1559" s="83"/>
      <c r="AC1559" s="83"/>
      <c r="AD1559" s="83"/>
      <c r="AE1559" s="83"/>
      <c r="AF1559" s="83"/>
      <c r="AG1559" s="83"/>
      <c r="AH1559" s="83"/>
      <c r="AI1559" s="83"/>
      <c r="AJ1559" s="83"/>
      <c r="AK1559" s="83"/>
      <c r="AL1559" s="83"/>
      <c r="AM1559" s="83"/>
      <c r="AN1559" s="83"/>
      <c r="AO1559" s="83"/>
      <c r="AP1559" s="83"/>
      <c r="AQ1559" s="83"/>
      <c r="AR1559" s="83"/>
      <c r="AS1559" s="83">
        <v>1141939.0</v>
      </c>
    </row>
    <row r="1560" ht="15.75" customHeight="1">
      <c r="A1560" s="111" t="s">
        <v>1785</v>
      </c>
      <c r="B1560" s="83" t="s">
        <v>1994</v>
      </c>
      <c r="C1560" s="83" t="s">
        <v>68</v>
      </c>
      <c r="D1560" s="112">
        <v>1103786.0</v>
      </c>
      <c r="E1560" s="83"/>
      <c r="F1560" s="83">
        <v>2.9181496E7</v>
      </c>
      <c r="G1560" s="91" t="str">
        <f>IFERROR(__xludf.DUMMYFUNCTION("XLOOKUP(AS1560,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GOVERNADOR ROBERTO SANTOS")</f>
        <v>COLÉGIO ESTADUAL DE TEMPO INTEGRAL GOVERNADOR ROBERTO SANTOS</v>
      </c>
      <c r="H1560" s="119" t="s">
        <v>8743</v>
      </c>
      <c r="I1560" s="91" t="s">
        <v>8744</v>
      </c>
      <c r="J1560" s="83" t="s">
        <v>8133</v>
      </c>
      <c r="K1560" s="83" t="s">
        <v>150</v>
      </c>
      <c r="L1560" s="83" t="s">
        <v>151</v>
      </c>
      <c r="M1560" s="83" t="s">
        <v>230</v>
      </c>
      <c r="N1560" s="171" t="s">
        <v>8745</v>
      </c>
      <c r="O1560" s="98" t="s">
        <v>155</v>
      </c>
      <c r="P1560" s="99" t="str">
        <f>IFERROR(__xludf.DUMMYFUNCTION("IFERROR(VLOOKUP(AS1560,IMPORTRANGE(""https://docs.google.com/spreadsheets/d/1juPI-Fb8LD0YtltB2mlGEnp_R3UVu1t3wSFPzgCyHXE/edit?gid=0#gid=0"",""GERAL!A2:C""),3,0),""-"")"),"-")</f>
        <v>-</v>
      </c>
      <c r="Q1560" s="83"/>
      <c r="R1560" s="83"/>
      <c r="S1560" s="83"/>
      <c r="T1560" s="83"/>
      <c r="U1560" s="83"/>
      <c r="V1560" s="83"/>
      <c r="W1560" s="83"/>
      <c r="X1560" s="83"/>
      <c r="Y1560" s="83"/>
      <c r="Z1560" s="83"/>
      <c r="AA1560" s="83"/>
      <c r="AB1560" s="83"/>
      <c r="AC1560" s="83"/>
      <c r="AD1560" s="83"/>
      <c r="AE1560" s="83"/>
      <c r="AF1560" s="83"/>
      <c r="AG1560" s="83"/>
      <c r="AH1560" s="83"/>
      <c r="AI1560" s="83"/>
      <c r="AJ1560" s="83"/>
      <c r="AK1560" s="83"/>
      <c r="AL1560" s="83"/>
      <c r="AM1560" s="83"/>
      <c r="AN1560" s="83"/>
      <c r="AO1560" s="83"/>
      <c r="AP1560" s="83"/>
      <c r="AQ1560" s="83"/>
      <c r="AR1560" s="83"/>
      <c r="AS1560" s="83">
        <v>1103786.0</v>
      </c>
    </row>
    <row r="1561" ht="15.75" customHeight="1">
      <c r="A1561" s="111" t="s">
        <v>1785</v>
      </c>
      <c r="B1561" s="83" t="s">
        <v>1994</v>
      </c>
      <c r="C1561" s="83" t="s">
        <v>68</v>
      </c>
      <c r="D1561" s="112">
        <v>1102992.0</v>
      </c>
      <c r="E1561" s="83"/>
      <c r="F1561" s="83">
        <v>2.9182158E7</v>
      </c>
      <c r="G1561" s="91" t="str">
        <f>IFERROR(__xludf.DUMMYFUNCTION("XLOOKUP(AS1561,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EVARISTO DA VEIGA")</f>
        <v>COLÉGIO ESTADUAL DE TEMPO INTEGRAL EVARISTO DA VEIGA</v>
      </c>
      <c r="H1561" s="119" t="s">
        <v>8746</v>
      </c>
      <c r="I1561" s="91" t="s">
        <v>8747</v>
      </c>
      <c r="J1561" s="83" t="s">
        <v>8204</v>
      </c>
      <c r="K1561" s="83" t="s">
        <v>150</v>
      </c>
      <c r="L1561" s="83" t="s">
        <v>151</v>
      </c>
      <c r="M1561" s="83" t="s">
        <v>152</v>
      </c>
      <c r="N1561" s="98" t="s">
        <v>8748</v>
      </c>
      <c r="O1561" s="98" t="s">
        <v>155</v>
      </c>
      <c r="P1561" s="99" t="str">
        <f>IFERROR(__xludf.DUMMYFUNCTION("IFERROR(VLOOKUP(AS1561,IMPORTRANGE(""https://docs.google.com/spreadsheets/d/1juPI-Fb8LD0YtltB2mlGEnp_R3UVu1t3wSFPzgCyHXE/edit?gid=0#gid=0"",""GERAL!A2:C""),3,0),""-"")"),"-")</f>
        <v>-</v>
      </c>
      <c r="Q1561" s="83"/>
      <c r="R1561" s="83"/>
      <c r="S1561" s="83"/>
      <c r="T1561" s="83"/>
      <c r="U1561" s="83"/>
      <c r="V1561" s="83"/>
      <c r="W1561" s="83"/>
      <c r="X1561" s="83"/>
      <c r="Y1561" s="83"/>
      <c r="Z1561" s="83"/>
      <c r="AA1561" s="83"/>
      <c r="AB1561" s="83"/>
      <c r="AC1561" s="83"/>
      <c r="AD1561" s="83"/>
      <c r="AE1561" s="83"/>
      <c r="AF1561" s="83"/>
      <c r="AG1561" s="83"/>
      <c r="AH1561" s="83"/>
      <c r="AI1561" s="83"/>
      <c r="AJ1561" s="83"/>
      <c r="AK1561" s="83"/>
      <c r="AL1561" s="83"/>
      <c r="AM1561" s="83"/>
      <c r="AN1561" s="83"/>
      <c r="AO1561" s="83"/>
      <c r="AP1561" s="83"/>
      <c r="AQ1561" s="83"/>
      <c r="AR1561" s="83"/>
      <c r="AS1561" s="83">
        <v>1102992.0</v>
      </c>
    </row>
    <row r="1562" ht="15.75" customHeight="1">
      <c r="A1562" s="111" t="s">
        <v>1785</v>
      </c>
      <c r="B1562" s="83" t="s">
        <v>1994</v>
      </c>
      <c r="C1562" s="83" t="s">
        <v>68</v>
      </c>
      <c r="D1562" s="112">
        <v>1104588.0</v>
      </c>
      <c r="E1562" s="83"/>
      <c r="F1562" s="83">
        <v>2.919184E7</v>
      </c>
      <c r="G1562" s="91" t="str">
        <f>IFERROR(__xludf.DUMMYFUNCTION("XLOOKUP(AS1562,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EDVALDO BRANDÃO CORREIA")</f>
        <v>COLÉGIO ESTADUAL DE TEMPO INTEGRAL EDVALDO BRANDÃO CORREIA</v>
      </c>
      <c r="H1562" s="119" t="s">
        <v>8749</v>
      </c>
      <c r="I1562" s="91" t="s">
        <v>8750</v>
      </c>
      <c r="J1562" s="83" t="s">
        <v>8751</v>
      </c>
      <c r="K1562" s="83" t="s">
        <v>150</v>
      </c>
      <c r="L1562" s="83" t="s">
        <v>151</v>
      </c>
      <c r="M1562" s="83" t="s">
        <v>230</v>
      </c>
      <c r="N1562" s="98" t="s">
        <v>8752</v>
      </c>
      <c r="O1562" s="98" t="s">
        <v>155</v>
      </c>
      <c r="P1562" s="99" t="str">
        <f>IFERROR(__xludf.DUMMYFUNCTION("IFERROR(VLOOKUP(AS1562,IMPORTRANGE(""https://docs.google.com/spreadsheets/d/1juPI-Fb8LD0YtltB2mlGEnp_R3UVu1t3wSFPzgCyHXE/edit?gid=0#gid=0"",""GERAL!A2:C""),3,0),""-"")"),"-")</f>
        <v>-</v>
      </c>
      <c r="Q1562" s="83"/>
      <c r="R1562" s="83"/>
      <c r="S1562" s="83"/>
      <c r="T1562" s="83"/>
      <c r="U1562" s="83"/>
      <c r="V1562" s="83"/>
      <c r="W1562" s="83"/>
      <c r="X1562" s="83"/>
      <c r="Y1562" s="83"/>
      <c r="Z1562" s="83"/>
      <c r="AA1562" s="83"/>
      <c r="AB1562" s="83"/>
      <c r="AC1562" s="83"/>
      <c r="AD1562" s="83"/>
      <c r="AE1562" s="83"/>
      <c r="AF1562" s="83"/>
      <c r="AG1562" s="83"/>
      <c r="AH1562" s="83"/>
      <c r="AI1562" s="83"/>
      <c r="AJ1562" s="83"/>
      <c r="AK1562" s="83"/>
      <c r="AL1562" s="83"/>
      <c r="AM1562" s="83"/>
      <c r="AN1562" s="83"/>
      <c r="AO1562" s="83"/>
      <c r="AP1562" s="83"/>
      <c r="AQ1562" s="83"/>
      <c r="AR1562" s="83"/>
      <c r="AS1562" s="83">
        <v>1104588.0</v>
      </c>
    </row>
    <row r="1563" ht="15.75" customHeight="1">
      <c r="A1563" s="111" t="s">
        <v>1785</v>
      </c>
      <c r="B1563" s="83" t="s">
        <v>1994</v>
      </c>
      <c r="C1563" s="83" t="s">
        <v>68</v>
      </c>
      <c r="D1563" s="112">
        <v>1176096.0</v>
      </c>
      <c r="E1563" s="83"/>
      <c r="F1563" s="83">
        <v>2.9336708E7</v>
      </c>
      <c r="G1563" s="91" t="str">
        <f>IFERROR(__xludf.DUMMYFUNCTION("XLOOKUP(AS1563,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EDUARDO BAHIANA")</f>
        <v>COLÉGIO ESTADUAL DE TEMPO INTEGRAL EDUARDO BAHIANA</v>
      </c>
      <c r="H1563" s="119" t="s">
        <v>8753</v>
      </c>
      <c r="I1563" s="91" t="s">
        <v>8754</v>
      </c>
      <c r="J1563" s="83" t="s">
        <v>8755</v>
      </c>
      <c r="K1563" s="83" t="s">
        <v>150</v>
      </c>
      <c r="L1563" s="83" t="s">
        <v>151</v>
      </c>
      <c r="M1563" s="83" t="s">
        <v>230</v>
      </c>
      <c r="N1563" s="137" t="s">
        <v>8756</v>
      </c>
      <c r="O1563" s="98" t="s">
        <v>155</v>
      </c>
      <c r="P1563" s="99" t="str">
        <f>IFERROR(__xludf.DUMMYFUNCTION("IFERROR(VLOOKUP(AS1563,IMPORTRANGE(""https://docs.google.com/spreadsheets/d/1juPI-Fb8LD0YtltB2mlGEnp_R3UVu1t3wSFPzgCyHXE/edit?gid=0#gid=0"",""GERAL!A2:C""),3,0),""-"")"),"-")</f>
        <v>-</v>
      </c>
      <c r="Q1563" s="83"/>
      <c r="R1563" s="83"/>
      <c r="S1563" s="83"/>
      <c r="T1563" s="83"/>
      <c r="U1563" s="83"/>
      <c r="V1563" s="83"/>
      <c r="W1563" s="83"/>
      <c r="X1563" s="83"/>
      <c r="Y1563" s="83"/>
      <c r="Z1563" s="83"/>
      <c r="AA1563" s="83"/>
      <c r="AB1563" s="83"/>
      <c r="AC1563" s="83"/>
      <c r="AD1563" s="83"/>
      <c r="AE1563" s="83"/>
      <c r="AF1563" s="83"/>
      <c r="AG1563" s="83"/>
      <c r="AH1563" s="83"/>
      <c r="AI1563" s="83"/>
      <c r="AJ1563" s="83"/>
      <c r="AK1563" s="83"/>
      <c r="AL1563" s="83"/>
      <c r="AM1563" s="83"/>
      <c r="AN1563" s="83"/>
      <c r="AO1563" s="83"/>
      <c r="AP1563" s="83"/>
      <c r="AQ1563" s="83"/>
      <c r="AR1563" s="83"/>
      <c r="AS1563" s="83">
        <v>1176096.0</v>
      </c>
    </row>
    <row r="1564" ht="15.75" customHeight="1">
      <c r="A1564" s="111" t="s">
        <v>1785</v>
      </c>
      <c r="B1564" s="83" t="s">
        <v>1994</v>
      </c>
      <c r="C1564" s="83" t="s">
        <v>68</v>
      </c>
      <c r="D1564" s="112">
        <v>1101163.0</v>
      </c>
      <c r="E1564" s="83"/>
      <c r="F1564" s="83">
        <v>2.918049E7</v>
      </c>
      <c r="G1564" s="91" t="str">
        <f>IFERROR(__xludf.DUMMYFUNCTION("XLOOKUP(AS1564,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EDGARD SANTOS")</f>
        <v>COLÉGIO ESTADUAL DE TEMPO INTEGRAL EDGARD SANTOS</v>
      </c>
      <c r="H1564" s="119" t="s">
        <v>8757</v>
      </c>
      <c r="I1564" s="91" t="s">
        <v>8758</v>
      </c>
      <c r="J1564" s="83" t="s">
        <v>8759</v>
      </c>
      <c r="K1564" s="83" t="s">
        <v>150</v>
      </c>
      <c r="L1564" s="83" t="s">
        <v>151</v>
      </c>
      <c r="M1564" s="83" t="s">
        <v>152</v>
      </c>
      <c r="N1564" s="98" t="s">
        <v>8760</v>
      </c>
      <c r="O1564" s="98" t="s">
        <v>155</v>
      </c>
      <c r="P1564" s="99" t="str">
        <f>IFERROR(__xludf.DUMMYFUNCTION("IFERROR(VLOOKUP(AS1564,IMPORTRANGE(""https://docs.google.com/spreadsheets/d/1juPI-Fb8LD0YtltB2mlGEnp_R3UVu1t3wSFPzgCyHXE/edit?gid=0#gid=0"",""GERAL!A2:C""),3,0),""-"")"),"-")</f>
        <v>-</v>
      </c>
      <c r="Q1564" s="83"/>
      <c r="R1564" s="83"/>
      <c r="S1564" s="83"/>
      <c r="T1564" s="83"/>
      <c r="U1564" s="83"/>
      <c r="V1564" s="83"/>
      <c r="W1564" s="83"/>
      <c r="X1564" s="83"/>
      <c r="Y1564" s="83"/>
      <c r="Z1564" s="83"/>
      <c r="AA1564" s="83"/>
      <c r="AB1564" s="83"/>
      <c r="AC1564" s="83"/>
      <c r="AD1564" s="83"/>
      <c r="AE1564" s="83"/>
      <c r="AF1564" s="83"/>
      <c r="AG1564" s="83"/>
      <c r="AH1564" s="83"/>
      <c r="AI1564" s="83"/>
      <c r="AJ1564" s="83"/>
      <c r="AK1564" s="83"/>
      <c r="AL1564" s="83"/>
      <c r="AM1564" s="83"/>
      <c r="AN1564" s="83"/>
      <c r="AO1564" s="83"/>
      <c r="AP1564" s="83"/>
      <c r="AQ1564" s="83"/>
      <c r="AR1564" s="83"/>
      <c r="AS1564" s="83">
        <v>1101163.0</v>
      </c>
    </row>
    <row r="1565" ht="15.75" customHeight="1">
      <c r="A1565" s="111" t="s">
        <v>1785</v>
      </c>
      <c r="B1565" s="83" t="s">
        <v>1994</v>
      </c>
      <c r="C1565" s="83" t="s">
        <v>68</v>
      </c>
      <c r="D1565" s="112">
        <v>1101856.0</v>
      </c>
      <c r="E1565" s="83"/>
      <c r="F1565" s="83">
        <v>2.918147E7</v>
      </c>
      <c r="G1565" s="91" t="str">
        <f>IFERROR(__xludf.DUMMYFUNCTION("XLOOKUP(AS1565,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DUQUE DE CAXIAS")</f>
        <v>COLÉGIO ESTADUAL DE TEMPO INTEGRAL DUQUE DE CAXIAS</v>
      </c>
      <c r="H1565" s="119" t="s">
        <v>5563</v>
      </c>
      <c r="I1565" s="91" t="s">
        <v>8761</v>
      </c>
      <c r="J1565" s="83" t="s">
        <v>8175</v>
      </c>
      <c r="K1565" s="136" t="s">
        <v>150</v>
      </c>
      <c r="L1565" s="83" t="s">
        <v>151</v>
      </c>
      <c r="M1565" s="83" t="s">
        <v>230</v>
      </c>
      <c r="N1565" s="98" t="s">
        <v>8762</v>
      </c>
      <c r="O1565" s="98" t="s">
        <v>155</v>
      </c>
      <c r="P1565" s="99" t="str">
        <f>IFERROR(__xludf.DUMMYFUNCTION("IFERROR(VLOOKUP(AS1565,IMPORTRANGE(""https://docs.google.com/spreadsheets/d/1juPI-Fb8LD0YtltB2mlGEnp_R3UVu1t3wSFPzgCyHXE/edit?gid=0#gid=0"",""GERAL!A2:C""),3,0),""-"")"),"-")</f>
        <v>-</v>
      </c>
      <c r="Q1565" s="83"/>
      <c r="R1565" s="83"/>
      <c r="S1565" s="83"/>
      <c r="T1565" s="83"/>
      <c r="U1565" s="83"/>
      <c r="V1565" s="83"/>
      <c r="W1565" s="83"/>
      <c r="X1565" s="83"/>
      <c r="Y1565" s="83"/>
      <c r="Z1565" s="83"/>
      <c r="AA1565" s="83"/>
      <c r="AB1565" s="83"/>
      <c r="AC1565" s="83"/>
      <c r="AD1565" s="83"/>
      <c r="AE1565" s="83"/>
      <c r="AF1565" s="83"/>
      <c r="AG1565" s="83"/>
      <c r="AH1565" s="83"/>
      <c r="AI1565" s="83"/>
      <c r="AJ1565" s="83"/>
      <c r="AK1565" s="83"/>
      <c r="AL1565" s="83"/>
      <c r="AM1565" s="83"/>
      <c r="AN1565" s="83"/>
      <c r="AO1565" s="83"/>
      <c r="AP1565" s="83"/>
      <c r="AQ1565" s="83"/>
      <c r="AR1565" s="83"/>
      <c r="AS1565" s="83">
        <v>1101856.0</v>
      </c>
    </row>
    <row r="1566" ht="15.75" customHeight="1">
      <c r="A1566" s="111" t="s">
        <v>1785</v>
      </c>
      <c r="B1566" s="83" t="s">
        <v>1994</v>
      </c>
      <c r="C1566" s="83" t="s">
        <v>68</v>
      </c>
      <c r="D1566" s="112">
        <v>1100868.0</v>
      </c>
      <c r="E1566" s="83"/>
      <c r="F1566" s="83">
        <v>2.9191572E7</v>
      </c>
      <c r="G1566" s="91" t="str">
        <f>IFERROR(__xludf.DUMMYFUNCTION("XLOOKUP(AS1566,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DOM AVELAR BRANDÃO VILELA")</f>
        <v>COLÉGIO ESTADUAL DE TEMPO INTEGRAL DOM AVELAR BRANDÃO VILELA</v>
      </c>
      <c r="H1566" s="119" t="s">
        <v>8763</v>
      </c>
      <c r="I1566" s="91" t="s">
        <v>8764</v>
      </c>
      <c r="J1566" s="83" t="s">
        <v>8609</v>
      </c>
      <c r="K1566" s="83" t="s">
        <v>150</v>
      </c>
      <c r="L1566" s="83" t="s">
        <v>151</v>
      </c>
      <c r="M1566" s="83" t="s">
        <v>152</v>
      </c>
      <c r="N1566" s="98" t="s">
        <v>8765</v>
      </c>
      <c r="O1566" s="98" t="s">
        <v>155</v>
      </c>
      <c r="P1566" s="99" t="str">
        <f>IFERROR(__xludf.DUMMYFUNCTION("IFERROR(VLOOKUP(AS1566,IMPORTRANGE(""https://docs.google.com/spreadsheets/d/1juPI-Fb8LD0YtltB2mlGEnp_R3UVu1t3wSFPzgCyHXE/edit?gid=0#gid=0"",""GERAL!A2:C""),3,0),""-"")"),"-")</f>
        <v>-</v>
      </c>
      <c r="Q1566" s="83"/>
      <c r="R1566" s="83"/>
      <c r="S1566" s="83"/>
      <c r="T1566" s="83"/>
      <c r="U1566" s="83"/>
      <c r="V1566" s="83"/>
      <c r="W1566" s="83"/>
      <c r="X1566" s="83"/>
      <c r="Y1566" s="83"/>
      <c r="Z1566" s="83"/>
      <c r="AA1566" s="83"/>
      <c r="AB1566" s="83"/>
      <c r="AC1566" s="83"/>
      <c r="AD1566" s="83"/>
      <c r="AE1566" s="83"/>
      <c r="AF1566" s="83"/>
      <c r="AG1566" s="83"/>
      <c r="AH1566" s="83"/>
      <c r="AI1566" s="83"/>
      <c r="AJ1566" s="83"/>
      <c r="AK1566" s="83"/>
      <c r="AL1566" s="83"/>
      <c r="AM1566" s="83"/>
      <c r="AN1566" s="83"/>
      <c r="AO1566" s="83"/>
      <c r="AP1566" s="83"/>
      <c r="AQ1566" s="83"/>
      <c r="AR1566" s="83"/>
      <c r="AS1566" s="83">
        <v>1100868.0</v>
      </c>
    </row>
    <row r="1567" ht="15.75" customHeight="1">
      <c r="A1567" s="111" t="s">
        <v>1785</v>
      </c>
      <c r="B1567" s="83" t="s">
        <v>1994</v>
      </c>
      <c r="C1567" s="83" t="s">
        <v>68</v>
      </c>
      <c r="D1567" s="112">
        <v>1163967.0</v>
      </c>
      <c r="E1567" s="83"/>
      <c r="F1567" s="83">
        <v>2.9192137E7</v>
      </c>
      <c r="G1567" s="91" t="str">
        <f>IFERROR(__xludf.DUMMYFUNCTION("XLOOKUP(AS1567,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DINAH GONÇALVES")</f>
        <v>COLÉGIO ESTADUAL DE TEMPO INTEGRAL DINAH GONÇALVES</v>
      </c>
      <c r="H1567" s="119" t="s">
        <v>8768</v>
      </c>
      <c r="I1567" s="91" t="s">
        <v>8769</v>
      </c>
      <c r="J1567" s="83" t="s">
        <v>8446</v>
      </c>
      <c r="K1567" s="83" t="s">
        <v>150</v>
      </c>
      <c r="L1567" s="83" t="s">
        <v>151</v>
      </c>
      <c r="M1567" s="83" t="s">
        <v>76</v>
      </c>
      <c r="N1567" s="137" t="s">
        <v>8770</v>
      </c>
      <c r="O1567" s="98" t="s">
        <v>155</v>
      </c>
      <c r="P1567" s="99" t="str">
        <f>IFERROR(__xludf.DUMMYFUNCTION("IFERROR(VLOOKUP(AS1567,IMPORTRANGE(""https://docs.google.com/spreadsheets/d/1juPI-Fb8LD0YtltB2mlGEnp_R3UVu1t3wSFPzgCyHXE/edit?gid=0#gid=0"",""GERAL!A2:C""),3,0),""-"")"),"-")</f>
        <v>-</v>
      </c>
      <c r="Q1567" s="83"/>
      <c r="R1567" s="83"/>
      <c r="S1567" s="83"/>
      <c r="T1567" s="83"/>
      <c r="U1567" s="83"/>
      <c r="V1567" s="83"/>
      <c r="W1567" s="83"/>
      <c r="X1567" s="83"/>
      <c r="Y1567" s="83"/>
      <c r="Z1567" s="83"/>
      <c r="AA1567" s="83"/>
      <c r="AB1567" s="83"/>
      <c r="AC1567" s="83"/>
      <c r="AD1567" s="83"/>
      <c r="AE1567" s="83"/>
      <c r="AF1567" s="83"/>
      <c r="AG1567" s="83"/>
      <c r="AH1567" s="83"/>
      <c r="AI1567" s="83"/>
      <c r="AJ1567" s="83"/>
      <c r="AK1567" s="83"/>
      <c r="AL1567" s="83"/>
      <c r="AM1567" s="83"/>
      <c r="AN1567" s="83"/>
      <c r="AO1567" s="83"/>
      <c r="AP1567" s="83"/>
      <c r="AQ1567" s="83"/>
      <c r="AR1567" s="83"/>
      <c r="AS1567" s="83">
        <v>1163967.0</v>
      </c>
    </row>
    <row r="1568" ht="15.75" customHeight="1">
      <c r="A1568" s="111" t="s">
        <v>1785</v>
      </c>
      <c r="B1568" s="83" t="s">
        <v>1994</v>
      </c>
      <c r="C1568" s="83" t="s">
        <v>68</v>
      </c>
      <c r="D1568" s="112">
        <v>1176795.0</v>
      </c>
      <c r="E1568" s="83"/>
      <c r="F1568" s="83">
        <v>2.9404282E7</v>
      </c>
      <c r="G1568" s="91" t="str">
        <f>IFERROR(__xludf.DUMMYFUNCTION("XLOOKUP(AS1568,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PRAIA GRANDE")</f>
        <v>COLÉGIO ESTADUAL DE TEMPO INTEGRAL DE PRAIA GRANDE</v>
      </c>
      <c r="H1568" s="119" t="s">
        <v>8771</v>
      </c>
      <c r="I1568" s="91" t="s">
        <v>8772</v>
      </c>
      <c r="J1568" s="136" t="s">
        <v>8363</v>
      </c>
      <c r="K1568" s="83" t="s">
        <v>150</v>
      </c>
      <c r="L1568" s="83" t="s">
        <v>151</v>
      </c>
      <c r="M1568" s="83" t="s">
        <v>152</v>
      </c>
      <c r="N1568" s="171" t="s">
        <v>8773</v>
      </c>
      <c r="O1568" s="98" t="s">
        <v>155</v>
      </c>
      <c r="P1568" s="99" t="str">
        <f>IFERROR(__xludf.DUMMYFUNCTION("IFERROR(VLOOKUP(AS1568,IMPORTRANGE(""https://docs.google.com/spreadsheets/d/1juPI-Fb8LD0YtltB2mlGEnp_R3UVu1t3wSFPzgCyHXE/edit?gid=0#gid=0"",""GERAL!A2:C""),3,0),""-"")"),"-")</f>
        <v>-</v>
      </c>
      <c r="Q1568" s="83"/>
      <c r="R1568" s="83"/>
      <c r="S1568" s="83"/>
      <c r="T1568" s="83"/>
      <c r="U1568" s="83"/>
      <c r="V1568" s="83"/>
      <c r="W1568" s="83"/>
      <c r="X1568" s="83"/>
      <c r="Y1568" s="83"/>
      <c r="Z1568" s="83"/>
      <c r="AA1568" s="83"/>
      <c r="AB1568" s="83"/>
      <c r="AC1568" s="83"/>
      <c r="AD1568" s="83"/>
      <c r="AE1568" s="83"/>
      <c r="AF1568" s="83"/>
      <c r="AG1568" s="83"/>
      <c r="AH1568" s="83"/>
      <c r="AI1568" s="83"/>
      <c r="AJ1568" s="83"/>
      <c r="AK1568" s="83"/>
      <c r="AL1568" s="83"/>
      <c r="AM1568" s="83"/>
      <c r="AN1568" s="83"/>
      <c r="AO1568" s="83"/>
      <c r="AP1568" s="83"/>
      <c r="AQ1568" s="83"/>
      <c r="AR1568" s="83"/>
      <c r="AS1568" s="83">
        <v>1176795.0</v>
      </c>
    </row>
    <row r="1569" ht="15.75" customHeight="1">
      <c r="A1569" s="111" t="s">
        <v>1785</v>
      </c>
      <c r="B1569" s="83" t="s">
        <v>1994</v>
      </c>
      <c r="C1569" s="83" t="s">
        <v>68</v>
      </c>
      <c r="D1569" s="112">
        <v>1142463.0</v>
      </c>
      <c r="E1569" s="83"/>
      <c r="F1569" s="83">
        <v>2.9191335E7</v>
      </c>
      <c r="G1569" s="91" t="str">
        <f>IFERROR(__xludf.DUMMYFUNCTION("XLOOKUP(AS1569,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BATISTA NEVES")</f>
        <v>COLÉGIO ESTADUAL DE TEMPO INTEGRAL BATISTA NEVES</v>
      </c>
      <c r="H1569" s="119" t="s">
        <v>8778</v>
      </c>
      <c r="I1569" s="91" t="s">
        <v>8779</v>
      </c>
      <c r="J1569" s="83" t="s">
        <v>8191</v>
      </c>
      <c r="K1569" s="83" t="s">
        <v>150</v>
      </c>
      <c r="L1569" s="83" t="s">
        <v>151</v>
      </c>
      <c r="M1569" s="83" t="s">
        <v>76</v>
      </c>
      <c r="N1569" s="137" t="s">
        <v>8780</v>
      </c>
      <c r="O1569" s="98" t="s">
        <v>155</v>
      </c>
      <c r="P1569" s="99" t="str">
        <f>IFERROR(__xludf.DUMMYFUNCTION("IFERROR(VLOOKUP(AS1569,IMPORTRANGE(""https://docs.google.com/spreadsheets/d/1juPI-Fb8LD0YtltB2mlGEnp_R3UVu1t3wSFPzgCyHXE/edit?gid=0#gid=0"",""GERAL!A2:C""),3,0),""-"")"),"-")</f>
        <v>-</v>
      </c>
      <c r="Q1569" s="83"/>
      <c r="R1569" s="83"/>
      <c r="S1569" s="83"/>
      <c r="T1569" s="83"/>
      <c r="U1569" s="83"/>
      <c r="V1569" s="83"/>
      <c r="W1569" s="83"/>
      <c r="X1569" s="83"/>
      <c r="Y1569" s="83"/>
      <c r="Z1569" s="83"/>
      <c r="AA1569" s="83"/>
      <c r="AB1569" s="83"/>
      <c r="AC1569" s="83"/>
      <c r="AD1569" s="83"/>
      <c r="AE1569" s="83"/>
      <c r="AF1569" s="83"/>
      <c r="AG1569" s="83"/>
      <c r="AH1569" s="83"/>
      <c r="AI1569" s="83"/>
      <c r="AJ1569" s="83"/>
      <c r="AK1569" s="83"/>
      <c r="AL1569" s="83"/>
      <c r="AM1569" s="83"/>
      <c r="AN1569" s="83"/>
      <c r="AO1569" s="83"/>
      <c r="AP1569" s="83"/>
      <c r="AQ1569" s="83"/>
      <c r="AR1569" s="83"/>
      <c r="AS1569" s="83">
        <v>1142463.0</v>
      </c>
    </row>
    <row r="1570" ht="15.75" customHeight="1">
      <c r="A1570" s="111" t="s">
        <v>1785</v>
      </c>
      <c r="B1570" s="83" t="s">
        <v>1994</v>
      </c>
      <c r="C1570" s="83" t="s">
        <v>68</v>
      </c>
      <c r="D1570" s="112">
        <v>1100370.0</v>
      </c>
      <c r="E1570" s="83"/>
      <c r="F1570" s="83">
        <v>2.9191661E7</v>
      </c>
      <c r="G1570" s="91" t="str">
        <f>IFERROR(__xludf.DUMMYFUNCTION("XLOOKUP(AS1570,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BARROS BARRETO ")</f>
        <v>COLÉGIO ESTADUAL DE TEMPO INTEGRAL BARROS BARRETO </v>
      </c>
      <c r="H1570" s="119" t="s">
        <v>8781</v>
      </c>
      <c r="I1570" s="91" t="s">
        <v>8782</v>
      </c>
      <c r="J1570" s="83" t="s">
        <v>8278</v>
      </c>
      <c r="K1570" s="83" t="s">
        <v>150</v>
      </c>
      <c r="L1570" s="83" t="s">
        <v>151</v>
      </c>
      <c r="M1570" s="98" t="s">
        <v>230</v>
      </c>
      <c r="N1570" s="137" t="s">
        <v>8783</v>
      </c>
      <c r="O1570" s="98" t="s">
        <v>162</v>
      </c>
      <c r="P1570" s="99" t="str">
        <f>IFERROR(__xludf.DUMMYFUNCTION("IFERROR(VLOOKUP(AS1570,IMPORTRANGE(""https://docs.google.com/spreadsheets/d/1juPI-Fb8LD0YtltB2mlGEnp_R3UVu1t3wSFPzgCyHXE/edit?gid=0#gid=0"",""GERAL!A2:C""),3,0),""-"")"),"-")</f>
        <v>-</v>
      </c>
      <c r="Q1570" s="136"/>
      <c r="R1570" s="136"/>
      <c r="S1570" s="136"/>
      <c r="T1570" s="136"/>
      <c r="U1570" s="136"/>
      <c r="V1570" s="136"/>
      <c r="W1570" s="136"/>
      <c r="X1570" s="136"/>
      <c r="Y1570" s="136"/>
      <c r="Z1570" s="136"/>
      <c r="AA1570" s="136"/>
      <c r="AB1570" s="136"/>
      <c r="AC1570" s="136"/>
      <c r="AD1570" s="136"/>
      <c r="AE1570" s="136"/>
      <c r="AF1570" s="136"/>
      <c r="AG1570" s="136"/>
      <c r="AH1570" s="136"/>
      <c r="AI1570" s="136"/>
      <c r="AJ1570" s="136"/>
      <c r="AK1570" s="136"/>
      <c r="AL1570" s="136"/>
      <c r="AM1570" s="136"/>
      <c r="AN1570" s="136"/>
      <c r="AO1570" s="136"/>
      <c r="AP1570" s="136"/>
      <c r="AQ1570" s="136"/>
      <c r="AR1570" s="136"/>
      <c r="AS1570" s="136">
        <v>1100370.0</v>
      </c>
    </row>
    <row r="1571" ht="15.75" customHeight="1">
      <c r="A1571" s="111" t="s">
        <v>1785</v>
      </c>
      <c r="B1571" s="83" t="s">
        <v>1994</v>
      </c>
      <c r="C1571" s="83" t="s">
        <v>68</v>
      </c>
      <c r="D1571" s="112">
        <v>1102879.0</v>
      </c>
      <c r="E1571" s="83"/>
      <c r="F1571" s="83">
        <v>2.9181143E7</v>
      </c>
      <c r="G1571" s="91" t="str">
        <f>IFERROR(__xludf.DUMMYFUNCTION("XLOOKUP(AS1571,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LUIZ VIANA")</f>
        <v>COLÉGIO ESTADUAL DE TEMPO INTEGRAL  LUIZ VIANA</v>
      </c>
      <c r="H1571" s="119" t="s">
        <v>8791</v>
      </c>
      <c r="I1571" s="114" t="s">
        <v>8792</v>
      </c>
      <c r="J1571" s="83" t="s">
        <v>8570</v>
      </c>
      <c r="K1571" s="83" t="s">
        <v>150</v>
      </c>
      <c r="L1571" s="83" t="s">
        <v>151</v>
      </c>
      <c r="M1571" s="98" t="s">
        <v>230</v>
      </c>
      <c r="N1571" s="98" t="s">
        <v>8793</v>
      </c>
      <c r="O1571" s="98" t="s">
        <v>155</v>
      </c>
      <c r="P1571" s="99" t="str">
        <f>IFERROR(__xludf.DUMMYFUNCTION("IFERROR(VLOOKUP(AS1571,IMPORTRANGE(""https://docs.google.com/spreadsheets/d/1juPI-Fb8LD0YtltB2mlGEnp_R3UVu1t3wSFPzgCyHXE/edit?gid=0#gid=0"",""GERAL!A2:C""),3,0),""-"")"),"-")</f>
        <v>-</v>
      </c>
      <c r="Q1571" s="83"/>
      <c r="R1571" s="83"/>
      <c r="S1571" s="83"/>
      <c r="T1571" s="83"/>
      <c r="U1571" s="83"/>
      <c r="V1571" s="83"/>
      <c r="W1571" s="83"/>
      <c r="X1571" s="83"/>
      <c r="Y1571" s="83"/>
      <c r="Z1571" s="83"/>
      <c r="AA1571" s="83"/>
      <c r="AB1571" s="83"/>
      <c r="AC1571" s="83"/>
      <c r="AD1571" s="83"/>
      <c r="AE1571" s="83"/>
      <c r="AF1571" s="83"/>
      <c r="AG1571" s="83"/>
      <c r="AH1571" s="83"/>
      <c r="AI1571" s="83"/>
      <c r="AJ1571" s="83"/>
      <c r="AK1571" s="83"/>
      <c r="AL1571" s="83"/>
      <c r="AM1571" s="83"/>
      <c r="AN1571" s="83"/>
      <c r="AO1571" s="83"/>
      <c r="AP1571" s="83"/>
      <c r="AQ1571" s="83"/>
      <c r="AR1571" s="83"/>
      <c r="AS1571" s="83">
        <v>1102879.0</v>
      </c>
    </row>
    <row r="1572" ht="131.25" customHeight="1">
      <c r="A1572" s="111" t="s">
        <v>1785</v>
      </c>
      <c r="B1572" s="83" t="s">
        <v>1994</v>
      </c>
      <c r="C1572" s="83" t="s">
        <v>68</v>
      </c>
      <c r="D1572" s="112">
        <v>1177094.0</v>
      </c>
      <c r="E1572" s="83"/>
      <c r="F1572" s="83">
        <v>2.9414903E7</v>
      </c>
      <c r="G1572" s="91" t="str">
        <f>IFERROR(__xludf.DUMMYFUNCTION("XLOOKUP(AS1572,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PLATAFORMA")</f>
        <v>COLÉGIO ESTADUAL DE PLATAFORMA</v>
      </c>
      <c r="H1572" s="119" t="s">
        <v>8794</v>
      </c>
      <c r="I1572" s="114" t="s">
        <v>8795</v>
      </c>
      <c r="J1572" s="136" t="s">
        <v>8417</v>
      </c>
      <c r="K1572" s="83" t="s">
        <v>150</v>
      </c>
      <c r="L1572" s="98" t="s">
        <v>5997</v>
      </c>
      <c r="M1572" s="83" t="s">
        <v>76</v>
      </c>
      <c r="N1572" s="98" t="s">
        <v>8796</v>
      </c>
      <c r="O1572" s="98" t="s">
        <v>155</v>
      </c>
      <c r="P1572" s="99" t="str">
        <f>IFERROR(__xludf.DUMMYFUNCTION("IFERROR(VLOOKUP(AS1572,IMPORTRANGE(""https://docs.google.com/spreadsheets/d/1juPI-Fb8LD0YtltB2mlGEnp_R3UVu1t3wSFPzgCyHXE/edit?gid=0#gid=0"",""GERAL!A2:C""),3,0),""-"")"),"-")</f>
        <v>-</v>
      </c>
      <c r="Q1572" s="83"/>
      <c r="R1572" s="83"/>
      <c r="S1572" s="83"/>
      <c r="T1572" s="83"/>
      <c r="U1572" s="83"/>
      <c r="V1572" s="83"/>
      <c r="W1572" s="83"/>
      <c r="X1572" s="83"/>
      <c r="Y1572" s="83"/>
      <c r="Z1572" s="83"/>
      <c r="AA1572" s="83"/>
      <c r="AB1572" s="83"/>
      <c r="AC1572" s="83"/>
      <c r="AD1572" s="83"/>
      <c r="AE1572" s="83"/>
      <c r="AF1572" s="83"/>
      <c r="AG1572" s="83"/>
      <c r="AH1572" s="83"/>
      <c r="AI1572" s="83"/>
      <c r="AJ1572" s="83"/>
      <c r="AK1572" s="83"/>
      <c r="AL1572" s="83"/>
      <c r="AM1572" s="83"/>
      <c r="AN1572" s="83"/>
      <c r="AO1572" s="83"/>
      <c r="AP1572" s="83"/>
      <c r="AQ1572" s="83"/>
      <c r="AR1572" s="83"/>
      <c r="AS1572" s="83">
        <v>1177094.0</v>
      </c>
    </row>
    <row r="1573" ht="15.75" customHeight="1">
      <c r="A1573" s="111" t="s">
        <v>1785</v>
      </c>
      <c r="B1573" s="83" t="s">
        <v>1994</v>
      </c>
      <c r="C1573" s="83" t="s">
        <v>68</v>
      </c>
      <c r="D1573" s="112">
        <v>1179485.0</v>
      </c>
      <c r="E1573" s="83"/>
      <c r="F1573" s="83">
        <v>2.9467934E7</v>
      </c>
      <c r="G1573" s="91" t="str">
        <f>IFERROR(__xludf.DUMMYFUNCTION("XLOOKUP(AS1573,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NOVA ESPERANCA")</f>
        <v>COLÉGIO ESTADUAL DE NOVA ESPERANCA</v>
      </c>
      <c r="H1573" s="119" t="s">
        <v>8797</v>
      </c>
      <c r="I1573" s="91" t="s">
        <v>8798</v>
      </c>
      <c r="J1573" s="83" t="s">
        <v>8799</v>
      </c>
      <c r="K1573" s="83" t="s">
        <v>150</v>
      </c>
      <c r="L1573" s="83" t="s">
        <v>168</v>
      </c>
      <c r="M1573" s="83" t="s">
        <v>152</v>
      </c>
      <c r="N1573" s="98" t="s">
        <v>8800</v>
      </c>
      <c r="O1573" s="98" t="s">
        <v>155</v>
      </c>
      <c r="P1573" s="99" t="str">
        <f>IFERROR(__xludf.DUMMYFUNCTION("IFERROR(VLOOKUP(AS1573,IMPORTRANGE(""https://docs.google.com/spreadsheets/d/1juPI-Fb8LD0YtltB2mlGEnp_R3UVu1t3wSFPzgCyHXE/edit?gid=0#gid=0"",""GERAL!A2:C""),3,0),""-"")"),"-")</f>
        <v>-</v>
      </c>
      <c r="Q1573" s="83"/>
      <c r="R1573" s="83"/>
      <c r="S1573" s="83"/>
      <c r="T1573" s="83"/>
      <c r="U1573" s="83"/>
      <c r="V1573" s="83"/>
      <c r="W1573" s="83"/>
      <c r="X1573" s="83"/>
      <c r="Y1573" s="83"/>
      <c r="Z1573" s="83"/>
      <c r="AA1573" s="83"/>
      <c r="AB1573" s="83"/>
      <c r="AC1573" s="83"/>
      <c r="AD1573" s="83"/>
      <c r="AE1573" s="83"/>
      <c r="AF1573" s="83"/>
      <c r="AG1573" s="83"/>
      <c r="AH1573" s="83"/>
      <c r="AI1573" s="83"/>
      <c r="AJ1573" s="83"/>
      <c r="AK1573" s="83"/>
      <c r="AL1573" s="83"/>
      <c r="AM1573" s="83"/>
      <c r="AN1573" s="83"/>
      <c r="AO1573" s="83"/>
      <c r="AP1573" s="83"/>
      <c r="AQ1573" s="83"/>
      <c r="AR1573" s="83"/>
      <c r="AS1573" s="83">
        <v>1179485.0</v>
      </c>
    </row>
    <row r="1574" ht="15.75" customHeight="1">
      <c r="A1574" s="111" t="s">
        <v>1785</v>
      </c>
      <c r="B1574" s="83" t="s">
        <v>1994</v>
      </c>
      <c r="C1574" s="83" t="s">
        <v>68</v>
      </c>
      <c r="D1574" s="112">
        <v>1174713.0</v>
      </c>
      <c r="E1574" s="83"/>
      <c r="F1574" s="83">
        <v>2.9191211E7</v>
      </c>
      <c r="G1574" s="91" t="str">
        <f>IFERROR(__xludf.DUMMYFUNCTION("XLOOKUP(AS1574,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APLICACAO ANISIO TEIXEIRA")</f>
        <v>COLÉGIO ESTADUAL DE APLICACAO ANISIO TEIXEIRA</v>
      </c>
      <c r="H1574" s="119" t="s">
        <v>8801</v>
      </c>
      <c r="I1574" s="91" t="s">
        <v>8802</v>
      </c>
      <c r="J1574" s="83" t="s">
        <v>8803</v>
      </c>
      <c r="K1574" s="83" t="s">
        <v>150</v>
      </c>
      <c r="L1574" s="83" t="s">
        <v>151</v>
      </c>
      <c r="M1574" s="83" t="s">
        <v>1326</v>
      </c>
      <c r="N1574" s="98" t="s">
        <v>8804</v>
      </c>
      <c r="O1574" s="98" t="s">
        <v>155</v>
      </c>
      <c r="P1574" s="99" t="str">
        <f>IFERROR(__xludf.DUMMYFUNCTION("IFERROR(VLOOKUP(AS1574,IMPORTRANGE(""https://docs.google.com/spreadsheets/d/1juPI-Fb8LD0YtltB2mlGEnp_R3UVu1t3wSFPzgCyHXE/edit?gid=0#gid=0"",""GERAL!A2:C""),3,0),""-"")"),"-")</f>
        <v>-</v>
      </c>
      <c r="Q1574" s="83"/>
      <c r="R1574" s="83"/>
      <c r="S1574" s="83"/>
      <c r="T1574" s="83"/>
      <c r="U1574" s="83"/>
      <c r="V1574" s="83"/>
      <c r="W1574" s="83"/>
      <c r="X1574" s="83"/>
      <c r="Y1574" s="83"/>
      <c r="Z1574" s="83"/>
      <c r="AA1574" s="83"/>
      <c r="AB1574" s="83"/>
      <c r="AC1574" s="83"/>
      <c r="AD1574" s="83"/>
      <c r="AE1574" s="83"/>
      <c r="AF1574" s="83"/>
      <c r="AG1574" s="83"/>
      <c r="AH1574" s="83"/>
      <c r="AI1574" s="83"/>
      <c r="AJ1574" s="83"/>
      <c r="AK1574" s="83"/>
      <c r="AL1574" s="83"/>
      <c r="AM1574" s="83"/>
      <c r="AN1574" s="83"/>
      <c r="AO1574" s="83"/>
      <c r="AP1574" s="83"/>
      <c r="AQ1574" s="83"/>
      <c r="AR1574" s="83"/>
      <c r="AS1574" s="83">
        <v>1174713.0</v>
      </c>
    </row>
    <row r="1575" ht="15.75" customHeight="1">
      <c r="A1575" s="111" t="s">
        <v>1785</v>
      </c>
      <c r="B1575" s="83" t="s">
        <v>1994</v>
      </c>
      <c r="C1575" s="83" t="s">
        <v>68</v>
      </c>
      <c r="D1575" s="112">
        <v>1176094.0</v>
      </c>
      <c r="E1575" s="83"/>
      <c r="F1575" s="83">
        <v>2.9336627E7</v>
      </c>
      <c r="G1575" s="91" t="str">
        <f>IFERROR(__xludf.DUMMYFUNCTION("XLOOKUP(AS1575,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DAVID MENDES PEREIRA")</f>
        <v>COLÉGIO ESTADUAL DAVID MENDES PEREIRA</v>
      </c>
      <c r="H1575" s="119" t="s">
        <v>8805</v>
      </c>
      <c r="I1575" s="91" t="s">
        <v>8806</v>
      </c>
      <c r="J1575" s="83" t="s">
        <v>8162</v>
      </c>
      <c r="K1575" s="83" t="s">
        <v>150</v>
      </c>
      <c r="L1575" s="83" t="s">
        <v>151</v>
      </c>
      <c r="M1575" s="83" t="s">
        <v>230</v>
      </c>
      <c r="N1575" s="98" t="s">
        <v>8616</v>
      </c>
      <c r="O1575" s="98" t="s">
        <v>155</v>
      </c>
      <c r="P1575" s="99" t="str">
        <f>IFERROR(__xludf.DUMMYFUNCTION("IFERROR(VLOOKUP(AS1575,IMPORTRANGE(""https://docs.google.com/spreadsheets/d/1juPI-Fb8LD0YtltB2mlGEnp_R3UVu1t3wSFPzgCyHXE/edit?gid=0#gid=0"",""GERAL!A2:C""),3,0),""-"")"),"-")</f>
        <v>-</v>
      </c>
      <c r="Q1575" s="83"/>
      <c r="R1575" s="83"/>
      <c r="S1575" s="83"/>
      <c r="T1575" s="83"/>
      <c r="U1575" s="83"/>
      <c r="V1575" s="83"/>
      <c r="W1575" s="83"/>
      <c r="X1575" s="83"/>
      <c r="Y1575" s="83"/>
      <c r="Z1575" s="83"/>
      <c r="AA1575" s="83"/>
      <c r="AB1575" s="83"/>
      <c r="AC1575" s="83"/>
      <c r="AD1575" s="83"/>
      <c r="AE1575" s="83"/>
      <c r="AF1575" s="83"/>
      <c r="AG1575" s="83"/>
      <c r="AH1575" s="83"/>
      <c r="AI1575" s="83"/>
      <c r="AJ1575" s="83"/>
      <c r="AK1575" s="83"/>
      <c r="AL1575" s="83"/>
      <c r="AM1575" s="83"/>
      <c r="AN1575" s="83"/>
      <c r="AO1575" s="83"/>
      <c r="AP1575" s="83"/>
      <c r="AQ1575" s="83"/>
      <c r="AR1575" s="83"/>
      <c r="AS1575" s="83">
        <v>1176094.0</v>
      </c>
    </row>
    <row r="1576">
      <c r="A1576" s="111" t="s">
        <v>1785</v>
      </c>
      <c r="B1576" s="83" t="s">
        <v>1994</v>
      </c>
      <c r="C1576" s="83" t="s">
        <v>68</v>
      </c>
      <c r="D1576" s="112">
        <v>1100523.0</v>
      </c>
      <c r="E1576" s="83"/>
      <c r="F1576" s="83">
        <v>2.9190738E7</v>
      </c>
      <c r="G1576" s="91" t="str">
        <f>IFERROR(__xludf.DUMMYFUNCTION("XLOOKUP(AS1576,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DANTAS JUNIOR")</f>
        <v>COLÉGIO ESTADUAL DANTAS JUNIOR</v>
      </c>
      <c r="H1576" s="114" t="s">
        <v>8807</v>
      </c>
      <c r="I1576" s="91" t="s">
        <v>8808</v>
      </c>
      <c r="J1576" s="193" t="s">
        <v>8809</v>
      </c>
      <c r="K1576" s="83" t="s">
        <v>150</v>
      </c>
      <c r="L1576" s="83" t="s">
        <v>151</v>
      </c>
      <c r="M1576" s="83" t="s">
        <v>76</v>
      </c>
      <c r="N1576" s="98" t="s">
        <v>8810</v>
      </c>
      <c r="O1576" s="98" t="s">
        <v>155</v>
      </c>
      <c r="P1576" s="99" t="str">
        <f>IFERROR(__xludf.DUMMYFUNCTION("IFERROR(VLOOKUP(AS1576,IMPORTRANGE(""https://docs.google.com/spreadsheets/d/1juPI-Fb8LD0YtltB2mlGEnp_R3UVu1t3wSFPzgCyHXE/edit?gid=0#gid=0"",""GERAL!A2:C""),3,0),""-"")"),"-")</f>
        <v>-</v>
      </c>
      <c r="Q1576" s="83"/>
      <c r="R1576" s="83"/>
      <c r="S1576" s="83"/>
      <c r="T1576" s="83"/>
      <c r="U1576" s="83"/>
      <c r="V1576" s="83"/>
      <c r="W1576" s="83"/>
      <c r="X1576" s="83"/>
      <c r="Y1576" s="83"/>
      <c r="Z1576" s="83"/>
      <c r="AA1576" s="83"/>
      <c r="AB1576" s="83"/>
      <c r="AC1576" s="83"/>
      <c r="AD1576" s="83"/>
      <c r="AE1576" s="83"/>
      <c r="AF1576" s="83"/>
      <c r="AG1576" s="83"/>
      <c r="AH1576" s="83"/>
      <c r="AI1576" s="83"/>
      <c r="AJ1576" s="83"/>
      <c r="AK1576" s="83"/>
      <c r="AL1576" s="83"/>
      <c r="AM1576" s="83"/>
      <c r="AN1576" s="83"/>
      <c r="AO1576" s="83"/>
      <c r="AP1576" s="83"/>
      <c r="AQ1576" s="83"/>
      <c r="AR1576" s="83"/>
      <c r="AS1576" s="83">
        <v>1100523.0</v>
      </c>
    </row>
    <row r="1577" ht="15.75" customHeight="1">
      <c r="A1577" s="111" t="s">
        <v>1785</v>
      </c>
      <c r="B1577" s="83" t="s">
        <v>1994</v>
      </c>
      <c r="C1577" s="83" t="s">
        <v>68</v>
      </c>
      <c r="D1577" s="112">
        <v>1100493.0</v>
      </c>
      <c r="E1577" s="83"/>
      <c r="F1577" s="83">
        <v>2.919072E7</v>
      </c>
      <c r="G1577" s="91" t="str">
        <f>IFERROR(__xludf.DUMMYFUNCTION("XLOOKUP(AS1577,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DANIEL LISBOA")</f>
        <v>COLÉGIO ESTADUAL DANIEL LISBOA</v>
      </c>
      <c r="H1577" s="114" t="s">
        <v>8811</v>
      </c>
      <c r="I1577" s="91" t="s">
        <v>8812</v>
      </c>
      <c r="J1577" s="136" t="s">
        <v>8162</v>
      </c>
      <c r="K1577" s="83" t="s">
        <v>150</v>
      </c>
      <c r="L1577" s="83" t="s">
        <v>8813</v>
      </c>
      <c r="M1577" s="83" t="s">
        <v>152</v>
      </c>
      <c r="N1577" s="98" t="s">
        <v>8814</v>
      </c>
      <c r="O1577" s="98" t="s">
        <v>155</v>
      </c>
      <c r="P1577" s="99" t="str">
        <f>IFERROR(__xludf.DUMMYFUNCTION("IFERROR(VLOOKUP(AS1577,IMPORTRANGE(""https://docs.google.com/spreadsheets/d/1juPI-Fb8LD0YtltB2mlGEnp_R3UVu1t3wSFPzgCyHXE/edit?gid=0#gid=0"",""GERAL!A2:C""),3,0),""-"")"),"-")</f>
        <v>-</v>
      </c>
      <c r="Q1577" s="83"/>
      <c r="R1577" s="83"/>
      <c r="S1577" s="83"/>
      <c r="T1577" s="83"/>
      <c r="U1577" s="83"/>
      <c r="V1577" s="83"/>
      <c r="W1577" s="83"/>
      <c r="X1577" s="83"/>
      <c r="Y1577" s="83"/>
      <c r="Z1577" s="83"/>
      <c r="AA1577" s="83"/>
      <c r="AB1577" s="83"/>
      <c r="AC1577" s="83"/>
      <c r="AD1577" s="83"/>
      <c r="AE1577" s="83"/>
      <c r="AF1577" s="83"/>
      <c r="AG1577" s="83"/>
      <c r="AH1577" s="83"/>
      <c r="AI1577" s="83"/>
      <c r="AJ1577" s="83"/>
      <c r="AK1577" s="83"/>
      <c r="AL1577" s="83"/>
      <c r="AM1577" s="83"/>
      <c r="AN1577" s="83"/>
      <c r="AO1577" s="83"/>
      <c r="AP1577" s="83"/>
      <c r="AQ1577" s="83"/>
      <c r="AR1577" s="83"/>
      <c r="AS1577" s="83">
        <v>1100493.0</v>
      </c>
    </row>
    <row r="1578" ht="15.75" customHeight="1">
      <c r="A1578" s="111" t="s">
        <v>1785</v>
      </c>
      <c r="B1578" s="83" t="s">
        <v>1994</v>
      </c>
      <c r="C1578" s="83" t="s">
        <v>68</v>
      </c>
      <c r="D1578" s="112">
        <v>1176206.0</v>
      </c>
      <c r="E1578" s="83"/>
      <c r="F1578" s="83">
        <v>2.9357829E7</v>
      </c>
      <c r="G1578" s="91" t="str">
        <f>IFERROR(__xludf.DUMMYFUNCTION("XLOOKUP(AS1578,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DALVA MATOS - TEMPO INTEGRAL")</f>
        <v>COLÉGIO ESTADUAL DALVA MATOS - TEMPO INTEGRAL</v>
      </c>
      <c r="H1578" s="119" t="s">
        <v>8815</v>
      </c>
      <c r="I1578" s="91" t="s">
        <v>8816</v>
      </c>
      <c r="J1578" s="115" t="s">
        <v>8327</v>
      </c>
      <c r="K1578" s="83" t="s">
        <v>150</v>
      </c>
      <c r="L1578" s="83" t="s">
        <v>151</v>
      </c>
      <c r="M1578" s="83" t="s">
        <v>152</v>
      </c>
      <c r="N1578" s="98" t="s">
        <v>8817</v>
      </c>
      <c r="O1578" s="98" t="s">
        <v>155</v>
      </c>
      <c r="P1578" s="99" t="str">
        <f>IFERROR(__xludf.DUMMYFUNCTION("IFERROR(VLOOKUP(AS1578,IMPORTRANGE(""https://docs.google.com/spreadsheets/d/1juPI-Fb8LD0YtltB2mlGEnp_R3UVu1t3wSFPzgCyHXE/edit?gid=0#gid=0"",""GERAL!A2:C""),3,0),""-"")"),"-")</f>
        <v>-</v>
      </c>
      <c r="Q1578" s="83"/>
      <c r="R1578" s="83"/>
      <c r="S1578" s="83"/>
      <c r="T1578" s="83"/>
      <c r="U1578" s="83"/>
      <c r="V1578" s="83"/>
      <c r="W1578" s="83"/>
      <c r="X1578" s="83"/>
      <c r="Y1578" s="83"/>
      <c r="Z1578" s="83"/>
      <c r="AA1578" s="83"/>
      <c r="AB1578" s="83"/>
      <c r="AC1578" s="83"/>
      <c r="AD1578" s="83"/>
      <c r="AE1578" s="83"/>
      <c r="AF1578" s="83"/>
      <c r="AG1578" s="83"/>
      <c r="AH1578" s="83"/>
      <c r="AI1578" s="83"/>
      <c r="AJ1578" s="83"/>
      <c r="AK1578" s="83"/>
      <c r="AL1578" s="83"/>
      <c r="AM1578" s="83"/>
      <c r="AN1578" s="83"/>
      <c r="AO1578" s="83"/>
      <c r="AP1578" s="83"/>
      <c r="AQ1578" s="83"/>
      <c r="AR1578" s="83"/>
      <c r="AS1578" s="83">
        <v>1176206.0</v>
      </c>
    </row>
    <row r="1579" ht="15.75" customHeight="1">
      <c r="A1579" s="111" t="s">
        <v>1785</v>
      </c>
      <c r="B1579" s="83" t="s">
        <v>1994</v>
      </c>
      <c r="C1579" s="83" t="s">
        <v>68</v>
      </c>
      <c r="D1579" s="112">
        <v>1100345.0</v>
      </c>
      <c r="E1579" s="83"/>
      <c r="F1579" s="83">
        <v>2.9182123E7</v>
      </c>
      <c r="G1579" s="91" t="str">
        <f>IFERROR(__xludf.DUMMYFUNCTION("XLOOKUP(AS1579,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DA BAHIA CENTRAL")</f>
        <v>COLÉGIO ESTADUAL DA BAHIA CENTRAL</v>
      </c>
      <c r="H1579" s="119" t="s">
        <v>8818</v>
      </c>
      <c r="I1579" s="91" t="s">
        <v>8819</v>
      </c>
      <c r="J1579" s="136" t="s">
        <v>8820</v>
      </c>
      <c r="K1579" s="83" t="s">
        <v>150</v>
      </c>
      <c r="L1579" s="83" t="s">
        <v>151</v>
      </c>
      <c r="M1579" s="83" t="s">
        <v>230</v>
      </c>
      <c r="N1579" s="98" t="s">
        <v>8821</v>
      </c>
      <c r="O1579" s="98" t="s">
        <v>155</v>
      </c>
      <c r="P1579" s="99" t="str">
        <f>IFERROR(__xludf.DUMMYFUNCTION("IFERROR(VLOOKUP(AS1579,IMPORTRANGE(""https://docs.google.com/spreadsheets/d/1juPI-Fb8LD0YtltB2mlGEnp_R3UVu1t3wSFPzgCyHXE/edit?gid=0#gid=0"",""GERAL!A2:C""),3,0),""-"")"),"-")</f>
        <v>-</v>
      </c>
      <c r="Q1579" s="83"/>
      <c r="R1579" s="83"/>
      <c r="S1579" s="83"/>
      <c r="T1579" s="83"/>
      <c r="U1579" s="83"/>
      <c r="V1579" s="83"/>
      <c r="W1579" s="83"/>
      <c r="X1579" s="83"/>
      <c r="Y1579" s="83"/>
      <c r="Z1579" s="83"/>
      <c r="AA1579" s="83"/>
      <c r="AB1579" s="83"/>
      <c r="AC1579" s="83"/>
      <c r="AD1579" s="83"/>
      <c r="AE1579" s="83"/>
      <c r="AF1579" s="83"/>
      <c r="AG1579" s="83"/>
      <c r="AH1579" s="83"/>
      <c r="AI1579" s="83"/>
      <c r="AJ1579" s="83"/>
      <c r="AK1579" s="83"/>
      <c r="AL1579" s="83"/>
      <c r="AM1579" s="83"/>
      <c r="AN1579" s="83"/>
      <c r="AO1579" s="83"/>
      <c r="AP1579" s="83"/>
      <c r="AQ1579" s="83"/>
      <c r="AR1579" s="83"/>
      <c r="AS1579" s="83">
        <v>1100345.0</v>
      </c>
    </row>
    <row r="1580" ht="15.75" customHeight="1">
      <c r="A1580" s="111" t="s">
        <v>1785</v>
      </c>
      <c r="B1580" s="83" t="s">
        <v>1994</v>
      </c>
      <c r="C1580" s="83" t="s">
        <v>68</v>
      </c>
      <c r="D1580" s="112">
        <v>1102097.0</v>
      </c>
      <c r="E1580" s="83"/>
      <c r="F1580" s="83">
        <v>2.9190878E7</v>
      </c>
      <c r="G1580" s="91" t="str">
        <f>IFERROR(__xludf.DUMMYFUNCTION("XLOOKUP(AS1580,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COSME DE FARIAS")</f>
        <v>COLÉGIO ESTADUAL COSME DE FARIAS</v>
      </c>
      <c r="H1580" s="114" t="s">
        <v>8824</v>
      </c>
      <c r="I1580" s="91" t="s">
        <v>8825</v>
      </c>
      <c r="J1580" s="136" t="s">
        <v>8826</v>
      </c>
      <c r="K1580" s="83" t="s">
        <v>150</v>
      </c>
      <c r="L1580" s="83" t="s">
        <v>151</v>
      </c>
      <c r="M1580" s="83" t="s">
        <v>152</v>
      </c>
      <c r="N1580" s="98" t="s">
        <v>8827</v>
      </c>
      <c r="O1580" s="98" t="s">
        <v>155</v>
      </c>
      <c r="P1580" s="99" t="str">
        <f>IFERROR(__xludf.DUMMYFUNCTION("IFERROR(VLOOKUP(AS1580,IMPORTRANGE(""https://docs.google.com/spreadsheets/d/1juPI-Fb8LD0YtltB2mlGEnp_R3UVu1t3wSFPzgCyHXE/edit?gid=0#gid=0"",""GERAL!A2:C""),3,0),""-"")"),"-")</f>
        <v>-</v>
      </c>
      <c r="Q1580" s="83"/>
      <c r="R1580" s="83"/>
      <c r="S1580" s="83"/>
      <c r="T1580" s="83"/>
      <c r="U1580" s="83"/>
      <c r="V1580" s="83"/>
      <c r="W1580" s="83"/>
      <c r="X1580" s="83"/>
      <c r="Y1580" s="83"/>
      <c r="Z1580" s="83"/>
      <c r="AA1580" s="83"/>
      <c r="AB1580" s="83"/>
      <c r="AC1580" s="83"/>
      <c r="AD1580" s="83"/>
      <c r="AE1580" s="83"/>
      <c r="AF1580" s="83"/>
      <c r="AG1580" s="83"/>
      <c r="AH1580" s="83"/>
      <c r="AI1580" s="83"/>
      <c r="AJ1580" s="83"/>
      <c r="AK1580" s="83"/>
      <c r="AL1580" s="83"/>
      <c r="AM1580" s="83"/>
      <c r="AN1580" s="83"/>
      <c r="AO1580" s="83"/>
      <c r="AP1580" s="83"/>
      <c r="AQ1580" s="83"/>
      <c r="AR1580" s="83"/>
      <c r="AS1580" s="83">
        <v>1102097.0</v>
      </c>
    </row>
    <row r="1581" ht="15.75" customHeight="1">
      <c r="A1581" s="111" t="s">
        <v>1785</v>
      </c>
      <c r="B1581" s="83" t="s">
        <v>1994</v>
      </c>
      <c r="C1581" s="83" t="s">
        <v>68</v>
      </c>
      <c r="D1581" s="112">
        <v>1104260.0</v>
      </c>
      <c r="E1581" s="83"/>
      <c r="F1581" s="83">
        <v>2.9190363E7</v>
      </c>
      <c r="G1581" s="91" t="str">
        <f>IFERROR(__xludf.DUMMYFUNCTION("XLOOKUP(AS1581,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CONSELHEIRO VICENTE PACHECO DE OLIVEIRA - TEMPO INTEGRAL")</f>
        <v>COLÉGIO ESTADUAL CONSELHEIRO VICENTE PACHECO DE OLIVEIRA - TEMPO INTEGRAL</v>
      </c>
      <c r="H1581" s="119" t="s">
        <v>8829</v>
      </c>
      <c r="I1581" s="91" t="s">
        <v>8830</v>
      </c>
      <c r="J1581" s="83" t="s">
        <v>8831</v>
      </c>
      <c r="K1581" s="83" t="s">
        <v>150</v>
      </c>
      <c r="L1581" s="83" t="s">
        <v>151</v>
      </c>
      <c r="M1581" s="83" t="s">
        <v>152</v>
      </c>
      <c r="N1581" s="98" t="s">
        <v>8833</v>
      </c>
      <c r="O1581" s="98" t="s">
        <v>155</v>
      </c>
      <c r="P1581" s="99" t="str">
        <f>IFERROR(__xludf.DUMMYFUNCTION("IFERROR(VLOOKUP(AS1581,IMPORTRANGE(""https://docs.google.com/spreadsheets/d/1juPI-Fb8LD0YtltB2mlGEnp_R3UVu1t3wSFPzgCyHXE/edit?gid=0#gid=0"",""GERAL!A2:C""),3,0),""-"")"),"-")</f>
        <v>-</v>
      </c>
      <c r="Q1581" s="83"/>
      <c r="R1581" s="83"/>
      <c r="S1581" s="83"/>
      <c r="T1581" s="83"/>
      <c r="U1581" s="83"/>
      <c r="V1581" s="83"/>
      <c r="W1581" s="83"/>
      <c r="X1581" s="83"/>
      <c r="Y1581" s="83"/>
      <c r="Z1581" s="83"/>
      <c r="AA1581" s="83"/>
      <c r="AB1581" s="83"/>
      <c r="AC1581" s="83"/>
      <c r="AD1581" s="83"/>
      <c r="AE1581" s="83"/>
      <c r="AF1581" s="83"/>
      <c r="AG1581" s="83"/>
      <c r="AH1581" s="83"/>
      <c r="AI1581" s="83"/>
      <c r="AJ1581" s="83"/>
      <c r="AK1581" s="83"/>
      <c r="AL1581" s="83"/>
      <c r="AM1581" s="83"/>
      <c r="AN1581" s="83"/>
      <c r="AO1581" s="83"/>
      <c r="AP1581" s="83"/>
      <c r="AQ1581" s="83"/>
      <c r="AR1581" s="83"/>
      <c r="AS1581" s="83">
        <v>1104260.0</v>
      </c>
    </row>
    <row r="1582" ht="15.75" customHeight="1">
      <c r="A1582" s="111" t="s">
        <v>1785</v>
      </c>
      <c r="B1582" s="83" t="s">
        <v>1994</v>
      </c>
      <c r="C1582" s="83" t="s">
        <v>68</v>
      </c>
      <c r="D1582" s="112">
        <v>1102151.0</v>
      </c>
      <c r="E1582" s="83"/>
      <c r="F1582" s="83">
        <v>2.9182697E7</v>
      </c>
      <c r="G1582" s="91" t="str">
        <f>IFERROR(__xludf.DUMMYFUNCTION("XLOOKUP(AS1582,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CLERISTON ANDRADE")</f>
        <v>COLÉGIO ESTADUAL CLERISTON ANDRADE</v>
      </c>
      <c r="H1582" s="114" t="s">
        <v>8838</v>
      </c>
      <c r="I1582" s="91" t="s">
        <v>8839</v>
      </c>
      <c r="J1582" s="83" t="s">
        <v>8840</v>
      </c>
      <c r="K1582" s="83" t="s">
        <v>150</v>
      </c>
      <c r="L1582" s="83" t="s">
        <v>151</v>
      </c>
      <c r="M1582" s="83" t="s">
        <v>230</v>
      </c>
      <c r="N1582" s="98" t="s">
        <v>8841</v>
      </c>
      <c r="O1582" s="98" t="s">
        <v>155</v>
      </c>
      <c r="P1582" s="99" t="str">
        <f>IFERROR(__xludf.DUMMYFUNCTION("IFERROR(VLOOKUP(AS1582,IMPORTRANGE(""https://docs.google.com/spreadsheets/d/1juPI-Fb8LD0YtltB2mlGEnp_R3UVu1t3wSFPzgCyHXE/edit?gid=0#gid=0"",""GERAL!A2:C""),3,0),""-"")"),"-")</f>
        <v>-</v>
      </c>
      <c r="Q1582" s="83"/>
      <c r="R1582" s="83"/>
      <c r="S1582" s="83"/>
      <c r="T1582" s="83"/>
      <c r="U1582" s="83"/>
      <c r="V1582" s="83"/>
      <c r="W1582" s="83"/>
      <c r="X1582" s="83"/>
      <c r="Y1582" s="83"/>
      <c r="Z1582" s="83"/>
      <c r="AA1582" s="83"/>
      <c r="AB1582" s="83"/>
      <c r="AC1582" s="83"/>
      <c r="AD1582" s="83"/>
      <c r="AE1582" s="83"/>
      <c r="AF1582" s="83"/>
      <c r="AG1582" s="83"/>
      <c r="AH1582" s="83"/>
      <c r="AI1582" s="83"/>
      <c r="AJ1582" s="83"/>
      <c r="AK1582" s="83"/>
      <c r="AL1582" s="83"/>
      <c r="AM1582" s="83"/>
      <c r="AN1582" s="83"/>
      <c r="AO1582" s="83"/>
      <c r="AP1582" s="83"/>
      <c r="AQ1582" s="83"/>
      <c r="AR1582" s="83"/>
      <c r="AS1582" s="83">
        <v>1102151.0</v>
      </c>
    </row>
    <row r="1583" ht="15.75" customHeight="1">
      <c r="A1583" s="111" t="s">
        <v>1785</v>
      </c>
      <c r="B1583" s="83" t="s">
        <v>1994</v>
      </c>
      <c r="C1583" s="83" t="s">
        <v>68</v>
      </c>
      <c r="D1583" s="112">
        <v>1102534.0</v>
      </c>
      <c r="E1583" s="83"/>
      <c r="F1583" s="83">
        <v>2.9191378E7</v>
      </c>
      <c r="G1583" s="91" t="str">
        <f>IFERROR(__xludf.DUMMYFUNCTION("XLOOKUP(AS1583,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CLARICE SANTIAGO DOS SANTOS - ANTIGO COLÉGIO ESTADUAL DEPUTADO LUIS EDUARDO MAGALHAES")</f>
        <v>COLÉGIO ESTADUAL CLARICE SANTIAGO DOS SANTOS - ANTIGO COLÉGIO ESTADUAL DEPUTADO LUIS EDUARDO MAGALHAES</v>
      </c>
      <c r="H1583" s="119" t="s">
        <v>8843</v>
      </c>
      <c r="I1583" s="91" t="s">
        <v>8844</v>
      </c>
      <c r="J1583" s="83" t="s">
        <v>8845</v>
      </c>
      <c r="K1583" s="83" t="s">
        <v>150</v>
      </c>
      <c r="L1583" s="83" t="s">
        <v>151</v>
      </c>
      <c r="M1583" s="83" t="s">
        <v>152</v>
      </c>
      <c r="N1583" s="98" t="s">
        <v>8846</v>
      </c>
      <c r="O1583" s="98" t="s">
        <v>155</v>
      </c>
      <c r="P1583" s="99" t="str">
        <f>IFERROR(__xludf.DUMMYFUNCTION("IFERROR(VLOOKUP(AS1583,IMPORTRANGE(""https://docs.google.com/spreadsheets/d/1juPI-Fb8LD0YtltB2mlGEnp_R3UVu1t3wSFPzgCyHXE/edit?gid=0#gid=0"",""GERAL!A2:C""),3,0),""-"")"),"-")</f>
        <v>-</v>
      </c>
      <c r="Q1583" s="83"/>
      <c r="R1583" s="83"/>
      <c r="S1583" s="83"/>
      <c r="T1583" s="83"/>
      <c r="U1583" s="83"/>
      <c r="V1583" s="83"/>
      <c r="W1583" s="83"/>
      <c r="X1583" s="83"/>
      <c r="Y1583" s="83"/>
      <c r="Z1583" s="83"/>
      <c r="AA1583" s="83"/>
      <c r="AB1583" s="83"/>
      <c r="AC1583" s="83"/>
      <c r="AD1583" s="83"/>
      <c r="AE1583" s="83"/>
      <c r="AF1583" s="83"/>
      <c r="AG1583" s="83"/>
      <c r="AH1583" s="83"/>
      <c r="AI1583" s="83"/>
      <c r="AJ1583" s="83"/>
      <c r="AK1583" s="83"/>
      <c r="AL1583" s="83"/>
      <c r="AM1583" s="83"/>
      <c r="AN1583" s="83"/>
      <c r="AO1583" s="83"/>
      <c r="AP1583" s="83"/>
      <c r="AQ1583" s="83"/>
      <c r="AR1583" s="83"/>
      <c r="AS1583" s="83">
        <v>1102534.0</v>
      </c>
    </row>
    <row r="1584" ht="15.75" customHeight="1">
      <c r="A1584" s="111" t="s">
        <v>1785</v>
      </c>
      <c r="B1584" s="83" t="s">
        <v>1994</v>
      </c>
      <c r="C1584" s="83" t="s">
        <v>68</v>
      </c>
      <c r="D1584" s="112">
        <v>1102011.0</v>
      </c>
      <c r="E1584" s="83"/>
      <c r="F1584" s="83">
        <v>2.919086E7</v>
      </c>
      <c r="G1584" s="91" t="str">
        <f>IFERROR(__xludf.DUMMYFUNCTION("XLOOKUP(AS1584,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CIDADE DE CURITIBA")</f>
        <v>COLÉGIO ESTADUAL CIDADE DE CURITIBA</v>
      </c>
      <c r="H1584" s="114" t="s">
        <v>8847</v>
      </c>
      <c r="I1584" s="91" t="s">
        <v>8848</v>
      </c>
      <c r="J1584" s="83" t="s">
        <v>8183</v>
      </c>
      <c r="K1584" s="83" t="s">
        <v>150</v>
      </c>
      <c r="L1584" s="83" t="s">
        <v>151</v>
      </c>
      <c r="M1584" s="83" t="s">
        <v>152</v>
      </c>
      <c r="N1584" s="98" t="s">
        <v>8850</v>
      </c>
      <c r="O1584" s="98" t="s">
        <v>155</v>
      </c>
      <c r="P1584" s="99" t="str">
        <f>IFERROR(__xludf.DUMMYFUNCTION("IFERROR(VLOOKUP(AS1584,IMPORTRANGE(""https://docs.google.com/spreadsheets/d/1juPI-Fb8LD0YtltB2mlGEnp_R3UVu1t3wSFPzgCyHXE/edit?gid=0#gid=0"",""GERAL!A2:C""),3,0),""-"")"),"-")</f>
        <v>-</v>
      </c>
      <c r="Q1584" s="83"/>
      <c r="R1584" s="83"/>
      <c r="S1584" s="83"/>
      <c r="T1584" s="83"/>
      <c r="U1584" s="83"/>
      <c r="V1584" s="83"/>
      <c r="W1584" s="83"/>
      <c r="X1584" s="83"/>
      <c r="Y1584" s="83"/>
      <c r="Z1584" s="83"/>
      <c r="AA1584" s="83"/>
      <c r="AB1584" s="83"/>
      <c r="AC1584" s="83"/>
      <c r="AD1584" s="83"/>
      <c r="AE1584" s="83"/>
      <c r="AF1584" s="83"/>
      <c r="AG1584" s="83"/>
      <c r="AH1584" s="83"/>
      <c r="AI1584" s="83"/>
      <c r="AJ1584" s="83"/>
      <c r="AK1584" s="83"/>
      <c r="AL1584" s="83"/>
      <c r="AM1584" s="83"/>
      <c r="AN1584" s="83"/>
      <c r="AO1584" s="83"/>
      <c r="AP1584" s="83"/>
      <c r="AQ1584" s="83"/>
      <c r="AR1584" s="83"/>
      <c r="AS1584" s="83">
        <v>1102011.0</v>
      </c>
    </row>
    <row r="1585" ht="15.75" customHeight="1">
      <c r="A1585" s="111" t="s">
        <v>1785</v>
      </c>
      <c r="B1585" s="83" t="s">
        <v>1994</v>
      </c>
      <c r="C1585" s="83" t="s">
        <v>68</v>
      </c>
      <c r="D1585" s="112">
        <v>1101937.0</v>
      </c>
      <c r="E1585" s="83"/>
      <c r="F1585" s="83">
        <v>2.9190851E7</v>
      </c>
      <c r="G1585" s="91" t="str">
        <f>IFERROR(__xludf.DUMMYFUNCTION("XLOOKUP(AS1585,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CESARE CASALI - EM TEMPO INTEGRAL")</f>
        <v>COLÉGIO ESTADUAL CESARE CASALI - EM TEMPO INTEGRAL</v>
      </c>
      <c r="H1585" s="119" t="s">
        <v>8856</v>
      </c>
      <c r="I1585" s="91" t="s">
        <v>8857</v>
      </c>
      <c r="J1585" s="83" t="s">
        <v>8143</v>
      </c>
      <c r="K1585" s="83" t="s">
        <v>150</v>
      </c>
      <c r="L1585" s="83" t="s">
        <v>151</v>
      </c>
      <c r="M1585" s="83" t="s">
        <v>152</v>
      </c>
      <c r="N1585" s="98" t="s">
        <v>8858</v>
      </c>
      <c r="O1585" s="98" t="s">
        <v>155</v>
      </c>
      <c r="P1585" s="99" t="str">
        <f>IFERROR(__xludf.DUMMYFUNCTION("IFERROR(VLOOKUP(AS1585,IMPORTRANGE(""https://docs.google.com/spreadsheets/d/1juPI-Fb8LD0YtltB2mlGEnp_R3UVu1t3wSFPzgCyHXE/edit?gid=0#gid=0"",""GERAL!A2:C""),3,0),""-"")"),"-")</f>
        <v>-</v>
      </c>
      <c r="Q1585" s="83"/>
      <c r="R1585" s="83"/>
      <c r="S1585" s="83"/>
      <c r="T1585" s="83"/>
      <c r="U1585" s="83"/>
      <c r="V1585" s="83"/>
      <c r="W1585" s="83"/>
      <c r="X1585" s="83"/>
      <c r="Y1585" s="83"/>
      <c r="Z1585" s="83"/>
      <c r="AA1585" s="83"/>
      <c r="AB1585" s="83"/>
      <c r="AC1585" s="83"/>
      <c r="AD1585" s="83"/>
      <c r="AE1585" s="83"/>
      <c r="AF1585" s="83"/>
      <c r="AG1585" s="83"/>
      <c r="AH1585" s="83"/>
      <c r="AI1585" s="83"/>
      <c r="AJ1585" s="83"/>
      <c r="AK1585" s="83"/>
      <c r="AL1585" s="83"/>
      <c r="AM1585" s="83"/>
      <c r="AN1585" s="83"/>
      <c r="AO1585" s="83"/>
      <c r="AP1585" s="83"/>
      <c r="AQ1585" s="83"/>
      <c r="AR1585" s="83"/>
      <c r="AS1585" s="83">
        <v>1101937.0</v>
      </c>
    </row>
    <row r="1586" ht="15.75" customHeight="1">
      <c r="A1586" s="111" t="s">
        <v>1785</v>
      </c>
      <c r="B1586" s="83" t="s">
        <v>1994</v>
      </c>
      <c r="C1586" s="83" t="s">
        <v>68</v>
      </c>
      <c r="D1586" s="112">
        <v>1176079.0</v>
      </c>
      <c r="E1586" s="83"/>
      <c r="F1586" s="83">
        <v>2.9192188E7</v>
      </c>
      <c r="G1586" s="91" t="str">
        <f>IFERROR(__xludf.DUMMYFUNCTION("XLOOKUP(AS1586,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CELIA MATA PIRES")</f>
        <v>COLÉGIO ESTADUAL CELIA MATA PIRES</v>
      </c>
      <c r="H1586" s="114" t="s">
        <v>8859</v>
      </c>
      <c r="I1586" s="91" t="s">
        <v>8860</v>
      </c>
      <c r="J1586" s="83" t="s">
        <v>8347</v>
      </c>
      <c r="K1586" s="83" t="s">
        <v>150</v>
      </c>
      <c r="L1586" s="83" t="s">
        <v>151</v>
      </c>
      <c r="M1586" s="83" t="s">
        <v>76</v>
      </c>
      <c r="N1586" s="98" t="s">
        <v>8861</v>
      </c>
      <c r="O1586" s="98" t="s">
        <v>155</v>
      </c>
      <c r="P1586" s="99" t="str">
        <f>IFERROR(__xludf.DUMMYFUNCTION("IFERROR(VLOOKUP(AS1586,IMPORTRANGE(""https://docs.google.com/spreadsheets/d/1juPI-Fb8LD0YtltB2mlGEnp_R3UVu1t3wSFPzgCyHXE/edit?gid=0#gid=0"",""GERAL!A2:C""),3,0),""-"")"),"-")</f>
        <v>-</v>
      </c>
      <c r="Q1586" s="83"/>
      <c r="R1586" s="83"/>
      <c r="S1586" s="83"/>
      <c r="T1586" s="83"/>
      <c r="U1586" s="83"/>
      <c r="V1586" s="83"/>
      <c r="W1586" s="83"/>
      <c r="X1586" s="83"/>
      <c r="Y1586" s="83"/>
      <c r="Z1586" s="83"/>
      <c r="AA1586" s="83"/>
      <c r="AB1586" s="83"/>
      <c r="AC1586" s="83"/>
      <c r="AD1586" s="83"/>
      <c r="AE1586" s="83"/>
      <c r="AF1586" s="83"/>
      <c r="AG1586" s="83"/>
      <c r="AH1586" s="83"/>
      <c r="AI1586" s="83"/>
      <c r="AJ1586" s="83"/>
      <c r="AK1586" s="83"/>
      <c r="AL1586" s="83"/>
      <c r="AM1586" s="83"/>
      <c r="AN1586" s="83"/>
      <c r="AO1586" s="83"/>
      <c r="AP1586" s="83"/>
      <c r="AQ1586" s="83"/>
      <c r="AR1586" s="83"/>
      <c r="AS1586" s="83">
        <v>1176079.0</v>
      </c>
    </row>
    <row r="1587" ht="15.75" customHeight="1">
      <c r="A1587" s="111" t="s">
        <v>1785</v>
      </c>
      <c r="B1587" s="83" t="s">
        <v>1994</v>
      </c>
      <c r="C1587" s="83" t="s">
        <v>68</v>
      </c>
      <c r="D1587" s="112">
        <v>1101074.0</v>
      </c>
      <c r="E1587" s="83"/>
      <c r="F1587" s="83">
        <v>2.9190835E7</v>
      </c>
      <c r="G1587" s="91" t="str">
        <f>IFERROR(__xludf.DUMMYFUNCTION("XLOOKUP(AS1587,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BRIGADEIRO EDUARDO GOMES")</f>
        <v>COLÉGIO ESTADUAL BRIGADEIRO EDUARDO GOMES</v>
      </c>
      <c r="H1587" s="114" t="s">
        <v>8865</v>
      </c>
      <c r="I1587" s="91" t="s">
        <v>8867</v>
      </c>
      <c r="J1587" s="83" t="s">
        <v>8868</v>
      </c>
      <c r="K1587" s="83" t="s">
        <v>150</v>
      </c>
      <c r="L1587" s="83" t="s">
        <v>151</v>
      </c>
      <c r="M1587" s="83" t="s">
        <v>152</v>
      </c>
      <c r="N1587" s="98" t="s">
        <v>8870</v>
      </c>
      <c r="O1587" s="98" t="s">
        <v>155</v>
      </c>
      <c r="P1587" s="99" t="str">
        <f>IFERROR(__xludf.DUMMYFUNCTION("IFERROR(VLOOKUP(AS1587,IMPORTRANGE(""https://docs.google.com/spreadsheets/d/1juPI-Fb8LD0YtltB2mlGEnp_R3UVu1t3wSFPzgCyHXE/edit?gid=0#gid=0"",""GERAL!A2:C""),3,0),""-"")"),"-")</f>
        <v>-</v>
      </c>
      <c r="Q1587" s="83"/>
      <c r="R1587" s="83"/>
      <c r="S1587" s="83"/>
      <c r="T1587" s="83"/>
      <c r="U1587" s="83"/>
      <c r="V1587" s="83"/>
      <c r="W1587" s="83"/>
      <c r="X1587" s="83"/>
      <c r="Y1587" s="83"/>
      <c r="Z1587" s="83"/>
      <c r="AA1587" s="83"/>
      <c r="AB1587" s="83"/>
      <c r="AC1587" s="83"/>
      <c r="AD1587" s="83"/>
      <c r="AE1587" s="83"/>
      <c r="AF1587" s="83"/>
      <c r="AG1587" s="83"/>
      <c r="AH1587" s="83"/>
      <c r="AI1587" s="83"/>
      <c r="AJ1587" s="83"/>
      <c r="AK1587" s="83"/>
      <c r="AL1587" s="83"/>
      <c r="AM1587" s="83"/>
      <c r="AN1587" s="83"/>
      <c r="AO1587" s="83"/>
      <c r="AP1587" s="83"/>
      <c r="AQ1587" s="83"/>
      <c r="AR1587" s="83"/>
      <c r="AS1587" s="83">
        <v>1101074.0</v>
      </c>
    </row>
    <row r="1588" ht="15.75" customHeight="1">
      <c r="A1588" s="111" t="s">
        <v>1785</v>
      </c>
      <c r="B1588" s="83" t="s">
        <v>1994</v>
      </c>
      <c r="C1588" s="83" t="s">
        <v>68</v>
      </c>
      <c r="D1588" s="112">
        <v>1145829.0</v>
      </c>
      <c r="E1588" s="83"/>
      <c r="F1588" s="83">
        <v>2.919127E7</v>
      </c>
      <c r="G1588" s="91" t="str">
        <f>IFERROR(__xludf.DUMMYFUNCTION("XLOOKUP(AS1588,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BENTO GONÇALVES")</f>
        <v>COLÉGIO ESTADUAL BENTO GONÇALVES</v>
      </c>
      <c r="H1588" s="114" t="s">
        <v>8871</v>
      </c>
      <c r="I1588" s="91" t="s">
        <v>8872</v>
      </c>
      <c r="J1588" s="83" t="s">
        <v>8609</v>
      </c>
      <c r="K1588" s="83" t="s">
        <v>150</v>
      </c>
      <c r="L1588" s="83" t="s">
        <v>151</v>
      </c>
      <c r="M1588" s="83" t="s">
        <v>152</v>
      </c>
      <c r="N1588" s="98" t="s">
        <v>8873</v>
      </c>
      <c r="O1588" s="98" t="s">
        <v>155</v>
      </c>
      <c r="P1588" s="99" t="str">
        <f>IFERROR(__xludf.DUMMYFUNCTION("IFERROR(VLOOKUP(AS1588,IMPORTRANGE(""https://docs.google.com/spreadsheets/d/1juPI-Fb8LD0YtltB2mlGEnp_R3UVu1t3wSFPzgCyHXE/edit?gid=0#gid=0"",""GERAL!A2:C""),3,0),""-"")"),"-")</f>
        <v>-</v>
      </c>
      <c r="Q1588" s="83"/>
      <c r="R1588" s="83"/>
      <c r="S1588" s="83"/>
      <c r="T1588" s="83"/>
      <c r="U1588" s="83"/>
      <c r="V1588" s="83"/>
      <c r="W1588" s="83"/>
      <c r="X1588" s="83"/>
      <c r="Y1588" s="83"/>
      <c r="Z1588" s="83"/>
      <c r="AA1588" s="83"/>
      <c r="AB1588" s="83"/>
      <c r="AC1588" s="83"/>
      <c r="AD1588" s="83"/>
      <c r="AE1588" s="83"/>
      <c r="AF1588" s="83"/>
      <c r="AG1588" s="83"/>
      <c r="AH1588" s="83"/>
      <c r="AI1588" s="83"/>
      <c r="AJ1588" s="83"/>
      <c r="AK1588" s="83"/>
      <c r="AL1588" s="83"/>
      <c r="AM1588" s="83"/>
      <c r="AN1588" s="83"/>
      <c r="AO1588" s="83"/>
      <c r="AP1588" s="83"/>
      <c r="AQ1588" s="83"/>
      <c r="AR1588" s="83"/>
      <c r="AS1588" s="83">
        <v>1145829.0</v>
      </c>
    </row>
    <row r="1589" ht="15.75" customHeight="1">
      <c r="A1589" s="111" t="s">
        <v>1785</v>
      </c>
      <c r="B1589" s="83" t="s">
        <v>1994</v>
      </c>
      <c r="C1589" s="83" t="s">
        <v>68</v>
      </c>
      <c r="D1589" s="112">
        <v>1101031.0</v>
      </c>
      <c r="E1589" s="83"/>
      <c r="F1589" s="83">
        <v>2.9182093E7</v>
      </c>
      <c r="G1589" s="91" t="str">
        <f>IFERROR(__xludf.DUMMYFUNCTION("XLOOKUP(AS1589,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AZEVEDO FERNANDES")</f>
        <v>COLÉGIO ESTADUAL AZEVEDO FERNANDES</v>
      </c>
      <c r="H1589" s="119" t="s">
        <v>8874</v>
      </c>
      <c r="I1589" s="91" t="s">
        <v>8875</v>
      </c>
      <c r="J1589" s="83" t="s">
        <v>8876</v>
      </c>
      <c r="K1589" s="83" t="s">
        <v>150</v>
      </c>
      <c r="L1589" s="83" t="s">
        <v>151</v>
      </c>
      <c r="M1589" s="83" t="s">
        <v>76</v>
      </c>
      <c r="N1589" s="98" t="s">
        <v>8877</v>
      </c>
      <c r="O1589" s="98" t="s">
        <v>155</v>
      </c>
      <c r="P1589" s="99" t="str">
        <f>IFERROR(__xludf.DUMMYFUNCTION("IFERROR(VLOOKUP(AS1589,IMPORTRANGE(""https://docs.google.com/spreadsheets/d/1juPI-Fb8LD0YtltB2mlGEnp_R3UVu1t3wSFPzgCyHXE/edit?gid=0#gid=0"",""GERAL!A2:C""),3,0),""-"")"),"-")</f>
        <v>-</v>
      </c>
      <c r="Q1589" s="83"/>
      <c r="R1589" s="83"/>
      <c r="S1589" s="83"/>
      <c r="T1589" s="83"/>
      <c r="U1589" s="83"/>
      <c r="V1589" s="83"/>
      <c r="W1589" s="83"/>
      <c r="X1589" s="83"/>
      <c r="Y1589" s="83"/>
      <c r="Z1589" s="83"/>
      <c r="AA1589" s="83"/>
      <c r="AB1589" s="83"/>
      <c r="AC1589" s="83"/>
      <c r="AD1589" s="83"/>
      <c r="AE1589" s="83"/>
      <c r="AF1589" s="83"/>
      <c r="AG1589" s="83"/>
      <c r="AH1589" s="83"/>
      <c r="AI1589" s="83"/>
      <c r="AJ1589" s="83"/>
      <c r="AK1589" s="83"/>
      <c r="AL1589" s="83"/>
      <c r="AM1589" s="83"/>
      <c r="AN1589" s="83"/>
      <c r="AO1589" s="83"/>
      <c r="AP1589" s="83"/>
      <c r="AQ1589" s="83"/>
      <c r="AR1589" s="83"/>
      <c r="AS1589" s="83">
        <v>1101031.0</v>
      </c>
    </row>
    <row r="1590" ht="15.75" customHeight="1">
      <c r="A1590" s="111" t="s">
        <v>1785</v>
      </c>
      <c r="B1590" s="83" t="s">
        <v>1994</v>
      </c>
      <c r="C1590" s="83" t="s">
        <v>68</v>
      </c>
      <c r="D1590" s="112">
        <v>1100388.0</v>
      </c>
      <c r="E1590" s="83"/>
      <c r="F1590" s="83">
        <v>2.9189454E7</v>
      </c>
      <c r="G1590" s="91" t="str">
        <f>IFERROR(__xludf.DUMMYFUNCTION("XLOOKUP(AS1590,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ASSIS CHATEAUBRIAND")</f>
        <v>COLÉGIO ESTADUAL ASSIS CHATEAUBRIAND</v>
      </c>
      <c r="H1590" s="119" t="s">
        <v>8878</v>
      </c>
      <c r="I1590" s="91" t="s">
        <v>8879</v>
      </c>
      <c r="J1590" s="83" t="s">
        <v>8391</v>
      </c>
      <c r="K1590" s="83" t="s">
        <v>150</v>
      </c>
      <c r="L1590" s="83" t="s">
        <v>151</v>
      </c>
      <c r="M1590" s="83" t="s">
        <v>152</v>
      </c>
      <c r="N1590" s="98" t="s">
        <v>8880</v>
      </c>
      <c r="O1590" s="98" t="s">
        <v>155</v>
      </c>
      <c r="P1590" s="99" t="str">
        <f>IFERROR(__xludf.DUMMYFUNCTION("IFERROR(VLOOKUP(AS1590,IMPORTRANGE(""https://docs.google.com/spreadsheets/d/1juPI-Fb8LD0YtltB2mlGEnp_R3UVu1t3wSFPzgCyHXE/edit?gid=0#gid=0"",""GERAL!A2:C""),3,0),""-"")"),"-")</f>
        <v>-</v>
      </c>
      <c r="Q1590" s="83"/>
      <c r="R1590" s="83"/>
      <c r="S1590" s="83"/>
      <c r="T1590" s="83"/>
      <c r="U1590" s="83"/>
      <c r="V1590" s="83"/>
      <c r="W1590" s="83"/>
      <c r="X1590" s="83"/>
      <c r="Y1590" s="83"/>
      <c r="Z1590" s="83"/>
      <c r="AA1590" s="83"/>
      <c r="AB1590" s="83"/>
      <c r="AC1590" s="83"/>
      <c r="AD1590" s="83"/>
      <c r="AE1590" s="83"/>
      <c r="AF1590" s="83"/>
      <c r="AG1590" s="83"/>
      <c r="AH1590" s="83"/>
      <c r="AI1590" s="83"/>
      <c r="AJ1590" s="83"/>
      <c r="AK1590" s="83"/>
      <c r="AL1590" s="83"/>
      <c r="AM1590" s="83"/>
      <c r="AN1590" s="83"/>
      <c r="AO1590" s="83"/>
      <c r="AP1590" s="83"/>
      <c r="AQ1590" s="83"/>
      <c r="AR1590" s="83"/>
      <c r="AS1590" s="83">
        <v>1100388.0</v>
      </c>
    </row>
    <row r="1591" ht="15.75" customHeight="1">
      <c r="A1591" s="111" t="s">
        <v>1785</v>
      </c>
      <c r="B1591" s="83" t="s">
        <v>1994</v>
      </c>
      <c r="C1591" s="83" t="s">
        <v>68</v>
      </c>
      <c r="D1591" s="112">
        <v>1102372.0</v>
      </c>
      <c r="E1591" s="83"/>
      <c r="F1591" s="83">
        <v>2.9188792E7</v>
      </c>
      <c r="G1591" s="91" t="str">
        <f>IFERROR(__xludf.DUMMYFUNCTION("XLOOKUP(AS1591,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ARTUR DE SALES")</f>
        <v>COLÉGIO ESTADUAL ARTUR DE SALES</v>
      </c>
      <c r="H1591" s="119" t="s">
        <v>8881</v>
      </c>
      <c r="I1591" s="91" t="s">
        <v>8882</v>
      </c>
      <c r="J1591" s="83" t="s">
        <v>8883</v>
      </c>
      <c r="K1591" s="83" t="s">
        <v>150</v>
      </c>
      <c r="L1591" s="83" t="s">
        <v>151</v>
      </c>
      <c r="M1591" s="83" t="s">
        <v>152</v>
      </c>
      <c r="N1591" s="98" t="s">
        <v>8884</v>
      </c>
      <c r="O1591" s="98" t="s">
        <v>155</v>
      </c>
      <c r="P1591" s="99" t="str">
        <f>IFERROR(__xludf.DUMMYFUNCTION("IFERROR(VLOOKUP(AS1591,IMPORTRANGE(""https://docs.google.com/spreadsheets/d/1juPI-Fb8LD0YtltB2mlGEnp_R3UVu1t3wSFPzgCyHXE/edit?gid=0#gid=0"",""GERAL!A2:C""),3,0),""-"")"),"-")</f>
        <v>-</v>
      </c>
      <c r="Q1591" s="83"/>
      <c r="R1591" s="83"/>
      <c r="S1591" s="83"/>
      <c r="T1591" s="83"/>
      <c r="U1591" s="83"/>
      <c r="V1591" s="83"/>
      <c r="W1591" s="83"/>
      <c r="X1591" s="83"/>
      <c r="Y1591" s="83"/>
      <c r="Z1591" s="83"/>
      <c r="AA1591" s="83"/>
      <c r="AB1591" s="83"/>
      <c r="AC1591" s="83"/>
      <c r="AD1591" s="83"/>
      <c r="AE1591" s="83"/>
      <c r="AF1591" s="83"/>
      <c r="AG1591" s="83"/>
      <c r="AH1591" s="83"/>
      <c r="AI1591" s="83"/>
      <c r="AJ1591" s="83"/>
      <c r="AK1591" s="83"/>
      <c r="AL1591" s="83"/>
      <c r="AM1591" s="83"/>
      <c r="AN1591" s="83"/>
      <c r="AO1591" s="83"/>
      <c r="AP1591" s="83"/>
      <c r="AQ1591" s="83"/>
      <c r="AR1591" s="83"/>
      <c r="AS1591" s="83">
        <v>1102372.0</v>
      </c>
    </row>
    <row r="1592" ht="15.75" customHeight="1">
      <c r="A1592" s="111" t="s">
        <v>1785</v>
      </c>
      <c r="B1592" s="83" t="s">
        <v>1994</v>
      </c>
      <c r="C1592" s="83" t="s">
        <v>68</v>
      </c>
      <c r="D1592" s="112">
        <v>1100612.0</v>
      </c>
      <c r="E1592" s="83"/>
      <c r="F1592" s="83">
        <v>2.9182034E7</v>
      </c>
      <c r="G1592" s="91" t="str">
        <f>IFERROR(__xludf.DUMMYFUNCTION("XLOOKUP(AS1592,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ANTONIO CARLOS MAGALHÃES")</f>
        <v>COLÉGIO ESTADUAL ANTONIO CARLOS MAGALHÃES</v>
      </c>
      <c r="H1592" s="114" t="s">
        <v>8885</v>
      </c>
      <c r="I1592" s="91" t="s">
        <v>8886</v>
      </c>
      <c r="J1592" s="83" t="s">
        <v>8888</v>
      </c>
      <c r="K1592" s="83" t="s">
        <v>150</v>
      </c>
      <c r="L1592" s="83" t="s">
        <v>151</v>
      </c>
      <c r="M1592" s="83" t="s">
        <v>152</v>
      </c>
      <c r="N1592" s="98" t="s">
        <v>8670</v>
      </c>
      <c r="O1592" s="98" t="s">
        <v>155</v>
      </c>
      <c r="P1592" s="99" t="str">
        <f>IFERROR(__xludf.DUMMYFUNCTION("IFERROR(VLOOKUP(AS1592,IMPORTRANGE(""https://docs.google.com/spreadsheets/d/1juPI-Fb8LD0YtltB2mlGEnp_R3UVu1t3wSFPzgCyHXE/edit?gid=0#gid=0"",""GERAL!A2:C""),3,0),""-"")"),"-")</f>
        <v>-</v>
      </c>
      <c r="Q1592" s="83"/>
      <c r="R1592" s="83"/>
      <c r="S1592" s="83"/>
      <c r="T1592" s="83"/>
      <c r="U1592" s="83"/>
      <c r="V1592" s="83"/>
      <c r="W1592" s="83"/>
      <c r="X1592" s="83"/>
      <c r="Y1592" s="83"/>
      <c r="Z1592" s="83"/>
      <c r="AA1592" s="83"/>
      <c r="AB1592" s="83"/>
      <c r="AC1592" s="83"/>
      <c r="AD1592" s="83"/>
      <c r="AE1592" s="83"/>
      <c r="AF1592" s="83"/>
      <c r="AG1592" s="83"/>
      <c r="AH1592" s="83"/>
      <c r="AI1592" s="83"/>
      <c r="AJ1592" s="83"/>
      <c r="AK1592" s="83"/>
      <c r="AL1592" s="83"/>
      <c r="AM1592" s="83"/>
      <c r="AN1592" s="83"/>
      <c r="AO1592" s="83"/>
      <c r="AP1592" s="83"/>
      <c r="AQ1592" s="83"/>
      <c r="AR1592" s="83"/>
      <c r="AS1592" s="83">
        <v>1100612.0</v>
      </c>
    </row>
    <row r="1593" ht="15.75" customHeight="1">
      <c r="A1593" s="111" t="s">
        <v>1785</v>
      </c>
      <c r="B1593" s="83" t="s">
        <v>1994</v>
      </c>
      <c r="C1593" s="83" t="s">
        <v>68</v>
      </c>
      <c r="D1593" s="112">
        <v>1100540.0</v>
      </c>
      <c r="E1593" s="83"/>
      <c r="F1593" s="83">
        <v>2.9189241E7</v>
      </c>
      <c r="G1593" s="91" t="str">
        <f>IFERROR(__xludf.DUMMYFUNCTION("XLOOKUP(AS1593,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ANFRISIA SANTIAGO - TEMPO INTEGRAL")</f>
        <v>COLÉGIO ESTADUAL ANFRISIA SANTIAGO - TEMPO INTEGRAL</v>
      </c>
      <c r="H1593" s="119" t="s">
        <v>8898</v>
      </c>
      <c r="I1593" s="91" t="s">
        <v>8899</v>
      </c>
      <c r="J1593" s="83" t="s">
        <v>8465</v>
      </c>
      <c r="K1593" s="83" t="s">
        <v>150</v>
      </c>
      <c r="L1593" s="83" t="s">
        <v>151</v>
      </c>
      <c r="M1593" s="83" t="s">
        <v>152</v>
      </c>
      <c r="N1593" s="98" t="s">
        <v>8900</v>
      </c>
      <c r="O1593" s="98" t="s">
        <v>155</v>
      </c>
      <c r="P1593" s="99" t="str">
        <f>IFERROR(__xludf.DUMMYFUNCTION("IFERROR(VLOOKUP(AS1593,IMPORTRANGE(""https://docs.google.com/spreadsheets/d/1juPI-Fb8LD0YtltB2mlGEnp_R3UVu1t3wSFPzgCyHXE/edit?gid=0#gid=0"",""GERAL!A2:C""),3,0),""-"")"),"-")</f>
        <v>-</v>
      </c>
      <c r="Q1593" s="83"/>
      <c r="R1593" s="83"/>
      <c r="S1593" s="83"/>
      <c r="T1593" s="83"/>
      <c r="U1593" s="83"/>
      <c r="V1593" s="83"/>
      <c r="W1593" s="83"/>
      <c r="X1593" s="83"/>
      <c r="Y1593" s="83"/>
      <c r="Z1593" s="83"/>
      <c r="AA1593" s="83"/>
      <c r="AB1593" s="83"/>
      <c r="AC1593" s="83"/>
      <c r="AD1593" s="83"/>
      <c r="AE1593" s="83"/>
      <c r="AF1593" s="83"/>
      <c r="AG1593" s="83"/>
      <c r="AH1593" s="83"/>
      <c r="AI1593" s="83"/>
      <c r="AJ1593" s="83"/>
      <c r="AK1593" s="83"/>
      <c r="AL1593" s="83"/>
      <c r="AM1593" s="83"/>
      <c r="AN1593" s="83"/>
      <c r="AO1593" s="83"/>
      <c r="AP1593" s="83"/>
      <c r="AQ1593" s="83"/>
      <c r="AR1593" s="83"/>
      <c r="AS1593" s="83">
        <v>1100540.0</v>
      </c>
    </row>
    <row r="1594" ht="15.75" customHeight="1">
      <c r="A1594" s="111" t="s">
        <v>1785</v>
      </c>
      <c r="B1594" s="83" t="s">
        <v>1994</v>
      </c>
      <c r="C1594" s="83" t="s">
        <v>68</v>
      </c>
      <c r="D1594" s="98">
        <v>1179805.0</v>
      </c>
      <c r="E1594" s="83"/>
      <c r="F1594" s="83"/>
      <c r="G1594" s="91" t="str">
        <f>IFERROR(__xludf.DUMMYFUNCTION("XLOOKUP(AS1594,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ANA NERY
")</f>
        <v>COLÉGIO ESTADUAL ANA NERY
</v>
      </c>
      <c r="H1594" s="119" t="s">
        <v>8901</v>
      </c>
      <c r="I1594" s="108" t="s">
        <v>8902</v>
      </c>
      <c r="J1594" s="83"/>
      <c r="K1594" s="83"/>
      <c r="L1594" s="83" t="s">
        <v>151</v>
      </c>
      <c r="M1594" s="98" t="s">
        <v>230</v>
      </c>
      <c r="N1594" s="98" t="s">
        <v>8906</v>
      </c>
      <c r="O1594" s="98"/>
      <c r="P1594" s="99" t="str">
        <f>IFERROR(__xludf.DUMMYFUNCTION("IFERROR(VLOOKUP(AS1594,IMPORTRANGE(""https://docs.google.com/spreadsheets/d/1juPI-Fb8LD0YtltB2mlGEnp_R3UVu1t3wSFPzgCyHXE/edit?gid=0#gid=0"",""GERAL!A2:C""),3,0),""-"")"),"-")</f>
        <v>-</v>
      </c>
      <c r="Q1594" s="98"/>
      <c r="R1594" s="98"/>
      <c r="S1594" s="98"/>
      <c r="T1594" s="98"/>
      <c r="U1594" s="98"/>
      <c r="V1594" s="98"/>
      <c r="W1594" s="98"/>
      <c r="X1594" s="98"/>
      <c r="Y1594" s="98"/>
      <c r="Z1594" s="98"/>
      <c r="AA1594" s="98"/>
      <c r="AB1594" s="98"/>
      <c r="AC1594" s="98"/>
      <c r="AD1594" s="98"/>
      <c r="AE1594" s="98"/>
      <c r="AF1594" s="98"/>
      <c r="AG1594" s="98"/>
      <c r="AH1594" s="98"/>
      <c r="AI1594" s="98"/>
      <c r="AJ1594" s="98"/>
      <c r="AK1594" s="98"/>
      <c r="AL1594" s="98"/>
      <c r="AM1594" s="98"/>
      <c r="AN1594" s="98"/>
      <c r="AO1594" s="98"/>
      <c r="AP1594" s="98"/>
      <c r="AQ1594" s="98"/>
      <c r="AR1594" s="98"/>
      <c r="AS1594" s="98">
        <v>1179805.0</v>
      </c>
    </row>
    <row r="1595" ht="15.75" customHeight="1">
      <c r="A1595" s="111" t="s">
        <v>1785</v>
      </c>
      <c r="B1595" s="83" t="s">
        <v>1994</v>
      </c>
      <c r="C1595" s="83" t="s">
        <v>68</v>
      </c>
      <c r="D1595" s="112">
        <v>1178157.0</v>
      </c>
      <c r="E1595" s="83"/>
      <c r="F1595" s="83">
        <v>2.9444667E7</v>
      </c>
      <c r="G1595" s="91" t="str">
        <f>IFERROR(__xludf.DUMMYFUNCTION("XLOOKUP(AS1595,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ANA CRISTINA PRAZERES MATA PIRES")</f>
        <v>COLÉGIO ESTADUAL ANA CRISTINA PRAZERES MATA PIRES</v>
      </c>
      <c r="H1595" s="119" t="s">
        <v>8909</v>
      </c>
      <c r="I1595" s="91" t="s">
        <v>8910</v>
      </c>
      <c r="J1595" s="83" t="s">
        <v>8465</v>
      </c>
      <c r="K1595" s="83" t="s">
        <v>150</v>
      </c>
      <c r="L1595" s="83" t="s">
        <v>151</v>
      </c>
      <c r="M1595" s="83" t="s">
        <v>152</v>
      </c>
      <c r="N1595" s="98" t="s">
        <v>8911</v>
      </c>
      <c r="O1595" s="98" t="s">
        <v>155</v>
      </c>
      <c r="P1595" s="99" t="str">
        <f>IFERROR(__xludf.DUMMYFUNCTION("IFERROR(VLOOKUP(AS1595,IMPORTRANGE(""https://docs.google.com/spreadsheets/d/1juPI-Fb8LD0YtltB2mlGEnp_R3UVu1t3wSFPzgCyHXE/edit?gid=0#gid=0"",""GERAL!A2:C""),3,0),""-"")"),"-")</f>
        <v>-</v>
      </c>
      <c r="Q1595" s="83"/>
      <c r="R1595" s="83"/>
      <c r="S1595" s="83"/>
      <c r="T1595" s="83"/>
      <c r="U1595" s="83"/>
      <c r="V1595" s="83"/>
      <c r="W1595" s="83"/>
      <c r="X1595" s="83"/>
      <c r="Y1595" s="83"/>
      <c r="Z1595" s="83"/>
      <c r="AA1595" s="83"/>
      <c r="AB1595" s="83"/>
      <c r="AC1595" s="83"/>
      <c r="AD1595" s="83"/>
      <c r="AE1595" s="83"/>
      <c r="AF1595" s="83"/>
      <c r="AG1595" s="83"/>
      <c r="AH1595" s="83"/>
      <c r="AI1595" s="83"/>
      <c r="AJ1595" s="83"/>
      <c r="AK1595" s="83"/>
      <c r="AL1595" s="83"/>
      <c r="AM1595" s="83"/>
      <c r="AN1595" s="83"/>
      <c r="AO1595" s="83"/>
      <c r="AP1595" s="83"/>
      <c r="AQ1595" s="83"/>
      <c r="AR1595" s="83"/>
      <c r="AS1595" s="83">
        <v>1178157.0</v>
      </c>
    </row>
    <row r="1596" ht="15.75" customHeight="1">
      <c r="A1596" s="111" t="s">
        <v>1785</v>
      </c>
      <c r="B1596" s="83" t="s">
        <v>1994</v>
      </c>
      <c r="C1596" s="83" t="s">
        <v>68</v>
      </c>
      <c r="D1596" s="112">
        <v>1100485.0</v>
      </c>
      <c r="E1596" s="83"/>
      <c r="F1596" s="83">
        <v>2.9192013E7</v>
      </c>
      <c r="G1596" s="91" t="str">
        <f>IFERROR(__xludf.DUMMYFUNCTION("XLOOKUP(AS1596,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ANA BERNARDES")</f>
        <v>COLÉGIO ESTADUAL ANA BERNARDES</v>
      </c>
      <c r="H1596" s="114" t="s">
        <v>8912</v>
      </c>
      <c r="I1596" s="91" t="s">
        <v>8914</v>
      </c>
      <c r="J1596" s="83" t="s">
        <v>8442</v>
      </c>
      <c r="K1596" s="83" t="s">
        <v>150</v>
      </c>
      <c r="L1596" s="83" t="s">
        <v>151</v>
      </c>
      <c r="M1596" s="83" t="s">
        <v>152</v>
      </c>
      <c r="N1596" s="98" t="s">
        <v>8918</v>
      </c>
      <c r="O1596" s="98" t="s">
        <v>284</v>
      </c>
      <c r="P1596" s="99" t="str">
        <f>IFERROR(__xludf.DUMMYFUNCTION("IFERROR(VLOOKUP(AS1596,IMPORTRANGE(""https://docs.google.com/spreadsheets/d/1juPI-Fb8LD0YtltB2mlGEnp_R3UVu1t3wSFPzgCyHXE/edit?gid=0#gid=0"",""GERAL!A2:C""),3,0),""-"")"),"-")</f>
        <v>-</v>
      </c>
      <c r="Q1596" s="83"/>
      <c r="R1596" s="83"/>
      <c r="S1596" s="83"/>
      <c r="T1596" s="83"/>
      <c r="U1596" s="83"/>
      <c r="V1596" s="83"/>
      <c r="W1596" s="83"/>
      <c r="X1596" s="83"/>
      <c r="Y1596" s="83"/>
      <c r="Z1596" s="83"/>
      <c r="AA1596" s="83"/>
      <c r="AB1596" s="83"/>
      <c r="AC1596" s="83"/>
      <c r="AD1596" s="83"/>
      <c r="AE1596" s="83"/>
      <c r="AF1596" s="83"/>
      <c r="AG1596" s="83"/>
      <c r="AH1596" s="83"/>
      <c r="AI1596" s="83"/>
      <c r="AJ1596" s="83"/>
      <c r="AK1596" s="83"/>
      <c r="AL1596" s="83"/>
      <c r="AM1596" s="83"/>
      <c r="AN1596" s="83"/>
      <c r="AO1596" s="83"/>
      <c r="AP1596" s="83"/>
      <c r="AQ1596" s="83"/>
      <c r="AR1596" s="83"/>
      <c r="AS1596" s="83">
        <v>1100485.0</v>
      </c>
    </row>
    <row r="1597" ht="15.75" customHeight="1">
      <c r="A1597" s="111" t="s">
        <v>1785</v>
      </c>
      <c r="B1597" s="83" t="s">
        <v>1994</v>
      </c>
      <c r="C1597" s="83" t="s">
        <v>68</v>
      </c>
      <c r="D1597" s="112">
        <v>1100400.0</v>
      </c>
      <c r="E1597" s="83"/>
      <c r="F1597" s="83">
        <v>2.9182689E7</v>
      </c>
      <c r="G1597" s="91" t="str">
        <f>IFERROR(__xludf.DUMMYFUNCTION("XLOOKUP(AS1597,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ALMIRANTE BARROSO")</f>
        <v>COLÉGIO ESTADUAL ALMIRANTE BARROSO</v>
      </c>
      <c r="H1597" s="119" t="s">
        <v>8919</v>
      </c>
      <c r="I1597" s="91" t="s">
        <v>8920</v>
      </c>
      <c r="J1597" s="83" t="s">
        <v>8278</v>
      </c>
      <c r="K1597" s="83" t="s">
        <v>150</v>
      </c>
      <c r="L1597" s="83" t="s">
        <v>151</v>
      </c>
      <c r="M1597" s="83" t="s">
        <v>230</v>
      </c>
      <c r="N1597" s="98" t="s">
        <v>8921</v>
      </c>
      <c r="O1597" s="98" t="s">
        <v>155</v>
      </c>
      <c r="P1597" s="99" t="str">
        <f>IFERROR(__xludf.DUMMYFUNCTION("IFERROR(VLOOKUP(AS1597,IMPORTRANGE(""https://docs.google.com/spreadsheets/d/1juPI-Fb8LD0YtltB2mlGEnp_R3UVu1t3wSFPzgCyHXE/edit?gid=0#gid=0"",""GERAL!A2:C""),3,0),""-"")"),"-")</f>
        <v>-</v>
      </c>
      <c r="Q1597" s="83"/>
      <c r="R1597" s="83"/>
      <c r="S1597" s="83"/>
      <c r="T1597" s="83"/>
      <c r="U1597" s="83"/>
      <c r="V1597" s="83"/>
      <c r="W1597" s="83"/>
      <c r="X1597" s="83"/>
      <c r="Y1597" s="83"/>
      <c r="Z1597" s="83"/>
      <c r="AA1597" s="83"/>
      <c r="AB1597" s="83"/>
      <c r="AC1597" s="83"/>
      <c r="AD1597" s="83"/>
      <c r="AE1597" s="83"/>
      <c r="AF1597" s="83"/>
      <c r="AG1597" s="83"/>
      <c r="AH1597" s="83"/>
      <c r="AI1597" s="83"/>
      <c r="AJ1597" s="83"/>
      <c r="AK1597" s="83"/>
      <c r="AL1597" s="83"/>
      <c r="AM1597" s="83"/>
      <c r="AN1597" s="83"/>
      <c r="AO1597" s="83"/>
      <c r="AP1597" s="83"/>
      <c r="AQ1597" s="83"/>
      <c r="AR1597" s="83"/>
      <c r="AS1597" s="83">
        <v>1100400.0</v>
      </c>
    </row>
    <row r="1598" ht="15.75" customHeight="1">
      <c r="A1598" s="111" t="s">
        <v>1785</v>
      </c>
      <c r="B1598" s="83" t="s">
        <v>1994</v>
      </c>
      <c r="C1598" s="83" t="s">
        <v>68</v>
      </c>
      <c r="D1598" s="112">
        <v>1100434.0</v>
      </c>
      <c r="E1598" s="83"/>
      <c r="F1598" s="83">
        <v>2.9182077E7</v>
      </c>
      <c r="G1598" s="91" t="str">
        <f>IFERROR(__xludf.DUMMYFUNCTION("XLOOKUP(AS1598,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ALÍPIO FRANCA")</f>
        <v>COLÉGIO ESTADUAL ALÍPIO FRANCA</v>
      </c>
      <c r="H1598" s="114" t="s">
        <v>8928</v>
      </c>
      <c r="I1598" s="91" t="s">
        <v>8929</v>
      </c>
      <c r="J1598" s="83" t="s">
        <v>8433</v>
      </c>
      <c r="K1598" s="83" t="s">
        <v>150</v>
      </c>
      <c r="L1598" s="83" t="s">
        <v>151</v>
      </c>
      <c r="M1598" s="83" t="s">
        <v>230</v>
      </c>
      <c r="N1598" s="98" t="s">
        <v>8930</v>
      </c>
      <c r="O1598" s="98" t="s">
        <v>155</v>
      </c>
      <c r="P1598" s="99" t="str">
        <f>IFERROR(__xludf.DUMMYFUNCTION("IFERROR(VLOOKUP(AS1598,IMPORTRANGE(""https://docs.google.com/spreadsheets/d/1juPI-Fb8LD0YtltB2mlGEnp_R3UVu1t3wSFPzgCyHXE/edit?gid=0#gid=0"",""GERAL!A2:C""),3,0),""-"")"),"-")</f>
        <v>-</v>
      </c>
      <c r="Q1598" s="83"/>
      <c r="R1598" s="83"/>
      <c r="S1598" s="83"/>
      <c r="T1598" s="83"/>
      <c r="U1598" s="83"/>
      <c r="V1598" s="83"/>
      <c r="W1598" s="83"/>
      <c r="X1598" s="83"/>
      <c r="Y1598" s="83"/>
      <c r="Z1598" s="83"/>
      <c r="AA1598" s="83"/>
      <c r="AB1598" s="83"/>
      <c r="AC1598" s="83"/>
      <c r="AD1598" s="83"/>
      <c r="AE1598" s="83"/>
      <c r="AF1598" s="83"/>
      <c r="AG1598" s="83"/>
      <c r="AH1598" s="83"/>
      <c r="AI1598" s="83"/>
      <c r="AJ1598" s="83"/>
      <c r="AK1598" s="83"/>
      <c r="AL1598" s="83"/>
      <c r="AM1598" s="83"/>
      <c r="AN1598" s="83"/>
      <c r="AO1598" s="83"/>
      <c r="AP1598" s="83"/>
      <c r="AQ1598" s="83"/>
      <c r="AR1598" s="83"/>
      <c r="AS1598" s="83">
        <v>1100434.0</v>
      </c>
    </row>
    <row r="1599" ht="105.75" customHeight="1">
      <c r="A1599" s="111" t="s">
        <v>1785</v>
      </c>
      <c r="B1599" s="83" t="s">
        <v>1994</v>
      </c>
      <c r="C1599" s="83" t="s">
        <v>68</v>
      </c>
      <c r="D1599" s="112">
        <v>1100418.0</v>
      </c>
      <c r="E1599" s="83"/>
      <c r="F1599" s="83">
        <v>2.918908E7</v>
      </c>
      <c r="G1599" s="91" t="str">
        <f>IFERROR(__xludf.DUMMYFUNCTION("XLOOKUP(AS1599,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ALFREDO MAGALHAES ")</f>
        <v>COLÉGIO ESTADUAL ALFREDO MAGALHAES </v>
      </c>
      <c r="H1599" s="119" t="s">
        <v>8931</v>
      </c>
      <c r="I1599" s="91" t="s">
        <v>8932</v>
      </c>
      <c r="J1599" s="83" t="s">
        <v>8579</v>
      </c>
      <c r="K1599" s="83" t="s">
        <v>150</v>
      </c>
      <c r="L1599" s="83" t="s">
        <v>151</v>
      </c>
      <c r="M1599" s="83" t="s">
        <v>76</v>
      </c>
      <c r="N1599" s="98" t="s">
        <v>8933</v>
      </c>
      <c r="O1599" s="98" t="s">
        <v>155</v>
      </c>
      <c r="P1599" s="99" t="str">
        <f>IFERROR(__xludf.DUMMYFUNCTION("IFERROR(VLOOKUP(AS1599,IMPORTRANGE(""https://docs.google.com/spreadsheets/d/1juPI-Fb8LD0YtltB2mlGEnp_R3UVu1t3wSFPzgCyHXE/edit?gid=0#gid=0"",""GERAL!A2:C""),3,0),""-"")"),"-")</f>
        <v>-</v>
      </c>
      <c r="Q1599" s="83"/>
      <c r="R1599" s="83"/>
      <c r="S1599" s="83"/>
      <c r="T1599" s="83"/>
      <c r="U1599" s="83"/>
      <c r="V1599" s="83"/>
      <c r="W1599" s="83"/>
      <c r="X1599" s="83"/>
      <c r="Y1599" s="83"/>
      <c r="Z1599" s="83"/>
      <c r="AA1599" s="83"/>
      <c r="AB1599" s="83"/>
      <c r="AC1599" s="83"/>
      <c r="AD1599" s="83"/>
      <c r="AE1599" s="83"/>
      <c r="AF1599" s="83"/>
      <c r="AG1599" s="83"/>
      <c r="AH1599" s="83"/>
      <c r="AI1599" s="83"/>
      <c r="AJ1599" s="83"/>
      <c r="AK1599" s="83"/>
      <c r="AL1599" s="83"/>
      <c r="AM1599" s="83"/>
      <c r="AN1599" s="83"/>
      <c r="AO1599" s="83"/>
      <c r="AP1599" s="83"/>
      <c r="AQ1599" s="83"/>
      <c r="AR1599" s="83"/>
      <c r="AS1599" s="83">
        <v>1100418.0</v>
      </c>
    </row>
    <row r="1600" ht="15.75" customHeight="1">
      <c r="A1600" s="111" t="s">
        <v>1785</v>
      </c>
      <c r="B1600" s="83" t="s">
        <v>1994</v>
      </c>
      <c r="C1600" s="83" t="s">
        <v>68</v>
      </c>
      <c r="D1600" s="112">
        <v>1100221.0</v>
      </c>
      <c r="E1600" s="83"/>
      <c r="F1600" s="83">
        <v>2.9189047E7</v>
      </c>
      <c r="G1600" s="91" t="str">
        <f>IFERROR(__xludf.DUMMYFUNCTION("XLOOKUP(AS1600,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ALBERTO VALENCA - TEMPO INTEGRAL")</f>
        <v>COLÉGIO ESTADUAL ALBERTO VALENCA - TEMPO INTEGRAL</v>
      </c>
      <c r="H1600" s="119" t="s">
        <v>8935</v>
      </c>
      <c r="I1600" s="91" t="s">
        <v>8936</v>
      </c>
      <c r="J1600" s="83" t="s">
        <v>8937</v>
      </c>
      <c r="K1600" s="146" t="s">
        <v>150</v>
      </c>
      <c r="L1600" s="83" t="s">
        <v>151</v>
      </c>
      <c r="M1600" s="83" t="s">
        <v>230</v>
      </c>
      <c r="N1600" s="98" t="s">
        <v>8938</v>
      </c>
      <c r="O1600" s="98" t="s">
        <v>155</v>
      </c>
      <c r="P1600" s="99" t="str">
        <f>IFERROR(__xludf.DUMMYFUNCTION("IFERROR(VLOOKUP(AS1600,IMPORTRANGE(""https://docs.google.com/spreadsheets/d/1juPI-Fb8LD0YtltB2mlGEnp_R3UVu1t3wSFPzgCyHXE/edit?gid=0#gid=0"",""GERAL!A2:C""),3,0),""-"")"),"-")</f>
        <v>-</v>
      </c>
      <c r="Q1600" s="83"/>
      <c r="R1600" s="83"/>
      <c r="S1600" s="83"/>
      <c r="T1600" s="83"/>
      <c r="U1600" s="83"/>
      <c r="V1600" s="83"/>
      <c r="W1600" s="83"/>
      <c r="X1600" s="83"/>
      <c r="Y1600" s="83"/>
      <c r="Z1600" s="83"/>
      <c r="AA1600" s="83"/>
      <c r="AB1600" s="83"/>
      <c r="AC1600" s="83"/>
      <c r="AD1600" s="83"/>
      <c r="AE1600" s="83"/>
      <c r="AF1600" s="83"/>
      <c r="AG1600" s="83"/>
      <c r="AH1600" s="83"/>
      <c r="AI1600" s="83"/>
      <c r="AJ1600" s="83"/>
      <c r="AK1600" s="83"/>
      <c r="AL1600" s="83"/>
      <c r="AM1600" s="83"/>
      <c r="AN1600" s="83"/>
      <c r="AO1600" s="83"/>
      <c r="AP1600" s="83"/>
      <c r="AQ1600" s="83"/>
      <c r="AR1600" s="83"/>
      <c r="AS1600" s="83">
        <v>1100221.0</v>
      </c>
    </row>
    <row r="1601" ht="15.75" customHeight="1">
      <c r="A1601" s="111" t="s">
        <v>1785</v>
      </c>
      <c r="B1601" s="83" t="s">
        <v>1994</v>
      </c>
      <c r="C1601" s="83" t="s">
        <v>68</v>
      </c>
      <c r="D1601" s="112">
        <v>1101651.0</v>
      </c>
      <c r="E1601" s="83"/>
      <c r="F1601" s="83">
        <v>2.919077E7</v>
      </c>
      <c r="G1601" s="91" t="str">
        <f>IFERROR(__xludf.DUMMYFUNCTION("XLOOKUP(AS1601,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ALBERTO SANTOS DUMONT")</f>
        <v>COLÉGIO ESTADUAL ALBERTO SANTOS DUMONT</v>
      </c>
      <c r="H1601" s="119" t="s">
        <v>8940</v>
      </c>
      <c r="I1601" s="91" t="s">
        <v>8941</v>
      </c>
      <c r="J1601" s="83" t="s">
        <v>8143</v>
      </c>
      <c r="K1601" s="83" t="s">
        <v>150</v>
      </c>
      <c r="L1601" s="83" t="s">
        <v>151</v>
      </c>
      <c r="M1601" s="83" t="s">
        <v>152</v>
      </c>
      <c r="N1601" s="98" t="s">
        <v>8944</v>
      </c>
      <c r="O1601" s="98" t="s">
        <v>155</v>
      </c>
      <c r="P1601" s="99" t="str">
        <f>IFERROR(__xludf.DUMMYFUNCTION("IFERROR(VLOOKUP(AS1601,IMPORTRANGE(""https://docs.google.com/spreadsheets/d/1juPI-Fb8LD0YtltB2mlGEnp_R3UVu1t3wSFPzgCyHXE/edit?gid=0#gid=0"",""GERAL!A2:C""),3,0),""-"")"),"-")</f>
        <v>-</v>
      </c>
      <c r="Q1601" s="83"/>
      <c r="R1601" s="83"/>
      <c r="S1601" s="83"/>
      <c r="T1601" s="83"/>
      <c r="U1601" s="83"/>
      <c r="V1601" s="83"/>
      <c r="W1601" s="83"/>
      <c r="X1601" s="83"/>
      <c r="Y1601" s="83"/>
      <c r="Z1601" s="83"/>
      <c r="AA1601" s="83"/>
      <c r="AB1601" s="83"/>
      <c r="AC1601" s="83"/>
      <c r="AD1601" s="83"/>
      <c r="AE1601" s="83"/>
      <c r="AF1601" s="83"/>
      <c r="AG1601" s="83"/>
      <c r="AH1601" s="83"/>
      <c r="AI1601" s="83"/>
      <c r="AJ1601" s="83"/>
      <c r="AK1601" s="83"/>
      <c r="AL1601" s="83"/>
      <c r="AM1601" s="83"/>
      <c r="AN1601" s="83"/>
      <c r="AO1601" s="83"/>
      <c r="AP1601" s="83"/>
      <c r="AQ1601" s="83"/>
      <c r="AR1601" s="83"/>
      <c r="AS1601" s="83">
        <v>1101651.0</v>
      </c>
    </row>
    <row r="1602" ht="15.75" customHeight="1">
      <c r="A1602" s="111" t="s">
        <v>1785</v>
      </c>
      <c r="B1602" s="83" t="s">
        <v>1994</v>
      </c>
      <c r="C1602" s="83" t="s">
        <v>68</v>
      </c>
      <c r="D1602" s="112">
        <v>1176391.0</v>
      </c>
      <c r="E1602" s="83"/>
      <c r="F1602" s="83">
        <v>2.9357896E7</v>
      </c>
      <c r="G1602" s="91" t="str">
        <f>IFERROR(__xludf.DUMMYFUNCTION("XLOOKUP(AS1602,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LUIZ TARQUINIO")</f>
        <v>COLÉGIO DA POLICIA MILITAR - CPM LUIZ TARQUINIO</v>
      </c>
      <c r="H1602" s="119" t="s">
        <v>8948</v>
      </c>
      <c r="I1602" s="91" t="s">
        <v>8949</v>
      </c>
      <c r="J1602" s="83" t="s">
        <v>8950</v>
      </c>
      <c r="K1602" s="83" t="s">
        <v>150</v>
      </c>
      <c r="L1602" s="83" t="s">
        <v>151</v>
      </c>
      <c r="M1602" s="136" t="s">
        <v>152</v>
      </c>
      <c r="N1602" s="98" t="s">
        <v>8951</v>
      </c>
      <c r="O1602" s="98" t="s">
        <v>155</v>
      </c>
      <c r="P1602" s="99" t="str">
        <f>IFERROR(__xludf.DUMMYFUNCTION("IFERROR(VLOOKUP(AS1602,IMPORTRANGE(""https://docs.google.com/spreadsheets/d/1juPI-Fb8LD0YtltB2mlGEnp_R3UVu1t3wSFPzgCyHXE/edit?gid=0#gid=0"",""GERAL!A2:C""),3,0),""-"")"),"-")</f>
        <v>-</v>
      </c>
      <c r="Q1602" s="83"/>
      <c r="R1602" s="83"/>
      <c r="S1602" s="83"/>
      <c r="T1602" s="83"/>
      <c r="U1602" s="83"/>
      <c r="V1602" s="83"/>
      <c r="W1602" s="83"/>
      <c r="X1602" s="83"/>
      <c r="Y1602" s="83"/>
      <c r="Z1602" s="83"/>
      <c r="AA1602" s="83"/>
      <c r="AB1602" s="83"/>
      <c r="AC1602" s="83"/>
      <c r="AD1602" s="83"/>
      <c r="AE1602" s="83"/>
      <c r="AF1602" s="83"/>
      <c r="AG1602" s="83"/>
      <c r="AH1602" s="83"/>
      <c r="AI1602" s="83"/>
      <c r="AJ1602" s="83"/>
      <c r="AK1602" s="83"/>
      <c r="AL1602" s="83"/>
      <c r="AM1602" s="83"/>
      <c r="AN1602" s="83"/>
      <c r="AO1602" s="83"/>
      <c r="AP1602" s="83"/>
      <c r="AQ1602" s="83"/>
      <c r="AR1602" s="83"/>
      <c r="AS1602" s="83">
        <v>1176391.0</v>
      </c>
    </row>
    <row r="1603" ht="70.5" customHeight="1">
      <c r="A1603" s="111" t="s">
        <v>1785</v>
      </c>
      <c r="B1603" s="83" t="s">
        <v>1994</v>
      </c>
      <c r="C1603" s="83" t="s">
        <v>68</v>
      </c>
      <c r="D1603" s="112">
        <v>1176389.0</v>
      </c>
      <c r="E1603" s="83"/>
      <c r="F1603" s="83">
        <v>2.9437377E7</v>
      </c>
      <c r="G1603" s="91" t="str">
        <f>IFERROR(__xludf.DUMMYFUNCTION("XLOOKUP(AS1603,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LOBATO")</f>
        <v>COLÉGIO DA POLICIA MILITAR - CPM LOBATO</v>
      </c>
      <c r="H1603" s="119" t="s">
        <v>8957</v>
      </c>
      <c r="I1603" s="91" t="s">
        <v>8959</v>
      </c>
      <c r="J1603" s="83" t="s">
        <v>8327</v>
      </c>
      <c r="K1603" s="83" t="s">
        <v>150</v>
      </c>
      <c r="L1603" s="98" t="s">
        <v>3467</v>
      </c>
      <c r="M1603" s="98" t="s">
        <v>230</v>
      </c>
      <c r="N1603" s="98" t="s">
        <v>8338</v>
      </c>
      <c r="O1603" s="98" t="s">
        <v>162</v>
      </c>
      <c r="P1603" s="99" t="str">
        <f>IFERROR(__xludf.DUMMYFUNCTION("IFERROR(VLOOKUP(AS1603,IMPORTRANGE(""https://docs.google.com/spreadsheets/d/1juPI-Fb8LD0YtltB2mlGEnp_R3UVu1t3wSFPzgCyHXE/edit?gid=0#gid=0"",""GERAL!A2:C""),3,0),""-"")"),"-")</f>
        <v>-</v>
      </c>
      <c r="Q1603" s="83"/>
      <c r="R1603" s="83"/>
      <c r="S1603" s="83"/>
      <c r="T1603" s="83"/>
      <c r="U1603" s="83"/>
      <c r="V1603" s="83"/>
      <c r="W1603" s="83"/>
      <c r="X1603" s="83"/>
      <c r="Y1603" s="83"/>
      <c r="Z1603" s="83"/>
      <c r="AA1603" s="83"/>
      <c r="AB1603" s="83"/>
      <c r="AC1603" s="83"/>
      <c r="AD1603" s="83"/>
      <c r="AE1603" s="83"/>
      <c r="AF1603" s="83"/>
      <c r="AG1603" s="83"/>
      <c r="AH1603" s="83"/>
      <c r="AI1603" s="83"/>
      <c r="AJ1603" s="83"/>
      <c r="AK1603" s="83"/>
      <c r="AL1603" s="83"/>
      <c r="AM1603" s="83"/>
      <c r="AN1603" s="83"/>
      <c r="AO1603" s="83"/>
      <c r="AP1603" s="83"/>
      <c r="AQ1603" s="83"/>
      <c r="AR1603" s="83"/>
      <c r="AS1603" s="83">
        <v>1176389.0</v>
      </c>
    </row>
    <row r="1604" ht="15.75" customHeight="1">
      <c r="A1604" s="111" t="s">
        <v>1785</v>
      </c>
      <c r="B1604" s="83" t="s">
        <v>1994</v>
      </c>
      <c r="C1604" s="83" t="s">
        <v>68</v>
      </c>
      <c r="D1604" s="112">
        <v>1102046.0</v>
      </c>
      <c r="E1604" s="83"/>
      <c r="F1604" s="83">
        <v>2.918219E7</v>
      </c>
      <c r="G1604" s="91" t="str">
        <f>IFERROR(__xludf.DUMMYFUNCTION("XLOOKUP(AS1604,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POLÍCIA MILITAR - CPM JOÃO FLORÊNCIO GOMES")</f>
        <v>COLÉGIO DA POLÍCIA MILITAR - CPM JOÃO FLORÊNCIO GOMES</v>
      </c>
      <c r="H1604" s="114" t="s">
        <v>8963</v>
      </c>
      <c r="I1604" s="91" t="s">
        <v>8964</v>
      </c>
      <c r="J1604" s="83" t="s">
        <v>8171</v>
      </c>
      <c r="K1604" s="83" t="s">
        <v>150</v>
      </c>
      <c r="L1604" s="83" t="s">
        <v>151</v>
      </c>
      <c r="M1604" s="136" t="s">
        <v>152</v>
      </c>
      <c r="N1604" s="98" t="s">
        <v>8965</v>
      </c>
      <c r="O1604" s="98" t="s">
        <v>155</v>
      </c>
      <c r="P1604" s="99" t="str">
        <f>IFERROR(__xludf.DUMMYFUNCTION("IFERROR(VLOOKUP(AS1604,IMPORTRANGE(""https://docs.google.com/spreadsheets/d/1juPI-Fb8LD0YtltB2mlGEnp_R3UVu1t3wSFPzgCyHXE/edit?gid=0#gid=0"",""GERAL!A2:C""),3,0),""-"")"),"-")</f>
        <v>-</v>
      </c>
      <c r="Q1604" s="83"/>
      <c r="R1604" s="83"/>
      <c r="S1604" s="83"/>
      <c r="T1604" s="83"/>
      <c r="U1604" s="83"/>
      <c r="V1604" s="83"/>
      <c r="W1604" s="83"/>
      <c r="X1604" s="83"/>
      <c r="Y1604" s="83"/>
      <c r="Z1604" s="83"/>
      <c r="AA1604" s="83"/>
      <c r="AB1604" s="83"/>
      <c r="AC1604" s="83"/>
      <c r="AD1604" s="83"/>
      <c r="AE1604" s="83"/>
      <c r="AF1604" s="83"/>
      <c r="AG1604" s="83"/>
      <c r="AH1604" s="83"/>
      <c r="AI1604" s="83"/>
      <c r="AJ1604" s="83"/>
      <c r="AK1604" s="83"/>
      <c r="AL1604" s="83"/>
      <c r="AM1604" s="83"/>
      <c r="AN1604" s="83"/>
      <c r="AO1604" s="83"/>
      <c r="AP1604" s="83"/>
      <c r="AQ1604" s="83"/>
      <c r="AR1604" s="83"/>
      <c r="AS1604" s="83">
        <v>1102046.0</v>
      </c>
    </row>
    <row r="1605" ht="15.75" customHeight="1">
      <c r="A1605" s="111" t="s">
        <v>1785</v>
      </c>
      <c r="B1605" s="83" t="s">
        <v>1994</v>
      </c>
      <c r="C1605" s="83" t="s">
        <v>68</v>
      </c>
      <c r="D1605" s="112">
        <v>1176080.0</v>
      </c>
      <c r="E1605" s="83"/>
      <c r="F1605" s="83">
        <v>2.9182115E7</v>
      </c>
      <c r="G1605" s="91" t="str">
        <f>IFERROR(__xludf.DUMMYFUNCTION("XLOOKUP(AS1605,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DONA LEONOR CALMON")</f>
        <v>COLÉGIO DA POLICIA MILITAR - CPM DONA LEONOR CALMON</v>
      </c>
      <c r="H1605" s="119" t="s">
        <v>8972</v>
      </c>
      <c r="I1605" s="91" t="s">
        <v>8973</v>
      </c>
      <c r="J1605" s="83" t="s">
        <v>8601</v>
      </c>
      <c r="K1605" s="83" t="s">
        <v>150</v>
      </c>
      <c r="L1605" s="83" t="s">
        <v>151</v>
      </c>
      <c r="M1605" s="136" t="s">
        <v>152</v>
      </c>
      <c r="N1605" s="98" t="s">
        <v>8974</v>
      </c>
      <c r="O1605" s="98" t="s">
        <v>155</v>
      </c>
      <c r="P1605" s="99" t="str">
        <f>IFERROR(__xludf.DUMMYFUNCTION("IFERROR(VLOOKUP(AS1605,IMPORTRANGE(""https://docs.google.com/spreadsheets/d/1juPI-Fb8LD0YtltB2mlGEnp_R3UVu1t3wSFPzgCyHXE/edit?gid=0#gid=0"",""GERAL!A2:C""),3,0),""-"")"),"-")</f>
        <v>-</v>
      </c>
      <c r="Q1605" s="83"/>
      <c r="R1605" s="83"/>
      <c r="S1605" s="83"/>
      <c r="T1605" s="83"/>
      <c r="U1605" s="83"/>
      <c r="V1605" s="83"/>
      <c r="W1605" s="83"/>
      <c r="X1605" s="83"/>
      <c r="Y1605" s="83"/>
      <c r="Z1605" s="83"/>
      <c r="AA1605" s="83"/>
      <c r="AB1605" s="83"/>
      <c r="AC1605" s="83"/>
      <c r="AD1605" s="83"/>
      <c r="AE1605" s="83"/>
      <c r="AF1605" s="83"/>
      <c r="AG1605" s="83"/>
      <c r="AH1605" s="83"/>
      <c r="AI1605" s="83"/>
      <c r="AJ1605" s="83"/>
      <c r="AK1605" s="83"/>
      <c r="AL1605" s="83"/>
      <c r="AM1605" s="83"/>
      <c r="AN1605" s="83"/>
      <c r="AO1605" s="83"/>
      <c r="AP1605" s="83"/>
      <c r="AQ1605" s="83"/>
      <c r="AR1605" s="83"/>
      <c r="AS1605" s="83">
        <v>1176080.0</v>
      </c>
    </row>
    <row r="1606" ht="15.75" customHeight="1">
      <c r="A1606" s="111" t="s">
        <v>1785</v>
      </c>
      <c r="B1606" s="83" t="s">
        <v>1994</v>
      </c>
      <c r="C1606" s="83" t="s">
        <v>68</v>
      </c>
      <c r="D1606" s="112">
        <v>1104650.0</v>
      </c>
      <c r="E1606" s="83"/>
      <c r="F1606" s="83">
        <v>2.9181429E7</v>
      </c>
      <c r="G1606" s="91" t="str">
        <f>IFERROR(__xludf.DUMMYFUNCTION("XLOOKUP(AS1606,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DA POLICIA MILITAR - CPM DENDEZEIROS")</f>
        <v>COLÉGIO DA POLICIA MILITAR - CPM DENDEZEIROS</v>
      </c>
      <c r="H1606" s="119" t="s">
        <v>8975</v>
      </c>
      <c r="I1606" s="91" t="s">
        <v>8977</v>
      </c>
      <c r="J1606" s="193" t="s">
        <v>8433</v>
      </c>
      <c r="K1606" s="83" t="s">
        <v>150</v>
      </c>
      <c r="L1606" s="83" t="s">
        <v>151</v>
      </c>
      <c r="M1606" s="83" t="s">
        <v>230</v>
      </c>
      <c r="N1606" s="98" t="s">
        <v>8978</v>
      </c>
      <c r="O1606" s="98" t="s">
        <v>155</v>
      </c>
      <c r="P1606" s="99" t="str">
        <f>IFERROR(__xludf.DUMMYFUNCTION("IFERROR(VLOOKUP(AS1606,IMPORTRANGE(""https://docs.google.com/spreadsheets/d/1juPI-Fb8LD0YtltB2mlGEnp_R3UVu1t3wSFPzgCyHXE/edit?gid=0#gid=0"",""GERAL!A2:C""),3,0),""-"")"),"-")</f>
        <v>-</v>
      </c>
      <c r="Q1606" s="83"/>
      <c r="R1606" s="83"/>
      <c r="S1606" s="83"/>
      <c r="T1606" s="83"/>
      <c r="U1606" s="83"/>
      <c r="V1606" s="83"/>
      <c r="W1606" s="83"/>
      <c r="X1606" s="83"/>
      <c r="Y1606" s="83"/>
      <c r="Z1606" s="83"/>
      <c r="AA1606" s="83"/>
      <c r="AB1606" s="83"/>
      <c r="AC1606" s="83"/>
      <c r="AD1606" s="83"/>
      <c r="AE1606" s="83"/>
      <c r="AF1606" s="83"/>
      <c r="AG1606" s="83"/>
      <c r="AH1606" s="83"/>
      <c r="AI1606" s="83"/>
      <c r="AJ1606" s="83"/>
      <c r="AK1606" s="83"/>
      <c r="AL1606" s="83"/>
      <c r="AM1606" s="83"/>
      <c r="AN1606" s="83"/>
      <c r="AO1606" s="83"/>
      <c r="AP1606" s="83"/>
      <c r="AQ1606" s="83"/>
      <c r="AR1606" s="83"/>
      <c r="AS1606" s="83">
        <v>1104650.0</v>
      </c>
    </row>
    <row r="1607" ht="15.75" customHeight="1">
      <c r="A1607" s="111" t="s">
        <v>1785</v>
      </c>
      <c r="B1607" s="83" t="s">
        <v>1994</v>
      </c>
      <c r="C1607" s="83" t="s">
        <v>68</v>
      </c>
      <c r="D1607" s="112">
        <v>1179208.0</v>
      </c>
      <c r="E1607" s="83"/>
      <c r="F1607" s="83">
        <v>2.9460026E7</v>
      </c>
      <c r="G1607" s="91" t="str">
        <f>IFERROR(__xludf.DUMMYFUNCTION("XLOOKUP(AS1607,
IMPORTRANGE(""https://docs.google.com/spreadsheets/d/1YM-djuOLXomrZ9W0B4TyIBsVWnXY4EIOFD9HY-qGfv0/edit?usp=sharing"",""GERAL!BG5:BG""),
IMPORTRANGE(""https://docs.google.com/spreadsheets/d/1YM-djuOLXomrZ9W0B4TyIBsVWnXY4EIOFD9HY-qGfv0/edit?"&amp;"usp=sharing"",""GERAL!G5:G""),
""CÓD. SEC NÃO ENCONTRADO NA PLANILHA DE MATRÍCULA"")"),"CENTRO JUVENIL DE CIENCIA E CULTURA - CJCC CENTRAL")</f>
        <v>CENTRO JUVENIL DE CIENCIA E CULTURA - CJCC CENTRAL</v>
      </c>
      <c r="H1607" s="114" t="s">
        <v>8986</v>
      </c>
      <c r="I1607" s="91" t="s">
        <v>8987</v>
      </c>
      <c r="J1607" s="136" t="s">
        <v>8820</v>
      </c>
      <c r="K1607" s="83" t="s">
        <v>150</v>
      </c>
      <c r="L1607" s="83" t="s">
        <v>151</v>
      </c>
      <c r="M1607" s="136" t="s">
        <v>230</v>
      </c>
      <c r="N1607" s="98" t="s">
        <v>8988</v>
      </c>
      <c r="O1607" s="98" t="s">
        <v>155</v>
      </c>
      <c r="P1607" s="99" t="str">
        <f>IFERROR(__xludf.DUMMYFUNCTION("IFERROR(VLOOKUP(AS1607,IMPORTRANGE(""https://docs.google.com/spreadsheets/d/1juPI-Fb8LD0YtltB2mlGEnp_R3UVu1t3wSFPzgCyHXE/edit?gid=0#gid=0"",""GERAL!A2:C""),3,0),""-"")"),"-")</f>
        <v>-</v>
      </c>
      <c r="Q1607" s="83"/>
      <c r="R1607" s="83"/>
      <c r="S1607" s="83"/>
      <c r="T1607" s="83"/>
      <c r="U1607" s="83"/>
      <c r="V1607" s="83"/>
      <c r="W1607" s="83"/>
      <c r="X1607" s="83"/>
      <c r="Y1607" s="83"/>
      <c r="Z1607" s="83"/>
      <c r="AA1607" s="83"/>
      <c r="AB1607" s="83"/>
      <c r="AC1607" s="83"/>
      <c r="AD1607" s="83"/>
      <c r="AE1607" s="83"/>
      <c r="AF1607" s="83"/>
      <c r="AG1607" s="83"/>
      <c r="AH1607" s="83"/>
      <c r="AI1607" s="83"/>
      <c r="AJ1607" s="83"/>
      <c r="AK1607" s="83"/>
      <c r="AL1607" s="83"/>
      <c r="AM1607" s="83"/>
      <c r="AN1607" s="83"/>
      <c r="AO1607" s="83"/>
      <c r="AP1607" s="83"/>
      <c r="AQ1607" s="83"/>
      <c r="AR1607" s="83"/>
      <c r="AS1607" s="83">
        <v>1179208.0</v>
      </c>
    </row>
    <row r="1608" ht="15.75" customHeight="1">
      <c r="A1608" s="111" t="s">
        <v>1785</v>
      </c>
      <c r="B1608" s="83" t="s">
        <v>1994</v>
      </c>
      <c r="C1608" s="83" t="s">
        <v>68</v>
      </c>
      <c r="D1608" s="112">
        <v>1104693.0</v>
      </c>
      <c r="E1608" s="83"/>
      <c r="F1608" s="83">
        <v>2.9181631E7</v>
      </c>
      <c r="G1608" s="91" t="str">
        <f>IFERROR(__xludf.DUMMYFUNCTION("XLOOKUP(AS1608,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INOVAÇÃO E FORMAÇÃO DA BAHIA - CEEINFOR - MÃE STELLA")</f>
        <v>CENTRO ESTADUAL DE EDUCAÇÃO, INOVAÇÃO E FORMAÇÃO DA BAHIA - CEEINFOR - MÃE STELLA</v>
      </c>
      <c r="H1608" s="114" t="s">
        <v>8989</v>
      </c>
      <c r="I1608" s="91" t="s">
        <v>8990</v>
      </c>
      <c r="J1608" s="83" t="s">
        <v>8133</v>
      </c>
      <c r="K1608" s="83" t="s">
        <v>150</v>
      </c>
      <c r="L1608" s="83" t="s">
        <v>151</v>
      </c>
      <c r="M1608" s="98" t="s">
        <v>230</v>
      </c>
      <c r="N1608" s="98" t="s">
        <v>8993</v>
      </c>
      <c r="O1608" s="98" t="s">
        <v>162</v>
      </c>
      <c r="P1608" s="99" t="str">
        <f>IFERROR(__xludf.DUMMYFUNCTION("IFERROR(VLOOKUP(AS1608,IMPORTRANGE(""https://docs.google.com/spreadsheets/d/1juPI-Fb8LD0YtltB2mlGEnp_R3UVu1t3wSFPzgCyHXE/edit?gid=0#gid=0"",""GERAL!A2:C""),3,0),""-"")"),"-")</f>
        <v>-</v>
      </c>
      <c r="Q1608" s="83"/>
      <c r="R1608" s="83"/>
      <c r="S1608" s="83"/>
      <c r="T1608" s="83"/>
      <c r="U1608" s="83"/>
      <c r="V1608" s="83"/>
      <c r="W1608" s="83"/>
      <c r="X1608" s="83"/>
      <c r="Y1608" s="83"/>
      <c r="Z1608" s="83"/>
      <c r="AA1608" s="83"/>
      <c r="AB1608" s="83"/>
      <c r="AC1608" s="83"/>
      <c r="AD1608" s="83"/>
      <c r="AE1608" s="83"/>
      <c r="AF1608" s="83"/>
      <c r="AG1608" s="83"/>
      <c r="AH1608" s="83"/>
      <c r="AI1608" s="83"/>
      <c r="AJ1608" s="83"/>
      <c r="AK1608" s="83"/>
      <c r="AL1608" s="83"/>
      <c r="AM1608" s="83"/>
      <c r="AN1608" s="83"/>
      <c r="AO1608" s="83"/>
      <c r="AP1608" s="83"/>
      <c r="AQ1608" s="83"/>
      <c r="AR1608" s="83"/>
      <c r="AS1608" s="83">
        <v>1104693.0</v>
      </c>
    </row>
    <row r="1609" ht="15.75" customHeight="1">
      <c r="A1609" s="111" t="s">
        <v>1785</v>
      </c>
      <c r="B1609" s="83" t="s">
        <v>1994</v>
      </c>
      <c r="C1609" s="83" t="s">
        <v>68</v>
      </c>
      <c r="D1609" s="112">
        <v>1103778.0</v>
      </c>
      <c r="E1609" s="83"/>
      <c r="F1609" s="83">
        <v>2.9199387E7</v>
      </c>
      <c r="G1609" s="91" t="str">
        <f>IFERROR(__xludf.DUMMYFUNCTION("XLOOKUP(AS1609,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FORMACAO E EVENTOS ISAIAS ALVES")</f>
        <v>CENTRO ESTADUAL DE EDUCACAO PROFISSIONAL FORMACAO E EVENTOS ISAIAS ALVES</v>
      </c>
      <c r="H1609" s="114" t="s">
        <v>8997</v>
      </c>
      <c r="I1609" s="91" t="s">
        <v>8999</v>
      </c>
      <c r="J1609" s="83" t="s">
        <v>9000</v>
      </c>
      <c r="K1609" s="83" t="s">
        <v>150</v>
      </c>
      <c r="L1609" s="83" t="s">
        <v>151</v>
      </c>
      <c r="M1609" s="136" t="s">
        <v>230</v>
      </c>
      <c r="N1609" s="98" t="s">
        <v>9001</v>
      </c>
      <c r="O1609" s="98" t="s">
        <v>155</v>
      </c>
      <c r="P1609" s="99" t="str">
        <f>IFERROR(__xludf.DUMMYFUNCTION("IFERROR(VLOOKUP(AS1609,IMPORTRANGE(""https://docs.google.com/spreadsheets/d/1juPI-Fb8LD0YtltB2mlGEnp_R3UVu1t3wSFPzgCyHXE/edit?gid=0#gid=0"",""GERAL!A2:C""),3,0),""-"")"),"-")</f>
        <v>-</v>
      </c>
      <c r="Q1609" s="83"/>
      <c r="R1609" s="83"/>
      <c r="S1609" s="83"/>
      <c r="T1609" s="83"/>
      <c r="U1609" s="83"/>
      <c r="V1609" s="83"/>
      <c r="W1609" s="83"/>
      <c r="X1609" s="83"/>
      <c r="Y1609" s="83"/>
      <c r="Z1609" s="83"/>
      <c r="AA1609" s="83"/>
      <c r="AB1609" s="83"/>
      <c r="AC1609" s="83"/>
      <c r="AD1609" s="83"/>
      <c r="AE1609" s="83"/>
      <c r="AF1609" s="83"/>
      <c r="AG1609" s="83"/>
      <c r="AH1609" s="83"/>
      <c r="AI1609" s="83"/>
      <c r="AJ1609" s="83"/>
      <c r="AK1609" s="83"/>
      <c r="AL1609" s="83"/>
      <c r="AM1609" s="83"/>
      <c r="AN1609" s="83"/>
      <c r="AO1609" s="83"/>
      <c r="AP1609" s="83"/>
      <c r="AQ1609" s="83"/>
      <c r="AR1609" s="83"/>
      <c r="AS1609" s="83">
        <v>1103778.0</v>
      </c>
    </row>
    <row r="1610" ht="15.75" customHeight="1">
      <c r="A1610" s="111" t="s">
        <v>1785</v>
      </c>
      <c r="B1610" s="83" t="s">
        <v>1994</v>
      </c>
      <c r="C1610" s="83" t="s">
        <v>68</v>
      </c>
      <c r="D1610" s="112">
        <v>1178323.0</v>
      </c>
      <c r="E1610" s="83"/>
      <c r="F1610" s="83">
        <v>2.9882729E7</v>
      </c>
      <c r="G1610" s="91" t="str">
        <f>IFERROR(__xludf.DUMMYFUNCTION("XLOOKUP(AS1610,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EMPREENDE BAHIA")</f>
        <v>CENTRO ESTADUAL DE EDUCAÇÃO PROFISSIONAL EMPREENDE BAHIA</v>
      </c>
      <c r="H1610" s="114" t="s">
        <v>9003</v>
      </c>
      <c r="I1610" s="91" t="s">
        <v>9004</v>
      </c>
      <c r="J1610" s="83" t="s">
        <v>9005</v>
      </c>
      <c r="K1610" s="83" t="s">
        <v>150</v>
      </c>
      <c r="L1610" s="83" t="s">
        <v>168</v>
      </c>
      <c r="M1610" s="136" t="s">
        <v>230</v>
      </c>
      <c r="N1610" s="98" t="s">
        <v>9006</v>
      </c>
      <c r="O1610" s="98" t="s">
        <v>155</v>
      </c>
      <c r="P1610" s="99" t="str">
        <f>IFERROR(__xludf.DUMMYFUNCTION("IFERROR(VLOOKUP(AS1610,IMPORTRANGE(""https://docs.google.com/spreadsheets/d/1juPI-Fb8LD0YtltB2mlGEnp_R3UVu1t3wSFPzgCyHXE/edit?gid=0#gid=0"",""GERAL!A2:C""),3,0),""-"")"),"-")</f>
        <v>-</v>
      </c>
      <c r="Q1610" s="83"/>
      <c r="R1610" s="83"/>
      <c r="S1610" s="83"/>
      <c r="T1610" s="83"/>
      <c r="U1610" s="83"/>
      <c r="V1610" s="83"/>
      <c r="W1610" s="83"/>
      <c r="X1610" s="83"/>
      <c r="Y1610" s="83"/>
      <c r="Z1610" s="83"/>
      <c r="AA1610" s="83"/>
      <c r="AB1610" s="83"/>
      <c r="AC1610" s="83"/>
      <c r="AD1610" s="83"/>
      <c r="AE1610" s="83"/>
      <c r="AF1610" s="83"/>
      <c r="AG1610" s="83"/>
      <c r="AH1610" s="83"/>
      <c r="AI1610" s="83"/>
      <c r="AJ1610" s="83"/>
      <c r="AK1610" s="83"/>
      <c r="AL1610" s="83"/>
      <c r="AM1610" s="83"/>
      <c r="AN1610" s="83"/>
      <c r="AO1610" s="83"/>
      <c r="AP1610" s="83"/>
      <c r="AQ1610" s="83"/>
      <c r="AR1610" s="83"/>
      <c r="AS1610" s="83">
        <v>1178323.0</v>
      </c>
    </row>
    <row r="1611" ht="15.75" customHeight="1">
      <c r="A1611" s="111" t="s">
        <v>1785</v>
      </c>
      <c r="B1611" s="83" t="s">
        <v>1994</v>
      </c>
      <c r="C1611" s="83" t="s">
        <v>68</v>
      </c>
      <c r="D1611" s="112">
        <v>1102186.0</v>
      </c>
      <c r="E1611" s="83"/>
      <c r="F1611" s="83">
        <v>2.919119E7</v>
      </c>
      <c r="G1611" s="91" t="str">
        <f>IFERROR(__xludf.DUMMYFUNCTION("XLOOKUP(AS1611,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EM SAÚDE E TECNOLOGIA DA INFORMAÇÃO CARLOS CORRÊA DE MENEZES SANT' ANNA")</f>
        <v>CENTRO ESTADUAL DE EDUCAÇÃO PROFISSIONAL EM SAÚDE E TECNOLOGIA DA INFORMAÇÃO CARLOS CORRÊA DE MENEZES SANT' ANNA</v>
      </c>
      <c r="H1611" s="119" t="s">
        <v>2530</v>
      </c>
      <c r="I1611" s="91" t="s">
        <v>9007</v>
      </c>
      <c r="J1611" s="83" t="s">
        <v>9008</v>
      </c>
      <c r="K1611" s="83" t="s">
        <v>150</v>
      </c>
      <c r="L1611" s="83" t="s">
        <v>151</v>
      </c>
      <c r="M1611" s="83" t="s">
        <v>230</v>
      </c>
      <c r="N1611" s="98" t="s">
        <v>9009</v>
      </c>
      <c r="O1611" s="98" t="s">
        <v>155</v>
      </c>
      <c r="P1611" s="99" t="str">
        <f>IFERROR(__xludf.DUMMYFUNCTION("IFERROR(VLOOKUP(AS1611,IMPORTRANGE(""https://docs.google.com/spreadsheets/d/1juPI-Fb8LD0YtltB2mlGEnp_R3UVu1t3wSFPzgCyHXE/edit?gid=0#gid=0"",""GERAL!A2:C""),3,0),""-"")"),"-")</f>
        <v>-</v>
      </c>
      <c r="Q1611" s="83"/>
      <c r="R1611" s="83"/>
      <c r="S1611" s="83"/>
      <c r="T1611" s="83"/>
      <c r="U1611" s="83"/>
      <c r="V1611" s="83"/>
      <c r="W1611" s="83"/>
      <c r="X1611" s="83"/>
      <c r="Y1611" s="83"/>
      <c r="Z1611" s="83"/>
      <c r="AA1611" s="83"/>
      <c r="AB1611" s="83"/>
      <c r="AC1611" s="83"/>
      <c r="AD1611" s="83"/>
      <c r="AE1611" s="83"/>
      <c r="AF1611" s="83"/>
      <c r="AG1611" s="83"/>
      <c r="AH1611" s="83"/>
      <c r="AI1611" s="83"/>
      <c r="AJ1611" s="83"/>
      <c r="AK1611" s="83"/>
      <c r="AL1611" s="83"/>
      <c r="AM1611" s="83"/>
      <c r="AN1611" s="83"/>
      <c r="AO1611" s="83"/>
      <c r="AP1611" s="83"/>
      <c r="AQ1611" s="83"/>
      <c r="AR1611" s="83"/>
      <c r="AS1611" s="83">
        <v>1102186.0</v>
      </c>
    </row>
    <row r="1612" ht="15.75" customHeight="1">
      <c r="A1612" s="111" t="s">
        <v>1785</v>
      </c>
      <c r="B1612" s="83" t="s">
        <v>1994</v>
      </c>
      <c r="C1612" s="83" t="s">
        <v>68</v>
      </c>
      <c r="D1612" s="112">
        <v>1100736.0</v>
      </c>
      <c r="E1612" s="83"/>
      <c r="F1612" s="83">
        <v>2.9181151E7</v>
      </c>
      <c r="G1612" s="91" t="str">
        <f>IFERROR(__xludf.DUMMYFUNCTION("XLOOKUP(AS1612,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EM SAÚDE ANÍSIO TEIXEIRA")</f>
        <v>CENTRO ESTADUAL DE EDUCAÇÃO PROFISSIONAL EM SAÚDE ANÍSIO TEIXEIRA</v>
      </c>
      <c r="H1612" s="114" t="s">
        <v>9019</v>
      </c>
      <c r="I1612" s="91" t="s">
        <v>8207</v>
      </c>
      <c r="J1612" s="83" t="s">
        <v>8208</v>
      </c>
      <c r="K1612" s="83" t="s">
        <v>150</v>
      </c>
      <c r="L1612" s="83" t="s">
        <v>151</v>
      </c>
      <c r="M1612" s="83" t="s">
        <v>230</v>
      </c>
      <c r="N1612" s="98" t="s">
        <v>9020</v>
      </c>
      <c r="O1612" s="98" t="s">
        <v>155</v>
      </c>
      <c r="P1612" s="99" t="str">
        <f>IFERROR(__xludf.DUMMYFUNCTION("IFERROR(VLOOKUP(AS1612,IMPORTRANGE(""https://docs.google.com/spreadsheets/d/1juPI-Fb8LD0YtltB2mlGEnp_R3UVu1t3wSFPzgCyHXE/edit?gid=0#gid=0"",""GERAL!A2:C""),3,0),""-"")"),"-")</f>
        <v>-</v>
      </c>
      <c r="Q1612" s="83"/>
      <c r="R1612" s="83"/>
      <c r="S1612" s="83"/>
      <c r="T1612" s="83"/>
      <c r="U1612" s="83"/>
      <c r="V1612" s="83"/>
      <c r="W1612" s="83"/>
      <c r="X1612" s="83"/>
      <c r="Y1612" s="83"/>
      <c r="Z1612" s="83"/>
      <c r="AA1612" s="83"/>
      <c r="AB1612" s="83"/>
      <c r="AC1612" s="83"/>
      <c r="AD1612" s="83"/>
      <c r="AE1612" s="83"/>
      <c r="AF1612" s="83"/>
      <c r="AG1612" s="83"/>
      <c r="AH1612" s="83"/>
      <c r="AI1612" s="83"/>
      <c r="AJ1612" s="83"/>
      <c r="AK1612" s="83"/>
      <c r="AL1612" s="83"/>
      <c r="AM1612" s="83"/>
      <c r="AN1612" s="83"/>
      <c r="AO1612" s="83"/>
      <c r="AP1612" s="83"/>
      <c r="AQ1612" s="83"/>
      <c r="AR1612" s="83"/>
      <c r="AS1612" s="83">
        <v>1100736.0</v>
      </c>
    </row>
    <row r="1613" ht="15.75" customHeight="1">
      <c r="A1613" s="111" t="s">
        <v>1785</v>
      </c>
      <c r="B1613" s="83" t="s">
        <v>1994</v>
      </c>
      <c r="C1613" s="83" t="s">
        <v>68</v>
      </c>
      <c r="D1613" s="112">
        <v>1178175.0</v>
      </c>
      <c r="E1613" s="83"/>
      <c r="F1613" s="83">
        <v>2.9447151E7</v>
      </c>
      <c r="G1613" s="91" t="str">
        <f>IFERROR(__xludf.DUMMYFUNCTION("XLOOKUP(AS1613,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MUSICA")</f>
        <v>CENTRO ESTADUAL DE EDUCACAO PROFISSIONAL EM MUSICA</v>
      </c>
      <c r="H1613" s="114" t="s">
        <v>9021</v>
      </c>
      <c r="I1613" s="108" t="s">
        <v>9022</v>
      </c>
      <c r="J1613" s="98" t="s">
        <v>8619</v>
      </c>
      <c r="K1613" s="83" t="s">
        <v>150</v>
      </c>
      <c r="L1613" s="83" t="s">
        <v>151</v>
      </c>
      <c r="M1613" s="83" t="s">
        <v>230</v>
      </c>
      <c r="N1613" s="98" t="s">
        <v>9023</v>
      </c>
      <c r="O1613" s="98" t="s">
        <v>155</v>
      </c>
      <c r="P1613" s="99" t="str">
        <f>IFERROR(__xludf.DUMMYFUNCTION("IFERROR(VLOOKUP(AS1613,IMPORTRANGE(""https://docs.google.com/spreadsheets/d/1juPI-Fb8LD0YtltB2mlGEnp_R3UVu1t3wSFPzgCyHXE/edit?gid=0#gid=0"",""GERAL!A2:C""),3,0),""-"")"),"-")</f>
        <v>-</v>
      </c>
      <c r="Q1613" s="83"/>
      <c r="R1613" s="83"/>
      <c r="S1613" s="83"/>
      <c r="T1613" s="83"/>
      <c r="U1613" s="83"/>
      <c r="V1613" s="83"/>
      <c r="W1613" s="83"/>
      <c r="X1613" s="83"/>
      <c r="Y1613" s="83"/>
      <c r="Z1613" s="83"/>
      <c r="AA1613" s="83"/>
      <c r="AB1613" s="83"/>
      <c r="AC1613" s="83"/>
      <c r="AD1613" s="83"/>
      <c r="AE1613" s="83"/>
      <c r="AF1613" s="83"/>
      <c r="AG1613" s="83"/>
      <c r="AH1613" s="83"/>
      <c r="AI1613" s="83"/>
      <c r="AJ1613" s="83"/>
      <c r="AK1613" s="83"/>
      <c r="AL1613" s="83"/>
      <c r="AM1613" s="83"/>
      <c r="AN1613" s="83"/>
      <c r="AO1613" s="83"/>
      <c r="AP1613" s="83"/>
      <c r="AQ1613" s="83"/>
      <c r="AR1613" s="83"/>
      <c r="AS1613" s="83">
        <v>1178175.0</v>
      </c>
    </row>
    <row r="1614" ht="15.75" customHeight="1">
      <c r="A1614" s="111" t="s">
        <v>1785</v>
      </c>
      <c r="B1614" s="83" t="s">
        <v>1994</v>
      </c>
      <c r="C1614" s="83" t="s">
        <v>68</v>
      </c>
      <c r="D1614" s="112">
        <v>1102550.0</v>
      </c>
      <c r="E1614" s="83"/>
      <c r="F1614" s="83">
        <v>2.9180104E7</v>
      </c>
      <c r="G1614" s="91" t="str">
        <f>IFERROR(__xludf.DUMMYFUNCTION("XLOOKUP(AS1614,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LOGISTICA E TRANSPORTE LUIZ PINTO DE CARVALHO")</f>
        <v>CENTRO ESTADUAL DE EDUCACAO PROFISSIONAL EM LOGISTICA E TRANSPORTE LUIZ PINTO DE CARVALHO</v>
      </c>
      <c r="H1614" s="114" t="s">
        <v>9029</v>
      </c>
      <c r="I1614" s="91" t="s">
        <v>9030</v>
      </c>
      <c r="J1614" s="83" t="s">
        <v>8391</v>
      </c>
      <c r="K1614" s="83" t="s">
        <v>150</v>
      </c>
      <c r="L1614" s="83" t="s">
        <v>151</v>
      </c>
      <c r="M1614" s="83" t="s">
        <v>230</v>
      </c>
      <c r="N1614" s="98" t="s">
        <v>9031</v>
      </c>
      <c r="O1614" s="98" t="s">
        <v>155</v>
      </c>
      <c r="P1614" s="99" t="str">
        <f>IFERROR(__xludf.DUMMYFUNCTION("IFERROR(VLOOKUP(AS1614,IMPORTRANGE(""https://docs.google.com/spreadsheets/d/1juPI-Fb8LD0YtltB2mlGEnp_R3UVu1t3wSFPzgCyHXE/edit?gid=0#gid=0"",""GERAL!A2:C""),3,0),""-"")"),"-")</f>
        <v>-</v>
      </c>
      <c r="Q1614" s="83"/>
      <c r="R1614" s="83"/>
      <c r="S1614" s="83"/>
      <c r="T1614" s="83"/>
      <c r="U1614" s="83"/>
      <c r="V1614" s="83"/>
      <c r="W1614" s="83"/>
      <c r="X1614" s="83"/>
      <c r="Y1614" s="83"/>
      <c r="Z1614" s="83"/>
      <c r="AA1614" s="83"/>
      <c r="AB1614" s="83"/>
      <c r="AC1614" s="83"/>
      <c r="AD1614" s="83"/>
      <c r="AE1614" s="83"/>
      <c r="AF1614" s="83"/>
      <c r="AG1614" s="83"/>
      <c r="AH1614" s="83"/>
      <c r="AI1614" s="83"/>
      <c r="AJ1614" s="83"/>
      <c r="AK1614" s="83"/>
      <c r="AL1614" s="83"/>
      <c r="AM1614" s="83"/>
      <c r="AN1614" s="83"/>
      <c r="AO1614" s="83"/>
      <c r="AP1614" s="83"/>
      <c r="AQ1614" s="83"/>
      <c r="AR1614" s="83"/>
      <c r="AS1614" s="83">
        <v>1102550.0</v>
      </c>
    </row>
    <row r="1615" ht="15.75" customHeight="1">
      <c r="A1615" s="111" t="s">
        <v>1785</v>
      </c>
      <c r="B1615" s="83" t="s">
        <v>1994</v>
      </c>
      <c r="C1615" s="83" t="s">
        <v>68</v>
      </c>
      <c r="D1615" s="112">
        <v>1103514.0</v>
      </c>
      <c r="E1615" s="83"/>
      <c r="F1615" s="83">
        <v>2.9181542E7</v>
      </c>
      <c r="G1615" s="91" t="str">
        <f>IFERROR(__xludf.DUMMYFUNCTION("XLOOKUP(AS1615,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GESTAO SEVERINO VIEIRA")</f>
        <v>CENTRO ESTADUAL DE EDUCACAO PROFISSIONAL EM GESTAO SEVERINO VIEIRA</v>
      </c>
      <c r="H1615" s="114" t="s">
        <v>9034</v>
      </c>
      <c r="I1615" s="91" t="s">
        <v>9035</v>
      </c>
      <c r="J1615" s="83" t="s">
        <v>8820</v>
      </c>
      <c r="K1615" s="83" t="s">
        <v>150</v>
      </c>
      <c r="L1615" s="83" t="s">
        <v>151</v>
      </c>
      <c r="M1615" s="83" t="s">
        <v>230</v>
      </c>
      <c r="N1615" s="98" t="s">
        <v>9036</v>
      </c>
      <c r="O1615" s="98" t="s">
        <v>155</v>
      </c>
      <c r="P1615" s="99" t="str">
        <f>IFERROR(__xludf.DUMMYFUNCTION("IFERROR(VLOOKUP(AS1615,IMPORTRANGE(""https://docs.google.com/spreadsheets/d/1juPI-Fb8LD0YtltB2mlGEnp_R3UVu1t3wSFPzgCyHXE/edit?gid=0#gid=0"",""GERAL!A2:C""),3,0),""-"")"),"-")</f>
        <v>-</v>
      </c>
      <c r="Q1615" s="83"/>
      <c r="R1615" s="83"/>
      <c r="S1615" s="83"/>
      <c r="T1615" s="83"/>
      <c r="U1615" s="83"/>
      <c r="V1615" s="83"/>
      <c r="W1615" s="83"/>
      <c r="X1615" s="83"/>
      <c r="Y1615" s="83"/>
      <c r="Z1615" s="83"/>
      <c r="AA1615" s="83"/>
      <c r="AB1615" s="83"/>
      <c r="AC1615" s="83"/>
      <c r="AD1615" s="83"/>
      <c r="AE1615" s="83"/>
      <c r="AF1615" s="83"/>
      <c r="AG1615" s="83"/>
      <c r="AH1615" s="83"/>
      <c r="AI1615" s="83"/>
      <c r="AJ1615" s="83"/>
      <c r="AK1615" s="83"/>
      <c r="AL1615" s="83"/>
      <c r="AM1615" s="83"/>
      <c r="AN1615" s="83"/>
      <c r="AO1615" s="83"/>
      <c r="AP1615" s="83"/>
      <c r="AQ1615" s="83"/>
      <c r="AR1615" s="83"/>
      <c r="AS1615" s="83">
        <v>1103514.0</v>
      </c>
    </row>
    <row r="1616" ht="15.75" customHeight="1">
      <c r="A1616" s="111" t="s">
        <v>1785</v>
      </c>
      <c r="B1616" s="83" t="s">
        <v>1994</v>
      </c>
      <c r="C1616" s="83" t="s">
        <v>68</v>
      </c>
      <c r="D1616" s="112">
        <v>1104936.0</v>
      </c>
      <c r="E1616" s="83"/>
      <c r="F1616" s="83">
        <v>2.918732E7</v>
      </c>
      <c r="G1616" s="91" t="str">
        <f>IFERROR(__xludf.DUMMYFUNCTION("XLOOKUP(AS1616,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GESTAO NEGOCIOS E TURISMO LUIZ NAVARRO DE BRITO")</f>
        <v>CENTRO ESTADUAL DE EDUCACAO PROFISSIONAL EM GESTAO NEGOCIOS E TURISMO LUIZ NAVARRO DE BRITO</v>
      </c>
      <c r="H1616" s="114" t="s">
        <v>9042</v>
      </c>
      <c r="I1616" s="91" t="s">
        <v>9043</v>
      </c>
      <c r="J1616" s="136" t="s">
        <v>9044</v>
      </c>
      <c r="K1616" s="83" t="s">
        <v>150</v>
      </c>
      <c r="L1616" s="83" t="s">
        <v>151</v>
      </c>
      <c r="M1616" s="83" t="s">
        <v>230</v>
      </c>
      <c r="N1616" s="98" t="s">
        <v>9045</v>
      </c>
      <c r="O1616" s="98" t="s">
        <v>284</v>
      </c>
      <c r="P1616" s="99" t="str">
        <f>IFERROR(__xludf.DUMMYFUNCTION("IFERROR(VLOOKUP(AS1616,IMPORTRANGE(""https://docs.google.com/spreadsheets/d/1juPI-Fb8LD0YtltB2mlGEnp_R3UVu1t3wSFPzgCyHXE/edit?gid=0#gid=0"",""GERAL!A2:C""),3,0),""-"")"),"-")</f>
        <v>-</v>
      </c>
      <c r="Q1616" s="83"/>
      <c r="R1616" s="83"/>
      <c r="S1616" s="83"/>
      <c r="T1616" s="83"/>
      <c r="U1616" s="83"/>
      <c r="V1616" s="83"/>
      <c r="W1616" s="83"/>
      <c r="X1616" s="83"/>
      <c r="Y1616" s="83"/>
      <c r="Z1616" s="83"/>
      <c r="AA1616" s="83"/>
      <c r="AB1616" s="83"/>
      <c r="AC1616" s="83"/>
      <c r="AD1616" s="83"/>
      <c r="AE1616" s="83"/>
      <c r="AF1616" s="83"/>
      <c r="AG1616" s="83"/>
      <c r="AH1616" s="83"/>
      <c r="AI1616" s="83"/>
      <c r="AJ1616" s="83"/>
      <c r="AK1616" s="83"/>
      <c r="AL1616" s="83"/>
      <c r="AM1616" s="83"/>
      <c r="AN1616" s="83"/>
      <c r="AO1616" s="83"/>
      <c r="AP1616" s="83"/>
      <c r="AQ1616" s="83"/>
      <c r="AR1616" s="83"/>
      <c r="AS1616" s="83">
        <v>1104936.0</v>
      </c>
    </row>
    <row r="1617" ht="15.75" customHeight="1">
      <c r="A1617" s="111" t="s">
        <v>1785</v>
      </c>
      <c r="B1617" s="83" t="s">
        <v>1994</v>
      </c>
      <c r="C1617" s="83" t="s">
        <v>68</v>
      </c>
      <c r="D1617" s="112">
        <v>1102941.0</v>
      </c>
      <c r="E1617" s="83"/>
      <c r="F1617" s="83">
        <v>2.9196434E7</v>
      </c>
      <c r="G1617" s="91" t="str">
        <f>IFERROR(__xludf.DUMMYFUNCTION("XLOOKUP(AS1617,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CONTROLE E PROCESSOS INDUSTRIAIS NEWTON SUCUPIRA")</f>
        <v>CENTRO ESTADUAL DE EDUCACAO PROFISSIONAL EM CONTROLE E PROCESSOS INDUSTRIAIS NEWTON SUCUPIRA</v>
      </c>
      <c r="H1617" s="114" t="s">
        <v>9046</v>
      </c>
      <c r="I1617" s="91" t="s">
        <v>9047</v>
      </c>
      <c r="J1617" s="83" t="s">
        <v>8150</v>
      </c>
      <c r="K1617" s="83" t="s">
        <v>150</v>
      </c>
      <c r="L1617" s="83" t="s">
        <v>151</v>
      </c>
      <c r="M1617" s="83" t="s">
        <v>230</v>
      </c>
      <c r="N1617" s="98" t="s">
        <v>9048</v>
      </c>
      <c r="O1617" s="98" t="s">
        <v>155</v>
      </c>
      <c r="P1617" s="99" t="str">
        <f>IFERROR(__xludf.DUMMYFUNCTION("IFERROR(VLOOKUP(AS1617,IMPORTRANGE(""https://docs.google.com/spreadsheets/d/1juPI-Fb8LD0YtltB2mlGEnp_R3UVu1t3wSFPzgCyHXE/edit?gid=0#gid=0"",""GERAL!A2:C""),3,0),""-"")"),"-")</f>
        <v>-</v>
      </c>
      <c r="Q1617" s="83"/>
      <c r="R1617" s="83"/>
      <c r="S1617" s="83"/>
      <c r="T1617" s="83"/>
      <c r="U1617" s="83"/>
      <c r="V1617" s="83"/>
      <c r="W1617" s="83"/>
      <c r="X1617" s="83"/>
      <c r="Y1617" s="83"/>
      <c r="Z1617" s="83"/>
      <c r="AA1617" s="83"/>
      <c r="AB1617" s="83"/>
      <c r="AC1617" s="83"/>
      <c r="AD1617" s="83"/>
      <c r="AE1617" s="83"/>
      <c r="AF1617" s="83"/>
      <c r="AG1617" s="83"/>
      <c r="AH1617" s="83"/>
      <c r="AI1617" s="83"/>
      <c r="AJ1617" s="83"/>
      <c r="AK1617" s="83"/>
      <c r="AL1617" s="83"/>
      <c r="AM1617" s="83"/>
      <c r="AN1617" s="83"/>
      <c r="AO1617" s="83"/>
      <c r="AP1617" s="83"/>
      <c r="AQ1617" s="83"/>
      <c r="AR1617" s="83"/>
      <c r="AS1617" s="83">
        <v>1102941.0</v>
      </c>
    </row>
    <row r="1618" ht="15.75" customHeight="1">
      <c r="A1618" s="111" t="s">
        <v>1785</v>
      </c>
      <c r="B1618" s="83" t="s">
        <v>1994</v>
      </c>
      <c r="C1618" s="83" t="s">
        <v>68</v>
      </c>
      <c r="D1618" s="112">
        <v>1104049.0</v>
      </c>
      <c r="E1618" s="83"/>
      <c r="F1618" s="83">
        <v>2.9200342E7</v>
      </c>
      <c r="G1618" s="91" t="str">
        <f>IFERROR(__xludf.DUMMYFUNCTION("XLOOKUP(AS1618,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PESTALOZZI DA BAHIA")</f>
        <v>CENTRO ESTADUAL DE EDUCACAO PESTALOZZI DA BAHIA</v>
      </c>
      <c r="H1618" s="114" t="s">
        <v>9053</v>
      </c>
      <c r="I1618" s="91" t="s">
        <v>9054</v>
      </c>
      <c r="J1618" s="83" t="s">
        <v>8204</v>
      </c>
      <c r="K1618" s="83" t="s">
        <v>150</v>
      </c>
      <c r="L1618" s="83" t="s">
        <v>151</v>
      </c>
      <c r="M1618" s="83" t="s">
        <v>230</v>
      </c>
      <c r="N1618" s="98" t="s">
        <v>9055</v>
      </c>
      <c r="O1618" s="98" t="s">
        <v>155</v>
      </c>
      <c r="P1618" s="99" t="str">
        <f>IFERROR(__xludf.DUMMYFUNCTION("IFERROR(VLOOKUP(AS1618,IMPORTRANGE(""https://docs.google.com/spreadsheets/d/1juPI-Fb8LD0YtltB2mlGEnp_R3UVu1t3wSFPzgCyHXE/edit?gid=0#gid=0"",""GERAL!A2:C""),3,0),""-"")"),"-")</f>
        <v>-</v>
      </c>
      <c r="Q1618" s="83"/>
      <c r="R1618" s="83"/>
      <c r="S1618" s="83"/>
      <c r="T1618" s="83"/>
      <c r="U1618" s="83"/>
      <c r="V1618" s="83"/>
      <c r="W1618" s="83"/>
      <c r="X1618" s="83"/>
      <c r="Y1618" s="83"/>
      <c r="Z1618" s="83"/>
      <c r="AA1618" s="83"/>
      <c r="AB1618" s="83"/>
      <c r="AC1618" s="83"/>
      <c r="AD1618" s="83"/>
      <c r="AE1618" s="83"/>
      <c r="AF1618" s="83"/>
      <c r="AG1618" s="83"/>
      <c r="AH1618" s="83"/>
      <c r="AI1618" s="83"/>
      <c r="AJ1618" s="83"/>
      <c r="AK1618" s="83"/>
      <c r="AL1618" s="83"/>
      <c r="AM1618" s="83"/>
      <c r="AN1618" s="83"/>
      <c r="AO1618" s="83"/>
      <c r="AP1618" s="83"/>
      <c r="AQ1618" s="83"/>
      <c r="AR1618" s="83"/>
      <c r="AS1618" s="83">
        <v>1104049.0</v>
      </c>
    </row>
    <row r="1619" ht="15.75" customHeight="1">
      <c r="A1619" s="111" t="s">
        <v>1785</v>
      </c>
      <c r="B1619" s="83" t="s">
        <v>1994</v>
      </c>
      <c r="C1619" s="83" t="s">
        <v>68</v>
      </c>
      <c r="D1619" s="112">
        <v>1101511.0</v>
      </c>
      <c r="E1619" s="83"/>
      <c r="F1619" s="83">
        <v>2.998372E7</v>
      </c>
      <c r="G1619" s="91" t="str">
        <f>IFERROR(__xludf.DUMMYFUNCTION("XLOOKUP(AS1619,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CARNEIRO RIBEIRO - ESCOLA PARQUE")</f>
        <v>CENTRO EDUCACIONAL CARNEIRO RIBEIRO - ESCOLA PARQUE</v>
      </c>
      <c r="H1619" s="114" t="s">
        <v>9065</v>
      </c>
      <c r="I1619" s="91" t="s">
        <v>9066</v>
      </c>
      <c r="J1619" s="83" t="s">
        <v>8208</v>
      </c>
      <c r="K1619" s="83" t="s">
        <v>150</v>
      </c>
      <c r="L1619" s="83" t="s">
        <v>151</v>
      </c>
      <c r="M1619" s="136" t="s">
        <v>1326</v>
      </c>
      <c r="N1619" s="98" t="s">
        <v>9067</v>
      </c>
      <c r="O1619" s="98" t="s">
        <v>155</v>
      </c>
      <c r="P1619" s="99" t="str">
        <f>IFERROR(__xludf.DUMMYFUNCTION("IFERROR(VLOOKUP(AS1619,IMPORTRANGE(""https://docs.google.com/spreadsheets/d/1juPI-Fb8LD0YtltB2mlGEnp_R3UVu1t3wSFPzgCyHXE/edit?gid=0#gid=0"",""GERAL!A2:C""),3,0),""-"")"),"-")</f>
        <v>-</v>
      </c>
      <c r="Q1619" s="83"/>
      <c r="R1619" s="83"/>
      <c r="S1619" s="83"/>
      <c r="T1619" s="83"/>
      <c r="U1619" s="83"/>
      <c r="V1619" s="83"/>
      <c r="W1619" s="83"/>
      <c r="X1619" s="83"/>
      <c r="Y1619" s="83"/>
      <c r="Z1619" s="83"/>
      <c r="AA1619" s="83"/>
      <c r="AB1619" s="83"/>
      <c r="AC1619" s="83"/>
      <c r="AD1619" s="83"/>
      <c r="AE1619" s="83"/>
      <c r="AF1619" s="83"/>
      <c r="AG1619" s="83"/>
      <c r="AH1619" s="83"/>
      <c r="AI1619" s="83"/>
      <c r="AJ1619" s="83"/>
      <c r="AK1619" s="83"/>
      <c r="AL1619" s="83"/>
      <c r="AM1619" s="83"/>
      <c r="AN1619" s="83"/>
      <c r="AO1619" s="83"/>
      <c r="AP1619" s="83"/>
      <c r="AQ1619" s="83"/>
      <c r="AR1619" s="83"/>
      <c r="AS1619" s="83">
        <v>1101511.0</v>
      </c>
    </row>
    <row r="1620" ht="15.75" customHeight="1">
      <c r="A1620" s="111" t="s">
        <v>1785</v>
      </c>
      <c r="B1620" s="83" t="s">
        <v>1994</v>
      </c>
      <c r="C1620" s="83" t="s">
        <v>68</v>
      </c>
      <c r="D1620" s="112">
        <v>1101490.0</v>
      </c>
      <c r="E1620" s="83"/>
      <c r="F1620" s="83">
        <v>2.9179491E7</v>
      </c>
      <c r="G1620" s="91" t="str">
        <f>IFERROR(__xludf.DUMMYFUNCTION("XLOOKUP(AS1620,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CARNEIRO RIBEIRO - CLASSE IV")</f>
        <v>CENTRO EDUCACIONAL CARNEIRO RIBEIRO - CLASSE IV</v>
      </c>
      <c r="H1620" s="114" t="s">
        <v>9069</v>
      </c>
      <c r="I1620" s="91" t="s">
        <v>9070</v>
      </c>
      <c r="J1620" s="83" t="s">
        <v>8208</v>
      </c>
      <c r="K1620" s="83" t="s">
        <v>150</v>
      </c>
      <c r="L1620" s="83" t="s">
        <v>151</v>
      </c>
      <c r="M1620" s="98" t="s">
        <v>152</v>
      </c>
      <c r="N1620" s="98" t="s">
        <v>9073</v>
      </c>
      <c r="O1620" s="98" t="s">
        <v>155</v>
      </c>
      <c r="P1620" s="99" t="str">
        <f>IFERROR(__xludf.DUMMYFUNCTION("IFERROR(VLOOKUP(AS1620,IMPORTRANGE(""https://docs.google.com/spreadsheets/d/1juPI-Fb8LD0YtltB2mlGEnp_R3UVu1t3wSFPzgCyHXE/edit?gid=0#gid=0"",""GERAL!A2:C""),3,0),""-"")"),"-")</f>
        <v>-</v>
      </c>
      <c r="Q1620" s="83"/>
      <c r="R1620" s="83"/>
      <c r="S1620" s="83"/>
      <c r="T1620" s="83"/>
      <c r="U1620" s="83"/>
      <c r="V1620" s="83"/>
      <c r="W1620" s="83"/>
      <c r="X1620" s="83"/>
      <c r="Y1620" s="83"/>
      <c r="Z1620" s="83"/>
      <c r="AA1620" s="83"/>
      <c r="AB1620" s="83"/>
      <c r="AC1620" s="83"/>
      <c r="AD1620" s="83"/>
      <c r="AE1620" s="83"/>
      <c r="AF1620" s="83"/>
      <c r="AG1620" s="83"/>
      <c r="AH1620" s="83"/>
      <c r="AI1620" s="83"/>
      <c r="AJ1620" s="83"/>
      <c r="AK1620" s="83"/>
      <c r="AL1620" s="83"/>
      <c r="AM1620" s="83"/>
      <c r="AN1620" s="83"/>
      <c r="AO1620" s="83"/>
      <c r="AP1620" s="83"/>
      <c r="AQ1620" s="83"/>
      <c r="AR1620" s="83"/>
      <c r="AS1620" s="83">
        <v>1101490.0</v>
      </c>
    </row>
    <row r="1621" ht="15.75" customHeight="1">
      <c r="A1621" s="111" t="s">
        <v>1785</v>
      </c>
      <c r="B1621" s="83" t="s">
        <v>1994</v>
      </c>
      <c r="C1621" s="83" t="s">
        <v>68</v>
      </c>
      <c r="D1621" s="112">
        <v>1101430.0</v>
      </c>
      <c r="E1621" s="83"/>
      <c r="F1621" s="83">
        <v>2.9179629E7</v>
      </c>
      <c r="G1621" s="91" t="str">
        <f>IFERROR(__xludf.DUMMYFUNCTION("XLOOKUP(AS1621,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CARNEIRO RIBEIRO - CLASSE III")</f>
        <v>CENTRO EDUCACIONAL CARNEIRO RIBEIRO - CLASSE III</v>
      </c>
      <c r="H1621" s="114" t="s">
        <v>9078</v>
      </c>
      <c r="I1621" s="91" t="s">
        <v>9079</v>
      </c>
      <c r="J1621" s="83" t="s">
        <v>8482</v>
      </c>
      <c r="K1621" s="83" t="s">
        <v>150</v>
      </c>
      <c r="L1621" s="83" t="s">
        <v>151</v>
      </c>
      <c r="M1621" s="83" t="s">
        <v>152</v>
      </c>
      <c r="N1621" s="98" t="s">
        <v>9080</v>
      </c>
      <c r="O1621" s="98" t="s">
        <v>155</v>
      </c>
      <c r="P1621" s="99" t="str">
        <f>IFERROR(__xludf.DUMMYFUNCTION("IFERROR(VLOOKUP(AS1621,IMPORTRANGE(""https://docs.google.com/spreadsheets/d/1juPI-Fb8LD0YtltB2mlGEnp_R3UVu1t3wSFPzgCyHXE/edit?gid=0#gid=0"",""GERAL!A2:C""),3,0),""-"")"),"-")</f>
        <v>-</v>
      </c>
      <c r="Q1621" s="83"/>
      <c r="R1621" s="83"/>
      <c r="S1621" s="83"/>
      <c r="T1621" s="83"/>
      <c r="U1621" s="83"/>
      <c r="V1621" s="83"/>
      <c r="W1621" s="83"/>
      <c r="X1621" s="83"/>
      <c r="Y1621" s="83"/>
      <c r="Z1621" s="83"/>
      <c r="AA1621" s="83"/>
      <c r="AB1621" s="83"/>
      <c r="AC1621" s="83"/>
      <c r="AD1621" s="83"/>
      <c r="AE1621" s="83"/>
      <c r="AF1621" s="83"/>
      <c r="AG1621" s="83"/>
      <c r="AH1621" s="83"/>
      <c r="AI1621" s="83"/>
      <c r="AJ1621" s="83"/>
      <c r="AK1621" s="83"/>
      <c r="AL1621" s="83"/>
      <c r="AM1621" s="83"/>
      <c r="AN1621" s="83"/>
      <c r="AO1621" s="83"/>
      <c r="AP1621" s="83"/>
      <c r="AQ1621" s="83"/>
      <c r="AR1621" s="83"/>
      <c r="AS1621" s="83">
        <v>1101430.0</v>
      </c>
    </row>
    <row r="1622" ht="15.75" customHeight="1">
      <c r="A1622" s="111" t="s">
        <v>1785</v>
      </c>
      <c r="B1622" s="83" t="s">
        <v>1994</v>
      </c>
      <c r="C1622" s="83" t="s">
        <v>68</v>
      </c>
      <c r="D1622" s="112">
        <v>1101368.0</v>
      </c>
      <c r="E1622" s="83"/>
      <c r="F1622" s="83">
        <v>2.9179394E7</v>
      </c>
      <c r="G1622" s="91" t="str">
        <f>IFERROR(__xludf.DUMMYFUNCTION("XLOOKUP(AS1622,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CARNEIRO RIBEIRO - CLASSE II")</f>
        <v>CENTRO EDUCACIONAL CARNEIRO RIBEIRO - CLASSE II</v>
      </c>
      <c r="H1622" s="114" t="s">
        <v>9085</v>
      </c>
      <c r="I1622" s="91" t="s">
        <v>9087</v>
      </c>
      <c r="J1622" s="83" t="s">
        <v>9089</v>
      </c>
      <c r="K1622" s="83" t="s">
        <v>150</v>
      </c>
      <c r="L1622" s="83" t="s">
        <v>151</v>
      </c>
      <c r="M1622" s="83" t="s">
        <v>152</v>
      </c>
      <c r="N1622" s="98" t="s">
        <v>9091</v>
      </c>
      <c r="O1622" s="98" t="s">
        <v>155</v>
      </c>
      <c r="P1622" s="99" t="str">
        <f>IFERROR(__xludf.DUMMYFUNCTION("IFERROR(VLOOKUP(AS1622,IMPORTRANGE(""https://docs.google.com/spreadsheets/d/1juPI-Fb8LD0YtltB2mlGEnp_R3UVu1t3wSFPzgCyHXE/edit?gid=0#gid=0"",""GERAL!A2:C""),3,0),""-"")"),"-")</f>
        <v>-</v>
      </c>
      <c r="Q1622" s="83"/>
      <c r="R1622" s="83"/>
      <c r="S1622" s="83"/>
      <c r="T1622" s="83"/>
      <c r="U1622" s="83"/>
      <c r="V1622" s="83"/>
      <c r="W1622" s="83"/>
      <c r="X1622" s="83"/>
      <c r="Y1622" s="83"/>
      <c r="Z1622" s="83"/>
      <c r="AA1622" s="83"/>
      <c r="AB1622" s="83"/>
      <c r="AC1622" s="83"/>
      <c r="AD1622" s="83"/>
      <c r="AE1622" s="83"/>
      <c r="AF1622" s="83"/>
      <c r="AG1622" s="83"/>
      <c r="AH1622" s="83"/>
      <c r="AI1622" s="83"/>
      <c r="AJ1622" s="83"/>
      <c r="AK1622" s="83"/>
      <c r="AL1622" s="83"/>
      <c r="AM1622" s="83"/>
      <c r="AN1622" s="83"/>
      <c r="AO1622" s="83"/>
      <c r="AP1622" s="83"/>
      <c r="AQ1622" s="83"/>
      <c r="AR1622" s="83"/>
      <c r="AS1622" s="83">
        <v>1101368.0</v>
      </c>
    </row>
    <row r="1623" ht="15.75" customHeight="1">
      <c r="A1623" s="111" t="s">
        <v>1785</v>
      </c>
      <c r="B1623" s="83" t="s">
        <v>1994</v>
      </c>
      <c r="C1623" s="83" t="s">
        <v>68</v>
      </c>
      <c r="D1623" s="112">
        <v>1101309.0</v>
      </c>
      <c r="E1623" s="83"/>
      <c r="F1623" s="83">
        <v>2.9179548E7</v>
      </c>
      <c r="G1623" s="91" t="str">
        <f>IFERROR(__xludf.DUMMYFUNCTION("XLOOKUP(AS1623,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CARNEIRO RIBEIRO - CLASSE I")</f>
        <v>CENTRO EDUCACIONAL CARNEIRO RIBEIRO - CLASSE I</v>
      </c>
      <c r="H1623" s="114" t="s">
        <v>9093</v>
      </c>
      <c r="I1623" s="91" t="s">
        <v>9094</v>
      </c>
      <c r="J1623" s="83" t="s">
        <v>9089</v>
      </c>
      <c r="K1623" s="83" t="s">
        <v>150</v>
      </c>
      <c r="L1623" s="83" t="s">
        <v>151</v>
      </c>
      <c r="M1623" s="83" t="s">
        <v>152</v>
      </c>
      <c r="N1623" s="98" t="s">
        <v>9095</v>
      </c>
      <c r="O1623" s="98" t="s">
        <v>155</v>
      </c>
      <c r="P1623" s="99" t="str">
        <f>IFERROR(__xludf.DUMMYFUNCTION("IFERROR(VLOOKUP(AS1623,IMPORTRANGE(""https://docs.google.com/spreadsheets/d/1juPI-Fb8LD0YtltB2mlGEnp_R3UVu1t3wSFPzgCyHXE/edit?gid=0#gid=0"",""GERAL!A2:C""),3,0),""-"")"),"-")</f>
        <v>-</v>
      </c>
      <c r="Q1623" s="83"/>
      <c r="R1623" s="83"/>
      <c r="S1623" s="83"/>
      <c r="T1623" s="83"/>
      <c r="U1623" s="83"/>
      <c r="V1623" s="83"/>
      <c r="W1623" s="83"/>
      <c r="X1623" s="83"/>
      <c r="Y1623" s="83"/>
      <c r="Z1623" s="83"/>
      <c r="AA1623" s="83"/>
      <c r="AB1623" s="83"/>
      <c r="AC1623" s="83"/>
      <c r="AD1623" s="83"/>
      <c r="AE1623" s="83"/>
      <c r="AF1623" s="83"/>
      <c r="AG1623" s="83"/>
      <c r="AH1623" s="83"/>
      <c r="AI1623" s="83"/>
      <c r="AJ1623" s="83"/>
      <c r="AK1623" s="83"/>
      <c r="AL1623" s="83"/>
      <c r="AM1623" s="83"/>
      <c r="AN1623" s="83"/>
      <c r="AO1623" s="83"/>
      <c r="AP1623" s="83"/>
      <c r="AQ1623" s="83"/>
      <c r="AR1623" s="83"/>
      <c r="AS1623" s="83">
        <v>1101309.0</v>
      </c>
    </row>
    <row r="1624" ht="15.75" customHeight="1">
      <c r="A1624" s="111" t="s">
        <v>1785</v>
      </c>
      <c r="B1624" s="83" t="s">
        <v>1994</v>
      </c>
      <c r="C1624" s="83" t="s">
        <v>68</v>
      </c>
      <c r="D1624" s="112">
        <v>1174500.0</v>
      </c>
      <c r="E1624" s="83"/>
      <c r="F1624" s="83">
        <v>2.9179815E7</v>
      </c>
      <c r="G1624" s="91" t="str">
        <f>IFERROR(__xludf.DUMMYFUNCTION("XLOOKUP(AS1624,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EDUCACAO ESPECIAL DA BAHIA - CEEBA")</f>
        <v>CENTRO DE EDUCACAO ESPECIAL DA BAHIA - CEEBA</v>
      </c>
      <c r="H1624" s="114" t="s">
        <v>9101</v>
      </c>
      <c r="I1624" s="91" t="s">
        <v>9103</v>
      </c>
      <c r="J1624" s="83" t="s">
        <v>8204</v>
      </c>
      <c r="K1624" s="83" t="s">
        <v>150</v>
      </c>
      <c r="L1624" s="83" t="s">
        <v>151</v>
      </c>
      <c r="M1624" s="83" t="s">
        <v>230</v>
      </c>
      <c r="N1624" s="98" t="s">
        <v>9104</v>
      </c>
      <c r="O1624" s="98" t="s">
        <v>155</v>
      </c>
      <c r="P1624" s="99" t="str">
        <f>IFERROR(__xludf.DUMMYFUNCTION("IFERROR(VLOOKUP(AS1624,IMPORTRANGE(""https://docs.google.com/spreadsheets/d/1juPI-Fb8LD0YtltB2mlGEnp_R3UVu1t3wSFPzgCyHXE/edit?gid=0#gid=0"",""GERAL!A2:C""),3,0),""-"")"),"-")</f>
        <v>-</v>
      </c>
      <c r="Q1624" s="83"/>
      <c r="R1624" s="83"/>
      <c r="S1624" s="83"/>
      <c r="T1624" s="83"/>
      <c r="U1624" s="83"/>
      <c r="V1624" s="83"/>
      <c r="W1624" s="83"/>
      <c r="X1624" s="83"/>
      <c r="Y1624" s="83"/>
      <c r="Z1624" s="83"/>
      <c r="AA1624" s="83"/>
      <c r="AB1624" s="83"/>
      <c r="AC1624" s="83"/>
      <c r="AD1624" s="83"/>
      <c r="AE1624" s="83"/>
      <c r="AF1624" s="83"/>
      <c r="AG1624" s="83"/>
      <c r="AH1624" s="83"/>
      <c r="AI1624" s="83"/>
      <c r="AJ1624" s="83"/>
      <c r="AK1624" s="83"/>
      <c r="AL1624" s="83"/>
      <c r="AM1624" s="83"/>
      <c r="AN1624" s="83"/>
      <c r="AO1624" s="83"/>
      <c r="AP1624" s="83"/>
      <c r="AQ1624" s="83"/>
      <c r="AR1624" s="83"/>
      <c r="AS1624" s="83">
        <v>1174500.0</v>
      </c>
    </row>
    <row r="1625" ht="15.75" customHeight="1">
      <c r="A1625" s="111" t="s">
        <v>1785</v>
      </c>
      <c r="B1625" s="83" t="s">
        <v>1994</v>
      </c>
      <c r="C1625" s="83" t="s">
        <v>68</v>
      </c>
      <c r="D1625" s="112">
        <v>1103441.0</v>
      </c>
      <c r="E1625" s="83"/>
      <c r="F1625" s="83">
        <v>2.9199182E7</v>
      </c>
      <c r="G1625" s="91" t="str">
        <f>IFERROR(__xludf.DUMMYFUNCTION("XLOOKUP(AS1625,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ATENDIMENTO EDUCACIONAL ESPECIALIZADO PROFESSOR ALBERTO DE ASSIS")</f>
        <v>CENTRO DE ATENDIMENTO EDUCACIONAL ESPECIALIZADO PROFESSOR ALBERTO DE ASSIS</v>
      </c>
      <c r="H1625" s="114" t="s">
        <v>9105</v>
      </c>
      <c r="I1625" s="108" t="s">
        <v>9106</v>
      </c>
      <c r="J1625" s="83" t="s">
        <v>9000</v>
      </c>
      <c r="K1625" s="83" t="s">
        <v>150</v>
      </c>
      <c r="L1625" s="83" t="s">
        <v>5791</v>
      </c>
      <c r="M1625" s="98" t="s">
        <v>230</v>
      </c>
      <c r="N1625" s="98" t="s">
        <v>9107</v>
      </c>
      <c r="O1625" s="98" t="s">
        <v>155</v>
      </c>
      <c r="P1625" s="99" t="str">
        <f>IFERROR(__xludf.DUMMYFUNCTION("IFERROR(VLOOKUP(AS1625,IMPORTRANGE(""https://docs.google.com/spreadsheets/d/1juPI-Fb8LD0YtltB2mlGEnp_R3UVu1t3wSFPzgCyHXE/edit?gid=0#gid=0"",""GERAL!A2:C""),3,0),""-"")"),"-")</f>
        <v>-</v>
      </c>
      <c r="Q1625" s="83"/>
      <c r="R1625" s="83"/>
      <c r="S1625" s="83"/>
      <c r="T1625" s="83"/>
      <c r="U1625" s="83"/>
      <c r="V1625" s="83"/>
      <c r="W1625" s="83"/>
      <c r="X1625" s="83"/>
      <c r="Y1625" s="83"/>
      <c r="Z1625" s="83"/>
      <c r="AA1625" s="83"/>
      <c r="AB1625" s="83"/>
      <c r="AC1625" s="83"/>
      <c r="AD1625" s="83"/>
      <c r="AE1625" s="83"/>
      <c r="AF1625" s="83"/>
      <c r="AG1625" s="83"/>
      <c r="AH1625" s="83"/>
      <c r="AI1625" s="83"/>
      <c r="AJ1625" s="83"/>
      <c r="AK1625" s="83"/>
      <c r="AL1625" s="83"/>
      <c r="AM1625" s="83"/>
      <c r="AN1625" s="83"/>
      <c r="AO1625" s="83"/>
      <c r="AP1625" s="83"/>
      <c r="AQ1625" s="83"/>
      <c r="AR1625" s="83"/>
      <c r="AS1625" s="83">
        <v>1103441.0</v>
      </c>
    </row>
    <row r="1626" ht="15.75" customHeight="1">
      <c r="A1626" s="111" t="s">
        <v>1785</v>
      </c>
      <c r="B1626" s="83" t="s">
        <v>1994</v>
      </c>
      <c r="C1626" s="83" t="s">
        <v>68</v>
      </c>
      <c r="D1626" s="112">
        <v>1176420.0</v>
      </c>
      <c r="E1626" s="83"/>
      <c r="F1626" s="83">
        <v>2.9386632E7</v>
      </c>
      <c r="G1626" s="91" t="str">
        <f>IFERROR(__xludf.DUMMYFUNCTION("XLOOKUP(AS1626,
IMPORTRANGE(""https://docs.google.com/spreadsheets/d/1YM-djuOLXomrZ9W0B4TyIBsVWnXY4EIOFD9HY-qGfv0/edit?usp=sharing"",""GERAL!BG5:BG""),
IMPORTRANGE(""https://docs.google.com/spreadsheets/d/1YM-djuOLXomrZ9W0B4TyIBsVWnXY4EIOFD9HY-qGfv0/edit?"&amp;"usp=sharing"",""GERAL!G5:G""),
""CÓD. SEC NÃO ENCONTRADO NA PLANILHA DE MATRÍCULA"")"),"CENTRO DE APOIO PEDAGOGICO A PESSOA COM DEFICIENCIA VISUAL PROFESSORA CATIA MARIA PAIM DA CRUZ - CAP")</f>
        <v>CENTRO DE APOIO PEDAGOGICO A PESSOA COM DEFICIENCIA VISUAL PROFESSORA CATIA MARIA PAIM DA CRUZ - CAP</v>
      </c>
      <c r="H1626" s="114" t="s">
        <v>9110</v>
      </c>
      <c r="I1626" s="91" t="s">
        <v>9112</v>
      </c>
      <c r="J1626" s="136" t="s">
        <v>9113</v>
      </c>
      <c r="K1626" s="83" t="s">
        <v>150</v>
      </c>
      <c r="L1626" s="83" t="s">
        <v>151</v>
      </c>
      <c r="M1626" s="83" t="s">
        <v>230</v>
      </c>
      <c r="N1626" s="98" t="s">
        <v>9116</v>
      </c>
      <c r="O1626" s="98" t="s">
        <v>155</v>
      </c>
      <c r="P1626" s="99" t="str">
        <f>IFERROR(__xludf.DUMMYFUNCTION("IFERROR(VLOOKUP(AS1626,IMPORTRANGE(""https://docs.google.com/spreadsheets/d/1juPI-Fb8LD0YtltB2mlGEnp_R3UVu1t3wSFPzgCyHXE/edit?gid=0#gid=0"",""GERAL!A2:C""),3,0),""-"")"),"-")</f>
        <v>-</v>
      </c>
      <c r="Q1626" s="83"/>
      <c r="R1626" s="83"/>
      <c r="S1626" s="83"/>
      <c r="T1626" s="83"/>
      <c r="U1626" s="83"/>
      <c r="V1626" s="83"/>
      <c r="W1626" s="83"/>
      <c r="X1626" s="83"/>
      <c r="Y1626" s="83"/>
      <c r="Z1626" s="83"/>
      <c r="AA1626" s="83"/>
      <c r="AB1626" s="83"/>
      <c r="AC1626" s="83"/>
      <c r="AD1626" s="83"/>
      <c r="AE1626" s="83"/>
      <c r="AF1626" s="83"/>
      <c r="AG1626" s="83"/>
      <c r="AH1626" s="83"/>
      <c r="AI1626" s="83"/>
      <c r="AJ1626" s="83"/>
      <c r="AK1626" s="83"/>
      <c r="AL1626" s="83"/>
      <c r="AM1626" s="83"/>
      <c r="AN1626" s="83"/>
      <c r="AO1626" s="83"/>
      <c r="AP1626" s="83"/>
      <c r="AQ1626" s="83"/>
      <c r="AR1626" s="83"/>
      <c r="AS1626" s="83">
        <v>1176420.0</v>
      </c>
    </row>
    <row r="1627" ht="15.75" customHeight="1">
      <c r="A1627" s="111" t="s">
        <v>1785</v>
      </c>
      <c r="B1627" s="83" t="s">
        <v>1994</v>
      </c>
      <c r="C1627" s="83" t="s">
        <v>68</v>
      </c>
      <c r="D1627" s="112">
        <v>1179480.0</v>
      </c>
      <c r="E1627" s="83"/>
      <c r="F1627" s="98">
        <v>41500.0</v>
      </c>
      <c r="G1627" s="91" t="str">
        <f>IFERROR(__xludf.DUMMYFUNCTION("XLOOKUP(AS1627,
IMPORTRANGE(""https://docs.google.com/spreadsheets/d/1YM-djuOLXomrZ9W0B4TyIBsVWnXY4EIOFD9HY-qGfv0/edit?usp=sharing"",""GERAL!BG5:BG""),
IMPORTRANGE(""https://docs.google.com/spreadsheets/d/1YM-djuOLXomrZ9W0B4TyIBsVWnXY4EIOFD9HY-qGfv0/edit?"&amp;"usp=sharing"",""GERAL!G5:G""),
""CÓD. SEC NÃO ENCONTRADO NA PLANILHA DE MATRÍCULA"")"),"CENT EST DE REFERENCIA DO ENSINO MEDIO COM INTER TECNOLOGICA-CEMITEC")</f>
        <v>CENT EST DE REFERENCIA DO ENSINO MEDIO COM INTER TECNOLOGICA-CEMITEC</v>
      </c>
      <c r="H1627" s="114" t="s">
        <v>9118</v>
      </c>
      <c r="I1627" s="108" t="s">
        <v>9119</v>
      </c>
      <c r="J1627" s="136" t="s">
        <v>8247</v>
      </c>
      <c r="K1627" s="98" t="s">
        <v>150</v>
      </c>
      <c r="L1627" s="186" t="s">
        <v>151</v>
      </c>
      <c r="M1627" s="83" t="s">
        <v>230</v>
      </c>
      <c r="N1627" s="98" t="s">
        <v>9120</v>
      </c>
      <c r="O1627" s="98" t="s">
        <v>155</v>
      </c>
      <c r="P1627" s="99" t="str">
        <f>IFERROR(__xludf.DUMMYFUNCTION("IFERROR(VLOOKUP(AS1627,IMPORTRANGE(""https://docs.google.com/spreadsheets/d/1juPI-Fb8LD0YtltB2mlGEnp_R3UVu1t3wSFPzgCyHXE/edit?gid=0#gid=0"",""GERAL!A2:C""),3,0),""-"")"),"-")</f>
        <v>-</v>
      </c>
      <c r="Q1627" s="83"/>
      <c r="R1627" s="83"/>
      <c r="S1627" s="83"/>
      <c r="T1627" s="83"/>
      <c r="U1627" s="83"/>
      <c r="V1627" s="83"/>
      <c r="W1627" s="83"/>
      <c r="X1627" s="83"/>
      <c r="Y1627" s="83"/>
      <c r="Z1627" s="83"/>
      <c r="AA1627" s="83"/>
      <c r="AB1627" s="83"/>
      <c r="AC1627" s="83"/>
      <c r="AD1627" s="83"/>
      <c r="AE1627" s="83"/>
      <c r="AF1627" s="83"/>
      <c r="AG1627" s="83"/>
      <c r="AH1627" s="83"/>
      <c r="AI1627" s="83"/>
      <c r="AJ1627" s="83"/>
      <c r="AK1627" s="83"/>
      <c r="AL1627" s="83"/>
      <c r="AM1627" s="83"/>
      <c r="AN1627" s="83"/>
      <c r="AO1627" s="83"/>
      <c r="AP1627" s="83"/>
      <c r="AQ1627" s="83"/>
      <c r="AR1627" s="83"/>
      <c r="AS1627" s="83">
        <v>1179480.0</v>
      </c>
    </row>
    <row r="1628" ht="15.75" customHeight="1">
      <c r="A1628" s="111" t="s">
        <v>1785</v>
      </c>
      <c r="B1628" s="83" t="s">
        <v>1994</v>
      </c>
      <c r="C1628" s="83" t="s">
        <v>164</v>
      </c>
      <c r="D1628" s="112">
        <v>1176880.0</v>
      </c>
      <c r="E1628" s="83">
        <v>1178415.0</v>
      </c>
      <c r="F1628" s="83"/>
      <c r="G1628" s="91" t="str">
        <f>IFERROR(__xludf.DUMMYFUNCTION("XLOOKUP(AS1628,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MARIA DE LOURDES PARADA FRANCH")</f>
        <v>ANEXO - COLÉGIO ESTADUAL PROFESSORA MARIA DE LOURDES PARADA FRANCH</v>
      </c>
      <c r="H1628" s="114" t="s">
        <v>9122</v>
      </c>
      <c r="I1628" s="91" t="s">
        <v>9123</v>
      </c>
      <c r="J1628" s="136" t="s">
        <v>8247</v>
      </c>
      <c r="K1628" s="136" t="s">
        <v>150</v>
      </c>
      <c r="L1628" s="83" t="s">
        <v>9124</v>
      </c>
      <c r="M1628" s="83" t="s">
        <v>169</v>
      </c>
      <c r="N1628" s="115" t="s">
        <v>170</v>
      </c>
      <c r="O1628" s="98" t="s">
        <v>155</v>
      </c>
      <c r="P1628" s="99" t="str">
        <f>IFERROR(__xludf.DUMMYFUNCTION("IFERROR(VLOOKUP(AS1628,IMPORTRANGE(""https://docs.google.com/spreadsheets/d/1juPI-Fb8LD0YtltB2mlGEnp_R3UVu1t3wSFPzgCyHXE/edit?gid=0#gid=0"",""GERAL!A2:C""),3,0),""-"")"),"-")</f>
        <v>-</v>
      </c>
      <c r="Q1628" s="83"/>
      <c r="R1628" s="83"/>
      <c r="S1628" s="83"/>
      <c r="T1628" s="83"/>
      <c r="U1628" s="83"/>
      <c r="V1628" s="83"/>
      <c r="W1628" s="83"/>
      <c r="X1628" s="83"/>
      <c r="Y1628" s="83"/>
      <c r="Z1628" s="83"/>
      <c r="AA1628" s="83"/>
      <c r="AB1628" s="83"/>
      <c r="AC1628" s="83"/>
      <c r="AD1628" s="83"/>
      <c r="AE1628" s="83"/>
      <c r="AF1628" s="83"/>
      <c r="AG1628" s="83"/>
      <c r="AH1628" s="83"/>
      <c r="AI1628" s="83"/>
      <c r="AJ1628" s="83"/>
      <c r="AK1628" s="83"/>
      <c r="AL1628" s="83"/>
      <c r="AM1628" s="83"/>
      <c r="AN1628" s="83"/>
      <c r="AO1628" s="83"/>
      <c r="AP1628" s="83"/>
      <c r="AQ1628" s="83"/>
      <c r="AR1628" s="83"/>
      <c r="AS1628" s="83">
        <v>1178415.0</v>
      </c>
    </row>
    <row r="1629" ht="15.75" customHeight="1">
      <c r="A1629" s="111" t="s">
        <v>1785</v>
      </c>
      <c r="B1629" s="83" t="s">
        <v>1994</v>
      </c>
      <c r="C1629" s="83" t="s">
        <v>164</v>
      </c>
      <c r="D1629" s="112">
        <v>1176810.0</v>
      </c>
      <c r="E1629" s="83">
        <v>1178567.0</v>
      </c>
      <c r="F1629" s="83"/>
      <c r="G1629" s="91" t="str">
        <f>IFERROR(__xludf.DUMMYFUNCTION("XLOOKUP(AS1629,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MARIA BERNADETE BRANDAO")</f>
        <v>ANEXO - COLÉGIO ESTADUAL PROFESSORA MARIA BERNADETE BRANDAO</v>
      </c>
      <c r="H1629" s="119" t="s">
        <v>9125</v>
      </c>
      <c r="I1629" s="91" t="s">
        <v>9126</v>
      </c>
      <c r="J1629" s="136" t="s">
        <v>8133</v>
      </c>
      <c r="K1629" s="136" t="s">
        <v>150</v>
      </c>
      <c r="L1629" s="83" t="s">
        <v>1078</v>
      </c>
      <c r="M1629" s="83" t="s">
        <v>169</v>
      </c>
      <c r="N1629" s="115" t="s">
        <v>170</v>
      </c>
      <c r="O1629" s="98" t="s">
        <v>155</v>
      </c>
      <c r="P1629" s="99" t="str">
        <f>IFERROR(__xludf.DUMMYFUNCTION("IFERROR(VLOOKUP(AS1629,IMPORTRANGE(""https://docs.google.com/spreadsheets/d/1juPI-Fb8LD0YtltB2mlGEnp_R3UVu1t3wSFPzgCyHXE/edit?gid=0#gid=0"",""GERAL!A2:C""),3,0),""-"")"),"-")</f>
        <v>-</v>
      </c>
      <c r="Q1629" s="83"/>
      <c r="R1629" s="83"/>
      <c r="S1629" s="83"/>
      <c r="T1629" s="83"/>
      <c r="U1629" s="83"/>
      <c r="V1629" s="83"/>
      <c r="W1629" s="83"/>
      <c r="X1629" s="83"/>
      <c r="Y1629" s="83"/>
      <c r="Z1629" s="83"/>
      <c r="AA1629" s="83"/>
      <c r="AB1629" s="83"/>
      <c r="AC1629" s="83"/>
      <c r="AD1629" s="83"/>
      <c r="AE1629" s="83"/>
      <c r="AF1629" s="83"/>
      <c r="AG1629" s="83"/>
      <c r="AH1629" s="83"/>
      <c r="AI1629" s="83"/>
      <c r="AJ1629" s="83"/>
      <c r="AK1629" s="83"/>
      <c r="AL1629" s="83"/>
      <c r="AM1629" s="83"/>
      <c r="AN1629" s="83"/>
      <c r="AO1629" s="83"/>
      <c r="AP1629" s="83"/>
      <c r="AQ1629" s="83"/>
      <c r="AR1629" s="83"/>
      <c r="AS1629" s="83">
        <v>1178567.0</v>
      </c>
    </row>
    <row r="1630" ht="15.75" customHeight="1">
      <c r="A1630" s="111" t="s">
        <v>1785</v>
      </c>
      <c r="B1630" s="83" t="s">
        <v>1994</v>
      </c>
      <c r="C1630" s="83" t="s">
        <v>68</v>
      </c>
      <c r="D1630" s="112">
        <v>1103174.0</v>
      </c>
      <c r="E1630" s="83"/>
      <c r="F1630" s="83">
        <v>2.9182719E7</v>
      </c>
      <c r="G1630" s="91" t="str">
        <f>IFERROR(__xludf.DUMMYFUNCTION("XLOOKUP(AS1630,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FREDERICO COSTA")</f>
        <v>COLEGIO ESTADUAL FREDERICO COSTA</v>
      </c>
      <c r="H1630" s="119" t="s">
        <v>9128</v>
      </c>
      <c r="I1630" s="91" t="s">
        <v>9129</v>
      </c>
      <c r="J1630" s="83" t="s">
        <v>8868</v>
      </c>
      <c r="K1630" s="83" t="s">
        <v>150</v>
      </c>
      <c r="L1630" s="83" t="s">
        <v>151</v>
      </c>
      <c r="M1630" s="83" t="s">
        <v>152</v>
      </c>
      <c r="N1630" s="98" t="s">
        <v>9130</v>
      </c>
      <c r="O1630" s="98" t="s">
        <v>155</v>
      </c>
      <c r="P1630" s="99" t="str">
        <f>IFERROR(__xludf.DUMMYFUNCTION("IFERROR(VLOOKUP(AS1630,IMPORTRANGE(""https://docs.google.com/spreadsheets/d/1juPI-Fb8LD0YtltB2mlGEnp_R3UVu1t3wSFPzgCyHXE/edit?gid=0#gid=0"",""GERAL!A2:C""),3,0),""-"")"),"-")</f>
        <v>-</v>
      </c>
      <c r="Q1630" s="83"/>
      <c r="R1630" s="83"/>
      <c r="S1630" s="83"/>
      <c r="T1630" s="83"/>
      <c r="U1630" s="83"/>
      <c r="V1630" s="83"/>
      <c r="W1630" s="83"/>
      <c r="X1630" s="83"/>
      <c r="Y1630" s="83"/>
      <c r="Z1630" s="83"/>
      <c r="AA1630" s="83"/>
      <c r="AB1630" s="83"/>
      <c r="AC1630" s="83"/>
      <c r="AD1630" s="83"/>
      <c r="AE1630" s="83"/>
      <c r="AF1630" s="83"/>
      <c r="AG1630" s="83"/>
      <c r="AH1630" s="83"/>
      <c r="AI1630" s="83"/>
      <c r="AJ1630" s="83"/>
      <c r="AK1630" s="83"/>
      <c r="AL1630" s="83"/>
      <c r="AM1630" s="83"/>
      <c r="AN1630" s="83"/>
      <c r="AO1630" s="83"/>
      <c r="AP1630" s="83"/>
      <c r="AQ1630" s="83"/>
      <c r="AR1630" s="83"/>
      <c r="AS1630" s="83">
        <v>1103174.0</v>
      </c>
    </row>
    <row r="1631" ht="15.75" customHeight="1">
      <c r="A1631" s="111" t="s">
        <v>1785</v>
      </c>
      <c r="B1631" s="83" t="s">
        <v>1994</v>
      </c>
      <c r="C1631" s="83" t="s">
        <v>68</v>
      </c>
      <c r="D1631" s="112">
        <v>1102232.0</v>
      </c>
      <c r="E1631" s="83"/>
      <c r="F1631" s="83">
        <v>2.9181526E7</v>
      </c>
      <c r="G1631" s="91" t="str">
        <f>IFERROR(__xludf.DUMMYFUNCTION("XLOOKUP(AS1631,
IMPORTRANGE(""https://docs.google.com/spreadsheets/d/1YM-djuOLXomrZ9W0B4TyIBsVWnXY4EIOFD9HY-qGfv0/edit?usp=sharing"",""GERAL!BG5:BG""),
IMPORTRANGE(""https://docs.google.com/spreadsheets/d/1YM-djuOLXomrZ9W0B4TyIBsVWnXY4EIOFD9HY-qGfv0/edit?"&amp;"usp=sharing"",""GERAL!G5:G""),
""CÓD. SEC NÃO ENCONTRADO NA PLANILHA DE MATRÍCULA"")")," COLÉGIO ESTADUAL DE TEMPO INTEGRAL DA RIBEIRA
(ANTIGO: CE PRESIDENTE COSTA E SILVA)")</f>
        <v> COLÉGIO ESTADUAL DE TEMPO INTEGRAL DA RIBEIRA
(ANTIGO: CE PRESIDENTE COSTA E SILVA)</v>
      </c>
      <c r="H1631" s="218" t="s">
        <v>9131</v>
      </c>
      <c r="I1631" s="91" t="s">
        <v>9132</v>
      </c>
      <c r="J1631" s="83" t="s">
        <v>8171</v>
      </c>
      <c r="K1631" s="83" t="s">
        <v>150</v>
      </c>
      <c r="L1631" s="83" t="s">
        <v>151</v>
      </c>
      <c r="M1631" s="83" t="s">
        <v>230</v>
      </c>
      <c r="N1631" s="98" t="s">
        <v>9133</v>
      </c>
      <c r="O1631" s="98" t="s">
        <v>155</v>
      </c>
      <c r="P1631" s="99" t="str">
        <f>IFERROR(__xludf.DUMMYFUNCTION("IFERROR(VLOOKUP(AS1631,IMPORTRANGE(""https://docs.google.com/spreadsheets/d/1juPI-Fb8LD0YtltB2mlGEnp_R3UVu1t3wSFPzgCyHXE/edit?gid=0#gid=0"",""GERAL!A2:C""),3,0),""-"")"),"-")</f>
        <v>-</v>
      </c>
      <c r="Q1631" s="83"/>
      <c r="R1631" s="83"/>
      <c r="S1631" s="83"/>
      <c r="T1631" s="83"/>
      <c r="U1631" s="83"/>
      <c r="V1631" s="83"/>
      <c r="W1631" s="83"/>
      <c r="X1631" s="83"/>
      <c r="Y1631" s="83"/>
      <c r="Z1631" s="83"/>
      <c r="AA1631" s="83"/>
      <c r="AB1631" s="83"/>
      <c r="AC1631" s="83"/>
      <c r="AD1631" s="83"/>
      <c r="AE1631" s="83"/>
      <c r="AF1631" s="83"/>
      <c r="AG1631" s="83"/>
      <c r="AH1631" s="83"/>
      <c r="AI1631" s="83"/>
      <c r="AJ1631" s="83"/>
      <c r="AK1631" s="83"/>
      <c r="AL1631" s="83"/>
      <c r="AM1631" s="83"/>
      <c r="AN1631" s="83"/>
      <c r="AO1631" s="83"/>
      <c r="AP1631" s="83"/>
      <c r="AQ1631" s="83"/>
      <c r="AR1631" s="83"/>
      <c r="AS1631" s="83">
        <v>1102232.0</v>
      </c>
    </row>
    <row r="1632" ht="15.75" customHeight="1">
      <c r="A1632" s="111" t="s">
        <v>1785</v>
      </c>
      <c r="B1632" s="83" t="s">
        <v>9135</v>
      </c>
      <c r="C1632" s="83" t="s">
        <v>68</v>
      </c>
      <c r="D1632" s="112">
        <v>1134851.0</v>
      </c>
      <c r="E1632" s="83"/>
      <c r="F1632" s="83">
        <v>2.9200482E7</v>
      </c>
      <c r="G1632" s="91" t="str">
        <f>IFERROR(__xludf.DUMMYFUNCTION("XLOOKUP(AS1632,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MARTINHO SALLES BRASIL - TEMPO INTEGRAL")</f>
        <v>COLÉGIO ESTADUAL MARTINHO SALLES BRASIL - TEMPO INTEGRAL</v>
      </c>
      <c r="H1632" s="119" t="s">
        <v>9136</v>
      </c>
      <c r="I1632" s="91" t="s">
        <v>9137</v>
      </c>
      <c r="J1632" s="83" t="s">
        <v>149</v>
      </c>
      <c r="K1632" s="83" t="s">
        <v>150</v>
      </c>
      <c r="L1632" s="83" t="s">
        <v>151</v>
      </c>
      <c r="M1632" s="98" t="s">
        <v>230</v>
      </c>
      <c r="N1632" s="98" t="s">
        <v>9138</v>
      </c>
      <c r="O1632" s="98" t="s">
        <v>162</v>
      </c>
      <c r="P1632" s="99" t="str">
        <f>IFERROR(__xludf.DUMMYFUNCTION("IFERROR(VLOOKUP(AS1632,IMPORTRANGE(""https://docs.google.com/spreadsheets/d/1juPI-Fb8LD0YtltB2mlGEnp_R3UVu1t3wSFPzgCyHXE/edit?gid=0#gid=0"",""GERAL!A2:C""),3,0),""-"")"),"-")</f>
        <v>-</v>
      </c>
      <c r="Q1632" s="83"/>
      <c r="R1632" s="83"/>
      <c r="S1632" s="83"/>
      <c r="T1632" s="83"/>
      <c r="U1632" s="83"/>
      <c r="V1632" s="83"/>
      <c r="W1632" s="83"/>
      <c r="X1632" s="83"/>
      <c r="Y1632" s="83"/>
      <c r="Z1632" s="83"/>
      <c r="AA1632" s="83"/>
      <c r="AB1632" s="83"/>
      <c r="AC1632" s="83"/>
      <c r="AD1632" s="83"/>
      <c r="AE1632" s="83"/>
      <c r="AF1632" s="83"/>
      <c r="AG1632" s="83"/>
      <c r="AH1632" s="83"/>
      <c r="AI1632" s="83"/>
      <c r="AJ1632" s="83"/>
      <c r="AK1632" s="83"/>
      <c r="AL1632" s="83"/>
      <c r="AM1632" s="83"/>
      <c r="AN1632" s="83"/>
      <c r="AO1632" s="83"/>
      <c r="AP1632" s="83"/>
      <c r="AQ1632" s="83"/>
      <c r="AR1632" s="83"/>
      <c r="AS1632" s="83">
        <v>1134851.0</v>
      </c>
    </row>
    <row r="1633" ht="15.75" customHeight="1">
      <c r="A1633" s="111" t="s">
        <v>1785</v>
      </c>
      <c r="B1633" s="83" t="s">
        <v>9135</v>
      </c>
      <c r="C1633" s="83" t="s">
        <v>68</v>
      </c>
      <c r="D1633" s="112">
        <v>1176408.0</v>
      </c>
      <c r="E1633" s="83"/>
      <c r="F1633" s="83">
        <v>2.9383528E7</v>
      </c>
      <c r="G1633" s="91" t="str">
        <f>IFERROR(__xludf.DUMMYFUNCTION("XLOOKUP(AS1633,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ANNA JUNQUEIRA AYRES TOURINHO - DISTRITO DE MATARIPE")</f>
        <v>COLÉGIO ESTADUAL DO CAMPO ANNA JUNQUEIRA AYRES TOURINHO - DISTRITO DE MATARIPE</v>
      </c>
      <c r="H1633" s="119" t="s">
        <v>9139</v>
      </c>
      <c r="I1633" s="108" t="s">
        <v>9140</v>
      </c>
      <c r="J1633" s="83" t="s">
        <v>9141</v>
      </c>
      <c r="K1633" s="83" t="s">
        <v>9142</v>
      </c>
      <c r="L1633" s="83" t="s">
        <v>151</v>
      </c>
      <c r="M1633" s="98" t="s">
        <v>230</v>
      </c>
      <c r="N1633" s="98" t="s">
        <v>9143</v>
      </c>
      <c r="O1633" s="98" t="s">
        <v>162</v>
      </c>
      <c r="P1633" s="99" t="str">
        <f>IFERROR(__xludf.DUMMYFUNCTION("IFERROR(VLOOKUP(AS1633,IMPORTRANGE(""https://docs.google.com/spreadsheets/d/1juPI-Fb8LD0YtltB2mlGEnp_R3UVu1t3wSFPzgCyHXE/edit?gid=0#gid=0"",""GERAL!A2:C""),3,0),""-"")"),"CAMPO")</f>
        <v>CAMPO</v>
      </c>
      <c r="Q1633" s="83"/>
      <c r="R1633" s="83"/>
      <c r="S1633" s="83"/>
      <c r="T1633" s="83"/>
      <c r="U1633" s="83"/>
      <c r="V1633" s="83"/>
      <c r="W1633" s="83"/>
      <c r="X1633" s="83"/>
      <c r="Y1633" s="83"/>
      <c r="Z1633" s="83"/>
      <c r="AA1633" s="83"/>
      <c r="AB1633" s="83"/>
      <c r="AC1633" s="83"/>
      <c r="AD1633" s="83"/>
      <c r="AE1633" s="83"/>
      <c r="AF1633" s="83"/>
      <c r="AG1633" s="83"/>
      <c r="AH1633" s="83"/>
      <c r="AI1633" s="83"/>
      <c r="AJ1633" s="83"/>
      <c r="AK1633" s="83"/>
      <c r="AL1633" s="83"/>
      <c r="AM1633" s="83"/>
      <c r="AN1633" s="83"/>
      <c r="AO1633" s="83"/>
      <c r="AP1633" s="83"/>
      <c r="AQ1633" s="83"/>
      <c r="AR1633" s="83"/>
      <c r="AS1633" s="83">
        <v>1176408.0</v>
      </c>
    </row>
    <row r="1634" ht="15.75" customHeight="1">
      <c r="A1634" s="111" t="s">
        <v>1785</v>
      </c>
      <c r="B1634" s="83" t="s">
        <v>9148</v>
      </c>
      <c r="C1634" s="83" t="s">
        <v>68</v>
      </c>
      <c r="D1634" s="112">
        <v>1135190.0</v>
      </c>
      <c r="E1634" s="83"/>
      <c r="F1634" s="83">
        <v>2.9160774E7</v>
      </c>
      <c r="G1634" s="91" t="str">
        <f>IFERROR(__xludf.DUMMYFUNCTION("XLOOKUP(AS1634,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MONSENHOR LUIZ FERREIRA DE BRITO")</f>
        <v>COLÉGIO ESTADUAL DE TEMPO INTEGRAL MONSENHOR LUIZ FERREIRA DE BRITO</v>
      </c>
      <c r="H1634" s="119" t="s">
        <v>9150</v>
      </c>
      <c r="I1634" s="91" t="s">
        <v>9151</v>
      </c>
      <c r="J1634" s="83" t="s">
        <v>149</v>
      </c>
      <c r="K1634" s="83" t="s">
        <v>150</v>
      </c>
      <c r="L1634" s="83" t="s">
        <v>151</v>
      </c>
      <c r="M1634" s="83" t="s">
        <v>152</v>
      </c>
      <c r="N1634" s="98" t="s">
        <v>9152</v>
      </c>
      <c r="O1634" s="98" t="s">
        <v>155</v>
      </c>
      <c r="P1634" s="99" t="str">
        <f>IFERROR(__xludf.DUMMYFUNCTION("IFERROR(VLOOKUP(AS1634,IMPORTRANGE(""https://docs.google.com/spreadsheets/d/1juPI-Fb8LD0YtltB2mlGEnp_R3UVu1t3wSFPzgCyHXE/edit?gid=0#gid=0"",""GERAL!A2:C""),3,0),""-"")"),"-")</f>
        <v>-</v>
      </c>
      <c r="Q1634" s="83"/>
      <c r="R1634" s="83"/>
      <c r="S1634" s="83"/>
      <c r="T1634" s="83"/>
      <c r="U1634" s="83"/>
      <c r="V1634" s="83"/>
      <c r="W1634" s="83"/>
      <c r="X1634" s="83"/>
      <c r="Y1634" s="83"/>
      <c r="Z1634" s="83"/>
      <c r="AA1634" s="83"/>
      <c r="AB1634" s="83"/>
      <c r="AC1634" s="83"/>
      <c r="AD1634" s="83"/>
      <c r="AE1634" s="83"/>
      <c r="AF1634" s="83"/>
      <c r="AG1634" s="83"/>
      <c r="AH1634" s="83"/>
      <c r="AI1634" s="83"/>
      <c r="AJ1634" s="83"/>
      <c r="AK1634" s="83"/>
      <c r="AL1634" s="83"/>
      <c r="AM1634" s="83"/>
      <c r="AN1634" s="83"/>
      <c r="AO1634" s="83"/>
      <c r="AP1634" s="83"/>
      <c r="AQ1634" s="83"/>
      <c r="AR1634" s="83"/>
      <c r="AS1634" s="83">
        <v>1135190.0</v>
      </c>
    </row>
    <row r="1635" ht="15.75" customHeight="1">
      <c r="A1635" s="111" t="s">
        <v>1785</v>
      </c>
      <c r="B1635" s="83" t="s">
        <v>9148</v>
      </c>
      <c r="C1635" s="83" t="s">
        <v>68</v>
      </c>
      <c r="D1635" s="112">
        <v>1176915.0</v>
      </c>
      <c r="E1635" s="83"/>
      <c r="F1635" s="83">
        <v>2.9410835E7</v>
      </c>
      <c r="G1635" s="91" t="str">
        <f>IFERROR(__xludf.DUMMYFUNCTION("XLOOKUP(AS1635,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JARDILINA DE SANTANA OLIVEIRA")</f>
        <v>COLÉGIO ESTADUAL DE TEMPO INTEGRAL JARDILINA DE SANTANA OLIVEIRA</v>
      </c>
      <c r="H1635" s="114" t="s">
        <v>9156</v>
      </c>
      <c r="I1635" s="91" t="s">
        <v>9158</v>
      </c>
      <c r="J1635" s="172" t="s">
        <v>149</v>
      </c>
      <c r="K1635" s="83" t="s">
        <v>150</v>
      </c>
      <c r="L1635" s="83" t="s">
        <v>151</v>
      </c>
      <c r="M1635" s="83" t="s">
        <v>152</v>
      </c>
      <c r="N1635" s="98" t="s">
        <v>9161</v>
      </c>
      <c r="O1635" s="98" t="s">
        <v>155</v>
      </c>
      <c r="P1635" s="99" t="str">
        <f>IFERROR(__xludf.DUMMYFUNCTION("IFERROR(VLOOKUP(AS1635,IMPORTRANGE(""https://docs.google.com/spreadsheets/d/1juPI-Fb8LD0YtltB2mlGEnp_R3UVu1t3wSFPzgCyHXE/edit?gid=0#gid=0"",""GERAL!A2:C""),3,0),""-"")"),"-")</f>
        <v>-</v>
      </c>
      <c r="Q1635" s="83"/>
      <c r="R1635" s="83"/>
      <c r="S1635" s="83"/>
      <c r="T1635" s="83"/>
      <c r="U1635" s="83"/>
      <c r="V1635" s="83"/>
      <c r="W1635" s="83"/>
      <c r="X1635" s="83"/>
      <c r="Y1635" s="83"/>
      <c r="Z1635" s="83"/>
      <c r="AA1635" s="83"/>
      <c r="AB1635" s="83"/>
      <c r="AC1635" s="83"/>
      <c r="AD1635" s="83"/>
      <c r="AE1635" s="83"/>
      <c r="AF1635" s="83"/>
      <c r="AG1635" s="83"/>
      <c r="AH1635" s="83"/>
      <c r="AI1635" s="83"/>
      <c r="AJ1635" s="83"/>
      <c r="AK1635" s="83"/>
      <c r="AL1635" s="83"/>
      <c r="AM1635" s="83"/>
      <c r="AN1635" s="83"/>
      <c r="AO1635" s="83"/>
      <c r="AP1635" s="83"/>
      <c r="AQ1635" s="83"/>
      <c r="AR1635" s="83"/>
      <c r="AS1635" s="83">
        <v>1176915.0</v>
      </c>
    </row>
    <row r="1636" ht="15.75" customHeight="1">
      <c r="A1636" s="111" t="s">
        <v>1785</v>
      </c>
      <c r="B1636" s="83" t="s">
        <v>9148</v>
      </c>
      <c r="C1636" s="83" t="s">
        <v>164</v>
      </c>
      <c r="D1636" s="112">
        <v>1176915.0</v>
      </c>
      <c r="E1636" s="83">
        <v>1179024.0</v>
      </c>
      <c r="F1636" s="83"/>
      <c r="G1636" s="91" t="str">
        <f>IFERROR(__xludf.DUMMYFUNCTION("XLOOKUP(AS1636,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DEPUTADO LUIS EDUARDO MAGALHAES - DISTRITO DE JACUIPE")</f>
        <v>ANEXO - COLÉGIO ESTADUAL DEPUTADO LUIS EDUARDO MAGALHAES - DISTRITO DE JACUIPE</v>
      </c>
      <c r="H1636" s="119" t="s">
        <v>9163</v>
      </c>
      <c r="I1636" s="91" t="s">
        <v>9164</v>
      </c>
      <c r="J1636" s="172" t="s">
        <v>9165</v>
      </c>
      <c r="K1636" s="83" t="s">
        <v>2025</v>
      </c>
      <c r="L1636" s="83" t="s">
        <v>168</v>
      </c>
      <c r="M1636" s="83" t="s">
        <v>169</v>
      </c>
      <c r="N1636" s="115" t="s">
        <v>170</v>
      </c>
      <c r="O1636" s="98" t="s">
        <v>155</v>
      </c>
      <c r="P1636" s="99" t="str">
        <f>IFERROR(__xludf.DUMMYFUNCTION("IFERROR(VLOOKUP(AS1636,IMPORTRANGE(""https://docs.google.com/spreadsheets/d/1juPI-Fb8LD0YtltB2mlGEnp_R3UVu1t3wSFPzgCyHXE/edit?gid=0#gid=0"",""GERAL!A2:C""),3,0),""-"")"),"CAMPO")</f>
        <v>CAMPO</v>
      </c>
      <c r="Q1636" s="83"/>
      <c r="R1636" s="83"/>
      <c r="S1636" s="83"/>
      <c r="T1636" s="83"/>
      <c r="U1636" s="83"/>
      <c r="V1636" s="83"/>
      <c r="W1636" s="83"/>
      <c r="X1636" s="83"/>
      <c r="Y1636" s="83"/>
      <c r="Z1636" s="83"/>
      <c r="AA1636" s="83"/>
      <c r="AB1636" s="83"/>
      <c r="AC1636" s="83"/>
      <c r="AD1636" s="83"/>
      <c r="AE1636" s="83"/>
      <c r="AF1636" s="83"/>
      <c r="AG1636" s="83"/>
      <c r="AH1636" s="83"/>
      <c r="AI1636" s="83"/>
      <c r="AJ1636" s="83"/>
      <c r="AK1636" s="83"/>
      <c r="AL1636" s="83"/>
      <c r="AM1636" s="83"/>
      <c r="AN1636" s="83"/>
      <c r="AO1636" s="83"/>
      <c r="AP1636" s="83"/>
      <c r="AQ1636" s="83"/>
      <c r="AR1636" s="83"/>
      <c r="AS1636" s="83">
        <v>1179024.0</v>
      </c>
    </row>
    <row r="1637" ht="15.75" customHeight="1">
      <c r="A1637" s="111" t="s">
        <v>1785</v>
      </c>
      <c r="B1637" s="83" t="s">
        <v>2361</v>
      </c>
      <c r="C1637" s="83" t="s">
        <v>68</v>
      </c>
      <c r="D1637" s="112">
        <v>1103395.0</v>
      </c>
      <c r="E1637" s="83"/>
      <c r="F1637" s="83">
        <v>2.9201853E7</v>
      </c>
      <c r="G1637" s="91" t="str">
        <f>IFERROR(__xludf.DUMMYFUNCTION("XLOOKUP(AS1637,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REGINA SIMOES")</f>
        <v>COLÉGIO ESTADUAL REGINA SIMOES</v>
      </c>
      <c r="H1637" s="184" t="s">
        <v>9172</v>
      </c>
      <c r="I1637" s="91" t="s">
        <v>9174</v>
      </c>
      <c r="J1637" s="512" t="s">
        <v>149</v>
      </c>
      <c r="K1637" s="83" t="s">
        <v>150</v>
      </c>
      <c r="L1637" s="83" t="s">
        <v>151</v>
      </c>
      <c r="M1637" s="83" t="s">
        <v>152</v>
      </c>
      <c r="N1637" s="98" t="s">
        <v>9176</v>
      </c>
      <c r="O1637" s="98" t="s">
        <v>155</v>
      </c>
      <c r="P1637" s="99" t="str">
        <f>IFERROR(__xludf.DUMMYFUNCTION("IFERROR(VLOOKUP(AS1637,IMPORTRANGE(""https://docs.google.com/spreadsheets/d/1juPI-Fb8LD0YtltB2mlGEnp_R3UVu1t3wSFPzgCyHXE/edit?gid=0#gid=0"",""GERAL!A2:C""),3,0),""-"")"),"-")</f>
        <v>-</v>
      </c>
      <c r="Q1637" s="83"/>
      <c r="R1637" s="83"/>
      <c r="S1637" s="83"/>
      <c r="T1637" s="83"/>
      <c r="U1637" s="83"/>
      <c r="V1637" s="83"/>
      <c r="W1637" s="83"/>
      <c r="X1637" s="83"/>
      <c r="Y1637" s="83"/>
      <c r="Z1637" s="83"/>
      <c r="AA1637" s="83"/>
      <c r="AB1637" s="83"/>
      <c r="AC1637" s="83"/>
      <c r="AD1637" s="83"/>
      <c r="AE1637" s="83"/>
      <c r="AF1637" s="83"/>
      <c r="AG1637" s="83"/>
      <c r="AH1637" s="83"/>
      <c r="AI1637" s="83"/>
      <c r="AJ1637" s="83"/>
      <c r="AK1637" s="83"/>
      <c r="AL1637" s="83"/>
      <c r="AM1637" s="83"/>
      <c r="AN1637" s="83"/>
      <c r="AO1637" s="83"/>
      <c r="AP1637" s="83"/>
      <c r="AQ1637" s="83"/>
      <c r="AR1637" s="83"/>
      <c r="AS1637" s="83">
        <v>1103395.0</v>
      </c>
    </row>
    <row r="1638" ht="15.75" customHeight="1">
      <c r="A1638" s="111" t="s">
        <v>1785</v>
      </c>
      <c r="B1638" s="83" t="s">
        <v>2361</v>
      </c>
      <c r="C1638" s="83" t="s">
        <v>68</v>
      </c>
      <c r="D1638" s="112">
        <v>1177009.0</v>
      </c>
      <c r="E1638" s="83"/>
      <c r="F1638" s="83">
        <v>2.940446E7</v>
      </c>
      <c r="G1638" s="91" t="str">
        <f>IFERROR(__xludf.DUMMYFUNCTION("XLOOKUP(AS1638,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MANOEL DE JESUS")</f>
        <v>COLÉGIO ESTADUAL MANOEL DE JESUS</v>
      </c>
      <c r="H1638" s="184" t="s">
        <v>9177</v>
      </c>
      <c r="I1638" s="91" t="s">
        <v>9179</v>
      </c>
      <c r="J1638" s="512" t="s">
        <v>149</v>
      </c>
      <c r="K1638" s="83" t="s">
        <v>150</v>
      </c>
      <c r="L1638" s="83" t="s">
        <v>151</v>
      </c>
      <c r="M1638" s="83" t="s">
        <v>152</v>
      </c>
      <c r="N1638" s="98" t="s">
        <v>9180</v>
      </c>
      <c r="O1638" s="98" t="s">
        <v>155</v>
      </c>
      <c r="P1638" s="99" t="str">
        <f>IFERROR(__xludf.DUMMYFUNCTION("IFERROR(VLOOKUP(AS1638,IMPORTRANGE(""https://docs.google.com/spreadsheets/d/1juPI-Fb8LD0YtltB2mlGEnp_R3UVu1t3wSFPzgCyHXE/edit?gid=0#gid=0"",""GERAL!A2:C""),3,0),""-"")"),"-")</f>
        <v>-</v>
      </c>
      <c r="Q1638" s="83"/>
      <c r="R1638" s="83"/>
      <c r="S1638" s="83"/>
      <c r="T1638" s="83"/>
      <c r="U1638" s="83"/>
      <c r="V1638" s="83"/>
      <c r="W1638" s="83"/>
      <c r="X1638" s="83"/>
      <c r="Y1638" s="83"/>
      <c r="Z1638" s="83"/>
      <c r="AA1638" s="83"/>
      <c r="AB1638" s="83"/>
      <c r="AC1638" s="83"/>
      <c r="AD1638" s="83"/>
      <c r="AE1638" s="83"/>
      <c r="AF1638" s="83"/>
      <c r="AG1638" s="83"/>
      <c r="AH1638" s="83"/>
      <c r="AI1638" s="83"/>
      <c r="AJ1638" s="83"/>
      <c r="AK1638" s="83"/>
      <c r="AL1638" s="83"/>
      <c r="AM1638" s="83"/>
      <c r="AN1638" s="83"/>
      <c r="AO1638" s="83"/>
      <c r="AP1638" s="83"/>
      <c r="AQ1638" s="83"/>
      <c r="AR1638" s="83"/>
      <c r="AS1638" s="83">
        <v>1177009.0</v>
      </c>
    </row>
    <row r="1639" ht="15.75" customHeight="1">
      <c r="A1639" s="111" t="s">
        <v>1785</v>
      </c>
      <c r="B1639" s="83" t="s">
        <v>2361</v>
      </c>
      <c r="C1639" s="83" t="s">
        <v>68</v>
      </c>
      <c r="D1639" s="112">
        <v>1104928.0</v>
      </c>
      <c r="E1639" s="83"/>
      <c r="F1639" s="83">
        <v>2.9201535E7</v>
      </c>
      <c r="G1639" s="91" t="str">
        <f>IFERROR(__xludf.DUMMYFUNCTION("XLOOKUP(AS1639,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LUIZ VIANA FILHO")</f>
        <v>COLÉGIO ESTADUAL DOUTOR LUIZ VIANA FILHO</v>
      </c>
      <c r="H1639" s="184" t="s">
        <v>9181</v>
      </c>
      <c r="I1639" s="91" t="s">
        <v>9182</v>
      </c>
      <c r="J1639" s="512" t="s">
        <v>149</v>
      </c>
      <c r="K1639" s="83" t="s">
        <v>9183</v>
      </c>
      <c r="L1639" s="83" t="s">
        <v>151</v>
      </c>
      <c r="M1639" s="83" t="s">
        <v>76</v>
      </c>
      <c r="N1639" s="98" t="s">
        <v>9184</v>
      </c>
      <c r="O1639" s="98" t="s">
        <v>155</v>
      </c>
      <c r="P1639" s="99" t="str">
        <f>IFERROR(__xludf.DUMMYFUNCTION("IFERROR(VLOOKUP(AS1639,IMPORTRANGE(""https://docs.google.com/spreadsheets/d/1juPI-Fb8LD0YtltB2mlGEnp_R3UVu1t3wSFPzgCyHXE/edit?gid=0#gid=0"",""GERAL!A2:C""),3,0),""-"")"),"CAMPO")</f>
        <v>CAMPO</v>
      </c>
      <c r="Q1639" s="83"/>
      <c r="R1639" s="83"/>
      <c r="S1639" s="83"/>
      <c r="T1639" s="83"/>
      <c r="U1639" s="83"/>
      <c r="V1639" s="83"/>
      <c r="W1639" s="83"/>
      <c r="X1639" s="83"/>
      <c r="Y1639" s="83"/>
      <c r="Z1639" s="83"/>
      <c r="AA1639" s="83"/>
      <c r="AB1639" s="83"/>
      <c r="AC1639" s="83"/>
      <c r="AD1639" s="83"/>
      <c r="AE1639" s="83"/>
      <c r="AF1639" s="83"/>
      <c r="AG1639" s="83"/>
      <c r="AH1639" s="83"/>
      <c r="AI1639" s="83"/>
      <c r="AJ1639" s="83"/>
      <c r="AK1639" s="83"/>
      <c r="AL1639" s="83"/>
      <c r="AM1639" s="83"/>
      <c r="AN1639" s="83"/>
      <c r="AO1639" s="83"/>
      <c r="AP1639" s="83"/>
      <c r="AQ1639" s="83"/>
      <c r="AR1639" s="83"/>
      <c r="AS1639" s="83">
        <v>1104928.0</v>
      </c>
    </row>
    <row r="1640" ht="15.75" customHeight="1">
      <c r="A1640" s="111" t="s">
        <v>1785</v>
      </c>
      <c r="B1640" s="83" t="s">
        <v>2361</v>
      </c>
      <c r="C1640" s="83" t="s">
        <v>68</v>
      </c>
      <c r="D1640" s="112">
        <v>1100930.0</v>
      </c>
      <c r="E1640" s="83"/>
      <c r="F1640" s="83">
        <v>2.9201527E7</v>
      </c>
      <c r="G1640" s="91" t="str">
        <f>IFERROR(__xludf.DUMMYFUNCTION("XLOOKUP(AS1640,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DOUTOR BERLINDO MAMEDE DE OLIVEIRA")</f>
        <v>COLÉGIO ESTADUAL DOUTOR BERLINDO MAMEDE DE OLIVEIRA</v>
      </c>
      <c r="H1640" s="184" t="s">
        <v>9185</v>
      </c>
      <c r="I1640" s="91" t="s">
        <v>9186</v>
      </c>
      <c r="J1640" s="512" t="s">
        <v>9188</v>
      </c>
      <c r="K1640" s="83" t="s">
        <v>150</v>
      </c>
      <c r="L1640" s="83" t="s">
        <v>151</v>
      </c>
      <c r="M1640" s="83" t="s">
        <v>76</v>
      </c>
      <c r="N1640" s="98" t="s">
        <v>9189</v>
      </c>
      <c r="O1640" s="98" t="s">
        <v>155</v>
      </c>
      <c r="P1640" s="99" t="str">
        <f>IFERROR(__xludf.DUMMYFUNCTION("IFERROR(VLOOKUP(AS1640,IMPORTRANGE(""https://docs.google.com/spreadsheets/d/1juPI-Fb8LD0YtltB2mlGEnp_R3UVu1t3wSFPzgCyHXE/edit?gid=0#gid=0"",""GERAL!A2:C""),3,0),""-"")"),"-")</f>
        <v>-</v>
      </c>
      <c r="Q1640" s="83"/>
      <c r="R1640" s="83"/>
      <c r="S1640" s="83"/>
      <c r="T1640" s="83"/>
      <c r="U1640" s="83"/>
      <c r="V1640" s="83"/>
      <c r="W1640" s="83"/>
      <c r="X1640" s="83"/>
      <c r="Y1640" s="83"/>
      <c r="Z1640" s="83"/>
      <c r="AA1640" s="83"/>
      <c r="AB1640" s="83"/>
      <c r="AC1640" s="83"/>
      <c r="AD1640" s="83"/>
      <c r="AE1640" s="83"/>
      <c r="AF1640" s="83"/>
      <c r="AG1640" s="83"/>
      <c r="AH1640" s="83"/>
      <c r="AI1640" s="83"/>
      <c r="AJ1640" s="83"/>
      <c r="AK1640" s="83"/>
      <c r="AL1640" s="83"/>
      <c r="AM1640" s="83"/>
      <c r="AN1640" s="83"/>
      <c r="AO1640" s="83"/>
      <c r="AP1640" s="83"/>
      <c r="AQ1640" s="83"/>
      <c r="AR1640" s="83"/>
      <c r="AS1640" s="83">
        <v>1100930.0</v>
      </c>
    </row>
    <row r="1641" ht="15.75" customHeight="1">
      <c r="A1641" s="111" t="s">
        <v>1785</v>
      </c>
      <c r="B1641" s="83" t="s">
        <v>2361</v>
      </c>
      <c r="C1641" s="83" t="s">
        <v>68</v>
      </c>
      <c r="D1641" s="112">
        <v>1103000.0</v>
      </c>
      <c r="E1641" s="83"/>
      <c r="F1641" s="83">
        <v>2.9201063E7</v>
      </c>
      <c r="G1641" s="91" t="str">
        <f>IFERROR(__xludf.DUMMYFUNCTION("XLOOKUP(AS1641,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REITOR MIGUEL CALMON")</f>
        <v>COLÉGIO ESTADUAL DE TEMPO INTEGRAL REITOR MIGUEL CALMON</v>
      </c>
      <c r="H1641" s="184" t="s">
        <v>9190</v>
      </c>
      <c r="I1641" s="91" t="s">
        <v>9191</v>
      </c>
      <c r="J1641" s="512" t="s">
        <v>9188</v>
      </c>
      <c r="K1641" s="83" t="s">
        <v>150</v>
      </c>
      <c r="L1641" s="83" t="s">
        <v>151</v>
      </c>
      <c r="M1641" s="83" t="s">
        <v>230</v>
      </c>
      <c r="N1641" s="98" t="s">
        <v>9192</v>
      </c>
      <c r="O1641" s="98" t="s">
        <v>155</v>
      </c>
      <c r="P1641" s="99" t="str">
        <f>IFERROR(__xludf.DUMMYFUNCTION("IFERROR(VLOOKUP(AS1641,IMPORTRANGE(""https://docs.google.com/spreadsheets/d/1juPI-Fb8LD0YtltB2mlGEnp_R3UVu1t3wSFPzgCyHXE/edit?gid=0#gid=0"",""GERAL!A2:C""),3,0),""-"")"),"-")</f>
        <v>-</v>
      </c>
      <c r="Q1641" s="83"/>
      <c r="R1641" s="83"/>
      <c r="S1641" s="83"/>
      <c r="T1641" s="83"/>
      <c r="U1641" s="83"/>
      <c r="V1641" s="83"/>
      <c r="W1641" s="83"/>
      <c r="X1641" s="83"/>
      <c r="Y1641" s="83"/>
      <c r="Z1641" s="83"/>
      <c r="AA1641" s="83"/>
      <c r="AB1641" s="83"/>
      <c r="AC1641" s="83"/>
      <c r="AD1641" s="83"/>
      <c r="AE1641" s="83"/>
      <c r="AF1641" s="83"/>
      <c r="AG1641" s="83"/>
      <c r="AH1641" s="83"/>
      <c r="AI1641" s="83"/>
      <c r="AJ1641" s="83"/>
      <c r="AK1641" s="83"/>
      <c r="AL1641" s="83"/>
      <c r="AM1641" s="83"/>
      <c r="AN1641" s="83"/>
      <c r="AO1641" s="83"/>
      <c r="AP1641" s="83"/>
      <c r="AQ1641" s="83"/>
      <c r="AR1641" s="83"/>
      <c r="AS1641" s="83">
        <v>1103000.0</v>
      </c>
    </row>
    <row r="1642" ht="15.75" customHeight="1">
      <c r="A1642" s="111" t="s">
        <v>1785</v>
      </c>
      <c r="B1642" s="83" t="s">
        <v>2361</v>
      </c>
      <c r="C1642" s="83" t="s">
        <v>68</v>
      </c>
      <c r="D1642" s="112">
        <v>1104723.0</v>
      </c>
      <c r="E1642" s="83"/>
      <c r="F1642" s="83">
        <v>2.9201373E7</v>
      </c>
      <c r="G1642" s="91" t="str">
        <f>IFERROR(__xludf.DUMMYFUNCTION("XLOOKUP(AS1642,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ARATU (ANTIGO POLIVALENTE)")</f>
        <v>COLÉGIO ESTADUAL DE TEMPO INTEGRAL DE ARATU (ANTIGO POLIVALENTE)</v>
      </c>
      <c r="H1642" s="184" t="s">
        <v>9194</v>
      </c>
      <c r="I1642" s="91" t="s">
        <v>9195</v>
      </c>
      <c r="J1642" s="512" t="s">
        <v>9196</v>
      </c>
      <c r="K1642" s="83" t="s">
        <v>150</v>
      </c>
      <c r="L1642" s="83" t="s">
        <v>1022</v>
      </c>
      <c r="M1642" s="83" t="s">
        <v>152</v>
      </c>
      <c r="N1642" s="98" t="s">
        <v>9197</v>
      </c>
      <c r="O1642" s="98" t="s">
        <v>155</v>
      </c>
      <c r="P1642" s="99" t="str">
        <f>IFERROR(__xludf.DUMMYFUNCTION("IFERROR(VLOOKUP(AS1642,IMPORTRANGE(""https://docs.google.com/spreadsheets/d/1juPI-Fb8LD0YtltB2mlGEnp_R3UVu1t3wSFPzgCyHXE/edit?gid=0#gid=0"",""GERAL!A2:C""),3,0),""-"")"),"-")</f>
        <v>-</v>
      </c>
      <c r="Q1642" s="83"/>
      <c r="R1642" s="83"/>
      <c r="S1642" s="83"/>
      <c r="T1642" s="83"/>
      <c r="U1642" s="83"/>
      <c r="V1642" s="83"/>
      <c r="W1642" s="83"/>
      <c r="X1642" s="83"/>
      <c r="Y1642" s="83"/>
      <c r="Z1642" s="83"/>
      <c r="AA1642" s="83"/>
      <c r="AB1642" s="83"/>
      <c r="AC1642" s="83"/>
      <c r="AD1642" s="83"/>
      <c r="AE1642" s="83"/>
      <c r="AF1642" s="83"/>
      <c r="AG1642" s="83"/>
      <c r="AH1642" s="83"/>
      <c r="AI1642" s="83"/>
      <c r="AJ1642" s="83"/>
      <c r="AK1642" s="83"/>
      <c r="AL1642" s="83"/>
      <c r="AM1642" s="83"/>
      <c r="AN1642" s="83"/>
      <c r="AO1642" s="83"/>
      <c r="AP1642" s="83"/>
      <c r="AQ1642" s="83"/>
      <c r="AR1642" s="83"/>
      <c r="AS1642" s="83">
        <v>1104723.0</v>
      </c>
    </row>
    <row r="1643" ht="15.75" customHeight="1">
      <c r="A1643" s="111" t="s">
        <v>1785</v>
      </c>
      <c r="B1643" s="83" t="s">
        <v>2361</v>
      </c>
      <c r="C1643" s="83" t="s">
        <v>68</v>
      </c>
      <c r="D1643" s="112">
        <v>1100159.0</v>
      </c>
      <c r="E1643" s="83"/>
      <c r="F1643" s="83">
        <v>2.920139E7</v>
      </c>
      <c r="G1643" s="91" t="str">
        <f>IFERROR(__xludf.DUMMYFUNCTION("XLOOKUP(AS1643,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ALBERTO SILVA")</f>
        <v>COLÉGIO ESTADUAL DE TEMPO INTEGRAL ALBERTO SILVA</v>
      </c>
      <c r="H1643" s="184" t="s">
        <v>9198</v>
      </c>
      <c r="I1643" s="91" t="s">
        <v>9199</v>
      </c>
      <c r="J1643" s="83" t="s">
        <v>149</v>
      </c>
      <c r="K1643" s="83" t="s">
        <v>150</v>
      </c>
      <c r="L1643" s="83" t="s">
        <v>151</v>
      </c>
      <c r="M1643" s="83" t="s">
        <v>230</v>
      </c>
      <c r="N1643" s="98" t="s">
        <v>9184</v>
      </c>
      <c r="O1643" s="98" t="s">
        <v>155</v>
      </c>
      <c r="P1643" s="99" t="str">
        <f>IFERROR(__xludf.DUMMYFUNCTION("IFERROR(VLOOKUP(AS1643,IMPORTRANGE(""https://docs.google.com/spreadsheets/d/1juPI-Fb8LD0YtltB2mlGEnp_R3UVu1t3wSFPzgCyHXE/edit?gid=0#gid=0"",""GERAL!A2:C""),3,0),""-"")"),"-")</f>
        <v>-</v>
      </c>
      <c r="Q1643" s="83"/>
      <c r="R1643" s="83"/>
      <c r="S1643" s="83"/>
      <c r="T1643" s="83"/>
      <c r="U1643" s="83"/>
      <c r="V1643" s="83"/>
      <c r="W1643" s="83"/>
      <c r="X1643" s="83"/>
      <c r="Y1643" s="83"/>
      <c r="Z1643" s="83"/>
      <c r="AA1643" s="83"/>
      <c r="AB1643" s="83"/>
      <c r="AC1643" s="83"/>
      <c r="AD1643" s="83"/>
      <c r="AE1643" s="83"/>
      <c r="AF1643" s="83"/>
      <c r="AG1643" s="83"/>
      <c r="AH1643" s="83"/>
      <c r="AI1643" s="83"/>
      <c r="AJ1643" s="83"/>
      <c r="AK1643" s="83"/>
      <c r="AL1643" s="83"/>
      <c r="AM1643" s="83"/>
      <c r="AN1643" s="83"/>
      <c r="AO1643" s="83"/>
      <c r="AP1643" s="83"/>
      <c r="AQ1643" s="83"/>
      <c r="AR1643" s="83"/>
      <c r="AS1643" s="83">
        <v>1100159.0</v>
      </c>
    </row>
    <row r="1644" ht="15.75" customHeight="1">
      <c r="A1644" s="111" t="s">
        <v>1785</v>
      </c>
      <c r="B1644" s="83" t="s">
        <v>2361</v>
      </c>
      <c r="C1644" s="83" t="s">
        <v>68</v>
      </c>
      <c r="D1644" s="112">
        <v>1100655.0</v>
      </c>
      <c r="E1644" s="83"/>
      <c r="F1644" s="83">
        <v>2.9201608E7</v>
      </c>
      <c r="G1644" s="91" t="str">
        <f>IFERROR(__xludf.DUMMYFUNCTION("XLOOKUP(AS1644,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ARATU")</f>
        <v>COLÉGIO ESTADUAL DE ARATU</v>
      </c>
      <c r="H1644" s="184" t="s">
        <v>9201</v>
      </c>
      <c r="I1644" s="91" t="s">
        <v>9202</v>
      </c>
      <c r="J1644" s="512" t="s">
        <v>9203</v>
      </c>
      <c r="K1644" s="83" t="s">
        <v>150</v>
      </c>
      <c r="L1644" s="83" t="s">
        <v>151</v>
      </c>
      <c r="M1644" s="83" t="s">
        <v>152</v>
      </c>
      <c r="N1644" s="98" t="s">
        <v>9204</v>
      </c>
      <c r="O1644" s="98" t="s">
        <v>155</v>
      </c>
      <c r="P1644" s="99" t="str">
        <f>IFERROR(__xludf.DUMMYFUNCTION("IFERROR(VLOOKUP(AS1644,IMPORTRANGE(""https://docs.google.com/spreadsheets/d/1juPI-Fb8LD0YtltB2mlGEnp_R3UVu1t3wSFPzgCyHXE/edit?gid=0#gid=0"",""GERAL!A2:C""),3,0),""-"")"),"-")</f>
        <v>-</v>
      </c>
      <c r="Q1644" s="83"/>
      <c r="R1644" s="83"/>
      <c r="S1644" s="83"/>
      <c r="T1644" s="83"/>
      <c r="U1644" s="83"/>
      <c r="V1644" s="83"/>
      <c r="W1644" s="83"/>
      <c r="X1644" s="83"/>
      <c r="Y1644" s="83"/>
      <c r="Z1644" s="83"/>
      <c r="AA1644" s="83"/>
      <c r="AB1644" s="83"/>
      <c r="AC1644" s="83"/>
      <c r="AD1644" s="83"/>
      <c r="AE1644" s="83"/>
      <c r="AF1644" s="83"/>
      <c r="AG1644" s="83"/>
      <c r="AH1644" s="83"/>
      <c r="AI1644" s="83"/>
      <c r="AJ1644" s="83"/>
      <c r="AK1644" s="83"/>
      <c r="AL1644" s="83"/>
      <c r="AM1644" s="83"/>
      <c r="AN1644" s="83"/>
      <c r="AO1644" s="83"/>
      <c r="AP1644" s="83"/>
      <c r="AQ1644" s="83"/>
      <c r="AR1644" s="83"/>
      <c r="AS1644" s="83">
        <v>1100655.0</v>
      </c>
    </row>
    <row r="1645" ht="15.75" customHeight="1">
      <c r="A1645" s="111" t="s">
        <v>1785</v>
      </c>
      <c r="B1645" s="83" t="s">
        <v>2361</v>
      </c>
      <c r="C1645" s="83" t="s">
        <v>68</v>
      </c>
      <c r="D1645" s="112">
        <v>1176072.0</v>
      </c>
      <c r="E1645" s="83"/>
      <c r="F1645" s="83">
        <v>2.9201632E7</v>
      </c>
      <c r="G1645" s="91" t="str">
        <f>IFERROR(__xludf.DUMMYFUNCTION("XLOOKUP(AS1645,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EM SERVICOS E PROCESSOS INDUSTRIAIS IRMA DULCE")</f>
        <v>CENTRO ESTADUAL DE EDUCACAO PROFISSIONAL EM SERVICOS E PROCESSOS INDUSTRIAIS IRMA DULCE</v>
      </c>
      <c r="H1645" s="185" t="s">
        <v>9205</v>
      </c>
      <c r="I1645" s="91" t="s">
        <v>9206</v>
      </c>
      <c r="J1645" s="83" t="s">
        <v>9203</v>
      </c>
      <c r="K1645" s="83" t="s">
        <v>150</v>
      </c>
      <c r="L1645" s="83" t="s">
        <v>151</v>
      </c>
      <c r="M1645" s="83" t="s">
        <v>230</v>
      </c>
      <c r="N1645" s="98" t="s">
        <v>9207</v>
      </c>
      <c r="O1645" s="98" t="s">
        <v>155</v>
      </c>
      <c r="P1645" s="99" t="str">
        <f>IFERROR(__xludf.DUMMYFUNCTION("IFERROR(VLOOKUP(AS1645,IMPORTRANGE(""https://docs.google.com/spreadsheets/d/1juPI-Fb8LD0YtltB2mlGEnp_R3UVu1t3wSFPzgCyHXE/edit?gid=0#gid=0"",""GERAL!A2:C""),3,0),""-"")"),"-")</f>
        <v>-</v>
      </c>
      <c r="Q1645" s="83"/>
      <c r="R1645" s="83"/>
      <c r="S1645" s="83"/>
      <c r="T1645" s="83"/>
      <c r="U1645" s="83"/>
      <c r="V1645" s="83"/>
      <c r="W1645" s="83"/>
      <c r="X1645" s="83"/>
      <c r="Y1645" s="83"/>
      <c r="Z1645" s="83"/>
      <c r="AA1645" s="83"/>
      <c r="AB1645" s="83"/>
      <c r="AC1645" s="83"/>
      <c r="AD1645" s="83"/>
      <c r="AE1645" s="83"/>
      <c r="AF1645" s="83"/>
      <c r="AG1645" s="83"/>
      <c r="AH1645" s="83"/>
      <c r="AI1645" s="83"/>
      <c r="AJ1645" s="83"/>
      <c r="AK1645" s="83"/>
      <c r="AL1645" s="83"/>
      <c r="AM1645" s="83"/>
      <c r="AN1645" s="83"/>
      <c r="AO1645" s="83"/>
      <c r="AP1645" s="83"/>
      <c r="AQ1645" s="83"/>
      <c r="AR1645" s="83"/>
      <c r="AS1645" s="83">
        <v>1176072.0</v>
      </c>
    </row>
    <row r="1646" ht="15.75" customHeight="1">
      <c r="A1646" s="111" t="s">
        <v>1785</v>
      </c>
      <c r="B1646" s="83" t="s">
        <v>2361</v>
      </c>
      <c r="C1646" s="83" t="s">
        <v>68</v>
      </c>
      <c r="D1646" s="112">
        <v>1144520.0</v>
      </c>
      <c r="E1646" s="83"/>
      <c r="F1646" s="83">
        <v>2.920102E7</v>
      </c>
      <c r="G1646" s="91" t="str">
        <f>IFERROR(__xludf.DUMMYFUNCTION("XLOOKUP(AS1646,
IMPORTRANGE(""https://docs.google.com/spreadsheets/d/1YM-djuOLXomrZ9W0B4TyIBsVWnXY4EIOFD9HY-qGfv0/edit?usp=sharing"",""GERAL!BG5:BG""),
IMPORTRANGE(""https://docs.google.com/spreadsheets/d/1YM-djuOLXomrZ9W0B4TyIBsVWnXY4EIOFD9HY-qGfv0/edit?"&amp;"usp=sharing"",""GERAL!G5:G""),
""CÓD. SEC NÃO ENCONTRADO NA PLANILHA DE MATRÍCULA"")"),"CENTRO EDUCACIONAL SANTO ANTONIO")</f>
        <v>CENTRO EDUCACIONAL SANTO ANTONIO</v>
      </c>
      <c r="H1646" s="185" t="s">
        <v>9210</v>
      </c>
      <c r="I1646" s="91" t="s">
        <v>9211</v>
      </c>
      <c r="J1646" s="83" t="s">
        <v>149</v>
      </c>
      <c r="K1646" s="83" t="s">
        <v>150</v>
      </c>
      <c r="L1646" s="83" t="s">
        <v>168</v>
      </c>
      <c r="M1646" s="83" t="s">
        <v>76</v>
      </c>
      <c r="N1646" s="98" t="s">
        <v>9213</v>
      </c>
      <c r="O1646" s="98" t="s">
        <v>155</v>
      </c>
      <c r="P1646" s="99" t="str">
        <f>IFERROR(__xludf.DUMMYFUNCTION("IFERROR(VLOOKUP(AS1646,IMPORTRANGE(""https://docs.google.com/spreadsheets/d/1juPI-Fb8LD0YtltB2mlGEnp_R3UVu1t3wSFPzgCyHXE/edit?gid=0#gid=0"",""GERAL!A2:C""),3,0),""-"")"),"-")</f>
        <v>-</v>
      </c>
      <c r="Q1646" s="83"/>
      <c r="R1646" s="83"/>
      <c r="S1646" s="83"/>
      <c r="T1646" s="83"/>
      <c r="U1646" s="83"/>
      <c r="V1646" s="83"/>
      <c r="W1646" s="83"/>
      <c r="X1646" s="83"/>
      <c r="Y1646" s="83"/>
      <c r="Z1646" s="83"/>
      <c r="AA1646" s="83"/>
      <c r="AB1646" s="83"/>
      <c r="AC1646" s="83"/>
      <c r="AD1646" s="83"/>
      <c r="AE1646" s="83"/>
      <c r="AF1646" s="83"/>
      <c r="AG1646" s="83"/>
      <c r="AH1646" s="83"/>
      <c r="AI1646" s="83"/>
      <c r="AJ1646" s="83"/>
      <c r="AK1646" s="83"/>
      <c r="AL1646" s="83"/>
      <c r="AM1646" s="83"/>
      <c r="AN1646" s="83"/>
      <c r="AO1646" s="83"/>
      <c r="AP1646" s="83"/>
      <c r="AQ1646" s="83"/>
      <c r="AR1646" s="83"/>
      <c r="AS1646" s="83">
        <v>1144520.0</v>
      </c>
    </row>
    <row r="1647" ht="15.75" customHeight="1">
      <c r="A1647" s="111" t="s">
        <v>1785</v>
      </c>
      <c r="B1647" s="83" t="s">
        <v>2361</v>
      </c>
      <c r="C1647" s="98" t="s">
        <v>164</v>
      </c>
      <c r="D1647" s="112">
        <v>1176189.0</v>
      </c>
      <c r="E1647" s="98">
        <v>1179838.0</v>
      </c>
      <c r="F1647" s="112"/>
      <c r="G1647" s="91" t="str">
        <f>IFERROR(__xludf.DUMMYFUNCTION("XLOOKUP(AS1647,
IMPORTRANGE(""https://docs.google.com/spreadsheets/d/1YM-djuOLXomrZ9W0B4TyIBsVWnXY4EIOFD9HY-qGfv0/edit?usp=sharing"",""GERAL!BG5:BG""),
IMPORTRANGE(""https://docs.google.com/spreadsheets/d/1YM-djuOLXomrZ9W0B4TyIBsVWnXY4EIOFD9HY-qGfv0/edit?"&amp;"usp=sharing"",""GERAL!G5:G""),
""CÓD. SEC NÃO ENCONTRADO NA PLANILHA DE MATRÍCULA"")"),"CÓD. SEC NÃO ENCONTRADO NA PLANILHA DE MATRÍCULA")</f>
        <v>CÓD. SEC NÃO ENCONTRADO NA PLANILHA DE MATRÍCULA</v>
      </c>
      <c r="H1647" s="119" t="s">
        <v>2540</v>
      </c>
      <c r="I1647" s="108" t="s">
        <v>9219</v>
      </c>
      <c r="J1647" s="98" t="s">
        <v>3124</v>
      </c>
      <c r="K1647" s="83"/>
      <c r="L1647" s="98" t="s">
        <v>168</v>
      </c>
      <c r="M1647" s="98" t="s">
        <v>512</v>
      </c>
      <c r="N1647" s="115" t="s">
        <v>170</v>
      </c>
      <c r="O1647" s="98"/>
      <c r="P1647" s="99" t="str">
        <f>IFERROR(__xludf.DUMMYFUNCTION("IFERROR(VLOOKUP(AS1647,IMPORTRANGE(""https://docs.google.com/spreadsheets/d/1juPI-Fb8LD0YtltB2mlGEnp_R3UVu1t3wSFPzgCyHXE/edit?gid=0#gid=0"",""GERAL!A2:C""),3,0),""-"")"),"-")</f>
        <v>-</v>
      </c>
      <c r="Q1647" s="98"/>
      <c r="R1647" s="98"/>
      <c r="S1647" s="98"/>
      <c r="T1647" s="98"/>
      <c r="U1647" s="98"/>
      <c r="V1647" s="98"/>
      <c r="W1647" s="98"/>
      <c r="X1647" s="98"/>
      <c r="Y1647" s="98"/>
      <c r="Z1647" s="98"/>
      <c r="AA1647" s="98"/>
      <c r="AB1647" s="98"/>
      <c r="AC1647" s="98"/>
      <c r="AD1647" s="98"/>
      <c r="AE1647" s="98"/>
      <c r="AF1647" s="98"/>
      <c r="AG1647" s="98"/>
      <c r="AH1647" s="98"/>
      <c r="AI1647" s="98"/>
      <c r="AJ1647" s="98"/>
      <c r="AK1647" s="98"/>
      <c r="AL1647" s="98"/>
      <c r="AM1647" s="98"/>
      <c r="AN1647" s="98"/>
      <c r="AO1647" s="98"/>
      <c r="AP1647" s="98"/>
      <c r="AQ1647" s="98"/>
      <c r="AR1647" s="98"/>
      <c r="AS1647" s="98">
        <v>1179838.0</v>
      </c>
    </row>
    <row r="1648" ht="15.75" customHeight="1">
      <c r="A1648" s="111" t="s">
        <v>1785</v>
      </c>
      <c r="B1648" s="83" t="s">
        <v>2361</v>
      </c>
      <c r="C1648" s="83" t="s">
        <v>164</v>
      </c>
      <c r="D1648" s="112">
        <v>1104928.0</v>
      </c>
      <c r="E1648" s="83">
        <v>1178433.0</v>
      </c>
      <c r="F1648" s="83"/>
      <c r="G1648" s="91" t="str">
        <f>IFERROR(__xludf.DUMMYFUNCTION("XLOOKUP(AS1648,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COLÉGIO ESTADUAL DOUTOR LUIZ VIANA FILHO - CHACARA DOS PALMARES")</f>
        <v>ANEXO DO COLÉGIO ESTADUAL DOUTOR LUIZ VIANA FILHO - CHACARA DOS PALMARES</v>
      </c>
      <c r="H1648" s="184" t="s">
        <v>9225</v>
      </c>
      <c r="I1648" s="91" t="s">
        <v>9227</v>
      </c>
      <c r="J1648" s="512" t="s">
        <v>149</v>
      </c>
      <c r="K1648" s="83" t="s">
        <v>2704</v>
      </c>
      <c r="L1648" s="83" t="s">
        <v>168</v>
      </c>
      <c r="M1648" s="83" t="s">
        <v>169</v>
      </c>
      <c r="N1648" s="115" t="s">
        <v>170</v>
      </c>
      <c r="O1648" s="98" t="s">
        <v>155</v>
      </c>
      <c r="P1648" s="99" t="str">
        <f>IFERROR(__xludf.DUMMYFUNCTION("IFERROR(VLOOKUP(AS1648,IMPORTRANGE(""https://docs.google.com/spreadsheets/d/1juPI-Fb8LD0YtltB2mlGEnp_R3UVu1t3wSFPzgCyHXE/edit?gid=0#gid=0"",""GERAL!A2:C""),3,0),""-"")"),"CAMPO")</f>
        <v>CAMPO</v>
      </c>
      <c r="Q1648" s="83"/>
      <c r="R1648" s="83"/>
      <c r="S1648" s="83"/>
      <c r="T1648" s="83"/>
      <c r="U1648" s="83"/>
      <c r="V1648" s="83"/>
      <c r="W1648" s="83"/>
      <c r="X1648" s="83"/>
      <c r="Y1648" s="83"/>
      <c r="Z1648" s="83"/>
      <c r="AA1648" s="83"/>
      <c r="AB1648" s="83"/>
      <c r="AC1648" s="83"/>
      <c r="AD1648" s="83"/>
      <c r="AE1648" s="83"/>
      <c r="AF1648" s="83"/>
      <c r="AG1648" s="83"/>
      <c r="AH1648" s="83"/>
      <c r="AI1648" s="83"/>
      <c r="AJ1648" s="83"/>
      <c r="AK1648" s="83"/>
      <c r="AL1648" s="83"/>
      <c r="AM1648" s="83"/>
      <c r="AN1648" s="83"/>
      <c r="AO1648" s="83"/>
      <c r="AP1648" s="83"/>
      <c r="AQ1648" s="83"/>
      <c r="AR1648" s="83"/>
      <c r="AS1648" s="83">
        <v>1178433.0</v>
      </c>
    </row>
    <row r="1649" ht="15.75" customHeight="1">
      <c r="A1649" s="111" t="s">
        <v>1785</v>
      </c>
      <c r="B1649" s="83" t="s">
        <v>2361</v>
      </c>
      <c r="C1649" s="83" t="s">
        <v>164</v>
      </c>
      <c r="D1649" s="112">
        <v>1100930.0</v>
      </c>
      <c r="E1649" s="83">
        <v>1178573.0</v>
      </c>
      <c r="F1649" s="83"/>
      <c r="G1649" s="91" t="str">
        <f>IFERROR(__xludf.DUMMYFUNCTION("XLOOKUP(AS1649,
IMPORTRANGE(""https://docs.google.com/spreadsheets/d/1YM-djuOLXomrZ9W0B4TyIBsVWnXY4EIOFD9HY-qGfv0/edit?usp=sharing"",""GERAL!BG5:BG""),
IMPORTRANGE(""https://docs.google.com/spreadsheets/d/1YM-djuOLXomrZ9W0B4TyIBsVWnXY4EIOFD9HY-qGfv0/edit?"&amp;"usp=sharing"",""GERAL!G5:G""),
""CÓD. SEC NÃO ENCONTRADO NA PLANILHA DE MATRÍCULA"")"),"ANEXO DO COLÉGIO ESTADUAL DOUTOR BERLINDO MAMEDE DE OLIVEIRA - COLONIA PENAL")</f>
        <v>ANEXO DO COLÉGIO ESTADUAL DOUTOR BERLINDO MAMEDE DE OLIVEIRA - COLONIA PENAL</v>
      </c>
      <c r="H1649" s="184" t="s">
        <v>9231</v>
      </c>
      <c r="I1649" s="91" t="s">
        <v>9232</v>
      </c>
      <c r="J1649" s="512" t="s">
        <v>3124</v>
      </c>
      <c r="K1649" s="83" t="s">
        <v>150</v>
      </c>
      <c r="L1649" s="83" t="s">
        <v>168</v>
      </c>
      <c r="M1649" s="83" t="s">
        <v>169</v>
      </c>
      <c r="N1649" s="115" t="s">
        <v>170</v>
      </c>
      <c r="O1649" s="98" t="s">
        <v>155</v>
      </c>
      <c r="P1649" s="99" t="str">
        <f>IFERROR(__xludf.DUMMYFUNCTION("IFERROR(VLOOKUP(AS1649,IMPORTRANGE(""https://docs.google.com/spreadsheets/d/1juPI-Fb8LD0YtltB2mlGEnp_R3UVu1t3wSFPzgCyHXE/edit?gid=0#gid=0"",""GERAL!A2:C""),3,0),""-"")"),"-")</f>
        <v>-</v>
      </c>
      <c r="Q1649" s="83"/>
      <c r="R1649" s="83"/>
      <c r="S1649" s="83"/>
      <c r="T1649" s="83"/>
      <c r="U1649" s="83"/>
      <c r="V1649" s="83"/>
      <c r="W1649" s="83"/>
      <c r="X1649" s="83"/>
      <c r="Y1649" s="83"/>
      <c r="Z1649" s="83"/>
      <c r="AA1649" s="83"/>
      <c r="AB1649" s="83"/>
      <c r="AC1649" s="83"/>
      <c r="AD1649" s="83"/>
      <c r="AE1649" s="83"/>
      <c r="AF1649" s="83"/>
      <c r="AG1649" s="83"/>
      <c r="AH1649" s="83"/>
      <c r="AI1649" s="83"/>
      <c r="AJ1649" s="83"/>
      <c r="AK1649" s="83"/>
      <c r="AL1649" s="83"/>
      <c r="AM1649" s="83"/>
      <c r="AN1649" s="83"/>
      <c r="AO1649" s="83"/>
      <c r="AP1649" s="83"/>
      <c r="AQ1649" s="83"/>
      <c r="AR1649" s="83"/>
      <c r="AS1649" s="83">
        <v>1178573.0</v>
      </c>
    </row>
    <row r="1650" ht="15.75" customHeight="1">
      <c r="A1650" s="127" t="s">
        <v>1785</v>
      </c>
      <c r="B1650" s="98" t="s">
        <v>2361</v>
      </c>
      <c r="C1650" s="98" t="s">
        <v>164</v>
      </c>
      <c r="D1650" s="98">
        <v>1104600.0</v>
      </c>
      <c r="E1650" s="98">
        <v>1179835.0</v>
      </c>
      <c r="F1650" s="83"/>
      <c r="G1650" s="91" t="str">
        <f>IFERROR(__xludf.DUMMYFUNCTION("XLOOKUP(AS1650,
IMPORTRANGE(""https://docs.google.com/spreadsheets/d/1YM-djuOLXomrZ9W0B4TyIBsVWnXY4EIOFD9HY-qGfv0/edit?usp=sharing"",""GERAL!BG5:BG""),
IMPORTRANGE(""https://docs.google.com/spreadsheets/d/1YM-djuOLXomrZ9W0B4TyIBsVWnXY4EIOFD9HY-qGfv0/edit?"&amp;"usp=sharing"",""GERAL!G5:G""),
""CÓD. SEC NÃO ENCONTRADO NA PLANILHA DE MATRÍCULA"")"),"ANEXO AO COLEGIO ESTADUAL DE TEMPO INTEGRAL PROFESSOR PEDRO PAULO MARQUES E MARQUES CASE
")</f>
        <v>ANEXO AO COLEGIO ESTADUAL DE TEMPO INTEGRAL PROFESSOR PEDRO PAULO MARQUES E MARQUES CASE
</v>
      </c>
      <c r="H1650" s="119" t="s">
        <v>9234</v>
      </c>
      <c r="I1650" s="108" t="s">
        <v>9235</v>
      </c>
      <c r="J1650" s="83"/>
      <c r="K1650" s="83"/>
      <c r="L1650" s="98" t="s">
        <v>151</v>
      </c>
      <c r="M1650" s="83" t="s">
        <v>512</v>
      </c>
      <c r="N1650" s="115" t="s">
        <v>170</v>
      </c>
      <c r="O1650" s="98"/>
      <c r="P1650" s="99" t="str">
        <f>IFERROR(__xludf.DUMMYFUNCTION("IFERROR(VLOOKUP(AS1650,IMPORTRANGE(""https://docs.google.com/spreadsheets/d/1juPI-Fb8LD0YtltB2mlGEnp_R3UVu1t3wSFPzgCyHXE/edit?gid=0#gid=0"",""GERAL!A2:C""),3,0),""-"")"),"-")</f>
        <v>-</v>
      </c>
      <c r="Q1650" s="98"/>
      <c r="R1650" s="98"/>
      <c r="S1650" s="98"/>
      <c r="T1650" s="98"/>
      <c r="U1650" s="98"/>
      <c r="V1650" s="98"/>
      <c r="W1650" s="98"/>
      <c r="X1650" s="98"/>
      <c r="Y1650" s="98"/>
      <c r="Z1650" s="98"/>
      <c r="AA1650" s="98"/>
      <c r="AB1650" s="98"/>
      <c r="AC1650" s="98"/>
      <c r="AD1650" s="98"/>
      <c r="AE1650" s="98"/>
      <c r="AF1650" s="98"/>
      <c r="AG1650" s="98"/>
      <c r="AH1650" s="98"/>
      <c r="AI1650" s="98"/>
      <c r="AJ1650" s="98"/>
      <c r="AK1650" s="98"/>
      <c r="AL1650" s="98"/>
      <c r="AM1650" s="98"/>
      <c r="AN1650" s="98"/>
      <c r="AO1650" s="98"/>
      <c r="AP1650" s="98"/>
      <c r="AQ1650" s="98"/>
      <c r="AR1650" s="98"/>
      <c r="AS1650" s="98">
        <v>1179835.0</v>
      </c>
    </row>
    <row r="1651" ht="15.75" customHeight="1">
      <c r="A1651" s="111" t="s">
        <v>1785</v>
      </c>
      <c r="B1651" s="83" t="s">
        <v>9236</v>
      </c>
      <c r="C1651" s="83" t="s">
        <v>68</v>
      </c>
      <c r="D1651" s="112">
        <v>1102410.0</v>
      </c>
      <c r="E1651" s="83"/>
      <c r="F1651" s="83">
        <v>2.9202493E7</v>
      </c>
      <c r="G1651" s="91" t="str">
        <f>IFERROR(__xludf.DUMMYFUNCTION("XLOOKUP(AS1651,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JURACY MAGALHAES JUNIOR-DISTRITO DE CACHA PREGOS")</f>
        <v>COLÉGIO ESTADUAL JURACY MAGALHAES JUNIOR-DISTRITO DE CACHA PREGOS</v>
      </c>
      <c r="H1651" s="119" t="s">
        <v>9237</v>
      </c>
      <c r="I1651" s="91" t="s">
        <v>9238</v>
      </c>
      <c r="J1651" s="83" t="s">
        <v>9239</v>
      </c>
      <c r="K1651" s="83" t="s">
        <v>187</v>
      </c>
      <c r="L1651" s="83" t="s">
        <v>151</v>
      </c>
      <c r="M1651" s="83" t="s">
        <v>169</v>
      </c>
      <c r="N1651" s="98" t="s">
        <v>9242</v>
      </c>
      <c r="O1651" s="98" t="s">
        <v>155</v>
      </c>
      <c r="P1651" s="99" t="str">
        <f>IFERROR(__xludf.DUMMYFUNCTION("IFERROR(VLOOKUP(AS1651,IMPORTRANGE(""https://docs.google.com/spreadsheets/d/1juPI-Fb8LD0YtltB2mlGEnp_R3UVu1t3wSFPzgCyHXE/edit?gid=0#gid=0"",""GERAL!A2:C""),3,0),""-"")"),"CAMPO")</f>
        <v>CAMPO</v>
      </c>
      <c r="Q1651" s="101" t="s">
        <v>156</v>
      </c>
      <c r="R1651" s="98">
        <v>4.0</v>
      </c>
      <c r="S1651" s="98">
        <v>0.0</v>
      </c>
      <c r="T1651" s="98">
        <v>0.0</v>
      </c>
      <c r="U1651" s="98">
        <v>0.0</v>
      </c>
      <c r="V1651" s="98">
        <v>0.0</v>
      </c>
      <c r="W1651" s="98">
        <v>0.0</v>
      </c>
      <c r="X1651" s="98">
        <v>0.0</v>
      </c>
      <c r="Y1651" s="98">
        <v>0.0</v>
      </c>
      <c r="Z1651" s="98">
        <v>0.0</v>
      </c>
      <c r="AA1651" s="98">
        <v>0.0</v>
      </c>
      <c r="AB1651" s="98">
        <v>0.0</v>
      </c>
      <c r="AC1651" s="98">
        <v>1.0</v>
      </c>
      <c r="AD1651" s="98">
        <v>0.0</v>
      </c>
      <c r="AE1651" s="98">
        <v>0.0</v>
      </c>
      <c r="AF1651" s="98">
        <v>0.0</v>
      </c>
      <c r="AG1651" s="98">
        <v>0.0</v>
      </c>
      <c r="AH1651" s="98">
        <v>0.0</v>
      </c>
      <c r="AI1651" s="98">
        <v>0.0</v>
      </c>
      <c r="AJ1651" s="98">
        <v>0.0</v>
      </c>
      <c r="AK1651" s="98">
        <v>0.0</v>
      </c>
      <c r="AL1651" s="98">
        <v>0.0</v>
      </c>
      <c r="AM1651" s="98">
        <v>0.0</v>
      </c>
      <c r="AN1651" s="98">
        <v>0.0</v>
      </c>
      <c r="AO1651" s="98">
        <v>0.0</v>
      </c>
      <c r="AP1651" s="98">
        <v>1.0</v>
      </c>
      <c r="AQ1651" s="98" t="s">
        <v>9249</v>
      </c>
      <c r="AR1651" s="102">
        <v>46206.0</v>
      </c>
      <c r="AS1651" s="83">
        <v>1102410.0</v>
      </c>
    </row>
    <row r="1652" ht="15.75" customHeight="1">
      <c r="A1652" s="111" t="s">
        <v>1785</v>
      </c>
      <c r="B1652" s="83" t="s">
        <v>9236</v>
      </c>
      <c r="C1652" s="83" t="s">
        <v>68</v>
      </c>
      <c r="D1652" s="112">
        <v>1102402.0</v>
      </c>
      <c r="E1652" s="83"/>
      <c r="F1652" s="83">
        <v>2.9202604E7</v>
      </c>
      <c r="G1652" s="91" t="str">
        <f>IFERROR(__xludf.DUMMYFUNCTION("XLOOKUP(AS1652,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DESEMBARGADOR JULIO VIRGINIO DE SANTANA - TEMPO INTEGRAL")</f>
        <v>COLÉGIO ESTADUAL DESEMBARGADOR JULIO VIRGINIO DE SANTANA - TEMPO INTEGRAL</v>
      </c>
      <c r="H1652" s="119" t="s">
        <v>9251</v>
      </c>
      <c r="I1652" s="91" t="s">
        <v>9252</v>
      </c>
      <c r="J1652" s="136" t="s">
        <v>9253</v>
      </c>
      <c r="K1652" s="83" t="s">
        <v>150</v>
      </c>
      <c r="L1652" s="83" t="s">
        <v>151</v>
      </c>
      <c r="M1652" s="83" t="s">
        <v>230</v>
      </c>
      <c r="N1652" s="98" t="s">
        <v>9255</v>
      </c>
      <c r="O1652" s="98" t="s">
        <v>155</v>
      </c>
      <c r="P1652" s="99" t="str">
        <f>IFERROR(__xludf.DUMMYFUNCTION("IFERROR(VLOOKUP(AS1652,IMPORTRANGE(""https://docs.google.com/spreadsheets/d/1juPI-Fb8LD0YtltB2mlGEnp_R3UVu1t3wSFPzgCyHXE/edit?gid=0#gid=0"",""GERAL!A2:C""),3,0),""-"")"),"-")</f>
        <v>-</v>
      </c>
      <c r="Q1652" s="101" t="s">
        <v>156</v>
      </c>
      <c r="R1652" s="98">
        <v>16.0</v>
      </c>
      <c r="S1652" s="98">
        <v>0.0</v>
      </c>
      <c r="T1652" s="98">
        <v>1.0</v>
      </c>
      <c r="U1652" s="98">
        <v>0.0</v>
      </c>
      <c r="V1652" s="98">
        <v>0.0</v>
      </c>
      <c r="W1652" s="98">
        <v>0.0</v>
      </c>
      <c r="X1652" s="98">
        <v>0.0</v>
      </c>
      <c r="Y1652" s="98">
        <v>0.0</v>
      </c>
      <c r="Z1652" s="98">
        <v>0.0</v>
      </c>
      <c r="AA1652" s="98">
        <v>0.0</v>
      </c>
      <c r="AB1652" s="98">
        <v>0.0</v>
      </c>
      <c r="AC1652" s="98">
        <v>1.0</v>
      </c>
      <c r="AD1652" s="98">
        <v>0.0</v>
      </c>
      <c r="AE1652" s="98">
        <v>0.0</v>
      </c>
      <c r="AF1652" s="98">
        <v>0.0</v>
      </c>
      <c r="AG1652" s="98">
        <v>1.0</v>
      </c>
      <c r="AH1652" s="98">
        <v>0.0</v>
      </c>
      <c r="AI1652" s="98">
        <v>0.0</v>
      </c>
      <c r="AJ1652" s="98">
        <v>0.0</v>
      </c>
      <c r="AK1652" s="98">
        <v>0.0</v>
      </c>
      <c r="AL1652" s="98">
        <v>0.0</v>
      </c>
      <c r="AM1652" s="98">
        <v>0.0</v>
      </c>
      <c r="AN1652" s="98">
        <v>0.0</v>
      </c>
      <c r="AO1652" s="98">
        <v>0.0</v>
      </c>
      <c r="AP1652" s="98">
        <v>0.0</v>
      </c>
      <c r="AQ1652" s="83"/>
      <c r="AR1652" s="102">
        <v>46206.0</v>
      </c>
      <c r="AS1652" s="83">
        <v>1102402.0</v>
      </c>
    </row>
    <row r="1653" ht="15.75" customHeight="1">
      <c r="A1653" s="111" t="s">
        <v>1785</v>
      </c>
      <c r="B1653" s="83" t="s">
        <v>9236</v>
      </c>
      <c r="C1653" s="83" t="s">
        <v>68</v>
      </c>
      <c r="D1653" s="112">
        <v>1178430.0</v>
      </c>
      <c r="E1653" s="83"/>
      <c r="F1653" s="83">
        <v>2.9862728E7</v>
      </c>
      <c r="G1653" s="91" t="str">
        <f>IFERROR(__xludf.DUMMYFUNCTION("XLOOKUP(AS1653,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EDUCACAO PROFISSIONAL DO OCEANO")</f>
        <v>CENTRO ESTADUAL DE EDUCACAO PROFISSIONAL DO OCEANO</v>
      </c>
      <c r="H1653" s="114" t="s">
        <v>9268</v>
      </c>
      <c r="I1653" s="91" t="s">
        <v>9269</v>
      </c>
      <c r="J1653" s="136" t="s">
        <v>9270</v>
      </c>
      <c r="K1653" s="83" t="s">
        <v>150</v>
      </c>
      <c r="L1653" s="83" t="s">
        <v>151</v>
      </c>
      <c r="M1653" s="83" t="s">
        <v>230</v>
      </c>
      <c r="N1653" s="98" t="s">
        <v>9271</v>
      </c>
      <c r="O1653" s="98" t="s">
        <v>155</v>
      </c>
      <c r="P1653" s="99" t="str">
        <f>IFERROR(__xludf.DUMMYFUNCTION("IFERROR(VLOOKUP(AS1653,IMPORTRANGE(""https://docs.google.com/spreadsheets/d/1juPI-Fb8LD0YtltB2mlGEnp_R3UVu1t3wSFPzgCyHXE/edit?gid=0#gid=0"",""GERAL!A2:C""),3,0),""-"")"),"-")</f>
        <v>-</v>
      </c>
      <c r="Q1653" s="101" t="s">
        <v>156</v>
      </c>
      <c r="R1653" s="98">
        <v>5.0</v>
      </c>
      <c r="S1653" s="98">
        <v>0.0</v>
      </c>
      <c r="T1653" s="98">
        <v>0.0</v>
      </c>
      <c r="U1653" s="98">
        <v>0.0</v>
      </c>
      <c r="V1653" s="98">
        <v>1.0</v>
      </c>
      <c r="W1653" s="98">
        <v>0.0</v>
      </c>
      <c r="X1653" s="98">
        <v>0.0</v>
      </c>
      <c r="Y1653" s="98">
        <v>0.0</v>
      </c>
      <c r="Z1653" s="98">
        <v>0.0</v>
      </c>
      <c r="AA1653" s="98">
        <v>0.0</v>
      </c>
      <c r="AB1653" s="98">
        <v>0.0</v>
      </c>
      <c r="AC1653" s="98">
        <v>0.0</v>
      </c>
      <c r="AD1653" s="98">
        <v>0.0</v>
      </c>
      <c r="AE1653" s="98">
        <v>0.0</v>
      </c>
      <c r="AF1653" s="98">
        <v>0.0</v>
      </c>
      <c r="AG1653" s="98">
        <v>0.0</v>
      </c>
      <c r="AH1653" s="98">
        <v>0.0</v>
      </c>
      <c r="AI1653" s="98">
        <v>0.0</v>
      </c>
      <c r="AJ1653" s="98">
        <v>0.0</v>
      </c>
      <c r="AK1653" s="98">
        <v>0.0</v>
      </c>
      <c r="AL1653" s="98">
        <v>0.0</v>
      </c>
      <c r="AM1653" s="98">
        <v>0.0</v>
      </c>
      <c r="AN1653" s="98">
        <v>0.0</v>
      </c>
      <c r="AO1653" s="98">
        <v>0.0</v>
      </c>
      <c r="AP1653" s="98">
        <v>1.0</v>
      </c>
      <c r="AQ1653" s="98" t="s">
        <v>9279</v>
      </c>
      <c r="AR1653" s="102">
        <v>46206.0</v>
      </c>
      <c r="AS1653" s="83">
        <v>1178430.0</v>
      </c>
    </row>
    <row r="1654" ht="15.75" customHeight="1">
      <c r="A1654" s="111" t="s">
        <v>1842</v>
      </c>
      <c r="B1654" s="83" t="s">
        <v>2516</v>
      </c>
      <c r="C1654" s="83" t="s">
        <v>68</v>
      </c>
      <c r="D1654" s="112">
        <v>1179829.0</v>
      </c>
      <c r="E1654" s="83"/>
      <c r="F1654" s="98">
        <v>44462.0</v>
      </c>
      <c r="G1654" s="91" t="str">
        <f>IFERROR(__xludf.DUMMYFUNCTION("XLOOKUP(AS1654,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DE TEMPO INTEGRAL TEOBALDA PASSOS DOS SANTOS")</f>
        <v>COLÉGIO ESTADUAL DO CAMPO DE TEMPO INTEGRAL TEOBALDA PASSOS DOS SANTOS</v>
      </c>
      <c r="H1654" s="119" t="s">
        <v>9285</v>
      </c>
      <c r="I1654" s="108" t="s">
        <v>9286</v>
      </c>
      <c r="J1654" s="83"/>
      <c r="K1654" s="83"/>
      <c r="L1654" s="83" t="s">
        <v>3467</v>
      </c>
      <c r="M1654" s="83" t="s">
        <v>76</v>
      </c>
      <c r="N1654" s="98" t="s">
        <v>9287</v>
      </c>
      <c r="O1654" s="98"/>
      <c r="P1654" s="99" t="str">
        <f>IFERROR(__xludf.DUMMYFUNCTION("IFERROR(VLOOKUP(AS1654,IMPORTRANGE(""https://docs.google.com/spreadsheets/d/1juPI-Fb8LD0YtltB2mlGEnp_R3UVu1t3wSFPzgCyHXE/edit?gid=0#gid=0"",""GERAL!A2:C""),3,0),""-"")"),"CAMPO")</f>
        <v>CAMPO</v>
      </c>
      <c r="Q1654" s="515" t="s">
        <v>156</v>
      </c>
      <c r="R1654" s="516">
        <v>10.0</v>
      </c>
      <c r="S1654" s="516">
        <v>0.0</v>
      </c>
      <c r="T1654" s="516">
        <v>1.0</v>
      </c>
      <c r="U1654" s="516">
        <v>0.0</v>
      </c>
      <c r="V1654" s="516">
        <v>0.0</v>
      </c>
      <c r="W1654" s="516">
        <v>2.0</v>
      </c>
      <c r="X1654" s="516">
        <v>1.0</v>
      </c>
      <c r="Y1654" s="516">
        <v>0.0</v>
      </c>
      <c r="Z1654" s="516">
        <v>1.0</v>
      </c>
      <c r="AA1654" s="516">
        <v>0.0</v>
      </c>
      <c r="AB1654" s="516">
        <v>1.0</v>
      </c>
      <c r="AC1654" s="516">
        <v>0.0</v>
      </c>
      <c r="AD1654" s="516">
        <v>0.0</v>
      </c>
      <c r="AE1654" s="98">
        <v>0.0</v>
      </c>
      <c r="AF1654" s="516">
        <v>1.0</v>
      </c>
      <c r="AG1654" s="516">
        <v>0.0</v>
      </c>
      <c r="AH1654" s="516">
        <v>0.0</v>
      </c>
      <c r="AI1654" s="98">
        <v>0.0</v>
      </c>
      <c r="AJ1654" s="516">
        <v>0.0</v>
      </c>
      <c r="AK1654" s="516">
        <v>1.0</v>
      </c>
      <c r="AL1654" s="516">
        <v>0.0</v>
      </c>
      <c r="AM1654" s="516">
        <v>0.0</v>
      </c>
      <c r="AN1654" s="516">
        <v>0.0</v>
      </c>
      <c r="AO1654" s="516">
        <v>0.0</v>
      </c>
      <c r="AP1654" s="516">
        <v>0.0</v>
      </c>
      <c r="AQ1654" s="516" t="s">
        <v>9295</v>
      </c>
      <c r="AR1654" s="102">
        <v>46226.0</v>
      </c>
      <c r="AS1654" s="516">
        <v>1179829.0</v>
      </c>
    </row>
    <row r="1655" ht="15.75" customHeight="1">
      <c r="A1655" s="111" t="s">
        <v>1842</v>
      </c>
      <c r="B1655" s="83" t="s">
        <v>2516</v>
      </c>
      <c r="C1655" s="83" t="s">
        <v>68</v>
      </c>
      <c r="D1655" s="112">
        <v>1112998.0</v>
      </c>
      <c r="E1655" s="83"/>
      <c r="F1655" s="83">
        <v>2.92941E7</v>
      </c>
      <c r="G1655" s="91" t="str">
        <f>IFERROR(__xludf.DUMMYFUNCTION("XLOOKUP(AS1655,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BELMONTE")</f>
        <v>COLÉGIO ESTADUAL DE TEMPO INTEGRAL DE BELMONTE</v>
      </c>
      <c r="H1655" s="114" t="s">
        <v>9300</v>
      </c>
      <c r="I1655" s="91" t="s">
        <v>9301</v>
      </c>
      <c r="J1655" s="83" t="s">
        <v>149</v>
      </c>
      <c r="K1655" s="83" t="s">
        <v>150</v>
      </c>
      <c r="L1655" s="83" t="s">
        <v>3467</v>
      </c>
      <c r="M1655" s="83" t="s">
        <v>76</v>
      </c>
      <c r="N1655" s="98" t="s">
        <v>9302</v>
      </c>
      <c r="O1655" s="98" t="s">
        <v>155</v>
      </c>
      <c r="P1655" s="99" t="str">
        <f>IFERROR(__xludf.DUMMYFUNCTION("IFERROR(VLOOKUP(AS1655,IMPORTRANGE(""https://docs.google.com/spreadsheets/d/1juPI-Fb8LD0YtltB2mlGEnp_R3UVu1t3wSFPzgCyHXE/edit?gid=0#gid=0"",""GERAL!A2:C""),3,0),""-"")"),"-")</f>
        <v>-</v>
      </c>
      <c r="Q1655" s="101" t="s">
        <v>156</v>
      </c>
      <c r="R1655" s="98">
        <v>7.0</v>
      </c>
      <c r="S1655" s="98">
        <v>1.0</v>
      </c>
      <c r="T1655" s="98">
        <v>2.0</v>
      </c>
      <c r="U1655" s="98">
        <v>0.0</v>
      </c>
      <c r="V1655" s="98">
        <v>0.0</v>
      </c>
      <c r="W1655" s="98">
        <v>2.0</v>
      </c>
      <c r="X1655" s="98">
        <v>0.0</v>
      </c>
      <c r="Y1655" s="98">
        <v>1.0</v>
      </c>
      <c r="Z1655" s="98">
        <v>0.0</v>
      </c>
      <c r="AA1655" s="98">
        <v>0.0</v>
      </c>
      <c r="AB1655" s="98">
        <v>0.0</v>
      </c>
      <c r="AC1655" s="98">
        <v>0.0</v>
      </c>
      <c r="AD1655" s="98">
        <v>0.0</v>
      </c>
      <c r="AE1655" s="98">
        <v>0.0</v>
      </c>
      <c r="AF1655" s="98">
        <v>1.0</v>
      </c>
      <c r="AG1655" s="98">
        <v>0.0</v>
      </c>
      <c r="AH1655" s="98">
        <v>0.0</v>
      </c>
      <c r="AI1655" s="98">
        <v>0.0</v>
      </c>
      <c r="AJ1655" s="98">
        <v>0.0</v>
      </c>
      <c r="AK1655" s="98">
        <v>1.0</v>
      </c>
      <c r="AL1655" s="98">
        <v>0.0</v>
      </c>
      <c r="AM1655" s="98">
        <v>0.0</v>
      </c>
      <c r="AN1655" s="98">
        <v>0.0</v>
      </c>
      <c r="AO1655" s="98">
        <v>0.0</v>
      </c>
      <c r="AP1655" s="98">
        <v>1.0</v>
      </c>
      <c r="AQ1655" s="98" t="s">
        <v>9310</v>
      </c>
      <c r="AR1655" s="102">
        <v>46226.0</v>
      </c>
      <c r="AS1655" s="83">
        <v>1112998.0</v>
      </c>
    </row>
    <row r="1656" ht="15.75" customHeight="1">
      <c r="A1656" s="111" t="s">
        <v>1842</v>
      </c>
      <c r="B1656" s="83" t="s">
        <v>2516</v>
      </c>
      <c r="C1656" s="83" t="s">
        <v>164</v>
      </c>
      <c r="D1656" s="112">
        <v>1112998.0</v>
      </c>
      <c r="E1656" s="83">
        <v>1179683.0</v>
      </c>
      <c r="F1656" s="83"/>
      <c r="G1656" s="91" t="str">
        <f>IFERROR(__xludf.DUMMYFUNCTION("XLOOKUP(AS1656,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BELMONTE - DISTRITO DE SANTA MARIA ETERNA")</f>
        <v>ANEXO - COLÉGIO ESTADUAL DE TEMPO INTEGRAL DE BELMONTE - DISTRITO DE SANTA MARIA ETERNA</v>
      </c>
      <c r="H1656" s="119" t="s">
        <v>9311</v>
      </c>
      <c r="I1656" s="91" t="s">
        <v>9312</v>
      </c>
      <c r="J1656" s="83" t="s">
        <v>149</v>
      </c>
      <c r="K1656" s="136" t="s">
        <v>7300</v>
      </c>
      <c r="L1656" s="83" t="s">
        <v>151</v>
      </c>
      <c r="M1656" s="83" t="s">
        <v>169</v>
      </c>
      <c r="N1656" s="115" t="s">
        <v>170</v>
      </c>
      <c r="O1656" s="98" t="s">
        <v>155</v>
      </c>
      <c r="P1656" s="99" t="str">
        <f>IFERROR(__xludf.DUMMYFUNCTION("IFERROR(VLOOKUP(AS1656,IMPORTRANGE(""https://docs.google.com/spreadsheets/d/1juPI-Fb8LD0YtltB2mlGEnp_R3UVu1t3wSFPzgCyHXE/edit?gid=0#gid=0"",""GERAL!A2:C""),3,0),""-"")"),"CAMPO")</f>
        <v>CAMPO</v>
      </c>
      <c r="Q1656" s="98" t="s">
        <v>171</v>
      </c>
      <c r="R1656" s="98">
        <v>2.0</v>
      </c>
      <c r="S1656" s="98" t="s">
        <v>171</v>
      </c>
      <c r="T1656" s="98" t="s">
        <v>171</v>
      </c>
      <c r="U1656" s="98" t="s">
        <v>171</v>
      </c>
      <c r="V1656" s="98" t="s">
        <v>171</v>
      </c>
      <c r="W1656" s="98" t="s">
        <v>171</v>
      </c>
      <c r="X1656" s="98" t="s">
        <v>171</v>
      </c>
      <c r="Y1656" s="98" t="s">
        <v>171</v>
      </c>
      <c r="Z1656" s="98" t="s">
        <v>171</v>
      </c>
      <c r="AA1656" s="98" t="s">
        <v>171</v>
      </c>
      <c r="AB1656" s="98" t="s">
        <v>171</v>
      </c>
      <c r="AC1656" s="98" t="s">
        <v>171</v>
      </c>
      <c r="AD1656" s="98" t="s">
        <v>171</v>
      </c>
      <c r="AE1656" s="98" t="s">
        <v>171</v>
      </c>
      <c r="AF1656" s="98" t="s">
        <v>171</v>
      </c>
      <c r="AG1656" s="98" t="s">
        <v>171</v>
      </c>
      <c r="AH1656" s="98" t="s">
        <v>171</v>
      </c>
      <c r="AI1656" s="98" t="s">
        <v>171</v>
      </c>
      <c r="AJ1656" s="98" t="s">
        <v>171</v>
      </c>
      <c r="AK1656" s="98" t="s">
        <v>171</v>
      </c>
      <c r="AL1656" s="98" t="s">
        <v>171</v>
      </c>
      <c r="AM1656" s="98" t="s">
        <v>171</v>
      </c>
      <c r="AN1656" s="98" t="s">
        <v>171</v>
      </c>
      <c r="AO1656" s="98" t="s">
        <v>171</v>
      </c>
      <c r="AP1656" s="98" t="s">
        <v>171</v>
      </c>
      <c r="AQ1656" s="98" t="s">
        <v>171</v>
      </c>
      <c r="AR1656" s="102">
        <v>46226.0</v>
      </c>
      <c r="AS1656" s="83">
        <v>1179683.0</v>
      </c>
    </row>
    <row r="1657" ht="15.75" customHeight="1">
      <c r="A1657" s="111" t="s">
        <v>1842</v>
      </c>
      <c r="B1657" s="83" t="s">
        <v>2516</v>
      </c>
      <c r="C1657" s="83" t="s">
        <v>164</v>
      </c>
      <c r="D1657" s="112">
        <v>1112998.0</v>
      </c>
      <c r="E1657" s="83">
        <v>1179684.0</v>
      </c>
      <c r="F1657" s="83"/>
      <c r="G1657" s="91" t="str">
        <f>IFERROR(__xludf.DUMMYFUNCTION("XLOOKUP(AS1657,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TEMPO INTEGRAL DE BELMONTE - DISTRITO DE BOCA DO CORREGO")</f>
        <v>ANEXO - COLÉGIO ESTADUAL DE TEMPO INTEGRAL DE BELMONTE - DISTRITO DE BOCA DO CORREGO</v>
      </c>
      <c r="H1657" s="119" t="s">
        <v>9321</v>
      </c>
      <c r="I1657" s="91" t="s">
        <v>9322</v>
      </c>
      <c r="J1657" s="83" t="s">
        <v>149</v>
      </c>
      <c r="K1657" s="83" t="s">
        <v>9323</v>
      </c>
      <c r="L1657" s="83" t="s">
        <v>168</v>
      </c>
      <c r="M1657" s="83" t="s">
        <v>169</v>
      </c>
      <c r="N1657" s="115" t="s">
        <v>170</v>
      </c>
      <c r="O1657" s="98" t="s">
        <v>155</v>
      </c>
      <c r="P1657" s="99" t="str">
        <f>IFERROR(__xludf.DUMMYFUNCTION("IFERROR(VLOOKUP(AS1657,IMPORTRANGE(""https://docs.google.com/spreadsheets/d/1juPI-Fb8LD0YtltB2mlGEnp_R3UVu1t3wSFPzgCyHXE/edit?gid=0#gid=0"",""GERAL!A2:C""),3,0),""-"")"),"CAMPO")</f>
        <v>CAMPO</v>
      </c>
      <c r="Q1657" s="98" t="s">
        <v>171</v>
      </c>
      <c r="R1657" s="98">
        <v>3.0</v>
      </c>
      <c r="S1657" s="98" t="s">
        <v>171</v>
      </c>
      <c r="T1657" s="98" t="s">
        <v>171</v>
      </c>
      <c r="U1657" s="98" t="s">
        <v>171</v>
      </c>
      <c r="V1657" s="98" t="s">
        <v>171</v>
      </c>
      <c r="W1657" s="98" t="s">
        <v>171</v>
      </c>
      <c r="X1657" s="98" t="s">
        <v>171</v>
      </c>
      <c r="Y1657" s="98" t="s">
        <v>171</v>
      </c>
      <c r="Z1657" s="98" t="s">
        <v>171</v>
      </c>
      <c r="AA1657" s="98" t="s">
        <v>171</v>
      </c>
      <c r="AB1657" s="98" t="s">
        <v>171</v>
      </c>
      <c r="AC1657" s="98" t="s">
        <v>171</v>
      </c>
      <c r="AD1657" s="98" t="s">
        <v>171</v>
      </c>
      <c r="AE1657" s="98" t="s">
        <v>171</v>
      </c>
      <c r="AF1657" s="98" t="s">
        <v>171</v>
      </c>
      <c r="AG1657" s="98" t="s">
        <v>171</v>
      </c>
      <c r="AH1657" s="98" t="s">
        <v>171</v>
      </c>
      <c r="AI1657" s="98" t="s">
        <v>171</v>
      </c>
      <c r="AJ1657" s="98" t="s">
        <v>171</v>
      </c>
      <c r="AK1657" s="98" t="s">
        <v>171</v>
      </c>
      <c r="AL1657" s="98" t="s">
        <v>171</v>
      </c>
      <c r="AM1657" s="98" t="s">
        <v>171</v>
      </c>
      <c r="AN1657" s="98" t="s">
        <v>171</v>
      </c>
      <c r="AO1657" s="98" t="s">
        <v>171</v>
      </c>
      <c r="AP1657" s="98" t="s">
        <v>171</v>
      </c>
      <c r="AQ1657" s="98" t="s">
        <v>171</v>
      </c>
      <c r="AR1657" s="102">
        <v>46226.0</v>
      </c>
      <c r="AS1657" s="83">
        <v>1179684.0</v>
      </c>
    </row>
    <row r="1658" ht="15.75" customHeight="1">
      <c r="A1658" s="111" t="s">
        <v>1842</v>
      </c>
      <c r="B1658" s="83" t="s">
        <v>2042</v>
      </c>
      <c r="C1658" s="83" t="s">
        <v>68</v>
      </c>
      <c r="D1658" s="112">
        <v>1146167.0</v>
      </c>
      <c r="E1658" s="83"/>
      <c r="F1658" s="83">
        <v>2.931822E7</v>
      </c>
      <c r="G1658" s="91" t="str">
        <f>IFERROR(__xludf.DUMMYFUNCTION("XLOOKUP(AS1658,
IMPORTRANGE(""https://docs.google.com/spreadsheets/d/1YM-djuOLXomrZ9W0B4TyIBsVWnXY4EIOFD9HY-qGfv0/edit?usp=sharing"",""GERAL!BG5:BG""),
IMPORTRANGE(""https://docs.google.com/spreadsheets/d/1YM-djuOLXomrZ9W0B4TyIBsVWnXY4EIOFD9HY-qGfv0/edit?"&amp;"usp=sharing"",""GERAL!G5:G""),
""CÓD. SEC NÃO ENCONTRADO NA PLANILHA DE MATRÍCULA"")"),"COMPLEXO INTEGRADO DE EDUCAÇÃO BÁSICA, PROFISSIONAL E TECNOLÓGICA DE EUNÁPOLIS (ANTIGO CIE)")</f>
        <v>COMPLEXO INTEGRADO DE EDUCAÇÃO BÁSICA, PROFISSIONAL E TECNOLÓGICA DE EUNÁPOLIS (ANTIGO CIE)</v>
      </c>
      <c r="H1658" s="119" t="s">
        <v>9328</v>
      </c>
      <c r="I1658" s="91" t="s">
        <v>9329</v>
      </c>
      <c r="J1658" s="136" t="s">
        <v>149</v>
      </c>
      <c r="K1658" s="83" t="s">
        <v>150</v>
      </c>
      <c r="L1658" s="83" t="s">
        <v>3467</v>
      </c>
      <c r="M1658" s="83" t="s">
        <v>230</v>
      </c>
      <c r="N1658" s="98" t="s">
        <v>9330</v>
      </c>
      <c r="O1658" s="98" t="s">
        <v>176</v>
      </c>
      <c r="P1658" s="99" t="str">
        <f>IFERROR(__xludf.DUMMYFUNCTION("IFERROR(VLOOKUP(AS1658,IMPORTRANGE(""https://docs.google.com/spreadsheets/d/1juPI-Fb8LD0YtltB2mlGEnp_R3UVu1t3wSFPzgCyHXE/edit?gid=0#gid=0"",""GERAL!A2:C""),3,0),""-"")"),"-")</f>
        <v>-</v>
      </c>
      <c r="Q1658" s="101" t="s">
        <v>156</v>
      </c>
      <c r="R1658" s="98">
        <v>23.0</v>
      </c>
      <c r="S1658" s="98">
        <v>0.0</v>
      </c>
      <c r="T1658" s="98">
        <v>2.0</v>
      </c>
      <c r="U1658" s="98">
        <v>0.0</v>
      </c>
      <c r="V1658" s="98">
        <v>0.0</v>
      </c>
      <c r="W1658" s="98">
        <v>1.0</v>
      </c>
      <c r="X1658" s="98">
        <v>1.0</v>
      </c>
      <c r="Y1658" s="98">
        <v>0.0</v>
      </c>
      <c r="Z1658" s="98">
        <v>1.0</v>
      </c>
      <c r="AA1658" s="98">
        <v>1.0</v>
      </c>
      <c r="AB1658" s="98">
        <v>1.0</v>
      </c>
      <c r="AC1658" s="98">
        <v>0.0</v>
      </c>
      <c r="AD1658" s="98">
        <v>0.0</v>
      </c>
      <c r="AE1658" s="98">
        <v>0.0</v>
      </c>
      <c r="AF1658" s="98">
        <v>1.0</v>
      </c>
      <c r="AG1658" s="98">
        <v>0.0</v>
      </c>
      <c r="AH1658" s="98">
        <v>0.0</v>
      </c>
      <c r="AI1658" s="98">
        <v>0.0</v>
      </c>
      <c r="AJ1658" s="98">
        <v>0.0</v>
      </c>
      <c r="AK1658" s="98">
        <v>1.0</v>
      </c>
      <c r="AL1658" s="98">
        <v>0.0</v>
      </c>
      <c r="AM1658" s="98">
        <v>1.0</v>
      </c>
      <c r="AN1658" s="98">
        <v>0.0</v>
      </c>
      <c r="AO1658" s="98">
        <v>1.0</v>
      </c>
      <c r="AP1658" s="98">
        <v>0.0</v>
      </c>
      <c r="AQ1658" s="98" t="s">
        <v>9335</v>
      </c>
      <c r="AR1658" s="102">
        <v>46220.0</v>
      </c>
      <c r="AS1658" s="83">
        <v>1146167.0</v>
      </c>
    </row>
    <row r="1659" ht="15.75" customHeight="1">
      <c r="A1659" s="111" t="s">
        <v>1842</v>
      </c>
      <c r="B1659" s="83" t="s">
        <v>2042</v>
      </c>
      <c r="C1659" s="83" t="s">
        <v>68</v>
      </c>
      <c r="D1659" s="112">
        <v>1146183.0</v>
      </c>
      <c r="E1659" s="83"/>
      <c r="F1659" s="83">
        <v>2.9318378E7</v>
      </c>
      <c r="G1659" s="91" t="str">
        <f>IFERROR(__xludf.DUMMYFUNCTION("XLOOKUP(AS1659,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ELOYNA BARRADAS - TEMPO INTEGRAL")</f>
        <v>COLÉGIO ESTADUAL ELOYNA BARRADAS - TEMPO INTEGRAL</v>
      </c>
      <c r="H1659" s="114" t="s">
        <v>9337</v>
      </c>
      <c r="I1659" s="91" t="s">
        <v>9339</v>
      </c>
      <c r="J1659" s="136" t="s">
        <v>9341</v>
      </c>
      <c r="K1659" s="83" t="s">
        <v>150</v>
      </c>
      <c r="L1659" s="83" t="s">
        <v>3467</v>
      </c>
      <c r="M1659" s="98" t="s">
        <v>152</v>
      </c>
      <c r="N1659" s="98" t="s">
        <v>9342</v>
      </c>
      <c r="O1659" s="98" t="s">
        <v>155</v>
      </c>
      <c r="P1659" s="99" t="str">
        <f>IFERROR(__xludf.DUMMYFUNCTION("IFERROR(VLOOKUP(AS1659,IMPORTRANGE(""https://docs.google.com/spreadsheets/d/1juPI-Fb8LD0YtltB2mlGEnp_R3UVu1t3wSFPzgCyHXE/edit?gid=0#gid=0"",""GERAL!A2:C""),3,0),""-"")"),"-")</f>
        <v>-</v>
      </c>
      <c r="Q1659" s="101" t="s">
        <v>156</v>
      </c>
      <c r="R1659" s="98">
        <v>8.0</v>
      </c>
      <c r="S1659" s="98">
        <v>0.0</v>
      </c>
      <c r="T1659" s="98">
        <v>0.0</v>
      </c>
      <c r="U1659" s="98">
        <v>0.0</v>
      </c>
      <c r="V1659" s="98">
        <v>1.0</v>
      </c>
      <c r="W1659" s="98">
        <v>0.0</v>
      </c>
      <c r="X1659" s="98">
        <v>1.0</v>
      </c>
      <c r="Y1659" s="98">
        <v>0.0</v>
      </c>
      <c r="Z1659" s="98">
        <v>0.0</v>
      </c>
      <c r="AA1659" s="98">
        <v>0.0</v>
      </c>
      <c r="AB1659" s="98">
        <v>0.0</v>
      </c>
      <c r="AC1659" s="98">
        <v>0.0</v>
      </c>
      <c r="AD1659" s="98">
        <v>0.0</v>
      </c>
      <c r="AE1659" s="98">
        <v>0.0</v>
      </c>
      <c r="AF1659" s="98">
        <v>1.0</v>
      </c>
      <c r="AG1659" s="98">
        <v>0.0</v>
      </c>
      <c r="AH1659" s="98">
        <v>0.0</v>
      </c>
      <c r="AI1659" s="98">
        <v>0.0</v>
      </c>
      <c r="AJ1659" s="98">
        <v>0.0</v>
      </c>
      <c r="AK1659" s="98">
        <v>0.0</v>
      </c>
      <c r="AL1659" s="98">
        <v>0.0</v>
      </c>
      <c r="AM1659" s="98">
        <v>0.0</v>
      </c>
      <c r="AN1659" s="98">
        <v>0.0</v>
      </c>
      <c r="AO1659" s="98">
        <v>0.0</v>
      </c>
      <c r="AP1659" s="98">
        <v>3.0</v>
      </c>
      <c r="AQ1659" s="98" t="s">
        <v>9348</v>
      </c>
      <c r="AR1659" s="102">
        <v>46220.0</v>
      </c>
      <c r="AS1659" s="83">
        <v>1146183.0</v>
      </c>
    </row>
    <row r="1660" ht="15.75" customHeight="1">
      <c r="A1660" s="111" t="s">
        <v>1842</v>
      </c>
      <c r="B1660" s="83" t="s">
        <v>2042</v>
      </c>
      <c r="C1660" s="83" t="s">
        <v>68</v>
      </c>
      <c r="D1660" s="112">
        <v>1146264.0</v>
      </c>
      <c r="E1660" s="83"/>
      <c r="F1660" s="83">
        <v>2.9319218E7</v>
      </c>
      <c r="G1660" s="91" t="str">
        <f>IFERROR(__xludf.DUMMYFUNCTION("XLOOKUP(AS1660,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BADEN POWELL")</f>
        <v>COLÉGIO ESTADUAL BADEN POWELL</v>
      </c>
      <c r="H1660" s="114" t="s">
        <v>9349</v>
      </c>
      <c r="I1660" s="91" t="s">
        <v>9350</v>
      </c>
      <c r="J1660" s="136" t="s">
        <v>9351</v>
      </c>
      <c r="K1660" s="83" t="s">
        <v>150</v>
      </c>
      <c r="L1660" s="83" t="s">
        <v>3467</v>
      </c>
      <c r="M1660" s="98" t="s">
        <v>152</v>
      </c>
      <c r="N1660" s="98" t="s">
        <v>9352</v>
      </c>
      <c r="O1660" s="98" t="s">
        <v>155</v>
      </c>
      <c r="P1660" s="99" t="str">
        <f>IFERROR(__xludf.DUMMYFUNCTION("IFERROR(VLOOKUP(AS1660,IMPORTRANGE(""https://docs.google.com/spreadsheets/d/1juPI-Fb8LD0YtltB2mlGEnp_R3UVu1t3wSFPzgCyHXE/edit?gid=0#gid=0"",""GERAL!A2:C""),3,0),""-"")"),"-")</f>
        <v>-</v>
      </c>
      <c r="Q1660" s="101" t="s">
        <v>156</v>
      </c>
      <c r="R1660" s="98">
        <v>8.0</v>
      </c>
      <c r="S1660" s="98">
        <v>0.0</v>
      </c>
      <c r="T1660" s="98">
        <v>0.0</v>
      </c>
      <c r="U1660" s="98">
        <v>0.0</v>
      </c>
      <c r="V1660" s="98">
        <v>0.0</v>
      </c>
      <c r="W1660" s="98">
        <v>1.0</v>
      </c>
      <c r="X1660" s="98">
        <v>0.0</v>
      </c>
      <c r="Y1660" s="98">
        <v>1.0</v>
      </c>
      <c r="Z1660" s="98">
        <v>0.0</v>
      </c>
      <c r="AA1660" s="98">
        <v>0.0</v>
      </c>
      <c r="AB1660" s="98">
        <v>0.0</v>
      </c>
      <c r="AC1660" s="98">
        <v>0.0</v>
      </c>
      <c r="AD1660" s="98">
        <v>0.0</v>
      </c>
      <c r="AE1660" s="98">
        <v>0.0</v>
      </c>
      <c r="AF1660" s="98">
        <v>0.0</v>
      </c>
      <c r="AG1660" s="98">
        <v>1.0</v>
      </c>
      <c r="AH1660" s="98">
        <v>0.0</v>
      </c>
      <c r="AI1660" s="98">
        <v>0.0</v>
      </c>
      <c r="AJ1660" s="98">
        <v>0.0</v>
      </c>
      <c r="AK1660" s="98">
        <v>0.0</v>
      </c>
      <c r="AL1660" s="98">
        <v>0.0</v>
      </c>
      <c r="AM1660" s="98">
        <v>0.0</v>
      </c>
      <c r="AN1660" s="98">
        <v>0.0</v>
      </c>
      <c r="AO1660" s="98">
        <v>0.0</v>
      </c>
      <c r="AP1660" s="98">
        <v>0.0</v>
      </c>
      <c r="AQ1660" s="98" t="s">
        <v>9354</v>
      </c>
      <c r="AR1660" s="102">
        <v>46220.0</v>
      </c>
      <c r="AS1660" s="83">
        <v>1146264.0</v>
      </c>
    </row>
    <row r="1661" ht="15.75" customHeight="1">
      <c r="A1661" s="111" t="s">
        <v>1842</v>
      </c>
      <c r="B1661" s="83" t="s">
        <v>2042</v>
      </c>
      <c r="C1661" s="83" t="s">
        <v>68</v>
      </c>
      <c r="D1661" s="112">
        <v>1178012.0</v>
      </c>
      <c r="E1661" s="83"/>
      <c r="F1661" s="83">
        <v>2.9428203E7</v>
      </c>
      <c r="G1661" s="91" t="str">
        <f>IFERROR(__xludf.DUMMYFUNCTION("XLOOKUP(AS1661,
IMPORTRANGE(""https://docs.google.com/spreadsheets/d/1YM-djuOLXomrZ9W0B4TyIBsVWnXY4EIOFD9HY-qGfv0/edit?usp=sharing"",""GERAL!BG5:BG""),
IMPORTRANGE(""https://docs.google.com/spreadsheets/d/1YM-djuOLXomrZ9W0B4TyIBsVWnXY4EIOFD9HY-qGfv0/edit?"&amp;"usp=sharing"",""GERAL!G5:G""),
""CÓD. SEC NÃO ENCONTRADO NA PLANILHA DE MATRÍCULA"")"),"CENTRO TERRITORIAL DE EDUCACAO PROFISSIONAL DA COSTA DO DESCOBRIMENTO")</f>
        <v>CENTRO TERRITORIAL DE EDUCACAO PROFISSIONAL DA COSTA DO DESCOBRIMENTO</v>
      </c>
      <c r="H1661" s="114" t="s">
        <v>9358</v>
      </c>
      <c r="I1661" s="91" t="s">
        <v>9360</v>
      </c>
      <c r="J1661" s="136" t="s">
        <v>149</v>
      </c>
      <c r="K1661" s="83" t="s">
        <v>150</v>
      </c>
      <c r="L1661" s="83" t="s">
        <v>3467</v>
      </c>
      <c r="M1661" s="83" t="s">
        <v>230</v>
      </c>
      <c r="N1661" s="98" t="s">
        <v>9363</v>
      </c>
      <c r="O1661" s="98" t="s">
        <v>284</v>
      </c>
      <c r="P1661" s="99" t="str">
        <f>IFERROR(__xludf.DUMMYFUNCTION("IFERROR(VLOOKUP(AS1661,IMPORTRANGE(""https://docs.google.com/spreadsheets/d/1juPI-Fb8LD0YtltB2mlGEnp_R3UVu1t3wSFPzgCyHXE/edit?gid=0#gid=0"",""GERAL!A2:C""),3,0),""-"")"),"-")</f>
        <v>-</v>
      </c>
      <c r="Q1661" s="101" t="s">
        <v>156</v>
      </c>
      <c r="R1661" s="98">
        <v>14.0</v>
      </c>
      <c r="S1661" s="98">
        <v>0.0</v>
      </c>
      <c r="T1661" s="98">
        <v>1.0</v>
      </c>
      <c r="U1661" s="98">
        <v>1.0</v>
      </c>
      <c r="V1661" s="98">
        <v>2.0</v>
      </c>
      <c r="W1661" s="98">
        <v>5.0</v>
      </c>
      <c r="X1661" s="98">
        <v>1.0</v>
      </c>
      <c r="Y1661" s="98">
        <v>0.0</v>
      </c>
      <c r="Z1661" s="98">
        <v>0.0</v>
      </c>
      <c r="AA1661" s="98">
        <v>1.0</v>
      </c>
      <c r="AB1661" s="98">
        <v>0.0</v>
      </c>
      <c r="AC1661" s="98">
        <v>0.0</v>
      </c>
      <c r="AD1661" s="98">
        <v>0.0</v>
      </c>
      <c r="AE1661" s="98">
        <v>0.0</v>
      </c>
      <c r="AF1661" s="98">
        <v>1.0</v>
      </c>
      <c r="AG1661" s="98">
        <v>0.0</v>
      </c>
      <c r="AH1661" s="98">
        <v>0.0</v>
      </c>
      <c r="AI1661" s="98">
        <v>0.0</v>
      </c>
      <c r="AJ1661" s="98">
        <v>1.0</v>
      </c>
      <c r="AK1661" s="98">
        <v>0.0</v>
      </c>
      <c r="AL1661" s="98">
        <v>0.0</v>
      </c>
      <c r="AM1661" s="98">
        <v>0.0</v>
      </c>
      <c r="AN1661" s="98">
        <v>0.0</v>
      </c>
      <c r="AO1661" s="98">
        <v>0.0</v>
      </c>
      <c r="AP1661" s="98">
        <v>1.0</v>
      </c>
      <c r="AQ1661" s="98" t="s">
        <v>9365</v>
      </c>
      <c r="AR1661" s="102">
        <v>46220.0</v>
      </c>
      <c r="AS1661" s="83">
        <v>1178012.0</v>
      </c>
    </row>
    <row r="1662" ht="15.75" customHeight="1">
      <c r="A1662" s="111" t="s">
        <v>1842</v>
      </c>
      <c r="B1662" s="83" t="s">
        <v>2042</v>
      </c>
      <c r="C1662" s="83" t="s">
        <v>164</v>
      </c>
      <c r="D1662" s="112">
        <v>1146264.0</v>
      </c>
      <c r="E1662" s="83">
        <v>1178510.0</v>
      </c>
      <c r="F1662" s="83"/>
      <c r="G1662" s="91" t="str">
        <f>IFERROR(__xludf.DUMMYFUNCTION("XLOOKUP(AS1662,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BADEN POWELL - POVOADO DE GABIARRA")</f>
        <v>ANEXO - COLÉGIO ESTADUAL BADEN POWELL - POVOADO DE GABIARRA</v>
      </c>
      <c r="H1662" s="114" t="s">
        <v>9367</v>
      </c>
      <c r="I1662" s="91" t="s">
        <v>9368</v>
      </c>
      <c r="J1662" s="136" t="s">
        <v>149</v>
      </c>
      <c r="K1662" s="83" t="s">
        <v>443</v>
      </c>
      <c r="L1662" s="83" t="s">
        <v>168</v>
      </c>
      <c r="M1662" s="83" t="s">
        <v>169</v>
      </c>
      <c r="N1662" s="115" t="s">
        <v>170</v>
      </c>
      <c r="O1662" s="98" t="s">
        <v>155</v>
      </c>
      <c r="P1662" s="99" t="str">
        <f>IFERROR(__xludf.DUMMYFUNCTION("IFERROR(VLOOKUP(AS1662,IMPORTRANGE(""https://docs.google.com/spreadsheets/d/1juPI-Fb8LD0YtltB2mlGEnp_R3UVu1t3wSFPzgCyHXE/edit?gid=0#gid=0"",""GERAL!A2:C""),3,0),""-"")"),"CAMPO")</f>
        <v>CAMPO</v>
      </c>
      <c r="Q1662" s="98" t="s">
        <v>171</v>
      </c>
      <c r="R1662" s="98" t="s">
        <v>171</v>
      </c>
      <c r="S1662" s="98" t="s">
        <v>171</v>
      </c>
      <c r="T1662" s="98" t="s">
        <v>171</v>
      </c>
      <c r="U1662" s="98" t="s">
        <v>171</v>
      </c>
      <c r="V1662" s="98" t="s">
        <v>171</v>
      </c>
      <c r="W1662" s="98" t="s">
        <v>171</v>
      </c>
      <c r="X1662" s="98" t="s">
        <v>171</v>
      </c>
      <c r="Y1662" s="98" t="s">
        <v>171</v>
      </c>
      <c r="Z1662" s="98" t="s">
        <v>171</v>
      </c>
      <c r="AA1662" s="98" t="s">
        <v>171</v>
      </c>
      <c r="AB1662" s="98" t="s">
        <v>171</v>
      </c>
      <c r="AC1662" s="98" t="s">
        <v>171</v>
      </c>
      <c r="AD1662" s="98" t="s">
        <v>171</v>
      </c>
      <c r="AE1662" s="98" t="s">
        <v>171</v>
      </c>
      <c r="AF1662" s="98" t="s">
        <v>171</v>
      </c>
      <c r="AG1662" s="98" t="s">
        <v>171</v>
      </c>
      <c r="AH1662" s="98" t="s">
        <v>171</v>
      </c>
      <c r="AI1662" s="98"/>
      <c r="AJ1662" s="98" t="s">
        <v>171</v>
      </c>
      <c r="AK1662" s="98" t="s">
        <v>171</v>
      </c>
      <c r="AL1662" s="98" t="s">
        <v>171</v>
      </c>
      <c r="AM1662" s="98" t="s">
        <v>171</v>
      </c>
      <c r="AN1662" s="98" t="s">
        <v>171</v>
      </c>
      <c r="AO1662" s="98" t="s">
        <v>171</v>
      </c>
      <c r="AP1662" s="98" t="s">
        <v>171</v>
      </c>
      <c r="AQ1662" s="98" t="s">
        <v>171</v>
      </c>
      <c r="AR1662" s="102">
        <v>46220.0</v>
      </c>
      <c r="AS1662" s="83">
        <v>1178510.0</v>
      </c>
    </row>
    <row r="1663" ht="15.75" customHeight="1">
      <c r="A1663" s="111" t="s">
        <v>1842</v>
      </c>
      <c r="B1663" s="83" t="s">
        <v>2042</v>
      </c>
      <c r="C1663" s="83" t="s">
        <v>164</v>
      </c>
      <c r="D1663" s="112">
        <v>1146264.0</v>
      </c>
      <c r="E1663" s="83">
        <v>1179538.0</v>
      </c>
      <c r="F1663" s="83"/>
      <c r="G1663" s="91" t="str">
        <f>IFERROR(__xludf.DUMMYFUNCTION("XLOOKUP(AS1663,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BADEN POWELL - CONJUNTO PENAL")</f>
        <v>ANEXO - COLÉGIO ESTADUAL BADEN POWELL - CONJUNTO PENAL</v>
      </c>
      <c r="H1663" s="114" t="s">
        <v>9375</v>
      </c>
      <c r="I1663" s="91" t="s">
        <v>9376</v>
      </c>
      <c r="J1663" s="136" t="s">
        <v>9377</v>
      </c>
      <c r="K1663" s="83" t="s">
        <v>150</v>
      </c>
      <c r="L1663" s="83" t="s">
        <v>168</v>
      </c>
      <c r="M1663" s="82" t="s">
        <v>169</v>
      </c>
      <c r="N1663" s="115" t="s">
        <v>170</v>
      </c>
      <c r="O1663" s="98" t="s">
        <v>155</v>
      </c>
      <c r="P1663" s="99" t="str">
        <f>IFERROR(__xludf.DUMMYFUNCTION("IFERROR(VLOOKUP(AS1663,IMPORTRANGE(""https://docs.google.com/spreadsheets/d/1juPI-Fb8LD0YtltB2mlGEnp_R3UVu1t3wSFPzgCyHXE/edit?gid=0#gid=0"",""GERAL!A2:C""),3,0),""-"")"),"-")</f>
        <v>-</v>
      </c>
      <c r="Q1663" s="98" t="s">
        <v>171</v>
      </c>
      <c r="R1663" s="98" t="s">
        <v>171</v>
      </c>
      <c r="S1663" s="98" t="s">
        <v>171</v>
      </c>
      <c r="T1663" s="98" t="s">
        <v>171</v>
      </c>
      <c r="U1663" s="98" t="s">
        <v>171</v>
      </c>
      <c r="V1663" s="98" t="s">
        <v>171</v>
      </c>
      <c r="W1663" s="98" t="s">
        <v>171</v>
      </c>
      <c r="X1663" s="98" t="s">
        <v>171</v>
      </c>
      <c r="Y1663" s="98" t="s">
        <v>171</v>
      </c>
      <c r="Z1663" s="98" t="s">
        <v>171</v>
      </c>
      <c r="AA1663" s="98" t="s">
        <v>171</v>
      </c>
      <c r="AB1663" s="98" t="s">
        <v>171</v>
      </c>
      <c r="AC1663" s="98" t="s">
        <v>171</v>
      </c>
      <c r="AD1663" s="98" t="s">
        <v>171</v>
      </c>
      <c r="AE1663" s="98" t="s">
        <v>171</v>
      </c>
      <c r="AF1663" s="98" t="s">
        <v>171</v>
      </c>
      <c r="AG1663" s="98" t="s">
        <v>171</v>
      </c>
      <c r="AH1663" s="98" t="s">
        <v>171</v>
      </c>
      <c r="AI1663" s="98"/>
      <c r="AJ1663" s="98" t="s">
        <v>171</v>
      </c>
      <c r="AK1663" s="98" t="s">
        <v>171</v>
      </c>
      <c r="AL1663" s="98" t="s">
        <v>171</v>
      </c>
      <c r="AM1663" s="98" t="s">
        <v>171</v>
      </c>
      <c r="AN1663" s="98" t="s">
        <v>171</v>
      </c>
      <c r="AO1663" s="98" t="s">
        <v>171</v>
      </c>
      <c r="AP1663" s="98" t="s">
        <v>171</v>
      </c>
      <c r="AQ1663" s="98" t="s">
        <v>171</v>
      </c>
      <c r="AR1663" s="102">
        <v>46220.0</v>
      </c>
      <c r="AS1663" s="83">
        <v>1179538.0</v>
      </c>
    </row>
    <row r="1664" ht="15.75" customHeight="1">
      <c r="A1664" s="111" t="s">
        <v>1842</v>
      </c>
      <c r="B1664" s="83" t="s">
        <v>9378</v>
      </c>
      <c r="C1664" s="83" t="s">
        <v>68</v>
      </c>
      <c r="D1664" s="112">
        <v>1112890.0</v>
      </c>
      <c r="E1664" s="83"/>
      <c r="F1664" s="83">
        <v>2.9319358E7</v>
      </c>
      <c r="G1664" s="91" t="str">
        <f>IFERROR(__xludf.DUMMYFUNCTION("XLOOKUP(AS1664,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JESUS MOURA")</f>
        <v>COLÉGIO ESTADUAL JESUS MOURA</v>
      </c>
      <c r="H1664" s="114" t="s">
        <v>9379</v>
      </c>
      <c r="I1664" s="91" t="s">
        <v>9380</v>
      </c>
      <c r="J1664" s="136" t="s">
        <v>149</v>
      </c>
      <c r="K1664" s="83" t="s">
        <v>150</v>
      </c>
      <c r="L1664" s="83" t="s">
        <v>3467</v>
      </c>
      <c r="M1664" s="82" t="s">
        <v>76</v>
      </c>
      <c r="N1664" s="98" t="s">
        <v>9384</v>
      </c>
      <c r="O1664" s="98" t="s">
        <v>155</v>
      </c>
      <c r="P1664" s="99" t="str">
        <f>IFERROR(__xludf.DUMMYFUNCTION("IFERROR(VLOOKUP(AS1664,IMPORTRANGE(""https://docs.google.com/spreadsheets/d/1juPI-Fb8LD0YtltB2mlGEnp_R3UVu1t3wSFPzgCyHXE/edit?gid=0#gid=0"",""GERAL!A2:C""),3,0),""-"")"),"-")</f>
        <v>-</v>
      </c>
      <c r="Q1664" s="101" t="s">
        <v>156</v>
      </c>
      <c r="R1664" s="98">
        <v>8.0</v>
      </c>
      <c r="S1664" s="98">
        <v>0.0</v>
      </c>
      <c r="T1664" s="98">
        <v>0.0</v>
      </c>
      <c r="U1664" s="98">
        <v>0.0</v>
      </c>
      <c r="V1664" s="98">
        <v>0.0</v>
      </c>
      <c r="W1664" s="98">
        <v>1.0</v>
      </c>
      <c r="X1664" s="98">
        <v>1.0</v>
      </c>
      <c r="Y1664" s="98">
        <v>0.0</v>
      </c>
      <c r="Z1664" s="98">
        <v>0.0</v>
      </c>
      <c r="AA1664" s="98">
        <v>0.0</v>
      </c>
      <c r="AB1664" s="98">
        <v>0.0</v>
      </c>
      <c r="AC1664" s="98">
        <v>0.0</v>
      </c>
      <c r="AD1664" s="98">
        <v>0.0</v>
      </c>
      <c r="AE1664" s="98">
        <v>0.0</v>
      </c>
      <c r="AF1664" s="98">
        <v>0.0</v>
      </c>
      <c r="AG1664" s="98">
        <v>1.0</v>
      </c>
      <c r="AH1664" s="98">
        <v>0.0</v>
      </c>
      <c r="AI1664" s="98">
        <v>0.0</v>
      </c>
      <c r="AJ1664" s="98">
        <v>0.0</v>
      </c>
      <c r="AK1664" s="98">
        <v>0.0</v>
      </c>
      <c r="AL1664" s="98">
        <v>0.0</v>
      </c>
      <c r="AM1664" s="98">
        <v>0.0</v>
      </c>
      <c r="AN1664" s="98">
        <v>0.0</v>
      </c>
      <c r="AO1664" s="98">
        <v>0.0</v>
      </c>
      <c r="AP1664" s="98">
        <v>1.0</v>
      </c>
      <c r="AQ1664" s="98" t="s">
        <v>9387</v>
      </c>
      <c r="AR1664" s="102">
        <v>46230.0</v>
      </c>
      <c r="AS1664" s="83">
        <v>1112890.0</v>
      </c>
    </row>
    <row r="1665" ht="15.75" customHeight="1">
      <c r="A1665" s="111" t="s">
        <v>1842</v>
      </c>
      <c r="B1665" s="83" t="s">
        <v>9378</v>
      </c>
      <c r="C1665" s="83" t="s">
        <v>164</v>
      </c>
      <c r="D1665" s="112">
        <v>1112890.0</v>
      </c>
      <c r="E1665" s="83">
        <v>1178512.0</v>
      </c>
      <c r="F1665" s="83"/>
      <c r="G1665" s="91" t="str">
        <f>IFERROR(__xludf.DUMMYFUNCTION("XLOOKUP(AS1665,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JESUS MOURA - POVOADO DE MONTE ALEGRE")</f>
        <v>ANEXO - COLÉGIO ESTADUAL JESUS MOURA - POVOADO DE MONTE ALEGRE</v>
      </c>
      <c r="H1665" s="114" t="s">
        <v>9388</v>
      </c>
      <c r="I1665" s="91" t="s">
        <v>9389</v>
      </c>
      <c r="J1665" s="136" t="s">
        <v>149</v>
      </c>
      <c r="K1665" s="83" t="s">
        <v>9390</v>
      </c>
      <c r="L1665" s="98" t="s">
        <v>151</v>
      </c>
      <c r="M1665" s="83" t="s">
        <v>169</v>
      </c>
      <c r="N1665" s="98" t="s">
        <v>9391</v>
      </c>
      <c r="O1665" s="98" t="s">
        <v>155</v>
      </c>
      <c r="P1665" s="99" t="str">
        <f>IFERROR(__xludf.DUMMYFUNCTION("IFERROR(VLOOKUP(AS1665,IMPORTRANGE(""https://docs.google.com/spreadsheets/d/1juPI-Fb8LD0YtltB2mlGEnp_R3UVu1t3wSFPzgCyHXE/edit?gid=0#gid=0"",""GERAL!A2:C""),3,0),""-"")"),"CAMPO")</f>
        <v>CAMPO</v>
      </c>
      <c r="Q1665" s="98" t="s">
        <v>171</v>
      </c>
      <c r="R1665" s="98">
        <v>3.0</v>
      </c>
      <c r="S1665" s="98" t="s">
        <v>171</v>
      </c>
      <c r="T1665" s="98" t="s">
        <v>171</v>
      </c>
      <c r="U1665" s="98" t="s">
        <v>171</v>
      </c>
      <c r="V1665" s="98" t="s">
        <v>171</v>
      </c>
      <c r="W1665" s="98" t="s">
        <v>171</v>
      </c>
      <c r="X1665" s="98" t="s">
        <v>171</v>
      </c>
      <c r="Y1665" s="98" t="s">
        <v>171</v>
      </c>
      <c r="Z1665" s="98" t="s">
        <v>171</v>
      </c>
      <c r="AA1665" s="98" t="s">
        <v>171</v>
      </c>
      <c r="AB1665" s="98" t="s">
        <v>171</v>
      </c>
      <c r="AC1665" s="98" t="s">
        <v>171</v>
      </c>
      <c r="AD1665" s="98" t="s">
        <v>171</v>
      </c>
      <c r="AE1665" s="98" t="s">
        <v>171</v>
      </c>
      <c r="AF1665" s="98" t="s">
        <v>171</v>
      </c>
      <c r="AG1665" s="98" t="s">
        <v>171</v>
      </c>
      <c r="AH1665" s="98" t="s">
        <v>171</v>
      </c>
      <c r="AI1665" s="98" t="s">
        <v>171</v>
      </c>
      <c r="AJ1665" s="98" t="s">
        <v>171</v>
      </c>
      <c r="AK1665" s="98" t="s">
        <v>171</v>
      </c>
      <c r="AL1665" s="98" t="s">
        <v>171</v>
      </c>
      <c r="AM1665" s="98" t="s">
        <v>171</v>
      </c>
      <c r="AN1665" s="98" t="s">
        <v>171</v>
      </c>
      <c r="AO1665" s="98" t="s">
        <v>171</v>
      </c>
      <c r="AP1665" s="98" t="s">
        <v>171</v>
      </c>
      <c r="AQ1665" s="98" t="s">
        <v>171</v>
      </c>
      <c r="AR1665" s="102">
        <v>46230.0</v>
      </c>
      <c r="AS1665" s="83">
        <v>1178512.0</v>
      </c>
    </row>
    <row r="1666" ht="15.75" customHeight="1">
      <c r="A1666" s="111" t="s">
        <v>1842</v>
      </c>
      <c r="B1666" s="83" t="s">
        <v>9378</v>
      </c>
      <c r="C1666" s="83" t="s">
        <v>164</v>
      </c>
      <c r="D1666" s="112">
        <v>1112890.0</v>
      </c>
      <c r="E1666" s="83">
        <v>1178511.0</v>
      </c>
      <c r="F1666" s="83"/>
      <c r="G1666" s="91" t="str">
        <f>IFERROR(__xludf.DUMMYFUNCTION("XLOOKUP(AS1666,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JESUS MOURA - POVOADO DE CAJUITA")</f>
        <v>ANEXO - COLÉGIO ESTADUAL JESUS MOURA - POVOADO DE CAJUITA</v>
      </c>
      <c r="H1666" s="114" t="s">
        <v>9398</v>
      </c>
      <c r="I1666" s="91" t="s">
        <v>9399</v>
      </c>
      <c r="J1666" s="136" t="s">
        <v>9400</v>
      </c>
      <c r="K1666" s="83" t="s">
        <v>702</v>
      </c>
      <c r="L1666" s="83" t="s">
        <v>168</v>
      </c>
      <c r="M1666" s="83" t="s">
        <v>169</v>
      </c>
      <c r="N1666" s="115" t="s">
        <v>170</v>
      </c>
      <c r="O1666" s="98" t="s">
        <v>155</v>
      </c>
      <c r="P1666" s="99" t="str">
        <f>IFERROR(__xludf.DUMMYFUNCTION("IFERROR(VLOOKUP(AS1666,IMPORTRANGE(""https://docs.google.com/spreadsheets/d/1juPI-Fb8LD0YtltB2mlGEnp_R3UVu1t3wSFPzgCyHXE/edit?gid=0#gid=0"",""GERAL!A2:C""),3,0),""-"")"),"CAMPO")</f>
        <v>CAMPO</v>
      </c>
      <c r="Q1666" s="98" t="s">
        <v>171</v>
      </c>
      <c r="R1666" s="98">
        <v>3.0</v>
      </c>
      <c r="S1666" s="98" t="s">
        <v>171</v>
      </c>
      <c r="T1666" s="98" t="s">
        <v>171</v>
      </c>
      <c r="U1666" s="98" t="s">
        <v>171</v>
      </c>
      <c r="V1666" s="98" t="s">
        <v>171</v>
      </c>
      <c r="W1666" s="98" t="s">
        <v>171</v>
      </c>
      <c r="X1666" s="98" t="s">
        <v>171</v>
      </c>
      <c r="Y1666" s="98" t="s">
        <v>171</v>
      </c>
      <c r="Z1666" s="98" t="s">
        <v>171</v>
      </c>
      <c r="AA1666" s="98" t="s">
        <v>171</v>
      </c>
      <c r="AB1666" s="98" t="s">
        <v>171</v>
      </c>
      <c r="AC1666" s="98" t="s">
        <v>171</v>
      </c>
      <c r="AD1666" s="98" t="s">
        <v>171</v>
      </c>
      <c r="AE1666" s="98" t="s">
        <v>171</v>
      </c>
      <c r="AF1666" s="98" t="s">
        <v>171</v>
      </c>
      <c r="AG1666" s="98" t="s">
        <v>171</v>
      </c>
      <c r="AH1666" s="98" t="s">
        <v>171</v>
      </c>
      <c r="AI1666" s="98" t="s">
        <v>171</v>
      </c>
      <c r="AJ1666" s="98" t="s">
        <v>171</v>
      </c>
      <c r="AK1666" s="98" t="s">
        <v>171</v>
      </c>
      <c r="AL1666" s="98" t="s">
        <v>171</v>
      </c>
      <c r="AM1666" s="98" t="s">
        <v>171</v>
      </c>
      <c r="AN1666" s="98" t="s">
        <v>171</v>
      </c>
      <c r="AO1666" s="98" t="s">
        <v>171</v>
      </c>
      <c r="AP1666" s="98" t="s">
        <v>171</v>
      </c>
      <c r="AQ1666" s="98" t="s">
        <v>171</v>
      </c>
      <c r="AR1666" s="102">
        <v>46230.0</v>
      </c>
      <c r="AS1666" s="83">
        <v>1178511.0</v>
      </c>
    </row>
    <row r="1667" ht="15.75" customHeight="1">
      <c r="A1667" s="111" t="s">
        <v>1842</v>
      </c>
      <c r="B1667" s="83" t="s">
        <v>9378</v>
      </c>
      <c r="C1667" s="83" t="s">
        <v>164</v>
      </c>
      <c r="D1667" s="112">
        <v>1112890.0</v>
      </c>
      <c r="E1667" s="83">
        <v>1178513.0</v>
      </c>
      <c r="F1667" s="83"/>
      <c r="G1667" s="91" t="str">
        <f>IFERROR(__xludf.DUMMYFUNCTION("XLOOKUP(AS1667,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JESUS MOURA - DISTRITO SAO JOAO DO SUL")</f>
        <v>ANEXO - COLÉGIO ESTADUAL JESUS MOURA - DISTRITO SAO JOAO DO SUL</v>
      </c>
      <c r="H1667" s="114" t="s">
        <v>9401</v>
      </c>
      <c r="I1667" s="91" t="s">
        <v>9402</v>
      </c>
      <c r="J1667" s="136" t="s">
        <v>149</v>
      </c>
      <c r="K1667" s="83" t="s">
        <v>784</v>
      </c>
      <c r="L1667" s="83" t="s">
        <v>168</v>
      </c>
      <c r="M1667" s="83" t="s">
        <v>169</v>
      </c>
      <c r="N1667" s="115" t="s">
        <v>170</v>
      </c>
      <c r="O1667" s="98" t="s">
        <v>155</v>
      </c>
      <c r="P1667" s="99" t="str">
        <f>IFERROR(__xludf.DUMMYFUNCTION("IFERROR(VLOOKUP(AS1667,IMPORTRANGE(""https://docs.google.com/spreadsheets/d/1juPI-Fb8LD0YtltB2mlGEnp_R3UVu1t3wSFPzgCyHXE/edit?gid=0#gid=0"",""GERAL!A2:C""),3,0),""-"")"),"CAMPO")</f>
        <v>CAMPO</v>
      </c>
      <c r="Q1667" s="98" t="s">
        <v>171</v>
      </c>
      <c r="R1667" s="98">
        <v>3.0</v>
      </c>
      <c r="S1667" s="98" t="s">
        <v>171</v>
      </c>
      <c r="T1667" s="98" t="s">
        <v>171</v>
      </c>
      <c r="U1667" s="98" t="s">
        <v>171</v>
      </c>
      <c r="V1667" s="98" t="s">
        <v>171</v>
      </c>
      <c r="W1667" s="98" t="s">
        <v>171</v>
      </c>
      <c r="X1667" s="98" t="s">
        <v>171</v>
      </c>
      <c r="Y1667" s="98" t="s">
        <v>171</v>
      </c>
      <c r="Z1667" s="98" t="s">
        <v>171</v>
      </c>
      <c r="AA1667" s="98" t="s">
        <v>171</v>
      </c>
      <c r="AB1667" s="98" t="s">
        <v>171</v>
      </c>
      <c r="AC1667" s="98" t="s">
        <v>171</v>
      </c>
      <c r="AD1667" s="98" t="s">
        <v>171</v>
      </c>
      <c r="AE1667" s="98" t="s">
        <v>171</v>
      </c>
      <c r="AF1667" s="98" t="s">
        <v>171</v>
      </c>
      <c r="AG1667" s="98" t="s">
        <v>171</v>
      </c>
      <c r="AH1667" s="98" t="s">
        <v>171</v>
      </c>
      <c r="AI1667" s="98" t="s">
        <v>171</v>
      </c>
      <c r="AJ1667" s="98" t="s">
        <v>171</v>
      </c>
      <c r="AK1667" s="98" t="s">
        <v>171</v>
      </c>
      <c r="AL1667" s="98" t="s">
        <v>171</v>
      </c>
      <c r="AM1667" s="98" t="s">
        <v>171</v>
      </c>
      <c r="AN1667" s="98" t="s">
        <v>171</v>
      </c>
      <c r="AO1667" s="98" t="s">
        <v>171</v>
      </c>
      <c r="AP1667" s="98" t="s">
        <v>171</v>
      </c>
      <c r="AQ1667" s="98" t="s">
        <v>171</v>
      </c>
      <c r="AR1667" s="102">
        <v>46230.0</v>
      </c>
      <c r="AS1667" s="83">
        <v>1178513.0</v>
      </c>
    </row>
    <row r="1668" ht="15.75" customHeight="1">
      <c r="A1668" s="111" t="s">
        <v>1842</v>
      </c>
      <c r="B1668" s="83" t="s">
        <v>9378</v>
      </c>
      <c r="C1668" s="83" t="s">
        <v>164</v>
      </c>
      <c r="D1668" s="112">
        <v>1112890.0</v>
      </c>
      <c r="E1668" s="83">
        <v>1178328.0</v>
      </c>
      <c r="F1668" s="83"/>
      <c r="G1668" s="91" t="str">
        <f>IFERROR(__xludf.DUMMYFUNCTION("XLOOKUP(AS1668,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JESUS MOURA - DISTRITO DE BURANHÉM")</f>
        <v>ANEXO - COLÉGIO ESTADUAL JESUS MOURA - DISTRITO DE BURANHÉM</v>
      </c>
      <c r="H1668" s="114" t="s">
        <v>9409</v>
      </c>
      <c r="I1668" s="91" t="s">
        <v>9410</v>
      </c>
      <c r="J1668" s="136" t="s">
        <v>149</v>
      </c>
      <c r="K1668" s="83" t="s">
        <v>9390</v>
      </c>
      <c r="L1668" s="83" t="s">
        <v>168</v>
      </c>
      <c r="M1668" s="83" t="s">
        <v>169</v>
      </c>
      <c r="N1668" s="115" t="s">
        <v>170</v>
      </c>
      <c r="O1668" s="98" t="s">
        <v>155</v>
      </c>
      <c r="P1668" s="99" t="str">
        <f>IFERROR(__xludf.DUMMYFUNCTION("IFERROR(VLOOKUP(AS1668,IMPORTRANGE(""https://docs.google.com/spreadsheets/d/1juPI-Fb8LD0YtltB2mlGEnp_R3UVu1t3wSFPzgCyHXE/edit?gid=0#gid=0"",""GERAL!A2:C""),3,0),""-"")"),"CAMPO")</f>
        <v>CAMPO</v>
      </c>
      <c r="Q1668" s="98" t="s">
        <v>171</v>
      </c>
      <c r="R1668" s="98">
        <v>3.0</v>
      </c>
      <c r="S1668" s="98" t="s">
        <v>171</v>
      </c>
      <c r="T1668" s="98" t="s">
        <v>171</v>
      </c>
      <c r="U1668" s="98" t="s">
        <v>171</v>
      </c>
      <c r="V1668" s="98" t="s">
        <v>171</v>
      </c>
      <c r="W1668" s="98" t="s">
        <v>171</v>
      </c>
      <c r="X1668" s="98" t="s">
        <v>171</v>
      </c>
      <c r="Y1668" s="98" t="s">
        <v>171</v>
      </c>
      <c r="Z1668" s="98" t="s">
        <v>171</v>
      </c>
      <c r="AA1668" s="98" t="s">
        <v>171</v>
      </c>
      <c r="AB1668" s="98" t="s">
        <v>171</v>
      </c>
      <c r="AC1668" s="98" t="s">
        <v>171</v>
      </c>
      <c r="AD1668" s="98" t="s">
        <v>171</v>
      </c>
      <c r="AE1668" s="98" t="s">
        <v>171</v>
      </c>
      <c r="AF1668" s="98" t="s">
        <v>171</v>
      </c>
      <c r="AG1668" s="98" t="s">
        <v>171</v>
      </c>
      <c r="AH1668" s="98" t="s">
        <v>171</v>
      </c>
      <c r="AI1668" s="98" t="s">
        <v>171</v>
      </c>
      <c r="AJ1668" s="98" t="s">
        <v>171</v>
      </c>
      <c r="AK1668" s="98" t="s">
        <v>171</v>
      </c>
      <c r="AL1668" s="98" t="s">
        <v>171</v>
      </c>
      <c r="AM1668" s="98" t="s">
        <v>171</v>
      </c>
      <c r="AN1668" s="98" t="s">
        <v>171</v>
      </c>
      <c r="AO1668" s="98" t="s">
        <v>171</v>
      </c>
      <c r="AP1668" s="98" t="s">
        <v>171</v>
      </c>
      <c r="AQ1668" s="98" t="s">
        <v>171</v>
      </c>
      <c r="AR1668" s="102">
        <v>46230.0</v>
      </c>
      <c r="AS1668" s="83">
        <v>1178328.0</v>
      </c>
    </row>
    <row r="1669" ht="15.75" customHeight="1">
      <c r="A1669" s="111" t="s">
        <v>1842</v>
      </c>
      <c r="B1669" s="83" t="s">
        <v>9378</v>
      </c>
      <c r="C1669" s="83" t="s">
        <v>164</v>
      </c>
      <c r="D1669" s="112">
        <v>1112890.0</v>
      </c>
      <c r="E1669" s="83">
        <v>1179182.0</v>
      </c>
      <c r="F1669" s="83"/>
      <c r="G1669" s="91" t="str">
        <f>IFERROR(__xludf.DUMMYFUNCTION("XLOOKUP(AS1669,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JESUS MOURA - DISTRITO DE BARRA NOVA")</f>
        <v>ANEXO - COLÉGIO ESTADUAL JESUS MOURA - DISTRITO DE BARRA NOVA</v>
      </c>
      <c r="H1669" s="114" t="s">
        <v>9414</v>
      </c>
      <c r="I1669" s="91" t="s">
        <v>9415</v>
      </c>
      <c r="J1669" s="136" t="s">
        <v>149</v>
      </c>
      <c r="K1669" s="83" t="s">
        <v>187</v>
      </c>
      <c r="L1669" s="83" t="s">
        <v>168</v>
      </c>
      <c r="M1669" s="83" t="s">
        <v>169</v>
      </c>
      <c r="N1669" s="115" t="s">
        <v>170</v>
      </c>
      <c r="O1669" s="98" t="s">
        <v>155</v>
      </c>
      <c r="P1669" s="99" t="str">
        <f>IFERROR(__xludf.DUMMYFUNCTION("IFERROR(VLOOKUP(AS1669,IMPORTRANGE(""https://docs.google.com/spreadsheets/d/1juPI-Fb8LD0YtltB2mlGEnp_R3UVu1t3wSFPzgCyHXE/edit?gid=0#gid=0"",""GERAL!A2:C""),3,0),""-"")"),"CAMPO")</f>
        <v>CAMPO</v>
      </c>
      <c r="Q1669" s="98" t="s">
        <v>171</v>
      </c>
      <c r="R1669" s="98">
        <v>3.0</v>
      </c>
      <c r="S1669" s="98" t="s">
        <v>171</v>
      </c>
      <c r="T1669" s="98" t="s">
        <v>171</v>
      </c>
      <c r="U1669" s="98" t="s">
        <v>171</v>
      </c>
      <c r="V1669" s="98" t="s">
        <v>171</v>
      </c>
      <c r="W1669" s="98" t="s">
        <v>171</v>
      </c>
      <c r="X1669" s="98" t="s">
        <v>171</v>
      </c>
      <c r="Y1669" s="98" t="s">
        <v>171</v>
      </c>
      <c r="Z1669" s="98" t="s">
        <v>171</v>
      </c>
      <c r="AA1669" s="98" t="s">
        <v>171</v>
      </c>
      <c r="AB1669" s="98" t="s">
        <v>171</v>
      </c>
      <c r="AC1669" s="98" t="s">
        <v>171</v>
      </c>
      <c r="AD1669" s="98" t="s">
        <v>171</v>
      </c>
      <c r="AE1669" s="98" t="s">
        <v>171</v>
      </c>
      <c r="AF1669" s="98" t="s">
        <v>171</v>
      </c>
      <c r="AG1669" s="98" t="s">
        <v>171</v>
      </c>
      <c r="AH1669" s="98" t="s">
        <v>171</v>
      </c>
      <c r="AI1669" s="98" t="s">
        <v>171</v>
      </c>
      <c r="AJ1669" s="98" t="s">
        <v>171</v>
      </c>
      <c r="AK1669" s="98" t="s">
        <v>171</v>
      </c>
      <c r="AL1669" s="98" t="s">
        <v>171</v>
      </c>
      <c r="AM1669" s="98" t="s">
        <v>171</v>
      </c>
      <c r="AN1669" s="98" t="s">
        <v>171</v>
      </c>
      <c r="AO1669" s="98" t="s">
        <v>171</v>
      </c>
      <c r="AP1669" s="98" t="s">
        <v>171</v>
      </c>
      <c r="AQ1669" s="98" t="s">
        <v>171</v>
      </c>
      <c r="AR1669" s="102">
        <v>46230.0</v>
      </c>
      <c r="AS1669" s="83">
        <v>1179182.0</v>
      </c>
    </row>
    <row r="1670" ht="15.75" customHeight="1">
      <c r="A1670" s="111" t="s">
        <v>1842</v>
      </c>
      <c r="B1670" s="83" t="s">
        <v>9417</v>
      </c>
      <c r="C1670" s="83" t="s">
        <v>68</v>
      </c>
      <c r="D1670" s="112">
        <v>1170181.0</v>
      </c>
      <c r="E1670" s="83"/>
      <c r="F1670" s="83">
        <v>2.9320623E7</v>
      </c>
      <c r="G1670" s="91" t="str">
        <f>IFERROR(__xludf.DUMMYFUNCTION("XLOOKUP(AS1670,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PAULO FREIRE")</f>
        <v>COLÉGIO ESTADUAL DE TEMPO INTEGRAL PAULO FREIRE</v>
      </c>
      <c r="H1670" s="119" t="s">
        <v>9421</v>
      </c>
      <c r="I1670" s="114" t="s">
        <v>9422</v>
      </c>
      <c r="J1670" s="83" t="s">
        <v>149</v>
      </c>
      <c r="K1670" s="83" t="s">
        <v>150</v>
      </c>
      <c r="L1670" s="83" t="s">
        <v>3467</v>
      </c>
      <c r="M1670" s="98" t="s">
        <v>152</v>
      </c>
      <c r="N1670" s="98" t="s">
        <v>9423</v>
      </c>
      <c r="O1670" s="98" t="s">
        <v>155</v>
      </c>
      <c r="P1670" s="99" t="str">
        <f>IFERROR(__xludf.DUMMYFUNCTION("IFERROR(VLOOKUP(AS1670,IMPORTRANGE(""https://docs.google.com/spreadsheets/d/1juPI-Fb8LD0YtltB2mlGEnp_R3UVu1t3wSFPzgCyHXE/edit?gid=0#gid=0"",""GERAL!A2:C""),3,0),""-"")"),"-")</f>
        <v>-</v>
      </c>
      <c r="Q1670" s="101" t="s">
        <v>156</v>
      </c>
      <c r="R1670" s="98">
        <v>12.0</v>
      </c>
      <c r="S1670" s="98">
        <v>0.0</v>
      </c>
      <c r="T1670" s="98">
        <v>3.0</v>
      </c>
      <c r="U1670" s="98">
        <v>1.0</v>
      </c>
      <c r="V1670" s="98">
        <v>1.0</v>
      </c>
      <c r="W1670" s="98">
        <v>0.0</v>
      </c>
      <c r="X1670" s="98">
        <v>1.0</v>
      </c>
      <c r="Y1670" s="98">
        <v>0.0</v>
      </c>
      <c r="Z1670" s="98">
        <v>0.0</v>
      </c>
      <c r="AA1670" s="98">
        <v>1.0</v>
      </c>
      <c r="AB1670" s="98">
        <v>0.0</v>
      </c>
      <c r="AC1670" s="98">
        <v>0.0</v>
      </c>
      <c r="AD1670" s="98">
        <v>0.0</v>
      </c>
      <c r="AE1670" s="98">
        <v>0.0</v>
      </c>
      <c r="AF1670" s="98">
        <v>1.0</v>
      </c>
      <c r="AG1670" s="98">
        <v>0.0</v>
      </c>
      <c r="AH1670" s="98">
        <v>0.0</v>
      </c>
      <c r="AI1670" s="98">
        <v>0.0</v>
      </c>
      <c r="AJ1670" s="98">
        <v>0.0</v>
      </c>
      <c r="AK1670" s="98">
        <v>0.0</v>
      </c>
      <c r="AL1670" s="98">
        <v>0.0</v>
      </c>
      <c r="AM1670" s="98">
        <v>0.0</v>
      </c>
      <c r="AN1670" s="98">
        <v>0.0</v>
      </c>
      <c r="AO1670" s="98">
        <v>0.0</v>
      </c>
      <c r="AP1670" s="98">
        <v>0.0</v>
      </c>
      <c r="AQ1670" s="83"/>
      <c r="AR1670" s="102">
        <v>46230.0</v>
      </c>
      <c r="AS1670" s="83">
        <v>1170181.0</v>
      </c>
    </row>
    <row r="1671" ht="15.75" customHeight="1">
      <c r="A1671" s="111" t="s">
        <v>1842</v>
      </c>
      <c r="B1671" s="83" t="s">
        <v>9417</v>
      </c>
      <c r="C1671" s="83" t="s">
        <v>164</v>
      </c>
      <c r="D1671" s="112">
        <v>1170181.0</v>
      </c>
      <c r="E1671" s="83">
        <v>1178514.0</v>
      </c>
      <c r="F1671" s="83"/>
      <c r="G1671" s="91" t="str">
        <f>IFERROR(__xludf.DUMMYFUNCTION("XLOOKUP(AS1671,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PAULO FREIRE - POVOADO DE SÃO JOÃO DO MONTE")</f>
        <v>ANEXO - COLÉGIO ESTADUAL PAULO FREIRE - POVOADO DE SÃO JOÃO DO MONTE</v>
      </c>
      <c r="H1671" s="185" t="s">
        <v>9430</v>
      </c>
      <c r="I1671" s="91" t="s">
        <v>9431</v>
      </c>
      <c r="J1671" s="83" t="s">
        <v>149</v>
      </c>
      <c r="K1671" s="83" t="s">
        <v>9390</v>
      </c>
      <c r="L1671" s="83" t="s">
        <v>168</v>
      </c>
      <c r="M1671" s="83" t="s">
        <v>169</v>
      </c>
      <c r="N1671" s="115" t="s">
        <v>170</v>
      </c>
      <c r="O1671" s="98" t="s">
        <v>155</v>
      </c>
      <c r="P1671" s="99" t="str">
        <f>IFERROR(__xludf.DUMMYFUNCTION("IFERROR(VLOOKUP(AS1671,IMPORTRANGE(""https://docs.google.com/spreadsheets/d/1juPI-Fb8LD0YtltB2mlGEnp_R3UVu1t3wSFPzgCyHXE/edit?gid=0#gid=0"",""GERAL!A2:C""),3,0),""-"")"),"CAMPO")</f>
        <v>CAMPO</v>
      </c>
      <c r="Q1671" s="98" t="s">
        <v>171</v>
      </c>
      <c r="R1671" s="98">
        <v>3.0</v>
      </c>
      <c r="S1671" s="98" t="s">
        <v>171</v>
      </c>
      <c r="T1671" s="98" t="s">
        <v>171</v>
      </c>
      <c r="U1671" s="98" t="s">
        <v>171</v>
      </c>
      <c r="V1671" s="98" t="s">
        <v>171</v>
      </c>
      <c r="W1671" s="98" t="s">
        <v>171</v>
      </c>
      <c r="X1671" s="98" t="s">
        <v>171</v>
      </c>
      <c r="Y1671" s="98" t="s">
        <v>171</v>
      </c>
      <c r="Z1671" s="98" t="s">
        <v>171</v>
      </c>
      <c r="AA1671" s="98" t="s">
        <v>171</v>
      </c>
      <c r="AB1671" s="98" t="s">
        <v>171</v>
      </c>
      <c r="AC1671" s="98" t="s">
        <v>171</v>
      </c>
      <c r="AD1671" s="98" t="s">
        <v>171</v>
      </c>
      <c r="AE1671" s="98" t="s">
        <v>171</v>
      </c>
      <c r="AF1671" s="98" t="s">
        <v>171</v>
      </c>
      <c r="AG1671" s="98" t="s">
        <v>171</v>
      </c>
      <c r="AH1671" s="98" t="s">
        <v>171</v>
      </c>
      <c r="AI1671" s="98" t="s">
        <v>171</v>
      </c>
      <c r="AJ1671" s="98" t="s">
        <v>171</v>
      </c>
      <c r="AK1671" s="98" t="s">
        <v>171</v>
      </c>
      <c r="AL1671" s="98" t="s">
        <v>171</v>
      </c>
      <c r="AM1671" s="98" t="s">
        <v>171</v>
      </c>
      <c r="AN1671" s="98" t="s">
        <v>171</v>
      </c>
      <c r="AO1671" s="98" t="s">
        <v>171</v>
      </c>
      <c r="AP1671" s="98" t="s">
        <v>171</v>
      </c>
      <c r="AQ1671" s="98" t="s">
        <v>171</v>
      </c>
      <c r="AR1671" s="102">
        <v>46230.0</v>
      </c>
      <c r="AS1671" s="83">
        <v>1178514.0</v>
      </c>
    </row>
    <row r="1672" ht="15.75" customHeight="1">
      <c r="A1672" s="111" t="s">
        <v>1842</v>
      </c>
      <c r="B1672" s="83" t="s">
        <v>9417</v>
      </c>
      <c r="C1672" s="83" t="s">
        <v>164</v>
      </c>
      <c r="D1672" s="112">
        <v>1170181.0</v>
      </c>
      <c r="E1672" s="83">
        <v>1178515.0</v>
      </c>
      <c r="F1672" s="83"/>
      <c r="G1672" s="91" t="str">
        <f>IFERROR(__xludf.DUMMYFUNCTION("XLOOKUP(AS1672,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PAULO FREIRE - DISTRITO DE MONTE PASCOAL")</f>
        <v>ANEXO - COLÉGIO ESTADUAL PAULO FREIRE - DISTRITO DE MONTE PASCOAL</v>
      </c>
      <c r="H1672" s="185" t="s">
        <v>9434</v>
      </c>
      <c r="I1672" s="91" t="s">
        <v>9435</v>
      </c>
      <c r="J1672" s="83" t="s">
        <v>9436</v>
      </c>
      <c r="K1672" s="83" t="s">
        <v>209</v>
      </c>
      <c r="L1672" s="98" t="s">
        <v>151</v>
      </c>
      <c r="M1672" s="82" t="s">
        <v>169</v>
      </c>
      <c r="N1672" s="115" t="s">
        <v>170</v>
      </c>
      <c r="O1672" s="98" t="s">
        <v>155</v>
      </c>
      <c r="P1672" s="99" t="str">
        <f>IFERROR(__xludf.DUMMYFUNCTION("IFERROR(VLOOKUP(AS1672,IMPORTRANGE(""https://docs.google.com/spreadsheets/d/1juPI-Fb8LD0YtltB2mlGEnp_R3UVu1t3wSFPzgCyHXE/edit?gid=0#gid=0"",""GERAL!A2:C""),3,0),""-"")"),"CAMPO")</f>
        <v>CAMPO</v>
      </c>
      <c r="Q1672" s="98" t="s">
        <v>171</v>
      </c>
      <c r="R1672" s="98">
        <v>4.0</v>
      </c>
      <c r="S1672" s="98">
        <v>0.0</v>
      </c>
      <c r="T1672" s="98">
        <v>0.0</v>
      </c>
      <c r="U1672" s="98">
        <v>0.0</v>
      </c>
      <c r="V1672" s="98">
        <v>1.0</v>
      </c>
      <c r="W1672" s="98">
        <v>0.0</v>
      </c>
      <c r="X1672" s="98">
        <v>1.0</v>
      </c>
      <c r="Y1672" s="98">
        <v>0.0</v>
      </c>
      <c r="Z1672" s="98">
        <v>0.0</v>
      </c>
      <c r="AA1672" s="98">
        <v>1.0</v>
      </c>
      <c r="AB1672" s="98">
        <v>0.0</v>
      </c>
      <c r="AC1672" s="98">
        <v>0.0</v>
      </c>
      <c r="AD1672" s="98">
        <v>0.0</v>
      </c>
      <c r="AE1672" s="98">
        <v>0.0</v>
      </c>
      <c r="AF1672" s="98">
        <v>1.0</v>
      </c>
      <c r="AG1672" s="98">
        <v>0.0</v>
      </c>
      <c r="AH1672" s="98">
        <v>0.0</v>
      </c>
      <c r="AI1672" s="98">
        <v>0.0</v>
      </c>
      <c r="AJ1672" s="98">
        <v>0.0</v>
      </c>
      <c r="AK1672" s="98">
        <v>0.0</v>
      </c>
      <c r="AL1672" s="98">
        <v>0.0</v>
      </c>
      <c r="AM1672" s="98">
        <v>0.0</v>
      </c>
      <c r="AN1672" s="98">
        <v>0.0</v>
      </c>
      <c r="AO1672" s="98">
        <v>0.0</v>
      </c>
      <c r="AP1672" s="98">
        <v>0.0</v>
      </c>
      <c r="AQ1672" s="83"/>
      <c r="AR1672" s="102">
        <v>46230.0</v>
      </c>
      <c r="AS1672" s="83">
        <v>1178515.0</v>
      </c>
    </row>
    <row r="1673" ht="15.75" customHeight="1">
      <c r="A1673" s="111" t="s">
        <v>1842</v>
      </c>
      <c r="B1673" s="83" t="s">
        <v>9417</v>
      </c>
      <c r="C1673" s="83" t="s">
        <v>164</v>
      </c>
      <c r="D1673" s="112">
        <v>1170181.0</v>
      </c>
      <c r="E1673" s="83">
        <v>1178516.0</v>
      </c>
      <c r="F1673" s="83"/>
      <c r="G1673" s="91" t="str">
        <f>IFERROR(__xludf.DUMMYFUNCTION("XLOOKUP(AS1673,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PAULO FREIRE - ASSENTAMENTO CHICO MENDES")</f>
        <v>ANEXO - COLÉGIO ESTADUAL PAULO FREIRE - ASSENTAMENTO CHICO MENDES</v>
      </c>
      <c r="H1673" s="185" t="s">
        <v>9437</v>
      </c>
      <c r="I1673" s="91" t="s">
        <v>9438</v>
      </c>
      <c r="J1673" s="83" t="s">
        <v>149</v>
      </c>
      <c r="K1673" s="83" t="s">
        <v>694</v>
      </c>
      <c r="L1673" s="83" t="s">
        <v>151</v>
      </c>
      <c r="M1673" s="82" t="s">
        <v>169</v>
      </c>
      <c r="N1673" s="115" t="s">
        <v>170</v>
      </c>
      <c r="O1673" s="98" t="s">
        <v>155</v>
      </c>
      <c r="P1673" s="99" t="str">
        <f>IFERROR(__xludf.DUMMYFUNCTION("IFERROR(VLOOKUP(AS1673,IMPORTRANGE(""https://docs.google.com/spreadsheets/d/1juPI-Fb8LD0YtltB2mlGEnp_R3UVu1t3wSFPzgCyHXE/edit?gid=0#gid=0"",""GERAL!A2:C""),3,0),""-"")"),"ASSENTAMENTOS")</f>
        <v>ASSENTAMENTOS</v>
      </c>
      <c r="Q1673" s="98" t="s">
        <v>171</v>
      </c>
      <c r="R1673" s="98">
        <v>3.0</v>
      </c>
      <c r="S1673" s="98" t="s">
        <v>171</v>
      </c>
      <c r="T1673" s="98" t="s">
        <v>171</v>
      </c>
      <c r="U1673" s="98" t="s">
        <v>171</v>
      </c>
      <c r="V1673" s="98" t="s">
        <v>171</v>
      </c>
      <c r="W1673" s="98" t="s">
        <v>171</v>
      </c>
      <c r="X1673" s="98" t="s">
        <v>171</v>
      </c>
      <c r="Y1673" s="98" t="s">
        <v>171</v>
      </c>
      <c r="Z1673" s="98" t="s">
        <v>171</v>
      </c>
      <c r="AA1673" s="98" t="s">
        <v>171</v>
      </c>
      <c r="AB1673" s="98" t="s">
        <v>171</v>
      </c>
      <c r="AC1673" s="98" t="s">
        <v>171</v>
      </c>
      <c r="AD1673" s="98" t="s">
        <v>171</v>
      </c>
      <c r="AE1673" s="98" t="s">
        <v>171</v>
      </c>
      <c r="AF1673" s="98" t="s">
        <v>171</v>
      </c>
      <c r="AG1673" s="98" t="s">
        <v>171</v>
      </c>
      <c r="AH1673" s="98" t="s">
        <v>171</v>
      </c>
      <c r="AI1673" s="98" t="s">
        <v>171</v>
      </c>
      <c r="AJ1673" s="98" t="s">
        <v>171</v>
      </c>
      <c r="AK1673" s="98" t="s">
        <v>171</v>
      </c>
      <c r="AL1673" s="98" t="s">
        <v>171</v>
      </c>
      <c r="AM1673" s="98" t="s">
        <v>171</v>
      </c>
      <c r="AN1673" s="98" t="s">
        <v>171</v>
      </c>
      <c r="AO1673" s="98" t="s">
        <v>171</v>
      </c>
      <c r="AP1673" s="98" t="s">
        <v>171</v>
      </c>
      <c r="AQ1673" s="98" t="s">
        <v>171</v>
      </c>
      <c r="AR1673" s="102">
        <v>46230.0</v>
      </c>
      <c r="AS1673" s="83">
        <v>1178516.0</v>
      </c>
    </row>
    <row r="1674" ht="15.75" customHeight="1">
      <c r="A1674" s="111" t="s">
        <v>1842</v>
      </c>
      <c r="B1674" s="83" t="s">
        <v>9449</v>
      </c>
      <c r="C1674" s="83" t="s">
        <v>68</v>
      </c>
      <c r="D1674" s="112">
        <v>1146493.0</v>
      </c>
      <c r="E1674" s="83"/>
      <c r="F1674" s="83">
        <v>2.9321298E7</v>
      </c>
      <c r="G1674" s="91" t="str">
        <f>IFERROR(__xludf.DUMMYFUNCTION("XLOOKUP(AS1674,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LOIDE ALCANTARA NEVES")</f>
        <v>COLÉGIO ESTADUAL LOIDE ALCANTARA NEVES</v>
      </c>
      <c r="H1674" s="114" t="s">
        <v>9450</v>
      </c>
      <c r="I1674" s="91" t="s">
        <v>9451</v>
      </c>
      <c r="J1674" s="83" t="s">
        <v>149</v>
      </c>
      <c r="K1674" s="83" t="s">
        <v>150</v>
      </c>
      <c r="L1674" s="83" t="s">
        <v>3467</v>
      </c>
      <c r="M1674" s="82" t="s">
        <v>169</v>
      </c>
      <c r="N1674" s="98" t="s">
        <v>9452</v>
      </c>
      <c r="O1674" s="98" t="s">
        <v>155</v>
      </c>
      <c r="P1674" s="99" t="str">
        <f>IFERROR(__xludf.DUMMYFUNCTION("IFERROR(VLOOKUP(AS1674,IMPORTRANGE(""https://docs.google.com/spreadsheets/d/1juPI-Fb8LD0YtltB2mlGEnp_R3UVu1t3wSFPzgCyHXE/edit?gid=0#gid=0"",""GERAL!A2:C""),3,0),""-"")"),"-")</f>
        <v>-</v>
      </c>
      <c r="Q1674" s="101" t="s">
        <v>156</v>
      </c>
      <c r="R1674" s="98">
        <v>6.0</v>
      </c>
      <c r="S1674" s="98">
        <v>0.0</v>
      </c>
      <c r="T1674" s="98">
        <v>0.0</v>
      </c>
      <c r="U1674" s="98">
        <v>0.0</v>
      </c>
      <c r="V1674" s="98">
        <v>0.0</v>
      </c>
      <c r="W1674" s="98">
        <v>0.0</v>
      </c>
      <c r="X1674" s="98">
        <v>0.0</v>
      </c>
      <c r="Y1674" s="98">
        <v>0.0</v>
      </c>
      <c r="Z1674" s="98">
        <v>0.0</v>
      </c>
      <c r="AA1674" s="98">
        <v>0.0</v>
      </c>
      <c r="AB1674" s="98">
        <v>0.0</v>
      </c>
      <c r="AC1674" s="98">
        <v>0.0</v>
      </c>
      <c r="AD1674" s="98">
        <v>0.0</v>
      </c>
      <c r="AE1674" s="98">
        <v>0.0</v>
      </c>
      <c r="AF1674" s="98">
        <v>0.0</v>
      </c>
      <c r="AG1674" s="98">
        <v>0.0</v>
      </c>
      <c r="AH1674" s="98">
        <v>0.0</v>
      </c>
      <c r="AI1674" s="98">
        <v>0.0</v>
      </c>
      <c r="AJ1674" s="98">
        <v>0.0</v>
      </c>
      <c r="AK1674" s="98">
        <v>0.0</v>
      </c>
      <c r="AL1674" s="98">
        <v>0.0</v>
      </c>
      <c r="AM1674" s="98">
        <v>0.0</v>
      </c>
      <c r="AN1674" s="98">
        <v>0.0</v>
      </c>
      <c r="AO1674" s="98">
        <v>0.0</v>
      </c>
      <c r="AP1674" s="98">
        <v>3.0</v>
      </c>
      <c r="AQ1674" s="98" t="s">
        <v>9460</v>
      </c>
      <c r="AR1674" s="102">
        <v>46227.0</v>
      </c>
      <c r="AS1674" s="83">
        <v>1146493.0</v>
      </c>
    </row>
    <row r="1675" ht="15.75" customHeight="1">
      <c r="A1675" s="111" t="s">
        <v>1842</v>
      </c>
      <c r="B1675" s="83" t="s">
        <v>9449</v>
      </c>
      <c r="C1675" s="83" t="s">
        <v>164</v>
      </c>
      <c r="D1675" s="112">
        <v>1146493.0</v>
      </c>
      <c r="E1675" s="83">
        <v>1178517.0</v>
      </c>
      <c r="F1675" s="83"/>
      <c r="G1675" s="91" t="str">
        <f>IFERROR(__xludf.DUMMYFUNCTION("XLOOKUP(AS1675,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LOIDE ALCANTARA NEVES - DISTRITO DE UNIÃO BAHIANA")</f>
        <v>ANEXO - COLÉGIO ESTADUAL LOIDE ALCANTARA NEVES - DISTRITO DE UNIÃO BAHIANA</v>
      </c>
      <c r="H1675" s="114" t="s">
        <v>9461</v>
      </c>
      <c r="I1675" s="91" t="s">
        <v>9462</v>
      </c>
      <c r="J1675" s="83" t="s">
        <v>149</v>
      </c>
      <c r="K1675" s="83" t="s">
        <v>244</v>
      </c>
      <c r="L1675" s="83" t="s">
        <v>168</v>
      </c>
      <c r="M1675" s="82" t="s">
        <v>169</v>
      </c>
      <c r="N1675" s="115" t="s">
        <v>170</v>
      </c>
      <c r="O1675" s="98" t="s">
        <v>155</v>
      </c>
      <c r="P1675" s="99" t="str">
        <f>IFERROR(__xludf.DUMMYFUNCTION("IFERROR(VLOOKUP(AS1675,IMPORTRANGE(""https://docs.google.com/spreadsheets/d/1juPI-Fb8LD0YtltB2mlGEnp_R3UVu1t3wSFPzgCyHXE/edit?gid=0#gid=0"",""GERAL!A2:C""),3,0),""-"")"),"CAMPO")</f>
        <v>CAMPO</v>
      </c>
      <c r="Q1675" s="98" t="s">
        <v>171</v>
      </c>
      <c r="R1675" s="98">
        <v>3.0</v>
      </c>
      <c r="S1675" s="98" t="s">
        <v>171</v>
      </c>
      <c r="T1675" s="98" t="s">
        <v>171</v>
      </c>
      <c r="U1675" s="98" t="s">
        <v>171</v>
      </c>
      <c r="V1675" s="98" t="s">
        <v>171</v>
      </c>
      <c r="W1675" s="98" t="s">
        <v>171</v>
      </c>
      <c r="X1675" s="98" t="s">
        <v>171</v>
      </c>
      <c r="Y1675" s="98" t="s">
        <v>171</v>
      </c>
      <c r="Z1675" s="98" t="s">
        <v>171</v>
      </c>
      <c r="AA1675" s="98" t="s">
        <v>171</v>
      </c>
      <c r="AB1675" s="98" t="s">
        <v>171</v>
      </c>
      <c r="AC1675" s="98" t="s">
        <v>171</v>
      </c>
      <c r="AD1675" s="98" t="s">
        <v>171</v>
      </c>
      <c r="AE1675" s="98" t="s">
        <v>171</v>
      </c>
      <c r="AF1675" s="98" t="s">
        <v>171</v>
      </c>
      <c r="AG1675" s="98" t="s">
        <v>171</v>
      </c>
      <c r="AH1675" s="98" t="s">
        <v>171</v>
      </c>
      <c r="AI1675" s="98" t="s">
        <v>171</v>
      </c>
      <c r="AJ1675" s="98" t="s">
        <v>171</v>
      </c>
      <c r="AK1675" s="98" t="s">
        <v>171</v>
      </c>
      <c r="AL1675" s="98" t="s">
        <v>171</v>
      </c>
      <c r="AM1675" s="98" t="s">
        <v>171</v>
      </c>
      <c r="AN1675" s="98" t="s">
        <v>171</v>
      </c>
      <c r="AO1675" s="98" t="s">
        <v>171</v>
      </c>
      <c r="AP1675" s="98" t="s">
        <v>171</v>
      </c>
      <c r="AQ1675" s="98" t="s">
        <v>171</v>
      </c>
      <c r="AR1675" s="102">
        <v>46227.0</v>
      </c>
      <c r="AS1675" s="83">
        <v>1178517.0</v>
      </c>
    </row>
    <row r="1676" ht="15.75" customHeight="1">
      <c r="A1676" s="111" t="s">
        <v>1842</v>
      </c>
      <c r="B1676" s="83" t="s">
        <v>9464</v>
      </c>
      <c r="C1676" s="83" t="s">
        <v>68</v>
      </c>
      <c r="D1676" s="112">
        <v>1146523.0</v>
      </c>
      <c r="E1676" s="83"/>
      <c r="F1676" s="83">
        <v>2.9309638E7</v>
      </c>
      <c r="G1676" s="91" t="str">
        <f>IFERROR(__xludf.DUMMYFUNCTION("XLOOKUP(AS1676,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CLOVIS ADOLPHO STOLZE - TEMPO INTEGRAL")</f>
        <v>COLÉGIO ESTADUAL CLOVIS ADOLPHO STOLZE - TEMPO INTEGRAL</v>
      </c>
      <c r="H1676" s="114" t="s">
        <v>9465</v>
      </c>
      <c r="I1676" s="91" t="s">
        <v>9466</v>
      </c>
      <c r="J1676" s="83" t="s">
        <v>149</v>
      </c>
      <c r="K1676" s="83" t="s">
        <v>150</v>
      </c>
      <c r="L1676" s="83" t="s">
        <v>151</v>
      </c>
      <c r="M1676" s="82" t="s">
        <v>152</v>
      </c>
      <c r="N1676" s="98" t="s">
        <v>9467</v>
      </c>
      <c r="O1676" s="98" t="s">
        <v>155</v>
      </c>
      <c r="P1676" s="99" t="str">
        <f>IFERROR(__xludf.DUMMYFUNCTION("IFERROR(VLOOKUP(AS1676,IMPORTRANGE(""https://docs.google.com/spreadsheets/d/1juPI-Fb8LD0YtltB2mlGEnp_R3UVu1t3wSFPzgCyHXE/edit?gid=0#gid=0"",""GERAL!A2:C""),3,0),""-"")"),"-")</f>
        <v>-</v>
      </c>
      <c r="Q1676" s="101" t="s">
        <v>156</v>
      </c>
      <c r="R1676" s="98">
        <v>10.0</v>
      </c>
      <c r="S1676" s="98">
        <v>0.0</v>
      </c>
      <c r="T1676" s="98">
        <v>0.0</v>
      </c>
      <c r="U1676" s="98">
        <v>0.0</v>
      </c>
      <c r="V1676" s="98">
        <v>0.0</v>
      </c>
      <c r="W1676" s="98">
        <v>0.0</v>
      </c>
      <c r="X1676" s="98">
        <v>0.0</v>
      </c>
      <c r="Y1676" s="98">
        <v>0.0</v>
      </c>
      <c r="Z1676" s="98">
        <v>0.0</v>
      </c>
      <c r="AA1676" s="98">
        <v>0.0</v>
      </c>
      <c r="AB1676" s="98">
        <v>0.0</v>
      </c>
      <c r="AC1676" s="98">
        <v>0.0</v>
      </c>
      <c r="AD1676" s="98">
        <v>0.0</v>
      </c>
      <c r="AE1676" s="98">
        <v>0.0</v>
      </c>
      <c r="AF1676" s="98">
        <v>0.0</v>
      </c>
      <c r="AG1676" s="98">
        <v>0.0</v>
      </c>
      <c r="AH1676" s="98">
        <v>0.0</v>
      </c>
      <c r="AI1676" s="98">
        <v>0.0</v>
      </c>
      <c r="AJ1676" s="98">
        <v>0.0</v>
      </c>
      <c r="AK1676" s="98">
        <v>0.0</v>
      </c>
      <c r="AL1676" s="98">
        <v>0.0</v>
      </c>
      <c r="AM1676" s="98">
        <v>0.0</v>
      </c>
      <c r="AN1676" s="98">
        <v>0.0</v>
      </c>
      <c r="AO1676" s="98">
        <v>0.0</v>
      </c>
      <c r="AP1676" s="98">
        <v>4.0</v>
      </c>
      <c r="AQ1676" s="98" t="s">
        <v>9469</v>
      </c>
      <c r="AR1676" s="102">
        <v>46241.0</v>
      </c>
      <c r="AS1676" s="83">
        <v>1146523.0</v>
      </c>
    </row>
    <row r="1677" ht="15.75" customHeight="1">
      <c r="A1677" s="111" t="s">
        <v>1842</v>
      </c>
      <c r="B1677" s="83" t="s">
        <v>9464</v>
      </c>
      <c r="C1677" s="83" t="s">
        <v>164</v>
      </c>
      <c r="D1677" s="112">
        <v>1146523.0</v>
      </c>
      <c r="E1677" s="83">
        <v>1178528.0</v>
      </c>
      <c r="F1677" s="83"/>
      <c r="G1677" s="91" t="str">
        <f>IFERROR(__xludf.DUMMYFUNCTION("XLOOKUP(AS1677,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CLOVIS ADOLPHO STOLZE - POVOADO DE CAIUBI")</f>
        <v>ANEXO - COLÉGIO ESTADUAL CLOVIS ADOLPHO STOLZE - POVOADO DE CAIUBI</v>
      </c>
      <c r="H1677" s="114" t="s">
        <v>9470</v>
      </c>
      <c r="I1677" s="91" t="s">
        <v>9471</v>
      </c>
      <c r="J1677" s="83" t="s">
        <v>149</v>
      </c>
      <c r="K1677" s="83" t="s">
        <v>183</v>
      </c>
      <c r="L1677" s="83" t="s">
        <v>168</v>
      </c>
      <c r="M1677" s="82" t="s">
        <v>169</v>
      </c>
      <c r="N1677" s="115" t="s">
        <v>170</v>
      </c>
      <c r="O1677" s="98" t="s">
        <v>155</v>
      </c>
      <c r="P1677" s="99" t="str">
        <f>IFERROR(__xludf.DUMMYFUNCTION("IFERROR(VLOOKUP(AS1677,IMPORTRANGE(""https://docs.google.com/spreadsheets/d/1juPI-Fb8LD0YtltB2mlGEnp_R3UVu1t3wSFPzgCyHXE/edit?gid=0#gid=0"",""GERAL!A2:C""),3,0),""-"")"),"CAMPO")</f>
        <v>CAMPO</v>
      </c>
      <c r="Q1677" s="98" t="s">
        <v>171</v>
      </c>
      <c r="R1677" s="98">
        <v>2.0</v>
      </c>
      <c r="S1677" s="98" t="s">
        <v>171</v>
      </c>
      <c r="T1677" s="98" t="s">
        <v>171</v>
      </c>
      <c r="U1677" s="98" t="s">
        <v>171</v>
      </c>
      <c r="V1677" s="98" t="s">
        <v>171</v>
      </c>
      <c r="W1677" s="98" t="s">
        <v>171</v>
      </c>
      <c r="X1677" s="98" t="s">
        <v>171</v>
      </c>
      <c r="Y1677" s="98" t="s">
        <v>171</v>
      </c>
      <c r="Z1677" s="98" t="s">
        <v>171</v>
      </c>
      <c r="AA1677" s="98" t="s">
        <v>171</v>
      </c>
      <c r="AB1677" s="98" t="s">
        <v>171</v>
      </c>
      <c r="AC1677" s="98" t="s">
        <v>171</v>
      </c>
      <c r="AD1677" s="98" t="s">
        <v>171</v>
      </c>
      <c r="AE1677" s="98" t="s">
        <v>171</v>
      </c>
      <c r="AF1677" s="98" t="s">
        <v>171</v>
      </c>
      <c r="AG1677" s="98" t="s">
        <v>171</v>
      </c>
      <c r="AH1677" s="98" t="s">
        <v>171</v>
      </c>
      <c r="AI1677" s="98" t="s">
        <v>171</v>
      </c>
      <c r="AJ1677" s="98" t="s">
        <v>171</v>
      </c>
      <c r="AK1677" s="98" t="s">
        <v>171</v>
      </c>
      <c r="AL1677" s="98" t="s">
        <v>171</v>
      </c>
      <c r="AM1677" s="98" t="s">
        <v>171</v>
      </c>
      <c r="AN1677" s="98" t="s">
        <v>171</v>
      </c>
      <c r="AO1677" s="98" t="s">
        <v>171</v>
      </c>
      <c r="AP1677" s="98" t="s">
        <v>171</v>
      </c>
      <c r="AQ1677" s="98" t="s">
        <v>171</v>
      </c>
      <c r="AR1677" s="102">
        <v>46241.0</v>
      </c>
      <c r="AS1677" s="83">
        <v>1178528.0</v>
      </c>
    </row>
    <row r="1678" ht="62.25" customHeight="1">
      <c r="A1678" s="111" t="s">
        <v>1842</v>
      </c>
      <c r="B1678" s="83" t="s">
        <v>2383</v>
      </c>
      <c r="C1678" s="83" t="s">
        <v>68</v>
      </c>
      <c r="D1678" s="112">
        <v>1141149.0</v>
      </c>
      <c r="E1678" s="83"/>
      <c r="F1678" s="83">
        <v>2.9326028E7</v>
      </c>
      <c r="G1678" s="91" t="str">
        <f>IFERROR(__xludf.DUMMYFUNCTION("XLOOKUP(AS1678,
IMPORTRANGE(""https://docs.google.com/spreadsheets/d/1YM-djuOLXomrZ9W0B4TyIBsVWnXY4EIOFD9HY-qGfv0/edit?usp=sharing"",""GERAL!BG5:BG""),
IMPORTRANGE(""https://docs.google.com/spreadsheets/d/1YM-djuOLXomrZ9W0B4TyIBsVWnXY4EIOFD9HY-qGfv0/edit?"&amp;"usp=sharing"",""GERAL!G5:G""),
""CÓD. SEC NÃO ENCONTRADO NA PLANILHA DE MATRÍCULA"")"),"COMPLEXO INTEGRADO DE EDUCACAO DE PORTO SEGURO - CIE DE PORTO SEGURO - TEMPO INTEGRAL")</f>
        <v>COMPLEXO INTEGRADO DE EDUCACAO DE PORTO SEGURO - CIE DE PORTO SEGURO - TEMPO INTEGRAL</v>
      </c>
      <c r="H1678" s="114" t="s">
        <v>9476</v>
      </c>
      <c r="I1678" s="91" t="s">
        <v>9477</v>
      </c>
      <c r="J1678" s="172" t="s">
        <v>149</v>
      </c>
      <c r="K1678" s="83" t="s">
        <v>150</v>
      </c>
      <c r="L1678" s="83" t="s">
        <v>3467</v>
      </c>
      <c r="M1678" s="82" t="s">
        <v>230</v>
      </c>
      <c r="N1678" s="98" t="s">
        <v>9478</v>
      </c>
      <c r="O1678" s="98" t="s">
        <v>155</v>
      </c>
      <c r="P1678" s="99" t="str">
        <f>IFERROR(__xludf.DUMMYFUNCTION("IFERROR(VLOOKUP(AS1678,IMPORTRANGE(""https://docs.google.com/spreadsheets/d/1juPI-Fb8LD0YtltB2mlGEnp_R3UVu1t3wSFPzgCyHXE/edit?gid=0#gid=0"",""GERAL!A2:C""),3,0),""-"")"),"-")</f>
        <v>-</v>
      </c>
      <c r="Q1678" s="101" t="s">
        <v>156</v>
      </c>
      <c r="R1678" s="98">
        <v>18.0</v>
      </c>
      <c r="S1678" s="98">
        <v>0.0</v>
      </c>
      <c r="T1678" s="98">
        <v>0.0</v>
      </c>
      <c r="U1678" s="98">
        <v>0.0</v>
      </c>
      <c r="V1678" s="98">
        <v>0.0</v>
      </c>
      <c r="W1678" s="98">
        <v>2.0</v>
      </c>
      <c r="X1678" s="98">
        <v>0.0</v>
      </c>
      <c r="Y1678" s="98">
        <v>0.0</v>
      </c>
      <c r="Z1678" s="98">
        <v>0.0</v>
      </c>
      <c r="AA1678" s="98">
        <v>0.0</v>
      </c>
      <c r="AB1678" s="98">
        <v>1.0</v>
      </c>
      <c r="AC1678" s="98">
        <v>0.0</v>
      </c>
      <c r="AD1678" s="98">
        <v>0.0</v>
      </c>
      <c r="AE1678" s="98">
        <v>0.0</v>
      </c>
      <c r="AF1678" s="98">
        <v>1.0</v>
      </c>
      <c r="AG1678" s="98">
        <v>0.0</v>
      </c>
      <c r="AH1678" s="98">
        <v>0.0</v>
      </c>
      <c r="AI1678" s="98">
        <v>0.0</v>
      </c>
      <c r="AJ1678" s="98">
        <v>0.0</v>
      </c>
      <c r="AK1678" s="98">
        <v>0.0</v>
      </c>
      <c r="AL1678" s="98">
        <v>0.0</v>
      </c>
      <c r="AM1678" s="98">
        <v>0.0</v>
      </c>
      <c r="AN1678" s="98">
        <v>0.0</v>
      </c>
      <c r="AO1678" s="98">
        <v>0.0</v>
      </c>
      <c r="AP1678" s="98">
        <v>3.0</v>
      </c>
      <c r="AQ1678" s="98" t="s">
        <v>9486</v>
      </c>
      <c r="AR1678" s="102">
        <v>46218.0</v>
      </c>
      <c r="AS1678" s="83">
        <v>1141149.0</v>
      </c>
    </row>
    <row r="1679" ht="81.75" customHeight="1">
      <c r="A1679" s="111" t="s">
        <v>1842</v>
      </c>
      <c r="B1679" s="83" t="s">
        <v>2383</v>
      </c>
      <c r="C1679" s="83" t="s">
        <v>68</v>
      </c>
      <c r="D1679" s="98">
        <v>1179823.0</v>
      </c>
      <c r="E1679" s="83"/>
      <c r="F1679" s="83"/>
      <c r="G1679" s="91" t="str">
        <f>IFERROR(__xludf.DUMMYFUNCTION("XLOOKUP(AS1679,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INDIGENA PATAXO BOCA DA MATA")</f>
        <v>COLEGIO ESTADUAL INDIGENA PATAXO BOCA DA MATA</v>
      </c>
      <c r="H1679" s="119" t="s">
        <v>9488</v>
      </c>
      <c r="I1679" s="108" t="s">
        <v>9489</v>
      </c>
      <c r="J1679" s="83"/>
      <c r="K1679" s="83"/>
      <c r="L1679" s="83" t="s">
        <v>168</v>
      </c>
      <c r="M1679" s="82" t="s">
        <v>169</v>
      </c>
      <c r="N1679" s="98" t="s">
        <v>9490</v>
      </c>
      <c r="O1679" s="98"/>
      <c r="P1679" s="99" t="str">
        <f>IFERROR(__xludf.DUMMYFUNCTION("IFERROR(VLOOKUP(AS1679,IMPORTRANGE(""https://docs.google.com/spreadsheets/d/1juPI-Fb8LD0YtltB2mlGEnp_R3UVu1t3wSFPzgCyHXE/edit?gid=0#gid=0"",""GERAL!A2:C""),3,0),""-"")"),"INDÍGENAS")</f>
        <v>INDÍGENAS</v>
      </c>
      <c r="Q1679" s="101" t="s">
        <v>156</v>
      </c>
      <c r="R1679" s="98">
        <v>3.0</v>
      </c>
      <c r="S1679" s="98" t="s">
        <v>171</v>
      </c>
      <c r="T1679" s="98" t="s">
        <v>171</v>
      </c>
      <c r="U1679" s="98" t="s">
        <v>171</v>
      </c>
      <c r="V1679" s="98" t="s">
        <v>171</v>
      </c>
      <c r="W1679" s="98" t="s">
        <v>171</v>
      </c>
      <c r="X1679" s="98" t="s">
        <v>171</v>
      </c>
      <c r="Y1679" s="98" t="s">
        <v>171</v>
      </c>
      <c r="Z1679" s="98" t="s">
        <v>171</v>
      </c>
      <c r="AA1679" s="98" t="s">
        <v>171</v>
      </c>
      <c r="AB1679" s="98" t="s">
        <v>171</v>
      </c>
      <c r="AC1679" s="98" t="s">
        <v>171</v>
      </c>
      <c r="AD1679" s="98" t="s">
        <v>171</v>
      </c>
      <c r="AE1679" s="98" t="s">
        <v>171</v>
      </c>
      <c r="AF1679" s="98" t="s">
        <v>171</v>
      </c>
      <c r="AG1679" s="98" t="s">
        <v>171</v>
      </c>
      <c r="AH1679" s="98" t="s">
        <v>171</v>
      </c>
      <c r="AI1679" s="98" t="s">
        <v>171</v>
      </c>
      <c r="AJ1679" s="98" t="s">
        <v>171</v>
      </c>
      <c r="AK1679" s="98" t="s">
        <v>171</v>
      </c>
      <c r="AL1679" s="98" t="s">
        <v>171</v>
      </c>
      <c r="AM1679" s="98" t="s">
        <v>171</v>
      </c>
      <c r="AN1679" s="98" t="s">
        <v>171</v>
      </c>
      <c r="AO1679" s="98" t="s">
        <v>171</v>
      </c>
      <c r="AP1679" s="98" t="s">
        <v>171</v>
      </c>
      <c r="AQ1679" s="98" t="s">
        <v>171</v>
      </c>
      <c r="AR1679" s="102">
        <v>46218.0</v>
      </c>
      <c r="AS1679" s="98">
        <v>1179823.0</v>
      </c>
    </row>
    <row r="1680" ht="15.75" customHeight="1">
      <c r="A1680" s="111" t="s">
        <v>1842</v>
      </c>
      <c r="B1680" s="83" t="s">
        <v>2383</v>
      </c>
      <c r="C1680" s="83" t="s">
        <v>68</v>
      </c>
      <c r="D1680" s="98">
        <v>1179818.0</v>
      </c>
      <c r="E1680" s="83"/>
      <c r="F1680" s="83"/>
      <c r="G1680" s="91" t="str">
        <f>IFERROR(__xludf.DUMMYFUNCTION("XLOOKUP(AS1680,
IMPORTRANGE(""https://docs.google.com/spreadsheets/d/1YM-djuOLXomrZ9W0B4TyIBsVWnXY4EIOFD9HY-qGfv0/edit?usp=sharing"",""GERAL!BG5:BG""),
IMPORTRANGE(""https://docs.google.com/spreadsheets/d/1YM-djuOLXomrZ9W0B4TyIBsVWnXY4EIOFD9HY-qGfv0/edit?"&amp;"usp=sharing"",""GERAL!G5:G""),
""CÓD. SEC NÃO ENCONTRADO NA PLANILHA DE MATRÍCULA"")"),"COLEGIO ESTADUAL INDIGENA PATAXO BARRA VELHA  - DISTRITO DE CARAIVA")</f>
        <v>COLEGIO ESTADUAL INDIGENA PATAXO BARRA VELHA  - DISTRITO DE CARAIVA</v>
      </c>
      <c r="H1680" s="119" t="s">
        <v>9494</v>
      </c>
      <c r="I1680" s="108" t="s">
        <v>9495</v>
      </c>
      <c r="J1680" s="83"/>
      <c r="K1680" s="83"/>
      <c r="L1680" s="83" t="s">
        <v>168</v>
      </c>
      <c r="M1680" s="82" t="s">
        <v>169</v>
      </c>
      <c r="N1680" s="98" t="s">
        <v>9499</v>
      </c>
      <c r="O1680" s="98"/>
      <c r="P1680" s="99" t="str">
        <f>IFERROR(__xludf.DUMMYFUNCTION("IFERROR(VLOOKUP(AS1680,IMPORTRANGE(""https://docs.google.com/spreadsheets/d/1juPI-Fb8LD0YtltB2mlGEnp_R3UVu1t3wSFPzgCyHXE/edit?gid=0#gid=0"",""GERAL!A2:C""),3,0),""-"")"),"INDÍGENAS")</f>
        <v>INDÍGENAS</v>
      </c>
      <c r="Q1680" s="98" t="s">
        <v>171</v>
      </c>
      <c r="R1680" s="98">
        <v>4.0</v>
      </c>
      <c r="S1680" s="98" t="s">
        <v>171</v>
      </c>
      <c r="T1680" s="98" t="s">
        <v>171</v>
      </c>
      <c r="U1680" s="98" t="s">
        <v>171</v>
      </c>
      <c r="V1680" s="98" t="s">
        <v>171</v>
      </c>
      <c r="W1680" s="98" t="s">
        <v>171</v>
      </c>
      <c r="X1680" s="98" t="s">
        <v>171</v>
      </c>
      <c r="Y1680" s="98" t="s">
        <v>171</v>
      </c>
      <c r="Z1680" s="98" t="s">
        <v>171</v>
      </c>
      <c r="AA1680" s="98" t="s">
        <v>171</v>
      </c>
      <c r="AB1680" s="98" t="s">
        <v>171</v>
      </c>
      <c r="AC1680" s="98" t="s">
        <v>171</v>
      </c>
      <c r="AD1680" s="98" t="s">
        <v>171</v>
      </c>
      <c r="AE1680" s="98" t="s">
        <v>171</v>
      </c>
      <c r="AF1680" s="98" t="s">
        <v>171</v>
      </c>
      <c r="AG1680" s="98" t="s">
        <v>171</v>
      </c>
      <c r="AH1680" s="98" t="s">
        <v>171</v>
      </c>
      <c r="AI1680" s="98" t="s">
        <v>171</v>
      </c>
      <c r="AJ1680" s="98" t="s">
        <v>171</v>
      </c>
      <c r="AK1680" s="98" t="s">
        <v>171</v>
      </c>
      <c r="AL1680" s="98" t="s">
        <v>171</v>
      </c>
      <c r="AM1680" s="98" t="s">
        <v>171</v>
      </c>
      <c r="AN1680" s="98" t="s">
        <v>171</v>
      </c>
      <c r="AO1680" s="98" t="s">
        <v>171</v>
      </c>
      <c r="AP1680" s="98" t="s">
        <v>171</v>
      </c>
      <c r="AQ1680" s="98" t="s">
        <v>171</v>
      </c>
      <c r="AR1680" s="102">
        <v>46218.0</v>
      </c>
      <c r="AS1680" s="98">
        <v>1179818.0</v>
      </c>
    </row>
    <row r="1681" ht="15.75" customHeight="1">
      <c r="A1681" s="111" t="s">
        <v>1842</v>
      </c>
      <c r="B1681" s="83" t="s">
        <v>2383</v>
      </c>
      <c r="C1681" s="83" t="s">
        <v>68</v>
      </c>
      <c r="D1681" s="208">
        <v>1178042.0</v>
      </c>
      <c r="E1681" s="83"/>
      <c r="F1681" s="83">
        <v>2.9428254E7</v>
      </c>
      <c r="G1681" s="91" t="str">
        <f>IFERROR(__xludf.DUMMYFUNCTION("XLOOKUP(AS1681,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DO CAMPO DOUTOR ERALDO TINOCO - DISTRITO DE VERA CRUZ")</f>
        <v>COLÉGIO ESTADUAL DO CAMPO DOUTOR ERALDO TINOCO - DISTRITO DE VERA CRUZ</v>
      </c>
      <c r="H1681" s="114" t="s">
        <v>9503</v>
      </c>
      <c r="I1681" s="91" t="s">
        <v>9504</v>
      </c>
      <c r="J1681" s="83" t="s">
        <v>149</v>
      </c>
      <c r="K1681" s="83" t="s">
        <v>209</v>
      </c>
      <c r="L1681" s="83" t="s">
        <v>168</v>
      </c>
      <c r="M1681" s="82" t="s">
        <v>169</v>
      </c>
      <c r="N1681" s="98" t="s">
        <v>9506</v>
      </c>
      <c r="O1681" s="98" t="s">
        <v>155</v>
      </c>
      <c r="P1681" s="99" t="str">
        <f>IFERROR(__xludf.DUMMYFUNCTION("IFERROR(VLOOKUP(AS1681,IMPORTRANGE(""https://docs.google.com/spreadsheets/d/1juPI-Fb8LD0YtltB2mlGEnp_R3UVu1t3wSFPzgCyHXE/edit?gid=0#gid=0"",""GERAL!A2:C""),3,0),""-"")"),"CAMPO")</f>
        <v>CAMPO</v>
      </c>
      <c r="Q1681" s="101" t="s">
        <v>156</v>
      </c>
      <c r="R1681" s="98">
        <v>11.0</v>
      </c>
      <c r="S1681" s="98">
        <v>1.0</v>
      </c>
      <c r="T1681" s="98">
        <v>0.0</v>
      </c>
      <c r="U1681" s="98">
        <v>0.0</v>
      </c>
      <c r="V1681" s="98">
        <v>0.0</v>
      </c>
      <c r="W1681" s="98">
        <v>0.0</v>
      </c>
      <c r="X1681" s="98">
        <v>0.0</v>
      </c>
      <c r="Y1681" s="98">
        <v>0.0</v>
      </c>
      <c r="Z1681" s="98">
        <v>0.0</v>
      </c>
      <c r="AA1681" s="98">
        <v>0.0</v>
      </c>
      <c r="AB1681" s="98">
        <v>0.0</v>
      </c>
      <c r="AC1681" s="98">
        <v>0.0</v>
      </c>
      <c r="AD1681" s="98">
        <v>0.0</v>
      </c>
      <c r="AE1681" s="98">
        <v>0.0</v>
      </c>
      <c r="AF1681" s="98">
        <v>0.0</v>
      </c>
      <c r="AG1681" s="98">
        <v>0.0</v>
      </c>
      <c r="AH1681" s="98">
        <v>0.0</v>
      </c>
      <c r="AI1681" s="98">
        <v>0.0</v>
      </c>
      <c r="AJ1681" s="98">
        <v>0.0</v>
      </c>
      <c r="AK1681" s="98">
        <v>0.0</v>
      </c>
      <c r="AL1681" s="98">
        <v>0.0</v>
      </c>
      <c r="AM1681" s="98">
        <v>0.0</v>
      </c>
      <c r="AN1681" s="98">
        <v>0.0</v>
      </c>
      <c r="AO1681" s="98">
        <v>0.0</v>
      </c>
      <c r="AP1681" s="98">
        <v>4.0</v>
      </c>
      <c r="AQ1681" s="98" t="s">
        <v>9509</v>
      </c>
      <c r="AR1681" s="102">
        <v>46218.0</v>
      </c>
      <c r="AS1681" s="83">
        <v>1178042.0</v>
      </c>
    </row>
    <row r="1682" ht="15.75" customHeight="1">
      <c r="A1682" s="111" t="s">
        <v>1842</v>
      </c>
      <c r="B1682" s="83" t="s">
        <v>2383</v>
      </c>
      <c r="C1682" s="83" t="s">
        <v>68</v>
      </c>
      <c r="D1682" s="208">
        <v>1178043.0</v>
      </c>
      <c r="E1682" s="83"/>
      <c r="F1682" s="83">
        <v>2.943145E7</v>
      </c>
      <c r="G1682" s="91" t="str">
        <f>IFERROR(__xludf.DUMMYFUNCTION("XLOOKUP(AS1682,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TRANCOSO - DISTRITO DE TRANCOSO")</f>
        <v>COLÉGIO ESTADUAL DE TRANCOSO - DISTRITO DE TRANCOSO</v>
      </c>
      <c r="H1682" s="114" t="s">
        <v>9510</v>
      </c>
      <c r="I1682" s="91" t="s">
        <v>9511</v>
      </c>
      <c r="J1682" s="83" t="s">
        <v>149</v>
      </c>
      <c r="K1682" s="83" t="s">
        <v>568</v>
      </c>
      <c r="L1682" s="83" t="s">
        <v>3467</v>
      </c>
      <c r="M1682" s="82" t="s">
        <v>230</v>
      </c>
      <c r="N1682" s="98" t="s">
        <v>9512</v>
      </c>
      <c r="O1682" s="98" t="s">
        <v>155</v>
      </c>
      <c r="P1682" s="99" t="str">
        <f>IFERROR(__xludf.DUMMYFUNCTION("IFERROR(VLOOKUP(AS1682,IMPORTRANGE(""https://docs.google.com/spreadsheets/d/1juPI-Fb8LD0YtltB2mlGEnp_R3UVu1t3wSFPzgCyHXE/edit?gid=0#gid=0"",""GERAL!A2:C""),3,0),""-"")"),"-")</f>
        <v>-</v>
      </c>
      <c r="Q1682" s="101" t="s">
        <v>156</v>
      </c>
      <c r="R1682" s="98">
        <v>8.0</v>
      </c>
      <c r="S1682" s="98">
        <v>0.0</v>
      </c>
      <c r="T1682" s="98">
        <v>0.0</v>
      </c>
      <c r="U1682" s="98">
        <v>0.0</v>
      </c>
      <c r="V1682" s="98">
        <v>0.0</v>
      </c>
      <c r="W1682" s="98">
        <v>0.0</v>
      </c>
      <c r="X1682" s="98">
        <v>0.0</v>
      </c>
      <c r="Y1682" s="98">
        <v>0.0</v>
      </c>
      <c r="Z1682" s="98">
        <v>0.0</v>
      </c>
      <c r="AA1682" s="98">
        <v>0.0</v>
      </c>
      <c r="AB1682" s="98">
        <v>0.0</v>
      </c>
      <c r="AC1682" s="98">
        <v>0.0</v>
      </c>
      <c r="AD1682" s="98">
        <v>0.0</v>
      </c>
      <c r="AE1682" s="98">
        <v>0.0</v>
      </c>
      <c r="AF1682" s="98">
        <v>0.0</v>
      </c>
      <c r="AG1682" s="98">
        <v>0.0</v>
      </c>
      <c r="AH1682" s="98">
        <v>0.0</v>
      </c>
      <c r="AI1682" s="98">
        <v>0.0</v>
      </c>
      <c r="AJ1682" s="98">
        <v>0.0</v>
      </c>
      <c r="AK1682" s="98">
        <v>0.0</v>
      </c>
      <c r="AL1682" s="98">
        <v>0.0</v>
      </c>
      <c r="AM1682" s="98">
        <v>0.0</v>
      </c>
      <c r="AN1682" s="98">
        <v>0.0</v>
      </c>
      <c r="AO1682" s="98">
        <v>0.0</v>
      </c>
      <c r="AP1682" s="98">
        <v>3.0</v>
      </c>
      <c r="AQ1682" s="98" t="s">
        <v>9518</v>
      </c>
      <c r="AR1682" s="102">
        <v>46218.0</v>
      </c>
      <c r="AS1682" s="83">
        <v>1178043.0</v>
      </c>
    </row>
    <row r="1683" ht="15.75" customHeight="1">
      <c r="A1683" s="111" t="s">
        <v>1842</v>
      </c>
      <c r="B1683" s="83" t="s">
        <v>2383</v>
      </c>
      <c r="C1683" s="83" t="s">
        <v>68</v>
      </c>
      <c r="D1683" s="208">
        <v>1177093.0</v>
      </c>
      <c r="E1683" s="83"/>
      <c r="F1683" s="83">
        <v>2.9422345E7</v>
      </c>
      <c r="G1683" s="91" t="str">
        <f>IFERROR(__xludf.DUMMYFUNCTION("XLOOKUP(AS1683,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DE TEMPO INTEGRAL DE PORTO SEGURO 
(ANTIGO COLÉGIO MODELO LUIS EDUARDO MAGALHAES)")</f>
        <v>COLÉGIO ESTADUAL DE TEMPO INTEGRAL DE PORTO SEGURO 
(ANTIGO COLÉGIO MODELO LUIS EDUARDO MAGALHAES)</v>
      </c>
      <c r="H1683" s="119" t="s">
        <v>9519</v>
      </c>
      <c r="I1683" s="91" t="s">
        <v>9520</v>
      </c>
      <c r="J1683" s="98" t="s">
        <v>9521</v>
      </c>
      <c r="K1683" s="83" t="s">
        <v>150</v>
      </c>
      <c r="L1683" s="83" t="s">
        <v>3467</v>
      </c>
      <c r="M1683" s="82" t="s">
        <v>230</v>
      </c>
      <c r="N1683" s="98" t="s">
        <v>9523</v>
      </c>
      <c r="O1683" s="98" t="s">
        <v>176</v>
      </c>
      <c r="P1683" s="99" t="str">
        <f>IFERROR(__xludf.DUMMYFUNCTION("IFERROR(VLOOKUP(AS1683,IMPORTRANGE(""https://docs.google.com/spreadsheets/d/1juPI-Fb8LD0YtltB2mlGEnp_R3UVu1t3wSFPzgCyHXE/edit?gid=0#gid=0"",""GERAL!A2:C""),3,0),""-"")"),"-")</f>
        <v>-</v>
      </c>
      <c r="Q1683" s="101" t="s">
        <v>156</v>
      </c>
      <c r="R1683" s="98">
        <v>27.0</v>
      </c>
      <c r="S1683" s="98">
        <v>0.0</v>
      </c>
      <c r="T1683" s="98">
        <v>0.0</v>
      </c>
      <c r="U1683" s="98">
        <v>0.0</v>
      </c>
      <c r="V1683" s="98">
        <v>0.0</v>
      </c>
      <c r="W1683" s="98">
        <v>1.0</v>
      </c>
      <c r="X1683" s="98">
        <v>1.0</v>
      </c>
      <c r="Y1683" s="98">
        <v>0.0</v>
      </c>
      <c r="Z1683" s="98">
        <v>0.0</v>
      </c>
      <c r="AA1683" s="98">
        <v>1.0</v>
      </c>
      <c r="AB1683" s="98">
        <v>1.0</v>
      </c>
      <c r="AC1683" s="98">
        <v>0.0</v>
      </c>
      <c r="AD1683" s="98">
        <v>0.0</v>
      </c>
      <c r="AE1683" s="98">
        <v>0.0</v>
      </c>
      <c r="AF1683" s="98">
        <v>1.0</v>
      </c>
      <c r="AG1683" s="98">
        <v>0.0</v>
      </c>
      <c r="AH1683" s="98">
        <v>0.0</v>
      </c>
      <c r="AI1683" s="98">
        <v>0.0</v>
      </c>
      <c r="AJ1683" s="98">
        <v>1.0</v>
      </c>
      <c r="AK1683" s="98">
        <v>0.0</v>
      </c>
      <c r="AL1683" s="98">
        <v>0.0</v>
      </c>
      <c r="AM1683" s="98">
        <v>0.0</v>
      </c>
      <c r="AN1683" s="98">
        <v>0.0</v>
      </c>
      <c r="AO1683" s="98">
        <v>0.0</v>
      </c>
      <c r="AP1683" s="98">
        <v>4.0</v>
      </c>
      <c r="AQ1683" s="98" t="s">
        <v>9532</v>
      </c>
      <c r="AR1683" s="102">
        <v>46218.0</v>
      </c>
      <c r="AS1683" s="83">
        <v>1177093.0</v>
      </c>
    </row>
    <row r="1684" ht="15.75" customHeight="1">
      <c r="A1684" s="111" t="s">
        <v>1842</v>
      </c>
      <c r="B1684" s="83" t="s">
        <v>2383</v>
      </c>
      <c r="C1684" s="83" t="s">
        <v>68</v>
      </c>
      <c r="D1684" s="208">
        <v>1178067.0</v>
      </c>
      <c r="E1684" s="83"/>
      <c r="F1684" s="83">
        <v>2.9428084E7</v>
      </c>
      <c r="G1684" s="91" t="str">
        <f>IFERROR(__xludf.DUMMYFUNCTION("XLOOKUP(AS1684,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ARRAIAL D' AJUDA - CEAAL - DISTRITO ARRAIAL D' AJUDA")</f>
        <v>COLÉGIO ESTADUAL ARRAIAL D' AJUDA - CEAAL - DISTRITO ARRAIAL D' AJUDA</v>
      </c>
      <c r="H1684" s="114" t="s">
        <v>9540</v>
      </c>
      <c r="I1684" s="91" t="s">
        <v>9541</v>
      </c>
      <c r="J1684" s="83" t="s">
        <v>149</v>
      </c>
      <c r="K1684" s="83" t="s">
        <v>1741</v>
      </c>
      <c r="L1684" s="83" t="s">
        <v>3467</v>
      </c>
      <c r="M1684" s="94" t="s">
        <v>152</v>
      </c>
      <c r="N1684" s="98" t="s">
        <v>9542</v>
      </c>
      <c r="O1684" s="98" t="s">
        <v>155</v>
      </c>
      <c r="P1684" s="99" t="str">
        <f>IFERROR(__xludf.DUMMYFUNCTION("IFERROR(VLOOKUP(AS1684,IMPORTRANGE(""https://docs.google.com/spreadsheets/d/1juPI-Fb8LD0YtltB2mlGEnp_R3UVu1t3wSFPzgCyHXE/edit?gid=0#gid=0"",""GERAL!A2:C""),3,0),""-"")"),"-")</f>
        <v>-</v>
      </c>
      <c r="Q1684" s="101" t="s">
        <v>156</v>
      </c>
      <c r="R1684" s="98">
        <v>8.0</v>
      </c>
      <c r="S1684" s="98">
        <v>0.0</v>
      </c>
      <c r="T1684" s="98">
        <v>0.0</v>
      </c>
      <c r="U1684" s="98">
        <v>0.0</v>
      </c>
      <c r="V1684" s="98">
        <v>1.0</v>
      </c>
      <c r="W1684" s="98">
        <v>1.0</v>
      </c>
      <c r="X1684" s="98">
        <v>0.0</v>
      </c>
      <c r="Y1684" s="98">
        <v>0.0</v>
      </c>
      <c r="Z1684" s="98">
        <v>0.0</v>
      </c>
      <c r="AA1684" s="98">
        <v>0.0</v>
      </c>
      <c r="AB1684" s="98">
        <v>0.0</v>
      </c>
      <c r="AC1684" s="98">
        <v>0.0</v>
      </c>
      <c r="AD1684" s="98">
        <v>0.0</v>
      </c>
      <c r="AE1684" s="98">
        <v>0.0</v>
      </c>
      <c r="AF1684" s="98">
        <v>0.0</v>
      </c>
      <c r="AG1684" s="98">
        <v>1.0</v>
      </c>
      <c r="AH1684" s="98">
        <v>0.0</v>
      </c>
      <c r="AI1684" s="98">
        <v>0.0</v>
      </c>
      <c r="AJ1684" s="98">
        <v>0.0</v>
      </c>
      <c r="AK1684" s="98">
        <v>0.0</v>
      </c>
      <c r="AL1684" s="98">
        <v>0.0</v>
      </c>
      <c r="AM1684" s="98">
        <v>0.0</v>
      </c>
      <c r="AN1684" s="98">
        <v>0.0</v>
      </c>
      <c r="AO1684" s="98">
        <v>0.0</v>
      </c>
      <c r="AP1684" s="98">
        <v>1.0</v>
      </c>
      <c r="AQ1684" s="98" t="s">
        <v>9549</v>
      </c>
      <c r="AR1684" s="102">
        <v>46218.0</v>
      </c>
      <c r="AS1684" s="83">
        <v>1178067.0</v>
      </c>
    </row>
    <row r="1685" ht="15.75" customHeight="1">
      <c r="A1685" s="111" t="s">
        <v>1842</v>
      </c>
      <c r="B1685" s="83" t="s">
        <v>2383</v>
      </c>
      <c r="C1685" s="83" t="s">
        <v>68</v>
      </c>
      <c r="D1685" s="212">
        <v>1146434.0</v>
      </c>
      <c r="E1685" s="189"/>
      <c r="F1685" s="212">
        <v>2.932632E7</v>
      </c>
      <c r="G1685" s="91" t="str">
        <f>IFERROR(__xludf.DUMMYFUNCTION("XLOOKUP(AS1685,
IMPORTRANGE(""https://docs.google.com/spreadsheets/d/1YM-djuOLXomrZ9W0B4TyIBsVWnXY4EIOFD9HY-qGfv0/edit?usp=sharing"",""GERAL!BG5:BG""),
IMPORTRANGE(""https://docs.google.com/spreadsheets/d/1YM-djuOLXomrZ9W0B4TyIBsVWnXY4EIOFD9HY-qGfv0/edit?"&amp;"usp=sharing"",""GERAL!G5:G""),
""CÓD. SEC NÃO ENCONTRADO NA PLANILHA DE MATRÍCULA"")"),"CENTRO ESTADUAL DE EDUCAÇÃO PROFISSIONAL 2 DE JULHO")</f>
        <v>CENTRO ESTADUAL DE EDUCAÇÃO PROFISSIONAL 2 DE JULHO</v>
      </c>
      <c r="H1685" s="293" t="s">
        <v>9550</v>
      </c>
      <c r="I1685" s="108" t="s">
        <v>9551</v>
      </c>
      <c r="J1685" s="98" t="s">
        <v>9552</v>
      </c>
      <c r="K1685" s="83"/>
      <c r="L1685" s="98" t="s">
        <v>151</v>
      </c>
      <c r="M1685" s="82" t="s">
        <v>230</v>
      </c>
      <c r="N1685" s="212" t="s">
        <v>9553</v>
      </c>
      <c r="O1685" s="98" t="s">
        <v>162</v>
      </c>
      <c r="P1685" s="99" t="str">
        <f>IFERROR(__xludf.DUMMYFUNCTION("IFERROR(VLOOKUP(AS1685,IMPORTRANGE(""https://docs.google.com/spreadsheets/d/1juPI-Fb8LD0YtltB2mlGEnp_R3UVu1t3wSFPzgCyHXE/edit?gid=0#gid=0"",""GERAL!A2:C""),3,0),""-"")"),"-")</f>
        <v>-</v>
      </c>
      <c r="Q1685" s="519" t="s">
        <v>156</v>
      </c>
      <c r="R1685" s="212">
        <v>12.0</v>
      </c>
      <c r="S1685" s="212">
        <v>0.0</v>
      </c>
      <c r="T1685" s="212">
        <v>1.0</v>
      </c>
      <c r="U1685" s="212">
        <v>0.0</v>
      </c>
      <c r="V1685" s="212">
        <v>1.0</v>
      </c>
      <c r="W1685" s="212">
        <v>4.0</v>
      </c>
      <c r="X1685" s="212">
        <v>1.0</v>
      </c>
      <c r="Y1685" s="212">
        <v>0.0</v>
      </c>
      <c r="Z1685" s="212">
        <v>1.0</v>
      </c>
      <c r="AA1685" s="212">
        <v>0.0</v>
      </c>
      <c r="AB1685" s="212">
        <v>1.0</v>
      </c>
      <c r="AC1685" s="212">
        <v>0.0</v>
      </c>
      <c r="AD1685" s="212">
        <v>1.0</v>
      </c>
      <c r="AE1685" s="98">
        <v>0.0</v>
      </c>
      <c r="AF1685" s="212">
        <v>1.0</v>
      </c>
      <c r="AG1685" s="212">
        <v>0.0</v>
      </c>
      <c r="AH1685" s="212">
        <v>0.0</v>
      </c>
      <c r="AI1685" s="98">
        <v>0.0</v>
      </c>
      <c r="AJ1685" s="212">
        <v>0.0</v>
      </c>
      <c r="AK1685" s="212">
        <v>1.0</v>
      </c>
      <c r="AL1685" s="212">
        <v>0.0</v>
      </c>
      <c r="AM1685" s="212">
        <v>0.0</v>
      </c>
      <c r="AN1685" s="212">
        <v>0.0</v>
      </c>
      <c r="AO1685" s="212">
        <v>0.0</v>
      </c>
      <c r="AP1685" s="212">
        <v>0.0</v>
      </c>
      <c r="AQ1685" s="212" t="s">
        <v>9562</v>
      </c>
      <c r="AR1685" s="520">
        <v>46218.0</v>
      </c>
      <c r="AS1685" s="212">
        <v>1146434.0</v>
      </c>
    </row>
    <row r="1686" ht="15.75" customHeight="1">
      <c r="A1686" s="111" t="s">
        <v>1842</v>
      </c>
      <c r="B1686" s="83" t="s">
        <v>2383</v>
      </c>
      <c r="C1686" s="83" t="s">
        <v>164</v>
      </c>
      <c r="D1686" s="208">
        <v>1178401.0</v>
      </c>
      <c r="E1686" s="83">
        <v>1179650.0</v>
      </c>
      <c r="F1686" s="83"/>
      <c r="G1686" s="91" t="str">
        <f>IFERROR(__xludf.DUMMYFUNCTION("XLOOKUP(AS1686,
IMPORTRANGE(""https://docs.google.com/spreadsheets/d/1YM-djuOLXomrZ9W0B4TyIBsVWnXY4EIOFD9HY-qGfv0/edit?usp=sharing"",""GERAL!BG5:BG""),
IMPORTRANGE(""https://docs.google.com/spreadsheets/d/1YM-djuOLXomrZ9W0B4TyIBsVWnXY4EIOFD9HY-qGfv0/edit?"&amp;"usp=sharing"",""GERAL!G5:G""),
""CÓD. SEC NÃO ENCONTRADO NA PLANILHA DE MATRÍCULA"")"),"ANEXO- COLÉGIO EST INDIGENA COROA VERMELHA - ALDEIA DE GUAXUMA")</f>
        <v>ANEXO- COLÉGIO EST INDIGENA COROA VERMELHA - ALDEIA DE GUAXUMA</v>
      </c>
      <c r="H1686" s="184" t="s">
        <v>9564</v>
      </c>
      <c r="I1686" s="91" t="s">
        <v>9565</v>
      </c>
      <c r="J1686" s="83" t="s">
        <v>149</v>
      </c>
      <c r="K1686" s="136" t="s">
        <v>9566</v>
      </c>
      <c r="L1686" s="83" t="s">
        <v>168</v>
      </c>
      <c r="M1686" s="82" t="s">
        <v>169</v>
      </c>
      <c r="N1686" s="115" t="s">
        <v>170</v>
      </c>
      <c r="O1686" s="98" t="s">
        <v>155</v>
      </c>
      <c r="P1686" s="99" t="str">
        <f>IFERROR(__xludf.DUMMYFUNCTION("IFERROR(VLOOKUP(AS1686,IMPORTRANGE(""https://docs.google.com/spreadsheets/d/1juPI-Fb8LD0YtltB2mlGEnp_R3UVu1t3wSFPzgCyHXE/edit?gid=0#gid=0"",""GERAL!A2:C""),3,0),""-"")"),"INDÍGENAS")</f>
        <v>INDÍGENAS</v>
      </c>
      <c r="Q1686" s="98" t="s">
        <v>171</v>
      </c>
      <c r="R1686" s="98">
        <v>3.0</v>
      </c>
      <c r="S1686" s="98" t="s">
        <v>171</v>
      </c>
      <c r="T1686" s="98" t="s">
        <v>171</v>
      </c>
      <c r="U1686" s="98" t="s">
        <v>171</v>
      </c>
      <c r="V1686" s="98" t="s">
        <v>171</v>
      </c>
      <c r="W1686" s="98" t="s">
        <v>171</v>
      </c>
      <c r="X1686" s="98" t="s">
        <v>171</v>
      </c>
      <c r="Y1686" s="98" t="s">
        <v>171</v>
      </c>
      <c r="Z1686" s="98" t="s">
        <v>171</v>
      </c>
      <c r="AA1686" s="98" t="s">
        <v>171</v>
      </c>
      <c r="AB1686" s="98" t="s">
        <v>171</v>
      </c>
      <c r="AC1686" s="98" t="s">
        <v>171</v>
      </c>
      <c r="AD1686" s="98" t="s">
        <v>171</v>
      </c>
      <c r="AE1686" s="98" t="s">
        <v>171</v>
      </c>
      <c r="AF1686" s="98" t="s">
        <v>171</v>
      </c>
      <c r="AG1686" s="98" t="s">
        <v>171</v>
      </c>
      <c r="AH1686" s="98" t="s">
        <v>171</v>
      </c>
      <c r="AI1686" s="98" t="s">
        <v>171</v>
      </c>
      <c r="AJ1686" s="98" t="s">
        <v>171</v>
      </c>
      <c r="AK1686" s="98" t="s">
        <v>171</v>
      </c>
      <c r="AL1686" s="98" t="s">
        <v>171</v>
      </c>
      <c r="AM1686" s="98" t="s">
        <v>171</v>
      </c>
      <c r="AN1686" s="98" t="s">
        <v>171</v>
      </c>
      <c r="AO1686" s="98" t="s">
        <v>171</v>
      </c>
      <c r="AP1686" s="98" t="s">
        <v>171</v>
      </c>
      <c r="AQ1686" s="98" t="s">
        <v>171</v>
      </c>
      <c r="AR1686" s="520">
        <v>46218.0</v>
      </c>
      <c r="AS1686" s="83">
        <v>1179650.0</v>
      </c>
    </row>
    <row r="1687" ht="15.75" customHeight="1">
      <c r="A1687" s="111" t="s">
        <v>1842</v>
      </c>
      <c r="B1687" s="83" t="s">
        <v>2383</v>
      </c>
      <c r="C1687" s="83" t="s">
        <v>164</v>
      </c>
      <c r="D1687" s="112">
        <v>1178042.0</v>
      </c>
      <c r="E1687" s="83">
        <v>1178535.0</v>
      </c>
      <c r="F1687" s="83"/>
      <c r="G1687" s="91" t="str">
        <f>IFERROR(__xludf.DUMMYFUNCTION("XLOOKUP(AS1687,
IMPORTRANGE(""https://docs.google.com/spreadsheets/d/1YM-djuOLXomrZ9W0B4TyIBsVWnXY4EIOFD9HY-qGfv0/edit?usp=sharing"",""GERAL!BG5:BG""),
IMPORTRANGE(""https://docs.google.com/spreadsheets/d/1YM-djuOLXomrZ9W0B4TyIBsVWnXY4EIOFD9HY-qGfv0/edit?"&amp;"usp=sharing"",""GERAL!G5:G""),
""CÓD. SEC NÃO ENCONTRADO NA PLANILHA DE MATRÍCULA"")"),"ANEXO - ERALDO TINOCO - COL. EST. DR. - DIST. DE PINDORAMA")</f>
        <v>ANEXO - ERALDO TINOCO - COL. EST. DR. - DIST. DE PINDORAMA</v>
      </c>
      <c r="H1687" s="185" t="s">
        <v>9575</v>
      </c>
      <c r="I1687" s="91" t="s">
        <v>9576</v>
      </c>
      <c r="J1687" s="83" t="s">
        <v>149</v>
      </c>
      <c r="K1687" s="83" t="s">
        <v>1460</v>
      </c>
      <c r="L1687" s="83" t="s">
        <v>168</v>
      </c>
      <c r="M1687" s="82" t="s">
        <v>169</v>
      </c>
      <c r="N1687" s="115" t="s">
        <v>170</v>
      </c>
      <c r="O1687" s="98" t="s">
        <v>155</v>
      </c>
      <c r="P1687" s="99" t="str">
        <f>IFERROR(__xludf.DUMMYFUNCTION("IFERROR(VLOOKUP(AS1687,IMPORTRANGE(""https://docs.google.com/spreadsheets/d/1juPI-Fb8LD0YtltB2mlGEnp_R3UVu1t3wSFPzgCyHXE/edit?gid=0#gid=0"",""GERAL!A2:C""),3,0),""-"")"),"CAMPO")</f>
        <v>CAMPO</v>
      </c>
      <c r="Q1687" s="98" t="s">
        <v>171</v>
      </c>
      <c r="R1687" s="98">
        <v>3.0</v>
      </c>
      <c r="S1687" s="98" t="s">
        <v>171</v>
      </c>
      <c r="T1687" s="98" t="s">
        <v>171</v>
      </c>
      <c r="U1687" s="98" t="s">
        <v>171</v>
      </c>
      <c r="V1687" s="98" t="s">
        <v>171</v>
      </c>
      <c r="W1687" s="98" t="s">
        <v>171</v>
      </c>
      <c r="X1687" s="98" t="s">
        <v>171</v>
      </c>
      <c r="Y1687" s="98" t="s">
        <v>171</v>
      </c>
      <c r="Z1687" s="98" t="s">
        <v>171</v>
      </c>
      <c r="AA1687" s="98" t="s">
        <v>171</v>
      </c>
      <c r="AB1687" s="98" t="s">
        <v>171</v>
      </c>
      <c r="AC1687" s="98" t="s">
        <v>171</v>
      </c>
      <c r="AD1687" s="98" t="s">
        <v>171</v>
      </c>
      <c r="AE1687" s="98" t="s">
        <v>171</v>
      </c>
      <c r="AF1687" s="98" t="s">
        <v>171</v>
      </c>
      <c r="AG1687" s="98" t="s">
        <v>171</v>
      </c>
      <c r="AH1687" s="98" t="s">
        <v>171</v>
      </c>
      <c r="AI1687" s="98" t="s">
        <v>171</v>
      </c>
      <c r="AJ1687" s="98" t="s">
        <v>171</v>
      </c>
      <c r="AK1687" s="98" t="s">
        <v>171</v>
      </c>
      <c r="AL1687" s="98" t="s">
        <v>171</v>
      </c>
      <c r="AM1687" s="98" t="s">
        <v>171</v>
      </c>
      <c r="AN1687" s="98" t="s">
        <v>171</v>
      </c>
      <c r="AO1687" s="98" t="s">
        <v>171</v>
      </c>
      <c r="AP1687" s="98" t="s">
        <v>171</v>
      </c>
      <c r="AQ1687" s="98" t="s">
        <v>171</v>
      </c>
      <c r="AR1687" s="520">
        <v>46218.0</v>
      </c>
      <c r="AS1687" s="83">
        <v>1178535.0</v>
      </c>
    </row>
    <row r="1688" ht="15.75" customHeight="1">
      <c r="A1688" s="111" t="s">
        <v>1842</v>
      </c>
      <c r="B1688" s="83" t="s">
        <v>2383</v>
      </c>
      <c r="C1688" s="83" t="s">
        <v>164</v>
      </c>
      <c r="D1688" s="112">
        <v>1178043.0</v>
      </c>
      <c r="E1688" s="189">
        <v>1178534.0</v>
      </c>
      <c r="F1688" s="83"/>
      <c r="G1688" s="91" t="str">
        <f>IFERROR(__xludf.DUMMYFUNCTION("XLOOKUP(AS1688,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TRANCOSO - POVOADO DE ITAPORANGA")</f>
        <v>ANEXO - COLÉGIO ESTADUAL TRANCOSO - POVOADO DE ITAPORANGA</v>
      </c>
      <c r="H1688" s="521" t="s">
        <v>9583</v>
      </c>
      <c r="I1688" s="91" t="s">
        <v>9584</v>
      </c>
      <c r="J1688" s="83" t="s">
        <v>149</v>
      </c>
      <c r="K1688" s="83" t="s">
        <v>1502</v>
      </c>
      <c r="L1688" s="83" t="s">
        <v>168</v>
      </c>
      <c r="M1688" s="82" t="s">
        <v>169</v>
      </c>
      <c r="N1688" s="115" t="s">
        <v>170</v>
      </c>
      <c r="O1688" s="98" t="s">
        <v>155</v>
      </c>
      <c r="P1688" s="99" t="str">
        <f>IFERROR(__xludf.DUMMYFUNCTION("IFERROR(VLOOKUP(AS1688,IMPORTRANGE(""https://docs.google.com/spreadsheets/d/1juPI-Fb8LD0YtltB2mlGEnp_R3UVu1t3wSFPzgCyHXE/edit?gid=0#gid=0"",""GERAL!A2:C""),3,0),""-"")"),"CAMPO")</f>
        <v>CAMPO</v>
      </c>
      <c r="Q1688" s="98" t="s">
        <v>171</v>
      </c>
      <c r="R1688" s="98">
        <v>4.0</v>
      </c>
      <c r="S1688" s="98" t="s">
        <v>171</v>
      </c>
      <c r="T1688" s="98" t="s">
        <v>171</v>
      </c>
      <c r="U1688" s="98" t="s">
        <v>171</v>
      </c>
      <c r="V1688" s="98" t="s">
        <v>171</v>
      </c>
      <c r="W1688" s="98" t="s">
        <v>171</v>
      </c>
      <c r="X1688" s="98" t="s">
        <v>171</v>
      </c>
      <c r="Y1688" s="98" t="s">
        <v>171</v>
      </c>
      <c r="Z1688" s="98" t="s">
        <v>171</v>
      </c>
      <c r="AA1688" s="98" t="s">
        <v>171</v>
      </c>
      <c r="AB1688" s="98" t="s">
        <v>171</v>
      </c>
      <c r="AC1688" s="98" t="s">
        <v>171</v>
      </c>
      <c r="AD1688" s="98" t="s">
        <v>171</v>
      </c>
      <c r="AE1688" s="98" t="s">
        <v>171</v>
      </c>
      <c r="AF1688" s="98" t="s">
        <v>171</v>
      </c>
      <c r="AG1688" s="98" t="s">
        <v>171</v>
      </c>
      <c r="AH1688" s="98" t="s">
        <v>171</v>
      </c>
      <c r="AI1688" s="98" t="s">
        <v>171</v>
      </c>
      <c r="AJ1688" s="98" t="s">
        <v>171</v>
      </c>
      <c r="AK1688" s="98" t="s">
        <v>171</v>
      </c>
      <c r="AL1688" s="98" t="s">
        <v>171</v>
      </c>
      <c r="AM1688" s="98" t="s">
        <v>171</v>
      </c>
      <c r="AN1688" s="98" t="s">
        <v>171</v>
      </c>
      <c r="AO1688" s="98" t="s">
        <v>171</v>
      </c>
      <c r="AP1688" s="98" t="s">
        <v>171</v>
      </c>
      <c r="AQ1688" s="98" t="s">
        <v>171</v>
      </c>
      <c r="AR1688" s="520">
        <v>46218.0</v>
      </c>
      <c r="AS1688" s="83">
        <v>1178534.0</v>
      </c>
    </row>
    <row r="1689" ht="15.75" customHeight="1">
      <c r="A1689" s="111" t="s">
        <v>1842</v>
      </c>
      <c r="B1689" s="83" t="s">
        <v>2383</v>
      </c>
      <c r="C1689" s="83" t="s">
        <v>164</v>
      </c>
      <c r="D1689" s="208">
        <v>1178043.0</v>
      </c>
      <c r="E1689" s="189">
        <v>1178533.0</v>
      </c>
      <c r="F1689" s="83"/>
      <c r="G1689" s="91" t="str">
        <f>IFERROR(__xludf.DUMMYFUNCTION("XLOOKUP(AS1689,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TRANCOSO - POVOADO DE CARAÍVA")</f>
        <v>ANEXO - COLÉGIO ESTADUAL TRANCOSO - POVOADO DE CARAÍVA</v>
      </c>
      <c r="H1689" s="521" t="s">
        <v>9595</v>
      </c>
      <c r="I1689" s="91" t="s">
        <v>9596</v>
      </c>
      <c r="J1689" s="83" t="s">
        <v>149</v>
      </c>
      <c r="K1689" s="83" t="s">
        <v>641</v>
      </c>
      <c r="L1689" s="83" t="s">
        <v>168</v>
      </c>
      <c r="M1689" s="82" t="s">
        <v>169</v>
      </c>
      <c r="N1689" s="115" t="s">
        <v>170</v>
      </c>
      <c r="O1689" s="98" t="s">
        <v>155</v>
      </c>
      <c r="P1689" s="99" t="str">
        <f>IFERROR(__xludf.DUMMYFUNCTION("IFERROR(VLOOKUP(AS1689,IMPORTRANGE(""https://docs.google.com/spreadsheets/d/1juPI-Fb8LD0YtltB2mlGEnp_R3UVu1t3wSFPzgCyHXE/edit?gid=0#gid=0"",""GERAL!A2:C""),3,0),""-"")"),"CAMPO")</f>
        <v>CAMPO</v>
      </c>
      <c r="Q1689" s="98" t="s">
        <v>171</v>
      </c>
      <c r="R1689" s="98">
        <v>3.0</v>
      </c>
      <c r="S1689" s="98" t="s">
        <v>171</v>
      </c>
      <c r="T1689" s="98" t="s">
        <v>171</v>
      </c>
      <c r="U1689" s="98" t="s">
        <v>171</v>
      </c>
      <c r="V1689" s="98" t="s">
        <v>171</v>
      </c>
      <c r="W1689" s="98" t="s">
        <v>171</v>
      </c>
      <c r="X1689" s="98" t="s">
        <v>171</v>
      </c>
      <c r="Y1689" s="98" t="s">
        <v>171</v>
      </c>
      <c r="Z1689" s="98" t="s">
        <v>171</v>
      </c>
      <c r="AA1689" s="98" t="s">
        <v>171</v>
      </c>
      <c r="AB1689" s="98" t="s">
        <v>171</v>
      </c>
      <c r="AC1689" s="98" t="s">
        <v>171</v>
      </c>
      <c r="AD1689" s="98" t="s">
        <v>171</v>
      </c>
      <c r="AE1689" s="98" t="s">
        <v>171</v>
      </c>
      <c r="AF1689" s="98" t="s">
        <v>171</v>
      </c>
      <c r="AG1689" s="98" t="s">
        <v>171</v>
      </c>
      <c r="AH1689" s="98" t="s">
        <v>171</v>
      </c>
      <c r="AI1689" s="98" t="s">
        <v>171</v>
      </c>
      <c r="AJ1689" s="98" t="s">
        <v>171</v>
      </c>
      <c r="AK1689" s="98" t="s">
        <v>171</v>
      </c>
      <c r="AL1689" s="98" t="s">
        <v>171</v>
      </c>
      <c r="AM1689" s="98" t="s">
        <v>171</v>
      </c>
      <c r="AN1689" s="98" t="s">
        <v>171</v>
      </c>
      <c r="AO1689" s="98" t="s">
        <v>171</v>
      </c>
      <c r="AP1689" s="98" t="s">
        <v>171</v>
      </c>
      <c r="AQ1689" s="98" t="s">
        <v>171</v>
      </c>
      <c r="AR1689" s="520">
        <v>46218.0</v>
      </c>
      <c r="AS1689" s="83">
        <v>1178533.0</v>
      </c>
    </row>
    <row r="1690" ht="15.75" customHeight="1">
      <c r="A1690" s="111" t="s">
        <v>1842</v>
      </c>
      <c r="B1690" s="83" t="s">
        <v>2383</v>
      </c>
      <c r="C1690" s="83" t="s">
        <v>164</v>
      </c>
      <c r="D1690" s="208">
        <v>1178401.0</v>
      </c>
      <c r="E1690" s="189">
        <v>1179671.0</v>
      </c>
      <c r="F1690" s="83"/>
      <c r="G1690" s="91" t="str">
        <f>IFERROR(__xludf.DUMMYFUNCTION("XLOOKUP(AS1690,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COROA VERMELHA - ALDEIA MIRA PÉ")</f>
        <v>ANEXO - COLÉGIO ESTADUAL INDÍGENA COROA VERMELHA - ALDEIA MIRA PÉ</v>
      </c>
      <c r="H1690" s="521" t="s">
        <v>9598</v>
      </c>
      <c r="I1690" s="91" t="s">
        <v>9600</v>
      </c>
      <c r="J1690" s="83" t="s">
        <v>149</v>
      </c>
      <c r="K1690" s="83" t="s">
        <v>872</v>
      </c>
      <c r="L1690" s="83" t="s">
        <v>168</v>
      </c>
      <c r="M1690" s="82" t="s">
        <v>169</v>
      </c>
      <c r="N1690" s="115" t="s">
        <v>170</v>
      </c>
      <c r="O1690" s="98" t="s">
        <v>155</v>
      </c>
      <c r="P1690" s="99" t="str">
        <f>IFERROR(__xludf.DUMMYFUNCTION("IFERROR(VLOOKUP(AS1690,IMPORTRANGE(""https://docs.google.com/spreadsheets/d/1juPI-Fb8LD0YtltB2mlGEnp_R3UVu1t3wSFPzgCyHXE/edit?gid=0#gid=0"",""GERAL!A2:C""),3,0),""-"")"),"INDÍGENAS")</f>
        <v>INDÍGENAS</v>
      </c>
      <c r="Q1690" s="98" t="s">
        <v>171</v>
      </c>
      <c r="R1690" s="98">
        <v>3.0</v>
      </c>
      <c r="S1690" s="98" t="s">
        <v>171</v>
      </c>
      <c r="T1690" s="98" t="s">
        <v>171</v>
      </c>
      <c r="U1690" s="98" t="s">
        <v>171</v>
      </c>
      <c r="V1690" s="98" t="s">
        <v>171</v>
      </c>
      <c r="W1690" s="98" t="s">
        <v>171</v>
      </c>
      <c r="X1690" s="98" t="s">
        <v>171</v>
      </c>
      <c r="Y1690" s="98" t="s">
        <v>171</v>
      </c>
      <c r="Z1690" s="98" t="s">
        <v>171</v>
      </c>
      <c r="AA1690" s="98" t="s">
        <v>171</v>
      </c>
      <c r="AB1690" s="98" t="s">
        <v>171</v>
      </c>
      <c r="AC1690" s="98" t="s">
        <v>171</v>
      </c>
      <c r="AD1690" s="98" t="s">
        <v>171</v>
      </c>
      <c r="AE1690" s="98" t="s">
        <v>171</v>
      </c>
      <c r="AF1690" s="98" t="s">
        <v>171</v>
      </c>
      <c r="AG1690" s="98" t="s">
        <v>171</v>
      </c>
      <c r="AH1690" s="98" t="s">
        <v>171</v>
      </c>
      <c r="AI1690" s="98" t="s">
        <v>171</v>
      </c>
      <c r="AJ1690" s="98" t="s">
        <v>171</v>
      </c>
      <c r="AK1690" s="98" t="s">
        <v>171</v>
      </c>
      <c r="AL1690" s="98" t="s">
        <v>171</v>
      </c>
      <c r="AM1690" s="98" t="s">
        <v>171</v>
      </c>
      <c r="AN1690" s="98" t="s">
        <v>171</v>
      </c>
      <c r="AO1690" s="98" t="s">
        <v>171</v>
      </c>
      <c r="AP1690" s="98" t="s">
        <v>171</v>
      </c>
      <c r="AQ1690" s="98" t="s">
        <v>171</v>
      </c>
      <c r="AR1690" s="520">
        <v>46218.0</v>
      </c>
      <c r="AS1690" s="83">
        <v>1179671.0</v>
      </c>
    </row>
    <row r="1691" ht="15.75" customHeight="1">
      <c r="A1691" s="111" t="s">
        <v>1842</v>
      </c>
      <c r="B1691" s="83" t="s">
        <v>2383</v>
      </c>
      <c r="C1691" s="83" t="s">
        <v>164</v>
      </c>
      <c r="D1691" s="208">
        <v>1178401.0</v>
      </c>
      <c r="E1691" s="211">
        <v>1179651.0</v>
      </c>
      <c r="F1691" s="83"/>
      <c r="G1691" s="91" t="str">
        <f>IFERROR(__xludf.DUMMYFUNCTION("XLOOKUP(AS1691,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COROA VERMELHA - ALDEIA MEIO DA MATA")</f>
        <v>ANEXO - COLÉGIO ESTADUAL INDÍGENA COROA VERMELHA - ALDEIA MEIO DA MATA</v>
      </c>
      <c r="H1691" s="522" t="s">
        <v>9608</v>
      </c>
      <c r="I1691" s="91" t="s">
        <v>9610</v>
      </c>
      <c r="J1691" s="83" t="s">
        <v>149</v>
      </c>
      <c r="K1691" s="83" t="s">
        <v>9611</v>
      </c>
      <c r="L1691" s="83" t="s">
        <v>168</v>
      </c>
      <c r="M1691" s="82" t="s">
        <v>169</v>
      </c>
      <c r="N1691" s="115" t="s">
        <v>170</v>
      </c>
      <c r="O1691" s="98" t="s">
        <v>155</v>
      </c>
      <c r="P1691" s="99" t="str">
        <f>IFERROR(__xludf.DUMMYFUNCTION("IFERROR(VLOOKUP(AS1691,IMPORTRANGE(""https://docs.google.com/spreadsheets/d/1juPI-Fb8LD0YtltB2mlGEnp_R3UVu1t3wSFPzgCyHXE/edit?gid=0#gid=0"",""GERAL!A2:C""),3,0),""-"")"),"INDÍGENAS")</f>
        <v>INDÍGENAS</v>
      </c>
      <c r="Q1691" s="98" t="s">
        <v>171</v>
      </c>
      <c r="R1691" s="98">
        <v>3.0</v>
      </c>
      <c r="S1691" s="98" t="s">
        <v>171</v>
      </c>
      <c r="T1691" s="98" t="s">
        <v>171</v>
      </c>
      <c r="U1691" s="98" t="s">
        <v>171</v>
      </c>
      <c r="V1691" s="98" t="s">
        <v>171</v>
      </c>
      <c r="W1691" s="98" t="s">
        <v>171</v>
      </c>
      <c r="X1691" s="98" t="s">
        <v>171</v>
      </c>
      <c r="Y1691" s="98" t="s">
        <v>171</v>
      </c>
      <c r="Z1691" s="98" t="s">
        <v>171</v>
      </c>
      <c r="AA1691" s="98" t="s">
        <v>171</v>
      </c>
      <c r="AB1691" s="98" t="s">
        <v>171</v>
      </c>
      <c r="AC1691" s="98" t="s">
        <v>171</v>
      </c>
      <c r="AD1691" s="98" t="s">
        <v>171</v>
      </c>
      <c r="AE1691" s="98" t="s">
        <v>171</v>
      </c>
      <c r="AF1691" s="98" t="s">
        <v>171</v>
      </c>
      <c r="AG1691" s="98" t="s">
        <v>171</v>
      </c>
      <c r="AH1691" s="98" t="s">
        <v>171</v>
      </c>
      <c r="AI1691" s="98" t="s">
        <v>171</v>
      </c>
      <c r="AJ1691" s="98" t="s">
        <v>171</v>
      </c>
      <c r="AK1691" s="98" t="s">
        <v>171</v>
      </c>
      <c r="AL1691" s="98" t="s">
        <v>171</v>
      </c>
      <c r="AM1691" s="98" t="s">
        <v>171</v>
      </c>
      <c r="AN1691" s="98" t="s">
        <v>171</v>
      </c>
      <c r="AO1691" s="98" t="s">
        <v>171</v>
      </c>
      <c r="AP1691" s="98" t="s">
        <v>171</v>
      </c>
      <c r="AQ1691" s="98" t="s">
        <v>171</v>
      </c>
      <c r="AR1691" s="520">
        <v>46218.0</v>
      </c>
      <c r="AS1691" s="83">
        <v>1179651.0</v>
      </c>
    </row>
    <row r="1692" ht="15.75" customHeight="1">
      <c r="A1692" s="111" t="s">
        <v>1842</v>
      </c>
      <c r="B1692" s="83" t="s">
        <v>2383</v>
      </c>
      <c r="C1692" s="83" t="s">
        <v>164</v>
      </c>
      <c r="D1692" s="208">
        <v>1178401.0</v>
      </c>
      <c r="E1692" s="211">
        <v>1179672.0</v>
      </c>
      <c r="F1692" s="83"/>
      <c r="G1692" s="91" t="str">
        <f>IFERROR(__xludf.DUMMYFUNCTION("XLOOKUP(AS1692,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COROA VERMELHA - ALDEIA JUERANA")</f>
        <v>ANEXO - COLÉGIO ESTADUAL INDÍGENA COROA VERMELHA - ALDEIA JUERANA</v>
      </c>
      <c r="H1692" s="522" t="s">
        <v>9613</v>
      </c>
      <c r="I1692" s="91" t="s">
        <v>9614</v>
      </c>
      <c r="J1692" s="83" t="s">
        <v>149</v>
      </c>
      <c r="K1692" s="83" t="s">
        <v>1502</v>
      </c>
      <c r="L1692" s="83" t="s">
        <v>168</v>
      </c>
      <c r="M1692" s="82" t="s">
        <v>169</v>
      </c>
      <c r="N1692" s="115" t="s">
        <v>170</v>
      </c>
      <c r="O1692" s="98" t="s">
        <v>155</v>
      </c>
      <c r="P1692" s="99" t="str">
        <f>IFERROR(__xludf.DUMMYFUNCTION("IFERROR(VLOOKUP(AS1692,IMPORTRANGE(""https://docs.google.com/spreadsheets/d/1juPI-Fb8LD0YtltB2mlGEnp_R3UVu1t3wSFPzgCyHXE/edit?gid=0#gid=0"",""GERAL!A2:C""),3,0),""-"")"),"INDÍGENAS")</f>
        <v>INDÍGENAS</v>
      </c>
      <c r="Q1692" s="98" t="s">
        <v>171</v>
      </c>
      <c r="R1692" s="98">
        <v>3.0</v>
      </c>
      <c r="S1692" s="98" t="s">
        <v>171</v>
      </c>
      <c r="T1692" s="98" t="s">
        <v>171</v>
      </c>
      <c r="U1692" s="98" t="s">
        <v>171</v>
      </c>
      <c r="V1692" s="98" t="s">
        <v>171</v>
      </c>
      <c r="W1692" s="98" t="s">
        <v>171</v>
      </c>
      <c r="X1692" s="98" t="s">
        <v>171</v>
      </c>
      <c r="Y1692" s="98" t="s">
        <v>171</v>
      </c>
      <c r="Z1692" s="98" t="s">
        <v>171</v>
      </c>
      <c r="AA1692" s="98" t="s">
        <v>171</v>
      </c>
      <c r="AB1692" s="98" t="s">
        <v>171</v>
      </c>
      <c r="AC1692" s="98" t="s">
        <v>171</v>
      </c>
      <c r="AD1692" s="98" t="s">
        <v>171</v>
      </c>
      <c r="AE1692" s="98" t="s">
        <v>171</v>
      </c>
      <c r="AF1692" s="98" t="s">
        <v>171</v>
      </c>
      <c r="AG1692" s="98" t="s">
        <v>171</v>
      </c>
      <c r="AH1692" s="98" t="s">
        <v>171</v>
      </c>
      <c r="AI1692" s="98" t="s">
        <v>171</v>
      </c>
      <c r="AJ1692" s="98" t="s">
        <v>171</v>
      </c>
      <c r="AK1692" s="98" t="s">
        <v>171</v>
      </c>
      <c r="AL1692" s="98" t="s">
        <v>171</v>
      </c>
      <c r="AM1692" s="98" t="s">
        <v>171</v>
      </c>
      <c r="AN1692" s="98" t="s">
        <v>171</v>
      </c>
      <c r="AO1692" s="98" t="s">
        <v>171</v>
      </c>
      <c r="AP1692" s="98" t="s">
        <v>171</v>
      </c>
      <c r="AQ1692" s="98" t="s">
        <v>171</v>
      </c>
      <c r="AR1692" s="520">
        <v>46218.0</v>
      </c>
      <c r="AS1692" s="83">
        <v>1179672.0</v>
      </c>
    </row>
    <row r="1693" ht="15.75" customHeight="1">
      <c r="A1693" s="111" t="s">
        <v>1842</v>
      </c>
      <c r="B1693" s="83" t="s">
        <v>2383</v>
      </c>
      <c r="C1693" s="83" t="s">
        <v>164</v>
      </c>
      <c r="D1693" s="208">
        <v>1178042.0</v>
      </c>
      <c r="E1693" s="189">
        <v>1178536.0</v>
      </c>
      <c r="F1693" s="83"/>
      <c r="G1693" s="91" t="str">
        <f>IFERROR(__xludf.DUMMYFUNCTION("XLOOKUP(AS1693,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DO CAMPO DOUTOR ERALDO TINOCO - ASSENTAMENTO MILTON SANTOS")</f>
        <v>ANEXO - COLÉGIO ESTADUAL DO CAMPO DOUTOR ERALDO TINOCO - ASSENTAMENTO MILTON SANTOS</v>
      </c>
      <c r="H1693" s="522" t="s">
        <v>9616</v>
      </c>
      <c r="I1693" s="91" t="s">
        <v>9617</v>
      </c>
      <c r="J1693" s="83" t="s">
        <v>149</v>
      </c>
      <c r="K1693" s="83" t="s">
        <v>315</v>
      </c>
      <c r="L1693" s="83" t="s">
        <v>168</v>
      </c>
      <c r="M1693" s="82" t="s">
        <v>169</v>
      </c>
      <c r="N1693" s="523" t="s">
        <v>170</v>
      </c>
      <c r="O1693" s="98" t="s">
        <v>155</v>
      </c>
      <c r="P1693" s="99" t="str">
        <f>IFERROR(__xludf.DUMMYFUNCTION("IFERROR(VLOOKUP(AS1693,IMPORTRANGE(""https://docs.google.com/spreadsheets/d/1juPI-Fb8LD0YtltB2mlGEnp_R3UVu1t3wSFPzgCyHXE/edit?gid=0#gid=0"",""GERAL!A2:C""),3,0),""-"")"),"ASSENTAMENTOS")</f>
        <v>ASSENTAMENTOS</v>
      </c>
      <c r="Q1693" s="212" t="s">
        <v>171</v>
      </c>
      <c r="R1693" s="212">
        <v>3.0</v>
      </c>
      <c r="S1693" s="98" t="s">
        <v>171</v>
      </c>
      <c r="T1693" s="98" t="s">
        <v>171</v>
      </c>
      <c r="U1693" s="98" t="s">
        <v>171</v>
      </c>
      <c r="V1693" s="98" t="s">
        <v>171</v>
      </c>
      <c r="W1693" s="98" t="s">
        <v>171</v>
      </c>
      <c r="X1693" s="98" t="s">
        <v>171</v>
      </c>
      <c r="Y1693" s="98" t="s">
        <v>171</v>
      </c>
      <c r="Z1693" s="98" t="s">
        <v>171</v>
      </c>
      <c r="AA1693" s="98" t="s">
        <v>171</v>
      </c>
      <c r="AB1693" s="98" t="s">
        <v>171</v>
      </c>
      <c r="AC1693" s="98" t="s">
        <v>171</v>
      </c>
      <c r="AD1693" s="98" t="s">
        <v>171</v>
      </c>
      <c r="AE1693" s="98" t="s">
        <v>171</v>
      </c>
      <c r="AF1693" s="98" t="s">
        <v>171</v>
      </c>
      <c r="AG1693" s="98" t="s">
        <v>171</v>
      </c>
      <c r="AH1693" s="98" t="s">
        <v>171</v>
      </c>
      <c r="AI1693" s="98" t="s">
        <v>171</v>
      </c>
      <c r="AJ1693" s="98" t="s">
        <v>171</v>
      </c>
      <c r="AK1693" s="98" t="s">
        <v>171</v>
      </c>
      <c r="AL1693" s="98" t="s">
        <v>171</v>
      </c>
      <c r="AM1693" s="98" t="s">
        <v>171</v>
      </c>
      <c r="AN1693" s="98" t="s">
        <v>171</v>
      </c>
      <c r="AO1693" s="98" t="s">
        <v>171</v>
      </c>
      <c r="AP1693" s="98" t="s">
        <v>171</v>
      </c>
      <c r="AQ1693" s="98" t="s">
        <v>171</v>
      </c>
      <c r="AR1693" s="520">
        <v>46218.0</v>
      </c>
      <c r="AS1693" s="189">
        <v>1178536.0</v>
      </c>
    </row>
    <row r="1694" ht="15.75" customHeight="1">
      <c r="A1694" s="111" t="s">
        <v>1842</v>
      </c>
      <c r="B1694" s="83" t="s">
        <v>2383</v>
      </c>
      <c r="C1694" s="83" t="s">
        <v>164</v>
      </c>
      <c r="D1694" s="208">
        <v>1177093.0</v>
      </c>
      <c r="E1694" s="189">
        <v>1179486.0</v>
      </c>
      <c r="F1694" s="83"/>
      <c r="G1694" s="91" t="str">
        <f>IFERROR(__xludf.DUMMYFUNCTION("XLOOKUP(AS1694,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DE PORTO SEGURO - DISTRITO AGROVILA")</f>
        <v>ANEXO - COLÉGIO ESTADUAL DE PORTO SEGURO - DISTRITO AGROVILA</v>
      </c>
      <c r="H1694" s="522" t="s">
        <v>9619</v>
      </c>
      <c r="I1694" s="91" t="s">
        <v>9620</v>
      </c>
      <c r="J1694" s="83" t="s">
        <v>149</v>
      </c>
      <c r="K1694" s="83" t="s">
        <v>822</v>
      </c>
      <c r="L1694" s="83" t="s">
        <v>168</v>
      </c>
      <c r="M1694" s="82" t="s">
        <v>169</v>
      </c>
      <c r="N1694" s="523" t="s">
        <v>170</v>
      </c>
      <c r="O1694" s="98" t="s">
        <v>155</v>
      </c>
      <c r="P1694" s="99" t="str">
        <f>IFERROR(__xludf.DUMMYFUNCTION("IFERROR(VLOOKUP(AS1694,IMPORTRANGE(""https://docs.google.com/spreadsheets/d/1juPI-Fb8LD0YtltB2mlGEnp_R3UVu1t3wSFPzgCyHXE/edit?gid=0#gid=0"",""GERAL!A2:C""),3,0),""-"")"),"CAMPO")</f>
        <v>CAMPO</v>
      </c>
      <c r="Q1694" s="212" t="s">
        <v>171</v>
      </c>
      <c r="R1694" s="212">
        <v>3.0</v>
      </c>
      <c r="S1694" s="98" t="s">
        <v>171</v>
      </c>
      <c r="T1694" s="98" t="s">
        <v>171</v>
      </c>
      <c r="U1694" s="98" t="s">
        <v>171</v>
      </c>
      <c r="V1694" s="98" t="s">
        <v>171</v>
      </c>
      <c r="W1694" s="98" t="s">
        <v>171</v>
      </c>
      <c r="X1694" s="98" t="s">
        <v>171</v>
      </c>
      <c r="Y1694" s="98" t="s">
        <v>171</v>
      </c>
      <c r="Z1694" s="98" t="s">
        <v>171</v>
      </c>
      <c r="AA1694" s="98" t="s">
        <v>171</v>
      </c>
      <c r="AB1694" s="98" t="s">
        <v>171</v>
      </c>
      <c r="AC1694" s="98" t="s">
        <v>171</v>
      </c>
      <c r="AD1694" s="98" t="s">
        <v>171</v>
      </c>
      <c r="AE1694" s="98" t="s">
        <v>171</v>
      </c>
      <c r="AF1694" s="98" t="s">
        <v>171</v>
      </c>
      <c r="AG1694" s="98" t="s">
        <v>171</v>
      </c>
      <c r="AH1694" s="98" t="s">
        <v>171</v>
      </c>
      <c r="AI1694" s="98" t="s">
        <v>171</v>
      </c>
      <c r="AJ1694" s="98" t="s">
        <v>171</v>
      </c>
      <c r="AK1694" s="98" t="s">
        <v>171</v>
      </c>
      <c r="AL1694" s="98" t="s">
        <v>171</v>
      </c>
      <c r="AM1694" s="98" t="s">
        <v>171</v>
      </c>
      <c r="AN1694" s="98" t="s">
        <v>171</v>
      </c>
      <c r="AO1694" s="98" t="s">
        <v>171</v>
      </c>
      <c r="AP1694" s="98" t="s">
        <v>171</v>
      </c>
      <c r="AQ1694" s="98" t="s">
        <v>171</v>
      </c>
      <c r="AR1694" s="520">
        <v>46218.0</v>
      </c>
      <c r="AS1694" s="189">
        <v>1179486.0</v>
      </c>
    </row>
    <row r="1695" ht="15.75" customHeight="1">
      <c r="A1695" s="111" t="s">
        <v>1842</v>
      </c>
      <c r="B1695" s="83" t="s">
        <v>9624</v>
      </c>
      <c r="C1695" s="83" t="s">
        <v>68</v>
      </c>
      <c r="D1695" s="208">
        <v>1178037.0</v>
      </c>
      <c r="E1695" s="189"/>
      <c r="F1695" s="83">
        <v>2.9428092E7</v>
      </c>
      <c r="G1695" s="91" t="str">
        <f>IFERROR(__xludf.DUMMYFUNCTION("XLOOKUP(AS1695,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PROFESSORA TEREZINHA SCARAMUSSA")</f>
        <v>COLÉGIO ESTADUAL PROFESSORA TEREZINHA SCARAMUSSA</v>
      </c>
      <c r="H1695" s="377" t="s">
        <v>9629</v>
      </c>
      <c r="I1695" s="91" t="s">
        <v>9630</v>
      </c>
      <c r="J1695" s="83" t="s">
        <v>149</v>
      </c>
      <c r="K1695" s="83" t="s">
        <v>150</v>
      </c>
      <c r="L1695" s="83" t="s">
        <v>3467</v>
      </c>
      <c r="M1695" s="82" t="s">
        <v>152</v>
      </c>
      <c r="N1695" s="212" t="s">
        <v>9631</v>
      </c>
      <c r="O1695" s="98" t="s">
        <v>155</v>
      </c>
      <c r="P1695" s="99" t="str">
        <f>IFERROR(__xludf.DUMMYFUNCTION("IFERROR(VLOOKUP(AS1695,IMPORTRANGE(""https://docs.google.com/spreadsheets/d/1juPI-Fb8LD0YtltB2mlGEnp_R3UVu1t3wSFPzgCyHXE/edit?gid=0#gid=0"",""GERAL!A2:C""),3,0),""-"")"),"-")</f>
        <v>-</v>
      </c>
      <c r="Q1695" s="189"/>
      <c r="R1695" s="189"/>
      <c r="S1695" s="189"/>
      <c r="T1695" s="189"/>
      <c r="U1695" s="189"/>
      <c r="V1695" s="189"/>
      <c r="W1695" s="189"/>
      <c r="X1695" s="189"/>
      <c r="Y1695" s="189"/>
      <c r="Z1695" s="189"/>
      <c r="AA1695" s="189"/>
      <c r="AB1695" s="189"/>
      <c r="AC1695" s="189"/>
      <c r="AD1695" s="189"/>
      <c r="AE1695" s="189"/>
      <c r="AF1695" s="189"/>
      <c r="AG1695" s="189"/>
      <c r="AH1695" s="189"/>
      <c r="AI1695" s="189"/>
      <c r="AJ1695" s="189"/>
      <c r="AK1695" s="189"/>
      <c r="AL1695" s="189"/>
      <c r="AM1695" s="189"/>
      <c r="AN1695" s="189"/>
      <c r="AO1695" s="189"/>
      <c r="AP1695" s="189"/>
      <c r="AQ1695" s="189"/>
      <c r="AR1695" s="189"/>
      <c r="AS1695" s="189">
        <v>1178037.0</v>
      </c>
    </row>
    <row r="1696" ht="15.75" customHeight="1">
      <c r="A1696" s="111" t="s">
        <v>1842</v>
      </c>
      <c r="B1696" s="83" t="s">
        <v>9624</v>
      </c>
      <c r="C1696" s="83" t="s">
        <v>68</v>
      </c>
      <c r="D1696" s="208">
        <v>1178401.0</v>
      </c>
      <c r="E1696" s="189"/>
      <c r="F1696" s="83">
        <v>2.9397707E7</v>
      </c>
      <c r="G1696" s="91" t="str">
        <f>IFERROR(__xludf.DUMMYFUNCTION("XLOOKUP(AS1696,
IMPORTRANGE(""https://docs.google.com/spreadsheets/d/1YM-djuOLXomrZ9W0B4TyIBsVWnXY4EIOFD9HY-qGfv0/edit?usp=sharing"",""GERAL!BG5:BG""),
IMPORTRANGE(""https://docs.google.com/spreadsheets/d/1YM-djuOLXomrZ9W0B4TyIBsVWnXY4EIOFD9HY-qGfv0/edit?"&amp;"usp=sharing"",""GERAL!G5:G""),
""CÓD. SEC NÃO ENCONTRADO NA PLANILHA DE MATRÍCULA"")"),"COLÉGIO ESTADUAL INDÍGENA COROA VERMELHA - ALDEIA COROA VERMELHA - TEMPO INTEGRAL")</f>
        <v>COLÉGIO ESTADUAL INDÍGENA COROA VERMELHA - ALDEIA COROA VERMELHA - TEMPO INTEGRAL</v>
      </c>
      <c r="H1696" s="377" t="s">
        <v>9641</v>
      </c>
      <c r="I1696" s="91" t="s">
        <v>9642</v>
      </c>
      <c r="J1696" s="83" t="s">
        <v>149</v>
      </c>
      <c r="K1696" s="83" t="s">
        <v>150</v>
      </c>
      <c r="L1696" s="83" t="s">
        <v>3467</v>
      </c>
      <c r="M1696" s="82" t="s">
        <v>152</v>
      </c>
      <c r="N1696" s="212" t="s">
        <v>9643</v>
      </c>
      <c r="O1696" s="98" t="s">
        <v>155</v>
      </c>
      <c r="P1696" s="99" t="str">
        <f>IFERROR(__xludf.DUMMYFUNCTION("IFERROR(VLOOKUP(AS1696,IMPORTRANGE(""https://docs.google.com/spreadsheets/d/1juPI-Fb8LD0YtltB2mlGEnp_R3UVu1t3wSFPzgCyHXE/edit?gid=0#gid=0"",""GERAL!A2:C""),3,0),""-"")"),"INDÍGENAS")</f>
        <v>INDÍGENAS</v>
      </c>
      <c r="Q1696" s="189"/>
      <c r="R1696" s="189"/>
      <c r="S1696" s="189"/>
      <c r="T1696" s="189"/>
      <c r="U1696" s="189"/>
      <c r="V1696" s="189"/>
      <c r="W1696" s="189"/>
      <c r="X1696" s="189"/>
      <c r="Y1696" s="189"/>
      <c r="Z1696" s="189"/>
      <c r="AA1696" s="189"/>
      <c r="AB1696" s="189"/>
      <c r="AC1696" s="189"/>
      <c r="AD1696" s="189"/>
      <c r="AE1696" s="189"/>
      <c r="AF1696" s="189"/>
      <c r="AG1696" s="189"/>
      <c r="AH1696" s="189"/>
      <c r="AI1696" s="189"/>
      <c r="AJ1696" s="189"/>
      <c r="AK1696" s="189"/>
      <c r="AL1696" s="189"/>
      <c r="AM1696" s="189"/>
      <c r="AN1696" s="189"/>
      <c r="AO1696" s="189"/>
      <c r="AP1696" s="189"/>
      <c r="AQ1696" s="189"/>
      <c r="AR1696" s="189"/>
      <c r="AS1696" s="189">
        <v>1178401.0</v>
      </c>
    </row>
    <row r="1697" ht="15.75" customHeight="1">
      <c r="A1697" s="111" t="s">
        <v>1842</v>
      </c>
      <c r="B1697" s="83" t="s">
        <v>9624</v>
      </c>
      <c r="C1697" s="83" t="s">
        <v>164</v>
      </c>
      <c r="D1697" s="208">
        <v>1178037.0</v>
      </c>
      <c r="E1697" s="189">
        <v>1178538.0</v>
      </c>
      <c r="F1697" s="83"/>
      <c r="G1697" s="91" t="str">
        <f>IFERROR(__xludf.DUMMYFUNCTION("XLOOKUP(AS1697,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TEREZINHA SCARAMUSSA - DISTRITO PONTO CENTRAL")</f>
        <v>ANEXO - COLÉGIO ESTADUAL PROFESSORA TEREZINHA SCARAMUSSA - DISTRITO PONTO CENTRAL</v>
      </c>
      <c r="H1697" s="377" t="s">
        <v>9645</v>
      </c>
      <c r="I1697" s="91" t="s">
        <v>9647</v>
      </c>
      <c r="J1697" s="83" t="s">
        <v>149</v>
      </c>
      <c r="K1697" s="83" t="s">
        <v>331</v>
      </c>
      <c r="L1697" s="83" t="s">
        <v>168</v>
      </c>
      <c r="M1697" s="82" t="s">
        <v>169</v>
      </c>
      <c r="N1697" s="523" t="s">
        <v>170</v>
      </c>
      <c r="O1697" s="98" t="s">
        <v>155</v>
      </c>
      <c r="P1697" s="99" t="str">
        <f>IFERROR(__xludf.DUMMYFUNCTION("IFERROR(VLOOKUP(AS1697,IMPORTRANGE(""https://docs.google.com/spreadsheets/d/1juPI-Fb8LD0YtltB2mlGEnp_R3UVu1t3wSFPzgCyHXE/edit?gid=0#gid=0"",""GERAL!A2:C""),3,0),""-"")"),"CAMPO")</f>
        <v>CAMPO</v>
      </c>
      <c r="Q1697" s="317"/>
      <c r="R1697" s="317"/>
      <c r="S1697" s="317"/>
      <c r="T1697" s="317"/>
      <c r="U1697" s="317"/>
      <c r="V1697" s="317"/>
      <c r="W1697" s="317"/>
      <c r="X1697" s="317"/>
      <c r="Y1697" s="317"/>
      <c r="Z1697" s="317"/>
      <c r="AA1697" s="317"/>
      <c r="AB1697" s="317"/>
      <c r="AC1697" s="317"/>
      <c r="AD1697" s="317"/>
      <c r="AE1697" s="317"/>
      <c r="AF1697" s="317"/>
      <c r="AG1697" s="317"/>
      <c r="AH1697" s="317"/>
      <c r="AI1697" s="317"/>
      <c r="AJ1697" s="317"/>
      <c r="AK1697" s="317"/>
      <c r="AL1697" s="317"/>
      <c r="AM1697" s="317"/>
      <c r="AN1697" s="317"/>
      <c r="AO1697" s="317"/>
      <c r="AP1697" s="317"/>
      <c r="AQ1697" s="317"/>
      <c r="AR1697" s="317"/>
      <c r="AS1697" s="317">
        <v>1178538.0</v>
      </c>
    </row>
    <row r="1698" ht="15.75" customHeight="1">
      <c r="A1698" s="111" t="s">
        <v>1842</v>
      </c>
      <c r="B1698" s="83" t="s">
        <v>9624</v>
      </c>
      <c r="C1698" s="83" t="s">
        <v>164</v>
      </c>
      <c r="D1698" s="208">
        <v>1178037.0</v>
      </c>
      <c r="E1698" s="189">
        <v>1178537.0</v>
      </c>
      <c r="F1698" s="83"/>
      <c r="G1698" s="91" t="str">
        <f>IFERROR(__xludf.DUMMYFUNCTION("XLOOKUP(AS1698,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PROFESSORA TEREZINHA SCARAMUSSA - DISTRITO DE SANTO ANTONIO")</f>
        <v>ANEXO - COLÉGIO ESTADUAL PROFESSORA TEREZINHA SCARAMUSSA - DISTRITO DE SANTO ANTONIO</v>
      </c>
      <c r="H1698" s="377" t="s">
        <v>9656</v>
      </c>
      <c r="I1698" s="91" t="s">
        <v>9657</v>
      </c>
      <c r="J1698" s="83" t="s">
        <v>149</v>
      </c>
      <c r="K1698" s="83" t="s">
        <v>872</v>
      </c>
      <c r="L1698" s="83" t="s">
        <v>168</v>
      </c>
      <c r="M1698" s="82" t="s">
        <v>169</v>
      </c>
      <c r="N1698" s="523" t="s">
        <v>170</v>
      </c>
      <c r="O1698" s="98" t="s">
        <v>155</v>
      </c>
      <c r="P1698" s="99" t="str">
        <f>IFERROR(__xludf.DUMMYFUNCTION("IFERROR(VLOOKUP(AS1698,IMPORTRANGE(""https://docs.google.com/spreadsheets/d/1juPI-Fb8LD0YtltB2mlGEnp_R3UVu1t3wSFPzgCyHXE/edit?gid=0#gid=0"",""GERAL!A2:C""),3,0),""-"")"),"CAMPO")</f>
        <v>CAMPO</v>
      </c>
      <c r="Q1698" s="317"/>
      <c r="R1698" s="317"/>
      <c r="S1698" s="317"/>
      <c r="T1698" s="317"/>
      <c r="U1698" s="317"/>
      <c r="V1698" s="317"/>
      <c r="W1698" s="317"/>
      <c r="X1698" s="317"/>
      <c r="Y1698" s="317"/>
      <c r="Z1698" s="317"/>
      <c r="AA1698" s="317"/>
      <c r="AB1698" s="317"/>
      <c r="AC1698" s="317"/>
      <c r="AD1698" s="317"/>
      <c r="AE1698" s="317"/>
      <c r="AF1698" s="317"/>
      <c r="AG1698" s="317"/>
      <c r="AH1698" s="317"/>
      <c r="AI1698" s="317"/>
      <c r="AJ1698" s="317"/>
      <c r="AK1698" s="317"/>
      <c r="AL1698" s="317"/>
      <c r="AM1698" s="317"/>
      <c r="AN1698" s="317"/>
      <c r="AO1698" s="317"/>
      <c r="AP1698" s="317"/>
      <c r="AQ1698" s="317"/>
      <c r="AR1698" s="317"/>
      <c r="AS1698" s="317">
        <v>1178537.0</v>
      </c>
    </row>
    <row r="1699" ht="15.75" customHeight="1">
      <c r="A1699" s="111" t="s">
        <v>1842</v>
      </c>
      <c r="B1699" s="83" t="s">
        <v>9624</v>
      </c>
      <c r="C1699" s="83" t="s">
        <v>164</v>
      </c>
      <c r="D1699" s="208">
        <v>1178401.0</v>
      </c>
      <c r="E1699" s="189">
        <v>1179715.0</v>
      </c>
      <c r="F1699" s="83"/>
      <c r="G1699" s="91" t="str">
        <f>IFERROR(__xludf.DUMMYFUNCTION("XLOOKUP(AS1699,
IMPORTRANGE(""https://docs.google.com/spreadsheets/d/1YM-djuOLXomrZ9W0B4TyIBsVWnXY4EIOFD9HY-qGfv0/edit?usp=sharing"",""GERAL!BG5:BG""),
IMPORTRANGE(""https://docs.google.com/spreadsheets/d/1YM-djuOLXomrZ9W0B4TyIBsVWnXY4EIOFD9HY-qGfv0/edit?"&amp;"usp=sharing"",""GERAL!G5:G""),
""CÓD. SEC NÃO ENCONTRADO NA PLANILHA DE MATRÍCULA"")"),"ANEXO - COLÉGIO ESTADUAL INDÍGENA COROA VERMELHA - ALDEIA MATA MEDONHA")</f>
        <v>ANEXO - COLÉGIO ESTADUAL INDÍGENA COROA VERMELHA - ALDEIA MATA MEDONHA</v>
      </c>
      <c r="H1699" s="293" t="s">
        <v>9664</v>
      </c>
      <c r="I1699" s="91" t="s">
        <v>9665</v>
      </c>
      <c r="J1699" s="193" t="s">
        <v>171</v>
      </c>
      <c r="K1699" s="98" t="s">
        <v>310</v>
      </c>
      <c r="L1699" s="83" t="s">
        <v>168</v>
      </c>
      <c r="M1699" s="82" t="s">
        <v>512</v>
      </c>
      <c r="N1699" s="523" t="s">
        <v>170</v>
      </c>
      <c r="O1699" s="98" t="s">
        <v>155</v>
      </c>
      <c r="P1699" s="99" t="str">
        <f>IFERROR(__xludf.DUMMYFUNCTION("IFERROR(VLOOKUP(AS1699,IMPORTRANGE(""https://docs.google.com/spreadsheets/d/1juPI-Fb8LD0YtltB2mlGEnp_R3UVu1t3wSFPzgCyHXE/edit?gid=0#gid=0"",""GERAL!A2:C""),3,0),""-"")"),"INDÍGENAS")</f>
        <v>INDÍGENAS</v>
      </c>
      <c r="Q1699" s="189"/>
      <c r="R1699" s="189"/>
      <c r="S1699" s="189"/>
      <c r="T1699" s="189"/>
      <c r="U1699" s="189"/>
      <c r="V1699" s="189"/>
      <c r="W1699" s="189"/>
      <c r="X1699" s="189"/>
      <c r="Y1699" s="189"/>
      <c r="Z1699" s="189"/>
      <c r="AA1699" s="189"/>
      <c r="AB1699" s="189"/>
      <c r="AC1699" s="189"/>
      <c r="AD1699" s="189"/>
      <c r="AE1699" s="189"/>
      <c r="AF1699" s="189"/>
      <c r="AG1699" s="189"/>
      <c r="AH1699" s="189"/>
      <c r="AI1699" s="189"/>
      <c r="AJ1699" s="189"/>
      <c r="AK1699" s="189"/>
      <c r="AL1699" s="189"/>
      <c r="AM1699" s="189"/>
      <c r="AN1699" s="189"/>
      <c r="AO1699" s="189"/>
      <c r="AP1699" s="189"/>
      <c r="AQ1699" s="189"/>
      <c r="AR1699" s="189"/>
      <c r="AS1699" s="189">
        <v>1179715.0</v>
      </c>
    </row>
    <row r="1700" ht="15.75" customHeight="1">
      <c r="A1700" s="524"/>
      <c r="B1700" s="2"/>
      <c r="C1700" s="2"/>
      <c r="D1700" s="2"/>
      <c r="E1700" s="2"/>
      <c r="F1700" s="2"/>
      <c r="G1700" s="2"/>
      <c r="H1700" s="2"/>
      <c r="I1700" s="2"/>
      <c r="J1700" s="2"/>
      <c r="K1700" s="2"/>
      <c r="L1700" s="2"/>
      <c r="M1700" s="3"/>
      <c r="N1700" s="525"/>
      <c r="O1700" s="526"/>
      <c r="P1700" s="526"/>
      <c r="Q1700" s="526"/>
      <c r="R1700" s="526"/>
      <c r="S1700" s="527"/>
      <c r="T1700" s="526"/>
      <c r="U1700" s="526"/>
      <c r="V1700" s="526"/>
      <c r="W1700" s="526"/>
      <c r="X1700" s="526"/>
      <c r="Y1700" s="526"/>
      <c r="Z1700" s="526"/>
      <c r="AA1700" s="526"/>
      <c r="AB1700" s="526"/>
      <c r="AC1700" s="526"/>
      <c r="AD1700" s="526"/>
      <c r="AE1700" s="526"/>
      <c r="AF1700" s="526"/>
      <c r="AG1700" s="526"/>
      <c r="AH1700" s="527"/>
      <c r="AI1700" s="526"/>
      <c r="AJ1700" s="526"/>
      <c r="AK1700" s="526"/>
      <c r="AL1700" s="526"/>
      <c r="AM1700" s="526"/>
      <c r="AN1700" s="526"/>
      <c r="AO1700" s="526"/>
      <c r="AP1700" s="526"/>
      <c r="AQ1700" s="526"/>
      <c r="AR1700" s="526"/>
      <c r="AS1700" s="526"/>
    </row>
    <row r="1701" ht="15.75" customHeight="1">
      <c r="A1701" s="528" t="s">
        <v>9677</v>
      </c>
      <c r="B1701" s="529"/>
      <c r="C1701" s="529"/>
      <c r="D1701" s="529"/>
      <c r="E1701" s="529"/>
      <c r="F1701" s="529"/>
      <c r="G1701" s="529"/>
      <c r="H1701" s="529"/>
      <c r="I1701" s="529"/>
      <c r="J1701" s="529"/>
      <c r="K1701" s="529"/>
      <c r="L1701" s="529"/>
      <c r="M1701" s="530"/>
      <c r="N1701" s="531"/>
      <c r="O1701" s="532"/>
      <c r="P1701" s="532"/>
      <c r="Q1701" s="532"/>
      <c r="R1701" s="532"/>
      <c r="S1701" s="532"/>
      <c r="T1701" s="532"/>
      <c r="U1701" s="532"/>
      <c r="V1701" s="532"/>
      <c r="W1701" s="532"/>
      <c r="X1701" s="532"/>
      <c r="Y1701" s="532"/>
      <c r="Z1701" s="532"/>
      <c r="AA1701" s="532"/>
      <c r="AB1701" s="532"/>
      <c r="AC1701" s="532"/>
      <c r="AD1701" s="532"/>
      <c r="AE1701" s="532"/>
      <c r="AF1701" s="532"/>
      <c r="AG1701" s="532"/>
      <c r="AH1701" s="533"/>
      <c r="AI1701" s="532"/>
      <c r="AJ1701" s="532"/>
      <c r="AK1701" s="532"/>
      <c r="AL1701" s="532"/>
      <c r="AM1701" s="532"/>
      <c r="AN1701" s="532"/>
      <c r="AO1701" s="532"/>
      <c r="AP1701" s="532"/>
      <c r="AQ1701" s="533"/>
      <c r="AR1701" s="532"/>
      <c r="AS1701" s="532"/>
    </row>
    <row r="1702" ht="30.0" customHeight="1">
      <c r="A1702" s="534"/>
      <c r="B1702" s="534"/>
      <c r="C1702" s="534"/>
      <c r="D1702" s="534"/>
      <c r="E1702" s="534"/>
      <c r="F1702" s="125"/>
      <c r="G1702" s="282"/>
      <c r="H1702" s="282"/>
      <c r="N1702" s="525"/>
      <c r="O1702" s="125"/>
      <c r="P1702" s="125"/>
      <c r="Q1702" s="125"/>
      <c r="R1702" s="125"/>
      <c r="S1702" s="125"/>
      <c r="T1702" s="125"/>
      <c r="U1702" s="282" t="s">
        <v>132</v>
      </c>
      <c r="V1702" s="125"/>
      <c r="W1702" s="125"/>
      <c r="X1702" s="125"/>
      <c r="Y1702" s="125"/>
      <c r="Z1702" s="125"/>
      <c r="AA1702" s="125"/>
      <c r="AB1702" s="125"/>
      <c r="AC1702" s="125"/>
      <c r="AD1702" s="125"/>
      <c r="AE1702" s="125"/>
      <c r="AF1702" s="125"/>
      <c r="AG1702" s="125"/>
      <c r="AH1702" s="125"/>
      <c r="AI1702" s="125"/>
      <c r="AJ1702" s="125"/>
      <c r="AK1702" s="125"/>
      <c r="AL1702" s="125"/>
      <c r="AM1702" s="125"/>
      <c r="AN1702" s="125"/>
      <c r="AO1702" s="125"/>
      <c r="AP1702" s="125"/>
      <c r="AQ1702" s="125"/>
      <c r="AR1702" s="125"/>
      <c r="AS1702" s="125"/>
    </row>
  </sheetData>
  <customSheetViews>
    <customSheetView guid="{155F24BD-BF2D-46E6-AADD-C5714EA5DFA0}" filter="1" showAutoFilter="1">
      <autoFilter ref="$A$4:$O$1699">
        <sortState ref="A4:O1699">
          <sortCondition ref="A4:A1699"/>
          <sortCondition descending="1" ref="H4:H1699"/>
        </sortState>
      </autoFilter>
    </customSheetView>
    <customSheetView guid="{E0BC5A03-7891-4303-8566-682774A607E3}" filter="1" showAutoFilter="1">
      <autoFilter ref="$A$4:$AS$1700"/>
    </customSheetView>
    <customSheetView guid="{515E7C85-F041-4C50-B1E8-5399958A02A8}" filter="1" showAutoFilter="1">
      <autoFilter ref="$A$4:$AS$1700"/>
    </customSheetView>
    <customSheetView guid="{5274F0F5-6AA6-46D9-A1A6-927760C0A5C8}" filter="1" showAutoFilter="1">
      <autoFilter ref="$A$4:$O$1699">
        <filterColumn colId="0">
          <filters>
            <filter val="NTE 26 - SALVADOR / RMS"/>
          </filters>
        </filterColumn>
      </autoFilter>
    </customSheetView>
    <customSheetView guid="{618DB2E1-EE25-4726-A456-BA1CA148415D}" filter="1" showAutoFilter="1">
      <autoFilter ref="$A$4:$O$1699"/>
    </customSheetView>
    <customSheetView guid="{D7DBD89C-7529-4A32-A79C-18D37D466F44}" filter="1" showAutoFilter="1">
      <autoFilter ref="$A$4:$O$1699"/>
    </customSheetView>
    <customSheetView guid="{EF557F84-12FA-4F7A-905C-6F88AE4CA8F5}" filter="1" showAutoFilter="1">
      <autoFilter ref="$A$4:$O$1699"/>
    </customSheetView>
    <customSheetView guid="{A29742EB-F11F-43EB-8C4B-8CE98826A64E}" filter="1" showAutoFilter="1">
      <autoFilter ref="$A$1:$AS$1700"/>
    </customSheetView>
    <customSheetView guid="{C12EAA4E-1A6D-414D-8BCC-55A5C0B926D4}" filter="1" showAutoFilter="1">
      <autoFilter ref="$A$4:$O$1699"/>
    </customSheetView>
    <customSheetView guid="{497721AE-6796-4CEC-BAFA-4DA242D184B8}" filter="1" showAutoFilter="1">
      <autoFilter ref="$A$4:$O$1699">
        <filterColumn colId="0">
          <filters>
            <filter val="NTE 01 - IRECÊ"/>
          </filters>
        </filterColumn>
        <sortState ref="A4:O1699">
          <sortCondition descending="1" ref="H4:H1699"/>
          <sortCondition descending="1" sortBy="cellColor" ref="F4:F1699" dxfId="6"/>
        </sortState>
      </autoFilter>
    </customSheetView>
  </customSheetViews>
  <mergeCells count="48">
    <mergeCell ref="G2:G3"/>
    <mergeCell ref="H2:H3"/>
    <mergeCell ref="I2:I3"/>
    <mergeCell ref="J2:J3"/>
    <mergeCell ref="K2:K3"/>
    <mergeCell ref="L2:L3"/>
    <mergeCell ref="A1700:M1700"/>
    <mergeCell ref="H1702:M1702"/>
    <mergeCell ref="M2:M3"/>
    <mergeCell ref="N2:N3"/>
    <mergeCell ref="O2:O3"/>
    <mergeCell ref="P2:P3"/>
    <mergeCell ref="Q2:Q3"/>
    <mergeCell ref="R2:R3"/>
    <mergeCell ref="S2:S3"/>
    <mergeCell ref="T2:T3"/>
    <mergeCell ref="AI2:AI3"/>
    <mergeCell ref="AJ2:AJ3"/>
    <mergeCell ref="AK2:AK3"/>
    <mergeCell ref="AL2:AL3"/>
    <mergeCell ref="AM2:AM3"/>
    <mergeCell ref="AN2:AN3"/>
    <mergeCell ref="AO2:AO3"/>
    <mergeCell ref="AP2:AP3"/>
    <mergeCell ref="AQ2:AQ3"/>
    <mergeCell ref="AR2:AR3"/>
    <mergeCell ref="A1:AS1"/>
    <mergeCell ref="A2:A3"/>
    <mergeCell ref="B2:B3"/>
    <mergeCell ref="C2:C3"/>
    <mergeCell ref="D2:D3"/>
    <mergeCell ref="E2:E3"/>
    <mergeCell ref="F2:F3"/>
    <mergeCell ref="AS2:AS3"/>
    <mergeCell ref="U2:U3"/>
    <mergeCell ref="V2:V3"/>
    <mergeCell ref="W2:W3"/>
    <mergeCell ref="X2:X3"/>
    <mergeCell ref="Y2:Y3"/>
    <mergeCell ref="Z2:Z3"/>
    <mergeCell ref="AA2:AA3"/>
    <mergeCell ref="AB2:AB3"/>
    <mergeCell ref="AC2:AC3"/>
    <mergeCell ref="AD2:AD3"/>
    <mergeCell ref="AE2:AE3"/>
    <mergeCell ref="AF2:AF3"/>
    <mergeCell ref="AG2:AG3"/>
    <mergeCell ref="AH2:AH3"/>
  </mergeCells>
  <conditionalFormatting sqref="A1700:M1701 O1700:AS1701">
    <cfRule type="notContainsBlanks" dxfId="7" priority="1">
      <formula>LEN(TRIM(A1700))&gt;0</formula>
    </cfRule>
  </conditionalFormatting>
  <conditionalFormatting sqref="Q5:AP1699 AQ63:AQ74 AQ329:AQ331 AQ810 AQ1188 AQ1192 AQ1248:AQ1250">
    <cfRule type="cellIs" dxfId="7" priority="2" operator="greaterThan">
      <formula>0</formula>
    </cfRule>
  </conditionalFormatting>
  <conditionalFormatting sqref="Q5:AP1699 AQ63:AQ74 AQ329:AQ331 AQ810 AQ1188 AQ1192 AQ1248:AQ1250">
    <cfRule type="cellIs" dxfId="8" priority="3" operator="lessThanOrEqual">
      <formula>0</formula>
    </cfRule>
  </conditionalFormatting>
  <hyperlinks>
    <hyperlink r:id="rId1" ref="Q5"/>
    <hyperlink r:id="rId2" ref="Q6"/>
    <hyperlink r:id="rId3" ref="Q8"/>
    <hyperlink r:id="rId4" ref="Q13"/>
    <hyperlink r:id="rId5" ref="Q14"/>
    <hyperlink r:id="rId6" ref="Q16"/>
    <hyperlink r:id="rId7" ref="Q17"/>
    <hyperlink r:id="rId8" ref="Q20"/>
    <hyperlink r:id="rId9" ref="Q21"/>
    <hyperlink r:id="rId10" ref="Q25"/>
    <hyperlink r:id="rId11" ref="Q26"/>
    <hyperlink r:id="rId12" ref="Q27"/>
    <hyperlink r:id="rId13" ref="Q29"/>
    <hyperlink r:id="rId14" ref="Q30"/>
    <hyperlink r:id="rId15" ref="Q31"/>
    <hyperlink r:id="rId16" ref="Q32"/>
    <hyperlink r:id="rId17" ref="Q33"/>
    <hyperlink r:id="rId18" ref="Q34"/>
    <hyperlink r:id="rId19" ref="Q37"/>
    <hyperlink r:id="rId20" ref="Q44"/>
    <hyperlink r:id="rId21" ref="Q49"/>
    <hyperlink r:id="rId22" ref="Q50"/>
    <hyperlink r:id="rId23" ref="Q51"/>
    <hyperlink r:id="rId24" ref="Q52"/>
    <hyperlink r:id="rId25" ref="Q54"/>
    <hyperlink r:id="rId26" ref="Q55"/>
    <hyperlink r:id="rId27" ref="Q56"/>
    <hyperlink r:id="rId28" ref="Q57"/>
    <hyperlink r:id="rId29" ref="Q58"/>
    <hyperlink r:id="rId30" ref="Q59"/>
    <hyperlink r:id="rId31" ref="Q60"/>
    <hyperlink r:id="rId32" ref="Q62"/>
    <hyperlink r:id="rId33" ref="Q75"/>
    <hyperlink r:id="rId34" ref="Q76"/>
    <hyperlink r:id="rId35" ref="Q77"/>
    <hyperlink r:id="rId36" ref="Q78"/>
    <hyperlink r:id="rId37" ref="Q79"/>
    <hyperlink r:id="rId38" ref="Q80"/>
    <hyperlink r:id="rId39" ref="Q93"/>
    <hyperlink r:id="rId40" ref="Q94"/>
    <hyperlink r:id="rId41" ref="Q96"/>
    <hyperlink r:id="rId42" ref="Q107"/>
    <hyperlink r:id="rId43" ref="Q108"/>
    <hyperlink r:id="rId44" ref="Q114"/>
    <hyperlink r:id="rId45" ref="Q117"/>
    <hyperlink r:id="rId46" ref="Q118"/>
    <hyperlink r:id="rId47" ref="Q128"/>
    <hyperlink r:id="rId48" ref="Q133"/>
    <hyperlink r:id="rId49" ref="Q142"/>
    <hyperlink r:id="rId50" ref="Q163"/>
    <hyperlink r:id="rId51" ref="Q177"/>
    <hyperlink r:id="rId52" ref="Q178"/>
    <hyperlink r:id="rId53" ref="Q190"/>
    <hyperlink r:id="rId54" ref="Q191"/>
    <hyperlink r:id="rId55" ref="Q193"/>
    <hyperlink r:id="rId56" ref="Q198"/>
    <hyperlink r:id="rId57" ref="Q200"/>
    <hyperlink r:id="rId58" ref="Q207"/>
    <hyperlink r:id="rId59" ref="Q210"/>
    <hyperlink r:id="rId60" ref="Q219"/>
    <hyperlink r:id="rId61" ref="Q220"/>
    <hyperlink r:id="rId62" ref="Q221"/>
    <hyperlink r:id="rId63" ref="Q222"/>
    <hyperlink r:id="rId64" ref="Q223"/>
    <hyperlink r:id="rId65" ref="Q227"/>
    <hyperlink r:id="rId66" ref="Q228"/>
    <hyperlink r:id="rId67" ref="Q230"/>
    <hyperlink r:id="rId68" ref="Q235"/>
    <hyperlink r:id="rId69" ref="Q236"/>
    <hyperlink r:id="rId70" ref="Q241"/>
    <hyperlink r:id="rId71" ref="Q250"/>
    <hyperlink r:id="rId72" ref="Q252"/>
    <hyperlink r:id="rId73" ref="Q257"/>
    <hyperlink r:id="rId74" ref="Q262"/>
    <hyperlink r:id="rId75" ref="Q263"/>
    <hyperlink r:id="rId76" ref="Q277"/>
    <hyperlink r:id="rId77" ref="Q278"/>
    <hyperlink r:id="rId78" ref="Q280"/>
    <hyperlink r:id="rId79" ref="Q281"/>
    <hyperlink r:id="rId80" ref="Q283"/>
    <hyperlink r:id="rId81" ref="Q292"/>
    <hyperlink r:id="rId82" ref="Q299"/>
    <hyperlink r:id="rId83" ref="Q300"/>
    <hyperlink r:id="rId84" ref="Q301"/>
    <hyperlink r:id="rId85" ref="Q302"/>
    <hyperlink r:id="rId86" ref="Q304"/>
    <hyperlink r:id="rId87" ref="Q309"/>
    <hyperlink r:id="rId88" ref="Q314"/>
    <hyperlink r:id="rId89" ref="Q315"/>
    <hyperlink r:id="rId90" ref="Q316"/>
    <hyperlink r:id="rId91" ref="Q326"/>
    <hyperlink r:id="rId92" ref="Q327"/>
    <hyperlink r:id="rId93" ref="Q328"/>
    <hyperlink r:id="rId94" ref="Q374"/>
    <hyperlink r:id="rId95" ref="Q375"/>
    <hyperlink r:id="rId96" ref="Q377"/>
    <hyperlink r:id="rId97" ref="Q378"/>
    <hyperlink r:id="rId98" ref="Q379"/>
    <hyperlink r:id="rId99" ref="Q380"/>
    <hyperlink r:id="rId100" ref="Q386"/>
    <hyperlink r:id="rId101" ref="Q388"/>
    <hyperlink r:id="rId102" ref="Q389"/>
    <hyperlink r:id="rId103" ref="Q391"/>
    <hyperlink r:id="rId104" ref="Q392"/>
    <hyperlink r:id="rId105" ref="Q393"/>
    <hyperlink r:id="rId106" ref="Q394"/>
    <hyperlink r:id="rId107" ref="Q395"/>
    <hyperlink r:id="rId108" ref="Q404"/>
    <hyperlink r:id="rId109" ref="Q420"/>
    <hyperlink r:id="rId110" ref="Q421"/>
    <hyperlink r:id="rId111" ref="Q433"/>
    <hyperlink r:id="rId112" ref="Q438"/>
    <hyperlink r:id="rId113" ref="Q439"/>
    <hyperlink r:id="rId114" ref="Q447"/>
    <hyperlink r:id="rId115" ref="Q450"/>
    <hyperlink r:id="rId116" ref="Q451"/>
    <hyperlink r:id="rId117" ref="Q452"/>
    <hyperlink r:id="rId118" ref="Q453"/>
    <hyperlink r:id="rId119" ref="Q454"/>
    <hyperlink r:id="rId120" ref="Q465"/>
    <hyperlink r:id="rId121" ref="Q466"/>
    <hyperlink r:id="rId122" ref="Q490"/>
    <hyperlink r:id="rId123" ref="Q498"/>
    <hyperlink r:id="rId124" ref="Q503"/>
    <hyperlink r:id="rId125" ref="Q507"/>
    <hyperlink r:id="rId126" ref="Q508"/>
    <hyperlink r:id="rId127" ref="Q509"/>
    <hyperlink r:id="rId128" ref="Q536"/>
    <hyperlink r:id="rId129" ref="Q537"/>
    <hyperlink r:id="rId130" ref="Q538"/>
    <hyperlink r:id="rId131" ref="Q539"/>
    <hyperlink r:id="rId132" ref="Q540"/>
    <hyperlink r:id="rId133" ref="Q541"/>
    <hyperlink r:id="rId134" ref="Q553"/>
    <hyperlink r:id="rId135" ref="Q554"/>
    <hyperlink r:id="rId136" ref="Q557"/>
    <hyperlink r:id="rId137" ref="Q561"/>
    <hyperlink r:id="rId138" ref="Q562"/>
    <hyperlink r:id="rId139" ref="Q563"/>
    <hyperlink r:id="rId140" ref="Q564"/>
    <hyperlink r:id="rId141" ref="Q569"/>
    <hyperlink r:id="rId142" ref="Q574"/>
    <hyperlink r:id="rId143" ref="Q575"/>
    <hyperlink r:id="rId144" ref="Q576"/>
    <hyperlink r:id="rId145" ref="Q577"/>
    <hyperlink r:id="rId146" ref="Q578"/>
    <hyperlink r:id="rId147" ref="Q585"/>
    <hyperlink r:id="rId148" ref="Q587"/>
    <hyperlink r:id="rId149" ref="Q592"/>
    <hyperlink r:id="rId150" ref="Q596"/>
    <hyperlink r:id="rId151" ref="Q598"/>
    <hyperlink r:id="rId152" ref="Q600"/>
    <hyperlink r:id="rId153" ref="Q603"/>
    <hyperlink r:id="rId154" ref="Q604"/>
    <hyperlink r:id="rId155" ref="Q606"/>
    <hyperlink r:id="rId156" ref="Q623"/>
    <hyperlink r:id="rId157" ref="Q624"/>
    <hyperlink r:id="rId158" ref="Q625"/>
    <hyperlink r:id="rId159" ref="Q641"/>
    <hyperlink r:id="rId160" ref="Q642"/>
    <hyperlink r:id="rId161" ref="Q643"/>
    <hyperlink r:id="rId162" ref="Q644"/>
    <hyperlink r:id="rId163" ref="Q645"/>
    <hyperlink r:id="rId164" ref="Q646"/>
    <hyperlink r:id="rId165" ref="Q647"/>
    <hyperlink r:id="rId166" ref="Q648"/>
    <hyperlink r:id="rId167" ref="Q649"/>
    <hyperlink r:id="rId168" ref="Q650"/>
    <hyperlink r:id="rId169" ref="Q651"/>
    <hyperlink r:id="rId170" ref="Q652"/>
    <hyperlink r:id="rId171" ref="Q653"/>
    <hyperlink r:id="rId172" ref="Q654"/>
    <hyperlink r:id="rId173" ref="Q655"/>
    <hyperlink r:id="rId174" ref="Q656"/>
    <hyperlink r:id="rId175" ref="Q657"/>
    <hyperlink r:id="rId176" ref="Q658"/>
    <hyperlink r:id="rId177" ref="Q659"/>
    <hyperlink r:id="rId178" ref="Q680"/>
    <hyperlink r:id="rId179" ref="Q717"/>
    <hyperlink r:id="rId180" ref="Q718"/>
    <hyperlink r:id="rId181" ref="Q719"/>
    <hyperlink r:id="rId182" ref="Q720"/>
    <hyperlink r:id="rId183" ref="Q721"/>
    <hyperlink r:id="rId184" ref="Q722"/>
    <hyperlink r:id="rId185" ref="Q723"/>
    <hyperlink r:id="rId186" ref="Q727"/>
    <hyperlink r:id="rId187" ref="Q729"/>
    <hyperlink r:id="rId188" ref="Q733"/>
    <hyperlink r:id="rId189" ref="Q734"/>
    <hyperlink r:id="rId190" ref="Q735"/>
    <hyperlink r:id="rId191" ref="Q736"/>
    <hyperlink r:id="rId192" ref="Q737"/>
    <hyperlink r:id="rId193" ref="Q738"/>
    <hyperlink r:id="rId194" ref="Q739"/>
    <hyperlink r:id="rId195" ref="Q740"/>
    <hyperlink r:id="rId196" ref="Q770"/>
    <hyperlink r:id="rId197" ref="Q771"/>
    <hyperlink r:id="rId198" ref="Q772"/>
    <hyperlink r:id="rId199" ref="Q786"/>
    <hyperlink r:id="rId200" ref="Q798"/>
    <hyperlink r:id="rId201" ref="Q802"/>
    <hyperlink r:id="rId202" ref="Q818"/>
    <hyperlink r:id="rId203" ref="Q819"/>
    <hyperlink r:id="rId204" ref="Q826"/>
    <hyperlink r:id="rId205" ref="Q832"/>
    <hyperlink r:id="rId206" ref="Q833"/>
    <hyperlink r:id="rId207" ref="Q844"/>
    <hyperlink r:id="rId208" ref="Q845"/>
    <hyperlink r:id="rId209" ref="Q846"/>
    <hyperlink r:id="rId210" ref="Q847"/>
    <hyperlink r:id="rId211" ref="Q848"/>
    <hyperlink r:id="rId212" ref="Q849"/>
    <hyperlink r:id="rId213" ref="Q856"/>
    <hyperlink r:id="rId214" ref="Q862"/>
    <hyperlink r:id="rId215" ref="Q865"/>
    <hyperlink r:id="rId216" ref="Q872"/>
    <hyperlink r:id="rId217" ref="Q873"/>
    <hyperlink r:id="rId218" ref="Q883"/>
    <hyperlink r:id="rId219" ref="Q884"/>
    <hyperlink r:id="rId220" ref="Q885"/>
    <hyperlink r:id="rId221" ref="Q887"/>
    <hyperlink r:id="rId222" ref="Q898"/>
    <hyperlink r:id="rId223" ref="Q900"/>
    <hyperlink r:id="rId224" ref="Q901"/>
    <hyperlink r:id="rId225" ref="Q903"/>
    <hyperlink r:id="rId226" ref="Q904"/>
    <hyperlink r:id="rId227" ref="Q905"/>
    <hyperlink r:id="rId228" ref="Q906"/>
    <hyperlink r:id="rId229" ref="Q908"/>
    <hyperlink r:id="rId230" ref="Q909"/>
    <hyperlink r:id="rId231" ref="Q916"/>
    <hyperlink r:id="rId232" ref="Q919"/>
    <hyperlink r:id="rId233" ref="Q920"/>
    <hyperlink r:id="rId234" ref="Q922"/>
    <hyperlink r:id="rId235" ref="Q923"/>
    <hyperlink r:id="rId236" ref="Q924"/>
    <hyperlink r:id="rId237" ref="Q925"/>
    <hyperlink r:id="rId238" ref="Q928"/>
    <hyperlink r:id="rId239" ref="Q929"/>
    <hyperlink r:id="rId240" ref="Q931"/>
    <hyperlink r:id="rId241" ref="Q932"/>
    <hyperlink r:id="rId242" ref="Q934"/>
    <hyperlink r:id="rId243" ref="Q935"/>
    <hyperlink r:id="rId244" ref="Q936"/>
    <hyperlink r:id="rId245" ref="Q937"/>
    <hyperlink r:id="rId246" ref="Q938"/>
    <hyperlink r:id="rId247" ref="Q940"/>
    <hyperlink r:id="rId248" ref="Q941"/>
    <hyperlink r:id="rId249" ref="Q942"/>
    <hyperlink r:id="rId250" ref="Q944"/>
    <hyperlink r:id="rId251" ref="Q951"/>
    <hyperlink r:id="rId252" ref="Q955"/>
    <hyperlink r:id="rId253" ref="Q957"/>
    <hyperlink r:id="rId254" ref="Q976"/>
    <hyperlink r:id="rId255" ref="Q977"/>
    <hyperlink r:id="rId256" ref="Q978"/>
    <hyperlink r:id="rId257" ref="Q979"/>
    <hyperlink r:id="rId258" ref="Q980"/>
    <hyperlink r:id="rId259" ref="Q987"/>
    <hyperlink r:id="rId260" ref="Q993"/>
    <hyperlink r:id="rId261" ref="Q994"/>
    <hyperlink r:id="rId262" ref="Q995"/>
    <hyperlink r:id="rId263" ref="Q996"/>
    <hyperlink r:id="rId264" ref="Q997"/>
    <hyperlink r:id="rId265" ref="Q999"/>
    <hyperlink r:id="rId266" ref="Q1001"/>
    <hyperlink r:id="rId267" ref="Q1002"/>
    <hyperlink r:id="rId268" ref="Q1003"/>
    <hyperlink r:id="rId269" ref="Q1004"/>
    <hyperlink r:id="rId270" ref="Q1005"/>
    <hyperlink r:id="rId271" ref="Q1006"/>
    <hyperlink r:id="rId272" ref="Q1007"/>
    <hyperlink r:id="rId273" ref="Q1008"/>
    <hyperlink r:id="rId274" ref="Q1009"/>
    <hyperlink r:id="rId275" ref="Q1010"/>
    <hyperlink r:id="rId276" ref="Q1011"/>
    <hyperlink r:id="rId277" ref="Q1012"/>
    <hyperlink r:id="rId278" ref="Q1013"/>
    <hyperlink r:id="rId279" ref="Q1014"/>
    <hyperlink r:id="rId280" ref="Q1019"/>
    <hyperlink r:id="rId281" ref="Q1020"/>
    <hyperlink r:id="rId282" ref="Q1021"/>
    <hyperlink r:id="rId283" ref="Q1022"/>
    <hyperlink r:id="rId284" ref="Q1023"/>
    <hyperlink r:id="rId285" ref="Q1024"/>
    <hyperlink r:id="rId286" ref="Q1025"/>
    <hyperlink r:id="rId287" ref="Q1028"/>
    <hyperlink r:id="rId288" ref="Q1029"/>
    <hyperlink r:id="rId289" ref="Q1030"/>
    <hyperlink r:id="rId290" ref="Q1033"/>
    <hyperlink r:id="rId291" ref="Q1046"/>
    <hyperlink r:id="rId292" ref="Q1052"/>
    <hyperlink r:id="rId293" ref="Q1054"/>
    <hyperlink r:id="rId294" ref="Q1060"/>
    <hyperlink r:id="rId295" ref="Q1067"/>
    <hyperlink r:id="rId296" ref="Q1068"/>
    <hyperlink r:id="rId297" ref="Q1069"/>
    <hyperlink r:id="rId298" ref="Q1070"/>
    <hyperlink r:id="rId299" ref="Q1071"/>
    <hyperlink r:id="rId300" ref="Q1072"/>
    <hyperlink r:id="rId301" ref="Q1074"/>
    <hyperlink r:id="rId302" ref="Q1075"/>
    <hyperlink r:id="rId303" ref="Q1076"/>
    <hyperlink r:id="rId304" ref="Q1077"/>
    <hyperlink r:id="rId305" ref="Q1079"/>
    <hyperlink r:id="rId306" ref="Q1080"/>
    <hyperlink r:id="rId307" ref="Q1081"/>
    <hyperlink r:id="rId308" ref="Q1082"/>
    <hyperlink r:id="rId309" ref="Q1083"/>
    <hyperlink r:id="rId310" ref="Q1085"/>
    <hyperlink r:id="rId311" ref="Q1086"/>
    <hyperlink r:id="rId312" ref="Q1087"/>
    <hyperlink r:id="rId313" ref="Q1088"/>
    <hyperlink r:id="rId314" ref="Q1089"/>
    <hyperlink r:id="rId315" ref="Q1090"/>
    <hyperlink r:id="rId316" ref="Q1091"/>
    <hyperlink r:id="rId317" ref="Q1092"/>
    <hyperlink r:id="rId318" ref="Q1094"/>
    <hyperlink r:id="rId319" ref="Q1095"/>
    <hyperlink r:id="rId320" ref="Q1096"/>
    <hyperlink r:id="rId321" ref="Q1097"/>
    <hyperlink r:id="rId322" ref="Q1098"/>
    <hyperlink r:id="rId323" ref="Q1099"/>
    <hyperlink r:id="rId324" ref="Q1100"/>
    <hyperlink r:id="rId325" ref="Q1101"/>
    <hyperlink r:id="rId326" ref="Q1102"/>
    <hyperlink r:id="rId327" ref="Q1106"/>
    <hyperlink r:id="rId328" ref="Q1108"/>
    <hyperlink r:id="rId329" ref="Q1109"/>
    <hyperlink r:id="rId330" ref="Q1113"/>
    <hyperlink r:id="rId331" ref="Q1123"/>
    <hyperlink r:id="rId332" ref="Q1126"/>
    <hyperlink r:id="rId333" ref="Q1128"/>
    <hyperlink r:id="rId334" ref="Q1129"/>
    <hyperlink r:id="rId335" ref="Q1139"/>
    <hyperlink r:id="rId336" ref="Q1141"/>
    <hyperlink r:id="rId337" ref="Q1142"/>
    <hyperlink r:id="rId338" ref="Q1143"/>
    <hyperlink r:id="rId339" ref="Q1145"/>
    <hyperlink r:id="rId340" ref="Q1146"/>
    <hyperlink r:id="rId341" ref="Q1147"/>
    <hyperlink r:id="rId342" ref="Q1150"/>
    <hyperlink r:id="rId343" ref="Q1151"/>
    <hyperlink r:id="rId344" ref="Q1152"/>
    <hyperlink r:id="rId345" ref="Q1153"/>
    <hyperlink r:id="rId346" ref="Q1154"/>
    <hyperlink r:id="rId347" ref="Q1155"/>
    <hyperlink r:id="rId348" ref="Q1157"/>
    <hyperlink r:id="rId349" ref="Q1162"/>
    <hyperlink r:id="rId350" ref="Q1165"/>
    <hyperlink r:id="rId351" ref="Q1180"/>
    <hyperlink r:id="rId352" ref="Q1181"/>
    <hyperlink r:id="rId353" ref="Q1182"/>
    <hyperlink r:id="rId354" ref="Q1183"/>
    <hyperlink r:id="rId355" ref="Q1184"/>
    <hyperlink r:id="rId356" ref="Q1185"/>
    <hyperlink r:id="rId357" ref="Q1186"/>
    <hyperlink r:id="rId358" ref="Q1187"/>
    <hyperlink r:id="rId359" ref="Q1188"/>
    <hyperlink r:id="rId360" ref="Q1189"/>
    <hyperlink r:id="rId361" ref="Q1190"/>
    <hyperlink r:id="rId362" ref="Q1191"/>
    <hyperlink r:id="rId363" ref="Q1192"/>
    <hyperlink r:id="rId364" ref="Q1194"/>
    <hyperlink r:id="rId365" ref="Q1203"/>
    <hyperlink r:id="rId366" ref="Q1206"/>
    <hyperlink r:id="rId367" ref="Q1207"/>
    <hyperlink r:id="rId368" ref="Q1208"/>
    <hyperlink r:id="rId369" ref="Q1210"/>
    <hyperlink r:id="rId370" ref="Q1211"/>
    <hyperlink r:id="rId371" ref="Q1212"/>
    <hyperlink r:id="rId372" ref="Q1213"/>
    <hyperlink r:id="rId373" ref="Q1217"/>
    <hyperlink r:id="rId374" ref="Q1218"/>
    <hyperlink r:id="rId375" ref="Q1219"/>
    <hyperlink r:id="rId376" ref="Q1220"/>
    <hyperlink r:id="rId377" ref="Q1224"/>
    <hyperlink r:id="rId378" ref="Q1225"/>
    <hyperlink r:id="rId379" ref="Q1226"/>
    <hyperlink r:id="rId380" ref="Q1227"/>
    <hyperlink r:id="rId381" ref="Q1228"/>
    <hyperlink r:id="rId382" ref="Q1229"/>
    <hyperlink r:id="rId383" ref="Q1230"/>
    <hyperlink r:id="rId384" ref="Q1241"/>
    <hyperlink r:id="rId385" ref="Q1242"/>
    <hyperlink r:id="rId386" ref="Q1245"/>
    <hyperlink r:id="rId387" ref="Q1247"/>
    <hyperlink r:id="rId388" ref="Q1251"/>
    <hyperlink r:id="rId389" ref="Q1257"/>
    <hyperlink r:id="rId390" ref="Q1258"/>
    <hyperlink r:id="rId391" ref="Q1265"/>
    <hyperlink r:id="rId392" ref="Q1268"/>
    <hyperlink r:id="rId393" ref="Q1269"/>
    <hyperlink r:id="rId394" ref="Q1270"/>
    <hyperlink r:id="rId395" ref="Q1271"/>
    <hyperlink r:id="rId396" ref="Q1272"/>
    <hyperlink r:id="rId397" ref="Q1273"/>
    <hyperlink r:id="rId398" ref="Q1274"/>
    <hyperlink r:id="rId399" ref="Q1275"/>
    <hyperlink r:id="rId400" ref="Q1276"/>
    <hyperlink r:id="rId401" ref="Q1278"/>
    <hyperlink r:id="rId402" ref="Q1279"/>
    <hyperlink r:id="rId403" ref="Q1280"/>
    <hyperlink r:id="rId404" ref="Q1290"/>
    <hyperlink r:id="rId405" ref="Q1291"/>
    <hyperlink r:id="rId406" ref="Q1293"/>
    <hyperlink r:id="rId407" ref="Q1296"/>
    <hyperlink r:id="rId408" ref="Q1297"/>
    <hyperlink r:id="rId409" ref="Q1304"/>
    <hyperlink r:id="rId410" ref="Q1305"/>
    <hyperlink r:id="rId411" ref="Q1309"/>
    <hyperlink r:id="rId412" ref="Q1310"/>
    <hyperlink r:id="rId413" ref="Q1320"/>
    <hyperlink r:id="rId414" ref="Q1328"/>
    <hyperlink r:id="rId415" ref="Q1329"/>
    <hyperlink r:id="rId416" ref="Q1330"/>
    <hyperlink r:id="rId417" ref="Q1333"/>
    <hyperlink r:id="rId418" ref="Q1334"/>
    <hyperlink r:id="rId419" ref="Q1335"/>
    <hyperlink r:id="rId420" ref="Q1384"/>
    <hyperlink r:id="rId421" ref="Q1387"/>
    <hyperlink r:id="rId422" ref="Q1388"/>
    <hyperlink r:id="rId423" ref="Q1389"/>
    <hyperlink r:id="rId424" ref="Q1390"/>
    <hyperlink r:id="rId425" ref="Q1391"/>
    <hyperlink r:id="rId426" ref="Q1392"/>
    <hyperlink r:id="rId427" ref="Q1395"/>
    <hyperlink r:id="rId428" ref="Q1396"/>
    <hyperlink r:id="rId429" ref="Q1403"/>
    <hyperlink r:id="rId430" ref="Q1404"/>
    <hyperlink r:id="rId431" ref="Q1405"/>
    <hyperlink r:id="rId432" ref="Q1406"/>
    <hyperlink r:id="rId433" ref="Q1407"/>
    <hyperlink r:id="rId434" ref="Q1408"/>
    <hyperlink r:id="rId435" ref="Q1409"/>
    <hyperlink r:id="rId436" ref="Q1410"/>
    <hyperlink r:id="rId437" ref="Q1411"/>
    <hyperlink r:id="rId438" ref="Q1421"/>
    <hyperlink r:id="rId439" ref="Q1422"/>
    <hyperlink r:id="rId440" ref="Q1434"/>
    <hyperlink r:id="rId441" ref="Q1435"/>
    <hyperlink r:id="rId442" ref="Q1437"/>
    <hyperlink r:id="rId443" ref="Q1438"/>
    <hyperlink r:id="rId444" ref="Q1651"/>
    <hyperlink r:id="rId445" ref="Q1652"/>
    <hyperlink r:id="rId446" ref="Q1653"/>
    <hyperlink r:id="rId447" ref="Q1654"/>
    <hyperlink r:id="rId448" ref="Q1655"/>
    <hyperlink r:id="rId449" ref="Q1658"/>
    <hyperlink r:id="rId450" ref="Q1659"/>
    <hyperlink r:id="rId451" ref="Q1660"/>
    <hyperlink r:id="rId452" ref="Q1661"/>
    <hyperlink r:id="rId453" ref="Q1664"/>
    <hyperlink r:id="rId454" ref="Q1670"/>
    <hyperlink r:id="rId455" ref="Q1674"/>
    <hyperlink r:id="rId456" ref="Q1676"/>
    <hyperlink r:id="rId457" ref="Q1678"/>
    <hyperlink r:id="rId458" ref="Q1679"/>
    <hyperlink r:id="rId459" ref="Q1681"/>
    <hyperlink r:id="rId460" ref="Q1682"/>
    <hyperlink r:id="rId461" ref="Q1683"/>
    <hyperlink r:id="rId462" ref="Q1684"/>
    <hyperlink r:id="rId463" ref="Q1685"/>
  </hyperlinks>
  <printOptions/>
  <pageMargins bottom="0.28991666666666666" footer="0.0" header="0.0" left="0.27808333333333335" right="0.36341666666666667" top="0.2115"/>
  <pageSetup fitToHeight="0" orientation="landscape"/>
  <headerFooter>
    <oddFooter>&amp;L25/10/2021 às 14:06 (RS)&amp;C&amp;P</oddFooter>
  </headerFooter>
  <drawing r:id="rId46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5.71"/>
    <col customWidth="1" min="2" max="2" width="15.0"/>
    <col customWidth="1" min="3" max="3" width="11.14"/>
    <col customWidth="1" min="4" max="4" width="11.71"/>
    <col customWidth="1" min="5" max="5" width="11.14"/>
    <col customWidth="1" min="6" max="6" width="13.57"/>
    <col customWidth="1" min="7" max="7" width="53.57"/>
    <col customWidth="1" min="8" max="8" width="11.86"/>
    <col customWidth="1" min="9" max="9" width="29.43"/>
    <col customWidth="1" min="10" max="62" width="49.86"/>
  </cols>
  <sheetData>
    <row r="1" ht="71.25" customHeight="1">
      <c r="A1" s="258" t="s">
        <v>1958</v>
      </c>
      <c r="B1" s="2"/>
      <c r="C1" s="2"/>
      <c r="D1" s="2"/>
      <c r="E1" s="2"/>
      <c r="F1" s="2"/>
      <c r="G1" s="2"/>
      <c r="H1" s="2"/>
      <c r="I1" s="2"/>
      <c r="J1" s="2"/>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row>
    <row r="2" ht="24.0" customHeight="1">
      <c r="A2" s="260" t="s">
        <v>1965</v>
      </c>
      <c r="B2" s="2"/>
      <c r="C2" s="2"/>
      <c r="D2" s="3"/>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ht="58.5" customHeight="1">
      <c r="A3" s="7" t="s">
        <v>2</v>
      </c>
      <c r="B3" s="21" t="s">
        <v>1967</v>
      </c>
      <c r="C3" s="14" t="s">
        <v>1968</v>
      </c>
      <c r="D3" s="14" t="s">
        <v>1969</v>
      </c>
      <c r="E3" s="14" t="s">
        <v>1970</v>
      </c>
      <c r="F3" s="21" t="s">
        <v>10</v>
      </c>
      <c r="G3" s="21" t="s">
        <v>11</v>
      </c>
      <c r="H3" s="261" t="s">
        <v>1974</v>
      </c>
      <c r="I3" s="45" t="s">
        <v>119</v>
      </c>
      <c r="J3" s="45" t="s">
        <v>1975</v>
      </c>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262"/>
      <c r="BE3" s="262"/>
      <c r="BF3" s="262"/>
      <c r="BG3" s="262"/>
      <c r="BH3" s="262"/>
      <c r="BI3" s="262"/>
      <c r="BJ3" s="262"/>
    </row>
    <row r="4" ht="24.75" customHeight="1">
      <c r="A4" s="56"/>
      <c r="B4" s="56"/>
      <c r="C4" s="56"/>
      <c r="D4" s="56"/>
      <c r="E4" s="56"/>
      <c r="F4" s="56"/>
      <c r="G4" s="56"/>
      <c r="H4" s="263"/>
      <c r="I4" s="42"/>
      <c r="J4" s="3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2"/>
      <c r="AV4" s="262"/>
      <c r="AW4" s="262"/>
      <c r="AX4" s="262"/>
      <c r="AY4" s="262"/>
      <c r="AZ4" s="262"/>
      <c r="BA4" s="262"/>
      <c r="BB4" s="262"/>
      <c r="BC4" s="262"/>
      <c r="BD4" s="262"/>
      <c r="BE4" s="262"/>
      <c r="BF4" s="262"/>
      <c r="BG4" s="262"/>
      <c r="BH4" s="262"/>
      <c r="BI4" s="262"/>
      <c r="BJ4" s="262"/>
    </row>
    <row r="5" ht="16.5" customHeight="1">
      <c r="A5" s="66" t="s">
        <v>1980</v>
      </c>
      <c r="B5" s="69"/>
      <c r="C5" s="69"/>
      <c r="D5" s="71"/>
      <c r="E5" s="71"/>
      <c r="F5" s="71"/>
      <c r="G5" s="71"/>
      <c r="H5" s="77"/>
      <c r="I5" s="264" t="s">
        <v>1981</v>
      </c>
      <c r="J5" s="265" t="s">
        <v>1985</v>
      </c>
      <c r="K5" s="266"/>
      <c r="L5" s="266"/>
      <c r="M5" s="266"/>
      <c r="N5" s="266"/>
      <c r="O5" s="266"/>
      <c r="P5" s="266"/>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row>
    <row r="6">
      <c r="A6" s="94" t="s">
        <v>1986</v>
      </c>
      <c r="B6" s="82" t="s">
        <v>1423</v>
      </c>
      <c r="C6" s="83" t="s">
        <v>68</v>
      </c>
      <c r="D6" s="83">
        <v>1111223.0</v>
      </c>
      <c r="E6" s="83"/>
      <c r="F6" s="83">
        <v>2.9302218E7</v>
      </c>
      <c r="G6" s="267" t="s">
        <v>1987</v>
      </c>
      <c r="H6" s="268">
        <v>45166.0</v>
      </c>
      <c r="I6" s="269" t="s">
        <v>1991</v>
      </c>
      <c r="J6" s="270" t="s">
        <v>1992</v>
      </c>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71"/>
      <c r="AR6" s="271"/>
      <c r="AS6" s="271"/>
      <c r="AT6" s="271"/>
      <c r="AU6" s="271"/>
      <c r="AV6" s="271"/>
      <c r="AW6" s="271"/>
      <c r="AX6" s="271"/>
      <c r="AY6" s="271"/>
      <c r="AZ6" s="271"/>
      <c r="BA6" s="271"/>
      <c r="BB6" s="271"/>
      <c r="BC6" s="271"/>
      <c r="BD6" s="271"/>
      <c r="BE6" s="271"/>
      <c r="BF6" s="271"/>
      <c r="BG6" s="271"/>
      <c r="BH6" s="271"/>
      <c r="BI6" s="271"/>
      <c r="BJ6" s="271"/>
    </row>
    <row r="7">
      <c r="A7" s="272" t="s">
        <v>1993</v>
      </c>
      <c r="B7" s="115" t="s">
        <v>1994</v>
      </c>
      <c r="C7" s="83" t="s">
        <v>68</v>
      </c>
      <c r="D7" s="136">
        <v>1176075.0</v>
      </c>
      <c r="E7" s="136"/>
      <c r="F7" s="136">
        <v>2.9193999E7</v>
      </c>
      <c r="G7" s="187" t="s">
        <v>1996</v>
      </c>
      <c r="H7" s="268">
        <v>45166.0</v>
      </c>
      <c r="I7" s="269"/>
      <c r="J7" s="270" t="s">
        <v>1997</v>
      </c>
      <c r="K7" s="271"/>
      <c r="L7" s="271"/>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1"/>
    </row>
    <row r="8">
      <c r="A8" s="272" t="s">
        <v>1999</v>
      </c>
      <c r="B8" s="115" t="s">
        <v>2000</v>
      </c>
      <c r="C8" s="115" t="s">
        <v>68</v>
      </c>
      <c r="D8" s="136">
        <v>1177068.0</v>
      </c>
      <c r="E8" s="136"/>
      <c r="F8" s="136">
        <v>2.9412021E7</v>
      </c>
      <c r="G8" s="274" t="s">
        <v>2001</v>
      </c>
      <c r="H8" s="268">
        <v>45166.0</v>
      </c>
      <c r="I8" s="269" t="s">
        <v>1991</v>
      </c>
      <c r="J8" s="270" t="s">
        <v>2003</v>
      </c>
      <c r="K8" s="271"/>
      <c r="L8" s="271"/>
      <c r="M8" s="271"/>
      <c r="N8" s="271"/>
      <c r="O8" s="271"/>
      <c r="P8" s="271"/>
      <c r="Q8" s="271"/>
      <c r="R8" s="271"/>
      <c r="S8" s="271"/>
      <c r="T8" s="271"/>
      <c r="U8" s="271"/>
      <c r="V8" s="271"/>
      <c r="W8" s="271"/>
      <c r="X8" s="271"/>
      <c r="Y8" s="271"/>
      <c r="Z8" s="271"/>
      <c r="AA8" s="271"/>
      <c r="AB8" s="271"/>
      <c r="AC8" s="271"/>
      <c r="AD8" s="271"/>
      <c r="AE8" s="271"/>
      <c r="AF8" s="271"/>
      <c r="AG8" s="271"/>
      <c r="AH8" s="271"/>
      <c r="AI8" s="271"/>
      <c r="AJ8" s="271"/>
      <c r="AK8" s="271"/>
      <c r="AL8" s="271"/>
      <c r="AM8" s="271"/>
      <c r="AN8" s="271"/>
      <c r="AO8" s="271"/>
      <c r="AP8" s="271"/>
      <c r="AQ8" s="271"/>
      <c r="AR8" s="271"/>
      <c r="AS8" s="271"/>
      <c r="AT8" s="271"/>
      <c r="AU8" s="271"/>
      <c r="AV8" s="271"/>
      <c r="AW8" s="271"/>
      <c r="AX8" s="271"/>
      <c r="AY8" s="271"/>
      <c r="AZ8" s="271"/>
      <c r="BA8" s="271"/>
      <c r="BB8" s="271"/>
      <c r="BC8" s="271"/>
      <c r="BD8" s="271"/>
      <c r="BE8" s="271"/>
      <c r="BF8" s="271"/>
      <c r="BG8" s="271"/>
      <c r="BH8" s="271"/>
      <c r="BI8" s="271"/>
      <c r="BJ8" s="271"/>
    </row>
    <row r="9">
      <c r="A9" s="272" t="s">
        <v>1999</v>
      </c>
      <c r="B9" s="136" t="s">
        <v>2005</v>
      </c>
      <c r="C9" s="115" t="s">
        <v>68</v>
      </c>
      <c r="D9" s="115">
        <v>1178167.0</v>
      </c>
      <c r="E9" s="136"/>
      <c r="F9" s="115">
        <v>2.9445949E7</v>
      </c>
      <c r="G9" s="275" t="s">
        <v>2006</v>
      </c>
      <c r="H9" s="268">
        <v>45166.0</v>
      </c>
      <c r="I9" s="269" t="s">
        <v>1991</v>
      </c>
      <c r="J9" s="270" t="s">
        <v>2007</v>
      </c>
      <c r="K9" s="271"/>
      <c r="L9" s="271"/>
      <c r="M9" s="271"/>
      <c r="N9" s="271"/>
      <c r="O9" s="271"/>
      <c r="P9" s="271"/>
      <c r="Q9" s="271"/>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row>
    <row r="10">
      <c r="A10" s="272" t="s">
        <v>1999</v>
      </c>
      <c r="B10" s="136" t="s">
        <v>2005</v>
      </c>
      <c r="C10" s="115" t="s">
        <v>164</v>
      </c>
      <c r="D10" s="136"/>
      <c r="E10" s="136">
        <v>1178594.0</v>
      </c>
      <c r="F10" s="136"/>
      <c r="G10" s="275" t="s">
        <v>2008</v>
      </c>
      <c r="H10" s="268">
        <v>45166.0</v>
      </c>
      <c r="I10" s="269" t="s">
        <v>1991</v>
      </c>
      <c r="J10" s="270" t="s">
        <v>2007</v>
      </c>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row>
    <row r="11">
      <c r="A11" s="272" t="s">
        <v>2009</v>
      </c>
      <c r="B11" s="115" t="s">
        <v>2010</v>
      </c>
      <c r="C11" s="115" t="s">
        <v>68</v>
      </c>
      <c r="D11" s="115">
        <v>1176317.0</v>
      </c>
      <c r="E11" s="136"/>
      <c r="F11" s="136"/>
      <c r="G11" s="275" t="s">
        <v>2011</v>
      </c>
      <c r="H11" s="276">
        <v>45187.0</v>
      </c>
      <c r="I11" s="269" t="s">
        <v>1991</v>
      </c>
      <c r="J11" s="270" t="s">
        <v>2013</v>
      </c>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row>
    <row r="12">
      <c r="A12" s="272" t="s">
        <v>1993</v>
      </c>
      <c r="B12" s="115" t="s">
        <v>2014</v>
      </c>
      <c r="C12" s="115" t="s">
        <v>164</v>
      </c>
      <c r="D12" s="136"/>
      <c r="E12" s="136">
        <v>1179724.0</v>
      </c>
      <c r="F12" s="136"/>
      <c r="G12" s="274" t="s">
        <v>2018</v>
      </c>
      <c r="H12" s="276">
        <v>45216.0</v>
      </c>
      <c r="I12" s="269" t="s">
        <v>1991</v>
      </c>
      <c r="J12" s="270" t="s">
        <v>2019</v>
      </c>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row>
    <row r="13">
      <c r="A13" s="272" t="s">
        <v>1993</v>
      </c>
      <c r="B13" s="115" t="s">
        <v>2014</v>
      </c>
      <c r="C13" s="115" t="s">
        <v>68</v>
      </c>
      <c r="D13" s="136">
        <v>1104960.0</v>
      </c>
      <c r="E13" s="136"/>
      <c r="F13" s="136"/>
      <c r="G13" s="274" t="s">
        <v>2020</v>
      </c>
      <c r="H13" s="276">
        <v>45216.0</v>
      </c>
      <c r="I13" s="269" t="s">
        <v>1991</v>
      </c>
      <c r="J13" s="270" t="s">
        <v>2019</v>
      </c>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row>
    <row r="14">
      <c r="A14" s="272" t="s">
        <v>1993</v>
      </c>
      <c r="B14" s="115" t="s">
        <v>2021</v>
      </c>
      <c r="C14" s="115" t="s">
        <v>68</v>
      </c>
      <c r="D14" s="136">
        <v>1174810.0</v>
      </c>
      <c r="E14" s="136"/>
      <c r="F14" s="136"/>
      <c r="G14" s="277" t="s">
        <v>2026</v>
      </c>
      <c r="H14" s="276">
        <v>45216.0</v>
      </c>
      <c r="I14" s="269" t="s">
        <v>1991</v>
      </c>
      <c r="J14" s="270" t="s">
        <v>2027</v>
      </c>
      <c r="K14" s="271"/>
      <c r="L14" s="271"/>
      <c r="M14" s="271"/>
      <c r="N14" s="271"/>
      <c r="O14" s="271"/>
      <c r="P14" s="271"/>
      <c r="Q14" s="271"/>
      <c r="R14" s="271"/>
      <c r="S14" s="271"/>
      <c r="T14" s="271"/>
      <c r="U14" s="271"/>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row>
    <row r="15">
      <c r="A15" s="272" t="s">
        <v>1993</v>
      </c>
      <c r="B15" s="115" t="s">
        <v>2021</v>
      </c>
      <c r="C15" s="115" t="s">
        <v>164</v>
      </c>
      <c r="D15" s="136"/>
      <c r="E15" s="136">
        <v>1178434.0</v>
      </c>
      <c r="F15" s="136"/>
      <c r="G15" s="274" t="s">
        <v>2028</v>
      </c>
      <c r="H15" s="276">
        <v>45216.0</v>
      </c>
      <c r="I15" s="269" t="s">
        <v>1991</v>
      </c>
      <c r="J15" s="270" t="s">
        <v>2027</v>
      </c>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row>
    <row r="16">
      <c r="A16" s="272" t="s">
        <v>2029</v>
      </c>
      <c r="B16" s="136" t="s">
        <v>2030</v>
      </c>
      <c r="C16" s="115" t="s">
        <v>68</v>
      </c>
      <c r="D16" s="136">
        <v>1178287.0</v>
      </c>
      <c r="E16" s="136"/>
      <c r="F16" s="136"/>
      <c r="G16" s="274" t="s">
        <v>2031</v>
      </c>
      <c r="H16" s="278">
        <v>45250.0</v>
      </c>
      <c r="I16" s="269" t="s">
        <v>1991</v>
      </c>
      <c r="J16" s="270" t="s">
        <v>2032</v>
      </c>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row>
    <row r="17">
      <c r="A17" s="272" t="s">
        <v>2029</v>
      </c>
      <c r="B17" s="136" t="s">
        <v>2030</v>
      </c>
      <c r="C17" s="115" t="s">
        <v>68</v>
      </c>
      <c r="D17" s="136">
        <v>1130406.0</v>
      </c>
      <c r="E17" s="136"/>
      <c r="F17" s="136"/>
      <c r="G17" s="274" t="s">
        <v>2034</v>
      </c>
      <c r="H17" s="278">
        <v>45250.0</v>
      </c>
      <c r="I17" s="269" t="s">
        <v>1991</v>
      </c>
      <c r="J17" s="270" t="s">
        <v>2032</v>
      </c>
      <c r="K17" s="271"/>
      <c r="L17" s="271"/>
      <c r="M17" s="271"/>
      <c r="N17" s="271"/>
      <c r="O17" s="271"/>
      <c r="P17" s="271"/>
      <c r="Q17" s="271"/>
      <c r="R17" s="271"/>
      <c r="S17" s="271"/>
      <c r="T17" s="271"/>
      <c r="U17" s="271"/>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row>
    <row r="18">
      <c r="A18" s="272" t="s">
        <v>2037</v>
      </c>
      <c r="B18" s="115" t="s">
        <v>2038</v>
      </c>
      <c r="C18" s="115" t="s">
        <v>68</v>
      </c>
      <c r="D18" s="115">
        <v>1123981.0</v>
      </c>
      <c r="E18" s="136"/>
      <c r="F18" s="115">
        <v>2.9256348E7</v>
      </c>
      <c r="G18" s="275" t="s">
        <v>2039</v>
      </c>
      <c r="H18" s="170">
        <v>45321.0</v>
      </c>
      <c r="I18" s="269" t="s">
        <v>1991</v>
      </c>
      <c r="J18" s="270" t="s">
        <v>2040</v>
      </c>
      <c r="K18" s="271"/>
      <c r="L18" s="271"/>
      <c r="M18" s="271"/>
      <c r="N18" s="271"/>
      <c r="O18" s="271"/>
      <c r="P18" s="271"/>
      <c r="Q18" s="271"/>
      <c r="R18" s="271"/>
      <c r="S18" s="271"/>
      <c r="T18" s="271"/>
      <c r="U18" s="271"/>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row>
    <row r="19">
      <c r="A19" s="272" t="s">
        <v>2041</v>
      </c>
      <c r="B19" s="115" t="s">
        <v>2042</v>
      </c>
      <c r="C19" s="115" t="s">
        <v>68</v>
      </c>
      <c r="D19" s="115">
        <v>1146175.0</v>
      </c>
      <c r="E19" s="136"/>
      <c r="F19" s="115">
        <v>2.9318246E7</v>
      </c>
      <c r="G19" s="275" t="s">
        <v>2044</v>
      </c>
      <c r="H19" s="170">
        <v>45321.0</v>
      </c>
      <c r="I19" s="269" t="s">
        <v>1991</v>
      </c>
      <c r="J19" s="270" t="s">
        <v>2045</v>
      </c>
      <c r="K19" s="271"/>
      <c r="L19" s="271"/>
      <c r="M19" s="271"/>
      <c r="N19" s="271"/>
      <c r="O19" s="271"/>
      <c r="P19" s="271"/>
      <c r="Q19" s="271"/>
      <c r="R19" s="271"/>
      <c r="S19" s="271"/>
      <c r="T19" s="271"/>
      <c r="U19" s="271"/>
      <c r="V19" s="271"/>
      <c r="W19" s="271"/>
      <c r="X19" s="271"/>
      <c r="Y19" s="271"/>
      <c r="Z19" s="271"/>
      <c r="AA19" s="271"/>
      <c r="AB19" s="271"/>
      <c r="AC19" s="271"/>
      <c r="AD19" s="271"/>
      <c r="AE19" s="271"/>
      <c r="AF19" s="271"/>
      <c r="AG19" s="271"/>
      <c r="AH19" s="271"/>
      <c r="AI19" s="271"/>
      <c r="AJ19" s="271"/>
      <c r="AK19" s="271"/>
      <c r="AL19" s="271"/>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row>
    <row r="20" ht="15.75" customHeight="1">
      <c r="A20" s="272" t="s">
        <v>2049</v>
      </c>
      <c r="B20" s="115" t="s">
        <v>2050</v>
      </c>
      <c r="C20" s="115" t="s">
        <v>164</v>
      </c>
      <c r="D20" s="136"/>
      <c r="E20" s="115">
        <v>1178160.0</v>
      </c>
      <c r="F20" s="136"/>
      <c r="G20" s="275" t="s">
        <v>2051</v>
      </c>
      <c r="H20" s="170">
        <v>45321.0</v>
      </c>
      <c r="I20" s="269" t="s">
        <v>2052</v>
      </c>
      <c r="J20" s="270"/>
      <c r="K20" s="271"/>
      <c r="L20" s="271"/>
      <c r="M20" s="271"/>
      <c r="N20" s="271"/>
      <c r="O20" s="271"/>
      <c r="P20" s="271"/>
      <c r="Q20" s="271"/>
      <c r="R20" s="271"/>
      <c r="S20" s="271"/>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row>
    <row r="21" ht="15.75" customHeight="1">
      <c r="A21" s="272" t="s">
        <v>2056</v>
      </c>
      <c r="B21" s="115" t="s">
        <v>2058</v>
      </c>
      <c r="C21" s="115" t="s">
        <v>164</v>
      </c>
      <c r="D21" s="136"/>
      <c r="E21" s="115">
        <v>1178974.0</v>
      </c>
      <c r="F21" s="136"/>
      <c r="G21" s="275" t="s">
        <v>2060</v>
      </c>
      <c r="H21" s="170">
        <v>45321.0</v>
      </c>
      <c r="I21" s="269" t="s">
        <v>2052</v>
      </c>
      <c r="J21" s="270"/>
      <c r="K21" s="271"/>
      <c r="L21" s="271"/>
      <c r="M21" s="271"/>
      <c r="N21" s="271"/>
      <c r="O21" s="271"/>
      <c r="P21" s="271"/>
      <c r="Q21" s="271"/>
      <c r="R21" s="271"/>
      <c r="S21" s="271"/>
      <c r="T21" s="271"/>
      <c r="U21" s="271"/>
      <c r="V21" s="271"/>
      <c r="W21" s="271"/>
      <c r="X21" s="271"/>
      <c r="Y21" s="271"/>
      <c r="Z21" s="271"/>
      <c r="AA21" s="271"/>
      <c r="AB21" s="271"/>
      <c r="AC21" s="271"/>
      <c r="AD21" s="271"/>
      <c r="AE21" s="271"/>
      <c r="AF21" s="271"/>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row>
    <row r="22" ht="15.75" customHeight="1">
      <c r="A22" s="272" t="s">
        <v>2056</v>
      </c>
      <c r="B22" s="115" t="s">
        <v>2058</v>
      </c>
      <c r="C22" s="115" t="s">
        <v>164</v>
      </c>
      <c r="D22" s="136"/>
      <c r="E22" s="115">
        <v>1178975.0</v>
      </c>
      <c r="F22" s="136"/>
      <c r="G22" s="275" t="s">
        <v>2061</v>
      </c>
      <c r="H22" s="170">
        <v>45321.0</v>
      </c>
      <c r="I22" s="269" t="s">
        <v>2052</v>
      </c>
      <c r="J22" s="270"/>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row>
    <row r="23" ht="15.75" customHeight="1">
      <c r="A23" s="272" t="s">
        <v>2062</v>
      </c>
      <c r="B23" s="115" t="s">
        <v>2063</v>
      </c>
      <c r="C23" s="115" t="s">
        <v>164</v>
      </c>
      <c r="D23" s="136"/>
      <c r="E23" s="115">
        <v>1179367.0</v>
      </c>
      <c r="F23" s="136"/>
      <c r="G23" s="275" t="s">
        <v>2065</v>
      </c>
      <c r="H23" s="170">
        <v>45321.0</v>
      </c>
      <c r="I23" s="269" t="s">
        <v>2052</v>
      </c>
      <c r="J23" s="270"/>
      <c r="K23" s="271"/>
      <c r="L23" s="271"/>
      <c r="M23" s="271"/>
      <c r="N23" s="271"/>
      <c r="O23" s="271"/>
      <c r="P23" s="271"/>
      <c r="Q23" s="271"/>
      <c r="R23" s="271"/>
      <c r="S23" s="271"/>
      <c r="T23" s="271"/>
      <c r="U23" s="271"/>
      <c r="V23" s="271"/>
      <c r="W23" s="271"/>
      <c r="X23" s="271"/>
      <c r="Y23" s="271"/>
      <c r="Z23" s="271"/>
      <c r="AA23" s="271"/>
      <c r="AB23" s="271"/>
      <c r="AC23" s="271"/>
      <c r="AD23" s="271"/>
      <c r="AE23" s="271"/>
      <c r="AF23" s="271"/>
      <c r="AG23" s="271"/>
      <c r="AH23" s="271"/>
      <c r="AI23" s="271"/>
      <c r="AJ23" s="271"/>
      <c r="AK23" s="271"/>
      <c r="AL23" s="271"/>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row>
    <row r="24" ht="15.75" customHeight="1">
      <c r="A24" s="272" t="s">
        <v>2068</v>
      </c>
      <c r="B24" s="115" t="s">
        <v>597</v>
      </c>
      <c r="C24" s="115" t="s">
        <v>164</v>
      </c>
      <c r="D24" s="136"/>
      <c r="E24" s="115">
        <v>1179533.0</v>
      </c>
      <c r="F24" s="136"/>
      <c r="G24" s="275" t="s">
        <v>2070</v>
      </c>
      <c r="H24" s="170">
        <v>45321.0</v>
      </c>
      <c r="I24" s="269" t="s">
        <v>2052</v>
      </c>
      <c r="J24" s="270"/>
      <c r="K24" s="271"/>
      <c r="L24" s="271"/>
      <c r="M24" s="271"/>
      <c r="N24" s="271"/>
      <c r="O24" s="271"/>
      <c r="P24" s="271"/>
      <c r="Q24" s="271"/>
      <c r="R24" s="271"/>
      <c r="S24" s="271"/>
      <c r="T24" s="271"/>
      <c r="U24" s="271"/>
      <c r="V24" s="271"/>
      <c r="W24" s="271"/>
      <c r="X24" s="271"/>
      <c r="Y24" s="271"/>
      <c r="Z24" s="271"/>
      <c r="AA24" s="271"/>
      <c r="AB24" s="271"/>
      <c r="AC24" s="271"/>
      <c r="AD24" s="271"/>
      <c r="AE24" s="271"/>
      <c r="AF24" s="271"/>
      <c r="AG24" s="271"/>
      <c r="AH24" s="271"/>
      <c r="AI24" s="271"/>
      <c r="AJ24" s="271"/>
      <c r="AK24" s="271"/>
      <c r="AL24" s="271"/>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row>
    <row r="25" ht="15.75" customHeight="1">
      <c r="A25" s="272" t="s">
        <v>2071</v>
      </c>
      <c r="B25" s="115" t="s">
        <v>795</v>
      </c>
      <c r="C25" s="115" t="s">
        <v>68</v>
      </c>
      <c r="D25" s="115">
        <v>1123701.0</v>
      </c>
      <c r="E25" s="136"/>
      <c r="F25" s="115">
        <v>2.9213592E7</v>
      </c>
      <c r="G25" s="275" t="s">
        <v>2072</v>
      </c>
      <c r="H25" s="170">
        <v>45323.0</v>
      </c>
      <c r="I25" s="98" t="s">
        <v>2073</v>
      </c>
      <c r="J25" s="270" t="s">
        <v>2074</v>
      </c>
      <c r="K25" s="271"/>
      <c r="L25" s="271"/>
      <c r="M25" s="271"/>
      <c r="N25" s="271"/>
      <c r="O25" s="271"/>
      <c r="P25" s="271"/>
      <c r="Q25" s="271"/>
      <c r="R25" s="271"/>
      <c r="S25" s="271"/>
      <c r="T25" s="271"/>
      <c r="U25" s="271"/>
      <c r="V25" s="271"/>
      <c r="W25" s="271"/>
      <c r="X25" s="271"/>
      <c r="Y25" s="271"/>
      <c r="Z25" s="271"/>
      <c r="AA25" s="271"/>
      <c r="AB25" s="271"/>
      <c r="AC25" s="271"/>
      <c r="AD25" s="271"/>
      <c r="AE25" s="271"/>
      <c r="AF25" s="271"/>
      <c r="AG25" s="271"/>
      <c r="AH25" s="271"/>
      <c r="AI25" s="271"/>
      <c r="AJ25" s="271"/>
      <c r="AK25" s="271"/>
      <c r="AL25" s="271"/>
      <c r="AM25" s="271"/>
      <c r="AN25" s="271"/>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row>
    <row r="26" ht="15.75" customHeight="1">
      <c r="A26" s="272" t="s">
        <v>2071</v>
      </c>
      <c r="B26" s="115" t="s">
        <v>836</v>
      </c>
      <c r="C26" s="115" t="s">
        <v>164</v>
      </c>
      <c r="D26" s="115"/>
      <c r="E26" s="115">
        <v>1178958.0</v>
      </c>
      <c r="F26" s="136"/>
      <c r="G26" s="275" t="s">
        <v>2076</v>
      </c>
      <c r="H26" s="170">
        <v>45323.0</v>
      </c>
      <c r="I26" s="269" t="s">
        <v>1991</v>
      </c>
      <c r="J26" s="280" t="s">
        <v>2079</v>
      </c>
      <c r="K26" s="281"/>
      <c r="L26" s="281"/>
      <c r="M26" s="281"/>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row>
    <row r="27" ht="15.75" customHeight="1">
      <c r="A27" s="272" t="s">
        <v>2080</v>
      </c>
      <c r="B27" s="115" t="s">
        <v>2081</v>
      </c>
      <c r="C27" s="115" t="s">
        <v>68</v>
      </c>
      <c r="D27" s="115">
        <v>1176945.0</v>
      </c>
      <c r="E27" s="136"/>
      <c r="F27" s="115">
        <v>2.942648E7</v>
      </c>
      <c r="G27" s="275" t="s">
        <v>2082</v>
      </c>
      <c r="H27" s="170">
        <v>45323.0</v>
      </c>
      <c r="I27" s="98" t="s">
        <v>2083</v>
      </c>
      <c r="J27" s="270"/>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1"/>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row>
    <row r="28" ht="15.75" customHeight="1">
      <c r="A28" s="272" t="s">
        <v>2009</v>
      </c>
      <c r="B28" s="115" t="s">
        <v>2087</v>
      </c>
      <c r="C28" s="115" t="s">
        <v>164</v>
      </c>
      <c r="D28" s="115"/>
      <c r="E28" s="115">
        <v>1178667.0</v>
      </c>
      <c r="F28" s="136"/>
      <c r="G28" s="275" t="s">
        <v>2088</v>
      </c>
      <c r="H28" s="170">
        <v>45323.0</v>
      </c>
      <c r="I28" s="269" t="s">
        <v>1991</v>
      </c>
      <c r="J28" s="280" t="s">
        <v>2089</v>
      </c>
      <c r="K28" s="281"/>
      <c r="L28" s="281"/>
      <c r="M28" s="281"/>
      <c r="N28" s="281"/>
      <c r="O28" s="281"/>
      <c r="P28" s="281"/>
      <c r="Q28" s="281"/>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row>
    <row r="29" ht="15.75" customHeight="1">
      <c r="A29" s="111" t="s">
        <v>796</v>
      </c>
      <c r="B29" s="83" t="s">
        <v>2087</v>
      </c>
      <c r="C29" s="83" t="s">
        <v>68</v>
      </c>
      <c r="D29" s="98">
        <v>1161204.0</v>
      </c>
      <c r="E29" s="83"/>
      <c r="F29" s="83"/>
      <c r="G29" s="275" t="s">
        <v>2093</v>
      </c>
      <c r="H29" s="170">
        <v>45355.0</v>
      </c>
      <c r="I29" s="98" t="s">
        <v>2094</v>
      </c>
      <c r="J29" s="119" t="s">
        <v>2096</v>
      </c>
      <c r="K29" s="119"/>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row>
    <row r="30" ht="15.75" customHeight="1">
      <c r="A30" s="272" t="s">
        <v>1999</v>
      </c>
      <c r="B30" s="115" t="s">
        <v>2097</v>
      </c>
      <c r="C30" s="115" t="s">
        <v>68</v>
      </c>
      <c r="D30" s="115">
        <v>1176860.0</v>
      </c>
      <c r="E30" s="136"/>
      <c r="F30" s="115">
        <v>2.9412676E7</v>
      </c>
      <c r="G30" s="275" t="s">
        <v>2098</v>
      </c>
      <c r="H30" s="170">
        <v>45323.0</v>
      </c>
      <c r="I30" s="269" t="s">
        <v>1991</v>
      </c>
      <c r="J30" s="270" t="s">
        <v>2099</v>
      </c>
      <c r="K30" s="271"/>
      <c r="L30" s="271"/>
      <c r="M30" s="271"/>
      <c r="N30" s="271"/>
      <c r="O30" s="271"/>
      <c r="P30" s="271"/>
      <c r="Q30" s="271"/>
      <c r="R30" s="271"/>
      <c r="S30" s="271"/>
      <c r="T30" s="271"/>
      <c r="U30" s="271"/>
      <c r="V30" s="271"/>
      <c r="W30" s="271"/>
      <c r="X30" s="271"/>
      <c r="Y30" s="271"/>
      <c r="Z30" s="271"/>
      <c r="AA30" s="271"/>
      <c r="AB30" s="271"/>
      <c r="AC30" s="271"/>
      <c r="AD30" s="271"/>
      <c r="AE30" s="271"/>
      <c r="AF30" s="271"/>
      <c r="AG30" s="271"/>
      <c r="AH30" s="271"/>
      <c r="AI30" s="271"/>
      <c r="AJ30" s="271"/>
      <c r="AK30" s="271"/>
      <c r="AL30" s="271"/>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row>
    <row r="31" ht="15.75" customHeight="1">
      <c r="A31" s="272" t="s">
        <v>2049</v>
      </c>
      <c r="B31" s="115" t="s">
        <v>2050</v>
      </c>
      <c r="C31" s="115" t="s">
        <v>68</v>
      </c>
      <c r="D31" s="115">
        <v>1106165.0</v>
      </c>
      <c r="E31" s="136"/>
      <c r="F31" s="115">
        <v>2.9095158E7</v>
      </c>
      <c r="G31" s="275" t="s">
        <v>2100</v>
      </c>
      <c r="H31" s="170">
        <v>45323.0</v>
      </c>
      <c r="I31" s="98" t="s">
        <v>2101</v>
      </c>
      <c r="J31" s="283" t="s">
        <v>2102</v>
      </c>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row>
    <row r="32" ht="15.75" customHeight="1">
      <c r="A32" s="272" t="s">
        <v>1993</v>
      </c>
      <c r="B32" s="115" t="s">
        <v>1994</v>
      </c>
      <c r="C32" s="115" t="s">
        <v>68</v>
      </c>
      <c r="D32" s="115">
        <v>1101848.0</v>
      </c>
      <c r="E32" s="136"/>
      <c r="F32" s="115">
        <v>2.9191513E7</v>
      </c>
      <c r="G32" s="275" t="s">
        <v>2108</v>
      </c>
      <c r="H32" s="170">
        <v>45323.0</v>
      </c>
      <c r="I32" s="98" t="s">
        <v>2109</v>
      </c>
      <c r="J32" s="270"/>
      <c r="K32" s="271"/>
      <c r="L32" s="271"/>
      <c r="M32" s="271"/>
      <c r="N32" s="271"/>
      <c r="O32" s="271"/>
      <c r="P32" s="271"/>
      <c r="Q32" s="271"/>
      <c r="R32" s="271"/>
      <c r="S32" s="271"/>
      <c r="T32" s="271"/>
      <c r="U32" s="271"/>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row>
    <row r="33" ht="15.75" customHeight="1">
      <c r="A33" s="272" t="s">
        <v>2056</v>
      </c>
      <c r="B33" s="115" t="s">
        <v>2110</v>
      </c>
      <c r="C33" s="115" t="s">
        <v>68</v>
      </c>
      <c r="D33" s="115">
        <v>1178039.0</v>
      </c>
      <c r="E33" s="136"/>
      <c r="F33" s="115">
        <v>2.9426618E7</v>
      </c>
      <c r="G33" s="275" t="s">
        <v>2111</v>
      </c>
      <c r="H33" s="170">
        <v>45323.0</v>
      </c>
      <c r="I33" s="269" t="s">
        <v>2052</v>
      </c>
      <c r="J33" s="270" t="s">
        <v>2112</v>
      </c>
      <c r="K33" s="271"/>
      <c r="L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row>
    <row r="34" ht="15.75" customHeight="1">
      <c r="A34" s="272" t="s">
        <v>2049</v>
      </c>
      <c r="B34" s="115" t="s">
        <v>2113</v>
      </c>
      <c r="C34" s="115" t="s">
        <v>68</v>
      </c>
      <c r="D34" s="115">
        <v>1169302.0</v>
      </c>
      <c r="E34" s="136"/>
      <c r="F34" s="115">
        <v>2.909187E7</v>
      </c>
      <c r="G34" s="275" t="s">
        <v>2115</v>
      </c>
      <c r="H34" s="170">
        <v>45323.0</v>
      </c>
      <c r="I34" s="269" t="s">
        <v>1991</v>
      </c>
      <c r="J34" s="270" t="s">
        <v>2116</v>
      </c>
      <c r="K34" s="271"/>
      <c r="L34" s="271"/>
      <c r="M34" s="271"/>
      <c r="N34" s="271"/>
      <c r="O34" s="271"/>
      <c r="P34" s="271"/>
      <c r="Q34" s="271"/>
      <c r="R34" s="271"/>
      <c r="S34" s="271"/>
      <c r="T34" s="271"/>
      <c r="U34" s="271"/>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row>
    <row r="35" ht="15.75" customHeight="1">
      <c r="A35" s="272" t="s">
        <v>2119</v>
      </c>
      <c r="B35" s="115" t="s">
        <v>248</v>
      </c>
      <c r="C35" s="115" t="s">
        <v>164</v>
      </c>
      <c r="D35" s="136"/>
      <c r="E35" s="136">
        <v>1179045.0</v>
      </c>
      <c r="F35" s="136"/>
      <c r="G35" s="187" t="s">
        <v>2121</v>
      </c>
      <c r="H35" s="170">
        <v>45324.0</v>
      </c>
      <c r="I35" s="269" t="s">
        <v>1991</v>
      </c>
      <c r="J35" s="270" t="s">
        <v>2122</v>
      </c>
      <c r="K35" s="271"/>
      <c r="L35" s="271"/>
      <c r="M35" s="271"/>
      <c r="N35" s="271"/>
      <c r="O35" s="271"/>
      <c r="P35" s="271"/>
      <c r="Q35" s="271"/>
      <c r="R35" s="271"/>
      <c r="S35" s="271"/>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row>
    <row r="36" ht="15.75" customHeight="1">
      <c r="A36" s="272" t="s">
        <v>2119</v>
      </c>
      <c r="B36" s="115" t="s">
        <v>248</v>
      </c>
      <c r="C36" s="115" t="s">
        <v>164</v>
      </c>
      <c r="D36" s="136"/>
      <c r="E36" s="136">
        <v>1178796.0</v>
      </c>
      <c r="F36" s="136"/>
      <c r="G36" s="187" t="s">
        <v>2123</v>
      </c>
      <c r="H36" s="170">
        <v>45324.0</v>
      </c>
      <c r="I36" s="269" t="s">
        <v>1991</v>
      </c>
      <c r="J36" s="270" t="s">
        <v>2122</v>
      </c>
      <c r="K36" s="271"/>
      <c r="L36" s="271"/>
      <c r="M36" s="271"/>
      <c r="N36" s="271"/>
      <c r="O36" s="271"/>
      <c r="P36" s="271"/>
      <c r="Q36" s="271"/>
      <c r="R36" s="271"/>
      <c r="S36" s="271"/>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row>
    <row r="37" ht="15.75" customHeight="1">
      <c r="A37" s="127" t="s">
        <v>2130</v>
      </c>
      <c r="B37" s="83" t="s">
        <v>1066</v>
      </c>
      <c r="C37" s="83" t="s">
        <v>68</v>
      </c>
      <c r="D37" s="83">
        <v>1115474.0</v>
      </c>
      <c r="E37" s="83"/>
      <c r="F37" s="83">
        <v>2.9134242E7</v>
      </c>
      <c r="G37" s="274" t="s">
        <v>2131</v>
      </c>
      <c r="H37" s="170">
        <v>45337.0</v>
      </c>
      <c r="I37" s="269" t="s">
        <v>1991</v>
      </c>
      <c r="J37" s="270" t="s">
        <v>2134</v>
      </c>
      <c r="K37" s="271"/>
      <c r="L37" s="271"/>
      <c r="M37" s="271"/>
      <c r="N37" s="271"/>
      <c r="O37" s="271"/>
      <c r="P37" s="271"/>
      <c r="Q37" s="271"/>
      <c r="R37" s="271"/>
      <c r="S37" s="271"/>
      <c r="T37" s="271"/>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row>
    <row r="38" ht="15.75" customHeight="1">
      <c r="A38" s="127" t="s">
        <v>1993</v>
      </c>
      <c r="B38" s="83" t="s">
        <v>2135</v>
      </c>
      <c r="C38" s="83" t="s">
        <v>68</v>
      </c>
      <c r="D38" s="83">
        <v>1176406.0</v>
      </c>
      <c r="E38" s="83"/>
      <c r="F38" s="83">
        <v>2.9369967E7</v>
      </c>
      <c r="G38" s="285" t="s">
        <v>2136</v>
      </c>
      <c r="H38" s="170">
        <v>45337.0</v>
      </c>
      <c r="I38" s="269" t="s">
        <v>1991</v>
      </c>
      <c r="J38" s="270" t="s">
        <v>2137</v>
      </c>
      <c r="K38" s="271"/>
      <c r="L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row>
    <row r="39" ht="15.75" customHeight="1">
      <c r="A39" s="127" t="s">
        <v>2049</v>
      </c>
      <c r="B39" s="83" t="s">
        <v>2050</v>
      </c>
      <c r="C39" s="83" t="s">
        <v>68</v>
      </c>
      <c r="D39" s="98">
        <v>1106190.0</v>
      </c>
      <c r="E39" s="83"/>
      <c r="F39" s="83">
        <v>2.909424E7</v>
      </c>
      <c r="G39" s="274" t="s">
        <v>2138</v>
      </c>
      <c r="H39" s="170">
        <v>45337.0</v>
      </c>
      <c r="I39" s="269" t="s">
        <v>1991</v>
      </c>
      <c r="J39" s="270" t="s">
        <v>2140</v>
      </c>
      <c r="K39" s="271"/>
      <c r="L39" s="271"/>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row>
    <row r="40" ht="15.75" customHeight="1">
      <c r="A40" s="127" t="s">
        <v>2143</v>
      </c>
      <c r="B40" s="83" t="s">
        <v>1253</v>
      </c>
      <c r="C40" s="83" t="s">
        <v>164</v>
      </c>
      <c r="D40" s="83"/>
      <c r="E40" s="83">
        <v>1178600.0</v>
      </c>
      <c r="F40" s="83"/>
      <c r="G40" s="274" t="s">
        <v>2144</v>
      </c>
      <c r="H40" s="170">
        <v>45337.0</v>
      </c>
      <c r="I40" s="269" t="s">
        <v>1991</v>
      </c>
      <c r="J40" s="270" t="s">
        <v>2145</v>
      </c>
      <c r="K40" s="271"/>
      <c r="L40" s="271"/>
      <c r="M40" s="271"/>
      <c r="N40" s="271"/>
      <c r="O40" s="271"/>
      <c r="P40" s="271"/>
      <c r="Q40" s="271"/>
      <c r="R40" s="271"/>
      <c r="S40" s="271"/>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row>
    <row r="41" ht="15.75" customHeight="1">
      <c r="A41" s="272" t="s">
        <v>2147</v>
      </c>
      <c r="B41" s="136" t="s">
        <v>2148</v>
      </c>
      <c r="C41" s="136" t="s">
        <v>68</v>
      </c>
      <c r="D41" s="136">
        <v>1108508.0</v>
      </c>
      <c r="E41" s="136"/>
      <c r="F41" s="136">
        <v>2.9156688E7</v>
      </c>
      <c r="G41" s="274" t="s">
        <v>2150</v>
      </c>
      <c r="H41" s="170">
        <v>45343.0</v>
      </c>
      <c r="I41" s="269" t="s">
        <v>2052</v>
      </c>
      <c r="J41" s="270" t="s">
        <v>171</v>
      </c>
      <c r="K41" s="271"/>
      <c r="L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row>
    <row r="42" ht="30.0" customHeight="1">
      <c r="A42" s="111" t="s">
        <v>205</v>
      </c>
      <c r="B42" s="83" t="s">
        <v>681</v>
      </c>
      <c r="C42" s="83" t="s">
        <v>68</v>
      </c>
      <c r="D42" s="83">
        <v>1131356.0</v>
      </c>
      <c r="E42" s="83"/>
      <c r="F42" s="83">
        <v>2.9045479E7</v>
      </c>
      <c r="G42" s="274" t="s">
        <v>2153</v>
      </c>
      <c r="H42" s="170">
        <v>45349.0</v>
      </c>
      <c r="I42" s="269" t="s">
        <v>1991</v>
      </c>
      <c r="J42" s="98" t="s">
        <v>2154</v>
      </c>
      <c r="K42" s="245"/>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5"/>
      <c r="AW42" s="245"/>
      <c r="AX42" s="245"/>
      <c r="AY42" s="245"/>
      <c r="AZ42" s="245"/>
      <c r="BA42" s="245"/>
      <c r="BB42" s="245"/>
      <c r="BC42" s="245"/>
      <c r="BD42" s="245"/>
      <c r="BE42" s="245"/>
      <c r="BF42" s="245"/>
      <c r="BG42" s="245"/>
      <c r="BH42" s="245"/>
      <c r="BI42" s="245"/>
      <c r="BJ42" s="245"/>
    </row>
    <row r="43" ht="30.0" customHeight="1">
      <c r="A43" s="111" t="s">
        <v>796</v>
      </c>
      <c r="B43" s="83" t="s">
        <v>2159</v>
      </c>
      <c r="C43" s="83" t="s">
        <v>164</v>
      </c>
      <c r="D43" s="83"/>
      <c r="E43" s="83">
        <v>1178686.0</v>
      </c>
      <c r="F43" s="83"/>
      <c r="G43" s="274" t="s">
        <v>2160</v>
      </c>
      <c r="H43" s="170">
        <v>45355.0</v>
      </c>
      <c r="I43" s="269" t="s">
        <v>2052</v>
      </c>
      <c r="J43" s="270"/>
      <c r="K43" s="271"/>
      <c r="L43" s="271"/>
      <c r="M43" s="271"/>
      <c r="N43" s="271"/>
      <c r="O43" s="271"/>
      <c r="P43" s="271"/>
      <c r="Q43" s="271"/>
      <c r="R43" s="271"/>
      <c r="S43" s="271"/>
      <c r="T43" s="271"/>
      <c r="U43" s="271"/>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row>
    <row r="44" ht="30.0" customHeight="1">
      <c r="A44" s="111" t="s">
        <v>723</v>
      </c>
      <c r="B44" s="83" t="s">
        <v>2161</v>
      </c>
      <c r="C44" s="83" t="s">
        <v>164</v>
      </c>
      <c r="D44" s="83"/>
      <c r="E44" s="83">
        <v>1178637.0</v>
      </c>
      <c r="F44" s="83"/>
      <c r="G44" s="275" t="s">
        <v>2164</v>
      </c>
      <c r="H44" s="170">
        <v>45391.0</v>
      </c>
      <c r="I44" s="269" t="s">
        <v>2052</v>
      </c>
      <c r="J44" s="270"/>
      <c r="K44" s="271"/>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row>
    <row r="45" ht="30.0" customHeight="1">
      <c r="A45" s="111" t="s">
        <v>673</v>
      </c>
      <c r="B45" s="83" t="s">
        <v>2166</v>
      </c>
      <c r="C45" s="83" t="s">
        <v>164</v>
      </c>
      <c r="D45" s="83"/>
      <c r="E45" s="83">
        <v>1179108.0</v>
      </c>
      <c r="F45" s="83"/>
      <c r="G45" s="286" t="s">
        <v>2167</v>
      </c>
      <c r="H45" s="170">
        <v>45397.0</v>
      </c>
      <c r="I45" s="269" t="s">
        <v>2052</v>
      </c>
      <c r="J45" s="270"/>
      <c r="K45" s="271"/>
      <c r="L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row>
    <row r="46" ht="30.0" customHeight="1">
      <c r="A46" s="111" t="s">
        <v>973</v>
      </c>
      <c r="B46" s="83" t="s">
        <v>2170</v>
      </c>
      <c r="C46" s="83" t="s">
        <v>68</v>
      </c>
      <c r="D46" s="83">
        <v>1161751.0</v>
      </c>
      <c r="E46" s="83"/>
      <c r="F46" s="83">
        <v>2.9242231E7</v>
      </c>
      <c r="G46" s="274" t="s">
        <v>2171</v>
      </c>
      <c r="H46" s="170">
        <v>45397.0</v>
      </c>
      <c r="I46" s="269" t="s">
        <v>2172</v>
      </c>
      <c r="J46" s="270"/>
      <c r="K46" s="271"/>
      <c r="L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row>
    <row r="47" ht="30.0" customHeight="1">
      <c r="A47" s="111" t="s">
        <v>860</v>
      </c>
      <c r="B47" s="83" t="s">
        <v>2173</v>
      </c>
      <c r="C47" s="83" t="s">
        <v>164</v>
      </c>
      <c r="D47" s="83"/>
      <c r="E47" s="83">
        <v>1178879.0</v>
      </c>
      <c r="F47" s="83"/>
      <c r="G47" s="275" t="s">
        <v>2174</v>
      </c>
      <c r="H47" s="170">
        <v>45418.0</v>
      </c>
      <c r="I47" s="269" t="s">
        <v>2052</v>
      </c>
      <c r="J47" s="270"/>
      <c r="K47" s="271"/>
      <c r="L47" s="271"/>
      <c r="M47" s="271"/>
      <c r="N47" s="271"/>
      <c r="O47" s="271"/>
      <c r="P47" s="271"/>
      <c r="Q47" s="271"/>
      <c r="R47" s="271"/>
      <c r="S47" s="271"/>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1"/>
    </row>
    <row r="48" ht="30.0" customHeight="1">
      <c r="A48" s="111" t="s">
        <v>1161</v>
      </c>
      <c r="B48" s="83" t="s">
        <v>2175</v>
      </c>
      <c r="C48" s="83" t="s">
        <v>164</v>
      </c>
      <c r="D48" s="83"/>
      <c r="E48" s="83">
        <v>1179327.0</v>
      </c>
      <c r="F48" s="83"/>
      <c r="G48" s="286" t="s">
        <v>2178</v>
      </c>
      <c r="H48" s="170">
        <v>45425.0</v>
      </c>
      <c r="I48" s="269" t="s">
        <v>2052</v>
      </c>
      <c r="J48" s="270"/>
      <c r="K48" s="271"/>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row>
    <row r="49" ht="30.0" customHeight="1">
      <c r="A49" s="111" t="s">
        <v>1335</v>
      </c>
      <c r="B49" s="83" t="s">
        <v>2050</v>
      </c>
      <c r="C49" s="83" t="s">
        <v>68</v>
      </c>
      <c r="D49" s="83">
        <v>1106530.0</v>
      </c>
      <c r="E49" s="83"/>
      <c r="F49" s="83">
        <v>2.9095026E7</v>
      </c>
      <c r="G49" s="274" t="s">
        <v>2179</v>
      </c>
      <c r="H49" s="170">
        <v>45432.0</v>
      </c>
      <c r="I49" s="269" t="s">
        <v>2052</v>
      </c>
      <c r="J49" s="119" t="s">
        <v>2181</v>
      </c>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row>
    <row r="50" ht="30.0" customHeight="1">
      <c r="A50" s="111" t="s">
        <v>973</v>
      </c>
      <c r="B50" s="83" t="s">
        <v>2170</v>
      </c>
      <c r="C50" s="83" t="s">
        <v>68</v>
      </c>
      <c r="D50" s="83">
        <v>1129335.0</v>
      </c>
      <c r="E50" s="83"/>
      <c r="F50" s="83">
        <v>2.924229E7</v>
      </c>
      <c r="G50" s="274" t="s">
        <v>2185</v>
      </c>
      <c r="H50" s="287">
        <v>45439.0</v>
      </c>
      <c r="I50" s="269" t="s">
        <v>1991</v>
      </c>
      <c r="J50" s="119" t="s">
        <v>2186</v>
      </c>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row>
    <row r="51" ht="30.0" customHeight="1">
      <c r="A51" s="111" t="s">
        <v>973</v>
      </c>
      <c r="B51" s="83" t="s">
        <v>2170</v>
      </c>
      <c r="C51" s="191" t="s">
        <v>68</v>
      </c>
      <c r="D51" s="83">
        <v>1178022.0</v>
      </c>
      <c r="E51" s="83"/>
      <c r="F51" s="237">
        <v>2.9428394E7</v>
      </c>
      <c r="G51" s="274" t="s">
        <v>2187</v>
      </c>
      <c r="H51" s="287">
        <v>45439.0</v>
      </c>
      <c r="I51" s="269" t="s">
        <v>1991</v>
      </c>
      <c r="J51" s="119" t="s">
        <v>2186</v>
      </c>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row>
    <row r="52" ht="30.0" customHeight="1">
      <c r="A52" s="111" t="s">
        <v>205</v>
      </c>
      <c r="B52" s="83" t="s">
        <v>732</v>
      </c>
      <c r="C52" s="83" t="s">
        <v>164</v>
      </c>
      <c r="D52" s="83"/>
      <c r="E52" s="98">
        <v>1178943.0</v>
      </c>
      <c r="F52" s="83"/>
      <c r="G52" s="275" t="s">
        <v>2188</v>
      </c>
      <c r="H52" s="287">
        <v>45453.0</v>
      </c>
      <c r="I52" s="269" t="s">
        <v>2052</v>
      </c>
      <c r="J52" s="119" t="s">
        <v>2189</v>
      </c>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row>
    <row r="53" ht="30.0" customHeight="1">
      <c r="A53" s="111" t="s">
        <v>1629</v>
      </c>
      <c r="B53" s="83" t="s">
        <v>2190</v>
      </c>
      <c r="C53" s="83" t="s">
        <v>164</v>
      </c>
      <c r="D53" s="83"/>
      <c r="E53" s="98">
        <v>1179527.0</v>
      </c>
      <c r="F53" s="83"/>
      <c r="G53" s="275" t="s">
        <v>2192</v>
      </c>
      <c r="H53" s="287">
        <v>45469.0</v>
      </c>
      <c r="I53" s="269" t="s">
        <v>1991</v>
      </c>
      <c r="J53" s="119" t="s">
        <v>2195</v>
      </c>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row>
    <row r="54" ht="30.0" customHeight="1">
      <c r="A54" s="111" t="s">
        <v>1785</v>
      </c>
      <c r="B54" s="83" t="s">
        <v>2197</v>
      </c>
      <c r="C54" s="83" t="s">
        <v>164</v>
      </c>
      <c r="D54" s="83"/>
      <c r="E54" s="83">
        <v>1178541.0</v>
      </c>
      <c r="F54" s="83"/>
      <c r="G54" s="275" t="s">
        <v>2198</v>
      </c>
      <c r="H54" s="287">
        <v>45488.0</v>
      </c>
      <c r="I54" s="269" t="s">
        <v>2052</v>
      </c>
      <c r="J54" s="119"/>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row>
    <row r="55" ht="30.0" customHeight="1">
      <c r="A55" s="111" t="s">
        <v>205</v>
      </c>
      <c r="B55" s="83" t="s">
        <v>426</v>
      </c>
      <c r="C55" s="83" t="s">
        <v>68</v>
      </c>
      <c r="D55" s="83">
        <v>1137168.0</v>
      </c>
      <c r="E55" s="83"/>
      <c r="F55" s="83">
        <v>2.9037123E7</v>
      </c>
      <c r="G55" s="274" t="s">
        <v>2202</v>
      </c>
      <c r="H55" s="287">
        <v>45496.0</v>
      </c>
      <c r="I55" s="269" t="s">
        <v>1991</v>
      </c>
      <c r="J55" s="119" t="s">
        <v>2204</v>
      </c>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row>
    <row r="56" ht="30.0" customHeight="1">
      <c r="A56" s="111" t="s">
        <v>796</v>
      </c>
      <c r="B56" s="83" t="s">
        <v>2205</v>
      </c>
      <c r="C56" s="83" t="s">
        <v>68</v>
      </c>
      <c r="D56" s="98">
        <v>1179779.0</v>
      </c>
      <c r="E56" s="83"/>
      <c r="F56" s="98">
        <v>2.9360463E7</v>
      </c>
      <c r="G56" s="275" t="s">
        <v>2206</v>
      </c>
      <c r="H56" s="287">
        <v>45502.0</v>
      </c>
      <c r="I56" s="269" t="s">
        <v>2052</v>
      </c>
      <c r="J56" s="119"/>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row>
    <row r="57" ht="30.0" customHeight="1">
      <c r="A57" s="111" t="s">
        <v>285</v>
      </c>
      <c r="B57" s="83" t="s">
        <v>1043</v>
      </c>
      <c r="C57" s="98" t="s">
        <v>164</v>
      </c>
      <c r="D57" s="98">
        <v>1133235.0</v>
      </c>
      <c r="E57" s="98">
        <v>1133235.0</v>
      </c>
      <c r="F57" s="83"/>
      <c r="G57" s="275" t="s">
        <v>2210</v>
      </c>
      <c r="H57" s="287">
        <v>45544.0</v>
      </c>
      <c r="I57" s="269" t="s">
        <v>2211</v>
      </c>
      <c r="J57" s="119" t="s">
        <v>2212</v>
      </c>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row>
    <row r="58" ht="30.0" customHeight="1">
      <c r="A58" s="111" t="s">
        <v>285</v>
      </c>
      <c r="B58" s="136" t="s">
        <v>919</v>
      </c>
      <c r="C58" s="83" t="s">
        <v>68</v>
      </c>
      <c r="D58" s="83">
        <v>1161956.0</v>
      </c>
      <c r="E58" s="83"/>
      <c r="F58" s="83">
        <v>2.907477E7</v>
      </c>
      <c r="G58" s="274" t="s">
        <v>2215</v>
      </c>
      <c r="H58" s="287">
        <v>45546.0</v>
      </c>
      <c r="I58" s="269" t="s">
        <v>1991</v>
      </c>
      <c r="J58" s="119" t="s">
        <v>2216</v>
      </c>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c r="AL58" s="271"/>
      <c r="AM58" s="271"/>
      <c r="AN58" s="271"/>
      <c r="AO58" s="271"/>
      <c r="AP58" s="271"/>
      <c r="AQ58" s="271"/>
      <c r="AR58" s="271"/>
      <c r="AS58" s="271"/>
      <c r="AT58" s="271"/>
      <c r="AU58" s="271"/>
      <c r="AV58" s="271"/>
      <c r="AW58" s="271"/>
      <c r="AX58" s="271"/>
      <c r="AY58" s="271"/>
      <c r="AZ58" s="271"/>
      <c r="BA58" s="271"/>
      <c r="BB58" s="271"/>
      <c r="BC58" s="271"/>
      <c r="BD58" s="271"/>
      <c r="BE58" s="271"/>
      <c r="BF58" s="271"/>
      <c r="BG58" s="271"/>
      <c r="BH58" s="271"/>
      <c r="BI58" s="271"/>
      <c r="BJ58" s="271"/>
    </row>
    <row r="59" ht="30.0" customHeight="1">
      <c r="A59" s="111" t="s">
        <v>860</v>
      </c>
      <c r="B59" s="83" t="s">
        <v>2218</v>
      </c>
      <c r="C59" s="83" t="s">
        <v>164</v>
      </c>
      <c r="D59" s="83">
        <v>1130260.0</v>
      </c>
      <c r="E59" s="288">
        <v>1178876.0</v>
      </c>
      <c r="F59" s="83"/>
      <c r="G59" s="275" t="s">
        <v>2220</v>
      </c>
      <c r="H59" s="287">
        <v>45565.0</v>
      </c>
      <c r="I59" s="269" t="s">
        <v>2052</v>
      </c>
      <c r="J59" s="119"/>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c r="AN59" s="271"/>
      <c r="AO59" s="271"/>
      <c r="AP59" s="271"/>
      <c r="AQ59" s="271"/>
      <c r="AR59" s="271"/>
      <c r="AS59" s="271"/>
      <c r="AT59" s="271"/>
      <c r="AU59" s="271"/>
      <c r="AV59" s="271"/>
      <c r="AW59" s="271"/>
      <c r="AX59" s="271"/>
      <c r="AY59" s="271"/>
      <c r="AZ59" s="271"/>
      <c r="BA59" s="271"/>
      <c r="BB59" s="271"/>
      <c r="BC59" s="271"/>
      <c r="BD59" s="271"/>
      <c r="BE59" s="271"/>
      <c r="BF59" s="271"/>
      <c r="BG59" s="271"/>
      <c r="BH59" s="271"/>
      <c r="BI59" s="271"/>
      <c r="BJ59" s="271"/>
    </row>
    <row r="60" ht="30.0" customHeight="1">
      <c r="A60" s="111" t="s">
        <v>1224</v>
      </c>
      <c r="B60" s="83" t="s">
        <v>2223</v>
      </c>
      <c r="C60" s="83" t="s">
        <v>68</v>
      </c>
      <c r="D60" s="83">
        <v>1114192.0</v>
      </c>
      <c r="E60" s="83"/>
      <c r="F60" s="83">
        <v>2.9112699E7</v>
      </c>
      <c r="G60" s="285" t="s">
        <v>2224</v>
      </c>
      <c r="H60" s="287">
        <v>45567.0</v>
      </c>
      <c r="I60" s="269" t="s">
        <v>1991</v>
      </c>
      <c r="J60" s="119" t="s">
        <v>2225</v>
      </c>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c r="AL60" s="271"/>
      <c r="AM60" s="271"/>
      <c r="AN60" s="271"/>
      <c r="AO60" s="271"/>
      <c r="AP60" s="271"/>
      <c r="AQ60" s="271"/>
      <c r="AR60" s="271"/>
      <c r="AS60" s="271"/>
      <c r="AT60" s="271"/>
      <c r="AU60" s="271"/>
      <c r="AV60" s="271"/>
      <c r="AW60" s="271"/>
      <c r="AX60" s="271"/>
      <c r="AY60" s="271"/>
      <c r="AZ60" s="271"/>
      <c r="BA60" s="271"/>
      <c r="BB60" s="271"/>
      <c r="BC60" s="271"/>
      <c r="BD60" s="271"/>
      <c r="BE60" s="271"/>
      <c r="BF60" s="271"/>
      <c r="BG60" s="271"/>
      <c r="BH60" s="271"/>
      <c r="BI60" s="271"/>
      <c r="BJ60" s="271"/>
    </row>
    <row r="61" ht="30.0" customHeight="1">
      <c r="A61" s="111" t="s">
        <v>1224</v>
      </c>
      <c r="B61" s="83" t="s">
        <v>2223</v>
      </c>
      <c r="C61" s="83" t="s">
        <v>68</v>
      </c>
      <c r="D61" s="83">
        <v>1178014.0</v>
      </c>
      <c r="E61" s="83"/>
      <c r="F61" s="83">
        <v>2.9423732E7</v>
      </c>
      <c r="G61" s="285" t="s">
        <v>2226</v>
      </c>
      <c r="H61" s="287">
        <v>45567.0</v>
      </c>
      <c r="I61" s="269" t="s">
        <v>1991</v>
      </c>
      <c r="J61" s="119" t="s">
        <v>2225</v>
      </c>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row>
    <row r="62" ht="30.0" customHeight="1">
      <c r="A62" s="111" t="s">
        <v>860</v>
      </c>
      <c r="B62" s="83" t="s">
        <v>2229</v>
      </c>
      <c r="C62" s="83" t="s">
        <v>68</v>
      </c>
      <c r="D62" s="83">
        <v>1130910.0</v>
      </c>
      <c r="E62" s="83"/>
      <c r="F62" s="83">
        <v>2.9009847E7</v>
      </c>
      <c r="G62" s="275" t="s">
        <v>2231</v>
      </c>
      <c r="H62" s="287">
        <v>45572.0</v>
      </c>
      <c r="I62" s="269" t="s">
        <v>1991</v>
      </c>
      <c r="J62" s="119" t="s">
        <v>2232</v>
      </c>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row>
    <row r="63" ht="30.0" customHeight="1">
      <c r="A63" s="111" t="s">
        <v>860</v>
      </c>
      <c r="B63" s="83" t="s">
        <v>2229</v>
      </c>
      <c r="C63" s="83" t="s">
        <v>68</v>
      </c>
      <c r="D63" s="83">
        <v>1130937.0</v>
      </c>
      <c r="E63" s="83"/>
      <c r="F63" s="83">
        <v>2.900965E7</v>
      </c>
      <c r="G63" s="275" t="s">
        <v>2233</v>
      </c>
      <c r="H63" s="287">
        <v>45572.0</v>
      </c>
      <c r="I63" s="269" t="s">
        <v>1991</v>
      </c>
      <c r="J63" s="119" t="s">
        <v>2232</v>
      </c>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1"/>
      <c r="BF63" s="271"/>
      <c r="BG63" s="271"/>
      <c r="BH63" s="271"/>
      <c r="BI63" s="271"/>
      <c r="BJ63" s="271"/>
    </row>
    <row r="64" ht="30.0" customHeight="1">
      <c r="A64" s="111" t="s">
        <v>796</v>
      </c>
      <c r="B64" s="83" t="s">
        <v>2234</v>
      </c>
      <c r="C64" s="83" t="s">
        <v>164</v>
      </c>
      <c r="D64" s="83">
        <v>1179111.0</v>
      </c>
      <c r="E64" s="98">
        <v>1179773.0</v>
      </c>
      <c r="F64" s="83"/>
      <c r="G64" s="275" t="s">
        <v>2237</v>
      </c>
      <c r="H64" s="287">
        <v>45587.0</v>
      </c>
      <c r="I64" s="269" t="s">
        <v>2052</v>
      </c>
      <c r="J64" s="119"/>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1"/>
      <c r="BF64" s="271"/>
      <c r="BG64" s="271"/>
      <c r="BH64" s="271"/>
      <c r="BI64" s="271"/>
      <c r="BJ64" s="271"/>
    </row>
    <row r="65" ht="30.0" customHeight="1">
      <c r="A65" s="111" t="s">
        <v>1090</v>
      </c>
      <c r="B65" s="83" t="s">
        <v>2239</v>
      </c>
      <c r="C65" s="83" t="s">
        <v>164</v>
      </c>
      <c r="D65" s="83">
        <v>1178723.0</v>
      </c>
      <c r="E65" s="83"/>
      <c r="F65" s="83"/>
      <c r="G65" s="289" t="s">
        <v>2240</v>
      </c>
      <c r="H65" s="287">
        <v>45595.0</v>
      </c>
      <c r="I65" s="269" t="s">
        <v>2241</v>
      </c>
      <c r="J65" s="119" t="s">
        <v>2242</v>
      </c>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row>
    <row r="66">
      <c r="A66" s="111" t="s">
        <v>1393</v>
      </c>
      <c r="B66" s="83" t="s">
        <v>2245</v>
      </c>
      <c r="C66" s="83" t="s">
        <v>68</v>
      </c>
      <c r="D66" s="83">
        <v>1125070.0</v>
      </c>
      <c r="E66" s="83"/>
      <c r="F66" s="83">
        <v>2.9277256E7</v>
      </c>
      <c r="G66" s="275" t="s">
        <v>2247</v>
      </c>
      <c r="H66" s="287">
        <v>45679.0</v>
      </c>
      <c r="I66" s="98" t="s">
        <v>1991</v>
      </c>
      <c r="J66" s="119" t="s">
        <v>2248</v>
      </c>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c r="AN66" s="271"/>
      <c r="AO66" s="271"/>
      <c r="AP66" s="271"/>
      <c r="AQ66" s="271"/>
      <c r="AR66" s="271"/>
      <c r="AS66" s="271"/>
      <c r="AT66" s="271"/>
      <c r="AU66" s="271"/>
      <c r="AV66" s="271"/>
      <c r="AW66" s="271"/>
      <c r="AX66" s="271"/>
      <c r="AY66" s="271"/>
      <c r="AZ66" s="271"/>
      <c r="BA66" s="271"/>
      <c r="BB66" s="271"/>
      <c r="BC66" s="271"/>
      <c r="BD66" s="271"/>
      <c r="BE66" s="271"/>
      <c r="BF66" s="271"/>
      <c r="BG66" s="271"/>
      <c r="BH66" s="271"/>
      <c r="BI66" s="271"/>
      <c r="BJ66" s="271"/>
    </row>
    <row r="67">
      <c r="A67" s="111" t="s">
        <v>1335</v>
      </c>
      <c r="B67" s="83" t="s">
        <v>2050</v>
      </c>
      <c r="C67" s="83" t="s">
        <v>68</v>
      </c>
      <c r="D67" s="83">
        <v>1176449.0</v>
      </c>
      <c r="E67" s="83"/>
      <c r="F67" s="83">
        <v>2.9387019E7</v>
      </c>
      <c r="G67" s="274" t="s">
        <v>2249</v>
      </c>
      <c r="H67" s="287">
        <v>45681.0</v>
      </c>
      <c r="I67" s="98" t="s">
        <v>1991</v>
      </c>
      <c r="J67" s="119" t="s">
        <v>2250</v>
      </c>
      <c r="K67" s="271"/>
      <c r="L67" s="271"/>
      <c r="M67" s="271"/>
      <c r="N67" s="271"/>
      <c r="O67" s="271"/>
      <c r="P67" s="271"/>
      <c r="Q67" s="271"/>
      <c r="R67" s="271"/>
      <c r="S67" s="271"/>
      <c r="T67" s="271"/>
      <c r="U67" s="271"/>
      <c r="V67" s="271"/>
      <c r="W67" s="271"/>
      <c r="X67" s="271"/>
      <c r="Y67" s="271"/>
      <c r="Z67" s="271"/>
      <c r="AA67" s="271"/>
      <c r="AB67" s="271"/>
      <c r="AC67" s="271"/>
      <c r="AD67" s="271"/>
      <c r="AE67" s="271"/>
      <c r="AF67" s="271"/>
      <c r="AG67" s="271"/>
      <c r="AH67" s="271"/>
      <c r="AI67" s="271"/>
      <c r="AJ67" s="271"/>
      <c r="AK67" s="271"/>
      <c r="AL67" s="271"/>
      <c r="AM67" s="271"/>
      <c r="AN67" s="271"/>
      <c r="AO67" s="271"/>
      <c r="AP67" s="271"/>
      <c r="AQ67" s="271"/>
      <c r="AR67" s="271"/>
      <c r="AS67" s="271"/>
      <c r="AT67" s="271"/>
      <c r="AU67" s="271"/>
      <c r="AV67" s="271"/>
      <c r="AW67" s="271"/>
      <c r="AX67" s="271"/>
      <c r="AY67" s="271"/>
      <c r="AZ67" s="271"/>
      <c r="BA67" s="271"/>
      <c r="BB67" s="271"/>
      <c r="BC67" s="271"/>
      <c r="BD67" s="271"/>
      <c r="BE67" s="271"/>
      <c r="BF67" s="271"/>
      <c r="BG67" s="271"/>
      <c r="BH67" s="271"/>
      <c r="BI67" s="271"/>
      <c r="BJ67" s="271"/>
    </row>
    <row r="68">
      <c r="A68" s="111" t="s">
        <v>1335</v>
      </c>
      <c r="B68" s="83" t="s">
        <v>2050</v>
      </c>
      <c r="C68" s="83" t="s">
        <v>68</v>
      </c>
      <c r="D68" s="83">
        <v>1106688.0</v>
      </c>
      <c r="E68" s="83"/>
      <c r="F68" s="83">
        <v>2.9094682E7</v>
      </c>
      <c r="G68" s="274" t="s">
        <v>2253</v>
      </c>
      <c r="H68" s="287">
        <v>45681.0</v>
      </c>
      <c r="I68" s="98" t="s">
        <v>1991</v>
      </c>
      <c r="J68" s="119" t="s">
        <v>2255</v>
      </c>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1"/>
      <c r="BI68" s="271"/>
      <c r="BJ68" s="271"/>
    </row>
    <row r="69">
      <c r="A69" s="111" t="s">
        <v>1335</v>
      </c>
      <c r="B69" s="83" t="s">
        <v>2050</v>
      </c>
      <c r="C69" s="83" t="s">
        <v>68</v>
      </c>
      <c r="D69" s="83">
        <v>1106238.0</v>
      </c>
      <c r="E69" s="83"/>
      <c r="F69" s="83">
        <v>2.909357E7</v>
      </c>
      <c r="G69" s="274" t="s">
        <v>2256</v>
      </c>
      <c r="H69" s="287">
        <v>45699.0</v>
      </c>
      <c r="I69" s="98" t="s">
        <v>2257</v>
      </c>
      <c r="J69" s="119" t="s">
        <v>2258</v>
      </c>
      <c r="K69" s="271"/>
      <c r="L69" s="271"/>
      <c r="M69" s="271"/>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c r="AN69" s="271"/>
      <c r="AO69" s="271"/>
      <c r="AP69" s="271"/>
      <c r="AQ69" s="271"/>
      <c r="AR69" s="271"/>
      <c r="AS69" s="271"/>
      <c r="AT69" s="271"/>
      <c r="AU69" s="271"/>
      <c r="AV69" s="271"/>
      <c r="AW69" s="271"/>
      <c r="AX69" s="271"/>
      <c r="AY69" s="271"/>
      <c r="AZ69" s="271"/>
      <c r="BA69" s="271"/>
      <c r="BB69" s="271"/>
      <c r="BC69" s="271"/>
      <c r="BD69" s="271"/>
      <c r="BE69" s="271"/>
      <c r="BF69" s="271"/>
      <c r="BG69" s="271"/>
      <c r="BH69" s="271"/>
      <c r="BI69" s="271"/>
      <c r="BJ69" s="271"/>
    </row>
    <row r="70">
      <c r="A70" s="111" t="s">
        <v>1090</v>
      </c>
      <c r="B70" s="83" t="s">
        <v>2261</v>
      </c>
      <c r="C70" s="83" t="s">
        <v>68</v>
      </c>
      <c r="D70" s="83">
        <v>1107331.0</v>
      </c>
      <c r="E70" s="83"/>
      <c r="F70" s="83">
        <v>2.9103037E7</v>
      </c>
      <c r="G70" s="274" t="s">
        <v>2262</v>
      </c>
      <c r="H70" s="287">
        <v>45699.0</v>
      </c>
      <c r="I70" s="98" t="s">
        <v>1991</v>
      </c>
      <c r="J70" s="119" t="s">
        <v>2263</v>
      </c>
      <c r="K70" s="271"/>
      <c r="L70" s="271"/>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X70" s="271"/>
      <c r="AY70" s="271"/>
      <c r="AZ70" s="271"/>
      <c r="BA70" s="271"/>
      <c r="BB70" s="271"/>
      <c r="BC70" s="271"/>
      <c r="BD70" s="271"/>
      <c r="BE70" s="271"/>
      <c r="BF70" s="271"/>
      <c r="BG70" s="271"/>
      <c r="BH70" s="271"/>
      <c r="BI70" s="271"/>
      <c r="BJ70" s="271"/>
    </row>
    <row r="71">
      <c r="A71" s="111" t="s">
        <v>723</v>
      </c>
      <c r="B71" s="83" t="s">
        <v>2264</v>
      </c>
      <c r="C71" s="83" t="s">
        <v>68</v>
      </c>
      <c r="D71" s="83">
        <v>1110359.0</v>
      </c>
      <c r="E71" s="83"/>
      <c r="F71" s="83">
        <v>2.9231264E7</v>
      </c>
      <c r="G71" s="275" t="s">
        <v>2265</v>
      </c>
      <c r="H71" s="287">
        <v>45699.0</v>
      </c>
      <c r="I71" s="98" t="s">
        <v>1991</v>
      </c>
      <c r="J71" s="119" t="s">
        <v>2266</v>
      </c>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c r="AP71" s="271"/>
      <c r="AQ71" s="271"/>
      <c r="AR71" s="271"/>
      <c r="AS71" s="271"/>
      <c r="AT71" s="271"/>
      <c r="AU71" s="271"/>
      <c r="AV71" s="271"/>
      <c r="AW71" s="271"/>
      <c r="AX71" s="271"/>
      <c r="AY71" s="271"/>
      <c r="AZ71" s="271"/>
      <c r="BA71" s="271"/>
      <c r="BB71" s="271"/>
      <c r="BC71" s="271"/>
      <c r="BD71" s="271"/>
      <c r="BE71" s="271"/>
      <c r="BF71" s="271"/>
      <c r="BG71" s="271"/>
      <c r="BH71" s="271"/>
      <c r="BI71" s="271"/>
      <c r="BJ71" s="271"/>
    </row>
    <row r="72">
      <c r="A72" s="111" t="s">
        <v>723</v>
      </c>
      <c r="B72" s="83" t="s">
        <v>2269</v>
      </c>
      <c r="C72" s="83" t="s">
        <v>68</v>
      </c>
      <c r="D72" s="83">
        <v>1118171.0</v>
      </c>
      <c r="E72" s="83"/>
      <c r="F72" s="83">
        <v>2.9232341E7</v>
      </c>
      <c r="G72" s="275" t="s">
        <v>2270</v>
      </c>
      <c r="H72" s="287">
        <v>45699.0</v>
      </c>
      <c r="I72" s="98" t="s">
        <v>1991</v>
      </c>
      <c r="J72" s="119" t="s">
        <v>2271</v>
      </c>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c r="AP72" s="271"/>
      <c r="AQ72" s="271"/>
      <c r="AR72" s="271"/>
      <c r="AS72" s="271"/>
      <c r="AT72" s="271"/>
      <c r="AU72" s="271"/>
      <c r="AV72" s="271"/>
      <c r="AW72" s="271"/>
      <c r="AX72" s="271"/>
      <c r="AY72" s="271"/>
      <c r="AZ72" s="271"/>
      <c r="BA72" s="271"/>
      <c r="BB72" s="271"/>
      <c r="BC72" s="271"/>
      <c r="BD72" s="271"/>
      <c r="BE72" s="271"/>
      <c r="BF72" s="271"/>
      <c r="BG72" s="271"/>
      <c r="BH72" s="271"/>
      <c r="BI72" s="271"/>
      <c r="BJ72" s="271"/>
    </row>
    <row r="73">
      <c r="A73" s="111" t="s">
        <v>383</v>
      </c>
      <c r="B73" s="83" t="s">
        <v>1227</v>
      </c>
      <c r="C73" s="83" t="s">
        <v>68</v>
      </c>
      <c r="D73" s="83">
        <v>1116039.0</v>
      </c>
      <c r="E73" s="83"/>
      <c r="F73" s="83">
        <v>2.9121809E7</v>
      </c>
      <c r="G73" s="274" t="s">
        <v>2274</v>
      </c>
      <c r="H73" s="287">
        <v>45699.0</v>
      </c>
      <c r="I73" s="98" t="s">
        <v>1991</v>
      </c>
      <c r="J73" s="119" t="s">
        <v>2275</v>
      </c>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271"/>
      <c r="AR73" s="271"/>
      <c r="AS73" s="271"/>
      <c r="AT73" s="271"/>
      <c r="AU73" s="271"/>
      <c r="AV73" s="271"/>
      <c r="AW73" s="271"/>
      <c r="AX73" s="271"/>
      <c r="AY73" s="271"/>
      <c r="AZ73" s="271"/>
      <c r="BA73" s="271"/>
      <c r="BB73" s="271"/>
      <c r="BC73" s="271"/>
      <c r="BD73" s="271"/>
      <c r="BE73" s="271"/>
      <c r="BF73" s="271"/>
      <c r="BG73" s="271"/>
      <c r="BH73" s="271"/>
      <c r="BI73" s="271"/>
      <c r="BJ73" s="271"/>
    </row>
    <row r="74">
      <c r="A74" s="111" t="s">
        <v>1027</v>
      </c>
      <c r="B74" s="83" t="s">
        <v>2276</v>
      </c>
      <c r="C74" s="83" t="s">
        <v>68</v>
      </c>
      <c r="D74" s="83">
        <v>1122985.0</v>
      </c>
      <c r="E74" s="83"/>
      <c r="F74" s="83">
        <v>2.908637E7</v>
      </c>
      <c r="G74" s="286" t="s">
        <v>2277</v>
      </c>
      <c r="H74" s="287">
        <v>45699.0</v>
      </c>
      <c r="I74" s="98" t="s">
        <v>2278</v>
      </c>
      <c r="J74" s="119" t="s">
        <v>2279</v>
      </c>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c r="AN74" s="271"/>
      <c r="AO74" s="271"/>
      <c r="AP74" s="271"/>
      <c r="AQ74" s="271"/>
      <c r="AR74" s="271"/>
      <c r="AS74" s="271"/>
      <c r="AT74" s="271"/>
      <c r="AU74" s="271"/>
      <c r="AV74" s="271"/>
      <c r="AW74" s="271"/>
      <c r="AX74" s="271"/>
      <c r="AY74" s="271"/>
      <c r="AZ74" s="271"/>
      <c r="BA74" s="271"/>
      <c r="BB74" s="271"/>
      <c r="BC74" s="271"/>
      <c r="BD74" s="271"/>
      <c r="BE74" s="271"/>
      <c r="BF74" s="271"/>
      <c r="BG74" s="271"/>
      <c r="BH74" s="271"/>
      <c r="BI74" s="271"/>
      <c r="BJ74" s="271"/>
    </row>
    <row r="75">
      <c r="A75" s="111" t="s">
        <v>1393</v>
      </c>
      <c r="B75" s="83" t="s">
        <v>2282</v>
      </c>
      <c r="C75" s="83" t="s">
        <v>68</v>
      </c>
      <c r="D75" s="83">
        <v>1125232.0</v>
      </c>
      <c r="E75" s="136"/>
      <c r="F75" s="136">
        <v>2.9277728E7</v>
      </c>
      <c r="G75" s="275" t="s">
        <v>2283</v>
      </c>
      <c r="H75" s="287">
        <v>45699.0</v>
      </c>
      <c r="I75" s="98"/>
      <c r="J75" s="119"/>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row>
    <row r="76">
      <c r="A76" s="111" t="s">
        <v>451</v>
      </c>
      <c r="B76" s="83" t="s">
        <v>1529</v>
      </c>
      <c r="C76" s="83" t="s">
        <v>68</v>
      </c>
      <c r="D76" s="83">
        <v>1176101.0</v>
      </c>
      <c r="E76" s="83"/>
      <c r="F76" s="83">
        <v>2.93405E7</v>
      </c>
      <c r="G76" s="274" t="s">
        <v>2284</v>
      </c>
      <c r="H76" s="287">
        <v>45699.0</v>
      </c>
      <c r="I76" s="98"/>
      <c r="J76" s="119"/>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row>
    <row r="77">
      <c r="A77" s="111" t="s">
        <v>1281</v>
      </c>
      <c r="B77" s="83" t="s">
        <v>2287</v>
      </c>
      <c r="C77" s="83" t="s">
        <v>164</v>
      </c>
      <c r="D77" s="83">
        <v>1115229.0</v>
      </c>
      <c r="E77" s="83">
        <v>1178190.0</v>
      </c>
      <c r="F77" s="83"/>
      <c r="G77" s="274" t="s">
        <v>2288</v>
      </c>
      <c r="H77" s="287">
        <v>45699.0</v>
      </c>
      <c r="I77" s="98" t="s">
        <v>2052</v>
      </c>
      <c r="J77" s="119"/>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row>
    <row r="78">
      <c r="A78" s="111" t="s">
        <v>451</v>
      </c>
      <c r="B78" s="83" t="s">
        <v>1359</v>
      </c>
      <c r="C78" s="83" t="s">
        <v>164</v>
      </c>
      <c r="D78" s="83">
        <v>1111550.0</v>
      </c>
      <c r="E78" s="83">
        <v>1178498.0</v>
      </c>
      <c r="F78" s="83"/>
      <c r="G78" s="275" t="s">
        <v>2289</v>
      </c>
      <c r="H78" s="287">
        <v>45699.0</v>
      </c>
      <c r="I78" s="98" t="s">
        <v>2052</v>
      </c>
      <c r="J78" s="119"/>
      <c r="K78" s="271"/>
      <c r="L78" s="271"/>
      <c r="M78" s="271"/>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c r="AL78" s="271"/>
      <c r="AM78" s="271"/>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row>
    <row r="79">
      <c r="A79" s="111" t="s">
        <v>605</v>
      </c>
      <c r="B79" s="83" t="s">
        <v>1952</v>
      </c>
      <c r="C79" s="83" t="s">
        <v>164</v>
      </c>
      <c r="D79" s="83">
        <v>1179713.0</v>
      </c>
      <c r="E79" s="83">
        <v>1178551.0</v>
      </c>
      <c r="F79" s="83"/>
      <c r="G79" s="286" t="s">
        <v>2292</v>
      </c>
      <c r="H79" s="287">
        <v>45699.0</v>
      </c>
      <c r="I79" s="98" t="s">
        <v>2052</v>
      </c>
      <c r="J79" s="119"/>
      <c r="K79" s="271"/>
      <c r="L79" s="271"/>
      <c r="M79" s="271"/>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c r="AL79" s="271"/>
      <c r="AM79" s="271"/>
      <c r="AN79" s="271"/>
      <c r="AO79" s="271"/>
      <c r="AP79" s="271"/>
      <c r="AQ79" s="271"/>
      <c r="AR79" s="271"/>
      <c r="AS79" s="271"/>
      <c r="AT79" s="271"/>
      <c r="AU79" s="271"/>
      <c r="AV79" s="271"/>
      <c r="AW79" s="271"/>
      <c r="AX79" s="271"/>
      <c r="AY79" s="271"/>
      <c r="AZ79" s="271"/>
      <c r="BA79" s="271"/>
      <c r="BB79" s="271"/>
      <c r="BC79" s="271"/>
      <c r="BD79" s="271"/>
      <c r="BE79" s="271"/>
      <c r="BF79" s="271"/>
      <c r="BG79" s="271"/>
      <c r="BH79" s="271"/>
      <c r="BI79" s="271"/>
      <c r="BJ79" s="271"/>
    </row>
    <row r="80">
      <c r="A80" s="111" t="s">
        <v>205</v>
      </c>
      <c r="B80" s="83" t="s">
        <v>732</v>
      </c>
      <c r="C80" s="83" t="s">
        <v>164</v>
      </c>
      <c r="D80" s="83">
        <v>1179431.0</v>
      </c>
      <c r="E80" s="83">
        <v>1178950.0</v>
      </c>
      <c r="F80" s="83"/>
      <c r="G80" s="274" t="s">
        <v>2295</v>
      </c>
      <c r="H80" s="287">
        <v>45699.0</v>
      </c>
      <c r="I80" s="98" t="s">
        <v>2052</v>
      </c>
      <c r="J80" s="119"/>
      <c r="K80" s="271"/>
      <c r="L80" s="271"/>
      <c r="M80" s="271"/>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1"/>
      <c r="BD80" s="271"/>
      <c r="BE80" s="271"/>
      <c r="BF80" s="271"/>
      <c r="BG80" s="271"/>
      <c r="BH80" s="271"/>
      <c r="BI80" s="271"/>
      <c r="BJ80" s="271"/>
    </row>
    <row r="81">
      <c r="A81" s="111" t="s">
        <v>1573</v>
      </c>
      <c r="B81" s="83" t="s">
        <v>2297</v>
      </c>
      <c r="C81" s="83" t="s">
        <v>164</v>
      </c>
      <c r="D81" s="83">
        <v>1131453.0</v>
      </c>
      <c r="E81" s="83">
        <v>1179299.0</v>
      </c>
      <c r="F81" s="83"/>
      <c r="G81" s="275" t="s">
        <v>2298</v>
      </c>
      <c r="H81" s="287">
        <v>45699.0</v>
      </c>
      <c r="I81" s="98" t="s">
        <v>2052</v>
      </c>
      <c r="J81" s="119"/>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c r="AN81" s="271"/>
      <c r="AO81" s="271"/>
      <c r="AP81" s="271"/>
      <c r="AQ81" s="271"/>
      <c r="AR81" s="271"/>
      <c r="AS81" s="271"/>
      <c r="AT81" s="271"/>
      <c r="AU81" s="271"/>
      <c r="AV81" s="271"/>
      <c r="AW81" s="271"/>
      <c r="AX81" s="271"/>
      <c r="AY81" s="271"/>
      <c r="AZ81" s="271"/>
      <c r="BA81" s="271"/>
      <c r="BB81" s="271"/>
      <c r="BC81" s="271"/>
      <c r="BD81" s="271"/>
      <c r="BE81" s="271"/>
      <c r="BF81" s="271"/>
      <c r="BG81" s="271"/>
      <c r="BH81" s="271"/>
      <c r="BI81" s="271"/>
      <c r="BJ81" s="271"/>
    </row>
    <row r="82">
      <c r="A82" s="111" t="s">
        <v>1785</v>
      </c>
      <c r="B82" s="83" t="s">
        <v>2197</v>
      </c>
      <c r="C82" s="83" t="s">
        <v>68</v>
      </c>
      <c r="D82" s="83">
        <v>1179484.0</v>
      </c>
      <c r="E82" s="83"/>
      <c r="F82" s="83">
        <v>2.9467888E7</v>
      </c>
      <c r="G82" s="275" t="s">
        <v>2302</v>
      </c>
      <c r="H82" s="287">
        <v>45699.0</v>
      </c>
      <c r="I82" s="98"/>
      <c r="J82" s="119"/>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c r="AN82" s="271"/>
      <c r="AO82" s="271"/>
      <c r="AP82" s="271"/>
      <c r="AQ82" s="271"/>
      <c r="AR82" s="271"/>
      <c r="AS82" s="271"/>
      <c r="AT82" s="271"/>
      <c r="AU82" s="271"/>
      <c r="AV82" s="271"/>
      <c r="AW82" s="271"/>
      <c r="AX82" s="271"/>
      <c r="AY82" s="271"/>
      <c r="AZ82" s="271"/>
      <c r="BA82" s="271"/>
      <c r="BB82" s="271"/>
      <c r="BC82" s="271"/>
      <c r="BD82" s="271"/>
      <c r="BE82" s="271"/>
      <c r="BF82" s="271"/>
      <c r="BG82" s="271"/>
      <c r="BH82" s="271"/>
      <c r="BI82" s="271"/>
      <c r="BJ82" s="271"/>
    </row>
    <row r="83">
      <c r="A83" s="111" t="s">
        <v>1785</v>
      </c>
      <c r="B83" s="83" t="s">
        <v>2197</v>
      </c>
      <c r="C83" s="83" t="s">
        <v>68</v>
      </c>
      <c r="D83" s="83">
        <v>1179594.0</v>
      </c>
      <c r="E83" s="83"/>
      <c r="F83" s="83">
        <v>2.9470471E7</v>
      </c>
      <c r="G83" s="275" t="s">
        <v>2304</v>
      </c>
      <c r="H83" s="287">
        <v>45699.0</v>
      </c>
      <c r="I83" s="98"/>
      <c r="J83" s="119"/>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1"/>
      <c r="BD83" s="271"/>
      <c r="BE83" s="271"/>
      <c r="BF83" s="271"/>
      <c r="BG83" s="271"/>
      <c r="BH83" s="271"/>
      <c r="BI83" s="271"/>
      <c r="BJ83" s="271"/>
    </row>
    <row r="84">
      <c r="A84" s="111" t="s">
        <v>1573</v>
      </c>
      <c r="B84" s="83" t="s">
        <v>2297</v>
      </c>
      <c r="C84" s="83" t="s">
        <v>68</v>
      </c>
      <c r="D84" s="83">
        <v>1131550.0</v>
      </c>
      <c r="E84" s="83"/>
      <c r="F84" s="83">
        <v>2.9013259E7</v>
      </c>
      <c r="G84" s="275" t="s">
        <v>2305</v>
      </c>
      <c r="H84" s="287">
        <v>45699.0</v>
      </c>
      <c r="I84" s="98" t="s">
        <v>2073</v>
      </c>
      <c r="J84" s="119" t="s">
        <v>2306</v>
      </c>
      <c r="K84" s="271"/>
      <c r="L84" s="271"/>
      <c r="M84" s="271"/>
      <c r="N84" s="271"/>
      <c r="O84" s="271"/>
      <c r="P84" s="271"/>
      <c r="Q84" s="271"/>
      <c r="R84" s="271"/>
      <c r="S84" s="271"/>
      <c r="T84" s="271"/>
      <c r="U84" s="271"/>
      <c r="V84" s="271"/>
      <c r="W84" s="271"/>
      <c r="X84" s="271"/>
      <c r="Y84" s="271"/>
      <c r="Z84" s="271"/>
      <c r="AA84" s="271"/>
      <c r="AB84" s="271"/>
      <c r="AC84" s="271"/>
      <c r="AD84" s="271"/>
      <c r="AE84" s="271"/>
      <c r="AF84" s="271"/>
      <c r="AG84" s="271"/>
      <c r="AH84" s="271"/>
      <c r="AI84" s="271"/>
      <c r="AJ84" s="271"/>
      <c r="AK84" s="271"/>
      <c r="AL84" s="271"/>
      <c r="AM84" s="271"/>
      <c r="AN84" s="271"/>
      <c r="AO84" s="271"/>
      <c r="AP84" s="271"/>
      <c r="AQ84" s="271"/>
      <c r="AR84" s="271"/>
      <c r="AS84" s="271"/>
      <c r="AT84" s="271"/>
      <c r="AU84" s="271"/>
      <c r="AV84" s="271"/>
      <c r="AW84" s="271"/>
      <c r="AX84" s="271"/>
      <c r="AY84" s="271"/>
      <c r="AZ84" s="271"/>
      <c r="BA84" s="271"/>
      <c r="BB84" s="271"/>
      <c r="BC84" s="271"/>
      <c r="BD84" s="271"/>
      <c r="BE84" s="271"/>
      <c r="BF84" s="271"/>
      <c r="BG84" s="271"/>
      <c r="BH84" s="271"/>
      <c r="BI84" s="271"/>
      <c r="BJ84" s="271"/>
    </row>
    <row r="85">
      <c r="A85" s="111" t="s">
        <v>1281</v>
      </c>
      <c r="B85" s="83" t="s">
        <v>2307</v>
      </c>
      <c r="C85" s="83" t="s">
        <v>68</v>
      </c>
      <c r="D85" s="83">
        <v>1108761.0</v>
      </c>
      <c r="E85" s="83"/>
      <c r="F85" s="83">
        <v>2.9158931E7</v>
      </c>
      <c r="G85" s="275" t="s">
        <v>2308</v>
      </c>
      <c r="H85" s="287">
        <v>45699.0</v>
      </c>
      <c r="I85" s="98" t="s">
        <v>2073</v>
      </c>
      <c r="J85" s="119" t="s">
        <v>2309</v>
      </c>
      <c r="K85" s="271"/>
      <c r="L85" s="271"/>
      <c r="M85" s="271"/>
      <c r="N85" s="271"/>
      <c r="O85" s="271"/>
      <c r="P85" s="271"/>
      <c r="Q85" s="271"/>
      <c r="R85" s="271"/>
      <c r="S85" s="271"/>
      <c r="T85" s="271"/>
      <c r="U85" s="271"/>
      <c r="V85" s="271"/>
      <c r="W85" s="271"/>
      <c r="X85" s="271"/>
      <c r="Y85" s="271"/>
      <c r="Z85" s="271"/>
      <c r="AA85" s="271"/>
      <c r="AB85" s="271"/>
      <c r="AC85" s="271"/>
      <c r="AD85" s="271"/>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c r="BA85" s="271"/>
      <c r="BB85" s="271"/>
      <c r="BC85" s="271"/>
      <c r="BD85" s="271"/>
      <c r="BE85" s="271"/>
      <c r="BF85" s="271"/>
      <c r="BG85" s="271"/>
      <c r="BH85" s="271"/>
      <c r="BI85" s="271"/>
      <c r="BJ85" s="271"/>
    </row>
    <row r="86">
      <c r="A86" s="111" t="s">
        <v>1785</v>
      </c>
      <c r="B86" s="83" t="s">
        <v>1994</v>
      </c>
      <c r="C86" s="83" t="s">
        <v>68</v>
      </c>
      <c r="D86" s="83">
        <v>1104340.0</v>
      </c>
      <c r="E86" s="83"/>
      <c r="F86" s="83">
        <v>2.9188601E7</v>
      </c>
      <c r="G86" s="275" t="s">
        <v>2310</v>
      </c>
      <c r="H86" s="287">
        <v>45712.0</v>
      </c>
      <c r="I86" s="98" t="s">
        <v>2311</v>
      </c>
      <c r="J86" s="119" t="s">
        <v>2312</v>
      </c>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71"/>
    </row>
    <row r="87">
      <c r="A87" s="111" t="s">
        <v>723</v>
      </c>
      <c r="B87" s="83" t="s">
        <v>2081</v>
      </c>
      <c r="C87" s="83" t="s">
        <v>68</v>
      </c>
      <c r="D87" s="112">
        <v>1118007.0</v>
      </c>
      <c r="E87" s="83"/>
      <c r="F87" s="83">
        <v>2.9226511E7</v>
      </c>
      <c r="G87" s="286" t="s">
        <v>2317</v>
      </c>
      <c r="H87" s="287">
        <v>45712.0</v>
      </c>
      <c r="I87" s="98" t="s">
        <v>2311</v>
      </c>
      <c r="J87" s="119"/>
      <c r="K87" s="271"/>
      <c r="L87" s="271"/>
      <c r="M87" s="271"/>
      <c r="N87" s="271"/>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c r="AN87" s="271"/>
      <c r="AO87" s="271"/>
      <c r="AP87" s="271"/>
      <c r="AQ87" s="271"/>
      <c r="AR87" s="271"/>
      <c r="AS87" s="271"/>
      <c r="AT87" s="271"/>
      <c r="AU87" s="271"/>
      <c r="AV87" s="271"/>
      <c r="AW87" s="271"/>
      <c r="AX87" s="271"/>
      <c r="AY87" s="271"/>
      <c r="AZ87" s="271"/>
      <c r="BA87" s="271"/>
      <c r="BB87" s="271"/>
      <c r="BC87" s="271"/>
      <c r="BD87" s="271"/>
      <c r="BE87" s="271"/>
      <c r="BF87" s="271"/>
      <c r="BG87" s="271"/>
      <c r="BH87" s="271"/>
      <c r="BI87" s="271"/>
      <c r="BJ87" s="271"/>
    </row>
    <row r="88">
      <c r="A88" s="111" t="s">
        <v>285</v>
      </c>
      <c r="B88" s="83" t="s">
        <v>882</v>
      </c>
      <c r="C88" s="83" t="s">
        <v>68</v>
      </c>
      <c r="D88" s="112">
        <v>1123353.0</v>
      </c>
      <c r="E88" s="83"/>
      <c r="F88" s="83">
        <v>2.9215412E7</v>
      </c>
      <c r="G88" s="274" t="s">
        <v>2318</v>
      </c>
      <c r="H88" s="287">
        <v>45712.0</v>
      </c>
      <c r="I88" s="98" t="s">
        <v>2311</v>
      </c>
      <c r="J88" s="119" t="s">
        <v>2319</v>
      </c>
      <c r="K88" s="271"/>
      <c r="L88" s="271"/>
      <c r="M88" s="271"/>
      <c r="N88" s="271"/>
      <c r="O88" s="271"/>
      <c r="P88" s="271"/>
      <c r="Q88" s="271"/>
      <c r="R88" s="271"/>
      <c r="S88" s="271"/>
      <c r="T88" s="271"/>
      <c r="U88" s="271"/>
      <c r="V88" s="271"/>
      <c r="W88" s="271"/>
      <c r="X88" s="271"/>
      <c r="Y88" s="271"/>
      <c r="Z88" s="271"/>
      <c r="AA88" s="271"/>
      <c r="AB88" s="271"/>
      <c r="AC88" s="271"/>
      <c r="AD88" s="271"/>
      <c r="AE88" s="271"/>
      <c r="AF88" s="271"/>
      <c r="AG88" s="271"/>
      <c r="AH88" s="271"/>
      <c r="AI88" s="271"/>
      <c r="AJ88" s="271"/>
      <c r="AK88" s="271"/>
      <c r="AL88" s="271"/>
      <c r="AM88" s="271"/>
      <c r="AN88" s="271"/>
      <c r="AO88" s="271"/>
      <c r="AP88" s="271"/>
      <c r="AQ88" s="271"/>
      <c r="AR88" s="271"/>
      <c r="AS88" s="271"/>
      <c r="AT88" s="271"/>
      <c r="AU88" s="271"/>
      <c r="AV88" s="271"/>
      <c r="AW88" s="271"/>
      <c r="AX88" s="271"/>
      <c r="AY88" s="271"/>
      <c r="AZ88" s="271"/>
      <c r="BA88" s="271"/>
      <c r="BB88" s="271"/>
      <c r="BC88" s="271"/>
      <c r="BD88" s="271"/>
      <c r="BE88" s="271"/>
      <c r="BF88" s="271"/>
      <c r="BG88" s="271"/>
      <c r="BH88" s="271"/>
      <c r="BI88" s="271"/>
      <c r="BJ88" s="271"/>
    </row>
    <row r="89">
      <c r="A89" s="111" t="s">
        <v>285</v>
      </c>
      <c r="B89" s="83" t="s">
        <v>1009</v>
      </c>
      <c r="C89" s="83" t="s">
        <v>68</v>
      </c>
      <c r="D89" s="112">
        <v>1133073.0</v>
      </c>
      <c r="E89" s="83"/>
      <c r="F89" s="83">
        <v>2.9220246E7</v>
      </c>
      <c r="G89" s="274" t="s">
        <v>2320</v>
      </c>
      <c r="H89" s="287">
        <v>45712.0</v>
      </c>
      <c r="I89" s="98" t="s">
        <v>2311</v>
      </c>
      <c r="J89" s="119" t="s">
        <v>2321</v>
      </c>
      <c r="K89" s="271"/>
      <c r="L89" s="271"/>
      <c r="M89" s="271"/>
      <c r="N89" s="271"/>
      <c r="O89" s="271"/>
      <c r="P89" s="271"/>
      <c r="Q89" s="271"/>
      <c r="R89" s="271"/>
      <c r="S89" s="271"/>
      <c r="T89" s="271"/>
      <c r="U89" s="271"/>
      <c r="V89" s="271"/>
      <c r="W89" s="271"/>
      <c r="X89" s="271"/>
      <c r="Y89" s="271"/>
      <c r="Z89" s="271"/>
      <c r="AA89" s="271"/>
      <c r="AB89" s="271"/>
      <c r="AC89" s="271"/>
      <c r="AD89" s="271"/>
      <c r="AE89" s="271"/>
      <c r="AF89" s="271"/>
      <c r="AG89" s="271"/>
      <c r="AH89" s="271"/>
      <c r="AI89" s="271"/>
      <c r="AJ89" s="271"/>
      <c r="AK89" s="271"/>
      <c r="AL89" s="271"/>
      <c r="AM89" s="271"/>
      <c r="AN89" s="271"/>
      <c r="AO89" s="271"/>
      <c r="AP89" s="271"/>
      <c r="AQ89" s="271"/>
      <c r="AR89" s="271"/>
      <c r="AS89" s="271"/>
      <c r="AT89" s="271"/>
      <c r="AU89" s="271"/>
      <c r="AV89" s="271"/>
      <c r="AW89" s="271"/>
      <c r="AX89" s="271"/>
      <c r="AY89" s="271"/>
      <c r="AZ89" s="271"/>
      <c r="BA89" s="271"/>
      <c r="BB89" s="271"/>
      <c r="BC89" s="271"/>
      <c r="BD89" s="271"/>
      <c r="BE89" s="271"/>
      <c r="BF89" s="271"/>
      <c r="BG89" s="271"/>
      <c r="BH89" s="271"/>
      <c r="BI89" s="271"/>
      <c r="BJ89" s="271"/>
    </row>
    <row r="90">
      <c r="A90" s="111" t="s">
        <v>285</v>
      </c>
      <c r="B90" s="83" t="s">
        <v>1009</v>
      </c>
      <c r="C90" s="83" t="s">
        <v>164</v>
      </c>
      <c r="D90" s="112"/>
      <c r="E90" s="83">
        <v>1178971.0</v>
      </c>
      <c r="F90" s="83"/>
      <c r="G90" s="274" t="s">
        <v>2322</v>
      </c>
      <c r="H90" s="287">
        <v>45712.0</v>
      </c>
      <c r="I90" s="98" t="s">
        <v>2311</v>
      </c>
      <c r="J90" s="119"/>
      <c r="K90" s="271"/>
      <c r="L90" s="271"/>
      <c r="M90" s="271"/>
      <c r="N90" s="271"/>
      <c r="O90" s="271"/>
      <c r="P90" s="271"/>
      <c r="Q90" s="271"/>
      <c r="R90" s="271"/>
      <c r="S90" s="271"/>
      <c r="T90" s="271"/>
      <c r="U90" s="271"/>
      <c r="V90" s="271"/>
      <c r="W90" s="271"/>
      <c r="X90" s="271"/>
      <c r="Y90" s="271"/>
      <c r="Z90" s="271"/>
      <c r="AA90" s="271"/>
      <c r="AB90" s="271"/>
      <c r="AC90" s="271"/>
      <c r="AD90" s="271"/>
      <c r="AE90" s="271"/>
      <c r="AF90" s="271"/>
      <c r="AG90" s="271"/>
      <c r="AH90" s="271"/>
      <c r="AI90" s="271"/>
      <c r="AJ90" s="271"/>
      <c r="AK90" s="271"/>
      <c r="AL90" s="271"/>
      <c r="AM90" s="271"/>
      <c r="AN90" s="271"/>
      <c r="AO90" s="271"/>
      <c r="AP90" s="271"/>
      <c r="AQ90" s="271"/>
      <c r="AR90" s="271"/>
      <c r="AS90" s="271"/>
      <c r="AT90" s="271"/>
      <c r="AU90" s="271"/>
      <c r="AV90" s="271"/>
      <c r="AW90" s="271"/>
      <c r="AX90" s="271"/>
      <c r="AY90" s="271"/>
      <c r="AZ90" s="271"/>
      <c r="BA90" s="271"/>
      <c r="BB90" s="271"/>
      <c r="BC90" s="271"/>
      <c r="BD90" s="271"/>
      <c r="BE90" s="271"/>
      <c r="BF90" s="271"/>
      <c r="BG90" s="271"/>
      <c r="BH90" s="271"/>
      <c r="BI90" s="271"/>
      <c r="BJ90" s="271"/>
    </row>
    <row r="91">
      <c r="A91" s="111" t="s">
        <v>723</v>
      </c>
      <c r="B91" s="83" t="s">
        <v>2081</v>
      </c>
      <c r="C91" s="83" t="s">
        <v>164</v>
      </c>
      <c r="D91" s="112"/>
      <c r="E91" s="83">
        <v>1179369.0</v>
      </c>
      <c r="F91" s="83"/>
      <c r="G91" s="285" t="s">
        <v>2323</v>
      </c>
      <c r="H91" s="287">
        <v>45712.0</v>
      </c>
      <c r="I91" s="98" t="s">
        <v>2311</v>
      </c>
      <c r="J91" s="119" t="s">
        <v>2324</v>
      </c>
      <c r="K91" s="271"/>
      <c r="L91" s="271"/>
      <c r="M91" s="271"/>
      <c r="N91" s="271"/>
      <c r="O91" s="271"/>
      <c r="P91" s="271"/>
      <c r="Q91" s="271"/>
      <c r="R91" s="271"/>
      <c r="S91" s="271"/>
      <c r="T91" s="271"/>
      <c r="U91" s="271"/>
      <c r="V91" s="271"/>
      <c r="W91" s="271"/>
      <c r="X91" s="271"/>
      <c r="Y91" s="271"/>
      <c r="Z91" s="271"/>
      <c r="AA91" s="271"/>
      <c r="AB91" s="271"/>
      <c r="AC91" s="271"/>
      <c r="AD91" s="271"/>
      <c r="AE91" s="271"/>
      <c r="AF91" s="271"/>
      <c r="AG91" s="271"/>
      <c r="AH91" s="271"/>
      <c r="AI91" s="271"/>
      <c r="AJ91" s="271"/>
      <c r="AK91" s="271"/>
      <c r="AL91" s="271"/>
      <c r="AM91" s="271"/>
      <c r="AN91" s="271"/>
      <c r="AO91" s="271"/>
      <c r="AP91" s="271"/>
      <c r="AQ91" s="271"/>
      <c r="AR91" s="271"/>
      <c r="AS91" s="271"/>
      <c r="AT91" s="271"/>
      <c r="AU91" s="271"/>
      <c r="AV91" s="271"/>
      <c r="AW91" s="271"/>
      <c r="AX91" s="271"/>
      <c r="AY91" s="271"/>
      <c r="AZ91" s="271"/>
      <c r="BA91" s="271"/>
      <c r="BB91" s="271"/>
      <c r="BC91" s="271"/>
      <c r="BD91" s="271"/>
      <c r="BE91" s="271"/>
      <c r="BF91" s="271"/>
      <c r="BG91" s="271"/>
      <c r="BH91" s="271"/>
      <c r="BI91" s="271"/>
      <c r="BJ91" s="271"/>
    </row>
    <row r="92">
      <c r="A92" s="111" t="s">
        <v>1281</v>
      </c>
      <c r="B92" s="83" t="s">
        <v>2328</v>
      </c>
      <c r="C92" s="83" t="s">
        <v>164</v>
      </c>
      <c r="D92" s="112"/>
      <c r="E92" s="83">
        <v>1179488.0</v>
      </c>
      <c r="F92" s="83"/>
      <c r="G92" s="275" t="s">
        <v>2330</v>
      </c>
      <c r="H92" s="287">
        <v>45712.0</v>
      </c>
      <c r="I92" s="98" t="s">
        <v>2311</v>
      </c>
      <c r="J92" s="119"/>
      <c r="K92" s="271"/>
      <c r="L92" s="271"/>
      <c r="M92" s="271"/>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c r="AN92" s="271"/>
      <c r="AO92" s="271"/>
      <c r="AP92" s="271"/>
      <c r="AQ92" s="271"/>
      <c r="AR92" s="271"/>
      <c r="AS92" s="271"/>
      <c r="AT92" s="271"/>
      <c r="AU92" s="271"/>
      <c r="AV92" s="271"/>
      <c r="AW92" s="271"/>
      <c r="AX92" s="271"/>
      <c r="AY92" s="271"/>
      <c r="AZ92" s="271"/>
      <c r="BA92" s="271"/>
      <c r="BB92" s="271"/>
      <c r="BC92" s="271"/>
      <c r="BD92" s="271"/>
      <c r="BE92" s="271"/>
      <c r="BF92" s="271"/>
      <c r="BG92" s="271"/>
      <c r="BH92" s="271"/>
      <c r="BI92" s="271"/>
      <c r="BJ92" s="271"/>
    </row>
    <row r="93">
      <c r="A93" s="111" t="s">
        <v>673</v>
      </c>
      <c r="B93" s="83" t="s">
        <v>2166</v>
      </c>
      <c r="C93" s="83" t="s">
        <v>164</v>
      </c>
      <c r="D93" s="112"/>
      <c r="E93" s="83">
        <v>1179076.0</v>
      </c>
      <c r="F93" s="83"/>
      <c r="G93" s="286" t="s">
        <v>2331</v>
      </c>
      <c r="H93" s="287">
        <v>45727.0</v>
      </c>
      <c r="I93" s="98" t="s">
        <v>2311</v>
      </c>
      <c r="J93" s="119"/>
      <c r="K93" s="271"/>
      <c r="L93" s="271"/>
      <c r="M93" s="271"/>
      <c r="N93" s="271"/>
      <c r="O93" s="271"/>
      <c r="P93" s="271"/>
      <c r="Q93" s="271"/>
      <c r="R93" s="271"/>
      <c r="S93" s="271"/>
      <c r="T93" s="271"/>
      <c r="U93" s="271"/>
      <c r="V93" s="271"/>
      <c r="W93" s="271"/>
      <c r="X93" s="271"/>
      <c r="Y93" s="271"/>
      <c r="Z93" s="271"/>
      <c r="AA93" s="271"/>
      <c r="AB93" s="271"/>
      <c r="AC93" s="271"/>
      <c r="AD93" s="271"/>
      <c r="AE93" s="271"/>
      <c r="AF93" s="271"/>
      <c r="AG93" s="271"/>
      <c r="AH93" s="271"/>
      <c r="AI93" s="271"/>
      <c r="AJ93" s="271"/>
      <c r="AK93" s="271"/>
      <c r="AL93" s="271"/>
      <c r="AM93" s="271"/>
      <c r="AN93" s="271"/>
      <c r="AO93" s="271"/>
      <c r="AP93" s="271"/>
      <c r="AQ93" s="271"/>
      <c r="AR93" s="271"/>
      <c r="AS93" s="271"/>
      <c r="AT93" s="271"/>
      <c r="AU93" s="271"/>
      <c r="AV93" s="271"/>
      <c r="AW93" s="271"/>
      <c r="AX93" s="271"/>
      <c r="AY93" s="271"/>
      <c r="AZ93" s="271"/>
      <c r="BA93" s="271"/>
      <c r="BB93" s="271"/>
      <c r="BC93" s="271"/>
      <c r="BD93" s="271"/>
      <c r="BE93" s="271"/>
      <c r="BF93" s="271"/>
      <c r="BG93" s="271"/>
      <c r="BH93" s="271"/>
      <c r="BI93" s="271"/>
      <c r="BJ93" s="271"/>
    </row>
    <row r="94">
      <c r="A94" s="111" t="s">
        <v>1090</v>
      </c>
      <c r="B94" s="83" t="s">
        <v>2332</v>
      </c>
      <c r="C94" s="83" t="s">
        <v>164</v>
      </c>
      <c r="D94" s="112"/>
      <c r="E94" s="83">
        <v>1178710.0</v>
      </c>
      <c r="F94" s="83"/>
      <c r="G94" s="274" t="s">
        <v>2333</v>
      </c>
      <c r="H94" s="287">
        <v>45727.0</v>
      </c>
      <c r="I94" s="98" t="s">
        <v>2311</v>
      </c>
      <c r="J94" s="119"/>
      <c r="K94" s="271"/>
      <c r="L94" s="271"/>
      <c r="M94" s="271"/>
      <c r="N94" s="271"/>
      <c r="O94" s="271"/>
      <c r="P94" s="271"/>
      <c r="Q94" s="271"/>
      <c r="R94" s="271"/>
      <c r="S94" s="271"/>
      <c r="T94" s="271"/>
      <c r="U94" s="271"/>
      <c r="V94" s="271"/>
      <c r="W94" s="271"/>
      <c r="X94" s="271"/>
      <c r="Y94" s="271"/>
      <c r="Z94" s="271"/>
      <c r="AA94" s="271"/>
      <c r="AB94" s="271"/>
      <c r="AC94" s="271"/>
      <c r="AD94" s="271"/>
      <c r="AE94" s="271"/>
      <c r="AF94" s="271"/>
      <c r="AG94" s="271"/>
      <c r="AH94" s="271"/>
      <c r="AI94" s="271"/>
      <c r="AJ94" s="271"/>
      <c r="AK94" s="271"/>
      <c r="AL94" s="271"/>
      <c r="AM94" s="271"/>
      <c r="AN94" s="271"/>
      <c r="AO94" s="271"/>
      <c r="AP94" s="271"/>
      <c r="AQ94" s="271"/>
      <c r="AR94" s="271"/>
      <c r="AS94" s="271"/>
      <c r="AT94" s="271"/>
      <c r="AU94" s="271"/>
      <c r="AV94" s="271"/>
      <c r="AW94" s="271"/>
      <c r="AX94" s="271"/>
      <c r="AY94" s="271"/>
      <c r="AZ94" s="271"/>
      <c r="BA94" s="271"/>
      <c r="BB94" s="271"/>
      <c r="BC94" s="271"/>
      <c r="BD94" s="271"/>
      <c r="BE94" s="271"/>
      <c r="BF94" s="271"/>
      <c r="BG94" s="271"/>
      <c r="BH94" s="271"/>
      <c r="BI94" s="271"/>
      <c r="BJ94" s="271"/>
    </row>
    <row r="95">
      <c r="A95" s="111" t="s">
        <v>205</v>
      </c>
      <c r="B95" s="83" t="s">
        <v>472</v>
      </c>
      <c r="C95" s="83" t="s">
        <v>164</v>
      </c>
      <c r="D95" s="112"/>
      <c r="E95" s="83">
        <v>1178911.0</v>
      </c>
      <c r="F95" s="83"/>
      <c r="G95" s="274" t="s">
        <v>2334</v>
      </c>
      <c r="H95" s="287">
        <v>45733.0</v>
      </c>
      <c r="I95" s="98" t="s">
        <v>2311</v>
      </c>
      <c r="J95" s="119"/>
      <c r="K95" s="271"/>
      <c r="L95" s="271"/>
      <c r="M95" s="271"/>
      <c r="N95" s="271"/>
      <c r="O95" s="271"/>
      <c r="P95" s="271"/>
      <c r="Q95" s="271"/>
      <c r="R95" s="271"/>
      <c r="S95" s="271"/>
      <c r="T95" s="271"/>
      <c r="U95" s="271"/>
      <c r="V95" s="271"/>
      <c r="W95" s="271"/>
      <c r="X95" s="271"/>
      <c r="Y95" s="271"/>
      <c r="Z95" s="271"/>
      <c r="AA95" s="271"/>
      <c r="AB95" s="271"/>
      <c r="AC95" s="271"/>
      <c r="AD95" s="271"/>
      <c r="AE95" s="271"/>
      <c r="AF95" s="271"/>
      <c r="AG95" s="271"/>
      <c r="AH95" s="271"/>
      <c r="AI95" s="271"/>
      <c r="AJ95" s="271"/>
      <c r="AK95" s="271"/>
      <c r="AL95" s="271"/>
      <c r="AM95" s="271"/>
      <c r="AN95" s="271"/>
      <c r="AO95" s="271"/>
      <c r="AP95" s="271"/>
      <c r="AQ95" s="271"/>
      <c r="AR95" s="271"/>
      <c r="AS95" s="271"/>
      <c r="AT95" s="271"/>
      <c r="AU95" s="271"/>
      <c r="AV95" s="271"/>
      <c r="AW95" s="271"/>
      <c r="AX95" s="271"/>
      <c r="AY95" s="271"/>
      <c r="AZ95" s="271"/>
      <c r="BA95" s="271"/>
      <c r="BB95" s="271"/>
      <c r="BC95" s="271"/>
      <c r="BD95" s="271"/>
      <c r="BE95" s="271"/>
      <c r="BF95" s="271"/>
      <c r="BG95" s="271"/>
      <c r="BH95" s="271"/>
      <c r="BI95" s="271"/>
      <c r="BJ95" s="271"/>
    </row>
    <row r="96">
      <c r="A96" s="111" t="s">
        <v>205</v>
      </c>
      <c r="B96" s="83" t="s">
        <v>633</v>
      </c>
      <c r="C96" s="83" t="s">
        <v>164</v>
      </c>
      <c r="D96" s="112"/>
      <c r="E96" s="83">
        <v>1179333.0</v>
      </c>
      <c r="F96" s="83"/>
      <c r="G96" s="274" t="s">
        <v>2338</v>
      </c>
      <c r="H96" s="287">
        <v>45740.0</v>
      </c>
      <c r="I96" s="98" t="s">
        <v>2311</v>
      </c>
      <c r="J96" s="119"/>
      <c r="K96" s="271"/>
      <c r="L96" s="271"/>
      <c r="M96" s="271"/>
      <c r="N96" s="271"/>
      <c r="O96" s="271"/>
      <c r="P96" s="271"/>
      <c r="Q96" s="271"/>
      <c r="R96" s="271"/>
      <c r="S96" s="271"/>
      <c r="T96" s="271"/>
      <c r="U96" s="271"/>
      <c r="V96" s="271"/>
      <c r="W96" s="271"/>
      <c r="X96" s="271"/>
      <c r="Y96" s="271"/>
      <c r="Z96" s="271"/>
      <c r="AA96" s="271"/>
      <c r="AB96" s="271"/>
      <c r="AC96" s="271"/>
      <c r="AD96" s="271"/>
      <c r="AE96" s="271"/>
      <c r="AF96" s="271"/>
      <c r="AG96" s="271"/>
      <c r="AH96" s="271"/>
      <c r="AI96" s="271"/>
      <c r="AJ96" s="271"/>
      <c r="AK96" s="271"/>
      <c r="AL96" s="271"/>
      <c r="AM96" s="271"/>
      <c r="AN96" s="271"/>
      <c r="AO96" s="271"/>
      <c r="AP96" s="271"/>
      <c r="AQ96" s="271"/>
      <c r="AR96" s="271"/>
      <c r="AS96" s="271"/>
      <c r="AT96" s="271"/>
      <c r="AU96" s="271"/>
      <c r="AV96" s="271"/>
      <c r="AW96" s="271"/>
      <c r="AX96" s="271"/>
      <c r="AY96" s="271"/>
      <c r="AZ96" s="271"/>
      <c r="BA96" s="271"/>
      <c r="BB96" s="271"/>
      <c r="BC96" s="271"/>
      <c r="BD96" s="271"/>
      <c r="BE96" s="271"/>
      <c r="BF96" s="271"/>
      <c r="BG96" s="271"/>
      <c r="BH96" s="271"/>
      <c r="BI96" s="271"/>
      <c r="BJ96" s="271"/>
    </row>
    <row r="97">
      <c r="A97" s="111" t="s">
        <v>205</v>
      </c>
      <c r="B97" s="83" t="s">
        <v>665</v>
      </c>
      <c r="C97" s="83" t="s">
        <v>164</v>
      </c>
      <c r="D97" s="112"/>
      <c r="E97" s="83">
        <v>1179341.0</v>
      </c>
      <c r="F97" s="83"/>
      <c r="G97" s="274" t="s">
        <v>2339</v>
      </c>
      <c r="H97" s="287">
        <v>45740.0</v>
      </c>
      <c r="I97" s="98" t="s">
        <v>2311</v>
      </c>
      <c r="J97" s="119"/>
      <c r="K97" s="271"/>
      <c r="L97" s="271"/>
      <c r="M97" s="271"/>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c r="AN97" s="271"/>
      <c r="AO97" s="271"/>
      <c r="AP97" s="271"/>
      <c r="AQ97" s="271"/>
      <c r="AR97" s="271"/>
      <c r="AS97" s="271"/>
      <c r="AT97" s="271"/>
      <c r="AU97" s="271"/>
      <c r="AV97" s="271"/>
      <c r="AW97" s="271"/>
      <c r="AX97" s="271"/>
      <c r="AY97" s="271"/>
      <c r="AZ97" s="271"/>
      <c r="BA97" s="271"/>
      <c r="BB97" s="271"/>
      <c r="BC97" s="271"/>
      <c r="BD97" s="271"/>
      <c r="BE97" s="271"/>
      <c r="BF97" s="271"/>
      <c r="BG97" s="271"/>
      <c r="BH97" s="271"/>
      <c r="BI97" s="271"/>
      <c r="BJ97" s="271"/>
    </row>
    <row r="98">
      <c r="A98" s="111" t="s">
        <v>285</v>
      </c>
      <c r="B98" s="83" t="s">
        <v>972</v>
      </c>
      <c r="C98" s="83" t="s">
        <v>164</v>
      </c>
      <c r="D98" s="112"/>
      <c r="E98" s="83">
        <v>1179250.0</v>
      </c>
      <c r="F98" s="83"/>
      <c r="G98" s="114" t="s">
        <v>2340</v>
      </c>
      <c r="H98" s="287">
        <v>45754.0</v>
      </c>
      <c r="I98" s="98" t="s">
        <v>2311</v>
      </c>
      <c r="J98" s="119"/>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271"/>
      <c r="BC98" s="271"/>
      <c r="BD98" s="271"/>
      <c r="BE98" s="271"/>
      <c r="BF98" s="271"/>
      <c r="BG98" s="271"/>
      <c r="BH98" s="271"/>
      <c r="BI98" s="271"/>
      <c r="BJ98" s="271"/>
    </row>
    <row r="99">
      <c r="A99" s="111" t="s">
        <v>205</v>
      </c>
      <c r="B99" s="83" t="s">
        <v>539</v>
      </c>
      <c r="C99" s="83" t="s">
        <v>164</v>
      </c>
      <c r="D99" s="112"/>
      <c r="E99" s="83">
        <v>1178819.0</v>
      </c>
      <c r="F99" s="83"/>
      <c r="G99" s="187" t="s">
        <v>2342</v>
      </c>
      <c r="H99" s="287">
        <v>45754.0</v>
      </c>
      <c r="I99" s="98" t="s">
        <v>2311</v>
      </c>
      <c r="J99" s="119"/>
      <c r="K99" s="271"/>
      <c r="L99" s="271"/>
      <c r="M99" s="271"/>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c r="AN99" s="271"/>
      <c r="AO99" s="271"/>
      <c r="AP99" s="271"/>
      <c r="AQ99" s="271"/>
      <c r="AR99" s="271"/>
      <c r="AS99" s="271"/>
      <c r="AT99" s="271"/>
      <c r="AU99" s="271"/>
      <c r="AV99" s="271"/>
      <c r="AW99" s="271"/>
      <c r="AX99" s="271"/>
      <c r="AY99" s="271"/>
      <c r="AZ99" s="271"/>
      <c r="BA99" s="271"/>
      <c r="BB99" s="271"/>
      <c r="BC99" s="271"/>
      <c r="BD99" s="271"/>
      <c r="BE99" s="271"/>
      <c r="BF99" s="271"/>
      <c r="BG99" s="271"/>
      <c r="BH99" s="271"/>
      <c r="BI99" s="271"/>
      <c r="BJ99" s="271"/>
    </row>
    <row r="100">
      <c r="A100" s="111" t="s">
        <v>1224</v>
      </c>
      <c r="B100" s="83" t="s">
        <v>2000</v>
      </c>
      <c r="C100" s="83" t="s">
        <v>164</v>
      </c>
      <c r="D100" s="112"/>
      <c r="E100" s="83">
        <v>1178327.0</v>
      </c>
      <c r="F100" s="83"/>
      <c r="G100" s="119" t="s">
        <v>2343</v>
      </c>
      <c r="H100" s="287">
        <v>45769.0</v>
      </c>
      <c r="I100" s="98" t="s">
        <v>2311</v>
      </c>
      <c r="J100" s="119"/>
      <c r="K100" s="271"/>
      <c r="L100" s="271"/>
      <c r="M100" s="271"/>
      <c r="N100" s="271"/>
      <c r="O100" s="271"/>
      <c r="P100" s="271"/>
      <c r="Q100" s="271"/>
      <c r="R100" s="271"/>
      <c r="S100" s="271"/>
      <c r="T100" s="271"/>
      <c r="U100" s="271"/>
      <c r="V100" s="271"/>
      <c r="W100" s="271"/>
      <c r="X100" s="271"/>
      <c r="Y100" s="271"/>
      <c r="Z100" s="271"/>
      <c r="AA100" s="271"/>
      <c r="AB100" s="271"/>
      <c r="AC100" s="271"/>
      <c r="AD100" s="271"/>
      <c r="AE100" s="271"/>
      <c r="AF100" s="271"/>
      <c r="AG100" s="271"/>
      <c r="AH100" s="271"/>
      <c r="AI100" s="271"/>
      <c r="AJ100" s="271"/>
      <c r="AK100" s="271"/>
      <c r="AL100" s="271"/>
      <c r="AM100" s="271"/>
      <c r="AN100" s="271"/>
      <c r="AO100" s="271"/>
      <c r="AP100" s="271"/>
      <c r="AQ100" s="271"/>
      <c r="AR100" s="271"/>
      <c r="AS100" s="271"/>
      <c r="AT100" s="271"/>
      <c r="AU100" s="271"/>
      <c r="AV100" s="271"/>
      <c r="AW100" s="271"/>
      <c r="AX100" s="271"/>
      <c r="AY100" s="271"/>
      <c r="AZ100" s="271"/>
      <c r="BA100" s="271"/>
      <c r="BB100" s="271"/>
      <c r="BC100" s="271"/>
      <c r="BD100" s="271"/>
      <c r="BE100" s="271"/>
      <c r="BF100" s="271"/>
      <c r="BG100" s="271"/>
      <c r="BH100" s="271"/>
      <c r="BI100" s="271"/>
      <c r="BJ100" s="271"/>
    </row>
    <row r="101">
      <c r="A101" s="111" t="s">
        <v>1161</v>
      </c>
      <c r="B101" s="83" t="s">
        <v>2347</v>
      </c>
      <c r="C101" s="83" t="s">
        <v>164</v>
      </c>
      <c r="D101" s="112"/>
      <c r="E101" s="83">
        <v>1178717.0</v>
      </c>
      <c r="F101" s="83"/>
      <c r="G101" s="114" t="s">
        <v>2348</v>
      </c>
      <c r="H101" s="287">
        <v>45769.0</v>
      </c>
      <c r="I101" s="98" t="s">
        <v>2311</v>
      </c>
      <c r="J101" s="119"/>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271"/>
      <c r="BC101" s="271"/>
      <c r="BD101" s="271"/>
      <c r="BE101" s="271"/>
      <c r="BF101" s="271"/>
      <c r="BG101" s="271"/>
      <c r="BH101" s="271"/>
      <c r="BI101" s="271"/>
      <c r="BJ101" s="271"/>
    </row>
    <row r="102">
      <c r="A102" s="111" t="s">
        <v>1393</v>
      </c>
      <c r="B102" s="83" t="s">
        <v>2349</v>
      </c>
      <c r="C102" s="83" t="s">
        <v>164</v>
      </c>
      <c r="D102" s="112"/>
      <c r="E102" s="83">
        <v>1178766.0</v>
      </c>
      <c r="F102" s="83"/>
      <c r="G102" s="119" t="s">
        <v>2350</v>
      </c>
      <c r="H102" s="287">
        <v>45769.0</v>
      </c>
      <c r="I102" s="98" t="s">
        <v>2311</v>
      </c>
      <c r="J102" s="119"/>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c r="AL102" s="271"/>
      <c r="AM102" s="271"/>
      <c r="AN102" s="271"/>
      <c r="AO102" s="271"/>
      <c r="AP102" s="271"/>
      <c r="AQ102" s="271"/>
      <c r="AR102" s="271"/>
      <c r="AS102" s="271"/>
      <c r="AT102" s="271"/>
      <c r="AU102" s="271"/>
      <c r="AV102" s="271"/>
      <c r="AW102" s="271"/>
      <c r="AX102" s="271"/>
      <c r="AY102" s="271"/>
      <c r="AZ102" s="271"/>
      <c r="BA102" s="271"/>
      <c r="BB102" s="271"/>
      <c r="BC102" s="271"/>
      <c r="BD102" s="271"/>
      <c r="BE102" s="271"/>
      <c r="BF102" s="271"/>
      <c r="BG102" s="271"/>
      <c r="BH102" s="271"/>
      <c r="BI102" s="271"/>
      <c r="BJ102" s="271"/>
    </row>
    <row r="103">
      <c r="A103" s="111" t="s">
        <v>130</v>
      </c>
      <c r="B103" s="83" t="s">
        <v>146</v>
      </c>
      <c r="C103" s="83" t="s">
        <v>164</v>
      </c>
      <c r="D103" s="112"/>
      <c r="E103" s="83">
        <v>1178786.0</v>
      </c>
      <c r="F103" s="83"/>
      <c r="G103" s="114" t="s">
        <v>2351</v>
      </c>
      <c r="H103" s="287">
        <v>45769.0</v>
      </c>
      <c r="I103" s="98" t="s">
        <v>2311</v>
      </c>
      <c r="J103" s="119"/>
      <c r="K103" s="271"/>
      <c r="L103" s="271"/>
      <c r="M103" s="271"/>
      <c r="N103" s="271"/>
      <c r="O103" s="271"/>
      <c r="P103" s="271"/>
      <c r="Q103" s="271"/>
      <c r="R103" s="271"/>
      <c r="S103" s="271"/>
      <c r="T103" s="271"/>
      <c r="U103" s="271"/>
      <c r="V103" s="271"/>
      <c r="W103" s="271"/>
      <c r="X103" s="271"/>
      <c r="Y103" s="271"/>
      <c r="Z103" s="271"/>
      <c r="AA103" s="271"/>
      <c r="AB103" s="271"/>
      <c r="AC103" s="271"/>
      <c r="AD103" s="271"/>
      <c r="AE103" s="271"/>
      <c r="AF103" s="271"/>
      <c r="AG103" s="271"/>
      <c r="AH103" s="271"/>
      <c r="AI103" s="271"/>
      <c r="AJ103" s="271"/>
      <c r="AK103" s="271"/>
      <c r="AL103" s="271"/>
      <c r="AM103" s="271"/>
      <c r="AN103" s="271"/>
      <c r="AO103" s="271"/>
      <c r="AP103" s="271"/>
      <c r="AQ103" s="271"/>
      <c r="AR103" s="271"/>
      <c r="AS103" s="271"/>
      <c r="AT103" s="271"/>
      <c r="AU103" s="271"/>
      <c r="AV103" s="271"/>
      <c r="AW103" s="271"/>
      <c r="AX103" s="271"/>
      <c r="AY103" s="271"/>
      <c r="AZ103" s="271"/>
      <c r="BA103" s="271"/>
      <c r="BB103" s="271"/>
      <c r="BC103" s="271"/>
      <c r="BD103" s="271"/>
      <c r="BE103" s="271"/>
      <c r="BF103" s="271"/>
      <c r="BG103" s="271"/>
      <c r="BH103" s="271"/>
      <c r="BI103" s="271"/>
      <c r="BJ103" s="271"/>
    </row>
    <row r="104">
      <c r="A104" s="111" t="s">
        <v>1393</v>
      </c>
      <c r="B104" s="83" t="s">
        <v>2352</v>
      </c>
      <c r="C104" s="83" t="s">
        <v>164</v>
      </c>
      <c r="D104" s="112"/>
      <c r="E104" s="83">
        <v>1179449.0</v>
      </c>
      <c r="F104" s="83"/>
      <c r="G104" s="184" t="s">
        <v>2353</v>
      </c>
      <c r="H104" s="287">
        <v>45769.0</v>
      </c>
      <c r="I104" s="98" t="s">
        <v>2311</v>
      </c>
      <c r="J104" s="119"/>
      <c r="K104" s="271"/>
      <c r="L104" s="271"/>
      <c r="M104" s="271"/>
      <c r="N104" s="271"/>
      <c r="O104" s="271"/>
      <c r="P104" s="271"/>
      <c r="Q104" s="271"/>
      <c r="R104" s="271"/>
      <c r="S104" s="271"/>
      <c r="T104" s="271"/>
      <c r="U104" s="271"/>
      <c r="V104" s="271"/>
      <c r="W104" s="271"/>
      <c r="X104" s="271"/>
      <c r="Y104" s="271"/>
      <c r="Z104" s="271"/>
      <c r="AA104" s="271"/>
      <c r="AB104" s="271"/>
      <c r="AC104" s="271"/>
      <c r="AD104" s="271"/>
      <c r="AE104" s="271"/>
      <c r="AF104" s="271"/>
      <c r="AG104" s="271"/>
      <c r="AH104" s="271"/>
      <c r="AI104" s="271"/>
      <c r="AJ104" s="271"/>
      <c r="AK104" s="271"/>
      <c r="AL104" s="271"/>
      <c r="AM104" s="271"/>
      <c r="AN104" s="271"/>
      <c r="AO104" s="271"/>
      <c r="AP104" s="271"/>
      <c r="AQ104" s="271"/>
      <c r="AR104" s="271"/>
      <c r="AS104" s="271"/>
      <c r="AT104" s="271"/>
      <c r="AU104" s="271"/>
      <c r="AV104" s="271"/>
      <c r="AW104" s="271"/>
      <c r="AX104" s="271"/>
      <c r="AY104" s="271"/>
      <c r="AZ104" s="271"/>
      <c r="BA104" s="271"/>
      <c r="BB104" s="271"/>
      <c r="BC104" s="271"/>
      <c r="BD104" s="271"/>
      <c r="BE104" s="271"/>
      <c r="BF104" s="271"/>
      <c r="BG104" s="271"/>
      <c r="BH104" s="271"/>
      <c r="BI104" s="271"/>
      <c r="BJ104" s="271"/>
    </row>
    <row r="105">
      <c r="A105" s="111" t="s">
        <v>1393</v>
      </c>
      <c r="B105" s="83" t="s">
        <v>2282</v>
      </c>
      <c r="C105" s="83" t="s">
        <v>164</v>
      </c>
      <c r="D105" s="112"/>
      <c r="E105" s="83">
        <v>1179474.0</v>
      </c>
      <c r="F105" s="291"/>
      <c r="G105" s="292" t="s">
        <v>2356</v>
      </c>
      <c r="H105" s="287">
        <v>45769.0</v>
      </c>
      <c r="I105" s="98" t="s">
        <v>2311</v>
      </c>
      <c r="J105" s="119"/>
      <c r="K105" s="271"/>
      <c r="L105" s="271"/>
      <c r="M105" s="271"/>
      <c r="N105" s="271"/>
      <c r="O105" s="271"/>
      <c r="P105" s="271"/>
      <c r="Q105" s="271"/>
      <c r="R105" s="271"/>
      <c r="S105" s="271"/>
      <c r="T105" s="271"/>
      <c r="U105" s="271"/>
      <c r="V105" s="271"/>
      <c r="W105" s="271"/>
      <c r="X105" s="271"/>
      <c r="Y105" s="271"/>
      <c r="Z105" s="271"/>
      <c r="AA105" s="271"/>
      <c r="AB105" s="271"/>
      <c r="AC105" s="271"/>
      <c r="AD105" s="271"/>
      <c r="AE105" s="271"/>
      <c r="AF105" s="271"/>
      <c r="AG105" s="271"/>
      <c r="AH105" s="271"/>
      <c r="AI105" s="271"/>
      <c r="AJ105" s="271"/>
      <c r="AK105" s="271"/>
      <c r="AL105" s="271"/>
      <c r="AM105" s="271"/>
      <c r="AN105" s="271"/>
      <c r="AO105" s="271"/>
      <c r="AP105" s="271"/>
      <c r="AQ105" s="271"/>
      <c r="AR105" s="271"/>
      <c r="AS105" s="271"/>
      <c r="AT105" s="271"/>
      <c r="AU105" s="271"/>
      <c r="AV105" s="271"/>
      <c r="AW105" s="271"/>
      <c r="AX105" s="271"/>
      <c r="AY105" s="271"/>
      <c r="AZ105" s="271"/>
      <c r="BA105" s="271"/>
      <c r="BB105" s="271"/>
      <c r="BC105" s="271"/>
      <c r="BD105" s="271"/>
      <c r="BE105" s="271"/>
      <c r="BF105" s="271"/>
      <c r="BG105" s="271"/>
      <c r="BH105" s="271"/>
      <c r="BI105" s="271"/>
      <c r="BJ105" s="271"/>
    </row>
    <row r="106">
      <c r="A106" s="111" t="s">
        <v>540</v>
      </c>
      <c r="B106" s="83" t="s">
        <v>1822</v>
      </c>
      <c r="C106" s="83" t="s">
        <v>164</v>
      </c>
      <c r="D106" s="112"/>
      <c r="E106" s="98">
        <v>1179777.0</v>
      </c>
      <c r="F106" s="83"/>
      <c r="G106" s="119" t="s">
        <v>2360</v>
      </c>
      <c r="H106" s="287">
        <v>45769.0</v>
      </c>
      <c r="I106" s="98" t="s">
        <v>2311</v>
      </c>
      <c r="J106" s="119"/>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1"/>
      <c r="AN106" s="271"/>
      <c r="AO106" s="271"/>
      <c r="AP106" s="271"/>
      <c r="AQ106" s="271"/>
      <c r="AR106" s="271"/>
      <c r="AS106" s="271"/>
      <c r="AT106" s="271"/>
      <c r="AU106" s="271"/>
      <c r="AV106" s="271"/>
      <c r="AW106" s="271"/>
      <c r="AX106" s="271"/>
      <c r="AY106" s="271"/>
      <c r="AZ106" s="271"/>
      <c r="BA106" s="271"/>
      <c r="BB106" s="271"/>
      <c r="BC106" s="271"/>
      <c r="BD106" s="271"/>
      <c r="BE106" s="271"/>
      <c r="BF106" s="271"/>
      <c r="BG106" s="271"/>
      <c r="BH106" s="271"/>
      <c r="BI106" s="271"/>
      <c r="BJ106" s="271"/>
    </row>
    <row r="107">
      <c r="A107" s="111" t="s">
        <v>1785</v>
      </c>
      <c r="B107" s="83" t="s">
        <v>2361</v>
      </c>
      <c r="C107" s="83" t="s">
        <v>164</v>
      </c>
      <c r="D107" s="112"/>
      <c r="E107" s="83">
        <v>1179068.0</v>
      </c>
      <c r="F107" s="83"/>
      <c r="G107" s="244" t="s">
        <v>2362</v>
      </c>
      <c r="H107" s="287">
        <v>45796.0</v>
      </c>
      <c r="I107" s="98" t="s">
        <v>2311</v>
      </c>
      <c r="J107" s="119"/>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1"/>
      <c r="BJ107" s="271"/>
    </row>
    <row r="108">
      <c r="A108" s="111" t="s">
        <v>451</v>
      </c>
      <c r="B108" s="83" t="s">
        <v>1423</v>
      </c>
      <c r="C108" s="83" t="s">
        <v>164</v>
      </c>
      <c r="D108" s="112"/>
      <c r="E108" s="83">
        <v>1179054.0</v>
      </c>
      <c r="F108" s="83"/>
      <c r="G108" s="114" t="s">
        <v>2363</v>
      </c>
      <c r="H108" s="287">
        <v>45804.0</v>
      </c>
      <c r="I108" s="98" t="s">
        <v>2311</v>
      </c>
      <c r="J108" s="119"/>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271"/>
      <c r="BC108" s="271"/>
      <c r="BD108" s="271"/>
      <c r="BE108" s="271"/>
      <c r="BF108" s="271"/>
      <c r="BG108" s="271"/>
      <c r="BH108" s="271"/>
      <c r="BI108" s="271"/>
      <c r="BJ108" s="271"/>
    </row>
    <row r="109">
      <c r="A109" s="111" t="s">
        <v>130</v>
      </c>
      <c r="B109" s="83" t="s">
        <v>210</v>
      </c>
      <c r="C109" s="83" t="s">
        <v>164</v>
      </c>
      <c r="D109" s="112"/>
      <c r="E109" s="98">
        <v>1179817.0</v>
      </c>
      <c r="F109" s="83"/>
      <c r="G109" s="119" t="s">
        <v>2365</v>
      </c>
      <c r="H109" s="287">
        <v>45817.0</v>
      </c>
      <c r="I109" s="98" t="s">
        <v>2311</v>
      </c>
      <c r="J109" s="119"/>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271"/>
      <c r="AG109" s="271"/>
      <c r="AH109" s="271"/>
      <c r="AI109" s="271"/>
      <c r="AJ109" s="271"/>
      <c r="AK109" s="271"/>
      <c r="AL109" s="271"/>
      <c r="AM109" s="271"/>
      <c r="AN109" s="271"/>
      <c r="AO109" s="271"/>
      <c r="AP109" s="271"/>
      <c r="AQ109" s="271"/>
      <c r="AR109" s="271"/>
      <c r="AS109" s="271"/>
      <c r="AT109" s="271"/>
      <c r="AU109" s="271"/>
      <c r="AV109" s="271"/>
      <c r="AW109" s="271"/>
      <c r="AX109" s="271"/>
      <c r="AY109" s="271"/>
      <c r="AZ109" s="271"/>
      <c r="BA109" s="271"/>
      <c r="BB109" s="271"/>
      <c r="BC109" s="271"/>
      <c r="BD109" s="271"/>
      <c r="BE109" s="271"/>
      <c r="BF109" s="271"/>
      <c r="BG109" s="271"/>
      <c r="BH109" s="271"/>
      <c r="BI109" s="271"/>
      <c r="BJ109" s="271"/>
    </row>
    <row r="110">
      <c r="A110" s="111" t="s">
        <v>1535</v>
      </c>
      <c r="B110" s="83" t="s">
        <v>2366</v>
      </c>
      <c r="C110" s="83" t="s">
        <v>164</v>
      </c>
      <c r="D110" s="208"/>
      <c r="E110" s="212">
        <v>1179819.0</v>
      </c>
      <c r="F110" s="83"/>
      <c r="G110" s="293" t="s">
        <v>2371</v>
      </c>
      <c r="H110" s="287">
        <v>45824.0</v>
      </c>
      <c r="I110" s="98" t="s">
        <v>2311</v>
      </c>
      <c r="J110" s="119"/>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1"/>
      <c r="AI110" s="271"/>
      <c r="AJ110" s="271"/>
      <c r="AK110" s="271"/>
      <c r="AL110" s="271"/>
      <c r="AM110" s="271"/>
      <c r="AN110" s="271"/>
      <c r="AO110" s="271"/>
      <c r="AP110" s="271"/>
      <c r="AQ110" s="271"/>
      <c r="AR110" s="271"/>
      <c r="AS110" s="271"/>
      <c r="AT110" s="271"/>
      <c r="AU110" s="271"/>
      <c r="AV110" s="271"/>
      <c r="AW110" s="271"/>
      <c r="AX110" s="271"/>
      <c r="AY110" s="271"/>
      <c r="AZ110" s="271"/>
      <c r="BA110" s="271"/>
      <c r="BB110" s="271"/>
      <c r="BC110" s="271"/>
      <c r="BD110" s="271"/>
      <c r="BE110" s="271"/>
      <c r="BF110" s="271"/>
      <c r="BG110" s="271"/>
      <c r="BH110" s="271"/>
      <c r="BI110" s="271"/>
      <c r="BJ110" s="271"/>
    </row>
    <row r="111">
      <c r="A111" s="111" t="s">
        <v>860</v>
      </c>
      <c r="B111" s="83" t="s">
        <v>2372</v>
      </c>
      <c r="C111" s="83" t="s">
        <v>164</v>
      </c>
      <c r="D111" s="112"/>
      <c r="E111" s="83">
        <v>1178894.0</v>
      </c>
      <c r="F111" s="83"/>
      <c r="G111" s="114" t="s">
        <v>2373</v>
      </c>
      <c r="H111" s="287">
        <v>45839.0</v>
      </c>
      <c r="I111" s="98" t="s">
        <v>2311</v>
      </c>
      <c r="J111" s="119"/>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271"/>
      <c r="AG111" s="271"/>
      <c r="AH111" s="271"/>
      <c r="AI111" s="271"/>
      <c r="AJ111" s="271"/>
      <c r="AK111" s="271"/>
      <c r="AL111" s="271"/>
      <c r="AM111" s="271"/>
      <c r="AN111" s="271"/>
      <c r="AO111" s="271"/>
      <c r="AP111" s="271"/>
      <c r="AQ111" s="271"/>
      <c r="AR111" s="271"/>
      <c r="AS111" s="271"/>
      <c r="AT111" s="271"/>
      <c r="AU111" s="271"/>
      <c r="AV111" s="271"/>
      <c r="AW111" s="271"/>
      <c r="AX111" s="271"/>
      <c r="AY111" s="271"/>
      <c r="AZ111" s="271"/>
      <c r="BA111" s="271"/>
      <c r="BB111" s="271"/>
      <c r="BC111" s="271"/>
      <c r="BD111" s="271"/>
      <c r="BE111" s="271"/>
      <c r="BF111" s="271"/>
      <c r="BG111" s="271"/>
      <c r="BH111" s="271"/>
      <c r="BI111" s="271"/>
      <c r="BJ111" s="271"/>
    </row>
    <row r="112">
      <c r="A112" s="111" t="s">
        <v>796</v>
      </c>
      <c r="B112" s="83" t="s">
        <v>2234</v>
      </c>
      <c r="C112" s="83" t="s">
        <v>68</v>
      </c>
      <c r="D112" s="112">
        <v>1120990.0</v>
      </c>
      <c r="E112" s="83"/>
      <c r="F112" s="83">
        <v>2.9031761E7</v>
      </c>
      <c r="G112" s="114" t="s">
        <v>2374</v>
      </c>
      <c r="H112" s="287">
        <v>45854.0</v>
      </c>
      <c r="I112" s="98" t="s">
        <v>2073</v>
      </c>
      <c r="J112" s="119" t="s">
        <v>2376</v>
      </c>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1"/>
      <c r="AI112" s="271"/>
      <c r="AJ112" s="271"/>
      <c r="AK112" s="271"/>
      <c r="AL112" s="271"/>
      <c r="AM112" s="271"/>
      <c r="AN112" s="271"/>
      <c r="AO112" s="271"/>
      <c r="AP112" s="271"/>
      <c r="AQ112" s="271"/>
      <c r="AR112" s="271"/>
      <c r="AS112" s="271"/>
      <c r="AT112" s="271"/>
      <c r="AU112" s="271"/>
      <c r="AV112" s="271"/>
      <c r="AW112" s="271"/>
      <c r="AX112" s="271"/>
      <c r="AY112" s="271"/>
      <c r="AZ112" s="271"/>
      <c r="BA112" s="271"/>
      <c r="BB112" s="271"/>
      <c r="BC112" s="271"/>
      <c r="BD112" s="271"/>
      <c r="BE112" s="271"/>
      <c r="BF112" s="271"/>
      <c r="BG112" s="271"/>
      <c r="BH112" s="271"/>
      <c r="BI112" s="271"/>
      <c r="BJ112" s="271"/>
    </row>
    <row r="113">
      <c r="A113" s="111" t="s">
        <v>1785</v>
      </c>
      <c r="B113" s="83" t="s">
        <v>2378</v>
      </c>
      <c r="C113" s="83" t="s">
        <v>68</v>
      </c>
      <c r="D113" s="84">
        <v>1134177.0</v>
      </c>
      <c r="E113" s="83"/>
      <c r="F113" s="83">
        <v>2.9159644E7</v>
      </c>
      <c r="G113" s="114" t="s">
        <v>2379</v>
      </c>
      <c r="H113" s="287">
        <v>45854.0</v>
      </c>
      <c r="I113" s="98" t="s">
        <v>2073</v>
      </c>
      <c r="J113" s="119" t="s">
        <v>2380</v>
      </c>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271"/>
      <c r="AG113" s="271"/>
      <c r="AH113" s="271"/>
      <c r="AI113" s="271"/>
      <c r="AJ113" s="271"/>
      <c r="AK113" s="271"/>
      <c r="AL113" s="271"/>
      <c r="AM113" s="271"/>
      <c r="AN113" s="271"/>
      <c r="AO113" s="271"/>
      <c r="AP113" s="271"/>
      <c r="AQ113" s="271"/>
      <c r="AR113" s="271"/>
      <c r="AS113" s="271"/>
      <c r="AT113" s="271"/>
      <c r="AU113" s="271"/>
      <c r="AV113" s="271"/>
      <c r="AW113" s="271"/>
      <c r="AX113" s="271"/>
      <c r="AY113" s="271"/>
      <c r="AZ113" s="271"/>
      <c r="BA113" s="271"/>
      <c r="BB113" s="271"/>
      <c r="BC113" s="271"/>
      <c r="BD113" s="271"/>
      <c r="BE113" s="271"/>
      <c r="BF113" s="271"/>
      <c r="BG113" s="271"/>
      <c r="BH113" s="271"/>
      <c r="BI113" s="271"/>
      <c r="BJ113" s="271"/>
    </row>
    <row r="114">
      <c r="A114" s="111" t="s">
        <v>1629</v>
      </c>
      <c r="B114" s="83" t="s">
        <v>2381</v>
      </c>
      <c r="C114" s="83" t="s">
        <v>164</v>
      </c>
      <c r="D114" s="112">
        <v>1179203.0</v>
      </c>
      <c r="E114" s="83">
        <v>1179593.0</v>
      </c>
      <c r="F114" s="83"/>
      <c r="G114" s="114" t="s">
        <v>2382</v>
      </c>
      <c r="H114" s="287">
        <v>45854.0</v>
      </c>
      <c r="I114" s="98" t="s">
        <v>2311</v>
      </c>
      <c r="J114" s="119"/>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1"/>
      <c r="AI114" s="271"/>
      <c r="AJ114" s="271"/>
      <c r="AK114" s="271"/>
      <c r="AL114" s="271"/>
      <c r="AM114" s="271"/>
      <c r="AN114" s="271"/>
      <c r="AO114" s="271"/>
      <c r="AP114" s="271"/>
      <c r="AQ114" s="271"/>
      <c r="AR114" s="271"/>
      <c r="AS114" s="271"/>
      <c r="AT114" s="271"/>
      <c r="AU114" s="271"/>
      <c r="AV114" s="271"/>
      <c r="AW114" s="271"/>
      <c r="AX114" s="271"/>
      <c r="AY114" s="271"/>
      <c r="AZ114" s="271"/>
      <c r="BA114" s="271"/>
      <c r="BB114" s="271"/>
      <c r="BC114" s="271"/>
      <c r="BD114" s="271"/>
      <c r="BE114" s="271"/>
      <c r="BF114" s="271"/>
      <c r="BG114" s="271"/>
      <c r="BH114" s="271"/>
      <c r="BI114" s="271"/>
      <c r="BJ114" s="271"/>
    </row>
    <row r="115">
      <c r="A115" s="111" t="s">
        <v>1842</v>
      </c>
      <c r="B115" s="83" t="s">
        <v>2383</v>
      </c>
      <c r="C115" s="83" t="s">
        <v>68</v>
      </c>
      <c r="D115" s="212">
        <v>1179818.0</v>
      </c>
      <c r="E115" s="189"/>
      <c r="F115" s="212">
        <v>44372.0</v>
      </c>
      <c r="G115" s="294" t="s">
        <v>2386</v>
      </c>
      <c r="H115" s="287">
        <v>45874.0</v>
      </c>
      <c r="I115" s="98" t="s">
        <v>2311</v>
      </c>
      <c r="J115" s="119"/>
      <c r="K115" s="271"/>
      <c r="L115" s="271"/>
      <c r="M115" s="271"/>
      <c r="N115" s="271"/>
      <c r="O115" s="271"/>
      <c r="P115" s="271"/>
      <c r="Q115" s="271"/>
      <c r="R115" s="271"/>
      <c r="S115" s="271"/>
      <c r="T115" s="271"/>
      <c r="U115" s="271"/>
      <c r="V115" s="271"/>
      <c r="W115" s="271"/>
      <c r="X115" s="271"/>
      <c r="Y115" s="271"/>
      <c r="Z115" s="271"/>
      <c r="AA115" s="271"/>
      <c r="AB115" s="271"/>
      <c r="AC115" s="271"/>
      <c r="AD115" s="271"/>
      <c r="AE115" s="271"/>
      <c r="AF115" s="271"/>
      <c r="AG115" s="271"/>
      <c r="AH115" s="271"/>
      <c r="AI115" s="271"/>
      <c r="AJ115" s="271"/>
      <c r="AK115" s="271"/>
      <c r="AL115" s="271"/>
      <c r="AM115" s="271"/>
      <c r="AN115" s="271"/>
      <c r="AO115" s="271"/>
      <c r="AP115" s="271"/>
      <c r="AQ115" s="271"/>
      <c r="AR115" s="271"/>
      <c r="AS115" s="271"/>
      <c r="AT115" s="271"/>
      <c r="AU115" s="271"/>
      <c r="AV115" s="271"/>
      <c r="AW115" s="271"/>
      <c r="AX115" s="271"/>
      <c r="AY115" s="271"/>
      <c r="AZ115" s="271"/>
      <c r="BA115" s="271"/>
      <c r="BB115" s="271"/>
      <c r="BC115" s="271"/>
      <c r="BD115" s="271"/>
      <c r="BE115" s="271"/>
      <c r="BF115" s="271"/>
      <c r="BG115" s="271"/>
      <c r="BH115" s="271"/>
      <c r="BI115" s="271"/>
      <c r="BJ115" s="271"/>
    </row>
    <row r="116">
      <c r="A116" s="111" t="s">
        <v>383</v>
      </c>
      <c r="B116" s="83" t="s">
        <v>1066</v>
      </c>
      <c r="C116" s="83" t="s">
        <v>68</v>
      </c>
      <c r="D116" s="112">
        <v>1178114.0</v>
      </c>
      <c r="E116" s="83"/>
      <c r="F116" s="83">
        <v>2.941788E7</v>
      </c>
      <c r="G116" s="187" t="s">
        <v>2387</v>
      </c>
      <c r="H116" s="287">
        <v>45874.0</v>
      </c>
      <c r="I116" s="98" t="s">
        <v>2311</v>
      </c>
      <c r="J116" s="119" t="s">
        <v>2388</v>
      </c>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271"/>
      <c r="BC116" s="271"/>
      <c r="BD116" s="271"/>
      <c r="BE116" s="271"/>
      <c r="BF116" s="271"/>
      <c r="BG116" s="271"/>
      <c r="BH116" s="271"/>
      <c r="BI116" s="271"/>
      <c r="BJ116" s="271"/>
    </row>
    <row r="117">
      <c r="A117" s="111" t="s">
        <v>130</v>
      </c>
      <c r="B117" s="136" t="s">
        <v>271</v>
      </c>
      <c r="C117" s="83" t="s">
        <v>68</v>
      </c>
      <c r="D117" s="112">
        <v>1179782.0</v>
      </c>
      <c r="E117" s="83"/>
      <c r="F117" s="83"/>
      <c r="G117" s="119" t="s">
        <v>2389</v>
      </c>
      <c r="H117" s="287">
        <v>45910.0</v>
      </c>
      <c r="I117" s="98" t="s">
        <v>2311</v>
      </c>
      <c r="J117" s="119"/>
      <c r="K117" s="271"/>
      <c r="L117" s="271"/>
      <c r="M117" s="271"/>
      <c r="N117" s="271"/>
      <c r="O117" s="271"/>
      <c r="P117" s="271"/>
      <c r="Q117" s="271"/>
      <c r="R117" s="271"/>
      <c r="S117" s="271"/>
      <c r="T117" s="271"/>
      <c r="U117" s="271"/>
      <c r="V117" s="271"/>
      <c r="W117" s="271"/>
      <c r="X117" s="271"/>
      <c r="Y117" s="271"/>
      <c r="Z117" s="271"/>
      <c r="AA117" s="271"/>
      <c r="AB117" s="271"/>
      <c r="AC117" s="271"/>
      <c r="AD117" s="271"/>
      <c r="AE117" s="271"/>
      <c r="AF117" s="271"/>
      <c r="AG117" s="271"/>
      <c r="AH117" s="271"/>
      <c r="AI117" s="271"/>
      <c r="AJ117" s="271"/>
      <c r="AK117" s="271"/>
      <c r="AL117" s="271"/>
      <c r="AM117" s="271"/>
      <c r="AN117" s="271"/>
      <c r="AO117" s="271"/>
      <c r="AP117" s="271"/>
      <c r="AQ117" s="271"/>
      <c r="AR117" s="271"/>
      <c r="AS117" s="271"/>
      <c r="AT117" s="271"/>
      <c r="AU117" s="271"/>
      <c r="AV117" s="271"/>
      <c r="AW117" s="271"/>
      <c r="AX117" s="271"/>
      <c r="AY117" s="271"/>
      <c r="AZ117" s="271"/>
      <c r="BA117" s="271"/>
      <c r="BB117" s="271"/>
      <c r="BC117" s="271"/>
      <c r="BD117" s="271"/>
      <c r="BE117" s="271"/>
      <c r="BF117" s="271"/>
      <c r="BG117" s="271"/>
      <c r="BH117" s="271"/>
      <c r="BI117" s="271"/>
      <c r="BJ117" s="271"/>
    </row>
    <row r="118">
      <c r="A118" s="127" t="s">
        <v>285</v>
      </c>
      <c r="B118" s="83" t="s">
        <v>1009</v>
      </c>
      <c r="C118" s="83" t="s">
        <v>68</v>
      </c>
      <c r="D118" s="98">
        <v>1179784.0</v>
      </c>
      <c r="E118" s="83"/>
      <c r="F118" s="98">
        <v>44171.0</v>
      </c>
      <c r="G118" s="147" t="s">
        <v>2392</v>
      </c>
      <c r="H118" s="287">
        <v>45910.0</v>
      </c>
      <c r="I118" s="98" t="s">
        <v>2311</v>
      </c>
      <c r="J118" s="119"/>
      <c r="K118" s="271"/>
      <c r="L118" s="271"/>
      <c r="M118" s="271"/>
      <c r="N118" s="271"/>
      <c r="O118" s="271"/>
      <c r="P118" s="271"/>
      <c r="Q118" s="271"/>
      <c r="R118" s="271"/>
      <c r="S118" s="271"/>
      <c r="T118" s="271"/>
      <c r="U118" s="271"/>
      <c r="V118" s="271"/>
      <c r="W118" s="271"/>
      <c r="X118" s="271"/>
      <c r="Y118" s="271"/>
      <c r="Z118" s="271"/>
      <c r="AA118" s="271"/>
      <c r="AB118" s="271"/>
      <c r="AC118" s="271"/>
      <c r="AD118" s="271"/>
      <c r="AE118" s="271"/>
      <c r="AF118" s="271"/>
      <c r="AG118" s="271"/>
      <c r="AH118" s="271"/>
      <c r="AI118" s="271"/>
      <c r="AJ118" s="271"/>
      <c r="AK118" s="271"/>
      <c r="AL118" s="271"/>
      <c r="AM118" s="271"/>
      <c r="AN118" s="271"/>
      <c r="AO118" s="271"/>
      <c r="AP118" s="271"/>
      <c r="AQ118" s="271"/>
      <c r="AR118" s="271"/>
      <c r="AS118" s="271"/>
      <c r="AT118" s="271"/>
      <c r="AU118" s="271"/>
      <c r="AV118" s="271"/>
      <c r="AW118" s="271"/>
      <c r="AX118" s="271"/>
      <c r="AY118" s="271"/>
      <c r="AZ118" s="271"/>
      <c r="BA118" s="271"/>
      <c r="BB118" s="271"/>
      <c r="BC118" s="271"/>
      <c r="BD118" s="271"/>
      <c r="BE118" s="271"/>
      <c r="BF118" s="271"/>
      <c r="BG118" s="271"/>
      <c r="BH118" s="271"/>
      <c r="BI118" s="271"/>
      <c r="BJ118" s="271"/>
    </row>
    <row r="119">
      <c r="A119" s="127" t="s">
        <v>383</v>
      </c>
      <c r="B119" s="98" t="s">
        <v>1270</v>
      </c>
      <c r="C119" s="83" t="s">
        <v>68</v>
      </c>
      <c r="D119" s="98">
        <v>1179785.0</v>
      </c>
      <c r="E119" s="83"/>
      <c r="F119" s="98">
        <v>44172.0</v>
      </c>
      <c r="G119" s="147" t="s">
        <v>2393</v>
      </c>
      <c r="H119" s="287">
        <v>45910.0</v>
      </c>
      <c r="I119" s="98" t="s">
        <v>2311</v>
      </c>
      <c r="J119" s="119"/>
      <c r="K119" s="271"/>
      <c r="L119" s="271"/>
      <c r="M119" s="271"/>
      <c r="N119" s="271"/>
      <c r="O119" s="271"/>
      <c r="P119" s="271"/>
      <c r="Q119" s="271"/>
      <c r="R119" s="271"/>
      <c r="S119" s="271"/>
      <c r="T119" s="271"/>
      <c r="U119" s="271"/>
      <c r="V119" s="271"/>
      <c r="W119" s="271"/>
      <c r="X119" s="271"/>
      <c r="Y119" s="271"/>
      <c r="Z119" s="271"/>
      <c r="AA119" s="271"/>
      <c r="AB119" s="271"/>
      <c r="AC119" s="271"/>
      <c r="AD119" s="271"/>
      <c r="AE119" s="271"/>
      <c r="AF119" s="271"/>
      <c r="AG119" s="271"/>
      <c r="AH119" s="271"/>
      <c r="AI119" s="271"/>
      <c r="AJ119" s="271"/>
      <c r="AK119" s="271"/>
      <c r="AL119" s="271"/>
      <c r="AM119" s="271"/>
      <c r="AN119" s="271"/>
      <c r="AO119" s="271"/>
      <c r="AP119" s="271"/>
      <c r="AQ119" s="271"/>
      <c r="AR119" s="271"/>
      <c r="AS119" s="271"/>
      <c r="AT119" s="271"/>
      <c r="AU119" s="271"/>
      <c r="AV119" s="271"/>
      <c r="AW119" s="271"/>
      <c r="AX119" s="271"/>
      <c r="AY119" s="271"/>
      <c r="AZ119" s="271"/>
      <c r="BA119" s="271"/>
      <c r="BB119" s="271"/>
      <c r="BC119" s="271"/>
      <c r="BD119" s="271"/>
      <c r="BE119" s="271"/>
      <c r="BF119" s="271"/>
      <c r="BG119" s="271"/>
      <c r="BH119" s="271"/>
      <c r="BI119" s="271"/>
      <c r="BJ119" s="271"/>
    </row>
    <row r="120">
      <c r="A120" s="127" t="s">
        <v>540</v>
      </c>
      <c r="B120" s="98" t="s">
        <v>1822</v>
      </c>
      <c r="C120" s="83" t="s">
        <v>68</v>
      </c>
      <c r="D120" s="98">
        <v>1179786.0</v>
      </c>
      <c r="E120" s="83"/>
      <c r="F120" s="98">
        <v>44173.0</v>
      </c>
      <c r="G120" s="147" t="s">
        <v>1848</v>
      </c>
      <c r="H120" s="287">
        <v>45910.0</v>
      </c>
      <c r="I120" s="98" t="s">
        <v>2311</v>
      </c>
      <c r="J120" s="119" t="s">
        <v>2396</v>
      </c>
      <c r="K120" s="271"/>
      <c r="L120" s="271"/>
      <c r="M120" s="271"/>
      <c r="N120" s="271"/>
      <c r="O120" s="271"/>
      <c r="P120" s="271"/>
      <c r="Q120" s="271"/>
      <c r="R120" s="271"/>
      <c r="S120" s="271"/>
      <c r="T120" s="271"/>
      <c r="U120" s="271"/>
      <c r="V120" s="271"/>
      <c r="W120" s="271"/>
      <c r="X120" s="271"/>
      <c r="Y120" s="271"/>
      <c r="Z120" s="271"/>
      <c r="AA120" s="271"/>
      <c r="AB120" s="271"/>
      <c r="AC120" s="271"/>
      <c r="AD120" s="271"/>
      <c r="AE120" s="271"/>
      <c r="AF120" s="271"/>
      <c r="AG120" s="271"/>
      <c r="AH120" s="271"/>
      <c r="AI120" s="271"/>
      <c r="AJ120" s="271"/>
      <c r="AK120" s="271"/>
      <c r="AL120" s="271"/>
      <c r="AM120" s="271"/>
      <c r="AN120" s="271"/>
      <c r="AO120" s="271"/>
      <c r="AP120" s="271"/>
      <c r="AQ120" s="271"/>
      <c r="AR120" s="271"/>
      <c r="AS120" s="271"/>
      <c r="AT120" s="271"/>
      <c r="AU120" s="271"/>
      <c r="AV120" s="271"/>
      <c r="AW120" s="271"/>
      <c r="AX120" s="271"/>
      <c r="AY120" s="271"/>
      <c r="AZ120" s="271"/>
      <c r="BA120" s="271"/>
      <c r="BB120" s="271"/>
      <c r="BC120" s="271"/>
      <c r="BD120" s="271"/>
      <c r="BE120" s="271"/>
      <c r="BF120" s="271"/>
      <c r="BG120" s="271"/>
      <c r="BH120" s="271"/>
      <c r="BI120" s="271"/>
      <c r="BJ120" s="271"/>
    </row>
    <row r="121">
      <c r="A121" s="111" t="s">
        <v>205</v>
      </c>
      <c r="B121" s="83" t="s">
        <v>472</v>
      </c>
      <c r="C121" s="83" t="s">
        <v>68</v>
      </c>
      <c r="D121" s="98">
        <v>1179783.0</v>
      </c>
      <c r="E121" s="83"/>
      <c r="F121" s="98">
        <v>44170.0</v>
      </c>
      <c r="G121" s="119" t="s">
        <v>2397</v>
      </c>
      <c r="H121" s="287">
        <v>45915.0</v>
      </c>
      <c r="I121" s="98" t="s">
        <v>2311</v>
      </c>
      <c r="J121" s="119"/>
      <c r="K121" s="271"/>
      <c r="L121" s="271"/>
      <c r="M121" s="271"/>
      <c r="N121" s="271"/>
      <c r="O121" s="271"/>
      <c r="P121" s="271"/>
      <c r="Q121" s="271"/>
      <c r="R121" s="271"/>
      <c r="S121" s="271"/>
      <c r="T121" s="271"/>
      <c r="U121" s="271"/>
      <c r="V121" s="271"/>
      <c r="W121" s="271"/>
      <c r="X121" s="271"/>
      <c r="Y121" s="271"/>
      <c r="Z121" s="271"/>
      <c r="AA121" s="271"/>
      <c r="AB121" s="271"/>
      <c r="AC121" s="271"/>
      <c r="AD121" s="271"/>
      <c r="AE121" s="271"/>
      <c r="AF121" s="271"/>
      <c r="AG121" s="271"/>
      <c r="AH121" s="271"/>
      <c r="AI121" s="271"/>
      <c r="AJ121" s="271"/>
      <c r="AK121" s="271"/>
      <c r="AL121" s="271"/>
      <c r="AM121" s="271"/>
      <c r="AN121" s="271"/>
      <c r="AO121" s="271"/>
      <c r="AP121" s="271"/>
      <c r="AQ121" s="271"/>
      <c r="AR121" s="271"/>
      <c r="AS121" s="271"/>
      <c r="AT121" s="271"/>
      <c r="AU121" s="271"/>
      <c r="AV121" s="271"/>
      <c r="AW121" s="271"/>
      <c r="AX121" s="271"/>
      <c r="AY121" s="271"/>
      <c r="AZ121" s="271"/>
      <c r="BA121" s="271"/>
      <c r="BB121" s="271"/>
      <c r="BC121" s="271"/>
      <c r="BD121" s="271"/>
      <c r="BE121" s="271"/>
      <c r="BF121" s="271"/>
      <c r="BG121" s="271"/>
      <c r="BH121" s="271"/>
      <c r="BI121" s="271"/>
      <c r="BJ121" s="271"/>
    </row>
    <row r="122">
      <c r="A122" s="111" t="s">
        <v>130</v>
      </c>
      <c r="B122" s="83" t="s">
        <v>271</v>
      </c>
      <c r="C122" s="83" t="s">
        <v>164</v>
      </c>
      <c r="D122" s="112"/>
      <c r="E122" s="83">
        <v>1178797.0</v>
      </c>
      <c r="F122" s="83"/>
      <c r="G122" s="114" t="s">
        <v>2399</v>
      </c>
      <c r="H122" s="295">
        <v>46055.0</v>
      </c>
      <c r="I122" s="98" t="s">
        <v>2311</v>
      </c>
      <c r="J122" s="119"/>
      <c r="K122" s="271"/>
      <c r="L122" s="271"/>
      <c r="M122" s="271"/>
      <c r="N122" s="271"/>
      <c r="O122" s="271"/>
      <c r="P122" s="271"/>
      <c r="Q122" s="271"/>
      <c r="R122" s="271"/>
      <c r="S122" s="271"/>
      <c r="T122" s="271"/>
      <c r="U122" s="271"/>
      <c r="V122" s="271"/>
      <c r="W122" s="271"/>
      <c r="X122" s="271"/>
      <c r="Y122" s="271"/>
      <c r="Z122" s="271"/>
      <c r="AA122" s="271"/>
      <c r="AB122" s="271"/>
      <c r="AC122" s="271"/>
      <c r="AD122" s="271"/>
      <c r="AE122" s="271"/>
      <c r="AF122" s="271"/>
      <c r="AG122" s="271"/>
      <c r="AH122" s="271"/>
      <c r="AI122" s="271"/>
      <c r="AJ122" s="271"/>
      <c r="AK122" s="271"/>
      <c r="AL122" s="271"/>
      <c r="AM122" s="271"/>
      <c r="AN122" s="271"/>
      <c r="AO122" s="271"/>
      <c r="AP122" s="271"/>
      <c r="AQ122" s="271"/>
      <c r="AR122" s="271"/>
      <c r="AS122" s="271"/>
      <c r="AT122" s="271"/>
      <c r="AU122" s="271"/>
      <c r="AV122" s="271"/>
      <c r="AW122" s="271"/>
      <c r="AX122" s="271"/>
      <c r="AY122" s="271"/>
      <c r="AZ122" s="271"/>
      <c r="BA122" s="271"/>
      <c r="BB122" s="271"/>
      <c r="BC122" s="271"/>
      <c r="BD122" s="271"/>
      <c r="BE122" s="271"/>
      <c r="BF122" s="271"/>
      <c r="BG122" s="271"/>
      <c r="BH122" s="271"/>
      <c r="BI122" s="271"/>
      <c r="BJ122" s="271"/>
    </row>
    <row r="123">
      <c r="A123" s="111" t="s">
        <v>860</v>
      </c>
      <c r="B123" s="83" t="s">
        <v>2403</v>
      </c>
      <c r="C123" s="83" t="s">
        <v>164</v>
      </c>
      <c r="D123" s="112"/>
      <c r="E123" s="83">
        <v>1178887.0</v>
      </c>
      <c r="F123" s="83"/>
      <c r="G123" s="296" t="s">
        <v>2404</v>
      </c>
      <c r="H123" s="295">
        <v>46055.0</v>
      </c>
      <c r="I123" s="98" t="s">
        <v>2311</v>
      </c>
      <c r="J123" s="119"/>
      <c r="K123" s="271"/>
      <c r="L123" s="271"/>
      <c r="M123" s="271"/>
      <c r="N123" s="271"/>
      <c r="O123" s="271"/>
      <c r="P123" s="271"/>
      <c r="Q123" s="271"/>
      <c r="R123" s="271"/>
      <c r="S123" s="271"/>
      <c r="T123" s="271"/>
      <c r="U123" s="271"/>
      <c r="V123" s="271"/>
      <c r="W123" s="271"/>
      <c r="X123" s="271"/>
      <c r="Y123" s="271"/>
      <c r="Z123" s="271"/>
      <c r="AA123" s="271"/>
      <c r="AB123" s="271"/>
      <c r="AC123" s="271"/>
      <c r="AD123" s="271"/>
      <c r="AE123" s="271"/>
      <c r="AF123" s="271"/>
      <c r="AG123" s="271"/>
      <c r="AH123" s="271"/>
      <c r="AI123" s="271"/>
      <c r="AJ123" s="271"/>
      <c r="AK123" s="271"/>
      <c r="AL123" s="271"/>
      <c r="AM123" s="271"/>
      <c r="AN123" s="271"/>
      <c r="AO123" s="271"/>
      <c r="AP123" s="271"/>
      <c r="AQ123" s="271"/>
      <c r="AR123" s="271"/>
      <c r="AS123" s="271"/>
      <c r="AT123" s="271"/>
      <c r="AU123" s="271"/>
      <c r="AV123" s="271"/>
      <c r="AW123" s="271"/>
      <c r="AX123" s="271"/>
      <c r="AY123" s="271"/>
      <c r="AZ123" s="271"/>
      <c r="BA123" s="271"/>
      <c r="BB123" s="271"/>
      <c r="BC123" s="271"/>
      <c r="BD123" s="271"/>
      <c r="BE123" s="271"/>
      <c r="BF123" s="271"/>
      <c r="BG123" s="271"/>
      <c r="BH123" s="271"/>
      <c r="BI123" s="271"/>
      <c r="BJ123" s="271"/>
    </row>
    <row r="124">
      <c r="A124" s="111" t="s">
        <v>860</v>
      </c>
      <c r="B124" s="83" t="s">
        <v>2405</v>
      </c>
      <c r="C124" s="83" t="s">
        <v>68</v>
      </c>
      <c r="D124" s="112">
        <v>1130902.0</v>
      </c>
      <c r="E124" s="83"/>
      <c r="F124" s="83">
        <v>2.9004403E7</v>
      </c>
      <c r="G124" s="119" t="s">
        <v>2406</v>
      </c>
      <c r="H124" s="295">
        <v>46055.0</v>
      </c>
      <c r="I124" s="98" t="s">
        <v>2073</v>
      </c>
      <c r="J124" s="119" t="s">
        <v>2408</v>
      </c>
      <c r="K124" s="271"/>
      <c r="L124" s="271"/>
      <c r="M124" s="271"/>
      <c r="N124" s="271"/>
      <c r="O124" s="271"/>
      <c r="P124" s="271"/>
      <c r="Q124" s="271"/>
      <c r="R124" s="271"/>
      <c r="S124" s="271"/>
      <c r="T124" s="271"/>
      <c r="U124" s="271"/>
      <c r="V124" s="271"/>
      <c r="W124" s="271"/>
      <c r="X124" s="271"/>
      <c r="Y124" s="271"/>
      <c r="Z124" s="271"/>
      <c r="AA124" s="271"/>
      <c r="AB124" s="271"/>
      <c r="AC124" s="271"/>
      <c r="AD124" s="271"/>
      <c r="AE124" s="271"/>
      <c r="AF124" s="271"/>
      <c r="AG124" s="271"/>
      <c r="AH124" s="271"/>
      <c r="AI124" s="271"/>
      <c r="AJ124" s="271"/>
      <c r="AK124" s="271"/>
      <c r="AL124" s="271"/>
      <c r="AM124" s="271"/>
      <c r="AN124" s="271"/>
      <c r="AO124" s="271"/>
      <c r="AP124" s="271"/>
      <c r="AQ124" s="271"/>
      <c r="AR124" s="271"/>
      <c r="AS124" s="271"/>
      <c r="AT124" s="271"/>
      <c r="AU124" s="271"/>
      <c r="AV124" s="271"/>
      <c r="AW124" s="271"/>
      <c r="AX124" s="271"/>
      <c r="AY124" s="271"/>
      <c r="AZ124" s="271"/>
      <c r="BA124" s="271"/>
      <c r="BB124" s="271"/>
      <c r="BC124" s="271"/>
      <c r="BD124" s="271"/>
      <c r="BE124" s="271"/>
      <c r="BF124" s="271"/>
      <c r="BG124" s="271"/>
      <c r="BH124" s="271"/>
      <c r="BI124" s="271"/>
      <c r="BJ124" s="271"/>
    </row>
    <row r="125">
      <c r="A125" s="111" t="s">
        <v>860</v>
      </c>
      <c r="B125" s="83" t="s">
        <v>2405</v>
      </c>
      <c r="C125" s="83" t="s">
        <v>164</v>
      </c>
      <c r="D125" s="112"/>
      <c r="E125" s="83">
        <v>1179719.0</v>
      </c>
      <c r="F125" s="237"/>
      <c r="G125" s="187" t="s">
        <v>2412</v>
      </c>
      <c r="H125" s="295">
        <v>46055.0</v>
      </c>
      <c r="I125" s="98" t="s">
        <v>2311</v>
      </c>
      <c r="J125" s="119"/>
      <c r="K125" s="271"/>
      <c r="L125" s="271"/>
      <c r="M125" s="271"/>
      <c r="N125" s="271"/>
      <c r="O125" s="271"/>
      <c r="P125" s="271"/>
      <c r="Q125" s="271"/>
      <c r="R125" s="271"/>
      <c r="S125" s="271"/>
      <c r="T125" s="271"/>
      <c r="U125" s="271"/>
      <c r="V125" s="271"/>
      <c r="W125" s="271"/>
      <c r="X125" s="271"/>
      <c r="Y125" s="271"/>
      <c r="Z125" s="271"/>
      <c r="AA125" s="271"/>
      <c r="AB125" s="271"/>
      <c r="AC125" s="271"/>
      <c r="AD125" s="271"/>
      <c r="AE125" s="271"/>
      <c r="AF125" s="271"/>
      <c r="AG125" s="271"/>
      <c r="AH125" s="271"/>
      <c r="AI125" s="271"/>
      <c r="AJ125" s="271"/>
      <c r="AK125" s="271"/>
      <c r="AL125" s="271"/>
      <c r="AM125" s="271"/>
      <c r="AN125" s="271"/>
      <c r="AO125" s="271"/>
      <c r="AP125" s="271"/>
      <c r="AQ125" s="271"/>
      <c r="AR125" s="271"/>
      <c r="AS125" s="271"/>
      <c r="AT125" s="271"/>
      <c r="AU125" s="271"/>
      <c r="AV125" s="271"/>
      <c r="AW125" s="271"/>
      <c r="AX125" s="271"/>
      <c r="AY125" s="271"/>
      <c r="AZ125" s="271"/>
      <c r="BA125" s="271"/>
      <c r="BB125" s="271"/>
      <c r="BC125" s="271"/>
      <c r="BD125" s="271"/>
      <c r="BE125" s="271"/>
      <c r="BF125" s="271"/>
      <c r="BG125" s="271"/>
      <c r="BH125" s="271"/>
      <c r="BI125" s="271"/>
      <c r="BJ125" s="271"/>
    </row>
    <row r="126">
      <c r="A126" s="111" t="s">
        <v>1393</v>
      </c>
      <c r="B126" s="83" t="s">
        <v>2282</v>
      </c>
      <c r="C126" s="83" t="s">
        <v>164</v>
      </c>
      <c r="D126" s="112"/>
      <c r="E126" s="83">
        <v>1178784.0</v>
      </c>
      <c r="F126" s="291"/>
      <c r="G126" s="292" t="s">
        <v>2413</v>
      </c>
      <c r="H126" s="295">
        <v>46055.0</v>
      </c>
      <c r="I126" s="98" t="s">
        <v>2311</v>
      </c>
      <c r="J126" s="119"/>
      <c r="K126" s="271"/>
      <c r="L126" s="271"/>
      <c r="M126" s="271"/>
      <c r="N126" s="271"/>
      <c r="O126" s="271"/>
      <c r="P126" s="271"/>
      <c r="Q126" s="271"/>
      <c r="R126" s="271"/>
      <c r="S126" s="271"/>
      <c r="T126" s="271"/>
      <c r="U126" s="271"/>
      <c r="V126" s="271"/>
      <c r="W126" s="271"/>
      <c r="X126" s="271"/>
      <c r="Y126" s="271"/>
      <c r="Z126" s="271"/>
      <c r="AA126" s="271"/>
      <c r="AB126" s="271"/>
      <c r="AC126" s="271"/>
      <c r="AD126" s="271"/>
      <c r="AE126" s="271"/>
      <c r="AF126" s="271"/>
      <c r="AG126" s="271"/>
      <c r="AH126" s="271"/>
      <c r="AI126" s="271"/>
      <c r="AJ126" s="271"/>
      <c r="AK126" s="271"/>
      <c r="AL126" s="271"/>
      <c r="AM126" s="271"/>
      <c r="AN126" s="271"/>
      <c r="AO126" s="271"/>
      <c r="AP126" s="271"/>
      <c r="AQ126" s="271"/>
      <c r="AR126" s="271"/>
      <c r="AS126" s="271"/>
      <c r="AT126" s="271"/>
      <c r="AU126" s="271"/>
      <c r="AV126" s="271"/>
      <c r="AW126" s="271"/>
      <c r="AX126" s="271"/>
      <c r="AY126" s="271"/>
      <c r="AZ126" s="271"/>
      <c r="BA126" s="271"/>
      <c r="BB126" s="271"/>
      <c r="BC126" s="271"/>
      <c r="BD126" s="271"/>
      <c r="BE126" s="271"/>
      <c r="BF126" s="271"/>
      <c r="BG126" s="271"/>
      <c r="BH126" s="271"/>
      <c r="BI126" s="271"/>
      <c r="BJ126" s="271"/>
    </row>
    <row r="127">
      <c r="A127" s="111" t="s">
        <v>1393</v>
      </c>
      <c r="B127" s="83" t="s">
        <v>2282</v>
      </c>
      <c r="C127" s="83" t="s">
        <v>164</v>
      </c>
      <c r="D127" s="112"/>
      <c r="E127" s="83">
        <v>1179095.0</v>
      </c>
      <c r="F127" s="291"/>
      <c r="G127" s="292" t="s">
        <v>2416</v>
      </c>
      <c r="H127" s="295">
        <v>46055.0</v>
      </c>
      <c r="I127" s="98" t="s">
        <v>2311</v>
      </c>
      <c r="J127" s="119"/>
      <c r="K127" s="271"/>
      <c r="L127" s="271"/>
      <c r="M127" s="271"/>
      <c r="N127" s="271"/>
      <c r="O127" s="271"/>
      <c r="P127" s="271"/>
      <c r="Q127" s="271"/>
      <c r="R127" s="271"/>
      <c r="S127" s="271"/>
      <c r="T127" s="271"/>
      <c r="U127" s="271"/>
      <c r="V127" s="271"/>
      <c r="W127" s="271"/>
      <c r="X127" s="271"/>
      <c r="Y127" s="271"/>
      <c r="Z127" s="271"/>
      <c r="AA127" s="271"/>
      <c r="AB127" s="271"/>
      <c r="AC127" s="271"/>
      <c r="AD127" s="271"/>
      <c r="AE127" s="271"/>
      <c r="AF127" s="271"/>
      <c r="AG127" s="271"/>
      <c r="AH127" s="271"/>
      <c r="AI127" s="271"/>
      <c r="AJ127" s="271"/>
      <c r="AK127" s="271"/>
      <c r="AL127" s="271"/>
      <c r="AM127" s="271"/>
      <c r="AN127" s="271"/>
      <c r="AO127" s="271"/>
      <c r="AP127" s="271"/>
      <c r="AQ127" s="271"/>
      <c r="AR127" s="271"/>
      <c r="AS127" s="271"/>
      <c r="AT127" s="271"/>
      <c r="AU127" s="271"/>
      <c r="AV127" s="271"/>
      <c r="AW127" s="271"/>
      <c r="AX127" s="271"/>
      <c r="AY127" s="271"/>
      <c r="AZ127" s="271"/>
      <c r="BA127" s="271"/>
      <c r="BB127" s="271"/>
      <c r="BC127" s="271"/>
      <c r="BD127" s="271"/>
      <c r="BE127" s="271"/>
      <c r="BF127" s="271"/>
      <c r="BG127" s="271"/>
      <c r="BH127" s="271"/>
      <c r="BI127" s="271"/>
      <c r="BJ127" s="271"/>
    </row>
    <row r="128">
      <c r="A128" s="111" t="s">
        <v>1393</v>
      </c>
      <c r="B128" s="83" t="s">
        <v>2282</v>
      </c>
      <c r="C128" s="83" t="s">
        <v>164</v>
      </c>
      <c r="D128" s="112"/>
      <c r="E128" s="83">
        <v>1178779.0</v>
      </c>
      <c r="F128" s="291"/>
      <c r="G128" s="184" t="s">
        <v>2419</v>
      </c>
      <c r="H128" s="295">
        <v>46055.0</v>
      </c>
      <c r="I128" s="98" t="s">
        <v>2311</v>
      </c>
      <c r="J128" s="119"/>
      <c r="K128" s="271"/>
      <c r="L128" s="271"/>
      <c r="M128" s="271"/>
      <c r="N128" s="271"/>
      <c r="O128" s="271"/>
      <c r="P128" s="271"/>
      <c r="Q128" s="271"/>
      <c r="R128" s="271"/>
      <c r="S128" s="271"/>
      <c r="T128" s="271"/>
      <c r="U128" s="271"/>
      <c r="V128" s="271"/>
      <c r="W128" s="271"/>
      <c r="X128" s="271"/>
      <c r="Y128" s="271"/>
      <c r="Z128" s="271"/>
      <c r="AA128" s="271"/>
      <c r="AB128" s="271"/>
      <c r="AC128" s="271"/>
      <c r="AD128" s="271"/>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1"/>
      <c r="BI128" s="271"/>
      <c r="BJ128" s="271"/>
    </row>
    <row r="129">
      <c r="A129" s="111" t="s">
        <v>1393</v>
      </c>
      <c r="B129" s="83" t="s">
        <v>2282</v>
      </c>
      <c r="C129" s="83" t="s">
        <v>164</v>
      </c>
      <c r="D129" s="112"/>
      <c r="E129" s="83">
        <v>1178180.0</v>
      </c>
      <c r="F129" s="291"/>
      <c r="G129" s="292" t="s">
        <v>2420</v>
      </c>
      <c r="H129" s="295">
        <v>46055.0</v>
      </c>
      <c r="I129" s="98" t="s">
        <v>2311</v>
      </c>
      <c r="J129" s="119"/>
      <c r="K129" s="271"/>
      <c r="L129" s="271"/>
      <c r="M129" s="271"/>
      <c r="N129" s="271"/>
      <c r="O129" s="271"/>
      <c r="P129" s="271"/>
      <c r="Q129" s="271"/>
      <c r="R129" s="271"/>
      <c r="S129" s="271"/>
      <c r="T129" s="271"/>
      <c r="U129" s="271"/>
      <c r="V129" s="271"/>
      <c r="W129" s="271"/>
      <c r="X129" s="271"/>
      <c r="Y129" s="271"/>
      <c r="Z129" s="271"/>
      <c r="AA129" s="271"/>
      <c r="AB129" s="271"/>
      <c r="AC129" s="271"/>
      <c r="AD129" s="271"/>
      <c r="AE129" s="271"/>
      <c r="AF129" s="271"/>
      <c r="AG129" s="271"/>
      <c r="AH129" s="271"/>
      <c r="AI129" s="271"/>
      <c r="AJ129" s="271"/>
      <c r="AK129" s="271"/>
      <c r="AL129" s="271"/>
      <c r="AM129" s="271"/>
      <c r="AN129" s="271"/>
      <c r="AO129" s="271"/>
      <c r="AP129" s="271"/>
      <c r="AQ129" s="271"/>
      <c r="AR129" s="271"/>
      <c r="AS129" s="271"/>
      <c r="AT129" s="271"/>
      <c r="AU129" s="271"/>
      <c r="AV129" s="271"/>
      <c r="AW129" s="271"/>
      <c r="AX129" s="271"/>
      <c r="AY129" s="271"/>
      <c r="AZ129" s="271"/>
      <c r="BA129" s="271"/>
      <c r="BB129" s="271"/>
      <c r="BC129" s="271"/>
      <c r="BD129" s="271"/>
      <c r="BE129" s="271"/>
      <c r="BF129" s="271"/>
      <c r="BG129" s="271"/>
      <c r="BH129" s="271"/>
      <c r="BI129" s="271"/>
      <c r="BJ129" s="271"/>
    </row>
    <row r="130">
      <c r="A130" s="111" t="s">
        <v>1393</v>
      </c>
      <c r="B130" s="83" t="s">
        <v>2282</v>
      </c>
      <c r="C130" s="83" t="s">
        <v>164</v>
      </c>
      <c r="D130" s="112"/>
      <c r="E130" s="83">
        <v>1178780.0</v>
      </c>
      <c r="F130" s="291"/>
      <c r="G130" s="185" t="s">
        <v>2424</v>
      </c>
      <c r="H130" s="295">
        <v>46055.0</v>
      </c>
      <c r="I130" s="98" t="s">
        <v>2311</v>
      </c>
      <c r="J130" s="119"/>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1"/>
      <c r="BI130" s="271"/>
      <c r="BJ130" s="271"/>
    </row>
    <row r="131">
      <c r="A131" s="111" t="s">
        <v>1573</v>
      </c>
      <c r="B131" s="83" t="s">
        <v>2426</v>
      </c>
      <c r="C131" s="83" t="s">
        <v>164</v>
      </c>
      <c r="D131" s="112"/>
      <c r="E131" s="83">
        <v>1178872.0</v>
      </c>
      <c r="F131" s="83"/>
      <c r="G131" s="119" t="s">
        <v>2428</v>
      </c>
      <c r="H131" s="295">
        <v>46055.0</v>
      </c>
      <c r="I131" s="98" t="s">
        <v>2311</v>
      </c>
      <c r="J131" s="119"/>
      <c r="K131" s="271"/>
      <c r="L131" s="271"/>
      <c r="M131" s="271"/>
      <c r="N131" s="271"/>
      <c r="O131" s="271"/>
      <c r="P131" s="271"/>
      <c r="Q131" s="271"/>
      <c r="R131" s="271"/>
      <c r="S131" s="271"/>
      <c r="T131" s="271"/>
      <c r="U131" s="271"/>
      <c r="V131" s="271"/>
      <c r="W131" s="271"/>
      <c r="X131" s="271"/>
      <c r="Y131" s="271"/>
      <c r="Z131" s="271"/>
      <c r="AA131" s="271"/>
      <c r="AB131" s="271"/>
      <c r="AC131" s="271"/>
      <c r="AD131" s="271"/>
      <c r="AE131" s="271"/>
      <c r="AF131" s="271"/>
      <c r="AG131" s="271"/>
      <c r="AH131" s="271"/>
      <c r="AI131" s="271"/>
      <c r="AJ131" s="271"/>
      <c r="AK131" s="271"/>
      <c r="AL131" s="271"/>
      <c r="AM131" s="271"/>
      <c r="AN131" s="271"/>
      <c r="AO131" s="271"/>
      <c r="AP131" s="271"/>
      <c r="AQ131" s="271"/>
      <c r="AR131" s="271"/>
      <c r="AS131" s="271"/>
      <c r="AT131" s="271"/>
      <c r="AU131" s="271"/>
      <c r="AV131" s="271"/>
      <c r="AW131" s="271"/>
      <c r="AX131" s="271"/>
      <c r="AY131" s="271"/>
      <c r="AZ131" s="271"/>
      <c r="BA131" s="271"/>
      <c r="BB131" s="271"/>
      <c r="BC131" s="271"/>
      <c r="BD131" s="271"/>
      <c r="BE131" s="271"/>
      <c r="BF131" s="271"/>
      <c r="BG131" s="271"/>
      <c r="BH131" s="271"/>
      <c r="BI131" s="271"/>
      <c r="BJ131" s="271"/>
    </row>
    <row r="132">
      <c r="A132" s="111" t="s">
        <v>1573</v>
      </c>
      <c r="B132" s="83" t="s">
        <v>2297</v>
      </c>
      <c r="C132" s="83" t="s">
        <v>164</v>
      </c>
      <c r="D132" s="112"/>
      <c r="E132" s="83">
        <v>1178168.0</v>
      </c>
      <c r="F132" s="83"/>
      <c r="G132" s="119" t="s">
        <v>2432</v>
      </c>
      <c r="H132" s="295">
        <v>46055.0</v>
      </c>
      <c r="I132" s="98" t="s">
        <v>2311</v>
      </c>
      <c r="J132" s="119"/>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1"/>
      <c r="BI132" s="271"/>
      <c r="BJ132" s="271"/>
    </row>
    <row r="133">
      <c r="A133" s="111" t="s">
        <v>1573</v>
      </c>
      <c r="B133" s="83" t="s">
        <v>2437</v>
      </c>
      <c r="C133" s="83" t="s">
        <v>164</v>
      </c>
      <c r="D133" s="112"/>
      <c r="E133" s="83">
        <v>1178903.0</v>
      </c>
      <c r="F133" s="83"/>
      <c r="G133" s="119" t="s">
        <v>2438</v>
      </c>
      <c r="H133" s="295">
        <v>46055.0</v>
      </c>
      <c r="I133" s="98" t="s">
        <v>2311</v>
      </c>
      <c r="J133" s="119"/>
      <c r="K133" s="271"/>
      <c r="L133" s="271"/>
      <c r="M133" s="271"/>
      <c r="N133" s="271"/>
      <c r="O133" s="271"/>
      <c r="P133" s="271"/>
      <c r="Q133" s="271"/>
      <c r="R133" s="271"/>
      <c r="S133" s="271"/>
      <c r="T133" s="271"/>
      <c r="U133" s="271"/>
      <c r="V133" s="271"/>
      <c r="W133" s="271"/>
      <c r="X133" s="271"/>
      <c r="Y133" s="271"/>
      <c r="Z133" s="271"/>
      <c r="AA133" s="271"/>
      <c r="AB133" s="271"/>
      <c r="AC133" s="271"/>
      <c r="AD133" s="271"/>
      <c r="AE133" s="271"/>
      <c r="AF133" s="271"/>
      <c r="AG133" s="271"/>
      <c r="AH133" s="271"/>
      <c r="AI133" s="271"/>
      <c r="AJ133" s="271"/>
      <c r="AK133" s="271"/>
      <c r="AL133" s="271"/>
      <c r="AM133" s="271"/>
      <c r="AN133" s="271"/>
      <c r="AO133" s="271"/>
      <c r="AP133" s="271"/>
      <c r="AQ133" s="271"/>
      <c r="AR133" s="271"/>
      <c r="AS133" s="271"/>
      <c r="AT133" s="271"/>
      <c r="AU133" s="271"/>
      <c r="AV133" s="271"/>
      <c r="AW133" s="271"/>
      <c r="AX133" s="271"/>
      <c r="AY133" s="271"/>
      <c r="AZ133" s="271"/>
      <c r="BA133" s="271"/>
      <c r="BB133" s="271"/>
      <c r="BC133" s="271"/>
      <c r="BD133" s="271"/>
      <c r="BE133" s="271"/>
      <c r="BF133" s="271"/>
      <c r="BG133" s="271"/>
      <c r="BH133" s="271"/>
      <c r="BI133" s="271"/>
      <c r="BJ133" s="271"/>
    </row>
    <row r="134">
      <c r="A134" s="111" t="s">
        <v>1573</v>
      </c>
      <c r="B134" s="83" t="s">
        <v>2437</v>
      </c>
      <c r="C134" s="83" t="s">
        <v>164</v>
      </c>
      <c r="D134" s="112">
        <v>1131739.0</v>
      </c>
      <c r="E134" s="83">
        <v>1178902.0</v>
      </c>
      <c r="F134" s="83"/>
      <c r="G134" s="119" t="s">
        <v>2439</v>
      </c>
      <c r="H134" s="295">
        <v>46055.0</v>
      </c>
      <c r="I134" s="98" t="s">
        <v>2311</v>
      </c>
      <c r="J134" s="119"/>
      <c r="K134" s="271"/>
      <c r="L134" s="271"/>
      <c r="M134" s="271"/>
      <c r="N134" s="271"/>
      <c r="O134" s="271"/>
      <c r="P134" s="271"/>
      <c r="Q134" s="271"/>
      <c r="R134" s="271"/>
      <c r="S134" s="271"/>
      <c r="T134" s="271"/>
      <c r="U134" s="271"/>
      <c r="V134" s="271"/>
      <c r="W134" s="271"/>
      <c r="X134" s="271"/>
      <c r="Y134" s="271"/>
      <c r="Z134" s="271"/>
      <c r="AA134" s="271"/>
      <c r="AB134" s="271"/>
      <c r="AC134" s="271"/>
      <c r="AD134" s="271"/>
      <c r="AE134" s="271"/>
      <c r="AF134" s="271"/>
      <c r="AG134" s="271"/>
      <c r="AH134" s="271"/>
      <c r="AI134" s="271"/>
      <c r="AJ134" s="271"/>
      <c r="AK134" s="271"/>
      <c r="AL134" s="271"/>
      <c r="AM134" s="271"/>
      <c r="AN134" s="271"/>
      <c r="AO134" s="271"/>
      <c r="AP134" s="271"/>
      <c r="AQ134" s="271"/>
      <c r="AR134" s="271"/>
      <c r="AS134" s="271"/>
      <c r="AT134" s="271"/>
      <c r="AU134" s="271"/>
      <c r="AV134" s="271"/>
      <c r="AW134" s="271"/>
      <c r="AX134" s="271"/>
      <c r="AY134" s="271"/>
      <c r="AZ134" s="271"/>
      <c r="BA134" s="271"/>
      <c r="BB134" s="271"/>
      <c r="BC134" s="271"/>
      <c r="BD134" s="271"/>
      <c r="BE134" s="271"/>
      <c r="BF134" s="271"/>
      <c r="BG134" s="271"/>
      <c r="BH134" s="271"/>
      <c r="BI134" s="271"/>
      <c r="BJ134" s="271"/>
    </row>
    <row r="135">
      <c r="A135" s="111" t="s">
        <v>1785</v>
      </c>
      <c r="B135" s="83" t="s">
        <v>1994</v>
      </c>
      <c r="C135" s="83" t="s">
        <v>68</v>
      </c>
      <c r="D135" s="112">
        <v>1102640.0</v>
      </c>
      <c r="E135" s="83"/>
      <c r="F135" s="83">
        <v>2.9193966E7</v>
      </c>
      <c r="G135" s="119" t="s">
        <v>2440</v>
      </c>
      <c r="H135" s="295">
        <v>46055.0</v>
      </c>
      <c r="I135" s="98" t="s">
        <v>2311</v>
      </c>
      <c r="J135" s="119" t="s">
        <v>2441</v>
      </c>
      <c r="K135" s="271"/>
      <c r="L135" s="271"/>
      <c r="M135" s="271"/>
      <c r="N135" s="271"/>
      <c r="O135" s="271"/>
      <c r="P135" s="271"/>
      <c r="Q135" s="271"/>
      <c r="R135" s="271"/>
      <c r="S135" s="271"/>
      <c r="T135" s="271"/>
      <c r="U135" s="271"/>
      <c r="V135" s="271"/>
      <c r="W135" s="271"/>
      <c r="X135" s="271"/>
      <c r="Y135" s="271"/>
      <c r="Z135" s="271"/>
      <c r="AA135" s="271"/>
      <c r="AB135" s="271"/>
      <c r="AC135" s="271"/>
      <c r="AD135" s="271"/>
      <c r="AE135" s="271"/>
      <c r="AF135" s="271"/>
      <c r="AG135" s="271"/>
      <c r="AH135" s="271"/>
      <c r="AI135" s="271"/>
      <c r="AJ135" s="271"/>
      <c r="AK135" s="271"/>
      <c r="AL135" s="271"/>
      <c r="AM135" s="271"/>
      <c r="AN135" s="271"/>
      <c r="AO135" s="271"/>
      <c r="AP135" s="271"/>
      <c r="AQ135" s="271"/>
      <c r="AR135" s="271"/>
      <c r="AS135" s="271"/>
      <c r="AT135" s="271"/>
      <c r="AU135" s="271"/>
      <c r="AV135" s="271"/>
      <c r="AW135" s="271"/>
      <c r="AX135" s="271"/>
      <c r="AY135" s="271"/>
      <c r="AZ135" s="271"/>
      <c r="BA135" s="271"/>
      <c r="BB135" s="271"/>
      <c r="BC135" s="271"/>
      <c r="BD135" s="271"/>
      <c r="BE135" s="271"/>
      <c r="BF135" s="271"/>
      <c r="BG135" s="271"/>
      <c r="BH135" s="271"/>
      <c r="BI135" s="271"/>
      <c r="BJ135" s="271"/>
    </row>
    <row r="136">
      <c r="A136" s="111" t="s">
        <v>723</v>
      </c>
      <c r="B136" s="83" t="s">
        <v>2442</v>
      </c>
      <c r="C136" s="83" t="s">
        <v>68</v>
      </c>
      <c r="D136" s="112">
        <v>1145462.0</v>
      </c>
      <c r="E136" s="83"/>
      <c r="F136" s="83">
        <v>2.922271E7</v>
      </c>
      <c r="G136" s="114" t="s">
        <v>2443</v>
      </c>
      <c r="H136" s="295">
        <v>46057.0</v>
      </c>
      <c r="I136" s="98" t="s">
        <v>2073</v>
      </c>
      <c r="J136" s="119" t="s">
        <v>2444</v>
      </c>
      <c r="K136" s="271"/>
      <c r="L136" s="271"/>
      <c r="M136" s="271"/>
      <c r="N136" s="271"/>
      <c r="O136" s="271"/>
      <c r="P136" s="271"/>
      <c r="Q136" s="271"/>
      <c r="R136" s="271"/>
      <c r="S136" s="271"/>
      <c r="T136" s="271"/>
      <c r="U136" s="271"/>
      <c r="V136" s="271"/>
      <c r="W136" s="271"/>
      <c r="X136" s="271"/>
      <c r="Y136" s="271"/>
      <c r="Z136" s="271"/>
      <c r="AA136" s="271"/>
      <c r="AB136" s="271"/>
      <c r="AC136" s="271"/>
      <c r="AD136" s="271"/>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1"/>
      <c r="BI136" s="271"/>
      <c r="BJ136" s="271"/>
    </row>
    <row r="137">
      <c r="A137" s="111" t="s">
        <v>723</v>
      </c>
      <c r="B137" s="83" t="s">
        <v>2442</v>
      </c>
      <c r="C137" s="83" t="s">
        <v>68</v>
      </c>
      <c r="D137" s="112">
        <v>1109199.0</v>
      </c>
      <c r="E137" s="83"/>
      <c r="F137" s="83">
        <v>2.9222583E7</v>
      </c>
      <c r="G137" s="119" t="s">
        <v>2447</v>
      </c>
      <c r="H137" s="295">
        <v>46057.0</v>
      </c>
      <c r="I137" s="98" t="s">
        <v>2073</v>
      </c>
      <c r="J137" s="119" t="s">
        <v>2444</v>
      </c>
      <c r="K137" s="271"/>
      <c r="L137" s="271"/>
      <c r="M137" s="271"/>
      <c r="N137" s="271"/>
      <c r="O137" s="271"/>
      <c r="P137" s="271"/>
      <c r="Q137" s="271"/>
      <c r="R137" s="271"/>
      <c r="S137" s="271"/>
      <c r="T137" s="271"/>
      <c r="U137" s="271"/>
      <c r="V137" s="271"/>
      <c r="W137" s="271"/>
      <c r="X137" s="271"/>
      <c r="Y137" s="271"/>
      <c r="Z137" s="271"/>
      <c r="AA137" s="271"/>
      <c r="AB137" s="271"/>
      <c r="AC137" s="271"/>
      <c r="AD137" s="271"/>
      <c r="AE137" s="271"/>
      <c r="AF137" s="271"/>
      <c r="AG137" s="271"/>
      <c r="AH137" s="271"/>
      <c r="AI137" s="271"/>
      <c r="AJ137" s="271"/>
      <c r="AK137" s="271"/>
      <c r="AL137" s="271"/>
      <c r="AM137" s="271"/>
      <c r="AN137" s="271"/>
      <c r="AO137" s="271"/>
      <c r="AP137" s="271"/>
      <c r="AQ137" s="271"/>
      <c r="AR137" s="271"/>
      <c r="AS137" s="271"/>
      <c r="AT137" s="271"/>
      <c r="AU137" s="271"/>
      <c r="AV137" s="271"/>
      <c r="AW137" s="271"/>
      <c r="AX137" s="271"/>
      <c r="AY137" s="271"/>
      <c r="AZ137" s="271"/>
      <c r="BA137" s="271"/>
      <c r="BB137" s="271"/>
      <c r="BC137" s="271"/>
      <c r="BD137" s="271"/>
      <c r="BE137" s="271"/>
      <c r="BF137" s="271"/>
      <c r="BG137" s="271"/>
      <c r="BH137" s="271"/>
      <c r="BI137" s="271"/>
      <c r="BJ137" s="271"/>
    </row>
    <row r="138">
      <c r="A138" s="127" t="s">
        <v>205</v>
      </c>
      <c r="B138" s="83" t="s">
        <v>426</v>
      </c>
      <c r="C138" s="83" t="s">
        <v>164</v>
      </c>
      <c r="D138" s="112">
        <v>1179431.0</v>
      </c>
      <c r="E138" s="98">
        <v>1179804.0</v>
      </c>
      <c r="F138" s="83"/>
      <c r="G138" s="119" t="s">
        <v>2448</v>
      </c>
      <c r="H138" s="295"/>
      <c r="I138" s="98" t="s">
        <v>2311</v>
      </c>
      <c r="J138" s="119"/>
      <c r="K138" s="271"/>
      <c r="L138" s="271"/>
      <c r="M138" s="271"/>
      <c r="N138" s="271"/>
      <c r="O138" s="271"/>
      <c r="P138" s="271"/>
      <c r="Q138" s="271"/>
      <c r="R138" s="271"/>
      <c r="S138" s="271"/>
      <c r="T138" s="271"/>
      <c r="U138" s="271"/>
      <c r="V138" s="271"/>
      <c r="W138" s="271"/>
      <c r="X138" s="271"/>
      <c r="Y138" s="271"/>
      <c r="Z138" s="271"/>
      <c r="AA138" s="271"/>
      <c r="AB138" s="271"/>
      <c r="AC138" s="271"/>
      <c r="AD138" s="271"/>
      <c r="AE138" s="271"/>
      <c r="AF138" s="271"/>
      <c r="AG138" s="271"/>
      <c r="AH138" s="271"/>
      <c r="AI138" s="271"/>
      <c r="AJ138" s="271"/>
      <c r="AK138" s="271"/>
      <c r="AL138" s="271"/>
      <c r="AM138" s="271"/>
      <c r="AN138" s="271"/>
      <c r="AO138" s="271"/>
      <c r="AP138" s="271"/>
      <c r="AQ138" s="271"/>
      <c r="AR138" s="271"/>
      <c r="AS138" s="271"/>
      <c r="AT138" s="271"/>
      <c r="AU138" s="271"/>
      <c r="AV138" s="271"/>
      <c r="AW138" s="271"/>
      <c r="AX138" s="271"/>
      <c r="AY138" s="271"/>
      <c r="AZ138" s="271"/>
      <c r="BA138" s="271"/>
      <c r="BB138" s="271"/>
      <c r="BC138" s="271"/>
      <c r="BD138" s="271"/>
      <c r="BE138" s="271"/>
      <c r="BF138" s="271"/>
      <c r="BG138" s="271"/>
      <c r="BH138" s="271"/>
      <c r="BI138" s="271"/>
      <c r="BJ138" s="271"/>
    </row>
    <row r="139">
      <c r="A139" s="111" t="s">
        <v>205</v>
      </c>
      <c r="B139" s="83" t="s">
        <v>539</v>
      </c>
      <c r="C139" s="83" t="s">
        <v>164</v>
      </c>
      <c r="D139" s="112">
        <v>1179431.0</v>
      </c>
      <c r="E139" s="83">
        <v>1178820.0</v>
      </c>
      <c r="F139" s="83"/>
      <c r="G139" s="114" t="s">
        <v>2451</v>
      </c>
      <c r="H139" s="295"/>
      <c r="I139" s="98" t="s">
        <v>2311</v>
      </c>
      <c r="J139" s="119"/>
      <c r="K139" s="271"/>
      <c r="L139" s="271"/>
      <c r="M139" s="271"/>
      <c r="N139" s="271"/>
      <c r="O139" s="271"/>
      <c r="P139" s="271"/>
      <c r="Q139" s="271"/>
      <c r="R139" s="271"/>
      <c r="S139" s="271"/>
      <c r="T139" s="271"/>
      <c r="U139" s="271"/>
      <c r="V139" s="271"/>
      <c r="W139" s="271"/>
      <c r="X139" s="271"/>
      <c r="Y139" s="271"/>
      <c r="Z139" s="271"/>
      <c r="AA139" s="271"/>
      <c r="AB139" s="271"/>
      <c r="AC139" s="271"/>
      <c r="AD139" s="271"/>
      <c r="AE139" s="271"/>
      <c r="AF139" s="271"/>
      <c r="AG139" s="271"/>
      <c r="AH139" s="271"/>
      <c r="AI139" s="271"/>
      <c r="AJ139" s="271"/>
      <c r="AK139" s="271"/>
      <c r="AL139" s="271"/>
      <c r="AM139" s="271"/>
      <c r="AN139" s="271"/>
      <c r="AO139" s="271"/>
      <c r="AP139" s="271"/>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row>
    <row r="140">
      <c r="A140" s="111" t="s">
        <v>205</v>
      </c>
      <c r="B140" s="83" t="s">
        <v>558</v>
      </c>
      <c r="C140" s="83" t="s">
        <v>164</v>
      </c>
      <c r="D140" s="112">
        <v>1179431.0</v>
      </c>
      <c r="E140" s="83">
        <v>1179497.0</v>
      </c>
      <c r="F140" s="83"/>
      <c r="G140" s="114" t="s">
        <v>2453</v>
      </c>
      <c r="H140" s="295"/>
      <c r="I140" s="98" t="s">
        <v>2311</v>
      </c>
      <c r="J140" s="119"/>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271"/>
      <c r="AJ140" s="271"/>
      <c r="AK140" s="271"/>
      <c r="AL140" s="271"/>
      <c r="AM140" s="271"/>
      <c r="AN140" s="271"/>
      <c r="AO140" s="271"/>
      <c r="AP140" s="271"/>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row>
    <row r="141">
      <c r="A141" s="111" t="s">
        <v>205</v>
      </c>
      <c r="B141" s="83" t="s">
        <v>558</v>
      </c>
      <c r="C141" s="83" t="s">
        <v>164</v>
      </c>
      <c r="D141" s="112">
        <v>1179431.0</v>
      </c>
      <c r="E141" s="83">
        <v>1179012.0</v>
      </c>
      <c r="F141" s="83"/>
      <c r="G141" s="114" t="s">
        <v>2454</v>
      </c>
      <c r="H141" s="295"/>
      <c r="I141" s="98" t="s">
        <v>2311</v>
      </c>
      <c r="J141" s="119"/>
      <c r="K141" s="271"/>
      <c r="L141" s="271"/>
      <c r="M141" s="271"/>
      <c r="N141" s="271"/>
      <c r="O141" s="271"/>
      <c r="P141" s="271"/>
      <c r="Q141" s="271"/>
      <c r="R141" s="271"/>
      <c r="S141" s="271"/>
      <c r="T141" s="271"/>
      <c r="U141" s="271"/>
      <c r="V141" s="271"/>
      <c r="W141" s="271"/>
      <c r="X141" s="271"/>
      <c r="Y141" s="271"/>
      <c r="Z141" s="271"/>
      <c r="AA141" s="271"/>
      <c r="AB141" s="271"/>
      <c r="AC141" s="271"/>
      <c r="AD141" s="271"/>
      <c r="AE141" s="271"/>
      <c r="AF141" s="271"/>
      <c r="AG141" s="271"/>
      <c r="AH141" s="271"/>
      <c r="AI141" s="271"/>
      <c r="AJ141" s="271"/>
      <c r="AK141" s="271"/>
      <c r="AL141" s="271"/>
      <c r="AM141" s="271"/>
      <c r="AN141" s="271"/>
      <c r="AO141" s="271"/>
      <c r="AP141" s="271"/>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row>
    <row r="142">
      <c r="A142" s="111" t="s">
        <v>205</v>
      </c>
      <c r="B142" s="83" t="s">
        <v>558</v>
      </c>
      <c r="C142" s="83" t="s">
        <v>164</v>
      </c>
      <c r="D142" s="112">
        <v>1179431.0</v>
      </c>
      <c r="E142" s="98">
        <v>1179446.0</v>
      </c>
      <c r="F142" s="83"/>
      <c r="G142" s="119" t="s">
        <v>2455</v>
      </c>
      <c r="H142" s="295"/>
      <c r="I142" s="98" t="s">
        <v>2311</v>
      </c>
      <c r="J142" s="119"/>
      <c r="K142" s="271"/>
      <c r="L142" s="271"/>
      <c r="M142" s="271"/>
      <c r="N142" s="271"/>
      <c r="O142" s="271"/>
      <c r="P142" s="271"/>
      <c r="Q142" s="271"/>
      <c r="R142" s="271"/>
      <c r="S142" s="271"/>
      <c r="T142" s="271"/>
      <c r="U142" s="271"/>
      <c r="V142" s="271"/>
      <c r="W142" s="271"/>
      <c r="X142" s="271"/>
      <c r="Y142" s="271"/>
      <c r="Z142" s="271"/>
      <c r="AA142" s="271"/>
      <c r="AB142" s="271"/>
      <c r="AC142" s="271"/>
      <c r="AD142" s="271"/>
      <c r="AE142" s="271"/>
      <c r="AF142" s="271"/>
      <c r="AG142" s="271"/>
      <c r="AH142" s="271"/>
      <c r="AI142" s="271"/>
      <c r="AJ142" s="271"/>
      <c r="AK142" s="271"/>
      <c r="AL142" s="271"/>
      <c r="AM142" s="271"/>
      <c r="AN142" s="271"/>
      <c r="AO142" s="271"/>
      <c r="AP142" s="271"/>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row>
    <row r="143">
      <c r="A143" s="111" t="s">
        <v>205</v>
      </c>
      <c r="B143" s="83" t="s">
        <v>558</v>
      </c>
      <c r="C143" s="83" t="s">
        <v>164</v>
      </c>
      <c r="D143" s="112">
        <v>1179431.0</v>
      </c>
      <c r="E143" s="83">
        <v>1179506.0</v>
      </c>
      <c r="F143" s="83"/>
      <c r="G143" s="114" t="s">
        <v>2457</v>
      </c>
      <c r="H143" s="295"/>
      <c r="I143" s="98" t="s">
        <v>2311</v>
      </c>
      <c r="J143" s="119"/>
      <c r="K143" s="271"/>
      <c r="L143" s="271"/>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271"/>
      <c r="AJ143" s="271"/>
      <c r="AK143" s="271"/>
      <c r="AL143" s="271"/>
      <c r="AM143" s="271"/>
      <c r="AN143" s="271"/>
      <c r="AO143" s="271"/>
      <c r="AP143" s="271"/>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row>
    <row r="144">
      <c r="A144" s="111" t="s">
        <v>205</v>
      </c>
      <c r="B144" s="83" t="s">
        <v>616</v>
      </c>
      <c r="C144" s="83" t="s">
        <v>164</v>
      </c>
      <c r="D144" s="112">
        <v>1178150.0</v>
      </c>
      <c r="E144" s="83">
        <v>1179018.0</v>
      </c>
      <c r="F144" s="83"/>
      <c r="G144" s="119" t="s">
        <v>2462</v>
      </c>
      <c r="H144" s="295"/>
      <c r="I144" s="98" t="s">
        <v>2311</v>
      </c>
      <c r="J144" s="119"/>
      <c r="K144" s="271"/>
      <c r="L144" s="271"/>
      <c r="M144" s="271"/>
      <c r="N144" s="271"/>
      <c r="O144" s="271"/>
      <c r="P144" s="271"/>
      <c r="Q144" s="271"/>
      <c r="R144" s="271"/>
      <c r="S144" s="271"/>
      <c r="T144" s="271"/>
      <c r="U144" s="271"/>
      <c r="V144" s="271"/>
      <c r="W144" s="271"/>
      <c r="X144" s="271"/>
      <c r="Y144" s="271"/>
      <c r="Z144" s="271"/>
      <c r="AA144" s="271"/>
      <c r="AB144" s="271"/>
      <c r="AC144" s="271"/>
      <c r="AD144" s="271"/>
      <c r="AE144" s="271"/>
      <c r="AF144" s="271"/>
      <c r="AG144" s="271"/>
      <c r="AH144" s="271"/>
      <c r="AI144" s="271"/>
      <c r="AJ144" s="271"/>
      <c r="AK144" s="271"/>
      <c r="AL144" s="271"/>
      <c r="AM144" s="271"/>
      <c r="AN144" s="271"/>
      <c r="AO144" s="271"/>
      <c r="AP144" s="271"/>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row>
    <row r="145">
      <c r="A145" s="111" t="s">
        <v>205</v>
      </c>
      <c r="B145" s="98" t="s">
        <v>644</v>
      </c>
      <c r="C145" s="83" t="s">
        <v>164</v>
      </c>
      <c r="D145" s="112">
        <v>1179431.0</v>
      </c>
      <c r="E145" s="83">
        <v>1178833.0</v>
      </c>
      <c r="F145" s="83"/>
      <c r="G145" s="114" t="s">
        <v>2463</v>
      </c>
      <c r="H145" s="295"/>
      <c r="I145" s="98" t="s">
        <v>2311</v>
      </c>
      <c r="J145" s="119"/>
      <c r="K145" s="271"/>
      <c r="L145" s="271"/>
      <c r="M145" s="271"/>
      <c r="N145" s="271"/>
      <c r="O145" s="271"/>
      <c r="P145" s="271"/>
      <c r="Q145" s="271"/>
      <c r="R145" s="271"/>
      <c r="S145" s="271"/>
      <c r="T145" s="271"/>
      <c r="U145" s="271"/>
      <c r="V145" s="271"/>
      <c r="W145" s="271"/>
      <c r="X145" s="271"/>
      <c r="Y145" s="271"/>
      <c r="Z145" s="271"/>
      <c r="AA145" s="271"/>
      <c r="AB145" s="271"/>
      <c r="AC145" s="271"/>
      <c r="AD145" s="271"/>
      <c r="AE145" s="271"/>
      <c r="AF145" s="271"/>
      <c r="AG145" s="271"/>
      <c r="AH145" s="271"/>
      <c r="AI145" s="271"/>
      <c r="AJ145" s="271"/>
      <c r="AK145" s="271"/>
      <c r="AL145" s="271"/>
      <c r="AM145" s="271"/>
      <c r="AN145" s="271"/>
      <c r="AO145" s="271"/>
      <c r="AP145" s="271"/>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row>
    <row r="146">
      <c r="A146" s="111" t="s">
        <v>205</v>
      </c>
      <c r="B146" s="98" t="s">
        <v>644</v>
      </c>
      <c r="C146" s="83" t="s">
        <v>164</v>
      </c>
      <c r="D146" s="112">
        <v>1179431.0</v>
      </c>
      <c r="E146" s="83">
        <v>1179167.0</v>
      </c>
      <c r="F146" s="83"/>
      <c r="G146" s="114" t="s">
        <v>2464</v>
      </c>
      <c r="H146" s="295"/>
      <c r="I146" s="98" t="s">
        <v>2311</v>
      </c>
      <c r="J146" s="119"/>
      <c r="K146" s="271"/>
      <c r="L146" s="271"/>
      <c r="M146" s="271"/>
      <c r="N146" s="271"/>
      <c r="O146" s="271"/>
      <c r="P146" s="271"/>
      <c r="Q146" s="271"/>
      <c r="R146" s="271"/>
      <c r="S146" s="271"/>
      <c r="T146" s="271"/>
      <c r="U146" s="271"/>
      <c r="V146" s="271"/>
      <c r="W146" s="271"/>
      <c r="X146" s="271"/>
      <c r="Y146" s="271"/>
      <c r="Z146" s="271"/>
      <c r="AA146" s="271"/>
      <c r="AB146" s="271"/>
      <c r="AC146" s="271"/>
      <c r="AD146" s="271"/>
      <c r="AE146" s="271"/>
      <c r="AF146" s="271"/>
      <c r="AG146" s="271"/>
      <c r="AH146" s="271"/>
      <c r="AI146" s="271"/>
      <c r="AJ146" s="271"/>
      <c r="AK146" s="271"/>
      <c r="AL146" s="271"/>
      <c r="AM146" s="271"/>
      <c r="AN146" s="271"/>
      <c r="AO146" s="271"/>
      <c r="AP146" s="271"/>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row>
    <row r="147">
      <c r="A147" s="111" t="s">
        <v>205</v>
      </c>
      <c r="B147" s="83" t="s">
        <v>732</v>
      </c>
      <c r="C147" s="83" t="s">
        <v>164</v>
      </c>
      <c r="D147" s="112">
        <v>1178023.0</v>
      </c>
      <c r="E147" s="83">
        <v>1178939.0</v>
      </c>
      <c r="F147" s="83"/>
      <c r="G147" s="114" t="s">
        <v>2467</v>
      </c>
      <c r="H147" s="295"/>
      <c r="I147" s="98" t="s">
        <v>2311</v>
      </c>
      <c r="J147" s="119"/>
      <c r="K147" s="271"/>
      <c r="L147" s="271"/>
      <c r="M147" s="271"/>
      <c r="N147" s="271"/>
      <c r="O147" s="271"/>
      <c r="P147" s="271"/>
      <c r="Q147" s="271"/>
      <c r="R147" s="271"/>
      <c r="S147" s="271"/>
      <c r="T147" s="271"/>
      <c r="U147" s="271"/>
      <c r="V147" s="271"/>
      <c r="W147" s="271"/>
      <c r="X147" s="271"/>
      <c r="Y147" s="271"/>
      <c r="Z147" s="271"/>
      <c r="AA147" s="271"/>
      <c r="AB147" s="271"/>
      <c r="AC147" s="271"/>
      <c r="AD147" s="271"/>
      <c r="AE147" s="271"/>
      <c r="AF147" s="271"/>
      <c r="AG147" s="271"/>
      <c r="AH147" s="271"/>
      <c r="AI147" s="271"/>
      <c r="AJ147" s="271"/>
      <c r="AK147" s="271"/>
      <c r="AL147" s="271"/>
      <c r="AM147" s="271"/>
      <c r="AN147" s="271"/>
      <c r="AO147" s="271"/>
      <c r="AP147" s="271"/>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row>
    <row r="148">
      <c r="A148" s="111" t="s">
        <v>285</v>
      </c>
      <c r="B148" s="83" t="s">
        <v>966</v>
      </c>
      <c r="C148" s="83" t="s">
        <v>164</v>
      </c>
      <c r="D148" s="112">
        <v>1132565.0</v>
      </c>
      <c r="E148" s="83">
        <v>1178967.0</v>
      </c>
      <c r="F148" s="83"/>
      <c r="G148" s="114" t="s">
        <v>2468</v>
      </c>
      <c r="H148" s="295"/>
      <c r="I148" s="98" t="s">
        <v>2311</v>
      </c>
      <c r="J148" s="119"/>
      <c r="K148" s="271"/>
      <c r="L148" s="271"/>
      <c r="M148" s="271"/>
      <c r="N148" s="271"/>
      <c r="O148" s="271"/>
      <c r="P148" s="271"/>
      <c r="Q148" s="271"/>
      <c r="R148" s="271"/>
      <c r="S148" s="271"/>
      <c r="T148" s="271"/>
      <c r="U148" s="271"/>
      <c r="V148" s="271"/>
      <c r="W148" s="271"/>
      <c r="X148" s="271"/>
      <c r="Y148" s="271"/>
      <c r="Z148" s="271"/>
      <c r="AA148" s="271"/>
      <c r="AB148" s="271"/>
      <c r="AC148" s="271"/>
      <c r="AD148" s="271"/>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c r="BI148" s="271"/>
      <c r="BJ148" s="271"/>
    </row>
    <row r="149">
      <c r="A149" s="111" t="s">
        <v>1161</v>
      </c>
      <c r="B149" s="83" t="s">
        <v>2175</v>
      </c>
      <c r="C149" s="83" t="s">
        <v>68</v>
      </c>
      <c r="D149" s="112">
        <v>1178094.0</v>
      </c>
      <c r="E149" s="83"/>
      <c r="F149" s="83">
        <v>2.9440211E7</v>
      </c>
      <c r="G149" s="184" t="s">
        <v>2471</v>
      </c>
      <c r="H149" s="295">
        <v>46079.0</v>
      </c>
      <c r="I149" s="98" t="s">
        <v>2073</v>
      </c>
      <c r="J149" s="119" t="s">
        <v>2473</v>
      </c>
      <c r="K149" s="271"/>
      <c r="L149" s="271"/>
      <c r="M149" s="271"/>
      <c r="N149" s="271"/>
      <c r="O149" s="271"/>
      <c r="P149" s="271"/>
      <c r="Q149" s="271"/>
      <c r="R149" s="271"/>
      <c r="S149" s="271"/>
      <c r="T149" s="271"/>
      <c r="U149" s="271"/>
      <c r="V149" s="271"/>
      <c r="W149" s="271"/>
      <c r="X149" s="271"/>
      <c r="Y149" s="271"/>
      <c r="Z149" s="271"/>
      <c r="AA149" s="271"/>
      <c r="AB149" s="271"/>
      <c r="AC149" s="271"/>
      <c r="AD149" s="271"/>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c r="AY149" s="271"/>
      <c r="AZ149" s="271"/>
      <c r="BA149" s="271"/>
      <c r="BB149" s="271"/>
      <c r="BC149" s="271"/>
      <c r="BD149" s="271"/>
      <c r="BE149" s="271"/>
      <c r="BF149" s="271"/>
      <c r="BG149" s="271"/>
      <c r="BH149" s="271"/>
      <c r="BI149" s="271"/>
      <c r="BJ149" s="271"/>
    </row>
    <row r="150">
      <c r="A150" s="111" t="s">
        <v>1281</v>
      </c>
      <c r="B150" s="83" t="s">
        <v>2476</v>
      </c>
      <c r="C150" s="83" t="s">
        <v>68</v>
      </c>
      <c r="D150" s="112">
        <v>1107986.0</v>
      </c>
      <c r="E150" s="83"/>
      <c r="F150" s="83">
        <v>2.9149878E7</v>
      </c>
      <c r="G150" s="114" t="s">
        <v>2477</v>
      </c>
      <c r="H150" s="295">
        <v>46052.0</v>
      </c>
      <c r="I150" s="98"/>
      <c r="J150" s="119" t="s">
        <v>2478</v>
      </c>
      <c r="K150" s="271"/>
      <c r="L150" s="271"/>
      <c r="M150" s="271"/>
      <c r="N150" s="271"/>
      <c r="O150" s="271"/>
      <c r="P150" s="271"/>
      <c r="Q150" s="271"/>
      <c r="R150" s="271"/>
      <c r="S150" s="271"/>
      <c r="T150" s="271"/>
      <c r="U150" s="271"/>
      <c r="V150" s="271"/>
      <c r="W150" s="271"/>
      <c r="X150" s="271"/>
      <c r="Y150" s="271"/>
      <c r="Z150" s="271"/>
      <c r="AA150" s="271"/>
      <c r="AB150" s="271"/>
      <c r="AC150" s="271"/>
      <c r="AD150" s="271"/>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c r="AY150" s="271"/>
      <c r="AZ150" s="271"/>
      <c r="BA150" s="271"/>
      <c r="BB150" s="271"/>
      <c r="BC150" s="271"/>
      <c r="BD150" s="271"/>
      <c r="BE150" s="271"/>
      <c r="BF150" s="271"/>
      <c r="BG150" s="271"/>
      <c r="BH150" s="271"/>
      <c r="BI150" s="271"/>
      <c r="BJ150" s="271"/>
    </row>
    <row r="151">
      <c r="A151" s="111" t="s">
        <v>1785</v>
      </c>
      <c r="B151" s="83" t="s">
        <v>1994</v>
      </c>
      <c r="C151" s="83" t="s">
        <v>68</v>
      </c>
      <c r="D151" s="84">
        <v>1101090.0</v>
      </c>
      <c r="E151" s="83"/>
      <c r="F151" s="83">
        <v>2.9191106E7</v>
      </c>
      <c r="G151" s="114" t="s">
        <v>2479</v>
      </c>
      <c r="H151" s="295">
        <v>46064.0</v>
      </c>
      <c r="I151" s="98"/>
      <c r="J151" s="119" t="s">
        <v>2481</v>
      </c>
      <c r="K151" s="271"/>
      <c r="L151" s="271"/>
      <c r="M151" s="271"/>
      <c r="N151" s="271"/>
      <c r="O151" s="271"/>
      <c r="P151" s="271"/>
      <c r="Q151" s="271"/>
      <c r="R151" s="271"/>
      <c r="S151" s="271"/>
      <c r="T151" s="271"/>
      <c r="U151" s="271"/>
      <c r="V151" s="271"/>
      <c r="W151" s="271"/>
      <c r="X151" s="271"/>
      <c r="Y151" s="271"/>
      <c r="Z151" s="271"/>
      <c r="AA151" s="271"/>
      <c r="AB151" s="271"/>
      <c r="AC151" s="271"/>
      <c r="AD151" s="271"/>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c r="BH151" s="271"/>
      <c r="BI151" s="271"/>
      <c r="BJ151" s="271"/>
    </row>
    <row r="152">
      <c r="A152" s="111" t="s">
        <v>1785</v>
      </c>
      <c r="B152" s="83" t="s">
        <v>1994</v>
      </c>
      <c r="C152" s="83" t="s">
        <v>68</v>
      </c>
      <c r="D152" s="112">
        <v>1103565.0</v>
      </c>
      <c r="E152" s="83"/>
      <c r="F152" s="83">
        <v>2.9191041E7</v>
      </c>
      <c r="G152" s="119" t="s">
        <v>2486</v>
      </c>
      <c r="H152" s="295"/>
      <c r="I152" s="98"/>
      <c r="J152" s="119"/>
      <c r="K152" s="271"/>
      <c r="L152" s="271"/>
      <c r="M152" s="271"/>
      <c r="N152" s="271"/>
      <c r="O152" s="271"/>
      <c r="P152" s="271"/>
      <c r="Q152" s="271"/>
      <c r="R152" s="271"/>
      <c r="S152" s="271"/>
      <c r="T152" s="271"/>
      <c r="U152" s="271"/>
      <c r="V152" s="271"/>
      <c r="W152" s="271"/>
      <c r="X152" s="271"/>
      <c r="Y152" s="271"/>
      <c r="Z152" s="271"/>
      <c r="AA152" s="271"/>
      <c r="AB152" s="271"/>
      <c r="AC152" s="271"/>
      <c r="AD152" s="271"/>
      <c r="AE152" s="271"/>
      <c r="AF152" s="271"/>
      <c r="AG152" s="271"/>
      <c r="AH152" s="271"/>
      <c r="AI152" s="271"/>
      <c r="AJ152" s="271"/>
      <c r="AK152" s="271"/>
      <c r="AL152" s="271"/>
      <c r="AM152" s="271"/>
      <c r="AN152" s="271"/>
      <c r="AO152" s="271"/>
      <c r="AP152" s="271"/>
      <c r="AQ152" s="271"/>
      <c r="AR152" s="271"/>
      <c r="AS152" s="271"/>
      <c r="AT152" s="271"/>
      <c r="AU152" s="271"/>
      <c r="AV152" s="271"/>
      <c r="AW152" s="271"/>
      <c r="AX152" s="271"/>
      <c r="AY152" s="271"/>
      <c r="AZ152" s="271"/>
      <c r="BA152" s="271"/>
      <c r="BB152" s="271"/>
      <c r="BC152" s="271"/>
      <c r="BD152" s="271"/>
      <c r="BE152" s="271"/>
      <c r="BF152" s="271"/>
      <c r="BG152" s="271"/>
      <c r="BH152" s="271"/>
      <c r="BI152" s="271"/>
      <c r="BJ152" s="271"/>
    </row>
    <row r="153">
      <c r="A153" s="111" t="s">
        <v>1785</v>
      </c>
      <c r="B153" s="83" t="s">
        <v>1994</v>
      </c>
      <c r="C153" s="83" t="s">
        <v>68</v>
      </c>
      <c r="D153" s="112">
        <v>1100914.0</v>
      </c>
      <c r="E153" s="83"/>
      <c r="F153" s="83">
        <v>2.9192064E7</v>
      </c>
      <c r="G153" s="119" t="s">
        <v>2488</v>
      </c>
      <c r="H153" s="295"/>
      <c r="I153" s="98"/>
      <c r="J153" s="119"/>
      <c r="K153" s="271"/>
      <c r="L153" s="271"/>
      <c r="M153" s="271"/>
      <c r="N153" s="271"/>
      <c r="O153" s="271"/>
      <c r="P153" s="271"/>
      <c r="Q153" s="271"/>
      <c r="R153" s="271"/>
      <c r="S153" s="271"/>
      <c r="T153" s="271"/>
      <c r="U153" s="271"/>
      <c r="V153" s="271"/>
      <c r="W153" s="271"/>
      <c r="X153" s="271"/>
      <c r="Y153" s="271"/>
      <c r="Z153" s="271"/>
      <c r="AA153" s="271"/>
      <c r="AB153" s="271"/>
      <c r="AC153" s="271"/>
      <c r="AD153" s="271"/>
      <c r="AE153" s="271"/>
      <c r="AF153" s="271"/>
      <c r="AG153" s="271"/>
      <c r="AH153" s="271"/>
      <c r="AI153" s="271"/>
      <c r="AJ153" s="271"/>
      <c r="AK153" s="271"/>
      <c r="AL153" s="271"/>
      <c r="AM153" s="271"/>
      <c r="AN153" s="271"/>
      <c r="AO153" s="271"/>
      <c r="AP153" s="271"/>
      <c r="AQ153" s="271"/>
      <c r="AR153" s="271"/>
      <c r="AS153" s="271"/>
      <c r="AT153" s="271"/>
      <c r="AU153" s="271"/>
      <c r="AV153" s="271"/>
      <c r="AW153" s="271"/>
      <c r="AX153" s="271"/>
      <c r="AY153" s="271"/>
      <c r="AZ153" s="271"/>
      <c r="BA153" s="271"/>
      <c r="BB153" s="271"/>
      <c r="BC153" s="271"/>
      <c r="BD153" s="271"/>
      <c r="BE153" s="271"/>
      <c r="BF153" s="271"/>
      <c r="BG153" s="271"/>
      <c r="BH153" s="271"/>
      <c r="BI153" s="271"/>
      <c r="BJ153" s="271"/>
    </row>
    <row r="154">
      <c r="A154" s="111" t="s">
        <v>1785</v>
      </c>
      <c r="B154" s="83" t="s">
        <v>1994</v>
      </c>
      <c r="C154" s="83" t="s">
        <v>68</v>
      </c>
      <c r="D154" s="112">
        <v>1100167.0</v>
      </c>
      <c r="E154" s="83"/>
      <c r="F154" s="83">
        <v>2.9188903E7</v>
      </c>
      <c r="G154" s="298" t="s">
        <v>2493</v>
      </c>
      <c r="H154" s="295"/>
      <c r="I154" s="98"/>
      <c r="J154" s="119"/>
      <c r="K154" s="271"/>
      <c r="L154" s="271"/>
      <c r="M154" s="271"/>
      <c r="N154" s="271"/>
      <c r="O154" s="271"/>
      <c r="P154" s="271"/>
      <c r="Q154" s="271"/>
      <c r="R154" s="271"/>
      <c r="S154" s="271"/>
      <c r="T154" s="271"/>
      <c r="U154" s="271"/>
      <c r="V154" s="271"/>
      <c r="W154" s="271"/>
      <c r="X154" s="271"/>
      <c r="Y154" s="271"/>
      <c r="Z154" s="271"/>
      <c r="AA154" s="271"/>
      <c r="AB154" s="271"/>
      <c r="AC154" s="271"/>
      <c r="AD154" s="271"/>
      <c r="AE154" s="271"/>
      <c r="AF154" s="271"/>
      <c r="AG154" s="271"/>
      <c r="AH154" s="271"/>
      <c r="AI154" s="271"/>
      <c r="AJ154" s="271"/>
      <c r="AK154" s="271"/>
      <c r="AL154" s="271"/>
      <c r="AM154" s="271"/>
      <c r="AN154" s="271"/>
      <c r="AO154" s="271"/>
      <c r="AP154" s="271"/>
      <c r="AQ154" s="271"/>
      <c r="AR154" s="271"/>
      <c r="AS154" s="271"/>
      <c r="AT154" s="271"/>
      <c r="AU154" s="271"/>
      <c r="AV154" s="271"/>
      <c r="AW154" s="271"/>
      <c r="AX154" s="271"/>
      <c r="AY154" s="271"/>
      <c r="AZ154" s="271"/>
      <c r="BA154" s="271"/>
      <c r="BB154" s="271"/>
      <c r="BC154" s="271"/>
      <c r="BD154" s="271"/>
      <c r="BE154" s="271"/>
      <c r="BF154" s="271"/>
      <c r="BG154" s="271"/>
      <c r="BH154" s="271"/>
      <c r="BI154" s="271"/>
      <c r="BJ154" s="271"/>
    </row>
    <row r="155">
      <c r="A155" s="111" t="s">
        <v>540</v>
      </c>
      <c r="B155" s="83" t="s">
        <v>1706</v>
      </c>
      <c r="C155" s="83" t="s">
        <v>164</v>
      </c>
      <c r="D155" s="112">
        <v>1179284.0</v>
      </c>
      <c r="E155" s="98">
        <v>1179791.0</v>
      </c>
      <c r="F155" s="83"/>
      <c r="G155" s="119" t="s">
        <v>2496</v>
      </c>
      <c r="H155" s="295"/>
      <c r="I155" s="98"/>
      <c r="J155" s="119"/>
      <c r="K155" s="271"/>
      <c r="L155" s="271"/>
      <c r="M155" s="271"/>
      <c r="N155" s="271"/>
      <c r="O155" s="271"/>
      <c r="P155" s="271"/>
      <c r="Q155" s="271"/>
      <c r="R155" s="271"/>
      <c r="S155" s="271"/>
      <c r="T155" s="271"/>
      <c r="U155" s="271"/>
      <c r="V155" s="271"/>
      <c r="W155" s="271"/>
      <c r="X155" s="271"/>
      <c r="Y155" s="271"/>
      <c r="Z155" s="271"/>
      <c r="AA155" s="271"/>
      <c r="AB155" s="271"/>
      <c r="AC155" s="271"/>
      <c r="AD155" s="271"/>
      <c r="AE155" s="271"/>
      <c r="AF155" s="271"/>
      <c r="AG155" s="271"/>
      <c r="AH155" s="271"/>
      <c r="AI155" s="271"/>
      <c r="AJ155" s="271"/>
      <c r="AK155" s="271"/>
      <c r="AL155" s="271"/>
      <c r="AM155" s="271"/>
      <c r="AN155" s="271"/>
      <c r="AO155" s="271"/>
      <c r="AP155" s="271"/>
      <c r="AQ155" s="271"/>
      <c r="AR155" s="271"/>
      <c r="AS155" s="271"/>
      <c r="AT155" s="271"/>
      <c r="AU155" s="271"/>
      <c r="AV155" s="271"/>
      <c r="AW155" s="271"/>
      <c r="AX155" s="271"/>
      <c r="AY155" s="271"/>
      <c r="AZ155" s="271"/>
      <c r="BA155" s="271"/>
      <c r="BB155" s="271"/>
      <c r="BC155" s="271"/>
      <c r="BD155" s="271"/>
      <c r="BE155" s="271"/>
      <c r="BF155" s="271"/>
      <c r="BG155" s="271"/>
      <c r="BH155" s="271"/>
      <c r="BI155" s="271"/>
      <c r="BJ155" s="271"/>
    </row>
    <row r="156">
      <c r="A156" s="111" t="s">
        <v>1785</v>
      </c>
      <c r="B156" s="83" t="s">
        <v>1994</v>
      </c>
      <c r="C156" s="83" t="s">
        <v>68</v>
      </c>
      <c r="D156" s="112">
        <v>1100558.0</v>
      </c>
      <c r="E156" s="83"/>
      <c r="F156" s="83">
        <v>2.919878E7</v>
      </c>
      <c r="G156" s="114" t="s">
        <v>2499</v>
      </c>
      <c r="H156" s="295">
        <v>46083.0</v>
      </c>
      <c r="I156" s="98" t="s">
        <v>2311</v>
      </c>
      <c r="J156" s="119" t="s">
        <v>2501</v>
      </c>
      <c r="K156" s="271"/>
      <c r="L156" s="271"/>
      <c r="M156" s="271"/>
      <c r="N156" s="271"/>
      <c r="O156" s="271"/>
      <c r="P156" s="271"/>
      <c r="Q156" s="271"/>
      <c r="R156" s="271"/>
      <c r="S156" s="271"/>
      <c r="T156" s="271"/>
      <c r="U156" s="271"/>
      <c r="V156" s="271"/>
      <c r="W156" s="271"/>
      <c r="X156" s="271"/>
      <c r="Y156" s="271"/>
      <c r="Z156" s="271"/>
      <c r="AA156" s="271"/>
      <c r="AB156" s="271"/>
      <c r="AC156" s="271"/>
      <c r="AD156" s="271"/>
      <c r="AE156" s="271"/>
      <c r="AF156" s="271"/>
      <c r="AG156" s="271"/>
      <c r="AH156" s="271"/>
      <c r="AI156" s="271"/>
      <c r="AJ156" s="271"/>
      <c r="AK156" s="271"/>
      <c r="AL156" s="271"/>
      <c r="AM156" s="271"/>
      <c r="AN156" s="271"/>
      <c r="AO156" s="271"/>
      <c r="AP156" s="271"/>
      <c r="AQ156" s="271"/>
      <c r="AR156" s="271"/>
      <c r="AS156" s="271"/>
      <c r="AT156" s="271"/>
      <c r="AU156" s="271"/>
      <c r="AV156" s="271"/>
      <c r="AW156" s="271"/>
      <c r="AX156" s="271"/>
      <c r="AY156" s="271"/>
      <c r="AZ156" s="271"/>
      <c r="BA156" s="271"/>
      <c r="BB156" s="271"/>
      <c r="BC156" s="271"/>
      <c r="BD156" s="271"/>
      <c r="BE156" s="271"/>
      <c r="BF156" s="271"/>
      <c r="BG156" s="271"/>
      <c r="BH156" s="271"/>
      <c r="BI156" s="271"/>
      <c r="BJ156" s="271"/>
    </row>
    <row r="157">
      <c r="A157" s="111" t="s">
        <v>1393</v>
      </c>
      <c r="B157" s="83" t="s">
        <v>2282</v>
      </c>
      <c r="C157" s="83" t="s">
        <v>68</v>
      </c>
      <c r="D157" s="112">
        <v>1125461.0</v>
      </c>
      <c r="E157" s="136"/>
      <c r="F157" s="136">
        <v>2.9279178E7</v>
      </c>
      <c r="G157" s="147" t="s">
        <v>2505</v>
      </c>
      <c r="H157" s="295"/>
      <c r="I157" s="98"/>
      <c r="J157" s="119"/>
      <c r="K157" s="271"/>
      <c r="L157" s="271"/>
      <c r="M157" s="271"/>
      <c r="N157" s="271"/>
      <c r="O157" s="271"/>
      <c r="P157" s="271"/>
      <c r="Q157" s="271"/>
      <c r="R157" s="271"/>
      <c r="S157" s="271"/>
      <c r="T157" s="271"/>
      <c r="U157" s="271"/>
      <c r="V157" s="271"/>
      <c r="W157" s="271"/>
      <c r="X157" s="271"/>
      <c r="Y157" s="271"/>
      <c r="Z157" s="271"/>
      <c r="AA157" s="271"/>
      <c r="AB157" s="271"/>
      <c r="AC157" s="271"/>
      <c r="AD157" s="271"/>
      <c r="AE157" s="271"/>
      <c r="AF157" s="271"/>
      <c r="AG157" s="271"/>
      <c r="AH157" s="271"/>
      <c r="AI157" s="271"/>
      <c r="AJ157" s="271"/>
      <c r="AK157" s="271"/>
      <c r="AL157" s="271"/>
      <c r="AM157" s="271"/>
      <c r="AN157" s="271"/>
      <c r="AO157" s="271"/>
      <c r="AP157" s="271"/>
      <c r="AQ157" s="271"/>
      <c r="AR157" s="271"/>
      <c r="AS157" s="271"/>
      <c r="AT157" s="271"/>
      <c r="AU157" s="271"/>
      <c r="AV157" s="271"/>
      <c r="AW157" s="271"/>
      <c r="AX157" s="271"/>
      <c r="AY157" s="271"/>
      <c r="AZ157" s="271"/>
      <c r="BA157" s="271"/>
      <c r="BB157" s="271"/>
      <c r="BC157" s="271"/>
      <c r="BD157" s="271"/>
      <c r="BE157" s="271"/>
      <c r="BF157" s="271"/>
      <c r="BG157" s="271"/>
      <c r="BH157" s="271"/>
      <c r="BI157" s="271"/>
      <c r="BJ157" s="271"/>
    </row>
    <row r="158">
      <c r="A158" s="111" t="s">
        <v>1785</v>
      </c>
      <c r="B158" s="83" t="s">
        <v>1994</v>
      </c>
      <c r="C158" s="83" t="s">
        <v>164</v>
      </c>
      <c r="D158" s="112">
        <v>1103786.0</v>
      </c>
      <c r="E158" s="83">
        <v>1178635.0</v>
      </c>
      <c r="F158" s="83"/>
      <c r="G158" s="119" t="s">
        <v>2506</v>
      </c>
      <c r="H158" s="295"/>
      <c r="I158" s="98"/>
      <c r="J158" s="119"/>
      <c r="K158" s="271"/>
      <c r="L158" s="271"/>
      <c r="M158" s="271"/>
      <c r="N158" s="271"/>
      <c r="O158" s="271"/>
      <c r="P158" s="271"/>
      <c r="Q158" s="271"/>
      <c r="R158" s="271"/>
      <c r="S158" s="271"/>
      <c r="T158" s="271"/>
      <c r="U158" s="271"/>
      <c r="V158" s="271"/>
      <c r="W158" s="271"/>
      <c r="X158" s="271"/>
      <c r="Y158" s="271"/>
      <c r="Z158" s="271"/>
      <c r="AA158" s="271"/>
      <c r="AB158" s="271"/>
      <c r="AC158" s="271"/>
      <c r="AD158" s="271"/>
      <c r="AE158" s="271"/>
      <c r="AF158" s="271"/>
      <c r="AG158" s="271"/>
      <c r="AH158" s="271"/>
      <c r="AI158" s="271"/>
      <c r="AJ158" s="271"/>
      <c r="AK158" s="271"/>
      <c r="AL158" s="271"/>
      <c r="AM158" s="271"/>
      <c r="AN158" s="271"/>
      <c r="AO158" s="271"/>
      <c r="AP158" s="271"/>
      <c r="AQ158" s="271"/>
      <c r="AR158" s="271"/>
      <c r="AS158" s="271"/>
      <c r="AT158" s="271"/>
      <c r="AU158" s="271"/>
      <c r="AV158" s="271"/>
      <c r="AW158" s="271"/>
      <c r="AX158" s="271"/>
      <c r="AY158" s="271"/>
      <c r="AZ158" s="271"/>
      <c r="BA158" s="271"/>
      <c r="BB158" s="271"/>
      <c r="BC158" s="271"/>
      <c r="BD158" s="271"/>
      <c r="BE158" s="271"/>
      <c r="BF158" s="271"/>
      <c r="BG158" s="271"/>
      <c r="BH158" s="271"/>
      <c r="BI158" s="271"/>
      <c r="BJ158" s="271"/>
    </row>
    <row r="159">
      <c r="A159" s="111" t="s">
        <v>130</v>
      </c>
      <c r="B159" s="83" t="s">
        <v>192</v>
      </c>
      <c r="C159" s="83" t="s">
        <v>164</v>
      </c>
      <c r="D159" s="112">
        <v>1126212.0</v>
      </c>
      <c r="E159" s="83">
        <v>1178793.0</v>
      </c>
      <c r="F159" s="98">
        <v>2.9492815E7</v>
      </c>
      <c r="G159" s="187" t="s">
        <v>2507</v>
      </c>
      <c r="H159" s="295">
        <v>46105.0</v>
      </c>
      <c r="I159" s="98" t="s">
        <v>2311</v>
      </c>
      <c r="J159" s="119"/>
      <c r="K159" s="271"/>
      <c r="L159" s="271"/>
      <c r="M159" s="271"/>
      <c r="N159" s="271"/>
      <c r="O159" s="271"/>
      <c r="P159" s="271"/>
      <c r="Q159" s="271"/>
      <c r="R159" s="271"/>
      <c r="S159" s="271"/>
      <c r="T159" s="271"/>
      <c r="U159" s="271"/>
      <c r="V159" s="271"/>
      <c r="W159" s="271"/>
      <c r="X159" s="271"/>
      <c r="Y159" s="271"/>
      <c r="Z159" s="271"/>
      <c r="AA159" s="271"/>
      <c r="AB159" s="271"/>
      <c r="AC159" s="271"/>
      <c r="AD159" s="271"/>
      <c r="AE159" s="271"/>
      <c r="AF159" s="271"/>
      <c r="AG159" s="271"/>
      <c r="AH159" s="271"/>
      <c r="AI159" s="271"/>
      <c r="AJ159" s="271"/>
      <c r="AK159" s="271"/>
      <c r="AL159" s="271"/>
      <c r="AM159" s="271"/>
      <c r="AN159" s="271"/>
      <c r="AO159" s="271"/>
      <c r="AP159" s="271"/>
      <c r="AQ159" s="271"/>
      <c r="AR159" s="271"/>
      <c r="AS159" s="271"/>
      <c r="AT159" s="271"/>
      <c r="AU159" s="271"/>
      <c r="AV159" s="271"/>
      <c r="AW159" s="271"/>
      <c r="AX159" s="271"/>
      <c r="AY159" s="271"/>
      <c r="AZ159" s="271"/>
      <c r="BA159" s="271"/>
      <c r="BB159" s="271"/>
      <c r="BC159" s="271"/>
      <c r="BD159" s="271"/>
      <c r="BE159" s="271"/>
      <c r="BF159" s="271"/>
      <c r="BG159" s="271"/>
      <c r="BH159" s="271"/>
      <c r="BI159" s="271"/>
      <c r="BJ159" s="271"/>
    </row>
    <row r="160">
      <c r="A160" s="111" t="s">
        <v>285</v>
      </c>
      <c r="B160" s="83" t="s">
        <v>1053</v>
      </c>
      <c r="C160" s="83" t="s">
        <v>164</v>
      </c>
      <c r="D160" s="112">
        <v>1179283.0</v>
      </c>
      <c r="E160" s="83">
        <v>1178744.0</v>
      </c>
      <c r="F160" s="83"/>
      <c r="G160" s="114" t="s">
        <v>2508</v>
      </c>
      <c r="H160" s="295">
        <v>46105.0</v>
      </c>
      <c r="I160" s="98" t="s">
        <v>2311</v>
      </c>
      <c r="J160" s="119"/>
      <c r="K160" s="271"/>
      <c r="L160" s="271"/>
      <c r="M160" s="271"/>
      <c r="N160" s="271"/>
      <c r="O160" s="271"/>
      <c r="P160" s="271"/>
      <c r="Q160" s="271"/>
      <c r="R160" s="271"/>
      <c r="S160" s="271"/>
      <c r="T160" s="271"/>
      <c r="U160" s="271"/>
      <c r="V160" s="271"/>
      <c r="W160" s="271"/>
      <c r="X160" s="271"/>
      <c r="Y160" s="271"/>
      <c r="Z160" s="271"/>
      <c r="AA160" s="271"/>
      <c r="AB160" s="271"/>
      <c r="AC160" s="271"/>
      <c r="AD160" s="271"/>
      <c r="AE160" s="271"/>
      <c r="AF160" s="271"/>
      <c r="AG160" s="271"/>
      <c r="AH160" s="271"/>
      <c r="AI160" s="271"/>
      <c r="AJ160" s="271"/>
      <c r="AK160" s="271"/>
      <c r="AL160" s="271"/>
      <c r="AM160" s="271"/>
      <c r="AN160" s="271"/>
      <c r="AO160" s="271"/>
      <c r="AP160" s="271"/>
      <c r="AQ160" s="271"/>
      <c r="AR160" s="271"/>
      <c r="AS160" s="271"/>
      <c r="AT160" s="271"/>
      <c r="AU160" s="271"/>
      <c r="AV160" s="271"/>
      <c r="AW160" s="271"/>
      <c r="AX160" s="271"/>
      <c r="AY160" s="271"/>
      <c r="AZ160" s="271"/>
      <c r="BA160" s="271"/>
      <c r="BB160" s="271"/>
      <c r="BC160" s="271"/>
      <c r="BD160" s="271"/>
      <c r="BE160" s="271"/>
      <c r="BF160" s="271"/>
      <c r="BG160" s="271"/>
      <c r="BH160" s="271"/>
      <c r="BI160" s="271"/>
      <c r="BJ160" s="271"/>
    </row>
    <row r="161">
      <c r="A161" s="111" t="s">
        <v>1224</v>
      </c>
      <c r="B161" s="83" t="s">
        <v>2000</v>
      </c>
      <c r="C161" s="83" t="s">
        <v>164</v>
      </c>
      <c r="D161" s="112">
        <v>1179120.0</v>
      </c>
      <c r="E161" s="83">
        <v>1179119.0</v>
      </c>
      <c r="F161" s="83"/>
      <c r="G161" s="119" t="s">
        <v>2511</v>
      </c>
      <c r="H161" s="295">
        <v>46105.0</v>
      </c>
      <c r="I161" s="98" t="s">
        <v>2311</v>
      </c>
      <c r="J161" s="119"/>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271"/>
      <c r="AG161" s="271"/>
      <c r="AH161" s="271"/>
      <c r="AI161" s="271"/>
      <c r="AJ161" s="271"/>
      <c r="AK161" s="271"/>
      <c r="AL161" s="271"/>
      <c r="AM161" s="271"/>
      <c r="AN161" s="271"/>
      <c r="AO161" s="271"/>
      <c r="AP161" s="271"/>
      <c r="AQ161" s="271"/>
      <c r="AR161" s="271"/>
      <c r="AS161" s="271"/>
      <c r="AT161" s="271"/>
      <c r="AU161" s="271"/>
      <c r="AV161" s="271"/>
      <c r="AW161" s="271"/>
      <c r="AX161" s="271"/>
      <c r="AY161" s="271"/>
      <c r="AZ161" s="271"/>
      <c r="BA161" s="271"/>
      <c r="BB161" s="271"/>
      <c r="BC161" s="271"/>
      <c r="BD161" s="271"/>
      <c r="BE161" s="271"/>
      <c r="BF161" s="271"/>
      <c r="BG161" s="271"/>
      <c r="BH161" s="271"/>
      <c r="BI161" s="271"/>
      <c r="BJ161" s="271"/>
    </row>
    <row r="162">
      <c r="A162" s="111" t="s">
        <v>451</v>
      </c>
      <c r="B162" s="83" t="s">
        <v>1625</v>
      </c>
      <c r="C162" s="83" t="s">
        <v>164</v>
      </c>
      <c r="D162" s="112">
        <v>1179701.0</v>
      </c>
      <c r="E162" s="83">
        <v>1179276.0</v>
      </c>
      <c r="F162" s="83"/>
      <c r="G162" s="114" t="s">
        <v>2515</v>
      </c>
      <c r="H162" s="295">
        <v>46105.0</v>
      </c>
      <c r="I162" s="98" t="s">
        <v>2311</v>
      </c>
      <c r="J162" s="119"/>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271"/>
      <c r="AG162" s="271"/>
      <c r="AH162" s="271"/>
      <c r="AI162" s="271"/>
      <c r="AJ162" s="271"/>
      <c r="AK162" s="271"/>
      <c r="AL162" s="271"/>
      <c r="AM162" s="271"/>
      <c r="AN162" s="271"/>
      <c r="AO162" s="271"/>
      <c r="AP162" s="271"/>
      <c r="AQ162" s="271"/>
      <c r="AR162" s="271"/>
      <c r="AS162" s="271"/>
      <c r="AT162" s="271"/>
      <c r="AU162" s="271"/>
      <c r="AV162" s="271"/>
      <c r="AW162" s="271"/>
      <c r="AX162" s="271"/>
      <c r="AY162" s="271"/>
      <c r="AZ162" s="271"/>
      <c r="BA162" s="271"/>
      <c r="BB162" s="271"/>
      <c r="BC162" s="271"/>
      <c r="BD162" s="271"/>
      <c r="BE162" s="271"/>
      <c r="BF162" s="271"/>
      <c r="BG162" s="271"/>
      <c r="BH162" s="271"/>
      <c r="BI162" s="271"/>
      <c r="BJ162" s="271"/>
    </row>
    <row r="163">
      <c r="A163" s="111" t="s">
        <v>1842</v>
      </c>
      <c r="B163" s="83" t="s">
        <v>2516</v>
      </c>
      <c r="C163" s="83" t="s">
        <v>164</v>
      </c>
      <c r="D163" s="112">
        <v>1112998.0</v>
      </c>
      <c r="E163" s="83">
        <v>1179682.0</v>
      </c>
      <c r="F163" s="83"/>
      <c r="G163" s="119" t="s">
        <v>2517</v>
      </c>
      <c r="H163" s="295">
        <v>46105.0</v>
      </c>
      <c r="I163" s="98" t="s">
        <v>2311</v>
      </c>
      <c r="J163" s="119"/>
      <c r="K163" s="271"/>
      <c r="L163" s="271"/>
      <c r="M163" s="271"/>
      <c r="N163" s="271"/>
      <c r="O163" s="271"/>
      <c r="P163" s="271"/>
      <c r="Q163" s="271"/>
      <c r="R163" s="271"/>
      <c r="S163" s="271"/>
      <c r="T163" s="271"/>
      <c r="U163" s="271"/>
      <c r="V163" s="271"/>
      <c r="W163" s="271"/>
      <c r="X163" s="271"/>
      <c r="Y163" s="271"/>
      <c r="Z163" s="271"/>
      <c r="AA163" s="271"/>
      <c r="AB163" s="271"/>
      <c r="AC163" s="271"/>
      <c r="AD163" s="271"/>
      <c r="AE163" s="271"/>
      <c r="AF163" s="271"/>
      <c r="AG163" s="271"/>
      <c r="AH163" s="271"/>
      <c r="AI163" s="271"/>
      <c r="AJ163" s="271"/>
      <c r="AK163" s="271"/>
      <c r="AL163" s="271"/>
      <c r="AM163" s="271"/>
      <c r="AN163" s="271"/>
      <c r="AO163" s="271"/>
      <c r="AP163" s="271"/>
      <c r="AQ163" s="271"/>
      <c r="AR163" s="271"/>
      <c r="AS163" s="271"/>
      <c r="AT163" s="271"/>
      <c r="AU163" s="271"/>
      <c r="AV163" s="271"/>
      <c r="AW163" s="271"/>
      <c r="AX163" s="271"/>
      <c r="AY163" s="271"/>
      <c r="AZ163" s="271"/>
      <c r="BA163" s="271"/>
      <c r="BB163" s="271"/>
      <c r="BC163" s="271"/>
      <c r="BD163" s="271"/>
      <c r="BE163" s="271"/>
      <c r="BF163" s="271"/>
      <c r="BG163" s="271"/>
      <c r="BH163" s="271"/>
      <c r="BI163" s="271"/>
      <c r="BJ163" s="271"/>
    </row>
    <row r="164">
      <c r="A164" s="111" t="s">
        <v>1281</v>
      </c>
      <c r="B164" s="83" t="s">
        <v>2518</v>
      </c>
      <c r="C164" s="83" t="s">
        <v>68</v>
      </c>
      <c r="D164" s="112">
        <v>1108311.0</v>
      </c>
      <c r="E164" s="83"/>
      <c r="F164" s="83">
        <v>2.9154618E7</v>
      </c>
      <c r="G164" s="119" t="s">
        <v>2519</v>
      </c>
      <c r="H164" s="295">
        <v>46112.0</v>
      </c>
      <c r="I164" s="98" t="s">
        <v>2311</v>
      </c>
      <c r="J164" s="119"/>
      <c r="K164" s="271"/>
      <c r="L164" s="271"/>
      <c r="M164" s="271"/>
      <c r="N164" s="271"/>
      <c r="O164" s="271"/>
      <c r="P164" s="271"/>
      <c r="Q164" s="271"/>
      <c r="R164" s="271"/>
      <c r="S164" s="271"/>
      <c r="T164" s="271"/>
      <c r="U164" s="271"/>
      <c r="V164" s="271"/>
      <c r="W164" s="271"/>
      <c r="X164" s="271"/>
      <c r="Y164" s="271"/>
      <c r="Z164" s="271"/>
      <c r="AA164" s="271"/>
      <c r="AB164" s="271"/>
      <c r="AC164" s="271"/>
      <c r="AD164" s="271"/>
      <c r="AE164" s="271"/>
      <c r="AF164" s="271"/>
      <c r="AG164" s="271"/>
      <c r="AH164" s="271"/>
      <c r="AI164" s="271"/>
      <c r="AJ164" s="271"/>
      <c r="AK164" s="271"/>
      <c r="AL164" s="271"/>
      <c r="AM164" s="271"/>
      <c r="AN164" s="271"/>
      <c r="AO164" s="271"/>
      <c r="AP164" s="271"/>
      <c r="AQ164" s="271"/>
      <c r="AR164" s="271"/>
      <c r="AS164" s="271"/>
      <c r="AT164" s="271"/>
      <c r="AU164" s="271"/>
      <c r="AV164" s="271"/>
      <c r="AW164" s="271"/>
      <c r="AX164" s="271"/>
      <c r="AY164" s="271"/>
      <c r="AZ164" s="271"/>
      <c r="BA164" s="271"/>
      <c r="BB164" s="271"/>
      <c r="BC164" s="271"/>
      <c r="BD164" s="271"/>
      <c r="BE164" s="271"/>
      <c r="BF164" s="271"/>
      <c r="BG164" s="271"/>
      <c r="BH164" s="271"/>
      <c r="BI164" s="271"/>
      <c r="BJ164" s="271"/>
    </row>
    <row r="165">
      <c r="A165" s="111" t="s">
        <v>1281</v>
      </c>
      <c r="B165" s="83" t="s">
        <v>2518</v>
      </c>
      <c r="C165" s="83" t="s">
        <v>68</v>
      </c>
      <c r="D165" s="112">
        <v>1108320.0</v>
      </c>
      <c r="E165" s="83"/>
      <c r="F165" s="83">
        <v>2.9153964E7</v>
      </c>
      <c r="G165" s="119" t="s">
        <v>2521</v>
      </c>
      <c r="H165" s="295">
        <v>46112.0</v>
      </c>
      <c r="I165" s="98" t="s">
        <v>2311</v>
      </c>
      <c r="J165" s="119"/>
      <c r="K165" s="271"/>
      <c r="L165" s="271"/>
      <c r="M165" s="271"/>
      <c r="N165" s="271"/>
      <c r="O165" s="271"/>
      <c r="P165" s="271"/>
      <c r="Q165" s="271"/>
      <c r="R165" s="271"/>
      <c r="S165" s="271"/>
      <c r="T165" s="271"/>
      <c r="U165" s="271"/>
      <c r="V165" s="271"/>
      <c r="W165" s="271"/>
      <c r="X165" s="271"/>
      <c r="Y165" s="271"/>
      <c r="Z165" s="271"/>
      <c r="AA165" s="271"/>
      <c r="AB165" s="271"/>
      <c r="AC165" s="271"/>
      <c r="AD165" s="271"/>
      <c r="AE165" s="271"/>
      <c r="AF165" s="271"/>
      <c r="AG165" s="271"/>
      <c r="AH165" s="271"/>
      <c r="AI165" s="271"/>
      <c r="AJ165" s="271"/>
      <c r="AK165" s="271"/>
      <c r="AL165" s="271"/>
      <c r="AM165" s="271"/>
      <c r="AN165" s="271"/>
      <c r="AO165" s="271"/>
      <c r="AP165" s="271"/>
      <c r="AQ165" s="271"/>
      <c r="AR165" s="271"/>
      <c r="AS165" s="271"/>
      <c r="AT165" s="271"/>
      <c r="AU165" s="271"/>
      <c r="AV165" s="271"/>
      <c r="AW165" s="271"/>
      <c r="AX165" s="271"/>
      <c r="AY165" s="271"/>
      <c r="AZ165" s="271"/>
      <c r="BA165" s="271"/>
      <c r="BB165" s="271"/>
      <c r="BC165" s="271"/>
      <c r="BD165" s="271"/>
      <c r="BE165" s="271"/>
      <c r="BF165" s="271"/>
      <c r="BG165" s="271"/>
      <c r="BH165" s="271"/>
      <c r="BI165" s="271"/>
      <c r="BJ165" s="271"/>
    </row>
    <row r="166">
      <c r="A166" s="111" t="s">
        <v>1281</v>
      </c>
      <c r="B166" s="83" t="s">
        <v>2524</v>
      </c>
      <c r="C166" s="83" t="s">
        <v>164</v>
      </c>
      <c r="D166" s="112">
        <v>1108273.0</v>
      </c>
      <c r="E166" s="83">
        <v>1178476.0</v>
      </c>
      <c r="F166" s="83"/>
      <c r="G166" s="119" t="s">
        <v>2526</v>
      </c>
      <c r="H166" s="295">
        <v>46127.0</v>
      </c>
      <c r="I166" s="98" t="s">
        <v>2311</v>
      </c>
      <c r="J166" s="119"/>
      <c r="K166" s="271"/>
      <c r="L166" s="271"/>
      <c r="M166" s="271"/>
      <c r="N166" s="271"/>
      <c r="O166" s="271"/>
      <c r="P166" s="271"/>
      <c r="Q166" s="271"/>
      <c r="R166" s="271"/>
      <c r="S166" s="271"/>
      <c r="T166" s="271"/>
      <c r="U166" s="271"/>
      <c r="V166" s="271"/>
      <c r="W166" s="271"/>
      <c r="X166" s="271"/>
      <c r="Y166" s="271"/>
      <c r="Z166" s="271"/>
      <c r="AA166" s="271"/>
      <c r="AB166" s="271"/>
      <c r="AC166" s="271"/>
      <c r="AD166" s="271"/>
      <c r="AE166" s="271"/>
      <c r="AF166" s="271"/>
      <c r="AG166" s="271"/>
      <c r="AH166" s="271"/>
      <c r="AI166" s="271"/>
      <c r="AJ166" s="271"/>
      <c r="AK166" s="271"/>
      <c r="AL166" s="271"/>
      <c r="AM166" s="271"/>
      <c r="AN166" s="271"/>
      <c r="AO166" s="271"/>
      <c r="AP166" s="271"/>
      <c r="AQ166" s="271"/>
      <c r="AR166" s="271"/>
      <c r="AS166" s="271"/>
      <c r="AT166" s="271"/>
      <c r="AU166" s="271"/>
      <c r="AV166" s="271"/>
      <c r="AW166" s="271"/>
      <c r="AX166" s="271"/>
      <c r="AY166" s="271"/>
      <c r="AZ166" s="271"/>
      <c r="BA166" s="271"/>
      <c r="BB166" s="271"/>
      <c r="BC166" s="271"/>
      <c r="BD166" s="271"/>
      <c r="BE166" s="271"/>
      <c r="BF166" s="271"/>
      <c r="BG166" s="271"/>
      <c r="BH166" s="271"/>
      <c r="BI166" s="271"/>
      <c r="BJ166" s="271"/>
    </row>
    <row r="167">
      <c r="A167" s="111" t="s">
        <v>1161</v>
      </c>
      <c r="B167" s="83" t="s">
        <v>2175</v>
      </c>
      <c r="C167" s="83" t="s">
        <v>164</v>
      </c>
      <c r="D167" s="112">
        <v>1178094.0</v>
      </c>
      <c r="E167" s="83">
        <v>1179326.0</v>
      </c>
      <c r="F167" s="83"/>
      <c r="G167" s="185" t="s">
        <v>2527</v>
      </c>
      <c r="H167" s="295">
        <v>46135.0</v>
      </c>
      <c r="I167" s="98" t="s">
        <v>2311</v>
      </c>
      <c r="J167" s="119" t="s">
        <v>2528</v>
      </c>
      <c r="K167" s="271"/>
      <c r="L167" s="271"/>
      <c r="M167" s="271"/>
      <c r="N167" s="271"/>
      <c r="O167" s="271"/>
      <c r="P167" s="271"/>
      <c r="Q167" s="271"/>
      <c r="R167" s="271"/>
      <c r="S167" s="271"/>
      <c r="T167" s="271"/>
      <c r="U167" s="271"/>
      <c r="V167" s="271"/>
      <c r="W167" s="271"/>
      <c r="X167" s="271"/>
      <c r="Y167" s="271"/>
      <c r="Z167" s="271"/>
      <c r="AA167" s="271"/>
      <c r="AB167" s="271"/>
      <c r="AC167" s="271"/>
      <c r="AD167" s="271"/>
      <c r="AE167" s="271"/>
      <c r="AF167" s="271"/>
      <c r="AG167" s="271"/>
      <c r="AH167" s="271"/>
      <c r="AI167" s="271"/>
      <c r="AJ167" s="271"/>
      <c r="AK167" s="271"/>
      <c r="AL167" s="271"/>
      <c r="AM167" s="271"/>
      <c r="AN167" s="271"/>
      <c r="AO167" s="271"/>
      <c r="AP167" s="271"/>
      <c r="AQ167" s="271"/>
      <c r="AR167" s="271"/>
      <c r="AS167" s="271"/>
      <c r="AT167" s="271"/>
      <c r="AU167" s="271"/>
      <c r="AV167" s="271"/>
      <c r="AW167" s="271"/>
      <c r="AX167" s="271"/>
      <c r="AY167" s="271"/>
      <c r="AZ167" s="271"/>
      <c r="BA167" s="271"/>
      <c r="BB167" s="271"/>
      <c r="BC167" s="271"/>
      <c r="BD167" s="271"/>
      <c r="BE167" s="271"/>
      <c r="BF167" s="271"/>
      <c r="BG167" s="271"/>
      <c r="BH167" s="271"/>
      <c r="BI167" s="271"/>
      <c r="BJ167" s="271"/>
    </row>
    <row r="168">
      <c r="A168" s="111" t="s">
        <v>1785</v>
      </c>
      <c r="B168" s="83" t="s">
        <v>1994</v>
      </c>
      <c r="C168" s="83" t="s">
        <v>68</v>
      </c>
      <c r="D168" s="112">
        <v>1102216.0</v>
      </c>
      <c r="E168" s="83"/>
      <c r="F168" s="83">
        <v>2.9191084E7</v>
      </c>
      <c r="G168" s="114" t="s">
        <v>2529</v>
      </c>
      <c r="H168" s="295">
        <v>46161.0</v>
      </c>
      <c r="I168" s="98" t="s">
        <v>2311</v>
      </c>
      <c r="J168" s="119" t="s">
        <v>2530</v>
      </c>
      <c r="K168" s="271"/>
      <c r="L168" s="271"/>
      <c r="M168" s="271"/>
      <c r="N168" s="271"/>
      <c r="O168" s="271"/>
      <c r="P168" s="271"/>
      <c r="Q168" s="271"/>
      <c r="R168" s="271"/>
      <c r="S168" s="271"/>
      <c r="T168" s="271"/>
      <c r="U168" s="271"/>
      <c r="V168" s="271"/>
      <c r="W168" s="271"/>
      <c r="X168" s="271"/>
      <c r="Y168" s="271"/>
      <c r="Z168" s="271"/>
      <c r="AA168" s="271"/>
      <c r="AB168" s="271"/>
      <c r="AC168" s="271"/>
      <c r="AD168" s="271"/>
      <c r="AE168" s="271"/>
      <c r="AF168" s="271"/>
      <c r="AG168" s="271"/>
      <c r="AH168" s="271"/>
      <c r="AI168" s="271"/>
      <c r="AJ168" s="271"/>
      <c r="AK168" s="271"/>
      <c r="AL168" s="271"/>
      <c r="AM168" s="271"/>
      <c r="AN168" s="271"/>
      <c r="AO168" s="271"/>
      <c r="AP168" s="271"/>
      <c r="AQ168" s="271"/>
      <c r="AR168" s="271"/>
      <c r="AS168" s="271"/>
      <c r="AT168" s="271"/>
      <c r="AU168" s="271"/>
      <c r="AV168" s="271"/>
      <c r="AW168" s="271"/>
      <c r="AX168" s="271"/>
      <c r="AY168" s="271"/>
      <c r="AZ168" s="271"/>
      <c r="BA168" s="271"/>
      <c r="BB168" s="271"/>
      <c r="BC168" s="271"/>
      <c r="BD168" s="271"/>
      <c r="BE168" s="271"/>
      <c r="BF168" s="271"/>
      <c r="BG168" s="271"/>
      <c r="BH168" s="271"/>
      <c r="BI168" s="271"/>
      <c r="BJ168" s="271"/>
    </row>
    <row r="169">
      <c r="A169" s="111" t="s">
        <v>383</v>
      </c>
      <c r="B169" s="83" t="s">
        <v>1110</v>
      </c>
      <c r="C169" s="83" t="s">
        <v>68</v>
      </c>
      <c r="D169" s="112">
        <v>1178245.0</v>
      </c>
      <c r="E169" s="83"/>
      <c r="F169" s="83">
        <v>2.9115604E7</v>
      </c>
      <c r="G169" s="187" t="s">
        <v>1111</v>
      </c>
      <c r="H169" s="287"/>
      <c r="I169" s="98"/>
      <c r="J169" s="119"/>
      <c r="K169" s="271"/>
      <c r="L169" s="271"/>
      <c r="M169" s="271"/>
      <c r="N169" s="271"/>
      <c r="O169" s="271"/>
      <c r="P169" s="271"/>
      <c r="Q169" s="271"/>
      <c r="R169" s="271"/>
      <c r="S169" s="271"/>
      <c r="T169" s="271"/>
      <c r="U169" s="271"/>
      <c r="V169" s="271"/>
      <c r="W169" s="271"/>
      <c r="X169" s="271"/>
      <c r="Y169" s="271"/>
      <c r="Z169" s="271"/>
      <c r="AA169" s="271"/>
      <c r="AB169" s="271"/>
      <c r="AC169" s="271"/>
      <c r="AD169" s="271"/>
      <c r="AE169" s="271"/>
      <c r="AF169" s="271"/>
      <c r="AG169" s="271"/>
      <c r="AH169" s="271"/>
      <c r="AI169" s="271"/>
      <c r="AJ169" s="271"/>
      <c r="AK169" s="271"/>
      <c r="AL169" s="271"/>
      <c r="AM169" s="271"/>
      <c r="AN169" s="271"/>
      <c r="AO169" s="271"/>
      <c r="AP169" s="271"/>
      <c r="AQ169" s="271"/>
      <c r="AR169" s="271"/>
      <c r="AS169" s="271"/>
      <c r="AT169" s="271"/>
      <c r="AU169" s="271"/>
      <c r="AV169" s="271"/>
      <c r="AW169" s="271"/>
      <c r="AX169" s="271"/>
      <c r="AY169" s="271"/>
      <c r="AZ169" s="271"/>
      <c r="BA169" s="271"/>
      <c r="BB169" s="271"/>
      <c r="BC169" s="271"/>
      <c r="BD169" s="271"/>
      <c r="BE169" s="271"/>
      <c r="BF169" s="271"/>
      <c r="BG169" s="271"/>
      <c r="BH169" s="271"/>
      <c r="BI169" s="271"/>
      <c r="BJ169" s="271"/>
    </row>
    <row r="170">
      <c r="A170" s="127" t="s">
        <v>1027</v>
      </c>
      <c r="B170" s="98" t="s">
        <v>2536</v>
      </c>
      <c r="C170" s="83" t="s">
        <v>68</v>
      </c>
      <c r="D170" s="98">
        <v>1179789.0</v>
      </c>
      <c r="E170" s="83"/>
      <c r="F170" s="98">
        <v>44176.0</v>
      </c>
      <c r="G170" s="147" t="s">
        <v>2537</v>
      </c>
      <c r="H170" s="287">
        <v>46223.0</v>
      </c>
      <c r="I170" s="98" t="s">
        <v>2311</v>
      </c>
      <c r="J170" s="119"/>
      <c r="K170" s="271"/>
      <c r="L170" s="271"/>
      <c r="M170" s="271"/>
      <c r="N170" s="271"/>
      <c r="O170" s="271"/>
      <c r="P170" s="271"/>
      <c r="Q170" s="271"/>
      <c r="R170" s="271"/>
      <c r="S170" s="271"/>
      <c r="T170" s="271"/>
      <c r="U170" s="271"/>
      <c r="V170" s="271"/>
      <c r="W170" s="271"/>
      <c r="X170" s="271"/>
      <c r="Y170" s="271"/>
      <c r="Z170" s="271"/>
      <c r="AA170" s="271"/>
      <c r="AB170" s="271"/>
      <c r="AC170" s="271"/>
      <c r="AD170" s="271"/>
      <c r="AE170" s="271"/>
      <c r="AF170" s="271"/>
      <c r="AG170" s="271"/>
      <c r="AH170" s="271"/>
      <c r="AI170" s="271"/>
      <c r="AJ170" s="271"/>
      <c r="AK170" s="271"/>
      <c r="AL170" s="271"/>
      <c r="AM170" s="271"/>
      <c r="AN170" s="271"/>
      <c r="AO170" s="271"/>
      <c r="AP170" s="271"/>
      <c r="AQ170" s="271"/>
      <c r="AR170" s="271"/>
      <c r="AS170" s="271"/>
      <c r="AT170" s="271"/>
      <c r="AU170" s="271"/>
      <c r="AV170" s="271"/>
      <c r="AW170" s="271"/>
      <c r="AX170" s="271"/>
      <c r="AY170" s="271"/>
      <c r="AZ170" s="271"/>
      <c r="BA170" s="271"/>
      <c r="BB170" s="271"/>
      <c r="BC170" s="271"/>
      <c r="BD170" s="271"/>
      <c r="BE170" s="271"/>
      <c r="BF170" s="271"/>
      <c r="BG170" s="271"/>
      <c r="BH170" s="271"/>
      <c r="BI170" s="271"/>
      <c r="BJ170" s="271"/>
    </row>
    <row r="171">
      <c r="A171" s="111" t="s">
        <v>383</v>
      </c>
      <c r="B171" s="83" t="s">
        <v>1270</v>
      </c>
      <c r="C171" s="83" t="s">
        <v>68</v>
      </c>
      <c r="D171" s="112">
        <v>1116209.0</v>
      </c>
      <c r="E171" s="83"/>
      <c r="F171" s="83">
        <v>2.9145538E7</v>
      </c>
      <c r="G171" s="114" t="s">
        <v>1271</v>
      </c>
      <c r="H171" s="287">
        <v>46238.0</v>
      </c>
      <c r="I171" s="98" t="s">
        <v>2073</v>
      </c>
      <c r="J171" s="180" t="s">
        <v>2538</v>
      </c>
      <c r="K171" s="271"/>
      <c r="L171" s="271"/>
      <c r="M171" s="271"/>
      <c r="N171" s="271"/>
      <c r="O171" s="271"/>
      <c r="P171" s="271"/>
      <c r="Q171" s="271"/>
      <c r="R171" s="271"/>
      <c r="S171" s="271"/>
      <c r="T171" s="271"/>
      <c r="U171" s="271"/>
      <c r="V171" s="271"/>
      <c r="W171" s="271"/>
      <c r="X171" s="271"/>
      <c r="Y171" s="271"/>
      <c r="Z171" s="271"/>
      <c r="AA171" s="271"/>
      <c r="AB171" s="271"/>
      <c r="AC171" s="271"/>
      <c r="AD171" s="271"/>
      <c r="AE171" s="271"/>
      <c r="AF171" s="271"/>
      <c r="AG171" s="271"/>
      <c r="AH171" s="271"/>
      <c r="AI171" s="271"/>
      <c r="AJ171" s="271"/>
      <c r="AK171" s="271"/>
      <c r="AL171" s="271"/>
      <c r="AM171" s="271"/>
      <c r="AN171" s="271"/>
      <c r="AO171" s="271"/>
      <c r="AP171" s="271"/>
      <c r="AQ171" s="271"/>
      <c r="AR171" s="271"/>
      <c r="AS171" s="271"/>
      <c r="AT171" s="271"/>
      <c r="AU171" s="271"/>
      <c r="AV171" s="271"/>
      <c r="AW171" s="271"/>
      <c r="AX171" s="271"/>
      <c r="AY171" s="271"/>
      <c r="AZ171" s="271"/>
      <c r="BA171" s="271"/>
      <c r="BB171" s="271"/>
      <c r="BC171" s="271"/>
      <c r="BD171" s="271"/>
      <c r="BE171" s="271"/>
      <c r="BF171" s="271"/>
      <c r="BG171" s="271"/>
      <c r="BH171" s="271"/>
      <c r="BI171" s="271"/>
      <c r="BJ171" s="271"/>
    </row>
    <row r="172">
      <c r="A172" s="111" t="s">
        <v>451</v>
      </c>
      <c r="B172" s="83" t="s">
        <v>1423</v>
      </c>
      <c r="C172" s="83" t="s">
        <v>164</v>
      </c>
      <c r="D172" s="112">
        <v>1179628.0</v>
      </c>
      <c r="E172" s="83">
        <v>1179679.0</v>
      </c>
      <c r="F172" s="83"/>
      <c r="G172" s="119" t="s">
        <v>1503</v>
      </c>
      <c r="H172" s="287">
        <v>46238.0</v>
      </c>
      <c r="I172" s="98" t="s">
        <v>2311</v>
      </c>
      <c r="J172" s="119"/>
      <c r="K172" s="271"/>
      <c r="L172" s="271"/>
      <c r="M172" s="271"/>
      <c r="N172" s="271"/>
      <c r="O172" s="271"/>
      <c r="P172" s="271"/>
      <c r="Q172" s="271"/>
      <c r="R172" s="271"/>
      <c r="S172" s="271"/>
      <c r="T172" s="271"/>
      <c r="U172" s="271"/>
      <c r="V172" s="271"/>
      <c r="W172" s="271"/>
      <c r="X172" s="271"/>
      <c r="Y172" s="271"/>
      <c r="Z172" s="271"/>
      <c r="AA172" s="271"/>
      <c r="AB172" s="271"/>
      <c r="AC172" s="271"/>
      <c r="AD172" s="271"/>
      <c r="AE172" s="271"/>
      <c r="AF172" s="271"/>
      <c r="AG172" s="271"/>
      <c r="AH172" s="271"/>
      <c r="AI172" s="271"/>
      <c r="AJ172" s="271"/>
      <c r="AK172" s="271"/>
      <c r="AL172" s="271"/>
      <c r="AM172" s="271"/>
      <c r="AN172" s="271"/>
      <c r="AO172" s="271"/>
      <c r="AP172" s="271"/>
      <c r="AQ172" s="271"/>
      <c r="AR172" s="271"/>
      <c r="AS172" s="271"/>
      <c r="AT172" s="271"/>
      <c r="AU172" s="271"/>
      <c r="AV172" s="271"/>
      <c r="AW172" s="271"/>
      <c r="AX172" s="271"/>
      <c r="AY172" s="271"/>
      <c r="AZ172" s="271"/>
      <c r="BA172" s="271"/>
      <c r="BB172" s="271"/>
      <c r="BC172" s="271"/>
      <c r="BD172" s="271"/>
      <c r="BE172" s="271"/>
      <c r="BF172" s="271"/>
      <c r="BG172" s="271"/>
      <c r="BH172" s="271"/>
      <c r="BI172" s="271"/>
      <c r="BJ172" s="271"/>
    </row>
    <row r="173">
      <c r="A173" s="111" t="s">
        <v>1785</v>
      </c>
      <c r="B173" s="83" t="s">
        <v>2361</v>
      </c>
      <c r="C173" s="98" t="s">
        <v>164</v>
      </c>
      <c r="D173" s="208">
        <v>1176189.0</v>
      </c>
      <c r="E173" s="212">
        <v>1179838.0</v>
      </c>
      <c r="F173" s="112"/>
      <c r="G173" s="293" t="s">
        <v>2540</v>
      </c>
      <c r="H173" s="287">
        <v>46238.0</v>
      </c>
      <c r="I173" s="98" t="s">
        <v>2311</v>
      </c>
      <c r="J173" s="119"/>
      <c r="K173" s="271"/>
      <c r="L173" s="271"/>
      <c r="M173" s="271"/>
      <c r="N173" s="271"/>
      <c r="O173" s="271"/>
      <c r="P173" s="271"/>
      <c r="Q173" s="271"/>
      <c r="R173" s="271"/>
      <c r="S173" s="271"/>
      <c r="T173" s="271"/>
      <c r="U173" s="271"/>
      <c r="V173" s="271"/>
      <c r="W173" s="271"/>
      <c r="X173" s="271"/>
      <c r="Y173" s="271"/>
      <c r="Z173" s="271"/>
      <c r="AA173" s="271"/>
      <c r="AB173" s="271"/>
      <c r="AC173" s="271"/>
      <c r="AD173" s="271"/>
      <c r="AE173" s="271"/>
      <c r="AF173" s="271"/>
      <c r="AG173" s="271"/>
      <c r="AH173" s="271"/>
      <c r="AI173" s="271"/>
      <c r="AJ173" s="271"/>
      <c r="AK173" s="271"/>
      <c r="AL173" s="271"/>
      <c r="AM173" s="271"/>
      <c r="AN173" s="271"/>
      <c r="AO173" s="271"/>
      <c r="AP173" s="271"/>
      <c r="AQ173" s="271"/>
      <c r="AR173" s="271"/>
      <c r="AS173" s="271"/>
      <c r="AT173" s="271"/>
      <c r="AU173" s="271"/>
      <c r="AV173" s="271"/>
      <c r="AW173" s="271"/>
      <c r="AX173" s="271"/>
      <c r="AY173" s="271"/>
      <c r="AZ173" s="271"/>
      <c r="BA173" s="271"/>
      <c r="BB173" s="271"/>
      <c r="BC173" s="271"/>
      <c r="BD173" s="271"/>
      <c r="BE173" s="271"/>
      <c r="BF173" s="271"/>
      <c r="BG173" s="271"/>
      <c r="BH173" s="271"/>
      <c r="BI173" s="271"/>
      <c r="BJ173" s="271"/>
    </row>
    <row r="174">
      <c r="A174" s="111" t="s">
        <v>1335</v>
      </c>
      <c r="B174" s="83" t="s">
        <v>2050</v>
      </c>
      <c r="C174" s="83" t="s">
        <v>68</v>
      </c>
      <c r="D174" s="112">
        <v>1142994.0</v>
      </c>
      <c r="E174" s="83"/>
      <c r="F174" s="83">
        <v>2.9093295E7</v>
      </c>
      <c r="G174" s="114" t="s">
        <v>2543</v>
      </c>
      <c r="H174" s="287">
        <v>46251.0</v>
      </c>
      <c r="I174" s="98" t="s">
        <v>2311</v>
      </c>
      <c r="J174" s="119"/>
      <c r="K174" s="271"/>
      <c r="L174" s="271"/>
      <c r="M174" s="271"/>
      <c r="N174" s="271"/>
      <c r="O174" s="271"/>
      <c r="P174" s="271"/>
      <c r="Q174" s="271"/>
      <c r="R174" s="271"/>
      <c r="S174" s="271"/>
      <c r="T174" s="271"/>
      <c r="U174" s="271"/>
      <c r="V174" s="271"/>
      <c r="W174" s="271"/>
      <c r="X174" s="271"/>
      <c r="Y174" s="271"/>
      <c r="Z174" s="271"/>
      <c r="AA174" s="271"/>
      <c r="AB174" s="271"/>
      <c r="AC174" s="271"/>
      <c r="AD174" s="271"/>
      <c r="AE174" s="271"/>
      <c r="AF174" s="271"/>
      <c r="AG174" s="271"/>
      <c r="AH174" s="271"/>
      <c r="AI174" s="271"/>
      <c r="AJ174" s="271"/>
      <c r="AK174" s="271"/>
      <c r="AL174" s="271"/>
      <c r="AM174" s="271"/>
      <c r="AN174" s="271"/>
      <c r="AO174" s="271"/>
      <c r="AP174" s="271"/>
      <c r="AQ174" s="271"/>
      <c r="AR174" s="271"/>
      <c r="AS174" s="271"/>
      <c r="AT174" s="271"/>
      <c r="AU174" s="271"/>
      <c r="AV174" s="271"/>
      <c r="AW174" s="271"/>
      <c r="AX174" s="271"/>
      <c r="AY174" s="271"/>
      <c r="AZ174" s="271"/>
      <c r="BA174" s="271"/>
      <c r="BB174" s="271"/>
      <c r="BC174" s="271"/>
      <c r="BD174" s="271"/>
      <c r="BE174" s="271"/>
      <c r="BF174" s="271"/>
      <c r="BG174" s="271"/>
      <c r="BH174" s="271"/>
      <c r="BI174" s="271"/>
      <c r="BJ174" s="271"/>
    </row>
    <row r="175">
      <c r="A175" s="111" t="s">
        <v>796</v>
      </c>
      <c r="B175" s="83" t="s">
        <v>2234</v>
      </c>
      <c r="C175" s="83" t="s">
        <v>68</v>
      </c>
      <c r="D175" s="112">
        <v>1144156.0</v>
      </c>
      <c r="E175" s="83"/>
      <c r="F175" s="83">
        <v>2.903163E7</v>
      </c>
      <c r="G175" s="119" t="s">
        <v>2544</v>
      </c>
      <c r="H175" s="287">
        <v>46265.0</v>
      </c>
      <c r="I175" s="98" t="s">
        <v>2311</v>
      </c>
      <c r="J175" s="119" t="s">
        <v>2376</v>
      </c>
      <c r="K175" s="271"/>
      <c r="L175" s="271"/>
      <c r="M175" s="271"/>
      <c r="N175" s="271"/>
      <c r="O175" s="271"/>
      <c r="P175" s="271"/>
      <c r="Q175" s="271"/>
      <c r="R175" s="271"/>
      <c r="S175" s="271"/>
      <c r="T175" s="271"/>
      <c r="U175" s="271"/>
      <c r="V175" s="271"/>
      <c r="W175" s="271"/>
      <c r="X175" s="271"/>
      <c r="Y175" s="271"/>
      <c r="Z175" s="271"/>
      <c r="AA175" s="271"/>
      <c r="AB175" s="271"/>
      <c r="AC175" s="271"/>
      <c r="AD175" s="271"/>
      <c r="AE175" s="271"/>
      <c r="AF175" s="271"/>
      <c r="AG175" s="271"/>
      <c r="AH175" s="271"/>
      <c r="AI175" s="271"/>
      <c r="AJ175" s="271"/>
      <c r="AK175" s="271"/>
      <c r="AL175" s="271"/>
      <c r="AM175" s="271"/>
      <c r="AN175" s="271"/>
      <c r="AO175" s="271"/>
      <c r="AP175" s="271"/>
      <c r="AQ175" s="271"/>
      <c r="AR175" s="271"/>
      <c r="AS175" s="271"/>
      <c r="AT175" s="271"/>
      <c r="AU175" s="271"/>
      <c r="AV175" s="271"/>
      <c r="AW175" s="271"/>
      <c r="AX175" s="271"/>
      <c r="AY175" s="271"/>
      <c r="AZ175" s="271"/>
      <c r="BA175" s="271"/>
      <c r="BB175" s="271"/>
      <c r="BC175" s="271"/>
      <c r="BD175" s="271"/>
      <c r="BE175" s="271"/>
      <c r="BF175" s="271"/>
      <c r="BG175" s="271"/>
      <c r="BH175" s="271"/>
      <c r="BI175" s="271"/>
      <c r="BJ175" s="271"/>
    </row>
    <row r="176">
      <c r="A176" s="111"/>
      <c r="B176" s="83"/>
      <c r="C176" s="83"/>
      <c r="D176" s="112"/>
      <c r="E176" s="83"/>
      <c r="F176" s="83"/>
      <c r="G176" s="119"/>
      <c r="H176" s="287"/>
      <c r="I176" s="98"/>
      <c r="J176" s="119"/>
      <c r="K176" s="271"/>
      <c r="L176" s="271"/>
      <c r="M176" s="271"/>
      <c r="N176" s="271"/>
      <c r="O176" s="271"/>
      <c r="P176" s="271"/>
      <c r="Q176" s="271"/>
      <c r="R176" s="271"/>
      <c r="S176" s="271"/>
      <c r="T176" s="271"/>
      <c r="U176" s="271"/>
      <c r="V176" s="271"/>
      <c r="W176" s="271"/>
      <c r="X176" s="271"/>
      <c r="Y176" s="271"/>
      <c r="Z176" s="271"/>
      <c r="AA176" s="271"/>
      <c r="AB176" s="271"/>
      <c r="AC176" s="271"/>
      <c r="AD176" s="271"/>
      <c r="AE176" s="271"/>
      <c r="AF176" s="271"/>
      <c r="AG176" s="271"/>
      <c r="AH176" s="271"/>
      <c r="AI176" s="271"/>
      <c r="AJ176" s="271"/>
      <c r="AK176" s="271"/>
      <c r="AL176" s="271"/>
      <c r="AM176" s="271"/>
      <c r="AN176" s="271"/>
      <c r="AO176" s="271"/>
      <c r="AP176" s="271"/>
      <c r="AQ176" s="271"/>
      <c r="AR176" s="271"/>
      <c r="AS176" s="271"/>
      <c r="AT176" s="271"/>
      <c r="AU176" s="271"/>
      <c r="AV176" s="271"/>
      <c r="AW176" s="271"/>
      <c r="AX176" s="271"/>
      <c r="AY176" s="271"/>
      <c r="AZ176" s="271"/>
      <c r="BA176" s="271"/>
      <c r="BB176" s="271"/>
      <c r="BC176" s="271"/>
      <c r="BD176" s="271"/>
      <c r="BE176" s="271"/>
      <c r="BF176" s="271"/>
      <c r="BG176" s="271"/>
      <c r="BH176" s="271"/>
      <c r="BI176" s="271"/>
      <c r="BJ176" s="271"/>
    </row>
  </sheetData>
  <customSheetViews>
    <customSheetView guid="{497721AE-6796-4CEC-BAFA-4DA242D184B8}" filter="1" showAutoFilter="1">
      <autoFilter ref="$A$5:$I$41">
        <filterColumn colId="0">
          <filters>
            <filter val="NTE 19"/>
            <filter val="NTE 18"/>
            <filter val="NTE 09"/>
            <filter val="NTE 11"/>
            <filter val="NTE 22"/>
            <filter val="NTE 10"/>
            <filter val="NTE 13"/>
            <filter val="NTE 02"/>
            <filter val="NTE 01"/>
            <filter val="NTE 26"/>
            <filter val="NTE 04"/>
            <filter val="NTE 25"/>
            <filter val="NTE 03"/>
            <filter val="NTE 17"/>
            <filter val="NTE 05"/>
            <filter val="NTE 27"/>
          </filters>
        </filterColumn>
        <sortState ref="A5:I41">
          <sortCondition descending="1" sortBy="cellColor" ref="G5:G41" dxfId="5"/>
          <sortCondition descending="1" sortBy="cellColor" ref="F5:F41" dxfId="6"/>
        </sortState>
      </autoFilter>
    </customSheetView>
    <customSheetView guid="{155F24BD-BF2D-46E6-AADD-C5714EA5DFA0}" filter="1" showAutoFilter="1">
      <autoFilter ref="$A$5:$I$41">
        <sortState ref="A5:I41">
          <sortCondition ref="A5:A41"/>
          <sortCondition ref="B5:B41"/>
        </sortState>
      </autoFilter>
    </customSheetView>
    <customSheetView guid="{D7DBD89C-7529-4A32-A79C-18D37D466F44}" filter="1" showAutoFilter="1">
      <autoFilter ref="$A$5:$I$41"/>
    </customSheetView>
  </customSheetViews>
  <mergeCells count="12">
    <mergeCell ref="F3:F4"/>
    <mergeCell ref="G3:G4"/>
    <mergeCell ref="H3:H4"/>
    <mergeCell ref="I3:I4"/>
    <mergeCell ref="A1:J1"/>
    <mergeCell ref="A2:D2"/>
    <mergeCell ref="A3:A4"/>
    <mergeCell ref="B3:B4"/>
    <mergeCell ref="C3:C4"/>
    <mergeCell ref="D3:D4"/>
    <mergeCell ref="E3:E4"/>
    <mergeCell ref="J3:J4"/>
  </mergeCells>
  <printOptions/>
  <pageMargins bottom="0.28991666666666666" footer="0.0" header="0.0" left="0.27808333333333335" right="0.36341666666666667" top="0.2115"/>
  <pageSetup fitToHeight="0" orientation="landscape"/>
  <headerFooter>
    <oddFooter>&amp;L25/10/2021 às 14:06 (RS)&amp;C&amp;P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71"/>
    <col customWidth="1" min="2" max="2" width="15.0"/>
    <col customWidth="1" min="3" max="3" width="11.14"/>
    <col customWidth="1" min="4" max="4" width="11.71"/>
    <col customWidth="1" min="5" max="5" width="11.0"/>
    <col customWidth="1" min="6" max="6" width="13.57"/>
    <col customWidth="1" min="7" max="7" width="37.43"/>
    <col customWidth="1" min="8" max="8" width="25.0"/>
    <col customWidth="1" min="9" max="9" width="15.0"/>
    <col customWidth="1" min="10" max="10" width="8.86"/>
    <col customWidth="1" min="11" max="11" width="11.86"/>
    <col customWidth="1" min="12" max="12" width="14.29"/>
    <col customWidth="1" min="13" max="13" width="38.14"/>
    <col customWidth="1" min="14" max="14" width="16.29"/>
    <col customWidth="1" min="15" max="15" width="20.29"/>
    <col customWidth="1" min="16" max="16" width="17.43"/>
    <col customWidth="1" min="17" max="17" width="19.57"/>
    <col customWidth="1" min="18" max="18" width="12.14"/>
    <col customWidth="1" min="19" max="19" width="16.71"/>
    <col customWidth="1" min="20" max="20" width="13.0"/>
    <col customWidth="1" min="21" max="21" width="56.0"/>
    <col customWidth="1" min="22" max="22" width="14.43"/>
    <col customWidth="1" min="23" max="23" width="13.43"/>
    <col customWidth="1" min="24" max="24" width="14.29"/>
    <col customWidth="1" min="25" max="25" width="18.0"/>
    <col customWidth="1" min="26" max="26" width="16.86"/>
    <col customWidth="1" min="27" max="27" width="10.43"/>
    <col customWidth="1" min="28" max="28" width="9.43"/>
    <col customWidth="1" min="29" max="29" width="12.29"/>
    <col customWidth="1" min="30" max="30" width="12.86"/>
    <col customWidth="1" min="31" max="31" width="11.29"/>
    <col customWidth="1" min="32" max="32" width="12.0"/>
    <col customWidth="1" min="33" max="33" width="11.43"/>
    <col customWidth="1" min="34" max="34" width="14.29"/>
    <col customWidth="1" min="35" max="35" width="16.14"/>
    <col customWidth="1" min="36" max="36" width="9.71"/>
    <col customWidth="1" min="37" max="37" width="9.86"/>
    <col customWidth="1" min="38" max="38" width="10.29"/>
    <col customWidth="1" min="39" max="39" width="8.86"/>
    <col customWidth="1" min="40" max="40" width="9.0"/>
    <col customWidth="1" min="41" max="41" width="10.0"/>
    <col customWidth="1" min="42" max="42" width="11.71"/>
    <col customWidth="1" min="43" max="43" width="11.43"/>
    <col customWidth="1" min="44" max="44" width="9.0"/>
    <col customWidth="1" min="45" max="45" width="11.71"/>
    <col customWidth="1" min="46" max="46" width="10.43"/>
    <col customWidth="1" min="47" max="47" width="11.86"/>
    <col customWidth="1" min="48" max="48" width="12.71"/>
    <col customWidth="1" min="49" max="49" width="12.43"/>
    <col customWidth="1" min="50" max="50" width="15.86"/>
    <col customWidth="1" min="51" max="51" width="13.29"/>
    <col customWidth="1" min="52" max="52" width="11.71"/>
    <col customWidth="1" min="53" max="53" width="16.14"/>
    <col customWidth="1" min="54" max="54" width="16.86"/>
    <col customWidth="1" min="55" max="63" width="21.71"/>
  </cols>
  <sheetData>
    <row r="1">
      <c r="A1" s="300" t="s">
        <v>2</v>
      </c>
      <c r="B1" s="301" t="s">
        <v>1967</v>
      </c>
      <c r="C1" s="302" t="s">
        <v>2577</v>
      </c>
      <c r="D1" s="302" t="s">
        <v>2578</v>
      </c>
      <c r="E1" s="302" t="s">
        <v>2581</v>
      </c>
      <c r="F1" s="301" t="s">
        <v>10</v>
      </c>
      <c r="G1" s="301" t="s">
        <v>11</v>
      </c>
      <c r="H1" s="301" t="s">
        <v>12</v>
      </c>
      <c r="I1" s="301" t="s">
        <v>13</v>
      </c>
      <c r="J1" s="303" t="s">
        <v>15</v>
      </c>
      <c r="K1" s="303" t="s">
        <v>16</v>
      </c>
      <c r="L1" s="303" t="s">
        <v>2583</v>
      </c>
      <c r="M1" s="304" t="s">
        <v>133</v>
      </c>
      <c r="N1" s="304" t="s">
        <v>134</v>
      </c>
      <c r="O1" s="305" t="s">
        <v>135</v>
      </c>
      <c r="P1" s="305" t="s">
        <v>134</v>
      </c>
      <c r="Q1" s="305" t="s">
        <v>135</v>
      </c>
      <c r="R1" s="305" t="s">
        <v>134</v>
      </c>
      <c r="S1" s="305" t="s">
        <v>137</v>
      </c>
      <c r="T1" s="306" t="s">
        <v>58</v>
      </c>
      <c r="U1" s="307" t="s">
        <v>2585</v>
      </c>
      <c r="V1" s="308" t="s">
        <v>2586</v>
      </c>
      <c r="W1" s="308" t="s">
        <v>2587</v>
      </c>
      <c r="X1" s="308" t="s">
        <v>2589</v>
      </c>
      <c r="Y1" s="308" t="s">
        <v>2592</v>
      </c>
      <c r="Z1" s="309" t="s">
        <v>2593</v>
      </c>
      <c r="AA1" s="308" t="s">
        <v>2594</v>
      </c>
      <c r="AB1" s="308" t="s">
        <v>2595</v>
      </c>
      <c r="AC1" s="308" t="s">
        <v>2596</v>
      </c>
      <c r="AD1" s="308" t="s">
        <v>2597</v>
      </c>
      <c r="AE1" s="309" t="s">
        <v>2598</v>
      </c>
      <c r="AF1" s="308" t="s">
        <v>2599</v>
      </c>
      <c r="AG1" s="308" t="s">
        <v>2600</v>
      </c>
      <c r="AH1" s="308" t="s">
        <v>2601</v>
      </c>
      <c r="AI1" s="308" t="s">
        <v>2602</v>
      </c>
      <c r="AJ1" s="309" t="s">
        <v>2603</v>
      </c>
      <c r="AK1" s="308" t="s">
        <v>2604</v>
      </c>
      <c r="AL1" s="308" t="s">
        <v>2605</v>
      </c>
      <c r="AM1" s="308" t="s">
        <v>2606</v>
      </c>
      <c r="AN1" s="309" t="s">
        <v>2607</v>
      </c>
      <c r="AO1" s="308" t="s">
        <v>2608</v>
      </c>
      <c r="AP1" s="308" t="s">
        <v>2609</v>
      </c>
      <c r="AQ1" s="308" t="s">
        <v>2610</v>
      </c>
      <c r="AR1" s="309" t="s">
        <v>2611</v>
      </c>
      <c r="AS1" s="308" t="s">
        <v>2612</v>
      </c>
      <c r="AT1" s="308" t="s">
        <v>2613</v>
      </c>
      <c r="AU1" s="308" t="s">
        <v>2614</v>
      </c>
      <c r="AV1" s="308" t="s">
        <v>2615</v>
      </c>
      <c r="AW1" s="309" t="s">
        <v>2616</v>
      </c>
      <c r="AX1" s="93" t="s">
        <v>2617</v>
      </c>
      <c r="AY1" s="309" t="s">
        <v>2619</v>
      </c>
      <c r="AZ1" s="309" t="s">
        <v>2621</v>
      </c>
      <c r="BA1" s="65" t="s">
        <v>2622</v>
      </c>
      <c r="BB1" s="309" t="s">
        <v>2623</v>
      </c>
      <c r="BC1" s="59" t="s">
        <v>111</v>
      </c>
      <c r="BD1" s="59" t="s">
        <v>114</v>
      </c>
      <c r="BE1" s="59" t="s">
        <v>116</v>
      </c>
      <c r="BF1" s="45" t="s">
        <v>119</v>
      </c>
      <c r="BG1" s="310" t="s">
        <v>122</v>
      </c>
      <c r="BH1" s="65" t="s">
        <v>2627</v>
      </c>
      <c r="BI1" s="65" t="s">
        <v>20</v>
      </c>
      <c r="BJ1" s="65" t="s">
        <v>2628</v>
      </c>
      <c r="BK1" s="65" t="s">
        <v>64</v>
      </c>
    </row>
    <row r="2">
      <c r="A2" s="81" t="s">
        <v>130</v>
      </c>
      <c r="B2" s="82" t="s">
        <v>146</v>
      </c>
      <c r="C2" s="82" t="s">
        <v>68</v>
      </c>
      <c r="D2" s="311" t="s">
        <v>2629</v>
      </c>
      <c r="E2" s="82"/>
      <c r="F2" s="82">
        <v>2.9057809E7</v>
      </c>
      <c r="G2" s="91" t="s">
        <v>147</v>
      </c>
      <c r="H2" s="91" t="s">
        <v>148</v>
      </c>
      <c r="I2" s="91" t="s">
        <v>149</v>
      </c>
      <c r="J2" s="82" t="s">
        <v>150</v>
      </c>
      <c r="K2" s="82" t="s">
        <v>151</v>
      </c>
      <c r="L2" s="82" t="s">
        <v>76</v>
      </c>
      <c r="M2" s="82" t="s">
        <v>2630</v>
      </c>
      <c r="N2" s="82" t="s">
        <v>2631</v>
      </c>
      <c r="O2" s="82" t="s">
        <v>2632</v>
      </c>
      <c r="P2" s="82" t="s">
        <v>2633</v>
      </c>
      <c r="Q2" s="82"/>
      <c r="R2" s="82"/>
      <c r="S2" s="82" t="s">
        <v>2634</v>
      </c>
      <c r="T2" s="104">
        <v>8.0</v>
      </c>
      <c r="U2" s="312">
        <v>8.0</v>
      </c>
      <c r="V2" s="106">
        <v>0.0</v>
      </c>
      <c r="W2" s="107">
        <v>0.0</v>
      </c>
      <c r="X2" s="107">
        <v>0.0</v>
      </c>
      <c r="Y2" s="107">
        <v>0.0</v>
      </c>
      <c r="Z2" s="80">
        <v>0.0</v>
      </c>
      <c r="AA2" s="109">
        <v>0.0</v>
      </c>
      <c r="AB2" s="109">
        <v>0.0</v>
      </c>
      <c r="AC2" s="109">
        <v>0.0</v>
      </c>
      <c r="AD2" s="109">
        <v>0.0</v>
      </c>
      <c r="AE2" s="80">
        <v>0.0</v>
      </c>
      <c r="AF2" s="109">
        <v>329.0</v>
      </c>
      <c r="AG2" s="109">
        <v>246.0</v>
      </c>
      <c r="AH2" s="109">
        <v>0.0</v>
      </c>
      <c r="AI2" s="109">
        <v>0.0</v>
      </c>
      <c r="AJ2" s="80">
        <v>575.0</v>
      </c>
      <c r="AK2" s="109">
        <v>0.0</v>
      </c>
      <c r="AL2" s="109">
        <v>0.0</v>
      </c>
      <c r="AM2" s="109">
        <v>0.0</v>
      </c>
      <c r="AN2" s="80">
        <v>0.0</v>
      </c>
      <c r="AO2" s="109">
        <v>0.0</v>
      </c>
      <c r="AP2" s="109">
        <v>0.0</v>
      </c>
      <c r="AQ2" s="109">
        <v>52.0</v>
      </c>
      <c r="AR2" s="80">
        <v>52.0</v>
      </c>
      <c r="AS2" s="110">
        <v>0.0</v>
      </c>
      <c r="AT2" s="110">
        <v>0.0</v>
      </c>
      <c r="AU2" s="110">
        <v>0.0</v>
      </c>
      <c r="AV2" s="110">
        <v>0.0</v>
      </c>
      <c r="AW2" s="80">
        <v>0.0</v>
      </c>
      <c r="AX2" s="113">
        <v>627.0</v>
      </c>
      <c r="AY2" s="314">
        <v>575.0</v>
      </c>
      <c r="AZ2" s="120">
        <v>52.0</v>
      </c>
      <c r="BA2" s="315">
        <v>0.0</v>
      </c>
      <c r="BB2" s="316">
        <v>627.0</v>
      </c>
      <c r="BC2" s="122" t="s">
        <v>177</v>
      </c>
      <c r="BD2" s="122" t="s">
        <v>178</v>
      </c>
      <c r="BE2" s="122" t="s">
        <v>178</v>
      </c>
      <c r="BF2" s="123"/>
      <c r="BG2" s="83">
        <v>1125747.0</v>
      </c>
      <c r="BH2" s="112">
        <v>8.0</v>
      </c>
      <c r="BI2" s="98" t="s">
        <v>155</v>
      </c>
      <c r="BJ2" s="98" t="str">
        <f t="shared" ref="BJ2:BJ1744" si="1">IF(
Y2&gt;0,"INTEGRAL",
IF(
AD2&gt;0,"INTEGRAL",
IF(
AI2&gt;0,"INTEGRAL",
IF(
AV2&gt;0,"INTEGRAL","NÃO"))))</f>
        <v>NÃO</v>
      </c>
      <c r="BK2" s="98" t="str">
        <f t="shared" ref="BK2:BK1744" si="2">IF(
AW2&gt;0,"PROFISSIONAL",
"NÃO")</f>
        <v>NÃO</v>
      </c>
    </row>
    <row r="3">
      <c r="A3" s="81" t="s">
        <v>130</v>
      </c>
      <c r="B3" s="82" t="s">
        <v>146</v>
      </c>
      <c r="C3" s="82" t="s">
        <v>164</v>
      </c>
      <c r="D3" s="83">
        <v>1179281.0</v>
      </c>
      <c r="E3" s="82">
        <v>1178786.0</v>
      </c>
      <c r="F3" s="82"/>
      <c r="G3" s="91" t="s">
        <v>2351</v>
      </c>
      <c r="H3" s="91" t="s">
        <v>2645</v>
      </c>
      <c r="I3" s="114" t="s">
        <v>2646</v>
      </c>
      <c r="J3" s="83" t="s">
        <v>315</v>
      </c>
      <c r="K3" s="82" t="s">
        <v>168</v>
      </c>
      <c r="L3" s="82" t="s">
        <v>169</v>
      </c>
      <c r="M3" s="82" t="s">
        <v>2649</v>
      </c>
      <c r="N3" s="82" t="s">
        <v>2650</v>
      </c>
      <c r="O3" s="82" t="s">
        <v>2651</v>
      </c>
      <c r="P3" s="82" t="s">
        <v>2652</v>
      </c>
      <c r="Q3" s="82"/>
      <c r="R3" s="82"/>
      <c r="S3" s="82" t="s">
        <v>2653</v>
      </c>
      <c r="T3" s="104">
        <v>6.0</v>
      </c>
      <c r="U3" s="312">
        <v>3.0</v>
      </c>
      <c r="V3" s="106">
        <v>0.0</v>
      </c>
      <c r="W3" s="107">
        <v>0.0</v>
      </c>
      <c r="X3" s="107">
        <v>0.0</v>
      </c>
      <c r="Y3" s="107">
        <v>0.0</v>
      </c>
      <c r="Z3" s="80">
        <v>0.0</v>
      </c>
      <c r="AA3" s="109">
        <v>0.0</v>
      </c>
      <c r="AB3" s="109">
        <v>0.0</v>
      </c>
      <c r="AC3" s="109">
        <v>0.0</v>
      </c>
      <c r="AD3" s="109">
        <v>0.0</v>
      </c>
      <c r="AE3" s="80">
        <v>0.0</v>
      </c>
      <c r="AF3" s="109">
        <v>0.0</v>
      </c>
      <c r="AG3" s="109">
        <v>0.0</v>
      </c>
      <c r="AH3" s="109">
        <v>94.0</v>
      </c>
      <c r="AI3" s="109">
        <v>0.0</v>
      </c>
      <c r="AJ3" s="80">
        <v>94.0</v>
      </c>
      <c r="AK3" s="109">
        <v>0.0</v>
      </c>
      <c r="AL3" s="109">
        <v>0.0</v>
      </c>
      <c r="AM3" s="109">
        <v>0.0</v>
      </c>
      <c r="AN3" s="80">
        <v>0.0</v>
      </c>
      <c r="AO3" s="109">
        <v>0.0</v>
      </c>
      <c r="AP3" s="109">
        <v>0.0</v>
      </c>
      <c r="AQ3" s="109">
        <v>0.0</v>
      </c>
      <c r="AR3" s="80">
        <v>0.0</v>
      </c>
      <c r="AS3" s="110">
        <v>0.0</v>
      </c>
      <c r="AT3" s="110">
        <v>0.0</v>
      </c>
      <c r="AU3" s="110">
        <v>0.0</v>
      </c>
      <c r="AV3" s="110">
        <v>0.0</v>
      </c>
      <c r="AW3" s="80">
        <v>0.0</v>
      </c>
      <c r="AX3" s="113">
        <v>94.0</v>
      </c>
      <c r="AY3" s="318">
        <v>0.0</v>
      </c>
      <c r="AZ3" s="319">
        <v>94.0</v>
      </c>
      <c r="BA3" s="320">
        <v>0.0</v>
      </c>
      <c r="BB3" s="316">
        <v>94.0</v>
      </c>
      <c r="BC3" s="132" t="s">
        <v>178</v>
      </c>
      <c r="BD3" s="143" t="s">
        <v>227</v>
      </c>
      <c r="BE3" s="132" t="s">
        <v>64</v>
      </c>
      <c r="BF3" s="133"/>
      <c r="BG3" s="83">
        <v>1178786.0</v>
      </c>
      <c r="BH3" s="112">
        <v>3.0</v>
      </c>
      <c r="BI3" s="98" t="s">
        <v>155</v>
      </c>
      <c r="BJ3" s="98" t="str">
        <f t="shared" si="1"/>
        <v>NÃO</v>
      </c>
      <c r="BK3" s="98" t="str">
        <f t="shared" si="2"/>
        <v>NÃO</v>
      </c>
    </row>
    <row r="4">
      <c r="A4" s="111" t="s">
        <v>130</v>
      </c>
      <c r="B4" s="83" t="s">
        <v>146</v>
      </c>
      <c r="C4" s="83" t="s">
        <v>164</v>
      </c>
      <c r="D4" s="83">
        <v>1179281.0</v>
      </c>
      <c r="E4" s="83">
        <v>1178787.0</v>
      </c>
      <c r="F4" s="83"/>
      <c r="G4" s="114" t="s">
        <v>165</v>
      </c>
      <c r="H4" s="91" t="s">
        <v>166</v>
      </c>
      <c r="I4" s="114" t="s">
        <v>149</v>
      </c>
      <c r="J4" s="82" t="s">
        <v>167</v>
      </c>
      <c r="K4" s="83" t="s">
        <v>168</v>
      </c>
      <c r="L4" s="83" t="s">
        <v>169</v>
      </c>
      <c r="M4" s="82" t="s">
        <v>2649</v>
      </c>
      <c r="N4" s="82" t="s">
        <v>2650</v>
      </c>
      <c r="O4" s="82" t="s">
        <v>2651</v>
      </c>
      <c r="P4" s="82" t="s">
        <v>2652</v>
      </c>
      <c r="Q4" s="82"/>
      <c r="R4" s="82"/>
      <c r="S4" s="82" t="s">
        <v>2653</v>
      </c>
      <c r="T4" s="138">
        <v>3.0</v>
      </c>
      <c r="U4" s="323">
        <v>3.0</v>
      </c>
      <c r="V4" s="106">
        <v>0.0</v>
      </c>
      <c r="W4" s="107">
        <v>0.0</v>
      </c>
      <c r="X4" s="107">
        <v>0.0</v>
      </c>
      <c r="Y4" s="107">
        <v>0.0</v>
      </c>
      <c r="Z4" s="80">
        <v>0.0</v>
      </c>
      <c r="AA4" s="140">
        <v>0.0</v>
      </c>
      <c r="AB4" s="109">
        <v>0.0</v>
      </c>
      <c r="AC4" s="109">
        <v>0.0</v>
      </c>
      <c r="AD4" s="141">
        <v>0.0</v>
      </c>
      <c r="AE4" s="80">
        <v>0.0</v>
      </c>
      <c r="AF4" s="140">
        <v>0.0</v>
      </c>
      <c r="AG4" s="109">
        <v>0.0</v>
      </c>
      <c r="AH4" s="109">
        <v>24.0</v>
      </c>
      <c r="AI4" s="141">
        <v>0.0</v>
      </c>
      <c r="AJ4" s="80">
        <v>24.0</v>
      </c>
      <c r="AK4" s="140">
        <v>0.0</v>
      </c>
      <c r="AL4" s="109">
        <v>0.0</v>
      </c>
      <c r="AM4" s="141">
        <v>0.0</v>
      </c>
      <c r="AN4" s="80">
        <v>0.0</v>
      </c>
      <c r="AO4" s="140">
        <v>0.0</v>
      </c>
      <c r="AP4" s="109">
        <v>0.0</v>
      </c>
      <c r="AQ4" s="109">
        <v>0.0</v>
      </c>
      <c r="AR4" s="80">
        <v>0.0</v>
      </c>
      <c r="AS4" s="327">
        <v>0.0</v>
      </c>
      <c r="AT4" s="110">
        <v>0.0</v>
      </c>
      <c r="AU4" s="110">
        <v>0.0</v>
      </c>
      <c r="AV4" s="142">
        <v>0.0</v>
      </c>
      <c r="AW4" s="80">
        <v>0.0</v>
      </c>
      <c r="AX4" s="113">
        <v>24.0</v>
      </c>
      <c r="AY4" s="117">
        <v>0.0</v>
      </c>
      <c r="AZ4" s="328">
        <v>24.0</v>
      </c>
      <c r="BA4" s="315">
        <v>0.0</v>
      </c>
      <c r="BB4" s="316">
        <v>24.0</v>
      </c>
      <c r="BC4" s="132" t="s">
        <v>178</v>
      </c>
      <c r="BD4" s="143" t="s">
        <v>227</v>
      </c>
      <c r="BE4" s="132" t="s">
        <v>64</v>
      </c>
      <c r="BF4" s="123"/>
      <c r="BG4" s="83">
        <v>1178787.0</v>
      </c>
      <c r="BH4" s="112">
        <v>3.0</v>
      </c>
      <c r="BI4" s="98" t="s">
        <v>155</v>
      </c>
      <c r="BJ4" s="98" t="str">
        <f t="shared" si="1"/>
        <v>NÃO</v>
      </c>
      <c r="BK4" s="98" t="str">
        <f t="shared" si="2"/>
        <v>NÃO</v>
      </c>
    </row>
    <row r="5">
      <c r="A5" s="111" t="s">
        <v>130</v>
      </c>
      <c r="B5" s="83" t="s">
        <v>172</v>
      </c>
      <c r="C5" s="83" t="s">
        <v>68</v>
      </c>
      <c r="D5" s="83">
        <v>1125925.0</v>
      </c>
      <c r="E5" s="83"/>
      <c r="F5" s="83">
        <v>2.9058244E7</v>
      </c>
      <c r="G5" s="114" t="s">
        <v>2669</v>
      </c>
      <c r="H5" s="91" t="s">
        <v>174</v>
      </c>
      <c r="I5" s="114" t="s">
        <v>149</v>
      </c>
      <c r="J5" s="83" t="s">
        <v>150</v>
      </c>
      <c r="K5" s="83" t="s">
        <v>151</v>
      </c>
      <c r="L5" s="83" t="s">
        <v>76</v>
      </c>
      <c r="M5" s="82" t="s">
        <v>2671</v>
      </c>
      <c r="N5" s="82" t="s">
        <v>2672</v>
      </c>
      <c r="O5" s="82"/>
      <c r="P5" s="82"/>
      <c r="Q5" s="82"/>
      <c r="R5" s="82"/>
      <c r="S5" s="82" t="s">
        <v>2673</v>
      </c>
      <c r="T5" s="138">
        <v>6.0</v>
      </c>
      <c r="U5" s="331" t="s">
        <v>2676</v>
      </c>
      <c r="V5" s="106">
        <v>0.0</v>
      </c>
      <c r="W5" s="107">
        <v>0.0</v>
      </c>
      <c r="X5" s="107">
        <v>0.0</v>
      </c>
      <c r="Y5" s="107">
        <v>0.0</v>
      </c>
      <c r="Z5" s="80">
        <v>0.0</v>
      </c>
      <c r="AA5" s="140">
        <v>0.0</v>
      </c>
      <c r="AB5" s="109">
        <v>0.0</v>
      </c>
      <c r="AC5" s="109">
        <v>0.0</v>
      </c>
      <c r="AD5" s="141">
        <v>0.0</v>
      </c>
      <c r="AE5" s="80">
        <v>0.0</v>
      </c>
      <c r="AF5" s="140">
        <v>192.0</v>
      </c>
      <c r="AG5" s="109">
        <v>154.0</v>
      </c>
      <c r="AH5" s="109">
        <v>0.0</v>
      </c>
      <c r="AI5" s="141">
        <v>0.0</v>
      </c>
      <c r="AJ5" s="80">
        <v>346.0</v>
      </c>
      <c r="AK5" s="140">
        <v>0.0</v>
      </c>
      <c r="AL5" s="109">
        <v>0.0</v>
      </c>
      <c r="AM5" s="141">
        <v>0.0</v>
      </c>
      <c r="AN5" s="80">
        <v>0.0</v>
      </c>
      <c r="AO5" s="140">
        <v>0.0</v>
      </c>
      <c r="AP5" s="109">
        <v>0.0</v>
      </c>
      <c r="AQ5" s="109">
        <v>32.0</v>
      </c>
      <c r="AR5" s="80">
        <v>32.0</v>
      </c>
      <c r="AS5" s="110">
        <v>0.0</v>
      </c>
      <c r="AT5" s="110">
        <v>0.0</v>
      </c>
      <c r="AU5" s="110">
        <v>0.0</v>
      </c>
      <c r="AV5" s="142">
        <v>0.0</v>
      </c>
      <c r="AW5" s="80">
        <v>0.0</v>
      </c>
      <c r="AX5" s="113">
        <v>378.0</v>
      </c>
      <c r="AY5" s="117">
        <v>346.0</v>
      </c>
      <c r="AZ5" s="328">
        <v>32.0</v>
      </c>
      <c r="BA5" s="315">
        <v>3.0</v>
      </c>
      <c r="BB5" s="316">
        <v>381.0</v>
      </c>
      <c r="BC5" s="132" t="s">
        <v>177</v>
      </c>
      <c r="BD5" s="132" t="s">
        <v>178</v>
      </c>
      <c r="BE5" s="132" t="s">
        <v>178</v>
      </c>
      <c r="BF5" s="123"/>
      <c r="BG5" s="83">
        <v>1125925.0</v>
      </c>
      <c r="BH5" s="112">
        <v>6.0</v>
      </c>
      <c r="BI5" s="98" t="s">
        <v>155</v>
      </c>
      <c r="BJ5" s="98" t="str">
        <f t="shared" si="1"/>
        <v>NÃO</v>
      </c>
      <c r="BK5" s="98" t="str">
        <f t="shared" si="2"/>
        <v>NÃO</v>
      </c>
    </row>
    <row r="6">
      <c r="A6" s="111" t="s">
        <v>130</v>
      </c>
      <c r="B6" s="83" t="s">
        <v>172</v>
      </c>
      <c r="C6" s="83" t="s">
        <v>164</v>
      </c>
      <c r="D6" s="83">
        <v>1125925.0</v>
      </c>
      <c r="E6" s="83">
        <v>1178206.0</v>
      </c>
      <c r="F6" s="83"/>
      <c r="G6" s="114" t="s">
        <v>2682</v>
      </c>
      <c r="H6" s="91" t="s">
        <v>181</v>
      </c>
      <c r="I6" s="114" t="s">
        <v>182</v>
      </c>
      <c r="J6" s="83" t="s">
        <v>183</v>
      </c>
      <c r="K6" s="83" t="s">
        <v>168</v>
      </c>
      <c r="L6" s="83" t="s">
        <v>169</v>
      </c>
      <c r="M6" s="82" t="s">
        <v>2671</v>
      </c>
      <c r="N6" s="82" t="s">
        <v>2672</v>
      </c>
      <c r="O6" s="82"/>
      <c r="P6" s="82"/>
      <c r="Q6" s="82"/>
      <c r="R6" s="82"/>
      <c r="S6" s="82" t="s">
        <v>2673</v>
      </c>
      <c r="T6" s="138">
        <v>4.0</v>
      </c>
      <c r="U6" s="333">
        <v>4.0</v>
      </c>
      <c r="V6" s="106">
        <v>0.0</v>
      </c>
      <c r="W6" s="107">
        <v>0.0</v>
      </c>
      <c r="X6" s="107">
        <v>0.0</v>
      </c>
      <c r="Y6" s="107">
        <v>0.0</v>
      </c>
      <c r="Z6" s="80">
        <v>0.0</v>
      </c>
      <c r="AA6" s="140">
        <v>0.0</v>
      </c>
      <c r="AB6" s="109">
        <v>0.0</v>
      </c>
      <c r="AC6" s="109">
        <v>0.0</v>
      </c>
      <c r="AD6" s="141">
        <v>0.0</v>
      </c>
      <c r="AE6" s="80">
        <v>0.0</v>
      </c>
      <c r="AF6" s="140">
        <v>60.0</v>
      </c>
      <c r="AG6" s="109">
        <v>0.0</v>
      </c>
      <c r="AH6" s="109">
        <v>0.0</v>
      </c>
      <c r="AI6" s="141">
        <v>0.0</v>
      </c>
      <c r="AJ6" s="80">
        <v>60.0</v>
      </c>
      <c r="AK6" s="140">
        <v>0.0</v>
      </c>
      <c r="AL6" s="109">
        <v>0.0</v>
      </c>
      <c r="AM6" s="141">
        <v>0.0</v>
      </c>
      <c r="AN6" s="80">
        <v>0.0</v>
      </c>
      <c r="AO6" s="140">
        <v>0.0</v>
      </c>
      <c r="AP6" s="109">
        <v>0.0</v>
      </c>
      <c r="AQ6" s="109">
        <v>0.0</v>
      </c>
      <c r="AR6" s="80">
        <v>0.0</v>
      </c>
      <c r="AS6" s="110">
        <v>0.0</v>
      </c>
      <c r="AT6" s="110">
        <v>0.0</v>
      </c>
      <c r="AU6" s="110">
        <v>0.0</v>
      </c>
      <c r="AV6" s="142">
        <v>0.0</v>
      </c>
      <c r="AW6" s="80">
        <v>0.0</v>
      </c>
      <c r="AX6" s="113">
        <v>60.0</v>
      </c>
      <c r="AY6" s="117">
        <v>60.0</v>
      </c>
      <c r="AZ6" s="328">
        <v>0.0</v>
      </c>
      <c r="BA6" s="315">
        <v>0.0</v>
      </c>
      <c r="BB6" s="316">
        <v>60.0</v>
      </c>
      <c r="BC6" s="132" t="s">
        <v>265</v>
      </c>
      <c r="BD6" s="132" t="s">
        <v>178</v>
      </c>
      <c r="BE6" s="132" t="s">
        <v>178</v>
      </c>
      <c r="BF6" s="123"/>
      <c r="BG6" s="83">
        <v>1178206.0</v>
      </c>
      <c r="BH6" s="112">
        <v>4.0</v>
      </c>
      <c r="BI6" s="98" t="s">
        <v>155</v>
      </c>
      <c r="BJ6" s="98" t="str">
        <f t="shared" si="1"/>
        <v>NÃO</v>
      </c>
      <c r="BK6" s="98" t="str">
        <f t="shared" si="2"/>
        <v>NÃO</v>
      </c>
    </row>
    <row r="7">
      <c r="A7" s="111" t="s">
        <v>130</v>
      </c>
      <c r="B7" s="83" t="s">
        <v>172</v>
      </c>
      <c r="C7" s="83" t="s">
        <v>164</v>
      </c>
      <c r="D7" s="83">
        <v>1179281.0</v>
      </c>
      <c r="E7" s="83">
        <v>1178790.0</v>
      </c>
      <c r="F7" s="83"/>
      <c r="G7" s="114" t="s">
        <v>184</v>
      </c>
      <c r="H7" s="91" t="s">
        <v>185</v>
      </c>
      <c r="I7" s="114" t="s">
        <v>186</v>
      </c>
      <c r="J7" s="83" t="s">
        <v>187</v>
      </c>
      <c r="K7" s="83" t="s">
        <v>168</v>
      </c>
      <c r="L7" s="83" t="s">
        <v>169</v>
      </c>
      <c r="M7" s="82" t="s">
        <v>2649</v>
      </c>
      <c r="N7" s="82" t="s">
        <v>2650</v>
      </c>
      <c r="O7" s="82" t="s">
        <v>2651</v>
      </c>
      <c r="P7" s="82" t="s">
        <v>2652</v>
      </c>
      <c r="Q7" s="82"/>
      <c r="R7" s="82"/>
      <c r="S7" s="82" t="s">
        <v>2653</v>
      </c>
      <c r="T7" s="138">
        <v>2.0</v>
      </c>
      <c r="U7" s="334">
        <v>2.0</v>
      </c>
      <c r="V7" s="106">
        <v>0.0</v>
      </c>
      <c r="W7" s="107">
        <v>0.0</v>
      </c>
      <c r="X7" s="107">
        <v>0.0</v>
      </c>
      <c r="Y7" s="107">
        <v>0.0</v>
      </c>
      <c r="Z7" s="80">
        <v>0.0</v>
      </c>
      <c r="AA7" s="140">
        <v>0.0</v>
      </c>
      <c r="AB7" s="109">
        <v>0.0</v>
      </c>
      <c r="AC7" s="109">
        <v>0.0</v>
      </c>
      <c r="AD7" s="141">
        <v>0.0</v>
      </c>
      <c r="AE7" s="80">
        <v>0.0</v>
      </c>
      <c r="AF7" s="140">
        <v>26.0</v>
      </c>
      <c r="AG7" s="109">
        <v>22.0</v>
      </c>
      <c r="AH7" s="109">
        <v>0.0</v>
      </c>
      <c r="AI7" s="141">
        <v>0.0</v>
      </c>
      <c r="AJ7" s="80">
        <v>48.0</v>
      </c>
      <c r="AK7" s="140">
        <v>0.0</v>
      </c>
      <c r="AL7" s="109">
        <v>0.0</v>
      </c>
      <c r="AM7" s="141">
        <v>0.0</v>
      </c>
      <c r="AN7" s="80">
        <v>0.0</v>
      </c>
      <c r="AO7" s="140">
        <v>0.0</v>
      </c>
      <c r="AP7" s="109">
        <v>0.0</v>
      </c>
      <c r="AQ7" s="109">
        <v>0.0</v>
      </c>
      <c r="AR7" s="80">
        <v>0.0</v>
      </c>
      <c r="AS7" s="110">
        <v>0.0</v>
      </c>
      <c r="AT7" s="110">
        <v>0.0</v>
      </c>
      <c r="AU7" s="110">
        <v>0.0</v>
      </c>
      <c r="AV7" s="142">
        <v>0.0</v>
      </c>
      <c r="AW7" s="80">
        <v>0.0</v>
      </c>
      <c r="AX7" s="113">
        <v>48.0</v>
      </c>
      <c r="AY7" s="117">
        <v>48.0</v>
      </c>
      <c r="AZ7" s="328">
        <v>0.0</v>
      </c>
      <c r="BA7" s="315">
        <v>0.0</v>
      </c>
      <c r="BB7" s="316">
        <v>48.0</v>
      </c>
      <c r="BC7" s="132" t="s">
        <v>178</v>
      </c>
      <c r="BD7" s="143" t="s">
        <v>227</v>
      </c>
      <c r="BE7" s="132" t="s">
        <v>64</v>
      </c>
      <c r="BF7" s="123"/>
      <c r="BG7" s="83">
        <v>1178790.0</v>
      </c>
      <c r="BH7" s="112">
        <v>2.0</v>
      </c>
      <c r="BI7" s="98" t="s">
        <v>155</v>
      </c>
      <c r="BJ7" s="98" t="str">
        <f t="shared" si="1"/>
        <v>NÃO</v>
      </c>
      <c r="BK7" s="98" t="str">
        <f t="shared" si="2"/>
        <v>NÃO</v>
      </c>
    </row>
    <row r="8">
      <c r="A8" s="111" t="s">
        <v>130</v>
      </c>
      <c r="B8" s="83" t="s">
        <v>172</v>
      </c>
      <c r="C8" s="83" t="s">
        <v>164</v>
      </c>
      <c r="D8" s="83">
        <v>1179281.0</v>
      </c>
      <c r="E8" s="83">
        <v>1178789.0</v>
      </c>
      <c r="F8" s="83"/>
      <c r="G8" s="114" t="s">
        <v>188</v>
      </c>
      <c r="H8" s="91" t="s">
        <v>189</v>
      </c>
      <c r="I8" s="114" t="s">
        <v>190</v>
      </c>
      <c r="J8" s="83" t="s">
        <v>191</v>
      </c>
      <c r="K8" s="83" t="s">
        <v>168</v>
      </c>
      <c r="L8" s="83" t="s">
        <v>169</v>
      </c>
      <c r="M8" s="82" t="s">
        <v>2649</v>
      </c>
      <c r="N8" s="82" t="s">
        <v>2650</v>
      </c>
      <c r="O8" s="82" t="s">
        <v>2651</v>
      </c>
      <c r="P8" s="82" t="s">
        <v>2652</v>
      </c>
      <c r="Q8" s="82"/>
      <c r="R8" s="82"/>
      <c r="S8" s="82" t="s">
        <v>2653</v>
      </c>
      <c r="T8" s="138">
        <v>4.0</v>
      </c>
      <c r="U8" s="334">
        <v>4.0</v>
      </c>
      <c r="V8" s="106">
        <v>0.0</v>
      </c>
      <c r="W8" s="107">
        <v>0.0</v>
      </c>
      <c r="X8" s="107">
        <v>0.0</v>
      </c>
      <c r="Y8" s="107">
        <v>0.0</v>
      </c>
      <c r="Z8" s="80">
        <v>0.0</v>
      </c>
      <c r="AA8" s="140">
        <v>0.0</v>
      </c>
      <c r="AB8" s="109">
        <v>0.0</v>
      </c>
      <c r="AC8" s="109">
        <v>0.0</v>
      </c>
      <c r="AD8" s="141">
        <v>0.0</v>
      </c>
      <c r="AE8" s="80">
        <v>0.0</v>
      </c>
      <c r="AF8" s="140">
        <v>56.0</v>
      </c>
      <c r="AG8" s="109">
        <v>0.0</v>
      </c>
      <c r="AH8" s="109">
        <v>54.0</v>
      </c>
      <c r="AI8" s="141">
        <v>0.0</v>
      </c>
      <c r="AJ8" s="80">
        <v>110.0</v>
      </c>
      <c r="AK8" s="140">
        <v>0.0</v>
      </c>
      <c r="AL8" s="109">
        <v>0.0</v>
      </c>
      <c r="AM8" s="141">
        <v>0.0</v>
      </c>
      <c r="AN8" s="80">
        <v>0.0</v>
      </c>
      <c r="AO8" s="140">
        <v>0.0</v>
      </c>
      <c r="AP8" s="109">
        <v>0.0</v>
      </c>
      <c r="AQ8" s="109">
        <v>0.0</v>
      </c>
      <c r="AR8" s="80">
        <v>0.0</v>
      </c>
      <c r="AS8" s="110">
        <v>0.0</v>
      </c>
      <c r="AT8" s="110">
        <v>0.0</v>
      </c>
      <c r="AU8" s="110">
        <v>0.0</v>
      </c>
      <c r="AV8" s="142">
        <v>0.0</v>
      </c>
      <c r="AW8" s="80">
        <v>0.0</v>
      </c>
      <c r="AX8" s="113">
        <v>110.0</v>
      </c>
      <c r="AY8" s="117">
        <v>56.0</v>
      </c>
      <c r="AZ8" s="328">
        <v>54.0</v>
      </c>
      <c r="BA8" s="315">
        <v>0.0</v>
      </c>
      <c r="BB8" s="316">
        <v>110.0</v>
      </c>
      <c r="BC8" s="132" t="s">
        <v>178</v>
      </c>
      <c r="BD8" s="143" t="s">
        <v>227</v>
      </c>
      <c r="BE8" s="132" t="s">
        <v>64</v>
      </c>
      <c r="BF8" s="123"/>
      <c r="BG8" s="83">
        <v>1178789.0</v>
      </c>
      <c r="BH8" s="112">
        <v>4.0</v>
      </c>
      <c r="BI8" s="98" t="s">
        <v>155</v>
      </c>
      <c r="BJ8" s="98" t="str">
        <f t="shared" si="1"/>
        <v>NÃO</v>
      </c>
      <c r="BK8" s="98" t="str">
        <f t="shared" si="2"/>
        <v>NÃO</v>
      </c>
    </row>
    <row r="9" ht="24.0" customHeight="1">
      <c r="A9" s="111" t="s">
        <v>130</v>
      </c>
      <c r="B9" s="83" t="s">
        <v>192</v>
      </c>
      <c r="C9" s="83" t="s">
        <v>68</v>
      </c>
      <c r="D9" s="83">
        <v>1126212.0</v>
      </c>
      <c r="E9" s="83"/>
      <c r="F9" s="83">
        <v>2.905938E7</v>
      </c>
      <c r="G9" s="114" t="s">
        <v>2692</v>
      </c>
      <c r="H9" s="91" t="s">
        <v>197</v>
      </c>
      <c r="I9" s="114" t="s">
        <v>149</v>
      </c>
      <c r="J9" s="83" t="s">
        <v>150</v>
      </c>
      <c r="K9" s="83" t="s">
        <v>151</v>
      </c>
      <c r="L9" s="82" t="s">
        <v>76</v>
      </c>
      <c r="M9" s="82" t="s">
        <v>2694</v>
      </c>
      <c r="N9" s="82" t="s">
        <v>2695</v>
      </c>
      <c r="O9" s="82"/>
      <c r="P9" s="82"/>
      <c r="Q9" s="82"/>
      <c r="R9" s="82"/>
      <c r="S9" s="82" t="s">
        <v>2696</v>
      </c>
      <c r="T9" s="138">
        <v>5.0</v>
      </c>
      <c r="U9" s="339" t="s">
        <v>2697</v>
      </c>
      <c r="V9" s="106">
        <v>0.0</v>
      </c>
      <c r="W9" s="107">
        <v>0.0</v>
      </c>
      <c r="X9" s="107">
        <v>0.0</v>
      </c>
      <c r="Y9" s="107">
        <v>0.0</v>
      </c>
      <c r="Z9" s="80">
        <v>0.0</v>
      </c>
      <c r="AA9" s="140">
        <v>0.0</v>
      </c>
      <c r="AB9" s="109">
        <v>0.0</v>
      </c>
      <c r="AC9" s="109">
        <v>0.0</v>
      </c>
      <c r="AD9" s="141">
        <v>0.0</v>
      </c>
      <c r="AE9" s="80">
        <v>0.0</v>
      </c>
      <c r="AF9" s="140">
        <v>141.0</v>
      </c>
      <c r="AG9" s="109">
        <v>104.0</v>
      </c>
      <c r="AH9" s="109">
        <v>25.0</v>
      </c>
      <c r="AI9" s="141">
        <v>0.0</v>
      </c>
      <c r="AJ9" s="80">
        <v>270.0</v>
      </c>
      <c r="AK9" s="140">
        <v>0.0</v>
      </c>
      <c r="AL9" s="109">
        <v>0.0</v>
      </c>
      <c r="AM9" s="141">
        <v>0.0</v>
      </c>
      <c r="AN9" s="80">
        <v>0.0</v>
      </c>
      <c r="AO9" s="140">
        <v>0.0</v>
      </c>
      <c r="AP9" s="109">
        <v>0.0</v>
      </c>
      <c r="AQ9" s="109">
        <v>24.0</v>
      </c>
      <c r="AR9" s="80">
        <v>24.0</v>
      </c>
      <c r="AS9" s="110">
        <v>0.0</v>
      </c>
      <c r="AT9" s="110">
        <v>0.0</v>
      </c>
      <c r="AU9" s="110">
        <v>0.0</v>
      </c>
      <c r="AV9" s="142">
        <v>0.0</v>
      </c>
      <c r="AW9" s="80">
        <v>0.0</v>
      </c>
      <c r="AX9" s="113">
        <v>294.0</v>
      </c>
      <c r="AY9" s="117">
        <v>245.0</v>
      </c>
      <c r="AZ9" s="328">
        <v>49.0</v>
      </c>
      <c r="BA9" s="315">
        <v>6.0</v>
      </c>
      <c r="BB9" s="316">
        <v>300.0</v>
      </c>
      <c r="BC9" s="132" t="s">
        <v>178</v>
      </c>
      <c r="BD9" s="132" t="s">
        <v>178</v>
      </c>
      <c r="BE9" s="132" t="s">
        <v>178</v>
      </c>
      <c r="BF9" s="123"/>
      <c r="BG9" s="83">
        <v>1126212.0</v>
      </c>
      <c r="BH9" s="112">
        <v>5.0</v>
      </c>
      <c r="BI9" s="98" t="s">
        <v>155</v>
      </c>
      <c r="BJ9" s="98" t="str">
        <f t="shared" si="1"/>
        <v>NÃO</v>
      </c>
      <c r="BK9" s="98" t="str">
        <f t="shared" si="2"/>
        <v>NÃO</v>
      </c>
    </row>
    <row r="10">
      <c r="A10" s="111" t="s">
        <v>130</v>
      </c>
      <c r="B10" s="83" t="s">
        <v>192</v>
      </c>
      <c r="C10" s="83" t="s">
        <v>164</v>
      </c>
      <c r="D10" s="83">
        <v>1126212.0</v>
      </c>
      <c r="E10" s="83">
        <v>1178793.0</v>
      </c>
      <c r="F10" s="83"/>
      <c r="G10" s="187" t="s">
        <v>2507</v>
      </c>
      <c r="H10" s="91" t="s">
        <v>2706</v>
      </c>
      <c r="I10" s="114" t="s">
        <v>149</v>
      </c>
      <c r="J10" s="136" t="s">
        <v>315</v>
      </c>
      <c r="K10" s="83" t="s">
        <v>151</v>
      </c>
      <c r="L10" s="83" t="s">
        <v>169</v>
      </c>
      <c r="M10" s="82" t="s">
        <v>2694</v>
      </c>
      <c r="N10" s="82" t="s">
        <v>2695</v>
      </c>
      <c r="O10" s="82"/>
      <c r="P10" s="82"/>
      <c r="Q10" s="82"/>
      <c r="R10" s="82"/>
      <c r="S10" s="82" t="s">
        <v>2696</v>
      </c>
      <c r="T10" s="138">
        <v>6.0</v>
      </c>
      <c r="U10" s="331">
        <v>5.0</v>
      </c>
      <c r="V10" s="106">
        <v>0.0</v>
      </c>
      <c r="W10" s="107">
        <v>0.0</v>
      </c>
      <c r="X10" s="107">
        <v>0.0</v>
      </c>
      <c r="Y10" s="107">
        <v>0.0</v>
      </c>
      <c r="Z10" s="80">
        <v>0.0</v>
      </c>
      <c r="AA10" s="140">
        <v>0.0</v>
      </c>
      <c r="AB10" s="109">
        <v>0.0</v>
      </c>
      <c r="AC10" s="109">
        <v>0.0</v>
      </c>
      <c r="AD10" s="141">
        <v>0.0</v>
      </c>
      <c r="AE10" s="80">
        <v>0.0</v>
      </c>
      <c r="AF10" s="140">
        <v>0.0</v>
      </c>
      <c r="AG10" s="109">
        <v>137.0</v>
      </c>
      <c r="AH10" s="109">
        <v>25.0</v>
      </c>
      <c r="AI10" s="141">
        <v>0.0</v>
      </c>
      <c r="AJ10" s="80">
        <v>162.0</v>
      </c>
      <c r="AK10" s="140">
        <v>0.0</v>
      </c>
      <c r="AL10" s="109">
        <v>0.0</v>
      </c>
      <c r="AM10" s="141">
        <v>0.0</v>
      </c>
      <c r="AN10" s="80">
        <v>0.0</v>
      </c>
      <c r="AO10" s="140">
        <v>0.0</v>
      </c>
      <c r="AP10" s="109">
        <v>0.0</v>
      </c>
      <c r="AQ10" s="109">
        <v>13.0</v>
      </c>
      <c r="AR10" s="80">
        <v>13.0</v>
      </c>
      <c r="AS10" s="110">
        <v>0.0</v>
      </c>
      <c r="AT10" s="110">
        <v>0.0</v>
      </c>
      <c r="AU10" s="110">
        <v>0.0</v>
      </c>
      <c r="AV10" s="142">
        <v>0.0</v>
      </c>
      <c r="AW10" s="80">
        <v>0.0</v>
      </c>
      <c r="AX10" s="113">
        <v>175.0</v>
      </c>
      <c r="AY10" s="117">
        <v>137.0</v>
      </c>
      <c r="AZ10" s="328">
        <v>38.0</v>
      </c>
      <c r="BA10" s="315">
        <v>0.0</v>
      </c>
      <c r="BB10" s="316">
        <v>175.0</v>
      </c>
      <c r="BC10" s="132" t="s">
        <v>373</v>
      </c>
      <c r="BD10" s="132" t="s">
        <v>178</v>
      </c>
      <c r="BE10" s="132" t="s">
        <v>178</v>
      </c>
      <c r="BF10" s="123"/>
      <c r="BG10" s="83">
        <v>1178793.0</v>
      </c>
      <c r="BH10" s="112">
        <v>5.0</v>
      </c>
      <c r="BI10" s="98" t="s">
        <v>155</v>
      </c>
      <c r="BJ10" s="98" t="str">
        <f t="shared" si="1"/>
        <v>NÃO</v>
      </c>
      <c r="BK10" s="98" t="str">
        <f t="shared" si="2"/>
        <v>NÃO</v>
      </c>
    </row>
    <row r="11">
      <c r="A11" s="111" t="s">
        <v>130</v>
      </c>
      <c r="B11" s="83" t="s">
        <v>200</v>
      </c>
      <c r="C11" s="83" t="s">
        <v>68</v>
      </c>
      <c r="D11" s="83">
        <v>1126247.0</v>
      </c>
      <c r="E11" s="83"/>
      <c r="F11" s="83">
        <v>2.9060001E7</v>
      </c>
      <c r="G11" s="119" t="s">
        <v>201</v>
      </c>
      <c r="H11" s="91" t="s">
        <v>202</v>
      </c>
      <c r="I11" s="114" t="s">
        <v>149</v>
      </c>
      <c r="J11" s="83" t="s">
        <v>150</v>
      </c>
      <c r="K11" s="83" t="s">
        <v>151</v>
      </c>
      <c r="L11" s="83" t="s">
        <v>152</v>
      </c>
      <c r="M11" s="82" t="s">
        <v>2715</v>
      </c>
      <c r="N11" s="82" t="s">
        <v>2716</v>
      </c>
      <c r="O11" s="82" t="s">
        <v>2717</v>
      </c>
      <c r="P11" s="82" t="s">
        <v>2718</v>
      </c>
      <c r="Q11" s="82"/>
      <c r="R11" s="82"/>
      <c r="S11" s="82" t="s">
        <v>2719</v>
      </c>
      <c r="T11" s="138">
        <v>9.0</v>
      </c>
      <c r="U11" s="323">
        <v>9.0</v>
      </c>
      <c r="V11" s="106">
        <v>0.0</v>
      </c>
      <c r="W11" s="107">
        <v>0.0</v>
      </c>
      <c r="X11" s="107">
        <v>0.0</v>
      </c>
      <c r="Y11" s="107">
        <v>0.0</v>
      </c>
      <c r="Z11" s="80">
        <v>0.0</v>
      </c>
      <c r="AA11" s="140">
        <v>0.0</v>
      </c>
      <c r="AB11" s="109">
        <v>0.0</v>
      </c>
      <c r="AC11" s="109">
        <v>0.0</v>
      </c>
      <c r="AD11" s="141">
        <v>0.0</v>
      </c>
      <c r="AE11" s="80">
        <v>0.0</v>
      </c>
      <c r="AF11" s="140">
        <v>189.0</v>
      </c>
      <c r="AG11" s="109">
        <v>160.0</v>
      </c>
      <c r="AH11" s="109">
        <v>28.0</v>
      </c>
      <c r="AI11" s="141">
        <v>203.0</v>
      </c>
      <c r="AJ11" s="80">
        <v>580.0</v>
      </c>
      <c r="AK11" s="140">
        <v>0.0</v>
      </c>
      <c r="AL11" s="109">
        <v>0.0</v>
      </c>
      <c r="AM11" s="141">
        <v>0.0</v>
      </c>
      <c r="AN11" s="80">
        <v>0.0</v>
      </c>
      <c r="AO11" s="140">
        <v>0.0</v>
      </c>
      <c r="AP11" s="109">
        <v>0.0</v>
      </c>
      <c r="AQ11" s="109">
        <v>74.0</v>
      </c>
      <c r="AR11" s="80">
        <v>74.0</v>
      </c>
      <c r="AS11" s="110">
        <v>0.0</v>
      </c>
      <c r="AT11" s="110">
        <v>0.0</v>
      </c>
      <c r="AU11" s="110">
        <v>0.0</v>
      </c>
      <c r="AV11" s="142">
        <v>0.0</v>
      </c>
      <c r="AW11" s="80">
        <v>0.0</v>
      </c>
      <c r="AX11" s="113">
        <v>654.0</v>
      </c>
      <c r="AY11" s="117">
        <v>552.0</v>
      </c>
      <c r="AZ11" s="328">
        <v>102.0</v>
      </c>
      <c r="BA11" s="315">
        <v>2.0</v>
      </c>
      <c r="BB11" s="316">
        <v>656.0</v>
      </c>
      <c r="BC11" s="132" t="s">
        <v>178</v>
      </c>
      <c r="BD11" s="132" t="s">
        <v>178</v>
      </c>
      <c r="BE11" s="132" t="s">
        <v>178</v>
      </c>
      <c r="BF11" s="123"/>
      <c r="BG11" s="83">
        <v>1126247.0</v>
      </c>
      <c r="BH11" s="112">
        <v>9.0</v>
      </c>
      <c r="BI11" s="98" t="s">
        <v>155</v>
      </c>
      <c r="BJ11" s="98" t="str">
        <f t="shared" si="1"/>
        <v>INTEGRAL</v>
      </c>
      <c r="BK11" s="98" t="str">
        <f t="shared" si="2"/>
        <v>NÃO</v>
      </c>
    </row>
    <row r="12">
      <c r="A12" s="111" t="s">
        <v>130</v>
      </c>
      <c r="B12" s="83" t="s">
        <v>200</v>
      </c>
      <c r="C12" s="83" t="s">
        <v>164</v>
      </c>
      <c r="D12" s="83">
        <v>1179281.0</v>
      </c>
      <c r="E12" s="83">
        <v>1178792.0</v>
      </c>
      <c r="F12" s="83"/>
      <c r="G12" s="114" t="s">
        <v>206</v>
      </c>
      <c r="H12" s="91" t="s">
        <v>207</v>
      </c>
      <c r="I12" s="187" t="s">
        <v>208</v>
      </c>
      <c r="J12" s="83" t="s">
        <v>209</v>
      </c>
      <c r="K12" s="83" t="s">
        <v>151</v>
      </c>
      <c r="L12" s="83" t="s">
        <v>169</v>
      </c>
      <c r="M12" s="82" t="s">
        <v>2649</v>
      </c>
      <c r="N12" s="82" t="s">
        <v>2650</v>
      </c>
      <c r="O12" s="82" t="s">
        <v>2651</v>
      </c>
      <c r="P12" s="82" t="s">
        <v>2652</v>
      </c>
      <c r="Q12" s="82"/>
      <c r="R12" s="82"/>
      <c r="S12" s="82" t="s">
        <v>2653</v>
      </c>
      <c r="T12" s="138">
        <v>3.0</v>
      </c>
      <c r="U12" s="323">
        <v>3.0</v>
      </c>
      <c r="V12" s="106">
        <v>0.0</v>
      </c>
      <c r="W12" s="107">
        <v>0.0</v>
      </c>
      <c r="X12" s="107">
        <v>0.0</v>
      </c>
      <c r="Y12" s="107">
        <v>0.0</v>
      </c>
      <c r="Z12" s="80">
        <v>0.0</v>
      </c>
      <c r="AA12" s="140">
        <v>0.0</v>
      </c>
      <c r="AB12" s="109">
        <v>0.0</v>
      </c>
      <c r="AC12" s="109">
        <v>0.0</v>
      </c>
      <c r="AD12" s="141">
        <v>0.0</v>
      </c>
      <c r="AE12" s="80">
        <v>0.0</v>
      </c>
      <c r="AF12" s="140">
        <v>0.0</v>
      </c>
      <c r="AG12" s="109">
        <v>0.0</v>
      </c>
      <c r="AH12" s="109">
        <v>49.0</v>
      </c>
      <c r="AI12" s="141">
        <v>0.0</v>
      </c>
      <c r="AJ12" s="80">
        <v>49.0</v>
      </c>
      <c r="AK12" s="140">
        <v>0.0</v>
      </c>
      <c r="AL12" s="109">
        <v>0.0</v>
      </c>
      <c r="AM12" s="141">
        <v>0.0</v>
      </c>
      <c r="AN12" s="80">
        <v>0.0</v>
      </c>
      <c r="AO12" s="140">
        <v>0.0</v>
      </c>
      <c r="AP12" s="109">
        <v>0.0</v>
      </c>
      <c r="AQ12" s="109">
        <v>0.0</v>
      </c>
      <c r="AR12" s="80">
        <v>0.0</v>
      </c>
      <c r="AS12" s="110">
        <v>0.0</v>
      </c>
      <c r="AT12" s="110">
        <v>0.0</v>
      </c>
      <c r="AU12" s="110">
        <v>0.0</v>
      </c>
      <c r="AV12" s="142">
        <v>0.0</v>
      </c>
      <c r="AW12" s="80">
        <v>0.0</v>
      </c>
      <c r="AX12" s="113">
        <v>49.0</v>
      </c>
      <c r="AY12" s="117">
        <v>0.0</v>
      </c>
      <c r="AZ12" s="328">
        <v>49.0</v>
      </c>
      <c r="BA12" s="315">
        <v>0.0</v>
      </c>
      <c r="BB12" s="316">
        <v>49.0</v>
      </c>
      <c r="BC12" s="132" t="s">
        <v>178</v>
      </c>
      <c r="BD12" s="143" t="s">
        <v>227</v>
      </c>
      <c r="BE12" s="132" t="s">
        <v>64</v>
      </c>
      <c r="BF12" s="123"/>
      <c r="BG12" s="83">
        <v>1178792.0</v>
      </c>
      <c r="BH12" s="112">
        <v>3.0</v>
      </c>
      <c r="BI12" s="98" t="s">
        <v>155</v>
      </c>
      <c r="BJ12" s="98" t="str">
        <f t="shared" si="1"/>
        <v>NÃO</v>
      </c>
      <c r="BK12" s="98" t="str">
        <f t="shared" si="2"/>
        <v>NÃO</v>
      </c>
    </row>
    <row r="13">
      <c r="A13" s="111" t="s">
        <v>130</v>
      </c>
      <c r="B13" s="83" t="s">
        <v>210</v>
      </c>
      <c r="C13" s="83" t="s">
        <v>68</v>
      </c>
      <c r="D13" s="83">
        <v>1163100.0</v>
      </c>
      <c r="E13" s="83"/>
      <c r="F13" s="83">
        <v>2.9060214E7</v>
      </c>
      <c r="G13" s="114" t="s">
        <v>211</v>
      </c>
      <c r="H13" s="91" t="s">
        <v>212</v>
      </c>
      <c r="I13" s="114" t="s">
        <v>149</v>
      </c>
      <c r="J13" s="83" t="s">
        <v>150</v>
      </c>
      <c r="K13" s="83" t="s">
        <v>151</v>
      </c>
      <c r="L13" s="83" t="s">
        <v>76</v>
      </c>
      <c r="M13" s="82" t="s">
        <v>2729</v>
      </c>
      <c r="N13" s="82" t="s">
        <v>2730</v>
      </c>
      <c r="O13" s="82" t="s">
        <v>2731</v>
      </c>
      <c r="P13" s="82" t="s">
        <v>2732</v>
      </c>
      <c r="Q13" s="82"/>
      <c r="R13" s="82"/>
      <c r="S13" s="82" t="s">
        <v>2733</v>
      </c>
      <c r="T13" s="138">
        <v>13.0</v>
      </c>
      <c r="U13" s="340">
        <v>10.0</v>
      </c>
      <c r="V13" s="106">
        <v>0.0</v>
      </c>
      <c r="W13" s="107">
        <v>0.0</v>
      </c>
      <c r="X13" s="107">
        <v>0.0</v>
      </c>
      <c r="Y13" s="107">
        <v>0.0</v>
      </c>
      <c r="Z13" s="80">
        <v>0.0</v>
      </c>
      <c r="AA13" s="140">
        <v>0.0</v>
      </c>
      <c r="AB13" s="109">
        <v>0.0</v>
      </c>
      <c r="AC13" s="109">
        <v>0.0</v>
      </c>
      <c r="AD13" s="141">
        <v>0.0</v>
      </c>
      <c r="AE13" s="80">
        <v>0.0</v>
      </c>
      <c r="AF13" s="140">
        <v>235.0</v>
      </c>
      <c r="AG13" s="109">
        <v>200.0</v>
      </c>
      <c r="AH13" s="109">
        <v>0.0</v>
      </c>
      <c r="AI13" s="141">
        <v>191.0</v>
      </c>
      <c r="AJ13" s="80">
        <v>626.0</v>
      </c>
      <c r="AK13" s="140">
        <v>0.0</v>
      </c>
      <c r="AL13" s="109">
        <v>0.0</v>
      </c>
      <c r="AM13" s="141">
        <v>0.0</v>
      </c>
      <c r="AN13" s="80">
        <v>0.0</v>
      </c>
      <c r="AO13" s="140">
        <v>0.0</v>
      </c>
      <c r="AP13" s="109">
        <v>0.0</v>
      </c>
      <c r="AQ13" s="109">
        <v>0.0</v>
      </c>
      <c r="AR13" s="80">
        <v>0.0</v>
      </c>
      <c r="AS13" s="110">
        <v>0.0</v>
      </c>
      <c r="AT13" s="110">
        <v>0.0</v>
      </c>
      <c r="AU13" s="110">
        <v>90.0</v>
      </c>
      <c r="AV13" s="142">
        <v>0.0</v>
      </c>
      <c r="AW13" s="80">
        <v>90.0</v>
      </c>
      <c r="AX13" s="113">
        <v>716.0</v>
      </c>
      <c r="AY13" s="117">
        <v>626.0</v>
      </c>
      <c r="AZ13" s="328">
        <v>90.0</v>
      </c>
      <c r="BA13" s="315">
        <v>2.0</v>
      </c>
      <c r="BB13" s="316">
        <v>718.0</v>
      </c>
      <c r="BC13" s="132" t="s">
        <v>178</v>
      </c>
      <c r="BD13" s="132" t="s">
        <v>178</v>
      </c>
      <c r="BE13" s="132" t="s">
        <v>178</v>
      </c>
      <c r="BF13" s="156"/>
      <c r="BG13" s="83">
        <v>1163100.0</v>
      </c>
      <c r="BH13" s="112">
        <v>10.0</v>
      </c>
      <c r="BI13" s="98" t="s">
        <v>155</v>
      </c>
      <c r="BJ13" s="98" t="str">
        <f t="shared" si="1"/>
        <v>INTEGRAL</v>
      </c>
      <c r="BK13" s="98" t="str">
        <f t="shared" si="2"/>
        <v>PROFISSIONAL</v>
      </c>
    </row>
    <row r="14">
      <c r="A14" s="111" t="s">
        <v>130</v>
      </c>
      <c r="B14" s="83" t="s">
        <v>210</v>
      </c>
      <c r="C14" s="83" t="s">
        <v>68</v>
      </c>
      <c r="D14" s="83">
        <v>1137583.0</v>
      </c>
      <c r="E14" s="83"/>
      <c r="F14" s="83">
        <v>2.9060206E7</v>
      </c>
      <c r="G14" s="114" t="s">
        <v>215</v>
      </c>
      <c r="H14" s="91" t="s">
        <v>216</v>
      </c>
      <c r="I14" s="114" t="s">
        <v>149</v>
      </c>
      <c r="J14" s="83" t="s">
        <v>209</v>
      </c>
      <c r="K14" s="83" t="s">
        <v>151</v>
      </c>
      <c r="L14" s="83" t="s">
        <v>169</v>
      </c>
      <c r="M14" s="82" t="s">
        <v>2741</v>
      </c>
      <c r="N14" s="82" t="s">
        <v>2742</v>
      </c>
      <c r="O14" s="82"/>
      <c r="P14" s="82"/>
      <c r="Q14" s="82"/>
      <c r="R14" s="82"/>
      <c r="S14" s="82" t="s">
        <v>2743</v>
      </c>
      <c r="T14" s="138">
        <v>8.0</v>
      </c>
      <c r="U14" s="340">
        <v>7.0</v>
      </c>
      <c r="V14" s="106">
        <v>0.0</v>
      </c>
      <c r="W14" s="107">
        <v>0.0</v>
      </c>
      <c r="X14" s="107">
        <v>0.0</v>
      </c>
      <c r="Y14" s="107">
        <v>0.0</v>
      </c>
      <c r="Z14" s="80">
        <v>0.0</v>
      </c>
      <c r="AA14" s="140">
        <v>0.0</v>
      </c>
      <c r="AB14" s="109">
        <v>0.0</v>
      </c>
      <c r="AC14" s="109">
        <v>0.0</v>
      </c>
      <c r="AD14" s="141">
        <v>0.0</v>
      </c>
      <c r="AE14" s="80">
        <v>0.0</v>
      </c>
      <c r="AF14" s="140">
        <v>141.0</v>
      </c>
      <c r="AG14" s="109">
        <v>55.0</v>
      </c>
      <c r="AH14" s="109">
        <v>30.0</v>
      </c>
      <c r="AI14" s="141">
        <v>27.0</v>
      </c>
      <c r="AJ14" s="80">
        <v>253.0</v>
      </c>
      <c r="AK14" s="140">
        <v>0.0</v>
      </c>
      <c r="AL14" s="109">
        <v>0.0</v>
      </c>
      <c r="AM14" s="141">
        <v>0.0</v>
      </c>
      <c r="AN14" s="80">
        <v>0.0</v>
      </c>
      <c r="AO14" s="140">
        <v>0.0</v>
      </c>
      <c r="AP14" s="109">
        <v>0.0</v>
      </c>
      <c r="AQ14" s="109">
        <v>45.0</v>
      </c>
      <c r="AR14" s="80">
        <v>45.0</v>
      </c>
      <c r="AS14" s="110">
        <v>0.0</v>
      </c>
      <c r="AT14" s="110">
        <v>0.0</v>
      </c>
      <c r="AU14" s="110">
        <v>0.0</v>
      </c>
      <c r="AV14" s="142">
        <v>0.0</v>
      </c>
      <c r="AW14" s="80">
        <v>0.0</v>
      </c>
      <c r="AX14" s="113">
        <v>298.0</v>
      </c>
      <c r="AY14" s="117">
        <v>223.0</v>
      </c>
      <c r="AZ14" s="328">
        <v>75.0</v>
      </c>
      <c r="BA14" s="315">
        <v>0.0</v>
      </c>
      <c r="BB14" s="316">
        <v>298.0</v>
      </c>
      <c r="BC14" s="132" t="s">
        <v>373</v>
      </c>
      <c r="BD14" s="132" t="s">
        <v>178</v>
      </c>
      <c r="BE14" s="132" t="s">
        <v>178</v>
      </c>
      <c r="BF14" s="156"/>
      <c r="BG14" s="83">
        <v>1137583.0</v>
      </c>
      <c r="BH14" s="112">
        <v>7.0</v>
      </c>
      <c r="BI14" s="98" t="s">
        <v>155</v>
      </c>
      <c r="BJ14" s="98" t="str">
        <f t="shared" si="1"/>
        <v>INTEGRAL</v>
      </c>
      <c r="BK14" s="98" t="str">
        <f t="shared" si="2"/>
        <v>NÃO</v>
      </c>
    </row>
    <row r="15">
      <c r="A15" s="111" t="s">
        <v>130</v>
      </c>
      <c r="B15" s="83" t="s">
        <v>210</v>
      </c>
      <c r="C15" s="83" t="s">
        <v>164</v>
      </c>
      <c r="D15" s="83">
        <v>1179281.0</v>
      </c>
      <c r="E15" s="83">
        <v>1179207.0</v>
      </c>
      <c r="F15" s="83"/>
      <c r="G15" s="114" t="s">
        <v>219</v>
      </c>
      <c r="H15" s="91" t="s">
        <v>220</v>
      </c>
      <c r="I15" s="187" t="s">
        <v>221</v>
      </c>
      <c r="J15" s="83" t="s">
        <v>222</v>
      </c>
      <c r="K15" s="83" t="s">
        <v>168</v>
      </c>
      <c r="L15" s="83" t="s">
        <v>169</v>
      </c>
      <c r="M15" s="82" t="s">
        <v>2649</v>
      </c>
      <c r="N15" s="82" t="s">
        <v>2650</v>
      </c>
      <c r="O15" s="82" t="s">
        <v>2651</v>
      </c>
      <c r="P15" s="82" t="s">
        <v>2652</v>
      </c>
      <c r="Q15" s="82"/>
      <c r="R15" s="82"/>
      <c r="S15" s="82" t="s">
        <v>2653</v>
      </c>
      <c r="T15" s="138">
        <v>3.0</v>
      </c>
      <c r="U15" s="341">
        <v>3.0</v>
      </c>
      <c r="V15" s="106">
        <v>0.0</v>
      </c>
      <c r="W15" s="107">
        <v>0.0</v>
      </c>
      <c r="X15" s="107">
        <v>0.0</v>
      </c>
      <c r="Y15" s="107">
        <v>0.0</v>
      </c>
      <c r="Z15" s="80">
        <v>0.0</v>
      </c>
      <c r="AA15" s="140">
        <v>0.0</v>
      </c>
      <c r="AB15" s="109">
        <v>0.0</v>
      </c>
      <c r="AC15" s="109">
        <v>0.0</v>
      </c>
      <c r="AD15" s="141">
        <v>0.0</v>
      </c>
      <c r="AE15" s="80">
        <v>0.0</v>
      </c>
      <c r="AF15" s="140">
        <v>0.0</v>
      </c>
      <c r="AG15" s="109">
        <v>16.0</v>
      </c>
      <c r="AH15" s="109">
        <v>71.0</v>
      </c>
      <c r="AI15" s="141">
        <v>0.0</v>
      </c>
      <c r="AJ15" s="80">
        <v>87.0</v>
      </c>
      <c r="AK15" s="140">
        <v>0.0</v>
      </c>
      <c r="AL15" s="109">
        <v>0.0</v>
      </c>
      <c r="AM15" s="141">
        <v>0.0</v>
      </c>
      <c r="AN15" s="80">
        <v>0.0</v>
      </c>
      <c r="AO15" s="140">
        <v>0.0</v>
      </c>
      <c r="AP15" s="109">
        <v>0.0</v>
      </c>
      <c r="AQ15" s="109">
        <v>0.0</v>
      </c>
      <c r="AR15" s="80">
        <v>0.0</v>
      </c>
      <c r="AS15" s="110">
        <v>0.0</v>
      </c>
      <c r="AT15" s="110">
        <v>0.0</v>
      </c>
      <c r="AU15" s="110">
        <v>0.0</v>
      </c>
      <c r="AV15" s="142">
        <v>0.0</v>
      </c>
      <c r="AW15" s="80">
        <v>0.0</v>
      </c>
      <c r="AX15" s="113">
        <v>87.0</v>
      </c>
      <c r="AY15" s="117">
        <v>16.0</v>
      </c>
      <c r="AZ15" s="328">
        <v>71.0</v>
      </c>
      <c r="BA15" s="315">
        <v>0.0</v>
      </c>
      <c r="BB15" s="316">
        <v>87.0</v>
      </c>
      <c r="BC15" s="132" t="s">
        <v>178</v>
      </c>
      <c r="BD15" s="143" t="s">
        <v>227</v>
      </c>
      <c r="BE15" s="132" t="s">
        <v>64</v>
      </c>
      <c r="BF15" s="123"/>
      <c r="BG15" s="83">
        <v>1179207.0</v>
      </c>
      <c r="BH15" s="112">
        <v>3.0</v>
      </c>
      <c r="BI15" s="98" t="s">
        <v>155</v>
      </c>
      <c r="BJ15" s="98" t="str">
        <f t="shared" si="1"/>
        <v>NÃO</v>
      </c>
      <c r="BK15" s="98" t="str">
        <f t="shared" si="2"/>
        <v>NÃO</v>
      </c>
    </row>
    <row r="16">
      <c r="A16" s="111" t="s">
        <v>130</v>
      </c>
      <c r="B16" s="83" t="s">
        <v>210</v>
      </c>
      <c r="C16" s="83" t="s">
        <v>164</v>
      </c>
      <c r="D16" s="83">
        <v>1179281.0</v>
      </c>
      <c r="E16" s="83">
        <v>1179160.0</v>
      </c>
      <c r="F16" s="83"/>
      <c r="G16" s="114" t="s">
        <v>223</v>
      </c>
      <c r="H16" s="91" t="s">
        <v>224</v>
      </c>
      <c r="I16" s="187" t="s">
        <v>225</v>
      </c>
      <c r="J16" s="83" t="s">
        <v>187</v>
      </c>
      <c r="K16" s="83" t="s">
        <v>168</v>
      </c>
      <c r="L16" s="83" t="s">
        <v>169</v>
      </c>
      <c r="M16" s="82" t="s">
        <v>2649</v>
      </c>
      <c r="N16" s="82" t="s">
        <v>2650</v>
      </c>
      <c r="O16" s="82" t="s">
        <v>2651</v>
      </c>
      <c r="P16" s="82" t="s">
        <v>2652</v>
      </c>
      <c r="Q16" s="82"/>
      <c r="R16" s="82"/>
      <c r="S16" s="82" t="s">
        <v>2653</v>
      </c>
      <c r="T16" s="138">
        <v>3.0</v>
      </c>
      <c r="U16" s="341">
        <v>3.0</v>
      </c>
      <c r="V16" s="106">
        <v>0.0</v>
      </c>
      <c r="W16" s="107">
        <v>0.0</v>
      </c>
      <c r="X16" s="107">
        <v>0.0</v>
      </c>
      <c r="Y16" s="107">
        <v>0.0</v>
      </c>
      <c r="Z16" s="80">
        <v>0.0</v>
      </c>
      <c r="AA16" s="140">
        <v>0.0</v>
      </c>
      <c r="AB16" s="109">
        <v>0.0</v>
      </c>
      <c r="AC16" s="109">
        <v>0.0</v>
      </c>
      <c r="AD16" s="141">
        <v>0.0</v>
      </c>
      <c r="AE16" s="80">
        <v>0.0</v>
      </c>
      <c r="AF16" s="140">
        <v>0.0</v>
      </c>
      <c r="AG16" s="109">
        <v>0.0</v>
      </c>
      <c r="AH16" s="109">
        <v>59.0</v>
      </c>
      <c r="AI16" s="141">
        <v>0.0</v>
      </c>
      <c r="AJ16" s="80">
        <v>59.0</v>
      </c>
      <c r="AK16" s="140">
        <v>0.0</v>
      </c>
      <c r="AL16" s="109">
        <v>0.0</v>
      </c>
      <c r="AM16" s="141">
        <v>0.0</v>
      </c>
      <c r="AN16" s="80">
        <v>0.0</v>
      </c>
      <c r="AO16" s="140">
        <v>0.0</v>
      </c>
      <c r="AP16" s="109">
        <v>0.0</v>
      </c>
      <c r="AQ16" s="109">
        <v>0.0</v>
      </c>
      <c r="AR16" s="80">
        <v>0.0</v>
      </c>
      <c r="AS16" s="110">
        <v>0.0</v>
      </c>
      <c r="AT16" s="110">
        <v>0.0</v>
      </c>
      <c r="AU16" s="110">
        <v>0.0</v>
      </c>
      <c r="AV16" s="142">
        <v>0.0</v>
      </c>
      <c r="AW16" s="80">
        <v>0.0</v>
      </c>
      <c r="AX16" s="113">
        <v>59.0</v>
      </c>
      <c r="AY16" s="117">
        <v>0.0</v>
      </c>
      <c r="AZ16" s="328">
        <v>59.0</v>
      </c>
      <c r="BA16" s="315">
        <v>0.0</v>
      </c>
      <c r="BB16" s="316">
        <v>59.0</v>
      </c>
      <c r="BC16" s="132" t="s">
        <v>178</v>
      </c>
      <c r="BD16" s="143" t="s">
        <v>227</v>
      </c>
      <c r="BE16" s="132" t="s">
        <v>64</v>
      </c>
      <c r="BF16" s="156"/>
      <c r="BG16" s="83">
        <v>1179160.0</v>
      </c>
      <c r="BH16" s="112">
        <v>3.0</v>
      </c>
      <c r="BI16" s="98" t="s">
        <v>155</v>
      </c>
      <c r="BJ16" s="98" t="str">
        <f t="shared" si="1"/>
        <v>NÃO</v>
      </c>
      <c r="BK16" s="98" t="str">
        <f t="shared" si="2"/>
        <v>NÃO</v>
      </c>
    </row>
    <row r="17" ht="15.75" customHeight="1">
      <c r="A17" s="111" t="s">
        <v>130</v>
      </c>
      <c r="B17" s="83" t="s">
        <v>226</v>
      </c>
      <c r="C17" s="83" t="s">
        <v>68</v>
      </c>
      <c r="D17" s="83">
        <v>1163088.0</v>
      </c>
      <c r="E17" s="83"/>
      <c r="F17" s="83">
        <v>2.9061016E7</v>
      </c>
      <c r="G17" s="153" t="s">
        <v>2757</v>
      </c>
      <c r="H17" s="114" t="s">
        <v>229</v>
      </c>
      <c r="I17" s="114" t="s">
        <v>149</v>
      </c>
      <c r="J17" s="83" t="s">
        <v>150</v>
      </c>
      <c r="K17" s="83" t="s">
        <v>151</v>
      </c>
      <c r="L17" s="83" t="s">
        <v>76</v>
      </c>
      <c r="M17" s="82" t="s">
        <v>2758</v>
      </c>
      <c r="N17" s="82" t="s">
        <v>2759</v>
      </c>
      <c r="O17" s="82" t="s">
        <v>2760</v>
      </c>
      <c r="P17" s="82" t="s">
        <v>2761</v>
      </c>
      <c r="Q17" s="82"/>
      <c r="R17" s="82"/>
      <c r="S17" s="82" t="s">
        <v>2762</v>
      </c>
      <c r="T17" s="138">
        <v>10.0</v>
      </c>
      <c r="U17" s="331">
        <v>12.0</v>
      </c>
      <c r="V17" s="106">
        <v>0.0</v>
      </c>
      <c r="W17" s="107">
        <v>0.0</v>
      </c>
      <c r="X17" s="107">
        <v>0.0</v>
      </c>
      <c r="Y17" s="107">
        <v>0.0</v>
      </c>
      <c r="Z17" s="80">
        <v>0.0</v>
      </c>
      <c r="AA17" s="140">
        <v>0.0</v>
      </c>
      <c r="AB17" s="109">
        <v>0.0</v>
      </c>
      <c r="AC17" s="109">
        <v>0.0</v>
      </c>
      <c r="AD17" s="141">
        <v>0.0</v>
      </c>
      <c r="AE17" s="80">
        <v>0.0</v>
      </c>
      <c r="AF17" s="140">
        <v>142.0</v>
      </c>
      <c r="AG17" s="109">
        <v>119.0</v>
      </c>
      <c r="AH17" s="109">
        <v>0.0</v>
      </c>
      <c r="AI17" s="141">
        <v>230.0</v>
      </c>
      <c r="AJ17" s="80">
        <v>491.0</v>
      </c>
      <c r="AK17" s="140">
        <v>0.0</v>
      </c>
      <c r="AL17" s="109">
        <v>0.0</v>
      </c>
      <c r="AM17" s="141">
        <v>0.0</v>
      </c>
      <c r="AN17" s="80">
        <v>0.0</v>
      </c>
      <c r="AO17" s="140">
        <v>0.0</v>
      </c>
      <c r="AP17" s="109">
        <v>0.0</v>
      </c>
      <c r="AQ17" s="109">
        <v>48.0</v>
      </c>
      <c r="AR17" s="80">
        <v>48.0</v>
      </c>
      <c r="AS17" s="110">
        <v>0.0</v>
      </c>
      <c r="AT17" s="110">
        <v>33.0</v>
      </c>
      <c r="AU17" s="110">
        <v>0.0</v>
      </c>
      <c r="AV17" s="142">
        <v>34.0</v>
      </c>
      <c r="AW17" s="80">
        <v>67.0</v>
      </c>
      <c r="AX17" s="113">
        <v>606.0</v>
      </c>
      <c r="AY17" s="117">
        <v>558.0</v>
      </c>
      <c r="AZ17" s="328">
        <v>48.0</v>
      </c>
      <c r="BA17" s="315">
        <v>0.0</v>
      </c>
      <c r="BB17" s="316">
        <v>606.0</v>
      </c>
      <c r="BC17" s="132" t="s">
        <v>178</v>
      </c>
      <c r="BD17" s="132" t="s">
        <v>178</v>
      </c>
      <c r="BE17" s="132" t="s">
        <v>178</v>
      </c>
      <c r="BF17" s="156"/>
      <c r="BG17" s="83">
        <v>1163088.0</v>
      </c>
      <c r="BH17" s="112">
        <v>12.0</v>
      </c>
      <c r="BI17" s="98" t="s">
        <v>162</v>
      </c>
      <c r="BJ17" s="98" t="str">
        <f t="shared" si="1"/>
        <v>INTEGRAL</v>
      </c>
      <c r="BK17" s="98" t="str">
        <f t="shared" si="2"/>
        <v>PROFISSIONAL</v>
      </c>
    </row>
    <row r="18" ht="15.75" customHeight="1">
      <c r="A18" s="111" t="s">
        <v>130</v>
      </c>
      <c r="B18" s="83" t="s">
        <v>233</v>
      </c>
      <c r="C18" s="83" t="s">
        <v>68</v>
      </c>
      <c r="D18" s="83">
        <v>1125887.0</v>
      </c>
      <c r="E18" s="83"/>
      <c r="F18" s="83">
        <v>2.9061628E7</v>
      </c>
      <c r="G18" s="114" t="s">
        <v>234</v>
      </c>
      <c r="H18" s="91" t="s">
        <v>235</v>
      </c>
      <c r="I18" s="125" t="s">
        <v>149</v>
      </c>
      <c r="J18" s="83" t="s">
        <v>150</v>
      </c>
      <c r="K18" s="83" t="s">
        <v>151</v>
      </c>
      <c r="L18" s="83" t="s">
        <v>76</v>
      </c>
      <c r="M18" s="82" t="s">
        <v>2768</v>
      </c>
      <c r="N18" s="82" t="s">
        <v>2769</v>
      </c>
      <c r="O18" s="82"/>
      <c r="P18" s="82"/>
      <c r="Q18" s="82"/>
      <c r="R18" s="82"/>
      <c r="S18" s="82" t="s">
        <v>2770</v>
      </c>
      <c r="T18" s="138">
        <v>9.0</v>
      </c>
      <c r="U18" s="341">
        <v>7.0</v>
      </c>
      <c r="V18" s="106">
        <v>0.0</v>
      </c>
      <c r="W18" s="107">
        <v>0.0</v>
      </c>
      <c r="X18" s="107">
        <v>0.0</v>
      </c>
      <c r="Y18" s="107">
        <v>0.0</v>
      </c>
      <c r="Z18" s="80">
        <v>0.0</v>
      </c>
      <c r="AA18" s="140">
        <v>0.0</v>
      </c>
      <c r="AB18" s="109">
        <v>0.0</v>
      </c>
      <c r="AC18" s="109">
        <v>0.0</v>
      </c>
      <c r="AD18" s="141">
        <v>0.0</v>
      </c>
      <c r="AE18" s="80">
        <v>0.0</v>
      </c>
      <c r="AF18" s="140">
        <v>0.0</v>
      </c>
      <c r="AG18" s="109">
        <v>0.0</v>
      </c>
      <c r="AH18" s="109">
        <v>0.0</v>
      </c>
      <c r="AI18" s="141">
        <v>222.0</v>
      </c>
      <c r="AJ18" s="80">
        <v>222.0</v>
      </c>
      <c r="AK18" s="140">
        <v>0.0</v>
      </c>
      <c r="AL18" s="109">
        <v>0.0</v>
      </c>
      <c r="AM18" s="141">
        <v>0.0</v>
      </c>
      <c r="AN18" s="80">
        <v>0.0</v>
      </c>
      <c r="AO18" s="140">
        <v>0.0</v>
      </c>
      <c r="AP18" s="109">
        <v>0.0</v>
      </c>
      <c r="AQ18" s="109">
        <v>32.0</v>
      </c>
      <c r="AR18" s="80">
        <v>32.0</v>
      </c>
      <c r="AS18" s="110">
        <v>0.0</v>
      </c>
      <c r="AT18" s="110">
        <v>0.0</v>
      </c>
      <c r="AU18" s="110">
        <v>0.0</v>
      </c>
      <c r="AV18" s="142">
        <v>0.0</v>
      </c>
      <c r="AW18" s="80">
        <v>0.0</v>
      </c>
      <c r="AX18" s="113">
        <v>254.0</v>
      </c>
      <c r="AY18" s="117">
        <v>222.0</v>
      </c>
      <c r="AZ18" s="328">
        <v>32.0</v>
      </c>
      <c r="BA18" s="315">
        <v>0.0</v>
      </c>
      <c r="BB18" s="316">
        <v>254.0</v>
      </c>
      <c r="BC18" s="132" t="s">
        <v>178</v>
      </c>
      <c r="BD18" s="132" t="s">
        <v>178</v>
      </c>
      <c r="BE18" s="132" t="s">
        <v>178</v>
      </c>
      <c r="BF18" s="123"/>
      <c r="BG18" s="83">
        <v>1125887.0</v>
      </c>
      <c r="BH18" s="112">
        <v>7.0</v>
      </c>
      <c r="BI18" s="98" t="s">
        <v>155</v>
      </c>
      <c r="BJ18" s="98" t="str">
        <f t="shared" si="1"/>
        <v>INTEGRAL</v>
      </c>
      <c r="BK18" s="98" t="str">
        <f t="shared" si="2"/>
        <v>NÃO</v>
      </c>
    </row>
    <row r="19" ht="15.75" customHeight="1">
      <c r="A19" s="111" t="s">
        <v>130</v>
      </c>
      <c r="B19" s="83" t="s">
        <v>233</v>
      </c>
      <c r="C19" s="83" t="s">
        <v>164</v>
      </c>
      <c r="D19" s="83">
        <v>1125887.0</v>
      </c>
      <c r="E19" s="83">
        <v>1179258.0</v>
      </c>
      <c r="F19" s="83"/>
      <c r="G19" s="114" t="s">
        <v>238</v>
      </c>
      <c r="H19" s="91" t="s">
        <v>239</v>
      </c>
      <c r="I19" s="114" t="s">
        <v>149</v>
      </c>
      <c r="J19" s="83" t="s">
        <v>240</v>
      </c>
      <c r="K19" s="83" t="s">
        <v>168</v>
      </c>
      <c r="L19" s="83" t="s">
        <v>169</v>
      </c>
      <c r="M19" s="82" t="s">
        <v>2768</v>
      </c>
      <c r="N19" s="82" t="s">
        <v>2769</v>
      </c>
      <c r="O19" s="82"/>
      <c r="P19" s="82"/>
      <c r="Q19" s="82"/>
      <c r="R19" s="82"/>
      <c r="S19" s="82" t="s">
        <v>2770</v>
      </c>
      <c r="T19" s="138">
        <v>4.0</v>
      </c>
      <c r="U19" s="341">
        <v>4.0</v>
      </c>
      <c r="V19" s="106">
        <v>0.0</v>
      </c>
      <c r="W19" s="107">
        <v>0.0</v>
      </c>
      <c r="X19" s="107">
        <v>0.0</v>
      </c>
      <c r="Y19" s="107">
        <v>0.0</v>
      </c>
      <c r="Z19" s="80">
        <v>0.0</v>
      </c>
      <c r="AA19" s="140">
        <v>0.0</v>
      </c>
      <c r="AB19" s="109">
        <v>0.0</v>
      </c>
      <c r="AC19" s="109">
        <v>0.0</v>
      </c>
      <c r="AD19" s="141">
        <v>0.0</v>
      </c>
      <c r="AE19" s="80">
        <v>0.0</v>
      </c>
      <c r="AF19" s="140">
        <v>0.0</v>
      </c>
      <c r="AG19" s="109">
        <v>0.0</v>
      </c>
      <c r="AH19" s="109">
        <v>28.0</v>
      </c>
      <c r="AI19" s="141">
        <v>0.0</v>
      </c>
      <c r="AJ19" s="80">
        <v>28.0</v>
      </c>
      <c r="AK19" s="140">
        <v>0.0</v>
      </c>
      <c r="AL19" s="109">
        <v>0.0</v>
      </c>
      <c r="AM19" s="141">
        <v>0.0</v>
      </c>
      <c r="AN19" s="80">
        <v>0.0</v>
      </c>
      <c r="AO19" s="140">
        <v>0.0</v>
      </c>
      <c r="AP19" s="109">
        <v>0.0</v>
      </c>
      <c r="AQ19" s="109">
        <v>19.0</v>
      </c>
      <c r="AR19" s="80">
        <v>19.0</v>
      </c>
      <c r="AS19" s="110">
        <v>0.0</v>
      </c>
      <c r="AT19" s="110">
        <v>0.0</v>
      </c>
      <c r="AU19" s="110">
        <v>0.0</v>
      </c>
      <c r="AV19" s="142">
        <v>0.0</v>
      </c>
      <c r="AW19" s="80">
        <v>0.0</v>
      </c>
      <c r="AX19" s="113">
        <v>47.0</v>
      </c>
      <c r="AY19" s="117">
        <v>0.0</v>
      </c>
      <c r="AZ19" s="328">
        <v>47.0</v>
      </c>
      <c r="BA19" s="315">
        <v>0.0</v>
      </c>
      <c r="BB19" s="316">
        <v>47.0</v>
      </c>
      <c r="BC19" s="132" t="s">
        <v>373</v>
      </c>
      <c r="BD19" s="132" t="s">
        <v>178</v>
      </c>
      <c r="BE19" s="132" t="s">
        <v>178</v>
      </c>
      <c r="BF19" s="156"/>
      <c r="BG19" s="83">
        <v>1179258.0</v>
      </c>
      <c r="BH19" s="112">
        <v>4.0</v>
      </c>
      <c r="BI19" s="98" t="s">
        <v>155</v>
      </c>
      <c r="BJ19" s="98" t="str">
        <f t="shared" si="1"/>
        <v>NÃO</v>
      </c>
      <c r="BK19" s="98" t="str">
        <f t="shared" si="2"/>
        <v>NÃO</v>
      </c>
    </row>
    <row r="20" ht="15.75" customHeight="1">
      <c r="A20" s="111" t="s">
        <v>130</v>
      </c>
      <c r="B20" s="83" t="s">
        <v>233</v>
      </c>
      <c r="C20" s="83" t="s">
        <v>164</v>
      </c>
      <c r="D20" s="83">
        <v>1179281.0</v>
      </c>
      <c r="E20" s="83">
        <v>1178795.0</v>
      </c>
      <c r="F20" s="83"/>
      <c r="G20" s="114" t="s">
        <v>242</v>
      </c>
      <c r="H20" s="91" t="s">
        <v>243</v>
      </c>
      <c r="I20" s="187" t="s">
        <v>149</v>
      </c>
      <c r="J20" s="83" t="s">
        <v>244</v>
      </c>
      <c r="K20" s="83" t="s">
        <v>168</v>
      </c>
      <c r="L20" s="83" t="s">
        <v>169</v>
      </c>
      <c r="M20" s="82" t="s">
        <v>2649</v>
      </c>
      <c r="N20" s="82" t="s">
        <v>2650</v>
      </c>
      <c r="O20" s="82" t="s">
        <v>2651</v>
      </c>
      <c r="P20" s="82" t="s">
        <v>2652</v>
      </c>
      <c r="Q20" s="82"/>
      <c r="R20" s="82"/>
      <c r="S20" s="82" t="s">
        <v>2653</v>
      </c>
      <c r="T20" s="138">
        <v>3.0</v>
      </c>
      <c r="U20" s="341">
        <v>3.0</v>
      </c>
      <c r="V20" s="106">
        <v>0.0</v>
      </c>
      <c r="W20" s="107">
        <v>0.0</v>
      </c>
      <c r="X20" s="107">
        <v>0.0</v>
      </c>
      <c r="Y20" s="107">
        <v>0.0</v>
      </c>
      <c r="Z20" s="80">
        <v>0.0</v>
      </c>
      <c r="AA20" s="140">
        <v>0.0</v>
      </c>
      <c r="AB20" s="109">
        <v>0.0</v>
      </c>
      <c r="AC20" s="109">
        <v>0.0</v>
      </c>
      <c r="AD20" s="141">
        <v>0.0</v>
      </c>
      <c r="AE20" s="80">
        <v>0.0</v>
      </c>
      <c r="AF20" s="140">
        <v>0.0</v>
      </c>
      <c r="AG20" s="109">
        <v>0.0</v>
      </c>
      <c r="AH20" s="109">
        <v>69.0</v>
      </c>
      <c r="AI20" s="141">
        <v>0.0</v>
      </c>
      <c r="AJ20" s="80">
        <v>69.0</v>
      </c>
      <c r="AK20" s="140">
        <v>0.0</v>
      </c>
      <c r="AL20" s="109">
        <v>0.0</v>
      </c>
      <c r="AM20" s="141">
        <v>0.0</v>
      </c>
      <c r="AN20" s="80">
        <v>0.0</v>
      </c>
      <c r="AO20" s="140">
        <v>0.0</v>
      </c>
      <c r="AP20" s="109">
        <v>0.0</v>
      </c>
      <c r="AQ20" s="109">
        <v>0.0</v>
      </c>
      <c r="AR20" s="80">
        <v>0.0</v>
      </c>
      <c r="AS20" s="110">
        <v>0.0</v>
      </c>
      <c r="AT20" s="110">
        <v>0.0</v>
      </c>
      <c r="AU20" s="110">
        <v>0.0</v>
      </c>
      <c r="AV20" s="142">
        <v>0.0</v>
      </c>
      <c r="AW20" s="80">
        <v>0.0</v>
      </c>
      <c r="AX20" s="113">
        <v>69.0</v>
      </c>
      <c r="AY20" s="117">
        <v>0.0</v>
      </c>
      <c r="AZ20" s="328">
        <v>69.0</v>
      </c>
      <c r="BA20" s="315">
        <v>0.0</v>
      </c>
      <c r="BB20" s="316">
        <v>69.0</v>
      </c>
      <c r="BC20" s="132" t="s">
        <v>178</v>
      </c>
      <c r="BD20" s="143" t="s">
        <v>227</v>
      </c>
      <c r="BE20" s="132" t="s">
        <v>64</v>
      </c>
      <c r="BF20" s="123"/>
      <c r="BG20" s="83">
        <v>1178795.0</v>
      </c>
      <c r="BH20" s="112">
        <v>3.0</v>
      </c>
      <c r="BI20" s="98" t="s">
        <v>155</v>
      </c>
      <c r="BJ20" s="98" t="str">
        <f t="shared" si="1"/>
        <v>NÃO</v>
      </c>
      <c r="BK20" s="98" t="str">
        <f t="shared" si="2"/>
        <v>NÃO</v>
      </c>
    </row>
    <row r="21" ht="15.75" customHeight="1">
      <c r="A21" s="111" t="s">
        <v>130</v>
      </c>
      <c r="B21" s="83" t="s">
        <v>233</v>
      </c>
      <c r="C21" s="83" t="s">
        <v>164</v>
      </c>
      <c r="D21" s="83">
        <v>1179281.0</v>
      </c>
      <c r="E21" s="83">
        <v>1178794.0</v>
      </c>
      <c r="F21" s="83"/>
      <c r="G21" s="114" t="s">
        <v>245</v>
      </c>
      <c r="H21" s="91" t="s">
        <v>246</v>
      </c>
      <c r="I21" s="187" t="s">
        <v>149</v>
      </c>
      <c r="J21" s="83" t="s">
        <v>247</v>
      </c>
      <c r="K21" s="83" t="s">
        <v>168</v>
      </c>
      <c r="L21" s="83" t="s">
        <v>169</v>
      </c>
      <c r="M21" s="82" t="s">
        <v>2649</v>
      </c>
      <c r="N21" s="82" t="s">
        <v>2650</v>
      </c>
      <c r="O21" s="82" t="s">
        <v>2651</v>
      </c>
      <c r="P21" s="82" t="s">
        <v>2652</v>
      </c>
      <c r="Q21" s="82"/>
      <c r="R21" s="82"/>
      <c r="S21" s="82" t="s">
        <v>2653</v>
      </c>
      <c r="T21" s="138">
        <v>3.0</v>
      </c>
      <c r="U21" s="341">
        <v>3.0</v>
      </c>
      <c r="V21" s="106">
        <v>0.0</v>
      </c>
      <c r="W21" s="107">
        <v>0.0</v>
      </c>
      <c r="X21" s="107">
        <v>0.0</v>
      </c>
      <c r="Y21" s="107">
        <v>0.0</v>
      </c>
      <c r="Z21" s="80">
        <v>0.0</v>
      </c>
      <c r="AA21" s="140">
        <v>0.0</v>
      </c>
      <c r="AB21" s="109">
        <v>0.0</v>
      </c>
      <c r="AC21" s="109">
        <v>0.0</v>
      </c>
      <c r="AD21" s="141">
        <v>0.0</v>
      </c>
      <c r="AE21" s="80">
        <v>0.0</v>
      </c>
      <c r="AF21" s="140">
        <v>0.0</v>
      </c>
      <c r="AG21" s="109">
        <v>0.0</v>
      </c>
      <c r="AH21" s="109">
        <v>22.0</v>
      </c>
      <c r="AI21" s="141">
        <v>0.0</v>
      </c>
      <c r="AJ21" s="80">
        <v>22.0</v>
      </c>
      <c r="AK21" s="140">
        <v>0.0</v>
      </c>
      <c r="AL21" s="109">
        <v>0.0</v>
      </c>
      <c r="AM21" s="141">
        <v>0.0</v>
      </c>
      <c r="AN21" s="80">
        <v>0.0</v>
      </c>
      <c r="AO21" s="140">
        <v>0.0</v>
      </c>
      <c r="AP21" s="109">
        <v>0.0</v>
      </c>
      <c r="AQ21" s="109">
        <v>0.0</v>
      </c>
      <c r="AR21" s="80">
        <v>0.0</v>
      </c>
      <c r="AS21" s="110">
        <v>0.0</v>
      </c>
      <c r="AT21" s="110">
        <v>0.0</v>
      </c>
      <c r="AU21" s="110">
        <v>0.0</v>
      </c>
      <c r="AV21" s="142">
        <v>0.0</v>
      </c>
      <c r="AW21" s="80">
        <v>0.0</v>
      </c>
      <c r="AX21" s="113">
        <v>22.0</v>
      </c>
      <c r="AY21" s="117">
        <v>0.0</v>
      </c>
      <c r="AZ21" s="328">
        <v>22.0</v>
      </c>
      <c r="BA21" s="315">
        <v>0.0</v>
      </c>
      <c r="BB21" s="316">
        <v>22.0</v>
      </c>
      <c r="BC21" s="132" t="s">
        <v>178</v>
      </c>
      <c r="BD21" s="143" t="s">
        <v>227</v>
      </c>
      <c r="BE21" s="132" t="s">
        <v>64</v>
      </c>
      <c r="BF21" s="123"/>
      <c r="BG21" s="83">
        <v>1178794.0</v>
      </c>
      <c r="BH21" s="112">
        <v>3.0</v>
      </c>
      <c r="BI21" s="98" t="s">
        <v>155</v>
      </c>
      <c r="BJ21" s="98" t="str">
        <f t="shared" si="1"/>
        <v>NÃO</v>
      </c>
      <c r="BK21" s="98" t="str">
        <f t="shared" si="2"/>
        <v>NÃO</v>
      </c>
    </row>
    <row r="22" ht="15.75" customHeight="1">
      <c r="A22" s="111" t="s">
        <v>130</v>
      </c>
      <c r="B22" s="83" t="s">
        <v>248</v>
      </c>
      <c r="C22" s="83" t="s">
        <v>68</v>
      </c>
      <c r="D22" s="83">
        <v>1125968.0</v>
      </c>
      <c r="E22" s="83"/>
      <c r="F22" s="83">
        <v>2.906225E7</v>
      </c>
      <c r="G22" s="119" t="s">
        <v>254</v>
      </c>
      <c r="H22" s="91" t="s">
        <v>2779</v>
      </c>
      <c r="I22" s="125" t="s">
        <v>149</v>
      </c>
      <c r="J22" s="83" t="s">
        <v>150</v>
      </c>
      <c r="K22" s="83" t="s">
        <v>151</v>
      </c>
      <c r="L22" s="83" t="s">
        <v>76</v>
      </c>
      <c r="M22" s="82" t="s">
        <v>2780</v>
      </c>
      <c r="N22" s="82" t="s">
        <v>2781</v>
      </c>
      <c r="O22" s="82"/>
      <c r="P22" s="82"/>
      <c r="Q22" s="82"/>
      <c r="R22" s="82"/>
      <c r="S22" s="82" t="s">
        <v>2782</v>
      </c>
      <c r="T22" s="138">
        <v>8.0</v>
      </c>
      <c r="U22" s="342" t="s">
        <v>2783</v>
      </c>
      <c r="V22" s="106">
        <v>0.0</v>
      </c>
      <c r="W22" s="107">
        <v>0.0</v>
      </c>
      <c r="X22" s="107">
        <v>0.0</v>
      </c>
      <c r="Y22" s="107">
        <v>0.0</v>
      </c>
      <c r="Z22" s="80">
        <v>0.0</v>
      </c>
      <c r="AA22" s="140">
        <v>0.0</v>
      </c>
      <c r="AB22" s="109">
        <v>0.0</v>
      </c>
      <c r="AC22" s="109">
        <v>0.0</v>
      </c>
      <c r="AD22" s="141">
        <v>0.0</v>
      </c>
      <c r="AE22" s="80">
        <v>0.0</v>
      </c>
      <c r="AF22" s="140">
        <v>111.0</v>
      </c>
      <c r="AG22" s="109">
        <v>109.0</v>
      </c>
      <c r="AH22" s="109">
        <v>0.0</v>
      </c>
      <c r="AI22" s="141">
        <v>146.0</v>
      </c>
      <c r="AJ22" s="80">
        <v>366.0</v>
      </c>
      <c r="AK22" s="140">
        <v>0.0</v>
      </c>
      <c r="AL22" s="109">
        <v>0.0</v>
      </c>
      <c r="AM22" s="141">
        <v>0.0</v>
      </c>
      <c r="AN22" s="80">
        <v>0.0</v>
      </c>
      <c r="AO22" s="140">
        <v>0.0</v>
      </c>
      <c r="AP22" s="109">
        <v>0.0</v>
      </c>
      <c r="AQ22" s="109">
        <v>25.0</v>
      </c>
      <c r="AR22" s="80">
        <v>25.0</v>
      </c>
      <c r="AS22" s="110">
        <v>0.0</v>
      </c>
      <c r="AT22" s="110">
        <v>0.0</v>
      </c>
      <c r="AU22" s="110">
        <v>0.0</v>
      </c>
      <c r="AV22" s="142">
        <v>0.0</v>
      </c>
      <c r="AW22" s="80">
        <v>0.0</v>
      </c>
      <c r="AX22" s="113">
        <v>391.0</v>
      </c>
      <c r="AY22" s="117">
        <v>366.0</v>
      </c>
      <c r="AZ22" s="328">
        <v>25.0</v>
      </c>
      <c r="BA22" s="315">
        <v>0.0</v>
      </c>
      <c r="BB22" s="316">
        <v>391.0</v>
      </c>
      <c r="BC22" s="132" t="s">
        <v>178</v>
      </c>
      <c r="BD22" s="132" t="s">
        <v>178</v>
      </c>
      <c r="BE22" s="132" t="s">
        <v>178</v>
      </c>
      <c r="BF22" s="123"/>
      <c r="BG22" s="83">
        <v>1125968.0</v>
      </c>
      <c r="BH22" s="98">
        <v>6.0</v>
      </c>
      <c r="BI22" s="98" t="s">
        <v>155</v>
      </c>
      <c r="BJ22" s="98" t="str">
        <f t="shared" si="1"/>
        <v>INTEGRAL</v>
      </c>
      <c r="BK22" s="98" t="str">
        <f t="shared" si="2"/>
        <v>NÃO</v>
      </c>
    </row>
    <row r="23" ht="15.75" customHeight="1">
      <c r="A23" s="111" t="s">
        <v>130</v>
      </c>
      <c r="B23" s="83" t="s">
        <v>248</v>
      </c>
      <c r="C23" s="83" t="s">
        <v>68</v>
      </c>
      <c r="D23" s="83">
        <v>1126050.0</v>
      </c>
      <c r="E23" s="83"/>
      <c r="F23" s="83">
        <v>2.9062519E7</v>
      </c>
      <c r="G23" s="114" t="s">
        <v>2788</v>
      </c>
      <c r="H23" s="91" t="s">
        <v>250</v>
      </c>
      <c r="I23" s="114" t="s">
        <v>251</v>
      </c>
      <c r="J23" s="83" t="s">
        <v>252</v>
      </c>
      <c r="K23" s="83" t="s">
        <v>151</v>
      </c>
      <c r="L23" s="83" t="s">
        <v>169</v>
      </c>
      <c r="M23" s="82" t="s">
        <v>2790</v>
      </c>
      <c r="N23" s="82" t="s">
        <v>2791</v>
      </c>
      <c r="O23" s="82"/>
      <c r="P23" s="82"/>
      <c r="Q23" s="82"/>
      <c r="R23" s="82"/>
      <c r="S23" s="82" t="s">
        <v>2792</v>
      </c>
      <c r="T23" s="138">
        <v>3.0</v>
      </c>
      <c r="U23" s="343">
        <v>6.0</v>
      </c>
      <c r="V23" s="106">
        <v>0.0</v>
      </c>
      <c r="W23" s="107">
        <v>0.0</v>
      </c>
      <c r="X23" s="107">
        <v>0.0</v>
      </c>
      <c r="Y23" s="107">
        <v>0.0</v>
      </c>
      <c r="Z23" s="80">
        <v>0.0</v>
      </c>
      <c r="AA23" s="140">
        <v>0.0</v>
      </c>
      <c r="AB23" s="109">
        <v>0.0</v>
      </c>
      <c r="AC23" s="109">
        <v>0.0</v>
      </c>
      <c r="AD23" s="141">
        <v>0.0</v>
      </c>
      <c r="AE23" s="80">
        <v>0.0</v>
      </c>
      <c r="AF23" s="140">
        <v>0.0</v>
      </c>
      <c r="AG23" s="109">
        <v>100.0</v>
      </c>
      <c r="AH23" s="109">
        <v>29.0</v>
      </c>
      <c r="AI23" s="141">
        <v>53.0</v>
      </c>
      <c r="AJ23" s="80">
        <v>182.0</v>
      </c>
      <c r="AK23" s="140">
        <v>0.0</v>
      </c>
      <c r="AL23" s="109">
        <v>0.0</v>
      </c>
      <c r="AM23" s="141">
        <v>0.0</v>
      </c>
      <c r="AN23" s="80">
        <v>0.0</v>
      </c>
      <c r="AO23" s="140">
        <v>0.0</v>
      </c>
      <c r="AP23" s="109">
        <v>0.0</v>
      </c>
      <c r="AQ23" s="109">
        <v>0.0</v>
      </c>
      <c r="AR23" s="80">
        <v>0.0</v>
      </c>
      <c r="AS23" s="110">
        <v>0.0</v>
      </c>
      <c r="AT23" s="110">
        <v>0.0</v>
      </c>
      <c r="AU23" s="110">
        <v>0.0</v>
      </c>
      <c r="AV23" s="142">
        <v>0.0</v>
      </c>
      <c r="AW23" s="80">
        <v>0.0</v>
      </c>
      <c r="AX23" s="113">
        <v>182.0</v>
      </c>
      <c r="AY23" s="117">
        <v>153.0</v>
      </c>
      <c r="AZ23" s="328">
        <v>29.0</v>
      </c>
      <c r="BA23" s="315">
        <v>0.0</v>
      </c>
      <c r="BB23" s="316">
        <v>182.0</v>
      </c>
      <c r="BC23" s="132" t="s">
        <v>373</v>
      </c>
      <c r="BD23" s="132" t="s">
        <v>178</v>
      </c>
      <c r="BE23" s="132" t="s">
        <v>178</v>
      </c>
      <c r="BF23" s="123"/>
      <c r="BG23" s="83">
        <v>1126050.0</v>
      </c>
      <c r="BH23" s="98">
        <v>6.0</v>
      </c>
      <c r="BI23" s="98" t="s">
        <v>155</v>
      </c>
      <c r="BJ23" s="98" t="str">
        <f t="shared" si="1"/>
        <v>INTEGRAL</v>
      </c>
      <c r="BK23" s="98" t="str">
        <f t="shared" si="2"/>
        <v>NÃO</v>
      </c>
    </row>
    <row r="24" ht="15.75" customHeight="1">
      <c r="A24" s="111" t="s">
        <v>130</v>
      </c>
      <c r="B24" s="83" t="s">
        <v>258</v>
      </c>
      <c r="C24" s="83" t="s">
        <v>68</v>
      </c>
      <c r="D24" s="83">
        <v>1162774.0</v>
      </c>
      <c r="E24" s="83"/>
      <c r="F24" s="83">
        <v>2.9062632E7</v>
      </c>
      <c r="G24" s="114" t="s">
        <v>2796</v>
      </c>
      <c r="H24" s="91" t="s">
        <v>260</v>
      </c>
      <c r="I24" s="114" t="s">
        <v>149</v>
      </c>
      <c r="J24" s="83" t="s">
        <v>150</v>
      </c>
      <c r="K24" s="83" t="s">
        <v>151</v>
      </c>
      <c r="L24" s="83" t="s">
        <v>76</v>
      </c>
      <c r="M24" s="82" t="s">
        <v>2797</v>
      </c>
      <c r="N24" s="82" t="s">
        <v>2798</v>
      </c>
      <c r="O24" s="82" t="s">
        <v>2799</v>
      </c>
      <c r="P24" s="82" t="s">
        <v>2800</v>
      </c>
      <c r="Q24" s="82" t="s">
        <v>2801</v>
      </c>
      <c r="R24" s="82" t="s">
        <v>2802</v>
      </c>
      <c r="S24" s="82" t="s">
        <v>2803</v>
      </c>
      <c r="T24" s="138">
        <v>12.0</v>
      </c>
      <c r="U24" s="342" t="s">
        <v>2804</v>
      </c>
      <c r="V24" s="106">
        <v>0.0</v>
      </c>
      <c r="W24" s="107">
        <v>0.0</v>
      </c>
      <c r="X24" s="107">
        <v>0.0</v>
      </c>
      <c r="Y24" s="107">
        <v>0.0</v>
      </c>
      <c r="Z24" s="80">
        <v>0.0</v>
      </c>
      <c r="AA24" s="140">
        <v>0.0</v>
      </c>
      <c r="AB24" s="109">
        <v>0.0</v>
      </c>
      <c r="AC24" s="109">
        <v>0.0</v>
      </c>
      <c r="AD24" s="141">
        <v>0.0</v>
      </c>
      <c r="AE24" s="80">
        <v>0.0</v>
      </c>
      <c r="AF24" s="140">
        <v>142.0</v>
      </c>
      <c r="AG24" s="109">
        <v>137.0</v>
      </c>
      <c r="AH24" s="109">
        <v>0.0</v>
      </c>
      <c r="AI24" s="141">
        <v>173.0</v>
      </c>
      <c r="AJ24" s="80">
        <v>452.0</v>
      </c>
      <c r="AK24" s="140">
        <v>0.0</v>
      </c>
      <c r="AL24" s="109">
        <v>0.0</v>
      </c>
      <c r="AM24" s="141">
        <v>0.0</v>
      </c>
      <c r="AN24" s="80">
        <v>0.0</v>
      </c>
      <c r="AO24" s="140">
        <v>0.0</v>
      </c>
      <c r="AP24" s="109">
        <v>0.0</v>
      </c>
      <c r="AQ24" s="109">
        <v>59.0</v>
      </c>
      <c r="AR24" s="80">
        <v>59.0</v>
      </c>
      <c r="AS24" s="110">
        <v>0.0</v>
      </c>
      <c r="AT24" s="110">
        <v>0.0</v>
      </c>
      <c r="AU24" s="110">
        <v>0.0</v>
      </c>
      <c r="AV24" s="142">
        <v>0.0</v>
      </c>
      <c r="AW24" s="80">
        <v>0.0</v>
      </c>
      <c r="AX24" s="113">
        <v>511.0</v>
      </c>
      <c r="AY24" s="117">
        <v>452.0</v>
      </c>
      <c r="AZ24" s="328">
        <v>59.0</v>
      </c>
      <c r="BA24" s="315">
        <v>0.0</v>
      </c>
      <c r="BB24" s="316">
        <v>511.0</v>
      </c>
      <c r="BC24" s="132" t="s">
        <v>373</v>
      </c>
      <c r="BD24" s="132" t="s">
        <v>178</v>
      </c>
      <c r="BE24" s="132" t="s">
        <v>178</v>
      </c>
      <c r="BF24" s="156"/>
      <c r="BG24" s="83">
        <v>1162774.0</v>
      </c>
      <c r="BH24" s="98">
        <v>11.0</v>
      </c>
      <c r="BI24" s="98" t="s">
        <v>155</v>
      </c>
      <c r="BJ24" s="98" t="str">
        <f t="shared" si="1"/>
        <v>INTEGRAL</v>
      </c>
      <c r="BK24" s="98" t="str">
        <f t="shared" si="2"/>
        <v>NÃO</v>
      </c>
    </row>
    <row r="25" ht="15.75" customHeight="1">
      <c r="A25" s="111" t="s">
        <v>130</v>
      </c>
      <c r="B25" s="83" t="s">
        <v>258</v>
      </c>
      <c r="C25" s="83" t="s">
        <v>164</v>
      </c>
      <c r="D25" s="83">
        <v>1179281.0</v>
      </c>
      <c r="E25" s="83">
        <v>1179372.0</v>
      </c>
      <c r="F25" s="83"/>
      <c r="G25" s="114" t="s">
        <v>263</v>
      </c>
      <c r="H25" s="91" t="s">
        <v>264</v>
      </c>
      <c r="I25" s="187" t="s">
        <v>149</v>
      </c>
      <c r="J25" s="83" t="s">
        <v>187</v>
      </c>
      <c r="K25" s="83" t="s">
        <v>168</v>
      </c>
      <c r="L25" s="83" t="s">
        <v>169</v>
      </c>
      <c r="M25" s="82" t="s">
        <v>2649</v>
      </c>
      <c r="N25" s="82" t="s">
        <v>2650</v>
      </c>
      <c r="O25" s="82" t="s">
        <v>2651</v>
      </c>
      <c r="P25" s="82" t="s">
        <v>2652</v>
      </c>
      <c r="Q25" s="82"/>
      <c r="R25" s="82"/>
      <c r="S25" s="82" t="s">
        <v>2653</v>
      </c>
      <c r="T25" s="138">
        <v>3.0</v>
      </c>
      <c r="U25" s="340">
        <v>3.0</v>
      </c>
      <c r="V25" s="106">
        <v>0.0</v>
      </c>
      <c r="W25" s="107">
        <v>0.0</v>
      </c>
      <c r="X25" s="107">
        <v>0.0</v>
      </c>
      <c r="Y25" s="107">
        <v>0.0</v>
      </c>
      <c r="Z25" s="80">
        <v>0.0</v>
      </c>
      <c r="AA25" s="140">
        <v>0.0</v>
      </c>
      <c r="AB25" s="109">
        <v>0.0</v>
      </c>
      <c r="AC25" s="109">
        <v>0.0</v>
      </c>
      <c r="AD25" s="141">
        <v>0.0</v>
      </c>
      <c r="AE25" s="80">
        <v>0.0</v>
      </c>
      <c r="AF25" s="140">
        <v>0.0</v>
      </c>
      <c r="AG25" s="109">
        <v>0.0</v>
      </c>
      <c r="AH25" s="109">
        <v>17.0</v>
      </c>
      <c r="AI25" s="141">
        <v>0.0</v>
      </c>
      <c r="AJ25" s="80">
        <v>17.0</v>
      </c>
      <c r="AK25" s="140">
        <v>0.0</v>
      </c>
      <c r="AL25" s="109">
        <v>0.0</v>
      </c>
      <c r="AM25" s="141">
        <v>0.0</v>
      </c>
      <c r="AN25" s="80">
        <v>0.0</v>
      </c>
      <c r="AO25" s="140">
        <v>0.0</v>
      </c>
      <c r="AP25" s="109">
        <v>0.0</v>
      </c>
      <c r="AQ25" s="109">
        <v>0.0</v>
      </c>
      <c r="AR25" s="80">
        <v>0.0</v>
      </c>
      <c r="AS25" s="110">
        <v>0.0</v>
      </c>
      <c r="AT25" s="110">
        <v>0.0</v>
      </c>
      <c r="AU25" s="110">
        <v>0.0</v>
      </c>
      <c r="AV25" s="142">
        <v>0.0</v>
      </c>
      <c r="AW25" s="80">
        <v>0.0</v>
      </c>
      <c r="AX25" s="113">
        <v>17.0</v>
      </c>
      <c r="AY25" s="117">
        <v>0.0</v>
      </c>
      <c r="AZ25" s="328">
        <v>17.0</v>
      </c>
      <c r="BA25" s="315">
        <v>0.0</v>
      </c>
      <c r="BB25" s="316">
        <v>17.0</v>
      </c>
      <c r="BC25" s="132" t="s">
        <v>178</v>
      </c>
      <c r="BD25" s="143" t="s">
        <v>227</v>
      </c>
      <c r="BE25" s="132" t="s">
        <v>64</v>
      </c>
      <c r="BF25" s="156"/>
      <c r="BG25" s="83">
        <v>1179372.0</v>
      </c>
      <c r="BH25" s="112">
        <v>3.0</v>
      </c>
      <c r="BI25" s="98" t="s">
        <v>155</v>
      </c>
      <c r="BJ25" s="98" t="str">
        <f t="shared" si="1"/>
        <v>NÃO</v>
      </c>
      <c r="BK25" s="98" t="str">
        <f t="shared" si="2"/>
        <v>NÃO</v>
      </c>
    </row>
    <row r="26" ht="15.75" customHeight="1">
      <c r="A26" s="111" t="s">
        <v>130</v>
      </c>
      <c r="B26" s="83" t="s">
        <v>266</v>
      </c>
      <c r="C26" s="83" t="s">
        <v>68</v>
      </c>
      <c r="D26" s="83">
        <v>1127260.0</v>
      </c>
      <c r="E26" s="83"/>
      <c r="F26" s="83">
        <v>2.9207843E7</v>
      </c>
      <c r="G26" s="114" t="s">
        <v>2810</v>
      </c>
      <c r="H26" s="91" t="s">
        <v>268</v>
      </c>
      <c r="I26" s="114" t="s">
        <v>149</v>
      </c>
      <c r="J26" s="83" t="s">
        <v>150</v>
      </c>
      <c r="K26" s="83" t="s">
        <v>151</v>
      </c>
      <c r="L26" s="83" t="s">
        <v>169</v>
      </c>
      <c r="M26" s="82" t="s">
        <v>2811</v>
      </c>
      <c r="N26" s="82" t="s">
        <v>2812</v>
      </c>
      <c r="O26" s="82" t="s">
        <v>2813</v>
      </c>
      <c r="P26" s="82" t="s">
        <v>2814</v>
      </c>
      <c r="Q26" s="82"/>
      <c r="R26" s="82"/>
      <c r="S26" s="82" t="s">
        <v>2815</v>
      </c>
      <c r="T26" s="138">
        <v>9.0</v>
      </c>
      <c r="U26" s="339" t="s">
        <v>2816</v>
      </c>
      <c r="V26" s="106">
        <v>0.0</v>
      </c>
      <c r="W26" s="107">
        <v>0.0</v>
      </c>
      <c r="X26" s="107">
        <v>0.0</v>
      </c>
      <c r="Y26" s="107">
        <v>0.0</v>
      </c>
      <c r="Z26" s="80">
        <v>0.0</v>
      </c>
      <c r="AA26" s="140">
        <v>0.0</v>
      </c>
      <c r="AB26" s="109">
        <v>0.0</v>
      </c>
      <c r="AC26" s="109">
        <v>0.0</v>
      </c>
      <c r="AD26" s="141">
        <v>0.0</v>
      </c>
      <c r="AE26" s="80">
        <v>0.0</v>
      </c>
      <c r="AF26" s="140">
        <v>181.0</v>
      </c>
      <c r="AG26" s="109">
        <v>129.0</v>
      </c>
      <c r="AH26" s="109">
        <v>0.0</v>
      </c>
      <c r="AI26" s="141">
        <v>0.0</v>
      </c>
      <c r="AJ26" s="80">
        <v>310.0</v>
      </c>
      <c r="AK26" s="140">
        <v>0.0</v>
      </c>
      <c r="AL26" s="109">
        <v>0.0</v>
      </c>
      <c r="AM26" s="141">
        <v>0.0</v>
      </c>
      <c r="AN26" s="80">
        <v>0.0</v>
      </c>
      <c r="AO26" s="140">
        <v>0.0</v>
      </c>
      <c r="AP26" s="109">
        <v>0.0</v>
      </c>
      <c r="AQ26" s="109">
        <v>0.0</v>
      </c>
      <c r="AR26" s="80">
        <v>0.0</v>
      </c>
      <c r="AS26" s="110">
        <v>13.0</v>
      </c>
      <c r="AT26" s="110">
        <v>27.0</v>
      </c>
      <c r="AU26" s="110">
        <v>0.0</v>
      </c>
      <c r="AV26" s="142">
        <v>0.0</v>
      </c>
      <c r="AW26" s="80">
        <v>40.0</v>
      </c>
      <c r="AX26" s="113">
        <v>350.0</v>
      </c>
      <c r="AY26" s="117">
        <v>350.0</v>
      </c>
      <c r="AZ26" s="328">
        <v>0.0</v>
      </c>
      <c r="BA26" s="315">
        <v>0.0</v>
      </c>
      <c r="BB26" s="316">
        <v>350.0</v>
      </c>
      <c r="BC26" s="132" t="s">
        <v>178</v>
      </c>
      <c r="BD26" s="132" t="s">
        <v>178</v>
      </c>
      <c r="BE26" s="132" t="s">
        <v>178</v>
      </c>
      <c r="BF26" s="123"/>
      <c r="BG26" s="83">
        <v>1127260.0</v>
      </c>
      <c r="BH26" s="98">
        <v>7.0</v>
      </c>
      <c r="BI26" s="98" t="s">
        <v>155</v>
      </c>
      <c r="BJ26" s="98" t="str">
        <f t="shared" si="1"/>
        <v>NÃO</v>
      </c>
      <c r="BK26" s="98" t="str">
        <f t="shared" si="2"/>
        <v>PROFISSIONAL</v>
      </c>
    </row>
    <row r="27" ht="15.75" customHeight="1">
      <c r="A27" s="111" t="s">
        <v>130</v>
      </c>
      <c r="B27" s="83" t="s">
        <v>271</v>
      </c>
      <c r="C27" s="83" t="s">
        <v>68</v>
      </c>
      <c r="D27" s="83">
        <v>1126611.0</v>
      </c>
      <c r="E27" s="83"/>
      <c r="F27" s="83">
        <v>2.9064147E7</v>
      </c>
      <c r="G27" s="114" t="s">
        <v>2822</v>
      </c>
      <c r="H27" s="91" t="s">
        <v>273</v>
      </c>
      <c r="I27" s="114" t="s">
        <v>149</v>
      </c>
      <c r="J27" s="83" t="s">
        <v>150</v>
      </c>
      <c r="K27" s="83" t="s">
        <v>151</v>
      </c>
      <c r="L27" s="83" t="s">
        <v>152</v>
      </c>
      <c r="M27" s="82" t="s">
        <v>2823</v>
      </c>
      <c r="N27" s="82" t="s">
        <v>2824</v>
      </c>
      <c r="O27" s="82" t="s">
        <v>2825</v>
      </c>
      <c r="P27" s="82" t="s">
        <v>2826</v>
      </c>
      <c r="Q27" s="82" t="s">
        <v>2827</v>
      </c>
      <c r="R27" s="82" t="s">
        <v>2828</v>
      </c>
      <c r="S27" s="82" t="s">
        <v>2829</v>
      </c>
      <c r="T27" s="138">
        <v>24.0</v>
      </c>
      <c r="U27" s="323">
        <v>14.0</v>
      </c>
      <c r="V27" s="106">
        <v>0.0</v>
      </c>
      <c r="W27" s="107">
        <v>0.0</v>
      </c>
      <c r="X27" s="107">
        <v>0.0</v>
      </c>
      <c r="Y27" s="107">
        <v>0.0</v>
      </c>
      <c r="Z27" s="80">
        <v>0.0</v>
      </c>
      <c r="AA27" s="140">
        <v>0.0</v>
      </c>
      <c r="AB27" s="109">
        <v>0.0</v>
      </c>
      <c r="AC27" s="109">
        <v>0.0</v>
      </c>
      <c r="AD27" s="141">
        <v>0.0</v>
      </c>
      <c r="AE27" s="80">
        <v>0.0</v>
      </c>
      <c r="AF27" s="140">
        <v>229.0</v>
      </c>
      <c r="AG27" s="109">
        <v>211.0</v>
      </c>
      <c r="AH27" s="109">
        <v>48.0</v>
      </c>
      <c r="AI27" s="141">
        <v>303.0</v>
      </c>
      <c r="AJ27" s="80">
        <v>791.0</v>
      </c>
      <c r="AK27" s="140">
        <v>0.0</v>
      </c>
      <c r="AL27" s="109">
        <v>0.0</v>
      </c>
      <c r="AM27" s="141">
        <v>0.0</v>
      </c>
      <c r="AN27" s="80">
        <v>0.0</v>
      </c>
      <c r="AO27" s="140">
        <v>0.0</v>
      </c>
      <c r="AP27" s="109">
        <v>0.0</v>
      </c>
      <c r="AQ27" s="109">
        <v>205.0</v>
      </c>
      <c r="AR27" s="80">
        <v>205.0</v>
      </c>
      <c r="AS27" s="110">
        <v>0.0</v>
      </c>
      <c r="AT27" s="110">
        <v>0.0</v>
      </c>
      <c r="AU27" s="110">
        <v>0.0</v>
      </c>
      <c r="AV27" s="142">
        <v>0.0</v>
      </c>
      <c r="AW27" s="80">
        <v>0.0</v>
      </c>
      <c r="AX27" s="113">
        <v>996.0</v>
      </c>
      <c r="AY27" s="117">
        <v>743.0</v>
      </c>
      <c r="AZ27" s="328">
        <v>253.0</v>
      </c>
      <c r="BA27" s="315">
        <v>1.0</v>
      </c>
      <c r="BB27" s="316">
        <v>997.0</v>
      </c>
      <c r="BC27" s="132" t="s">
        <v>178</v>
      </c>
      <c r="BD27" s="132" t="s">
        <v>178</v>
      </c>
      <c r="BE27" s="132" t="s">
        <v>178</v>
      </c>
      <c r="BF27" s="123"/>
      <c r="BG27" s="83">
        <v>1126611.0</v>
      </c>
      <c r="BH27" s="112">
        <v>14.0</v>
      </c>
      <c r="BI27" s="98" t="s">
        <v>155</v>
      </c>
      <c r="BJ27" s="98" t="str">
        <f t="shared" si="1"/>
        <v>INTEGRAL</v>
      </c>
      <c r="BK27" s="98" t="str">
        <f t="shared" si="2"/>
        <v>NÃO</v>
      </c>
    </row>
    <row r="28" ht="15.75" customHeight="1">
      <c r="A28" s="111" t="s">
        <v>130</v>
      </c>
      <c r="B28" s="83" t="s">
        <v>271</v>
      </c>
      <c r="C28" s="83" t="s">
        <v>68</v>
      </c>
      <c r="D28" s="83">
        <v>1176431.0</v>
      </c>
      <c r="E28" s="83"/>
      <c r="F28" s="83">
        <v>2.940323E7</v>
      </c>
      <c r="G28" s="289" t="s">
        <v>276</v>
      </c>
      <c r="H28" s="91" t="s">
        <v>277</v>
      </c>
      <c r="I28" s="114" t="s">
        <v>149</v>
      </c>
      <c r="J28" s="83" t="s">
        <v>150</v>
      </c>
      <c r="K28" s="83" t="s">
        <v>151</v>
      </c>
      <c r="L28" s="83" t="s">
        <v>152</v>
      </c>
      <c r="M28" s="82" t="s">
        <v>2834</v>
      </c>
      <c r="N28" s="82" t="s">
        <v>2835</v>
      </c>
      <c r="O28" s="82" t="s">
        <v>2836</v>
      </c>
      <c r="P28" s="82" t="s">
        <v>2837</v>
      </c>
      <c r="Q28" s="82" t="s">
        <v>2838</v>
      </c>
      <c r="R28" s="82" t="s">
        <v>2839</v>
      </c>
      <c r="S28" s="82" t="s">
        <v>2840</v>
      </c>
      <c r="T28" s="138">
        <v>13.0</v>
      </c>
      <c r="U28" s="323">
        <v>13.0</v>
      </c>
      <c r="V28" s="106">
        <v>0.0</v>
      </c>
      <c r="W28" s="107">
        <v>0.0</v>
      </c>
      <c r="X28" s="107">
        <v>0.0</v>
      </c>
      <c r="Y28" s="107">
        <v>0.0</v>
      </c>
      <c r="Z28" s="80">
        <v>0.0</v>
      </c>
      <c r="AA28" s="140">
        <v>0.0</v>
      </c>
      <c r="AB28" s="109">
        <v>0.0</v>
      </c>
      <c r="AC28" s="109">
        <v>0.0</v>
      </c>
      <c r="AD28" s="141">
        <v>0.0</v>
      </c>
      <c r="AE28" s="80">
        <v>0.0</v>
      </c>
      <c r="AF28" s="140">
        <v>176.0</v>
      </c>
      <c r="AG28" s="109">
        <v>183.0</v>
      </c>
      <c r="AH28" s="109">
        <v>0.0</v>
      </c>
      <c r="AI28" s="141">
        <v>653.0</v>
      </c>
      <c r="AJ28" s="80">
        <v>1012.0</v>
      </c>
      <c r="AK28" s="140">
        <v>0.0</v>
      </c>
      <c r="AL28" s="109">
        <v>0.0</v>
      </c>
      <c r="AM28" s="141">
        <v>0.0</v>
      </c>
      <c r="AN28" s="80">
        <v>0.0</v>
      </c>
      <c r="AO28" s="140">
        <v>0.0</v>
      </c>
      <c r="AP28" s="109">
        <v>0.0</v>
      </c>
      <c r="AQ28" s="109">
        <v>0.0</v>
      </c>
      <c r="AR28" s="80">
        <v>0.0</v>
      </c>
      <c r="AS28" s="110">
        <v>0.0</v>
      </c>
      <c r="AT28" s="110">
        <v>0.0</v>
      </c>
      <c r="AU28" s="110">
        <v>0.0</v>
      </c>
      <c r="AV28" s="142">
        <v>0.0</v>
      </c>
      <c r="AW28" s="80">
        <v>0.0</v>
      </c>
      <c r="AX28" s="113">
        <v>1012.0</v>
      </c>
      <c r="AY28" s="117">
        <v>1012.0</v>
      </c>
      <c r="AZ28" s="328">
        <v>0.0</v>
      </c>
      <c r="BA28" s="315">
        <v>0.0</v>
      </c>
      <c r="BB28" s="316">
        <v>1012.0</v>
      </c>
      <c r="BC28" s="132" t="s">
        <v>178</v>
      </c>
      <c r="BD28" s="132" t="s">
        <v>178</v>
      </c>
      <c r="BE28" s="132" t="s">
        <v>178</v>
      </c>
      <c r="BF28" s="156"/>
      <c r="BG28" s="83">
        <v>1176431.0</v>
      </c>
      <c r="BH28" s="112">
        <v>13.0</v>
      </c>
      <c r="BI28" s="98" t="s">
        <v>155</v>
      </c>
      <c r="BJ28" s="98" t="str">
        <f t="shared" si="1"/>
        <v>INTEGRAL</v>
      </c>
      <c r="BK28" s="98" t="str">
        <f t="shared" si="2"/>
        <v>NÃO</v>
      </c>
    </row>
    <row r="29" ht="15.75" customHeight="1">
      <c r="A29" s="111" t="s">
        <v>130</v>
      </c>
      <c r="B29" s="83" t="s">
        <v>271</v>
      </c>
      <c r="C29" s="83" t="s">
        <v>68</v>
      </c>
      <c r="D29" s="83">
        <v>1126590.0</v>
      </c>
      <c r="E29" s="83"/>
      <c r="F29" s="83">
        <v>2.906412E7</v>
      </c>
      <c r="G29" s="114" t="s">
        <v>280</v>
      </c>
      <c r="H29" s="91" t="s">
        <v>281</v>
      </c>
      <c r="I29" s="114" t="s">
        <v>282</v>
      </c>
      <c r="J29" s="83" t="s">
        <v>150</v>
      </c>
      <c r="K29" s="83" t="s">
        <v>151</v>
      </c>
      <c r="L29" s="83" t="s">
        <v>230</v>
      </c>
      <c r="M29" s="82" t="s">
        <v>2844</v>
      </c>
      <c r="N29" s="82" t="s">
        <v>2845</v>
      </c>
      <c r="O29" s="82" t="s">
        <v>2846</v>
      </c>
      <c r="P29" s="82" t="s">
        <v>2847</v>
      </c>
      <c r="Q29" s="82" t="s">
        <v>2848</v>
      </c>
      <c r="R29" s="82" t="s">
        <v>2849</v>
      </c>
      <c r="S29" s="82" t="s">
        <v>2850</v>
      </c>
      <c r="T29" s="138">
        <v>15.0</v>
      </c>
      <c r="U29" s="344" t="s">
        <v>2851</v>
      </c>
      <c r="V29" s="106">
        <v>0.0</v>
      </c>
      <c r="W29" s="107">
        <v>0.0</v>
      </c>
      <c r="X29" s="107">
        <v>0.0</v>
      </c>
      <c r="Y29" s="107">
        <v>0.0</v>
      </c>
      <c r="Z29" s="80">
        <v>0.0</v>
      </c>
      <c r="AA29" s="140">
        <v>0.0</v>
      </c>
      <c r="AB29" s="109">
        <v>0.0</v>
      </c>
      <c r="AC29" s="109">
        <v>0.0</v>
      </c>
      <c r="AD29" s="141">
        <v>0.0</v>
      </c>
      <c r="AE29" s="80">
        <v>0.0</v>
      </c>
      <c r="AF29" s="140">
        <v>0.0</v>
      </c>
      <c r="AG29" s="109">
        <v>0.0</v>
      </c>
      <c r="AH29" s="109">
        <v>0.0</v>
      </c>
      <c r="AI29" s="141">
        <v>0.0</v>
      </c>
      <c r="AJ29" s="80">
        <v>0.0</v>
      </c>
      <c r="AK29" s="140">
        <v>0.0</v>
      </c>
      <c r="AL29" s="109">
        <v>0.0</v>
      </c>
      <c r="AM29" s="141">
        <v>0.0</v>
      </c>
      <c r="AN29" s="80">
        <v>0.0</v>
      </c>
      <c r="AO29" s="140">
        <v>0.0</v>
      </c>
      <c r="AP29" s="109">
        <v>0.0</v>
      </c>
      <c r="AQ29" s="109">
        <v>0.0</v>
      </c>
      <c r="AR29" s="80">
        <v>0.0</v>
      </c>
      <c r="AS29" s="110">
        <v>653.0</v>
      </c>
      <c r="AT29" s="110">
        <v>548.0</v>
      </c>
      <c r="AU29" s="110">
        <v>377.0</v>
      </c>
      <c r="AV29" s="142">
        <v>0.0</v>
      </c>
      <c r="AW29" s="80">
        <v>1578.0</v>
      </c>
      <c r="AX29" s="113">
        <v>1578.0</v>
      </c>
      <c r="AY29" s="117">
        <v>1201.0</v>
      </c>
      <c r="AZ29" s="328">
        <v>377.0</v>
      </c>
      <c r="BA29" s="315">
        <v>0.0</v>
      </c>
      <c r="BB29" s="316">
        <v>1578.0</v>
      </c>
      <c r="BC29" s="132" t="s">
        <v>178</v>
      </c>
      <c r="BD29" s="132" t="s">
        <v>522</v>
      </c>
      <c r="BE29" s="132" t="s">
        <v>64</v>
      </c>
      <c r="BF29" s="179"/>
      <c r="BG29" s="83">
        <v>1126590.0</v>
      </c>
      <c r="BH29" s="112">
        <v>16.0</v>
      </c>
      <c r="BI29" s="98" t="s">
        <v>284</v>
      </c>
      <c r="BJ29" s="98" t="str">
        <f t="shared" si="1"/>
        <v>NÃO</v>
      </c>
      <c r="BK29" s="98" t="str">
        <f t="shared" si="2"/>
        <v>PROFISSIONAL</v>
      </c>
    </row>
    <row r="30" ht="15.75" customHeight="1">
      <c r="A30" s="111" t="s">
        <v>130</v>
      </c>
      <c r="B30" s="83" t="s">
        <v>271</v>
      </c>
      <c r="C30" s="83" t="s">
        <v>68</v>
      </c>
      <c r="D30" s="83">
        <v>1179281.0</v>
      </c>
      <c r="E30" s="83"/>
      <c r="F30" s="83">
        <v>2.9459141E7</v>
      </c>
      <c r="G30" s="114" t="s">
        <v>287</v>
      </c>
      <c r="H30" s="91" t="s">
        <v>288</v>
      </c>
      <c r="I30" s="114" t="s">
        <v>149</v>
      </c>
      <c r="J30" s="83" t="s">
        <v>150</v>
      </c>
      <c r="K30" s="83" t="s">
        <v>151</v>
      </c>
      <c r="L30" s="83" t="s">
        <v>230</v>
      </c>
      <c r="M30" s="82" t="s">
        <v>2649</v>
      </c>
      <c r="N30" s="82" t="s">
        <v>2650</v>
      </c>
      <c r="O30" s="82" t="s">
        <v>2651</v>
      </c>
      <c r="P30" s="82" t="s">
        <v>2652</v>
      </c>
      <c r="Q30" s="82"/>
      <c r="R30" s="82"/>
      <c r="S30" s="82" t="s">
        <v>2653</v>
      </c>
      <c r="T30" s="138" t="s">
        <v>171</v>
      </c>
      <c r="U30" s="345" t="s">
        <v>533</v>
      </c>
      <c r="V30" s="106">
        <v>0.0</v>
      </c>
      <c r="W30" s="107">
        <v>0.0</v>
      </c>
      <c r="X30" s="107">
        <v>0.0</v>
      </c>
      <c r="Y30" s="107">
        <v>0.0</v>
      </c>
      <c r="Z30" s="80">
        <v>0.0</v>
      </c>
      <c r="AA30" s="140">
        <v>0.0</v>
      </c>
      <c r="AB30" s="109">
        <v>0.0</v>
      </c>
      <c r="AC30" s="109">
        <v>0.0</v>
      </c>
      <c r="AD30" s="141">
        <v>0.0</v>
      </c>
      <c r="AE30" s="80">
        <v>0.0</v>
      </c>
      <c r="AF30" s="140">
        <v>0.0</v>
      </c>
      <c r="AG30" s="109">
        <v>0.0</v>
      </c>
      <c r="AH30" s="109">
        <v>0.0</v>
      </c>
      <c r="AI30" s="141">
        <v>0.0</v>
      </c>
      <c r="AJ30" s="80">
        <v>0.0</v>
      </c>
      <c r="AK30" s="140">
        <v>0.0</v>
      </c>
      <c r="AL30" s="109">
        <v>0.0</v>
      </c>
      <c r="AM30" s="141">
        <v>0.0</v>
      </c>
      <c r="AN30" s="80">
        <v>0.0</v>
      </c>
      <c r="AO30" s="140">
        <v>0.0</v>
      </c>
      <c r="AP30" s="109">
        <v>0.0</v>
      </c>
      <c r="AQ30" s="109">
        <v>0.0</v>
      </c>
      <c r="AR30" s="80">
        <v>0.0</v>
      </c>
      <c r="AS30" s="110">
        <v>0.0</v>
      </c>
      <c r="AT30" s="110">
        <v>0.0</v>
      </c>
      <c r="AU30" s="110">
        <v>0.0</v>
      </c>
      <c r="AV30" s="142">
        <v>0.0</v>
      </c>
      <c r="AW30" s="80">
        <v>0.0</v>
      </c>
      <c r="AX30" s="113">
        <v>0.0</v>
      </c>
      <c r="AY30" s="117">
        <v>0.0</v>
      </c>
      <c r="AZ30" s="328">
        <v>0.0</v>
      </c>
      <c r="BA30" s="315">
        <v>0.0</v>
      </c>
      <c r="BB30" s="316">
        <v>0.0</v>
      </c>
      <c r="BC30" s="132" t="s">
        <v>178</v>
      </c>
      <c r="BD30" s="143" t="s">
        <v>227</v>
      </c>
      <c r="BE30" s="132" t="s">
        <v>64</v>
      </c>
      <c r="BF30" s="156" t="s">
        <v>534</v>
      </c>
      <c r="BG30" s="83">
        <v>1179281.0</v>
      </c>
      <c r="BH30" s="112">
        <v>0.0</v>
      </c>
      <c r="BI30" s="98" t="s">
        <v>155</v>
      </c>
      <c r="BJ30" s="98" t="str">
        <f t="shared" si="1"/>
        <v>NÃO</v>
      </c>
      <c r="BK30" s="98" t="str">
        <f t="shared" si="2"/>
        <v>NÃO</v>
      </c>
    </row>
    <row r="31" ht="39.0" customHeight="1">
      <c r="A31" s="111" t="s">
        <v>130</v>
      </c>
      <c r="B31" s="83" t="s">
        <v>271</v>
      </c>
      <c r="C31" s="83" t="s">
        <v>68</v>
      </c>
      <c r="D31" s="83">
        <v>1179658.0</v>
      </c>
      <c r="E31" s="83"/>
      <c r="F31" s="83">
        <v>2.947431E7</v>
      </c>
      <c r="G31" s="114" t="s">
        <v>289</v>
      </c>
      <c r="H31" s="91" t="s">
        <v>290</v>
      </c>
      <c r="I31" s="114" t="s">
        <v>149</v>
      </c>
      <c r="J31" s="83" t="s">
        <v>150</v>
      </c>
      <c r="K31" s="83" t="s">
        <v>151</v>
      </c>
      <c r="L31" s="83" t="s">
        <v>230</v>
      </c>
      <c r="M31" s="82" t="s">
        <v>2862</v>
      </c>
      <c r="N31" s="82" t="s">
        <v>2863</v>
      </c>
      <c r="O31" s="82" t="s">
        <v>2864</v>
      </c>
      <c r="P31" s="82" t="s">
        <v>2865</v>
      </c>
      <c r="Q31" s="82" t="s">
        <v>2866</v>
      </c>
      <c r="R31" s="82" t="s">
        <v>2867</v>
      </c>
      <c r="S31" s="82"/>
      <c r="T31" s="138" t="s">
        <v>171</v>
      </c>
      <c r="U31" s="344" t="s">
        <v>2868</v>
      </c>
      <c r="V31" s="106">
        <v>0.0</v>
      </c>
      <c r="W31" s="107">
        <v>0.0</v>
      </c>
      <c r="X31" s="107">
        <v>0.0</v>
      </c>
      <c r="Y31" s="107">
        <v>0.0</v>
      </c>
      <c r="Z31" s="80">
        <v>0.0</v>
      </c>
      <c r="AA31" s="140">
        <v>0.0</v>
      </c>
      <c r="AB31" s="109">
        <v>0.0</v>
      </c>
      <c r="AC31" s="109">
        <v>0.0</v>
      </c>
      <c r="AD31" s="141">
        <v>0.0</v>
      </c>
      <c r="AE31" s="80">
        <v>0.0</v>
      </c>
      <c r="AF31" s="140">
        <v>0.0</v>
      </c>
      <c r="AG31" s="109">
        <v>0.0</v>
      </c>
      <c r="AH31" s="109">
        <v>0.0</v>
      </c>
      <c r="AI31" s="141">
        <v>0.0</v>
      </c>
      <c r="AJ31" s="80">
        <v>0.0</v>
      </c>
      <c r="AK31" s="140">
        <v>0.0</v>
      </c>
      <c r="AL31" s="109">
        <v>0.0</v>
      </c>
      <c r="AM31" s="141">
        <v>0.0</v>
      </c>
      <c r="AN31" s="80">
        <v>0.0</v>
      </c>
      <c r="AO31" s="140">
        <v>0.0</v>
      </c>
      <c r="AP31" s="109">
        <v>0.0</v>
      </c>
      <c r="AQ31" s="109">
        <v>0.0</v>
      </c>
      <c r="AR31" s="80">
        <v>0.0</v>
      </c>
      <c r="AS31" s="110">
        <v>0.0</v>
      </c>
      <c r="AT31" s="110">
        <v>0.0</v>
      </c>
      <c r="AU31" s="110">
        <v>0.0</v>
      </c>
      <c r="AV31" s="142">
        <v>0.0</v>
      </c>
      <c r="AW31" s="80">
        <v>0.0</v>
      </c>
      <c r="AX31" s="346">
        <v>290.0</v>
      </c>
      <c r="AY31" s="347">
        <v>211.0</v>
      </c>
      <c r="AZ31" s="348">
        <v>79.0</v>
      </c>
      <c r="BA31" s="349">
        <v>0.0</v>
      </c>
      <c r="BB31" s="316">
        <v>290.0</v>
      </c>
      <c r="BC31" s="143" t="s">
        <v>547</v>
      </c>
      <c r="BD31" s="132" t="s">
        <v>178</v>
      </c>
      <c r="BE31" s="132" t="s">
        <v>178</v>
      </c>
      <c r="BF31" s="156"/>
      <c r="BG31" s="83">
        <v>1179658.0</v>
      </c>
      <c r="BH31" s="112">
        <v>8.0</v>
      </c>
      <c r="BI31" s="98" t="s">
        <v>155</v>
      </c>
      <c r="BJ31" s="98" t="str">
        <f t="shared" si="1"/>
        <v>NÃO</v>
      </c>
      <c r="BK31" s="98" t="str">
        <f t="shared" si="2"/>
        <v>NÃO</v>
      </c>
    </row>
    <row r="32" ht="15.75" customHeight="1">
      <c r="A32" s="111" t="s">
        <v>130</v>
      </c>
      <c r="B32" s="83" t="s">
        <v>271</v>
      </c>
      <c r="C32" s="83" t="s">
        <v>164</v>
      </c>
      <c r="D32" s="83">
        <v>1179281.0</v>
      </c>
      <c r="E32" s="83">
        <v>1178797.0</v>
      </c>
      <c r="F32" s="83"/>
      <c r="G32" s="114" t="s">
        <v>2399</v>
      </c>
      <c r="H32" s="91" t="s">
        <v>2872</v>
      </c>
      <c r="I32" s="187" t="s">
        <v>2873</v>
      </c>
      <c r="J32" s="83" t="s">
        <v>822</v>
      </c>
      <c r="K32" s="83" t="s">
        <v>151</v>
      </c>
      <c r="L32" s="83" t="s">
        <v>169</v>
      </c>
      <c r="M32" s="82" t="s">
        <v>2649</v>
      </c>
      <c r="N32" s="82" t="s">
        <v>2650</v>
      </c>
      <c r="O32" s="82" t="s">
        <v>2651</v>
      </c>
      <c r="P32" s="82" t="s">
        <v>2652</v>
      </c>
      <c r="Q32" s="82"/>
      <c r="R32" s="82"/>
      <c r="S32" s="82" t="s">
        <v>2653</v>
      </c>
      <c r="T32" s="138">
        <v>3.0</v>
      </c>
      <c r="U32" s="331">
        <v>1.0</v>
      </c>
      <c r="V32" s="106">
        <v>0.0</v>
      </c>
      <c r="W32" s="107">
        <v>0.0</v>
      </c>
      <c r="X32" s="107">
        <v>0.0</v>
      </c>
      <c r="Y32" s="107">
        <v>0.0</v>
      </c>
      <c r="Z32" s="80">
        <v>0.0</v>
      </c>
      <c r="AA32" s="140">
        <v>0.0</v>
      </c>
      <c r="AB32" s="109">
        <v>0.0</v>
      </c>
      <c r="AC32" s="109">
        <v>0.0</v>
      </c>
      <c r="AD32" s="141">
        <v>0.0</v>
      </c>
      <c r="AE32" s="80">
        <v>0.0</v>
      </c>
      <c r="AF32" s="140">
        <v>0.0</v>
      </c>
      <c r="AG32" s="109">
        <v>0.0</v>
      </c>
      <c r="AH32" s="109">
        <v>34.0</v>
      </c>
      <c r="AI32" s="141">
        <v>0.0</v>
      </c>
      <c r="AJ32" s="80">
        <v>34.0</v>
      </c>
      <c r="AK32" s="140">
        <v>0.0</v>
      </c>
      <c r="AL32" s="109">
        <v>0.0</v>
      </c>
      <c r="AM32" s="141">
        <v>0.0</v>
      </c>
      <c r="AN32" s="80">
        <v>0.0</v>
      </c>
      <c r="AO32" s="140">
        <v>0.0</v>
      </c>
      <c r="AP32" s="109">
        <v>0.0</v>
      </c>
      <c r="AQ32" s="109">
        <v>0.0</v>
      </c>
      <c r="AR32" s="80">
        <v>0.0</v>
      </c>
      <c r="AS32" s="110">
        <v>0.0</v>
      </c>
      <c r="AT32" s="110">
        <v>0.0</v>
      </c>
      <c r="AU32" s="110">
        <v>0.0</v>
      </c>
      <c r="AV32" s="142">
        <v>0.0</v>
      </c>
      <c r="AW32" s="80">
        <v>0.0</v>
      </c>
      <c r="AX32" s="113">
        <v>34.0</v>
      </c>
      <c r="AY32" s="117">
        <v>0.0</v>
      </c>
      <c r="AZ32" s="328">
        <v>34.0</v>
      </c>
      <c r="BA32" s="315">
        <v>0.0</v>
      </c>
      <c r="BB32" s="316">
        <v>34.0</v>
      </c>
      <c r="BC32" s="132" t="s">
        <v>178</v>
      </c>
      <c r="BD32" s="143" t="s">
        <v>227</v>
      </c>
      <c r="BE32" s="132" t="s">
        <v>64</v>
      </c>
      <c r="BF32" s="123"/>
      <c r="BG32" s="83">
        <v>1178797.0</v>
      </c>
      <c r="BH32" s="112">
        <v>1.0</v>
      </c>
      <c r="BI32" s="98" t="s">
        <v>155</v>
      </c>
      <c r="BJ32" s="98" t="str">
        <f t="shared" si="1"/>
        <v>NÃO</v>
      </c>
      <c r="BK32" s="98" t="str">
        <f t="shared" si="2"/>
        <v>NÃO</v>
      </c>
    </row>
    <row r="33" ht="15.75" customHeight="1">
      <c r="A33" s="111" t="s">
        <v>130</v>
      </c>
      <c r="B33" s="83" t="s">
        <v>296</v>
      </c>
      <c r="C33" s="83" t="s">
        <v>68</v>
      </c>
      <c r="D33" s="83">
        <v>1178258.0</v>
      </c>
      <c r="E33" s="83"/>
      <c r="F33" s="83">
        <v>2.9447755E7</v>
      </c>
      <c r="G33" s="114" t="s">
        <v>297</v>
      </c>
      <c r="H33" s="91" t="s">
        <v>298</v>
      </c>
      <c r="I33" s="114" t="s">
        <v>149</v>
      </c>
      <c r="J33" s="83" t="s">
        <v>150</v>
      </c>
      <c r="K33" s="83" t="s">
        <v>151</v>
      </c>
      <c r="L33" s="83" t="s">
        <v>169</v>
      </c>
      <c r="M33" s="82" t="s">
        <v>2878</v>
      </c>
      <c r="N33" s="82" t="s">
        <v>2879</v>
      </c>
      <c r="O33" s="82" t="s">
        <v>2880</v>
      </c>
      <c r="P33" s="82" t="s">
        <v>2881</v>
      </c>
      <c r="Q33" s="82"/>
      <c r="R33" s="82"/>
      <c r="S33" s="82" t="s">
        <v>2882</v>
      </c>
      <c r="T33" s="138">
        <v>7.0</v>
      </c>
      <c r="U33" s="339" t="s">
        <v>2883</v>
      </c>
      <c r="V33" s="106">
        <v>0.0</v>
      </c>
      <c r="W33" s="107">
        <v>0.0</v>
      </c>
      <c r="X33" s="107">
        <v>0.0</v>
      </c>
      <c r="Y33" s="107">
        <v>0.0</v>
      </c>
      <c r="Z33" s="80">
        <v>0.0</v>
      </c>
      <c r="AA33" s="140">
        <v>0.0</v>
      </c>
      <c r="AB33" s="109">
        <v>0.0</v>
      </c>
      <c r="AC33" s="109">
        <v>0.0</v>
      </c>
      <c r="AD33" s="141">
        <v>0.0</v>
      </c>
      <c r="AE33" s="80">
        <v>0.0</v>
      </c>
      <c r="AF33" s="140">
        <v>107.0</v>
      </c>
      <c r="AG33" s="109">
        <v>54.0</v>
      </c>
      <c r="AH33" s="109">
        <v>0.0</v>
      </c>
      <c r="AI33" s="141">
        <v>111.0</v>
      </c>
      <c r="AJ33" s="80">
        <v>272.0</v>
      </c>
      <c r="AK33" s="140">
        <v>0.0</v>
      </c>
      <c r="AL33" s="109">
        <v>0.0</v>
      </c>
      <c r="AM33" s="141">
        <v>0.0</v>
      </c>
      <c r="AN33" s="80">
        <v>0.0</v>
      </c>
      <c r="AO33" s="140">
        <v>0.0</v>
      </c>
      <c r="AP33" s="109">
        <v>0.0</v>
      </c>
      <c r="AQ33" s="109">
        <v>0.0</v>
      </c>
      <c r="AR33" s="80">
        <v>0.0</v>
      </c>
      <c r="AS33" s="110">
        <v>0.0</v>
      </c>
      <c r="AT33" s="110">
        <v>0.0</v>
      </c>
      <c r="AU33" s="110">
        <v>0.0</v>
      </c>
      <c r="AV33" s="142">
        <v>0.0</v>
      </c>
      <c r="AW33" s="80">
        <v>0.0</v>
      </c>
      <c r="AX33" s="113">
        <v>272.0</v>
      </c>
      <c r="AY33" s="117">
        <v>272.0</v>
      </c>
      <c r="AZ33" s="328">
        <v>0.0</v>
      </c>
      <c r="BA33" s="315">
        <v>0.0</v>
      </c>
      <c r="BB33" s="316">
        <v>272.0</v>
      </c>
      <c r="BC33" s="132" t="s">
        <v>373</v>
      </c>
      <c r="BD33" s="132" t="s">
        <v>178</v>
      </c>
      <c r="BE33" s="132" t="s">
        <v>178</v>
      </c>
      <c r="BF33" s="181"/>
      <c r="BG33" s="83">
        <v>1178258.0</v>
      </c>
      <c r="BH33" s="112">
        <v>6.0</v>
      </c>
      <c r="BI33" s="98" t="s">
        <v>155</v>
      </c>
      <c r="BJ33" s="98" t="str">
        <f t="shared" si="1"/>
        <v>INTEGRAL</v>
      </c>
      <c r="BK33" s="98" t="str">
        <f t="shared" si="2"/>
        <v>NÃO</v>
      </c>
    </row>
    <row r="34" ht="15.75" customHeight="1">
      <c r="A34" s="111" t="s">
        <v>130</v>
      </c>
      <c r="B34" s="83" t="s">
        <v>296</v>
      </c>
      <c r="C34" s="83" t="s">
        <v>164</v>
      </c>
      <c r="D34" s="83">
        <v>1179281.0</v>
      </c>
      <c r="E34" s="83">
        <v>1179443.0</v>
      </c>
      <c r="F34" s="83"/>
      <c r="G34" s="114" t="s">
        <v>303</v>
      </c>
      <c r="H34" s="91" t="s">
        <v>304</v>
      </c>
      <c r="I34" s="187" t="s">
        <v>149</v>
      </c>
      <c r="J34" s="83" t="s">
        <v>305</v>
      </c>
      <c r="K34" s="83" t="s">
        <v>168</v>
      </c>
      <c r="L34" s="83" t="s">
        <v>169</v>
      </c>
      <c r="M34" s="82" t="s">
        <v>2649</v>
      </c>
      <c r="N34" s="82" t="s">
        <v>2650</v>
      </c>
      <c r="O34" s="82" t="s">
        <v>2651</v>
      </c>
      <c r="P34" s="82" t="s">
        <v>2652</v>
      </c>
      <c r="Q34" s="82"/>
      <c r="R34" s="82"/>
      <c r="S34" s="82" t="s">
        <v>2653</v>
      </c>
      <c r="T34" s="138">
        <v>2.0</v>
      </c>
      <c r="U34" s="331">
        <v>1.0</v>
      </c>
      <c r="V34" s="106">
        <v>0.0</v>
      </c>
      <c r="W34" s="107">
        <v>0.0</v>
      </c>
      <c r="X34" s="107">
        <v>0.0</v>
      </c>
      <c r="Y34" s="107">
        <v>0.0</v>
      </c>
      <c r="Z34" s="80">
        <v>0.0</v>
      </c>
      <c r="AA34" s="140">
        <v>0.0</v>
      </c>
      <c r="AB34" s="109">
        <v>0.0</v>
      </c>
      <c r="AC34" s="109">
        <v>0.0</v>
      </c>
      <c r="AD34" s="141">
        <v>0.0</v>
      </c>
      <c r="AE34" s="80">
        <v>0.0</v>
      </c>
      <c r="AF34" s="140">
        <v>0.0</v>
      </c>
      <c r="AG34" s="109">
        <v>26.0</v>
      </c>
      <c r="AH34" s="109">
        <v>0.0</v>
      </c>
      <c r="AI34" s="141">
        <v>0.0</v>
      </c>
      <c r="AJ34" s="80">
        <v>26.0</v>
      </c>
      <c r="AK34" s="140">
        <v>0.0</v>
      </c>
      <c r="AL34" s="109">
        <v>0.0</v>
      </c>
      <c r="AM34" s="141">
        <v>0.0</v>
      </c>
      <c r="AN34" s="80">
        <v>0.0</v>
      </c>
      <c r="AO34" s="140">
        <v>0.0</v>
      </c>
      <c r="AP34" s="109">
        <v>0.0</v>
      </c>
      <c r="AQ34" s="109">
        <v>0.0</v>
      </c>
      <c r="AR34" s="80">
        <v>0.0</v>
      </c>
      <c r="AS34" s="110">
        <v>0.0</v>
      </c>
      <c r="AT34" s="110">
        <v>0.0</v>
      </c>
      <c r="AU34" s="110">
        <v>0.0</v>
      </c>
      <c r="AV34" s="142">
        <v>0.0</v>
      </c>
      <c r="AW34" s="80">
        <v>0.0</v>
      </c>
      <c r="AX34" s="113">
        <v>26.0</v>
      </c>
      <c r="AY34" s="117">
        <v>26.0</v>
      </c>
      <c r="AZ34" s="328">
        <v>0.0</v>
      </c>
      <c r="BA34" s="315">
        <v>0.0</v>
      </c>
      <c r="BB34" s="316">
        <v>26.0</v>
      </c>
      <c r="BC34" s="132" t="s">
        <v>178</v>
      </c>
      <c r="BD34" s="143" t="s">
        <v>227</v>
      </c>
      <c r="BE34" s="132" t="s">
        <v>64</v>
      </c>
      <c r="BF34" s="156"/>
      <c r="BG34" s="83">
        <v>1179443.0</v>
      </c>
      <c r="BH34" s="112">
        <v>1.0</v>
      </c>
      <c r="BI34" s="98" t="s">
        <v>155</v>
      </c>
      <c r="BJ34" s="98" t="str">
        <f t="shared" si="1"/>
        <v>NÃO</v>
      </c>
      <c r="BK34" s="98" t="str">
        <f t="shared" si="2"/>
        <v>NÃO</v>
      </c>
    </row>
    <row r="35" ht="15.75" customHeight="1">
      <c r="A35" s="111" t="s">
        <v>130</v>
      </c>
      <c r="B35" s="83" t="s">
        <v>296</v>
      </c>
      <c r="C35" s="83" t="s">
        <v>164</v>
      </c>
      <c r="D35" s="83">
        <v>1179281.0</v>
      </c>
      <c r="E35" s="83">
        <v>1179046.0</v>
      </c>
      <c r="F35" s="83"/>
      <c r="G35" s="114" t="s">
        <v>306</v>
      </c>
      <c r="H35" s="91" t="s">
        <v>307</v>
      </c>
      <c r="I35" s="187" t="s">
        <v>149</v>
      </c>
      <c r="J35" s="83" t="s">
        <v>187</v>
      </c>
      <c r="K35" s="83" t="s">
        <v>168</v>
      </c>
      <c r="L35" s="83" t="s">
        <v>169</v>
      </c>
      <c r="M35" s="82" t="s">
        <v>2649</v>
      </c>
      <c r="N35" s="82" t="s">
        <v>2650</v>
      </c>
      <c r="O35" s="82" t="s">
        <v>2651</v>
      </c>
      <c r="P35" s="82" t="s">
        <v>2652</v>
      </c>
      <c r="Q35" s="82"/>
      <c r="R35" s="82"/>
      <c r="S35" s="82" t="s">
        <v>2653</v>
      </c>
      <c r="T35" s="138">
        <v>1.0</v>
      </c>
      <c r="U35" s="331">
        <v>2.0</v>
      </c>
      <c r="V35" s="106">
        <v>0.0</v>
      </c>
      <c r="W35" s="107">
        <v>0.0</v>
      </c>
      <c r="X35" s="107">
        <v>0.0</v>
      </c>
      <c r="Y35" s="107">
        <v>0.0</v>
      </c>
      <c r="Z35" s="80">
        <v>0.0</v>
      </c>
      <c r="AA35" s="140">
        <v>0.0</v>
      </c>
      <c r="AB35" s="109">
        <v>0.0</v>
      </c>
      <c r="AC35" s="109">
        <v>0.0</v>
      </c>
      <c r="AD35" s="141">
        <v>0.0</v>
      </c>
      <c r="AE35" s="80">
        <v>0.0</v>
      </c>
      <c r="AF35" s="140">
        <v>1.0</v>
      </c>
      <c r="AG35" s="109">
        <v>17.0</v>
      </c>
      <c r="AH35" s="109">
        <v>9.0</v>
      </c>
      <c r="AI35" s="141">
        <v>0.0</v>
      </c>
      <c r="AJ35" s="80">
        <v>27.0</v>
      </c>
      <c r="AK35" s="140">
        <v>0.0</v>
      </c>
      <c r="AL35" s="109">
        <v>0.0</v>
      </c>
      <c r="AM35" s="141">
        <v>0.0</v>
      </c>
      <c r="AN35" s="80">
        <v>0.0</v>
      </c>
      <c r="AO35" s="140">
        <v>0.0</v>
      </c>
      <c r="AP35" s="109">
        <v>0.0</v>
      </c>
      <c r="AQ35" s="109">
        <v>0.0</v>
      </c>
      <c r="AR35" s="80">
        <v>0.0</v>
      </c>
      <c r="AS35" s="110">
        <v>0.0</v>
      </c>
      <c r="AT35" s="110">
        <v>0.0</v>
      </c>
      <c r="AU35" s="110">
        <v>0.0</v>
      </c>
      <c r="AV35" s="142">
        <v>0.0</v>
      </c>
      <c r="AW35" s="80">
        <v>0.0</v>
      </c>
      <c r="AX35" s="113">
        <v>27.0</v>
      </c>
      <c r="AY35" s="117">
        <v>18.0</v>
      </c>
      <c r="AZ35" s="328">
        <v>9.0</v>
      </c>
      <c r="BA35" s="315">
        <v>0.0</v>
      </c>
      <c r="BB35" s="316">
        <v>27.0</v>
      </c>
      <c r="BC35" s="132" t="s">
        <v>178</v>
      </c>
      <c r="BD35" s="143" t="s">
        <v>227</v>
      </c>
      <c r="BE35" s="132" t="s">
        <v>64</v>
      </c>
      <c r="BF35" s="123"/>
      <c r="BG35" s="83">
        <v>1179046.0</v>
      </c>
      <c r="BH35" s="112">
        <v>2.0</v>
      </c>
      <c r="BI35" s="98" t="s">
        <v>155</v>
      </c>
      <c r="BJ35" s="98" t="str">
        <f t="shared" si="1"/>
        <v>NÃO</v>
      </c>
      <c r="BK35" s="98" t="str">
        <f t="shared" si="2"/>
        <v>NÃO</v>
      </c>
    </row>
    <row r="36" ht="15.75" customHeight="1">
      <c r="A36" s="111" t="s">
        <v>130</v>
      </c>
      <c r="B36" s="83" t="s">
        <v>296</v>
      </c>
      <c r="C36" s="83" t="s">
        <v>164</v>
      </c>
      <c r="D36" s="83">
        <v>1179281.0</v>
      </c>
      <c r="E36" s="83">
        <v>1178799.0</v>
      </c>
      <c r="F36" s="83"/>
      <c r="G36" s="114" t="s">
        <v>308</v>
      </c>
      <c r="H36" s="91" t="s">
        <v>309</v>
      </c>
      <c r="I36" s="187" t="s">
        <v>149</v>
      </c>
      <c r="J36" s="83" t="s">
        <v>310</v>
      </c>
      <c r="K36" s="83" t="s">
        <v>168</v>
      </c>
      <c r="L36" s="83" t="s">
        <v>169</v>
      </c>
      <c r="M36" s="82" t="s">
        <v>2649</v>
      </c>
      <c r="N36" s="82" t="s">
        <v>2650</v>
      </c>
      <c r="O36" s="82" t="s">
        <v>2651</v>
      </c>
      <c r="P36" s="82" t="s">
        <v>2652</v>
      </c>
      <c r="Q36" s="82"/>
      <c r="R36" s="82"/>
      <c r="S36" s="82" t="s">
        <v>2653</v>
      </c>
      <c r="T36" s="138">
        <v>1.0</v>
      </c>
      <c r="U36" s="331">
        <v>3.0</v>
      </c>
      <c r="V36" s="106">
        <v>0.0</v>
      </c>
      <c r="W36" s="107">
        <v>0.0</v>
      </c>
      <c r="X36" s="107">
        <v>0.0</v>
      </c>
      <c r="Y36" s="107">
        <v>0.0</v>
      </c>
      <c r="Z36" s="80">
        <v>0.0</v>
      </c>
      <c r="AA36" s="140">
        <v>0.0</v>
      </c>
      <c r="AB36" s="109">
        <v>0.0</v>
      </c>
      <c r="AC36" s="109">
        <v>0.0</v>
      </c>
      <c r="AD36" s="141">
        <v>0.0</v>
      </c>
      <c r="AE36" s="80">
        <v>0.0</v>
      </c>
      <c r="AF36" s="140">
        <v>14.0</v>
      </c>
      <c r="AG36" s="109">
        <v>15.0</v>
      </c>
      <c r="AH36" s="109">
        <v>0.0</v>
      </c>
      <c r="AI36" s="141">
        <v>0.0</v>
      </c>
      <c r="AJ36" s="80">
        <v>29.0</v>
      </c>
      <c r="AK36" s="140">
        <v>0.0</v>
      </c>
      <c r="AL36" s="109">
        <v>0.0</v>
      </c>
      <c r="AM36" s="141">
        <v>0.0</v>
      </c>
      <c r="AN36" s="80">
        <v>0.0</v>
      </c>
      <c r="AO36" s="140">
        <v>0.0</v>
      </c>
      <c r="AP36" s="109">
        <v>0.0</v>
      </c>
      <c r="AQ36" s="109">
        <v>0.0</v>
      </c>
      <c r="AR36" s="80">
        <v>0.0</v>
      </c>
      <c r="AS36" s="110">
        <v>0.0</v>
      </c>
      <c r="AT36" s="110">
        <v>0.0</v>
      </c>
      <c r="AU36" s="110">
        <v>0.0</v>
      </c>
      <c r="AV36" s="142">
        <v>0.0</v>
      </c>
      <c r="AW36" s="80">
        <v>0.0</v>
      </c>
      <c r="AX36" s="113">
        <v>29.0</v>
      </c>
      <c r="AY36" s="117">
        <v>29.0</v>
      </c>
      <c r="AZ36" s="328">
        <v>0.0</v>
      </c>
      <c r="BA36" s="315">
        <v>0.0</v>
      </c>
      <c r="BB36" s="316">
        <v>29.0</v>
      </c>
      <c r="BC36" s="132" t="s">
        <v>178</v>
      </c>
      <c r="BD36" s="143" t="s">
        <v>227</v>
      </c>
      <c r="BE36" s="132" t="s">
        <v>64</v>
      </c>
      <c r="BF36" s="123"/>
      <c r="BG36" s="83">
        <v>1178799.0</v>
      </c>
      <c r="BH36" s="112">
        <v>3.0</v>
      </c>
      <c r="BI36" s="98" t="s">
        <v>155</v>
      </c>
      <c r="BJ36" s="98" t="str">
        <f t="shared" si="1"/>
        <v>NÃO</v>
      </c>
      <c r="BK36" s="98" t="str">
        <f t="shared" si="2"/>
        <v>NÃO</v>
      </c>
    </row>
    <row r="37" ht="15.75" customHeight="1">
      <c r="A37" s="111" t="s">
        <v>130</v>
      </c>
      <c r="B37" s="83" t="s">
        <v>296</v>
      </c>
      <c r="C37" s="83" t="s">
        <v>164</v>
      </c>
      <c r="D37" s="83">
        <v>1179281.0</v>
      </c>
      <c r="E37" s="83">
        <v>1178956.0</v>
      </c>
      <c r="F37" s="83"/>
      <c r="G37" s="114" t="s">
        <v>311</v>
      </c>
      <c r="H37" s="91" t="s">
        <v>312</v>
      </c>
      <c r="I37" s="187" t="s">
        <v>149</v>
      </c>
      <c r="J37" s="83" t="s">
        <v>240</v>
      </c>
      <c r="K37" s="83" t="s">
        <v>168</v>
      </c>
      <c r="L37" s="83" t="s">
        <v>169</v>
      </c>
      <c r="M37" s="82" t="s">
        <v>2649</v>
      </c>
      <c r="N37" s="82" t="s">
        <v>2650</v>
      </c>
      <c r="O37" s="82" t="s">
        <v>2651</v>
      </c>
      <c r="P37" s="82" t="s">
        <v>2652</v>
      </c>
      <c r="Q37" s="82"/>
      <c r="R37" s="82"/>
      <c r="S37" s="82" t="s">
        <v>2653</v>
      </c>
      <c r="T37" s="138">
        <v>1.0</v>
      </c>
      <c r="U37" s="331">
        <v>3.0</v>
      </c>
      <c r="V37" s="106">
        <v>0.0</v>
      </c>
      <c r="W37" s="107">
        <v>0.0</v>
      </c>
      <c r="X37" s="107">
        <v>0.0</v>
      </c>
      <c r="Y37" s="107">
        <v>0.0</v>
      </c>
      <c r="Z37" s="80">
        <v>0.0</v>
      </c>
      <c r="AA37" s="140">
        <v>0.0</v>
      </c>
      <c r="AB37" s="109">
        <v>0.0</v>
      </c>
      <c r="AC37" s="109">
        <v>0.0</v>
      </c>
      <c r="AD37" s="141">
        <v>0.0</v>
      </c>
      <c r="AE37" s="80">
        <v>0.0</v>
      </c>
      <c r="AF37" s="140">
        <v>17.0</v>
      </c>
      <c r="AG37" s="109">
        <v>24.0</v>
      </c>
      <c r="AH37" s="109">
        <v>13.0</v>
      </c>
      <c r="AI37" s="141">
        <v>0.0</v>
      </c>
      <c r="AJ37" s="80">
        <v>54.0</v>
      </c>
      <c r="AK37" s="140">
        <v>0.0</v>
      </c>
      <c r="AL37" s="109">
        <v>0.0</v>
      </c>
      <c r="AM37" s="141">
        <v>0.0</v>
      </c>
      <c r="AN37" s="80">
        <v>0.0</v>
      </c>
      <c r="AO37" s="140">
        <v>0.0</v>
      </c>
      <c r="AP37" s="109">
        <v>0.0</v>
      </c>
      <c r="AQ37" s="109">
        <v>0.0</v>
      </c>
      <c r="AR37" s="80">
        <v>0.0</v>
      </c>
      <c r="AS37" s="110">
        <v>0.0</v>
      </c>
      <c r="AT37" s="110">
        <v>0.0</v>
      </c>
      <c r="AU37" s="110">
        <v>0.0</v>
      </c>
      <c r="AV37" s="142">
        <v>0.0</v>
      </c>
      <c r="AW37" s="80">
        <v>0.0</v>
      </c>
      <c r="AX37" s="113">
        <v>54.0</v>
      </c>
      <c r="AY37" s="117">
        <v>41.0</v>
      </c>
      <c r="AZ37" s="328">
        <v>13.0</v>
      </c>
      <c r="BA37" s="315">
        <v>0.0</v>
      </c>
      <c r="BB37" s="316">
        <v>54.0</v>
      </c>
      <c r="BC37" s="132" t="s">
        <v>265</v>
      </c>
      <c r="BD37" s="183" t="s">
        <v>227</v>
      </c>
      <c r="BE37" s="132" t="s">
        <v>178</v>
      </c>
      <c r="BF37" s="156"/>
      <c r="BG37" s="83">
        <v>1178956.0</v>
      </c>
      <c r="BH37" s="112">
        <v>3.0</v>
      </c>
      <c r="BI37" s="98" t="s">
        <v>155</v>
      </c>
      <c r="BJ37" s="98" t="str">
        <f t="shared" si="1"/>
        <v>NÃO</v>
      </c>
      <c r="BK37" s="98" t="str">
        <f t="shared" si="2"/>
        <v>NÃO</v>
      </c>
    </row>
    <row r="38" ht="15.75" customHeight="1">
      <c r="A38" s="111" t="s">
        <v>130</v>
      </c>
      <c r="B38" s="83" t="s">
        <v>296</v>
      </c>
      <c r="C38" s="83" t="s">
        <v>164</v>
      </c>
      <c r="D38" s="83">
        <v>1179281.0</v>
      </c>
      <c r="E38" s="83">
        <v>1179161.0</v>
      </c>
      <c r="F38" s="83"/>
      <c r="G38" s="114" t="s">
        <v>313</v>
      </c>
      <c r="H38" s="91" t="s">
        <v>314</v>
      </c>
      <c r="I38" s="187" t="s">
        <v>149</v>
      </c>
      <c r="J38" s="83" t="s">
        <v>315</v>
      </c>
      <c r="K38" s="83" t="s">
        <v>168</v>
      </c>
      <c r="L38" s="83" t="s">
        <v>169</v>
      </c>
      <c r="M38" s="82" t="s">
        <v>2649</v>
      </c>
      <c r="N38" s="82" t="s">
        <v>2650</v>
      </c>
      <c r="O38" s="82" t="s">
        <v>2651</v>
      </c>
      <c r="P38" s="82" t="s">
        <v>2652</v>
      </c>
      <c r="Q38" s="82"/>
      <c r="R38" s="82"/>
      <c r="S38" s="82" t="s">
        <v>2653</v>
      </c>
      <c r="T38" s="138">
        <v>1.0</v>
      </c>
      <c r="U38" s="331">
        <v>3.0</v>
      </c>
      <c r="V38" s="106">
        <v>0.0</v>
      </c>
      <c r="W38" s="107">
        <v>0.0</v>
      </c>
      <c r="X38" s="107">
        <v>0.0</v>
      </c>
      <c r="Y38" s="107">
        <v>0.0</v>
      </c>
      <c r="Z38" s="80">
        <v>0.0</v>
      </c>
      <c r="AA38" s="140">
        <v>0.0</v>
      </c>
      <c r="AB38" s="109">
        <v>0.0</v>
      </c>
      <c r="AC38" s="109">
        <v>0.0</v>
      </c>
      <c r="AD38" s="141">
        <v>0.0</v>
      </c>
      <c r="AE38" s="80">
        <v>0.0</v>
      </c>
      <c r="AF38" s="140">
        <v>0.0</v>
      </c>
      <c r="AG38" s="109">
        <v>13.0</v>
      </c>
      <c r="AH38" s="109">
        <v>8.0</v>
      </c>
      <c r="AI38" s="141">
        <v>0.0</v>
      </c>
      <c r="AJ38" s="80">
        <v>21.0</v>
      </c>
      <c r="AK38" s="140">
        <v>0.0</v>
      </c>
      <c r="AL38" s="109">
        <v>0.0</v>
      </c>
      <c r="AM38" s="141">
        <v>0.0</v>
      </c>
      <c r="AN38" s="80">
        <v>0.0</v>
      </c>
      <c r="AO38" s="140">
        <v>0.0</v>
      </c>
      <c r="AP38" s="109">
        <v>0.0</v>
      </c>
      <c r="AQ38" s="109">
        <v>0.0</v>
      </c>
      <c r="AR38" s="80">
        <v>0.0</v>
      </c>
      <c r="AS38" s="110">
        <v>0.0</v>
      </c>
      <c r="AT38" s="110">
        <v>0.0</v>
      </c>
      <c r="AU38" s="110">
        <v>0.0</v>
      </c>
      <c r="AV38" s="142">
        <v>0.0</v>
      </c>
      <c r="AW38" s="80">
        <v>0.0</v>
      </c>
      <c r="AX38" s="113">
        <v>21.0</v>
      </c>
      <c r="AY38" s="117">
        <v>13.0</v>
      </c>
      <c r="AZ38" s="328">
        <v>8.0</v>
      </c>
      <c r="BA38" s="315">
        <v>0.0</v>
      </c>
      <c r="BB38" s="316">
        <v>21.0</v>
      </c>
      <c r="BC38" s="132" t="s">
        <v>178</v>
      </c>
      <c r="BD38" s="143" t="s">
        <v>227</v>
      </c>
      <c r="BE38" s="132" t="s">
        <v>64</v>
      </c>
      <c r="BF38" s="123"/>
      <c r="BG38" s="83">
        <v>1179161.0</v>
      </c>
      <c r="BH38" s="112">
        <v>3.0</v>
      </c>
      <c r="BI38" s="98" t="s">
        <v>155</v>
      </c>
      <c r="BJ38" s="98" t="str">
        <f t="shared" si="1"/>
        <v>NÃO</v>
      </c>
      <c r="BK38" s="98" t="str">
        <f t="shared" si="2"/>
        <v>NÃO</v>
      </c>
    </row>
    <row r="39" ht="15.75" customHeight="1">
      <c r="A39" s="111" t="s">
        <v>130</v>
      </c>
      <c r="B39" s="83" t="s">
        <v>296</v>
      </c>
      <c r="C39" s="83" t="s">
        <v>164</v>
      </c>
      <c r="D39" s="83">
        <v>1179281.0</v>
      </c>
      <c r="E39" s="83">
        <v>1179146.0</v>
      </c>
      <c r="F39" s="83"/>
      <c r="G39" s="114" t="s">
        <v>316</v>
      </c>
      <c r="H39" s="91" t="s">
        <v>317</v>
      </c>
      <c r="I39" s="187" t="s">
        <v>149</v>
      </c>
      <c r="J39" s="83" t="s">
        <v>318</v>
      </c>
      <c r="K39" s="83" t="s">
        <v>168</v>
      </c>
      <c r="L39" s="83" t="s">
        <v>169</v>
      </c>
      <c r="M39" s="82" t="s">
        <v>2649</v>
      </c>
      <c r="N39" s="82" t="s">
        <v>2650</v>
      </c>
      <c r="O39" s="82" t="s">
        <v>2651</v>
      </c>
      <c r="P39" s="82" t="s">
        <v>2652</v>
      </c>
      <c r="Q39" s="82"/>
      <c r="R39" s="82"/>
      <c r="S39" s="82" t="s">
        <v>2653</v>
      </c>
      <c r="T39" s="138">
        <v>1.0</v>
      </c>
      <c r="U39" s="331">
        <v>2.0</v>
      </c>
      <c r="V39" s="106">
        <v>0.0</v>
      </c>
      <c r="W39" s="107">
        <v>0.0</v>
      </c>
      <c r="X39" s="107">
        <v>0.0</v>
      </c>
      <c r="Y39" s="107">
        <v>0.0</v>
      </c>
      <c r="Z39" s="80">
        <v>0.0</v>
      </c>
      <c r="AA39" s="140">
        <v>0.0</v>
      </c>
      <c r="AB39" s="109">
        <v>0.0</v>
      </c>
      <c r="AC39" s="109">
        <v>0.0</v>
      </c>
      <c r="AD39" s="141">
        <v>0.0</v>
      </c>
      <c r="AE39" s="80">
        <v>0.0</v>
      </c>
      <c r="AF39" s="140">
        <v>0.0</v>
      </c>
      <c r="AG39" s="109">
        <v>7.0</v>
      </c>
      <c r="AH39" s="109">
        <v>3.0</v>
      </c>
      <c r="AI39" s="141">
        <v>0.0</v>
      </c>
      <c r="AJ39" s="80">
        <v>10.0</v>
      </c>
      <c r="AK39" s="140">
        <v>0.0</v>
      </c>
      <c r="AL39" s="109">
        <v>0.0</v>
      </c>
      <c r="AM39" s="141">
        <v>0.0</v>
      </c>
      <c r="AN39" s="80">
        <v>0.0</v>
      </c>
      <c r="AO39" s="140">
        <v>0.0</v>
      </c>
      <c r="AP39" s="109">
        <v>0.0</v>
      </c>
      <c r="AQ39" s="109">
        <v>0.0</v>
      </c>
      <c r="AR39" s="80">
        <v>0.0</v>
      </c>
      <c r="AS39" s="110">
        <v>0.0</v>
      </c>
      <c r="AT39" s="110">
        <v>0.0</v>
      </c>
      <c r="AU39" s="110">
        <v>0.0</v>
      </c>
      <c r="AV39" s="142">
        <v>0.0</v>
      </c>
      <c r="AW39" s="80">
        <v>0.0</v>
      </c>
      <c r="AX39" s="113">
        <v>10.0</v>
      </c>
      <c r="AY39" s="117">
        <v>7.0</v>
      </c>
      <c r="AZ39" s="328">
        <v>3.0</v>
      </c>
      <c r="BA39" s="315">
        <v>0.0</v>
      </c>
      <c r="BB39" s="316">
        <v>10.0</v>
      </c>
      <c r="BC39" s="132" t="s">
        <v>631</v>
      </c>
      <c r="BD39" s="143" t="s">
        <v>227</v>
      </c>
      <c r="BE39" s="132" t="s">
        <v>178</v>
      </c>
      <c r="BF39" s="156" t="s">
        <v>632</v>
      </c>
      <c r="BG39" s="83">
        <v>1179146.0</v>
      </c>
      <c r="BH39" s="112">
        <v>2.0</v>
      </c>
      <c r="BI39" s="98" t="s">
        <v>155</v>
      </c>
      <c r="BJ39" s="98" t="str">
        <f t="shared" si="1"/>
        <v>NÃO</v>
      </c>
      <c r="BK39" s="98" t="str">
        <f t="shared" si="2"/>
        <v>NÃO</v>
      </c>
    </row>
    <row r="40" ht="15.75" customHeight="1">
      <c r="A40" s="111" t="s">
        <v>130</v>
      </c>
      <c r="B40" s="83" t="s">
        <v>319</v>
      </c>
      <c r="C40" s="83" t="s">
        <v>68</v>
      </c>
      <c r="D40" s="83">
        <v>1162502.0</v>
      </c>
      <c r="E40" s="83"/>
      <c r="F40" s="83">
        <v>2.9064392E7</v>
      </c>
      <c r="G40" s="119" t="s">
        <v>320</v>
      </c>
      <c r="H40" s="91" t="s">
        <v>321</v>
      </c>
      <c r="I40" s="114" t="s">
        <v>149</v>
      </c>
      <c r="J40" s="83" t="s">
        <v>150</v>
      </c>
      <c r="K40" s="83" t="s">
        <v>151</v>
      </c>
      <c r="L40" s="83" t="s">
        <v>152</v>
      </c>
      <c r="M40" s="82" t="s">
        <v>2912</v>
      </c>
      <c r="N40" s="82" t="s">
        <v>2914</v>
      </c>
      <c r="O40" s="82" t="s">
        <v>2916</v>
      </c>
      <c r="P40" s="82" t="s">
        <v>2917</v>
      </c>
      <c r="Q40" s="82" t="s">
        <v>2918</v>
      </c>
      <c r="R40" s="82" t="s">
        <v>2920</v>
      </c>
      <c r="S40" s="82" t="s">
        <v>2921</v>
      </c>
      <c r="T40" s="138">
        <v>9.0</v>
      </c>
      <c r="U40" s="323">
        <v>8.0</v>
      </c>
      <c r="V40" s="106">
        <v>0.0</v>
      </c>
      <c r="W40" s="107">
        <v>0.0</v>
      </c>
      <c r="X40" s="107">
        <v>0.0</v>
      </c>
      <c r="Y40" s="107">
        <v>0.0</v>
      </c>
      <c r="Z40" s="80">
        <v>0.0</v>
      </c>
      <c r="AA40" s="140">
        <v>0.0</v>
      </c>
      <c r="AB40" s="109">
        <v>0.0</v>
      </c>
      <c r="AC40" s="109">
        <v>0.0</v>
      </c>
      <c r="AD40" s="141">
        <v>0.0</v>
      </c>
      <c r="AE40" s="80">
        <v>0.0</v>
      </c>
      <c r="AF40" s="140">
        <v>367.0</v>
      </c>
      <c r="AG40" s="109">
        <v>320.0</v>
      </c>
      <c r="AH40" s="109">
        <v>37.0</v>
      </c>
      <c r="AI40" s="141">
        <v>0.0</v>
      </c>
      <c r="AJ40" s="80">
        <v>724.0</v>
      </c>
      <c r="AK40" s="140">
        <v>0.0</v>
      </c>
      <c r="AL40" s="109">
        <v>0.0</v>
      </c>
      <c r="AM40" s="141">
        <v>0.0</v>
      </c>
      <c r="AN40" s="80">
        <v>0.0</v>
      </c>
      <c r="AO40" s="140">
        <v>0.0</v>
      </c>
      <c r="AP40" s="109">
        <v>0.0</v>
      </c>
      <c r="AQ40" s="109">
        <v>121.0</v>
      </c>
      <c r="AR40" s="80">
        <v>121.0</v>
      </c>
      <c r="AS40" s="110">
        <v>0.0</v>
      </c>
      <c r="AT40" s="110">
        <v>0.0</v>
      </c>
      <c r="AU40" s="110">
        <v>0.0</v>
      </c>
      <c r="AV40" s="142">
        <v>0.0</v>
      </c>
      <c r="AW40" s="80">
        <v>0.0</v>
      </c>
      <c r="AX40" s="113">
        <v>845.0</v>
      </c>
      <c r="AY40" s="117">
        <v>687.0</v>
      </c>
      <c r="AZ40" s="328">
        <v>158.0</v>
      </c>
      <c r="BA40" s="315">
        <v>21.0</v>
      </c>
      <c r="BB40" s="316">
        <v>866.0</v>
      </c>
      <c r="BC40" s="132" t="s">
        <v>178</v>
      </c>
      <c r="BD40" s="132" t="s">
        <v>178</v>
      </c>
      <c r="BE40" s="132" t="s">
        <v>178</v>
      </c>
      <c r="BF40" s="156"/>
      <c r="BG40" s="83">
        <v>1162502.0</v>
      </c>
      <c r="BH40" s="112">
        <v>8.0</v>
      </c>
      <c r="BI40" s="98" t="s">
        <v>155</v>
      </c>
      <c r="BJ40" s="98" t="str">
        <f t="shared" si="1"/>
        <v>NÃO</v>
      </c>
      <c r="BK40" s="98" t="str">
        <f t="shared" si="2"/>
        <v>NÃO</v>
      </c>
    </row>
    <row r="41" ht="15.75" customHeight="1">
      <c r="A41" s="111" t="s">
        <v>130</v>
      </c>
      <c r="B41" s="83" t="s">
        <v>319</v>
      </c>
      <c r="C41" s="83" t="s">
        <v>164</v>
      </c>
      <c r="D41" s="83">
        <v>1179281.0</v>
      </c>
      <c r="E41" s="83">
        <v>1179345.0</v>
      </c>
      <c r="F41" s="83"/>
      <c r="G41" s="114" t="s">
        <v>324</v>
      </c>
      <c r="H41" s="91" t="s">
        <v>325</v>
      </c>
      <c r="I41" s="187" t="s">
        <v>326</v>
      </c>
      <c r="J41" s="83" t="s">
        <v>327</v>
      </c>
      <c r="K41" s="83" t="s">
        <v>168</v>
      </c>
      <c r="L41" s="83" t="s">
        <v>169</v>
      </c>
      <c r="M41" s="82" t="s">
        <v>2649</v>
      </c>
      <c r="N41" s="82" t="s">
        <v>2650</v>
      </c>
      <c r="O41" s="82" t="s">
        <v>2651</v>
      </c>
      <c r="P41" s="82" t="s">
        <v>2652</v>
      </c>
      <c r="Q41" s="82"/>
      <c r="R41" s="82"/>
      <c r="S41" s="82" t="s">
        <v>2653</v>
      </c>
      <c r="T41" s="138">
        <v>2.0</v>
      </c>
      <c r="U41" s="323">
        <v>2.0</v>
      </c>
      <c r="V41" s="106">
        <v>0.0</v>
      </c>
      <c r="W41" s="107">
        <v>0.0</v>
      </c>
      <c r="X41" s="107">
        <v>0.0</v>
      </c>
      <c r="Y41" s="107">
        <v>0.0</v>
      </c>
      <c r="Z41" s="80">
        <v>0.0</v>
      </c>
      <c r="AA41" s="140">
        <v>0.0</v>
      </c>
      <c r="AB41" s="109">
        <v>0.0</v>
      </c>
      <c r="AC41" s="109">
        <v>0.0</v>
      </c>
      <c r="AD41" s="141">
        <v>0.0</v>
      </c>
      <c r="AE41" s="80">
        <v>0.0</v>
      </c>
      <c r="AF41" s="140">
        <v>1.0</v>
      </c>
      <c r="AG41" s="109">
        <v>0.0</v>
      </c>
      <c r="AH41" s="109">
        <v>35.0</v>
      </c>
      <c r="AI41" s="141">
        <v>0.0</v>
      </c>
      <c r="AJ41" s="80">
        <v>36.0</v>
      </c>
      <c r="AK41" s="140">
        <v>0.0</v>
      </c>
      <c r="AL41" s="109">
        <v>0.0</v>
      </c>
      <c r="AM41" s="141">
        <v>0.0</v>
      </c>
      <c r="AN41" s="80">
        <v>0.0</v>
      </c>
      <c r="AO41" s="140">
        <v>0.0</v>
      </c>
      <c r="AP41" s="109">
        <v>0.0</v>
      </c>
      <c r="AQ41" s="109">
        <v>0.0</v>
      </c>
      <c r="AR41" s="80">
        <v>0.0</v>
      </c>
      <c r="AS41" s="110">
        <v>0.0</v>
      </c>
      <c r="AT41" s="110">
        <v>0.0</v>
      </c>
      <c r="AU41" s="110">
        <v>0.0</v>
      </c>
      <c r="AV41" s="142">
        <v>0.0</v>
      </c>
      <c r="AW41" s="80">
        <v>0.0</v>
      </c>
      <c r="AX41" s="113">
        <v>36.0</v>
      </c>
      <c r="AY41" s="117">
        <v>1.0</v>
      </c>
      <c r="AZ41" s="328">
        <v>35.0</v>
      </c>
      <c r="BA41" s="315">
        <v>0.0</v>
      </c>
      <c r="BB41" s="316">
        <v>36.0</v>
      </c>
      <c r="BC41" s="132" t="s">
        <v>178</v>
      </c>
      <c r="BD41" s="143" t="s">
        <v>227</v>
      </c>
      <c r="BE41" s="132" t="s">
        <v>64</v>
      </c>
      <c r="BF41" s="156"/>
      <c r="BG41" s="83">
        <v>1179345.0</v>
      </c>
      <c r="BH41" s="112">
        <v>2.0</v>
      </c>
      <c r="BI41" s="98" t="s">
        <v>155</v>
      </c>
      <c r="BJ41" s="98" t="str">
        <f t="shared" si="1"/>
        <v>NÃO</v>
      </c>
      <c r="BK41" s="98" t="str">
        <f t="shared" si="2"/>
        <v>NÃO</v>
      </c>
    </row>
    <row r="42" ht="15.75" customHeight="1">
      <c r="A42" s="111" t="s">
        <v>130</v>
      </c>
      <c r="B42" s="83" t="s">
        <v>319</v>
      </c>
      <c r="C42" s="83" t="s">
        <v>164</v>
      </c>
      <c r="D42" s="83">
        <v>1179281.0</v>
      </c>
      <c r="E42" s="83">
        <v>1178802.0</v>
      </c>
      <c r="F42" s="83"/>
      <c r="G42" s="114" t="s">
        <v>328</v>
      </c>
      <c r="H42" s="91" t="s">
        <v>329</v>
      </c>
      <c r="I42" s="187" t="s">
        <v>149</v>
      </c>
      <c r="J42" s="83" t="s">
        <v>331</v>
      </c>
      <c r="K42" s="83" t="s">
        <v>168</v>
      </c>
      <c r="L42" s="83" t="s">
        <v>169</v>
      </c>
      <c r="M42" s="82" t="s">
        <v>2649</v>
      </c>
      <c r="N42" s="82" t="s">
        <v>2650</v>
      </c>
      <c r="O42" s="82" t="s">
        <v>2651</v>
      </c>
      <c r="P42" s="82" t="s">
        <v>2652</v>
      </c>
      <c r="Q42" s="82"/>
      <c r="R42" s="82"/>
      <c r="S42" s="82" t="s">
        <v>2653</v>
      </c>
      <c r="T42" s="138">
        <v>3.0</v>
      </c>
      <c r="U42" s="323">
        <v>3.0</v>
      </c>
      <c r="V42" s="106">
        <v>0.0</v>
      </c>
      <c r="W42" s="107">
        <v>0.0</v>
      </c>
      <c r="X42" s="107">
        <v>0.0</v>
      </c>
      <c r="Y42" s="107">
        <v>0.0</v>
      </c>
      <c r="Z42" s="80">
        <v>0.0</v>
      </c>
      <c r="AA42" s="140">
        <v>0.0</v>
      </c>
      <c r="AB42" s="109">
        <v>0.0</v>
      </c>
      <c r="AC42" s="109">
        <v>0.0</v>
      </c>
      <c r="AD42" s="141">
        <v>0.0</v>
      </c>
      <c r="AE42" s="80">
        <v>0.0</v>
      </c>
      <c r="AF42" s="140">
        <v>0.0</v>
      </c>
      <c r="AG42" s="109">
        <v>0.0</v>
      </c>
      <c r="AH42" s="109">
        <v>30.0</v>
      </c>
      <c r="AI42" s="141">
        <v>0.0</v>
      </c>
      <c r="AJ42" s="80">
        <v>30.0</v>
      </c>
      <c r="AK42" s="140">
        <v>0.0</v>
      </c>
      <c r="AL42" s="109">
        <v>0.0</v>
      </c>
      <c r="AM42" s="141">
        <v>0.0</v>
      </c>
      <c r="AN42" s="80">
        <v>0.0</v>
      </c>
      <c r="AO42" s="140">
        <v>0.0</v>
      </c>
      <c r="AP42" s="109">
        <v>0.0</v>
      </c>
      <c r="AQ42" s="109">
        <v>0.0</v>
      </c>
      <c r="AR42" s="80">
        <v>0.0</v>
      </c>
      <c r="AS42" s="110">
        <v>0.0</v>
      </c>
      <c r="AT42" s="110">
        <v>0.0</v>
      </c>
      <c r="AU42" s="110">
        <v>0.0</v>
      </c>
      <c r="AV42" s="142">
        <v>0.0</v>
      </c>
      <c r="AW42" s="80">
        <v>0.0</v>
      </c>
      <c r="AX42" s="113">
        <v>30.0</v>
      </c>
      <c r="AY42" s="117">
        <v>0.0</v>
      </c>
      <c r="AZ42" s="328">
        <v>30.0</v>
      </c>
      <c r="BA42" s="315">
        <v>0.0</v>
      </c>
      <c r="BB42" s="316">
        <v>30.0</v>
      </c>
      <c r="BC42" s="132" t="s">
        <v>178</v>
      </c>
      <c r="BD42" s="143" t="s">
        <v>227</v>
      </c>
      <c r="BE42" s="132" t="s">
        <v>64</v>
      </c>
      <c r="BF42" s="123"/>
      <c r="BG42" s="83">
        <v>1178802.0</v>
      </c>
      <c r="BH42" s="112">
        <v>3.0</v>
      </c>
      <c r="BI42" s="98" t="s">
        <v>155</v>
      </c>
      <c r="BJ42" s="98" t="str">
        <f t="shared" si="1"/>
        <v>NÃO</v>
      </c>
      <c r="BK42" s="98" t="str">
        <f t="shared" si="2"/>
        <v>NÃO</v>
      </c>
    </row>
    <row r="43" ht="15.75" customHeight="1">
      <c r="A43" s="111" t="s">
        <v>130</v>
      </c>
      <c r="B43" s="83" t="s">
        <v>319</v>
      </c>
      <c r="C43" s="83" t="s">
        <v>164</v>
      </c>
      <c r="D43" s="83">
        <v>1179281.0</v>
      </c>
      <c r="E43" s="83">
        <v>1178801.0</v>
      </c>
      <c r="F43" s="83"/>
      <c r="G43" s="114" t="s">
        <v>332</v>
      </c>
      <c r="H43" s="91" t="s">
        <v>333</v>
      </c>
      <c r="I43" s="187" t="s">
        <v>149</v>
      </c>
      <c r="J43" s="83" t="s">
        <v>334</v>
      </c>
      <c r="K43" s="83" t="s">
        <v>168</v>
      </c>
      <c r="L43" s="83" t="s">
        <v>169</v>
      </c>
      <c r="M43" s="82" t="s">
        <v>2649</v>
      </c>
      <c r="N43" s="82" t="s">
        <v>2650</v>
      </c>
      <c r="O43" s="82" t="s">
        <v>2651</v>
      </c>
      <c r="P43" s="82" t="s">
        <v>2652</v>
      </c>
      <c r="Q43" s="82"/>
      <c r="R43" s="82"/>
      <c r="S43" s="82" t="s">
        <v>2653</v>
      </c>
      <c r="T43" s="138">
        <v>3.0</v>
      </c>
      <c r="U43" s="323">
        <v>3.0</v>
      </c>
      <c r="V43" s="106">
        <v>0.0</v>
      </c>
      <c r="W43" s="107">
        <v>0.0</v>
      </c>
      <c r="X43" s="107">
        <v>0.0</v>
      </c>
      <c r="Y43" s="107">
        <v>0.0</v>
      </c>
      <c r="Z43" s="80">
        <v>0.0</v>
      </c>
      <c r="AA43" s="140">
        <v>0.0</v>
      </c>
      <c r="AB43" s="109">
        <v>0.0</v>
      </c>
      <c r="AC43" s="109">
        <v>0.0</v>
      </c>
      <c r="AD43" s="141">
        <v>0.0</v>
      </c>
      <c r="AE43" s="80">
        <v>0.0</v>
      </c>
      <c r="AF43" s="140">
        <v>0.0</v>
      </c>
      <c r="AG43" s="109">
        <v>0.0</v>
      </c>
      <c r="AH43" s="109">
        <v>38.0</v>
      </c>
      <c r="AI43" s="141">
        <v>0.0</v>
      </c>
      <c r="AJ43" s="80">
        <v>38.0</v>
      </c>
      <c r="AK43" s="140">
        <v>0.0</v>
      </c>
      <c r="AL43" s="109">
        <v>0.0</v>
      </c>
      <c r="AM43" s="141">
        <v>0.0</v>
      </c>
      <c r="AN43" s="80">
        <v>0.0</v>
      </c>
      <c r="AO43" s="140">
        <v>0.0</v>
      </c>
      <c r="AP43" s="109">
        <v>0.0</v>
      </c>
      <c r="AQ43" s="109">
        <v>0.0</v>
      </c>
      <c r="AR43" s="80">
        <v>0.0</v>
      </c>
      <c r="AS43" s="110">
        <v>0.0</v>
      </c>
      <c r="AT43" s="110">
        <v>0.0</v>
      </c>
      <c r="AU43" s="110">
        <v>0.0</v>
      </c>
      <c r="AV43" s="142">
        <v>0.0</v>
      </c>
      <c r="AW43" s="80">
        <v>0.0</v>
      </c>
      <c r="AX43" s="113">
        <v>38.0</v>
      </c>
      <c r="AY43" s="117">
        <v>0.0</v>
      </c>
      <c r="AZ43" s="328">
        <v>38.0</v>
      </c>
      <c r="BA43" s="315">
        <v>0.0</v>
      </c>
      <c r="BB43" s="316">
        <v>38.0</v>
      </c>
      <c r="BC43" s="132" t="s">
        <v>265</v>
      </c>
      <c r="BD43" s="183" t="s">
        <v>227</v>
      </c>
      <c r="BE43" s="132" t="s">
        <v>178</v>
      </c>
      <c r="BF43" s="123"/>
      <c r="BG43" s="83">
        <v>1178801.0</v>
      </c>
      <c r="BH43" s="112">
        <v>3.0</v>
      </c>
      <c r="BI43" s="98" t="s">
        <v>155</v>
      </c>
      <c r="BJ43" s="98" t="str">
        <f t="shared" si="1"/>
        <v>NÃO</v>
      </c>
      <c r="BK43" s="98" t="str">
        <f t="shared" si="2"/>
        <v>NÃO</v>
      </c>
    </row>
    <row r="44" ht="15.75" customHeight="1">
      <c r="A44" s="111" t="s">
        <v>130</v>
      </c>
      <c r="B44" s="83" t="s">
        <v>319</v>
      </c>
      <c r="C44" s="83" t="s">
        <v>164</v>
      </c>
      <c r="D44" s="83">
        <v>1179281.0</v>
      </c>
      <c r="E44" s="83">
        <v>1178800.0</v>
      </c>
      <c r="F44" s="83"/>
      <c r="G44" s="114" t="s">
        <v>335</v>
      </c>
      <c r="H44" s="91" t="s">
        <v>336</v>
      </c>
      <c r="I44" s="187" t="s">
        <v>149</v>
      </c>
      <c r="J44" s="83" t="s">
        <v>337</v>
      </c>
      <c r="K44" s="83" t="s">
        <v>151</v>
      </c>
      <c r="L44" s="83" t="s">
        <v>169</v>
      </c>
      <c r="M44" s="82" t="s">
        <v>2649</v>
      </c>
      <c r="N44" s="82" t="s">
        <v>2650</v>
      </c>
      <c r="O44" s="82" t="s">
        <v>2651</v>
      </c>
      <c r="P44" s="82" t="s">
        <v>2652</v>
      </c>
      <c r="Q44" s="82"/>
      <c r="R44" s="82"/>
      <c r="S44" s="82" t="s">
        <v>2653</v>
      </c>
      <c r="T44" s="138">
        <v>3.0</v>
      </c>
      <c r="U44" s="323">
        <v>3.0</v>
      </c>
      <c r="V44" s="106">
        <v>0.0</v>
      </c>
      <c r="W44" s="107">
        <v>0.0</v>
      </c>
      <c r="X44" s="107">
        <v>0.0</v>
      </c>
      <c r="Y44" s="107">
        <v>0.0</v>
      </c>
      <c r="Z44" s="80">
        <v>0.0</v>
      </c>
      <c r="AA44" s="140">
        <v>0.0</v>
      </c>
      <c r="AB44" s="109">
        <v>0.0</v>
      </c>
      <c r="AC44" s="109">
        <v>0.0</v>
      </c>
      <c r="AD44" s="141">
        <v>0.0</v>
      </c>
      <c r="AE44" s="80">
        <v>0.0</v>
      </c>
      <c r="AF44" s="140">
        <v>0.0</v>
      </c>
      <c r="AG44" s="109">
        <v>0.0</v>
      </c>
      <c r="AH44" s="109">
        <v>26.0</v>
      </c>
      <c r="AI44" s="141">
        <v>0.0</v>
      </c>
      <c r="AJ44" s="80">
        <v>26.0</v>
      </c>
      <c r="AK44" s="140">
        <v>0.0</v>
      </c>
      <c r="AL44" s="109">
        <v>0.0</v>
      </c>
      <c r="AM44" s="141">
        <v>0.0</v>
      </c>
      <c r="AN44" s="80">
        <v>0.0</v>
      </c>
      <c r="AO44" s="140">
        <v>0.0</v>
      </c>
      <c r="AP44" s="109">
        <v>0.0</v>
      </c>
      <c r="AQ44" s="109">
        <v>0.0</v>
      </c>
      <c r="AR44" s="80">
        <v>0.0</v>
      </c>
      <c r="AS44" s="110">
        <v>0.0</v>
      </c>
      <c r="AT44" s="110">
        <v>0.0</v>
      </c>
      <c r="AU44" s="110">
        <v>0.0</v>
      </c>
      <c r="AV44" s="142">
        <v>0.0</v>
      </c>
      <c r="AW44" s="80">
        <v>0.0</v>
      </c>
      <c r="AX44" s="113">
        <v>26.0</v>
      </c>
      <c r="AY44" s="117">
        <v>0.0</v>
      </c>
      <c r="AZ44" s="328">
        <v>26.0</v>
      </c>
      <c r="BA44" s="315">
        <v>0.0</v>
      </c>
      <c r="BB44" s="316">
        <v>26.0</v>
      </c>
      <c r="BC44" s="132" t="s">
        <v>178</v>
      </c>
      <c r="BD44" s="143" t="s">
        <v>227</v>
      </c>
      <c r="BE44" s="132" t="s">
        <v>64</v>
      </c>
      <c r="BF44" s="123"/>
      <c r="BG44" s="83">
        <v>1178800.0</v>
      </c>
      <c r="BH44" s="112">
        <v>3.0</v>
      </c>
      <c r="BI44" s="98" t="s">
        <v>155</v>
      </c>
      <c r="BJ44" s="98" t="str">
        <f t="shared" si="1"/>
        <v>NÃO</v>
      </c>
      <c r="BK44" s="98" t="str">
        <f t="shared" si="2"/>
        <v>NÃO</v>
      </c>
    </row>
    <row r="45" ht="15.75" customHeight="1">
      <c r="A45" s="111" t="s">
        <v>130</v>
      </c>
      <c r="B45" s="83" t="s">
        <v>339</v>
      </c>
      <c r="C45" s="83" t="s">
        <v>68</v>
      </c>
      <c r="D45" s="83">
        <v>1178040.0</v>
      </c>
      <c r="E45" s="83"/>
      <c r="F45" s="83">
        <v>2.9428726E7</v>
      </c>
      <c r="G45" s="114" t="s">
        <v>2934</v>
      </c>
      <c r="H45" s="91" t="s">
        <v>341</v>
      </c>
      <c r="I45" s="114" t="s">
        <v>149</v>
      </c>
      <c r="J45" s="83" t="s">
        <v>150</v>
      </c>
      <c r="K45" s="83" t="s">
        <v>151</v>
      </c>
      <c r="L45" s="83" t="s">
        <v>76</v>
      </c>
      <c r="M45" s="82" t="s">
        <v>2935</v>
      </c>
      <c r="N45" s="82" t="s">
        <v>2936</v>
      </c>
      <c r="O45" s="82" t="s">
        <v>2937</v>
      </c>
      <c r="P45" s="82" t="s">
        <v>2938</v>
      </c>
      <c r="Q45" s="82" t="s">
        <v>2939</v>
      </c>
      <c r="R45" s="82" t="s">
        <v>2940</v>
      </c>
      <c r="S45" s="82" t="s">
        <v>2941</v>
      </c>
      <c r="T45" s="138">
        <v>8.0</v>
      </c>
      <c r="U45" s="323">
        <v>8.0</v>
      </c>
      <c r="V45" s="106">
        <v>0.0</v>
      </c>
      <c r="W45" s="107">
        <v>0.0</v>
      </c>
      <c r="X45" s="107">
        <v>0.0</v>
      </c>
      <c r="Y45" s="107">
        <v>0.0</v>
      </c>
      <c r="Z45" s="80">
        <v>0.0</v>
      </c>
      <c r="AA45" s="140">
        <v>0.0</v>
      </c>
      <c r="AB45" s="109">
        <v>0.0</v>
      </c>
      <c r="AC45" s="109">
        <v>0.0</v>
      </c>
      <c r="AD45" s="141">
        <v>0.0</v>
      </c>
      <c r="AE45" s="80">
        <v>0.0</v>
      </c>
      <c r="AF45" s="140">
        <v>174.0</v>
      </c>
      <c r="AG45" s="109">
        <v>166.0</v>
      </c>
      <c r="AH45" s="109">
        <v>0.0</v>
      </c>
      <c r="AI45" s="141">
        <v>218.0</v>
      </c>
      <c r="AJ45" s="80">
        <v>558.0</v>
      </c>
      <c r="AK45" s="140">
        <v>0.0</v>
      </c>
      <c r="AL45" s="109">
        <v>0.0</v>
      </c>
      <c r="AM45" s="141">
        <v>0.0</v>
      </c>
      <c r="AN45" s="80">
        <v>0.0</v>
      </c>
      <c r="AO45" s="140">
        <v>0.0</v>
      </c>
      <c r="AP45" s="109">
        <v>0.0</v>
      </c>
      <c r="AQ45" s="109">
        <v>43.0</v>
      </c>
      <c r="AR45" s="80">
        <v>43.0</v>
      </c>
      <c r="AS45" s="110">
        <v>0.0</v>
      </c>
      <c r="AT45" s="110">
        <v>0.0</v>
      </c>
      <c r="AU45" s="110">
        <v>0.0</v>
      </c>
      <c r="AV45" s="142">
        <v>0.0</v>
      </c>
      <c r="AW45" s="80">
        <v>0.0</v>
      </c>
      <c r="AX45" s="113">
        <v>601.0</v>
      </c>
      <c r="AY45" s="117">
        <v>558.0</v>
      </c>
      <c r="AZ45" s="328">
        <v>43.0</v>
      </c>
      <c r="BA45" s="315">
        <v>0.0</v>
      </c>
      <c r="BB45" s="316">
        <v>601.0</v>
      </c>
      <c r="BC45" s="132" t="s">
        <v>178</v>
      </c>
      <c r="BD45" s="132" t="s">
        <v>178</v>
      </c>
      <c r="BE45" s="132" t="s">
        <v>178</v>
      </c>
      <c r="BF45" s="123"/>
      <c r="BG45" s="83">
        <v>1178040.0</v>
      </c>
      <c r="BH45" s="112">
        <v>8.0</v>
      </c>
      <c r="BI45" s="98" t="s">
        <v>155</v>
      </c>
      <c r="BJ45" s="98" t="str">
        <f t="shared" si="1"/>
        <v>INTEGRAL</v>
      </c>
      <c r="BK45" s="98" t="str">
        <f t="shared" si="2"/>
        <v>NÃO</v>
      </c>
    </row>
    <row r="46" ht="25.5" customHeight="1">
      <c r="A46" s="111" t="s">
        <v>130</v>
      </c>
      <c r="B46" s="83" t="s">
        <v>344</v>
      </c>
      <c r="C46" s="83" t="s">
        <v>68</v>
      </c>
      <c r="D46" s="83">
        <v>1178257.0</v>
      </c>
      <c r="E46" s="83"/>
      <c r="F46" s="83">
        <v>2.95362E7</v>
      </c>
      <c r="G46" s="187" t="s">
        <v>345</v>
      </c>
      <c r="H46" s="91" t="s">
        <v>346</v>
      </c>
      <c r="I46" s="114" t="s">
        <v>149</v>
      </c>
      <c r="J46" s="83" t="s">
        <v>327</v>
      </c>
      <c r="K46" s="83" t="s">
        <v>151</v>
      </c>
      <c r="L46" s="83" t="s">
        <v>169</v>
      </c>
      <c r="M46" s="82" t="s">
        <v>2946</v>
      </c>
      <c r="N46" s="82" t="s">
        <v>2947</v>
      </c>
      <c r="O46" s="82"/>
      <c r="P46" s="82"/>
      <c r="Q46" s="82"/>
      <c r="R46" s="82"/>
      <c r="S46" s="82" t="s">
        <v>2948</v>
      </c>
      <c r="T46" s="138">
        <v>8.0</v>
      </c>
      <c r="U46" s="331" t="s">
        <v>2949</v>
      </c>
      <c r="V46" s="106">
        <v>0.0</v>
      </c>
      <c r="W46" s="107">
        <v>0.0</v>
      </c>
      <c r="X46" s="107">
        <v>0.0</v>
      </c>
      <c r="Y46" s="107">
        <v>0.0</v>
      </c>
      <c r="Z46" s="80">
        <v>0.0</v>
      </c>
      <c r="AA46" s="140">
        <v>0.0</v>
      </c>
      <c r="AB46" s="109">
        <v>0.0</v>
      </c>
      <c r="AC46" s="109">
        <v>0.0</v>
      </c>
      <c r="AD46" s="141">
        <v>0.0</v>
      </c>
      <c r="AE46" s="80">
        <v>0.0</v>
      </c>
      <c r="AF46" s="140">
        <v>328.0</v>
      </c>
      <c r="AG46" s="109">
        <v>0.0</v>
      </c>
      <c r="AH46" s="109">
        <v>0.0</v>
      </c>
      <c r="AI46" s="141">
        <v>0.0</v>
      </c>
      <c r="AJ46" s="80">
        <v>328.0</v>
      </c>
      <c r="AK46" s="140">
        <v>0.0</v>
      </c>
      <c r="AL46" s="109">
        <v>0.0</v>
      </c>
      <c r="AM46" s="141">
        <v>0.0</v>
      </c>
      <c r="AN46" s="80">
        <v>0.0</v>
      </c>
      <c r="AO46" s="140">
        <v>0.0</v>
      </c>
      <c r="AP46" s="109">
        <v>0.0</v>
      </c>
      <c r="AQ46" s="109">
        <v>54.0</v>
      </c>
      <c r="AR46" s="80">
        <v>54.0</v>
      </c>
      <c r="AS46" s="110">
        <v>0.0</v>
      </c>
      <c r="AT46" s="110">
        <v>0.0</v>
      </c>
      <c r="AU46" s="110">
        <v>0.0</v>
      </c>
      <c r="AV46" s="142">
        <v>0.0</v>
      </c>
      <c r="AW46" s="80">
        <v>0.0</v>
      </c>
      <c r="AX46" s="113">
        <v>382.0</v>
      </c>
      <c r="AY46" s="117">
        <v>328.0</v>
      </c>
      <c r="AZ46" s="328">
        <v>54.0</v>
      </c>
      <c r="BA46" s="315">
        <v>0.0</v>
      </c>
      <c r="BB46" s="316">
        <v>382.0</v>
      </c>
      <c r="BC46" s="132" t="s">
        <v>373</v>
      </c>
      <c r="BD46" s="132" t="s">
        <v>178</v>
      </c>
      <c r="BE46" s="132" t="s">
        <v>178</v>
      </c>
      <c r="BF46" s="123"/>
      <c r="BG46" s="83">
        <v>1178257.0</v>
      </c>
      <c r="BH46" s="112">
        <v>8.0</v>
      </c>
      <c r="BI46" s="98" t="s">
        <v>155</v>
      </c>
      <c r="BJ46" s="98" t="str">
        <f t="shared" si="1"/>
        <v>NÃO</v>
      </c>
      <c r="BK46" s="98" t="str">
        <f t="shared" si="2"/>
        <v>NÃO</v>
      </c>
    </row>
    <row r="47" ht="15.75" customHeight="1">
      <c r="A47" s="111" t="s">
        <v>130</v>
      </c>
      <c r="B47" s="83" t="s">
        <v>344</v>
      </c>
      <c r="C47" s="83" t="s">
        <v>68</v>
      </c>
      <c r="D47" s="83">
        <v>1162480.0</v>
      </c>
      <c r="E47" s="83"/>
      <c r="F47" s="83">
        <v>2.9065356E7</v>
      </c>
      <c r="G47" s="153" t="s">
        <v>2950</v>
      </c>
      <c r="H47" s="91" t="s">
        <v>353</v>
      </c>
      <c r="I47" s="114" t="s">
        <v>149</v>
      </c>
      <c r="J47" s="83" t="s">
        <v>150</v>
      </c>
      <c r="K47" s="83" t="s">
        <v>151</v>
      </c>
      <c r="L47" s="83" t="s">
        <v>152</v>
      </c>
      <c r="M47" s="82" t="s">
        <v>2952</v>
      </c>
      <c r="N47" s="82" t="s">
        <v>2953</v>
      </c>
      <c r="O47" s="82" t="s">
        <v>2954</v>
      </c>
      <c r="P47" s="82" t="s">
        <v>2955</v>
      </c>
      <c r="Q47" s="82"/>
      <c r="R47" s="82"/>
      <c r="S47" s="82" t="s">
        <v>2956</v>
      </c>
      <c r="T47" s="138">
        <v>15.0</v>
      </c>
      <c r="U47" s="331">
        <v>24.0</v>
      </c>
      <c r="V47" s="106">
        <v>0.0</v>
      </c>
      <c r="W47" s="107">
        <v>0.0</v>
      </c>
      <c r="X47" s="107">
        <v>0.0</v>
      </c>
      <c r="Y47" s="107">
        <v>0.0</v>
      </c>
      <c r="Z47" s="80">
        <v>0.0</v>
      </c>
      <c r="AA47" s="140">
        <v>0.0</v>
      </c>
      <c r="AB47" s="109">
        <v>0.0</v>
      </c>
      <c r="AC47" s="109">
        <v>0.0</v>
      </c>
      <c r="AD47" s="141">
        <v>0.0</v>
      </c>
      <c r="AE47" s="80">
        <v>0.0</v>
      </c>
      <c r="AF47" s="140">
        <v>28.0</v>
      </c>
      <c r="AG47" s="109">
        <v>0.0</v>
      </c>
      <c r="AH47" s="109">
        <v>46.0</v>
      </c>
      <c r="AI47" s="141">
        <v>516.0</v>
      </c>
      <c r="AJ47" s="80">
        <v>590.0</v>
      </c>
      <c r="AK47" s="140">
        <v>0.0</v>
      </c>
      <c r="AL47" s="109">
        <v>0.0</v>
      </c>
      <c r="AM47" s="141">
        <v>0.0</v>
      </c>
      <c r="AN47" s="80">
        <v>0.0</v>
      </c>
      <c r="AO47" s="140">
        <v>0.0</v>
      </c>
      <c r="AP47" s="109">
        <v>0.0</v>
      </c>
      <c r="AQ47" s="109">
        <v>118.0</v>
      </c>
      <c r="AR47" s="80">
        <v>118.0</v>
      </c>
      <c r="AS47" s="110">
        <v>0.0</v>
      </c>
      <c r="AT47" s="110">
        <v>0.0</v>
      </c>
      <c r="AU47" s="110">
        <v>38.0</v>
      </c>
      <c r="AV47" s="142">
        <v>20.0</v>
      </c>
      <c r="AW47" s="80">
        <v>58.0</v>
      </c>
      <c r="AX47" s="113">
        <v>766.0</v>
      </c>
      <c r="AY47" s="117">
        <v>564.0</v>
      </c>
      <c r="AZ47" s="328">
        <v>202.0</v>
      </c>
      <c r="BA47" s="315">
        <v>0.0</v>
      </c>
      <c r="BB47" s="316">
        <v>766.0</v>
      </c>
      <c r="BC47" s="132" t="s">
        <v>178</v>
      </c>
      <c r="BD47" s="132" t="s">
        <v>178</v>
      </c>
      <c r="BE47" s="132" t="s">
        <v>178</v>
      </c>
      <c r="BF47" s="156"/>
      <c r="BG47" s="83">
        <v>1162480.0</v>
      </c>
      <c r="BH47" s="112">
        <v>24.0</v>
      </c>
      <c r="BI47" s="98" t="s">
        <v>162</v>
      </c>
      <c r="BJ47" s="98" t="str">
        <f t="shared" si="1"/>
        <v>INTEGRAL</v>
      </c>
      <c r="BK47" s="98" t="str">
        <f t="shared" si="2"/>
        <v>PROFISSIONAL</v>
      </c>
    </row>
    <row r="48" ht="15.75" customHeight="1">
      <c r="A48" s="111" t="s">
        <v>130</v>
      </c>
      <c r="B48" s="83" t="s">
        <v>356</v>
      </c>
      <c r="C48" s="83" t="s">
        <v>68</v>
      </c>
      <c r="D48" s="83">
        <v>1178146.0</v>
      </c>
      <c r="E48" s="83"/>
      <c r="F48" s="83">
        <v>2.94454E7</v>
      </c>
      <c r="G48" s="187" t="s">
        <v>2960</v>
      </c>
      <c r="H48" s="91" t="s">
        <v>358</v>
      </c>
      <c r="I48" s="114" t="s">
        <v>149</v>
      </c>
      <c r="J48" s="83" t="s">
        <v>150</v>
      </c>
      <c r="K48" s="83" t="s">
        <v>151</v>
      </c>
      <c r="L48" s="83" t="s">
        <v>76</v>
      </c>
      <c r="M48" s="194" t="s">
        <v>2962</v>
      </c>
      <c r="N48" s="82"/>
      <c r="O48" s="82" t="s">
        <v>2963</v>
      </c>
      <c r="P48" s="82" t="s">
        <v>2964</v>
      </c>
      <c r="Q48" s="82"/>
      <c r="R48" s="82"/>
      <c r="S48" s="82" t="s">
        <v>2965</v>
      </c>
      <c r="T48" s="138">
        <v>8.0</v>
      </c>
      <c r="U48" s="331" t="s">
        <v>2949</v>
      </c>
      <c r="V48" s="106">
        <v>0.0</v>
      </c>
      <c r="W48" s="107">
        <v>0.0</v>
      </c>
      <c r="X48" s="107">
        <v>0.0</v>
      </c>
      <c r="Y48" s="107">
        <v>0.0</v>
      </c>
      <c r="Z48" s="80">
        <v>0.0</v>
      </c>
      <c r="AA48" s="140">
        <v>0.0</v>
      </c>
      <c r="AB48" s="109">
        <v>0.0</v>
      </c>
      <c r="AC48" s="109">
        <v>0.0</v>
      </c>
      <c r="AD48" s="141">
        <v>0.0</v>
      </c>
      <c r="AE48" s="80">
        <v>0.0</v>
      </c>
      <c r="AF48" s="140">
        <v>145.0</v>
      </c>
      <c r="AG48" s="109">
        <v>246.0</v>
      </c>
      <c r="AH48" s="109">
        <v>0.0</v>
      </c>
      <c r="AI48" s="141">
        <v>0.0</v>
      </c>
      <c r="AJ48" s="80">
        <v>391.0</v>
      </c>
      <c r="AK48" s="140">
        <v>0.0</v>
      </c>
      <c r="AL48" s="109">
        <v>0.0</v>
      </c>
      <c r="AM48" s="141">
        <v>0.0</v>
      </c>
      <c r="AN48" s="80">
        <v>0.0</v>
      </c>
      <c r="AO48" s="140">
        <v>0.0</v>
      </c>
      <c r="AP48" s="109">
        <v>0.0</v>
      </c>
      <c r="AQ48" s="109">
        <v>54.0</v>
      </c>
      <c r="AR48" s="80">
        <v>54.0</v>
      </c>
      <c r="AS48" s="110">
        <v>84.0</v>
      </c>
      <c r="AT48" s="110">
        <v>0.0</v>
      </c>
      <c r="AU48" s="110">
        <v>0.0</v>
      </c>
      <c r="AV48" s="142">
        <v>0.0</v>
      </c>
      <c r="AW48" s="80">
        <v>84.0</v>
      </c>
      <c r="AX48" s="113">
        <v>529.0</v>
      </c>
      <c r="AY48" s="117">
        <v>475.0</v>
      </c>
      <c r="AZ48" s="328">
        <v>54.0</v>
      </c>
      <c r="BA48" s="315">
        <v>1.0</v>
      </c>
      <c r="BB48" s="316">
        <v>530.0</v>
      </c>
      <c r="BC48" s="132" t="s">
        <v>178</v>
      </c>
      <c r="BD48" s="132" t="s">
        <v>178</v>
      </c>
      <c r="BE48" s="132" t="s">
        <v>178</v>
      </c>
      <c r="BF48" s="123"/>
      <c r="BG48" s="83">
        <v>1178146.0</v>
      </c>
      <c r="BH48" s="112">
        <v>8.0</v>
      </c>
      <c r="BI48" s="98" t="s">
        <v>155</v>
      </c>
      <c r="BJ48" s="98" t="str">
        <f t="shared" si="1"/>
        <v>NÃO</v>
      </c>
      <c r="BK48" s="98" t="str">
        <f t="shared" si="2"/>
        <v>PROFISSIONAL</v>
      </c>
    </row>
    <row r="49" ht="15.75" customHeight="1">
      <c r="A49" s="111" t="s">
        <v>130</v>
      </c>
      <c r="B49" s="83" t="s">
        <v>356</v>
      </c>
      <c r="C49" s="83" t="s">
        <v>164</v>
      </c>
      <c r="D49" s="83">
        <v>1179281.0</v>
      </c>
      <c r="E49" s="83">
        <v>1178803.0</v>
      </c>
      <c r="F49" s="83"/>
      <c r="G49" s="114" t="s">
        <v>361</v>
      </c>
      <c r="H49" s="91" t="s">
        <v>362</v>
      </c>
      <c r="I49" s="187" t="s">
        <v>363</v>
      </c>
      <c r="J49" s="136" t="s">
        <v>187</v>
      </c>
      <c r="K49" s="136" t="s">
        <v>168</v>
      </c>
      <c r="L49" s="83" t="s">
        <v>169</v>
      </c>
      <c r="M49" s="82" t="s">
        <v>2649</v>
      </c>
      <c r="N49" s="82" t="s">
        <v>2650</v>
      </c>
      <c r="O49" s="82" t="s">
        <v>2651</v>
      </c>
      <c r="P49" s="82" t="s">
        <v>2652</v>
      </c>
      <c r="Q49" s="82"/>
      <c r="R49" s="82"/>
      <c r="S49" s="82" t="s">
        <v>2653</v>
      </c>
      <c r="T49" s="138">
        <v>3.0</v>
      </c>
      <c r="U49" s="323">
        <v>3.0</v>
      </c>
      <c r="V49" s="106">
        <v>0.0</v>
      </c>
      <c r="W49" s="107">
        <v>0.0</v>
      </c>
      <c r="X49" s="107">
        <v>0.0</v>
      </c>
      <c r="Y49" s="107">
        <v>0.0</v>
      </c>
      <c r="Z49" s="80">
        <v>0.0</v>
      </c>
      <c r="AA49" s="140">
        <v>0.0</v>
      </c>
      <c r="AB49" s="109">
        <v>0.0</v>
      </c>
      <c r="AC49" s="109">
        <v>0.0</v>
      </c>
      <c r="AD49" s="141">
        <v>0.0</v>
      </c>
      <c r="AE49" s="80">
        <v>0.0</v>
      </c>
      <c r="AF49" s="140">
        <v>0.0</v>
      </c>
      <c r="AG49" s="109">
        <v>0.0</v>
      </c>
      <c r="AH49" s="109">
        <v>53.0</v>
      </c>
      <c r="AI49" s="141">
        <v>0.0</v>
      </c>
      <c r="AJ49" s="80">
        <v>53.0</v>
      </c>
      <c r="AK49" s="140">
        <v>0.0</v>
      </c>
      <c r="AL49" s="109">
        <v>0.0</v>
      </c>
      <c r="AM49" s="141">
        <v>0.0</v>
      </c>
      <c r="AN49" s="80">
        <v>0.0</v>
      </c>
      <c r="AO49" s="140">
        <v>0.0</v>
      </c>
      <c r="AP49" s="109">
        <v>0.0</v>
      </c>
      <c r="AQ49" s="109">
        <v>0.0</v>
      </c>
      <c r="AR49" s="80">
        <v>0.0</v>
      </c>
      <c r="AS49" s="110">
        <v>0.0</v>
      </c>
      <c r="AT49" s="110">
        <v>0.0</v>
      </c>
      <c r="AU49" s="110">
        <v>0.0</v>
      </c>
      <c r="AV49" s="142">
        <v>0.0</v>
      </c>
      <c r="AW49" s="80">
        <v>0.0</v>
      </c>
      <c r="AX49" s="113">
        <v>53.0</v>
      </c>
      <c r="AY49" s="117">
        <v>0.0</v>
      </c>
      <c r="AZ49" s="328">
        <v>53.0</v>
      </c>
      <c r="BA49" s="315">
        <v>0.0</v>
      </c>
      <c r="BB49" s="316">
        <v>53.0</v>
      </c>
      <c r="BC49" s="132" t="s">
        <v>178</v>
      </c>
      <c r="BD49" s="143" t="s">
        <v>227</v>
      </c>
      <c r="BE49" s="132" t="s">
        <v>64</v>
      </c>
      <c r="BF49" s="123"/>
      <c r="BG49" s="83">
        <v>1178803.0</v>
      </c>
      <c r="BH49" s="112">
        <v>3.0</v>
      </c>
      <c r="BI49" s="98" t="s">
        <v>155</v>
      </c>
      <c r="BJ49" s="98" t="str">
        <f t="shared" si="1"/>
        <v>NÃO</v>
      </c>
      <c r="BK49" s="98" t="str">
        <f t="shared" si="2"/>
        <v>NÃO</v>
      </c>
    </row>
    <row r="50" ht="15.75" customHeight="1">
      <c r="A50" s="111" t="s">
        <v>130</v>
      </c>
      <c r="B50" s="83" t="s">
        <v>364</v>
      </c>
      <c r="C50" s="83" t="s">
        <v>68</v>
      </c>
      <c r="D50" s="83">
        <v>1127154.0</v>
      </c>
      <c r="E50" s="83"/>
      <c r="F50" s="83">
        <v>2.9066395E7</v>
      </c>
      <c r="G50" s="153" t="s">
        <v>366</v>
      </c>
      <c r="H50" s="187" t="s">
        <v>368</v>
      </c>
      <c r="I50" s="114" t="s">
        <v>149</v>
      </c>
      <c r="J50" s="83" t="s">
        <v>150</v>
      </c>
      <c r="K50" s="83" t="s">
        <v>151</v>
      </c>
      <c r="L50" s="83" t="s">
        <v>76</v>
      </c>
      <c r="M50" s="82" t="s">
        <v>2972</v>
      </c>
      <c r="N50" s="82" t="s">
        <v>2973</v>
      </c>
      <c r="O50" s="82" t="s">
        <v>2974</v>
      </c>
      <c r="P50" s="82" t="s">
        <v>2975</v>
      </c>
      <c r="Q50" s="82"/>
      <c r="R50" s="82"/>
      <c r="S50" s="82" t="s">
        <v>2976</v>
      </c>
      <c r="T50" s="138">
        <v>8.0</v>
      </c>
      <c r="U50" s="323">
        <v>10.0</v>
      </c>
      <c r="V50" s="106">
        <v>0.0</v>
      </c>
      <c r="W50" s="107">
        <v>0.0</v>
      </c>
      <c r="X50" s="107">
        <v>0.0</v>
      </c>
      <c r="Y50" s="107">
        <v>0.0</v>
      </c>
      <c r="Z50" s="80">
        <v>0.0</v>
      </c>
      <c r="AA50" s="140">
        <v>0.0</v>
      </c>
      <c r="AB50" s="109">
        <v>0.0</v>
      </c>
      <c r="AC50" s="109">
        <v>0.0</v>
      </c>
      <c r="AD50" s="141">
        <v>0.0</v>
      </c>
      <c r="AE50" s="80">
        <v>0.0</v>
      </c>
      <c r="AF50" s="140">
        <v>91.0</v>
      </c>
      <c r="AG50" s="109">
        <v>115.0</v>
      </c>
      <c r="AH50" s="109">
        <v>0.0</v>
      </c>
      <c r="AI50" s="141">
        <v>247.0</v>
      </c>
      <c r="AJ50" s="80">
        <v>453.0</v>
      </c>
      <c r="AK50" s="140">
        <v>0.0</v>
      </c>
      <c r="AL50" s="109">
        <v>0.0</v>
      </c>
      <c r="AM50" s="141">
        <v>0.0</v>
      </c>
      <c r="AN50" s="80">
        <v>0.0</v>
      </c>
      <c r="AO50" s="140">
        <v>0.0</v>
      </c>
      <c r="AP50" s="109">
        <v>0.0</v>
      </c>
      <c r="AQ50" s="109">
        <v>49.0</v>
      </c>
      <c r="AR50" s="80">
        <v>49.0</v>
      </c>
      <c r="AS50" s="110">
        <v>0.0</v>
      </c>
      <c r="AT50" s="110">
        <v>0.0</v>
      </c>
      <c r="AU50" s="110">
        <v>49.0</v>
      </c>
      <c r="AV50" s="142">
        <v>0.0</v>
      </c>
      <c r="AW50" s="80">
        <v>49.0</v>
      </c>
      <c r="AX50" s="113">
        <v>551.0</v>
      </c>
      <c r="AY50" s="117">
        <v>453.0</v>
      </c>
      <c r="AZ50" s="328">
        <v>98.0</v>
      </c>
      <c r="BA50" s="315">
        <v>0.0</v>
      </c>
      <c r="BB50" s="316">
        <v>551.0</v>
      </c>
      <c r="BC50" s="132" t="s">
        <v>178</v>
      </c>
      <c r="BD50" s="132" t="s">
        <v>178</v>
      </c>
      <c r="BE50" s="132" t="s">
        <v>178</v>
      </c>
      <c r="BF50" s="123"/>
      <c r="BG50" s="83">
        <v>1127154.0</v>
      </c>
      <c r="BH50" s="112">
        <v>10.0</v>
      </c>
      <c r="BI50" s="98" t="s">
        <v>162</v>
      </c>
      <c r="BJ50" s="98" t="str">
        <f t="shared" si="1"/>
        <v>INTEGRAL</v>
      </c>
      <c r="BK50" s="98" t="str">
        <f t="shared" si="2"/>
        <v>PROFISSIONAL</v>
      </c>
    </row>
    <row r="51" ht="15.75" customHeight="1">
      <c r="A51" s="111" t="s">
        <v>130</v>
      </c>
      <c r="B51" s="83" t="s">
        <v>375</v>
      </c>
      <c r="C51" s="83" t="s">
        <v>68</v>
      </c>
      <c r="D51" s="83">
        <v>1162618.0</v>
      </c>
      <c r="E51" s="83"/>
      <c r="F51" s="83">
        <v>2.9067332E7</v>
      </c>
      <c r="G51" s="187" t="s">
        <v>2980</v>
      </c>
      <c r="H51" s="91" t="s">
        <v>379</v>
      </c>
      <c r="I51" s="114" t="s">
        <v>149</v>
      </c>
      <c r="J51" s="83" t="s">
        <v>150</v>
      </c>
      <c r="K51" s="83" t="s">
        <v>151</v>
      </c>
      <c r="L51" s="83" t="s">
        <v>76</v>
      </c>
      <c r="M51" s="82" t="s">
        <v>2981</v>
      </c>
      <c r="N51" s="82" t="s">
        <v>2982</v>
      </c>
      <c r="O51" s="82" t="s">
        <v>2983</v>
      </c>
      <c r="P51" s="82" t="s">
        <v>2984</v>
      </c>
      <c r="Q51" s="82"/>
      <c r="R51" s="82"/>
      <c r="S51" s="82" t="s">
        <v>2985</v>
      </c>
      <c r="T51" s="138">
        <v>9.0</v>
      </c>
      <c r="U51" s="351" t="s">
        <v>2986</v>
      </c>
      <c r="V51" s="106">
        <v>0.0</v>
      </c>
      <c r="W51" s="107">
        <v>0.0</v>
      </c>
      <c r="X51" s="107">
        <v>0.0</v>
      </c>
      <c r="Y51" s="107">
        <v>0.0</v>
      </c>
      <c r="Z51" s="80">
        <v>0.0</v>
      </c>
      <c r="AA51" s="140">
        <v>0.0</v>
      </c>
      <c r="AB51" s="109">
        <v>0.0</v>
      </c>
      <c r="AC51" s="109">
        <v>0.0</v>
      </c>
      <c r="AD51" s="141">
        <v>0.0</v>
      </c>
      <c r="AE51" s="80">
        <v>0.0</v>
      </c>
      <c r="AF51" s="140">
        <v>115.0</v>
      </c>
      <c r="AG51" s="109">
        <v>128.0</v>
      </c>
      <c r="AH51" s="109">
        <v>0.0</v>
      </c>
      <c r="AI51" s="141">
        <v>106.0</v>
      </c>
      <c r="AJ51" s="80">
        <v>349.0</v>
      </c>
      <c r="AK51" s="140">
        <v>0.0</v>
      </c>
      <c r="AL51" s="109">
        <v>0.0</v>
      </c>
      <c r="AM51" s="141">
        <v>0.0</v>
      </c>
      <c r="AN51" s="80">
        <v>0.0</v>
      </c>
      <c r="AO51" s="140">
        <v>0.0</v>
      </c>
      <c r="AP51" s="109">
        <v>0.0</v>
      </c>
      <c r="AQ51" s="109">
        <v>69.0</v>
      </c>
      <c r="AR51" s="80">
        <v>69.0</v>
      </c>
      <c r="AS51" s="110">
        <v>0.0</v>
      </c>
      <c r="AT51" s="110">
        <v>0.0</v>
      </c>
      <c r="AU51" s="110">
        <v>0.0</v>
      </c>
      <c r="AV51" s="142">
        <v>0.0</v>
      </c>
      <c r="AW51" s="80">
        <v>0.0</v>
      </c>
      <c r="AX51" s="113">
        <v>418.0</v>
      </c>
      <c r="AY51" s="117">
        <v>349.0</v>
      </c>
      <c r="AZ51" s="328">
        <v>69.0</v>
      </c>
      <c r="BA51" s="315">
        <v>0.0</v>
      </c>
      <c r="BB51" s="316">
        <v>418.0</v>
      </c>
      <c r="BC51" s="132" t="s">
        <v>178</v>
      </c>
      <c r="BD51" s="132" t="s">
        <v>178</v>
      </c>
      <c r="BE51" s="132" t="s">
        <v>178</v>
      </c>
      <c r="BF51" s="156"/>
      <c r="BG51" s="83">
        <v>1162618.0</v>
      </c>
      <c r="BH51" s="112">
        <v>6.0</v>
      </c>
      <c r="BI51" s="98" t="s">
        <v>155</v>
      </c>
      <c r="BJ51" s="98" t="str">
        <f t="shared" si="1"/>
        <v>INTEGRAL</v>
      </c>
      <c r="BK51" s="98" t="str">
        <f t="shared" si="2"/>
        <v>NÃO</v>
      </c>
    </row>
    <row r="52" ht="15.75" customHeight="1">
      <c r="A52" s="111" t="s">
        <v>130</v>
      </c>
      <c r="B52" s="83" t="s">
        <v>375</v>
      </c>
      <c r="C52" s="83" t="s">
        <v>68</v>
      </c>
      <c r="D52" s="83">
        <v>1179655.0</v>
      </c>
      <c r="E52" s="83"/>
      <c r="F52" s="83">
        <v>2.9473365E7</v>
      </c>
      <c r="G52" s="114" t="s">
        <v>391</v>
      </c>
      <c r="H52" s="91" t="s">
        <v>392</v>
      </c>
      <c r="I52" s="114" t="s">
        <v>149</v>
      </c>
      <c r="J52" s="83" t="s">
        <v>222</v>
      </c>
      <c r="K52" s="83" t="s">
        <v>151</v>
      </c>
      <c r="L52" s="83" t="s">
        <v>169</v>
      </c>
      <c r="M52" s="82" t="s">
        <v>2990</v>
      </c>
      <c r="N52" s="82" t="s">
        <v>2991</v>
      </c>
      <c r="O52" s="82" t="s">
        <v>2992</v>
      </c>
      <c r="P52" s="82"/>
      <c r="Q52" s="82"/>
      <c r="R52" s="82"/>
      <c r="S52" s="82"/>
      <c r="T52" s="138">
        <v>4.0</v>
      </c>
      <c r="U52" s="323">
        <v>4.0</v>
      </c>
      <c r="V52" s="106">
        <v>0.0</v>
      </c>
      <c r="W52" s="107">
        <v>0.0</v>
      </c>
      <c r="X52" s="107">
        <v>0.0</v>
      </c>
      <c r="Y52" s="107">
        <v>0.0</v>
      </c>
      <c r="Z52" s="80">
        <v>0.0</v>
      </c>
      <c r="AA52" s="140">
        <v>0.0</v>
      </c>
      <c r="AB52" s="109">
        <v>0.0</v>
      </c>
      <c r="AC52" s="109">
        <v>0.0</v>
      </c>
      <c r="AD52" s="141">
        <v>0.0</v>
      </c>
      <c r="AE52" s="80">
        <v>0.0</v>
      </c>
      <c r="AF52" s="140">
        <v>133.0</v>
      </c>
      <c r="AG52" s="109">
        <v>120.0</v>
      </c>
      <c r="AH52" s="109">
        <v>0.0</v>
      </c>
      <c r="AI52" s="141">
        <v>0.0</v>
      </c>
      <c r="AJ52" s="80">
        <v>253.0</v>
      </c>
      <c r="AK52" s="140">
        <v>0.0</v>
      </c>
      <c r="AL52" s="109">
        <v>0.0</v>
      </c>
      <c r="AM52" s="141">
        <v>0.0</v>
      </c>
      <c r="AN52" s="80">
        <v>0.0</v>
      </c>
      <c r="AO52" s="140">
        <v>0.0</v>
      </c>
      <c r="AP52" s="109">
        <v>0.0</v>
      </c>
      <c r="AQ52" s="109">
        <v>34.0</v>
      </c>
      <c r="AR52" s="80">
        <v>34.0</v>
      </c>
      <c r="AS52" s="110">
        <v>0.0</v>
      </c>
      <c r="AT52" s="110">
        <v>0.0</v>
      </c>
      <c r="AU52" s="110">
        <v>0.0</v>
      </c>
      <c r="AV52" s="142">
        <v>0.0</v>
      </c>
      <c r="AW52" s="80">
        <v>0.0</v>
      </c>
      <c r="AX52" s="113">
        <v>287.0</v>
      </c>
      <c r="AY52" s="117">
        <v>253.0</v>
      </c>
      <c r="AZ52" s="328">
        <v>34.0</v>
      </c>
      <c r="BA52" s="315">
        <v>0.0</v>
      </c>
      <c r="BB52" s="316">
        <v>287.0</v>
      </c>
      <c r="BC52" s="132" t="s">
        <v>373</v>
      </c>
      <c r="BD52" s="132" t="s">
        <v>178</v>
      </c>
      <c r="BE52" s="132" t="s">
        <v>178</v>
      </c>
      <c r="BF52" s="156"/>
      <c r="BG52" s="83">
        <v>1179655.0</v>
      </c>
      <c r="BH52" s="112">
        <v>4.0</v>
      </c>
      <c r="BI52" s="98" t="s">
        <v>155</v>
      </c>
      <c r="BJ52" s="98" t="str">
        <f t="shared" si="1"/>
        <v>NÃO</v>
      </c>
      <c r="BK52" s="98" t="str">
        <f t="shared" si="2"/>
        <v>NÃO</v>
      </c>
    </row>
    <row r="53" ht="48.0" customHeight="1">
      <c r="A53" s="111" t="s">
        <v>130</v>
      </c>
      <c r="B53" s="83" t="s">
        <v>412</v>
      </c>
      <c r="C53" s="83" t="s">
        <v>68</v>
      </c>
      <c r="D53" s="83">
        <v>1178038.0</v>
      </c>
      <c r="E53" s="83"/>
      <c r="F53" s="83">
        <v>2.9425328E7</v>
      </c>
      <c r="G53" s="114" t="s">
        <v>413</v>
      </c>
      <c r="H53" s="91" t="s">
        <v>414</v>
      </c>
      <c r="I53" s="114" t="s">
        <v>149</v>
      </c>
      <c r="J53" s="83" t="s">
        <v>150</v>
      </c>
      <c r="K53" s="83" t="s">
        <v>151</v>
      </c>
      <c r="L53" s="83" t="s">
        <v>76</v>
      </c>
      <c r="M53" s="82" t="s">
        <v>2994</v>
      </c>
      <c r="N53" s="82" t="s">
        <v>2995</v>
      </c>
      <c r="O53" s="82" t="s">
        <v>2996</v>
      </c>
      <c r="P53" s="82" t="s">
        <v>2997</v>
      </c>
      <c r="Q53" s="82"/>
      <c r="R53" s="82"/>
      <c r="S53" s="82" t="s">
        <v>2998</v>
      </c>
      <c r="T53" s="138">
        <v>12.0</v>
      </c>
      <c r="U53" s="343">
        <v>14.0</v>
      </c>
      <c r="V53" s="106">
        <v>0.0</v>
      </c>
      <c r="W53" s="107">
        <v>0.0</v>
      </c>
      <c r="X53" s="107">
        <v>0.0</v>
      </c>
      <c r="Y53" s="107">
        <v>0.0</v>
      </c>
      <c r="Z53" s="80">
        <v>0.0</v>
      </c>
      <c r="AA53" s="140">
        <v>0.0</v>
      </c>
      <c r="AB53" s="109">
        <v>0.0</v>
      </c>
      <c r="AC53" s="109">
        <v>0.0</v>
      </c>
      <c r="AD53" s="141">
        <v>0.0</v>
      </c>
      <c r="AE53" s="80">
        <v>0.0</v>
      </c>
      <c r="AF53" s="140">
        <v>76.0</v>
      </c>
      <c r="AG53" s="109">
        <v>87.0</v>
      </c>
      <c r="AH53" s="109">
        <v>0.0</v>
      </c>
      <c r="AI53" s="141">
        <v>135.0</v>
      </c>
      <c r="AJ53" s="80">
        <v>298.0</v>
      </c>
      <c r="AK53" s="140">
        <v>0.0</v>
      </c>
      <c r="AL53" s="109">
        <v>0.0</v>
      </c>
      <c r="AM53" s="141">
        <v>0.0</v>
      </c>
      <c r="AN53" s="80">
        <v>0.0</v>
      </c>
      <c r="AO53" s="140">
        <v>0.0</v>
      </c>
      <c r="AP53" s="109">
        <v>0.0</v>
      </c>
      <c r="AQ53" s="109">
        <v>93.0</v>
      </c>
      <c r="AR53" s="80">
        <v>93.0</v>
      </c>
      <c r="AS53" s="110">
        <v>0.0</v>
      </c>
      <c r="AT53" s="110">
        <v>0.0</v>
      </c>
      <c r="AU53" s="110">
        <v>0.0</v>
      </c>
      <c r="AV53" s="142">
        <v>0.0</v>
      </c>
      <c r="AW53" s="80">
        <v>0.0</v>
      </c>
      <c r="AX53" s="113">
        <v>391.0</v>
      </c>
      <c r="AY53" s="117">
        <v>298.0</v>
      </c>
      <c r="AZ53" s="328">
        <v>93.0</v>
      </c>
      <c r="BA53" s="315">
        <v>1.0</v>
      </c>
      <c r="BB53" s="316">
        <v>392.0</v>
      </c>
      <c r="BC53" s="132" t="s">
        <v>178</v>
      </c>
      <c r="BD53" s="132" t="s">
        <v>178</v>
      </c>
      <c r="BE53" s="132" t="s">
        <v>178</v>
      </c>
      <c r="BF53" s="123"/>
      <c r="BG53" s="83">
        <v>1178038.0</v>
      </c>
      <c r="BH53" s="98">
        <v>14.0</v>
      </c>
      <c r="BI53" s="98" t="s">
        <v>155</v>
      </c>
      <c r="BJ53" s="98" t="str">
        <f t="shared" si="1"/>
        <v>INTEGRAL</v>
      </c>
      <c r="BK53" s="98" t="str">
        <f t="shared" si="2"/>
        <v>NÃO</v>
      </c>
    </row>
    <row r="54" ht="31.5" customHeight="1">
      <c r="A54" s="111" t="s">
        <v>130</v>
      </c>
      <c r="B54" s="83" t="s">
        <v>417</v>
      </c>
      <c r="C54" s="83" t="s">
        <v>68</v>
      </c>
      <c r="D54" s="83">
        <v>1176432.0</v>
      </c>
      <c r="E54" s="83"/>
      <c r="F54" s="83">
        <v>2.9395321E7</v>
      </c>
      <c r="G54" s="114" t="s">
        <v>418</v>
      </c>
      <c r="H54" s="91" t="s">
        <v>419</v>
      </c>
      <c r="I54" s="114" t="s">
        <v>149</v>
      </c>
      <c r="J54" s="83" t="s">
        <v>150</v>
      </c>
      <c r="K54" s="83" t="s">
        <v>151</v>
      </c>
      <c r="L54" s="83" t="s">
        <v>152</v>
      </c>
      <c r="M54" s="82" t="s">
        <v>3002</v>
      </c>
      <c r="N54" s="82" t="s">
        <v>3003</v>
      </c>
      <c r="O54" s="82" t="s">
        <v>3004</v>
      </c>
      <c r="P54" s="82" t="s">
        <v>3005</v>
      </c>
      <c r="Q54" s="82"/>
      <c r="R54" s="82"/>
      <c r="S54" s="82" t="s">
        <v>3006</v>
      </c>
      <c r="T54" s="138">
        <v>12.0</v>
      </c>
      <c r="U54" s="323">
        <v>12.0</v>
      </c>
      <c r="V54" s="106">
        <v>0.0</v>
      </c>
      <c r="W54" s="107">
        <v>0.0</v>
      </c>
      <c r="X54" s="107">
        <v>0.0</v>
      </c>
      <c r="Y54" s="107">
        <v>0.0</v>
      </c>
      <c r="Z54" s="80">
        <v>0.0</v>
      </c>
      <c r="AA54" s="140">
        <v>0.0</v>
      </c>
      <c r="AB54" s="109">
        <v>0.0</v>
      </c>
      <c r="AC54" s="109">
        <v>0.0</v>
      </c>
      <c r="AD54" s="141">
        <v>0.0</v>
      </c>
      <c r="AE54" s="80">
        <v>0.0</v>
      </c>
      <c r="AF54" s="140">
        <v>422.0</v>
      </c>
      <c r="AG54" s="109">
        <v>287.0</v>
      </c>
      <c r="AH54" s="109">
        <v>0.0</v>
      </c>
      <c r="AI54" s="141">
        <v>0.0</v>
      </c>
      <c r="AJ54" s="80">
        <v>709.0</v>
      </c>
      <c r="AK54" s="140">
        <v>0.0</v>
      </c>
      <c r="AL54" s="109">
        <v>0.0</v>
      </c>
      <c r="AM54" s="141">
        <v>0.0</v>
      </c>
      <c r="AN54" s="80">
        <v>0.0</v>
      </c>
      <c r="AO54" s="140">
        <v>0.0</v>
      </c>
      <c r="AP54" s="109">
        <v>0.0</v>
      </c>
      <c r="AQ54" s="109">
        <v>51.0</v>
      </c>
      <c r="AR54" s="80">
        <v>51.0</v>
      </c>
      <c r="AS54" s="110">
        <v>0.0</v>
      </c>
      <c r="AT54" s="110">
        <v>0.0</v>
      </c>
      <c r="AU54" s="110">
        <v>0.0</v>
      </c>
      <c r="AV54" s="142">
        <v>0.0</v>
      </c>
      <c r="AW54" s="80">
        <v>0.0</v>
      </c>
      <c r="AX54" s="113">
        <v>760.0</v>
      </c>
      <c r="AY54" s="117">
        <v>709.0</v>
      </c>
      <c r="AZ54" s="328">
        <v>51.0</v>
      </c>
      <c r="BA54" s="315">
        <v>4.0</v>
      </c>
      <c r="BB54" s="316">
        <v>764.0</v>
      </c>
      <c r="BC54" s="132" t="s">
        <v>178</v>
      </c>
      <c r="BD54" s="132" t="s">
        <v>178</v>
      </c>
      <c r="BE54" s="132" t="s">
        <v>178</v>
      </c>
      <c r="BF54" s="156"/>
      <c r="BG54" s="83">
        <v>1176432.0</v>
      </c>
      <c r="BH54" s="112">
        <v>12.0</v>
      </c>
      <c r="BI54" s="98" t="s">
        <v>155</v>
      </c>
      <c r="BJ54" s="98" t="str">
        <f t="shared" si="1"/>
        <v>NÃO</v>
      </c>
      <c r="BK54" s="98" t="str">
        <f t="shared" si="2"/>
        <v>NÃO</v>
      </c>
    </row>
    <row r="55" ht="15.75" customHeight="1">
      <c r="A55" s="111" t="s">
        <v>130</v>
      </c>
      <c r="B55" s="83" t="s">
        <v>417</v>
      </c>
      <c r="C55" s="83" t="s">
        <v>68</v>
      </c>
      <c r="D55" s="83">
        <v>1126808.0</v>
      </c>
      <c r="E55" s="83"/>
      <c r="F55" s="83">
        <v>2.9041333E7</v>
      </c>
      <c r="G55" s="114" t="s">
        <v>422</v>
      </c>
      <c r="H55" s="91" t="s">
        <v>423</v>
      </c>
      <c r="I55" s="114" t="s">
        <v>149</v>
      </c>
      <c r="J55" s="83" t="s">
        <v>150</v>
      </c>
      <c r="K55" s="83" t="s">
        <v>151</v>
      </c>
      <c r="L55" s="83" t="s">
        <v>230</v>
      </c>
      <c r="M55" s="82" t="s">
        <v>3014</v>
      </c>
      <c r="N55" s="82" t="s">
        <v>3015</v>
      </c>
      <c r="O55" s="82" t="s">
        <v>3016</v>
      </c>
      <c r="P55" s="82" t="s">
        <v>3017</v>
      </c>
      <c r="Q55" s="82" t="s">
        <v>3018</v>
      </c>
      <c r="R55" s="82" t="s">
        <v>3019</v>
      </c>
      <c r="S55" s="82" t="s">
        <v>3020</v>
      </c>
      <c r="T55" s="138">
        <v>15.0</v>
      </c>
      <c r="U55" s="339" t="s">
        <v>3021</v>
      </c>
      <c r="V55" s="106">
        <v>0.0</v>
      </c>
      <c r="W55" s="107">
        <v>0.0</v>
      </c>
      <c r="X55" s="107">
        <v>0.0</v>
      </c>
      <c r="Y55" s="107">
        <v>0.0</v>
      </c>
      <c r="Z55" s="80">
        <v>0.0</v>
      </c>
      <c r="AA55" s="140">
        <v>0.0</v>
      </c>
      <c r="AB55" s="109">
        <v>0.0</v>
      </c>
      <c r="AC55" s="109">
        <v>0.0</v>
      </c>
      <c r="AD55" s="141">
        <v>0.0</v>
      </c>
      <c r="AE55" s="80">
        <v>0.0</v>
      </c>
      <c r="AF55" s="140">
        <v>86.0</v>
      </c>
      <c r="AG55" s="109">
        <v>16.0</v>
      </c>
      <c r="AH55" s="109">
        <v>0.0</v>
      </c>
      <c r="AI55" s="141">
        <v>0.0</v>
      </c>
      <c r="AJ55" s="80">
        <v>102.0</v>
      </c>
      <c r="AK55" s="140">
        <v>0.0</v>
      </c>
      <c r="AL55" s="109">
        <v>0.0</v>
      </c>
      <c r="AM55" s="141">
        <v>0.0</v>
      </c>
      <c r="AN55" s="80">
        <v>0.0</v>
      </c>
      <c r="AO55" s="140">
        <v>0.0</v>
      </c>
      <c r="AP55" s="109">
        <v>0.0</v>
      </c>
      <c r="AQ55" s="109">
        <v>48.0</v>
      </c>
      <c r="AR55" s="80">
        <v>48.0</v>
      </c>
      <c r="AS55" s="110">
        <v>385.0</v>
      </c>
      <c r="AT55" s="110">
        <v>269.0</v>
      </c>
      <c r="AU55" s="110">
        <v>182.0</v>
      </c>
      <c r="AV55" s="142">
        <v>0.0</v>
      </c>
      <c r="AW55" s="80">
        <v>836.0</v>
      </c>
      <c r="AX55" s="113">
        <v>986.0</v>
      </c>
      <c r="AY55" s="117">
        <v>756.0</v>
      </c>
      <c r="AZ55" s="328">
        <v>230.0</v>
      </c>
      <c r="BA55" s="315">
        <v>12.0</v>
      </c>
      <c r="BB55" s="316">
        <v>998.0</v>
      </c>
      <c r="BC55" s="132" t="s">
        <v>178</v>
      </c>
      <c r="BD55" s="132" t="s">
        <v>779</v>
      </c>
      <c r="BE55" s="132" t="s">
        <v>64</v>
      </c>
      <c r="BF55" s="123"/>
      <c r="BG55" s="83">
        <v>1126808.0</v>
      </c>
      <c r="BH55" s="112">
        <v>11.0</v>
      </c>
      <c r="BI55" s="98" t="s">
        <v>155</v>
      </c>
      <c r="BJ55" s="98" t="str">
        <f t="shared" si="1"/>
        <v>NÃO</v>
      </c>
      <c r="BK55" s="98" t="str">
        <f t="shared" si="2"/>
        <v>PROFISSIONAL</v>
      </c>
    </row>
    <row r="56" ht="15.75" customHeight="1">
      <c r="A56" s="111" t="s">
        <v>205</v>
      </c>
      <c r="B56" s="83" t="s">
        <v>426</v>
      </c>
      <c r="C56" s="83" t="s">
        <v>68</v>
      </c>
      <c r="D56" s="83">
        <v>1137168.0</v>
      </c>
      <c r="E56" s="83"/>
      <c r="F56" s="83">
        <v>2.9037123E7</v>
      </c>
      <c r="G56" s="114" t="s">
        <v>2202</v>
      </c>
      <c r="H56" s="91" t="s">
        <v>3027</v>
      </c>
      <c r="I56" s="114" t="s">
        <v>149</v>
      </c>
      <c r="J56" s="83" t="s">
        <v>150</v>
      </c>
      <c r="K56" s="83" t="s">
        <v>151</v>
      </c>
      <c r="L56" s="83" t="s">
        <v>152</v>
      </c>
      <c r="M56" s="82" t="s">
        <v>3030</v>
      </c>
      <c r="N56" s="82" t="s">
        <v>3031</v>
      </c>
      <c r="O56" s="82" t="s">
        <v>3032</v>
      </c>
      <c r="P56" s="82" t="s">
        <v>3033</v>
      </c>
      <c r="Q56" s="82"/>
      <c r="R56" s="82"/>
      <c r="S56" s="82" t="s">
        <v>3034</v>
      </c>
      <c r="T56" s="138">
        <v>7.0</v>
      </c>
      <c r="U56" s="352" t="s">
        <v>3035</v>
      </c>
      <c r="V56" s="106">
        <v>0.0</v>
      </c>
      <c r="W56" s="107">
        <v>0.0</v>
      </c>
      <c r="X56" s="107">
        <v>0.0</v>
      </c>
      <c r="Y56" s="107">
        <v>0.0</v>
      </c>
      <c r="Z56" s="80">
        <v>0.0</v>
      </c>
      <c r="AA56" s="140">
        <v>0.0</v>
      </c>
      <c r="AB56" s="109">
        <v>0.0</v>
      </c>
      <c r="AC56" s="109">
        <v>0.0</v>
      </c>
      <c r="AD56" s="141">
        <v>0.0</v>
      </c>
      <c r="AE56" s="80">
        <v>0.0</v>
      </c>
      <c r="AF56" s="140">
        <v>141.0</v>
      </c>
      <c r="AG56" s="109">
        <v>109.0</v>
      </c>
      <c r="AH56" s="109">
        <v>26.0</v>
      </c>
      <c r="AI56" s="141">
        <v>114.0</v>
      </c>
      <c r="AJ56" s="80">
        <v>390.0</v>
      </c>
      <c r="AK56" s="140">
        <v>0.0</v>
      </c>
      <c r="AL56" s="109">
        <v>0.0</v>
      </c>
      <c r="AM56" s="141">
        <v>0.0</v>
      </c>
      <c r="AN56" s="80">
        <v>0.0</v>
      </c>
      <c r="AO56" s="140">
        <v>0.0</v>
      </c>
      <c r="AP56" s="109">
        <v>0.0</v>
      </c>
      <c r="AQ56" s="109">
        <v>104.0</v>
      </c>
      <c r="AR56" s="80">
        <v>104.0</v>
      </c>
      <c r="AS56" s="110">
        <v>0.0</v>
      </c>
      <c r="AT56" s="110">
        <v>0.0</v>
      </c>
      <c r="AU56" s="110">
        <v>0.0</v>
      </c>
      <c r="AV56" s="142">
        <v>0.0</v>
      </c>
      <c r="AW56" s="80">
        <v>0.0</v>
      </c>
      <c r="AX56" s="113">
        <v>494.0</v>
      </c>
      <c r="AY56" s="117">
        <v>364.0</v>
      </c>
      <c r="AZ56" s="328">
        <v>130.0</v>
      </c>
      <c r="BA56" s="315">
        <v>0.0</v>
      </c>
      <c r="BB56" s="316">
        <v>494.0</v>
      </c>
      <c r="BC56" s="132" t="s">
        <v>178</v>
      </c>
      <c r="BD56" s="132" t="s">
        <v>178</v>
      </c>
      <c r="BE56" s="132" t="s">
        <v>178</v>
      </c>
      <c r="BF56" s="156"/>
      <c r="BG56" s="83">
        <v>1137168.0</v>
      </c>
      <c r="BH56" s="112">
        <v>6.0</v>
      </c>
      <c r="BI56" s="98" t="s">
        <v>155</v>
      </c>
      <c r="BJ56" s="98" t="str">
        <f t="shared" si="1"/>
        <v>INTEGRAL</v>
      </c>
      <c r="BK56" s="98" t="str">
        <f t="shared" si="2"/>
        <v>NÃO</v>
      </c>
    </row>
    <row r="57" ht="15.75" customHeight="1">
      <c r="A57" s="111" t="s">
        <v>205</v>
      </c>
      <c r="B57" s="83" t="s">
        <v>426</v>
      </c>
      <c r="C57" s="83" t="s">
        <v>68</v>
      </c>
      <c r="D57" s="83">
        <v>1127502.0</v>
      </c>
      <c r="E57" s="83"/>
      <c r="F57" s="83">
        <v>2.9036143E7</v>
      </c>
      <c r="G57" s="114" t="s">
        <v>3040</v>
      </c>
      <c r="H57" s="91" t="s">
        <v>428</v>
      </c>
      <c r="I57" s="114" t="s">
        <v>149</v>
      </c>
      <c r="J57" s="83" t="s">
        <v>150</v>
      </c>
      <c r="K57" s="83" t="s">
        <v>151</v>
      </c>
      <c r="L57" s="83" t="s">
        <v>152</v>
      </c>
      <c r="M57" s="82" t="s">
        <v>3043</v>
      </c>
      <c r="N57" s="82" t="s">
        <v>3044</v>
      </c>
      <c r="O57" s="82" t="s">
        <v>3045</v>
      </c>
      <c r="P57" s="82" t="s">
        <v>3046</v>
      </c>
      <c r="Q57" s="82"/>
      <c r="R57" s="82"/>
      <c r="S57" s="82" t="s">
        <v>3047</v>
      </c>
      <c r="T57" s="138">
        <v>9.0</v>
      </c>
      <c r="U57" s="341">
        <v>8.0</v>
      </c>
      <c r="V57" s="106">
        <v>0.0</v>
      </c>
      <c r="W57" s="107">
        <v>0.0</v>
      </c>
      <c r="X57" s="107">
        <v>0.0</v>
      </c>
      <c r="Y57" s="107">
        <v>0.0</v>
      </c>
      <c r="Z57" s="80">
        <v>0.0</v>
      </c>
      <c r="AA57" s="140">
        <v>0.0</v>
      </c>
      <c r="AB57" s="109">
        <v>0.0</v>
      </c>
      <c r="AC57" s="109">
        <v>0.0</v>
      </c>
      <c r="AD57" s="141">
        <v>0.0</v>
      </c>
      <c r="AE57" s="80">
        <v>0.0</v>
      </c>
      <c r="AF57" s="140">
        <v>309.0</v>
      </c>
      <c r="AG57" s="109">
        <v>327.0</v>
      </c>
      <c r="AH57" s="109">
        <v>40.0</v>
      </c>
      <c r="AI57" s="141">
        <v>0.0</v>
      </c>
      <c r="AJ57" s="80">
        <v>676.0</v>
      </c>
      <c r="AK57" s="140">
        <v>0.0</v>
      </c>
      <c r="AL57" s="109">
        <v>0.0</v>
      </c>
      <c r="AM57" s="141">
        <v>0.0</v>
      </c>
      <c r="AN57" s="80">
        <v>0.0</v>
      </c>
      <c r="AO57" s="140">
        <v>0.0</v>
      </c>
      <c r="AP57" s="109">
        <v>0.0</v>
      </c>
      <c r="AQ57" s="109">
        <v>24.0</v>
      </c>
      <c r="AR57" s="80">
        <v>24.0</v>
      </c>
      <c r="AS57" s="110">
        <v>0.0</v>
      </c>
      <c r="AT57" s="110">
        <v>0.0</v>
      </c>
      <c r="AU57" s="110">
        <v>0.0</v>
      </c>
      <c r="AV57" s="142">
        <v>0.0</v>
      </c>
      <c r="AW57" s="80">
        <v>0.0</v>
      </c>
      <c r="AX57" s="113">
        <v>700.0</v>
      </c>
      <c r="AY57" s="117">
        <v>636.0</v>
      </c>
      <c r="AZ57" s="328">
        <v>64.0</v>
      </c>
      <c r="BA57" s="315">
        <v>0.0</v>
      </c>
      <c r="BB57" s="316">
        <v>700.0</v>
      </c>
      <c r="BC57" s="132" t="s">
        <v>178</v>
      </c>
      <c r="BD57" s="132" t="s">
        <v>178</v>
      </c>
      <c r="BE57" s="132" t="s">
        <v>178</v>
      </c>
      <c r="BF57" s="123"/>
      <c r="BG57" s="83">
        <v>1127502.0</v>
      </c>
      <c r="BH57" s="112">
        <v>8.0</v>
      </c>
      <c r="BI57" s="98" t="s">
        <v>155</v>
      </c>
      <c r="BJ57" s="98" t="str">
        <f t="shared" si="1"/>
        <v>NÃO</v>
      </c>
      <c r="BK57" s="98" t="str">
        <f t="shared" si="2"/>
        <v>NÃO</v>
      </c>
    </row>
    <row r="58" ht="15.75" customHeight="1">
      <c r="A58" s="111" t="s">
        <v>205</v>
      </c>
      <c r="B58" s="83" t="s">
        <v>426</v>
      </c>
      <c r="C58" s="83" t="s">
        <v>68</v>
      </c>
      <c r="D58" s="83">
        <v>1179431.0</v>
      </c>
      <c r="E58" s="83"/>
      <c r="F58" s="83">
        <v>2.9464374E7</v>
      </c>
      <c r="G58" s="114" t="s">
        <v>431</v>
      </c>
      <c r="H58" s="91" t="s">
        <v>432</v>
      </c>
      <c r="I58" s="298" t="s">
        <v>433</v>
      </c>
      <c r="J58" s="83" t="s">
        <v>150</v>
      </c>
      <c r="K58" s="83" t="s">
        <v>151</v>
      </c>
      <c r="L58" s="83" t="s">
        <v>230</v>
      </c>
      <c r="M58" s="82" t="s">
        <v>3052</v>
      </c>
      <c r="N58" s="82" t="s">
        <v>3054</v>
      </c>
      <c r="O58" s="82" t="s">
        <v>3056</v>
      </c>
      <c r="P58" s="82" t="s">
        <v>3058</v>
      </c>
      <c r="Q58" s="82"/>
      <c r="R58" s="82"/>
      <c r="S58" s="82" t="s">
        <v>3059</v>
      </c>
      <c r="T58" s="138" t="s">
        <v>171</v>
      </c>
      <c r="U58" s="341">
        <v>1.0</v>
      </c>
      <c r="V58" s="106">
        <v>0.0</v>
      </c>
      <c r="W58" s="107">
        <v>0.0</v>
      </c>
      <c r="X58" s="107">
        <v>0.0</v>
      </c>
      <c r="Y58" s="107">
        <v>0.0</v>
      </c>
      <c r="Z58" s="80">
        <v>0.0</v>
      </c>
      <c r="AA58" s="140">
        <v>0.0</v>
      </c>
      <c r="AB58" s="109">
        <v>0.0</v>
      </c>
      <c r="AC58" s="109">
        <v>0.0</v>
      </c>
      <c r="AD58" s="141">
        <v>0.0</v>
      </c>
      <c r="AE58" s="80">
        <v>0.0</v>
      </c>
      <c r="AF58" s="140">
        <v>0.0</v>
      </c>
      <c r="AG58" s="109">
        <v>0.0</v>
      </c>
      <c r="AH58" s="109">
        <v>0.0</v>
      </c>
      <c r="AI58" s="141">
        <v>0.0</v>
      </c>
      <c r="AJ58" s="80">
        <v>0.0</v>
      </c>
      <c r="AK58" s="140">
        <v>0.0</v>
      </c>
      <c r="AL58" s="109">
        <v>0.0</v>
      </c>
      <c r="AM58" s="141">
        <v>0.0</v>
      </c>
      <c r="AN58" s="80">
        <v>0.0</v>
      </c>
      <c r="AO58" s="140">
        <v>0.0</v>
      </c>
      <c r="AP58" s="109">
        <v>0.0</v>
      </c>
      <c r="AQ58" s="109">
        <v>0.0</v>
      </c>
      <c r="AR58" s="80">
        <v>0.0</v>
      </c>
      <c r="AS58" s="110">
        <v>0.0</v>
      </c>
      <c r="AT58" s="110">
        <v>0.0</v>
      </c>
      <c r="AU58" s="110">
        <v>0.0</v>
      </c>
      <c r="AV58" s="142">
        <v>0.0</v>
      </c>
      <c r="AW58" s="80">
        <v>0.0</v>
      </c>
      <c r="AX58" s="113">
        <v>0.0</v>
      </c>
      <c r="AY58" s="117">
        <v>0.0</v>
      </c>
      <c r="AZ58" s="328">
        <v>0.0</v>
      </c>
      <c r="BA58" s="315">
        <v>0.0</v>
      </c>
      <c r="BB58" s="316">
        <v>0.0</v>
      </c>
      <c r="BC58" s="132" t="s">
        <v>178</v>
      </c>
      <c r="BD58" s="143" t="s">
        <v>227</v>
      </c>
      <c r="BE58" s="132" t="s">
        <v>64</v>
      </c>
      <c r="BF58" s="156" t="s">
        <v>534</v>
      </c>
      <c r="BG58" s="83">
        <v>1179431.0</v>
      </c>
      <c r="BH58" s="112">
        <v>1.0</v>
      </c>
      <c r="BI58" s="98" t="s">
        <v>155</v>
      </c>
      <c r="BJ58" s="98" t="str">
        <f t="shared" si="1"/>
        <v>NÃO</v>
      </c>
      <c r="BK58" s="98" t="str">
        <f t="shared" si="2"/>
        <v>NÃO</v>
      </c>
    </row>
    <row r="59" ht="15.75" customHeight="1">
      <c r="A59" s="111" t="s">
        <v>205</v>
      </c>
      <c r="B59" s="83" t="s">
        <v>426</v>
      </c>
      <c r="C59" s="83" t="s">
        <v>68</v>
      </c>
      <c r="D59" s="83">
        <v>1178324.0</v>
      </c>
      <c r="E59" s="83"/>
      <c r="F59" s="83">
        <v>2.9863724E7</v>
      </c>
      <c r="G59" s="114" t="s">
        <v>434</v>
      </c>
      <c r="H59" s="91" t="s">
        <v>435</v>
      </c>
      <c r="I59" s="114" t="s">
        <v>149</v>
      </c>
      <c r="J59" s="83" t="s">
        <v>150</v>
      </c>
      <c r="K59" s="83" t="s">
        <v>151</v>
      </c>
      <c r="L59" s="83" t="s">
        <v>230</v>
      </c>
      <c r="M59" s="82" t="s">
        <v>3064</v>
      </c>
      <c r="N59" s="82" t="s">
        <v>3065</v>
      </c>
      <c r="O59" s="82"/>
      <c r="P59" s="82"/>
      <c r="Q59" s="82"/>
      <c r="R59" s="82"/>
      <c r="S59" s="82" t="s">
        <v>3066</v>
      </c>
      <c r="T59" s="138">
        <v>8.0</v>
      </c>
      <c r="U59" s="341" t="s">
        <v>3067</v>
      </c>
      <c r="V59" s="106">
        <v>0.0</v>
      </c>
      <c r="W59" s="107">
        <v>0.0</v>
      </c>
      <c r="X59" s="107">
        <v>0.0</v>
      </c>
      <c r="Y59" s="107">
        <v>0.0</v>
      </c>
      <c r="Z59" s="80">
        <v>0.0</v>
      </c>
      <c r="AA59" s="140">
        <v>0.0</v>
      </c>
      <c r="AB59" s="109">
        <v>0.0</v>
      </c>
      <c r="AC59" s="109">
        <v>0.0</v>
      </c>
      <c r="AD59" s="141">
        <v>0.0</v>
      </c>
      <c r="AE59" s="80">
        <v>0.0</v>
      </c>
      <c r="AF59" s="140">
        <v>0.0</v>
      </c>
      <c r="AG59" s="109">
        <v>0.0</v>
      </c>
      <c r="AH59" s="109">
        <v>0.0</v>
      </c>
      <c r="AI59" s="141">
        <v>0.0</v>
      </c>
      <c r="AJ59" s="80">
        <v>0.0</v>
      </c>
      <c r="AK59" s="140">
        <v>0.0</v>
      </c>
      <c r="AL59" s="109">
        <v>0.0</v>
      </c>
      <c r="AM59" s="141">
        <v>0.0</v>
      </c>
      <c r="AN59" s="80">
        <v>0.0</v>
      </c>
      <c r="AO59" s="140">
        <v>0.0</v>
      </c>
      <c r="AP59" s="109">
        <v>0.0</v>
      </c>
      <c r="AQ59" s="109">
        <v>0.0</v>
      </c>
      <c r="AR59" s="80">
        <v>0.0</v>
      </c>
      <c r="AS59" s="110">
        <v>80.0</v>
      </c>
      <c r="AT59" s="110">
        <v>28.0</v>
      </c>
      <c r="AU59" s="110">
        <v>66.0</v>
      </c>
      <c r="AV59" s="142">
        <v>171.0</v>
      </c>
      <c r="AW59" s="80">
        <v>345.0</v>
      </c>
      <c r="AX59" s="113">
        <v>345.0</v>
      </c>
      <c r="AY59" s="117">
        <v>279.0</v>
      </c>
      <c r="AZ59" s="328">
        <v>66.0</v>
      </c>
      <c r="BA59" s="315">
        <v>0.0</v>
      </c>
      <c r="BB59" s="316">
        <v>345.0</v>
      </c>
      <c r="BC59" s="132" t="s">
        <v>178</v>
      </c>
      <c r="BD59" s="132" t="s">
        <v>779</v>
      </c>
      <c r="BE59" s="132" t="s">
        <v>64</v>
      </c>
      <c r="BF59" s="123"/>
      <c r="BG59" s="83">
        <v>1178324.0</v>
      </c>
      <c r="BH59" s="112">
        <v>8.0</v>
      </c>
      <c r="BI59" s="98" t="s">
        <v>155</v>
      </c>
      <c r="BJ59" s="98" t="str">
        <f t="shared" si="1"/>
        <v>INTEGRAL</v>
      </c>
      <c r="BK59" s="98" t="str">
        <f t="shared" si="2"/>
        <v>PROFISSIONAL</v>
      </c>
    </row>
    <row r="60" ht="15.75" customHeight="1">
      <c r="A60" s="111" t="s">
        <v>205</v>
      </c>
      <c r="B60" s="83" t="s">
        <v>426</v>
      </c>
      <c r="C60" s="83" t="s">
        <v>164</v>
      </c>
      <c r="D60" s="83">
        <v>1179431.0</v>
      </c>
      <c r="E60" s="83">
        <v>1178812.0</v>
      </c>
      <c r="F60" s="83"/>
      <c r="G60" s="114" t="s">
        <v>438</v>
      </c>
      <c r="H60" s="91" t="s">
        <v>439</v>
      </c>
      <c r="I60" s="114" t="s">
        <v>149</v>
      </c>
      <c r="J60" s="83" t="s">
        <v>440</v>
      </c>
      <c r="K60" s="83" t="s">
        <v>168</v>
      </c>
      <c r="L60" s="83" t="s">
        <v>169</v>
      </c>
      <c r="M60" s="82" t="s">
        <v>3052</v>
      </c>
      <c r="N60" s="82" t="s">
        <v>3054</v>
      </c>
      <c r="O60" s="82" t="s">
        <v>3056</v>
      </c>
      <c r="P60" s="82" t="s">
        <v>3058</v>
      </c>
      <c r="Q60" s="82"/>
      <c r="R60" s="82"/>
      <c r="S60" s="82" t="s">
        <v>3059</v>
      </c>
      <c r="T60" s="138">
        <v>2.0</v>
      </c>
      <c r="U60" s="341">
        <v>2.0</v>
      </c>
      <c r="V60" s="106">
        <v>0.0</v>
      </c>
      <c r="W60" s="107">
        <v>0.0</v>
      </c>
      <c r="X60" s="107">
        <v>0.0</v>
      </c>
      <c r="Y60" s="107">
        <v>0.0</v>
      </c>
      <c r="Z60" s="80">
        <v>0.0</v>
      </c>
      <c r="AA60" s="140">
        <v>0.0</v>
      </c>
      <c r="AB60" s="109">
        <v>0.0</v>
      </c>
      <c r="AC60" s="109">
        <v>0.0</v>
      </c>
      <c r="AD60" s="141">
        <v>0.0</v>
      </c>
      <c r="AE60" s="80">
        <v>0.0</v>
      </c>
      <c r="AF60" s="140">
        <v>18.0</v>
      </c>
      <c r="AG60" s="109">
        <v>19.0</v>
      </c>
      <c r="AH60" s="109">
        <v>0.0</v>
      </c>
      <c r="AI60" s="141">
        <v>0.0</v>
      </c>
      <c r="AJ60" s="80">
        <v>37.0</v>
      </c>
      <c r="AK60" s="140">
        <v>0.0</v>
      </c>
      <c r="AL60" s="109">
        <v>0.0</v>
      </c>
      <c r="AM60" s="141">
        <v>0.0</v>
      </c>
      <c r="AN60" s="80">
        <v>0.0</v>
      </c>
      <c r="AO60" s="140">
        <v>0.0</v>
      </c>
      <c r="AP60" s="109">
        <v>0.0</v>
      </c>
      <c r="AQ60" s="109">
        <v>0.0</v>
      </c>
      <c r="AR60" s="80">
        <v>0.0</v>
      </c>
      <c r="AS60" s="110">
        <v>0.0</v>
      </c>
      <c r="AT60" s="110">
        <v>0.0</v>
      </c>
      <c r="AU60" s="110">
        <v>0.0</v>
      </c>
      <c r="AV60" s="142">
        <v>0.0</v>
      </c>
      <c r="AW60" s="80">
        <v>0.0</v>
      </c>
      <c r="AX60" s="113">
        <v>37.0</v>
      </c>
      <c r="AY60" s="117">
        <v>37.0</v>
      </c>
      <c r="AZ60" s="328">
        <v>0.0</v>
      </c>
      <c r="BA60" s="315">
        <v>0.0</v>
      </c>
      <c r="BB60" s="316">
        <v>37.0</v>
      </c>
      <c r="BC60" s="132" t="s">
        <v>265</v>
      </c>
      <c r="BD60" s="183" t="s">
        <v>227</v>
      </c>
      <c r="BE60" s="132" t="s">
        <v>178</v>
      </c>
      <c r="BF60" s="123"/>
      <c r="BG60" s="83">
        <v>1178812.0</v>
      </c>
      <c r="BH60" s="112">
        <v>2.0</v>
      </c>
      <c r="BI60" s="98" t="s">
        <v>155</v>
      </c>
      <c r="BJ60" s="98" t="str">
        <f t="shared" si="1"/>
        <v>NÃO</v>
      </c>
      <c r="BK60" s="98" t="str">
        <f t="shared" si="2"/>
        <v>NÃO</v>
      </c>
    </row>
    <row r="61" ht="15.75" customHeight="1">
      <c r="A61" s="111" t="s">
        <v>205</v>
      </c>
      <c r="B61" s="83" t="s">
        <v>426</v>
      </c>
      <c r="C61" s="83" t="s">
        <v>164</v>
      </c>
      <c r="D61" s="83">
        <v>1179431.0</v>
      </c>
      <c r="E61" s="83">
        <v>1178814.0</v>
      </c>
      <c r="F61" s="83"/>
      <c r="G61" s="114" t="s">
        <v>441</v>
      </c>
      <c r="H61" s="91" t="s">
        <v>442</v>
      </c>
      <c r="I61" s="114" t="s">
        <v>149</v>
      </c>
      <c r="J61" s="83" t="s">
        <v>443</v>
      </c>
      <c r="K61" s="83" t="s">
        <v>168</v>
      </c>
      <c r="L61" s="83" t="s">
        <v>169</v>
      </c>
      <c r="M61" s="82" t="s">
        <v>3052</v>
      </c>
      <c r="N61" s="82" t="s">
        <v>3054</v>
      </c>
      <c r="O61" s="82" t="s">
        <v>3056</v>
      </c>
      <c r="P61" s="82" t="s">
        <v>3058</v>
      </c>
      <c r="Q61" s="82"/>
      <c r="R61" s="82"/>
      <c r="S61" s="82" t="s">
        <v>3059</v>
      </c>
      <c r="T61" s="138">
        <v>3.0</v>
      </c>
      <c r="U61" s="341">
        <v>3.0</v>
      </c>
      <c r="V61" s="106">
        <v>0.0</v>
      </c>
      <c r="W61" s="107">
        <v>0.0</v>
      </c>
      <c r="X61" s="107">
        <v>0.0</v>
      </c>
      <c r="Y61" s="107">
        <v>0.0</v>
      </c>
      <c r="Z61" s="80">
        <v>0.0</v>
      </c>
      <c r="AA61" s="140">
        <v>0.0</v>
      </c>
      <c r="AB61" s="109">
        <v>0.0</v>
      </c>
      <c r="AC61" s="109">
        <v>0.0</v>
      </c>
      <c r="AD61" s="141">
        <v>0.0</v>
      </c>
      <c r="AE61" s="80">
        <v>0.0</v>
      </c>
      <c r="AF61" s="140">
        <v>85.0</v>
      </c>
      <c r="AG61" s="109">
        <v>21.0</v>
      </c>
      <c r="AH61" s="109">
        <v>28.0</v>
      </c>
      <c r="AI61" s="141">
        <v>0.0</v>
      </c>
      <c r="AJ61" s="80">
        <v>134.0</v>
      </c>
      <c r="AK61" s="140">
        <v>0.0</v>
      </c>
      <c r="AL61" s="109">
        <v>0.0</v>
      </c>
      <c r="AM61" s="141">
        <v>0.0</v>
      </c>
      <c r="AN61" s="80">
        <v>0.0</v>
      </c>
      <c r="AO61" s="140">
        <v>0.0</v>
      </c>
      <c r="AP61" s="109">
        <v>0.0</v>
      </c>
      <c r="AQ61" s="109">
        <v>0.0</v>
      </c>
      <c r="AR61" s="80">
        <v>0.0</v>
      </c>
      <c r="AS61" s="110">
        <v>0.0</v>
      </c>
      <c r="AT61" s="110">
        <v>0.0</v>
      </c>
      <c r="AU61" s="110">
        <v>0.0</v>
      </c>
      <c r="AV61" s="142">
        <v>0.0</v>
      </c>
      <c r="AW61" s="80">
        <v>0.0</v>
      </c>
      <c r="AX61" s="113">
        <v>134.0</v>
      </c>
      <c r="AY61" s="117">
        <v>106.0</v>
      </c>
      <c r="AZ61" s="328">
        <v>28.0</v>
      </c>
      <c r="BA61" s="315">
        <v>0.0</v>
      </c>
      <c r="BB61" s="316">
        <v>134.0</v>
      </c>
      <c r="BC61" s="132" t="s">
        <v>178</v>
      </c>
      <c r="BD61" s="143" t="s">
        <v>227</v>
      </c>
      <c r="BE61" s="132" t="s">
        <v>64</v>
      </c>
      <c r="BF61" s="123"/>
      <c r="BG61" s="83">
        <v>1178814.0</v>
      </c>
      <c r="BH61" s="112">
        <v>3.0</v>
      </c>
      <c r="BI61" s="98" t="s">
        <v>155</v>
      </c>
      <c r="BJ61" s="98" t="str">
        <f t="shared" si="1"/>
        <v>NÃO</v>
      </c>
      <c r="BK61" s="98" t="str">
        <f t="shared" si="2"/>
        <v>NÃO</v>
      </c>
    </row>
    <row r="62" ht="15.75" customHeight="1">
      <c r="A62" s="111" t="s">
        <v>205</v>
      </c>
      <c r="B62" s="83" t="s">
        <v>426</v>
      </c>
      <c r="C62" s="83" t="s">
        <v>164</v>
      </c>
      <c r="D62" s="83">
        <v>1179431.0</v>
      </c>
      <c r="E62" s="83">
        <v>1178816.0</v>
      </c>
      <c r="F62" s="83"/>
      <c r="G62" s="114" t="s">
        <v>444</v>
      </c>
      <c r="H62" s="91" t="s">
        <v>445</v>
      </c>
      <c r="I62" s="114" t="s">
        <v>149</v>
      </c>
      <c r="J62" s="83" t="s">
        <v>252</v>
      </c>
      <c r="K62" s="83" t="s">
        <v>168</v>
      </c>
      <c r="L62" s="83" t="s">
        <v>169</v>
      </c>
      <c r="M62" s="82" t="s">
        <v>3052</v>
      </c>
      <c r="N62" s="82" t="s">
        <v>3054</v>
      </c>
      <c r="O62" s="82" t="s">
        <v>3056</v>
      </c>
      <c r="P62" s="82" t="s">
        <v>3058</v>
      </c>
      <c r="Q62" s="82"/>
      <c r="R62" s="82"/>
      <c r="S62" s="82" t="s">
        <v>3059</v>
      </c>
      <c r="T62" s="138">
        <v>2.0</v>
      </c>
      <c r="U62" s="341">
        <v>2.0</v>
      </c>
      <c r="V62" s="106">
        <v>0.0</v>
      </c>
      <c r="W62" s="107">
        <v>0.0</v>
      </c>
      <c r="X62" s="107">
        <v>0.0</v>
      </c>
      <c r="Y62" s="107">
        <v>0.0</v>
      </c>
      <c r="Z62" s="80">
        <v>0.0</v>
      </c>
      <c r="AA62" s="140">
        <v>0.0</v>
      </c>
      <c r="AB62" s="109">
        <v>0.0</v>
      </c>
      <c r="AC62" s="109">
        <v>0.0</v>
      </c>
      <c r="AD62" s="141">
        <v>0.0</v>
      </c>
      <c r="AE62" s="80">
        <v>0.0</v>
      </c>
      <c r="AF62" s="140">
        <v>2.0</v>
      </c>
      <c r="AG62" s="109">
        <v>18.0</v>
      </c>
      <c r="AH62" s="109">
        <v>0.0</v>
      </c>
      <c r="AI62" s="141">
        <v>0.0</v>
      </c>
      <c r="AJ62" s="80">
        <v>20.0</v>
      </c>
      <c r="AK62" s="140">
        <v>0.0</v>
      </c>
      <c r="AL62" s="109">
        <v>0.0</v>
      </c>
      <c r="AM62" s="141">
        <v>0.0</v>
      </c>
      <c r="AN62" s="80">
        <v>0.0</v>
      </c>
      <c r="AO62" s="140">
        <v>0.0</v>
      </c>
      <c r="AP62" s="109">
        <v>0.0</v>
      </c>
      <c r="AQ62" s="109">
        <v>0.0</v>
      </c>
      <c r="AR62" s="80">
        <v>0.0</v>
      </c>
      <c r="AS62" s="110">
        <v>0.0</v>
      </c>
      <c r="AT62" s="110">
        <v>0.0</v>
      </c>
      <c r="AU62" s="110">
        <v>0.0</v>
      </c>
      <c r="AV62" s="142">
        <v>0.0</v>
      </c>
      <c r="AW62" s="80">
        <v>0.0</v>
      </c>
      <c r="AX62" s="113">
        <v>20.0</v>
      </c>
      <c r="AY62" s="117">
        <v>20.0</v>
      </c>
      <c r="AZ62" s="328">
        <v>0.0</v>
      </c>
      <c r="BA62" s="315">
        <v>0.0</v>
      </c>
      <c r="BB62" s="316">
        <v>20.0</v>
      </c>
      <c r="BC62" s="132" t="s">
        <v>178</v>
      </c>
      <c r="BD62" s="143" t="s">
        <v>227</v>
      </c>
      <c r="BE62" s="132" t="s">
        <v>64</v>
      </c>
      <c r="BF62" s="123"/>
      <c r="BG62" s="83">
        <v>1178816.0</v>
      </c>
      <c r="BH62" s="112">
        <v>2.0</v>
      </c>
      <c r="BI62" s="98" t="s">
        <v>155</v>
      </c>
      <c r="BJ62" s="98" t="str">
        <f t="shared" si="1"/>
        <v>NÃO</v>
      </c>
      <c r="BK62" s="98" t="str">
        <f t="shared" si="2"/>
        <v>NÃO</v>
      </c>
    </row>
    <row r="63" ht="15.75" customHeight="1">
      <c r="A63" s="111" t="s">
        <v>205</v>
      </c>
      <c r="B63" s="83" t="s">
        <v>426</v>
      </c>
      <c r="C63" s="83" t="s">
        <v>164</v>
      </c>
      <c r="D63" s="83">
        <v>1179431.0</v>
      </c>
      <c r="E63" s="83">
        <v>1179212.0</v>
      </c>
      <c r="F63" s="83"/>
      <c r="G63" s="114" t="s">
        <v>446</v>
      </c>
      <c r="H63" s="91" t="s">
        <v>447</v>
      </c>
      <c r="I63" s="114" t="s">
        <v>149</v>
      </c>
      <c r="J63" s="83" t="s">
        <v>252</v>
      </c>
      <c r="K63" s="83" t="s">
        <v>168</v>
      </c>
      <c r="L63" s="83" t="s">
        <v>169</v>
      </c>
      <c r="M63" s="82" t="s">
        <v>3052</v>
      </c>
      <c r="N63" s="82" t="s">
        <v>3054</v>
      </c>
      <c r="O63" s="82" t="s">
        <v>3056</v>
      </c>
      <c r="P63" s="82" t="s">
        <v>3058</v>
      </c>
      <c r="Q63" s="82"/>
      <c r="R63" s="82"/>
      <c r="S63" s="82" t="s">
        <v>3059</v>
      </c>
      <c r="T63" s="138">
        <v>1.0</v>
      </c>
      <c r="U63" s="341">
        <v>1.0</v>
      </c>
      <c r="V63" s="106">
        <v>0.0</v>
      </c>
      <c r="W63" s="107">
        <v>0.0</v>
      </c>
      <c r="X63" s="107">
        <v>0.0</v>
      </c>
      <c r="Y63" s="107">
        <v>0.0</v>
      </c>
      <c r="Z63" s="80">
        <v>0.0</v>
      </c>
      <c r="AA63" s="140">
        <v>0.0</v>
      </c>
      <c r="AB63" s="109">
        <v>0.0</v>
      </c>
      <c r="AC63" s="109">
        <v>0.0</v>
      </c>
      <c r="AD63" s="141">
        <v>0.0</v>
      </c>
      <c r="AE63" s="80">
        <v>0.0</v>
      </c>
      <c r="AF63" s="140">
        <v>15.0</v>
      </c>
      <c r="AG63" s="109">
        <v>12.0</v>
      </c>
      <c r="AH63" s="109">
        <v>17.0</v>
      </c>
      <c r="AI63" s="141">
        <v>0.0</v>
      </c>
      <c r="AJ63" s="80">
        <v>44.0</v>
      </c>
      <c r="AK63" s="140">
        <v>0.0</v>
      </c>
      <c r="AL63" s="109">
        <v>0.0</v>
      </c>
      <c r="AM63" s="141">
        <v>0.0</v>
      </c>
      <c r="AN63" s="80">
        <v>0.0</v>
      </c>
      <c r="AO63" s="140">
        <v>0.0</v>
      </c>
      <c r="AP63" s="109">
        <v>0.0</v>
      </c>
      <c r="AQ63" s="109">
        <v>0.0</v>
      </c>
      <c r="AR63" s="80">
        <v>0.0</v>
      </c>
      <c r="AS63" s="110">
        <v>0.0</v>
      </c>
      <c r="AT63" s="110">
        <v>0.0</v>
      </c>
      <c r="AU63" s="110">
        <v>0.0</v>
      </c>
      <c r="AV63" s="142">
        <v>0.0</v>
      </c>
      <c r="AW63" s="80">
        <v>0.0</v>
      </c>
      <c r="AX63" s="113">
        <v>44.0</v>
      </c>
      <c r="AY63" s="117">
        <v>27.0</v>
      </c>
      <c r="AZ63" s="328">
        <v>17.0</v>
      </c>
      <c r="BA63" s="315">
        <v>0.0</v>
      </c>
      <c r="BB63" s="316">
        <v>44.0</v>
      </c>
      <c r="BC63" s="132" t="s">
        <v>178</v>
      </c>
      <c r="BD63" s="143" t="s">
        <v>227</v>
      </c>
      <c r="BE63" s="132" t="s">
        <v>64</v>
      </c>
      <c r="BF63" s="123"/>
      <c r="BG63" s="83">
        <v>1179212.0</v>
      </c>
      <c r="BH63" s="112">
        <v>1.0</v>
      </c>
      <c r="BI63" s="98" t="s">
        <v>155</v>
      </c>
      <c r="BJ63" s="98" t="str">
        <f t="shared" si="1"/>
        <v>NÃO</v>
      </c>
      <c r="BK63" s="98" t="str">
        <f t="shared" si="2"/>
        <v>NÃO</v>
      </c>
    </row>
    <row r="64" ht="15.75" customHeight="1">
      <c r="A64" s="111" t="s">
        <v>205</v>
      </c>
      <c r="B64" s="83" t="s">
        <v>426</v>
      </c>
      <c r="C64" s="83" t="s">
        <v>164</v>
      </c>
      <c r="D64" s="83">
        <v>1179431.0</v>
      </c>
      <c r="E64" s="83">
        <v>1178813.0</v>
      </c>
      <c r="F64" s="83"/>
      <c r="G64" s="114" t="s">
        <v>448</v>
      </c>
      <c r="H64" s="91" t="s">
        <v>449</v>
      </c>
      <c r="I64" s="114" t="s">
        <v>149</v>
      </c>
      <c r="J64" s="83" t="s">
        <v>450</v>
      </c>
      <c r="K64" s="83" t="s">
        <v>168</v>
      </c>
      <c r="L64" s="83" t="s">
        <v>169</v>
      </c>
      <c r="M64" s="82" t="s">
        <v>3052</v>
      </c>
      <c r="N64" s="82" t="s">
        <v>3054</v>
      </c>
      <c r="O64" s="82" t="s">
        <v>3056</v>
      </c>
      <c r="P64" s="82" t="s">
        <v>3058</v>
      </c>
      <c r="Q64" s="82"/>
      <c r="R64" s="82"/>
      <c r="S64" s="82" t="s">
        <v>3059</v>
      </c>
      <c r="T64" s="138">
        <v>3.0</v>
      </c>
      <c r="U64" s="341">
        <v>3.0</v>
      </c>
      <c r="V64" s="106">
        <v>0.0</v>
      </c>
      <c r="W64" s="107">
        <v>0.0</v>
      </c>
      <c r="X64" s="107">
        <v>0.0</v>
      </c>
      <c r="Y64" s="107">
        <v>0.0</v>
      </c>
      <c r="Z64" s="80">
        <v>0.0</v>
      </c>
      <c r="AA64" s="140">
        <v>0.0</v>
      </c>
      <c r="AB64" s="109">
        <v>0.0</v>
      </c>
      <c r="AC64" s="109">
        <v>0.0</v>
      </c>
      <c r="AD64" s="141">
        <v>0.0</v>
      </c>
      <c r="AE64" s="80">
        <v>0.0</v>
      </c>
      <c r="AF64" s="140">
        <v>0.0</v>
      </c>
      <c r="AG64" s="109">
        <v>49.0</v>
      </c>
      <c r="AH64" s="109">
        <v>70.0</v>
      </c>
      <c r="AI64" s="141">
        <v>0.0</v>
      </c>
      <c r="AJ64" s="80">
        <v>119.0</v>
      </c>
      <c r="AK64" s="140">
        <v>0.0</v>
      </c>
      <c r="AL64" s="109">
        <v>0.0</v>
      </c>
      <c r="AM64" s="141">
        <v>0.0</v>
      </c>
      <c r="AN64" s="80">
        <v>0.0</v>
      </c>
      <c r="AO64" s="140">
        <v>0.0</v>
      </c>
      <c r="AP64" s="109">
        <v>0.0</v>
      </c>
      <c r="AQ64" s="109">
        <v>0.0</v>
      </c>
      <c r="AR64" s="80">
        <v>0.0</v>
      </c>
      <c r="AS64" s="110">
        <v>0.0</v>
      </c>
      <c r="AT64" s="110">
        <v>0.0</v>
      </c>
      <c r="AU64" s="110">
        <v>0.0</v>
      </c>
      <c r="AV64" s="142">
        <v>0.0</v>
      </c>
      <c r="AW64" s="80">
        <v>0.0</v>
      </c>
      <c r="AX64" s="113">
        <v>119.0</v>
      </c>
      <c r="AY64" s="117">
        <v>49.0</v>
      </c>
      <c r="AZ64" s="328">
        <v>70.0</v>
      </c>
      <c r="BA64" s="315">
        <v>0.0</v>
      </c>
      <c r="BB64" s="316">
        <v>119.0</v>
      </c>
      <c r="BC64" s="132" t="s">
        <v>178</v>
      </c>
      <c r="BD64" s="143" t="s">
        <v>227</v>
      </c>
      <c r="BE64" s="132" t="s">
        <v>64</v>
      </c>
      <c r="BF64" s="123"/>
      <c r="BG64" s="83">
        <v>1178813.0</v>
      </c>
      <c r="BH64" s="112">
        <v>3.0</v>
      </c>
      <c r="BI64" s="98" t="s">
        <v>155</v>
      </c>
      <c r="BJ64" s="98" t="str">
        <f t="shared" si="1"/>
        <v>NÃO</v>
      </c>
      <c r="BK64" s="98" t="str">
        <f t="shared" si="2"/>
        <v>NÃO</v>
      </c>
    </row>
    <row r="65" ht="15.75" customHeight="1">
      <c r="A65" s="111" t="s">
        <v>205</v>
      </c>
      <c r="B65" s="83" t="s">
        <v>426</v>
      </c>
      <c r="C65" s="83" t="s">
        <v>164</v>
      </c>
      <c r="D65" s="83">
        <v>1179431.0</v>
      </c>
      <c r="E65" s="83">
        <v>1178815.0</v>
      </c>
      <c r="F65" s="83"/>
      <c r="G65" s="114" t="s">
        <v>452</v>
      </c>
      <c r="H65" s="91" t="s">
        <v>453</v>
      </c>
      <c r="I65" s="114" t="s">
        <v>149</v>
      </c>
      <c r="J65" s="83" t="s">
        <v>318</v>
      </c>
      <c r="K65" s="83" t="s">
        <v>151</v>
      </c>
      <c r="L65" s="83" t="s">
        <v>169</v>
      </c>
      <c r="M65" s="82" t="s">
        <v>3052</v>
      </c>
      <c r="N65" s="82" t="s">
        <v>3054</v>
      </c>
      <c r="O65" s="82" t="s">
        <v>3056</v>
      </c>
      <c r="P65" s="82" t="s">
        <v>3058</v>
      </c>
      <c r="Q65" s="82"/>
      <c r="R65" s="82"/>
      <c r="S65" s="82" t="s">
        <v>3059</v>
      </c>
      <c r="T65" s="138">
        <v>1.0</v>
      </c>
      <c r="U65" s="341">
        <v>1.0</v>
      </c>
      <c r="V65" s="106">
        <v>0.0</v>
      </c>
      <c r="W65" s="107">
        <v>0.0</v>
      </c>
      <c r="X65" s="107">
        <v>0.0</v>
      </c>
      <c r="Y65" s="107">
        <v>0.0</v>
      </c>
      <c r="Z65" s="80">
        <v>0.0</v>
      </c>
      <c r="AA65" s="140">
        <v>0.0</v>
      </c>
      <c r="AB65" s="109">
        <v>0.0</v>
      </c>
      <c r="AC65" s="109">
        <v>0.0</v>
      </c>
      <c r="AD65" s="141">
        <v>0.0</v>
      </c>
      <c r="AE65" s="80">
        <v>0.0</v>
      </c>
      <c r="AF65" s="140">
        <v>4.0</v>
      </c>
      <c r="AG65" s="109">
        <v>13.0</v>
      </c>
      <c r="AH65" s="109">
        <v>4.0</v>
      </c>
      <c r="AI65" s="141">
        <v>0.0</v>
      </c>
      <c r="AJ65" s="80">
        <v>21.0</v>
      </c>
      <c r="AK65" s="140">
        <v>0.0</v>
      </c>
      <c r="AL65" s="109">
        <v>0.0</v>
      </c>
      <c r="AM65" s="141">
        <v>0.0</v>
      </c>
      <c r="AN65" s="80">
        <v>0.0</v>
      </c>
      <c r="AO65" s="140">
        <v>0.0</v>
      </c>
      <c r="AP65" s="109">
        <v>0.0</v>
      </c>
      <c r="AQ65" s="109">
        <v>0.0</v>
      </c>
      <c r="AR65" s="80">
        <v>0.0</v>
      </c>
      <c r="AS65" s="110">
        <v>0.0</v>
      </c>
      <c r="AT65" s="110">
        <v>0.0</v>
      </c>
      <c r="AU65" s="110">
        <v>0.0</v>
      </c>
      <c r="AV65" s="142">
        <v>0.0</v>
      </c>
      <c r="AW65" s="80">
        <v>0.0</v>
      </c>
      <c r="AX65" s="113">
        <v>21.0</v>
      </c>
      <c r="AY65" s="117">
        <v>17.0</v>
      </c>
      <c r="AZ65" s="328">
        <v>4.0</v>
      </c>
      <c r="BA65" s="315">
        <v>0.0</v>
      </c>
      <c r="BB65" s="316">
        <v>21.0</v>
      </c>
      <c r="BC65" s="132" t="s">
        <v>265</v>
      </c>
      <c r="BD65" s="183" t="s">
        <v>227</v>
      </c>
      <c r="BE65" s="132" t="s">
        <v>178</v>
      </c>
      <c r="BF65" s="123"/>
      <c r="BG65" s="83">
        <v>1178815.0</v>
      </c>
      <c r="BH65" s="112">
        <v>1.0</v>
      </c>
      <c r="BI65" s="98" t="s">
        <v>155</v>
      </c>
      <c r="BJ65" s="98" t="str">
        <f t="shared" si="1"/>
        <v>NÃO</v>
      </c>
      <c r="BK65" s="98" t="str">
        <f t="shared" si="2"/>
        <v>NÃO</v>
      </c>
    </row>
    <row r="66" ht="15.75" customHeight="1">
      <c r="A66" s="111" t="s">
        <v>205</v>
      </c>
      <c r="B66" s="83" t="s">
        <v>426</v>
      </c>
      <c r="C66" s="83" t="s">
        <v>164</v>
      </c>
      <c r="D66" s="83">
        <v>1179431.0</v>
      </c>
      <c r="E66" s="83">
        <v>1178818.0</v>
      </c>
      <c r="F66" s="83"/>
      <c r="G66" s="114" t="s">
        <v>454</v>
      </c>
      <c r="H66" s="91" t="s">
        <v>455</v>
      </c>
      <c r="I66" s="114" t="s">
        <v>149</v>
      </c>
      <c r="J66" s="83" t="s">
        <v>456</v>
      </c>
      <c r="K66" s="83" t="s">
        <v>168</v>
      </c>
      <c r="L66" s="83" t="s">
        <v>169</v>
      </c>
      <c r="M66" s="82" t="s">
        <v>3052</v>
      </c>
      <c r="N66" s="82" t="s">
        <v>3054</v>
      </c>
      <c r="O66" s="82" t="s">
        <v>3056</v>
      </c>
      <c r="P66" s="82" t="s">
        <v>3058</v>
      </c>
      <c r="Q66" s="82"/>
      <c r="R66" s="82"/>
      <c r="S66" s="82" t="s">
        <v>3059</v>
      </c>
      <c r="T66" s="138">
        <v>2.0</v>
      </c>
      <c r="U66" s="341">
        <v>2.0</v>
      </c>
      <c r="V66" s="106">
        <v>0.0</v>
      </c>
      <c r="W66" s="107">
        <v>0.0</v>
      </c>
      <c r="X66" s="107">
        <v>0.0</v>
      </c>
      <c r="Y66" s="107">
        <v>0.0</v>
      </c>
      <c r="Z66" s="80">
        <v>0.0</v>
      </c>
      <c r="AA66" s="140">
        <v>0.0</v>
      </c>
      <c r="AB66" s="109">
        <v>0.0</v>
      </c>
      <c r="AC66" s="109">
        <v>0.0</v>
      </c>
      <c r="AD66" s="141">
        <v>0.0</v>
      </c>
      <c r="AE66" s="80">
        <v>0.0</v>
      </c>
      <c r="AF66" s="140">
        <v>37.0</v>
      </c>
      <c r="AG66" s="109">
        <v>27.0</v>
      </c>
      <c r="AH66" s="109">
        <v>0.0</v>
      </c>
      <c r="AI66" s="141">
        <v>0.0</v>
      </c>
      <c r="AJ66" s="80">
        <v>64.0</v>
      </c>
      <c r="AK66" s="140">
        <v>0.0</v>
      </c>
      <c r="AL66" s="109">
        <v>0.0</v>
      </c>
      <c r="AM66" s="141">
        <v>0.0</v>
      </c>
      <c r="AN66" s="80">
        <v>0.0</v>
      </c>
      <c r="AO66" s="140">
        <v>0.0</v>
      </c>
      <c r="AP66" s="109">
        <v>0.0</v>
      </c>
      <c r="AQ66" s="109">
        <v>0.0</v>
      </c>
      <c r="AR66" s="80">
        <v>0.0</v>
      </c>
      <c r="AS66" s="110">
        <v>0.0</v>
      </c>
      <c r="AT66" s="110">
        <v>0.0</v>
      </c>
      <c r="AU66" s="110">
        <v>0.0</v>
      </c>
      <c r="AV66" s="142">
        <v>0.0</v>
      </c>
      <c r="AW66" s="80">
        <v>0.0</v>
      </c>
      <c r="AX66" s="113">
        <v>64.0</v>
      </c>
      <c r="AY66" s="117">
        <v>64.0</v>
      </c>
      <c r="AZ66" s="328">
        <v>0.0</v>
      </c>
      <c r="BA66" s="315">
        <v>0.0</v>
      </c>
      <c r="BB66" s="316">
        <v>64.0</v>
      </c>
      <c r="BC66" s="132" t="s">
        <v>178</v>
      </c>
      <c r="BD66" s="143" t="s">
        <v>227</v>
      </c>
      <c r="BE66" s="132" t="s">
        <v>64</v>
      </c>
      <c r="BF66" s="123"/>
      <c r="BG66" s="83">
        <v>1178818.0</v>
      </c>
      <c r="BH66" s="112">
        <v>2.0</v>
      </c>
      <c r="BI66" s="98" t="s">
        <v>155</v>
      </c>
      <c r="BJ66" s="98" t="str">
        <f t="shared" si="1"/>
        <v>NÃO</v>
      </c>
      <c r="BK66" s="98" t="str">
        <f t="shared" si="2"/>
        <v>NÃO</v>
      </c>
    </row>
    <row r="67" ht="15.75" customHeight="1">
      <c r="A67" s="111" t="s">
        <v>205</v>
      </c>
      <c r="B67" s="83" t="s">
        <v>426</v>
      </c>
      <c r="C67" s="83" t="s">
        <v>164</v>
      </c>
      <c r="D67" s="83">
        <v>1179431.0</v>
      </c>
      <c r="E67" s="83">
        <v>1178809.0</v>
      </c>
      <c r="F67" s="83"/>
      <c r="G67" s="114" t="s">
        <v>457</v>
      </c>
      <c r="H67" s="91" t="s">
        <v>458</v>
      </c>
      <c r="I67" s="114" t="s">
        <v>149</v>
      </c>
      <c r="J67" s="83" t="s">
        <v>310</v>
      </c>
      <c r="K67" s="83" t="s">
        <v>151</v>
      </c>
      <c r="L67" s="83" t="s">
        <v>169</v>
      </c>
      <c r="M67" s="82" t="s">
        <v>3052</v>
      </c>
      <c r="N67" s="82" t="s">
        <v>3054</v>
      </c>
      <c r="O67" s="82" t="s">
        <v>3056</v>
      </c>
      <c r="P67" s="82" t="s">
        <v>3058</v>
      </c>
      <c r="Q67" s="82"/>
      <c r="R67" s="82"/>
      <c r="S67" s="82" t="s">
        <v>3059</v>
      </c>
      <c r="T67" s="138">
        <v>3.0</v>
      </c>
      <c r="U67" s="341">
        <v>3.0</v>
      </c>
      <c r="V67" s="106">
        <v>0.0</v>
      </c>
      <c r="W67" s="107">
        <v>0.0</v>
      </c>
      <c r="X67" s="107">
        <v>0.0</v>
      </c>
      <c r="Y67" s="107">
        <v>0.0</v>
      </c>
      <c r="Z67" s="80">
        <v>0.0</v>
      </c>
      <c r="AA67" s="140">
        <v>0.0</v>
      </c>
      <c r="AB67" s="109">
        <v>0.0</v>
      </c>
      <c r="AC67" s="109">
        <v>0.0</v>
      </c>
      <c r="AD67" s="141">
        <v>0.0</v>
      </c>
      <c r="AE67" s="80">
        <v>0.0</v>
      </c>
      <c r="AF67" s="140">
        <v>56.0</v>
      </c>
      <c r="AG67" s="109">
        <v>56.0</v>
      </c>
      <c r="AH67" s="109">
        <v>0.0</v>
      </c>
      <c r="AI67" s="141">
        <v>0.0</v>
      </c>
      <c r="AJ67" s="80">
        <v>112.0</v>
      </c>
      <c r="AK67" s="140">
        <v>0.0</v>
      </c>
      <c r="AL67" s="109">
        <v>0.0</v>
      </c>
      <c r="AM67" s="141">
        <v>0.0</v>
      </c>
      <c r="AN67" s="80">
        <v>0.0</v>
      </c>
      <c r="AO67" s="140">
        <v>0.0</v>
      </c>
      <c r="AP67" s="109">
        <v>0.0</v>
      </c>
      <c r="AQ67" s="109">
        <v>0.0</v>
      </c>
      <c r="AR67" s="80">
        <v>0.0</v>
      </c>
      <c r="AS67" s="110">
        <v>0.0</v>
      </c>
      <c r="AT67" s="110">
        <v>0.0</v>
      </c>
      <c r="AU67" s="110">
        <v>0.0</v>
      </c>
      <c r="AV67" s="142">
        <v>0.0</v>
      </c>
      <c r="AW67" s="80">
        <v>0.0</v>
      </c>
      <c r="AX67" s="113">
        <v>112.0</v>
      </c>
      <c r="AY67" s="117">
        <v>112.0</v>
      </c>
      <c r="AZ67" s="328">
        <v>0.0</v>
      </c>
      <c r="BA67" s="315">
        <v>0.0</v>
      </c>
      <c r="BB67" s="316">
        <v>112.0</v>
      </c>
      <c r="BC67" s="132" t="s">
        <v>178</v>
      </c>
      <c r="BD67" s="143" t="s">
        <v>227</v>
      </c>
      <c r="BE67" s="132" t="s">
        <v>178</v>
      </c>
      <c r="BF67" s="123"/>
      <c r="BG67" s="83">
        <v>1178809.0</v>
      </c>
      <c r="BH67" s="112">
        <v>3.0</v>
      </c>
      <c r="BI67" s="98" t="s">
        <v>155</v>
      </c>
      <c r="BJ67" s="98" t="str">
        <f t="shared" si="1"/>
        <v>NÃO</v>
      </c>
      <c r="BK67" s="98" t="str">
        <f t="shared" si="2"/>
        <v>NÃO</v>
      </c>
    </row>
    <row r="68" ht="15.75" customHeight="1">
      <c r="A68" s="111" t="s">
        <v>205</v>
      </c>
      <c r="B68" s="83" t="s">
        <v>426</v>
      </c>
      <c r="C68" s="83" t="s">
        <v>164</v>
      </c>
      <c r="D68" s="83">
        <v>1179431.0</v>
      </c>
      <c r="E68" s="83">
        <v>1178817.0</v>
      </c>
      <c r="F68" s="83"/>
      <c r="G68" s="114" t="s">
        <v>459</v>
      </c>
      <c r="H68" s="91" t="s">
        <v>460</v>
      </c>
      <c r="I68" s="114" t="s">
        <v>149</v>
      </c>
      <c r="J68" s="83" t="s">
        <v>461</v>
      </c>
      <c r="K68" s="83" t="s">
        <v>168</v>
      </c>
      <c r="L68" s="83" t="s">
        <v>169</v>
      </c>
      <c r="M68" s="82" t="s">
        <v>3052</v>
      </c>
      <c r="N68" s="82" t="s">
        <v>3054</v>
      </c>
      <c r="O68" s="82" t="s">
        <v>3056</v>
      </c>
      <c r="P68" s="82" t="s">
        <v>3058</v>
      </c>
      <c r="Q68" s="82"/>
      <c r="R68" s="82"/>
      <c r="S68" s="82" t="s">
        <v>3059</v>
      </c>
      <c r="T68" s="138">
        <v>1.0</v>
      </c>
      <c r="U68" s="341">
        <v>1.0</v>
      </c>
      <c r="V68" s="106">
        <v>0.0</v>
      </c>
      <c r="W68" s="107">
        <v>0.0</v>
      </c>
      <c r="X68" s="107">
        <v>0.0</v>
      </c>
      <c r="Y68" s="107">
        <v>0.0</v>
      </c>
      <c r="Z68" s="80">
        <v>0.0</v>
      </c>
      <c r="AA68" s="140">
        <v>0.0</v>
      </c>
      <c r="AB68" s="109">
        <v>0.0</v>
      </c>
      <c r="AC68" s="109">
        <v>0.0</v>
      </c>
      <c r="AD68" s="141">
        <v>0.0</v>
      </c>
      <c r="AE68" s="80">
        <v>0.0</v>
      </c>
      <c r="AF68" s="140">
        <v>9.0</v>
      </c>
      <c r="AG68" s="109">
        <v>7.0</v>
      </c>
      <c r="AH68" s="109">
        <v>14.0</v>
      </c>
      <c r="AI68" s="141">
        <v>0.0</v>
      </c>
      <c r="AJ68" s="80">
        <v>30.0</v>
      </c>
      <c r="AK68" s="140">
        <v>0.0</v>
      </c>
      <c r="AL68" s="109">
        <v>0.0</v>
      </c>
      <c r="AM68" s="141">
        <v>0.0</v>
      </c>
      <c r="AN68" s="80">
        <v>0.0</v>
      </c>
      <c r="AO68" s="140">
        <v>0.0</v>
      </c>
      <c r="AP68" s="109">
        <v>0.0</v>
      </c>
      <c r="AQ68" s="109">
        <v>0.0</v>
      </c>
      <c r="AR68" s="80">
        <v>0.0</v>
      </c>
      <c r="AS68" s="110">
        <v>0.0</v>
      </c>
      <c r="AT68" s="110">
        <v>0.0</v>
      </c>
      <c r="AU68" s="110">
        <v>0.0</v>
      </c>
      <c r="AV68" s="142">
        <v>0.0</v>
      </c>
      <c r="AW68" s="80">
        <v>0.0</v>
      </c>
      <c r="AX68" s="113">
        <v>30.0</v>
      </c>
      <c r="AY68" s="117">
        <v>16.0</v>
      </c>
      <c r="AZ68" s="328">
        <v>14.0</v>
      </c>
      <c r="BA68" s="315">
        <v>0.0</v>
      </c>
      <c r="BB68" s="316">
        <v>30.0</v>
      </c>
      <c r="BC68" s="132" t="s">
        <v>178</v>
      </c>
      <c r="BD68" s="143" t="s">
        <v>227</v>
      </c>
      <c r="BE68" s="132" t="s">
        <v>178</v>
      </c>
      <c r="BF68" s="123"/>
      <c r="BG68" s="83">
        <v>1178817.0</v>
      </c>
      <c r="BH68" s="112">
        <v>1.0</v>
      </c>
      <c r="BI68" s="98" t="s">
        <v>155</v>
      </c>
      <c r="BJ68" s="98" t="str">
        <f t="shared" si="1"/>
        <v>NÃO</v>
      </c>
      <c r="BK68" s="98" t="str">
        <f t="shared" si="2"/>
        <v>NÃO</v>
      </c>
    </row>
    <row r="69" ht="15.75" customHeight="1">
      <c r="A69" s="111" t="s">
        <v>205</v>
      </c>
      <c r="B69" s="83" t="s">
        <v>426</v>
      </c>
      <c r="C69" s="83" t="s">
        <v>164</v>
      </c>
      <c r="D69" s="83">
        <v>1179431.0</v>
      </c>
      <c r="E69" s="83">
        <v>1178811.0</v>
      </c>
      <c r="F69" s="83"/>
      <c r="G69" s="114" t="s">
        <v>462</v>
      </c>
      <c r="H69" s="91" t="s">
        <v>463</v>
      </c>
      <c r="I69" s="114" t="s">
        <v>149</v>
      </c>
      <c r="J69" s="83" t="s">
        <v>464</v>
      </c>
      <c r="K69" s="83" t="s">
        <v>168</v>
      </c>
      <c r="L69" s="83" t="s">
        <v>169</v>
      </c>
      <c r="M69" s="82" t="s">
        <v>3052</v>
      </c>
      <c r="N69" s="82" t="s">
        <v>3054</v>
      </c>
      <c r="O69" s="82" t="s">
        <v>3056</v>
      </c>
      <c r="P69" s="82" t="s">
        <v>3058</v>
      </c>
      <c r="Q69" s="82"/>
      <c r="R69" s="82"/>
      <c r="S69" s="82" t="s">
        <v>3059</v>
      </c>
      <c r="T69" s="138">
        <v>1.0</v>
      </c>
      <c r="U69" s="341">
        <v>1.0</v>
      </c>
      <c r="V69" s="106">
        <v>0.0</v>
      </c>
      <c r="W69" s="107">
        <v>0.0</v>
      </c>
      <c r="X69" s="107">
        <v>0.0</v>
      </c>
      <c r="Y69" s="107">
        <v>0.0</v>
      </c>
      <c r="Z69" s="80">
        <v>0.0</v>
      </c>
      <c r="AA69" s="140">
        <v>0.0</v>
      </c>
      <c r="AB69" s="109">
        <v>0.0</v>
      </c>
      <c r="AC69" s="109">
        <v>0.0</v>
      </c>
      <c r="AD69" s="141">
        <v>0.0</v>
      </c>
      <c r="AE69" s="80">
        <v>0.0</v>
      </c>
      <c r="AF69" s="140">
        <v>30.0</v>
      </c>
      <c r="AG69" s="109">
        <v>41.0</v>
      </c>
      <c r="AH69" s="109">
        <v>33.0</v>
      </c>
      <c r="AI69" s="141">
        <v>0.0</v>
      </c>
      <c r="AJ69" s="80">
        <v>104.0</v>
      </c>
      <c r="AK69" s="140">
        <v>0.0</v>
      </c>
      <c r="AL69" s="109">
        <v>0.0</v>
      </c>
      <c r="AM69" s="141">
        <v>0.0</v>
      </c>
      <c r="AN69" s="80">
        <v>0.0</v>
      </c>
      <c r="AO69" s="140">
        <v>0.0</v>
      </c>
      <c r="AP69" s="109">
        <v>0.0</v>
      </c>
      <c r="AQ69" s="109">
        <v>0.0</v>
      </c>
      <c r="AR69" s="80">
        <v>0.0</v>
      </c>
      <c r="AS69" s="110">
        <v>0.0</v>
      </c>
      <c r="AT69" s="110">
        <v>0.0</v>
      </c>
      <c r="AU69" s="110">
        <v>0.0</v>
      </c>
      <c r="AV69" s="142">
        <v>0.0</v>
      </c>
      <c r="AW69" s="80">
        <v>0.0</v>
      </c>
      <c r="AX69" s="113">
        <v>104.0</v>
      </c>
      <c r="AY69" s="117">
        <v>71.0</v>
      </c>
      <c r="AZ69" s="328">
        <v>33.0</v>
      </c>
      <c r="BA69" s="315">
        <v>0.0</v>
      </c>
      <c r="BB69" s="316">
        <v>104.0</v>
      </c>
      <c r="BC69" s="132" t="s">
        <v>178</v>
      </c>
      <c r="BD69" s="143" t="s">
        <v>227</v>
      </c>
      <c r="BE69" s="132" t="s">
        <v>178</v>
      </c>
      <c r="BF69" s="179"/>
      <c r="BG69" s="83">
        <v>1178811.0</v>
      </c>
      <c r="BH69" s="112">
        <v>1.0</v>
      </c>
      <c r="BI69" s="98" t="s">
        <v>155</v>
      </c>
      <c r="BJ69" s="98" t="str">
        <f t="shared" si="1"/>
        <v>NÃO</v>
      </c>
      <c r="BK69" s="98" t="str">
        <f t="shared" si="2"/>
        <v>NÃO</v>
      </c>
    </row>
    <row r="70" ht="15.75" customHeight="1">
      <c r="A70" s="111" t="s">
        <v>205</v>
      </c>
      <c r="B70" s="83" t="s">
        <v>426</v>
      </c>
      <c r="C70" s="83" t="s">
        <v>164</v>
      </c>
      <c r="D70" s="83">
        <v>1179431.0</v>
      </c>
      <c r="E70" s="83">
        <v>1178810.0</v>
      </c>
      <c r="F70" s="83"/>
      <c r="G70" s="114" t="s">
        <v>465</v>
      </c>
      <c r="H70" s="91" t="s">
        <v>466</v>
      </c>
      <c r="I70" s="114" t="s">
        <v>149</v>
      </c>
      <c r="J70" s="83" t="s">
        <v>467</v>
      </c>
      <c r="K70" s="83" t="s">
        <v>168</v>
      </c>
      <c r="L70" s="83" t="s">
        <v>169</v>
      </c>
      <c r="M70" s="82" t="s">
        <v>3052</v>
      </c>
      <c r="N70" s="82" t="s">
        <v>3054</v>
      </c>
      <c r="O70" s="82" t="s">
        <v>3056</v>
      </c>
      <c r="P70" s="82" t="s">
        <v>3058</v>
      </c>
      <c r="Q70" s="82"/>
      <c r="R70" s="82"/>
      <c r="S70" s="82" t="s">
        <v>3059</v>
      </c>
      <c r="T70" s="138">
        <v>1.0</v>
      </c>
      <c r="U70" s="341">
        <v>1.0</v>
      </c>
      <c r="V70" s="106">
        <v>0.0</v>
      </c>
      <c r="W70" s="107">
        <v>0.0</v>
      </c>
      <c r="X70" s="107">
        <v>0.0</v>
      </c>
      <c r="Y70" s="107">
        <v>0.0</v>
      </c>
      <c r="Z70" s="80">
        <v>0.0</v>
      </c>
      <c r="AA70" s="140">
        <v>0.0</v>
      </c>
      <c r="AB70" s="109">
        <v>0.0</v>
      </c>
      <c r="AC70" s="109">
        <v>0.0</v>
      </c>
      <c r="AD70" s="141">
        <v>0.0</v>
      </c>
      <c r="AE70" s="80">
        <v>0.0</v>
      </c>
      <c r="AF70" s="140">
        <v>9.0</v>
      </c>
      <c r="AG70" s="109">
        <v>11.0</v>
      </c>
      <c r="AH70" s="109">
        <v>8.0</v>
      </c>
      <c r="AI70" s="141">
        <v>0.0</v>
      </c>
      <c r="AJ70" s="80">
        <v>28.0</v>
      </c>
      <c r="AK70" s="140">
        <v>0.0</v>
      </c>
      <c r="AL70" s="109">
        <v>0.0</v>
      </c>
      <c r="AM70" s="141">
        <v>0.0</v>
      </c>
      <c r="AN70" s="80">
        <v>0.0</v>
      </c>
      <c r="AO70" s="140">
        <v>0.0</v>
      </c>
      <c r="AP70" s="109">
        <v>0.0</v>
      </c>
      <c r="AQ70" s="109">
        <v>0.0</v>
      </c>
      <c r="AR70" s="80">
        <v>0.0</v>
      </c>
      <c r="AS70" s="110">
        <v>0.0</v>
      </c>
      <c r="AT70" s="110">
        <v>0.0</v>
      </c>
      <c r="AU70" s="110">
        <v>0.0</v>
      </c>
      <c r="AV70" s="142">
        <v>0.0</v>
      </c>
      <c r="AW70" s="80">
        <v>0.0</v>
      </c>
      <c r="AX70" s="113">
        <v>28.0</v>
      </c>
      <c r="AY70" s="117">
        <v>20.0</v>
      </c>
      <c r="AZ70" s="328">
        <v>8.0</v>
      </c>
      <c r="BA70" s="315">
        <v>0.0</v>
      </c>
      <c r="BB70" s="316">
        <v>28.0</v>
      </c>
      <c r="BC70" s="132" t="s">
        <v>178</v>
      </c>
      <c r="BD70" s="143" t="s">
        <v>227</v>
      </c>
      <c r="BE70" s="132" t="s">
        <v>178</v>
      </c>
      <c r="BF70" s="123"/>
      <c r="BG70" s="83">
        <v>1178810.0</v>
      </c>
      <c r="BH70" s="112">
        <v>1.0</v>
      </c>
      <c r="BI70" s="98" t="s">
        <v>155</v>
      </c>
      <c r="BJ70" s="98" t="str">
        <f t="shared" si="1"/>
        <v>NÃO</v>
      </c>
      <c r="BK70" s="98" t="str">
        <f t="shared" si="2"/>
        <v>NÃO</v>
      </c>
    </row>
    <row r="71" ht="15.75" customHeight="1">
      <c r="A71" s="111" t="s">
        <v>205</v>
      </c>
      <c r="B71" s="83" t="s">
        <v>426</v>
      </c>
      <c r="C71" s="83" t="s">
        <v>164</v>
      </c>
      <c r="D71" s="83">
        <v>1179431.0</v>
      </c>
      <c r="E71" s="83">
        <v>1179451.0</v>
      </c>
      <c r="F71" s="83"/>
      <c r="G71" s="114" t="s">
        <v>468</v>
      </c>
      <c r="H71" s="91" t="s">
        <v>469</v>
      </c>
      <c r="I71" s="114" t="s">
        <v>470</v>
      </c>
      <c r="J71" s="83" t="s">
        <v>471</v>
      </c>
      <c r="K71" s="83" t="s">
        <v>168</v>
      </c>
      <c r="L71" s="83" t="s">
        <v>169</v>
      </c>
      <c r="M71" s="82" t="s">
        <v>3052</v>
      </c>
      <c r="N71" s="82" t="s">
        <v>3054</v>
      </c>
      <c r="O71" s="82" t="s">
        <v>3056</v>
      </c>
      <c r="P71" s="82" t="s">
        <v>3058</v>
      </c>
      <c r="Q71" s="82"/>
      <c r="R71" s="82"/>
      <c r="S71" s="82" t="s">
        <v>3059</v>
      </c>
      <c r="T71" s="138">
        <v>1.0</v>
      </c>
      <c r="U71" s="341">
        <v>1.0</v>
      </c>
      <c r="V71" s="106">
        <v>0.0</v>
      </c>
      <c r="W71" s="107">
        <v>0.0</v>
      </c>
      <c r="X71" s="107">
        <v>0.0</v>
      </c>
      <c r="Y71" s="107">
        <v>0.0</v>
      </c>
      <c r="Z71" s="80">
        <v>0.0</v>
      </c>
      <c r="AA71" s="140">
        <v>0.0</v>
      </c>
      <c r="AB71" s="109">
        <v>0.0</v>
      </c>
      <c r="AC71" s="109">
        <v>0.0</v>
      </c>
      <c r="AD71" s="141">
        <v>0.0</v>
      </c>
      <c r="AE71" s="80">
        <v>0.0</v>
      </c>
      <c r="AF71" s="140">
        <v>0.0</v>
      </c>
      <c r="AG71" s="109">
        <v>22.0</v>
      </c>
      <c r="AH71" s="109">
        <v>17.0</v>
      </c>
      <c r="AI71" s="141">
        <v>0.0</v>
      </c>
      <c r="AJ71" s="80">
        <v>39.0</v>
      </c>
      <c r="AK71" s="140">
        <v>0.0</v>
      </c>
      <c r="AL71" s="109">
        <v>0.0</v>
      </c>
      <c r="AM71" s="141">
        <v>0.0</v>
      </c>
      <c r="AN71" s="80">
        <v>0.0</v>
      </c>
      <c r="AO71" s="140">
        <v>0.0</v>
      </c>
      <c r="AP71" s="109">
        <v>0.0</v>
      </c>
      <c r="AQ71" s="109">
        <v>0.0</v>
      </c>
      <c r="AR71" s="80">
        <v>0.0</v>
      </c>
      <c r="AS71" s="110">
        <v>0.0</v>
      </c>
      <c r="AT71" s="110">
        <v>0.0</v>
      </c>
      <c r="AU71" s="110">
        <v>0.0</v>
      </c>
      <c r="AV71" s="142">
        <v>0.0</v>
      </c>
      <c r="AW71" s="80">
        <v>0.0</v>
      </c>
      <c r="AX71" s="113">
        <v>39.0</v>
      </c>
      <c r="AY71" s="117">
        <v>22.0</v>
      </c>
      <c r="AZ71" s="328">
        <v>17.0</v>
      </c>
      <c r="BA71" s="315">
        <v>0.0</v>
      </c>
      <c r="BB71" s="316">
        <v>39.0</v>
      </c>
      <c r="BC71" s="132" t="s">
        <v>178</v>
      </c>
      <c r="BD71" s="143" t="s">
        <v>227</v>
      </c>
      <c r="BE71" s="132" t="s">
        <v>178</v>
      </c>
      <c r="BF71" s="156"/>
      <c r="BG71" s="83">
        <v>1179451.0</v>
      </c>
      <c r="BH71" s="112">
        <v>1.0</v>
      </c>
      <c r="BI71" s="98" t="s">
        <v>155</v>
      </c>
      <c r="BJ71" s="98" t="str">
        <f t="shared" si="1"/>
        <v>NÃO</v>
      </c>
      <c r="BK71" s="98" t="str">
        <f t="shared" si="2"/>
        <v>NÃO</v>
      </c>
    </row>
    <row r="72" ht="15.75" customHeight="1">
      <c r="A72" s="111" t="s">
        <v>205</v>
      </c>
      <c r="B72" s="83" t="s">
        <v>472</v>
      </c>
      <c r="C72" s="83" t="s">
        <v>68</v>
      </c>
      <c r="D72" s="83">
        <v>1176437.0</v>
      </c>
      <c r="E72" s="83"/>
      <c r="F72" s="83">
        <v>2.9385334E7</v>
      </c>
      <c r="G72" s="114" t="s">
        <v>473</v>
      </c>
      <c r="H72" s="91" t="s">
        <v>474</v>
      </c>
      <c r="I72" s="114" t="s">
        <v>475</v>
      </c>
      <c r="J72" s="83" t="s">
        <v>150</v>
      </c>
      <c r="K72" s="83" t="s">
        <v>151</v>
      </c>
      <c r="L72" s="83" t="s">
        <v>230</v>
      </c>
      <c r="M72" s="82" t="s">
        <v>3141</v>
      </c>
      <c r="N72" s="82" t="s">
        <v>3142</v>
      </c>
      <c r="O72" s="82" t="s">
        <v>3143</v>
      </c>
      <c r="P72" s="82" t="s">
        <v>3144</v>
      </c>
      <c r="Q72" s="82" t="s">
        <v>3145</v>
      </c>
      <c r="R72" s="82" t="s">
        <v>3146</v>
      </c>
      <c r="S72" s="82" t="s">
        <v>3147</v>
      </c>
      <c r="T72" s="138">
        <v>19.0</v>
      </c>
      <c r="U72" s="331">
        <v>16.0</v>
      </c>
      <c r="V72" s="106">
        <v>0.0</v>
      </c>
      <c r="W72" s="107">
        <v>0.0</v>
      </c>
      <c r="X72" s="107">
        <v>0.0</v>
      </c>
      <c r="Y72" s="107">
        <v>0.0</v>
      </c>
      <c r="Z72" s="80">
        <v>0.0</v>
      </c>
      <c r="AA72" s="140">
        <v>0.0</v>
      </c>
      <c r="AB72" s="109">
        <v>0.0</v>
      </c>
      <c r="AC72" s="109">
        <v>0.0</v>
      </c>
      <c r="AD72" s="141">
        <v>0.0</v>
      </c>
      <c r="AE72" s="80">
        <v>0.0</v>
      </c>
      <c r="AF72" s="140">
        <v>470.0</v>
      </c>
      <c r="AG72" s="109">
        <v>324.0</v>
      </c>
      <c r="AH72" s="109">
        <v>70.0</v>
      </c>
      <c r="AI72" s="141">
        <v>41.0</v>
      </c>
      <c r="AJ72" s="80">
        <v>905.0</v>
      </c>
      <c r="AK72" s="140">
        <v>0.0</v>
      </c>
      <c r="AL72" s="109">
        <v>0.0</v>
      </c>
      <c r="AM72" s="141">
        <v>0.0</v>
      </c>
      <c r="AN72" s="80">
        <v>0.0</v>
      </c>
      <c r="AO72" s="140">
        <v>0.0</v>
      </c>
      <c r="AP72" s="109">
        <v>0.0</v>
      </c>
      <c r="AQ72" s="109">
        <v>125.0</v>
      </c>
      <c r="AR72" s="80">
        <v>125.0</v>
      </c>
      <c r="AS72" s="110">
        <v>0.0</v>
      </c>
      <c r="AT72" s="110">
        <v>0.0</v>
      </c>
      <c r="AU72" s="110">
        <v>0.0</v>
      </c>
      <c r="AV72" s="142">
        <v>0.0</v>
      </c>
      <c r="AW72" s="80">
        <v>0.0</v>
      </c>
      <c r="AX72" s="113">
        <v>1030.0</v>
      </c>
      <c r="AY72" s="117">
        <v>835.0</v>
      </c>
      <c r="AZ72" s="328">
        <v>195.0</v>
      </c>
      <c r="BA72" s="315">
        <v>0.0</v>
      </c>
      <c r="BB72" s="316">
        <v>1030.0</v>
      </c>
      <c r="BC72" s="132" t="s">
        <v>178</v>
      </c>
      <c r="BD72" s="132" t="s">
        <v>178</v>
      </c>
      <c r="BE72" s="132" t="s">
        <v>178</v>
      </c>
      <c r="BF72" s="156"/>
      <c r="BG72" s="83">
        <v>1176437.0</v>
      </c>
      <c r="BH72" s="112">
        <v>16.0</v>
      </c>
      <c r="BI72" s="98" t="s">
        <v>155</v>
      </c>
      <c r="BJ72" s="98" t="str">
        <f t="shared" si="1"/>
        <v>INTEGRAL</v>
      </c>
      <c r="BK72" s="98" t="str">
        <f t="shared" si="2"/>
        <v>NÃO</v>
      </c>
    </row>
    <row r="73" ht="15.75" customHeight="1">
      <c r="A73" s="111" t="s">
        <v>205</v>
      </c>
      <c r="B73" s="83" t="s">
        <v>472</v>
      </c>
      <c r="C73" s="83" t="s">
        <v>68</v>
      </c>
      <c r="D73" s="83">
        <v>1131720.0</v>
      </c>
      <c r="E73" s="83"/>
      <c r="F73" s="83">
        <v>2.9043085E7</v>
      </c>
      <c r="G73" s="114" t="s">
        <v>479</v>
      </c>
      <c r="H73" s="91" t="s">
        <v>480</v>
      </c>
      <c r="I73" s="114" t="s">
        <v>149</v>
      </c>
      <c r="J73" s="83" t="s">
        <v>150</v>
      </c>
      <c r="K73" s="83" t="s">
        <v>151</v>
      </c>
      <c r="L73" s="83" t="s">
        <v>230</v>
      </c>
      <c r="M73" s="82" t="s">
        <v>3153</v>
      </c>
      <c r="N73" s="82" t="s">
        <v>3154</v>
      </c>
      <c r="O73" s="82" t="s">
        <v>3155</v>
      </c>
      <c r="P73" s="82" t="s">
        <v>3156</v>
      </c>
      <c r="Q73" s="82" t="s">
        <v>3157</v>
      </c>
      <c r="R73" s="82" t="s">
        <v>3158</v>
      </c>
      <c r="S73" s="82" t="s">
        <v>3159</v>
      </c>
      <c r="T73" s="138">
        <v>22.0</v>
      </c>
      <c r="U73" s="331" t="s">
        <v>3160</v>
      </c>
      <c r="V73" s="106">
        <v>0.0</v>
      </c>
      <c r="W73" s="107">
        <v>0.0</v>
      </c>
      <c r="X73" s="107">
        <v>0.0</v>
      </c>
      <c r="Y73" s="107">
        <v>0.0</v>
      </c>
      <c r="Z73" s="80">
        <v>0.0</v>
      </c>
      <c r="AA73" s="140">
        <v>0.0</v>
      </c>
      <c r="AB73" s="109">
        <v>0.0</v>
      </c>
      <c r="AC73" s="109">
        <v>0.0</v>
      </c>
      <c r="AD73" s="141">
        <v>0.0</v>
      </c>
      <c r="AE73" s="80">
        <v>0.0</v>
      </c>
      <c r="AF73" s="140">
        <v>104.0</v>
      </c>
      <c r="AG73" s="109">
        <v>230.0</v>
      </c>
      <c r="AH73" s="109">
        <v>52.0</v>
      </c>
      <c r="AI73" s="141">
        <v>181.0</v>
      </c>
      <c r="AJ73" s="80">
        <v>567.0</v>
      </c>
      <c r="AK73" s="140">
        <v>0.0</v>
      </c>
      <c r="AL73" s="109">
        <v>0.0</v>
      </c>
      <c r="AM73" s="141">
        <v>0.0</v>
      </c>
      <c r="AN73" s="80">
        <v>0.0</v>
      </c>
      <c r="AO73" s="140">
        <v>0.0</v>
      </c>
      <c r="AP73" s="109">
        <v>0.0</v>
      </c>
      <c r="AQ73" s="109">
        <v>191.0</v>
      </c>
      <c r="AR73" s="80">
        <v>191.0</v>
      </c>
      <c r="AS73" s="110">
        <v>299.0</v>
      </c>
      <c r="AT73" s="110">
        <v>88.0</v>
      </c>
      <c r="AU73" s="110">
        <v>0.0</v>
      </c>
      <c r="AV73" s="142">
        <v>94.0</v>
      </c>
      <c r="AW73" s="80">
        <v>481.0</v>
      </c>
      <c r="AX73" s="113">
        <v>1239.0</v>
      </c>
      <c r="AY73" s="117">
        <v>996.0</v>
      </c>
      <c r="AZ73" s="328">
        <v>243.0</v>
      </c>
      <c r="BA73" s="315">
        <v>0.0</v>
      </c>
      <c r="BB73" s="316">
        <v>1239.0</v>
      </c>
      <c r="BC73" s="132" t="s">
        <v>178</v>
      </c>
      <c r="BD73" s="132" t="s">
        <v>178</v>
      </c>
      <c r="BE73" s="132" t="s">
        <v>178</v>
      </c>
      <c r="BF73" s="123"/>
      <c r="BG73" s="83">
        <v>1131720.0</v>
      </c>
      <c r="BH73" s="98">
        <v>23.0</v>
      </c>
      <c r="BI73" s="98" t="s">
        <v>284</v>
      </c>
      <c r="BJ73" s="98" t="str">
        <f t="shared" si="1"/>
        <v>INTEGRAL</v>
      </c>
      <c r="BK73" s="98" t="str">
        <f t="shared" si="2"/>
        <v>PROFISSIONAL</v>
      </c>
    </row>
    <row r="74" ht="15.75" customHeight="1">
      <c r="A74" s="111" t="s">
        <v>205</v>
      </c>
      <c r="B74" s="83" t="s">
        <v>472</v>
      </c>
      <c r="C74" s="83" t="s">
        <v>68</v>
      </c>
      <c r="D74" s="83">
        <v>1179668.0</v>
      </c>
      <c r="E74" s="83"/>
      <c r="F74" s="83">
        <v>2.9474892E7</v>
      </c>
      <c r="G74" s="114" t="s">
        <v>483</v>
      </c>
      <c r="H74" s="91" t="s">
        <v>484</v>
      </c>
      <c r="I74" s="125" t="s">
        <v>149</v>
      </c>
      <c r="J74" s="83" t="s">
        <v>485</v>
      </c>
      <c r="K74" s="83" t="s">
        <v>168</v>
      </c>
      <c r="L74" s="83" t="s">
        <v>169</v>
      </c>
      <c r="M74" s="82" t="s">
        <v>3164</v>
      </c>
      <c r="N74" s="82" t="s">
        <v>3165</v>
      </c>
      <c r="O74" s="82"/>
      <c r="P74" s="82"/>
      <c r="Q74" s="82"/>
      <c r="R74" s="82"/>
      <c r="S74" s="82"/>
      <c r="T74" s="138">
        <v>6.0</v>
      </c>
      <c r="U74" s="331" t="s">
        <v>986</v>
      </c>
      <c r="V74" s="106">
        <v>0.0</v>
      </c>
      <c r="W74" s="107">
        <v>0.0</v>
      </c>
      <c r="X74" s="107">
        <v>0.0</v>
      </c>
      <c r="Y74" s="107">
        <v>0.0</v>
      </c>
      <c r="Z74" s="80">
        <v>0.0</v>
      </c>
      <c r="AA74" s="140">
        <v>0.0</v>
      </c>
      <c r="AB74" s="109">
        <v>0.0</v>
      </c>
      <c r="AC74" s="109">
        <v>0.0</v>
      </c>
      <c r="AD74" s="141">
        <v>0.0</v>
      </c>
      <c r="AE74" s="80">
        <v>0.0</v>
      </c>
      <c r="AF74" s="140">
        <v>0.0</v>
      </c>
      <c r="AG74" s="109">
        <v>59.0</v>
      </c>
      <c r="AH74" s="109">
        <v>26.0</v>
      </c>
      <c r="AI74" s="141">
        <v>0.0</v>
      </c>
      <c r="AJ74" s="80">
        <v>85.0</v>
      </c>
      <c r="AK74" s="140">
        <v>0.0</v>
      </c>
      <c r="AL74" s="109">
        <v>0.0</v>
      </c>
      <c r="AM74" s="141">
        <v>0.0</v>
      </c>
      <c r="AN74" s="80">
        <v>0.0</v>
      </c>
      <c r="AO74" s="140">
        <v>0.0</v>
      </c>
      <c r="AP74" s="109">
        <v>0.0</v>
      </c>
      <c r="AQ74" s="109">
        <v>26.0</v>
      </c>
      <c r="AR74" s="80">
        <v>26.0</v>
      </c>
      <c r="AS74" s="110">
        <v>0.0</v>
      </c>
      <c r="AT74" s="110">
        <v>0.0</v>
      </c>
      <c r="AU74" s="110">
        <v>0.0</v>
      </c>
      <c r="AV74" s="142">
        <v>0.0</v>
      </c>
      <c r="AW74" s="80">
        <v>0.0</v>
      </c>
      <c r="AX74" s="113">
        <v>111.0</v>
      </c>
      <c r="AY74" s="117">
        <v>59.0</v>
      </c>
      <c r="AZ74" s="328">
        <v>52.0</v>
      </c>
      <c r="BA74" s="315">
        <v>0.0</v>
      </c>
      <c r="BB74" s="316">
        <v>111.0</v>
      </c>
      <c r="BC74" s="132" t="s">
        <v>178</v>
      </c>
      <c r="BD74" s="132" t="s">
        <v>178</v>
      </c>
      <c r="BE74" s="132" t="s">
        <v>178</v>
      </c>
      <c r="BF74" s="156"/>
      <c r="BG74" s="83">
        <v>1179668.0</v>
      </c>
      <c r="BH74" s="98">
        <v>5.0</v>
      </c>
      <c r="BI74" s="98" t="s">
        <v>162</v>
      </c>
      <c r="BJ74" s="98" t="str">
        <f t="shared" si="1"/>
        <v>NÃO</v>
      </c>
      <c r="BK74" s="98" t="str">
        <f t="shared" si="2"/>
        <v>NÃO</v>
      </c>
    </row>
    <row r="75" ht="15.75" customHeight="1">
      <c r="A75" s="111" t="s">
        <v>205</v>
      </c>
      <c r="B75" s="83" t="s">
        <v>472</v>
      </c>
      <c r="C75" s="83" t="s">
        <v>68</v>
      </c>
      <c r="D75" s="83">
        <v>1178018.0</v>
      </c>
      <c r="E75" s="83"/>
      <c r="F75" s="83">
        <v>2.942794E7</v>
      </c>
      <c r="G75" s="114" t="s">
        <v>489</v>
      </c>
      <c r="H75" s="91" t="s">
        <v>3168</v>
      </c>
      <c r="I75" s="298" t="s">
        <v>491</v>
      </c>
      <c r="J75" s="83" t="s">
        <v>464</v>
      </c>
      <c r="K75" s="83" t="s">
        <v>492</v>
      </c>
      <c r="L75" s="83" t="s">
        <v>169</v>
      </c>
      <c r="M75" s="82" t="s">
        <v>3171</v>
      </c>
      <c r="N75" s="82" t="s">
        <v>3172</v>
      </c>
      <c r="O75" s="82"/>
      <c r="P75" s="82"/>
      <c r="Q75" s="82"/>
      <c r="R75" s="82"/>
      <c r="S75" s="82" t="s">
        <v>3173</v>
      </c>
      <c r="T75" s="138">
        <v>3.0</v>
      </c>
      <c r="U75" s="323">
        <v>3.0</v>
      </c>
      <c r="V75" s="106">
        <v>0.0</v>
      </c>
      <c r="W75" s="107">
        <v>0.0</v>
      </c>
      <c r="X75" s="107">
        <v>0.0</v>
      </c>
      <c r="Y75" s="107">
        <v>0.0</v>
      </c>
      <c r="Z75" s="80">
        <v>0.0</v>
      </c>
      <c r="AA75" s="140">
        <v>0.0</v>
      </c>
      <c r="AB75" s="109">
        <v>0.0</v>
      </c>
      <c r="AC75" s="109">
        <v>0.0</v>
      </c>
      <c r="AD75" s="141">
        <v>0.0</v>
      </c>
      <c r="AE75" s="80">
        <v>0.0</v>
      </c>
      <c r="AF75" s="140">
        <v>0.0</v>
      </c>
      <c r="AG75" s="109">
        <v>96.0</v>
      </c>
      <c r="AH75" s="109">
        <v>39.0</v>
      </c>
      <c r="AI75" s="141">
        <v>0.0</v>
      </c>
      <c r="AJ75" s="80">
        <v>135.0</v>
      </c>
      <c r="AK75" s="140">
        <v>0.0</v>
      </c>
      <c r="AL75" s="109">
        <v>0.0</v>
      </c>
      <c r="AM75" s="141">
        <v>0.0</v>
      </c>
      <c r="AN75" s="80">
        <v>0.0</v>
      </c>
      <c r="AO75" s="140">
        <v>0.0</v>
      </c>
      <c r="AP75" s="109">
        <v>0.0</v>
      </c>
      <c r="AQ75" s="109">
        <v>28.0</v>
      </c>
      <c r="AR75" s="80">
        <v>28.0</v>
      </c>
      <c r="AS75" s="110">
        <v>0.0</v>
      </c>
      <c r="AT75" s="110">
        <v>0.0</v>
      </c>
      <c r="AU75" s="110">
        <v>0.0</v>
      </c>
      <c r="AV75" s="142">
        <v>0.0</v>
      </c>
      <c r="AW75" s="80">
        <v>0.0</v>
      </c>
      <c r="AX75" s="113">
        <v>163.0</v>
      </c>
      <c r="AY75" s="117">
        <v>96.0</v>
      </c>
      <c r="AZ75" s="328">
        <v>67.0</v>
      </c>
      <c r="BA75" s="315">
        <v>0.0</v>
      </c>
      <c r="BB75" s="316">
        <v>163.0</v>
      </c>
      <c r="BC75" s="132" t="s">
        <v>373</v>
      </c>
      <c r="BD75" s="132" t="s">
        <v>178</v>
      </c>
      <c r="BE75" s="132" t="s">
        <v>178</v>
      </c>
      <c r="BF75" s="181"/>
      <c r="BG75" s="83">
        <v>1178018.0</v>
      </c>
      <c r="BH75" s="112">
        <v>3.0</v>
      </c>
      <c r="BI75" s="98" t="s">
        <v>155</v>
      </c>
      <c r="BJ75" s="98" t="str">
        <f t="shared" si="1"/>
        <v>NÃO</v>
      </c>
      <c r="BK75" s="98" t="str">
        <f t="shared" si="2"/>
        <v>NÃO</v>
      </c>
    </row>
    <row r="76" ht="15.75" customHeight="1">
      <c r="A76" s="111" t="s">
        <v>205</v>
      </c>
      <c r="B76" s="83" t="s">
        <v>472</v>
      </c>
      <c r="C76" s="83" t="s">
        <v>68</v>
      </c>
      <c r="D76" s="83">
        <v>1179704.0</v>
      </c>
      <c r="E76" s="83"/>
      <c r="F76" s="83">
        <v>2.9481325E7</v>
      </c>
      <c r="G76" s="187" t="s">
        <v>3177</v>
      </c>
      <c r="H76" s="91" t="s">
        <v>495</v>
      </c>
      <c r="I76" s="298" t="s">
        <v>496</v>
      </c>
      <c r="J76" s="98" t="s">
        <v>150</v>
      </c>
      <c r="K76" s="98" t="s">
        <v>168</v>
      </c>
      <c r="L76" s="98" t="s">
        <v>230</v>
      </c>
      <c r="M76" s="82" t="s">
        <v>3178</v>
      </c>
      <c r="N76" s="82" t="s">
        <v>171</v>
      </c>
      <c r="O76" s="82" t="s">
        <v>3179</v>
      </c>
      <c r="P76" s="82" t="s">
        <v>3180</v>
      </c>
      <c r="Q76" s="82"/>
      <c r="R76" s="82"/>
      <c r="S76" s="82" t="s">
        <v>3181</v>
      </c>
      <c r="T76" s="138">
        <v>12.0</v>
      </c>
      <c r="U76" s="323">
        <v>12.0</v>
      </c>
      <c r="V76" s="355">
        <v>0.0</v>
      </c>
      <c r="W76" s="246">
        <v>0.0</v>
      </c>
      <c r="X76" s="246">
        <v>0.0</v>
      </c>
      <c r="Y76" s="246">
        <v>0.0</v>
      </c>
      <c r="Z76" s="80">
        <v>0.0</v>
      </c>
      <c r="AA76" s="140">
        <v>165.0</v>
      </c>
      <c r="AB76" s="109">
        <v>288.0</v>
      </c>
      <c r="AC76" s="109">
        <v>0.0</v>
      </c>
      <c r="AD76" s="141">
        <v>0.0</v>
      </c>
      <c r="AE76" s="80">
        <v>453.0</v>
      </c>
      <c r="AF76" s="140">
        <v>164.0</v>
      </c>
      <c r="AG76" s="109">
        <v>0.0</v>
      </c>
      <c r="AH76" s="109">
        <v>0.0</v>
      </c>
      <c r="AI76" s="141">
        <v>0.0</v>
      </c>
      <c r="AJ76" s="80">
        <v>164.0</v>
      </c>
      <c r="AK76" s="140">
        <v>0.0</v>
      </c>
      <c r="AL76" s="109">
        <v>0.0</v>
      </c>
      <c r="AM76" s="141">
        <v>0.0</v>
      </c>
      <c r="AN76" s="80">
        <v>0.0</v>
      </c>
      <c r="AO76" s="140">
        <v>0.0</v>
      </c>
      <c r="AP76" s="109">
        <v>0.0</v>
      </c>
      <c r="AQ76" s="109">
        <v>0.0</v>
      </c>
      <c r="AR76" s="80">
        <v>0.0</v>
      </c>
      <c r="AS76" s="110">
        <v>0.0</v>
      </c>
      <c r="AT76" s="110">
        <v>0.0</v>
      </c>
      <c r="AU76" s="110">
        <v>0.0</v>
      </c>
      <c r="AV76" s="142">
        <v>0.0</v>
      </c>
      <c r="AW76" s="80">
        <v>0.0</v>
      </c>
      <c r="AX76" s="113">
        <v>617.0</v>
      </c>
      <c r="AY76" s="117">
        <v>617.0</v>
      </c>
      <c r="AZ76" s="328">
        <v>0.0</v>
      </c>
      <c r="BA76" s="315">
        <v>0.0</v>
      </c>
      <c r="BB76" s="316">
        <v>617.0</v>
      </c>
      <c r="BC76" s="143" t="s">
        <v>1014</v>
      </c>
      <c r="BD76" s="132" t="s">
        <v>178</v>
      </c>
      <c r="BE76" s="132" t="s">
        <v>178</v>
      </c>
      <c r="BF76" s="156"/>
      <c r="BG76" s="83">
        <v>1179704.0</v>
      </c>
      <c r="BH76" s="112">
        <v>12.0</v>
      </c>
      <c r="BI76" s="98" t="s">
        <v>162</v>
      </c>
      <c r="BJ76" s="98" t="str">
        <f t="shared" si="1"/>
        <v>NÃO</v>
      </c>
      <c r="BK76" s="98" t="str">
        <f t="shared" si="2"/>
        <v>NÃO</v>
      </c>
    </row>
    <row r="77" ht="15.75" customHeight="1">
      <c r="A77" s="111" t="s">
        <v>205</v>
      </c>
      <c r="B77" s="83" t="s">
        <v>472</v>
      </c>
      <c r="C77" s="83" t="s">
        <v>68</v>
      </c>
      <c r="D77" s="83">
        <v>1179282.0</v>
      </c>
      <c r="E77" s="83"/>
      <c r="F77" s="83">
        <v>2.9461499E7</v>
      </c>
      <c r="G77" s="114" t="s">
        <v>500</v>
      </c>
      <c r="H77" s="91" t="s">
        <v>501</v>
      </c>
      <c r="I77" s="298" t="s">
        <v>502</v>
      </c>
      <c r="J77" s="83" t="s">
        <v>150</v>
      </c>
      <c r="K77" s="83" t="s">
        <v>151</v>
      </c>
      <c r="L77" s="172" t="s">
        <v>230</v>
      </c>
      <c r="M77" s="82" t="s">
        <v>3191</v>
      </c>
      <c r="N77" s="82" t="s">
        <v>3192</v>
      </c>
      <c r="O77" s="82" t="s">
        <v>3193</v>
      </c>
      <c r="P77" s="82" t="s">
        <v>3194</v>
      </c>
      <c r="Q77" s="82"/>
      <c r="R77" s="82"/>
      <c r="S77" s="82" t="s">
        <v>3195</v>
      </c>
      <c r="T77" s="138" t="s">
        <v>171</v>
      </c>
      <c r="U77" s="345" t="s">
        <v>533</v>
      </c>
      <c r="V77" s="106">
        <v>0.0</v>
      </c>
      <c r="W77" s="107">
        <v>0.0</v>
      </c>
      <c r="X77" s="107">
        <v>0.0</v>
      </c>
      <c r="Y77" s="107">
        <v>0.0</v>
      </c>
      <c r="Z77" s="80">
        <v>0.0</v>
      </c>
      <c r="AA77" s="140">
        <v>0.0</v>
      </c>
      <c r="AB77" s="109">
        <v>0.0</v>
      </c>
      <c r="AC77" s="109">
        <v>0.0</v>
      </c>
      <c r="AD77" s="141">
        <v>0.0</v>
      </c>
      <c r="AE77" s="80">
        <v>0.0</v>
      </c>
      <c r="AF77" s="140">
        <v>0.0</v>
      </c>
      <c r="AG77" s="109">
        <v>0.0</v>
      </c>
      <c r="AH77" s="109">
        <v>0.0</v>
      </c>
      <c r="AI77" s="141">
        <v>0.0</v>
      </c>
      <c r="AJ77" s="80">
        <v>0.0</v>
      </c>
      <c r="AK77" s="140">
        <v>0.0</v>
      </c>
      <c r="AL77" s="109">
        <v>0.0</v>
      </c>
      <c r="AM77" s="141">
        <v>0.0</v>
      </c>
      <c r="AN77" s="80">
        <v>0.0</v>
      </c>
      <c r="AO77" s="140">
        <v>0.0</v>
      </c>
      <c r="AP77" s="109">
        <v>0.0</v>
      </c>
      <c r="AQ77" s="109">
        <v>0.0</v>
      </c>
      <c r="AR77" s="80">
        <v>0.0</v>
      </c>
      <c r="AS77" s="110">
        <v>0.0</v>
      </c>
      <c r="AT77" s="110">
        <v>0.0</v>
      </c>
      <c r="AU77" s="110">
        <v>0.0</v>
      </c>
      <c r="AV77" s="142">
        <v>0.0</v>
      </c>
      <c r="AW77" s="80">
        <v>0.0</v>
      </c>
      <c r="AX77" s="113">
        <v>0.0</v>
      </c>
      <c r="AY77" s="117">
        <v>0.0</v>
      </c>
      <c r="AZ77" s="328">
        <v>0.0</v>
      </c>
      <c r="BA77" s="315">
        <v>0.0</v>
      </c>
      <c r="BB77" s="316">
        <v>0.0</v>
      </c>
      <c r="BC77" s="132" t="s">
        <v>178</v>
      </c>
      <c r="BD77" s="143" t="s">
        <v>227</v>
      </c>
      <c r="BE77" s="132" t="s">
        <v>178</v>
      </c>
      <c r="BF77" s="156" t="s">
        <v>534</v>
      </c>
      <c r="BG77" s="83">
        <v>1179282.0</v>
      </c>
      <c r="BH77" s="98">
        <v>0.0</v>
      </c>
      <c r="BI77" s="98" t="s">
        <v>155</v>
      </c>
      <c r="BJ77" s="98" t="str">
        <f t="shared" si="1"/>
        <v>NÃO</v>
      </c>
      <c r="BK77" s="98" t="str">
        <f t="shared" si="2"/>
        <v>NÃO</v>
      </c>
    </row>
    <row r="78" ht="15.75" customHeight="1">
      <c r="A78" s="111" t="s">
        <v>205</v>
      </c>
      <c r="B78" s="83" t="s">
        <v>472</v>
      </c>
      <c r="C78" s="83" t="s">
        <v>164</v>
      </c>
      <c r="D78" s="83">
        <v>1179668.0</v>
      </c>
      <c r="E78" s="83">
        <v>1178909.0</v>
      </c>
      <c r="F78" s="83"/>
      <c r="G78" s="114" t="s">
        <v>506</v>
      </c>
      <c r="H78" s="91" t="s">
        <v>507</v>
      </c>
      <c r="I78" s="114" t="s">
        <v>149</v>
      </c>
      <c r="J78" s="83" t="s">
        <v>508</v>
      </c>
      <c r="K78" s="83" t="s">
        <v>168</v>
      </c>
      <c r="L78" s="83" t="s">
        <v>169</v>
      </c>
      <c r="M78" s="82" t="s">
        <v>3164</v>
      </c>
      <c r="N78" s="82" t="s">
        <v>3165</v>
      </c>
      <c r="O78" s="82"/>
      <c r="P78" s="82"/>
      <c r="Q78" s="82"/>
      <c r="R78" s="82"/>
      <c r="S78" s="82"/>
      <c r="T78" s="138">
        <v>3.0</v>
      </c>
      <c r="U78" s="323">
        <v>3.0</v>
      </c>
      <c r="V78" s="106">
        <v>0.0</v>
      </c>
      <c r="W78" s="107">
        <v>0.0</v>
      </c>
      <c r="X78" s="107">
        <v>0.0</v>
      </c>
      <c r="Y78" s="107">
        <v>0.0</v>
      </c>
      <c r="Z78" s="80">
        <v>0.0</v>
      </c>
      <c r="AA78" s="140">
        <v>0.0</v>
      </c>
      <c r="AB78" s="109">
        <v>0.0</v>
      </c>
      <c r="AC78" s="109">
        <v>0.0</v>
      </c>
      <c r="AD78" s="141">
        <v>0.0</v>
      </c>
      <c r="AE78" s="80">
        <v>0.0</v>
      </c>
      <c r="AF78" s="140">
        <v>0.0</v>
      </c>
      <c r="AG78" s="109">
        <v>0.0</v>
      </c>
      <c r="AH78" s="109">
        <v>33.0</v>
      </c>
      <c r="AI78" s="141">
        <v>0.0</v>
      </c>
      <c r="AJ78" s="80">
        <v>33.0</v>
      </c>
      <c r="AK78" s="140">
        <v>0.0</v>
      </c>
      <c r="AL78" s="109">
        <v>0.0</v>
      </c>
      <c r="AM78" s="141">
        <v>0.0</v>
      </c>
      <c r="AN78" s="80">
        <v>0.0</v>
      </c>
      <c r="AO78" s="140">
        <v>0.0</v>
      </c>
      <c r="AP78" s="109">
        <v>0.0</v>
      </c>
      <c r="AQ78" s="109">
        <v>72.0</v>
      </c>
      <c r="AR78" s="80">
        <v>72.0</v>
      </c>
      <c r="AS78" s="110">
        <v>0.0</v>
      </c>
      <c r="AT78" s="110">
        <v>0.0</v>
      </c>
      <c r="AU78" s="110">
        <v>0.0</v>
      </c>
      <c r="AV78" s="142">
        <v>0.0</v>
      </c>
      <c r="AW78" s="80">
        <v>0.0</v>
      </c>
      <c r="AX78" s="113">
        <v>105.0</v>
      </c>
      <c r="AY78" s="117">
        <v>0.0</v>
      </c>
      <c r="AZ78" s="328">
        <v>105.0</v>
      </c>
      <c r="BA78" s="315">
        <v>0.0</v>
      </c>
      <c r="BB78" s="316">
        <v>105.0</v>
      </c>
      <c r="BC78" s="132" t="s">
        <v>178</v>
      </c>
      <c r="BD78" s="132" t="s">
        <v>178</v>
      </c>
      <c r="BE78" s="132" t="s">
        <v>178</v>
      </c>
      <c r="BF78" s="123"/>
      <c r="BG78" s="83">
        <v>1178909.0</v>
      </c>
      <c r="BH78" s="112">
        <v>3.0</v>
      </c>
      <c r="BI78" s="98" t="s">
        <v>155</v>
      </c>
      <c r="BJ78" s="98" t="str">
        <f t="shared" si="1"/>
        <v>NÃO</v>
      </c>
      <c r="BK78" s="98" t="str">
        <f t="shared" si="2"/>
        <v>NÃO</v>
      </c>
    </row>
    <row r="79" ht="15.75" customHeight="1">
      <c r="A79" s="111" t="s">
        <v>205</v>
      </c>
      <c r="B79" s="83" t="s">
        <v>472</v>
      </c>
      <c r="C79" s="83" t="s">
        <v>164</v>
      </c>
      <c r="D79" s="83">
        <v>1131720.0</v>
      </c>
      <c r="E79" s="83">
        <v>1178913.0</v>
      </c>
      <c r="F79" s="83"/>
      <c r="G79" s="114" t="s">
        <v>513</v>
      </c>
      <c r="H79" s="91" t="s">
        <v>514</v>
      </c>
      <c r="I79" s="187" t="s">
        <v>515</v>
      </c>
      <c r="J79" s="83" t="s">
        <v>440</v>
      </c>
      <c r="K79" s="83" t="s">
        <v>168</v>
      </c>
      <c r="L79" s="83" t="s">
        <v>169</v>
      </c>
      <c r="M79" s="82" t="s">
        <v>3153</v>
      </c>
      <c r="N79" s="82" t="s">
        <v>3154</v>
      </c>
      <c r="O79" s="82" t="s">
        <v>3155</v>
      </c>
      <c r="P79" s="82" t="s">
        <v>3156</v>
      </c>
      <c r="Q79" s="82" t="s">
        <v>3157</v>
      </c>
      <c r="R79" s="82" t="s">
        <v>3158</v>
      </c>
      <c r="S79" s="82" t="s">
        <v>3159</v>
      </c>
      <c r="T79" s="138">
        <v>5.0</v>
      </c>
      <c r="U79" s="323">
        <v>5.0</v>
      </c>
      <c r="V79" s="106">
        <v>0.0</v>
      </c>
      <c r="W79" s="107">
        <v>0.0</v>
      </c>
      <c r="X79" s="107">
        <v>0.0</v>
      </c>
      <c r="Y79" s="107">
        <v>0.0</v>
      </c>
      <c r="Z79" s="80">
        <v>0.0</v>
      </c>
      <c r="AA79" s="140">
        <v>0.0</v>
      </c>
      <c r="AB79" s="109">
        <v>0.0</v>
      </c>
      <c r="AC79" s="109">
        <v>0.0</v>
      </c>
      <c r="AD79" s="141">
        <v>0.0</v>
      </c>
      <c r="AE79" s="80">
        <v>0.0</v>
      </c>
      <c r="AF79" s="140">
        <v>0.0</v>
      </c>
      <c r="AG79" s="109">
        <v>0.0</v>
      </c>
      <c r="AH79" s="109">
        <v>29.0</v>
      </c>
      <c r="AI79" s="141">
        <v>0.0</v>
      </c>
      <c r="AJ79" s="80">
        <v>29.0</v>
      </c>
      <c r="AK79" s="140">
        <v>0.0</v>
      </c>
      <c r="AL79" s="109">
        <v>0.0</v>
      </c>
      <c r="AM79" s="141">
        <v>0.0</v>
      </c>
      <c r="AN79" s="80">
        <v>0.0</v>
      </c>
      <c r="AO79" s="140">
        <v>0.0</v>
      </c>
      <c r="AP79" s="109">
        <v>0.0</v>
      </c>
      <c r="AQ79" s="109">
        <v>71.0</v>
      </c>
      <c r="AR79" s="80">
        <v>71.0</v>
      </c>
      <c r="AS79" s="110">
        <v>0.0</v>
      </c>
      <c r="AT79" s="110">
        <v>0.0</v>
      </c>
      <c r="AU79" s="110">
        <v>0.0</v>
      </c>
      <c r="AV79" s="142">
        <v>0.0</v>
      </c>
      <c r="AW79" s="80">
        <v>0.0</v>
      </c>
      <c r="AX79" s="113">
        <v>100.0</v>
      </c>
      <c r="AY79" s="117">
        <v>0.0</v>
      </c>
      <c r="AZ79" s="328">
        <v>100.0</v>
      </c>
      <c r="BA79" s="315">
        <v>0.0</v>
      </c>
      <c r="BB79" s="316">
        <v>100.0</v>
      </c>
      <c r="BC79" s="132" t="s">
        <v>265</v>
      </c>
      <c r="BD79" s="132" t="s">
        <v>178</v>
      </c>
      <c r="BE79" s="132" t="s">
        <v>178</v>
      </c>
      <c r="BF79" s="83" t="s">
        <v>632</v>
      </c>
      <c r="BG79" s="83">
        <v>1178913.0</v>
      </c>
      <c r="BH79" s="112">
        <v>5.0</v>
      </c>
      <c r="BI79" s="98" t="s">
        <v>155</v>
      </c>
      <c r="BJ79" s="98" t="str">
        <f t="shared" si="1"/>
        <v>NÃO</v>
      </c>
      <c r="BK79" s="98" t="str">
        <f t="shared" si="2"/>
        <v>NÃO</v>
      </c>
    </row>
    <row r="80" ht="15.75" customHeight="1">
      <c r="A80" s="111" t="s">
        <v>205</v>
      </c>
      <c r="B80" s="83" t="s">
        <v>472</v>
      </c>
      <c r="C80" s="83" t="s">
        <v>164</v>
      </c>
      <c r="D80" s="83">
        <v>1176437.0</v>
      </c>
      <c r="E80" s="83">
        <v>1178908.0</v>
      </c>
      <c r="F80" s="83"/>
      <c r="G80" s="114" t="s">
        <v>523</v>
      </c>
      <c r="H80" s="91" t="s">
        <v>524</v>
      </c>
      <c r="I80" s="114" t="s">
        <v>525</v>
      </c>
      <c r="J80" s="83" t="s">
        <v>526</v>
      </c>
      <c r="K80" s="83" t="s">
        <v>168</v>
      </c>
      <c r="L80" s="83" t="s">
        <v>169</v>
      </c>
      <c r="M80" s="82" t="s">
        <v>3141</v>
      </c>
      <c r="N80" s="82" t="s">
        <v>3142</v>
      </c>
      <c r="O80" s="82" t="s">
        <v>3143</v>
      </c>
      <c r="P80" s="82" t="s">
        <v>3144</v>
      </c>
      <c r="Q80" s="82" t="s">
        <v>3145</v>
      </c>
      <c r="R80" s="82" t="s">
        <v>3146</v>
      </c>
      <c r="S80" s="82" t="s">
        <v>3147</v>
      </c>
      <c r="T80" s="138">
        <v>4.0</v>
      </c>
      <c r="U80" s="323">
        <v>3.0</v>
      </c>
      <c r="V80" s="106">
        <v>0.0</v>
      </c>
      <c r="W80" s="107">
        <v>0.0</v>
      </c>
      <c r="X80" s="107">
        <v>0.0</v>
      </c>
      <c r="Y80" s="107">
        <v>0.0</v>
      </c>
      <c r="Z80" s="80">
        <v>0.0</v>
      </c>
      <c r="AA80" s="140">
        <v>0.0</v>
      </c>
      <c r="AB80" s="109">
        <v>0.0</v>
      </c>
      <c r="AC80" s="109">
        <v>0.0</v>
      </c>
      <c r="AD80" s="141">
        <v>0.0</v>
      </c>
      <c r="AE80" s="80">
        <v>0.0</v>
      </c>
      <c r="AF80" s="140">
        <v>0.0</v>
      </c>
      <c r="AG80" s="109">
        <v>0.0</v>
      </c>
      <c r="AH80" s="109">
        <v>17.0</v>
      </c>
      <c r="AI80" s="141">
        <v>0.0</v>
      </c>
      <c r="AJ80" s="80">
        <v>17.0</v>
      </c>
      <c r="AK80" s="140">
        <v>0.0</v>
      </c>
      <c r="AL80" s="109">
        <v>0.0</v>
      </c>
      <c r="AM80" s="141">
        <v>0.0</v>
      </c>
      <c r="AN80" s="80">
        <v>0.0</v>
      </c>
      <c r="AO80" s="140">
        <v>0.0</v>
      </c>
      <c r="AP80" s="109">
        <v>0.0</v>
      </c>
      <c r="AQ80" s="109">
        <v>36.0</v>
      </c>
      <c r="AR80" s="80">
        <v>36.0</v>
      </c>
      <c r="AS80" s="110">
        <v>0.0</v>
      </c>
      <c r="AT80" s="110">
        <v>0.0</v>
      </c>
      <c r="AU80" s="110">
        <v>0.0</v>
      </c>
      <c r="AV80" s="142">
        <v>0.0</v>
      </c>
      <c r="AW80" s="80">
        <v>0.0</v>
      </c>
      <c r="AX80" s="113">
        <v>53.0</v>
      </c>
      <c r="AY80" s="117">
        <v>0.0</v>
      </c>
      <c r="AZ80" s="328">
        <v>53.0</v>
      </c>
      <c r="BA80" s="315">
        <v>0.0</v>
      </c>
      <c r="BB80" s="316">
        <v>53.0</v>
      </c>
      <c r="BC80" s="132" t="s">
        <v>265</v>
      </c>
      <c r="BD80" s="132" t="s">
        <v>178</v>
      </c>
      <c r="BE80" s="132" t="s">
        <v>178</v>
      </c>
      <c r="BF80" s="221"/>
      <c r="BG80" s="83">
        <v>1178908.0</v>
      </c>
      <c r="BH80" s="112">
        <v>3.0</v>
      </c>
      <c r="BI80" s="98" t="s">
        <v>155</v>
      </c>
      <c r="BJ80" s="98" t="str">
        <f t="shared" si="1"/>
        <v>NÃO</v>
      </c>
      <c r="BK80" s="98" t="str">
        <f t="shared" si="2"/>
        <v>NÃO</v>
      </c>
    </row>
    <row r="81" ht="15.75" customHeight="1">
      <c r="A81" s="111" t="s">
        <v>205</v>
      </c>
      <c r="B81" s="83" t="s">
        <v>472</v>
      </c>
      <c r="C81" s="83" t="s">
        <v>164</v>
      </c>
      <c r="D81" s="83">
        <v>1178018.0</v>
      </c>
      <c r="E81" s="83">
        <v>1178914.0</v>
      </c>
      <c r="F81" s="83"/>
      <c r="G81" s="114" t="s">
        <v>527</v>
      </c>
      <c r="H81" s="91" t="s">
        <v>528</v>
      </c>
      <c r="I81" s="187" t="s">
        <v>529</v>
      </c>
      <c r="J81" s="83" t="s">
        <v>187</v>
      </c>
      <c r="K81" s="83" t="s">
        <v>168</v>
      </c>
      <c r="L81" s="83" t="s">
        <v>169</v>
      </c>
      <c r="M81" s="82" t="s">
        <v>3171</v>
      </c>
      <c r="N81" s="82" t="s">
        <v>3172</v>
      </c>
      <c r="O81" s="82"/>
      <c r="P81" s="82"/>
      <c r="Q81" s="82"/>
      <c r="R81" s="82"/>
      <c r="S81" s="82" t="s">
        <v>3173</v>
      </c>
      <c r="T81" s="138">
        <v>3.0</v>
      </c>
      <c r="U81" s="323">
        <v>3.0</v>
      </c>
      <c r="V81" s="106">
        <v>0.0</v>
      </c>
      <c r="W81" s="107">
        <v>0.0</v>
      </c>
      <c r="X81" s="107">
        <v>0.0</v>
      </c>
      <c r="Y81" s="107">
        <v>0.0</v>
      </c>
      <c r="Z81" s="80">
        <v>0.0</v>
      </c>
      <c r="AA81" s="140">
        <v>0.0</v>
      </c>
      <c r="AB81" s="109">
        <v>0.0</v>
      </c>
      <c r="AC81" s="109">
        <v>0.0</v>
      </c>
      <c r="AD81" s="141">
        <v>0.0</v>
      </c>
      <c r="AE81" s="80">
        <v>0.0</v>
      </c>
      <c r="AF81" s="140">
        <v>0.0</v>
      </c>
      <c r="AG81" s="109">
        <v>0.0</v>
      </c>
      <c r="AH81" s="109">
        <v>28.0</v>
      </c>
      <c r="AI81" s="141">
        <v>0.0</v>
      </c>
      <c r="AJ81" s="80">
        <v>28.0</v>
      </c>
      <c r="AK81" s="140">
        <v>0.0</v>
      </c>
      <c r="AL81" s="109">
        <v>0.0</v>
      </c>
      <c r="AM81" s="141">
        <v>0.0</v>
      </c>
      <c r="AN81" s="80">
        <v>0.0</v>
      </c>
      <c r="AO81" s="140">
        <v>0.0</v>
      </c>
      <c r="AP81" s="109">
        <v>0.0</v>
      </c>
      <c r="AQ81" s="109">
        <v>2.0</v>
      </c>
      <c r="AR81" s="80">
        <v>2.0</v>
      </c>
      <c r="AS81" s="110">
        <v>0.0</v>
      </c>
      <c r="AT81" s="110">
        <v>0.0</v>
      </c>
      <c r="AU81" s="110">
        <v>0.0</v>
      </c>
      <c r="AV81" s="142">
        <v>0.0</v>
      </c>
      <c r="AW81" s="80">
        <v>0.0</v>
      </c>
      <c r="AX81" s="113">
        <v>30.0</v>
      </c>
      <c r="AY81" s="117">
        <v>0.0</v>
      </c>
      <c r="AZ81" s="328">
        <v>30.0</v>
      </c>
      <c r="BA81" s="315">
        <v>0.0</v>
      </c>
      <c r="BB81" s="316">
        <v>30.0</v>
      </c>
      <c r="BC81" s="132" t="s">
        <v>178</v>
      </c>
      <c r="BD81" s="132" t="s">
        <v>178</v>
      </c>
      <c r="BE81" s="132" t="s">
        <v>178</v>
      </c>
      <c r="BF81" s="156"/>
      <c r="BG81" s="83">
        <v>1178914.0</v>
      </c>
      <c r="BH81" s="112">
        <v>3.0</v>
      </c>
      <c r="BI81" s="98" t="s">
        <v>155</v>
      </c>
      <c r="BJ81" s="98" t="str">
        <f t="shared" si="1"/>
        <v>NÃO</v>
      </c>
      <c r="BK81" s="98" t="str">
        <f t="shared" si="2"/>
        <v>NÃO</v>
      </c>
    </row>
    <row r="82" ht="15.75" customHeight="1">
      <c r="A82" s="111" t="s">
        <v>205</v>
      </c>
      <c r="B82" s="83" t="s">
        <v>472</v>
      </c>
      <c r="C82" s="83" t="s">
        <v>164</v>
      </c>
      <c r="D82" s="83">
        <v>1179668.0</v>
      </c>
      <c r="E82" s="83">
        <v>1178907.0</v>
      </c>
      <c r="F82" s="83"/>
      <c r="G82" s="114" t="s">
        <v>530</v>
      </c>
      <c r="H82" s="91" t="s">
        <v>531</v>
      </c>
      <c r="I82" s="187" t="s">
        <v>532</v>
      </c>
      <c r="J82" s="83" t="s">
        <v>467</v>
      </c>
      <c r="K82" s="83" t="s">
        <v>168</v>
      </c>
      <c r="L82" s="83" t="s">
        <v>169</v>
      </c>
      <c r="M82" s="82" t="s">
        <v>3164</v>
      </c>
      <c r="N82" s="82" t="s">
        <v>3165</v>
      </c>
      <c r="O82" s="82"/>
      <c r="P82" s="82"/>
      <c r="Q82" s="82"/>
      <c r="R82" s="82"/>
      <c r="S82" s="82"/>
      <c r="T82" s="138">
        <v>3.0</v>
      </c>
      <c r="U82" s="323">
        <v>5.0</v>
      </c>
      <c r="V82" s="106">
        <v>0.0</v>
      </c>
      <c r="W82" s="107">
        <v>0.0</v>
      </c>
      <c r="X82" s="107">
        <v>0.0</v>
      </c>
      <c r="Y82" s="107">
        <v>0.0</v>
      </c>
      <c r="Z82" s="80">
        <v>0.0</v>
      </c>
      <c r="AA82" s="140">
        <v>0.0</v>
      </c>
      <c r="AB82" s="109">
        <v>0.0</v>
      </c>
      <c r="AC82" s="109">
        <v>0.0</v>
      </c>
      <c r="AD82" s="141">
        <v>0.0</v>
      </c>
      <c r="AE82" s="80">
        <v>0.0</v>
      </c>
      <c r="AF82" s="140">
        <v>0.0</v>
      </c>
      <c r="AG82" s="109">
        <v>0.0</v>
      </c>
      <c r="AH82" s="109">
        <v>18.0</v>
      </c>
      <c r="AI82" s="141">
        <v>0.0</v>
      </c>
      <c r="AJ82" s="80">
        <v>18.0</v>
      </c>
      <c r="AK82" s="140">
        <v>0.0</v>
      </c>
      <c r="AL82" s="109">
        <v>0.0</v>
      </c>
      <c r="AM82" s="141">
        <v>0.0</v>
      </c>
      <c r="AN82" s="80">
        <v>0.0</v>
      </c>
      <c r="AO82" s="140">
        <v>0.0</v>
      </c>
      <c r="AP82" s="109">
        <v>0.0</v>
      </c>
      <c r="AQ82" s="109">
        <v>24.0</v>
      </c>
      <c r="AR82" s="80">
        <v>24.0</v>
      </c>
      <c r="AS82" s="110">
        <v>0.0</v>
      </c>
      <c r="AT82" s="110">
        <v>0.0</v>
      </c>
      <c r="AU82" s="110">
        <v>0.0</v>
      </c>
      <c r="AV82" s="142">
        <v>0.0</v>
      </c>
      <c r="AW82" s="80">
        <v>0.0</v>
      </c>
      <c r="AX82" s="113">
        <v>42.0</v>
      </c>
      <c r="AY82" s="117">
        <v>0.0</v>
      </c>
      <c r="AZ82" s="328">
        <v>42.0</v>
      </c>
      <c r="BA82" s="315">
        <v>0.0</v>
      </c>
      <c r="BB82" s="316">
        <v>42.0</v>
      </c>
      <c r="BC82" s="132" t="s">
        <v>178</v>
      </c>
      <c r="BD82" s="132" t="s">
        <v>178</v>
      </c>
      <c r="BE82" s="132" t="s">
        <v>178</v>
      </c>
      <c r="BF82" s="123"/>
      <c r="BG82" s="83">
        <v>1178907.0</v>
      </c>
      <c r="BH82" s="112">
        <v>5.0</v>
      </c>
      <c r="BI82" s="98" t="s">
        <v>155</v>
      </c>
      <c r="BJ82" s="98" t="str">
        <f t="shared" si="1"/>
        <v>NÃO</v>
      </c>
      <c r="BK82" s="98" t="str">
        <f t="shared" si="2"/>
        <v>NÃO</v>
      </c>
    </row>
    <row r="83" ht="15.75" customHeight="1">
      <c r="A83" s="111" t="s">
        <v>205</v>
      </c>
      <c r="B83" s="83" t="s">
        <v>472</v>
      </c>
      <c r="C83" s="83" t="s">
        <v>164</v>
      </c>
      <c r="D83" s="83">
        <v>1179431.0</v>
      </c>
      <c r="E83" s="83">
        <v>1179471.0</v>
      </c>
      <c r="F83" s="83"/>
      <c r="G83" s="114" t="s">
        <v>3228</v>
      </c>
      <c r="H83" s="91" t="s">
        <v>517</v>
      </c>
      <c r="I83" s="187" t="s">
        <v>518</v>
      </c>
      <c r="J83" s="83" t="s">
        <v>519</v>
      </c>
      <c r="K83" s="83" t="s">
        <v>168</v>
      </c>
      <c r="L83" s="83" t="s">
        <v>169</v>
      </c>
      <c r="M83" s="82" t="s">
        <v>3052</v>
      </c>
      <c r="N83" s="82" t="s">
        <v>3054</v>
      </c>
      <c r="O83" s="82" t="s">
        <v>3056</v>
      </c>
      <c r="P83" s="82" t="s">
        <v>3058</v>
      </c>
      <c r="Q83" s="82"/>
      <c r="R83" s="82"/>
      <c r="S83" s="82" t="s">
        <v>3059</v>
      </c>
      <c r="T83" s="138">
        <v>2.0</v>
      </c>
      <c r="U83" s="323">
        <v>2.0</v>
      </c>
      <c r="V83" s="106">
        <v>0.0</v>
      </c>
      <c r="W83" s="107">
        <v>0.0</v>
      </c>
      <c r="X83" s="107">
        <v>0.0</v>
      </c>
      <c r="Y83" s="107">
        <v>0.0</v>
      </c>
      <c r="Z83" s="80">
        <v>0.0</v>
      </c>
      <c r="AA83" s="140">
        <v>0.0</v>
      </c>
      <c r="AB83" s="109">
        <v>0.0</v>
      </c>
      <c r="AC83" s="109">
        <v>0.0</v>
      </c>
      <c r="AD83" s="141">
        <v>0.0</v>
      </c>
      <c r="AE83" s="80">
        <v>0.0</v>
      </c>
      <c r="AF83" s="140">
        <v>0.0</v>
      </c>
      <c r="AG83" s="109">
        <v>0.0</v>
      </c>
      <c r="AH83" s="109">
        <v>17.0</v>
      </c>
      <c r="AI83" s="141">
        <v>0.0</v>
      </c>
      <c r="AJ83" s="80">
        <v>17.0</v>
      </c>
      <c r="AK83" s="140">
        <v>0.0</v>
      </c>
      <c r="AL83" s="109">
        <v>0.0</v>
      </c>
      <c r="AM83" s="141">
        <v>0.0</v>
      </c>
      <c r="AN83" s="80">
        <v>0.0</v>
      </c>
      <c r="AO83" s="140">
        <v>0.0</v>
      </c>
      <c r="AP83" s="109">
        <v>0.0</v>
      </c>
      <c r="AQ83" s="109">
        <v>0.0</v>
      </c>
      <c r="AR83" s="80">
        <v>0.0</v>
      </c>
      <c r="AS83" s="110">
        <v>0.0</v>
      </c>
      <c r="AT83" s="110">
        <v>0.0</v>
      </c>
      <c r="AU83" s="110">
        <v>0.0</v>
      </c>
      <c r="AV83" s="142">
        <v>0.0</v>
      </c>
      <c r="AW83" s="80">
        <v>0.0</v>
      </c>
      <c r="AX83" s="113">
        <v>17.0</v>
      </c>
      <c r="AY83" s="117">
        <v>0.0</v>
      </c>
      <c r="AZ83" s="328">
        <v>17.0</v>
      </c>
      <c r="BA83" s="315">
        <v>0.0</v>
      </c>
      <c r="BB83" s="316">
        <v>17.0</v>
      </c>
      <c r="BC83" s="132" t="s">
        <v>178</v>
      </c>
      <c r="BD83" s="143" t="s">
        <v>227</v>
      </c>
      <c r="BE83" s="132" t="s">
        <v>178</v>
      </c>
      <c r="BF83" s="156"/>
      <c r="BG83" s="83">
        <v>1179471.0</v>
      </c>
      <c r="BH83" s="112">
        <v>2.0</v>
      </c>
      <c r="BI83" s="98" t="s">
        <v>155</v>
      </c>
      <c r="BJ83" s="98" t="str">
        <f t="shared" si="1"/>
        <v>NÃO</v>
      </c>
      <c r="BK83" s="98" t="str">
        <f t="shared" si="2"/>
        <v>NÃO</v>
      </c>
    </row>
    <row r="84" ht="15.75" customHeight="1">
      <c r="A84" s="111" t="s">
        <v>205</v>
      </c>
      <c r="B84" s="83" t="s">
        <v>472</v>
      </c>
      <c r="C84" s="83" t="s">
        <v>164</v>
      </c>
      <c r="D84" s="83">
        <v>1179431.0</v>
      </c>
      <c r="E84" s="180">
        <v>1179766.0</v>
      </c>
      <c r="F84" s="83"/>
      <c r="G84" s="114" t="s">
        <v>535</v>
      </c>
      <c r="H84" s="91"/>
      <c r="I84" s="125" t="s">
        <v>149</v>
      </c>
      <c r="J84" s="83"/>
      <c r="K84" s="83" t="s">
        <v>168</v>
      </c>
      <c r="L84" s="83" t="s">
        <v>169</v>
      </c>
      <c r="M84" s="82" t="s">
        <v>3052</v>
      </c>
      <c r="N84" s="82" t="s">
        <v>3054</v>
      </c>
      <c r="O84" s="82" t="s">
        <v>3056</v>
      </c>
      <c r="P84" s="82" t="s">
        <v>3058</v>
      </c>
      <c r="Q84" s="82"/>
      <c r="R84" s="82"/>
      <c r="S84" s="82" t="s">
        <v>3059</v>
      </c>
      <c r="T84" s="138"/>
      <c r="U84" s="323"/>
      <c r="V84" s="106">
        <v>0.0</v>
      </c>
      <c r="W84" s="107">
        <v>0.0</v>
      </c>
      <c r="X84" s="107">
        <v>0.0</v>
      </c>
      <c r="Y84" s="107">
        <v>0.0</v>
      </c>
      <c r="Z84" s="80">
        <v>0.0</v>
      </c>
      <c r="AA84" s="140">
        <v>0.0</v>
      </c>
      <c r="AB84" s="109">
        <v>0.0</v>
      </c>
      <c r="AC84" s="109">
        <v>0.0</v>
      </c>
      <c r="AD84" s="141">
        <v>0.0</v>
      </c>
      <c r="AE84" s="80">
        <v>0.0</v>
      </c>
      <c r="AF84" s="140">
        <v>0.0</v>
      </c>
      <c r="AG84" s="109">
        <v>0.0</v>
      </c>
      <c r="AH84" s="109">
        <v>13.0</v>
      </c>
      <c r="AI84" s="141">
        <v>0.0</v>
      </c>
      <c r="AJ84" s="80">
        <v>13.0</v>
      </c>
      <c r="AK84" s="140">
        <v>0.0</v>
      </c>
      <c r="AL84" s="109">
        <v>0.0</v>
      </c>
      <c r="AM84" s="141">
        <v>0.0</v>
      </c>
      <c r="AN84" s="80">
        <v>0.0</v>
      </c>
      <c r="AO84" s="140">
        <v>0.0</v>
      </c>
      <c r="AP84" s="109">
        <v>0.0</v>
      </c>
      <c r="AQ84" s="109">
        <v>0.0</v>
      </c>
      <c r="AR84" s="80">
        <v>0.0</v>
      </c>
      <c r="AS84" s="110">
        <v>0.0</v>
      </c>
      <c r="AT84" s="110">
        <v>0.0</v>
      </c>
      <c r="AU84" s="110">
        <v>0.0</v>
      </c>
      <c r="AV84" s="142">
        <v>0.0</v>
      </c>
      <c r="AW84" s="80">
        <v>0.0</v>
      </c>
      <c r="AX84" s="113">
        <v>13.0</v>
      </c>
      <c r="AY84" s="117">
        <v>0.0</v>
      </c>
      <c r="AZ84" s="328">
        <v>13.0</v>
      </c>
      <c r="BA84" s="315">
        <v>0.0</v>
      </c>
      <c r="BB84" s="316">
        <v>13.0</v>
      </c>
      <c r="BC84" s="132" t="s">
        <v>178</v>
      </c>
      <c r="BD84" s="356" t="s">
        <v>178</v>
      </c>
      <c r="BE84" s="132" t="s">
        <v>178</v>
      </c>
      <c r="BF84" s="156"/>
      <c r="BG84" s="98">
        <v>1179766.0</v>
      </c>
      <c r="BH84" s="98">
        <v>0.0</v>
      </c>
      <c r="BI84" s="98" t="s">
        <v>155</v>
      </c>
      <c r="BJ84" s="98" t="str">
        <f t="shared" si="1"/>
        <v>NÃO</v>
      </c>
      <c r="BK84" s="98" t="str">
        <f t="shared" si="2"/>
        <v>NÃO</v>
      </c>
    </row>
    <row r="85" ht="15.75" customHeight="1">
      <c r="A85" s="111" t="s">
        <v>205</v>
      </c>
      <c r="B85" s="83" t="s">
        <v>472</v>
      </c>
      <c r="C85" s="83" t="s">
        <v>164</v>
      </c>
      <c r="D85" s="83">
        <v>1179431.0</v>
      </c>
      <c r="E85" s="83">
        <v>1178911.0</v>
      </c>
      <c r="F85" s="83"/>
      <c r="G85" s="114" t="s">
        <v>2334</v>
      </c>
      <c r="H85" s="91" t="s">
        <v>3240</v>
      </c>
      <c r="I85" s="114" t="s">
        <v>149</v>
      </c>
      <c r="J85" s="83" t="s">
        <v>3242</v>
      </c>
      <c r="K85" s="83" t="s">
        <v>168</v>
      </c>
      <c r="L85" s="83" t="s">
        <v>169</v>
      </c>
      <c r="M85" s="82" t="s">
        <v>3052</v>
      </c>
      <c r="N85" s="82" t="s">
        <v>3054</v>
      </c>
      <c r="O85" s="82" t="s">
        <v>3056</v>
      </c>
      <c r="P85" s="82" t="s">
        <v>3058</v>
      </c>
      <c r="Q85" s="82"/>
      <c r="R85" s="82"/>
      <c r="S85" s="82" t="s">
        <v>3059</v>
      </c>
      <c r="T85" s="138">
        <v>3.0</v>
      </c>
      <c r="U85" s="323">
        <v>3.0</v>
      </c>
      <c r="V85" s="106">
        <v>0.0</v>
      </c>
      <c r="W85" s="107">
        <v>0.0</v>
      </c>
      <c r="X85" s="107">
        <v>0.0</v>
      </c>
      <c r="Y85" s="107">
        <v>0.0</v>
      </c>
      <c r="Z85" s="80">
        <v>0.0</v>
      </c>
      <c r="AA85" s="140">
        <v>0.0</v>
      </c>
      <c r="AB85" s="109">
        <v>0.0</v>
      </c>
      <c r="AC85" s="109">
        <v>0.0</v>
      </c>
      <c r="AD85" s="141">
        <v>0.0</v>
      </c>
      <c r="AE85" s="80">
        <v>0.0</v>
      </c>
      <c r="AF85" s="140">
        <v>0.0</v>
      </c>
      <c r="AG85" s="109">
        <v>0.0</v>
      </c>
      <c r="AH85" s="109">
        <v>23.0</v>
      </c>
      <c r="AI85" s="141">
        <v>0.0</v>
      </c>
      <c r="AJ85" s="80">
        <v>23.0</v>
      </c>
      <c r="AK85" s="140">
        <v>0.0</v>
      </c>
      <c r="AL85" s="109">
        <v>0.0</v>
      </c>
      <c r="AM85" s="141">
        <v>0.0</v>
      </c>
      <c r="AN85" s="80">
        <v>0.0</v>
      </c>
      <c r="AO85" s="140">
        <v>0.0</v>
      </c>
      <c r="AP85" s="109">
        <v>0.0</v>
      </c>
      <c r="AQ85" s="109">
        <v>0.0</v>
      </c>
      <c r="AR85" s="80">
        <v>0.0</v>
      </c>
      <c r="AS85" s="110">
        <v>0.0</v>
      </c>
      <c r="AT85" s="110">
        <v>0.0</v>
      </c>
      <c r="AU85" s="110">
        <v>0.0</v>
      </c>
      <c r="AV85" s="142">
        <v>0.0</v>
      </c>
      <c r="AW85" s="80">
        <v>0.0</v>
      </c>
      <c r="AX85" s="113">
        <v>23.0</v>
      </c>
      <c r="AY85" s="117">
        <v>0.0</v>
      </c>
      <c r="AZ85" s="328">
        <v>23.0</v>
      </c>
      <c r="BA85" s="315">
        <v>0.0</v>
      </c>
      <c r="BB85" s="316">
        <v>23.0</v>
      </c>
      <c r="BC85" s="132" t="s">
        <v>265</v>
      </c>
      <c r="BD85" s="183" t="s">
        <v>227</v>
      </c>
      <c r="BE85" s="132" t="s">
        <v>178</v>
      </c>
      <c r="BF85" s="123"/>
      <c r="BG85" s="83">
        <v>1178911.0</v>
      </c>
      <c r="BH85" s="112">
        <v>3.0</v>
      </c>
      <c r="BI85" s="98" t="s">
        <v>155</v>
      </c>
      <c r="BJ85" s="98" t="str">
        <f t="shared" si="1"/>
        <v>NÃO</v>
      </c>
      <c r="BK85" s="98" t="str">
        <f t="shared" si="2"/>
        <v>NÃO</v>
      </c>
    </row>
    <row r="86" ht="15.75" customHeight="1">
      <c r="A86" s="111" t="s">
        <v>205</v>
      </c>
      <c r="B86" s="83" t="s">
        <v>472</v>
      </c>
      <c r="C86" s="83" t="s">
        <v>164</v>
      </c>
      <c r="D86" s="83">
        <v>1179431.0</v>
      </c>
      <c r="E86" s="83">
        <v>1179363.0</v>
      </c>
      <c r="F86" s="83"/>
      <c r="G86" s="119" t="s">
        <v>536</v>
      </c>
      <c r="H86" s="91" t="s">
        <v>537</v>
      </c>
      <c r="I86" s="114" t="s">
        <v>149</v>
      </c>
      <c r="J86" s="83" t="s">
        <v>538</v>
      </c>
      <c r="K86" s="83" t="s">
        <v>168</v>
      </c>
      <c r="L86" s="83" t="s">
        <v>169</v>
      </c>
      <c r="M86" s="82" t="s">
        <v>3052</v>
      </c>
      <c r="N86" s="82" t="s">
        <v>3054</v>
      </c>
      <c r="O86" s="82" t="s">
        <v>3056</v>
      </c>
      <c r="P86" s="82" t="s">
        <v>3058</v>
      </c>
      <c r="Q86" s="82"/>
      <c r="R86" s="82"/>
      <c r="S86" s="82" t="s">
        <v>3059</v>
      </c>
      <c r="T86" s="138">
        <v>1.0</v>
      </c>
      <c r="U86" s="323">
        <v>1.0</v>
      </c>
      <c r="V86" s="106">
        <v>0.0</v>
      </c>
      <c r="W86" s="107">
        <v>0.0</v>
      </c>
      <c r="X86" s="107">
        <v>0.0</v>
      </c>
      <c r="Y86" s="107">
        <v>0.0</v>
      </c>
      <c r="Z86" s="80">
        <v>0.0</v>
      </c>
      <c r="AA86" s="140">
        <v>0.0</v>
      </c>
      <c r="AB86" s="109">
        <v>0.0</v>
      </c>
      <c r="AC86" s="109">
        <v>0.0</v>
      </c>
      <c r="AD86" s="141">
        <v>0.0</v>
      </c>
      <c r="AE86" s="80">
        <v>0.0</v>
      </c>
      <c r="AF86" s="140">
        <v>7.0</v>
      </c>
      <c r="AG86" s="109">
        <v>11.0</v>
      </c>
      <c r="AH86" s="109">
        <v>4.0</v>
      </c>
      <c r="AI86" s="141">
        <v>0.0</v>
      </c>
      <c r="AJ86" s="80">
        <v>22.0</v>
      </c>
      <c r="AK86" s="140">
        <v>0.0</v>
      </c>
      <c r="AL86" s="109">
        <v>0.0</v>
      </c>
      <c r="AM86" s="141">
        <v>0.0</v>
      </c>
      <c r="AN86" s="80">
        <v>0.0</v>
      </c>
      <c r="AO86" s="140">
        <v>0.0</v>
      </c>
      <c r="AP86" s="109">
        <v>0.0</v>
      </c>
      <c r="AQ86" s="109">
        <v>0.0</v>
      </c>
      <c r="AR86" s="80">
        <v>0.0</v>
      </c>
      <c r="AS86" s="110">
        <v>0.0</v>
      </c>
      <c r="AT86" s="110">
        <v>0.0</v>
      </c>
      <c r="AU86" s="110">
        <v>0.0</v>
      </c>
      <c r="AV86" s="142">
        <v>0.0</v>
      </c>
      <c r="AW86" s="80">
        <v>0.0</v>
      </c>
      <c r="AX86" s="113">
        <v>22.0</v>
      </c>
      <c r="AY86" s="117">
        <v>18.0</v>
      </c>
      <c r="AZ86" s="328">
        <v>4.0</v>
      </c>
      <c r="BA86" s="315">
        <v>0.0</v>
      </c>
      <c r="BB86" s="316">
        <v>22.0</v>
      </c>
      <c r="BC86" s="132" t="s">
        <v>265</v>
      </c>
      <c r="BD86" s="183" t="s">
        <v>227</v>
      </c>
      <c r="BE86" s="132" t="s">
        <v>178</v>
      </c>
      <c r="BF86" s="156"/>
      <c r="BG86" s="83">
        <v>1179363.0</v>
      </c>
      <c r="BH86" s="112">
        <v>1.0</v>
      </c>
      <c r="BI86" s="98" t="s">
        <v>155</v>
      </c>
      <c r="BJ86" s="98" t="str">
        <f t="shared" si="1"/>
        <v>NÃO</v>
      </c>
      <c r="BK86" s="98" t="str">
        <f t="shared" si="2"/>
        <v>NÃO</v>
      </c>
    </row>
    <row r="87" ht="15.75" customHeight="1">
      <c r="A87" s="111" t="s">
        <v>205</v>
      </c>
      <c r="B87" s="83" t="s">
        <v>539</v>
      </c>
      <c r="C87" s="83" t="s">
        <v>45</v>
      </c>
      <c r="D87" s="83">
        <v>2.9464498E7</v>
      </c>
      <c r="E87" s="83"/>
      <c r="F87" s="83">
        <v>2.9464498E7</v>
      </c>
      <c r="G87" s="114" t="s">
        <v>541</v>
      </c>
      <c r="H87" s="91" t="s">
        <v>542</v>
      </c>
      <c r="I87" s="114" t="s">
        <v>149</v>
      </c>
      <c r="J87" s="83" t="s">
        <v>150</v>
      </c>
      <c r="K87" s="83" t="s">
        <v>151</v>
      </c>
      <c r="L87" s="83" t="s">
        <v>169</v>
      </c>
      <c r="M87" s="82" t="s">
        <v>3248</v>
      </c>
      <c r="N87" s="82" t="s">
        <v>3249</v>
      </c>
      <c r="O87" s="82"/>
      <c r="P87" s="82"/>
      <c r="Q87" s="82"/>
      <c r="R87" s="82"/>
      <c r="S87" s="82"/>
      <c r="T87" s="138">
        <v>4.0</v>
      </c>
      <c r="U87" s="331">
        <v>2.0</v>
      </c>
      <c r="V87" s="106">
        <v>0.0</v>
      </c>
      <c r="W87" s="107">
        <v>0.0</v>
      </c>
      <c r="X87" s="107">
        <v>0.0</v>
      </c>
      <c r="Y87" s="107">
        <v>0.0</v>
      </c>
      <c r="Z87" s="80">
        <v>0.0</v>
      </c>
      <c r="AA87" s="140">
        <v>0.0</v>
      </c>
      <c r="AB87" s="109">
        <v>0.0</v>
      </c>
      <c r="AC87" s="109">
        <v>0.0</v>
      </c>
      <c r="AD87" s="141">
        <v>0.0</v>
      </c>
      <c r="AE87" s="80">
        <v>0.0</v>
      </c>
      <c r="AF87" s="246">
        <v>0.0</v>
      </c>
      <c r="AG87" s="246">
        <v>0.0</v>
      </c>
      <c r="AH87" s="246">
        <v>0.0</v>
      </c>
      <c r="AI87" s="247">
        <v>40.0</v>
      </c>
      <c r="AJ87" s="80">
        <v>40.0</v>
      </c>
      <c r="AK87" s="140">
        <v>0.0</v>
      </c>
      <c r="AL87" s="109">
        <v>0.0</v>
      </c>
      <c r="AM87" s="141">
        <v>0.0</v>
      </c>
      <c r="AN87" s="80">
        <v>0.0</v>
      </c>
      <c r="AO87" s="246">
        <v>0.0</v>
      </c>
      <c r="AP87" s="246">
        <v>0.0</v>
      </c>
      <c r="AQ87" s="247">
        <v>0.0</v>
      </c>
      <c r="AR87" s="80">
        <v>0.0</v>
      </c>
      <c r="AS87" s="110">
        <v>0.0</v>
      </c>
      <c r="AT87" s="110">
        <v>0.0</v>
      </c>
      <c r="AU87" s="110">
        <v>0.0</v>
      </c>
      <c r="AV87" s="142">
        <v>0.0</v>
      </c>
      <c r="AW87" s="80">
        <v>0.0</v>
      </c>
      <c r="AX87" s="113">
        <v>40.0</v>
      </c>
      <c r="AY87" s="117">
        <v>40.0</v>
      </c>
      <c r="AZ87" s="328">
        <v>0.0</v>
      </c>
      <c r="BA87" s="315">
        <v>0.0</v>
      </c>
      <c r="BB87" s="316">
        <v>40.0</v>
      </c>
      <c r="BC87" s="132" t="s">
        <v>178</v>
      </c>
      <c r="BD87" s="132" t="s">
        <v>178</v>
      </c>
      <c r="BE87" s="132" t="s">
        <v>178</v>
      </c>
      <c r="BF87" s="156"/>
      <c r="BG87" s="83">
        <v>2.9464498E7</v>
      </c>
      <c r="BH87" s="98">
        <v>2.0</v>
      </c>
      <c r="BI87" s="98" t="s">
        <v>155</v>
      </c>
      <c r="BJ87" s="98" t="str">
        <f t="shared" si="1"/>
        <v>INTEGRAL</v>
      </c>
      <c r="BK87" s="98" t="str">
        <f t="shared" si="2"/>
        <v>NÃO</v>
      </c>
    </row>
    <row r="88" ht="15.75" customHeight="1">
      <c r="A88" s="111" t="s">
        <v>205</v>
      </c>
      <c r="B88" s="83" t="s">
        <v>539</v>
      </c>
      <c r="C88" s="83" t="s">
        <v>68</v>
      </c>
      <c r="D88" s="83">
        <v>1127456.0</v>
      </c>
      <c r="E88" s="83"/>
      <c r="F88" s="83">
        <v>2.9205E7</v>
      </c>
      <c r="G88" s="114" t="s">
        <v>545</v>
      </c>
      <c r="H88" s="91" t="s">
        <v>546</v>
      </c>
      <c r="I88" s="114" t="s">
        <v>149</v>
      </c>
      <c r="J88" s="83" t="s">
        <v>150</v>
      </c>
      <c r="K88" s="83" t="s">
        <v>151</v>
      </c>
      <c r="L88" s="83" t="s">
        <v>76</v>
      </c>
      <c r="M88" s="82" t="s">
        <v>3256</v>
      </c>
      <c r="N88" s="82" t="s">
        <v>3257</v>
      </c>
      <c r="O88" s="82" t="s">
        <v>3258</v>
      </c>
      <c r="P88" s="82"/>
      <c r="Q88" s="82"/>
      <c r="R88" s="82"/>
      <c r="S88" s="82" t="s">
        <v>3259</v>
      </c>
      <c r="T88" s="138">
        <v>8.0</v>
      </c>
      <c r="U88" s="339" t="s">
        <v>3260</v>
      </c>
      <c r="V88" s="106">
        <v>0.0</v>
      </c>
      <c r="W88" s="107">
        <v>0.0</v>
      </c>
      <c r="X88" s="107">
        <v>0.0</v>
      </c>
      <c r="Y88" s="107">
        <v>0.0</v>
      </c>
      <c r="Z88" s="80">
        <v>0.0</v>
      </c>
      <c r="AA88" s="140">
        <v>0.0</v>
      </c>
      <c r="AB88" s="109">
        <v>0.0</v>
      </c>
      <c r="AC88" s="109">
        <v>0.0</v>
      </c>
      <c r="AD88" s="141">
        <v>0.0</v>
      </c>
      <c r="AE88" s="80">
        <v>0.0</v>
      </c>
      <c r="AF88" s="140">
        <v>0.0</v>
      </c>
      <c r="AG88" s="109">
        <v>63.0</v>
      </c>
      <c r="AH88" s="109">
        <v>31.0</v>
      </c>
      <c r="AI88" s="141">
        <v>64.0</v>
      </c>
      <c r="AJ88" s="80">
        <v>158.0</v>
      </c>
      <c r="AK88" s="140">
        <v>0.0</v>
      </c>
      <c r="AL88" s="109">
        <v>0.0</v>
      </c>
      <c r="AM88" s="141">
        <v>0.0</v>
      </c>
      <c r="AN88" s="80">
        <v>0.0</v>
      </c>
      <c r="AO88" s="140">
        <v>0.0</v>
      </c>
      <c r="AP88" s="109">
        <v>0.0</v>
      </c>
      <c r="AQ88" s="109">
        <v>56.0</v>
      </c>
      <c r="AR88" s="80">
        <v>56.0</v>
      </c>
      <c r="AS88" s="110">
        <v>0.0</v>
      </c>
      <c r="AT88" s="110">
        <v>0.0</v>
      </c>
      <c r="AU88" s="110">
        <v>0.0</v>
      </c>
      <c r="AV88" s="142">
        <v>0.0</v>
      </c>
      <c r="AW88" s="80">
        <v>0.0</v>
      </c>
      <c r="AX88" s="113">
        <v>214.0</v>
      </c>
      <c r="AY88" s="117">
        <v>127.0</v>
      </c>
      <c r="AZ88" s="328">
        <v>87.0</v>
      </c>
      <c r="BA88" s="315">
        <v>0.0</v>
      </c>
      <c r="BB88" s="316">
        <v>214.0</v>
      </c>
      <c r="BC88" s="132" t="s">
        <v>178</v>
      </c>
      <c r="BD88" s="132" t="s">
        <v>178</v>
      </c>
      <c r="BE88" s="132" t="s">
        <v>178</v>
      </c>
      <c r="BF88" s="123"/>
      <c r="BG88" s="83">
        <v>1127456.0</v>
      </c>
      <c r="BH88" s="98">
        <v>6.0</v>
      </c>
      <c r="BI88" s="98" t="s">
        <v>155</v>
      </c>
      <c r="BJ88" s="98" t="str">
        <f t="shared" si="1"/>
        <v>INTEGRAL</v>
      </c>
      <c r="BK88" s="98" t="str">
        <f t="shared" si="2"/>
        <v>NÃO</v>
      </c>
    </row>
    <row r="89" ht="15.75" customHeight="1">
      <c r="A89" s="111" t="s">
        <v>205</v>
      </c>
      <c r="B89" s="83" t="s">
        <v>539</v>
      </c>
      <c r="C89" s="83" t="s">
        <v>164</v>
      </c>
      <c r="D89" s="83">
        <v>1179431.0</v>
      </c>
      <c r="E89" s="83">
        <v>1178820.0</v>
      </c>
      <c r="F89" s="83"/>
      <c r="G89" s="114" t="s">
        <v>2451</v>
      </c>
      <c r="H89" s="91" t="s">
        <v>3264</v>
      </c>
      <c r="I89" s="114" t="s">
        <v>149</v>
      </c>
      <c r="J89" s="83" t="s">
        <v>3265</v>
      </c>
      <c r="K89" s="83" t="s">
        <v>151</v>
      </c>
      <c r="L89" s="83" t="s">
        <v>169</v>
      </c>
      <c r="M89" s="82" t="s">
        <v>3052</v>
      </c>
      <c r="N89" s="82" t="s">
        <v>3054</v>
      </c>
      <c r="O89" s="82" t="s">
        <v>3056</v>
      </c>
      <c r="P89" s="82" t="s">
        <v>3058</v>
      </c>
      <c r="Q89" s="82"/>
      <c r="R89" s="82"/>
      <c r="S89" s="82" t="s">
        <v>3059</v>
      </c>
      <c r="T89" s="138">
        <v>2.0</v>
      </c>
      <c r="U89" s="323">
        <v>2.0</v>
      </c>
      <c r="V89" s="106">
        <v>0.0</v>
      </c>
      <c r="W89" s="107">
        <v>0.0</v>
      </c>
      <c r="X89" s="107">
        <v>0.0</v>
      </c>
      <c r="Y89" s="107">
        <v>0.0</v>
      </c>
      <c r="Z89" s="80">
        <v>0.0</v>
      </c>
      <c r="AA89" s="140">
        <v>0.0</v>
      </c>
      <c r="AB89" s="109">
        <v>0.0</v>
      </c>
      <c r="AC89" s="109">
        <v>0.0</v>
      </c>
      <c r="AD89" s="141">
        <v>0.0</v>
      </c>
      <c r="AE89" s="80">
        <v>0.0</v>
      </c>
      <c r="AF89" s="140">
        <v>0.0</v>
      </c>
      <c r="AG89" s="109">
        <v>52.0</v>
      </c>
      <c r="AH89" s="109">
        <v>0.0</v>
      </c>
      <c r="AI89" s="141">
        <v>0.0</v>
      </c>
      <c r="AJ89" s="80">
        <v>52.0</v>
      </c>
      <c r="AK89" s="140">
        <v>0.0</v>
      </c>
      <c r="AL89" s="109">
        <v>0.0</v>
      </c>
      <c r="AM89" s="141">
        <v>0.0</v>
      </c>
      <c r="AN89" s="80">
        <v>0.0</v>
      </c>
      <c r="AO89" s="140">
        <v>0.0</v>
      </c>
      <c r="AP89" s="109">
        <v>0.0</v>
      </c>
      <c r="AQ89" s="109">
        <v>0.0</v>
      </c>
      <c r="AR89" s="80">
        <v>0.0</v>
      </c>
      <c r="AS89" s="110">
        <v>0.0</v>
      </c>
      <c r="AT89" s="110">
        <v>0.0</v>
      </c>
      <c r="AU89" s="110">
        <v>0.0</v>
      </c>
      <c r="AV89" s="142">
        <v>0.0</v>
      </c>
      <c r="AW89" s="80">
        <v>0.0</v>
      </c>
      <c r="AX89" s="113">
        <v>52.0</v>
      </c>
      <c r="AY89" s="117">
        <v>52.0</v>
      </c>
      <c r="AZ89" s="328">
        <v>0.0</v>
      </c>
      <c r="BA89" s="315">
        <v>0.0</v>
      </c>
      <c r="BB89" s="316">
        <v>52.0</v>
      </c>
      <c r="BC89" s="132" t="s">
        <v>178</v>
      </c>
      <c r="BD89" s="143" t="s">
        <v>227</v>
      </c>
      <c r="BE89" s="132" t="s">
        <v>178</v>
      </c>
      <c r="BF89" s="123"/>
      <c r="BG89" s="83">
        <v>1178820.0</v>
      </c>
      <c r="BH89" s="112">
        <v>2.0</v>
      </c>
      <c r="BI89" s="98" t="s">
        <v>155</v>
      </c>
      <c r="BJ89" s="98" t="str">
        <f t="shared" si="1"/>
        <v>NÃO</v>
      </c>
      <c r="BK89" s="98" t="str">
        <f t="shared" si="2"/>
        <v>NÃO</v>
      </c>
    </row>
    <row r="90" ht="15.75" customHeight="1">
      <c r="A90" s="111" t="s">
        <v>205</v>
      </c>
      <c r="B90" s="83" t="s">
        <v>539</v>
      </c>
      <c r="C90" s="83" t="s">
        <v>164</v>
      </c>
      <c r="D90" s="83">
        <v>1179431.0</v>
      </c>
      <c r="E90" s="83">
        <v>1178821.0</v>
      </c>
      <c r="F90" s="83"/>
      <c r="G90" s="114" t="s">
        <v>556</v>
      </c>
      <c r="H90" s="91" t="s">
        <v>557</v>
      </c>
      <c r="I90" s="114" t="s">
        <v>149</v>
      </c>
      <c r="J90" s="83" t="s">
        <v>240</v>
      </c>
      <c r="K90" s="83" t="s">
        <v>151</v>
      </c>
      <c r="L90" s="83" t="s">
        <v>169</v>
      </c>
      <c r="M90" s="82" t="s">
        <v>3052</v>
      </c>
      <c r="N90" s="82" t="s">
        <v>3054</v>
      </c>
      <c r="O90" s="82" t="s">
        <v>3056</v>
      </c>
      <c r="P90" s="82" t="s">
        <v>3058</v>
      </c>
      <c r="Q90" s="82"/>
      <c r="R90" s="82"/>
      <c r="S90" s="82" t="s">
        <v>3059</v>
      </c>
      <c r="T90" s="138">
        <v>3.0</v>
      </c>
      <c r="U90" s="323">
        <v>3.0</v>
      </c>
      <c r="V90" s="106">
        <v>0.0</v>
      </c>
      <c r="W90" s="107">
        <v>0.0</v>
      </c>
      <c r="X90" s="107">
        <v>0.0</v>
      </c>
      <c r="Y90" s="107">
        <v>0.0</v>
      </c>
      <c r="Z90" s="80">
        <v>0.0</v>
      </c>
      <c r="AA90" s="140">
        <v>0.0</v>
      </c>
      <c r="AB90" s="109">
        <v>0.0</v>
      </c>
      <c r="AC90" s="109">
        <v>0.0</v>
      </c>
      <c r="AD90" s="141">
        <v>0.0</v>
      </c>
      <c r="AE90" s="80">
        <v>0.0</v>
      </c>
      <c r="AF90" s="140">
        <v>0.0</v>
      </c>
      <c r="AG90" s="109">
        <v>30.0</v>
      </c>
      <c r="AH90" s="109">
        <v>0.0</v>
      </c>
      <c r="AI90" s="141">
        <v>0.0</v>
      </c>
      <c r="AJ90" s="80">
        <v>30.0</v>
      </c>
      <c r="AK90" s="140">
        <v>0.0</v>
      </c>
      <c r="AL90" s="109">
        <v>0.0</v>
      </c>
      <c r="AM90" s="141">
        <v>0.0</v>
      </c>
      <c r="AN90" s="80">
        <v>0.0</v>
      </c>
      <c r="AO90" s="140">
        <v>0.0</v>
      </c>
      <c r="AP90" s="109">
        <v>0.0</v>
      </c>
      <c r="AQ90" s="109">
        <v>0.0</v>
      </c>
      <c r="AR90" s="80">
        <v>0.0</v>
      </c>
      <c r="AS90" s="110">
        <v>0.0</v>
      </c>
      <c r="AT90" s="110">
        <v>0.0</v>
      </c>
      <c r="AU90" s="110">
        <v>0.0</v>
      </c>
      <c r="AV90" s="142">
        <v>0.0</v>
      </c>
      <c r="AW90" s="80">
        <v>0.0</v>
      </c>
      <c r="AX90" s="113">
        <v>30.0</v>
      </c>
      <c r="AY90" s="117">
        <v>30.0</v>
      </c>
      <c r="AZ90" s="328">
        <v>0.0</v>
      </c>
      <c r="BA90" s="315">
        <v>0.0</v>
      </c>
      <c r="BB90" s="316">
        <v>30.0</v>
      </c>
      <c r="BC90" s="132" t="s">
        <v>178</v>
      </c>
      <c r="BD90" s="143" t="s">
        <v>227</v>
      </c>
      <c r="BE90" s="132" t="s">
        <v>178</v>
      </c>
      <c r="BF90" s="123"/>
      <c r="BG90" s="83">
        <v>1178821.0</v>
      </c>
      <c r="BH90" s="112">
        <v>3.0</v>
      </c>
      <c r="BI90" s="98" t="s">
        <v>155</v>
      </c>
      <c r="BJ90" s="98" t="str">
        <f t="shared" si="1"/>
        <v>NÃO</v>
      </c>
      <c r="BK90" s="98" t="str">
        <f t="shared" si="2"/>
        <v>NÃO</v>
      </c>
    </row>
    <row r="91" ht="15.75" customHeight="1">
      <c r="A91" s="111" t="s">
        <v>205</v>
      </c>
      <c r="B91" s="83" t="s">
        <v>539</v>
      </c>
      <c r="C91" s="83" t="s">
        <v>164</v>
      </c>
      <c r="D91" s="83">
        <v>1179431.0</v>
      </c>
      <c r="E91" s="83">
        <v>1178819.0</v>
      </c>
      <c r="F91" s="83"/>
      <c r="G91" s="187" t="s">
        <v>2342</v>
      </c>
      <c r="H91" s="91" t="s">
        <v>3275</v>
      </c>
      <c r="I91" s="114" t="s">
        <v>149</v>
      </c>
      <c r="J91" s="83" t="s">
        <v>664</v>
      </c>
      <c r="K91" s="83" t="s">
        <v>151</v>
      </c>
      <c r="L91" s="83" t="s">
        <v>169</v>
      </c>
      <c r="M91" s="82" t="s">
        <v>3052</v>
      </c>
      <c r="N91" s="82" t="s">
        <v>3054</v>
      </c>
      <c r="O91" s="82" t="s">
        <v>3056</v>
      </c>
      <c r="P91" s="82" t="s">
        <v>3058</v>
      </c>
      <c r="Q91" s="82"/>
      <c r="R91" s="82"/>
      <c r="S91" s="82" t="s">
        <v>3059</v>
      </c>
      <c r="T91" s="138">
        <v>4.0</v>
      </c>
      <c r="U91" s="331">
        <v>4.0</v>
      </c>
      <c r="V91" s="106">
        <v>0.0</v>
      </c>
      <c r="W91" s="107">
        <v>0.0</v>
      </c>
      <c r="X91" s="107">
        <v>0.0</v>
      </c>
      <c r="Y91" s="107">
        <v>0.0</v>
      </c>
      <c r="Z91" s="80">
        <v>0.0</v>
      </c>
      <c r="AA91" s="140">
        <v>0.0</v>
      </c>
      <c r="AB91" s="109">
        <v>0.0</v>
      </c>
      <c r="AC91" s="109">
        <v>0.0</v>
      </c>
      <c r="AD91" s="141">
        <v>0.0</v>
      </c>
      <c r="AE91" s="80">
        <v>0.0</v>
      </c>
      <c r="AF91" s="140">
        <v>57.0</v>
      </c>
      <c r="AG91" s="109">
        <v>55.0</v>
      </c>
      <c r="AH91" s="109">
        <v>0.0</v>
      </c>
      <c r="AI91" s="141">
        <v>0.0</v>
      </c>
      <c r="AJ91" s="80">
        <v>112.0</v>
      </c>
      <c r="AK91" s="140">
        <v>0.0</v>
      </c>
      <c r="AL91" s="109">
        <v>0.0</v>
      </c>
      <c r="AM91" s="141">
        <v>0.0</v>
      </c>
      <c r="AN91" s="80">
        <v>0.0</v>
      </c>
      <c r="AO91" s="140">
        <v>0.0</v>
      </c>
      <c r="AP91" s="109">
        <v>0.0</v>
      </c>
      <c r="AQ91" s="109">
        <v>0.0</v>
      </c>
      <c r="AR91" s="80">
        <v>0.0</v>
      </c>
      <c r="AS91" s="110">
        <v>0.0</v>
      </c>
      <c r="AT91" s="110">
        <v>0.0</v>
      </c>
      <c r="AU91" s="110">
        <v>0.0</v>
      </c>
      <c r="AV91" s="142">
        <v>0.0</v>
      </c>
      <c r="AW91" s="80">
        <v>0.0</v>
      </c>
      <c r="AX91" s="113">
        <v>112.0</v>
      </c>
      <c r="AY91" s="117">
        <v>112.0</v>
      </c>
      <c r="AZ91" s="328">
        <v>0.0</v>
      </c>
      <c r="BA91" s="315">
        <v>0.0</v>
      </c>
      <c r="BB91" s="316">
        <v>112.0</v>
      </c>
      <c r="BC91" s="132" t="s">
        <v>178</v>
      </c>
      <c r="BD91" s="143" t="s">
        <v>227</v>
      </c>
      <c r="BE91" s="132" t="s">
        <v>178</v>
      </c>
      <c r="BF91" s="123"/>
      <c r="BG91" s="83">
        <v>1178819.0</v>
      </c>
      <c r="BH91" s="112">
        <v>4.0</v>
      </c>
      <c r="BI91" s="98" t="s">
        <v>155</v>
      </c>
      <c r="BJ91" s="98" t="str">
        <f t="shared" si="1"/>
        <v>NÃO</v>
      </c>
      <c r="BK91" s="98" t="str">
        <f t="shared" si="2"/>
        <v>NÃO</v>
      </c>
    </row>
    <row r="92" ht="15.75" customHeight="1">
      <c r="A92" s="111" t="s">
        <v>205</v>
      </c>
      <c r="B92" s="83" t="s">
        <v>558</v>
      </c>
      <c r="C92" s="83" t="s">
        <v>68</v>
      </c>
      <c r="D92" s="83">
        <v>1128762.0</v>
      </c>
      <c r="E92" s="83"/>
      <c r="F92" s="83">
        <v>2.904457E7</v>
      </c>
      <c r="G92" s="119" t="s">
        <v>559</v>
      </c>
      <c r="H92" s="91" t="s">
        <v>560</v>
      </c>
      <c r="I92" s="114" t="s">
        <v>149</v>
      </c>
      <c r="J92" s="83" t="s">
        <v>150</v>
      </c>
      <c r="K92" s="83" t="s">
        <v>151</v>
      </c>
      <c r="L92" s="83" t="s">
        <v>152</v>
      </c>
      <c r="M92" s="82" t="s">
        <v>3280</v>
      </c>
      <c r="N92" s="82" t="s">
        <v>3281</v>
      </c>
      <c r="O92" s="82" t="s">
        <v>3282</v>
      </c>
      <c r="P92" s="82" t="s">
        <v>3283</v>
      </c>
      <c r="Q92" s="82" t="s">
        <v>3284</v>
      </c>
      <c r="R92" s="82" t="s">
        <v>3285</v>
      </c>
      <c r="S92" s="82" t="s">
        <v>3286</v>
      </c>
      <c r="T92" s="138">
        <v>10.0</v>
      </c>
      <c r="U92" s="357" t="s">
        <v>3288</v>
      </c>
      <c r="V92" s="106">
        <v>0.0</v>
      </c>
      <c r="W92" s="107">
        <v>0.0</v>
      </c>
      <c r="X92" s="107">
        <v>0.0</v>
      </c>
      <c r="Y92" s="107">
        <v>0.0</v>
      </c>
      <c r="Z92" s="80">
        <v>0.0</v>
      </c>
      <c r="AA92" s="140">
        <v>0.0</v>
      </c>
      <c r="AB92" s="109">
        <v>0.0</v>
      </c>
      <c r="AC92" s="109">
        <v>0.0</v>
      </c>
      <c r="AD92" s="141">
        <v>0.0</v>
      </c>
      <c r="AE92" s="80">
        <v>0.0</v>
      </c>
      <c r="AF92" s="140">
        <v>322.0</v>
      </c>
      <c r="AG92" s="109">
        <v>236.0</v>
      </c>
      <c r="AH92" s="109">
        <v>40.0</v>
      </c>
      <c r="AI92" s="141">
        <v>0.0</v>
      </c>
      <c r="AJ92" s="80">
        <v>598.0</v>
      </c>
      <c r="AK92" s="140">
        <v>0.0</v>
      </c>
      <c r="AL92" s="109">
        <v>0.0</v>
      </c>
      <c r="AM92" s="141">
        <v>0.0</v>
      </c>
      <c r="AN92" s="80">
        <v>0.0</v>
      </c>
      <c r="AO92" s="140">
        <v>0.0</v>
      </c>
      <c r="AP92" s="109">
        <v>0.0</v>
      </c>
      <c r="AQ92" s="109">
        <v>99.0</v>
      </c>
      <c r="AR92" s="80">
        <v>99.0</v>
      </c>
      <c r="AS92" s="110">
        <v>0.0</v>
      </c>
      <c r="AT92" s="110">
        <v>0.0</v>
      </c>
      <c r="AU92" s="110">
        <v>16.0</v>
      </c>
      <c r="AV92" s="142">
        <v>0.0</v>
      </c>
      <c r="AW92" s="80">
        <v>16.0</v>
      </c>
      <c r="AX92" s="113">
        <v>713.0</v>
      </c>
      <c r="AY92" s="117">
        <v>558.0</v>
      </c>
      <c r="AZ92" s="328">
        <v>155.0</v>
      </c>
      <c r="BA92" s="315">
        <v>1.0</v>
      </c>
      <c r="BB92" s="316">
        <v>714.0</v>
      </c>
      <c r="BC92" s="132" t="s">
        <v>178</v>
      </c>
      <c r="BD92" s="132" t="s">
        <v>178</v>
      </c>
      <c r="BE92" s="132" t="s">
        <v>178</v>
      </c>
      <c r="BF92" s="123"/>
      <c r="BG92" s="83">
        <v>1128762.0</v>
      </c>
      <c r="BH92" s="112">
        <v>8.0</v>
      </c>
      <c r="BI92" s="98" t="s">
        <v>155</v>
      </c>
      <c r="BJ92" s="98" t="str">
        <f t="shared" si="1"/>
        <v>NÃO</v>
      </c>
      <c r="BK92" s="98" t="str">
        <f t="shared" si="2"/>
        <v>PROFISSIONAL</v>
      </c>
    </row>
    <row r="93" ht="15.75" customHeight="1">
      <c r="A93" s="111" t="s">
        <v>205</v>
      </c>
      <c r="B93" s="83" t="s">
        <v>558</v>
      </c>
      <c r="C93" s="83" t="s">
        <v>164</v>
      </c>
      <c r="D93" s="83">
        <v>1179431.0</v>
      </c>
      <c r="E93" s="83">
        <v>1179497.0</v>
      </c>
      <c r="F93" s="83"/>
      <c r="G93" s="114" t="s">
        <v>2453</v>
      </c>
      <c r="H93" s="91" t="s">
        <v>3297</v>
      </c>
      <c r="I93" s="114" t="s">
        <v>576</v>
      </c>
      <c r="J93" s="83" t="s">
        <v>1765</v>
      </c>
      <c r="K93" s="83" t="s">
        <v>168</v>
      </c>
      <c r="L93" s="83" t="s">
        <v>169</v>
      </c>
      <c r="M93" s="82" t="s">
        <v>3052</v>
      </c>
      <c r="N93" s="82" t="s">
        <v>3054</v>
      </c>
      <c r="O93" s="82" t="s">
        <v>3056</v>
      </c>
      <c r="P93" s="82" t="s">
        <v>3058</v>
      </c>
      <c r="Q93" s="82"/>
      <c r="R93" s="82"/>
      <c r="S93" s="82" t="s">
        <v>3059</v>
      </c>
      <c r="T93" s="138">
        <v>1.0</v>
      </c>
      <c r="U93" s="358">
        <v>1.0</v>
      </c>
      <c r="V93" s="106">
        <v>0.0</v>
      </c>
      <c r="W93" s="107">
        <v>0.0</v>
      </c>
      <c r="X93" s="107">
        <v>0.0</v>
      </c>
      <c r="Y93" s="107">
        <v>0.0</v>
      </c>
      <c r="Z93" s="80">
        <v>0.0</v>
      </c>
      <c r="AA93" s="140">
        <v>0.0</v>
      </c>
      <c r="AB93" s="109">
        <v>0.0</v>
      </c>
      <c r="AC93" s="109">
        <v>0.0</v>
      </c>
      <c r="AD93" s="141">
        <v>0.0</v>
      </c>
      <c r="AE93" s="80">
        <v>0.0</v>
      </c>
      <c r="AF93" s="140">
        <v>3.0</v>
      </c>
      <c r="AG93" s="109">
        <v>5.0</v>
      </c>
      <c r="AH93" s="109">
        <v>5.0</v>
      </c>
      <c r="AI93" s="141">
        <v>0.0</v>
      </c>
      <c r="AJ93" s="80">
        <v>13.0</v>
      </c>
      <c r="AK93" s="140">
        <v>0.0</v>
      </c>
      <c r="AL93" s="109">
        <v>0.0</v>
      </c>
      <c r="AM93" s="141">
        <v>0.0</v>
      </c>
      <c r="AN93" s="80">
        <v>0.0</v>
      </c>
      <c r="AO93" s="140">
        <v>0.0</v>
      </c>
      <c r="AP93" s="109">
        <v>0.0</v>
      </c>
      <c r="AQ93" s="109">
        <v>0.0</v>
      </c>
      <c r="AR93" s="80">
        <v>0.0</v>
      </c>
      <c r="AS93" s="110">
        <v>0.0</v>
      </c>
      <c r="AT93" s="110">
        <v>0.0</v>
      </c>
      <c r="AU93" s="110">
        <v>0.0</v>
      </c>
      <c r="AV93" s="142">
        <v>0.0</v>
      </c>
      <c r="AW93" s="80">
        <v>0.0</v>
      </c>
      <c r="AX93" s="113">
        <v>13.0</v>
      </c>
      <c r="AY93" s="117">
        <v>8.0</v>
      </c>
      <c r="AZ93" s="328">
        <v>5.0</v>
      </c>
      <c r="BA93" s="315">
        <v>0.0</v>
      </c>
      <c r="BB93" s="316">
        <v>13.0</v>
      </c>
      <c r="BC93" s="132" t="s">
        <v>178</v>
      </c>
      <c r="BD93" s="143" t="s">
        <v>227</v>
      </c>
      <c r="BE93" s="132" t="s">
        <v>178</v>
      </c>
      <c r="BF93" s="156"/>
      <c r="BG93" s="83">
        <v>1179497.0</v>
      </c>
      <c r="BH93" s="112">
        <v>1.0</v>
      </c>
      <c r="BI93" s="98" t="s">
        <v>155</v>
      </c>
      <c r="BJ93" s="98" t="str">
        <f t="shared" si="1"/>
        <v>NÃO</v>
      </c>
      <c r="BK93" s="98" t="str">
        <f t="shared" si="2"/>
        <v>NÃO</v>
      </c>
    </row>
    <row r="94" ht="15.75" customHeight="1">
      <c r="A94" s="111" t="s">
        <v>205</v>
      </c>
      <c r="B94" s="83" t="s">
        <v>558</v>
      </c>
      <c r="C94" s="83" t="s">
        <v>164</v>
      </c>
      <c r="D94" s="83">
        <v>1128762.0</v>
      </c>
      <c r="E94" s="83">
        <v>1179013.0</v>
      </c>
      <c r="F94" s="83"/>
      <c r="G94" s="114" t="s">
        <v>3302</v>
      </c>
      <c r="H94" s="91" t="s">
        <v>565</v>
      </c>
      <c r="I94" s="114" t="s">
        <v>149</v>
      </c>
      <c r="J94" s="83" t="s">
        <v>464</v>
      </c>
      <c r="K94" s="83" t="s">
        <v>151</v>
      </c>
      <c r="L94" s="83" t="s">
        <v>169</v>
      </c>
      <c r="M94" s="82" t="s">
        <v>3280</v>
      </c>
      <c r="N94" s="82" t="s">
        <v>3281</v>
      </c>
      <c r="O94" s="82" t="s">
        <v>3282</v>
      </c>
      <c r="P94" s="82" t="s">
        <v>3283</v>
      </c>
      <c r="Q94" s="82" t="s">
        <v>3284</v>
      </c>
      <c r="R94" s="82" t="s">
        <v>3285</v>
      </c>
      <c r="S94" s="82" t="s">
        <v>3286</v>
      </c>
      <c r="T94" s="138">
        <v>4.0</v>
      </c>
      <c r="U94" s="358">
        <v>4.0</v>
      </c>
      <c r="V94" s="106">
        <v>0.0</v>
      </c>
      <c r="W94" s="107">
        <v>0.0</v>
      </c>
      <c r="X94" s="107">
        <v>0.0</v>
      </c>
      <c r="Y94" s="107">
        <v>0.0</v>
      </c>
      <c r="Z94" s="80">
        <v>0.0</v>
      </c>
      <c r="AA94" s="140">
        <v>0.0</v>
      </c>
      <c r="AB94" s="109">
        <v>0.0</v>
      </c>
      <c r="AC94" s="109">
        <v>0.0</v>
      </c>
      <c r="AD94" s="141">
        <v>0.0</v>
      </c>
      <c r="AE94" s="80">
        <v>0.0</v>
      </c>
      <c r="AF94" s="140">
        <v>0.0</v>
      </c>
      <c r="AG94" s="109">
        <v>0.0</v>
      </c>
      <c r="AH94" s="109">
        <v>8.0</v>
      </c>
      <c r="AI94" s="141">
        <v>0.0</v>
      </c>
      <c r="AJ94" s="80">
        <v>8.0</v>
      </c>
      <c r="AK94" s="140">
        <v>0.0</v>
      </c>
      <c r="AL94" s="109">
        <v>0.0</v>
      </c>
      <c r="AM94" s="141">
        <v>0.0</v>
      </c>
      <c r="AN94" s="80">
        <v>0.0</v>
      </c>
      <c r="AO94" s="140">
        <v>0.0</v>
      </c>
      <c r="AP94" s="109">
        <v>0.0</v>
      </c>
      <c r="AQ94" s="109">
        <v>28.0</v>
      </c>
      <c r="AR94" s="80">
        <v>28.0</v>
      </c>
      <c r="AS94" s="110">
        <v>0.0</v>
      </c>
      <c r="AT94" s="110">
        <v>0.0</v>
      </c>
      <c r="AU94" s="110">
        <v>0.0</v>
      </c>
      <c r="AV94" s="142">
        <v>0.0</v>
      </c>
      <c r="AW94" s="80">
        <v>0.0</v>
      </c>
      <c r="AX94" s="113">
        <v>36.0</v>
      </c>
      <c r="AY94" s="117">
        <v>0.0</v>
      </c>
      <c r="AZ94" s="328">
        <v>36.0</v>
      </c>
      <c r="BA94" s="315">
        <v>0.0</v>
      </c>
      <c r="BB94" s="316">
        <v>36.0</v>
      </c>
      <c r="BC94" s="132" t="s">
        <v>265</v>
      </c>
      <c r="BD94" s="132" t="s">
        <v>178</v>
      </c>
      <c r="BE94" s="132" t="s">
        <v>178</v>
      </c>
      <c r="BF94" s="123"/>
      <c r="BG94" s="83">
        <v>1179013.0</v>
      </c>
      <c r="BH94" s="112">
        <v>4.0</v>
      </c>
      <c r="BI94" s="98" t="s">
        <v>155</v>
      </c>
      <c r="BJ94" s="98" t="str">
        <f t="shared" si="1"/>
        <v>NÃO</v>
      </c>
      <c r="BK94" s="98" t="str">
        <f t="shared" si="2"/>
        <v>NÃO</v>
      </c>
    </row>
    <row r="95" ht="15.75" customHeight="1">
      <c r="A95" s="111" t="s">
        <v>205</v>
      </c>
      <c r="B95" s="83" t="s">
        <v>558</v>
      </c>
      <c r="C95" s="83" t="s">
        <v>164</v>
      </c>
      <c r="D95" s="83">
        <v>1128762.0</v>
      </c>
      <c r="E95" s="83">
        <v>1179011.0</v>
      </c>
      <c r="F95" s="83"/>
      <c r="G95" s="114" t="s">
        <v>3308</v>
      </c>
      <c r="H95" s="91" t="s">
        <v>567</v>
      </c>
      <c r="I95" s="114" t="s">
        <v>149</v>
      </c>
      <c r="J95" s="83" t="s">
        <v>568</v>
      </c>
      <c r="K95" s="83" t="s">
        <v>168</v>
      </c>
      <c r="L95" s="83" t="s">
        <v>169</v>
      </c>
      <c r="M95" s="82" t="s">
        <v>3280</v>
      </c>
      <c r="N95" s="82" t="s">
        <v>3281</v>
      </c>
      <c r="O95" s="82" t="s">
        <v>3282</v>
      </c>
      <c r="P95" s="82" t="s">
        <v>3283</v>
      </c>
      <c r="Q95" s="82" t="s">
        <v>3284</v>
      </c>
      <c r="R95" s="82" t="s">
        <v>3285</v>
      </c>
      <c r="S95" s="82" t="s">
        <v>3286</v>
      </c>
      <c r="T95" s="138">
        <v>3.0</v>
      </c>
      <c r="U95" s="358">
        <v>3.0</v>
      </c>
      <c r="V95" s="106">
        <v>0.0</v>
      </c>
      <c r="W95" s="107">
        <v>0.0</v>
      </c>
      <c r="X95" s="107">
        <v>0.0</v>
      </c>
      <c r="Y95" s="107">
        <v>0.0</v>
      </c>
      <c r="Z95" s="80">
        <v>0.0</v>
      </c>
      <c r="AA95" s="140">
        <v>0.0</v>
      </c>
      <c r="AB95" s="109">
        <v>0.0</v>
      </c>
      <c r="AC95" s="109">
        <v>0.0</v>
      </c>
      <c r="AD95" s="141">
        <v>0.0</v>
      </c>
      <c r="AE95" s="80">
        <v>0.0</v>
      </c>
      <c r="AF95" s="140">
        <v>0.0</v>
      </c>
      <c r="AG95" s="109">
        <v>0.0</v>
      </c>
      <c r="AH95" s="109">
        <v>31.0</v>
      </c>
      <c r="AI95" s="141">
        <v>0.0</v>
      </c>
      <c r="AJ95" s="80">
        <v>31.0</v>
      </c>
      <c r="AK95" s="140">
        <v>0.0</v>
      </c>
      <c r="AL95" s="109">
        <v>0.0</v>
      </c>
      <c r="AM95" s="141">
        <v>0.0</v>
      </c>
      <c r="AN95" s="80">
        <v>0.0</v>
      </c>
      <c r="AO95" s="140">
        <v>0.0</v>
      </c>
      <c r="AP95" s="109">
        <v>0.0</v>
      </c>
      <c r="AQ95" s="109">
        <v>37.0</v>
      </c>
      <c r="AR95" s="80">
        <v>37.0</v>
      </c>
      <c r="AS95" s="110">
        <v>0.0</v>
      </c>
      <c r="AT95" s="110">
        <v>0.0</v>
      </c>
      <c r="AU95" s="110">
        <v>0.0</v>
      </c>
      <c r="AV95" s="142">
        <v>0.0</v>
      </c>
      <c r="AW95" s="80">
        <v>0.0</v>
      </c>
      <c r="AX95" s="113">
        <v>68.0</v>
      </c>
      <c r="AY95" s="117">
        <v>0.0</v>
      </c>
      <c r="AZ95" s="328">
        <v>68.0</v>
      </c>
      <c r="BA95" s="315">
        <v>0.0</v>
      </c>
      <c r="BB95" s="316">
        <v>68.0</v>
      </c>
      <c r="BC95" s="132" t="s">
        <v>373</v>
      </c>
      <c r="BD95" s="132" t="s">
        <v>178</v>
      </c>
      <c r="BE95" s="132" t="s">
        <v>178</v>
      </c>
      <c r="BF95" s="123"/>
      <c r="BG95" s="83">
        <v>1179011.0</v>
      </c>
      <c r="BH95" s="112">
        <v>3.0</v>
      </c>
      <c r="BI95" s="98" t="s">
        <v>155</v>
      </c>
      <c r="BJ95" s="98" t="str">
        <f t="shared" si="1"/>
        <v>NÃO</v>
      </c>
      <c r="BK95" s="98" t="str">
        <f t="shared" si="2"/>
        <v>NÃO</v>
      </c>
    </row>
    <row r="96" ht="15.75" customHeight="1">
      <c r="A96" s="111" t="s">
        <v>205</v>
      </c>
      <c r="B96" s="83" t="s">
        <v>558</v>
      </c>
      <c r="C96" s="83" t="s">
        <v>164</v>
      </c>
      <c r="D96" s="83">
        <v>1179431.0</v>
      </c>
      <c r="E96" s="83">
        <v>1179188.0</v>
      </c>
      <c r="F96" s="83"/>
      <c r="G96" s="114" t="s">
        <v>570</v>
      </c>
      <c r="H96" s="91" t="s">
        <v>571</v>
      </c>
      <c r="I96" s="114" t="s">
        <v>149</v>
      </c>
      <c r="J96" s="83" t="s">
        <v>183</v>
      </c>
      <c r="K96" s="83" t="s">
        <v>168</v>
      </c>
      <c r="L96" s="83" t="s">
        <v>230</v>
      </c>
      <c r="M96" s="82" t="s">
        <v>3052</v>
      </c>
      <c r="N96" s="82" t="s">
        <v>3054</v>
      </c>
      <c r="O96" s="82" t="s">
        <v>3056</v>
      </c>
      <c r="P96" s="82" t="s">
        <v>3058</v>
      </c>
      <c r="Q96" s="82"/>
      <c r="R96" s="82"/>
      <c r="S96" s="82" t="s">
        <v>3059</v>
      </c>
      <c r="T96" s="138">
        <v>3.0</v>
      </c>
      <c r="U96" s="358">
        <v>3.0</v>
      </c>
      <c r="V96" s="106">
        <v>0.0</v>
      </c>
      <c r="W96" s="107">
        <v>0.0</v>
      </c>
      <c r="X96" s="107">
        <v>0.0</v>
      </c>
      <c r="Y96" s="107">
        <v>0.0</v>
      </c>
      <c r="Z96" s="80">
        <v>0.0</v>
      </c>
      <c r="AA96" s="140">
        <v>0.0</v>
      </c>
      <c r="AB96" s="109">
        <v>0.0</v>
      </c>
      <c r="AC96" s="109">
        <v>0.0</v>
      </c>
      <c r="AD96" s="141">
        <v>0.0</v>
      </c>
      <c r="AE96" s="80">
        <v>0.0</v>
      </c>
      <c r="AF96" s="140">
        <v>26.0</v>
      </c>
      <c r="AG96" s="109">
        <v>11.0</v>
      </c>
      <c r="AH96" s="109">
        <v>0.0</v>
      </c>
      <c r="AI96" s="141">
        <v>0.0</v>
      </c>
      <c r="AJ96" s="80">
        <v>37.0</v>
      </c>
      <c r="AK96" s="140">
        <v>0.0</v>
      </c>
      <c r="AL96" s="109">
        <v>0.0</v>
      </c>
      <c r="AM96" s="141">
        <v>0.0</v>
      </c>
      <c r="AN96" s="80">
        <v>0.0</v>
      </c>
      <c r="AO96" s="140">
        <v>0.0</v>
      </c>
      <c r="AP96" s="109">
        <v>0.0</v>
      </c>
      <c r="AQ96" s="109">
        <v>0.0</v>
      </c>
      <c r="AR96" s="80">
        <v>0.0</v>
      </c>
      <c r="AS96" s="110">
        <v>0.0</v>
      </c>
      <c r="AT96" s="110">
        <v>0.0</v>
      </c>
      <c r="AU96" s="110">
        <v>0.0</v>
      </c>
      <c r="AV96" s="142">
        <v>0.0</v>
      </c>
      <c r="AW96" s="80">
        <v>0.0</v>
      </c>
      <c r="AX96" s="113">
        <v>37.0</v>
      </c>
      <c r="AY96" s="117">
        <v>37.0</v>
      </c>
      <c r="AZ96" s="328">
        <v>0.0</v>
      </c>
      <c r="BA96" s="315">
        <v>0.0</v>
      </c>
      <c r="BB96" s="316">
        <v>37.0</v>
      </c>
      <c r="BC96" s="132" t="s">
        <v>178</v>
      </c>
      <c r="BD96" s="143" t="s">
        <v>227</v>
      </c>
      <c r="BE96" s="132" t="s">
        <v>178</v>
      </c>
      <c r="BF96" s="123"/>
      <c r="BG96" s="83">
        <v>1179188.0</v>
      </c>
      <c r="BH96" s="112">
        <v>3.0</v>
      </c>
      <c r="BI96" s="98" t="s">
        <v>155</v>
      </c>
      <c r="BJ96" s="98" t="str">
        <f t="shared" si="1"/>
        <v>NÃO</v>
      </c>
      <c r="BK96" s="98" t="str">
        <f t="shared" si="2"/>
        <v>NÃO</v>
      </c>
    </row>
    <row r="97" ht="15.75" customHeight="1">
      <c r="A97" s="111" t="s">
        <v>205</v>
      </c>
      <c r="B97" s="83" t="s">
        <v>558</v>
      </c>
      <c r="C97" s="83" t="s">
        <v>164</v>
      </c>
      <c r="D97" s="83">
        <v>1179431.0</v>
      </c>
      <c r="E97" s="83">
        <v>1179012.0</v>
      </c>
      <c r="F97" s="83"/>
      <c r="G97" s="114" t="s">
        <v>2454</v>
      </c>
      <c r="H97" s="91" t="s">
        <v>3315</v>
      </c>
      <c r="I97" s="114" t="s">
        <v>149</v>
      </c>
      <c r="J97" s="83" t="s">
        <v>334</v>
      </c>
      <c r="K97" s="83" t="s">
        <v>168</v>
      </c>
      <c r="L97" s="83" t="s">
        <v>169</v>
      </c>
      <c r="M97" s="82" t="s">
        <v>3052</v>
      </c>
      <c r="N97" s="82" t="s">
        <v>3054</v>
      </c>
      <c r="O97" s="82" t="s">
        <v>3056</v>
      </c>
      <c r="P97" s="82" t="s">
        <v>3058</v>
      </c>
      <c r="Q97" s="82"/>
      <c r="R97" s="82"/>
      <c r="S97" s="82" t="s">
        <v>3059</v>
      </c>
      <c r="T97" s="138">
        <v>4.0</v>
      </c>
      <c r="U97" s="358">
        <v>4.0</v>
      </c>
      <c r="V97" s="106">
        <v>0.0</v>
      </c>
      <c r="W97" s="107">
        <v>0.0</v>
      </c>
      <c r="X97" s="107">
        <v>0.0</v>
      </c>
      <c r="Y97" s="107">
        <v>0.0</v>
      </c>
      <c r="Z97" s="80">
        <v>0.0</v>
      </c>
      <c r="AA97" s="140">
        <v>0.0</v>
      </c>
      <c r="AB97" s="109">
        <v>0.0</v>
      </c>
      <c r="AC97" s="109">
        <v>0.0</v>
      </c>
      <c r="AD97" s="141">
        <v>0.0</v>
      </c>
      <c r="AE97" s="80">
        <v>0.0</v>
      </c>
      <c r="AF97" s="140">
        <v>0.0</v>
      </c>
      <c r="AG97" s="109">
        <v>70.0</v>
      </c>
      <c r="AH97" s="109">
        <v>0.0</v>
      </c>
      <c r="AI97" s="141">
        <v>0.0</v>
      </c>
      <c r="AJ97" s="80">
        <v>70.0</v>
      </c>
      <c r="AK97" s="140">
        <v>0.0</v>
      </c>
      <c r="AL97" s="109">
        <v>0.0</v>
      </c>
      <c r="AM97" s="141">
        <v>0.0</v>
      </c>
      <c r="AN97" s="80">
        <v>0.0</v>
      </c>
      <c r="AO97" s="140">
        <v>0.0</v>
      </c>
      <c r="AP97" s="109">
        <v>0.0</v>
      </c>
      <c r="AQ97" s="109">
        <v>0.0</v>
      </c>
      <c r="AR97" s="80">
        <v>0.0</v>
      </c>
      <c r="AS97" s="110">
        <v>0.0</v>
      </c>
      <c r="AT97" s="110">
        <v>0.0</v>
      </c>
      <c r="AU97" s="110">
        <v>0.0</v>
      </c>
      <c r="AV97" s="142">
        <v>0.0</v>
      </c>
      <c r="AW97" s="80">
        <v>0.0</v>
      </c>
      <c r="AX97" s="113">
        <v>70.0</v>
      </c>
      <c r="AY97" s="117">
        <v>70.0</v>
      </c>
      <c r="AZ97" s="328">
        <v>0.0</v>
      </c>
      <c r="BA97" s="315">
        <v>0.0</v>
      </c>
      <c r="BB97" s="316">
        <v>70.0</v>
      </c>
      <c r="BC97" s="132" t="s">
        <v>178</v>
      </c>
      <c r="BD97" s="143" t="s">
        <v>227</v>
      </c>
      <c r="BE97" s="132" t="s">
        <v>178</v>
      </c>
      <c r="BF97" s="123"/>
      <c r="BG97" s="83">
        <v>1179012.0</v>
      </c>
      <c r="BH97" s="112">
        <v>4.0</v>
      </c>
      <c r="BI97" s="98" t="s">
        <v>155</v>
      </c>
      <c r="BJ97" s="98" t="str">
        <f t="shared" si="1"/>
        <v>NÃO</v>
      </c>
      <c r="BK97" s="98" t="str">
        <f t="shared" si="2"/>
        <v>NÃO</v>
      </c>
    </row>
    <row r="98" ht="15.75" customHeight="1">
      <c r="A98" s="111" t="s">
        <v>205</v>
      </c>
      <c r="B98" s="83" t="s">
        <v>558</v>
      </c>
      <c r="C98" s="83" t="s">
        <v>164</v>
      </c>
      <c r="D98" s="83">
        <v>1179431.0</v>
      </c>
      <c r="E98" s="83">
        <v>1179014.0</v>
      </c>
      <c r="F98" s="83"/>
      <c r="G98" s="114" t="s">
        <v>572</v>
      </c>
      <c r="H98" s="91" t="s">
        <v>573</v>
      </c>
      <c r="I98" s="114" t="s">
        <v>149</v>
      </c>
      <c r="J98" s="83" t="s">
        <v>183</v>
      </c>
      <c r="K98" s="83" t="s">
        <v>151</v>
      </c>
      <c r="L98" s="83" t="s">
        <v>169</v>
      </c>
      <c r="M98" s="82" t="s">
        <v>3052</v>
      </c>
      <c r="N98" s="82" t="s">
        <v>3054</v>
      </c>
      <c r="O98" s="82" t="s">
        <v>3056</v>
      </c>
      <c r="P98" s="82" t="s">
        <v>3058</v>
      </c>
      <c r="Q98" s="82"/>
      <c r="R98" s="82"/>
      <c r="S98" s="82" t="s">
        <v>3059</v>
      </c>
      <c r="T98" s="138">
        <v>3.0</v>
      </c>
      <c r="U98" s="358">
        <v>3.0</v>
      </c>
      <c r="V98" s="106">
        <v>0.0</v>
      </c>
      <c r="W98" s="107">
        <v>0.0</v>
      </c>
      <c r="X98" s="107">
        <v>0.0</v>
      </c>
      <c r="Y98" s="107">
        <v>0.0</v>
      </c>
      <c r="Z98" s="80">
        <v>0.0</v>
      </c>
      <c r="AA98" s="140">
        <v>0.0</v>
      </c>
      <c r="AB98" s="109">
        <v>0.0</v>
      </c>
      <c r="AC98" s="109">
        <v>0.0</v>
      </c>
      <c r="AD98" s="141">
        <v>0.0</v>
      </c>
      <c r="AE98" s="80">
        <v>0.0</v>
      </c>
      <c r="AF98" s="140">
        <v>0.0</v>
      </c>
      <c r="AG98" s="109">
        <v>0.0</v>
      </c>
      <c r="AH98" s="109">
        <v>60.0</v>
      </c>
      <c r="AI98" s="141">
        <v>0.0</v>
      </c>
      <c r="AJ98" s="80">
        <v>60.0</v>
      </c>
      <c r="AK98" s="140">
        <v>0.0</v>
      </c>
      <c r="AL98" s="109">
        <v>0.0</v>
      </c>
      <c r="AM98" s="141">
        <v>0.0</v>
      </c>
      <c r="AN98" s="80">
        <v>0.0</v>
      </c>
      <c r="AO98" s="140">
        <v>0.0</v>
      </c>
      <c r="AP98" s="109">
        <v>0.0</v>
      </c>
      <c r="AQ98" s="109">
        <v>0.0</v>
      </c>
      <c r="AR98" s="80">
        <v>0.0</v>
      </c>
      <c r="AS98" s="110">
        <v>0.0</v>
      </c>
      <c r="AT98" s="110">
        <v>0.0</v>
      </c>
      <c r="AU98" s="110">
        <v>0.0</v>
      </c>
      <c r="AV98" s="142">
        <v>0.0</v>
      </c>
      <c r="AW98" s="80">
        <v>0.0</v>
      </c>
      <c r="AX98" s="113">
        <v>60.0</v>
      </c>
      <c r="AY98" s="117">
        <v>0.0</v>
      </c>
      <c r="AZ98" s="328">
        <v>60.0</v>
      </c>
      <c r="BA98" s="315">
        <v>0.0</v>
      </c>
      <c r="BB98" s="316">
        <v>60.0</v>
      </c>
      <c r="BC98" s="132" t="s">
        <v>178</v>
      </c>
      <c r="BD98" s="143" t="s">
        <v>227</v>
      </c>
      <c r="BE98" s="132" t="s">
        <v>178</v>
      </c>
      <c r="BF98" s="123"/>
      <c r="BG98" s="83">
        <v>1179014.0</v>
      </c>
      <c r="BH98" s="112">
        <v>3.0</v>
      </c>
      <c r="BI98" s="98" t="s">
        <v>155</v>
      </c>
      <c r="BJ98" s="98" t="str">
        <f t="shared" si="1"/>
        <v>NÃO</v>
      </c>
      <c r="BK98" s="98" t="str">
        <f t="shared" si="2"/>
        <v>NÃO</v>
      </c>
    </row>
    <row r="99" ht="15.75" customHeight="1">
      <c r="A99" s="111" t="s">
        <v>205</v>
      </c>
      <c r="B99" s="83" t="s">
        <v>558</v>
      </c>
      <c r="C99" s="83" t="s">
        <v>164</v>
      </c>
      <c r="D99" s="83">
        <v>1179431.0</v>
      </c>
      <c r="E99" s="83">
        <v>1179446.0</v>
      </c>
      <c r="F99" s="83"/>
      <c r="G99" s="114" t="s">
        <v>3322</v>
      </c>
      <c r="H99" s="91" t="s">
        <v>3323</v>
      </c>
      <c r="I99" s="114" t="s">
        <v>576</v>
      </c>
      <c r="J99" s="83" t="s">
        <v>1645</v>
      </c>
      <c r="K99" s="83" t="s">
        <v>168</v>
      </c>
      <c r="L99" s="83" t="s">
        <v>169</v>
      </c>
      <c r="M99" s="82" t="s">
        <v>3052</v>
      </c>
      <c r="N99" s="82" t="s">
        <v>3054</v>
      </c>
      <c r="O99" s="82" t="s">
        <v>3056</v>
      </c>
      <c r="P99" s="82" t="s">
        <v>3058</v>
      </c>
      <c r="Q99" s="82"/>
      <c r="R99" s="82"/>
      <c r="S99" s="82" t="s">
        <v>3059</v>
      </c>
      <c r="T99" s="138">
        <v>3.0</v>
      </c>
      <c r="U99" s="358">
        <v>3.0</v>
      </c>
      <c r="V99" s="106">
        <v>0.0</v>
      </c>
      <c r="W99" s="107">
        <v>0.0</v>
      </c>
      <c r="X99" s="107">
        <v>0.0</v>
      </c>
      <c r="Y99" s="107">
        <v>0.0</v>
      </c>
      <c r="Z99" s="80">
        <v>0.0</v>
      </c>
      <c r="AA99" s="140">
        <v>0.0</v>
      </c>
      <c r="AB99" s="109">
        <v>0.0</v>
      </c>
      <c r="AC99" s="109">
        <v>0.0</v>
      </c>
      <c r="AD99" s="141">
        <v>0.0</v>
      </c>
      <c r="AE99" s="80">
        <v>0.0</v>
      </c>
      <c r="AF99" s="140">
        <v>13.0</v>
      </c>
      <c r="AG99" s="109">
        <v>20.0</v>
      </c>
      <c r="AH99" s="109">
        <v>0.0</v>
      </c>
      <c r="AI99" s="141">
        <v>0.0</v>
      </c>
      <c r="AJ99" s="80">
        <v>33.0</v>
      </c>
      <c r="AK99" s="140">
        <v>0.0</v>
      </c>
      <c r="AL99" s="109">
        <v>0.0</v>
      </c>
      <c r="AM99" s="141">
        <v>0.0</v>
      </c>
      <c r="AN99" s="80">
        <v>0.0</v>
      </c>
      <c r="AO99" s="140">
        <v>0.0</v>
      </c>
      <c r="AP99" s="109">
        <v>0.0</v>
      </c>
      <c r="AQ99" s="109">
        <v>0.0</v>
      </c>
      <c r="AR99" s="80">
        <v>0.0</v>
      </c>
      <c r="AS99" s="110">
        <v>0.0</v>
      </c>
      <c r="AT99" s="110">
        <v>0.0</v>
      </c>
      <c r="AU99" s="110">
        <v>0.0</v>
      </c>
      <c r="AV99" s="142">
        <v>0.0</v>
      </c>
      <c r="AW99" s="80">
        <v>0.0</v>
      </c>
      <c r="AX99" s="113">
        <v>33.0</v>
      </c>
      <c r="AY99" s="117">
        <v>33.0</v>
      </c>
      <c r="AZ99" s="328">
        <v>0.0</v>
      </c>
      <c r="BA99" s="315">
        <v>0.0</v>
      </c>
      <c r="BB99" s="316">
        <v>33.0</v>
      </c>
      <c r="BC99" s="132" t="s">
        <v>178</v>
      </c>
      <c r="BD99" s="143" t="s">
        <v>227</v>
      </c>
      <c r="BE99" s="132" t="s">
        <v>178</v>
      </c>
      <c r="BF99" s="156"/>
      <c r="BG99" s="83">
        <v>1179446.0</v>
      </c>
      <c r="BH99" s="112">
        <v>3.0</v>
      </c>
      <c r="BI99" s="98" t="s">
        <v>155</v>
      </c>
      <c r="BJ99" s="98" t="str">
        <f t="shared" si="1"/>
        <v>NÃO</v>
      </c>
      <c r="BK99" s="98" t="str">
        <f t="shared" si="2"/>
        <v>NÃO</v>
      </c>
    </row>
    <row r="100" ht="15.75" customHeight="1">
      <c r="A100" s="111" t="s">
        <v>205</v>
      </c>
      <c r="B100" s="83" t="s">
        <v>558</v>
      </c>
      <c r="C100" s="83" t="s">
        <v>164</v>
      </c>
      <c r="D100" s="83">
        <v>1179431.0</v>
      </c>
      <c r="E100" s="83">
        <v>1179506.0</v>
      </c>
      <c r="F100" s="83"/>
      <c r="G100" s="114" t="s">
        <v>2457</v>
      </c>
      <c r="H100" s="91" t="s">
        <v>3330</v>
      </c>
      <c r="I100" s="114" t="s">
        <v>576</v>
      </c>
      <c r="J100" s="83" t="s">
        <v>464</v>
      </c>
      <c r="K100" s="83" t="s">
        <v>168</v>
      </c>
      <c r="L100" s="83" t="s">
        <v>152</v>
      </c>
      <c r="M100" s="82" t="s">
        <v>3052</v>
      </c>
      <c r="N100" s="82" t="s">
        <v>3054</v>
      </c>
      <c r="O100" s="82" t="s">
        <v>3056</v>
      </c>
      <c r="P100" s="82" t="s">
        <v>3058</v>
      </c>
      <c r="Q100" s="82"/>
      <c r="R100" s="82"/>
      <c r="S100" s="82" t="s">
        <v>3059</v>
      </c>
      <c r="T100" s="138">
        <v>2.0</v>
      </c>
      <c r="U100" s="358">
        <v>2.0</v>
      </c>
      <c r="V100" s="106">
        <v>0.0</v>
      </c>
      <c r="W100" s="107">
        <v>0.0</v>
      </c>
      <c r="X100" s="107">
        <v>0.0</v>
      </c>
      <c r="Y100" s="107">
        <v>0.0</v>
      </c>
      <c r="Z100" s="80">
        <v>0.0</v>
      </c>
      <c r="AA100" s="140">
        <v>0.0</v>
      </c>
      <c r="AB100" s="109">
        <v>0.0</v>
      </c>
      <c r="AC100" s="109">
        <v>0.0</v>
      </c>
      <c r="AD100" s="141">
        <v>0.0</v>
      </c>
      <c r="AE100" s="80">
        <v>0.0</v>
      </c>
      <c r="AF100" s="140">
        <v>18.0</v>
      </c>
      <c r="AG100" s="109">
        <v>0.0</v>
      </c>
      <c r="AH100" s="109">
        <v>9.0</v>
      </c>
      <c r="AI100" s="141">
        <v>0.0</v>
      </c>
      <c r="AJ100" s="80">
        <v>27.0</v>
      </c>
      <c r="AK100" s="140">
        <v>0.0</v>
      </c>
      <c r="AL100" s="109">
        <v>0.0</v>
      </c>
      <c r="AM100" s="141">
        <v>0.0</v>
      </c>
      <c r="AN100" s="80">
        <v>0.0</v>
      </c>
      <c r="AO100" s="140">
        <v>0.0</v>
      </c>
      <c r="AP100" s="109">
        <v>0.0</v>
      </c>
      <c r="AQ100" s="109">
        <v>0.0</v>
      </c>
      <c r="AR100" s="80">
        <v>0.0</v>
      </c>
      <c r="AS100" s="110">
        <v>0.0</v>
      </c>
      <c r="AT100" s="110">
        <v>0.0</v>
      </c>
      <c r="AU100" s="110">
        <v>0.0</v>
      </c>
      <c r="AV100" s="142">
        <v>0.0</v>
      </c>
      <c r="AW100" s="80">
        <v>0.0</v>
      </c>
      <c r="AX100" s="113">
        <v>27.0</v>
      </c>
      <c r="AY100" s="117">
        <v>18.0</v>
      </c>
      <c r="AZ100" s="328">
        <v>9.0</v>
      </c>
      <c r="BA100" s="315">
        <v>0.0</v>
      </c>
      <c r="BB100" s="316">
        <v>27.0</v>
      </c>
      <c r="BC100" s="132" t="s">
        <v>178</v>
      </c>
      <c r="BD100" s="143" t="s">
        <v>227</v>
      </c>
      <c r="BE100" s="132" t="s">
        <v>178</v>
      </c>
      <c r="BF100" s="156"/>
      <c r="BG100" s="83">
        <v>1179506.0</v>
      </c>
      <c r="BH100" s="112">
        <v>2.0</v>
      </c>
      <c r="BI100" s="98" t="s">
        <v>155</v>
      </c>
      <c r="BJ100" s="98" t="str">
        <f t="shared" si="1"/>
        <v>NÃO</v>
      </c>
      <c r="BK100" s="98" t="str">
        <f t="shared" si="2"/>
        <v>NÃO</v>
      </c>
    </row>
    <row r="101" ht="15.75" customHeight="1">
      <c r="A101" s="111" t="s">
        <v>205</v>
      </c>
      <c r="B101" s="83" t="s">
        <v>558</v>
      </c>
      <c r="C101" s="83" t="s">
        <v>164</v>
      </c>
      <c r="D101" s="83">
        <v>1179431.0</v>
      </c>
      <c r="E101" s="83">
        <v>1179503.0</v>
      </c>
      <c r="F101" s="83"/>
      <c r="G101" s="114" t="s">
        <v>574</v>
      </c>
      <c r="H101" s="91" t="s">
        <v>575</v>
      </c>
      <c r="I101" s="114" t="s">
        <v>576</v>
      </c>
      <c r="J101" s="83" t="s">
        <v>577</v>
      </c>
      <c r="K101" s="83" t="s">
        <v>168</v>
      </c>
      <c r="L101" s="83" t="s">
        <v>152</v>
      </c>
      <c r="M101" s="82" t="s">
        <v>3052</v>
      </c>
      <c r="N101" s="82" t="s">
        <v>3054</v>
      </c>
      <c r="O101" s="82" t="s">
        <v>3056</v>
      </c>
      <c r="P101" s="82" t="s">
        <v>3058</v>
      </c>
      <c r="Q101" s="82"/>
      <c r="R101" s="82"/>
      <c r="S101" s="82" t="s">
        <v>3059</v>
      </c>
      <c r="T101" s="138">
        <v>3.0</v>
      </c>
      <c r="U101" s="358">
        <v>3.0</v>
      </c>
      <c r="V101" s="106">
        <v>0.0</v>
      </c>
      <c r="W101" s="107">
        <v>0.0</v>
      </c>
      <c r="X101" s="107">
        <v>0.0</v>
      </c>
      <c r="Y101" s="107">
        <v>0.0</v>
      </c>
      <c r="Z101" s="80">
        <v>0.0</v>
      </c>
      <c r="AA101" s="140">
        <v>0.0</v>
      </c>
      <c r="AB101" s="109">
        <v>0.0</v>
      </c>
      <c r="AC101" s="109">
        <v>0.0</v>
      </c>
      <c r="AD101" s="141">
        <v>0.0</v>
      </c>
      <c r="AE101" s="80">
        <v>0.0</v>
      </c>
      <c r="AF101" s="140">
        <v>14.0</v>
      </c>
      <c r="AG101" s="109">
        <v>8.0</v>
      </c>
      <c r="AH101" s="109">
        <v>0.0</v>
      </c>
      <c r="AI101" s="141">
        <v>0.0</v>
      </c>
      <c r="AJ101" s="80">
        <v>22.0</v>
      </c>
      <c r="AK101" s="140">
        <v>0.0</v>
      </c>
      <c r="AL101" s="109">
        <v>0.0</v>
      </c>
      <c r="AM101" s="141">
        <v>0.0</v>
      </c>
      <c r="AN101" s="80">
        <v>0.0</v>
      </c>
      <c r="AO101" s="140">
        <v>0.0</v>
      </c>
      <c r="AP101" s="109">
        <v>0.0</v>
      </c>
      <c r="AQ101" s="109">
        <v>0.0</v>
      </c>
      <c r="AR101" s="80">
        <v>0.0</v>
      </c>
      <c r="AS101" s="110">
        <v>0.0</v>
      </c>
      <c r="AT101" s="110">
        <v>0.0</v>
      </c>
      <c r="AU101" s="110">
        <v>0.0</v>
      </c>
      <c r="AV101" s="142">
        <v>0.0</v>
      </c>
      <c r="AW101" s="80">
        <v>0.0</v>
      </c>
      <c r="AX101" s="113">
        <v>22.0</v>
      </c>
      <c r="AY101" s="117">
        <v>22.0</v>
      </c>
      <c r="AZ101" s="328">
        <v>0.0</v>
      </c>
      <c r="BA101" s="315">
        <v>0.0</v>
      </c>
      <c r="BB101" s="316">
        <v>22.0</v>
      </c>
      <c r="BC101" s="132" t="s">
        <v>178</v>
      </c>
      <c r="BD101" s="143" t="s">
        <v>227</v>
      </c>
      <c r="BE101" s="132" t="s">
        <v>178</v>
      </c>
      <c r="BF101" s="156"/>
      <c r="BG101" s="83">
        <v>1179503.0</v>
      </c>
      <c r="BH101" s="112">
        <v>3.0</v>
      </c>
      <c r="BI101" s="98" t="s">
        <v>155</v>
      </c>
      <c r="BJ101" s="98" t="str">
        <f t="shared" si="1"/>
        <v>NÃO</v>
      </c>
      <c r="BK101" s="98" t="str">
        <f t="shared" si="2"/>
        <v>NÃO</v>
      </c>
    </row>
    <row r="102" ht="15.75" customHeight="1">
      <c r="A102" s="111" t="s">
        <v>205</v>
      </c>
      <c r="B102" s="83" t="s">
        <v>558</v>
      </c>
      <c r="C102" s="83" t="s">
        <v>164</v>
      </c>
      <c r="D102" s="83">
        <v>1179431.0</v>
      </c>
      <c r="E102" s="83">
        <v>1179008.0</v>
      </c>
      <c r="F102" s="83"/>
      <c r="G102" s="114" t="s">
        <v>578</v>
      </c>
      <c r="H102" s="91" t="s">
        <v>579</v>
      </c>
      <c r="I102" s="114" t="s">
        <v>149</v>
      </c>
      <c r="J102" s="83" t="s">
        <v>191</v>
      </c>
      <c r="K102" s="83" t="s">
        <v>168</v>
      </c>
      <c r="L102" s="83" t="s">
        <v>169</v>
      </c>
      <c r="M102" s="82" t="s">
        <v>3052</v>
      </c>
      <c r="N102" s="82" t="s">
        <v>3054</v>
      </c>
      <c r="O102" s="82" t="s">
        <v>3056</v>
      </c>
      <c r="P102" s="82" t="s">
        <v>3058</v>
      </c>
      <c r="Q102" s="82"/>
      <c r="R102" s="82"/>
      <c r="S102" s="82" t="s">
        <v>3059</v>
      </c>
      <c r="T102" s="138">
        <v>3.0</v>
      </c>
      <c r="U102" s="358">
        <v>3.0</v>
      </c>
      <c r="V102" s="106">
        <v>0.0</v>
      </c>
      <c r="W102" s="107">
        <v>0.0</v>
      </c>
      <c r="X102" s="107">
        <v>0.0</v>
      </c>
      <c r="Y102" s="107">
        <v>0.0</v>
      </c>
      <c r="Z102" s="80">
        <v>0.0</v>
      </c>
      <c r="AA102" s="140">
        <v>0.0</v>
      </c>
      <c r="AB102" s="109">
        <v>0.0</v>
      </c>
      <c r="AC102" s="109">
        <v>0.0</v>
      </c>
      <c r="AD102" s="141">
        <v>0.0</v>
      </c>
      <c r="AE102" s="80">
        <v>0.0</v>
      </c>
      <c r="AF102" s="140">
        <v>0.0</v>
      </c>
      <c r="AG102" s="109">
        <v>0.0</v>
      </c>
      <c r="AH102" s="109">
        <v>57.0</v>
      </c>
      <c r="AI102" s="141">
        <v>0.0</v>
      </c>
      <c r="AJ102" s="80">
        <v>57.0</v>
      </c>
      <c r="AK102" s="140">
        <v>0.0</v>
      </c>
      <c r="AL102" s="109">
        <v>0.0</v>
      </c>
      <c r="AM102" s="141">
        <v>0.0</v>
      </c>
      <c r="AN102" s="80">
        <v>0.0</v>
      </c>
      <c r="AO102" s="140">
        <v>0.0</v>
      </c>
      <c r="AP102" s="109">
        <v>0.0</v>
      </c>
      <c r="AQ102" s="109">
        <v>0.0</v>
      </c>
      <c r="AR102" s="80">
        <v>0.0</v>
      </c>
      <c r="AS102" s="110">
        <v>0.0</v>
      </c>
      <c r="AT102" s="110">
        <v>0.0</v>
      </c>
      <c r="AU102" s="110">
        <v>0.0</v>
      </c>
      <c r="AV102" s="142">
        <v>0.0</v>
      </c>
      <c r="AW102" s="80">
        <v>0.0</v>
      </c>
      <c r="AX102" s="113">
        <v>57.0</v>
      </c>
      <c r="AY102" s="117">
        <v>0.0</v>
      </c>
      <c r="AZ102" s="328">
        <v>57.0</v>
      </c>
      <c r="BA102" s="315">
        <v>0.0</v>
      </c>
      <c r="BB102" s="316">
        <v>57.0</v>
      </c>
      <c r="BC102" s="132" t="s">
        <v>178</v>
      </c>
      <c r="BD102" s="143" t="s">
        <v>227</v>
      </c>
      <c r="BE102" s="132" t="s">
        <v>178</v>
      </c>
      <c r="BF102" s="123"/>
      <c r="BG102" s="83">
        <v>1179008.0</v>
      </c>
      <c r="BH102" s="112">
        <v>3.0</v>
      </c>
      <c r="BI102" s="98" t="s">
        <v>155</v>
      </c>
      <c r="BJ102" s="98" t="str">
        <f t="shared" si="1"/>
        <v>NÃO</v>
      </c>
      <c r="BK102" s="98" t="str">
        <f t="shared" si="2"/>
        <v>NÃO</v>
      </c>
    </row>
    <row r="103" ht="15.75" customHeight="1">
      <c r="A103" s="111" t="s">
        <v>205</v>
      </c>
      <c r="B103" s="83" t="s">
        <v>558</v>
      </c>
      <c r="C103" s="83" t="s">
        <v>164</v>
      </c>
      <c r="D103" s="83">
        <v>1179431.0</v>
      </c>
      <c r="E103" s="83">
        <v>1179394.0</v>
      </c>
      <c r="F103" s="83"/>
      <c r="G103" s="114" t="s">
        <v>580</v>
      </c>
      <c r="H103" s="91" t="s">
        <v>581</v>
      </c>
      <c r="I103" s="114" t="s">
        <v>149</v>
      </c>
      <c r="J103" s="83" t="s">
        <v>334</v>
      </c>
      <c r="K103" s="83" t="s">
        <v>168</v>
      </c>
      <c r="L103" s="83" t="s">
        <v>169</v>
      </c>
      <c r="M103" s="82" t="s">
        <v>3052</v>
      </c>
      <c r="N103" s="82" t="s">
        <v>3054</v>
      </c>
      <c r="O103" s="82" t="s">
        <v>3056</v>
      </c>
      <c r="P103" s="82" t="s">
        <v>3058</v>
      </c>
      <c r="Q103" s="82"/>
      <c r="R103" s="82"/>
      <c r="S103" s="82" t="s">
        <v>3059</v>
      </c>
      <c r="T103" s="138">
        <v>2.0</v>
      </c>
      <c r="U103" s="358">
        <v>2.0</v>
      </c>
      <c r="V103" s="106">
        <v>0.0</v>
      </c>
      <c r="W103" s="107">
        <v>0.0</v>
      </c>
      <c r="X103" s="107">
        <v>0.0</v>
      </c>
      <c r="Y103" s="107">
        <v>0.0</v>
      </c>
      <c r="Z103" s="80">
        <v>0.0</v>
      </c>
      <c r="AA103" s="140">
        <v>0.0</v>
      </c>
      <c r="AB103" s="109">
        <v>0.0</v>
      </c>
      <c r="AC103" s="109">
        <v>0.0</v>
      </c>
      <c r="AD103" s="141">
        <v>0.0</v>
      </c>
      <c r="AE103" s="80">
        <v>0.0</v>
      </c>
      <c r="AF103" s="140">
        <v>0.0</v>
      </c>
      <c r="AG103" s="109">
        <v>19.0</v>
      </c>
      <c r="AH103" s="109">
        <v>20.0</v>
      </c>
      <c r="AI103" s="141">
        <v>0.0</v>
      </c>
      <c r="AJ103" s="80">
        <v>39.0</v>
      </c>
      <c r="AK103" s="140">
        <v>0.0</v>
      </c>
      <c r="AL103" s="109">
        <v>0.0</v>
      </c>
      <c r="AM103" s="141">
        <v>0.0</v>
      </c>
      <c r="AN103" s="80">
        <v>0.0</v>
      </c>
      <c r="AO103" s="140">
        <v>0.0</v>
      </c>
      <c r="AP103" s="109">
        <v>0.0</v>
      </c>
      <c r="AQ103" s="109">
        <v>0.0</v>
      </c>
      <c r="AR103" s="80">
        <v>0.0</v>
      </c>
      <c r="AS103" s="110">
        <v>0.0</v>
      </c>
      <c r="AT103" s="110">
        <v>0.0</v>
      </c>
      <c r="AU103" s="110">
        <v>0.0</v>
      </c>
      <c r="AV103" s="142">
        <v>0.0</v>
      </c>
      <c r="AW103" s="80">
        <v>0.0</v>
      </c>
      <c r="AX103" s="113">
        <v>39.0</v>
      </c>
      <c r="AY103" s="117">
        <v>19.0</v>
      </c>
      <c r="AZ103" s="328">
        <v>20.0</v>
      </c>
      <c r="BA103" s="315">
        <v>0.0</v>
      </c>
      <c r="BB103" s="316">
        <v>39.0</v>
      </c>
      <c r="BC103" s="132" t="s">
        <v>178</v>
      </c>
      <c r="BD103" s="143" t="s">
        <v>227</v>
      </c>
      <c r="BE103" s="132" t="s">
        <v>178</v>
      </c>
      <c r="BF103" s="156"/>
      <c r="BG103" s="83">
        <v>1179394.0</v>
      </c>
      <c r="BH103" s="112">
        <v>2.0</v>
      </c>
      <c r="BI103" s="98" t="s">
        <v>155</v>
      </c>
      <c r="BJ103" s="98" t="str">
        <f t="shared" si="1"/>
        <v>NÃO</v>
      </c>
      <c r="BK103" s="98" t="str">
        <f t="shared" si="2"/>
        <v>NÃO</v>
      </c>
    </row>
    <row r="104" ht="15.75" customHeight="1">
      <c r="A104" s="111" t="s">
        <v>205</v>
      </c>
      <c r="B104" s="83" t="s">
        <v>558</v>
      </c>
      <c r="C104" s="83" t="s">
        <v>164</v>
      </c>
      <c r="D104" s="83">
        <v>1179431.0</v>
      </c>
      <c r="E104" s="83">
        <v>1179010.0</v>
      </c>
      <c r="F104" s="83"/>
      <c r="G104" s="114" t="s">
        <v>582</v>
      </c>
      <c r="H104" s="91" t="s">
        <v>583</v>
      </c>
      <c r="I104" s="114" t="s">
        <v>149</v>
      </c>
      <c r="J104" s="83" t="s">
        <v>440</v>
      </c>
      <c r="K104" s="83" t="s">
        <v>168</v>
      </c>
      <c r="L104" s="83" t="s">
        <v>169</v>
      </c>
      <c r="M104" s="82" t="s">
        <v>3052</v>
      </c>
      <c r="N104" s="82" t="s">
        <v>3054</v>
      </c>
      <c r="O104" s="82" t="s">
        <v>3056</v>
      </c>
      <c r="P104" s="82" t="s">
        <v>3058</v>
      </c>
      <c r="Q104" s="82"/>
      <c r="R104" s="82"/>
      <c r="S104" s="82" t="s">
        <v>3059</v>
      </c>
      <c r="T104" s="138">
        <v>1.0</v>
      </c>
      <c r="U104" s="358">
        <v>1.0</v>
      </c>
      <c r="V104" s="106">
        <v>0.0</v>
      </c>
      <c r="W104" s="107">
        <v>0.0</v>
      </c>
      <c r="X104" s="107">
        <v>0.0</v>
      </c>
      <c r="Y104" s="107">
        <v>0.0</v>
      </c>
      <c r="Z104" s="80">
        <v>0.0</v>
      </c>
      <c r="AA104" s="140">
        <v>0.0</v>
      </c>
      <c r="AB104" s="109">
        <v>0.0</v>
      </c>
      <c r="AC104" s="109">
        <v>0.0</v>
      </c>
      <c r="AD104" s="141">
        <v>0.0</v>
      </c>
      <c r="AE104" s="80">
        <v>0.0</v>
      </c>
      <c r="AF104" s="140">
        <v>12.0</v>
      </c>
      <c r="AG104" s="109">
        <v>15.0</v>
      </c>
      <c r="AH104" s="109">
        <v>7.0</v>
      </c>
      <c r="AI104" s="141">
        <v>0.0</v>
      </c>
      <c r="AJ104" s="80">
        <v>34.0</v>
      </c>
      <c r="AK104" s="140">
        <v>0.0</v>
      </c>
      <c r="AL104" s="109">
        <v>0.0</v>
      </c>
      <c r="AM104" s="141">
        <v>0.0</v>
      </c>
      <c r="AN104" s="80">
        <v>0.0</v>
      </c>
      <c r="AO104" s="140">
        <v>0.0</v>
      </c>
      <c r="AP104" s="109">
        <v>0.0</v>
      </c>
      <c r="AQ104" s="109">
        <v>0.0</v>
      </c>
      <c r="AR104" s="80">
        <v>0.0</v>
      </c>
      <c r="AS104" s="110">
        <v>0.0</v>
      </c>
      <c r="AT104" s="110">
        <v>0.0</v>
      </c>
      <c r="AU104" s="110">
        <v>0.0</v>
      </c>
      <c r="AV104" s="142">
        <v>0.0</v>
      </c>
      <c r="AW104" s="80">
        <v>0.0</v>
      </c>
      <c r="AX104" s="113">
        <v>34.0</v>
      </c>
      <c r="AY104" s="117">
        <v>27.0</v>
      </c>
      <c r="AZ104" s="328">
        <v>7.0</v>
      </c>
      <c r="BA104" s="315">
        <v>0.0</v>
      </c>
      <c r="BB104" s="316">
        <v>34.0</v>
      </c>
      <c r="BC104" s="132" t="s">
        <v>178</v>
      </c>
      <c r="BD104" s="143" t="s">
        <v>227</v>
      </c>
      <c r="BE104" s="132" t="s">
        <v>178</v>
      </c>
      <c r="BF104" s="123"/>
      <c r="BG104" s="83">
        <v>1179010.0</v>
      </c>
      <c r="BH104" s="112">
        <v>1.0</v>
      </c>
      <c r="BI104" s="98" t="s">
        <v>155</v>
      </c>
      <c r="BJ104" s="98" t="str">
        <f t="shared" si="1"/>
        <v>NÃO</v>
      </c>
      <c r="BK104" s="98" t="str">
        <f t="shared" si="2"/>
        <v>NÃO</v>
      </c>
    </row>
    <row r="105" ht="15.75" customHeight="1">
      <c r="A105" s="111" t="s">
        <v>205</v>
      </c>
      <c r="B105" s="83" t="s">
        <v>558</v>
      </c>
      <c r="C105" s="83" t="s">
        <v>164</v>
      </c>
      <c r="D105" s="83">
        <v>1179431.0</v>
      </c>
      <c r="E105" s="83">
        <v>1179009.0</v>
      </c>
      <c r="F105" s="83"/>
      <c r="G105" s="114" t="s">
        <v>584</v>
      </c>
      <c r="H105" s="91" t="s">
        <v>585</v>
      </c>
      <c r="I105" s="114" t="s">
        <v>149</v>
      </c>
      <c r="J105" s="83" t="s">
        <v>167</v>
      </c>
      <c r="K105" s="83" t="s">
        <v>168</v>
      </c>
      <c r="L105" s="83" t="s">
        <v>169</v>
      </c>
      <c r="M105" s="82" t="s">
        <v>3052</v>
      </c>
      <c r="N105" s="82" t="s">
        <v>3054</v>
      </c>
      <c r="O105" s="82" t="s">
        <v>3056</v>
      </c>
      <c r="P105" s="82" t="s">
        <v>3058</v>
      </c>
      <c r="Q105" s="82"/>
      <c r="R105" s="82"/>
      <c r="S105" s="82" t="s">
        <v>3059</v>
      </c>
      <c r="T105" s="138">
        <v>1.0</v>
      </c>
      <c r="U105" s="358">
        <v>1.0</v>
      </c>
      <c r="V105" s="106">
        <v>0.0</v>
      </c>
      <c r="W105" s="107">
        <v>0.0</v>
      </c>
      <c r="X105" s="107">
        <v>0.0</v>
      </c>
      <c r="Y105" s="107">
        <v>0.0</v>
      </c>
      <c r="Z105" s="80">
        <v>0.0</v>
      </c>
      <c r="AA105" s="140">
        <v>0.0</v>
      </c>
      <c r="AB105" s="109">
        <v>0.0</v>
      </c>
      <c r="AC105" s="109">
        <v>0.0</v>
      </c>
      <c r="AD105" s="141">
        <v>0.0</v>
      </c>
      <c r="AE105" s="80">
        <v>0.0</v>
      </c>
      <c r="AF105" s="140">
        <v>17.0</v>
      </c>
      <c r="AG105" s="109">
        <v>13.0</v>
      </c>
      <c r="AH105" s="109">
        <v>23.0</v>
      </c>
      <c r="AI105" s="141">
        <v>0.0</v>
      </c>
      <c r="AJ105" s="80">
        <v>53.0</v>
      </c>
      <c r="AK105" s="140">
        <v>0.0</v>
      </c>
      <c r="AL105" s="109">
        <v>0.0</v>
      </c>
      <c r="AM105" s="141">
        <v>0.0</v>
      </c>
      <c r="AN105" s="80">
        <v>0.0</v>
      </c>
      <c r="AO105" s="140">
        <v>0.0</v>
      </c>
      <c r="AP105" s="109">
        <v>0.0</v>
      </c>
      <c r="AQ105" s="109">
        <v>0.0</v>
      </c>
      <c r="AR105" s="80">
        <v>0.0</v>
      </c>
      <c r="AS105" s="110">
        <v>0.0</v>
      </c>
      <c r="AT105" s="110">
        <v>0.0</v>
      </c>
      <c r="AU105" s="110">
        <v>0.0</v>
      </c>
      <c r="AV105" s="142">
        <v>0.0</v>
      </c>
      <c r="AW105" s="80">
        <v>0.0</v>
      </c>
      <c r="AX105" s="113">
        <v>53.0</v>
      </c>
      <c r="AY105" s="117">
        <v>30.0</v>
      </c>
      <c r="AZ105" s="328">
        <v>23.0</v>
      </c>
      <c r="BA105" s="315">
        <v>0.0</v>
      </c>
      <c r="BB105" s="316">
        <v>53.0</v>
      </c>
      <c r="BC105" s="132" t="s">
        <v>178</v>
      </c>
      <c r="BD105" s="143" t="s">
        <v>227</v>
      </c>
      <c r="BE105" s="132" t="s">
        <v>178</v>
      </c>
      <c r="BF105" s="123"/>
      <c r="BG105" s="83">
        <v>1179009.0</v>
      </c>
      <c r="BH105" s="112">
        <v>1.0</v>
      </c>
      <c r="BI105" s="98" t="s">
        <v>155</v>
      </c>
      <c r="BJ105" s="98" t="str">
        <f t="shared" si="1"/>
        <v>NÃO</v>
      </c>
      <c r="BK105" s="98" t="str">
        <f t="shared" si="2"/>
        <v>NÃO</v>
      </c>
    </row>
    <row r="106" ht="15.75" customHeight="1">
      <c r="A106" s="111" t="s">
        <v>205</v>
      </c>
      <c r="B106" s="83" t="s">
        <v>558</v>
      </c>
      <c r="C106" s="83" t="s">
        <v>164</v>
      </c>
      <c r="D106" s="83">
        <v>1179431.0</v>
      </c>
      <c r="E106" s="83">
        <v>1179015.0</v>
      </c>
      <c r="F106" s="83"/>
      <c r="G106" s="114" t="s">
        <v>586</v>
      </c>
      <c r="H106" s="91" t="s">
        <v>587</v>
      </c>
      <c r="I106" s="114" t="s">
        <v>149</v>
      </c>
      <c r="J106" s="83" t="s">
        <v>588</v>
      </c>
      <c r="K106" s="83" t="s">
        <v>168</v>
      </c>
      <c r="L106" s="83" t="s">
        <v>169</v>
      </c>
      <c r="M106" s="82" t="s">
        <v>3052</v>
      </c>
      <c r="N106" s="82" t="s">
        <v>3054</v>
      </c>
      <c r="O106" s="82" t="s">
        <v>3056</v>
      </c>
      <c r="P106" s="82" t="s">
        <v>3058</v>
      </c>
      <c r="Q106" s="82"/>
      <c r="R106" s="82"/>
      <c r="S106" s="82" t="s">
        <v>3059</v>
      </c>
      <c r="T106" s="138">
        <v>4.0</v>
      </c>
      <c r="U106" s="358">
        <v>4.0</v>
      </c>
      <c r="V106" s="106">
        <v>0.0</v>
      </c>
      <c r="W106" s="107">
        <v>0.0</v>
      </c>
      <c r="X106" s="107">
        <v>0.0</v>
      </c>
      <c r="Y106" s="107">
        <v>0.0</v>
      </c>
      <c r="Z106" s="80">
        <v>0.0</v>
      </c>
      <c r="AA106" s="140">
        <v>0.0</v>
      </c>
      <c r="AB106" s="109">
        <v>0.0</v>
      </c>
      <c r="AC106" s="109">
        <v>0.0</v>
      </c>
      <c r="AD106" s="141">
        <v>0.0</v>
      </c>
      <c r="AE106" s="80">
        <v>0.0</v>
      </c>
      <c r="AF106" s="140">
        <v>0.0</v>
      </c>
      <c r="AG106" s="109">
        <v>0.0</v>
      </c>
      <c r="AH106" s="109">
        <v>110.0</v>
      </c>
      <c r="AI106" s="141">
        <v>0.0</v>
      </c>
      <c r="AJ106" s="80">
        <v>110.0</v>
      </c>
      <c r="AK106" s="140">
        <v>0.0</v>
      </c>
      <c r="AL106" s="109">
        <v>0.0</v>
      </c>
      <c r="AM106" s="141">
        <v>0.0</v>
      </c>
      <c r="AN106" s="80">
        <v>0.0</v>
      </c>
      <c r="AO106" s="140">
        <v>0.0</v>
      </c>
      <c r="AP106" s="109">
        <v>0.0</v>
      </c>
      <c r="AQ106" s="109">
        <v>0.0</v>
      </c>
      <c r="AR106" s="80">
        <v>0.0</v>
      </c>
      <c r="AS106" s="110">
        <v>0.0</v>
      </c>
      <c r="AT106" s="110">
        <v>0.0</v>
      </c>
      <c r="AU106" s="110">
        <v>0.0</v>
      </c>
      <c r="AV106" s="142">
        <v>0.0</v>
      </c>
      <c r="AW106" s="80">
        <v>0.0</v>
      </c>
      <c r="AX106" s="113">
        <v>110.0</v>
      </c>
      <c r="AY106" s="117">
        <v>0.0</v>
      </c>
      <c r="AZ106" s="328">
        <v>110.0</v>
      </c>
      <c r="BA106" s="315">
        <v>0.0</v>
      </c>
      <c r="BB106" s="316">
        <v>110.0</v>
      </c>
      <c r="BC106" s="132" t="s">
        <v>178</v>
      </c>
      <c r="BD106" s="143" t="s">
        <v>227</v>
      </c>
      <c r="BE106" s="132" t="s">
        <v>178</v>
      </c>
      <c r="BF106" s="123"/>
      <c r="BG106" s="83">
        <v>1179015.0</v>
      </c>
      <c r="BH106" s="112">
        <v>4.0</v>
      </c>
      <c r="BI106" s="98" t="s">
        <v>155</v>
      </c>
      <c r="BJ106" s="98" t="str">
        <f t="shared" si="1"/>
        <v>NÃO</v>
      </c>
      <c r="BK106" s="98" t="str">
        <f t="shared" si="2"/>
        <v>NÃO</v>
      </c>
    </row>
    <row r="107" ht="15.75" customHeight="1">
      <c r="A107" s="111" t="s">
        <v>205</v>
      </c>
      <c r="B107" s="83" t="s">
        <v>589</v>
      </c>
      <c r="C107" s="83" t="s">
        <v>68</v>
      </c>
      <c r="D107" s="83">
        <v>1178280.0</v>
      </c>
      <c r="E107" s="83"/>
      <c r="F107" s="83">
        <v>2.9455405E7</v>
      </c>
      <c r="G107" s="114" t="s">
        <v>3355</v>
      </c>
      <c r="H107" s="91" t="s">
        <v>591</v>
      </c>
      <c r="I107" s="114" t="s">
        <v>149</v>
      </c>
      <c r="J107" s="83" t="s">
        <v>150</v>
      </c>
      <c r="K107" s="83" t="s">
        <v>151</v>
      </c>
      <c r="L107" s="83" t="s">
        <v>76</v>
      </c>
      <c r="M107" s="82" t="s">
        <v>3356</v>
      </c>
      <c r="N107" s="82" t="s">
        <v>3357</v>
      </c>
      <c r="O107" s="82"/>
      <c r="P107" s="82"/>
      <c r="Q107" s="82"/>
      <c r="R107" s="82"/>
      <c r="S107" s="82" t="s">
        <v>3358</v>
      </c>
      <c r="T107" s="138">
        <v>8.0</v>
      </c>
      <c r="U107" s="339" t="s">
        <v>3359</v>
      </c>
      <c r="V107" s="106">
        <v>0.0</v>
      </c>
      <c r="W107" s="107">
        <v>0.0</v>
      </c>
      <c r="X107" s="107">
        <v>0.0</v>
      </c>
      <c r="Y107" s="107">
        <v>0.0</v>
      </c>
      <c r="Z107" s="80">
        <v>0.0</v>
      </c>
      <c r="AA107" s="140">
        <v>0.0</v>
      </c>
      <c r="AB107" s="109">
        <v>0.0</v>
      </c>
      <c r="AC107" s="109">
        <v>0.0</v>
      </c>
      <c r="AD107" s="141">
        <v>0.0</v>
      </c>
      <c r="AE107" s="80">
        <v>0.0</v>
      </c>
      <c r="AF107" s="140">
        <v>0.0</v>
      </c>
      <c r="AG107" s="109">
        <v>0.0</v>
      </c>
      <c r="AH107" s="109">
        <v>0.0</v>
      </c>
      <c r="AI107" s="141">
        <v>136.0</v>
      </c>
      <c r="AJ107" s="80">
        <v>136.0</v>
      </c>
      <c r="AK107" s="140">
        <v>0.0</v>
      </c>
      <c r="AL107" s="109">
        <v>0.0</v>
      </c>
      <c r="AM107" s="141">
        <v>0.0</v>
      </c>
      <c r="AN107" s="80">
        <v>0.0</v>
      </c>
      <c r="AO107" s="140">
        <v>0.0</v>
      </c>
      <c r="AP107" s="109">
        <v>0.0</v>
      </c>
      <c r="AQ107" s="109">
        <v>16.0</v>
      </c>
      <c r="AR107" s="80">
        <v>16.0</v>
      </c>
      <c r="AS107" s="110">
        <v>0.0</v>
      </c>
      <c r="AT107" s="110">
        <v>0.0</v>
      </c>
      <c r="AU107" s="110">
        <v>0.0</v>
      </c>
      <c r="AV107" s="142">
        <v>0.0</v>
      </c>
      <c r="AW107" s="80">
        <v>0.0</v>
      </c>
      <c r="AX107" s="113">
        <v>152.0</v>
      </c>
      <c r="AY107" s="117">
        <v>136.0</v>
      </c>
      <c r="AZ107" s="328">
        <v>16.0</v>
      </c>
      <c r="BA107" s="315">
        <v>0.0</v>
      </c>
      <c r="BB107" s="316">
        <v>152.0</v>
      </c>
      <c r="BC107" s="132" t="s">
        <v>178</v>
      </c>
      <c r="BD107" s="132" t="s">
        <v>178</v>
      </c>
      <c r="BE107" s="132" t="s">
        <v>178</v>
      </c>
      <c r="BF107" s="123"/>
      <c r="BG107" s="83">
        <v>1178280.0</v>
      </c>
      <c r="BH107" s="112">
        <v>9.0</v>
      </c>
      <c r="BI107" s="98" t="s">
        <v>155</v>
      </c>
      <c r="BJ107" s="98" t="str">
        <f t="shared" si="1"/>
        <v>INTEGRAL</v>
      </c>
      <c r="BK107" s="98" t="str">
        <f t="shared" si="2"/>
        <v>NÃO</v>
      </c>
    </row>
    <row r="108" ht="15.75" customHeight="1">
      <c r="A108" s="111" t="s">
        <v>205</v>
      </c>
      <c r="B108" s="83" t="s">
        <v>589</v>
      </c>
      <c r="C108" s="83" t="s">
        <v>164</v>
      </c>
      <c r="D108" s="83">
        <v>1178280.0</v>
      </c>
      <c r="E108" s="83">
        <v>1179016.0</v>
      </c>
      <c r="F108" s="83"/>
      <c r="G108" s="114" t="s">
        <v>593</v>
      </c>
      <c r="H108" s="91" t="s">
        <v>594</v>
      </c>
      <c r="I108" s="187" t="s">
        <v>595</v>
      </c>
      <c r="J108" s="83" t="s">
        <v>467</v>
      </c>
      <c r="K108" s="83" t="s">
        <v>168</v>
      </c>
      <c r="L108" s="83" t="s">
        <v>169</v>
      </c>
      <c r="M108" s="82" t="s">
        <v>3356</v>
      </c>
      <c r="N108" s="82" t="s">
        <v>3357</v>
      </c>
      <c r="O108" s="82"/>
      <c r="P108" s="82"/>
      <c r="Q108" s="82"/>
      <c r="R108" s="82"/>
      <c r="S108" s="82" t="s">
        <v>3358</v>
      </c>
      <c r="T108" s="234">
        <v>6.0</v>
      </c>
      <c r="U108" s="333">
        <v>6.0</v>
      </c>
      <c r="V108" s="106">
        <v>0.0</v>
      </c>
      <c r="W108" s="107">
        <v>0.0</v>
      </c>
      <c r="X108" s="107">
        <v>0.0</v>
      </c>
      <c r="Y108" s="107">
        <v>0.0</v>
      </c>
      <c r="Z108" s="80">
        <v>0.0</v>
      </c>
      <c r="AA108" s="140">
        <v>0.0</v>
      </c>
      <c r="AB108" s="109">
        <v>0.0</v>
      </c>
      <c r="AC108" s="109">
        <v>0.0</v>
      </c>
      <c r="AD108" s="141">
        <v>0.0</v>
      </c>
      <c r="AE108" s="80">
        <v>0.0</v>
      </c>
      <c r="AF108" s="140">
        <v>24.0</v>
      </c>
      <c r="AG108" s="109">
        <v>0.0</v>
      </c>
      <c r="AH108" s="109">
        <v>0.0</v>
      </c>
      <c r="AI108" s="141">
        <v>0.0</v>
      </c>
      <c r="AJ108" s="80">
        <v>24.0</v>
      </c>
      <c r="AK108" s="140">
        <v>0.0</v>
      </c>
      <c r="AL108" s="109">
        <v>0.0</v>
      </c>
      <c r="AM108" s="141">
        <v>0.0</v>
      </c>
      <c r="AN108" s="80">
        <v>0.0</v>
      </c>
      <c r="AO108" s="140">
        <v>0.0</v>
      </c>
      <c r="AP108" s="109">
        <v>0.0</v>
      </c>
      <c r="AQ108" s="109">
        <v>0.0</v>
      </c>
      <c r="AR108" s="80">
        <v>0.0</v>
      </c>
      <c r="AS108" s="110">
        <v>0.0</v>
      </c>
      <c r="AT108" s="110">
        <v>0.0</v>
      </c>
      <c r="AU108" s="110">
        <v>0.0</v>
      </c>
      <c r="AV108" s="142">
        <v>0.0</v>
      </c>
      <c r="AW108" s="80">
        <v>0.0</v>
      </c>
      <c r="AX108" s="113">
        <v>24.0</v>
      </c>
      <c r="AY108" s="117">
        <v>24.0</v>
      </c>
      <c r="AZ108" s="328">
        <v>0.0</v>
      </c>
      <c r="BA108" s="315">
        <v>0.0</v>
      </c>
      <c r="BB108" s="316">
        <v>24.0</v>
      </c>
      <c r="BC108" s="132" t="s">
        <v>373</v>
      </c>
      <c r="BD108" s="132" t="s">
        <v>178</v>
      </c>
      <c r="BE108" s="132" t="s">
        <v>178</v>
      </c>
      <c r="BF108" s="123"/>
      <c r="BG108" s="83">
        <v>1179016.0</v>
      </c>
      <c r="BH108" s="112">
        <v>17.0</v>
      </c>
      <c r="BI108" s="98" t="s">
        <v>155</v>
      </c>
      <c r="BJ108" s="98" t="str">
        <f t="shared" si="1"/>
        <v>NÃO</v>
      </c>
      <c r="BK108" s="98" t="str">
        <f t="shared" si="2"/>
        <v>NÃO</v>
      </c>
    </row>
    <row r="109" ht="15.75" customHeight="1">
      <c r="A109" s="111" t="s">
        <v>205</v>
      </c>
      <c r="B109" s="83" t="s">
        <v>597</v>
      </c>
      <c r="C109" s="83" t="s">
        <v>68</v>
      </c>
      <c r="D109" s="83">
        <v>1178432.0</v>
      </c>
      <c r="E109" s="83"/>
      <c r="F109" s="83">
        <v>2.9345936E7</v>
      </c>
      <c r="G109" s="114" t="s">
        <v>3369</v>
      </c>
      <c r="H109" s="91" t="s">
        <v>599</v>
      </c>
      <c r="I109" s="114" t="s">
        <v>600</v>
      </c>
      <c r="J109" s="83" t="s">
        <v>244</v>
      </c>
      <c r="K109" s="83" t="s">
        <v>151</v>
      </c>
      <c r="L109" s="83" t="s">
        <v>169</v>
      </c>
      <c r="M109" s="82" t="s">
        <v>3371</v>
      </c>
      <c r="N109" s="82" t="s">
        <v>3372</v>
      </c>
      <c r="O109" s="82" t="s">
        <v>3373</v>
      </c>
      <c r="P109" s="82" t="s">
        <v>3374</v>
      </c>
      <c r="Q109" s="82"/>
      <c r="R109" s="82"/>
      <c r="S109" s="82" t="s">
        <v>3375</v>
      </c>
      <c r="T109" s="138">
        <v>6.0</v>
      </c>
      <c r="U109" s="323">
        <v>6.0</v>
      </c>
      <c r="V109" s="106">
        <v>14.0</v>
      </c>
      <c r="W109" s="107">
        <v>0.0</v>
      </c>
      <c r="X109" s="107">
        <v>0.0</v>
      </c>
      <c r="Y109" s="107">
        <v>0.0</v>
      </c>
      <c r="Z109" s="80">
        <v>14.0</v>
      </c>
      <c r="AA109" s="140">
        <v>17.0</v>
      </c>
      <c r="AB109" s="109">
        <v>41.0</v>
      </c>
      <c r="AC109" s="109">
        <v>0.0</v>
      </c>
      <c r="AD109" s="141">
        <v>0.0</v>
      </c>
      <c r="AE109" s="80">
        <v>58.0</v>
      </c>
      <c r="AF109" s="140">
        <v>0.0</v>
      </c>
      <c r="AG109" s="109">
        <v>0.0</v>
      </c>
      <c r="AH109" s="109">
        <v>3.0</v>
      </c>
      <c r="AI109" s="141">
        <v>0.0</v>
      </c>
      <c r="AJ109" s="80">
        <v>3.0</v>
      </c>
      <c r="AK109" s="140">
        <v>0.0</v>
      </c>
      <c r="AL109" s="109">
        <v>0.0</v>
      </c>
      <c r="AM109" s="141">
        <v>2.0</v>
      </c>
      <c r="AN109" s="80">
        <v>2.0</v>
      </c>
      <c r="AO109" s="140">
        <v>0.0</v>
      </c>
      <c r="AP109" s="109">
        <v>0.0</v>
      </c>
      <c r="AQ109" s="109">
        <v>3.0</v>
      </c>
      <c r="AR109" s="80">
        <v>3.0</v>
      </c>
      <c r="AS109" s="110">
        <v>0.0</v>
      </c>
      <c r="AT109" s="110">
        <v>0.0</v>
      </c>
      <c r="AU109" s="110">
        <v>0.0</v>
      </c>
      <c r="AV109" s="142">
        <v>0.0</v>
      </c>
      <c r="AW109" s="80">
        <v>0.0</v>
      </c>
      <c r="AX109" s="113">
        <v>80.0</v>
      </c>
      <c r="AY109" s="117">
        <v>72.0</v>
      </c>
      <c r="AZ109" s="328">
        <v>8.0</v>
      </c>
      <c r="BA109" s="315">
        <v>0.0</v>
      </c>
      <c r="BB109" s="316">
        <v>80.0</v>
      </c>
      <c r="BC109" s="143" t="s">
        <v>1294</v>
      </c>
      <c r="BD109" s="132" t="s">
        <v>178</v>
      </c>
      <c r="BE109" s="132" t="s">
        <v>178</v>
      </c>
      <c r="BF109" s="123"/>
      <c r="BG109" s="83">
        <v>1178432.0</v>
      </c>
      <c r="BH109" s="112">
        <v>6.0</v>
      </c>
      <c r="BI109" s="98" t="s">
        <v>155</v>
      </c>
      <c r="BJ109" s="98" t="str">
        <f t="shared" si="1"/>
        <v>NÃO</v>
      </c>
      <c r="BK109" s="98" t="str">
        <f t="shared" si="2"/>
        <v>NÃO</v>
      </c>
    </row>
    <row r="110" ht="15.75" customHeight="1">
      <c r="A110" s="111" t="s">
        <v>205</v>
      </c>
      <c r="B110" s="83" t="s">
        <v>597</v>
      </c>
      <c r="C110" s="83" t="s">
        <v>68</v>
      </c>
      <c r="D110" s="83">
        <v>1127324.0</v>
      </c>
      <c r="E110" s="83"/>
      <c r="F110" s="83">
        <v>2.903882E7</v>
      </c>
      <c r="G110" s="119" t="s">
        <v>3379</v>
      </c>
      <c r="H110" s="91" t="s">
        <v>603</v>
      </c>
      <c r="I110" s="114" t="s">
        <v>149</v>
      </c>
      <c r="J110" s="83" t="s">
        <v>150</v>
      </c>
      <c r="K110" s="83" t="s">
        <v>151</v>
      </c>
      <c r="L110" s="83" t="s">
        <v>169</v>
      </c>
      <c r="M110" s="82" t="s">
        <v>3380</v>
      </c>
      <c r="N110" s="82" t="s">
        <v>3381</v>
      </c>
      <c r="O110" s="82" t="s">
        <v>3382</v>
      </c>
      <c r="P110" s="82" t="s">
        <v>3383</v>
      </c>
      <c r="Q110" s="82" t="s">
        <v>3384</v>
      </c>
      <c r="R110" s="82" t="s">
        <v>3385</v>
      </c>
      <c r="S110" s="82" t="s">
        <v>3386</v>
      </c>
      <c r="T110" s="138">
        <v>18.0</v>
      </c>
      <c r="U110" s="331">
        <v>24.0</v>
      </c>
      <c r="V110" s="106">
        <v>0.0</v>
      </c>
      <c r="W110" s="107">
        <v>0.0</v>
      </c>
      <c r="X110" s="107">
        <v>0.0</v>
      </c>
      <c r="Y110" s="107">
        <v>0.0</v>
      </c>
      <c r="Z110" s="80">
        <v>0.0</v>
      </c>
      <c r="AA110" s="140">
        <v>0.0</v>
      </c>
      <c r="AB110" s="109">
        <v>0.0</v>
      </c>
      <c r="AC110" s="109">
        <v>0.0</v>
      </c>
      <c r="AD110" s="141">
        <v>0.0</v>
      </c>
      <c r="AE110" s="80">
        <v>0.0</v>
      </c>
      <c r="AF110" s="140">
        <v>310.0</v>
      </c>
      <c r="AG110" s="109">
        <v>110.0</v>
      </c>
      <c r="AH110" s="109">
        <v>46.0</v>
      </c>
      <c r="AI110" s="141">
        <v>288.0</v>
      </c>
      <c r="AJ110" s="80">
        <v>754.0</v>
      </c>
      <c r="AK110" s="140">
        <v>0.0</v>
      </c>
      <c r="AL110" s="109">
        <v>0.0</v>
      </c>
      <c r="AM110" s="141">
        <v>0.0</v>
      </c>
      <c r="AN110" s="80">
        <v>0.0</v>
      </c>
      <c r="AO110" s="140">
        <v>0.0</v>
      </c>
      <c r="AP110" s="109">
        <v>0.0</v>
      </c>
      <c r="AQ110" s="109">
        <v>88.0</v>
      </c>
      <c r="AR110" s="80">
        <v>88.0</v>
      </c>
      <c r="AS110" s="110">
        <v>0.0</v>
      </c>
      <c r="AT110" s="110">
        <v>0.0</v>
      </c>
      <c r="AU110" s="110">
        <v>0.0</v>
      </c>
      <c r="AV110" s="142">
        <v>0.0</v>
      </c>
      <c r="AW110" s="80">
        <v>0.0</v>
      </c>
      <c r="AX110" s="113">
        <v>842.0</v>
      </c>
      <c r="AY110" s="117">
        <v>708.0</v>
      </c>
      <c r="AZ110" s="328">
        <v>134.0</v>
      </c>
      <c r="BA110" s="315">
        <v>0.0</v>
      </c>
      <c r="BB110" s="316">
        <v>842.0</v>
      </c>
      <c r="BC110" s="132" t="s">
        <v>178</v>
      </c>
      <c r="BD110" s="132" t="s">
        <v>178</v>
      </c>
      <c r="BE110" s="132" t="s">
        <v>178</v>
      </c>
      <c r="BF110" s="123"/>
      <c r="BG110" s="83">
        <v>1127324.0</v>
      </c>
      <c r="BH110" s="112">
        <v>15.0</v>
      </c>
      <c r="BI110" s="98" t="s">
        <v>162</v>
      </c>
      <c r="BJ110" s="98" t="str">
        <f t="shared" si="1"/>
        <v>INTEGRAL</v>
      </c>
      <c r="BK110" s="98" t="str">
        <f t="shared" si="2"/>
        <v>NÃO</v>
      </c>
    </row>
    <row r="111" ht="15.75" customHeight="1">
      <c r="A111" s="111" t="s">
        <v>205</v>
      </c>
      <c r="B111" s="83" t="s">
        <v>597</v>
      </c>
      <c r="C111" s="83" t="s">
        <v>68</v>
      </c>
      <c r="D111" s="83">
        <v>1176434.0</v>
      </c>
      <c r="E111" s="83"/>
      <c r="F111" s="83">
        <v>2.9391512E7</v>
      </c>
      <c r="G111" s="114" t="s">
        <v>606</v>
      </c>
      <c r="H111" s="91" t="s">
        <v>607</v>
      </c>
      <c r="I111" s="114" t="s">
        <v>149</v>
      </c>
      <c r="J111" s="83" t="s">
        <v>150</v>
      </c>
      <c r="K111" s="83" t="s">
        <v>151</v>
      </c>
      <c r="L111" s="83" t="s">
        <v>230</v>
      </c>
      <c r="M111" s="82" t="s">
        <v>3389</v>
      </c>
      <c r="N111" s="82" t="s">
        <v>3390</v>
      </c>
      <c r="O111" s="82" t="s">
        <v>3391</v>
      </c>
      <c r="P111" s="82" t="s">
        <v>3392</v>
      </c>
      <c r="Q111" s="82"/>
      <c r="R111" s="82"/>
      <c r="S111" s="82" t="s">
        <v>3393</v>
      </c>
      <c r="T111" s="138">
        <v>12.0</v>
      </c>
      <c r="U111" s="323">
        <v>15.0</v>
      </c>
      <c r="V111" s="106">
        <v>0.0</v>
      </c>
      <c r="W111" s="107">
        <v>0.0</v>
      </c>
      <c r="X111" s="107">
        <v>0.0</v>
      </c>
      <c r="Y111" s="107">
        <v>0.0</v>
      </c>
      <c r="Z111" s="80">
        <v>0.0</v>
      </c>
      <c r="AA111" s="140">
        <v>0.0</v>
      </c>
      <c r="AB111" s="109">
        <v>0.0</v>
      </c>
      <c r="AC111" s="109">
        <v>0.0</v>
      </c>
      <c r="AD111" s="141">
        <v>0.0</v>
      </c>
      <c r="AE111" s="80">
        <v>0.0</v>
      </c>
      <c r="AF111" s="140">
        <v>0.0</v>
      </c>
      <c r="AG111" s="109">
        <v>0.0</v>
      </c>
      <c r="AH111" s="109">
        <v>0.0</v>
      </c>
      <c r="AI111" s="141">
        <v>0.0</v>
      </c>
      <c r="AJ111" s="80">
        <v>0.0</v>
      </c>
      <c r="AK111" s="140">
        <v>0.0</v>
      </c>
      <c r="AL111" s="109">
        <v>0.0</v>
      </c>
      <c r="AM111" s="141">
        <v>0.0</v>
      </c>
      <c r="AN111" s="80">
        <v>0.0</v>
      </c>
      <c r="AO111" s="140">
        <v>0.0</v>
      </c>
      <c r="AP111" s="109">
        <v>0.0</v>
      </c>
      <c r="AQ111" s="109">
        <v>0.0</v>
      </c>
      <c r="AR111" s="80">
        <v>0.0</v>
      </c>
      <c r="AS111" s="110">
        <v>304.0</v>
      </c>
      <c r="AT111" s="110">
        <v>29.0</v>
      </c>
      <c r="AU111" s="110">
        <v>225.0</v>
      </c>
      <c r="AV111" s="142">
        <v>0.0</v>
      </c>
      <c r="AW111" s="80">
        <v>558.0</v>
      </c>
      <c r="AX111" s="113">
        <v>558.0</v>
      </c>
      <c r="AY111" s="117">
        <v>333.0</v>
      </c>
      <c r="AZ111" s="328">
        <v>225.0</v>
      </c>
      <c r="BA111" s="315">
        <v>0.0</v>
      </c>
      <c r="BB111" s="316">
        <v>558.0</v>
      </c>
      <c r="BC111" s="132" t="s">
        <v>178</v>
      </c>
      <c r="BD111" s="132" t="s">
        <v>522</v>
      </c>
      <c r="BE111" s="132" t="s">
        <v>178</v>
      </c>
      <c r="BF111" s="156"/>
      <c r="BG111" s="83">
        <v>1176434.0</v>
      </c>
      <c r="BH111" s="112">
        <v>15.0</v>
      </c>
      <c r="BI111" s="98" t="s">
        <v>155</v>
      </c>
      <c r="BJ111" s="98" t="str">
        <f t="shared" si="1"/>
        <v>NÃO</v>
      </c>
      <c r="BK111" s="98" t="str">
        <f t="shared" si="2"/>
        <v>PROFISSIONAL</v>
      </c>
    </row>
    <row r="112" ht="15.75" customHeight="1">
      <c r="A112" s="111" t="s">
        <v>205</v>
      </c>
      <c r="B112" s="83" t="s">
        <v>597</v>
      </c>
      <c r="C112" s="83" t="s">
        <v>164</v>
      </c>
      <c r="D112" s="83">
        <v>1179431.0</v>
      </c>
      <c r="E112" s="83">
        <v>1178829.0</v>
      </c>
      <c r="F112" s="83"/>
      <c r="G112" s="114" t="s">
        <v>609</v>
      </c>
      <c r="H112" s="91" t="s">
        <v>610</v>
      </c>
      <c r="I112" s="187" t="s">
        <v>149</v>
      </c>
      <c r="J112" s="83" t="s">
        <v>440</v>
      </c>
      <c r="K112" s="83" t="s">
        <v>151</v>
      </c>
      <c r="L112" s="83" t="s">
        <v>169</v>
      </c>
      <c r="M112" s="82" t="s">
        <v>3052</v>
      </c>
      <c r="N112" s="82" t="s">
        <v>3054</v>
      </c>
      <c r="O112" s="82" t="s">
        <v>3056</v>
      </c>
      <c r="P112" s="82" t="s">
        <v>3058</v>
      </c>
      <c r="Q112" s="82"/>
      <c r="R112" s="82"/>
      <c r="S112" s="82" t="s">
        <v>3059</v>
      </c>
      <c r="T112" s="138">
        <v>3.0</v>
      </c>
      <c r="U112" s="323">
        <v>3.0</v>
      </c>
      <c r="V112" s="106">
        <v>0.0</v>
      </c>
      <c r="W112" s="107">
        <v>0.0</v>
      </c>
      <c r="X112" s="107">
        <v>0.0</v>
      </c>
      <c r="Y112" s="107">
        <v>0.0</v>
      </c>
      <c r="Z112" s="80">
        <v>0.0</v>
      </c>
      <c r="AA112" s="140">
        <v>0.0</v>
      </c>
      <c r="AB112" s="109">
        <v>0.0</v>
      </c>
      <c r="AC112" s="109">
        <v>0.0</v>
      </c>
      <c r="AD112" s="141">
        <v>0.0</v>
      </c>
      <c r="AE112" s="80">
        <v>0.0</v>
      </c>
      <c r="AF112" s="140">
        <v>14.0</v>
      </c>
      <c r="AG112" s="109">
        <v>12.0</v>
      </c>
      <c r="AH112" s="109">
        <v>0.0</v>
      </c>
      <c r="AI112" s="141">
        <v>0.0</v>
      </c>
      <c r="AJ112" s="80">
        <v>26.0</v>
      </c>
      <c r="AK112" s="140">
        <v>0.0</v>
      </c>
      <c r="AL112" s="109">
        <v>0.0</v>
      </c>
      <c r="AM112" s="141">
        <v>0.0</v>
      </c>
      <c r="AN112" s="80">
        <v>0.0</v>
      </c>
      <c r="AO112" s="140">
        <v>0.0</v>
      </c>
      <c r="AP112" s="109">
        <v>0.0</v>
      </c>
      <c r="AQ112" s="109">
        <v>0.0</v>
      </c>
      <c r="AR112" s="80">
        <v>0.0</v>
      </c>
      <c r="AS112" s="110">
        <v>0.0</v>
      </c>
      <c r="AT112" s="110">
        <v>0.0</v>
      </c>
      <c r="AU112" s="110">
        <v>0.0</v>
      </c>
      <c r="AV112" s="142">
        <v>0.0</v>
      </c>
      <c r="AW112" s="80">
        <v>0.0</v>
      </c>
      <c r="AX112" s="113">
        <v>26.0</v>
      </c>
      <c r="AY112" s="117">
        <v>26.0</v>
      </c>
      <c r="AZ112" s="328">
        <v>0.0</v>
      </c>
      <c r="BA112" s="315">
        <v>0.0</v>
      </c>
      <c r="BB112" s="316">
        <v>26.0</v>
      </c>
      <c r="BC112" s="132" t="s">
        <v>178</v>
      </c>
      <c r="BD112" s="143" t="s">
        <v>227</v>
      </c>
      <c r="BE112" s="132" t="s">
        <v>178</v>
      </c>
      <c r="BF112" s="123"/>
      <c r="BG112" s="83">
        <v>1178829.0</v>
      </c>
      <c r="BH112" s="112">
        <v>3.0</v>
      </c>
      <c r="BI112" s="98" t="s">
        <v>155</v>
      </c>
      <c r="BJ112" s="98" t="str">
        <f t="shared" si="1"/>
        <v>NÃO</v>
      </c>
      <c r="BK112" s="98" t="str">
        <f t="shared" si="2"/>
        <v>NÃO</v>
      </c>
    </row>
    <row r="113" ht="15.75" customHeight="1">
      <c r="A113" s="111" t="s">
        <v>205</v>
      </c>
      <c r="B113" s="83" t="s">
        <v>611</v>
      </c>
      <c r="C113" s="83" t="s">
        <v>68</v>
      </c>
      <c r="D113" s="83">
        <v>1131402.0</v>
      </c>
      <c r="E113" s="83"/>
      <c r="F113" s="83">
        <v>2.9245893E7</v>
      </c>
      <c r="G113" s="119" t="s">
        <v>3398</v>
      </c>
      <c r="H113" s="91" t="s">
        <v>3400</v>
      </c>
      <c r="I113" s="114" t="s">
        <v>614</v>
      </c>
      <c r="J113" s="83" t="s">
        <v>150</v>
      </c>
      <c r="K113" s="83" t="s">
        <v>151</v>
      </c>
      <c r="L113" s="83" t="s">
        <v>152</v>
      </c>
      <c r="M113" s="82" t="s">
        <v>3403</v>
      </c>
      <c r="N113" s="82" t="s">
        <v>3404</v>
      </c>
      <c r="O113" s="82" t="s">
        <v>3405</v>
      </c>
      <c r="P113" s="82" t="s">
        <v>3406</v>
      </c>
      <c r="Q113" s="82" t="s">
        <v>3407</v>
      </c>
      <c r="R113" s="82" t="s">
        <v>3408</v>
      </c>
      <c r="S113" s="82" t="s">
        <v>3409</v>
      </c>
      <c r="T113" s="138">
        <v>20.0</v>
      </c>
      <c r="U113" s="339">
        <v>12.0</v>
      </c>
      <c r="V113" s="106">
        <v>0.0</v>
      </c>
      <c r="W113" s="107">
        <v>0.0</v>
      </c>
      <c r="X113" s="107">
        <v>0.0</v>
      </c>
      <c r="Y113" s="107">
        <v>0.0</v>
      </c>
      <c r="Z113" s="80">
        <v>0.0</v>
      </c>
      <c r="AA113" s="140">
        <v>0.0</v>
      </c>
      <c r="AB113" s="109">
        <v>0.0</v>
      </c>
      <c r="AC113" s="109">
        <v>0.0</v>
      </c>
      <c r="AD113" s="141">
        <v>0.0</v>
      </c>
      <c r="AE113" s="80">
        <v>0.0</v>
      </c>
      <c r="AF113" s="140">
        <v>84.0</v>
      </c>
      <c r="AG113" s="109">
        <v>177.0</v>
      </c>
      <c r="AH113" s="109">
        <v>13.0</v>
      </c>
      <c r="AI113" s="141">
        <v>160.0</v>
      </c>
      <c r="AJ113" s="80">
        <v>434.0</v>
      </c>
      <c r="AK113" s="140">
        <v>0.0</v>
      </c>
      <c r="AL113" s="109">
        <v>0.0</v>
      </c>
      <c r="AM113" s="141">
        <v>0.0</v>
      </c>
      <c r="AN113" s="80">
        <v>0.0</v>
      </c>
      <c r="AO113" s="140">
        <v>0.0</v>
      </c>
      <c r="AP113" s="109">
        <v>0.0</v>
      </c>
      <c r="AQ113" s="109">
        <v>48.0</v>
      </c>
      <c r="AR113" s="80">
        <v>48.0</v>
      </c>
      <c r="AS113" s="110">
        <v>26.0</v>
      </c>
      <c r="AT113" s="110">
        <v>31.0</v>
      </c>
      <c r="AU113" s="110">
        <v>35.0</v>
      </c>
      <c r="AV113" s="142">
        <v>0.0</v>
      </c>
      <c r="AW113" s="80">
        <v>92.0</v>
      </c>
      <c r="AX113" s="113">
        <v>574.0</v>
      </c>
      <c r="AY113" s="117">
        <v>478.0</v>
      </c>
      <c r="AZ113" s="328">
        <v>96.0</v>
      </c>
      <c r="BA113" s="315">
        <v>0.0</v>
      </c>
      <c r="BB113" s="316">
        <v>574.0</v>
      </c>
      <c r="BC113" s="132" t="s">
        <v>178</v>
      </c>
      <c r="BD113" s="132" t="s">
        <v>178</v>
      </c>
      <c r="BE113" s="132" t="s">
        <v>178</v>
      </c>
      <c r="BF113" s="123"/>
      <c r="BG113" s="83">
        <v>1131402.0</v>
      </c>
      <c r="BH113" s="112">
        <v>16.0</v>
      </c>
      <c r="BI113" s="98" t="s">
        <v>162</v>
      </c>
      <c r="BJ113" s="98" t="str">
        <f t="shared" si="1"/>
        <v>INTEGRAL</v>
      </c>
      <c r="BK113" s="98" t="str">
        <f t="shared" si="2"/>
        <v>PROFISSIONAL</v>
      </c>
    </row>
    <row r="114" ht="15.75" customHeight="1">
      <c r="A114" s="111" t="s">
        <v>205</v>
      </c>
      <c r="B114" s="83" t="s">
        <v>616</v>
      </c>
      <c r="C114" s="83" t="s">
        <v>68</v>
      </c>
      <c r="D114" s="83">
        <v>1178150.0</v>
      </c>
      <c r="E114" s="83"/>
      <c r="F114" s="83">
        <v>2.9437911E7</v>
      </c>
      <c r="G114" s="119" t="s">
        <v>3410</v>
      </c>
      <c r="H114" s="91" t="s">
        <v>3411</v>
      </c>
      <c r="I114" s="114" t="s">
        <v>149</v>
      </c>
      <c r="J114" s="83" t="s">
        <v>150</v>
      </c>
      <c r="K114" s="83" t="s">
        <v>151</v>
      </c>
      <c r="L114" s="83" t="s">
        <v>76</v>
      </c>
      <c r="M114" s="82" t="s">
        <v>3412</v>
      </c>
      <c r="N114" s="82" t="s">
        <v>3413</v>
      </c>
      <c r="O114" s="82" t="s">
        <v>3414</v>
      </c>
      <c r="P114" s="82" t="s">
        <v>3415</v>
      </c>
      <c r="Q114" s="82"/>
      <c r="R114" s="82"/>
      <c r="S114" s="82" t="s">
        <v>3416</v>
      </c>
      <c r="T114" s="138">
        <v>8.0</v>
      </c>
      <c r="U114" s="339" t="s">
        <v>3418</v>
      </c>
      <c r="V114" s="106">
        <v>0.0</v>
      </c>
      <c r="W114" s="107">
        <v>0.0</v>
      </c>
      <c r="X114" s="107">
        <v>0.0</v>
      </c>
      <c r="Y114" s="107">
        <v>0.0</v>
      </c>
      <c r="Z114" s="80">
        <v>0.0</v>
      </c>
      <c r="AA114" s="140">
        <v>0.0</v>
      </c>
      <c r="AB114" s="109">
        <v>0.0</v>
      </c>
      <c r="AC114" s="109">
        <v>0.0</v>
      </c>
      <c r="AD114" s="141">
        <v>0.0</v>
      </c>
      <c r="AE114" s="80">
        <v>0.0</v>
      </c>
      <c r="AF114" s="140">
        <v>0.0</v>
      </c>
      <c r="AG114" s="109">
        <v>183.0</v>
      </c>
      <c r="AH114" s="109">
        <v>0.0</v>
      </c>
      <c r="AI114" s="141">
        <v>0.0</v>
      </c>
      <c r="AJ114" s="80">
        <v>183.0</v>
      </c>
      <c r="AK114" s="140">
        <v>0.0</v>
      </c>
      <c r="AL114" s="109">
        <v>0.0</v>
      </c>
      <c r="AM114" s="141">
        <v>0.0</v>
      </c>
      <c r="AN114" s="80">
        <v>0.0</v>
      </c>
      <c r="AO114" s="140">
        <v>0.0</v>
      </c>
      <c r="AP114" s="109">
        <v>0.0</v>
      </c>
      <c r="AQ114" s="109">
        <v>59.0</v>
      </c>
      <c r="AR114" s="80">
        <v>59.0</v>
      </c>
      <c r="AS114" s="110">
        <v>0.0</v>
      </c>
      <c r="AT114" s="110">
        <v>0.0</v>
      </c>
      <c r="AU114" s="110">
        <v>0.0</v>
      </c>
      <c r="AV114" s="142">
        <v>0.0</v>
      </c>
      <c r="AW114" s="80">
        <v>0.0</v>
      </c>
      <c r="AX114" s="113">
        <v>242.0</v>
      </c>
      <c r="AY114" s="117">
        <v>183.0</v>
      </c>
      <c r="AZ114" s="328">
        <v>59.0</v>
      </c>
      <c r="BA114" s="315">
        <v>0.0</v>
      </c>
      <c r="BB114" s="316">
        <v>242.0</v>
      </c>
      <c r="BC114" s="132" t="s">
        <v>178</v>
      </c>
      <c r="BD114" s="132" t="s">
        <v>178</v>
      </c>
      <c r="BE114" s="132" t="s">
        <v>178</v>
      </c>
      <c r="BF114" s="123"/>
      <c r="BG114" s="83">
        <v>1178150.0</v>
      </c>
      <c r="BH114" s="112">
        <v>7.0</v>
      </c>
      <c r="BI114" s="98" t="s">
        <v>155</v>
      </c>
      <c r="BJ114" s="98" t="str">
        <f t="shared" si="1"/>
        <v>NÃO</v>
      </c>
      <c r="BK114" s="98" t="str">
        <f t="shared" si="2"/>
        <v>NÃO</v>
      </c>
    </row>
    <row r="115" ht="15.75" customHeight="1">
      <c r="A115" s="111" t="s">
        <v>205</v>
      </c>
      <c r="B115" s="83" t="s">
        <v>616</v>
      </c>
      <c r="C115" s="83" t="s">
        <v>164</v>
      </c>
      <c r="D115" s="83">
        <v>1178150.0</v>
      </c>
      <c r="E115" s="83">
        <v>1179018.0</v>
      </c>
      <c r="F115" s="83"/>
      <c r="G115" s="114" t="s">
        <v>3422</v>
      </c>
      <c r="H115" s="91" t="s">
        <v>3423</v>
      </c>
      <c r="I115" s="298" t="s">
        <v>3424</v>
      </c>
      <c r="J115" s="83" t="s">
        <v>694</v>
      </c>
      <c r="K115" s="83" t="s">
        <v>168</v>
      </c>
      <c r="L115" s="83" t="s">
        <v>169</v>
      </c>
      <c r="M115" s="82" t="s">
        <v>3412</v>
      </c>
      <c r="N115" s="82" t="s">
        <v>3413</v>
      </c>
      <c r="O115" s="82" t="s">
        <v>3414</v>
      </c>
      <c r="P115" s="82" t="s">
        <v>3415</v>
      </c>
      <c r="Q115" s="82"/>
      <c r="R115" s="82"/>
      <c r="S115" s="82" t="s">
        <v>3416</v>
      </c>
      <c r="T115" s="138">
        <v>6.0</v>
      </c>
      <c r="U115" s="323">
        <v>5.0</v>
      </c>
      <c r="V115" s="106">
        <v>0.0</v>
      </c>
      <c r="W115" s="107">
        <v>0.0</v>
      </c>
      <c r="X115" s="107">
        <v>0.0</v>
      </c>
      <c r="Y115" s="107">
        <v>0.0</v>
      </c>
      <c r="Z115" s="80">
        <v>0.0</v>
      </c>
      <c r="AA115" s="140">
        <v>0.0</v>
      </c>
      <c r="AB115" s="109">
        <v>0.0</v>
      </c>
      <c r="AC115" s="109">
        <v>0.0</v>
      </c>
      <c r="AD115" s="141">
        <v>0.0</v>
      </c>
      <c r="AE115" s="80">
        <v>0.0</v>
      </c>
      <c r="AF115" s="140">
        <v>0.0</v>
      </c>
      <c r="AG115" s="109">
        <v>0.0</v>
      </c>
      <c r="AH115" s="109">
        <v>62.0</v>
      </c>
      <c r="AI115" s="141">
        <v>0.0</v>
      </c>
      <c r="AJ115" s="80">
        <v>62.0</v>
      </c>
      <c r="AK115" s="140">
        <v>0.0</v>
      </c>
      <c r="AL115" s="109">
        <v>0.0</v>
      </c>
      <c r="AM115" s="141">
        <v>0.0</v>
      </c>
      <c r="AN115" s="80">
        <v>0.0</v>
      </c>
      <c r="AO115" s="140">
        <v>0.0</v>
      </c>
      <c r="AP115" s="109">
        <v>0.0</v>
      </c>
      <c r="AQ115" s="109">
        <v>118.0</v>
      </c>
      <c r="AR115" s="80">
        <v>118.0</v>
      </c>
      <c r="AS115" s="110">
        <v>0.0</v>
      </c>
      <c r="AT115" s="110">
        <v>0.0</v>
      </c>
      <c r="AU115" s="110">
        <v>0.0</v>
      </c>
      <c r="AV115" s="142">
        <v>0.0</v>
      </c>
      <c r="AW115" s="80">
        <v>0.0</v>
      </c>
      <c r="AX115" s="113">
        <v>180.0</v>
      </c>
      <c r="AY115" s="117">
        <v>0.0</v>
      </c>
      <c r="AZ115" s="328">
        <v>180.0</v>
      </c>
      <c r="BA115" s="315">
        <v>0.0</v>
      </c>
      <c r="BB115" s="316">
        <v>180.0</v>
      </c>
      <c r="BC115" s="132" t="s">
        <v>373</v>
      </c>
      <c r="BD115" s="132" t="s">
        <v>178</v>
      </c>
      <c r="BE115" s="132" t="s">
        <v>178</v>
      </c>
      <c r="BF115" s="123"/>
      <c r="BG115" s="83">
        <v>1179018.0</v>
      </c>
      <c r="BH115" s="112">
        <v>5.0</v>
      </c>
      <c r="BI115" s="98" t="s">
        <v>155</v>
      </c>
      <c r="BJ115" s="98" t="str">
        <f t="shared" si="1"/>
        <v>NÃO</v>
      </c>
      <c r="BK115" s="98" t="str">
        <f t="shared" si="2"/>
        <v>NÃO</v>
      </c>
    </row>
    <row r="116" ht="15.75" customHeight="1">
      <c r="A116" s="111" t="s">
        <v>205</v>
      </c>
      <c r="B116" s="83" t="s">
        <v>616</v>
      </c>
      <c r="C116" s="83" t="s">
        <v>164</v>
      </c>
      <c r="D116" s="83">
        <v>1178150.0</v>
      </c>
      <c r="E116" s="83">
        <v>1179019.0</v>
      </c>
      <c r="F116" s="83"/>
      <c r="G116" s="114" t="s">
        <v>3429</v>
      </c>
      <c r="H116" s="91" t="s">
        <v>625</v>
      </c>
      <c r="I116" s="298" t="s">
        <v>626</v>
      </c>
      <c r="J116" s="83" t="s">
        <v>508</v>
      </c>
      <c r="K116" s="83" t="s">
        <v>151</v>
      </c>
      <c r="L116" s="83" t="s">
        <v>169</v>
      </c>
      <c r="M116" s="82" t="s">
        <v>3412</v>
      </c>
      <c r="N116" s="82" t="s">
        <v>3413</v>
      </c>
      <c r="O116" s="82" t="s">
        <v>3414</v>
      </c>
      <c r="P116" s="82" t="s">
        <v>3415</v>
      </c>
      <c r="Q116" s="82"/>
      <c r="R116" s="82"/>
      <c r="S116" s="82" t="s">
        <v>3416</v>
      </c>
      <c r="T116" s="138">
        <v>3.0</v>
      </c>
      <c r="U116" s="323">
        <v>4.0</v>
      </c>
      <c r="V116" s="106">
        <v>0.0</v>
      </c>
      <c r="W116" s="107">
        <v>0.0</v>
      </c>
      <c r="X116" s="107">
        <v>0.0</v>
      </c>
      <c r="Y116" s="107">
        <v>0.0</v>
      </c>
      <c r="Z116" s="80">
        <v>0.0</v>
      </c>
      <c r="AA116" s="140">
        <v>0.0</v>
      </c>
      <c r="AB116" s="109">
        <v>0.0</v>
      </c>
      <c r="AC116" s="109">
        <v>0.0</v>
      </c>
      <c r="AD116" s="141">
        <v>0.0</v>
      </c>
      <c r="AE116" s="80">
        <v>0.0</v>
      </c>
      <c r="AF116" s="140">
        <v>55.0</v>
      </c>
      <c r="AG116" s="109">
        <v>35.0</v>
      </c>
      <c r="AH116" s="109">
        <v>0.0</v>
      </c>
      <c r="AI116" s="141">
        <v>0.0</v>
      </c>
      <c r="AJ116" s="80">
        <v>90.0</v>
      </c>
      <c r="AK116" s="140">
        <v>0.0</v>
      </c>
      <c r="AL116" s="109">
        <v>0.0</v>
      </c>
      <c r="AM116" s="141">
        <v>0.0</v>
      </c>
      <c r="AN116" s="80">
        <v>0.0</v>
      </c>
      <c r="AO116" s="140">
        <v>0.0</v>
      </c>
      <c r="AP116" s="109">
        <v>0.0</v>
      </c>
      <c r="AQ116" s="109">
        <v>0.0</v>
      </c>
      <c r="AR116" s="80">
        <v>0.0</v>
      </c>
      <c r="AS116" s="110">
        <v>0.0</v>
      </c>
      <c r="AT116" s="110">
        <v>0.0</v>
      </c>
      <c r="AU116" s="110">
        <v>0.0</v>
      </c>
      <c r="AV116" s="142">
        <v>0.0</v>
      </c>
      <c r="AW116" s="80">
        <v>0.0</v>
      </c>
      <c r="AX116" s="113">
        <v>90.0</v>
      </c>
      <c r="AY116" s="117">
        <v>90.0</v>
      </c>
      <c r="AZ116" s="328">
        <v>0.0</v>
      </c>
      <c r="BA116" s="315">
        <v>0.0</v>
      </c>
      <c r="BB116" s="316">
        <v>90.0</v>
      </c>
      <c r="BC116" s="132" t="s">
        <v>265</v>
      </c>
      <c r="BD116" s="132" t="s">
        <v>178</v>
      </c>
      <c r="BE116" s="132" t="s">
        <v>178</v>
      </c>
      <c r="BF116" s="123"/>
      <c r="BG116" s="83">
        <v>1179019.0</v>
      </c>
      <c r="BH116" s="112">
        <v>4.0</v>
      </c>
      <c r="BI116" s="98" t="s">
        <v>155</v>
      </c>
      <c r="BJ116" s="98" t="str">
        <f t="shared" si="1"/>
        <v>NÃO</v>
      </c>
      <c r="BK116" s="98" t="str">
        <f t="shared" si="2"/>
        <v>NÃO</v>
      </c>
    </row>
    <row r="117" ht="15.75" customHeight="1">
      <c r="A117" s="111" t="s">
        <v>205</v>
      </c>
      <c r="B117" s="83" t="s">
        <v>616</v>
      </c>
      <c r="C117" s="83" t="s">
        <v>164</v>
      </c>
      <c r="D117" s="83">
        <v>1178150.0</v>
      </c>
      <c r="E117" s="83">
        <v>1179017.0</v>
      </c>
      <c r="F117" s="83"/>
      <c r="G117" s="114" t="s">
        <v>3431</v>
      </c>
      <c r="H117" s="91" t="s">
        <v>622</v>
      </c>
      <c r="I117" s="298" t="s">
        <v>623</v>
      </c>
      <c r="J117" s="83" t="s">
        <v>187</v>
      </c>
      <c r="K117" s="83" t="s">
        <v>168</v>
      </c>
      <c r="L117" s="83" t="s">
        <v>169</v>
      </c>
      <c r="M117" s="82" t="s">
        <v>3412</v>
      </c>
      <c r="N117" s="82" t="s">
        <v>3413</v>
      </c>
      <c r="O117" s="82" t="s">
        <v>3414</v>
      </c>
      <c r="P117" s="82" t="s">
        <v>3415</v>
      </c>
      <c r="Q117" s="82"/>
      <c r="R117" s="82"/>
      <c r="S117" s="82" t="s">
        <v>3416</v>
      </c>
      <c r="T117" s="138">
        <v>4.0</v>
      </c>
      <c r="U117" s="323">
        <v>4.0</v>
      </c>
      <c r="V117" s="106">
        <v>0.0</v>
      </c>
      <c r="W117" s="107">
        <v>0.0</v>
      </c>
      <c r="X117" s="107">
        <v>0.0</v>
      </c>
      <c r="Y117" s="107">
        <v>0.0</v>
      </c>
      <c r="Z117" s="80">
        <v>0.0</v>
      </c>
      <c r="AA117" s="140">
        <v>0.0</v>
      </c>
      <c r="AB117" s="109">
        <v>0.0</v>
      </c>
      <c r="AC117" s="109">
        <v>0.0</v>
      </c>
      <c r="AD117" s="141">
        <v>0.0</v>
      </c>
      <c r="AE117" s="80">
        <v>0.0</v>
      </c>
      <c r="AF117" s="140">
        <v>0.0</v>
      </c>
      <c r="AG117" s="109">
        <v>115.0</v>
      </c>
      <c r="AH117" s="109">
        <v>13.0</v>
      </c>
      <c r="AI117" s="141">
        <v>0.0</v>
      </c>
      <c r="AJ117" s="80">
        <v>128.0</v>
      </c>
      <c r="AK117" s="140">
        <v>0.0</v>
      </c>
      <c r="AL117" s="109">
        <v>0.0</v>
      </c>
      <c r="AM117" s="141">
        <v>0.0</v>
      </c>
      <c r="AN117" s="80">
        <v>0.0</v>
      </c>
      <c r="AO117" s="140">
        <v>0.0</v>
      </c>
      <c r="AP117" s="109">
        <v>0.0</v>
      </c>
      <c r="AQ117" s="109">
        <v>36.0</v>
      </c>
      <c r="AR117" s="80">
        <v>36.0</v>
      </c>
      <c r="AS117" s="110">
        <v>0.0</v>
      </c>
      <c r="AT117" s="110">
        <v>0.0</v>
      </c>
      <c r="AU117" s="110">
        <v>0.0</v>
      </c>
      <c r="AV117" s="142">
        <v>0.0</v>
      </c>
      <c r="AW117" s="80">
        <v>0.0</v>
      </c>
      <c r="AX117" s="113">
        <v>164.0</v>
      </c>
      <c r="AY117" s="117">
        <v>115.0</v>
      </c>
      <c r="AZ117" s="328">
        <v>49.0</v>
      </c>
      <c r="BA117" s="315">
        <v>0.0</v>
      </c>
      <c r="BB117" s="316">
        <v>164.0</v>
      </c>
      <c r="BC117" s="132" t="s">
        <v>373</v>
      </c>
      <c r="BD117" s="132" t="s">
        <v>178</v>
      </c>
      <c r="BE117" s="132" t="s">
        <v>178</v>
      </c>
      <c r="BF117" s="123"/>
      <c r="BG117" s="83">
        <v>1179017.0</v>
      </c>
      <c r="BH117" s="112">
        <v>4.0</v>
      </c>
      <c r="BI117" s="98" t="s">
        <v>155</v>
      </c>
      <c r="BJ117" s="98" t="str">
        <f t="shared" si="1"/>
        <v>NÃO</v>
      </c>
      <c r="BK117" s="98" t="str">
        <f t="shared" si="2"/>
        <v>NÃO</v>
      </c>
    </row>
    <row r="118" ht="15.75" customHeight="1">
      <c r="A118" s="111" t="s">
        <v>205</v>
      </c>
      <c r="B118" s="83" t="s">
        <v>627</v>
      </c>
      <c r="C118" s="83" t="s">
        <v>68</v>
      </c>
      <c r="D118" s="83">
        <v>1178100.0</v>
      </c>
      <c r="E118" s="83"/>
      <c r="F118" s="83">
        <v>2.943167E7</v>
      </c>
      <c r="G118" s="114" t="s">
        <v>3435</v>
      </c>
      <c r="H118" s="91" t="s">
        <v>3436</v>
      </c>
      <c r="I118" s="114" t="s">
        <v>149</v>
      </c>
      <c r="J118" s="83" t="s">
        <v>150</v>
      </c>
      <c r="K118" s="83" t="s">
        <v>151</v>
      </c>
      <c r="L118" s="83" t="s">
        <v>76</v>
      </c>
      <c r="M118" s="82" t="s">
        <v>3437</v>
      </c>
      <c r="N118" s="82" t="s">
        <v>3438</v>
      </c>
      <c r="O118" s="82" t="s">
        <v>3439</v>
      </c>
      <c r="P118" s="82" t="s">
        <v>3440</v>
      </c>
      <c r="Q118" s="82"/>
      <c r="R118" s="82"/>
      <c r="S118" s="82" t="s">
        <v>3441</v>
      </c>
      <c r="T118" s="138">
        <v>10.0</v>
      </c>
      <c r="U118" s="342" t="s">
        <v>3443</v>
      </c>
      <c r="V118" s="106">
        <v>0.0</v>
      </c>
      <c r="W118" s="107">
        <v>0.0</v>
      </c>
      <c r="X118" s="107">
        <v>0.0</v>
      </c>
      <c r="Y118" s="107">
        <v>0.0</v>
      </c>
      <c r="Z118" s="80">
        <v>0.0</v>
      </c>
      <c r="AA118" s="140">
        <v>0.0</v>
      </c>
      <c r="AB118" s="109">
        <v>0.0</v>
      </c>
      <c r="AC118" s="109">
        <v>0.0</v>
      </c>
      <c r="AD118" s="141">
        <v>0.0</v>
      </c>
      <c r="AE118" s="80">
        <v>0.0</v>
      </c>
      <c r="AF118" s="140">
        <v>186.0</v>
      </c>
      <c r="AG118" s="109">
        <v>194.0</v>
      </c>
      <c r="AH118" s="109">
        <v>0.0</v>
      </c>
      <c r="AI118" s="141">
        <v>69.0</v>
      </c>
      <c r="AJ118" s="80">
        <v>449.0</v>
      </c>
      <c r="AK118" s="140">
        <v>0.0</v>
      </c>
      <c r="AL118" s="109">
        <v>0.0</v>
      </c>
      <c r="AM118" s="141">
        <v>0.0</v>
      </c>
      <c r="AN118" s="80">
        <v>0.0</v>
      </c>
      <c r="AO118" s="140">
        <v>0.0</v>
      </c>
      <c r="AP118" s="109">
        <v>0.0</v>
      </c>
      <c r="AQ118" s="109">
        <v>21.0</v>
      </c>
      <c r="AR118" s="80">
        <v>21.0</v>
      </c>
      <c r="AS118" s="110">
        <v>0.0</v>
      </c>
      <c r="AT118" s="110">
        <v>0.0</v>
      </c>
      <c r="AU118" s="110">
        <v>75.0</v>
      </c>
      <c r="AV118" s="142">
        <v>0.0</v>
      </c>
      <c r="AW118" s="80">
        <v>75.0</v>
      </c>
      <c r="AX118" s="113">
        <v>545.0</v>
      </c>
      <c r="AY118" s="117">
        <v>449.0</v>
      </c>
      <c r="AZ118" s="328">
        <v>96.0</v>
      </c>
      <c r="BA118" s="315">
        <v>0.0</v>
      </c>
      <c r="BB118" s="316">
        <v>545.0</v>
      </c>
      <c r="BC118" s="132" t="s">
        <v>178</v>
      </c>
      <c r="BD118" s="132" t="s">
        <v>178</v>
      </c>
      <c r="BE118" s="132" t="s">
        <v>178</v>
      </c>
      <c r="BF118" s="123"/>
      <c r="BG118" s="83">
        <v>1178100.0</v>
      </c>
      <c r="BH118" s="112">
        <v>8.0</v>
      </c>
      <c r="BI118" s="98" t="s">
        <v>155</v>
      </c>
      <c r="BJ118" s="98" t="str">
        <f t="shared" si="1"/>
        <v>INTEGRAL</v>
      </c>
      <c r="BK118" s="98" t="str">
        <f t="shared" si="2"/>
        <v>PROFISSIONAL</v>
      </c>
    </row>
    <row r="119" ht="15.75" customHeight="1">
      <c r="A119" s="111" t="s">
        <v>205</v>
      </c>
      <c r="B119" s="83" t="s">
        <v>633</v>
      </c>
      <c r="C119" s="83" t="s">
        <v>68</v>
      </c>
      <c r="D119" s="83">
        <v>1178021.0</v>
      </c>
      <c r="E119" s="83"/>
      <c r="F119" s="83">
        <v>2.9430259E7</v>
      </c>
      <c r="G119" s="114" t="s">
        <v>3447</v>
      </c>
      <c r="H119" s="91" t="s">
        <v>635</v>
      </c>
      <c r="I119" s="114" t="s">
        <v>149</v>
      </c>
      <c r="J119" s="83" t="s">
        <v>150</v>
      </c>
      <c r="K119" s="83" t="s">
        <v>151</v>
      </c>
      <c r="L119" s="83" t="s">
        <v>169</v>
      </c>
      <c r="M119" s="82" t="s">
        <v>3449</v>
      </c>
      <c r="N119" s="82" t="s">
        <v>3450</v>
      </c>
      <c r="O119" s="82" t="s">
        <v>3451</v>
      </c>
      <c r="P119" s="82" t="s">
        <v>3452</v>
      </c>
      <c r="Q119" s="82"/>
      <c r="R119" s="82"/>
      <c r="S119" s="82" t="s">
        <v>3453</v>
      </c>
      <c r="T119" s="138">
        <v>7.0</v>
      </c>
      <c r="U119" s="323">
        <v>6.0</v>
      </c>
      <c r="V119" s="106">
        <v>0.0</v>
      </c>
      <c r="W119" s="107">
        <v>0.0</v>
      </c>
      <c r="X119" s="107">
        <v>0.0</v>
      </c>
      <c r="Y119" s="107">
        <v>0.0</v>
      </c>
      <c r="Z119" s="80">
        <v>0.0</v>
      </c>
      <c r="AA119" s="140">
        <v>0.0</v>
      </c>
      <c r="AB119" s="109">
        <v>0.0</v>
      </c>
      <c r="AC119" s="109">
        <v>0.0</v>
      </c>
      <c r="AD119" s="141">
        <v>0.0</v>
      </c>
      <c r="AE119" s="80">
        <v>0.0</v>
      </c>
      <c r="AF119" s="140">
        <v>0.0</v>
      </c>
      <c r="AG119" s="109">
        <v>0.0</v>
      </c>
      <c r="AH119" s="109">
        <v>15.0</v>
      </c>
      <c r="AI119" s="141">
        <v>38.0</v>
      </c>
      <c r="AJ119" s="80">
        <v>53.0</v>
      </c>
      <c r="AK119" s="140">
        <v>0.0</v>
      </c>
      <c r="AL119" s="109">
        <v>0.0</v>
      </c>
      <c r="AM119" s="141">
        <v>0.0</v>
      </c>
      <c r="AN119" s="80">
        <v>0.0</v>
      </c>
      <c r="AO119" s="140">
        <v>0.0</v>
      </c>
      <c r="AP119" s="109">
        <v>0.0</v>
      </c>
      <c r="AQ119" s="109">
        <v>64.0</v>
      </c>
      <c r="AR119" s="80">
        <v>64.0</v>
      </c>
      <c r="AS119" s="110">
        <v>152.0</v>
      </c>
      <c r="AT119" s="110">
        <v>0.0</v>
      </c>
      <c r="AU119" s="110">
        <v>0.0</v>
      </c>
      <c r="AV119" s="142">
        <v>0.0</v>
      </c>
      <c r="AW119" s="80">
        <v>152.0</v>
      </c>
      <c r="AX119" s="113">
        <v>269.0</v>
      </c>
      <c r="AY119" s="117">
        <v>190.0</v>
      </c>
      <c r="AZ119" s="328">
        <v>79.0</v>
      </c>
      <c r="BA119" s="315">
        <v>0.0</v>
      </c>
      <c r="BB119" s="316">
        <v>269.0</v>
      </c>
      <c r="BC119" s="132" t="s">
        <v>178</v>
      </c>
      <c r="BD119" s="132" t="s">
        <v>178</v>
      </c>
      <c r="BE119" s="132" t="s">
        <v>178</v>
      </c>
      <c r="BF119" s="123"/>
      <c r="BG119" s="83">
        <v>1178021.0</v>
      </c>
      <c r="BH119" s="112">
        <v>6.0</v>
      </c>
      <c r="BI119" s="98" t="s">
        <v>155</v>
      </c>
      <c r="BJ119" s="98" t="str">
        <f t="shared" si="1"/>
        <v>INTEGRAL</v>
      </c>
      <c r="BK119" s="98" t="str">
        <f t="shared" si="2"/>
        <v>PROFISSIONAL</v>
      </c>
    </row>
    <row r="120" ht="38.25" customHeight="1">
      <c r="A120" s="111" t="s">
        <v>205</v>
      </c>
      <c r="B120" s="83" t="s">
        <v>633</v>
      </c>
      <c r="C120" s="83" t="s">
        <v>164</v>
      </c>
      <c r="D120" s="83">
        <v>1179431.0</v>
      </c>
      <c r="E120" s="83">
        <v>1179333.0</v>
      </c>
      <c r="F120" s="83"/>
      <c r="G120" s="114" t="s">
        <v>2338</v>
      </c>
      <c r="H120" s="91" t="s">
        <v>3454</v>
      </c>
      <c r="I120" s="241" t="s">
        <v>3455</v>
      </c>
      <c r="J120" s="83" t="s">
        <v>508</v>
      </c>
      <c r="K120" s="83" t="s">
        <v>151</v>
      </c>
      <c r="L120" s="83" t="s">
        <v>169</v>
      </c>
      <c r="M120" s="82" t="s">
        <v>3052</v>
      </c>
      <c r="N120" s="82" t="s">
        <v>3054</v>
      </c>
      <c r="O120" s="82" t="s">
        <v>3056</v>
      </c>
      <c r="P120" s="82" t="s">
        <v>3058</v>
      </c>
      <c r="Q120" s="82"/>
      <c r="R120" s="82"/>
      <c r="S120" s="82" t="s">
        <v>3059</v>
      </c>
      <c r="T120" s="138">
        <v>3.0</v>
      </c>
      <c r="U120" s="323">
        <v>3.0</v>
      </c>
      <c r="V120" s="106">
        <v>0.0</v>
      </c>
      <c r="W120" s="107">
        <v>0.0</v>
      </c>
      <c r="X120" s="107">
        <v>0.0</v>
      </c>
      <c r="Y120" s="107">
        <v>0.0</v>
      </c>
      <c r="Z120" s="80">
        <v>0.0</v>
      </c>
      <c r="AA120" s="140">
        <v>0.0</v>
      </c>
      <c r="AB120" s="109">
        <v>0.0</v>
      </c>
      <c r="AC120" s="109">
        <v>0.0</v>
      </c>
      <c r="AD120" s="141">
        <v>0.0</v>
      </c>
      <c r="AE120" s="80">
        <v>0.0</v>
      </c>
      <c r="AF120" s="140">
        <v>0.0</v>
      </c>
      <c r="AG120" s="109">
        <v>0.0</v>
      </c>
      <c r="AH120" s="109">
        <v>19.0</v>
      </c>
      <c r="AI120" s="141">
        <v>0.0</v>
      </c>
      <c r="AJ120" s="80">
        <v>19.0</v>
      </c>
      <c r="AK120" s="140">
        <v>0.0</v>
      </c>
      <c r="AL120" s="109">
        <v>0.0</v>
      </c>
      <c r="AM120" s="141">
        <v>0.0</v>
      </c>
      <c r="AN120" s="80">
        <v>0.0</v>
      </c>
      <c r="AO120" s="140">
        <v>0.0</v>
      </c>
      <c r="AP120" s="109">
        <v>0.0</v>
      </c>
      <c r="AQ120" s="109">
        <v>0.0</v>
      </c>
      <c r="AR120" s="80">
        <v>0.0</v>
      </c>
      <c r="AS120" s="110">
        <v>0.0</v>
      </c>
      <c r="AT120" s="110">
        <v>0.0</v>
      </c>
      <c r="AU120" s="110">
        <v>0.0</v>
      </c>
      <c r="AV120" s="142">
        <v>0.0</v>
      </c>
      <c r="AW120" s="80">
        <v>0.0</v>
      </c>
      <c r="AX120" s="113">
        <v>19.0</v>
      </c>
      <c r="AY120" s="117">
        <v>0.0</v>
      </c>
      <c r="AZ120" s="328">
        <v>19.0</v>
      </c>
      <c r="BA120" s="315">
        <v>0.0</v>
      </c>
      <c r="BB120" s="316">
        <v>19.0</v>
      </c>
      <c r="BC120" s="132" t="s">
        <v>178</v>
      </c>
      <c r="BD120" s="143" t="s">
        <v>227</v>
      </c>
      <c r="BE120" s="132" t="s">
        <v>178</v>
      </c>
      <c r="BF120" s="156"/>
      <c r="BG120" s="83">
        <v>1179333.0</v>
      </c>
      <c r="BH120" s="112">
        <v>3.0</v>
      </c>
      <c r="BI120" s="98" t="s">
        <v>155</v>
      </c>
      <c r="BJ120" s="98" t="str">
        <f t="shared" si="1"/>
        <v>NÃO</v>
      </c>
      <c r="BK120" s="98" t="str">
        <f t="shared" si="2"/>
        <v>NÃO</v>
      </c>
    </row>
    <row r="121" ht="15.75" customHeight="1">
      <c r="A121" s="111" t="s">
        <v>205</v>
      </c>
      <c r="B121" s="83" t="s">
        <v>633</v>
      </c>
      <c r="C121" s="83" t="s">
        <v>164</v>
      </c>
      <c r="D121" s="83">
        <v>1179431.0</v>
      </c>
      <c r="E121" s="83">
        <v>1179319.0</v>
      </c>
      <c r="F121" s="83"/>
      <c r="G121" s="114" t="s">
        <v>639</v>
      </c>
      <c r="H121" s="91" t="s">
        <v>640</v>
      </c>
      <c r="I121" s="187" t="s">
        <v>149</v>
      </c>
      <c r="J121" s="83" t="s">
        <v>641</v>
      </c>
      <c r="K121" s="83" t="s">
        <v>168</v>
      </c>
      <c r="L121" s="83" t="s">
        <v>169</v>
      </c>
      <c r="M121" s="82" t="s">
        <v>3052</v>
      </c>
      <c r="N121" s="82" t="s">
        <v>3054</v>
      </c>
      <c r="O121" s="82" t="s">
        <v>3056</v>
      </c>
      <c r="P121" s="82" t="s">
        <v>3058</v>
      </c>
      <c r="Q121" s="82"/>
      <c r="R121" s="82"/>
      <c r="S121" s="82" t="s">
        <v>3059</v>
      </c>
      <c r="T121" s="138">
        <v>3.0</v>
      </c>
      <c r="U121" s="323">
        <v>3.0</v>
      </c>
      <c r="V121" s="106">
        <v>0.0</v>
      </c>
      <c r="W121" s="107">
        <v>0.0</v>
      </c>
      <c r="X121" s="107">
        <v>0.0</v>
      </c>
      <c r="Y121" s="107">
        <v>0.0</v>
      </c>
      <c r="Z121" s="80">
        <v>0.0</v>
      </c>
      <c r="AA121" s="140">
        <v>0.0</v>
      </c>
      <c r="AB121" s="109">
        <v>0.0</v>
      </c>
      <c r="AC121" s="109">
        <v>0.0</v>
      </c>
      <c r="AD121" s="141">
        <v>0.0</v>
      </c>
      <c r="AE121" s="80">
        <v>0.0</v>
      </c>
      <c r="AF121" s="140">
        <v>0.0</v>
      </c>
      <c r="AG121" s="109">
        <v>0.0</v>
      </c>
      <c r="AH121" s="109">
        <v>34.0</v>
      </c>
      <c r="AI121" s="141">
        <v>0.0</v>
      </c>
      <c r="AJ121" s="80">
        <v>34.0</v>
      </c>
      <c r="AK121" s="140">
        <v>0.0</v>
      </c>
      <c r="AL121" s="109">
        <v>0.0</v>
      </c>
      <c r="AM121" s="141">
        <v>0.0</v>
      </c>
      <c r="AN121" s="80">
        <v>0.0</v>
      </c>
      <c r="AO121" s="140">
        <v>0.0</v>
      </c>
      <c r="AP121" s="109">
        <v>0.0</v>
      </c>
      <c r="AQ121" s="109">
        <v>0.0</v>
      </c>
      <c r="AR121" s="80">
        <v>0.0</v>
      </c>
      <c r="AS121" s="110">
        <v>0.0</v>
      </c>
      <c r="AT121" s="110">
        <v>0.0</v>
      </c>
      <c r="AU121" s="110">
        <v>0.0</v>
      </c>
      <c r="AV121" s="142">
        <v>0.0</v>
      </c>
      <c r="AW121" s="80">
        <v>0.0</v>
      </c>
      <c r="AX121" s="113">
        <v>34.0</v>
      </c>
      <c r="AY121" s="117">
        <v>0.0</v>
      </c>
      <c r="AZ121" s="328">
        <v>34.0</v>
      </c>
      <c r="BA121" s="315">
        <v>0.0</v>
      </c>
      <c r="BB121" s="316">
        <v>34.0</v>
      </c>
      <c r="BC121" s="132" t="s">
        <v>178</v>
      </c>
      <c r="BD121" s="143" t="s">
        <v>227</v>
      </c>
      <c r="BE121" s="132" t="s">
        <v>178</v>
      </c>
      <c r="BF121" s="156"/>
      <c r="BG121" s="83">
        <v>1179319.0</v>
      </c>
      <c r="BH121" s="112">
        <v>3.0</v>
      </c>
      <c r="BI121" s="98" t="s">
        <v>155</v>
      </c>
      <c r="BJ121" s="98" t="str">
        <f t="shared" si="1"/>
        <v>NÃO</v>
      </c>
      <c r="BK121" s="98" t="str">
        <f t="shared" si="2"/>
        <v>NÃO</v>
      </c>
    </row>
    <row r="122" ht="15.75" customHeight="1">
      <c r="A122" s="111" t="s">
        <v>205</v>
      </c>
      <c r="B122" s="83" t="s">
        <v>633</v>
      </c>
      <c r="C122" s="83" t="s">
        <v>164</v>
      </c>
      <c r="D122" s="83">
        <v>1179431.0</v>
      </c>
      <c r="E122" s="83">
        <v>1178831.0</v>
      </c>
      <c r="F122" s="83"/>
      <c r="G122" s="114" t="s">
        <v>642</v>
      </c>
      <c r="H122" s="91" t="s">
        <v>643</v>
      </c>
      <c r="I122" s="187" t="s">
        <v>149</v>
      </c>
      <c r="J122" s="83" t="s">
        <v>331</v>
      </c>
      <c r="K122" s="83" t="s">
        <v>168</v>
      </c>
      <c r="L122" s="83" t="s">
        <v>169</v>
      </c>
      <c r="M122" s="82" t="s">
        <v>3052</v>
      </c>
      <c r="N122" s="82" t="s">
        <v>3054</v>
      </c>
      <c r="O122" s="82" t="s">
        <v>3056</v>
      </c>
      <c r="P122" s="82" t="s">
        <v>3058</v>
      </c>
      <c r="Q122" s="82"/>
      <c r="R122" s="82"/>
      <c r="S122" s="82" t="s">
        <v>3059</v>
      </c>
      <c r="T122" s="138">
        <v>3.0</v>
      </c>
      <c r="U122" s="323">
        <v>3.0</v>
      </c>
      <c r="V122" s="106">
        <v>0.0</v>
      </c>
      <c r="W122" s="107">
        <v>0.0</v>
      </c>
      <c r="X122" s="107">
        <v>0.0</v>
      </c>
      <c r="Y122" s="107">
        <v>0.0</v>
      </c>
      <c r="Z122" s="80">
        <v>0.0</v>
      </c>
      <c r="AA122" s="140">
        <v>0.0</v>
      </c>
      <c r="AB122" s="109">
        <v>0.0</v>
      </c>
      <c r="AC122" s="109">
        <v>0.0</v>
      </c>
      <c r="AD122" s="141">
        <v>0.0</v>
      </c>
      <c r="AE122" s="80">
        <v>0.0</v>
      </c>
      <c r="AF122" s="140">
        <v>0.0</v>
      </c>
      <c r="AG122" s="109">
        <v>0.0</v>
      </c>
      <c r="AH122" s="109">
        <v>47.0</v>
      </c>
      <c r="AI122" s="141">
        <v>0.0</v>
      </c>
      <c r="AJ122" s="80">
        <v>47.0</v>
      </c>
      <c r="AK122" s="140">
        <v>0.0</v>
      </c>
      <c r="AL122" s="109">
        <v>0.0</v>
      </c>
      <c r="AM122" s="141">
        <v>0.0</v>
      </c>
      <c r="AN122" s="80">
        <v>0.0</v>
      </c>
      <c r="AO122" s="140">
        <v>0.0</v>
      </c>
      <c r="AP122" s="109">
        <v>0.0</v>
      </c>
      <c r="AQ122" s="109">
        <v>0.0</v>
      </c>
      <c r="AR122" s="80">
        <v>0.0</v>
      </c>
      <c r="AS122" s="110">
        <v>0.0</v>
      </c>
      <c r="AT122" s="110">
        <v>0.0</v>
      </c>
      <c r="AU122" s="110">
        <v>0.0</v>
      </c>
      <c r="AV122" s="142">
        <v>0.0</v>
      </c>
      <c r="AW122" s="80">
        <v>0.0</v>
      </c>
      <c r="AX122" s="113">
        <v>47.0</v>
      </c>
      <c r="AY122" s="117">
        <v>0.0</v>
      </c>
      <c r="AZ122" s="328">
        <v>47.0</v>
      </c>
      <c r="BA122" s="315">
        <v>0.0</v>
      </c>
      <c r="BB122" s="316">
        <v>47.0</v>
      </c>
      <c r="BC122" s="132" t="s">
        <v>178</v>
      </c>
      <c r="BD122" s="143" t="s">
        <v>227</v>
      </c>
      <c r="BE122" s="132" t="s">
        <v>178</v>
      </c>
      <c r="BF122" s="123"/>
      <c r="BG122" s="83">
        <v>1178831.0</v>
      </c>
      <c r="BH122" s="112">
        <v>3.0</v>
      </c>
      <c r="BI122" s="98" t="s">
        <v>155</v>
      </c>
      <c r="BJ122" s="98" t="str">
        <f t="shared" si="1"/>
        <v>NÃO</v>
      </c>
      <c r="BK122" s="98" t="str">
        <f t="shared" si="2"/>
        <v>NÃO</v>
      </c>
    </row>
    <row r="123" ht="15.75" customHeight="1">
      <c r="A123" s="111" t="s">
        <v>205</v>
      </c>
      <c r="B123" s="98" t="s">
        <v>644</v>
      </c>
      <c r="C123" s="83" t="s">
        <v>68</v>
      </c>
      <c r="D123" s="83">
        <v>1179304.0</v>
      </c>
      <c r="E123" s="83"/>
      <c r="F123" s="83">
        <v>2.9460794E7</v>
      </c>
      <c r="G123" s="114" t="s">
        <v>645</v>
      </c>
      <c r="H123" s="91" t="s">
        <v>646</v>
      </c>
      <c r="I123" s="114" t="s">
        <v>647</v>
      </c>
      <c r="J123" s="83" t="s">
        <v>187</v>
      </c>
      <c r="K123" s="83" t="s">
        <v>151</v>
      </c>
      <c r="L123" s="83" t="s">
        <v>169</v>
      </c>
      <c r="M123" s="82" t="s">
        <v>3472</v>
      </c>
      <c r="N123" s="82" t="s">
        <v>3473</v>
      </c>
      <c r="O123" s="82"/>
      <c r="P123" s="82"/>
      <c r="Q123" s="82"/>
      <c r="R123" s="82"/>
      <c r="S123" s="82"/>
      <c r="T123" s="138">
        <v>2.0</v>
      </c>
      <c r="U123" s="323">
        <v>2.0</v>
      </c>
      <c r="V123" s="106">
        <v>2.0</v>
      </c>
      <c r="W123" s="107">
        <v>0.0</v>
      </c>
      <c r="X123" s="107">
        <v>0.0</v>
      </c>
      <c r="Y123" s="107">
        <v>0.0</v>
      </c>
      <c r="Z123" s="80">
        <v>2.0</v>
      </c>
      <c r="AA123" s="140">
        <v>4.0</v>
      </c>
      <c r="AB123" s="109">
        <v>3.0</v>
      </c>
      <c r="AC123" s="109">
        <v>0.0</v>
      </c>
      <c r="AD123" s="141">
        <v>0.0</v>
      </c>
      <c r="AE123" s="80">
        <v>7.0</v>
      </c>
      <c r="AF123" s="140">
        <v>0.0</v>
      </c>
      <c r="AG123" s="109">
        <v>0.0</v>
      </c>
      <c r="AH123" s="109">
        <v>0.0</v>
      </c>
      <c r="AI123" s="141">
        <v>0.0</v>
      </c>
      <c r="AJ123" s="80">
        <v>0.0</v>
      </c>
      <c r="AK123" s="140">
        <v>0.0</v>
      </c>
      <c r="AL123" s="109">
        <v>0.0</v>
      </c>
      <c r="AM123" s="141">
        <v>0.0</v>
      </c>
      <c r="AN123" s="80">
        <v>0.0</v>
      </c>
      <c r="AO123" s="140">
        <v>0.0</v>
      </c>
      <c r="AP123" s="109">
        <v>0.0</v>
      </c>
      <c r="AQ123" s="109">
        <v>0.0</v>
      </c>
      <c r="AR123" s="80">
        <v>0.0</v>
      </c>
      <c r="AS123" s="110">
        <v>0.0</v>
      </c>
      <c r="AT123" s="110">
        <v>0.0</v>
      </c>
      <c r="AU123" s="110">
        <v>0.0</v>
      </c>
      <c r="AV123" s="142">
        <v>0.0</v>
      </c>
      <c r="AW123" s="80">
        <v>0.0</v>
      </c>
      <c r="AX123" s="113">
        <v>9.0</v>
      </c>
      <c r="AY123" s="117">
        <v>9.0</v>
      </c>
      <c r="AZ123" s="328">
        <v>0.0</v>
      </c>
      <c r="BA123" s="315">
        <v>0.0</v>
      </c>
      <c r="BB123" s="316">
        <v>9.0</v>
      </c>
      <c r="BC123" s="143" t="s">
        <v>1294</v>
      </c>
      <c r="BD123" s="132" t="s">
        <v>178</v>
      </c>
      <c r="BE123" s="132" t="s">
        <v>178</v>
      </c>
      <c r="BF123" s="83"/>
      <c r="BG123" s="83">
        <v>1179304.0</v>
      </c>
      <c r="BH123" s="112">
        <v>2.0</v>
      </c>
      <c r="BI123" s="98" t="s">
        <v>155</v>
      </c>
      <c r="BJ123" s="98" t="str">
        <f t="shared" si="1"/>
        <v>NÃO</v>
      </c>
      <c r="BK123" s="98" t="str">
        <f t="shared" si="2"/>
        <v>NÃO</v>
      </c>
    </row>
    <row r="124" ht="15.75" customHeight="1">
      <c r="A124" s="111" t="s">
        <v>205</v>
      </c>
      <c r="B124" s="98" t="s">
        <v>644</v>
      </c>
      <c r="C124" s="83" t="s">
        <v>68</v>
      </c>
      <c r="D124" s="83">
        <v>1176177.0</v>
      </c>
      <c r="E124" s="83"/>
      <c r="F124" s="83">
        <v>2.93324E7</v>
      </c>
      <c r="G124" s="114" t="s">
        <v>649</v>
      </c>
      <c r="H124" s="91" t="s">
        <v>650</v>
      </c>
      <c r="I124" s="114" t="s">
        <v>149</v>
      </c>
      <c r="J124" s="83" t="s">
        <v>150</v>
      </c>
      <c r="K124" s="83" t="s">
        <v>151</v>
      </c>
      <c r="L124" s="83" t="s">
        <v>169</v>
      </c>
      <c r="M124" s="82" t="s">
        <v>3477</v>
      </c>
      <c r="N124" s="82" t="s">
        <v>3478</v>
      </c>
      <c r="O124" s="82"/>
      <c r="P124" s="82"/>
      <c r="Q124" s="82"/>
      <c r="R124" s="82"/>
      <c r="S124" s="82" t="s">
        <v>3479</v>
      </c>
      <c r="T124" s="138">
        <v>4.0</v>
      </c>
      <c r="U124" s="323">
        <v>3.0</v>
      </c>
      <c r="V124" s="106">
        <v>0.0</v>
      </c>
      <c r="W124" s="107">
        <v>0.0</v>
      </c>
      <c r="X124" s="107">
        <v>0.0</v>
      </c>
      <c r="Y124" s="107">
        <v>0.0</v>
      </c>
      <c r="Z124" s="80">
        <v>0.0</v>
      </c>
      <c r="AA124" s="140">
        <v>0.0</v>
      </c>
      <c r="AB124" s="109">
        <v>0.0</v>
      </c>
      <c r="AC124" s="109">
        <v>0.0</v>
      </c>
      <c r="AD124" s="141">
        <v>0.0</v>
      </c>
      <c r="AE124" s="80">
        <v>0.0</v>
      </c>
      <c r="AF124" s="140">
        <v>14.0</v>
      </c>
      <c r="AG124" s="109">
        <v>68.0</v>
      </c>
      <c r="AH124" s="109">
        <v>0.0</v>
      </c>
      <c r="AI124" s="141">
        <v>0.0</v>
      </c>
      <c r="AJ124" s="80">
        <v>82.0</v>
      </c>
      <c r="AK124" s="140">
        <v>0.0</v>
      </c>
      <c r="AL124" s="109">
        <v>0.0</v>
      </c>
      <c r="AM124" s="141">
        <v>0.0</v>
      </c>
      <c r="AN124" s="80">
        <v>0.0</v>
      </c>
      <c r="AO124" s="140">
        <v>0.0</v>
      </c>
      <c r="AP124" s="109">
        <v>0.0</v>
      </c>
      <c r="AQ124" s="109">
        <v>8.0</v>
      </c>
      <c r="AR124" s="80">
        <v>8.0</v>
      </c>
      <c r="AS124" s="110">
        <v>24.0</v>
      </c>
      <c r="AT124" s="110">
        <v>0.0</v>
      </c>
      <c r="AU124" s="110">
        <v>0.0</v>
      </c>
      <c r="AV124" s="142">
        <v>0.0</v>
      </c>
      <c r="AW124" s="80">
        <v>24.0</v>
      </c>
      <c r="AX124" s="113">
        <v>114.0</v>
      </c>
      <c r="AY124" s="117">
        <v>106.0</v>
      </c>
      <c r="AZ124" s="328">
        <v>8.0</v>
      </c>
      <c r="BA124" s="315">
        <v>0.0</v>
      </c>
      <c r="BB124" s="316">
        <v>114.0</v>
      </c>
      <c r="BC124" s="132" t="s">
        <v>178</v>
      </c>
      <c r="BD124" s="132" t="s">
        <v>178</v>
      </c>
      <c r="BE124" s="132" t="s">
        <v>178</v>
      </c>
      <c r="BF124" s="156"/>
      <c r="BG124" s="83">
        <v>1176177.0</v>
      </c>
      <c r="BH124" s="112">
        <v>3.0</v>
      </c>
      <c r="BI124" s="98" t="s">
        <v>155</v>
      </c>
      <c r="BJ124" s="98" t="str">
        <f t="shared" si="1"/>
        <v>NÃO</v>
      </c>
      <c r="BK124" s="98" t="str">
        <f t="shared" si="2"/>
        <v>PROFISSIONAL</v>
      </c>
    </row>
    <row r="125" ht="15.75" customHeight="1">
      <c r="A125" s="111" t="s">
        <v>205</v>
      </c>
      <c r="B125" s="98" t="s">
        <v>644</v>
      </c>
      <c r="C125" s="83" t="s">
        <v>68</v>
      </c>
      <c r="D125" s="83">
        <v>1178407.0</v>
      </c>
      <c r="E125" s="83"/>
      <c r="F125" s="83">
        <v>2.9397758E7</v>
      </c>
      <c r="G125" s="114" t="s">
        <v>652</v>
      </c>
      <c r="H125" s="91" t="s">
        <v>653</v>
      </c>
      <c r="I125" s="114" t="s">
        <v>149</v>
      </c>
      <c r="J125" s="83" t="s">
        <v>467</v>
      </c>
      <c r="K125" s="83" t="s">
        <v>151</v>
      </c>
      <c r="L125" s="83" t="s">
        <v>169</v>
      </c>
      <c r="M125" s="82" t="s">
        <v>3482</v>
      </c>
      <c r="N125" s="82" t="s">
        <v>3483</v>
      </c>
      <c r="O125" s="82"/>
      <c r="P125" s="82"/>
      <c r="Q125" s="82"/>
      <c r="R125" s="82"/>
      <c r="S125" s="82" t="s">
        <v>3484</v>
      </c>
      <c r="T125" s="138">
        <v>6.0</v>
      </c>
      <c r="U125" s="323">
        <v>5.0</v>
      </c>
      <c r="V125" s="106">
        <v>0.0</v>
      </c>
      <c r="W125" s="107">
        <v>0.0</v>
      </c>
      <c r="X125" s="107">
        <v>0.0</v>
      </c>
      <c r="Y125" s="107">
        <v>0.0</v>
      </c>
      <c r="Z125" s="80">
        <v>0.0</v>
      </c>
      <c r="AA125" s="140">
        <v>0.0</v>
      </c>
      <c r="AB125" s="109">
        <v>0.0</v>
      </c>
      <c r="AC125" s="109">
        <v>0.0</v>
      </c>
      <c r="AD125" s="141">
        <v>0.0</v>
      </c>
      <c r="AE125" s="80">
        <v>0.0</v>
      </c>
      <c r="AF125" s="140">
        <v>78.0</v>
      </c>
      <c r="AG125" s="109">
        <v>53.0</v>
      </c>
      <c r="AH125" s="109">
        <v>0.0</v>
      </c>
      <c r="AI125" s="141">
        <v>0.0</v>
      </c>
      <c r="AJ125" s="80">
        <v>131.0</v>
      </c>
      <c r="AK125" s="140">
        <v>0.0</v>
      </c>
      <c r="AL125" s="109">
        <v>0.0</v>
      </c>
      <c r="AM125" s="141">
        <v>0.0</v>
      </c>
      <c r="AN125" s="80">
        <v>0.0</v>
      </c>
      <c r="AO125" s="140">
        <v>0.0</v>
      </c>
      <c r="AP125" s="109">
        <v>0.0</v>
      </c>
      <c r="AQ125" s="109">
        <v>12.0</v>
      </c>
      <c r="AR125" s="80">
        <v>12.0</v>
      </c>
      <c r="AS125" s="110">
        <v>0.0</v>
      </c>
      <c r="AT125" s="110">
        <v>0.0</v>
      </c>
      <c r="AU125" s="110">
        <v>0.0</v>
      </c>
      <c r="AV125" s="142">
        <v>0.0</v>
      </c>
      <c r="AW125" s="80">
        <v>0.0</v>
      </c>
      <c r="AX125" s="113">
        <v>143.0</v>
      </c>
      <c r="AY125" s="117">
        <v>131.0</v>
      </c>
      <c r="AZ125" s="328">
        <v>12.0</v>
      </c>
      <c r="BA125" s="315">
        <v>0.0</v>
      </c>
      <c r="BB125" s="316">
        <v>143.0</v>
      </c>
      <c r="BC125" s="132" t="s">
        <v>373</v>
      </c>
      <c r="BD125" s="132" t="s">
        <v>178</v>
      </c>
      <c r="BE125" s="132" t="s">
        <v>178</v>
      </c>
      <c r="BF125" s="123"/>
      <c r="BG125" s="83">
        <v>1178407.0</v>
      </c>
      <c r="BH125" s="112">
        <v>5.0</v>
      </c>
      <c r="BI125" s="98" t="s">
        <v>155</v>
      </c>
      <c r="BJ125" s="98" t="str">
        <f t="shared" si="1"/>
        <v>NÃO</v>
      </c>
      <c r="BK125" s="98" t="str">
        <f t="shared" si="2"/>
        <v>NÃO</v>
      </c>
    </row>
    <row r="126" ht="15.75" customHeight="1">
      <c r="A126" s="111" t="s">
        <v>205</v>
      </c>
      <c r="B126" s="98" t="s">
        <v>644</v>
      </c>
      <c r="C126" s="83" t="s">
        <v>164</v>
      </c>
      <c r="D126" s="83">
        <v>1179431.0</v>
      </c>
      <c r="E126" s="83">
        <v>1178835.0</v>
      </c>
      <c r="F126" s="83"/>
      <c r="G126" s="114" t="s">
        <v>655</v>
      </c>
      <c r="H126" s="91" t="s">
        <v>656</v>
      </c>
      <c r="I126" s="114" t="s">
        <v>149</v>
      </c>
      <c r="J126" s="83" t="s">
        <v>657</v>
      </c>
      <c r="K126" s="83" t="s">
        <v>168</v>
      </c>
      <c r="L126" s="83" t="s">
        <v>169</v>
      </c>
      <c r="M126" s="82" t="s">
        <v>3052</v>
      </c>
      <c r="N126" s="82" t="s">
        <v>3054</v>
      </c>
      <c r="O126" s="82" t="s">
        <v>3056</v>
      </c>
      <c r="P126" s="82" t="s">
        <v>3058</v>
      </c>
      <c r="Q126" s="82"/>
      <c r="R126" s="82"/>
      <c r="S126" s="82" t="s">
        <v>3059</v>
      </c>
      <c r="T126" s="138">
        <v>2.0</v>
      </c>
      <c r="U126" s="323">
        <v>2.0</v>
      </c>
      <c r="V126" s="106">
        <v>0.0</v>
      </c>
      <c r="W126" s="107">
        <v>0.0</v>
      </c>
      <c r="X126" s="107">
        <v>0.0</v>
      </c>
      <c r="Y126" s="107">
        <v>0.0</v>
      </c>
      <c r="Z126" s="80">
        <v>0.0</v>
      </c>
      <c r="AA126" s="140">
        <v>0.0</v>
      </c>
      <c r="AB126" s="109">
        <v>0.0</v>
      </c>
      <c r="AC126" s="109">
        <v>0.0</v>
      </c>
      <c r="AD126" s="141">
        <v>0.0</v>
      </c>
      <c r="AE126" s="80">
        <v>0.0</v>
      </c>
      <c r="AF126" s="140">
        <v>18.0</v>
      </c>
      <c r="AG126" s="109">
        <v>6.0</v>
      </c>
      <c r="AH126" s="109">
        <v>0.0</v>
      </c>
      <c r="AI126" s="141">
        <v>0.0</v>
      </c>
      <c r="AJ126" s="80">
        <v>24.0</v>
      </c>
      <c r="AK126" s="140">
        <v>0.0</v>
      </c>
      <c r="AL126" s="109">
        <v>0.0</v>
      </c>
      <c r="AM126" s="141">
        <v>0.0</v>
      </c>
      <c r="AN126" s="80">
        <v>0.0</v>
      </c>
      <c r="AO126" s="140">
        <v>0.0</v>
      </c>
      <c r="AP126" s="109">
        <v>0.0</v>
      </c>
      <c r="AQ126" s="109">
        <v>0.0</v>
      </c>
      <c r="AR126" s="80">
        <v>0.0</v>
      </c>
      <c r="AS126" s="110">
        <v>0.0</v>
      </c>
      <c r="AT126" s="110">
        <v>0.0</v>
      </c>
      <c r="AU126" s="110">
        <v>0.0</v>
      </c>
      <c r="AV126" s="142">
        <v>0.0</v>
      </c>
      <c r="AW126" s="80">
        <v>0.0</v>
      </c>
      <c r="AX126" s="113">
        <v>24.0</v>
      </c>
      <c r="AY126" s="117">
        <v>24.0</v>
      </c>
      <c r="AZ126" s="328">
        <v>0.0</v>
      </c>
      <c r="BA126" s="315">
        <v>0.0</v>
      </c>
      <c r="BB126" s="316">
        <v>24.0</v>
      </c>
      <c r="BC126" s="132" t="s">
        <v>178</v>
      </c>
      <c r="BD126" s="143" t="s">
        <v>227</v>
      </c>
      <c r="BE126" s="132" t="s">
        <v>178</v>
      </c>
      <c r="BF126" s="123"/>
      <c r="BG126" s="83">
        <v>1178835.0</v>
      </c>
      <c r="BH126" s="112">
        <v>2.0</v>
      </c>
      <c r="BI126" s="98" t="s">
        <v>155</v>
      </c>
      <c r="BJ126" s="98" t="str">
        <f t="shared" si="1"/>
        <v>NÃO</v>
      </c>
      <c r="BK126" s="98" t="str">
        <f t="shared" si="2"/>
        <v>NÃO</v>
      </c>
    </row>
    <row r="127" ht="15.75" customHeight="1">
      <c r="A127" s="111" t="s">
        <v>205</v>
      </c>
      <c r="B127" s="98" t="s">
        <v>644</v>
      </c>
      <c r="C127" s="83" t="s">
        <v>164</v>
      </c>
      <c r="D127" s="83">
        <v>1176177.0</v>
      </c>
      <c r="E127" s="83">
        <v>1178834.0</v>
      </c>
      <c r="F127" s="83"/>
      <c r="G127" s="114" t="s">
        <v>658</v>
      </c>
      <c r="H127" s="91" t="s">
        <v>659</v>
      </c>
      <c r="I127" s="114" t="s">
        <v>149</v>
      </c>
      <c r="J127" s="83" t="s">
        <v>657</v>
      </c>
      <c r="K127" s="83" t="s">
        <v>168</v>
      </c>
      <c r="L127" s="83" t="s">
        <v>169</v>
      </c>
      <c r="M127" s="82" t="s">
        <v>3477</v>
      </c>
      <c r="N127" s="82" t="s">
        <v>3478</v>
      </c>
      <c r="O127" s="82"/>
      <c r="P127" s="82"/>
      <c r="Q127" s="82"/>
      <c r="R127" s="82"/>
      <c r="S127" s="82" t="s">
        <v>3479</v>
      </c>
      <c r="T127" s="138">
        <v>3.0</v>
      </c>
      <c r="U127" s="323">
        <v>3.0</v>
      </c>
      <c r="V127" s="106">
        <v>0.0</v>
      </c>
      <c r="W127" s="107">
        <v>0.0</v>
      </c>
      <c r="X127" s="107">
        <v>0.0</v>
      </c>
      <c r="Y127" s="107">
        <v>0.0</v>
      </c>
      <c r="Z127" s="80">
        <v>0.0</v>
      </c>
      <c r="AA127" s="140">
        <v>0.0</v>
      </c>
      <c r="AB127" s="109">
        <v>0.0</v>
      </c>
      <c r="AC127" s="109">
        <v>0.0</v>
      </c>
      <c r="AD127" s="141">
        <v>0.0</v>
      </c>
      <c r="AE127" s="80">
        <v>0.0</v>
      </c>
      <c r="AF127" s="140">
        <v>0.0</v>
      </c>
      <c r="AG127" s="109">
        <v>0.0</v>
      </c>
      <c r="AH127" s="109">
        <v>11.0</v>
      </c>
      <c r="AI127" s="141">
        <v>0.0</v>
      </c>
      <c r="AJ127" s="80">
        <v>11.0</v>
      </c>
      <c r="AK127" s="140">
        <v>0.0</v>
      </c>
      <c r="AL127" s="109">
        <v>0.0</v>
      </c>
      <c r="AM127" s="141">
        <v>0.0</v>
      </c>
      <c r="AN127" s="80">
        <v>0.0</v>
      </c>
      <c r="AO127" s="140">
        <v>0.0</v>
      </c>
      <c r="AP127" s="109">
        <v>0.0</v>
      </c>
      <c r="AQ127" s="109">
        <v>16.0</v>
      </c>
      <c r="AR127" s="80">
        <v>16.0</v>
      </c>
      <c r="AS127" s="110">
        <v>0.0</v>
      </c>
      <c r="AT127" s="110">
        <v>0.0</v>
      </c>
      <c r="AU127" s="110">
        <v>0.0</v>
      </c>
      <c r="AV127" s="142">
        <v>0.0</v>
      </c>
      <c r="AW127" s="80">
        <v>0.0</v>
      </c>
      <c r="AX127" s="113">
        <v>27.0</v>
      </c>
      <c r="AY127" s="117">
        <v>0.0</v>
      </c>
      <c r="AZ127" s="328">
        <v>27.0</v>
      </c>
      <c r="BA127" s="315">
        <v>0.0</v>
      </c>
      <c r="BB127" s="316">
        <v>27.0</v>
      </c>
      <c r="BC127" s="132" t="s">
        <v>265</v>
      </c>
      <c r="BD127" s="132" t="s">
        <v>178</v>
      </c>
      <c r="BE127" s="132" t="s">
        <v>178</v>
      </c>
      <c r="BF127" s="123"/>
      <c r="BG127" s="83">
        <v>1178834.0</v>
      </c>
      <c r="BH127" s="112">
        <v>3.0</v>
      </c>
      <c r="BI127" s="98" t="s">
        <v>155</v>
      </c>
      <c r="BJ127" s="98" t="str">
        <f t="shared" si="1"/>
        <v>NÃO</v>
      </c>
      <c r="BK127" s="98" t="str">
        <f t="shared" si="2"/>
        <v>NÃO</v>
      </c>
    </row>
    <row r="128" ht="15.75" customHeight="1">
      <c r="A128" s="111" t="s">
        <v>205</v>
      </c>
      <c r="B128" s="98" t="s">
        <v>644</v>
      </c>
      <c r="C128" s="83" t="s">
        <v>164</v>
      </c>
      <c r="D128" s="83">
        <v>1176177.0</v>
      </c>
      <c r="E128" s="83">
        <v>1178832.0</v>
      </c>
      <c r="F128" s="83"/>
      <c r="G128" s="114" t="s">
        <v>660</v>
      </c>
      <c r="H128" s="91" t="s">
        <v>3496</v>
      </c>
      <c r="I128" s="114" t="s">
        <v>149</v>
      </c>
      <c r="J128" s="83" t="s">
        <v>187</v>
      </c>
      <c r="K128" s="83" t="s">
        <v>151</v>
      </c>
      <c r="L128" s="83" t="s">
        <v>169</v>
      </c>
      <c r="M128" s="82" t="s">
        <v>3477</v>
      </c>
      <c r="N128" s="82" t="s">
        <v>3478</v>
      </c>
      <c r="O128" s="82"/>
      <c r="P128" s="82"/>
      <c r="Q128" s="82"/>
      <c r="R128" s="82"/>
      <c r="S128" s="82" t="s">
        <v>3479</v>
      </c>
      <c r="T128" s="138">
        <v>4.0</v>
      </c>
      <c r="U128" s="323">
        <v>3.0</v>
      </c>
      <c r="V128" s="106">
        <v>0.0</v>
      </c>
      <c r="W128" s="107">
        <v>0.0</v>
      </c>
      <c r="X128" s="107">
        <v>0.0</v>
      </c>
      <c r="Y128" s="107">
        <v>0.0</v>
      </c>
      <c r="Z128" s="80">
        <v>0.0</v>
      </c>
      <c r="AA128" s="140">
        <v>0.0</v>
      </c>
      <c r="AB128" s="109">
        <v>0.0</v>
      </c>
      <c r="AC128" s="109">
        <v>0.0</v>
      </c>
      <c r="AD128" s="141">
        <v>0.0</v>
      </c>
      <c r="AE128" s="80">
        <v>0.0</v>
      </c>
      <c r="AF128" s="140">
        <v>0.0</v>
      </c>
      <c r="AG128" s="109">
        <v>0.0</v>
      </c>
      <c r="AH128" s="109">
        <v>14.0</v>
      </c>
      <c r="AI128" s="141">
        <v>0.0</v>
      </c>
      <c r="AJ128" s="80">
        <v>14.0</v>
      </c>
      <c r="AK128" s="140">
        <v>0.0</v>
      </c>
      <c r="AL128" s="109">
        <v>0.0</v>
      </c>
      <c r="AM128" s="141">
        <v>0.0</v>
      </c>
      <c r="AN128" s="80">
        <v>0.0</v>
      </c>
      <c r="AO128" s="140">
        <v>0.0</v>
      </c>
      <c r="AP128" s="109">
        <v>0.0</v>
      </c>
      <c r="AQ128" s="109">
        <v>32.0</v>
      </c>
      <c r="AR128" s="80">
        <v>32.0</v>
      </c>
      <c r="AS128" s="110">
        <v>0.0</v>
      </c>
      <c r="AT128" s="110">
        <v>0.0</v>
      </c>
      <c r="AU128" s="110">
        <v>0.0</v>
      </c>
      <c r="AV128" s="142">
        <v>0.0</v>
      </c>
      <c r="AW128" s="80">
        <v>0.0</v>
      </c>
      <c r="AX128" s="113">
        <v>46.0</v>
      </c>
      <c r="AY128" s="117">
        <v>0.0</v>
      </c>
      <c r="AZ128" s="328">
        <v>46.0</v>
      </c>
      <c r="BA128" s="315">
        <v>0.0</v>
      </c>
      <c r="BB128" s="316">
        <v>46.0</v>
      </c>
      <c r="BC128" s="132" t="s">
        <v>265</v>
      </c>
      <c r="BD128" s="132" t="s">
        <v>178</v>
      </c>
      <c r="BE128" s="132" t="s">
        <v>178</v>
      </c>
      <c r="BF128" s="123"/>
      <c r="BG128" s="83">
        <v>1178832.0</v>
      </c>
      <c r="BH128" s="112">
        <v>3.0</v>
      </c>
      <c r="BI128" s="98" t="s">
        <v>155</v>
      </c>
      <c r="BJ128" s="98" t="str">
        <f t="shared" si="1"/>
        <v>NÃO</v>
      </c>
      <c r="BK128" s="98" t="str">
        <f t="shared" si="2"/>
        <v>NÃO</v>
      </c>
    </row>
    <row r="129" ht="15.75" customHeight="1">
      <c r="A129" s="111" t="s">
        <v>205</v>
      </c>
      <c r="B129" s="98" t="s">
        <v>644</v>
      </c>
      <c r="C129" s="83" t="s">
        <v>164</v>
      </c>
      <c r="D129" s="83">
        <v>1179431.0</v>
      </c>
      <c r="E129" s="83">
        <v>1178833.0</v>
      </c>
      <c r="F129" s="83"/>
      <c r="G129" s="114" t="s">
        <v>2463</v>
      </c>
      <c r="H129" s="91" t="s">
        <v>3501</v>
      </c>
      <c r="I129" s="114" t="s">
        <v>149</v>
      </c>
      <c r="J129" s="83" t="s">
        <v>865</v>
      </c>
      <c r="K129" s="83" t="s">
        <v>168</v>
      </c>
      <c r="L129" s="83" t="s">
        <v>169</v>
      </c>
      <c r="M129" s="82" t="s">
        <v>3052</v>
      </c>
      <c r="N129" s="82" t="s">
        <v>3054</v>
      </c>
      <c r="O129" s="82" t="s">
        <v>3056</v>
      </c>
      <c r="P129" s="82" t="s">
        <v>3058</v>
      </c>
      <c r="Q129" s="82"/>
      <c r="R129" s="82"/>
      <c r="S129" s="82" t="s">
        <v>3059</v>
      </c>
      <c r="T129" s="138">
        <v>3.0</v>
      </c>
      <c r="U129" s="323">
        <v>3.0</v>
      </c>
      <c r="V129" s="106">
        <v>0.0</v>
      </c>
      <c r="W129" s="107">
        <v>0.0</v>
      </c>
      <c r="X129" s="107">
        <v>0.0</v>
      </c>
      <c r="Y129" s="107">
        <v>0.0</v>
      </c>
      <c r="Z129" s="80">
        <v>0.0</v>
      </c>
      <c r="AA129" s="140">
        <v>0.0</v>
      </c>
      <c r="AB129" s="109">
        <v>0.0</v>
      </c>
      <c r="AC129" s="109">
        <v>0.0</v>
      </c>
      <c r="AD129" s="141">
        <v>0.0</v>
      </c>
      <c r="AE129" s="80">
        <v>0.0</v>
      </c>
      <c r="AF129" s="140">
        <v>0.0</v>
      </c>
      <c r="AG129" s="109">
        <v>0.0</v>
      </c>
      <c r="AH129" s="109">
        <v>20.0</v>
      </c>
      <c r="AI129" s="141">
        <v>0.0</v>
      </c>
      <c r="AJ129" s="80">
        <v>20.0</v>
      </c>
      <c r="AK129" s="140">
        <v>0.0</v>
      </c>
      <c r="AL129" s="109">
        <v>0.0</v>
      </c>
      <c r="AM129" s="141">
        <v>0.0</v>
      </c>
      <c r="AN129" s="80">
        <v>0.0</v>
      </c>
      <c r="AO129" s="140">
        <v>0.0</v>
      </c>
      <c r="AP129" s="109">
        <v>0.0</v>
      </c>
      <c r="AQ129" s="109">
        <v>0.0</v>
      </c>
      <c r="AR129" s="80">
        <v>0.0</v>
      </c>
      <c r="AS129" s="110">
        <v>0.0</v>
      </c>
      <c r="AT129" s="110">
        <v>0.0</v>
      </c>
      <c r="AU129" s="110">
        <v>0.0</v>
      </c>
      <c r="AV129" s="142">
        <v>0.0</v>
      </c>
      <c r="AW129" s="80">
        <v>0.0</v>
      </c>
      <c r="AX129" s="113">
        <v>20.0</v>
      </c>
      <c r="AY129" s="117">
        <v>0.0</v>
      </c>
      <c r="AZ129" s="328">
        <v>20.0</v>
      </c>
      <c r="BA129" s="315">
        <v>0.0</v>
      </c>
      <c r="BB129" s="316">
        <v>20.0</v>
      </c>
      <c r="BC129" s="132" t="s">
        <v>178</v>
      </c>
      <c r="BD129" s="143" t="s">
        <v>227</v>
      </c>
      <c r="BE129" s="132" t="s">
        <v>178</v>
      </c>
      <c r="BF129" s="123"/>
      <c r="BG129" s="83">
        <v>1178833.0</v>
      </c>
      <c r="BH129" s="112">
        <v>3.0</v>
      </c>
      <c r="BI129" s="98" t="s">
        <v>155</v>
      </c>
      <c r="BJ129" s="98" t="str">
        <f t="shared" si="1"/>
        <v>NÃO</v>
      </c>
      <c r="BK129" s="98" t="str">
        <f t="shared" si="2"/>
        <v>NÃO</v>
      </c>
    </row>
    <row r="130" ht="15.75" customHeight="1">
      <c r="A130" s="111" t="s">
        <v>205</v>
      </c>
      <c r="B130" s="98" t="s">
        <v>644</v>
      </c>
      <c r="C130" s="83" t="s">
        <v>164</v>
      </c>
      <c r="D130" s="83">
        <v>1179431.0</v>
      </c>
      <c r="E130" s="83">
        <v>1178837.0</v>
      </c>
      <c r="F130" s="83"/>
      <c r="G130" s="114" t="s">
        <v>662</v>
      </c>
      <c r="H130" s="91" t="s">
        <v>663</v>
      </c>
      <c r="I130" s="114" t="s">
        <v>149</v>
      </c>
      <c r="J130" s="83" t="s">
        <v>664</v>
      </c>
      <c r="K130" s="83" t="s">
        <v>168</v>
      </c>
      <c r="L130" s="83" t="s">
        <v>169</v>
      </c>
      <c r="M130" s="82" t="s">
        <v>3052</v>
      </c>
      <c r="N130" s="82" t="s">
        <v>3054</v>
      </c>
      <c r="O130" s="82" t="s">
        <v>3056</v>
      </c>
      <c r="P130" s="82" t="s">
        <v>3058</v>
      </c>
      <c r="Q130" s="82"/>
      <c r="R130" s="82"/>
      <c r="S130" s="82" t="s">
        <v>3059</v>
      </c>
      <c r="T130" s="138">
        <v>3.0</v>
      </c>
      <c r="U130" s="323">
        <v>3.0</v>
      </c>
      <c r="V130" s="106">
        <v>0.0</v>
      </c>
      <c r="W130" s="107">
        <v>0.0</v>
      </c>
      <c r="X130" s="107">
        <v>0.0</v>
      </c>
      <c r="Y130" s="107">
        <v>0.0</v>
      </c>
      <c r="Z130" s="80">
        <v>0.0</v>
      </c>
      <c r="AA130" s="140">
        <v>0.0</v>
      </c>
      <c r="AB130" s="109">
        <v>0.0</v>
      </c>
      <c r="AC130" s="109">
        <v>0.0</v>
      </c>
      <c r="AD130" s="141">
        <v>0.0</v>
      </c>
      <c r="AE130" s="80">
        <v>0.0</v>
      </c>
      <c r="AF130" s="140">
        <v>0.0</v>
      </c>
      <c r="AG130" s="109">
        <v>19.0</v>
      </c>
      <c r="AH130" s="109">
        <v>0.0</v>
      </c>
      <c r="AI130" s="141">
        <v>0.0</v>
      </c>
      <c r="AJ130" s="80">
        <v>19.0</v>
      </c>
      <c r="AK130" s="140">
        <v>0.0</v>
      </c>
      <c r="AL130" s="109">
        <v>0.0</v>
      </c>
      <c r="AM130" s="141">
        <v>0.0</v>
      </c>
      <c r="AN130" s="80">
        <v>0.0</v>
      </c>
      <c r="AO130" s="140">
        <v>0.0</v>
      </c>
      <c r="AP130" s="109">
        <v>0.0</v>
      </c>
      <c r="AQ130" s="109">
        <v>0.0</v>
      </c>
      <c r="AR130" s="80">
        <v>0.0</v>
      </c>
      <c r="AS130" s="110">
        <v>0.0</v>
      </c>
      <c r="AT130" s="110">
        <v>0.0</v>
      </c>
      <c r="AU130" s="110">
        <v>0.0</v>
      </c>
      <c r="AV130" s="142">
        <v>0.0</v>
      </c>
      <c r="AW130" s="80">
        <v>0.0</v>
      </c>
      <c r="AX130" s="113">
        <v>19.0</v>
      </c>
      <c r="AY130" s="117">
        <v>19.0</v>
      </c>
      <c r="AZ130" s="328">
        <v>0.0</v>
      </c>
      <c r="BA130" s="315">
        <v>0.0</v>
      </c>
      <c r="BB130" s="316">
        <v>19.0</v>
      </c>
      <c r="BC130" s="132" t="s">
        <v>178</v>
      </c>
      <c r="BD130" s="143" t="s">
        <v>227</v>
      </c>
      <c r="BE130" s="132" t="s">
        <v>178</v>
      </c>
      <c r="BF130" s="123"/>
      <c r="BG130" s="83">
        <v>1178837.0</v>
      </c>
      <c r="BH130" s="112">
        <v>3.0</v>
      </c>
      <c r="BI130" s="98" t="s">
        <v>155</v>
      </c>
      <c r="BJ130" s="98" t="str">
        <f t="shared" si="1"/>
        <v>NÃO</v>
      </c>
      <c r="BK130" s="98" t="str">
        <f t="shared" si="2"/>
        <v>NÃO</v>
      </c>
    </row>
    <row r="131" ht="15.75" customHeight="1">
      <c r="A131" s="111" t="s">
        <v>205</v>
      </c>
      <c r="B131" s="98" t="s">
        <v>644</v>
      </c>
      <c r="C131" s="83" t="s">
        <v>164</v>
      </c>
      <c r="D131" s="83">
        <v>1179431.0</v>
      </c>
      <c r="E131" s="83">
        <v>1179167.0</v>
      </c>
      <c r="F131" s="83"/>
      <c r="G131" s="114" t="s">
        <v>2464</v>
      </c>
      <c r="H131" s="91" t="s">
        <v>3505</v>
      </c>
      <c r="I131" s="114" t="s">
        <v>149</v>
      </c>
      <c r="J131" s="83" t="s">
        <v>1347</v>
      </c>
      <c r="K131" s="83" t="s">
        <v>168</v>
      </c>
      <c r="L131" s="83" t="s">
        <v>169</v>
      </c>
      <c r="M131" s="82" t="s">
        <v>3052</v>
      </c>
      <c r="N131" s="82" t="s">
        <v>3054</v>
      </c>
      <c r="O131" s="82" t="s">
        <v>3056</v>
      </c>
      <c r="P131" s="82" t="s">
        <v>3058</v>
      </c>
      <c r="Q131" s="82"/>
      <c r="R131" s="82"/>
      <c r="S131" s="82" t="s">
        <v>3059</v>
      </c>
      <c r="T131" s="138">
        <v>3.0</v>
      </c>
      <c r="U131" s="323">
        <v>3.0</v>
      </c>
      <c r="V131" s="106">
        <v>0.0</v>
      </c>
      <c r="W131" s="107">
        <v>0.0</v>
      </c>
      <c r="X131" s="107">
        <v>0.0</v>
      </c>
      <c r="Y131" s="107">
        <v>0.0</v>
      </c>
      <c r="Z131" s="80">
        <v>0.0</v>
      </c>
      <c r="AA131" s="140">
        <v>0.0</v>
      </c>
      <c r="AB131" s="109">
        <v>0.0</v>
      </c>
      <c r="AC131" s="109">
        <v>0.0</v>
      </c>
      <c r="AD131" s="141">
        <v>0.0</v>
      </c>
      <c r="AE131" s="80">
        <v>0.0</v>
      </c>
      <c r="AF131" s="140">
        <v>0.0</v>
      </c>
      <c r="AG131" s="109">
        <v>0.0</v>
      </c>
      <c r="AH131" s="109">
        <v>2.0</v>
      </c>
      <c r="AI131" s="141">
        <v>0.0</v>
      </c>
      <c r="AJ131" s="80">
        <v>2.0</v>
      </c>
      <c r="AK131" s="140">
        <v>0.0</v>
      </c>
      <c r="AL131" s="109">
        <v>0.0</v>
      </c>
      <c r="AM131" s="141">
        <v>0.0</v>
      </c>
      <c r="AN131" s="80">
        <v>0.0</v>
      </c>
      <c r="AO131" s="140">
        <v>0.0</v>
      </c>
      <c r="AP131" s="109">
        <v>0.0</v>
      </c>
      <c r="AQ131" s="109">
        <v>0.0</v>
      </c>
      <c r="AR131" s="80">
        <v>0.0</v>
      </c>
      <c r="AS131" s="110">
        <v>0.0</v>
      </c>
      <c r="AT131" s="110">
        <v>0.0</v>
      </c>
      <c r="AU131" s="110">
        <v>0.0</v>
      </c>
      <c r="AV131" s="142">
        <v>0.0</v>
      </c>
      <c r="AW131" s="80">
        <v>0.0</v>
      </c>
      <c r="AX131" s="113">
        <v>2.0</v>
      </c>
      <c r="AY131" s="117">
        <v>0.0</v>
      </c>
      <c r="AZ131" s="328">
        <v>2.0</v>
      </c>
      <c r="BA131" s="315">
        <v>0.0</v>
      </c>
      <c r="BB131" s="316">
        <v>2.0</v>
      </c>
      <c r="BC131" s="132" t="s">
        <v>1294</v>
      </c>
      <c r="BD131" s="132" t="s">
        <v>227</v>
      </c>
      <c r="BE131" s="132" t="s">
        <v>178</v>
      </c>
      <c r="BF131" s="123"/>
      <c r="BG131" s="83">
        <v>1179167.0</v>
      </c>
      <c r="BH131" s="112">
        <v>3.0</v>
      </c>
      <c r="BI131" s="98" t="s">
        <v>155</v>
      </c>
      <c r="BJ131" s="98" t="str">
        <f t="shared" si="1"/>
        <v>NÃO</v>
      </c>
      <c r="BK131" s="98" t="str">
        <f t="shared" si="2"/>
        <v>NÃO</v>
      </c>
    </row>
    <row r="132" ht="15.75" customHeight="1">
      <c r="A132" s="111" t="s">
        <v>205</v>
      </c>
      <c r="B132" s="83" t="s">
        <v>665</v>
      </c>
      <c r="C132" s="83" t="s">
        <v>68</v>
      </c>
      <c r="D132" s="83">
        <v>1127855.0</v>
      </c>
      <c r="E132" s="83"/>
      <c r="F132" s="83">
        <v>2.9210399E7</v>
      </c>
      <c r="G132" s="114" t="s">
        <v>3506</v>
      </c>
      <c r="H132" s="91" t="s">
        <v>667</v>
      </c>
      <c r="I132" s="187" t="s">
        <v>149</v>
      </c>
      <c r="J132" s="136" t="s">
        <v>150</v>
      </c>
      <c r="K132" s="136" t="s">
        <v>151</v>
      </c>
      <c r="L132" s="83" t="s">
        <v>76</v>
      </c>
      <c r="M132" s="82" t="s">
        <v>3508</v>
      </c>
      <c r="N132" s="82" t="s">
        <v>3509</v>
      </c>
      <c r="O132" s="82"/>
      <c r="P132" s="82"/>
      <c r="Q132" s="82"/>
      <c r="R132" s="82"/>
      <c r="S132" s="82" t="s">
        <v>3510</v>
      </c>
      <c r="T132" s="138">
        <v>8.0</v>
      </c>
      <c r="U132" s="344" t="s">
        <v>3511</v>
      </c>
      <c r="V132" s="106">
        <v>0.0</v>
      </c>
      <c r="W132" s="107">
        <v>0.0</v>
      </c>
      <c r="X132" s="107">
        <v>0.0</v>
      </c>
      <c r="Y132" s="107">
        <v>0.0</v>
      </c>
      <c r="Z132" s="80">
        <v>0.0</v>
      </c>
      <c r="AA132" s="140">
        <v>0.0</v>
      </c>
      <c r="AB132" s="109">
        <v>0.0</v>
      </c>
      <c r="AC132" s="109">
        <v>0.0</v>
      </c>
      <c r="AD132" s="141">
        <v>0.0</v>
      </c>
      <c r="AE132" s="80">
        <v>0.0</v>
      </c>
      <c r="AF132" s="140">
        <v>205.0</v>
      </c>
      <c r="AG132" s="109">
        <v>208.0</v>
      </c>
      <c r="AH132" s="109">
        <v>38.0</v>
      </c>
      <c r="AI132" s="141">
        <v>74.0</v>
      </c>
      <c r="AJ132" s="80">
        <v>525.0</v>
      </c>
      <c r="AK132" s="140">
        <v>0.0</v>
      </c>
      <c r="AL132" s="109">
        <v>0.0</v>
      </c>
      <c r="AM132" s="141">
        <v>0.0</v>
      </c>
      <c r="AN132" s="80">
        <v>0.0</v>
      </c>
      <c r="AO132" s="140">
        <v>0.0</v>
      </c>
      <c r="AP132" s="109">
        <v>0.0</v>
      </c>
      <c r="AQ132" s="109">
        <v>78.0</v>
      </c>
      <c r="AR132" s="80">
        <v>78.0</v>
      </c>
      <c r="AS132" s="110">
        <v>0.0</v>
      </c>
      <c r="AT132" s="110">
        <v>0.0</v>
      </c>
      <c r="AU132" s="110">
        <v>0.0</v>
      </c>
      <c r="AV132" s="142">
        <v>0.0</v>
      </c>
      <c r="AW132" s="80">
        <v>0.0</v>
      </c>
      <c r="AX132" s="113">
        <v>603.0</v>
      </c>
      <c r="AY132" s="117">
        <v>487.0</v>
      </c>
      <c r="AZ132" s="328">
        <v>116.0</v>
      </c>
      <c r="BA132" s="315">
        <v>0.0</v>
      </c>
      <c r="BB132" s="316">
        <v>603.0</v>
      </c>
      <c r="BC132" s="132" t="s">
        <v>178</v>
      </c>
      <c r="BD132" s="132" t="s">
        <v>178</v>
      </c>
      <c r="BE132" s="132" t="s">
        <v>178</v>
      </c>
      <c r="BF132" s="123"/>
      <c r="BG132" s="83">
        <v>1127855.0</v>
      </c>
      <c r="BH132" s="112">
        <v>7.0</v>
      </c>
      <c r="BI132" s="98" t="s">
        <v>155</v>
      </c>
      <c r="BJ132" s="98" t="str">
        <f t="shared" si="1"/>
        <v>INTEGRAL</v>
      </c>
      <c r="BK132" s="98" t="str">
        <f t="shared" si="2"/>
        <v>NÃO</v>
      </c>
    </row>
    <row r="133" ht="15.75" customHeight="1">
      <c r="A133" s="111" t="s">
        <v>205</v>
      </c>
      <c r="B133" s="83" t="s">
        <v>665</v>
      </c>
      <c r="C133" s="83" t="s">
        <v>164</v>
      </c>
      <c r="D133" s="83">
        <v>1179431.0</v>
      </c>
      <c r="E133" s="83">
        <v>1178839.0</v>
      </c>
      <c r="F133" s="83"/>
      <c r="G133" s="185" t="s">
        <v>3516</v>
      </c>
      <c r="H133" s="91" t="s">
        <v>671</v>
      </c>
      <c r="I133" s="114" t="s">
        <v>149</v>
      </c>
      <c r="J133" s="83" t="s">
        <v>672</v>
      </c>
      <c r="K133" s="83" t="s">
        <v>168</v>
      </c>
      <c r="L133" s="83" t="s">
        <v>169</v>
      </c>
      <c r="M133" s="82" t="s">
        <v>3052</v>
      </c>
      <c r="N133" s="82" t="s">
        <v>3054</v>
      </c>
      <c r="O133" s="82" t="s">
        <v>3056</v>
      </c>
      <c r="P133" s="82" t="s">
        <v>3058</v>
      </c>
      <c r="Q133" s="82"/>
      <c r="R133" s="82"/>
      <c r="S133" s="82" t="s">
        <v>3059</v>
      </c>
      <c r="T133" s="138">
        <v>3.0</v>
      </c>
      <c r="U133" s="323">
        <v>3.0</v>
      </c>
      <c r="V133" s="106">
        <v>0.0</v>
      </c>
      <c r="W133" s="107">
        <v>0.0</v>
      </c>
      <c r="X133" s="107">
        <v>0.0</v>
      </c>
      <c r="Y133" s="107">
        <v>0.0</v>
      </c>
      <c r="Z133" s="80">
        <v>0.0</v>
      </c>
      <c r="AA133" s="140">
        <v>0.0</v>
      </c>
      <c r="AB133" s="109">
        <v>0.0</v>
      </c>
      <c r="AC133" s="109">
        <v>0.0</v>
      </c>
      <c r="AD133" s="141">
        <v>0.0</v>
      </c>
      <c r="AE133" s="80">
        <v>0.0</v>
      </c>
      <c r="AF133" s="140">
        <v>0.0</v>
      </c>
      <c r="AG133" s="109">
        <v>0.0</v>
      </c>
      <c r="AH133" s="109">
        <v>53.0</v>
      </c>
      <c r="AI133" s="141">
        <v>0.0</v>
      </c>
      <c r="AJ133" s="80">
        <v>53.0</v>
      </c>
      <c r="AK133" s="140">
        <v>0.0</v>
      </c>
      <c r="AL133" s="109">
        <v>0.0</v>
      </c>
      <c r="AM133" s="141">
        <v>0.0</v>
      </c>
      <c r="AN133" s="80">
        <v>0.0</v>
      </c>
      <c r="AO133" s="140">
        <v>0.0</v>
      </c>
      <c r="AP133" s="109">
        <v>0.0</v>
      </c>
      <c r="AQ133" s="109">
        <v>0.0</v>
      </c>
      <c r="AR133" s="80">
        <v>0.0</v>
      </c>
      <c r="AS133" s="110">
        <v>0.0</v>
      </c>
      <c r="AT133" s="110">
        <v>0.0</v>
      </c>
      <c r="AU133" s="110">
        <v>0.0</v>
      </c>
      <c r="AV133" s="142">
        <v>0.0</v>
      </c>
      <c r="AW133" s="80">
        <v>0.0</v>
      </c>
      <c r="AX133" s="113">
        <v>53.0</v>
      </c>
      <c r="AY133" s="117">
        <v>0.0</v>
      </c>
      <c r="AZ133" s="328">
        <v>53.0</v>
      </c>
      <c r="BA133" s="315">
        <v>0.0</v>
      </c>
      <c r="BB133" s="316">
        <v>53.0</v>
      </c>
      <c r="BC133" s="132" t="s">
        <v>178</v>
      </c>
      <c r="BD133" s="143" t="s">
        <v>227</v>
      </c>
      <c r="BE133" s="132" t="s">
        <v>178</v>
      </c>
      <c r="BF133" s="123"/>
      <c r="BG133" s="83">
        <v>1178839.0</v>
      </c>
      <c r="BH133" s="112">
        <v>3.0</v>
      </c>
      <c r="BI133" s="98" t="s">
        <v>155</v>
      </c>
      <c r="BJ133" s="98" t="str">
        <f t="shared" si="1"/>
        <v>NÃO</v>
      </c>
      <c r="BK133" s="98" t="str">
        <f t="shared" si="2"/>
        <v>NÃO</v>
      </c>
    </row>
    <row r="134" ht="15.75" customHeight="1">
      <c r="A134" s="111" t="s">
        <v>205</v>
      </c>
      <c r="B134" s="83" t="s">
        <v>665</v>
      </c>
      <c r="C134" s="83" t="s">
        <v>164</v>
      </c>
      <c r="D134" s="83">
        <v>1179431.0</v>
      </c>
      <c r="E134" s="83">
        <v>1178840.0</v>
      </c>
      <c r="F134" s="83"/>
      <c r="G134" s="185" t="s">
        <v>674</v>
      </c>
      <c r="H134" s="91" t="s">
        <v>675</v>
      </c>
      <c r="I134" s="114" t="s">
        <v>149</v>
      </c>
      <c r="J134" s="83" t="s">
        <v>252</v>
      </c>
      <c r="K134" s="83" t="s">
        <v>168</v>
      </c>
      <c r="L134" s="83" t="s">
        <v>169</v>
      </c>
      <c r="M134" s="82" t="s">
        <v>3052</v>
      </c>
      <c r="N134" s="82" t="s">
        <v>3054</v>
      </c>
      <c r="O134" s="82" t="s">
        <v>3056</v>
      </c>
      <c r="P134" s="82" t="s">
        <v>3058</v>
      </c>
      <c r="Q134" s="82"/>
      <c r="R134" s="82"/>
      <c r="S134" s="82" t="s">
        <v>3059</v>
      </c>
      <c r="T134" s="138">
        <v>3.0</v>
      </c>
      <c r="U134" s="323">
        <v>3.0</v>
      </c>
      <c r="V134" s="106">
        <v>0.0</v>
      </c>
      <c r="W134" s="107">
        <v>0.0</v>
      </c>
      <c r="X134" s="107">
        <v>0.0</v>
      </c>
      <c r="Y134" s="107">
        <v>0.0</v>
      </c>
      <c r="Z134" s="80">
        <v>0.0</v>
      </c>
      <c r="AA134" s="140">
        <v>0.0</v>
      </c>
      <c r="AB134" s="109">
        <v>0.0</v>
      </c>
      <c r="AC134" s="109">
        <v>0.0</v>
      </c>
      <c r="AD134" s="141">
        <v>0.0</v>
      </c>
      <c r="AE134" s="80">
        <v>0.0</v>
      </c>
      <c r="AF134" s="140">
        <v>0.0</v>
      </c>
      <c r="AG134" s="109">
        <v>0.0</v>
      </c>
      <c r="AH134" s="109">
        <v>50.0</v>
      </c>
      <c r="AI134" s="141">
        <v>0.0</v>
      </c>
      <c r="AJ134" s="80">
        <v>50.0</v>
      </c>
      <c r="AK134" s="140">
        <v>0.0</v>
      </c>
      <c r="AL134" s="109">
        <v>0.0</v>
      </c>
      <c r="AM134" s="141">
        <v>0.0</v>
      </c>
      <c r="AN134" s="80">
        <v>0.0</v>
      </c>
      <c r="AO134" s="140">
        <v>0.0</v>
      </c>
      <c r="AP134" s="109">
        <v>0.0</v>
      </c>
      <c r="AQ134" s="109">
        <v>0.0</v>
      </c>
      <c r="AR134" s="80">
        <v>0.0</v>
      </c>
      <c r="AS134" s="110">
        <v>0.0</v>
      </c>
      <c r="AT134" s="110">
        <v>0.0</v>
      </c>
      <c r="AU134" s="110">
        <v>0.0</v>
      </c>
      <c r="AV134" s="142">
        <v>0.0</v>
      </c>
      <c r="AW134" s="80">
        <v>0.0</v>
      </c>
      <c r="AX134" s="113">
        <v>50.0</v>
      </c>
      <c r="AY134" s="117">
        <v>0.0</v>
      </c>
      <c r="AZ134" s="328">
        <v>50.0</v>
      </c>
      <c r="BA134" s="315">
        <v>0.0</v>
      </c>
      <c r="BB134" s="316">
        <v>50.0</v>
      </c>
      <c r="BC134" s="132" t="s">
        <v>178</v>
      </c>
      <c r="BD134" s="143" t="s">
        <v>227</v>
      </c>
      <c r="BE134" s="132" t="s">
        <v>178</v>
      </c>
      <c r="BF134" s="123"/>
      <c r="BG134" s="83">
        <v>1178840.0</v>
      </c>
      <c r="BH134" s="112">
        <v>3.0</v>
      </c>
      <c r="BI134" s="98" t="s">
        <v>155</v>
      </c>
      <c r="BJ134" s="98" t="str">
        <f t="shared" si="1"/>
        <v>NÃO</v>
      </c>
      <c r="BK134" s="98" t="str">
        <f t="shared" si="2"/>
        <v>NÃO</v>
      </c>
    </row>
    <row r="135" ht="15.75" customHeight="1">
      <c r="A135" s="111" t="s">
        <v>205</v>
      </c>
      <c r="B135" s="83" t="s">
        <v>665</v>
      </c>
      <c r="C135" s="83" t="s">
        <v>164</v>
      </c>
      <c r="D135" s="83">
        <v>1179431.0</v>
      </c>
      <c r="E135" s="83">
        <v>1179341.0</v>
      </c>
      <c r="F135" s="83"/>
      <c r="G135" s="185" t="s">
        <v>2339</v>
      </c>
      <c r="H135" s="91" t="s">
        <v>3523</v>
      </c>
      <c r="I135" s="114" t="s">
        <v>149</v>
      </c>
      <c r="J135" s="83" t="s">
        <v>1347</v>
      </c>
      <c r="K135" s="83" t="s">
        <v>168</v>
      </c>
      <c r="L135" s="83" t="s">
        <v>169</v>
      </c>
      <c r="M135" s="82" t="s">
        <v>3052</v>
      </c>
      <c r="N135" s="82" t="s">
        <v>3054</v>
      </c>
      <c r="O135" s="82" t="s">
        <v>3056</v>
      </c>
      <c r="P135" s="82" t="s">
        <v>3058</v>
      </c>
      <c r="Q135" s="82"/>
      <c r="R135" s="82"/>
      <c r="S135" s="82" t="s">
        <v>3059</v>
      </c>
      <c r="T135" s="138">
        <v>1.0</v>
      </c>
      <c r="U135" s="323">
        <v>1.0</v>
      </c>
      <c r="V135" s="106">
        <v>0.0</v>
      </c>
      <c r="W135" s="107">
        <v>0.0</v>
      </c>
      <c r="X135" s="107">
        <v>0.0</v>
      </c>
      <c r="Y135" s="107">
        <v>0.0</v>
      </c>
      <c r="Z135" s="80">
        <v>0.0</v>
      </c>
      <c r="AA135" s="140">
        <v>0.0</v>
      </c>
      <c r="AB135" s="109">
        <v>0.0</v>
      </c>
      <c r="AC135" s="109">
        <v>0.0</v>
      </c>
      <c r="AD135" s="141">
        <v>0.0</v>
      </c>
      <c r="AE135" s="80">
        <v>0.0</v>
      </c>
      <c r="AF135" s="140">
        <v>9.0</v>
      </c>
      <c r="AG135" s="109">
        <v>0.0</v>
      </c>
      <c r="AH135" s="109">
        <v>0.0</v>
      </c>
      <c r="AI135" s="141">
        <v>0.0</v>
      </c>
      <c r="AJ135" s="80">
        <v>9.0</v>
      </c>
      <c r="AK135" s="140">
        <v>0.0</v>
      </c>
      <c r="AL135" s="109">
        <v>0.0</v>
      </c>
      <c r="AM135" s="141">
        <v>0.0</v>
      </c>
      <c r="AN135" s="80">
        <v>0.0</v>
      </c>
      <c r="AO135" s="140">
        <v>0.0</v>
      </c>
      <c r="AP135" s="109">
        <v>0.0</v>
      </c>
      <c r="AQ135" s="109">
        <v>0.0</v>
      </c>
      <c r="AR135" s="80">
        <v>0.0</v>
      </c>
      <c r="AS135" s="110">
        <v>0.0</v>
      </c>
      <c r="AT135" s="110">
        <v>0.0</v>
      </c>
      <c r="AU135" s="110">
        <v>0.0</v>
      </c>
      <c r="AV135" s="142">
        <v>0.0</v>
      </c>
      <c r="AW135" s="80">
        <v>0.0</v>
      </c>
      <c r="AX135" s="113">
        <v>9.0</v>
      </c>
      <c r="AY135" s="117">
        <v>9.0</v>
      </c>
      <c r="AZ135" s="328">
        <v>0.0</v>
      </c>
      <c r="BA135" s="315">
        <v>0.0</v>
      </c>
      <c r="BB135" s="316">
        <v>9.0</v>
      </c>
      <c r="BC135" s="132" t="s">
        <v>178</v>
      </c>
      <c r="BD135" s="143" t="s">
        <v>227</v>
      </c>
      <c r="BE135" s="132" t="s">
        <v>178</v>
      </c>
      <c r="BF135" s="156"/>
      <c r="BG135" s="83">
        <v>1179341.0</v>
      </c>
      <c r="BH135" s="112">
        <v>1.0</v>
      </c>
      <c r="BI135" s="98" t="s">
        <v>155</v>
      </c>
      <c r="BJ135" s="98" t="str">
        <f t="shared" si="1"/>
        <v>NÃO</v>
      </c>
      <c r="BK135" s="98" t="str">
        <f t="shared" si="2"/>
        <v>NÃO</v>
      </c>
    </row>
    <row r="136" ht="15.75" customHeight="1">
      <c r="A136" s="111" t="s">
        <v>205</v>
      </c>
      <c r="B136" s="83" t="s">
        <v>665</v>
      </c>
      <c r="C136" s="83" t="s">
        <v>164</v>
      </c>
      <c r="D136" s="83">
        <v>1179431.0</v>
      </c>
      <c r="E136" s="83">
        <v>1178841.0</v>
      </c>
      <c r="F136" s="83">
        <v>2.9461499E7</v>
      </c>
      <c r="G136" s="241" t="s">
        <v>676</v>
      </c>
      <c r="H136" s="91" t="s">
        <v>677</v>
      </c>
      <c r="I136" s="289" t="s">
        <v>171</v>
      </c>
      <c r="J136" s="115" t="s">
        <v>678</v>
      </c>
      <c r="K136" s="98" t="s">
        <v>168</v>
      </c>
      <c r="L136" s="98" t="s">
        <v>512</v>
      </c>
      <c r="M136" s="82" t="s">
        <v>3052</v>
      </c>
      <c r="N136" s="82" t="s">
        <v>3054</v>
      </c>
      <c r="O136" s="82" t="s">
        <v>3056</v>
      </c>
      <c r="P136" s="82" t="s">
        <v>3058</v>
      </c>
      <c r="Q136" s="82"/>
      <c r="R136" s="82"/>
      <c r="S136" s="82" t="s">
        <v>3059</v>
      </c>
      <c r="T136" s="138"/>
      <c r="U136" s="331">
        <v>2.0</v>
      </c>
      <c r="V136" s="106">
        <v>0.0</v>
      </c>
      <c r="W136" s="107">
        <v>0.0</v>
      </c>
      <c r="X136" s="107">
        <v>0.0</v>
      </c>
      <c r="Y136" s="107">
        <v>0.0</v>
      </c>
      <c r="Z136" s="80">
        <v>0.0</v>
      </c>
      <c r="AA136" s="140">
        <v>0.0</v>
      </c>
      <c r="AB136" s="109">
        <v>0.0</v>
      </c>
      <c r="AC136" s="109">
        <v>0.0</v>
      </c>
      <c r="AD136" s="141">
        <v>0.0</v>
      </c>
      <c r="AE136" s="80">
        <v>0.0</v>
      </c>
      <c r="AF136" s="140">
        <v>14.0</v>
      </c>
      <c r="AG136" s="109">
        <v>8.0</v>
      </c>
      <c r="AH136" s="109">
        <v>0.0</v>
      </c>
      <c r="AI136" s="141">
        <v>0.0</v>
      </c>
      <c r="AJ136" s="80">
        <v>22.0</v>
      </c>
      <c r="AK136" s="140">
        <v>0.0</v>
      </c>
      <c r="AL136" s="109">
        <v>0.0</v>
      </c>
      <c r="AM136" s="141">
        <v>0.0</v>
      </c>
      <c r="AN136" s="80">
        <v>0.0</v>
      </c>
      <c r="AO136" s="140">
        <v>0.0</v>
      </c>
      <c r="AP136" s="109">
        <v>0.0</v>
      </c>
      <c r="AQ136" s="109">
        <v>0.0</v>
      </c>
      <c r="AR136" s="80">
        <v>0.0</v>
      </c>
      <c r="AS136" s="110">
        <v>0.0</v>
      </c>
      <c r="AT136" s="110">
        <v>0.0</v>
      </c>
      <c r="AU136" s="110">
        <v>0.0</v>
      </c>
      <c r="AV136" s="142">
        <v>0.0</v>
      </c>
      <c r="AW136" s="80">
        <v>0.0</v>
      </c>
      <c r="AX136" s="113">
        <v>22.0</v>
      </c>
      <c r="AY136" s="117">
        <v>22.0</v>
      </c>
      <c r="AZ136" s="328">
        <v>0.0</v>
      </c>
      <c r="BA136" s="315">
        <v>0.0</v>
      </c>
      <c r="BB136" s="316">
        <v>22.0</v>
      </c>
      <c r="BC136" s="132" t="s">
        <v>178</v>
      </c>
      <c r="BD136" s="143" t="s">
        <v>227</v>
      </c>
      <c r="BE136" s="132" t="s">
        <v>178</v>
      </c>
      <c r="BF136" s="156"/>
      <c r="BG136" s="83">
        <v>1178841.0</v>
      </c>
      <c r="BH136" s="112">
        <v>2.0</v>
      </c>
      <c r="BI136" s="98" t="s">
        <v>155</v>
      </c>
      <c r="BJ136" s="98" t="str">
        <f t="shared" si="1"/>
        <v>NÃO</v>
      </c>
      <c r="BK136" s="98" t="str">
        <f t="shared" si="2"/>
        <v>NÃO</v>
      </c>
    </row>
    <row r="137" ht="15.75" customHeight="1">
      <c r="A137" s="111" t="s">
        <v>205</v>
      </c>
      <c r="B137" s="83" t="s">
        <v>665</v>
      </c>
      <c r="C137" s="83" t="s">
        <v>164</v>
      </c>
      <c r="D137" s="83">
        <v>1179431.0</v>
      </c>
      <c r="E137" s="83">
        <v>1179318.0</v>
      </c>
      <c r="F137" s="83"/>
      <c r="G137" s="185" t="s">
        <v>679</v>
      </c>
      <c r="H137" s="91" t="s">
        <v>680</v>
      </c>
      <c r="I137" s="114" t="s">
        <v>149</v>
      </c>
      <c r="J137" s="83" t="s">
        <v>641</v>
      </c>
      <c r="K137" s="83" t="s">
        <v>168</v>
      </c>
      <c r="L137" s="83" t="s">
        <v>169</v>
      </c>
      <c r="M137" s="82" t="s">
        <v>3052</v>
      </c>
      <c r="N137" s="82" t="s">
        <v>3054</v>
      </c>
      <c r="O137" s="82" t="s">
        <v>3056</v>
      </c>
      <c r="P137" s="82" t="s">
        <v>3058</v>
      </c>
      <c r="Q137" s="82"/>
      <c r="R137" s="82"/>
      <c r="S137" s="82" t="s">
        <v>3059</v>
      </c>
      <c r="T137" s="138">
        <v>2.0</v>
      </c>
      <c r="U137" s="331">
        <v>2.0</v>
      </c>
      <c r="V137" s="106">
        <v>0.0</v>
      </c>
      <c r="W137" s="107">
        <v>0.0</v>
      </c>
      <c r="X137" s="107">
        <v>0.0</v>
      </c>
      <c r="Y137" s="107">
        <v>0.0</v>
      </c>
      <c r="Z137" s="80">
        <v>0.0</v>
      </c>
      <c r="AA137" s="140">
        <v>0.0</v>
      </c>
      <c r="AB137" s="109">
        <v>0.0</v>
      </c>
      <c r="AC137" s="109">
        <v>0.0</v>
      </c>
      <c r="AD137" s="141">
        <v>0.0</v>
      </c>
      <c r="AE137" s="80">
        <v>0.0</v>
      </c>
      <c r="AF137" s="140">
        <v>0.0</v>
      </c>
      <c r="AG137" s="109">
        <v>26.0</v>
      </c>
      <c r="AH137" s="109">
        <v>8.0</v>
      </c>
      <c r="AI137" s="141">
        <v>0.0</v>
      </c>
      <c r="AJ137" s="80">
        <v>34.0</v>
      </c>
      <c r="AK137" s="140">
        <v>0.0</v>
      </c>
      <c r="AL137" s="109">
        <v>0.0</v>
      </c>
      <c r="AM137" s="141">
        <v>0.0</v>
      </c>
      <c r="AN137" s="80">
        <v>0.0</v>
      </c>
      <c r="AO137" s="140">
        <v>0.0</v>
      </c>
      <c r="AP137" s="109">
        <v>0.0</v>
      </c>
      <c r="AQ137" s="109">
        <v>0.0</v>
      </c>
      <c r="AR137" s="80">
        <v>0.0</v>
      </c>
      <c r="AS137" s="110">
        <v>0.0</v>
      </c>
      <c r="AT137" s="110">
        <v>0.0</v>
      </c>
      <c r="AU137" s="110">
        <v>0.0</v>
      </c>
      <c r="AV137" s="142">
        <v>0.0</v>
      </c>
      <c r="AW137" s="80">
        <v>0.0</v>
      </c>
      <c r="AX137" s="113">
        <v>34.0</v>
      </c>
      <c r="AY137" s="117">
        <v>26.0</v>
      </c>
      <c r="AZ137" s="328">
        <v>8.0</v>
      </c>
      <c r="BA137" s="315">
        <v>0.0</v>
      </c>
      <c r="BB137" s="316">
        <v>34.0</v>
      </c>
      <c r="BC137" s="132" t="s">
        <v>178</v>
      </c>
      <c r="BD137" s="143" t="s">
        <v>227</v>
      </c>
      <c r="BE137" s="132" t="s">
        <v>178</v>
      </c>
      <c r="BF137" s="156"/>
      <c r="BG137" s="83">
        <v>1179318.0</v>
      </c>
      <c r="BH137" s="112">
        <v>2.0</v>
      </c>
      <c r="BI137" s="98" t="s">
        <v>155</v>
      </c>
      <c r="BJ137" s="98" t="str">
        <f t="shared" si="1"/>
        <v>NÃO</v>
      </c>
      <c r="BK137" s="98" t="str">
        <f t="shared" si="2"/>
        <v>NÃO</v>
      </c>
    </row>
    <row r="138" ht="15.75" customHeight="1">
      <c r="A138" s="111" t="s">
        <v>205</v>
      </c>
      <c r="B138" s="83" t="s">
        <v>681</v>
      </c>
      <c r="C138" s="83" t="s">
        <v>68</v>
      </c>
      <c r="D138" s="83">
        <v>1131356.0</v>
      </c>
      <c r="E138" s="83"/>
      <c r="F138" s="83">
        <v>2.9045479E7</v>
      </c>
      <c r="G138" s="187" t="s">
        <v>2153</v>
      </c>
      <c r="H138" s="91" t="s">
        <v>3531</v>
      </c>
      <c r="I138" s="187" t="s">
        <v>149</v>
      </c>
      <c r="J138" s="136" t="s">
        <v>150</v>
      </c>
      <c r="K138" s="136" t="s">
        <v>151</v>
      </c>
      <c r="L138" s="83" t="s">
        <v>169</v>
      </c>
      <c r="M138" s="82" t="s">
        <v>3532</v>
      </c>
      <c r="N138" s="82" t="s">
        <v>3533</v>
      </c>
      <c r="O138" s="82" t="s">
        <v>3534</v>
      </c>
      <c r="P138" s="82" t="s">
        <v>3535</v>
      </c>
      <c r="Q138" s="82"/>
      <c r="R138" s="82"/>
      <c r="S138" s="82" t="s">
        <v>3536</v>
      </c>
      <c r="T138" s="138">
        <v>6.0</v>
      </c>
      <c r="U138" s="339" t="s">
        <v>3537</v>
      </c>
      <c r="V138" s="106">
        <v>0.0</v>
      </c>
      <c r="W138" s="107">
        <v>0.0</v>
      </c>
      <c r="X138" s="107">
        <v>0.0</v>
      </c>
      <c r="Y138" s="107">
        <v>0.0</v>
      </c>
      <c r="Z138" s="80">
        <v>0.0</v>
      </c>
      <c r="AA138" s="140">
        <v>0.0</v>
      </c>
      <c r="AB138" s="109">
        <v>0.0</v>
      </c>
      <c r="AC138" s="109">
        <v>0.0</v>
      </c>
      <c r="AD138" s="141">
        <v>0.0</v>
      </c>
      <c r="AE138" s="80">
        <v>0.0</v>
      </c>
      <c r="AF138" s="140">
        <v>0.0</v>
      </c>
      <c r="AG138" s="109">
        <v>0.0</v>
      </c>
      <c r="AH138" s="109">
        <v>0.0</v>
      </c>
      <c r="AI138" s="141">
        <v>69.0</v>
      </c>
      <c r="AJ138" s="80">
        <v>69.0</v>
      </c>
      <c r="AK138" s="140">
        <v>0.0</v>
      </c>
      <c r="AL138" s="109">
        <v>0.0</v>
      </c>
      <c r="AM138" s="141">
        <v>0.0</v>
      </c>
      <c r="AN138" s="80">
        <v>0.0</v>
      </c>
      <c r="AO138" s="140">
        <v>0.0</v>
      </c>
      <c r="AP138" s="109">
        <v>0.0</v>
      </c>
      <c r="AQ138" s="109">
        <v>0.0</v>
      </c>
      <c r="AR138" s="80">
        <v>0.0</v>
      </c>
      <c r="AS138" s="110">
        <v>0.0</v>
      </c>
      <c r="AT138" s="110">
        <v>0.0</v>
      </c>
      <c r="AU138" s="110">
        <v>0.0</v>
      </c>
      <c r="AV138" s="142">
        <v>0.0</v>
      </c>
      <c r="AW138" s="80">
        <v>0.0</v>
      </c>
      <c r="AX138" s="113">
        <v>69.0</v>
      </c>
      <c r="AY138" s="117">
        <v>69.0</v>
      </c>
      <c r="AZ138" s="328">
        <v>0.0</v>
      </c>
      <c r="BA138" s="315">
        <v>0.0</v>
      </c>
      <c r="BB138" s="316">
        <v>69.0</v>
      </c>
      <c r="BC138" s="132" t="s">
        <v>178</v>
      </c>
      <c r="BD138" s="132" t="s">
        <v>178</v>
      </c>
      <c r="BE138" s="132" t="s">
        <v>178</v>
      </c>
      <c r="BF138" s="123"/>
      <c r="BG138" s="83">
        <v>1131356.0</v>
      </c>
      <c r="BH138" s="112">
        <v>5.0</v>
      </c>
      <c r="BI138" s="98" t="s">
        <v>155</v>
      </c>
      <c r="BJ138" s="98" t="str">
        <f t="shared" si="1"/>
        <v>INTEGRAL</v>
      </c>
      <c r="BK138" s="98" t="str">
        <f t="shared" si="2"/>
        <v>NÃO</v>
      </c>
    </row>
    <row r="139" ht="15.75" customHeight="1">
      <c r="A139" s="111" t="s">
        <v>205</v>
      </c>
      <c r="B139" s="83" t="s">
        <v>681</v>
      </c>
      <c r="C139" s="83" t="s">
        <v>68</v>
      </c>
      <c r="D139" s="83">
        <v>1178009.0</v>
      </c>
      <c r="E139" s="83"/>
      <c r="F139" s="189">
        <v>2.9425395E7</v>
      </c>
      <c r="G139" s="187" t="s">
        <v>3542</v>
      </c>
      <c r="H139" s="91" t="s">
        <v>3543</v>
      </c>
      <c r="I139" s="187" t="s">
        <v>149</v>
      </c>
      <c r="J139" s="136" t="s">
        <v>150</v>
      </c>
      <c r="K139" s="83" t="s">
        <v>151</v>
      </c>
      <c r="L139" s="83" t="s">
        <v>152</v>
      </c>
      <c r="M139" s="82" t="s">
        <v>3544</v>
      </c>
      <c r="N139" s="82" t="s">
        <v>3545</v>
      </c>
      <c r="O139" s="82" t="s">
        <v>3546</v>
      </c>
      <c r="P139" s="82" t="s">
        <v>3547</v>
      </c>
      <c r="Q139" s="82"/>
      <c r="R139" s="82"/>
      <c r="S139" s="82" t="s">
        <v>3548</v>
      </c>
      <c r="T139" s="138">
        <v>10.0</v>
      </c>
      <c r="U139" s="331">
        <v>10.0</v>
      </c>
      <c r="V139" s="106">
        <v>0.0</v>
      </c>
      <c r="W139" s="107">
        <v>0.0</v>
      </c>
      <c r="X139" s="107">
        <v>0.0</v>
      </c>
      <c r="Y139" s="107">
        <v>0.0</v>
      </c>
      <c r="Z139" s="80">
        <v>0.0</v>
      </c>
      <c r="AA139" s="140">
        <v>0.0</v>
      </c>
      <c r="AB139" s="109">
        <v>0.0</v>
      </c>
      <c r="AC139" s="109">
        <v>0.0</v>
      </c>
      <c r="AD139" s="141">
        <v>0.0</v>
      </c>
      <c r="AE139" s="80">
        <v>0.0</v>
      </c>
      <c r="AF139" s="140">
        <v>192.0</v>
      </c>
      <c r="AG139" s="109">
        <v>176.0</v>
      </c>
      <c r="AH139" s="109">
        <v>35.0</v>
      </c>
      <c r="AI139" s="141">
        <v>293.0</v>
      </c>
      <c r="AJ139" s="80">
        <v>696.0</v>
      </c>
      <c r="AK139" s="140">
        <v>0.0</v>
      </c>
      <c r="AL139" s="109">
        <v>0.0</v>
      </c>
      <c r="AM139" s="141">
        <v>0.0</v>
      </c>
      <c r="AN139" s="80">
        <v>0.0</v>
      </c>
      <c r="AO139" s="140">
        <v>0.0</v>
      </c>
      <c r="AP139" s="109">
        <v>0.0</v>
      </c>
      <c r="AQ139" s="109">
        <v>72.0</v>
      </c>
      <c r="AR139" s="80">
        <v>72.0</v>
      </c>
      <c r="AS139" s="110">
        <v>0.0</v>
      </c>
      <c r="AT139" s="110">
        <v>0.0</v>
      </c>
      <c r="AU139" s="110">
        <v>17.0</v>
      </c>
      <c r="AV139" s="142">
        <v>35.0</v>
      </c>
      <c r="AW139" s="80">
        <v>52.0</v>
      </c>
      <c r="AX139" s="113">
        <v>820.0</v>
      </c>
      <c r="AY139" s="117">
        <v>696.0</v>
      </c>
      <c r="AZ139" s="328">
        <v>124.0</v>
      </c>
      <c r="BA139" s="315">
        <v>0.0</v>
      </c>
      <c r="BB139" s="316">
        <v>820.0</v>
      </c>
      <c r="BC139" s="132" t="s">
        <v>178</v>
      </c>
      <c r="BD139" s="132" t="s">
        <v>178</v>
      </c>
      <c r="BE139" s="132" t="s">
        <v>178</v>
      </c>
      <c r="BF139" s="156"/>
      <c r="BG139" s="83">
        <v>1178009.0</v>
      </c>
      <c r="BH139" s="112">
        <v>10.0</v>
      </c>
      <c r="BI139" s="98" t="s">
        <v>155</v>
      </c>
      <c r="BJ139" s="98" t="str">
        <f t="shared" si="1"/>
        <v>INTEGRAL</v>
      </c>
      <c r="BK139" s="98" t="str">
        <f t="shared" si="2"/>
        <v>PROFISSIONAL</v>
      </c>
    </row>
    <row r="140" ht="15.75" customHeight="1">
      <c r="A140" s="111" t="s">
        <v>205</v>
      </c>
      <c r="B140" s="83" t="s">
        <v>681</v>
      </c>
      <c r="C140" s="83" t="s">
        <v>45</v>
      </c>
      <c r="D140" s="191">
        <v>2.948126E7</v>
      </c>
      <c r="E140" s="191"/>
      <c r="F140" s="83"/>
      <c r="G140" s="243" t="s">
        <v>688</v>
      </c>
      <c r="H140" s="91" t="s">
        <v>689</v>
      </c>
      <c r="I140" s="147" t="s">
        <v>576</v>
      </c>
      <c r="J140" s="115" t="s">
        <v>150</v>
      </c>
      <c r="K140" s="136" t="s">
        <v>690</v>
      </c>
      <c r="L140" s="83" t="s">
        <v>169</v>
      </c>
      <c r="M140" s="82" t="s">
        <v>3554</v>
      </c>
      <c r="N140" s="82" t="s">
        <v>3555</v>
      </c>
      <c r="O140" s="82"/>
      <c r="P140" s="82"/>
      <c r="Q140" s="82"/>
      <c r="R140" s="82"/>
      <c r="S140" s="82"/>
      <c r="T140" s="138">
        <v>4.0</v>
      </c>
      <c r="U140" s="364" t="s">
        <v>171</v>
      </c>
      <c r="V140" s="106">
        <v>0.0</v>
      </c>
      <c r="W140" s="107">
        <v>0.0</v>
      </c>
      <c r="X140" s="107">
        <v>0.0</v>
      </c>
      <c r="Y140" s="107">
        <v>0.0</v>
      </c>
      <c r="Z140" s="80">
        <v>0.0</v>
      </c>
      <c r="AA140" s="140">
        <v>0.0</v>
      </c>
      <c r="AB140" s="109">
        <v>0.0</v>
      </c>
      <c r="AC140" s="109">
        <v>0.0</v>
      </c>
      <c r="AD140" s="141">
        <v>0.0</v>
      </c>
      <c r="AE140" s="80">
        <v>0.0</v>
      </c>
      <c r="AF140" s="246">
        <v>0.0</v>
      </c>
      <c r="AG140" s="246">
        <v>0.0</v>
      </c>
      <c r="AH140" s="246">
        <v>0.0</v>
      </c>
      <c r="AI140" s="247">
        <v>28.0</v>
      </c>
      <c r="AJ140" s="80">
        <v>28.0</v>
      </c>
      <c r="AK140" s="140">
        <v>0.0</v>
      </c>
      <c r="AL140" s="109">
        <v>0.0</v>
      </c>
      <c r="AM140" s="141">
        <v>0.0</v>
      </c>
      <c r="AN140" s="80">
        <v>0.0</v>
      </c>
      <c r="AO140" s="246">
        <v>0.0</v>
      </c>
      <c r="AP140" s="246">
        <v>0.0</v>
      </c>
      <c r="AQ140" s="247">
        <v>0.0</v>
      </c>
      <c r="AR140" s="80">
        <v>0.0</v>
      </c>
      <c r="AS140" s="110">
        <v>0.0</v>
      </c>
      <c r="AT140" s="110">
        <v>0.0</v>
      </c>
      <c r="AU140" s="110">
        <v>0.0</v>
      </c>
      <c r="AV140" s="142">
        <v>0.0</v>
      </c>
      <c r="AW140" s="80">
        <v>0.0</v>
      </c>
      <c r="AX140" s="113">
        <v>28.0</v>
      </c>
      <c r="AY140" s="117">
        <v>28.0</v>
      </c>
      <c r="AZ140" s="328">
        <v>0.0</v>
      </c>
      <c r="BA140" s="315">
        <v>0.0</v>
      </c>
      <c r="BB140" s="316">
        <v>28.0</v>
      </c>
      <c r="BC140" s="143" t="s">
        <v>54</v>
      </c>
      <c r="BD140" s="132" t="s">
        <v>178</v>
      </c>
      <c r="BE140" s="132" t="s">
        <v>178</v>
      </c>
      <c r="BF140" s="156"/>
      <c r="BG140" s="83">
        <v>2.948126E7</v>
      </c>
      <c r="BH140" s="112">
        <v>4.0</v>
      </c>
      <c r="BI140" s="98" t="s">
        <v>155</v>
      </c>
      <c r="BJ140" s="98" t="str">
        <f t="shared" si="1"/>
        <v>INTEGRAL</v>
      </c>
      <c r="BK140" s="98" t="str">
        <f t="shared" si="2"/>
        <v>NÃO</v>
      </c>
    </row>
    <row r="141" ht="15.75" customHeight="1">
      <c r="A141" s="111" t="s">
        <v>205</v>
      </c>
      <c r="B141" s="83" t="s">
        <v>681</v>
      </c>
      <c r="C141" s="83" t="s">
        <v>164</v>
      </c>
      <c r="D141" s="83">
        <v>1178009.0</v>
      </c>
      <c r="E141" s="83">
        <v>1179749.0</v>
      </c>
      <c r="F141" s="146"/>
      <c r="G141" s="187" t="s">
        <v>3559</v>
      </c>
      <c r="H141" s="108" t="s">
        <v>693</v>
      </c>
      <c r="I141" s="365"/>
      <c r="J141" s="136" t="s">
        <v>694</v>
      </c>
      <c r="K141" s="98" t="s">
        <v>168</v>
      </c>
      <c r="L141" s="83" t="s">
        <v>512</v>
      </c>
      <c r="M141" s="82" t="s">
        <v>3544</v>
      </c>
      <c r="N141" s="82" t="s">
        <v>3545</v>
      </c>
      <c r="O141" s="82" t="s">
        <v>3546</v>
      </c>
      <c r="P141" s="82" t="s">
        <v>3547</v>
      </c>
      <c r="Q141" s="82"/>
      <c r="R141" s="82"/>
      <c r="S141" s="82" t="s">
        <v>3548</v>
      </c>
      <c r="T141" s="138"/>
      <c r="U141" s="331">
        <v>4.0</v>
      </c>
      <c r="V141" s="106">
        <v>0.0</v>
      </c>
      <c r="W141" s="107">
        <v>0.0</v>
      </c>
      <c r="X141" s="107">
        <v>0.0</v>
      </c>
      <c r="Y141" s="107">
        <v>0.0</v>
      </c>
      <c r="Z141" s="80">
        <v>0.0</v>
      </c>
      <c r="AA141" s="140">
        <v>0.0</v>
      </c>
      <c r="AB141" s="109">
        <v>0.0</v>
      </c>
      <c r="AC141" s="109">
        <v>0.0</v>
      </c>
      <c r="AD141" s="141">
        <v>0.0</v>
      </c>
      <c r="AE141" s="80">
        <v>0.0</v>
      </c>
      <c r="AF141" s="140">
        <v>0.0</v>
      </c>
      <c r="AG141" s="109">
        <v>91.0</v>
      </c>
      <c r="AH141" s="109">
        <v>34.0</v>
      </c>
      <c r="AI141" s="141">
        <v>0.0</v>
      </c>
      <c r="AJ141" s="80">
        <v>125.0</v>
      </c>
      <c r="AK141" s="140">
        <v>0.0</v>
      </c>
      <c r="AL141" s="109">
        <v>0.0</v>
      </c>
      <c r="AM141" s="141">
        <v>0.0</v>
      </c>
      <c r="AN141" s="80">
        <v>0.0</v>
      </c>
      <c r="AO141" s="140">
        <v>0.0</v>
      </c>
      <c r="AP141" s="109">
        <v>0.0</v>
      </c>
      <c r="AQ141" s="109">
        <v>0.0</v>
      </c>
      <c r="AR141" s="80">
        <v>0.0</v>
      </c>
      <c r="AS141" s="110">
        <v>0.0</v>
      </c>
      <c r="AT141" s="110">
        <v>0.0</v>
      </c>
      <c r="AU141" s="110">
        <v>0.0</v>
      </c>
      <c r="AV141" s="142">
        <v>0.0</v>
      </c>
      <c r="AW141" s="80">
        <v>0.0</v>
      </c>
      <c r="AX141" s="113">
        <v>125.0</v>
      </c>
      <c r="AY141" s="117">
        <v>91.0</v>
      </c>
      <c r="AZ141" s="328">
        <v>34.0</v>
      </c>
      <c r="BA141" s="315">
        <v>0.0</v>
      </c>
      <c r="BB141" s="316">
        <v>125.0</v>
      </c>
      <c r="BC141" s="132" t="s">
        <v>178</v>
      </c>
      <c r="BD141" s="132" t="s">
        <v>178</v>
      </c>
      <c r="BE141" s="132" t="s">
        <v>178</v>
      </c>
      <c r="BF141" s="156"/>
      <c r="BG141" s="83">
        <v>1179749.0</v>
      </c>
      <c r="BH141" s="98">
        <v>4.0</v>
      </c>
      <c r="BI141" s="98" t="s">
        <v>155</v>
      </c>
      <c r="BJ141" s="98" t="str">
        <f t="shared" si="1"/>
        <v>NÃO</v>
      </c>
      <c r="BK141" s="98" t="str">
        <f t="shared" si="2"/>
        <v>NÃO</v>
      </c>
    </row>
    <row r="142" ht="15.75" customHeight="1">
      <c r="A142" s="111" t="s">
        <v>205</v>
      </c>
      <c r="B142" s="83" t="s">
        <v>681</v>
      </c>
      <c r="C142" s="83" t="s">
        <v>164</v>
      </c>
      <c r="D142" s="83">
        <v>1178009.0</v>
      </c>
      <c r="E142" s="83">
        <v>1179752.0</v>
      </c>
      <c r="F142" s="83"/>
      <c r="G142" s="187" t="s">
        <v>3563</v>
      </c>
      <c r="H142" s="108" t="s">
        <v>696</v>
      </c>
      <c r="I142" s="365"/>
      <c r="J142" s="136" t="s">
        <v>331</v>
      </c>
      <c r="K142" s="98" t="s">
        <v>168</v>
      </c>
      <c r="L142" s="83" t="s">
        <v>512</v>
      </c>
      <c r="M142" s="82" t="s">
        <v>3544</v>
      </c>
      <c r="N142" s="82" t="s">
        <v>3545</v>
      </c>
      <c r="O142" s="82" t="s">
        <v>3546</v>
      </c>
      <c r="P142" s="82" t="s">
        <v>3547</v>
      </c>
      <c r="Q142" s="82"/>
      <c r="R142" s="82"/>
      <c r="S142" s="82" t="s">
        <v>3548</v>
      </c>
      <c r="T142" s="138"/>
      <c r="U142" s="331">
        <v>4.0</v>
      </c>
      <c r="V142" s="106">
        <v>0.0</v>
      </c>
      <c r="W142" s="107">
        <v>0.0</v>
      </c>
      <c r="X142" s="107">
        <v>0.0</v>
      </c>
      <c r="Y142" s="107">
        <v>0.0</v>
      </c>
      <c r="Z142" s="80">
        <v>0.0</v>
      </c>
      <c r="AA142" s="140">
        <v>0.0</v>
      </c>
      <c r="AB142" s="109">
        <v>0.0</v>
      </c>
      <c r="AC142" s="109">
        <v>0.0</v>
      </c>
      <c r="AD142" s="141">
        <v>0.0</v>
      </c>
      <c r="AE142" s="80">
        <v>0.0</v>
      </c>
      <c r="AF142" s="140">
        <v>0.0</v>
      </c>
      <c r="AG142" s="109">
        <v>162.0</v>
      </c>
      <c r="AH142" s="109">
        <v>0.0</v>
      </c>
      <c r="AI142" s="141">
        <v>0.0</v>
      </c>
      <c r="AJ142" s="80">
        <v>162.0</v>
      </c>
      <c r="AK142" s="140">
        <v>0.0</v>
      </c>
      <c r="AL142" s="109">
        <v>0.0</v>
      </c>
      <c r="AM142" s="141">
        <v>0.0</v>
      </c>
      <c r="AN142" s="80">
        <v>0.0</v>
      </c>
      <c r="AO142" s="140">
        <v>0.0</v>
      </c>
      <c r="AP142" s="109">
        <v>0.0</v>
      </c>
      <c r="AQ142" s="109">
        <v>0.0</v>
      </c>
      <c r="AR142" s="80">
        <v>0.0</v>
      </c>
      <c r="AS142" s="110">
        <v>0.0</v>
      </c>
      <c r="AT142" s="110">
        <v>0.0</v>
      </c>
      <c r="AU142" s="110">
        <v>0.0</v>
      </c>
      <c r="AV142" s="142">
        <v>0.0</v>
      </c>
      <c r="AW142" s="80">
        <v>0.0</v>
      </c>
      <c r="AX142" s="113">
        <v>162.0</v>
      </c>
      <c r="AY142" s="117">
        <v>162.0</v>
      </c>
      <c r="AZ142" s="328">
        <v>0.0</v>
      </c>
      <c r="BA142" s="315">
        <v>0.0</v>
      </c>
      <c r="BB142" s="316">
        <v>162.0</v>
      </c>
      <c r="BC142" s="132" t="s">
        <v>178</v>
      </c>
      <c r="BD142" s="132" t="s">
        <v>178</v>
      </c>
      <c r="BE142" s="132" t="s">
        <v>178</v>
      </c>
      <c r="BF142" s="156"/>
      <c r="BG142" s="83">
        <v>1179752.0</v>
      </c>
      <c r="BH142" s="98">
        <v>4.0</v>
      </c>
      <c r="BI142" s="98" t="s">
        <v>155</v>
      </c>
      <c r="BJ142" s="98" t="str">
        <f t="shared" si="1"/>
        <v>NÃO</v>
      </c>
      <c r="BK142" s="98" t="str">
        <f t="shared" si="2"/>
        <v>NÃO</v>
      </c>
    </row>
    <row r="143" ht="15.75" customHeight="1">
      <c r="A143" s="111" t="s">
        <v>205</v>
      </c>
      <c r="B143" s="83" t="s">
        <v>681</v>
      </c>
      <c r="C143" s="83" t="s">
        <v>164</v>
      </c>
      <c r="D143" s="83">
        <v>1178009.0</v>
      </c>
      <c r="E143" s="83">
        <v>1179751.0</v>
      </c>
      <c r="F143" s="83"/>
      <c r="G143" s="187" t="s">
        <v>3568</v>
      </c>
      <c r="H143" s="108" t="s">
        <v>698</v>
      </c>
      <c r="I143" s="365"/>
      <c r="J143" s="136" t="s">
        <v>222</v>
      </c>
      <c r="K143" s="98" t="s">
        <v>168</v>
      </c>
      <c r="L143" s="83" t="s">
        <v>512</v>
      </c>
      <c r="M143" s="82" t="s">
        <v>3544</v>
      </c>
      <c r="N143" s="82" t="s">
        <v>3545</v>
      </c>
      <c r="O143" s="82" t="s">
        <v>3546</v>
      </c>
      <c r="P143" s="82" t="s">
        <v>3547</v>
      </c>
      <c r="Q143" s="82"/>
      <c r="R143" s="82"/>
      <c r="S143" s="82" t="s">
        <v>3548</v>
      </c>
      <c r="T143" s="138"/>
      <c r="U143" s="331">
        <v>4.0</v>
      </c>
      <c r="V143" s="106">
        <v>0.0</v>
      </c>
      <c r="W143" s="107">
        <v>0.0</v>
      </c>
      <c r="X143" s="107">
        <v>0.0</v>
      </c>
      <c r="Y143" s="107">
        <v>0.0</v>
      </c>
      <c r="Z143" s="80">
        <v>0.0</v>
      </c>
      <c r="AA143" s="140">
        <v>0.0</v>
      </c>
      <c r="AB143" s="109">
        <v>0.0</v>
      </c>
      <c r="AC143" s="109">
        <v>0.0</v>
      </c>
      <c r="AD143" s="141">
        <v>0.0</v>
      </c>
      <c r="AE143" s="80">
        <v>0.0</v>
      </c>
      <c r="AF143" s="140">
        <v>0.0</v>
      </c>
      <c r="AG143" s="109">
        <v>37.0</v>
      </c>
      <c r="AH143" s="109">
        <v>33.0</v>
      </c>
      <c r="AI143" s="141">
        <v>0.0</v>
      </c>
      <c r="AJ143" s="80">
        <v>70.0</v>
      </c>
      <c r="AK143" s="140">
        <v>0.0</v>
      </c>
      <c r="AL143" s="109">
        <v>0.0</v>
      </c>
      <c r="AM143" s="141">
        <v>0.0</v>
      </c>
      <c r="AN143" s="80">
        <v>0.0</v>
      </c>
      <c r="AO143" s="140">
        <v>0.0</v>
      </c>
      <c r="AP143" s="109">
        <v>0.0</v>
      </c>
      <c r="AQ143" s="109">
        <v>0.0</v>
      </c>
      <c r="AR143" s="80">
        <v>0.0</v>
      </c>
      <c r="AS143" s="110">
        <v>0.0</v>
      </c>
      <c r="AT143" s="110">
        <v>0.0</v>
      </c>
      <c r="AU143" s="110">
        <v>0.0</v>
      </c>
      <c r="AV143" s="142">
        <v>0.0</v>
      </c>
      <c r="AW143" s="80">
        <v>0.0</v>
      </c>
      <c r="AX143" s="113">
        <v>70.0</v>
      </c>
      <c r="AY143" s="117">
        <v>37.0</v>
      </c>
      <c r="AZ143" s="328">
        <v>33.0</v>
      </c>
      <c r="BA143" s="315">
        <v>0.0</v>
      </c>
      <c r="BB143" s="316">
        <v>70.0</v>
      </c>
      <c r="BC143" s="132" t="s">
        <v>178</v>
      </c>
      <c r="BD143" s="132" t="s">
        <v>178</v>
      </c>
      <c r="BE143" s="132" t="s">
        <v>178</v>
      </c>
      <c r="BF143" s="156"/>
      <c r="BG143" s="83">
        <v>1179751.0</v>
      </c>
      <c r="BH143" s="98">
        <v>4.0</v>
      </c>
      <c r="BI143" s="98" t="s">
        <v>155</v>
      </c>
      <c r="BJ143" s="98" t="str">
        <f t="shared" si="1"/>
        <v>NÃO</v>
      </c>
      <c r="BK143" s="98" t="str">
        <f t="shared" si="2"/>
        <v>NÃO</v>
      </c>
    </row>
    <row r="144" ht="15.75" customHeight="1">
      <c r="A144" s="111" t="s">
        <v>205</v>
      </c>
      <c r="B144" s="83" t="s">
        <v>681</v>
      </c>
      <c r="C144" s="83" t="s">
        <v>164</v>
      </c>
      <c r="D144" s="83">
        <v>1178009.0</v>
      </c>
      <c r="E144" s="83">
        <v>1179750.0</v>
      </c>
      <c r="F144" s="83"/>
      <c r="G144" s="187" t="s">
        <v>3572</v>
      </c>
      <c r="H144" s="108" t="s">
        <v>701</v>
      </c>
      <c r="I144" s="365"/>
      <c r="J144" s="136" t="s">
        <v>702</v>
      </c>
      <c r="K144" s="98" t="s">
        <v>168</v>
      </c>
      <c r="L144" s="83" t="s">
        <v>512</v>
      </c>
      <c r="M144" s="82" t="s">
        <v>3544</v>
      </c>
      <c r="N144" s="82" t="s">
        <v>3545</v>
      </c>
      <c r="O144" s="82" t="s">
        <v>3546</v>
      </c>
      <c r="P144" s="82" t="s">
        <v>3547</v>
      </c>
      <c r="Q144" s="82"/>
      <c r="R144" s="82"/>
      <c r="S144" s="82" t="s">
        <v>3548</v>
      </c>
      <c r="T144" s="138"/>
      <c r="U144" s="331">
        <v>4.0</v>
      </c>
      <c r="V144" s="106">
        <v>0.0</v>
      </c>
      <c r="W144" s="107">
        <v>0.0</v>
      </c>
      <c r="X144" s="107">
        <v>0.0</v>
      </c>
      <c r="Y144" s="107">
        <v>0.0</v>
      </c>
      <c r="Z144" s="80">
        <v>0.0</v>
      </c>
      <c r="AA144" s="140">
        <v>0.0</v>
      </c>
      <c r="AB144" s="109">
        <v>0.0</v>
      </c>
      <c r="AC144" s="109">
        <v>0.0</v>
      </c>
      <c r="AD144" s="141">
        <v>0.0</v>
      </c>
      <c r="AE144" s="80">
        <v>0.0</v>
      </c>
      <c r="AF144" s="140">
        <v>0.0</v>
      </c>
      <c r="AG144" s="109">
        <v>3.0</v>
      </c>
      <c r="AH144" s="109">
        <v>54.0</v>
      </c>
      <c r="AI144" s="141">
        <v>0.0</v>
      </c>
      <c r="AJ144" s="80">
        <v>57.0</v>
      </c>
      <c r="AK144" s="140">
        <v>0.0</v>
      </c>
      <c r="AL144" s="109">
        <v>0.0</v>
      </c>
      <c r="AM144" s="141">
        <v>0.0</v>
      </c>
      <c r="AN144" s="80">
        <v>0.0</v>
      </c>
      <c r="AO144" s="140">
        <v>0.0</v>
      </c>
      <c r="AP144" s="109">
        <v>0.0</v>
      </c>
      <c r="AQ144" s="109">
        <v>0.0</v>
      </c>
      <c r="AR144" s="80">
        <v>0.0</v>
      </c>
      <c r="AS144" s="110">
        <v>0.0</v>
      </c>
      <c r="AT144" s="110">
        <v>0.0</v>
      </c>
      <c r="AU144" s="110">
        <v>0.0</v>
      </c>
      <c r="AV144" s="142">
        <v>0.0</v>
      </c>
      <c r="AW144" s="80">
        <v>0.0</v>
      </c>
      <c r="AX144" s="113">
        <v>57.0</v>
      </c>
      <c r="AY144" s="117">
        <v>3.0</v>
      </c>
      <c r="AZ144" s="328">
        <v>54.0</v>
      </c>
      <c r="BA144" s="315">
        <v>0.0</v>
      </c>
      <c r="BB144" s="316">
        <v>57.0</v>
      </c>
      <c r="BC144" s="132" t="s">
        <v>178</v>
      </c>
      <c r="BD144" s="132" t="s">
        <v>178</v>
      </c>
      <c r="BE144" s="132" t="s">
        <v>178</v>
      </c>
      <c r="BF144" s="156"/>
      <c r="BG144" s="83">
        <v>1179750.0</v>
      </c>
      <c r="BH144" s="98">
        <v>4.0</v>
      </c>
      <c r="BI144" s="98" t="s">
        <v>155</v>
      </c>
      <c r="BJ144" s="98" t="str">
        <f t="shared" si="1"/>
        <v>NÃO</v>
      </c>
      <c r="BK144" s="98" t="str">
        <f t="shared" si="2"/>
        <v>NÃO</v>
      </c>
    </row>
    <row r="145" ht="15.75" customHeight="1">
      <c r="A145" s="111" t="s">
        <v>205</v>
      </c>
      <c r="B145" s="83" t="s">
        <v>681</v>
      </c>
      <c r="C145" s="83" t="s">
        <v>164</v>
      </c>
      <c r="D145" s="83">
        <v>1178009.0</v>
      </c>
      <c r="E145" s="83">
        <v>1179753.0</v>
      </c>
      <c r="F145" s="83"/>
      <c r="G145" s="187" t="s">
        <v>3575</v>
      </c>
      <c r="H145" s="108" t="s">
        <v>704</v>
      </c>
      <c r="I145" s="365"/>
      <c r="J145" s="136" t="s">
        <v>705</v>
      </c>
      <c r="K145" s="98" t="s">
        <v>168</v>
      </c>
      <c r="L145" s="83" t="s">
        <v>512</v>
      </c>
      <c r="M145" s="82" t="s">
        <v>3544</v>
      </c>
      <c r="N145" s="82" t="s">
        <v>3545</v>
      </c>
      <c r="O145" s="82" t="s">
        <v>3546</v>
      </c>
      <c r="P145" s="82" t="s">
        <v>3547</v>
      </c>
      <c r="Q145" s="82"/>
      <c r="R145" s="82"/>
      <c r="S145" s="82" t="s">
        <v>3548</v>
      </c>
      <c r="T145" s="138"/>
      <c r="U145" s="331">
        <v>4.0</v>
      </c>
      <c r="V145" s="106">
        <v>0.0</v>
      </c>
      <c r="W145" s="107">
        <v>0.0</v>
      </c>
      <c r="X145" s="107">
        <v>0.0</v>
      </c>
      <c r="Y145" s="107">
        <v>0.0</v>
      </c>
      <c r="Z145" s="80">
        <v>0.0</v>
      </c>
      <c r="AA145" s="140">
        <v>0.0</v>
      </c>
      <c r="AB145" s="109">
        <v>0.0</v>
      </c>
      <c r="AC145" s="109">
        <v>0.0</v>
      </c>
      <c r="AD145" s="141">
        <v>0.0</v>
      </c>
      <c r="AE145" s="80">
        <v>0.0</v>
      </c>
      <c r="AF145" s="140">
        <v>0.0</v>
      </c>
      <c r="AG145" s="109">
        <v>74.0</v>
      </c>
      <c r="AH145" s="109">
        <v>8.0</v>
      </c>
      <c r="AI145" s="141">
        <v>0.0</v>
      </c>
      <c r="AJ145" s="80">
        <v>82.0</v>
      </c>
      <c r="AK145" s="140">
        <v>0.0</v>
      </c>
      <c r="AL145" s="109">
        <v>0.0</v>
      </c>
      <c r="AM145" s="141">
        <v>0.0</v>
      </c>
      <c r="AN145" s="80">
        <v>0.0</v>
      </c>
      <c r="AO145" s="140">
        <v>0.0</v>
      </c>
      <c r="AP145" s="109">
        <v>0.0</v>
      </c>
      <c r="AQ145" s="109">
        <v>0.0</v>
      </c>
      <c r="AR145" s="80">
        <v>0.0</v>
      </c>
      <c r="AS145" s="110">
        <v>0.0</v>
      </c>
      <c r="AT145" s="110">
        <v>0.0</v>
      </c>
      <c r="AU145" s="110">
        <v>0.0</v>
      </c>
      <c r="AV145" s="142">
        <v>0.0</v>
      </c>
      <c r="AW145" s="80">
        <v>0.0</v>
      </c>
      <c r="AX145" s="113">
        <v>82.0</v>
      </c>
      <c r="AY145" s="117">
        <v>74.0</v>
      </c>
      <c r="AZ145" s="328">
        <v>8.0</v>
      </c>
      <c r="BA145" s="315">
        <v>0.0</v>
      </c>
      <c r="BB145" s="316">
        <v>82.0</v>
      </c>
      <c r="BC145" s="132" t="s">
        <v>178</v>
      </c>
      <c r="BD145" s="132" t="s">
        <v>178</v>
      </c>
      <c r="BE145" s="132" t="s">
        <v>178</v>
      </c>
      <c r="BF145" s="156"/>
      <c r="BG145" s="83">
        <v>1179753.0</v>
      </c>
      <c r="BH145" s="98">
        <v>4.0</v>
      </c>
      <c r="BI145" s="98" t="s">
        <v>155</v>
      </c>
      <c r="BJ145" s="98" t="str">
        <f t="shared" si="1"/>
        <v>NÃO</v>
      </c>
      <c r="BK145" s="98" t="str">
        <f t="shared" si="2"/>
        <v>NÃO</v>
      </c>
    </row>
    <row r="146" ht="15.75" customHeight="1">
      <c r="A146" s="111" t="s">
        <v>205</v>
      </c>
      <c r="B146" s="83" t="s">
        <v>706</v>
      </c>
      <c r="C146" s="83" t="s">
        <v>45</v>
      </c>
      <c r="D146" s="83">
        <v>1175922.0</v>
      </c>
      <c r="E146" s="83"/>
      <c r="F146" s="83">
        <v>2.9253888E7</v>
      </c>
      <c r="G146" s="187" t="s">
        <v>707</v>
      </c>
      <c r="H146" s="91" t="s">
        <v>708</v>
      </c>
      <c r="I146" s="147" t="s">
        <v>149</v>
      </c>
      <c r="J146" s="115" t="s">
        <v>150</v>
      </c>
      <c r="K146" s="83" t="s">
        <v>171</v>
      </c>
      <c r="L146" s="83" t="s">
        <v>169</v>
      </c>
      <c r="M146" s="82" t="s">
        <v>3578</v>
      </c>
      <c r="N146" s="82" t="s">
        <v>3579</v>
      </c>
      <c r="O146" s="82"/>
      <c r="P146" s="82"/>
      <c r="Q146" s="82"/>
      <c r="R146" s="82"/>
      <c r="S146" s="82"/>
      <c r="T146" s="138">
        <v>6.0</v>
      </c>
      <c r="U146" s="364" t="s">
        <v>171</v>
      </c>
      <c r="V146" s="106">
        <v>0.0</v>
      </c>
      <c r="W146" s="107">
        <v>0.0</v>
      </c>
      <c r="X146" s="107">
        <v>0.0</v>
      </c>
      <c r="Y146" s="107">
        <v>0.0</v>
      </c>
      <c r="Z146" s="80">
        <v>0.0</v>
      </c>
      <c r="AA146" s="140">
        <v>0.0</v>
      </c>
      <c r="AB146" s="109">
        <v>0.0</v>
      </c>
      <c r="AC146" s="109">
        <v>0.0</v>
      </c>
      <c r="AD146" s="141">
        <v>0.0</v>
      </c>
      <c r="AE146" s="80">
        <v>0.0</v>
      </c>
      <c r="AF146" s="246">
        <v>0.0</v>
      </c>
      <c r="AG146" s="246">
        <v>0.0</v>
      </c>
      <c r="AH146" s="246">
        <v>0.0</v>
      </c>
      <c r="AI146" s="247">
        <v>7.0</v>
      </c>
      <c r="AJ146" s="80">
        <v>7.0</v>
      </c>
      <c r="AK146" s="140">
        <v>0.0</v>
      </c>
      <c r="AL146" s="109">
        <v>0.0</v>
      </c>
      <c r="AM146" s="141">
        <v>0.0</v>
      </c>
      <c r="AN146" s="80">
        <v>0.0</v>
      </c>
      <c r="AO146" s="246">
        <v>0.0</v>
      </c>
      <c r="AP146" s="246">
        <v>0.0</v>
      </c>
      <c r="AQ146" s="247">
        <v>0.0</v>
      </c>
      <c r="AR146" s="80">
        <v>0.0</v>
      </c>
      <c r="AS146" s="110">
        <v>0.0</v>
      </c>
      <c r="AT146" s="110">
        <v>0.0</v>
      </c>
      <c r="AU146" s="110">
        <v>0.0</v>
      </c>
      <c r="AV146" s="142">
        <v>0.0</v>
      </c>
      <c r="AW146" s="80">
        <v>0.0</v>
      </c>
      <c r="AX146" s="113">
        <v>7.0</v>
      </c>
      <c r="AY146" s="117">
        <v>7.0</v>
      </c>
      <c r="AZ146" s="328">
        <v>0.0</v>
      </c>
      <c r="BA146" s="315">
        <v>0.0</v>
      </c>
      <c r="BB146" s="316">
        <v>7.0</v>
      </c>
      <c r="BC146" s="132" t="s">
        <v>178</v>
      </c>
      <c r="BD146" s="132" t="s">
        <v>178</v>
      </c>
      <c r="BE146" s="132" t="s">
        <v>178</v>
      </c>
      <c r="BF146" s="156"/>
      <c r="BG146" s="83">
        <v>1175922.0</v>
      </c>
      <c r="BH146" s="98" t="s">
        <v>171</v>
      </c>
      <c r="BI146" s="98" t="s">
        <v>155</v>
      </c>
      <c r="BJ146" s="98" t="str">
        <f t="shared" si="1"/>
        <v>INTEGRAL</v>
      </c>
      <c r="BK146" s="98" t="str">
        <f t="shared" si="2"/>
        <v>NÃO</v>
      </c>
    </row>
    <row r="147" ht="15.75" customHeight="1">
      <c r="A147" s="111" t="s">
        <v>205</v>
      </c>
      <c r="B147" s="83" t="s">
        <v>706</v>
      </c>
      <c r="C147" s="83" t="s">
        <v>45</v>
      </c>
      <c r="D147" s="83">
        <v>1131232.0</v>
      </c>
      <c r="E147" s="83"/>
      <c r="F147" s="83">
        <v>2.925283E7</v>
      </c>
      <c r="G147" s="187" t="s">
        <v>710</v>
      </c>
      <c r="H147" s="91" t="s">
        <v>711</v>
      </c>
      <c r="I147" s="187" t="s">
        <v>712</v>
      </c>
      <c r="J147" s="115" t="s">
        <v>150</v>
      </c>
      <c r="K147" s="83" t="s">
        <v>171</v>
      </c>
      <c r="L147" s="83" t="s">
        <v>169</v>
      </c>
      <c r="M147" s="82" t="s">
        <v>3582</v>
      </c>
      <c r="N147" s="82" t="s">
        <v>3583</v>
      </c>
      <c r="O147" s="82"/>
      <c r="P147" s="82"/>
      <c r="Q147" s="82"/>
      <c r="R147" s="82"/>
      <c r="S147" s="82"/>
      <c r="T147" s="138">
        <v>5.0</v>
      </c>
      <c r="U147" s="364" t="s">
        <v>171</v>
      </c>
      <c r="V147" s="106">
        <v>0.0</v>
      </c>
      <c r="W147" s="107">
        <v>0.0</v>
      </c>
      <c r="X147" s="107">
        <v>0.0</v>
      </c>
      <c r="Y147" s="107">
        <v>0.0</v>
      </c>
      <c r="Z147" s="80">
        <v>0.0</v>
      </c>
      <c r="AA147" s="140">
        <v>0.0</v>
      </c>
      <c r="AB147" s="109">
        <v>0.0</v>
      </c>
      <c r="AC147" s="109">
        <v>0.0</v>
      </c>
      <c r="AD147" s="141">
        <v>0.0</v>
      </c>
      <c r="AE147" s="80">
        <v>0.0</v>
      </c>
      <c r="AF147" s="246">
        <v>0.0</v>
      </c>
      <c r="AG147" s="246">
        <v>0.0</v>
      </c>
      <c r="AH147" s="246">
        <v>0.0</v>
      </c>
      <c r="AI147" s="247">
        <v>7.0</v>
      </c>
      <c r="AJ147" s="80">
        <v>7.0</v>
      </c>
      <c r="AK147" s="140">
        <v>0.0</v>
      </c>
      <c r="AL147" s="109">
        <v>0.0</v>
      </c>
      <c r="AM147" s="141">
        <v>0.0</v>
      </c>
      <c r="AN147" s="80">
        <v>0.0</v>
      </c>
      <c r="AO147" s="246">
        <v>0.0</v>
      </c>
      <c r="AP147" s="246">
        <v>0.0</v>
      </c>
      <c r="AQ147" s="247">
        <v>0.0</v>
      </c>
      <c r="AR147" s="80">
        <v>0.0</v>
      </c>
      <c r="AS147" s="110">
        <v>0.0</v>
      </c>
      <c r="AT147" s="110">
        <v>0.0</v>
      </c>
      <c r="AU147" s="110">
        <v>0.0</v>
      </c>
      <c r="AV147" s="142">
        <v>0.0</v>
      </c>
      <c r="AW147" s="80">
        <v>0.0</v>
      </c>
      <c r="AX147" s="113">
        <v>7.0</v>
      </c>
      <c r="AY147" s="117">
        <v>7.0</v>
      </c>
      <c r="AZ147" s="328">
        <v>0.0</v>
      </c>
      <c r="BA147" s="315">
        <v>0.0</v>
      </c>
      <c r="BB147" s="316">
        <v>7.0</v>
      </c>
      <c r="BC147" s="132" t="s">
        <v>178</v>
      </c>
      <c r="BD147" s="132" t="s">
        <v>178</v>
      </c>
      <c r="BE147" s="132" t="s">
        <v>178</v>
      </c>
      <c r="BF147" s="123"/>
      <c r="BG147" s="83">
        <v>1131232.0</v>
      </c>
      <c r="BH147" s="98" t="s">
        <v>171</v>
      </c>
      <c r="BI147" s="98" t="s">
        <v>155</v>
      </c>
      <c r="BJ147" s="98" t="str">
        <f t="shared" si="1"/>
        <v>INTEGRAL</v>
      </c>
      <c r="BK147" s="98" t="str">
        <f t="shared" si="2"/>
        <v>NÃO</v>
      </c>
    </row>
    <row r="148" ht="15.75" customHeight="1">
      <c r="A148" s="111" t="s">
        <v>205</v>
      </c>
      <c r="B148" s="136" t="s">
        <v>706</v>
      </c>
      <c r="C148" s="83" t="s">
        <v>68</v>
      </c>
      <c r="D148" s="83">
        <v>1164742.0</v>
      </c>
      <c r="E148" s="83"/>
      <c r="F148" s="83">
        <v>2.9252555E7</v>
      </c>
      <c r="G148" s="147" t="s">
        <v>715</v>
      </c>
      <c r="H148" s="91" t="s">
        <v>716</v>
      </c>
      <c r="I148" s="187" t="s">
        <v>149</v>
      </c>
      <c r="J148" s="136" t="s">
        <v>150</v>
      </c>
      <c r="K148" s="83" t="s">
        <v>151</v>
      </c>
      <c r="L148" s="83" t="s">
        <v>230</v>
      </c>
      <c r="M148" s="82" t="s">
        <v>3586</v>
      </c>
      <c r="N148" s="82" t="s">
        <v>3587</v>
      </c>
      <c r="O148" s="82" t="s">
        <v>3588</v>
      </c>
      <c r="P148" s="82" t="s">
        <v>3589</v>
      </c>
      <c r="Q148" s="82"/>
      <c r="R148" s="82"/>
      <c r="S148" s="82" t="s">
        <v>3590</v>
      </c>
      <c r="T148" s="138">
        <v>18.0</v>
      </c>
      <c r="U148" s="331">
        <v>14.0</v>
      </c>
      <c r="V148" s="106">
        <v>0.0</v>
      </c>
      <c r="W148" s="107">
        <v>0.0</v>
      </c>
      <c r="X148" s="107">
        <v>0.0</v>
      </c>
      <c r="Y148" s="107">
        <v>0.0</v>
      </c>
      <c r="Z148" s="80">
        <v>0.0</v>
      </c>
      <c r="AA148" s="140">
        <v>0.0</v>
      </c>
      <c r="AB148" s="109">
        <v>0.0</v>
      </c>
      <c r="AC148" s="109">
        <v>0.0</v>
      </c>
      <c r="AD148" s="141">
        <v>0.0</v>
      </c>
      <c r="AE148" s="80">
        <v>0.0</v>
      </c>
      <c r="AF148" s="140">
        <v>281.0</v>
      </c>
      <c r="AG148" s="109">
        <v>266.0</v>
      </c>
      <c r="AH148" s="109">
        <v>18.0</v>
      </c>
      <c r="AI148" s="141">
        <v>278.0</v>
      </c>
      <c r="AJ148" s="80">
        <v>843.0</v>
      </c>
      <c r="AK148" s="140">
        <v>0.0</v>
      </c>
      <c r="AL148" s="109">
        <v>0.0</v>
      </c>
      <c r="AM148" s="141">
        <v>0.0</v>
      </c>
      <c r="AN148" s="80">
        <v>0.0</v>
      </c>
      <c r="AO148" s="140">
        <v>0.0</v>
      </c>
      <c r="AP148" s="109">
        <v>0.0</v>
      </c>
      <c r="AQ148" s="109">
        <v>56.0</v>
      </c>
      <c r="AR148" s="80">
        <v>56.0</v>
      </c>
      <c r="AS148" s="110">
        <v>0.0</v>
      </c>
      <c r="AT148" s="110">
        <v>0.0</v>
      </c>
      <c r="AU148" s="110">
        <v>0.0</v>
      </c>
      <c r="AV148" s="142">
        <v>65.0</v>
      </c>
      <c r="AW148" s="80">
        <v>65.0</v>
      </c>
      <c r="AX148" s="113">
        <v>964.0</v>
      </c>
      <c r="AY148" s="117">
        <v>890.0</v>
      </c>
      <c r="AZ148" s="328">
        <v>74.0</v>
      </c>
      <c r="BA148" s="315">
        <v>0.0</v>
      </c>
      <c r="BB148" s="316">
        <v>964.0</v>
      </c>
      <c r="BC148" s="132" t="s">
        <v>178</v>
      </c>
      <c r="BD148" s="132" t="s">
        <v>178</v>
      </c>
      <c r="BE148" s="132" t="s">
        <v>178</v>
      </c>
      <c r="BF148" s="156"/>
      <c r="BG148" s="83">
        <v>1164742.0</v>
      </c>
      <c r="BH148" s="98">
        <v>14.0</v>
      </c>
      <c r="BI148" s="98" t="s">
        <v>155</v>
      </c>
      <c r="BJ148" s="98" t="str">
        <f t="shared" si="1"/>
        <v>INTEGRAL</v>
      </c>
      <c r="BK148" s="98" t="str">
        <f t="shared" si="2"/>
        <v>PROFISSIONAL</v>
      </c>
    </row>
    <row r="149" ht="15.75" customHeight="1">
      <c r="A149" s="111" t="s">
        <v>205</v>
      </c>
      <c r="B149" s="83" t="s">
        <v>706</v>
      </c>
      <c r="C149" s="83" t="s">
        <v>164</v>
      </c>
      <c r="D149" s="83">
        <v>1179431.0</v>
      </c>
      <c r="E149" s="83">
        <v>1178922.0</v>
      </c>
      <c r="F149" s="83"/>
      <c r="G149" s="114" t="s">
        <v>719</v>
      </c>
      <c r="H149" s="91" t="s">
        <v>720</v>
      </c>
      <c r="I149" s="187" t="s">
        <v>149</v>
      </c>
      <c r="J149" s="136" t="s">
        <v>183</v>
      </c>
      <c r="K149" s="83" t="s">
        <v>168</v>
      </c>
      <c r="L149" s="83" t="s">
        <v>169</v>
      </c>
      <c r="M149" s="82" t="s">
        <v>3052</v>
      </c>
      <c r="N149" s="82" t="s">
        <v>3054</v>
      </c>
      <c r="O149" s="82" t="s">
        <v>3056</v>
      </c>
      <c r="P149" s="82" t="s">
        <v>3058</v>
      </c>
      <c r="Q149" s="82"/>
      <c r="R149" s="82"/>
      <c r="S149" s="82" t="s">
        <v>3059</v>
      </c>
      <c r="T149" s="138">
        <v>2.0</v>
      </c>
      <c r="U149" s="323">
        <v>2.0</v>
      </c>
      <c r="V149" s="106">
        <v>0.0</v>
      </c>
      <c r="W149" s="107">
        <v>0.0</v>
      </c>
      <c r="X149" s="107">
        <v>0.0</v>
      </c>
      <c r="Y149" s="107">
        <v>0.0</v>
      </c>
      <c r="Z149" s="80">
        <v>0.0</v>
      </c>
      <c r="AA149" s="140">
        <v>0.0</v>
      </c>
      <c r="AB149" s="109">
        <v>0.0</v>
      </c>
      <c r="AC149" s="109">
        <v>0.0</v>
      </c>
      <c r="AD149" s="141">
        <v>0.0</v>
      </c>
      <c r="AE149" s="80">
        <v>0.0</v>
      </c>
      <c r="AF149" s="140">
        <v>4.0</v>
      </c>
      <c r="AG149" s="109">
        <v>29.0</v>
      </c>
      <c r="AH149" s="109">
        <v>0.0</v>
      </c>
      <c r="AI149" s="141">
        <v>0.0</v>
      </c>
      <c r="AJ149" s="80">
        <v>33.0</v>
      </c>
      <c r="AK149" s="140">
        <v>0.0</v>
      </c>
      <c r="AL149" s="109">
        <v>0.0</v>
      </c>
      <c r="AM149" s="141">
        <v>0.0</v>
      </c>
      <c r="AN149" s="80">
        <v>0.0</v>
      </c>
      <c r="AO149" s="140">
        <v>0.0</v>
      </c>
      <c r="AP149" s="109">
        <v>0.0</v>
      </c>
      <c r="AQ149" s="109">
        <v>0.0</v>
      </c>
      <c r="AR149" s="80">
        <v>0.0</v>
      </c>
      <c r="AS149" s="110">
        <v>0.0</v>
      </c>
      <c r="AT149" s="110">
        <v>0.0</v>
      </c>
      <c r="AU149" s="110">
        <v>0.0</v>
      </c>
      <c r="AV149" s="142">
        <v>0.0</v>
      </c>
      <c r="AW149" s="80">
        <v>0.0</v>
      </c>
      <c r="AX149" s="113">
        <v>33.0</v>
      </c>
      <c r="AY149" s="117">
        <v>33.0</v>
      </c>
      <c r="AZ149" s="328">
        <v>0.0</v>
      </c>
      <c r="BA149" s="315">
        <v>0.0</v>
      </c>
      <c r="BB149" s="316">
        <v>33.0</v>
      </c>
      <c r="BC149" s="132" t="s">
        <v>178</v>
      </c>
      <c r="BD149" s="143" t="s">
        <v>227</v>
      </c>
      <c r="BE149" s="132" t="s">
        <v>178</v>
      </c>
      <c r="BF149" s="156"/>
      <c r="BG149" s="83">
        <v>1178922.0</v>
      </c>
      <c r="BH149" s="112">
        <v>2.0</v>
      </c>
      <c r="BI149" s="98" t="s">
        <v>155</v>
      </c>
      <c r="BJ149" s="98" t="str">
        <f t="shared" si="1"/>
        <v>NÃO</v>
      </c>
      <c r="BK149" s="98" t="str">
        <f t="shared" si="2"/>
        <v>NÃO</v>
      </c>
    </row>
    <row r="150" ht="15.75" customHeight="1">
      <c r="A150" s="111" t="s">
        <v>205</v>
      </c>
      <c r="B150" s="83" t="s">
        <v>706</v>
      </c>
      <c r="C150" s="83" t="s">
        <v>164</v>
      </c>
      <c r="D150" s="83">
        <v>1179431.0</v>
      </c>
      <c r="E150" s="83">
        <v>1178924.0</v>
      </c>
      <c r="F150" s="83"/>
      <c r="G150" s="114" t="s">
        <v>725</v>
      </c>
      <c r="H150" s="91" t="s">
        <v>726</v>
      </c>
      <c r="I150" s="187" t="s">
        <v>149</v>
      </c>
      <c r="J150" s="136" t="s">
        <v>727</v>
      </c>
      <c r="K150" s="83" t="s">
        <v>168</v>
      </c>
      <c r="L150" s="83" t="s">
        <v>169</v>
      </c>
      <c r="M150" s="82" t="s">
        <v>3052</v>
      </c>
      <c r="N150" s="82" t="s">
        <v>3054</v>
      </c>
      <c r="O150" s="82" t="s">
        <v>3056</v>
      </c>
      <c r="P150" s="82" t="s">
        <v>3058</v>
      </c>
      <c r="Q150" s="82"/>
      <c r="R150" s="82"/>
      <c r="S150" s="82" t="s">
        <v>3059</v>
      </c>
      <c r="T150" s="138">
        <v>1.0</v>
      </c>
      <c r="U150" s="323">
        <v>1.0</v>
      </c>
      <c r="V150" s="106">
        <v>0.0</v>
      </c>
      <c r="W150" s="107">
        <v>0.0</v>
      </c>
      <c r="X150" s="107">
        <v>0.0</v>
      </c>
      <c r="Y150" s="107">
        <v>0.0</v>
      </c>
      <c r="Z150" s="80">
        <v>0.0</v>
      </c>
      <c r="AA150" s="140">
        <v>0.0</v>
      </c>
      <c r="AB150" s="109">
        <v>0.0</v>
      </c>
      <c r="AC150" s="109">
        <v>0.0</v>
      </c>
      <c r="AD150" s="141">
        <v>0.0</v>
      </c>
      <c r="AE150" s="80">
        <v>0.0</v>
      </c>
      <c r="AF150" s="140">
        <v>15.0</v>
      </c>
      <c r="AG150" s="109">
        <v>16.0</v>
      </c>
      <c r="AH150" s="109">
        <v>7.0</v>
      </c>
      <c r="AI150" s="141">
        <v>0.0</v>
      </c>
      <c r="AJ150" s="80">
        <v>38.0</v>
      </c>
      <c r="AK150" s="140">
        <v>0.0</v>
      </c>
      <c r="AL150" s="109">
        <v>0.0</v>
      </c>
      <c r="AM150" s="141">
        <v>0.0</v>
      </c>
      <c r="AN150" s="80">
        <v>0.0</v>
      </c>
      <c r="AO150" s="140">
        <v>0.0</v>
      </c>
      <c r="AP150" s="109">
        <v>0.0</v>
      </c>
      <c r="AQ150" s="109">
        <v>0.0</v>
      </c>
      <c r="AR150" s="80">
        <v>0.0</v>
      </c>
      <c r="AS150" s="110">
        <v>0.0</v>
      </c>
      <c r="AT150" s="110">
        <v>0.0</v>
      </c>
      <c r="AU150" s="110">
        <v>0.0</v>
      </c>
      <c r="AV150" s="142">
        <v>0.0</v>
      </c>
      <c r="AW150" s="80">
        <v>0.0</v>
      </c>
      <c r="AX150" s="113">
        <v>38.0</v>
      </c>
      <c r="AY150" s="117">
        <v>31.0</v>
      </c>
      <c r="AZ150" s="328">
        <v>7.0</v>
      </c>
      <c r="BA150" s="315">
        <v>0.0</v>
      </c>
      <c r="BB150" s="316">
        <v>38.0</v>
      </c>
      <c r="BC150" s="132" t="s">
        <v>178</v>
      </c>
      <c r="BD150" s="143" t="s">
        <v>227</v>
      </c>
      <c r="BE150" s="132" t="s">
        <v>178</v>
      </c>
      <c r="BF150" s="156"/>
      <c r="BG150" s="83">
        <v>1178924.0</v>
      </c>
      <c r="BH150" s="112">
        <v>1.0</v>
      </c>
      <c r="BI150" s="98" t="s">
        <v>155</v>
      </c>
      <c r="BJ150" s="98" t="str">
        <f t="shared" si="1"/>
        <v>NÃO</v>
      </c>
      <c r="BK150" s="98" t="str">
        <f t="shared" si="2"/>
        <v>NÃO</v>
      </c>
    </row>
    <row r="151" ht="15.75" customHeight="1">
      <c r="A151" s="111" t="s">
        <v>205</v>
      </c>
      <c r="B151" s="83" t="s">
        <v>706</v>
      </c>
      <c r="C151" s="83" t="s">
        <v>164</v>
      </c>
      <c r="D151" s="83">
        <v>1179431.0</v>
      </c>
      <c r="E151" s="83">
        <v>1178921.0</v>
      </c>
      <c r="F151" s="83"/>
      <c r="G151" s="114" t="s">
        <v>728</v>
      </c>
      <c r="H151" s="91" t="s">
        <v>729</v>
      </c>
      <c r="I151" s="187" t="s">
        <v>149</v>
      </c>
      <c r="J151" s="136" t="s">
        <v>244</v>
      </c>
      <c r="K151" s="83" t="s">
        <v>168</v>
      </c>
      <c r="L151" s="83" t="s">
        <v>169</v>
      </c>
      <c r="M151" s="82" t="s">
        <v>3052</v>
      </c>
      <c r="N151" s="82" t="s">
        <v>3054</v>
      </c>
      <c r="O151" s="82" t="s">
        <v>3056</v>
      </c>
      <c r="P151" s="82" t="s">
        <v>3058</v>
      </c>
      <c r="Q151" s="82"/>
      <c r="R151" s="82"/>
      <c r="S151" s="82" t="s">
        <v>3059</v>
      </c>
      <c r="T151" s="138">
        <v>3.0</v>
      </c>
      <c r="U151" s="323">
        <v>3.0</v>
      </c>
      <c r="V151" s="106">
        <v>0.0</v>
      </c>
      <c r="W151" s="107">
        <v>0.0</v>
      </c>
      <c r="X151" s="107">
        <v>0.0</v>
      </c>
      <c r="Y151" s="107">
        <v>0.0</v>
      </c>
      <c r="Z151" s="80">
        <v>0.0</v>
      </c>
      <c r="AA151" s="140">
        <v>0.0</v>
      </c>
      <c r="AB151" s="109">
        <v>0.0</v>
      </c>
      <c r="AC151" s="109">
        <v>0.0</v>
      </c>
      <c r="AD151" s="141">
        <v>0.0</v>
      </c>
      <c r="AE151" s="80">
        <v>0.0</v>
      </c>
      <c r="AF151" s="140">
        <v>57.0</v>
      </c>
      <c r="AG151" s="109">
        <v>28.0</v>
      </c>
      <c r="AH151" s="109">
        <v>0.0</v>
      </c>
      <c r="AI151" s="141">
        <v>0.0</v>
      </c>
      <c r="AJ151" s="80">
        <v>85.0</v>
      </c>
      <c r="AK151" s="140">
        <v>0.0</v>
      </c>
      <c r="AL151" s="109">
        <v>0.0</v>
      </c>
      <c r="AM151" s="141">
        <v>0.0</v>
      </c>
      <c r="AN151" s="80">
        <v>0.0</v>
      </c>
      <c r="AO151" s="140">
        <v>0.0</v>
      </c>
      <c r="AP151" s="109">
        <v>0.0</v>
      </c>
      <c r="AQ151" s="109">
        <v>0.0</v>
      </c>
      <c r="AR151" s="80">
        <v>0.0</v>
      </c>
      <c r="AS151" s="110">
        <v>0.0</v>
      </c>
      <c r="AT151" s="110">
        <v>0.0</v>
      </c>
      <c r="AU151" s="110">
        <v>0.0</v>
      </c>
      <c r="AV151" s="142">
        <v>0.0</v>
      </c>
      <c r="AW151" s="80">
        <v>0.0</v>
      </c>
      <c r="AX151" s="113">
        <v>85.0</v>
      </c>
      <c r="AY151" s="117">
        <v>85.0</v>
      </c>
      <c r="AZ151" s="328">
        <v>0.0</v>
      </c>
      <c r="BA151" s="315">
        <v>0.0</v>
      </c>
      <c r="BB151" s="316">
        <v>85.0</v>
      </c>
      <c r="BC151" s="132" t="s">
        <v>178</v>
      </c>
      <c r="BD151" s="143" t="s">
        <v>227</v>
      </c>
      <c r="BE151" s="132" t="s">
        <v>178</v>
      </c>
      <c r="BF151" s="156"/>
      <c r="BG151" s="83">
        <v>1178921.0</v>
      </c>
      <c r="BH151" s="112">
        <v>3.0</v>
      </c>
      <c r="BI151" s="98" t="s">
        <v>155</v>
      </c>
      <c r="BJ151" s="98" t="str">
        <f t="shared" si="1"/>
        <v>NÃO</v>
      </c>
      <c r="BK151" s="98" t="str">
        <f t="shared" si="2"/>
        <v>NÃO</v>
      </c>
    </row>
    <row r="152" ht="15.75" customHeight="1">
      <c r="A152" s="111" t="s">
        <v>205</v>
      </c>
      <c r="B152" s="83" t="s">
        <v>706</v>
      </c>
      <c r="C152" s="83" t="s">
        <v>164</v>
      </c>
      <c r="D152" s="83">
        <v>1179431.0</v>
      </c>
      <c r="E152" s="83">
        <v>1178920.0</v>
      </c>
      <c r="F152" s="83"/>
      <c r="G152" s="114" t="s">
        <v>730</v>
      </c>
      <c r="H152" s="91" t="s">
        <v>731</v>
      </c>
      <c r="I152" s="187" t="s">
        <v>149</v>
      </c>
      <c r="J152" s="136" t="s">
        <v>183</v>
      </c>
      <c r="K152" s="83" t="s">
        <v>168</v>
      </c>
      <c r="L152" s="83" t="s">
        <v>169</v>
      </c>
      <c r="M152" s="82" t="s">
        <v>3052</v>
      </c>
      <c r="N152" s="82" t="s">
        <v>3054</v>
      </c>
      <c r="O152" s="82" t="s">
        <v>3056</v>
      </c>
      <c r="P152" s="82" t="s">
        <v>3058</v>
      </c>
      <c r="Q152" s="82"/>
      <c r="R152" s="82"/>
      <c r="S152" s="82" t="s">
        <v>3059</v>
      </c>
      <c r="T152" s="138">
        <v>1.0</v>
      </c>
      <c r="U152" s="323">
        <v>1.0</v>
      </c>
      <c r="V152" s="106">
        <v>0.0</v>
      </c>
      <c r="W152" s="107">
        <v>0.0</v>
      </c>
      <c r="X152" s="107">
        <v>0.0</v>
      </c>
      <c r="Y152" s="107">
        <v>0.0</v>
      </c>
      <c r="Z152" s="80">
        <v>0.0</v>
      </c>
      <c r="AA152" s="140">
        <v>0.0</v>
      </c>
      <c r="AB152" s="109">
        <v>0.0</v>
      </c>
      <c r="AC152" s="109">
        <v>0.0</v>
      </c>
      <c r="AD152" s="141">
        <v>0.0</v>
      </c>
      <c r="AE152" s="80">
        <v>0.0</v>
      </c>
      <c r="AF152" s="140">
        <v>0.0</v>
      </c>
      <c r="AG152" s="109">
        <v>12.0</v>
      </c>
      <c r="AH152" s="109">
        <v>11.0</v>
      </c>
      <c r="AI152" s="141">
        <v>0.0</v>
      </c>
      <c r="AJ152" s="80">
        <v>23.0</v>
      </c>
      <c r="AK152" s="140">
        <v>0.0</v>
      </c>
      <c r="AL152" s="109">
        <v>0.0</v>
      </c>
      <c r="AM152" s="141">
        <v>0.0</v>
      </c>
      <c r="AN152" s="80">
        <v>0.0</v>
      </c>
      <c r="AO152" s="140">
        <v>0.0</v>
      </c>
      <c r="AP152" s="109">
        <v>0.0</v>
      </c>
      <c r="AQ152" s="109">
        <v>0.0</v>
      </c>
      <c r="AR152" s="80">
        <v>0.0</v>
      </c>
      <c r="AS152" s="110">
        <v>0.0</v>
      </c>
      <c r="AT152" s="110">
        <v>0.0</v>
      </c>
      <c r="AU152" s="110">
        <v>0.0</v>
      </c>
      <c r="AV152" s="142">
        <v>0.0</v>
      </c>
      <c r="AW152" s="80">
        <v>0.0</v>
      </c>
      <c r="AX152" s="113">
        <v>23.0</v>
      </c>
      <c r="AY152" s="117">
        <v>12.0</v>
      </c>
      <c r="AZ152" s="328">
        <v>11.0</v>
      </c>
      <c r="BA152" s="315">
        <v>0.0</v>
      </c>
      <c r="BB152" s="316">
        <v>23.0</v>
      </c>
      <c r="BC152" s="132" t="s">
        <v>178</v>
      </c>
      <c r="BD152" s="143" t="s">
        <v>227</v>
      </c>
      <c r="BE152" s="132" t="s">
        <v>178</v>
      </c>
      <c r="BF152" s="156"/>
      <c r="BG152" s="83">
        <v>1178920.0</v>
      </c>
      <c r="BH152" s="112">
        <v>1.0</v>
      </c>
      <c r="BI152" s="98" t="s">
        <v>155</v>
      </c>
      <c r="BJ152" s="98" t="str">
        <f t="shared" si="1"/>
        <v>NÃO</v>
      </c>
      <c r="BK152" s="98" t="str">
        <f t="shared" si="2"/>
        <v>NÃO</v>
      </c>
    </row>
    <row r="153" ht="15.75" customHeight="1">
      <c r="A153" s="111" t="s">
        <v>205</v>
      </c>
      <c r="B153" s="83" t="s">
        <v>732</v>
      </c>
      <c r="C153" s="83" t="s">
        <v>164</v>
      </c>
      <c r="D153" s="83">
        <v>1178023.0</v>
      </c>
      <c r="E153" s="83">
        <v>1178943.0</v>
      </c>
      <c r="F153" s="83"/>
      <c r="G153" s="119" t="s">
        <v>733</v>
      </c>
      <c r="H153" s="91" t="s">
        <v>3615</v>
      </c>
      <c r="I153" s="187" t="s">
        <v>735</v>
      </c>
      <c r="J153" s="136" t="s">
        <v>222</v>
      </c>
      <c r="K153" s="136" t="s">
        <v>168</v>
      </c>
      <c r="L153" s="83" t="s">
        <v>169</v>
      </c>
      <c r="M153" s="82" t="s">
        <v>3617</v>
      </c>
      <c r="N153" s="82" t="s">
        <v>3618</v>
      </c>
      <c r="O153" s="82" t="s">
        <v>3619</v>
      </c>
      <c r="P153" s="82" t="s">
        <v>3620</v>
      </c>
      <c r="Q153" s="82"/>
      <c r="R153" s="82"/>
      <c r="S153" s="82" t="s">
        <v>3621</v>
      </c>
      <c r="T153" s="138">
        <v>6.0</v>
      </c>
      <c r="U153" s="341">
        <v>5.0</v>
      </c>
      <c r="V153" s="106">
        <v>0.0</v>
      </c>
      <c r="W153" s="107">
        <v>0.0</v>
      </c>
      <c r="X153" s="107">
        <v>0.0</v>
      </c>
      <c r="Y153" s="107">
        <v>0.0</v>
      </c>
      <c r="Z153" s="80">
        <v>0.0</v>
      </c>
      <c r="AA153" s="140">
        <v>0.0</v>
      </c>
      <c r="AB153" s="109">
        <v>0.0</v>
      </c>
      <c r="AC153" s="109">
        <v>0.0</v>
      </c>
      <c r="AD153" s="141">
        <v>0.0</v>
      </c>
      <c r="AE153" s="80">
        <v>0.0</v>
      </c>
      <c r="AF153" s="140">
        <v>0.0</v>
      </c>
      <c r="AG153" s="109">
        <v>0.0</v>
      </c>
      <c r="AH153" s="109">
        <v>36.0</v>
      </c>
      <c r="AI153" s="141">
        <v>0.0</v>
      </c>
      <c r="AJ153" s="80">
        <v>36.0</v>
      </c>
      <c r="AK153" s="140">
        <v>0.0</v>
      </c>
      <c r="AL153" s="109">
        <v>0.0</v>
      </c>
      <c r="AM153" s="141">
        <v>0.0</v>
      </c>
      <c r="AN153" s="80">
        <v>0.0</v>
      </c>
      <c r="AO153" s="140">
        <v>0.0</v>
      </c>
      <c r="AP153" s="109">
        <v>0.0</v>
      </c>
      <c r="AQ153" s="109">
        <v>104.0</v>
      </c>
      <c r="AR153" s="80">
        <v>104.0</v>
      </c>
      <c r="AS153" s="110">
        <v>0.0</v>
      </c>
      <c r="AT153" s="110">
        <v>0.0</v>
      </c>
      <c r="AU153" s="110">
        <v>0.0</v>
      </c>
      <c r="AV153" s="142">
        <v>0.0</v>
      </c>
      <c r="AW153" s="80">
        <v>0.0</v>
      </c>
      <c r="AX153" s="113">
        <v>140.0</v>
      </c>
      <c r="AY153" s="117">
        <v>0.0</v>
      </c>
      <c r="AZ153" s="328">
        <v>140.0</v>
      </c>
      <c r="BA153" s="315">
        <v>0.0</v>
      </c>
      <c r="BB153" s="316">
        <v>140.0</v>
      </c>
      <c r="BC153" s="132" t="s">
        <v>373</v>
      </c>
      <c r="BD153" s="132" t="s">
        <v>178</v>
      </c>
      <c r="BE153" s="132" t="s">
        <v>178</v>
      </c>
      <c r="BF153" s="156"/>
      <c r="BG153" s="83">
        <v>1178943.0</v>
      </c>
      <c r="BH153" s="112">
        <v>5.0</v>
      </c>
      <c r="BI153" s="98" t="s">
        <v>155</v>
      </c>
      <c r="BJ153" s="98" t="str">
        <f t="shared" si="1"/>
        <v>NÃO</v>
      </c>
      <c r="BK153" s="98" t="str">
        <f t="shared" si="2"/>
        <v>NÃO</v>
      </c>
    </row>
    <row r="154" ht="15.75" customHeight="1">
      <c r="A154" s="111" t="s">
        <v>205</v>
      </c>
      <c r="B154" s="83" t="s">
        <v>732</v>
      </c>
      <c r="C154" s="83" t="s">
        <v>68</v>
      </c>
      <c r="D154" s="83">
        <v>1178023.0</v>
      </c>
      <c r="E154" s="83"/>
      <c r="F154" s="83">
        <v>2.9430534E7</v>
      </c>
      <c r="G154" s="114" t="s">
        <v>737</v>
      </c>
      <c r="H154" s="91" t="s">
        <v>738</v>
      </c>
      <c r="I154" s="114" t="s">
        <v>149</v>
      </c>
      <c r="J154" s="83" t="s">
        <v>150</v>
      </c>
      <c r="K154" s="83" t="s">
        <v>151</v>
      </c>
      <c r="L154" s="83" t="s">
        <v>230</v>
      </c>
      <c r="M154" s="82" t="s">
        <v>3617</v>
      </c>
      <c r="N154" s="82" t="s">
        <v>3618</v>
      </c>
      <c r="O154" s="82" t="s">
        <v>3619</v>
      </c>
      <c r="P154" s="82" t="s">
        <v>3620</v>
      </c>
      <c r="Q154" s="82"/>
      <c r="R154" s="82"/>
      <c r="S154" s="82" t="s">
        <v>3621</v>
      </c>
      <c r="T154" s="138">
        <v>12.0</v>
      </c>
      <c r="U154" s="342" t="s">
        <v>3629</v>
      </c>
      <c r="V154" s="106">
        <v>0.0</v>
      </c>
      <c r="W154" s="107">
        <v>0.0</v>
      </c>
      <c r="X154" s="107">
        <v>0.0</v>
      </c>
      <c r="Y154" s="107">
        <v>0.0</v>
      </c>
      <c r="Z154" s="80">
        <v>0.0</v>
      </c>
      <c r="AA154" s="140">
        <v>0.0</v>
      </c>
      <c r="AB154" s="109">
        <v>0.0</v>
      </c>
      <c r="AC154" s="109">
        <v>0.0</v>
      </c>
      <c r="AD154" s="141">
        <v>0.0</v>
      </c>
      <c r="AE154" s="80">
        <v>0.0</v>
      </c>
      <c r="AF154" s="140">
        <v>196.0</v>
      </c>
      <c r="AG154" s="109">
        <v>300.0</v>
      </c>
      <c r="AH154" s="109">
        <v>39.0</v>
      </c>
      <c r="AI154" s="141">
        <v>70.0</v>
      </c>
      <c r="AJ154" s="80">
        <v>605.0</v>
      </c>
      <c r="AK154" s="140">
        <v>0.0</v>
      </c>
      <c r="AL154" s="109">
        <v>0.0</v>
      </c>
      <c r="AM154" s="141">
        <v>0.0</v>
      </c>
      <c r="AN154" s="80">
        <v>0.0</v>
      </c>
      <c r="AO154" s="140">
        <v>0.0</v>
      </c>
      <c r="AP154" s="109">
        <v>0.0</v>
      </c>
      <c r="AQ154" s="109">
        <v>83.0</v>
      </c>
      <c r="AR154" s="80">
        <v>83.0</v>
      </c>
      <c r="AS154" s="110">
        <v>94.0</v>
      </c>
      <c r="AT154" s="110">
        <v>0.0</v>
      </c>
      <c r="AU154" s="110">
        <v>0.0</v>
      </c>
      <c r="AV154" s="142">
        <v>0.0</v>
      </c>
      <c r="AW154" s="80">
        <v>94.0</v>
      </c>
      <c r="AX154" s="113">
        <v>782.0</v>
      </c>
      <c r="AY154" s="117">
        <v>660.0</v>
      </c>
      <c r="AZ154" s="328">
        <v>122.0</v>
      </c>
      <c r="BA154" s="315">
        <v>0.0</v>
      </c>
      <c r="BB154" s="316">
        <v>782.0</v>
      </c>
      <c r="BC154" s="132" t="s">
        <v>178</v>
      </c>
      <c r="BD154" s="132" t="s">
        <v>178</v>
      </c>
      <c r="BE154" s="132" t="s">
        <v>178</v>
      </c>
      <c r="BF154" s="123"/>
      <c r="BG154" s="83">
        <v>1178023.0</v>
      </c>
      <c r="BH154" s="112">
        <v>10.0</v>
      </c>
      <c r="BI154" s="98" t="s">
        <v>155</v>
      </c>
      <c r="BJ154" s="98" t="str">
        <f t="shared" si="1"/>
        <v>INTEGRAL</v>
      </c>
      <c r="BK154" s="98" t="str">
        <f t="shared" si="2"/>
        <v>PROFISSIONAL</v>
      </c>
    </row>
    <row r="155" ht="15.75" customHeight="1">
      <c r="A155" s="111" t="s">
        <v>205</v>
      </c>
      <c r="B155" s="83" t="s">
        <v>732</v>
      </c>
      <c r="C155" s="83" t="s">
        <v>164</v>
      </c>
      <c r="D155" s="83">
        <v>1178023.0</v>
      </c>
      <c r="E155" s="83">
        <v>1178949.0</v>
      </c>
      <c r="F155" s="83"/>
      <c r="G155" s="114" t="s">
        <v>747</v>
      </c>
      <c r="H155" s="91" t="s">
        <v>748</v>
      </c>
      <c r="I155" s="114" t="s">
        <v>149</v>
      </c>
      <c r="J155" s="83" t="s">
        <v>240</v>
      </c>
      <c r="K155" s="83" t="s">
        <v>168</v>
      </c>
      <c r="L155" s="83" t="s">
        <v>169</v>
      </c>
      <c r="M155" s="82" t="s">
        <v>3617</v>
      </c>
      <c r="N155" s="82" t="s">
        <v>3618</v>
      </c>
      <c r="O155" s="82" t="s">
        <v>3619</v>
      </c>
      <c r="P155" s="82" t="s">
        <v>3620</v>
      </c>
      <c r="Q155" s="82"/>
      <c r="R155" s="82"/>
      <c r="S155" s="82" t="s">
        <v>3621</v>
      </c>
      <c r="T155" s="138">
        <v>3.0</v>
      </c>
      <c r="U155" s="341">
        <v>3.0</v>
      </c>
      <c r="V155" s="106">
        <v>0.0</v>
      </c>
      <c r="W155" s="107">
        <v>0.0</v>
      </c>
      <c r="X155" s="107">
        <v>0.0</v>
      </c>
      <c r="Y155" s="107">
        <v>0.0</v>
      </c>
      <c r="Z155" s="80">
        <v>0.0</v>
      </c>
      <c r="AA155" s="140">
        <v>0.0</v>
      </c>
      <c r="AB155" s="109">
        <v>0.0</v>
      </c>
      <c r="AC155" s="109">
        <v>0.0</v>
      </c>
      <c r="AD155" s="141">
        <v>0.0</v>
      </c>
      <c r="AE155" s="80">
        <v>0.0</v>
      </c>
      <c r="AF155" s="140">
        <v>0.0</v>
      </c>
      <c r="AG155" s="109">
        <v>0.0</v>
      </c>
      <c r="AH155" s="109">
        <v>22.0</v>
      </c>
      <c r="AI155" s="141">
        <v>0.0</v>
      </c>
      <c r="AJ155" s="80">
        <v>22.0</v>
      </c>
      <c r="AK155" s="140">
        <v>0.0</v>
      </c>
      <c r="AL155" s="109">
        <v>0.0</v>
      </c>
      <c r="AM155" s="141">
        <v>0.0</v>
      </c>
      <c r="AN155" s="80">
        <v>0.0</v>
      </c>
      <c r="AO155" s="140">
        <v>0.0</v>
      </c>
      <c r="AP155" s="109">
        <v>0.0</v>
      </c>
      <c r="AQ155" s="109">
        <v>52.0</v>
      </c>
      <c r="AR155" s="80">
        <v>52.0</v>
      </c>
      <c r="AS155" s="110">
        <v>0.0</v>
      </c>
      <c r="AT155" s="110">
        <v>0.0</v>
      </c>
      <c r="AU155" s="110">
        <v>0.0</v>
      </c>
      <c r="AV155" s="142">
        <v>0.0</v>
      </c>
      <c r="AW155" s="80">
        <v>0.0</v>
      </c>
      <c r="AX155" s="113">
        <v>74.0</v>
      </c>
      <c r="AY155" s="117">
        <v>0.0</v>
      </c>
      <c r="AZ155" s="328">
        <v>74.0</v>
      </c>
      <c r="BA155" s="315">
        <v>0.0</v>
      </c>
      <c r="BB155" s="316">
        <v>74.0</v>
      </c>
      <c r="BC155" s="132" t="s">
        <v>373</v>
      </c>
      <c r="BD155" s="132" t="s">
        <v>178</v>
      </c>
      <c r="BE155" s="132" t="s">
        <v>178</v>
      </c>
      <c r="BF155" s="156"/>
      <c r="BG155" s="83">
        <v>1178949.0</v>
      </c>
      <c r="BH155" s="112">
        <v>3.0</v>
      </c>
      <c r="BI155" s="98" t="s">
        <v>155</v>
      </c>
      <c r="BJ155" s="98" t="str">
        <f t="shared" si="1"/>
        <v>NÃO</v>
      </c>
      <c r="BK155" s="98" t="str">
        <f t="shared" si="2"/>
        <v>NÃO</v>
      </c>
    </row>
    <row r="156" ht="15.75" customHeight="1">
      <c r="A156" s="111" t="s">
        <v>205</v>
      </c>
      <c r="B156" s="83" t="s">
        <v>732</v>
      </c>
      <c r="C156" s="83" t="s">
        <v>164</v>
      </c>
      <c r="D156" s="83">
        <v>1178023.0</v>
      </c>
      <c r="E156" s="83">
        <v>1178940.0</v>
      </c>
      <c r="F156" s="83"/>
      <c r="G156" s="114" t="s">
        <v>3640</v>
      </c>
      <c r="H156" s="91" t="s">
        <v>741</v>
      </c>
      <c r="I156" s="114" t="s">
        <v>149</v>
      </c>
      <c r="J156" s="83" t="s">
        <v>440</v>
      </c>
      <c r="K156" s="83" t="s">
        <v>168</v>
      </c>
      <c r="L156" s="83" t="s">
        <v>169</v>
      </c>
      <c r="M156" s="82" t="s">
        <v>3617</v>
      </c>
      <c r="N156" s="82" t="s">
        <v>3618</v>
      </c>
      <c r="O156" s="82" t="s">
        <v>3619</v>
      </c>
      <c r="P156" s="82" t="s">
        <v>3620</v>
      </c>
      <c r="Q156" s="82"/>
      <c r="R156" s="82"/>
      <c r="S156" s="82" t="s">
        <v>3621</v>
      </c>
      <c r="T156" s="138">
        <v>3.0</v>
      </c>
      <c r="U156" s="341">
        <v>3.0</v>
      </c>
      <c r="V156" s="106">
        <v>0.0</v>
      </c>
      <c r="W156" s="107">
        <v>0.0</v>
      </c>
      <c r="X156" s="107">
        <v>0.0</v>
      </c>
      <c r="Y156" s="107">
        <v>0.0</v>
      </c>
      <c r="Z156" s="80">
        <v>0.0</v>
      </c>
      <c r="AA156" s="140">
        <v>0.0</v>
      </c>
      <c r="AB156" s="109">
        <v>0.0</v>
      </c>
      <c r="AC156" s="109">
        <v>0.0</v>
      </c>
      <c r="AD156" s="141">
        <v>0.0</v>
      </c>
      <c r="AE156" s="80">
        <v>0.0</v>
      </c>
      <c r="AF156" s="140">
        <v>0.0</v>
      </c>
      <c r="AG156" s="109">
        <v>0.0</v>
      </c>
      <c r="AH156" s="109">
        <v>10.0</v>
      </c>
      <c r="AI156" s="141">
        <v>0.0</v>
      </c>
      <c r="AJ156" s="80">
        <v>10.0</v>
      </c>
      <c r="AK156" s="140">
        <v>0.0</v>
      </c>
      <c r="AL156" s="109">
        <v>0.0</v>
      </c>
      <c r="AM156" s="141">
        <v>0.0</v>
      </c>
      <c r="AN156" s="80">
        <v>0.0</v>
      </c>
      <c r="AO156" s="140">
        <v>0.0</v>
      </c>
      <c r="AP156" s="109">
        <v>0.0</v>
      </c>
      <c r="AQ156" s="109">
        <v>17.0</v>
      </c>
      <c r="AR156" s="80">
        <v>17.0</v>
      </c>
      <c r="AS156" s="110">
        <v>0.0</v>
      </c>
      <c r="AT156" s="110">
        <v>0.0</v>
      </c>
      <c r="AU156" s="110">
        <v>0.0</v>
      </c>
      <c r="AV156" s="142">
        <v>0.0</v>
      </c>
      <c r="AW156" s="80">
        <v>0.0</v>
      </c>
      <c r="AX156" s="113">
        <v>27.0</v>
      </c>
      <c r="AY156" s="117">
        <v>0.0</v>
      </c>
      <c r="AZ156" s="328">
        <v>27.0</v>
      </c>
      <c r="BA156" s="315">
        <v>0.0</v>
      </c>
      <c r="BB156" s="316">
        <v>27.0</v>
      </c>
      <c r="BC156" s="132" t="s">
        <v>373</v>
      </c>
      <c r="BD156" s="132" t="s">
        <v>178</v>
      </c>
      <c r="BE156" s="132" t="s">
        <v>178</v>
      </c>
      <c r="BF156" s="156"/>
      <c r="BG156" s="83">
        <v>1178940.0</v>
      </c>
      <c r="BH156" s="112">
        <v>3.0</v>
      </c>
      <c r="BI156" s="98" t="s">
        <v>155</v>
      </c>
      <c r="BJ156" s="98" t="str">
        <f t="shared" si="1"/>
        <v>NÃO</v>
      </c>
      <c r="BK156" s="98" t="str">
        <f t="shared" si="2"/>
        <v>NÃO</v>
      </c>
    </row>
    <row r="157" ht="15.75" customHeight="1">
      <c r="A157" s="111" t="s">
        <v>205</v>
      </c>
      <c r="B157" s="83" t="s">
        <v>732</v>
      </c>
      <c r="C157" s="83" t="s">
        <v>164</v>
      </c>
      <c r="D157" s="83">
        <v>1178023.0</v>
      </c>
      <c r="E157" s="83">
        <v>1178948.0</v>
      </c>
      <c r="F157" s="83"/>
      <c r="G157" s="114" t="s">
        <v>3646</v>
      </c>
      <c r="H157" s="91" t="s">
        <v>743</v>
      </c>
      <c r="I157" s="114" t="s">
        <v>149</v>
      </c>
      <c r="J157" s="83" t="s">
        <v>702</v>
      </c>
      <c r="K157" s="83" t="s">
        <v>168</v>
      </c>
      <c r="L157" s="83" t="s">
        <v>169</v>
      </c>
      <c r="M157" s="82" t="s">
        <v>3617</v>
      </c>
      <c r="N157" s="82" t="s">
        <v>3618</v>
      </c>
      <c r="O157" s="82" t="s">
        <v>3619</v>
      </c>
      <c r="P157" s="82" t="s">
        <v>3620</v>
      </c>
      <c r="Q157" s="82"/>
      <c r="R157" s="82"/>
      <c r="S157" s="82" t="s">
        <v>3621</v>
      </c>
      <c r="T157" s="138">
        <v>3.0</v>
      </c>
      <c r="U157" s="341">
        <v>3.0</v>
      </c>
      <c r="V157" s="106">
        <v>0.0</v>
      </c>
      <c r="W157" s="107">
        <v>0.0</v>
      </c>
      <c r="X157" s="107">
        <v>0.0</v>
      </c>
      <c r="Y157" s="107">
        <v>0.0</v>
      </c>
      <c r="Z157" s="80">
        <v>0.0</v>
      </c>
      <c r="AA157" s="140">
        <v>0.0</v>
      </c>
      <c r="AB157" s="109">
        <v>0.0</v>
      </c>
      <c r="AC157" s="109">
        <v>0.0</v>
      </c>
      <c r="AD157" s="141">
        <v>0.0</v>
      </c>
      <c r="AE157" s="80">
        <v>0.0</v>
      </c>
      <c r="AF157" s="140">
        <v>0.0</v>
      </c>
      <c r="AG157" s="109">
        <v>0.0</v>
      </c>
      <c r="AH157" s="109">
        <v>9.0</v>
      </c>
      <c r="AI157" s="141">
        <v>0.0</v>
      </c>
      <c r="AJ157" s="80">
        <v>9.0</v>
      </c>
      <c r="AK157" s="140">
        <v>0.0</v>
      </c>
      <c r="AL157" s="109">
        <v>0.0</v>
      </c>
      <c r="AM157" s="141">
        <v>0.0</v>
      </c>
      <c r="AN157" s="80">
        <v>0.0</v>
      </c>
      <c r="AO157" s="140">
        <v>0.0</v>
      </c>
      <c r="AP157" s="109">
        <v>0.0</v>
      </c>
      <c r="AQ157" s="109">
        <v>19.0</v>
      </c>
      <c r="AR157" s="80">
        <v>19.0</v>
      </c>
      <c r="AS157" s="110">
        <v>0.0</v>
      </c>
      <c r="AT157" s="110">
        <v>0.0</v>
      </c>
      <c r="AU157" s="110">
        <v>0.0</v>
      </c>
      <c r="AV157" s="142">
        <v>0.0</v>
      </c>
      <c r="AW157" s="80">
        <v>0.0</v>
      </c>
      <c r="AX157" s="113">
        <v>28.0</v>
      </c>
      <c r="AY157" s="117">
        <v>0.0</v>
      </c>
      <c r="AZ157" s="328">
        <v>28.0</v>
      </c>
      <c r="BA157" s="315">
        <v>0.0</v>
      </c>
      <c r="BB157" s="316">
        <v>28.0</v>
      </c>
      <c r="BC157" s="132" t="s">
        <v>373</v>
      </c>
      <c r="BD157" s="132" t="s">
        <v>178</v>
      </c>
      <c r="BE157" s="132" t="s">
        <v>178</v>
      </c>
      <c r="BF157" s="156"/>
      <c r="BG157" s="83">
        <v>1178948.0</v>
      </c>
      <c r="BH157" s="112">
        <v>3.0</v>
      </c>
      <c r="BI157" s="98" t="s">
        <v>155</v>
      </c>
      <c r="BJ157" s="98" t="str">
        <f t="shared" si="1"/>
        <v>NÃO</v>
      </c>
      <c r="BK157" s="98" t="str">
        <f t="shared" si="2"/>
        <v>NÃO</v>
      </c>
    </row>
    <row r="158" ht="15.75" customHeight="1">
      <c r="A158" s="111" t="s">
        <v>205</v>
      </c>
      <c r="B158" s="83" t="s">
        <v>732</v>
      </c>
      <c r="C158" s="83" t="s">
        <v>164</v>
      </c>
      <c r="D158" s="83">
        <v>1178023.0</v>
      </c>
      <c r="E158" s="83">
        <v>1178947.0</v>
      </c>
      <c r="F158" s="83"/>
      <c r="G158" s="114" t="s">
        <v>749</v>
      </c>
      <c r="H158" s="91" t="s">
        <v>750</v>
      </c>
      <c r="I158" s="114" t="s">
        <v>149</v>
      </c>
      <c r="J158" s="83" t="s">
        <v>751</v>
      </c>
      <c r="K158" s="83" t="s">
        <v>168</v>
      </c>
      <c r="L158" s="83" t="s">
        <v>169</v>
      </c>
      <c r="M158" s="82" t="s">
        <v>3617</v>
      </c>
      <c r="N158" s="82" t="s">
        <v>3618</v>
      </c>
      <c r="O158" s="82" t="s">
        <v>3619</v>
      </c>
      <c r="P158" s="82" t="s">
        <v>3620</v>
      </c>
      <c r="Q158" s="82"/>
      <c r="R158" s="82"/>
      <c r="S158" s="82" t="s">
        <v>3621</v>
      </c>
      <c r="T158" s="138">
        <v>3.0</v>
      </c>
      <c r="U158" s="341">
        <v>3.0</v>
      </c>
      <c r="V158" s="106">
        <v>0.0</v>
      </c>
      <c r="W158" s="107">
        <v>0.0</v>
      </c>
      <c r="X158" s="107">
        <v>0.0</v>
      </c>
      <c r="Y158" s="107">
        <v>0.0</v>
      </c>
      <c r="Z158" s="80">
        <v>0.0</v>
      </c>
      <c r="AA158" s="140">
        <v>0.0</v>
      </c>
      <c r="AB158" s="109">
        <v>0.0</v>
      </c>
      <c r="AC158" s="109">
        <v>0.0</v>
      </c>
      <c r="AD158" s="141">
        <v>0.0</v>
      </c>
      <c r="AE158" s="80">
        <v>0.0</v>
      </c>
      <c r="AF158" s="140">
        <v>0.0</v>
      </c>
      <c r="AG158" s="109">
        <v>0.0</v>
      </c>
      <c r="AH158" s="109">
        <v>10.0</v>
      </c>
      <c r="AI158" s="141">
        <v>0.0</v>
      </c>
      <c r="AJ158" s="80">
        <v>10.0</v>
      </c>
      <c r="AK158" s="140">
        <v>0.0</v>
      </c>
      <c r="AL158" s="109">
        <v>0.0</v>
      </c>
      <c r="AM158" s="141">
        <v>0.0</v>
      </c>
      <c r="AN158" s="80">
        <v>0.0</v>
      </c>
      <c r="AO158" s="140">
        <v>0.0</v>
      </c>
      <c r="AP158" s="109">
        <v>0.0</v>
      </c>
      <c r="AQ158" s="109">
        <v>25.0</v>
      </c>
      <c r="AR158" s="80">
        <v>25.0</v>
      </c>
      <c r="AS158" s="110">
        <v>0.0</v>
      </c>
      <c r="AT158" s="110">
        <v>0.0</v>
      </c>
      <c r="AU158" s="110">
        <v>0.0</v>
      </c>
      <c r="AV158" s="142">
        <v>0.0</v>
      </c>
      <c r="AW158" s="80">
        <v>0.0</v>
      </c>
      <c r="AX158" s="113">
        <v>35.0</v>
      </c>
      <c r="AY158" s="117">
        <v>0.0</v>
      </c>
      <c r="AZ158" s="328">
        <v>35.0</v>
      </c>
      <c r="BA158" s="315">
        <v>0.0</v>
      </c>
      <c r="BB158" s="316">
        <v>35.0</v>
      </c>
      <c r="BC158" s="132" t="s">
        <v>373</v>
      </c>
      <c r="BD158" s="132" t="s">
        <v>178</v>
      </c>
      <c r="BE158" s="132" t="s">
        <v>178</v>
      </c>
      <c r="BF158" s="156"/>
      <c r="BG158" s="83">
        <v>1178947.0</v>
      </c>
      <c r="BH158" s="112">
        <v>3.0</v>
      </c>
      <c r="BI158" s="98" t="s">
        <v>155</v>
      </c>
      <c r="BJ158" s="98" t="str">
        <f t="shared" si="1"/>
        <v>NÃO</v>
      </c>
      <c r="BK158" s="98" t="str">
        <f t="shared" si="2"/>
        <v>NÃO</v>
      </c>
    </row>
    <row r="159" ht="15.75" customHeight="1">
      <c r="A159" s="111" t="s">
        <v>205</v>
      </c>
      <c r="B159" s="83" t="s">
        <v>732</v>
      </c>
      <c r="C159" s="83" t="s">
        <v>164</v>
      </c>
      <c r="D159" s="83">
        <v>1178023.0</v>
      </c>
      <c r="E159" s="83">
        <v>1178939.0</v>
      </c>
      <c r="F159" s="83"/>
      <c r="G159" s="114" t="s">
        <v>2467</v>
      </c>
      <c r="H159" s="91" t="s">
        <v>759</v>
      </c>
      <c r="I159" s="114" t="s">
        <v>3652</v>
      </c>
      <c r="J159" s="83" t="s">
        <v>222</v>
      </c>
      <c r="K159" s="83" t="s">
        <v>168</v>
      </c>
      <c r="L159" s="83" t="s">
        <v>169</v>
      </c>
      <c r="M159" s="82" t="s">
        <v>3617</v>
      </c>
      <c r="N159" s="82" t="s">
        <v>3618</v>
      </c>
      <c r="O159" s="82" t="s">
        <v>3619</v>
      </c>
      <c r="P159" s="82" t="s">
        <v>3620</v>
      </c>
      <c r="Q159" s="82"/>
      <c r="R159" s="82"/>
      <c r="S159" s="82" t="s">
        <v>3621</v>
      </c>
      <c r="T159" s="138">
        <v>3.0</v>
      </c>
      <c r="U159" s="341">
        <v>3.0</v>
      </c>
      <c r="V159" s="106">
        <v>0.0</v>
      </c>
      <c r="W159" s="107">
        <v>0.0</v>
      </c>
      <c r="X159" s="107">
        <v>0.0</v>
      </c>
      <c r="Y159" s="107">
        <v>0.0</v>
      </c>
      <c r="Z159" s="80">
        <v>0.0</v>
      </c>
      <c r="AA159" s="140">
        <v>0.0</v>
      </c>
      <c r="AB159" s="109">
        <v>0.0</v>
      </c>
      <c r="AC159" s="109">
        <v>0.0</v>
      </c>
      <c r="AD159" s="141">
        <v>0.0</v>
      </c>
      <c r="AE159" s="80">
        <v>0.0</v>
      </c>
      <c r="AF159" s="140">
        <v>0.0</v>
      </c>
      <c r="AG159" s="109">
        <v>0.0</v>
      </c>
      <c r="AH159" s="109">
        <v>6.0</v>
      </c>
      <c r="AI159" s="141">
        <v>0.0</v>
      </c>
      <c r="AJ159" s="80">
        <v>6.0</v>
      </c>
      <c r="AK159" s="140">
        <v>0.0</v>
      </c>
      <c r="AL159" s="109">
        <v>0.0</v>
      </c>
      <c r="AM159" s="141">
        <v>0.0</v>
      </c>
      <c r="AN159" s="80">
        <v>0.0</v>
      </c>
      <c r="AO159" s="140">
        <v>0.0</v>
      </c>
      <c r="AP159" s="109">
        <v>0.0</v>
      </c>
      <c r="AQ159" s="109">
        <v>21.0</v>
      </c>
      <c r="AR159" s="80">
        <v>21.0</v>
      </c>
      <c r="AS159" s="110">
        <v>0.0</v>
      </c>
      <c r="AT159" s="110">
        <v>0.0</v>
      </c>
      <c r="AU159" s="110">
        <v>0.0</v>
      </c>
      <c r="AV159" s="142">
        <v>0.0</v>
      </c>
      <c r="AW159" s="80">
        <v>0.0</v>
      </c>
      <c r="AX159" s="113">
        <v>27.0</v>
      </c>
      <c r="AY159" s="117">
        <v>0.0</v>
      </c>
      <c r="AZ159" s="328">
        <v>27.0</v>
      </c>
      <c r="BA159" s="315">
        <v>0.0</v>
      </c>
      <c r="BB159" s="316">
        <v>27.0</v>
      </c>
      <c r="BC159" s="132" t="s">
        <v>373</v>
      </c>
      <c r="BD159" s="132" t="s">
        <v>178</v>
      </c>
      <c r="BE159" s="132" t="s">
        <v>178</v>
      </c>
      <c r="BF159" s="156"/>
      <c r="BG159" s="83">
        <v>1178939.0</v>
      </c>
      <c r="BH159" s="112">
        <v>3.0</v>
      </c>
      <c r="BI159" s="98" t="s">
        <v>155</v>
      </c>
      <c r="BJ159" s="98" t="str">
        <f t="shared" si="1"/>
        <v>NÃO</v>
      </c>
      <c r="BK159" s="98" t="str">
        <f t="shared" si="2"/>
        <v>NÃO</v>
      </c>
    </row>
    <row r="160" ht="15.75" customHeight="1">
      <c r="A160" s="111" t="s">
        <v>205</v>
      </c>
      <c r="B160" s="83" t="s">
        <v>732</v>
      </c>
      <c r="C160" s="83" t="s">
        <v>164</v>
      </c>
      <c r="D160" s="83">
        <v>1178023.0</v>
      </c>
      <c r="E160" s="83">
        <v>1178946.0</v>
      </c>
      <c r="F160" s="83"/>
      <c r="G160" s="114" t="s">
        <v>753</v>
      </c>
      <c r="H160" s="91" t="s">
        <v>754</v>
      </c>
      <c r="I160" s="114" t="s">
        <v>755</v>
      </c>
      <c r="J160" s="83" t="s">
        <v>702</v>
      </c>
      <c r="K160" s="83" t="s">
        <v>168</v>
      </c>
      <c r="L160" s="83" t="s">
        <v>169</v>
      </c>
      <c r="M160" s="82" t="s">
        <v>3617</v>
      </c>
      <c r="N160" s="82" t="s">
        <v>3618</v>
      </c>
      <c r="O160" s="82" t="s">
        <v>3619</v>
      </c>
      <c r="P160" s="82" t="s">
        <v>3620</v>
      </c>
      <c r="Q160" s="82"/>
      <c r="R160" s="82"/>
      <c r="S160" s="82" t="s">
        <v>3621</v>
      </c>
      <c r="T160" s="138">
        <v>3.0</v>
      </c>
      <c r="U160" s="341">
        <v>3.0</v>
      </c>
      <c r="V160" s="106">
        <v>0.0</v>
      </c>
      <c r="W160" s="107">
        <v>0.0</v>
      </c>
      <c r="X160" s="107">
        <v>0.0</v>
      </c>
      <c r="Y160" s="107">
        <v>0.0</v>
      </c>
      <c r="Z160" s="80">
        <v>0.0</v>
      </c>
      <c r="AA160" s="140">
        <v>0.0</v>
      </c>
      <c r="AB160" s="109">
        <v>0.0</v>
      </c>
      <c r="AC160" s="109">
        <v>0.0</v>
      </c>
      <c r="AD160" s="141">
        <v>0.0</v>
      </c>
      <c r="AE160" s="80">
        <v>0.0</v>
      </c>
      <c r="AF160" s="140">
        <v>0.0</v>
      </c>
      <c r="AG160" s="109">
        <v>52.0</v>
      </c>
      <c r="AH160" s="109">
        <v>0.0</v>
      </c>
      <c r="AI160" s="141">
        <v>0.0</v>
      </c>
      <c r="AJ160" s="80">
        <v>52.0</v>
      </c>
      <c r="AK160" s="140">
        <v>0.0</v>
      </c>
      <c r="AL160" s="109">
        <v>0.0</v>
      </c>
      <c r="AM160" s="141">
        <v>0.0</v>
      </c>
      <c r="AN160" s="80">
        <v>0.0</v>
      </c>
      <c r="AO160" s="140">
        <v>0.0</v>
      </c>
      <c r="AP160" s="109">
        <v>0.0</v>
      </c>
      <c r="AQ160" s="109">
        <v>0.0</v>
      </c>
      <c r="AR160" s="80">
        <v>0.0</v>
      </c>
      <c r="AS160" s="110">
        <v>0.0</v>
      </c>
      <c r="AT160" s="110">
        <v>0.0</v>
      </c>
      <c r="AU160" s="110">
        <v>0.0</v>
      </c>
      <c r="AV160" s="142">
        <v>0.0</v>
      </c>
      <c r="AW160" s="80">
        <v>0.0</v>
      </c>
      <c r="AX160" s="113">
        <v>52.0</v>
      </c>
      <c r="AY160" s="117">
        <v>52.0</v>
      </c>
      <c r="AZ160" s="328">
        <v>0.0</v>
      </c>
      <c r="BA160" s="315">
        <v>0.0</v>
      </c>
      <c r="BB160" s="316">
        <v>52.0</v>
      </c>
      <c r="BC160" s="132" t="s">
        <v>373</v>
      </c>
      <c r="BD160" s="132" t="s">
        <v>178</v>
      </c>
      <c r="BE160" s="132" t="s">
        <v>178</v>
      </c>
      <c r="BF160" s="156"/>
      <c r="BG160" s="83">
        <v>1178946.0</v>
      </c>
      <c r="BH160" s="112">
        <v>3.0</v>
      </c>
      <c r="BI160" s="98" t="s">
        <v>155</v>
      </c>
      <c r="BJ160" s="98" t="str">
        <f t="shared" si="1"/>
        <v>NÃO</v>
      </c>
      <c r="BK160" s="98" t="str">
        <f t="shared" si="2"/>
        <v>NÃO</v>
      </c>
    </row>
    <row r="161" ht="15.75" customHeight="1">
      <c r="A161" s="111" t="s">
        <v>205</v>
      </c>
      <c r="B161" s="83" t="s">
        <v>732</v>
      </c>
      <c r="C161" s="83" t="s">
        <v>164</v>
      </c>
      <c r="D161" s="83">
        <v>1178023.0</v>
      </c>
      <c r="E161" s="83">
        <v>1178945.0</v>
      </c>
      <c r="F161" s="83"/>
      <c r="G161" s="114" t="s">
        <v>3658</v>
      </c>
      <c r="H161" s="91" t="s">
        <v>745</v>
      </c>
      <c r="I161" s="187" t="s">
        <v>746</v>
      </c>
      <c r="J161" s="136" t="s">
        <v>702</v>
      </c>
      <c r="K161" s="136" t="s">
        <v>168</v>
      </c>
      <c r="L161" s="83" t="s">
        <v>169</v>
      </c>
      <c r="M161" s="82" t="s">
        <v>3617</v>
      </c>
      <c r="N161" s="82" t="s">
        <v>3618</v>
      </c>
      <c r="O161" s="82" t="s">
        <v>3619</v>
      </c>
      <c r="P161" s="82" t="s">
        <v>3620</v>
      </c>
      <c r="Q161" s="82"/>
      <c r="R161" s="82"/>
      <c r="S161" s="82" t="s">
        <v>3621</v>
      </c>
      <c r="T161" s="138">
        <v>3.0</v>
      </c>
      <c r="U161" s="341">
        <v>3.0</v>
      </c>
      <c r="V161" s="106">
        <v>0.0</v>
      </c>
      <c r="W161" s="107">
        <v>0.0</v>
      </c>
      <c r="X161" s="107">
        <v>0.0</v>
      </c>
      <c r="Y161" s="107">
        <v>0.0</v>
      </c>
      <c r="Z161" s="80">
        <v>0.0</v>
      </c>
      <c r="AA161" s="140">
        <v>0.0</v>
      </c>
      <c r="AB161" s="109">
        <v>0.0</v>
      </c>
      <c r="AC161" s="109">
        <v>0.0</v>
      </c>
      <c r="AD161" s="141">
        <v>0.0</v>
      </c>
      <c r="AE161" s="80">
        <v>0.0</v>
      </c>
      <c r="AF161" s="140">
        <v>0.0</v>
      </c>
      <c r="AG161" s="109">
        <v>0.0</v>
      </c>
      <c r="AH161" s="109">
        <v>19.0</v>
      </c>
      <c r="AI161" s="141">
        <v>0.0</v>
      </c>
      <c r="AJ161" s="80">
        <v>19.0</v>
      </c>
      <c r="AK161" s="140">
        <v>0.0</v>
      </c>
      <c r="AL161" s="109">
        <v>0.0</v>
      </c>
      <c r="AM161" s="141">
        <v>0.0</v>
      </c>
      <c r="AN161" s="80">
        <v>0.0</v>
      </c>
      <c r="AO161" s="140">
        <v>0.0</v>
      </c>
      <c r="AP161" s="109">
        <v>0.0</v>
      </c>
      <c r="AQ161" s="109">
        <v>48.0</v>
      </c>
      <c r="AR161" s="80">
        <v>48.0</v>
      </c>
      <c r="AS161" s="110">
        <v>0.0</v>
      </c>
      <c r="AT161" s="110">
        <v>0.0</v>
      </c>
      <c r="AU161" s="110">
        <v>0.0</v>
      </c>
      <c r="AV161" s="142">
        <v>0.0</v>
      </c>
      <c r="AW161" s="80">
        <v>0.0</v>
      </c>
      <c r="AX161" s="113">
        <v>67.0</v>
      </c>
      <c r="AY161" s="117">
        <v>0.0</v>
      </c>
      <c r="AZ161" s="328">
        <v>67.0</v>
      </c>
      <c r="BA161" s="315">
        <v>0.0</v>
      </c>
      <c r="BB161" s="316">
        <v>67.0</v>
      </c>
      <c r="BC161" s="132" t="s">
        <v>373</v>
      </c>
      <c r="BD161" s="132" t="s">
        <v>178</v>
      </c>
      <c r="BE161" s="132" t="s">
        <v>178</v>
      </c>
      <c r="BF161" s="156"/>
      <c r="BG161" s="83">
        <v>1178945.0</v>
      </c>
      <c r="BH161" s="112">
        <v>3.0</v>
      </c>
      <c r="BI161" s="98" t="s">
        <v>155</v>
      </c>
      <c r="BJ161" s="98" t="str">
        <f t="shared" si="1"/>
        <v>NÃO</v>
      </c>
      <c r="BK161" s="98" t="str">
        <f t="shared" si="2"/>
        <v>NÃO</v>
      </c>
    </row>
    <row r="162" ht="15.75" customHeight="1">
      <c r="A162" s="111" t="s">
        <v>205</v>
      </c>
      <c r="B162" s="98" t="s">
        <v>732</v>
      </c>
      <c r="C162" s="83" t="s">
        <v>164</v>
      </c>
      <c r="D162" s="83">
        <v>1179431.0</v>
      </c>
      <c r="E162" s="180">
        <v>1179767.0</v>
      </c>
      <c r="F162" s="83"/>
      <c r="G162" s="119" t="s">
        <v>756</v>
      </c>
      <c r="H162" s="108" t="s">
        <v>757</v>
      </c>
      <c r="I162" s="114"/>
      <c r="J162" s="83"/>
      <c r="K162" s="98" t="s">
        <v>168</v>
      </c>
      <c r="L162" s="83" t="s">
        <v>169</v>
      </c>
      <c r="M162" s="82" t="s">
        <v>3052</v>
      </c>
      <c r="N162" s="82" t="s">
        <v>3054</v>
      </c>
      <c r="O162" s="82" t="s">
        <v>3056</v>
      </c>
      <c r="P162" s="82" t="s">
        <v>3058</v>
      </c>
      <c r="Q162" s="82"/>
      <c r="R162" s="82"/>
      <c r="S162" s="82" t="s">
        <v>3059</v>
      </c>
      <c r="T162" s="138"/>
      <c r="U162" s="323"/>
      <c r="V162" s="106">
        <v>0.0</v>
      </c>
      <c r="W162" s="107">
        <v>0.0</v>
      </c>
      <c r="X162" s="107">
        <v>0.0</v>
      </c>
      <c r="Y162" s="107">
        <v>0.0</v>
      </c>
      <c r="Z162" s="80">
        <v>0.0</v>
      </c>
      <c r="AA162" s="140">
        <v>0.0</v>
      </c>
      <c r="AB162" s="109">
        <v>0.0</v>
      </c>
      <c r="AC162" s="109">
        <v>0.0</v>
      </c>
      <c r="AD162" s="141">
        <v>0.0</v>
      </c>
      <c r="AE162" s="80">
        <v>0.0</v>
      </c>
      <c r="AF162" s="140">
        <v>0.0</v>
      </c>
      <c r="AG162" s="109">
        <v>0.0</v>
      </c>
      <c r="AH162" s="109">
        <v>19.0</v>
      </c>
      <c r="AI162" s="141">
        <v>0.0</v>
      </c>
      <c r="AJ162" s="80">
        <v>19.0</v>
      </c>
      <c r="AK162" s="140">
        <v>0.0</v>
      </c>
      <c r="AL162" s="109">
        <v>0.0</v>
      </c>
      <c r="AM162" s="141">
        <v>0.0</v>
      </c>
      <c r="AN162" s="80">
        <v>0.0</v>
      </c>
      <c r="AO162" s="140">
        <v>0.0</v>
      </c>
      <c r="AP162" s="109">
        <v>0.0</v>
      </c>
      <c r="AQ162" s="109">
        <v>0.0</v>
      </c>
      <c r="AR162" s="80">
        <v>0.0</v>
      </c>
      <c r="AS162" s="110">
        <v>0.0</v>
      </c>
      <c r="AT162" s="110">
        <v>0.0</v>
      </c>
      <c r="AU162" s="110">
        <v>0.0</v>
      </c>
      <c r="AV162" s="142">
        <v>0.0</v>
      </c>
      <c r="AW162" s="80">
        <v>0.0</v>
      </c>
      <c r="AX162" s="113">
        <v>19.0</v>
      </c>
      <c r="AY162" s="117">
        <v>0.0</v>
      </c>
      <c r="AZ162" s="328">
        <v>19.0</v>
      </c>
      <c r="BA162" s="315">
        <v>0.0</v>
      </c>
      <c r="BB162" s="316">
        <v>19.0</v>
      </c>
      <c r="BC162" s="132" t="s">
        <v>178</v>
      </c>
      <c r="BD162" s="132" t="s">
        <v>178</v>
      </c>
      <c r="BE162" s="132" t="s">
        <v>178</v>
      </c>
      <c r="BF162" s="123"/>
      <c r="BG162" s="98">
        <v>1179767.0</v>
      </c>
      <c r="BH162" s="98">
        <v>0.0</v>
      </c>
      <c r="BI162" s="98" t="s">
        <v>155</v>
      </c>
      <c r="BJ162" s="98" t="str">
        <f t="shared" si="1"/>
        <v>NÃO</v>
      </c>
      <c r="BK162" s="98" t="str">
        <f t="shared" si="2"/>
        <v>NÃO</v>
      </c>
    </row>
    <row r="163" ht="15.75" customHeight="1">
      <c r="A163" s="111" t="s">
        <v>205</v>
      </c>
      <c r="B163" s="83" t="s">
        <v>732</v>
      </c>
      <c r="C163" s="83" t="s">
        <v>164</v>
      </c>
      <c r="D163" s="83">
        <v>1179431.0</v>
      </c>
      <c r="E163" s="83">
        <v>1178950.0</v>
      </c>
      <c r="F163" s="83"/>
      <c r="G163" s="114" t="s">
        <v>2295</v>
      </c>
      <c r="H163" s="91" t="s">
        <v>3668</v>
      </c>
      <c r="I163" s="187" t="s">
        <v>149</v>
      </c>
      <c r="J163" s="115" t="s">
        <v>244</v>
      </c>
      <c r="K163" s="98" t="s">
        <v>168</v>
      </c>
      <c r="L163" s="83" t="s">
        <v>512</v>
      </c>
      <c r="M163" s="82" t="s">
        <v>3052</v>
      </c>
      <c r="N163" s="82" t="s">
        <v>3054</v>
      </c>
      <c r="O163" s="82" t="s">
        <v>3056</v>
      </c>
      <c r="P163" s="82" t="s">
        <v>3058</v>
      </c>
      <c r="Q163" s="82"/>
      <c r="R163" s="82"/>
      <c r="S163" s="82" t="s">
        <v>3059</v>
      </c>
      <c r="T163" s="138">
        <v>3.0</v>
      </c>
      <c r="U163" s="370">
        <v>3.0</v>
      </c>
      <c r="V163" s="106">
        <v>0.0</v>
      </c>
      <c r="W163" s="107">
        <v>0.0</v>
      </c>
      <c r="X163" s="107">
        <v>0.0</v>
      </c>
      <c r="Y163" s="107">
        <v>0.0</v>
      </c>
      <c r="Z163" s="80">
        <v>0.0</v>
      </c>
      <c r="AA163" s="140">
        <v>0.0</v>
      </c>
      <c r="AB163" s="109">
        <v>0.0</v>
      </c>
      <c r="AC163" s="109">
        <v>0.0</v>
      </c>
      <c r="AD163" s="141">
        <v>0.0</v>
      </c>
      <c r="AE163" s="80">
        <v>0.0</v>
      </c>
      <c r="AF163" s="140">
        <v>0.0</v>
      </c>
      <c r="AG163" s="109">
        <v>0.0</v>
      </c>
      <c r="AH163" s="109">
        <v>9.0</v>
      </c>
      <c r="AI163" s="141">
        <v>0.0</v>
      </c>
      <c r="AJ163" s="80">
        <v>9.0</v>
      </c>
      <c r="AK163" s="140">
        <v>0.0</v>
      </c>
      <c r="AL163" s="109">
        <v>0.0</v>
      </c>
      <c r="AM163" s="141">
        <v>0.0</v>
      </c>
      <c r="AN163" s="80">
        <v>0.0</v>
      </c>
      <c r="AO163" s="140">
        <v>0.0</v>
      </c>
      <c r="AP163" s="109">
        <v>0.0</v>
      </c>
      <c r="AQ163" s="109">
        <v>0.0</v>
      </c>
      <c r="AR163" s="80">
        <v>0.0</v>
      </c>
      <c r="AS163" s="110">
        <v>0.0</v>
      </c>
      <c r="AT163" s="110">
        <v>0.0</v>
      </c>
      <c r="AU163" s="110">
        <v>0.0</v>
      </c>
      <c r="AV163" s="142">
        <v>0.0</v>
      </c>
      <c r="AW163" s="80">
        <v>0.0</v>
      </c>
      <c r="AX163" s="113">
        <v>9.0</v>
      </c>
      <c r="AY163" s="117">
        <v>0.0</v>
      </c>
      <c r="AZ163" s="328">
        <v>9.0</v>
      </c>
      <c r="BA163" s="315">
        <v>0.0</v>
      </c>
      <c r="BB163" s="316">
        <v>9.0</v>
      </c>
      <c r="BC163" s="132" t="s">
        <v>178</v>
      </c>
      <c r="BD163" s="143" t="s">
        <v>227</v>
      </c>
      <c r="BE163" s="132" t="s">
        <v>178</v>
      </c>
      <c r="BF163" s="156"/>
      <c r="BG163" s="83">
        <v>1178950.0</v>
      </c>
      <c r="BH163" s="112">
        <v>3.0</v>
      </c>
      <c r="BI163" s="98" t="s">
        <v>155</v>
      </c>
      <c r="BJ163" s="98" t="str">
        <f t="shared" si="1"/>
        <v>NÃO</v>
      </c>
      <c r="BK163" s="98" t="str">
        <f t="shared" si="2"/>
        <v>NÃO</v>
      </c>
    </row>
    <row r="164" ht="15.75" customHeight="1">
      <c r="A164" s="111" t="s">
        <v>205</v>
      </c>
      <c r="B164" s="83" t="s">
        <v>732</v>
      </c>
      <c r="C164" s="83" t="s">
        <v>164</v>
      </c>
      <c r="D164" s="83">
        <v>1179431.0</v>
      </c>
      <c r="E164" s="83">
        <v>1178941.0</v>
      </c>
      <c r="F164" s="83"/>
      <c r="G164" s="114" t="s">
        <v>758</v>
      </c>
      <c r="H164" s="91" t="s">
        <v>759</v>
      </c>
      <c r="I164" s="187" t="s">
        <v>760</v>
      </c>
      <c r="J164" s="136" t="s">
        <v>751</v>
      </c>
      <c r="K164" s="136" t="s">
        <v>168</v>
      </c>
      <c r="L164" s="83" t="s">
        <v>169</v>
      </c>
      <c r="M164" s="82" t="s">
        <v>3052</v>
      </c>
      <c r="N164" s="82" t="s">
        <v>3054</v>
      </c>
      <c r="O164" s="82" t="s">
        <v>3056</v>
      </c>
      <c r="P164" s="82" t="s">
        <v>3058</v>
      </c>
      <c r="Q164" s="82"/>
      <c r="R164" s="82"/>
      <c r="S164" s="82" t="s">
        <v>3059</v>
      </c>
      <c r="T164" s="138">
        <v>3.0</v>
      </c>
      <c r="U164" s="370">
        <v>3.0</v>
      </c>
      <c r="V164" s="106">
        <v>0.0</v>
      </c>
      <c r="W164" s="107">
        <v>0.0</v>
      </c>
      <c r="X164" s="107">
        <v>0.0</v>
      </c>
      <c r="Y164" s="107">
        <v>0.0</v>
      </c>
      <c r="Z164" s="80">
        <v>0.0</v>
      </c>
      <c r="AA164" s="140">
        <v>0.0</v>
      </c>
      <c r="AB164" s="109">
        <v>0.0</v>
      </c>
      <c r="AC164" s="109">
        <v>0.0</v>
      </c>
      <c r="AD164" s="141">
        <v>0.0</v>
      </c>
      <c r="AE164" s="80">
        <v>0.0</v>
      </c>
      <c r="AF164" s="140">
        <v>0.0</v>
      </c>
      <c r="AG164" s="109">
        <v>0.0</v>
      </c>
      <c r="AH164" s="109">
        <v>39.0</v>
      </c>
      <c r="AI164" s="141">
        <v>0.0</v>
      </c>
      <c r="AJ164" s="80">
        <v>39.0</v>
      </c>
      <c r="AK164" s="140">
        <v>0.0</v>
      </c>
      <c r="AL164" s="109">
        <v>0.0</v>
      </c>
      <c r="AM164" s="141">
        <v>0.0</v>
      </c>
      <c r="AN164" s="80">
        <v>0.0</v>
      </c>
      <c r="AO164" s="140">
        <v>0.0</v>
      </c>
      <c r="AP164" s="109">
        <v>0.0</v>
      </c>
      <c r="AQ164" s="109">
        <v>0.0</v>
      </c>
      <c r="AR164" s="80">
        <v>0.0</v>
      </c>
      <c r="AS164" s="110">
        <v>0.0</v>
      </c>
      <c r="AT164" s="110">
        <v>0.0</v>
      </c>
      <c r="AU164" s="110">
        <v>0.0</v>
      </c>
      <c r="AV164" s="142">
        <v>0.0</v>
      </c>
      <c r="AW164" s="80">
        <v>0.0</v>
      </c>
      <c r="AX164" s="113">
        <v>39.0</v>
      </c>
      <c r="AY164" s="117">
        <v>0.0</v>
      </c>
      <c r="AZ164" s="328">
        <v>39.0</v>
      </c>
      <c r="BA164" s="315">
        <v>0.0</v>
      </c>
      <c r="BB164" s="316">
        <v>39.0</v>
      </c>
      <c r="BC164" s="132" t="s">
        <v>178</v>
      </c>
      <c r="BD164" s="143" t="s">
        <v>227</v>
      </c>
      <c r="BE164" s="132" t="s">
        <v>178</v>
      </c>
      <c r="BF164" s="156"/>
      <c r="BG164" s="83">
        <v>1178941.0</v>
      </c>
      <c r="BH164" s="112">
        <v>3.0</v>
      </c>
      <c r="BI164" s="98" t="s">
        <v>155</v>
      </c>
      <c r="BJ164" s="98" t="str">
        <f t="shared" si="1"/>
        <v>NÃO</v>
      </c>
      <c r="BK164" s="98" t="str">
        <f t="shared" si="2"/>
        <v>NÃO</v>
      </c>
    </row>
    <row r="165" ht="15.75" customHeight="1">
      <c r="A165" s="111" t="s">
        <v>205</v>
      </c>
      <c r="B165" s="83" t="s">
        <v>732</v>
      </c>
      <c r="C165" s="83" t="s">
        <v>164</v>
      </c>
      <c r="D165" s="83">
        <v>1179431.0</v>
      </c>
      <c r="E165" s="83">
        <v>1178936.0</v>
      </c>
      <c r="F165" s="83"/>
      <c r="G165" s="114" t="s">
        <v>761</v>
      </c>
      <c r="H165" s="91" t="s">
        <v>759</v>
      </c>
      <c r="I165" s="187" t="s">
        <v>760</v>
      </c>
      <c r="J165" s="136" t="s">
        <v>762</v>
      </c>
      <c r="K165" s="136" t="s">
        <v>168</v>
      </c>
      <c r="L165" s="83" t="s">
        <v>169</v>
      </c>
      <c r="M165" s="82" t="s">
        <v>3052</v>
      </c>
      <c r="N165" s="82" t="s">
        <v>3054</v>
      </c>
      <c r="O165" s="82" t="s">
        <v>3056</v>
      </c>
      <c r="P165" s="82" t="s">
        <v>3058</v>
      </c>
      <c r="Q165" s="82"/>
      <c r="R165" s="82"/>
      <c r="S165" s="82" t="s">
        <v>3059</v>
      </c>
      <c r="T165" s="138">
        <v>3.0</v>
      </c>
      <c r="U165" s="370">
        <v>3.0</v>
      </c>
      <c r="V165" s="106">
        <v>0.0</v>
      </c>
      <c r="W165" s="107">
        <v>0.0</v>
      </c>
      <c r="X165" s="107">
        <v>0.0</v>
      </c>
      <c r="Y165" s="107">
        <v>0.0</v>
      </c>
      <c r="Z165" s="80">
        <v>0.0</v>
      </c>
      <c r="AA165" s="140">
        <v>0.0</v>
      </c>
      <c r="AB165" s="109">
        <v>0.0</v>
      </c>
      <c r="AC165" s="109">
        <v>0.0</v>
      </c>
      <c r="AD165" s="141">
        <v>0.0</v>
      </c>
      <c r="AE165" s="80">
        <v>0.0</v>
      </c>
      <c r="AF165" s="140">
        <v>0.0</v>
      </c>
      <c r="AG165" s="109">
        <v>0.0</v>
      </c>
      <c r="AH165" s="109">
        <v>43.0</v>
      </c>
      <c r="AI165" s="141">
        <v>0.0</v>
      </c>
      <c r="AJ165" s="80">
        <v>43.0</v>
      </c>
      <c r="AK165" s="140">
        <v>0.0</v>
      </c>
      <c r="AL165" s="109">
        <v>0.0</v>
      </c>
      <c r="AM165" s="141">
        <v>0.0</v>
      </c>
      <c r="AN165" s="80">
        <v>0.0</v>
      </c>
      <c r="AO165" s="140">
        <v>0.0</v>
      </c>
      <c r="AP165" s="109">
        <v>0.0</v>
      </c>
      <c r="AQ165" s="109">
        <v>0.0</v>
      </c>
      <c r="AR165" s="80">
        <v>0.0</v>
      </c>
      <c r="AS165" s="110">
        <v>0.0</v>
      </c>
      <c r="AT165" s="110">
        <v>0.0</v>
      </c>
      <c r="AU165" s="110">
        <v>0.0</v>
      </c>
      <c r="AV165" s="142">
        <v>0.0</v>
      </c>
      <c r="AW165" s="80">
        <v>0.0</v>
      </c>
      <c r="AX165" s="113">
        <v>43.0</v>
      </c>
      <c r="AY165" s="117">
        <v>0.0</v>
      </c>
      <c r="AZ165" s="328">
        <v>43.0</v>
      </c>
      <c r="BA165" s="315">
        <v>0.0</v>
      </c>
      <c r="BB165" s="316">
        <v>43.0</v>
      </c>
      <c r="BC165" s="132" t="s">
        <v>178</v>
      </c>
      <c r="BD165" s="143" t="s">
        <v>227</v>
      </c>
      <c r="BE165" s="132" t="s">
        <v>178</v>
      </c>
      <c r="BF165" s="156"/>
      <c r="BG165" s="83">
        <v>1178936.0</v>
      </c>
      <c r="BH165" s="112">
        <v>3.0</v>
      </c>
      <c r="BI165" s="98" t="s">
        <v>155</v>
      </c>
      <c r="BJ165" s="98" t="str">
        <f t="shared" si="1"/>
        <v>NÃO</v>
      </c>
      <c r="BK165" s="98" t="str">
        <f t="shared" si="2"/>
        <v>NÃO</v>
      </c>
    </row>
    <row r="166" ht="15.75" customHeight="1">
      <c r="A166" s="111" t="s">
        <v>205</v>
      </c>
      <c r="B166" s="83" t="s">
        <v>732</v>
      </c>
      <c r="C166" s="83" t="s">
        <v>164</v>
      </c>
      <c r="D166" s="83">
        <v>1179431.0</v>
      </c>
      <c r="E166" s="83">
        <v>1178934.0</v>
      </c>
      <c r="F166" s="83"/>
      <c r="G166" s="114" t="s">
        <v>763</v>
      </c>
      <c r="H166" s="91" t="s">
        <v>759</v>
      </c>
      <c r="I166" s="187" t="s">
        <v>760</v>
      </c>
      <c r="J166" s="136" t="s">
        <v>751</v>
      </c>
      <c r="K166" s="136" t="s">
        <v>168</v>
      </c>
      <c r="L166" s="83" t="s">
        <v>169</v>
      </c>
      <c r="M166" s="82" t="s">
        <v>3052</v>
      </c>
      <c r="N166" s="82" t="s">
        <v>3054</v>
      </c>
      <c r="O166" s="82" t="s">
        <v>3056</v>
      </c>
      <c r="P166" s="82" t="s">
        <v>3058</v>
      </c>
      <c r="Q166" s="82"/>
      <c r="R166" s="82"/>
      <c r="S166" s="82" t="s">
        <v>3059</v>
      </c>
      <c r="T166" s="138">
        <v>3.0</v>
      </c>
      <c r="U166" s="370">
        <v>3.0</v>
      </c>
      <c r="V166" s="106">
        <v>0.0</v>
      </c>
      <c r="W166" s="107">
        <v>0.0</v>
      </c>
      <c r="X166" s="107">
        <v>0.0</v>
      </c>
      <c r="Y166" s="107">
        <v>0.0</v>
      </c>
      <c r="Z166" s="80">
        <v>0.0</v>
      </c>
      <c r="AA166" s="140">
        <v>0.0</v>
      </c>
      <c r="AB166" s="109">
        <v>0.0</v>
      </c>
      <c r="AC166" s="109">
        <v>0.0</v>
      </c>
      <c r="AD166" s="141">
        <v>0.0</v>
      </c>
      <c r="AE166" s="80">
        <v>0.0</v>
      </c>
      <c r="AF166" s="140">
        <v>0.0</v>
      </c>
      <c r="AG166" s="109">
        <v>0.0</v>
      </c>
      <c r="AH166" s="109">
        <v>66.0</v>
      </c>
      <c r="AI166" s="141">
        <v>0.0</v>
      </c>
      <c r="AJ166" s="80">
        <v>66.0</v>
      </c>
      <c r="AK166" s="140">
        <v>0.0</v>
      </c>
      <c r="AL166" s="109">
        <v>0.0</v>
      </c>
      <c r="AM166" s="141">
        <v>0.0</v>
      </c>
      <c r="AN166" s="80">
        <v>0.0</v>
      </c>
      <c r="AO166" s="140">
        <v>0.0</v>
      </c>
      <c r="AP166" s="109">
        <v>0.0</v>
      </c>
      <c r="AQ166" s="109">
        <v>0.0</v>
      </c>
      <c r="AR166" s="80">
        <v>0.0</v>
      </c>
      <c r="AS166" s="110">
        <v>0.0</v>
      </c>
      <c r="AT166" s="110">
        <v>0.0</v>
      </c>
      <c r="AU166" s="110">
        <v>0.0</v>
      </c>
      <c r="AV166" s="142">
        <v>0.0</v>
      </c>
      <c r="AW166" s="80">
        <v>0.0</v>
      </c>
      <c r="AX166" s="113">
        <v>66.0</v>
      </c>
      <c r="AY166" s="117">
        <v>0.0</v>
      </c>
      <c r="AZ166" s="328">
        <v>66.0</v>
      </c>
      <c r="BA166" s="315">
        <v>0.0</v>
      </c>
      <c r="BB166" s="316">
        <v>66.0</v>
      </c>
      <c r="BC166" s="132" t="s">
        <v>178</v>
      </c>
      <c r="BD166" s="143" t="s">
        <v>227</v>
      </c>
      <c r="BE166" s="132" t="s">
        <v>178</v>
      </c>
      <c r="BF166" s="156"/>
      <c r="BG166" s="83">
        <v>1178934.0</v>
      </c>
      <c r="BH166" s="112">
        <v>3.0</v>
      </c>
      <c r="BI166" s="98" t="s">
        <v>155</v>
      </c>
      <c r="BJ166" s="98" t="str">
        <f t="shared" si="1"/>
        <v>NÃO</v>
      </c>
      <c r="BK166" s="98" t="str">
        <f t="shared" si="2"/>
        <v>NÃO</v>
      </c>
    </row>
    <row r="167" ht="15.75" customHeight="1">
      <c r="A167" s="111" t="s">
        <v>205</v>
      </c>
      <c r="B167" s="83" t="s">
        <v>764</v>
      </c>
      <c r="C167" s="83" t="s">
        <v>68</v>
      </c>
      <c r="D167" s="83">
        <v>1164890.0</v>
      </c>
      <c r="E167" s="83"/>
      <c r="F167" s="83">
        <v>2.904725E7</v>
      </c>
      <c r="G167" s="114" t="s">
        <v>3681</v>
      </c>
      <c r="H167" s="91" t="s">
        <v>770</v>
      </c>
      <c r="I167" s="114" t="s">
        <v>149</v>
      </c>
      <c r="J167" s="83" t="s">
        <v>150</v>
      </c>
      <c r="K167" s="83" t="s">
        <v>151</v>
      </c>
      <c r="L167" s="83" t="s">
        <v>76</v>
      </c>
      <c r="M167" s="82" t="s">
        <v>3682</v>
      </c>
      <c r="N167" s="82" t="s">
        <v>3683</v>
      </c>
      <c r="O167" s="82" t="s">
        <v>3684</v>
      </c>
      <c r="P167" s="82" t="s">
        <v>3685</v>
      </c>
      <c r="Q167" s="82"/>
      <c r="R167" s="82"/>
      <c r="S167" s="82" t="s">
        <v>3686</v>
      </c>
      <c r="T167" s="138">
        <v>6.0</v>
      </c>
      <c r="U167" s="331" t="s">
        <v>3687</v>
      </c>
      <c r="V167" s="106">
        <v>0.0</v>
      </c>
      <c r="W167" s="107">
        <v>0.0</v>
      </c>
      <c r="X167" s="107">
        <v>0.0</v>
      </c>
      <c r="Y167" s="107">
        <v>0.0</v>
      </c>
      <c r="Z167" s="80">
        <v>0.0</v>
      </c>
      <c r="AA167" s="140">
        <v>0.0</v>
      </c>
      <c r="AB167" s="109">
        <v>0.0</v>
      </c>
      <c r="AC167" s="109">
        <v>0.0</v>
      </c>
      <c r="AD167" s="141">
        <v>0.0</v>
      </c>
      <c r="AE167" s="80">
        <v>0.0</v>
      </c>
      <c r="AF167" s="140">
        <v>169.0</v>
      </c>
      <c r="AG167" s="109">
        <v>90.0</v>
      </c>
      <c r="AH167" s="109">
        <v>0.0</v>
      </c>
      <c r="AI167" s="141">
        <v>40.0</v>
      </c>
      <c r="AJ167" s="80">
        <v>299.0</v>
      </c>
      <c r="AK167" s="140">
        <v>0.0</v>
      </c>
      <c r="AL167" s="109">
        <v>0.0</v>
      </c>
      <c r="AM167" s="141">
        <v>0.0</v>
      </c>
      <c r="AN167" s="80">
        <v>0.0</v>
      </c>
      <c r="AO167" s="140">
        <v>0.0</v>
      </c>
      <c r="AP167" s="109">
        <v>0.0</v>
      </c>
      <c r="AQ167" s="109">
        <v>40.0</v>
      </c>
      <c r="AR167" s="80">
        <v>40.0</v>
      </c>
      <c r="AS167" s="110">
        <v>0.0</v>
      </c>
      <c r="AT167" s="110">
        <v>56.0</v>
      </c>
      <c r="AU167" s="110">
        <v>0.0</v>
      </c>
      <c r="AV167" s="142">
        <v>0.0</v>
      </c>
      <c r="AW167" s="80">
        <v>56.0</v>
      </c>
      <c r="AX167" s="113">
        <v>395.0</v>
      </c>
      <c r="AY167" s="117">
        <v>355.0</v>
      </c>
      <c r="AZ167" s="328">
        <v>40.0</v>
      </c>
      <c r="BA167" s="315">
        <v>0.0</v>
      </c>
      <c r="BB167" s="316">
        <v>395.0</v>
      </c>
      <c r="BC167" s="132" t="s">
        <v>178</v>
      </c>
      <c r="BD167" s="132" t="s">
        <v>178</v>
      </c>
      <c r="BE167" s="132" t="s">
        <v>178</v>
      </c>
      <c r="BF167" s="156"/>
      <c r="BG167" s="83">
        <v>1164890.0</v>
      </c>
      <c r="BH167" s="112">
        <v>5.0</v>
      </c>
      <c r="BI167" s="98" t="s">
        <v>155</v>
      </c>
      <c r="BJ167" s="98" t="str">
        <f t="shared" si="1"/>
        <v>INTEGRAL</v>
      </c>
      <c r="BK167" s="98" t="str">
        <f t="shared" si="2"/>
        <v>PROFISSIONAL</v>
      </c>
    </row>
    <row r="168" ht="15.75" customHeight="1">
      <c r="A168" s="111" t="s">
        <v>205</v>
      </c>
      <c r="B168" s="83" t="s">
        <v>764</v>
      </c>
      <c r="C168" s="83" t="s">
        <v>68</v>
      </c>
      <c r="D168" s="83">
        <v>1176059.0</v>
      </c>
      <c r="E168" s="83"/>
      <c r="F168" s="83">
        <v>2.9047455E7</v>
      </c>
      <c r="G168" s="114" t="s">
        <v>3694</v>
      </c>
      <c r="H168" s="91" t="s">
        <v>766</v>
      </c>
      <c r="I168" s="114" t="s">
        <v>149</v>
      </c>
      <c r="J168" s="83" t="s">
        <v>767</v>
      </c>
      <c r="K168" s="83" t="s">
        <v>151</v>
      </c>
      <c r="L168" s="83" t="s">
        <v>169</v>
      </c>
      <c r="M168" s="82" t="s">
        <v>3695</v>
      </c>
      <c r="N168" s="82" t="s">
        <v>3696</v>
      </c>
      <c r="O168" s="82"/>
      <c r="P168" s="82"/>
      <c r="Q168" s="82"/>
      <c r="R168" s="82"/>
      <c r="S168" s="82" t="s">
        <v>3697</v>
      </c>
      <c r="T168" s="138">
        <v>5.0</v>
      </c>
      <c r="U168" s="339" t="s">
        <v>3698</v>
      </c>
      <c r="V168" s="106">
        <v>0.0</v>
      </c>
      <c r="W168" s="107">
        <v>0.0</v>
      </c>
      <c r="X168" s="107">
        <v>0.0</v>
      </c>
      <c r="Y168" s="107">
        <v>0.0</v>
      </c>
      <c r="Z168" s="80">
        <v>0.0</v>
      </c>
      <c r="AA168" s="140">
        <v>0.0</v>
      </c>
      <c r="AB168" s="109">
        <v>0.0</v>
      </c>
      <c r="AC168" s="109">
        <v>0.0</v>
      </c>
      <c r="AD168" s="141">
        <v>0.0</v>
      </c>
      <c r="AE168" s="80">
        <v>0.0</v>
      </c>
      <c r="AF168" s="140">
        <v>87.0</v>
      </c>
      <c r="AG168" s="109">
        <v>98.0</v>
      </c>
      <c r="AH168" s="109">
        <v>0.0</v>
      </c>
      <c r="AI168" s="141">
        <v>0.0</v>
      </c>
      <c r="AJ168" s="80">
        <v>185.0</v>
      </c>
      <c r="AK168" s="140">
        <v>0.0</v>
      </c>
      <c r="AL168" s="109">
        <v>0.0</v>
      </c>
      <c r="AM168" s="141">
        <v>0.0</v>
      </c>
      <c r="AN168" s="80">
        <v>0.0</v>
      </c>
      <c r="AO168" s="140">
        <v>0.0</v>
      </c>
      <c r="AP168" s="109">
        <v>0.0</v>
      </c>
      <c r="AQ168" s="109">
        <v>19.0</v>
      </c>
      <c r="AR168" s="80">
        <v>19.0</v>
      </c>
      <c r="AS168" s="110">
        <v>0.0</v>
      </c>
      <c r="AT168" s="110">
        <v>22.0</v>
      </c>
      <c r="AU168" s="110">
        <v>0.0</v>
      </c>
      <c r="AV168" s="142">
        <v>0.0</v>
      </c>
      <c r="AW168" s="80">
        <v>22.0</v>
      </c>
      <c r="AX168" s="113">
        <v>226.0</v>
      </c>
      <c r="AY168" s="117">
        <v>207.0</v>
      </c>
      <c r="AZ168" s="328">
        <v>19.0</v>
      </c>
      <c r="BA168" s="315">
        <v>0.0</v>
      </c>
      <c r="BB168" s="316">
        <v>226.0</v>
      </c>
      <c r="BC168" s="132" t="s">
        <v>373</v>
      </c>
      <c r="BD168" s="132" t="s">
        <v>178</v>
      </c>
      <c r="BE168" s="132" t="s">
        <v>178</v>
      </c>
      <c r="BF168" s="156"/>
      <c r="BG168" s="83">
        <v>1176059.0</v>
      </c>
      <c r="BH168" s="112">
        <v>5.0</v>
      </c>
      <c r="BI168" s="98" t="s">
        <v>155</v>
      </c>
      <c r="BJ168" s="98" t="str">
        <f t="shared" si="1"/>
        <v>NÃO</v>
      </c>
      <c r="BK168" s="98" t="str">
        <f t="shared" si="2"/>
        <v>PROFISSIONAL</v>
      </c>
    </row>
    <row r="169" ht="15.75" customHeight="1">
      <c r="A169" s="111" t="s">
        <v>205</v>
      </c>
      <c r="B169" s="83" t="s">
        <v>764</v>
      </c>
      <c r="C169" s="83" t="s">
        <v>164</v>
      </c>
      <c r="D169" s="83">
        <v>1164890.0</v>
      </c>
      <c r="E169" s="83">
        <v>1178953.0</v>
      </c>
      <c r="F169" s="83"/>
      <c r="G169" s="114" t="s">
        <v>772</v>
      </c>
      <c r="H169" s="91" t="s">
        <v>773</v>
      </c>
      <c r="I169" s="114" t="s">
        <v>149</v>
      </c>
      <c r="J169" s="83" t="s">
        <v>774</v>
      </c>
      <c r="K169" s="83" t="s">
        <v>168</v>
      </c>
      <c r="L169" s="83" t="s">
        <v>169</v>
      </c>
      <c r="M169" s="82" t="s">
        <v>3682</v>
      </c>
      <c r="N169" s="82" t="s">
        <v>3683</v>
      </c>
      <c r="O169" s="82" t="s">
        <v>3684</v>
      </c>
      <c r="P169" s="82" t="s">
        <v>3685</v>
      </c>
      <c r="Q169" s="82"/>
      <c r="R169" s="82"/>
      <c r="S169" s="82" t="s">
        <v>3686</v>
      </c>
      <c r="T169" s="138">
        <v>3.0</v>
      </c>
      <c r="U169" s="323">
        <v>3.0</v>
      </c>
      <c r="V169" s="106">
        <v>0.0</v>
      </c>
      <c r="W169" s="107">
        <v>0.0</v>
      </c>
      <c r="X169" s="107">
        <v>0.0</v>
      </c>
      <c r="Y169" s="107">
        <v>0.0</v>
      </c>
      <c r="Z169" s="80">
        <v>0.0</v>
      </c>
      <c r="AA169" s="140">
        <v>0.0</v>
      </c>
      <c r="AB169" s="109">
        <v>0.0</v>
      </c>
      <c r="AC169" s="109">
        <v>0.0</v>
      </c>
      <c r="AD169" s="141">
        <v>0.0</v>
      </c>
      <c r="AE169" s="80">
        <v>0.0</v>
      </c>
      <c r="AF169" s="140">
        <v>0.0</v>
      </c>
      <c r="AG169" s="109">
        <v>35.0</v>
      </c>
      <c r="AH169" s="109">
        <v>0.0</v>
      </c>
      <c r="AI169" s="141">
        <v>0.0</v>
      </c>
      <c r="AJ169" s="80">
        <v>35.0</v>
      </c>
      <c r="AK169" s="140">
        <v>0.0</v>
      </c>
      <c r="AL169" s="109">
        <v>0.0</v>
      </c>
      <c r="AM169" s="141">
        <v>0.0</v>
      </c>
      <c r="AN169" s="80">
        <v>0.0</v>
      </c>
      <c r="AO169" s="140">
        <v>0.0</v>
      </c>
      <c r="AP169" s="109">
        <v>0.0</v>
      </c>
      <c r="AQ169" s="109">
        <v>0.0</v>
      </c>
      <c r="AR169" s="80">
        <v>0.0</v>
      </c>
      <c r="AS169" s="110">
        <v>0.0</v>
      </c>
      <c r="AT169" s="110">
        <v>0.0</v>
      </c>
      <c r="AU169" s="110">
        <v>0.0</v>
      </c>
      <c r="AV169" s="142">
        <v>0.0</v>
      </c>
      <c r="AW169" s="80">
        <v>0.0</v>
      </c>
      <c r="AX169" s="113">
        <v>35.0</v>
      </c>
      <c r="AY169" s="117">
        <v>35.0</v>
      </c>
      <c r="AZ169" s="328">
        <v>0.0</v>
      </c>
      <c r="BA169" s="315">
        <v>0.0</v>
      </c>
      <c r="BB169" s="316">
        <v>35.0</v>
      </c>
      <c r="BC169" s="132" t="s">
        <v>631</v>
      </c>
      <c r="BD169" s="132" t="s">
        <v>178</v>
      </c>
      <c r="BE169" s="132" t="s">
        <v>178</v>
      </c>
      <c r="BF169" s="156"/>
      <c r="BG169" s="83">
        <v>1178953.0</v>
      </c>
      <c r="BH169" s="112">
        <v>3.0</v>
      </c>
      <c r="BI169" s="98" t="s">
        <v>155</v>
      </c>
      <c r="BJ169" s="98" t="str">
        <f t="shared" si="1"/>
        <v>NÃO</v>
      </c>
      <c r="BK169" s="98" t="str">
        <f t="shared" si="2"/>
        <v>NÃO</v>
      </c>
    </row>
    <row r="170" ht="15.75" customHeight="1">
      <c r="A170" s="111" t="s">
        <v>285</v>
      </c>
      <c r="B170" s="83" t="s">
        <v>775</v>
      </c>
      <c r="C170" s="83" t="s">
        <v>68</v>
      </c>
      <c r="D170" s="83">
        <v>1168110.0</v>
      </c>
      <c r="E170" s="83"/>
      <c r="F170" s="83">
        <v>2.921159E7</v>
      </c>
      <c r="G170" s="114" t="s">
        <v>776</v>
      </c>
      <c r="H170" s="91" t="s">
        <v>777</v>
      </c>
      <c r="I170" s="114" t="s">
        <v>149</v>
      </c>
      <c r="J170" s="83" t="s">
        <v>150</v>
      </c>
      <c r="K170" s="83" t="s">
        <v>151</v>
      </c>
      <c r="L170" s="83" t="s">
        <v>169</v>
      </c>
      <c r="M170" s="82" t="s">
        <v>3705</v>
      </c>
      <c r="N170" s="82" t="s">
        <v>3706</v>
      </c>
      <c r="O170" s="82" t="s">
        <v>3707</v>
      </c>
      <c r="P170" s="82" t="s">
        <v>3708</v>
      </c>
      <c r="Q170" s="82"/>
      <c r="R170" s="82"/>
      <c r="S170" s="82" t="s">
        <v>3709</v>
      </c>
      <c r="T170" s="138">
        <v>8.0</v>
      </c>
      <c r="U170" s="339" t="s">
        <v>3710</v>
      </c>
      <c r="V170" s="106">
        <v>0.0</v>
      </c>
      <c r="W170" s="107">
        <v>0.0</v>
      </c>
      <c r="X170" s="107">
        <v>0.0</v>
      </c>
      <c r="Y170" s="107">
        <v>0.0</v>
      </c>
      <c r="Z170" s="80">
        <v>0.0</v>
      </c>
      <c r="AA170" s="140">
        <v>0.0</v>
      </c>
      <c r="AB170" s="109">
        <v>0.0</v>
      </c>
      <c r="AC170" s="109">
        <v>0.0</v>
      </c>
      <c r="AD170" s="141">
        <v>0.0</v>
      </c>
      <c r="AE170" s="80">
        <v>0.0</v>
      </c>
      <c r="AF170" s="140">
        <v>0.0</v>
      </c>
      <c r="AG170" s="109">
        <v>0.0</v>
      </c>
      <c r="AH170" s="109">
        <v>0.0</v>
      </c>
      <c r="AI170" s="141">
        <v>148.0</v>
      </c>
      <c r="AJ170" s="80">
        <v>148.0</v>
      </c>
      <c r="AK170" s="140">
        <v>0.0</v>
      </c>
      <c r="AL170" s="109">
        <v>0.0</v>
      </c>
      <c r="AM170" s="141">
        <v>0.0</v>
      </c>
      <c r="AN170" s="80">
        <v>0.0</v>
      </c>
      <c r="AO170" s="140">
        <v>0.0</v>
      </c>
      <c r="AP170" s="109">
        <v>0.0</v>
      </c>
      <c r="AQ170" s="109">
        <v>13.0</v>
      </c>
      <c r="AR170" s="80">
        <v>13.0</v>
      </c>
      <c r="AS170" s="110">
        <v>0.0</v>
      </c>
      <c r="AT170" s="110">
        <v>0.0</v>
      </c>
      <c r="AU170" s="110">
        <v>0.0</v>
      </c>
      <c r="AV170" s="142">
        <v>0.0</v>
      </c>
      <c r="AW170" s="80">
        <v>0.0</v>
      </c>
      <c r="AX170" s="113">
        <v>161.0</v>
      </c>
      <c r="AY170" s="117">
        <v>148.0</v>
      </c>
      <c r="AZ170" s="328">
        <v>13.0</v>
      </c>
      <c r="BA170" s="315">
        <v>0.0</v>
      </c>
      <c r="BB170" s="316">
        <v>161.0</v>
      </c>
      <c r="BC170" s="132" t="s">
        <v>178</v>
      </c>
      <c r="BD170" s="132" t="s">
        <v>178</v>
      </c>
      <c r="BE170" s="132" t="s">
        <v>178</v>
      </c>
      <c r="BF170" s="156"/>
      <c r="BG170" s="83">
        <v>1168110.0</v>
      </c>
      <c r="BH170" s="112">
        <v>6.0</v>
      </c>
      <c r="BI170" s="98" t="s">
        <v>155</v>
      </c>
      <c r="BJ170" s="98" t="str">
        <f t="shared" si="1"/>
        <v>INTEGRAL</v>
      </c>
      <c r="BK170" s="98" t="str">
        <f t="shared" si="2"/>
        <v>NÃO</v>
      </c>
    </row>
    <row r="171" ht="15.75" customHeight="1">
      <c r="A171" s="111" t="s">
        <v>285</v>
      </c>
      <c r="B171" s="83" t="s">
        <v>775</v>
      </c>
      <c r="C171" s="83" t="s">
        <v>164</v>
      </c>
      <c r="D171" s="83">
        <v>1168110.0</v>
      </c>
      <c r="E171" s="83">
        <v>1178955.0</v>
      </c>
      <c r="F171" s="83"/>
      <c r="G171" s="114" t="s">
        <v>781</v>
      </c>
      <c r="H171" s="91" t="s">
        <v>782</v>
      </c>
      <c r="I171" s="187" t="s">
        <v>783</v>
      </c>
      <c r="J171" s="83" t="s">
        <v>784</v>
      </c>
      <c r="K171" s="83" t="s">
        <v>168</v>
      </c>
      <c r="L171" s="83" t="s">
        <v>169</v>
      </c>
      <c r="M171" s="82" t="s">
        <v>3705</v>
      </c>
      <c r="N171" s="82" t="s">
        <v>3706</v>
      </c>
      <c r="O171" s="82" t="s">
        <v>3707</v>
      </c>
      <c r="P171" s="82" t="s">
        <v>3708</v>
      </c>
      <c r="Q171" s="82"/>
      <c r="R171" s="82"/>
      <c r="S171" s="82" t="s">
        <v>3709</v>
      </c>
      <c r="T171" s="138">
        <v>3.0</v>
      </c>
      <c r="U171" s="331">
        <v>3.0</v>
      </c>
      <c r="V171" s="106">
        <v>0.0</v>
      </c>
      <c r="W171" s="107">
        <v>0.0</v>
      </c>
      <c r="X171" s="107">
        <v>0.0</v>
      </c>
      <c r="Y171" s="107">
        <v>0.0</v>
      </c>
      <c r="Z171" s="80">
        <v>0.0</v>
      </c>
      <c r="AA171" s="140">
        <v>0.0</v>
      </c>
      <c r="AB171" s="109">
        <v>0.0</v>
      </c>
      <c r="AC171" s="109">
        <v>0.0</v>
      </c>
      <c r="AD171" s="141">
        <v>0.0</v>
      </c>
      <c r="AE171" s="80">
        <v>0.0</v>
      </c>
      <c r="AF171" s="140">
        <v>0.0</v>
      </c>
      <c r="AG171" s="109">
        <v>23.0</v>
      </c>
      <c r="AH171" s="109">
        <v>7.0</v>
      </c>
      <c r="AI171" s="141">
        <v>0.0</v>
      </c>
      <c r="AJ171" s="80">
        <v>30.0</v>
      </c>
      <c r="AK171" s="140">
        <v>0.0</v>
      </c>
      <c r="AL171" s="109">
        <v>0.0</v>
      </c>
      <c r="AM171" s="141">
        <v>0.0</v>
      </c>
      <c r="AN171" s="80">
        <v>0.0</v>
      </c>
      <c r="AO171" s="140">
        <v>0.0</v>
      </c>
      <c r="AP171" s="109">
        <v>0.0</v>
      </c>
      <c r="AQ171" s="109">
        <v>0.0</v>
      </c>
      <c r="AR171" s="80">
        <v>0.0</v>
      </c>
      <c r="AS171" s="110">
        <v>0.0</v>
      </c>
      <c r="AT171" s="110">
        <v>0.0</v>
      </c>
      <c r="AU171" s="110">
        <v>0.0</v>
      </c>
      <c r="AV171" s="142">
        <v>0.0</v>
      </c>
      <c r="AW171" s="80">
        <v>0.0</v>
      </c>
      <c r="AX171" s="113">
        <v>30.0</v>
      </c>
      <c r="AY171" s="117">
        <v>23.0</v>
      </c>
      <c r="AZ171" s="328">
        <v>7.0</v>
      </c>
      <c r="BA171" s="315">
        <v>0.0</v>
      </c>
      <c r="BB171" s="316">
        <v>30.0</v>
      </c>
      <c r="BC171" s="132" t="s">
        <v>373</v>
      </c>
      <c r="BD171" s="132" t="s">
        <v>178</v>
      </c>
      <c r="BE171" s="132" t="s">
        <v>178</v>
      </c>
      <c r="BF171" s="156"/>
      <c r="BG171" s="83">
        <v>1178955.0</v>
      </c>
      <c r="BH171" s="112">
        <v>3.0</v>
      </c>
      <c r="BI171" s="98" t="s">
        <v>155</v>
      </c>
      <c r="BJ171" s="98" t="str">
        <f t="shared" si="1"/>
        <v>NÃO</v>
      </c>
      <c r="BK171" s="98" t="str">
        <f t="shared" si="2"/>
        <v>NÃO</v>
      </c>
    </row>
    <row r="172" ht="15.75" customHeight="1">
      <c r="A172" s="111" t="s">
        <v>285</v>
      </c>
      <c r="B172" s="83" t="s">
        <v>775</v>
      </c>
      <c r="C172" s="83" t="s">
        <v>164</v>
      </c>
      <c r="D172" s="83">
        <v>1168110.0</v>
      </c>
      <c r="E172" s="83">
        <v>1178224.0</v>
      </c>
      <c r="F172" s="83"/>
      <c r="G172" s="114" t="s">
        <v>785</v>
      </c>
      <c r="H172" s="91" t="s">
        <v>777</v>
      </c>
      <c r="I172" s="187" t="s">
        <v>786</v>
      </c>
      <c r="J172" s="83" t="s">
        <v>787</v>
      </c>
      <c r="K172" s="83" t="s">
        <v>151</v>
      </c>
      <c r="L172" s="83" t="s">
        <v>169</v>
      </c>
      <c r="M172" s="82" t="s">
        <v>3705</v>
      </c>
      <c r="N172" s="82" t="s">
        <v>3706</v>
      </c>
      <c r="O172" s="82" t="s">
        <v>3707</v>
      </c>
      <c r="P172" s="82" t="s">
        <v>3708</v>
      </c>
      <c r="Q172" s="82"/>
      <c r="R172" s="82"/>
      <c r="S172" s="82" t="s">
        <v>3709</v>
      </c>
      <c r="T172" s="138">
        <v>3.0</v>
      </c>
      <c r="U172" s="323">
        <v>3.0</v>
      </c>
      <c r="V172" s="106">
        <v>0.0</v>
      </c>
      <c r="W172" s="107">
        <v>0.0</v>
      </c>
      <c r="X172" s="107">
        <v>0.0</v>
      </c>
      <c r="Y172" s="107">
        <v>0.0</v>
      </c>
      <c r="Z172" s="80">
        <v>0.0</v>
      </c>
      <c r="AA172" s="140">
        <v>0.0</v>
      </c>
      <c r="AB172" s="109">
        <v>0.0</v>
      </c>
      <c r="AC172" s="109">
        <v>0.0</v>
      </c>
      <c r="AD172" s="141">
        <v>0.0</v>
      </c>
      <c r="AE172" s="80">
        <v>0.0</v>
      </c>
      <c r="AF172" s="140">
        <v>48.0</v>
      </c>
      <c r="AG172" s="109">
        <v>0.0</v>
      </c>
      <c r="AH172" s="109">
        <v>0.0</v>
      </c>
      <c r="AI172" s="141">
        <v>0.0</v>
      </c>
      <c r="AJ172" s="80">
        <v>48.0</v>
      </c>
      <c r="AK172" s="140">
        <v>0.0</v>
      </c>
      <c r="AL172" s="109">
        <v>0.0</v>
      </c>
      <c r="AM172" s="141">
        <v>0.0</v>
      </c>
      <c r="AN172" s="80">
        <v>0.0</v>
      </c>
      <c r="AO172" s="140">
        <v>0.0</v>
      </c>
      <c r="AP172" s="109">
        <v>0.0</v>
      </c>
      <c r="AQ172" s="109">
        <v>0.0</v>
      </c>
      <c r="AR172" s="80">
        <v>0.0</v>
      </c>
      <c r="AS172" s="110">
        <v>0.0</v>
      </c>
      <c r="AT172" s="110">
        <v>0.0</v>
      </c>
      <c r="AU172" s="110">
        <v>0.0</v>
      </c>
      <c r="AV172" s="142">
        <v>0.0</v>
      </c>
      <c r="AW172" s="80">
        <v>0.0</v>
      </c>
      <c r="AX172" s="113">
        <v>48.0</v>
      </c>
      <c r="AY172" s="117">
        <v>48.0</v>
      </c>
      <c r="AZ172" s="328">
        <v>0.0</v>
      </c>
      <c r="BA172" s="315">
        <v>0.0</v>
      </c>
      <c r="BB172" s="316">
        <v>48.0</v>
      </c>
      <c r="BC172" s="132" t="s">
        <v>265</v>
      </c>
      <c r="BD172" s="132" t="s">
        <v>178</v>
      </c>
      <c r="BE172" s="132" t="s">
        <v>178</v>
      </c>
      <c r="BF172" s="123"/>
      <c r="BG172" s="83">
        <v>1178224.0</v>
      </c>
      <c r="BH172" s="112">
        <v>3.0</v>
      </c>
      <c r="BI172" s="98" t="s">
        <v>155</v>
      </c>
      <c r="BJ172" s="98" t="str">
        <f t="shared" si="1"/>
        <v>NÃO</v>
      </c>
      <c r="BK172" s="98" t="str">
        <f t="shared" si="2"/>
        <v>NÃO</v>
      </c>
    </row>
    <row r="173" ht="15.75" customHeight="1">
      <c r="A173" s="111" t="s">
        <v>285</v>
      </c>
      <c r="B173" s="83" t="s">
        <v>788</v>
      </c>
      <c r="C173" s="83" t="s">
        <v>68</v>
      </c>
      <c r="D173" s="83">
        <v>1179291.0</v>
      </c>
      <c r="E173" s="83"/>
      <c r="F173" s="83">
        <v>2.9459621E7</v>
      </c>
      <c r="G173" s="114" t="s">
        <v>789</v>
      </c>
      <c r="H173" s="91" t="s">
        <v>790</v>
      </c>
      <c r="I173" s="114" t="s">
        <v>791</v>
      </c>
      <c r="J173" s="83" t="s">
        <v>183</v>
      </c>
      <c r="K173" s="83" t="s">
        <v>151</v>
      </c>
      <c r="L173" s="83" t="s">
        <v>169</v>
      </c>
      <c r="M173" s="82" t="s">
        <v>3723</v>
      </c>
      <c r="N173" s="82" t="s">
        <v>3724</v>
      </c>
      <c r="O173" s="82"/>
      <c r="P173" s="82"/>
      <c r="Q173" s="82"/>
      <c r="R173" s="82"/>
      <c r="S173" s="82" t="s">
        <v>3725</v>
      </c>
      <c r="T173" s="138">
        <v>4.0</v>
      </c>
      <c r="U173" s="323">
        <v>4.0</v>
      </c>
      <c r="V173" s="106">
        <v>0.0</v>
      </c>
      <c r="W173" s="107">
        <v>0.0</v>
      </c>
      <c r="X173" s="107">
        <v>0.0</v>
      </c>
      <c r="Y173" s="107">
        <v>0.0</v>
      </c>
      <c r="Z173" s="80">
        <v>0.0</v>
      </c>
      <c r="AA173" s="140">
        <v>0.0</v>
      </c>
      <c r="AB173" s="109">
        <v>0.0</v>
      </c>
      <c r="AC173" s="109">
        <v>0.0</v>
      </c>
      <c r="AD173" s="141">
        <v>0.0</v>
      </c>
      <c r="AE173" s="80">
        <v>0.0</v>
      </c>
      <c r="AF173" s="140">
        <v>90.0</v>
      </c>
      <c r="AG173" s="109">
        <v>0.0</v>
      </c>
      <c r="AH173" s="109">
        <v>7.0</v>
      </c>
      <c r="AI173" s="141">
        <v>0.0</v>
      </c>
      <c r="AJ173" s="80">
        <v>97.0</v>
      </c>
      <c r="AK173" s="140">
        <v>0.0</v>
      </c>
      <c r="AL173" s="109">
        <v>0.0</v>
      </c>
      <c r="AM173" s="141">
        <v>0.0</v>
      </c>
      <c r="AN173" s="80">
        <v>0.0</v>
      </c>
      <c r="AO173" s="140">
        <v>0.0</v>
      </c>
      <c r="AP173" s="109">
        <v>0.0</v>
      </c>
      <c r="AQ173" s="109">
        <v>14.0</v>
      </c>
      <c r="AR173" s="80">
        <v>14.0</v>
      </c>
      <c r="AS173" s="110">
        <v>0.0</v>
      </c>
      <c r="AT173" s="110">
        <v>0.0</v>
      </c>
      <c r="AU173" s="110">
        <v>0.0</v>
      </c>
      <c r="AV173" s="142">
        <v>0.0</v>
      </c>
      <c r="AW173" s="80">
        <v>0.0</v>
      </c>
      <c r="AX173" s="113">
        <v>111.0</v>
      </c>
      <c r="AY173" s="117">
        <v>90.0</v>
      </c>
      <c r="AZ173" s="328">
        <v>21.0</v>
      </c>
      <c r="BA173" s="315">
        <v>0.0</v>
      </c>
      <c r="BB173" s="316">
        <v>111.0</v>
      </c>
      <c r="BC173" s="132" t="s">
        <v>373</v>
      </c>
      <c r="BD173" s="132" t="s">
        <v>178</v>
      </c>
      <c r="BE173" s="132" t="s">
        <v>178</v>
      </c>
      <c r="BF173" s="83"/>
      <c r="BG173" s="83">
        <v>1179291.0</v>
      </c>
      <c r="BH173" s="112">
        <v>4.0</v>
      </c>
      <c r="BI173" s="98" t="s">
        <v>155</v>
      </c>
      <c r="BJ173" s="98" t="str">
        <f t="shared" si="1"/>
        <v>NÃO</v>
      </c>
      <c r="BK173" s="98" t="str">
        <f t="shared" si="2"/>
        <v>NÃO</v>
      </c>
    </row>
    <row r="174" ht="15.75" customHeight="1">
      <c r="A174" s="111" t="s">
        <v>285</v>
      </c>
      <c r="B174" s="83" t="s">
        <v>788</v>
      </c>
      <c r="C174" s="83" t="s">
        <v>68</v>
      </c>
      <c r="D174" s="83">
        <v>1178017.0</v>
      </c>
      <c r="E174" s="83"/>
      <c r="F174" s="83">
        <v>2.9425166E7</v>
      </c>
      <c r="G174" s="153" t="s">
        <v>792</v>
      </c>
      <c r="H174" s="91" t="s">
        <v>3731</v>
      </c>
      <c r="I174" s="114" t="s">
        <v>149</v>
      </c>
      <c r="J174" s="83" t="s">
        <v>150</v>
      </c>
      <c r="K174" s="83" t="s">
        <v>151</v>
      </c>
      <c r="L174" s="83" t="s">
        <v>76</v>
      </c>
      <c r="M174" s="82" t="s">
        <v>3732</v>
      </c>
      <c r="N174" s="82" t="s">
        <v>3733</v>
      </c>
      <c r="O174" s="82" t="s">
        <v>3734</v>
      </c>
      <c r="P174" s="82" t="s">
        <v>3735</v>
      </c>
      <c r="Q174" s="82"/>
      <c r="R174" s="82"/>
      <c r="S174" s="82" t="s">
        <v>3736</v>
      </c>
      <c r="T174" s="138">
        <v>9.0</v>
      </c>
      <c r="U174" s="323">
        <v>12.0</v>
      </c>
      <c r="V174" s="106">
        <v>0.0</v>
      </c>
      <c r="W174" s="107">
        <v>0.0</v>
      </c>
      <c r="X174" s="107">
        <v>0.0</v>
      </c>
      <c r="Y174" s="107">
        <v>0.0</v>
      </c>
      <c r="Z174" s="80">
        <v>0.0</v>
      </c>
      <c r="AA174" s="140">
        <v>0.0</v>
      </c>
      <c r="AB174" s="109">
        <v>0.0</v>
      </c>
      <c r="AC174" s="109">
        <v>0.0</v>
      </c>
      <c r="AD174" s="141">
        <v>0.0</v>
      </c>
      <c r="AE174" s="80">
        <v>0.0</v>
      </c>
      <c r="AF174" s="140">
        <v>77.0</v>
      </c>
      <c r="AG174" s="109">
        <v>62.0</v>
      </c>
      <c r="AH174" s="109">
        <v>0.0</v>
      </c>
      <c r="AI174" s="141">
        <v>283.0</v>
      </c>
      <c r="AJ174" s="80">
        <v>422.0</v>
      </c>
      <c r="AK174" s="140">
        <v>0.0</v>
      </c>
      <c r="AL174" s="109">
        <v>0.0</v>
      </c>
      <c r="AM174" s="141">
        <v>0.0</v>
      </c>
      <c r="AN174" s="80">
        <v>0.0</v>
      </c>
      <c r="AO174" s="140">
        <v>0.0</v>
      </c>
      <c r="AP174" s="109">
        <v>0.0</v>
      </c>
      <c r="AQ174" s="109">
        <v>76.0</v>
      </c>
      <c r="AR174" s="80">
        <v>76.0</v>
      </c>
      <c r="AS174" s="110">
        <v>33.0</v>
      </c>
      <c r="AT174" s="110">
        <v>0.0</v>
      </c>
      <c r="AU174" s="110">
        <v>0.0</v>
      </c>
      <c r="AV174" s="142">
        <v>0.0</v>
      </c>
      <c r="AW174" s="80">
        <v>33.0</v>
      </c>
      <c r="AX174" s="113">
        <v>531.0</v>
      </c>
      <c r="AY174" s="117">
        <v>455.0</v>
      </c>
      <c r="AZ174" s="328">
        <v>76.0</v>
      </c>
      <c r="BA174" s="315">
        <v>0.0</v>
      </c>
      <c r="BB174" s="316">
        <v>531.0</v>
      </c>
      <c r="BC174" s="132" t="s">
        <v>178</v>
      </c>
      <c r="BD174" s="132" t="s">
        <v>178</v>
      </c>
      <c r="BE174" s="132" t="s">
        <v>178</v>
      </c>
      <c r="BF174" s="123"/>
      <c r="BG174" s="83">
        <v>1178017.0</v>
      </c>
      <c r="BH174" s="112">
        <v>12.0</v>
      </c>
      <c r="BI174" s="98" t="s">
        <v>162</v>
      </c>
      <c r="BJ174" s="98" t="str">
        <f t="shared" si="1"/>
        <v>INTEGRAL</v>
      </c>
      <c r="BK174" s="98" t="str">
        <f t="shared" si="2"/>
        <v>PROFISSIONAL</v>
      </c>
    </row>
    <row r="175" ht="41.25" customHeight="1">
      <c r="A175" s="111" t="s">
        <v>285</v>
      </c>
      <c r="B175" s="83" t="s">
        <v>795</v>
      </c>
      <c r="C175" s="83" t="s">
        <v>68</v>
      </c>
      <c r="D175" s="83">
        <v>1176466.0</v>
      </c>
      <c r="E175" s="83"/>
      <c r="F175" s="83">
        <v>2.9385253E7</v>
      </c>
      <c r="G175" s="114" t="s">
        <v>3739</v>
      </c>
      <c r="H175" s="91" t="s">
        <v>798</v>
      </c>
      <c r="I175" s="114" t="s">
        <v>149</v>
      </c>
      <c r="J175" s="83" t="s">
        <v>150</v>
      </c>
      <c r="K175" s="83" t="s">
        <v>151</v>
      </c>
      <c r="L175" s="83" t="s">
        <v>152</v>
      </c>
      <c r="M175" s="82" t="s">
        <v>3743</v>
      </c>
      <c r="N175" s="82" t="s">
        <v>3744</v>
      </c>
      <c r="O175" s="82" t="s">
        <v>3745</v>
      </c>
      <c r="P175" s="82" t="s">
        <v>3746</v>
      </c>
      <c r="Q175" s="82"/>
      <c r="R175" s="82"/>
      <c r="S175" s="82" t="s">
        <v>3747</v>
      </c>
      <c r="T175" s="138">
        <v>10.0</v>
      </c>
      <c r="U175" s="331">
        <v>10.0</v>
      </c>
      <c r="V175" s="106">
        <v>0.0</v>
      </c>
      <c r="W175" s="107">
        <v>0.0</v>
      </c>
      <c r="X175" s="107">
        <v>0.0</v>
      </c>
      <c r="Y175" s="107">
        <v>0.0</v>
      </c>
      <c r="Z175" s="80">
        <v>0.0</v>
      </c>
      <c r="AA175" s="140">
        <v>0.0</v>
      </c>
      <c r="AB175" s="109">
        <v>0.0</v>
      </c>
      <c r="AC175" s="109">
        <v>0.0</v>
      </c>
      <c r="AD175" s="141">
        <v>0.0</v>
      </c>
      <c r="AE175" s="80">
        <v>0.0</v>
      </c>
      <c r="AF175" s="140">
        <v>255.0</v>
      </c>
      <c r="AG175" s="109">
        <v>93.0</v>
      </c>
      <c r="AH175" s="109">
        <v>93.0</v>
      </c>
      <c r="AI175" s="141">
        <v>283.0</v>
      </c>
      <c r="AJ175" s="80">
        <v>724.0</v>
      </c>
      <c r="AK175" s="140">
        <v>0.0</v>
      </c>
      <c r="AL175" s="109">
        <v>0.0</v>
      </c>
      <c r="AM175" s="141">
        <v>0.0</v>
      </c>
      <c r="AN175" s="80">
        <v>0.0</v>
      </c>
      <c r="AO175" s="140">
        <v>0.0</v>
      </c>
      <c r="AP175" s="109">
        <v>0.0</v>
      </c>
      <c r="AQ175" s="109">
        <v>201.0</v>
      </c>
      <c r="AR175" s="80">
        <v>201.0</v>
      </c>
      <c r="AS175" s="110">
        <v>0.0</v>
      </c>
      <c r="AT175" s="110">
        <v>135.0</v>
      </c>
      <c r="AU175" s="110">
        <v>0.0</v>
      </c>
      <c r="AV175" s="142">
        <v>0.0</v>
      </c>
      <c r="AW175" s="80">
        <v>135.0</v>
      </c>
      <c r="AX175" s="113">
        <v>1060.0</v>
      </c>
      <c r="AY175" s="117">
        <v>766.0</v>
      </c>
      <c r="AZ175" s="328">
        <v>294.0</v>
      </c>
      <c r="BA175" s="315">
        <v>0.0</v>
      </c>
      <c r="BB175" s="316">
        <v>1060.0</v>
      </c>
      <c r="BC175" s="132" t="s">
        <v>178</v>
      </c>
      <c r="BD175" s="132" t="s">
        <v>178</v>
      </c>
      <c r="BE175" s="132" t="s">
        <v>178</v>
      </c>
      <c r="BF175" s="156"/>
      <c r="BG175" s="83">
        <v>1176466.0</v>
      </c>
      <c r="BH175" s="112">
        <v>10.0</v>
      </c>
      <c r="BI175" s="98" t="s">
        <v>155</v>
      </c>
      <c r="BJ175" s="98" t="str">
        <f t="shared" si="1"/>
        <v>INTEGRAL</v>
      </c>
      <c r="BK175" s="98" t="str">
        <f t="shared" si="2"/>
        <v>PROFISSIONAL</v>
      </c>
    </row>
    <row r="176" ht="15.75" customHeight="1">
      <c r="A176" s="111" t="s">
        <v>285</v>
      </c>
      <c r="B176" s="83" t="s">
        <v>795</v>
      </c>
      <c r="C176" s="83" t="s">
        <v>164</v>
      </c>
      <c r="D176" s="83">
        <v>1179283.0</v>
      </c>
      <c r="E176" s="146">
        <v>1178747.0</v>
      </c>
      <c r="F176" s="83"/>
      <c r="G176" s="114" t="s">
        <v>800</v>
      </c>
      <c r="H176" s="91" t="s">
        <v>801</v>
      </c>
      <c r="I176" s="187" t="s">
        <v>802</v>
      </c>
      <c r="J176" s="83" t="s">
        <v>467</v>
      </c>
      <c r="K176" s="83" t="s">
        <v>151</v>
      </c>
      <c r="L176" s="83" t="s">
        <v>169</v>
      </c>
      <c r="M176" s="82" t="s">
        <v>3752</v>
      </c>
      <c r="N176" s="82" t="s">
        <v>3753</v>
      </c>
      <c r="O176" s="82" t="s">
        <v>3754</v>
      </c>
      <c r="P176" s="82" t="s">
        <v>3755</v>
      </c>
      <c r="Q176" s="82" t="s">
        <v>3756</v>
      </c>
      <c r="R176" s="82" t="s">
        <v>3757</v>
      </c>
      <c r="S176" s="82" t="s">
        <v>3758</v>
      </c>
      <c r="T176" s="138">
        <v>3.0</v>
      </c>
      <c r="U176" s="323">
        <v>3.0</v>
      </c>
      <c r="V176" s="106">
        <v>0.0</v>
      </c>
      <c r="W176" s="107">
        <v>0.0</v>
      </c>
      <c r="X176" s="107">
        <v>0.0</v>
      </c>
      <c r="Y176" s="107">
        <v>0.0</v>
      </c>
      <c r="Z176" s="80">
        <v>0.0</v>
      </c>
      <c r="AA176" s="140">
        <v>0.0</v>
      </c>
      <c r="AB176" s="109">
        <v>0.0</v>
      </c>
      <c r="AC176" s="109">
        <v>0.0</v>
      </c>
      <c r="AD176" s="141">
        <v>0.0</v>
      </c>
      <c r="AE176" s="80">
        <v>0.0</v>
      </c>
      <c r="AF176" s="140">
        <v>0.0</v>
      </c>
      <c r="AG176" s="109">
        <v>0.0</v>
      </c>
      <c r="AH176" s="109">
        <v>11.0</v>
      </c>
      <c r="AI176" s="141">
        <v>0.0</v>
      </c>
      <c r="AJ176" s="80">
        <v>11.0</v>
      </c>
      <c r="AK176" s="140">
        <v>0.0</v>
      </c>
      <c r="AL176" s="109">
        <v>0.0</v>
      </c>
      <c r="AM176" s="141">
        <v>0.0</v>
      </c>
      <c r="AN176" s="80">
        <v>0.0</v>
      </c>
      <c r="AO176" s="140">
        <v>0.0</v>
      </c>
      <c r="AP176" s="109">
        <v>0.0</v>
      </c>
      <c r="AQ176" s="109">
        <v>0.0</v>
      </c>
      <c r="AR176" s="80">
        <v>0.0</v>
      </c>
      <c r="AS176" s="110">
        <v>0.0</v>
      </c>
      <c r="AT176" s="110">
        <v>0.0</v>
      </c>
      <c r="AU176" s="110">
        <v>0.0</v>
      </c>
      <c r="AV176" s="142">
        <v>0.0</v>
      </c>
      <c r="AW176" s="80">
        <v>0.0</v>
      </c>
      <c r="AX176" s="113">
        <v>11.0</v>
      </c>
      <c r="AY176" s="117">
        <v>0.0</v>
      </c>
      <c r="AZ176" s="328">
        <v>11.0</v>
      </c>
      <c r="BA176" s="315">
        <v>0.0</v>
      </c>
      <c r="BB176" s="316">
        <v>11.0</v>
      </c>
      <c r="BC176" s="132" t="s">
        <v>178</v>
      </c>
      <c r="BD176" s="143" t="s">
        <v>227</v>
      </c>
      <c r="BE176" s="132" t="s">
        <v>178</v>
      </c>
      <c r="BF176" s="123"/>
      <c r="BG176" s="83">
        <v>1178747.0</v>
      </c>
      <c r="BH176" s="112">
        <v>3.0</v>
      </c>
      <c r="BI176" s="98" t="s">
        <v>155</v>
      </c>
      <c r="BJ176" s="98" t="str">
        <f t="shared" si="1"/>
        <v>NÃO</v>
      </c>
      <c r="BK176" s="98" t="str">
        <f t="shared" si="2"/>
        <v>NÃO</v>
      </c>
    </row>
    <row r="177" ht="15.75" customHeight="1">
      <c r="A177" s="111" t="s">
        <v>285</v>
      </c>
      <c r="B177" s="83" t="s">
        <v>795</v>
      </c>
      <c r="C177" s="83" t="s">
        <v>164</v>
      </c>
      <c r="D177" s="83">
        <v>1179283.0</v>
      </c>
      <c r="E177" s="83">
        <v>1178746.0</v>
      </c>
      <c r="F177" s="83"/>
      <c r="G177" s="114" t="s">
        <v>803</v>
      </c>
      <c r="H177" s="91" t="s">
        <v>804</v>
      </c>
      <c r="I177" s="187" t="s">
        <v>805</v>
      </c>
      <c r="J177" s="83" t="s">
        <v>705</v>
      </c>
      <c r="K177" s="83" t="s">
        <v>151</v>
      </c>
      <c r="L177" s="83" t="s">
        <v>169</v>
      </c>
      <c r="M177" s="82" t="s">
        <v>3752</v>
      </c>
      <c r="N177" s="82" t="s">
        <v>3753</v>
      </c>
      <c r="O177" s="82" t="s">
        <v>3754</v>
      </c>
      <c r="P177" s="82" t="s">
        <v>3755</v>
      </c>
      <c r="Q177" s="82" t="s">
        <v>3756</v>
      </c>
      <c r="R177" s="82" t="s">
        <v>3757</v>
      </c>
      <c r="S177" s="82" t="s">
        <v>3758</v>
      </c>
      <c r="T177" s="138">
        <v>3.0</v>
      </c>
      <c r="U177" s="323">
        <v>3.0</v>
      </c>
      <c r="V177" s="106">
        <v>0.0</v>
      </c>
      <c r="W177" s="107">
        <v>0.0</v>
      </c>
      <c r="X177" s="107">
        <v>0.0</v>
      </c>
      <c r="Y177" s="107">
        <v>0.0</v>
      </c>
      <c r="Z177" s="80">
        <v>0.0</v>
      </c>
      <c r="AA177" s="140">
        <v>0.0</v>
      </c>
      <c r="AB177" s="109">
        <v>0.0</v>
      </c>
      <c r="AC177" s="109">
        <v>0.0</v>
      </c>
      <c r="AD177" s="141">
        <v>0.0</v>
      </c>
      <c r="AE177" s="80">
        <v>0.0</v>
      </c>
      <c r="AF177" s="140">
        <v>0.0</v>
      </c>
      <c r="AG177" s="109">
        <v>22.0</v>
      </c>
      <c r="AH177" s="109">
        <v>0.0</v>
      </c>
      <c r="AI177" s="141">
        <v>0.0</v>
      </c>
      <c r="AJ177" s="80">
        <v>22.0</v>
      </c>
      <c r="AK177" s="140">
        <v>0.0</v>
      </c>
      <c r="AL177" s="109">
        <v>0.0</v>
      </c>
      <c r="AM177" s="141">
        <v>0.0</v>
      </c>
      <c r="AN177" s="80">
        <v>0.0</v>
      </c>
      <c r="AO177" s="140">
        <v>0.0</v>
      </c>
      <c r="AP177" s="109">
        <v>0.0</v>
      </c>
      <c r="AQ177" s="109">
        <v>0.0</v>
      </c>
      <c r="AR177" s="80">
        <v>0.0</v>
      </c>
      <c r="AS177" s="110">
        <v>0.0</v>
      </c>
      <c r="AT177" s="110">
        <v>0.0</v>
      </c>
      <c r="AU177" s="110">
        <v>0.0</v>
      </c>
      <c r="AV177" s="142">
        <v>0.0</v>
      </c>
      <c r="AW177" s="80">
        <v>0.0</v>
      </c>
      <c r="AX177" s="113">
        <v>22.0</v>
      </c>
      <c r="AY177" s="117">
        <v>22.0</v>
      </c>
      <c r="AZ177" s="328">
        <v>0.0</v>
      </c>
      <c r="BA177" s="315">
        <v>0.0</v>
      </c>
      <c r="BB177" s="316">
        <v>22.0</v>
      </c>
      <c r="BC177" s="132" t="s">
        <v>178</v>
      </c>
      <c r="BD177" s="143" t="s">
        <v>227</v>
      </c>
      <c r="BE177" s="132" t="s">
        <v>178</v>
      </c>
      <c r="BF177" s="123"/>
      <c r="BG177" s="83">
        <v>1178746.0</v>
      </c>
      <c r="BH177" s="112">
        <v>3.0</v>
      </c>
      <c r="BI177" s="98" t="s">
        <v>155</v>
      </c>
      <c r="BJ177" s="98" t="str">
        <f t="shared" si="1"/>
        <v>NÃO</v>
      </c>
      <c r="BK177" s="98" t="str">
        <f t="shared" si="2"/>
        <v>NÃO</v>
      </c>
    </row>
    <row r="178" ht="15.75" customHeight="1">
      <c r="A178" s="111" t="s">
        <v>285</v>
      </c>
      <c r="B178" s="83" t="s">
        <v>806</v>
      </c>
      <c r="C178" s="83" t="s">
        <v>68</v>
      </c>
      <c r="D178" s="83">
        <v>1133014.0</v>
      </c>
      <c r="E178" s="83"/>
      <c r="F178" s="83">
        <v>2.9214211E7</v>
      </c>
      <c r="G178" s="153" t="s">
        <v>807</v>
      </c>
      <c r="H178" s="91" t="s">
        <v>808</v>
      </c>
      <c r="I178" s="114" t="s">
        <v>149</v>
      </c>
      <c r="J178" s="83" t="s">
        <v>150</v>
      </c>
      <c r="K178" s="83" t="s">
        <v>151</v>
      </c>
      <c r="L178" s="83" t="s">
        <v>152</v>
      </c>
      <c r="M178" s="82" t="s">
        <v>3767</v>
      </c>
      <c r="N178" s="82" t="s">
        <v>3768</v>
      </c>
      <c r="O178" s="82" t="s">
        <v>3769</v>
      </c>
      <c r="P178" s="82" t="s">
        <v>3770</v>
      </c>
      <c r="Q178" s="82"/>
      <c r="R178" s="82"/>
      <c r="S178" s="82" t="s">
        <v>3771</v>
      </c>
      <c r="T178" s="138">
        <v>9.0</v>
      </c>
      <c r="U178" s="331">
        <v>12.0</v>
      </c>
      <c r="V178" s="106">
        <v>0.0</v>
      </c>
      <c r="W178" s="107">
        <v>0.0</v>
      </c>
      <c r="X178" s="107">
        <v>0.0</v>
      </c>
      <c r="Y178" s="107">
        <v>0.0</v>
      </c>
      <c r="Z178" s="80">
        <v>0.0</v>
      </c>
      <c r="AA178" s="140">
        <v>0.0</v>
      </c>
      <c r="AB178" s="109">
        <v>0.0</v>
      </c>
      <c r="AC178" s="109">
        <v>0.0</v>
      </c>
      <c r="AD178" s="141">
        <v>0.0</v>
      </c>
      <c r="AE178" s="80">
        <v>0.0</v>
      </c>
      <c r="AF178" s="140">
        <v>50.0</v>
      </c>
      <c r="AG178" s="109">
        <v>72.0</v>
      </c>
      <c r="AH178" s="109">
        <v>25.0</v>
      </c>
      <c r="AI178" s="141">
        <v>214.0</v>
      </c>
      <c r="AJ178" s="80">
        <v>361.0</v>
      </c>
      <c r="AK178" s="140">
        <v>0.0</v>
      </c>
      <c r="AL178" s="109">
        <v>0.0</v>
      </c>
      <c r="AM178" s="141">
        <v>0.0</v>
      </c>
      <c r="AN178" s="80">
        <v>0.0</v>
      </c>
      <c r="AO178" s="140">
        <v>0.0</v>
      </c>
      <c r="AP178" s="109">
        <v>0.0</v>
      </c>
      <c r="AQ178" s="109">
        <v>20.0</v>
      </c>
      <c r="AR178" s="80">
        <v>20.0</v>
      </c>
      <c r="AS178" s="110">
        <v>38.0</v>
      </c>
      <c r="AT178" s="110">
        <v>61.0</v>
      </c>
      <c r="AU178" s="110">
        <v>0.0</v>
      </c>
      <c r="AV178" s="142">
        <v>0.0</v>
      </c>
      <c r="AW178" s="80">
        <v>99.0</v>
      </c>
      <c r="AX178" s="113">
        <v>480.0</v>
      </c>
      <c r="AY178" s="117">
        <v>435.0</v>
      </c>
      <c r="AZ178" s="328">
        <v>45.0</v>
      </c>
      <c r="BA178" s="315">
        <v>0.0</v>
      </c>
      <c r="BB178" s="316">
        <v>480.0</v>
      </c>
      <c r="BC178" s="132" t="s">
        <v>178</v>
      </c>
      <c r="BD178" s="132" t="s">
        <v>178</v>
      </c>
      <c r="BE178" s="132" t="s">
        <v>178</v>
      </c>
      <c r="BF178" s="156"/>
      <c r="BG178" s="83">
        <v>1133014.0</v>
      </c>
      <c r="BH178" s="112">
        <v>12.0</v>
      </c>
      <c r="BI178" s="98" t="s">
        <v>162</v>
      </c>
      <c r="BJ178" s="98" t="str">
        <f t="shared" si="1"/>
        <v>INTEGRAL</v>
      </c>
      <c r="BK178" s="98" t="str">
        <f t="shared" si="2"/>
        <v>PROFISSIONAL</v>
      </c>
    </row>
    <row r="179" ht="15.75" customHeight="1">
      <c r="A179" s="111" t="s">
        <v>285</v>
      </c>
      <c r="B179" s="83" t="s">
        <v>806</v>
      </c>
      <c r="C179" s="83" t="s">
        <v>164</v>
      </c>
      <c r="D179" s="83">
        <v>1133014.0</v>
      </c>
      <c r="E179" s="83">
        <v>1179722.0</v>
      </c>
      <c r="F179" s="83">
        <v>2.9214211E7</v>
      </c>
      <c r="G179" s="114" t="s">
        <v>3775</v>
      </c>
      <c r="H179" s="108" t="s">
        <v>811</v>
      </c>
      <c r="I179" s="289"/>
      <c r="J179" s="83" t="s">
        <v>767</v>
      </c>
      <c r="K179" s="83" t="s">
        <v>168</v>
      </c>
      <c r="L179" s="115" t="s">
        <v>512</v>
      </c>
      <c r="M179" s="82" t="s">
        <v>3767</v>
      </c>
      <c r="N179" s="82" t="s">
        <v>3768</v>
      </c>
      <c r="O179" s="82" t="s">
        <v>3769</v>
      </c>
      <c r="P179" s="82" t="s">
        <v>3770</v>
      </c>
      <c r="Q179" s="82"/>
      <c r="R179" s="82"/>
      <c r="S179" s="82" t="s">
        <v>3771</v>
      </c>
      <c r="T179" s="138"/>
      <c r="U179" s="331">
        <v>3.0</v>
      </c>
      <c r="V179" s="106">
        <v>0.0</v>
      </c>
      <c r="W179" s="107">
        <v>0.0</v>
      </c>
      <c r="X179" s="107">
        <v>0.0</v>
      </c>
      <c r="Y179" s="107">
        <v>0.0</v>
      </c>
      <c r="Z179" s="80">
        <v>0.0</v>
      </c>
      <c r="AA179" s="140">
        <v>0.0</v>
      </c>
      <c r="AB179" s="109">
        <v>0.0</v>
      </c>
      <c r="AC179" s="109">
        <v>0.0</v>
      </c>
      <c r="AD179" s="141">
        <v>0.0</v>
      </c>
      <c r="AE179" s="80">
        <v>0.0</v>
      </c>
      <c r="AF179" s="140">
        <v>0.0</v>
      </c>
      <c r="AG179" s="109">
        <v>72.0</v>
      </c>
      <c r="AH179" s="109">
        <v>0.0</v>
      </c>
      <c r="AI179" s="141">
        <v>0.0</v>
      </c>
      <c r="AJ179" s="80">
        <v>72.0</v>
      </c>
      <c r="AK179" s="140">
        <v>0.0</v>
      </c>
      <c r="AL179" s="109">
        <v>0.0</v>
      </c>
      <c r="AM179" s="141">
        <v>0.0</v>
      </c>
      <c r="AN179" s="80">
        <v>0.0</v>
      </c>
      <c r="AO179" s="140">
        <v>0.0</v>
      </c>
      <c r="AP179" s="109">
        <v>0.0</v>
      </c>
      <c r="AQ179" s="109">
        <v>0.0</v>
      </c>
      <c r="AR179" s="80">
        <v>0.0</v>
      </c>
      <c r="AS179" s="110">
        <v>0.0</v>
      </c>
      <c r="AT179" s="110">
        <v>0.0</v>
      </c>
      <c r="AU179" s="110">
        <v>0.0</v>
      </c>
      <c r="AV179" s="142">
        <v>0.0</v>
      </c>
      <c r="AW179" s="80">
        <v>0.0</v>
      </c>
      <c r="AX179" s="113">
        <v>72.0</v>
      </c>
      <c r="AY179" s="117">
        <v>72.0</v>
      </c>
      <c r="AZ179" s="328">
        <v>0.0</v>
      </c>
      <c r="BA179" s="315">
        <v>0.0</v>
      </c>
      <c r="BB179" s="316">
        <v>72.0</v>
      </c>
      <c r="BC179" s="132" t="s">
        <v>178</v>
      </c>
      <c r="BD179" s="132" t="s">
        <v>178</v>
      </c>
      <c r="BE179" s="132" t="s">
        <v>178</v>
      </c>
      <c r="BF179" s="156"/>
      <c r="BG179" s="83">
        <v>1179722.0</v>
      </c>
      <c r="BH179" s="112">
        <v>3.0</v>
      </c>
      <c r="BI179" s="98" t="s">
        <v>155</v>
      </c>
      <c r="BJ179" s="98" t="str">
        <f t="shared" si="1"/>
        <v>NÃO</v>
      </c>
      <c r="BK179" s="98" t="str">
        <f t="shared" si="2"/>
        <v>NÃO</v>
      </c>
    </row>
    <row r="180" ht="15.75" customHeight="1">
      <c r="A180" s="111" t="s">
        <v>285</v>
      </c>
      <c r="B180" s="83" t="s">
        <v>812</v>
      </c>
      <c r="C180" s="83" t="s">
        <v>68</v>
      </c>
      <c r="D180" s="83">
        <v>1178103.0</v>
      </c>
      <c r="E180" s="83"/>
      <c r="F180" s="83">
        <v>2.9221935E7</v>
      </c>
      <c r="G180" s="114" t="s">
        <v>3779</v>
      </c>
      <c r="H180" s="91" t="s">
        <v>814</v>
      </c>
      <c r="I180" s="114" t="s">
        <v>149</v>
      </c>
      <c r="J180" s="83" t="s">
        <v>150</v>
      </c>
      <c r="K180" s="83" t="s">
        <v>151</v>
      </c>
      <c r="L180" s="83" t="s">
        <v>152</v>
      </c>
      <c r="M180" s="82" t="s">
        <v>3781</v>
      </c>
      <c r="N180" s="82" t="s">
        <v>3784</v>
      </c>
      <c r="O180" s="82"/>
      <c r="P180" s="82"/>
      <c r="Q180" s="82"/>
      <c r="R180" s="82"/>
      <c r="S180" s="82" t="s">
        <v>3786</v>
      </c>
      <c r="T180" s="138">
        <v>10.0</v>
      </c>
      <c r="U180" s="339" t="s">
        <v>3787</v>
      </c>
      <c r="V180" s="106">
        <v>0.0</v>
      </c>
      <c r="W180" s="107">
        <v>0.0</v>
      </c>
      <c r="X180" s="107">
        <v>0.0</v>
      </c>
      <c r="Y180" s="107">
        <v>0.0</v>
      </c>
      <c r="Z180" s="80">
        <v>0.0</v>
      </c>
      <c r="AA180" s="140">
        <v>0.0</v>
      </c>
      <c r="AB180" s="109">
        <v>0.0</v>
      </c>
      <c r="AC180" s="109">
        <v>0.0</v>
      </c>
      <c r="AD180" s="141">
        <v>0.0</v>
      </c>
      <c r="AE180" s="80">
        <v>0.0</v>
      </c>
      <c r="AF180" s="140">
        <v>133.0</v>
      </c>
      <c r="AG180" s="109">
        <v>81.0</v>
      </c>
      <c r="AH180" s="109">
        <v>40.0</v>
      </c>
      <c r="AI180" s="141">
        <v>97.0</v>
      </c>
      <c r="AJ180" s="80">
        <v>351.0</v>
      </c>
      <c r="AK180" s="140">
        <v>0.0</v>
      </c>
      <c r="AL180" s="109">
        <v>0.0</v>
      </c>
      <c r="AM180" s="141">
        <v>0.0</v>
      </c>
      <c r="AN180" s="80">
        <v>0.0</v>
      </c>
      <c r="AO180" s="140">
        <v>0.0</v>
      </c>
      <c r="AP180" s="109">
        <v>0.0</v>
      </c>
      <c r="AQ180" s="109">
        <v>100.0</v>
      </c>
      <c r="AR180" s="80">
        <v>100.0</v>
      </c>
      <c r="AS180" s="110">
        <v>0.0</v>
      </c>
      <c r="AT180" s="110">
        <v>0.0</v>
      </c>
      <c r="AU180" s="110">
        <v>0.0</v>
      </c>
      <c r="AV180" s="142">
        <v>0.0</v>
      </c>
      <c r="AW180" s="80">
        <v>0.0</v>
      </c>
      <c r="AX180" s="113">
        <v>451.0</v>
      </c>
      <c r="AY180" s="117">
        <v>311.0</v>
      </c>
      <c r="AZ180" s="328">
        <v>140.0</v>
      </c>
      <c r="BA180" s="315">
        <v>0.0</v>
      </c>
      <c r="BB180" s="316">
        <v>451.0</v>
      </c>
      <c r="BC180" s="132" t="s">
        <v>178</v>
      </c>
      <c r="BD180" s="132" t="s">
        <v>178</v>
      </c>
      <c r="BE180" s="132" t="s">
        <v>178</v>
      </c>
      <c r="BF180" s="123"/>
      <c r="BG180" s="83">
        <v>1178103.0</v>
      </c>
      <c r="BH180" s="112">
        <v>8.0</v>
      </c>
      <c r="BI180" s="98" t="s">
        <v>155</v>
      </c>
      <c r="BJ180" s="98" t="str">
        <f t="shared" si="1"/>
        <v>INTEGRAL</v>
      </c>
      <c r="BK180" s="98" t="str">
        <f t="shared" si="2"/>
        <v>NÃO</v>
      </c>
    </row>
    <row r="181" ht="15.75" customHeight="1">
      <c r="A181" s="111" t="s">
        <v>285</v>
      </c>
      <c r="B181" s="83" t="s">
        <v>812</v>
      </c>
      <c r="C181" s="83" t="s">
        <v>164</v>
      </c>
      <c r="D181" s="83">
        <v>1179283.0</v>
      </c>
      <c r="E181" s="83">
        <v>1179158.0</v>
      </c>
      <c r="F181" s="83"/>
      <c r="G181" s="114" t="s">
        <v>816</v>
      </c>
      <c r="H181" s="91" t="s">
        <v>817</v>
      </c>
      <c r="I181" s="114" t="s">
        <v>149</v>
      </c>
      <c r="J181" s="83" t="s">
        <v>694</v>
      </c>
      <c r="K181" s="83" t="s">
        <v>168</v>
      </c>
      <c r="L181" s="83" t="s">
        <v>169</v>
      </c>
      <c r="M181" s="82" t="s">
        <v>3752</v>
      </c>
      <c r="N181" s="82" t="s">
        <v>3753</v>
      </c>
      <c r="O181" s="82" t="s">
        <v>3754</v>
      </c>
      <c r="P181" s="82" t="s">
        <v>3755</v>
      </c>
      <c r="Q181" s="82" t="s">
        <v>3756</v>
      </c>
      <c r="R181" s="82" t="s">
        <v>3757</v>
      </c>
      <c r="S181" s="82" t="s">
        <v>3758</v>
      </c>
      <c r="T181" s="138">
        <v>3.0</v>
      </c>
      <c r="U181" s="323">
        <v>3.0</v>
      </c>
      <c r="V181" s="106">
        <v>0.0</v>
      </c>
      <c r="W181" s="107">
        <v>0.0</v>
      </c>
      <c r="X181" s="107">
        <v>0.0</v>
      </c>
      <c r="Y181" s="107">
        <v>0.0</v>
      </c>
      <c r="Z181" s="80">
        <v>0.0</v>
      </c>
      <c r="AA181" s="140">
        <v>0.0</v>
      </c>
      <c r="AB181" s="109">
        <v>0.0</v>
      </c>
      <c r="AC181" s="109">
        <v>0.0</v>
      </c>
      <c r="AD181" s="141">
        <v>0.0</v>
      </c>
      <c r="AE181" s="80">
        <v>0.0</v>
      </c>
      <c r="AF181" s="140">
        <v>0.0</v>
      </c>
      <c r="AG181" s="109">
        <v>18.0</v>
      </c>
      <c r="AH181" s="109">
        <v>37.0</v>
      </c>
      <c r="AI181" s="141">
        <v>0.0</v>
      </c>
      <c r="AJ181" s="80">
        <v>55.0</v>
      </c>
      <c r="AK181" s="140">
        <v>0.0</v>
      </c>
      <c r="AL181" s="109">
        <v>0.0</v>
      </c>
      <c r="AM181" s="141">
        <v>0.0</v>
      </c>
      <c r="AN181" s="80">
        <v>0.0</v>
      </c>
      <c r="AO181" s="140">
        <v>0.0</v>
      </c>
      <c r="AP181" s="109">
        <v>0.0</v>
      </c>
      <c r="AQ181" s="109">
        <v>0.0</v>
      </c>
      <c r="AR181" s="80">
        <v>0.0</v>
      </c>
      <c r="AS181" s="110">
        <v>0.0</v>
      </c>
      <c r="AT181" s="110">
        <v>0.0</v>
      </c>
      <c r="AU181" s="110">
        <v>0.0</v>
      </c>
      <c r="AV181" s="142">
        <v>0.0</v>
      </c>
      <c r="AW181" s="80">
        <v>0.0</v>
      </c>
      <c r="AX181" s="113">
        <v>55.0</v>
      </c>
      <c r="AY181" s="117">
        <v>18.0</v>
      </c>
      <c r="AZ181" s="328">
        <v>37.0</v>
      </c>
      <c r="BA181" s="315">
        <v>0.0</v>
      </c>
      <c r="BB181" s="316">
        <v>55.0</v>
      </c>
      <c r="BC181" s="132" t="s">
        <v>265</v>
      </c>
      <c r="BD181" s="183" t="s">
        <v>227</v>
      </c>
      <c r="BE181" s="132" t="s">
        <v>178</v>
      </c>
      <c r="BF181" s="156"/>
      <c r="BG181" s="83">
        <v>1179158.0</v>
      </c>
      <c r="BH181" s="112">
        <v>3.0</v>
      </c>
      <c r="BI181" s="98" t="s">
        <v>155</v>
      </c>
      <c r="BJ181" s="98" t="str">
        <f t="shared" si="1"/>
        <v>NÃO</v>
      </c>
      <c r="BK181" s="98" t="str">
        <f t="shared" si="2"/>
        <v>NÃO</v>
      </c>
    </row>
    <row r="182" ht="15.75" customHeight="1">
      <c r="A182" s="111" t="s">
        <v>285</v>
      </c>
      <c r="B182" s="83" t="s">
        <v>812</v>
      </c>
      <c r="C182" s="83" t="s">
        <v>164</v>
      </c>
      <c r="D182" s="83">
        <v>1179283.0</v>
      </c>
      <c r="E182" s="83">
        <v>1179159.0</v>
      </c>
      <c r="F182" s="83"/>
      <c r="G182" s="114" t="s">
        <v>819</v>
      </c>
      <c r="H182" s="91" t="s">
        <v>820</v>
      </c>
      <c r="I182" s="187" t="s">
        <v>821</v>
      </c>
      <c r="J182" s="83" t="s">
        <v>822</v>
      </c>
      <c r="K182" s="83" t="s">
        <v>168</v>
      </c>
      <c r="L182" s="83" t="s">
        <v>169</v>
      </c>
      <c r="M182" s="82" t="s">
        <v>3752</v>
      </c>
      <c r="N182" s="82" t="s">
        <v>3753</v>
      </c>
      <c r="O182" s="82" t="s">
        <v>3754</v>
      </c>
      <c r="P182" s="82" t="s">
        <v>3755</v>
      </c>
      <c r="Q182" s="82" t="s">
        <v>3756</v>
      </c>
      <c r="R182" s="82" t="s">
        <v>3757</v>
      </c>
      <c r="S182" s="82" t="s">
        <v>3758</v>
      </c>
      <c r="T182" s="138">
        <v>3.0</v>
      </c>
      <c r="U182" s="323">
        <v>3.0</v>
      </c>
      <c r="V182" s="106">
        <v>0.0</v>
      </c>
      <c r="W182" s="107">
        <v>0.0</v>
      </c>
      <c r="X182" s="107">
        <v>0.0</v>
      </c>
      <c r="Y182" s="107">
        <v>0.0</v>
      </c>
      <c r="Z182" s="80">
        <v>0.0</v>
      </c>
      <c r="AA182" s="140">
        <v>0.0</v>
      </c>
      <c r="AB182" s="109">
        <v>0.0</v>
      </c>
      <c r="AC182" s="109">
        <v>0.0</v>
      </c>
      <c r="AD182" s="141">
        <v>0.0</v>
      </c>
      <c r="AE182" s="80">
        <v>0.0</v>
      </c>
      <c r="AF182" s="140">
        <v>14.0</v>
      </c>
      <c r="AG182" s="109">
        <v>5.0</v>
      </c>
      <c r="AH182" s="109">
        <v>38.0</v>
      </c>
      <c r="AI182" s="141">
        <v>0.0</v>
      </c>
      <c r="AJ182" s="80">
        <v>57.0</v>
      </c>
      <c r="AK182" s="140">
        <v>0.0</v>
      </c>
      <c r="AL182" s="109">
        <v>0.0</v>
      </c>
      <c r="AM182" s="141">
        <v>0.0</v>
      </c>
      <c r="AN182" s="80">
        <v>0.0</v>
      </c>
      <c r="AO182" s="140">
        <v>0.0</v>
      </c>
      <c r="AP182" s="109">
        <v>0.0</v>
      </c>
      <c r="AQ182" s="109">
        <v>0.0</v>
      </c>
      <c r="AR182" s="80">
        <v>0.0</v>
      </c>
      <c r="AS182" s="110">
        <v>0.0</v>
      </c>
      <c r="AT182" s="110">
        <v>0.0</v>
      </c>
      <c r="AU182" s="110">
        <v>0.0</v>
      </c>
      <c r="AV182" s="142">
        <v>0.0</v>
      </c>
      <c r="AW182" s="80">
        <v>0.0</v>
      </c>
      <c r="AX182" s="113">
        <v>57.0</v>
      </c>
      <c r="AY182" s="117">
        <v>19.0</v>
      </c>
      <c r="AZ182" s="328">
        <v>38.0</v>
      </c>
      <c r="BA182" s="315">
        <v>0.0</v>
      </c>
      <c r="BB182" s="316">
        <v>57.0</v>
      </c>
      <c r="BC182" s="132" t="s">
        <v>265</v>
      </c>
      <c r="BD182" s="183" t="s">
        <v>227</v>
      </c>
      <c r="BE182" s="132" t="s">
        <v>178</v>
      </c>
      <c r="BF182" s="156"/>
      <c r="BG182" s="83">
        <v>1179159.0</v>
      </c>
      <c r="BH182" s="112">
        <v>3.0</v>
      </c>
      <c r="BI182" s="98" t="s">
        <v>155</v>
      </c>
      <c r="BJ182" s="98" t="str">
        <f t="shared" si="1"/>
        <v>NÃO</v>
      </c>
      <c r="BK182" s="98" t="str">
        <f t="shared" si="2"/>
        <v>NÃO</v>
      </c>
    </row>
    <row r="183" ht="15.75" customHeight="1">
      <c r="A183" s="111" t="s">
        <v>285</v>
      </c>
      <c r="B183" s="83" t="s">
        <v>812</v>
      </c>
      <c r="C183" s="83" t="s">
        <v>164</v>
      </c>
      <c r="D183" s="83">
        <v>1179283.0</v>
      </c>
      <c r="E183" s="83">
        <v>1179157.0</v>
      </c>
      <c r="F183" s="83"/>
      <c r="G183" s="114" t="s">
        <v>823</v>
      </c>
      <c r="H183" s="91" t="s">
        <v>824</v>
      </c>
      <c r="I183" s="187" t="s">
        <v>825</v>
      </c>
      <c r="J183" s="83" t="s">
        <v>310</v>
      </c>
      <c r="K183" s="83" t="s">
        <v>168</v>
      </c>
      <c r="L183" s="83" t="s">
        <v>169</v>
      </c>
      <c r="M183" s="82" t="s">
        <v>3752</v>
      </c>
      <c r="N183" s="82" t="s">
        <v>3753</v>
      </c>
      <c r="O183" s="82" t="s">
        <v>3754</v>
      </c>
      <c r="P183" s="82" t="s">
        <v>3755</v>
      </c>
      <c r="Q183" s="82" t="s">
        <v>3756</v>
      </c>
      <c r="R183" s="82" t="s">
        <v>3757</v>
      </c>
      <c r="S183" s="82" t="s">
        <v>3758</v>
      </c>
      <c r="T183" s="138">
        <v>3.0</v>
      </c>
      <c r="U183" s="323">
        <v>3.0</v>
      </c>
      <c r="V183" s="106">
        <v>0.0</v>
      </c>
      <c r="W183" s="107">
        <v>0.0</v>
      </c>
      <c r="X183" s="107">
        <v>0.0</v>
      </c>
      <c r="Y183" s="107">
        <v>0.0</v>
      </c>
      <c r="Z183" s="80">
        <v>0.0</v>
      </c>
      <c r="AA183" s="140">
        <v>0.0</v>
      </c>
      <c r="AB183" s="109">
        <v>0.0</v>
      </c>
      <c r="AC183" s="109">
        <v>0.0</v>
      </c>
      <c r="AD183" s="141">
        <v>0.0</v>
      </c>
      <c r="AE183" s="80">
        <v>0.0</v>
      </c>
      <c r="AF183" s="140">
        <v>0.0</v>
      </c>
      <c r="AG183" s="109">
        <v>0.0</v>
      </c>
      <c r="AH183" s="109">
        <v>25.0</v>
      </c>
      <c r="AI183" s="141">
        <v>0.0</v>
      </c>
      <c r="AJ183" s="80">
        <v>25.0</v>
      </c>
      <c r="AK183" s="140">
        <v>0.0</v>
      </c>
      <c r="AL183" s="109">
        <v>0.0</v>
      </c>
      <c r="AM183" s="141">
        <v>0.0</v>
      </c>
      <c r="AN183" s="80">
        <v>0.0</v>
      </c>
      <c r="AO183" s="140">
        <v>0.0</v>
      </c>
      <c r="AP183" s="109">
        <v>0.0</v>
      </c>
      <c r="AQ183" s="109">
        <v>0.0</v>
      </c>
      <c r="AR183" s="80">
        <v>0.0</v>
      </c>
      <c r="AS183" s="110">
        <v>0.0</v>
      </c>
      <c r="AT183" s="110">
        <v>0.0</v>
      </c>
      <c r="AU183" s="110">
        <v>0.0</v>
      </c>
      <c r="AV183" s="142">
        <v>0.0</v>
      </c>
      <c r="AW183" s="80">
        <v>0.0</v>
      </c>
      <c r="AX183" s="113">
        <v>25.0</v>
      </c>
      <c r="AY183" s="117">
        <v>0.0</v>
      </c>
      <c r="AZ183" s="328">
        <v>25.0</v>
      </c>
      <c r="BA183" s="315">
        <v>0.0</v>
      </c>
      <c r="BB183" s="316">
        <v>25.0</v>
      </c>
      <c r="BC183" s="132" t="s">
        <v>265</v>
      </c>
      <c r="BD183" s="183" t="s">
        <v>227</v>
      </c>
      <c r="BE183" s="132" t="s">
        <v>178</v>
      </c>
      <c r="BF183" s="156"/>
      <c r="BG183" s="83">
        <v>1179157.0</v>
      </c>
      <c r="BH183" s="112">
        <v>3.0</v>
      </c>
      <c r="BI183" s="98" t="s">
        <v>155</v>
      </c>
      <c r="BJ183" s="98" t="str">
        <f t="shared" si="1"/>
        <v>NÃO</v>
      </c>
      <c r="BK183" s="98" t="str">
        <f t="shared" si="2"/>
        <v>NÃO</v>
      </c>
    </row>
    <row r="184" ht="15.75" customHeight="1">
      <c r="A184" s="111" t="s">
        <v>285</v>
      </c>
      <c r="B184" s="83" t="s">
        <v>826</v>
      </c>
      <c r="C184" s="83" t="s">
        <v>68</v>
      </c>
      <c r="D184" s="83">
        <v>1168411.0</v>
      </c>
      <c r="E184" s="83"/>
      <c r="F184" s="83">
        <v>2.9214939E7</v>
      </c>
      <c r="G184" s="114" t="s">
        <v>3801</v>
      </c>
      <c r="H184" s="91" t="s">
        <v>3802</v>
      </c>
      <c r="I184" s="114" t="s">
        <v>149</v>
      </c>
      <c r="J184" s="83" t="s">
        <v>150</v>
      </c>
      <c r="K184" s="83" t="s">
        <v>151</v>
      </c>
      <c r="L184" s="83" t="s">
        <v>76</v>
      </c>
      <c r="M184" s="82" t="s">
        <v>3803</v>
      </c>
      <c r="N184" s="82" t="s">
        <v>3804</v>
      </c>
      <c r="O184" s="82" t="s">
        <v>3805</v>
      </c>
      <c r="P184" s="82" t="s">
        <v>3806</v>
      </c>
      <c r="Q184" s="82"/>
      <c r="R184" s="82"/>
      <c r="S184" s="82" t="s">
        <v>3807</v>
      </c>
      <c r="T184" s="138">
        <v>7.0</v>
      </c>
      <c r="U184" s="339" t="s">
        <v>3809</v>
      </c>
      <c r="V184" s="106">
        <v>0.0</v>
      </c>
      <c r="W184" s="107">
        <v>0.0</v>
      </c>
      <c r="X184" s="107">
        <v>0.0</v>
      </c>
      <c r="Y184" s="107">
        <v>0.0</v>
      </c>
      <c r="Z184" s="80">
        <v>0.0</v>
      </c>
      <c r="AA184" s="140">
        <v>0.0</v>
      </c>
      <c r="AB184" s="109">
        <v>0.0</v>
      </c>
      <c r="AC184" s="109">
        <v>0.0</v>
      </c>
      <c r="AD184" s="141">
        <v>0.0</v>
      </c>
      <c r="AE184" s="80">
        <v>0.0</v>
      </c>
      <c r="AF184" s="140">
        <v>90.0</v>
      </c>
      <c r="AG184" s="109">
        <v>132.0</v>
      </c>
      <c r="AH184" s="109">
        <v>23.0</v>
      </c>
      <c r="AI184" s="141">
        <v>113.0</v>
      </c>
      <c r="AJ184" s="80">
        <v>358.0</v>
      </c>
      <c r="AK184" s="140">
        <v>0.0</v>
      </c>
      <c r="AL184" s="109">
        <v>0.0</v>
      </c>
      <c r="AM184" s="141">
        <v>0.0</v>
      </c>
      <c r="AN184" s="80">
        <v>0.0</v>
      </c>
      <c r="AO184" s="140">
        <v>0.0</v>
      </c>
      <c r="AP184" s="109">
        <v>0.0</v>
      </c>
      <c r="AQ184" s="109">
        <v>53.0</v>
      </c>
      <c r="AR184" s="80">
        <v>53.0</v>
      </c>
      <c r="AS184" s="110">
        <v>0.0</v>
      </c>
      <c r="AT184" s="110">
        <v>0.0</v>
      </c>
      <c r="AU184" s="110">
        <v>0.0</v>
      </c>
      <c r="AV184" s="142">
        <v>0.0</v>
      </c>
      <c r="AW184" s="80">
        <v>0.0</v>
      </c>
      <c r="AX184" s="113">
        <v>411.0</v>
      </c>
      <c r="AY184" s="117">
        <v>335.0</v>
      </c>
      <c r="AZ184" s="328">
        <v>76.0</v>
      </c>
      <c r="BA184" s="315">
        <v>0.0</v>
      </c>
      <c r="BB184" s="316">
        <v>411.0</v>
      </c>
      <c r="BC184" s="132" t="s">
        <v>178</v>
      </c>
      <c r="BD184" s="132" t="s">
        <v>178</v>
      </c>
      <c r="BE184" s="132" t="s">
        <v>178</v>
      </c>
      <c r="BF184" s="156"/>
      <c r="BG184" s="83">
        <v>1168411.0</v>
      </c>
      <c r="BH184" s="112">
        <v>6.0</v>
      </c>
      <c r="BI184" s="98" t="s">
        <v>155</v>
      </c>
      <c r="BJ184" s="98" t="str">
        <f t="shared" si="1"/>
        <v>INTEGRAL</v>
      </c>
      <c r="BK184" s="98" t="str">
        <f t="shared" si="2"/>
        <v>NÃO</v>
      </c>
    </row>
    <row r="185" ht="15.75" customHeight="1">
      <c r="A185" s="111" t="s">
        <v>285</v>
      </c>
      <c r="B185" s="83" t="s">
        <v>826</v>
      </c>
      <c r="C185" s="83" t="s">
        <v>68</v>
      </c>
      <c r="D185" s="83">
        <v>1178403.0</v>
      </c>
      <c r="E185" s="83"/>
      <c r="F185" s="83">
        <v>2.939774E7</v>
      </c>
      <c r="G185" s="114" t="s">
        <v>3812</v>
      </c>
      <c r="H185" s="91" t="s">
        <v>3813</v>
      </c>
      <c r="I185" s="114" t="s">
        <v>829</v>
      </c>
      <c r="J185" s="83" t="s">
        <v>464</v>
      </c>
      <c r="K185" s="83" t="s">
        <v>151</v>
      </c>
      <c r="L185" s="83" t="s">
        <v>169</v>
      </c>
      <c r="M185" s="82" t="s">
        <v>3814</v>
      </c>
      <c r="N185" s="82" t="s">
        <v>3815</v>
      </c>
      <c r="O185" s="82" t="s">
        <v>3817</v>
      </c>
      <c r="P185" s="82" t="s">
        <v>3819</v>
      </c>
      <c r="Q185" s="82"/>
      <c r="R185" s="82"/>
      <c r="S185" s="82" t="s">
        <v>3820</v>
      </c>
      <c r="T185" s="138">
        <v>7.0</v>
      </c>
      <c r="U185" s="339" t="s">
        <v>3809</v>
      </c>
      <c r="V185" s="106">
        <v>0.0</v>
      </c>
      <c r="W185" s="107">
        <v>0.0</v>
      </c>
      <c r="X185" s="107">
        <v>0.0</v>
      </c>
      <c r="Y185" s="107">
        <v>0.0</v>
      </c>
      <c r="Z185" s="80">
        <v>0.0</v>
      </c>
      <c r="AA185" s="140">
        <v>0.0</v>
      </c>
      <c r="AB185" s="109">
        <v>0.0</v>
      </c>
      <c r="AC185" s="109">
        <v>0.0</v>
      </c>
      <c r="AD185" s="141">
        <v>0.0</v>
      </c>
      <c r="AE185" s="80">
        <v>0.0</v>
      </c>
      <c r="AF185" s="140">
        <v>155.0</v>
      </c>
      <c r="AG185" s="109">
        <v>94.0</v>
      </c>
      <c r="AH185" s="109">
        <v>36.0</v>
      </c>
      <c r="AI185" s="141">
        <v>0.0</v>
      </c>
      <c r="AJ185" s="80">
        <v>285.0</v>
      </c>
      <c r="AK185" s="140">
        <v>0.0</v>
      </c>
      <c r="AL185" s="109">
        <v>0.0</v>
      </c>
      <c r="AM185" s="141">
        <v>0.0</v>
      </c>
      <c r="AN185" s="80">
        <v>0.0</v>
      </c>
      <c r="AO185" s="140">
        <v>0.0</v>
      </c>
      <c r="AP185" s="109">
        <v>0.0</v>
      </c>
      <c r="AQ185" s="109">
        <v>74.0</v>
      </c>
      <c r="AR185" s="80">
        <v>74.0</v>
      </c>
      <c r="AS185" s="110">
        <v>0.0</v>
      </c>
      <c r="AT185" s="110">
        <v>0.0</v>
      </c>
      <c r="AU185" s="110">
        <v>0.0</v>
      </c>
      <c r="AV185" s="142">
        <v>0.0</v>
      </c>
      <c r="AW185" s="80">
        <v>0.0</v>
      </c>
      <c r="AX185" s="113">
        <v>359.0</v>
      </c>
      <c r="AY185" s="117">
        <v>249.0</v>
      </c>
      <c r="AZ185" s="328">
        <v>110.0</v>
      </c>
      <c r="BA185" s="315">
        <v>0.0</v>
      </c>
      <c r="BB185" s="316">
        <v>359.0</v>
      </c>
      <c r="BC185" s="132" t="s">
        <v>178</v>
      </c>
      <c r="BD185" s="132" t="s">
        <v>178</v>
      </c>
      <c r="BE185" s="132" t="s">
        <v>178</v>
      </c>
      <c r="BF185" s="123"/>
      <c r="BG185" s="83">
        <v>1178403.0</v>
      </c>
      <c r="BH185" s="112">
        <v>6.0</v>
      </c>
      <c r="BI185" s="98" t="s">
        <v>155</v>
      </c>
      <c r="BJ185" s="98" t="str">
        <f t="shared" si="1"/>
        <v>NÃO</v>
      </c>
      <c r="BK185" s="98" t="str">
        <f t="shared" si="2"/>
        <v>NÃO</v>
      </c>
    </row>
    <row r="186" ht="15.75" customHeight="1">
      <c r="A186" s="111" t="s">
        <v>285</v>
      </c>
      <c r="B186" s="83" t="s">
        <v>836</v>
      </c>
      <c r="C186" s="83" t="s">
        <v>68</v>
      </c>
      <c r="D186" s="83">
        <v>1132166.0</v>
      </c>
      <c r="E186" s="83"/>
      <c r="F186" s="83">
        <v>2.9206936E7</v>
      </c>
      <c r="G186" s="114" t="s">
        <v>3823</v>
      </c>
      <c r="H186" s="91" t="s">
        <v>838</v>
      </c>
      <c r="I186" s="114" t="s">
        <v>149</v>
      </c>
      <c r="J186" s="83" t="s">
        <v>839</v>
      </c>
      <c r="K186" s="83" t="s">
        <v>151</v>
      </c>
      <c r="L186" s="83" t="s">
        <v>169</v>
      </c>
      <c r="M186" s="82" t="s">
        <v>3824</v>
      </c>
      <c r="N186" s="82" t="s">
        <v>3825</v>
      </c>
      <c r="O186" s="82" t="s">
        <v>3826</v>
      </c>
      <c r="P186" s="82" t="s">
        <v>3827</v>
      </c>
      <c r="Q186" s="82"/>
      <c r="R186" s="82"/>
      <c r="S186" s="82" t="s">
        <v>3828</v>
      </c>
      <c r="T186" s="138">
        <v>6.0</v>
      </c>
      <c r="U186" s="323">
        <v>4.0</v>
      </c>
      <c r="V186" s="106">
        <v>0.0</v>
      </c>
      <c r="W186" s="107">
        <v>0.0</v>
      </c>
      <c r="X186" s="107">
        <v>0.0</v>
      </c>
      <c r="Y186" s="107">
        <v>0.0</v>
      </c>
      <c r="Z186" s="80">
        <v>0.0</v>
      </c>
      <c r="AA186" s="140">
        <v>0.0</v>
      </c>
      <c r="AB186" s="109">
        <v>0.0</v>
      </c>
      <c r="AC186" s="109">
        <v>0.0</v>
      </c>
      <c r="AD186" s="141">
        <v>0.0</v>
      </c>
      <c r="AE186" s="80">
        <v>0.0</v>
      </c>
      <c r="AF186" s="140">
        <v>88.0</v>
      </c>
      <c r="AG186" s="109">
        <v>0.0</v>
      </c>
      <c r="AH186" s="109">
        <v>0.0</v>
      </c>
      <c r="AI186" s="141">
        <v>0.0</v>
      </c>
      <c r="AJ186" s="80">
        <v>88.0</v>
      </c>
      <c r="AK186" s="140">
        <v>0.0</v>
      </c>
      <c r="AL186" s="109">
        <v>0.0</v>
      </c>
      <c r="AM186" s="141">
        <v>0.0</v>
      </c>
      <c r="AN186" s="80">
        <v>0.0</v>
      </c>
      <c r="AO186" s="140">
        <v>0.0</v>
      </c>
      <c r="AP186" s="109">
        <v>0.0</v>
      </c>
      <c r="AQ186" s="109">
        <v>3.0</v>
      </c>
      <c r="AR186" s="80">
        <v>3.0</v>
      </c>
      <c r="AS186" s="110">
        <v>0.0</v>
      </c>
      <c r="AT186" s="110">
        <v>73.0</v>
      </c>
      <c r="AU186" s="110">
        <v>6.0</v>
      </c>
      <c r="AV186" s="142">
        <v>0.0</v>
      </c>
      <c r="AW186" s="80">
        <v>79.0</v>
      </c>
      <c r="AX186" s="113">
        <v>170.0</v>
      </c>
      <c r="AY186" s="117">
        <v>161.0</v>
      </c>
      <c r="AZ186" s="328">
        <v>9.0</v>
      </c>
      <c r="BA186" s="315">
        <v>0.0</v>
      </c>
      <c r="BB186" s="316">
        <v>170.0</v>
      </c>
      <c r="BC186" s="132" t="s">
        <v>178</v>
      </c>
      <c r="BD186" s="132" t="s">
        <v>178</v>
      </c>
      <c r="BE186" s="132" t="s">
        <v>178</v>
      </c>
      <c r="BF186" s="156"/>
      <c r="BG186" s="83">
        <v>1132166.0</v>
      </c>
      <c r="BH186" s="112">
        <v>4.0</v>
      </c>
      <c r="BI186" s="98" t="s">
        <v>155</v>
      </c>
      <c r="BJ186" s="98" t="str">
        <f t="shared" si="1"/>
        <v>NÃO</v>
      </c>
      <c r="BK186" s="98" t="str">
        <f t="shared" si="2"/>
        <v>PROFISSIONAL</v>
      </c>
    </row>
    <row r="187" ht="15.75" customHeight="1">
      <c r="A187" s="111" t="s">
        <v>285</v>
      </c>
      <c r="B187" s="83" t="s">
        <v>836</v>
      </c>
      <c r="C187" s="83" t="s">
        <v>68</v>
      </c>
      <c r="D187" s="189">
        <v>1133090.0</v>
      </c>
      <c r="E187" s="189"/>
      <c r="F187" s="189">
        <v>2.920777E7</v>
      </c>
      <c r="G187" s="209" t="s">
        <v>3832</v>
      </c>
      <c r="H187" s="91" t="s">
        <v>3833</v>
      </c>
      <c r="I187" s="114" t="s">
        <v>149</v>
      </c>
      <c r="J187" s="83" t="s">
        <v>150</v>
      </c>
      <c r="K187" s="83" t="s">
        <v>151</v>
      </c>
      <c r="L187" s="83" t="s">
        <v>76</v>
      </c>
      <c r="M187" s="82" t="s">
        <v>3834</v>
      </c>
      <c r="N187" s="82" t="s">
        <v>3835</v>
      </c>
      <c r="O187" s="82" t="s">
        <v>3836</v>
      </c>
      <c r="P187" s="82"/>
      <c r="Q187" s="82"/>
      <c r="R187" s="82"/>
      <c r="S187" s="82" t="s">
        <v>3837</v>
      </c>
      <c r="T187" s="138">
        <v>3.0</v>
      </c>
      <c r="U187" s="323">
        <v>3.0</v>
      </c>
      <c r="V187" s="106">
        <v>0.0</v>
      </c>
      <c r="W187" s="107">
        <v>0.0</v>
      </c>
      <c r="X187" s="107">
        <v>0.0</v>
      </c>
      <c r="Y187" s="107">
        <v>0.0</v>
      </c>
      <c r="Z187" s="80">
        <v>0.0</v>
      </c>
      <c r="AA187" s="140">
        <v>0.0</v>
      </c>
      <c r="AB187" s="109">
        <v>0.0</v>
      </c>
      <c r="AC187" s="109">
        <v>0.0</v>
      </c>
      <c r="AD187" s="141">
        <v>0.0</v>
      </c>
      <c r="AE187" s="80">
        <v>0.0</v>
      </c>
      <c r="AF187" s="140">
        <v>98.0</v>
      </c>
      <c r="AG187" s="109">
        <v>52.0</v>
      </c>
      <c r="AH187" s="109">
        <v>0.0</v>
      </c>
      <c r="AI187" s="141">
        <v>81.0</v>
      </c>
      <c r="AJ187" s="80">
        <v>231.0</v>
      </c>
      <c r="AK187" s="140">
        <v>0.0</v>
      </c>
      <c r="AL187" s="109">
        <v>0.0</v>
      </c>
      <c r="AM187" s="141">
        <v>0.0</v>
      </c>
      <c r="AN187" s="80">
        <v>0.0</v>
      </c>
      <c r="AO187" s="140">
        <v>0.0</v>
      </c>
      <c r="AP187" s="109">
        <v>0.0</v>
      </c>
      <c r="AQ187" s="109">
        <v>31.0</v>
      </c>
      <c r="AR187" s="80">
        <v>31.0</v>
      </c>
      <c r="AS187" s="110">
        <v>0.0</v>
      </c>
      <c r="AT187" s="110">
        <v>0.0</v>
      </c>
      <c r="AU187" s="110">
        <v>0.0</v>
      </c>
      <c r="AV187" s="142">
        <v>0.0</v>
      </c>
      <c r="AW187" s="80">
        <v>0.0</v>
      </c>
      <c r="AX187" s="113">
        <v>262.0</v>
      </c>
      <c r="AY187" s="117">
        <v>231.0</v>
      </c>
      <c r="AZ187" s="328">
        <v>31.0</v>
      </c>
      <c r="BA187" s="315">
        <v>0.0</v>
      </c>
      <c r="BB187" s="316">
        <v>262.0</v>
      </c>
      <c r="BC187" s="132" t="s">
        <v>178</v>
      </c>
      <c r="BD187" s="132" t="s">
        <v>178</v>
      </c>
      <c r="BE187" s="132" t="s">
        <v>178</v>
      </c>
      <c r="BF187" s="156"/>
      <c r="BG187" s="83">
        <v>1133090.0</v>
      </c>
      <c r="BH187" s="112">
        <v>3.0</v>
      </c>
      <c r="BI187" s="98" t="s">
        <v>155</v>
      </c>
      <c r="BJ187" s="98" t="str">
        <f t="shared" si="1"/>
        <v>INTEGRAL</v>
      </c>
      <c r="BK187" s="98" t="str">
        <f t="shared" si="2"/>
        <v>NÃO</v>
      </c>
    </row>
    <row r="188" ht="15.75" customHeight="1">
      <c r="A188" s="111" t="s">
        <v>285</v>
      </c>
      <c r="B188" s="83" t="s">
        <v>836</v>
      </c>
      <c r="C188" s="191" t="s">
        <v>164</v>
      </c>
      <c r="D188" s="83">
        <v>1133090.0</v>
      </c>
      <c r="E188" s="83">
        <v>1178957.0</v>
      </c>
      <c r="F188" s="83"/>
      <c r="G188" s="114" t="s">
        <v>844</v>
      </c>
      <c r="H188" s="91" t="s">
        <v>845</v>
      </c>
      <c r="I188" s="187" t="s">
        <v>846</v>
      </c>
      <c r="J188" s="83" t="s">
        <v>839</v>
      </c>
      <c r="K188" s="83" t="s">
        <v>151</v>
      </c>
      <c r="L188" s="83" t="s">
        <v>169</v>
      </c>
      <c r="M188" s="82" t="s">
        <v>3834</v>
      </c>
      <c r="N188" s="82" t="s">
        <v>3835</v>
      </c>
      <c r="O188" s="82" t="s">
        <v>3836</v>
      </c>
      <c r="P188" s="82"/>
      <c r="Q188" s="82"/>
      <c r="R188" s="82"/>
      <c r="S188" s="82" t="s">
        <v>3837</v>
      </c>
      <c r="T188" s="138">
        <v>5.0</v>
      </c>
      <c r="U188" s="323">
        <v>3.0</v>
      </c>
      <c r="V188" s="106">
        <v>0.0</v>
      </c>
      <c r="W188" s="107">
        <v>0.0</v>
      </c>
      <c r="X188" s="107">
        <v>0.0</v>
      </c>
      <c r="Y188" s="107">
        <v>0.0</v>
      </c>
      <c r="Z188" s="80">
        <v>0.0</v>
      </c>
      <c r="AA188" s="140">
        <v>0.0</v>
      </c>
      <c r="AB188" s="109">
        <v>0.0</v>
      </c>
      <c r="AC188" s="109">
        <v>0.0</v>
      </c>
      <c r="AD188" s="141">
        <v>0.0</v>
      </c>
      <c r="AE188" s="80">
        <v>0.0</v>
      </c>
      <c r="AF188" s="140">
        <v>45.0</v>
      </c>
      <c r="AG188" s="109">
        <v>56.0</v>
      </c>
      <c r="AH188" s="109">
        <v>0.0</v>
      </c>
      <c r="AI188" s="141">
        <v>0.0</v>
      </c>
      <c r="AJ188" s="80">
        <v>101.0</v>
      </c>
      <c r="AK188" s="140">
        <v>0.0</v>
      </c>
      <c r="AL188" s="109">
        <v>0.0</v>
      </c>
      <c r="AM188" s="141">
        <v>0.0</v>
      </c>
      <c r="AN188" s="80">
        <v>0.0</v>
      </c>
      <c r="AO188" s="140">
        <v>0.0</v>
      </c>
      <c r="AP188" s="109">
        <v>0.0</v>
      </c>
      <c r="AQ188" s="109">
        <v>0.0</v>
      </c>
      <c r="AR188" s="80">
        <v>0.0</v>
      </c>
      <c r="AS188" s="110">
        <v>0.0</v>
      </c>
      <c r="AT188" s="110">
        <v>0.0</v>
      </c>
      <c r="AU188" s="110">
        <v>0.0</v>
      </c>
      <c r="AV188" s="142">
        <v>0.0</v>
      </c>
      <c r="AW188" s="80">
        <v>0.0</v>
      </c>
      <c r="AX188" s="113">
        <v>101.0</v>
      </c>
      <c r="AY188" s="117">
        <v>101.0</v>
      </c>
      <c r="AZ188" s="328">
        <v>0.0</v>
      </c>
      <c r="BA188" s="315">
        <v>0.0</v>
      </c>
      <c r="BB188" s="316">
        <v>101.0</v>
      </c>
      <c r="BC188" s="132" t="s">
        <v>373</v>
      </c>
      <c r="BD188" s="132" t="s">
        <v>178</v>
      </c>
      <c r="BE188" s="132" t="s">
        <v>178</v>
      </c>
      <c r="BF188" s="156"/>
      <c r="BG188" s="83">
        <v>1178957.0</v>
      </c>
      <c r="BH188" s="112">
        <v>3.0</v>
      </c>
      <c r="BI188" s="98" t="s">
        <v>155</v>
      </c>
      <c r="BJ188" s="98" t="str">
        <f t="shared" si="1"/>
        <v>NÃO</v>
      </c>
      <c r="BK188" s="98" t="str">
        <f t="shared" si="2"/>
        <v>NÃO</v>
      </c>
    </row>
    <row r="189" ht="15.75" customHeight="1">
      <c r="A189" s="111" t="s">
        <v>285</v>
      </c>
      <c r="B189" s="83" t="s">
        <v>836</v>
      </c>
      <c r="C189" s="83" t="s">
        <v>164</v>
      </c>
      <c r="D189" s="82">
        <v>1133090.0</v>
      </c>
      <c r="E189" s="83">
        <v>1179714.0</v>
      </c>
      <c r="F189" s="83"/>
      <c r="G189" s="187" t="s">
        <v>3838</v>
      </c>
      <c r="H189" s="91" t="s">
        <v>848</v>
      </c>
      <c r="I189" s="365" t="s">
        <v>171</v>
      </c>
      <c r="J189" s="98" t="s">
        <v>641</v>
      </c>
      <c r="K189" s="83" t="s">
        <v>168</v>
      </c>
      <c r="L189" s="83" t="s">
        <v>512</v>
      </c>
      <c r="M189" s="82" t="s">
        <v>3834</v>
      </c>
      <c r="N189" s="82" t="s">
        <v>3835</v>
      </c>
      <c r="O189" s="82" t="s">
        <v>3836</v>
      </c>
      <c r="P189" s="82"/>
      <c r="Q189" s="82"/>
      <c r="R189" s="82"/>
      <c r="S189" s="82" t="s">
        <v>3837</v>
      </c>
      <c r="T189" s="138" t="s">
        <v>171</v>
      </c>
      <c r="U189" s="364" t="s">
        <v>171</v>
      </c>
      <c r="V189" s="106">
        <v>0.0</v>
      </c>
      <c r="W189" s="107">
        <v>0.0</v>
      </c>
      <c r="X189" s="107">
        <v>0.0</v>
      </c>
      <c r="Y189" s="107">
        <v>0.0</v>
      </c>
      <c r="Z189" s="80">
        <v>0.0</v>
      </c>
      <c r="AA189" s="140">
        <v>0.0</v>
      </c>
      <c r="AB189" s="109">
        <v>0.0</v>
      </c>
      <c r="AC189" s="109">
        <v>0.0</v>
      </c>
      <c r="AD189" s="141">
        <v>0.0</v>
      </c>
      <c r="AE189" s="80">
        <v>0.0</v>
      </c>
      <c r="AF189" s="140">
        <v>0.0</v>
      </c>
      <c r="AG189" s="109">
        <v>49.0</v>
      </c>
      <c r="AH189" s="109">
        <v>0.0</v>
      </c>
      <c r="AI189" s="141">
        <v>0.0</v>
      </c>
      <c r="AJ189" s="80">
        <v>49.0</v>
      </c>
      <c r="AK189" s="140">
        <v>0.0</v>
      </c>
      <c r="AL189" s="109">
        <v>0.0</v>
      </c>
      <c r="AM189" s="141">
        <v>0.0</v>
      </c>
      <c r="AN189" s="80">
        <v>0.0</v>
      </c>
      <c r="AO189" s="140">
        <v>0.0</v>
      </c>
      <c r="AP189" s="109">
        <v>0.0</v>
      </c>
      <c r="AQ189" s="109">
        <v>0.0</v>
      </c>
      <c r="AR189" s="80">
        <v>0.0</v>
      </c>
      <c r="AS189" s="110">
        <v>0.0</v>
      </c>
      <c r="AT189" s="110">
        <v>0.0</v>
      </c>
      <c r="AU189" s="110">
        <v>0.0</v>
      </c>
      <c r="AV189" s="142">
        <v>0.0</v>
      </c>
      <c r="AW189" s="80">
        <v>0.0</v>
      </c>
      <c r="AX189" s="113">
        <v>49.0</v>
      </c>
      <c r="AY189" s="117">
        <v>49.0</v>
      </c>
      <c r="AZ189" s="328">
        <v>0.0</v>
      </c>
      <c r="BA189" s="315">
        <v>0.0</v>
      </c>
      <c r="BB189" s="316">
        <v>49.0</v>
      </c>
      <c r="BC189" s="132" t="s">
        <v>178</v>
      </c>
      <c r="BD189" s="132" t="s">
        <v>178</v>
      </c>
      <c r="BE189" s="132" t="s">
        <v>178</v>
      </c>
      <c r="BF189" s="156"/>
      <c r="BG189" s="83">
        <v>1179714.0</v>
      </c>
      <c r="BH189" s="112">
        <v>0.0</v>
      </c>
      <c r="BI189" s="98" t="s">
        <v>155</v>
      </c>
      <c r="BJ189" s="98" t="str">
        <f t="shared" si="1"/>
        <v>NÃO</v>
      </c>
      <c r="BK189" s="98" t="str">
        <f t="shared" si="2"/>
        <v>NÃO</v>
      </c>
    </row>
    <row r="190" ht="15.75" customHeight="1">
      <c r="A190" s="111" t="s">
        <v>285</v>
      </c>
      <c r="B190" s="83" t="s">
        <v>849</v>
      </c>
      <c r="C190" s="83" t="s">
        <v>68</v>
      </c>
      <c r="D190" s="82">
        <v>1124368.0</v>
      </c>
      <c r="E190" s="83"/>
      <c r="F190" s="83">
        <v>2.922506E7</v>
      </c>
      <c r="G190" s="119" t="s">
        <v>3844</v>
      </c>
      <c r="H190" s="125" t="s">
        <v>3845</v>
      </c>
      <c r="I190" s="114" t="s">
        <v>149</v>
      </c>
      <c r="J190" s="83" t="s">
        <v>150</v>
      </c>
      <c r="K190" s="83" t="s">
        <v>151</v>
      </c>
      <c r="L190" s="83" t="s">
        <v>169</v>
      </c>
      <c r="M190" s="82" t="s">
        <v>3846</v>
      </c>
      <c r="N190" s="82" t="s">
        <v>3847</v>
      </c>
      <c r="O190" s="82" t="s">
        <v>3848</v>
      </c>
      <c r="P190" s="82" t="s">
        <v>3849</v>
      </c>
      <c r="Q190" s="82"/>
      <c r="R190" s="82"/>
      <c r="S190" s="82" t="s">
        <v>3850</v>
      </c>
      <c r="T190" s="138">
        <v>6.0</v>
      </c>
      <c r="U190" s="339" t="s">
        <v>2697</v>
      </c>
      <c r="V190" s="106">
        <v>0.0</v>
      </c>
      <c r="W190" s="107">
        <v>0.0</v>
      </c>
      <c r="X190" s="107">
        <v>0.0</v>
      </c>
      <c r="Y190" s="107">
        <v>0.0</v>
      </c>
      <c r="Z190" s="80">
        <v>0.0</v>
      </c>
      <c r="AA190" s="140">
        <v>0.0</v>
      </c>
      <c r="AB190" s="109">
        <v>0.0</v>
      </c>
      <c r="AC190" s="109">
        <v>0.0</v>
      </c>
      <c r="AD190" s="141">
        <v>0.0</v>
      </c>
      <c r="AE190" s="80">
        <v>0.0</v>
      </c>
      <c r="AF190" s="140">
        <v>47.0</v>
      </c>
      <c r="AG190" s="109">
        <v>0.0</v>
      </c>
      <c r="AH190" s="109">
        <v>28.0</v>
      </c>
      <c r="AI190" s="141">
        <v>39.0</v>
      </c>
      <c r="AJ190" s="80">
        <v>114.0</v>
      </c>
      <c r="AK190" s="140">
        <v>0.0</v>
      </c>
      <c r="AL190" s="109">
        <v>0.0</v>
      </c>
      <c r="AM190" s="141">
        <v>0.0</v>
      </c>
      <c r="AN190" s="80">
        <v>0.0</v>
      </c>
      <c r="AO190" s="140">
        <v>0.0</v>
      </c>
      <c r="AP190" s="109">
        <v>0.0</v>
      </c>
      <c r="AQ190" s="109">
        <v>31.0</v>
      </c>
      <c r="AR190" s="80">
        <v>31.0</v>
      </c>
      <c r="AS190" s="110">
        <v>78.0</v>
      </c>
      <c r="AT190" s="110">
        <v>0.0</v>
      </c>
      <c r="AU190" s="110">
        <v>0.0</v>
      </c>
      <c r="AV190" s="142">
        <v>0.0</v>
      </c>
      <c r="AW190" s="80">
        <v>78.0</v>
      </c>
      <c r="AX190" s="113">
        <v>223.0</v>
      </c>
      <c r="AY190" s="117">
        <v>164.0</v>
      </c>
      <c r="AZ190" s="328">
        <v>59.0</v>
      </c>
      <c r="BA190" s="315">
        <v>0.0</v>
      </c>
      <c r="BB190" s="316">
        <v>223.0</v>
      </c>
      <c r="BC190" s="132" t="s">
        <v>178</v>
      </c>
      <c r="BD190" s="132" t="s">
        <v>178</v>
      </c>
      <c r="BE190" s="132" t="s">
        <v>178</v>
      </c>
      <c r="BF190" s="123"/>
      <c r="BG190" s="83">
        <v>1124368.0</v>
      </c>
      <c r="BH190" s="112">
        <v>5.0</v>
      </c>
      <c r="BI190" s="98" t="s">
        <v>155</v>
      </c>
      <c r="BJ190" s="98" t="str">
        <f t="shared" si="1"/>
        <v>INTEGRAL</v>
      </c>
      <c r="BK190" s="98" t="str">
        <f t="shared" si="2"/>
        <v>PROFISSIONAL</v>
      </c>
    </row>
    <row r="191" ht="15.75" customHeight="1">
      <c r="A191" s="111" t="s">
        <v>285</v>
      </c>
      <c r="B191" s="83" t="s">
        <v>849</v>
      </c>
      <c r="C191" s="83" t="s">
        <v>164</v>
      </c>
      <c r="D191" s="82">
        <v>1179283.0</v>
      </c>
      <c r="E191" s="83">
        <v>1178622.0</v>
      </c>
      <c r="F191" s="83"/>
      <c r="G191" s="114" t="s">
        <v>853</v>
      </c>
      <c r="H191" s="91" t="s">
        <v>854</v>
      </c>
      <c r="I191" s="187" t="s">
        <v>149</v>
      </c>
      <c r="J191" s="83" t="s">
        <v>855</v>
      </c>
      <c r="K191" s="83" t="s">
        <v>168</v>
      </c>
      <c r="L191" s="83" t="s">
        <v>169</v>
      </c>
      <c r="M191" s="82" t="s">
        <v>3752</v>
      </c>
      <c r="N191" s="82" t="s">
        <v>3753</v>
      </c>
      <c r="O191" s="82" t="s">
        <v>3754</v>
      </c>
      <c r="P191" s="82" t="s">
        <v>3755</v>
      </c>
      <c r="Q191" s="82" t="s">
        <v>3756</v>
      </c>
      <c r="R191" s="82" t="s">
        <v>3757</v>
      </c>
      <c r="S191" s="82" t="s">
        <v>3758</v>
      </c>
      <c r="T191" s="138">
        <v>3.0</v>
      </c>
      <c r="U191" s="323">
        <v>3.0</v>
      </c>
      <c r="V191" s="106">
        <v>0.0</v>
      </c>
      <c r="W191" s="107">
        <v>0.0</v>
      </c>
      <c r="X191" s="107">
        <v>0.0</v>
      </c>
      <c r="Y191" s="107">
        <v>0.0</v>
      </c>
      <c r="Z191" s="80">
        <v>0.0</v>
      </c>
      <c r="AA191" s="140">
        <v>0.0</v>
      </c>
      <c r="AB191" s="109">
        <v>0.0</v>
      </c>
      <c r="AC191" s="109">
        <v>0.0</v>
      </c>
      <c r="AD191" s="141">
        <v>0.0</v>
      </c>
      <c r="AE191" s="80">
        <v>0.0</v>
      </c>
      <c r="AF191" s="140">
        <v>0.0</v>
      </c>
      <c r="AG191" s="109">
        <v>0.0</v>
      </c>
      <c r="AH191" s="109">
        <v>10.0</v>
      </c>
      <c r="AI191" s="141">
        <v>0.0</v>
      </c>
      <c r="AJ191" s="80">
        <v>10.0</v>
      </c>
      <c r="AK191" s="140">
        <v>0.0</v>
      </c>
      <c r="AL191" s="109">
        <v>0.0</v>
      </c>
      <c r="AM191" s="141">
        <v>0.0</v>
      </c>
      <c r="AN191" s="80">
        <v>0.0</v>
      </c>
      <c r="AO191" s="140">
        <v>0.0</v>
      </c>
      <c r="AP191" s="109">
        <v>0.0</v>
      </c>
      <c r="AQ191" s="109">
        <v>0.0</v>
      </c>
      <c r="AR191" s="80">
        <v>0.0</v>
      </c>
      <c r="AS191" s="110">
        <v>0.0</v>
      </c>
      <c r="AT191" s="110">
        <v>0.0</v>
      </c>
      <c r="AU191" s="110">
        <v>0.0</v>
      </c>
      <c r="AV191" s="142">
        <v>0.0</v>
      </c>
      <c r="AW191" s="80">
        <v>0.0</v>
      </c>
      <c r="AX191" s="113">
        <v>10.0</v>
      </c>
      <c r="AY191" s="117">
        <v>0.0</v>
      </c>
      <c r="AZ191" s="328">
        <v>10.0</v>
      </c>
      <c r="BA191" s="315">
        <v>0.0</v>
      </c>
      <c r="BB191" s="316">
        <v>10.0</v>
      </c>
      <c r="BC191" s="132" t="s">
        <v>178</v>
      </c>
      <c r="BD191" s="143" t="s">
        <v>227</v>
      </c>
      <c r="BE191" s="132" t="s">
        <v>178</v>
      </c>
      <c r="BF191" s="123"/>
      <c r="BG191" s="83">
        <v>1178622.0</v>
      </c>
      <c r="BH191" s="112">
        <v>3.0</v>
      </c>
      <c r="BI191" s="98" t="s">
        <v>155</v>
      </c>
      <c r="BJ191" s="98" t="str">
        <f t="shared" si="1"/>
        <v>NÃO</v>
      </c>
      <c r="BK191" s="98" t="str">
        <f t="shared" si="2"/>
        <v>NÃO</v>
      </c>
    </row>
    <row r="192" ht="15.75" customHeight="1">
      <c r="A192" s="111" t="s">
        <v>285</v>
      </c>
      <c r="B192" s="83" t="s">
        <v>849</v>
      </c>
      <c r="C192" s="83" t="s">
        <v>164</v>
      </c>
      <c r="D192" s="83">
        <v>1179283.0</v>
      </c>
      <c r="E192" s="83">
        <v>1178625.0</v>
      </c>
      <c r="F192" s="83"/>
      <c r="G192" s="114" t="s">
        <v>856</v>
      </c>
      <c r="H192" s="91" t="s">
        <v>857</v>
      </c>
      <c r="I192" s="187" t="s">
        <v>149</v>
      </c>
      <c r="J192" s="83" t="s">
        <v>187</v>
      </c>
      <c r="K192" s="83" t="s">
        <v>168</v>
      </c>
      <c r="L192" s="83" t="s">
        <v>169</v>
      </c>
      <c r="M192" s="82" t="s">
        <v>3752</v>
      </c>
      <c r="N192" s="82" t="s">
        <v>3753</v>
      </c>
      <c r="O192" s="82" t="s">
        <v>3754</v>
      </c>
      <c r="P192" s="82" t="s">
        <v>3755</v>
      </c>
      <c r="Q192" s="82" t="s">
        <v>3756</v>
      </c>
      <c r="R192" s="82" t="s">
        <v>3757</v>
      </c>
      <c r="S192" s="82" t="s">
        <v>3758</v>
      </c>
      <c r="T192" s="138">
        <v>3.0</v>
      </c>
      <c r="U192" s="323">
        <v>3.0</v>
      </c>
      <c r="V192" s="106">
        <v>0.0</v>
      </c>
      <c r="W192" s="107">
        <v>0.0</v>
      </c>
      <c r="X192" s="107">
        <v>0.0</v>
      </c>
      <c r="Y192" s="107">
        <v>0.0</v>
      </c>
      <c r="Z192" s="80">
        <v>0.0</v>
      </c>
      <c r="AA192" s="140">
        <v>0.0</v>
      </c>
      <c r="AB192" s="109">
        <v>0.0</v>
      </c>
      <c r="AC192" s="109">
        <v>0.0</v>
      </c>
      <c r="AD192" s="141">
        <v>0.0</v>
      </c>
      <c r="AE192" s="80">
        <v>0.0</v>
      </c>
      <c r="AF192" s="140">
        <v>0.0</v>
      </c>
      <c r="AG192" s="109">
        <v>0.0</v>
      </c>
      <c r="AH192" s="109">
        <v>39.0</v>
      </c>
      <c r="AI192" s="141">
        <v>0.0</v>
      </c>
      <c r="AJ192" s="80">
        <v>39.0</v>
      </c>
      <c r="AK192" s="140">
        <v>0.0</v>
      </c>
      <c r="AL192" s="109">
        <v>0.0</v>
      </c>
      <c r="AM192" s="141">
        <v>0.0</v>
      </c>
      <c r="AN192" s="80">
        <v>0.0</v>
      </c>
      <c r="AO192" s="140">
        <v>0.0</v>
      </c>
      <c r="AP192" s="109">
        <v>0.0</v>
      </c>
      <c r="AQ192" s="109">
        <v>0.0</v>
      </c>
      <c r="AR192" s="80">
        <v>0.0</v>
      </c>
      <c r="AS192" s="110">
        <v>0.0</v>
      </c>
      <c r="AT192" s="110">
        <v>0.0</v>
      </c>
      <c r="AU192" s="110">
        <v>0.0</v>
      </c>
      <c r="AV192" s="142">
        <v>0.0</v>
      </c>
      <c r="AW192" s="80">
        <v>0.0</v>
      </c>
      <c r="AX192" s="113">
        <v>39.0</v>
      </c>
      <c r="AY192" s="117">
        <v>0.0</v>
      </c>
      <c r="AZ192" s="328">
        <v>39.0</v>
      </c>
      <c r="BA192" s="315">
        <v>0.0</v>
      </c>
      <c r="BB192" s="316">
        <v>39.0</v>
      </c>
      <c r="BC192" s="132" t="s">
        <v>178</v>
      </c>
      <c r="BD192" s="143" t="s">
        <v>227</v>
      </c>
      <c r="BE192" s="132" t="s">
        <v>178</v>
      </c>
      <c r="BF192" s="123"/>
      <c r="BG192" s="83">
        <v>1178625.0</v>
      </c>
      <c r="BH192" s="112">
        <v>3.0</v>
      </c>
      <c r="BI192" s="98" t="s">
        <v>155</v>
      </c>
      <c r="BJ192" s="98" t="str">
        <f t="shared" si="1"/>
        <v>NÃO</v>
      </c>
      <c r="BK192" s="98" t="str">
        <f t="shared" si="2"/>
        <v>NÃO</v>
      </c>
    </row>
    <row r="193" ht="15.75" customHeight="1">
      <c r="A193" s="111" t="s">
        <v>285</v>
      </c>
      <c r="B193" s="83" t="s">
        <v>849</v>
      </c>
      <c r="C193" s="83" t="s">
        <v>164</v>
      </c>
      <c r="D193" s="83">
        <v>1179283.0</v>
      </c>
      <c r="E193" s="83">
        <v>1178621.0</v>
      </c>
      <c r="F193" s="83"/>
      <c r="G193" s="114" t="s">
        <v>858</v>
      </c>
      <c r="H193" s="91" t="s">
        <v>859</v>
      </c>
      <c r="I193" s="187" t="s">
        <v>149</v>
      </c>
      <c r="J193" s="83" t="s">
        <v>334</v>
      </c>
      <c r="K193" s="83" t="s">
        <v>168</v>
      </c>
      <c r="L193" s="83" t="s">
        <v>169</v>
      </c>
      <c r="M193" s="82" t="s">
        <v>3752</v>
      </c>
      <c r="N193" s="82" t="s">
        <v>3753</v>
      </c>
      <c r="O193" s="82" t="s">
        <v>3754</v>
      </c>
      <c r="P193" s="82" t="s">
        <v>3755</v>
      </c>
      <c r="Q193" s="82" t="s">
        <v>3756</v>
      </c>
      <c r="R193" s="82" t="s">
        <v>3757</v>
      </c>
      <c r="S193" s="82" t="s">
        <v>3758</v>
      </c>
      <c r="T193" s="138">
        <v>3.0</v>
      </c>
      <c r="U193" s="323">
        <v>3.0</v>
      </c>
      <c r="V193" s="106">
        <v>0.0</v>
      </c>
      <c r="W193" s="107">
        <v>0.0</v>
      </c>
      <c r="X193" s="107">
        <v>0.0</v>
      </c>
      <c r="Y193" s="107">
        <v>0.0</v>
      </c>
      <c r="Z193" s="80">
        <v>0.0</v>
      </c>
      <c r="AA193" s="140">
        <v>0.0</v>
      </c>
      <c r="AB193" s="109">
        <v>0.0</v>
      </c>
      <c r="AC193" s="109">
        <v>0.0</v>
      </c>
      <c r="AD193" s="141">
        <v>0.0</v>
      </c>
      <c r="AE193" s="80">
        <v>0.0</v>
      </c>
      <c r="AF193" s="140">
        <v>0.0</v>
      </c>
      <c r="AG193" s="109">
        <v>0.0</v>
      </c>
      <c r="AH193" s="109">
        <v>27.0</v>
      </c>
      <c r="AI193" s="141">
        <v>0.0</v>
      </c>
      <c r="AJ193" s="80">
        <v>27.0</v>
      </c>
      <c r="AK193" s="140">
        <v>0.0</v>
      </c>
      <c r="AL193" s="109">
        <v>0.0</v>
      </c>
      <c r="AM193" s="141">
        <v>0.0</v>
      </c>
      <c r="AN193" s="80">
        <v>0.0</v>
      </c>
      <c r="AO193" s="140">
        <v>0.0</v>
      </c>
      <c r="AP193" s="109">
        <v>0.0</v>
      </c>
      <c r="AQ193" s="109">
        <v>0.0</v>
      </c>
      <c r="AR193" s="80">
        <v>0.0</v>
      </c>
      <c r="AS193" s="110">
        <v>0.0</v>
      </c>
      <c r="AT193" s="110">
        <v>0.0</v>
      </c>
      <c r="AU193" s="110">
        <v>0.0</v>
      </c>
      <c r="AV193" s="142">
        <v>0.0</v>
      </c>
      <c r="AW193" s="80">
        <v>0.0</v>
      </c>
      <c r="AX193" s="113">
        <v>27.0</v>
      </c>
      <c r="AY193" s="117">
        <v>0.0</v>
      </c>
      <c r="AZ193" s="328">
        <v>27.0</v>
      </c>
      <c r="BA193" s="315">
        <v>0.0</v>
      </c>
      <c r="BB193" s="316">
        <v>27.0</v>
      </c>
      <c r="BC193" s="132" t="s">
        <v>178</v>
      </c>
      <c r="BD193" s="143" t="s">
        <v>227</v>
      </c>
      <c r="BE193" s="132" t="s">
        <v>178</v>
      </c>
      <c r="BF193" s="123"/>
      <c r="BG193" s="83">
        <v>1178621.0</v>
      </c>
      <c r="BH193" s="112">
        <v>3.0</v>
      </c>
      <c r="BI193" s="98" t="s">
        <v>155</v>
      </c>
      <c r="BJ193" s="98" t="str">
        <f t="shared" si="1"/>
        <v>NÃO</v>
      </c>
      <c r="BK193" s="98" t="str">
        <f t="shared" si="2"/>
        <v>NÃO</v>
      </c>
    </row>
    <row r="194" ht="15.75" customHeight="1">
      <c r="A194" s="111" t="s">
        <v>285</v>
      </c>
      <c r="B194" s="83" t="s">
        <v>849</v>
      </c>
      <c r="C194" s="83" t="s">
        <v>164</v>
      </c>
      <c r="D194" s="83">
        <v>1179283.0</v>
      </c>
      <c r="E194" s="83">
        <v>1178624.0</v>
      </c>
      <c r="F194" s="83"/>
      <c r="G194" s="114" t="s">
        <v>861</v>
      </c>
      <c r="H194" s="91" t="s">
        <v>862</v>
      </c>
      <c r="I194" s="187" t="s">
        <v>149</v>
      </c>
      <c r="J194" s="83" t="s">
        <v>310</v>
      </c>
      <c r="K194" s="83" t="s">
        <v>168</v>
      </c>
      <c r="L194" s="83" t="s">
        <v>169</v>
      </c>
      <c r="M194" s="82" t="s">
        <v>3752</v>
      </c>
      <c r="N194" s="82" t="s">
        <v>3753</v>
      </c>
      <c r="O194" s="82" t="s">
        <v>3754</v>
      </c>
      <c r="P194" s="82" t="s">
        <v>3755</v>
      </c>
      <c r="Q194" s="82" t="s">
        <v>3756</v>
      </c>
      <c r="R194" s="82" t="s">
        <v>3757</v>
      </c>
      <c r="S194" s="82" t="s">
        <v>3758</v>
      </c>
      <c r="T194" s="138">
        <v>3.0</v>
      </c>
      <c r="U194" s="323">
        <v>3.0</v>
      </c>
      <c r="V194" s="106">
        <v>0.0</v>
      </c>
      <c r="W194" s="107">
        <v>0.0</v>
      </c>
      <c r="X194" s="107">
        <v>0.0</v>
      </c>
      <c r="Y194" s="107">
        <v>0.0</v>
      </c>
      <c r="Z194" s="80">
        <v>0.0</v>
      </c>
      <c r="AA194" s="140">
        <v>0.0</v>
      </c>
      <c r="AB194" s="109">
        <v>0.0</v>
      </c>
      <c r="AC194" s="109">
        <v>0.0</v>
      </c>
      <c r="AD194" s="141">
        <v>0.0</v>
      </c>
      <c r="AE194" s="80">
        <v>0.0</v>
      </c>
      <c r="AF194" s="140">
        <v>0.0</v>
      </c>
      <c r="AG194" s="109">
        <v>0.0</v>
      </c>
      <c r="AH194" s="109">
        <v>35.0</v>
      </c>
      <c r="AI194" s="141">
        <v>0.0</v>
      </c>
      <c r="AJ194" s="80">
        <v>35.0</v>
      </c>
      <c r="AK194" s="140">
        <v>0.0</v>
      </c>
      <c r="AL194" s="109">
        <v>0.0</v>
      </c>
      <c r="AM194" s="141">
        <v>0.0</v>
      </c>
      <c r="AN194" s="80">
        <v>0.0</v>
      </c>
      <c r="AO194" s="140">
        <v>0.0</v>
      </c>
      <c r="AP194" s="109">
        <v>0.0</v>
      </c>
      <c r="AQ194" s="109">
        <v>0.0</v>
      </c>
      <c r="AR194" s="80">
        <v>0.0</v>
      </c>
      <c r="AS194" s="110">
        <v>0.0</v>
      </c>
      <c r="AT194" s="110">
        <v>0.0</v>
      </c>
      <c r="AU194" s="110">
        <v>0.0</v>
      </c>
      <c r="AV194" s="142">
        <v>0.0</v>
      </c>
      <c r="AW194" s="80">
        <v>0.0</v>
      </c>
      <c r="AX194" s="113">
        <v>35.0</v>
      </c>
      <c r="AY194" s="117">
        <v>0.0</v>
      </c>
      <c r="AZ194" s="328">
        <v>35.0</v>
      </c>
      <c r="BA194" s="315">
        <v>0.0</v>
      </c>
      <c r="BB194" s="316">
        <v>35.0</v>
      </c>
      <c r="BC194" s="132" t="s">
        <v>178</v>
      </c>
      <c r="BD194" s="143" t="s">
        <v>227</v>
      </c>
      <c r="BE194" s="132" t="s">
        <v>178</v>
      </c>
      <c r="BF194" s="123"/>
      <c r="BG194" s="83">
        <v>1178624.0</v>
      </c>
      <c r="BH194" s="112">
        <v>3.0</v>
      </c>
      <c r="BI194" s="98" t="s">
        <v>155</v>
      </c>
      <c r="BJ194" s="98" t="str">
        <f t="shared" si="1"/>
        <v>NÃO</v>
      </c>
      <c r="BK194" s="98" t="str">
        <f t="shared" si="2"/>
        <v>NÃO</v>
      </c>
    </row>
    <row r="195" ht="15.75" customHeight="1">
      <c r="A195" s="111" t="s">
        <v>285</v>
      </c>
      <c r="B195" s="83" t="s">
        <v>849</v>
      </c>
      <c r="C195" s="83" t="s">
        <v>164</v>
      </c>
      <c r="D195" s="83">
        <v>1179283.0</v>
      </c>
      <c r="E195" s="83">
        <v>1178623.0</v>
      </c>
      <c r="F195" s="83"/>
      <c r="G195" s="114" t="s">
        <v>863</v>
      </c>
      <c r="H195" s="91" t="s">
        <v>864</v>
      </c>
      <c r="I195" s="187" t="s">
        <v>149</v>
      </c>
      <c r="J195" s="83" t="s">
        <v>865</v>
      </c>
      <c r="K195" s="83" t="s">
        <v>168</v>
      </c>
      <c r="L195" s="83" t="s">
        <v>169</v>
      </c>
      <c r="M195" s="82" t="s">
        <v>3752</v>
      </c>
      <c r="N195" s="82" t="s">
        <v>3753</v>
      </c>
      <c r="O195" s="82" t="s">
        <v>3754</v>
      </c>
      <c r="P195" s="82" t="s">
        <v>3755</v>
      </c>
      <c r="Q195" s="82" t="s">
        <v>3756</v>
      </c>
      <c r="R195" s="82" t="s">
        <v>3757</v>
      </c>
      <c r="S195" s="82" t="s">
        <v>3758</v>
      </c>
      <c r="T195" s="138">
        <v>3.0</v>
      </c>
      <c r="U195" s="323">
        <v>3.0</v>
      </c>
      <c r="V195" s="106">
        <v>0.0</v>
      </c>
      <c r="W195" s="107">
        <v>0.0</v>
      </c>
      <c r="X195" s="107">
        <v>0.0</v>
      </c>
      <c r="Y195" s="107">
        <v>0.0</v>
      </c>
      <c r="Z195" s="80">
        <v>0.0</v>
      </c>
      <c r="AA195" s="140">
        <v>0.0</v>
      </c>
      <c r="AB195" s="109">
        <v>0.0</v>
      </c>
      <c r="AC195" s="109">
        <v>0.0</v>
      </c>
      <c r="AD195" s="141">
        <v>0.0</v>
      </c>
      <c r="AE195" s="80">
        <v>0.0</v>
      </c>
      <c r="AF195" s="140">
        <v>0.0</v>
      </c>
      <c r="AG195" s="109">
        <v>0.0</v>
      </c>
      <c r="AH195" s="109">
        <v>5.0</v>
      </c>
      <c r="AI195" s="141">
        <v>0.0</v>
      </c>
      <c r="AJ195" s="80">
        <v>5.0</v>
      </c>
      <c r="AK195" s="140">
        <v>0.0</v>
      </c>
      <c r="AL195" s="109">
        <v>0.0</v>
      </c>
      <c r="AM195" s="141">
        <v>0.0</v>
      </c>
      <c r="AN195" s="80">
        <v>0.0</v>
      </c>
      <c r="AO195" s="140">
        <v>0.0</v>
      </c>
      <c r="AP195" s="109">
        <v>0.0</v>
      </c>
      <c r="AQ195" s="109">
        <v>0.0</v>
      </c>
      <c r="AR195" s="80">
        <v>0.0</v>
      </c>
      <c r="AS195" s="110">
        <v>0.0</v>
      </c>
      <c r="AT195" s="110">
        <v>0.0</v>
      </c>
      <c r="AU195" s="110">
        <v>0.0</v>
      </c>
      <c r="AV195" s="142">
        <v>0.0</v>
      </c>
      <c r="AW195" s="80">
        <v>0.0</v>
      </c>
      <c r="AX195" s="113">
        <v>5.0</v>
      </c>
      <c r="AY195" s="117">
        <v>0.0</v>
      </c>
      <c r="AZ195" s="328">
        <v>5.0</v>
      </c>
      <c r="BA195" s="315">
        <v>0.0</v>
      </c>
      <c r="BB195" s="316">
        <v>5.0</v>
      </c>
      <c r="BC195" s="132" t="s">
        <v>178</v>
      </c>
      <c r="BD195" s="143" t="s">
        <v>227</v>
      </c>
      <c r="BE195" s="132" t="s">
        <v>178</v>
      </c>
      <c r="BF195" s="123"/>
      <c r="BG195" s="83">
        <v>1178623.0</v>
      </c>
      <c r="BH195" s="112">
        <v>3.0</v>
      </c>
      <c r="BI195" s="98" t="s">
        <v>155</v>
      </c>
      <c r="BJ195" s="98" t="str">
        <f t="shared" si="1"/>
        <v>NÃO</v>
      </c>
      <c r="BK195" s="98" t="str">
        <f t="shared" si="2"/>
        <v>NÃO</v>
      </c>
    </row>
    <row r="196" ht="15.75" customHeight="1">
      <c r="A196" s="111" t="s">
        <v>285</v>
      </c>
      <c r="B196" s="83" t="s">
        <v>849</v>
      </c>
      <c r="C196" s="83" t="s">
        <v>164</v>
      </c>
      <c r="D196" s="83">
        <v>1179283.0</v>
      </c>
      <c r="E196" s="83">
        <v>1178620.0</v>
      </c>
      <c r="F196" s="83"/>
      <c r="G196" s="114" t="s">
        <v>866</v>
      </c>
      <c r="H196" s="91" t="s">
        <v>867</v>
      </c>
      <c r="I196" s="187" t="s">
        <v>149</v>
      </c>
      <c r="J196" s="83" t="s">
        <v>868</v>
      </c>
      <c r="K196" s="83" t="s">
        <v>168</v>
      </c>
      <c r="L196" s="83" t="s">
        <v>169</v>
      </c>
      <c r="M196" s="82" t="s">
        <v>3752</v>
      </c>
      <c r="N196" s="82" t="s">
        <v>3753</v>
      </c>
      <c r="O196" s="82" t="s">
        <v>3754</v>
      </c>
      <c r="P196" s="82" t="s">
        <v>3755</v>
      </c>
      <c r="Q196" s="82" t="s">
        <v>3756</v>
      </c>
      <c r="R196" s="82" t="s">
        <v>3757</v>
      </c>
      <c r="S196" s="82" t="s">
        <v>3758</v>
      </c>
      <c r="T196" s="138">
        <v>3.0</v>
      </c>
      <c r="U196" s="323">
        <v>3.0</v>
      </c>
      <c r="V196" s="106">
        <v>0.0</v>
      </c>
      <c r="W196" s="107">
        <v>0.0</v>
      </c>
      <c r="X196" s="107">
        <v>0.0</v>
      </c>
      <c r="Y196" s="107">
        <v>0.0</v>
      </c>
      <c r="Z196" s="80">
        <v>0.0</v>
      </c>
      <c r="AA196" s="140">
        <v>0.0</v>
      </c>
      <c r="AB196" s="109">
        <v>0.0</v>
      </c>
      <c r="AC196" s="109">
        <v>0.0</v>
      </c>
      <c r="AD196" s="141">
        <v>0.0</v>
      </c>
      <c r="AE196" s="80">
        <v>0.0</v>
      </c>
      <c r="AF196" s="140">
        <v>26.0</v>
      </c>
      <c r="AG196" s="109">
        <v>0.0</v>
      </c>
      <c r="AH196" s="109">
        <v>0.0</v>
      </c>
      <c r="AI196" s="141">
        <v>0.0</v>
      </c>
      <c r="AJ196" s="80">
        <v>26.0</v>
      </c>
      <c r="AK196" s="140">
        <v>0.0</v>
      </c>
      <c r="AL196" s="109">
        <v>0.0</v>
      </c>
      <c r="AM196" s="141">
        <v>0.0</v>
      </c>
      <c r="AN196" s="80">
        <v>0.0</v>
      </c>
      <c r="AO196" s="140">
        <v>0.0</v>
      </c>
      <c r="AP196" s="109">
        <v>0.0</v>
      </c>
      <c r="AQ196" s="109">
        <v>0.0</v>
      </c>
      <c r="AR196" s="80">
        <v>0.0</v>
      </c>
      <c r="AS196" s="110">
        <v>0.0</v>
      </c>
      <c r="AT196" s="110">
        <v>0.0</v>
      </c>
      <c r="AU196" s="110">
        <v>0.0</v>
      </c>
      <c r="AV196" s="142">
        <v>0.0</v>
      </c>
      <c r="AW196" s="80">
        <v>0.0</v>
      </c>
      <c r="AX196" s="113">
        <v>26.0</v>
      </c>
      <c r="AY196" s="117">
        <v>26.0</v>
      </c>
      <c r="AZ196" s="328">
        <v>0.0</v>
      </c>
      <c r="BA196" s="315">
        <v>0.0</v>
      </c>
      <c r="BB196" s="316">
        <v>26.0</v>
      </c>
      <c r="BC196" s="132" t="s">
        <v>178</v>
      </c>
      <c r="BD196" s="143" t="s">
        <v>227</v>
      </c>
      <c r="BE196" s="132" t="s">
        <v>178</v>
      </c>
      <c r="BF196" s="123"/>
      <c r="BG196" s="83">
        <v>1178620.0</v>
      </c>
      <c r="BH196" s="112">
        <v>3.0</v>
      </c>
      <c r="BI196" s="98" t="s">
        <v>155</v>
      </c>
      <c r="BJ196" s="98" t="str">
        <f t="shared" si="1"/>
        <v>NÃO</v>
      </c>
      <c r="BK196" s="98" t="str">
        <f t="shared" si="2"/>
        <v>NÃO</v>
      </c>
    </row>
    <row r="197" ht="15.75" customHeight="1">
      <c r="A197" s="111" t="s">
        <v>285</v>
      </c>
      <c r="B197" s="83" t="s">
        <v>869</v>
      </c>
      <c r="C197" s="83" t="s">
        <v>68</v>
      </c>
      <c r="D197" s="83">
        <v>1179607.0</v>
      </c>
      <c r="E197" s="83"/>
      <c r="F197" s="83">
        <v>2.9470552E7</v>
      </c>
      <c r="G197" s="119" t="s">
        <v>870</v>
      </c>
      <c r="H197" s="91" t="s">
        <v>871</v>
      </c>
      <c r="I197" s="114" t="s">
        <v>149</v>
      </c>
      <c r="J197" s="83" t="s">
        <v>872</v>
      </c>
      <c r="K197" s="83" t="s">
        <v>168</v>
      </c>
      <c r="L197" s="83" t="s">
        <v>169</v>
      </c>
      <c r="M197" s="82" t="s">
        <v>3879</v>
      </c>
      <c r="N197" s="82" t="s">
        <v>3880</v>
      </c>
      <c r="O197" s="82" t="s">
        <v>3881</v>
      </c>
      <c r="P197" s="82"/>
      <c r="Q197" s="82"/>
      <c r="R197" s="82"/>
      <c r="S197" s="82" t="s">
        <v>3882</v>
      </c>
      <c r="T197" s="138">
        <v>9.0</v>
      </c>
      <c r="U197" s="339" t="s">
        <v>3883</v>
      </c>
      <c r="V197" s="106">
        <v>0.0</v>
      </c>
      <c r="W197" s="107">
        <v>0.0</v>
      </c>
      <c r="X197" s="107">
        <v>0.0</v>
      </c>
      <c r="Y197" s="107">
        <v>0.0</v>
      </c>
      <c r="Z197" s="80">
        <v>0.0</v>
      </c>
      <c r="AA197" s="140">
        <v>0.0</v>
      </c>
      <c r="AB197" s="109">
        <v>0.0</v>
      </c>
      <c r="AC197" s="109">
        <v>0.0</v>
      </c>
      <c r="AD197" s="141">
        <v>0.0</v>
      </c>
      <c r="AE197" s="80">
        <v>0.0</v>
      </c>
      <c r="AF197" s="140">
        <v>0.0</v>
      </c>
      <c r="AG197" s="109">
        <v>79.0</v>
      </c>
      <c r="AH197" s="109">
        <v>34.0</v>
      </c>
      <c r="AI197" s="141">
        <v>0.0</v>
      </c>
      <c r="AJ197" s="80">
        <v>113.0</v>
      </c>
      <c r="AK197" s="140">
        <v>0.0</v>
      </c>
      <c r="AL197" s="109">
        <v>0.0</v>
      </c>
      <c r="AM197" s="141">
        <v>0.0</v>
      </c>
      <c r="AN197" s="80">
        <v>0.0</v>
      </c>
      <c r="AO197" s="140">
        <v>0.0</v>
      </c>
      <c r="AP197" s="109">
        <v>0.0</v>
      </c>
      <c r="AQ197" s="109">
        <v>130.0</v>
      </c>
      <c r="AR197" s="80">
        <v>130.0</v>
      </c>
      <c r="AS197" s="110">
        <v>0.0</v>
      </c>
      <c r="AT197" s="110">
        <v>0.0</v>
      </c>
      <c r="AU197" s="110">
        <v>0.0</v>
      </c>
      <c r="AV197" s="142">
        <v>0.0</v>
      </c>
      <c r="AW197" s="80">
        <v>0.0</v>
      </c>
      <c r="AX197" s="113">
        <v>243.0</v>
      </c>
      <c r="AY197" s="117">
        <v>79.0</v>
      </c>
      <c r="AZ197" s="328">
        <v>164.0</v>
      </c>
      <c r="BA197" s="315">
        <v>0.0</v>
      </c>
      <c r="BB197" s="316">
        <v>243.0</v>
      </c>
      <c r="BC197" s="132" t="s">
        <v>373</v>
      </c>
      <c r="BD197" s="132" t="s">
        <v>178</v>
      </c>
      <c r="BE197" s="132" t="s">
        <v>178</v>
      </c>
      <c r="BF197" s="156"/>
      <c r="BG197" s="83">
        <v>1179607.0</v>
      </c>
      <c r="BH197" s="98">
        <v>7.0</v>
      </c>
      <c r="BI197" s="98" t="s">
        <v>155</v>
      </c>
      <c r="BJ197" s="98" t="str">
        <f t="shared" si="1"/>
        <v>NÃO</v>
      </c>
      <c r="BK197" s="98" t="str">
        <f t="shared" si="2"/>
        <v>NÃO</v>
      </c>
    </row>
    <row r="198" ht="15.75" customHeight="1">
      <c r="A198" s="111" t="s">
        <v>285</v>
      </c>
      <c r="B198" s="83" t="s">
        <v>869</v>
      </c>
      <c r="C198" s="83" t="s">
        <v>68</v>
      </c>
      <c r="D198" s="83">
        <v>1133278.0</v>
      </c>
      <c r="E198" s="83"/>
      <c r="F198" s="83">
        <v>2.9063299E7</v>
      </c>
      <c r="G198" s="153" t="s">
        <v>3888</v>
      </c>
      <c r="H198" s="160" t="s">
        <v>876</v>
      </c>
      <c r="I198" s="114" t="s">
        <v>149</v>
      </c>
      <c r="J198" s="83" t="s">
        <v>150</v>
      </c>
      <c r="K198" s="83" t="s">
        <v>151</v>
      </c>
      <c r="L198" s="83" t="s">
        <v>152</v>
      </c>
      <c r="M198" s="82" t="s">
        <v>3892</v>
      </c>
      <c r="N198" s="82" t="s">
        <v>3893</v>
      </c>
      <c r="O198" s="82" t="s">
        <v>3894</v>
      </c>
      <c r="P198" s="82" t="s">
        <v>3895</v>
      </c>
      <c r="Q198" s="82" t="s">
        <v>3896</v>
      </c>
      <c r="R198" s="82" t="s">
        <v>3897</v>
      </c>
      <c r="S198" s="82" t="s">
        <v>3898</v>
      </c>
      <c r="T198" s="138">
        <v>11.0</v>
      </c>
      <c r="U198" s="339" t="s">
        <v>3899</v>
      </c>
      <c r="V198" s="106">
        <v>0.0</v>
      </c>
      <c r="W198" s="107">
        <v>0.0</v>
      </c>
      <c r="X198" s="107">
        <v>0.0</v>
      </c>
      <c r="Y198" s="107">
        <v>0.0</v>
      </c>
      <c r="Z198" s="80">
        <v>0.0</v>
      </c>
      <c r="AA198" s="140">
        <v>0.0</v>
      </c>
      <c r="AB198" s="109">
        <v>0.0</v>
      </c>
      <c r="AC198" s="109">
        <v>0.0</v>
      </c>
      <c r="AD198" s="141">
        <v>0.0</v>
      </c>
      <c r="AE198" s="80">
        <v>0.0</v>
      </c>
      <c r="AF198" s="140">
        <v>0.0</v>
      </c>
      <c r="AG198" s="109">
        <v>47.0</v>
      </c>
      <c r="AH198" s="109">
        <v>64.0</v>
      </c>
      <c r="AI198" s="141">
        <v>706.0</v>
      </c>
      <c r="AJ198" s="80">
        <v>817.0</v>
      </c>
      <c r="AK198" s="140">
        <v>0.0</v>
      </c>
      <c r="AL198" s="109">
        <v>0.0</v>
      </c>
      <c r="AM198" s="141">
        <v>0.0</v>
      </c>
      <c r="AN198" s="80">
        <v>0.0</v>
      </c>
      <c r="AO198" s="140">
        <v>0.0</v>
      </c>
      <c r="AP198" s="109">
        <v>0.0</v>
      </c>
      <c r="AQ198" s="109">
        <v>112.0</v>
      </c>
      <c r="AR198" s="80">
        <v>112.0</v>
      </c>
      <c r="AS198" s="110">
        <v>0.0</v>
      </c>
      <c r="AT198" s="110">
        <v>0.0</v>
      </c>
      <c r="AU198" s="110">
        <v>0.0</v>
      </c>
      <c r="AV198" s="142">
        <v>0.0</v>
      </c>
      <c r="AW198" s="80">
        <v>0.0</v>
      </c>
      <c r="AX198" s="113">
        <v>929.0</v>
      </c>
      <c r="AY198" s="117">
        <v>753.0</v>
      </c>
      <c r="AZ198" s="328">
        <v>176.0</v>
      </c>
      <c r="BA198" s="315">
        <v>0.0</v>
      </c>
      <c r="BB198" s="316">
        <v>929.0</v>
      </c>
      <c r="BC198" s="132" t="s">
        <v>178</v>
      </c>
      <c r="BD198" s="132" t="s">
        <v>178</v>
      </c>
      <c r="BE198" s="132" t="s">
        <v>178</v>
      </c>
      <c r="BF198" s="156"/>
      <c r="BG198" s="83">
        <v>1133278.0</v>
      </c>
      <c r="BH198" s="98">
        <v>19.0</v>
      </c>
      <c r="BI198" s="98" t="s">
        <v>162</v>
      </c>
      <c r="BJ198" s="98" t="str">
        <f t="shared" si="1"/>
        <v>INTEGRAL</v>
      </c>
      <c r="BK198" s="98" t="str">
        <f t="shared" si="2"/>
        <v>NÃO</v>
      </c>
    </row>
    <row r="199" ht="15.75" customHeight="1">
      <c r="A199" s="111" t="s">
        <v>285</v>
      </c>
      <c r="B199" s="83" t="s">
        <v>869</v>
      </c>
      <c r="C199" s="83" t="s">
        <v>164</v>
      </c>
      <c r="D199" s="83">
        <v>1179283.0</v>
      </c>
      <c r="E199" s="83">
        <v>1178960.0</v>
      </c>
      <c r="F199" s="83"/>
      <c r="G199" s="114" t="s">
        <v>879</v>
      </c>
      <c r="H199" s="91" t="s">
        <v>880</v>
      </c>
      <c r="I199" s="187" t="s">
        <v>881</v>
      </c>
      <c r="J199" s="83" t="s">
        <v>872</v>
      </c>
      <c r="K199" s="83" t="s">
        <v>151</v>
      </c>
      <c r="L199" s="83" t="s">
        <v>169</v>
      </c>
      <c r="M199" s="82" t="s">
        <v>3752</v>
      </c>
      <c r="N199" s="82" t="s">
        <v>3753</v>
      </c>
      <c r="O199" s="82" t="s">
        <v>3754</v>
      </c>
      <c r="P199" s="82" t="s">
        <v>3755</v>
      </c>
      <c r="Q199" s="82" t="s">
        <v>3756</v>
      </c>
      <c r="R199" s="82" t="s">
        <v>3757</v>
      </c>
      <c r="S199" s="82" t="s">
        <v>3758</v>
      </c>
      <c r="T199" s="138">
        <v>5.0</v>
      </c>
      <c r="U199" s="331">
        <v>3.0</v>
      </c>
      <c r="V199" s="106">
        <v>0.0</v>
      </c>
      <c r="W199" s="107">
        <v>0.0</v>
      </c>
      <c r="X199" s="107">
        <v>0.0</v>
      </c>
      <c r="Y199" s="107">
        <v>0.0</v>
      </c>
      <c r="Z199" s="80">
        <v>0.0</v>
      </c>
      <c r="AA199" s="140">
        <v>0.0</v>
      </c>
      <c r="AB199" s="109">
        <v>0.0</v>
      </c>
      <c r="AC199" s="109">
        <v>0.0</v>
      </c>
      <c r="AD199" s="141">
        <v>0.0</v>
      </c>
      <c r="AE199" s="80">
        <v>0.0</v>
      </c>
      <c r="AF199" s="140">
        <v>0.0</v>
      </c>
      <c r="AG199" s="109">
        <v>0.0</v>
      </c>
      <c r="AH199" s="109">
        <v>24.0</v>
      </c>
      <c r="AI199" s="141">
        <v>0.0</v>
      </c>
      <c r="AJ199" s="80">
        <v>24.0</v>
      </c>
      <c r="AK199" s="140">
        <v>0.0</v>
      </c>
      <c r="AL199" s="109">
        <v>0.0</v>
      </c>
      <c r="AM199" s="141">
        <v>0.0</v>
      </c>
      <c r="AN199" s="80">
        <v>0.0</v>
      </c>
      <c r="AO199" s="140">
        <v>0.0</v>
      </c>
      <c r="AP199" s="109">
        <v>0.0</v>
      </c>
      <c r="AQ199" s="109">
        <v>0.0</v>
      </c>
      <c r="AR199" s="80">
        <v>0.0</v>
      </c>
      <c r="AS199" s="110">
        <v>0.0</v>
      </c>
      <c r="AT199" s="110">
        <v>0.0</v>
      </c>
      <c r="AU199" s="110">
        <v>0.0</v>
      </c>
      <c r="AV199" s="142">
        <v>0.0</v>
      </c>
      <c r="AW199" s="80">
        <v>0.0</v>
      </c>
      <c r="AX199" s="113">
        <v>24.0</v>
      </c>
      <c r="AY199" s="117">
        <v>0.0</v>
      </c>
      <c r="AZ199" s="328">
        <v>24.0</v>
      </c>
      <c r="BA199" s="315">
        <v>0.0</v>
      </c>
      <c r="BB199" s="316">
        <v>24.0</v>
      </c>
      <c r="BC199" s="132" t="s">
        <v>178</v>
      </c>
      <c r="BD199" s="143" t="s">
        <v>227</v>
      </c>
      <c r="BE199" s="132" t="s">
        <v>178</v>
      </c>
      <c r="BF199" s="156"/>
      <c r="BG199" s="83">
        <v>1178960.0</v>
      </c>
      <c r="BH199" s="112">
        <v>3.0</v>
      </c>
      <c r="BI199" s="98" t="s">
        <v>155</v>
      </c>
      <c r="BJ199" s="98" t="str">
        <f t="shared" si="1"/>
        <v>NÃO</v>
      </c>
      <c r="BK199" s="98" t="str">
        <f t="shared" si="2"/>
        <v>NÃO</v>
      </c>
    </row>
    <row r="200" ht="15.75" customHeight="1">
      <c r="A200" s="111" t="s">
        <v>285</v>
      </c>
      <c r="B200" s="83" t="s">
        <v>882</v>
      </c>
      <c r="C200" s="83" t="s">
        <v>68</v>
      </c>
      <c r="D200" s="83">
        <v>1123353.0</v>
      </c>
      <c r="E200" s="83"/>
      <c r="F200" s="83">
        <v>2.9215412E7</v>
      </c>
      <c r="G200" s="187" t="s">
        <v>2318</v>
      </c>
      <c r="H200" s="91" t="s">
        <v>3908</v>
      </c>
      <c r="I200" s="114" t="s">
        <v>149</v>
      </c>
      <c r="J200" s="83" t="s">
        <v>150</v>
      </c>
      <c r="K200" s="83" t="s">
        <v>151</v>
      </c>
      <c r="L200" s="83" t="s">
        <v>169</v>
      </c>
      <c r="M200" s="82" t="s">
        <v>3909</v>
      </c>
      <c r="N200" s="82" t="s">
        <v>3910</v>
      </c>
      <c r="O200" s="82" t="s">
        <v>3911</v>
      </c>
      <c r="P200" s="82" t="s">
        <v>3912</v>
      </c>
      <c r="Q200" s="82"/>
      <c r="R200" s="82"/>
      <c r="S200" s="82" t="s">
        <v>3913</v>
      </c>
      <c r="T200" s="138">
        <v>6.0</v>
      </c>
      <c r="U200" s="341">
        <v>6.0</v>
      </c>
      <c r="V200" s="106">
        <v>0.0</v>
      </c>
      <c r="W200" s="107">
        <v>0.0</v>
      </c>
      <c r="X200" s="107">
        <v>0.0</v>
      </c>
      <c r="Y200" s="107">
        <v>0.0</v>
      </c>
      <c r="Z200" s="80">
        <v>0.0</v>
      </c>
      <c r="AA200" s="140">
        <v>0.0</v>
      </c>
      <c r="AB200" s="109">
        <v>0.0</v>
      </c>
      <c r="AC200" s="109">
        <v>0.0</v>
      </c>
      <c r="AD200" s="141">
        <v>0.0</v>
      </c>
      <c r="AE200" s="80">
        <v>0.0</v>
      </c>
      <c r="AF200" s="140">
        <v>161.0</v>
      </c>
      <c r="AG200" s="109">
        <v>0.0</v>
      </c>
      <c r="AH200" s="109">
        <v>0.0</v>
      </c>
      <c r="AI200" s="141">
        <v>0.0</v>
      </c>
      <c r="AJ200" s="80">
        <v>161.0</v>
      </c>
      <c r="AK200" s="140">
        <v>0.0</v>
      </c>
      <c r="AL200" s="109">
        <v>0.0</v>
      </c>
      <c r="AM200" s="141">
        <v>0.0</v>
      </c>
      <c r="AN200" s="80">
        <v>0.0</v>
      </c>
      <c r="AO200" s="140">
        <v>0.0</v>
      </c>
      <c r="AP200" s="109">
        <v>0.0</v>
      </c>
      <c r="AQ200" s="109">
        <v>0.0</v>
      </c>
      <c r="AR200" s="80">
        <v>0.0</v>
      </c>
      <c r="AS200" s="110">
        <v>0.0</v>
      </c>
      <c r="AT200" s="110">
        <v>0.0</v>
      </c>
      <c r="AU200" s="110">
        <v>0.0</v>
      </c>
      <c r="AV200" s="142">
        <v>0.0</v>
      </c>
      <c r="AW200" s="80">
        <v>0.0</v>
      </c>
      <c r="AX200" s="113">
        <v>161.0</v>
      </c>
      <c r="AY200" s="117">
        <v>161.0</v>
      </c>
      <c r="AZ200" s="328">
        <v>0.0</v>
      </c>
      <c r="BA200" s="315">
        <v>0.0</v>
      </c>
      <c r="BB200" s="316">
        <v>161.0</v>
      </c>
      <c r="BC200" s="132" t="s">
        <v>178</v>
      </c>
      <c r="BD200" s="132" t="s">
        <v>178</v>
      </c>
      <c r="BE200" s="132" t="s">
        <v>178</v>
      </c>
      <c r="BF200" s="123"/>
      <c r="BG200" s="83">
        <v>1123353.0</v>
      </c>
      <c r="BH200" s="112">
        <v>6.0</v>
      </c>
      <c r="BI200" s="98" t="s">
        <v>155</v>
      </c>
      <c r="BJ200" s="98" t="str">
        <f t="shared" si="1"/>
        <v>NÃO</v>
      </c>
      <c r="BK200" s="98" t="str">
        <f t="shared" si="2"/>
        <v>NÃO</v>
      </c>
    </row>
    <row r="201" ht="15.75" customHeight="1">
      <c r="A201" s="111" t="s">
        <v>285</v>
      </c>
      <c r="B201" s="83" t="s">
        <v>882</v>
      </c>
      <c r="C201" s="83" t="s">
        <v>68</v>
      </c>
      <c r="D201" s="83">
        <v>1170360.0</v>
      </c>
      <c r="E201" s="83"/>
      <c r="F201" s="83">
        <v>2.9215382E7</v>
      </c>
      <c r="G201" s="187" t="s">
        <v>3918</v>
      </c>
      <c r="H201" s="91" t="s">
        <v>884</v>
      </c>
      <c r="I201" s="114" t="s">
        <v>149</v>
      </c>
      <c r="J201" s="83" t="s">
        <v>150</v>
      </c>
      <c r="K201" s="83" t="s">
        <v>151</v>
      </c>
      <c r="L201" s="83" t="s">
        <v>76</v>
      </c>
      <c r="M201" s="82" t="s">
        <v>3919</v>
      </c>
      <c r="N201" s="82" t="s">
        <v>3920</v>
      </c>
      <c r="O201" s="82"/>
      <c r="P201" s="82"/>
      <c r="Q201" s="82"/>
      <c r="R201" s="82"/>
      <c r="S201" s="82" t="s">
        <v>3921</v>
      </c>
      <c r="T201" s="138">
        <v>7.0</v>
      </c>
      <c r="U201" s="341">
        <v>6.0</v>
      </c>
      <c r="V201" s="106">
        <v>0.0</v>
      </c>
      <c r="W201" s="107">
        <v>0.0</v>
      </c>
      <c r="X201" s="107">
        <v>0.0</v>
      </c>
      <c r="Y201" s="107">
        <v>0.0</v>
      </c>
      <c r="Z201" s="80">
        <v>0.0</v>
      </c>
      <c r="AA201" s="140">
        <v>0.0</v>
      </c>
      <c r="AB201" s="109">
        <v>0.0</v>
      </c>
      <c r="AC201" s="109">
        <v>0.0</v>
      </c>
      <c r="AD201" s="141">
        <v>0.0</v>
      </c>
      <c r="AE201" s="80">
        <v>0.0</v>
      </c>
      <c r="AF201" s="140">
        <v>215.0</v>
      </c>
      <c r="AG201" s="109">
        <v>90.0</v>
      </c>
      <c r="AH201" s="109">
        <v>0.0</v>
      </c>
      <c r="AI201" s="141">
        <v>31.0</v>
      </c>
      <c r="AJ201" s="80">
        <v>336.0</v>
      </c>
      <c r="AK201" s="140">
        <v>0.0</v>
      </c>
      <c r="AL201" s="109">
        <v>0.0</v>
      </c>
      <c r="AM201" s="141">
        <v>0.0</v>
      </c>
      <c r="AN201" s="80">
        <v>0.0</v>
      </c>
      <c r="AO201" s="140">
        <v>0.0</v>
      </c>
      <c r="AP201" s="109">
        <v>0.0</v>
      </c>
      <c r="AQ201" s="109">
        <v>26.0</v>
      </c>
      <c r="AR201" s="80">
        <v>26.0</v>
      </c>
      <c r="AS201" s="110">
        <v>0.0</v>
      </c>
      <c r="AT201" s="110">
        <v>0.0</v>
      </c>
      <c r="AU201" s="110">
        <v>0.0</v>
      </c>
      <c r="AV201" s="142">
        <v>0.0</v>
      </c>
      <c r="AW201" s="80">
        <v>0.0</v>
      </c>
      <c r="AX201" s="113">
        <v>362.0</v>
      </c>
      <c r="AY201" s="117">
        <v>336.0</v>
      </c>
      <c r="AZ201" s="328">
        <v>26.0</v>
      </c>
      <c r="BA201" s="315">
        <v>0.0</v>
      </c>
      <c r="BB201" s="316">
        <v>362.0</v>
      </c>
      <c r="BC201" s="132" t="s">
        <v>178</v>
      </c>
      <c r="BD201" s="132" t="s">
        <v>178</v>
      </c>
      <c r="BE201" s="132" t="s">
        <v>178</v>
      </c>
      <c r="BF201" s="156"/>
      <c r="BG201" s="83">
        <v>1170360.0</v>
      </c>
      <c r="BH201" s="112">
        <v>6.0</v>
      </c>
      <c r="BI201" s="98" t="s">
        <v>155</v>
      </c>
      <c r="BJ201" s="98" t="str">
        <f t="shared" si="1"/>
        <v>INTEGRAL</v>
      </c>
      <c r="BK201" s="98" t="str">
        <f t="shared" si="2"/>
        <v>NÃO</v>
      </c>
    </row>
    <row r="202" ht="55.5" customHeight="1">
      <c r="A202" s="111" t="s">
        <v>285</v>
      </c>
      <c r="B202" s="83" t="s">
        <v>882</v>
      </c>
      <c r="C202" s="83" t="s">
        <v>164</v>
      </c>
      <c r="D202" s="83">
        <v>1170360.0</v>
      </c>
      <c r="E202" s="83">
        <v>1178739.0</v>
      </c>
      <c r="F202" s="83"/>
      <c r="G202" s="114" t="s">
        <v>3926</v>
      </c>
      <c r="H202" s="91" t="s">
        <v>888</v>
      </c>
      <c r="I202" s="298" t="s">
        <v>889</v>
      </c>
      <c r="J202" s="83" t="s">
        <v>890</v>
      </c>
      <c r="K202" s="83" t="s">
        <v>151</v>
      </c>
      <c r="L202" s="83" t="s">
        <v>169</v>
      </c>
      <c r="M202" s="82" t="s">
        <v>3919</v>
      </c>
      <c r="N202" s="82" t="s">
        <v>3920</v>
      </c>
      <c r="O202" s="82"/>
      <c r="P202" s="82"/>
      <c r="Q202" s="82"/>
      <c r="R202" s="82"/>
      <c r="S202" s="82" t="s">
        <v>3921</v>
      </c>
      <c r="T202" s="138">
        <v>3.0</v>
      </c>
      <c r="U202" s="341">
        <v>3.0</v>
      </c>
      <c r="V202" s="106">
        <v>0.0</v>
      </c>
      <c r="W202" s="107">
        <v>0.0</v>
      </c>
      <c r="X202" s="107">
        <v>0.0</v>
      </c>
      <c r="Y202" s="107">
        <v>0.0</v>
      </c>
      <c r="Z202" s="80">
        <v>0.0</v>
      </c>
      <c r="AA202" s="140">
        <v>0.0</v>
      </c>
      <c r="AB202" s="109">
        <v>0.0</v>
      </c>
      <c r="AC202" s="109">
        <v>0.0</v>
      </c>
      <c r="AD202" s="141">
        <v>0.0</v>
      </c>
      <c r="AE202" s="80">
        <v>0.0</v>
      </c>
      <c r="AF202" s="140">
        <v>77.0</v>
      </c>
      <c r="AG202" s="109">
        <v>0.0</v>
      </c>
      <c r="AH202" s="109">
        <v>0.0</v>
      </c>
      <c r="AI202" s="141">
        <v>0.0</v>
      </c>
      <c r="AJ202" s="80">
        <v>77.0</v>
      </c>
      <c r="AK202" s="140">
        <v>0.0</v>
      </c>
      <c r="AL202" s="109">
        <v>0.0</v>
      </c>
      <c r="AM202" s="141">
        <v>0.0</v>
      </c>
      <c r="AN202" s="80">
        <v>0.0</v>
      </c>
      <c r="AO202" s="140">
        <v>0.0</v>
      </c>
      <c r="AP202" s="109">
        <v>0.0</v>
      </c>
      <c r="AQ202" s="109">
        <v>0.0</v>
      </c>
      <c r="AR202" s="80">
        <v>0.0</v>
      </c>
      <c r="AS202" s="110">
        <v>0.0</v>
      </c>
      <c r="AT202" s="110">
        <v>0.0</v>
      </c>
      <c r="AU202" s="110">
        <v>0.0</v>
      </c>
      <c r="AV202" s="142">
        <v>0.0</v>
      </c>
      <c r="AW202" s="80">
        <v>0.0</v>
      </c>
      <c r="AX202" s="113">
        <v>77.0</v>
      </c>
      <c r="AY202" s="117">
        <v>77.0</v>
      </c>
      <c r="AZ202" s="328">
        <v>0.0</v>
      </c>
      <c r="BA202" s="315">
        <v>0.0</v>
      </c>
      <c r="BB202" s="316">
        <v>77.0</v>
      </c>
      <c r="BC202" s="132" t="s">
        <v>373</v>
      </c>
      <c r="BD202" s="132" t="s">
        <v>178</v>
      </c>
      <c r="BE202" s="132" t="s">
        <v>178</v>
      </c>
      <c r="BF202" s="123"/>
      <c r="BG202" s="83">
        <v>1178739.0</v>
      </c>
      <c r="BH202" s="112">
        <v>3.0</v>
      </c>
      <c r="BI202" s="98" t="s">
        <v>155</v>
      </c>
      <c r="BJ202" s="98" t="str">
        <f t="shared" si="1"/>
        <v>NÃO</v>
      </c>
      <c r="BK202" s="98" t="str">
        <f t="shared" si="2"/>
        <v>NÃO</v>
      </c>
    </row>
    <row r="203" ht="15.75" customHeight="1">
      <c r="A203" s="111" t="s">
        <v>285</v>
      </c>
      <c r="B203" s="83" t="s">
        <v>882</v>
      </c>
      <c r="C203" s="83" t="s">
        <v>164</v>
      </c>
      <c r="D203" s="83">
        <v>1170360.0</v>
      </c>
      <c r="E203" s="83">
        <v>1178738.0</v>
      </c>
      <c r="F203" s="83"/>
      <c r="G203" s="114" t="s">
        <v>891</v>
      </c>
      <c r="H203" s="91" t="s">
        <v>892</v>
      </c>
      <c r="I203" s="298" t="s">
        <v>893</v>
      </c>
      <c r="J203" s="83" t="s">
        <v>240</v>
      </c>
      <c r="K203" s="83" t="s">
        <v>151</v>
      </c>
      <c r="L203" s="83" t="s">
        <v>169</v>
      </c>
      <c r="M203" s="82" t="s">
        <v>3919</v>
      </c>
      <c r="N203" s="82" t="s">
        <v>3920</v>
      </c>
      <c r="O203" s="82"/>
      <c r="P203" s="82"/>
      <c r="Q203" s="82"/>
      <c r="R203" s="82"/>
      <c r="S203" s="82" t="s">
        <v>3921</v>
      </c>
      <c r="T203" s="138">
        <v>3.0</v>
      </c>
      <c r="U203" s="341">
        <v>3.0</v>
      </c>
      <c r="V203" s="106">
        <v>0.0</v>
      </c>
      <c r="W203" s="107">
        <v>0.0</v>
      </c>
      <c r="X203" s="107">
        <v>0.0</v>
      </c>
      <c r="Y203" s="107">
        <v>0.0</v>
      </c>
      <c r="Z203" s="80">
        <v>0.0</v>
      </c>
      <c r="AA203" s="140">
        <v>0.0</v>
      </c>
      <c r="AB203" s="109">
        <v>0.0</v>
      </c>
      <c r="AC203" s="109">
        <v>0.0</v>
      </c>
      <c r="AD203" s="141">
        <v>0.0</v>
      </c>
      <c r="AE203" s="80">
        <v>0.0</v>
      </c>
      <c r="AF203" s="140">
        <v>72.0</v>
      </c>
      <c r="AG203" s="109">
        <v>0.0</v>
      </c>
      <c r="AH203" s="109">
        <v>0.0</v>
      </c>
      <c r="AI203" s="141">
        <v>0.0</v>
      </c>
      <c r="AJ203" s="80">
        <v>72.0</v>
      </c>
      <c r="AK203" s="140">
        <v>0.0</v>
      </c>
      <c r="AL203" s="109">
        <v>0.0</v>
      </c>
      <c r="AM203" s="141">
        <v>0.0</v>
      </c>
      <c r="AN203" s="80">
        <v>0.0</v>
      </c>
      <c r="AO203" s="140">
        <v>0.0</v>
      </c>
      <c r="AP203" s="109">
        <v>0.0</v>
      </c>
      <c r="AQ203" s="109">
        <v>35.0</v>
      </c>
      <c r="AR203" s="80">
        <v>35.0</v>
      </c>
      <c r="AS203" s="110">
        <v>0.0</v>
      </c>
      <c r="AT203" s="110">
        <v>0.0</v>
      </c>
      <c r="AU203" s="110">
        <v>0.0</v>
      </c>
      <c r="AV203" s="142">
        <v>0.0</v>
      </c>
      <c r="AW203" s="80">
        <v>0.0</v>
      </c>
      <c r="AX203" s="113">
        <v>107.0</v>
      </c>
      <c r="AY203" s="117">
        <v>72.0</v>
      </c>
      <c r="AZ203" s="328">
        <v>35.0</v>
      </c>
      <c r="BA203" s="315">
        <v>0.0</v>
      </c>
      <c r="BB203" s="316">
        <v>107.0</v>
      </c>
      <c r="BC203" s="132" t="s">
        <v>373</v>
      </c>
      <c r="BD203" s="132" t="s">
        <v>178</v>
      </c>
      <c r="BE203" s="132" t="s">
        <v>178</v>
      </c>
      <c r="BF203" s="123"/>
      <c r="BG203" s="83">
        <v>1178738.0</v>
      </c>
      <c r="BH203" s="112">
        <v>3.0</v>
      </c>
      <c r="BI203" s="98" t="s">
        <v>155</v>
      </c>
      <c r="BJ203" s="98" t="str">
        <f t="shared" si="1"/>
        <v>NÃO</v>
      </c>
      <c r="BK203" s="98" t="str">
        <f t="shared" si="2"/>
        <v>NÃO</v>
      </c>
    </row>
    <row r="204" ht="15.75" customHeight="1">
      <c r="A204" s="111" t="s">
        <v>285</v>
      </c>
      <c r="B204" s="136" t="s">
        <v>894</v>
      </c>
      <c r="C204" s="136" t="s">
        <v>68</v>
      </c>
      <c r="D204" s="83">
        <v>1124481.0</v>
      </c>
      <c r="E204" s="189"/>
      <c r="F204" s="189">
        <v>2.9216206E7</v>
      </c>
      <c r="G204" s="313" t="s">
        <v>895</v>
      </c>
      <c r="H204" s="91" t="s">
        <v>896</v>
      </c>
      <c r="I204" s="114" t="s">
        <v>149</v>
      </c>
      <c r="J204" s="83" t="s">
        <v>150</v>
      </c>
      <c r="K204" s="83" t="s">
        <v>151</v>
      </c>
      <c r="L204" s="83" t="s">
        <v>169</v>
      </c>
      <c r="M204" s="82" t="s">
        <v>3934</v>
      </c>
      <c r="N204" s="82" t="s">
        <v>3935</v>
      </c>
      <c r="O204" s="82" t="s">
        <v>3936</v>
      </c>
      <c r="P204" s="82" t="s">
        <v>3937</v>
      </c>
      <c r="Q204" s="82"/>
      <c r="R204" s="82"/>
      <c r="S204" s="82" t="s">
        <v>3938</v>
      </c>
      <c r="T204" s="138">
        <v>7.0</v>
      </c>
      <c r="U204" s="331">
        <v>8.0</v>
      </c>
      <c r="V204" s="106">
        <v>0.0</v>
      </c>
      <c r="W204" s="107">
        <v>0.0</v>
      </c>
      <c r="X204" s="107">
        <v>0.0</v>
      </c>
      <c r="Y204" s="107">
        <v>0.0</v>
      </c>
      <c r="Z204" s="80">
        <v>0.0</v>
      </c>
      <c r="AA204" s="140">
        <v>0.0</v>
      </c>
      <c r="AB204" s="109">
        <v>0.0</v>
      </c>
      <c r="AC204" s="109">
        <v>0.0</v>
      </c>
      <c r="AD204" s="141">
        <v>0.0</v>
      </c>
      <c r="AE204" s="80">
        <v>0.0</v>
      </c>
      <c r="AF204" s="140">
        <v>115.0</v>
      </c>
      <c r="AG204" s="109">
        <v>126.0</v>
      </c>
      <c r="AH204" s="109">
        <v>0.0</v>
      </c>
      <c r="AI204" s="141">
        <v>0.0</v>
      </c>
      <c r="AJ204" s="80">
        <v>241.0</v>
      </c>
      <c r="AK204" s="140">
        <v>0.0</v>
      </c>
      <c r="AL204" s="109">
        <v>0.0</v>
      </c>
      <c r="AM204" s="141">
        <v>0.0</v>
      </c>
      <c r="AN204" s="80">
        <v>0.0</v>
      </c>
      <c r="AO204" s="140">
        <v>0.0</v>
      </c>
      <c r="AP204" s="109">
        <v>0.0</v>
      </c>
      <c r="AQ204" s="109">
        <v>29.0</v>
      </c>
      <c r="AR204" s="80">
        <v>29.0</v>
      </c>
      <c r="AS204" s="110">
        <v>0.0</v>
      </c>
      <c r="AT204" s="110">
        <v>0.0</v>
      </c>
      <c r="AU204" s="110">
        <v>0.0</v>
      </c>
      <c r="AV204" s="142">
        <v>0.0</v>
      </c>
      <c r="AW204" s="80">
        <v>0.0</v>
      </c>
      <c r="AX204" s="113">
        <v>270.0</v>
      </c>
      <c r="AY204" s="117">
        <v>241.0</v>
      </c>
      <c r="AZ204" s="328">
        <v>29.0</v>
      </c>
      <c r="BA204" s="315">
        <v>0.0</v>
      </c>
      <c r="BB204" s="316">
        <v>270.0</v>
      </c>
      <c r="BC204" s="132" t="s">
        <v>178</v>
      </c>
      <c r="BD204" s="132" t="s">
        <v>178</v>
      </c>
      <c r="BE204" s="132" t="s">
        <v>178</v>
      </c>
      <c r="BF204" s="123"/>
      <c r="BG204" s="83">
        <v>1124481.0</v>
      </c>
      <c r="BH204" s="112">
        <v>8.0</v>
      </c>
      <c r="BI204" s="98" t="s">
        <v>155</v>
      </c>
      <c r="BJ204" s="98" t="str">
        <f t="shared" si="1"/>
        <v>NÃO</v>
      </c>
      <c r="BK204" s="98" t="str">
        <f t="shared" si="2"/>
        <v>NÃO</v>
      </c>
    </row>
    <row r="205" ht="15.75" customHeight="1">
      <c r="A205" s="111" t="s">
        <v>285</v>
      </c>
      <c r="B205" s="317" t="s">
        <v>902</v>
      </c>
      <c r="C205" s="317" t="s">
        <v>68</v>
      </c>
      <c r="D205" s="83">
        <v>1164149.0</v>
      </c>
      <c r="E205" s="189"/>
      <c r="F205" s="189">
        <v>2.9216486E7</v>
      </c>
      <c r="G205" s="313" t="s">
        <v>903</v>
      </c>
      <c r="H205" s="91" t="s">
        <v>904</v>
      </c>
      <c r="I205" s="377" t="s">
        <v>149</v>
      </c>
      <c r="J205" s="189" t="s">
        <v>150</v>
      </c>
      <c r="K205" s="189" t="s">
        <v>168</v>
      </c>
      <c r="L205" s="378" t="s">
        <v>76</v>
      </c>
      <c r="M205" s="82" t="s">
        <v>3943</v>
      </c>
      <c r="N205" s="82" t="s">
        <v>3944</v>
      </c>
      <c r="O205" s="82"/>
      <c r="P205" s="82"/>
      <c r="Q205" s="82"/>
      <c r="R205" s="82"/>
      <c r="S205" s="82" t="s">
        <v>3945</v>
      </c>
      <c r="T205" s="321">
        <v>6.0</v>
      </c>
      <c r="U205" s="379" t="s">
        <v>3946</v>
      </c>
      <c r="V205" s="106">
        <v>0.0</v>
      </c>
      <c r="W205" s="107">
        <v>0.0</v>
      </c>
      <c r="X205" s="107">
        <v>0.0</v>
      </c>
      <c r="Y205" s="107">
        <v>0.0</v>
      </c>
      <c r="Z205" s="80">
        <v>0.0</v>
      </c>
      <c r="AA205" s="324">
        <v>0.0</v>
      </c>
      <c r="AB205" s="325">
        <v>0.0</v>
      </c>
      <c r="AC205" s="325">
        <v>0.0</v>
      </c>
      <c r="AD205" s="326">
        <v>0.0</v>
      </c>
      <c r="AE205" s="80">
        <v>0.0</v>
      </c>
      <c r="AF205" s="324">
        <v>121.0</v>
      </c>
      <c r="AG205" s="325">
        <v>67.0</v>
      </c>
      <c r="AH205" s="325">
        <v>28.0</v>
      </c>
      <c r="AI205" s="326">
        <v>0.0</v>
      </c>
      <c r="AJ205" s="80">
        <v>216.0</v>
      </c>
      <c r="AK205" s="324">
        <v>0.0</v>
      </c>
      <c r="AL205" s="325">
        <v>0.0</v>
      </c>
      <c r="AM205" s="326">
        <v>0.0</v>
      </c>
      <c r="AN205" s="80">
        <v>0.0</v>
      </c>
      <c r="AO205" s="324">
        <v>0.0</v>
      </c>
      <c r="AP205" s="325">
        <v>0.0</v>
      </c>
      <c r="AQ205" s="325">
        <v>26.0</v>
      </c>
      <c r="AR205" s="80">
        <v>26.0</v>
      </c>
      <c r="AS205" s="329">
        <v>0.0</v>
      </c>
      <c r="AT205" s="329">
        <v>0.0</v>
      </c>
      <c r="AU205" s="329">
        <v>0.0</v>
      </c>
      <c r="AV205" s="330">
        <v>0.0</v>
      </c>
      <c r="AW205" s="80">
        <v>0.0</v>
      </c>
      <c r="AX205" s="113">
        <v>242.0</v>
      </c>
      <c r="AY205" s="117">
        <v>188.0</v>
      </c>
      <c r="AZ205" s="328">
        <v>54.0</v>
      </c>
      <c r="BA205" s="315">
        <v>0.0</v>
      </c>
      <c r="BB205" s="316">
        <v>242.0</v>
      </c>
      <c r="BC205" s="132" t="s">
        <v>178</v>
      </c>
      <c r="BD205" s="132" t="s">
        <v>178</v>
      </c>
      <c r="BE205" s="132" t="s">
        <v>178</v>
      </c>
      <c r="BF205" s="156"/>
      <c r="BG205" s="83">
        <v>1164149.0</v>
      </c>
      <c r="BH205" s="112">
        <v>5.0</v>
      </c>
      <c r="BI205" s="98" t="s">
        <v>155</v>
      </c>
      <c r="BJ205" s="98" t="str">
        <f t="shared" si="1"/>
        <v>NÃO</v>
      </c>
      <c r="BK205" s="98" t="str">
        <f t="shared" si="2"/>
        <v>NÃO</v>
      </c>
    </row>
    <row r="206" ht="15.75" customHeight="1">
      <c r="A206" s="111" t="s">
        <v>285</v>
      </c>
      <c r="B206" s="136" t="s">
        <v>902</v>
      </c>
      <c r="C206" s="380" t="s">
        <v>164</v>
      </c>
      <c r="D206" s="83">
        <v>1164149.0</v>
      </c>
      <c r="E206" s="83">
        <v>1179716.0</v>
      </c>
      <c r="F206" s="83"/>
      <c r="G206" s="187" t="s">
        <v>907</v>
      </c>
      <c r="H206" s="91" t="s">
        <v>908</v>
      </c>
      <c r="I206" s="381" t="s">
        <v>909</v>
      </c>
      <c r="J206" s="98" t="s">
        <v>767</v>
      </c>
      <c r="K206" s="83" t="s">
        <v>168</v>
      </c>
      <c r="L206" s="83" t="s">
        <v>512</v>
      </c>
      <c r="M206" s="82" t="s">
        <v>3943</v>
      </c>
      <c r="N206" s="82" t="s">
        <v>3944</v>
      </c>
      <c r="O206" s="82"/>
      <c r="P206" s="82"/>
      <c r="Q206" s="82"/>
      <c r="R206" s="82"/>
      <c r="S206" s="82" t="s">
        <v>3945</v>
      </c>
      <c r="T206" s="138" t="s">
        <v>171</v>
      </c>
      <c r="U206" s="343">
        <v>3.0</v>
      </c>
      <c r="V206" s="106">
        <v>0.0</v>
      </c>
      <c r="W206" s="107">
        <v>0.0</v>
      </c>
      <c r="X206" s="107">
        <v>0.0</v>
      </c>
      <c r="Y206" s="107">
        <v>0.0</v>
      </c>
      <c r="Z206" s="80">
        <v>0.0</v>
      </c>
      <c r="AA206" s="140">
        <v>0.0</v>
      </c>
      <c r="AB206" s="109">
        <v>0.0</v>
      </c>
      <c r="AC206" s="109">
        <v>0.0</v>
      </c>
      <c r="AD206" s="141">
        <v>0.0</v>
      </c>
      <c r="AE206" s="80">
        <v>0.0</v>
      </c>
      <c r="AF206" s="140">
        <v>0.0</v>
      </c>
      <c r="AG206" s="109">
        <v>65.0</v>
      </c>
      <c r="AH206" s="109">
        <v>0.0</v>
      </c>
      <c r="AI206" s="141">
        <v>0.0</v>
      </c>
      <c r="AJ206" s="80">
        <v>65.0</v>
      </c>
      <c r="AK206" s="140">
        <v>0.0</v>
      </c>
      <c r="AL206" s="109">
        <v>0.0</v>
      </c>
      <c r="AM206" s="141">
        <v>0.0</v>
      </c>
      <c r="AN206" s="80">
        <v>0.0</v>
      </c>
      <c r="AO206" s="140">
        <v>0.0</v>
      </c>
      <c r="AP206" s="109">
        <v>0.0</v>
      </c>
      <c r="AQ206" s="109">
        <v>2.0</v>
      </c>
      <c r="AR206" s="80">
        <v>2.0</v>
      </c>
      <c r="AS206" s="110">
        <v>0.0</v>
      </c>
      <c r="AT206" s="110">
        <v>0.0</v>
      </c>
      <c r="AU206" s="110">
        <v>0.0</v>
      </c>
      <c r="AV206" s="142">
        <v>0.0</v>
      </c>
      <c r="AW206" s="80">
        <v>0.0</v>
      </c>
      <c r="AX206" s="113">
        <v>67.0</v>
      </c>
      <c r="AY206" s="117">
        <v>65.0</v>
      </c>
      <c r="AZ206" s="328">
        <v>2.0</v>
      </c>
      <c r="BA206" s="315">
        <v>0.0</v>
      </c>
      <c r="BB206" s="316">
        <v>67.0</v>
      </c>
      <c r="BC206" s="132" t="s">
        <v>178</v>
      </c>
      <c r="BD206" s="132" t="s">
        <v>178</v>
      </c>
      <c r="BE206" s="132" t="s">
        <v>178</v>
      </c>
      <c r="BF206" s="156"/>
      <c r="BG206" s="83">
        <v>1179716.0</v>
      </c>
      <c r="BH206" s="98">
        <v>3.0</v>
      </c>
      <c r="BI206" s="98" t="s">
        <v>155</v>
      </c>
      <c r="BJ206" s="98" t="str">
        <f t="shared" si="1"/>
        <v>NÃO</v>
      </c>
      <c r="BK206" s="98" t="str">
        <f t="shared" si="2"/>
        <v>NÃO</v>
      </c>
    </row>
    <row r="207" ht="15.75" customHeight="1">
      <c r="A207" s="111" t="s">
        <v>285</v>
      </c>
      <c r="B207" s="136" t="s">
        <v>910</v>
      </c>
      <c r="C207" s="136" t="s">
        <v>68</v>
      </c>
      <c r="D207" s="82">
        <v>1123647.0</v>
      </c>
      <c r="E207" s="82"/>
      <c r="F207" s="82">
        <v>2.9232988E7</v>
      </c>
      <c r="G207" s="383" t="s">
        <v>3952</v>
      </c>
      <c r="H207" s="91" t="s">
        <v>3955</v>
      </c>
      <c r="I207" s="125" t="s">
        <v>149</v>
      </c>
      <c r="J207" s="83" t="s">
        <v>150</v>
      </c>
      <c r="K207" s="83" t="s">
        <v>151</v>
      </c>
      <c r="L207" s="83" t="s">
        <v>76</v>
      </c>
      <c r="M207" s="82" t="s">
        <v>3956</v>
      </c>
      <c r="N207" s="82" t="s">
        <v>3957</v>
      </c>
      <c r="O207" s="82" t="s">
        <v>3958</v>
      </c>
      <c r="P207" s="82" t="s">
        <v>3960</v>
      </c>
      <c r="Q207" s="82"/>
      <c r="R207" s="82"/>
      <c r="S207" s="82" t="s">
        <v>3962</v>
      </c>
      <c r="T207" s="138">
        <v>8.0</v>
      </c>
      <c r="U207" s="323">
        <v>6.0</v>
      </c>
      <c r="V207" s="106">
        <v>0.0</v>
      </c>
      <c r="W207" s="107">
        <v>0.0</v>
      </c>
      <c r="X207" s="107">
        <v>0.0</v>
      </c>
      <c r="Y207" s="107">
        <v>0.0</v>
      </c>
      <c r="Z207" s="80">
        <v>0.0</v>
      </c>
      <c r="AA207" s="140">
        <v>0.0</v>
      </c>
      <c r="AB207" s="109">
        <v>0.0</v>
      </c>
      <c r="AC207" s="109">
        <v>0.0</v>
      </c>
      <c r="AD207" s="141">
        <v>0.0</v>
      </c>
      <c r="AE207" s="80">
        <v>0.0</v>
      </c>
      <c r="AF207" s="140">
        <v>125.0</v>
      </c>
      <c r="AG207" s="109">
        <v>100.0</v>
      </c>
      <c r="AH207" s="109">
        <v>0.0</v>
      </c>
      <c r="AI207" s="141">
        <v>80.0</v>
      </c>
      <c r="AJ207" s="80">
        <v>305.0</v>
      </c>
      <c r="AK207" s="140">
        <v>0.0</v>
      </c>
      <c r="AL207" s="109">
        <v>0.0</v>
      </c>
      <c r="AM207" s="141">
        <v>0.0</v>
      </c>
      <c r="AN207" s="80">
        <v>0.0</v>
      </c>
      <c r="AO207" s="140">
        <v>0.0</v>
      </c>
      <c r="AP207" s="109">
        <v>0.0</v>
      </c>
      <c r="AQ207" s="109">
        <v>66.0</v>
      </c>
      <c r="AR207" s="80">
        <v>66.0</v>
      </c>
      <c r="AS207" s="110">
        <v>0.0</v>
      </c>
      <c r="AT207" s="110">
        <v>0.0</v>
      </c>
      <c r="AU207" s="110">
        <v>0.0</v>
      </c>
      <c r="AV207" s="142">
        <v>0.0</v>
      </c>
      <c r="AW207" s="80">
        <v>0.0</v>
      </c>
      <c r="AX207" s="113">
        <v>371.0</v>
      </c>
      <c r="AY207" s="117">
        <v>305.0</v>
      </c>
      <c r="AZ207" s="328">
        <v>66.0</v>
      </c>
      <c r="BA207" s="315">
        <v>0.0</v>
      </c>
      <c r="BB207" s="316">
        <v>371.0</v>
      </c>
      <c r="BC207" s="132" t="s">
        <v>178</v>
      </c>
      <c r="BD207" s="132" t="s">
        <v>178</v>
      </c>
      <c r="BE207" s="132" t="s">
        <v>178</v>
      </c>
      <c r="BF207" s="123"/>
      <c r="BG207" s="83">
        <v>1123647.0</v>
      </c>
      <c r="BH207" s="112">
        <v>6.0</v>
      </c>
      <c r="BI207" s="98" t="s">
        <v>155</v>
      </c>
      <c r="BJ207" s="98" t="str">
        <f t="shared" si="1"/>
        <v>INTEGRAL</v>
      </c>
      <c r="BK207" s="98" t="str">
        <f t="shared" si="2"/>
        <v>NÃO</v>
      </c>
    </row>
    <row r="208" ht="15.75" customHeight="1">
      <c r="A208" s="111" t="s">
        <v>285</v>
      </c>
      <c r="B208" s="83" t="s">
        <v>910</v>
      </c>
      <c r="C208" s="83" t="s">
        <v>164</v>
      </c>
      <c r="D208" s="82">
        <v>1123647.0</v>
      </c>
      <c r="E208" s="83">
        <v>1178740.0</v>
      </c>
      <c r="F208" s="83"/>
      <c r="G208" s="114" t="s">
        <v>916</v>
      </c>
      <c r="H208" s="91" t="s">
        <v>917</v>
      </c>
      <c r="I208" s="298" t="s">
        <v>918</v>
      </c>
      <c r="J208" s="83" t="s">
        <v>331</v>
      </c>
      <c r="K208" s="83" t="s">
        <v>151</v>
      </c>
      <c r="L208" s="83" t="s">
        <v>169</v>
      </c>
      <c r="M208" s="82" t="s">
        <v>3956</v>
      </c>
      <c r="N208" s="82" t="s">
        <v>3957</v>
      </c>
      <c r="O208" s="82" t="s">
        <v>3958</v>
      </c>
      <c r="P208" s="82" t="s">
        <v>3960</v>
      </c>
      <c r="Q208" s="82"/>
      <c r="R208" s="82"/>
      <c r="S208" s="82" t="s">
        <v>3962</v>
      </c>
      <c r="T208" s="138">
        <v>4.0</v>
      </c>
      <c r="U208" s="323">
        <v>4.0</v>
      </c>
      <c r="V208" s="106">
        <v>0.0</v>
      </c>
      <c r="W208" s="107">
        <v>0.0</v>
      </c>
      <c r="X208" s="107">
        <v>0.0</v>
      </c>
      <c r="Y208" s="107">
        <v>0.0</v>
      </c>
      <c r="Z208" s="80">
        <v>0.0</v>
      </c>
      <c r="AA208" s="140">
        <v>0.0</v>
      </c>
      <c r="AB208" s="109">
        <v>0.0</v>
      </c>
      <c r="AC208" s="109">
        <v>0.0</v>
      </c>
      <c r="AD208" s="141">
        <v>0.0</v>
      </c>
      <c r="AE208" s="80">
        <v>0.0</v>
      </c>
      <c r="AF208" s="140">
        <v>0.0</v>
      </c>
      <c r="AG208" s="109">
        <v>0.0</v>
      </c>
      <c r="AH208" s="109">
        <v>26.0</v>
      </c>
      <c r="AI208" s="141">
        <v>0.0</v>
      </c>
      <c r="AJ208" s="80">
        <v>26.0</v>
      </c>
      <c r="AK208" s="140">
        <v>0.0</v>
      </c>
      <c r="AL208" s="109">
        <v>0.0</v>
      </c>
      <c r="AM208" s="141">
        <v>0.0</v>
      </c>
      <c r="AN208" s="80">
        <v>0.0</v>
      </c>
      <c r="AO208" s="140">
        <v>0.0</v>
      </c>
      <c r="AP208" s="109">
        <v>0.0</v>
      </c>
      <c r="AQ208" s="109">
        <v>34.0</v>
      </c>
      <c r="AR208" s="80">
        <v>34.0</v>
      </c>
      <c r="AS208" s="110">
        <v>0.0</v>
      </c>
      <c r="AT208" s="110">
        <v>0.0</v>
      </c>
      <c r="AU208" s="110">
        <v>0.0</v>
      </c>
      <c r="AV208" s="142">
        <v>0.0</v>
      </c>
      <c r="AW208" s="80">
        <v>0.0</v>
      </c>
      <c r="AX208" s="113">
        <v>60.0</v>
      </c>
      <c r="AY208" s="117">
        <v>0.0</v>
      </c>
      <c r="AZ208" s="328">
        <v>60.0</v>
      </c>
      <c r="BA208" s="315">
        <v>0.0</v>
      </c>
      <c r="BB208" s="316">
        <v>60.0</v>
      </c>
      <c r="BC208" s="132" t="s">
        <v>373</v>
      </c>
      <c r="BD208" s="132" t="s">
        <v>178</v>
      </c>
      <c r="BE208" s="132" t="s">
        <v>178</v>
      </c>
      <c r="BF208" s="123"/>
      <c r="BG208" s="83">
        <v>1178740.0</v>
      </c>
      <c r="BH208" s="112">
        <v>4.0</v>
      </c>
      <c r="BI208" s="98" t="s">
        <v>155</v>
      </c>
      <c r="BJ208" s="98" t="str">
        <f t="shared" si="1"/>
        <v>NÃO</v>
      </c>
      <c r="BK208" s="98" t="str">
        <f t="shared" si="2"/>
        <v>NÃO</v>
      </c>
    </row>
    <row r="209" ht="15.75" customHeight="1">
      <c r="A209" s="111" t="s">
        <v>285</v>
      </c>
      <c r="B209" s="136" t="s">
        <v>919</v>
      </c>
      <c r="C209" s="136" t="s">
        <v>68</v>
      </c>
      <c r="D209" s="83">
        <v>1161956.0</v>
      </c>
      <c r="E209" s="83"/>
      <c r="F209" s="83">
        <v>2.907477E7</v>
      </c>
      <c r="G209" s="187" t="s">
        <v>2215</v>
      </c>
      <c r="H209" s="91" t="s">
        <v>3967</v>
      </c>
      <c r="I209" s="114" t="s">
        <v>149</v>
      </c>
      <c r="J209" s="83" t="s">
        <v>150</v>
      </c>
      <c r="K209" s="83" t="s">
        <v>151</v>
      </c>
      <c r="L209" s="83" t="s">
        <v>152</v>
      </c>
      <c r="M209" s="82" t="s">
        <v>3969</v>
      </c>
      <c r="N209" s="82" t="s">
        <v>3970</v>
      </c>
      <c r="O209" s="82" t="s">
        <v>3971</v>
      </c>
      <c r="P209" s="82" t="s">
        <v>3972</v>
      </c>
      <c r="Q209" s="82" t="s">
        <v>3973</v>
      </c>
      <c r="R209" s="82" t="s">
        <v>3974</v>
      </c>
      <c r="S209" s="82" t="s">
        <v>3975</v>
      </c>
      <c r="T209" s="138">
        <v>8.0</v>
      </c>
      <c r="U209" s="323">
        <v>8.0</v>
      </c>
      <c r="V209" s="106">
        <v>0.0</v>
      </c>
      <c r="W209" s="107">
        <v>0.0</v>
      </c>
      <c r="X209" s="107">
        <v>0.0</v>
      </c>
      <c r="Y209" s="107">
        <v>0.0</v>
      </c>
      <c r="Z209" s="80">
        <v>0.0</v>
      </c>
      <c r="AA209" s="140">
        <v>0.0</v>
      </c>
      <c r="AB209" s="109">
        <v>0.0</v>
      </c>
      <c r="AC209" s="109">
        <v>0.0</v>
      </c>
      <c r="AD209" s="141">
        <v>0.0</v>
      </c>
      <c r="AE209" s="80">
        <v>0.0</v>
      </c>
      <c r="AF209" s="140">
        <v>231.0</v>
      </c>
      <c r="AG209" s="109">
        <v>212.0</v>
      </c>
      <c r="AH209" s="109">
        <v>34.0</v>
      </c>
      <c r="AI209" s="141">
        <v>77.0</v>
      </c>
      <c r="AJ209" s="80">
        <v>554.0</v>
      </c>
      <c r="AK209" s="140">
        <v>0.0</v>
      </c>
      <c r="AL209" s="109">
        <v>0.0</v>
      </c>
      <c r="AM209" s="141">
        <v>0.0</v>
      </c>
      <c r="AN209" s="80">
        <v>0.0</v>
      </c>
      <c r="AO209" s="140">
        <v>0.0</v>
      </c>
      <c r="AP209" s="109">
        <v>0.0</v>
      </c>
      <c r="AQ209" s="109">
        <v>110.0</v>
      </c>
      <c r="AR209" s="80">
        <v>110.0</v>
      </c>
      <c r="AS209" s="110">
        <v>0.0</v>
      </c>
      <c r="AT209" s="110">
        <v>0.0</v>
      </c>
      <c r="AU209" s="110">
        <v>0.0</v>
      </c>
      <c r="AV209" s="142">
        <v>0.0</v>
      </c>
      <c r="AW209" s="80">
        <v>0.0</v>
      </c>
      <c r="AX209" s="113">
        <v>664.0</v>
      </c>
      <c r="AY209" s="117">
        <v>520.0</v>
      </c>
      <c r="AZ209" s="328">
        <v>144.0</v>
      </c>
      <c r="BA209" s="315">
        <v>0.0</v>
      </c>
      <c r="BB209" s="316">
        <v>664.0</v>
      </c>
      <c r="BC209" s="132" t="s">
        <v>178</v>
      </c>
      <c r="BD209" s="132" t="s">
        <v>178</v>
      </c>
      <c r="BE209" s="132" t="s">
        <v>178</v>
      </c>
      <c r="BF209" s="156"/>
      <c r="BG209" s="83">
        <v>1161956.0</v>
      </c>
      <c r="BH209" s="112">
        <v>8.0</v>
      </c>
      <c r="BI209" s="98" t="s">
        <v>155</v>
      </c>
      <c r="BJ209" s="98" t="str">
        <f t="shared" si="1"/>
        <v>INTEGRAL</v>
      </c>
      <c r="BK209" s="98" t="str">
        <f t="shared" si="2"/>
        <v>NÃO</v>
      </c>
    </row>
    <row r="210" ht="15.75" customHeight="1">
      <c r="A210" s="111" t="s">
        <v>285</v>
      </c>
      <c r="B210" s="83" t="s">
        <v>919</v>
      </c>
      <c r="C210" s="83" t="s">
        <v>68</v>
      </c>
      <c r="D210" s="83">
        <v>1178439.0</v>
      </c>
      <c r="E210" s="83"/>
      <c r="F210" s="83">
        <v>2.939922E7</v>
      </c>
      <c r="G210" s="114" t="s">
        <v>3982</v>
      </c>
      <c r="H210" s="91" t="s">
        <v>921</v>
      </c>
      <c r="I210" s="114" t="s">
        <v>922</v>
      </c>
      <c r="J210" s="83" t="s">
        <v>923</v>
      </c>
      <c r="K210" s="83" t="s">
        <v>151</v>
      </c>
      <c r="L210" s="83" t="s">
        <v>169</v>
      </c>
      <c r="M210" s="82" t="s">
        <v>3984</v>
      </c>
      <c r="N210" s="82" t="s">
        <v>3985</v>
      </c>
      <c r="O210" s="82"/>
      <c r="P210" s="82"/>
      <c r="Q210" s="82"/>
      <c r="R210" s="82"/>
      <c r="S210" s="82" t="s">
        <v>3986</v>
      </c>
      <c r="T210" s="138">
        <v>6.0</v>
      </c>
      <c r="U210" s="323">
        <v>3.0</v>
      </c>
      <c r="V210" s="106">
        <v>0.0</v>
      </c>
      <c r="W210" s="107">
        <v>0.0</v>
      </c>
      <c r="X210" s="107">
        <v>0.0</v>
      </c>
      <c r="Y210" s="107">
        <v>0.0</v>
      </c>
      <c r="Z210" s="80">
        <v>0.0</v>
      </c>
      <c r="AA210" s="140">
        <v>0.0</v>
      </c>
      <c r="AB210" s="109">
        <v>0.0</v>
      </c>
      <c r="AC210" s="109">
        <v>0.0</v>
      </c>
      <c r="AD210" s="141">
        <v>0.0</v>
      </c>
      <c r="AE210" s="80">
        <v>0.0</v>
      </c>
      <c r="AF210" s="140">
        <v>26.0</v>
      </c>
      <c r="AG210" s="109">
        <v>51.0</v>
      </c>
      <c r="AH210" s="109">
        <v>0.0</v>
      </c>
      <c r="AI210" s="141">
        <v>30.0</v>
      </c>
      <c r="AJ210" s="80">
        <v>107.0</v>
      </c>
      <c r="AK210" s="140">
        <v>0.0</v>
      </c>
      <c r="AL210" s="109">
        <v>0.0</v>
      </c>
      <c r="AM210" s="141">
        <v>0.0</v>
      </c>
      <c r="AN210" s="80">
        <v>0.0</v>
      </c>
      <c r="AO210" s="140">
        <v>0.0</v>
      </c>
      <c r="AP210" s="109">
        <v>0.0</v>
      </c>
      <c r="AQ210" s="109">
        <v>0.0</v>
      </c>
      <c r="AR210" s="80">
        <v>0.0</v>
      </c>
      <c r="AS210" s="110">
        <v>0.0</v>
      </c>
      <c r="AT210" s="110">
        <v>0.0</v>
      </c>
      <c r="AU210" s="110">
        <v>0.0</v>
      </c>
      <c r="AV210" s="142">
        <v>0.0</v>
      </c>
      <c r="AW210" s="80">
        <v>0.0</v>
      </c>
      <c r="AX210" s="113">
        <v>107.0</v>
      </c>
      <c r="AY210" s="117">
        <v>107.0</v>
      </c>
      <c r="AZ210" s="328">
        <v>0.0</v>
      </c>
      <c r="BA210" s="315">
        <v>0.0</v>
      </c>
      <c r="BB210" s="316">
        <v>107.0</v>
      </c>
      <c r="BC210" s="132" t="s">
        <v>373</v>
      </c>
      <c r="BD210" s="132" t="s">
        <v>178</v>
      </c>
      <c r="BE210" s="132" t="s">
        <v>178</v>
      </c>
      <c r="BF210" s="123"/>
      <c r="BG210" s="83">
        <v>1178439.0</v>
      </c>
      <c r="BH210" s="112">
        <v>3.0</v>
      </c>
      <c r="BI210" s="98" t="s">
        <v>155</v>
      </c>
      <c r="BJ210" s="98" t="str">
        <f t="shared" si="1"/>
        <v>INTEGRAL</v>
      </c>
      <c r="BK210" s="98" t="str">
        <f t="shared" si="2"/>
        <v>NÃO</v>
      </c>
    </row>
    <row r="211" ht="15.75" customHeight="1">
      <c r="A211" s="111" t="s">
        <v>285</v>
      </c>
      <c r="B211" s="83" t="s">
        <v>919</v>
      </c>
      <c r="C211" s="83" t="s">
        <v>68</v>
      </c>
      <c r="D211" s="83">
        <v>1178028.0</v>
      </c>
      <c r="E211" s="83"/>
      <c r="F211" s="83">
        <v>2.9425557E7</v>
      </c>
      <c r="G211" s="114" t="s">
        <v>925</v>
      </c>
      <c r="H211" s="91" t="s">
        <v>926</v>
      </c>
      <c r="I211" s="114" t="s">
        <v>927</v>
      </c>
      <c r="J211" s="83" t="s">
        <v>252</v>
      </c>
      <c r="K211" s="83" t="s">
        <v>151</v>
      </c>
      <c r="L211" s="83" t="s">
        <v>169</v>
      </c>
      <c r="M211" s="82" t="s">
        <v>3987</v>
      </c>
      <c r="N211" s="82" t="s">
        <v>3988</v>
      </c>
      <c r="O211" s="82"/>
      <c r="P211" s="82"/>
      <c r="Q211" s="82"/>
      <c r="R211" s="82"/>
      <c r="S211" s="82" t="s">
        <v>3989</v>
      </c>
      <c r="T211" s="138">
        <v>6.0</v>
      </c>
      <c r="U211" s="323">
        <v>8.0</v>
      </c>
      <c r="V211" s="106">
        <v>0.0</v>
      </c>
      <c r="W211" s="107">
        <v>0.0</v>
      </c>
      <c r="X211" s="107">
        <v>0.0</v>
      </c>
      <c r="Y211" s="107">
        <v>0.0</v>
      </c>
      <c r="Z211" s="80">
        <v>0.0</v>
      </c>
      <c r="AA211" s="140">
        <v>0.0</v>
      </c>
      <c r="AB211" s="109">
        <v>0.0</v>
      </c>
      <c r="AC211" s="109">
        <v>0.0</v>
      </c>
      <c r="AD211" s="141">
        <v>0.0</v>
      </c>
      <c r="AE211" s="80">
        <v>0.0</v>
      </c>
      <c r="AF211" s="140">
        <v>74.0</v>
      </c>
      <c r="AG211" s="109">
        <v>89.0</v>
      </c>
      <c r="AH211" s="109">
        <v>0.0</v>
      </c>
      <c r="AI211" s="141">
        <v>0.0</v>
      </c>
      <c r="AJ211" s="80">
        <v>163.0</v>
      </c>
      <c r="AK211" s="140">
        <v>0.0</v>
      </c>
      <c r="AL211" s="109">
        <v>0.0</v>
      </c>
      <c r="AM211" s="141">
        <v>0.0</v>
      </c>
      <c r="AN211" s="80">
        <v>0.0</v>
      </c>
      <c r="AO211" s="140">
        <v>0.0</v>
      </c>
      <c r="AP211" s="109">
        <v>0.0</v>
      </c>
      <c r="AQ211" s="109">
        <v>42.0</v>
      </c>
      <c r="AR211" s="80">
        <v>42.0</v>
      </c>
      <c r="AS211" s="110">
        <v>0.0</v>
      </c>
      <c r="AT211" s="110">
        <v>0.0</v>
      </c>
      <c r="AU211" s="110">
        <v>0.0</v>
      </c>
      <c r="AV211" s="142">
        <v>0.0</v>
      </c>
      <c r="AW211" s="80">
        <v>0.0</v>
      </c>
      <c r="AX211" s="113">
        <v>205.0</v>
      </c>
      <c r="AY211" s="117">
        <v>163.0</v>
      </c>
      <c r="AZ211" s="328">
        <v>42.0</v>
      </c>
      <c r="BA211" s="315">
        <v>0.0</v>
      </c>
      <c r="BB211" s="316">
        <v>205.0</v>
      </c>
      <c r="BC211" s="132" t="s">
        <v>373</v>
      </c>
      <c r="BD211" s="132" t="s">
        <v>178</v>
      </c>
      <c r="BE211" s="132" t="s">
        <v>178</v>
      </c>
      <c r="BF211" s="123"/>
      <c r="BG211" s="83">
        <v>1178028.0</v>
      </c>
      <c r="BH211" s="112">
        <v>8.0</v>
      </c>
      <c r="BI211" s="98" t="s">
        <v>155</v>
      </c>
      <c r="BJ211" s="98" t="str">
        <f t="shared" si="1"/>
        <v>NÃO</v>
      </c>
      <c r="BK211" s="98" t="str">
        <f t="shared" si="2"/>
        <v>NÃO</v>
      </c>
    </row>
    <row r="212" ht="15.75" customHeight="1">
      <c r="A212" s="111" t="s">
        <v>285</v>
      </c>
      <c r="B212" s="83" t="s">
        <v>919</v>
      </c>
      <c r="C212" s="83" t="s">
        <v>68</v>
      </c>
      <c r="D212" s="83">
        <v>1176457.0</v>
      </c>
      <c r="E212" s="83"/>
      <c r="F212" s="83">
        <v>2.9390869E7</v>
      </c>
      <c r="G212" s="114" t="s">
        <v>929</v>
      </c>
      <c r="H212" s="91" t="s">
        <v>3993</v>
      </c>
      <c r="I212" s="114" t="s">
        <v>931</v>
      </c>
      <c r="J212" s="83" t="s">
        <v>150</v>
      </c>
      <c r="K212" s="83" t="s">
        <v>151</v>
      </c>
      <c r="L212" s="83" t="s">
        <v>230</v>
      </c>
      <c r="M212" s="82" t="s">
        <v>3994</v>
      </c>
      <c r="N212" s="82" t="s">
        <v>3995</v>
      </c>
      <c r="O212" s="82" t="s">
        <v>3996</v>
      </c>
      <c r="P212" s="82" t="s">
        <v>3997</v>
      </c>
      <c r="Q212" s="82" t="s">
        <v>3998</v>
      </c>
      <c r="R212" s="82" t="s">
        <v>3999</v>
      </c>
      <c r="S212" s="82" t="s">
        <v>4000</v>
      </c>
      <c r="T212" s="138">
        <v>20.0</v>
      </c>
      <c r="U212" s="323">
        <v>10.0</v>
      </c>
      <c r="V212" s="106">
        <v>0.0</v>
      </c>
      <c r="W212" s="107">
        <v>0.0</v>
      </c>
      <c r="X212" s="107">
        <v>0.0</v>
      </c>
      <c r="Y212" s="107">
        <v>0.0</v>
      </c>
      <c r="Z212" s="80">
        <v>0.0</v>
      </c>
      <c r="AA212" s="140">
        <v>0.0</v>
      </c>
      <c r="AB212" s="109">
        <v>0.0</v>
      </c>
      <c r="AC212" s="109">
        <v>0.0</v>
      </c>
      <c r="AD212" s="141">
        <v>0.0</v>
      </c>
      <c r="AE212" s="80">
        <v>0.0</v>
      </c>
      <c r="AF212" s="140">
        <v>0.0</v>
      </c>
      <c r="AG212" s="109">
        <v>0.0</v>
      </c>
      <c r="AH212" s="109">
        <v>0.0</v>
      </c>
      <c r="AI212" s="141">
        <v>0.0</v>
      </c>
      <c r="AJ212" s="80">
        <v>0.0</v>
      </c>
      <c r="AK212" s="140">
        <v>0.0</v>
      </c>
      <c r="AL212" s="109">
        <v>0.0</v>
      </c>
      <c r="AM212" s="141">
        <v>0.0</v>
      </c>
      <c r="AN212" s="80">
        <v>0.0</v>
      </c>
      <c r="AO212" s="140">
        <v>0.0</v>
      </c>
      <c r="AP212" s="109">
        <v>0.0</v>
      </c>
      <c r="AQ212" s="109">
        <v>0.0</v>
      </c>
      <c r="AR212" s="80">
        <v>0.0</v>
      </c>
      <c r="AS212" s="110">
        <v>211.0</v>
      </c>
      <c r="AT212" s="110">
        <v>115.0</v>
      </c>
      <c r="AU212" s="110">
        <v>124.0</v>
      </c>
      <c r="AV212" s="142">
        <v>0.0</v>
      </c>
      <c r="AW212" s="80">
        <v>450.0</v>
      </c>
      <c r="AX212" s="113">
        <v>450.0</v>
      </c>
      <c r="AY212" s="117">
        <v>326.0</v>
      </c>
      <c r="AZ212" s="328">
        <v>124.0</v>
      </c>
      <c r="BA212" s="315">
        <v>2.0</v>
      </c>
      <c r="BB212" s="316">
        <v>452.0</v>
      </c>
      <c r="BC212" s="132" t="s">
        <v>178</v>
      </c>
      <c r="BD212" s="132" t="s">
        <v>522</v>
      </c>
      <c r="BE212" s="132" t="s">
        <v>178</v>
      </c>
      <c r="BF212" s="156"/>
      <c r="BG212" s="83">
        <v>1176457.0</v>
      </c>
      <c r="BH212" s="112">
        <v>10.0</v>
      </c>
      <c r="BI212" s="98" t="s">
        <v>155</v>
      </c>
      <c r="BJ212" s="98" t="str">
        <f t="shared" si="1"/>
        <v>NÃO</v>
      </c>
      <c r="BK212" s="98" t="str">
        <f t="shared" si="2"/>
        <v>PROFISSIONAL</v>
      </c>
    </row>
    <row r="213" ht="15.75" customHeight="1">
      <c r="A213" s="111" t="s">
        <v>285</v>
      </c>
      <c r="B213" s="83" t="s">
        <v>919</v>
      </c>
      <c r="C213" s="83" t="s">
        <v>164</v>
      </c>
      <c r="D213" s="83">
        <v>1179283.0</v>
      </c>
      <c r="E213" s="83">
        <v>1179091.0</v>
      </c>
      <c r="F213" s="83"/>
      <c r="G213" s="114" t="s">
        <v>933</v>
      </c>
      <c r="H213" s="91" t="s">
        <v>934</v>
      </c>
      <c r="I213" s="187" t="s">
        <v>935</v>
      </c>
      <c r="J213" s="83" t="s">
        <v>767</v>
      </c>
      <c r="K213" s="83" t="s">
        <v>151</v>
      </c>
      <c r="L213" s="83" t="s">
        <v>169</v>
      </c>
      <c r="M213" s="82" t="s">
        <v>3752</v>
      </c>
      <c r="N213" s="82" t="s">
        <v>3753</v>
      </c>
      <c r="O213" s="82" t="s">
        <v>3754</v>
      </c>
      <c r="P213" s="82" t="s">
        <v>3755</v>
      </c>
      <c r="Q213" s="82" t="s">
        <v>3756</v>
      </c>
      <c r="R213" s="82" t="s">
        <v>3757</v>
      </c>
      <c r="S213" s="82" t="s">
        <v>3758</v>
      </c>
      <c r="T213" s="138">
        <v>3.0</v>
      </c>
      <c r="U213" s="323">
        <v>3.0</v>
      </c>
      <c r="V213" s="106">
        <v>0.0</v>
      </c>
      <c r="W213" s="107">
        <v>0.0</v>
      </c>
      <c r="X213" s="107">
        <v>0.0</v>
      </c>
      <c r="Y213" s="107">
        <v>0.0</v>
      </c>
      <c r="Z213" s="80">
        <v>0.0</v>
      </c>
      <c r="AA213" s="140">
        <v>0.0</v>
      </c>
      <c r="AB213" s="109">
        <v>0.0</v>
      </c>
      <c r="AC213" s="109">
        <v>0.0</v>
      </c>
      <c r="AD213" s="141">
        <v>0.0</v>
      </c>
      <c r="AE213" s="80">
        <v>0.0</v>
      </c>
      <c r="AF213" s="140">
        <v>0.0</v>
      </c>
      <c r="AG213" s="109">
        <v>0.0</v>
      </c>
      <c r="AH213" s="109">
        <v>41.0</v>
      </c>
      <c r="AI213" s="141">
        <v>0.0</v>
      </c>
      <c r="AJ213" s="80">
        <v>41.0</v>
      </c>
      <c r="AK213" s="140">
        <v>0.0</v>
      </c>
      <c r="AL213" s="109">
        <v>0.0</v>
      </c>
      <c r="AM213" s="141">
        <v>0.0</v>
      </c>
      <c r="AN213" s="80">
        <v>0.0</v>
      </c>
      <c r="AO213" s="140">
        <v>0.0</v>
      </c>
      <c r="AP213" s="109">
        <v>0.0</v>
      </c>
      <c r="AQ213" s="109">
        <v>0.0</v>
      </c>
      <c r="AR213" s="80">
        <v>0.0</v>
      </c>
      <c r="AS213" s="110">
        <v>0.0</v>
      </c>
      <c r="AT213" s="110">
        <v>0.0</v>
      </c>
      <c r="AU213" s="110">
        <v>0.0</v>
      </c>
      <c r="AV213" s="142">
        <v>0.0</v>
      </c>
      <c r="AW213" s="80">
        <v>0.0</v>
      </c>
      <c r="AX213" s="113">
        <v>41.0</v>
      </c>
      <c r="AY213" s="117">
        <v>0.0</v>
      </c>
      <c r="AZ213" s="328">
        <v>41.0</v>
      </c>
      <c r="BA213" s="315">
        <v>0.0</v>
      </c>
      <c r="BB213" s="316">
        <v>41.0</v>
      </c>
      <c r="BC213" s="132" t="s">
        <v>265</v>
      </c>
      <c r="BD213" s="183" t="s">
        <v>227</v>
      </c>
      <c r="BE213" s="132" t="s">
        <v>178</v>
      </c>
      <c r="BF213" s="156"/>
      <c r="BG213" s="83">
        <v>1179091.0</v>
      </c>
      <c r="BH213" s="112">
        <v>3.0</v>
      </c>
      <c r="BI213" s="98" t="s">
        <v>155</v>
      </c>
      <c r="BJ213" s="98" t="str">
        <f t="shared" si="1"/>
        <v>NÃO</v>
      </c>
      <c r="BK213" s="98" t="str">
        <f t="shared" si="2"/>
        <v>NÃO</v>
      </c>
    </row>
    <row r="214" ht="15.75" customHeight="1">
      <c r="A214" s="111" t="s">
        <v>285</v>
      </c>
      <c r="B214" s="83" t="s">
        <v>919</v>
      </c>
      <c r="C214" s="83" t="s">
        <v>164</v>
      </c>
      <c r="D214" s="83">
        <v>1179283.0</v>
      </c>
      <c r="E214" s="83">
        <v>1178716.0</v>
      </c>
      <c r="F214" s="83"/>
      <c r="G214" s="114" t="s">
        <v>936</v>
      </c>
      <c r="H214" s="91" t="s">
        <v>937</v>
      </c>
      <c r="I214" s="187" t="s">
        <v>938</v>
      </c>
      <c r="J214" s="83" t="s">
        <v>939</v>
      </c>
      <c r="K214" s="83" t="s">
        <v>168</v>
      </c>
      <c r="L214" s="83" t="s">
        <v>169</v>
      </c>
      <c r="M214" s="82" t="s">
        <v>3752</v>
      </c>
      <c r="N214" s="82" t="s">
        <v>3753</v>
      </c>
      <c r="O214" s="82" t="s">
        <v>3754</v>
      </c>
      <c r="P214" s="82" t="s">
        <v>3755</v>
      </c>
      <c r="Q214" s="82" t="s">
        <v>3756</v>
      </c>
      <c r="R214" s="82" t="s">
        <v>3757</v>
      </c>
      <c r="S214" s="82" t="s">
        <v>3758</v>
      </c>
      <c r="T214" s="138">
        <v>2.0</v>
      </c>
      <c r="U214" s="323">
        <v>2.0</v>
      </c>
      <c r="V214" s="106">
        <v>0.0</v>
      </c>
      <c r="W214" s="107">
        <v>0.0</v>
      </c>
      <c r="X214" s="107">
        <v>0.0</v>
      </c>
      <c r="Y214" s="107">
        <v>0.0</v>
      </c>
      <c r="Z214" s="80">
        <v>0.0</v>
      </c>
      <c r="AA214" s="140">
        <v>0.0</v>
      </c>
      <c r="AB214" s="109">
        <v>0.0</v>
      </c>
      <c r="AC214" s="109">
        <v>0.0</v>
      </c>
      <c r="AD214" s="141">
        <v>0.0</v>
      </c>
      <c r="AE214" s="80">
        <v>0.0</v>
      </c>
      <c r="AF214" s="140">
        <v>0.0</v>
      </c>
      <c r="AG214" s="109">
        <v>10.0</v>
      </c>
      <c r="AH214" s="109">
        <v>3.0</v>
      </c>
      <c r="AI214" s="141">
        <v>0.0</v>
      </c>
      <c r="AJ214" s="80">
        <v>13.0</v>
      </c>
      <c r="AK214" s="140">
        <v>0.0</v>
      </c>
      <c r="AL214" s="109">
        <v>0.0</v>
      </c>
      <c r="AM214" s="141">
        <v>0.0</v>
      </c>
      <c r="AN214" s="80">
        <v>0.0</v>
      </c>
      <c r="AO214" s="140">
        <v>0.0</v>
      </c>
      <c r="AP214" s="109">
        <v>0.0</v>
      </c>
      <c r="AQ214" s="109">
        <v>0.0</v>
      </c>
      <c r="AR214" s="80">
        <v>0.0</v>
      </c>
      <c r="AS214" s="110">
        <v>0.0</v>
      </c>
      <c r="AT214" s="110">
        <v>0.0</v>
      </c>
      <c r="AU214" s="110">
        <v>0.0</v>
      </c>
      <c r="AV214" s="142">
        <v>0.0</v>
      </c>
      <c r="AW214" s="80">
        <v>0.0</v>
      </c>
      <c r="AX214" s="113">
        <v>13.0</v>
      </c>
      <c r="AY214" s="117">
        <v>10.0</v>
      </c>
      <c r="AZ214" s="328">
        <v>3.0</v>
      </c>
      <c r="BA214" s="315">
        <v>0.0</v>
      </c>
      <c r="BB214" s="316">
        <v>13.0</v>
      </c>
      <c r="BC214" s="132" t="s">
        <v>178</v>
      </c>
      <c r="BD214" s="143" t="s">
        <v>227</v>
      </c>
      <c r="BE214" s="132" t="s">
        <v>178</v>
      </c>
      <c r="BF214" s="123"/>
      <c r="BG214" s="83">
        <v>1178716.0</v>
      </c>
      <c r="BH214" s="112">
        <v>2.0</v>
      </c>
      <c r="BI214" s="98" t="s">
        <v>155</v>
      </c>
      <c r="BJ214" s="98" t="str">
        <f t="shared" si="1"/>
        <v>NÃO</v>
      </c>
      <c r="BK214" s="98" t="str">
        <f t="shared" si="2"/>
        <v>NÃO</v>
      </c>
    </row>
    <row r="215" ht="15.75" customHeight="1">
      <c r="A215" s="111" t="s">
        <v>285</v>
      </c>
      <c r="B215" s="83" t="s">
        <v>940</v>
      </c>
      <c r="C215" s="83" t="s">
        <v>68</v>
      </c>
      <c r="D215" s="83">
        <v>1132468.0</v>
      </c>
      <c r="E215" s="83"/>
      <c r="F215" s="83">
        <v>2.9216818E7</v>
      </c>
      <c r="G215" s="114" t="s">
        <v>895</v>
      </c>
      <c r="H215" s="91" t="s">
        <v>942</v>
      </c>
      <c r="I215" s="114" t="s">
        <v>149</v>
      </c>
      <c r="J215" s="83" t="s">
        <v>150</v>
      </c>
      <c r="K215" s="83" t="s">
        <v>151</v>
      </c>
      <c r="L215" s="83" t="s">
        <v>152</v>
      </c>
      <c r="M215" s="82" t="s">
        <v>4015</v>
      </c>
      <c r="N215" s="82" t="s">
        <v>4016</v>
      </c>
      <c r="O215" s="82" t="s">
        <v>4017</v>
      </c>
      <c r="P215" s="82" t="s">
        <v>4018</v>
      </c>
      <c r="Q215" s="82"/>
      <c r="R215" s="82"/>
      <c r="S215" s="82" t="s">
        <v>4019</v>
      </c>
      <c r="T215" s="138">
        <v>12.0</v>
      </c>
      <c r="U215" s="339" t="s">
        <v>4020</v>
      </c>
      <c r="V215" s="106">
        <v>0.0</v>
      </c>
      <c r="W215" s="107">
        <v>0.0</v>
      </c>
      <c r="X215" s="107">
        <v>0.0</v>
      </c>
      <c r="Y215" s="107">
        <v>0.0</v>
      </c>
      <c r="Z215" s="80">
        <v>0.0</v>
      </c>
      <c r="AA215" s="140">
        <v>0.0</v>
      </c>
      <c r="AB215" s="109">
        <v>0.0</v>
      </c>
      <c r="AC215" s="109">
        <v>0.0</v>
      </c>
      <c r="AD215" s="141">
        <v>0.0</v>
      </c>
      <c r="AE215" s="80">
        <v>0.0</v>
      </c>
      <c r="AF215" s="140">
        <v>172.0</v>
      </c>
      <c r="AG215" s="109">
        <v>0.0</v>
      </c>
      <c r="AH215" s="109">
        <v>15.0</v>
      </c>
      <c r="AI215" s="141">
        <v>0.0</v>
      </c>
      <c r="AJ215" s="80">
        <v>187.0</v>
      </c>
      <c r="AK215" s="140">
        <v>0.0</v>
      </c>
      <c r="AL215" s="109">
        <v>0.0</v>
      </c>
      <c r="AM215" s="141">
        <v>0.0</v>
      </c>
      <c r="AN215" s="80">
        <v>0.0</v>
      </c>
      <c r="AO215" s="140">
        <v>0.0</v>
      </c>
      <c r="AP215" s="109">
        <v>0.0</v>
      </c>
      <c r="AQ215" s="109">
        <v>85.0</v>
      </c>
      <c r="AR215" s="80">
        <v>85.0</v>
      </c>
      <c r="AS215" s="110">
        <v>88.0</v>
      </c>
      <c r="AT215" s="110">
        <v>0.0</v>
      </c>
      <c r="AU215" s="110">
        <v>0.0</v>
      </c>
      <c r="AV215" s="142">
        <v>0.0</v>
      </c>
      <c r="AW215" s="80">
        <v>88.0</v>
      </c>
      <c r="AX215" s="113">
        <v>360.0</v>
      </c>
      <c r="AY215" s="117">
        <v>260.0</v>
      </c>
      <c r="AZ215" s="328">
        <v>100.0</v>
      </c>
      <c r="BA215" s="315">
        <v>0.0</v>
      </c>
      <c r="BB215" s="316">
        <v>360.0</v>
      </c>
      <c r="BC215" s="132" t="s">
        <v>178</v>
      </c>
      <c r="BD215" s="132" t="s">
        <v>178</v>
      </c>
      <c r="BE215" s="132" t="s">
        <v>178</v>
      </c>
      <c r="BF215" s="156"/>
      <c r="BG215" s="83">
        <v>1132468.0</v>
      </c>
      <c r="BH215" s="112">
        <v>11.0</v>
      </c>
      <c r="BI215" s="98" t="s">
        <v>155</v>
      </c>
      <c r="BJ215" s="98" t="str">
        <f t="shared" si="1"/>
        <v>NÃO</v>
      </c>
      <c r="BK215" s="98" t="str">
        <f t="shared" si="2"/>
        <v>PROFISSIONAL</v>
      </c>
    </row>
    <row r="216" ht="15.75" customHeight="1">
      <c r="A216" s="111" t="s">
        <v>285</v>
      </c>
      <c r="B216" s="83" t="s">
        <v>940</v>
      </c>
      <c r="C216" s="83" t="s">
        <v>164</v>
      </c>
      <c r="D216" s="83">
        <v>1132468.0</v>
      </c>
      <c r="E216" s="83">
        <v>1178963.0</v>
      </c>
      <c r="F216" s="83"/>
      <c r="G216" s="114" t="s">
        <v>4021</v>
      </c>
      <c r="H216" s="91" t="s">
        <v>946</v>
      </c>
      <c r="I216" s="114" t="s">
        <v>149</v>
      </c>
      <c r="J216" s="83" t="s">
        <v>183</v>
      </c>
      <c r="K216" s="83" t="s">
        <v>151</v>
      </c>
      <c r="L216" s="83" t="s">
        <v>169</v>
      </c>
      <c r="M216" s="82" t="s">
        <v>4015</v>
      </c>
      <c r="N216" s="82" t="s">
        <v>4016</v>
      </c>
      <c r="O216" s="82" t="s">
        <v>4017</v>
      </c>
      <c r="P216" s="82" t="s">
        <v>4018</v>
      </c>
      <c r="Q216" s="82"/>
      <c r="R216" s="82"/>
      <c r="S216" s="82" t="s">
        <v>4019</v>
      </c>
      <c r="T216" s="138">
        <v>3.0</v>
      </c>
      <c r="U216" s="323">
        <v>3.0</v>
      </c>
      <c r="V216" s="106">
        <v>0.0</v>
      </c>
      <c r="W216" s="107">
        <v>0.0</v>
      </c>
      <c r="X216" s="107">
        <v>0.0</v>
      </c>
      <c r="Y216" s="107">
        <v>0.0</v>
      </c>
      <c r="Z216" s="80">
        <v>0.0</v>
      </c>
      <c r="AA216" s="140">
        <v>0.0</v>
      </c>
      <c r="AB216" s="109">
        <v>0.0</v>
      </c>
      <c r="AC216" s="109">
        <v>0.0</v>
      </c>
      <c r="AD216" s="141">
        <v>0.0</v>
      </c>
      <c r="AE216" s="80">
        <v>0.0</v>
      </c>
      <c r="AF216" s="140">
        <v>0.0</v>
      </c>
      <c r="AG216" s="109">
        <v>55.0</v>
      </c>
      <c r="AH216" s="109">
        <v>0.0</v>
      </c>
      <c r="AI216" s="141">
        <v>0.0</v>
      </c>
      <c r="AJ216" s="80">
        <v>55.0</v>
      </c>
      <c r="AK216" s="140">
        <v>0.0</v>
      </c>
      <c r="AL216" s="109">
        <v>0.0</v>
      </c>
      <c r="AM216" s="141">
        <v>0.0</v>
      </c>
      <c r="AN216" s="80">
        <v>0.0</v>
      </c>
      <c r="AO216" s="140">
        <v>0.0</v>
      </c>
      <c r="AP216" s="109">
        <v>0.0</v>
      </c>
      <c r="AQ216" s="109">
        <v>0.0</v>
      </c>
      <c r="AR216" s="80">
        <v>0.0</v>
      </c>
      <c r="AS216" s="110">
        <v>0.0</v>
      </c>
      <c r="AT216" s="110">
        <v>0.0</v>
      </c>
      <c r="AU216" s="110">
        <v>0.0</v>
      </c>
      <c r="AV216" s="142">
        <v>0.0</v>
      </c>
      <c r="AW216" s="80">
        <v>0.0</v>
      </c>
      <c r="AX216" s="113">
        <v>55.0</v>
      </c>
      <c r="AY216" s="117">
        <v>55.0</v>
      </c>
      <c r="AZ216" s="328">
        <v>0.0</v>
      </c>
      <c r="BA216" s="315">
        <v>0.0</v>
      </c>
      <c r="BB216" s="316">
        <v>55.0</v>
      </c>
      <c r="BC216" s="132" t="s">
        <v>373</v>
      </c>
      <c r="BD216" s="132" t="s">
        <v>178</v>
      </c>
      <c r="BE216" s="132" t="s">
        <v>178</v>
      </c>
      <c r="BF216" s="123"/>
      <c r="BG216" s="83">
        <v>1178963.0</v>
      </c>
      <c r="BH216" s="112">
        <v>3.0</v>
      </c>
      <c r="BI216" s="98" t="s">
        <v>155</v>
      </c>
      <c r="BJ216" s="98" t="str">
        <f t="shared" si="1"/>
        <v>NÃO</v>
      </c>
      <c r="BK216" s="98" t="str">
        <f t="shared" si="2"/>
        <v>NÃO</v>
      </c>
    </row>
    <row r="217" ht="15.75" customHeight="1">
      <c r="A217" s="111" t="s">
        <v>285</v>
      </c>
      <c r="B217" s="83" t="s">
        <v>940</v>
      </c>
      <c r="C217" s="83" t="s">
        <v>164</v>
      </c>
      <c r="D217" s="83">
        <v>1132468.0</v>
      </c>
      <c r="E217" s="83">
        <v>1178962.0</v>
      </c>
      <c r="F217" s="83"/>
      <c r="G217" s="114" t="s">
        <v>4026</v>
      </c>
      <c r="H217" s="91" t="s">
        <v>949</v>
      </c>
      <c r="I217" s="114" t="s">
        <v>149</v>
      </c>
      <c r="J217" s="83" t="s">
        <v>331</v>
      </c>
      <c r="K217" s="83" t="s">
        <v>168</v>
      </c>
      <c r="L217" s="83" t="s">
        <v>169</v>
      </c>
      <c r="M217" s="82" t="s">
        <v>4015</v>
      </c>
      <c r="N217" s="82" t="s">
        <v>4016</v>
      </c>
      <c r="O217" s="82" t="s">
        <v>4017</v>
      </c>
      <c r="P217" s="82" t="s">
        <v>4018</v>
      </c>
      <c r="Q217" s="82"/>
      <c r="R217" s="82"/>
      <c r="S217" s="82" t="s">
        <v>4019</v>
      </c>
      <c r="T217" s="138">
        <v>3.0</v>
      </c>
      <c r="U217" s="323">
        <v>3.0</v>
      </c>
      <c r="V217" s="106">
        <v>0.0</v>
      </c>
      <c r="W217" s="107">
        <v>0.0</v>
      </c>
      <c r="X217" s="107">
        <v>0.0</v>
      </c>
      <c r="Y217" s="107">
        <v>0.0</v>
      </c>
      <c r="Z217" s="80">
        <v>0.0</v>
      </c>
      <c r="AA217" s="140">
        <v>0.0</v>
      </c>
      <c r="AB217" s="109">
        <v>0.0</v>
      </c>
      <c r="AC217" s="109">
        <v>0.0</v>
      </c>
      <c r="AD217" s="141">
        <v>0.0</v>
      </c>
      <c r="AE217" s="80">
        <v>0.0</v>
      </c>
      <c r="AF217" s="140">
        <v>61.0</v>
      </c>
      <c r="AG217" s="109">
        <v>0.0</v>
      </c>
      <c r="AH217" s="109">
        <v>11.0</v>
      </c>
      <c r="AI217" s="141">
        <v>0.0</v>
      </c>
      <c r="AJ217" s="80">
        <v>72.0</v>
      </c>
      <c r="AK217" s="140">
        <v>0.0</v>
      </c>
      <c r="AL217" s="109">
        <v>0.0</v>
      </c>
      <c r="AM217" s="141">
        <v>0.0</v>
      </c>
      <c r="AN217" s="80">
        <v>0.0</v>
      </c>
      <c r="AO217" s="140">
        <v>0.0</v>
      </c>
      <c r="AP217" s="109">
        <v>0.0</v>
      </c>
      <c r="AQ217" s="109">
        <v>5.0</v>
      </c>
      <c r="AR217" s="80">
        <v>5.0</v>
      </c>
      <c r="AS217" s="110">
        <v>0.0</v>
      </c>
      <c r="AT217" s="110">
        <v>0.0</v>
      </c>
      <c r="AU217" s="110">
        <v>0.0</v>
      </c>
      <c r="AV217" s="142">
        <v>0.0</v>
      </c>
      <c r="AW217" s="80">
        <v>0.0</v>
      </c>
      <c r="AX217" s="113">
        <v>77.0</v>
      </c>
      <c r="AY217" s="117">
        <v>61.0</v>
      </c>
      <c r="AZ217" s="328">
        <v>16.0</v>
      </c>
      <c r="BA217" s="315">
        <v>0.0</v>
      </c>
      <c r="BB217" s="316">
        <v>77.0</v>
      </c>
      <c r="BC217" s="132" t="s">
        <v>373</v>
      </c>
      <c r="BD217" s="132" t="s">
        <v>178</v>
      </c>
      <c r="BE217" s="132" t="s">
        <v>178</v>
      </c>
      <c r="BF217" s="123"/>
      <c r="BG217" s="83">
        <v>1178962.0</v>
      </c>
      <c r="BH217" s="112">
        <v>3.0</v>
      </c>
      <c r="BI217" s="98" t="s">
        <v>155</v>
      </c>
      <c r="BJ217" s="98" t="str">
        <f t="shared" si="1"/>
        <v>NÃO</v>
      </c>
      <c r="BK217" s="98" t="str">
        <f t="shared" si="2"/>
        <v>NÃO</v>
      </c>
    </row>
    <row r="218" ht="15.75" customHeight="1">
      <c r="A218" s="111" t="s">
        <v>285</v>
      </c>
      <c r="B218" s="83" t="s">
        <v>950</v>
      </c>
      <c r="C218" s="83" t="s">
        <v>68</v>
      </c>
      <c r="D218" s="83">
        <v>1178029.0</v>
      </c>
      <c r="E218" s="83"/>
      <c r="F218" s="83">
        <v>2.9425123E7</v>
      </c>
      <c r="G218" s="119" t="s">
        <v>951</v>
      </c>
      <c r="H218" s="91" t="s">
        <v>952</v>
      </c>
      <c r="I218" s="114" t="s">
        <v>149</v>
      </c>
      <c r="J218" s="83" t="s">
        <v>150</v>
      </c>
      <c r="K218" s="83" t="s">
        <v>151</v>
      </c>
      <c r="L218" s="83" t="s">
        <v>76</v>
      </c>
      <c r="M218" s="82" t="s">
        <v>4030</v>
      </c>
      <c r="N218" s="82" t="s">
        <v>4031</v>
      </c>
      <c r="O218" s="82" t="s">
        <v>4032</v>
      </c>
      <c r="P218" s="82" t="s">
        <v>4033</v>
      </c>
      <c r="Q218" s="82" t="s">
        <v>4034</v>
      </c>
      <c r="R218" s="82" t="s">
        <v>4036</v>
      </c>
      <c r="S218" s="82" t="s">
        <v>4037</v>
      </c>
      <c r="T218" s="138">
        <v>7.0</v>
      </c>
      <c r="U218" s="341">
        <v>6.0</v>
      </c>
      <c r="V218" s="106">
        <v>0.0</v>
      </c>
      <c r="W218" s="107">
        <v>0.0</v>
      </c>
      <c r="X218" s="107">
        <v>0.0</v>
      </c>
      <c r="Y218" s="107">
        <v>0.0</v>
      </c>
      <c r="Z218" s="80">
        <v>0.0</v>
      </c>
      <c r="AA218" s="140">
        <v>0.0</v>
      </c>
      <c r="AB218" s="109">
        <v>0.0</v>
      </c>
      <c r="AC218" s="109">
        <v>0.0</v>
      </c>
      <c r="AD218" s="141">
        <v>0.0</v>
      </c>
      <c r="AE218" s="80">
        <v>0.0</v>
      </c>
      <c r="AF218" s="140">
        <v>124.0</v>
      </c>
      <c r="AG218" s="109">
        <v>122.0</v>
      </c>
      <c r="AH218" s="109">
        <v>0.0</v>
      </c>
      <c r="AI218" s="141">
        <v>40.0</v>
      </c>
      <c r="AJ218" s="80">
        <v>286.0</v>
      </c>
      <c r="AK218" s="140">
        <v>0.0</v>
      </c>
      <c r="AL218" s="109">
        <v>0.0</v>
      </c>
      <c r="AM218" s="141">
        <v>0.0</v>
      </c>
      <c r="AN218" s="80">
        <v>0.0</v>
      </c>
      <c r="AO218" s="140">
        <v>0.0</v>
      </c>
      <c r="AP218" s="109">
        <v>0.0</v>
      </c>
      <c r="AQ218" s="109">
        <v>39.0</v>
      </c>
      <c r="AR218" s="80">
        <v>39.0</v>
      </c>
      <c r="AS218" s="110">
        <v>0.0</v>
      </c>
      <c r="AT218" s="110">
        <v>0.0</v>
      </c>
      <c r="AU218" s="110">
        <v>0.0</v>
      </c>
      <c r="AV218" s="142">
        <v>0.0</v>
      </c>
      <c r="AW218" s="80">
        <v>0.0</v>
      </c>
      <c r="AX218" s="113">
        <v>325.0</v>
      </c>
      <c r="AY218" s="117">
        <v>286.0</v>
      </c>
      <c r="AZ218" s="328">
        <v>39.0</v>
      </c>
      <c r="BA218" s="315">
        <v>0.0</v>
      </c>
      <c r="BB218" s="316">
        <v>325.0</v>
      </c>
      <c r="BC218" s="132" t="s">
        <v>178</v>
      </c>
      <c r="BD218" s="132" t="s">
        <v>178</v>
      </c>
      <c r="BE218" s="132" t="s">
        <v>178</v>
      </c>
      <c r="BF218" s="123"/>
      <c r="BG218" s="83">
        <v>1178029.0</v>
      </c>
      <c r="BH218" s="98">
        <v>6.0</v>
      </c>
      <c r="BI218" s="98" t="s">
        <v>155</v>
      </c>
      <c r="BJ218" s="98" t="str">
        <f t="shared" si="1"/>
        <v>INTEGRAL</v>
      </c>
      <c r="BK218" s="98" t="str">
        <f t="shared" si="2"/>
        <v>NÃO</v>
      </c>
    </row>
    <row r="219" ht="15.75" customHeight="1">
      <c r="A219" s="111" t="s">
        <v>285</v>
      </c>
      <c r="B219" s="83" t="s">
        <v>955</v>
      </c>
      <c r="C219" s="83" t="s">
        <v>68</v>
      </c>
      <c r="D219" s="83">
        <v>1164491.0</v>
      </c>
      <c r="E219" s="83"/>
      <c r="F219" s="83">
        <v>2.9209994E7</v>
      </c>
      <c r="G219" s="114" t="s">
        <v>956</v>
      </c>
      <c r="H219" s="91" t="s">
        <v>957</v>
      </c>
      <c r="I219" s="114" t="s">
        <v>149</v>
      </c>
      <c r="J219" s="83" t="s">
        <v>150</v>
      </c>
      <c r="K219" s="83" t="s">
        <v>151</v>
      </c>
      <c r="L219" s="83" t="s">
        <v>76</v>
      </c>
      <c r="M219" s="82" t="s">
        <v>4042</v>
      </c>
      <c r="N219" s="82" t="s">
        <v>4043</v>
      </c>
      <c r="O219" s="82" t="s">
        <v>4045</v>
      </c>
      <c r="P219" s="82" t="s">
        <v>4047</v>
      </c>
      <c r="Q219" s="82"/>
      <c r="R219" s="82"/>
      <c r="S219" s="82" t="s">
        <v>4048</v>
      </c>
      <c r="T219" s="138">
        <v>8.0</v>
      </c>
      <c r="U219" s="339" t="s">
        <v>4050</v>
      </c>
      <c r="V219" s="106">
        <v>0.0</v>
      </c>
      <c r="W219" s="107">
        <v>0.0</v>
      </c>
      <c r="X219" s="107">
        <v>0.0</v>
      </c>
      <c r="Y219" s="107">
        <v>0.0</v>
      </c>
      <c r="Z219" s="80">
        <v>0.0</v>
      </c>
      <c r="AA219" s="140">
        <v>0.0</v>
      </c>
      <c r="AB219" s="109">
        <v>0.0</v>
      </c>
      <c r="AC219" s="109">
        <v>0.0</v>
      </c>
      <c r="AD219" s="141">
        <v>0.0</v>
      </c>
      <c r="AE219" s="80">
        <v>0.0</v>
      </c>
      <c r="AF219" s="140">
        <v>253.0</v>
      </c>
      <c r="AG219" s="109">
        <v>0.0</v>
      </c>
      <c r="AH219" s="109">
        <v>14.0</v>
      </c>
      <c r="AI219" s="141">
        <v>0.0</v>
      </c>
      <c r="AJ219" s="80">
        <v>267.0</v>
      </c>
      <c r="AK219" s="140">
        <v>0.0</v>
      </c>
      <c r="AL219" s="109">
        <v>0.0</v>
      </c>
      <c r="AM219" s="141">
        <v>0.0</v>
      </c>
      <c r="AN219" s="80">
        <v>0.0</v>
      </c>
      <c r="AO219" s="140">
        <v>0.0</v>
      </c>
      <c r="AP219" s="109">
        <v>0.0</v>
      </c>
      <c r="AQ219" s="109">
        <v>45.0</v>
      </c>
      <c r="AR219" s="80">
        <v>45.0</v>
      </c>
      <c r="AS219" s="110">
        <v>0.0</v>
      </c>
      <c r="AT219" s="110">
        <v>0.0</v>
      </c>
      <c r="AU219" s="110">
        <v>0.0</v>
      </c>
      <c r="AV219" s="142">
        <v>0.0</v>
      </c>
      <c r="AW219" s="80">
        <v>0.0</v>
      </c>
      <c r="AX219" s="113">
        <v>312.0</v>
      </c>
      <c r="AY219" s="117">
        <v>253.0</v>
      </c>
      <c r="AZ219" s="328">
        <v>59.0</v>
      </c>
      <c r="BA219" s="315">
        <v>0.0</v>
      </c>
      <c r="BB219" s="316">
        <v>312.0</v>
      </c>
      <c r="BC219" s="132" t="s">
        <v>178</v>
      </c>
      <c r="BD219" s="132" t="s">
        <v>178</v>
      </c>
      <c r="BE219" s="132" t="s">
        <v>178</v>
      </c>
      <c r="BF219" s="156"/>
      <c r="BG219" s="83">
        <v>1164491.0</v>
      </c>
      <c r="BH219" s="112">
        <v>8.0</v>
      </c>
      <c r="BI219" s="98" t="s">
        <v>155</v>
      </c>
      <c r="BJ219" s="98" t="str">
        <f t="shared" si="1"/>
        <v>NÃO</v>
      </c>
      <c r="BK219" s="98" t="str">
        <f t="shared" si="2"/>
        <v>NÃO</v>
      </c>
    </row>
    <row r="220" ht="15.75" customHeight="1">
      <c r="A220" s="111" t="s">
        <v>285</v>
      </c>
      <c r="B220" s="83" t="s">
        <v>955</v>
      </c>
      <c r="C220" s="83" t="s">
        <v>164</v>
      </c>
      <c r="D220" s="83">
        <v>1164491.0</v>
      </c>
      <c r="E220" s="83">
        <v>1178964.0</v>
      </c>
      <c r="F220" s="83"/>
      <c r="G220" s="114" t="s">
        <v>4054</v>
      </c>
      <c r="H220" s="91" t="s">
        <v>960</v>
      </c>
      <c r="I220" s="114" t="s">
        <v>149</v>
      </c>
      <c r="J220" s="83" t="s">
        <v>187</v>
      </c>
      <c r="K220" s="83" t="s">
        <v>168</v>
      </c>
      <c r="L220" s="83" t="s">
        <v>169</v>
      </c>
      <c r="M220" s="82" t="s">
        <v>4042</v>
      </c>
      <c r="N220" s="82" t="s">
        <v>4043</v>
      </c>
      <c r="O220" s="82" t="s">
        <v>4045</v>
      </c>
      <c r="P220" s="82" t="s">
        <v>4047</v>
      </c>
      <c r="Q220" s="82"/>
      <c r="R220" s="82"/>
      <c r="S220" s="82" t="s">
        <v>4048</v>
      </c>
      <c r="T220" s="138">
        <v>3.0</v>
      </c>
      <c r="U220" s="323">
        <v>3.0</v>
      </c>
      <c r="V220" s="106">
        <v>0.0</v>
      </c>
      <c r="W220" s="107">
        <v>0.0</v>
      </c>
      <c r="X220" s="107">
        <v>0.0</v>
      </c>
      <c r="Y220" s="107">
        <v>0.0</v>
      </c>
      <c r="Z220" s="80">
        <v>0.0</v>
      </c>
      <c r="AA220" s="140">
        <v>0.0</v>
      </c>
      <c r="AB220" s="109">
        <v>0.0</v>
      </c>
      <c r="AC220" s="109">
        <v>0.0</v>
      </c>
      <c r="AD220" s="141">
        <v>0.0</v>
      </c>
      <c r="AE220" s="80">
        <v>0.0</v>
      </c>
      <c r="AF220" s="140">
        <v>0.0</v>
      </c>
      <c r="AG220" s="109">
        <v>15.0</v>
      </c>
      <c r="AH220" s="109">
        <v>18.0</v>
      </c>
      <c r="AI220" s="141">
        <v>0.0</v>
      </c>
      <c r="AJ220" s="80">
        <v>33.0</v>
      </c>
      <c r="AK220" s="140">
        <v>0.0</v>
      </c>
      <c r="AL220" s="109">
        <v>0.0</v>
      </c>
      <c r="AM220" s="141">
        <v>0.0</v>
      </c>
      <c r="AN220" s="80">
        <v>0.0</v>
      </c>
      <c r="AO220" s="140">
        <v>0.0</v>
      </c>
      <c r="AP220" s="109">
        <v>0.0</v>
      </c>
      <c r="AQ220" s="109">
        <v>22.0</v>
      </c>
      <c r="AR220" s="80">
        <v>22.0</v>
      </c>
      <c r="AS220" s="110">
        <v>0.0</v>
      </c>
      <c r="AT220" s="110">
        <v>0.0</v>
      </c>
      <c r="AU220" s="110">
        <v>0.0</v>
      </c>
      <c r="AV220" s="142">
        <v>0.0</v>
      </c>
      <c r="AW220" s="80">
        <v>0.0</v>
      </c>
      <c r="AX220" s="113">
        <v>55.0</v>
      </c>
      <c r="AY220" s="117">
        <v>15.0</v>
      </c>
      <c r="AZ220" s="328">
        <v>40.0</v>
      </c>
      <c r="BA220" s="315">
        <v>0.0</v>
      </c>
      <c r="BB220" s="316">
        <v>55.0</v>
      </c>
      <c r="BC220" s="132" t="s">
        <v>373</v>
      </c>
      <c r="BD220" s="132" t="s">
        <v>178</v>
      </c>
      <c r="BE220" s="132" t="s">
        <v>178</v>
      </c>
      <c r="BF220" s="123"/>
      <c r="BG220" s="83">
        <v>1178964.0</v>
      </c>
      <c r="BH220" s="112">
        <v>3.0</v>
      </c>
      <c r="BI220" s="98" t="s">
        <v>155</v>
      </c>
      <c r="BJ220" s="98" t="str">
        <f t="shared" si="1"/>
        <v>NÃO</v>
      </c>
      <c r="BK220" s="98" t="str">
        <f t="shared" si="2"/>
        <v>NÃO</v>
      </c>
    </row>
    <row r="221" ht="15.75" customHeight="1">
      <c r="A221" s="111" t="s">
        <v>285</v>
      </c>
      <c r="B221" s="83" t="s">
        <v>955</v>
      </c>
      <c r="C221" s="83" t="s">
        <v>164</v>
      </c>
      <c r="D221" s="83">
        <v>1164491.0</v>
      </c>
      <c r="E221" s="83">
        <v>1178965.0</v>
      </c>
      <c r="F221" s="83"/>
      <c r="G221" s="114" t="s">
        <v>961</v>
      </c>
      <c r="H221" s="91" t="s">
        <v>962</v>
      </c>
      <c r="I221" s="114" t="s">
        <v>149</v>
      </c>
      <c r="J221" s="83" t="s">
        <v>187</v>
      </c>
      <c r="K221" s="83" t="s">
        <v>151</v>
      </c>
      <c r="L221" s="83" t="s">
        <v>169</v>
      </c>
      <c r="M221" s="82" t="s">
        <v>4042</v>
      </c>
      <c r="N221" s="82" t="s">
        <v>4043</v>
      </c>
      <c r="O221" s="82" t="s">
        <v>4045</v>
      </c>
      <c r="P221" s="82" t="s">
        <v>4047</v>
      </c>
      <c r="Q221" s="82"/>
      <c r="R221" s="82"/>
      <c r="S221" s="82" t="s">
        <v>4048</v>
      </c>
      <c r="T221" s="138">
        <v>3.0</v>
      </c>
      <c r="U221" s="323">
        <v>3.0</v>
      </c>
      <c r="V221" s="106">
        <v>0.0</v>
      </c>
      <c r="W221" s="107">
        <v>0.0</v>
      </c>
      <c r="X221" s="107">
        <v>0.0</v>
      </c>
      <c r="Y221" s="107">
        <v>0.0</v>
      </c>
      <c r="Z221" s="80">
        <v>0.0</v>
      </c>
      <c r="AA221" s="140">
        <v>0.0</v>
      </c>
      <c r="AB221" s="109">
        <v>0.0</v>
      </c>
      <c r="AC221" s="109">
        <v>0.0</v>
      </c>
      <c r="AD221" s="141">
        <v>0.0</v>
      </c>
      <c r="AE221" s="80">
        <v>0.0</v>
      </c>
      <c r="AF221" s="140">
        <v>0.0</v>
      </c>
      <c r="AG221" s="109">
        <v>0.0</v>
      </c>
      <c r="AH221" s="109">
        <v>32.0</v>
      </c>
      <c r="AI221" s="141">
        <v>0.0</v>
      </c>
      <c r="AJ221" s="80">
        <v>32.0</v>
      </c>
      <c r="AK221" s="140">
        <v>0.0</v>
      </c>
      <c r="AL221" s="109">
        <v>0.0</v>
      </c>
      <c r="AM221" s="141">
        <v>0.0</v>
      </c>
      <c r="AN221" s="80">
        <v>0.0</v>
      </c>
      <c r="AO221" s="140">
        <v>0.0</v>
      </c>
      <c r="AP221" s="109">
        <v>0.0</v>
      </c>
      <c r="AQ221" s="109">
        <v>51.0</v>
      </c>
      <c r="AR221" s="80">
        <v>51.0</v>
      </c>
      <c r="AS221" s="110">
        <v>0.0</v>
      </c>
      <c r="AT221" s="110">
        <v>0.0</v>
      </c>
      <c r="AU221" s="110">
        <v>0.0</v>
      </c>
      <c r="AV221" s="142">
        <v>0.0</v>
      </c>
      <c r="AW221" s="80">
        <v>0.0</v>
      </c>
      <c r="AX221" s="113">
        <v>83.0</v>
      </c>
      <c r="AY221" s="117">
        <v>0.0</v>
      </c>
      <c r="AZ221" s="328">
        <v>83.0</v>
      </c>
      <c r="BA221" s="315">
        <v>0.0</v>
      </c>
      <c r="BB221" s="316">
        <v>83.0</v>
      </c>
      <c r="BC221" s="132" t="s">
        <v>373</v>
      </c>
      <c r="BD221" s="132" t="s">
        <v>178</v>
      </c>
      <c r="BE221" s="132" t="s">
        <v>178</v>
      </c>
      <c r="BF221" s="123"/>
      <c r="BG221" s="83">
        <v>1178965.0</v>
      </c>
      <c r="BH221" s="112">
        <v>3.0</v>
      </c>
      <c r="BI221" s="98" t="s">
        <v>155</v>
      </c>
      <c r="BJ221" s="98" t="str">
        <f t="shared" si="1"/>
        <v>NÃO</v>
      </c>
      <c r="BK221" s="98" t="str">
        <f t="shared" si="2"/>
        <v>NÃO</v>
      </c>
    </row>
    <row r="222" ht="15.75" customHeight="1">
      <c r="A222" s="111" t="s">
        <v>285</v>
      </c>
      <c r="B222" s="83" t="s">
        <v>955</v>
      </c>
      <c r="C222" s="83" t="s">
        <v>164</v>
      </c>
      <c r="D222" s="83">
        <v>1179283.0</v>
      </c>
      <c r="E222" s="83">
        <v>1179382.0</v>
      </c>
      <c r="F222" s="83"/>
      <c r="G222" s="114" t="s">
        <v>963</v>
      </c>
      <c r="H222" s="91" t="s">
        <v>964</v>
      </c>
      <c r="I222" s="114" t="s">
        <v>149</v>
      </c>
      <c r="J222" s="83" t="s">
        <v>471</v>
      </c>
      <c r="K222" s="83" t="s">
        <v>168</v>
      </c>
      <c r="L222" s="83" t="s">
        <v>169</v>
      </c>
      <c r="M222" s="82" t="s">
        <v>3752</v>
      </c>
      <c r="N222" s="82" t="s">
        <v>3753</v>
      </c>
      <c r="O222" s="82" t="s">
        <v>3754</v>
      </c>
      <c r="P222" s="82" t="s">
        <v>3755</v>
      </c>
      <c r="Q222" s="82" t="s">
        <v>3756</v>
      </c>
      <c r="R222" s="82" t="s">
        <v>3757</v>
      </c>
      <c r="S222" s="82" t="s">
        <v>3758</v>
      </c>
      <c r="T222" s="138">
        <v>3.0</v>
      </c>
      <c r="U222" s="323">
        <v>3.0</v>
      </c>
      <c r="V222" s="106">
        <v>0.0</v>
      </c>
      <c r="W222" s="107">
        <v>0.0</v>
      </c>
      <c r="X222" s="107">
        <v>0.0</v>
      </c>
      <c r="Y222" s="107">
        <v>0.0</v>
      </c>
      <c r="Z222" s="80">
        <v>0.0</v>
      </c>
      <c r="AA222" s="140">
        <v>0.0</v>
      </c>
      <c r="AB222" s="109">
        <v>0.0</v>
      </c>
      <c r="AC222" s="109">
        <v>0.0</v>
      </c>
      <c r="AD222" s="141">
        <v>0.0</v>
      </c>
      <c r="AE222" s="80">
        <v>0.0</v>
      </c>
      <c r="AF222" s="140">
        <v>0.0</v>
      </c>
      <c r="AG222" s="109">
        <v>0.0</v>
      </c>
      <c r="AH222" s="109">
        <v>16.0</v>
      </c>
      <c r="AI222" s="141">
        <v>0.0</v>
      </c>
      <c r="AJ222" s="80">
        <v>16.0</v>
      </c>
      <c r="AK222" s="140">
        <v>0.0</v>
      </c>
      <c r="AL222" s="109">
        <v>0.0</v>
      </c>
      <c r="AM222" s="141">
        <v>0.0</v>
      </c>
      <c r="AN222" s="80">
        <v>0.0</v>
      </c>
      <c r="AO222" s="140">
        <v>0.0</v>
      </c>
      <c r="AP222" s="109">
        <v>0.0</v>
      </c>
      <c r="AQ222" s="109">
        <v>0.0</v>
      </c>
      <c r="AR222" s="80">
        <v>0.0</v>
      </c>
      <c r="AS222" s="110">
        <v>0.0</v>
      </c>
      <c r="AT222" s="110">
        <v>0.0</v>
      </c>
      <c r="AU222" s="110">
        <v>0.0</v>
      </c>
      <c r="AV222" s="142">
        <v>0.0</v>
      </c>
      <c r="AW222" s="80">
        <v>0.0</v>
      </c>
      <c r="AX222" s="113">
        <v>16.0</v>
      </c>
      <c r="AY222" s="117">
        <v>0.0</v>
      </c>
      <c r="AZ222" s="328">
        <v>16.0</v>
      </c>
      <c r="BA222" s="315">
        <v>0.0</v>
      </c>
      <c r="BB222" s="316">
        <v>16.0</v>
      </c>
      <c r="BC222" s="132" t="s">
        <v>178</v>
      </c>
      <c r="BD222" s="143" t="s">
        <v>227</v>
      </c>
      <c r="BE222" s="132" t="s">
        <v>178</v>
      </c>
      <c r="BF222" s="156"/>
      <c r="BG222" s="83">
        <v>1179382.0</v>
      </c>
      <c r="BH222" s="112">
        <v>3.0</v>
      </c>
      <c r="BI222" s="98" t="s">
        <v>155</v>
      </c>
      <c r="BJ222" s="98" t="str">
        <f t="shared" si="1"/>
        <v>NÃO</v>
      </c>
      <c r="BK222" s="98" t="str">
        <f t="shared" si="2"/>
        <v>NÃO</v>
      </c>
    </row>
    <row r="223" ht="15.75" customHeight="1">
      <c r="A223" s="111" t="s">
        <v>285</v>
      </c>
      <c r="B223" s="83" t="s">
        <v>955</v>
      </c>
      <c r="C223" s="83" t="s">
        <v>164</v>
      </c>
      <c r="D223" s="83">
        <v>1179283.0</v>
      </c>
      <c r="E223" s="83">
        <v>1179383.0</v>
      </c>
      <c r="F223" s="83"/>
      <c r="G223" s="114" t="s">
        <v>965</v>
      </c>
      <c r="H223" s="91" t="s">
        <v>964</v>
      </c>
      <c r="I223" s="114" t="s">
        <v>149</v>
      </c>
      <c r="J223" s="83" t="s">
        <v>240</v>
      </c>
      <c r="K223" s="83" t="s">
        <v>168</v>
      </c>
      <c r="L223" s="83" t="s">
        <v>169</v>
      </c>
      <c r="M223" s="82" t="s">
        <v>3752</v>
      </c>
      <c r="N223" s="82" t="s">
        <v>3753</v>
      </c>
      <c r="O223" s="82" t="s">
        <v>3754</v>
      </c>
      <c r="P223" s="82" t="s">
        <v>3755</v>
      </c>
      <c r="Q223" s="82" t="s">
        <v>3756</v>
      </c>
      <c r="R223" s="82" t="s">
        <v>3757</v>
      </c>
      <c r="S223" s="82" t="s">
        <v>3758</v>
      </c>
      <c r="T223" s="138">
        <v>3.0</v>
      </c>
      <c r="U223" s="323">
        <v>3.0</v>
      </c>
      <c r="V223" s="106">
        <v>0.0</v>
      </c>
      <c r="W223" s="107">
        <v>0.0</v>
      </c>
      <c r="X223" s="107">
        <v>0.0</v>
      </c>
      <c r="Y223" s="107">
        <v>0.0</v>
      </c>
      <c r="Z223" s="80">
        <v>0.0</v>
      </c>
      <c r="AA223" s="140">
        <v>0.0</v>
      </c>
      <c r="AB223" s="109">
        <v>0.0</v>
      </c>
      <c r="AC223" s="109">
        <v>0.0</v>
      </c>
      <c r="AD223" s="141">
        <v>0.0</v>
      </c>
      <c r="AE223" s="80">
        <v>0.0</v>
      </c>
      <c r="AF223" s="140">
        <v>0.0</v>
      </c>
      <c r="AG223" s="109">
        <v>0.0</v>
      </c>
      <c r="AH223" s="109">
        <v>29.0</v>
      </c>
      <c r="AI223" s="141">
        <v>0.0</v>
      </c>
      <c r="AJ223" s="80">
        <v>29.0</v>
      </c>
      <c r="AK223" s="140">
        <v>0.0</v>
      </c>
      <c r="AL223" s="109">
        <v>0.0</v>
      </c>
      <c r="AM223" s="141">
        <v>0.0</v>
      </c>
      <c r="AN223" s="80">
        <v>0.0</v>
      </c>
      <c r="AO223" s="140">
        <v>0.0</v>
      </c>
      <c r="AP223" s="109">
        <v>0.0</v>
      </c>
      <c r="AQ223" s="109">
        <v>0.0</v>
      </c>
      <c r="AR223" s="80">
        <v>0.0</v>
      </c>
      <c r="AS223" s="110">
        <v>0.0</v>
      </c>
      <c r="AT223" s="110">
        <v>0.0</v>
      </c>
      <c r="AU223" s="110">
        <v>0.0</v>
      </c>
      <c r="AV223" s="142">
        <v>0.0</v>
      </c>
      <c r="AW223" s="80">
        <v>0.0</v>
      </c>
      <c r="AX223" s="113">
        <v>29.0</v>
      </c>
      <c r="AY223" s="117">
        <v>0.0</v>
      </c>
      <c r="AZ223" s="328">
        <v>29.0</v>
      </c>
      <c r="BA223" s="315">
        <v>0.0</v>
      </c>
      <c r="BB223" s="316">
        <v>29.0</v>
      </c>
      <c r="BC223" s="132" t="s">
        <v>178</v>
      </c>
      <c r="BD223" s="143" t="s">
        <v>227</v>
      </c>
      <c r="BE223" s="132" t="s">
        <v>178</v>
      </c>
      <c r="BF223" s="156"/>
      <c r="BG223" s="83">
        <v>1179383.0</v>
      </c>
      <c r="BH223" s="112">
        <v>3.0</v>
      </c>
      <c r="BI223" s="98" t="s">
        <v>155</v>
      </c>
      <c r="BJ223" s="98" t="str">
        <f t="shared" si="1"/>
        <v>NÃO</v>
      </c>
      <c r="BK223" s="98" t="str">
        <f t="shared" si="2"/>
        <v>NÃO</v>
      </c>
    </row>
    <row r="224" ht="15.75" customHeight="1">
      <c r="A224" s="111" t="s">
        <v>285</v>
      </c>
      <c r="B224" s="83" t="s">
        <v>966</v>
      </c>
      <c r="C224" s="83" t="s">
        <v>68</v>
      </c>
      <c r="D224" s="83">
        <v>1132565.0</v>
      </c>
      <c r="E224" s="83"/>
      <c r="F224" s="83">
        <v>2.9217768E7</v>
      </c>
      <c r="G224" s="187" t="s">
        <v>4070</v>
      </c>
      <c r="H224" s="91" t="s">
        <v>968</v>
      </c>
      <c r="I224" s="114" t="s">
        <v>149</v>
      </c>
      <c r="J224" s="83" t="s">
        <v>150</v>
      </c>
      <c r="K224" s="83" t="s">
        <v>168</v>
      </c>
      <c r="L224" s="83" t="s">
        <v>76</v>
      </c>
      <c r="M224" s="82" t="s">
        <v>4073</v>
      </c>
      <c r="N224" s="82" t="s">
        <v>4075</v>
      </c>
      <c r="O224" s="82" t="s">
        <v>4076</v>
      </c>
      <c r="P224" s="82" t="s">
        <v>4077</v>
      </c>
      <c r="Q224" s="82"/>
      <c r="R224" s="82"/>
      <c r="S224" s="82" t="s">
        <v>4078</v>
      </c>
      <c r="T224" s="138">
        <v>6.0</v>
      </c>
      <c r="U224" s="344" t="s">
        <v>4079</v>
      </c>
      <c r="V224" s="106">
        <v>0.0</v>
      </c>
      <c r="W224" s="107">
        <v>0.0</v>
      </c>
      <c r="X224" s="107">
        <v>0.0</v>
      </c>
      <c r="Y224" s="107">
        <v>0.0</v>
      </c>
      <c r="Z224" s="80">
        <v>0.0</v>
      </c>
      <c r="AA224" s="140">
        <v>0.0</v>
      </c>
      <c r="AB224" s="109">
        <v>0.0</v>
      </c>
      <c r="AC224" s="109">
        <v>0.0</v>
      </c>
      <c r="AD224" s="141">
        <v>0.0</v>
      </c>
      <c r="AE224" s="80">
        <v>0.0</v>
      </c>
      <c r="AF224" s="140">
        <v>151.0</v>
      </c>
      <c r="AG224" s="109">
        <v>91.0</v>
      </c>
      <c r="AH224" s="109">
        <v>0.0</v>
      </c>
      <c r="AI224" s="141">
        <v>0.0</v>
      </c>
      <c r="AJ224" s="80">
        <v>242.0</v>
      </c>
      <c r="AK224" s="140">
        <v>0.0</v>
      </c>
      <c r="AL224" s="109">
        <v>0.0</v>
      </c>
      <c r="AM224" s="141">
        <v>0.0</v>
      </c>
      <c r="AN224" s="80">
        <v>0.0</v>
      </c>
      <c r="AO224" s="140">
        <v>0.0</v>
      </c>
      <c r="AP224" s="109">
        <v>0.0</v>
      </c>
      <c r="AQ224" s="109">
        <v>41.0</v>
      </c>
      <c r="AR224" s="80">
        <v>41.0</v>
      </c>
      <c r="AS224" s="110">
        <v>0.0</v>
      </c>
      <c r="AT224" s="110">
        <v>0.0</v>
      </c>
      <c r="AU224" s="110">
        <v>35.0</v>
      </c>
      <c r="AV224" s="142">
        <v>0.0</v>
      </c>
      <c r="AW224" s="80">
        <v>35.0</v>
      </c>
      <c r="AX224" s="113">
        <v>318.0</v>
      </c>
      <c r="AY224" s="117">
        <v>242.0</v>
      </c>
      <c r="AZ224" s="328">
        <v>76.0</v>
      </c>
      <c r="BA224" s="315">
        <v>0.0</v>
      </c>
      <c r="BB224" s="316">
        <v>318.0</v>
      </c>
      <c r="BC224" s="132" t="s">
        <v>178</v>
      </c>
      <c r="BD224" s="132" t="s">
        <v>178</v>
      </c>
      <c r="BE224" s="132" t="s">
        <v>178</v>
      </c>
      <c r="BF224" s="156"/>
      <c r="BG224" s="83">
        <v>1132565.0</v>
      </c>
      <c r="BH224" s="112">
        <v>6.0</v>
      </c>
      <c r="BI224" s="98" t="s">
        <v>155</v>
      </c>
      <c r="BJ224" s="98" t="str">
        <f t="shared" si="1"/>
        <v>NÃO</v>
      </c>
      <c r="BK224" s="98" t="str">
        <f t="shared" si="2"/>
        <v>PROFISSIONAL</v>
      </c>
    </row>
    <row r="225" ht="15.75" customHeight="1">
      <c r="A225" s="111" t="s">
        <v>285</v>
      </c>
      <c r="B225" s="83" t="s">
        <v>966</v>
      </c>
      <c r="C225" s="83" t="s">
        <v>164</v>
      </c>
      <c r="D225" s="83">
        <v>1132565.0</v>
      </c>
      <c r="E225" s="83">
        <v>1178967.0</v>
      </c>
      <c r="F225" s="83"/>
      <c r="G225" s="114" t="s">
        <v>2468</v>
      </c>
      <c r="H225" s="91" t="s">
        <v>4084</v>
      </c>
      <c r="I225" s="114" t="s">
        <v>149</v>
      </c>
      <c r="J225" s="83" t="s">
        <v>222</v>
      </c>
      <c r="K225" s="83" t="s">
        <v>168</v>
      </c>
      <c r="L225" s="83" t="s">
        <v>169</v>
      </c>
      <c r="M225" s="82" t="s">
        <v>4073</v>
      </c>
      <c r="N225" s="82" t="s">
        <v>4075</v>
      </c>
      <c r="O225" s="82" t="s">
        <v>4076</v>
      </c>
      <c r="P225" s="82" t="s">
        <v>4077</v>
      </c>
      <c r="Q225" s="82"/>
      <c r="R225" s="82"/>
      <c r="S225" s="82" t="s">
        <v>4078</v>
      </c>
      <c r="T225" s="138">
        <v>3.0</v>
      </c>
      <c r="U225" s="331">
        <v>3.0</v>
      </c>
      <c r="V225" s="106">
        <v>0.0</v>
      </c>
      <c r="W225" s="107">
        <v>0.0</v>
      </c>
      <c r="X225" s="107">
        <v>0.0</v>
      </c>
      <c r="Y225" s="107">
        <v>0.0</v>
      </c>
      <c r="Z225" s="80">
        <v>0.0</v>
      </c>
      <c r="AA225" s="140">
        <v>0.0</v>
      </c>
      <c r="AB225" s="109">
        <v>0.0</v>
      </c>
      <c r="AC225" s="109">
        <v>0.0</v>
      </c>
      <c r="AD225" s="141">
        <v>0.0</v>
      </c>
      <c r="AE225" s="80">
        <v>0.0</v>
      </c>
      <c r="AF225" s="140">
        <v>0.0</v>
      </c>
      <c r="AG225" s="109">
        <v>29.0</v>
      </c>
      <c r="AH225" s="109">
        <v>0.0</v>
      </c>
      <c r="AI225" s="141">
        <v>0.0</v>
      </c>
      <c r="AJ225" s="80">
        <v>29.0</v>
      </c>
      <c r="AK225" s="140">
        <v>0.0</v>
      </c>
      <c r="AL225" s="109">
        <v>0.0</v>
      </c>
      <c r="AM225" s="141">
        <v>0.0</v>
      </c>
      <c r="AN225" s="80">
        <v>0.0</v>
      </c>
      <c r="AO225" s="140">
        <v>0.0</v>
      </c>
      <c r="AP225" s="109">
        <v>0.0</v>
      </c>
      <c r="AQ225" s="109">
        <v>0.0</v>
      </c>
      <c r="AR225" s="80">
        <v>0.0</v>
      </c>
      <c r="AS225" s="110">
        <v>0.0</v>
      </c>
      <c r="AT225" s="110">
        <v>0.0</v>
      </c>
      <c r="AU225" s="110">
        <v>0.0</v>
      </c>
      <c r="AV225" s="142">
        <v>0.0</v>
      </c>
      <c r="AW225" s="80">
        <v>0.0</v>
      </c>
      <c r="AX225" s="113">
        <v>29.0</v>
      </c>
      <c r="AY225" s="117">
        <v>29.0</v>
      </c>
      <c r="AZ225" s="328">
        <v>0.0</v>
      </c>
      <c r="BA225" s="315">
        <v>0.0</v>
      </c>
      <c r="BB225" s="316">
        <v>29.0</v>
      </c>
      <c r="BC225" s="132" t="s">
        <v>265</v>
      </c>
      <c r="BD225" s="132" t="s">
        <v>178</v>
      </c>
      <c r="BE225" s="132" t="s">
        <v>178</v>
      </c>
      <c r="BF225" s="123"/>
      <c r="BG225" s="83">
        <v>1178967.0</v>
      </c>
      <c r="BH225" s="112">
        <v>3.0</v>
      </c>
      <c r="BI225" s="98" t="s">
        <v>155</v>
      </c>
      <c r="BJ225" s="98" t="str">
        <f t="shared" si="1"/>
        <v>NÃO</v>
      </c>
      <c r="BK225" s="98" t="str">
        <f t="shared" si="2"/>
        <v>NÃO</v>
      </c>
    </row>
    <row r="226" ht="15.75" customHeight="1">
      <c r="A226" s="111" t="s">
        <v>285</v>
      </c>
      <c r="B226" s="83" t="s">
        <v>966</v>
      </c>
      <c r="C226" s="83" t="s">
        <v>164</v>
      </c>
      <c r="D226" s="83">
        <v>1132565.0</v>
      </c>
      <c r="E226" s="83">
        <v>1178966.0</v>
      </c>
      <c r="F226" s="83"/>
      <c r="G226" s="187" t="s">
        <v>4085</v>
      </c>
      <c r="H226" s="91" t="s">
        <v>971</v>
      </c>
      <c r="I226" s="114" t="s">
        <v>149</v>
      </c>
      <c r="J226" s="83" t="s">
        <v>751</v>
      </c>
      <c r="K226" s="83" t="s">
        <v>168</v>
      </c>
      <c r="L226" s="83" t="s">
        <v>169</v>
      </c>
      <c r="M226" s="82" t="s">
        <v>4073</v>
      </c>
      <c r="N226" s="82" t="s">
        <v>4075</v>
      </c>
      <c r="O226" s="82" t="s">
        <v>4076</v>
      </c>
      <c r="P226" s="82" t="s">
        <v>4077</v>
      </c>
      <c r="Q226" s="82"/>
      <c r="R226" s="82"/>
      <c r="S226" s="82" t="s">
        <v>4078</v>
      </c>
      <c r="T226" s="138">
        <v>3.0</v>
      </c>
      <c r="U226" s="323">
        <v>3.0</v>
      </c>
      <c r="V226" s="106">
        <v>0.0</v>
      </c>
      <c r="W226" s="107">
        <v>0.0</v>
      </c>
      <c r="X226" s="107">
        <v>0.0</v>
      </c>
      <c r="Y226" s="107">
        <v>0.0</v>
      </c>
      <c r="Z226" s="80">
        <v>0.0</v>
      </c>
      <c r="AA226" s="140">
        <v>0.0</v>
      </c>
      <c r="AB226" s="109">
        <v>0.0</v>
      </c>
      <c r="AC226" s="109">
        <v>0.0</v>
      </c>
      <c r="AD226" s="141">
        <v>0.0</v>
      </c>
      <c r="AE226" s="80">
        <v>0.0</v>
      </c>
      <c r="AF226" s="140">
        <v>71.0</v>
      </c>
      <c r="AG226" s="109">
        <v>0.0</v>
      </c>
      <c r="AH226" s="109">
        <v>0.0</v>
      </c>
      <c r="AI226" s="141">
        <v>0.0</v>
      </c>
      <c r="AJ226" s="80">
        <v>71.0</v>
      </c>
      <c r="AK226" s="140">
        <v>0.0</v>
      </c>
      <c r="AL226" s="109">
        <v>0.0</v>
      </c>
      <c r="AM226" s="141">
        <v>0.0</v>
      </c>
      <c r="AN226" s="80">
        <v>0.0</v>
      </c>
      <c r="AO226" s="140">
        <v>0.0</v>
      </c>
      <c r="AP226" s="109">
        <v>0.0</v>
      </c>
      <c r="AQ226" s="109">
        <v>0.0</v>
      </c>
      <c r="AR226" s="80">
        <v>0.0</v>
      </c>
      <c r="AS226" s="110">
        <v>0.0</v>
      </c>
      <c r="AT226" s="110">
        <v>0.0</v>
      </c>
      <c r="AU226" s="110">
        <v>0.0</v>
      </c>
      <c r="AV226" s="142">
        <v>0.0</v>
      </c>
      <c r="AW226" s="80">
        <v>0.0</v>
      </c>
      <c r="AX226" s="113">
        <v>71.0</v>
      </c>
      <c r="AY226" s="117">
        <v>71.0</v>
      </c>
      <c r="AZ226" s="328">
        <v>0.0</v>
      </c>
      <c r="BA226" s="315">
        <v>0.0</v>
      </c>
      <c r="BB226" s="316">
        <v>71.0</v>
      </c>
      <c r="BC226" s="132" t="s">
        <v>178</v>
      </c>
      <c r="BD226" s="132" t="s">
        <v>178</v>
      </c>
      <c r="BE226" s="132" t="s">
        <v>178</v>
      </c>
      <c r="BF226" s="123"/>
      <c r="BG226" s="83">
        <v>1178966.0</v>
      </c>
      <c r="BH226" s="112">
        <v>3.0</v>
      </c>
      <c r="BI226" s="98" t="s">
        <v>155</v>
      </c>
      <c r="BJ226" s="98" t="str">
        <f t="shared" si="1"/>
        <v>NÃO</v>
      </c>
      <c r="BK226" s="98" t="str">
        <f t="shared" si="2"/>
        <v>NÃO</v>
      </c>
    </row>
    <row r="227" ht="15.75" customHeight="1">
      <c r="A227" s="111" t="s">
        <v>285</v>
      </c>
      <c r="B227" s="172" t="s">
        <v>972</v>
      </c>
      <c r="C227" s="83" t="s">
        <v>68</v>
      </c>
      <c r="D227" s="83">
        <v>1179708.0</v>
      </c>
      <c r="E227" s="83"/>
      <c r="F227" s="98">
        <v>2.9483891E7</v>
      </c>
      <c r="G227" s="187" t="s">
        <v>979</v>
      </c>
      <c r="H227" s="91" t="s">
        <v>980</v>
      </c>
      <c r="I227" s="187" t="s">
        <v>981</v>
      </c>
      <c r="J227" s="98" t="s">
        <v>464</v>
      </c>
      <c r="K227" s="83" t="s">
        <v>690</v>
      </c>
      <c r="L227" s="83" t="s">
        <v>169</v>
      </c>
      <c r="M227" s="82" t="s">
        <v>4087</v>
      </c>
      <c r="N227" s="82" t="s">
        <v>4088</v>
      </c>
      <c r="O227" s="82" t="s">
        <v>4089</v>
      </c>
      <c r="P227" s="82" t="s">
        <v>4090</v>
      </c>
      <c r="Q227" s="82"/>
      <c r="R227" s="82"/>
      <c r="S227" s="82"/>
      <c r="T227" s="138">
        <v>4.0</v>
      </c>
      <c r="U227" s="341">
        <v>4.0</v>
      </c>
      <c r="V227" s="106">
        <v>0.0</v>
      </c>
      <c r="W227" s="107">
        <v>0.0</v>
      </c>
      <c r="X227" s="107">
        <v>0.0</v>
      </c>
      <c r="Y227" s="107">
        <v>0.0</v>
      </c>
      <c r="Z227" s="80">
        <v>0.0</v>
      </c>
      <c r="AA227" s="140">
        <v>0.0</v>
      </c>
      <c r="AB227" s="109">
        <v>0.0</v>
      </c>
      <c r="AC227" s="109">
        <v>0.0</v>
      </c>
      <c r="AD227" s="141">
        <v>0.0</v>
      </c>
      <c r="AE227" s="80">
        <v>0.0</v>
      </c>
      <c r="AF227" s="140">
        <v>136.0</v>
      </c>
      <c r="AG227" s="109">
        <v>35.0</v>
      </c>
      <c r="AH227" s="109">
        <v>24.0</v>
      </c>
      <c r="AI227" s="141">
        <v>0.0</v>
      </c>
      <c r="AJ227" s="80">
        <v>195.0</v>
      </c>
      <c r="AK227" s="140">
        <v>0.0</v>
      </c>
      <c r="AL227" s="109">
        <v>0.0</v>
      </c>
      <c r="AM227" s="141">
        <v>0.0</v>
      </c>
      <c r="AN227" s="80">
        <v>0.0</v>
      </c>
      <c r="AO227" s="140">
        <v>0.0</v>
      </c>
      <c r="AP227" s="109">
        <v>0.0</v>
      </c>
      <c r="AQ227" s="109">
        <v>27.0</v>
      </c>
      <c r="AR227" s="80">
        <v>27.0</v>
      </c>
      <c r="AS227" s="110">
        <v>0.0</v>
      </c>
      <c r="AT227" s="110">
        <v>0.0</v>
      </c>
      <c r="AU227" s="110">
        <v>0.0</v>
      </c>
      <c r="AV227" s="142">
        <v>0.0</v>
      </c>
      <c r="AW227" s="80">
        <v>0.0</v>
      </c>
      <c r="AX227" s="113">
        <v>222.0</v>
      </c>
      <c r="AY227" s="117">
        <v>171.0</v>
      </c>
      <c r="AZ227" s="328">
        <v>51.0</v>
      </c>
      <c r="BA227" s="315">
        <v>0.0</v>
      </c>
      <c r="BB227" s="316">
        <v>222.0</v>
      </c>
      <c r="BC227" s="132" t="s">
        <v>178</v>
      </c>
      <c r="BD227" s="132" t="s">
        <v>178</v>
      </c>
      <c r="BE227" s="132" t="s">
        <v>178</v>
      </c>
      <c r="BF227" s="156"/>
      <c r="BG227" s="83">
        <v>1179708.0</v>
      </c>
      <c r="BH227" s="112">
        <v>4.0</v>
      </c>
      <c r="BI227" s="98" t="s">
        <v>155</v>
      </c>
      <c r="BJ227" s="98" t="str">
        <f t="shared" si="1"/>
        <v>NÃO</v>
      </c>
      <c r="BK227" s="98" t="str">
        <f t="shared" si="2"/>
        <v>NÃO</v>
      </c>
    </row>
    <row r="228" ht="15.75" customHeight="1">
      <c r="A228" s="111" t="s">
        <v>285</v>
      </c>
      <c r="B228" s="83" t="s">
        <v>972</v>
      </c>
      <c r="C228" s="83" t="s">
        <v>68</v>
      </c>
      <c r="D228" s="83">
        <v>1179483.0</v>
      </c>
      <c r="E228" s="83"/>
      <c r="F228" s="83">
        <v>2.946787E7</v>
      </c>
      <c r="G228" s="187" t="s">
        <v>4094</v>
      </c>
      <c r="H228" s="91" t="s">
        <v>975</v>
      </c>
      <c r="I228" s="114" t="s">
        <v>976</v>
      </c>
      <c r="J228" s="83" t="s">
        <v>331</v>
      </c>
      <c r="K228" s="83" t="s">
        <v>151</v>
      </c>
      <c r="L228" s="83" t="s">
        <v>169</v>
      </c>
      <c r="M228" s="82" t="s">
        <v>4095</v>
      </c>
      <c r="N228" s="82" t="s">
        <v>4096</v>
      </c>
      <c r="O228" s="82" t="s">
        <v>4097</v>
      </c>
      <c r="P228" s="82"/>
      <c r="Q228" s="82"/>
      <c r="R228" s="82"/>
      <c r="S228" s="82" t="s">
        <v>4098</v>
      </c>
      <c r="T228" s="138">
        <v>4.0</v>
      </c>
      <c r="U228" s="341">
        <v>3.0</v>
      </c>
      <c r="V228" s="106">
        <v>0.0</v>
      </c>
      <c r="W228" s="107">
        <v>0.0</v>
      </c>
      <c r="X228" s="107">
        <v>0.0</v>
      </c>
      <c r="Y228" s="107">
        <v>0.0</v>
      </c>
      <c r="Z228" s="80">
        <v>0.0</v>
      </c>
      <c r="AA228" s="140">
        <v>0.0</v>
      </c>
      <c r="AB228" s="109">
        <v>0.0</v>
      </c>
      <c r="AC228" s="109">
        <v>0.0</v>
      </c>
      <c r="AD228" s="141">
        <v>0.0</v>
      </c>
      <c r="AE228" s="80">
        <v>0.0</v>
      </c>
      <c r="AF228" s="140">
        <v>87.0</v>
      </c>
      <c r="AG228" s="109">
        <v>82.0</v>
      </c>
      <c r="AH228" s="109">
        <v>0.0</v>
      </c>
      <c r="AI228" s="141">
        <v>0.0</v>
      </c>
      <c r="AJ228" s="80">
        <v>169.0</v>
      </c>
      <c r="AK228" s="140">
        <v>0.0</v>
      </c>
      <c r="AL228" s="109">
        <v>0.0</v>
      </c>
      <c r="AM228" s="141">
        <v>0.0</v>
      </c>
      <c r="AN228" s="80">
        <v>0.0</v>
      </c>
      <c r="AO228" s="140">
        <v>0.0</v>
      </c>
      <c r="AP228" s="109">
        <v>0.0</v>
      </c>
      <c r="AQ228" s="109">
        <v>0.0</v>
      </c>
      <c r="AR228" s="80">
        <v>0.0</v>
      </c>
      <c r="AS228" s="110">
        <v>0.0</v>
      </c>
      <c r="AT228" s="110">
        <v>0.0</v>
      </c>
      <c r="AU228" s="110">
        <v>0.0</v>
      </c>
      <c r="AV228" s="142">
        <v>0.0</v>
      </c>
      <c r="AW228" s="80">
        <v>0.0</v>
      </c>
      <c r="AX228" s="113">
        <v>169.0</v>
      </c>
      <c r="AY228" s="117">
        <v>169.0</v>
      </c>
      <c r="AZ228" s="328">
        <v>0.0</v>
      </c>
      <c r="BA228" s="315">
        <v>0.0</v>
      </c>
      <c r="BB228" s="316">
        <v>169.0</v>
      </c>
      <c r="BC228" s="132" t="s">
        <v>373</v>
      </c>
      <c r="BD228" s="132" t="s">
        <v>178</v>
      </c>
      <c r="BE228" s="132" t="s">
        <v>178</v>
      </c>
      <c r="BF228" s="156"/>
      <c r="BG228" s="83">
        <v>1179483.0</v>
      </c>
      <c r="BH228" s="112">
        <v>3.0</v>
      </c>
      <c r="BI228" s="98" t="s">
        <v>155</v>
      </c>
      <c r="BJ228" s="98" t="str">
        <f t="shared" si="1"/>
        <v>NÃO</v>
      </c>
      <c r="BK228" s="98" t="str">
        <f t="shared" si="2"/>
        <v>NÃO</v>
      </c>
    </row>
    <row r="229" ht="15.75" customHeight="1">
      <c r="A229" s="111" t="s">
        <v>285</v>
      </c>
      <c r="B229" s="83" t="s">
        <v>972</v>
      </c>
      <c r="C229" s="83" t="s">
        <v>68</v>
      </c>
      <c r="D229" s="83">
        <v>1132794.0</v>
      </c>
      <c r="E229" s="83"/>
      <c r="F229" s="83">
        <v>2.9218489E7</v>
      </c>
      <c r="G229" s="187" t="s">
        <v>4099</v>
      </c>
      <c r="H229" s="91" t="s">
        <v>984</v>
      </c>
      <c r="I229" s="114" t="s">
        <v>149</v>
      </c>
      <c r="J229" s="83" t="s">
        <v>150</v>
      </c>
      <c r="K229" s="83" t="s">
        <v>151</v>
      </c>
      <c r="L229" s="83" t="s">
        <v>152</v>
      </c>
      <c r="M229" s="82" t="s">
        <v>4100</v>
      </c>
      <c r="N229" s="82" t="s">
        <v>4101</v>
      </c>
      <c r="O229" s="82" t="s">
        <v>4102</v>
      </c>
      <c r="P229" s="82" t="s">
        <v>4103</v>
      </c>
      <c r="Q229" s="82" t="s">
        <v>4104</v>
      </c>
      <c r="R229" s="82" t="s">
        <v>4106</v>
      </c>
      <c r="S229" s="82" t="s">
        <v>4107</v>
      </c>
      <c r="T229" s="138">
        <v>8.0</v>
      </c>
      <c r="U229" s="341">
        <v>10.0</v>
      </c>
      <c r="V229" s="106">
        <v>0.0</v>
      </c>
      <c r="W229" s="107">
        <v>0.0</v>
      </c>
      <c r="X229" s="107">
        <v>0.0</v>
      </c>
      <c r="Y229" s="107">
        <v>0.0</v>
      </c>
      <c r="Z229" s="80">
        <v>0.0</v>
      </c>
      <c r="AA229" s="140">
        <v>0.0</v>
      </c>
      <c r="AB229" s="109">
        <v>0.0</v>
      </c>
      <c r="AC229" s="109">
        <v>0.0</v>
      </c>
      <c r="AD229" s="141">
        <v>0.0</v>
      </c>
      <c r="AE229" s="80">
        <v>0.0</v>
      </c>
      <c r="AF229" s="140">
        <v>261.0</v>
      </c>
      <c r="AG229" s="109">
        <v>102.0</v>
      </c>
      <c r="AH229" s="109">
        <v>0.0</v>
      </c>
      <c r="AI229" s="141">
        <v>0.0</v>
      </c>
      <c r="AJ229" s="80">
        <v>363.0</v>
      </c>
      <c r="AK229" s="140">
        <v>0.0</v>
      </c>
      <c r="AL229" s="109">
        <v>0.0</v>
      </c>
      <c r="AM229" s="141">
        <v>0.0</v>
      </c>
      <c r="AN229" s="80">
        <v>0.0</v>
      </c>
      <c r="AO229" s="140">
        <v>0.0</v>
      </c>
      <c r="AP229" s="109">
        <v>0.0</v>
      </c>
      <c r="AQ229" s="109">
        <v>81.0</v>
      </c>
      <c r="AR229" s="80">
        <v>81.0</v>
      </c>
      <c r="AS229" s="110">
        <v>0.0</v>
      </c>
      <c r="AT229" s="110">
        <v>43.0</v>
      </c>
      <c r="AU229" s="110">
        <v>0.0</v>
      </c>
      <c r="AV229" s="142">
        <v>0.0</v>
      </c>
      <c r="AW229" s="80">
        <v>43.0</v>
      </c>
      <c r="AX229" s="113">
        <v>487.0</v>
      </c>
      <c r="AY229" s="117">
        <v>406.0</v>
      </c>
      <c r="AZ229" s="328">
        <v>81.0</v>
      </c>
      <c r="BA229" s="315">
        <v>0.0</v>
      </c>
      <c r="BB229" s="316">
        <v>487.0</v>
      </c>
      <c r="BC229" s="132" t="s">
        <v>178</v>
      </c>
      <c r="BD229" s="132" t="s">
        <v>178</v>
      </c>
      <c r="BE229" s="132" t="s">
        <v>178</v>
      </c>
      <c r="BF229" s="156"/>
      <c r="BG229" s="83">
        <v>1132794.0</v>
      </c>
      <c r="BH229" s="112">
        <v>10.0</v>
      </c>
      <c r="BI229" s="98" t="s">
        <v>155</v>
      </c>
      <c r="BJ229" s="98" t="str">
        <f t="shared" si="1"/>
        <v>NÃO</v>
      </c>
      <c r="BK229" s="98" t="str">
        <f t="shared" si="2"/>
        <v>PROFISSIONAL</v>
      </c>
    </row>
    <row r="230" ht="15.75" customHeight="1">
      <c r="A230" s="111" t="s">
        <v>285</v>
      </c>
      <c r="B230" s="83" t="s">
        <v>972</v>
      </c>
      <c r="C230" s="83" t="s">
        <v>164</v>
      </c>
      <c r="D230" s="83">
        <v>1132794.0</v>
      </c>
      <c r="E230" s="83">
        <v>1179250.0</v>
      </c>
      <c r="F230" s="83"/>
      <c r="G230" s="114" t="s">
        <v>2340</v>
      </c>
      <c r="H230" s="91" t="s">
        <v>4112</v>
      </c>
      <c r="I230" s="298" t="s">
        <v>4113</v>
      </c>
      <c r="J230" s="83" t="s">
        <v>440</v>
      </c>
      <c r="K230" s="83" t="s">
        <v>168</v>
      </c>
      <c r="L230" s="83" t="s">
        <v>169</v>
      </c>
      <c r="M230" s="82" t="s">
        <v>4100</v>
      </c>
      <c r="N230" s="82" t="s">
        <v>4101</v>
      </c>
      <c r="O230" s="82" t="s">
        <v>4102</v>
      </c>
      <c r="P230" s="82" t="s">
        <v>4103</v>
      </c>
      <c r="Q230" s="82" t="s">
        <v>4104</v>
      </c>
      <c r="R230" s="82" t="s">
        <v>4106</v>
      </c>
      <c r="S230" s="82" t="s">
        <v>4107</v>
      </c>
      <c r="T230" s="138">
        <v>3.0</v>
      </c>
      <c r="U230" s="341">
        <v>4.0</v>
      </c>
      <c r="V230" s="106">
        <v>0.0</v>
      </c>
      <c r="W230" s="107">
        <v>0.0</v>
      </c>
      <c r="X230" s="107">
        <v>0.0</v>
      </c>
      <c r="Y230" s="107">
        <v>0.0</v>
      </c>
      <c r="Z230" s="80">
        <v>0.0</v>
      </c>
      <c r="AA230" s="140">
        <v>0.0</v>
      </c>
      <c r="AB230" s="109">
        <v>0.0</v>
      </c>
      <c r="AC230" s="109">
        <v>0.0</v>
      </c>
      <c r="AD230" s="141">
        <v>0.0</v>
      </c>
      <c r="AE230" s="80">
        <v>0.0</v>
      </c>
      <c r="AF230" s="140">
        <v>0.0</v>
      </c>
      <c r="AG230" s="109">
        <v>0.0</v>
      </c>
      <c r="AH230" s="109">
        <v>32.0</v>
      </c>
      <c r="AI230" s="141">
        <v>0.0</v>
      </c>
      <c r="AJ230" s="80">
        <v>32.0</v>
      </c>
      <c r="AK230" s="140">
        <v>0.0</v>
      </c>
      <c r="AL230" s="109">
        <v>0.0</v>
      </c>
      <c r="AM230" s="141">
        <v>0.0</v>
      </c>
      <c r="AN230" s="80">
        <v>0.0</v>
      </c>
      <c r="AO230" s="140">
        <v>0.0</v>
      </c>
      <c r="AP230" s="109">
        <v>0.0</v>
      </c>
      <c r="AQ230" s="109">
        <v>9.0</v>
      </c>
      <c r="AR230" s="80">
        <v>9.0</v>
      </c>
      <c r="AS230" s="110">
        <v>0.0</v>
      </c>
      <c r="AT230" s="110">
        <v>0.0</v>
      </c>
      <c r="AU230" s="110">
        <v>0.0</v>
      </c>
      <c r="AV230" s="142">
        <v>0.0</v>
      </c>
      <c r="AW230" s="80">
        <v>0.0</v>
      </c>
      <c r="AX230" s="113">
        <v>41.0</v>
      </c>
      <c r="AY230" s="117">
        <v>0.0</v>
      </c>
      <c r="AZ230" s="328">
        <v>41.0</v>
      </c>
      <c r="BA230" s="315">
        <v>0.0</v>
      </c>
      <c r="BB230" s="316">
        <v>41.0</v>
      </c>
      <c r="BC230" s="132" t="s">
        <v>373</v>
      </c>
      <c r="BD230" s="132" t="s">
        <v>178</v>
      </c>
      <c r="BE230" s="132" t="s">
        <v>178</v>
      </c>
      <c r="BF230" s="156"/>
      <c r="BG230" s="83">
        <v>1179250.0</v>
      </c>
      <c r="BH230" s="112">
        <v>4.0</v>
      </c>
      <c r="BI230" s="98" t="s">
        <v>155</v>
      </c>
      <c r="BJ230" s="98" t="str">
        <f t="shared" si="1"/>
        <v>NÃO</v>
      </c>
      <c r="BK230" s="98" t="str">
        <f t="shared" si="2"/>
        <v>NÃO</v>
      </c>
    </row>
    <row r="231" ht="15.75" customHeight="1">
      <c r="A231" s="111" t="s">
        <v>285</v>
      </c>
      <c r="B231" s="83" t="s">
        <v>988</v>
      </c>
      <c r="C231" s="83" t="s">
        <v>68</v>
      </c>
      <c r="D231" s="83">
        <v>1167997.0</v>
      </c>
      <c r="E231" s="83"/>
      <c r="F231" s="83">
        <v>2.9219841E7</v>
      </c>
      <c r="G231" s="114" t="s">
        <v>4114</v>
      </c>
      <c r="H231" s="91" t="s">
        <v>990</v>
      </c>
      <c r="I231" s="114" t="s">
        <v>991</v>
      </c>
      <c r="J231" s="83" t="s">
        <v>992</v>
      </c>
      <c r="K231" s="83" t="s">
        <v>151</v>
      </c>
      <c r="L231" s="83" t="s">
        <v>169</v>
      </c>
      <c r="M231" s="82" t="s">
        <v>4115</v>
      </c>
      <c r="N231" s="82" t="s">
        <v>4117</v>
      </c>
      <c r="O231" s="82" t="s">
        <v>4118</v>
      </c>
      <c r="P231" s="82" t="s">
        <v>4119</v>
      </c>
      <c r="Q231" s="82"/>
      <c r="R231" s="82" t="s">
        <v>4119</v>
      </c>
      <c r="S231" s="82" t="s">
        <v>4120</v>
      </c>
      <c r="T231" s="138">
        <v>8.0</v>
      </c>
      <c r="U231" s="339" t="s">
        <v>4121</v>
      </c>
      <c r="V231" s="106">
        <v>0.0</v>
      </c>
      <c r="W231" s="107">
        <v>0.0</v>
      </c>
      <c r="X231" s="107">
        <v>0.0</v>
      </c>
      <c r="Y231" s="107">
        <v>0.0</v>
      </c>
      <c r="Z231" s="80">
        <v>0.0</v>
      </c>
      <c r="AA231" s="140">
        <v>0.0</v>
      </c>
      <c r="AB231" s="109">
        <v>0.0</v>
      </c>
      <c r="AC231" s="109">
        <v>0.0</v>
      </c>
      <c r="AD231" s="141">
        <v>0.0</v>
      </c>
      <c r="AE231" s="80">
        <v>0.0</v>
      </c>
      <c r="AF231" s="140">
        <v>103.0</v>
      </c>
      <c r="AG231" s="109">
        <v>0.0</v>
      </c>
      <c r="AH231" s="109">
        <v>0.0</v>
      </c>
      <c r="AI231" s="141">
        <v>23.0</v>
      </c>
      <c r="AJ231" s="80">
        <v>126.0</v>
      </c>
      <c r="AK231" s="140">
        <v>0.0</v>
      </c>
      <c r="AL231" s="109">
        <v>0.0</v>
      </c>
      <c r="AM231" s="141">
        <v>0.0</v>
      </c>
      <c r="AN231" s="80">
        <v>0.0</v>
      </c>
      <c r="AO231" s="140">
        <v>0.0</v>
      </c>
      <c r="AP231" s="109">
        <v>0.0</v>
      </c>
      <c r="AQ231" s="109">
        <v>0.0</v>
      </c>
      <c r="AR231" s="80">
        <v>0.0</v>
      </c>
      <c r="AS231" s="110">
        <v>0.0</v>
      </c>
      <c r="AT231" s="110">
        <v>0.0</v>
      </c>
      <c r="AU231" s="110">
        <v>0.0</v>
      </c>
      <c r="AV231" s="142">
        <v>0.0</v>
      </c>
      <c r="AW231" s="80">
        <v>0.0</v>
      </c>
      <c r="AX231" s="113">
        <v>126.0</v>
      </c>
      <c r="AY231" s="117">
        <v>126.0</v>
      </c>
      <c r="AZ231" s="328">
        <v>0.0</v>
      </c>
      <c r="BA231" s="315">
        <v>0.0</v>
      </c>
      <c r="BB231" s="316">
        <v>126.0</v>
      </c>
      <c r="BC231" s="132" t="s">
        <v>373</v>
      </c>
      <c r="BD231" s="132" t="s">
        <v>178</v>
      </c>
      <c r="BE231" s="132" t="s">
        <v>178</v>
      </c>
      <c r="BF231" s="156"/>
      <c r="BG231" s="83">
        <v>1167997.0</v>
      </c>
      <c r="BH231" s="112">
        <v>3.0</v>
      </c>
      <c r="BI231" s="98" t="s">
        <v>155</v>
      </c>
      <c r="BJ231" s="98" t="str">
        <f t="shared" si="1"/>
        <v>INTEGRAL</v>
      </c>
      <c r="BK231" s="98" t="str">
        <f t="shared" si="2"/>
        <v>NÃO</v>
      </c>
    </row>
    <row r="232" ht="15.75" customHeight="1">
      <c r="A232" s="111" t="s">
        <v>285</v>
      </c>
      <c r="B232" s="83" t="s">
        <v>988</v>
      </c>
      <c r="C232" s="83" t="s">
        <v>68</v>
      </c>
      <c r="D232" s="83">
        <v>1178261.0</v>
      </c>
      <c r="E232" s="83"/>
      <c r="F232" s="83">
        <v>2.9467403E7</v>
      </c>
      <c r="G232" s="114" t="s">
        <v>995</v>
      </c>
      <c r="H232" s="91" t="s">
        <v>996</v>
      </c>
      <c r="I232" s="114" t="s">
        <v>149</v>
      </c>
      <c r="J232" s="83" t="s">
        <v>150</v>
      </c>
      <c r="K232" s="83" t="s">
        <v>151</v>
      </c>
      <c r="L232" s="83" t="s">
        <v>76</v>
      </c>
      <c r="M232" s="82" t="s">
        <v>4126</v>
      </c>
      <c r="N232" s="82" t="s">
        <v>4127</v>
      </c>
      <c r="O232" s="82"/>
      <c r="P232" s="82"/>
      <c r="Q232" s="82"/>
      <c r="R232" s="82"/>
      <c r="S232" s="82" t="s">
        <v>4128</v>
      </c>
      <c r="T232" s="138">
        <v>6.0</v>
      </c>
      <c r="U232" s="331">
        <v>6.0</v>
      </c>
      <c r="V232" s="106">
        <v>0.0</v>
      </c>
      <c r="W232" s="107">
        <v>0.0</v>
      </c>
      <c r="X232" s="107">
        <v>0.0</v>
      </c>
      <c r="Y232" s="107">
        <v>0.0</v>
      </c>
      <c r="Z232" s="80">
        <v>0.0</v>
      </c>
      <c r="AA232" s="140">
        <v>0.0</v>
      </c>
      <c r="AB232" s="109">
        <v>0.0</v>
      </c>
      <c r="AC232" s="109">
        <v>0.0</v>
      </c>
      <c r="AD232" s="141">
        <v>0.0</v>
      </c>
      <c r="AE232" s="80">
        <v>0.0</v>
      </c>
      <c r="AF232" s="140">
        <v>0.0</v>
      </c>
      <c r="AG232" s="109">
        <v>0.0</v>
      </c>
      <c r="AH232" s="109">
        <v>0.0</v>
      </c>
      <c r="AI232" s="141">
        <v>138.0</v>
      </c>
      <c r="AJ232" s="80">
        <v>138.0</v>
      </c>
      <c r="AK232" s="140">
        <v>0.0</v>
      </c>
      <c r="AL232" s="109">
        <v>0.0</v>
      </c>
      <c r="AM232" s="141">
        <v>0.0</v>
      </c>
      <c r="AN232" s="80">
        <v>0.0</v>
      </c>
      <c r="AO232" s="140">
        <v>0.0</v>
      </c>
      <c r="AP232" s="109">
        <v>0.0</v>
      </c>
      <c r="AQ232" s="109">
        <v>20.0</v>
      </c>
      <c r="AR232" s="80">
        <v>20.0</v>
      </c>
      <c r="AS232" s="110">
        <v>0.0</v>
      </c>
      <c r="AT232" s="110">
        <v>0.0</v>
      </c>
      <c r="AU232" s="110">
        <v>0.0</v>
      </c>
      <c r="AV232" s="142">
        <v>0.0</v>
      </c>
      <c r="AW232" s="80">
        <v>0.0</v>
      </c>
      <c r="AX232" s="113">
        <v>158.0</v>
      </c>
      <c r="AY232" s="117">
        <v>138.0</v>
      </c>
      <c r="AZ232" s="328">
        <v>20.0</v>
      </c>
      <c r="BA232" s="315">
        <v>0.0</v>
      </c>
      <c r="BB232" s="316">
        <v>158.0</v>
      </c>
      <c r="BC232" s="132" t="s">
        <v>178</v>
      </c>
      <c r="BD232" s="132" t="s">
        <v>178</v>
      </c>
      <c r="BE232" s="132" t="s">
        <v>178</v>
      </c>
      <c r="BF232" s="123"/>
      <c r="BG232" s="83">
        <v>1178261.0</v>
      </c>
      <c r="BH232" s="112">
        <v>6.0</v>
      </c>
      <c r="BI232" s="98" t="s">
        <v>155</v>
      </c>
      <c r="BJ232" s="98" t="str">
        <f t="shared" si="1"/>
        <v>INTEGRAL</v>
      </c>
      <c r="BK232" s="98" t="str">
        <f t="shared" si="2"/>
        <v>NÃO</v>
      </c>
    </row>
    <row r="233" ht="15.75" customHeight="1">
      <c r="A233" s="111" t="s">
        <v>285</v>
      </c>
      <c r="B233" s="83" t="s">
        <v>988</v>
      </c>
      <c r="C233" s="83" t="s">
        <v>164</v>
      </c>
      <c r="D233" s="83">
        <v>1178261.0</v>
      </c>
      <c r="E233" s="83">
        <v>1179649.0</v>
      </c>
      <c r="F233" s="83"/>
      <c r="G233" s="114" t="s">
        <v>999</v>
      </c>
      <c r="H233" s="91" t="s">
        <v>1000</v>
      </c>
      <c r="I233" s="114" t="s">
        <v>1001</v>
      </c>
      <c r="J233" s="136" t="s">
        <v>992</v>
      </c>
      <c r="K233" s="83" t="s">
        <v>151</v>
      </c>
      <c r="L233" s="83" t="s">
        <v>169</v>
      </c>
      <c r="M233" s="82" t="s">
        <v>4126</v>
      </c>
      <c r="N233" s="82" t="s">
        <v>4127</v>
      </c>
      <c r="O233" s="82"/>
      <c r="P233" s="82"/>
      <c r="Q233" s="82"/>
      <c r="R233" s="82"/>
      <c r="S233" s="82" t="s">
        <v>4128</v>
      </c>
      <c r="T233" s="138">
        <v>3.0</v>
      </c>
      <c r="U233" s="331">
        <v>3.0</v>
      </c>
      <c r="V233" s="106">
        <v>0.0</v>
      </c>
      <c r="W233" s="107">
        <v>0.0</v>
      </c>
      <c r="X233" s="107">
        <v>0.0</v>
      </c>
      <c r="Y233" s="107">
        <v>0.0</v>
      </c>
      <c r="Z233" s="80">
        <v>0.0</v>
      </c>
      <c r="AA233" s="140">
        <v>0.0</v>
      </c>
      <c r="AB233" s="109">
        <v>0.0</v>
      </c>
      <c r="AC233" s="109">
        <v>0.0</v>
      </c>
      <c r="AD233" s="141">
        <v>0.0</v>
      </c>
      <c r="AE233" s="80">
        <v>0.0</v>
      </c>
      <c r="AF233" s="140">
        <v>34.0</v>
      </c>
      <c r="AG233" s="109">
        <v>0.0</v>
      </c>
      <c r="AH233" s="109">
        <v>0.0</v>
      </c>
      <c r="AI233" s="141">
        <v>0.0</v>
      </c>
      <c r="AJ233" s="80">
        <v>34.0</v>
      </c>
      <c r="AK233" s="140">
        <v>0.0</v>
      </c>
      <c r="AL233" s="109">
        <v>0.0</v>
      </c>
      <c r="AM233" s="141">
        <v>0.0</v>
      </c>
      <c r="AN233" s="80">
        <v>0.0</v>
      </c>
      <c r="AO233" s="140">
        <v>0.0</v>
      </c>
      <c r="AP233" s="109">
        <v>0.0</v>
      </c>
      <c r="AQ233" s="109">
        <v>0.0</v>
      </c>
      <c r="AR233" s="80">
        <v>0.0</v>
      </c>
      <c r="AS233" s="110">
        <v>0.0</v>
      </c>
      <c r="AT233" s="110">
        <v>0.0</v>
      </c>
      <c r="AU233" s="110">
        <v>0.0</v>
      </c>
      <c r="AV233" s="142">
        <v>0.0</v>
      </c>
      <c r="AW233" s="80">
        <v>0.0</v>
      </c>
      <c r="AX233" s="113">
        <v>34.0</v>
      </c>
      <c r="AY233" s="117">
        <v>34.0</v>
      </c>
      <c r="AZ233" s="328">
        <v>0.0</v>
      </c>
      <c r="BA233" s="315">
        <v>0.0</v>
      </c>
      <c r="BB233" s="316">
        <v>34.0</v>
      </c>
      <c r="BC233" s="132" t="s">
        <v>373</v>
      </c>
      <c r="BD233" s="132" t="s">
        <v>178</v>
      </c>
      <c r="BE233" s="132" t="s">
        <v>178</v>
      </c>
      <c r="BF233" s="156"/>
      <c r="BG233" s="83">
        <v>1179649.0</v>
      </c>
      <c r="BH233" s="112">
        <v>3.0</v>
      </c>
      <c r="BI233" s="98" t="s">
        <v>155</v>
      </c>
      <c r="BJ233" s="98" t="str">
        <f t="shared" si="1"/>
        <v>NÃO</v>
      </c>
      <c r="BK233" s="98" t="str">
        <f t="shared" si="2"/>
        <v>NÃO</v>
      </c>
    </row>
    <row r="234" ht="15.75" customHeight="1">
      <c r="A234" s="111" t="s">
        <v>285</v>
      </c>
      <c r="B234" s="83" t="s">
        <v>988</v>
      </c>
      <c r="C234" s="83" t="s">
        <v>164</v>
      </c>
      <c r="D234" s="83">
        <v>1179283.0</v>
      </c>
      <c r="E234" s="83">
        <v>1178783.0</v>
      </c>
      <c r="F234" s="83"/>
      <c r="G234" s="114" t="s">
        <v>1002</v>
      </c>
      <c r="H234" s="91" t="s">
        <v>1003</v>
      </c>
      <c r="I234" s="187" t="s">
        <v>1004</v>
      </c>
      <c r="J234" s="136" t="s">
        <v>1005</v>
      </c>
      <c r="K234" s="83" t="s">
        <v>168</v>
      </c>
      <c r="L234" s="83" t="s">
        <v>169</v>
      </c>
      <c r="M234" s="82" t="s">
        <v>3752</v>
      </c>
      <c r="N234" s="82" t="s">
        <v>3753</v>
      </c>
      <c r="O234" s="82" t="s">
        <v>3754</v>
      </c>
      <c r="P234" s="82" t="s">
        <v>3755</v>
      </c>
      <c r="Q234" s="82" t="s">
        <v>3756</v>
      </c>
      <c r="R234" s="82" t="s">
        <v>3757</v>
      </c>
      <c r="S234" s="82" t="s">
        <v>3758</v>
      </c>
      <c r="T234" s="138">
        <v>3.0</v>
      </c>
      <c r="U234" s="323">
        <v>3.0</v>
      </c>
      <c r="V234" s="106">
        <v>0.0</v>
      </c>
      <c r="W234" s="107">
        <v>0.0</v>
      </c>
      <c r="X234" s="107">
        <v>0.0</v>
      </c>
      <c r="Y234" s="107">
        <v>0.0</v>
      </c>
      <c r="Z234" s="80">
        <v>0.0</v>
      </c>
      <c r="AA234" s="140">
        <v>0.0</v>
      </c>
      <c r="AB234" s="109">
        <v>0.0</v>
      </c>
      <c r="AC234" s="109">
        <v>0.0</v>
      </c>
      <c r="AD234" s="141">
        <v>0.0</v>
      </c>
      <c r="AE234" s="80">
        <v>0.0</v>
      </c>
      <c r="AF234" s="140">
        <v>16.0</v>
      </c>
      <c r="AG234" s="109">
        <v>8.0</v>
      </c>
      <c r="AH234" s="109">
        <v>0.0</v>
      </c>
      <c r="AI234" s="141">
        <v>0.0</v>
      </c>
      <c r="AJ234" s="80">
        <v>24.0</v>
      </c>
      <c r="AK234" s="140">
        <v>0.0</v>
      </c>
      <c r="AL234" s="109">
        <v>0.0</v>
      </c>
      <c r="AM234" s="141">
        <v>0.0</v>
      </c>
      <c r="AN234" s="80">
        <v>0.0</v>
      </c>
      <c r="AO234" s="140">
        <v>0.0</v>
      </c>
      <c r="AP234" s="109">
        <v>0.0</v>
      </c>
      <c r="AQ234" s="109">
        <v>0.0</v>
      </c>
      <c r="AR234" s="80">
        <v>0.0</v>
      </c>
      <c r="AS234" s="110">
        <v>0.0</v>
      </c>
      <c r="AT234" s="110">
        <v>0.0</v>
      </c>
      <c r="AU234" s="110">
        <v>0.0</v>
      </c>
      <c r="AV234" s="142">
        <v>0.0</v>
      </c>
      <c r="AW234" s="80">
        <v>0.0</v>
      </c>
      <c r="AX234" s="113">
        <v>24.0</v>
      </c>
      <c r="AY234" s="117">
        <v>24.0</v>
      </c>
      <c r="AZ234" s="328">
        <v>0.0</v>
      </c>
      <c r="BA234" s="315">
        <v>0.0</v>
      </c>
      <c r="BB234" s="316">
        <v>24.0</v>
      </c>
      <c r="BC234" s="132" t="s">
        <v>178</v>
      </c>
      <c r="BD234" s="143" t="s">
        <v>227</v>
      </c>
      <c r="BE234" s="132" t="s">
        <v>178</v>
      </c>
      <c r="BF234" s="123"/>
      <c r="BG234" s="83">
        <v>1178783.0</v>
      </c>
      <c r="BH234" s="112">
        <v>3.0</v>
      </c>
      <c r="BI234" s="98" t="s">
        <v>155</v>
      </c>
      <c r="BJ234" s="98" t="str">
        <f t="shared" si="1"/>
        <v>NÃO</v>
      </c>
      <c r="BK234" s="98" t="str">
        <f t="shared" si="2"/>
        <v>NÃO</v>
      </c>
    </row>
    <row r="235" ht="15.75" customHeight="1">
      <c r="A235" s="111" t="s">
        <v>285</v>
      </c>
      <c r="B235" s="83" t="s">
        <v>988</v>
      </c>
      <c r="C235" s="83" t="s">
        <v>164</v>
      </c>
      <c r="D235" s="83">
        <v>1179283.0</v>
      </c>
      <c r="E235" s="83">
        <v>1178759.0</v>
      </c>
      <c r="F235" s="83"/>
      <c r="G235" s="114" t="s">
        <v>1006</v>
      </c>
      <c r="H235" s="91" t="s">
        <v>1007</v>
      </c>
      <c r="I235" s="187" t="s">
        <v>1008</v>
      </c>
      <c r="J235" s="136" t="s">
        <v>315</v>
      </c>
      <c r="K235" s="83" t="s">
        <v>168</v>
      </c>
      <c r="L235" s="83" t="s">
        <v>169</v>
      </c>
      <c r="M235" s="82" t="s">
        <v>3752</v>
      </c>
      <c r="N235" s="82" t="s">
        <v>3753</v>
      </c>
      <c r="O235" s="82" t="s">
        <v>3754</v>
      </c>
      <c r="P235" s="82" t="s">
        <v>3755</v>
      </c>
      <c r="Q235" s="82" t="s">
        <v>3756</v>
      </c>
      <c r="R235" s="82" t="s">
        <v>3757</v>
      </c>
      <c r="S235" s="82" t="s">
        <v>3758</v>
      </c>
      <c r="T235" s="138">
        <v>3.0</v>
      </c>
      <c r="U235" s="323">
        <v>3.0</v>
      </c>
      <c r="V235" s="106">
        <v>0.0</v>
      </c>
      <c r="W235" s="107">
        <v>0.0</v>
      </c>
      <c r="X235" s="107">
        <v>0.0</v>
      </c>
      <c r="Y235" s="107">
        <v>0.0</v>
      </c>
      <c r="Z235" s="80">
        <v>0.0</v>
      </c>
      <c r="AA235" s="140">
        <v>0.0</v>
      </c>
      <c r="AB235" s="109">
        <v>0.0</v>
      </c>
      <c r="AC235" s="109">
        <v>0.0</v>
      </c>
      <c r="AD235" s="141">
        <v>0.0</v>
      </c>
      <c r="AE235" s="80">
        <v>0.0</v>
      </c>
      <c r="AF235" s="140">
        <v>40.0</v>
      </c>
      <c r="AG235" s="109">
        <v>19.0</v>
      </c>
      <c r="AH235" s="109">
        <v>0.0</v>
      </c>
      <c r="AI235" s="141">
        <v>0.0</v>
      </c>
      <c r="AJ235" s="80">
        <v>59.0</v>
      </c>
      <c r="AK235" s="140">
        <v>0.0</v>
      </c>
      <c r="AL235" s="109">
        <v>0.0</v>
      </c>
      <c r="AM235" s="141">
        <v>0.0</v>
      </c>
      <c r="AN235" s="80">
        <v>0.0</v>
      </c>
      <c r="AO235" s="140">
        <v>0.0</v>
      </c>
      <c r="AP235" s="109">
        <v>0.0</v>
      </c>
      <c r="AQ235" s="109">
        <v>0.0</v>
      </c>
      <c r="AR235" s="80">
        <v>0.0</v>
      </c>
      <c r="AS235" s="110">
        <v>0.0</v>
      </c>
      <c r="AT235" s="110">
        <v>0.0</v>
      </c>
      <c r="AU235" s="110">
        <v>0.0</v>
      </c>
      <c r="AV235" s="142">
        <v>0.0</v>
      </c>
      <c r="AW235" s="80">
        <v>0.0</v>
      </c>
      <c r="AX235" s="113">
        <v>59.0</v>
      </c>
      <c r="AY235" s="117">
        <v>59.0</v>
      </c>
      <c r="AZ235" s="328">
        <v>0.0</v>
      </c>
      <c r="BA235" s="315">
        <v>0.0</v>
      </c>
      <c r="BB235" s="316">
        <v>59.0</v>
      </c>
      <c r="BC235" s="132" t="s">
        <v>178</v>
      </c>
      <c r="BD235" s="143" t="s">
        <v>227</v>
      </c>
      <c r="BE235" s="132" t="s">
        <v>178</v>
      </c>
      <c r="BF235" s="123"/>
      <c r="BG235" s="83">
        <v>1178759.0</v>
      </c>
      <c r="BH235" s="112">
        <v>3.0</v>
      </c>
      <c r="BI235" s="98" t="s">
        <v>155</v>
      </c>
      <c r="BJ235" s="98" t="str">
        <f t="shared" si="1"/>
        <v>NÃO</v>
      </c>
      <c r="BK235" s="98" t="str">
        <f t="shared" si="2"/>
        <v>NÃO</v>
      </c>
    </row>
    <row r="236" ht="15.75" customHeight="1">
      <c r="A236" s="111" t="s">
        <v>285</v>
      </c>
      <c r="B236" s="83" t="s">
        <v>1009</v>
      </c>
      <c r="C236" s="83" t="s">
        <v>45</v>
      </c>
      <c r="D236" s="83">
        <v>2.9577608E7</v>
      </c>
      <c r="E236" s="83"/>
      <c r="F236" s="83">
        <v>2.9577608E7</v>
      </c>
      <c r="G236" s="114" t="s">
        <v>1010</v>
      </c>
      <c r="H236" s="91" t="s">
        <v>1011</v>
      </c>
      <c r="I236" s="114" t="s">
        <v>149</v>
      </c>
      <c r="J236" s="83" t="s">
        <v>1012</v>
      </c>
      <c r="K236" s="83" t="s">
        <v>151</v>
      </c>
      <c r="L236" s="83" t="s">
        <v>152</v>
      </c>
      <c r="M236" s="82" t="s">
        <v>4137</v>
      </c>
      <c r="N236" s="82" t="s">
        <v>4138</v>
      </c>
      <c r="O236" s="82"/>
      <c r="P236" s="82"/>
      <c r="Q236" s="82"/>
      <c r="R236" s="82"/>
      <c r="S236" s="82"/>
      <c r="T236" s="138">
        <v>7.0</v>
      </c>
      <c r="U236" s="364" t="s">
        <v>171</v>
      </c>
      <c r="V236" s="106">
        <v>0.0</v>
      </c>
      <c r="W236" s="107">
        <v>0.0</v>
      </c>
      <c r="X236" s="107">
        <v>0.0</v>
      </c>
      <c r="Y236" s="107">
        <v>0.0</v>
      </c>
      <c r="Z236" s="80">
        <v>0.0</v>
      </c>
      <c r="AA236" s="140">
        <v>0.0</v>
      </c>
      <c r="AB236" s="109">
        <v>0.0</v>
      </c>
      <c r="AC236" s="109">
        <v>0.0</v>
      </c>
      <c r="AD236" s="141">
        <v>50.0</v>
      </c>
      <c r="AE236" s="80">
        <v>50.0</v>
      </c>
      <c r="AF236" s="246">
        <v>0.0</v>
      </c>
      <c r="AG236" s="246">
        <v>0.0</v>
      </c>
      <c r="AH236" s="246">
        <v>0.0</v>
      </c>
      <c r="AI236" s="247">
        <v>50.0</v>
      </c>
      <c r="AJ236" s="80">
        <v>50.0</v>
      </c>
      <c r="AK236" s="140">
        <v>0.0</v>
      </c>
      <c r="AL236" s="109">
        <v>0.0</v>
      </c>
      <c r="AM236" s="141">
        <v>0.0</v>
      </c>
      <c r="AN236" s="80">
        <v>0.0</v>
      </c>
      <c r="AO236" s="246">
        <v>0.0</v>
      </c>
      <c r="AP236" s="246">
        <v>0.0</v>
      </c>
      <c r="AQ236" s="247">
        <v>0.0</v>
      </c>
      <c r="AR236" s="80">
        <v>0.0</v>
      </c>
      <c r="AS236" s="110">
        <v>0.0</v>
      </c>
      <c r="AT236" s="110">
        <v>0.0</v>
      </c>
      <c r="AU236" s="110">
        <v>0.0</v>
      </c>
      <c r="AV236" s="142">
        <v>0.0</v>
      </c>
      <c r="AW236" s="80">
        <v>0.0</v>
      </c>
      <c r="AX236" s="113">
        <v>100.0</v>
      </c>
      <c r="AY236" s="117">
        <v>100.0</v>
      </c>
      <c r="AZ236" s="328">
        <v>0.0</v>
      </c>
      <c r="BA236" s="315">
        <v>0.0</v>
      </c>
      <c r="BB236" s="316">
        <v>100.0</v>
      </c>
      <c r="BC236" s="132" t="s">
        <v>178</v>
      </c>
      <c r="BD236" s="132" t="s">
        <v>178</v>
      </c>
      <c r="BE236" s="132" t="s">
        <v>178</v>
      </c>
      <c r="BF236" s="156"/>
      <c r="BG236" s="83">
        <v>2.9577608E7</v>
      </c>
      <c r="BH236" s="112">
        <v>7.0</v>
      </c>
      <c r="BI236" s="98" t="s">
        <v>155</v>
      </c>
      <c r="BJ236" s="98" t="str">
        <f t="shared" si="1"/>
        <v>INTEGRAL</v>
      </c>
      <c r="BK236" s="98" t="str">
        <f t="shared" si="2"/>
        <v>NÃO</v>
      </c>
    </row>
    <row r="237" ht="15.75" customHeight="1">
      <c r="A237" s="111" t="s">
        <v>285</v>
      </c>
      <c r="B237" s="83" t="s">
        <v>1009</v>
      </c>
      <c r="C237" s="83" t="s">
        <v>68</v>
      </c>
      <c r="D237" s="83">
        <v>1133022.0</v>
      </c>
      <c r="E237" s="83"/>
      <c r="F237" s="83">
        <v>2.9221307E7</v>
      </c>
      <c r="G237" s="119" t="s">
        <v>1016</v>
      </c>
      <c r="H237" s="91" t="s">
        <v>4145</v>
      </c>
      <c r="I237" s="114" t="s">
        <v>149</v>
      </c>
      <c r="J237" s="83" t="s">
        <v>150</v>
      </c>
      <c r="K237" s="83" t="s">
        <v>151</v>
      </c>
      <c r="L237" s="83" t="s">
        <v>169</v>
      </c>
      <c r="M237" s="82" t="s">
        <v>4146</v>
      </c>
      <c r="N237" s="82" t="s">
        <v>4147</v>
      </c>
      <c r="O237" s="82"/>
      <c r="P237" s="82"/>
      <c r="Q237" s="82"/>
      <c r="R237" s="82"/>
      <c r="S237" s="82" t="s">
        <v>4148</v>
      </c>
      <c r="T237" s="138">
        <v>7.0</v>
      </c>
      <c r="U237" s="341">
        <v>7.0</v>
      </c>
      <c r="V237" s="106">
        <v>0.0</v>
      </c>
      <c r="W237" s="107">
        <v>0.0</v>
      </c>
      <c r="X237" s="107">
        <v>0.0</v>
      </c>
      <c r="Y237" s="107">
        <v>0.0</v>
      </c>
      <c r="Z237" s="80">
        <v>0.0</v>
      </c>
      <c r="AA237" s="140">
        <v>0.0</v>
      </c>
      <c r="AB237" s="109">
        <v>0.0</v>
      </c>
      <c r="AC237" s="109">
        <v>0.0</v>
      </c>
      <c r="AD237" s="141">
        <v>0.0</v>
      </c>
      <c r="AE237" s="80">
        <v>0.0</v>
      </c>
      <c r="AF237" s="140">
        <v>70.0</v>
      </c>
      <c r="AG237" s="109">
        <v>135.0</v>
      </c>
      <c r="AH237" s="109">
        <v>0.0</v>
      </c>
      <c r="AI237" s="141">
        <v>0.0</v>
      </c>
      <c r="AJ237" s="80">
        <v>205.0</v>
      </c>
      <c r="AK237" s="140">
        <v>0.0</v>
      </c>
      <c r="AL237" s="109">
        <v>0.0</v>
      </c>
      <c r="AM237" s="141">
        <v>0.0</v>
      </c>
      <c r="AN237" s="80">
        <v>0.0</v>
      </c>
      <c r="AO237" s="140">
        <v>0.0</v>
      </c>
      <c r="AP237" s="109">
        <v>0.0</v>
      </c>
      <c r="AQ237" s="109">
        <v>0.0</v>
      </c>
      <c r="AR237" s="80">
        <v>0.0</v>
      </c>
      <c r="AS237" s="110">
        <v>0.0</v>
      </c>
      <c r="AT237" s="110">
        <v>0.0</v>
      </c>
      <c r="AU237" s="110">
        <v>0.0</v>
      </c>
      <c r="AV237" s="142">
        <v>0.0</v>
      </c>
      <c r="AW237" s="80">
        <v>0.0</v>
      </c>
      <c r="AX237" s="113">
        <v>205.0</v>
      </c>
      <c r="AY237" s="117">
        <v>205.0</v>
      </c>
      <c r="AZ237" s="328">
        <v>0.0</v>
      </c>
      <c r="BA237" s="315">
        <v>0.0</v>
      </c>
      <c r="BB237" s="316">
        <v>205.0</v>
      </c>
      <c r="BC237" s="132" t="s">
        <v>178</v>
      </c>
      <c r="BD237" s="132" t="s">
        <v>178</v>
      </c>
      <c r="BE237" s="132" t="s">
        <v>178</v>
      </c>
      <c r="BF237" s="156"/>
      <c r="BG237" s="83">
        <v>1133022.0</v>
      </c>
      <c r="BH237" s="112">
        <v>7.0</v>
      </c>
      <c r="BI237" s="98" t="s">
        <v>155</v>
      </c>
      <c r="BJ237" s="98" t="str">
        <f t="shared" si="1"/>
        <v>NÃO</v>
      </c>
      <c r="BK237" s="98" t="str">
        <f t="shared" si="2"/>
        <v>NÃO</v>
      </c>
    </row>
    <row r="238" ht="15.75" customHeight="1">
      <c r="A238" s="111" t="s">
        <v>285</v>
      </c>
      <c r="B238" s="83" t="s">
        <v>1009</v>
      </c>
      <c r="C238" s="83" t="s">
        <v>68</v>
      </c>
      <c r="D238" s="83">
        <v>1133138.0</v>
      </c>
      <c r="E238" s="83"/>
      <c r="F238" s="83">
        <v>2.9220076E7</v>
      </c>
      <c r="G238" s="114" t="s">
        <v>4153</v>
      </c>
      <c r="H238" s="91" t="s">
        <v>1025</v>
      </c>
      <c r="I238" s="114" t="s">
        <v>149</v>
      </c>
      <c r="J238" s="83" t="s">
        <v>150</v>
      </c>
      <c r="K238" s="83" t="s">
        <v>151</v>
      </c>
      <c r="L238" s="83" t="s">
        <v>230</v>
      </c>
      <c r="M238" s="82" t="s">
        <v>4155</v>
      </c>
      <c r="N238" s="82" t="s">
        <v>4156</v>
      </c>
      <c r="O238" s="82" t="s">
        <v>4157</v>
      </c>
      <c r="P238" s="82" t="s">
        <v>4158</v>
      </c>
      <c r="Q238" s="82" t="s">
        <v>4159</v>
      </c>
      <c r="R238" s="82" t="s">
        <v>4160</v>
      </c>
      <c r="S238" s="82" t="s">
        <v>4161</v>
      </c>
      <c r="T238" s="138">
        <v>14.0</v>
      </c>
      <c r="U238" s="341">
        <v>12.0</v>
      </c>
      <c r="V238" s="106">
        <v>0.0</v>
      </c>
      <c r="W238" s="107">
        <v>0.0</v>
      </c>
      <c r="X238" s="107">
        <v>0.0</v>
      </c>
      <c r="Y238" s="107">
        <v>0.0</v>
      </c>
      <c r="Z238" s="80">
        <v>0.0</v>
      </c>
      <c r="AA238" s="140">
        <v>0.0</v>
      </c>
      <c r="AB238" s="109">
        <v>0.0</v>
      </c>
      <c r="AC238" s="109">
        <v>0.0</v>
      </c>
      <c r="AD238" s="141">
        <v>0.0</v>
      </c>
      <c r="AE238" s="80">
        <v>0.0</v>
      </c>
      <c r="AF238" s="140">
        <v>353.0</v>
      </c>
      <c r="AG238" s="109">
        <v>408.0</v>
      </c>
      <c r="AH238" s="109">
        <v>33.0</v>
      </c>
      <c r="AI238" s="141">
        <v>45.0</v>
      </c>
      <c r="AJ238" s="80">
        <v>839.0</v>
      </c>
      <c r="AK238" s="140">
        <v>0.0</v>
      </c>
      <c r="AL238" s="109">
        <v>0.0</v>
      </c>
      <c r="AM238" s="141">
        <v>0.0</v>
      </c>
      <c r="AN238" s="80">
        <v>0.0</v>
      </c>
      <c r="AO238" s="140">
        <v>0.0</v>
      </c>
      <c r="AP238" s="109">
        <v>0.0</v>
      </c>
      <c r="AQ238" s="109">
        <v>132.0</v>
      </c>
      <c r="AR238" s="80">
        <v>132.0</v>
      </c>
      <c r="AS238" s="110">
        <v>0.0</v>
      </c>
      <c r="AT238" s="110">
        <v>0.0</v>
      </c>
      <c r="AU238" s="110">
        <v>0.0</v>
      </c>
      <c r="AV238" s="142">
        <v>0.0</v>
      </c>
      <c r="AW238" s="80">
        <v>0.0</v>
      </c>
      <c r="AX238" s="113">
        <v>971.0</v>
      </c>
      <c r="AY238" s="117">
        <v>806.0</v>
      </c>
      <c r="AZ238" s="328">
        <v>165.0</v>
      </c>
      <c r="BA238" s="315">
        <v>0.0</v>
      </c>
      <c r="BB238" s="316">
        <v>971.0</v>
      </c>
      <c r="BC238" s="132" t="s">
        <v>178</v>
      </c>
      <c r="BD238" s="132" t="s">
        <v>178</v>
      </c>
      <c r="BE238" s="132" t="s">
        <v>178</v>
      </c>
      <c r="BF238" s="156"/>
      <c r="BG238" s="83">
        <v>1133138.0</v>
      </c>
      <c r="BH238" s="112">
        <v>12.0</v>
      </c>
      <c r="BI238" s="98" t="s">
        <v>284</v>
      </c>
      <c r="BJ238" s="98" t="str">
        <f t="shared" si="1"/>
        <v>INTEGRAL</v>
      </c>
      <c r="BK238" s="98" t="str">
        <f t="shared" si="2"/>
        <v>NÃO</v>
      </c>
    </row>
    <row r="239" ht="15.75" customHeight="1">
      <c r="A239" s="111" t="s">
        <v>285</v>
      </c>
      <c r="B239" s="83" t="s">
        <v>1009</v>
      </c>
      <c r="C239" s="83" t="s">
        <v>68</v>
      </c>
      <c r="D239" s="83">
        <v>1179283.0</v>
      </c>
      <c r="E239" s="83"/>
      <c r="F239" s="83">
        <v>2.9461502E7</v>
      </c>
      <c r="G239" s="114" t="s">
        <v>1020</v>
      </c>
      <c r="H239" s="91" t="s">
        <v>1021</v>
      </c>
      <c r="I239" s="298" t="s">
        <v>149</v>
      </c>
      <c r="J239" s="83" t="s">
        <v>150</v>
      </c>
      <c r="K239" s="83" t="s">
        <v>1022</v>
      </c>
      <c r="L239" s="172" t="s">
        <v>230</v>
      </c>
      <c r="M239" s="82" t="s">
        <v>3752</v>
      </c>
      <c r="N239" s="82" t="s">
        <v>3753</v>
      </c>
      <c r="O239" s="82" t="s">
        <v>3754</v>
      </c>
      <c r="P239" s="82" t="s">
        <v>3755</v>
      </c>
      <c r="Q239" s="82" t="s">
        <v>3756</v>
      </c>
      <c r="R239" s="82" t="s">
        <v>3757</v>
      </c>
      <c r="S239" s="82" t="s">
        <v>3758</v>
      </c>
      <c r="T239" s="138" t="s">
        <v>171</v>
      </c>
      <c r="U239" s="341">
        <v>3.0</v>
      </c>
      <c r="V239" s="106">
        <v>0.0</v>
      </c>
      <c r="W239" s="107">
        <v>0.0</v>
      </c>
      <c r="X239" s="107">
        <v>0.0</v>
      </c>
      <c r="Y239" s="107">
        <v>0.0</v>
      </c>
      <c r="Z239" s="80">
        <v>0.0</v>
      </c>
      <c r="AA239" s="140">
        <v>0.0</v>
      </c>
      <c r="AB239" s="109">
        <v>0.0</v>
      </c>
      <c r="AC239" s="109">
        <v>0.0</v>
      </c>
      <c r="AD239" s="141">
        <v>0.0</v>
      </c>
      <c r="AE239" s="80">
        <v>0.0</v>
      </c>
      <c r="AF239" s="140">
        <v>0.0</v>
      </c>
      <c r="AG239" s="109">
        <v>0.0</v>
      </c>
      <c r="AH239" s="109">
        <v>0.0</v>
      </c>
      <c r="AI239" s="141">
        <v>0.0</v>
      </c>
      <c r="AJ239" s="80">
        <v>0.0</v>
      </c>
      <c r="AK239" s="140">
        <v>0.0</v>
      </c>
      <c r="AL239" s="109">
        <v>0.0</v>
      </c>
      <c r="AM239" s="141">
        <v>0.0</v>
      </c>
      <c r="AN239" s="80">
        <v>0.0</v>
      </c>
      <c r="AO239" s="140">
        <v>0.0</v>
      </c>
      <c r="AP239" s="109">
        <v>0.0</v>
      </c>
      <c r="AQ239" s="109">
        <v>0.0</v>
      </c>
      <c r="AR239" s="80">
        <v>0.0</v>
      </c>
      <c r="AS239" s="110">
        <v>0.0</v>
      </c>
      <c r="AT239" s="110">
        <v>0.0</v>
      </c>
      <c r="AU239" s="110">
        <v>0.0</v>
      </c>
      <c r="AV239" s="142">
        <v>0.0</v>
      </c>
      <c r="AW239" s="80">
        <v>0.0</v>
      </c>
      <c r="AX239" s="113">
        <v>0.0</v>
      </c>
      <c r="AY239" s="117">
        <v>0.0</v>
      </c>
      <c r="AZ239" s="328">
        <v>0.0</v>
      </c>
      <c r="BA239" s="315">
        <v>0.0</v>
      </c>
      <c r="BB239" s="316">
        <v>0.0</v>
      </c>
      <c r="BC239" s="132" t="s">
        <v>178</v>
      </c>
      <c r="BD239" s="143" t="s">
        <v>227</v>
      </c>
      <c r="BE239" s="132" t="s">
        <v>178</v>
      </c>
      <c r="BF239" s="156" t="s">
        <v>534</v>
      </c>
      <c r="BG239" s="83">
        <v>1179283.0</v>
      </c>
      <c r="BH239" s="112">
        <v>3.0</v>
      </c>
      <c r="BI239" s="98" t="s">
        <v>155</v>
      </c>
      <c r="BJ239" s="98" t="str">
        <f t="shared" si="1"/>
        <v>NÃO</v>
      </c>
      <c r="BK239" s="98" t="str">
        <f t="shared" si="2"/>
        <v>NÃO</v>
      </c>
    </row>
    <row r="240" ht="15.75" customHeight="1">
      <c r="A240" s="111" t="s">
        <v>285</v>
      </c>
      <c r="B240" s="83" t="s">
        <v>1009</v>
      </c>
      <c r="C240" s="83" t="s">
        <v>68</v>
      </c>
      <c r="D240" s="83">
        <v>1133073.0</v>
      </c>
      <c r="E240" s="83"/>
      <c r="F240" s="83">
        <v>2.9220246E7</v>
      </c>
      <c r="G240" s="114" t="s">
        <v>2320</v>
      </c>
      <c r="H240" s="91" t="s">
        <v>4174</v>
      </c>
      <c r="I240" s="114" t="s">
        <v>4175</v>
      </c>
      <c r="J240" s="83" t="s">
        <v>150</v>
      </c>
      <c r="K240" s="83" t="s">
        <v>151</v>
      </c>
      <c r="L240" s="172" t="s">
        <v>230</v>
      </c>
      <c r="M240" s="82" t="s">
        <v>4176</v>
      </c>
      <c r="N240" s="82" t="s">
        <v>4178</v>
      </c>
      <c r="O240" s="82" t="s">
        <v>4180</v>
      </c>
      <c r="P240" s="82" t="s">
        <v>4181</v>
      </c>
      <c r="Q240" s="82" t="s">
        <v>4182</v>
      </c>
      <c r="R240" s="82" t="s">
        <v>4184</v>
      </c>
      <c r="S240" s="82" t="s">
        <v>4185</v>
      </c>
      <c r="T240" s="138">
        <v>8.0</v>
      </c>
      <c r="U240" s="341">
        <v>6.0</v>
      </c>
      <c r="V240" s="106">
        <v>0.0</v>
      </c>
      <c r="W240" s="107">
        <v>0.0</v>
      </c>
      <c r="X240" s="107">
        <v>0.0</v>
      </c>
      <c r="Y240" s="107">
        <v>0.0</v>
      </c>
      <c r="Z240" s="80">
        <v>0.0</v>
      </c>
      <c r="AA240" s="140">
        <v>0.0</v>
      </c>
      <c r="AB240" s="109">
        <v>0.0</v>
      </c>
      <c r="AC240" s="109">
        <v>0.0</v>
      </c>
      <c r="AD240" s="141">
        <v>0.0</v>
      </c>
      <c r="AE240" s="80">
        <v>0.0</v>
      </c>
      <c r="AF240" s="140">
        <v>0.0</v>
      </c>
      <c r="AG240" s="109">
        <v>0.0</v>
      </c>
      <c r="AH240" s="109">
        <v>0.0</v>
      </c>
      <c r="AI240" s="141">
        <v>0.0</v>
      </c>
      <c r="AJ240" s="80">
        <v>0.0</v>
      </c>
      <c r="AK240" s="140">
        <v>0.0</v>
      </c>
      <c r="AL240" s="109">
        <v>0.0</v>
      </c>
      <c r="AM240" s="141">
        <v>0.0</v>
      </c>
      <c r="AN240" s="80">
        <v>0.0</v>
      </c>
      <c r="AO240" s="140">
        <v>0.0</v>
      </c>
      <c r="AP240" s="109">
        <v>0.0</v>
      </c>
      <c r="AQ240" s="109">
        <v>0.0</v>
      </c>
      <c r="AR240" s="80">
        <v>0.0</v>
      </c>
      <c r="AS240" s="110">
        <v>204.0</v>
      </c>
      <c r="AT240" s="110">
        <v>179.0</v>
      </c>
      <c r="AU240" s="110">
        <v>118.0</v>
      </c>
      <c r="AV240" s="142">
        <v>0.0</v>
      </c>
      <c r="AW240" s="80">
        <v>501.0</v>
      </c>
      <c r="AX240" s="113">
        <v>501.0</v>
      </c>
      <c r="AY240" s="117">
        <v>383.0</v>
      </c>
      <c r="AZ240" s="328">
        <v>118.0</v>
      </c>
      <c r="BA240" s="315">
        <v>0.0</v>
      </c>
      <c r="BB240" s="316">
        <v>501.0</v>
      </c>
      <c r="BC240" s="132" t="s">
        <v>178</v>
      </c>
      <c r="BD240" s="132" t="s">
        <v>779</v>
      </c>
      <c r="BE240" s="132" t="s">
        <v>178</v>
      </c>
      <c r="BF240" s="156"/>
      <c r="BG240" s="83">
        <v>1133073.0</v>
      </c>
      <c r="BH240" s="112">
        <v>6.0</v>
      </c>
      <c r="BI240" s="98" t="s">
        <v>155</v>
      </c>
      <c r="BJ240" s="98" t="str">
        <f t="shared" si="1"/>
        <v>NÃO</v>
      </c>
      <c r="BK240" s="98" t="str">
        <f t="shared" si="2"/>
        <v>PROFISSIONAL</v>
      </c>
    </row>
    <row r="241" ht="15.75" customHeight="1">
      <c r="A241" s="111" t="s">
        <v>285</v>
      </c>
      <c r="B241" s="83" t="s">
        <v>1009</v>
      </c>
      <c r="C241" s="83" t="s">
        <v>164</v>
      </c>
      <c r="D241" s="83">
        <v>1133022.0</v>
      </c>
      <c r="E241" s="83">
        <v>1179703.0</v>
      </c>
      <c r="F241" s="83"/>
      <c r="G241" s="187" t="s">
        <v>4186</v>
      </c>
      <c r="H241" s="91" t="s">
        <v>1039</v>
      </c>
      <c r="I241" s="298" t="s">
        <v>149</v>
      </c>
      <c r="J241" s="172" t="s">
        <v>1040</v>
      </c>
      <c r="K241" s="83" t="s">
        <v>168</v>
      </c>
      <c r="L241" s="83" t="s">
        <v>169</v>
      </c>
      <c r="M241" s="82" t="s">
        <v>4146</v>
      </c>
      <c r="N241" s="82" t="s">
        <v>4147</v>
      </c>
      <c r="O241" s="82"/>
      <c r="P241" s="82"/>
      <c r="Q241" s="82"/>
      <c r="R241" s="82"/>
      <c r="S241" s="82" t="s">
        <v>4148</v>
      </c>
      <c r="T241" s="138">
        <v>4.0</v>
      </c>
      <c r="U241" s="341">
        <v>4.0</v>
      </c>
      <c r="V241" s="106">
        <v>0.0</v>
      </c>
      <c r="W241" s="107">
        <v>0.0</v>
      </c>
      <c r="X241" s="107">
        <v>0.0</v>
      </c>
      <c r="Y241" s="107">
        <v>0.0</v>
      </c>
      <c r="Z241" s="80">
        <v>0.0</v>
      </c>
      <c r="AA241" s="140">
        <v>0.0</v>
      </c>
      <c r="AB241" s="109">
        <v>0.0</v>
      </c>
      <c r="AC241" s="109">
        <v>0.0</v>
      </c>
      <c r="AD241" s="141">
        <v>0.0</v>
      </c>
      <c r="AE241" s="80">
        <v>0.0</v>
      </c>
      <c r="AF241" s="140">
        <v>0.0</v>
      </c>
      <c r="AG241" s="109">
        <v>0.0</v>
      </c>
      <c r="AH241" s="109">
        <v>0.0</v>
      </c>
      <c r="AI241" s="141">
        <v>0.0</v>
      </c>
      <c r="AJ241" s="80">
        <v>0.0</v>
      </c>
      <c r="AK241" s="140">
        <v>0.0</v>
      </c>
      <c r="AL241" s="109">
        <v>0.0</v>
      </c>
      <c r="AM241" s="141">
        <v>0.0</v>
      </c>
      <c r="AN241" s="80">
        <v>0.0</v>
      </c>
      <c r="AO241" s="140">
        <v>0.0</v>
      </c>
      <c r="AP241" s="109">
        <v>0.0</v>
      </c>
      <c r="AQ241" s="109">
        <v>15.0</v>
      </c>
      <c r="AR241" s="80">
        <v>15.0</v>
      </c>
      <c r="AS241" s="110">
        <v>0.0</v>
      </c>
      <c r="AT241" s="110">
        <v>0.0</v>
      </c>
      <c r="AU241" s="110">
        <v>0.0</v>
      </c>
      <c r="AV241" s="142">
        <v>0.0</v>
      </c>
      <c r="AW241" s="80">
        <v>0.0</v>
      </c>
      <c r="AX241" s="113">
        <v>15.0</v>
      </c>
      <c r="AY241" s="117">
        <v>0.0</v>
      </c>
      <c r="AZ241" s="328">
        <v>15.0</v>
      </c>
      <c r="BA241" s="315">
        <v>0.0</v>
      </c>
      <c r="BB241" s="316">
        <v>15.0</v>
      </c>
      <c r="BC241" s="132" t="s">
        <v>373</v>
      </c>
      <c r="BD241" s="132" t="s">
        <v>178</v>
      </c>
      <c r="BE241" s="132" t="s">
        <v>178</v>
      </c>
      <c r="BF241" s="361"/>
      <c r="BG241" s="83">
        <v>1179703.0</v>
      </c>
      <c r="BH241" s="112">
        <v>4.0</v>
      </c>
      <c r="BI241" s="98" t="s">
        <v>155</v>
      </c>
      <c r="BJ241" s="98" t="str">
        <f t="shared" si="1"/>
        <v>NÃO</v>
      </c>
      <c r="BK241" s="98" t="str">
        <f t="shared" si="2"/>
        <v>NÃO</v>
      </c>
    </row>
    <row r="242" ht="15.75" customHeight="1">
      <c r="A242" s="111" t="s">
        <v>285</v>
      </c>
      <c r="B242" s="83" t="s">
        <v>1009</v>
      </c>
      <c r="C242" s="83" t="s">
        <v>164</v>
      </c>
      <c r="D242" s="83">
        <v>1133138.0</v>
      </c>
      <c r="E242" s="83">
        <v>1178970.0</v>
      </c>
      <c r="F242" s="83"/>
      <c r="G242" s="114" t="s">
        <v>4192</v>
      </c>
      <c r="H242" s="91" t="s">
        <v>1034</v>
      </c>
      <c r="I242" s="298" t="s">
        <v>1035</v>
      </c>
      <c r="J242" s="83" t="s">
        <v>839</v>
      </c>
      <c r="K242" s="83" t="s">
        <v>151</v>
      </c>
      <c r="L242" s="83" t="s">
        <v>169</v>
      </c>
      <c r="M242" s="82" t="s">
        <v>4155</v>
      </c>
      <c r="N242" s="82" t="s">
        <v>4156</v>
      </c>
      <c r="O242" s="82" t="s">
        <v>4157</v>
      </c>
      <c r="P242" s="82" t="s">
        <v>4158</v>
      </c>
      <c r="Q242" s="82" t="s">
        <v>4159</v>
      </c>
      <c r="R242" s="82" t="s">
        <v>4160</v>
      </c>
      <c r="S242" s="82" t="s">
        <v>4161</v>
      </c>
      <c r="T242" s="138">
        <v>3.0</v>
      </c>
      <c r="U242" s="341">
        <v>3.0</v>
      </c>
      <c r="V242" s="106">
        <v>0.0</v>
      </c>
      <c r="W242" s="107">
        <v>0.0</v>
      </c>
      <c r="X242" s="107">
        <v>0.0</v>
      </c>
      <c r="Y242" s="107">
        <v>0.0</v>
      </c>
      <c r="Z242" s="80">
        <v>0.0</v>
      </c>
      <c r="AA242" s="140">
        <v>0.0</v>
      </c>
      <c r="AB242" s="109">
        <v>0.0</v>
      </c>
      <c r="AC242" s="109">
        <v>0.0</v>
      </c>
      <c r="AD242" s="141">
        <v>0.0</v>
      </c>
      <c r="AE242" s="80">
        <v>0.0</v>
      </c>
      <c r="AF242" s="140">
        <v>0.0</v>
      </c>
      <c r="AG242" s="109">
        <v>89.0</v>
      </c>
      <c r="AH242" s="109">
        <v>0.0</v>
      </c>
      <c r="AI242" s="141">
        <v>0.0</v>
      </c>
      <c r="AJ242" s="80">
        <v>89.0</v>
      </c>
      <c r="AK242" s="140">
        <v>0.0</v>
      </c>
      <c r="AL242" s="109">
        <v>0.0</v>
      </c>
      <c r="AM242" s="141">
        <v>0.0</v>
      </c>
      <c r="AN242" s="80">
        <v>0.0</v>
      </c>
      <c r="AO242" s="140">
        <v>0.0</v>
      </c>
      <c r="AP242" s="109">
        <v>0.0</v>
      </c>
      <c r="AQ242" s="109">
        <v>0.0</v>
      </c>
      <c r="AR242" s="80">
        <v>0.0</v>
      </c>
      <c r="AS242" s="110">
        <v>0.0</v>
      </c>
      <c r="AT242" s="110">
        <v>0.0</v>
      </c>
      <c r="AU242" s="110">
        <v>0.0</v>
      </c>
      <c r="AV242" s="142">
        <v>0.0</v>
      </c>
      <c r="AW242" s="80">
        <v>0.0</v>
      </c>
      <c r="AX242" s="113">
        <v>89.0</v>
      </c>
      <c r="AY242" s="117">
        <v>89.0</v>
      </c>
      <c r="AZ242" s="328">
        <v>0.0</v>
      </c>
      <c r="BA242" s="315">
        <v>0.0</v>
      </c>
      <c r="BB242" s="316">
        <v>89.0</v>
      </c>
      <c r="BC242" s="132" t="s">
        <v>373</v>
      </c>
      <c r="BD242" s="132" t="s">
        <v>178</v>
      </c>
      <c r="BE242" s="132" t="s">
        <v>178</v>
      </c>
      <c r="BF242" s="123"/>
      <c r="BG242" s="83">
        <v>1178970.0</v>
      </c>
      <c r="BH242" s="112">
        <v>3.0</v>
      </c>
      <c r="BI242" s="98" t="s">
        <v>155</v>
      </c>
      <c r="BJ242" s="98" t="str">
        <f t="shared" si="1"/>
        <v>NÃO</v>
      </c>
      <c r="BK242" s="98" t="str">
        <f t="shared" si="2"/>
        <v>NÃO</v>
      </c>
    </row>
    <row r="243" ht="15.75" customHeight="1">
      <c r="A243" s="111" t="s">
        <v>285</v>
      </c>
      <c r="B243" s="83" t="s">
        <v>1009</v>
      </c>
      <c r="C243" s="83" t="s">
        <v>164</v>
      </c>
      <c r="D243" s="83">
        <v>1133138.0</v>
      </c>
      <c r="E243" s="83">
        <v>1178971.0</v>
      </c>
      <c r="F243" s="83"/>
      <c r="G243" s="114" t="s">
        <v>2322</v>
      </c>
      <c r="H243" s="91" t="s">
        <v>4196</v>
      </c>
      <c r="I243" s="187" t="s">
        <v>4197</v>
      </c>
      <c r="J243" s="83" t="s">
        <v>767</v>
      </c>
      <c r="K243" s="83" t="s">
        <v>151</v>
      </c>
      <c r="L243" s="83" t="s">
        <v>169</v>
      </c>
      <c r="M243" s="82" t="s">
        <v>4155</v>
      </c>
      <c r="N243" s="82" t="s">
        <v>4156</v>
      </c>
      <c r="O243" s="82" t="s">
        <v>4157</v>
      </c>
      <c r="P243" s="82" t="s">
        <v>4158</v>
      </c>
      <c r="Q243" s="82" t="s">
        <v>4159</v>
      </c>
      <c r="R243" s="82" t="s">
        <v>4160</v>
      </c>
      <c r="S243" s="82" t="s">
        <v>4161</v>
      </c>
      <c r="T243" s="138">
        <v>3.0</v>
      </c>
      <c r="U243" s="341" t="s">
        <v>4200</v>
      </c>
      <c r="V243" s="106">
        <v>0.0</v>
      </c>
      <c r="W243" s="107">
        <v>0.0</v>
      </c>
      <c r="X243" s="107">
        <v>0.0</v>
      </c>
      <c r="Y243" s="107">
        <v>0.0</v>
      </c>
      <c r="Z243" s="80">
        <v>0.0</v>
      </c>
      <c r="AA243" s="140">
        <v>0.0</v>
      </c>
      <c r="AB243" s="109">
        <v>0.0</v>
      </c>
      <c r="AC243" s="109">
        <v>0.0</v>
      </c>
      <c r="AD243" s="141">
        <v>0.0</v>
      </c>
      <c r="AE243" s="80">
        <v>0.0</v>
      </c>
      <c r="AF243" s="140">
        <v>81.0</v>
      </c>
      <c r="AG243" s="109">
        <v>81.0</v>
      </c>
      <c r="AH243" s="109">
        <v>0.0</v>
      </c>
      <c r="AI243" s="141">
        <v>0.0</v>
      </c>
      <c r="AJ243" s="80">
        <v>162.0</v>
      </c>
      <c r="AK243" s="140">
        <v>0.0</v>
      </c>
      <c r="AL243" s="109">
        <v>0.0</v>
      </c>
      <c r="AM243" s="141">
        <v>0.0</v>
      </c>
      <c r="AN243" s="80">
        <v>0.0</v>
      </c>
      <c r="AO243" s="140">
        <v>0.0</v>
      </c>
      <c r="AP243" s="109">
        <v>0.0</v>
      </c>
      <c r="AQ243" s="109">
        <v>0.0</v>
      </c>
      <c r="AR243" s="80">
        <v>0.0</v>
      </c>
      <c r="AS243" s="110">
        <v>0.0</v>
      </c>
      <c r="AT243" s="110">
        <v>0.0</v>
      </c>
      <c r="AU243" s="110">
        <v>0.0</v>
      </c>
      <c r="AV243" s="142">
        <v>0.0</v>
      </c>
      <c r="AW243" s="80">
        <v>0.0</v>
      </c>
      <c r="AX243" s="113">
        <v>162.0</v>
      </c>
      <c r="AY243" s="117">
        <v>162.0</v>
      </c>
      <c r="AZ243" s="328">
        <v>0.0</v>
      </c>
      <c r="BA243" s="315">
        <v>0.0</v>
      </c>
      <c r="BB243" s="316">
        <v>162.0</v>
      </c>
      <c r="BC243" s="132" t="s">
        <v>265</v>
      </c>
      <c r="BD243" s="132" t="s">
        <v>178</v>
      </c>
      <c r="BE243" s="132" t="s">
        <v>178</v>
      </c>
      <c r="BF243" s="123"/>
      <c r="BG243" s="83">
        <v>1178971.0</v>
      </c>
      <c r="BH243" s="112">
        <v>2.0</v>
      </c>
      <c r="BI243" s="98" t="s">
        <v>155</v>
      </c>
      <c r="BJ243" s="98" t="str">
        <f t="shared" si="1"/>
        <v>NÃO</v>
      </c>
      <c r="BK243" s="98" t="str">
        <f t="shared" si="2"/>
        <v>NÃO</v>
      </c>
    </row>
    <row r="244" ht="15.75" customHeight="1">
      <c r="A244" s="111" t="s">
        <v>285</v>
      </c>
      <c r="B244" s="83" t="s">
        <v>1043</v>
      </c>
      <c r="C244" s="83" t="s">
        <v>68</v>
      </c>
      <c r="D244" s="83">
        <v>1133235.0</v>
      </c>
      <c r="E244" s="83"/>
      <c r="F244" s="83">
        <v>2.9067391E7</v>
      </c>
      <c r="G244" s="114" t="s">
        <v>4204</v>
      </c>
      <c r="H244" s="91" t="s">
        <v>1050</v>
      </c>
      <c r="I244" s="114" t="s">
        <v>149</v>
      </c>
      <c r="J244" s="83" t="s">
        <v>150</v>
      </c>
      <c r="K244" s="83" t="s">
        <v>151</v>
      </c>
      <c r="L244" s="83" t="s">
        <v>230</v>
      </c>
      <c r="M244" s="82" t="s">
        <v>4206</v>
      </c>
      <c r="N244" s="82" t="s">
        <v>4207</v>
      </c>
      <c r="O244" s="82" t="s">
        <v>4208</v>
      </c>
      <c r="P244" s="82" t="s">
        <v>4209</v>
      </c>
      <c r="Q244" s="82" t="s">
        <v>4210</v>
      </c>
      <c r="R244" s="82" t="s">
        <v>4211</v>
      </c>
      <c r="S244" s="82" t="s">
        <v>4212</v>
      </c>
      <c r="T244" s="138">
        <v>10.0</v>
      </c>
      <c r="U244" s="341">
        <v>7.0</v>
      </c>
      <c r="V244" s="106">
        <v>0.0</v>
      </c>
      <c r="W244" s="107">
        <v>0.0</v>
      </c>
      <c r="X244" s="107">
        <v>0.0</v>
      </c>
      <c r="Y244" s="107">
        <v>0.0</v>
      </c>
      <c r="Z244" s="80">
        <v>0.0</v>
      </c>
      <c r="AA244" s="140">
        <v>0.0</v>
      </c>
      <c r="AB244" s="109">
        <v>0.0</v>
      </c>
      <c r="AC244" s="109">
        <v>0.0</v>
      </c>
      <c r="AD244" s="141">
        <v>0.0</v>
      </c>
      <c r="AE244" s="80">
        <v>0.0</v>
      </c>
      <c r="AF244" s="140">
        <v>150.0</v>
      </c>
      <c r="AG244" s="109">
        <v>210.0</v>
      </c>
      <c r="AH244" s="109">
        <v>0.0</v>
      </c>
      <c r="AI244" s="141">
        <v>126.0</v>
      </c>
      <c r="AJ244" s="80">
        <v>486.0</v>
      </c>
      <c r="AK244" s="140">
        <v>0.0</v>
      </c>
      <c r="AL244" s="109">
        <v>0.0</v>
      </c>
      <c r="AM244" s="141">
        <v>0.0</v>
      </c>
      <c r="AN244" s="80">
        <v>0.0</v>
      </c>
      <c r="AO244" s="140">
        <v>0.0</v>
      </c>
      <c r="AP244" s="109">
        <v>0.0</v>
      </c>
      <c r="AQ244" s="109">
        <v>67.0</v>
      </c>
      <c r="AR244" s="80">
        <v>67.0</v>
      </c>
      <c r="AS244" s="110">
        <v>0.0</v>
      </c>
      <c r="AT244" s="110">
        <v>0.0</v>
      </c>
      <c r="AU244" s="110">
        <v>0.0</v>
      </c>
      <c r="AV244" s="142">
        <v>0.0</v>
      </c>
      <c r="AW244" s="80">
        <v>0.0</v>
      </c>
      <c r="AX244" s="113">
        <v>553.0</v>
      </c>
      <c r="AY244" s="117">
        <v>486.0</v>
      </c>
      <c r="AZ244" s="328">
        <v>67.0</v>
      </c>
      <c r="BA244" s="315">
        <v>0.0</v>
      </c>
      <c r="BB244" s="316">
        <v>553.0</v>
      </c>
      <c r="BC244" s="132" t="s">
        <v>178</v>
      </c>
      <c r="BD244" s="132" t="s">
        <v>178</v>
      </c>
      <c r="BE244" s="132" t="s">
        <v>178</v>
      </c>
      <c r="BF244" s="156"/>
      <c r="BG244" s="83">
        <v>1133235.0</v>
      </c>
      <c r="BH244" s="112">
        <v>7.0</v>
      </c>
      <c r="BI244" s="98" t="s">
        <v>155</v>
      </c>
      <c r="BJ244" s="98" t="str">
        <f t="shared" si="1"/>
        <v>INTEGRAL</v>
      </c>
      <c r="BK244" s="98" t="str">
        <f t="shared" si="2"/>
        <v>NÃO</v>
      </c>
    </row>
    <row r="245" ht="15.75" customHeight="1">
      <c r="A245" s="111" t="s">
        <v>285</v>
      </c>
      <c r="B245" s="83" t="s">
        <v>1043</v>
      </c>
      <c r="C245" s="83" t="s">
        <v>164</v>
      </c>
      <c r="D245" s="83">
        <v>1133235.0</v>
      </c>
      <c r="E245" s="83">
        <v>1178972.0</v>
      </c>
      <c r="F245" s="83"/>
      <c r="G245" s="114" t="s">
        <v>2210</v>
      </c>
      <c r="H245" s="91" t="s">
        <v>4217</v>
      </c>
      <c r="I245" s="298" t="s">
        <v>1046</v>
      </c>
      <c r="J245" s="83" t="s">
        <v>890</v>
      </c>
      <c r="K245" s="83" t="s">
        <v>168</v>
      </c>
      <c r="L245" s="83" t="s">
        <v>169</v>
      </c>
      <c r="M245" s="82" t="s">
        <v>4206</v>
      </c>
      <c r="N245" s="82" t="s">
        <v>4207</v>
      </c>
      <c r="O245" s="82" t="s">
        <v>4208</v>
      </c>
      <c r="P245" s="82" t="s">
        <v>4209</v>
      </c>
      <c r="Q245" s="82" t="s">
        <v>4210</v>
      </c>
      <c r="R245" s="82" t="s">
        <v>4211</v>
      </c>
      <c r="S245" s="82" t="s">
        <v>4212</v>
      </c>
      <c r="T245" s="138">
        <v>3.0</v>
      </c>
      <c r="U245" s="341">
        <v>3.0</v>
      </c>
      <c r="V245" s="106">
        <v>0.0</v>
      </c>
      <c r="W245" s="107">
        <v>0.0</v>
      </c>
      <c r="X245" s="107">
        <v>0.0</v>
      </c>
      <c r="Y245" s="107">
        <v>0.0</v>
      </c>
      <c r="Z245" s="80">
        <v>0.0</v>
      </c>
      <c r="AA245" s="140">
        <v>0.0</v>
      </c>
      <c r="AB245" s="109">
        <v>0.0</v>
      </c>
      <c r="AC245" s="109">
        <v>0.0</v>
      </c>
      <c r="AD245" s="141">
        <v>0.0</v>
      </c>
      <c r="AE245" s="80">
        <v>0.0</v>
      </c>
      <c r="AF245" s="140">
        <v>72.0</v>
      </c>
      <c r="AG245" s="109">
        <v>80.0</v>
      </c>
      <c r="AH245" s="109">
        <v>0.0</v>
      </c>
      <c r="AI245" s="141">
        <v>0.0</v>
      </c>
      <c r="AJ245" s="80">
        <v>152.0</v>
      </c>
      <c r="AK245" s="140">
        <v>0.0</v>
      </c>
      <c r="AL245" s="109">
        <v>0.0</v>
      </c>
      <c r="AM245" s="141">
        <v>0.0</v>
      </c>
      <c r="AN245" s="80">
        <v>0.0</v>
      </c>
      <c r="AO245" s="140">
        <v>0.0</v>
      </c>
      <c r="AP245" s="109">
        <v>0.0</v>
      </c>
      <c r="AQ245" s="109">
        <v>14.0</v>
      </c>
      <c r="AR245" s="80">
        <v>14.0</v>
      </c>
      <c r="AS245" s="110">
        <v>0.0</v>
      </c>
      <c r="AT245" s="110">
        <v>0.0</v>
      </c>
      <c r="AU245" s="110">
        <v>0.0</v>
      </c>
      <c r="AV245" s="142">
        <v>0.0</v>
      </c>
      <c r="AW245" s="80">
        <v>0.0</v>
      </c>
      <c r="AX245" s="113">
        <v>166.0</v>
      </c>
      <c r="AY245" s="117">
        <v>152.0</v>
      </c>
      <c r="AZ245" s="328">
        <v>14.0</v>
      </c>
      <c r="BA245" s="315">
        <v>0.0</v>
      </c>
      <c r="BB245" s="316">
        <v>166.0</v>
      </c>
      <c r="BC245" s="132" t="s">
        <v>373</v>
      </c>
      <c r="BD245" s="132" t="s">
        <v>178</v>
      </c>
      <c r="BE245" s="132" t="s">
        <v>178</v>
      </c>
      <c r="BF245" s="123"/>
      <c r="BG245" s="83">
        <v>1178972.0</v>
      </c>
      <c r="BH245" s="112">
        <v>3.0</v>
      </c>
      <c r="BI245" s="98" t="s">
        <v>155</v>
      </c>
      <c r="BJ245" s="98" t="str">
        <f t="shared" si="1"/>
        <v>NÃO</v>
      </c>
      <c r="BK245" s="98" t="str">
        <f t="shared" si="2"/>
        <v>NÃO</v>
      </c>
    </row>
    <row r="246" ht="15.75" customHeight="1">
      <c r="A246" s="111" t="s">
        <v>285</v>
      </c>
      <c r="B246" s="83" t="s">
        <v>1053</v>
      </c>
      <c r="C246" s="83" t="s">
        <v>68</v>
      </c>
      <c r="D246" s="83">
        <v>1178095.0</v>
      </c>
      <c r="E246" s="83"/>
      <c r="F246" s="83">
        <v>2.9428742E7</v>
      </c>
      <c r="G246" s="187" t="s">
        <v>1054</v>
      </c>
      <c r="H246" s="91" t="s">
        <v>1055</v>
      </c>
      <c r="I246" s="114" t="s">
        <v>149</v>
      </c>
      <c r="J246" s="83" t="s">
        <v>150</v>
      </c>
      <c r="K246" s="83" t="s">
        <v>151</v>
      </c>
      <c r="L246" s="83" t="s">
        <v>152</v>
      </c>
      <c r="M246" s="82" t="s">
        <v>4222</v>
      </c>
      <c r="N246" s="82" t="s">
        <v>4223</v>
      </c>
      <c r="O246" s="82" t="s">
        <v>4224</v>
      </c>
      <c r="P246" s="82"/>
      <c r="Q246" s="82"/>
      <c r="R246" s="82"/>
      <c r="S246" s="82" t="s">
        <v>4225</v>
      </c>
      <c r="T246" s="138">
        <v>8.0</v>
      </c>
      <c r="U246" s="341">
        <v>8.0</v>
      </c>
      <c r="V246" s="106">
        <v>0.0</v>
      </c>
      <c r="W246" s="107">
        <v>0.0</v>
      </c>
      <c r="X246" s="107">
        <v>0.0</v>
      </c>
      <c r="Y246" s="107">
        <v>0.0</v>
      </c>
      <c r="Z246" s="80">
        <v>0.0</v>
      </c>
      <c r="AA246" s="140">
        <v>0.0</v>
      </c>
      <c r="AB246" s="109">
        <v>0.0</v>
      </c>
      <c r="AC246" s="109">
        <v>0.0</v>
      </c>
      <c r="AD246" s="141">
        <v>0.0</v>
      </c>
      <c r="AE246" s="80">
        <v>0.0</v>
      </c>
      <c r="AF246" s="140">
        <v>319.0</v>
      </c>
      <c r="AG246" s="109">
        <v>116.0</v>
      </c>
      <c r="AH246" s="109">
        <v>45.0</v>
      </c>
      <c r="AI246" s="141">
        <v>0.0</v>
      </c>
      <c r="AJ246" s="80">
        <v>480.0</v>
      </c>
      <c r="AK246" s="140">
        <v>0.0</v>
      </c>
      <c r="AL246" s="109">
        <v>0.0</v>
      </c>
      <c r="AM246" s="141">
        <v>0.0</v>
      </c>
      <c r="AN246" s="80">
        <v>0.0</v>
      </c>
      <c r="AO246" s="140">
        <v>0.0</v>
      </c>
      <c r="AP246" s="109">
        <v>0.0</v>
      </c>
      <c r="AQ246" s="109">
        <v>124.0</v>
      </c>
      <c r="AR246" s="80">
        <v>124.0</v>
      </c>
      <c r="AS246" s="110">
        <v>0.0</v>
      </c>
      <c r="AT246" s="110">
        <v>14.0</v>
      </c>
      <c r="AU246" s="110">
        <v>0.0</v>
      </c>
      <c r="AV246" s="142">
        <v>0.0</v>
      </c>
      <c r="AW246" s="80">
        <v>14.0</v>
      </c>
      <c r="AX246" s="113">
        <v>618.0</v>
      </c>
      <c r="AY246" s="117">
        <v>449.0</v>
      </c>
      <c r="AZ246" s="328">
        <v>169.0</v>
      </c>
      <c r="BA246" s="315">
        <v>0.0</v>
      </c>
      <c r="BB246" s="316">
        <v>618.0</v>
      </c>
      <c r="BC246" s="132" t="s">
        <v>178</v>
      </c>
      <c r="BD246" s="132" t="s">
        <v>178</v>
      </c>
      <c r="BE246" s="132" t="s">
        <v>178</v>
      </c>
      <c r="BF246" s="123"/>
      <c r="BG246" s="83">
        <v>1178095.0</v>
      </c>
      <c r="BH246" s="112">
        <v>8.0</v>
      </c>
      <c r="BI246" s="98" t="s">
        <v>155</v>
      </c>
      <c r="BJ246" s="98" t="str">
        <f t="shared" si="1"/>
        <v>NÃO</v>
      </c>
      <c r="BK246" s="98" t="str">
        <f t="shared" si="2"/>
        <v>PROFISSIONAL</v>
      </c>
    </row>
    <row r="247" ht="15.75" customHeight="1">
      <c r="A247" s="111" t="s">
        <v>285</v>
      </c>
      <c r="B247" s="83" t="s">
        <v>1053</v>
      </c>
      <c r="C247" s="83" t="s">
        <v>164</v>
      </c>
      <c r="D247" s="83">
        <v>1179283.0</v>
      </c>
      <c r="E247" s="83">
        <v>1178744.0</v>
      </c>
      <c r="F247" s="83"/>
      <c r="G247" s="114" t="s">
        <v>2508</v>
      </c>
      <c r="H247" s="91" t="s">
        <v>4231</v>
      </c>
      <c r="I247" s="298" t="s">
        <v>4232</v>
      </c>
      <c r="J247" s="83" t="s">
        <v>767</v>
      </c>
      <c r="K247" s="83" t="s">
        <v>168</v>
      </c>
      <c r="L247" s="83" t="s">
        <v>169</v>
      </c>
      <c r="M247" s="82" t="s">
        <v>3752</v>
      </c>
      <c r="N247" s="82" t="s">
        <v>3753</v>
      </c>
      <c r="O247" s="82" t="s">
        <v>3754</v>
      </c>
      <c r="P247" s="82" t="s">
        <v>3755</v>
      </c>
      <c r="Q247" s="82" t="s">
        <v>3756</v>
      </c>
      <c r="R247" s="82" t="s">
        <v>3757</v>
      </c>
      <c r="S247" s="82" t="s">
        <v>3758</v>
      </c>
      <c r="T247" s="138">
        <v>3.0</v>
      </c>
      <c r="U247" s="341">
        <v>3.0</v>
      </c>
      <c r="V247" s="106">
        <v>0.0</v>
      </c>
      <c r="W247" s="107">
        <v>0.0</v>
      </c>
      <c r="X247" s="107">
        <v>0.0</v>
      </c>
      <c r="Y247" s="107">
        <v>0.0</v>
      </c>
      <c r="Z247" s="80">
        <v>0.0</v>
      </c>
      <c r="AA247" s="140">
        <v>0.0</v>
      </c>
      <c r="AB247" s="109">
        <v>0.0</v>
      </c>
      <c r="AC247" s="109">
        <v>0.0</v>
      </c>
      <c r="AD247" s="141">
        <v>0.0</v>
      </c>
      <c r="AE247" s="80">
        <v>0.0</v>
      </c>
      <c r="AF247" s="140">
        <v>0.0</v>
      </c>
      <c r="AG247" s="109">
        <v>0.0</v>
      </c>
      <c r="AH247" s="109">
        <v>14.0</v>
      </c>
      <c r="AI247" s="141">
        <v>0.0</v>
      </c>
      <c r="AJ247" s="80">
        <v>14.0</v>
      </c>
      <c r="AK247" s="140">
        <v>0.0</v>
      </c>
      <c r="AL247" s="109">
        <v>0.0</v>
      </c>
      <c r="AM247" s="141">
        <v>0.0</v>
      </c>
      <c r="AN247" s="80">
        <v>0.0</v>
      </c>
      <c r="AO247" s="140">
        <v>0.0</v>
      </c>
      <c r="AP247" s="109">
        <v>0.0</v>
      </c>
      <c r="AQ247" s="109">
        <v>0.0</v>
      </c>
      <c r="AR247" s="80">
        <v>0.0</v>
      </c>
      <c r="AS247" s="110">
        <v>0.0</v>
      </c>
      <c r="AT247" s="110">
        <v>0.0</v>
      </c>
      <c r="AU247" s="110">
        <v>0.0</v>
      </c>
      <c r="AV247" s="142">
        <v>0.0</v>
      </c>
      <c r="AW247" s="80">
        <v>0.0</v>
      </c>
      <c r="AX247" s="113">
        <v>14.0</v>
      </c>
      <c r="AY247" s="117">
        <v>0.0</v>
      </c>
      <c r="AZ247" s="328">
        <v>14.0</v>
      </c>
      <c r="BA247" s="315">
        <v>0.0</v>
      </c>
      <c r="BB247" s="316">
        <v>14.0</v>
      </c>
      <c r="BC247" s="132" t="s">
        <v>178</v>
      </c>
      <c r="BD247" s="143" t="s">
        <v>227</v>
      </c>
      <c r="BE247" s="132" t="s">
        <v>178</v>
      </c>
      <c r="BF247" s="123"/>
      <c r="BG247" s="83">
        <v>1178744.0</v>
      </c>
      <c r="BH247" s="112">
        <v>3.0</v>
      </c>
      <c r="BI247" s="98" t="s">
        <v>155</v>
      </c>
      <c r="BJ247" s="98" t="str">
        <f t="shared" si="1"/>
        <v>NÃO</v>
      </c>
      <c r="BK247" s="98" t="str">
        <f t="shared" si="2"/>
        <v>NÃO</v>
      </c>
    </row>
    <row r="248" ht="15.75" customHeight="1">
      <c r="A248" s="111" t="s">
        <v>285</v>
      </c>
      <c r="B248" s="83" t="s">
        <v>1053</v>
      </c>
      <c r="C248" s="83" t="s">
        <v>164</v>
      </c>
      <c r="D248" s="83">
        <v>1179283.0</v>
      </c>
      <c r="E248" s="83">
        <v>1178743.0</v>
      </c>
      <c r="F248" s="83"/>
      <c r="G248" s="114" t="s">
        <v>1057</v>
      </c>
      <c r="H248" s="91" t="s">
        <v>1058</v>
      </c>
      <c r="I248" s="298" t="s">
        <v>1059</v>
      </c>
      <c r="J248" s="83" t="s">
        <v>315</v>
      </c>
      <c r="K248" s="83" t="s">
        <v>168</v>
      </c>
      <c r="L248" s="83" t="s">
        <v>169</v>
      </c>
      <c r="M248" s="82" t="s">
        <v>3752</v>
      </c>
      <c r="N248" s="82" t="s">
        <v>3753</v>
      </c>
      <c r="O248" s="82" t="s">
        <v>3754</v>
      </c>
      <c r="P248" s="82" t="s">
        <v>3755</v>
      </c>
      <c r="Q248" s="82" t="s">
        <v>3756</v>
      </c>
      <c r="R248" s="82" t="s">
        <v>3757</v>
      </c>
      <c r="S248" s="82" t="s">
        <v>3758</v>
      </c>
      <c r="T248" s="138">
        <v>3.0</v>
      </c>
      <c r="U248" s="341">
        <v>3.0</v>
      </c>
      <c r="V248" s="106">
        <v>0.0</v>
      </c>
      <c r="W248" s="107">
        <v>0.0</v>
      </c>
      <c r="X248" s="107">
        <v>0.0</v>
      </c>
      <c r="Y248" s="107">
        <v>0.0</v>
      </c>
      <c r="Z248" s="80">
        <v>0.0</v>
      </c>
      <c r="AA248" s="140">
        <v>0.0</v>
      </c>
      <c r="AB248" s="109">
        <v>0.0</v>
      </c>
      <c r="AC248" s="109">
        <v>0.0</v>
      </c>
      <c r="AD248" s="141">
        <v>0.0</v>
      </c>
      <c r="AE248" s="80">
        <v>0.0</v>
      </c>
      <c r="AF248" s="140">
        <v>0.0</v>
      </c>
      <c r="AG248" s="109">
        <v>0.0</v>
      </c>
      <c r="AH248" s="109">
        <v>43.0</v>
      </c>
      <c r="AI248" s="141">
        <v>0.0</v>
      </c>
      <c r="AJ248" s="80">
        <v>43.0</v>
      </c>
      <c r="AK248" s="140">
        <v>0.0</v>
      </c>
      <c r="AL248" s="109">
        <v>0.0</v>
      </c>
      <c r="AM248" s="141">
        <v>0.0</v>
      </c>
      <c r="AN248" s="80">
        <v>0.0</v>
      </c>
      <c r="AO248" s="140">
        <v>0.0</v>
      </c>
      <c r="AP248" s="109">
        <v>0.0</v>
      </c>
      <c r="AQ248" s="109">
        <v>0.0</v>
      </c>
      <c r="AR248" s="80">
        <v>0.0</v>
      </c>
      <c r="AS248" s="110">
        <v>0.0</v>
      </c>
      <c r="AT248" s="110">
        <v>0.0</v>
      </c>
      <c r="AU248" s="110">
        <v>0.0</v>
      </c>
      <c r="AV248" s="142">
        <v>0.0</v>
      </c>
      <c r="AW248" s="80">
        <v>0.0</v>
      </c>
      <c r="AX248" s="113">
        <v>43.0</v>
      </c>
      <c r="AY248" s="117">
        <v>0.0</v>
      </c>
      <c r="AZ248" s="328">
        <v>43.0</v>
      </c>
      <c r="BA248" s="315">
        <v>0.0</v>
      </c>
      <c r="BB248" s="316">
        <v>43.0</v>
      </c>
      <c r="BC248" s="132" t="s">
        <v>178</v>
      </c>
      <c r="BD248" s="143" t="s">
        <v>227</v>
      </c>
      <c r="BE248" s="132" t="s">
        <v>178</v>
      </c>
      <c r="BF248" s="123"/>
      <c r="BG248" s="83">
        <v>1178743.0</v>
      </c>
      <c r="BH248" s="112">
        <v>3.0</v>
      </c>
      <c r="BI248" s="98" t="s">
        <v>155</v>
      </c>
      <c r="BJ248" s="98" t="str">
        <f t="shared" si="1"/>
        <v>NÃO</v>
      </c>
      <c r="BK248" s="98" t="str">
        <f t="shared" si="2"/>
        <v>NÃO</v>
      </c>
    </row>
    <row r="249" ht="15.75" customHeight="1">
      <c r="A249" s="111" t="s">
        <v>285</v>
      </c>
      <c r="B249" s="83" t="s">
        <v>1053</v>
      </c>
      <c r="C249" s="83" t="s">
        <v>164</v>
      </c>
      <c r="D249" s="83">
        <v>1179283.0</v>
      </c>
      <c r="E249" s="83">
        <v>1178745.0</v>
      </c>
      <c r="F249" s="83"/>
      <c r="G249" s="114" t="s">
        <v>1060</v>
      </c>
      <c r="H249" s="91" t="s">
        <v>1061</v>
      </c>
      <c r="I249" s="298" t="s">
        <v>1062</v>
      </c>
      <c r="J249" s="83" t="s">
        <v>694</v>
      </c>
      <c r="K249" s="83" t="s">
        <v>151</v>
      </c>
      <c r="L249" s="83" t="s">
        <v>169</v>
      </c>
      <c r="M249" s="82" t="s">
        <v>3752</v>
      </c>
      <c r="N249" s="82" t="s">
        <v>3753</v>
      </c>
      <c r="O249" s="82" t="s">
        <v>3754</v>
      </c>
      <c r="P249" s="82" t="s">
        <v>3755</v>
      </c>
      <c r="Q249" s="82" t="s">
        <v>3756</v>
      </c>
      <c r="R249" s="82" t="s">
        <v>3757</v>
      </c>
      <c r="S249" s="82" t="s">
        <v>3758</v>
      </c>
      <c r="T249" s="138">
        <v>3.0</v>
      </c>
      <c r="U249" s="341">
        <v>3.0</v>
      </c>
      <c r="V249" s="106">
        <v>0.0</v>
      </c>
      <c r="W249" s="107">
        <v>0.0</v>
      </c>
      <c r="X249" s="107">
        <v>0.0</v>
      </c>
      <c r="Y249" s="107">
        <v>0.0</v>
      </c>
      <c r="Z249" s="80">
        <v>0.0</v>
      </c>
      <c r="AA249" s="140">
        <v>0.0</v>
      </c>
      <c r="AB249" s="109">
        <v>0.0</v>
      </c>
      <c r="AC249" s="109">
        <v>0.0</v>
      </c>
      <c r="AD249" s="141">
        <v>0.0</v>
      </c>
      <c r="AE249" s="80">
        <v>0.0</v>
      </c>
      <c r="AF249" s="140">
        <v>0.0</v>
      </c>
      <c r="AG249" s="109">
        <v>0.0</v>
      </c>
      <c r="AH249" s="109">
        <v>23.0</v>
      </c>
      <c r="AI249" s="141">
        <v>0.0</v>
      </c>
      <c r="AJ249" s="80">
        <v>23.0</v>
      </c>
      <c r="AK249" s="140">
        <v>0.0</v>
      </c>
      <c r="AL249" s="109">
        <v>0.0</v>
      </c>
      <c r="AM249" s="141">
        <v>0.0</v>
      </c>
      <c r="AN249" s="80">
        <v>0.0</v>
      </c>
      <c r="AO249" s="140">
        <v>0.0</v>
      </c>
      <c r="AP249" s="109">
        <v>0.0</v>
      </c>
      <c r="AQ249" s="109">
        <v>0.0</v>
      </c>
      <c r="AR249" s="80">
        <v>0.0</v>
      </c>
      <c r="AS249" s="110">
        <v>0.0</v>
      </c>
      <c r="AT249" s="110">
        <v>0.0</v>
      </c>
      <c r="AU249" s="110">
        <v>0.0</v>
      </c>
      <c r="AV249" s="142">
        <v>0.0</v>
      </c>
      <c r="AW249" s="80">
        <v>0.0</v>
      </c>
      <c r="AX249" s="113">
        <v>23.0</v>
      </c>
      <c r="AY249" s="117">
        <v>0.0</v>
      </c>
      <c r="AZ249" s="328">
        <v>23.0</v>
      </c>
      <c r="BA249" s="315">
        <v>0.0</v>
      </c>
      <c r="BB249" s="316">
        <v>23.0</v>
      </c>
      <c r="BC249" s="132" t="s">
        <v>178</v>
      </c>
      <c r="BD249" s="143" t="s">
        <v>227</v>
      </c>
      <c r="BE249" s="132" t="s">
        <v>178</v>
      </c>
      <c r="BF249" s="123"/>
      <c r="BG249" s="83">
        <v>1178745.0</v>
      </c>
      <c r="BH249" s="112">
        <v>3.0</v>
      </c>
      <c r="BI249" s="98" t="s">
        <v>155</v>
      </c>
      <c r="BJ249" s="98" t="str">
        <f t="shared" si="1"/>
        <v>NÃO</v>
      </c>
      <c r="BK249" s="98" t="str">
        <f t="shared" si="2"/>
        <v>NÃO</v>
      </c>
    </row>
    <row r="250" ht="15.75" customHeight="1">
      <c r="A250" s="111" t="s">
        <v>285</v>
      </c>
      <c r="B250" s="83" t="s">
        <v>1063</v>
      </c>
      <c r="C250" s="83" t="s">
        <v>68</v>
      </c>
      <c r="D250" s="83">
        <v>1123876.0</v>
      </c>
      <c r="E250" s="83"/>
      <c r="F250" s="83">
        <v>2.9221943E7</v>
      </c>
      <c r="G250" s="187" t="s">
        <v>1064</v>
      </c>
      <c r="H250" s="91" t="s">
        <v>777</v>
      </c>
      <c r="I250" s="114" t="s">
        <v>149</v>
      </c>
      <c r="J250" s="83" t="s">
        <v>150</v>
      </c>
      <c r="K250" s="83" t="s">
        <v>151</v>
      </c>
      <c r="L250" s="83" t="s">
        <v>230</v>
      </c>
      <c r="M250" s="82" t="s">
        <v>4244</v>
      </c>
      <c r="N250" s="82" t="s">
        <v>4245</v>
      </c>
      <c r="O250" s="82" t="s">
        <v>4246</v>
      </c>
      <c r="P250" s="82" t="s">
        <v>4247</v>
      </c>
      <c r="Q250" s="82" t="s">
        <v>4248</v>
      </c>
      <c r="R250" s="82" t="s">
        <v>4249</v>
      </c>
      <c r="S250" s="82" t="s">
        <v>4250</v>
      </c>
      <c r="T250" s="138">
        <v>16.0</v>
      </c>
      <c r="U250" s="331">
        <v>18.0</v>
      </c>
      <c r="V250" s="106">
        <v>0.0</v>
      </c>
      <c r="W250" s="107">
        <v>0.0</v>
      </c>
      <c r="X250" s="107">
        <v>0.0</v>
      </c>
      <c r="Y250" s="107">
        <v>0.0</v>
      </c>
      <c r="Z250" s="80">
        <v>0.0</v>
      </c>
      <c r="AA250" s="140">
        <v>0.0</v>
      </c>
      <c r="AB250" s="109">
        <v>0.0</v>
      </c>
      <c r="AC250" s="109">
        <v>0.0</v>
      </c>
      <c r="AD250" s="141">
        <v>0.0</v>
      </c>
      <c r="AE250" s="80">
        <v>0.0</v>
      </c>
      <c r="AF250" s="140">
        <v>98.0</v>
      </c>
      <c r="AG250" s="109">
        <v>30.0</v>
      </c>
      <c r="AH250" s="109">
        <v>0.0</v>
      </c>
      <c r="AI250" s="141">
        <v>0.0</v>
      </c>
      <c r="AJ250" s="80">
        <v>128.0</v>
      </c>
      <c r="AK250" s="140">
        <v>0.0</v>
      </c>
      <c r="AL250" s="109">
        <v>0.0</v>
      </c>
      <c r="AM250" s="141">
        <v>0.0</v>
      </c>
      <c r="AN250" s="80">
        <v>0.0</v>
      </c>
      <c r="AO250" s="140">
        <v>0.0</v>
      </c>
      <c r="AP250" s="109">
        <v>0.0</v>
      </c>
      <c r="AQ250" s="109">
        <v>69.0</v>
      </c>
      <c r="AR250" s="80">
        <v>69.0</v>
      </c>
      <c r="AS250" s="110">
        <v>220.0</v>
      </c>
      <c r="AT250" s="110">
        <v>94.0</v>
      </c>
      <c r="AU250" s="110">
        <v>16.0</v>
      </c>
      <c r="AV250" s="142">
        <v>20.0</v>
      </c>
      <c r="AW250" s="80">
        <v>350.0</v>
      </c>
      <c r="AX250" s="113">
        <v>547.0</v>
      </c>
      <c r="AY250" s="117">
        <v>462.0</v>
      </c>
      <c r="AZ250" s="328">
        <v>85.0</v>
      </c>
      <c r="BA250" s="315">
        <v>0.0</v>
      </c>
      <c r="BB250" s="316">
        <v>547.0</v>
      </c>
      <c r="BC250" s="132" t="s">
        <v>178</v>
      </c>
      <c r="BD250" s="132" t="s">
        <v>522</v>
      </c>
      <c r="BE250" s="132" t="s">
        <v>178</v>
      </c>
      <c r="BF250" s="123"/>
      <c r="BG250" s="83">
        <v>1123876.0</v>
      </c>
      <c r="BH250" s="98">
        <v>18.0</v>
      </c>
      <c r="BI250" s="98" t="s">
        <v>155</v>
      </c>
      <c r="BJ250" s="98" t="str">
        <f t="shared" si="1"/>
        <v>INTEGRAL</v>
      </c>
      <c r="BK250" s="98" t="str">
        <f t="shared" si="2"/>
        <v>PROFISSIONAL</v>
      </c>
    </row>
    <row r="251" ht="15.75" customHeight="1">
      <c r="A251" s="111" t="s">
        <v>383</v>
      </c>
      <c r="B251" s="83" t="s">
        <v>1066</v>
      </c>
      <c r="C251" s="83" t="s">
        <v>68</v>
      </c>
      <c r="D251" s="83">
        <v>1178114.0</v>
      </c>
      <c r="E251" s="83"/>
      <c r="F251" s="83">
        <v>2.941788E7</v>
      </c>
      <c r="G251" s="187" t="s">
        <v>2387</v>
      </c>
      <c r="H251" s="91" t="s">
        <v>4256</v>
      </c>
      <c r="I251" s="114" t="s">
        <v>149</v>
      </c>
      <c r="J251" s="83" t="s">
        <v>1074</v>
      </c>
      <c r="K251" s="83" t="s">
        <v>4257</v>
      </c>
      <c r="L251" s="83" t="s">
        <v>169</v>
      </c>
      <c r="M251" s="82" t="s">
        <v>4259</v>
      </c>
      <c r="N251" s="82" t="s">
        <v>4261</v>
      </c>
      <c r="O251" s="82" t="s">
        <v>4263</v>
      </c>
      <c r="P251" s="82"/>
      <c r="Q251" s="82"/>
      <c r="R251" s="82"/>
      <c r="S251" s="82" t="s">
        <v>4265</v>
      </c>
      <c r="T251" s="138">
        <v>5.0</v>
      </c>
      <c r="U251" s="339" t="s">
        <v>4266</v>
      </c>
      <c r="V251" s="106">
        <v>0.0</v>
      </c>
      <c r="W251" s="107">
        <v>0.0</v>
      </c>
      <c r="X251" s="107">
        <v>0.0</v>
      </c>
      <c r="Y251" s="107">
        <v>0.0</v>
      </c>
      <c r="Z251" s="80">
        <v>0.0</v>
      </c>
      <c r="AA251" s="140">
        <v>0.0</v>
      </c>
      <c r="AB251" s="109">
        <v>0.0</v>
      </c>
      <c r="AC251" s="109">
        <v>0.0</v>
      </c>
      <c r="AD251" s="141">
        <v>0.0</v>
      </c>
      <c r="AE251" s="80">
        <v>0.0</v>
      </c>
      <c r="AF251" s="140">
        <v>63.0</v>
      </c>
      <c r="AG251" s="109">
        <v>55.0</v>
      </c>
      <c r="AH251" s="109">
        <v>0.0</v>
      </c>
      <c r="AI251" s="141">
        <v>0.0</v>
      </c>
      <c r="AJ251" s="80">
        <v>118.0</v>
      </c>
      <c r="AK251" s="140">
        <v>0.0</v>
      </c>
      <c r="AL251" s="109">
        <v>0.0</v>
      </c>
      <c r="AM251" s="141">
        <v>0.0</v>
      </c>
      <c r="AN251" s="80">
        <v>0.0</v>
      </c>
      <c r="AO251" s="140">
        <v>0.0</v>
      </c>
      <c r="AP251" s="109">
        <v>0.0</v>
      </c>
      <c r="AQ251" s="109">
        <v>0.0</v>
      </c>
      <c r="AR251" s="80">
        <v>0.0</v>
      </c>
      <c r="AS251" s="110">
        <v>0.0</v>
      </c>
      <c r="AT251" s="110">
        <v>0.0</v>
      </c>
      <c r="AU251" s="110">
        <v>0.0</v>
      </c>
      <c r="AV251" s="142">
        <v>0.0</v>
      </c>
      <c r="AW251" s="80">
        <v>0.0</v>
      </c>
      <c r="AX251" s="113">
        <v>118.0</v>
      </c>
      <c r="AY251" s="117">
        <v>118.0</v>
      </c>
      <c r="AZ251" s="328">
        <v>0.0</v>
      </c>
      <c r="BA251" s="315">
        <v>0.0</v>
      </c>
      <c r="BB251" s="316">
        <v>118.0</v>
      </c>
      <c r="BC251" s="132" t="s">
        <v>373</v>
      </c>
      <c r="BD251" s="132" t="s">
        <v>178</v>
      </c>
      <c r="BE251" s="132" t="s">
        <v>178</v>
      </c>
      <c r="BF251" s="123"/>
      <c r="BG251" s="83">
        <v>1178114.0</v>
      </c>
      <c r="BH251" s="112">
        <v>3.0</v>
      </c>
      <c r="BI251" s="98" t="s">
        <v>155</v>
      </c>
      <c r="BJ251" s="98" t="str">
        <f t="shared" si="1"/>
        <v>NÃO</v>
      </c>
      <c r="BK251" s="98" t="str">
        <f t="shared" si="2"/>
        <v>NÃO</v>
      </c>
    </row>
    <row r="252" ht="15.75" customHeight="1">
      <c r="A252" s="111" t="s">
        <v>383</v>
      </c>
      <c r="B252" s="83" t="s">
        <v>1066</v>
      </c>
      <c r="C252" s="83" t="s">
        <v>68</v>
      </c>
      <c r="D252" s="83">
        <v>1115431.0</v>
      </c>
      <c r="E252" s="83"/>
      <c r="F252" s="83">
        <v>2.913571E7</v>
      </c>
      <c r="G252" s="187" t="s">
        <v>4271</v>
      </c>
      <c r="H252" s="91" t="s">
        <v>4272</v>
      </c>
      <c r="I252" s="187" t="s">
        <v>149</v>
      </c>
      <c r="J252" s="83" t="s">
        <v>150</v>
      </c>
      <c r="K252" s="83" t="s">
        <v>151</v>
      </c>
      <c r="L252" s="83" t="s">
        <v>230</v>
      </c>
      <c r="M252" s="82" t="s">
        <v>4273</v>
      </c>
      <c r="N252" s="82" t="s">
        <v>4274</v>
      </c>
      <c r="O252" s="82" t="s">
        <v>4275</v>
      </c>
      <c r="P252" s="82" t="s">
        <v>4276</v>
      </c>
      <c r="Q252" s="82" t="s">
        <v>4277</v>
      </c>
      <c r="R252" s="82" t="s">
        <v>4279</v>
      </c>
      <c r="S252" s="82" t="s">
        <v>4280</v>
      </c>
      <c r="T252" s="138">
        <v>13.0</v>
      </c>
      <c r="U252" s="331">
        <v>28.0</v>
      </c>
      <c r="V252" s="106">
        <v>0.0</v>
      </c>
      <c r="W252" s="107">
        <v>0.0</v>
      </c>
      <c r="X252" s="107">
        <v>0.0</v>
      </c>
      <c r="Y252" s="107">
        <v>0.0</v>
      </c>
      <c r="Z252" s="80">
        <v>0.0</v>
      </c>
      <c r="AA252" s="140">
        <v>0.0</v>
      </c>
      <c r="AB252" s="109">
        <v>0.0</v>
      </c>
      <c r="AC252" s="109">
        <v>0.0</v>
      </c>
      <c r="AD252" s="141">
        <v>0.0</v>
      </c>
      <c r="AE252" s="80">
        <v>0.0</v>
      </c>
      <c r="AF252" s="140">
        <v>190.0</v>
      </c>
      <c r="AG252" s="109">
        <v>36.0</v>
      </c>
      <c r="AH252" s="109">
        <v>30.0</v>
      </c>
      <c r="AI252" s="141">
        <v>52.0</v>
      </c>
      <c r="AJ252" s="80">
        <v>308.0</v>
      </c>
      <c r="AK252" s="140">
        <v>0.0</v>
      </c>
      <c r="AL252" s="109">
        <v>0.0</v>
      </c>
      <c r="AM252" s="141">
        <v>0.0</v>
      </c>
      <c r="AN252" s="80">
        <v>0.0</v>
      </c>
      <c r="AO252" s="140">
        <v>0.0</v>
      </c>
      <c r="AP252" s="109">
        <v>0.0</v>
      </c>
      <c r="AQ252" s="109">
        <v>134.0</v>
      </c>
      <c r="AR252" s="80">
        <v>134.0</v>
      </c>
      <c r="AS252" s="110">
        <v>725.0</v>
      </c>
      <c r="AT252" s="110">
        <v>415.0</v>
      </c>
      <c r="AU252" s="110">
        <v>354.0</v>
      </c>
      <c r="AV252" s="142">
        <v>0.0</v>
      </c>
      <c r="AW252" s="80">
        <v>1494.0</v>
      </c>
      <c r="AX252" s="113">
        <v>1936.0</v>
      </c>
      <c r="AY252" s="117">
        <v>1418.0</v>
      </c>
      <c r="AZ252" s="328">
        <v>518.0</v>
      </c>
      <c r="BA252" s="315">
        <v>1.0</v>
      </c>
      <c r="BB252" s="316">
        <v>1937.0</v>
      </c>
      <c r="BC252" s="132" t="s">
        <v>178</v>
      </c>
      <c r="BD252" s="132" t="s">
        <v>522</v>
      </c>
      <c r="BE252" s="132" t="s">
        <v>178</v>
      </c>
      <c r="BF252" s="123"/>
      <c r="BG252" s="83">
        <v>1115431.0</v>
      </c>
      <c r="BH252" s="112">
        <v>10.0</v>
      </c>
      <c r="BI252" s="98" t="s">
        <v>162</v>
      </c>
      <c r="BJ252" s="98" t="str">
        <f t="shared" si="1"/>
        <v>INTEGRAL</v>
      </c>
      <c r="BK252" s="98" t="str">
        <f t="shared" si="2"/>
        <v>PROFISSIONAL</v>
      </c>
    </row>
    <row r="253" ht="15.75" customHeight="1">
      <c r="A253" s="111" t="s">
        <v>383</v>
      </c>
      <c r="B253" s="83" t="s">
        <v>1066</v>
      </c>
      <c r="C253" s="83" t="s">
        <v>164</v>
      </c>
      <c r="D253" s="83">
        <v>1179292.0</v>
      </c>
      <c r="E253" s="83">
        <v>1178410.0</v>
      </c>
      <c r="F253" s="83"/>
      <c r="G253" s="187" t="s">
        <v>1071</v>
      </c>
      <c r="H253" s="91" t="s">
        <v>1072</v>
      </c>
      <c r="I253" s="187" t="s">
        <v>1073</v>
      </c>
      <c r="J253" s="83" t="s">
        <v>1074</v>
      </c>
      <c r="K253" s="83" t="s">
        <v>1075</v>
      </c>
      <c r="L253" s="83" t="s">
        <v>169</v>
      </c>
      <c r="M253" s="82" t="s">
        <v>4289</v>
      </c>
      <c r="N253" s="82" t="s">
        <v>4290</v>
      </c>
      <c r="O253" s="82" t="s">
        <v>4291</v>
      </c>
      <c r="P253" s="82" t="s">
        <v>4292</v>
      </c>
      <c r="Q253" s="82" t="s">
        <v>4293</v>
      </c>
      <c r="R253" s="82" t="s">
        <v>4294</v>
      </c>
      <c r="S253" s="82" t="s">
        <v>4295</v>
      </c>
      <c r="T253" s="138">
        <v>3.0</v>
      </c>
      <c r="U253" s="323">
        <v>3.0</v>
      </c>
      <c r="V253" s="106">
        <v>0.0</v>
      </c>
      <c r="W253" s="107">
        <v>0.0</v>
      </c>
      <c r="X253" s="107">
        <v>0.0</v>
      </c>
      <c r="Y253" s="107">
        <v>0.0</v>
      </c>
      <c r="Z253" s="80">
        <v>0.0</v>
      </c>
      <c r="AA253" s="140">
        <v>0.0</v>
      </c>
      <c r="AB253" s="109">
        <v>0.0</v>
      </c>
      <c r="AC253" s="109">
        <v>0.0</v>
      </c>
      <c r="AD253" s="141">
        <v>0.0</v>
      </c>
      <c r="AE253" s="80">
        <v>0.0</v>
      </c>
      <c r="AF253" s="140">
        <v>76.0</v>
      </c>
      <c r="AG253" s="109">
        <v>66.0</v>
      </c>
      <c r="AH253" s="109">
        <v>0.0</v>
      </c>
      <c r="AI253" s="141">
        <v>0.0</v>
      </c>
      <c r="AJ253" s="80">
        <v>142.0</v>
      </c>
      <c r="AK253" s="140">
        <v>0.0</v>
      </c>
      <c r="AL253" s="109">
        <v>0.0</v>
      </c>
      <c r="AM253" s="141">
        <v>0.0</v>
      </c>
      <c r="AN253" s="80">
        <v>0.0</v>
      </c>
      <c r="AO253" s="140">
        <v>0.0</v>
      </c>
      <c r="AP253" s="109">
        <v>0.0</v>
      </c>
      <c r="AQ253" s="109">
        <v>0.0</v>
      </c>
      <c r="AR253" s="80">
        <v>0.0</v>
      </c>
      <c r="AS253" s="110">
        <v>0.0</v>
      </c>
      <c r="AT253" s="110">
        <v>0.0</v>
      </c>
      <c r="AU253" s="110">
        <v>0.0</v>
      </c>
      <c r="AV253" s="142">
        <v>0.0</v>
      </c>
      <c r="AW253" s="80">
        <v>0.0</v>
      </c>
      <c r="AX253" s="113">
        <v>142.0</v>
      </c>
      <c r="AY253" s="117">
        <v>142.0</v>
      </c>
      <c r="AZ253" s="328">
        <v>0.0</v>
      </c>
      <c r="BA253" s="315">
        <v>0.0</v>
      </c>
      <c r="BB253" s="316">
        <v>142.0</v>
      </c>
      <c r="BC253" s="132" t="s">
        <v>178</v>
      </c>
      <c r="BD253" s="143" t="s">
        <v>227</v>
      </c>
      <c r="BE253" s="132" t="s">
        <v>178</v>
      </c>
      <c r="BF253" s="123"/>
      <c r="BG253" s="83">
        <v>1178410.0</v>
      </c>
      <c r="BH253" s="112">
        <v>3.0</v>
      </c>
      <c r="BI253" s="98" t="s">
        <v>155</v>
      </c>
      <c r="BJ253" s="98" t="str">
        <f t="shared" si="1"/>
        <v>NÃO</v>
      </c>
      <c r="BK253" s="98" t="str">
        <f t="shared" si="2"/>
        <v>NÃO</v>
      </c>
    </row>
    <row r="254" ht="15.75" customHeight="1">
      <c r="A254" s="111" t="s">
        <v>383</v>
      </c>
      <c r="B254" s="83" t="s">
        <v>1066</v>
      </c>
      <c r="C254" s="83" t="s">
        <v>164</v>
      </c>
      <c r="D254" s="83">
        <v>1179292.0</v>
      </c>
      <c r="E254" s="83">
        <v>1179353.0</v>
      </c>
      <c r="F254" s="83"/>
      <c r="G254" s="114" t="s">
        <v>1079</v>
      </c>
      <c r="H254" s="91" t="s">
        <v>1080</v>
      </c>
      <c r="I254" s="187" t="s">
        <v>1081</v>
      </c>
      <c r="J254" s="83" t="s">
        <v>992</v>
      </c>
      <c r="K254" s="83" t="s">
        <v>168</v>
      </c>
      <c r="L254" s="83" t="s">
        <v>169</v>
      </c>
      <c r="M254" s="82" t="s">
        <v>4289</v>
      </c>
      <c r="N254" s="82" t="s">
        <v>4290</v>
      </c>
      <c r="O254" s="82" t="s">
        <v>4291</v>
      </c>
      <c r="P254" s="82" t="s">
        <v>4292</v>
      </c>
      <c r="Q254" s="82" t="s">
        <v>4293</v>
      </c>
      <c r="R254" s="82" t="s">
        <v>4294</v>
      </c>
      <c r="S254" s="82" t="s">
        <v>4295</v>
      </c>
      <c r="T254" s="138">
        <v>3.0</v>
      </c>
      <c r="U254" s="323">
        <v>3.0</v>
      </c>
      <c r="V254" s="106">
        <v>0.0</v>
      </c>
      <c r="W254" s="107">
        <v>0.0</v>
      </c>
      <c r="X254" s="107">
        <v>0.0</v>
      </c>
      <c r="Y254" s="107">
        <v>0.0</v>
      </c>
      <c r="Z254" s="80">
        <v>0.0</v>
      </c>
      <c r="AA254" s="140">
        <v>0.0</v>
      </c>
      <c r="AB254" s="109">
        <v>0.0</v>
      </c>
      <c r="AC254" s="109">
        <v>0.0</v>
      </c>
      <c r="AD254" s="141">
        <v>0.0</v>
      </c>
      <c r="AE254" s="80">
        <v>0.0</v>
      </c>
      <c r="AF254" s="140">
        <v>0.0</v>
      </c>
      <c r="AG254" s="109">
        <v>0.0</v>
      </c>
      <c r="AH254" s="109">
        <v>25.0</v>
      </c>
      <c r="AI254" s="141">
        <v>0.0</v>
      </c>
      <c r="AJ254" s="80">
        <v>25.0</v>
      </c>
      <c r="AK254" s="140">
        <v>0.0</v>
      </c>
      <c r="AL254" s="109">
        <v>0.0</v>
      </c>
      <c r="AM254" s="141">
        <v>0.0</v>
      </c>
      <c r="AN254" s="80">
        <v>0.0</v>
      </c>
      <c r="AO254" s="140">
        <v>0.0</v>
      </c>
      <c r="AP254" s="109">
        <v>0.0</v>
      </c>
      <c r="AQ254" s="109">
        <v>0.0</v>
      </c>
      <c r="AR254" s="80">
        <v>0.0</v>
      </c>
      <c r="AS254" s="110">
        <v>0.0</v>
      </c>
      <c r="AT254" s="110">
        <v>0.0</v>
      </c>
      <c r="AU254" s="110">
        <v>0.0</v>
      </c>
      <c r="AV254" s="142">
        <v>0.0</v>
      </c>
      <c r="AW254" s="80">
        <v>0.0</v>
      </c>
      <c r="AX254" s="113">
        <v>25.0</v>
      </c>
      <c r="AY254" s="117">
        <v>0.0</v>
      </c>
      <c r="AZ254" s="328">
        <v>25.0</v>
      </c>
      <c r="BA254" s="315">
        <v>0.0</v>
      </c>
      <c r="BB254" s="316">
        <v>25.0</v>
      </c>
      <c r="BC254" s="132" t="s">
        <v>178</v>
      </c>
      <c r="BD254" s="143" t="s">
        <v>227</v>
      </c>
      <c r="BE254" s="132" t="s">
        <v>178</v>
      </c>
      <c r="BF254" s="123"/>
      <c r="BG254" s="83">
        <v>1179353.0</v>
      </c>
      <c r="BH254" s="112">
        <v>3.0</v>
      </c>
      <c r="BI254" s="98" t="s">
        <v>155</v>
      </c>
      <c r="BJ254" s="98" t="str">
        <f t="shared" si="1"/>
        <v>NÃO</v>
      </c>
      <c r="BK254" s="98" t="str">
        <f t="shared" si="2"/>
        <v>NÃO</v>
      </c>
    </row>
    <row r="255" ht="15.75" customHeight="1">
      <c r="A255" s="111" t="s">
        <v>383</v>
      </c>
      <c r="B255" s="83" t="s">
        <v>1066</v>
      </c>
      <c r="C255" s="83" t="s">
        <v>164</v>
      </c>
      <c r="D255" s="83">
        <v>1179292.0</v>
      </c>
      <c r="E255" s="83">
        <v>1179433.0</v>
      </c>
      <c r="F255" s="83"/>
      <c r="G255" s="114" t="s">
        <v>1082</v>
      </c>
      <c r="H255" s="91" t="s">
        <v>1083</v>
      </c>
      <c r="I255" s="187" t="s">
        <v>1084</v>
      </c>
      <c r="J255" s="83" t="s">
        <v>187</v>
      </c>
      <c r="K255" s="83" t="s">
        <v>168</v>
      </c>
      <c r="L255" s="83" t="s">
        <v>169</v>
      </c>
      <c r="M255" s="82" t="s">
        <v>4289</v>
      </c>
      <c r="N255" s="82" t="s">
        <v>4290</v>
      </c>
      <c r="O255" s="82" t="s">
        <v>4291</v>
      </c>
      <c r="P255" s="82" t="s">
        <v>4292</v>
      </c>
      <c r="Q255" s="82" t="s">
        <v>4293</v>
      </c>
      <c r="R255" s="82" t="s">
        <v>4294</v>
      </c>
      <c r="S255" s="82" t="s">
        <v>4295</v>
      </c>
      <c r="T255" s="138">
        <v>2.0</v>
      </c>
      <c r="U255" s="323">
        <v>2.0</v>
      </c>
      <c r="V255" s="106">
        <v>0.0</v>
      </c>
      <c r="W255" s="107">
        <v>0.0</v>
      </c>
      <c r="X255" s="107">
        <v>0.0</v>
      </c>
      <c r="Y255" s="107">
        <v>0.0</v>
      </c>
      <c r="Z255" s="80">
        <v>0.0</v>
      </c>
      <c r="AA255" s="140">
        <v>0.0</v>
      </c>
      <c r="AB255" s="109">
        <v>0.0</v>
      </c>
      <c r="AC255" s="109">
        <v>0.0</v>
      </c>
      <c r="AD255" s="141">
        <v>0.0</v>
      </c>
      <c r="AE255" s="80">
        <v>0.0</v>
      </c>
      <c r="AF255" s="140">
        <v>26.0</v>
      </c>
      <c r="AG255" s="109">
        <v>31.0</v>
      </c>
      <c r="AH255" s="109">
        <v>30.0</v>
      </c>
      <c r="AI255" s="141">
        <v>0.0</v>
      </c>
      <c r="AJ255" s="80">
        <v>87.0</v>
      </c>
      <c r="AK255" s="140">
        <v>0.0</v>
      </c>
      <c r="AL255" s="109">
        <v>0.0</v>
      </c>
      <c r="AM255" s="141">
        <v>0.0</v>
      </c>
      <c r="AN255" s="80">
        <v>0.0</v>
      </c>
      <c r="AO255" s="140">
        <v>0.0</v>
      </c>
      <c r="AP255" s="109">
        <v>0.0</v>
      </c>
      <c r="AQ255" s="109">
        <v>0.0</v>
      </c>
      <c r="AR255" s="80">
        <v>0.0</v>
      </c>
      <c r="AS255" s="110">
        <v>0.0</v>
      </c>
      <c r="AT255" s="110">
        <v>0.0</v>
      </c>
      <c r="AU255" s="110">
        <v>0.0</v>
      </c>
      <c r="AV255" s="142">
        <v>0.0</v>
      </c>
      <c r="AW255" s="80">
        <v>0.0</v>
      </c>
      <c r="AX255" s="113">
        <v>87.0</v>
      </c>
      <c r="AY255" s="117">
        <v>57.0</v>
      </c>
      <c r="AZ255" s="328">
        <v>30.0</v>
      </c>
      <c r="BA255" s="315">
        <v>0.0</v>
      </c>
      <c r="BB255" s="316">
        <v>87.0</v>
      </c>
      <c r="BC255" s="132" t="s">
        <v>178</v>
      </c>
      <c r="BD255" s="143" t="s">
        <v>227</v>
      </c>
      <c r="BE255" s="132" t="s">
        <v>178</v>
      </c>
      <c r="BF255" s="156"/>
      <c r="BG255" s="83">
        <v>1179433.0</v>
      </c>
      <c r="BH255" s="112">
        <v>2.0</v>
      </c>
      <c r="BI255" s="98" t="s">
        <v>155</v>
      </c>
      <c r="BJ255" s="98" t="str">
        <f t="shared" si="1"/>
        <v>NÃO</v>
      </c>
      <c r="BK255" s="98" t="str">
        <f t="shared" si="2"/>
        <v>NÃO</v>
      </c>
    </row>
    <row r="256" ht="15.75" customHeight="1">
      <c r="A256" s="111" t="s">
        <v>383</v>
      </c>
      <c r="B256" s="83" t="s">
        <v>1066</v>
      </c>
      <c r="C256" s="83" t="s">
        <v>164</v>
      </c>
      <c r="D256" s="83">
        <v>1179292.0</v>
      </c>
      <c r="E256" s="83">
        <v>1179210.0</v>
      </c>
      <c r="F256" s="83"/>
      <c r="G256" s="114" t="s">
        <v>1085</v>
      </c>
      <c r="H256" s="91" t="s">
        <v>1086</v>
      </c>
      <c r="I256" s="187" t="s">
        <v>149</v>
      </c>
      <c r="J256" s="83" t="s">
        <v>464</v>
      </c>
      <c r="K256" s="83" t="s">
        <v>168</v>
      </c>
      <c r="L256" s="83" t="s">
        <v>169</v>
      </c>
      <c r="M256" s="82" t="s">
        <v>4289</v>
      </c>
      <c r="N256" s="82" t="s">
        <v>4290</v>
      </c>
      <c r="O256" s="82" t="s">
        <v>4291</v>
      </c>
      <c r="P256" s="82" t="s">
        <v>4292</v>
      </c>
      <c r="Q256" s="82" t="s">
        <v>4293</v>
      </c>
      <c r="R256" s="82" t="s">
        <v>4294</v>
      </c>
      <c r="S256" s="82" t="s">
        <v>4295</v>
      </c>
      <c r="T256" s="138">
        <v>3.0</v>
      </c>
      <c r="U256" s="323">
        <v>3.0</v>
      </c>
      <c r="V256" s="106">
        <v>0.0</v>
      </c>
      <c r="W256" s="107">
        <v>0.0</v>
      </c>
      <c r="X256" s="107">
        <v>0.0</v>
      </c>
      <c r="Y256" s="107">
        <v>0.0</v>
      </c>
      <c r="Z256" s="80">
        <v>0.0</v>
      </c>
      <c r="AA256" s="140">
        <v>0.0</v>
      </c>
      <c r="AB256" s="109">
        <v>0.0</v>
      </c>
      <c r="AC256" s="109">
        <v>0.0</v>
      </c>
      <c r="AD256" s="141">
        <v>0.0</v>
      </c>
      <c r="AE256" s="80">
        <v>0.0</v>
      </c>
      <c r="AF256" s="140">
        <v>0.0</v>
      </c>
      <c r="AG256" s="109">
        <v>0.0</v>
      </c>
      <c r="AH256" s="109">
        <v>23.0</v>
      </c>
      <c r="AI256" s="141">
        <v>0.0</v>
      </c>
      <c r="AJ256" s="80">
        <v>23.0</v>
      </c>
      <c r="AK256" s="140">
        <v>0.0</v>
      </c>
      <c r="AL256" s="109">
        <v>0.0</v>
      </c>
      <c r="AM256" s="141">
        <v>0.0</v>
      </c>
      <c r="AN256" s="80">
        <v>0.0</v>
      </c>
      <c r="AO256" s="140">
        <v>0.0</v>
      </c>
      <c r="AP256" s="109">
        <v>0.0</v>
      </c>
      <c r="AQ256" s="109">
        <v>0.0</v>
      </c>
      <c r="AR256" s="80">
        <v>0.0</v>
      </c>
      <c r="AS256" s="110">
        <v>0.0</v>
      </c>
      <c r="AT256" s="110">
        <v>0.0</v>
      </c>
      <c r="AU256" s="110">
        <v>0.0</v>
      </c>
      <c r="AV256" s="142">
        <v>0.0</v>
      </c>
      <c r="AW256" s="80">
        <v>0.0</v>
      </c>
      <c r="AX256" s="113">
        <v>23.0</v>
      </c>
      <c r="AY256" s="117">
        <v>0.0</v>
      </c>
      <c r="AZ256" s="328">
        <v>23.0</v>
      </c>
      <c r="BA256" s="315">
        <v>0.0</v>
      </c>
      <c r="BB256" s="316">
        <v>23.0</v>
      </c>
      <c r="BC256" s="132" t="s">
        <v>178</v>
      </c>
      <c r="BD256" s="143" t="s">
        <v>227</v>
      </c>
      <c r="BE256" s="132" t="s">
        <v>178</v>
      </c>
      <c r="BF256" s="156"/>
      <c r="BG256" s="83">
        <v>1179210.0</v>
      </c>
      <c r="BH256" s="112">
        <v>3.0</v>
      </c>
      <c r="BI256" s="98" t="s">
        <v>155</v>
      </c>
      <c r="BJ256" s="98" t="str">
        <f t="shared" si="1"/>
        <v>NÃO</v>
      </c>
      <c r="BK256" s="98" t="str">
        <f t="shared" si="2"/>
        <v>NÃO</v>
      </c>
    </row>
    <row r="257" ht="15.75" customHeight="1">
      <c r="A257" s="111" t="s">
        <v>383</v>
      </c>
      <c r="B257" s="83" t="s">
        <v>1066</v>
      </c>
      <c r="C257" s="83" t="s">
        <v>164</v>
      </c>
      <c r="D257" s="83">
        <v>1179292.0</v>
      </c>
      <c r="E257" s="83">
        <v>1178602.0</v>
      </c>
      <c r="F257" s="83"/>
      <c r="G257" s="114" t="s">
        <v>1087</v>
      </c>
      <c r="H257" s="91" t="s">
        <v>1088</v>
      </c>
      <c r="I257" s="114" t="s">
        <v>1089</v>
      </c>
      <c r="J257" s="83" t="s">
        <v>1074</v>
      </c>
      <c r="K257" s="83" t="s">
        <v>168</v>
      </c>
      <c r="L257" s="83" t="s">
        <v>169</v>
      </c>
      <c r="M257" s="82" t="s">
        <v>4289</v>
      </c>
      <c r="N257" s="82" t="s">
        <v>4290</v>
      </c>
      <c r="O257" s="82" t="s">
        <v>4291</v>
      </c>
      <c r="P257" s="82" t="s">
        <v>4292</v>
      </c>
      <c r="Q257" s="82" t="s">
        <v>4293</v>
      </c>
      <c r="R257" s="82" t="s">
        <v>4294</v>
      </c>
      <c r="S257" s="82" t="s">
        <v>4295</v>
      </c>
      <c r="T257" s="138">
        <v>3.0</v>
      </c>
      <c r="U257" s="323">
        <v>3.0</v>
      </c>
      <c r="V257" s="106">
        <v>0.0</v>
      </c>
      <c r="W257" s="107">
        <v>0.0</v>
      </c>
      <c r="X257" s="107">
        <v>0.0</v>
      </c>
      <c r="Y257" s="107">
        <v>0.0</v>
      </c>
      <c r="Z257" s="80">
        <v>0.0</v>
      </c>
      <c r="AA257" s="140">
        <v>0.0</v>
      </c>
      <c r="AB257" s="109">
        <v>0.0</v>
      </c>
      <c r="AC257" s="109">
        <v>0.0</v>
      </c>
      <c r="AD257" s="141">
        <v>0.0</v>
      </c>
      <c r="AE257" s="80">
        <v>0.0</v>
      </c>
      <c r="AF257" s="140">
        <v>0.0</v>
      </c>
      <c r="AG257" s="109">
        <v>20.0</v>
      </c>
      <c r="AH257" s="109">
        <v>38.0</v>
      </c>
      <c r="AI257" s="141">
        <v>0.0</v>
      </c>
      <c r="AJ257" s="80">
        <v>58.0</v>
      </c>
      <c r="AK257" s="140">
        <v>0.0</v>
      </c>
      <c r="AL257" s="109">
        <v>0.0</v>
      </c>
      <c r="AM257" s="141">
        <v>0.0</v>
      </c>
      <c r="AN257" s="80">
        <v>0.0</v>
      </c>
      <c r="AO257" s="140">
        <v>0.0</v>
      </c>
      <c r="AP257" s="109">
        <v>0.0</v>
      </c>
      <c r="AQ257" s="109">
        <v>0.0</v>
      </c>
      <c r="AR257" s="80">
        <v>0.0</v>
      </c>
      <c r="AS257" s="110">
        <v>0.0</v>
      </c>
      <c r="AT257" s="110">
        <v>0.0</v>
      </c>
      <c r="AU257" s="110">
        <v>0.0</v>
      </c>
      <c r="AV257" s="142">
        <v>0.0</v>
      </c>
      <c r="AW257" s="80">
        <v>0.0</v>
      </c>
      <c r="AX257" s="113">
        <v>58.0</v>
      </c>
      <c r="AY257" s="117">
        <v>20.0</v>
      </c>
      <c r="AZ257" s="328">
        <v>38.0</v>
      </c>
      <c r="BA257" s="315">
        <v>0.0</v>
      </c>
      <c r="BB257" s="316">
        <v>58.0</v>
      </c>
      <c r="BC257" s="132" t="s">
        <v>178</v>
      </c>
      <c r="BD257" s="143" t="s">
        <v>227</v>
      </c>
      <c r="BE257" s="132" t="s">
        <v>178</v>
      </c>
      <c r="BF257" s="123"/>
      <c r="BG257" s="83">
        <v>1178602.0</v>
      </c>
      <c r="BH257" s="112">
        <v>3.0</v>
      </c>
      <c r="BI257" s="98" t="s">
        <v>155</v>
      </c>
      <c r="BJ257" s="98" t="str">
        <f t="shared" si="1"/>
        <v>NÃO</v>
      </c>
      <c r="BK257" s="98" t="str">
        <f t="shared" si="2"/>
        <v>NÃO</v>
      </c>
    </row>
    <row r="258" ht="15.75" customHeight="1">
      <c r="A258" s="111" t="s">
        <v>383</v>
      </c>
      <c r="B258" s="83" t="s">
        <v>1066</v>
      </c>
      <c r="C258" s="83" t="s">
        <v>164</v>
      </c>
      <c r="D258" s="83">
        <v>1179292.0</v>
      </c>
      <c r="E258" s="83">
        <v>1179280.0</v>
      </c>
      <c r="F258" s="83"/>
      <c r="G258" s="114" t="s">
        <v>1091</v>
      </c>
      <c r="H258" s="91" t="s">
        <v>1092</v>
      </c>
      <c r="I258" s="187" t="s">
        <v>1093</v>
      </c>
      <c r="J258" s="83" t="s">
        <v>467</v>
      </c>
      <c r="K258" s="83" t="s">
        <v>168</v>
      </c>
      <c r="L258" s="83" t="s">
        <v>169</v>
      </c>
      <c r="M258" s="82" t="s">
        <v>4289</v>
      </c>
      <c r="N258" s="82" t="s">
        <v>4290</v>
      </c>
      <c r="O258" s="82" t="s">
        <v>4291</v>
      </c>
      <c r="P258" s="82" t="s">
        <v>4292</v>
      </c>
      <c r="Q258" s="82" t="s">
        <v>4293</v>
      </c>
      <c r="R258" s="82" t="s">
        <v>4294</v>
      </c>
      <c r="S258" s="82" t="s">
        <v>4295</v>
      </c>
      <c r="T258" s="138">
        <v>3.0</v>
      </c>
      <c r="U258" s="323">
        <v>3.0</v>
      </c>
      <c r="V258" s="106">
        <v>0.0</v>
      </c>
      <c r="W258" s="107">
        <v>0.0</v>
      </c>
      <c r="X258" s="107">
        <v>0.0</v>
      </c>
      <c r="Y258" s="107">
        <v>0.0</v>
      </c>
      <c r="Z258" s="80">
        <v>0.0</v>
      </c>
      <c r="AA258" s="140">
        <v>0.0</v>
      </c>
      <c r="AB258" s="109">
        <v>0.0</v>
      </c>
      <c r="AC258" s="109">
        <v>0.0</v>
      </c>
      <c r="AD258" s="141">
        <v>0.0</v>
      </c>
      <c r="AE258" s="80">
        <v>0.0</v>
      </c>
      <c r="AF258" s="140">
        <v>0.0</v>
      </c>
      <c r="AG258" s="109">
        <v>73.0</v>
      </c>
      <c r="AH258" s="109">
        <v>73.0</v>
      </c>
      <c r="AI258" s="141">
        <v>0.0</v>
      </c>
      <c r="AJ258" s="80">
        <v>146.0</v>
      </c>
      <c r="AK258" s="140">
        <v>0.0</v>
      </c>
      <c r="AL258" s="109">
        <v>0.0</v>
      </c>
      <c r="AM258" s="141">
        <v>0.0</v>
      </c>
      <c r="AN258" s="80">
        <v>0.0</v>
      </c>
      <c r="AO258" s="140">
        <v>0.0</v>
      </c>
      <c r="AP258" s="109">
        <v>0.0</v>
      </c>
      <c r="AQ258" s="109">
        <v>0.0</v>
      </c>
      <c r="AR258" s="80">
        <v>0.0</v>
      </c>
      <c r="AS258" s="110">
        <v>0.0</v>
      </c>
      <c r="AT258" s="110">
        <v>0.0</v>
      </c>
      <c r="AU258" s="110">
        <v>0.0</v>
      </c>
      <c r="AV258" s="142">
        <v>0.0</v>
      </c>
      <c r="AW258" s="80">
        <v>0.0</v>
      </c>
      <c r="AX258" s="113">
        <v>146.0</v>
      </c>
      <c r="AY258" s="117">
        <v>73.0</v>
      </c>
      <c r="AZ258" s="328">
        <v>73.0</v>
      </c>
      <c r="BA258" s="315">
        <v>0.0</v>
      </c>
      <c r="BB258" s="316">
        <v>146.0</v>
      </c>
      <c r="BC258" s="132" t="s">
        <v>178</v>
      </c>
      <c r="BD258" s="143" t="s">
        <v>227</v>
      </c>
      <c r="BE258" s="132" t="s">
        <v>178</v>
      </c>
      <c r="BF258" s="123"/>
      <c r="BG258" s="83">
        <v>1179280.0</v>
      </c>
      <c r="BH258" s="112">
        <v>3.0</v>
      </c>
      <c r="BI258" s="98" t="s">
        <v>155</v>
      </c>
      <c r="BJ258" s="98" t="str">
        <f t="shared" si="1"/>
        <v>NÃO</v>
      </c>
      <c r="BK258" s="98" t="str">
        <f t="shared" si="2"/>
        <v>NÃO</v>
      </c>
    </row>
    <row r="259" ht="15.75" customHeight="1">
      <c r="A259" s="111" t="s">
        <v>383</v>
      </c>
      <c r="B259" s="83" t="s">
        <v>1066</v>
      </c>
      <c r="C259" s="83" t="s">
        <v>164</v>
      </c>
      <c r="D259" s="83">
        <v>1179292.0</v>
      </c>
      <c r="E259" s="83">
        <v>1178601.0</v>
      </c>
      <c r="F259" s="83"/>
      <c r="G259" s="187" t="s">
        <v>1094</v>
      </c>
      <c r="H259" s="91" t="s">
        <v>1095</v>
      </c>
      <c r="I259" s="187" t="s">
        <v>1096</v>
      </c>
      <c r="J259" s="83" t="s">
        <v>784</v>
      </c>
      <c r="K259" s="83" t="s">
        <v>168</v>
      </c>
      <c r="L259" s="83" t="s">
        <v>169</v>
      </c>
      <c r="M259" s="82" t="s">
        <v>4289</v>
      </c>
      <c r="N259" s="82" t="s">
        <v>4290</v>
      </c>
      <c r="O259" s="82" t="s">
        <v>4291</v>
      </c>
      <c r="P259" s="82" t="s">
        <v>4292</v>
      </c>
      <c r="Q259" s="82" t="s">
        <v>4293</v>
      </c>
      <c r="R259" s="82" t="s">
        <v>4294</v>
      </c>
      <c r="S259" s="82" t="s">
        <v>4295</v>
      </c>
      <c r="T259" s="138">
        <v>3.0</v>
      </c>
      <c r="U259" s="323">
        <v>3.0</v>
      </c>
      <c r="V259" s="106">
        <v>0.0</v>
      </c>
      <c r="W259" s="107">
        <v>0.0</v>
      </c>
      <c r="X259" s="107">
        <v>0.0</v>
      </c>
      <c r="Y259" s="107">
        <v>0.0</v>
      </c>
      <c r="Z259" s="80">
        <v>0.0</v>
      </c>
      <c r="AA259" s="140">
        <v>0.0</v>
      </c>
      <c r="AB259" s="109">
        <v>0.0</v>
      </c>
      <c r="AC259" s="109">
        <v>0.0</v>
      </c>
      <c r="AD259" s="141">
        <v>0.0</v>
      </c>
      <c r="AE259" s="80">
        <v>0.0</v>
      </c>
      <c r="AF259" s="140">
        <v>0.0</v>
      </c>
      <c r="AG259" s="109">
        <v>0.0</v>
      </c>
      <c r="AH259" s="109">
        <v>70.0</v>
      </c>
      <c r="AI259" s="141">
        <v>0.0</v>
      </c>
      <c r="AJ259" s="80">
        <v>70.0</v>
      </c>
      <c r="AK259" s="140">
        <v>0.0</v>
      </c>
      <c r="AL259" s="109">
        <v>0.0</v>
      </c>
      <c r="AM259" s="141">
        <v>0.0</v>
      </c>
      <c r="AN259" s="80">
        <v>0.0</v>
      </c>
      <c r="AO259" s="140">
        <v>0.0</v>
      </c>
      <c r="AP259" s="109">
        <v>0.0</v>
      </c>
      <c r="AQ259" s="109">
        <v>0.0</v>
      </c>
      <c r="AR259" s="80">
        <v>0.0</v>
      </c>
      <c r="AS259" s="110">
        <v>0.0</v>
      </c>
      <c r="AT259" s="110">
        <v>0.0</v>
      </c>
      <c r="AU259" s="110">
        <v>0.0</v>
      </c>
      <c r="AV259" s="142">
        <v>0.0</v>
      </c>
      <c r="AW259" s="80">
        <v>0.0</v>
      </c>
      <c r="AX259" s="113">
        <v>70.0</v>
      </c>
      <c r="AY259" s="117">
        <v>0.0</v>
      </c>
      <c r="AZ259" s="328">
        <v>70.0</v>
      </c>
      <c r="BA259" s="315">
        <v>0.0</v>
      </c>
      <c r="BB259" s="316">
        <v>70.0</v>
      </c>
      <c r="BC259" s="132" t="s">
        <v>178</v>
      </c>
      <c r="BD259" s="143" t="s">
        <v>227</v>
      </c>
      <c r="BE259" s="132" t="s">
        <v>178</v>
      </c>
      <c r="BF259" s="156"/>
      <c r="BG259" s="83">
        <v>1178601.0</v>
      </c>
      <c r="BH259" s="112">
        <v>3.0</v>
      </c>
      <c r="BI259" s="98" t="s">
        <v>155</v>
      </c>
      <c r="BJ259" s="98" t="str">
        <f t="shared" si="1"/>
        <v>NÃO</v>
      </c>
      <c r="BK259" s="98" t="str">
        <f t="shared" si="2"/>
        <v>NÃO</v>
      </c>
    </row>
    <row r="260" ht="15.75" customHeight="1">
      <c r="A260" s="111" t="s">
        <v>383</v>
      </c>
      <c r="B260" s="83" t="s">
        <v>1097</v>
      </c>
      <c r="C260" s="83" t="s">
        <v>68</v>
      </c>
      <c r="D260" s="83">
        <v>1115520.0</v>
      </c>
      <c r="E260" s="83"/>
      <c r="F260" s="83">
        <v>2.9147409E7</v>
      </c>
      <c r="G260" s="187" t="s">
        <v>1098</v>
      </c>
      <c r="H260" s="91" t="s">
        <v>1099</v>
      </c>
      <c r="I260" s="187" t="s">
        <v>149</v>
      </c>
      <c r="J260" s="83" t="s">
        <v>150</v>
      </c>
      <c r="K260" s="83" t="s">
        <v>151</v>
      </c>
      <c r="L260" s="83" t="s">
        <v>76</v>
      </c>
      <c r="M260" s="82" t="s">
        <v>4330</v>
      </c>
      <c r="N260" s="82" t="s">
        <v>4331</v>
      </c>
      <c r="O260" s="82" t="s">
        <v>4332</v>
      </c>
      <c r="P260" s="82" t="s">
        <v>4333</v>
      </c>
      <c r="Q260" s="82"/>
      <c r="R260" s="82"/>
      <c r="S260" s="82" t="s">
        <v>4334</v>
      </c>
      <c r="T260" s="138">
        <v>7.0</v>
      </c>
      <c r="U260" s="331" t="s">
        <v>4335</v>
      </c>
      <c r="V260" s="106">
        <v>0.0</v>
      </c>
      <c r="W260" s="107">
        <v>0.0</v>
      </c>
      <c r="X260" s="107">
        <v>0.0</v>
      </c>
      <c r="Y260" s="107">
        <v>0.0</v>
      </c>
      <c r="Z260" s="80">
        <v>0.0</v>
      </c>
      <c r="AA260" s="140">
        <v>0.0</v>
      </c>
      <c r="AB260" s="109">
        <v>0.0</v>
      </c>
      <c r="AC260" s="109">
        <v>0.0</v>
      </c>
      <c r="AD260" s="141">
        <v>0.0</v>
      </c>
      <c r="AE260" s="80">
        <v>0.0</v>
      </c>
      <c r="AF260" s="140">
        <v>299.0</v>
      </c>
      <c r="AG260" s="109">
        <v>256.0</v>
      </c>
      <c r="AH260" s="109">
        <v>0.0</v>
      </c>
      <c r="AI260" s="141">
        <v>0.0</v>
      </c>
      <c r="AJ260" s="80">
        <v>555.0</v>
      </c>
      <c r="AK260" s="140">
        <v>0.0</v>
      </c>
      <c r="AL260" s="109">
        <v>0.0</v>
      </c>
      <c r="AM260" s="141">
        <v>0.0</v>
      </c>
      <c r="AN260" s="80">
        <v>0.0</v>
      </c>
      <c r="AO260" s="140">
        <v>0.0</v>
      </c>
      <c r="AP260" s="109">
        <v>0.0</v>
      </c>
      <c r="AQ260" s="109">
        <v>68.0</v>
      </c>
      <c r="AR260" s="80">
        <v>68.0</v>
      </c>
      <c r="AS260" s="110">
        <v>0.0</v>
      </c>
      <c r="AT260" s="110">
        <v>0.0</v>
      </c>
      <c r="AU260" s="110">
        <v>0.0</v>
      </c>
      <c r="AV260" s="142">
        <v>0.0</v>
      </c>
      <c r="AW260" s="80">
        <v>0.0</v>
      </c>
      <c r="AX260" s="113">
        <v>623.0</v>
      </c>
      <c r="AY260" s="117">
        <v>555.0</v>
      </c>
      <c r="AZ260" s="328">
        <v>68.0</v>
      </c>
      <c r="BA260" s="315">
        <v>0.0</v>
      </c>
      <c r="BB260" s="316">
        <v>623.0</v>
      </c>
      <c r="BC260" s="132" t="s">
        <v>178</v>
      </c>
      <c r="BD260" s="132" t="s">
        <v>178</v>
      </c>
      <c r="BE260" s="132" t="s">
        <v>178</v>
      </c>
      <c r="BF260" s="123"/>
      <c r="BG260" s="83">
        <v>1115520.0</v>
      </c>
      <c r="BH260" s="112">
        <v>7.0</v>
      </c>
      <c r="BI260" s="98" t="s">
        <v>155</v>
      </c>
      <c r="BJ260" s="98" t="str">
        <f t="shared" si="1"/>
        <v>NÃO</v>
      </c>
      <c r="BK260" s="98" t="str">
        <f t="shared" si="2"/>
        <v>NÃO</v>
      </c>
    </row>
    <row r="261" ht="15.75" customHeight="1">
      <c r="A261" s="111" t="s">
        <v>383</v>
      </c>
      <c r="B261" s="83" t="s">
        <v>1101</v>
      </c>
      <c r="C261" s="83" t="s">
        <v>68</v>
      </c>
      <c r="D261" s="83">
        <v>1115547.0</v>
      </c>
      <c r="E261" s="83"/>
      <c r="F261" s="83">
        <v>2.9136385E7</v>
      </c>
      <c r="G261" s="187" t="s">
        <v>4339</v>
      </c>
      <c r="H261" s="91" t="s">
        <v>1103</v>
      </c>
      <c r="I261" s="114" t="s">
        <v>149</v>
      </c>
      <c r="J261" s="83" t="s">
        <v>150</v>
      </c>
      <c r="K261" s="83" t="s">
        <v>151</v>
      </c>
      <c r="L261" s="83" t="s">
        <v>76</v>
      </c>
      <c r="M261" s="82" t="s">
        <v>4340</v>
      </c>
      <c r="N261" s="82" t="s">
        <v>4341</v>
      </c>
      <c r="O261" s="82" t="s">
        <v>4342</v>
      </c>
      <c r="P261" s="82" t="s">
        <v>4343</v>
      </c>
      <c r="Q261" s="82"/>
      <c r="R261" s="82"/>
      <c r="S261" s="82" t="s">
        <v>4345</v>
      </c>
      <c r="T261" s="138">
        <v>7.0</v>
      </c>
      <c r="U261" s="331" t="s">
        <v>4346</v>
      </c>
      <c r="V261" s="106">
        <v>0.0</v>
      </c>
      <c r="W261" s="107">
        <v>0.0</v>
      </c>
      <c r="X261" s="107">
        <v>0.0</v>
      </c>
      <c r="Y261" s="107">
        <v>0.0</v>
      </c>
      <c r="Z261" s="80">
        <v>0.0</v>
      </c>
      <c r="AA261" s="140">
        <v>0.0</v>
      </c>
      <c r="AB261" s="109">
        <v>0.0</v>
      </c>
      <c r="AC261" s="109">
        <v>0.0</v>
      </c>
      <c r="AD261" s="141">
        <v>0.0</v>
      </c>
      <c r="AE261" s="80">
        <v>0.0</v>
      </c>
      <c r="AF261" s="140">
        <v>248.0</v>
      </c>
      <c r="AG261" s="109">
        <v>160.0</v>
      </c>
      <c r="AH261" s="109">
        <v>0.0</v>
      </c>
      <c r="AI261" s="141">
        <v>0.0</v>
      </c>
      <c r="AJ261" s="80">
        <v>408.0</v>
      </c>
      <c r="AK261" s="140">
        <v>0.0</v>
      </c>
      <c r="AL261" s="109">
        <v>0.0</v>
      </c>
      <c r="AM261" s="141">
        <v>0.0</v>
      </c>
      <c r="AN261" s="80">
        <v>0.0</v>
      </c>
      <c r="AO261" s="140">
        <v>0.0</v>
      </c>
      <c r="AP261" s="109">
        <v>0.0</v>
      </c>
      <c r="AQ261" s="109">
        <v>83.0</v>
      </c>
      <c r="AR261" s="80">
        <v>83.0</v>
      </c>
      <c r="AS261" s="110">
        <v>0.0</v>
      </c>
      <c r="AT261" s="110">
        <v>0.0</v>
      </c>
      <c r="AU261" s="110">
        <v>0.0</v>
      </c>
      <c r="AV261" s="142">
        <v>0.0</v>
      </c>
      <c r="AW261" s="80">
        <v>0.0</v>
      </c>
      <c r="AX261" s="113">
        <v>491.0</v>
      </c>
      <c r="AY261" s="117">
        <v>408.0</v>
      </c>
      <c r="AZ261" s="328">
        <v>83.0</v>
      </c>
      <c r="BA261" s="315">
        <v>0.0</v>
      </c>
      <c r="BB261" s="316">
        <v>491.0</v>
      </c>
      <c r="BC261" s="132" t="s">
        <v>178</v>
      </c>
      <c r="BD261" s="132" t="s">
        <v>178</v>
      </c>
      <c r="BE261" s="132" t="s">
        <v>178</v>
      </c>
      <c r="BF261" s="123"/>
      <c r="BG261" s="83">
        <v>1115547.0</v>
      </c>
      <c r="BH261" s="98">
        <v>8.0</v>
      </c>
      <c r="BI261" s="98" t="s">
        <v>155</v>
      </c>
      <c r="BJ261" s="98" t="str">
        <f t="shared" si="1"/>
        <v>NÃO</v>
      </c>
      <c r="BK261" s="98" t="str">
        <f t="shared" si="2"/>
        <v>NÃO</v>
      </c>
    </row>
    <row r="262" ht="15.75" customHeight="1">
      <c r="A262" s="111" t="s">
        <v>383</v>
      </c>
      <c r="B262" s="172" t="s">
        <v>1105</v>
      </c>
      <c r="C262" s="83" t="s">
        <v>68</v>
      </c>
      <c r="D262" s="83">
        <v>1105606.0</v>
      </c>
      <c r="E262" s="83"/>
      <c r="F262" s="83">
        <v>2.9136571E7</v>
      </c>
      <c r="G262" s="187" t="s">
        <v>1106</v>
      </c>
      <c r="H262" s="91" t="s">
        <v>1107</v>
      </c>
      <c r="I262" s="114" t="s">
        <v>149</v>
      </c>
      <c r="J262" s="83" t="s">
        <v>150</v>
      </c>
      <c r="K262" s="83" t="s">
        <v>151</v>
      </c>
      <c r="L262" s="83" t="s">
        <v>76</v>
      </c>
      <c r="M262" s="82" t="s">
        <v>4354</v>
      </c>
      <c r="N262" s="82" t="s">
        <v>4355</v>
      </c>
      <c r="O262" s="82" t="s">
        <v>4356</v>
      </c>
      <c r="P262" s="82"/>
      <c r="Q262" s="82"/>
      <c r="R262" s="82"/>
      <c r="S262" s="82" t="s">
        <v>4357</v>
      </c>
      <c r="T262" s="138">
        <v>9.0</v>
      </c>
      <c r="U262" s="331">
        <v>8.0</v>
      </c>
      <c r="V262" s="106">
        <v>0.0</v>
      </c>
      <c r="W262" s="107">
        <v>0.0</v>
      </c>
      <c r="X262" s="107">
        <v>0.0</v>
      </c>
      <c r="Y262" s="107">
        <v>0.0</v>
      </c>
      <c r="Z262" s="80">
        <v>0.0</v>
      </c>
      <c r="AA262" s="140">
        <v>0.0</v>
      </c>
      <c r="AB262" s="109">
        <v>0.0</v>
      </c>
      <c r="AC262" s="109">
        <v>0.0</v>
      </c>
      <c r="AD262" s="141">
        <v>0.0</v>
      </c>
      <c r="AE262" s="80">
        <v>0.0</v>
      </c>
      <c r="AF262" s="140">
        <v>177.0</v>
      </c>
      <c r="AG262" s="109">
        <v>0.0</v>
      </c>
      <c r="AH262" s="109">
        <v>0.0</v>
      </c>
      <c r="AI262" s="141">
        <v>40.0</v>
      </c>
      <c r="AJ262" s="80">
        <v>217.0</v>
      </c>
      <c r="AK262" s="140">
        <v>0.0</v>
      </c>
      <c r="AL262" s="109">
        <v>0.0</v>
      </c>
      <c r="AM262" s="141">
        <v>0.0</v>
      </c>
      <c r="AN262" s="80">
        <v>0.0</v>
      </c>
      <c r="AO262" s="140">
        <v>0.0</v>
      </c>
      <c r="AP262" s="109">
        <v>0.0</v>
      </c>
      <c r="AQ262" s="109">
        <v>55.0</v>
      </c>
      <c r="AR262" s="80">
        <v>55.0</v>
      </c>
      <c r="AS262" s="110">
        <v>0.0</v>
      </c>
      <c r="AT262" s="110">
        <v>0.0</v>
      </c>
      <c r="AU262" s="110">
        <v>0.0</v>
      </c>
      <c r="AV262" s="142">
        <v>0.0</v>
      </c>
      <c r="AW262" s="80">
        <v>0.0</v>
      </c>
      <c r="AX262" s="113">
        <v>272.0</v>
      </c>
      <c r="AY262" s="117">
        <v>217.0</v>
      </c>
      <c r="AZ262" s="328">
        <v>55.0</v>
      </c>
      <c r="BA262" s="315">
        <v>0.0</v>
      </c>
      <c r="BB262" s="316">
        <v>272.0</v>
      </c>
      <c r="BC262" s="132" t="s">
        <v>178</v>
      </c>
      <c r="BD262" s="132" t="s">
        <v>178</v>
      </c>
      <c r="BE262" s="132" t="s">
        <v>178</v>
      </c>
      <c r="BF262" s="123"/>
      <c r="BG262" s="83">
        <v>1105606.0</v>
      </c>
      <c r="BH262" s="112">
        <v>8.0</v>
      </c>
      <c r="BI262" s="98" t="s">
        <v>155</v>
      </c>
      <c r="BJ262" s="98" t="str">
        <f t="shared" si="1"/>
        <v>INTEGRAL</v>
      </c>
      <c r="BK262" s="98" t="str">
        <f t="shared" si="2"/>
        <v>NÃO</v>
      </c>
    </row>
    <row r="263" ht="15.75" customHeight="1">
      <c r="A263" s="111" t="s">
        <v>383</v>
      </c>
      <c r="B263" s="83" t="s">
        <v>1110</v>
      </c>
      <c r="C263" s="83" t="s">
        <v>68</v>
      </c>
      <c r="D263" s="83">
        <v>1176868.0</v>
      </c>
      <c r="E263" s="83"/>
      <c r="F263" s="83">
        <v>2.9116422E7</v>
      </c>
      <c r="G263" s="187" t="s">
        <v>4362</v>
      </c>
      <c r="H263" s="91" t="s">
        <v>1120</v>
      </c>
      <c r="I263" s="114" t="s">
        <v>149</v>
      </c>
      <c r="J263" s="83" t="s">
        <v>150</v>
      </c>
      <c r="K263" s="83" t="s">
        <v>151</v>
      </c>
      <c r="L263" s="83" t="s">
        <v>152</v>
      </c>
      <c r="M263" s="82" t="s">
        <v>4363</v>
      </c>
      <c r="N263" s="82" t="s">
        <v>4364</v>
      </c>
      <c r="O263" s="82" t="s">
        <v>4365</v>
      </c>
      <c r="P263" s="82" t="s">
        <v>4366</v>
      </c>
      <c r="Q263" s="82" t="s">
        <v>4367</v>
      </c>
      <c r="R263" s="82" t="s">
        <v>4368</v>
      </c>
      <c r="S263" s="82" t="s">
        <v>4370</v>
      </c>
      <c r="T263" s="138">
        <v>10.0</v>
      </c>
      <c r="U263" s="323" t="s">
        <v>4372</v>
      </c>
      <c r="V263" s="106">
        <v>0.0</v>
      </c>
      <c r="W263" s="107">
        <v>0.0</v>
      </c>
      <c r="X263" s="107">
        <v>0.0</v>
      </c>
      <c r="Y263" s="107">
        <v>0.0</v>
      </c>
      <c r="Z263" s="80">
        <v>0.0</v>
      </c>
      <c r="AA263" s="140">
        <v>0.0</v>
      </c>
      <c r="AB263" s="109">
        <v>0.0</v>
      </c>
      <c r="AC263" s="109">
        <v>0.0</v>
      </c>
      <c r="AD263" s="141">
        <v>0.0</v>
      </c>
      <c r="AE263" s="80">
        <v>0.0</v>
      </c>
      <c r="AF263" s="140">
        <v>435.0</v>
      </c>
      <c r="AG263" s="109">
        <v>205.0</v>
      </c>
      <c r="AH263" s="109">
        <v>81.0</v>
      </c>
      <c r="AI263" s="141">
        <v>134.0</v>
      </c>
      <c r="AJ263" s="80">
        <v>855.0</v>
      </c>
      <c r="AK263" s="140">
        <v>0.0</v>
      </c>
      <c r="AL263" s="109">
        <v>0.0</v>
      </c>
      <c r="AM263" s="141">
        <v>0.0</v>
      </c>
      <c r="AN263" s="80">
        <v>0.0</v>
      </c>
      <c r="AO263" s="140">
        <v>0.0</v>
      </c>
      <c r="AP263" s="109">
        <v>0.0</v>
      </c>
      <c r="AQ263" s="109">
        <v>148.0</v>
      </c>
      <c r="AR263" s="80">
        <v>148.0</v>
      </c>
      <c r="AS263" s="110">
        <v>0.0</v>
      </c>
      <c r="AT263" s="110">
        <v>0.0</v>
      </c>
      <c r="AU263" s="110">
        <v>0.0</v>
      </c>
      <c r="AV263" s="142">
        <v>0.0</v>
      </c>
      <c r="AW263" s="80">
        <v>0.0</v>
      </c>
      <c r="AX263" s="113">
        <v>1003.0</v>
      </c>
      <c r="AY263" s="117">
        <v>774.0</v>
      </c>
      <c r="AZ263" s="328">
        <v>229.0</v>
      </c>
      <c r="BA263" s="315">
        <v>0.0</v>
      </c>
      <c r="BB263" s="316">
        <v>1003.0</v>
      </c>
      <c r="BC263" s="132" t="s">
        <v>178</v>
      </c>
      <c r="BD263" s="132" t="s">
        <v>178</v>
      </c>
      <c r="BE263" s="132" t="s">
        <v>178</v>
      </c>
      <c r="BF263" s="123"/>
      <c r="BG263" s="83">
        <v>1176868.0</v>
      </c>
      <c r="BH263" s="112">
        <v>8.0</v>
      </c>
      <c r="BI263" s="98" t="s">
        <v>155</v>
      </c>
      <c r="BJ263" s="98" t="str">
        <f t="shared" si="1"/>
        <v>INTEGRAL</v>
      </c>
      <c r="BK263" s="98" t="str">
        <f t="shared" si="2"/>
        <v>NÃO</v>
      </c>
    </row>
    <row r="264" ht="15.75" customHeight="1">
      <c r="A264" s="111" t="s">
        <v>383</v>
      </c>
      <c r="B264" s="172" t="s">
        <v>1110</v>
      </c>
      <c r="C264" s="83" t="s">
        <v>68</v>
      </c>
      <c r="D264" s="83">
        <v>1178245.0</v>
      </c>
      <c r="E264" s="83"/>
      <c r="F264" s="83">
        <v>2.9115604E7</v>
      </c>
      <c r="G264" s="187" t="s">
        <v>1111</v>
      </c>
      <c r="H264" s="91" t="s">
        <v>1112</v>
      </c>
      <c r="I264" s="114" t="s">
        <v>149</v>
      </c>
      <c r="J264" s="83" t="s">
        <v>150</v>
      </c>
      <c r="K264" s="83" t="s">
        <v>1113</v>
      </c>
      <c r="L264" s="83" t="s">
        <v>169</v>
      </c>
      <c r="M264" s="82" t="s">
        <v>4375</v>
      </c>
      <c r="N264" s="82" t="s">
        <v>4376</v>
      </c>
      <c r="O264" s="82" t="s">
        <v>4377</v>
      </c>
      <c r="P264" s="82" t="s">
        <v>4378</v>
      </c>
      <c r="Q264" s="82"/>
      <c r="R264" s="82"/>
      <c r="S264" s="82" t="s">
        <v>4379</v>
      </c>
      <c r="T264" s="138">
        <v>21.0</v>
      </c>
      <c r="U264" s="387">
        <v>13.0</v>
      </c>
      <c r="V264" s="106">
        <v>0.0</v>
      </c>
      <c r="W264" s="107">
        <v>0.0</v>
      </c>
      <c r="X264" s="107">
        <v>0.0</v>
      </c>
      <c r="Y264" s="107">
        <v>0.0</v>
      </c>
      <c r="Z264" s="80">
        <v>0.0</v>
      </c>
      <c r="AA264" s="140">
        <v>0.0</v>
      </c>
      <c r="AB264" s="109">
        <v>0.0</v>
      </c>
      <c r="AC264" s="109">
        <v>0.0</v>
      </c>
      <c r="AD264" s="141">
        <v>0.0</v>
      </c>
      <c r="AE264" s="80">
        <v>0.0</v>
      </c>
      <c r="AF264" s="140">
        <v>180.0</v>
      </c>
      <c r="AG264" s="109">
        <v>0.0</v>
      </c>
      <c r="AH264" s="109">
        <v>46.0</v>
      </c>
      <c r="AI264" s="141">
        <v>0.0</v>
      </c>
      <c r="AJ264" s="80">
        <v>226.0</v>
      </c>
      <c r="AK264" s="140">
        <v>0.0</v>
      </c>
      <c r="AL264" s="109">
        <v>0.0</v>
      </c>
      <c r="AM264" s="141">
        <v>0.0</v>
      </c>
      <c r="AN264" s="80">
        <v>0.0</v>
      </c>
      <c r="AO264" s="140">
        <v>0.0</v>
      </c>
      <c r="AP264" s="109">
        <v>0.0</v>
      </c>
      <c r="AQ264" s="109">
        <v>73.0</v>
      </c>
      <c r="AR264" s="80">
        <v>73.0</v>
      </c>
      <c r="AS264" s="110">
        <v>0.0</v>
      </c>
      <c r="AT264" s="110">
        <v>0.0</v>
      </c>
      <c r="AU264" s="110">
        <v>8.0</v>
      </c>
      <c r="AV264" s="142">
        <v>0.0</v>
      </c>
      <c r="AW264" s="80">
        <v>8.0</v>
      </c>
      <c r="AX264" s="113">
        <v>307.0</v>
      </c>
      <c r="AY264" s="117">
        <v>180.0</v>
      </c>
      <c r="AZ264" s="328">
        <v>127.0</v>
      </c>
      <c r="BA264" s="315">
        <v>0.0</v>
      </c>
      <c r="BB264" s="316">
        <v>307.0</v>
      </c>
      <c r="BC264" s="132" t="s">
        <v>178</v>
      </c>
      <c r="BD264" s="132" t="s">
        <v>178</v>
      </c>
      <c r="BE264" s="132" t="s">
        <v>178</v>
      </c>
      <c r="BF264" s="156"/>
      <c r="BG264" s="83">
        <v>1178245.0</v>
      </c>
      <c r="BH264" s="112">
        <v>13.0</v>
      </c>
      <c r="BI264" s="98" t="s">
        <v>155</v>
      </c>
      <c r="BJ264" s="98" t="str">
        <f t="shared" si="1"/>
        <v>NÃO</v>
      </c>
      <c r="BK264" s="98" t="str">
        <f t="shared" si="2"/>
        <v>PROFISSIONAL</v>
      </c>
    </row>
    <row r="265" ht="15.75" customHeight="1">
      <c r="A265" s="111" t="s">
        <v>383</v>
      </c>
      <c r="B265" s="83" t="s">
        <v>1110</v>
      </c>
      <c r="C265" s="83" t="s">
        <v>68</v>
      </c>
      <c r="D265" s="83">
        <v>1178125.0</v>
      </c>
      <c r="E265" s="83"/>
      <c r="F265" s="83">
        <v>2.9437164E7</v>
      </c>
      <c r="G265" s="187" t="s">
        <v>4386</v>
      </c>
      <c r="H265" s="91" t="s">
        <v>1116</v>
      </c>
      <c r="I265" s="114" t="s">
        <v>1117</v>
      </c>
      <c r="J265" s="83" t="s">
        <v>467</v>
      </c>
      <c r="K265" s="83" t="s">
        <v>168</v>
      </c>
      <c r="L265" s="83" t="s">
        <v>169</v>
      </c>
      <c r="M265" s="82" t="s">
        <v>4387</v>
      </c>
      <c r="N265" s="82" t="s">
        <v>4388</v>
      </c>
      <c r="O265" s="82" t="s">
        <v>4389</v>
      </c>
      <c r="P265" s="82"/>
      <c r="Q265" s="82"/>
      <c r="R265" s="82"/>
      <c r="S265" s="82" t="s">
        <v>4390</v>
      </c>
      <c r="T265" s="138">
        <v>5.0</v>
      </c>
      <c r="U265" s="341">
        <v>5.0</v>
      </c>
      <c r="V265" s="106">
        <v>0.0</v>
      </c>
      <c r="W265" s="107">
        <v>0.0</v>
      </c>
      <c r="X265" s="107">
        <v>0.0</v>
      </c>
      <c r="Y265" s="107">
        <v>0.0</v>
      </c>
      <c r="Z265" s="80">
        <v>0.0</v>
      </c>
      <c r="AA265" s="140">
        <v>0.0</v>
      </c>
      <c r="AB265" s="109">
        <v>0.0</v>
      </c>
      <c r="AC265" s="109">
        <v>0.0</v>
      </c>
      <c r="AD265" s="141">
        <v>0.0</v>
      </c>
      <c r="AE265" s="80">
        <v>0.0</v>
      </c>
      <c r="AF265" s="140">
        <v>0.0</v>
      </c>
      <c r="AG265" s="109">
        <v>106.0</v>
      </c>
      <c r="AH265" s="109">
        <v>0.0</v>
      </c>
      <c r="AI265" s="141">
        <v>0.0</v>
      </c>
      <c r="AJ265" s="80">
        <v>106.0</v>
      </c>
      <c r="AK265" s="140">
        <v>0.0</v>
      </c>
      <c r="AL265" s="109">
        <v>0.0</v>
      </c>
      <c r="AM265" s="141">
        <v>0.0</v>
      </c>
      <c r="AN265" s="80">
        <v>0.0</v>
      </c>
      <c r="AO265" s="140">
        <v>0.0</v>
      </c>
      <c r="AP265" s="109">
        <v>0.0</v>
      </c>
      <c r="AQ265" s="109">
        <v>47.0</v>
      </c>
      <c r="AR265" s="80">
        <v>47.0</v>
      </c>
      <c r="AS265" s="110">
        <v>0.0</v>
      </c>
      <c r="AT265" s="110">
        <v>0.0</v>
      </c>
      <c r="AU265" s="110">
        <v>0.0</v>
      </c>
      <c r="AV265" s="142">
        <v>0.0</v>
      </c>
      <c r="AW265" s="80">
        <v>0.0</v>
      </c>
      <c r="AX265" s="113">
        <v>153.0</v>
      </c>
      <c r="AY265" s="117">
        <v>106.0</v>
      </c>
      <c r="AZ265" s="328">
        <v>47.0</v>
      </c>
      <c r="BA265" s="315">
        <v>0.0</v>
      </c>
      <c r="BB265" s="316">
        <v>153.0</v>
      </c>
      <c r="BC265" s="132" t="s">
        <v>373</v>
      </c>
      <c r="BD265" s="132" t="s">
        <v>178</v>
      </c>
      <c r="BE265" s="132" t="s">
        <v>178</v>
      </c>
      <c r="BF265" s="123"/>
      <c r="BG265" s="83">
        <v>1178125.0</v>
      </c>
      <c r="BH265" s="112">
        <v>5.0</v>
      </c>
      <c r="BI265" s="98" t="s">
        <v>155</v>
      </c>
      <c r="BJ265" s="98" t="str">
        <f t="shared" si="1"/>
        <v>NÃO</v>
      </c>
      <c r="BK265" s="98" t="str">
        <f t="shared" si="2"/>
        <v>NÃO</v>
      </c>
    </row>
    <row r="266" ht="15.75" customHeight="1">
      <c r="A266" s="111" t="s">
        <v>383</v>
      </c>
      <c r="B266" s="83" t="s">
        <v>1124</v>
      </c>
      <c r="C266" s="83" t="s">
        <v>68</v>
      </c>
      <c r="D266" s="83">
        <v>1115865.0</v>
      </c>
      <c r="E266" s="83"/>
      <c r="F266" s="83">
        <v>2.9137853E7</v>
      </c>
      <c r="G266" s="187" t="s">
        <v>1125</v>
      </c>
      <c r="H266" s="91" t="s">
        <v>1126</v>
      </c>
      <c r="I266" s="114" t="s">
        <v>576</v>
      </c>
      <c r="J266" s="83" t="s">
        <v>150</v>
      </c>
      <c r="K266" s="83" t="s">
        <v>151</v>
      </c>
      <c r="L266" s="83" t="s">
        <v>230</v>
      </c>
      <c r="M266" s="82" t="s">
        <v>4395</v>
      </c>
      <c r="N266" s="82" t="s">
        <v>4396</v>
      </c>
      <c r="O266" s="82" t="s">
        <v>4397</v>
      </c>
      <c r="P266" s="82" t="s">
        <v>4398</v>
      </c>
      <c r="Q266" s="82" t="s">
        <v>4399</v>
      </c>
      <c r="R266" s="82" t="s">
        <v>4400</v>
      </c>
      <c r="S266" s="82" t="s">
        <v>4401</v>
      </c>
      <c r="T266" s="138">
        <v>16.0</v>
      </c>
      <c r="U266" s="352" t="s">
        <v>4402</v>
      </c>
      <c r="V266" s="106">
        <v>0.0</v>
      </c>
      <c r="W266" s="107">
        <v>0.0</v>
      </c>
      <c r="X266" s="107">
        <v>0.0</v>
      </c>
      <c r="Y266" s="107">
        <v>0.0</v>
      </c>
      <c r="Z266" s="80">
        <v>0.0</v>
      </c>
      <c r="AA266" s="140">
        <v>159.0</v>
      </c>
      <c r="AB266" s="109">
        <v>154.0</v>
      </c>
      <c r="AC266" s="109">
        <v>0.0</v>
      </c>
      <c r="AD266" s="141">
        <v>0.0</v>
      </c>
      <c r="AE266" s="80">
        <v>313.0</v>
      </c>
      <c r="AF266" s="140">
        <v>413.0</v>
      </c>
      <c r="AG266" s="109">
        <v>324.0</v>
      </c>
      <c r="AH266" s="109">
        <v>71.0</v>
      </c>
      <c r="AI266" s="141">
        <v>84.0</v>
      </c>
      <c r="AJ266" s="80">
        <v>892.0</v>
      </c>
      <c r="AK266" s="140">
        <v>0.0</v>
      </c>
      <c r="AL266" s="109">
        <v>0.0</v>
      </c>
      <c r="AM266" s="141">
        <v>0.0</v>
      </c>
      <c r="AN266" s="80">
        <v>0.0</v>
      </c>
      <c r="AO266" s="140">
        <v>0.0</v>
      </c>
      <c r="AP266" s="109">
        <v>0.0</v>
      </c>
      <c r="AQ266" s="109">
        <v>213.0</v>
      </c>
      <c r="AR266" s="80">
        <v>213.0</v>
      </c>
      <c r="AS266" s="110">
        <v>0.0</v>
      </c>
      <c r="AT266" s="110">
        <v>0.0</v>
      </c>
      <c r="AU266" s="110">
        <v>0.0</v>
      </c>
      <c r="AV266" s="142">
        <v>0.0</v>
      </c>
      <c r="AW266" s="80">
        <v>0.0</v>
      </c>
      <c r="AX266" s="113">
        <v>1418.0</v>
      </c>
      <c r="AY266" s="117">
        <v>1134.0</v>
      </c>
      <c r="AZ266" s="328">
        <v>284.0</v>
      </c>
      <c r="BA266" s="315">
        <v>2.0</v>
      </c>
      <c r="BB266" s="316">
        <v>1420.0</v>
      </c>
      <c r="BC266" s="132" t="s">
        <v>178</v>
      </c>
      <c r="BD266" s="132" t="s">
        <v>178</v>
      </c>
      <c r="BE266" s="132" t="s">
        <v>178</v>
      </c>
      <c r="BF266" s="123"/>
      <c r="BG266" s="83">
        <v>1115865.0</v>
      </c>
      <c r="BH266" s="112">
        <v>15.0</v>
      </c>
      <c r="BI266" s="98" t="s">
        <v>155</v>
      </c>
      <c r="BJ266" s="98" t="str">
        <f t="shared" si="1"/>
        <v>INTEGRAL</v>
      </c>
      <c r="BK266" s="98" t="str">
        <f t="shared" si="2"/>
        <v>NÃO</v>
      </c>
    </row>
    <row r="267" ht="15.75" customHeight="1">
      <c r="A267" s="111" t="s">
        <v>383</v>
      </c>
      <c r="B267" s="172" t="s">
        <v>1124</v>
      </c>
      <c r="C267" s="83" t="s">
        <v>68</v>
      </c>
      <c r="D267" s="83">
        <v>1115806.0</v>
      </c>
      <c r="E267" s="83"/>
      <c r="F267" s="83">
        <v>2.9139325E7</v>
      </c>
      <c r="G267" s="114" t="s">
        <v>1129</v>
      </c>
      <c r="H267" s="91" t="s">
        <v>1130</v>
      </c>
      <c r="I267" s="114" t="s">
        <v>149</v>
      </c>
      <c r="J267" s="83" t="s">
        <v>240</v>
      </c>
      <c r="K267" s="83" t="s">
        <v>151</v>
      </c>
      <c r="L267" s="83" t="s">
        <v>152</v>
      </c>
      <c r="M267" s="82" t="s">
        <v>4405</v>
      </c>
      <c r="N267" s="82" t="s">
        <v>4406</v>
      </c>
      <c r="O267" s="82" t="s">
        <v>4407</v>
      </c>
      <c r="P267" s="82" t="s">
        <v>4408</v>
      </c>
      <c r="Q267" s="82"/>
      <c r="R267" s="82"/>
      <c r="S267" s="82" t="s">
        <v>4409</v>
      </c>
      <c r="T267" s="138">
        <v>8.0</v>
      </c>
      <c r="U267" s="389">
        <v>8.0</v>
      </c>
      <c r="V267" s="106">
        <v>0.0</v>
      </c>
      <c r="W267" s="107">
        <v>0.0</v>
      </c>
      <c r="X267" s="107">
        <v>0.0</v>
      </c>
      <c r="Y267" s="107">
        <v>0.0</v>
      </c>
      <c r="Z267" s="80">
        <v>0.0</v>
      </c>
      <c r="AA267" s="140">
        <v>35.0</v>
      </c>
      <c r="AB267" s="109">
        <v>69.0</v>
      </c>
      <c r="AC267" s="109">
        <v>0.0</v>
      </c>
      <c r="AD267" s="141">
        <v>0.0</v>
      </c>
      <c r="AE267" s="80">
        <v>104.0</v>
      </c>
      <c r="AF267" s="140">
        <v>190.0</v>
      </c>
      <c r="AG267" s="109">
        <v>129.0</v>
      </c>
      <c r="AH267" s="109">
        <v>0.0</v>
      </c>
      <c r="AI267" s="141">
        <v>0.0</v>
      </c>
      <c r="AJ267" s="80">
        <v>319.0</v>
      </c>
      <c r="AK267" s="140">
        <v>0.0</v>
      </c>
      <c r="AL267" s="109">
        <v>0.0</v>
      </c>
      <c r="AM267" s="141">
        <v>0.0</v>
      </c>
      <c r="AN267" s="80">
        <v>0.0</v>
      </c>
      <c r="AO267" s="140">
        <v>0.0</v>
      </c>
      <c r="AP267" s="109">
        <v>0.0</v>
      </c>
      <c r="AQ267" s="109">
        <v>93.0</v>
      </c>
      <c r="AR267" s="80">
        <v>93.0</v>
      </c>
      <c r="AS267" s="110">
        <v>0.0</v>
      </c>
      <c r="AT267" s="110">
        <v>0.0</v>
      </c>
      <c r="AU267" s="110">
        <v>0.0</v>
      </c>
      <c r="AV267" s="142">
        <v>0.0</v>
      </c>
      <c r="AW267" s="80">
        <v>0.0</v>
      </c>
      <c r="AX267" s="113">
        <v>516.0</v>
      </c>
      <c r="AY267" s="117">
        <v>423.0</v>
      </c>
      <c r="AZ267" s="328">
        <v>93.0</v>
      </c>
      <c r="BA267" s="315">
        <v>0.0</v>
      </c>
      <c r="BB267" s="316">
        <v>516.0</v>
      </c>
      <c r="BC267" s="132" t="s">
        <v>373</v>
      </c>
      <c r="BD267" s="132" t="s">
        <v>178</v>
      </c>
      <c r="BE267" s="132" t="s">
        <v>178</v>
      </c>
      <c r="BF267" s="123"/>
      <c r="BG267" s="83">
        <v>1115806.0</v>
      </c>
      <c r="BH267" s="112">
        <v>8.0</v>
      </c>
      <c r="BI267" s="98" t="s">
        <v>155</v>
      </c>
      <c r="BJ267" s="98" t="str">
        <f t="shared" si="1"/>
        <v>NÃO</v>
      </c>
      <c r="BK267" s="98" t="str">
        <f t="shared" si="2"/>
        <v>NÃO</v>
      </c>
    </row>
    <row r="268" ht="15.75" customHeight="1">
      <c r="A268" s="111" t="s">
        <v>383</v>
      </c>
      <c r="B268" s="172" t="s">
        <v>1124</v>
      </c>
      <c r="C268" s="83" t="s">
        <v>68</v>
      </c>
      <c r="D268" s="83">
        <v>1115717.0</v>
      </c>
      <c r="E268" s="83"/>
      <c r="F268" s="83">
        <v>2.913787E7</v>
      </c>
      <c r="G268" s="114" t="s">
        <v>4416</v>
      </c>
      <c r="H268" s="91" t="s">
        <v>1136</v>
      </c>
      <c r="I268" s="114" t="s">
        <v>149</v>
      </c>
      <c r="J268" s="83" t="s">
        <v>240</v>
      </c>
      <c r="K268" s="83" t="s">
        <v>151</v>
      </c>
      <c r="L268" s="83" t="s">
        <v>169</v>
      </c>
      <c r="M268" s="82" t="s">
        <v>4417</v>
      </c>
      <c r="N268" s="82" t="s">
        <v>4418</v>
      </c>
      <c r="O268" s="82" t="s">
        <v>4419</v>
      </c>
      <c r="P268" s="82" t="s">
        <v>4420</v>
      </c>
      <c r="Q268" s="82"/>
      <c r="R268" s="82"/>
      <c r="S268" s="82" t="s">
        <v>4421</v>
      </c>
      <c r="T268" s="138">
        <v>7.0</v>
      </c>
      <c r="U268" s="331" t="s">
        <v>4422</v>
      </c>
      <c r="V268" s="106">
        <v>0.0</v>
      </c>
      <c r="W268" s="107">
        <v>0.0</v>
      </c>
      <c r="X268" s="107">
        <v>0.0</v>
      </c>
      <c r="Y268" s="107">
        <v>0.0</v>
      </c>
      <c r="Z268" s="80">
        <v>0.0</v>
      </c>
      <c r="AA268" s="140">
        <v>32.0</v>
      </c>
      <c r="AB268" s="109">
        <v>0.0</v>
      </c>
      <c r="AC268" s="109">
        <v>0.0</v>
      </c>
      <c r="AD268" s="141">
        <v>0.0</v>
      </c>
      <c r="AE268" s="80">
        <v>32.0</v>
      </c>
      <c r="AF268" s="140">
        <v>0.0</v>
      </c>
      <c r="AG268" s="109">
        <v>94.0</v>
      </c>
      <c r="AH268" s="109">
        <v>0.0</v>
      </c>
      <c r="AI268" s="141">
        <v>0.0</v>
      </c>
      <c r="AJ268" s="80">
        <v>94.0</v>
      </c>
      <c r="AK268" s="140">
        <v>0.0</v>
      </c>
      <c r="AL268" s="109">
        <v>0.0</v>
      </c>
      <c r="AM268" s="141">
        <v>18.0</v>
      </c>
      <c r="AN268" s="80">
        <v>18.0</v>
      </c>
      <c r="AO268" s="140">
        <v>0.0</v>
      </c>
      <c r="AP268" s="109">
        <v>0.0</v>
      </c>
      <c r="AQ268" s="109">
        <v>21.0</v>
      </c>
      <c r="AR268" s="80">
        <v>21.0</v>
      </c>
      <c r="AS268" s="110">
        <v>0.0</v>
      </c>
      <c r="AT268" s="110">
        <v>0.0</v>
      </c>
      <c r="AU268" s="110">
        <v>0.0</v>
      </c>
      <c r="AV268" s="142">
        <v>0.0</v>
      </c>
      <c r="AW268" s="80">
        <v>0.0</v>
      </c>
      <c r="AX268" s="113">
        <v>165.0</v>
      </c>
      <c r="AY268" s="117">
        <v>126.0</v>
      </c>
      <c r="AZ268" s="328">
        <v>39.0</v>
      </c>
      <c r="BA268" s="315">
        <v>18.0</v>
      </c>
      <c r="BB268" s="316">
        <v>183.0</v>
      </c>
      <c r="BC268" s="132" t="s">
        <v>373</v>
      </c>
      <c r="BD268" s="132" t="s">
        <v>178</v>
      </c>
      <c r="BE268" s="132" t="s">
        <v>178</v>
      </c>
      <c r="BF268" s="123"/>
      <c r="BG268" s="83">
        <v>1115717.0</v>
      </c>
      <c r="BH268" s="112">
        <v>7.0</v>
      </c>
      <c r="BI268" s="98" t="s">
        <v>155</v>
      </c>
      <c r="BJ268" s="98" t="str">
        <f t="shared" si="1"/>
        <v>NÃO</v>
      </c>
      <c r="BK268" s="98" t="str">
        <f t="shared" si="2"/>
        <v>NÃO</v>
      </c>
    </row>
    <row r="269" ht="15.75" customHeight="1">
      <c r="A269" s="111" t="s">
        <v>383</v>
      </c>
      <c r="B269" s="136" t="s">
        <v>1124</v>
      </c>
      <c r="C269" s="83" t="s">
        <v>68</v>
      </c>
      <c r="D269" s="83">
        <v>1115903.0</v>
      </c>
      <c r="E269" s="83"/>
      <c r="F269" s="83">
        <v>2.91379E7</v>
      </c>
      <c r="G269" s="114" t="s">
        <v>4429</v>
      </c>
      <c r="H269" s="91" t="s">
        <v>1133</v>
      </c>
      <c r="I269" s="187" t="s">
        <v>149</v>
      </c>
      <c r="J269" s="83" t="s">
        <v>822</v>
      </c>
      <c r="K269" s="83" t="s">
        <v>151</v>
      </c>
      <c r="L269" s="83" t="s">
        <v>169</v>
      </c>
      <c r="M269" s="82" t="s">
        <v>4432</v>
      </c>
      <c r="N269" s="82" t="s">
        <v>4433</v>
      </c>
      <c r="O269" s="82" t="s">
        <v>4435</v>
      </c>
      <c r="P269" s="82" t="s">
        <v>4436</v>
      </c>
      <c r="Q269" s="82"/>
      <c r="R269" s="82"/>
      <c r="S269" s="82" t="s">
        <v>4437</v>
      </c>
      <c r="T269" s="138">
        <v>6.0</v>
      </c>
      <c r="U269" s="323">
        <v>4.0</v>
      </c>
      <c r="V269" s="106">
        <v>0.0</v>
      </c>
      <c r="W269" s="107">
        <v>0.0</v>
      </c>
      <c r="X269" s="107">
        <v>0.0</v>
      </c>
      <c r="Y269" s="107">
        <v>0.0</v>
      </c>
      <c r="Z269" s="80">
        <v>0.0</v>
      </c>
      <c r="AA269" s="140">
        <v>25.0</v>
      </c>
      <c r="AB269" s="109">
        <v>0.0</v>
      </c>
      <c r="AC269" s="109">
        <v>0.0</v>
      </c>
      <c r="AD269" s="141">
        <v>0.0</v>
      </c>
      <c r="AE269" s="80">
        <v>25.0</v>
      </c>
      <c r="AF269" s="140">
        <v>64.0</v>
      </c>
      <c r="AG269" s="109">
        <v>58.0</v>
      </c>
      <c r="AH269" s="109">
        <v>0.0</v>
      </c>
      <c r="AI269" s="141">
        <v>0.0</v>
      </c>
      <c r="AJ269" s="80">
        <v>122.0</v>
      </c>
      <c r="AK269" s="140">
        <v>0.0</v>
      </c>
      <c r="AL269" s="109">
        <v>0.0</v>
      </c>
      <c r="AM269" s="141">
        <v>8.0</v>
      </c>
      <c r="AN269" s="80">
        <v>8.0</v>
      </c>
      <c r="AO269" s="140">
        <v>0.0</v>
      </c>
      <c r="AP269" s="109">
        <v>0.0</v>
      </c>
      <c r="AQ269" s="109">
        <v>39.0</v>
      </c>
      <c r="AR269" s="80">
        <v>39.0</v>
      </c>
      <c r="AS269" s="110">
        <v>0.0</v>
      </c>
      <c r="AT269" s="110">
        <v>0.0</v>
      </c>
      <c r="AU269" s="110">
        <v>0.0</v>
      </c>
      <c r="AV269" s="142">
        <v>0.0</v>
      </c>
      <c r="AW269" s="80">
        <v>0.0</v>
      </c>
      <c r="AX269" s="113">
        <v>194.0</v>
      </c>
      <c r="AY269" s="117">
        <v>147.0</v>
      </c>
      <c r="AZ269" s="328">
        <v>47.0</v>
      </c>
      <c r="BA269" s="315">
        <v>4.0</v>
      </c>
      <c r="BB269" s="316">
        <v>198.0</v>
      </c>
      <c r="BC269" s="132" t="s">
        <v>373</v>
      </c>
      <c r="BD269" s="132" t="s">
        <v>178</v>
      </c>
      <c r="BE269" s="132" t="s">
        <v>178</v>
      </c>
      <c r="BF269" s="123"/>
      <c r="BG269" s="83">
        <v>1115903.0</v>
      </c>
      <c r="BH269" s="112">
        <v>4.0</v>
      </c>
      <c r="BI269" s="98" t="s">
        <v>155</v>
      </c>
      <c r="BJ269" s="98" t="str">
        <f t="shared" si="1"/>
        <v>NÃO</v>
      </c>
      <c r="BK269" s="98" t="str">
        <f t="shared" si="2"/>
        <v>NÃO</v>
      </c>
    </row>
    <row r="270" ht="15.75" customHeight="1">
      <c r="A270" s="111" t="s">
        <v>383</v>
      </c>
      <c r="B270" s="172" t="s">
        <v>1124</v>
      </c>
      <c r="C270" s="83" t="s">
        <v>68</v>
      </c>
      <c r="D270" s="83">
        <v>1115679.0</v>
      </c>
      <c r="E270" s="83"/>
      <c r="F270" s="83">
        <v>2.9139155E7</v>
      </c>
      <c r="G270" s="114" t="s">
        <v>1138</v>
      </c>
      <c r="H270" s="91" t="s">
        <v>1139</v>
      </c>
      <c r="I270" s="114" t="s">
        <v>149</v>
      </c>
      <c r="J270" s="83" t="s">
        <v>240</v>
      </c>
      <c r="K270" s="83" t="s">
        <v>151</v>
      </c>
      <c r="L270" s="83" t="s">
        <v>76</v>
      </c>
      <c r="M270" s="82" t="s">
        <v>4444</v>
      </c>
      <c r="N270" s="82" t="s">
        <v>4445</v>
      </c>
      <c r="O270" s="82" t="s">
        <v>4446</v>
      </c>
      <c r="P270" s="82" t="s">
        <v>4447</v>
      </c>
      <c r="Q270" s="82"/>
      <c r="R270" s="82"/>
      <c r="S270" s="82" t="s">
        <v>4449</v>
      </c>
      <c r="T270" s="138">
        <v>6.0</v>
      </c>
      <c r="U270" s="331">
        <v>6.0</v>
      </c>
      <c r="V270" s="106">
        <v>0.0</v>
      </c>
      <c r="W270" s="107">
        <v>0.0</v>
      </c>
      <c r="X270" s="107">
        <v>0.0</v>
      </c>
      <c r="Y270" s="107">
        <v>0.0</v>
      </c>
      <c r="Z270" s="80">
        <v>0.0</v>
      </c>
      <c r="AA270" s="140">
        <v>23.0</v>
      </c>
      <c r="AB270" s="109">
        <v>15.0</v>
      </c>
      <c r="AC270" s="109">
        <v>0.0</v>
      </c>
      <c r="AD270" s="141">
        <v>0.0</v>
      </c>
      <c r="AE270" s="80">
        <v>38.0</v>
      </c>
      <c r="AF270" s="140">
        <v>72.0</v>
      </c>
      <c r="AG270" s="109">
        <v>53.0</v>
      </c>
      <c r="AH270" s="109">
        <v>0.0</v>
      </c>
      <c r="AI270" s="141">
        <v>0.0</v>
      </c>
      <c r="AJ270" s="80">
        <v>125.0</v>
      </c>
      <c r="AK270" s="140">
        <v>0.0</v>
      </c>
      <c r="AL270" s="109">
        <v>0.0</v>
      </c>
      <c r="AM270" s="141">
        <v>0.0</v>
      </c>
      <c r="AN270" s="80">
        <v>0.0</v>
      </c>
      <c r="AO270" s="140">
        <v>0.0</v>
      </c>
      <c r="AP270" s="109">
        <v>0.0</v>
      </c>
      <c r="AQ270" s="109">
        <v>21.0</v>
      </c>
      <c r="AR270" s="80">
        <v>21.0</v>
      </c>
      <c r="AS270" s="110">
        <v>0.0</v>
      </c>
      <c r="AT270" s="110">
        <v>0.0</v>
      </c>
      <c r="AU270" s="110">
        <v>0.0</v>
      </c>
      <c r="AV270" s="142">
        <v>0.0</v>
      </c>
      <c r="AW270" s="80">
        <v>0.0</v>
      </c>
      <c r="AX270" s="113">
        <v>184.0</v>
      </c>
      <c r="AY270" s="117">
        <v>163.0</v>
      </c>
      <c r="AZ270" s="328">
        <v>21.0</v>
      </c>
      <c r="BA270" s="315">
        <v>0.0</v>
      </c>
      <c r="BB270" s="316">
        <v>184.0</v>
      </c>
      <c r="BC270" s="132" t="s">
        <v>373</v>
      </c>
      <c r="BD270" s="132" t="s">
        <v>178</v>
      </c>
      <c r="BE270" s="132" t="s">
        <v>178</v>
      </c>
      <c r="BF270" s="123"/>
      <c r="BG270" s="83">
        <v>1115679.0</v>
      </c>
      <c r="BH270" s="112">
        <v>6.0</v>
      </c>
      <c r="BI270" s="98" t="s">
        <v>155</v>
      </c>
      <c r="BJ270" s="98" t="str">
        <f t="shared" si="1"/>
        <v>NÃO</v>
      </c>
      <c r="BK270" s="98" t="str">
        <f t="shared" si="2"/>
        <v>NÃO</v>
      </c>
    </row>
    <row r="271" ht="15.75" customHeight="1">
      <c r="A271" s="111" t="s">
        <v>383</v>
      </c>
      <c r="B271" s="172" t="s">
        <v>1124</v>
      </c>
      <c r="C271" s="83" t="s">
        <v>68</v>
      </c>
      <c r="D271" s="83">
        <v>1115733.0</v>
      </c>
      <c r="E271" s="83"/>
      <c r="F271" s="83">
        <v>2.9137845E7</v>
      </c>
      <c r="G271" s="114" t="s">
        <v>1147</v>
      </c>
      <c r="H271" s="91" t="s">
        <v>1148</v>
      </c>
      <c r="I271" s="114" t="s">
        <v>1149</v>
      </c>
      <c r="J271" s="83" t="s">
        <v>150</v>
      </c>
      <c r="K271" s="83" t="s">
        <v>151</v>
      </c>
      <c r="L271" s="83" t="s">
        <v>230</v>
      </c>
      <c r="M271" s="82" t="s">
        <v>4454</v>
      </c>
      <c r="N271" s="82" t="s">
        <v>4455</v>
      </c>
      <c r="O271" s="82" t="s">
        <v>4456</v>
      </c>
      <c r="P271" s="82" t="s">
        <v>4457</v>
      </c>
      <c r="Q271" s="82"/>
      <c r="R271" s="82"/>
      <c r="S271" s="82" t="s">
        <v>4458</v>
      </c>
      <c r="T271" s="138">
        <v>10.0</v>
      </c>
      <c r="U271" s="331">
        <v>10.0</v>
      </c>
      <c r="V271" s="106">
        <v>0.0</v>
      </c>
      <c r="W271" s="107">
        <v>0.0</v>
      </c>
      <c r="X271" s="107">
        <v>0.0</v>
      </c>
      <c r="Y271" s="107">
        <v>0.0</v>
      </c>
      <c r="Z271" s="80">
        <v>0.0</v>
      </c>
      <c r="AA271" s="140">
        <v>102.0</v>
      </c>
      <c r="AB271" s="109">
        <v>43.0</v>
      </c>
      <c r="AC271" s="109">
        <v>0.0</v>
      </c>
      <c r="AD271" s="141">
        <v>0.0</v>
      </c>
      <c r="AE271" s="80">
        <v>145.0</v>
      </c>
      <c r="AF271" s="140">
        <v>235.0</v>
      </c>
      <c r="AG271" s="109">
        <v>147.0</v>
      </c>
      <c r="AH271" s="109">
        <v>0.0</v>
      </c>
      <c r="AI271" s="141">
        <v>0.0</v>
      </c>
      <c r="AJ271" s="80">
        <v>382.0</v>
      </c>
      <c r="AK271" s="140">
        <v>0.0</v>
      </c>
      <c r="AL271" s="109">
        <v>0.0</v>
      </c>
      <c r="AM271" s="141">
        <v>0.0</v>
      </c>
      <c r="AN271" s="80">
        <v>0.0</v>
      </c>
      <c r="AO271" s="140">
        <v>0.0</v>
      </c>
      <c r="AP271" s="109">
        <v>0.0</v>
      </c>
      <c r="AQ271" s="109">
        <v>69.0</v>
      </c>
      <c r="AR271" s="80">
        <v>69.0</v>
      </c>
      <c r="AS271" s="110">
        <v>0.0</v>
      </c>
      <c r="AT271" s="110">
        <v>0.0</v>
      </c>
      <c r="AU271" s="110">
        <v>0.0</v>
      </c>
      <c r="AV271" s="142">
        <v>0.0</v>
      </c>
      <c r="AW271" s="80">
        <v>0.0</v>
      </c>
      <c r="AX271" s="113">
        <v>596.0</v>
      </c>
      <c r="AY271" s="117">
        <v>527.0</v>
      </c>
      <c r="AZ271" s="328">
        <v>69.0</v>
      </c>
      <c r="BA271" s="315">
        <v>1.0</v>
      </c>
      <c r="BB271" s="316">
        <v>597.0</v>
      </c>
      <c r="BC271" s="132" t="s">
        <v>373</v>
      </c>
      <c r="BD271" s="132" t="s">
        <v>178</v>
      </c>
      <c r="BE271" s="132" t="s">
        <v>178</v>
      </c>
      <c r="BF271" s="181"/>
      <c r="BG271" s="83">
        <v>1115733.0</v>
      </c>
      <c r="BH271" s="112">
        <v>10.0</v>
      </c>
      <c r="BI271" s="98" t="s">
        <v>155</v>
      </c>
      <c r="BJ271" s="98" t="str">
        <f t="shared" si="1"/>
        <v>NÃO</v>
      </c>
      <c r="BK271" s="98" t="str">
        <f t="shared" si="2"/>
        <v>NÃO</v>
      </c>
    </row>
    <row r="272" ht="15.75" customHeight="1">
      <c r="A272" s="111" t="s">
        <v>383</v>
      </c>
      <c r="B272" s="172" t="s">
        <v>1124</v>
      </c>
      <c r="C272" s="83" t="s">
        <v>68</v>
      </c>
      <c r="D272" s="83">
        <v>1178073.0</v>
      </c>
      <c r="E272" s="83"/>
      <c r="F272" s="83">
        <v>2.94322E7</v>
      </c>
      <c r="G272" s="119" t="s">
        <v>4465</v>
      </c>
      <c r="H272" s="91" t="s">
        <v>1155</v>
      </c>
      <c r="I272" s="114" t="s">
        <v>149</v>
      </c>
      <c r="J272" s="83" t="s">
        <v>150</v>
      </c>
      <c r="K272" s="83" t="s">
        <v>151</v>
      </c>
      <c r="L272" s="83" t="s">
        <v>76</v>
      </c>
      <c r="M272" s="82" t="s">
        <v>4468</v>
      </c>
      <c r="N272" s="82" t="s">
        <v>4470</v>
      </c>
      <c r="O272" s="82" t="s">
        <v>4471</v>
      </c>
      <c r="P272" s="82" t="s">
        <v>4472</v>
      </c>
      <c r="Q272" s="82"/>
      <c r="R272" s="82"/>
      <c r="S272" s="82" t="s">
        <v>4473</v>
      </c>
      <c r="T272" s="138">
        <v>14.0</v>
      </c>
      <c r="U272" s="331">
        <v>13.0</v>
      </c>
      <c r="V272" s="106">
        <v>0.0</v>
      </c>
      <c r="W272" s="107">
        <v>0.0</v>
      </c>
      <c r="X272" s="107">
        <v>0.0</v>
      </c>
      <c r="Y272" s="107">
        <v>0.0</v>
      </c>
      <c r="Z272" s="80">
        <v>0.0</v>
      </c>
      <c r="AA272" s="140">
        <v>0.0</v>
      </c>
      <c r="AB272" s="109">
        <v>0.0</v>
      </c>
      <c r="AC272" s="109">
        <v>0.0</v>
      </c>
      <c r="AD272" s="141">
        <v>0.0</v>
      </c>
      <c r="AE272" s="80">
        <v>0.0</v>
      </c>
      <c r="AF272" s="140">
        <v>69.0</v>
      </c>
      <c r="AG272" s="109">
        <v>0.0</v>
      </c>
      <c r="AH272" s="109">
        <v>18.0</v>
      </c>
      <c r="AI272" s="141">
        <v>0.0</v>
      </c>
      <c r="AJ272" s="80">
        <v>87.0</v>
      </c>
      <c r="AK272" s="140">
        <v>0.0</v>
      </c>
      <c r="AL272" s="109">
        <v>0.0</v>
      </c>
      <c r="AM272" s="141">
        <v>0.0</v>
      </c>
      <c r="AN272" s="80">
        <v>0.0</v>
      </c>
      <c r="AO272" s="140">
        <v>0.0</v>
      </c>
      <c r="AP272" s="109">
        <v>0.0</v>
      </c>
      <c r="AQ272" s="109">
        <v>34.0</v>
      </c>
      <c r="AR272" s="80">
        <v>34.0</v>
      </c>
      <c r="AS272" s="110">
        <v>145.0</v>
      </c>
      <c r="AT272" s="110">
        <v>68.0</v>
      </c>
      <c r="AU272" s="110">
        <v>135.0</v>
      </c>
      <c r="AV272" s="142">
        <v>0.0</v>
      </c>
      <c r="AW272" s="80">
        <v>348.0</v>
      </c>
      <c r="AX272" s="113">
        <v>469.0</v>
      </c>
      <c r="AY272" s="117">
        <v>282.0</v>
      </c>
      <c r="AZ272" s="328">
        <v>187.0</v>
      </c>
      <c r="BA272" s="315">
        <v>0.0</v>
      </c>
      <c r="BB272" s="316">
        <v>469.0</v>
      </c>
      <c r="BC272" s="132" t="s">
        <v>178</v>
      </c>
      <c r="BD272" s="132" t="s">
        <v>178</v>
      </c>
      <c r="BE272" s="132" t="s">
        <v>178</v>
      </c>
      <c r="BF272" s="123"/>
      <c r="BG272" s="83">
        <v>1178073.0</v>
      </c>
      <c r="BH272" s="112">
        <v>13.0</v>
      </c>
      <c r="BI272" s="98" t="s">
        <v>155</v>
      </c>
      <c r="BJ272" s="98" t="str">
        <f t="shared" si="1"/>
        <v>NÃO</v>
      </c>
      <c r="BK272" s="98" t="str">
        <f t="shared" si="2"/>
        <v>PROFISSIONAL</v>
      </c>
    </row>
    <row r="273" ht="15.75" customHeight="1">
      <c r="A273" s="111" t="s">
        <v>383</v>
      </c>
      <c r="B273" s="172" t="s">
        <v>1124</v>
      </c>
      <c r="C273" s="83" t="s">
        <v>68</v>
      </c>
      <c r="D273" s="83">
        <v>1115660.0</v>
      </c>
      <c r="E273" s="83"/>
      <c r="F273" s="83">
        <v>2.9138442E7</v>
      </c>
      <c r="G273" s="114" t="s">
        <v>4477</v>
      </c>
      <c r="H273" s="91" t="s">
        <v>1143</v>
      </c>
      <c r="I273" s="114" t="s">
        <v>1144</v>
      </c>
      <c r="J273" s="83" t="s">
        <v>822</v>
      </c>
      <c r="K273" s="83" t="s">
        <v>151</v>
      </c>
      <c r="L273" s="83" t="s">
        <v>169</v>
      </c>
      <c r="M273" s="82" t="s">
        <v>4479</v>
      </c>
      <c r="N273" s="82" t="s">
        <v>4480</v>
      </c>
      <c r="O273" s="82" t="s">
        <v>4481</v>
      </c>
      <c r="P273" s="82" t="s">
        <v>4482</v>
      </c>
      <c r="Q273" s="82"/>
      <c r="R273" s="82"/>
      <c r="S273" s="82" t="s">
        <v>4483</v>
      </c>
      <c r="T273" s="138">
        <v>7.0</v>
      </c>
      <c r="U273" s="323">
        <v>7.0</v>
      </c>
      <c r="V273" s="106">
        <v>0.0</v>
      </c>
      <c r="W273" s="107">
        <v>0.0</v>
      </c>
      <c r="X273" s="107">
        <v>0.0</v>
      </c>
      <c r="Y273" s="107">
        <v>0.0</v>
      </c>
      <c r="Z273" s="80">
        <v>0.0</v>
      </c>
      <c r="AA273" s="140">
        <v>21.0</v>
      </c>
      <c r="AB273" s="109">
        <v>22.0</v>
      </c>
      <c r="AC273" s="109">
        <v>0.0</v>
      </c>
      <c r="AD273" s="141">
        <v>0.0</v>
      </c>
      <c r="AE273" s="80">
        <v>43.0</v>
      </c>
      <c r="AF273" s="140">
        <v>68.0</v>
      </c>
      <c r="AG273" s="109">
        <v>34.0</v>
      </c>
      <c r="AH273" s="109">
        <v>0.0</v>
      </c>
      <c r="AI273" s="141">
        <v>24.0</v>
      </c>
      <c r="AJ273" s="80">
        <v>126.0</v>
      </c>
      <c r="AK273" s="140">
        <v>0.0</v>
      </c>
      <c r="AL273" s="109">
        <v>0.0</v>
      </c>
      <c r="AM273" s="141">
        <v>0.0</v>
      </c>
      <c r="AN273" s="80">
        <v>0.0</v>
      </c>
      <c r="AO273" s="140">
        <v>0.0</v>
      </c>
      <c r="AP273" s="109">
        <v>0.0</v>
      </c>
      <c r="AQ273" s="109">
        <v>0.0</v>
      </c>
      <c r="AR273" s="80">
        <v>0.0</v>
      </c>
      <c r="AS273" s="110">
        <v>0.0</v>
      </c>
      <c r="AT273" s="110">
        <v>0.0</v>
      </c>
      <c r="AU273" s="110">
        <v>0.0</v>
      </c>
      <c r="AV273" s="142">
        <v>0.0</v>
      </c>
      <c r="AW273" s="80">
        <v>0.0</v>
      </c>
      <c r="AX273" s="113">
        <v>169.0</v>
      </c>
      <c r="AY273" s="117">
        <v>169.0</v>
      </c>
      <c r="AZ273" s="328">
        <v>0.0</v>
      </c>
      <c r="BA273" s="315">
        <v>21.0</v>
      </c>
      <c r="BB273" s="316">
        <v>190.0</v>
      </c>
      <c r="BC273" s="132" t="s">
        <v>373</v>
      </c>
      <c r="BD273" s="132" t="s">
        <v>178</v>
      </c>
      <c r="BE273" s="132" t="s">
        <v>178</v>
      </c>
      <c r="BF273" s="123"/>
      <c r="BG273" s="83">
        <v>1115660.0</v>
      </c>
      <c r="BH273" s="112">
        <v>7.0</v>
      </c>
      <c r="BI273" s="98" t="s">
        <v>155</v>
      </c>
      <c r="BJ273" s="98" t="str">
        <f t="shared" si="1"/>
        <v>INTEGRAL</v>
      </c>
      <c r="BK273" s="98" t="str">
        <f t="shared" si="2"/>
        <v>NÃO</v>
      </c>
    </row>
    <row r="274" ht="15.75" customHeight="1">
      <c r="A274" s="111" t="s">
        <v>383</v>
      </c>
      <c r="B274" s="172" t="s">
        <v>1157</v>
      </c>
      <c r="C274" s="83" t="s">
        <v>68</v>
      </c>
      <c r="D274" s="83">
        <v>1177070.0</v>
      </c>
      <c r="E274" s="83"/>
      <c r="F274" s="83">
        <v>2.9410975E7</v>
      </c>
      <c r="G274" s="114" t="s">
        <v>1158</v>
      </c>
      <c r="H274" s="91" t="s">
        <v>1159</v>
      </c>
      <c r="I274" s="114" t="s">
        <v>149</v>
      </c>
      <c r="J274" s="83" t="s">
        <v>150</v>
      </c>
      <c r="K274" s="83" t="s">
        <v>151</v>
      </c>
      <c r="L274" s="83" t="s">
        <v>169</v>
      </c>
      <c r="M274" s="82" t="s">
        <v>4491</v>
      </c>
      <c r="N274" s="82" t="s">
        <v>4493</v>
      </c>
      <c r="O274" s="82" t="s">
        <v>4494</v>
      </c>
      <c r="P274" s="82" t="s">
        <v>4495</v>
      </c>
      <c r="Q274" s="82"/>
      <c r="R274" s="82"/>
      <c r="S274" s="82" t="s">
        <v>4496</v>
      </c>
      <c r="T274" s="138">
        <v>7.0</v>
      </c>
      <c r="U274" s="331">
        <v>6.0</v>
      </c>
      <c r="V274" s="106">
        <v>0.0</v>
      </c>
      <c r="W274" s="107">
        <v>0.0</v>
      </c>
      <c r="X274" s="107">
        <v>0.0</v>
      </c>
      <c r="Y274" s="107">
        <v>0.0</v>
      </c>
      <c r="Z274" s="80">
        <v>0.0</v>
      </c>
      <c r="AA274" s="140">
        <v>0.0</v>
      </c>
      <c r="AB274" s="109">
        <v>0.0</v>
      </c>
      <c r="AC274" s="109">
        <v>0.0</v>
      </c>
      <c r="AD274" s="141">
        <v>0.0</v>
      </c>
      <c r="AE274" s="80">
        <v>0.0</v>
      </c>
      <c r="AF274" s="140">
        <v>116.0</v>
      </c>
      <c r="AG274" s="109">
        <v>105.0</v>
      </c>
      <c r="AH274" s="109">
        <v>0.0</v>
      </c>
      <c r="AI274" s="141">
        <v>38.0</v>
      </c>
      <c r="AJ274" s="80">
        <v>259.0</v>
      </c>
      <c r="AK274" s="140">
        <v>0.0</v>
      </c>
      <c r="AL274" s="109">
        <v>0.0</v>
      </c>
      <c r="AM274" s="141">
        <v>0.0</v>
      </c>
      <c r="AN274" s="80">
        <v>0.0</v>
      </c>
      <c r="AO274" s="140">
        <v>0.0</v>
      </c>
      <c r="AP274" s="109">
        <v>0.0</v>
      </c>
      <c r="AQ274" s="109">
        <v>0.0</v>
      </c>
      <c r="AR274" s="80">
        <v>0.0</v>
      </c>
      <c r="AS274" s="110">
        <v>0.0</v>
      </c>
      <c r="AT274" s="110">
        <v>0.0</v>
      </c>
      <c r="AU274" s="110">
        <v>77.0</v>
      </c>
      <c r="AV274" s="142">
        <v>0.0</v>
      </c>
      <c r="AW274" s="80">
        <v>77.0</v>
      </c>
      <c r="AX274" s="113">
        <v>336.0</v>
      </c>
      <c r="AY274" s="117">
        <v>259.0</v>
      </c>
      <c r="AZ274" s="328">
        <v>77.0</v>
      </c>
      <c r="BA274" s="315">
        <v>0.0</v>
      </c>
      <c r="BB274" s="316">
        <v>336.0</v>
      </c>
      <c r="BC274" s="132" t="s">
        <v>178</v>
      </c>
      <c r="BD274" s="132" t="s">
        <v>178</v>
      </c>
      <c r="BE274" s="132" t="s">
        <v>178</v>
      </c>
      <c r="BF274" s="123"/>
      <c r="BG274" s="83">
        <v>1177070.0</v>
      </c>
      <c r="BH274" s="112">
        <v>6.0</v>
      </c>
      <c r="BI274" s="98" t="s">
        <v>155</v>
      </c>
      <c r="BJ274" s="98" t="str">
        <f t="shared" si="1"/>
        <v>INTEGRAL</v>
      </c>
      <c r="BK274" s="98" t="str">
        <f t="shared" si="2"/>
        <v>PROFISSIONAL</v>
      </c>
    </row>
    <row r="275" ht="15.75" customHeight="1">
      <c r="A275" s="111" t="s">
        <v>383</v>
      </c>
      <c r="B275" s="83" t="s">
        <v>1163</v>
      </c>
      <c r="C275" s="83" t="s">
        <v>45</v>
      </c>
      <c r="D275" s="83">
        <v>1178419.0</v>
      </c>
      <c r="E275" s="83"/>
      <c r="F275" s="83">
        <v>2.9398363E7</v>
      </c>
      <c r="G275" s="114" t="s">
        <v>1164</v>
      </c>
      <c r="H275" s="91" t="s">
        <v>1165</v>
      </c>
      <c r="I275" s="187" t="s">
        <v>1166</v>
      </c>
      <c r="J275" s="115" t="s">
        <v>240</v>
      </c>
      <c r="K275" s="136" t="s">
        <v>171</v>
      </c>
      <c r="L275" s="136" t="s">
        <v>76</v>
      </c>
      <c r="M275" s="82" t="s">
        <v>4501</v>
      </c>
      <c r="N275" s="82" t="s">
        <v>4502</v>
      </c>
      <c r="O275" s="82" t="s">
        <v>4503</v>
      </c>
      <c r="P275" s="82" t="s">
        <v>4504</v>
      </c>
      <c r="Q275" s="82"/>
      <c r="R275" s="82"/>
      <c r="S275" s="82"/>
      <c r="T275" s="138">
        <v>8.0</v>
      </c>
      <c r="U275" s="340" t="s">
        <v>171</v>
      </c>
      <c r="V275" s="106">
        <v>0.0</v>
      </c>
      <c r="W275" s="107">
        <v>0.0</v>
      </c>
      <c r="X275" s="107">
        <v>0.0</v>
      </c>
      <c r="Y275" s="107">
        <v>0.0</v>
      </c>
      <c r="Z275" s="80">
        <v>0.0</v>
      </c>
      <c r="AA275" s="140">
        <v>0.0</v>
      </c>
      <c r="AB275" s="109">
        <v>0.0</v>
      </c>
      <c r="AC275" s="109">
        <v>0.0</v>
      </c>
      <c r="AD275" s="141">
        <v>53.0</v>
      </c>
      <c r="AE275" s="80">
        <v>53.0</v>
      </c>
      <c r="AF275" s="140">
        <v>0.0</v>
      </c>
      <c r="AG275" s="109">
        <v>0.0</v>
      </c>
      <c r="AH275" s="109">
        <v>0.0</v>
      </c>
      <c r="AI275" s="141">
        <v>49.0</v>
      </c>
      <c r="AJ275" s="80">
        <v>49.0</v>
      </c>
      <c r="AK275" s="140">
        <v>0.0</v>
      </c>
      <c r="AL275" s="109">
        <v>0.0</v>
      </c>
      <c r="AM275" s="141">
        <v>0.0</v>
      </c>
      <c r="AN275" s="80">
        <v>0.0</v>
      </c>
      <c r="AO275" s="140">
        <v>0.0</v>
      </c>
      <c r="AP275" s="109">
        <v>0.0</v>
      </c>
      <c r="AQ275" s="109">
        <v>0.0</v>
      </c>
      <c r="AR275" s="80">
        <v>0.0</v>
      </c>
      <c r="AS275" s="110">
        <v>0.0</v>
      </c>
      <c r="AT275" s="110">
        <v>0.0</v>
      </c>
      <c r="AU275" s="110">
        <v>0.0</v>
      </c>
      <c r="AV275" s="142">
        <v>0.0</v>
      </c>
      <c r="AW275" s="80">
        <v>0.0</v>
      </c>
      <c r="AX275" s="113">
        <v>102.0</v>
      </c>
      <c r="AY275" s="117">
        <v>102.0</v>
      </c>
      <c r="AZ275" s="328">
        <v>0.0</v>
      </c>
      <c r="BA275" s="315">
        <v>0.0</v>
      </c>
      <c r="BB275" s="316">
        <v>102.0</v>
      </c>
      <c r="BC275" s="132" t="s">
        <v>178</v>
      </c>
      <c r="BD275" s="132" t="s">
        <v>178</v>
      </c>
      <c r="BE275" s="132" t="s">
        <v>178</v>
      </c>
      <c r="BF275" s="156"/>
      <c r="BG275" s="83">
        <v>1178419.0</v>
      </c>
      <c r="BH275" s="112">
        <v>8.0</v>
      </c>
      <c r="BI275" s="98" t="s">
        <v>155</v>
      </c>
      <c r="BJ275" s="98" t="str">
        <f t="shared" si="1"/>
        <v>INTEGRAL</v>
      </c>
      <c r="BK275" s="98" t="str">
        <f t="shared" si="2"/>
        <v>NÃO</v>
      </c>
    </row>
    <row r="276" ht="15.75" customHeight="1">
      <c r="A276" s="111" t="s">
        <v>383</v>
      </c>
      <c r="B276" s="83" t="s">
        <v>1163</v>
      </c>
      <c r="C276" s="83" t="s">
        <v>68</v>
      </c>
      <c r="D276" s="83">
        <v>1178273.0</v>
      </c>
      <c r="E276" s="83"/>
      <c r="F276" s="83">
        <v>2.9447763E7</v>
      </c>
      <c r="G276" s="114" t="s">
        <v>4508</v>
      </c>
      <c r="H276" s="91" t="s">
        <v>1172</v>
      </c>
      <c r="I276" s="187" t="s">
        <v>149</v>
      </c>
      <c r="J276" s="136" t="s">
        <v>1173</v>
      </c>
      <c r="K276" s="136" t="s">
        <v>151</v>
      </c>
      <c r="L276" s="136" t="s">
        <v>169</v>
      </c>
      <c r="M276" s="82" t="s">
        <v>4509</v>
      </c>
      <c r="N276" s="82" t="s">
        <v>4510</v>
      </c>
      <c r="O276" s="82" t="s">
        <v>2992</v>
      </c>
      <c r="P276" s="82"/>
      <c r="Q276" s="82"/>
      <c r="R276" s="82"/>
      <c r="S276" s="82" t="s">
        <v>4511</v>
      </c>
      <c r="T276" s="138">
        <v>7.0</v>
      </c>
      <c r="U276" s="364">
        <v>7.0</v>
      </c>
      <c r="V276" s="106">
        <v>0.0</v>
      </c>
      <c r="W276" s="107">
        <v>0.0</v>
      </c>
      <c r="X276" s="107">
        <v>0.0</v>
      </c>
      <c r="Y276" s="107">
        <v>0.0</v>
      </c>
      <c r="Z276" s="80">
        <v>0.0</v>
      </c>
      <c r="AA276" s="140">
        <v>0.0</v>
      </c>
      <c r="AB276" s="109">
        <v>0.0</v>
      </c>
      <c r="AC276" s="109">
        <v>0.0</v>
      </c>
      <c r="AD276" s="141">
        <v>0.0</v>
      </c>
      <c r="AE276" s="80">
        <v>0.0</v>
      </c>
      <c r="AF276" s="246">
        <v>0.0</v>
      </c>
      <c r="AG276" s="246">
        <v>128.0</v>
      </c>
      <c r="AH276" s="246">
        <v>0.0</v>
      </c>
      <c r="AI276" s="247">
        <v>13.0</v>
      </c>
      <c r="AJ276" s="80">
        <v>141.0</v>
      </c>
      <c r="AK276" s="140">
        <v>0.0</v>
      </c>
      <c r="AL276" s="109">
        <v>0.0</v>
      </c>
      <c r="AM276" s="141">
        <v>0.0</v>
      </c>
      <c r="AN276" s="80">
        <v>0.0</v>
      </c>
      <c r="AO276" s="246">
        <v>0.0</v>
      </c>
      <c r="AP276" s="246">
        <v>0.0</v>
      </c>
      <c r="AQ276" s="247">
        <v>32.0</v>
      </c>
      <c r="AR276" s="80">
        <v>32.0</v>
      </c>
      <c r="AS276" s="110">
        <v>0.0</v>
      </c>
      <c r="AT276" s="110">
        <v>0.0</v>
      </c>
      <c r="AU276" s="110">
        <v>48.0</v>
      </c>
      <c r="AV276" s="142">
        <v>0.0</v>
      </c>
      <c r="AW276" s="80">
        <v>48.0</v>
      </c>
      <c r="AX276" s="113">
        <v>221.0</v>
      </c>
      <c r="AY276" s="117">
        <v>141.0</v>
      </c>
      <c r="AZ276" s="328">
        <v>80.0</v>
      </c>
      <c r="BA276" s="315">
        <v>0.0</v>
      </c>
      <c r="BB276" s="316">
        <v>221.0</v>
      </c>
      <c r="BC276" s="132" t="s">
        <v>373</v>
      </c>
      <c r="BD276" s="132" t="s">
        <v>178</v>
      </c>
      <c r="BE276" s="132" t="s">
        <v>178</v>
      </c>
      <c r="BF276" s="123"/>
      <c r="BG276" s="83">
        <v>1178273.0</v>
      </c>
      <c r="BH276" s="112">
        <v>7.0</v>
      </c>
      <c r="BI276" s="98" t="s">
        <v>155</v>
      </c>
      <c r="BJ276" s="98" t="str">
        <f t="shared" si="1"/>
        <v>INTEGRAL</v>
      </c>
      <c r="BK276" s="98" t="str">
        <f t="shared" si="2"/>
        <v>PROFISSIONAL</v>
      </c>
    </row>
    <row r="277" ht="15.75" customHeight="1">
      <c r="A277" s="111" t="s">
        <v>383</v>
      </c>
      <c r="B277" s="83" t="s">
        <v>1163</v>
      </c>
      <c r="C277" s="83" t="s">
        <v>68</v>
      </c>
      <c r="D277" s="83">
        <v>1178099.0</v>
      </c>
      <c r="E277" s="83"/>
      <c r="F277" s="83">
        <v>2.9431573E7</v>
      </c>
      <c r="G277" s="119" t="s">
        <v>1168</v>
      </c>
      <c r="H277" s="91" t="s">
        <v>1169</v>
      </c>
      <c r="I277" s="187" t="s">
        <v>149</v>
      </c>
      <c r="J277" s="136" t="s">
        <v>150</v>
      </c>
      <c r="K277" s="136" t="s">
        <v>151</v>
      </c>
      <c r="L277" s="136" t="s">
        <v>169</v>
      </c>
      <c r="M277" s="82" t="s">
        <v>4515</v>
      </c>
      <c r="N277" s="82" t="s">
        <v>4516</v>
      </c>
      <c r="O277" s="82" t="s">
        <v>4517</v>
      </c>
      <c r="P277" s="82" t="s">
        <v>4519</v>
      </c>
      <c r="Q277" s="82" t="s">
        <v>4520</v>
      </c>
      <c r="R277" s="82" t="s">
        <v>4521</v>
      </c>
      <c r="S277" s="82" t="s">
        <v>4522</v>
      </c>
      <c r="T277" s="138">
        <v>11.0</v>
      </c>
      <c r="U277" s="331" t="s">
        <v>4523</v>
      </c>
      <c r="V277" s="106">
        <v>0.0</v>
      </c>
      <c r="W277" s="107">
        <v>0.0</v>
      </c>
      <c r="X277" s="107">
        <v>0.0</v>
      </c>
      <c r="Y277" s="107">
        <v>0.0</v>
      </c>
      <c r="Z277" s="80">
        <v>0.0</v>
      </c>
      <c r="AA277" s="140">
        <v>0.0</v>
      </c>
      <c r="AB277" s="109">
        <v>0.0</v>
      </c>
      <c r="AC277" s="109">
        <v>0.0</v>
      </c>
      <c r="AD277" s="141">
        <v>0.0</v>
      </c>
      <c r="AE277" s="80">
        <v>0.0</v>
      </c>
      <c r="AF277" s="140">
        <v>46.0</v>
      </c>
      <c r="AG277" s="109">
        <v>0.0</v>
      </c>
      <c r="AH277" s="109">
        <v>54.0</v>
      </c>
      <c r="AI277" s="141">
        <v>523.0</v>
      </c>
      <c r="AJ277" s="80">
        <v>623.0</v>
      </c>
      <c r="AK277" s="140">
        <v>0.0</v>
      </c>
      <c r="AL277" s="109">
        <v>0.0</v>
      </c>
      <c r="AM277" s="141">
        <v>0.0</v>
      </c>
      <c r="AN277" s="80">
        <v>0.0</v>
      </c>
      <c r="AO277" s="140">
        <v>0.0</v>
      </c>
      <c r="AP277" s="109">
        <v>0.0</v>
      </c>
      <c r="AQ277" s="109">
        <v>109.0</v>
      </c>
      <c r="AR277" s="80">
        <v>109.0</v>
      </c>
      <c r="AS277" s="110">
        <v>0.0</v>
      </c>
      <c r="AT277" s="110">
        <v>0.0</v>
      </c>
      <c r="AU277" s="110">
        <v>0.0</v>
      </c>
      <c r="AV277" s="142">
        <v>0.0</v>
      </c>
      <c r="AW277" s="80">
        <v>0.0</v>
      </c>
      <c r="AX277" s="113">
        <v>732.0</v>
      </c>
      <c r="AY277" s="117">
        <v>569.0</v>
      </c>
      <c r="AZ277" s="328">
        <v>163.0</v>
      </c>
      <c r="BA277" s="315">
        <v>0.0</v>
      </c>
      <c r="BB277" s="316">
        <v>732.0</v>
      </c>
      <c r="BC277" s="132" t="s">
        <v>178</v>
      </c>
      <c r="BD277" s="132" t="s">
        <v>178</v>
      </c>
      <c r="BE277" s="132" t="s">
        <v>178</v>
      </c>
      <c r="BF277" s="123"/>
      <c r="BG277" s="83">
        <v>1178099.0</v>
      </c>
      <c r="BH277" s="112">
        <v>11.0</v>
      </c>
      <c r="BI277" s="98" t="s">
        <v>155</v>
      </c>
      <c r="BJ277" s="98" t="str">
        <f t="shared" si="1"/>
        <v>INTEGRAL</v>
      </c>
      <c r="BK277" s="98" t="str">
        <f t="shared" si="2"/>
        <v>NÃO</v>
      </c>
    </row>
    <row r="278" ht="15.75" customHeight="1">
      <c r="A278" s="111" t="s">
        <v>383</v>
      </c>
      <c r="B278" s="83" t="s">
        <v>1163</v>
      </c>
      <c r="C278" s="83" t="s">
        <v>164</v>
      </c>
      <c r="D278" s="83">
        <v>1178099.0</v>
      </c>
      <c r="E278" s="83">
        <v>1178996.0</v>
      </c>
      <c r="F278" s="83"/>
      <c r="G278" s="114" t="s">
        <v>1175</v>
      </c>
      <c r="H278" s="91" t="s">
        <v>1176</v>
      </c>
      <c r="I278" s="114" t="s">
        <v>149</v>
      </c>
      <c r="J278" s="83" t="s">
        <v>240</v>
      </c>
      <c r="K278" s="83" t="s">
        <v>151</v>
      </c>
      <c r="L278" s="83" t="s">
        <v>169</v>
      </c>
      <c r="M278" s="82" t="s">
        <v>4515</v>
      </c>
      <c r="N278" s="82" t="s">
        <v>4516</v>
      </c>
      <c r="O278" s="82" t="s">
        <v>4517</v>
      </c>
      <c r="P278" s="82" t="s">
        <v>4519</v>
      </c>
      <c r="Q278" s="82" t="s">
        <v>4520</v>
      </c>
      <c r="R278" s="82" t="s">
        <v>4521</v>
      </c>
      <c r="S278" s="82" t="s">
        <v>4522</v>
      </c>
      <c r="T278" s="138">
        <v>3.0</v>
      </c>
      <c r="U278" s="323">
        <v>3.0</v>
      </c>
      <c r="V278" s="106">
        <v>0.0</v>
      </c>
      <c r="W278" s="107">
        <v>0.0</v>
      </c>
      <c r="X278" s="107">
        <v>0.0</v>
      </c>
      <c r="Y278" s="107">
        <v>0.0</v>
      </c>
      <c r="Z278" s="80">
        <v>0.0</v>
      </c>
      <c r="AA278" s="140">
        <v>0.0</v>
      </c>
      <c r="AB278" s="109">
        <v>0.0</v>
      </c>
      <c r="AC278" s="109">
        <v>0.0</v>
      </c>
      <c r="AD278" s="141">
        <v>0.0</v>
      </c>
      <c r="AE278" s="80">
        <v>0.0</v>
      </c>
      <c r="AF278" s="140">
        <v>0.0</v>
      </c>
      <c r="AG278" s="109">
        <v>0.0</v>
      </c>
      <c r="AH278" s="109">
        <v>24.0</v>
      </c>
      <c r="AI278" s="141">
        <v>0.0</v>
      </c>
      <c r="AJ278" s="80">
        <v>24.0</v>
      </c>
      <c r="AK278" s="140">
        <v>0.0</v>
      </c>
      <c r="AL278" s="109">
        <v>0.0</v>
      </c>
      <c r="AM278" s="141">
        <v>0.0</v>
      </c>
      <c r="AN278" s="80">
        <v>0.0</v>
      </c>
      <c r="AO278" s="140">
        <v>0.0</v>
      </c>
      <c r="AP278" s="109">
        <v>0.0</v>
      </c>
      <c r="AQ278" s="109">
        <v>26.0</v>
      </c>
      <c r="AR278" s="80">
        <v>26.0</v>
      </c>
      <c r="AS278" s="110">
        <v>0.0</v>
      </c>
      <c r="AT278" s="110">
        <v>0.0</v>
      </c>
      <c r="AU278" s="110">
        <v>0.0</v>
      </c>
      <c r="AV278" s="142">
        <v>0.0</v>
      </c>
      <c r="AW278" s="80">
        <v>0.0</v>
      </c>
      <c r="AX278" s="113">
        <v>50.0</v>
      </c>
      <c r="AY278" s="117">
        <v>0.0</v>
      </c>
      <c r="AZ278" s="328">
        <v>50.0</v>
      </c>
      <c r="BA278" s="315">
        <v>0.0</v>
      </c>
      <c r="BB278" s="316">
        <v>50.0</v>
      </c>
      <c r="BC278" s="132" t="s">
        <v>373</v>
      </c>
      <c r="BD278" s="132" t="s">
        <v>178</v>
      </c>
      <c r="BE278" s="132" t="s">
        <v>178</v>
      </c>
      <c r="BF278" s="123"/>
      <c r="BG278" s="83">
        <v>1178996.0</v>
      </c>
      <c r="BH278" s="112">
        <v>3.0</v>
      </c>
      <c r="BI278" s="98" t="s">
        <v>155</v>
      </c>
      <c r="BJ278" s="98" t="str">
        <f t="shared" si="1"/>
        <v>NÃO</v>
      </c>
      <c r="BK278" s="98" t="str">
        <f t="shared" si="2"/>
        <v>NÃO</v>
      </c>
    </row>
    <row r="279" ht="15.75" customHeight="1">
      <c r="A279" s="111" t="s">
        <v>383</v>
      </c>
      <c r="B279" s="83" t="s">
        <v>1163</v>
      </c>
      <c r="C279" s="83" t="s">
        <v>164</v>
      </c>
      <c r="D279" s="83">
        <v>1178099.0</v>
      </c>
      <c r="E279" s="83">
        <v>1178994.0</v>
      </c>
      <c r="F279" s="83"/>
      <c r="G279" s="185" t="s">
        <v>1177</v>
      </c>
      <c r="H279" s="91" t="s">
        <v>1178</v>
      </c>
      <c r="I279" s="114" t="s">
        <v>1179</v>
      </c>
      <c r="J279" s="136" t="s">
        <v>822</v>
      </c>
      <c r="K279" s="83" t="s">
        <v>151</v>
      </c>
      <c r="L279" s="83" t="s">
        <v>512</v>
      </c>
      <c r="M279" s="82" t="s">
        <v>4515</v>
      </c>
      <c r="N279" s="82" t="s">
        <v>4516</v>
      </c>
      <c r="O279" s="82" t="s">
        <v>4517</v>
      </c>
      <c r="P279" s="82" t="s">
        <v>4519</v>
      </c>
      <c r="Q279" s="82" t="s">
        <v>4520</v>
      </c>
      <c r="R279" s="82" t="s">
        <v>4521</v>
      </c>
      <c r="S279" s="82" t="s">
        <v>4522</v>
      </c>
      <c r="T279" s="138">
        <v>3.0</v>
      </c>
      <c r="U279" s="323">
        <v>3.0</v>
      </c>
      <c r="V279" s="106">
        <v>0.0</v>
      </c>
      <c r="W279" s="107">
        <v>0.0</v>
      </c>
      <c r="X279" s="107">
        <v>0.0</v>
      </c>
      <c r="Y279" s="107">
        <v>0.0</v>
      </c>
      <c r="Z279" s="80">
        <v>0.0</v>
      </c>
      <c r="AA279" s="140">
        <v>0.0</v>
      </c>
      <c r="AB279" s="109">
        <v>0.0</v>
      </c>
      <c r="AC279" s="109">
        <v>0.0</v>
      </c>
      <c r="AD279" s="141">
        <v>0.0</v>
      </c>
      <c r="AE279" s="80">
        <v>0.0</v>
      </c>
      <c r="AF279" s="140">
        <v>65.0</v>
      </c>
      <c r="AG279" s="109">
        <v>0.0</v>
      </c>
      <c r="AH279" s="109">
        <v>0.0</v>
      </c>
      <c r="AI279" s="141">
        <v>0.0</v>
      </c>
      <c r="AJ279" s="80">
        <v>65.0</v>
      </c>
      <c r="AK279" s="140">
        <v>0.0</v>
      </c>
      <c r="AL279" s="109">
        <v>0.0</v>
      </c>
      <c r="AM279" s="141">
        <v>0.0</v>
      </c>
      <c r="AN279" s="80">
        <v>0.0</v>
      </c>
      <c r="AO279" s="140">
        <v>0.0</v>
      </c>
      <c r="AP279" s="109">
        <v>0.0</v>
      </c>
      <c r="AQ279" s="109">
        <v>0.0</v>
      </c>
      <c r="AR279" s="80">
        <v>0.0</v>
      </c>
      <c r="AS279" s="110">
        <v>0.0</v>
      </c>
      <c r="AT279" s="110">
        <v>0.0</v>
      </c>
      <c r="AU279" s="110">
        <v>0.0</v>
      </c>
      <c r="AV279" s="142">
        <v>0.0</v>
      </c>
      <c r="AW279" s="80">
        <v>0.0</v>
      </c>
      <c r="AX279" s="113">
        <v>65.0</v>
      </c>
      <c r="AY279" s="117">
        <v>65.0</v>
      </c>
      <c r="AZ279" s="328">
        <v>0.0</v>
      </c>
      <c r="BA279" s="315">
        <v>0.0</v>
      </c>
      <c r="BB279" s="316">
        <v>65.0</v>
      </c>
      <c r="BC279" s="132" t="s">
        <v>373</v>
      </c>
      <c r="BD279" s="132" t="s">
        <v>178</v>
      </c>
      <c r="BE279" s="132" t="s">
        <v>178</v>
      </c>
      <c r="BF279" s="123"/>
      <c r="BG279" s="83">
        <v>1178994.0</v>
      </c>
      <c r="BH279" s="112">
        <v>3.0</v>
      </c>
      <c r="BI279" s="98" t="s">
        <v>155</v>
      </c>
      <c r="BJ279" s="98" t="str">
        <f t="shared" si="1"/>
        <v>NÃO</v>
      </c>
      <c r="BK279" s="98" t="str">
        <f t="shared" si="2"/>
        <v>NÃO</v>
      </c>
    </row>
    <row r="280" ht="15.75" customHeight="1">
      <c r="A280" s="111" t="s">
        <v>383</v>
      </c>
      <c r="B280" s="83" t="s">
        <v>1163</v>
      </c>
      <c r="C280" s="83" t="s">
        <v>164</v>
      </c>
      <c r="D280" s="83">
        <v>1178099.0</v>
      </c>
      <c r="E280" s="83">
        <v>1178993.0</v>
      </c>
      <c r="F280" s="83"/>
      <c r="G280" s="185" t="s">
        <v>1180</v>
      </c>
      <c r="H280" s="91" t="s">
        <v>1181</v>
      </c>
      <c r="I280" s="114" t="s">
        <v>1182</v>
      </c>
      <c r="J280" s="83" t="s">
        <v>784</v>
      </c>
      <c r="K280" s="83" t="s">
        <v>151</v>
      </c>
      <c r="L280" s="83" t="s">
        <v>169</v>
      </c>
      <c r="M280" s="82" t="s">
        <v>4515</v>
      </c>
      <c r="N280" s="82" t="s">
        <v>4516</v>
      </c>
      <c r="O280" s="82" t="s">
        <v>4517</v>
      </c>
      <c r="P280" s="82" t="s">
        <v>4519</v>
      </c>
      <c r="Q280" s="82" t="s">
        <v>4520</v>
      </c>
      <c r="R280" s="82" t="s">
        <v>4521</v>
      </c>
      <c r="S280" s="82" t="s">
        <v>4522</v>
      </c>
      <c r="T280" s="138">
        <v>3.0</v>
      </c>
      <c r="U280" s="323">
        <v>3.0</v>
      </c>
      <c r="V280" s="106">
        <v>0.0</v>
      </c>
      <c r="W280" s="107">
        <v>0.0</v>
      </c>
      <c r="X280" s="107">
        <v>0.0</v>
      </c>
      <c r="Y280" s="107">
        <v>0.0</v>
      </c>
      <c r="Z280" s="80">
        <v>0.0</v>
      </c>
      <c r="AA280" s="140">
        <v>0.0</v>
      </c>
      <c r="AB280" s="109">
        <v>0.0</v>
      </c>
      <c r="AC280" s="109">
        <v>0.0</v>
      </c>
      <c r="AD280" s="141">
        <v>0.0</v>
      </c>
      <c r="AE280" s="80">
        <v>0.0</v>
      </c>
      <c r="AF280" s="140">
        <v>0.0</v>
      </c>
      <c r="AG280" s="109">
        <v>18.0</v>
      </c>
      <c r="AH280" s="109">
        <v>28.0</v>
      </c>
      <c r="AI280" s="141">
        <v>0.0</v>
      </c>
      <c r="AJ280" s="80">
        <v>46.0</v>
      </c>
      <c r="AK280" s="140">
        <v>0.0</v>
      </c>
      <c r="AL280" s="109">
        <v>0.0</v>
      </c>
      <c r="AM280" s="141">
        <v>0.0</v>
      </c>
      <c r="AN280" s="80">
        <v>0.0</v>
      </c>
      <c r="AO280" s="140">
        <v>0.0</v>
      </c>
      <c r="AP280" s="109">
        <v>0.0</v>
      </c>
      <c r="AQ280" s="109">
        <v>39.0</v>
      </c>
      <c r="AR280" s="80">
        <v>39.0</v>
      </c>
      <c r="AS280" s="110">
        <v>0.0</v>
      </c>
      <c r="AT280" s="110">
        <v>0.0</v>
      </c>
      <c r="AU280" s="110">
        <v>0.0</v>
      </c>
      <c r="AV280" s="142">
        <v>0.0</v>
      </c>
      <c r="AW280" s="80">
        <v>0.0</v>
      </c>
      <c r="AX280" s="113">
        <v>85.0</v>
      </c>
      <c r="AY280" s="117">
        <v>18.0</v>
      </c>
      <c r="AZ280" s="328">
        <v>67.0</v>
      </c>
      <c r="BA280" s="315">
        <v>0.0</v>
      </c>
      <c r="BB280" s="316">
        <v>85.0</v>
      </c>
      <c r="BC280" s="132" t="s">
        <v>373</v>
      </c>
      <c r="BD280" s="132" t="s">
        <v>178</v>
      </c>
      <c r="BE280" s="132" t="s">
        <v>178</v>
      </c>
      <c r="BF280" s="123"/>
      <c r="BG280" s="83">
        <v>1178993.0</v>
      </c>
      <c r="BH280" s="112">
        <v>3.0</v>
      </c>
      <c r="BI280" s="98" t="s">
        <v>155</v>
      </c>
      <c r="BJ280" s="98" t="str">
        <f t="shared" si="1"/>
        <v>NÃO</v>
      </c>
      <c r="BK280" s="98" t="str">
        <f t="shared" si="2"/>
        <v>NÃO</v>
      </c>
    </row>
    <row r="281" ht="15.75" customHeight="1">
      <c r="A281" s="111" t="s">
        <v>383</v>
      </c>
      <c r="B281" s="83" t="s">
        <v>1163</v>
      </c>
      <c r="C281" s="83" t="s">
        <v>164</v>
      </c>
      <c r="D281" s="83">
        <v>1178099.0</v>
      </c>
      <c r="E281" s="83">
        <v>1178992.0</v>
      </c>
      <c r="F281" s="83"/>
      <c r="G281" s="185" t="s">
        <v>1184</v>
      </c>
      <c r="H281" s="91" t="s">
        <v>1185</v>
      </c>
      <c r="I281" s="114" t="s">
        <v>1186</v>
      </c>
      <c r="J281" s="136" t="s">
        <v>315</v>
      </c>
      <c r="K281" s="83" t="s">
        <v>151</v>
      </c>
      <c r="L281" s="83" t="s">
        <v>169</v>
      </c>
      <c r="M281" s="82" t="s">
        <v>4515</v>
      </c>
      <c r="N281" s="82" t="s">
        <v>4516</v>
      </c>
      <c r="O281" s="82" t="s">
        <v>4517</v>
      </c>
      <c r="P281" s="82" t="s">
        <v>4519</v>
      </c>
      <c r="Q281" s="82" t="s">
        <v>4520</v>
      </c>
      <c r="R281" s="82" t="s">
        <v>4521</v>
      </c>
      <c r="S281" s="82" t="s">
        <v>4522</v>
      </c>
      <c r="T281" s="138">
        <v>3.0</v>
      </c>
      <c r="U281" s="323">
        <v>3.0</v>
      </c>
      <c r="V281" s="106">
        <v>0.0</v>
      </c>
      <c r="W281" s="107">
        <v>0.0</v>
      </c>
      <c r="X281" s="107">
        <v>0.0</v>
      </c>
      <c r="Y281" s="107">
        <v>0.0</v>
      </c>
      <c r="Z281" s="80">
        <v>0.0</v>
      </c>
      <c r="AA281" s="140">
        <v>0.0</v>
      </c>
      <c r="AB281" s="109">
        <v>0.0</v>
      </c>
      <c r="AC281" s="109">
        <v>0.0</v>
      </c>
      <c r="AD281" s="141">
        <v>0.0</v>
      </c>
      <c r="AE281" s="80">
        <v>0.0</v>
      </c>
      <c r="AF281" s="140">
        <v>0.0</v>
      </c>
      <c r="AG281" s="109">
        <v>43.0</v>
      </c>
      <c r="AH281" s="109">
        <v>0.0</v>
      </c>
      <c r="AI281" s="141">
        <v>0.0</v>
      </c>
      <c r="AJ281" s="80">
        <v>43.0</v>
      </c>
      <c r="AK281" s="140">
        <v>0.0</v>
      </c>
      <c r="AL281" s="109">
        <v>0.0</v>
      </c>
      <c r="AM281" s="141">
        <v>0.0</v>
      </c>
      <c r="AN281" s="80">
        <v>0.0</v>
      </c>
      <c r="AO281" s="140">
        <v>0.0</v>
      </c>
      <c r="AP281" s="109">
        <v>0.0</v>
      </c>
      <c r="AQ281" s="109">
        <v>0.0</v>
      </c>
      <c r="AR281" s="80">
        <v>0.0</v>
      </c>
      <c r="AS281" s="110">
        <v>0.0</v>
      </c>
      <c r="AT281" s="110">
        <v>0.0</v>
      </c>
      <c r="AU281" s="110">
        <v>0.0</v>
      </c>
      <c r="AV281" s="142">
        <v>0.0</v>
      </c>
      <c r="AW281" s="80">
        <v>0.0</v>
      </c>
      <c r="AX281" s="113">
        <v>43.0</v>
      </c>
      <c r="AY281" s="117">
        <v>43.0</v>
      </c>
      <c r="AZ281" s="328">
        <v>0.0</v>
      </c>
      <c r="BA281" s="315">
        <v>0.0</v>
      </c>
      <c r="BB281" s="316">
        <v>43.0</v>
      </c>
      <c r="BC281" s="132" t="s">
        <v>373</v>
      </c>
      <c r="BD281" s="132" t="s">
        <v>178</v>
      </c>
      <c r="BE281" s="132" t="s">
        <v>178</v>
      </c>
      <c r="BF281" s="123"/>
      <c r="BG281" s="83">
        <v>1178992.0</v>
      </c>
      <c r="BH281" s="112">
        <v>3.0</v>
      </c>
      <c r="BI281" s="98" t="s">
        <v>155</v>
      </c>
      <c r="BJ281" s="98" t="str">
        <f t="shared" si="1"/>
        <v>NÃO</v>
      </c>
      <c r="BK281" s="98" t="str">
        <f t="shared" si="2"/>
        <v>NÃO</v>
      </c>
    </row>
    <row r="282" ht="15.75" customHeight="1">
      <c r="A282" s="111" t="s">
        <v>383</v>
      </c>
      <c r="B282" s="83" t="s">
        <v>1163</v>
      </c>
      <c r="C282" s="83" t="s">
        <v>164</v>
      </c>
      <c r="D282" s="83">
        <v>1178099.0</v>
      </c>
      <c r="E282" s="83">
        <v>1178991.0</v>
      </c>
      <c r="F282" s="83"/>
      <c r="G282" s="185" t="s">
        <v>1187</v>
      </c>
      <c r="H282" s="91" t="s">
        <v>1188</v>
      </c>
      <c r="I282" s="114" t="s">
        <v>1189</v>
      </c>
      <c r="J282" s="136" t="s">
        <v>187</v>
      </c>
      <c r="K282" s="83" t="s">
        <v>151</v>
      </c>
      <c r="L282" s="83" t="s">
        <v>169</v>
      </c>
      <c r="M282" s="82" t="s">
        <v>4515</v>
      </c>
      <c r="N282" s="82" t="s">
        <v>4516</v>
      </c>
      <c r="O282" s="82" t="s">
        <v>4517</v>
      </c>
      <c r="P282" s="82" t="s">
        <v>4519</v>
      </c>
      <c r="Q282" s="82" t="s">
        <v>4520</v>
      </c>
      <c r="R282" s="82" t="s">
        <v>4521</v>
      </c>
      <c r="S282" s="82" t="s">
        <v>4522</v>
      </c>
      <c r="T282" s="138">
        <v>3.0</v>
      </c>
      <c r="U282" s="323">
        <v>3.0</v>
      </c>
      <c r="V282" s="106">
        <v>0.0</v>
      </c>
      <c r="W282" s="107">
        <v>0.0</v>
      </c>
      <c r="X282" s="107">
        <v>0.0</v>
      </c>
      <c r="Y282" s="107">
        <v>0.0</v>
      </c>
      <c r="Z282" s="80">
        <v>0.0</v>
      </c>
      <c r="AA282" s="140">
        <v>0.0</v>
      </c>
      <c r="AB282" s="109">
        <v>0.0</v>
      </c>
      <c r="AC282" s="109">
        <v>0.0</v>
      </c>
      <c r="AD282" s="141">
        <v>0.0</v>
      </c>
      <c r="AE282" s="80">
        <v>0.0</v>
      </c>
      <c r="AF282" s="140">
        <v>0.0</v>
      </c>
      <c r="AG282" s="109">
        <v>0.0</v>
      </c>
      <c r="AH282" s="109">
        <v>27.0</v>
      </c>
      <c r="AI282" s="141">
        <v>0.0</v>
      </c>
      <c r="AJ282" s="80">
        <v>27.0</v>
      </c>
      <c r="AK282" s="140">
        <v>0.0</v>
      </c>
      <c r="AL282" s="109">
        <v>0.0</v>
      </c>
      <c r="AM282" s="141">
        <v>0.0</v>
      </c>
      <c r="AN282" s="80">
        <v>0.0</v>
      </c>
      <c r="AO282" s="140">
        <v>0.0</v>
      </c>
      <c r="AP282" s="109">
        <v>0.0</v>
      </c>
      <c r="AQ282" s="109">
        <v>25.0</v>
      </c>
      <c r="AR282" s="80">
        <v>25.0</v>
      </c>
      <c r="AS282" s="110">
        <v>0.0</v>
      </c>
      <c r="AT282" s="110">
        <v>0.0</v>
      </c>
      <c r="AU282" s="110">
        <v>0.0</v>
      </c>
      <c r="AV282" s="142">
        <v>0.0</v>
      </c>
      <c r="AW282" s="80">
        <v>0.0</v>
      </c>
      <c r="AX282" s="113">
        <v>52.0</v>
      </c>
      <c r="AY282" s="117">
        <v>0.0</v>
      </c>
      <c r="AZ282" s="328">
        <v>52.0</v>
      </c>
      <c r="BA282" s="315">
        <v>0.0</v>
      </c>
      <c r="BB282" s="316">
        <v>52.0</v>
      </c>
      <c r="BC282" s="132" t="s">
        <v>373</v>
      </c>
      <c r="BD282" s="132" t="s">
        <v>178</v>
      </c>
      <c r="BE282" s="132" t="s">
        <v>178</v>
      </c>
      <c r="BF282" s="123"/>
      <c r="BG282" s="83">
        <v>1178991.0</v>
      </c>
      <c r="BH282" s="112">
        <v>3.0</v>
      </c>
      <c r="BI282" s="98" t="s">
        <v>155</v>
      </c>
      <c r="BJ282" s="98" t="str">
        <f t="shared" si="1"/>
        <v>NÃO</v>
      </c>
      <c r="BK282" s="98" t="str">
        <f t="shared" si="2"/>
        <v>NÃO</v>
      </c>
    </row>
    <row r="283" ht="15.75" customHeight="1">
      <c r="A283" s="111" t="s">
        <v>383</v>
      </c>
      <c r="B283" s="83" t="s">
        <v>1163</v>
      </c>
      <c r="C283" s="83" t="s">
        <v>164</v>
      </c>
      <c r="D283" s="83">
        <v>1178099.0</v>
      </c>
      <c r="E283" s="83">
        <v>1178990.0</v>
      </c>
      <c r="F283" s="83"/>
      <c r="G283" s="185" t="s">
        <v>1190</v>
      </c>
      <c r="H283" s="91" t="s">
        <v>1191</v>
      </c>
      <c r="I283" s="114" t="s">
        <v>1192</v>
      </c>
      <c r="J283" s="136" t="s">
        <v>577</v>
      </c>
      <c r="K283" s="83" t="s">
        <v>151</v>
      </c>
      <c r="L283" s="83" t="s">
        <v>169</v>
      </c>
      <c r="M283" s="82" t="s">
        <v>4515</v>
      </c>
      <c r="N283" s="82" t="s">
        <v>4516</v>
      </c>
      <c r="O283" s="82" t="s">
        <v>4517</v>
      </c>
      <c r="P283" s="82" t="s">
        <v>4519</v>
      </c>
      <c r="Q283" s="82" t="s">
        <v>4520</v>
      </c>
      <c r="R283" s="82" t="s">
        <v>4521</v>
      </c>
      <c r="S283" s="82" t="s">
        <v>4522</v>
      </c>
      <c r="T283" s="138">
        <v>3.0</v>
      </c>
      <c r="U283" s="323">
        <v>3.0</v>
      </c>
      <c r="V283" s="106">
        <v>0.0</v>
      </c>
      <c r="W283" s="107">
        <v>0.0</v>
      </c>
      <c r="X283" s="107">
        <v>0.0</v>
      </c>
      <c r="Y283" s="107">
        <v>0.0</v>
      </c>
      <c r="Z283" s="80">
        <v>0.0</v>
      </c>
      <c r="AA283" s="140">
        <v>0.0</v>
      </c>
      <c r="AB283" s="109">
        <v>0.0</v>
      </c>
      <c r="AC283" s="109">
        <v>0.0</v>
      </c>
      <c r="AD283" s="141">
        <v>0.0</v>
      </c>
      <c r="AE283" s="80">
        <v>0.0</v>
      </c>
      <c r="AF283" s="140">
        <v>0.0</v>
      </c>
      <c r="AG283" s="109">
        <v>71.0</v>
      </c>
      <c r="AH283" s="109">
        <v>4.0</v>
      </c>
      <c r="AI283" s="141">
        <v>0.0</v>
      </c>
      <c r="AJ283" s="80">
        <v>75.0</v>
      </c>
      <c r="AK283" s="140">
        <v>0.0</v>
      </c>
      <c r="AL283" s="109">
        <v>0.0</v>
      </c>
      <c r="AM283" s="141">
        <v>0.0</v>
      </c>
      <c r="AN283" s="80">
        <v>0.0</v>
      </c>
      <c r="AO283" s="140">
        <v>0.0</v>
      </c>
      <c r="AP283" s="109">
        <v>0.0</v>
      </c>
      <c r="AQ283" s="109">
        <v>14.0</v>
      </c>
      <c r="AR283" s="80">
        <v>14.0</v>
      </c>
      <c r="AS283" s="110">
        <v>0.0</v>
      </c>
      <c r="AT283" s="110">
        <v>0.0</v>
      </c>
      <c r="AU283" s="110">
        <v>0.0</v>
      </c>
      <c r="AV283" s="142">
        <v>0.0</v>
      </c>
      <c r="AW283" s="80">
        <v>0.0</v>
      </c>
      <c r="AX283" s="113">
        <v>89.0</v>
      </c>
      <c r="AY283" s="117">
        <v>71.0</v>
      </c>
      <c r="AZ283" s="328">
        <v>18.0</v>
      </c>
      <c r="BA283" s="315">
        <v>0.0</v>
      </c>
      <c r="BB283" s="316">
        <v>89.0</v>
      </c>
      <c r="BC283" s="132" t="s">
        <v>373</v>
      </c>
      <c r="BD283" s="132" t="s">
        <v>178</v>
      </c>
      <c r="BE283" s="132" t="s">
        <v>178</v>
      </c>
      <c r="BF283" s="123"/>
      <c r="BG283" s="83">
        <v>1178990.0</v>
      </c>
      <c r="BH283" s="112">
        <v>3.0</v>
      </c>
      <c r="BI283" s="98" t="s">
        <v>155</v>
      </c>
      <c r="BJ283" s="98" t="str">
        <f t="shared" si="1"/>
        <v>NÃO</v>
      </c>
      <c r="BK283" s="98" t="str">
        <f t="shared" si="2"/>
        <v>NÃO</v>
      </c>
    </row>
    <row r="284" ht="15.75" customHeight="1">
      <c r="A284" s="111" t="s">
        <v>383</v>
      </c>
      <c r="B284" s="83" t="s">
        <v>1163</v>
      </c>
      <c r="C284" s="83" t="s">
        <v>164</v>
      </c>
      <c r="D284" s="83">
        <v>1178099.0</v>
      </c>
      <c r="E284" s="83">
        <v>1178989.0</v>
      </c>
      <c r="F284" s="83"/>
      <c r="G284" s="185" t="s">
        <v>1193</v>
      </c>
      <c r="H284" s="91" t="s">
        <v>1194</v>
      </c>
      <c r="I284" s="114" t="s">
        <v>1195</v>
      </c>
      <c r="J284" s="136" t="s">
        <v>331</v>
      </c>
      <c r="K284" s="83" t="s">
        <v>151</v>
      </c>
      <c r="L284" s="83" t="s">
        <v>169</v>
      </c>
      <c r="M284" s="82" t="s">
        <v>4515</v>
      </c>
      <c r="N284" s="82" t="s">
        <v>4516</v>
      </c>
      <c r="O284" s="82" t="s">
        <v>4517</v>
      </c>
      <c r="P284" s="82" t="s">
        <v>4519</v>
      </c>
      <c r="Q284" s="82" t="s">
        <v>4520</v>
      </c>
      <c r="R284" s="82" t="s">
        <v>4521</v>
      </c>
      <c r="S284" s="82" t="s">
        <v>4522</v>
      </c>
      <c r="T284" s="138">
        <v>3.0</v>
      </c>
      <c r="U284" s="323">
        <v>3.0</v>
      </c>
      <c r="V284" s="106">
        <v>0.0</v>
      </c>
      <c r="W284" s="107">
        <v>0.0</v>
      </c>
      <c r="X284" s="107">
        <v>0.0</v>
      </c>
      <c r="Y284" s="107">
        <v>0.0</v>
      </c>
      <c r="Z284" s="80">
        <v>0.0</v>
      </c>
      <c r="AA284" s="140">
        <v>0.0</v>
      </c>
      <c r="AB284" s="109">
        <v>0.0</v>
      </c>
      <c r="AC284" s="109">
        <v>0.0</v>
      </c>
      <c r="AD284" s="141">
        <v>0.0</v>
      </c>
      <c r="AE284" s="80">
        <v>0.0</v>
      </c>
      <c r="AF284" s="140">
        <v>0.0</v>
      </c>
      <c r="AG284" s="109">
        <v>47.0</v>
      </c>
      <c r="AH284" s="109">
        <v>0.0</v>
      </c>
      <c r="AI284" s="141">
        <v>0.0</v>
      </c>
      <c r="AJ284" s="80">
        <v>47.0</v>
      </c>
      <c r="AK284" s="140">
        <v>0.0</v>
      </c>
      <c r="AL284" s="109">
        <v>0.0</v>
      </c>
      <c r="AM284" s="141">
        <v>0.0</v>
      </c>
      <c r="AN284" s="80">
        <v>0.0</v>
      </c>
      <c r="AO284" s="140">
        <v>0.0</v>
      </c>
      <c r="AP284" s="109">
        <v>0.0</v>
      </c>
      <c r="AQ284" s="109">
        <v>0.0</v>
      </c>
      <c r="AR284" s="80">
        <v>0.0</v>
      </c>
      <c r="AS284" s="110">
        <v>0.0</v>
      </c>
      <c r="AT284" s="110">
        <v>0.0</v>
      </c>
      <c r="AU284" s="110">
        <v>0.0</v>
      </c>
      <c r="AV284" s="142">
        <v>0.0</v>
      </c>
      <c r="AW284" s="80">
        <v>0.0</v>
      </c>
      <c r="AX284" s="113">
        <v>47.0</v>
      </c>
      <c r="AY284" s="117">
        <v>47.0</v>
      </c>
      <c r="AZ284" s="328">
        <v>0.0</v>
      </c>
      <c r="BA284" s="315">
        <v>0.0</v>
      </c>
      <c r="BB284" s="316">
        <v>47.0</v>
      </c>
      <c r="BC284" s="132" t="s">
        <v>373</v>
      </c>
      <c r="BD284" s="132" t="s">
        <v>178</v>
      </c>
      <c r="BE284" s="132" t="s">
        <v>178</v>
      </c>
      <c r="BF284" s="123"/>
      <c r="BG284" s="83">
        <v>1178989.0</v>
      </c>
      <c r="BH284" s="112">
        <v>3.0</v>
      </c>
      <c r="BI284" s="98" t="s">
        <v>155</v>
      </c>
      <c r="BJ284" s="98" t="str">
        <f t="shared" si="1"/>
        <v>NÃO</v>
      </c>
      <c r="BK284" s="98" t="str">
        <f t="shared" si="2"/>
        <v>NÃO</v>
      </c>
    </row>
    <row r="285" ht="15.75" customHeight="1">
      <c r="A285" s="111" t="s">
        <v>383</v>
      </c>
      <c r="B285" s="83" t="s">
        <v>1163</v>
      </c>
      <c r="C285" s="83" t="s">
        <v>164</v>
      </c>
      <c r="D285" s="83">
        <v>1179292.0</v>
      </c>
      <c r="E285" s="83">
        <v>1178997.0</v>
      </c>
      <c r="F285" s="83"/>
      <c r="G285" s="185" t="s">
        <v>1196</v>
      </c>
      <c r="H285" s="91" t="s">
        <v>1197</v>
      </c>
      <c r="I285" s="114" t="s">
        <v>1198</v>
      </c>
      <c r="J285" s="83" t="s">
        <v>209</v>
      </c>
      <c r="K285" s="83" t="s">
        <v>168</v>
      </c>
      <c r="L285" s="83" t="s">
        <v>169</v>
      </c>
      <c r="M285" s="82" t="s">
        <v>4289</v>
      </c>
      <c r="N285" s="82" t="s">
        <v>4290</v>
      </c>
      <c r="O285" s="82" t="s">
        <v>4291</v>
      </c>
      <c r="P285" s="82" t="s">
        <v>4292</v>
      </c>
      <c r="Q285" s="82" t="s">
        <v>4293</v>
      </c>
      <c r="R285" s="82" t="s">
        <v>4294</v>
      </c>
      <c r="S285" s="82" t="s">
        <v>4295</v>
      </c>
      <c r="T285" s="138">
        <v>3.0</v>
      </c>
      <c r="U285" s="323">
        <v>3.0</v>
      </c>
      <c r="V285" s="106">
        <v>0.0</v>
      </c>
      <c r="W285" s="107">
        <v>0.0</v>
      </c>
      <c r="X285" s="107">
        <v>0.0</v>
      </c>
      <c r="Y285" s="107">
        <v>0.0</v>
      </c>
      <c r="Z285" s="80">
        <v>0.0</v>
      </c>
      <c r="AA285" s="140">
        <v>0.0</v>
      </c>
      <c r="AB285" s="109">
        <v>0.0</v>
      </c>
      <c r="AC285" s="109">
        <v>0.0</v>
      </c>
      <c r="AD285" s="141">
        <v>0.0</v>
      </c>
      <c r="AE285" s="80">
        <v>0.0</v>
      </c>
      <c r="AF285" s="140">
        <v>0.0</v>
      </c>
      <c r="AG285" s="109">
        <v>19.0</v>
      </c>
      <c r="AH285" s="109">
        <v>18.0</v>
      </c>
      <c r="AI285" s="141">
        <v>0.0</v>
      </c>
      <c r="AJ285" s="80">
        <v>37.0</v>
      </c>
      <c r="AK285" s="140">
        <v>0.0</v>
      </c>
      <c r="AL285" s="109">
        <v>0.0</v>
      </c>
      <c r="AM285" s="141">
        <v>0.0</v>
      </c>
      <c r="AN285" s="80">
        <v>0.0</v>
      </c>
      <c r="AO285" s="140">
        <v>0.0</v>
      </c>
      <c r="AP285" s="109">
        <v>0.0</v>
      </c>
      <c r="AQ285" s="109">
        <v>0.0</v>
      </c>
      <c r="AR285" s="80">
        <v>0.0</v>
      </c>
      <c r="AS285" s="110">
        <v>0.0</v>
      </c>
      <c r="AT285" s="110">
        <v>0.0</v>
      </c>
      <c r="AU285" s="110">
        <v>0.0</v>
      </c>
      <c r="AV285" s="142">
        <v>0.0</v>
      </c>
      <c r="AW285" s="80">
        <v>0.0</v>
      </c>
      <c r="AX285" s="113">
        <v>37.0</v>
      </c>
      <c r="AY285" s="117">
        <v>19.0</v>
      </c>
      <c r="AZ285" s="328">
        <v>18.0</v>
      </c>
      <c r="BA285" s="315">
        <v>0.0</v>
      </c>
      <c r="BB285" s="316">
        <v>37.0</v>
      </c>
      <c r="BC285" s="132" t="s">
        <v>178</v>
      </c>
      <c r="BD285" s="143" t="s">
        <v>227</v>
      </c>
      <c r="BE285" s="132" t="s">
        <v>178</v>
      </c>
      <c r="BF285" s="123"/>
      <c r="BG285" s="83">
        <v>1178997.0</v>
      </c>
      <c r="BH285" s="112">
        <v>3.0</v>
      </c>
      <c r="BI285" s="98" t="s">
        <v>155</v>
      </c>
      <c r="BJ285" s="98" t="str">
        <f t="shared" si="1"/>
        <v>NÃO</v>
      </c>
      <c r="BK285" s="98" t="str">
        <f t="shared" si="2"/>
        <v>NÃO</v>
      </c>
    </row>
    <row r="286" ht="15.75" customHeight="1">
      <c r="A286" s="111" t="s">
        <v>383</v>
      </c>
      <c r="B286" s="83" t="s">
        <v>1199</v>
      </c>
      <c r="C286" s="83" t="s">
        <v>68</v>
      </c>
      <c r="D286" s="83">
        <v>1178222.0</v>
      </c>
      <c r="E286" s="83"/>
      <c r="F286" s="83">
        <v>2.9443296E7</v>
      </c>
      <c r="G286" s="114" t="s">
        <v>1200</v>
      </c>
      <c r="H286" s="91" t="s">
        <v>1201</v>
      </c>
      <c r="I286" s="187" t="s">
        <v>149</v>
      </c>
      <c r="J286" s="83" t="s">
        <v>150</v>
      </c>
      <c r="K286" s="83" t="s">
        <v>151</v>
      </c>
      <c r="L286" s="83" t="s">
        <v>169</v>
      </c>
      <c r="M286" s="82" t="s">
        <v>4546</v>
      </c>
      <c r="N286" s="82" t="s">
        <v>4547</v>
      </c>
      <c r="O286" s="82" t="s">
        <v>4548</v>
      </c>
      <c r="P286" s="82" t="s">
        <v>4549</v>
      </c>
      <c r="Q286" s="82"/>
      <c r="R286" s="82"/>
      <c r="S286" s="82" t="s">
        <v>4550</v>
      </c>
      <c r="T286" s="138">
        <v>7.0</v>
      </c>
      <c r="U286" s="331" t="s">
        <v>3930</v>
      </c>
      <c r="V286" s="106">
        <v>0.0</v>
      </c>
      <c r="W286" s="107">
        <v>0.0</v>
      </c>
      <c r="X286" s="107">
        <v>0.0</v>
      </c>
      <c r="Y286" s="107">
        <v>0.0</v>
      </c>
      <c r="Z286" s="80">
        <v>0.0</v>
      </c>
      <c r="AA286" s="140">
        <v>0.0</v>
      </c>
      <c r="AB286" s="109">
        <v>0.0</v>
      </c>
      <c r="AC286" s="109">
        <v>0.0</v>
      </c>
      <c r="AD286" s="141">
        <v>0.0</v>
      </c>
      <c r="AE286" s="80">
        <v>0.0</v>
      </c>
      <c r="AF286" s="140">
        <v>0.0</v>
      </c>
      <c r="AG286" s="109">
        <v>148.0</v>
      </c>
      <c r="AH286" s="109">
        <v>0.0</v>
      </c>
      <c r="AI286" s="141">
        <v>60.0</v>
      </c>
      <c r="AJ286" s="80">
        <v>208.0</v>
      </c>
      <c r="AK286" s="140">
        <v>0.0</v>
      </c>
      <c r="AL286" s="109">
        <v>0.0</v>
      </c>
      <c r="AM286" s="141">
        <v>0.0</v>
      </c>
      <c r="AN286" s="80">
        <v>0.0</v>
      </c>
      <c r="AO286" s="140">
        <v>0.0</v>
      </c>
      <c r="AP286" s="109">
        <v>0.0</v>
      </c>
      <c r="AQ286" s="109">
        <v>31.0</v>
      </c>
      <c r="AR286" s="80">
        <v>31.0</v>
      </c>
      <c r="AS286" s="110">
        <v>0.0</v>
      </c>
      <c r="AT286" s="110">
        <v>0.0</v>
      </c>
      <c r="AU286" s="110">
        <v>0.0</v>
      </c>
      <c r="AV286" s="142">
        <v>0.0</v>
      </c>
      <c r="AW286" s="80">
        <v>0.0</v>
      </c>
      <c r="AX286" s="113">
        <v>239.0</v>
      </c>
      <c r="AY286" s="117">
        <v>208.0</v>
      </c>
      <c r="AZ286" s="328">
        <v>31.0</v>
      </c>
      <c r="BA286" s="315">
        <v>0.0</v>
      </c>
      <c r="BB286" s="316">
        <v>239.0</v>
      </c>
      <c r="BC286" s="132" t="s">
        <v>178</v>
      </c>
      <c r="BD286" s="132" t="s">
        <v>178</v>
      </c>
      <c r="BE286" s="132" t="s">
        <v>178</v>
      </c>
      <c r="BF286" s="123"/>
      <c r="BG286" s="83">
        <v>1178222.0</v>
      </c>
      <c r="BH286" s="112">
        <v>7.0</v>
      </c>
      <c r="BI286" s="98" t="s">
        <v>155</v>
      </c>
      <c r="BJ286" s="98" t="str">
        <f t="shared" si="1"/>
        <v>INTEGRAL</v>
      </c>
      <c r="BK286" s="98" t="str">
        <f t="shared" si="2"/>
        <v>NÃO</v>
      </c>
    </row>
    <row r="287" ht="15.75" customHeight="1">
      <c r="A287" s="111" t="s">
        <v>383</v>
      </c>
      <c r="B287" s="83" t="s">
        <v>1199</v>
      </c>
      <c r="C287" s="83" t="s">
        <v>68</v>
      </c>
      <c r="D287" s="83">
        <v>1116691.0</v>
      </c>
      <c r="E287" s="83"/>
      <c r="F287" s="83">
        <v>2.9146631E7</v>
      </c>
      <c r="G287" s="187" t="s">
        <v>4556</v>
      </c>
      <c r="H287" s="91" t="s">
        <v>1204</v>
      </c>
      <c r="I287" s="114" t="s">
        <v>149</v>
      </c>
      <c r="J287" s="83" t="s">
        <v>327</v>
      </c>
      <c r="K287" s="83" t="s">
        <v>151</v>
      </c>
      <c r="L287" s="83" t="s">
        <v>169</v>
      </c>
      <c r="M287" s="82" t="s">
        <v>4558</v>
      </c>
      <c r="N287" s="82" t="s">
        <v>4559</v>
      </c>
      <c r="O287" s="82" t="s">
        <v>4560</v>
      </c>
      <c r="P287" s="82"/>
      <c r="Q287" s="82"/>
      <c r="R287" s="82"/>
      <c r="S287" s="82" t="s">
        <v>4561</v>
      </c>
      <c r="T287" s="138">
        <v>12.0</v>
      </c>
      <c r="U287" s="331">
        <v>10.0</v>
      </c>
      <c r="V287" s="106">
        <v>0.0</v>
      </c>
      <c r="W287" s="107">
        <v>0.0</v>
      </c>
      <c r="X287" s="107">
        <v>0.0</v>
      </c>
      <c r="Y287" s="107">
        <v>0.0</v>
      </c>
      <c r="Z287" s="80">
        <v>0.0</v>
      </c>
      <c r="AA287" s="140">
        <v>0.0</v>
      </c>
      <c r="AB287" s="109">
        <v>0.0</v>
      </c>
      <c r="AC287" s="109">
        <v>0.0</v>
      </c>
      <c r="AD287" s="141">
        <v>0.0</v>
      </c>
      <c r="AE287" s="80">
        <v>0.0</v>
      </c>
      <c r="AF287" s="140">
        <v>0.0</v>
      </c>
      <c r="AG287" s="109">
        <v>0.0</v>
      </c>
      <c r="AH287" s="109">
        <v>0.0</v>
      </c>
      <c r="AI287" s="141">
        <v>0.0</v>
      </c>
      <c r="AJ287" s="80">
        <v>0.0</v>
      </c>
      <c r="AK287" s="140">
        <v>0.0</v>
      </c>
      <c r="AL287" s="109">
        <v>0.0</v>
      </c>
      <c r="AM287" s="141">
        <v>0.0</v>
      </c>
      <c r="AN287" s="80">
        <v>0.0</v>
      </c>
      <c r="AO287" s="140">
        <v>0.0</v>
      </c>
      <c r="AP287" s="109">
        <v>0.0</v>
      </c>
      <c r="AQ287" s="109">
        <v>0.0</v>
      </c>
      <c r="AR287" s="80">
        <v>0.0</v>
      </c>
      <c r="AS287" s="110">
        <v>8.0</v>
      </c>
      <c r="AT287" s="110">
        <v>11.0</v>
      </c>
      <c r="AU287" s="110">
        <v>0.0</v>
      </c>
      <c r="AV287" s="142">
        <v>77.0</v>
      </c>
      <c r="AW287" s="80">
        <v>96.0</v>
      </c>
      <c r="AX287" s="113">
        <v>96.0</v>
      </c>
      <c r="AY287" s="117">
        <v>96.0</v>
      </c>
      <c r="AZ287" s="328">
        <v>0.0</v>
      </c>
      <c r="BA287" s="315">
        <v>0.0</v>
      </c>
      <c r="BB287" s="316">
        <v>96.0</v>
      </c>
      <c r="BC287" s="132" t="s">
        <v>373</v>
      </c>
      <c r="BD287" s="132" t="s">
        <v>178</v>
      </c>
      <c r="BE287" s="132" t="s">
        <v>178</v>
      </c>
      <c r="BF287" s="123"/>
      <c r="BG287" s="83">
        <v>1116691.0</v>
      </c>
      <c r="BH287" s="98">
        <v>10.0</v>
      </c>
      <c r="BI287" s="98" t="s">
        <v>155</v>
      </c>
      <c r="BJ287" s="98" t="str">
        <f t="shared" si="1"/>
        <v>INTEGRAL</v>
      </c>
      <c r="BK287" s="98" t="str">
        <f t="shared" si="2"/>
        <v>PROFISSIONAL</v>
      </c>
    </row>
    <row r="288" ht="15.75" customHeight="1">
      <c r="A288" s="111" t="s">
        <v>383</v>
      </c>
      <c r="B288" s="83" t="s">
        <v>1207</v>
      </c>
      <c r="C288" s="83" t="s">
        <v>45</v>
      </c>
      <c r="D288" s="83">
        <v>1178382.0</v>
      </c>
      <c r="E288" s="83"/>
      <c r="F288" s="83">
        <v>2.9427223E7</v>
      </c>
      <c r="G288" s="187" t="s">
        <v>1208</v>
      </c>
      <c r="H288" s="91" t="s">
        <v>1209</v>
      </c>
      <c r="I288" s="114" t="s">
        <v>576</v>
      </c>
      <c r="J288" s="98" t="s">
        <v>784</v>
      </c>
      <c r="K288" s="83" t="s">
        <v>171</v>
      </c>
      <c r="L288" s="83" t="s">
        <v>152</v>
      </c>
      <c r="M288" s="82" t="s">
        <v>4566</v>
      </c>
      <c r="N288" s="82" t="s">
        <v>4567</v>
      </c>
      <c r="O288" s="82"/>
      <c r="P288" s="82"/>
      <c r="Q288" s="82"/>
      <c r="R288" s="82"/>
      <c r="S288" s="82"/>
      <c r="T288" s="138">
        <v>18.0</v>
      </c>
      <c r="U288" s="323" t="s">
        <v>171</v>
      </c>
      <c r="V288" s="106">
        <v>0.0</v>
      </c>
      <c r="W288" s="107">
        <v>0.0</v>
      </c>
      <c r="X288" s="107">
        <v>0.0</v>
      </c>
      <c r="Y288" s="107">
        <v>0.0</v>
      </c>
      <c r="Z288" s="80">
        <v>0.0</v>
      </c>
      <c r="AA288" s="140">
        <v>0.0</v>
      </c>
      <c r="AB288" s="109">
        <v>0.0</v>
      </c>
      <c r="AC288" s="109">
        <v>0.0</v>
      </c>
      <c r="AD288" s="141">
        <v>16.0</v>
      </c>
      <c r="AE288" s="80">
        <v>16.0</v>
      </c>
      <c r="AF288" s="140">
        <v>0.0</v>
      </c>
      <c r="AG288" s="109">
        <v>0.0</v>
      </c>
      <c r="AH288" s="109">
        <v>0.0</v>
      </c>
      <c r="AI288" s="141">
        <v>110.0</v>
      </c>
      <c r="AJ288" s="80">
        <v>110.0</v>
      </c>
      <c r="AK288" s="140">
        <v>0.0</v>
      </c>
      <c r="AL288" s="109">
        <v>0.0</v>
      </c>
      <c r="AM288" s="141">
        <v>0.0</v>
      </c>
      <c r="AN288" s="80">
        <v>0.0</v>
      </c>
      <c r="AO288" s="140">
        <v>0.0</v>
      </c>
      <c r="AP288" s="109">
        <v>0.0</v>
      </c>
      <c r="AQ288" s="109">
        <v>0.0</v>
      </c>
      <c r="AR288" s="80">
        <v>0.0</v>
      </c>
      <c r="AS288" s="110">
        <v>0.0</v>
      </c>
      <c r="AT288" s="110">
        <v>0.0</v>
      </c>
      <c r="AU288" s="110">
        <v>0.0</v>
      </c>
      <c r="AV288" s="142">
        <v>0.0</v>
      </c>
      <c r="AW288" s="80">
        <v>0.0</v>
      </c>
      <c r="AX288" s="113">
        <v>126.0</v>
      </c>
      <c r="AY288" s="117">
        <v>126.0</v>
      </c>
      <c r="AZ288" s="328">
        <v>0.0</v>
      </c>
      <c r="BA288" s="315">
        <v>0.0</v>
      </c>
      <c r="BB288" s="316">
        <v>126.0</v>
      </c>
      <c r="BC288" s="143" t="s">
        <v>54</v>
      </c>
      <c r="BD288" s="132" t="s">
        <v>178</v>
      </c>
      <c r="BE288" s="132" t="s">
        <v>178</v>
      </c>
      <c r="BF288" s="123"/>
      <c r="BG288" s="83">
        <v>1178382.0</v>
      </c>
      <c r="BH288" s="98" t="s">
        <v>171</v>
      </c>
      <c r="BI288" s="98" t="s">
        <v>155</v>
      </c>
      <c r="BJ288" s="98" t="str">
        <f t="shared" si="1"/>
        <v>INTEGRAL</v>
      </c>
      <c r="BK288" s="98" t="str">
        <f t="shared" si="2"/>
        <v>NÃO</v>
      </c>
    </row>
    <row r="289" ht="15.75" customHeight="1">
      <c r="A289" s="111" t="s">
        <v>383</v>
      </c>
      <c r="B289" s="83" t="s">
        <v>1207</v>
      </c>
      <c r="C289" s="83" t="s">
        <v>68</v>
      </c>
      <c r="D289" s="83">
        <v>1177073.0</v>
      </c>
      <c r="E289" s="83"/>
      <c r="F289" s="83">
        <v>2.9411947E7</v>
      </c>
      <c r="G289" s="241" t="s">
        <v>4572</v>
      </c>
      <c r="H289" s="91" t="s">
        <v>1217</v>
      </c>
      <c r="I289" s="187" t="s">
        <v>149</v>
      </c>
      <c r="J289" s="172" t="s">
        <v>150</v>
      </c>
      <c r="K289" s="136" t="s">
        <v>151</v>
      </c>
      <c r="L289" s="136" t="s">
        <v>230</v>
      </c>
      <c r="M289" s="82" t="s">
        <v>4573</v>
      </c>
      <c r="N289" s="82" t="s">
        <v>4574</v>
      </c>
      <c r="O289" s="82" t="s">
        <v>4575</v>
      </c>
      <c r="P289" s="82" t="s">
        <v>4576</v>
      </c>
      <c r="Q289" s="82" t="s">
        <v>4577</v>
      </c>
      <c r="R289" s="82" t="s">
        <v>4578</v>
      </c>
      <c r="S289" s="82" t="s">
        <v>4579</v>
      </c>
      <c r="T289" s="138">
        <v>15.0</v>
      </c>
      <c r="U289" s="391">
        <v>15.0</v>
      </c>
      <c r="V289" s="106">
        <v>0.0</v>
      </c>
      <c r="W289" s="107">
        <v>0.0</v>
      </c>
      <c r="X289" s="107">
        <v>0.0</v>
      </c>
      <c r="Y289" s="107">
        <v>0.0</v>
      </c>
      <c r="Z289" s="80">
        <v>0.0</v>
      </c>
      <c r="AA289" s="140">
        <v>0.0</v>
      </c>
      <c r="AB289" s="109">
        <v>0.0</v>
      </c>
      <c r="AC289" s="109">
        <v>0.0</v>
      </c>
      <c r="AD289" s="141">
        <v>0.0</v>
      </c>
      <c r="AE289" s="80">
        <v>0.0</v>
      </c>
      <c r="AF289" s="246">
        <v>622.0</v>
      </c>
      <c r="AG289" s="246">
        <v>566.0</v>
      </c>
      <c r="AH289" s="246">
        <v>33.0</v>
      </c>
      <c r="AI289" s="247">
        <v>79.0</v>
      </c>
      <c r="AJ289" s="80">
        <v>1300.0</v>
      </c>
      <c r="AK289" s="140">
        <v>0.0</v>
      </c>
      <c r="AL289" s="109">
        <v>0.0</v>
      </c>
      <c r="AM289" s="141">
        <v>0.0</v>
      </c>
      <c r="AN289" s="80">
        <v>0.0</v>
      </c>
      <c r="AO289" s="246">
        <v>0.0</v>
      </c>
      <c r="AP289" s="246">
        <v>0.0</v>
      </c>
      <c r="AQ289" s="247">
        <v>91.0</v>
      </c>
      <c r="AR289" s="80">
        <v>91.0</v>
      </c>
      <c r="AS289" s="110">
        <v>0.0</v>
      </c>
      <c r="AT289" s="110">
        <v>0.0</v>
      </c>
      <c r="AU289" s="110">
        <v>0.0</v>
      </c>
      <c r="AV289" s="142">
        <v>0.0</v>
      </c>
      <c r="AW289" s="80">
        <v>0.0</v>
      </c>
      <c r="AX289" s="113">
        <v>1391.0</v>
      </c>
      <c r="AY289" s="117">
        <v>1267.0</v>
      </c>
      <c r="AZ289" s="328">
        <v>124.0</v>
      </c>
      <c r="BA289" s="315">
        <v>0.0</v>
      </c>
      <c r="BB289" s="316">
        <v>1391.0</v>
      </c>
      <c r="BC289" s="132" t="s">
        <v>178</v>
      </c>
      <c r="BD289" s="132" t="s">
        <v>178</v>
      </c>
      <c r="BE289" s="132" t="s">
        <v>178</v>
      </c>
      <c r="BF289" s="123"/>
      <c r="BG289" s="83">
        <v>1177073.0</v>
      </c>
      <c r="BH289" s="112">
        <v>15.0</v>
      </c>
      <c r="BI289" s="98" t="s">
        <v>155</v>
      </c>
      <c r="BJ289" s="98" t="str">
        <f t="shared" si="1"/>
        <v>INTEGRAL</v>
      </c>
      <c r="BK289" s="98" t="str">
        <f t="shared" si="2"/>
        <v>NÃO</v>
      </c>
    </row>
    <row r="290" ht="15.75" customHeight="1">
      <c r="A290" s="111" t="s">
        <v>383</v>
      </c>
      <c r="B290" s="83" t="s">
        <v>1207</v>
      </c>
      <c r="C290" s="83" t="s">
        <v>68</v>
      </c>
      <c r="D290" s="83">
        <v>1179389.0</v>
      </c>
      <c r="E290" s="83"/>
      <c r="F290" s="83">
        <v>2.9464382E7</v>
      </c>
      <c r="G290" s="187" t="s">
        <v>1211</v>
      </c>
      <c r="H290" s="91" t="s">
        <v>1212</v>
      </c>
      <c r="I290" s="114" t="s">
        <v>1213</v>
      </c>
      <c r="J290" s="83" t="s">
        <v>315</v>
      </c>
      <c r="K290" s="83" t="s">
        <v>151</v>
      </c>
      <c r="L290" s="83" t="s">
        <v>76</v>
      </c>
      <c r="M290" s="82" t="s">
        <v>4584</v>
      </c>
      <c r="N290" s="82" t="s">
        <v>4585</v>
      </c>
      <c r="O290" s="82" t="s">
        <v>4586</v>
      </c>
      <c r="P290" s="82" t="s">
        <v>4587</v>
      </c>
      <c r="Q290" s="82"/>
      <c r="R290" s="82"/>
      <c r="S290" s="82" t="s">
        <v>4590</v>
      </c>
      <c r="T290" s="138">
        <v>6.0</v>
      </c>
      <c r="U290" s="323">
        <v>6.0</v>
      </c>
      <c r="V290" s="106">
        <v>0.0</v>
      </c>
      <c r="W290" s="107">
        <v>0.0</v>
      </c>
      <c r="X290" s="107">
        <v>0.0</v>
      </c>
      <c r="Y290" s="107">
        <v>0.0</v>
      </c>
      <c r="Z290" s="80">
        <v>0.0</v>
      </c>
      <c r="AA290" s="140">
        <v>0.0</v>
      </c>
      <c r="AB290" s="109">
        <v>0.0</v>
      </c>
      <c r="AC290" s="109">
        <v>0.0</v>
      </c>
      <c r="AD290" s="141">
        <v>0.0</v>
      </c>
      <c r="AE290" s="80">
        <v>0.0</v>
      </c>
      <c r="AF290" s="140">
        <v>213.0</v>
      </c>
      <c r="AG290" s="109">
        <v>189.0</v>
      </c>
      <c r="AH290" s="109">
        <v>0.0</v>
      </c>
      <c r="AI290" s="141">
        <v>0.0</v>
      </c>
      <c r="AJ290" s="80">
        <v>402.0</v>
      </c>
      <c r="AK290" s="140">
        <v>0.0</v>
      </c>
      <c r="AL290" s="109">
        <v>0.0</v>
      </c>
      <c r="AM290" s="141">
        <v>0.0</v>
      </c>
      <c r="AN290" s="80">
        <v>0.0</v>
      </c>
      <c r="AO290" s="140">
        <v>0.0</v>
      </c>
      <c r="AP290" s="109">
        <v>0.0</v>
      </c>
      <c r="AQ290" s="109">
        <v>25.0</v>
      </c>
      <c r="AR290" s="80">
        <v>25.0</v>
      </c>
      <c r="AS290" s="110">
        <v>0.0</v>
      </c>
      <c r="AT290" s="110">
        <v>0.0</v>
      </c>
      <c r="AU290" s="110">
        <v>0.0</v>
      </c>
      <c r="AV290" s="142">
        <v>0.0</v>
      </c>
      <c r="AW290" s="80">
        <v>0.0</v>
      </c>
      <c r="AX290" s="113">
        <v>427.0</v>
      </c>
      <c r="AY290" s="117">
        <v>402.0</v>
      </c>
      <c r="AZ290" s="328">
        <v>25.0</v>
      </c>
      <c r="BA290" s="315">
        <v>0.0</v>
      </c>
      <c r="BB290" s="316">
        <v>427.0</v>
      </c>
      <c r="BC290" s="132" t="s">
        <v>373</v>
      </c>
      <c r="BD290" s="132" t="s">
        <v>178</v>
      </c>
      <c r="BE290" s="132" t="s">
        <v>178</v>
      </c>
      <c r="BF290" s="156"/>
      <c r="BG290" s="83">
        <v>1179389.0</v>
      </c>
      <c r="BH290" s="112">
        <v>6.0</v>
      </c>
      <c r="BI290" s="98" t="s">
        <v>162</v>
      </c>
      <c r="BJ290" s="98" t="str">
        <f t="shared" si="1"/>
        <v>NÃO</v>
      </c>
      <c r="BK290" s="98" t="str">
        <f t="shared" si="2"/>
        <v>NÃO</v>
      </c>
    </row>
    <row r="291" ht="15.75" customHeight="1">
      <c r="A291" s="111" t="s">
        <v>383</v>
      </c>
      <c r="B291" s="83" t="s">
        <v>1221</v>
      </c>
      <c r="C291" s="83" t="s">
        <v>68</v>
      </c>
      <c r="D291" s="83">
        <v>1178091.0</v>
      </c>
      <c r="E291" s="83"/>
      <c r="F291" s="83">
        <v>2.9432022E7</v>
      </c>
      <c r="G291" s="187" t="s">
        <v>4594</v>
      </c>
      <c r="H291" s="91" t="s">
        <v>1223</v>
      </c>
      <c r="I291" s="114" t="s">
        <v>149</v>
      </c>
      <c r="J291" s="83" t="s">
        <v>150</v>
      </c>
      <c r="K291" s="83" t="s">
        <v>151</v>
      </c>
      <c r="L291" s="83" t="s">
        <v>76</v>
      </c>
      <c r="M291" s="82" t="s">
        <v>2962</v>
      </c>
      <c r="N291" s="82"/>
      <c r="O291" s="82" t="s">
        <v>4595</v>
      </c>
      <c r="P291" s="82" t="s">
        <v>4596</v>
      </c>
      <c r="Q291" s="82"/>
      <c r="R291" s="82"/>
      <c r="S291" s="82" t="s">
        <v>4597</v>
      </c>
      <c r="T291" s="138">
        <v>8.0</v>
      </c>
      <c r="U291" s="323" t="s">
        <v>4598</v>
      </c>
      <c r="V291" s="106">
        <v>0.0</v>
      </c>
      <c r="W291" s="107">
        <v>0.0</v>
      </c>
      <c r="X291" s="107">
        <v>0.0</v>
      </c>
      <c r="Y291" s="107">
        <v>0.0</v>
      </c>
      <c r="Z291" s="80">
        <v>0.0</v>
      </c>
      <c r="AA291" s="140">
        <v>0.0</v>
      </c>
      <c r="AB291" s="109">
        <v>0.0</v>
      </c>
      <c r="AC291" s="109">
        <v>0.0</v>
      </c>
      <c r="AD291" s="141">
        <v>0.0</v>
      </c>
      <c r="AE291" s="80">
        <v>0.0</v>
      </c>
      <c r="AF291" s="140">
        <v>281.0</v>
      </c>
      <c r="AG291" s="109">
        <v>163.0</v>
      </c>
      <c r="AH291" s="109">
        <v>0.0</v>
      </c>
      <c r="AI291" s="141">
        <v>0.0</v>
      </c>
      <c r="AJ291" s="80">
        <v>444.0</v>
      </c>
      <c r="AK291" s="140">
        <v>0.0</v>
      </c>
      <c r="AL291" s="109">
        <v>0.0</v>
      </c>
      <c r="AM291" s="141">
        <v>0.0</v>
      </c>
      <c r="AN291" s="80">
        <v>0.0</v>
      </c>
      <c r="AO291" s="140">
        <v>0.0</v>
      </c>
      <c r="AP291" s="109">
        <v>0.0</v>
      </c>
      <c r="AQ291" s="109">
        <v>0.0</v>
      </c>
      <c r="AR291" s="80">
        <v>0.0</v>
      </c>
      <c r="AS291" s="110">
        <v>0.0</v>
      </c>
      <c r="AT291" s="110">
        <v>0.0</v>
      </c>
      <c r="AU291" s="110">
        <v>0.0</v>
      </c>
      <c r="AV291" s="142">
        <v>0.0</v>
      </c>
      <c r="AW291" s="80">
        <v>0.0</v>
      </c>
      <c r="AX291" s="113">
        <v>444.0</v>
      </c>
      <c r="AY291" s="117">
        <v>444.0</v>
      </c>
      <c r="AZ291" s="328">
        <v>0.0</v>
      </c>
      <c r="BA291" s="315">
        <v>0.0</v>
      </c>
      <c r="BB291" s="316">
        <v>444.0</v>
      </c>
      <c r="BC291" s="132" t="s">
        <v>178</v>
      </c>
      <c r="BD291" s="132" t="s">
        <v>178</v>
      </c>
      <c r="BE291" s="132" t="s">
        <v>178</v>
      </c>
      <c r="BF291" s="156"/>
      <c r="BG291" s="83">
        <v>1178091.0</v>
      </c>
      <c r="BH291" s="112">
        <v>8.0</v>
      </c>
      <c r="BI291" s="98" t="s">
        <v>155</v>
      </c>
      <c r="BJ291" s="98" t="str">
        <f t="shared" si="1"/>
        <v>NÃO</v>
      </c>
      <c r="BK291" s="98" t="str">
        <f t="shared" si="2"/>
        <v>NÃO</v>
      </c>
    </row>
    <row r="292" ht="15.75" customHeight="1">
      <c r="A292" s="111" t="s">
        <v>383</v>
      </c>
      <c r="B292" s="136" t="s">
        <v>1227</v>
      </c>
      <c r="C292" s="83" t="s">
        <v>68</v>
      </c>
      <c r="D292" s="83">
        <v>1178050.0</v>
      </c>
      <c r="E292" s="83"/>
      <c r="F292" s="83">
        <v>2.9426537E7</v>
      </c>
      <c r="G292" s="147" t="s">
        <v>4601</v>
      </c>
      <c r="H292" s="91" t="s">
        <v>1229</v>
      </c>
      <c r="I292" s="114" t="s">
        <v>149</v>
      </c>
      <c r="J292" s="83" t="s">
        <v>150</v>
      </c>
      <c r="K292" s="83" t="s">
        <v>151</v>
      </c>
      <c r="L292" s="83" t="s">
        <v>152</v>
      </c>
      <c r="M292" s="82" t="s">
        <v>4602</v>
      </c>
      <c r="N292" s="82" t="s">
        <v>4603</v>
      </c>
      <c r="O292" s="82" t="s">
        <v>4604</v>
      </c>
      <c r="P292" s="82" t="s">
        <v>4605</v>
      </c>
      <c r="Q292" s="82"/>
      <c r="R292" s="82"/>
      <c r="S292" s="82" t="s">
        <v>4606</v>
      </c>
      <c r="T292" s="138">
        <v>6.0</v>
      </c>
      <c r="U292" s="352">
        <v>6.0</v>
      </c>
      <c r="V292" s="106">
        <v>0.0</v>
      </c>
      <c r="W292" s="107">
        <v>0.0</v>
      </c>
      <c r="X292" s="107">
        <v>0.0</v>
      </c>
      <c r="Y292" s="107">
        <v>0.0</v>
      </c>
      <c r="Z292" s="80">
        <v>0.0</v>
      </c>
      <c r="AA292" s="140">
        <v>0.0</v>
      </c>
      <c r="AB292" s="109">
        <v>0.0</v>
      </c>
      <c r="AC292" s="109">
        <v>0.0</v>
      </c>
      <c r="AD292" s="141">
        <v>0.0</v>
      </c>
      <c r="AE292" s="80">
        <v>0.0</v>
      </c>
      <c r="AF292" s="140">
        <v>103.0</v>
      </c>
      <c r="AG292" s="109">
        <v>104.0</v>
      </c>
      <c r="AH292" s="109">
        <v>29.0</v>
      </c>
      <c r="AI292" s="141">
        <v>150.0</v>
      </c>
      <c r="AJ292" s="80">
        <v>386.0</v>
      </c>
      <c r="AK292" s="140">
        <v>0.0</v>
      </c>
      <c r="AL292" s="109">
        <v>0.0</v>
      </c>
      <c r="AM292" s="141">
        <v>0.0</v>
      </c>
      <c r="AN292" s="80">
        <v>0.0</v>
      </c>
      <c r="AO292" s="140">
        <v>0.0</v>
      </c>
      <c r="AP292" s="109">
        <v>0.0</v>
      </c>
      <c r="AQ292" s="109">
        <v>90.0</v>
      </c>
      <c r="AR292" s="80">
        <v>90.0</v>
      </c>
      <c r="AS292" s="110">
        <v>0.0</v>
      </c>
      <c r="AT292" s="110">
        <v>0.0</v>
      </c>
      <c r="AU292" s="110">
        <v>0.0</v>
      </c>
      <c r="AV292" s="142">
        <v>0.0</v>
      </c>
      <c r="AW292" s="80">
        <v>0.0</v>
      </c>
      <c r="AX292" s="113">
        <v>476.0</v>
      </c>
      <c r="AY292" s="117">
        <v>357.0</v>
      </c>
      <c r="AZ292" s="328">
        <v>119.0</v>
      </c>
      <c r="BA292" s="315">
        <v>0.0</v>
      </c>
      <c r="BB292" s="316">
        <v>476.0</v>
      </c>
      <c r="BC292" s="132" t="s">
        <v>178</v>
      </c>
      <c r="BD292" s="132" t="s">
        <v>178</v>
      </c>
      <c r="BE292" s="132" t="s">
        <v>178</v>
      </c>
      <c r="BF292" s="123"/>
      <c r="BG292" s="83">
        <v>1178050.0</v>
      </c>
      <c r="BH292" s="98">
        <v>6.0</v>
      </c>
      <c r="BI292" s="98" t="s">
        <v>155</v>
      </c>
      <c r="BJ292" s="98" t="str">
        <f t="shared" si="1"/>
        <v>INTEGRAL</v>
      </c>
      <c r="BK292" s="98" t="str">
        <f t="shared" si="2"/>
        <v>NÃO</v>
      </c>
    </row>
    <row r="293" ht="15.75" customHeight="1">
      <c r="A293" s="111" t="s">
        <v>383</v>
      </c>
      <c r="B293" s="83" t="s">
        <v>1227</v>
      </c>
      <c r="C293" s="83" t="s">
        <v>68</v>
      </c>
      <c r="D293" s="83">
        <v>1116039.0</v>
      </c>
      <c r="E293" s="83"/>
      <c r="F293" s="83">
        <v>2.9121809E7</v>
      </c>
      <c r="G293" s="187" t="s">
        <v>2274</v>
      </c>
      <c r="H293" s="91" t="s">
        <v>4610</v>
      </c>
      <c r="I293" s="114" t="s">
        <v>149</v>
      </c>
      <c r="J293" s="83" t="s">
        <v>150</v>
      </c>
      <c r="K293" s="83" t="s">
        <v>151</v>
      </c>
      <c r="L293" s="83" t="s">
        <v>230</v>
      </c>
      <c r="M293" s="82" t="s">
        <v>4611</v>
      </c>
      <c r="N293" s="82" t="s">
        <v>4612</v>
      </c>
      <c r="O293" s="82" t="s">
        <v>4613</v>
      </c>
      <c r="P293" s="82"/>
      <c r="Q293" s="82"/>
      <c r="R293" s="82"/>
      <c r="S293" s="82" t="s">
        <v>4614</v>
      </c>
      <c r="T293" s="138">
        <v>8.0</v>
      </c>
      <c r="U293" s="331" t="s">
        <v>4615</v>
      </c>
      <c r="V293" s="106">
        <v>0.0</v>
      </c>
      <c r="W293" s="107">
        <v>0.0</v>
      </c>
      <c r="X293" s="107">
        <v>0.0</v>
      </c>
      <c r="Y293" s="107">
        <v>0.0</v>
      </c>
      <c r="Z293" s="80">
        <v>0.0</v>
      </c>
      <c r="AA293" s="140">
        <v>0.0</v>
      </c>
      <c r="AB293" s="109">
        <v>0.0</v>
      </c>
      <c r="AC293" s="109">
        <v>0.0</v>
      </c>
      <c r="AD293" s="141">
        <v>0.0</v>
      </c>
      <c r="AE293" s="80">
        <v>0.0</v>
      </c>
      <c r="AF293" s="140">
        <v>0.0</v>
      </c>
      <c r="AG293" s="109">
        <v>0.0</v>
      </c>
      <c r="AH293" s="109">
        <v>0.0</v>
      </c>
      <c r="AI293" s="141">
        <v>0.0</v>
      </c>
      <c r="AJ293" s="80">
        <v>0.0</v>
      </c>
      <c r="AK293" s="140">
        <v>0.0</v>
      </c>
      <c r="AL293" s="109">
        <v>0.0</v>
      </c>
      <c r="AM293" s="141">
        <v>0.0</v>
      </c>
      <c r="AN293" s="80">
        <v>0.0</v>
      </c>
      <c r="AO293" s="140">
        <v>0.0</v>
      </c>
      <c r="AP293" s="109">
        <v>0.0</v>
      </c>
      <c r="AQ293" s="109">
        <v>0.0</v>
      </c>
      <c r="AR293" s="80">
        <v>0.0</v>
      </c>
      <c r="AS293" s="110">
        <v>104.0</v>
      </c>
      <c r="AT293" s="110">
        <v>31.0</v>
      </c>
      <c r="AU293" s="110">
        <v>50.0</v>
      </c>
      <c r="AV293" s="142">
        <v>0.0</v>
      </c>
      <c r="AW293" s="80">
        <v>185.0</v>
      </c>
      <c r="AX293" s="113">
        <v>185.0</v>
      </c>
      <c r="AY293" s="117">
        <v>135.0</v>
      </c>
      <c r="AZ293" s="328">
        <v>50.0</v>
      </c>
      <c r="BA293" s="315">
        <v>0.0</v>
      </c>
      <c r="BB293" s="316">
        <v>185.0</v>
      </c>
      <c r="BC293" s="132" t="s">
        <v>178</v>
      </c>
      <c r="BD293" s="132" t="s">
        <v>522</v>
      </c>
      <c r="BE293" s="132" t="s">
        <v>178</v>
      </c>
      <c r="BF293" s="123"/>
      <c r="BG293" s="83">
        <v>1116039.0</v>
      </c>
      <c r="BH293" s="112">
        <v>6.0</v>
      </c>
      <c r="BI293" s="98" t="s">
        <v>155</v>
      </c>
      <c r="BJ293" s="98" t="str">
        <f t="shared" si="1"/>
        <v>NÃO</v>
      </c>
      <c r="BK293" s="98" t="str">
        <f t="shared" si="2"/>
        <v>PROFISSIONAL</v>
      </c>
    </row>
    <row r="294" ht="15.75" customHeight="1">
      <c r="A294" s="111" t="s">
        <v>383</v>
      </c>
      <c r="B294" s="83" t="s">
        <v>1227</v>
      </c>
      <c r="C294" s="83" t="s">
        <v>164</v>
      </c>
      <c r="D294" s="83">
        <v>1178050.0</v>
      </c>
      <c r="E294" s="83">
        <v>1178605.0</v>
      </c>
      <c r="F294" s="83"/>
      <c r="G294" s="119" t="s">
        <v>4618</v>
      </c>
      <c r="H294" s="91" t="s">
        <v>1234</v>
      </c>
      <c r="I294" s="114" t="s">
        <v>149</v>
      </c>
      <c r="J294" s="83" t="s">
        <v>456</v>
      </c>
      <c r="K294" s="83" t="s">
        <v>168</v>
      </c>
      <c r="L294" s="83" t="s">
        <v>169</v>
      </c>
      <c r="M294" s="82" t="s">
        <v>4602</v>
      </c>
      <c r="N294" s="82" t="s">
        <v>4603</v>
      </c>
      <c r="O294" s="82" t="s">
        <v>4604</v>
      </c>
      <c r="P294" s="82" t="s">
        <v>4605</v>
      </c>
      <c r="Q294" s="82"/>
      <c r="R294" s="82"/>
      <c r="S294" s="82" t="s">
        <v>4606</v>
      </c>
      <c r="T294" s="138">
        <v>3.0</v>
      </c>
      <c r="U294" s="323">
        <v>3.0</v>
      </c>
      <c r="V294" s="106">
        <v>0.0</v>
      </c>
      <c r="W294" s="107">
        <v>0.0</v>
      </c>
      <c r="X294" s="107">
        <v>0.0</v>
      </c>
      <c r="Y294" s="107">
        <v>0.0</v>
      </c>
      <c r="Z294" s="80">
        <v>0.0</v>
      </c>
      <c r="AA294" s="140">
        <v>0.0</v>
      </c>
      <c r="AB294" s="109">
        <v>0.0</v>
      </c>
      <c r="AC294" s="109">
        <v>0.0</v>
      </c>
      <c r="AD294" s="141">
        <v>0.0</v>
      </c>
      <c r="AE294" s="80">
        <v>0.0</v>
      </c>
      <c r="AF294" s="140">
        <v>0.0</v>
      </c>
      <c r="AG294" s="109">
        <v>0.0</v>
      </c>
      <c r="AH294" s="109">
        <v>17.0</v>
      </c>
      <c r="AI294" s="141">
        <v>0.0</v>
      </c>
      <c r="AJ294" s="80">
        <v>17.0</v>
      </c>
      <c r="AK294" s="140">
        <v>0.0</v>
      </c>
      <c r="AL294" s="109">
        <v>0.0</v>
      </c>
      <c r="AM294" s="141">
        <v>0.0</v>
      </c>
      <c r="AN294" s="80">
        <v>0.0</v>
      </c>
      <c r="AO294" s="140">
        <v>0.0</v>
      </c>
      <c r="AP294" s="109">
        <v>0.0</v>
      </c>
      <c r="AQ294" s="109">
        <v>40.0</v>
      </c>
      <c r="AR294" s="80">
        <v>40.0</v>
      </c>
      <c r="AS294" s="110">
        <v>0.0</v>
      </c>
      <c r="AT294" s="110">
        <v>0.0</v>
      </c>
      <c r="AU294" s="110">
        <v>0.0</v>
      </c>
      <c r="AV294" s="142">
        <v>0.0</v>
      </c>
      <c r="AW294" s="80">
        <v>0.0</v>
      </c>
      <c r="AX294" s="113">
        <v>57.0</v>
      </c>
      <c r="AY294" s="117">
        <v>0.0</v>
      </c>
      <c r="AZ294" s="328">
        <v>57.0</v>
      </c>
      <c r="BA294" s="315">
        <v>0.0</v>
      </c>
      <c r="BB294" s="316">
        <v>57.0</v>
      </c>
      <c r="BC294" s="132" t="s">
        <v>373</v>
      </c>
      <c r="BD294" s="132" t="s">
        <v>178</v>
      </c>
      <c r="BE294" s="132" t="s">
        <v>178</v>
      </c>
      <c r="BF294" s="123"/>
      <c r="BG294" s="83">
        <v>1178605.0</v>
      </c>
      <c r="BH294" s="112">
        <v>3.0</v>
      </c>
      <c r="BI294" s="98" t="s">
        <v>155</v>
      </c>
      <c r="BJ294" s="98" t="str">
        <f t="shared" si="1"/>
        <v>NÃO</v>
      </c>
      <c r="BK294" s="98" t="str">
        <f t="shared" si="2"/>
        <v>NÃO</v>
      </c>
    </row>
    <row r="295" ht="15.75" customHeight="1">
      <c r="A295" s="111" t="s">
        <v>383</v>
      </c>
      <c r="B295" s="83" t="s">
        <v>1227</v>
      </c>
      <c r="C295" s="83" t="s">
        <v>164</v>
      </c>
      <c r="D295" s="83">
        <v>1178050.0</v>
      </c>
      <c r="E295" s="83">
        <v>1178608.0</v>
      </c>
      <c r="F295" s="83"/>
      <c r="G295" s="119" t="s">
        <v>4623</v>
      </c>
      <c r="H295" s="91" t="s">
        <v>1234</v>
      </c>
      <c r="I295" s="114" t="s">
        <v>149</v>
      </c>
      <c r="J295" s="83" t="s">
        <v>191</v>
      </c>
      <c r="K295" s="83" t="s">
        <v>151</v>
      </c>
      <c r="L295" s="83" t="s">
        <v>169</v>
      </c>
      <c r="M295" s="82" t="s">
        <v>4602</v>
      </c>
      <c r="N295" s="82" t="s">
        <v>4603</v>
      </c>
      <c r="O295" s="82" t="s">
        <v>4604</v>
      </c>
      <c r="P295" s="82" t="s">
        <v>4605</v>
      </c>
      <c r="Q295" s="82"/>
      <c r="R295" s="82"/>
      <c r="S295" s="82" t="s">
        <v>4606</v>
      </c>
      <c r="T295" s="138">
        <v>3.0</v>
      </c>
      <c r="U295" s="323">
        <v>3.0</v>
      </c>
      <c r="V295" s="106">
        <v>0.0</v>
      </c>
      <c r="W295" s="107">
        <v>0.0</v>
      </c>
      <c r="X295" s="107">
        <v>0.0</v>
      </c>
      <c r="Y295" s="107">
        <v>0.0</v>
      </c>
      <c r="Z295" s="80">
        <v>0.0</v>
      </c>
      <c r="AA295" s="140">
        <v>0.0</v>
      </c>
      <c r="AB295" s="109">
        <v>0.0</v>
      </c>
      <c r="AC295" s="109">
        <v>0.0</v>
      </c>
      <c r="AD295" s="141">
        <v>0.0</v>
      </c>
      <c r="AE295" s="80">
        <v>0.0</v>
      </c>
      <c r="AF295" s="140">
        <v>0.0</v>
      </c>
      <c r="AG295" s="109">
        <v>94.0</v>
      </c>
      <c r="AH295" s="109">
        <v>0.0</v>
      </c>
      <c r="AI295" s="141">
        <v>0.0</v>
      </c>
      <c r="AJ295" s="80">
        <v>94.0</v>
      </c>
      <c r="AK295" s="140">
        <v>0.0</v>
      </c>
      <c r="AL295" s="109">
        <v>0.0</v>
      </c>
      <c r="AM295" s="141">
        <v>0.0</v>
      </c>
      <c r="AN295" s="80">
        <v>0.0</v>
      </c>
      <c r="AO295" s="140">
        <v>0.0</v>
      </c>
      <c r="AP295" s="109">
        <v>0.0</v>
      </c>
      <c r="AQ295" s="109">
        <v>18.0</v>
      </c>
      <c r="AR295" s="80">
        <v>18.0</v>
      </c>
      <c r="AS295" s="110">
        <v>0.0</v>
      </c>
      <c r="AT295" s="110">
        <v>0.0</v>
      </c>
      <c r="AU295" s="110">
        <v>0.0</v>
      </c>
      <c r="AV295" s="142">
        <v>0.0</v>
      </c>
      <c r="AW295" s="80">
        <v>0.0</v>
      </c>
      <c r="AX295" s="113">
        <v>112.0</v>
      </c>
      <c r="AY295" s="117">
        <v>94.0</v>
      </c>
      <c r="AZ295" s="328">
        <v>18.0</v>
      </c>
      <c r="BA295" s="315">
        <v>1.0</v>
      </c>
      <c r="BB295" s="316">
        <v>113.0</v>
      </c>
      <c r="BC295" s="132" t="s">
        <v>373</v>
      </c>
      <c r="BD295" s="132" t="s">
        <v>178</v>
      </c>
      <c r="BE295" s="132" t="s">
        <v>178</v>
      </c>
      <c r="BF295" s="123"/>
      <c r="BG295" s="83">
        <v>1178608.0</v>
      </c>
      <c r="BH295" s="112">
        <v>3.0</v>
      </c>
      <c r="BI295" s="98" t="s">
        <v>155</v>
      </c>
      <c r="BJ295" s="98" t="str">
        <f t="shared" si="1"/>
        <v>NÃO</v>
      </c>
      <c r="BK295" s="98" t="str">
        <f t="shared" si="2"/>
        <v>NÃO</v>
      </c>
    </row>
    <row r="296" ht="15.75" customHeight="1">
      <c r="A296" s="111" t="s">
        <v>383</v>
      </c>
      <c r="B296" s="83" t="s">
        <v>1227</v>
      </c>
      <c r="C296" s="83" t="s">
        <v>164</v>
      </c>
      <c r="D296" s="83">
        <v>1178050.0</v>
      </c>
      <c r="E296" s="83">
        <v>1178606.0</v>
      </c>
      <c r="F296" s="83"/>
      <c r="G296" s="119" t="s">
        <v>4626</v>
      </c>
      <c r="H296" s="91" t="s">
        <v>1232</v>
      </c>
      <c r="I296" s="114" t="s">
        <v>149</v>
      </c>
      <c r="J296" s="136" t="s">
        <v>315</v>
      </c>
      <c r="K296" s="83" t="s">
        <v>168</v>
      </c>
      <c r="L296" s="83" t="s">
        <v>169</v>
      </c>
      <c r="M296" s="82" t="s">
        <v>4602</v>
      </c>
      <c r="N296" s="82" t="s">
        <v>4603</v>
      </c>
      <c r="O296" s="82" t="s">
        <v>4604</v>
      </c>
      <c r="P296" s="82" t="s">
        <v>4605</v>
      </c>
      <c r="Q296" s="82"/>
      <c r="R296" s="82"/>
      <c r="S296" s="82" t="s">
        <v>4606</v>
      </c>
      <c r="T296" s="138">
        <v>6.0</v>
      </c>
      <c r="U296" s="323">
        <v>6.0</v>
      </c>
      <c r="V296" s="106">
        <v>0.0</v>
      </c>
      <c r="W296" s="107">
        <v>0.0</v>
      </c>
      <c r="X296" s="107">
        <v>0.0</v>
      </c>
      <c r="Y296" s="107">
        <v>0.0</v>
      </c>
      <c r="Z296" s="80">
        <v>0.0</v>
      </c>
      <c r="AA296" s="140">
        <v>0.0</v>
      </c>
      <c r="AB296" s="109">
        <v>0.0</v>
      </c>
      <c r="AC296" s="109">
        <v>0.0</v>
      </c>
      <c r="AD296" s="141">
        <v>0.0</v>
      </c>
      <c r="AE296" s="80">
        <v>0.0</v>
      </c>
      <c r="AF296" s="140">
        <v>0.0</v>
      </c>
      <c r="AG296" s="109">
        <v>0.0</v>
      </c>
      <c r="AH296" s="109">
        <v>42.0</v>
      </c>
      <c r="AI296" s="141">
        <v>0.0</v>
      </c>
      <c r="AJ296" s="80">
        <v>42.0</v>
      </c>
      <c r="AK296" s="140">
        <v>0.0</v>
      </c>
      <c r="AL296" s="109">
        <v>0.0</v>
      </c>
      <c r="AM296" s="141">
        <v>0.0</v>
      </c>
      <c r="AN296" s="80">
        <v>0.0</v>
      </c>
      <c r="AO296" s="140">
        <v>0.0</v>
      </c>
      <c r="AP296" s="109">
        <v>0.0</v>
      </c>
      <c r="AQ296" s="109">
        <v>85.0</v>
      </c>
      <c r="AR296" s="80">
        <v>85.0</v>
      </c>
      <c r="AS296" s="110">
        <v>0.0</v>
      </c>
      <c r="AT296" s="110">
        <v>0.0</v>
      </c>
      <c r="AU296" s="110">
        <v>0.0</v>
      </c>
      <c r="AV296" s="142">
        <v>0.0</v>
      </c>
      <c r="AW296" s="80">
        <v>0.0</v>
      </c>
      <c r="AX296" s="113">
        <v>127.0</v>
      </c>
      <c r="AY296" s="117">
        <v>0.0</v>
      </c>
      <c r="AZ296" s="328">
        <v>127.0</v>
      </c>
      <c r="BA296" s="315">
        <v>0.0</v>
      </c>
      <c r="BB296" s="316">
        <v>127.0</v>
      </c>
      <c r="BC296" s="132" t="s">
        <v>373</v>
      </c>
      <c r="BD296" s="132" t="s">
        <v>178</v>
      </c>
      <c r="BE296" s="132" t="s">
        <v>178</v>
      </c>
      <c r="BF296" s="123"/>
      <c r="BG296" s="83">
        <v>1178606.0</v>
      </c>
      <c r="BH296" s="112">
        <v>6.0</v>
      </c>
      <c r="BI296" s="98" t="s">
        <v>155</v>
      </c>
      <c r="BJ296" s="98" t="str">
        <f t="shared" si="1"/>
        <v>NÃO</v>
      </c>
      <c r="BK296" s="98" t="str">
        <f t="shared" si="2"/>
        <v>NÃO</v>
      </c>
    </row>
    <row r="297" ht="15.75" customHeight="1">
      <c r="A297" s="111" t="s">
        <v>383</v>
      </c>
      <c r="B297" s="83" t="s">
        <v>1236</v>
      </c>
      <c r="C297" s="83" t="s">
        <v>68</v>
      </c>
      <c r="D297" s="83">
        <v>1179117.0</v>
      </c>
      <c r="E297" s="83"/>
      <c r="F297" s="83">
        <v>2.9399238E7</v>
      </c>
      <c r="G297" s="114" t="s">
        <v>4634</v>
      </c>
      <c r="H297" s="91" t="s">
        <v>4635</v>
      </c>
      <c r="I297" s="114" t="s">
        <v>1239</v>
      </c>
      <c r="J297" s="83" t="s">
        <v>839</v>
      </c>
      <c r="K297" s="83" t="s">
        <v>151</v>
      </c>
      <c r="L297" s="83" t="s">
        <v>76</v>
      </c>
      <c r="M297" s="82" t="s">
        <v>4636</v>
      </c>
      <c r="N297" s="82" t="s">
        <v>4637</v>
      </c>
      <c r="O297" s="82"/>
      <c r="P297" s="82"/>
      <c r="Q297" s="82"/>
      <c r="R297" s="82"/>
      <c r="S297" s="82" t="s">
        <v>4638</v>
      </c>
      <c r="T297" s="138">
        <v>6.0</v>
      </c>
      <c r="U297" s="331" t="s">
        <v>4639</v>
      </c>
      <c r="V297" s="106">
        <v>0.0</v>
      </c>
      <c r="W297" s="107">
        <v>0.0</v>
      </c>
      <c r="X297" s="107">
        <v>0.0</v>
      </c>
      <c r="Y297" s="107">
        <v>0.0</v>
      </c>
      <c r="Z297" s="80">
        <v>0.0</v>
      </c>
      <c r="AA297" s="140">
        <v>0.0</v>
      </c>
      <c r="AB297" s="109">
        <v>0.0</v>
      </c>
      <c r="AC297" s="109">
        <v>0.0</v>
      </c>
      <c r="AD297" s="141">
        <v>0.0</v>
      </c>
      <c r="AE297" s="80">
        <v>0.0</v>
      </c>
      <c r="AF297" s="140">
        <v>119.0</v>
      </c>
      <c r="AG297" s="109">
        <v>129.0</v>
      </c>
      <c r="AH297" s="109">
        <v>0.0</v>
      </c>
      <c r="AI297" s="141">
        <v>39.0</v>
      </c>
      <c r="AJ297" s="80">
        <v>287.0</v>
      </c>
      <c r="AK297" s="140">
        <v>0.0</v>
      </c>
      <c r="AL297" s="109">
        <v>0.0</v>
      </c>
      <c r="AM297" s="141">
        <v>0.0</v>
      </c>
      <c r="AN297" s="80">
        <v>0.0</v>
      </c>
      <c r="AO297" s="140">
        <v>0.0</v>
      </c>
      <c r="AP297" s="109">
        <v>0.0</v>
      </c>
      <c r="AQ297" s="109">
        <v>1.0</v>
      </c>
      <c r="AR297" s="80">
        <v>1.0</v>
      </c>
      <c r="AS297" s="110">
        <v>0.0</v>
      </c>
      <c r="AT297" s="110">
        <v>0.0</v>
      </c>
      <c r="AU297" s="110">
        <v>0.0</v>
      </c>
      <c r="AV297" s="142">
        <v>0.0</v>
      </c>
      <c r="AW297" s="80">
        <v>0.0</v>
      </c>
      <c r="AX297" s="113">
        <v>288.0</v>
      </c>
      <c r="AY297" s="117">
        <v>287.0</v>
      </c>
      <c r="AZ297" s="328">
        <v>1.0</v>
      </c>
      <c r="BA297" s="315">
        <v>0.0</v>
      </c>
      <c r="BB297" s="316">
        <v>288.0</v>
      </c>
      <c r="BC297" s="132" t="s">
        <v>373</v>
      </c>
      <c r="BD297" s="132" t="s">
        <v>178</v>
      </c>
      <c r="BE297" s="132" t="s">
        <v>178</v>
      </c>
      <c r="BF297" s="123"/>
      <c r="BG297" s="83">
        <v>1179117.0</v>
      </c>
      <c r="BH297" s="112">
        <v>6.0</v>
      </c>
      <c r="BI297" s="98" t="s">
        <v>162</v>
      </c>
      <c r="BJ297" s="98" t="str">
        <f t="shared" si="1"/>
        <v>INTEGRAL</v>
      </c>
      <c r="BK297" s="98" t="str">
        <f t="shared" si="2"/>
        <v>NÃO</v>
      </c>
    </row>
    <row r="298" ht="15.75" customHeight="1">
      <c r="A298" s="111" t="s">
        <v>383</v>
      </c>
      <c r="B298" s="83" t="s">
        <v>1236</v>
      </c>
      <c r="C298" s="83" t="s">
        <v>68</v>
      </c>
      <c r="D298" s="83">
        <v>1178079.0</v>
      </c>
      <c r="E298" s="83"/>
      <c r="F298" s="83">
        <v>2.9432154E7</v>
      </c>
      <c r="G298" s="153" t="s">
        <v>4644</v>
      </c>
      <c r="H298" s="91" t="s">
        <v>1242</v>
      </c>
      <c r="I298" s="298" t="s">
        <v>149</v>
      </c>
      <c r="J298" s="83" t="s">
        <v>150</v>
      </c>
      <c r="K298" s="83" t="s">
        <v>151</v>
      </c>
      <c r="L298" s="83" t="s">
        <v>76</v>
      </c>
      <c r="M298" s="82" t="s">
        <v>4645</v>
      </c>
      <c r="N298" s="82" t="s">
        <v>4646</v>
      </c>
      <c r="O298" s="82" t="s">
        <v>4647</v>
      </c>
      <c r="P298" s="82" t="s">
        <v>4648</v>
      </c>
      <c r="Q298" s="82"/>
      <c r="R298" s="82"/>
      <c r="S298" s="82" t="s">
        <v>4561</v>
      </c>
      <c r="T298" s="138">
        <v>8.0</v>
      </c>
      <c r="U298" s="339" t="s">
        <v>4649</v>
      </c>
      <c r="V298" s="106">
        <v>0.0</v>
      </c>
      <c r="W298" s="107">
        <v>0.0</v>
      </c>
      <c r="X298" s="107">
        <v>0.0</v>
      </c>
      <c r="Y298" s="107">
        <v>0.0</v>
      </c>
      <c r="Z298" s="80">
        <v>0.0</v>
      </c>
      <c r="AA298" s="140">
        <v>0.0</v>
      </c>
      <c r="AB298" s="109">
        <v>0.0</v>
      </c>
      <c r="AC298" s="109">
        <v>0.0</v>
      </c>
      <c r="AD298" s="141">
        <v>0.0</v>
      </c>
      <c r="AE298" s="80">
        <v>0.0</v>
      </c>
      <c r="AF298" s="140">
        <v>219.0</v>
      </c>
      <c r="AG298" s="109">
        <v>161.0</v>
      </c>
      <c r="AH298" s="109">
        <v>0.0</v>
      </c>
      <c r="AI298" s="141">
        <v>69.0</v>
      </c>
      <c r="AJ298" s="80">
        <v>449.0</v>
      </c>
      <c r="AK298" s="140">
        <v>0.0</v>
      </c>
      <c r="AL298" s="109">
        <v>0.0</v>
      </c>
      <c r="AM298" s="141">
        <v>0.0</v>
      </c>
      <c r="AN298" s="80">
        <v>0.0</v>
      </c>
      <c r="AO298" s="140">
        <v>0.0</v>
      </c>
      <c r="AP298" s="109">
        <v>0.0</v>
      </c>
      <c r="AQ298" s="109">
        <v>24.0</v>
      </c>
      <c r="AR298" s="80">
        <v>24.0</v>
      </c>
      <c r="AS298" s="110">
        <v>0.0</v>
      </c>
      <c r="AT298" s="110">
        <v>0.0</v>
      </c>
      <c r="AU298" s="110">
        <v>0.0</v>
      </c>
      <c r="AV298" s="142">
        <v>0.0</v>
      </c>
      <c r="AW298" s="80">
        <v>0.0</v>
      </c>
      <c r="AX298" s="113">
        <v>473.0</v>
      </c>
      <c r="AY298" s="117">
        <v>449.0</v>
      </c>
      <c r="AZ298" s="328">
        <v>24.0</v>
      </c>
      <c r="BA298" s="315">
        <v>0.0</v>
      </c>
      <c r="BB298" s="316">
        <v>473.0</v>
      </c>
      <c r="BC298" s="132" t="s">
        <v>178</v>
      </c>
      <c r="BD298" s="132" t="s">
        <v>178</v>
      </c>
      <c r="BE298" s="132" t="s">
        <v>178</v>
      </c>
      <c r="BF298" s="156"/>
      <c r="BG298" s="83">
        <v>1178079.0</v>
      </c>
      <c r="BH298" s="98">
        <v>16.0</v>
      </c>
      <c r="BI298" s="98" t="s">
        <v>4650</v>
      </c>
      <c r="BJ298" s="98" t="str">
        <f t="shared" si="1"/>
        <v>INTEGRAL</v>
      </c>
      <c r="BK298" s="98" t="str">
        <f t="shared" si="2"/>
        <v>NÃO</v>
      </c>
    </row>
    <row r="299" ht="15.75" customHeight="1">
      <c r="A299" s="111" t="s">
        <v>383</v>
      </c>
      <c r="B299" s="83" t="s">
        <v>1236</v>
      </c>
      <c r="C299" s="83" t="s">
        <v>164</v>
      </c>
      <c r="D299" s="83">
        <v>1179117.0</v>
      </c>
      <c r="E299" s="83">
        <v>1178609.0</v>
      </c>
      <c r="F299" s="83"/>
      <c r="G299" s="114" t="s">
        <v>1244</v>
      </c>
      <c r="H299" s="91" t="s">
        <v>1245</v>
      </c>
      <c r="I299" s="114" t="s">
        <v>1246</v>
      </c>
      <c r="J299" s="83" t="s">
        <v>464</v>
      </c>
      <c r="K299" s="83" t="s">
        <v>168</v>
      </c>
      <c r="L299" s="83" t="s">
        <v>169</v>
      </c>
      <c r="M299" s="82" t="s">
        <v>4636</v>
      </c>
      <c r="N299" s="82" t="s">
        <v>4637</v>
      </c>
      <c r="O299" s="82"/>
      <c r="P299" s="82"/>
      <c r="Q299" s="82"/>
      <c r="R299" s="82"/>
      <c r="S299" s="82" t="s">
        <v>4638</v>
      </c>
      <c r="T299" s="138">
        <v>3.0</v>
      </c>
      <c r="U299" s="389">
        <v>3.0</v>
      </c>
      <c r="V299" s="106">
        <v>0.0</v>
      </c>
      <c r="W299" s="107">
        <v>0.0</v>
      </c>
      <c r="X299" s="107">
        <v>0.0</v>
      </c>
      <c r="Y299" s="107">
        <v>0.0</v>
      </c>
      <c r="Z299" s="80">
        <v>0.0</v>
      </c>
      <c r="AA299" s="140">
        <v>0.0</v>
      </c>
      <c r="AB299" s="109">
        <v>0.0</v>
      </c>
      <c r="AC299" s="109">
        <v>0.0</v>
      </c>
      <c r="AD299" s="141">
        <v>0.0</v>
      </c>
      <c r="AE299" s="80">
        <v>0.0</v>
      </c>
      <c r="AF299" s="140">
        <v>66.0</v>
      </c>
      <c r="AG299" s="109">
        <v>51.0</v>
      </c>
      <c r="AH299" s="109">
        <v>0.0</v>
      </c>
      <c r="AI299" s="141">
        <v>0.0</v>
      </c>
      <c r="AJ299" s="80">
        <v>117.0</v>
      </c>
      <c r="AK299" s="140">
        <v>0.0</v>
      </c>
      <c r="AL299" s="109">
        <v>0.0</v>
      </c>
      <c r="AM299" s="141">
        <v>0.0</v>
      </c>
      <c r="AN299" s="80">
        <v>0.0</v>
      </c>
      <c r="AO299" s="140">
        <v>0.0</v>
      </c>
      <c r="AP299" s="109">
        <v>0.0</v>
      </c>
      <c r="AQ299" s="109">
        <v>19.0</v>
      </c>
      <c r="AR299" s="80">
        <v>19.0</v>
      </c>
      <c r="AS299" s="110">
        <v>0.0</v>
      </c>
      <c r="AT299" s="110">
        <v>0.0</v>
      </c>
      <c r="AU299" s="110">
        <v>0.0</v>
      </c>
      <c r="AV299" s="142">
        <v>0.0</v>
      </c>
      <c r="AW299" s="80">
        <v>0.0</v>
      </c>
      <c r="AX299" s="113">
        <v>136.0</v>
      </c>
      <c r="AY299" s="117">
        <v>117.0</v>
      </c>
      <c r="AZ299" s="328">
        <v>19.0</v>
      </c>
      <c r="BA299" s="315">
        <v>0.0</v>
      </c>
      <c r="BB299" s="316">
        <v>136.0</v>
      </c>
      <c r="BC299" s="132" t="s">
        <v>373</v>
      </c>
      <c r="BD299" s="132" t="s">
        <v>178</v>
      </c>
      <c r="BE299" s="132" t="s">
        <v>178</v>
      </c>
      <c r="BF299" s="123"/>
      <c r="BG299" s="83">
        <v>1178609.0</v>
      </c>
      <c r="BH299" s="112">
        <v>3.0</v>
      </c>
      <c r="BI299" s="98" t="s">
        <v>155</v>
      </c>
      <c r="BJ299" s="98" t="str">
        <f t="shared" si="1"/>
        <v>NÃO</v>
      </c>
      <c r="BK299" s="98" t="str">
        <f t="shared" si="2"/>
        <v>NÃO</v>
      </c>
    </row>
    <row r="300" ht="15.75" customHeight="1">
      <c r="A300" s="111" t="s">
        <v>383</v>
      </c>
      <c r="B300" s="83" t="s">
        <v>1236</v>
      </c>
      <c r="C300" s="83" t="s">
        <v>164</v>
      </c>
      <c r="D300" s="83">
        <v>1179292.0</v>
      </c>
      <c r="E300" s="83">
        <v>1179322.0</v>
      </c>
      <c r="F300" s="83"/>
      <c r="G300" s="114" t="s">
        <v>1247</v>
      </c>
      <c r="H300" s="91" t="s">
        <v>1248</v>
      </c>
      <c r="I300" s="298" t="s">
        <v>149</v>
      </c>
      <c r="J300" s="136" t="s">
        <v>784</v>
      </c>
      <c r="K300" s="83" t="s">
        <v>168</v>
      </c>
      <c r="L300" s="83" t="s">
        <v>169</v>
      </c>
      <c r="M300" s="82" t="s">
        <v>4289</v>
      </c>
      <c r="N300" s="82" t="s">
        <v>4290</v>
      </c>
      <c r="O300" s="82" t="s">
        <v>4291</v>
      </c>
      <c r="P300" s="82" t="s">
        <v>4292</v>
      </c>
      <c r="Q300" s="82" t="s">
        <v>4293</v>
      </c>
      <c r="R300" s="82" t="s">
        <v>4294</v>
      </c>
      <c r="S300" s="82" t="s">
        <v>4295</v>
      </c>
      <c r="T300" s="138">
        <v>2.0</v>
      </c>
      <c r="U300" s="323">
        <v>2.0</v>
      </c>
      <c r="V300" s="106">
        <v>0.0</v>
      </c>
      <c r="W300" s="107">
        <v>0.0</v>
      </c>
      <c r="X300" s="107">
        <v>0.0</v>
      </c>
      <c r="Y300" s="107">
        <v>0.0</v>
      </c>
      <c r="Z300" s="80">
        <v>0.0</v>
      </c>
      <c r="AA300" s="140">
        <v>0.0</v>
      </c>
      <c r="AB300" s="109">
        <v>0.0</v>
      </c>
      <c r="AC300" s="109">
        <v>0.0</v>
      </c>
      <c r="AD300" s="141">
        <v>0.0</v>
      </c>
      <c r="AE300" s="80">
        <v>0.0</v>
      </c>
      <c r="AF300" s="140">
        <v>11.0</v>
      </c>
      <c r="AG300" s="109">
        <v>28.0</v>
      </c>
      <c r="AH300" s="109">
        <v>0.0</v>
      </c>
      <c r="AI300" s="141">
        <v>0.0</v>
      </c>
      <c r="AJ300" s="80">
        <v>39.0</v>
      </c>
      <c r="AK300" s="140">
        <v>0.0</v>
      </c>
      <c r="AL300" s="109">
        <v>0.0</v>
      </c>
      <c r="AM300" s="141">
        <v>0.0</v>
      </c>
      <c r="AN300" s="80">
        <v>0.0</v>
      </c>
      <c r="AO300" s="140">
        <v>0.0</v>
      </c>
      <c r="AP300" s="109">
        <v>0.0</v>
      </c>
      <c r="AQ300" s="109">
        <v>0.0</v>
      </c>
      <c r="AR300" s="80">
        <v>0.0</v>
      </c>
      <c r="AS300" s="110">
        <v>0.0</v>
      </c>
      <c r="AT300" s="110">
        <v>0.0</v>
      </c>
      <c r="AU300" s="110">
        <v>0.0</v>
      </c>
      <c r="AV300" s="142">
        <v>0.0</v>
      </c>
      <c r="AW300" s="80">
        <v>0.0</v>
      </c>
      <c r="AX300" s="113">
        <v>39.0</v>
      </c>
      <c r="AY300" s="117">
        <v>39.0</v>
      </c>
      <c r="AZ300" s="328">
        <v>0.0</v>
      </c>
      <c r="BA300" s="315">
        <v>0.0</v>
      </c>
      <c r="BB300" s="316">
        <v>39.0</v>
      </c>
      <c r="BC300" s="132" t="s">
        <v>178</v>
      </c>
      <c r="BD300" s="143" t="s">
        <v>227</v>
      </c>
      <c r="BE300" s="132" t="s">
        <v>178</v>
      </c>
      <c r="BF300" s="123"/>
      <c r="BG300" s="83">
        <v>1179322.0</v>
      </c>
      <c r="BH300" s="112">
        <v>2.0</v>
      </c>
      <c r="BI300" s="98" t="s">
        <v>155</v>
      </c>
      <c r="BJ300" s="98" t="str">
        <f t="shared" si="1"/>
        <v>NÃO</v>
      </c>
      <c r="BK300" s="98" t="str">
        <f t="shared" si="2"/>
        <v>NÃO</v>
      </c>
    </row>
    <row r="301" ht="15.75" customHeight="1">
      <c r="A301" s="111" t="s">
        <v>383</v>
      </c>
      <c r="B301" s="83" t="s">
        <v>1249</v>
      </c>
      <c r="C301" s="83" t="s">
        <v>68</v>
      </c>
      <c r="D301" s="83">
        <v>1115997.0</v>
      </c>
      <c r="E301" s="83"/>
      <c r="F301" s="83">
        <v>2.9142229E7</v>
      </c>
      <c r="G301" s="114" t="s">
        <v>4660</v>
      </c>
      <c r="H301" s="91" t="s">
        <v>4661</v>
      </c>
      <c r="I301" s="114" t="s">
        <v>149</v>
      </c>
      <c r="J301" s="136" t="s">
        <v>150</v>
      </c>
      <c r="K301" s="83" t="s">
        <v>151</v>
      </c>
      <c r="L301" s="83" t="s">
        <v>76</v>
      </c>
      <c r="M301" s="82" t="s">
        <v>4662</v>
      </c>
      <c r="N301" s="82" t="s">
        <v>4663</v>
      </c>
      <c r="O301" s="82" t="s">
        <v>4664</v>
      </c>
      <c r="P301" s="82" t="s">
        <v>4665</v>
      </c>
      <c r="Q301" s="82"/>
      <c r="R301" s="82"/>
      <c r="S301" s="82" t="s">
        <v>4666</v>
      </c>
      <c r="T301" s="138">
        <v>10.0</v>
      </c>
      <c r="U301" s="331">
        <v>12.0</v>
      </c>
      <c r="V301" s="106">
        <v>0.0</v>
      </c>
      <c r="W301" s="107">
        <v>0.0</v>
      </c>
      <c r="X301" s="107">
        <v>0.0</v>
      </c>
      <c r="Y301" s="107">
        <v>0.0</v>
      </c>
      <c r="Z301" s="80">
        <v>0.0</v>
      </c>
      <c r="AA301" s="140">
        <v>0.0</v>
      </c>
      <c r="AB301" s="109">
        <v>0.0</v>
      </c>
      <c r="AC301" s="109">
        <v>0.0</v>
      </c>
      <c r="AD301" s="141">
        <v>0.0</v>
      </c>
      <c r="AE301" s="80">
        <v>0.0</v>
      </c>
      <c r="AF301" s="140">
        <v>103.0</v>
      </c>
      <c r="AG301" s="109">
        <v>142.0</v>
      </c>
      <c r="AH301" s="109">
        <v>14.0</v>
      </c>
      <c r="AI301" s="141">
        <v>129.0</v>
      </c>
      <c r="AJ301" s="80">
        <v>388.0</v>
      </c>
      <c r="AK301" s="140">
        <v>0.0</v>
      </c>
      <c r="AL301" s="109">
        <v>0.0</v>
      </c>
      <c r="AM301" s="141">
        <v>0.0</v>
      </c>
      <c r="AN301" s="80">
        <v>0.0</v>
      </c>
      <c r="AO301" s="140">
        <v>0.0</v>
      </c>
      <c r="AP301" s="109">
        <v>0.0</v>
      </c>
      <c r="AQ301" s="109">
        <v>85.0</v>
      </c>
      <c r="AR301" s="80">
        <v>85.0</v>
      </c>
      <c r="AS301" s="110">
        <v>95.0</v>
      </c>
      <c r="AT301" s="110">
        <v>0.0</v>
      </c>
      <c r="AU301" s="110">
        <v>0.0</v>
      </c>
      <c r="AV301" s="142">
        <v>0.0</v>
      </c>
      <c r="AW301" s="80">
        <v>95.0</v>
      </c>
      <c r="AX301" s="113">
        <v>568.0</v>
      </c>
      <c r="AY301" s="117">
        <v>469.0</v>
      </c>
      <c r="AZ301" s="328">
        <v>99.0</v>
      </c>
      <c r="BA301" s="315">
        <v>1.0</v>
      </c>
      <c r="BB301" s="316">
        <v>569.0</v>
      </c>
      <c r="BC301" s="132" t="s">
        <v>178</v>
      </c>
      <c r="BD301" s="132" t="s">
        <v>178</v>
      </c>
      <c r="BE301" s="132" t="s">
        <v>178</v>
      </c>
      <c r="BF301" s="156"/>
      <c r="BG301" s="83">
        <v>1115997.0</v>
      </c>
      <c r="BH301" s="112">
        <v>11.0</v>
      </c>
      <c r="BI301" s="98" t="s">
        <v>162</v>
      </c>
      <c r="BJ301" s="98" t="str">
        <f t="shared" si="1"/>
        <v>INTEGRAL</v>
      </c>
      <c r="BK301" s="98" t="str">
        <f t="shared" si="2"/>
        <v>PROFISSIONAL</v>
      </c>
    </row>
    <row r="302" ht="15.75" customHeight="1">
      <c r="A302" s="111" t="s">
        <v>383</v>
      </c>
      <c r="B302" s="83" t="s">
        <v>1253</v>
      </c>
      <c r="C302" s="83" t="s">
        <v>68</v>
      </c>
      <c r="D302" s="83">
        <v>1115814.0</v>
      </c>
      <c r="E302" s="83"/>
      <c r="F302" s="83">
        <v>2.914512E7</v>
      </c>
      <c r="G302" s="119" t="s">
        <v>4671</v>
      </c>
      <c r="H302" s="91" t="s">
        <v>1255</v>
      </c>
      <c r="I302" s="114" t="s">
        <v>1256</v>
      </c>
      <c r="J302" s="83" t="s">
        <v>485</v>
      </c>
      <c r="K302" s="83" t="s">
        <v>151</v>
      </c>
      <c r="L302" s="83" t="s">
        <v>169</v>
      </c>
      <c r="M302" s="82" t="s">
        <v>4673</v>
      </c>
      <c r="N302" s="82" t="s">
        <v>4674</v>
      </c>
      <c r="O302" s="82" t="s">
        <v>4675</v>
      </c>
      <c r="P302" s="82"/>
      <c r="Q302" s="82"/>
      <c r="R302" s="82"/>
      <c r="S302" s="82" t="s">
        <v>4676</v>
      </c>
      <c r="T302" s="138">
        <v>2.0</v>
      </c>
      <c r="U302" s="331">
        <v>6.0</v>
      </c>
      <c r="V302" s="106">
        <v>0.0</v>
      </c>
      <c r="W302" s="107">
        <v>0.0</v>
      </c>
      <c r="X302" s="107">
        <v>0.0</v>
      </c>
      <c r="Y302" s="107">
        <v>0.0</v>
      </c>
      <c r="Z302" s="80">
        <v>0.0</v>
      </c>
      <c r="AA302" s="140">
        <v>0.0</v>
      </c>
      <c r="AB302" s="109">
        <v>0.0</v>
      </c>
      <c r="AC302" s="109">
        <v>0.0</v>
      </c>
      <c r="AD302" s="141">
        <v>0.0</v>
      </c>
      <c r="AE302" s="80">
        <v>0.0</v>
      </c>
      <c r="AF302" s="140">
        <v>70.0</v>
      </c>
      <c r="AG302" s="109">
        <v>67.0</v>
      </c>
      <c r="AH302" s="109">
        <v>14.0</v>
      </c>
      <c r="AI302" s="141">
        <v>0.0</v>
      </c>
      <c r="AJ302" s="80">
        <v>151.0</v>
      </c>
      <c r="AK302" s="140">
        <v>0.0</v>
      </c>
      <c r="AL302" s="109">
        <v>0.0</v>
      </c>
      <c r="AM302" s="141">
        <v>0.0</v>
      </c>
      <c r="AN302" s="80">
        <v>0.0</v>
      </c>
      <c r="AO302" s="140">
        <v>0.0</v>
      </c>
      <c r="AP302" s="109">
        <v>0.0</v>
      </c>
      <c r="AQ302" s="109">
        <v>17.0</v>
      </c>
      <c r="AR302" s="80">
        <v>17.0</v>
      </c>
      <c r="AS302" s="110">
        <v>0.0</v>
      </c>
      <c r="AT302" s="110">
        <v>0.0</v>
      </c>
      <c r="AU302" s="110">
        <v>0.0</v>
      </c>
      <c r="AV302" s="142">
        <v>0.0</v>
      </c>
      <c r="AW302" s="80">
        <v>0.0</v>
      </c>
      <c r="AX302" s="113">
        <v>168.0</v>
      </c>
      <c r="AY302" s="117">
        <v>137.0</v>
      </c>
      <c r="AZ302" s="328">
        <v>31.0</v>
      </c>
      <c r="BA302" s="315">
        <v>0.0</v>
      </c>
      <c r="BB302" s="316">
        <v>168.0</v>
      </c>
      <c r="BC302" s="132" t="s">
        <v>373</v>
      </c>
      <c r="BD302" s="132" t="s">
        <v>178</v>
      </c>
      <c r="BE302" s="132" t="s">
        <v>178</v>
      </c>
      <c r="BF302" s="123"/>
      <c r="BG302" s="83">
        <v>1115814.0</v>
      </c>
      <c r="BH302" s="112">
        <v>2.0</v>
      </c>
      <c r="BI302" s="98" t="s">
        <v>162</v>
      </c>
      <c r="BJ302" s="98" t="str">
        <f t="shared" si="1"/>
        <v>NÃO</v>
      </c>
      <c r="BK302" s="98" t="str">
        <f t="shared" si="2"/>
        <v>NÃO</v>
      </c>
    </row>
    <row r="303" ht="15.75" customHeight="1">
      <c r="A303" s="111" t="s">
        <v>383</v>
      </c>
      <c r="B303" s="83" t="s">
        <v>1253</v>
      </c>
      <c r="C303" s="83" t="s">
        <v>68</v>
      </c>
      <c r="D303" s="83">
        <v>1115776.0</v>
      </c>
      <c r="E303" s="83"/>
      <c r="F303" s="83">
        <v>2.9144302E7</v>
      </c>
      <c r="G303" s="119" t="s">
        <v>1258</v>
      </c>
      <c r="H303" s="91" t="s">
        <v>1259</v>
      </c>
      <c r="I303" s="187" t="s">
        <v>149</v>
      </c>
      <c r="J303" s="83" t="s">
        <v>150</v>
      </c>
      <c r="K303" s="83" t="s">
        <v>151</v>
      </c>
      <c r="L303" s="83" t="s">
        <v>152</v>
      </c>
      <c r="M303" s="82" t="s">
        <v>4681</v>
      </c>
      <c r="N303" s="82" t="s">
        <v>4682</v>
      </c>
      <c r="O303" s="82" t="s">
        <v>4683</v>
      </c>
      <c r="P303" s="82" t="s">
        <v>4684</v>
      </c>
      <c r="Q303" s="82" t="s">
        <v>4685</v>
      </c>
      <c r="R303" s="82" t="s">
        <v>4686</v>
      </c>
      <c r="S303" s="82" t="s">
        <v>4687</v>
      </c>
      <c r="T303" s="138">
        <v>19.0</v>
      </c>
      <c r="U303" s="331">
        <v>19.0</v>
      </c>
      <c r="V303" s="106">
        <v>0.0</v>
      </c>
      <c r="W303" s="107">
        <v>0.0</v>
      </c>
      <c r="X303" s="107">
        <v>0.0</v>
      </c>
      <c r="Y303" s="107">
        <v>0.0</v>
      </c>
      <c r="Z303" s="80">
        <v>0.0</v>
      </c>
      <c r="AA303" s="140">
        <v>0.0</v>
      </c>
      <c r="AB303" s="109">
        <v>0.0</v>
      </c>
      <c r="AC303" s="109">
        <v>0.0</v>
      </c>
      <c r="AD303" s="141">
        <v>0.0</v>
      </c>
      <c r="AE303" s="80">
        <v>0.0</v>
      </c>
      <c r="AF303" s="140">
        <v>197.0</v>
      </c>
      <c r="AG303" s="109">
        <v>317.0</v>
      </c>
      <c r="AH303" s="109">
        <v>132.0</v>
      </c>
      <c r="AI303" s="141">
        <v>93.0</v>
      </c>
      <c r="AJ303" s="80">
        <v>739.0</v>
      </c>
      <c r="AK303" s="140">
        <v>0.0</v>
      </c>
      <c r="AL303" s="109">
        <v>0.0</v>
      </c>
      <c r="AM303" s="141">
        <v>0.0</v>
      </c>
      <c r="AN303" s="80">
        <v>0.0</v>
      </c>
      <c r="AO303" s="140">
        <v>0.0</v>
      </c>
      <c r="AP303" s="109">
        <v>0.0</v>
      </c>
      <c r="AQ303" s="109">
        <v>205.0</v>
      </c>
      <c r="AR303" s="80">
        <v>205.0</v>
      </c>
      <c r="AS303" s="110">
        <v>0.0</v>
      </c>
      <c r="AT303" s="110">
        <v>0.0</v>
      </c>
      <c r="AU303" s="110">
        <v>0.0</v>
      </c>
      <c r="AV303" s="142">
        <v>0.0</v>
      </c>
      <c r="AW303" s="80">
        <v>0.0</v>
      </c>
      <c r="AX303" s="113">
        <v>944.0</v>
      </c>
      <c r="AY303" s="117">
        <v>607.0</v>
      </c>
      <c r="AZ303" s="328">
        <v>337.0</v>
      </c>
      <c r="BA303" s="315">
        <v>3.0</v>
      </c>
      <c r="BB303" s="316">
        <v>947.0</v>
      </c>
      <c r="BC303" s="132" t="s">
        <v>178</v>
      </c>
      <c r="BD303" s="132" t="s">
        <v>178</v>
      </c>
      <c r="BE303" s="132" t="s">
        <v>178</v>
      </c>
      <c r="BF303" s="123"/>
      <c r="BG303" s="83">
        <v>1115776.0</v>
      </c>
      <c r="BH303" s="98">
        <v>19.0</v>
      </c>
      <c r="BI303" s="98" t="s">
        <v>155</v>
      </c>
      <c r="BJ303" s="98" t="str">
        <f t="shared" si="1"/>
        <v>INTEGRAL</v>
      </c>
      <c r="BK303" s="98" t="str">
        <f t="shared" si="2"/>
        <v>NÃO</v>
      </c>
    </row>
    <row r="304" ht="15.75" customHeight="1">
      <c r="A304" s="111" t="s">
        <v>383</v>
      </c>
      <c r="B304" s="83" t="s">
        <v>1253</v>
      </c>
      <c r="C304" s="83" t="s">
        <v>68</v>
      </c>
      <c r="D304" s="83">
        <v>1178326.0</v>
      </c>
      <c r="E304" s="83"/>
      <c r="F304" s="83">
        <v>2.9397693E7</v>
      </c>
      <c r="G304" s="114" t="s">
        <v>1261</v>
      </c>
      <c r="H304" s="91" t="s">
        <v>1262</v>
      </c>
      <c r="I304" s="114" t="s">
        <v>149</v>
      </c>
      <c r="J304" s="83" t="s">
        <v>150</v>
      </c>
      <c r="K304" s="83" t="s">
        <v>151</v>
      </c>
      <c r="L304" s="83" t="s">
        <v>230</v>
      </c>
      <c r="M304" s="82" t="s">
        <v>4691</v>
      </c>
      <c r="N304" s="82" t="s">
        <v>4693</v>
      </c>
      <c r="O304" s="82" t="s">
        <v>4694</v>
      </c>
      <c r="P304" s="82" t="s">
        <v>4695</v>
      </c>
      <c r="Q304" s="82" t="s">
        <v>4696</v>
      </c>
      <c r="R304" s="82" t="s">
        <v>4697</v>
      </c>
      <c r="S304" s="82" t="s">
        <v>4698</v>
      </c>
      <c r="T304" s="138">
        <v>7.0</v>
      </c>
      <c r="U304" s="331" t="s">
        <v>4699</v>
      </c>
      <c r="V304" s="106">
        <v>0.0</v>
      </c>
      <c r="W304" s="107">
        <v>0.0</v>
      </c>
      <c r="X304" s="107">
        <v>0.0</v>
      </c>
      <c r="Y304" s="107">
        <v>0.0</v>
      </c>
      <c r="Z304" s="80">
        <v>0.0</v>
      </c>
      <c r="AA304" s="140">
        <v>0.0</v>
      </c>
      <c r="AB304" s="109">
        <v>0.0</v>
      </c>
      <c r="AC304" s="109">
        <v>0.0</v>
      </c>
      <c r="AD304" s="141">
        <v>0.0</v>
      </c>
      <c r="AE304" s="80">
        <v>0.0</v>
      </c>
      <c r="AF304" s="140">
        <v>0.0</v>
      </c>
      <c r="AG304" s="109">
        <v>0.0</v>
      </c>
      <c r="AH304" s="109">
        <v>0.0</v>
      </c>
      <c r="AI304" s="141">
        <v>0.0</v>
      </c>
      <c r="AJ304" s="80">
        <v>0.0</v>
      </c>
      <c r="AK304" s="140">
        <v>0.0</v>
      </c>
      <c r="AL304" s="109">
        <v>0.0</v>
      </c>
      <c r="AM304" s="141">
        <v>0.0</v>
      </c>
      <c r="AN304" s="80">
        <v>0.0</v>
      </c>
      <c r="AO304" s="140">
        <v>0.0</v>
      </c>
      <c r="AP304" s="109">
        <v>0.0</v>
      </c>
      <c r="AQ304" s="109">
        <v>0.0</v>
      </c>
      <c r="AR304" s="80">
        <v>0.0</v>
      </c>
      <c r="AS304" s="110">
        <v>316.0</v>
      </c>
      <c r="AT304" s="110">
        <v>279.0</v>
      </c>
      <c r="AU304" s="110">
        <v>136.0</v>
      </c>
      <c r="AV304" s="142">
        <v>0.0</v>
      </c>
      <c r="AW304" s="80">
        <v>731.0</v>
      </c>
      <c r="AX304" s="113">
        <v>731.0</v>
      </c>
      <c r="AY304" s="117">
        <v>595.0</v>
      </c>
      <c r="AZ304" s="328">
        <v>136.0</v>
      </c>
      <c r="BA304" s="315">
        <v>0.0</v>
      </c>
      <c r="BB304" s="316">
        <v>731.0</v>
      </c>
      <c r="BC304" s="132" t="s">
        <v>178</v>
      </c>
      <c r="BD304" s="132" t="s">
        <v>779</v>
      </c>
      <c r="BE304" s="132" t="s">
        <v>178</v>
      </c>
      <c r="BF304" s="123"/>
      <c r="BG304" s="83">
        <v>1178326.0</v>
      </c>
      <c r="BH304" s="98">
        <v>17.0</v>
      </c>
      <c r="BI304" s="98" t="s">
        <v>155</v>
      </c>
      <c r="BJ304" s="98" t="str">
        <f t="shared" si="1"/>
        <v>NÃO</v>
      </c>
      <c r="BK304" s="98" t="str">
        <f t="shared" si="2"/>
        <v>PROFISSIONAL</v>
      </c>
    </row>
    <row r="305" ht="15.75" customHeight="1">
      <c r="A305" s="111" t="s">
        <v>383</v>
      </c>
      <c r="B305" s="83" t="s">
        <v>1253</v>
      </c>
      <c r="C305" s="83" t="s">
        <v>164</v>
      </c>
      <c r="D305" s="83">
        <v>1179292.0</v>
      </c>
      <c r="E305" s="83">
        <v>1179351.0</v>
      </c>
      <c r="F305" s="83"/>
      <c r="G305" s="114" t="s">
        <v>1264</v>
      </c>
      <c r="H305" s="91" t="s">
        <v>1265</v>
      </c>
      <c r="I305" s="114" t="s">
        <v>171</v>
      </c>
      <c r="J305" s="83" t="s">
        <v>440</v>
      </c>
      <c r="K305" s="83" t="s">
        <v>168</v>
      </c>
      <c r="L305" s="83" t="s">
        <v>169</v>
      </c>
      <c r="M305" s="82" t="s">
        <v>4289</v>
      </c>
      <c r="N305" s="82" t="s">
        <v>4290</v>
      </c>
      <c r="O305" s="82" t="s">
        <v>4291</v>
      </c>
      <c r="P305" s="82" t="s">
        <v>4292</v>
      </c>
      <c r="Q305" s="82" t="s">
        <v>4293</v>
      </c>
      <c r="R305" s="82" t="s">
        <v>4294</v>
      </c>
      <c r="S305" s="82" t="s">
        <v>4295</v>
      </c>
      <c r="T305" s="138">
        <v>3.0</v>
      </c>
      <c r="U305" s="323">
        <v>3.0</v>
      </c>
      <c r="V305" s="106">
        <v>0.0</v>
      </c>
      <c r="W305" s="107">
        <v>0.0</v>
      </c>
      <c r="X305" s="107">
        <v>0.0</v>
      </c>
      <c r="Y305" s="107">
        <v>0.0</v>
      </c>
      <c r="Z305" s="80">
        <v>0.0</v>
      </c>
      <c r="AA305" s="140">
        <v>0.0</v>
      </c>
      <c r="AB305" s="109">
        <v>0.0</v>
      </c>
      <c r="AC305" s="109">
        <v>0.0</v>
      </c>
      <c r="AD305" s="141">
        <v>0.0</v>
      </c>
      <c r="AE305" s="80">
        <v>0.0</v>
      </c>
      <c r="AF305" s="140">
        <v>0.0</v>
      </c>
      <c r="AG305" s="109">
        <v>13.0</v>
      </c>
      <c r="AH305" s="109">
        <v>41.0</v>
      </c>
      <c r="AI305" s="141">
        <v>0.0</v>
      </c>
      <c r="AJ305" s="80">
        <v>54.0</v>
      </c>
      <c r="AK305" s="140">
        <v>0.0</v>
      </c>
      <c r="AL305" s="109">
        <v>0.0</v>
      </c>
      <c r="AM305" s="141">
        <v>0.0</v>
      </c>
      <c r="AN305" s="80">
        <v>0.0</v>
      </c>
      <c r="AO305" s="140">
        <v>0.0</v>
      </c>
      <c r="AP305" s="109">
        <v>0.0</v>
      </c>
      <c r="AQ305" s="109">
        <v>0.0</v>
      </c>
      <c r="AR305" s="80">
        <v>0.0</v>
      </c>
      <c r="AS305" s="110">
        <v>0.0</v>
      </c>
      <c r="AT305" s="110">
        <v>0.0</v>
      </c>
      <c r="AU305" s="110">
        <v>0.0</v>
      </c>
      <c r="AV305" s="142">
        <v>0.0</v>
      </c>
      <c r="AW305" s="80">
        <v>0.0</v>
      </c>
      <c r="AX305" s="113">
        <v>54.0</v>
      </c>
      <c r="AY305" s="117">
        <v>13.0</v>
      </c>
      <c r="AZ305" s="328">
        <v>41.0</v>
      </c>
      <c r="BA305" s="315">
        <v>0.0</v>
      </c>
      <c r="BB305" s="316">
        <v>54.0</v>
      </c>
      <c r="BC305" s="132" t="s">
        <v>178</v>
      </c>
      <c r="BD305" s="143" t="s">
        <v>227</v>
      </c>
      <c r="BE305" s="132" t="s">
        <v>178</v>
      </c>
      <c r="BF305" s="123"/>
      <c r="BG305" s="83">
        <v>1179351.0</v>
      </c>
      <c r="BH305" s="112">
        <v>3.0</v>
      </c>
      <c r="BI305" s="98" t="s">
        <v>155</v>
      </c>
      <c r="BJ305" s="98" t="str">
        <f t="shared" si="1"/>
        <v>NÃO</v>
      </c>
      <c r="BK305" s="98" t="str">
        <f t="shared" si="2"/>
        <v>NÃO</v>
      </c>
    </row>
    <row r="306" ht="15.75" customHeight="1">
      <c r="A306" s="111" t="s">
        <v>383</v>
      </c>
      <c r="B306" s="83" t="s">
        <v>1266</v>
      </c>
      <c r="C306" s="83" t="s">
        <v>68</v>
      </c>
      <c r="D306" s="83">
        <v>1116365.0</v>
      </c>
      <c r="E306" s="83"/>
      <c r="F306" s="83">
        <v>2.9145287E7</v>
      </c>
      <c r="G306" s="114" t="s">
        <v>1267</v>
      </c>
      <c r="H306" s="91" t="s">
        <v>1268</v>
      </c>
      <c r="I306" s="298" t="s">
        <v>149</v>
      </c>
      <c r="J306" s="83" t="s">
        <v>150</v>
      </c>
      <c r="K306" s="83" t="s">
        <v>151</v>
      </c>
      <c r="L306" s="83" t="s">
        <v>230</v>
      </c>
      <c r="M306" s="82" t="s">
        <v>4705</v>
      </c>
      <c r="N306" s="82" t="s">
        <v>4706</v>
      </c>
      <c r="O306" s="82" t="s">
        <v>4707</v>
      </c>
      <c r="P306" s="82" t="s">
        <v>4708</v>
      </c>
      <c r="Q306" s="82" t="s">
        <v>4709</v>
      </c>
      <c r="R306" s="82"/>
      <c r="S306" s="82" t="s">
        <v>4710</v>
      </c>
      <c r="T306" s="138">
        <v>14.0</v>
      </c>
      <c r="U306" s="331" t="s">
        <v>4711</v>
      </c>
      <c r="V306" s="106">
        <v>0.0</v>
      </c>
      <c r="W306" s="107">
        <v>0.0</v>
      </c>
      <c r="X306" s="107">
        <v>0.0</v>
      </c>
      <c r="Y306" s="107">
        <v>0.0</v>
      </c>
      <c r="Z306" s="80">
        <v>0.0</v>
      </c>
      <c r="AA306" s="140">
        <v>0.0</v>
      </c>
      <c r="AB306" s="109">
        <v>0.0</v>
      </c>
      <c r="AC306" s="109">
        <v>0.0</v>
      </c>
      <c r="AD306" s="141">
        <v>0.0</v>
      </c>
      <c r="AE306" s="80">
        <v>0.0</v>
      </c>
      <c r="AF306" s="140">
        <v>97.0</v>
      </c>
      <c r="AG306" s="109">
        <v>34.0</v>
      </c>
      <c r="AH306" s="109">
        <v>0.0</v>
      </c>
      <c r="AI306" s="141">
        <v>35.0</v>
      </c>
      <c r="AJ306" s="80">
        <v>166.0</v>
      </c>
      <c r="AK306" s="140">
        <v>0.0</v>
      </c>
      <c r="AL306" s="109">
        <v>0.0</v>
      </c>
      <c r="AM306" s="141">
        <v>0.0</v>
      </c>
      <c r="AN306" s="80">
        <v>0.0</v>
      </c>
      <c r="AO306" s="140">
        <v>0.0</v>
      </c>
      <c r="AP306" s="109">
        <v>0.0</v>
      </c>
      <c r="AQ306" s="109">
        <v>41.0</v>
      </c>
      <c r="AR306" s="80">
        <v>41.0</v>
      </c>
      <c r="AS306" s="110">
        <v>135.0</v>
      </c>
      <c r="AT306" s="110">
        <v>39.0</v>
      </c>
      <c r="AU306" s="110">
        <v>147.0</v>
      </c>
      <c r="AV306" s="142">
        <v>0.0</v>
      </c>
      <c r="AW306" s="80">
        <v>321.0</v>
      </c>
      <c r="AX306" s="113">
        <v>528.0</v>
      </c>
      <c r="AY306" s="117">
        <v>340.0</v>
      </c>
      <c r="AZ306" s="328">
        <v>188.0</v>
      </c>
      <c r="BA306" s="315">
        <v>0.0</v>
      </c>
      <c r="BB306" s="316">
        <v>528.0</v>
      </c>
      <c r="BC306" s="132" t="s">
        <v>178</v>
      </c>
      <c r="BD306" s="132" t="s">
        <v>779</v>
      </c>
      <c r="BE306" s="132" t="s">
        <v>178</v>
      </c>
      <c r="BF306" s="123"/>
      <c r="BG306" s="83">
        <v>1116365.0</v>
      </c>
      <c r="BH306" s="112">
        <v>14.0</v>
      </c>
      <c r="BI306" s="98" t="s">
        <v>176</v>
      </c>
      <c r="BJ306" s="98" t="str">
        <f t="shared" si="1"/>
        <v>INTEGRAL</v>
      </c>
      <c r="BK306" s="98" t="str">
        <f t="shared" si="2"/>
        <v>PROFISSIONAL</v>
      </c>
    </row>
    <row r="307" ht="15.75" customHeight="1">
      <c r="A307" s="111" t="s">
        <v>383</v>
      </c>
      <c r="B307" s="83" t="s">
        <v>1270</v>
      </c>
      <c r="C307" s="83" t="s">
        <v>68</v>
      </c>
      <c r="D307" s="83">
        <v>1116209.0</v>
      </c>
      <c r="E307" s="83"/>
      <c r="F307" s="83">
        <v>2.9145538E7</v>
      </c>
      <c r="G307" s="114" t="s">
        <v>1271</v>
      </c>
      <c r="H307" s="91" t="s">
        <v>1272</v>
      </c>
      <c r="I307" s="298" t="s">
        <v>1273</v>
      </c>
      <c r="J307" s="83" t="s">
        <v>150</v>
      </c>
      <c r="K307" s="83" t="s">
        <v>151</v>
      </c>
      <c r="L307" s="83" t="s">
        <v>230</v>
      </c>
      <c r="M307" s="82" t="s">
        <v>4716</v>
      </c>
      <c r="N307" s="82" t="s">
        <v>4717</v>
      </c>
      <c r="O307" s="82" t="s">
        <v>4718</v>
      </c>
      <c r="P307" s="82" t="s">
        <v>4719</v>
      </c>
      <c r="Q307" s="82"/>
      <c r="R307" s="82"/>
      <c r="S307" s="82" t="s">
        <v>4720</v>
      </c>
      <c r="T307" s="138">
        <v>16.0</v>
      </c>
      <c r="U307" s="331" t="s">
        <v>4721</v>
      </c>
      <c r="V307" s="106">
        <v>0.0</v>
      </c>
      <c r="W307" s="107">
        <v>0.0</v>
      </c>
      <c r="X307" s="107">
        <v>0.0</v>
      </c>
      <c r="Y307" s="107">
        <v>0.0</v>
      </c>
      <c r="Z307" s="80">
        <v>0.0</v>
      </c>
      <c r="AA307" s="140">
        <v>0.0</v>
      </c>
      <c r="AB307" s="109">
        <v>0.0</v>
      </c>
      <c r="AC307" s="109">
        <v>0.0</v>
      </c>
      <c r="AD307" s="141">
        <v>0.0</v>
      </c>
      <c r="AE307" s="80">
        <v>0.0</v>
      </c>
      <c r="AF307" s="140">
        <v>0.0</v>
      </c>
      <c r="AG307" s="109">
        <v>0.0</v>
      </c>
      <c r="AH307" s="109">
        <v>0.0</v>
      </c>
      <c r="AI307" s="141">
        <v>58.0</v>
      </c>
      <c r="AJ307" s="80">
        <v>58.0</v>
      </c>
      <c r="AK307" s="140">
        <v>0.0</v>
      </c>
      <c r="AL307" s="109">
        <v>0.0</v>
      </c>
      <c r="AM307" s="141">
        <v>0.0</v>
      </c>
      <c r="AN307" s="80">
        <v>0.0</v>
      </c>
      <c r="AO307" s="140">
        <v>0.0</v>
      </c>
      <c r="AP307" s="109">
        <v>0.0</v>
      </c>
      <c r="AQ307" s="109">
        <v>261.0</v>
      </c>
      <c r="AR307" s="80">
        <v>261.0</v>
      </c>
      <c r="AS307" s="110">
        <v>0.0</v>
      </c>
      <c r="AT307" s="110">
        <v>0.0</v>
      </c>
      <c r="AU307" s="110">
        <v>42.0</v>
      </c>
      <c r="AV307" s="142">
        <v>170.0</v>
      </c>
      <c r="AW307" s="80">
        <v>212.0</v>
      </c>
      <c r="AX307" s="113">
        <v>531.0</v>
      </c>
      <c r="AY307" s="117">
        <v>228.0</v>
      </c>
      <c r="AZ307" s="328">
        <v>303.0</v>
      </c>
      <c r="BA307" s="315">
        <v>0.0</v>
      </c>
      <c r="BB307" s="316">
        <v>531.0</v>
      </c>
      <c r="BC307" s="132" t="s">
        <v>178</v>
      </c>
      <c r="BD307" s="132" t="s">
        <v>178</v>
      </c>
      <c r="BE307" s="132" t="s">
        <v>178</v>
      </c>
      <c r="BF307" s="156"/>
      <c r="BG307" s="83">
        <v>1116209.0</v>
      </c>
      <c r="BH307" s="112">
        <v>17.0</v>
      </c>
      <c r="BI307" s="98" t="s">
        <v>284</v>
      </c>
      <c r="BJ307" s="98" t="str">
        <f t="shared" si="1"/>
        <v>INTEGRAL</v>
      </c>
      <c r="BK307" s="98" t="str">
        <f t="shared" si="2"/>
        <v>PROFISSIONAL</v>
      </c>
    </row>
    <row r="308" ht="15.75" customHeight="1">
      <c r="A308" s="111" t="s">
        <v>383</v>
      </c>
      <c r="B308" s="83" t="s">
        <v>1270</v>
      </c>
      <c r="C308" s="83" t="s">
        <v>68</v>
      </c>
      <c r="D308" s="83">
        <v>1116241.0</v>
      </c>
      <c r="E308" s="83"/>
      <c r="F308" s="83">
        <v>2.9146151E7</v>
      </c>
      <c r="G308" s="114" t="s">
        <v>4726</v>
      </c>
      <c r="H308" s="91" t="s">
        <v>4727</v>
      </c>
      <c r="I308" s="298" t="s">
        <v>171</v>
      </c>
      <c r="J308" s="83" t="s">
        <v>150</v>
      </c>
      <c r="K308" s="83" t="s">
        <v>151</v>
      </c>
      <c r="L308" s="83" t="s">
        <v>152</v>
      </c>
      <c r="M308" s="82" t="s">
        <v>4729</v>
      </c>
      <c r="N308" s="82" t="s">
        <v>4731</v>
      </c>
      <c r="O308" s="82" t="s">
        <v>4732</v>
      </c>
      <c r="P308" s="82" t="s">
        <v>4733</v>
      </c>
      <c r="Q308" s="82"/>
      <c r="R308" s="82"/>
      <c r="S308" s="82" t="s">
        <v>4735</v>
      </c>
      <c r="T308" s="138">
        <v>15.0</v>
      </c>
      <c r="U308" s="389">
        <v>15.0</v>
      </c>
      <c r="V308" s="106">
        <v>0.0</v>
      </c>
      <c r="W308" s="107">
        <v>0.0</v>
      </c>
      <c r="X308" s="107">
        <v>0.0</v>
      </c>
      <c r="Y308" s="107">
        <v>0.0</v>
      </c>
      <c r="Z308" s="80">
        <v>0.0</v>
      </c>
      <c r="AA308" s="140">
        <v>0.0</v>
      </c>
      <c r="AB308" s="109">
        <v>0.0</v>
      </c>
      <c r="AC308" s="109">
        <v>0.0</v>
      </c>
      <c r="AD308" s="141">
        <v>0.0</v>
      </c>
      <c r="AE308" s="80">
        <v>0.0</v>
      </c>
      <c r="AF308" s="140">
        <v>419.0</v>
      </c>
      <c r="AG308" s="109">
        <v>96.0</v>
      </c>
      <c r="AH308" s="109">
        <v>36.0</v>
      </c>
      <c r="AI308" s="141">
        <v>32.0</v>
      </c>
      <c r="AJ308" s="80">
        <v>583.0</v>
      </c>
      <c r="AK308" s="140">
        <v>0.0</v>
      </c>
      <c r="AL308" s="109">
        <v>0.0</v>
      </c>
      <c r="AM308" s="141">
        <v>0.0</v>
      </c>
      <c r="AN308" s="80">
        <v>0.0</v>
      </c>
      <c r="AO308" s="140">
        <v>0.0</v>
      </c>
      <c r="AP308" s="109">
        <v>0.0</v>
      </c>
      <c r="AQ308" s="109">
        <v>12.0</v>
      </c>
      <c r="AR308" s="80">
        <v>12.0</v>
      </c>
      <c r="AS308" s="110">
        <v>0.0</v>
      </c>
      <c r="AT308" s="110">
        <v>0.0</v>
      </c>
      <c r="AU308" s="110">
        <v>0.0</v>
      </c>
      <c r="AV308" s="142">
        <v>0.0</v>
      </c>
      <c r="AW308" s="80">
        <v>0.0</v>
      </c>
      <c r="AX308" s="113">
        <v>595.0</v>
      </c>
      <c r="AY308" s="117">
        <v>547.0</v>
      </c>
      <c r="AZ308" s="328">
        <v>48.0</v>
      </c>
      <c r="BA308" s="315">
        <v>1.0</v>
      </c>
      <c r="BB308" s="316">
        <v>596.0</v>
      </c>
      <c r="BC308" s="132" t="s">
        <v>178</v>
      </c>
      <c r="BD308" s="132" t="s">
        <v>178</v>
      </c>
      <c r="BE308" s="132" t="s">
        <v>178</v>
      </c>
      <c r="BF308" s="123"/>
      <c r="BG308" s="83">
        <v>1116241.0</v>
      </c>
      <c r="BH308" s="112">
        <v>15.0</v>
      </c>
      <c r="BI308" s="98" t="s">
        <v>155</v>
      </c>
      <c r="BJ308" s="98" t="str">
        <f t="shared" si="1"/>
        <v>INTEGRAL</v>
      </c>
      <c r="BK308" s="98" t="str">
        <f t="shared" si="2"/>
        <v>NÃO</v>
      </c>
    </row>
    <row r="309" ht="15.75" customHeight="1">
      <c r="A309" s="111" t="s">
        <v>383</v>
      </c>
      <c r="B309" s="83" t="s">
        <v>1270</v>
      </c>
      <c r="C309" s="83" t="s">
        <v>68</v>
      </c>
      <c r="D309" s="83">
        <v>1178235.0</v>
      </c>
      <c r="E309" s="83"/>
      <c r="F309" s="83">
        <v>2.9372895E7</v>
      </c>
      <c r="G309" s="185" t="s">
        <v>4736</v>
      </c>
      <c r="H309" s="91" t="s">
        <v>1276</v>
      </c>
      <c r="I309" s="187" t="s">
        <v>149</v>
      </c>
      <c r="J309" s="83" t="s">
        <v>694</v>
      </c>
      <c r="K309" s="83" t="s">
        <v>151</v>
      </c>
      <c r="L309" s="83" t="s">
        <v>169</v>
      </c>
      <c r="M309" s="82" t="s">
        <v>4737</v>
      </c>
      <c r="N309" s="82" t="s">
        <v>4738</v>
      </c>
      <c r="O309" s="82" t="s">
        <v>4739</v>
      </c>
      <c r="P309" s="82" t="s">
        <v>4740</v>
      </c>
      <c r="Q309" s="82"/>
      <c r="R309" s="82"/>
      <c r="S309" s="82" t="s">
        <v>4741</v>
      </c>
      <c r="T309" s="138">
        <v>10.0</v>
      </c>
      <c r="U309" s="389">
        <v>10.0</v>
      </c>
      <c r="V309" s="106">
        <v>0.0</v>
      </c>
      <c r="W309" s="107">
        <v>0.0</v>
      </c>
      <c r="X309" s="107">
        <v>0.0</v>
      </c>
      <c r="Y309" s="107">
        <v>0.0</v>
      </c>
      <c r="Z309" s="80">
        <v>0.0</v>
      </c>
      <c r="AA309" s="140">
        <v>0.0</v>
      </c>
      <c r="AB309" s="109">
        <v>0.0</v>
      </c>
      <c r="AC309" s="109">
        <v>0.0</v>
      </c>
      <c r="AD309" s="141">
        <v>0.0</v>
      </c>
      <c r="AE309" s="80">
        <v>0.0</v>
      </c>
      <c r="AF309" s="140">
        <v>0.0</v>
      </c>
      <c r="AG309" s="109">
        <v>138.0</v>
      </c>
      <c r="AH309" s="109">
        <v>0.0</v>
      </c>
      <c r="AI309" s="141">
        <v>9.0</v>
      </c>
      <c r="AJ309" s="80">
        <v>147.0</v>
      </c>
      <c r="AK309" s="140">
        <v>0.0</v>
      </c>
      <c r="AL309" s="109">
        <v>0.0</v>
      </c>
      <c r="AM309" s="141">
        <v>0.0</v>
      </c>
      <c r="AN309" s="80">
        <v>0.0</v>
      </c>
      <c r="AO309" s="140">
        <v>0.0</v>
      </c>
      <c r="AP309" s="109">
        <v>0.0</v>
      </c>
      <c r="AQ309" s="109">
        <v>76.0</v>
      </c>
      <c r="AR309" s="80">
        <v>76.0</v>
      </c>
      <c r="AS309" s="110">
        <v>0.0</v>
      </c>
      <c r="AT309" s="110">
        <v>0.0</v>
      </c>
      <c r="AU309" s="110">
        <v>0.0</v>
      </c>
      <c r="AV309" s="142">
        <v>0.0</v>
      </c>
      <c r="AW309" s="80">
        <v>0.0</v>
      </c>
      <c r="AX309" s="113">
        <v>223.0</v>
      </c>
      <c r="AY309" s="117">
        <v>147.0</v>
      </c>
      <c r="AZ309" s="328">
        <v>76.0</v>
      </c>
      <c r="BA309" s="315">
        <v>0.0</v>
      </c>
      <c r="BB309" s="316">
        <v>223.0</v>
      </c>
      <c r="BC309" s="132" t="s">
        <v>373</v>
      </c>
      <c r="BD309" s="132" t="s">
        <v>178</v>
      </c>
      <c r="BE309" s="132" t="s">
        <v>178</v>
      </c>
      <c r="BF309" s="123"/>
      <c r="BG309" s="83">
        <v>1178235.0</v>
      </c>
      <c r="BH309" s="112">
        <v>10.0</v>
      </c>
      <c r="BI309" s="98" t="s">
        <v>155</v>
      </c>
      <c r="BJ309" s="98" t="str">
        <f t="shared" si="1"/>
        <v>INTEGRAL</v>
      </c>
      <c r="BK309" s="98" t="str">
        <f t="shared" si="2"/>
        <v>NÃO</v>
      </c>
    </row>
    <row r="310" ht="15.75" customHeight="1">
      <c r="A310" s="111" t="s">
        <v>383</v>
      </c>
      <c r="B310" s="83" t="s">
        <v>1270</v>
      </c>
      <c r="C310" s="83" t="s">
        <v>68</v>
      </c>
      <c r="D310" s="83">
        <v>1166427.0</v>
      </c>
      <c r="E310" s="83"/>
      <c r="F310" s="83">
        <v>2.936543E7</v>
      </c>
      <c r="G310" s="185" t="s">
        <v>4746</v>
      </c>
      <c r="H310" s="91" t="s">
        <v>1279</v>
      </c>
      <c r="I310" s="187" t="s">
        <v>149</v>
      </c>
      <c r="J310" s="83" t="s">
        <v>240</v>
      </c>
      <c r="K310" s="83" t="s">
        <v>151</v>
      </c>
      <c r="L310" s="83" t="s">
        <v>169</v>
      </c>
      <c r="M310" s="82" t="s">
        <v>4747</v>
      </c>
      <c r="N310" s="82" t="s">
        <v>4748</v>
      </c>
      <c r="O310" s="82" t="s">
        <v>4749</v>
      </c>
      <c r="P310" s="82" t="s">
        <v>4750</v>
      </c>
      <c r="Q310" s="82"/>
      <c r="R310" s="82"/>
      <c r="S310" s="82" t="s">
        <v>4751</v>
      </c>
      <c r="T310" s="138">
        <v>6.0</v>
      </c>
      <c r="U310" s="331" t="s">
        <v>4752</v>
      </c>
      <c r="V310" s="106">
        <v>0.0</v>
      </c>
      <c r="W310" s="107">
        <v>0.0</v>
      </c>
      <c r="X310" s="107">
        <v>0.0</v>
      </c>
      <c r="Y310" s="107">
        <v>0.0</v>
      </c>
      <c r="Z310" s="80">
        <v>0.0</v>
      </c>
      <c r="AA310" s="140">
        <v>0.0</v>
      </c>
      <c r="AB310" s="109">
        <v>0.0</v>
      </c>
      <c r="AC310" s="109">
        <v>0.0</v>
      </c>
      <c r="AD310" s="141">
        <v>0.0</v>
      </c>
      <c r="AE310" s="80">
        <v>0.0</v>
      </c>
      <c r="AF310" s="140">
        <v>38.0</v>
      </c>
      <c r="AG310" s="109">
        <v>0.0</v>
      </c>
      <c r="AH310" s="109">
        <v>0.0</v>
      </c>
      <c r="AI310" s="141">
        <v>0.0</v>
      </c>
      <c r="AJ310" s="80">
        <v>38.0</v>
      </c>
      <c r="AK310" s="140">
        <v>0.0</v>
      </c>
      <c r="AL310" s="109">
        <v>0.0</v>
      </c>
      <c r="AM310" s="141">
        <v>0.0</v>
      </c>
      <c r="AN310" s="80">
        <v>0.0</v>
      </c>
      <c r="AO310" s="140">
        <v>0.0</v>
      </c>
      <c r="AP310" s="109">
        <v>0.0</v>
      </c>
      <c r="AQ310" s="109">
        <v>27.0</v>
      </c>
      <c r="AR310" s="80">
        <v>27.0</v>
      </c>
      <c r="AS310" s="110">
        <v>0.0</v>
      </c>
      <c r="AT310" s="110">
        <v>0.0</v>
      </c>
      <c r="AU310" s="110">
        <v>0.0</v>
      </c>
      <c r="AV310" s="142">
        <v>0.0</v>
      </c>
      <c r="AW310" s="80">
        <v>0.0</v>
      </c>
      <c r="AX310" s="113">
        <v>65.0</v>
      </c>
      <c r="AY310" s="117">
        <v>38.0</v>
      </c>
      <c r="AZ310" s="328">
        <v>27.0</v>
      </c>
      <c r="BA310" s="315">
        <v>0.0</v>
      </c>
      <c r="BB310" s="316">
        <v>65.0</v>
      </c>
      <c r="BC310" s="132" t="s">
        <v>373</v>
      </c>
      <c r="BD310" s="132" t="s">
        <v>178</v>
      </c>
      <c r="BE310" s="132" t="s">
        <v>178</v>
      </c>
      <c r="BF310" s="123"/>
      <c r="BG310" s="83">
        <v>1166427.0</v>
      </c>
      <c r="BH310" s="112">
        <v>3.0</v>
      </c>
      <c r="BI310" s="98" t="s">
        <v>155</v>
      </c>
      <c r="BJ310" s="98" t="str">
        <f t="shared" si="1"/>
        <v>NÃO</v>
      </c>
      <c r="BK310" s="98" t="str">
        <f t="shared" si="2"/>
        <v>NÃO</v>
      </c>
    </row>
    <row r="311" ht="15.75" customHeight="1">
      <c r="A311" s="111" t="s">
        <v>383</v>
      </c>
      <c r="B311" s="83" t="s">
        <v>1270</v>
      </c>
      <c r="C311" s="83" t="s">
        <v>68</v>
      </c>
      <c r="D311" s="83">
        <v>1178088.0</v>
      </c>
      <c r="E311" s="83"/>
      <c r="F311" s="83">
        <v>2.9432235E7</v>
      </c>
      <c r="G311" s="185" t="s">
        <v>1286</v>
      </c>
      <c r="H311" s="91" t="s">
        <v>1287</v>
      </c>
      <c r="I311" s="241" t="s">
        <v>1288</v>
      </c>
      <c r="J311" s="83" t="s">
        <v>150</v>
      </c>
      <c r="K311" s="83" t="s">
        <v>151</v>
      </c>
      <c r="L311" s="83" t="s">
        <v>230</v>
      </c>
      <c r="M311" s="82" t="s">
        <v>4757</v>
      </c>
      <c r="N311" s="82" t="s">
        <v>4759</v>
      </c>
      <c r="O311" s="82" t="s">
        <v>4760</v>
      </c>
      <c r="P311" s="82" t="s">
        <v>4761</v>
      </c>
      <c r="Q311" s="82" t="s">
        <v>4762</v>
      </c>
      <c r="R311" s="82" t="s">
        <v>4763</v>
      </c>
      <c r="S311" s="82" t="s">
        <v>4764</v>
      </c>
      <c r="T311" s="138">
        <v>21.0</v>
      </c>
      <c r="U311" s="331">
        <v>44.0</v>
      </c>
      <c r="V311" s="106">
        <v>0.0</v>
      </c>
      <c r="W311" s="107">
        <v>0.0</v>
      </c>
      <c r="X311" s="107">
        <v>0.0</v>
      </c>
      <c r="Y311" s="107">
        <v>0.0</v>
      </c>
      <c r="Z311" s="80">
        <v>0.0</v>
      </c>
      <c r="AA311" s="140">
        <v>0.0</v>
      </c>
      <c r="AB311" s="109">
        <v>0.0</v>
      </c>
      <c r="AC311" s="109">
        <v>0.0</v>
      </c>
      <c r="AD311" s="141">
        <v>0.0</v>
      </c>
      <c r="AE311" s="80">
        <v>0.0</v>
      </c>
      <c r="AF311" s="140">
        <v>0.0</v>
      </c>
      <c r="AG311" s="109">
        <v>0.0</v>
      </c>
      <c r="AH311" s="109">
        <v>0.0</v>
      </c>
      <c r="AI311" s="141">
        <v>0.0</v>
      </c>
      <c r="AJ311" s="80">
        <v>0.0</v>
      </c>
      <c r="AK311" s="140">
        <v>0.0</v>
      </c>
      <c r="AL311" s="109">
        <v>0.0</v>
      </c>
      <c r="AM311" s="141">
        <v>0.0</v>
      </c>
      <c r="AN311" s="80">
        <v>0.0</v>
      </c>
      <c r="AO311" s="140">
        <v>0.0</v>
      </c>
      <c r="AP311" s="109">
        <v>0.0</v>
      </c>
      <c r="AQ311" s="109">
        <v>0.0</v>
      </c>
      <c r="AR311" s="80">
        <v>0.0</v>
      </c>
      <c r="AS311" s="110">
        <v>857.0</v>
      </c>
      <c r="AT311" s="110">
        <v>704.0</v>
      </c>
      <c r="AU311" s="110">
        <v>460.0</v>
      </c>
      <c r="AV311" s="142">
        <v>0.0</v>
      </c>
      <c r="AW311" s="80">
        <v>2021.0</v>
      </c>
      <c r="AX311" s="113">
        <v>2021.0</v>
      </c>
      <c r="AY311" s="117">
        <v>1561.0</v>
      </c>
      <c r="AZ311" s="328">
        <v>460.0</v>
      </c>
      <c r="BA311" s="315">
        <v>0.0</v>
      </c>
      <c r="BB311" s="316">
        <v>2021.0</v>
      </c>
      <c r="BC311" s="132" t="s">
        <v>178</v>
      </c>
      <c r="BD311" s="132" t="s">
        <v>522</v>
      </c>
      <c r="BE311" s="132" t="s">
        <v>178</v>
      </c>
      <c r="BF311" s="123"/>
      <c r="BG311" s="83">
        <v>1178088.0</v>
      </c>
      <c r="BH311" s="112">
        <v>44.0</v>
      </c>
      <c r="BI311" s="98" t="s">
        <v>176</v>
      </c>
      <c r="BJ311" s="98" t="str">
        <f t="shared" si="1"/>
        <v>NÃO</v>
      </c>
      <c r="BK311" s="98" t="str">
        <f t="shared" si="2"/>
        <v>PROFISSIONAL</v>
      </c>
    </row>
    <row r="312" ht="15.75" customHeight="1">
      <c r="A312" s="111" t="s">
        <v>383</v>
      </c>
      <c r="B312" s="83" t="s">
        <v>1270</v>
      </c>
      <c r="C312" s="83" t="s">
        <v>68</v>
      </c>
      <c r="D312" s="83">
        <v>1179292.0</v>
      </c>
      <c r="E312" s="83"/>
      <c r="F312" s="83">
        <v>2.9460816E7</v>
      </c>
      <c r="G312" s="185" t="s">
        <v>1291</v>
      </c>
      <c r="H312" s="91" t="s">
        <v>1292</v>
      </c>
      <c r="I312" s="241" t="s">
        <v>1293</v>
      </c>
      <c r="J312" s="83" t="s">
        <v>150</v>
      </c>
      <c r="K312" s="83" t="s">
        <v>151</v>
      </c>
      <c r="L312" s="83" t="s">
        <v>230</v>
      </c>
      <c r="M312" s="82" t="s">
        <v>4289</v>
      </c>
      <c r="N312" s="82" t="s">
        <v>4290</v>
      </c>
      <c r="O312" s="82" t="s">
        <v>4291</v>
      </c>
      <c r="P312" s="82" t="s">
        <v>4292</v>
      </c>
      <c r="Q312" s="82" t="s">
        <v>4293</v>
      </c>
      <c r="R312" s="82" t="s">
        <v>4294</v>
      </c>
      <c r="S312" s="82" t="s">
        <v>4295</v>
      </c>
      <c r="T312" s="138" t="s">
        <v>171</v>
      </c>
      <c r="U312" s="339" t="s">
        <v>533</v>
      </c>
      <c r="V312" s="106">
        <v>0.0</v>
      </c>
      <c r="W312" s="107">
        <v>0.0</v>
      </c>
      <c r="X312" s="107">
        <v>0.0</v>
      </c>
      <c r="Y312" s="107">
        <v>0.0</v>
      </c>
      <c r="Z312" s="80">
        <v>0.0</v>
      </c>
      <c r="AA312" s="140">
        <v>0.0</v>
      </c>
      <c r="AB312" s="109">
        <v>0.0</v>
      </c>
      <c r="AC312" s="109">
        <v>0.0</v>
      </c>
      <c r="AD312" s="141">
        <v>0.0</v>
      </c>
      <c r="AE312" s="80">
        <v>0.0</v>
      </c>
      <c r="AF312" s="140">
        <v>0.0</v>
      </c>
      <c r="AG312" s="109">
        <v>0.0</v>
      </c>
      <c r="AH312" s="109">
        <v>0.0</v>
      </c>
      <c r="AI312" s="141">
        <v>0.0</v>
      </c>
      <c r="AJ312" s="80">
        <v>0.0</v>
      </c>
      <c r="AK312" s="140">
        <v>0.0</v>
      </c>
      <c r="AL312" s="109">
        <v>0.0</v>
      </c>
      <c r="AM312" s="141">
        <v>0.0</v>
      </c>
      <c r="AN312" s="80">
        <v>0.0</v>
      </c>
      <c r="AO312" s="140">
        <v>0.0</v>
      </c>
      <c r="AP312" s="109">
        <v>0.0</v>
      </c>
      <c r="AQ312" s="109">
        <v>0.0</v>
      </c>
      <c r="AR312" s="80">
        <v>0.0</v>
      </c>
      <c r="AS312" s="110">
        <v>0.0</v>
      </c>
      <c r="AT312" s="110">
        <v>0.0</v>
      </c>
      <c r="AU312" s="110">
        <v>0.0</v>
      </c>
      <c r="AV312" s="142">
        <v>0.0</v>
      </c>
      <c r="AW312" s="80">
        <v>0.0</v>
      </c>
      <c r="AX312" s="113">
        <v>0.0</v>
      </c>
      <c r="AY312" s="117">
        <v>0.0</v>
      </c>
      <c r="AZ312" s="328">
        <v>0.0</v>
      </c>
      <c r="BA312" s="315">
        <v>0.0</v>
      </c>
      <c r="BB312" s="316">
        <v>0.0</v>
      </c>
      <c r="BC312" s="132" t="s">
        <v>178</v>
      </c>
      <c r="BD312" s="143" t="s">
        <v>227</v>
      </c>
      <c r="BE312" s="132" t="s">
        <v>178</v>
      </c>
      <c r="BF312" s="156" t="s">
        <v>534</v>
      </c>
      <c r="BG312" s="83">
        <v>1179292.0</v>
      </c>
      <c r="BH312" s="112">
        <v>0.0</v>
      </c>
      <c r="BI312" s="98" t="s">
        <v>155</v>
      </c>
      <c r="BJ312" s="98" t="str">
        <f t="shared" si="1"/>
        <v>NÃO</v>
      </c>
      <c r="BK312" s="98" t="str">
        <f t="shared" si="2"/>
        <v>NÃO</v>
      </c>
    </row>
    <row r="313" ht="15.75" customHeight="1">
      <c r="A313" s="111" t="s">
        <v>383</v>
      </c>
      <c r="B313" s="83" t="s">
        <v>1270</v>
      </c>
      <c r="C313" s="83" t="s">
        <v>68</v>
      </c>
      <c r="D313" s="83">
        <v>1179664.0</v>
      </c>
      <c r="E313" s="83"/>
      <c r="F313" s="83">
        <v>2.9474698E7</v>
      </c>
      <c r="G313" s="185" t="s">
        <v>1295</v>
      </c>
      <c r="H313" s="91" t="s">
        <v>1296</v>
      </c>
      <c r="I313" s="187" t="s">
        <v>1293</v>
      </c>
      <c r="J313" s="83" t="s">
        <v>150</v>
      </c>
      <c r="K313" s="83" t="s">
        <v>151</v>
      </c>
      <c r="L313" s="83" t="s">
        <v>230</v>
      </c>
      <c r="M313" s="82" t="s">
        <v>4773</v>
      </c>
      <c r="N313" s="82" t="s">
        <v>4775</v>
      </c>
      <c r="O313" s="82" t="s">
        <v>4776</v>
      </c>
      <c r="P313" s="82" t="s">
        <v>4777</v>
      </c>
      <c r="Q313" s="82"/>
      <c r="R313" s="82"/>
      <c r="S313" s="82" t="s">
        <v>4779</v>
      </c>
      <c r="T313" s="138" t="s">
        <v>171</v>
      </c>
      <c r="U313" s="323">
        <v>6.0</v>
      </c>
      <c r="V313" s="106">
        <v>0.0</v>
      </c>
      <c r="W313" s="107">
        <v>0.0</v>
      </c>
      <c r="X313" s="107">
        <v>0.0</v>
      </c>
      <c r="Y313" s="107">
        <v>0.0</v>
      </c>
      <c r="Z313" s="80">
        <v>0.0</v>
      </c>
      <c r="AA313" s="140">
        <v>0.0</v>
      </c>
      <c r="AB313" s="109">
        <v>0.0</v>
      </c>
      <c r="AC313" s="109">
        <v>0.0</v>
      </c>
      <c r="AD313" s="141">
        <v>0.0</v>
      </c>
      <c r="AE313" s="80">
        <v>0.0</v>
      </c>
      <c r="AF313" s="140">
        <v>0.0</v>
      </c>
      <c r="AG313" s="109">
        <v>0.0</v>
      </c>
      <c r="AH313" s="109">
        <v>0.0</v>
      </c>
      <c r="AI313" s="141">
        <v>0.0</v>
      </c>
      <c r="AJ313" s="80">
        <v>0.0</v>
      </c>
      <c r="AK313" s="140">
        <v>0.0</v>
      </c>
      <c r="AL313" s="109">
        <v>0.0</v>
      </c>
      <c r="AM313" s="141">
        <v>0.0</v>
      </c>
      <c r="AN313" s="80">
        <v>0.0</v>
      </c>
      <c r="AO313" s="140">
        <v>0.0</v>
      </c>
      <c r="AP313" s="109">
        <v>0.0</v>
      </c>
      <c r="AQ313" s="109">
        <v>0.0</v>
      </c>
      <c r="AR313" s="80">
        <v>0.0</v>
      </c>
      <c r="AS313" s="110">
        <v>0.0</v>
      </c>
      <c r="AT313" s="110">
        <v>0.0</v>
      </c>
      <c r="AU313" s="110">
        <v>0.0</v>
      </c>
      <c r="AV313" s="142">
        <v>0.0</v>
      </c>
      <c r="AW313" s="80">
        <v>0.0</v>
      </c>
      <c r="AX313" s="346">
        <v>768.0</v>
      </c>
      <c r="AY313" s="347">
        <v>672.0</v>
      </c>
      <c r="AZ313" s="348">
        <v>96.0</v>
      </c>
      <c r="BA313" s="349">
        <v>0.0</v>
      </c>
      <c r="BB313" s="316">
        <v>768.0</v>
      </c>
      <c r="BC313" s="143" t="s">
        <v>547</v>
      </c>
      <c r="BD313" s="132" t="s">
        <v>178</v>
      </c>
      <c r="BE313" s="132" t="s">
        <v>178</v>
      </c>
      <c r="BF313" s="123"/>
      <c r="BG313" s="83">
        <v>1179664.0</v>
      </c>
      <c r="BH313" s="112">
        <v>6.0</v>
      </c>
      <c r="BI313" s="98" t="s">
        <v>155</v>
      </c>
      <c r="BJ313" s="98" t="str">
        <f t="shared" si="1"/>
        <v>NÃO</v>
      </c>
      <c r="BK313" s="98" t="str">
        <f t="shared" si="2"/>
        <v>NÃO</v>
      </c>
    </row>
    <row r="314" ht="15.75" customHeight="1">
      <c r="A314" s="111" t="s">
        <v>383</v>
      </c>
      <c r="B314" s="83" t="s">
        <v>1270</v>
      </c>
      <c r="C314" s="83" t="s">
        <v>164</v>
      </c>
      <c r="D314" s="83">
        <v>1116209.0</v>
      </c>
      <c r="E314" s="83">
        <v>1178737.0</v>
      </c>
      <c r="F314" s="83"/>
      <c r="G314" s="185" t="s">
        <v>1299</v>
      </c>
      <c r="H314" s="91" t="s">
        <v>1300</v>
      </c>
      <c r="I314" s="187" t="s">
        <v>149</v>
      </c>
      <c r="J314" s="83" t="s">
        <v>1301</v>
      </c>
      <c r="K314" s="83" t="s">
        <v>168</v>
      </c>
      <c r="L314" s="83" t="s">
        <v>169</v>
      </c>
      <c r="M314" s="82" t="s">
        <v>4716</v>
      </c>
      <c r="N314" s="82" t="s">
        <v>4717</v>
      </c>
      <c r="O314" s="82" t="s">
        <v>4718</v>
      </c>
      <c r="P314" s="82" t="s">
        <v>4719</v>
      </c>
      <c r="Q314" s="82"/>
      <c r="R314" s="82"/>
      <c r="S314" s="82" t="s">
        <v>4720</v>
      </c>
      <c r="T314" s="138">
        <v>2.0</v>
      </c>
      <c r="U314" s="393">
        <v>1.0</v>
      </c>
      <c r="V314" s="106">
        <v>0.0</v>
      </c>
      <c r="W314" s="107">
        <v>0.0</v>
      </c>
      <c r="X314" s="107">
        <v>0.0</v>
      </c>
      <c r="Y314" s="107">
        <v>0.0</v>
      </c>
      <c r="Z314" s="80">
        <v>0.0</v>
      </c>
      <c r="AA314" s="140">
        <v>0.0</v>
      </c>
      <c r="AB314" s="109">
        <v>0.0</v>
      </c>
      <c r="AC314" s="109">
        <v>0.0</v>
      </c>
      <c r="AD314" s="141">
        <v>0.0</v>
      </c>
      <c r="AE314" s="80">
        <v>0.0</v>
      </c>
      <c r="AF314" s="140">
        <v>0.0</v>
      </c>
      <c r="AG314" s="109">
        <v>0.0</v>
      </c>
      <c r="AH314" s="109">
        <v>0.0</v>
      </c>
      <c r="AI314" s="141">
        <v>0.0</v>
      </c>
      <c r="AJ314" s="80">
        <v>0.0</v>
      </c>
      <c r="AK314" s="140">
        <v>0.0</v>
      </c>
      <c r="AL314" s="109">
        <v>0.0</v>
      </c>
      <c r="AM314" s="141">
        <v>0.0</v>
      </c>
      <c r="AN314" s="80">
        <v>0.0</v>
      </c>
      <c r="AO314" s="140">
        <v>0.0</v>
      </c>
      <c r="AP314" s="109">
        <v>0.0</v>
      </c>
      <c r="AQ314" s="109">
        <v>5.0</v>
      </c>
      <c r="AR314" s="80">
        <v>5.0</v>
      </c>
      <c r="AS314" s="110">
        <v>0.0</v>
      </c>
      <c r="AT314" s="110">
        <v>0.0</v>
      </c>
      <c r="AU314" s="110">
        <v>0.0</v>
      </c>
      <c r="AV314" s="142">
        <v>0.0</v>
      </c>
      <c r="AW314" s="80">
        <v>0.0</v>
      </c>
      <c r="AX314" s="113">
        <v>5.0</v>
      </c>
      <c r="AY314" s="117">
        <v>0.0</v>
      </c>
      <c r="AZ314" s="328">
        <v>5.0</v>
      </c>
      <c r="BA314" s="315">
        <v>0.0</v>
      </c>
      <c r="BB314" s="316">
        <v>5.0</v>
      </c>
      <c r="BC314" s="132" t="s">
        <v>373</v>
      </c>
      <c r="BD314" s="132" t="s">
        <v>178</v>
      </c>
      <c r="BE314" s="132" t="s">
        <v>178</v>
      </c>
      <c r="BF314" s="83"/>
      <c r="BG314" s="83">
        <v>1178737.0</v>
      </c>
      <c r="BH314" s="112">
        <v>1.0</v>
      </c>
      <c r="BI314" s="98" t="s">
        <v>155</v>
      </c>
      <c r="BJ314" s="98" t="str">
        <f t="shared" si="1"/>
        <v>NÃO</v>
      </c>
      <c r="BK314" s="98" t="str">
        <f t="shared" si="2"/>
        <v>NÃO</v>
      </c>
    </row>
    <row r="315" ht="15.75" customHeight="1">
      <c r="A315" s="111" t="s">
        <v>383</v>
      </c>
      <c r="B315" s="83" t="s">
        <v>1270</v>
      </c>
      <c r="C315" s="83" t="s">
        <v>164</v>
      </c>
      <c r="D315" s="83">
        <v>1166427.0</v>
      </c>
      <c r="E315" s="83">
        <v>1179209.0</v>
      </c>
      <c r="F315" s="83"/>
      <c r="G315" s="185" t="s">
        <v>1302</v>
      </c>
      <c r="H315" s="91" t="s">
        <v>1303</v>
      </c>
      <c r="I315" s="298" t="s">
        <v>149</v>
      </c>
      <c r="J315" s="83" t="s">
        <v>240</v>
      </c>
      <c r="K315" s="83" t="s">
        <v>168</v>
      </c>
      <c r="L315" s="83" t="s">
        <v>169</v>
      </c>
      <c r="M315" s="82" t="s">
        <v>4747</v>
      </c>
      <c r="N315" s="82" t="s">
        <v>4748</v>
      </c>
      <c r="O315" s="82" t="s">
        <v>4749</v>
      </c>
      <c r="P315" s="82" t="s">
        <v>4750</v>
      </c>
      <c r="Q315" s="82"/>
      <c r="R315" s="82"/>
      <c r="S315" s="82" t="s">
        <v>4751</v>
      </c>
      <c r="T315" s="138">
        <v>5.0</v>
      </c>
      <c r="U315" s="323">
        <v>3.0</v>
      </c>
      <c r="V315" s="106">
        <v>0.0</v>
      </c>
      <c r="W315" s="107">
        <v>0.0</v>
      </c>
      <c r="X315" s="107">
        <v>0.0</v>
      </c>
      <c r="Y315" s="107">
        <v>0.0</v>
      </c>
      <c r="Z315" s="80">
        <v>0.0</v>
      </c>
      <c r="AA315" s="140">
        <v>0.0</v>
      </c>
      <c r="AB315" s="109">
        <v>0.0</v>
      </c>
      <c r="AC315" s="109">
        <v>0.0</v>
      </c>
      <c r="AD315" s="141">
        <v>0.0</v>
      </c>
      <c r="AE315" s="80">
        <v>0.0</v>
      </c>
      <c r="AF315" s="140">
        <v>0.0</v>
      </c>
      <c r="AG315" s="109">
        <v>52.0</v>
      </c>
      <c r="AH315" s="109">
        <v>0.0</v>
      </c>
      <c r="AI315" s="141">
        <v>0.0</v>
      </c>
      <c r="AJ315" s="80">
        <v>52.0</v>
      </c>
      <c r="AK315" s="140">
        <v>0.0</v>
      </c>
      <c r="AL315" s="109">
        <v>0.0</v>
      </c>
      <c r="AM315" s="141">
        <v>0.0</v>
      </c>
      <c r="AN315" s="80">
        <v>0.0</v>
      </c>
      <c r="AO315" s="140">
        <v>0.0</v>
      </c>
      <c r="AP315" s="109">
        <v>0.0</v>
      </c>
      <c r="AQ315" s="109">
        <v>19.0</v>
      </c>
      <c r="AR315" s="80">
        <v>19.0</v>
      </c>
      <c r="AS315" s="110">
        <v>0.0</v>
      </c>
      <c r="AT315" s="110">
        <v>0.0</v>
      </c>
      <c r="AU315" s="110">
        <v>0.0</v>
      </c>
      <c r="AV315" s="142">
        <v>0.0</v>
      </c>
      <c r="AW315" s="80">
        <v>0.0</v>
      </c>
      <c r="AX315" s="113">
        <v>71.0</v>
      </c>
      <c r="AY315" s="117">
        <v>52.0</v>
      </c>
      <c r="AZ315" s="328">
        <v>19.0</v>
      </c>
      <c r="BA315" s="315">
        <v>0.0</v>
      </c>
      <c r="BB315" s="316">
        <v>71.0</v>
      </c>
      <c r="BC315" s="132" t="s">
        <v>373</v>
      </c>
      <c r="BD315" s="132" t="s">
        <v>178</v>
      </c>
      <c r="BE315" s="132" t="s">
        <v>178</v>
      </c>
      <c r="BF315" s="361"/>
      <c r="BG315" s="83">
        <v>1179209.0</v>
      </c>
      <c r="BH315" s="112">
        <v>3.0</v>
      </c>
      <c r="BI315" s="98" t="s">
        <v>155</v>
      </c>
      <c r="BJ315" s="98" t="str">
        <f t="shared" si="1"/>
        <v>NÃO</v>
      </c>
      <c r="BK315" s="98" t="str">
        <f t="shared" si="2"/>
        <v>NÃO</v>
      </c>
    </row>
    <row r="316" ht="15.75" customHeight="1">
      <c r="A316" s="111" t="s">
        <v>383</v>
      </c>
      <c r="B316" s="83" t="s">
        <v>1270</v>
      </c>
      <c r="C316" s="83" t="s">
        <v>164</v>
      </c>
      <c r="D316" s="83">
        <v>1179292.0</v>
      </c>
      <c r="E316" s="83">
        <v>1179216.0</v>
      </c>
      <c r="F316" s="83"/>
      <c r="G316" s="185" t="s">
        <v>1304</v>
      </c>
      <c r="H316" s="91" t="s">
        <v>1305</v>
      </c>
      <c r="I316" s="114" t="s">
        <v>149</v>
      </c>
      <c r="J316" s="83" t="s">
        <v>784</v>
      </c>
      <c r="K316" s="83" t="s">
        <v>168</v>
      </c>
      <c r="L316" s="83" t="s">
        <v>169</v>
      </c>
      <c r="M316" s="82" t="s">
        <v>4289</v>
      </c>
      <c r="N316" s="82" t="s">
        <v>4290</v>
      </c>
      <c r="O316" s="82" t="s">
        <v>4291</v>
      </c>
      <c r="P316" s="82" t="s">
        <v>4292</v>
      </c>
      <c r="Q316" s="82" t="s">
        <v>4293</v>
      </c>
      <c r="R316" s="82" t="s">
        <v>4294</v>
      </c>
      <c r="S316" s="82" t="s">
        <v>4295</v>
      </c>
      <c r="T316" s="138">
        <v>3.0</v>
      </c>
      <c r="U316" s="323">
        <v>3.0</v>
      </c>
      <c r="V316" s="106">
        <v>0.0</v>
      </c>
      <c r="W316" s="107">
        <v>0.0</v>
      </c>
      <c r="X316" s="107">
        <v>0.0</v>
      </c>
      <c r="Y316" s="107">
        <v>0.0</v>
      </c>
      <c r="Z316" s="80">
        <v>0.0</v>
      </c>
      <c r="AA316" s="140">
        <v>0.0</v>
      </c>
      <c r="AB316" s="109">
        <v>0.0</v>
      </c>
      <c r="AC316" s="109">
        <v>0.0</v>
      </c>
      <c r="AD316" s="141">
        <v>0.0</v>
      </c>
      <c r="AE316" s="80">
        <v>0.0</v>
      </c>
      <c r="AF316" s="140">
        <v>0.0</v>
      </c>
      <c r="AG316" s="109">
        <v>0.0</v>
      </c>
      <c r="AH316" s="109">
        <v>33.0</v>
      </c>
      <c r="AI316" s="141">
        <v>0.0</v>
      </c>
      <c r="AJ316" s="80">
        <v>33.0</v>
      </c>
      <c r="AK316" s="140">
        <v>0.0</v>
      </c>
      <c r="AL316" s="109">
        <v>0.0</v>
      </c>
      <c r="AM316" s="141">
        <v>0.0</v>
      </c>
      <c r="AN316" s="80">
        <v>0.0</v>
      </c>
      <c r="AO316" s="140">
        <v>0.0</v>
      </c>
      <c r="AP316" s="109">
        <v>0.0</v>
      </c>
      <c r="AQ316" s="109">
        <v>0.0</v>
      </c>
      <c r="AR316" s="80">
        <v>0.0</v>
      </c>
      <c r="AS316" s="110">
        <v>0.0</v>
      </c>
      <c r="AT316" s="110">
        <v>0.0</v>
      </c>
      <c r="AU316" s="110">
        <v>0.0</v>
      </c>
      <c r="AV316" s="142">
        <v>0.0</v>
      </c>
      <c r="AW316" s="80">
        <v>0.0</v>
      </c>
      <c r="AX316" s="113">
        <v>33.0</v>
      </c>
      <c r="AY316" s="117">
        <v>0.0</v>
      </c>
      <c r="AZ316" s="328">
        <v>33.0</v>
      </c>
      <c r="BA316" s="315">
        <v>0.0</v>
      </c>
      <c r="BB316" s="316">
        <v>33.0</v>
      </c>
      <c r="BC316" s="132" t="s">
        <v>178</v>
      </c>
      <c r="BD316" s="143" t="s">
        <v>227</v>
      </c>
      <c r="BE316" s="132" t="s">
        <v>178</v>
      </c>
      <c r="BF316" s="123"/>
      <c r="BG316" s="83">
        <v>1179216.0</v>
      </c>
      <c r="BH316" s="112">
        <v>3.0</v>
      </c>
      <c r="BI316" s="98" t="s">
        <v>155</v>
      </c>
      <c r="BJ316" s="98" t="str">
        <f t="shared" si="1"/>
        <v>NÃO</v>
      </c>
      <c r="BK316" s="98" t="str">
        <f t="shared" si="2"/>
        <v>NÃO</v>
      </c>
    </row>
    <row r="317" ht="15.75" customHeight="1">
      <c r="A317" s="111" t="s">
        <v>383</v>
      </c>
      <c r="B317" s="83" t="s">
        <v>1270</v>
      </c>
      <c r="C317" s="83" t="s">
        <v>164</v>
      </c>
      <c r="D317" s="83">
        <v>1179292.0</v>
      </c>
      <c r="E317" s="83">
        <v>1178611.0</v>
      </c>
      <c r="F317" s="83"/>
      <c r="G317" s="185" t="s">
        <v>1307</v>
      </c>
      <c r="H317" s="91" t="s">
        <v>1308</v>
      </c>
      <c r="I317" s="187" t="s">
        <v>149</v>
      </c>
      <c r="J317" s="83" t="s">
        <v>315</v>
      </c>
      <c r="K317" s="83" t="s">
        <v>168</v>
      </c>
      <c r="L317" s="83" t="s">
        <v>169</v>
      </c>
      <c r="M317" s="82" t="s">
        <v>4289</v>
      </c>
      <c r="N317" s="82" t="s">
        <v>4290</v>
      </c>
      <c r="O317" s="82" t="s">
        <v>4291</v>
      </c>
      <c r="P317" s="82" t="s">
        <v>4292</v>
      </c>
      <c r="Q317" s="82" t="s">
        <v>4293</v>
      </c>
      <c r="R317" s="82" t="s">
        <v>4294</v>
      </c>
      <c r="S317" s="82" t="s">
        <v>4295</v>
      </c>
      <c r="T317" s="138">
        <v>3.0</v>
      </c>
      <c r="U317" s="323">
        <v>3.0</v>
      </c>
      <c r="V317" s="106">
        <v>0.0</v>
      </c>
      <c r="W317" s="107">
        <v>0.0</v>
      </c>
      <c r="X317" s="107">
        <v>0.0</v>
      </c>
      <c r="Y317" s="107">
        <v>0.0</v>
      </c>
      <c r="Z317" s="80">
        <v>0.0</v>
      </c>
      <c r="AA317" s="140">
        <v>0.0</v>
      </c>
      <c r="AB317" s="109">
        <v>0.0</v>
      </c>
      <c r="AC317" s="109">
        <v>0.0</v>
      </c>
      <c r="AD317" s="141">
        <v>0.0</v>
      </c>
      <c r="AE317" s="80">
        <v>0.0</v>
      </c>
      <c r="AF317" s="140">
        <v>0.0</v>
      </c>
      <c r="AG317" s="109">
        <v>0.0</v>
      </c>
      <c r="AH317" s="109">
        <v>23.0</v>
      </c>
      <c r="AI317" s="141">
        <v>0.0</v>
      </c>
      <c r="AJ317" s="80">
        <v>23.0</v>
      </c>
      <c r="AK317" s="140">
        <v>0.0</v>
      </c>
      <c r="AL317" s="109">
        <v>0.0</v>
      </c>
      <c r="AM317" s="141">
        <v>0.0</v>
      </c>
      <c r="AN317" s="80">
        <v>0.0</v>
      </c>
      <c r="AO317" s="140">
        <v>0.0</v>
      </c>
      <c r="AP317" s="109">
        <v>0.0</v>
      </c>
      <c r="AQ317" s="109">
        <v>0.0</v>
      </c>
      <c r="AR317" s="80">
        <v>0.0</v>
      </c>
      <c r="AS317" s="110">
        <v>0.0</v>
      </c>
      <c r="AT317" s="110">
        <v>0.0</v>
      </c>
      <c r="AU317" s="110">
        <v>0.0</v>
      </c>
      <c r="AV317" s="142">
        <v>0.0</v>
      </c>
      <c r="AW317" s="80">
        <v>0.0</v>
      </c>
      <c r="AX317" s="113">
        <v>23.0</v>
      </c>
      <c r="AY317" s="117">
        <v>0.0</v>
      </c>
      <c r="AZ317" s="328">
        <v>23.0</v>
      </c>
      <c r="BA317" s="315">
        <v>0.0</v>
      </c>
      <c r="BB317" s="316">
        <v>23.0</v>
      </c>
      <c r="BC317" s="132" t="s">
        <v>178</v>
      </c>
      <c r="BD317" s="143" t="s">
        <v>227</v>
      </c>
      <c r="BE317" s="132" t="s">
        <v>178</v>
      </c>
      <c r="BF317" s="123"/>
      <c r="BG317" s="83">
        <v>1178611.0</v>
      </c>
      <c r="BH317" s="112">
        <v>3.0</v>
      </c>
      <c r="BI317" s="98" t="s">
        <v>155</v>
      </c>
      <c r="BJ317" s="98" t="str">
        <f t="shared" si="1"/>
        <v>NÃO</v>
      </c>
      <c r="BK317" s="98" t="str">
        <f t="shared" si="2"/>
        <v>NÃO</v>
      </c>
    </row>
    <row r="318" ht="15.75" customHeight="1">
      <c r="A318" s="111" t="s">
        <v>383</v>
      </c>
      <c r="B318" s="83" t="s">
        <v>1309</v>
      </c>
      <c r="C318" s="83" t="s">
        <v>68</v>
      </c>
      <c r="D318" s="83">
        <v>1116446.0</v>
      </c>
      <c r="E318" s="83"/>
      <c r="F318" s="83">
        <v>2.9147913E7</v>
      </c>
      <c r="G318" s="184" t="s">
        <v>1310</v>
      </c>
      <c r="H318" s="91" t="s">
        <v>4790</v>
      </c>
      <c r="I318" s="187" t="s">
        <v>149</v>
      </c>
      <c r="J318" s="83" t="s">
        <v>150</v>
      </c>
      <c r="K318" s="83" t="s">
        <v>151</v>
      </c>
      <c r="L318" s="83" t="s">
        <v>152</v>
      </c>
      <c r="M318" s="82" t="s">
        <v>4791</v>
      </c>
      <c r="N318" s="82" t="s">
        <v>4792</v>
      </c>
      <c r="O318" s="82" t="s">
        <v>4793</v>
      </c>
      <c r="P318" s="82" t="s">
        <v>4794</v>
      </c>
      <c r="Q318" s="82" t="s">
        <v>4795</v>
      </c>
      <c r="R318" s="82" t="s">
        <v>4796</v>
      </c>
      <c r="S318" s="82" t="s">
        <v>4797</v>
      </c>
      <c r="T318" s="138">
        <v>10.0</v>
      </c>
      <c r="U318" s="323">
        <v>10.0</v>
      </c>
      <c r="V318" s="106">
        <v>0.0</v>
      </c>
      <c r="W318" s="107">
        <v>0.0</v>
      </c>
      <c r="X318" s="107">
        <v>0.0</v>
      </c>
      <c r="Y318" s="107">
        <v>0.0</v>
      </c>
      <c r="Z318" s="80">
        <v>0.0</v>
      </c>
      <c r="AA318" s="140">
        <v>0.0</v>
      </c>
      <c r="AB318" s="109">
        <v>0.0</v>
      </c>
      <c r="AC318" s="109">
        <v>0.0</v>
      </c>
      <c r="AD318" s="141">
        <v>0.0</v>
      </c>
      <c r="AE318" s="80">
        <v>0.0</v>
      </c>
      <c r="AF318" s="140">
        <v>142.0</v>
      </c>
      <c r="AG318" s="109">
        <v>126.0</v>
      </c>
      <c r="AH318" s="109">
        <v>0.0</v>
      </c>
      <c r="AI318" s="141">
        <v>116.0</v>
      </c>
      <c r="AJ318" s="80">
        <v>384.0</v>
      </c>
      <c r="AK318" s="140">
        <v>0.0</v>
      </c>
      <c r="AL318" s="109">
        <v>0.0</v>
      </c>
      <c r="AM318" s="141">
        <v>0.0</v>
      </c>
      <c r="AN318" s="80">
        <v>0.0</v>
      </c>
      <c r="AO318" s="140">
        <v>0.0</v>
      </c>
      <c r="AP318" s="109">
        <v>0.0</v>
      </c>
      <c r="AQ318" s="109">
        <v>44.0</v>
      </c>
      <c r="AR318" s="80">
        <v>44.0</v>
      </c>
      <c r="AS318" s="110">
        <v>94.0</v>
      </c>
      <c r="AT318" s="110">
        <v>51.0</v>
      </c>
      <c r="AU318" s="110">
        <v>0.0</v>
      </c>
      <c r="AV318" s="142">
        <v>0.0</v>
      </c>
      <c r="AW318" s="80">
        <v>145.0</v>
      </c>
      <c r="AX318" s="113">
        <v>573.0</v>
      </c>
      <c r="AY318" s="117">
        <v>529.0</v>
      </c>
      <c r="AZ318" s="328">
        <v>44.0</v>
      </c>
      <c r="BA318" s="315">
        <v>0.0</v>
      </c>
      <c r="BB318" s="316">
        <v>573.0</v>
      </c>
      <c r="BC318" s="132" t="s">
        <v>178</v>
      </c>
      <c r="BD318" s="132" t="s">
        <v>178</v>
      </c>
      <c r="BE318" s="132" t="s">
        <v>178</v>
      </c>
      <c r="BF318" s="123"/>
      <c r="BG318" s="83">
        <v>1116446.0</v>
      </c>
      <c r="BH318" s="112">
        <v>10.0</v>
      </c>
      <c r="BI318" s="98" t="s">
        <v>155</v>
      </c>
      <c r="BJ318" s="98" t="str">
        <f t="shared" si="1"/>
        <v>INTEGRAL</v>
      </c>
      <c r="BK318" s="98" t="str">
        <f t="shared" si="2"/>
        <v>PROFISSIONAL</v>
      </c>
    </row>
    <row r="319" ht="15.75" customHeight="1">
      <c r="A319" s="111" t="s">
        <v>383</v>
      </c>
      <c r="B319" s="83" t="s">
        <v>1309</v>
      </c>
      <c r="C319" s="83" t="s">
        <v>164</v>
      </c>
      <c r="D319" s="83">
        <v>1179292.0</v>
      </c>
      <c r="E319" s="83">
        <v>1179352.0</v>
      </c>
      <c r="F319" s="83"/>
      <c r="G319" s="185" t="s">
        <v>1314</v>
      </c>
      <c r="H319" s="91" t="s">
        <v>1315</v>
      </c>
      <c r="I319" s="187" t="s">
        <v>1316</v>
      </c>
      <c r="J319" s="83" t="s">
        <v>240</v>
      </c>
      <c r="K319" s="83" t="s">
        <v>168</v>
      </c>
      <c r="L319" s="83" t="s">
        <v>169</v>
      </c>
      <c r="M319" s="82" t="s">
        <v>4289</v>
      </c>
      <c r="N319" s="82" t="s">
        <v>4290</v>
      </c>
      <c r="O319" s="82" t="s">
        <v>4291</v>
      </c>
      <c r="P319" s="82" t="s">
        <v>4292</v>
      </c>
      <c r="Q319" s="82" t="s">
        <v>4293</v>
      </c>
      <c r="R319" s="82" t="s">
        <v>4294</v>
      </c>
      <c r="S319" s="82" t="s">
        <v>4295</v>
      </c>
      <c r="T319" s="138">
        <v>3.0</v>
      </c>
      <c r="U319" s="323">
        <v>3.0</v>
      </c>
      <c r="V319" s="106">
        <v>0.0</v>
      </c>
      <c r="W319" s="107">
        <v>0.0</v>
      </c>
      <c r="X319" s="107">
        <v>0.0</v>
      </c>
      <c r="Y319" s="107">
        <v>0.0</v>
      </c>
      <c r="Z319" s="80">
        <v>0.0</v>
      </c>
      <c r="AA319" s="140">
        <v>0.0</v>
      </c>
      <c r="AB319" s="109">
        <v>0.0</v>
      </c>
      <c r="AC319" s="109">
        <v>0.0</v>
      </c>
      <c r="AD319" s="141">
        <v>0.0</v>
      </c>
      <c r="AE319" s="80">
        <v>0.0</v>
      </c>
      <c r="AF319" s="140">
        <v>0.0</v>
      </c>
      <c r="AG319" s="109">
        <v>0.0</v>
      </c>
      <c r="AH319" s="109">
        <v>65.0</v>
      </c>
      <c r="AI319" s="141">
        <v>0.0</v>
      </c>
      <c r="AJ319" s="80">
        <v>65.0</v>
      </c>
      <c r="AK319" s="140">
        <v>0.0</v>
      </c>
      <c r="AL319" s="109">
        <v>0.0</v>
      </c>
      <c r="AM319" s="141">
        <v>0.0</v>
      </c>
      <c r="AN319" s="80">
        <v>0.0</v>
      </c>
      <c r="AO319" s="140">
        <v>0.0</v>
      </c>
      <c r="AP319" s="109">
        <v>0.0</v>
      </c>
      <c r="AQ319" s="109">
        <v>0.0</v>
      </c>
      <c r="AR319" s="80">
        <v>0.0</v>
      </c>
      <c r="AS319" s="110">
        <v>0.0</v>
      </c>
      <c r="AT319" s="110">
        <v>0.0</v>
      </c>
      <c r="AU319" s="110">
        <v>0.0</v>
      </c>
      <c r="AV319" s="142">
        <v>0.0</v>
      </c>
      <c r="AW319" s="80">
        <v>0.0</v>
      </c>
      <c r="AX319" s="113">
        <v>65.0</v>
      </c>
      <c r="AY319" s="117">
        <v>0.0</v>
      </c>
      <c r="AZ319" s="328">
        <v>65.0</v>
      </c>
      <c r="BA319" s="315">
        <v>0.0</v>
      </c>
      <c r="BB319" s="316">
        <v>65.0</v>
      </c>
      <c r="BC319" s="132" t="s">
        <v>178</v>
      </c>
      <c r="BD319" s="143" t="s">
        <v>227</v>
      </c>
      <c r="BE319" s="132" t="s">
        <v>178</v>
      </c>
      <c r="BF319" s="123"/>
      <c r="BG319" s="83">
        <v>1179352.0</v>
      </c>
      <c r="BH319" s="112">
        <v>3.0</v>
      </c>
      <c r="BI319" s="98" t="s">
        <v>155</v>
      </c>
      <c r="BJ319" s="98" t="str">
        <f t="shared" si="1"/>
        <v>NÃO</v>
      </c>
      <c r="BK319" s="98" t="str">
        <f t="shared" si="2"/>
        <v>NÃO</v>
      </c>
    </row>
    <row r="320" ht="15.75" customHeight="1">
      <c r="A320" s="111" t="s">
        <v>383</v>
      </c>
      <c r="B320" s="83" t="s">
        <v>1317</v>
      </c>
      <c r="C320" s="83" t="s">
        <v>68</v>
      </c>
      <c r="D320" s="83">
        <v>1114958.0</v>
      </c>
      <c r="E320" s="83"/>
      <c r="F320" s="83">
        <v>2.9123143E7</v>
      </c>
      <c r="G320" s="114" t="s">
        <v>1318</v>
      </c>
      <c r="H320" s="91" t="s">
        <v>1319</v>
      </c>
      <c r="I320" s="114" t="s">
        <v>1320</v>
      </c>
      <c r="J320" s="83" t="s">
        <v>1321</v>
      </c>
      <c r="K320" s="83" t="s">
        <v>151</v>
      </c>
      <c r="L320" s="83" t="s">
        <v>76</v>
      </c>
      <c r="M320" s="82" t="s">
        <v>4804</v>
      </c>
      <c r="N320" s="82" t="s">
        <v>4805</v>
      </c>
      <c r="O320" s="82" t="s">
        <v>4806</v>
      </c>
      <c r="P320" s="82" t="s">
        <v>4807</v>
      </c>
      <c r="Q320" s="82"/>
      <c r="R320" s="82"/>
      <c r="S320" s="82" t="s">
        <v>4808</v>
      </c>
      <c r="T320" s="138">
        <v>8.0</v>
      </c>
      <c r="U320" s="352" t="s">
        <v>4809</v>
      </c>
      <c r="V320" s="106">
        <v>0.0</v>
      </c>
      <c r="W320" s="107">
        <v>0.0</v>
      </c>
      <c r="X320" s="107">
        <v>0.0</v>
      </c>
      <c r="Y320" s="107">
        <v>0.0</v>
      </c>
      <c r="Z320" s="80">
        <v>0.0</v>
      </c>
      <c r="AA320" s="140">
        <v>0.0</v>
      </c>
      <c r="AB320" s="109">
        <v>0.0</v>
      </c>
      <c r="AC320" s="109">
        <v>0.0</v>
      </c>
      <c r="AD320" s="141">
        <v>0.0</v>
      </c>
      <c r="AE320" s="80">
        <v>0.0</v>
      </c>
      <c r="AF320" s="140">
        <v>233.0</v>
      </c>
      <c r="AG320" s="109">
        <v>55.0</v>
      </c>
      <c r="AH320" s="109">
        <v>0.0</v>
      </c>
      <c r="AI320" s="141">
        <v>0.0</v>
      </c>
      <c r="AJ320" s="80">
        <v>288.0</v>
      </c>
      <c r="AK320" s="140">
        <v>0.0</v>
      </c>
      <c r="AL320" s="109">
        <v>0.0</v>
      </c>
      <c r="AM320" s="141">
        <v>0.0</v>
      </c>
      <c r="AN320" s="80">
        <v>0.0</v>
      </c>
      <c r="AO320" s="140">
        <v>0.0</v>
      </c>
      <c r="AP320" s="109">
        <v>0.0</v>
      </c>
      <c r="AQ320" s="109">
        <v>82.0</v>
      </c>
      <c r="AR320" s="80">
        <v>82.0</v>
      </c>
      <c r="AS320" s="110">
        <v>0.0</v>
      </c>
      <c r="AT320" s="110">
        <v>0.0</v>
      </c>
      <c r="AU320" s="110">
        <v>0.0</v>
      </c>
      <c r="AV320" s="142">
        <v>0.0</v>
      </c>
      <c r="AW320" s="80">
        <v>0.0</v>
      </c>
      <c r="AX320" s="113">
        <v>370.0</v>
      </c>
      <c r="AY320" s="117">
        <v>288.0</v>
      </c>
      <c r="AZ320" s="328">
        <v>82.0</v>
      </c>
      <c r="BA320" s="315">
        <v>0.0</v>
      </c>
      <c r="BB320" s="316">
        <v>370.0</v>
      </c>
      <c r="BC320" s="132" t="s">
        <v>178</v>
      </c>
      <c r="BD320" s="132" t="s">
        <v>178</v>
      </c>
      <c r="BE320" s="132" t="s">
        <v>178</v>
      </c>
      <c r="BF320" s="123"/>
      <c r="BG320" s="83">
        <v>1114958.0</v>
      </c>
      <c r="BH320" s="112">
        <v>7.0</v>
      </c>
      <c r="BI320" s="98" t="s">
        <v>284</v>
      </c>
      <c r="BJ320" s="98" t="str">
        <f t="shared" si="1"/>
        <v>NÃO</v>
      </c>
      <c r="BK320" s="98" t="str">
        <f t="shared" si="2"/>
        <v>NÃO</v>
      </c>
    </row>
    <row r="321" ht="15.75" customHeight="1">
      <c r="A321" s="111" t="s">
        <v>383</v>
      </c>
      <c r="B321" s="83" t="s">
        <v>1317</v>
      </c>
      <c r="C321" s="83" t="s">
        <v>68</v>
      </c>
      <c r="D321" s="83">
        <v>1115105.0</v>
      </c>
      <c r="E321" s="83"/>
      <c r="F321" s="83">
        <v>2.9124212E7</v>
      </c>
      <c r="G321" s="119" t="s">
        <v>4814</v>
      </c>
      <c r="H321" s="91" t="s">
        <v>1325</v>
      </c>
      <c r="I321" s="187" t="s">
        <v>149</v>
      </c>
      <c r="J321" s="83" t="s">
        <v>150</v>
      </c>
      <c r="K321" s="83" t="s">
        <v>151</v>
      </c>
      <c r="L321" s="83" t="s">
        <v>1326</v>
      </c>
      <c r="M321" s="82" t="s">
        <v>4815</v>
      </c>
      <c r="N321" s="82" t="s">
        <v>4816</v>
      </c>
      <c r="O321" s="82" t="s">
        <v>4817</v>
      </c>
      <c r="P321" s="82" t="s">
        <v>4818</v>
      </c>
      <c r="Q321" s="82"/>
      <c r="R321" s="82"/>
      <c r="S321" s="82" t="s">
        <v>4819</v>
      </c>
      <c r="T321" s="138">
        <v>17.0</v>
      </c>
      <c r="U321" s="352" t="s">
        <v>4820</v>
      </c>
      <c r="V321" s="106">
        <v>0.0</v>
      </c>
      <c r="W321" s="107">
        <v>0.0</v>
      </c>
      <c r="X321" s="107">
        <v>0.0</v>
      </c>
      <c r="Y321" s="107">
        <v>0.0</v>
      </c>
      <c r="Z321" s="80">
        <v>0.0</v>
      </c>
      <c r="AA321" s="140">
        <v>0.0</v>
      </c>
      <c r="AB321" s="109">
        <v>0.0</v>
      </c>
      <c r="AC321" s="109">
        <v>0.0</v>
      </c>
      <c r="AD321" s="141">
        <v>0.0</v>
      </c>
      <c r="AE321" s="80">
        <v>0.0</v>
      </c>
      <c r="AF321" s="140">
        <v>219.0</v>
      </c>
      <c r="AG321" s="109">
        <v>262.0</v>
      </c>
      <c r="AH321" s="109">
        <v>23.0</v>
      </c>
      <c r="AI321" s="141">
        <v>361.0</v>
      </c>
      <c r="AJ321" s="80">
        <v>865.0</v>
      </c>
      <c r="AK321" s="140">
        <v>0.0</v>
      </c>
      <c r="AL321" s="109">
        <v>0.0</v>
      </c>
      <c r="AM321" s="141">
        <v>0.0</v>
      </c>
      <c r="AN321" s="80">
        <v>0.0</v>
      </c>
      <c r="AO321" s="140">
        <v>0.0</v>
      </c>
      <c r="AP321" s="109">
        <v>0.0</v>
      </c>
      <c r="AQ321" s="109">
        <v>80.0</v>
      </c>
      <c r="AR321" s="80">
        <v>80.0</v>
      </c>
      <c r="AS321" s="110">
        <v>126.0</v>
      </c>
      <c r="AT321" s="110">
        <v>205.0</v>
      </c>
      <c r="AU321" s="110">
        <v>60.0</v>
      </c>
      <c r="AV321" s="142">
        <v>0.0</v>
      </c>
      <c r="AW321" s="80">
        <v>391.0</v>
      </c>
      <c r="AX321" s="113">
        <v>1336.0</v>
      </c>
      <c r="AY321" s="117">
        <v>1173.0</v>
      </c>
      <c r="AZ321" s="328">
        <v>163.0</v>
      </c>
      <c r="BA321" s="315">
        <v>0.0</v>
      </c>
      <c r="BB321" s="316">
        <v>1336.0</v>
      </c>
      <c r="BC321" s="132" t="s">
        <v>178</v>
      </c>
      <c r="BD321" s="132" t="s">
        <v>178</v>
      </c>
      <c r="BE321" s="132" t="s">
        <v>178</v>
      </c>
      <c r="BF321" s="156"/>
      <c r="BG321" s="83">
        <v>1115105.0</v>
      </c>
      <c r="BH321" s="112">
        <v>26.0</v>
      </c>
      <c r="BI321" s="98" t="s">
        <v>162</v>
      </c>
      <c r="BJ321" s="98" t="str">
        <f t="shared" si="1"/>
        <v>INTEGRAL</v>
      </c>
      <c r="BK321" s="98" t="str">
        <f t="shared" si="2"/>
        <v>PROFISSIONAL</v>
      </c>
    </row>
    <row r="322" ht="15.75" customHeight="1">
      <c r="A322" s="111" t="s">
        <v>383</v>
      </c>
      <c r="B322" s="83" t="s">
        <v>1328</v>
      </c>
      <c r="C322" s="83" t="s">
        <v>45</v>
      </c>
      <c r="D322" s="83">
        <v>1178381.0</v>
      </c>
      <c r="E322" s="83"/>
      <c r="F322" s="83">
        <v>2.9345146E7</v>
      </c>
      <c r="G322" s="114" t="s">
        <v>1329</v>
      </c>
      <c r="H322" s="91" t="s">
        <v>1330</v>
      </c>
      <c r="I322" s="296" t="s">
        <v>149</v>
      </c>
      <c r="J322" s="98" t="s">
        <v>784</v>
      </c>
      <c r="K322" s="83" t="s">
        <v>171</v>
      </c>
      <c r="L322" s="83" t="s">
        <v>512</v>
      </c>
      <c r="M322" s="82" t="s">
        <v>4822</v>
      </c>
      <c r="N322" s="82" t="s">
        <v>4823</v>
      </c>
      <c r="O322" s="82" t="s">
        <v>4824</v>
      </c>
      <c r="P322" s="82" t="s">
        <v>4825</v>
      </c>
      <c r="Q322" s="82"/>
      <c r="R322" s="82"/>
      <c r="S322" s="82"/>
      <c r="T322" s="138">
        <v>8.0</v>
      </c>
      <c r="U322" s="389" t="s">
        <v>171</v>
      </c>
      <c r="V322" s="106">
        <v>0.0</v>
      </c>
      <c r="W322" s="107">
        <v>0.0</v>
      </c>
      <c r="X322" s="107">
        <v>0.0</v>
      </c>
      <c r="Y322" s="107">
        <v>0.0</v>
      </c>
      <c r="Z322" s="80">
        <v>0.0</v>
      </c>
      <c r="AA322" s="140">
        <v>0.0</v>
      </c>
      <c r="AB322" s="109">
        <v>0.0</v>
      </c>
      <c r="AC322" s="109">
        <v>0.0</v>
      </c>
      <c r="AD322" s="141">
        <v>67.0</v>
      </c>
      <c r="AE322" s="80">
        <v>67.0</v>
      </c>
      <c r="AF322" s="140">
        <v>0.0</v>
      </c>
      <c r="AG322" s="109">
        <v>0.0</v>
      </c>
      <c r="AH322" s="109">
        <v>0.0</v>
      </c>
      <c r="AI322" s="141">
        <v>69.0</v>
      </c>
      <c r="AJ322" s="80">
        <v>69.0</v>
      </c>
      <c r="AK322" s="140">
        <v>0.0</v>
      </c>
      <c r="AL322" s="109">
        <v>0.0</v>
      </c>
      <c r="AM322" s="141">
        <v>0.0</v>
      </c>
      <c r="AN322" s="80">
        <v>0.0</v>
      </c>
      <c r="AO322" s="140">
        <v>0.0</v>
      </c>
      <c r="AP322" s="109">
        <v>0.0</v>
      </c>
      <c r="AQ322" s="109">
        <v>0.0</v>
      </c>
      <c r="AR322" s="80">
        <v>0.0</v>
      </c>
      <c r="AS322" s="110">
        <v>0.0</v>
      </c>
      <c r="AT322" s="110">
        <v>0.0</v>
      </c>
      <c r="AU322" s="110">
        <v>0.0</v>
      </c>
      <c r="AV322" s="142">
        <v>0.0</v>
      </c>
      <c r="AW322" s="80">
        <v>0.0</v>
      </c>
      <c r="AX322" s="113">
        <v>136.0</v>
      </c>
      <c r="AY322" s="117">
        <v>136.0</v>
      </c>
      <c r="AZ322" s="328">
        <v>0.0</v>
      </c>
      <c r="BA322" s="315">
        <v>0.0</v>
      </c>
      <c r="BB322" s="316">
        <v>136.0</v>
      </c>
      <c r="BC322" s="132" t="s">
        <v>178</v>
      </c>
      <c r="BD322" s="132" t="s">
        <v>178</v>
      </c>
      <c r="BE322" s="132" t="s">
        <v>178</v>
      </c>
      <c r="BF322" s="123"/>
      <c r="BG322" s="83">
        <v>1178381.0</v>
      </c>
      <c r="BH322" s="112">
        <v>8.0</v>
      </c>
      <c r="BI322" s="98" t="s">
        <v>155</v>
      </c>
      <c r="BJ322" s="98" t="str">
        <f t="shared" si="1"/>
        <v>INTEGRAL</v>
      </c>
      <c r="BK322" s="98" t="str">
        <f t="shared" si="2"/>
        <v>NÃO</v>
      </c>
    </row>
    <row r="323" ht="15.75" customHeight="1">
      <c r="A323" s="111" t="s">
        <v>383</v>
      </c>
      <c r="B323" s="83" t="s">
        <v>1328</v>
      </c>
      <c r="C323" s="83" t="s">
        <v>68</v>
      </c>
      <c r="D323" s="83">
        <v>1178275.0</v>
      </c>
      <c r="E323" s="83"/>
      <c r="F323" s="83">
        <v>2.9915783E7</v>
      </c>
      <c r="G323" s="153" t="s">
        <v>1332</v>
      </c>
      <c r="H323" s="91" t="s">
        <v>1333</v>
      </c>
      <c r="I323" s="114" t="s">
        <v>149</v>
      </c>
      <c r="J323" s="83" t="s">
        <v>240</v>
      </c>
      <c r="K323" s="83" t="s">
        <v>151</v>
      </c>
      <c r="L323" s="83" t="s">
        <v>169</v>
      </c>
      <c r="M323" s="82" t="s">
        <v>4830</v>
      </c>
      <c r="N323" s="82" t="s">
        <v>4831</v>
      </c>
      <c r="O323" s="82"/>
      <c r="P323" s="82"/>
      <c r="Q323" s="82"/>
      <c r="R323" s="82"/>
      <c r="S323" s="82" t="s">
        <v>4832</v>
      </c>
      <c r="T323" s="138">
        <v>6.0</v>
      </c>
      <c r="U323" s="389">
        <v>6.0</v>
      </c>
      <c r="V323" s="106">
        <v>0.0</v>
      </c>
      <c r="W323" s="107">
        <v>0.0</v>
      </c>
      <c r="X323" s="107">
        <v>0.0</v>
      </c>
      <c r="Y323" s="107">
        <v>0.0</v>
      </c>
      <c r="Z323" s="80">
        <v>0.0</v>
      </c>
      <c r="AA323" s="140">
        <v>0.0</v>
      </c>
      <c r="AB323" s="109">
        <v>0.0</v>
      </c>
      <c r="AC323" s="109">
        <v>0.0</v>
      </c>
      <c r="AD323" s="141">
        <v>0.0</v>
      </c>
      <c r="AE323" s="80">
        <v>0.0</v>
      </c>
      <c r="AF323" s="140">
        <v>0.0</v>
      </c>
      <c r="AG323" s="109">
        <v>72.0</v>
      </c>
      <c r="AH323" s="109">
        <v>0.0</v>
      </c>
      <c r="AI323" s="141">
        <v>0.0</v>
      </c>
      <c r="AJ323" s="80">
        <v>72.0</v>
      </c>
      <c r="AK323" s="140">
        <v>0.0</v>
      </c>
      <c r="AL323" s="109">
        <v>0.0</v>
      </c>
      <c r="AM323" s="141">
        <v>0.0</v>
      </c>
      <c r="AN323" s="80">
        <v>0.0</v>
      </c>
      <c r="AO323" s="140">
        <v>0.0</v>
      </c>
      <c r="AP323" s="109">
        <v>0.0</v>
      </c>
      <c r="AQ323" s="109">
        <v>5.0</v>
      </c>
      <c r="AR323" s="80">
        <v>5.0</v>
      </c>
      <c r="AS323" s="110">
        <v>0.0</v>
      </c>
      <c r="AT323" s="110">
        <v>0.0</v>
      </c>
      <c r="AU323" s="110">
        <v>0.0</v>
      </c>
      <c r="AV323" s="142">
        <v>0.0</v>
      </c>
      <c r="AW323" s="80">
        <v>0.0</v>
      </c>
      <c r="AX323" s="113">
        <v>77.0</v>
      </c>
      <c r="AY323" s="117">
        <v>72.0</v>
      </c>
      <c r="AZ323" s="328">
        <v>5.0</v>
      </c>
      <c r="BA323" s="315">
        <v>0.0</v>
      </c>
      <c r="BB323" s="316">
        <v>77.0</v>
      </c>
      <c r="BC323" s="132" t="s">
        <v>373</v>
      </c>
      <c r="BD323" s="132" t="s">
        <v>178</v>
      </c>
      <c r="BE323" s="132" t="s">
        <v>178</v>
      </c>
      <c r="BF323" s="123"/>
      <c r="BG323" s="83">
        <v>1178275.0</v>
      </c>
      <c r="BH323" s="112">
        <v>6.0</v>
      </c>
      <c r="BI323" s="98" t="s">
        <v>155</v>
      </c>
      <c r="BJ323" s="98" t="str">
        <f t="shared" si="1"/>
        <v>NÃO</v>
      </c>
      <c r="BK323" s="98" t="str">
        <f t="shared" si="2"/>
        <v>NÃO</v>
      </c>
    </row>
    <row r="324" ht="15.75" customHeight="1">
      <c r="A324" s="111" t="s">
        <v>383</v>
      </c>
      <c r="B324" s="83" t="s">
        <v>1328</v>
      </c>
      <c r="C324" s="83" t="s">
        <v>68</v>
      </c>
      <c r="D324" s="83">
        <v>1178102.0</v>
      </c>
      <c r="E324" s="83"/>
      <c r="F324" s="83">
        <v>2.943212E7</v>
      </c>
      <c r="G324" s="114" t="s">
        <v>1337</v>
      </c>
      <c r="H324" s="91" t="s">
        <v>1338</v>
      </c>
      <c r="I324" s="298" t="s">
        <v>149</v>
      </c>
      <c r="J324" s="172" t="s">
        <v>150</v>
      </c>
      <c r="K324" s="172" t="s">
        <v>151</v>
      </c>
      <c r="L324" s="83" t="s">
        <v>169</v>
      </c>
      <c r="M324" s="82" t="s">
        <v>4833</v>
      </c>
      <c r="N324" s="82" t="s">
        <v>4834</v>
      </c>
      <c r="O324" s="82" t="s">
        <v>4836</v>
      </c>
      <c r="P324" s="82" t="s">
        <v>4837</v>
      </c>
      <c r="Q324" s="82"/>
      <c r="R324" s="82"/>
      <c r="S324" s="82" t="s">
        <v>4838</v>
      </c>
      <c r="T324" s="138">
        <v>7.0</v>
      </c>
      <c r="U324" s="364">
        <v>7.0</v>
      </c>
      <c r="V324" s="106">
        <v>0.0</v>
      </c>
      <c r="W324" s="107">
        <v>0.0</v>
      </c>
      <c r="X324" s="107">
        <v>0.0</v>
      </c>
      <c r="Y324" s="107">
        <v>0.0</v>
      </c>
      <c r="Z324" s="80">
        <v>0.0</v>
      </c>
      <c r="AA324" s="140">
        <v>0.0</v>
      </c>
      <c r="AB324" s="109">
        <v>0.0</v>
      </c>
      <c r="AC324" s="109">
        <v>0.0</v>
      </c>
      <c r="AD324" s="141">
        <v>0.0</v>
      </c>
      <c r="AE324" s="80">
        <v>0.0</v>
      </c>
      <c r="AF324" s="246">
        <v>185.0</v>
      </c>
      <c r="AG324" s="246">
        <v>0.0</v>
      </c>
      <c r="AH324" s="246">
        <v>12.0</v>
      </c>
      <c r="AI324" s="247">
        <v>0.0</v>
      </c>
      <c r="AJ324" s="80">
        <v>197.0</v>
      </c>
      <c r="AK324" s="140">
        <v>0.0</v>
      </c>
      <c r="AL324" s="109">
        <v>0.0</v>
      </c>
      <c r="AM324" s="141">
        <v>0.0</v>
      </c>
      <c r="AN324" s="80">
        <v>0.0</v>
      </c>
      <c r="AO324" s="246">
        <v>0.0</v>
      </c>
      <c r="AP324" s="246">
        <v>0.0</v>
      </c>
      <c r="AQ324" s="247">
        <v>36.0</v>
      </c>
      <c r="AR324" s="80">
        <v>36.0</v>
      </c>
      <c r="AS324" s="110">
        <v>0.0</v>
      </c>
      <c r="AT324" s="110">
        <v>0.0</v>
      </c>
      <c r="AU324" s="110">
        <v>0.0</v>
      </c>
      <c r="AV324" s="142">
        <v>0.0</v>
      </c>
      <c r="AW324" s="80">
        <v>0.0</v>
      </c>
      <c r="AX324" s="113">
        <v>233.0</v>
      </c>
      <c r="AY324" s="117">
        <v>185.0</v>
      </c>
      <c r="AZ324" s="328">
        <v>48.0</v>
      </c>
      <c r="BA324" s="315">
        <v>1.0</v>
      </c>
      <c r="BB324" s="316">
        <v>234.0</v>
      </c>
      <c r="BC324" s="132" t="s">
        <v>178</v>
      </c>
      <c r="BD324" s="132" t="s">
        <v>178</v>
      </c>
      <c r="BE324" s="132" t="s">
        <v>178</v>
      </c>
      <c r="BF324" s="123"/>
      <c r="BG324" s="83">
        <v>1178102.0</v>
      </c>
      <c r="BH324" s="112">
        <v>7.0</v>
      </c>
      <c r="BI324" s="98" t="s">
        <v>155</v>
      </c>
      <c r="BJ324" s="98" t="str">
        <f t="shared" si="1"/>
        <v>NÃO</v>
      </c>
      <c r="BK324" s="98" t="str">
        <f t="shared" si="2"/>
        <v>NÃO</v>
      </c>
    </row>
    <row r="325" ht="15.75" customHeight="1">
      <c r="A325" s="111" t="s">
        <v>383</v>
      </c>
      <c r="B325" s="83" t="s">
        <v>1328</v>
      </c>
      <c r="C325" s="83" t="s">
        <v>68</v>
      </c>
      <c r="D325" s="83">
        <v>1116713.0</v>
      </c>
      <c r="E325" s="83"/>
      <c r="F325" s="83">
        <v>2.914938E7</v>
      </c>
      <c r="G325" s="119" t="s">
        <v>1341</v>
      </c>
      <c r="H325" s="91" t="s">
        <v>1342</v>
      </c>
      <c r="I325" s="114" t="s">
        <v>149</v>
      </c>
      <c r="J325" s="83" t="s">
        <v>150</v>
      </c>
      <c r="K325" s="83" t="s">
        <v>151</v>
      </c>
      <c r="L325" s="83" t="s">
        <v>152</v>
      </c>
      <c r="M325" s="82" t="s">
        <v>4842</v>
      </c>
      <c r="N325" s="82" t="s">
        <v>4843</v>
      </c>
      <c r="O325" s="82" t="s">
        <v>4844</v>
      </c>
      <c r="P325" s="82" t="s">
        <v>4845</v>
      </c>
      <c r="Q325" s="82" t="s">
        <v>4846</v>
      </c>
      <c r="R325" s="82" t="s">
        <v>4847</v>
      </c>
      <c r="S325" s="82" t="s">
        <v>4848</v>
      </c>
      <c r="T325" s="138">
        <v>15.0</v>
      </c>
      <c r="U325" s="323" t="s">
        <v>4849</v>
      </c>
      <c r="V325" s="106">
        <v>0.0</v>
      </c>
      <c r="W325" s="107">
        <v>0.0</v>
      </c>
      <c r="X325" s="107">
        <v>0.0</v>
      </c>
      <c r="Y325" s="107">
        <v>0.0</v>
      </c>
      <c r="Z325" s="80">
        <v>0.0</v>
      </c>
      <c r="AA325" s="140">
        <v>0.0</v>
      </c>
      <c r="AB325" s="109">
        <v>0.0</v>
      </c>
      <c r="AC325" s="109">
        <v>0.0</v>
      </c>
      <c r="AD325" s="141">
        <v>0.0</v>
      </c>
      <c r="AE325" s="80">
        <v>0.0</v>
      </c>
      <c r="AF325" s="140">
        <v>284.0</v>
      </c>
      <c r="AG325" s="109">
        <v>140.0</v>
      </c>
      <c r="AH325" s="109">
        <v>20.0</v>
      </c>
      <c r="AI325" s="141">
        <v>178.0</v>
      </c>
      <c r="AJ325" s="80">
        <v>622.0</v>
      </c>
      <c r="AK325" s="140">
        <v>0.0</v>
      </c>
      <c r="AL325" s="109">
        <v>0.0</v>
      </c>
      <c r="AM325" s="141">
        <v>0.0</v>
      </c>
      <c r="AN325" s="80">
        <v>0.0</v>
      </c>
      <c r="AO325" s="140">
        <v>0.0</v>
      </c>
      <c r="AP325" s="109">
        <v>0.0</v>
      </c>
      <c r="AQ325" s="109">
        <v>105.0</v>
      </c>
      <c r="AR325" s="80">
        <v>105.0</v>
      </c>
      <c r="AS325" s="110">
        <v>0.0</v>
      </c>
      <c r="AT325" s="110">
        <v>0.0</v>
      </c>
      <c r="AU325" s="110">
        <v>0.0</v>
      </c>
      <c r="AV325" s="142">
        <v>20.0</v>
      </c>
      <c r="AW325" s="80">
        <v>20.0</v>
      </c>
      <c r="AX325" s="113">
        <v>747.0</v>
      </c>
      <c r="AY325" s="117">
        <v>622.0</v>
      </c>
      <c r="AZ325" s="328">
        <v>125.0</v>
      </c>
      <c r="BA325" s="315">
        <v>18.0</v>
      </c>
      <c r="BB325" s="316">
        <v>765.0</v>
      </c>
      <c r="BC325" s="132" t="s">
        <v>178</v>
      </c>
      <c r="BD325" s="132" t="s">
        <v>178</v>
      </c>
      <c r="BE325" s="132" t="s">
        <v>178</v>
      </c>
      <c r="BF325" s="123"/>
      <c r="BG325" s="83">
        <v>1116713.0</v>
      </c>
      <c r="BH325" s="112">
        <v>13.0</v>
      </c>
      <c r="BI325" s="98" t="s">
        <v>284</v>
      </c>
      <c r="BJ325" s="98" t="str">
        <f t="shared" si="1"/>
        <v>INTEGRAL</v>
      </c>
      <c r="BK325" s="98" t="str">
        <f t="shared" si="2"/>
        <v>PROFISSIONAL</v>
      </c>
    </row>
    <row r="326" ht="15.75" customHeight="1">
      <c r="A326" s="111" t="s">
        <v>383</v>
      </c>
      <c r="B326" s="83" t="s">
        <v>1328</v>
      </c>
      <c r="C326" s="83" t="s">
        <v>164</v>
      </c>
      <c r="D326" s="83">
        <v>1179292.0</v>
      </c>
      <c r="E326" s="83">
        <v>1178613.0</v>
      </c>
      <c r="F326" s="83"/>
      <c r="G326" s="114" t="s">
        <v>1345</v>
      </c>
      <c r="H326" s="91" t="s">
        <v>1346</v>
      </c>
      <c r="I326" s="114" t="s">
        <v>171</v>
      </c>
      <c r="J326" s="83" t="s">
        <v>1347</v>
      </c>
      <c r="K326" s="83" t="s">
        <v>168</v>
      </c>
      <c r="L326" s="83" t="s">
        <v>169</v>
      </c>
      <c r="M326" s="82" t="s">
        <v>4289</v>
      </c>
      <c r="N326" s="82" t="s">
        <v>4290</v>
      </c>
      <c r="O326" s="82" t="s">
        <v>4291</v>
      </c>
      <c r="P326" s="82" t="s">
        <v>4292</v>
      </c>
      <c r="Q326" s="82" t="s">
        <v>4293</v>
      </c>
      <c r="R326" s="82" t="s">
        <v>4294</v>
      </c>
      <c r="S326" s="82" t="s">
        <v>4295</v>
      </c>
      <c r="T326" s="138">
        <v>3.0</v>
      </c>
      <c r="U326" s="323">
        <v>3.0</v>
      </c>
      <c r="V326" s="106">
        <v>0.0</v>
      </c>
      <c r="W326" s="107">
        <v>0.0</v>
      </c>
      <c r="X326" s="107">
        <v>0.0</v>
      </c>
      <c r="Y326" s="107">
        <v>0.0</v>
      </c>
      <c r="Z326" s="80">
        <v>0.0</v>
      </c>
      <c r="AA326" s="140">
        <v>0.0</v>
      </c>
      <c r="AB326" s="109">
        <v>0.0</v>
      </c>
      <c r="AC326" s="109">
        <v>0.0</v>
      </c>
      <c r="AD326" s="141">
        <v>0.0</v>
      </c>
      <c r="AE326" s="80">
        <v>0.0</v>
      </c>
      <c r="AF326" s="140">
        <v>0.0</v>
      </c>
      <c r="AG326" s="109">
        <v>0.0</v>
      </c>
      <c r="AH326" s="109">
        <v>60.0</v>
      </c>
      <c r="AI326" s="141">
        <v>0.0</v>
      </c>
      <c r="AJ326" s="80">
        <v>60.0</v>
      </c>
      <c r="AK326" s="140">
        <v>0.0</v>
      </c>
      <c r="AL326" s="109">
        <v>0.0</v>
      </c>
      <c r="AM326" s="141">
        <v>0.0</v>
      </c>
      <c r="AN326" s="80">
        <v>0.0</v>
      </c>
      <c r="AO326" s="140">
        <v>0.0</v>
      </c>
      <c r="AP326" s="109">
        <v>0.0</v>
      </c>
      <c r="AQ326" s="109">
        <v>0.0</v>
      </c>
      <c r="AR326" s="80">
        <v>0.0</v>
      </c>
      <c r="AS326" s="110">
        <v>0.0</v>
      </c>
      <c r="AT326" s="110">
        <v>0.0</v>
      </c>
      <c r="AU326" s="110">
        <v>0.0</v>
      </c>
      <c r="AV326" s="142">
        <v>0.0</v>
      </c>
      <c r="AW326" s="80">
        <v>0.0</v>
      </c>
      <c r="AX326" s="113">
        <v>60.0</v>
      </c>
      <c r="AY326" s="117">
        <v>0.0</v>
      </c>
      <c r="AZ326" s="328">
        <v>60.0</v>
      </c>
      <c r="BA326" s="315">
        <v>0.0</v>
      </c>
      <c r="BB326" s="316">
        <v>60.0</v>
      </c>
      <c r="BC326" s="132" t="s">
        <v>178</v>
      </c>
      <c r="BD326" s="143" t="s">
        <v>227</v>
      </c>
      <c r="BE326" s="132" t="s">
        <v>178</v>
      </c>
      <c r="BF326" s="123"/>
      <c r="BG326" s="83">
        <v>1178613.0</v>
      </c>
      <c r="BH326" s="112">
        <v>3.0</v>
      </c>
      <c r="BI326" s="98" t="s">
        <v>155</v>
      </c>
      <c r="BJ326" s="98" t="str">
        <f t="shared" si="1"/>
        <v>NÃO</v>
      </c>
      <c r="BK326" s="98" t="str">
        <f t="shared" si="2"/>
        <v>NÃO</v>
      </c>
    </row>
    <row r="327" ht="15.75" customHeight="1">
      <c r="A327" s="111" t="s">
        <v>451</v>
      </c>
      <c r="B327" s="83" t="s">
        <v>1348</v>
      </c>
      <c r="C327" s="83" t="s">
        <v>68</v>
      </c>
      <c r="D327" s="83">
        <v>1111495.0</v>
      </c>
      <c r="E327" s="83"/>
      <c r="F327" s="83">
        <v>2.929228E7</v>
      </c>
      <c r="G327" s="114" t="s">
        <v>4853</v>
      </c>
      <c r="H327" s="91" t="s">
        <v>1350</v>
      </c>
      <c r="I327" s="114" t="s">
        <v>149</v>
      </c>
      <c r="J327" s="83" t="s">
        <v>150</v>
      </c>
      <c r="K327" s="83" t="s">
        <v>151</v>
      </c>
      <c r="L327" s="83" t="s">
        <v>169</v>
      </c>
      <c r="M327" s="82" t="s">
        <v>4854</v>
      </c>
      <c r="N327" s="82" t="s">
        <v>4855</v>
      </c>
      <c r="O327" s="82" t="s">
        <v>4856</v>
      </c>
      <c r="P327" s="82" t="s">
        <v>4857</v>
      </c>
      <c r="Q327" s="82"/>
      <c r="R327" s="82"/>
      <c r="S327" s="82" t="s">
        <v>4858</v>
      </c>
      <c r="T327" s="138">
        <v>6.0</v>
      </c>
      <c r="U327" s="323" t="s">
        <v>4860</v>
      </c>
      <c r="V327" s="106">
        <v>0.0</v>
      </c>
      <c r="W327" s="107">
        <v>0.0</v>
      </c>
      <c r="X327" s="107">
        <v>0.0</v>
      </c>
      <c r="Y327" s="107">
        <v>0.0</v>
      </c>
      <c r="Z327" s="80">
        <v>0.0</v>
      </c>
      <c r="AA327" s="140">
        <v>0.0</v>
      </c>
      <c r="AB327" s="109">
        <v>0.0</v>
      </c>
      <c r="AC327" s="109">
        <v>0.0</v>
      </c>
      <c r="AD327" s="141">
        <v>0.0</v>
      </c>
      <c r="AE327" s="80">
        <v>0.0</v>
      </c>
      <c r="AF327" s="140">
        <v>0.0</v>
      </c>
      <c r="AG327" s="109">
        <v>49.0</v>
      </c>
      <c r="AH327" s="109">
        <v>0.0</v>
      </c>
      <c r="AI327" s="141">
        <v>77.0</v>
      </c>
      <c r="AJ327" s="80">
        <v>126.0</v>
      </c>
      <c r="AK327" s="140">
        <v>0.0</v>
      </c>
      <c r="AL327" s="109">
        <v>0.0</v>
      </c>
      <c r="AM327" s="141">
        <v>0.0</v>
      </c>
      <c r="AN327" s="80">
        <v>0.0</v>
      </c>
      <c r="AO327" s="140">
        <v>0.0</v>
      </c>
      <c r="AP327" s="109">
        <v>0.0</v>
      </c>
      <c r="AQ327" s="109">
        <v>49.0</v>
      </c>
      <c r="AR327" s="80">
        <v>49.0</v>
      </c>
      <c r="AS327" s="110">
        <v>0.0</v>
      </c>
      <c r="AT327" s="110">
        <v>0.0</v>
      </c>
      <c r="AU327" s="110">
        <v>0.0</v>
      </c>
      <c r="AV327" s="142">
        <v>0.0</v>
      </c>
      <c r="AW327" s="80">
        <v>0.0</v>
      </c>
      <c r="AX327" s="113">
        <v>175.0</v>
      </c>
      <c r="AY327" s="117">
        <v>126.0</v>
      </c>
      <c r="AZ327" s="328">
        <v>49.0</v>
      </c>
      <c r="BA327" s="315">
        <v>0.0</v>
      </c>
      <c r="BB327" s="316">
        <v>175.0</v>
      </c>
      <c r="BC327" s="132" t="s">
        <v>178</v>
      </c>
      <c r="BD327" s="132" t="s">
        <v>178</v>
      </c>
      <c r="BE327" s="132" t="s">
        <v>178</v>
      </c>
      <c r="BF327" s="123"/>
      <c r="BG327" s="83">
        <v>1111495.0</v>
      </c>
      <c r="BH327" s="112">
        <v>6.0</v>
      </c>
      <c r="BI327" s="98" t="s">
        <v>155</v>
      </c>
      <c r="BJ327" s="98" t="str">
        <f t="shared" si="1"/>
        <v>INTEGRAL</v>
      </c>
      <c r="BK327" s="98" t="str">
        <f t="shared" si="2"/>
        <v>NÃO</v>
      </c>
    </row>
    <row r="328" ht="15.75" customHeight="1">
      <c r="A328" s="111" t="s">
        <v>451</v>
      </c>
      <c r="B328" s="83" t="s">
        <v>1352</v>
      </c>
      <c r="C328" s="83" t="s">
        <v>68</v>
      </c>
      <c r="D328" s="83">
        <v>1161093.0</v>
      </c>
      <c r="E328" s="83"/>
      <c r="F328" s="83">
        <v>2.9292808E7</v>
      </c>
      <c r="G328" s="114" t="s">
        <v>4864</v>
      </c>
      <c r="H328" s="91" t="s">
        <v>1354</v>
      </c>
      <c r="I328" s="298" t="s">
        <v>149</v>
      </c>
      <c r="J328" s="83" t="s">
        <v>150</v>
      </c>
      <c r="K328" s="83" t="s">
        <v>151</v>
      </c>
      <c r="L328" s="83" t="s">
        <v>76</v>
      </c>
      <c r="M328" s="82" t="s">
        <v>4865</v>
      </c>
      <c r="N328" s="82" t="s">
        <v>4866</v>
      </c>
      <c r="O328" s="82" t="s">
        <v>4867</v>
      </c>
      <c r="P328" s="82" t="s">
        <v>4868</v>
      </c>
      <c r="Q328" s="82"/>
      <c r="R328" s="82"/>
      <c r="S328" s="82" t="s">
        <v>4869</v>
      </c>
      <c r="T328" s="138">
        <v>6.0</v>
      </c>
      <c r="U328" s="323">
        <v>5.0</v>
      </c>
      <c r="V328" s="106">
        <v>0.0</v>
      </c>
      <c r="W328" s="107">
        <v>0.0</v>
      </c>
      <c r="X328" s="107">
        <v>0.0</v>
      </c>
      <c r="Y328" s="107">
        <v>0.0</v>
      </c>
      <c r="Z328" s="80">
        <v>0.0</v>
      </c>
      <c r="AA328" s="140">
        <v>0.0</v>
      </c>
      <c r="AB328" s="109">
        <v>0.0</v>
      </c>
      <c r="AC328" s="109">
        <v>0.0</v>
      </c>
      <c r="AD328" s="141">
        <v>0.0</v>
      </c>
      <c r="AE328" s="80">
        <v>0.0</v>
      </c>
      <c r="AF328" s="140">
        <v>53.0</v>
      </c>
      <c r="AG328" s="109">
        <v>94.0</v>
      </c>
      <c r="AH328" s="109">
        <v>0.0</v>
      </c>
      <c r="AI328" s="141">
        <v>89.0</v>
      </c>
      <c r="AJ328" s="80">
        <v>236.0</v>
      </c>
      <c r="AK328" s="140">
        <v>0.0</v>
      </c>
      <c r="AL328" s="109">
        <v>0.0</v>
      </c>
      <c r="AM328" s="141">
        <v>0.0</v>
      </c>
      <c r="AN328" s="80">
        <v>0.0</v>
      </c>
      <c r="AO328" s="140">
        <v>0.0</v>
      </c>
      <c r="AP328" s="109">
        <v>0.0</v>
      </c>
      <c r="AQ328" s="109">
        <v>86.0</v>
      </c>
      <c r="AR328" s="80">
        <v>86.0</v>
      </c>
      <c r="AS328" s="110">
        <v>0.0</v>
      </c>
      <c r="AT328" s="110">
        <v>0.0</v>
      </c>
      <c r="AU328" s="110">
        <v>0.0</v>
      </c>
      <c r="AV328" s="142">
        <v>0.0</v>
      </c>
      <c r="AW328" s="80">
        <v>0.0</v>
      </c>
      <c r="AX328" s="113">
        <v>322.0</v>
      </c>
      <c r="AY328" s="117">
        <v>236.0</v>
      </c>
      <c r="AZ328" s="328">
        <v>86.0</v>
      </c>
      <c r="BA328" s="315">
        <v>0.0</v>
      </c>
      <c r="BB328" s="316">
        <v>322.0</v>
      </c>
      <c r="BC328" s="132" t="s">
        <v>178</v>
      </c>
      <c r="BD328" s="132" t="s">
        <v>178</v>
      </c>
      <c r="BE328" s="132" t="s">
        <v>178</v>
      </c>
      <c r="BF328" s="123"/>
      <c r="BG328" s="83">
        <v>1161093.0</v>
      </c>
      <c r="BH328" s="112">
        <v>5.0</v>
      </c>
      <c r="BI328" s="98" t="s">
        <v>155</v>
      </c>
      <c r="BJ328" s="98" t="str">
        <f t="shared" si="1"/>
        <v>INTEGRAL</v>
      </c>
      <c r="BK328" s="98" t="str">
        <f t="shared" si="2"/>
        <v>NÃO</v>
      </c>
    </row>
    <row r="329" ht="15.75" customHeight="1">
      <c r="A329" s="111" t="s">
        <v>451</v>
      </c>
      <c r="B329" s="172" t="s">
        <v>1352</v>
      </c>
      <c r="C329" s="83" t="s">
        <v>68</v>
      </c>
      <c r="D329" s="83">
        <v>1178142.0</v>
      </c>
      <c r="E329" s="83"/>
      <c r="F329" s="83">
        <v>2.9886732E7</v>
      </c>
      <c r="G329" s="187" t="s">
        <v>1356</v>
      </c>
      <c r="H329" s="91" t="s">
        <v>1357</v>
      </c>
      <c r="I329" s="114" t="s">
        <v>149</v>
      </c>
      <c r="J329" s="83" t="s">
        <v>150</v>
      </c>
      <c r="K329" s="83" t="s">
        <v>151</v>
      </c>
      <c r="L329" s="83" t="s">
        <v>230</v>
      </c>
      <c r="M329" s="82" t="s">
        <v>4871</v>
      </c>
      <c r="N329" s="82" t="s">
        <v>4872</v>
      </c>
      <c r="O329" s="82" t="s">
        <v>4873</v>
      </c>
      <c r="P329" s="82" t="s">
        <v>4874</v>
      </c>
      <c r="Q329" s="82"/>
      <c r="R329" s="82"/>
      <c r="S329" s="82" t="s">
        <v>4875</v>
      </c>
      <c r="T329" s="138">
        <v>18.0</v>
      </c>
      <c r="U329" s="387">
        <v>8.0</v>
      </c>
      <c r="V329" s="106">
        <v>0.0</v>
      </c>
      <c r="W329" s="107">
        <v>0.0</v>
      </c>
      <c r="X329" s="107">
        <v>0.0</v>
      </c>
      <c r="Y329" s="107">
        <v>0.0</v>
      </c>
      <c r="Z329" s="80">
        <v>0.0</v>
      </c>
      <c r="AA329" s="140">
        <v>0.0</v>
      </c>
      <c r="AB329" s="109">
        <v>0.0</v>
      </c>
      <c r="AC329" s="109">
        <v>0.0</v>
      </c>
      <c r="AD329" s="141">
        <v>0.0</v>
      </c>
      <c r="AE329" s="80">
        <v>0.0</v>
      </c>
      <c r="AF329" s="140">
        <v>0.0</v>
      </c>
      <c r="AG329" s="109">
        <v>0.0</v>
      </c>
      <c r="AH329" s="109">
        <v>0.0</v>
      </c>
      <c r="AI329" s="141">
        <v>0.0</v>
      </c>
      <c r="AJ329" s="80">
        <v>0.0</v>
      </c>
      <c r="AK329" s="140">
        <v>0.0</v>
      </c>
      <c r="AL329" s="109">
        <v>0.0</v>
      </c>
      <c r="AM329" s="141">
        <v>0.0</v>
      </c>
      <c r="AN329" s="80">
        <v>0.0</v>
      </c>
      <c r="AO329" s="140">
        <v>0.0</v>
      </c>
      <c r="AP329" s="109">
        <v>0.0</v>
      </c>
      <c r="AQ329" s="109">
        <v>0.0</v>
      </c>
      <c r="AR329" s="80">
        <v>0.0</v>
      </c>
      <c r="AS329" s="110">
        <v>60.0</v>
      </c>
      <c r="AT329" s="110">
        <v>0.0</v>
      </c>
      <c r="AU329" s="110">
        <v>166.0</v>
      </c>
      <c r="AV329" s="142">
        <v>17.0</v>
      </c>
      <c r="AW329" s="80">
        <v>243.0</v>
      </c>
      <c r="AX329" s="113">
        <v>243.0</v>
      </c>
      <c r="AY329" s="117">
        <v>77.0</v>
      </c>
      <c r="AZ329" s="328">
        <v>166.0</v>
      </c>
      <c r="BA329" s="315">
        <v>0.0</v>
      </c>
      <c r="BB329" s="316">
        <v>243.0</v>
      </c>
      <c r="BC329" s="132" t="s">
        <v>631</v>
      </c>
      <c r="BD329" s="132" t="s">
        <v>779</v>
      </c>
      <c r="BE329" s="132" t="s">
        <v>178</v>
      </c>
      <c r="BF329" s="123"/>
      <c r="BG329" s="83">
        <v>1178142.0</v>
      </c>
      <c r="BH329" s="112">
        <v>8.0</v>
      </c>
      <c r="BI329" s="98" t="s">
        <v>155</v>
      </c>
      <c r="BJ329" s="98" t="str">
        <f t="shared" si="1"/>
        <v>INTEGRAL</v>
      </c>
      <c r="BK329" s="98" t="str">
        <f t="shared" si="2"/>
        <v>PROFISSIONAL</v>
      </c>
    </row>
    <row r="330" ht="15.75" customHeight="1">
      <c r="A330" s="111" t="s">
        <v>451</v>
      </c>
      <c r="B330" s="136" t="s">
        <v>1359</v>
      </c>
      <c r="C330" s="83" t="s">
        <v>68</v>
      </c>
      <c r="D330" s="83">
        <v>1111550.0</v>
      </c>
      <c r="E330" s="83"/>
      <c r="F330" s="83">
        <v>2.9293197E7</v>
      </c>
      <c r="G330" s="187" t="s">
        <v>4879</v>
      </c>
      <c r="H330" s="91" t="s">
        <v>1361</v>
      </c>
      <c r="I330" s="298" t="s">
        <v>149</v>
      </c>
      <c r="J330" s="83" t="s">
        <v>150</v>
      </c>
      <c r="K330" s="83" t="s">
        <v>151</v>
      </c>
      <c r="L330" s="83" t="s">
        <v>76</v>
      </c>
      <c r="M330" s="82" t="s">
        <v>4880</v>
      </c>
      <c r="N330" s="82" t="s">
        <v>4881</v>
      </c>
      <c r="O330" s="82" t="s">
        <v>4882</v>
      </c>
      <c r="P330" s="82" t="s">
        <v>4883</v>
      </c>
      <c r="Q330" s="82"/>
      <c r="R330" s="82"/>
      <c r="S330" s="82" t="s">
        <v>4884</v>
      </c>
      <c r="T330" s="138">
        <v>6.0</v>
      </c>
      <c r="U330" s="341">
        <v>7.0</v>
      </c>
      <c r="V330" s="106">
        <v>0.0</v>
      </c>
      <c r="W330" s="107">
        <v>0.0</v>
      </c>
      <c r="X330" s="107">
        <v>0.0</v>
      </c>
      <c r="Y330" s="107">
        <v>0.0</v>
      </c>
      <c r="Z330" s="80">
        <v>0.0</v>
      </c>
      <c r="AA330" s="140">
        <v>0.0</v>
      </c>
      <c r="AB330" s="109">
        <v>0.0</v>
      </c>
      <c r="AC330" s="109">
        <v>0.0</v>
      </c>
      <c r="AD330" s="141">
        <v>0.0</v>
      </c>
      <c r="AE330" s="80">
        <v>0.0</v>
      </c>
      <c r="AF330" s="140">
        <v>81.0</v>
      </c>
      <c r="AG330" s="109">
        <v>88.0</v>
      </c>
      <c r="AH330" s="109">
        <v>0.0</v>
      </c>
      <c r="AI330" s="141">
        <v>111.0</v>
      </c>
      <c r="AJ330" s="80">
        <v>280.0</v>
      </c>
      <c r="AK330" s="140">
        <v>0.0</v>
      </c>
      <c r="AL330" s="109">
        <v>0.0</v>
      </c>
      <c r="AM330" s="141">
        <v>0.0</v>
      </c>
      <c r="AN330" s="80">
        <v>0.0</v>
      </c>
      <c r="AO330" s="140">
        <v>0.0</v>
      </c>
      <c r="AP330" s="109">
        <v>0.0</v>
      </c>
      <c r="AQ330" s="109">
        <v>0.0</v>
      </c>
      <c r="AR330" s="80">
        <v>0.0</v>
      </c>
      <c r="AS330" s="110">
        <v>0.0</v>
      </c>
      <c r="AT330" s="110">
        <v>0.0</v>
      </c>
      <c r="AU330" s="110">
        <v>0.0</v>
      </c>
      <c r="AV330" s="142">
        <v>0.0</v>
      </c>
      <c r="AW330" s="80">
        <v>0.0</v>
      </c>
      <c r="AX330" s="113">
        <v>280.0</v>
      </c>
      <c r="AY330" s="117">
        <v>280.0</v>
      </c>
      <c r="AZ330" s="328">
        <v>0.0</v>
      </c>
      <c r="BA330" s="315">
        <v>0.0</v>
      </c>
      <c r="BB330" s="316">
        <v>280.0</v>
      </c>
      <c r="BC330" s="132" t="s">
        <v>178</v>
      </c>
      <c r="BD330" s="132" t="s">
        <v>178</v>
      </c>
      <c r="BE330" s="132" t="s">
        <v>178</v>
      </c>
      <c r="BF330" s="156"/>
      <c r="BG330" s="83">
        <v>1111550.0</v>
      </c>
      <c r="BH330" s="112">
        <v>7.0</v>
      </c>
      <c r="BI330" s="98" t="s">
        <v>155</v>
      </c>
      <c r="BJ330" s="98" t="str">
        <f t="shared" si="1"/>
        <v>INTEGRAL</v>
      </c>
      <c r="BK330" s="98" t="str">
        <f t="shared" si="2"/>
        <v>NÃO</v>
      </c>
    </row>
    <row r="331" ht="15.75" customHeight="1">
      <c r="A331" s="111" t="s">
        <v>451</v>
      </c>
      <c r="B331" s="136" t="s">
        <v>1359</v>
      </c>
      <c r="C331" s="83" t="s">
        <v>164</v>
      </c>
      <c r="D331" s="83">
        <v>1111550.0</v>
      </c>
      <c r="E331" s="83">
        <v>1178498.0</v>
      </c>
      <c r="F331" s="83"/>
      <c r="G331" s="147" t="s">
        <v>4885</v>
      </c>
      <c r="H331" s="91" t="s">
        <v>4886</v>
      </c>
      <c r="I331" s="298" t="s">
        <v>149</v>
      </c>
      <c r="J331" s="83" t="s">
        <v>150</v>
      </c>
      <c r="K331" s="83" t="s">
        <v>151</v>
      </c>
      <c r="L331" s="83" t="s">
        <v>169</v>
      </c>
      <c r="M331" s="82" t="s">
        <v>4880</v>
      </c>
      <c r="N331" s="82" t="s">
        <v>4881</v>
      </c>
      <c r="O331" s="82" t="s">
        <v>4882</v>
      </c>
      <c r="P331" s="82" t="s">
        <v>4883</v>
      </c>
      <c r="Q331" s="82"/>
      <c r="R331" s="82"/>
      <c r="S331" s="82" t="s">
        <v>4884</v>
      </c>
      <c r="T331" s="138">
        <v>4.0</v>
      </c>
      <c r="U331" s="341">
        <v>2.0</v>
      </c>
      <c r="V331" s="106">
        <v>0.0</v>
      </c>
      <c r="W331" s="107">
        <v>0.0</v>
      </c>
      <c r="X331" s="107">
        <v>0.0</v>
      </c>
      <c r="Y331" s="107">
        <v>0.0</v>
      </c>
      <c r="Z331" s="80">
        <v>0.0</v>
      </c>
      <c r="AA331" s="140">
        <v>0.0</v>
      </c>
      <c r="AB331" s="109">
        <v>0.0</v>
      </c>
      <c r="AC331" s="109">
        <v>0.0</v>
      </c>
      <c r="AD331" s="141">
        <v>0.0</v>
      </c>
      <c r="AE331" s="80">
        <v>0.0</v>
      </c>
      <c r="AF331" s="140">
        <v>0.0</v>
      </c>
      <c r="AG331" s="109">
        <v>0.0</v>
      </c>
      <c r="AH331" s="109">
        <v>0.0</v>
      </c>
      <c r="AI331" s="141">
        <v>51.0</v>
      </c>
      <c r="AJ331" s="80">
        <v>51.0</v>
      </c>
      <c r="AK331" s="140">
        <v>0.0</v>
      </c>
      <c r="AL331" s="109">
        <v>0.0</v>
      </c>
      <c r="AM331" s="141">
        <v>0.0</v>
      </c>
      <c r="AN331" s="80">
        <v>0.0</v>
      </c>
      <c r="AO331" s="140">
        <v>0.0</v>
      </c>
      <c r="AP331" s="109">
        <v>0.0</v>
      </c>
      <c r="AQ331" s="109">
        <v>82.0</v>
      </c>
      <c r="AR331" s="80">
        <v>82.0</v>
      </c>
      <c r="AS331" s="110">
        <v>0.0</v>
      </c>
      <c r="AT331" s="110">
        <v>0.0</v>
      </c>
      <c r="AU331" s="110">
        <v>0.0</v>
      </c>
      <c r="AV331" s="142">
        <v>0.0</v>
      </c>
      <c r="AW331" s="80">
        <v>0.0</v>
      </c>
      <c r="AX331" s="113">
        <v>133.0</v>
      </c>
      <c r="AY331" s="117">
        <v>51.0</v>
      </c>
      <c r="AZ331" s="328">
        <v>82.0</v>
      </c>
      <c r="BA331" s="315">
        <v>0.0</v>
      </c>
      <c r="BB331" s="316">
        <v>133.0</v>
      </c>
      <c r="BC331" s="132" t="s">
        <v>373</v>
      </c>
      <c r="BD331" s="132" t="s">
        <v>178</v>
      </c>
      <c r="BE331" s="132" t="s">
        <v>178</v>
      </c>
      <c r="BF331" s="123"/>
      <c r="BG331" s="83">
        <v>1178498.0</v>
      </c>
      <c r="BH331" s="112">
        <v>2.0</v>
      </c>
      <c r="BI331" s="98" t="s">
        <v>155</v>
      </c>
      <c r="BJ331" s="98" t="str">
        <f t="shared" si="1"/>
        <v>INTEGRAL</v>
      </c>
      <c r="BK331" s="98" t="str">
        <f t="shared" si="2"/>
        <v>NÃO</v>
      </c>
    </row>
    <row r="332" ht="15.75" customHeight="1">
      <c r="A332" s="111" t="s">
        <v>451</v>
      </c>
      <c r="B332" s="83" t="s">
        <v>1359</v>
      </c>
      <c r="C332" s="83" t="s">
        <v>164</v>
      </c>
      <c r="D332" s="83">
        <v>1179701.0</v>
      </c>
      <c r="E332" s="83">
        <v>1178500.0</v>
      </c>
      <c r="F332" s="83"/>
      <c r="G332" s="187" t="s">
        <v>1363</v>
      </c>
      <c r="H332" s="91" t="s">
        <v>1364</v>
      </c>
      <c r="I332" s="298" t="s">
        <v>1365</v>
      </c>
      <c r="J332" s="83" t="s">
        <v>331</v>
      </c>
      <c r="K332" s="83" t="s">
        <v>151</v>
      </c>
      <c r="L332" s="83" t="s">
        <v>169</v>
      </c>
      <c r="M332" s="82" t="s">
        <v>4891</v>
      </c>
      <c r="N332" s="82" t="s">
        <v>4892</v>
      </c>
      <c r="O332" s="82" t="s">
        <v>4893</v>
      </c>
      <c r="P332" s="82" t="s">
        <v>4894</v>
      </c>
      <c r="Q332" s="82"/>
      <c r="R332" s="82"/>
      <c r="S332" s="82"/>
      <c r="T332" s="138">
        <v>3.0</v>
      </c>
      <c r="U332" s="341" t="s">
        <v>171</v>
      </c>
      <c r="V332" s="106">
        <v>0.0</v>
      </c>
      <c r="W332" s="107">
        <v>0.0</v>
      </c>
      <c r="X332" s="107">
        <v>0.0</v>
      </c>
      <c r="Y332" s="107">
        <v>0.0</v>
      </c>
      <c r="Z332" s="80">
        <v>0.0</v>
      </c>
      <c r="AA332" s="140">
        <v>0.0</v>
      </c>
      <c r="AB332" s="109">
        <v>0.0</v>
      </c>
      <c r="AC332" s="109">
        <v>0.0</v>
      </c>
      <c r="AD332" s="141">
        <v>0.0</v>
      </c>
      <c r="AE332" s="80">
        <v>0.0</v>
      </c>
      <c r="AF332" s="140">
        <v>0.0</v>
      </c>
      <c r="AG332" s="109">
        <v>0.0</v>
      </c>
      <c r="AH332" s="109">
        <v>24.0</v>
      </c>
      <c r="AI332" s="141">
        <v>0.0</v>
      </c>
      <c r="AJ332" s="80">
        <v>24.0</v>
      </c>
      <c r="AK332" s="140">
        <v>0.0</v>
      </c>
      <c r="AL332" s="109">
        <v>0.0</v>
      </c>
      <c r="AM332" s="141">
        <v>0.0</v>
      </c>
      <c r="AN332" s="80">
        <v>0.0</v>
      </c>
      <c r="AO332" s="140">
        <v>0.0</v>
      </c>
      <c r="AP332" s="109">
        <v>0.0</v>
      </c>
      <c r="AQ332" s="109">
        <v>0.0</v>
      </c>
      <c r="AR332" s="80">
        <v>0.0</v>
      </c>
      <c r="AS332" s="110">
        <v>0.0</v>
      </c>
      <c r="AT332" s="110">
        <v>0.0</v>
      </c>
      <c r="AU332" s="110">
        <v>0.0</v>
      </c>
      <c r="AV332" s="142">
        <v>0.0</v>
      </c>
      <c r="AW332" s="80">
        <v>0.0</v>
      </c>
      <c r="AX332" s="113">
        <v>24.0</v>
      </c>
      <c r="AY332" s="117">
        <v>0.0</v>
      </c>
      <c r="AZ332" s="328">
        <v>24.0</v>
      </c>
      <c r="BA332" s="315">
        <v>0.0</v>
      </c>
      <c r="BB332" s="316">
        <v>24.0</v>
      </c>
      <c r="BC332" s="132" t="s">
        <v>373</v>
      </c>
      <c r="BD332" s="143" t="s">
        <v>227</v>
      </c>
      <c r="BE332" s="132" t="s">
        <v>178</v>
      </c>
      <c r="BF332" s="123"/>
      <c r="BG332" s="83">
        <v>1178500.0</v>
      </c>
      <c r="BH332" s="112">
        <v>3.0</v>
      </c>
      <c r="BI332" s="98" t="s">
        <v>155</v>
      </c>
      <c r="BJ332" s="98" t="str">
        <f t="shared" si="1"/>
        <v>NÃO</v>
      </c>
      <c r="BK332" s="98" t="str">
        <f t="shared" si="2"/>
        <v>NÃO</v>
      </c>
    </row>
    <row r="333" ht="15.75" customHeight="1">
      <c r="A333" s="111" t="s">
        <v>451</v>
      </c>
      <c r="B333" s="83" t="s">
        <v>1366</v>
      </c>
      <c r="C333" s="83" t="s">
        <v>68</v>
      </c>
      <c r="D333" s="83">
        <v>1112491.0</v>
      </c>
      <c r="E333" s="83"/>
      <c r="F333" s="83">
        <v>2.9294037E7</v>
      </c>
      <c r="G333" s="187" t="s">
        <v>4899</v>
      </c>
      <c r="H333" s="91" t="s">
        <v>1368</v>
      </c>
      <c r="I333" s="298" t="s">
        <v>149</v>
      </c>
      <c r="J333" s="83" t="s">
        <v>150</v>
      </c>
      <c r="K333" s="83" t="s">
        <v>151</v>
      </c>
      <c r="L333" s="83" t="s">
        <v>169</v>
      </c>
      <c r="M333" s="82" t="s">
        <v>4900</v>
      </c>
      <c r="N333" s="82" t="s">
        <v>4901</v>
      </c>
      <c r="O333" s="82" t="s">
        <v>4902</v>
      </c>
      <c r="P333" s="82" t="s">
        <v>4903</v>
      </c>
      <c r="Q333" s="82"/>
      <c r="R333" s="82"/>
      <c r="S333" s="82" t="s">
        <v>4904</v>
      </c>
      <c r="T333" s="138">
        <v>6.0</v>
      </c>
      <c r="U333" s="341">
        <v>6.0</v>
      </c>
      <c r="V333" s="106">
        <v>0.0</v>
      </c>
      <c r="W333" s="107">
        <v>0.0</v>
      </c>
      <c r="X333" s="107">
        <v>0.0</v>
      </c>
      <c r="Y333" s="107">
        <v>0.0</v>
      </c>
      <c r="Z333" s="80">
        <v>0.0</v>
      </c>
      <c r="AA333" s="140">
        <v>0.0</v>
      </c>
      <c r="AB333" s="109">
        <v>0.0</v>
      </c>
      <c r="AC333" s="109">
        <v>0.0</v>
      </c>
      <c r="AD333" s="141">
        <v>0.0</v>
      </c>
      <c r="AE333" s="80">
        <v>0.0</v>
      </c>
      <c r="AF333" s="140">
        <v>105.0</v>
      </c>
      <c r="AG333" s="109">
        <v>35.0</v>
      </c>
      <c r="AH333" s="109">
        <v>0.0</v>
      </c>
      <c r="AI333" s="141">
        <v>28.0</v>
      </c>
      <c r="AJ333" s="80">
        <v>168.0</v>
      </c>
      <c r="AK333" s="140">
        <v>0.0</v>
      </c>
      <c r="AL333" s="109">
        <v>0.0</v>
      </c>
      <c r="AM333" s="141">
        <v>0.0</v>
      </c>
      <c r="AN333" s="80">
        <v>0.0</v>
      </c>
      <c r="AO333" s="140">
        <v>0.0</v>
      </c>
      <c r="AP333" s="109">
        <v>0.0</v>
      </c>
      <c r="AQ333" s="109">
        <v>56.0</v>
      </c>
      <c r="AR333" s="80">
        <v>56.0</v>
      </c>
      <c r="AS333" s="110">
        <v>0.0</v>
      </c>
      <c r="AT333" s="110">
        <v>0.0</v>
      </c>
      <c r="AU333" s="110">
        <v>0.0</v>
      </c>
      <c r="AV333" s="142">
        <v>0.0</v>
      </c>
      <c r="AW333" s="80">
        <v>0.0</v>
      </c>
      <c r="AX333" s="113">
        <v>224.0</v>
      </c>
      <c r="AY333" s="117">
        <v>168.0</v>
      </c>
      <c r="AZ333" s="328">
        <v>56.0</v>
      </c>
      <c r="BA333" s="315">
        <v>0.0</v>
      </c>
      <c r="BB333" s="316">
        <v>224.0</v>
      </c>
      <c r="BC333" s="132" t="s">
        <v>178</v>
      </c>
      <c r="BD333" s="132" t="s">
        <v>178</v>
      </c>
      <c r="BE333" s="132" t="s">
        <v>178</v>
      </c>
      <c r="BF333" s="123"/>
      <c r="BG333" s="83">
        <v>1112491.0</v>
      </c>
      <c r="BH333" s="112">
        <v>6.0</v>
      </c>
      <c r="BI333" s="98" t="s">
        <v>155</v>
      </c>
      <c r="BJ333" s="98" t="str">
        <f t="shared" si="1"/>
        <v>INTEGRAL</v>
      </c>
      <c r="BK333" s="98" t="str">
        <f t="shared" si="2"/>
        <v>NÃO</v>
      </c>
    </row>
    <row r="334" ht="15.75" customHeight="1">
      <c r="A334" s="111" t="s">
        <v>451</v>
      </c>
      <c r="B334" s="83" t="s">
        <v>1370</v>
      </c>
      <c r="C334" s="83" t="s">
        <v>68</v>
      </c>
      <c r="D334" s="83">
        <v>1178186.0</v>
      </c>
      <c r="E334" s="83"/>
      <c r="F334" s="83">
        <v>2.944657E7</v>
      </c>
      <c r="G334" s="114" t="s">
        <v>4905</v>
      </c>
      <c r="H334" s="91" t="s">
        <v>1372</v>
      </c>
      <c r="I334" s="298" t="s">
        <v>1373</v>
      </c>
      <c r="J334" s="83" t="s">
        <v>240</v>
      </c>
      <c r="K334" s="83" t="s">
        <v>168</v>
      </c>
      <c r="L334" s="83" t="s">
        <v>169</v>
      </c>
      <c r="M334" s="82" t="s">
        <v>4906</v>
      </c>
      <c r="N334" s="82" t="s">
        <v>4907</v>
      </c>
      <c r="O334" s="82" t="s">
        <v>4908</v>
      </c>
      <c r="P334" s="82" t="s">
        <v>4909</v>
      </c>
      <c r="Q334" s="82"/>
      <c r="R334" s="82"/>
      <c r="S334" s="82"/>
      <c r="T334" s="138">
        <v>11.0</v>
      </c>
      <c r="U334" s="391">
        <v>6.0</v>
      </c>
      <c r="V334" s="106">
        <v>0.0</v>
      </c>
      <c r="W334" s="107">
        <v>5.0</v>
      </c>
      <c r="X334" s="107">
        <v>0.0</v>
      </c>
      <c r="Y334" s="107">
        <v>0.0</v>
      </c>
      <c r="Z334" s="80">
        <v>5.0</v>
      </c>
      <c r="AA334" s="140">
        <v>22.0</v>
      </c>
      <c r="AB334" s="109">
        <v>38.0</v>
      </c>
      <c r="AC334" s="109">
        <v>0.0</v>
      </c>
      <c r="AD334" s="141">
        <v>14.0</v>
      </c>
      <c r="AE334" s="80">
        <v>74.0</v>
      </c>
      <c r="AF334" s="140">
        <v>0.0</v>
      </c>
      <c r="AG334" s="109">
        <v>0.0</v>
      </c>
      <c r="AH334" s="109">
        <v>0.0</v>
      </c>
      <c r="AI334" s="141">
        <v>0.0</v>
      </c>
      <c r="AJ334" s="80">
        <v>0.0</v>
      </c>
      <c r="AK334" s="140">
        <v>0.0</v>
      </c>
      <c r="AL334" s="109">
        <v>0.0</v>
      </c>
      <c r="AM334" s="141">
        <v>0.0</v>
      </c>
      <c r="AN334" s="80">
        <v>0.0</v>
      </c>
      <c r="AO334" s="140">
        <v>0.0</v>
      </c>
      <c r="AP334" s="109">
        <v>0.0</v>
      </c>
      <c r="AQ334" s="109">
        <v>0.0</v>
      </c>
      <c r="AR334" s="80">
        <v>0.0</v>
      </c>
      <c r="AS334" s="110">
        <v>23.0</v>
      </c>
      <c r="AT334" s="110">
        <v>0.0</v>
      </c>
      <c r="AU334" s="110">
        <v>0.0</v>
      </c>
      <c r="AV334" s="142">
        <v>0.0</v>
      </c>
      <c r="AW334" s="80">
        <v>23.0</v>
      </c>
      <c r="AX334" s="113">
        <v>102.0</v>
      </c>
      <c r="AY334" s="117">
        <v>102.0</v>
      </c>
      <c r="AZ334" s="328">
        <v>0.0</v>
      </c>
      <c r="BA334" s="315">
        <v>0.0</v>
      </c>
      <c r="BB334" s="316">
        <v>102.0</v>
      </c>
      <c r="BC334" s="143" t="s">
        <v>1294</v>
      </c>
      <c r="BD334" s="132" t="s">
        <v>178</v>
      </c>
      <c r="BE334" s="132" t="s">
        <v>178</v>
      </c>
      <c r="BF334" s="123"/>
      <c r="BG334" s="83">
        <v>1178186.0</v>
      </c>
      <c r="BH334" s="112">
        <v>6.0</v>
      </c>
      <c r="BI334" s="98" t="s">
        <v>155</v>
      </c>
      <c r="BJ334" s="98" t="str">
        <f t="shared" si="1"/>
        <v>INTEGRAL</v>
      </c>
      <c r="BK334" s="98" t="str">
        <f t="shared" si="2"/>
        <v>PROFISSIONAL</v>
      </c>
    </row>
    <row r="335" ht="15.75" customHeight="1">
      <c r="A335" s="111" t="s">
        <v>451</v>
      </c>
      <c r="B335" s="83" t="s">
        <v>1370</v>
      </c>
      <c r="C335" s="83" t="s">
        <v>68</v>
      </c>
      <c r="D335" s="83">
        <v>1111584.0</v>
      </c>
      <c r="E335" s="83"/>
      <c r="F335" s="83">
        <v>2.9294606E7</v>
      </c>
      <c r="G335" s="114" t="s">
        <v>4912</v>
      </c>
      <c r="H335" s="91" t="s">
        <v>1376</v>
      </c>
      <c r="I335" s="187" t="s">
        <v>149</v>
      </c>
      <c r="J335" s="136" t="s">
        <v>150</v>
      </c>
      <c r="K335" s="83" t="s">
        <v>151</v>
      </c>
      <c r="L335" s="83" t="s">
        <v>76</v>
      </c>
      <c r="M335" s="82" t="s">
        <v>4913</v>
      </c>
      <c r="N335" s="82" t="s">
        <v>4914</v>
      </c>
      <c r="O335" s="82" t="s">
        <v>4915</v>
      </c>
      <c r="P335" s="82" t="s">
        <v>4917</v>
      </c>
      <c r="Q335" s="82"/>
      <c r="R335" s="82"/>
      <c r="S335" s="82" t="s">
        <v>4918</v>
      </c>
      <c r="T335" s="138">
        <v>10.0</v>
      </c>
      <c r="U335" s="352">
        <v>10.0</v>
      </c>
      <c r="V335" s="106">
        <v>0.0</v>
      </c>
      <c r="W335" s="107">
        <v>0.0</v>
      </c>
      <c r="X335" s="107">
        <v>0.0</v>
      </c>
      <c r="Y335" s="107">
        <v>0.0</v>
      </c>
      <c r="Z335" s="80">
        <v>0.0</v>
      </c>
      <c r="AA335" s="140">
        <v>0.0</v>
      </c>
      <c r="AB335" s="109">
        <v>0.0</v>
      </c>
      <c r="AC335" s="109">
        <v>0.0</v>
      </c>
      <c r="AD335" s="141">
        <v>0.0</v>
      </c>
      <c r="AE335" s="80">
        <v>0.0</v>
      </c>
      <c r="AF335" s="140">
        <v>239.0</v>
      </c>
      <c r="AG335" s="109">
        <v>136.0</v>
      </c>
      <c r="AH335" s="109">
        <v>0.0</v>
      </c>
      <c r="AI335" s="141">
        <v>47.0</v>
      </c>
      <c r="AJ335" s="80">
        <v>422.0</v>
      </c>
      <c r="AK335" s="140">
        <v>0.0</v>
      </c>
      <c r="AL335" s="109">
        <v>0.0</v>
      </c>
      <c r="AM335" s="141">
        <v>0.0</v>
      </c>
      <c r="AN335" s="80">
        <v>0.0</v>
      </c>
      <c r="AO335" s="140">
        <v>0.0</v>
      </c>
      <c r="AP335" s="109">
        <v>0.0</v>
      </c>
      <c r="AQ335" s="109">
        <v>97.0</v>
      </c>
      <c r="AR335" s="80">
        <v>97.0</v>
      </c>
      <c r="AS335" s="110">
        <v>0.0</v>
      </c>
      <c r="AT335" s="110">
        <v>0.0</v>
      </c>
      <c r="AU335" s="110">
        <v>0.0</v>
      </c>
      <c r="AV335" s="142">
        <v>0.0</v>
      </c>
      <c r="AW335" s="80">
        <v>0.0</v>
      </c>
      <c r="AX335" s="113">
        <v>519.0</v>
      </c>
      <c r="AY335" s="117">
        <v>422.0</v>
      </c>
      <c r="AZ335" s="328">
        <v>97.0</v>
      </c>
      <c r="BA335" s="315">
        <v>0.0</v>
      </c>
      <c r="BB335" s="316">
        <v>519.0</v>
      </c>
      <c r="BC335" s="132" t="s">
        <v>178</v>
      </c>
      <c r="BD335" s="132" t="s">
        <v>178</v>
      </c>
      <c r="BE335" s="132" t="s">
        <v>178</v>
      </c>
      <c r="BF335" s="123"/>
      <c r="BG335" s="83">
        <v>1111584.0</v>
      </c>
      <c r="BH335" s="112">
        <v>10.0</v>
      </c>
      <c r="BI335" s="98" t="s">
        <v>155</v>
      </c>
      <c r="BJ335" s="98" t="str">
        <f t="shared" si="1"/>
        <v>INTEGRAL</v>
      </c>
      <c r="BK335" s="98" t="str">
        <f t="shared" si="2"/>
        <v>NÃO</v>
      </c>
    </row>
    <row r="336" ht="15.75" customHeight="1">
      <c r="A336" s="111" t="s">
        <v>451</v>
      </c>
      <c r="B336" s="83" t="s">
        <v>1378</v>
      </c>
      <c r="C336" s="83" t="s">
        <v>68</v>
      </c>
      <c r="D336" s="83">
        <v>1111797.0</v>
      </c>
      <c r="E336" s="83"/>
      <c r="F336" s="83">
        <v>2.9295866E7</v>
      </c>
      <c r="G336" s="114" t="s">
        <v>4920</v>
      </c>
      <c r="H336" s="91" t="s">
        <v>1380</v>
      </c>
      <c r="I336" s="187" t="s">
        <v>149</v>
      </c>
      <c r="J336" s="83" t="s">
        <v>150</v>
      </c>
      <c r="K336" s="83" t="s">
        <v>151</v>
      </c>
      <c r="L336" s="83" t="s">
        <v>152</v>
      </c>
      <c r="M336" s="82" t="s">
        <v>4923</v>
      </c>
      <c r="N336" s="82" t="s">
        <v>4924</v>
      </c>
      <c r="O336" s="82" t="s">
        <v>4925</v>
      </c>
      <c r="P336" s="82" t="s">
        <v>4926</v>
      </c>
      <c r="Q336" s="82" t="s">
        <v>4927</v>
      </c>
      <c r="R336" s="82" t="s">
        <v>4928</v>
      </c>
      <c r="S336" s="82" t="s">
        <v>4929</v>
      </c>
      <c r="T336" s="138">
        <v>15.0</v>
      </c>
      <c r="U336" s="331" t="s">
        <v>4930</v>
      </c>
      <c r="V336" s="106">
        <v>0.0</v>
      </c>
      <c r="W336" s="107">
        <v>0.0</v>
      </c>
      <c r="X336" s="107">
        <v>0.0</v>
      </c>
      <c r="Y336" s="107">
        <v>0.0</v>
      </c>
      <c r="Z336" s="80">
        <v>0.0</v>
      </c>
      <c r="AA336" s="140">
        <v>0.0</v>
      </c>
      <c r="AB336" s="109">
        <v>0.0</v>
      </c>
      <c r="AC336" s="109">
        <v>0.0</v>
      </c>
      <c r="AD336" s="141">
        <v>0.0</v>
      </c>
      <c r="AE336" s="80">
        <v>0.0</v>
      </c>
      <c r="AF336" s="140">
        <v>39.0</v>
      </c>
      <c r="AG336" s="109">
        <v>0.0</v>
      </c>
      <c r="AH336" s="109">
        <v>34.0</v>
      </c>
      <c r="AI336" s="141">
        <v>308.0</v>
      </c>
      <c r="AJ336" s="80">
        <v>381.0</v>
      </c>
      <c r="AK336" s="140">
        <v>0.0</v>
      </c>
      <c r="AL336" s="109">
        <v>0.0</v>
      </c>
      <c r="AM336" s="141">
        <v>0.0</v>
      </c>
      <c r="AN336" s="80">
        <v>0.0</v>
      </c>
      <c r="AO336" s="140">
        <v>0.0</v>
      </c>
      <c r="AP336" s="109">
        <v>0.0</v>
      </c>
      <c r="AQ336" s="109">
        <v>118.0</v>
      </c>
      <c r="AR336" s="80">
        <v>118.0</v>
      </c>
      <c r="AS336" s="110">
        <v>0.0</v>
      </c>
      <c r="AT336" s="110">
        <v>0.0</v>
      </c>
      <c r="AU336" s="110">
        <v>0.0</v>
      </c>
      <c r="AV336" s="142">
        <v>155.0</v>
      </c>
      <c r="AW336" s="80">
        <v>155.0</v>
      </c>
      <c r="AX336" s="113">
        <v>654.0</v>
      </c>
      <c r="AY336" s="117">
        <v>502.0</v>
      </c>
      <c r="AZ336" s="328">
        <v>152.0</v>
      </c>
      <c r="BA336" s="315">
        <v>0.0</v>
      </c>
      <c r="BB336" s="316">
        <v>654.0</v>
      </c>
      <c r="BC336" s="132" t="s">
        <v>178</v>
      </c>
      <c r="BD336" s="132" t="s">
        <v>178</v>
      </c>
      <c r="BE336" s="132" t="s">
        <v>178</v>
      </c>
      <c r="BF336" s="123"/>
      <c r="BG336" s="83">
        <v>1111797.0</v>
      </c>
      <c r="BH336" s="112">
        <v>13.0</v>
      </c>
      <c r="BI336" s="98" t="s">
        <v>155</v>
      </c>
      <c r="BJ336" s="98" t="str">
        <f t="shared" si="1"/>
        <v>INTEGRAL</v>
      </c>
      <c r="BK336" s="98" t="str">
        <f t="shared" si="2"/>
        <v>PROFISSIONAL</v>
      </c>
    </row>
    <row r="337" ht="15.75" customHeight="1">
      <c r="A337" s="111" t="s">
        <v>451</v>
      </c>
      <c r="B337" s="83" t="s">
        <v>1378</v>
      </c>
      <c r="C337" s="83" t="s">
        <v>68</v>
      </c>
      <c r="D337" s="83">
        <v>1176394.0</v>
      </c>
      <c r="E337" s="83"/>
      <c r="F337" s="83">
        <v>2.9351502E7</v>
      </c>
      <c r="G337" s="114" t="s">
        <v>4934</v>
      </c>
      <c r="H337" s="91" t="s">
        <v>1384</v>
      </c>
      <c r="I337" s="114" t="s">
        <v>1385</v>
      </c>
      <c r="J337" s="83" t="s">
        <v>1386</v>
      </c>
      <c r="K337" s="83" t="s">
        <v>151</v>
      </c>
      <c r="L337" s="83" t="s">
        <v>169</v>
      </c>
      <c r="M337" s="82" t="s">
        <v>4935</v>
      </c>
      <c r="N337" s="82" t="s">
        <v>4936</v>
      </c>
      <c r="O337" s="82" t="s">
        <v>4937</v>
      </c>
      <c r="P337" s="82" t="s">
        <v>4938</v>
      </c>
      <c r="Q337" s="82"/>
      <c r="R337" s="82"/>
      <c r="S337" s="82" t="s">
        <v>4939</v>
      </c>
      <c r="T337" s="138">
        <v>10.0</v>
      </c>
      <c r="U337" s="331" t="s">
        <v>4940</v>
      </c>
      <c r="V337" s="106">
        <v>0.0</v>
      </c>
      <c r="W337" s="107">
        <v>0.0</v>
      </c>
      <c r="X337" s="107">
        <v>0.0</v>
      </c>
      <c r="Y337" s="107">
        <v>0.0</v>
      </c>
      <c r="Z337" s="80">
        <v>0.0</v>
      </c>
      <c r="AA337" s="140">
        <v>0.0</v>
      </c>
      <c r="AB337" s="109">
        <v>0.0</v>
      </c>
      <c r="AC337" s="109">
        <v>0.0</v>
      </c>
      <c r="AD337" s="141">
        <v>0.0</v>
      </c>
      <c r="AE337" s="80">
        <v>0.0</v>
      </c>
      <c r="AF337" s="140">
        <v>102.0</v>
      </c>
      <c r="AG337" s="109">
        <v>0.0</v>
      </c>
      <c r="AH337" s="109">
        <v>19.0</v>
      </c>
      <c r="AI337" s="141">
        <v>37.0</v>
      </c>
      <c r="AJ337" s="80">
        <v>158.0</v>
      </c>
      <c r="AK337" s="140">
        <v>0.0</v>
      </c>
      <c r="AL337" s="109">
        <v>0.0</v>
      </c>
      <c r="AM337" s="141">
        <v>0.0</v>
      </c>
      <c r="AN337" s="80">
        <v>0.0</v>
      </c>
      <c r="AO337" s="140">
        <v>0.0</v>
      </c>
      <c r="AP337" s="109">
        <v>0.0</v>
      </c>
      <c r="AQ337" s="109">
        <v>58.0</v>
      </c>
      <c r="AR337" s="80">
        <v>58.0</v>
      </c>
      <c r="AS337" s="110">
        <v>0.0</v>
      </c>
      <c r="AT337" s="110">
        <v>0.0</v>
      </c>
      <c r="AU337" s="110">
        <v>0.0</v>
      </c>
      <c r="AV337" s="142">
        <v>0.0</v>
      </c>
      <c r="AW337" s="80">
        <v>0.0</v>
      </c>
      <c r="AX337" s="113">
        <v>216.0</v>
      </c>
      <c r="AY337" s="117">
        <v>139.0</v>
      </c>
      <c r="AZ337" s="328">
        <v>77.0</v>
      </c>
      <c r="BA337" s="315">
        <v>0.0</v>
      </c>
      <c r="BB337" s="316">
        <v>216.0</v>
      </c>
      <c r="BC337" s="132" t="s">
        <v>178</v>
      </c>
      <c r="BD337" s="132" t="s">
        <v>178</v>
      </c>
      <c r="BE337" s="132" t="s">
        <v>178</v>
      </c>
      <c r="BF337" s="123"/>
      <c r="BG337" s="83">
        <v>1176394.0</v>
      </c>
      <c r="BH337" s="98">
        <v>4.0</v>
      </c>
      <c r="BI337" s="98" t="s">
        <v>155</v>
      </c>
      <c r="BJ337" s="98" t="str">
        <f t="shared" si="1"/>
        <v>INTEGRAL</v>
      </c>
      <c r="BK337" s="98" t="str">
        <f t="shared" si="2"/>
        <v>NÃO</v>
      </c>
    </row>
    <row r="338" ht="15.75" customHeight="1">
      <c r="A338" s="111" t="s">
        <v>451</v>
      </c>
      <c r="B338" s="83" t="s">
        <v>1388</v>
      </c>
      <c r="C338" s="83" t="s">
        <v>68</v>
      </c>
      <c r="D338" s="83">
        <v>1178107.0</v>
      </c>
      <c r="E338" s="83"/>
      <c r="F338" s="83">
        <v>2.9436184E7</v>
      </c>
      <c r="G338" s="114" t="s">
        <v>4944</v>
      </c>
      <c r="H338" s="91" t="s">
        <v>1390</v>
      </c>
      <c r="I338" s="187" t="s">
        <v>149</v>
      </c>
      <c r="J338" s="83" t="s">
        <v>150</v>
      </c>
      <c r="K338" s="83" t="s">
        <v>151</v>
      </c>
      <c r="L338" s="83" t="s">
        <v>152</v>
      </c>
      <c r="M338" s="82" t="s">
        <v>4945</v>
      </c>
      <c r="N338" s="82" t="s">
        <v>4946</v>
      </c>
      <c r="O338" s="82" t="s">
        <v>4947</v>
      </c>
      <c r="P338" s="82" t="s">
        <v>4949</v>
      </c>
      <c r="Q338" s="82" t="s">
        <v>4950</v>
      </c>
      <c r="R338" s="82" t="s">
        <v>4951</v>
      </c>
      <c r="S338" s="82" t="s">
        <v>4952</v>
      </c>
      <c r="T338" s="138">
        <v>15.0</v>
      </c>
      <c r="U338" s="389" t="s">
        <v>4953</v>
      </c>
      <c r="V338" s="106">
        <v>0.0</v>
      </c>
      <c r="W338" s="107">
        <v>0.0</v>
      </c>
      <c r="X338" s="107">
        <v>0.0</v>
      </c>
      <c r="Y338" s="107">
        <v>0.0</v>
      </c>
      <c r="Z338" s="80">
        <v>0.0</v>
      </c>
      <c r="AA338" s="140">
        <v>0.0</v>
      </c>
      <c r="AB338" s="109">
        <v>0.0</v>
      </c>
      <c r="AC338" s="109">
        <v>0.0</v>
      </c>
      <c r="AD338" s="141">
        <v>0.0</v>
      </c>
      <c r="AE338" s="80">
        <v>0.0</v>
      </c>
      <c r="AF338" s="140">
        <v>329.0</v>
      </c>
      <c r="AG338" s="109">
        <v>188.0</v>
      </c>
      <c r="AH338" s="109">
        <v>72.0</v>
      </c>
      <c r="AI338" s="141">
        <v>67.0</v>
      </c>
      <c r="AJ338" s="80">
        <v>656.0</v>
      </c>
      <c r="AK338" s="140">
        <v>0.0</v>
      </c>
      <c r="AL338" s="109">
        <v>0.0</v>
      </c>
      <c r="AM338" s="141">
        <v>0.0</v>
      </c>
      <c r="AN338" s="80">
        <v>0.0</v>
      </c>
      <c r="AO338" s="140">
        <v>0.0</v>
      </c>
      <c r="AP338" s="109">
        <v>0.0</v>
      </c>
      <c r="AQ338" s="109">
        <v>140.0</v>
      </c>
      <c r="AR338" s="80">
        <v>140.0</v>
      </c>
      <c r="AS338" s="110">
        <v>52.0</v>
      </c>
      <c r="AT338" s="110">
        <v>18.0</v>
      </c>
      <c r="AU338" s="110">
        <v>98.0</v>
      </c>
      <c r="AV338" s="142">
        <v>0.0</v>
      </c>
      <c r="AW338" s="80">
        <v>168.0</v>
      </c>
      <c r="AX338" s="113">
        <v>964.0</v>
      </c>
      <c r="AY338" s="117">
        <v>654.0</v>
      </c>
      <c r="AZ338" s="328">
        <v>310.0</v>
      </c>
      <c r="BA338" s="315">
        <v>18.0</v>
      </c>
      <c r="BB338" s="316">
        <v>982.0</v>
      </c>
      <c r="BC338" s="132" t="s">
        <v>178</v>
      </c>
      <c r="BD338" s="132" t="s">
        <v>178</v>
      </c>
      <c r="BE338" s="132" t="s">
        <v>178</v>
      </c>
      <c r="BF338" s="123"/>
      <c r="BG338" s="83">
        <v>1178107.0</v>
      </c>
      <c r="BH338" s="112">
        <v>18.0</v>
      </c>
      <c r="BI338" s="98" t="s">
        <v>284</v>
      </c>
      <c r="BJ338" s="98" t="str">
        <f t="shared" si="1"/>
        <v>INTEGRAL</v>
      </c>
      <c r="BK338" s="98" t="str">
        <f t="shared" si="2"/>
        <v>PROFISSIONAL</v>
      </c>
    </row>
    <row r="339" ht="15.75" customHeight="1">
      <c r="A339" s="111" t="s">
        <v>451</v>
      </c>
      <c r="B339" s="83" t="s">
        <v>1388</v>
      </c>
      <c r="C339" s="83" t="s">
        <v>164</v>
      </c>
      <c r="D339" s="83">
        <v>1179701.0</v>
      </c>
      <c r="E339" s="83">
        <v>1179726.0</v>
      </c>
      <c r="F339" s="83"/>
      <c r="G339" s="114" t="s">
        <v>1397</v>
      </c>
      <c r="H339" s="91" t="s">
        <v>1398</v>
      </c>
      <c r="I339" s="187"/>
      <c r="J339" s="83" t="s">
        <v>310</v>
      </c>
      <c r="K339" s="83" t="s">
        <v>168</v>
      </c>
      <c r="L339" s="83" t="s">
        <v>169</v>
      </c>
      <c r="M339" s="82" t="s">
        <v>4891</v>
      </c>
      <c r="N339" s="82" t="s">
        <v>4892</v>
      </c>
      <c r="O339" s="82" t="s">
        <v>4893</v>
      </c>
      <c r="P339" s="82" t="s">
        <v>4894</v>
      </c>
      <c r="Q339" s="82"/>
      <c r="R339" s="82"/>
      <c r="S339" s="82"/>
      <c r="T339" s="138">
        <v>2.0</v>
      </c>
      <c r="U339" s="389">
        <v>2.0</v>
      </c>
      <c r="V339" s="106">
        <v>0.0</v>
      </c>
      <c r="W339" s="107">
        <v>0.0</v>
      </c>
      <c r="X339" s="107">
        <v>0.0</v>
      </c>
      <c r="Y339" s="107">
        <v>0.0</v>
      </c>
      <c r="Z339" s="80">
        <v>0.0</v>
      </c>
      <c r="AA339" s="140">
        <v>0.0</v>
      </c>
      <c r="AB339" s="109">
        <v>0.0</v>
      </c>
      <c r="AC339" s="109">
        <v>0.0</v>
      </c>
      <c r="AD339" s="141">
        <v>0.0</v>
      </c>
      <c r="AE339" s="80">
        <v>0.0</v>
      </c>
      <c r="AF339" s="140">
        <v>0.0</v>
      </c>
      <c r="AG339" s="109">
        <v>0.0</v>
      </c>
      <c r="AH339" s="109">
        <v>10.0</v>
      </c>
      <c r="AI339" s="141">
        <v>0.0</v>
      </c>
      <c r="AJ339" s="80">
        <v>10.0</v>
      </c>
      <c r="AK339" s="140">
        <v>0.0</v>
      </c>
      <c r="AL339" s="109">
        <v>0.0</v>
      </c>
      <c r="AM339" s="141">
        <v>0.0</v>
      </c>
      <c r="AN339" s="80">
        <v>0.0</v>
      </c>
      <c r="AO339" s="140">
        <v>0.0</v>
      </c>
      <c r="AP339" s="109">
        <v>0.0</v>
      </c>
      <c r="AQ339" s="109">
        <v>0.0</v>
      </c>
      <c r="AR339" s="80">
        <v>0.0</v>
      </c>
      <c r="AS339" s="110">
        <v>0.0</v>
      </c>
      <c r="AT339" s="110">
        <v>0.0</v>
      </c>
      <c r="AU339" s="110">
        <v>0.0</v>
      </c>
      <c r="AV339" s="142">
        <v>0.0</v>
      </c>
      <c r="AW339" s="80">
        <v>0.0</v>
      </c>
      <c r="AX339" s="113">
        <v>10.0</v>
      </c>
      <c r="AY339" s="117">
        <v>0.0</v>
      </c>
      <c r="AZ339" s="328">
        <v>10.0</v>
      </c>
      <c r="BA339" s="315">
        <v>0.0</v>
      </c>
      <c r="BB339" s="316">
        <v>10.0</v>
      </c>
      <c r="BC339" s="132" t="s">
        <v>178</v>
      </c>
      <c r="BD339" s="143" t="s">
        <v>227</v>
      </c>
      <c r="BE339" s="132" t="s">
        <v>178</v>
      </c>
      <c r="BF339" s="156"/>
      <c r="BG339" s="83">
        <v>1179726.0</v>
      </c>
      <c r="BH339" s="112">
        <v>2.0</v>
      </c>
      <c r="BI339" s="98" t="s">
        <v>155</v>
      </c>
      <c r="BJ339" s="98" t="str">
        <f t="shared" si="1"/>
        <v>NÃO</v>
      </c>
      <c r="BK339" s="98" t="str">
        <f t="shared" si="2"/>
        <v>NÃO</v>
      </c>
    </row>
    <row r="340" ht="15.75" customHeight="1">
      <c r="A340" s="111" t="s">
        <v>451</v>
      </c>
      <c r="B340" s="83" t="s">
        <v>1401</v>
      </c>
      <c r="C340" s="191" t="s">
        <v>68</v>
      </c>
      <c r="D340" s="83">
        <v>1178112.0</v>
      </c>
      <c r="E340" s="83"/>
      <c r="F340" s="237">
        <v>2.9434017E7</v>
      </c>
      <c r="G340" s="365" t="s">
        <v>4964</v>
      </c>
      <c r="H340" s="91" t="s">
        <v>1404</v>
      </c>
      <c r="I340" s="396" t="s">
        <v>149</v>
      </c>
      <c r="J340" s="83" t="s">
        <v>150</v>
      </c>
      <c r="K340" s="83" t="s">
        <v>151</v>
      </c>
      <c r="L340" s="82" t="s">
        <v>152</v>
      </c>
      <c r="M340" s="82" t="s">
        <v>4965</v>
      </c>
      <c r="N340" s="82" t="s">
        <v>4966</v>
      </c>
      <c r="O340" s="82" t="s">
        <v>4967</v>
      </c>
      <c r="P340" s="82" t="s">
        <v>4968</v>
      </c>
      <c r="Q340" s="82" t="s">
        <v>4969</v>
      </c>
      <c r="R340" s="82" t="s">
        <v>4970</v>
      </c>
      <c r="S340" s="82" t="s">
        <v>4971</v>
      </c>
      <c r="T340" s="138">
        <v>12.0</v>
      </c>
      <c r="U340" s="352" t="s">
        <v>4972</v>
      </c>
      <c r="V340" s="106">
        <v>0.0</v>
      </c>
      <c r="W340" s="107">
        <v>0.0</v>
      </c>
      <c r="X340" s="107">
        <v>0.0</v>
      </c>
      <c r="Y340" s="107">
        <v>0.0</v>
      </c>
      <c r="Z340" s="80">
        <v>0.0</v>
      </c>
      <c r="AA340" s="140">
        <v>0.0</v>
      </c>
      <c r="AB340" s="109">
        <v>0.0</v>
      </c>
      <c r="AC340" s="109">
        <v>0.0</v>
      </c>
      <c r="AD340" s="141">
        <v>0.0</v>
      </c>
      <c r="AE340" s="80">
        <v>0.0</v>
      </c>
      <c r="AF340" s="140">
        <v>239.0</v>
      </c>
      <c r="AG340" s="109">
        <v>118.0</v>
      </c>
      <c r="AH340" s="109">
        <v>0.0</v>
      </c>
      <c r="AI340" s="141">
        <v>71.0</v>
      </c>
      <c r="AJ340" s="80">
        <v>428.0</v>
      </c>
      <c r="AK340" s="140">
        <v>0.0</v>
      </c>
      <c r="AL340" s="109">
        <v>0.0</v>
      </c>
      <c r="AM340" s="141">
        <v>0.0</v>
      </c>
      <c r="AN340" s="80">
        <v>0.0</v>
      </c>
      <c r="AO340" s="140">
        <v>0.0</v>
      </c>
      <c r="AP340" s="109">
        <v>0.0</v>
      </c>
      <c r="AQ340" s="109">
        <v>109.0</v>
      </c>
      <c r="AR340" s="80">
        <v>109.0</v>
      </c>
      <c r="AS340" s="110">
        <v>0.0</v>
      </c>
      <c r="AT340" s="110">
        <v>0.0</v>
      </c>
      <c r="AU340" s="110">
        <v>0.0</v>
      </c>
      <c r="AV340" s="142">
        <v>0.0</v>
      </c>
      <c r="AW340" s="80">
        <v>0.0</v>
      </c>
      <c r="AX340" s="113">
        <v>537.0</v>
      </c>
      <c r="AY340" s="117">
        <v>428.0</v>
      </c>
      <c r="AZ340" s="328">
        <v>109.0</v>
      </c>
      <c r="BA340" s="315">
        <v>0.0</v>
      </c>
      <c r="BB340" s="316">
        <v>537.0</v>
      </c>
      <c r="BC340" s="132" t="s">
        <v>178</v>
      </c>
      <c r="BD340" s="132" t="s">
        <v>178</v>
      </c>
      <c r="BE340" s="132" t="s">
        <v>178</v>
      </c>
      <c r="BF340" s="123"/>
      <c r="BG340" s="83">
        <v>1178112.0</v>
      </c>
      <c r="BH340" s="112">
        <v>10.0</v>
      </c>
      <c r="BI340" s="98" t="s">
        <v>155</v>
      </c>
      <c r="BJ340" s="98" t="str">
        <f t="shared" si="1"/>
        <v>INTEGRAL</v>
      </c>
      <c r="BK340" s="98" t="str">
        <f t="shared" si="2"/>
        <v>NÃO</v>
      </c>
    </row>
    <row r="341" ht="15.75" customHeight="1">
      <c r="A341" s="111" t="s">
        <v>451</v>
      </c>
      <c r="B341" s="83" t="s">
        <v>1401</v>
      </c>
      <c r="C341" s="83" t="s">
        <v>164</v>
      </c>
      <c r="D341" s="83">
        <v>1178112.0</v>
      </c>
      <c r="E341" s="83">
        <v>1178501.0</v>
      </c>
      <c r="F341" s="83"/>
      <c r="G341" s="114" t="s">
        <v>4977</v>
      </c>
      <c r="H341" s="91" t="s">
        <v>1407</v>
      </c>
      <c r="I341" s="365" t="s">
        <v>149</v>
      </c>
      <c r="J341" s="83" t="s">
        <v>240</v>
      </c>
      <c r="K341" s="83" t="s">
        <v>168</v>
      </c>
      <c r="L341" s="83" t="s">
        <v>169</v>
      </c>
      <c r="M341" s="82" t="s">
        <v>4965</v>
      </c>
      <c r="N341" s="82" t="s">
        <v>4966</v>
      </c>
      <c r="O341" s="82" t="s">
        <v>4967</v>
      </c>
      <c r="P341" s="82" t="s">
        <v>4968</v>
      </c>
      <c r="Q341" s="82" t="s">
        <v>4969</v>
      </c>
      <c r="R341" s="82" t="s">
        <v>4970</v>
      </c>
      <c r="S341" s="82" t="s">
        <v>4971</v>
      </c>
      <c r="T341" s="138">
        <v>3.0</v>
      </c>
      <c r="U341" s="341">
        <v>3.0</v>
      </c>
      <c r="V341" s="106">
        <v>0.0</v>
      </c>
      <c r="W341" s="107">
        <v>0.0</v>
      </c>
      <c r="X341" s="107">
        <v>0.0</v>
      </c>
      <c r="Y341" s="107">
        <v>0.0</v>
      </c>
      <c r="Z341" s="80">
        <v>0.0</v>
      </c>
      <c r="AA341" s="140">
        <v>0.0</v>
      </c>
      <c r="AB341" s="109">
        <v>0.0</v>
      </c>
      <c r="AC341" s="109">
        <v>0.0</v>
      </c>
      <c r="AD341" s="141">
        <v>0.0</v>
      </c>
      <c r="AE341" s="80">
        <v>0.0</v>
      </c>
      <c r="AF341" s="140">
        <v>0.0</v>
      </c>
      <c r="AG341" s="109">
        <v>0.0</v>
      </c>
      <c r="AH341" s="109">
        <v>7.0</v>
      </c>
      <c r="AI341" s="141">
        <v>0.0</v>
      </c>
      <c r="AJ341" s="80">
        <v>7.0</v>
      </c>
      <c r="AK341" s="140">
        <v>0.0</v>
      </c>
      <c r="AL341" s="109">
        <v>0.0</v>
      </c>
      <c r="AM341" s="141">
        <v>0.0</v>
      </c>
      <c r="AN341" s="80">
        <v>0.0</v>
      </c>
      <c r="AO341" s="140">
        <v>0.0</v>
      </c>
      <c r="AP341" s="109">
        <v>0.0</v>
      </c>
      <c r="AQ341" s="109">
        <v>12.0</v>
      </c>
      <c r="AR341" s="80">
        <v>12.0</v>
      </c>
      <c r="AS341" s="110">
        <v>0.0</v>
      </c>
      <c r="AT341" s="110">
        <v>0.0</v>
      </c>
      <c r="AU341" s="110">
        <v>0.0</v>
      </c>
      <c r="AV341" s="142">
        <v>0.0</v>
      </c>
      <c r="AW341" s="80">
        <v>0.0</v>
      </c>
      <c r="AX341" s="113">
        <v>19.0</v>
      </c>
      <c r="AY341" s="117">
        <v>0.0</v>
      </c>
      <c r="AZ341" s="328">
        <v>19.0</v>
      </c>
      <c r="BA341" s="315">
        <v>0.0</v>
      </c>
      <c r="BB341" s="316">
        <v>19.0</v>
      </c>
      <c r="BC341" s="132" t="s">
        <v>373</v>
      </c>
      <c r="BD341" s="132" t="s">
        <v>178</v>
      </c>
      <c r="BE341" s="132" t="s">
        <v>178</v>
      </c>
      <c r="BF341" s="123"/>
      <c r="BG341" s="83">
        <v>1178501.0</v>
      </c>
      <c r="BH341" s="112">
        <v>3.0</v>
      </c>
      <c r="BI341" s="98" t="s">
        <v>155</v>
      </c>
      <c r="BJ341" s="98" t="str">
        <f t="shared" si="1"/>
        <v>NÃO</v>
      </c>
      <c r="BK341" s="98" t="str">
        <f t="shared" si="2"/>
        <v>NÃO</v>
      </c>
    </row>
    <row r="342" ht="15.75" customHeight="1">
      <c r="A342" s="111" t="s">
        <v>451</v>
      </c>
      <c r="B342" s="83" t="s">
        <v>1408</v>
      </c>
      <c r="C342" s="83" t="s">
        <v>68</v>
      </c>
      <c r="D342" s="83">
        <v>1158947.0</v>
      </c>
      <c r="E342" s="83"/>
      <c r="F342" s="83">
        <v>2.929852E7</v>
      </c>
      <c r="G342" s="119" t="s">
        <v>4982</v>
      </c>
      <c r="H342" s="91" t="s">
        <v>1410</v>
      </c>
      <c r="I342" s="114" t="s">
        <v>149</v>
      </c>
      <c r="J342" s="83" t="s">
        <v>150</v>
      </c>
      <c r="K342" s="83" t="s">
        <v>151</v>
      </c>
      <c r="L342" s="83" t="s">
        <v>152</v>
      </c>
      <c r="M342" s="82" t="s">
        <v>4985</v>
      </c>
      <c r="N342" s="82" t="s">
        <v>4986</v>
      </c>
      <c r="O342" s="82" t="s">
        <v>4987</v>
      </c>
      <c r="P342" s="82" t="s">
        <v>4988</v>
      </c>
      <c r="Q342" s="82" t="s">
        <v>4989</v>
      </c>
      <c r="R342" s="82" t="s">
        <v>4990</v>
      </c>
      <c r="S342" s="82" t="s">
        <v>4991</v>
      </c>
      <c r="T342" s="138">
        <v>6.0</v>
      </c>
      <c r="U342" s="389">
        <v>8.0</v>
      </c>
      <c r="V342" s="106">
        <v>0.0</v>
      </c>
      <c r="W342" s="107">
        <v>0.0</v>
      </c>
      <c r="X342" s="107">
        <v>0.0</v>
      </c>
      <c r="Y342" s="107">
        <v>0.0</v>
      </c>
      <c r="Z342" s="80">
        <v>0.0</v>
      </c>
      <c r="AA342" s="140">
        <v>0.0</v>
      </c>
      <c r="AB342" s="109">
        <v>0.0</v>
      </c>
      <c r="AC342" s="109">
        <v>0.0</v>
      </c>
      <c r="AD342" s="141">
        <v>0.0</v>
      </c>
      <c r="AE342" s="80">
        <v>0.0</v>
      </c>
      <c r="AF342" s="140">
        <v>66.0</v>
      </c>
      <c r="AG342" s="109">
        <v>53.0</v>
      </c>
      <c r="AH342" s="109">
        <v>0.0</v>
      </c>
      <c r="AI342" s="141">
        <v>155.0</v>
      </c>
      <c r="AJ342" s="80">
        <v>274.0</v>
      </c>
      <c r="AK342" s="140">
        <v>0.0</v>
      </c>
      <c r="AL342" s="109">
        <v>0.0</v>
      </c>
      <c r="AM342" s="141">
        <v>0.0</v>
      </c>
      <c r="AN342" s="80">
        <v>0.0</v>
      </c>
      <c r="AO342" s="140">
        <v>0.0</v>
      </c>
      <c r="AP342" s="109">
        <v>0.0</v>
      </c>
      <c r="AQ342" s="109">
        <v>57.0</v>
      </c>
      <c r="AR342" s="80">
        <v>57.0</v>
      </c>
      <c r="AS342" s="110">
        <v>0.0</v>
      </c>
      <c r="AT342" s="110">
        <v>0.0</v>
      </c>
      <c r="AU342" s="110">
        <v>0.0</v>
      </c>
      <c r="AV342" s="142">
        <v>0.0</v>
      </c>
      <c r="AW342" s="80">
        <v>0.0</v>
      </c>
      <c r="AX342" s="113">
        <v>331.0</v>
      </c>
      <c r="AY342" s="117">
        <v>274.0</v>
      </c>
      <c r="AZ342" s="328">
        <v>57.0</v>
      </c>
      <c r="BA342" s="315">
        <v>0.0</v>
      </c>
      <c r="BB342" s="316">
        <v>331.0</v>
      </c>
      <c r="BC342" s="132" t="s">
        <v>178</v>
      </c>
      <c r="BD342" s="132" t="s">
        <v>178</v>
      </c>
      <c r="BE342" s="132" t="s">
        <v>178</v>
      </c>
      <c r="BF342" s="123"/>
      <c r="BG342" s="83">
        <v>1158947.0</v>
      </c>
      <c r="BH342" s="112">
        <v>8.0</v>
      </c>
      <c r="BI342" s="98" t="s">
        <v>162</v>
      </c>
      <c r="BJ342" s="98" t="str">
        <f t="shared" si="1"/>
        <v>INTEGRAL</v>
      </c>
      <c r="BK342" s="98" t="str">
        <f t="shared" si="2"/>
        <v>NÃO</v>
      </c>
    </row>
    <row r="343" ht="15.75" customHeight="1">
      <c r="A343" s="111" t="s">
        <v>451</v>
      </c>
      <c r="B343" s="83" t="s">
        <v>1413</v>
      </c>
      <c r="C343" s="83" t="s">
        <v>68</v>
      </c>
      <c r="D343" s="83">
        <v>1178110.0</v>
      </c>
      <c r="E343" s="83"/>
      <c r="F343" s="83">
        <v>2.9433886E7</v>
      </c>
      <c r="G343" s="114" t="s">
        <v>4996</v>
      </c>
      <c r="H343" s="91" t="s">
        <v>1420</v>
      </c>
      <c r="I343" s="114" t="s">
        <v>149</v>
      </c>
      <c r="J343" s="83" t="s">
        <v>150</v>
      </c>
      <c r="K343" s="83" t="s">
        <v>151</v>
      </c>
      <c r="L343" s="83" t="s">
        <v>76</v>
      </c>
      <c r="M343" s="82" t="s">
        <v>4997</v>
      </c>
      <c r="N343" s="82" t="s">
        <v>4998</v>
      </c>
      <c r="O343" s="82" t="s">
        <v>4999</v>
      </c>
      <c r="P343" s="82" t="s">
        <v>5000</v>
      </c>
      <c r="Q343" s="82" t="s">
        <v>5001</v>
      </c>
      <c r="R343" s="82" t="s">
        <v>5002</v>
      </c>
      <c r="S343" s="82" t="s">
        <v>5003</v>
      </c>
      <c r="T343" s="138">
        <v>14.0</v>
      </c>
      <c r="U343" s="323">
        <v>12.0</v>
      </c>
      <c r="V343" s="106">
        <v>0.0</v>
      </c>
      <c r="W343" s="107">
        <v>0.0</v>
      </c>
      <c r="X343" s="107">
        <v>0.0</v>
      </c>
      <c r="Y343" s="107">
        <v>0.0</v>
      </c>
      <c r="Z343" s="80">
        <v>0.0</v>
      </c>
      <c r="AA343" s="140">
        <v>0.0</v>
      </c>
      <c r="AB343" s="109">
        <v>0.0</v>
      </c>
      <c r="AC343" s="109">
        <v>0.0</v>
      </c>
      <c r="AD343" s="141">
        <v>0.0</v>
      </c>
      <c r="AE343" s="80">
        <v>0.0</v>
      </c>
      <c r="AF343" s="140">
        <v>44.0</v>
      </c>
      <c r="AG343" s="109">
        <v>30.0</v>
      </c>
      <c r="AH343" s="109">
        <v>0.0</v>
      </c>
      <c r="AI343" s="141">
        <v>377.0</v>
      </c>
      <c r="AJ343" s="80">
        <v>451.0</v>
      </c>
      <c r="AK343" s="140">
        <v>0.0</v>
      </c>
      <c r="AL343" s="109">
        <v>0.0</v>
      </c>
      <c r="AM343" s="141">
        <v>0.0</v>
      </c>
      <c r="AN343" s="80">
        <v>0.0</v>
      </c>
      <c r="AO343" s="140">
        <v>0.0</v>
      </c>
      <c r="AP343" s="109">
        <v>0.0</v>
      </c>
      <c r="AQ343" s="109">
        <v>210.0</v>
      </c>
      <c r="AR343" s="80">
        <v>210.0</v>
      </c>
      <c r="AS343" s="110">
        <v>0.0</v>
      </c>
      <c r="AT343" s="110">
        <v>0.0</v>
      </c>
      <c r="AU343" s="110">
        <v>0.0</v>
      </c>
      <c r="AV343" s="142">
        <v>0.0</v>
      </c>
      <c r="AW343" s="80">
        <v>0.0</v>
      </c>
      <c r="AX343" s="113">
        <v>661.0</v>
      </c>
      <c r="AY343" s="117">
        <v>451.0</v>
      </c>
      <c r="AZ343" s="328">
        <v>210.0</v>
      </c>
      <c r="BA343" s="315">
        <v>0.0</v>
      </c>
      <c r="BB343" s="316">
        <v>661.0</v>
      </c>
      <c r="BC343" s="132" t="s">
        <v>178</v>
      </c>
      <c r="BD343" s="132" t="s">
        <v>178</v>
      </c>
      <c r="BE343" s="132" t="s">
        <v>178</v>
      </c>
      <c r="BF343" s="123"/>
      <c r="BG343" s="83">
        <v>1178110.0</v>
      </c>
      <c r="BH343" s="112">
        <v>12.0</v>
      </c>
      <c r="BI343" s="98" t="s">
        <v>155</v>
      </c>
      <c r="BJ343" s="98" t="str">
        <f t="shared" si="1"/>
        <v>INTEGRAL</v>
      </c>
      <c r="BK343" s="98" t="str">
        <f t="shared" si="2"/>
        <v>NÃO</v>
      </c>
    </row>
    <row r="344" ht="15.75" customHeight="1">
      <c r="A344" s="111" t="s">
        <v>451</v>
      </c>
      <c r="B344" s="83" t="s">
        <v>1413</v>
      </c>
      <c r="C344" s="83" t="s">
        <v>68</v>
      </c>
      <c r="D344" s="83">
        <v>1176103.0</v>
      </c>
      <c r="E344" s="83"/>
      <c r="F344" s="83">
        <v>2.9299802E7</v>
      </c>
      <c r="G344" s="384" t="s">
        <v>5005</v>
      </c>
      <c r="H344" s="91" t="s">
        <v>1416</v>
      </c>
      <c r="I344" s="114" t="s">
        <v>1417</v>
      </c>
      <c r="J344" s="83" t="s">
        <v>839</v>
      </c>
      <c r="K344" s="83" t="s">
        <v>151</v>
      </c>
      <c r="L344" s="83" t="s">
        <v>169</v>
      </c>
      <c r="M344" s="82" t="s">
        <v>5008</v>
      </c>
      <c r="N344" s="82" t="s">
        <v>5009</v>
      </c>
      <c r="O344" s="82" t="s">
        <v>5010</v>
      </c>
      <c r="P344" s="82" t="s">
        <v>5011</v>
      </c>
      <c r="Q344" s="82"/>
      <c r="R344" s="82"/>
      <c r="S344" s="82" t="s">
        <v>5012</v>
      </c>
      <c r="T344" s="138">
        <v>4.0</v>
      </c>
      <c r="U344" s="323" t="s">
        <v>5013</v>
      </c>
      <c r="V344" s="106">
        <v>0.0</v>
      </c>
      <c r="W344" s="107">
        <v>0.0</v>
      </c>
      <c r="X344" s="107">
        <v>0.0</v>
      </c>
      <c r="Y344" s="107">
        <v>0.0</v>
      </c>
      <c r="Z344" s="80">
        <v>0.0</v>
      </c>
      <c r="AA344" s="140">
        <v>33.0</v>
      </c>
      <c r="AB344" s="109">
        <v>43.0</v>
      </c>
      <c r="AC344" s="109">
        <v>0.0</v>
      </c>
      <c r="AD344" s="141">
        <v>0.0</v>
      </c>
      <c r="AE344" s="80">
        <v>76.0</v>
      </c>
      <c r="AF344" s="140">
        <v>33.0</v>
      </c>
      <c r="AG344" s="109">
        <v>16.0</v>
      </c>
      <c r="AH344" s="109">
        <v>0.0</v>
      </c>
      <c r="AI344" s="141">
        <v>0.0</v>
      </c>
      <c r="AJ344" s="80">
        <v>49.0</v>
      </c>
      <c r="AK344" s="140">
        <v>0.0</v>
      </c>
      <c r="AL344" s="109">
        <v>0.0</v>
      </c>
      <c r="AM344" s="141">
        <v>0.0</v>
      </c>
      <c r="AN344" s="80">
        <v>0.0</v>
      </c>
      <c r="AO344" s="140">
        <v>0.0</v>
      </c>
      <c r="AP344" s="109">
        <v>0.0</v>
      </c>
      <c r="AQ344" s="109">
        <v>0.0</v>
      </c>
      <c r="AR344" s="80">
        <v>0.0</v>
      </c>
      <c r="AS344" s="110">
        <v>0.0</v>
      </c>
      <c r="AT344" s="110">
        <v>0.0</v>
      </c>
      <c r="AU344" s="110">
        <v>0.0</v>
      </c>
      <c r="AV344" s="142">
        <v>0.0</v>
      </c>
      <c r="AW344" s="80">
        <v>0.0</v>
      </c>
      <c r="AX344" s="113">
        <v>125.0</v>
      </c>
      <c r="AY344" s="117">
        <v>125.0</v>
      </c>
      <c r="AZ344" s="328">
        <v>0.0</v>
      </c>
      <c r="BA344" s="315">
        <v>0.0</v>
      </c>
      <c r="BB344" s="316">
        <v>125.0</v>
      </c>
      <c r="BC344" s="132" t="s">
        <v>373</v>
      </c>
      <c r="BD344" s="132" t="s">
        <v>178</v>
      </c>
      <c r="BE344" s="132" t="s">
        <v>178</v>
      </c>
      <c r="BF344" s="156"/>
      <c r="BG344" s="83">
        <v>1176103.0</v>
      </c>
      <c r="BH344" s="112">
        <v>3.0</v>
      </c>
      <c r="BI344" s="98" t="s">
        <v>155</v>
      </c>
      <c r="BJ344" s="98" t="str">
        <f t="shared" si="1"/>
        <v>NÃO</v>
      </c>
      <c r="BK344" s="98" t="str">
        <f t="shared" si="2"/>
        <v>NÃO</v>
      </c>
    </row>
    <row r="345" ht="15.75" customHeight="1">
      <c r="A345" s="111" t="s">
        <v>451</v>
      </c>
      <c r="B345" s="233" t="s">
        <v>1423</v>
      </c>
      <c r="C345" s="83" t="s">
        <v>68</v>
      </c>
      <c r="D345" s="83">
        <v>1179622.0</v>
      </c>
      <c r="E345" s="83"/>
      <c r="F345" s="83">
        <v>2.947316E7</v>
      </c>
      <c r="G345" s="365" t="s">
        <v>1424</v>
      </c>
      <c r="H345" s="91" t="s">
        <v>1425</v>
      </c>
      <c r="I345" s="187" t="s">
        <v>149</v>
      </c>
      <c r="J345" s="83" t="s">
        <v>244</v>
      </c>
      <c r="K345" s="83" t="s">
        <v>168</v>
      </c>
      <c r="L345" s="83" t="s">
        <v>169</v>
      </c>
      <c r="M345" s="82" t="s">
        <v>5019</v>
      </c>
      <c r="N345" s="82" t="s">
        <v>5020</v>
      </c>
      <c r="O345" s="82" t="s">
        <v>5021</v>
      </c>
      <c r="P345" s="82" t="s">
        <v>5022</v>
      </c>
      <c r="Q345" s="82"/>
      <c r="R345" s="82"/>
      <c r="S345" s="82"/>
      <c r="T345" s="138">
        <v>7.0</v>
      </c>
      <c r="U345" s="341">
        <v>7.0</v>
      </c>
      <c r="V345" s="106">
        <v>0.0</v>
      </c>
      <c r="W345" s="107">
        <v>31.0</v>
      </c>
      <c r="X345" s="107">
        <v>0.0</v>
      </c>
      <c r="Y345" s="107">
        <v>0.0</v>
      </c>
      <c r="Z345" s="80">
        <v>31.0</v>
      </c>
      <c r="AA345" s="140">
        <v>62.0</v>
      </c>
      <c r="AB345" s="109">
        <v>33.0</v>
      </c>
      <c r="AC345" s="109">
        <v>0.0</v>
      </c>
      <c r="AD345" s="141">
        <v>0.0</v>
      </c>
      <c r="AE345" s="80">
        <v>95.0</v>
      </c>
      <c r="AF345" s="140">
        <v>0.0</v>
      </c>
      <c r="AG345" s="109">
        <v>0.0</v>
      </c>
      <c r="AH345" s="109">
        <v>0.0</v>
      </c>
      <c r="AI345" s="141">
        <v>0.0</v>
      </c>
      <c r="AJ345" s="80">
        <v>0.0</v>
      </c>
      <c r="AK345" s="140">
        <v>0.0</v>
      </c>
      <c r="AL345" s="109">
        <v>0.0</v>
      </c>
      <c r="AM345" s="141">
        <v>19.0</v>
      </c>
      <c r="AN345" s="80">
        <v>19.0</v>
      </c>
      <c r="AO345" s="140">
        <v>0.0</v>
      </c>
      <c r="AP345" s="109">
        <v>0.0</v>
      </c>
      <c r="AQ345" s="109">
        <v>23.0</v>
      </c>
      <c r="AR345" s="80">
        <v>23.0</v>
      </c>
      <c r="AS345" s="110">
        <v>0.0</v>
      </c>
      <c r="AT345" s="110">
        <v>0.0</v>
      </c>
      <c r="AU345" s="110">
        <v>0.0</v>
      </c>
      <c r="AV345" s="142">
        <v>0.0</v>
      </c>
      <c r="AW345" s="80">
        <v>0.0</v>
      </c>
      <c r="AX345" s="113">
        <v>168.0</v>
      </c>
      <c r="AY345" s="117">
        <v>126.0</v>
      </c>
      <c r="AZ345" s="328">
        <v>42.0</v>
      </c>
      <c r="BA345" s="315">
        <v>0.0</v>
      </c>
      <c r="BB345" s="316">
        <v>168.0</v>
      </c>
      <c r="BC345" s="143" t="s">
        <v>1294</v>
      </c>
      <c r="BD345" s="132" t="s">
        <v>178</v>
      </c>
      <c r="BE345" s="132" t="s">
        <v>178</v>
      </c>
      <c r="BF345" s="123"/>
      <c r="BG345" s="83">
        <v>1179622.0</v>
      </c>
      <c r="BH345" s="112">
        <v>7.0</v>
      </c>
      <c r="BI345" s="98" t="s">
        <v>155</v>
      </c>
      <c r="BJ345" s="98" t="str">
        <f t="shared" si="1"/>
        <v>NÃO</v>
      </c>
      <c r="BK345" s="98" t="str">
        <f t="shared" si="2"/>
        <v>NÃO</v>
      </c>
    </row>
    <row r="346" ht="15.75" customHeight="1">
      <c r="A346" s="111" t="s">
        <v>451</v>
      </c>
      <c r="B346" s="233" t="s">
        <v>1423</v>
      </c>
      <c r="C346" s="83" t="s">
        <v>68</v>
      </c>
      <c r="D346" s="189">
        <v>1176424.0</v>
      </c>
      <c r="E346" s="83">
        <v>1111223.0</v>
      </c>
      <c r="F346" s="83">
        <v>2.9386284E7</v>
      </c>
      <c r="G346" s="209" t="s">
        <v>5028</v>
      </c>
      <c r="H346" s="91" t="s">
        <v>1455</v>
      </c>
      <c r="I346" s="187" t="s">
        <v>149</v>
      </c>
      <c r="J346" s="83" t="s">
        <v>150</v>
      </c>
      <c r="K346" s="83" t="s">
        <v>151</v>
      </c>
      <c r="L346" s="83" t="s">
        <v>76</v>
      </c>
      <c r="M346" s="82" t="s">
        <v>5033</v>
      </c>
      <c r="N346" s="82" t="s">
        <v>5034</v>
      </c>
      <c r="O346" s="82" t="s">
        <v>5035</v>
      </c>
      <c r="P346" s="82" t="s">
        <v>5036</v>
      </c>
      <c r="Q346" s="82"/>
      <c r="R346" s="82"/>
      <c r="S346" s="82" t="s">
        <v>5037</v>
      </c>
      <c r="T346" s="138">
        <v>13.0</v>
      </c>
      <c r="U346" s="387">
        <v>13.0</v>
      </c>
      <c r="V346" s="106">
        <v>0.0</v>
      </c>
      <c r="W346" s="107">
        <v>0.0</v>
      </c>
      <c r="X346" s="107">
        <v>0.0</v>
      </c>
      <c r="Y346" s="107">
        <v>0.0</v>
      </c>
      <c r="Z346" s="80">
        <v>0.0</v>
      </c>
      <c r="AA346" s="140">
        <v>0.0</v>
      </c>
      <c r="AB346" s="109">
        <v>0.0</v>
      </c>
      <c r="AC346" s="109">
        <v>0.0</v>
      </c>
      <c r="AD346" s="141">
        <v>0.0</v>
      </c>
      <c r="AE346" s="80">
        <v>0.0</v>
      </c>
      <c r="AF346" s="140">
        <v>208.0</v>
      </c>
      <c r="AG346" s="109">
        <v>59.0</v>
      </c>
      <c r="AH346" s="109">
        <v>0.0</v>
      </c>
      <c r="AI346" s="141">
        <v>104.0</v>
      </c>
      <c r="AJ346" s="80">
        <v>371.0</v>
      </c>
      <c r="AK346" s="140">
        <v>0.0</v>
      </c>
      <c r="AL346" s="109">
        <v>0.0</v>
      </c>
      <c r="AM346" s="141">
        <v>0.0</v>
      </c>
      <c r="AN346" s="80">
        <v>0.0</v>
      </c>
      <c r="AO346" s="140">
        <v>0.0</v>
      </c>
      <c r="AP346" s="109">
        <v>0.0</v>
      </c>
      <c r="AQ346" s="109">
        <v>96.0</v>
      </c>
      <c r="AR346" s="80">
        <v>96.0</v>
      </c>
      <c r="AS346" s="110">
        <v>0.0</v>
      </c>
      <c r="AT346" s="110">
        <v>0.0</v>
      </c>
      <c r="AU346" s="110">
        <v>0.0</v>
      </c>
      <c r="AV346" s="142">
        <v>0.0</v>
      </c>
      <c r="AW346" s="80">
        <v>0.0</v>
      </c>
      <c r="AX346" s="113">
        <v>467.0</v>
      </c>
      <c r="AY346" s="117">
        <v>371.0</v>
      </c>
      <c r="AZ346" s="328">
        <v>96.0</v>
      </c>
      <c r="BA346" s="315">
        <v>0.0</v>
      </c>
      <c r="BB346" s="316">
        <v>467.0</v>
      </c>
      <c r="BC346" s="132" t="s">
        <v>178</v>
      </c>
      <c r="BD346" s="132" t="s">
        <v>178</v>
      </c>
      <c r="BE346" s="132" t="s">
        <v>178</v>
      </c>
      <c r="BF346" s="156"/>
      <c r="BG346" s="83">
        <v>1176424.0</v>
      </c>
      <c r="BH346" s="112">
        <v>13.0</v>
      </c>
      <c r="BI346" s="98" t="s">
        <v>155</v>
      </c>
      <c r="BJ346" s="98" t="str">
        <f t="shared" si="1"/>
        <v>INTEGRAL</v>
      </c>
      <c r="BK346" s="98" t="str">
        <f t="shared" si="2"/>
        <v>NÃO</v>
      </c>
    </row>
    <row r="347" ht="15.75" customHeight="1">
      <c r="A347" s="111" t="s">
        <v>451</v>
      </c>
      <c r="B347" s="83" t="s">
        <v>1423</v>
      </c>
      <c r="C347" s="191" t="s">
        <v>68</v>
      </c>
      <c r="D347" s="83">
        <v>1176675.0</v>
      </c>
      <c r="E347" s="83"/>
      <c r="F347" s="237">
        <v>2.9406889E7</v>
      </c>
      <c r="G347" s="114" t="s">
        <v>5045</v>
      </c>
      <c r="H347" s="91" t="s">
        <v>1427</v>
      </c>
      <c r="I347" s="399" t="s">
        <v>149</v>
      </c>
      <c r="J347" s="83" t="s">
        <v>150</v>
      </c>
      <c r="K347" s="83" t="s">
        <v>151</v>
      </c>
      <c r="L347" s="83" t="s">
        <v>152</v>
      </c>
      <c r="M347" s="82" t="s">
        <v>5049</v>
      </c>
      <c r="N347" s="82" t="s">
        <v>5050</v>
      </c>
      <c r="O347" s="82" t="s">
        <v>5051</v>
      </c>
      <c r="P347" s="82" t="s">
        <v>5052</v>
      </c>
      <c r="Q347" s="82" t="s">
        <v>5053</v>
      </c>
      <c r="R347" s="82" t="s">
        <v>5054</v>
      </c>
      <c r="S347" s="82" t="s">
        <v>5055</v>
      </c>
      <c r="T347" s="138">
        <v>10.0</v>
      </c>
      <c r="U347" s="323">
        <v>10.0</v>
      </c>
      <c r="V347" s="106">
        <v>0.0</v>
      </c>
      <c r="W347" s="107">
        <v>0.0</v>
      </c>
      <c r="X347" s="107">
        <v>0.0</v>
      </c>
      <c r="Y347" s="107">
        <v>0.0</v>
      </c>
      <c r="Z347" s="80">
        <v>0.0</v>
      </c>
      <c r="AA347" s="140">
        <v>0.0</v>
      </c>
      <c r="AB347" s="109">
        <v>0.0</v>
      </c>
      <c r="AC347" s="109">
        <v>0.0</v>
      </c>
      <c r="AD347" s="141">
        <v>0.0</v>
      </c>
      <c r="AE347" s="80">
        <v>0.0</v>
      </c>
      <c r="AF347" s="140">
        <v>0.0</v>
      </c>
      <c r="AG347" s="109">
        <v>0.0</v>
      </c>
      <c r="AH347" s="109">
        <v>0.0</v>
      </c>
      <c r="AI347" s="141">
        <v>118.0</v>
      </c>
      <c r="AJ347" s="80">
        <v>118.0</v>
      </c>
      <c r="AK347" s="140">
        <v>0.0</v>
      </c>
      <c r="AL347" s="109">
        <v>0.0</v>
      </c>
      <c r="AM347" s="141">
        <v>0.0</v>
      </c>
      <c r="AN347" s="80">
        <v>0.0</v>
      </c>
      <c r="AO347" s="140">
        <v>0.0</v>
      </c>
      <c r="AP347" s="109">
        <v>0.0</v>
      </c>
      <c r="AQ347" s="109">
        <v>172.0</v>
      </c>
      <c r="AR347" s="80">
        <v>172.0</v>
      </c>
      <c r="AS347" s="110">
        <v>32.0</v>
      </c>
      <c r="AT347" s="110">
        <v>0.0</v>
      </c>
      <c r="AU347" s="110">
        <v>38.0</v>
      </c>
      <c r="AV347" s="142">
        <v>0.0</v>
      </c>
      <c r="AW347" s="80">
        <v>70.0</v>
      </c>
      <c r="AX347" s="113">
        <v>360.0</v>
      </c>
      <c r="AY347" s="117">
        <v>150.0</v>
      </c>
      <c r="AZ347" s="328">
        <v>210.0</v>
      </c>
      <c r="BA347" s="315">
        <v>0.0</v>
      </c>
      <c r="BB347" s="316">
        <v>360.0</v>
      </c>
      <c r="BC347" s="132" t="s">
        <v>178</v>
      </c>
      <c r="BD347" s="132" t="s">
        <v>178</v>
      </c>
      <c r="BE347" s="132" t="s">
        <v>178</v>
      </c>
      <c r="BF347" s="156"/>
      <c r="BG347" s="83">
        <v>1176675.0</v>
      </c>
      <c r="BH347" s="112">
        <v>10.0</v>
      </c>
      <c r="BI347" s="98" t="s">
        <v>155</v>
      </c>
      <c r="BJ347" s="98" t="str">
        <f t="shared" si="1"/>
        <v>INTEGRAL</v>
      </c>
      <c r="BK347" s="98" t="str">
        <f t="shared" si="2"/>
        <v>PROFISSIONAL</v>
      </c>
    </row>
    <row r="348" ht="15.75" customHeight="1">
      <c r="A348" s="111" t="s">
        <v>451</v>
      </c>
      <c r="B348" s="83" t="s">
        <v>1423</v>
      </c>
      <c r="C348" s="83" t="s">
        <v>68</v>
      </c>
      <c r="D348" s="82">
        <v>1169221.0</v>
      </c>
      <c r="E348" s="83"/>
      <c r="F348" s="83">
        <v>2.9301882E7</v>
      </c>
      <c r="G348" s="400" t="s">
        <v>5061</v>
      </c>
      <c r="H348" s="91" t="s">
        <v>1447</v>
      </c>
      <c r="I348" s="114" t="s">
        <v>1448</v>
      </c>
      <c r="J348" s="83" t="s">
        <v>150</v>
      </c>
      <c r="K348" s="83" t="s">
        <v>151</v>
      </c>
      <c r="L348" s="83" t="s">
        <v>152</v>
      </c>
      <c r="M348" s="82" t="s">
        <v>5065</v>
      </c>
      <c r="N348" s="82" t="s">
        <v>5066</v>
      </c>
      <c r="O348" s="82" t="s">
        <v>5067</v>
      </c>
      <c r="P348" s="82" t="s">
        <v>5068</v>
      </c>
      <c r="Q348" s="82" t="s">
        <v>5069</v>
      </c>
      <c r="R348" s="82" t="s">
        <v>5070</v>
      </c>
      <c r="S348" s="82" t="s">
        <v>5071</v>
      </c>
      <c r="T348" s="138">
        <v>16.0</v>
      </c>
      <c r="U348" s="401">
        <v>16.0</v>
      </c>
      <c r="V348" s="106">
        <v>0.0</v>
      </c>
      <c r="W348" s="107">
        <v>0.0</v>
      </c>
      <c r="X348" s="107">
        <v>0.0</v>
      </c>
      <c r="Y348" s="107">
        <v>0.0</v>
      </c>
      <c r="Z348" s="80">
        <v>0.0</v>
      </c>
      <c r="AA348" s="140">
        <v>0.0</v>
      </c>
      <c r="AB348" s="109">
        <v>0.0</v>
      </c>
      <c r="AC348" s="109">
        <v>0.0</v>
      </c>
      <c r="AD348" s="141">
        <v>0.0</v>
      </c>
      <c r="AE348" s="80">
        <v>0.0</v>
      </c>
      <c r="AF348" s="140">
        <v>305.0</v>
      </c>
      <c r="AG348" s="109">
        <v>148.0</v>
      </c>
      <c r="AH348" s="109">
        <v>0.0</v>
      </c>
      <c r="AI348" s="141">
        <v>135.0</v>
      </c>
      <c r="AJ348" s="80">
        <v>588.0</v>
      </c>
      <c r="AK348" s="140">
        <v>0.0</v>
      </c>
      <c r="AL348" s="109">
        <v>0.0</v>
      </c>
      <c r="AM348" s="141">
        <v>0.0</v>
      </c>
      <c r="AN348" s="80">
        <v>0.0</v>
      </c>
      <c r="AO348" s="140">
        <v>0.0</v>
      </c>
      <c r="AP348" s="109">
        <v>0.0</v>
      </c>
      <c r="AQ348" s="109">
        <v>93.0</v>
      </c>
      <c r="AR348" s="80">
        <v>93.0</v>
      </c>
      <c r="AS348" s="110">
        <v>0.0</v>
      </c>
      <c r="AT348" s="110">
        <v>9.0</v>
      </c>
      <c r="AU348" s="110">
        <v>76.0</v>
      </c>
      <c r="AV348" s="142">
        <v>0.0</v>
      </c>
      <c r="AW348" s="80">
        <v>85.0</v>
      </c>
      <c r="AX348" s="113">
        <v>766.0</v>
      </c>
      <c r="AY348" s="117">
        <v>597.0</v>
      </c>
      <c r="AZ348" s="328">
        <v>169.0</v>
      </c>
      <c r="BA348" s="315">
        <v>0.0</v>
      </c>
      <c r="BB348" s="316">
        <v>766.0</v>
      </c>
      <c r="BC348" s="132" t="s">
        <v>178</v>
      </c>
      <c r="BD348" s="132" t="s">
        <v>178</v>
      </c>
      <c r="BE348" s="132" t="s">
        <v>178</v>
      </c>
      <c r="BF348" s="156"/>
      <c r="BG348" s="83">
        <v>1169221.0</v>
      </c>
      <c r="BH348" s="112">
        <v>16.0</v>
      </c>
      <c r="BI348" s="98" t="s">
        <v>155</v>
      </c>
      <c r="BJ348" s="98" t="str">
        <f t="shared" si="1"/>
        <v>INTEGRAL</v>
      </c>
      <c r="BK348" s="98" t="str">
        <f t="shared" si="2"/>
        <v>PROFISSIONAL</v>
      </c>
    </row>
    <row r="349" ht="15.75" customHeight="1">
      <c r="A349" s="111" t="s">
        <v>451</v>
      </c>
      <c r="B349" s="83" t="s">
        <v>1423</v>
      </c>
      <c r="C349" s="83" t="s">
        <v>68</v>
      </c>
      <c r="D349" s="83">
        <v>1178075.0</v>
      </c>
      <c r="E349" s="83"/>
      <c r="F349" s="83">
        <v>2.9431298E7</v>
      </c>
      <c r="G349" s="114" t="s">
        <v>5081</v>
      </c>
      <c r="H349" s="91" t="s">
        <v>1430</v>
      </c>
      <c r="I349" s="114" t="s">
        <v>149</v>
      </c>
      <c r="J349" s="83" t="s">
        <v>767</v>
      </c>
      <c r="K349" s="83" t="s">
        <v>151</v>
      </c>
      <c r="L349" s="83" t="s">
        <v>76</v>
      </c>
      <c r="M349" s="82" t="s">
        <v>5082</v>
      </c>
      <c r="N349" s="82" t="s">
        <v>5083</v>
      </c>
      <c r="O349" s="82" t="s">
        <v>5084</v>
      </c>
      <c r="P349" s="82" t="s">
        <v>5085</v>
      </c>
      <c r="Q349" s="82"/>
      <c r="R349" s="82"/>
      <c r="S349" s="82"/>
      <c r="T349" s="138">
        <v>9.0</v>
      </c>
      <c r="U349" s="401">
        <v>9.0</v>
      </c>
      <c r="V349" s="106">
        <v>0.0</v>
      </c>
      <c r="W349" s="107">
        <v>30.0</v>
      </c>
      <c r="X349" s="107">
        <v>0.0</v>
      </c>
      <c r="Y349" s="107">
        <v>0.0</v>
      </c>
      <c r="Z349" s="80">
        <v>30.0</v>
      </c>
      <c r="AA349" s="140">
        <v>96.0</v>
      </c>
      <c r="AB349" s="109">
        <v>79.0</v>
      </c>
      <c r="AC349" s="109">
        <v>0.0</v>
      </c>
      <c r="AD349" s="141">
        <v>0.0</v>
      </c>
      <c r="AE349" s="80">
        <v>175.0</v>
      </c>
      <c r="AF349" s="140">
        <v>14.0</v>
      </c>
      <c r="AG349" s="109">
        <v>0.0</v>
      </c>
      <c r="AH349" s="109">
        <v>0.0</v>
      </c>
      <c r="AI349" s="141">
        <v>0.0</v>
      </c>
      <c r="AJ349" s="80">
        <v>14.0</v>
      </c>
      <c r="AK349" s="140">
        <v>0.0</v>
      </c>
      <c r="AL349" s="109">
        <v>0.0</v>
      </c>
      <c r="AM349" s="141">
        <v>49.0</v>
      </c>
      <c r="AN349" s="80">
        <v>49.0</v>
      </c>
      <c r="AO349" s="140">
        <v>0.0</v>
      </c>
      <c r="AP349" s="109">
        <v>0.0</v>
      </c>
      <c r="AQ349" s="109">
        <v>33.0</v>
      </c>
      <c r="AR349" s="80">
        <v>33.0</v>
      </c>
      <c r="AS349" s="110">
        <v>0.0</v>
      </c>
      <c r="AT349" s="110">
        <v>0.0</v>
      </c>
      <c r="AU349" s="110">
        <v>0.0</v>
      </c>
      <c r="AV349" s="142">
        <v>0.0</v>
      </c>
      <c r="AW349" s="80">
        <v>0.0</v>
      </c>
      <c r="AX349" s="113">
        <v>301.0</v>
      </c>
      <c r="AY349" s="117">
        <v>219.0</v>
      </c>
      <c r="AZ349" s="328">
        <v>82.0</v>
      </c>
      <c r="BA349" s="315">
        <v>0.0</v>
      </c>
      <c r="BB349" s="316">
        <v>301.0</v>
      </c>
      <c r="BC349" s="143" t="s">
        <v>1294</v>
      </c>
      <c r="BD349" s="132" t="s">
        <v>178</v>
      </c>
      <c r="BE349" s="132" t="s">
        <v>178</v>
      </c>
      <c r="BF349" s="156"/>
      <c r="BG349" s="83">
        <v>1178075.0</v>
      </c>
      <c r="BH349" s="112">
        <v>9.0</v>
      </c>
      <c r="BI349" s="98" t="s">
        <v>155</v>
      </c>
      <c r="BJ349" s="98" t="str">
        <f t="shared" si="1"/>
        <v>NÃO</v>
      </c>
      <c r="BK349" s="98" t="str">
        <f t="shared" si="2"/>
        <v>NÃO</v>
      </c>
    </row>
    <row r="350" ht="15.75" customHeight="1">
      <c r="A350" s="111" t="s">
        <v>451</v>
      </c>
      <c r="B350" s="83" t="s">
        <v>1423</v>
      </c>
      <c r="C350" s="83" t="s">
        <v>68</v>
      </c>
      <c r="D350" s="83">
        <v>1179275.0</v>
      </c>
      <c r="E350" s="83"/>
      <c r="F350" s="83">
        <v>2.9462266E7</v>
      </c>
      <c r="G350" s="114" t="s">
        <v>5092</v>
      </c>
      <c r="H350" s="91" t="s">
        <v>1433</v>
      </c>
      <c r="I350" s="114" t="s">
        <v>149</v>
      </c>
      <c r="J350" s="83" t="s">
        <v>767</v>
      </c>
      <c r="K350" s="83" t="s">
        <v>151</v>
      </c>
      <c r="L350" s="83" t="s">
        <v>169</v>
      </c>
      <c r="M350" s="82" t="s">
        <v>5093</v>
      </c>
      <c r="N350" s="82" t="s">
        <v>5094</v>
      </c>
      <c r="O350" s="82" t="s">
        <v>5095</v>
      </c>
      <c r="P350" s="82" t="s">
        <v>5096</v>
      </c>
      <c r="Q350" s="82"/>
      <c r="R350" s="82"/>
      <c r="S350" s="82"/>
      <c r="T350" s="138">
        <v>7.0</v>
      </c>
      <c r="U350" s="401">
        <v>4.0</v>
      </c>
      <c r="V350" s="106">
        <v>0.0</v>
      </c>
      <c r="W350" s="107">
        <v>22.0</v>
      </c>
      <c r="X350" s="107">
        <v>0.0</v>
      </c>
      <c r="Y350" s="107">
        <v>0.0</v>
      </c>
      <c r="Z350" s="80">
        <v>22.0</v>
      </c>
      <c r="AA350" s="140">
        <v>79.0</v>
      </c>
      <c r="AB350" s="109">
        <v>52.0</v>
      </c>
      <c r="AC350" s="109">
        <v>0.0</v>
      </c>
      <c r="AD350" s="141">
        <v>0.0</v>
      </c>
      <c r="AE350" s="80">
        <v>131.0</v>
      </c>
      <c r="AF350" s="140">
        <v>29.0</v>
      </c>
      <c r="AG350" s="109">
        <v>0.0</v>
      </c>
      <c r="AH350" s="109">
        <v>0.0</v>
      </c>
      <c r="AI350" s="141">
        <v>0.0</v>
      </c>
      <c r="AJ350" s="80">
        <v>29.0</v>
      </c>
      <c r="AK350" s="140">
        <v>0.0</v>
      </c>
      <c r="AL350" s="109">
        <v>0.0</v>
      </c>
      <c r="AM350" s="141">
        <v>43.0</v>
      </c>
      <c r="AN350" s="80">
        <v>43.0</v>
      </c>
      <c r="AO350" s="140">
        <v>0.0</v>
      </c>
      <c r="AP350" s="109">
        <v>0.0</v>
      </c>
      <c r="AQ350" s="109">
        <v>24.0</v>
      </c>
      <c r="AR350" s="80">
        <v>24.0</v>
      </c>
      <c r="AS350" s="110">
        <v>0.0</v>
      </c>
      <c r="AT350" s="110">
        <v>0.0</v>
      </c>
      <c r="AU350" s="110">
        <v>0.0</v>
      </c>
      <c r="AV350" s="142">
        <v>0.0</v>
      </c>
      <c r="AW350" s="80">
        <v>0.0</v>
      </c>
      <c r="AX350" s="113">
        <v>249.0</v>
      </c>
      <c r="AY350" s="117">
        <v>182.0</v>
      </c>
      <c r="AZ350" s="328">
        <v>67.0</v>
      </c>
      <c r="BA350" s="315">
        <v>0.0</v>
      </c>
      <c r="BB350" s="316">
        <v>249.0</v>
      </c>
      <c r="BC350" s="143" t="s">
        <v>1294</v>
      </c>
      <c r="BD350" s="132" t="s">
        <v>178</v>
      </c>
      <c r="BE350" s="132" t="s">
        <v>178</v>
      </c>
      <c r="BF350" s="156"/>
      <c r="BG350" s="83">
        <v>1179275.0</v>
      </c>
      <c r="BH350" s="112">
        <v>4.0</v>
      </c>
      <c r="BI350" s="98" t="s">
        <v>155</v>
      </c>
      <c r="BJ350" s="98" t="str">
        <f t="shared" si="1"/>
        <v>NÃO</v>
      </c>
      <c r="BK350" s="98" t="str">
        <f t="shared" si="2"/>
        <v>NÃO</v>
      </c>
    </row>
    <row r="351" ht="15.75" customHeight="1">
      <c r="A351" s="111" t="s">
        <v>451</v>
      </c>
      <c r="B351" s="83" t="s">
        <v>1423</v>
      </c>
      <c r="C351" s="83" t="s">
        <v>68</v>
      </c>
      <c r="D351" s="83">
        <v>1179628.0</v>
      </c>
      <c r="E351" s="83"/>
      <c r="F351" s="83">
        <v>2.9473101E7</v>
      </c>
      <c r="G351" s="114" t="s">
        <v>5100</v>
      </c>
      <c r="H351" s="91" t="s">
        <v>1438</v>
      </c>
      <c r="I351" s="187" t="s">
        <v>1439</v>
      </c>
      <c r="J351" s="83" t="s">
        <v>767</v>
      </c>
      <c r="K351" s="83" t="s">
        <v>151</v>
      </c>
      <c r="L351" s="83" t="s">
        <v>76</v>
      </c>
      <c r="M351" s="82" t="s">
        <v>5102</v>
      </c>
      <c r="N351" s="82" t="s">
        <v>5103</v>
      </c>
      <c r="O351" s="82" t="s">
        <v>5104</v>
      </c>
      <c r="P351" s="82" t="s">
        <v>5105</v>
      </c>
      <c r="Q351" s="82"/>
      <c r="R351" s="82"/>
      <c r="S351" s="82"/>
      <c r="T351" s="138">
        <v>7.0</v>
      </c>
      <c r="U351" s="401">
        <v>7.0</v>
      </c>
      <c r="V351" s="106">
        <v>0.0</v>
      </c>
      <c r="W351" s="107">
        <v>7.0</v>
      </c>
      <c r="X351" s="107">
        <v>0.0</v>
      </c>
      <c r="Y351" s="107">
        <v>0.0</v>
      </c>
      <c r="Z351" s="80">
        <v>7.0</v>
      </c>
      <c r="AA351" s="140">
        <v>56.0</v>
      </c>
      <c r="AB351" s="109">
        <v>26.0</v>
      </c>
      <c r="AC351" s="109">
        <v>0.0</v>
      </c>
      <c r="AD351" s="141">
        <v>0.0</v>
      </c>
      <c r="AE351" s="80">
        <v>82.0</v>
      </c>
      <c r="AF351" s="140">
        <v>2.0</v>
      </c>
      <c r="AG351" s="109">
        <v>0.0</v>
      </c>
      <c r="AH351" s="109">
        <v>0.0</v>
      </c>
      <c r="AI351" s="141">
        <v>0.0</v>
      </c>
      <c r="AJ351" s="80">
        <v>2.0</v>
      </c>
      <c r="AK351" s="140">
        <v>0.0</v>
      </c>
      <c r="AL351" s="109">
        <v>0.0</v>
      </c>
      <c r="AM351" s="141">
        <v>10.0</v>
      </c>
      <c r="AN351" s="80">
        <v>10.0</v>
      </c>
      <c r="AO351" s="140">
        <v>0.0</v>
      </c>
      <c r="AP351" s="109">
        <v>0.0</v>
      </c>
      <c r="AQ351" s="109">
        <v>20.0</v>
      </c>
      <c r="AR351" s="80">
        <v>20.0</v>
      </c>
      <c r="AS351" s="110">
        <v>0.0</v>
      </c>
      <c r="AT351" s="110">
        <v>0.0</v>
      </c>
      <c r="AU351" s="110">
        <v>0.0</v>
      </c>
      <c r="AV351" s="142">
        <v>0.0</v>
      </c>
      <c r="AW351" s="80">
        <v>0.0</v>
      </c>
      <c r="AX351" s="113">
        <v>121.0</v>
      </c>
      <c r="AY351" s="117">
        <v>91.0</v>
      </c>
      <c r="AZ351" s="328">
        <v>30.0</v>
      </c>
      <c r="BA351" s="315">
        <v>0.0</v>
      </c>
      <c r="BB351" s="316">
        <v>121.0</v>
      </c>
      <c r="BC351" s="143" t="s">
        <v>1294</v>
      </c>
      <c r="BD351" s="132" t="s">
        <v>178</v>
      </c>
      <c r="BE351" s="132" t="s">
        <v>178</v>
      </c>
      <c r="BF351" s="123"/>
      <c r="BG351" s="83">
        <v>1179628.0</v>
      </c>
      <c r="BH351" s="112">
        <v>7.0</v>
      </c>
      <c r="BI351" s="98" t="s">
        <v>155</v>
      </c>
      <c r="BJ351" s="98" t="str">
        <f t="shared" si="1"/>
        <v>NÃO</v>
      </c>
      <c r="BK351" s="98" t="str">
        <f t="shared" si="2"/>
        <v>NÃO</v>
      </c>
    </row>
    <row r="352" ht="15.75" customHeight="1">
      <c r="A352" s="111" t="s">
        <v>451</v>
      </c>
      <c r="B352" s="83" t="s">
        <v>1423</v>
      </c>
      <c r="C352" s="83" t="s">
        <v>68</v>
      </c>
      <c r="D352" s="83">
        <v>1111126.0</v>
      </c>
      <c r="E352" s="83"/>
      <c r="F352" s="83">
        <v>2.9302269E7</v>
      </c>
      <c r="G352" s="114" t="s">
        <v>5109</v>
      </c>
      <c r="H352" s="91" t="s">
        <v>1441</v>
      </c>
      <c r="I352" s="114" t="s">
        <v>149</v>
      </c>
      <c r="J352" s="83" t="s">
        <v>150</v>
      </c>
      <c r="K352" s="83" t="s">
        <v>151</v>
      </c>
      <c r="L352" s="83" t="s">
        <v>152</v>
      </c>
      <c r="M352" s="82" t="s">
        <v>5110</v>
      </c>
      <c r="N352" s="82" t="s">
        <v>5111</v>
      </c>
      <c r="O352" s="82" t="s">
        <v>5113</v>
      </c>
      <c r="P352" s="82" t="s">
        <v>5115</v>
      </c>
      <c r="Q352" s="82" t="s">
        <v>5116</v>
      </c>
      <c r="R352" s="82" t="s">
        <v>5117</v>
      </c>
      <c r="S352" s="82" t="s">
        <v>5118</v>
      </c>
      <c r="T352" s="138">
        <v>7.0</v>
      </c>
      <c r="U352" s="401">
        <v>7.0</v>
      </c>
      <c r="V352" s="106">
        <v>0.0</v>
      </c>
      <c r="W352" s="107">
        <v>0.0</v>
      </c>
      <c r="X352" s="107">
        <v>0.0</v>
      </c>
      <c r="Y352" s="107">
        <v>0.0</v>
      </c>
      <c r="Z352" s="80">
        <v>0.0</v>
      </c>
      <c r="AA352" s="140">
        <v>35.0</v>
      </c>
      <c r="AB352" s="109">
        <v>145.0</v>
      </c>
      <c r="AC352" s="109">
        <v>0.0</v>
      </c>
      <c r="AD352" s="141">
        <v>0.0</v>
      </c>
      <c r="AE352" s="80">
        <v>180.0</v>
      </c>
      <c r="AF352" s="140">
        <v>92.0</v>
      </c>
      <c r="AG352" s="109">
        <v>0.0</v>
      </c>
      <c r="AH352" s="109">
        <v>15.0</v>
      </c>
      <c r="AI352" s="141">
        <v>66.0</v>
      </c>
      <c r="AJ352" s="80">
        <v>173.0</v>
      </c>
      <c r="AK352" s="140">
        <v>0.0</v>
      </c>
      <c r="AL352" s="109">
        <v>0.0</v>
      </c>
      <c r="AM352" s="141">
        <v>0.0</v>
      </c>
      <c r="AN352" s="80">
        <v>0.0</v>
      </c>
      <c r="AO352" s="140">
        <v>0.0</v>
      </c>
      <c r="AP352" s="109">
        <v>0.0</v>
      </c>
      <c r="AQ352" s="109">
        <v>24.0</v>
      </c>
      <c r="AR352" s="80">
        <v>24.0</v>
      </c>
      <c r="AS352" s="110">
        <v>0.0</v>
      </c>
      <c r="AT352" s="110">
        <v>0.0</v>
      </c>
      <c r="AU352" s="110">
        <v>0.0</v>
      </c>
      <c r="AV352" s="142">
        <v>0.0</v>
      </c>
      <c r="AW352" s="80">
        <v>0.0</v>
      </c>
      <c r="AX352" s="113">
        <v>377.0</v>
      </c>
      <c r="AY352" s="117">
        <v>338.0</v>
      </c>
      <c r="AZ352" s="328">
        <v>39.0</v>
      </c>
      <c r="BA352" s="315">
        <v>32.0</v>
      </c>
      <c r="BB352" s="316">
        <v>409.0</v>
      </c>
      <c r="BC352" s="132" t="s">
        <v>178</v>
      </c>
      <c r="BD352" s="132" t="s">
        <v>178</v>
      </c>
      <c r="BE352" s="132" t="s">
        <v>178</v>
      </c>
      <c r="BF352" s="156"/>
      <c r="BG352" s="83">
        <v>1111126.0</v>
      </c>
      <c r="BH352" s="112">
        <v>7.0</v>
      </c>
      <c r="BI352" s="98" t="s">
        <v>155</v>
      </c>
      <c r="BJ352" s="98" t="str">
        <f t="shared" si="1"/>
        <v>INTEGRAL</v>
      </c>
      <c r="BK352" s="98" t="str">
        <f t="shared" si="2"/>
        <v>NÃO</v>
      </c>
    </row>
    <row r="353" ht="15.75" customHeight="1">
      <c r="A353" s="111" t="s">
        <v>451</v>
      </c>
      <c r="B353" s="83" t="s">
        <v>1423</v>
      </c>
      <c r="C353" s="83" t="s">
        <v>68</v>
      </c>
      <c r="D353" s="83">
        <v>1111436.0</v>
      </c>
      <c r="E353" s="83"/>
      <c r="F353" s="83">
        <v>2.9303125E7</v>
      </c>
      <c r="G353" s="119" t="s">
        <v>5120</v>
      </c>
      <c r="H353" s="91" t="s">
        <v>1444</v>
      </c>
      <c r="I353" s="114" t="s">
        <v>149</v>
      </c>
      <c r="J353" s="83" t="s">
        <v>767</v>
      </c>
      <c r="K353" s="83" t="s">
        <v>151</v>
      </c>
      <c r="L353" s="83" t="s">
        <v>169</v>
      </c>
      <c r="M353" s="82" t="s">
        <v>5123</v>
      </c>
      <c r="N353" s="82" t="s">
        <v>5124</v>
      </c>
      <c r="O353" s="82" t="s">
        <v>5125</v>
      </c>
      <c r="P353" s="82" t="s">
        <v>5126</v>
      </c>
      <c r="Q353" s="82"/>
      <c r="R353" s="82"/>
      <c r="S353" s="82" t="s">
        <v>5127</v>
      </c>
      <c r="T353" s="138">
        <v>6.0</v>
      </c>
      <c r="U353" s="401">
        <v>4.0</v>
      </c>
      <c r="V353" s="106">
        <v>0.0</v>
      </c>
      <c r="W353" s="107">
        <v>0.0</v>
      </c>
      <c r="X353" s="107">
        <v>0.0</v>
      </c>
      <c r="Y353" s="107">
        <v>0.0</v>
      </c>
      <c r="Z353" s="80">
        <v>0.0</v>
      </c>
      <c r="AA353" s="140">
        <v>0.0</v>
      </c>
      <c r="AB353" s="109">
        <v>0.0</v>
      </c>
      <c r="AC353" s="109">
        <v>0.0</v>
      </c>
      <c r="AD353" s="141">
        <v>0.0</v>
      </c>
      <c r="AE353" s="80">
        <v>0.0</v>
      </c>
      <c r="AF353" s="140">
        <v>26.0</v>
      </c>
      <c r="AG353" s="109">
        <v>12.0</v>
      </c>
      <c r="AH353" s="109">
        <v>0.0</v>
      </c>
      <c r="AI353" s="141">
        <v>70.0</v>
      </c>
      <c r="AJ353" s="80">
        <v>108.0</v>
      </c>
      <c r="AK353" s="140">
        <v>0.0</v>
      </c>
      <c r="AL353" s="109">
        <v>0.0</v>
      </c>
      <c r="AM353" s="141">
        <v>0.0</v>
      </c>
      <c r="AN353" s="80">
        <v>0.0</v>
      </c>
      <c r="AO353" s="140">
        <v>0.0</v>
      </c>
      <c r="AP353" s="109">
        <v>0.0</v>
      </c>
      <c r="AQ353" s="109">
        <v>31.0</v>
      </c>
      <c r="AR353" s="80">
        <v>31.0</v>
      </c>
      <c r="AS353" s="110">
        <v>0.0</v>
      </c>
      <c r="AT353" s="110">
        <v>0.0</v>
      </c>
      <c r="AU353" s="110">
        <v>6.0</v>
      </c>
      <c r="AV353" s="142">
        <v>0.0</v>
      </c>
      <c r="AW353" s="80">
        <v>6.0</v>
      </c>
      <c r="AX353" s="113">
        <v>145.0</v>
      </c>
      <c r="AY353" s="117">
        <v>108.0</v>
      </c>
      <c r="AZ353" s="328">
        <v>37.0</v>
      </c>
      <c r="BA353" s="315">
        <v>0.0</v>
      </c>
      <c r="BB353" s="316">
        <v>145.0</v>
      </c>
      <c r="BC353" s="132" t="s">
        <v>373</v>
      </c>
      <c r="BD353" s="132" t="s">
        <v>178</v>
      </c>
      <c r="BE353" s="132" t="s">
        <v>178</v>
      </c>
      <c r="BF353" s="156"/>
      <c r="BG353" s="83">
        <v>1111436.0</v>
      </c>
      <c r="BH353" s="112">
        <v>4.0</v>
      </c>
      <c r="BI353" s="98" t="s">
        <v>155</v>
      </c>
      <c r="BJ353" s="98" t="str">
        <f t="shared" si="1"/>
        <v>INTEGRAL</v>
      </c>
      <c r="BK353" s="98" t="str">
        <f t="shared" si="2"/>
        <v>PROFISSIONAL</v>
      </c>
    </row>
    <row r="354" ht="15.75" customHeight="1">
      <c r="A354" s="111" t="s">
        <v>451</v>
      </c>
      <c r="B354" s="83" t="s">
        <v>1423</v>
      </c>
      <c r="C354" s="83" t="s">
        <v>68</v>
      </c>
      <c r="D354" s="83">
        <v>1159838.0</v>
      </c>
      <c r="E354" s="83"/>
      <c r="F354" s="83">
        <v>2.9302293E7</v>
      </c>
      <c r="G354" s="119" t="s">
        <v>1450</v>
      </c>
      <c r="H354" s="91" t="s">
        <v>5130</v>
      </c>
      <c r="I354" s="119" t="s">
        <v>1452</v>
      </c>
      <c r="J354" s="83" t="s">
        <v>150</v>
      </c>
      <c r="K354" s="83" t="s">
        <v>151</v>
      </c>
      <c r="L354" s="83" t="s">
        <v>230</v>
      </c>
      <c r="M354" s="82" t="s">
        <v>5131</v>
      </c>
      <c r="N354" s="82" t="s">
        <v>5132</v>
      </c>
      <c r="O354" s="82" t="s">
        <v>5133</v>
      </c>
      <c r="P354" s="82" t="s">
        <v>5134</v>
      </c>
      <c r="Q354" s="82"/>
      <c r="R354" s="82"/>
      <c r="S354" s="82" t="s">
        <v>5135</v>
      </c>
      <c r="T354" s="138">
        <v>18.0</v>
      </c>
      <c r="U354" s="331">
        <v>24.0</v>
      </c>
      <c r="V354" s="106">
        <v>0.0</v>
      </c>
      <c r="W354" s="107">
        <v>0.0</v>
      </c>
      <c r="X354" s="107">
        <v>0.0</v>
      </c>
      <c r="Y354" s="107">
        <v>0.0</v>
      </c>
      <c r="Z354" s="80">
        <v>0.0</v>
      </c>
      <c r="AA354" s="140">
        <v>0.0</v>
      </c>
      <c r="AB354" s="109">
        <v>0.0</v>
      </c>
      <c r="AC354" s="109">
        <v>0.0</v>
      </c>
      <c r="AD354" s="141">
        <v>0.0</v>
      </c>
      <c r="AE354" s="80">
        <v>0.0</v>
      </c>
      <c r="AF354" s="140">
        <v>118.0</v>
      </c>
      <c r="AG354" s="109">
        <v>0.0</v>
      </c>
      <c r="AH354" s="109">
        <v>0.0</v>
      </c>
      <c r="AI354" s="141">
        <v>421.0</v>
      </c>
      <c r="AJ354" s="80">
        <v>539.0</v>
      </c>
      <c r="AK354" s="140">
        <v>0.0</v>
      </c>
      <c r="AL354" s="109">
        <v>0.0</v>
      </c>
      <c r="AM354" s="141">
        <v>0.0</v>
      </c>
      <c r="AN354" s="80">
        <v>0.0</v>
      </c>
      <c r="AO354" s="140">
        <v>0.0</v>
      </c>
      <c r="AP354" s="109">
        <v>0.0</v>
      </c>
      <c r="AQ354" s="109">
        <v>140.0</v>
      </c>
      <c r="AR354" s="80">
        <v>140.0</v>
      </c>
      <c r="AS354" s="110">
        <v>160.0</v>
      </c>
      <c r="AT354" s="110">
        <v>48.0</v>
      </c>
      <c r="AU354" s="110">
        <v>21.0</v>
      </c>
      <c r="AV354" s="142">
        <v>26.0</v>
      </c>
      <c r="AW354" s="80">
        <v>255.0</v>
      </c>
      <c r="AX354" s="113">
        <v>934.0</v>
      </c>
      <c r="AY354" s="117">
        <v>773.0</v>
      </c>
      <c r="AZ354" s="328">
        <v>161.0</v>
      </c>
      <c r="BA354" s="315">
        <v>0.0</v>
      </c>
      <c r="BB354" s="316">
        <v>934.0</v>
      </c>
      <c r="BC354" s="132" t="s">
        <v>178</v>
      </c>
      <c r="BD354" s="132" t="s">
        <v>178</v>
      </c>
      <c r="BE354" s="132" t="s">
        <v>178</v>
      </c>
      <c r="BF354" s="123"/>
      <c r="BG354" s="83">
        <v>1159838.0</v>
      </c>
      <c r="BH354" s="112">
        <v>24.0</v>
      </c>
      <c r="BI354" s="98" t="s">
        <v>162</v>
      </c>
      <c r="BJ354" s="98" t="str">
        <f t="shared" si="1"/>
        <v>INTEGRAL</v>
      </c>
      <c r="BK354" s="98" t="str">
        <f t="shared" si="2"/>
        <v>PROFISSIONAL</v>
      </c>
    </row>
    <row r="355" ht="15.75" customHeight="1">
      <c r="A355" s="111" t="s">
        <v>451</v>
      </c>
      <c r="B355" s="83" t="s">
        <v>1423</v>
      </c>
      <c r="C355" s="83" t="s">
        <v>68</v>
      </c>
      <c r="D355" s="83">
        <v>1178145.0</v>
      </c>
      <c r="E355" s="83"/>
      <c r="F355" s="83">
        <v>2.9442079E7</v>
      </c>
      <c r="G355" s="119" t="s">
        <v>5139</v>
      </c>
      <c r="H355" s="91" t="s">
        <v>1458</v>
      </c>
      <c r="I355" s="187" t="s">
        <v>1459</v>
      </c>
      <c r="J355" s="83" t="s">
        <v>1460</v>
      </c>
      <c r="K355" s="83" t="s">
        <v>151</v>
      </c>
      <c r="L355" s="83" t="s">
        <v>76</v>
      </c>
      <c r="M355" s="82" t="s">
        <v>5140</v>
      </c>
      <c r="N355" s="82" t="s">
        <v>5141</v>
      </c>
      <c r="O355" s="82" t="s">
        <v>5142</v>
      </c>
      <c r="P355" s="82" t="s">
        <v>5143</v>
      </c>
      <c r="Q355" s="82"/>
      <c r="R355" s="82"/>
      <c r="S355" s="82" t="s">
        <v>5144</v>
      </c>
      <c r="T355" s="138">
        <v>8.0</v>
      </c>
      <c r="U355" s="401" t="s">
        <v>5145</v>
      </c>
      <c r="V355" s="106">
        <v>0.0</v>
      </c>
      <c r="W355" s="107">
        <v>0.0</v>
      </c>
      <c r="X355" s="107">
        <v>0.0</v>
      </c>
      <c r="Y355" s="107">
        <v>0.0</v>
      </c>
      <c r="Z355" s="80">
        <v>0.0</v>
      </c>
      <c r="AA355" s="140">
        <v>0.0</v>
      </c>
      <c r="AB355" s="109">
        <v>0.0</v>
      </c>
      <c r="AC355" s="109">
        <v>0.0</v>
      </c>
      <c r="AD355" s="141">
        <v>0.0</v>
      </c>
      <c r="AE355" s="80">
        <v>0.0</v>
      </c>
      <c r="AF355" s="140">
        <v>122.0</v>
      </c>
      <c r="AG355" s="109">
        <v>62.0</v>
      </c>
      <c r="AH355" s="109">
        <v>16.0</v>
      </c>
      <c r="AI355" s="141">
        <v>39.0</v>
      </c>
      <c r="AJ355" s="80">
        <v>239.0</v>
      </c>
      <c r="AK355" s="140">
        <v>0.0</v>
      </c>
      <c r="AL355" s="109">
        <v>0.0</v>
      </c>
      <c r="AM355" s="141">
        <v>0.0</v>
      </c>
      <c r="AN355" s="80">
        <v>0.0</v>
      </c>
      <c r="AO355" s="140">
        <v>0.0</v>
      </c>
      <c r="AP355" s="109">
        <v>0.0</v>
      </c>
      <c r="AQ355" s="109">
        <v>0.0</v>
      </c>
      <c r="AR355" s="80">
        <v>0.0</v>
      </c>
      <c r="AS355" s="110">
        <v>0.0</v>
      </c>
      <c r="AT355" s="110">
        <v>0.0</v>
      </c>
      <c r="AU355" s="110">
        <v>47.0</v>
      </c>
      <c r="AV355" s="142">
        <v>0.0</v>
      </c>
      <c r="AW355" s="80">
        <v>47.0</v>
      </c>
      <c r="AX355" s="113">
        <v>286.0</v>
      </c>
      <c r="AY355" s="117">
        <v>223.0</v>
      </c>
      <c r="AZ355" s="328">
        <v>63.0</v>
      </c>
      <c r="BA355" s="315">
        <v>0.0</v>
      </c>
      <c r="BB355" s="316">
        <v>286.0</v>
      </c>
      <c r="BC355" s="132" t="s">
        <v>178</v>
      </c>
      <c r="BD355" s="132" t="s">
        <v>178</v>
      </c>
      <c r="BE355" s="132" t="s">
        <v>178</v>
      </c>
      <c r="BF355" s="123"/>
      <c r="BG355" s="83">
        <v>1178145.0</v>
      </c>
      <c r="BH355" s="112">
        <v>8.0</v>
      </c>
      <c r="BI355" s="98" t="s">
        <v>155</v>
      </c>
      <c r="BJ355" s="98" t="str">
        <f t="shared" si="1"/>
        <v>INTEGRAL</v>
      </c>
      <c r="BK355" s="98" t="str">
        <f t="shared" si="2"/>
        <v>PROFISSIONAL</v>
      </c>
    </row>
    <row r="356" ht="15.75" customHeight="1">
      <c r="A356" s="111" t="s">
        <v>451</v>
      </c>
      <c r="B356" s="83" t="s">
        <v>1423</v>
      </c>
      <c r="C356" s="83" t="s">
        <v>68</v>
      </c>
      <c r="D356" s="83">
        <v>1159919.0</v>
      </c>
      <c r="E356" s="83"/>
      <c r="F356" s="83">
        <v>2.9301475E7</v>
      </c>
      <c r="G356" s="219" t="s">
        <v>5147</v>
      </c>
      <c r="H356" s="91" t="s">
        <v>1464</v>
      </c>
      <c r="I356" s="114" t="s">
        <v>149</v>
      </c>
      <c r="J356" s="83" t="s">
        <v>150</v>
      </c>
      <c r="K356" s="83" t="s">
        <v>151</v>
      </c>
      <c r="L356" s="83" t="s">
        <v>152</v>
      </c>
      <c r="M356" s="82" t="s">
        <v>5149</v>
      </c>
      <c r="N356" s="82" t="s">
        <v>171</v>
      </c>
      <c r="O356" s="82" t="s">
        <v>5150</v>
      </c>
      <c r="P356" s="82" t="s">
        <v>5151</v>
      </c>
      <c r="Q356" s="82" t="s">
        <v>5152</v>
      </c>
      <c r="R356" s="82" t="s">
        <v>5153</v>
      </c>
      <c r="S356" s="82" t="s">
        <v>5154</v>
      </c>
      <c r="T356" s="138">
        <v>22.0</v>
      </c>
      <c r="U356" s="401">
        <v>21.0</v>
      </c>
      <c r="V356" s="106">
        <v>0.0</v>
      </c>
      <c r="W356" s="107">
        <v>0.0</v>
      </c>
      <c r="X356" s="107">
        <v>0.0</v>
      </c>
      <c r="Y356" s="107">
        <v>0.0</v>
      </c>
      <c r="Z356" s="80">
        <v>0.0</v>
      </c>
      <c r="AA356" s="140">
        <v>132.0</v>
      </c>
      <c r="AB356" s="109">
        <v>565.0</v>
      </c>
      <c r="AC356" s="109">
        <v>0.0</v>
      </c>
      <c r="AD356" s="141">
        <v>0.0</v>
      </c>
      <c r="AE356" s="80">
        <v>697.0</v>
      </c>
      <c r="AF356" s="140">
        <v>413.0</v>
      </c>
      <c r="AG356" s="109">
        <v>0.0</v>
      </c>
      <c r="AH356" s="109">
        <v>0.0</v>
      </c>
      <c r="AI356" s="141">
        <v>0.0</v>
      </c>
      <c r="AJ356" s="80">
        <v>413.0</v>
      </c>
      <c r="AK356" s="140">
        <v>0.0</v>
      </c>
      <c r="AL356" s="109">
        <v>0.0</v>
      </c>
      <c r="AM356" s="141">
        <v>8.0</v>
      </c>
      <c r="AN356" s="80">
        <v>8.0</v>
      </c>
      <c r="AO356" s="140">
        <v>0.0</v>
      </c>
      <c r="AP356" s="109">
        <v>0.0</v>
      </c>
      <c r="AQ356" s="109">
        <v>94.0</v>
      </c>
      <c r="AR356" s="80">
        <v>94.0</v>
      </c>
      <c r="AS356" s="110">
        <v>0.0</v>
      </c>
      <c r="AT356" s="110">
        <v>0.0</v>
      </c>
      <c r="AU356" s="110">
        <v>0.0</v>
      </c>
      <c r="AV356" s="142">
        <v>0.0</v>
      </c>
      <c r="AW356" s="80">
        <v>0.0</v>
      </c>
      <c r="AX356" s="113">
        <v>1212.0</v>
      </c>
      <c r="AY356" s="117">
        <v>1110.0</v>
      </c>
      <c r="AZ356" s="328">
        <v>102.0</v>
      </c>
      <c r="BA356" s="315">
        <v>1.0</v>
      </c>
      <c r="BB356" s="316">
        <v>1213.0</v>
      </c>
      <c r="BC356" s="143" t="s">
        <v>1014</v>
      </c>
      <c r="BD356" s="132" t="s">
        <v>178</v>
      </c>
      <c r="BE356" s="132" t="s">
        <v>178</v>
      </c>
      <c r="BF356" s="156"/>
      <c r="BG356" s="83">
        <v>1159919.0</v>
      </c>
      <c r="BH356" s="112">
        <v>21.0</v>
      </c>
      <c r="BI356" s="98" t="s">
        <v>155</v>
      </c>
      <c r="BJ356" s="98" t="str">
        <f t="shared" si="1"/>
        <v>NÃO</v>
      </c>
      <c r="BK356" s="98" t="str">
        <f t="shared" si="2"/>
        <v>NÃO</v>
      </c>
    </row>
    <row r="357" ht="15.75" customHeight="1">
      <c r="A357" s="111" t="s">
        <v>451</v>
      </c>
      <c r="B357" s="83" t="s">
        <v>1423</v>
      </c>
      <c r="C357" s="83" t="s">
        <v>68</v>
      </c>
      <c r="D357" s="83">
        <v>1111339.0</v>
      </c>
      <c r="E357" s="83"/>
      <c r="F357" s="83">
        <v>2.9301394E7</v>
      </c>
      <c r="G357" s="114" t="s">
        <v>1466</v>
      </c>
      <c r="H357" s="91" t="s">
        <v>1467</v>
      </c>
      <c r="I357" s="114" t="s">
        <v>149</v>
      </c>
      <c r="J357" s="83" t="s">
        <v>150</v>
      </c>
      <c r="K357" s="83" t="s">
        <v>151</v>
      </c>
      <c r="L357" s="83" t="s">
        <v>230</v>
      </c>
      <c r="M357" s="82" t="s">
        <v>5158</v>
      </c>
      <c r="N357" s="82" t="s">
        <v>5159</v>
      </c>
      <c r="O357" s="82" t="s">
        <v>5160</v>
      </c>
      <c r="P357" s="82" t="s">
        <v>5161</v>
      </c>
      <c r="Q357" s="82" t="s">
        <v>5162</v>
      </c>
      <c r="R357" s="82" t="s">
        <v>5163</v>
      </c>
      <c r="S357" s="82" t="s">
        <v>5164</v>
      </c>
      <c r="T357" s="138">
        <v>13.0</v>
      </c>
      <c r="U357" s="405">
        <v>12.0</v>
      </c>
      <c r="V357" s="106">
        <v>0.0</v>
      </c>
      <c r="W357" s="107">
        <v>0.0</v>
      </c>
      <c r="X357" s="107">
        <v>0.0</v>
      </c>
      <c r="Y357" s="107">
        <v>0.0</v>
      </c>
      <c r="Z357" s="80">
        <v>0.0</v>
      </c>
      <c r="AA357" s="140">
        <v>0.0</v>
      </c>
      <c r="AB357" s="109">
        <v>0.0</v>
      </c>
      <c r="AC357" s="109">
        <v>0.0</v>
      </c>
      <c r="AD357" s="141">
        <v>0.0</v>
      </c>
      <c r="AE357" s="80">
        <v>0.0</v>
      </c>
      <c r="AF357" s="140">
        <v>0.0</v>
      </c>
      <c r="AG357" s="109">
        <v>0.0</v>
      </c>
      <c r="AH357" s="109">
        <v>0.0</v>
      </c>
      <c r="AI357" s="141">
        <v>0.0</v>
      </c>
      <c r="AJ357" s="80">
        <v>0.0</v>
      </c>
      <c r="AK357" s="140">
        <v>0.0</v>
      </c>
      <c r="AL357" s="109">
        <v>0.0</v>
      </c>
      <c r="AM357" s="141">
        <v>0.0</v>
      </c>
      <c r="AN357" s="80">
        <v>0.0</v>
      </c>
      <c r="AO357" s="140">
        <v>0.0</v>
      </c>
      <c r="AP357" s="109">
        <v>0.0</v>
      </c>
      <c r="AQ357" s="109">
        <v>0.0</v>
      </c>
      <c r="AR357" s="80">
        <v>0.0</v>
      </c>
      <c r="AS357" s="110">
        <v>314.0</v>
      </c>
      <c r="AT357" s="110">
        <v>330.0</v>
      </c>
      <c r="AU357" s="110">
        <v>172.0</v>
      </c>
      <c r="AV357" s="142">
        <v>0.0</v>
      </c>
      <c r="AW357" s="80">
        <v>816.0</v>
      </c>
      <c r="AX357" s="113">
        <v>816.0</v>
      </c>
      <c r="AY357" s="117">
        <v>644.0</v>
      </c>
      <c r="AZ357" s="328">
        <v>172.0</v>
      </c>
      <c r="BA357" s="315">
        <v>0.0</v>
      </c>
      <c r="BB357" s="316">
        <v>816.0</v>
      </c>
      <c r="BC357" s="132" t="s">
        <v>178</v>
      </c>
      <c r="BD357" s="132" t="s">
        <v>779</v>
      </c>
      <c r="BE357" s="132" t="s">
        <v>178</v>
      </c>
      <c r="BF357" s="123"/>
      <c r="BG357" s="83">
        <v>1111339.0</v>
      </c>
      <c r="BH357" s="112">
        <v>12.0</v>
      </c>
      <c r="BI357" s="98" t="s">
        <v>155</v>
      </c>
      <c r="BJ357" s="98" t="str">
        <f t="shared" si="1"/>
        <v>NÃO</v>
      </c>
      <c r="BK357" s="98" t="str">
        <f t="shared" si="2"/>
        <v>PROFISSIONAL</v>
      </c>
    </row>
    <row r="358" ht="15.75" customHeight="1">
      <c r="A358" s="111" t="s">
        <v>451</v>
      </c>
      <c r="B358" s="83" t="s">
        <v>1423</v>
      </c>
      <c r="C358" s="83" t="s">
        <v>68</v>
      </c>
      <c r="D358" s="83">
        <v>1111096.0</v>
      </c>
      <c r="E358" s="83"/>
      <c r="F358" s="83">
        <v>2.9301483E7</v>
      </c>
      <c r="G358" s="114" t="s">
        <v>1469</v>
      </c>
      <c r="H358" s="91" t="s">
        <v>1470</v>
      </c>
      <c r="I358" s="114" t="s">
        <v>149</v>
      </c>
      <c r="J358" s="83" t="s">
        <v>150</v>
      </c>
      <c r="K358" s="83" t="s">
        <v>151</v>
      </c>
      <c r="L358" s="83" t="s">
        <v>230</v>
      </c>
      <c r="M358" s="82" t="s">
        <v>5166</v>
      </c>
      <c r="N358" s="82" t="s">
        <v>5167</v>
      </c>
      <c r="O358" s="82" t="s">
        <v>5168</v>
      </c>
      <c r="P358" s="82" t="s">
        <v>5169</v>
      </c>
      <c r="Q358" s="82" t="s">
        <v>5170</v>
      </c>
      <c r="R358" s="82" t="s">
        <v>5172</v>
      </c>
      <c r="S358" s="82" t="s">
        <v>5174</v>
      </c>
      <c r="T358" s="138">
        <v>28.0</v>
      </c>
      <c r="U358" s="401">
        <v>22.0</v>
      </c>
      <c r="V358" s="355">
        <v>0.0</v>
      </c>
      <c r="W358" s="246">
        <v>0.0</v>
      </c>
      <c r="X358" s="246">
        <v>0.0</v>
      </c>
      <c r="Y358" s="246">
        <v>0.0</v>
      </c>
      <c r="Z358" s="80">
        <v>0.0</v>
      </c>
      <c r="AA358" s="140">
        <v>0.0</v>
      </c>
      <c r="AB358" s="109">
        <v>0.0</v>
      </c>
      <c r="AC358" s="109">
        <v>0.0</v>
      </c>
      <c r="AD358" s="141">
        <v>0.0</v>
      </c>
      <c r="AE358" s="80">
        <v>0.0</v>
      </c>
      <c r="AF358" s="140">
        <v>0.0</v>
      </c>
      <c r="AG358" s="109">
        <v>0.0</v>
      </c>
      <c r="AH358" s="109">
        <v>0.0</v>
      </c>
      <c r="AI358" s="141">
        <v>0.0</v>
      </c>
      <c r="AJ358" s="80">
        <v>0.0</v>
      </c>
      <c r="AK358" s="140">
        <v>0.0</v>
      </c>
      <c r="AL358" s="109">
        <v>0.0</v>
      </c>
      <c r="AM358" s="141">
        <v>0.0</v>
      </c>
      <c r="AN358" s="80">
        <v>0.0</v>
      </c>
      <c r="AO358" s="140">
        <v>0.0</v>
      </c>
      <c r="AP358" s="109">
        <v>0.0</v>
      </c>
      <c r="AQ358" s="109">
        <v>6.0</v>
      </c>
      <c r="AR358" s="80">
        <v>6.0</v>
      </c>
      <c r="AS358" s="110">
        <v>643.0</v>
      </c>
      <c r="AT358" s="110">
        <v>549.0</v>
      </c>
      <c r="AU358" s="110">
        <v>233.0</v>
      </c>
      <c r="AV358" s="142">
        <v>0.0</v>
      </c>
      <c r="AW358" s="80">
        <v>1425.0</v>
      </c>
      <c r="AX358" s="113">
        <v>1431.0</v>
      </c>
      <c r="AY358" s="117">
        <v>1192.0</v>
      </c>
      <c r="AZ358" s="328">
        <v>239.0</v>
      </c>
      <c r="BA358" s="315">
        <v>1.0</v>
      </c>
      <c r="BB358" s="316">
        <v>1432.0</v>
      </c>
      <c r="BC358" s="132" t="s">
        <v>178</v>
      </c>
      <c r="BD358" s="132" t="s">
        <v>779</v>
      </c>
      <c r="BE358" s="132" t="s">
        <v>178</v>
      </c>
      <c r="BF358" s="156"/>
      <c r="BG358" s="83">
        <v>1111096.0</v>
      </c>
      <c r="BH358" s="112">
        <v>22.0</v>
      </c>
      <c r="BI358" s="98" t="s">
        <v>155</v>
      </c>
      <c r="BJ358" s="98" t="str">
        <f t="shared" si="1"/>
        <v>NÃO</v>
      </c>
      <c r="BK358" s="98" t="str">
        <f t="shared" si="2"/>
        <v>PROFISSIONAL</v>
      </c>
    </row>
    <row r="359" ht="15.75" customHeight="1">
      <c r="A359" s="111" t="s">
        <v>451</v>
      </c>
      <c r="B359" s="83" t="s">
        <v>1423</v>
      </c>
      <c r="C359" s="83" t="s">
        <v>68</v>
      </c>
      <c r="D359" s="83">
        <v>1179701.0</v>
      </c>
      <c r="E359" s="83"/>
      <c r="F359" s="83">
        <v>2.9482267E7</v>
      </c>
      <c r="G359" s="114" t="s">
        <v>1472</v>
      </c>
      <c r="H359" s="91" t="s">
        <v>1473</v>
      </c>
      <c r="I359" s="114" t="s">
        <v>149</v>
      </c>
      <c r="J359" s="98" t="s">
        <v>150</v>
      </c>
      <c r="K359" s="83" t="s">
        <v>151</v>
      </c>
      <c r="L359" s="83" t="s">
        <v>230</v>
      </c>
      <c r="M359" s="82" t="s">
        <v>4891</v>
      </c>
      <c r="N359" s="82" t="s">
        <v>4892</v>
      </c>
      <c r="O359" s="82" t="s">
        <v>4893</v>
      </c>
      <c r="P359" s="82" t="s">
        <v>4894</v>
      </c>
      <c r="Q359" s="82"/>
      <c r="R359" s="82"/>
      <c r="S359" s="82"/>
      <c r="T359" s="138" t="s">
        <v>171</v>
      </c>
      <c r="U359" s="406" t="s">
        <v>533</v>
      </c>
      <c r="V359" s="106">
        <v>0.0</v>
      </c>
      <c r="W359" s="107">
        <v>0.0</v>
      </c>
      <c r="X359" s="107">
        <v>0.0</v>
      </c>
      <c r="Y359" s="107">
        <v>0.0</v>
      </c>
      <c r="Z359" s="80">
        <v>0.0</v>
      </c>
      <c r="AA359" s="140">
        <v>0.0</v>
      </c>
      <c r="AB359" s="109">
        <v>0.0</v>
      </c>
      <c r="AC359" s="109">
        <v>0.0</v>
      </c>
      <c r="AD359" s="141">
        <v>0.0</v>
      </c>
      <c r="AE359" s="80">
        <v>0.0</v>
      </c>
      <c r="AF359" s="140">
        <v>0.0</v>
      </c>
      <c r="AG359" s="109">
        <v>0.0</v>
      </c>
      <c r="AH359" s="109">
        <v>0.0</v>
      </c>
      <c r="AI359" s="141">
        <v>0.0</v>
      </c>
      <c r="AJ359" s="80">
        <v>0.0</v>
      </c>
      <c r="AK359" s="140">
        <v>0.0</v>
      </c>
      <c r="AL359" s="109">
        <v>0.0</v>
      </c>
      <c r="AM359" s="141">
        <v>0.0</v>
      </c>
      <c r="AN359" s="80">
        <v>0.0</v>
      </c>
      <c r="AO359" s="140">
        <v>0.0</v>
      </c>
      <c r="AP359" s="109">
        <v>0.0</v>
      </c>
      <c r="AQ359" s="109">
        <v>0.0</v>
      </c>
      <c r="AR359" s="80">
        <v>0.0</v>
      </c>
      <c r="AS359" s="110">
        <v>0.0</v>
      </c>
      <c r="AT359" s="110">
        <v>0.0</v>
      </c>
      <c r="AU359" s="110">
        <v>0.0</v>
      </c>
      <c r="AV359" s="142">
        <v>0.0</v>
      </c>
      <c r="AW359" s="80">
        <v>0.0</v>
      </c>
      <c r="AX359" s="113">
        <v>0.0</v>
      </c>
      <c r="AY359" s="117">
        <v>0.0</v>
      </c>
      <c r="AZ359" s="328">
        <v>0.0</v>
      </c>
      <c r="BA359" s="315">
        <v>0.0</v>
      </c>
      <c r="BB359" s="316">
        <v>0.0</v>
      </c>
      <c r="BC359" s="132" t="s">
        <v>178</v>
      </c>
      <c r="BD359" s="143" t="s">
        <v>227</v>
      </c>
      <c r="BE359" s="132" t="s">
        <v>178</v>
      </c>
      <c r="BF359" s="123"/>
      <c r="BG359" s="83">
        <v>1179701.0</v>
      </c>
      <c r="BH359" s="112">
        <v>0.0</v>
      </c>
      <c r="BI359" s="98" t="s">
        <v>155</v>
      </c>
      <c r="BJ359" s="98" t="str">
        <f t="shared" si="1"/>
        <v>NÃO</v>
      </c>
      <c r="BK359" s="98" t="str">
        <f t="shared" si="2"/>
        <v>NÃO</v>
      </c>
    </row>
    <row r="360" ht="15.75" customHeight="1">
      <c r="A360" s="111" t="s">
        <v>451</v>
      </c>
      <c r="B360" s="83" t="s">
        <v>1423</v>
      </c>
      <c r="C360" s="83" t="s">
        <v>164</v>
      </c>
      <c r="D360" s="83">
        <v>1179275.0</v>
      </c>
      <c r="E360" s="83">
        <v>1179653.0</v>
      </c>
      <c r="F360" s="83"/>
      <c r="G360" s="114" t="s">
        <v>1474</v>
      </c>
      <c r="H360" s="91" t="s">
        <v>1475</v>
      </c>
      <c r="I360" s="114" t="s">
        <v>149</v>
      </c>
      <c r="J360" s="83" t="s">
        <v>464</v>
      </c>
      <c r="K360" s="83" t="s">
        <v>168</v>
      </c>
      <c r="L360" s="83" t="s">
        <v>169</v>
      </c>
      <c r="M360" s="82" t="s">
        <v>5093</v>
      </c>
      <c r="N360" s="82" t="s">
        <v>5094</v>
      </c>
      <c r="O360" s="82" t="s">
        <v>5095</v>
      </c>
      <c r="P360" s="82" t="s">
        <v>5096</v>
      </c>
      <c r="Q360" s="82"/>
      <c r="R360" s="82"/>
      <c r="S360" s="82"/>
      <c r="T360" s="138">
        <v>3.0</v>
      </c>
      <c r="U360" s="401">
        <v>7.0</v>
      </c>
      <c r="V360" s="106">
        <v>2.0</v>
      </c>
      <c r="W360" s="107">
        <v>0.0</v>
      </c>
      <c r="X360" s="107">
        <v>0.0</v>
      </c>
      <c r="Y360" s="107">
        <v>0.0</v>
      </c>
      <c r="Z360" s="80">
        <v>2.0</v>
      </c>
      <c r="AA360" s="140">
        <v>0.0</v>
      </c>
      <c r="AB360" s="109">
        <v>8.0</v>
      </c>
      <c r="AC360" s="109">
        <v>0.0</v>
      </c>
      <c r="AD360" s="141">
        <v>0.0</v>
      </c>
      <c r="AE360" s="80">
        <v>8.0</v>
      </c>
      <c r="AF360" s="140">
        <v>0.0</v>
      </c>
      <c r="AG360" s="109">
        <v>0.0</v>
      </c>
      <c r="AH360" s="109">
        <v>0.0</v>
      </c>
      <c r="AI360" s="141">
        <v>0.0</v>
      </c>
      <c r="AJ360" s="80">
        <v>0.0</v>
      </c>
      <c r="AK360" s="140">
        <v>0.0</v>
      </c>
      <c r="AL360" s="109">
        <v>0.0</v>
      </c>
      <c r="AM360" s="141">
        <v>3.0</v>
      </c>
      <c r="AN360" s="80">
        <v>3.0</v>
      </c>
      <c r="AO360" s="140">
        <v>0.0</v>
      </c>
      <c r="AP360" s="109">
        <v>0.0</v>
      </c>
      <c r="AQ360" s="109">
        <v>0.0</v>
      </c>
      <c r="AR360" s="80">
        <v>0.0</v>
      </c>
      <c r="AS360" s="110">
        <v>0.0</v>
      </c>
      <c r="AT360" s="110">
        <v>0.0</v>
      </c>
      <c r="AU360" s="110">
        <v>0.0</v>
      </c>
      <c r="AV360" s="142">
        <v>0.0</v>
      </c>
      <c r="AW360" s="80">
        <v>0.0</v>
      </c>
      <c r="AX360" s="113">
        <v>13.0</v>
      </c>
      <c r="AY360" s="117">
        <v>10.0</v>
      </c>
      <c r="AZ360" s="328">
        <v>3.0</v>
      </c>
      <c r="BA360" s="315">
        <v>0.0</v>
      </c>
      <c r="BB360" s="316">
        <v>13.0</v>
      </c>
      <c r="BC360" s="143" t="s">
        <v>1294</v>
      </c>
      <c r="BD360" s="132" t="s">
        <v>178</v>
      </c>
      <c r="BE360" s="132" t="s">
        <v>178</v>
      </c>
      <c r="BF360" s="123"/>
      <c r="BG360" s="83">
        <v>1179653.0</v>
      </c>
      <c r="BH360" s="112">
        <v>7.0</v>
      </c>
      <c r="BI360" s="98" t="s">
        <v>155</v>
      </c>
      <c r="BJ360" s="98" t="str">
        <f t="shared" si="1"/>
        <v>NÃO</v>
      </c>
      <c r="BK360" s="98" t="str">
        <f t="shared" si="2"/>
        <v>NÃO</v>
      </c>
    </row>
    <row r="361" ht="56.25" customHeight="1">
      <c r="A361" s="111" t="s">
        <v>451</v>
      </c>
      <c r="B361" s="83" t="s">
        <v>1423</v>
      </c>
      <c r="C361" s="83" t="s">
        <v>164</v>
      </c>
      <c r="D361" s="83">
        <v>1179275.0</v>
      </c>
      <c r="E361" s="83">
        <v>1179652.0</v>
      </c>
      <c r="F361" s="83"/>
      <c r="G361" s="187" t="s">
        <v>1476</v>
      </c>
      <c r="H361" s="91" t="s">
        <v>1477</v>
      </c>
      <c r="I361" s="187" t="s">
        <v>149</v>
      </c>
      <c r="J361" s="83" t="s">
        <v>1478</v>
      </c>
      <c r="K361" s="83" t="s">
        <v>168</v>
      </c>
      <c r="L361" s="136" t="s">
        <v>169</v>
      </c>
      <c r="M361" s="82" t="s">
        <v>5093</v>
      </c>
      <c r="N361" s="82" t="s">
        <v>5094</v>
      </c>
      <c r="O361" s="82" t="s">
        <v>5095</v>
      </c>
      <c r="P361" s="82" t="s">
        <v>5096</v>
      </c>
      <c r="Q361" s="82"/>
      <c r="R361" s="82"/>
      <c r="S361" s="82"/>
      <c r="T361" s="138">
        <v>3.0</v>
      </c>
      <c r="U361" s="409">
        <v>1.0</v>
      </c>
      <c r="V361" s="106">
        <v>0.0</v>
      </c>
      <c r="W361" s="107">
        <v>3.0</v>
      </c>
      <c r="X361" s="107">
        <v>0.0</v>
      </c>
      <c r="Y361" s="107">
        <v>0.0</v>
      </c>
      <c r="Z361" s="80">
        <v>3.0</v>
      </c>
      <c r="AA361" s="140">
        <v>25.0</v>
      </c>
      <c r="AB361" s="109">
        <v>0.0</v>
      </c>
      <c r="AC361" s="109">
        <v>0.0</v>
      </c>
      <c r="AD361" s="141">
        <v>0.0</v>
      </c>
      <c r="AE361" s="80">
        <v>25.0</v>
      </c>
      <c r="AF361" s="140">
        <v>0.0</v>
      </c>
      <c r="AG361" s="109">
        <v>0.0</v>
      </c>
      <c r="AH361" s="109">
        <v>0.0</v>
      </c>
      <c r="AI361" s="141">
        <v>0.0</v>
      </c>
      <c r="AJ361" s="80">
        <v>0.0</v>
      </c>
      <c r="AK361" s="140">
        <v>0.0</v>
      </c>
      <c r="AL361" s="109">
        <v>0.0</v>
      </c>
      <c r="AM361" s="141">
        <v>13.0</v>
      </c>
      <c r="AN361" s="80">
        <v>13.0</v>
      </c>
      <c r="AO361" s="140">
        <v>0.0</v>
      </c>
      <c r="AP361" s="109">
        <v>0.0</v>
      </c>
      <c r="AQ361" s="109">
        <v>0.0</v>
      </c>
      <c r="AR361" s="80">
        <v>0.0</v>
      </c>
      <c r="AS361" s="110">
        <v>0.0</v>
      </c>
      <c r="AT361" s="110">
        <v>0.0</v>
      </c>
      <c r="AU361" s="110">
        <v>0.0</v>
      </c>
      <c r="AV361" s="142">
        <v>0.0</v>
      </c>
      <c r="AW361" s="80">
        <v>0.0</v>
      </c>
      <c r="AX361" s="113">
        <v>41.0</v>
      </c>
      <c r="AY361" s="117">
        <v>28.0</v>
      </c>
      <c r="AZ361" s="328">
        <v>13.0</v>
      </c>
      <c r="BA361" s="315">
        <v>0.0</v>
      </c>
      <c r="BB361" s="316">
        <v>41.0</v>
      </c>
      <c r="BC361" s="143" t="s">
        <v>1294</v>
      </c>
      <c r="BD361" s="132" t="s">
        <v>178</v>
      </c>
      <c r="BE361" s="132" t="s">
        <v>178</v>
      </c>
      <c r="BF361" s="156"/>
      <c r="BG361" s="83">
        <v>1179652.0</v>
      </c>
      <c r="BH361" s="112">
        <v>1.0</v>
      </c>
      <c r="BI361" s="98" t="s">
        <v>155</v>
      </c>
      <c r="BJ361" s="98" t="str">
        <f t="shared" si="1"/>
        <v>NÃO</v>
      </c>
      <c r="BK361" s="98" t="str">
        <f t="shared" si="2"/>
        <v>NÃO</v>
      </c>
    </row>
    <row r="362" ht="15.75" customHeight="1">
      <c r="A362" s="111" t="s">
        <v>451</v>
      </c>
      <c r="B362" s="83" t="s">
        <v>1423</v>
      </c>
      <c r="C362" s="83" t="s">
        <v>164</v>
      </c>
      <c r="D362" s="83">
        <v>1178075.0</v>
      </c>
      <c r="E362" s="83">
        <v>1179521.0</v>
      </c>
      <c r="F362" s="83"/>
      <c r="G362" s="114" t="s">
        <v>1479</v>
      </c>
      <c r="H362" s="91" t="s">
        <v>1480</v>
      </c>
      <c r="I362" s="114" t="s">
        <v>1481</v>
      </c>
      <c r="J362" s="83" t="s">
        <v>187</v>
      </c>
      <c r="K362" s="83" t="s">
        <v>168</v>
      </c>
      <c r="L362" s="83" t="s">
        <v>1482</v>
      </c>
      <c r="M362" s="82" t="s">
        <v>5082</v>
      </c>
      <c r="N362" s="82" t="s">
        <v>5083</v>
      </c>
      <c r="O362" s="82" t="s">
        <v>5084</v>
      </c>
      <c r="P362" s="82" t="s">
        <v>5085</v>
      </c>
      <c r="Q362" s="82"/>
      <c r="R362" s="82"/>
      <c r="S362" s="82"/>
      <c r="T362" s="138">
        <v>1.0</v>
      </c>
      <c r="U362" s="323">
        <v>1.0</v>
      </c>
      <c r="V362" s="106">
        <v>0.0</v>
      </c>
      <c r="W362" s="107">
        <v>1.0</v>
      </c>
      <c r="X362" s="107">
        <v>0.0</v>
      </c>
      <c r="Y362" s="107">
        <v>0.0</v>
      </c>
      <c r="Z362" s="80">
        <v>1.0</v>
      </c>
      <c r="AA362" s="140">
        <v>0.0</v>
      </c>
      <c r="AB362" s="109">
        <v>1.0</v>
      </c>
      <c r="AC362" s="109">
        <v>0.0</v>
      </c>
      <c r="AD362" s="141">
        <v>0.0</v>
      </c>
      <c r="AE362" s="80">
        <v>1.0</v>
      </c>
      <c r="AF362" s="140">
        <v>0.0</v>
      </c>
      <c r="AG362" s="109">
        <v>0.0</v>
      </c>
      <c r="AH362" s="109">
        <v>0.0</v>
      </c>
      <c r="AI362" s="141">
        <v>0.0</v>
      </c>
      <c r="AJ362" s="80">
        <v>0.0</v>
      </c>
      <c r="AK362" s="140">
        <v>0.0</v>
      </c>
      <c r="AL362" s="109">
        <v>0.0</v>
      </c>
      <c r="AM362" s="141">
        <v>0.0</v>
      </c>
      <c r="AN362" s="80">
        <v>0.0</v>
      </c>
      <c r="AO362" s="140">
        <v>0.0</v>
      </c>
      <c r="AP362" s="109">
        <v>0.0</v>
      </c>
      <c r="AQ362" s="109">
        <v>0.0</v>
      </c>
      <c r="AR362" s="80">
        <v>0.0</v>
      </c>
      <c r="AS362" s="110">
        <v>0.0</v>
      </c>
      <c r="AT362" s="110">
        <v>0.0</v>
      </c>
      <c r="AU362" s="110">
        <v>0.0</v>
      </c>
      <c r="AV362" s="142">
        <v>0.0</v>
      </c>
      <c r="AW362" s="80">
        <v>0.0</v>
      </c>
      <c r="AX362" s="113">
        <v>2.0</v>
      </c>
      <c r="AY362" s="117">
        <v>2.0</v>
      </c>
      <c r="AZ362" s="328">
        <v>0.0</v>
      </c>
      <c r="BA362" s="315">
        <v>0.0</v>
      </c>
      <c r="BB362" s="316">
        <v>2.0</v>
      </c>
      <c r="BC362" s="143" t="s">
        <v>1294</v>
      </c>
      <c r="BD362" s="132" t="s">
        <v>178</v>
      </c>
      <c r="BE362" s="132" t="s">
        <v>178</v>
      </c>
      <c r="BF362" s="156"/>
      <c r="BG362" s="83">
        <v>1179521.0</v>
      </c>
      <c r="BH362" s="112">
        <v>1.0</v>
      </c>
      <c r="BI362" s="98" t="s">
        <v>155</v>
      </c>
      <c r="BJ362" s="98" t="str">
        <f t="shared" si="1"/>
        <v>NÃO</v>
      </c>
      <c r="BK362" s="98" t="str">
        <f t="shared" si="2"/>
        <v>NÃO</v>
      </c>
    </row>
    <row r="363" ht="15.75" customHeight="1">
      <c r="A363" s="111" t="s">
        <v>451</v>
      </c>
      <c r="B363" s="83" t="s">
        <v>1423</v>
      </c>
      <c r="C363" s="83" t="s">
        <v>164</v>
      </c>
      <c r="D363" s="83">
        <v>1178075.0</v>
      </c>
      <c r="E363" s="83">
        <v>1179526.0</v>
      </c>
      <c r="F363" s="83"/>
      <c r="G363" s="114" t="s">
        <v>1483</v>
      </c>
      <c r="H363" s="91" t="s">
        <v>1484</v>
      </c>
      <c r="I363" s="114" t="s">
        <v>1481</v>
      </c>
      <c r="J363" s="83" t="s">
        <v>240</v>
      </c>
      <c r="K363" s="83" t="s">
        <v>168</v>
      </c>
      <c r="L363" s="83" t="s">
        <v>1482</v>
      </c>
      <c r="M363" s="82" t="s">
        <v>5082</v>
      </c>
      <c r="N363" s="82" t="s">
        <v>5083</v>
      </c>
      <c r="O363" s="82" t="s">
        <v>5084</v>
      </c>
      <c r="P363" s="82" t="s">
        <v>5085</v>
      </c>
      <c r="Q363" s="82"/>
      <c r="R363" s="82"/>
      <c r="S363" s="82"/>
      <c r="T363" s="138">
        <v>2.0</v>
      </c>
      <c r="U363" s="401">
        <v>2.0</v>
      </c>
      <c r="V363" s="106">
        <v>0.0</v>
      </c>
      <c r="W363" s="107">
        <v>0.0</v>
      </c>
      <c r="X363" s="107">
        <v>0.0</v>
      </c>
      <c r="Y363" s="107">
        <v>0.0</v>
      </c>
      <c r="Z363" s="80">
        <v>0.0</v>
      </c>
      <c r="AA363" s="140">
        <v>10.0</v>
      </c>
      <c r="AB363" s="109">
        <v>0.0</v>
      </c>
      <c r="AC363" s="109">
        <v>0.0</v>
      </c>
      <c r="AD363" s="141">
        <v>0.0</v>
      </c>
      <c r="AE363" s="80">
        <v>10.0</v>
      </c>
      <c r="AF363" s="140">
        <v>0.0</v>
      </c>
      <c r="AG363" s="109">
        <v>0.0</v>
      </c>
      <c r="AH363" s="109">
        <v>0.0</v>
      </c>
      <c r="AI363" s="141">
        <v>0.0</v>
      </c>
      <c r="AJ363" s="80">
        <v>0.0</v>
      </c>
      <c r="AK363" s="140">
        <v>0.0</v>
      </c>
      <c r="AL363" s="109">
        <v>0.0</v>
      </c>
      <c r="AM363" s="141">
        <v>5.0</v>
      </c>
      <c r="AN363" s="80">
        <v>5.0</v>
      </c>
      <c r="AO363" s="140">
        <v>0.0</v>
      </c>
      <c r="AP363" s="109">
        <v>0.0</v>
      </c>
      <c r="AQ363" s="109">
        <v>0.0</v>
      </c>
      <c r="AR363" s="80">
        <v>0.0</v>
      </c>
      <c r="AS363" s="110">
        <v>0.0</v>
      </c>
      <c r="AT363" s="110">
        <v>0.0</v>
      </c>
      <c r="AU363" s="110">
        <v>0.0</v>
      </c>
      <c r="AV363" s="142">
        <v>0.0</v>
      </c>
      <c r="AW363" s="80">
        <v>0.0</v>
      </c>
      <c r="AX363" s="113">
        <v>15.0</v>
      </c>
      <c r="AY363" s="117">
        <v>10.0</v>
      </c>
      <c r="AZ363" s="328">
        <v>5.0</v>
      </c>
      <c r="BA363" s="315">
        <v>0.0</v>
      </c>
      <c r="BB363" s="316">
        <v>15.0</v>
      </c>
      <c r="BC363" s="143" t="s">
        <v>1294</v>
      </c>
      <c r="BD363" s="132" t="s">
        <v>178</v>
      </c>
      <c r="BE363" s="132" t="s">
        <v>178</v>
      </c>
      <c r="BF363" s="156"/>
      <c r="BG363" s="83">
        <v>1179526.0</v>
      </c>
      <c r="BH363" s="112">
        <v>2.0</v>
      </c>
      <c r="BI363" s="98" t="s">
        <v>155</v>
      </c>
      <c r="BJ363" s="98" t="str">
        <f t="shared" si="1"/>
        <v>NÃO</v>
      </c>
      <c r="BK363" s="98" t="str">
        <f t="shared" si="2"/>
        <v>NÃO</v>
      </c>
    </row>
    <row r="364" ht="15.75" customHeight="1">
      <c r="A364" s="111" t="s">
        <v>451</v>
      </c>
      <c r="B364" s="83" t="s">
        <v>1423</v>
      </c>
      <c r="C364" s="83" t="s">
        <v>164</v>
      </c>
      <c r="D364" s="83">
        <v>1178075.0</v>
      </c>
      <c r="E364" s="83">
        <v>1179524.0</v>
      </c>
      <c r="F364" s="83"/>
      <c r="G364" s="114" t="s">
        <v>1485</v>
      </c>
      <c r="H364" s="91" t="s">
        <v>1486</v>
      </c>
      <c r="I364" s="114" t="s">
        <v>1481</v>
      </c>
      <c r="J364" s="83" t="s">
        <v>240</v>
      </c>
      <c r="K364" s="83" t="s">
        <v>168</v>
      </c>
      <c r="L364" s="83" t="s">
        <v>1482</v>
      </c>
      <c r="M364" s="82" t="s">
        <v>5082</v>
      </c>
      <c r="N364" s="82" t="s">
        <v>5083</v>
      </c>
      <c r="O364" s="82" t="s">
        <v>5084</v>
      </c>
      <c r="P364" s="82" t="s">
        <v>5085</v>
      </c>
      <c r="Q364" s="82"/>
      <c r="R364" s="82"/>
      <c r="S364" s="82"/>
      <c r="T364" s="138">
        <v>1.0</v>
      </c>
      <c r="U364" s="401">
        <v>2.0</v>
      </c>
      <c r="V364" s="106">
        <v>1.0</v>
      </c>
      <c r="W364" s="107">
        <v>2.0</v>
      </c>
      <c r="X364" s="107">
        <v>0.0</v>
      </c>
      <c r="Y364" s="107">
        <v>0.0</v>
      </c>
      <c r="Z364" s="80">
        <v>3.0</v>
      </c>
      <c r="AA364" s="140">
        <v>1.0</v>
      </c>
      <c r="AB364" s="109">
        <v>7.0</v>
      </c>
      <c r="AC364" s="109">
        <v>0.0</v>
      </c>
      <c r="AD364" s="141">
        <v>0.0</v>
      </c>
      <c r="AE364" s="80">
        <v>8.0</v>
      </c>
      <c r="AF364" s="140">
        <v>0.0</v>
      </c>
      <c r="AG364" s="109">
        <v>0.0</v>
      </c>
      <c r="AH364" s="109">
        <v>0.0</v>
      </c>
      <c r="AI364" s="141">
        <v>0.0</v>
      </c>
      <c r="AJ364" s="80">
        <v>0.0</v>
      </c>
      <c r="AK364" s="140">
        <v>0.0</v>
      </c>
      <c r="AL364" s="109">
        <v>0.0</v>
      </c>
      <c r="AM364" s="141">
        <v>0.0</v>
      </c>
      <c r="AN364" s="80">
        <v>0.0</v>
      </c>
      <c r="AO364" s="140">
        <v>0.0</v>
      </c>
      <c r="AP364" s="109">
        <v>0.0</v>
      </c>
      <c r="AQ364" s="109">
        <v>0.0</v>
      </c>
      <c r="AR364" s="80">
        <v>0.0</v>
      </c>
      <c r="AS364" s="110">
        <v>0.0</v>
      </c>
      <c r="AT364" s="110">
        <v>0.0</v>
      </c>
      <c r="AU364" s="110">
        <v>0.0</v>
      </c>
      <c r="AV364" s="142">
        <v>0.0</v>
      </c>
      <c r="AW364" s="80">
        <v>0.0</v>
      </c>
      <c r="AX364" s="113">
        <v>11.0</v>
      </c>
      <c r="AY364" s="117">
        <v>11.0</v>
      </c>
      <c r="AZ364" s="328">
        <v>0.0</v>
      </c>
      <c r="BA364" s="315">
        <v>4.0</v>
      </c>
      <c r="BB364" s="316">
        <v>15.0</v>
      </c>
      <c r="BC364" s="143" t="s">
        <v>1294</v>
      </c>
      <c r="BD364" s="132" t="s">
        <v>178</v>
      </c>
      <c r="BE364" s="132" t="s">
        <v>178</v>
      </c>
      <c r="BF364" s="156"/>
      <c r="BG364" s="83">
        <v>1179524.0</v>
      </c>
      <c r="BH364" s="112">
        <v>2.0</v>
      </c>
      <c r="BI364" s="98" t="s">
        <v>155</v>
      </c>
      <c r="BJ364" s="98" t="str">
        <f t="shared" si="1"/>
        <v>NÃO</v>
      </c>
      <c r="BK364" s="98" t="str">
        <f t="shared" si="2"/>
        <v>NÃO</v>
      </c>
    </row>
    <row r="365" ht="15.75" customHeight="1">
      <c r="A365" s="111" t="s">
        <v>451</v>
      </c>
      <c r="B365" s="83" t="s">
        <v>1423</v>
      </c>
      <c r="C365" s="83" t="s">
        <v>164</v>
      </c>
      <c r="D365" s="83">
        <v>1178075.0</v>
      </c>
      <c r="E365" s="83">
        <v>1179523.0</v>
      </c>
      <c r="F365" s="83"/>
      <c r="G365" s="114" t="s">
        <v>1487</v>
      </c>
      <c r="H365" s="91" t="s">
        <v>1488</v>
      </c>
      <c r="I365" s="114" t="s">
        <v>1481</v>
      </c>
      <c r="J365" s="83" t="s">
        <v>577</v>
      </c>
      <c r="K365" s="83" t="s">
        <v>168</v>
      </c>
      <c r="L365" s="83" t="s">
        <v>1482</v>
      </c>
      <c r="M365" s="82" t="s">
        <v>5082</v>
      </c>
      <c r="N365" s="82" t="s">
        <v>5083</v>
      </c>
      <c r="O365" s="82" t="s">
        <v>5084</v>
      </c>
      <c r="P365" s="82" t="s">
        <v>5085</v>
      </c>
      <c r="Q365" s="82"/>
      <c r="R365" s="82"/>
      <c r="S365" s="82"/>
      <c r="T365" s="138">
        <v>3.0</v>
      </c>
      <c r="U365" s="401">
        <v>2.0</v>
      </c>
      <c r="V365" s="106">
        <v>12.0</v>
      </c>
      <c r="W365" s="107">
        <v>0.0</v>
      </c>
      <c r="X365" s="107">
        <v>0.0</v>
      </c>
      <c r="Y365" s="107">
        <v>0.0</v>
      </c>
      <c r="Z365" s="80">
        <v>12.0</v>
      </c>
      <c r="AA365" s="140">
        <v>2.0</v>
      </c>
      <c r="AB365" s="109">
        <v>19.0</v>
      </c>
      <c r="AC365" s="109">
        <v>0.0</v>
      </c>
      <c r="AD365" s="141">
        <v>0.0</v>
      </c>
      <c r="AE365" s="80">
        <v>21.0</v>
      </c>
      <c r="AF365" s="140">
        <v>0.0</v>
      </c>
      <c r="AG365" s="109">
        <v>0.0</v>
      </c>
      <c r="AH365" s="109">
        <v>0.0</v>
      </c>
      <c r="AI365" s="141">
        <v>0.0</v>
      </c>
      <c r="AJ365" s="80">
        <v>0.0</v>
      </c>
      <c r="AK365" s="140">
        <v>0.0</v>
      </c>
      <c r="AL365" s="109">
        <v>0.0</v>
      </c>
      <c r="AM365" s="141">
        <v>6.0</v>
      </c>
      <c r="AN365" s="80">
        <v>6.0</v>
      </c>
      <c r="AO365" s="140">
        <v>0.0</v>
      </c>
      <c r="AP365" s="109">
        <v>0.0</v>
      </c>
      <c r="AQ365" s="109">
        <v>0.0</v>
      </c>
      <c r="AR365" s="80">
        <v>0.0</v>
      </c>
      <c r="AS365" s="110">
        <v>0.0</v>
      </c>
      <c r="AT365" s="110">
        <v>0.0</v>
      </c>
      <c r="AU365" s="110">
        <v>0.0</v>
      </c>
      <c r="AV365" s="142">
        <v>0.0</v>
      </c>
      <c r="AW365" s="80">
        <v>0.0</v>
      </c>
      <c r="AX365" s="113">
        <v>39.0</v>
      </c>
      <c r="AY365" s="117">
        <v>33.0</v>
      </c>
      <c r="AZ365" s="328">
        <v>6.0</v>
      </c>
      <c r="BA365" s="315">
        <v>0.0</v>
      </c>
      <c r="BB365" s="316">
        <v>39.0</v>
      </c>
      <c r="BC365" s="143" t="s">
        <v>1294</v>
      </c>
      <c r="BD365" s="132" t="s">
        <v>178</v>
      </c>
      <c r="BE365" s="132" t="s">
        <v>178</v>
      </c>
      <c r="BF365" s="156"/>
      <c r="BG365" s="83">
        <v>1179523.0</v>
      </c>
      <c r="BH365" s="112">
        <v>2.0</v>
      </c>
      <c r="BI365" s="98" t="s">
        <v>155</v>
      </c>
      <c r="BJ365" s="98" t="str">
        <f t="shared" si="1"/>
        <v>NÃO</v>
      </c>
      <c r="BK365" s="98" t="str">
        <f t="shared" si="2"/>
        <v>NÃO</v>
      </c>
    </row>
    <row r="366" ht="15.75" customHeight="1">
      <c r="A366" s="111" t="s">
        <v>451</v>
      </c>
      <c r="B366" s="83" t="s">
        <v>1423</v>
      </c>
      <c r="C366" s="83" t="s">
        <v>164</v>
      </c>
      <c r="D366" s="83">
        <v>1178075.0</v>
      </c>
      <c r="E366" s="83">
        <v>1179513.0</v>
      </c>
      <c r="F366" s="83"/>
      <c r="G366" s="114" t="s">
        <v>1489</v>
      </c>
      <c r="H366" s="91" t="s">
        <v>1490</v>
      </c>
      <c r="I366" s="114" t="s">
        <v>1481</v>
      </c>
      <c r="J366" s="83" t="s">
        <v>240</v>
      </c>
      <c r="K366" s="83" t="s">
        <v>168</v>
      </c>
      <c r="L366" s="83" t="s">
        <v>1482</v>
      </c>
      <c r="M366" s="82" t="s">
        <v>5082</v>
      </c>
      <c r="N366" s="82" t="s">
        <v>5083</v>
      </c>
      <c r="O366" s="82" t="s">
        <v>5084</v>
      </c>
      <c r="P366" s="82" t="s">
        <v>5085</v>
      </c>
      <c r="Q366" s="82"/>
      <c r="R366" s="82"/>
      <c r="S366" s="82"/>
      <c r="T366" s="138">
        <v>2.0</v>
      </c>
      <c r="U366" s="401">
        <v>2.0</v>
      </c>
      <c r="V366" s="106">
        <v>0.0</v>
      </c>
      <c r="W366" s="107">
        <v>0.0</v>
      </c>
      <c r="X366" s="107">
        <v>0.0</v>
      </c>
      <c r="Y366" s="107">
        <v>0.0</v>
      </c>
      <c r="Z366" s="80">
        <v>0.0</v>
      </c>
      <c r="AA366" s="140">
        <v>3.0</v>
      </c>
      <c r="AB366" s="109">
        <v>0.0</v>
      </c>
      <c r="AC366" s="109">
        <v>0.0</v>
      </c>
      <c r="AD366" s="141">
        <v>0.0</v>
      </c>
      <c r="AE366" s="80">
        <v>3.0</v>
      </c>
      <c r="AF366" s="140">
        <v>0.0</v>
      </c>
      <c r="AG366" s="109">
        <v>0.0</v>
      </c>
      <c r="AH366" s="109">
        <v>0.0</v>
      </c>
      <c r="AI366" s="141">
        <v>0.0</v>
      </c>
      <c r="AJ366" s="80">
        <v>0.0</v>
      </c>
      <c r="AK366" s="140">
        <v>0.0</v>
      </c>
      <c r="AL366" s="109">
        <v>0.0</v>
      </c>
      <c r="AM366" s="141">
        <v>0.0</v>
      </c>
      <c r="AN366" s="80">
        <v>0.0</v>
      </c>
      <c r="AO366" s="140">
        <v>0.0</v>
      </c>
      <c r="AP366" s="109">
        <v>0.0</v>
      </c>
      <c r="AQ366" s="109">
        <v>0.0</v>
      </c>
      <c r="AR366" s="80">
        <v>0.0</v>
      </c>
      <c r="AS366" s="110">
        <v>0.0</v>
      </c>
      <c r="AT366" s="110">
        <v>0.0</v>
      </c>
      <c r="AU366" s="110">
        <v>0.0</v>
      </c>
      <c r="AV366" s="142">
        <v>0.0</v>
      </c>
      <c r="AW366" s="80">
        <v>0.0</v>
      </c>
      <c r="AX366" s="113">
        <v>3.0</v>
      </c>
      <c r="AY366" s="117">
        <v>3.0</v>
      </c>
      <c r="AZ366" s="328">
        <v>0.0</v>
      </c>
      <c r="BA366" s="315">
        <v>1.0</v>
      </c>
      <c r="BB366" s="316">
        <v>4.0</v>
      </c>
      <c r="BC366" s="143" t="s">
        <v>1294</v>
      </c>
      <c r="BD366" s="132" t="s">
        <v>178</v>
      </c>
      <c r="BE366" s="132" t="s">
        <v>178</v>
      </c>
      <c r="BF366" s="156"/>
      <c r="BG366" s="83">
        <v>1179513.0</v>
      </c>
      <c r="BH366" s="112">
        <v>2.0</v>
      </c>
      <c r="BI366" s="98" t="s">
        <v>155</v>
      </c>
      <c r="BJ366" s="98" t="str">
        <f t="shared" si="1"/>
        <v>NÃO</v>
      </c>
      <c r="BK366" s="98" t="str">
        <f t="shared" si="2"/>
        <v>NÃO</v>
      </c>
    </row>
    <row r="367" ht="15.75" customHeight="1">
      <c r="A367" s="111" t="s">
        <v>451</v>
      </c>
      <c r="B367" s="83" t="s">
        <v>1423</v>
      </c>
      <c r="C367" s="83" t="s">
        <v>164</v>
      </c>
      <c r="D367" s="83">
        <v>1179628.0</v>
      </c>
      <c r="E367" s="83">
        <v>1179680.0</v>
      </c>
      <c r="F367" s="83"/>
      <c r="G367" s="114" t="s">
        <v>5204</v>
      </c>
      <c r="H367" s="91" t="s">
        <v>1492</v>
      </c>
      <c r="I367" s="114" t="s">
        <v>1493</v>
      </c>
      <c r="J367" s="83" t="s">
        <v>1494</v>
      </c>
      <c r="K367" s="83" t="s">
        <v>168</v>
      </c>
      <c r="L367" s="83" t="s">
        <v>169</v>
      </c>
      <c r="M367" s="82" t="s">
        <v>5102</v>
      </c>
      <c r="N367" s="82" t="s">
        <v>5103</v>
      </c>
      <c r="O367" s="82" t="s">
        <v>5104</v>
      </c>
      <c r="P367" s="82" t="s">
        <v>5105</v>
      </c>
      <c r="Q367" s="82"/>
      <c r="R367" s="82"/>
      <c r="S367" s="82"/>
      <c r="T367" s="138">
        <v>7.0</v>
      </c>
      <c r="U367" s="401">
        <v>6.0</v>
      </c>
      <c r="V367" s="106">
        <v>9.0</v>
      </c>
      <c r="W367" s="107">
        <v>0.0</v>
      </c>
      <c r="X367" s="107">
        <v>0.0</v>
      </c>
      <c r="Y367" s="107">
        <v>0.0</v>
      </c>
      <c r="Z367" s="80">
        <v>9.0</v>
      </c>
      <c r="AA367" s="140">
        <v>0.0</v>
      </c>
      <c r="AB367" s="109">
        <v>31.0</v>
      </c>
      <c r="AC367" s="109">
        <v>0.0</v>
      </c>
      <c r="AD367" s="141">
        <v>0.0</v>
      </c>
      <c r="AE367" s="80">
        <v>31.0</v>
      </c>
      <c r="AF367" s="140">
        <v>0.0</v>
      </c>
      <c r="AG367" s="109">
        <v>0.0</v>
      </c>
      <c r="AH367" s="109">
        <v>0.0</v>
      </c>
      <c r="AI367" s="141">
        <v>0.0</v>
      </c>
      <c r="AJ367" s="80">
        <v>0.0</v>
      </c>
      <c r="AK367" s="140">
        <v>0.0</v>
      </c>
      <c r="AL367" s="109">
        <v>0.0</v>
      </c>
      <c r="AM367" s="141">
        <v>7.0</v>
      </c>
      <c r="AN367" s="80">
        <v>7.0</v>
      </c>
      <c r="AO367" s="140">
        <v>0.0</v>
      </c>
      <c r="AP367" s="109">
        <v>0.0</v>
      </c>
      <c r="AQ367" s="109">
        <v>2.0</v>
      </c>
      <c r="AR367" s="80">
        <v>2.0</v>
      </c>
      <c r="AS367" s="110">
        <v>0.0</v>
      </c>
      <c r="AT367" s="110">
        <v>0.0</v>
      </c>
      <c r="AU367" s="110">
        <v>0.0</v>
      </c>
      <c r="AV367" s="142">
        <v>0.0</v>
      </c>
      <c r="AW367" s="80">
        <v>0.0</v>
      </c>
      <c r="AX367" s="113">
        <v>49.0</v>
      </c>
      <c r="AY367" s="117">
        <v>40.0</v>
      </c>
      <c r="AZ367" s="328">
        <v>9.0</v>
      </c>
      <c r="BA367" s="315">
        <v>0.0</v>
      </c>
      <c r="BB367" s="316">
        <v>49.0</v>
      </c>
      <c r="BC367" s="143" t="s">
        <v>1294</v>
      </c>
      <c r="BD367" s="132" t="s">
        <v>178</v>
      </c>
      <c r="BE367" s="132" t="s">
        <v>178</v>
      </c>
      <c r="BF367" s="156"/>
      <c r="BG367" s="83">
        <v>1179680.0</v>
      </c>
      <c r="BH367" s="112">
        <v>6.0</v>
      </c>
      <c r="BI367" s="98" t="s">
        <v>155</v>
      </c>
      <c r="BJ367" s="98" t="str">
        <f t="shared" si="1"/>
        <v>NÃO</v>
      </c>
      <c r="BK367" s="98" t="str">
        <f t="shared" si="2"/>
        <v>NÃO</v>
      </c>
    </row>
    <row r="368" ht="15.75" customHeight="1">
      <c r="A368" s="111" t="s">
        <v>451</v>
      </c>
      <c r="B368" s="83" t="s">
        <v>1423</v>
      </c>
      <c r="C368" s="83" t="s">
        <v>164</v>
      </c>
      <c r="D368" s="83">
        <v>1179628.0</v>
      </c>
      <c r="E368" s="83">
        <v>1179681.0</v>
      </c>
      <c r="F368" s="83"/>
      <c r="G368" s="114" t="s">
        <v>5209</v>
      </c>
      <c r="H368" s="91" t="s">
        <v>1496</v>
      </c>
      <c r="I368" s="114" t="s">
        <v>1497</v>
      </c>
      <c r="J368" s="83" t="s">
        <v>1498</v>
      </c>
      <c r="K368" s="83" t="s">
        <v>168</v>
      </c>
      <c r="L368" s="83" t="s">
        <v>169</v>
      </c>
      <c r="M368" s="82" t="s">
        <v>5102</v>
      </c>
      <c r="N368" s="82" t="s">
        <v>5103</v>
      </c>
      <c r="O368" s="82" t="s">
        <v>5104</v>
      </c>
      <c r="P368" s="82" t="s">
        <v>5105</v>
      </c>
      <c r="Q368" s="82"/>
      <c r="R368" s="82"/>
      <c r="S368" s="82"/>
      <c r="T368" s="138">
        <v>5.0</v>
      </c>
      <c r="U368" s="401">
        <v>4.0</v>
      </c>
      <c r="V368" s="106">
        <v>7.0</v>
      </c>
      <c r="W368" s="107">
        <v>0.0</v>
      </c>
      <c r="X368" s="107">
        <v>0.0</v>
      </c>
      <c r="Y368" s="107">
        <v>0.0</v>
      </c>
      <c r="Z368" s="80">
        <v>7.0</v>
      </c>
      <c r="AA368" s="140">
        <v>0.0</v>
      </c>
      <c r="AB368" s="109">
        <v>21.0</v>
      </c>
      <c r="AC368" s="109">
        <v>0.0</v>
      </c>
      <c r="AD368" s="141">
        <v>0.0</v>
      </c>
      <c r="AE368" s="80">
        <v>21.0</v>
      </c>
      <c r="AF368" s="140">
        <v>0.0</v>
      </c>
      <c r="AG368" s="109">
        <v>0.0</v>
      </c>
      <c r="AH368" s="109">
        <v>0.0</v>
      </c>
      <c r="AI368" s="141">
        <v>0.0</v>
      </c>
      <c r="AJ368" s="80">
        <v>0.0</v>
      </c>
      <c r="AK368" s="140">
        <v>0.0</v>
      </c>
      <c r="AL368" s="109">
        <v>0.0</v>
      </c>
      <c r="AM368" s="141">
        <v>17.0</v>
      </c>
      <c r="AN368" s="80">
        <v>17.0</v>
      </c>
      <c r="AO368" s="140">
        <v>0.0</v>
      </c>
      <c r="AP368" s="109">
        <v>0.0</v>
      </c>
      <c r="AQ368" s="109">
        <v>0.0</v>
      </c>
      <c r="AR368" s="80">
        <v>0.0</v>
      </c>
      <c r="AS368" s="110">
        <v>0.0</v>
      </c>
      <c r="AT368" s="110">
        <v>0.0</v>
      </c>
      <c r="AU368" s="110">
        <v>0.0</v>
      </c>
      <c r="AV368" s="142">
        <v>0.0</v>
      </c>
      <c r="AW368" s="80">
        <v>0.0</v>
      </c>
      <c r="AX368" s="113">
        <v>45.0</v>
      </c>
      <c r="AY368" s="117">
        <v>28.0</v>
      </c>
      <c r="AZ368" s="328">
        <v>17.0</v>
      </c>
      <c r="BA368" s="315">
        <v>0.0</v>
      </c>
      <c r="BB368" s="316">
        <v>45.0</v>
      </c>
      <c r="BC368" s="143" t="s">
        <v>1294</v>
      </c>
      <c r="BD368" s="132" t="s">
        <v>178</v>
      </c>
      <c r="BE368" s="132" t="s">
        <v>178</v>
      </c>
      <c r="BF368" s="156"/>
      <c r="BG368" s="83">
        <v>1179681.0</v>
      </c>
      <c r="BH368" s="112">
        <v>4.0</v>
      </c>
      <c r="BI368" s="98" t="s">
        <v>155</v>
      </c>
      <c r="BJ368" s="98" t="str">
        <f t="shared" si="1"/>
        <v>NÃO</v>
      </c>
      <c r="BK368" s="98" t="str">
        <f t="shared" si="2"/>
        <v>NÃO</v>
      </c>
    </row>
    <row r="369" ht="15.75" customHeight="1">
      <c r="A369" s="111" t="s">
        <v>451</v>
      </c>
      <c r="B369" s="83" t="s">
        <v>1423</v>
      </c>
      <c r="C369" s="83" t="s">
        <v>164</v>
      </c>
      <c r="D369" s="83">
        <v>1179628.0</v>
      </c>
      <c r="E369" s="83">
        <v>1179677.0</v>
      </c>
      <c r="F369" s="83"/>
      <c r="G369" s="114" t="s">
        <v>1499</v>
      </c>
      <c r="H369" s="91" t="s">
        <v>1500</v>
      </c>
      <c r="I369" s="114" t="s">
        <v>1501</v>
      </c>
      <c r="J369" s="83" t="s">
        <v>1502</v>
      </c>
      <c r="K369" s="83" t="s">
        <v>168</v>
      </c>
      <c r="L369" s="83" t="s">
        <v>169</v>
      </c>
      <c r="M369" s="82" t="s">
        <v>5102</v>
      </c>
      <c r="N369" s="82" t="s">
        <v>5103</v>
      </c>
      <c r="O369" s="82" t="s">
        <v>5104</v>
      </c>
      <c r="P369" s="82" t="s">
        <v>5105</v>
      </c>
      <c r="Q369" s="82"/>
      <c r="R369" s="82"/>
      <c r="S369" s="82"/>
      <c r="T369" s="138">
        <v>6.0</v>
      </c>
      <c r="U369" s="401">
        <v>5.0</v>
      </c>
      <c r="V369" s="106">
        <v>15.0</v>
      </c>
      <c r="W369" s="107">
        <v>14.0</v>
      </c>
      <c r="X369" s="107">
        <v>0.0</v>
      </c>
      <c r="Y369" s="107">
        <v>0.0</v>
      </c>
      <c r="Z369" s="80">
        <v>29.0</v>
      </c>
      <c r="AA369" s="140">
        <v>39.0</v>
      </c>
      <c r="AB369" s="109">
        <v>21.0</v>
      </c>
      <c r="AC369" s="109">
        <v>0.0</v>
      </c>
      <c r="AD369" s="141">
        <v>0.0</v>
      </c>
      <c r="AE369" s="80">
        <v>60.0</v>
      </c>
      <c r="AF369" s="140">
        <v>0.0</v>
      </c>
      <c r="AG369" s="109">
        <v>0.0</v>
      </c>
      <c r="AH369" s="109">
        <v>0.0</v>
      </c>
      <c r="AI369" s="141">
        <v>0.0</v>
      </c>
      <c r="AJ369" s="80">
        <v>0.0</v>
      </c>
      <c r="AK369" s="140">
        <v>0.0</v>
      </c>
      <c r="AL369" s="109">
        <v>0.0</v>
      </c>
      <c r="AM369" s="141">
        <v>0.0</v>
      </c>
      <c r="AN369" s="80">
        <v>0.0</v>
      </c>
      <c r="AO369" s="140">
        <v>0.0</v>
      </c>
      <c r="AP369" s="109">
        <v>0.0</v>
      </c>
      <c r="AQ369" s="109">
        <v>0.0</v>
      </c>
      <c r="AR369" s="80">
        <v>0.0</v>
      </c>
      <c r="AS369" s="110">
        <v>0.0</v>
      </c>
      <c r="AT369" s="110">
        <v>0.0</v>
      </c>
      <c r="AU369" s="110">
        <v>0.0</v>
      </c>
      <c r="AV369" s="142">
        <v>0.0</v>
      </c>
      <c r="AW369" s="80">
        <v>0.0</v>
      </c>
      <c r="AX369" s="113">
        <v>89.0</v>
      </c>
      <c r="AY369" s="117">
        <v>89.0</v>
      </c>
      <c r="AZ369" s="328">
        <v>0.0</v>
      </c>
      <c r="BA369" s="315">
        <v>0.0</v>
      </c>
      <c r="BB369" s="316">
        <v>89.0</v>
      </c>
      <c r="BC369" s="143" t="s">
        <v>1294</v>
      </c>
      <c r="BD369" s="132" t="s">
        <v>178</v>
      </c>
      <c r="BE369" s="132" t="s">
        <v>178</v>
      </c>
      <c r="BF369" s="156"/>
      <c r="BG369" s="83">
        <v>1179677.0</v>
      </c>
      <c r="BH369" s="112">
        <v>5.0</v>
      </c>
      <c r="BI369" s="98" t="s">
        <v>155</v>
      </c>
      <c r="BJ369" s="98" t="str">
        <f t="shared" si="1"/>
        <v>NÃO</v>
      </c>
      <c r="BK369" s="98" t="str">
        <f t="shared" si="2"/>
        <v>NÃO</v>
      </c>
    </row>
    <row r="370" ht="15.75" customHeight="1">
      <c r="A370" s="111" t="s">
        <v>451</v>
      </c>
      <c r="B370" s="83" t="s">
        <v>1423</v>
      </c>
      <c r="C370" s="83" t="s">
        <v>164</v>
      </c>
      <c r="D370" s="83">
        <v>1179628.0</v>
      </c>
      <c r="E370" s="83">
        <v>1179679.0</v>
      </c>
      <c r="F370" s="83"/>
      <c r="G370" s="114" t="s">
        <v>5217</v>
      </c>
      <c r="H370" s="91" t="s">
        <v>1504</v>
      </c>
      <c r="I370" s="114" t="s">
        <v>1505</v>
      </c>
      <c r="J370" s="83" t="s">
        <v>1506</v>
      </c>
      <c r="K370" s="83" t="s">
        <v>168</v>
      </c>
      <c r="L370" s="83" t="s">
        <v>169</v>
      </c>
      <c r="M370" s="82" t="s">
        <v>5102</v>
      </c>
      <c r="N370" s="82" t="s">
        <v>5103</v>
      </c>
      <c r="O370" s="82" t="s">
        <v>5104</v>
      </c>
      <c r="P370" s="82" t="s">
        <v>5105</v>
      </c>
      <c r="Q370" s="82"/>
      <c r="R370" s="82"/>
      <c r="S370" s="82"/>
      <c r="T370" s="138">
        <v>7.0</v>
      </c>
      <c r="U370" s="401">
        <v>7.0</v>
      </c>
      <c r="V370" s="106">
        <v>0.0</v>
      </c>
      <c r="W370" s="107">
        <v>11.0</v>
      </c>
      <c r="X370" s="107">
        <v>0.0</v>
      </c>
      <c r="Y370" s="107">
        <v>0.0</v>
      </c>
      <c r="Z370" s="80">
        <v>11.0</v>
      </c>
      <c r="AA370" s="140">
        <v>50.0</v>
      </c>
      <c r="AB370" s="109">
        <v>13.0</v>
      </c>
      <c r="AC370" s="109">
        <v>0.0</v>
      </c>
      <c r="AD370" s="141">
        <v>0.0</v>
      </c>
      <c r="AE370" s="80">
        <v>63.0</v>
      </c>
      <c r="AF370" s="140">
        <v>0.0</v>
      </c>
      <c r="AG370" s="109">
        <v>0.0</v>
      </c>
      <c r="AH370" s="109">
        <v>0.0</v>
      </c>
      <c r="AI370" s="141">
        <v>0.0</v>
      </c>
      <c r="AJ370" s="80">
        <v>0.0</v>
      </c>
      <c r="AK370" s="140">
        <v>0.0</v>
      </c>
      <c r="AL370" s="109">
        <v>0.0</v>
      </c>
      <c r="AM370" s="141">
        <v>32.0</v>
      </c>
      <c r="AN370" s="80">
        <v>32.0</v>
      </c>
      <c r="AO370" s="140">
        <v>0.0</v>
      </c>
      <c r="AP370" s="109">
        <v>0.0</v>
      </c>
      <c r="AQ370" s="109">
        <v>14.0</v>
      </c>
      <c r="AR370" s="80">
        <v>14.0</v>
      </c>
      <c r="AS370" s="110">
        <v>0.0</v>
      </c>
      <c r="AT370" s="110">
        <v>0.0</v>
      </c>
      <c r="AU370" s="110">
        <v>0.0</v>
      </c>
      <c r="AV370" s="142">
        <v>0.0</v>
      </c>
      <c r="AW370" s="80">
        <v>0.0</v>
      </c>
      <c r="AX370" s="113">
        <v>120.0</v>
      </c>
      <c r="AY370" s="117">
        <v>74.0</v>
      </c>
      <c r="AZ370" s="328">
        <v>46.0</v>
      </c>
      <c r="BA370" s="315">
        <v>0.0</v>
      </c>
      <c r="BB370" s="316">
        <v>120.0</v>
      </c>
      <c r="BC370" s="143" t="s">
        <v>1294</v>
      </c>
      <c r="BD370" s="132" t="s">
        <v>178</v>
      </c>
      <c r="BE370" s="132" t="s">
        <v>178</v>
      </c>
      <c r="BF370" s="156"/>
      <c r="BG370" s="83">
        <v>1179679.0</v>
      </c>
      <c r="BH370" s="112">
        <v>7.0</v>
      </c>
      <c r="BI370" s="98" t="s">
        <v>155</v>
      </c>
      <c r="BJ370" s="98" t="str">
        <f t="shared" si="1"/>
        <v>NÃO</v>
      </c>
      <c r="BK370" s="98" t="str">
        <f t="shared" si="2"/>
        <v>NÃO</v>
      </c>
    </row>
    <row r="371" ht="15.75" customHeight="1">
      <c r="A371" s="111" t="s">
        <v>451</v>
      </c>
      <c r="B371" s="83" t="s">
        <v>1423</v>
      </c>
      <c r="C371" s="83" t="s">
        <v>164</v>
      </c>
      <c r="D371" s="83">
        <v>1111126.0</v>
      </c>
      <c r="E371" s="83">
        <v>1179235.0</v>
      </c>
      <c r="F371" s="83"/>
      <c r="G371" s="114" t="s">
        <v>1507</v>
      </c>
      <c r="H371" s="91" t="s">
        <v>1508</v>
      </c>
      <c r="I371" s="187" t="s">
        <v>149</v>
      </c>
      <c r="J371" s="83" t="s">
        <v>1321</v>
      </c>
      <c r="K371" s="83" t="s">
        <v>168</v>
      </c>
      <c r="L371" s="83" t="s">
        <v>169</v>
      </c>
      <c r="M371" s="82" t="s">
        <v>5110</v>
      </c>
      <c r="N371" s="82" t="s">
        <v>5111</v>
      </c>
      <c r="O371" s="82" t="s">
        <v>5113</v>
      </c>
      <c r="P371" s="82" t="s">
        <v>5115</v>
      </c>
      <c r="Q371" s="82" t="s">
        <v>5116</v>
      </c>
      <c r="R371" s="82" t="s">
        <v>5117</v>
      </c>
      <c r="S371" s="82" t="s">
        <v>5118</v>
      </c>
      <c r="T371" s="138">
        <v>5.0</v>
      </c>
      <c r="U371" s="401">
        <v>2.0</v>
      </c>
      <c r="V371" s="106">
        <v>0.0</v>
      </c>
      <c r="W371" s="107">
        <v>0.0</v>
      </c>
      <c r="X371" s="107">
        <v>0.0</v>
      </c>
      <c r="Y371" s="107">
        <v>0.0</v>
      </c>
      <c r="Z371" s="80">
        <v>0.0</v>
      </c>
      <c r="AA371" s="140">
        <v>0.0</v>
      </c>
      <c r="AB371" s="109">
        <v>0.0</v>
      </c>
      <c r="AC371" s="109">
        <v>0.0</v>
      </c>
      <c r="AD371" s="141">
        <v>0.0</v>
      </c>
      <c r="AE371" s="80">
        <v>0.0</v>
      </c>
      <c r="AF371" s="140">
        <v>0.0</v>
      </c>
      <c r="AG371" s="109">
        <v>0.0</v>
      </c>
      <c r="AH371" s="109">
        <v>0.0</v>
      </c>
      <c r="AI371" s="141">
        <v>0.0</v>
      </c>
      <c r="AJ371" s="80">
        <v>0.0</v>
      </c>
      <c r="AK371" s="140">
        <v>6.0</v>
      </c>
      <c r="AL371" s="109">
        <v>5.0</v>
      </c>
      <c r="AM371" s="141">
        <v>0.0</v>
      </c>
      <c r="AN371" s="80">
        <v>11.0</v>
      </c>
      <c r="AO371" s="140">
        <v>0.0</v>
      </c>
      <c r="AP371" s="109">
        <v>12.0</v>
      </c>
      <c r="AQ371" s="109">
        <v>0.0</v>
      </c>
      <c r="AR371" s="80">
        <v>12.0</v>
      </c>
      <c r="AS371" s="110">
        <v>0.0</v>
      </c>
      <c r="AT371" s="110">
        <v>0.0</v>
      </c>
      <c r="AU371" s="110">
        <v>0.0</v>
      </c>
      <c r="AV371" s="142">
        <v>0.0</v>
      </c>
      <c r="AW371" s="80">
        <v>0.0</v>
      </c>
      <c r="AX371" s="113">
        <v>23.0</v>
      </c>
      <c r="AY371" s="117">
        <v>23.0</v>
      </c>
      <c r="AZ371" s="328">
        <v>0.0</v>
      </c>
      <c r="BA371" s="315">
        <v>0.0</v>
      </c>
      <c r="BB371" s="316">
        <v>23.0</v>
      </c>
      <c r="BC371" s="132" t="s">
        <v>563</v>
      </c>
      <c r="BD371" s="132" t="s">
        <v>178</v>
      </c>
      <c r="BE371" s="132" t="s">
        <v>178</v>
      </c>
      <c r="BF371" s="156"/>
      <c r="BG371" s="83">
        <v>1179235.0</v>
      </c>
      <c r="BH371" s="112">
        <v>2.0</v>
      </c>
      <c r="BI371" s="98" t="s">
        <v>155</v>
      </c>
      <c r="BJ371" s="98" t="str">
        <f t="shared" si="1"/>
        <v>NÃO</v>
      </c>
      <c r="BK371" s="98" t="str">
        <f t="shared" si="2"/>
        <v>NÃO</v>
      </c>
    </row>
    <row r="372" ht="15.75" customHeight="1">
      <c r="A372" s="111" t="s">
        <v>451</v>
      </c>
      <c r="B372" s="83" t="s">
        <v>1423</v>
      </c>
      <c r="C372" s="83" t="s">
        <v>164</v>
      </c>
      <c r="D372" s="83">
        <v>1179701.0</v>
      </c>
      <c r="E372" s="83">
        <v>1179699.0</v>
      </c>
      <c r="F372" s="83"/>
      <c r="G372" s="114" t="s">
        <v>1509</v>
      </c>
      <c r="H372" s="91" t="s">
        <v>1510</v>
      </c>
      <c r="I372" s="114" t="s">
        <v>149</v>
      </c>
      <c r="J372" s="83" t="s">
        <v>865</v>
      </c>
      <c r="K372" s="83" t="s">
        <v>168</v>
      </c>
      <c r="L372" s="83" t="s">
        <v>169</v>
      </c>
      <c r="M372" s="82" t="s">
        <v>4891</v>
      </c>
      <c r="N372" s="82" t="s">
        <v>4892</v>
      </c>
      <c r="O372" s="82" t="s">
        <v>4893</v>
      </c>
      <c r="P372" s="82" t="s">
        <v>4894</v>
      </c>
      <c r="Q372" s="82"/>
      <c r="R372" s="82"/>
      <c r="S372" s="82"/>
      <c r="T372" s="138">
        <v>4.0</v>
      </c>
      <c r="U372" s="401">
        <v>4.0</v>
      </c>
      <c r="V372" s="106">
        <v>0.0</v>
      </c>
      <c r="W372" s="107">
        <v>0.0</v>
      </c>
      <c r="X372" s="107">
        <v>0.0</v>
      </c>
      <c r="Y372" s="107">
        <v>0.0</v>
      </c>
      <c r="Z372" s="80">
        <v>0.0</v>
      </c>
      <c r="AA372" s="140">
        <v>0.0</v>
      </c>
      <c r="AB372" s="109">
        <v>0.0</v>
      </c>
      <c r="AC372" s="109">
        <v>0.0</v>
      </c>
      <c r="AD372" s="141">
        <v>0.0</v>
      </c>
      <c r="AE372" s="80">
        <v>0.0</v>
      </c>
      <c r="AF372" s="140">
        <v>0.0</v>
      </c>
      <c r="AG372" s="109">
        <v>0.0</v>
      </c>
      <c r="AH372" s="109">
        <v>19.0</v>
      </c>
      <c r="AI372" s="141">
        <v>0.0</v>
      </c>
      <c r="AJ372" s="80">
        <v>19.0</v>
      </c>
      <c r="AK372" s="140">
        <v>0.0</v>
      </c>
      <c r="AL372" s="109">
        <v>0.0</v>
      </c>
      <c r="AM372" s="141">
        <v>0.0</v>
      </c>
      <c r="AN372" s="80">
        <v>0.0</v>
      </c>
      <c r="AO372" s="140">
        <v>0.0</v>
      </c>
      <c r="AP372" s="109">
        <v>0.0</v>
      </c>
      <c r="AQ372" s="109">
        <v>0.0</v>
      </c>
      <c r="AR372" s="80">
        <v>0.0</v>
      </c>
      <c r="AS372" s="110">
        <v>0.0</v>
      </c>
      <c r="AT372" s="110">
        <v>0.0</v>
      </c>
      <c r="AU372" s="110">
        <v>0.0</v>
      </c>
      <c r="AV372" s="142">
        <v>0.0</v>
      </c>
      <c r="AW372" s="80">
        <v>0.0</v>
      </c>
      <c r="AX372" s="113">
        <v>19.0</v>
      </c>
      <c r="AY372" s="117">
        <v>0.0</v>
      </c>
      <c r="AZ372" s="328">
        <v>19.0</v>
      </c>
      <c r="BA372" s="315">
        <v>0.0</v>
      </c>
      <c r="BB372" s="316">
        <v>19.0</v>
      </c>
      <c r="BC372" s="132" t="s">
        <v>373</v>
      </c>
      <c r="BD372" s="143" t="s">
        <v>227</v>
      </c>
      <c r="BE372" s="132" t="s">
        <v>178</v>
      </c>
      <c r="BF372" s="156"/>
      <c r="BG372" s="83">
        <v>1179699.0</v>
      </c>
      <c r="BH372" s="112">
        <v>4.0</v>
      </c>
      <c r="BI372" s="98" t="s">
        <v>155</v>
      </c>
      <c r="BJ372" s="98" t="str">
        <f t="shared" si="1"/>
        <v>NÃO</v>
      </c>
      <c r="BK372" s="98" t="str">
        <f t="shared" si="2"/>
        <v>NÃO</v>
      </c>
    </row>
    <row r="373" ht="15.75" customHeight="1">
      <c r="A373" s="111" t="s">
        <v>451</v>
      </c>
      <c r="B373" s="83" t="s">
        <v>1423</v>
      </c>
      <c r="C373" s="83" t="s">
        <v>164</v>
      </c>
      <c r="D373" s="83">
        <v>1179701.0</v>
      </c>
      <c r="E373" s="83">
        <v>1179725.0</v>
      </c>
      <c r="F373" s="83"/>
      <c r="G373" s="114" t="s">
        <v>1511</v>
      </c>
      <c r="H373" s="91" t="s">
        <v>1512</v>
      </c>
      <c r="I373" s="114"/>
      <c r="J373" s="83" t="s">
        <v>1074</v>
      </c>
      <c r="K373" s="83" t="s">
        <v>168</v>
      </c>
      <c r="L373" s="83" t="s">
        <v>169</v>
      </c>
      <c r="M373" s="82" t="s">
        <v>4891</v>
      </c>
      <c r="N373" s="82" t="s">
        <v>4892</v>
      </c>
      <c r="O373" s="82" t="s">
        <v>4893</v>
      </c>
      <c r="P373" s="82" t="s">
        <v>4894</v>
      </c>
      <c r="Q373" s="82"/>
      <c r="R373" s="82"/>
      <c r="S373" s="82"/>
      <c r="T373" s="138"/>
      <c r="U373" s="401" t="s">
        <v>171</v>
      </c>
      <c r="V373" s="106">
        <v>0.0</v>
      </c>
      <c r="W373" s="107">
        <v>0.0</v>
      </c>
      <c r="X373" s="107">
        <v>0.0</v>
      </c>
      <c r="Y373" s="107">
        <v>0.0</v>
      </c>
      <c r="Z373" s="80">
        <v>0.0</v>
      </c>
      <c r="AA373" s="140">
        <v>0.0</v>
      </c>
      <c r="AB373" s="109">
        <v>0.0</v>
      </c>
      <c r="AC373" s="109">
        <v>0.0</v>
      </c>
      <c r="AD373" s="141">
        <v>0.0</v>
      </c>
      <c r="AE373" s="80">
        <v>0.0</v>
      </c>
      <c r="AF373" s="140">
        <v>0.0</v>
      </c>
      <c r="AG373" s="109">
        <v>0.0</v>
      </c>
      <c r="AH373" s="109">
        <v>9.0</v>
      </c>
      <c r="AI373" s="141">
        <v>0.0</v>
      </c>
      <c r="AJ373" s="80">
        <v>9.0</v>
      </c>
      <c r="AK373" s="140">
        <v>0.0</v>
      </c>
      <c r="AL373" s="109">
        <v>0.0</v>
      </c>
      <c r="AM373" s="141">
        <v>0.0</v>
      </c>
      <c r="AN373" s="80">
        <v>0.0</v>
      </c>
      <c r="AO373" s="140">
        <v>0.0</v>
      </c>
      <c r="AP373" s="109">
        <v>0.0</v>
      </c>
      <c r="AQ373" s="109">
        <v>0.0</v>
      </c>
      <c r="AR373" s="80">
        <v>0.0</v>
      </c>
      <c r="AS373" s="110">
        <v>0.0</v>
      </c>
      <c r="AT373" s="110">
        <v>0.0</v>
      </c>
      <c r="AU373" s="110">
        <v>0.0</v>
      </c>
      <c r="AV373" s="142">
        <v>0.0</v>
      </c>
      <c r="AW373" s="80">
        <v>0.0</v>
      </c>
      <c r="AX373" s="113">
        <v>9.0</v>
      </c>
      <c r="AY373" s="117">
        <v>0.0</v>
      </c>
      <c r="AZ373" s="328">
        <v>9.0</v>
      </c>
      <c r="BA373" s="315">
        <v>0.0</v>
      </c>
      <c r="BB373" s="316">
        <v>9.0</v>
      </c>
      <c r="BC373" s="132" t="s">
        <v>178</v>
      </c>
      <c r="BD373" s="143" t="s">
        <v>227</v>
      </c>
      <c r="BE373" s="132" t="s">
        <v>178</v>
      </c>
      <c r="BF373" s="123"/>
      <c r="BG373" s="83">
        <v>1179725.0</v>
      </c>
      <c r="BH373" s="112">
        <v>0.0</v>
      </c>
      <c r="BI373" s="98" t="s">
        <v>155</v>
      </c>
      <c r="BJ373" s="98" t="str">
        <f t="shared" si="1"/>
        <v>NÃO</v>
      </c>
      <c r="BK373" s="98" t="str">
        <f t="shared" si="2"/>
        <v>NÃO</v>
      </c>
    </row>
    <row r="374" ht="15.75" customHeight="1">
      <c r="A374" s="111" t="s">
        <v>451</v>
      </c>
      <c r="B374" s="83" t="s">
        <v>1423</v>
      </c>
      <c r="C374" s="83" t="s">
        <v>164</v>
      </c>
      <c r="D374" s="83">
        <v>1179701.0</v>
      </c>
      <c r="E374" s="83">
        <v>1178494.0</v>
      </c>
      <c r="F374" s="83"/>
      <c r="G374" s="187" t="s">
        <v>1513</v>
      </c>
      <c r="H374" s="91" t="s">
        <v>1514</v>
      </c>
      <c r="I374" s="187" t="s">
        <v>1515</v>
      </c>
      <c r="J374" s="83" t="s">
        <v>694</v>
      </c>
      <c r="K374" s="83" t="s">
        <v>168</v>
      </c>
      <c r="L374" s="83" t="s">
        <v>169</v>
      </c>
      <c r="M374" s="82" t="s">
        <v>4891</v>
      </c>
      <c r="N374" s="82" t="s">
        <v>4892</v>
      </c>
      <c r="O374" s="82" t="s">
        <v>4893</v>
      </c>
      <c r="P374" s="82" t="s">
        <v>4894</v>
      </c>
      <c r="Q374" s="82"/>
      <c r="R374" s="82"/>
      <c r="S374" s="82"/>
      <c r="T374" s="138">
        <v>3.0</v>
      </c>
      <c r="U374" s="401">
        <v>3.0</v>
      </c>
      <c r="V374" s="106">
        <v>0.0</v>
      </c>
      <c r="W374" s="107">
        <v>0.0</v>
      </c>
      <c r="X374" s="107">
        <v>0.0</v>
      </c>
      <c r="Y374" s="107">
        <v>0.0</v>
      </c>
      <c r="Z374" s="80">
        <v>0.0</v>
      </c>
      <c r="AA374" s="140">
        <v>0.0</v>
      </c>
      <c r="AB374" s="109">
        <v>0.0</v>
      </c>
      <c r="AC374" s="109">
        <v>0.0</v>
      </c>
      <c r="AD374" s="141">
        <v>0.0</v>
      </c>
      <c r="AE374" s="80">
        <v>0.0</v>
      </c>
      <c r="AF374" s="140">
        <v>0.0</v>
      </c>
      <c r="AG374" s="109">
        <v>0.0</v>
      </c>
      <c r="AH374" s="109">
        <v>57.0</v>
      </c>
      <c r="AI374" s="141">
        <v>0.0</v>
      </c>
      <c r="AJ374" s="80">
        <v>57.0</v>
      </c>
      <c r="AK374" s="140">
        <v>0.0</v>
      </c>
      <c r="AL374" s="109">
        <v>0.0</v>
      </c>
      <c r="AM374" s="141">
        <v>0.0</v>
      </c>
      <c r="AN374" s="80">
        <v>0.0</v>
      </c>
      <c r="AO374" s="140">
        <v>0.0</v>
      </c>
      <c r="AP374" s="109">
        <v>0.0</v>
      </c>
      <c r="AQ374" s="109">
        <v>0.0</v>
      </c>
      <c r="AR374" s="80">
        <v>0.0</v>
      </c>
      <c r="AS374" s="110">
        <v>0.0</v>
      </c>
      <c r="AT374" s="110">
        <v>0.0</v>
      </c>
      <c r="AU374" s="110">
        <v>0.0</v>
      </c>
      <c r="AV374" s="142">
        <v>0.0</v>
      </c>
      <c r="AW374" s="80">
        <v>0.0</v>
      </c>
      <c r="AX374" s="113">
        <v>57.0</v>
      </c>
      <c r="AY374" s="117">
        <v>0.0</v>
      </c>
      <c r="AZ374" s="328">
        <v>57.0</v>
      </c>
      <c r="BA374" s="315">
        <v>0.0</v>
      </c>
      <c r="BB374" s="316">
        <v>57.0</v>
      </c>
      <c r="BC374" s="132" t="s">
        <v>373</v>
      </c>
      <c r="BD374" s="143" t="s">
        <v>227</v>
      </c>
      <c r="BE374" s="132" t="s">
        <v>178</v>
      </c>
      <c r="BF374" s="156"/>
      <c r="BG374" s="83">
        <v>1178494.0</v>
      </c>
      <c r="BH374" s="112">
        <v>3.0</v>
      </c>
      <c r="BI374" s="98" t="s">
        <v>155</v>
      </c>
      <c r="BJ374" s="98" t="str">
        <f t="shared" si="1"/>
        <v>NÃO</v>
      </c>
      <c r="BK374" s="98" t="str">
        <f t="shared" si="2"/>
        <v>NÃO</v>
      </c>
    </row>
    <row r="375" ht="15.75" customHeight="1">
      <c r="A375" s="111" t="s">
        <v>451</v>
      </c>
      <c r="B375" s="83" t="s">
        <v>1423</v>
      </c>
      <c r="C375" s="83" t="s">
        <v>164</v>
      </c>
      <c r="D375" s="83">
        <v>1179701.0</v>
      </c>
      <c r="E375" s="83">
        <v>1179273.0</v>
      </c>
      <c r="F375" s="83"/>
      <c r="G375" s="114" t="s">
        <v>1516</v>
      </c>
      <c r="H375" s="91" t="s">
        <v>1517</v>
      </c>
      <c r="I375" s="365" t="s">
        <v>149</v>
      </c>
      <c r="J375" s="83" t="s">
        <v>1502</v>
      </c>
      <c r="K375" s="83" t="s">
        <v>168</v>
      </c>
      <c r="L375" s="83" t="s">
        <v>169</v>
      </c>
      <c r="M375" s="82" t="s">
        <v>4891</v>
      </c>
      <c r="N375" s="82" t="s">
        <v>4892</v>
      </c>
      <c r="O375" s="82" t="s">
        <v>4893</v>
      </c>
      <c r="P375" s="82" t="s">
        <v>4894</v>
      </c>
      <c r="Q375" s="82"/>
      <c r="R375" s="82"/>
      <c r="S375" s="82"/>
      <c r="T375" s="138">
        <v>3.0</v>
      </c>
      <c r="U375" s="410">
        <v>3.0</v>
      </c>
      <c r="V375" s="106">
        <v>0.0</v>
      </c>
      <c r="W375" s="107">
        <v>0.0</v>
      </c>
      <c r="X375" s="107">
        <v>0.0</v>
      </c>
      <c r="Y375" s="107">
        <v>0.0</v>
      </c>
      <c r="Z375" s="80">
        <v>0.0</v>
      </c>
      <c r="AA375" s="140">
        <v>0.0</v>
      </c>
      <c r="AB375" s="109">
        <v>0.0</v>
      </c>
      <c r="AC375" s="109">
        <v>0.0</v>
      </c>
      <c r="AD375" s="141">
        <v>0.0</v>
      </c>
      <c r="AE375" s="80">
        <v>0.0</v>
      </c>
      <c r="AF375" s="140">
        <v>0.0</v>
      </c>
      <c r="AG375" s="109">
        <v>0.0</v>
      </c>
      <c r="AH375" s="109">
        <v>33.0</v>
      </c>
      <c r="AI375" s="141">
        <v>0.0</v>
      </c>
      <c r="AJ375" s="80">
        <v>33.0</v>
      </c>
      <c r="AK375" s="140">
        <v>0.0</v>
      </c>
      <c r="AL375" s="109">
        <v>0.0</v>
      </c>
      <c r="AM375" s="141">
        <v>0.0</v>
      </c>
      <c r="AN375" s="80">
        <v>0.0</v>
      </c>
      <c r="AO375" s="140">
        <v>0.0</v>
      </c>
      <c r="AP375" s="109">
        <v>0.0</v>
      </c>
      <c r="AQ375" s="109">
        <v>0.0</v>
      </c>
      <c r="AR375" s="80">
        <v>0.0</v>
      </c>
      <c r="AS375" s="110">
        <v>0.0</v>
      </c>
      <c r="AT375" s="110">
        <v>0.0</v>
      </c>
      <c r="AU375" s="110">
        <v>0.0</v>
      </c>
      <c r="AV375" s="142">
        <v>0.0</v>
      </c>
      <c r="AW375" s="80">
        <v>0.0</v>
      </c>
      <c r="AX375" s="113">
        <v>33.0</v>
      </c>
      <c r="AY375" s="117">
        <v>0.0</v>
      </c>
      <c r="AZ375" s="328">
        <v>33.0</v>
      </c>
      <c r="BA375" s="315">
        <v>0.0</v>
      </c>
      <c r="BB375" s="316">
        <v>33.0</v>
      </c>
      <c r="BC375" s="132" t="s">
        <v>373</v>
      </c>
      <c r="BD375" s="143" t="s">
        <v>227</v>
      </c>
      <c r="BE375" s="132" t="s">
        <v>178</v>
      </c>
      <c r="BF375" s="123"/>
      <c r="BG375" s="83">
        <v>1179273.0</v>
      </c>
      <c r="BH375" s="112">
        <v>3.0</v>
      </c>
      <c r="BI375" s="98" t="s">
        <v>155</v>
      </c>
      <c r="BJ375" s="98" t="str">
        <f t="shared" si="1"/>
        <v>NÃO</v>
      </c>
      <c r="BK375" s="98" t="str">
        <f t="shared" si="2"/>
        <v>NÃO</v>
      </c>
    </row>
    <row r="376" ht="15.75" customHeight="1">
      <c r="A376" s="111" t="s">
        <v>451</v>
      </c>
      <c r="B376" s="83" t="s">
        <v>1423</v>
      </c>
      <c r="C376" s="83" t="s">
        <v>164</v>
      </c>
      <c r="D376" s="83">
        <v>1179701.0</v>
      </c>
      <c r="E376" s="83">
        <v>1109699.0</v>
      </c>
      <c r="F376" s="83"/>
      <c r="G376" s="114" t="s">
        <v>1518</v>
      </c>
      <c r="H376" s="91" t="s">
        <v>1519</v>
      </c>
      <c r="I376" s="114" t="s">
        <v>1520</v>
      </c>
      <c r="J376" s="83" t="s">
        <v>187</v>
      </c>
      <c r="K376" s="83" t="s">
        <v>168</v>
      </c>
      <c r="L376" s="83" t="s">
        <v>169</v>
      </c>
      <c r="M376" s="82" t="s">
        <v>4891</v>
      </c>
      <c r="N376" s="82" t="s">
        <v>4892</v>
      </c>
      <c r="O376" s="82" t="s">
        <v>4893</v>
      </c>
      <c r="P376" s="82" t="s">
        <v>4894</v>
      </c>
      <c r="Q376" s="82"/>
      <c r="R376" s="82"/>
      <c r="S376" s="82"/>
      <c r="T376" s="138">
        <v>3.0</v>
      </c>
      <c r="U376" s="401">
        <v>3.0</v>
      </c>
      <c r="V376" s="106">
        <v>0.0</v>
      </c>
      <c r="W376" s="107">
        <v>0.0</v>
      </c>
      <c r="X376" s="107">
        <v>0.0</v>
      </c>
      <c r="Y376" s="107">
        <v>0.0</v>
      </c>
      <c r="Z376" s="80">
        <v>0.0</v>
      </c>
      <c r="AA376" s="140">
        <v>0.0</v>
      </c>
      <c r="AB376" s="109">
        <v>0.0</v>
      </c>
      <c r="AC376" s="109">
        <v>0.0</v>
      </c>
      <c r="AD376" s="141">
        <v>0.0</v>
      </c>
      <c r="AE376" s="80">
        <v>0.0</v>
      </c>
      <c r="AF376" s="140">
        <v>0.0</v>
      </c>
      <c r="AG376" s="109">
        <v>0.0</v>
      </c>
      <c r="AH376" s="109">
        <v>65.0</v>
      </c>
      <c r="AI376" s="141">
        <v>0.0</v>
      </c>
      <c r="AJ376" s="80">
        <v>65.0</v>
      </c>
      <c r="AK376" s="140">
        <v>0.0</v>
      </c>
      <c r="AL376" s="109">
        <v>0.0</v>
      </c>
      <c r="AM376" s="141">
        <v>0.0</v>
      </c>
      <c r="AN376" s="80">
        <v>0.0</v>
      </c>
      <c r="AO376" s="140">
        <v>0.0</v>
      </c>
      <c r="AP376" s="109">
        <v>0.0</v>
      </c>
      <c r="AQ376" s="109">
        <v>0.0</v>
      </c>
      <c r="AR376" s="80">
        <v>0.0</v>
      </c>
      <c r="AS376" s="110">
        <v>0.0</v>
      </c>
      <c r="AT376" s="110">
        <v>0.0</v>
      </c>
      <c r="AU376" s="110">
        <v>0.0</v>
      </c>
      <c r="AV376" s="142">
        <v>0.0</v>
      </c>
      <c r="AW376" s="80">
        <v>0.0</v>
      </c>
      <c r="AX376" s="113">
        <v>65.0</v>
      </c>
      <c r="AY376" s="117">
        <v>0.0</v>
      </c>
      <c r="AZ376" s="328">
        <v>65.0</v>
      </c>
      <c r="BA376" s="315">
        <v>0.0</v>
      </c>
      <c r="BB376" s="316">
        <v>65.0</v>
      </c>
      <c r="BC376" s="132" t="s">
        <v>373</v>
      </c>
      <c r="BD376" s="143" t="s">
        <v>227</v>
      </c>
      <c r="BE376" s="132" t="s">
        <v>178</v>
      </c>
      <c r="BF376" s="123"/>
      <c r="BG376" s="83">
        <v>1109699.0</v>
      </c>
      <c r="BH376" s="112">
        <v>3.0</v>
      </c>
      <c r="BI376" s="98" t="s">
        <v>155</v>
      </c>
      <c r="BJ376" s="98" t="str">
        <f t="shared" si="1"/>
        <v>NÃO</v>
      </c>
      <c r="BK376" s="98" t="str">
        <f t="shared" si="2"/>
        <v>NÃO</v>
      </c>
    </row>
    <row r="377" ht="15.75" customHeight="1">
      <c r="A377" s="111" t="s">
        <v>451</v>
      </c>
      <c r="B377" s="83" t="s">
        <v>1423</v>
      </c>
      <c r="C377" s="83" t="s">
        <v>164</v>
      </c>
      <c r="D377" s="83">
        <v>1179701.0</v>
      </c>
      <c r="E377" s="83">
        <v>1179342.0</v>
      </c>
      <c r="F377" s="83"/>
      <c r="G377" s="114" t="s">
        <v>1521</v>
      </c>
      <c r="H377" s="91" t="s">
        <v>1522</v>
      </c>
      <c r="I377" s="187" t="s">
        <v>1523</v>
      </c>
      <c r="J377" s="83" t="s">
        <v>767</v>
      </c>
      <c r="K377" s="83" t="s">
        <v>168</v>
      </c>
      <c r="L377" s="83" t="s">
        <v>512</v>
      </c>
      <c r="M377" s="82" t="s">
        <v>4891</v>
      </c>
      <c r="N377" s="82" t="s">
        <v>4892</v>
      </c>
      <c r="O377" s="82" t="s">
        <v>4893</v>
      </c>
      <c r="P377" s="82" t="s">
        <v>4894</v>
      </c>
      <c r="Q377" s="82"/>
      <c r="R377" s="82"/>
      <c r="S377" s="82"/>
      <c r="T377" s="138">
        <v>3.0</v>
      </c>
      <c r="U377" s="401">
        <v>3.0</v>
      </c>
      <c r="V377" s="106">
        <v>0.0</v>
      </c>
      <c r="W377" s="107">
        <v>0.0</v>
      </c>
      <c r="X377" s="107">
        <v>0.0</v>
      </c>
      <c r="Y377" s="107">
        <v>0.0</v>
      </c>
      <c r="Z377" s="80">
        <v>0.0</v>
      </c>
      <c r="AA377" s="140">
        <v>0.0</v>
      </c>
      <c r="AB377" s="109">
        <v>0.0</v>
      </c>
      <c r="AC377" s="109">
        <v>0.0</v>
      </c>
      <c r="AD377" s="141">
        <v>0.0</v>
      </c>
      <c r="AE377" s="80">
        <v>0.0</v>
      </c>
      <c r="AF377" s="140">
        <v>0.0</v>
      </c>
      <c r="AG377" s="109">
        <v>0.0</v>
      </c>
      <c r="AH377" s="109">
        <v>8.0</v>
      </c>
      <c r="AI377" s="141">
        <v>0.0</v>
      </c>
      <c r="AJ377" s="80">
        <v>8.0</v>
      </c>
      <c r="AK377" s="140">
        <v>0.0</v>
      </c>
      <c r="AL377" s="109">
        <v>0.0</v>
      </c>
      <c r="AM377" s="141">
        <v>0.0</v>
      </c>
      <c r="AN377" s="80">
        <v>0.0</v>
      </c>
      <c r="AO377" s="140">
        <v>0.0</v>
      </c>
      <c r="AP377" s="109">
        <v>0.0</v>
      </c>
      <c r="AQ377" s="109">
        <v>0.0</v>
      </c>
      <c r="AR377" s="80">
        <v>0.0</v>
      </c>
      <c r="AS377" s="110">
        <v>0.0</v>
      </c>
      <c r="AT377" s="110">
        <v>0.0</v>
      </c>
      <c r="AU377" s="110">
        <v>0.0</v>
      </c>
      <c r="AV377" s="142">
        <v>0.0</v>
      </c>
      <c r="AW377" s="80">
        <v>0.0</v>
      </c>
      <c r="AX377" s="113">
        <v>8.0</v>
      </c>
      <c r="AY377" s="117">
        <v>0.0</v>
      </c>
      <c r="AZ377" s="328">
        <v>8.0</v>
      </c>
      <c r="BA377" s="315">
        <v>0.0</v>
      </c>
      <c r="BB377" s="316">
        <v>8.0</v>
      </c>
      <c r="BC377" s="132" t="s">
        <v>373</v>
      </c>
      <c r="BD377" s="143" t="s">
        <v>227</v>
      </c>
      <c r="BE377" s="132" t="s">
        <v>178</v>
      </c>
      <c r="BF377" s="156"/>
      <c r="BG377" s="83">
        <v>1179342.0</v>
      </c>
      <c r="BH377" s="112">
        <v>3.0</v>
      </c>
      <c r="BI377" s="98" t="s">
        <v>155</v>
      </c>
      <c r="BJ377" s="98" t="str">
        <f t="shared" si="1"/>
        <v>NÃO</v>
      </c>
      <c r="BK377" s="98" t="str">
        <f t="shared" si="2"/>
        <v>NÃO</v>
      </c>
    </row>
    <row r="378" ht="15.75" customHeight="1">
      <c r="A378" s="111" t="s">
        <v>451</v>
      </c>
      <c r="B378" s="83" t="s">
        <v>1423</v>
      </c>
      <c r="C378" s="83" t="s">
        <v>164</v>
      </c>
      <c r="D378" s="83">
        <v>1179701.0</v>
      </c>
      <c r="E378" s="83">
        <v>1179055.0</v>
      </c>
      <c r="F378" s="83"/>
      <c r="G378" s="114" t="s">
        <v>1524</v>
      </c>
      <c r="H378" s="91" t="s">
        <v>1525</v>
      </c>
      <c r="I378" s="187" t="s">
        <v>149</v>
      </c>
      <c r="J378" s="83" t="s">
        <v>244</v>
      </c>
      <c r="K378" s="83" t="s">
        <v>168</v>
      </c>
      <c r="L378" s="83" t="s">
        <v>169</v>
      </c>
      <c r="M378" s="82" t="s">
        <v>4891</v>
      </c>
      <c r="N378" s="82" t="s">
        <v>4892</v>
      </c>
      <c r="O378" s="82" t="s">
        <v>4893</v>
      </c>
      <c r="P378" s="82" t="s">
        <v>4894</v>
      </c>
      <c r="Q378" s="82"/>
      <c r="R378" s="82"/>
      <c r="S378" s="82"/>
      <c r="T378" s="138">
        <v>3.0</v>
      </c>
      <c r="U378" s="401">
        <v>3.0</v>
      </c>
      <c r="V378" s="106">
        <v>0.0</v>
      </c>
      <c r="W378" s="107">
        <v>0.0</v>
      </c>
      <c r="X378" s="107">
        <v>0.0</v>
      </c>
      <c r="Y378" s="107">
        <v>0.0</v>
      </c>
      <c r="Z378" s="80">
        <v>0.0</v>
      </c>
      <c r="AA378" s="140">
        <v>0.0</v>
      </c>
      <c r="AB378" s="109">
        <v>0.0</v>
      </c>
      <c r="AC378" s="109">
        <v>0.0</v>
      </c>
      <c r="AD378" s="141">
        <v>0.0</v>
      </c>
      <c r="AE378" s="80">
        <v>0.0</v>
      </c>
      <c r="AF378" s="140">
        <v>0.0</v>
      </c>
      <c r="AG378" s="109">
        <v>0.0</v>
      </c>
      <c r="AH378" s="109">
        <v>38.0</v>
      </c>
      <c r="AI378" s="141">
        <v>0.0</v>
      </c>
      <c r="AJ378" s="80">
        <v>38.0</v>
      </c>
      <c r="AK378" s="140">
        <v>0.0</v>
      </c>
      <c r="AL378" s="109">
        <v>0.0</v>
      </c>
      <c r="AM378" s="141">
        <v>0.0</v>
      </c>
      <c r="AN378" s="80">
        <v>0.0</v>
      </c>
      <c r="AO378" s="140">
        <v>0.0</v>
      </c>
      <c r="AP378" s="109">
        <v>0.0</v>
      </c>
      <c r="AQ378" s="109">
        <v>0.0</v>
      </c>
      <c r="AR378" s="80">
        <v>0.0</v>
      </c>
      <c r="AS378" s="110">
        <v>0.0</v>
      </c>
      <c r="AT378" s="110">
        <v>0.0</v>
      </c>
      <c r="AU378" s="110">
        <v>0.0</v>
      </c>
      <c r="AV378" s="142">
        <v>0.0</v>
      </c>
      <c r="AW378" s="80">
        <v>0.0</v>
      </c>
      <c r="AX378" s="113">
        <v>38.0</v>
      </c>
      <c r="AY378" s="117">
        <v>0.0</v>
      </c>
      <c r="AZ378" s="328">
        <v>38.0</v>
      </c>
      <c r="BA378" s="315">
        <v>0.0</v>
      </c>
      <c r="BB378" s="316">
        <v>38.0</v>
      </c>
      <c r="BC378" s="132" t="s">
        <v>373</v>
      </c>
      <c r="BD378" s="143" t="s">
        <v>227</v>
      </c>
      <c r="BE378" s="132" t="s">
        <v>178</v>
      </c>
      <c r="BF378" s="123"/>
      <c r="BG378" s="83">
        <v>1179055.0</v>
      </c>
      <c r="BH378" s="112">
        <v>3.0</v>
      </c>
      <c r="BI378" s="98" t="s">
        <v>155</v>
      </c>
      <c r="BJ378" s="98" t="str">
        <f t="shared" si="1"/>
        <v>NÃO</v>
      </c>
      <c r="BK378" s="98" t="str">
        <f t="shared" si="2"/>
        <v>NÃO</v>
      </c>
    </row>
    <row r="379" ht="15.75" customHeight="1">
      <c r="A379" s="111" t="s">
        <v>451</v>
      </c>
      <c r="B379" s="83" t="s">
        <v>1423</v>
      </c>
      <c r="C379" s="83" t="s">
        <v>164</v>
      </c>
      <c r="D379" s="83">
        <v>1179701.0</v>
      </c>
      <c r="E379" s="83">
        <v>1178491.0</v>
      </c>
      <c r="F379" s="83"/>
      <c r="G379" s="114" t="s">
        <v>1526</v>
      </c>
      <c r="H379" s="91" t="s">
        <v>1527</v>
      </c>
      <c r="I379" s="187" t="s">
        <v>1528</v>
      </c>
      <c r="J379" s="83" t="s">
        <v>209</v>
      </c>
      <c r="K379" s="83" t="s">
        <v>168</v>
      </c>
      <c r="L379" s="83" t="s">
        <v>169</v>
      </c>
      <c r="M379" s="82" t="s">
        <v>4891</v>
      </c>
      <c r="N379" s="82" t="s">
        <v>4892</v>
      </c>
      <c r="O379" s="82" t="s">
        <v>4893</v>
      </c>
      <c r="P379" s="82" t="s">
        <v>4894</v>
      </c>
      <c r="Q379" s="82"/>
      <c r="R379" s="82"/>
      <c r="S379" s="82"/>
      <c r="T379" s="138">
        <v>3.0</v>
      </c>
      <c r="U379" s="401">
        <v>3.0</v>
      </c>
      <c r="V379" s="106">
        <v>0.0</v>
      </c>
      <c r="W379" s="107">
        <v>0.0</v>
      </c>
      <c r="X379" s="107">
        <v>0.0</v>
      </c>
      <c r="Y379" s="107">
        <v>0.0</v>
      </c>
      <c r="Z379" s="80">
        <v>0.0</v>
      </c>
      <c r="AA379" s="140">
        <v>0.0</v>
      </c>
      <c r="AB379" s="109">
        <v>0.0</v>
      </c>
      <c r="AC379" s="109">
        <v>0.0</v>
      </c>
      <c r="AD379" s="141">
        <v>0.0</v>
      </c>
      <c r="AE379" s="80">
        <v>0.0</v>
      </c>
      <c r="AF379" s="140">
        <v>0.0</v>
      </c>
      <c r="AG379" s="109">
        <v>0.0</v>
      </c>
      <c r="AH379" s="109">
        <v>22.0</v>
      </c>
      <c r="AI379" s="141">
        <v>0.0</v>
      </c>
      <c r="AJ379" s="80">
        <v>22.0</v>
      </c>
      <c r="AK379" s="140">
        <v>0.0</v>
      </c>
      <c r="AL379" s="109">
        <v>0.0</v>
      </c>
      <c r="AM379" s="141">
        <v>0.0</v>
      </c>
      <c r="AN379" s="80">
        <v>0.0</v>
      </c>
      <c r="AO379" s="140">
        <v>0.0</v>
      </c>
      <c r="AP379" s="109">
        <v>0.0</v>
      </c>
      <c r="AQ379" s="109">
        <v>0.0</v>
      </c>
      <c r="AR379" s="80">
        <v>0.0</v>
      </c>
      <c r="AS379" s="110">
        <v>0.0</v>
      </c>
      <c r="AT379" s="110">
        <v>0.0</v>
      </c>
      <c r="AU379" s="110">
        <v>0.0</v>
      </c>
      <c r="AV379" s="142">
        <v>0.0</v>
      </c>
      <c r="AW379" s="80">
        <v>0.0</v>
      </c>
      <c r="AX379" s="113">
        <v>22.0</v>
      </c>
      <c r="AY379" s="117">
        <v>0.0</v>
      </c>
      <c r="AZ379" s="328">
        <v>22.0</v>
      </c>
      <c r="BA379" s="315">
        <v>0.0</v>
      </c>
      <c r="BB379" s="316">
        <v>22.0</v>
      </c>
      <c r="BC379" s="132" t="s">
        <v>373</v>
      </c>
      <c r="BD379" s="143" t="s">
        <v>227</v>
      </c>
      <c r="BE379" s="132" t="s">
        <v>178</v>
      </c>
      <c r="BF379" s="156"/>
      <c r="BG379" s="83">
        <v>1178491.0</v>
      </c>
      <c r="BH379" s="112">
        <v>3.0</v>
      </c>
      <c r="BI379" s="98" t="s">
        <v>155</v>
      </c>
      <c r="BJ379" s="98" t="str">
        <f t="shared" si="1"/>
        <v>NÃO</v>
      </c>
      <c r="BK379" s="98" t="str">
        <f t="shared" si="2"/>
        <v>NÃO</v>
      </c>
    </row>
    <row r="380" ht="15.75" customHeight="1">
      <c r="A380" s="111" t="s">
        <v>451</v>
      </c>
      <c r="B380" s="83" t="s">
        <v>1423</v>
      </c>
      <c r="C380" s="83" t="s">
        <v>164</v>
      </c>
      <c r="D380" s="83">
        <v>1179701.0</v>
      </c>
      <c r="E380" s="83">
        <v>1179054.0</v>
      </c>
      <c r="F380" s="83"/>
      <c r="G380" s="114" t="s">
        <v>2363</v>
      </c>
      <c r="H380" s="91" t="s">
        <v>5249</v>
      </c>
      <c r="I380" s="187" t="s">
        <v>149</v>
      </c>
      <c r="J380" s="83" t="s">
        <v>252</v>
      </c>
      <c r="K380" s="83" t="s">
        <v>168</v>
      </c>
      <c r="L380" s="83" t="s">
        <v>169</v>
      </c>
      <c r="M380" s="82" t="s">
        <v>4891</v>
      </c>
      <c r="N380" s="82" t="s">
        <v>4892</v>
      </c>
      <c r="O380" s="82" t="s">
        <v>4893</v>
      </c>
      <c r="P380" s="82" t="s">
        <v>4894</v>
      </c>
      <c r="Q380" s="82"/>
      <c r="R380" s="82"/>
      <c r="S380" s="82"/>
      <c r="T380" s="138">
        <v>3.0</v>
      </c>
      <c r="U380" s="401">
        <v>3.0</v>
      </c>
      <c r="V380" s="106">
        <v>0.0</v>
      </c>
      <c r="W380" s="107">
        <v>0.0</v>
      </c>
      <c r="X380" s="107">
        <v>0.0</v>
      </c>
      <c r="Y380" s="107">
        <v>0.0</v>
      </c>
      <c r="Z380" s="80">
        <v>0.0</v>
      </c>
      <c r="AA380" s="140">
        <v>0.0</v>
      </c>
      <c r="AB380" s="109">
        <v>0.0</v>
      </c>
      <c r="AC380" s="109">
        <v>0.0</v>
      </c>
      <c r="AD380" s="141">
        <v>0.0</v>
      </c>
      <c r="AE380" s="80">
        <v>0.0</v>
      </c>
      <c r="AF380" s="140">
        <v>0.0</v>
      </c>
      <c r="AG380" s="109">
        <v>0.0</v>
      </c>
      <c r="AH380" s="109">
        <v>21.0</v>
      </c>
      <c r="AI380" s="141">
        <v>0.0</v>
      </c>
      <c r="AJ380" s="80">
        <v>21.0</v>
      </c>
      <c r="AK380" s="140">
        <v>0.0</v>
      </c>
      <c r="AL380" s="109">
        <v>0.0</v>
      </c>
      <c r="AM380" s="141">
        <v>0.0</v>
      </c>
      <c r="AN380" s="80">
        <v>0.0</v>
      </c>
      <c r="AO380" s="140">
        <v>0.0</v>
      </c>
      <c r="AP380" s="109">
        <v>0.0</v>
      </c>
      <c r="AQ380" s="109">
        <v>0.0</v>
      </c>
      <c r="AR380" s="80">
        <v>0.0</v>
      </c>
      <c r="AS380" s="110">
        <v>0.0</v>
      </c>
      <c r="AT380" s="110">
        <v>0.0</v>
      </c>
      <c r="AU380" s="110">
        <v>0.0</v>
      </c>
      <c r="AV380" s="142">
        <v>0.0</v>
      </c>
      <c r="AW380" s="80">
        <v>0.0</v>
      </c>
      <c r="AX380" s="113">
        <v>21.0</v>
      </c>
      <c r="AY380" s="117">
        <v>0.0</v>
      </c>
      <c r="AZ380" s="328">
        <v>21.0</v>
      </c>
      <c r="BA380" s="315">
        <v>0.0</v>
      </c>
      <c r="BB380" s="316">
        <v>21.0</v>
      </c>
      <c r="BC380" s="132" t="s">
        <v>373</v>
      </c>
      <c r="BD380" s="143" t="s">
        <v>227</v>
      </c>
      <c r="BE380" s="132" t="s">
        <v>178</v>
      </c>
      <c r="BF380" s="123"/>
      <c r="BG380" s="83">
        <v>1179054.0</v>
      </c>
      <c r="BH380" s="112">
        <v>3.0</v>
      </c>
      <c r="BI380" s="98" t="s">
        <v>155</v>
      </c>
      <c r="BJ380" s="98" t="str">
        <f t="shared" si="1"/>
        <v>NÃO</v>
      </c>
      <c r="BK380" s="98" t="str">
        <f t="shared" si="2"/>
        <v>NÃO</v>
      </c>
    </row>
    <row r="381" ht="15.75" customHeight="1">
      <c r="A381" s="111" t="s">
        <v>451</v>
      </c>
      <c r="B381" s="83" t="s">
        <v>1529</v>
      </c>
      <c r="C381" s="83" t="s">
        <v>68</v>
      </c>
      <c r="D381" s="83">
        <v>1176081.0</v>
      </c>
      <c r="E381" s="82"/>
      <c r="F381" s="83">
        <v>2.930539E7</v>
      </c>
      <c r="G381" s="91" t="s">
        <v>5252</v>
      </c>
      <c r="H381" s="91" t="s">
        <v>1531</v>
      </c>
      <c r="I381" s="187" t="s">
        <v>149</v>
      </c>
      <c r="J381" s="83" t="s">
        <v>150</v>
      </c>
      <c r="K381" s="83" t="s">
        <v>151</v>
      </c>
      <c r="L381" s="82" t="s">
        <v>76</v>
      </c>
      <c r="M381" s="82" t="s">
        <v>5253</v>
      </c>
      <c r="N381" s="82" t="s">
        <v>5254</v>
      </c>
      <c r="O381" s="82" t="s">
        <v>5256</v>
      </c>
      <c r="P381" s="82" t="s">
        <v>5258</v>
      </c>
      <c r="Q381" s="82" t="s">
        <v>5259</v>
      </c>
      <c r="R381" s="82" t="s">
        <v>5260</v>
      </c>
      <c r="S381" s="82" t="s">
        <v>5262</v>
      </c>
      <c r="T381" s="138">
        <v>63.0</v>
      </c>
      <c r="U381" s="406">
        <v>64.0</v>
      </c>
      <c r="V381" s="106">
        <v>0.0</v>
      </c>
      <c r="W381" s="107">
        <v>0.0</v>
      </c>
      <c r="X381" s="107">
        <v>0.0</v>
      </c>
      <c r="Y381" s="107">
        <v>0.0</v>
      </c>
      <c r="Z381" s="80">
        <v>0.0</v>
      </c>
      <c r="AA381" s="140">
        <v>0.0</v>
      </c>
      <c r="AB381" s="109">
        <v>0.0</v>
      </c>
      <c r="AC381" s="109">
        <v>0.0</v>
      </c>
      <c r="AD381" s="141">
        <v>320.0</v>
      </c>
      <c r="AE381" s="80">
        <v>320.0</v>
      </c>
      <c r="AF381" s="140">
        <v>0.0</v>
      </c>
      <c r="AG381" s="109">
        <v>0.0</v>
      </c>
      <c r="AH381" s="109">
        <v>22.0</v>
      </c>
      <c r="AI381" s="141">
        <v>415.0</v>
      </c>
      <c r="AJ381" s="80">
        <v>437.0</v>
      </c>
      <c r="AK381" s="140">
        <v>0.0</v>
      </c>
      <c r="AL381" s="109">
        <v>0.0</v>
      </c>
      <c r="AM381" s="141">
        <v>0.0</v>
      </c>
      <c r="AN381" s="80">
        <v>0.0</v>
      </c>
      <c r="AO381" s="140">
        <v>0.0</v>
      </c>
      <c r="AP381" s="109">
        <v>0.0</v>
      </c>
      <c r="AQ381" s="109">
        <v>35.0</v>
      </c>
      <c r="AR381" s="80">
        <v>35.0</v>
      </c>
      <c r="AS381" s="110">
        <v>0.0</v>
      </c>
      <c r="AT381" s="110">
        <v>0.0</v>
      </c>
      <c r="AU381" s="110">
        <v>0.0</v>
      </c>
      <c r="AV381" s="142">
        <v>0.0</v>
      </c>
      <c r="AW381" s="80">
        <v>0.0</v>
      </c>
      <c r="AX381" s="113">
        <v>792.0</v>
      </c>
      <c r="AY381" s="117">
        <v>735.0</v>
      </c>
      <c r="AZ381" s="328">
        <v>57.0</v>
      </c>
      <c r="BA381" s="315">
        <v>0.0</v>
      </c>
      <c r="BB381" s="316">
        <v>792.0</v>
      </c>
      <c r="BC381" s="132" t="s">
        <v>178</v>
      </c>
      <c r="BD381" s="132" t="s">
        <v>178</v>
      </c>
      <c r="BE381" s="132" t="s">
        <v>178</v>
      </c>
      <c r="BF381" s="123"/>
      <c r="BG381" s="83">
        <v>1176081.0</v>
      </c>
      <c r="BH381" s="98">
        <v>64.0</v>
      </c>
      <c r="BI381" s="98" t="s">
        <v>155</v>
      </c>
      <c r="BJ381" s="98" t="str">
        <f t="shared" si="1"/>
        <v>INTEGRAL</v>
      </c>
      <c r="BK381" s="98" t="str">
        <f t="shared" si="2"/>
        <v>NÃO</v>
      </c>
    </row>
    <row r="382" ht="15.75" customHeight="1">
      <c r="A382" s="111" t="s">
        <v>451</v>
      </c>
      <c r="B382" s="83" t="s">
        <v>1529</v>
      </c>
      <c r="C382" s="83" t="s">
        <v>68</v>
      </c>
      <c r="D382" s="83">
        <v>1177091.0</v>
      </c>
      <c r="E382" s="83"/>
      <c r="F382" s="83">
        <v>2.942402E7</v>
      </c>
      <c r="G382" s="114" t="s">
        <v>4944</v>
      </c>
      <c r="H382" s="91" t="s">
        <v>1537</v>
      </c>
      <c r="I382" s="187" t="s">
        <v>149</v>
      </c>
      <c r="J382" s="83" t="s">
        <v>150</v>
      </c>
      <c r="K382" s="83" t="s">
        <v>151</v>
      </c>
      <c r="L382" s="83" t="s">
        <v>152</v>
      </c>
      <c r="M382" s="82" t="s">
        <v>5267</v>
      </c>
      <c r="N382" s="82" t="s">
        <v>5268</v>
      </c>
      <c r="O382" s="82" t="s">
        <v>5269</v>
      </c>
      <c r="P382" s="82" t="s">
        <v>5270</v>
      </c>
      <c r="Q382" s="82" t="s">
        <v>5271</v>
      </c>
      <c r="R382" s="82" t="s">
        <v>5272</v>
      </c>
      <c r="S382" s="82" t="s">
        <v>5273</v>
      </c>
      <c r="T382" s="138">
        <v>17.0</v>
      </c>
      <c r="U382" s="401" t="s">
        <v>5274</v>
      </c>
      <c r="V382" s="106">
        <v>0.0</v>
      </c>
      <c r="W382" s="107">
        <v>0.0</v>
      </c>
      <c r="X382" s="107">
        <v>0.0</v>
      </c>
      <c r="Y382" s="107">
        <v>0.0</v>
      </c>
      <c r="Z382" s="80">
        <v>0.0</v>
      </c>
      <c r="AA382" s="140">
        <v>0.0</v>
      </c>
      <c r="AB382" s="109">
        <v>0.0</v>
      </c>
      <c r="AC382" s="109">
        <v>0.0</v>
      </c>
      <c r="AD382" s="141">
        <v>0.0</v>
      </c>
      <c r="AE382" s="80">
        <v>0.0</v>
      </c>
      <c r="AF382" s="140">
        <v>451.0</v>
      </c>
      <c r="AG382" s="109">
        <v>113.0</v>
      </c>
      <c r="AH382" s="109">
        <v>0.0</v>
      </c>
      <c r="AI382" s="141">
        <v>71.0</v>
      </c>
      <c r="AJ382" s="80">
        <v>635.0</v>
      </c>
      <c r="AK382" s="140">
        <v>0.0</v>
      </c>
      <c r="AL382" s="109">
        <v>0.0</v>
      </c>
      <c r="AM382" s="141">
        <v>0.0</v>
      </c>
      <c r="AN382" s="80">
        <v>0.0</v>
      </c>
      <c r="AO382" s="140">
        <v>0.0</v>
      </c>
      <c r="AP382" s="109">
        <v>0.0</v>
      </c>
      <c r="AQ382" s="109">
        <v>140.0</v>
      </c>
      <c r="AR382" s="80">
        <v>140.0</v>
      </c>
      <c r="AS382" s="110">
        <v>35.0</v>
      </c>
      <c r="AT382" s="110">
        <v>69.0</v>
      </c>
      <c r="AU382" s="110">
        <v>57.0</v>
      </c>
      <c r="AV382" s="142">
        <v>0.0</v>
      </c>
      <c r="AW382" s="80">
        <v>161.0</v>
      </c>
      <c r="AX382" s="113">
        <v>936.0</v>
      </c>
      <c r="AY382" s="117">
        <v>739.0</v>
      </c>
      <c r="AZ382" s="328">
        <v>197.0</v>
      </c>
      <c r="BA382" s="315">
        <v>0.0</v>
      </c>
      <c r="BB382" s="316">
        <v>936.0</v>
      </c>
      <c r="BC382" s="132" t="s">
        <v>178</v>
      </c>
      <c r="BD382" s="132" t="s">
        <v>178</v>
      </c>
      <c r="BE382" s="132" t="s">
        <v>178</v>
      </c>
      <c r="BF382" s="123"/>
      <c r="BG382" s="83">
        <v>1177091.0</v>
      </c>
      <c r="BH382" s="112">
        <v>14.0</v>
      </c>
      <c r="BI382" s="98" t="s">
        <v>155</v>
      </c>
      <c r="BJ382" s="98" t="str">
        <f t="shared" si="1"/>
        <v>INTEGRAL</v>
      </c>
      <c r="BK382" s="98" t="str">
        <f t="shared" si="2"/>
        <v>PROFISSIONAL</v>
      </c>
    </row>
    <row r="383" ht="15.75" customHeight="1">
      <c r="A383" s="111" t="s">
        <v>451</v>
      </c>
      <c r="B383" s="136" t="s">
        <v>1529</v>
      </c>
      <c r="C383" s="83" t="s">
        <v>68</v>
      </c>
      <c r="D383" s="83">
        <v>1112084.0</v>
      </c>
      <c r="E383" s="83"/>
      <c r="F383" s="83">
        <v>2.9304776E7</v>
      </c>
      <c r="G383" s="187" t="s">
        <v>5275</v>
      </c>
      <c r="H383" s="91" t="s">
        <v>1541</v>
      </c>
      <c r="I383" s="411" t="s">
        <v>1542</v>
      </c>
      <c r="J383" s="83" t="s">
        <v>150</v>
      </c>
      <c r="K383" s="83" t="s">
        <v>151</v>
      </c>
      <c r="L383" s="83" t="s">
        <v>230</v>
      </c>
      <c r="M383" s="82" t="s">
        <v>5278</v>
      </c>
      <c r="N383" s="82" t="s">
        <v>5279</v>
      </c>
      <c r="O383" s="82" t="s">
        <v>5280</v>
      </c>
      <c r="P383" s="82" t="s">
        <v>5282</v>
      </c>
      <c r="Q383" s="82" t="s">
        <v>5284</v>
      </c>
      <c r="R383" s="82" t="s">
        <v>5285</v>
      </c>
      <c r="S383" s="82" t="s">
        <v>5286</v>
      </c>
      <c r="T383" s="138">
        <v>12.0</v>
      </c>
      <c r="U383" s="401">
        <v>10.0</v>
      </c>
      <c r="V383" s="106">
        <v>0.0</v>
      </c>
      <c r="W383" s="107">
        <v>0.0</v>
      </c>
      <c r="X383" s="107">
        <v>0.0</v>
      </c>
      <c r="Y383" s="107">
        <v>0.0</v>
      </c>
      <c r="Z383" s="80">
        <v>0.0</v>
      </c>
      <c r="AA383" s="140">
        <v>0.0</v>
      </c>
      <c r="AB383" s="109">
        <v>0.0</v>
      </c>
      <c r="AC383" s="109">
        <v>0.0</v>
      </c>
      <c r="AD383" s="141">
        <v>0.0</v>
      </c>
      <c r="AE383" s="80">
        <v>0.0</v>
      </c>
      <c r="AF383" s="140">
        <v>52.0</v>
      </c>
      <c r="AG383" s="109">
        <v>0.0</v>
      </c>
      <c r="AH383" s="109">
        <v>0.0</v>
      </c>
      <c r="AI383" s="141">
        <v>222.0</v>
      </c>
      <c r="AJ383" s="80">
        <v>274.0</v>
      </c>
      <c r="AK383" s="140">
        <v>0.0</v>
      </c>
      <c r="AL383" s="109">
        <v>0.0</v>
      </c>
      <c r="AM383" s="141">
        <v>0.0</v>
      </c>
      <c r="AN383" s="80">
        <v>0.0</v>
      </c>
      <c r="AO383" s="140">
        <v>0.0</v>
      </c>
      <c r="AP383" s="109">
        <v>0.0</v>
      </c>
      <c r="AQ383" s="109">
        <v>180.0</v>
      </c>
      <c r="AR383" s="80">
        <v>180.0</v>
      </c>
      <c r="AS383" s="110">
        <v>0.0</v>
      </c>
      <c r="AT383" s="110">
        <v>0.0</v>
      </c>
      <c r="AU383" s="110">
        <v>0.0</v>
      </c>
      <c r="AV383" s="142">
        <v>0.0</v>
      </c>
      <c r="AW383" s="80">
        <v>0.0</v>
      </c>
      <c r="AX383" s="113">
        <v>454.0</v>
      </c>
      <c r="AY383" s="117">
        <v>274.0</v>
      </c>
      <c r="AZ383" s="328">
        <v>180.0</v>
      </c>
      <c r="BA383" s="315">
        <v>1.0</v>
      </c>
      <c r="BB383" s="316">
        <v>455.0</v>
      </c>
      <c r="BC383" s="132" t="s">
        <v>178</v>
      </c>
      <c r="BD383" s="132" t="s">
        <v>178</v>
      </c>
      <c r="BE383" s="132" t="s">
        <v>178</v>
      </c>
      <c r="BF383" s="156"/>
      <c r="BG383" s="83">
        <v>1112084.0</v>
      </c>
      <c r="BH383" s="112">
        <v>10.0</v>
      </c>
      <c r="BI383" s="98" t="s">
        <v>155</v>
      </c>
      <c r="BJ383" s="98" t="str">
        <f t="shared" si="1"/>
        <v>INTEGRAL</v>
      </c>
      <c r="BK383" s="98" t="str">
        <f t="shared" si="2"/>
        <v>NÃO</v>
      </c>
    </row>
    <row r="384" ht="15.75" customHeight="1">
      <c r="A384" s="111" t="s">
        <v>451</v>
      </c>
      <c r="B384" s="83" t="s">
        <v>1529</v>
      </c>
      <c r="C384" s="83" t="s">
        <v>68</v>
      </c>
      <c r="D384" s="83">
        <v>1111940.0</v>
      </c>
      <c r="E384" s="83"/>
      <c r="F384" s="83">
        <v>2.9306264E7</v>
      </c>
      <c r="G384" s="365" t="s">
        <v>5292</v>
      </c>
      <c r="H384" s="91" t="s">
        <v>1546</v>
      </c>
      <c r="I384" s="114" t="s">
        <v>149</v>
      </c>
      <c r="J384" s="83" t="s">
        <v>150</v>
      </c>
      <c r="K384" s="83" t="s">
        <v>151</v>
      </c>
      <c r="L384" s="83" t="s">
        <v>152</v>
      </c>
      <c r="M384" s="82" t="s">
        <v>5293</v>
      </c>
      <c r="N384" s="82" t="s">
        <v>5294</v>
      </c>
      <c r="O384" s="82" t="s">
        <v>5295</v>
      </c>
      <c r="P384" s="82" t="s">
        <v>5296</v>
      </c>
      <c r="Q384" s="82" t="s">
        <v>5297</v>
      </c>
      <c r="R384" s="82" t="s">
        <v>5298</v>
      </c>
      <c r="S384" s="82" t="s">
        <v>5299</v>
      </c>
      <c r="T384" s="138">
        <v>10.0</v>
      </c>
      <c r="U384" s="412">
        <v>10.0</v>
      </c>
      <c r="V384" s="106">
        <v>0.0</v>
      </c>
      <c r="W384" s="107">
        <v>0.0</v>
      </c>
      <c r="X384" s="107">
        <v>0.0</v>
      </c>
      <c r="Y384" s="107">
        <v>0.0</v>
      </c>
      <c r="Z384" s="80">
        <v>0.0</v>
      </c>
      <c r="AA384" s="140">
        <v>0.0</v>
      </c>
      <c r="AB384" s="109">
        <v>0.0</v>
      </c>
      <c r="AC384" s="109">
        <v>0.0</v>
      </c>
      <c r="AD384" s="141">
        <v>0.0</v>
      </c>
      <c r="AE384" s="80">
        <v>0.0</v>
      </c>
      <c r="AF384" s="140">
        <v>333.0</v>
      </c>
      <c r="AG384" s="109">
        <v>258.0</v>
      </c>
      <c r="AH384" s="109">
        <v>0.0</v>
      </c>
      <c r="AI384" s="141">
        <v>39.0</v>
      </c>
      <c r="AJ384" s="80">
        <v>630.0</v>
      </c>
      <c r="AK384" s="140">
        <v>0.0</v>
      </c>
      <c r="AL384" s="109">
        <v>0.0</v>
      </c>
      <c r="AM384" s="141">
        <v>0.0</v>
      </c>
      <c r="AN384" s="80">
        <v>0.0</v>
      </c>
      <c r="AO384" s="140">
        <v>0.0</v>
      </c>
      <c r="AP384" s="109">
        <v>0.0</v>
      </c>
      <c r="AQ384" s="109">
        <v>86.0</v>
      </c>
      <c r="AR384" s="80">
        <v>86.0</v>
      </c>
      <c r="AS384" s="110">
        <v>0.0</v>
      </c>
      <c r="AT384" s="110">
        <v>0.0</v>
      </c>
      <c r="AU384" s="110">
        <v>0.0</v>
      </c>
      <c r="AV384" s="142">
        <v>0.0</v>
      </c>
      <c r="AW384" s="80">
        <v>0.0</v>
      </c>
      <c r="AX384" s="113">
        <v>716.0</v>
      </c>
      <c r="AY384" s="117">
        <v>630.0</v>
      </c>
      <c r="AZ384" s="328">
        <v>86.0</v>
      </c>
      <c r="BA384" s="315">
        <v>0.0</v>
      </c>
      <c r="BB384" s="316">
        <v>716.0</v>
      </c>
      <c r="BC384" s="132" t="s">
        <v>178</v>
      </c>
      <c r="BD384" s="132" t="s">
        <v>178</v>
      </c>
      <c r="BE384" s="132" t="s">
        <v>178</v>
      </c>
      <c r="BF384" s="156"/>
      <c r="BG384" s="83">
        <v>1111940.0</v>
      </c>
      <c r="BH384" s="112">
        <v>10.0</v>
      </c>
      <c r="BI384" s="98" t="s">
        <v>155</v>
      </c>
      <c r="BJ384" s="98" t="str">
        <f t="shared" si="1"/>
        <v>INTEGRAL</v>
      </c>
      <c r="BK384" s="98" t="str">
        <f t="shared" si="2"/>
        <v>NÃO</v>
      </c>
    </row>
    <row r="385" ht="15.75" customHeight="1">
      <c r="A385" s="111" t="s">
        <v>451</v>
      </c>
      <c r="B385" s="83" t="s">
        <v>1529</v>
      </c>
      <c r="C385" s="83" t="s">
        <v>68</v>
      </c>
      <c r="D385" s="98">
        <v>1111738.0</v>
      </c>
      <c r="E385" s="83"/>
      <c r="F385" s="83">
        <v>2.9306205E7</v>
      </c>
      <c r="G385" s="119" t="s">
        <v>1549</v>
      </c>
      <c r="H385" s="91" t="s">
        <v>1550</v>
      </c>
      <c r="I385" s="114" t="s">
        <v>149</v>
      </c>
      <c r="J385" s="83" t="s">
        <v>150</v>
      </c>
      <c r="K385" s="83" t="s">
        <v>151</v>
      </c>
      <c r="L385" s="83" t="s">
        <v>152</v>
      </c>
      <c r="M385" s="82" t="s">
        <v>5304</v>
      </c>
      <c r="N385" s="82" t="s">
        <v>5305</v>
      </c>
      <c r="O385" s="82" t="s">
        <v>5306</v>
      </c>
      <c r="P385" s="82" t="s">
        <v>5307</v>
      </c>
      <c r="Q385" s="82" t="s">
        <v>5308</v>
      </c>
      <c r="R385" s="82" t="s">
        <v>5309</v>
      </c>
      <c r="S385" s="82" t="s">
        <v>5310</v>
      </c>
      <c r="T385" s="138">
        <v>24.0</v>
      </c>
      <c r="U385" s="323">
        <v>24.0</v>
      </c>
      <c r="V385" s="106">
        <v>0.0</v>
      </c>
      <c r="W385" s="107">
        <v>0.0</v>
      </c>
      <c r="X385" s="107">
        <v>0.0</v>
      </c>
      <c r="Y385" s="107">
        <v>0.0</v>
      </c>
      <c r="Z385" s="80">
        <v>0.0</v>
      </c>
      <c r="AA385" s="140">
        <v>0.0</v>
      </c>
      <c r="AB385" s="109">
        <v>0.0</v>
      </c>
      <c r="AC385" s="109">
        <v>0.0</v>
      </c>
      <c r="AD385" s="141">
        <v>218.0</v>
      </c>
      <c r="AE385" s="80">
        <v>218.0</v>
      </c>
      <c r="AF385" s="140">
        <v>193.0</v>
      </c>
      <c r="AG385" s="109">
        <v>33.0</v>
      </c>
      <c r="AH385" s="109">
        <v>0.0</v>
      </c>
      <c r="AI385" s="141">
        <v>476.0</v>
      </c>
      <c r="AJ385" s="80">
        <v>702.0</v>
      </c>
      <c r="AK385" s="140">
        <v>0.0</v>
      </c>
      <c r="AL385" s="109">
        <v>0.0</v>
      </c>
      <c r="AM385" s="141">
        <v>0.0</v>
      </c>
      <c r="AN385" s="80">
        <v>0.0</v>
      </c>
      <c r="AO385" s="140">
        <v>0.0</v>
      </c>
      <c r="AP385" s="109">
        <v>0.0</v>
      </c>
      <c r="AQ385" s="109">
        <v>57.0</v>
      </c>
      <c r="AR385" s="80">
        <v>57.0</v>
      </c>
      <c r="AS385" s="110">
        <v>31.0</v>
      </c>
      <c r="AT385" s="110">
        <v>0.0</v>
      </c>
      <c r="AU385" s="110">
        <v>0.0</v>
      </c>
      <c r="AV385" s="142">
        <v>0.0</v>
      </c>
      <c r="AW385" s="80">
        <v>31.0</v>
      </c>
      <c r="AX385" s="113">
        <v>1008.0</v>
      </c>
      <c r="AY385" s="117">
        <v>951.0</v>
      </c>
      <c r="AZ385" s="328">
        <v>57.0</v>
      </c>
      <c r="BA385" s="315">
        <v>0.0</v>
      </c>
      <c r="BB385" s="316">
        <v>1008.0</v>
      </c>
      <c r="BC385" s="132" t="s">
        <v>178</v>
      </c>
      <c r="BD385" s="132" t="s">
        <v>178</v>
      </c>
      <c r="BE385" s="132" t="s">
        <v>178</v>
      </c>
      <c r="BF385" s="413" t="s">
        <v>5312</v>
      </c>
      <c r="BG385" s="98">
        <v>1111738.0</v>
      </c>
      <c r="BH385" s="112">
        <v>24.0</v>
      </c>
      <c r="BI385" s="98" t="s">
        <v>162</v>
      </c>
      <c r="BJ385" s="98" t="str">
        <f t="shared" si="1"/>
        <v>INTEGRAL</v>
      </c>
      <c r="BK385" s="98" t="str">
        <f t="shared" si="2"/>
        <v>PROFISSIONAL</v>
      </c>
    </row>
    <row r="386" ht="15.75" customHeight="1">
      <c r="A386" s="111" t="s">
        <v>451</v>
      </c>
      <c r="B386" s="83" t="s">
        <v>1529</v>
      </c>
      <c r="C386" s="83" t="s">
        <v>68</v>
      </c>
      <c r="D386" s="83">
        <v>1112009.0</v>
      </c>
      <c r="E386" s="83"/>
      <c r="F386" s="83">
        <v>2.930623E7</v>
      </c>
      <c r="G386" s="114" t="s">
        <v>5317</v>
      </c>
      <c r="H386" s="91" t="s">
        <v>1558</v>
      </c>
      <c r="I386" s="114" t="s">
        <v>149</v>
      </c>
      <c r="J386" s="83" t="s">
        <v>150</v>
      </c>
      <c r="K386" s="83" t="s">
        <v>151</v>
      </c>
      <c r="L386" s="83" t="s">
        <v>76</v>
      </c>
      <c r="M386" s="82" t="s">
        <v>5318</v>
      </c>
      <c r="N386" s="82" t="s">
        <v>5319</v>
      </c>
      <c r="O386" s="82" t="s">
        <v>5320</v>
      </c>
      <c r="P386" s="82" t="s">
        <v>5321</v>
      </c>
      <c r="Q386" s="82"/>
      <c r="R386" s="82"/>
      <c r="S386" s="82" t="s">
        <v>5322</v>
      </c>
      <c r="T386" s="138">
        <v>8.0</v>
      </c>
      <c r="U386" s="323">
        <v>8.0</v>
      </c>
      <c r="V386" s="106">
        <v>0.0</v>
      </c>
      <c r="W386" s="107">
        <v>0.0</v>
      </c>
      <c r="X386" s="107">
        <v>0.0</v>
      </c>
      <c r="Y386" s="107">
        <v>0.0</v>
      </c>
      <c r="Z386" s="80">
        <v>0.0</v>
      </c>
      <c r="AA386" s="140">
        <v>0.0</v>
      </c>
      <c r="AB386" s="109">
        <v>0.0</v>
      </c>
      <c r="AC386" s="109">
        <v>0.0</v>
      </c>
      <c r="AD386" s="141">
        <v>0.0</v>
      </c>
      <c r="AE386" s="80">
        <v>0.0</v>
      </c>
      <c r="AF386" s="140">
        <v>129.0</v>
      </c>
      <c r="AG386" s="109">
        <v>71.0</v>
      </c>
      <c r="AH386" s="109">
        <v>0.0</v>
      </c>
      <c r="AI386" s="141">
        <v>5.0</v>
      </c>
      <c r="AJ386" s="80">
        <v>205.0</v>
      </c>
      <c r="AK386" s="140">
        <v>0.0</v>
      </c>
      <c r="AL386" s="109">
        <v>0.0</v>
      </c>
      <c r="AM386" s="141">
        <v>0.0</v>
      </c>
      <c r="AN386" s="80">
        <v>0.0</v>
      </c>
      <c r="AO386" s="140">
        <v>0.0</v>
      </c>
      <c r="AP386" s="109">
        <v>0.0</v>
      </c>
      <c r="AQ386" s="109">
        <v>54.0</v>
      </c>
      <c r="AR386" s="80">
        <v>54.0</v>
      </c>
      <c r="AS386" s="110">
        <v>0.0</v>
      </c>
      <c r="AT386" s="110">
        <v>0.0</v>
      </c>
      <c r="AU386" s="110">
        <v>0.0</v>
      </c>
      <c r="AV386" s="142">
        <v>0.0</v>
      </c>
      <c r="AW386" s="80">
        <v>0.0</v>
      </c>
      <c r="AX386" s="113">
        <v>259.0</v>
      </c>
      <c r="AY386" s="117">
        <v>205.0</v>
      </c>
      <c r="AZ386" s="328">
        <v>54.0</v>
      </c>
      <c r="BA386" s="315">
        <v>0.0</v>
      </c>
      <c r="BB386" s="316">
        <v>259.0</v>
      </c>
      <c r="BC386" s="132" t="s">
        <v>178</v>
      </c>
      <c r="BD386" s="132" t="s">
        <v>178</v>
      </c>
      <c r="BE386" s="132" t="s">
        <v>178</v>
      </c>
      <c r="BF386" s="123"/>
      <c r="BG386" s="83">
        <v>1112009.0</v>
      </c>
      <c r="BH386" s="112">
        <v>8.0</v>
      </c>
      <c r="BI386" s="98" t="s">
        <v>155</v>
      </c>
      <c r="BJ386" s="98" t="str">
        <f t="shared" si="1"/>
        <v>INTEGRAL</v>
      </c>
      <c r="BK386" s="98" t="str">
        <f t="shared" si="2"/>
        <v>NÃO</v>
      </c>
    </row>
    <row r="387" ht="15.75" customHeight="1">
      <c r="A387" s="111" t="s">
        <v>451</v>
      </c>
      <c r="B387" s="83" t="s">
        <v>1529</v>
      </c>
      <c r="C387" s="83" t="s">
        <v>68</v>
      </c>
      <c r="D387" s="83">
        <v>1112211.0</v>
      </c>
      <c r="E387" s="83"/>
      <c r="F387" s="83">
        <v>2.9304237E7</v>
      </c>
      <c r="G387" s="219" t="s">
        <v>5324</v>
      </c>
      <c r="H387" s="91" t="s">
        <v>1562</v>
      </c>
      <c r="I387" s="187" t="s">
        <v>1563</v>
      </c>
      <c r="J387" s="83" t="s">
        <v>150</v>
      </c>
      <c r="K387" s="83" t="s">
        <v>151</v>
      </c>
      <c r="L387" s="83" t="s">
        <v>152</v>
      </c>
      <c r="M387" s="82" t="s">
        <v>5325</v>
      </c>
      <c r="N387" s="82" t="s">
        <v>171</v>
      </c>
      <c r="O387" s="82" t="s">
        <v>5326</v>
      </c>
      <c r="P387" s="82" t="s">
        <v>5327</v>
      </c>
      <c r="Q387" s="82"/>
      <c r="R387" s="82"/>
      <c r="S387" s="82" t="s">
        <v>5330</v>
      </c>
      <c r="T387" s="138">
        <v>18.0</v>
      </c>
      <c r="U387" s="331" t="s">
        <v>5331</v>
      </c>
      <c r="V387" s="106">
        <v>0.0</v>
      </c>
      <c r="W387" s="107">
        <v>0.0</v>
      </c>
      <c r="X387" s="107">
        <v>0.0</v>
      </c>
      <c r="Y387" s="107">
        <v>0.0</v>
      </c>
      <c r="Z387" s="80">
        <v>0.0</v>
      </c>
      <c r="AA387" s="140">
        <v>103.0</v>
      </c>
      <c r="AB387" s="109">
        <v>386.0</v>
      </c>
      <c r="AC387" s="109">
        <v>0.0</v>
      </c>
      <c r="AD387" s="141">
        <v>0.0</v>
      </c>
      <c r="AE387" s="80">
        <v>489.0</v>
      </c>
      <c r="AF387" s="140">
        <v>377.0</v>
      </c>
      <c r="AG387" s="109">
        <v>0.0</v>
      </c>
      <c r="AH387" s="109">
        <v>0.0</v>
      </c>
      <c r="AI387" s="141">
        <v>0.0</v>
      </c>
      <c r="AJ387" s="80">
        <v>377.0</v>
      </c>
      <c r="AK387" s="140">
        <v>0.0</v>
      </c>
      <c r="AL387" s="109">
        <v>0.0</v>
      </c>
      <c r="AM387" s="141">
        <v>0.0</v>
      </c>
      <c r="AN387" s="80">
        <v>0.0</v>
      </c>
      <c r="AO387" s="140">
        <v>0.0</v>
      </c>
      <c r="AP387" s="109">
        <v>0.0</v>
      </c>
      <c r="AQ387" s="109">
        <v>0.0</v>
      </c>
      <c r="AR387" s="80">
        <v>0.0</v>
      </c>
      <c r="AS387" s="110">
        <v>0.0</v>
      </c>
      <c r="AT387" s="110">
        <v>0.0</v>
      </c>
      <c r="AU387" s="110">
        <v>0.0</v>
      </c>
      <c r="AV387" s="142">
        <v>0.0</v>
      </c>
      <c r="AW387" s="80">
        <v>0.0</v>
      </c>
      <c r="AX387" s="113">
        <v>866.0</v>
      </c>
      <c r="AY387" s="117">
        <v>866.0</v>
      </c>
      <c r="AZ387" s="328">
        <v>0.0</v>
      </c>
      <c r="BA387" s="315">
        <v>1.0</v>
      </c>
      <c r="BB387" s="316">
        <v>867.0</v>
      </c>
      <c r="BC387" s="143" t="s">
        <v>1014</v>
      </c>
      <c r="BD387" s="132" t="s">
        <v>178</v>
      </c>
      <c r="BE387" s="132" t="s">
        <v>178</v>
      </c>
      <c r="BF387" s="156"/>
      <c r="BG387" s="83">
        <v>1112211.0</v>
      </c>
      <c r="BH387" s="112">
        <v>18.0</v>
      </c>
      <c r="BI387" s="98" t="s">
        <v>155</v>
      </c>
      <c r="BJ387" s="98" t="str">
        <f t="shared" si="1"/>
        <v>NÃO</v>
      </c>
      <c r="BK387" s="98" t="str">
        <f t="shared" si="2"/>
        <v>NÃO</v>
      </c>
    </row>
    <row r="388" ht="15.75" customHeight="1">
      <c r="A388" s="111" t="s">
        <v>451</v>
      </c>
      <c r="B388" s="83" t="s">
        <v>1529</v>
      </c>
      <c r="C388" s="83" t="s">
        <v>68</v>
      </c>
      <c r="D388" s="83">
        <v>1176101.0</v>
      </c>
      <c r="E388" s="83"/>
      <c r="F388" s="83">
        <v>2.93405E7</v>
      </c>
      <c r="G388" s="114" t="s">
        <v>2284</v>
      </c>
      <c r="H388" s="91" t="s">
        <v>5332</v>
      </c>
      <c r="I388" s="114" t="s">
        <v>149</v>
      </c>
      <c r="J388" s="83" t="s">
        <v>150</v>
      </c>
      <c r="K388" s="83" t="s">
        <v>151</v>
      </c>
      <c r="L388" s="83" t="s">
        <v>230</v>
      </c>
      <c r="M388" s="82" t="s">
        <v>2962</v>
      </c>
      <c r="N388" s="82"/>
      <c r="O388" s="82" t="s">
        <v>5334</v>
      </c>
      <c r="P388" s="82" t="s">
        <v>5335</v>
      </c>
      <c r="Q388" s="82"/>
      <c r="R388" s="82"/>
      <c r="S388" s="82" t="s">
        <v>5336</v>
      </c>
      <c r="T388" s="138">
        <v>21.0</v>
      </c>
      <c r="U388" s="323">
        <v>21.0</v>
      </c>
      <c r="V388" s="106">
        <v>0.0</v>
      </c>
      <c r="W388" s="107">
        <v>0.0</v>
      </c>
      <c r="X388" s="107">
        <v>0.0</v>
      </c>
      <c r="Y388" s="107">
        <v>0.0</v>
      </c>
      <c r="Z388" s="80">
        <v>0.0</v>
      </c>
      <c r="AA388" s="140">
        <v>0.0</v>
      </c>
      <c r="AB388" s="109">
        <v>0.0</v>
      </c>
      <c r="AC388" s="109">
        <v>0.0</v>
      </c>
      <c r="AD388" s="141">
        <v>0.0</v>
      </c>
      <c r="AE388" s="80">
        <v>0.0</v>
      </c>
      <c r="AF388" s="140">
        <v>0.0</v>
      </c>
      <c r="AG388" s="109">
        <v>0.0</v>
      </c>
      <c r="AH388" s="109">
        <v>0.0</v>
      </c>
      <c r="AI388" s="141">
        <v>0.0</v>
      </c>
      <c r="AJ388" s="80">
        <v>0.0</v>
      </c>
      <c r="AK388" s="140">
        <v>0.0</v>
      </c>
      <c r="AL388" s="109">
        <v>0.0</v>
      </c>
      <c r="AM388" s="141">
        <v>0.0</v>
      </c>
      <c r="AN388" s="80">
        <v>0.0</v>
      </c>
      <c r="AO388" s="140">
        <v>0.0</v>
      </c>
      <c r="AP388" s="109">
        <v>0.0</v>
      </c>
      <c r="AQ388" s="109">
        <v>0.0</v>
      </c>
      <c r="AR388" s="80">
        <v>0.0</v>
      </c>
      <c r="AS388" s="110">
        <v>0.0</v>
      </c>
      <c r="AT388" s="110">
        <v>0.0</v>
      </c>
      <c r="AU388" s="110">
        <v>93.0</v>
      </c>
      <c r="AV388" s="142">
        <v>337.0</v>
      </c>
      <c r="AW388" s="80">
        <v>430.0</v>
      </c>
      <c r="AX388" s="113">
        <v>430.0</v>
      </c>
      <c r="AY388" s="117">
        <v>337.0</v>
      </c>
      <c r="AZ388" s="328">
        <v>93.0</v>
      </c>
      <c r="BA388" s="315">
        <v>0.0</v>
      </c>
      <c r="BB388" s="316">
        <v>430.0</v>
      </c>
      <c r="BC388" s="132" t="s">
        <v>178</v>
      </c>
      <c r="BD388" s="132" t="s">
        <v>522</v>
      </c>
      <c r="BE388" s="132" t="s">
        <v>178</v>
      </c>
      <c r="BF388" s="123"/>
      <c r="BG388" s="83">
        <v>1176101.0</v>
      </c>
      <c r="BH388" s="112">
        <v>21.0</v>
      </c>
      <c r="BI388" s="98" t="s">
        <v>155</v>
      </c>
      <c r="BJ388" s="98" t="str">
        <f t="shared" si="1"/>
        <v>INTEGRAL</v>
      </c>
      <c r="BK388" s="98" t="str">
        <f t="shared" si="2"/>
        <v>PROFISSIONAL</v>
      </c>
    </row>
    <row r="389" ht="15.75" customHeight="1">
      <c r="A389" s="111" t="s">
        <v>451</v>
      </c>
      <c r="B389" s="83" t="s">
        <v>1529</v>
      </c>
      <c r="C389" s="83" t="s">
        <v>68</v>
      </c>
      <c r="D389" s="83">
        <v>1112149.0</v>
      </c>
      <c r="E389" s="83"/>
      <c r="F389" s="83">
        <v>2.9304296E7</v>
      </c>
      <c r="G389" s="365" t="s">
        <v>5341</v>
      </c>
      <c r="H389" s="91" t="s">
        <v>1554</v>
      </c>
      <c r="I389" s="114" t="s">
        <v>149</v>
      </c>
      <c r="J389" s="83" t="s">
        <v>150</v>
      </c>
      <c r="K389" s="83" t="s">
        <v>151</v>
      </c>
      <c r="L389" s="83" t="s">
        <v>230</v>
      </c>
      <c r="M389" s="82" t="s">
        <v>5342</v>
      </c>
      <c r="N389" s="82" t="s">
        <v>5343</v>
      </c>
      <c r="O389" s="82" t="s">
        <v>5344</v>
      </c>
      <c r="P389" s="82" t="s">
        <v>5345</v>
      </c>
      <c r="Q389" s="82" t="s">
        <v>5346</v>
      </c>
      <c r="R389" s="82" t="s">
        <v>5348</v>
      </c>
      <c r="S389" s="82" t="s">
        <v>5349</v>
      </c>
      <c r="T389" s="138">
        <v>25.0</v>
      </c>
      <c r="U389" s="323">
        <v>25.0</v>
      </c>
      <c r="V389" s="355">
        <v>0.0</v>
      </c>
      <c r="W389" s="246">
        <v>0.0</v>
      </c>
      <c r="X389" s="246">
        <v>0.0</v>
      </c>
      <c r="Y389" s="246">
        <v>0.0</v>
      </c>
      <c r="Z389" s="80">
        <v>0.0</v>
      </c>
      <c r="AA389" s="140">
        <v>70.0</v>
      </c>
      <c r="AB389" s="109">
        <v>105.0</v>
      </c>
      <c r="AC389" s="109">
        <v>0.0</v>
      </c>
      <c r="AD389" s="141">
        <v>0.0</v>
      </c>
      <c r="AE389" s="80">
        <v>175.0</v>
      </c>
      <c r="AF389" s="140">
        <v>343.0</v>
      </c>
      <c r="AG389" s="109">
        <v>259.0</v>
      </c>
      <c r="AH389" s="109">
        <v>29.0</v>
      </c>
      <c r="AI389" s="141">
        <v>37.0</v>
      </c>
      <c r="AJ389" s="80">
        <v>668.0</v>
      </c>
      <c r="AK389" s="140">
        <v>0.0</v>
      </c>
      <c r="AL389" s="109">
        <v>0.0</v>
      </c>
      <c r="AM389" s="141">
        <v>0.0</v>
      </c>
      <c r="AN389" s="80">
        <v>0.0</v>
      </c>
      <c r="AO389" s="140">
        <v>0.0</v>
      </c>
      <c r="AP389" s="109">
        <v>0.0</v>
      </c>
      <c r="AQ389" s="109">
        <v>57.0</v>
      </c>
      <c r="AR389" s="80">
        <v>57.0</v>
      </c>
      <c r="AS389" s="110">
        <v>0.0</v>
      </c>
      <c r="AT389" s="110">
        <v>0.0</v>
      </c>
      <c r="AU389" s="110">
        <v>0.0</v>
      </c>
      <c r="AV389" s="142">
        <v>0.0</v>
      </c>
      <c r="AW389" s="80">
        <v>0.0</v>
      </c>
      <c r="AX389" s="113">
        <v>900.0</v>
      </c>
      <c r="AY389" s="117">
        <v>814.0</v>
      </c>
      <c r="AZ389" s="328">
        <v>86.0</v>
      </c>
      <c r="BA389" s="315">
        <v>0.0</v>
      </c>
      <c r="BB389" s="316">
        <v>900.0</v>
      </c>
      <c r="BC389" s="132" t="s">
        <v>178</v>
      </c>
      <c r="BD389" s="132" t="s">
        <v>178</v>
      </c>
      <c r="BE389" s="132" t="s">
        <v>178</v>
      </c>
      <c r="BF389" s="123"/>
      <c r="BG389" s="83">
        <v>1112149.0</v>
      </c>
      <c r="BH389" s="112">
        <v>25.0</v>
      </c>
      <c r="BI389" s="98" t="s">
        <v>155</v>
      </c>
      <c r="BJ389" s="98" t="str">
        <f t="shared" si="1"/>
        <v>INTEGRAL</v>
      </c>
      <c r="BK389" s="98" t="str">
        <f t="shared" si="2"/>
        <v>NÃO</v>
      </c>
    </row>
    <row r="390" ht="15.75" customHeight="1">
      <c r="A390" s="111" t="s">
        <v>451</v>
      </c>
      <c r="B390" s="83" t="s">
        <v>1529</v>
      </c>
      <c r="C390" s="83" t="s">
        <v>68</v>
      </c>
      <c r="D390" s="83">
        <v>1112092.0</v>
      </c>
      <c r="E390" s="83"/>
      <c r="F390" s="83">
        <v>2.9304377E7</v>
      </c>
      <c r="G390" s="114" t="s">
        <v>1566</v>
      </c>
      <c r="H390" s="91" t="s">
        <v>1567</v>
      </c>
      <c r="I390" s="114" t="s">
        <v>149</v>
      </c>
      <c r="J390" s="83" t="s">
        <v>150</v>
      </c>
      <c r="K390" s="83" t="s">
        <v>151</v>
      </c>
      <c r="L390" s="83" t="s">
        <v>230</v>
      </c>
      <c r="M390" s="82" t="s">
        <v>5354</v>
      </c>
      <c r="N390" s="82" t="s">
        <v>5355</v>
      </c>
      <c r="O390" s="82" t="s">
        <v>5357</v>
      </c>
      <c r="P390" s="82" t="s">
        <v>5359</v>
      </c>
      <c r="Q390" s="82" t="s">
        <v>5361</v>
      </c>
      <c r="R390" s="82"/>
      <c r="S390" s="82" t="s">
        <v>5362</v>
      </c>
      <c r="T390" s="138">
        <v>23.0</v>
      </c>
      <c r="U390" s="323">
        <v>15.0</v>
      </c>
      <c r="V390" s="106">
        <v>0.0</v>
      </c>
      <c r="W390" s="107">
        <v>0.0</v>
      </c>
      <c r="X390" s="107">
        <v>0.0</v>
      </c>
      <c r="Y390" s="107">
        <v>0.0</v>
      </c>
      <c r="Z390" s="80">
        <v>0.0</v>
      </c>
      <c r="AA390" s="140">
        <v>0.0</v>
      </c>
      <c r="AB390" s="109">
        <v>0.0</v>
      </c>
      <c r="AC390" s="109">
        <v>0.0</v>
      </c>
      <c r="AD390" s="141">
        <v>0.0</v>
      </c>
      <c r="AE390" s="80">
        <v>0.0</v>
      </c>
      <c r="AF390" s="140">
        <v>0.0</v>
      </c>
      <c r="AG390" s="109">
        <v>0.0</v>
      </c>
      <c r="AH390" s="109">
        <v>0.0</v>
      </c>
      <c r="AI390" s="141">
        <v>0.0</v>
      </c>
      <c r="AJ390" s="80">
        <v>0.0</v>
      </c>
      <c r="AK390" s="140">
        <v>0.0</v>
      </c>
      <c r="AL390" s="109">
        <v>0.0</v>
      </c>
      <c r="AM390" s="141">
        <v>0.0</v>
      </c>
      <c r="AN390" s="80">
        <v>0.0</v>
      </c>
      <c r="AO390" s="140">
        <v>0.0</v>
      </c>
      <c r="AP390" s="109">
        <v>0.0</v>
      </c>
      <c r="AQ390" s="109">
        <v>0.0</v>
      </c>
      <c r="AR390" s="80">
        <v>0.0</v>
      </c>
      <c r="AS390" s="110">
        <v>471.0</v>
      </c>
      <c r="AT390" s="110">
        <v>117.0</v>
      </c>
      <c r="AU390" s="110">
        <v>328.0</v>
      </c>
      <c r="AV390" s="142">
        <v>0.0</v>
      </c>
      <c r="AW390" s="80">
        <v>916.0</v>
      </c>
      <c r="AX390" s="113">
        <v>916.0</v>
      </c>
      <c r="AY390" s="117">
        <v>588.0</v>
      </c>
      <c r="AZ390" s="328">
        <v>328.0</v>
      </c>
      <c r="BA390" s="315">
        <v>1.0</v>
      </c>
      <c r="BB390" s="316">
        <v>917.0</v>
      </c>
      <c r="BC390" s="132" t="s">
        <v>178</v>
      </c>
      <c r="BD390" s="132" t="s">
        <v>779</v>
      </c>
      <c r="BE390" s="132" t="s">
        <v>178</v>
      </c>
      <c r="BF390" s="156"/>
      <c r="BG390" s="83">
        <v>1112092.0</v>
      </c>
      <c r="BH390" s="112">
        <v>15.0</v>
      </c>
      <c r="BI390" s="98" t="s">
        <v>155</v>
      </c>
      <c r="BJ390" s="98" t="str">
        <f t="shared" si="1"/>
        <v>NÃO</v>
      </c>
      <c r="BK390" s="98" t="str">
        <f t="shared" si="2"/>
        <v>PROFISSIONAL</v>
      </c>
    </row>
    <row r="391" ht="15.75" customHeight="1">
      <c r="A391" s="111" t="s">
        <v>451</v>
      </c>
      <c r="B391" s="83" t="s">
        <v>1529</v>
      </c>
      <c r="C391" s="83" t="s">
        <v>68</v>
      </c>
      <c r="D391" s="83">
        <v>1146698.0</v>
      </c>
      <c r="E391" s="83"/>
      <c r="F391" s="83">
        <v>2.9305373E7</v>
      </c>
      <c r="G391" s="114" t="s">
        <v>5363</v>
      </c>
      <c r="H391" s="91" t="s">
        <v>1571</v>
      </c>
      <c r="I391" s="114" t="s">
        <v>1572</v>
      </c>
      <c r="J391" s="83" t="s">
        <v>150</v>
      </c>
      <c r="K391" s="83" t="s">
        <v>151</v>
      </c>
      <c r="L391" s="83" t="s">
        <v>230</v>
      </c>
      <c r="M391" s="82" t="s">
        <v>5364</v>
      </c>
      <c r="N391" s="82" t="s">
        <v>5365</v>
      </c>
      <c r="O391" s="82" t="s">
        <v>5366</v>
      </c>
      <c r="P391" s="82" t="s">
        <v>5367</v>
      </c>
      <c r="Q391" s="82" t="s">
        <v>5368</v>
      </c>
      <c r="R391" s="82" t="s">
        <v>5369</v>
      </c>
      <c r="S391" s="82" t="s">
        <v>5370</v>
      </c>
      <c r="T391" s="138">
        <v>20.0</v>
      </c>
      <c r="U391" s="323">
        <v>15.0</v>
      </c>
      <c r="V391" s="106">
        <v>0.0</v>
      </c>
      <c r="W391" s="107">
        <v>0.0</v>
      </c>
      <c r="X391" s="107">
        <v>0.0</v>
      </c>
      <c r="Y391" s="107">
        <v>0.0</v>
      </c>
      <c r="Z391" s="80">
        <v>0.0</v>
      </c>
      <c r="AA391" s="140">
        <v>0.0</v>
      </c>
      <c r="AB391" s="109">
        <v>0.0</v>
      </c>
      <c r="AC391" s="109">
        <v>0.0</v>
      </c>
      <c r="AD391" s="141">
        <v>0.0</v>
      </c>
      <c r="AE391" s="80">
        <v>0.0</v>
      </c>
      <c r="AF391" s="140">
        <v>0.0</v>
      </c>
      <c r="AG391" s="109">
        <v>0.0</v>
      </c>
      <c r="AH391" s="109">
        <v>0.0</v>
      </c>
      <c r="AI391" s="141">
        <v>0.0</v>
      </c>
      <c r="AJ391" s="80">
        <v>0.0</v>
      </c>
      <c r="AK391" s="140">
        <v>0.0</v>
      </c>
      <c r="AL391" s="109">
        <v>0.0</v>
      </c>
      <c r="AM391" s="141">
        <v>0.0</v>
      </c>
      <c r="AN391" s="80">
        <v>0.0</v>
      </c>
      <c r="AO391" s="140">
        <v>0.0</v>
      </c>
      <c r="AP391" s="109">
        <v>0.0</v>
      </c>
      <c r="AQ391" s="109">
        <v>0.0</v>
      </c>
      <c r="AR391" s="80">
        <v>0.0</v>
      </c>
      <c r="AS391" s="110">
        <v>0.0</v>
      </c>
      <c r="AT391" s="110">
        <v>0.0</v>
      </c>
      <c r="AU391" s="110">
        <v>0.0</v>
      </c>
      <c r="AV391" s="142">
        <v>0.0</v>
      </c>
      <c r="AW391" s="80">
        <v>0.0</v>
      </c>
      <c r="AX391" s="346">
        <v>211.0</v>
      </c>
      <c r="AY391" s="347">
        <v>204.0</v>
      </c>
      <c r="AZ391" s="348">
        <v>7.0</v>
      </c>
      <c r="BA391" s="349">
        <v>0.0</v>
      </c>
      <c r="BB391" s="316">
        <v>211.0</v>
      </c>
      <c r="BC391" s="132" t="s">
        <v>553</v>
      </c>
      <c r="BD391" s="132" t="s">
        <v>178</v>
      </c>
      <c r="BE391" s="132" t="s">
        <v>178</v>
      </c>
      <c r="BF391" s="123"/>
      <c r="BG391" s="83">
        <v>1146698.0</v>
      </c>
      <c r="BH391" s="112">
        <v>15.0</v>
      </c>
      <c r="BI391" s="98" t="s">
        <v>155</v>
      </c>
      <c r="BJ391" s="98" t="str">
        <f t="shared" si="1"/>
        <v>NÃO</v>
      </c>
      <c r="BK391" s="98" t="str">
        <f t="shared" si="2"/>
        <v>NÃO</v>
      </c>
    </row>
    <row r="392" ht="15.75" customHeight="1">
      <c r="A392" s="111" t="s">
        <v>451</v>
      </c>
      <c r="B392" s="83" t="s">
        <v>1529</v>
      </c>
      <c r="C392" s="83" t="s">
        <v>164</v>
      </c>
      <c r="D392" s="189">
        <v>1112009.0</v>
      </c>
      <c r="E392" s="189">
        <v>1178412.0</v>
      </c>
      <c r="F392" s="83"/>
      <c r="G392" s="210" t="s">
        <v>5377</v>
      </c>
      <c r="H392" s="91" t="s">
        <v>1575</v>
      </c>
      <c r="I392" s="114" t="s">
        <v>149</v>
      </c>
      <c r="J392" s="83" t="s">
        <v>822</v>
      </c>
      <c r="K392" s="83" t="s">
        <v>168</v>
      </c>
      <c r="L392" s="83" t="s">
        <v>169</v>
      </c>
      <c r="M392" s="82" t="s">
        <v>5318</v>
      </c>
      <c r="N392" s="82" t="s">
        <v>5319</v>
      </c>
      <c r="O392" s="82" t="s">
        <v>5320</v>
      </c>
      <c r="P392" s="82" t="s">
        <v>5321</v>
      </c>
      <c r="Q392" s="82"/>
      <c r="R392" s="82"/>
      <c r="S392" s="82" t="s">
        <v>5322</v>
      </c>
      <c r="T392" s="138">
        <v>12.0</v>
      </c>
      <c r="U392" s="323" t="s">
        <v>171</v>
      </c>
      <c r="V392" s="106">
        <v>0.0</v>
      </c>
      <c r="W392" s="107">
        <v>0.0</v>
      </c>
      <c r="X392" s="107">
        <v>0.0</v>
      </c>
      <c r="Y392" s="107">
        <v>0.0</v>
      </c>
      <c r="Z392" s="80">
        <v>0.0</v>
      </c>
      <c r="AA392" s="140">
        <v>0.0</v>
      </c>
      <c r="AB392" s="109">
        <v>0.0</v>
      </c>
      <c r="AC392" s="109">
        <v>0.0</v>
      </c>
      <c r="AD392" s="141">
        <v>0.0</v>
      </c>
      <c r="AE392" s="80">
        <v>0.0</v>
      </c>
      <c r="AF392" s="140">
        <v>0.0</v>
      </c>
      <c r="AG392" s="109">
        <v>0.0</v>
      </c>
      <c r="AH392" s="109">
        <v>0.0</v>
      </c>
      <c r="AI392" s="141">
        <v>0.0</v>
      </c>
      <c r="AJ392" s="80">
        <v>0.0</v>
      </c>
      <c r="AK392" s="140">
        <v>36.0</v>
      </c>
      <c r="AL392" s="109">
        <v>36.0</v>
      </c>
      <c r="AM392" s="141">
        <v>0.0</v>
      </c>
      <c r="AN392" s="80">
        <v>72.0</v>
      </c>
      <c r="AO392" s="140">
        <v>33.0</v>
      </c>
      <c r="AP392" s="109">
        <v>60.0</v>
      </c>
      <c r="AQ392" s="109">
        <v>0.0</v>
      </c>
      <c r="AR392" s="80">
        <v>93.0</v>
      </c>
      <c r="AS392" s="110">
        <v>0.0</v>
      </c>
      <c r="AT392" s="110">
        <v>0.0</v>
      </c>
      <c r="AU392" s="110">
        <v>0.0</v>
      </c>
      <c r="AV392" s="142">
        <v>0.0</v>
      </c>
      <c r="AW392" s="80">
        <v>0.0</v>
      </c>
      <c r="AX392" s="113">
        <v>165.0</v>
      </c>
      <c r="AY392" s="117">
        <v>165.0</v>
      </c>
      <c r="AZ392" s="328">
        <v>0.0</v>
      </c>
      <c r="BA392" s="315">
        <v>0.0</v>
      </c>
      <c r="BB392" s="316">
        <v>165.0</v>
      </c>
      <c r="BC392" s="132" t="s">
        <v>563</v>
      </c>
      <c r="BD392" s="132" t="s">
        <v>178</v>
      </c>
      <c r="BE392" s="132" t="s">
        <v>178</v>
      </c>
      <c r="BF392" s="181" t="s">
        <v>632</v>
      </c>
      <c r="BG392" s="83">
        <v>1178412.0</v>
      </c>
      <c r="BH392" s="112">
        <v>12.0</v>
      </c>
      <c r="BI392" s="98" t="s">
        <v>155</v>
      </c>
      <c r="BJ392" s="98" t="str">
        <f t="shared" si="1"/>
        <v>NÃO</v>
      </c>
      <c r="BK392" s="98" t="str">
        <f t="shared" si="2"/>
        <v>NÃO</v>
      </c>
    </row>
    <row r="393" ht="15.75" customHeight="1">
      <c r="A393" s="111" t="s">
        <v>451</v>
      </c>
      <c r="B393" s="83" t="s">
        <v>1576</v>
      </c>
      <c r="C393" s="191" t="s">
        <v>68</v>
      </c>
      <c r="D393" s="83">
        <v>1178751.0</v>
      </c>
      <c r="E393" s="237"/>
      <c r="F393" s="237">
        <v>2.9449219E7</v>
      </c>
      <c r="G393" s="119" t="s">
        <v>1577</v>
      </c>
      <c r="H393" s="91" t="s">
        <v>1578</v>
      </c>
      <c r="I393" s="381" t="s">
        <v>1579</v>
      </c>
      <c r="J393" s="83" t="s">
        <v>1460</v>
      </c>
      <c r="K393" s="83" t="s">
        <v>168</v>
      </c>
      <c r="L393" s="83" t="s">
        <v>76</v>
      </c>
      <c r="M393" s="82" t="s">
        <v>5383</v>
      </c>
      <c r="N393" s="82" t="s">
        <v>5384</v>
      </c>
      <c r="O393" s="82" t="s">
        <v>5385</v>
      </c>
      <c r="P393" s="82" t="s">
        <v>5386</v>
      </c>
      <c r="Q393" s="82"/>
      <c r="R393" s="82"/>
      <c r="S393" s="82" t="s">
        <v>5389</v>
      </c>
      <c r="T393" s="138">
        <v>9.0</v>
      </c>
      <c r="U393" s="331">
        <v>7.0</v>
      </c>
      <c r="V393" s="106">
        <v>0.0</v>
      </c>
      <c r="W393" s="107">
        <v>0.0</v>
      </c>
      <c r="X393" s="107">
        <v>0.0</v>
      </c>
      <c r="Y393" s="107">
        <v>0.0</v>
      </c>
      <c r="Z393" s="80">
        <v>0.0</v>
      </c>
      <c r="AA393" s="140">
        <v>0.0</v>
      </c>
      <c r="AB393" s="109">
        <v>0.0</v>
      </c>
      <c r="AC393" s="109">
        <v>0.0</v>
      </c>
      <c r="AD393" s="141">
        <v>0.0</v>
      </c>
      <c r="AE393" s="80">
        <v>0.0</v>
      </c>
      <c r="AF393" s="140">
        <v>138.0</v>
      </c>
      <c r="AG393" s="109">
        <v>101.0</v>
      </c>
      <c r="AH393" s="109">
        <v>0.0</v>
      </c>
      <c r="AI393" s="141">
        <v>0.0</v>
      </c>
      <c r="AJ393" s="80">
        <v>239.0</v>
      </c>
      <c r="AK393" s="140">
        <v>0.0</v>
      </c>
      <c r="AL393" s="109">
        <v>0.0</v>
      </c>
      <c r="AM393" s="141">
        <v>0.0</v>
      </c>
      <c r="AN393" s="80">
        <v>0.0</v>
      </c>
      <c r="AO393" s="140">
        <v>0.0</v>
      </c>
      <c r="AP393" s="109">
        <v>0.0</v>
      </c>
      <c r="AQ393" s="109">
        <v>88.0</v>
      </c>
      <c r="AR393" s="80">
        <v>88.0</v>
      </c>
      <c r="AS393" s="110">
        <v>0.0</v>
      </c>
      <c r="AT393" s="110">
        <v>0.0</v>
      </c>
      <c r="AU393" s="110">
        <v>47.0</v>
      </c>
      <c r="AV393" s="142">
        <v>0.0</v>
      </c>
      <c r="AW393" s="80">
        <v>47.0</v>
      </c>
      <c r="AX393" s="113">
        <v>374.0</v>
      </c>
      <c r="AY393" s="117">
        <v>239.0</v>
      </c>
      <c r="AZ393" s="328">
        <v>135.0</v>
      </c>
      <c r="BA393" s="315">
        <v>0.0</v>
      </c>
      <c r="BB393" s="316">
        <v>374.0</v>
      </c>
      <c r="BC393" s="132" t="s">
        <v>178</v>
      </c>
      <c r="BD393" s="132" t="s">
        <v>178</v>
      </c>
      <c r="BE393" s="132" t="s">
        <v>178</v>
      </c>
      <c r="BF393" s="156"/>
      <c r="BG393" s="83">
        <v>1178751.0</v>
      </c>
      <c r="BH393" s="112">
        <v>7.0</v>
      </c>
      <c r="BI393" s="98" t="s">
        <v>155</v>
      </c>
      <c r="BJ393" s="98" t="str">
        <f t="shared" si="1"/>
        <v>NÃO</v>
      </c>
      <c r="BK393" s="98" t="str">
        <f t="shared" si="2"/>
        <v>PROFISSIONAL</v>
      </c>
    </row>
    <row r="394" ht="15.75" customHeight="1">
      <c r="A394" s="111" t="s">
        <v>451</v>
      </c>
      <c r="B394" s="83" t="s">
        <v>1576</v>
      </c>
      <c r="C394" s="83" t="s">
        <v>68</v>
      </c>
      <c r="D394" s="82">
        <v>1111347.0</v>
      </c>
      <c r="E394" s="82"/>
      <c r="F394" s="83">
        <v>2.930676E7</v>
      </c>
      <c r="G394" s="91" t="s">
        <v>5391</v>
      </c>
      <c r="H394" s="91" t="s">
        <v>1582</v>
      </c>
      <c r="I394" s="187" t="s">
        <v>149</v>
      </c>
      <c r="J394" s="83" t="s">
        <v>150</v>
      </c>
      <c r="K394" s="83" t="s">
        <v>151</v>
      </c>
      <c r="L394" s="83" t="s">
        <v>230</v>
      </c>
      <c r="M394" s="82" t="s">
        <v>5392</v>
      </c>
      <c r="N394" s="82" t="s">
        <v>5393</v>
      </c>
      <c r="O394" s="82" t="s">
        <v>5394</v>
      </c>
      <c r="P394" s="82" t="s">
        <v>5395</v>
      </c>
      <c r="Q394" s="82"/>
      <c r="R394" s="82"/>
      <c r="S394" s="82" t="s">
        <v>5397</v>
      </c>
      <c r="T394" s="138">
        <v>7.0</v>
      </c>
      <c r="U394" s="391" t="s">
        <v>5398</v>
      </c>
      <c r="V394" s="106">
        <v>0.0</v>
      </c>
      <c r="W394" s="107">
        <v>0.0</v>
      </c>
      <c r="X394" s="107">
        <v>0.0</v>
      </c>
      <c r="Y394" s="107">
        <v>0.0</v>
      </c>
      <c r="Z394" s="80">
        <v>0.0</v>
      </c>
      <c r="AA394" s="140">
        <v>0.0</v>
      </c>
      <c r="AB394" s="109">
        <v>0.0</v>
      </c>
      <c r="AC394" s="109">
        <v>0.0</v>
      </c>
      <c r="AD394" s="141">
        <v>0.0</v>
      </c>
      <c r="AE394" s="80">
        <v>0.0</v>
      </c>
      <c r="AF394" s="140">
        <v>230.0</v>
      </c>
      <c r="AG394" s="109">
        <v>238.0</v>
      </c>
      <c r="AH394" s="109">
        <v>0.0</v>
      </c>
      <c r="AI394" s="141">
        <v>113.0</v>
      </c>
      <c r="AJ394" s="80">
        <v>581.0</v>
      </c>
      <c r="AK394" s="140">
        <v>0.0</v>
      </c>
      <c r="AL394" s="109">
        <v>0.0</v>
      </c>
      <c r="AM394" s="141">
        <v>0.0</v>
      </c>
      <c r="AN394" s="80">
        <v>0.0</v>
      </c>
      <c r="AO394" s="140">
        <v>0.0</v>
      </c>
      <c r="AP394" s="109">
        <v>0.0</v>
      </c>
      <c r="AQ394" s="109">
        <v>140.0</v>
      </c>
      <c r="AR394" s="80">
        <v>140.0</v>
      </c>
      <c r="AS394" s="110">
        <v>0.0</v>
      </c>
      <c r="AT394" s="110">
        <v>0.0</v>
      </c>
      <c r="AU394" s="110">
        <v>0.0</v>
      </c>
      <c r="AV394" s="142">
        <v>0.0</v>
      </c>
      <c r="AW394" s="80">
        <v>0.0</v>
      </c>
      <c r="AX394" s="113">
        <v>721.0</v>
      </c>
      <c r="AY394" s="117">
        <v>581.0</v>
      </c>
      <c r="AZ394" s="328">
        <v>140.0</v>
      </c>
      <c r="BA394" s="315">
        <v>0.0</v>
      </c>
      <c r="BB394" s="316">
        <v>721.0</v>
      </c>
      <c r="BC394" s="132" t="s">
        <v>178</v>
      </c>
      <c r="BD394" s="132" t="s">
        <v>178</v>
      </c>
      <c r="BE394" s="132" t="s">
        <v>178</v>
      </c>
      <c r="BF394" s="156"/>
      <c r="BG394" s="83">
        <v>1111347.0</v>
      </c>
      <c r="BH394" s="112">
        <v>6.0</v>
      </c>
      <c r="BI394" s="98" t="s">
        <v>155</v>
      </c>
      <c r="BJ394" s="98" t="str">
        <f t="shared" si="1"/>
        <v>INTEGRAL</v>
      </c>
      <c r="BK394" s="98" t="str">
        <f t="shared" si="2"/>
        <v>NÃO</v>
      </c>
    </row>
    <row r="395" ht="15.75" customHeight="1">
      <c r="A395" s="111" t="s">
        <v>451</v>
      </c>
      <c r="B395" s="83" t="s">
        <v>1584</v>
      </c>
      <c r="C395" s="83" t="s">
        <v>68</v>
      </c>
      <c r="D395" s="83">
        <v>1112262.0</v>
      </c>
      <c r="E395" s="83"/>
      <c r="F395" s="83">
        <v>2.9308046E7</v>
      </c>
      <c r="G395" s="184" t="s">
        <v>5402</v>
      </c>
      <c r="H395" s="91" t="s">
        <v>1586</v>
      </c>
      <c r="I395" s="298" t="s">
        <v>149</v>
      </c>
      <c r="J395" s="83" t="s">
        <v>150</v>
      </c>
      <c r="K395" s="83" t="s">
        <v>151</v>
      </c>
      <c r="L395" s="83" t="s">
        <v>169</v>
      </c>
      <c r="M395" s="82" t="s">
        <v>5403</v>
      </c>
      <c r="N395" s="82" t="s">
        <v>5404</v>
      </c>
      <c r="O395" s="82" t="s">
        <v>5405</v>
      </c>
      <c r="P395" s="82" t="s">
        <v>5406</v>
      </c>
      <c r="Q395" s="82"/>
      <c r="R395" s="82"/>
      <c r="S395" s="82" t="s">
        <v>5407</v>
      </c>
      <c r="T395" s="138">
        <v>7.0</v>
      </c>
      <c r="U395" s="331" t="s">
        <v>5408</v>
      </c>
      <c r="V395" s="106">
        <v>0.0</v>
      </c>
      <c r="W395" s="107">
        <v>0.0</v>
      </c>
      <c r="X395" s="107">
        <v>0.0</v>
      </c>
      <c r="Y395" s="107">
        <v>0.0</v>
      </c>
      <c r="Z395" s="80">
        <v>0.0</v>
      </c>
      <c r="AA395" s="140">
        <v>0.0</v>
      </c>
      <c r="AB395" s="109">
        <v>0.0</v>
      </c>
      <c r="AC395" s="109">
        <v>0.0</v>
      </c>
      <c r="AD395" s="141">
        <v>0.0</v>
      </c>
      <c r="AE395" s="80">
        <v>0.0</v>
      </c>
      <c r="AF395" s="140">
        <v>40.0</v>
      </c>
      <c r="AG395" s="109">
        <v>0.0</v>
      </c>
      <c r="AH395" s="109">
        <v>0.0</v>
      </c>
      <c r="AI395" s="141">
        <v>107.0</v>
      </c>
      <c r="AJ395" s="80">
        <v>147.0</v>
      </c>
      <c r="AK395" s="140">
        <v>0.0</v>
      </c>
      <c r="AL395" s="109">
        <v>0.0</v>
      </c>
      <c r="AM395" s="141">
        <v>0.0</v>
      </c>
      <c r="AN395" s="80">
        <v>0.0</v>
      </c>
      <c r="AO395" s="140">
        <v>0.0</v>
      </c>
      <c r="AP395" s="109">
        <v>0.0</v>
      </c>
      <c r="AQ395" s="109">
        <v>68.0</v>
      </c>
      <c r="AR395" s="80">
        <v>68.0</v>
      </c>
      <c r="AS395" s="110">
        <v>0.0</v>
      </c>
      <c r="AT395" s="110">
        <v>0.0</v>
      </c>
      <c r="AU395" s="110">
        <v>0.0</v>
      </c>
      <c r="AV395" s="142">
        <v>0.0</v>
      </c>
      <c r="AW395" s="80">
        <v>0.0</v>
      </c>
      <c r="AX395" s="113">
        <v>215.0</v>
      </c>
      <c r="AY395" s="117">
        <v>147.0</v>
      </c>
      <c r="AZ395" s="328">
        <v>68.0</v>
      </c>
      <c r="BA395" s="315">
        <v>0.0</v>
      </c>
      <c r="BB395" s="316">
        <v>215.0</v>
      </c>
      <c r="BC395" s="132" t="s">
        <v>178</v>
      </c>
      <c r="BD395" s="132" t="s">
        <v>178</v>
      </c>
      <c r="BE395" s="132" t="s">
        <v>178</v>
      </c>
      <c r="BF395" s="123"/>
      <c r="BG395" s="83">
        <v>1112262.0</v>
      </c>
      <c r="BH395" s="112">
        <v>9.0</v>
      </c>
      <c r="BI395" s="98" t="s">
        <v>176</v>
      </c>
      <c r="BJ395" s="98" t="str">
        <f t="shared" si="1"/>
        <v>INTEGRAL</v>
      </c>
      <c r="BK395" s="98" t="str">
        <f t="shared" si="2"/>
        <v>NÃO</v>
      </c>
    </row>
    <row r="396" ht="15.75" customHeight="1">
      <c r="A396" s="111" t="s">
        <v>451</v>
      </c>
      <c r="B396" s="83" t="s">
        <v>1584</v>
      </c>
      <c r="C396" s="83" t="s">
        <v>164</v>
      </c>
      <c r="D396" s="83">
        <v>1112262.0</v>
      </c>
      <c r="E396" s="83">
        <v>1178505.0</v>
      </c>
      <c r="F396" s="83"/>
      <c r="G396" s="185" t="s">
        <v>5412</v>
      </c>
      <c r="H396" s="91" t="s">
        <v>1590</v>
      </c>
      <c r="I396" s="114" t="s">
        <v>149</v>
      </c>
      <c r="J396" s="83" t="s">
        <v>471</v>
      </c>
      <c r="K396" s="83" t="s">
        <v>151</v>
      </c>
      <c r="L396" s="83" t="s">
        <v>169</v>
      </c>
      <c r="M396" s="82" t="s">
        <v>5403</v>
      </c>
      <c r="N396" s="82" t="s">
        <v>5404</v>
      </c>
      <c r="O396" s="82" t="s">
        <v>5405</v>
      </c>
      <c r="P396" s="82" t="s">
        <v>5406</v>
      </c>
      <c r="Q396" s="82"/>
      <c r="R396" s="82"/>
      <c r="S396" s="82" t="s">
        <v>5407</v>
      </c>
      <c r="T396" s="138">
        <v>5.0</v>
      </c>
      <c r="U396" s="389">
        <v>3.0</v>
      </c>
      <c r="V396" s="106">
        <v>0.0</v>
      </c>
      <c r="W396" s="107">
        <v>0.0</v>
      </c>
      <c r="X396" s="107">
        <v>0.0</v>
      </c>
      <c r="Y396" s="107">
        <v>0.0</v>
      </c>
      <c r="Z396" s="80">
        <v>0.0</v>
      </c>
      <c r="AA396" s="140">
        <v>0.0</v>
      </c>
      <c r="AB396" s="109">
        <v>0.0</v>
      </c>
      <c r="AC396" s="109">
        <v>0.0</v>
      </c>
      <c r="AD396" s="141">
        <v>0.0</v>
      </c>
      <c r="AE396" s="80">
        <v>0.0</v>
      </c>
      <c r="AF396" s="140">
        <v>61.0</v>
      </c>
      <c r="AG396" s="109">
        <v>0.0</v>
      </c>
      <c r="AH396" s="109">
        <v>0.0</v>
      </c>
      <c r="AI396" s="141">
        <v>0.0</v>
      </c>
      <c r="AJ396" s="80">
        <v>61.0</v>
      </c>
      <c r="AK396" s="140">
        <v>0.0</v>
      </c>
      <c r="AL396" s="109">
        <v>0.0</v>
      </c>
      <c r="AM396" s="141">
        <v>0.0</v>
      </c>
      <c r="AN396" s="80">
        <v>0.0</v>
      </c>
      <c r="AO396" s="140">
        <v>0.0</v>
      </c>
      <c r="AP396" s="109">
        <v>0.0</v>
      </c>
      <c r="AQ396" s="109">
        <v>24.0</v>
      </c>
      <c r="AR396" s="80">
        <v>24.0</v>
      </c>
      <c r="AS396" s="110">
        <v>0.0</v>
      </c>
      <c r="AT396" s="110">
        <v>0.0</v>
      </c>
      <c r="AU396" s="110">
        <v>0.0</v>
      </c>
      <c r="AV396" s="142">
        <v>0.0</v>
      </c>
      <c r="AW396" s="80">
        <v>0.0</v>
      </c>
      <c r="AX396" s="113">
        <v>85.0</v>
      </c>
      <c r="AY396" s="117">
        <v>61.0</v>
      </c>
      <c r="AZ396" s="328">
        <v>24.0</v>
      </c>
      <c r="BA396" s="315">
        <v>0.0</v>
      </c>
      <c r="BB396" s="316">
        <v>85.0</v>
      </c>
      <c r="BC396" s="132" t="s">
        <v>373</v>
      </c>
      <c r="BD396" s="132" t="s">
        <v>178</v>
      </c>
      <c r="BE396" s="132" t="s">
        <v>178</v>
      </c>
      <c r="BF396" s="123"/>
      <c r="BG396" s="83">
        <v>1178505.0</v>
      </c>
      <c r="BH396" s="112">
        <v>3.0</v>
      </c>
      <c r="BI396" s="98" t="s">
        <v>155</v>
      </c>
      <c r="BJ396" s="98" t="str">
        <f t="shared" si="1"/>
        <v>NÃO</v>
      </c>
      <c r="BK396" s="98" t="str">
        <f t="shared" si="2"/>
        <v>NÃO</v>
      </c>
    </row>
    <row r="397" ht="15.75" customHeight="1">
      <c r="A397" s="111" t="s">
        <v>451</v>
      </c>
      <c r="B397" s="83" t="s">
        <v>1591</v>
      </c>
      <c r="C397" s="83" t="s">
        <v>68</v>
      </c>
      <c r="D397" s="83">
        <v>1112408.0</v>
      </c>
      <c r="E397" s="83"/>
      <c r="F397" s="83">
        <v>2.9308747E7</v>
      </c>
      <c r="G397" s="119" t="s">
        <v>1592</v>
      </c>
      <c r="H397" s="91" t="s">
        <v>1593</v>
      </c>
      <c r="I397" s="114" t="s">
        <v>149</v>
      </c>
      <c r="J397" s="83" t="s">
        <v>150</v>
      </c>
      <c r="K397" s="83" t="s">
        <v>151</v>
      </c>
      <c r="L397" s="83" t="s">
        <v>152</v>
      </c>
      <c r="M397" s="82" t="s">
        <v>5417</v>
      </c>
      <c r="N397" s="82" t="s">
        <v>5418</v>
      </c>
      <c r="O397" s="82" t="s">
        <v>5419</v>
      </c>
      <c r="P397" s="82" t="s">
        <v>5420</v>
      </c>
      <c r="Q397" s="82" t="s">
        <v>5421</v>
      </c>
      <c r="R397" s="82" t="s">
        <v>5422</v>
      </c>
      <c r="S397" s="82" t="s">
        <v>5423</v>
      </c>
      <c r="T397" s="138">
        <v>13.0</v>
      </c>
      <c r="U397" s="414" t="s">
        <v>5424</v>
      </c>
      <c r="V397" s="106">
        <v>0.0</v>
      </c>
      <c r="W397" s="107">
        <v>0.0</v>
      </c>
      <c r="X397" s="107">
        <v>0.0</v>
      </c>
      <c r="Y397" s="107">
        <v>0.0</v>
      </c>
      <c r="Z397" s="80">
        <v>0.0</v>
      </c>
      <c r="AA397" s="140">
        <v>0.0</v>
      </c>
      <c r="AB397" s="109">
        <v>0.0</v>
      </c>
      <c r="AC397" s="109">
        <v>0.0</v>
      </c>
      <c r="AD397" s="141">
        <v>0.0</v>
      </c>
      <c r="AE397" s="80">
        <v>0.0</v>
      </c>
      <c r="AF397" s="140">
        <v>312.0</v>
      </c>
      <c r="AG397" s="109">
        <v>82.0</v>
      </c>
      <c r="AH397" s="109">
        <v>0.0</v>
      </c>
      <c r="AI397" s="141">
        <v>94.0</v>
      </c>
      <c r="AJ397" s="80">
        <v>488.0</v>
      </c>
      <c r="AK397" s="140">
        <v>0.0</v>
      </c>
      <c r="AL397" s="109">
        <v>0.0</v>
      </c>
      <c r="AM397" s="141">
        <v>0.0</v>
      </c>
      <c r="AN397" s="80">
        <v>0.0</v>
      </c>
      <c r="AO397" s="140">
        <v>0.0</v>
      </c>
      <c r="AP397" s="109">
        <v>8.0</v>
      </c>
      <c r="AQ397" s="109">
        <v>149.0</v>
      </c>
      <c r="AR397" s="80">
        <v>157.0</v>
      </c>
      <c r="AS397" s="110">
        <v>0.0</v>
      </c>
      <c r="AT397" s="110">
        <v>0.0</v>
      </c>
      <c r="AU397" s="110">
        <v>0.0</v>
      </c>
      <c r="AV397" s="142">
        <v>0.0</v>
      </c>
      <c r="AW397" s="80">
        <v>0.0</v>
      </c>
      <c r="AX397" s="113">
        <v>645.0</v>
      </c>
      <c r="AY397" s="117">
        <v>496.0</v>
      </c>
      <c r="AZ397" s="328">
        <v>149.0</v>
      </c>
      <c r="BA397" s="315">
        <v>0.0</v>
      </c>
      <c r="BB397" s="316">
        <v>645.0</v>
      </c>
      <c r="BC397" s="132" t="s">
        <v>178</v>
      </c>
      <c r="BD397" s="132" t="s">
        <v>178</v>
      </c>
      <c r="BE397" s="132" t="s">
        <v>178</v>
      </c>
      <c r="BF397" s="123"/>
      <c r="BG397" s="83">
        <v>1112408.0</v>
      </c>
      <c r="BH397" s="112">
        <v>12.0</v>
      </c>
      <c r="BI397" s="98" t="s">
        <v>155</v>
      </c>
      <c r="BJ397" s="98" t="str">
        <f t="shared" si="1"/>
        <v>INTEGRAL</v>
      </c>
      <c r="BK397" s="98" t="str">
        <f t="shared" si="2"/>
        <v>NÃO</v>
      </c>
    </row>
    <row r="398" ht="15.75" customHeight="1">
      <c r="A398" s="111" t="s">
        <v>451</v>
      </c>
      <c r="B398" s="83" t="s">
        <v>1596</v>
      </c>
      <c r="C398" s="83" t="s">
        <v>68</v>
      </c>
      <c r="D398" s="83">
        <v>1158688.0</v>
      </c>
      <c r="E398" s="83"/>
      <c r="F398" s="83">
        <v>2.9309425E7</v>
      </c>
      <c r="G398" s="119" t="s">
        <v>5426</v>
      </c>
      <c r="H398" s="91" t="s">
        <v>1598</v>
      </c>
      <c r="I398" s="114" t="s">
        <v>1599</v>
      </c>
      <c r="J398" s="83" t="s">
        <v>150</v>
      </c>
      <c r="K398" s="83" t="s">
        <v>5428</v>
      </c>
      <c r="L398" s="83" t="s">
        <v>76</v>
      </c>
      <c r="M398" s="82" t="s">
        <v>5430</v>
      </c>
      <c r="N398" s="82" t="s">
        <v>5431</v>
      </c>
      <c r="O398" s="82" t="s">
        <v>5432</v>
      </c>
      <c r="P398" s="82" t="s">
        <v>5434</v>
      </c>
      <c r="Q398" s="82"/>
      <c r="R398" s="82"/>
      <c r="S398" s="82" t="s">
        <v>5435</v>
      </c>
      <c r="T398" s="138">
        <v>10.0</v>
      </c>
      <c r="U398" s="331">
        <v>10.0</v>
      </c>
      <c r="V398" s="106">
        <v>0.0</v>
      </c>
      <c r="W398" s="107">
        <v>0.0</v>
      </c>
      <c r="X398" s="107">
        <v>0.0</v>
      </c>
      <c r="Y398" s="107">
        <v>0.0</v>
      </c>
      <c r="Z398" s="80">
        <v>0.0</v>
      </c>
      <c r="AA398" s="140">
        <v>0.0</v>
      </c>
      <c r="AB398" s="109">
        <v>0.0</v>
      </c>
      <c r="AC398" s="109">
        <v>0.0</v>
      </c>
      <c r="AD398" s="141">
        <v>0.0</v>
      </c>
      <c r="AE398" s="80">
        <v>0.0</v>
      </c>
      <c r="AF398" s="140">
        <v>149.0</v>
      </c>
      <c r="AG398" s="109">
        <v>0.0</v>
      </c>
      <c r="AH398" s="109">
        <v>29.0</v>
      </c>
      <c r="AI398" s="141">
        <v>143.0</v>
      </c>
      <c r="AJ398" s="80">
        <v>321.0</v>
      </c>
      <c r="AK398" s="140">
        <v>0.0</v>
      </c>
      <c r="AL398" s="109">
        <v>0.0</v>
      </c>
      <c r="AM398" s="141">
        <v>0.0</v>
      </c>
      <c r="AN398" s="80">
        <v>0.0</v>
      </c>
      <c r="AO398" s="140">
        <v>0.0</v>
      </c>
      <c r="AP398" s="109">
        <v>0.0</v>
      </c>
      <c r="AQ398" s="109">
        <v>36.0</v>
      </c>
      <c r="AR398" s="80">
        <v>36.0</v>
      </c>
      <c r="AS398" s="110">
        <v>0.0</v>
      </c>
      <c r="AT398" s="110">
        <v>0.0</v>
      </c>
      <c r="AU398" s="110">
        <v>0.0</v>
      </c>
      <c r="AV398" s="142">
        <v>0.0</v>
      </c>
      <c r="AW398" s="80">
        <v>0.0</v>
      </c>
      <c r="AX398" s="113">
        <v>357.0</v>
      </c>
      <c r="AY398" s="117">
        <v>292.0</v>
      </c>
      <c r="AZ398" s="328">
        <v>65.0</v>
      </c>
      <c r="BA398" s="315">
        <v>0.0</v>
      </c>
      <c r="BB398" s="316">
        <v>357.0</v>
      </c>
      <c r="BC398" s="132" t="s">
        <v>178</v>
      </c>
      <c r="BD398" s="132" t="s">
        <v>178</v>
      </c>
      <c r="BE398" s="132" t="s">
        <v>178</v>
      </c>
      <c r="BF398" s="123"/>
      <c r="BG398" s="83">
        <v>1158688.0</v>
      </c>
      <c r="BH398" s="112">
        <v>10.0</v>
      </c>
      <c r="BI398" s="98" t="s">
        <v>155</v>
      </c>
      <c r="BJ398" s="98" t="str">
        <f t="shared" si="1"/>
        <v>INTEGRAL</v>
      </c>
      <c r="BK398" s="98" t="str">
        <f t="shared" si="2"/>
        <v>NÃO</v>
      </c>
    </row>
    <row r="399" ht="15.75" customHeight="1">
      <c r="A399" s="111" t="s">
        <v>451</v>
      </c>
      <c r="B399" s="83" t="s">
        <v>1603</v>
      </c>
      <c r="C399" s="83" t="s">
        <v>68</v>
      </c>
      <c r="D399" s="83">
        <v>1112602.0</v>
      </c>
      <c r="E399" s="83"/>
      <c r="F399" s="83">
        <v>2.9310512E7</v>
      </c>
      <c r="G399" s="114" t="s">
        <v>5436</v>
      </c>
      <c r="H399" s="91" t="s">
        <v>1605</v>
      </c>
      <c r="I399" s="114" t="s">
        <v>149</v>
      </c>
      <c r="J399" s="83" t="s">
        <v>150</v>
      </c>
      <c r="K399" s="83" t="s">
        <v>151</v>
      </c>
      <c r="L399" s="83" t="s">
        <v>169</v>
      </c>
      <c r="M399" s="82" t="s">
        <v>5437</v>
      </c>
      <c r="N399" s="82" t="s">
        <v>5438</v>
      </c>
      <c r="O399" s="82" t="s">
        <v>5439</v>
      </c>
      <c r="P399" s="82" t="s">
        <v>5441</v>
      </c>
      <c r="Q399" s="82"/>
      <c r="R399" s="82"/>
      <c r="S399" s="82" t="s">
        <v>5442</v>
      </c>
      <c r="T399" s="138">
        <v>5.0</v>
      </c>
      <c r="U399" s="415" t="s">
        <v>5443</v>
      </c>
      <c r="V399" s="106">
        <v>0.0</v>
      </c>
      <c r="W399" s="107">
        <v>0.0</v>
      </c>
      <c r="X399" s="107">
        <v>0.0</v>
      </c>
      <c r="Y399" s="107">
        <v>0.0</v>
      </c>
      <c r="Z399" s="80">
        <v>0.0</v>
      </c>
      <c r="AA399" s="140">
        <v>0.0</v>
      </c>
      <c r="AB399" s="109">
        <v>0.0</v>
      </c>
      <c r="AC399" s="109">
        <v>0.0</v>
      </c>
      <c r="AD399" s="141">
        <v>0.0</v>
      </c>
      <c r="AE399" s="80">
        <v>0.0</v>
      </c>
      <c r="AF399" s="140">
        <v>101.0</v>
      </c>
      <c r="AG399" s="109">
        <v>80.0</v>
      </c>
      <c r="AH399" s="109">
        <v>0.0</v>
      </c>
      <c r="AI399" s="141">
        <v>0.0</v>
      </c>
      <c r="AJ399" s="80">
        <v>181.0</v>
      </c>
      <c r="AK399" s="140">
        <v>0.0</v>
      </c>
      <c r="AL399" s="109">
        <v>0.0</v>
      </c>
      <c r="AM399" s="141">
        <v>0.0</v>
      </c>
      <c r="AN399" s="80">
        <v>0.0</v>
      </c>
      <c r="AO399" s="140">
        <v>0.0</v>
      </c>
      <c r="AP399" s="109">
        <v>0.0</v>
      </c>
      <c r="AQ399" s="109">
        <v>23.0</v>
      </c>
      <c r="AR399" s="80">
        <v>23.0</v>
      </c>
      <c r="AS399" s="110">
        <v>0.0</v>
      </c>
      <c r="AT399" s="110">
        <v>0.0</v>
      </c>
      <c r="AU399" s="110">
        <v>0.0</v>
      </c>
      <c r="AV399" s="142">
        <v>0.0</v>
      </c>
      <c r="AW399" s="80">
        <v>0.0</v>
      </c>
      <c r="AX399" s="113">
        <v>204.0</v>
      </c>
      <c r="AY399" s="117">
        <v>181.0</v>
      </c>
      <c r="AZ399" s="328">
        <v>23.0</v>
      </c>
      <c r="BA399" s="315">
        <v>0.0</v>
      </c>
      <c r="BB399" s="316">
        <v>204.0</v>
      </c>
      <c r="BC399" s="132" t="s">
        <v>178</v>
      </c>
      <c r="BD399" s="132" t="s">
        <v>178</v>
      </c>
      <c r="BE399" s="132" t="s">
        <v>178</v>
      </c>
      <c r="BF399" s="123"/>
      <c r="BG399" s="83">
        <v>1112602.0</v>
      </c>
      <c r="BH399" s="112">
        <v>5.0</v>
      </c>
      <c r="BI399" s="98" t="s">
        <v>155</v>
      </c>
      <c r="BJ399" s="98" t="str">
        <f t="shared" si="1"/>
        <v>NÃO</v>
      </c>
      <c r="BK399" s="98" t="str">
        <f t="shared" si="2"/>
        <v>NÃO</v>
      </c>
    </row>
    <row r="400" ht="15.75" customHeight="1">
      <c r="A400" s="111" t="s">
        <v>451</v>
      </c>
      <c r="B400" s="83" t="s">
        <v>1607</v>
      </c>
      <c r="C400" s="83" t="s">
        <v>68</v>
      </c>
      <c r="D400" s="83">
        <v>1159277.0</v>
      </c>
      <c r="E400" s="83"/>
      <c r="F400" s="83">
        <v>2.931066E7</v>
      </c>
      <c r="G400" s="184" t="s">
        <v>1608</v>
      </c>
      <c r="H400" s="91" t="s">
        <v>1609</v>
      </c>
      <c r="I400" s="114" t="s">
        <v>149</v>
      </c>
      <c r="J400" s="83" t="s">
        <v>150</v>
      </c>
      <c r="K400" s="83" t="s">
        <v>151</v>
      </c>
      <c r="L400" s="83" t="s">
        <v>76</v>
      </c>
      <c r="M400" s="82" t="s">
        <v>5451</v>
      </c>
      <c r="N400" s="82" t="s">
        <v>5452</v>
      </c>
      <c r="O400" s="82" t="s">
        <v>5453</v>
      </c>
      <c r="P400" s="82" t="s">
        <v>5454</v>
      </c>
      <c r="Q400" s="82"/>
      <c r="R400" s="82"/>
      <c r="S400" s="82" t="s">
        <v>5455</v>
      </c>
      <c r="T400" s="138">
        <v>7.0</v>
      </c>
      <c r="U400" s="406" t="s">
        <v>5459</v>
      </c>
      <c r="V400" s="106">
        <v>0.0</v>
      </c>
      <c r="W400" s="107">
        <v>0.0</v>
      </c>
      <c r="X400" s="107">
        <v>0.0</v>
      </c>
      <c r="Y400" s="107">
        <v>0.0</v>
      </c>
      <c r="Z400" s="80">
        <v>0.0</v>
      </c>
      <c r="AA400" s="140">
        <v>0.0</v>
      </c>
      <c r="AB400" s="109">
        <v>0.0</v>
      </c>
      <c r="AC400" s="109">
        <v>0.0</v>
      </c>
      <c r="AD400" s="141">
        <v>0.0</v>
      </c>
      <c r="AE400" s="80">
        <v>0.0</v>
      </c>
      <c r="AF400" s="140">
        <v>0.0</v>
      </c>
      <c r="AG400" s="109">
        <v>0.0</v>
      </c>
      <c r="AH400" s="109">
        <v>0.0</v>
      </c>
      <c r="AI400" s="141">
        <v>142.0</v>
      </c>
      <c r="AJ400" s="80">
        <v>142.0</v>
      </c>
      <c r="AK400" s="140">
        <v>0.0</v>
      </c>
      <c r="AL400" s="109">
        <v>0.0</v>
      </c>
      <c r="AM400" s="141">
        <v>0.0</v>
      </c>
      <c r="AN400" s="80">
        <v>0.0</v>
      </c>
      <c r="AO400" s="140">
        <v>0.0</v>
      </c>
      <c r="AP400" s="109">
        <v>0.0</v>
      </c>
      <c r="AQ400" s="109">
        <v>78.0</v>
      </c>
      <c r="AR400" s="80">
        <v>78.0</v>
      </c>
      <c r="AS400" s="110">
        <v>0.0</v>
      </c>
      <c r="AT400" s="110">
        <v>0.0</v>
      </c>
      <c r="AU400" s="110">
        <v>35.0</v>
      </c>
      <c r="AV400" s="142">
        <v>0.0</v>
      </c>
      <c r="AW400" s="80">
        <v>35.0</v>
      </c>
      <c r="AX400" s="113">
        <v>255.0</v>
      </c>
      <c r="AY400" s="117">
        <v>142.0</v>
      </c>
      <c r="AZ400" s="328">
        <v>113.0</v>
      </c>
      <c r="BA400" s="315">
        <v>0.0</v>
      </c>
      <c r="BB400" s="316">
        <v>255.0</v>
      </c>
      <c r="BC400" s="132" t="s">
        <v>178</v>
      </c>
      <c r="BD400" s="132" t="s">
        <v>178</v>
      </c>
      <c r="BE400" s="132" t="s">
        <v>178</v>
      </c>
      <c r="BF400" s="156"/>
      <c r="BG400" s="83">
        <v>1159277.0</v>
      </c>
      <c r="BH400" s="112">
        <v>8.0</v>
      </c>
      <c r="BI400" s="98" t="s">
        <v>155</v>
      </c>
      <c r="BJ400" s="98" t="str">
        <f t="shared" si="1"/>
        <v>INTEGRAL</v>
      </c>
      <c r="BK400" s="98" t="str">
        <f t="shared" si="2"/>
        <v>PROFISSIONAL</v>
      </c>
    </row>
    <row r="401" ht="15.75" customHeight="1">
      <c r="A401" s="111" t="s">
        <v>451</v>
      </c>
      <c r="B401" s="83" t="s">
        <v>1612</v>
      </c>
      <c r="C401" s="83" t="s">
        <v>68</v>
      </c>
      <c r="D401" s="83">
        <v>1159641.0</v>
      </c>
      <c r="E401" s="83"/>
      <c r="F401" s="83">
        <v>2.928815E7</v>
      </c>
      <c r="G401" s="119" t="s">
        <v>1613</v>
      </c>
      <c r="H401" s="91" t="s">
        <v>1614</v>
      </c>
      <c r="I401" s="114" t="s">
        <v>1615</v>
      </c>
      <c r="J401" s="83" t="s">
        <v>244</v>
      </c>
      <c r="K401" s="83" t="s">
        <v>151</v>
      </c>
      <c r="L401" s="83" t="s">
        <v>76</v>
      </c>
      <c r="M401" s="82" t="s">
        <v>5468</v>
      </c>
      <c r="N401" s="82" t="s">
        <v>5469</v>
      </c>
      <c r="O401" s="82" t="s">
        <v>5470</v>
      </c>
      <c r="P401" s="82" t="s">
        <v>5471</v>
      </c>
      <c r="Q401" s="82"/>
      <c r="R401" s="82"/>
      <c r="S401" s="82" t="s">
        <v>5472</v>
      </c>
      <c r="T401" s="138">
        <v>7.0</v>
      </c>
      <c r="U401" s="339">
        <v>6.0</v>
      </c>
      <c r="V401" s="106">
        <v>0.0</v>
      </c>
      <c r="W401" s="107">
        <v>0.0</v>
      </c>
      <c r="X401" s="107">
        <v>0.0</v>
      </c>
      <c r="Y401" s="107">
        <v>0.0</v>
      </c>
      <c r="Z401" s="80">
        <v>0.0</v>
      </c>
      <c r="AA401" s="140">
        <v>0.0</v>
      </c>
      <c r="AB401" s="109">
        <v>0.0</v>
      </c>
      <c r="AC401" s="109">
        <v>0.0</v>
      </c>
      <c r="AD401" s="141">
        <v>0.0</v>
      </c>
      <c r="AE401" s="80">
        <v>0.0</v>
      </c>
      <c r="AF401" s="140">
        <v>0.0</v>
      </c>
      <c r="AG401" s="109">
        <v>0.0</v>
      </c>
      <c r="AH401" s="109">
        <v>0.0</v>
      </c>
      <c r="AI401" s="141">
        <v>126.0</v>
      </c>
      <c r="AJ401" s="80">
        <v>126.0</v>
      </c>
      <c r="AK401" s="140">
        <v>0.0</v>
      </c>
      <c r="AL401" s="109">
        <v>0.0</v>
      </c>
      <c r="AM401" s="141">
        <v>0.0</v>
      </c>
      <c r="AN401" s="80">
        <v>0.0</v>
      </c>
      <c r="AO401" s="140">
        <v>0.0</v>
      </c>
      <c r="AP401" s="109">
        <v>0.0</v>
      </c>
      <c r="AQ401" s="109">
        <v>0.0</v>
      </c>
      <c r="AR401" s="80">
        <v>0.0</v>
      </c>
      <c r="AS401" s="110">
        <v>0.0</v>
      </c>
      <c r="AT401" s="110">
        <v>0.0</v>
      </c>
      <c r="AU401" s="110">
        <v>0.0</v>
      </c>
      <c r="AV401" s="142">
        <v>0.0</v>
      </c>
      <c r="AW401" s="80">
        <v>0.0</v>
      </c>
      <c r="AX401" s="113">
        <v>126.0</v>
      </c>
      <c r="AY401" s="117">
        <v>126.0</v>
      </c>
      <c r="AZ401" s="328">
        <v>0.0</v>
      </c>
      <c r="BA401" s="315">
        <v>0.0</v>
      </c>
      <c r="BB401" s="316">
        <v>126.0</v>
      </c>
      <c r="BC401" s="132" t="s">
        <v>373</v>
      </c>
      <c r="BD401" s="132" t="s">
        <v>178</v>
      </c>
      <c r="BE401" s="132" t="s">
        <v>178</v>
      </c>
      <c r="BF401" s="123"/>
      <c r="BG401" s="83">
        <v>1159641.0</v>
      </c>
      <c r="BH401" s="112">
        <v>6.0</v>
      </c>
      <c r="BI401" s="98" t="s">
        <v>155</v>
      </c>
      <c r="BJ401" s="98" t="str">
        <f t="shared" si="1"/>
        <v>INTEGRAL</v>
      </c>
      <c r="BK401" s="98" t="str">
        <f t="shared" si="2"/>
        <v>NÃO</v>
      </c>
    </row>
    <row r="402" ht="15.75" customHeight="1">
      <c r="A402" s="111" t="s">
        <v>451</v>
      </c>
      <c r="B402" s="83" t="s">
        <v>1612</v>
      </c>
      <c r="C402" s="83" t="s">
        <v>68</v>
      </c>
      <c r="D402" s="83">
        <v>1179678.0</v>
      </c>
      <c r="E402" s="83"/>
      <c r="F402" s="83">
        <v>2.9477492E7</v>
      </c>
      <c r="G402" s="241" t="s">
        <v>5475</v>
      </c>
      <c r="H402" s="91" t="s">
        <v>1618</v>
      </c>
      <c r="I402" s="114" t="s">
        <v>149</v>
      </c>
      <c r="J402" s="83" t="s">
        <v>568</v>
      </c>
      <c r="K402" s="83" t="s">
        <v>151</v>
      </c>
      <c r="L402" s="83" t="s">
        <v>76</v>
      </c>
      <c r="M402" s="82" t="s">
        <v>5477</v>
      </c>
      <c r="N402" s="82" t="s">
        <v>5478</v>
      </c>
      <c r="O402" s="82" t="s">
        <v>5479</v>
      </c>
      <c r="P402" s="82" t="s">
        <v>5481</v>
      </c>
      <c r="Q402" s="82"/>
      <c r="R402" s="82"/>
      <c r="S402" s="82" t="s">
        <v>5483</v>
      </c>
      <c r="T402" s="138">
        <v>6.0</v>
      </c>
      <c r="U402" s="342">
        <v>6.0</v>
      </c>
      <c r="V402" s="106">
        <v>0.0</v>
      </c>
      <c r="W402" s="107">
        <v>0.0</v>
      </c>
      <c r="X402" s="107">
        <v>0.0</v>
      </c>
      <c r="Y402" s="107">
        <v>0.0</v>
      </c>
      <c r="Z402" s="80">
        <v>0.0</v>
      </c>
      <c r="AA402" s="140">
        <v>0.0</v>
      </c>
      <c r="AB402" s="109">
        <v>0.0</v>
      </c>
      <c r="AC402" s="109">
        <v>0.0</v>
      </c>
      <c r="AD402" s="141">
        <v>0.0</v>
      </c>
      <c r="AE402" s="80">
        <v>0.0</v>
      </c>
      <c r="AF402" s="140">
        <v>108.0</v>
      </c>
      <c r="AG402" s="109">
        <v>0.0</v>
      </c>
      <c r="AH402" s="109">
        <v>0.0</v>
      </c>
      <c r="AI402" s="141">
        <v>108.0</v>
      </c>
      <c r="AJ402" s="80">
        <v>216.0</v>
      </c>
      <c r="AK402" s="140">
        <v>0.0</v>
      </c>
      <c r="AL402" s="109">
        <v>0.0</v>
      </c>
      <c r="AM402" s="141">
        <v>0.0</v>
      </c>
      <c r="AN402" s="80">
        <v>0.0</v>
      </c>
      <c r="AO402" s="140">
        <v>0.0</v>
      </c>
      <c r="AP402" s="109">
        <v>0.0</v>
      </c>
      <c r="AQ402" s="109">
        <v>65.0</v>
      </c>
      <c r="AR402" s="80">
        <v>65.0</v>
      </c>
      <c r="AS402" s="110">
        <v>0.0</v>
      </c>
      <c r="AT402" s="110">
        <v>0.0</v>
      </c>
      <c r="AU402" s="110">
        <v>0.0</v>
      </c>
      <c r="AV402" s="142">
        <v>0.0</v>
      </c>
      <c r="AW402" s="80">
        <v>0.0</v>
      </c>
      <c r="AX402" s="113">
        <v>281.0</v>
      </c>
      <c r="AY402" s="117">
        <v>216.0</v>
      </c>
      <c r="AZ402" s="328">
        <v>65.0</v>
      </c>
      <c r="BA402" s="315">
        <v>0.0</v>
      </c>
      <c r="BB402" s="316">
        <v>281.0</v>
      </c>
      <c r="BC402" s="132" t="s">
        <v>178</v>
      </c>
      <c r="BD402" s="132" t="s">
        <v>178</v>
      </c>
      <c r="BE402" s="132" t="s">
        <v>178</v>
      </c>
      <c r="BF402" s="156"/>
      <c r="BG402" s="83">
        <v>1179678.0</v>
      </c>
      <c r="BH402" s="112">
        <v>6.0</v>
      </c>
      <c r="BI402" s="98" t="s">
        <v>162</v>
      </c>
      <c r="BJ402" s="98" t="str">
        <f t="shared" si="1"/>
        <v>INTEGRAL</v>
      </c>
      <c r="BK402" s="98" t="str">
        <f t="shared" si="2"/>
        <v>NÃO</v>
      </c>
    </row>
    <row r="403" ht="15.75" customHeight="1">
      <c r="A403" s="111" t="s">
        <v>451</v>
      </c>
      <c r="B403" s="83" t="s">
        <v>1612</v>
      </c>
      <c r="C403" s="83" t="s">
        <v>68</v>
      </c>
      <c r="D403" s="83">
        <v>1159668.0</v>
      </c>
      <c r="E403" s="83"/>
      <c r="F403" s="83">
        <v>2.9288142E7</v>
      </c>
      <c r="G403" s="187" t="s">
        <v>1621</v>
      </c>
      <c r="H403" s="91" t="s">
        <v>1622</v>
      </c>
      <c r="I403" s="114" t="s">
        <v>149</v>
      </c>
      <c r="J403" s="83" t="s">
        <v>150</v>
      </c>
      <c r="K403" s="83" t="s">
        <v>151</v>
      </c>
      <c r="L403" s="83" t="s">
        <v>230</v>
      </c>
      <c r="M403" s="82" t="s">
        <v>5486</v>
      </c>
      <c r="N403" s="82" t="s">
        <v>5487</v>
      </c>
      <c r="O403" s="82"/>
      <c r="P403" s="82"/>
      <c r="Q403" s="82"/>
      <c r="R403" s="82"/>
      <c r="S403" s="82" t="s">
        <v>5489</v>
      </c>
      <c r="T403" s="138">
        <v>7.0</v>
      </c>
      <c r="U403" s="331" t="s">
        <v>5490</v>
      </c>
      <c r="V403" s="106">
        <v>0.0</v>
      </c>
      <c r="W403" s="107">
        <v>0.0</v>
      </c>
      <c r="X403" s="107">
        <v>0.0</v>
      </c>
      <c r="Y403" s="107">
        <v>0.0</v>
      </c>
      <c r="Z403" s="80">
        <v>0.0</v>
      </c>
      <c r="AA403" s="140">
        <v>0.0</v>
      </c>
      <c r="AB403" s="109">
        <v>0.0</v>
      </c>
      <c r="AC403" s="109">
        <v>0.0</v>
      </c>
      <c r="AD403" s="141">
        <v>0.0</v>
      </c>
      <c r="AE403" s="80">
        <v>0.0</v>
      </c>
      <c r="AF403" s="140">
        <v>0.0</v>
      </c>
      <c r="AG403" s="109">
        <v>0.0</v>
      </c>
      <c r="AH403" s="109">
        <v>0.0</v>
      </c>
      <c r="AI403" s="141">
        <v>0.0</v>
      </c>
      <c r="AJ403" s="80">
        <v>0.0</v>
      </c>
      <c r="AK403" s="140">
        <v>0.0</v>
      </c>
      <c r="AL403" s="109">
        <v>0.0</v>
      </c>
      <c r="AM403" s="141">
        <v>0.0</v>
      </c>
      <c r="AN403" s="80">
        <v>0.0</v>
      </c>
      <c r="AO403" s="140">
        <v>0.0</v>
      </c>
      <c r="AP403" s="109">
        <v>0.0</v>
      </c>
      <c r="AQ403" s="109">
        <v>0.0</v>
      </c>
      <c r="AR403" s="80">
        <v>0.0</v>
      </c>
      <c r="AS403" s="110">
        <v>206.0</v>
      </c>
      <c r="AT403" s="110">
        <v>69.0</v>
      </c>
      <c r="AU403" s="110">
        <v>40.0</v>
      </c>
      <c r="AV403" s="142">
        <v>0.0</v>
      </c>
      <c r="AW403" s="80">
        <v>315.0</v>
      </c>
      <c r="AX403" s="113">
        <v>315.0</v>
      </c>
      <c r="AY403" s="117">
        <v>275.0</v>
      </c>
      <c r="AZ403" s="328">
        <v>40.0</v>
      </c>
      <c r="BA403" s="315">
        <v>0.0</v>
      </c>
      <c r="BB403" s="316">
        <v>315.0</v>
      </c>
      <c r="BC403" s="132" t="s">
        <v>265</v>
      </c>
      <c r="BD403" s="132" t="s">
        <v>522</v>
      </c>
      <c r="BE403" s="132" t="s">
        <v>178</v>
      </c>
      <c r="BF403" s="156"/>
      <c r="BG403" s="83">
        <v>1159668.0</v>
      </c>
      <c r="BH403" s="112">
        <v>8.0</v>
      </c>
      <c r="BI403" s="98" t="s">
        <v>155</v>
      </c>
      <c r="BJ403" s="98" t="str">
        <f t="shared" si="1"/>
        <v>NÃO</v>
      </c>
      <c r="BK403" s="98" t="str">
        <f t="shared" si="2"/>
        <v>PROFISSIONAL</v>
      </c>
    </row>
    <row r="404" ht="15.75" customHeight="1">
      <c r="A404" s="111" t="s">
        <v>451</v>
      </c>
      <c r="B404" s="83" t="s">
        <v>1625</v>
      </c>
      <c r="C404" s="83" t="s">
        <v>68</v>
      </c>
      <c r="D404" s="83">
        <v>1159617.0</v>
      </c>
      <c r="E404" s="83"/>
      <c r="F404" s="83">
        <v>2.93115E7</v>
      </c>
      <c r="G404" s="187" t="s">
        <v>5495</v>
      </c>
      <c r="H404" s="91" t="s">
        <v>1627</v>
      </c>
      <c r="I404" s="114" t="s">
        <v>149</v>
      </c>
      <c r="J404" s="83" t="s">
        <v>187</v>
      </c>
      <c r="K404" s="83" t="s">
        <v>151</v>
      </c>
      <c r="L404" s="83" t="s">
        <v>76</v>
      </c>
      <c r="M404" s="82" t="s">
        <v>5496</v>
      </c>
      <c r="N404" s="82" t="s">
        <v>5497</v>
      </c>
      <c r="O404" s="82" t="s">
        <v>5498</v>
      </c>
      <c r="P404" s="82"/>
      <c r="Q404" s="82"/>
      <c r="R404" s="82"/>
      <c r="S404" s="82" t="s">
        <v>5499</v>
      </c>
      <c r="T404" s="138">
        <v>7.0</v>
      </c>
      <c r="U404" s="323">
        <v>6.0</v>
      </c>
      <c r="V404" s="106">
        <v>0.0</v>
      </c>
      <c r="W404" s="107">
        <v>0.0</v>
      </c>
      <c r="X404" s="107">
        <v>0.0</v>
      </c>
      <c r="Y404" s="107">
        <v>0.0</v>
      </c>
      <c r="Z404" s="80">
        <v>0.0</v>
      </c>
      <c r="AA404" s="140">
        <v>0.0</v>
      </c>
      <c r="AB404" s="109">
        <v>0.0</v>
      </c>
      <c r="AC404" s="109">
        <v>0.0</v>
      </c>
      <c r="AD404" s="141">
        <v>0.0</v>
      </c>
      <c r="AE404" s="80">
        <v>0.0</v>
      </c>
      <c r="AF404" s="140">
        <v>113.0</v>
      </c>
      <c r="AG404" s="109">
        <v>118.0</v>
      </c>
      <c r="AH404" s="109">
        <v>0.0</v>
      </c>
      <c r="AI404" s="141">
        <v>82.0</v>
      </c>
      <c r="AJ404" s="80">
        <v>313.0</v>
      </c>
      <c r="AK404" s="140">
        <v>0.0</v>
      </c>
      <c r="AL404" s="109">
        <v>0.0</v>
      </c>
      <c r="AM404" s="141">
        <v>0.0</v>
      </c>
      <c r="AN404" s="80">
        <v>0.0</v>
      </c>
      <c r="AO404" s="140">
        <v>0.0</v>
      </c>
      <c r="AP404" s="109">
        <v>0.0</v>
      </c>
      <c r="AQ404" s="109">
        <v>58.0</v>
      </c>
      <c r="AR404" s="80">
        <v>58.0</v>
      </c>
      <c r="AS404" s="110">
        <v>0.0</v>
      </c>
      <c r="AT404" s="110">
        <v>0.0</v>
      </c>
      <c r="AU404" s="110">
        <v>0.0</v>
      </c>
      <c r="AV404" s="142">
        <v>0.0</v>
      </c>
      <c r="AW404" s="80">
        <v>0.0</v>
      </c>
      <c r="AX404" s="113">
        <v>371.0</v>
      </c>
      <c r="AY404" s="117">
        <v>313.0</v>
      </c>
      <c r="AZ404" s="328">
        <v>58.0</v>
      </c>
      <c r="BA404" s="315">
        <v>0.0</v>
      </c>
      <c r="BB404" s="316">
        <v>371.0</v>
      </c>
      <c r="BC404" s="132" t="s">
        <v>178</v>
      </c>
      <c r="BD404" s="132" t="s">
        <v>178</v>
      </c>
      <c r="BE404" s="132" t="s">
        <v>178</v>
      </c>
      <c r="BF404" s="156"/>
      <c r="BG404" s="83">
        <v>1159617.0</v>
      </c>
      <c r="BH404" s="112">
        <v>6.0</v>
      </c>
      <c r="BI404" s="98" t="s">
        <v>155</v>
      </c>
      <c r="BJ404" s="98" t="str">
        <f t="shared" si="1"/>
        <v>INTEGRAL</v>
      </c>
      <c r="BK404" s="98" t="str">
        <f t="shared" si="2"/>
        <v>NÃO</v>
      </c>
    </row>
    <row r="405" ht="15.75" customHeight="1">
      <c r="A405" s="111" t="s">
        <v>451</v>
      </c>
      <c r="B405" s="83" t="s">
        <v>1625</v>
      </c>
      <c r="C405" s="83" t="s">
        <v>68</v>
      </c>
      <c r="D405" s="83">
        <v>1159587.0</v>
      </c>
      <c r="E405" s="83"/>
      <c r="F405" s="83">
        <v>2.9311497E7</v>
      </c>
      <c r="G405" s="114" t="s">
        <v>5505</v>
      </c>
      <c r="H405" s="91" t="s">
        <v>1632</v>
      </c>
      <c r="I405" s="114" t="s">
        <v>149</v>
      </c>
      <c r="J405" s="83" t="s">
        <v>150</v>
      </c>
      <c r="K405" s="83" t="s">
        <v>151</v>
      </c>
      <c r="L405" s="83" t="s">
        <v>169</v>
      </c>
      <c r="M405" s="82" t="s">
        <v>5507</v>
      </c>
      <c r="N405" s="82" t="s">
        <v>5508</v>
      </c>
      <c r="O405" s="82" t="s">
        <v>5509</v>
      </c>
      <c r="P405" s="82" t="s">
        <v>5510</v>
      </c>
      <c r="Q405" s="82"/>
      <c r="R405" s="82"/>
      <c r="S405" s="82" t="s">
        <v>5511</v>
      </c>
      <c r="T405" s="138">
        <v>4.0</v>
      </c>
      <c r="U405" s="389">
        <v>4.0</v>
      </c>
      <c r="V405" s="106">
        <v>0.0</v>
      </c>
      <c r="W405" s="107">
        <v>0.0</v>
      </c>
      <c r="X405" s="107">
        <v>0.0</v>
      </c>
      <c r="Y405" s="107">
        <v>0.0</v>
      </c>
      <c r="Z405" s="80">
        <v>0.0</v>
      </c>
      <c r="AA405" s="140">
        <v>0.0</v>
      </c>
      <c r="AB405" s="109">
        <v>0.0</v>
      </c>
      <c r="AC405" s="109">
        <v>0.0</v>
      </c>
      <c r="AD405" s="141">
        <v>0.0</v>
      </c>
      <c r="AE405" s="80">
        <v>0.0</v>
      </c>
      <c r="AF405" s="140">
        <v>0.0</v>
      </c>
      <c r="AG405" s="109">
        <v>0.0</v>
      </c>
      <c r="AH405" s="109">
        <v>0.0</v>
      </c>
      <c r="AI405" s="141">
        <v>99.0</v>
      </c>
      <c r="AJ405" s="80">
        <v>99.0</v>
      </c>
      <c r="AK405" s="140">
        <v>0.0</v>
      </c>
      <c r="AL405" s="109">
        <v>0.0</v>
      </c>
      <c r="AM405" s="141">
        <v>0.0</v>
      </c>
      <c r="AN405" s="80">
        <v>0.0</v>
      </c>
      <c r="AO405" s="140">
        <v>0.0</v>
      </c>
      <c r="AP405" s="109">
        <v>0.0</v>
      </c>
      <c r="AQ405" s="109">
        <v>9.0</v>
      </c>
      <c r="AR405" s="80">
        <v>9.0</v>
      </c>
      <c r="AS405" s="110">
        <v>0.0</v>
      </c>
      <c r="AT405" s="110">
        <v>0.0</v>
      </c>
      <c r="AU405" s="110">
        <v>0.0</v>
      </c>
      <c r="AV405" s="142">
        <v>0.0</v>
      </c>
      <c r="AW405" s="80">
        <v>0.0</v>
      </c>
      <c r="AX405" s="113">
        <v>108.0</v>
      </c>
      <c r="AY405" s="117">
        <v>99.0</v>
      </c>
      <c r="AZ405" s="328">
        <v>9.0</v>
      </c>
      <c r="BA405" s="315">
        <v>0.0</v>
      </c>
      <c r="BB405" s="316">
        <v>108.0</v>
      </c>
      <c r="BC405" s="132" t="s">
        <v>178</v>
      </c>
      <c r="BD405" s="132" t="s">
        <v>178</v>
      </c>
      <c r="BE405" s="132" t="s">
        <v>178</v>
      </c>
      <c r="BF405" s="156"/>
      <c r="BG405" s="83">
        <v>1159587.0</v>
      </c>
      <c r="BH405" s="112">
        <v>4.0</v>
      </c>
      <c r="BI405" s="98" t="s">
        <v>155</v>
      </c>
      <c r="BJ405" s="98" t="str">
        <f t="shared" si="1"/>
        <v>INTEGRAL</v>
      </c>
      <c r="BK405" s="98" t="str">
        <f t="shared" si="2"/>
        <v>NÃO</v>
      </c>
    </row>
    <row r="406" ht="15.75" customHeight="1">
      <c r="A406" s="111" t="s">
        <v>451</v>
      </c>
      <c r="B406" s="83" t="s">
        <v>1625</v>
      </c>
      <c r="C406" s="83" t="s">
        <v>164</v>
      </c>
      <c r="D406" s="83">
        <v>1179701.0</v>
      </c>
      <c r="E406" s="83">
        <v>1179276.0</v>
      </c>
      <c r="F406" s="83"/>
      <c r="G406" s="114" t="s">
        <v>2515</v>
      </c>
      <c r="H406" s="91" t="s">
        <v>5514</v>
      </c>
      <c r="I406" s="114" t="s">
        <v>149</v>
      </c>
      <c r="J406" s="83" t="s">
        <v>767</v>
      </c>
      <c r="K406" s="83" t="s">
        <v>168</v>
      </c>
      <c r="L406" s="83" t="s">
        <v>169</v>
      </c>
      <c r="M406" s="82" t="s">
        <v>4891</v>
      </c>
      <c r="N406" s="82" t="s">
        <v>4892</v>
      </c>
      <c r="O406" s="82" t="s">
        <v>4893</v>
      </c>
      <c r="P406" s="82" t="s">
        <v>4894</v>
      </c>
      <c r="Q406" s="82"/>
      <c r="R406" s="82"/>
      <c r="S406" s="82"/>
      <c r="T406" s="138">
        <v>1.0</v>
      </c>
      <c r="U406" s="341">
        <v>1.0</v>
      </c>
      <c r="V406" s="106">
        <v>0.0</v>
      </c>
      <c r="W406" s="107">
        <v>0.0</v>
      </c>
      <c r="X406" s="107">
        <v>0.0</v>
      </c>
      <c r="Y406" s="107">
        <v>0.0</v>
      </c>
      <c r="Z406" s="80">
        <v>0.0</v>
      </c>
      <c r="AA406" s="140">
        <v>0.0</v>
      </c>
      <c r="AB406" s="109">
        <v>0.0</v>
      </c>
      <c r="AC406" s="109">
        <v>0.0</v>
      </c>
      <c r="AD406" s="141">
        <v>0.0</v>
      </c>
      <c r="AE406" s="80">
        <v>0.0</v>
      </c>
      <c r="AF406" s="140">
        <v>2.0</v>
      </c>
      <c r="AG406" s="109">
        <v>11.0</v>
      </c>
      <c r="AH406" s="109">
        <v>0.0</v>
      </c>
      <c r="AI406" s="141">
        <v>0.0</v>
      </c>
      <c r="AJ406" s="80">
        <v>13.0</v>
      </c>
      <c r="AK406" s="140">
        <v>0.0</v>
      </c>
      <c r="AL406" s="109">
        <v>0.0</v>
      </c>
      <c r="AM406" s="141">
        <v>0.0</v>
      </c>
      <c r="AN406" s="80">
        <v>0.0</v>
      </c>
      <c r="AO406" s="140">
        <v>0.0</v>
      </c>
      <c r="AP406" s="109">
        <v>0.0</v>
      </c>
      <c r="AQ406" s="109">
        <v>0.0</v>
      </c>
      <c r="AR406" s="80">
        <v>0.0</v>
      </c>
      <c r="AS406" s="110">
        <v>0.0</v>
      </c>
      <c r="AT406" s="110">
        <v>0.0</v>
      </c>
      <c r="AU406" s="110">
        <v>0.0</v>
      </c>
      <c r="AV406" s="142">
        <v>0.0</v>
      </c>
      <c r="AW406" s="80">
        <v>0.0</v>
      </c>
      <c r="AX406" s="113">
        <v>13.0</v>
      </c>
      <c r="AY406" s="117">
        <v>13.0</v>
      </c>
      <c r="AZ406" s="328">
        <v>0.0</v>
      </c>
      <c r="BA406" s="315">
        <v>0.0</v>
      </c>
      <c r="BB406" s="316">
        <v>13.0</v>
      </c>
      <c r="BC406" s="132" t="s">
        <v>373</v>
      </c>
      <c r="BD406" s="143" t="s">
        <v>227</v>
      </c>
      <c r="BE406" s="132" t="s">
        <v>178</v>
      </c>
      <c r="BF406" s="156" t="s">
        <v>632</v>
      </c>
      <c r="BG406" s="83">
        <v>1179276.0</v>
      </c>
      <c r="BH406" s="112">
        <v>1.0</v>
      </c>
      <c r="BI406" s="98" t="s">
        <v>155</v>
      </c>
      <c r="BJ406" s="98" t="str">
        <f t="shared" si="1"/>
        <v>NÃO</v>
      </c>
      <c r="BK406" s="98" t="str">
        <f t="shared" si="2"/>
        <v>NÃO</v>
      </c>
    </row>
    <row r="407" ht="15.75" customHeight="1">
      <c r="A407" s="111" t="s">
        <v>451</v>
      </c>
      <c r="B407" s="83" t="s">
        <v>1634</v>
      </c>
      <c r="C407" s="83" t="s">
        <v>68</v>
      </c>
      <c r="D407" s="83">
        <v>1177077.0</v>
      </c>
      <c r="E407" s="83"/>
      <c r="F407" s="83">
        <v>2.9406897E7</v>
      </c>
      <c r="G407" s="114" t="s">
        <v>5518</v>
      </c>
      <c r="H407" s="91" t="s">
        <v>1636</v>
      </c>
      <c r="I407" s="114" t="s">
        <v>149</v>
      </c>
      <c r="J407" s="83" t="s">
        <v>150</v>
      </c>
      <c r="K407" s="83" t="s">
        <v>151</v>
      </c>
      <c r="L407" s="83" t="s">
        <v>152</v>
      </c>
      <c r="M407" s="82" t="s">
        <v>5519</v>
      </c>
      <c r="N407" s="82" t="s">
        <v>5520</v>
      </c>
      <c r="O407" s="82" t="s">
        <v>5521</v>
      </c>
      <c r="P407" s="82" t="s">
        <v>5523</v>
      </c>
      <c r="Q407" s="82" t="s">
        <v>5525</v>
      </c>
      <c r="R407" s="82" t="s">
        <v>5526</v>
      </c>
      <c r="S407" s="82" t="s">
        <v>5527</v>
      </c>
      <c r="T407" s="138">
        <v>7.0</v>
      </c>
      <c r="U407" s="341">
        <v>6.0</v>
      </c>
      <c r="V407" s="106">
        <v>0.0</v>
      </c>
      <c r="W407" s="107">
        <v>0.0</v>
      </c>
      <c r="X407" s="107">
        <v>0.0</v>
      </c>
      <c r="Y407" s="107">
        <v>0.0</v>
      </c>
      <c r="Z407" s="80">
        <v>0.0</v>
      </c>
      <c r="AA407" s="140">
        <v>0.0</v>
      </c>
      <c r="AB407" s="109">
        <v>0.0</v>
      </c>
      <c r="AC407" s="109">
        <v>0.0</v>
      </c>
      <c r="AD407" s="141">
        <v>0.0</v>
      </c>
      <c r="AE407" s="80">
        <v>0.0</v>
      </c>
      <c r="AF407" s="140">
        <v>65.0</v>
      </c>
      <c r="AG407" s="109">
        <v>52.0</v>
      </c>
      <c r="AH407" s="109">
        <v>0.0</v>
      </c>
      <c r="AI407" s="141">
        <v>80.0</v>
      </c>
      <c r="AJ407" s="80">
        <v>197.0</v>
      </c>
      <c r="AK407" s="140">
        <v>0.0</v>
      </c>
      <c r="AL407" s="109">
        <v>0.0</v>
      </c>
      <c r="AM407" s="141">
        <v>0.0</v>
      </c>
      <c r="AN407" s="80">
        <v>0.0</v>
      </c>
      <c r="AO407" s="140">
        <v>0.0</v>
      </c>
      <c r="AP407" s="109">
        <v>0.0</v>
      </c>
      <c r="AQ407" s="109">
        <v>59.0</v>
      </c>
      <c r="AR407" s="80">
        <v>59.0</v>
      </c>
      <c r="AS407" s="110">
        <v>0.0</v>
      </c>
      <c r="AT407" s="110">
        <v>0.0</v>
      </c>
      <c r="AU407" s="110">
        <v>0.0</v>
      </c>
      <c r="AV407" s="142">
        <v>0.0</v>
      </c>
      <c r="AW407" s="80">
        <v>0.0</v>
      </c>
      <c r="AX407" s="113">
        <v>256.0</v>
      </c>
      <c r="AY407" s="117">
        <v>197.0</v>
      </c>
      <c r="AZ407" s="328">
        <v>59.0</v>
      </c>
      <c r="BA407" s="315">
        <v>0.0</v>
      </c>
      <c r="BB407" s="316">
        <v>256.0</v>
      </c>
      <c r="BC407" s="132" t="s">
        <v>178</v>
      </c>
      <c r="BD407" s="132" t="s">
        <v>178</v>
      </c>
      <c r="BE407" s="132" t="s">
        <v>178</v>
      </c>
      <c r="BF407" s="156"/>
      <c r="BG407" s="83">
        <v>1177077.0</v>
      </c>
      <c r="BH407" s="112">
        <v>6.0</v>
      </c>
      <c r="BI407" s="98" t="s">
        <v>155</v>
      </c>
      <c r="BJ407" s="98" t="str">
        <f t="shared" si="1"/>
        <v>INTEGRAL</v>
      </c>
      <c r="BK407" s="98" t="str">
        <f t="shared" si="2"/>
        <v>NÃO</v>
      </c>
    </row>
    <row r="408" ht="15.75" customHeight="1">
      <c r="A408" s="111" t="s">
        <v>451</v>
      </c>
      <c r="B408" s="83" t="s">
        <v>1634</v>
      </c>
      <c r="C408" s="83" t="s">
        <v>68</v>
      </c>
      <c r="D408" s="83">
        <v>1177011.0</v>
      </c>
      <c r="E408" s="83"/>
      <c r="F408" s="83">
        <v>2.9407044E7</v>
      </c>
      <c r="G408" s="114" t="s">
        <v>5529</v>
      </c>
      <c r="H408" s="91" t="s">
        <v>1639</v>
      </c>
      <c r="I408" s="187" t="s">
        <v>1640</v>
      </c>
      <c r="J408" s="83" t="s">
        <v>1641</v>
      </c>
      <c r="K408" s="83" t="s">
        <v>151</v>
      </c>
      <c r="L408" s="83" t="s">
        <v>152</v>
      </c>
      <c r="M408" s="82" t="s">
        <v>5531</v>
      </c>
      <c r="N408" s="82" t="s">
        <v>5532</v>
      </c>
      <c r="O408" s="82" t="s">
        <v>5533</v>
      </c>
      <c r="P408" s="82" t="s">
        <v>5534</v>
      </c>
      <c r="Q408" s="82" t="s">
        <v>5536</v>
      </c>
      <c r="R408" s="82" t="s">
        <v>5537</v>
      </c>
      <c r="S408" s="82"/>
      <c r="T408" s="138">
        <v>14.0</v>
      </c>
      <c r="U408" s="341" t="s">
        <v>5538</v>
      </c>
      <c r="V408" s="106">
        <v>0.0</v>
      </c>
      <c r="W408" s="107">
        <v>0.0</v>
      </c>
      <c r="X408" s="107">
        <v>0.0</v>
      </c>
      <c r="Y408" s="107">
        <v>0.0</v>
      </c>
      <c r="Z408" s="80">
        <v>0.0</v>
      </c>
      <c r="AA408" s="140">
        <v>155.0</v>
      </c>
      <c r="AB408" s="109">
        <v>110.0</v>
      </c>
      <c r="AC408" s="109">
        <v>0.0</v>
      </c>
      <c r="AD408" s="141">
        <v>0.0</v>
      </c>
      <c r="AE408" s="80">
        <v>265.0</v>
      </c>
      <c r="AF408" s="140">
        <v>0.0</v>
      </c>
      <c r="AG408" s="109">
        <v>50.0</v>
      </c>
      <c r="AH408" s="109">
        <v>0.0</v>
      </c>
      <c r="AI408" s="141">
        <v>0.0</v>
      </c>
      <c r="AJ408" s="80">
        <v>50.0</v>
      </c>
      <c r="AK408" s="140">
        <v>0.0</v>
      </c>
      <c r="AL408" s="109">
        <v>0.0</v>
      </c>
      <c r="AM408" s="141">
        <v>25.0</v>
      </c>
      <c r="AN408" s="80">
        <v>25.0</v>
      </c>
      <c r="AO408" s="140">
        <v>0.0</v>
      </c>
      <c r="AP408" s="109">
        <v>0.0</v>
      </c>
      <c r="AQ408" s="109">
        <v>21.0</v>
      </c>
      <c r="AR408" s="80">
        <v>21.0</v>
      </c>
      <c r="AS408" s="110">
        <v>0.0</v>
      </c>
      <c r="AT408" s="110">
        <v>0.0</v>
      </c>
      <c r="AU408" s="110">
        <v>0.0</v>
      </c>
      <c r="AV408" s="142">
        <v>8.0</v>
      </c>
      <c r="AW408" s="80">
        <v>8.0</v>
      </c>
      <c r="AX408" s="113">
        <v>369.0</v>
      </c>
      <c r="AY408" s="117">
        <v>323.0</v>
      </c>
      <c r="AZ408" s="328">
        <v>46.0</v>
      </c>
      <c r="BA408" s="315">
        <v>0.0</v>
      </c>
      <c r="BB408" s="316">
        <v>369.0</v>
      </c>
      <c r="BC408" s="143" t="s">
        <v>1294</v>
      </c>
      <c r="BD408" s="132" t="s">
        <v>178</v>
      </c>
      <c r="BE408" s="132" t="s">
        <v>178</v>
      </c>
      <c r="BF408" s="156"/>
      <c r="BG408" s="83">
        <v>1177011.0</v>
      </c>
      <c r="BH408" s="112">
        <v>14.0</v>
      </c>
      <c r="BI408" s="98" t="s">
        <v>155</v>
      </c>
      <c r="BJ408" s="98" t="str">
        <f t="shared" si="1"/>
        <v>INTEGRAL</v>
      </c>
      <c r="BK408" s="98" t="str">
        <f t="shared" si="2"/>
        <v>PROFISSIONAL</v>
      </c>
    </row>
    <row r="409" ht="15.75" customHeight="1">
      <c r="A409" s="111" t="s">
        <v>451</v>
      </c>
      <c r="B409" s="83" t="s">
        <v>1634</v>
      </c>
      <c r="C409" s="83" t="s">
        <v>164</v>
      </c>
      <c r="D409" s="83">
        <v>1177011.0</v>
      </c>
      <c r="E409" s="136">
        <v>1178509.0</v>
      </c>
      <c r="F409" s="136"/>
      <c r="G409" s="241" t="s">
        <v>1643</v>
      </c>
      <c r="H409" s="91" t="s">
        <v>1644</v>
      </c>
      <c r="I409" s="187" t="s">
        <v>149</v>
      </c>
      <c r="J409" s="136" t="s">
        <v>1645</v>
      </c>
      <c r="K409" s="136" t="s">
        <v>151</v>
      </c>
      <c r="L409" s="136" t="s">
        <v>169</v>
      </c>
      <c r="M409" s="82" t="s">
        <v>5531</v>
      </c>
      <c r="N409" s="82" t="s">
        <v>5532</v>
      </c>
      <c r="O409" s="82" t="s">
        <v>5533</v>
      </c>
      <c r="P409" s="82" t="s">
        <v>5534</v>
      </c>
      <c r="Q409" s="82" t="s">
        <v>5536</v>
      </c>
      <c r="R409" s="82" t="s">
        <v>5537</v>
      </c>
      <c r="S409" s="82"/>
      <c r="T409" s="138">
        <v>2.0</v>
      </c>
      <c r="U409" s="341">
        <v>2.0</v>
      </c>
      <c r="V409" s="106">
        <v>0.0</v>
      </c>
      <c r="W409" s="107">
        <v>0.0</v>
      </c>
      <c r="X409" s="107">
        <v>0.0</v>
      </c>
      <c r="Y409" s="107">
        <v>0.0</v>
      </c>
      <c r="Z409" s="80">
        <v>0.0</v>
      </c>
      <c r="AA409" s="140">
        <v>7.0</v>
      </c>
      <c r="AB409" s="109">
        <v>0.0</v>
      </c>
      <c r="AC409" s="109">
        <v>0.0</v>
      </c>
      <c r="AD409" s="141">
        <v>0.0</v>
      </c>
      <c r="AE409" s="80">
        <v>7.0</v>
      </c>
      <c r="AF409" s="140">
        <v>0.0</v>
      </c>
      <c r="AG409" s="109">
        <v>0.0</v>
      </c>
      <c r="AH409" s="109">
        <v>0.0</v>
      </c>
      <c r="AI409" s="141">
        <v>0.0</v>
      </c>
      <c r="AJ409" s="80">
        <v>0.0</v>
      </c>
      <c r="AK409" s="140">
        <v>0.0</v>
      </c>
      <c r="AL409" s="109">
        <v>0.0</v>
      </c>
      <c r="AM409" s="141">
        <v>0.0</v>
      </c>
      <c r="AN409" s="80">
        <v>0.0</v>
      </c>
      <c r="AO409" s="140">
        <v>0.0</v>
      </c>
      <c r="AP409" s="109">
        <v>0.0</v>
      </c>
      <c r="AQ409" s="109">
        <v>0.0</v>
      </c>
      <c r="AR409" s="80">
        <v>0.0</v>
      </c>
      <c r="AS409" s="110">
        <v>0.0</v>
      </c>
      <c r="AT409" s="110">
        <v>0.0</v>
      </c>
      <c r="AU409" s="110">
        <v>0.0</v>
      </c>
      <c r="AV409" s="142">
        <v>0.0</v>
      </c>
      <c r="AW409" s="80">
        <v>0.0</v>
      </c>
      <c r="AX409" s="113">
        <v>7.0</v>
      </c>
      <c r="AY409" s="117">
        <v>7.0</v>
      </c>
      <c r="AZ409" s="328">
        <v>0.0</v>
      </c>
      <c r="BA409" s="315">
        <v>0.0</v>
      </c>
      <c r="BB409" s="316">
        <v>7.0</v>
      </c>
      <c r="BC409" s="143" t="s">
        <v>1294</v>
      </c>
      <c r="BD409" s="132" t="s">
        <v>178</v>
      </c>
      <c r="BE409" s="132" t="s">
        <v>178</v>
      </c>
      <c r="BF409" s="417"/>
      <c r="BG409" s="83">
        <v>1178509.0</v>
      </c>
      <c r="BH409" s="112">
        <v>2.0</v>
      </c>
      <c r="BI409" s="98" t="s">
        <v>155</v>
      </c>
      <c r="BJ409" s="98" t="str">
        <f t="shared" si="1"/>
        <v>NÃO</v>
      </c>
      <c r="BK409" s="98" t="str">
        <f t="shared" si="2"/>
        <v>NÃO</v>
      </c>
    </row>
    <row r="410" ht="15.75" customHeight="1">
      <c r="A410" s="111" t="s">
        <v>451</v>
      </c>
      <c r="B410" s="83" t="s">
        <v>1634</v>
      </c>
      <c r="C410" s="83" t="s">
        <v>164</v>
      </c>
      <c r="D410" s="83">
        <v>1177011.0</v>
      </c>
      <c r="E410" s="136">
        <v>1178507.0</v>
      </c>
      <c r="F410" s="136"/>
      <c r="G410" s="241" t="s">
        <v>1646</v>
      </c>
      <c r="H410" s="91" t="s">
        <v>1647</v>
      </c>
      <c r="I410" s="187" t="s">
        <v>149</v>
      </c>
      <c r="J410" s="136" t="s">
        <v>315</v>
      </c>
      <c r="K410" s="136" t="s">
        <v>151</v>
      </c>
      <c r="L410" s="136" t="s">
        <v>512</v>
      </c>
      <c r="M410" s="82" t="s">
        <v>5531</v>
      </c>
      <c r="N410" s="82" t="s">
        <v>5532</v>
      </c>
      <c r="O410" s="82" t="s">
        <v>5533</v>
      </c>
      <c r="P410" s="82" t="s">
        <v>5534</v>
      </c>
      <c r="Q410" s="82" t="s">
        <v>5536</v>
      </c>
      <c r="R410" s="82" t="s">
        <v>5537</v>
      </c>
      <c r="S410" s="82"/>
      <c r="T410" s="138">
        <v>1.0</v>
      </c>
      <c r="U410" s="341">
        <v>2.0</v>
      </c>
      <c r="V410" s="106">
        <v>0.0</v>
      </c>
      <c r="W410" s="107">
        <v>0.0</v>
      </c>
      <c r="X410" s="107">
        <v>0.0</v>
      </c>
      <c r="Y410" s="107">
        <v>0.0</v>
      </c>
      <c r="Z410" s="80">
        <v>0.0</v>
      </c>
      <c r="AA410" s="140">
        <v>0.0</v>
      </c>
      <c r="AB410" s="109">
        <v>4.0</v>
      </c>
      <c r="AC410" s="109">
        <v>0.0</v>
      </c>
      <c r="AD410" s="141">
        <v>0.0</v>
      </c>
      <c r="AE410" s="80">
        <v>4.0</v>
      </c>
      <c r="AF410" s="140">
        <v>0.0</v>
      </c>
      <c r="AG410" s="109">
        <v>0.0</v>
      </c>
      <c r="AH410" s="109">
        <v>0.0</v>
      </c>
      <c r="AI410" s="141">
        <v>0.0</v>
      </c>
      <c r="AJ410" s="80">
        <v>0.0</v>
      </c>
      <c r="AK410" s="140">
        <v>0.0</v>
      </c>
      <c r="AL410" s="109">
        <v>0.0</v>
      </c>
      <c r="AM410" s="141">
        <v>0.0</v>
      </c>
      <c r="AN410" s="80">
        <v>0.0</v>
      </c>
      <c r="AO410" s="140">
        <v>0.0</v>
      </c>
      <c r="AP410" s="109">
        <v>0.0</v>
      </c>
      <c r="AQ410" s="109">
        <v>0.0</v>
      </c>
      <c r="AR410" s="80">
        <v>0.0</v>
      </c>
      <c r="AS410" s="110">
        <v>0.0</v>
      </c>
      <c r="AT410" s="110">
        <v>0.0</v>
      </c>
      <c r="AU410" s="110">
        <v>0.0</v>
      </c>
      <c r="AV410" s="142">
        <v>0.0</v>
      </c>
      <c r="AW410" s="80">
        <v>0.0</v>
      </c>
      <c r="AX410" s="113">
        <v>4.0</v>
      </c>
      <c r="AY410" s="117">
        <v>4.0</v>
      </c>
      <c r="AZ410" s="328">
        <v>0.0</v>
      </c>
      <c r="BA410" s="315">
        <v>0.0</v>
      </c>
      <c r="BB410" s="316">
        <v>4.0</v>
      </c>
      <c r="BC410" s="143" t="s">
        <v>1294</v>
      </c>
      <c r="BD410" s="132" t="s">
        <v>178</v>
      </c>
      <c r="BE410" s="132" t="s">
        <v>178</v>
      </c>
      <c r="BF410" s="156"/>
      <c r="BG410" s="83">
        <v>1178507.0</v>
      </c>
      <c r="BH410" s="112">
        <v>2.0</v>
      </c>
      <c r="BI410" s="98" t="s">
        <v>155</v>
      </c>
      <c r="BJ410" s="98" t="str">
        <f t="shared" si="1"/>
        <v>NÃO</v>
      </c>
      <c r="BK410" s="98" t="str">
        <f t="shared" si="2"/>
        <v>NÃO</v>
      </c>
    </row>
    <row r="411" ht="15.75" customHeight="1">
      <c r="A411" s="111" t="s">
        <v>451</v>
      </c>
      <c r="B411" s="83" t="s">
        <v>1634</v>
      </c>
      <c r="C411" s="83" t="s">
        <v>164</v>
      </c>
      <c r="D411" s="83">
        <v>1177011.0</v>
      </c>
      <c r="E411" s="83">
        <v>1178508.0</v>
      </c>
      <c r="F411" s="83"/>
      <c r="G411" s="185" t="s">
        <v>1648</v>
      </c>
      <c r="H411" s="91" t="s">
        <v>1649</v>
      </c>
      <c r="I411" s="114" t="s">
        <v>149</v>
      </c>
      <c r="J411" s="83" t="s">
        <v>315</v>
      </c>
      <c r="K411" s="83" t="s">
        <v>151</v>
      </c>
      <c r="L411" s="83" t="s">
        <v>512</v>
      </c>
      <c r="M411" s="82" t="s">
        <v>5531</v>
      </c>
      <c r="N411" s="82" t="s">
        <v>5532</v>
      </c>
      <c r="O411" s="82" t="s">
        <v>5533</v>
      </c>
      <c r="P411" s="82" t="s">
        <v>5534</v>
      </c>
      <c r="Q411" s="82" t="s">
        <v>5536</v>
      </c>
      <c r="R411" s="82" t="s">
        <v>5537</v>
      </c>
      <c r="S411" s="82"/>
      <c r="T411" s="138">
        <v>4.0</v>
      </c>
      <c r="U411" s="341">
        <v>3.0</v>
      </c>
      <c r="V411" s="106">
        <v>0.0</v>
      </c>
      <c r="W411" s="107">
        <v>0.0</v>
      </c>
      <c r="X411" s="107">
        <v>0.0</v>
      </c>
      <c r="Y411" s="107">
        <v>0.0</v>
      </c>
      <c r="Z411" s="80">
        <v>0.0</v>
      </c>
      <c r="AA411" s="140">
        <v>22.0</v>
      </c>
      <c r="AB411" s="109">
        <v>0.0</v>
      </c>
      <c r="AC411" s="109">
        <v>0.0</v>
      </c>
      <c r="AD411" s="141">
        <v>0.0</v>
      </c>
      <c r="AE411" s="80">
        <v>22.0</v>
      </c>
      <c r="AF411" s="140">
        <v>0.0</v>
      </c>
      <c r="AG411" s="109">
        <v>0.0</v>
      </c>
      <c r="AH411" s="109">
        <v>0.0</v>
      </c>
      <c r="AI411" s="141">
        <v>0.0</v>
      </c>
      <c r="AJ411" s="80">
        <v>0.0</v>
      </c>
      <c r="AK411" s="140">
        <v>0.0</v>
      </c>
      <c r="AL411" s="109">
        <v>0.0</v>
      </c>
      <c r="AM411" s="141">
        <v>0.0</v>
      </c>
      <c r="AN411" s="80">
        <v>0.0</v>
      </c>
      <c r="AO411" s="140">
        <v>0.0</v>
      </c>
      <c r="AP411" s="109">
        <v>0.0</v>
      </c>
      <c r="AQ411" s="109">
        <v>0.0</v>
      </c>
      <c r="AR411" s="80">
        <v>0.0</v>
      </c>
      <c r="AS411" s="110">
        <v>0.0</v>
      </c>
      <c r="AT411" s="110">
        <v>0.0</v>
      </c>
      <c r="AU411" s="110">
        <v>0.0</v>
      </c>
      <c r="AV411" s="142">
        <v>0.0</v>
      </c>
      <c r="AW411" s="80">
        <v>0.0</v>
      </c>
      <c r="AX411" s="113">
        <v>22.0</v>
      </c>
      <c r="AY411" s="117">
        <v>22.0</v>
      </c>
      <c r="AZ411" s="328">
        <v>0.0</v>
      </c>
      <c r="BA411" s="315">
        <v>0.0</v>
      </c>
      <c r="BB411" s="316">
        <v>22.0</v>
      </c>
      <c r="BC411" s="143" t="s">
        <v>1294</v>
      </c>
      <c r="BD411" s="132" t="s">
        <v>178</v>
      </c>
      <c r="BE411" s="132" t="s">
        <v>178</v>
      </c>
      <c r="BF411" s="123"/>
      <c r="BG411" s="83">
        <v>1178508.0</v>
      </c>
      <c r="BH411" s="112">
        <v>3.0</v>
      </c>
      <c r="BI411" s="98" t="s">
        <v>155</v>
      </c>
      <c r="BJ411" s="98" t="str">
        <f t="shared" si="1"/>
        <v>NÃO</v>
      </c>
      <c r="BK411" s="98" t="str">
        <f t="shared" si="2"/>
        <v>NÃO</v>
      </c>
    </row>
    <row r="412" ht="15.75" customHeight="1">
      <c r="A412" s="111" t="s">
        <v>451</v>
      </c>
      <c r="B412" s="83" t="s">
        <v>1650</v>
      </c>
      <c r="C412" s="83" t="s">
        <v>68</v>
      </c>
      <c r="D412" s="83">
        <v>1177004.0</v>
      </c>
      <c r="E412" s="83"/>
      <c r="F412" s="83">
        <v>2.9406668E7</v>
      </c>
      <c r="G412" s="185" t="s">
        <v>5557</v>
      </c>
      <c r="H412" s="91" t="s">
        <v>1652</v>
      </c>
      <c r="I412" s="114" t="s">
        <v>149</v>
      </c>
      <c r="J412" s="83" t="s">
        <v>150</v>
      </c>
      <c r="K412" s="83" t="s">
        <v>151</v>
      </c>
      <c r="L412" s="83" t="s">
        <v>76</v>
      </c>
      <c r="M412" s="82" t="s">
        <v>5558</v>
      </c>
      <c r="N412" s="82" t="s">
        <v>5559</v>
      </c>
      <c r="O412" s="82" t="s">
        <v>5560</v>
      </c>
      <c r="P412" s="82" t="s">
        <v>5561</v>
      </c>
      <c r="Q412" s="82"/>
      <c r="R412" s="82"/>
      <c r="S412" s="82" t="s">
        <v>5562</v>
      </c>
      <c r="T412" s="138">
        <v>6.0</v>
      </c>
      <c r="U412" s="341">
        <v>6.0</v>
      </c>
      <c r="V412" s="106">
        <v>0.0</v>
      </c>
      <c r="W412" s="107">
        <v>0.0</v>
      </c>
      <c r="X412" s="107">
        <v>0.0</v>
      </c>
      <c r="Y412" s="107">
        <v>0.0</v>
      </c>
      <c r="Z412" s="80">
        <v>0.0</v>
      </c>
      <c r="AA412" s="140">
        <v>0.0</v>
      </c>
      <c r="AB412" s="109">
        <v>0.0</v>
      </c>
      <c r="AC412" s="109">
        <v>0.0</v>
      </c>
      <c r="AD412" s="141">
        <v>0.0</v>
      </c>
      <c r="AE412" s="80">
        <v>0.0</v>
      </c>
      <c r="AF412" s="140">
        <v>151.0</v>
      </c>
      <c r="AG412" s="109">
        <v>140.0</v>
      </c>
      <c r="AH412" s="109">
        <v>0.0</v>
      </c>
      <c r="AI412" s="141">
        <v>0.0</v>
      </c>
      <c r="AJ412" s="80">
        <v>291.0</v>
      </c>
      <c r="AK412" s="140">
        <v>0.0</v>
      </c>
      <c r="AL412" s="109">
        <v>0.0</v>
      </c>
      <c r="AM412" s="141">
        <v>0.0</v>
      </c>
      <c r="AN412" s="80">
        <v>0.0</v>
      </c>
      <c r="AO412" s="140">
        <v>0.0</v>
      </c>
      <c r="AP412" s="109">
        <v>0.0</v>
      </c>
      <c r="AQ412" s="109">
        <v>80.0</v>
      </c>
      <c r="AR412" s="80">
        <v>80.0</v>
      </c>
      <c r="AS412" s="110">
        <v>0.0</v>
      </c>
      <c r="AT412" s="110">
        <v>0.0</v>
      </c>
      <c r="AU412" s="110">
        <v>0.0</v>
      </c>
      <c r="AV412" s="142">
        <v>0.0</v>
      </c>
      <c r="AW412" s="80">
        <v>0.0</v>
      </c>
      <c r="AX412" s="113">
        <v>371.0</v>
      </c>
      <c r="AY412" s="117">
        <v>291.0</v>
      </c>
      <c r="AZ412" s="328">
        <v>80.0</v>
      </c>
      <c r="BA412" s="315">
        <v>0.0</v>
      </c>
      <c r="BB412" s="316">
        <v>371.0</v>
      </c>
      <c r="BC412" s="132" t="s">
        <v>178</v>
      </c>
      <c r="BD412" s="132" t="s">
        <v>178</v>
      </c>
      <c r="BE412" s="132" t="s">
        <v>178</v>
      </c>
      <c r="BF412" s="123"/>
      <c r="BG412" s="83">
        <v>1177004.0</v>
      </c>
      <c r="BH412" s="112">
        <v>6.0</v>
      </c>
      <c r="BI412" s="98" t="s">
        <v>155</v>
      </c>
      <c r="BJ412" s="98" t="str">
        <f t="shared" si="1"/>
        <v>NÃO</v>
      </c>
      <c r="BK412" s="98" t="str">
        <f t="shared" si="2"/>
        <v>NÃO</v>
      </c>
    </row>
    <row r="413" ht="15.75" customHeight="1">
      <c r="A413" s="111" t="s">
        <v>451</v>
      </c>
      <c r="B413" s="83" t="s">
        <v>1654</v>
      </c>
      <c r="C413" s="83" t="s">
        <v>68</v>
      </c>
      <c r="D413" s="83">
        <v>1170912.0</v>
      </c>
      <c r="E413" s="83"/>
      <c r="F413" s="83">
        <v>2.9313171E7</v>
      </c>
      <c r="G413" s="185" t="s">
        <v>5565</v>
      </c>
      <c r="H413" s="91" t="s">
        <v>1656</v>
      </c>
      <c r="I413" s="187" t="s">
        <v>149</v>
      </c>
      <c r="J413" s="136" t="s">
        <v>150</v>
      </c>
      <c r="K413" s="136" t="s">
        <v>151</v>
      </c>
      <c r="L413" s="136" t="s">
        <v>169</v>
      </c>
      <c r="M413" s="82" t="s">
        <v>5566</v>
      </c>
      <c r="N413" s="82" t="s">
        <v>5567</v>
      </c>
      <c r="O413" s="82" t="s">
        <v>5568</v>
      </c>
      <c r="P413" s="82" t="s">
        <v>5569</v>
      </c>
      <c r="Q413" s="82"/>
      <c r="R413" s="82"/>
      <c r="S413" s="82" t="s">
        <v>5570</v>
      </c>
      <c r="T413" s="138">
        <v>10.0</v>
      </c>
      <c r="U413" s="341" t="s">
        <v>5571</v>
      </c>
      <c r="V413" s="106">
        <v>0.0</v>
      </c>
      <c r="W413" s="107">
        <v>0.0</v>
      </c>
      <c r="X413" s="107">
        <v>0.0</v>
      </c>
      <c r="Y413" s="107">
        <v>0.0</v>
      </c>
      <c r="Z413" s="80">
        <v>0.0</v>
      </c>
      <c r="AA413" s="140">
        <v>0.0</v>
      </c>
      <c r="AB413" s="109">
        <v>0.0</v>
      </c>
      <c r="AC413" s="109">
        <v>0.0</v>
      </c>
      <c r="AD413" s="141">
        <v>0.0</v>
      </c>
      <c r="AE413" s="80">
        <v>0.0</v>
      </c>
      <c r="AF413" s="140">
        <v>0.0</v>
      </c>
      <c r="AG413" s="109">
        <v>0.0</v>
      </c>
      <c r="AH413" s="109">
        <v>0.0</v>
      </c>
      <c r="AI413" s="141">
        <v>133.0</v>
      </c>
      <c r="AJ413" s="80">
        <v>133.0</v>
      </c>
      <c r="AK413" s="140">
        <v>0.0</v>
      </c>
      <c r="AL413" s="109">
        <v>0.0</v>
      </c>
      <c r="AM413" s="141">
        <v>0.0</v>
      </c>
      <c r="AN413" s="80">
        <v>0.0</v>
      </c>
      <c r="AO413" s="140">
        <v>0.0</v>
      </c>
      <c r="AP413" s="109">
        <v>0.0</v>
      </c>
      <c r="AQ413" s="109">
        <v>60.0</v>
      </c>
      <c r="AR413" s="80">
        <v>60.0</v>
      </c>
      <c r="AS413" s="110">
        <v>0.0</v>
      </c>
      <c r="AT413" s="110">
        <v>0.0</v>
      </c>
      <c r="AU413" s="110">
        <v>0.0</v>
      </c>
      <c r="AV413" s="142">
        <v>0.0</v>
      </c>
      <c r="AW413" s="80">
        <v>0.0</v>
      </c>
      <c r="AX413" s="113">
        <v>193.0</v>
      </c>
      <c r="AY413" s="117">
        <v>133.0</v>
      </c>
      <c r="AZ413" s="328">
        <v>60.0</v>
      </c>
      <c r="BA413" s="315">
        <v>0.0</v>
      </c>
      <c r="BB413" s="316">
        <v>193.0</v>
      </c>
      <c r="BC413" s="132" t="s">
        <v>178</v>
      </c>
      <c r="BD413" s="132" t="s">
        <v>178</v>
      </c>
      <c r="BE413" s="132" t="s">
        <v>178</v>
      </c>
      <c r="BF413" s="123"/>
      <c r="BG413" s="83">
        <v>1170912.0</v>
      </c>
      <c r="BH413" s="112">
        <v>10.0</v>
      </c>
      <c r="BI413" s="98" t="s">
        <v>155</v>
      </c>
      <c r="BJ413" s="98" t="str">
        <f t="shared" si="1"/>
        <v>INTEGRAL</v>
      </c>
      <c r="BK413" s="98" t="str">
        <f t="shared" si="2"/>
        <v>NÃO</v>
      </c>
    </row>
    <row r="414" ht="15.75" customHeight="1">
      <c r="A414" s="111" t="s">
        <v>451</v>
      </c>
      <c r="B414" s="83" t="s">
        <v>1658</v>
      </c>
      <c r="C414" s="83" t="s">
        <v>68</v>
      </c>
      <c r="D414" s="83">
        <v>1112777.0</v>
      </c>
      <c r="E414" s="83"/>
      <c r="F414" s="83">
        <v>2.9313848E7</v>
      </c>
      <c r="G414" s="119" t="s">
        <v>5576</v>
      </c>
      <c r="H414" s="91" t="s">
        <v>1660</v>
      </c>
      <c r="I414" s="114" t="s">
        <v>149</v>
      </c>
      <c r="J414" s="83" t="s">
        <v>150</v>
      </c>
      <c r="K414" s="83" t="s">
        <v>151</v>
      </c>
      <c r="L414" s="83" t="s">
        <v>152</v>
      </c>
      <c r="M414" s="82" t="s">
        <v>5577</v>
      </c>
      <c r="N414" s="82" t="s">
        <v>5579</v>
      </c>
      <c r="O414" s="82" t="s">
        <v>5582</v>
      </c>
      <c r="P414" s="82" t="s">
        <v>5583</v>
      </c>
      <c r="Q414" s="82" t="s">
        <v>5584</v>
      </c>
      <c r="R414" s="82" t="s">
        <v>5585</v>
      </c>
      <c r="S414" s="82" t="s">
        <v>5586</v>
      </c>
      <c r="T414" s="138">
        <v>11.0</v>
      </c>
      <c r="U414" s="352">
        <v>11.0</v>
      </c>
      <c r="V414" s="106">
        <v>0.0</v>
      </c>
      <c r="W414" s="107">
        <v>0.0</v>
      </c>
      <c r="X414" s="107">
        <v>0.0</v>
      </c>
      <c r="Y414" s="107">
        <v>0.0</v>
      </c>
      <c r="Z414" s="80">
        <v>0.0</v>
      </c>
      <c r="AA414" s="140">
        <v>0.0</v>
      </c>
      <c r="AB414" s="109">
        <v>0.0</v>
      </c>
      <c r="AC414" s="109">
        <v>0.0</v>
      </c>
      <c r="AD414" s="141">
        <v>0.0</v>
      </c>
      <c r="AE414" s="80">
        <v>0.0</v>
      </c>
      <c r="AF414" s="140">
        <v>223.0</v>
      </c>
      <c r="AG414" s="109">
        <v>195.0</v>
      </c>
      <c r="AH414" s="109">
        <v>0.0</v>
      </c>
      <c r="AI414" s="141">
        <v>60.0</v>
      </c>
      <c r="AJ414" s="80">
        <v>478.0</v>
      </c>
      <c r="AK414" s="140">
        <v>0.0</v>
      </c>
      <c r="AL414" s="109">
        <v>0.0</v>
      </c>
      <c r="AM414" s="141">
        <v>0.0</v>
      </c>
      <c r="AN414" s="80">
        <v>0.0</v>
      </c>
      <c r="AO414" s="140">
        <v>0.0</v>
      </c>
      <c r="AP414" s="109">
        <v>0.0</v>
      </c>
      <c r="AQ414" s="109">
        <v>85.0</v>
      </c>
      <c r="AR414" s="80">
        <v>85.0</v>
      </c>
      <c r="AS414" s="110">
        <v>30.0</v>
      </c>
      <c r="AT414" s="110">
        <v>26.0</v>
      </c>
      <c r="AU414" s="110">
        <v>18.0</v>
      </c>
      <c r="AV414" s="142">
        <v>0.0</v>
      </c>
      <c r="AW414" s="80">
        <v>74.0</v>
      </c>
      <c r="AX414" s="113">
        <v>637.0</v>
      </c>
      <c r="AY414" s="117">
        <v>534.0</v>
      </c>
      <c r="AZ414" s="328">
        <v>103.0</v>
      </c>
      <c r="BA414" s="315">
        <v>0.0</v>
      </c>
      <c r="BB414" s="316">
        <v>637.0</v>
      </c>
      <c r="BC414" s="132" t="s">
        <v>178</v>
      </c>
      <c r="BD414" s="132" t="s">
        <v>178</v>
      </c>
      <c r="BE414" s="132" t="s">
        <v>178</v>
      </c>
      <c r="BF414" s="156"/>
      <c r="BG414" s="83">
        <v>1112777.0</v>
      </c>
      <c r="BH414" s="112">
        <v>11.0</v>
      </c>
      <c r="BI414" s="98" t="s">
        <v>155</v>
      </c>
      <c r="BJ414" s="98" t="str">
        <f t="shared" si="1"/>
        <v>INTEGRAL</v>
      </c>
      <c r="BK414" s="98" t="str">
        <f t="shared" si="2"/>
        <v>PROFISSIONAL</v>
      </c>
    </row>
    <row r="415" ht="15.75" customHeight="1">
      <c r="A415" s="111" t="s">
        <v>451</v>
      </c>
      <c r="B415" s="83" t="s">
        <v>1663</v>
      </c>
      <c r="C415" s="83" t="s">
        <v>68</v>
      </c>
      <c r="D415" s="83">
        <v>1139136.0</v>
      </c>
      <c r="E415" s="83"/>
      <c r="F415" s="83">
        <v>2.9315492E7</v>
      </c>
      <c r="G415" s="187" t="s">
        <v>5591</v>
      </c>
      <c r="H415" s="91" t="s">
        <v>1665</v>
      </c>
      <c r="I415" s="114" t="s">
        <v>149</v>
      </c>
      <c r="J415" s="83" t="s">
        <v>150</v>
      </c>
      <c r="K415" s="83" t="s">
        <v>151</v>
      </c>
      <c r="L415" s="83" t="s">
        <v>152</v>
      </c>
      <c r="M415" s="82" t="s">
        <v>5593</v>
      </c>
      <c r="N415" s="82" t="s">
        <v>5594</v>
      </c>
      <c r="O415" s="82" t="s">
        <v>5595</v>
      </c>
      <c r="P415" s="82" t="s">
        <v>5599</v>
      </c>
      <c r="Q415" s="82" t="s">
        <v>5600</v>
      </c>
      <c r="R415" s="82" t="s">
        <v>5601</v>
      </c>
      <c r="S415" s="82" t="s">
        <v>5602</v>
      </c>
      <c r="T415" s="138">
        <v>10.0</v>
      </c>
      <c r="U415" s="387">
        <v>10.0</v>
      </c>
      <c r="V415" s="106">
        <v>0.0</v>
      </c>
      <c r="W415" s="107">
        <v>0.0</v>
      </c>
      <c r="X415" s="107">
        <v>0.0</v>
      </c>
      <c r="Y415" s="107">
        <v>0.0</v>
      </c>
      <c r="Z415" s="80">
        <v>0.0</v>
      </c>
      <c r="AA415" s="140">
        <v>0.0</v>
      </c>
      <c r="AB415" s="109">
        <v>0.0</v>
      </c>
      <c r="AC415" s="109">
        <v>0.0</v>
      </c>
      <c r="AD415" s="141">
        <v>0.0</v>
      </c>
      <c r="AE415" s="80">
        <v>0.0</v>
      </c>
      <c r="AF415" s="140">
        <v>350.0</v>
      </c>
      <c r="AG415" s="109">
        <v>217.0</v>
      </c>
      <c r="AH415" s="109">
        <v>37.0</v>
      </c>
      <c r="AI415" s="141">
        <v>19.0</v>
      </c>
      <c r="AJ415" s="80">
        <v>623.0</v>
      </c>
      <c r="AK415" s="140">
        <v>0.0</v>
      </c>
      <c r="AL415" s="109">
        <v>0.0</v>
      </c>
      <c r="AM415" s="141">
        <v>0.0</v>
      </c>
      <c r="AN415" s="80">
        <v>0.0</v>
      </c>
      <c r="AO415" s="140">
        <v>0.0</v>
      </c>
      <c r="AP415" s="109">
        <v>0.0</v>
      </c>
      <c r="AQ415" s="109">
        <v>148.0</v>
      </c>
      <c r="AR415" s="80">
        <v>148.0</v>
      </c>
      <c r="AS415" s="110">
        <v>0.0</v>
      </c>
      <c r="AT415" s="110">
        <v>0.0</v>
      </c>
      <c r="AU415" s="110">
        <v>0.0</v>
      </c>
      <c r="AV415" s="142">
        <v>0.0</v>
      </c>
      <c r="AW415" s="80">
        <v>0.0</v>
      </c>
      <c r="AX415" s="113">
        <v>771.0</v>
      </c>
      <c r="AY415" s="117">
        <v>586.0</v>
      </c>
      <c r="AZ415" s="328">
        <v>185.0</v>
      </c>
      <c r="BA415" s="315">
        <v>0.0</v>
      </c>
      <c r="BB415" s="316">
        <v>771.0</v>
      </c>
      <c r="BC415" s="132" t="s">
        <v>178</v>
      </c>
      <c r="BD415" s="132" t="s">
        <v>178</v>
      </c>
      <c r="BE415" s="132" t="s">
        <v>178</v>
      </c>
      <c r="BF415" s="156"/>
      <c r="BG415" s="83">
        <v>1139136.0</v>
      </c>
      <c r="BH415" s="112">
        <v>10.0</v>
      </c>
      <c r="BI415" s="98" t="s">
        <v>155</v>
      </c>
      <c r="BJ415" s="98" t="str">
        <f t="shared" si="1"/>
        <v>INTEGRAL</v>
      </c>
      <c r="BK415" s="98" t="str">
        <f t="shared" si="2"/>
        <v>NÃO</v>
      </c>
    </row>
    <row r="416" ht="15.75" customHeight="1">
      <c r="A416" s="111" t="s">
        <v>451</v>
      </c>
      <c r="B416" s="83" t="s">
        <v>1663</v>
      </c>
      <c r="C416" s="83" t="s">
        <v>164</v>
      </c>
      <c r="D416" s="83">
        <v>1179701.0</v>
      </c>
      <c r="E416" s="83">
        <v>1178496.0</v>
      </c>
      <c r="F416" s="83"/>
      <c r="G416" s="114" t="s">
        <v>1667</v>
      </c>
      <c r="H416" s="91" t="s">
        <v>1668</v>
      </c>
      <c r="I416" s="298" t="s">
        <v>171</v>
      </c>
      <c r="J416" s="83" t="s">
        <v>187</v>
      </c>
      <c r="K416" s="83" t="s">
        <v>151</v>
      </c>
      <c r="L416" s="83" t="s">
        <v>169</v>
      </c>
      <c r="M416" s="82" t="s">
        <v>4891</v>
      </c>
      <c r="N416" s="82" t="s">
        <v>4892</v>
      </c>
      <c r="O416" s="82" t="s">
        <v>4893</v>
      </c>
      <c r="P416" s="82" t="s">
        <v>4894</v>
      </c>
      <c r="Q416" s="82"/>
      <c r="R416" s="82"/>
      <c r="S416" s="82"/>
      <c r="T416" s="138">
        <v>2.0</v>
      </c>
      <c r="U416" s="323">
        <v>2.0</v>
      </c>
      <c r="V416" s="106">
        <v>0.0</v>
      </c>
      <c r="W416" s="107">
        <v>0.0</v>
      </c>
      <c r="X416" s="107">
        <v>0.0</v>
      </c>
      <c r="Y416" s="107">
        <v>0.0</v>
      </c>
      <c r="Z416" s="80">
        <v>0.0</v>
      </c>
      <c r="AA416" s="140">
        <v>0.0</v>
      </c>
      <c r="AB416" s="109">
        <v>0.0</v>
      </c>
      <c r="AC416" s="109">
        <v>0.0</v>
      </c>
      <c r="AD416" s="141">
        <v>0.0</v>
      </c>
      <c r="AE416" s="80">
        <v>0.0</v>
      </c>
      <c r="AF416" s="140">
        <v>0.0</v>
      </c>
      <c r="AG416" s="109">
        <v>23.0</v>
      </c>
      <c r="AH416" s="109">
        <v>7.0</v>
      </c>
      <c r="AI416" s="141">
        <v>0.0</v>
      </c>
      <c r="AJ416" s="80">
        <v>30.0</v>
      </c>
      <c r="AK416" s="140">
        <v>0.0</v>
      </c>
      <c r="AL416" s="109">
        <v>0.0</v>
      </c>
      <c r="AM416" s="141">
        <v>0.0</v>
      </c>
      <c r="AN416" s="80">
        <v>0.0</v>
      </c>
      <c r="AO416" s="140">
        <v>0.0</v>
      </c>
      <c r="AP416" s="109">
        <v>0.0</v>
      </c>
      <c r="AQ416" s="109">
        <v>0.0</v>
      </c>
      <c r="AR416" s="80">
        <v>0.0</v>
      </c>
      <c r="AS416" s="110">
        <v>0.0</v>
      </c>
      <c r="AT416" s="110">
        <v>0.0</v>
      </c>
      <c r="AU416" s="110">
        <v>0.0</v>
      </c>
      <c r="AV416" s="142">
        <v>0.0</v>
      </c>
      <c r="AW416" s="80">
        <v>0.0</v>
      </c>
      <c r="AX416" s="113">
        <v>30.0</v>
      </c>
      <c r="AY416" s="117">
        <v>23.0</v>
      </c>
      <c r="AZ416" s="328">
        <v>7.0</v>
      </c>
      <c r="BA416" s="315">
        <v>0.0</v>
      </c>
      <c r="BB416" s="316">
        <v>30.0</v>
      </c>
      <c r="BC416" s="132" t="s">
        <v>373</v>
      </c>
      <c r="BD416" s="143" t="s">
        <v>227</v>
      </c>
      <c r="BE416" s="132" t="s">
        <v>178</v>
      </c>
      <c r="BF416" s="123"/>
      <c r="BG416" s="83">
        <v>1178496.0</v>
      </c>
      <c r="BH416" s="112">
        <v>2.0</v>
      </c>
      <c r="BI416" s="98" t="s">
        <v>155</v>
      </c>
      <c r="BJ416" s="98" t="str">
        <f t="shared" si="1"/>
        <v>NÃO</v>
      </c>
      <c r="BK416" s="98" t="str">
        <f t="shared" si="2"/>
        <v>NÃO</v>
      </c>
    </row>
    <row r="417" ht="15.75" customHeight="1">
      <c r="A417" s="111" t="s">
        <v>451</v>
      </c>
      <c r="B417" s="83" t="s">
        <v>1669</v>
      </c>
      <c r="C417" s="83" t="s">
        <v>68</v>
      </c>
      <c r="D417" s="83">
        <v>1179595.0</v>
      </c>
      <c r="E417" s="83"/>
      <c r="F417" s="83">
        <v>2.9470358E7</v>
      </c>
      <c r="G417" s="119" t="s">
        <v>5619</v>
      </c>
      <c r="H417" s="91" t="s">
        <v>1671</v>
      </c>
      <c r="I417" s="298" t="s">
        <v>1672</v>
      </c>
      <c r="J417" s="83" t="s">
        <v>464</v>
      </c>
      <c r="K417" s="83" t="s">
        <v>1673</v>
      </c>
      <c r="L417" s="83" t="s">
        <v>169</v>
      </c>
      <c r="M417" s="82" t="s">
        <v>5623</v>
      </c>
      <c r="N417" s="82" t="s">
        <v>5624</v>
      </c>
      <c r="O417" s="82" t="s">
        <v>5625</v>
      </c>
      <c r="P417" s="82" t="s">
        <v>5626</v>
      </c>
      <c r="Q417" s="82"/>
      <c r="R417" s="82"/>
      <c r="S417" s="82" t="s">
        <v>5627</v>
      </c>
      <c r="T417" s="138">
        <v>5.0</v>
      </c>
      <c r="U417" s="341">
        <v>3.0</v>
      </c>
      <c r="V417" s="106">
        <v>0.0</v>
      </c>
      <c r="W417" s="107">
        <v>0.0</v>
      </c>
      <c r="X417" s="107">
        <v>0.0</v>
      </c>
      <c r="Y417" s="107">
        <v>0.0</v>
      </c>
      <c r="Z417" s="80">
        <v>0.0</v>
      </c>
      <c r="AA417" s="140">
        <v>0.0</v>
      </c>
      <c r="AB417" s="109">
        <v>0.0</v>
      </c>
      <c r="AC417" s="109">
        <v>0.0</v>
      </c>
      <c r="AD417" s="141">
        <v>0.0</v>
      </c>
      <c r="AE417" s="80">
        <v>0.0</v>
      </c>
      <c r="AF417" s="140">
        <v>0.0</v>
      </c>
      <c r="AG417" s="109">
        <v>102.0</v>
      </c>
      <c r="AH417" s="109">
        <v>0.0</v>
      </c>
      <c r="AI417" s="141">
        <v>94.0</v>
      </c>
      <c r="AJ417" s="80">
        <v>196.0</v>
      </c>
      <c r="AK417" s="140">
        <v>0.0</v>
      </c>
      <c r="AL417" s="109">
        <v>0.0</v>
      </c>
      <c r="AM417" s="141">
        <v>0.0</v>
      </c>
      <c r="AN417" s="80">
        <v>0.0</v>
      </c>
      <c r="AO417" s="140">
        <v>0.0</v>
      </c>
      <c r="AP417" s="109">
        <v>0.0</v>
      </c>
      <c r="AQ417" s="109">
        <v>78.0</v>
      </c>
      <c r="AR417" s="80">
        <v>78.0</v>
      </c>
      <c r="AS417" s="110">
        <v>0.0</v>
      </c>
      <c r="AT417" s="110">
        <v>0.0</v>
      </c>
      <c r="AU417" s="110">
        <v>0.0</v>
      </c>
      <c r="AV417" s="142">
        <v>0.0</v>
      </c>
      <c r="AW417" s="80">
        <v>0.0</v>
      </c>
      <c r="AX417" s="113">
        <v>274.0</v>
      </c>
      <c r="AY417" s="117">
        <v>196.0</v>
      </c>
      <c r="AZ417" s="328">
        <v>78.0</v>
      </c>
      <c r="BA417" s="315">
        <v>0.0</v>
      </c>
      <c r="BB417" s="316">
        <v>274.0</v>
      </c>
      <c r="BC417" s="132" t="s">
        <v>373</v>
      </c>
      <c r="BD417" s="132" t="s">
        <v>178</v>
      </c>
      <c r="BE417" s="132" t="s">
        <v>178</v>
      </c>
      <c r="BF417" s="156"/>
      <c r="BG417" s="83">
        <v>1179595.0</v>
      </c>
      <c r="BH417" s="112">
        <v>3.0</v>
      </c>
      <c r="BI417" s="98" t="s">
        <v>155</v>
      </c>
      <c r="BJ417" s="98" t="str">
        <f t="shared" si="1"/>
        <v>INTEGRAL</v>
      </c>
      <c r="BK417" s="98" t="str">
        <f t="shared" si="2"/>
        <v>NÃO</v>
      </c>
    </row>
    <row r="418" ht="15.75" customHeight="1">
      <c r="A418" s="111" t="s">
        <v>451</v>
      </c>
      <c r="B418" s="83" t="s">
        <v>1669</v>
      </c>
      <c r="C418" s="83" t="s">
        <v>68</v>
      </c>
      <c r="D418" s="83">
        <v>1159790.0</v>
      </c>
      <c r="E418" s="83"/>
      <c r="F418" s="83">
        <v>2.931626E7</v>
      </c>
      <c r="G418" s="114" t="s">
        <v>5641</v>
      </c>
      <c r="H418" s="91" t="s">
        <v>1676</v>
      </c>
      <c r="I418" s="298" t="s">
        <v>149</v>
      </c>
      <c r="J418" s="83" t="s">
        <v>150</v>
      </c>
      <c r="K418" s="83" t="s">
        <v>151</v>
      </c>
      <c r="L418" s="83" t="s">
        <v>152</v>
      </c>
      <c r="M418" s="82" t="s">
        <v>5643</v>
      </c>
      <c r="N418" s="82" t="s">
        <v>5645</v>
      </c>
      <c r="O418" s="82" t="s">
        <v>5646</v>
      </c>
      <c r="P418" s="82" t="s">
        <v>5647</v>
      </c>
      <c r="Q418" s="82" t="s">
        <v>5648</v>
      </c>
      <c r="R418" s="82" t="s">
        <v>5649</v>
      </c>
      <c r="S418" s="82" t="s">
        <v>5650</v>
      </c>
      <c r="T418" s="138">
        <v>11.0</v>
      </c>
      <c r="U418" s="341">
        <v>9.0</v>
      </c>
      <c r="V418" s="106">
        <v>0.0</v>
      </c>
      <c r="W418" s="107">
        <v>0.0</v>
      </c>
      <c r="X418" s="107">
        <v>0.0</v>
      </c>
      <c r="Y418" s="107">
        <v>0.0</v>
      </c>
      <c r="Z418" s="80">
        <v>0.0</v>
      </c>
      <c r="AA418" s="140">
        <v>0.0</v>
      </c>
      <c r="AB418" s="109">
        <v>0.0</v>
      </c>
      <c r="AC418" s="109">
        <v>0.0</v>
      </c>
      <c r="AD418" s="141">
        <v>0.0</v>
      </c>
      <c r="AE418" s="80">
        <v>0.0</v>
      </c>
      <c r="AF418" s="140">
        <v>214.0</v>
      </c>
      <c r="AG418" s="109">
        <v>115.0</v>
      </c>
      <c r="AH418" s="109">
        <v>38.0</v>
      </c>
      <c r="AI418" s="141">
        <v>50.0</v>
      </c>
      <c r="AJ418" s="80">
        <v>417.0</v>
      </c>
      <c r="AK418" s="140">
        <v>0.0</v>
      </c>
      <c r="AL418" s="109">
        <v>0.0</v>
      </c>
      <c r="AM418" s="141">
        <v>0.0</v>
      </c>
      <c r="AN418" s="80">
        <v>0.0</v>
      </c>
      <c r="AO418" s="140">
        <v>0.0</v>
      </c>
      <c r="AP418" s="109">
        <v>0.0</v>
      </c>
      <c r="AQ418" s="109">
        <v>133.0</v>
      </c>
      <c r="AR418" s="80">
        <v>133.0</v>
      </c>
      <c r="AS418" s="110">
        <v>0.0</v>
      </c>
      <c r="AT418" s="110">
        <v>0.0</v>
      </c>
      <c r="AU418" s="110">
        <v>0.0</v>
      </c>
      <c r="AV418" s="142">
        <v>0.0</v>
      </c>
      <c r="AW418" s="80">
        <v>0.0</v>
      </c>
      <c r="AX418" s="113">
        <v>550.0</v>
      </c>
      <c r="AY418" s="117">
        <v>379.0</v>
      </c>
      <c r="AZ418" s="328">
        <v>171.0</v>
      </c>
      <c r="BA418" s="315">
        <v>0.0</v>
      </c>
      <c r="BB418" s="316">
        <v>550.0</v>
      </c>
      <c r="BC418" s="132" t="s">
        <v>178</v>
      </c>
      <c r="BD418" s="132" t="s">
        <v>178</v>
      </c>
      <c r="BE418" s="132" t="s">
        <v>178</v>
      </c>
      <c r="BF418" s="123"/>
      <c r="BG418" s="83">
        <v>1159790.0</v>
      </c>
      <c r="BH418" s="112">
        <v>9.0</v>
      </c>
      <c r="BI418" s="98" t="s">
        <v>155</v>
      </c>
      <c r="BJ418" s="98" t="str">
        <f t="shared" si="1"/>
        <v>INTEGRAL</v>
      </c>
      <c r="BK418" s="98" t="str">
        <f t="shared" si="2"/>
        <v>NÃO</v>
      </c>
    </row>
    <row r="419" ht="15.75" customHeight="1">
      <c r="A419" s="111" t="s">
        <v>540</v>
      </c>
      <c r="B419" s="83" t="s">
        <v>1678</v>
      </c>
      <c r="C419" s="83" t="s">
        <v>68</v>
      </c>
      <c r="D419" s="83">
        <v>1108966.0</v>
      </c>
      <c r="E419" s="83"/>
      <c r="F419" s="83">
        <v>2.916177E7</v>
      </c>
      <c r="G419" s="114" t="s">
        <v>5658</v>
      </c>
      <c r="H419" s="91" t="s">
        <v>5659</v>
      </c>
      <c r="I419" s="298" t="s">
        <v>149</v>
      </c>
      <c r="J419" s="83" t="s">
        <v>150</v>
      </c>
      <c r="K419" s="83" t="s">
        <v>168</v>
      </c>
      <c r="L419" s="83" t="s">
        <v>76</v>
      </c>
      <c r="M419" s="82" t="s">
        <v>5660</v>
      </c>
      <c r="N419" s="82" t="s">
        <v>5661</v>
      </c>
      <c r="O419" s="82" t="s">
        <v>5662</v>
      </c>
      <c r="P419" s="82" t="s">
        <v>5663</v>
      </c>
      <c r="Q419" s="82"/>
      <c r="R419" s="82"/>
      <c r="S419" s="82" t="s">
        <v>5664</v>
      </c>
      <c r="T419" s="138">
        <v>12.0</v>
      </c>
      <c r="U419" s="352">
        <v>13.0</v>
      </c>
      <c r="V419" s="106">
        <v>0.0</v>
      </c>
      <c r="W419" s="107">
        <v>0.0</v>
      </c>
      <c r="X419" s="107">
        <v>0.0</v>
      </c>
      <c r="Y419" s="107">
        <v>0.0</v>
      </c>
      <c r="Z419" s="80">
        <v>0.0</v>
      </c>
      <c r="AA419" s="140">
        <v>0.0</v>
      </c>
      <c r="AB419" s="109">
        <v>0.0</v>
      </c>
      <c r="AC419" s="109">
        <v>0.0</v>
      </c>
      <c r="AD419" s="141">
        <v>0.0</v>
      </c>
      <c r="AE419" s="80">
        <v>0.0</v>
      </c>
      <c r="AF419" s="140">
        <v>50.0</v>
      </c>
      <c r="AG419" s="109">
        <v>14.0</v>
      </c>
      <c r="AH419" s="109">
        <v>0.0</v>
      </c>
      <c r="AI419" s="141">
        <v>85.0</v>
      </c>
      <c r="AJ419" s="80">
        <v>149.0</v>
      </c>
      <c r="AK419" s="140">
        <v>0.0</v>
      </c>
      <c r="AL419" s="109">
        <v>0.0</v>
      </c>
      <c r="AM419" s="141">
        <v>0.0</v>
      </c>
      <c r="AN419" s="80">
        <v>0.0</v>
      </c>
      <c r="AO419" s="140">
        <v>0.0</v>
      </c>
      <c r="AP419" s="109">
        <v>0.0</v>
      </c>
      <c r="AQ419" s="109">
        <v>62.0</v>
      </c>
      <c r="AR419" s="80">
        <v>62.0</v>
      </c>
      <c r="AS419" s="110">
        <v>84.0</v>
      </c>
      <c r="AT419" s="110">
        <v>61.0</v>
      </c>
      <c r="AU419" s="110">
        <v>0.0</v>
      </c>
      <c r="AV419" s="142">
        <v>0.0</v>
      </c>
      <c r="AW419" s="80">
        <v>145.0</v>
      </c>
      <c r="AX419" s="113">
        <v>356.0</v>
      </c>
      <c r="AY419" s="117">
        <v>294.0</v>
      </c>
      <c r="AZ419" s="328">
        <v>62.0</v>
      </c>
      <c r="BA419" s="315">
        <v>0.0</v>
      </c>
      <c r="BB419" s="316">
        <v>356.0</v>
      </c>
      <c r="BC419" s="132" t="s">
        <v>178</v>
      </c>
      <c r="BD419" s="132" t="s">
        <v>178</v>
      </c>
      <c r="BE419" s="132" t="s">
        <v>178</v>
      </c>
      <c r="BF419" s="156"/>
      <c r="BG419" s="83">
        <v>1108966.0</v>
      </c>
      <c r="BH419" s="112">
        <v>13.0</v>
      </c>
      <c r="BI419" s="98" t="s">
        <v>155</v>
      </c>
      <c r="BJ419" s="98" t="str">
        <f t="shared" si="1"/>
        <v>INTEGRAL</v>
      </c>
      <c r="BK419" s="98" t="str">
        <f t="shared" si="2"/>
        <v>PROFISSIONAL</v>
      </c>
    </row>
    <row r="420" ht="15.75" customHeight="1">
      <c r="A420" s="111" t="s">
        <v>540</v>
      </c>
      <c r="B420" s="83" t="s">
        <v>1682</v>
      </c>
      <c r="C420" s="83" t="s">
        <v>68</v>
      </c>
      <c r="D420" s="83">
        <v>1142862.0</v>
      </c>
      <c r="E420" s="83"/>
      <c r="F420" s="83">
        <v>2.9285534E7</v>
      </c>
      <c r="G420" s="114" t="s">
        <v>1683</v>
      </c>
      <c r="H420" s="91" t="s">
        <v>1684</v>
      </c>
      <c r="I420" s="298" t="s">
        <v>149</v>
      </c>
      <c r="J420" s="83" t="s">
        <v>150</v>
      </c>
      <c r="K420" s="83" t="s">
        <v>1685</v>
      </c>
      <c r="L420" s="83" t="s">
        <v>152</v>
      </c>
      <c r="M420" s="82" t="s">
        <v>5672</v>
      </c>
      <c r="N420" s="82" t="s">
        <v>5673</v>
      </c>
      <c r="O420" s="82" t="s">
        <v>5674</v>
      </c>
      <c r="P420" s="82" t="s">
        <v>5675</v>
      </c>
      <c r="Q420" s="82"/>
      <c r="R420" s="82"/>
      <c r="S420" s="82" t="s">
        <v>5676</v>
      </c>
      <c r="T420" s="138">
        <v>6.0</v>
      </c>
      <c r="U420" s="341">
        <v>5.0</v>
      </c>
      <c r="V420" s="106">
        <v>0.0</v>
      </c>
      <c r="W420" s="107">
        <v>0.0</v>
      </c>
      <c r="X420" s="107">
        <v>0.0</v>
      </c>
      <c r="Y420" s="107">
        <v>0.0</v>
      </c>
      <c r="Z420" s="80">
        <v>0.0</v>
      </c>
      <c r="AA420" s="140">
        <v>0.0</v>
      </c>
      <c r="AB420" s="109">
        <v>0.0</v>
      </c>
      <c r="AC420" s="109">
        <v>0.0</v>
      </c>
      <c r="AD420" s="141">
        <v>0.0</v>
      </c>
      <c r="AE420" s="80">
        <v>0.0</v>
      </c>
      <c r="AF420" s="140">
        <v>0.0</v>
      </c>
      <c r="AG420" s="109">
        <v>0.0</v>
      </c>
      <c r="AH420" s="109">
        <v>0.0</v>
      </c>
      <c r="AI420" s="141">
        <v>50.0</v>
      </c>
      <c r="AJ420" s="80">
        <v>50.0</v>
      </c>
      <c r="AK420" s="140">
        <v>0.0</v>
      </c>
      <c r="AL420" s="109">
        <v>0.0</v>
      </c>
      <c r="AM420" s="141">
        <v>0.0</v>
      </c>
      <c r="AN420" s="80">
        <v>0.0</v>
      </c>
      <c r="AO420" s="140">
        <v>0.0</v>
      </c>
      <c r="AP420" s="109">
        <v>0.0</v>
      </c>
      <c r="AQ420" s="109">
        <v>31.0</v>
      </c>
      <c r="AR420" s="80">
        <v>31.0</v>
      </c>
      <c r="AS420" s="110">
        <v>0.0</v>
      </c>
      <c r="AT420" s="110">
        <v>0.0</v>
      </c>
      <c r="AU420" s="110">
        <v>0.0</v>
      </c>
      <c r="AV420" s="142">
        <v>0.0</v>
      </c>
      <c r="AW420" s="80">
        <v>0.0</v>
      </c>
      <c r="AX420" s="113">
        <v>81.0</v>
      </c>
      <c r="AY420" s="117">
        <v>50.0</v>
      </c>
      <c r="AZ420" s="328">
        <v>31.0</v>
      </c>
      <c r="BA420" s="315">
        <v>0.0</v>
      </c>
      <c r="BB420" s="316">
        <v>81.0</v>
      </c>
      <c r="BC420" s="132" t="s">
        <v>178</v>
      </c>
      <c r="BD420" s="132" t="s">
        <v>178</v>
      </c>
      <c r="BE420" s="132" t="s">
        <v>178</v>
      </c>
      <c r="BF420" s="156"/>
      <c r="BG420" s="83">
        <v>1142862.0</v>
      </c>
      <c r="BH420" s="112">
        <v>5.0</v>
      </c>
      <c r="BI420" s="98" t="s">
        <v>155</v>
      </c>
      <c r="BJ420" s="98" t="str">
        <f t="shared" si="1"/>
        <v>INTEGRAL</v>
      </c>
      <c r="BK420" s="98" t="str">
        <f t="shared" si="2"/>
        <v>NÃO</v>
      </c>
    </row>
    <row r="421" ht="15.75" customHeight="1">
      <c r="A421" s="111" t="s">
        <v>540</v>
      </c>
      <c r="B421" s="83" t="s">
        <v>1682</v>
      </c>
      <c r="C421" s="83" t="s">
        <v>164</v>
      </c>
      <c r="D421" s="83">
        <v>1142862.0</v>
      </c>
      <c r="E421" s="83">
        <v>1178330.0</v>
      </c>
      <c r="F421" s="83"/>
      <c r="G421" s="114" t="s">
        <v>1687</v>
      </c>
      <c r="H421" s="91" t="s">
        <v>1688</v>
      </c>
      <c r="I421" s="114" t="s">
        <v>1689</v>
      </c>
      <c r="J421" s="83" t="s">
        <v>1690</v>
      </c>
      <c r="K421" s="83" t="s">
        <v>168</v>
      </c>
      <c r="L421" s="83" t="s">
        <v>169</v>
      </c>
      <c r="M421" s="82" t="s">
        <v>5672</v>
      </c>
      <c r="N421" s="82" t="s">
        <v>5673</v>
      </c>
      <c r="O421" s="82" t="s">
        <v>5674</v>
      </c>
      <c r="P421" s="82" t="s">
        <v>5675</v>
      </c>
      <c r="Q421" s="82"/>
      <c r="R421" s="82"/>
      <c r="S421" s="82" t="s">
        <v>5676</v>
      </c>
      <c r="T421" s="138">
        <v>5.0</v>
      </c>
      <c r="U421" s="323">
        <v>3.0</v>
      </c>
      <c r="V421" s="106">
        <v>0.0</v>
      </c>
      <c r="W421" s="107">
        <v>0.0</v>
      </c>
      <c r="X421" s="107">
        <v>0.0</v>
      </c>
      <c r="Y421" s="107">
        <v>0.0</v>
      </c>
      <c r="Z421" s="80">
        <v>0.0</v>
      </c>
      <c r="AA421" s="140">
        <v>0.0</v>
      </c>
      <c r="AB421" s="109">
        <v>0.0</v>
      </c>
      <c r="AC421" s="109">
        <v>0.0</v>
      </c>
      <c r="AD421" s="141">
        <v>0.0</v>
      </c>
      <c r="AE421" s="80">
        <v>0.0</v>
      </c>
      <c r="AF421" s="140">
        <v>126.0</v>
      </c>
      <c r="AG421" s="109">
        <v>0.0</v>
      </c>
      <c r="AH421" s="109">
        <v>0.0</v>
      </c>
      <c r="AI421" s="141">
        <v>0.0</v>
      </c>
      <c r="AJ421" s="80">
        <v>126.0</v>
      </c>
      <c r="AK421" s="140">
        <v>0.0</v>
      </c>
      <c r="AL421" s="109">
        <v>0.0</v>
      </c>
      <c r="AM421" s="141">
        <v>0.0</v>
      </c>
      <c r="AN421" s="80">
        <v>0.0</v>
      </c>
      <c r="AO421" s="140">
        <v>0.0</v>
      </c>
      <c r="AP421" s="109">
        <v>0.0</v>
      </c>
      <c r="AQ421" s="109">
        <v>34.0</v>
      </c>
      <c r="AR421" s="80">
        <v>34.0</v>
      </c>
      <c r="AS421" s="110">
        <v>0.0</v>
      </c>
      <c r="AT421" s="110">
        <v>0.0</v>
      </c>
      <c r="AU421" s="110">
        <v>0.0</v>
      </c>
      <c r="AV421" s="142">
        <v>0.0</v>
      </c>
      <c r="AW421" s="80">
        <v>0.0</v>
      </c>
      <c r="AX421" s="113">
        <v>160.0</v>
      </c>
      <c r="AY421" s="117">
        <v>126.0</v>
      </c>
      <c r="AZ421" s="328">
        <v>34.0</v>
      </c>
      <c r="BA421" s="315">
        <v>0.0</v>
      </c>
      <c r="BB421" s="316">
        <v>160.0</v>
      </c>
      <c r="BC421" s="132" t="s">
        <v>373</v>
      </c>
      <c r="BD421" s="132" t="s">
        <v>178</v>
      </c>
      <c r="BE421" s="132" t="s">
        <v>178</v>
      </c>
      <c r="BF421" s="123"/>
      <c r="BG421" s="83">
        <v>1178330.0</v>
      </c>
      <c r="BH421" s="112">
        <v>3.0</v>
      </c>
      <c r="BI421" s="98" t="s">
        <v>155</v>
      </c>
      <c r="BJ421" s="98" t="str">
        <f t="shared" si="1"/>
        <v>NÃO</v>
      </c>
      <c r="BK421" s="98" t="str">
        <f t="shared" si="2"/>
        <v>NÃO</v>
      </c>
    </row>
    <row r="422" ht="15.75" customHeight="1">
      <c r="A422" s="111" t="s">
        <v>540</v>
      </c>
      <c r="B422" s="136" t="s">
        <v>1682</v>
      </c>
      <c r="C422" s="136" t="s">
        <v>164</v>
      </c>
      <c r="D422" s="136">
        <v>1142862.0</v>
      </c>
      <c r="E422" s="136">
        <v>1178481.0</v>
      </c>
      <c r="F422" s="136"/>
      <c r="G422" s="187" t="s">
        <v>1691</v>
      </c>
      <c r="H422" s="91" t="s">
        <v>1692</v>
      </c>
      <c r="I422" s="114" t="s">
        <v>149</v>
      </c>
      <c r="J422" s="83" t="s">
        <v>1693</v>
      </c>
      <c r="K422" s="83" t="s">
        <v>1685</v>
      </c>
      <c r="L422" s="83" t="s">
        <v>169</v>
      </c>
      <c r="M422" s="82" t="s">
        <v>5672</v>
      </c>
      <c r="N422" s="82" t="s">
        <v>5673</v>
      </c>
      <c r="O422" s="82" t="s">
        <v>5674</v>
      </c>
      <c r="P422" s="82" t="s">
        <v>5675</v>
      </c>
      <c r="Q422" s="82"/>
      <c r="R422" s="82"/>
      <c r="S422" s="82" t="s">
        <v>5676</v>
      </c>
      <c r="T422" s="138">
        <v>4.0</v>
      </c>
      <c r="U422" s="341">
        <v>3.0</v>
      </c>
      <c r="V422" s="106">
        <v>0.0</v>
      </c>
      <c r="W422" s="107">
        <v>0.0</v>
      </c>
      <c r="X422" s="107">
        <v>0.0</v>
      </c>
      <c r="Y422" s="107">
        <v>0.0</v>
      </c>
      <c r="Z422" s="80">
        <v>0.0</v>
      </c>
      <c r="AA422" s="140">
        <v>0.0</v>
      </c>
      <c r="AB422" s="109">
        <v>0.0</v>
      </c>
      <c r="AC422" s="109">
        <v>0.0</v>
      </c>
      <c r="AD422" s="141">
        <v>0.0</v>
      </c>
      <c r="AE422" s="80">
        <v>0.0</v>
      </c>
      <c r="AF422" s="140">
        <v>23.0</v>
      </c>
      <c r="AG422" s="109">
        <v>95.0</v>
      </c>
      <c r="AH422" s="109">
        <v>0.0</v>
      </c>
      <c r="AI422" s="141">
        <v>0.0</v>
      </c>
      <c r="AJ422" s="80">
        <v>118.0</v>
      </c>
      <c r="AK422" s="140">
        <v>0.0</v>
      </c>
      <c r="AL422" s="109">
        <v>0.0</v>
      </c>
      <c r="AM422" s="141">
        <v>0.0</v>
      </c>
      <c r="AN422" s="80">
        <v>0.0</v>
      </c>
      <c r="AO422" s="140">
        <v>0.0</v>
      </c>
      <c r="AP422" s="109">
        <v>0.0</v>
      </c>
      <c r="AQ422" s="109">
        <v>15.0</v>
      </c>
      <c r="AR422" s="80">
        <v>15.0</v>
      </c>
      <c r="AS422" s="110">
        <v>0.0</v>
      </c>
      <c r="AT422" s="110">
        <v>0.0</v>
      </c>
      <c r="AU422" s="110">
        <v>0.0</v>
      </c>
      <c r="AV422" s="142">
        <v>0.0</v>
      </c>
      <c r="AW422" s="80">
        <v>0.0</v>
      </c>
      <c r="AX422" s="113">
        <v>133.0</v>
      </c>
      <c r="AY422" s="117">
        <v>118.0</v>
      </c>
      <c r="AZ422" s="328">
        <v>15.0</v>
      </c>
      <c r="BA422" s="315">
        <v>0.0</v>
      </c>
      <c r="BB422" s="316">
        <v>133.0</v>
      </c>
      <c r="BC422" s="132" t="s">
        <v>373</v>
      </c>
      <c r="BD422" s="132" t="s">
        <v>178</v>
      </c>
      <c r="BE422" s="132" t="s">
        <v>178</v>
      </c>
      <c r="BF422" s="156"/>
      <c r="BG422" s="136">
        <v>1178481.0</v>
      </c>
      <c r="BH422" s="112">
        <v>3.0</v>
      </c>
      <c r="BI422" s="98" t="s">
        <v>155</v>
      </c>
      <c r="BJ422" s="98" t="str">
        <f t="shared" si="1"/>
        <v>NÃO</v>
      </c>
      <c r="BK422" s="98" t="str">
        <f t="shared" si="2"/>
        <v>NÃO</v>
      </c>
    </row>
    <row r="423" ht="15.75" customHeight="1">
      <c r="A423" s="111" t="s">
        <v>540</v>
      </c>
      <c r="B423" s="136" t="s">
        <v>1682</v>
      </c>
      <c r="C423" s="136" t="s">
        <v>164</v>
      </c>
      <c r="D423" s="136">
        <v>1142862.0</v>
      </c>
      <c r="E423" s="136">
        <v>1178479.0</v>
      </c>
      <c r="F423" s="136"/>
      <c r="G423" s="187" t="s">
        <v>1694</v>
      </c>
      <c r="H423" s="91" t="s">
        <v>1695</v>
      </c>
      <c r="I423" s="114" t="s">
        <v>149</v>
      </c>
      <c r="J423" s="83" t="s">
        <v>1696</v>
      </c>
      <c r="K423" s="83" t="s">
        <v>168</v>
      </c>
      <c r="L423" s="83" t="s">
        <v>169</v>
      </c>
      <c r="M423" s="82" t="s">
        <v>5672</v>
      </c>
      <c r="N423" s="82" t="s">
        <v>5673</v>
      </c>
      <c r="O423" s="82" t="s">
        <v>5674</v>
      </c>
      <c r="P423" s="82" t="s">
        <v>5675</v>
      </c>
      <c r="Q423" s="82"/>
      <c r="R423" s="82"/>
      <c r="S423" s="82" t="s">
        <v>5676</v>
      </c>
      <c r="T423" s="138">
        <v>4.0</v>
      </c>
      <c r="U423" s="341">
        <v>3.0</v>
      </c>
      <c r="V423" s="106">
        <v>0.0</v>
      </c>
      <c r="W423" s="107">
        <v>0.0</v>
      </c>
      <c r="X423" s="107">
        <v>0.0</v>
      </c>
      <c r="Y423" s="107">
        <v>0.0</v>
      </c>
      <c r="Z423" s="80">
        <v>0.0</v>
      </c>
      <c r="AA423" s="140">
        <v>0.0</v>
      </c>
      <c r="AB423" s="109">
        <v>0.0</v>
      </c>
      <c r="AC423" s="109">
        <v>0.0</v>
      </c>
      <c r="AD423" s="141">
        <v>0.0</v>
      </c>
      <c r="AE423" s="80">
        <v>0.0</v>
      </c>
      <c r="AF423" s="140">
        <v>0.0</v>
      </c>
      <c r="AG423" s="109">
        <v>74.0</v>
      </c>
      <c r="AH423" s="109">
        <v>0.0</v>
      </c>
      <c r="AI423" s="141">
        <v>0.0</v>
      </c>
      <c r="AJ423" s="80">
        <v>74.0</v>
      </c>
      <c r="AK423" s="140">
        <v>0.0</v>
      </c>
      <c r="AL423" s="109">
        <v>0.0</v>
      </c>
      <c r="AM423" s="141">
        <v>0.0</v>
      </c>
      <c r="AN423" s="80">
        <v>0.0</v>
      </c>
      <c r="AO423" s="140">
        <v>0.0</v>
      </c>
      <c r="AP423" s="109">
        <v>0.0</v>
      </c>
      <c r="AQ423" s="109">
        <v>21.0</v>
      </c>
      <c r="AR423" s="80">
        <v>21.0</v>
      </c>
      <c r="AS423" s="110">
        <v>0.0</v>
      </c>
      <c r="AT423" s="110">
        <v>0.0</v>
      </c>
      <c r="AU423" s="110">
        <v>0.0</v>
      </c>
      <c r="AV423" s="142">
        <v>0.0</v>
      </c>
      <c r="AW423" s="80">
        <v>0.0</v>
      </c>
      <c r="AX423" s="113">
        <v>95.0</v>
      </c>
      <c r="AY423" s="117">
        <v>74.0</v>
      </c>
      <c r="AZ423" s="328">
        <v>21.0</v>
      </c>
      <c r="BA423" s="315">
        <v>0.0</v>
      </c>
      <c r="BB423" s="316">
        <v>95.0</v>
      </c>
      <c r="BC423" s="132" t="s">
        <v>373</v>
      </c>
      <c r="BD423" s="132" t="s">
        <v>178</v>
      </c>
      <c r="BE423" s="132" t="s">
        <v>178</v>
      </c>
      <c r="BF423" s="123"/>
      <c r="BG423" s="136">
        <v>1178479.0</v>
      </c>
      <c r="BH423" s="112">
        <v>3.0</v>
      </c>
      <c r="BI423" s="98" t="s">
        <v>155</v>
      </c>
      <c r="BJ423" s="98" t="str">
        <f t="shared" si="1"/>
        <v>NÃO</v>
      </c>
      <c r="BK423" s="98" t="str">
        <f t="shared" si="2"/>
        <v>NÃO</v>
      </c>
    </row>
    <row r="424" ht="15.75" customHeight="1">
      <c r="A424" s="111" t="s">
        <v>540</v>
      </c>
      <c r="B424" s="136" t="s">
        <v>1682</v>
      </c>
      <c r="C424" s="136" t="s">
        <v>164</v>
      </c>
      <c r="D424" s="136">
        <v>1179284.0</v>
      </c>
      <c r="E424" s="136">
        <v>1178482.0</v>
      </c>
      <c r="F424" s="136"/>
      <c r="G424" s="187" t="s">
        <v>1697</v>
      </c>
      <c r="H424" s="91" t="s">
        <v>1698</v>
      </c>
      <c r="I424" s="114" t="s">
        <v>149</v>
      </c>
      <c r="J424" s="83" t="s">
        <v>1699</v>
      </c>
      <c r="K424" s="83" t="s">
        <v>168</v>
      </c>
      <c r="L424" s="83" t="s">
        <v>169</v>
      </c>
      <c r="M424" s="82" t="s">
        <v>5716</v>
      </c>
      <c r="N424" s="82" t="s">
        <v>5718</v>
      </c>
      <c r="O424" s="82" t="s">
        <v>5719</v>
      </c>
      <c r="P424" s="82" t="s">
        <v>5720</v>
      </c>
      <c r="Q424" s="82" t="s">
        <v>5721</v>
      </c>
      <c r="R424" s="82" t="s">
        <v>5724</v>
      </c>
      <c r="S424" s="82" t="s">
        <v>5725</v>
      </c>
      <c r="T424" s="138">
        <v>3.0</v>
      </c>
      <c r="U424" s="341">
        <v>3.0</v>
      </c>
      <c r="V424" s="106">
        <v>0.0</v>
      </c>
      <c r="W424" s="107">
        <v>0.0</v>
      </c>
      <c r="X424" s="107">
        <v>0.0</v>
      </c>
      <c r="Y424" s="107">
        <v>0.0</v>
      </c>
      <c r="Z424" s="80">
        <v>0.0</v>
      </c>
      <c r="AA424" s="140">
        <v>0.0</v>
      </c>
      <c r="AB424" s="109">
        <v>0.0</v>
      </c>
      <c r="AC424" s="109">
        <v>0.0</v>
      </c>
      <c r="AD424" s="141">
        <v>0.0</v>
      </c>
      <c r="AE424" s="80">
        <v>0.0</v>
      </c>
      <c r="AF424" s="140">
        <v>0.0</v>
      </c>
      <c r="AG424" s="109">
        <v>21.0</v>
      </c>
      <c r="AH424" s="109">
        <v>0.0</v>
      </c>
      <c r="AI424" s="141">
        <v>0.0</v>
      </c>
      <c r="AJ424" s="80">
        <v>21.0</v>
      </c>
      <c r="AK424" s="140">
        <v>0.0</v>
      </c>
      <c r="AL424" s="109">
        <v>0.0</v>
      </c>
      <c r="AM424" s="141">
        <v>0.0</v>
      </c>
      <c r="AN424" s="80">
        <v>0.0</v>
      </c>
      <c r="AO424" s="140">
        <v>0.0</v>
      </c>
      <c r="AP424" s="109">
        <v>0.0</v>
      </c>
      <c r="AQ424" s="109">
        <v>0.0</v>
      </c>
      <c r="AR424" s="80">
        <v>0.0</v>
      </c>
      <c r="AS424" s="110">
        <v>0.0</v>
      </c>
      <c r="AT424" s="110">
        <v>0.0</v>
      </c>
      <c r="AU424" s="110">
        <v>0.0</v>
      </c>
      <c r="AV424" s="142">
        <v>0.0</v>
      </c>
      <c r="AW424" s="80">
        <v>0.0</v>
      </c>
      <c r="AX424" s="113">
        <v>21.0</v>
      </c>
      <c r="AY424" s="117">
        <v>21.0</v>
      </c>
      <c r="AZ424" s="328">
        <v>0.0</v>
      </c>
      <c r="BA424" s="315">
        <v>0.0</v>
      </c>
      <c r="BB424" s="316">
        <v>21.0</v>
      </c>
      <c r="BC424" s="132" t="s">
        <v>373</v>
      </c>
      <c r="BD424" s="143" t="s">
        <v>227</v>
      </c>
      <c r="BE424" s="132" t="s">
        <v>178</v>
      </c>
      <c r="BF424" s="123"/>
      <c r="BG424" s="136">
        <v>1178482.0</v>
      </c>
      <c r="BH424" s="112">
        <v>3.0</v>
      </c>
      <c r="BI424" s="98" t="s">
        <v>155</v>
      </c>
      <c r="BJ424" s="98" t="str">
        <f t="shared" si="1"/>
        <v>NÃO</v>
      </c>
      <c r="BK424" s="98" t="str">
        <f t="shared" si="2"/>
        <v>NÃO</v>
      </c>
    </row>
    <row r="425" ht="15.75" customHeight="1">
      <c r="A425" s="111" t="s">
        <v>540</v>
      </c>
      <c r="B425" s="136" t="s">
        <v>1682</v>
      </c>
      <c r="C425" s="136" t="s">
        <v>164</v>
      </c>
      <c r="D425" s="136">
        <v>1179284.0</v>
      </c>
      <c r="E425" s="136">
        <v>1178480.0</v>
      </c>
      <c r="F425" s="136"/>
      <c r="G425" s="187" t="s">
        <v>1700</v>
      </c>
      <c r="H425" s="91" t="s">
        <v>1701</v>
      </c>
      <c r="I425" s="114" t="s">
        <v>149</v>
      </c>
      <c r="J425" s="83" t="s">
        <v>1702</v>
      </c>
      <c r="K425" s="83" t="s">
        <v>168</v>
      </c>
      <c r="L425" s="83" t="s">
        <v>169</v>
      </c>
      <c r="M425" s="82" t="s">
        <v>5716</v>
      </c>
      <c r="N425" s="82" t="s">
        <v>5718</v>
      </c>
      <c r="O425" s="82" t="s">
        <v>5719</v>
      </c>
      <c r="P425" s="82" t="s">
        <v>5720</v>
      </c>
      <c r="Q425" s="82" t="s">
        <v>5721</v>
      </c>
      <c r="R425" s="82" t="s">
        <v>5724</v>
      </c>
      <c r="S425" s="82" t="s">
        <v>5725</v>
      </c>
      <c r="T425" s="138">
        <v>3.0</v>
      </c>
      <c r="U425" s="341">
        <v>3.0</v>
      </c>
      <c r="V425" s="106">
        <v>0.0</v>
      </c>
      <c r="W425" s="107">
        <v>0.0</v>
      </c>
      <c r="X425" s="107">
        <v>0.0</v>
      </c>
      <c r="Y425" s="107">
        <v>0.0</v>
      </c>
      <c r="Z425" s="80">
        <v>0.0</v>
      </c>
      <c r="AA425" s="140">
        <v>0.0</v>
      </c>
      <c r="AB425" s="109">
        <v>0.0</v>
      </c>
      <c r="AC425" s="109">
        <v>0.0</v>
      </c>
      <c r="AD425" s="141">
        <v>0.0</v>
      </c>
      <c r="AE425" s="80">
        <v>0.0</v>
      </c>
      <c r="AF425" s="140">
        <v>0.0</v>
      </c>
      <c r="AG425" s="109">
        <v>0.0</v>
      </c>
      <c r="AH425" s="109">
        <v>30.0</v>
      </c>
      <c r="AI425" s="141">
        <v>0.0</v>
      </c>
      <c r="AJ425" s="80">
        <v>30.0</v>
      </c>
      <c r="AK425" s="140">
        <v>0.0</v>
      </c>
      <c r="AL425" s="109">
        <v>0.0</v>
      </c>
      <c r="AM425" s="141">
        <v>0.0</v>
      </c>
      <c r="AN425" s="80">
        <v>0.0</v>
      </c>
      <c r="AO425" s="140">
        <v>0.0</v>
      </c>
      <c r="AP425" s="109">
        <v>0.0</v>
      </c>
      <c r="AQ425" s="109">
        <v>0.0</v>
      </c>
      <c r="AR425" s="80">
        <v>0.0</v>
      </c>
      <c r="AS425" s="110">
        <v>0.0</v>
      </c>
      <c r="AT425" s="110">
        <v>0.0</v>
      </c>
      <c r="AU425" s="110">
        <v>0.0</v>
      </c>
      <c r="AV425" s="142">
        <v>0.0</v>
      </c>
      <c r="AW425" s="80">
        <v>0.0</v>
      </c>
      <c r="AX425" s="113">
        <v>30.0</v>
      </c>
      <c r="AY425" s="117">
        <v>0.0</v>
      </c>
      <c r="AZ425" s="328">
        <v>30.0</v>
      </c>
      <c r="BA425" s="315">
        <v>0.0</v>
      </c>
      <c r="BB425" s="316">
        <v>30.0</v>
      </c>
      <c r="BC425" s="132" t="s">
        <v>178</v>
      </c>
      <c r="BD425" s="143" t="s">
        <v>227</v>
      </c>
      <c r="BE425" s="132" t="s">
        <v>178</v>
      </c>
      <c r="BF425" s="123"/>
      <c r="BG425" s="136">
        <v>1178480.0</v>
      </c>
      <c r="BH425" s="112">
        <v>3.0</v>
      </c>
      <c r="BI425" s="98" t="s">
        <v>155</v>
      </c>
      <c r="BJ425" s="98" t="str">
        <f t="shared" si="1"/>
        <v>NÃO</v>
      </c>
      <c r="BK425" s="98" t="str">
        <f t="shared" si="2"/>
        <v>NÃO</v>
      </c>
    </row>
    <row r="426" ht="15.75" customHeight="1">
      <c r="A426" s="111" t="s">
        <v>540</v>
      </c>
      <c r="B426" s="136" t="s">
        <v>1682</v>
      </c>
      <c r="C426" s="136" t="s">
        <v>164</v>
      </c>
      <c r="D426" s="83">
        <v>1179284.0</v>
      </c>
      <c r="E426" s="136">
        <v>1178483.0</v>
      </c>
      <c r="F426" s="136"/>
      <c r="G426" s="187" t="s">
        <v>1703</v>
      </c>
      <c r="H426" s="91" t="s">
        <v>1704</v>
      </c>
      <c r="I426" s="114" t="s">
        <v>149</v>
      </c>
      <c r="J426" s="83" t="s">
        <v>1705</v>
      </c>
      <c r="K426" s="83" t="s">
        <v>168</v>
      </c>
      <c r="L426" s="83" t="s">
        <v>169</v>
      </c>
      <c r="M426" s="82" t="s">
        <v>5716</v>
      </c>
      <c r="N426" s="82" t="s">
        <v>5718</v>
      </c>
      <c r="O426" s="82" t="s">
        <v>5719</v>
      </c>
      <c r="P426" s="82" t="s">
        <v>5720</v>
      </c>
      <c r="Q426" s="82" t="s">
        <v>5721</v>
      </c>
      <c r="R426" s="82" t="s">
        <v>5724</v>
      </c>
      <c r="S426" s="82" t="s">
        <v>5725</v>
      </c>
      <c r="T426" s="138">
        <v>3.0</v>
      </c>
      <c r="U426" s="341">
        <v>3.0</v>
      </c>
      <c r="V426" s="106">
        <v>0.0</v>
      </c>
      <c r="W426" s="107">
        <v>0.0</v>
      </c>
      <c r="X426" s="107">
        <v>0.0</v>
      </c>
      <c r="Y426" s="107">
        <v>0.0</v>
      </c>
      <c r="Z426" s="80">
        <v>0.0</v>
      </c>
      <c r="AA426" s="140">
        <v>0.0</v>
      </c>
      <c r="AB426" s="109">
        <v>0.0</v>
      </c>
      <c r="AC426" s="109">
        <v>0.0</v>
      </c>
      <c r="AD426" s="141">
        <v>0.0</v>
      </c>
      <c r="AE426" s="80">
        <v>0.0</v>
      </c>
      <c r="AF426" s="140">
        <v>0.0</v>
      </c>
      <c r="AG426" s="109">
        <v>0.0</v>
      </c>
      <c r="AH426" s="109">
        <v>21.0</v>
      </c>
      <c r="AI426" s="141">
        <v>0.0</v>
      </c>
      <c r="AJ426" s="80">
        <v>21.0</v>
      </c>
      <c r="AK426" s="140">
        <v>0.0</v>
      </c>
      <c r="AL426" s="109">
        <v>0.0</v>
      </c>
      <c r="AM426" s="141">
        <v>0.0</v>
      </c>
      <c r="AN426" s="80">
        <v>0.0</v>
      </c>
      <c r="AO426" s="140">
        <v>0.0</v>
      </c>
      <c r="AP426" s="109">
        <v>0.0</v>
      </c>
      <c r="AQ426" s="109">
        <v>0.0</v>
      </c>
      <c r="AR426" s="80">
        <v>0.0</v>
      </c>
      <c r="AS426" s="110">
        <v>0.0</v>
      </c>
      <c r="AT426" s="110">
        <v>0.0</v>
      </c>
      <c r="AU426" s="110">
        <v>0.0</v>
      </c>
      <c r="AV426" s="142">
        <v>0.0</v>
      </c>
      <c r="AW426" s="80">
        <v>0.0</v>
      </c>
      <c r="AX426" s="113">
        <v>21.0</v>
      </c>
      <c r="AY426" s="117">
        <v>0.0</v>
      </c>
      <c r="AZ426" s="328">
        <v>21.0</v>
      </c>
      <c r="BA426" s="315">
        <v>0.0</v>
      </c>
      <c r="BB426" s="316">
        <v>21.0</v>
      </c>
      <c r="BC426" s="132" t="s">
        <v>178</v>
      </c>
      <c r="BD426" s="143" t="s">
        <v>227</v>
      </c>
      <c r="BE426" s="132" t="s">
        <v>178</v>
      </c>
      <c r="BF426" s="123"/>
      <c r="BG426" s="136">
        <v>1178483.0</v>
      </c>
      <c r="BH426" s="112">
        <v>3.0</v>
      </c>
      <c r="BI426" s="98" t="s">
        <v>155</v>
      </c>
      <c r="BJ426" s="98" t="str">
        <f t="shared" si="1"/>
        <v>NÃO</v>
      </c>
      <c r="BK426" s="98" t="str">
        <f t="shared" si="2"/>
        <v>NÃO</v>
      </c>
    </row>
    <row r="427" ht="15.75" customHeight="1">
      <c r="A427" s="111" t="s">
        <v>540</v>
      </c>
      <c r="B427" s="136" t="s">
        <v>1706</v>
      </c>
      <c r="C427" s="136" t="s">
        <v>68</v>
      </c>
      <c r="D427" s="83">
        <v>1110049.0</v>
      </c>
      <c r="E427" s="136"/>
      <c r="F427" s="136">
        <v>2.9285801E7</v>
      </c>
      <c r="G427" s="187" t="s">
        <v>1708</v>
      </c>
      <c r="H427" s="91" t="s">
        <v>1709</v>
      </c>
      <c r="I427" s="114" t="s">
        <v>149</v>
      </c>
      <c r="J427" s="83" t="s">
        <v>150</v>
      </c>
      <c r="K427" s="83" t="s">
        <v>1685</v>
      </c>
      <c r="L427" s="83" t="s">
        <v>230</v>
      </c>
      <c r="M427" s="82" t="s">
        <v>5749</v>
      </c>
      <c r="N427" s="82" t="s">
        <v>5750</v>
      </c>
      <c r="O427" s="82" t="s">
        <v>5751</v>
      </c>
      <c r="P427" s="82" t="s">
        <v>5752</v>
      </c>
      <c r="Q427" s="82" t="s">
        <v>5753</v>
      </c>
      <c r="R427" s="82"/>
      <c r="S427" s="82" t="s">
        <v>5754</v>
      </c>
      <c r="T427" s="138">
        <v>16.0</v>
      </c>
      <c r="U427" s="341">
        <v>16.0</v>
      </c>
      <c r="V427" s="106">
        <v>0.0</v>
      </c>
      <c r="W427" s="107">
        <v>0.0</v>
      </c>
      <c r="X427" s="107">
        <v>0.0</v>
      </c>
      <c r="Y427" s="107">
        <v>0.0</v>
      </c>
      <c r="Z427" s="80">
        <v>0.0</v>
      </c>
      <c r="AA427" s="140">
        <v>0.0</v>
      </c>
      <c r="AB427" s="109">
        <v>0.0</v>
      </c>
      <c r="AC427" s="109">
        <v>0.0</v>
      </c>
      <c r="AD427" s="141">
        <v>0.0</v>
      </c>
      <c r="AE427" s="80">
        <v>0.0</v>
      </c>
      <c r="AF427" s="140">
        <v>439.0</v>
      </c>
      <c r="AG427" s="109">
        <v>271.0</v>
      </c>
      <c r="AH427" s="109">
        <v>49.0</v>
      </c>
      <c r="AI427" s="141">
        <v>105.0</v>
      </c>
      <c r="AJ427" s="80">
        <v>864.0</v>
      </c>
      <c r="AK427" s="140">
        <v>0.0</v>
      </c>
      <c r="AL427" s="109">
        <v>0.0</v>
      </c>
      <c r="AM427" s="141">
        <v>0.0</v>
      </c>
      <c r="AN427" s="80">
        <v>0.0</v>
      </c>
      <c r="AO427" s="140">
        <v>0.0</v>
      </c>
      <c r="AP427" s="109">
        <v>0.0</v>
      </c>
      <c r="AQ427" s="109">
        <v>95.0</v>
      </c>
      <c r="AR427" s="80">
        <v>95.0</v>
      </c>
      <c r="AS427" s="110">
        <v>26.0</v>
      </c>
      <c r="AT427" s="110">
        <v>0.0</v>
      </c>
      <c r="AU427" s="110">
        <v>2.0</v>
      </c>
      <c r="AV427" s="142">
        <v>0.0</v>
      </c>
      <c r="AW427" s="80">
        <v>28.0</v>
      </c>
      <c r="AX427" s="113">
        <v>987.0</v>
      </c>
      <c r="AY427" s="117">
        <v>841.0</v>
      </c>
      <c r="AZ427" s="328">
        <v>146.0</v>
      </c>
      <c r="BA427" s="315">
        <v>0.0</v>
      </c>
      <c r="BB427" s="316">
        <v>987.0</v>
      </c>
      <c r="BC427" s="132" t="s">
        <v>178</v>
      </c>
      <c r="BD427" s="132" t="s">
        <v>178</v>
      </c>
      <c r="BE427" s="132" t="s">
        <v>178</v>
      </c>
      <c r="BF427" s="123"/>
      <c r="BG427" s="136">
        <v>1110049.0</v>
      </c>
      <c r="BH427" s="112">
        <v>16.0</v>
      </c>
      <c r="BI427" s="98" t="s">
        <v>155</v>
      </c>
      <c r="BJ427" s="98" t="str">
        <f t="shared" si="1"/>
        <v>INTEGRAL</v>
      </c>
      <c r="BK427" s="98" t="str">
        <f t="shared" si="2"/>
        <v>PROFISSIONAL</v>
      </c>
    </row>
    <row r="428" ht="15.75" customHeight="1">
      <c r="A428" s="111" t="s">
        <v>540</v>
      </c>
      <c r="B428" s="136" t="s">
        <v>1706</v>
      </c>
      <c r="C428" s="136" t="s">
        <v>164</v>
      </c>
      <c r="D428" s="83">
        <v>1110049.0</v>
      </c>
      <c r="E428" s="136">
        <v>1178187.0</v>
      </c>
      <c r="F428" s="136"/>
      <c r="G428" s="187" t="s">
        <v>5761</v>
      </c>
      <c r="H428" s="91" t="s">
        <v>1712</v>
      </c>
      <c r="I428" s="114" t="s">
        <v>149</v>
      </c>
      <c r="J428" s="83" t="s">
        <v>641</v>
      </c>
      <c r="K428" s="83" t="s">
        <v>168</v>
      </c>
      <c r="L428" s="83" t="s">
        <v>169</v>
      </c>
      <c r="M428" s="82" t="s">
        <v>5749</v>
      </c>
      <c r="N428" s="82" t="s">
        <v>5750</v>
      </c>
      <c r="O428" s="82" t="s">
        <v>5751</v>
      </c>
      <c r="P428" s="82" t="s">
        <v>5752</v>
      </c>
      <c r="Q428" s="82" t="s">
        <v>5753</v>
      </c>
      <c r="R428" s="82"/>
      <c r="S428" s="82" t="s">
        <v>5754</v>
      </c>
      <c r="T428" s="138">
        <v>3.0</v>
      </c>
      <c r="U428" s="341">
        <v>3.0</v>
      </c>
      <c r="V428" s="106">
        <v>0.0</v>
      </c>
      <c r="W428" s="107">
        <v>0.0</v>
      </c>
      <c r="X428" s="107">
        <v>0.0</v>
      </c>
      <c r="Y428" s="107">
        <v>0.0</v>
      </c>
      <c r="Z428" s="80">
        <v>0.0</v>
      </c>
      <c r="AA428" s="140">
        <v>0.0</v>
      </c>
      <c r="AB428" s="109">
        <v>0.0</v>
      </c>
      <c r="AC428" s="109">
        <v>0.0</v>
      </c>
      <c r="AD428" s="141">
        <v>0.0</v>
      </c>
      <c r="AE428" s="80">
        <v>0.0</v>
      </c>
      <c r="AF428" s="140">
        <v>66.0</v>
      </c>
      <c r="AG428" s="109">
        <v>42.0</v>
      </c>
      <c r="AH428" s="109">
        <v>0.0</v>
      </c>
      <c r="AI428" s="141">
        <v>0.0</v>
      </c>
      <c r="AJ428" s="80">
        <v>108.0</v>
      </c>
      <c r="AK428" s="140">
        <v>0.0</v>
      </c>
      <c r="AL428" s="109">
        <v>0.0</v>
      </c>
      <c r="AM428" s="141">
        <v>0.0</v>
      </c>
      <c r="AN428" s="80">
        <v>0.0</v>
      </c>
      <c r="AO428" s="140">
        <v>0.0</v>
      </c>
      <c r="AP428" s="109">
        <v>0.0</v>
      </c>
      <c r="AQ428" s="109">
        <v>22.0</v>
      </c>
      <c r="AR428" s="80">
        <v>22.0</v>
      </c>
      <c r="AS428" s="110">
        <v>0.0</v>
      </c>
      <c r="AT428" s="110">
        <v>0.0</v>
      </c>
      <c r="AU428" s="110">
        <v>0.0</v>
      </c>
      <c r="AV428" s="142">
        <v>0.0</v>
      </c>
      <c r="AW428" s="80">
        <v>0.0</v>
      </c>
      <c r="AX428" s="113">
        <v>130.0</v>
      </c>
      <c r="AY428" s="117">
        <v>108.0</v>
      </c>
      <c r="AZ428" s="328">
        <v>22.0</v>
      </c>
      <c r="BA428" s="315">
        <v>0.0</v>
      </c>
      <c r="BB428" s="316">
        <v>130.0</v>
      </c>
      <c r="BC428" s="132" t="s">
        <v>373</v>
      </c>
      <c r="BD428" s="132" t="s">
        <v>178</v>
      </c>
      <c r="BE428" s="132" t="s">
        <v>178</v>
      </c>
      <c r="BF428" s="123"/>
      <c r="BG428" s="136">
        <v>1178187.0</v>
      </c>
      <c r="BH428" s="112">
        <v>3.0</v>
      </c>
      <c r="BI428" s="98" t="s">
        <v>155</v>
      </c>
      <c r="BJ428" s="98" t="str">
        <f t="shared" si="1"/>
        <v>NÃO</v>
      </c>
      <c r="BK428" s="98" t="str">
        <f t="shared" si="2"/>
        <v>NÃO</v>
      </c>
    </row>
    <row r="429" ht="15.75" customHeight="1">
      <c r="A429" s="111" t="s">
        <v>540</v>
      </c>
      <c r="B429" s="83" t="s">
        <v>1706</v>
      </c>
      <c r="C429" s="83" t="s">
        <v>164</v>
      </c>
      <c r="D429" s="83">
        <v>1179284.0</v>
      </c>
      <c r="E429" s="83">
        <v>1179356.0</v>
      </c>
      <c r="F429" s="83"/>
      <c r="G429" s="114" t="s">
        <v>1713</v>
      </c>
      <c r="H429" s="91" t="s">
        <v>1714</v>
      </c>
      <c r="I429" s="114" t="s">
        <v>149</v>
      </c>
      <c r="J429" s="83" t="s">
        <v>1715</v>
      </c>
      <c r="K429" s="83" t="s">
        <v>168</v>
      </c>
      <c r="L429" s="83" t="s">
        <v>169</v>
      </c>
      <c r="M429" s="82" t="s">
        <v>5716</v>
      </c>
      <c r="N429" s="82" t="s">
        <v>5718</v>
      </c>
      <c r="O429" s="82" t="s">
        <v>5719</v>
      </c>
      <c r="P429" s="82" t="s">
        <v>5720</v>
      </c>
      <c r="Q429" s="82" t="s">
        <v>5721</v>
      </c>
      <c r="R429" s="82" t="s">
        <v>5724</v>
      </c>
      <c r="S429" s="82" t="s">
        <v>5725</v>
      </c>
      <c r="T429" s="138">
        <v>1.0</v>
      </c>
      <c r="U429" s="323">
        <v>1.0</v>
      </c>
      <c r="V429" s="106">
        <v>0.0</v>
      </c>
      <c r="W429" s="107">
        <v>0.0</v>
      </c>
      <c r="X429" s="107">
        <v>0.0</v>
      </c>
      <c r="Y429" s="107">
        <v>0.0</v>
      </c>
      <c r="Z429" s="80">
        <v>0.0</v>
      </c>
      <c r="AA429" s="140">
        <v>0.0</v>
      </c>
      <c r="AB429" s="109">
        <v>0.0</v>
      </c>
      <c r="AC429" s="109">
        <v>0.0</v>
      </c>
      <c r="AD429" s="141">
        <v>0.0</v>
      </c>
      <c r="AE429" s="80">
        <v>0.0</v>
      </c>
      <c r="AF429" s="140">
        <v>0.0</v>
      </c>
      <c r="AG429" s="109">
        <v>5.0</v>
      </c>
      <c r="AH429" s="109">
        <v>7.0</v>
      </c>
      <c r="AI429" s="141">
        <v>0.0</v>
      </c>
      <c r="AJ429" s="80">
        <v>12.0</v>
      </c>
      <c r="AK429" s="140">
        <v>0.0</v>
      </c>
      <c r="AL429" s="109">
        <v>0.0</v>
      </c>
      <c r="AM429" s="141">
        <v>0.0</v>
      </c>
      <c r="AN429" s="80">
        <v>0.0</v>
      </c>
      <c r="AO429" s="140">
        <v>0.0</v>
      </c>
      <c r="AP429" s="109">
        <v>0.0</v>
      </c>
      <c r="AQ429" s="109">
        <v>0.0</v>
      </c>
      <c r="AR429" s="80">
        <v>0.0</v>
      </c>
      <c r="AS429" s="110">
        <v>0.0</v>
      </c>
      <c r="AT429" s="110">
        <v>0.0</v>
      </c>
      <c r="AU429" s="110">
        <v>0.0</v>
      </c>
      <c r="AV429" s="142">
        <v>0.0</v>
      </c>
      <c r="AW429" s="80">
        <v>0.0</v>
      </c>
      <c r="AX429" s="113">
        <v>12.0</v>
      </c>
      <c r="AY429" s="117">
        <v>5.0</v>
      </c>
      <c r="AZ429" s="328">
        <v>7.0</v>
      </c>
      <c r="BA429" s="315">
        <v>0.0</v>
      </c>
      <c r="BB429" s="316">
        <v>12.0</v>
      </c>
      <c r="BC429" s="132" t="s">
        <v>178</v>
      </c>
      <c r="BD429" s="143" t="s">
        <v>227</v>
      </c>
      <c r="BE429" s="132" t="s">
        <v>178</v>
      </c>
      <c r="BF429" s="123"/>
      <c r="BG429" s="83">
        <v>1179356.0</v>
      </c>
      <c r="BH429" s="112">
        <v>1.0</v>
      </c>
      <c r="BI429" s="98" t="s">
        <v>155</v>
      </c>
      <c r="BJ429" s="98" t="str">
        <f t="shared" si="1"/>
        <v>NÃO</v>
      </c>
      <c r="BK429" s="98" t="str">
        <f t="shared" si="2"/>
        <v>NÃO</v>
      </c>
    </row>
    <row r="430" ht="15.75" customHeight="1">
      <c r="A430" s="111" t="s">
        <v>540</v>
      </c>
      <c r="B430" s="83" t="s">
        <v>1716</v>
      </c>
      <c r="C430" s="83" t="s">
        <v>68</v>
      </c>
      <c r="D430" s="83">
        <v>1109814.0</v>
      </c>
      <c r="E430" s="83"/>
      <c r="F430" s="83">
        <v>2.9298954E7</v>
      </c>
      <c r="G430" s="187" t="s">
        <v>1717</v>
      </c>
      <c r="H430" s="91" t="s">
        <v>1718</v>
      </c>
      <c r="I430" s="114" t="s">
        <v>149</v>
      </c>
      <c r="J430" s="83" t="s">
        <v>150</v>
      </c>
      <c r="K430" s="83" t="s">
        <v>1685</v>
      </c>
      <c r="L430" s="83" t="s">
        <v>152</v>
      </c>
      <c r="M430" s="82" t="s">
        <v>5774</v>
      </c>
      <c r="N430" s="82" t="s">
        <v>5775</v>
      </c>
      <c r="O430" s="82" t="s">
        <v>5776</v>
      </c>
      <c r="P430" s="82" t="s">
        <v>5777</v>
      </c>
      <c r="Q430" s="82"/>
      <c r="R430" s="82"/>
      <c r="S430" s="82" t="s">
        <v>5778</v>
      </c>
      <c r="T430" s="138">
        <v>19.0</v>
      </c>
      <c r="U430" s="323" t="s">
        <v>5780</v>
      </c>
      <c r="V430" s="106">
        <v>0.0</v>
      </c>
      <c r="W430" s="107">
        <v>0.0</v>
      </c>
      <c r="X430" s="107">
        <v>0.0</v>
      </c>
      <c r="Y430" s="107">
        <v>0.0</v>
      </c>
      <c r="Z430" s="80">
        <v>0.0</v>
      </c>
      <c r="AA430" s="140">
        <v>0.0</v>
      </c>
      <c r="AB430" s="109">
        <v>0.0</v>
      </c>
      <c r="AC430" s="109">
        <v>0.0</v>
      </c>
      <c r="AD430" s="141">
        <v>0.0</v>
      </c>
      <c r="AE430" s="80">
        <v>0.0</v>
      </c>
      <c r="AF430" s="140">
        <v>318.0</v>
      </c>
      <c r="AG430" s="109">
        <v>78.0</v>
      </c>
      <c r="AH430" s="109">
        <v>40.0</v>
      </c>
      <c r="AI430" s="141">
        <v>195.0</v>
      </c>
      <c r="AJ430" s="80">
        <v>631.0</v>
      </c>
      <c r="AK430" s="140">
        <v>0.0</v>
      </c>
      <c r="AL430" s="109">
        <v>0.0</v>
      </c>
      <c r="AM430" s="141">
        <v>0.0</v>
      </c>
      <c r="AN430" s="80">
        <v>0.0</v>
      </c>
      <c r="AO430" s="140">
        <v>0.0</v>
      </c>
      <c r="AP430" s="109">
        <v>0.0</v>
      </c>
      <c r="AQ430" s="109">
        <v>202.0</v>
      </c>
      <c r="AR430" s="80">
        <v>202.0</v>
      </c>
      <c r="AS430" s="110">
        <v>0.0</v>
      </c>
      <c r="AT430" s="110">
        <v>0.0</v>
      </c>
      <c r="AU430" s="110">
        <v>0.0</v>
      </c>
      <c r="AV430" s="142">
        <v>0.0</v>
      </c>
      <c r="AW430" s="80">
        <v>0.0</v>
      </c>
      <c r="AX430" s="113">
        <v>833.0</v>
      </c>
      <c r="AY430" s="117">
        <v>591.0</v>
      </c>
      <c r="AZ430" s="328">
        <v>242.0</v>
      </c>
      <c r="BA430" s="315">
        <v>1.0</v>
      </c>
      <c r="BB430" s="316">
        <v>834.0</v>
      </c>
      <c r="BC430" s="132" t="s">
        <v>178</v>
      </c>
      <c r="BD430" s="132" t="s">
        <v>178</v>
      </c>
      <c r="BE430" s="132" t="s">
        <v>178</v>
      </c>
      <c r="BF430" s="123"/>
      <c r="BG430" s="83">
        <v>1109814.0</v>
      </c>
      <c r="BH430" s="112">
        <v>15.0</v>
      </c>
      <c r="BI430" s="98" t="s">
        <v>155</v>
      </c>
      <c r="BJ430" s="98" t="str">
        <f t="shared" si="1"/>
        <v>INTEGRAL</v>
      </c>
      <c r="BK430" s="98" t="str">
        <f t="shared" si="2"/>
        <v>NÃO</v>
      </c>
    </row>
    <row r="431" ht="15.75" customHeight="1">
      <c r="A431" s="111" t="s">
        <v>540</v>
      </c>
      <c r="B431" s="83" t="s">
        <v>1716</v>
      </c>
      <c r="C431" s="83" t="s">
        <v>68</v>
      </c>
      <c r="D431" s="83">
        <v>1110111.0</v>
      </c>
      <c r="E431" s="83"/>
      <c r="F431" s="83">
        <v>2.9299063E7</v>
      </c>
      <c r="G431" s="114" t="s">
        <v>1721</v>
      </c>
      <c r="H431" s="91" t="s">
        <v>1722</v>
      </c>
      <c r="I431" s="114" t="s">
        <v>149</v>
      </c>
      <c r="J431" s="83" t="s">
        <v>150</v>
      </c>
      <c r="K431" s="83" t="s">
        <v>1685</v>
      </c>
      <c r="L431" s="83" t="s">
        <v>230</v>
      </c>
      <c r="M431" s="82" t="s">
        <v>5787</v>
      </c>
      <c r="N431" s="82" t="s">
        <v>5789</v>
      </c>
      <c r="O431" s="82" t="s">
        <v>5790</v>
      </c>
      <c r="P431" s="82" t="s">
        <v>5792</v>
      </c>
      <c r="Q431" s="82" t="s">
        <v>5793</v>
      </c>
      <c r="R431" s="82" t="s">
        <v>5795</v>
      </c>
      <c r="S431" s="82" t="s">
        <v>5796</v>
      </c>
      <c r="T431" s="138">
        <v>15.0</v>
      </c>
      <c r="U431" s="323">
        <v>15.0</v>
      </c>
      <c r="V431" s="106">
        <v>0.0</v>
      </c>
      <c r="W431" s="107">
        <v>0.0</v>
      </c>
      <c r="X431" s="107">
        <v>0.0</v>
      </c>
      <c r="Y431" s="107">
        <v>0.0</v>
      </c>
      <c r="Z431" s="80">
        <v>0.0</v>
      </c>
      <c r="AA431" s="140">
        <v>0.0</v>
      </c>
      <c r="AB431" s="109">
        <v>0.0</v>
      </c>
      <c r="AC431" s="109">
        <v>0.0</v>
      </c>
      <c r="AD431" s="141">
        <v>0.0</v>
      </c>
      <c r="AE431" s="80">
        <v>0.0</v>
      </c>
      <c r="AF431" s="140">
        <v>0.0</v>
      </c>
      <c r="AG431" s="109">
        <v>0.0</v>
      </c>
      <c r="AH431" s="109">
        <v>0.0</v>
      </c>
      <c r="AI431" s="141">
        <v>0.0</v>
      </c>
      <c r="AJ431" s="80">
        <v>0.0</v>
      </c>
      <c r="AK431" s="140">
        <v>0.0</v>
      </c>
      <c r="AL431" s="109">
        <v>0.0</v>
      </c>
      <c r="AM431" s="141">
        <v>0.0</v>
      </c>
      <c r="AN431" s="80">
        <v>0.0</v>
      </c>
      <c r="AO431" s="140">
        <v>0.0</v>
      </c>
      <c r="AP431" s="109">
        <v>0.0</v>
      </c>
      <c r="AQ431" s="109">
        <v>0.0</v>
      </c>
      <c r="AR431" s="80">
        <v>0.0</v>
      </c>
      <c r="AS431" s="110">
        <v>637.0</v>
      </c>
      <c r="AT431" s="110">
        <v>137.0</v>
      </c>
      <c r="AU431" s="110">
        <v>149.0</v>
      </c>
      <c r="AV431" s="142">
        <v>0.0</v>
      </c>
      <c r="AW431" s="80">
        <v>923.0</v>
      </c>
      <c r="AX431" s="113">
        <v>923.0</v>
      </c>
      <c r="AY431" s="117">
        <v>774.0</v>
      </c>
      <c r="AZ431" s="328">
        <v>149.0</v>
      </c>
      <c r="BA431" s="315">
        <v>0.0</v>
      </c>
      <c r="BB431" s="316">
        <v>923.0</v>
      </c>
      <c r="BC431" s="132" t="s">
        <v>178</v>
      </c>
      <c r="BD431" s="132" t="s">
        <v>522</v>
      </c>
      <c r="BE431" s="132" t="s">
        <v>178</v>
      </c>
      <c r="BF431" s="156"/>
      <c r="BG431" s="83">
        <v>1110111.0</v>
      </c>
      <c r="BH431" s="112">
        <v>15.0</v>
      </c>
      <c r="BI431" s="98" t="s">
        <v>155</v>
      </c>
      <c r="BJ431" s="98" t="str">
        <f t="shared" si="1"/>
        <v>NÃO</v>
      </c>
      <c r="BK431" s="98" t="str">
        <f t="shared" si="2"/>
        <v>PROFISSIONAL</v>
      </c>
    </row>
    <row r="432" ht="15.75" customHeight="1">
      <c r="A432" s="111" t="s">
        <v>540</v>
      </c>
      <c r="B432" s="83" t="s">
        <v>1725</v>
      </c>
      <c r="C432" s="83" t="s">
        <v>68</v>
      </c>
      <c r="D432" s="83">
        <v>1178010.0</v>
      </c>
      <c r="E432" s="83"/>
      <c r="F432" s="83">
        <v>2.9423503E7</v>
      </c>
      <c r="G432" s="114" t="s">
        <v>1726</v>
      </c>
      <c r="H432" s="91" t="s">
        <v>1727</v>
      </c>
      <c r="I432" s="114" t="s">
        <v>149</v>
      </c>
      <c r="J432" s="83" t="s">
        <v>150</v>
      </c>
      <c r="K432" s="83" t="s">
        <v>1685</v>
      </c>
      <c r="L432" s="83" t="s">
        <v>76</v>
      </c>
      <c r="M432" s="82" t="s">
        <v>5797</v>
      </c>
      <c r="N432" s="82" t="s">
        <v>5798</v>
      </c>
      <c r="O432" s="82" t="s">
        <v>5800</v>
      </c>
      <c r="P432" s="82" t="s">
        <v>5802</v>
      </c>
      <c r="Q432" s="82"/>
      <c r="R432" s="82"/>
      <c r="S432" s="82" t="s">
        <v>5804</v>
      </c>
      <c r="T432" s="138">
        <v>11.0</v>
      </c>
      <c r="U432" s="419">
        <v>8.0</v>
      </c>
      <c r="V432" s="106">
        <v>0.0</v>
      </c>
      <c r="W432" s="107">
        <v>0.0</v>
      </c>
      <c r="X432" s="107">
        <v>0.0</v>
      </c>
      <c r="Y432" s="107">
        <v>0.0</v>
      </c>
      <c r="Z432" s="80">
        <v>0.0</v>
      </c>
      <c r="AA432" s="140">
        <v>0.0</v>
      </c>
      <c r="AB432" s="109">
        <v>0.0</v>
      </c>
      <c r="AC432" s="109">
        <v>0.0</v>
      </c>
      <c r="AD432" s="141">
        <v>0.0</v>
      </c>
      <c r="AE432" s="80">
        <v>0.0</v>
      </c>
      <c r="AF432" s="140">
        <v>0.0</v>
      </c>
      <c r="AG432" s="109">
        <v>0.0</v>
      </c>
      <c r="AH432" s="109">
        <v>0.0</v>
      </c>
      <c r="AI432" s="141">
        <v>177.0</v>
      </c>
      <c r="AJ432" s="80">
        <v>177.0</v>
      </c>
      <c r="AK432" s="140">
        <v>0.0</v>
      </c>
      <c r="AL432" s="109">
        <v>0.0</v>
      </c>
      <c r="AM432" s="141">
        <v>0.0</v>
      </c>
      <c r="AN432" s="80">
        <v>0.0</v>
      </c>
      <c r="AO432" s="140">
        <v>0.0</v>
      </c>
      <c r="AP432" s="109">
        <v>0.0</v>
      </c>
      <c r="AQ432" s="109">
        <v>84.0</v>
      </c>
      <c r="AR432" s="80">
        <v>84.0</v>
      </c>
      <c r="AS432" s="110">
        <v>0.0</v>
      </c>
      <c r="AT432" s="110">
        <v>0.0</v>
      </c>
      <c r="AU432" s="110">
        <v>0.0</v>
      </c>
      <c r="AV432" s="142">
        <v>129.0</v>
      </c>
      <c r="AW432" s="80">
        <v>129.0</v>
      </c>
      <c r="AX432" s="113">
        <v>390.0</v>
      </c>
      <c r="AY432" s="117">
        <v>306.0</v>
      </c>
      <c r="AZ432" s="328">
        <v>84.0</v>
      </c>
      <c r="BA432" s="315">
        <v>0.0</v>
      </c>
      <c r="BB432" s="316">
        <v>390.0</v>
      </c>
      <c r="BC432" s="132" t="s">
        <v>178</v>
      </c>
      <c r="BD432" s="132" t="s">
        <v>178</v>
      </c>
      <c r="BE432" s="132" t="s">
        <v>178</v>
      </c>
      <c r="BF432" s="123"/>
      <c r="BG432" s="83">
        <v>1178010.0</v>
      </c>
      <c r="BH432" s="112">
        <v>8.0</v>
      </c>
      <c r="BI432" s="98" t="s">
        <v>155</v>
      </c>
      <c r="BJ432" s="98" t="str">
        <f t="shared" si="1"/>
        <v>INTEGRAL</v>
      </c>
      <c r="BK432" s="98" t="str">
        <f t="shared" si="2"/>
        <v>PROFISSIONAL</v>
      </c>
    </row>
    <row r="433" ht="15.75" customHeight="1">
      <c r="A433" s="111" t="s">
        <v>540</v>
      </c>
      <c r="B433" s="83" t="s">
        <v>1725</v>
      </c>
      <c r="C433" s="83" t="s">
        <v>68</v>
      </c>
      <c r="D433" s="83">
        <v>1179138.0</v>
      </c>
      <c r="E433" s="83"/>
      <c r="F433" s="83">
        <v>2.9448816E7</v>
      </c>
      <c r="G433" s="114" t="s">
        <v>1730</v>
      </c>
      <c r="H433" s="91" t="s">
        <v>1731</v>
      </c>
      <c r="I433" s="114" t="s">
        <v>1732</v>
      </c>
      <c r="J433" s="83" t="s">
        <v>1460</v>
      </c>
      <c r="K433" s="83" t="s">
        <v>1685</v>
      </c>
      <c r="L433" s="83" t="s">
        <v>76</v>
      </c>
      <c r="M433" s="82" t="s">
        <v>5810</v>
      </c>
      <c r="N433" s="82" t="s">
        <v>5811</v>
      </c>
      <c r="O433" s="82" t="s">
        <v>5812</v>
      </c>
      <c r="P433" s="82" t="s">
        <v>5813</v>
      </c>
      <c r="Q433" s="82"/>
      <c r="R433" s="82"/>
      <c r="S433" s="82" t="s">
        <v>5814</v>
      </c>
      <c r="T433" s="138">
        <v>6.0</v>
      </c>
      <c r="U433" s="401">
        <v>6.0</v>
      </c>
      <c r="V433" s="106">
        <v>0.0</v>
      </c>
      <c r="W433" s="107">
        <v>0.0</v>
      </c>
      <c r="X433" s="107">
        <v>0.0</v>
      </c>
      <c r="Y433" s="107">
        <v>0.0</v>
      </c>
      <c r="Z433" s="80">
        <v>0.0</v>
      </c>
      <c r="AA433" s="140">
        <v>0.0</v>
      </c>
      <c r="AB433" s="109">
        <v>0.0</v>
      </c>
      <c r="AC433" s="109">
        <v>0.0</v>
      </c>
      <c r="AD433" s="141">
        <v>0.0</v>
      </c>
      <c r="AE433" s="80">
        <v>0.0</v>
      </c>
      <c r="AF433" s="140">
        <v>181.0</v>
      </c>
      <c r="AG433" s="109">
        <v>107.0</v>
      </c>
      <c r="AH433" s="109">
        <v>0.0</v>
      </c>
      <c r="AI433" s="141">
        <v>0.0</v>
      </c>
      <c r="AJ433" s="80">
        <v>288.0</v>
      </c>
      <c r="AK433" s="140">
        <v>0.0</v>
      </c>
      <c r="AL433" s="109">
        <v>0.0</v>
      </c>
      <c r="AM433" s="141">
        <v>0.0</v>
      </c>
      <c r="AN433" s="80">
        <v>0.0</v>
      </c>
      <c r="AO433" s="140">
        <v>0.0</v>
      </c>
      <c r="AP433" s="109">
        <v>0.0</v>
      </c>
      <c r="AQ433" s="109">
        <v>68.0</v>
      </c>
      <c r="AR433" s="80">
        <v>68.0</v>
      </c>
      <c r="AS433" s="110">
        <v>0.0</v>
      </c>
      <c r="AT433" s="110">
        <v>0.0</v>
      </c>
      <c r="AU433" s="110">
        <v>0.0</v>
      </c>
      <c r="AV433" s="142">
        <v>0.0</v>
      </c>
      <c r="AW433" s="80">
        <v>0.0</v>
      </c>
      <c r="AX433" s="113">
        <v>356.0</v>
      </c>
      <c r="AY433" s="117">
        <v>288.0</v>
      </c>
      <c r="AZ433" s="328">
        <v>68.0</v>
      </c>
      <c r="BA433" s="315">
        <v>1.0</v>
      </c>
      <c r="BB433" s="316">
        <v>357.0</v>
      </c>
      <c r="BC433" s="132" t="s">
        <v>373</v>
      </c>
      <c r="BD433" s="132" t="s">
        <v>178</v>
      </c>
      <c r="BE433" s="132" t="s">
        <v>178</v>
      </c>
      <c r="BF433" s="123"/>
      <c r="BG433" s="83">
        <v>1179138.0</v>
      </c>
      <c r="BH433" s="112">
        <v>6.0</v>
      </c>
      <c r="BI433" s="98" t="s">
        <v>155</v>
      </c>
      <c r="BJ433" s="98" t="str">
        <f t="shared" si="1"/>
        <v>NÃO</v>
      </c>
      <c r="BK433" s="98" t="str">
        <f t="shared" si="2"/>
        <v>NÃO</v>
      </c>
    </row>
    <row r="434" ht="15.75" customHeight="1">
      <c r="A434" s="111" t="s">
        <v>540</v>
      </c>
      <c r="B434" s="136" t="s">
        <v>1735</v>
      </c>
      <c r="C434" s="83" t="s">
        <v>68</v>
      </c>
      <c r="D434" s="83">
        <v>1178082.0</v>
      </c>
      <c r="E434" s="83"/>
      <c r="F434" s="83">
        <v>2.9429269E7</v>
      </c>
      <c r="G434" s="114" t="s">
        <v>1736</v>
      </c>
      <c r="H434" s="91" t="s">
        <v>1737</v>
      </c>
      <c r="I434" s="114" t="s">
        <v>149</v>
      </c>
      <c r="J434" s="83" t="s">
        <v>150</v>
      </c>
      <c r="K434" s="83" t="s">
        <v>1685</v>
      </c>
      <c r="L434" s="83" t="s">
        <v>1482</v>
      </c>
      <c r="M434" s="82" t="s">
        <v>5819</v>
      </c>
      <c r="N434" s="82" t="s">
        <v>5820</v>
      </c>
      <c r="O434" s="82" t="s">
        <v>5821</v>
      </c>
      <c r="P434" s="82" t="s">
        <v>5822</v>
      </c>
      <c r="Q434" s="82"/>
      <c r="R434" s="82"/>
      <c r="S434" s="82" t="s">
        <v>5823</v>
      </c>
      <c r="T434" s="138">
        <v>10.0</v>
      </c>
      <c r="U434" s="420">
        <v>10.0</v>
      </c>
      <c r="V434" s="106">
        <v>0.0</v>
      </c>
      <c r="W434" s="107">
        <v>0.0</v>
      </c>
      <c r="X434" s="107">
        <v>0.0</v>
      </c>
      <c r="Y434" s="107">
        <v>0.0</v>
      </c>
      <c r="Z434" s="80">
        <v>0.0</v>
      </c>
      <c r="AA434" s="140">
        <v>0.0</v>
      </c>
      <c r="AB434" s="109">
        <v>0.0</v>
      </c>
      <c r="AC434" s="109">
        <v>0.0</v>
      </c>
      <c r="AD434" s="141">
        <v>0.0</v>
      </c>
      <c r="AE434" s="80">
        <v>0.0</v>
      </c>
      <c r="AF434" s="140">
        <v>93.0</v>
      </c>
      <c r="AG434" s="109">
        <v>78.0</v>
      </c>
      <c r="AH434" s="109">
        <v>0.0</v>
      </c>
      <c r="AI434" s="141">
        <v>64.0</v>
      </c>
      <c r="AJ434" s="80">
        <v>235.0</v>
      </c>
      <c r="AK434" s="140">
        <v>0.0</v>
      </c>
      <c r="AL434" s="109">
        <v>0.0</v>
      </c>
      <c r="AM434" s="141">
        <v>0.0</v>
      </c>
      <c r="AN434" s="80">
        <v>0.0</v>
      </c>
      <c r="AO434" s="140">
        <v>0.0</v>
      </c>
      <c r="AP434" s="109">
        <v>0.0</v>
      </c>
      <c r="AQ434" s="109">
        <v>40.0</v>
      </c>
      <c r="AR434" s="80">
        <v>40.0</v>
      </c>
      <c r="AS434" s="110">
        <v>0.0</v>
      </c>
      <c r="AT434" s="110">
        <v>0.0</v>
      </c>
      <c r="AU434" s="110">
        <v>0.0</v>
      </c>
      <c r="AV434" s="142">
        <v>0.0</v>
      </c>
      <c r="AW434" s="80">
        <v>0.0</v>
      </c>
      <c r="AX434" s="113">
        <v>275.0</v>
      </c>
      <c r="AY434" s="117">
        <v>235.0</v>
      </c>
      <c r="AZ434" s="328">
        <v>40.0</v>
      </c>
      <c r="BA434" s="315">
        <v>0.0</v>
      </c>
      <c r="BB434" s="316">
        <v>275.0</v>
      </c>
      <c r="BC434" s="132" t="s">
        <v>178</v>
      </c>
      <c r="BD434" s="132" t="s">
        <v>178</v>
      </c>
      <c r="BE434" s="132" t="s">
        <v>178</v>
      </c>
      <c r="BF434" s="156"/>
      <c r="BG434" s="83">
        <v>1178082.0</v>
      </c>
      <c r="BH434" s="112">
        <v>10.0</v>
      </c>
      <c r="BI434" s="98" t="s">
        <v>155</v>
      </c>
      <c r="BJ434" s="98" t="str">
        <f t="shared" si="1"/>
        <v>INTEGRAL</v>
      </c>
      <c r="BK434" s="98" t="str">
        <f t="shared" si="2"/>
        <v>NÃO</v>
      </c>
    </row>
    <row r="435" ht="15.75" customHeight="1">
      <c r="A435" s="111" t="s">
        <v>540</v>
      </c>
      <c r="B435" s="136" t="s">
        <v>1735</v>
      </c>
      <c r="C435" s="83" t="s">
        <v>45</v>
      </c>
      <c r="D435" s="83">
        <v>2.9399203E7</v>
      </c>
      <c r="E435" s="83"/>
      <c r="F435" s="83">
        <v>2.9399203E7</v>
      </c>
      <c r="G435" s="114" t="s">
        <v>1739</v>
      </c>
      <c r="H435" s="91" t="s">
        <v>1740</v>
      </c>
      <c r="I435" s="119" t="s">
        <v>1706</v>
      </c>
      <c r="J435" s="83" t="s">
        <v>1741</v>
      </c>
      <c r="K435" s="83" t="s">
        <v>168</v>
      </c>
      <c r="L435" s="83" t="s">
        <v>512</v>
      </c>
      <c r="M435" s="82" t="s">
        <v>5830</v>
      </c>
      <c r="N435" s="82" t="s">
        <v>5831</v>
      </c>
      <c r="O435" s="82"/>
      <c r="P435" s="82"/>
      <c r="Q435" s="82"/>
      <c r="R435" s="82"/>
      <c r="S435" s="82"/>
      <c r="T435" s="138">
        <v>3.0</v>
      </c>
      <c r="U435" s="341" t="s">
        <v>171</v>
      </c>
      <c r="V435" s="106">
        <v>0.0</v>
      </c>
      <c r="W435" s="107">
        <v>0.0</v>
      </c>
      <c r="X435" s="107">
        <v>0.0</v>
      </c>
      <c r="Y435" s="107">
        <v>0.0</v>
      </c>
      <c r="Z435" s="80">
        <v>0.0</v>
      </c>
      <c r="AA435" s="140">
        <v>0.0</v>
      </c>
      <c r="AB435" s="109">
        <v>0.0</v>
      </c>
      <c r="AC435" s="109">
        <v>0.0</v>
      </c>
      <c r="AD435" s="141">
        <v>0.0</v>
      </c>
      <c r="AE435" s="80">
        <v>0.0</v>
      </c>
      <c r="AF435" s="140">
        <v>0.0</v>
      </c>
      <c r="AG435" s="109">
        <v>0.0</v>
      </c>
      <c r="AH435" s="109">
        <v>0.0</v>
      </c>
      <c r="AI435" s="141">
        <v>106.0</v>
      </c>
      <c r="AJ435" s="80">
        <v>106.0</v>
      </c>
      <c r="AK435" s="140">
        <v>0.0</v>
      </c>
      <c r="AL435" s="109">
        <v>0.0</v>
      </c>
      <c r="AM435" s="141">
        <v>0.0</v>
      </c>
      <c r="AN435" s="80">
        <v>0.0</v>
      </c>
      <c r="AO435" s="140">
        <v>0.0</v>
      </c>
      <c r="AP435" s="109">
        <v>0.0</v>
      </c>
      <c r="AQ435" s="109">
        <v>0.0</v>
      </c>
      <c r="AR435" s="80">
        <v>0.0</v>
      </c>
      <c r="AS435" s="110">
        <v>0.0</v>
      </c>
      <c r="AT435" s="110">
        <v>0.0</v>
      </c>
      <c r="AU435" s="110">
        <v>0.0</v>
      </c>
      <c r="AV435" s="142">
        <v>0.0</v>
      </c>
      <c r="AW435" s="80">
        <v>0.0</v>
      </c>
      <c r="AX435" s="113">
        <v>106.0</v>
      </c>
      <c r="AY435" s="117">
        <v>106.0</v>
      </c>
      <c r="AZ435" s="328">
        <v>0.0</v>
      </c>
      <c r="BA435" s="315">
        <v>0.0</v>
      </c>
      <c r="BB435" s="316">
        <v>106.0</v>
      </c>
      <c r="BC435" s="132" t="s">
        <v>178</v>
      </c>
      <c r="BD435" s="132" t="s">
        <v>178</v>
      </c>
      <c r="BE435" s="132" t="s">
        <v>178</v>
      </c>
      <c r="BF435" s="123"/>
      <c r="BG435" s="83">
        <v>2.9399203E7</v>
      </c>
      <c r="BH435" s="112">
        <v>3.0</v>
      </c>
      <c r="BI435" s="98" t="s">
        <v>155</v>
      </c>
      <c r="BJ435" s="98" t="str">
        <f t="shared" si="1"/>
        <v>INTEGRAL</v>
      </c>
      <c r="BK435" s="98" t="str">
        <f t="shared" si="2"/>
        <v>NÃO</v>
      </c>
    </row>
    <row r="436" ht="15.75" customHeight="1">
      <c r="A436" s="111" t="s">
        <v>540</v>
      </c>
      <c r="B436" s="83" t="s">
        <v>1735</v>
      </c>
      <c r="C436" s="83" t="s">
        <v>164</v>
      </c>
      <c r="D436" s="83">
        <v>1179284.0</v>
      </c>
      <c r="E436" s="83">
        <v>1179399.0</v>
      </c>
      <c r="F436" s="83"/>
      <c r="G436" s="114" t="s">
        <v>1743</v>
      </c>
      <c r="H436" s="91" t="s">
        <v>1744</v>
      </c>
      <c r="I436" s="114" t="s">
        <v>149</v>
      </c>
      <c r="J436" s="83" t="s">
        <v>1745</v>
      </c>
      <c r="K436" s="83" t="s">
        <v>1685</v>
      </c>
      <c r="L436" s="83" t="s">
        <v>169</v>
      </c>
      <c r="M436" s="82" t="s">
        <v>5716</v>
      </c>
      <c r="N436" s="82" t="s">
        <v>5718</v>
      </c>
      <c r="O436" s="82" t="s">
        <v>5719</v>
      </c>
      <c r="P436" s="82" t="s">
        <v>5720</v>
      </c>
      <c r="Q436" s="82" t="s">
        <v>5721</v>
      </c>
      <c r="R436" s="82" t="s">
        <v>5724</v>
      </c>
      <c r="S436" s="82" t="s">
        <v>5725</v>
      </c>
      <c r="T436" s="138">
        <v>3.0</v>
      </c>
      <c r="U436" s="341">
        <v>3.0</v>
      </c>
      <c r="V436" s="106">
        <v>0.0</v>
      </c>
      <c r="W436" s="107">
        <v>0.0</v>
      </c>
      <c r="X436" s="107">
        <v>0.0</v>
      </c>
      <c r="Y436" s="107">
        <v>0.0</v>
      </c>
      <c r="Z436" s="80">
        <v>0.0</v>
      </c>
      <c r="AA436" s="140">
        <v>0.0</v>
      </c>
      <c r="AB436" s="109">
        <v>0.0</v>
      </c>
      <c r="AC436" s="109">
        <v>0.0</v>
      </c>
      <c r="AD436" s="141">
        <v>0.0</v>
      </c>
      <c r="AE436" s="80">
        <v>0.0</v>
      </c>
      <c r="AF436" s="140">
        <v>33.0</v>
      </c>
      <c r="AG436" s="109">
        <v>0.0</v>
      </c>
      <c r="AH436" s="109">
        <v>0.0</v>
      </c>
      <c r="AI436" s="141">
        <v>0.0</v>
      </c>
      <c r="AJ436" s="80">
        <v>33.0</v>
      </c>
      <c r="AK436" s="140">
        <v>0.0</v>
      </c>
      <c r="AL436" s="109">
        <v>0.0</v>
      </c>
      <c r="AM436" s="141">
        <v>0.0</v>
      </c>
      <c r="AN436" s="80">
        <v>0.0</v>
      </c>
      <c r="AO436" s="140">
        <v>0.0</v>
      </c>
      <c r="AP436" s="109">
        <v>0.0</v>
      </c>
      <c r="AQ436" s="109">
        <v>0.0</v>
      </c>
      <c r="AR436" s="80">
        <v>0.0</v>
      </c>
      <c r="AS436" s="110">
        <v>0.0</v>
      </c>
      <c r="AT436" s="110">
        <v>0.0</v>
      </c>
      <c r="AU436" s="110">
        <v>0.0</v>
      </c>
      <c r="AV436" s="142">
        <v>0.0</v>
      </c>
      <c r="AW436" s="80">
        <v>0.0</v>
      </c>
      <c r="AX436" s="113">
        <v>33.0</v>
      </c>
      <c r="AY436" s="117">
        <v>33.0</v>
      </c>
      <c r="AZ436" s="328">
        <v>0.0</v>
      </c>
      <c r="BA436" s="315">
        <v>0.0</v>
      </c>
      <c r="BB436" s="316">
        <v>33.0</v>
      </c>
      <c r="BC436" s="132" t="s">
        <v>178</v>
      </c>
      <c r="BD436" s="143" t="s">
        <v>227</v>
      </c>
      <c r="BE436" s="132" t="s">
        <v>178</v>
      </c>
      <c r="BF436" s="123"/>
      <c r="BG436" s="83">
        <v>1179399.0</v>
      </c>
      <c r="BH436" s="112">
        <v>3.0</v>
      </c>
      <c r="BI436" s="98" t="s">
        <v>155</v>
      </c>
      <c r="BJ436" s="98" t="str">
        <f t="shared" si="1"/>
        <v>NÃO</v>
      </c>
      <c r="BK436" s="98" t="str">
        <f t="shared" si="2"/>
        <v>NÃO</v>
      </c>
    </row>
    <row r="437" ht="15.75" customHeight="1">
      <c r="A437" s="111" t="s">
        <v>540</v>
      </c>
      <c r="B437" s="83" t="s">
        <v>1735</v>
      </c>
      <c r="C437" s="83" t="s">
        <v>164</v>
      </c>
      <c r="D437" s="83">
        <v>1179284.0</v>
      </c>
      <c r="E437" s="83">
        <v>1179355.0</v>
      </c>
      <c r="F437" s="83"/>
      <c r="G437" s="114" t="s">
        <v>1746</v>
      </c>
      <c r="H437" s="91" t="s">
        <v>1747</v>
      </c>
      <c r="I437" s="187" t="s">
        <v>149</v>
      </c>
      <c r="J437" s="83" t="s">
        <v>1748</v>
      </c>
      <c r="K437" s="83" t="s">
        <v>168</v>
      </c>
      <c r="L437" s="83" t="s">
        <v>169</v>
      </c>
      <c r="M437" s="82" t="s">
        <v>5716</v>
      </c>
      <c r="N437" s="82" t="s">
        <v>5718</v>
      </c>
      <c r="O437" s="82" t="s">
        <v>5719</v>
      </c>
      <c r="P437" s="82" t="s">
        <v>5720</v>
      </c>
      <c r="Q437" s="82" t="s">
        <v>5721</v>
      </c>
      <c r="R437" s="82" t="s">
        <v>5724</v>
      </c>
      <c r="S437" s="82" t="s">
        <v>5725</v>
      </c>
      <c r="T437" s="138">
        <v>2.0</v>
      </c>
      <c r="U437" s="364">
        <v>2.0</v>
      </c>
      <c r="V437" s="106">
        <v>0.0</v>
      </c>
      <c r="W437" s="107">
        <v>0.0</v>
      </c>
      <c r="X437" s="107">
        <v>0.0</v>
      </c>
      <c r="Y437" s="107">
        <v>0.0</v>
      </c>
      <c r="Z437" s="80">
        <v>0.0</v>
      </c>
      <c r="AA437" s="140">
        <v>0.0</v>
      </c>
      <c r="AB437" s="109">
        <v>0.0</v>
      </c>
      <c r="AC437" s="109">
        <v>0.0</v>
      </c>
      <c r="AD437" s="141">
        <v>0.0</v>
      </c>
      <c r="AE437" s="80">
        <v>0.0</v>
      </c>
      <c r="AF437" s="246">
        <v>0.0</v>
      </c>
      <c r="AG437" s="246">
        <v>17.0</v>
      </c>
      <c r="AH437" s="246">
        <v>0.0</v>
      </c>
      <c r="AI437" s="247">
        <v>0.0</v>
      </c>
      <c r="AJ437" s="80">
        <v>17.0</v>
      </c>
      <c r="AK437" s="140">
        <v>0.0</v>
      </c>
      <c r="AL437" s="109">
        <v>0.0</v>
      </c>
      <c r="AM437" s="141">
        <v>0.0</v>
      </c>
      <c r="AN437" s="80">
        <v>0.0</v>
      </c>
      <c r="AO437" s="246">
        <v>0.0</v>
      </c>
      <c r="AP437" s="246">
        <v>0.0</v>
      </c>
      <c r="AQ437" s="247">
        <v>0.0</v>
      </c>
      <c r="AR437" s="80">
        <v>0.0</v>
      </c>
      <c r="AS437" s="110">
        <v>0.0</v>
      </c>
      <c r="AT437" s="110">
        <v>0.0</v>
      </c>
      <c r="AU437" s="110">
        <v>0.0</v>
      </c>
      <c r="AV437" s="142">
        <v>0.0</v>
      </c>
      <c r="AW437" s="80">
        <v>0.0</v>
      </c>
      <c r="AX437" s="113">
        <v>17.0</v>
      </c>
      <c r="AY437" s="117">
        <v>17.0</v>
      </c>
      <c r="AZ437" s="328">
        <v>0.0</v>
      </c>
      <c r="BA437" s="315">
        <v>45.0</v>
      </c>
      <c r="BB437" s="316">
        <v>62.0</v>
      </c>
      <c r="BC437" s="132" t="s">
        <v>178</v>
      </c>
      <c r="BD437" s="143" t="s">
        <v>227</v>
      </c>
      <c r="BE437" s="132" t="s">
        <v>178</v>
      </c>
      <c r="BF437" s="156"/>
      <c r="BG437" s="83">
        <v>1179355.0</v>
      </c>
      <c r="BH437" s="112">
        <v>2.0</v>
      </c>
      <c r="BI437" s="98" t="s">
        <v>155</v>
      </c>
      <c r="BJ437" s="98" t="str">
        <f t="shared" si="1"/>
        <v>NÃO</v>
      </c>
      <c r="BK437" s="98" t="str">
        <f t="shared" si="2"/>
        <v>NÃO</v>
      </c>
    </row>
    <row r="438" ht="15.75" customHeight="1">
      <c r="A438" s="111" t="s">
        <v>540</v>
      </c>
      <c r="B438" s="83" t="s">
        <v>1735</v>
      </c>
      <c r="C438" s="83" t="s">
        <v>164</v>
      </c>
      <c r="D438" s="83">
        <v>1179284.0</v>
      </c>
      <c r="E438" s="83">
        <v>1178484.0</v>
      </c>
      <c r="F438" s="83"/>
      <c r="G438" s="114" t="s">
        <v>1749</v>
      </c>
      <c r="H438" s="91" t="s">
        <v>1750</v>
      </c>
      <c r="I438" s="187" t="s">
        <v>149</v>
      </c>
      <c r="J438" s="83" t="s">
        <v>187</v>
      </c>
      <c r="K438" s="83" t="s">
        <v>168</v>
      </c>
      <c r="L438" s="83" t="s">
        <v>169</v>
      </c>
      <c r="M438" s="82" t="s">
        <v>5716</v>
      </c>
      <c r="N438" s="82" t="s">
        <v>5718</v>
      </c>
      <c r="O438" s="82" t="s">
        <v>5719</v>
      </c>
      <c r="P438" s="82" t="s">
        <v>5720</v>
      </c>
      <c r="Q438" s="82" t="s">
        <v>5721</v>
      </c>
      <c r="R438" s="82" t="s">
        <v>5724</v>
      </c>
      <c r="S438" s="82" t="s">
        <v>5725</v>
      </c>
      <c r="T438" s="138">
        <v>3.0</v>
      </c>
      <c r="U438" s="341">
        <v>3.0</v>
      </c>
      <c r="V438" s="106">
        <v>0.0</v>
      </c>
      <c r="W438" s="107">
        <v>0.0</v>
      </c>
      <c r="X438" s="107">
        <v>0.0</v>
      </c>
      <c r="Y438" s="107">
        <v>0.0</v>
      </c>
      <c r="Z438" s="80">
        <v>0.0</v>
      </c>
      <c r="AA438" s="140">
        <v>0.0</v>
      </c>
      <c r="AB438" s="109">
        <v>0.0</v>
      </c>
      <c r="AC438" s="109">
        <v>0.0</v>
      </c>
      <c r="AD438" s="141">
        <v>0.0</v>
      </c>
      <c r="AE438" s="80">
        <v>0.0</v>
      </c>
      <c r="AF438" s="140">
        <v>0.0</v>
      </c>
      <c r="AG438" s="109">
        <v>42.0</v>
      </c>
      <c r="AH438" s="109">
        <v>0.0</v>
      </c>
      <c r="AI438" s="141">
        <v>0.0</v>
      </c>
      <c r="AJ438" s="80">
        <v>42.0</v>
      </c>
      <c r="AK438" s="140">
        <v>0.0</v>
      </c>
      <c r="AL438" s="109">
        <v>0.0</v>
      </c>
      <c r="AM438" s="141">
        <v>0.0</v>
      </c>
      <c r="AN438" s="80">
        <v>0.0</v>
      </c>
      <c r="AO438" s="140">
        <v>0.0</v>
      </c>
      <c r="AP438" s="109">
        <v>0.0</v>
      </c>
      <c r="AQ438" s="109">
        <v>0.0</v>
      </c>
      <c r="AR438" s="80">
        <v>0.0</v>
      </c>
      <c r="AS438" s="110">
        <v>0.0</v>
      </c>
      <c r="AT438" s="110">
        <v>0.0</v>
      </c>
      <c r="AU438" s="110">
        <v>0.0</v>
      </c>
      <c r="AV438" s="142">
        <v>0.0</v>
      </c>
      <c r="AW438" s="80">
        <v>0.0</v>
      </c>
      <c r="AX438" s="113">
        <v>42.0</v>
      </c>
      <c r="AY438" s="117">
        <v>42.0</v>
      </c>
      <c r="AZ438" s="328">
        <v>0.0</v>
      </c>
      <c r="BA438" s="315">
        <v>0.0</v>
      </c>
      <c r="BB438" s="316">
        <v>42.0</v>
      </c>
      <c r="BC438" s="132" t="s">
        <v>178</v>
      </c>
      <c r="BD438" s="143" t="s">
        <v>227</v>
      </c>
      <c r="BE438" s="132" t="s">
        <v>178</v>
      </c>
      <c r="BF438" s="156"/>
      <c r="BG438" s="83">
        <v>1178484.0</v>
      </c>
      <c r="BH438" s="112">
        <v>3.0</v>
      </c>
      <c r="BI438" s="98" t="s">
        <v>155</v>
      </c>
      <c r="BJ438" s="98" t="str">
        <f t="shared" si="1"/>
        <v>NÃO</v>
      </c>
      <c r="BK438" s="98" t="str">
        <f t="shared" si="2"/>
        <v>NÃO</v>
      </c>
    </row>
    <row r="439" ht="15.75" customHeight="1">
      <c r="A439" s="111" t="s">
        <v>540</v>
      </c>
      <c r="B439" s="83" t="s">
        <v>1751</v>
      </c>
      <c r="C439" s="83" t="s">
        <v>68</v>
      </c>
      <c r="D439" s="83">
        <v>1110251.0</v>
      </c>
      <c r="E439" s="83"/>
      <c r="F439" s="83">
        <v>2.9287235E7</v>
      </c>
      <c r="G439" s="114" t="s">
        <v>1752</v>
      </c>
      <c r="H439" s="91" t="s">
        <v>1753</v>
      </c>
      <c r="I439" s="187" t="s">
        <v>1754</v>
      </c>
      <c r="J439" s="83" t="s">
        <v>150</v>
      </c>
      <c r="K439" s="83" t="s">
        <v>1685</v>
      </c>
      <c r="L439" s="83" t="s">
        <v>152</v>
      </c>
      <c r="M439" s="82" t="s">
        <v>5852</v>
      </c>
      <c r="N439" s="82" t="s">
        <v>5853</v>
      </c>
      <c r="O439" s="82" t="s">
        <v>5854</v>
      </c>
      <c r="P439" s="82" t="s">
        <v>5855</v>
      </c>
      <c r="Q439" s="82" t="s">
        <v>5856</v>
      </c>
      <c r="R439" s="82" t="s">
        <v>5857</v>
      </c>
      <c r="S439" s="82" t="s">
        <v>5858</v>
      </c>
      <c r="T439" s="138">
        <v>16.0</v>
      </c>
      <c r="U439" s="341">
        <v>14.0</v>
      </c>
      <c r="V439" s="106">
        <v>0.0</v>
      </c>
      <c r="W439" s="107">
        <v>0.0</v>
      </c>
      <c r="X439" s="107">
        <v>0.0</v>
      </c>
      <c r="Y439" s="107">
        <v>0.0</v>
      </c>
      <c r="Z439" s="80">
        <v>0.0</v>
      </c>
      <c r="AA439" s="140">
        <v>0.0</v>
      </c>
      <c r="AB439" s="109">
        <v>0.0</v>
      </c>
      <c r="AC439" s="109">
        <v>0.0</v>
      </c>
      <c r="AD439" s="141">
        <v>0.0</v>
      </c>
      <c r="AE439" s="80">
        <v>0.0</v>
      </c>
      <c r="AF439" s="140">
        <v>277.0</v>
      </c>
      <c r="AG439" s="109">
        <v>293.0</v>
      </c>
      <c r="AH439" s="109">
        <v>41.0</v>
      </c>
      <c r="AI439" s="141">
        <v>0.0</v>
      </c>
      <c r="AJ439" s="80">
        <v>611.0</v>
      </c>
      <c r="AK439" s="140">
        <v>0.0</v>
      </c>
      <c r="AL439" s="109">
        <v>0.0</v>
      </c>
      <c r="AM439" s="141">
        <v>0.0</v>
      </c>
      <c r="AN439" s="80">
        <v>0.0</v>
      </c>
      <c r="AO439" s="140">
        <v>0.0</v>
      </c>
      <c r="AP439" s="109">
        <v>0.0</v>
      </c>
      <c r="AQ439" s="109">
        <v>110.0</v>
      </c>
      <c r="AR439" s="80">
        <v>110.0</v>
      </c>
      <c r="AS439" s="110">
        <v>93.0</v>
      </c>
      <c r="AT439" s="110">
        <v>0.0</v>
      </c>
      <c r="AU439" s="110">
        <v>0.0</v>
      </c>
      <c r="AV439" s="142">
        <v>0.0</v>
      </c>
      <c r="AW439" s="80">
        <v>93.0</v>
      </c>
      <c r="AX439" s="113">
        <v>814.0</v>
      </c>
      <c r="AY439" s="117">
        <v>663.0</v>
      </c>
      <c r="AZ439" s="328">
        <v>151.0</v>
      </c>
      <c r="BA439" s="315">
        <v>0.0</v>
      </c>
      <c r="BB439" s="316">
        <v>814.0</v>
      </c>
      <c r="BC439" s="132" t="s">
        <v>178</v>
      </c>
      <c r="BD439" s="132" t="s">
        <v>178</v>
      </c>
      <c r="BE439" s="132" t="s">
        <v>178</v>
      </c>
      <c r="BF439" s="156"/>
      <c r="BG439" s="83">
        <v>1110251.0</v>
      </c>
      <c r="BH439" s="112">
        <v>14.0</v>
      </c>
      <c r="BI439" s="98" t="s">
        <v>284</v>
      </c>
      <c r="BJ439" s="98" t="str">
        <f t="shared" si="1"/>
        <v>NÃO</v>
      </c>
      <c r="BK439" s="98" t="str">
        <f t="shared" si="2"/>
        <v>PROFISSIONAL</v>
      </c>
    </row>
    <row r="440" ht="15.75" customHeight="1">
      <c r="A440" s="111" t="s">
        <v>540</v>
      </c>
      <c r="B440" s="83" t="s">
        <v>1751</v>
      </c>
      <c r="C440" s="83" t="s">
        <v>164</v>
      </c>
      <c r="D440" s="83">
        <v>1110251.0</v>
      </c>
      <c r="E440" s="83">
        <v>1170701.0</v>
      </c>
      <c r="F440" s="83"/>
      <c r="G440" s="114" t="s">
        <v>1756</v>
      </c>
      <c r="H440" s="91" t="s">
        <v>1757</v>
      </c>
      <c r="I440" s="187" t="s">
        <v>149</v>
      </c>
      <c r="J440" s="83" t="s">
        <v>187</v>
      </c>
      <c r="K440" s="83" t="s">
        <v>1685</v>
      </c>
      <c r="L440" s="83" t="s">
        <v>169</v>
      </c>
      <c r="M440" s="82" t="s">
        <v>5852</v>
      </c>
      <c r="N440" s="82" t="s">
        <v>5853</v>
      </c>
      <c r="O440" s="82" t="s">
        <v>5854</v>
      </c>
      <c r="P440" s="82" t="s">
        <v>5855</v>
      </c>
      <c r="Q440" s="82" t="s">
        <v>5856</v>
      </c>
      <c r="R440" s="82" t="s">
        <v>5857</v>
      </c>
      <c r="S440" s="82" t="s">
        <v>5858</v>
      </c>
      <c r="T440" s="138">
        <v>4.0</v>
      </c>
      <c r="U440" s="341" t="s">
        <v>171</v>
      </c>
      <c r="V440" s="106">
        <v>0.0</v>
      </c>
      <c r="W440" s="107">
        <v>0.0</v>
      </c>
      <c r="X440" s="107">
        <v>0.0</v>
      </c>
      <c r="Y440" s="107">
        <v>0.0</v>
      </c>
      <c r="Z440" s="80">
        <v>0.0</v>
      </c>
      <c r="AA440" s="140">
        <v>0.0</v>
      </c>
      <c r="AB440" s="109">
        <v>0.0</v>
      </c>
      <c r="AC440" s="109">
        <v>0.0</v>
      </c>
      <c r="AD440" s="141">
        <v>0.0</v>
      </c>
      <c r="AE440" s="80">
        <v>0.0</v>
      </c>
      <c r="AF440" s="140">
        <v>0.0</v>
      </c>
      <c r="AG440" s="109">
        <v>17.0</v>
      </c>
      <c r="AH440" s="109">
        <v>0.0</v>
      </c>
      <c r="AI440" s="141">
        <v>0.0</v>
      </c>
      <c r="AJ440" s="80">
        <v>17.0</v>
      </c>
      <c r="AK440" s="140">
        <v>0.0</v>
      </c>
      <c r="AL440" s="109">
        <v>0.0</v>
      </c>
      <c r="AM440" s="141">
        <v>0.0</v>
      </c>
      <c r="AN440" s="80">
        <v>0.0</v>
      </c>
      <c r="AO440" s="140">
        <v>0.0</v>
      </c>
      <c r="AP440" s="109">
        <v>0.0</v>
      </c>
      <c r="AQ440" s="109">
        <v>0.0</v>
      </c>
      <c r="AR440" s="80">
        <v>0.0</v>
      </c>
      <c r="AS440" s="110">
        <v>0.0</v>
      </c>
      <c r="AT440" s="110">
        <v>0.0</v>
      </c>
      <c r="AU440" s="110">
        <v>0.0</v>
      </c>
      <c r="AV440" s="142">
        <v>17.0</v>
      </c>
      <c r="AW440" s="80">
        <v>17.0</v>
      </c>
      <c r="AX440" s="113">
        <v>34.0</v>
      </c>
      <c r="AY440" s="117">
        <v>34.0</v>
      </c>
      <c r="AZ440" s="328">
        <v>0.0</v>
      </c>
      <c r="BA440" s="315">
        <v>0.0</v>
      </c>
      <c r="BB440" s="316">
        <v>34.0</v>
      </c>
      <c r="BC440" s="132" t="s">
        <v>631</v>
      </c>
      <c r="BD440" s="132" t="s">
        <v>178</v>
      </c>
      <c r="BE440" s="132" t="s">
        <v>178</v>
      </c>
      <c r="BF440" s="123"/>
      <c r="BG440" s="83">
        <v>1170701.0</v>
      </c>
      <c r="BH440" s="112">
        <v>4.0</v>
      </c>
      <c r="BI440" s="98" t="s">
        <v>155</v>
      </c>
      <c r="BJ440" s="98" t="str">
        <f t="shared" si="1"/>
        <v>INTEGRAL</v>
      </c>
      <c r="BK440" s="98" t="str">
        <f t="shared" si="2"/>
        <v>PROFISSIONAL</v>
      </c>
    </row>
    <row r="441" ht="15.75" customHeight="1">
      <c r="A441" s="111" t="s">
        <v>540</v>
      </c>
      <c r="B441" s="83" t="s">
        <v>1758</v>
      </c>
      <c r="C441" s="83" t="s">
        <v>68</v>
      </c>
      <c r="D441" s="83">
        <v>1109229.0</v>
      </c>
      <c r="E441" s="83"/>
      <c r="F441" s="83">
        <v>2.9166829E7</v>
      </c>
      <c r="G441" s="119" t="s">
        <v>5870</v>
      </c>
      <c r="H441" s="91" t="s">
        <v>1760</v>
      </c>
      <c r="I441" s="114" t="s">
        <v>149</v>
      </c>
      <c r="J441" s="83" t="s">
        <v>150</v>
      </c>
      <c r="K441" s="83" t="s">
        <v>1685</v>
      </c>
      <c r="L441" s="83" t="s">
        <v>169</v>
      </c>
      <c r="M441" s="82" t="s">
        <v>5871</v>
      </c>
      <c r="N441" s="82" t="s">
        <v>5872</v>
      </c>
      <c r="O441" s="82" t="s">
        <v>5873</v>
      </c>
      <c r="P441" s="82" t="s">
        <v>5874</v>
      </c>
      <c r="Q441" s="82"/>
      <c r="R441" s="82"/>
      <c r="S441" s="82" t="s">
        <v>5875</v>
      </c>
      <c r="T441" s="138">
        <v>8.0</v>
      </c>
      <c r="U441" s="341">
        <v>6.0</v>
      </c>
      <c r="V441" s="106">
        <v>0.0</v>
      </c>
      <c r="W441" s="107">
        <v>0.0</v>
      </c>
      <c r="X441" s="107">
        <v>0.0</v>
      </c>
      <c r="Y441" s="107">
        <v>0.0</v>
      </c>
      <c r="Z441" s="80">
        <v>0.0</v>
      </c>
      <c r="AA441" s="140">
        <v>0.0</v>
      </c>
      <c r="AB441" s="109">
        <v>0.0</v>
      </c>
      <c r="AC441" s="109">
        <v>0.0</v>
      </c>
      <c r="AD441" s="141">
        <v>0.0</v>
      </c>
      <c r="AE441" s="80">
        <v>0.0</v>
      </c>
      <c r="AF441" s="140">
        <v>0.0</v>
      </c>
      <c r="AG441" s="109">
        <v>0.0</v>
      </c>
      <c r="AH441" s="109">
        <v>0.0</v>
      </c>
      <c r="AI441" s="141">
        <v>38.0</v>
      </c>
      <c r="AJ441" s="80">
        <v>38.0</v>
      </c>
      <c r="AK441" s="140">
        <v>0.0</v>
      </c>
      <c r="AL441" s="109">
        <v>0.0</v>
      </c>
      <c r="AM441" s="141">
        <v>0.0</v>
      </c>
      <c r="AN441" s="80">
        <v>0.0</v>
      </c>
      <c r="AO441" s="140">
        <v>0.0</v>
      </c>
      <c r="AP441" s="109">
        <v>0.0</v>
      </c>
      <c r="AQ441" s="109">
        <v>28.0</v>
      </c>
      <c r="AR441" s="80">
        <v>28.0</v>
      </c>
      <c r="AS441" s="110">
        <v>0.0</v>
      </c>
      <c r="AT441" s="110">
        <v>0.0</v>
      </c>
      <c r="AU441" s="110">
        <v>0.0</v>
      </c>
      <c r="AV441" s="142">
        <v>77.0</v>
      </c>
      <c r="AW441" s="80">
        <v>77.0</v>
      </c>
      <c r="AX441" s="113">
        <v>143.0</v>
      </c>
      <c r="AY441" s="117">
        <v>115.0</v>
      </c>
      <c r="AZ441" s="328">
        <v>28.0</v>
      </c>
      <c r="BA441" s="315">
        <v>0.0</v>
      </c>
      <c r="BB441" s="316">
        <v>143.0</v>
      </c>
      <c r="BC441" s="132" t="s">
        <v>178</v>
      </c>
      <c r="BD441" s="132" t="s">
        <v>178</v>
      </c>
      <c r="BE441" s="132" t="s">
        <v>178</v>
      </c>
      <c r="BF441" s="123"/>
      <c r="BG441" s="83">
        <v>1109229.0</v>
      </c>
      <c r="BH441" s="112">
        <v>6.0</v>
      </c>
      <c r="BI441" s="98" t="s">
        <v>162</v>
      </c>
      <c r="BJ441" s="98" t="str">
        <f t="shared" si="1"/>
        <v>INTEGRAL</v>
      </c>
      <c r="BK441" s="98" t="str">
        <f t="shared" si="2"/>
        <v>PROFISSIONAL</v>
      </c>
    </row>
    <row r="442" ht="15.75" customHeight="1">
      <c r="A442" s="111" t="s">
        <v>540</v>
      </c>
      <c r="B442" s="83" t="s">
        <v>1758</v>
      </c>
      <c r="C442" s="83" t="s">
        <v>164</v>
      </c>
      <c r="D442" s="83">
        <v>1109229.0</v>
      </c>
      <c r="E442" s="83">
        <v>1179259.0</v>
      </c>
      <c r="F442" s="83"/>
      <c r="G442" s="114" t="s">
        <v>1763</v>
      </c>
      <c r="H442" s="91" t="s">
        <v>1764</v>
      </c>
      <c r="I442" s="114" t="s">
        <v>149</v>
      </c>
      <c r="J442" s="83" t="s">
        <v>1765</v>
      </c>
      <c r="K442" s="83" t="s">
        <v>168</v>
      </c>
      <c r="L442" s="83" t="s">
        <v>169</v>
      </c>
      <c r="M442" s="82" t="s">
        <v>5871</v>
      </c>
      <c r="N442" s="82" t="s">
        <v>5872</v>
      </c>
      <c r="O442" s="82" t="s">
        <v>5873</v>
      </c>
      <c r="P442" s="82" t="s">
        <v>5874</v>
      </c>
      <c r="Q442" s="82"/>
      <c r="R442" s="82"/>
      <c r="S442" s="82" t="s">
        <v>5875</v>
      </c>
      <c r="T442" s="138">
        <v>6.0</v>
      </c>
      <c r="U442" s="364">
        <v>4.0</v>
      </c>
      <c r="V442" s="106">
        <v>0.0</v>
      </c>
      <c r="W442" s="107">
        <v>0.0</v>
      </c>
      <c r="X442" s="107">
        <v>0.0</v>
      </c>
      <c r="Y442" s="107">
        <v>0.0</v>
      </c>
      <c r="Z442" s="80">
        <v>0.0</v>
      </c>
      <c r="AA442" s="140">
        <v>0.0</v>
      </c>
      <c r="AB442" s="109">
        <v>0.0</v>
      </c>
      <c r="AC442" s="109">
        <v>0.0</v>
      </c>
      <c r="AD442" s="141">
        <v>0.0</v>
      </c>
      <c r="AE442" s="80">
        <v>0.0</v>
      </c>
      <c r="AF442" s="140">
        <v>0.0</v>
      </c>
      <c r="AG442" s="109">
        <v>167.0</v>
      </c>
      <c r="AH442" s="109">
        <v>0.0</v>
      </c>
      <c r="AI442" s="141">
        <v>0.0</v>
      </c>
      <c r="AJ442" s="80">
        <v>167.0</v>
      </c>
      <c r="AK442" s="140">
        <v>0.0</v>
      </c>
      <c r="AL442" s="109">
        <v>0.0</v>
      </c>
      <c r="AM442" s="141">
        <v>0.0</v>
      </c>
      <c r="AN442" s="80">
        <v>0.0</v>
      </c>
      <c r="AO442" s="140">
        <v>0.0</v>
      </c>
      <c r="AP442" s="109">
        <v>0.0</v>
      </c>
      <c r="AQ442" s="109">
        <v>43.0</v>
      </c>
      <c r="AR442" s="80">
        <v>43.0</v>
      </c>
      <c r="AS442" s="110">
        <v>0.0</v>
      </c>
      <c r="AT442" s="110">
        <v>0.0</v>
      </c>
      <c r="AU442" s="110">
        <v>0.0</v>
      </c>
      <c r="AV442" s="142">
        <v>16.0</v>
      </c>
      <c r="AW442" s="80">
        <v>16.0</v>
      </c>
      <c r="AX442" s="113">
        <v>226.0</v>
      </c>
      <c r="AY442" s="117">
        <v>183.0</v>
      </c>
      <c r="AZ442" s="328">
        <v>43.0</v>
      </c>
      <c r="BA442" s="315">
        <v>0.0</v>
      </c>
      <c r="BB442" s="316">
        <v>226.0</v>
      </c>
      <c r="BC442" s="132" t="s">
        <v>373</v>
      </c>
      <c r="BD442" s="132" t="s">
        <v>178</v>
      </c>
      <c r="BE442" s="132" t="s">
        <v>178</v>
      </c>
      <c r="BF442" s="156"/>
      <c r="BG442" s="83">
        <v>1179259.0</v>
      </c>
      <c r="BH442" s="112">
        <v>4.0</v>
      </c>
      <c r="BI442" s="98" t="s">
        <v>155</v>
      </c>
      <c r="BJ442" s="98" t="str">
        <f t="shared" si="1"/>
        <v>INTEGRAL</v>
      </c>
      <c r="BK442" s="98" t="str">
        <f t="shared" si="2"/>
        <v>PROFISSIONAL</v>
      </c>
    </row>
    <row r="443" ht="15.75" customHeight="1">
      <c r="A443" s="111" t="s">
        <v>540</v>
      </c>
      <c r="B443" s="83" t="s">
        <v>1766</v>
      </c>
      <c r="C443" s="83" t="s">
        <v>68</v>
      </c>
      <c r="D443" s="83">
        <v>1110499.0</v>
      </c>
      <c r="E443" s="83"/>
      <c r="F443" s="83">
        <v>2.9288339E7</v>
      </c>
      <c r="G443" s="219" t="s">
        <v>1767</v>
      </c>
      <c r="H443" s="160" t="s">
        <v>1768</v>
      </c>
      <c r="I443" s="114" t="s">
        <v>149</v>
      </c>
      <c r="J443" s="83" t="s">
        <v>150</v>
      </c>
      <c r="K443" s="83" t="s">
        <v>1685</v>
      </c>
      <c r="L443" s="83" t="s">
        <v>152</v>
      </c>
      <c r="M443" s="82" t="s">
        <v>5885</v>
      </c>
      <c r="N443" s="82" t="s">
        <v>5886</v>
      </c>
      <c r="O443" s="82" t="s">
        <v>5887</v>
      </c>
      <c r="P443" s="82" t="s">
        <v>5888</v>
      </c>
      <c r="Q443" s="82"/>
      <c r="R443" s="82"/>
      <c r="S443" s="82" t="s">
        <v>5889</v>
      </c>
      <c r="T443" s="138">
        <v>7.0</v>
      </c>
      <c r="U443" s="323" t="s">
        <v>5892</v>
      </c>
      <c r="V443" s="106">
        <v>0.0</v>
      </c>
      <c r="W443" s="107">
        <v>0.0</v>
      </c>
      <c r="X443" s="107">
        <v>0.0</v>
      </c>
      <c r="Y443" s="107">
        <v>0.0</v>
      </c>
      <c r="Z443" s="80">
        <v>0.0</v>
      </c>
      <c r="AA443" s="140">
        <v>0.0</v>
      </c>
      <c r="AB443" s="109">
        <v>0.0</v>
      </c>
      <c r="AC443" s="109">
        <v>0.0</v>
      </c>
      <c r="AD443" s="141">
        <v>0.0</v>
      </c>
      <c r="AE443" s="80">
        <v>0.0</v>
      </c>
      <c r="AF443" s="140">
        <v>0.0</v>
      </c>
      <c r="AG443" s="109">
        <v>0.0</v>
      </c>
      <c r="AH443" s="109">
        <v>0.0</v>
      </c>
      <c r="AI443" s="141">
        <v>202.0</v>
      </c>
      <c r="AJ443" s="80">
        <v>202.0</v>
      </c>
      <c r="AK443" s="140">
        <v>0.0</v>
      </c>
      <c r="AL443" s="109">
        <v>0.0</v>
      </c>
      <c r="AM443" s="141">
        <v>0.0</v>
      </c>
      <c r="AN443" s="80">
        <v>0.0</v>
      </c>
      <c r="AO443" s="140">
        <v>0.0</v>
      </c>
      <c r="AP443" s="109">
        <v>0.0</v>
      </c>
      <c r="AQ443" s="109">
        <v>57.0</v>
      </c>
      <c r="AR443" s="80">
        <v>57.0</v>
      </c>
      <c r="AS443" s="110">
        <v>0.0</v>
      </c>
      <c r="AT443" s="110">
        <v>0.0</v>
      </c>
      <c r="AU443" s="110">
        <v>0.0</v>
      </c>
      <c r="AV443" s="142">
        <v>0.0</v>
      </c>
      <c r="AW443" s="80">
        <v>0.0</v>
      </c>
      <c r="AX443" s="113">
        <v>259.0</v>
      </c>
      <c r="AY443" s="117">
        <v>202.0</v>
      </c>
      <c r="AZ443" s="328">
        <v>57.0</v>
      </c>
      <c r="BA443" s="315">
        <v>0.0</v>
      </c>
      <c r="BB443" s="316">
        <v>259.0</v>
      </c>
      <c r="BC443" s="132" t="s">
        <v>178</v>
      </c>
      <c r="BD443" s="132" t="s">
        <v>178</v>
      </c>
      <c r="BE443" s="132" t="s">
        <v>178</v>
      </c>
      <c r="BF443" s="123"/>
      <c r="BG443" s="83">
        <v>1110499.0</v>
      </c>
      <c r="BH443" s="112">
        <v>7.0</v>
      </c>
      <c r="BI443" s="98" t="s">
        <v>155</v>
      </c>
      <c r="BJ443" s="98" t="str">
        <f t="shared" si="1"/>
        <v>INTEGRAL</v>
      </c>
      <c r="BK443" s="98" t="str">
        <f t="shared" si="2"/>
        <v>NÃO</v>
      </c>
    </row>
    <row r="444" ht="15.75" customHeight="1">
      <c r="A444" s="111" t="s">
        <v>540</v>
      </c>
      <c r="B444" s="83" t="s">
        <v>1766</v>
      </c>
      <c r="C444" s="83" t="s">
        <v>45</v>
      </c>
      <c r="D444" s="83">
        <v>2.939927E7</v>
      </c>
      <c r="E444" s="83"/>
      <c r="F444" s="83">
        <v>2.939927E7</v>
      </c>
      <c r="G444" s="114" t="s">
        <v>1771</v>
      </c>
      <c r="H444" s="91" t="s">
        <v>1772</v>
      </c>
      <c r="I444" s="114" t="s">
        <v>149</v>
      </c>
      <c r="J444" s="83" t="s">
        <v>1773</v>
      </c>
      <c r="K444" s="83" t="s">
        <v>168</v>
      </c>
      <c r="L444" s="83" t="s">
        <v>512</v>
      </c>
      <c r="M444" s="82" t="s">
        <v>5900</v>
      </c>
      <c r="N444" s="82" t="s">
        <v>5901</v>
      </c>
      <c r="O444" s="82"/>
      <c r="P444" s="82"/>
      <c r="Q444" s="82"/>
      <c r="R444" s="82"/>
      <c r="S444" s="82"/>
      <c r="T444" s="138">
        <v>3.0</v>
      </c>
      <c r="U444" s="323" t="s">
        <v>171</v>
      </c>
      <c r="V444" s="106">
        <v>0.0</v>
      </c>
      <c r="W444" s="107">
        <v>0.0</v>
      </c>
      <c r="X444" s="107">
        <v>0.0</v>
      </c>
      <c r="Y444" s="107">
        <v>0.0</v>
      </c>
      <c r="Z444" s="80">
        <v>0.0</v>
      </c>
      <c r="AA444" s="140">
        <v>0.0</v>
      </c>
      <c r="AB444" s="109">
        <v>0.0</v>
      </c>
      <c r="AC444" s="109">
        <v>0.0</v>
      </c>
      <c r="AD444" s="141">
        <v>0.0</v>
      </c>
      <c r="AE444" s="80">
        <v>0.0</v>
      </c>
      <c r="AF444" s="140">
        <v>0.0</v>
      </c>
      <c r="AG444" s="109">
        <v>0.0</v>
      </c>
      <c r="AH444" s="109">
        <v>0.0</v>
      </c>
      <c r="AI444" s="141">
        <v>116.0</v>
      </c>
      <c r="AJ444" s="80">
        <v>116.0</v>
      </c>
      <c r="AK444" s="140">
        <v>0.0</v>
      </c>
      <c r="AL444" s="109">
        <v>0.0</v>
      </c>
      <c r="AM444" s="141">
        <v>0.0</v>
      </c>
      <c r="AN444" s="80">
        <v>0.0</v>
      </c>
      <c r="AO444" s="140">
        <v>0.0</v>
      </c>
      <c r="AP444" s="109">
        <v>0.0</v>
      </c>
      <c r="AQ444" s="109">
        <v>0.0</v>
      </c>
      <c r="AR444" s="80">
        <v>0.0</v>
      </c>
      <c r="AS444" s="110">
        <v>0.0</v>
      </c>
      <c r="AT444" s="110">
        <v>0.0</v>
      </c>
      <c r="AU444" s="110">
        <v>0.0</v>
      </c>
      <c r="AV444" s="142">
        <v>0.0</v>
      </c>
      <c r="AW444" s="80">
        <v>0.0</v>
      </c>
      <c r="AX444" s="113">
        <v>116.0</v>
      </c>
      <c r="AY444" s="117">
        <v>116.0</v>
      </c>
      <c r="AZ444" s="328">
        <v>0.0</v>
      </c>
      <c r="BA444" s="315">
        <v>0.0</v>
      </c>
      <c r="BB444" s="316">
        <v>116.0</v>
      </c>
      <c r="BC444" s="132" t="s">
        <v>178</v>
      </c>
      <c r="BD444" s="132" t="s">
        <v>178</v>
      </c>
      <c r="BE444" s="132" t="s">
        <v>178</v>
      </c>
      <c r="BF444" s="156"/>
      <c r="BG444" s="83">
        <v>2.939927E7</v>
      </c>
      <c r="BH444" s="112">
        <v>3.0</v>
      </c>
      <c r="BI444" s="98" t="s">
        <v>155</v>
      </c>
      <c r="BJ444" s="98" t="str">
        <f t="shared" si="1"/>
        <v>INTEGRAL</v>
      </c>
      <c r="BK444" s="98" t="str">
        <f t="shared" si="2"/>
        <v>NÃO</v>
      </c>
    </row>
    <row r="445" ht="15.75" customHeight="1">
      <c r="A445" s="111" t="s">
        <v>540</v>
      </c>
      <c r="B445" s="83" t="s">
        <v>1766</v>
      </c>
      <c r="C445" s="83" t="s">
        <v>164</v>
      </c>
      <c r="D445" s="83">
        <v>1110499.0</v>
      </c>
      <c r="E445" s="83">
        <v>1178414.0</v>
      </c>
      <c r="F445" s="83"/>
      <c r="G445" s="119" t="s">
        <v>5906</v>
      </c>
      <c r="H445" s="91" t="s">
        <v>1776</v>
      </c>
      <c r="I445" s="114" t="s">
        <v>149</v>
      </c>
      <c r="J445" s="83" t="s">
        <v>244</v>
      </c>
      <c r="K445" s="83" t="s">
        <v>168</v>
      </c>
      <c r="L445" s="83" t="s">
        <v>169</v>
      </c>
      <c r="M445" s="82" t="s">
        <v>5885</v>
      </c>
      <c r="N445" s="82" t="s">
        <v>5886</v>
      </c>
      <c r="O445" s="82" t="s">
        <v>5887</v>
      </c>
      <c r="P445" s="82" t="s">
        <v>5888</v>
      </c>
      <c r="Q445" s="82"/>
      <c r="R445" s="82"/>
      <c r="S445" s="82" t="s">
        <v>5889</v>
      </c>
      <c r="T445" s="138">
        <v>4.0</v>
      </c>
      <c r="U445" s="341">
        <v>2.0</v>
      </c>
      <c r="V445" s="106">
        <v>0.0</v>
      </c>
      <c r="W445" s="107">
        <v>0.0</v>
      </c>
      <c r="X445" s="107">
        <v>0.0</v>
      </c>
      <c r="Y445" s="107">
        <v>0.0</v>
      </c>
      <c r="Z445" s="80">
        <v>0.0</v>
      </c>
      <c r="AA445" s="140">
        <v>0.0</v>
      </c>
      <c r="AB445" s="109">
        <v>0.0</v>
      </c>
      <c r="AC445" s="109">
        <v>0.0</v>
      </c>
      <c r="AD445" s="141">
        <v>0.0</v>
      </c>
      <c r="AE445" s="80">
        <v>0.0</v>
      </c>
      <c r="AF445" s="140">
        <v>57.0</v>
      </c>
      <c r="AG445" s="109">
        <v>14.0</v>
      </c>
      <c r="AH445" s="109">
        <v>0.0</v>
      </c>
      <c r="AI445" s="141">
        <v>0.0</v>
      </c>
      <c r="AJ445" s="80">
        <v>71.0</v>
      </c>
      <c r="AK445" s="140">
        <v>0.0</v>
      </c>
      <c r="AL445" s="109">
        <v>0.0</v>
      </c>
      <c r="AM445" s="141">
        <v>0.0</v>
      </c>
      <c r="AN445" s="80">
        <v>0.0</v>
      </c>
      <c r="AO445" s="140">
        <v>0.0</v>
      </c>
      <c r="AP445" s="109">
        <v>0.0</v>
      </c>
      <c r="AQ445" s="109">
        <v>47.0</v>
      </c>
      <c r="AR445" s="80">
        <v>47.0</v>
      </c>
      <c r="AS445" s="110">
        <v>0.0</v>
      </c>
      <c r="AT445" s="110">
        <v>0.0</v>
      </c>
      <c r="AU445" s="110">
        <v>0.0</v>
      </c>
      <c r="AV445" s="142">
        <v>0.0</v>
      </c>
      <c r="AW445" s="80">
        <v>0.0</v>
      </c>
      <c r="AX445" s="113">
        <v>118.0</v>
      </c>
      <c r="AY445" s="117">
        <v>71.0</v>
      </c>
      <c r="AZ445" s="328">
        <v>47.0</v>
      </c>
      <c r="BA445" s="315">
        <v>42.0</v>
      </c>
      <c r="BB445" s="316">
        <v>160.0</v>
      </c>
      <c r="BC445" s="132" t="s">
        <v>373</v>
      </c>
      <c r="BD445" s="132" t="s">
        <v>178</v>
      </c>
      <c r="BE445" s="132" t="s">
        <v>178</v>
      </c>
      <c r="BF445" s="123"/>
      <c r="BG445" s="83">
        <v>1178414.0</v>
      </c>
      <c r="BH445" s="112">
        <v>2.0</v>
      </c>
      <c r="BI445" s="98" t="s">
        <v>155</v>
      </c>
      <c r="BJ445" s="98" t="str">
        <f t="shared" si="1"/>
        <v>NÃO</v>
      </c>
      <c r="BK445" s="98" t="str">
        <f t="shared" si="2"/>
        <v>NÃO</v>
      </c>
    </row>
    <row r="446" ht="15.75" customHeight="1">
      <c r="A446" s="111" t="s">
        <v>540</v>
      </c>
      <c r="B446" s="83" t="s">
        <v>1766</v>
      </c>
      <c r="C446" s="83" t="s">
        <v>164</v>
      </c>
      <c r="D446" s="83">
        <v>1179284.0</v>
      </c>
      <c r="E446" s="83">
        <v>1178486.0</v>
      </c>
      <c r="F446" s="83"/>
      <c r="G446" s="187" t="s">
        <v>1777</v>
      </c>
      <c r="H446" s="91" t="s">
        <v>1778</v>
      </c>
      <c r="I446" s="114" t="s">
        <v>149</v>
      </c>
      <c r="J446" s="83" t="s">
        <v>310</v>
      </c>
      <c r="K446" s="83" t="s">
        <v>168</v>
      </c>
      <c r="L446" s="83" t="s">
        <v>169</v>
      </c>
      <c r="M446" s="82" t="s">
        <v>5716</v>
      </c>
      <c r="N446" s="82" t="s">
        <v>5718</v>
      </c>
      <c r="O446" s="82" t="s">
        <v>5719</v>
      </c>
      <c r="P446" s="82" t="s">
        <v>5720</v>
      </c>
      <c r="Q446" s="82" t="s">
        <v>5721</v>
      </c>
      <c r="R446" s="82" t="s">
        <v>5724</v>
      </c>
      <c r="S446" s="82" t="s">
        <v>5725</v>
      </c>
      <c r="T446" s="138">
        <v>3.0</v>
      </c>
      <c r="U446" s="364">
        <v>3.0</v>
      </c>
      <c r="V446" s="106">
        <v>0.0</v>
      </c>
      <c r="W446" s="107">
        <v>0.0</v>
      </c>
      <c r="X446" s="107">
        <v>0.0</v>
      </c>
      <c r="Y446" s="107">
        <v>0.0</v>
      </c>
      <c r="Z446" s="80">
        <v>0.0</v>
      </c>
      <c r="AA446" s="140">
        <v>0.0</v>
      </c>
      <c r="AB446" s="109">
        <v>0.0</v>
      </c>
      <c r="AC446" s="109">
        <v>0.0</v>
      </c>
      <c r="AD446" s="141">
        <v>0.0</v>
      </c>
      <c r="AE446" s="80">
        <v>0.0</v>
      </c>
      <c r="AF446" s="246">
        <v>0.0</v>
      </c>
      <c r="AG446" s="246">
        <v>0.0</v>
      </c>
      <c r="AH446" s="246">
        <v>35.0</v>
      </c>
      <c r="AI446" s="247">
        <v>0.0</v>
      </c>
      <c r="AJ446" s="80">
        <v>35.0</v>
      </c>
      <c r="AK446" s="140">
        <v>0.0</v>
      </c>
      <c r="AL446" s="109">
        <v>0.0</v>
      </c>
      <c r="AM446" s="141">
        <v>0.0</v>
      </c>
      <c r="AN446" s="80">
        <v>0.0</v>
      </c>
      <c r="AO446" s="246">
        <v>0.0</v>
      </c>
      <c r="AP446" s="246">
        <v>0.0</v>
      </c>
      <c r="AQ446" s="247">
        <v>0.0</v>
      </c>
      <c r="AR446" s="80">
        <v>0.0</v>
      </c>
      <c r="AS446" s="110">
        <v>0.0</v>
      </c>
      <c r="AT446" s="110">
        <v>0.0</v>
      </c>
      <c r="AU446" s="110">
        <v>0.0</v>
      </c>
      <c r="AV446" s="142">
        <v>0.0</v>
      </c>
      <c r="AW446" s="80">
        <v>0.0</v>
      </c>
      <c r="AX446" s="113">
        <v>35.0</v>
      </c>
      <c r="AY446" s="117">
        <v>0.0</v>
      </c>
      <c r="AZ446" s="328">
        <v>35.0</v>
      </c>
      <c r="BA446" s="315">
        <v>0.0</v>
      </c>
      <c r="BB446" s="316">
        <v>35.0</v>
      </c>
      <c r="BC446" s="132" t="s">
        <v>178</v>
      </c>
      <c r="BD446" s="143" t="s">
        <v>227</v>
      </c>
      <c r="BE446" s="132" t="s">
        <v>178</v>
      </c>
      <c r="BF446" s="156"/>
      <c r="BG446" s="83">
        <v>1178486.0</v>
      </c>
      <c r="BH446" s="112">
        <v>3.0</v>
      </c>
      <c r="BI446" s="98" t="s">
        <v>155</v>
      </c>
      <c r="BJ446" s="98" t="str">
        <f t="shared" si="1"/>
        <v>NÃO</v>
      </c>
      <c r="BK446" s="98" t="str">
        <f t="shared" si="2"/>
        <v>NÃO</v>
      </c>
    </row>
    <row r="447" ht="15.75" customHeight="1">
      <c r="A447" s="111" t="s">
        <v>540</v>
      </c>
      <c r="B447" s="83" t="s">
        <v>1766</v>
      </c>
      <c r="C447" s="83" t="s">
        <v>164</v>
      </c>
      <c r="D447" s="83">
        <v>1179284.0</v>
      </c>
      <c r="E447" s="83">
        <v>1178549.0</v>
      </c>
      <c r="F447" s="83"/>
      <c r="G447" s="187" t="s">
        <v>1779</v>
      </c>
      <c r="H447" s="91" t="s">
        <v>1780</v>
      </c>
      <c r="I447" s="114" t="s">
        <v>149</v>
      </c>
      <c r="J447" s="83" t="s">
        <v>923</v>
      </c>
      <c r="K447" s="83" t="s">
        <v>168</v>
      </c>
      <c r="L447" s="83" t="s">
        <v>169</v>
      </c>
      <c r="M447" s="82" t="s">
        <v>5716</v>
      </c>
      <c r="N447" s="82" t="s">
        <v>5718</v>
      </c>
      <c r="O447" s="82" t="s">
        <v>5719</v>
      </c>
      <c r="P447" s="82" t="s">
        <v>5720</v>
      </c>
      <c r="Q447" s="82" t="s">
        <v>5721</v>
      </c>
      <c r="R447" s="82" t="s">
        <v>5724</v>
      </c>
      <c r="S447" s="82" t="s">
        <v>5725</v>
      </c>
      <c r="T447" s="138">
        <v>6.0</v>
      </c>
      <c r="U447" s="341">
        <v>6.0</v>
      </c>
      <c r="V447" s="106">
        <v>0.0</v>
      </c>
      <c r="W447" s="107">
        <v>0.0</v>
      </c>
      <c r="X447" s="107">
        <v>0.0</v>
      </c>
      <c r="Y447" s="107">
        <v>0.0</v>
      </c>
      <c r="Z447" s="80">
        <v>0.0</v>
      </c>
      <c r="AA447" s="140">
        <v>0.0</v>
      </c>
      <c r="AB447" s="109">
        <v>0.0</v>
      </c>
      <c r="AC447" s="109">
        <v>0.0</v>
      </c>
      <c r="AD447" s="141">
        <v>0.0</v>
      </c>
      <c r="AE447" s="80">
        <v>0.0</v>
      </c>
      <c r="AF447" s="140">
        <v>0.0</v>
      </c>
      <c r="AG447" s="109">
        <v>0.0</v>
      </c>
      <c r="AH447" s="109">
        <v>28.0</v>
      </c>
      <c r="AI447" s="141">
        <v>0.0</v>
      </c>
      <c r="AJ447" s="80">
        <v>28.0</v>
      </c>
      <c r="AK447" s="140">
        <v>0.0</v>
      </c>
      <c r="AL447" s="109">
        <v>0.0</v>
      </c>
      <c r="AM447" s="141">
        <v>0.0</v>
      </c>
      <c r="AN447" s="80">
        <v>0.0</v>
      </c>
      <c r="AO447" s="140">
        <v>0.0</v>
      </c>
      <c r="AP447" s="109">
        <v>0.0</v>
      </c>
      <c r="AQ447" s="109">
        <v>0.0</v>
      </c>
      <c r="AR447" s="80">
        <v>0.0</v>
      </c>
      <c r="AS447" s="110">
        <v>0.0</v>
      </c>
      <c r="AT447" s="110">
        <v>0.0</v>
      </c>
      <c r="AU447" s="110">
        <v>0.0</v>
      </c>
      <c r="AV447" s="142">
        <v>0.0</v>
      </c>
      <c r="AW447" s="80">
        <v>0.0</v>
      </c>
      <c r="AX447" s="113">
        <v>28.0</v>
      </c>
      <c r="AY447" s="117">
        <v>0.0</v>
      </c>
      <c r="AZ447" s="328">
        <v>28.0</v>
      </c>
      <c r="BA447" s="315">
        <v>0.0</v>
      </c>
      <c r="BB447" s="316">
        <v>28.0</v>
      </c>
      <c r="BC447" s="132" t="s">
        <v>178</v>
      </c>
      <c r="BD447" s="143" t="s">
        <v>227</v>
      </c>
      <c r="BE447" s="132" t="s">
        <v>178</v>
      </c>
      <c r="BF447" s="123"/>
      <c r="BG447" s="83">
        <v>1178549.0</v>
      </c>
      <c r="BH447" s="112">
        <v>6.0</v>
      </c>
      <c r="BI447" s="98" t="s">
        <v>155</v>
      </c>
      <c r="BJ447" s="98" t="str">
        <f t="shared" si="1"/>
        <v>NÃO</v>
      </c>
      <c r="BK447" s="98" t="str">
        <f t="shared" si="2"/>
        <v>NÃO</v>
      </c>
    </row>
    <row r="448" ht="15.75" customHeight="1">
      <c r="A448" s="111" t="s">
        <v>540</v>
      </c>
      <c r="B448" s="83" t="s">
        <v>1781</v>
      </c>
      <c r="C448" s="83" t="s">
        <v>68</v>
      </c>
      <c r="D448" s="83">
        <v>1158270.0</v>
      </c>
      <c r="E448" s="83"/>
      <c r="F448" s="83">
        <v>2.928927E7</v>
      </c>
      <c r="G448" s="114" t="s">
        <v>5928</v>
      </c>
      <c r="H448" s="91" t="s">
        <v>1783</v>
      </c>
      <c r="I448" s="114" t="s">
        <v>149</v>
      </c>
      <c r="J448" s="83" t="s">
        <v>150</v>
      </c>
      <c r="K448" s="83" t="s">
        <v>1685</v>
      </c>
      <c r="L448" s="83" t="s">
        <v>169</v>
      </c>
      <c r="M448" s="82" t="s">
        <v>5933</v>
      </c>
      <c r="N448" s="82" t="s">
        <v>5934</v>
      </c>
      <c r="O448" s="82" t="s">
        <v>5935</v>
      </c>
      <c r="P448" s="82" t="s">
        <v>5936</v>
      </c>
      <c r="Q448" s="82"/>
      <c r="R448" s="82"/>
      <c r="S448" s="82" t="s">
        <v>5937</v>
      </c>
      <c r="T448" s="138">
        <v>8.0</v>
      </c>
      <c r="U448" s="341">
        <v>7.0</v>
      </c>
      <c r="V448" s="106">
        <v>0.0</v>
      </c>
      <c r="W448" s="107">
        <v>0.0</v>
      </c>
      <c r="X448" s="107">
        <v>0.0</v>
      </c>
      <c r="Y448" s="107">
        <v>0.0</v>
      </c>
      <c r="Z448" s="80">
        <v>0.0</v>
      </c>
      <c r="AA448" s="140">
        <v>0.0</v>
      </c>
      <c r="AB448" s="109">
        <v>0.0</v>
      </c>
      <c r="AC448" s="109">
        <v>0.0</v>
      </c>
      <c r="AD448" s="141">
        <v>0.0</v>
      </c>
      <c r="AE448" s="80">
        <v>0.0</v>
      </c>
      <c r="AF448" s="140">
        <v>0.0</v>
      </c>
      <c r="AG448" s="109">
        <v>102.0</v>
      </c>
      <c r="AH448" s="109">
        <v>27.0</v>
      </c>
      <c r="AI448" s="141">
        <v>42.0</v>
      </c>
      <c r="AJ448" s="80">
        <v>171.0</v>
      </c>
      <c r="AK448" s="140">
        <v>0.0</v>
      </c>
      <c r="AL448" s="109">
        <v>0.0</v>
      </c>
      <c r="AM448" s="141">
        <v>0.0</v>
      </c>
      <c r="AN448" s="80">
        <v>0.0</v>
      </c>
      <c r="AO448" s="140">
        <v>0.0</v>
      </c>
      <c r="AP448" s="109">
        <v>0.0</v>
      </c>
      <c r="AQ448" s="109">
        <v>56.0</v>
      </c>
      <c r="AR448" s="80">
        <v>56.0</v>
      </c>
      <c r="AS448" s="110">
        <v>0.0</v>
      </c>
      <c r="AT448" s="110">
        <v>55.0</v>
      </c>
      <c r="AU448" s="110">
        <v>34.0</v>
      </c>
      <c r="AV448" s="142">
        <v>0.0</v>
      </c>
      <c r="AW448" s="80">
        <v>89.0</v>
      </c>
      <c r="AX448" s="113">
        <v>316.0</v>
      </c>
      <c r="AY448" s="117">
        <v>199.0</v>
      </c>
      <c r="AZ448" s="328">
        <v>117.0</v>
      </c>
      <c r="BA448" s="315">
        <v>0.0</v>
      </c>
      <c r="BB448" s="316">
        <v>316.0</v>
      </c>
      <c r="BC448" s="132" t="s">
        <v>178</v>
      </c>
      <c r="BD448" s="132" t="s">
        <v>178</v>
      </c>
      <c r="BE448" s="132" t="s">
        <v>178</v>
      </c>
      <c r="BF448" s="123"/>
      <c r="BG448" s="83">
        <v>1158270.0</v>
      </c>
      <c r="BH448" s="112">
        <v>7.0</v>
      </c>
      <c r="BI448" s="98" t="s">
        <v>155</v>
      </c>
      <c r="BJ448" s="98" t="str">
        <f t="shared" si="1"/>
        <v>INTEGRAL</v>
      </c>
      <c r="BK448" s="98" t="str">
        <f t="shared" si="2"/>
        <v>PROFISSIONAL</v>
      </c>
    </row>
    <row r="449" ht="15.75" customHeight="1">
      <c r="A449" s="111" t="s">
        <v>540</v>
      </c>
      <c r="B449" s="83" t="s">
        <v>1787</v>
      </c>
      <c r="C449" s="83" t="s">
        <v>68</v>
      </c>
      <c r="D449" s="83">
        <v>1178081.0</v>
      </c>
      <c r="E449" s="83"/>
      <c r="F449" s="83">
        <v>2.9431719E7</v>
      </c>
      <c r="G449" s="119" t="s">
        <v>1788</v>
      </c>
      <c r="H449" s="91" t="s">
        <v>1789</v>
      </c>
      <c r="I449" s="114" t="s">
        <v>149</v>
      </c>
      <c r="J449" s="83" t="s">
        <v>150</v>
      </c>
      <c r="K449" s="83" t="s">
        <v>1685</v>
      </c>
      <c r="L449" s="83" t="s">
        <v>152</v>
      </c>
      <c r="M449" s="82" t="s">
        <v>5943</v>
      </c>
      <c r="N449" s="82" t="s">
        <v>5944</v>
      </c>
      <c r="O449" s="82" t="s">
        <v>5946</v>
      </c>
      <c r="P449" s="82" t="s">
        <v>5949</v>
      </c>
      <c r="Q449" s="82"/>
      <c r="R449" s="82"/>
      <c r="S449" s="82" t="s">
        <v>5951</v>
      </c>
      <c r="T449" s="138">
        <v>9.0</v>
      </c>
      <c r="U449" s="341">
        <v>16.0</v>
      </c>
      <c r="V449" s="106">
        <v>0.0</v>
      </c>
      <c r="W449" s="107">
        <v>0.0</v>
      </c>
      <c r="X449" s="107">
        <v>0.0</v>
      </c>
      <c r="Y449" s="107">
        <v>0.0</v>
      </c>
      <c r="Z449" s="80">
        <v>0.0</v>
      </c>
      <c r="AA449" s="140">
        <v>0.0</v>
      </c>
      <c r="AB449" s="109">
        <v>0.0</v>
      </c>
      <c r="AC449" s="109">
        <v>0.0</v>
      </c>
      <c r="AD449" s="141">
        <v>0.0</v>
      </c>
      <c r="AE449" s="80">
        <v>0.0</v>
      </c>
      <c r="AF449" s="140">
        <v>558.0</v>
      </c>
      <c r="AG449" s="109">
        <v>474.0</v>
      </c>
      <c r="AH449" s="109">
        <v>0.0</v>
      </c>
      <c r="AI449" s="141">
        <v>0.0</v>
      </c>
      <c r="AJ449" s="80">
        <v>1032.0</v>
      </c>
      <c r="AK449" s="140">
        <v>0.0</v>
      </c>
      <c r="AL449" s="109">
        <v>0.0</v>
      </c>
      <c r="AM449" s="141">
        <v>0.0</v>
      </c>
      <c r="AN449" s="80">
        <v>0.0</v>
      </c>
      <c r="AO449" s="140">
        <v>0.0</v>
      </c>
      <c r="AP449" s="109">
        <v>0.0</v>
      </c>
      <c r="AQ449" s="109">
        <v>159.0</v>
      </c>
      <c r="AR449" s="80">
        <v>159.0</v>
      </c>
      <c r="AS449" s="110">
        <v>0.0</v>
      </c>
      <c r="AT449" s="110">
        <v>0.0</v>
      </c>
      <c r="AU449" s="110">
        <v>0.0</v>
      </c>
      <c r="AV449" s="142">
        <v>0.0</v>
      </c>
      <c r="AW449" s="80">
        <v>0.0</v>
      </c>
      <c r="AX449" s="113">
        <v>1191.0</v>
      </c>
      <c r="AY449" s="117">
        <v>1032.0</v>
      </c>
      <c r="AZ449" s="328">
        <v>159.0</v>
      </c>
      <c r="BA449" s="315">
        <v>11.0</v>
      </c>
      <c r="BB449" s="316">
        <v>1202.0</v>
      </c>
      <c r="BC449" s="132" t="s">
        <v>178</v>
      </c>
      <c r="BD449" s="132" t="s">
        <v>178</v>
      </c>
      <c r="BE449" s="132" t="s">
        <v>178</v>
      </c>
      <c r="BF449" s="123"/>
      <c r="BG449" s="83">
        <v>1178081.0</v>
      </c>
      <c r="BH449" s="112">
        <v>16.0</v>
      </c>
      <c r="BI449" s="98" t="s">
        <v>155</v>
      </c>
      <c r="BJ449" s="98" t="str">
        <f t="shared" si="1"/>
        <v>NÃO</v>
      </c>
      <c r="BK449" s="98" t="str">
        <f t="shared" si="2"/>
        <v>NÃO</v>
      </c>
    </row>
    <row r="450" ht="15.75" customHeight="1">
      <c r="A450" s="111" t="s">
        <v>540</v>
      </c>
      <c r="B450" s="83" t="s">
        <v>1787</v>
      </c>
      <c r="C450" s="83" t="s">
        <v>45</v>
      </c>
      <c r="D450" s="83">
        <v>2.9959721E7</v>
      </c>
      <c r="E450" s="83"/>
      <c r="F450" s="83">
        <v>2.9959721E7</v>
      </c>
      <c r="G450" s="114" t="s">
        <v>1792</v>
      </c>
      <c r="H450" s="91" t="s">
        <v>1793</v>
      </c>
      <c r="I450" s="114" t="s">
        <v>149</v>
      </c>
      <c r="J450" s="83" t="s">
        <v>1012</v>
      </c>
      <c r="K450" s="83" t="s">
        <v>151</v>
      </c>
      <c r="L450" s="83" t="s">
        <v>76</v>
      </c>
      <c r="M450" s="82" t="s">
        <v>5956</v>
      </c>
      <c r="N450" s="82" t="s">
        <v>5957</v>
      </c>
      <c r="O450" s="82"/>
      <c r="P450" s="82"/>
      <c r="Q450" s="82"/>
      <c r="R450" s="82"/>
      <c r="S450" s="82"/>
      <c r="T450" s="138">
        <v>5.0</v>
      </c>
      <c r="U450" s="323" t="s">
        <v>171</v>
      </c>
      <c r="V450" s="106">
        <v>0.0</v>
      </c>
      <c r="W450" s="107">
        <v>0.0</v>
      </c>
      <c r="X450" s="107">
        <v>0.0</v>
      </c>
      <c r="Y450" s="107">
        <v>0.0</v>
      </c>
      <c r="Z450" s="80">
        <v>0.0</v>
      </c>
      <c r="AA450" s="140">
        <v>0.0</v>
      </c>
      <c r="AB450" s="109">
        <v>0.0</v>
      </c>
      <c r="AC450" s="109">
        <v>0.0</v>
      </c>
      <c r="AD450" s="141">
        <v>0.0</v>
      </c>
      <c r="AE450" s="80">
        <v>0.0</v>
      </c>
      <c r="AF450" s="140">
        <v>0.0</v>
      </c>
      <c r="AG450" s="109">
        <v>0.0</v>
      </c>
      <c r="AH450" s="109">
        <v>0.0</v>
      </c>
      <c r="AI450" s="141">
        <v>132.0</v>
      </c>
      <c r="AJ450" s="80">
        <v>132.0</v>
      </c>
      <c r="AK450" s="140">
        <v>0.0</v>
      </c>
      <c r="AL450" s="109">
        <v>0.0</v>
      </c>
      <c r="AM450" s="141">
        <v>0.0</v>
      </c>
      <c r="AN450" s="80">
        <v>0.0</v>
      </c>
      <c r="AO450" s="140">
        <v>0.0</v>
      </c>
      <c r="AP450" s="109">
        <v>0.0</v>
      </c>
      <c r="AQ450" s="109">
        <v>0.0</v>
      </c>
      <c r="AR450" s="80">
        <v>0.0</v>
      </c>
      <c r="AS450" s="110">
        <v>0.0</v>
      </c>
      <c r="AT450" s="110">
        <v>0.0</v>
      </c>
      <c r="AU450" s="110">
        <v>0.0</v>
      </c>
      <c r="AV450" s="142">
        <v>0.0</v>
      </c>
      <c r="AW450" s="80">
        <v>0.0</v>
      </c>
      <c r="AX450" s="113">
        <v>132.0</v>
      </c>
      <c r="AY450" s="117">
        <v>132.0</v>
      </c>
      <c r="AZ450" s="328">
        <v>0.0</v>
      </c>
      <c r="BA450" s="315">
        <v>0.0</v>
      </c>
      <c r="BB450" s="316">
        <v>132.0</v>
      </c>
      <c r="BC450" s="132" t="s">
        <v>178</v>
      </c>
      <c r="BD450" s="132" t="s">
        <v>178</v>
      </c>
      <c r="BE450" s="132" t="s">
        <v>178</v>
      </c>
      <c r="BF450" s="156"/>
      <c r="BG450" s="83">
        <v>2.9959721E7</v>
      </c>
      <c r="BH450" s="112">
        <v>5.0</v>
      </c>
      <c r="BI450" s="98" t="s">
        <v>155</v>
      </c>
      <c r="BJ450" s="98" t="str">
        <f t="shared" si="1"/>
        <v>INTEGRAL</v>
      </c>
      <c r="BK450" s="98" t="str">
        <f t="shared" si="2"/>
        <v>NÃO</v>
      </c>
    </row>
    <row r="451" ht="15.75" customHeight="1">
      <c r="A451" s="111" t="s">
        <v>540</v>
      </c>
      <c r="B451" s="83" t="s">
        <v>1796</v>
      </c>
      <c r="C451" s="83" t="s">
        <v>68</v>
      </c>
      <c r="D451" s="83">
        <v>1117396.0</v>
      </c>
      <c r="E451" s="83"/>
      <c r="F451" s="83">
        <v>2.9290678E7</v>
      </c>
      <c r="G451" s="114" t="s">
        <v>5961</v>
      </c>
      <c r="H451" s="91" t="s">
        <v>5962</v>
      </c>
      <c r="I451" s="114" t="s">
        <v>149</v>
      </c>
      <c r="J451" s="83" t="s">
        <v>150</v>
      </c>
      <c r="K451" s="83" t="s">
        <v>1685</v>
      </c>
      <c r="L451" s="83" t="s">
        <v>76</v>
      </c>
      <c r="M451" s="82" t="s">
        <v>5963</v>
      </c>
      <c r="N451" s="82" t="s">
        <v>5965</v>
      </c>
      <c r="O451" s="82" t="s">
        <v>5966</v>
      </c>
      <c r="P451" s="82" t="s">
        <v>5967</v>
      </c>
      <c r="Q451" s="82"/>
      <c r="R451" s="82"/>
      <c r="S451" s="82" t="s">
        <v>5968</v>
      </c>
      <c r="T451" s="138">
        <v>8.0</v>
      </c>
      <c r="U451" s="341">
        <v>8.0</v>
      </c>
      <c r="V451" s="106">
        <v>0.0</v>
      </c>
      <c r="W451" s="107">
        <v>0.0</v>
      </c>
      <c r="X451" s="107">
        <v>0.0</v>
      </c>
      <c r="Y451" s="107">
        <v>0.0</v>
      </c>
      <c r="Z451" s="80">
        <v>0.0</v>
      </c>
      <c r="AA451" s="140">
        <v>0.0</v>
      </c>
      <c r="AB451" s="109">
        <v>0.0</v>
      </c>
      <c r="AC451" s="109">
        <v>0.0</v>
      </c>
      <c r="AD451" s="141">
        <v>0.0</v>
      </c>
      <c r="AE451" s="80">
        <v>0.0</v>
      </c>
      <c r="AF451" s="140">
        <v>58.0</v>
      </c>
      <c r="AG451" s="109">
        <v>50.0</v>
      </c>
      <c r="AH451" s="109">
        <v>0.0</v>
      </c>
      <c r="AI451" s="141">
        <v>294.0</v>
      </c>
      <c r="AJ451" s="80">
        <v>402.0</v>
      </c>
      <c r="AK451" s="140">
        <v>0.0</v>
      </c>
      <c r="AL451" s="109">
        <v>0.0</v>
      </c>
      <c r="AM451" s="141">
        <v>0.0</v>
      </c>
      <c r="AN451" s="80">
        <v>0.0</v>
      </c>
      <c r="AO451" s="140">
        <v>0.0</v>
      </c>
      <c r="AP451" s="109">
        <v>0.0</v>
      </c>
      <c r="AQ451" s="109">
        <v>110.0</v>
      </c>
      <c r="AR451" s="80">
        <v>110.0</v>
      </c>
      <c r="AS451" s="110">
        <v>0.0</v>
      </c>
      <c r="AT451" s="110">
        <v>0.0</v>
      </c>
      <c r="AU451" s="110">
        <v>0.0</v>
      </c>
      <c r="AV451" s="142">
        <v>0.0</v>
      </c>
      <c r="AW451" s="80">
        <v>0.0</v>
      </c>
      <c r="AX451" s="113">
        <v>512.0</v>
      </c>
      <c r="AY451" s="117">
        <v>402.0</v>
      </c>
      <c r="AZ451" s="328">
        <v>110.0</v>
      </c>
      <c r="BA451" s="315">
        <v>0.0</v>
      </c>
      <c r="BB451" s="316">
        <v>512.0</v>
      </c>
      <c r="BC451" s="132" t="s">
        <v>178</v>
      </c>
      <c r="BD451" s="132" t="s">
        <v>178</v>
      </c>
      <c r="BE451" s="132" t="s">
        <v>178</v>
      </c>
      <c r="BF451" s="123"/>
      <c r="BG451" s="83">
        <v>1117396.0</v>
      </c>
      <c r="BH451" s="112">
        <v>8.0</v>
      </c>
      <c r="BI451" s="98" t="s">
        <v>155</v>
      </c>
      <c r="BJ451" s="98" t="str">
        <f t="shared" si="1"/>
        <v>INTEGRAL</v>
      </c>
      <c r="BK451" s="98" t="str">
        <f t="shared" si="2"/>
        <v>NÃO</v>
      </c>
    </row>
    <row r="452" ht="15.75" customHeight="1">
      <c r="A452" s="111" t="s">
        <v>540</v>
      </c>
      <c r="B452" s="83" t="s">
        <v>1796</v>
      </c>
      <c r="C452" s="83" t="s">
        <v>164</v>
      </c>
      <c r="D452" s="83">
        <v>1179284.0</v>
      </c>
      <c r="E452" s="83">
        <v>1179625.0</v>
      </c>
      <c r="F452" s="83"/>
      <c r="G452" s="187" t="s">
        <v>1800</v>
      </c>
      <c r="H452" s="91" t="s">
        <v>1801</v>
      </c>
      <c r="I452" s="114" t="s">
        <v>149</v>
      </c>
      <c r="J452" s="83" t="s">
        <v>464</v>
      </c>
      <c r="K452" s="83" t="s">
        <v>168</v>
      </c>
      <c r="L452" s="83" t="s">
        <v>169</v>
      </c>
      <c r="M452" s="82" t="s">
        <v>5716</v>
      </c>
      <c r="N452" s="82" t="s">
        <v>5718</v>
      </c>
      <c r="O452" s="82" t="s">
        <v>5719</v>
      </c>
      <c r="P452" s="82" t="s">
        <v>5720</v>
      </c>
      <c r="Q452" s="82" t="s">
        <v>5721</v>
      </c>
      <c r="R452" s="82" t="s">
        <v>5724</v>
      </c>
      <c r="S452" s="82" t="s">
        <v>5725</v>
      </c>
      <c r="T452" s="138">
        <v>3.0</v>
      </c>
      <c r="U452" s="364">
        <v>3.0</v>
      </c>
      <c r="V452" s="106">
        <v>0.0</v>
      </c>
      <c r="W452" s="107">
        <v>0.0</v>
      </c>
      <c r="X452" s="107">
        <v>0.0</v>
      </c>
      <c r="Y452" s="107">
        <v>0.0</v>
      </c>
      <c r="Z452" s="80">
        <v>0.0</v>
      </c>
      <c r="AA452" s="140">
        <v>0.0</v>
      </c>
      <c r="AB452" s="109">
        <v>0.0</v>
      </c>
      <c r="AC452" s="109">
        <v>0.0</v>
      </c>
      <c r="AD452" s="141">
        <v>0.0</v>
      </c>
      <c r="AE452" s="80">
        <v>0.0</v>
      </c>
      <c r="AF452" s="246">
        <v>0.0</v>
      </c>
      <c r="AG452" s="246">
        <v>0.0</v>
      </c>
      <c r="AH452" s="246">
        <v>17.0</v>
      </c>
      <c r="AI452" s="247">
        <v>0.0</v>
      </c>
      <c r="AJ452" s="80">
        <v>17.0</v>
      </c>
      <c r="AK452" s="140">
        <v>0.0</v>
      </c>
      <c r="AL452" s="109">
        <v>0.0</v>
      </c>
      <c r="AM452" s="141">
        <v>0.0</v>
      </c>
      <c r="AN452" s="80">
        <v>0.0</v>
      </c>
      <c r="AO452" s="246">
        <v>0.0</v>
      </c>
      <c r="AP452" s="246">
        <v>0.0</v>
      </c>
      <c r="AQ452" s="247">
        <v>0.0</v>
      </c>
      <c r="AR452" s="80">
        <v>0.0</v>
      </c>
      <c r="AS452" s="110">
        <v>0.0</v>
      </c>
      <c r="AT452" s="110">
        <v>0.0</v>
      </c>
      <c r="AU452" s="110">
        <v>0.0</v>
      </c>
      <c r="AV452" s="142">
        <v>0.0</v>
      </c>
      <c r="AW452" s="80">
        <v>0.0</v>
      </c>
      <c r="AX452" s="113">
        <v>17.0</v>
      </c>
      <c r="AY452" s="117">
        <v>0.0</v>
      </c>
      <c r="AZ452" s="328">
        <v>17.0</v>
      </c>
      <c r="BA452" s="315">
        <v>0.0</v>
      </c>
      <c r="BB452" s="316">
        <v>17.0</v>
      </c>
      <c r="BC452" s="132" t="s">
        <v>178</v>
      </c>
      <c r="BD452" s="143" t="s">
        <v>227</v>
      </c>
      <c r="BE452" s="132" t="s">
        <v>178</v>
      </c>
      <c r="BF452" s="156"/>
      <c r="BG452" s="83">
        <v>1179625.0</v>
      </c>
      <c r="BH452" s="112">
        <v>3.0</v>
      </c>
      <c r="BI452" s="98" t="s">
        <v>155</v>
      </c>
      <c r="BJ452" s="98" t="str">
        <f t="shared" si="1"/>
        <v>NÃO</v>
      </c>
      <c r="BK452" s="98" t="str">
        <f t="shared" si="2"/>
        <v>NÃO</v>
      </c>
    </row>
    <row r="453" ht="15.75" customHeight="1">
      <c r="A453" s="111" t="s">
        <v>540</v>
      </c>
      <c r="B453" s="83" t="s">
        <v>1796</v>
      </c>
      <c r="C453" s="83" t="s">
        <v>164</v>
      </c>
      <c r="D453" s="83">
        <v>1179284.0</v>
      </c>
      <c r="E453" s="83">
        <v>1179398.0</v>
      </c>
      <c r="F453" s="83"/>
      <c r="G453" s="114" t="s">
        <v>1802</v>
      </c>
      <c r="H453" s="91" t="s">
        <v>1803</v>
      </c>
      <c r="I453" s="114" t="s">
        <v>149</v>
      </c>
      <c r="J453" s="98" t="s">
        <v>187</v>
      </c>
      <c r="K453" s="98" t="s">
        <v>168</v>
      </c>
      <c r="L453" s="83" t="s">
        <v>512</v>
      </c>
      <c r="M453" s="82" t="s">
        <v>5716</v>
      </c>
      <c r="N453" s="82" t="s">
        <v>5718</v>
      </c>
      <c r="O453" s="82" t="s">
        <v>5719</v>
      </c>
      <c r="P453" s="82" t="s">
        <v>5720</v>
      </c>
      <c r="Q453" s="82" t="s">
        <v>5721</v>
      </c>
      <c r="R453" s="82" t="s">
        <v>5724</v>
      </c>
      <c r="S453" s="82" t="s">
        <v>5725</v>
      </c>
      <c r="T453" s="138">
        <v>4.0</v>
      </c>
      <c r="U453" s="331">
        <v>2.0</v>
      </c>
      <c r="V453" s="106">
        <v>0.0</v>
      </c>
      <c r="W453" s="107">
        <v>0.0</v>
      </c>
      <c r="X453" s="107">
        <v>0.0</v>
      </c>
      <c r="Y453" s="107">
        <v>0.0</v>
      </c>
      <c r="Z453" s="80">
        <v>0.0</v>
      </c>
      <c r="AA453" s="140">
        <v>0.0</v>
      </c>
      <c r="AB453" s="109">
        <v>0.0</v>
      </c>
      <c r="AC453" s="109">
        <v>0.0</v>
      </c>
      <c r="AD453" s="141">
        <v>0.0</v>
      </c>
      <c r="AE453" s="80">
        <v>0.0</v>
      </c>
      <c r="AF453" s="140">
        <v>0.0</v>
      </c>
      <c r="AG453" s="109">
        <v>0.0</v>
      </c>
      <c r="AH453" s="109">
        <v>19.0</v>
      </c>
      <c r="AI453" s="141">
        <v>0.0</v>
      </c>
      <c r="AJ453" s="80">
        <v>19.0</v>
      </c>
      <c r="AK453" s="140">
        <v>0.0</v>
      </c>
      <c r="AL453" s="109">
        <v>0.0</v>
      </c>
      <c r="AM453" s="141">
        <v>0.0</v>
      </c>
      <c r="AN453" s="80">
        <v>0.0</v>
      </c>
      <c r="AO453" s="140">
        <v>0.0</v>
      </c>
      <c r="AP453" s="109">
        <v>0.0</v>
      </c>
      <c r="AQ453" s="109">
        <v>0.0</v>
      </c>
      <c r="AR453" s="80">
        <v>0.0</v>
      </c>
      <c r="AS453" s="110">
        <v>0.0</v>
      </c>
      <c r="AT453" s="110">
        <v>0.0</v>
      </c>
      <c r="AU453" s="110">
        <v>0.0</v>
      </c>
      <c r="AV453" s="142">
        <v>0.0</v>
      </c>
      <c r="AW453" s="80">
        <v>0.0</v>
      </c>
      <c r="AX453" s="113">
        <v>19.0</v>
      </c>
      <c r="AY453" s="117">
        <v>0.0</v>
      </c>
      <c r="AZ453" s="328">
        <v>19.0</v>
      </c>
      <c r="BA453" s="315">
        <v>0.0</v>
      </c>
      <c r="BB453" s="316">
        <v>19.0</v>
      </c>
      <c r="BC453" s="132" t="s">
        <v>178</v>
      </c>
      <c r="BD453" s="143" t="s">
        <v>227</v>
      </c>
      <c r="BE453" s="132" t="s">
        <v>178</v>
      </c>
      <c r="BF453" s="123"/>
      <c r="BG453" s="83">
        <v>1179398.0</v>
      </c>
      <c r="BH453" s="112">
        <v>2.0</v>
      </c>
      <c r="BI453" s="98" t="s">
        <v>155</v>
      </c>
      <c r="BJ453" s="98" t="str">
        <f t="shared" si="1"/>
        <v>NÃO</v>
      </c>
      <c r="BK453" s="98" t="str">
        <f t="shared" si="2"/>
        <v>NÃO</v>
      </c>
    </row>
    <row r="454" ht="15.75" customHeight="1">
      <c r="A454" s="111" t="s">
        <v>540</v>
      </c>
      <c r="B454" s="83" t="s">
        <v>1796</v>
      </c>
      <c r="C454" s="83" t="s">
        <v>164</v>
      </c>
      <c r="D454" s="83">
        <v>1179284.0</v>
      </c>
      <c r="E454" s="189">
        <v>1179241.0</v>
      </c>
      <c r="F454" s="189"/>
      <c r="G454" s="210" t="s">
        <v>1804</v>
      </c>
      <c r="H454" s="91" t="s">
        <v>1805</v>
      </c>
      <c r="I454" s="114" t="s">
        <v>149</v>
      </c>
      <c r="J454" s="136" t="s">
        <v>1806</v>
      </c>
      <c r="K454" s="83" t="s">
        <v>168</v>
      </c>
      <c r="L454" s="83" t="s">
        <v>169</v>
      </c>
      <c r="M454" s="82" t="s">
        <v>5716</v>
      </c>
      <c r="N454" s="82" t="s">
        <v>5718</v>
      </c>
      <c r="O454" s="82" t="s">
        <v>5719</v>
      </c>
      <c r="P454" s="82" t="s">
        <v>5720</v>
      </c>
      <c r="Q454" s="82" t="s">
        <v>5721</v>
      </c>
      <c r="R454" s="82" t="s">
        <v>5724</v>
      </c>
      <c r="S454" s="82" t="s">
        <v>5725</v>
      </c>
      <c r="T454" s="138">
        <v>3.0</v>
      </c>
      <c r="U454" s="331">
        <v>2.0</v>
      </c>
      <c r="V454" s="106">
        <v>0.0</v>
      </c>
      <c r="W454" s="107">
        <v>0.0</v>
      </c>
      <c r="X454" s="107">
        <v>0.0</v>
      </c>
      <c r="Y454" s="107">
        <v>0.0</v>
      </c>
      <c r="Z454" s="80">
        <v>0.0</v>
      </c>
      <c r="AA454" s="140">
        <v>0.0</v>
      </c>
      <c r="AB454" s="109">
        <v>0.0</v>
      </c>
      <c r="AC454" s="109">
        <v>0.0</v>
      </c>
      <c r="AD454" s="141">
        <v>0.0</v>
      </c>
      <c r="AE454" s="80">
        <v>0.0</v>
      </c>
      <c r="AF454" s="140">
        <v>0.0</v>
      </c>
      <c r="AG454" s="109">
        <v>0.0</v>
      </c>
      <c r="AH454" s="109">
        <v>15.0</v>
      </c>
      <c r="AI454" s="141">
        <v>0.0</v>
      </c>
      <c r="AJ454" s="80">
        <v>15.0</v>
      </c>
      <c r="AK454" s="140">
        <v>0.0</v>
      </c>
      <c r="AL454" s="109">
        <v>0.0</v>
      </c>
      <c r="AM454" s="141">
        <v>0.0</v>
      </c>
      <c r="AN454" s="80">
        <v>0.0</v>
      </c>
      <c r="AO454" s="140">
        <v>0.0</v>
      </c>
      <c r="AP454" s="109">
        <v>0.0</v>
      </c>
      <c r="AQ454" s="109">
        <v>0.0</v>
      </c>
      <c r="AR454" s="80">
        <v>0.0</v>
      </c>
      <c r="AS454" s="110">
        <v>0.0</v>
      </c>
      <c r="AT454" s="110">
        <v>0.0</v>
      </c>
      <c r="AU454" s="110">
        <v>0.0</v>
      </c>
      <c r="AV454" s="142">
        <v>0.0</v>
      </c>
      <c r="AW454" s="80">
        <v>0.0</v>
      </c>
      <c r="AX454" s="113">
        <v>15.0</v>
      </c>
      <c r="AY454" s="117">
        <v>0.0</v>
      </c>
      <c r="AZ454" s="328">
        <v>15.0</v>
      </c>
      <c r="BA454" s="315">
        <v>0.0</v>
      </c>
      <c r="BB454" s="316">
        <v>15.0</v>
      </c>
      <c r="BC454" s="132" t="s">
        <v>178</v>
      </c>
      <c r="BD454" s="143" t="s">
        <v>227</v>
      </c>
      <c r="BE454" s="132" t="s">
        <v>178</v>
      </c>
      <c r="BF454" s="156"/>
      <c r="BG454" s="83">
        <v>1179241.0</v>
      </c>
      <c r="BH454" s="112">
        <v>2.0</v>
      </c>
      <c r="BI454" s="98" t="s">
        <v>155</v>
      </c>
      <c r="BJ454" s="98" t="str">
        <f t="shared" si="1"/>
        <v>NÃO</v>
      </c>
      <c r="BK454" s="98" t="str">
        <f t="shared" si="2"/>
        <v>NÃO</v>
      </c>
    </row>
    <row r="455" ht="15.75" customHeight="1">
      <c r="A455" s="111" t="s">
        <v>540</v>
      </c>
      <c r="B455" s="83" t="s">
        <v>1796</v>
      </c>
      <c r="C455" s="191" t="s">
        <v>164</v>
      </c>
      <c r="D455" s="83">
        <v>1179284.0</v>
      </c>
      <c r="E455" s="83">
        <v>1179242.0</v>
      </c>
      <c r="F455" s="83"/>
      <c r="G455" s="114" t="s">
        <v>1807</v>
      </c>
      <c r="H455" s="91" t="s">
        <v>1808</v>
      </c>
      <c r="I455" s="381" t="s">
        <v>1809</v>
      </c>
      <c r="J455" s="83" t="s">
        <v>767</v>
      </c>
      <c r="K455" s="83" t="s">
        <v>168</v>
      </c>
      <c r="L455" s="83" t="s">
        <v>169</v>
      </c>
      <c r="M455" s="82" t="s">
        <v>5716</v>
      </c>
      <c r="N455" s="82" t="s">
        <v>5718</v>
      </c>
      <c r="O455" s="82" t="s">
        <v>5719</v>
      </c>
      <c r="P455" s="82" t="s">
        <v>5720</v>
      </c>
      <c r="Q455" s="82" t="s">
        <v>5721</v>
      </c>
      <c r="R455" s="82" t="s">
        <v>5724</v>
      </c>
      <c r="S455" s="82" t="s">
        <v>5725</v>
      </c>
      <c r="T455" s="138">
        <v>3.0</v>
      </c>
      <c r="U455" s="323">
        <v>3.0</v>
      </c>
      <c r="V455" s="106">
        <v>0.0</v>
      </c>
      <c r="W455" s="107">
        <v>0.0</v>
      </c>
      <c r="X455" s="107">
        <v>0.0</v>
      </c>
      <c r="Y455" s="107">
        <v>0.0</v>
      </c>
      <c r="Z455" s="80">
        <v>0.0</v>
      </c>
      <c r="AA455" s="140">
        <v>0.0</v>
      </c>
      <c r="AB455" s="109">
        <v>0.0</v>
      </c>
      <c r="AC455" s="109">
        <v>0.0</v>
      </c>
      <c r="AD455" s="141">
        <v>0.0</v>
      </c>
      <c r="AE455" s="80">
        <v>0.0</v>
      </c>
      <c r="AF455" s="140">
        <v>0.0</v>
      </c>
      <c r="AG455" s="109">
        <v>0.0</v>
      </c>
      <c r="AH455" s="109">
        <v>25.0</v>
      </c>
      <c r="AI455" s="141">
        <v>0.0</v>
      </c>
      <c r="AJ455" s="80">
        <v>25.0</v>
      </c>
      <c r="AK455" s="140">
        <v>0.0</v>
      </c>
      <c r="AL455" s="109">
        <v>0.0</v>
      </c>
      <c r="AM455" s="141">
        <v>0.0</v>
      </c>
      <c r="AN455" s="80">
        <v>0.0</v>
      </c>
      <c r="AO455" s="140">
        <v>0.0</v>
      </c>
      <c r="AP455" s="109">
        <v>0.0</v>
      </c>
      <c r="AQ455" s="109">
        <v>0.0</v>
      </c>
      <c r="AR455" s="80">
        <v>0.0</v>
      </c>
      <c r="AS455" s="110">
        <v>0.0</v>
      </c>
      <c r="AT455" s="110">
        <v>0.0</v>
      </c>
      <c r="AU455" s="110">
        <v>0.0</v>
      </c>
      <c r="AV455" s="142">
        <v>0.0</v>
      </c>
      <c r="AW455" s="80">
        <v>0.0</v>
      </c>
      <c r="AX455" s="113">
        <v>25.0</v>
      </c>
      <c r="AY455" s="117">
        <v>0.0</v>
      </c>
      <c r="AZ455" s="328">
        <v>25.0</v>
      </c>
      <c r="BA455" s="315">
        <v>0.0</v>
      </c>
      <c r="BB455" s="316">
        <v>25.0</v>
      </c>
      <c r="BC455" s="132" t="s">
        <v>178</v>
      </c>
      <c r="BD455" s="143" t="s">
        <v>227</v>
      </c>
      <c r="BE455" s="132" t="s">
        <v>178</v>
      </c>
      <c r="BF455" s="156"/>
      <c r="BG455" s="83">
        <v>1179242.0</v>
      </c>
      <c r="BH455" s="112">
        <v>3.0</v>
      </c>
      <c r="BI455" s="98" t="s">
        <v>155</v>
      </c>
      <c r="BJ455" s="98" t="str">
        <f t="shared" si="1"/>
        <v>NÃO</v>
      </c>
      <c r="BK455" s="98" t="str">
        <f t="shared" si="2"/>
        <v>NÃO</v>
      </c>
    </row>
    <row r="456" ht="15.75" customHeight="1">
      <c r="A456" s="111" t="s">
        <v>540</v>
      </c>
      <c r="B456" s="83" t="s">
        <v>1796</v>
      </c>
      <c r="C456" s="83" t="s">
        <v>164</v>
      </c>
      <c r="D456" s="83">
        <v>1179284.0</v>
      </c>
      <c r="E456" s="82">
        <v>1178572.0</v>
      </c>
      <c r="F456" s="82"/>
      <c r="G456" s="91" t="s">
        <v>1810</v>
      </c>
      <c r="H456" s="91" t="s">
        <v>1811</v>
      </c>
      <c r="I456" s="114" t="s">
        <v>149</v>
      </c>
      <c r="J456" s="136" t="s">
        <v>464</v>
      </c>
      <c r="K456" s="83" t="s">
        <v>168</v>
      </c>
      <c r="L456" s="83" t="s">
        <v>169</v>
      </c>
      <c r="M456" s="82" t="s">
        <v>5716</v>
      </c>
      <c r="N456" s="82" t="s">
        <v>5718</v>
      </c>
      <c r="O456" s="82" t="s">
        <v>5719</v>
      </c>
      <c r="P456" s="82" t="s">
        <v>5720</v>
      </c>
      <c r="Q456" s="82" t="s">
        <v>5721</v>
      </c>
      <c r="R456" s="82" t="s">
        <v>5724</v>
      </c>
      <c r="S456" s="82" t="s">
        <v>5725</v>
      </c>
      <c r="T456" s="138">
        <v>3.0</v>
      </c>
      <c r="U456" s="323">
        <v>3.0</v>
      </c>
      <c r="V456" s="106">
        <v>0.0</v>
      </c>
      <c r="W456" s="107">
        <v>0.0</v>
      </c>
      <c r="X456" s="107">
        <v>0.0</v>
      </c>
      <c r="Y456" s="107">
        <v>0.0</v>
      </c>
      <c r="Z456" s="80">
        <v>0.0</v>
      </c>
      <c r="AA456" s="140">
        <v>0.0</v>
      </c>
      <c r="AB456" s="109">
        <v>0.0</v>
      </c>
      <c r="AC456" s="109">
        <v>0.0</v>
      </c>
      <c r="AD456" s="141">
        <v>0.0</v>
      </c>
      <c r="AE456" s="80">
        <v>0.0</v>
      </c>
      <c r="AF456" s="140">
        <v>0.0</v>
      </c>
      <c r="AG456" s="109">
        <v>0.0</v>
      </c>
      <c r="AH456" s="109">
        <v>38.0</v>
      </c>
      <c r="AI456" s="141">
        <v>0.0</v>
      </c>
      <c r="AJ456" s="80">
        <v>38.0</v>
      </c>
      <c r="AK456" s="140">
        <v>0.0</v>
      </c>
      <c r="AL456" s="109">
        <v>0.0</v>
      </c>
      <c r="AM456" s="141">
        <v>0.0</v>
      </c>
      <c r="AN456" s="80">
        <v>0.0</v>
      </c>
      <c r="AO456" s="140">
        <v>0.0</v>
      </c>
      <c r="AP456" s="109">
        <v>0.0</v>
      </c>
      <c r="AQ456" s="109">
        <v>0.0</v>
      </c>
      <c r="AR456" s="80">
        <v>0.0</v>
      </c>
      <c r="AS456" s="110">
        <v>0.0</v>
      </c>
      <c r="AT456" s="110">
        <v>0.0</v>
      </c>
      <c r="AU456" s="110">
        <v>0.0</v>
      </c>
      <c r="AV456" s="142">
        <v>0.0</v>
      </c>
      <c r="AW456" s="80">
        <v>0.0</v>
      </c>
      <c r="AX456" s="113">
        <v>38.0</v>
      </c>
      <c r="AY456" s="117">
        <v>0.0</v>
      </c>
      <c r="AZ456" s="328">
        <v>38.0</v>
      </c>
      <c r="BA456" s="315">
        <v>0.0</v>
      </c>
      <c r="BB456" s="316">
        <v>38.0</v>
      </c>
      <c r="BC456" s="132" t="s">
        <v>178</v>
      </c>
      <c r="BD456" s="143" t="s">
        <v>227</v>
      </c>
      <c r="BE456" s="132" t="s">
        <v>178</v>
      </c>
      <c r="BF456" s="123"/>
      <c r="BG456" s="83">
        <v>1178572.0</v>
      </c>
      <c r="BH456" s="112">
        <v>3.0</v>
      </c>
      <c r="BI456" s="98" t="s">
        <v>155</v>
      </c>
      <c r="BJ456" s="98" t="str">
        <f t="shared" si="1"/>
        <v>NÃO</v>
      </c>
      <c r="BK456" s="98" t="str">
        <f t="shared" si="2"/>
        <v>NÃO</v>
      </c>
    </row>
    <row r="457" ht="15.75" customHeight="1">
      <c r="A457" s="111" t="s">
        <v>540</v>
      </c>
      <c r="B457" s="83" t="s">
        <v>1812</v>
      </c>
      <c r="C457" s="83" t="s">
        <v>68</v>
      </c>
      <c r="D457" s="83">
        <v>1110677.0</v>
      </c>
      <c r="E457" s="83"/>
      <c r="F457" s="83">
        <v>2.9313325E7</v>
      </c>
      <c r="G457" s="114" t="s">
        <v>6015</v>
      </c>
      <c r="H457" s="91" t="s">
        <v>1814</v>
      </c>
      <c r="I457" s="187" t="s">
        <v>149</v>
      </c>
      <c r="J457" s="83" t="s">
        <v>150</v>
      </c>
      <c r="K457" s="83" t="s">
        <v>1685</v>
      </c>
      <c r="L457" s="83" t="s">
        <v>76</v>
      </c>
      <c r="M457" s="82" t="s">
        <v>6016</v>
      </c>
      <c r="N457" s="82" t="s">
        <v>6017</v>
      </c>
      <c r="O457" s="82" t="s">
        <v>6018</v>
      </c>
      <c r="P457" s="82" t="s">
        <v>6019</v>
      </c>
      <c r="Q457" s="82" t="s">
        <v>6020</v>
      </c>
      <c r="R457" s="82"/>
      <c r="S457" s="82" t="s">
        <v>6021</v>
      </c>
      <c r="T457" s="138">
        <v>8.0</v>
      </c>
      <c r="U457" s="331" t="s">
        <v>6022</v>
      </c>
      <c r="V457" s="106">
        <v>0.0</v>
      </c>
      <c r="W457" s="107">
        <v>0.0</v>
      </c>
      <c r="X457" s="107">
        <v>0.0</v>
      </c>
      <c r="Y457" s="107">
        <v>0.0</v>
      </c>
      <c r="Z457" s="80">
        <v>0.0</v>
      </c>
      <c r="AA457" s="140">
        <v>0.0</v>
      </c>
      <c r="AB457" s="109">
        <v>0.0</v>
      </c>
      <c r="AC457" s="109">
        <v>0.0</v>
      </c>
      <c r="AD457" s="141">
        <v>0.0</v>
      </c>
      <c r="AE457" s="80">
        <v>0.0</v>
      </c>
      <c r="AF457" s="140">
        <v>106.0</v>
      </c>
      <c r="AG457" s="109">
        <v>106.0</v>
      </c>
      <c r="AH457" s="109">
        <v>0.0</v>
      </c>
      <c r="AI457" s="141">
        <v>134.0</v>
      </c>
      <c r="AJ457" s="80">
        <v>346.0</v>
      </c>
      <c r="AK457" s="140">
        <v>0.0</v>
      </c>
      <c r="AL457" s="109">
        <v>0.0</v>
      </c>
      <c r="AM457" s="141">
        <v>0.0</v>
      </c>
      <c r="AN457" s="80">
        <v>0.0</v>
      </c>
      <c r="AO457" s="140">
        <v>0.0</v>
      </c>
      <c r="AP457" s="109">
        <v>0.0</v>
      </c>
      <c r="AQ457" s="109">
        <v>93.0</v>
      </c>
      <c r="AR457" s="80">
        <v>93.0</v>
      </c>
      <c r="AS457" s="110">
        <v>0.0</v>
      </c>
      <c r="AT457" s="110">
        <v>0.0</v>
      </c>
      <c r="AU457" s="110">
        <v>0.0</v>
      </c>
      <c r="AV457" s="142">
        <v>0.0</v>
      </c>
      <c r="AW457" s="80">
        <v>0.0</v>
      </c>
      <c r="AX457" s="113">
        <v>439.0</v>
      </c>
      <c r="AY457" s="117">
        <v>346.0</v>
      </c>
      <c r="AZ457" s="328">
        <v>93.0</v>
      </c>
      <c r="BA457" s="315">
        <v>0.0</v>
      </c>
      <c r="BB457" s="316">
        <v>439.0</v>
      </c>
      <c r="BC457" s="132" t="s">
        <v>178</v>
      </c>
      <c r="BD457" s="132" t="s">
        <v>178</v>
      </c>
      <c r="BE457" s="132" t="s">
        <v>178</v>
      </c>
      <c r="BF457" s="156"/>
      <c r="BG457" s="83">
        <v>1110677.0</v>
      </c>
      <c r="BH457" s="112">
        <v>7.0</v>
      </c>
      <c r="BI457" s="98" t="s">
        <v>155</v>
      </c>
      <c r="BJ457" s="98" t="str">
        <f t="shared" si="1"/>
        <v>INTEGRAL</v>
      </c>
      <c r="BK457" s="98" t="str">
        <f t="shared" si="2"/>
        <v>NÃO</v>
      </c>
    </row>
    <row r="458" ht="15.75" customHeight="1">
      <c r="A458" s="111" t="s">
        <v>540</v>
      </c>
      <c r="B458" s="83" t="s">
        <v>1812</v>
      </c>
      <c r="C458" s="83" t="s">
        <v>164</v>
      </c>
      <c r="D458" s="83">
        <v>1179284.0</v>
      </c>
      <c r="E458" s="83">
        <v>1178490.0</v>
      </c>
      <c r="F458" s="83">
        <v>2.946093E7</v>
      </c>
      <c r="G458" s="114" t="s">
        <v>1818</v>
      </c>
      <c r="H458" s="91" t="s">
        <v>1819</v>
      </c>
      <c r="I458" s="114"/>
      <c r="J458" s="98" t="s">
        <v>767</v>
      </c>
      <c r="K458" s="83" t="s">
        <v>168</v>
      </c>
      <c r="L458" s="98" t="s">
        <v>76</v>
      </c>
      <c r="M458" s="82" t="s">
        <v>5716</v>
      </c>
      <c r="N458" s="82" t="s">
        <v>5718</v>
      </c>
      <c r="O458" s="82" t="s">
        <v>5719</v>
      </c>
      <c r="P458" s="82" t="s">
        <v>5720</v>
      </c>
      <c r="Q458" s="82" t="s">
        <v>5721</v>
      </c>
      <c r="R458" s="82" t="s">
        <v>5724</v>
      </c>
      <c r="S458" s="82" t="s">
        <v>5725</v>
      </c>
      <c r="T458" s="138"/>
      <c r="U458" s="331">
        <v>1.0</v>
      </c>
      <c r="V458" s="106">
        <v>0.0</v>
      </c>
      <c r="W458" s="107">
        <v>0.0</v>
      </c>
      <c r="X458" s="107">
        <v>0.0</v>
      </c>
      <c r="Y458" s="107">
        <v>0.0</v>
      </c>
      <c r="Z458" s="80">
        <v>0.0</v>
      </c>
      <c r="AA458" s="140">
        <v>0.0</v>
      </c>
      <c r="AB458" s="109">
        <v>0.0</v>
      </c>
      <c r="AC458" s="109">
        <v>0.0</v>
      </c>
      <c r="AD458" s="141">
        <v>0.0</v>
      </c>
      <c r="AE458" s="80">
        <v>0.0</v>
      </c>
      <c r="AF458" s="140">
        <v>0.0</v>
      </c>
      <c r="AG458" s="109">
        <v>0.0</v>
      </c>
      <c r="AH458" s="109">
        <v>15.0</v>
      </c>
      <c r="AI458" s="141">
        <v>0.0</v>
      </c>
      <c r="AJ458" s="80">
        <v>15.0</v>
      </c>
      <c r="AK458" s="140">
        <v>0.0</v>
      </c>
      <c r="AL458" s="109">
        <v>0.0</v>
      </c>
      <c r="AM458" s="141">
        <v>0.0</v>
      </c>
      <c r="AN458" s="80">
        <v>0.0</v>
      </c>
      <c r="AO458" s="140">
        <v>0.0</v>
      </c>
      <c r="AP458" s="109">
        <v>0.0</v>
      </c>
      <c r="AQ458" s="109">
        <v>0.0</v>
      </c>
      <c r="AR458" s="80">
        <v>0.0</v>
      </c>
      <c r="AS458" s="110">
        <v>0.0</v>
      </c>
      <c r="AT458" s="110">
        <v>0.0</v>
      </c>
      <c r="AU458" s="110">
        <v>0.0</v>
      </c>
      <c r="AV458" s="142">
        <v>0.0</v>
      </c>
      <c r="AW458" s="80">
        <v>0.0</v>
      </c>
      <c r="AX458" s="113">
        <v>15.0</v>
      </c>
      <c r="AY458" s="117">
        <v>0.0</v>
      </c>
      <c r="AZ458" s="328">
        <v>15.0</v>
      </c>
      <c r="BA458" s="315">
        <v>0.0</v>
      </c>
      <c r="BB458" s="316">
        <v>15.0</v>
      </c>
      <c r="BC458" s="132" t="s">
        <v>178</v>
      </c>
      <c r="BD458" s="143" t="s">
        <v>227</v>
      </c>
      <c r="BE458" s="132" t="s">
        <v>178</v>
      </c>
      <c r="BF458" s="123"/>
      <c r="BG458" s="83">
        <v>1178490.0</v>
      </c>
      <c r="BH458" s="112">
        <v>1.0</v>
      </c>
      <c r="BI458" s="98" t="s">
        <v>155</v>
      </c>
      <c r="BJ458" s="98" t="str">
        <f t="shared" si="1"/>
        <v>NÃO</v>
      </c>
      <c r="BK458" s="98" t="str">
        <f t="shared" si="2"/>
        <v>NÃO</v>
      </c>
    </row>
    <row r="459" ht="15.75" customHeight="1">
      <c r="A459" s="111" t="s">
        <v>540</v>
      </c>
      <c r="B459" s="83" t="s">
        <v>1812</v>
      </c>
      <c r="C459" s="83" t="s">
        <v>164</v>
      </c>
      <c r="D459" s="83">
        <v>1179284.0</v>
      </c>
      <c r="E459" s="83">
        <v>1178489.0</v>
      </c>
      <c r="F459" s="83"/>
      <c r="G459" s="114" t="s">
        <v>1820</v>
      </c>
      <c r="H459" s="91" t="s">
        <v>1821</v>
      </c>
      <c r="I459" s="114" t="s">
        <v>149</v>
      </c>
      <c r="J459" s="83" t="s">
        <v>209</v>
      </c>
      <c r="K459" s="83" t="s">
        <v>168</v>
      </c>
      <c r="L459" s="83" t="s">
        <v>169</v>
      </c>
      <c r="M459" s="82" t="s">
        <v>5716</v>
      </c>
      <c r="N459" s="82" t="s">
        <v>5718</v>
      </c>
      <c r="O459" s="82" t="s">
        <v>5719</v>
      </c>
      <c r="P459" s="82" t="s">
        <v>5720</v>
      </c>
      <c r="Q459" s="82" t="s">
        <v>5721</v>
      </c>
      <c r="R459" s="82" t="s">
        <v>5724</v>
      </c>
      <c r="S459" s="82" t="s">
        <v>5725</v>
      </c>
      <c r="T459" s="138">
        <v>4.0</v>
      </c>
      <c r="U459" s="339">
        <v>1.0</v>
      </c>
      <c r="V459" s="106">
        <v>0.0</v>
      </c>
      <c r="W459" s="107">
        <v>0.0</v>
      </c>
      <c r="X459" s="107">
        <v>0.0</v>
      </c>
      <c r="Y459" s="107">
        <v>0.0</v>
      </c>
      <c r="Z459" s="80">
        <v>0.0</v>
      </c>
      <c r="AA459" s="140">
        <v>0.0</v>
      </c>
      <c r="AB459" s="109">
        <v>0.0</v>
      </c>
      <c r="AC459" s="109">
        <v>0.0</v>
      </c>
      <c r="AD459" s="141">
        <v>0.0</v>
      </c>
      <c r="AE459" s="80">
        <v>0.0</v>
      </c>
      <c r="AF459" s="140">
        <v>9.0</v>
      </c>
      <c r="AG459" s="109">
        <v>27.0</v>
      </c>
      <c r="AH459" s="109">
        <v>0.0</v>
      </c>
      <c r="AI459" s="141">
        <v>0.0</v>
      </c>
      <c r="AJ459" s="80">
        <v>36.0</v>
      </c>
      <c r="AK459" s="140">
        <v>0.0</v>
      </c>
      <c r="AL459" s="109">
        <v>0.0</v>
      </c>
      <c r="AM459" s="141">
        <v>0.0</v>
      </c>
      <c r="AN459" s="80">
        <v>0.0</v>
      </c>
      <c r="AO459" s="140">
        <v>0.0</v>
      </c>
      <c r="AP459" s="109">
        <v>0.0</v>
      </c>
      <c r="AQ459" s="109">
        <v>0.0</v>
      </c>
      <c r="AR459" s="80">
        <v>0.0</v>
      </c>
      <c r="AS459" s="110">
        <v>0.0</v>
      </c>
      <c r="AT459" s="110">
        <v>0.0</v>
      </c>
      <c r="AU459" s="110">
        <v>0.0</v>
      </c>
      <c r="AV459" s="142">
        <v>0.0</v>
      </c>
      <c r="AW459" s="80">
        <v>0.0</v>
      </c>
      <c r="AX459" s="113">
        <v>36.0</v>
      </c>
      <c r="AY459" s="117">
        <v>36.0</v>
      </c>
      <c r="AZ459" s="328">
        <v>0.0</v>
      </c>
      <c r="BA459" s="315">
        <v>0.0</v>
      </c>
      <c r="BB459" s="316">
        <v>36.0</v>
      </c>
      <c r="BC459" s="132" t="s">
        <v>178</v>
      </c>
      <c r="BD459" s="143" t="s">
        <v>227</v>
      </c>
      <c r="BE459" s="132" t="s">
        <v>178</v>
      </c>
      <c r="BF459" s="123"/>
      <c r="BG459" s="83">
        <v>1178489.0</v>
      </c>
      <c r="BH459" s="112">
        <v>1.0</v>
      </c>
      <c r="BI459" s="98" t="s">
        <v>155</v>
      </c>
      <c r="BJ459" s="98" t="str">
        <f t="shared" si="1"/>
        <v>NÃO</v>
      </c>
      <c r="BK459" s="98" t="str">
        <f t="shared" si="2"/>
        <v>NÃO</v>
      </c>
    </row>
    <row r="460" ht="15.75" customHeight="1">
      <c r="A460" s="111" t="s">
        <v>540</v>
      </c>
      <c r="B460" s="83" t="s">
        <v>1822</v>
      </c>
      <c r="C460" s="83" t="s">
        <v>68</v>
      </c>
      <c r="D460" s="83">
        <v>1179116.0</v>
      </c>
      <c r="E460" s="83"/>
      <c r="F460" s="83">
        <v>2.9460549E7</v>
      </c>
      <c r="G460" s="114" t="s">
        <v>6051</v>
      </c>
      <c r="H460" s="91" t="s">
        <v>1825</v>
      </c>
      <c r="I460" s="365" t="s">
        <v>149</v>
      </c>
      <c r="J460" s="83" t="s">
        <v>209</v>
      </c>
      <c r="K460" s="83" t="s">
        <v>1685</v>
      </c>
      <c r="L460" s="83" t="s">
        <v>169</v>
      </c>
      <c r="M460" s="82" t="s">
        <v>6055</v>
      </c>
      <c r="N460" s="82" t="s">
        <v>6056</v>
      </c>
      <c r="O460" s="82" t="s">
        <v>6057</v>
      </c>
      <c r="P460" s="82" t="s">
        <v>6058</v>
      </c>
      <c r="Q460" s="82"/>
      <c r="R460" s="82"/>
      <c r="S460" s="82" t="s">
        <v>6060</v>
      </c>
      <c r="T460" s="138">
        <v>4.0</v>
      </c>
      <c r="U460" s="323" t="s">
        <v>6061</v>
      </c>
      <c r="V460" s="106">
        <v>0.0</v>
      </c>
      <c r="W460" s="107">
        <v>0.0</v>
      </c>
      <c r="X460" s="107">
        <v>0.0</v>
      </c>
      <c r="Y460" s="107">
        <v>0.0</v>
      </c>
      <c r="Z460" s="80">
        <v>0.0</v>
      </c>
      <c r="AA460" s="140">
        <v>0.0</v>
      </c>
      <c r="AB460" s="109">
        <v>0.0</v>
      </c>
      <c r="AC460" s="109">
        <v>0.0</v>
      </c>
      <c r="AD460" s="141">
        <v>0.0</v>
      </c>
      <c r="AE460" s="80">
        <v>0.0</v>
      </c>
      <c r="AF460" s="140">
        <v>0.0</v>
      </c>
      <c r="AG460" s="109">
        <v>69.0</v>
      </c>
      <c r="AH460" s="109">
        <v>0.0</v>
      </c>
      <c r="AI460" s="141">
        <v>34.0</v>
      </c>
      <c r="AJ460" s="80">
        <v>103.0</v>
      </c>
      <c r="AK460" s="140">
        <v>0.0</v>
      </c>
      <c r="AL460" s="109">
        <v>0.0</v>
      </c>
      <c r="AM460" s="141">
        <v>0.0</v>
      </c>
      <c r="AN460" s="80">
        <v>0.0</v>
      </c>
      <c r="AO460" s="140">
        <v>0.0</v>
      </c>
      <c r="AP460" s="109">
        <v>0.0</v>
      </c>
      <c r="AQ460" s="109">
        <v>44.0</v>
      </c>
      <c r="AR460" s="80">
        <v>44.0</v>
      </c>
      <c r="AS460" s="110">
        <v>0.0</v>
      </c>
      <c r="AT460" s="110">
        <v>0.0</v>
      </c>
      <c r="AU460" s="110">
        <v>0.0</v>
      </c>
      <c r="AV460" s="142">
        <v>0.0</v>
      </c>
      <c r="AW460" s="80">
        <v>0.0</v>
      </c>
      <c r="AX460" s="113">
        <v>147.0</v>
      </c>
      <c r="AY460" s="117">
        <v>103.0</v>
      </c>
      <c r="AZ460" s="328">
        <v>44.0</v>
      </c>
      <c r="BA460" s="315">
        <v>0.0</v>
      </c>
      <c r="BB460" s="316">
        <v>147.0</v>
      </c>
      <c r="BC460" s="132" t="s">
        <v>265</v>
      </c>
      <c r="BD460" s="132" t="s">
        <v>178</v>
      </c>
      <c r="BE460" s="132" t="s">
        <v>178</v>
      </c>
      <c r="BF460" s="123"/>
      <c r="BG460" s="83">
        <v>1179116.0</v>
      </c>
      <c r="BH460" s="112">
        <v>3.0</v>
      </c>
      <c r="BI460" s="98" t="s">
        <v>155</v>
      </c>
      <c r="BJ460" s="98" t="str">
        <f t="shared" si="1"/>
        <v>INTEGRAL</v>
      </c>
      <c r="BK460" s="98" t="str">
        <f t="shared" si="2"/>
        <v>NÃO</v>
      </c>
    </row>
    <row r="461" ht="15.75" customHeight="1">
      <c r="A461" s="111" t="s">
        <v>540</v>
      </c>
      <c r="B461" s="83" t="s">
        <v>1822</v>
      </c>
      <c r="C461" s="83" t="s">
        <v>68</v>
      </c>
      <c r="D461" s="83">
        <v>1178011.0</v>
      </c>
      <c r="E461" s="83"/>
      <c r="F461" s="83">
        <v>2.9426502E7</v>
      </c>
      <c r="G461" s="114" t="s">
        <v>6070</v>
      </c>
      <c r="H461" s="91" t="s">
        <v>1829</v>
      </c>
      <c r="I461" s="114" t="s">
        <v>149</v>
      </c>
      <c r="J461" s="83" t="s">
        <v>150</v>
      </c>
      <c r="K461" s="83" t="s">
        <v>1685</v>
      </c>
      <c r="L461" s="83" t="s">
        <v>76</v>
      </c>
      <c r="M461" s="82" t="s">
        <v>6072</v>
      </c>
      <c r="N461" s="82" t="s">
        <v>6073</v>
      </c>
      <c r="O461" s="82"/>
      <c r="P461" s="82"/>
      <c r="Q461" s="82"/>
      <c r="R461" s="82"/>
      <c r="S461" s="82" t="s">
        <v>6075</v>
      </c>
      <c r="T461" s="138">
        <v>13.0</v>
      </c>
      <c r="U461" s="323" t="s">
        <v>6076</v>
      </c>
      <c r="V461" s="106">
        <v>0.0</v>
      </c>
      <c r="W461" s="107">
        <v>0.0</v>
      </c>
      <c r="X461" s="107">
        <v>0.0</v>
      </c>
      <c r="Y461" s="107">
        <v>0.0</v>
      </c>
      <c r="Z461" s="80">
        <v>0.0</v>
      </c>
      <c r="AA461" s="140">
        <v>0.0</v>
      </c>
      <c r="AB461" s="109">
        <v>0.0</v>
      </c>
      <c r="AC461" s="109">
        <v>0.0</v>
      </c>
      <c r="AD461" s="141">
        <v>0.0</v>
      </c>
      <c r="AE461" s="80">
        <v>0.0</v>
      </c>
      <c r="AF461" s="140">
        <v>127.0</v>
      </c>
      <c r="AG461" s="109">
        <v>0.0</v>
      </c>
      <c r="AH461" s="109">
        <v>18.0</v>
      </c>
      <c r="AI461" s="141">
        <v>55.0</v>
      </c>
      <c r="AJ461" s="80">
        <v>200.0</v>
      </c>
      <c r="AK461" s="140">
        <v>0.0</v>
      </c>
      <c r="AL461" s="109">
        <v>0.0</v>
      </c>
      <c r="AM461" s="141">
        <v>0.0</v>
      </c>
      <c r="AN461" s="80">
        <v>0.0</v>
      </c>
      <c r="AO461" s="140">
        <v>0.0</v>
      </c>
      <c r="AP461" s="109">
        <v>0.0</v>
      </c>
      <c r="AQ461" s="109">
        <v>102.0</v>
      </c>
      <c r="AR461" s="80">
        <v>102.0</v>
      </c>
      <c r="AS461" s="110">
        <v>0.0</v>
      </c>
      <c r="AT461" s="110">
        <v>0.0</v>
      </c>
      <c r="AU461" s="110">
        <v>0.0</v>
      </c>
      <c r="AV461" s="142">
        <v>0.0</v>
      </c>
      <c r="AW461" s="80">
        <v>0.0</v>
      </c>
      <c r="AX461" s="113">
        <v>302.0</v>
      </c>
      <c r="AY461" s="117">
        <v>182.0</v>
      </c>
      <c r="AZ461" s="328">
        <v>120.0</v>
      </c>
      <c r="BA461" s="315">
        <v>0.0</v>
      </c>
      <c r="BB461" s="316">
        <v>302.0</v>
      </c>
      <c r="BC461" s="132" t="s">
        <v>178</v>
      </c>
      <c r="BD461" s="132" t="s">
        <v>178</v>
      </c>
      <c r="BE461" s="132" t="s">
        <v>178</v>
      </c>
      <c r="BF461" s="123"/>
      <c r="BG461" s="83">
        <v>1178011.0</v>
      </c>
      <c r="BH461" s="112">
        <v>10.0</v>
      </c>
      <c r="BI461" s="98" t="s">
        <v>155</v>
      </c>
      <c r="BJ461" s="98" t="str">
        <f t="shared" si="1"/>
        <v>INTEGRAL</v>
      </c>
      <c r="BK461" s="98" t="str">
        <f t="shared" si="2"/>
        <v>NÃO</v>
      </c>
    </row>
    <row r="462" ht="15.75" customHeight="1">
      <c r="A462" s="111" t="s">
        <v>540</v>
      </c>
      <c r="B462" s="83" t="s">
        <v>1822</v>
      </c>
      <c r="C462" s="83" t="s">
        <v>68</v>
      </c>
      <c r="D462" s="83">
        <v>1111045.0</v>
      </c>
      <c r="E462" s="83"/>
      <c r="F462" s="83">
        <v>2.9290791E7</v>
      </c>
      <c r="G462" s="114" t="s">
        <v>6085</v>
      </c>
      <c r="H462" s="91" t="s">
        <v>1833</v>
      </c>
      <c r="I462" s="114" t="s">
        <v>149</v>
      </c>
      <c r="J462" s="83" t="s">
        <v>150</v>
      </c>
      <c r="K462" s="83" t="s">
        <v>1685</v>
      </c>
      <c r="L462" s="83" t="s">
        <v>230</v>
      </c>
      <c r="M462" s="82" t="s">
        <v>6086</v>
      </c>
      <c r="N462" s="82" t="s">
        <v>6087</v>
      </c>
      <c r="O462" s="82" t="s">
        <v>6088</v>
      </c>
      <c r="P462" s="82" t="s">
        <v>6089</v>
      </c>
      <c r="Q462" s="82" t="s">
        <v>6090</v>
      </c>
      <c r="R462" s="82" t="s">
        <v>6092</v>
      </c>
      <c r="S462" s="82" t="s">
        <v>6093</v>
      </c>
      <c r="T462" s="138">
        <v>28.0</v>
      </c>
      <c r="U462" s="387">
        <v>25.0</v>
      </c>
      <c r="V462" s="106">
        <v>0.0</v>
      </c>
      <c r="W462" s="107">
        <v>0.0</v>
      </c>
      <c r="X462" s="107">
        <v>0.0</v>
      </c>
      <c r="Y462" s="107">
        <v>0.0</v>
      </c>
      <c r="Z462" s="80">
        <v>0.0</v>
      </c>
      <c r="AA462" s="140">
        <v>0.0</v>
      </c>
      <c r="AB462" s="109">
        <v>0.0</v>
      </c>
      <c r="AC462" s="109">
        <v>0.0</v>
      </c>
      <c r="AD462" s="141">
        <v>0.0</v>
      </c>
      <c r="AE462" s="80">
        <v>0.0</v>
      </c>
      <c r="AF462" s="140">
        <v>174.0</v>
      </c>
      <c r="AG462" s="109">
        <v>35.0</v>
      </c>
      <c r="AH462" s="109">
        <v>0.0</v>
      </c>
      <c r="AI462" s="141">
        <v>0.0</v>
      </c>
      <c r="AJ462" s="80">
        <v>209.0</v>
      </c>
      <c r="AK462" s="140">
        <v>0.0</v>
      </c>
      <c r="AL462" s="109">
        <v>0.0</v>
      </c>
      <c r="AM462" s="141">
        <v>0.0</v>
      </c>
      <c r="AN462" s="80">
        <v>0.0</v>
      </c>
      <c r="AO462" s="140">
        <v>0.0</v>
      </c>
      <c r="AP462" s="109">
        <v>0.0</v>
      </c>
      <c r="AQ462" s="109">
        <v>177.0</v>
      </c>
      <c r="AR462" s="80">
        <v>177.0</v>
      </c>
      <c r="AS462" s="110">
        <v>135.0</v>
      </c>
      <c r="AT462" s="110">
        <v>0.0</v>
      </c>
      <c r="AU462" s="110">
        <v>0.0</v>
      </c>
      <c r="AV462" s="142">
        <v>0.0</v>
      </c>
      <c r="AW462" s="80">
        <v>135.0</v>
      </c>
      <c r="AX462" s="113">
        <v>521.0</v>
      </c>
      <c r="AY462" s="117">
        <v>344.0</v>
      </c>
      <c r="AZ462" s="328">
        <v>177.0</v>
      </c>
      <c r="BA462" s="315">
        <v>70.0</v>
      </c>
      <c r="BB462" s="316">
        <v>591.0</v>
      </c>
      <c r="BC462" s="132" t="s">
        <v>178</v>
      </c>
      <c r="BD462" s="132" t="s">
        <v>178</v>
      </c>
      <c r="BE462" s="132" t="s">
        <v>178</v>
      </c>
      <c r="BF462" s="156"/>
      <c r="BG462" s="83">
        <v>1111045.0</v>
      </c>
      <c r="BH462" s="112">
        <v>25.0</v>
      </c>
      <c r="BI462" s="98" t="s">
        <v>284</v>
      </c>
      <c r="BJ462" s="98" t="str">
        <f t="shared" si="1"/>
        <v>NÃO</v>
      </c>
      <c r="BK462" s="98" t="str">
        <f t="shared" si="2"/>
        <v>PROFISSIONAL</v>
      </c>
    </row>
    <row r="463" ht="15.75" customHeight="1">
      <c r="A463" s="111" t="s">
        <v>540</v>
      </c>
      <c r="B463" s="83" t="s">
        <v>1822</v>
      </c>
      <c r="C463" s="83" t="s">
        <v>68</v>
      </c>
      <c r="D463" s="83">
        <v>1179139.0</v>
      </c>
      <c r="E463" s="83"/>
      <c r="F463" s="83">
        <v>2.945646E7</v>
      </c>
      <c r="G463" s="114" t="s">
        <v>6102</v>
      </c>
      <c r="H463" s="91" t="s">
        <v>1836</v>
      </c>
      <c r="I463" s="298" t="s">
        <v>149</v>
      </c>
      <c r="J463" s="83" t="s">
        <v>209</v>
      </c>
      <c r="K463" s="83" t="s">
        <v>1685</v>
      </c>
      <c r="L463" s="83" t="s">
        <v>169</v>
      </c>
      <c r="M463" s="82" t="s">
        <v>6103</v>
      </c>
      <c r="N463" s="82" t="s">
        <v>6104</v>
      </c>
      <c r="O463" s="82" t="s">
        <v>6105</v>
      </c>
      <c r="P463" s="82" t="s">
        <v>6106</v>
      </c>
      <c r="Q463" s="82"/>
      <c r="R463" s="82"/>
      <c r="S463" s="82"/>
      <c r="T463" s="138">
        <v>6.0</v>
      </c>
      <c r="U463" s="387">
        <v>6.0</v>
      </c>
      <c r="V463" s="106">
        <v>0.0</v>
      </c>
      <c r="W463" s="107">
        <v>0.0</v>
      </c>
      <c r="X463" s="107">
        <v>0.0</v>
      </c>
      <c r="Y463" s="107">
        <v>0.0</v>
      </c>
      <c r="Z463" s="80">
        <v>0.0</v>
      </c>
      <c r="AA463" s="140">
        <v>0.0</v>
      </c>
      <c r="AB463" s="109">
        <v>0.0</v>
      </c>
      <c r="AC463" s="109">
        <v>0.0</v>
      </c>
      <c r="AD463" s="141">
        <v>0.0</v>
      </c>
      <c r="AE463" s="80">
        <v>0.0</v>
      </c>
      <c r="AF463" s="140">
        <v>0.0</v>
      </c>
      <c r="AG463" s="109">
        <v>115.0</v>
      </c>
      <c r="AH463" s="109">
        <v>16.0</v>
      </c>
      <c r="AI463" s="141">
        <v>64.0</v>
      </c>
      <c r="AJ463" s="80">
        <v>195.0</v>
      </c>
      <c r="AK463" s="140">
        <v>0.0</v>
      </c>
      <c r="AL463" s="109">
        <v>0.0</v>
      </c>
      <c r="AM463" s="141">
        <v>0.0</v>
      </c>
      <c r="AN463" s="80">
        <v>0.0</v>
      </c>
      <c r="AO463" s="140">
        <v>0.0</v>
      </c>
      <c r="AP463" s="109">
        <v>0.0</v>
      </c>
      <c r="AQ463" s="109">
        <v>58.0</v>
      </c>
      <c r="AR463" s="80">
        <v>58.0</v>
      </c>
      <c r="AS463" s="110">
        <v>0.0</v>
      </c>
      <c r="AT463" s="110">
        <v>0.0</v>
      </c>
      <c r="AU463" s="110">
        <v>0.0</v>
      </c>
      <c r="AV463" s="142">
        <v>0.0</v>
      </c>
      <c r="AW463" s="80">
        <v>0.0</v>
      </c>
      <c r="AX463" s="113">
        <v>253.0</v>
      </c>
      <c r="AY463" s="117">
        <v>179.0</v>
      </c>
      <c r="AZ463" s="328">
        <v>74.0</v>
      </c>
      <c r="BA463" s="315">
        <v>0.0</v>
      </c>
      <c r="BB463" s="316">
        <v>253.0</v>
      </c>
      <c r="BC463" s="132" t="s">
        <v>373</v>
      </c>
      <c r="BD463" s="132" t="s">
        <v>178</v>
      </c>
      <c r="BE463" s="132" t="s">
        <v>178</v>
      </c>
      <c r="BF463" s="156"/>
      <c r="BG463" s="83">
        <v>1179139.0</v>
      </c>
      <c r="BH463" s="112">
        <v>6.0</v>
      </c>
      <c r="BI463" s="98" t="s">
        <v>155</v>
      </c>
      <c r="BJ463" s="98" t="str">
        <f t="shared" si="1"/>
        <v>INTEGRAL</v>
      </c>
      <c r="BK463" s="98" t="str">
        <f t="shared" si="2"/>
        <v>NÃO</v>
      </c>
    </row>
    <row r="464" ht="15.75" customHeight="1">
      <c r="A464" s="111" t="s">
        <v>540</v>
      </c>
      <c r="B464" s="83" t="s">
        <v>1822</v>
      </c>
      <c r="C464" s="83" t="s">
        <v>68</v>
      </c>
      <c r="D464" s="83">
        <v>1179311.0</v>
      </c>
      <c r="E464" s="83"/>
      <c r="F464" s="83">
        <v>2.9460646E7</v>
      </c>
      <c r="G464" s="114" t="s">
        <v>6111</v>
      </c>
      <c r="H464" s="91" t="s">
        <v>1840</v>
      </c>
      <c r="I464" s="298" t="s">
        <v>149</v>
      </c>
      <c r="J464" s="83" t="s">
        <v>1347</v>
      </c>
      <c r="K464" s="83" t="s">
        <v>1685</v>
      </c>
      <c r="L464" s="83" t="s">
        <v>169</v>
      </c>
      <c r="M464" s="82" t="s">
        <v>6112</v>
      </c>
      <c r="N464" s="82" t="s">
        <v>6113</v>
      </c>
      <c r="O464" s="82"/>
      <c r="P464" s="82"/>
      <c r="Q464" s="82"/>
      <c r="R464" s="82"/>
      <c r="S464" s="82" t="s">
        <v>6114</v>
      </c>
      <c r="T464" s="138">
        <v>6.0</v>
      </c>
      <c r="U464" s="341">
        <v>6.0</v>
      </c>
      <c r="V464" s="106">
        <v>0.0</v>
      </c>
      <c r="W464" s="107">
        <v>0.0</v>
      </c>
      <c r="X464" s="107">
        <v>0.0</v>
      </c>
      <c r="Y464" s="107">
        <v>0.0</v>
      </c>
      <c r="Z464" s="80">
        <v>0.0</v>
      </c>
      <c r="AA464" s="140">
        <v>0.0</v>
      </c>
      <c r="AB464" s="109">
        <v>0.0</v>
      </c>
      <c r="AC464" s="109">
        <v>0.0</v>
      </c>
      <c r="AD464" s="141">
        <v>0.0</v>
      </c>
      <c r="AE464" s="80">
        <v>0.0</v>
      </c>
      <c r="AF464" s="140">
        <v>0.0</v>
      </c>
      <c r="AG464" s="109">
        <v>27.0</v>
      </c>
      <c r="AH464" s="109">
        <v>0.0</v>
      </c>
      <c r="AI464" s="141">
        <v>1.0</v>
      </c>
      <c r="AJ464" s="80">
        <v>28.0</v>
      </c>
      <c r="AK464" s="140">
        <v>0.0</v>
      </c>
      <c r="AL464" s="109">
        <v>0.0</v>
      </c>
      <c r="AM464" s="141">
        <v>0.0</v>
      </c>
      <c r="AN464" s="80">
        <v>0.0</v>
      </c>
      <c r="AO464" s="140">
        <v>0.0</v>
      </c>
      <c r="AP464" s="109">
        <v>0.0</v>
      </c>
      <c r="AQ464" s="109">
        <v>17.0</v>
      </c>
      <c r="AR464" s="80">
        <v>17.0</v>
      </c>
      <c r="AS464" s="110">
        <v>0.0</v>
      </c>
      <c r="AT464" s="110">
        <v>0.0</v>
      </c>
      <c r="AU464" s="110">
        <v>0.0</v>
      </c>
      <c r="AV464" s="142">
        <v>0.0</v>
      </c>
      <c r="AW464" s="80">
        <v>0.0</v>
      </c>
      <c r="AX464" s="113">
        <v>45.0</v>
      </c>
      <c r="AY464" s="117">
        <v>28.0</v>
      </c>
      <c r="AZ464" s="328">
        <v>17.0</v>
      </c>
      <c r="BA464" s="315">
        <v>0.0</v>
      </c>
      <c r="BB464" s="316">
        <v>45.0</v>
      </c>
      <c r="BC464" s="132" t="s">
        <v>265</v>
      </c>
      <c r="BD464" s="132" t="s">
        <v>178</v>
      </c>
      <c r="BE464" s="132" t="s">
        <v>178</v>
      </c>
      <c r="BF464" s="123"/>
      <c r="BG464" s="83">
        <v>1179311.0</v>
      </c>
      <c r="BH464" s="112">
        <v>6.0</v>
      </c>
      <c r="BI464" s="98" t="s">
        <v>155</v>
      </c>
      <c r="BJ464" s="98" t="str">
        <f t="shared" si="1"/>
        <v>INTEGRAL</v>
      </c>
      <c r="BK464" s="98" t="str">
        <f t="shared" si="2"/>
        <v>NÃO</v>
      </c>
    </row>
    <row r="465" ht="15.75" customHeight="1">
      <c r="A465" s="111" t="s">
        <v>540</v>
      </c>
      <c r="B465" s="83" t="s">
        <v>1822</v>
      </c>
      <c r="C465" s="83" t="s">
        <v>68</v>
      </c>
      <c r="D465" s="83">
        <v>1179284.0</v>
      </c>
      <c r="E465" s="83"/>
      <c r="F465" s="83">
        <v>2.946093E7</v>
      </c>
      <c r="G465" s="114" t="s">
        <v>6126</v>
      </c>
      <c r="H465" s="91" t="s">
        <v>1857</v>
      </c>
      <c r="I465" s="298" t="s">
        <v>149</v>
      </c>
      <c r="J465" s="83" t="s">
        <v>150</v>
      </c>
      <c r="K465" s="83" t="s">
        <v>151</v>
      </c>
      <c r="L465" s="83" t="s">
        <v>230</v>
      </c>
      <c r="M465" s="82" t="s">
        <v>5716</v>
      </c>
      <c r="N465" s="82" t="s">
        <v>5718</v>
      </c>
      <c r="O465" s="82" t="s">
        <v>5719</v>
      </c>
      <c r="P465" s="82" t="s">
        <v>5720</v>
      </c>
      <c r="Q465" s="82" t="s">
        <v>5721</v>
      </c>
      <c r="R465" s="82" t="s">
        <v>5724</v>
      </c>
      <c r="S465" s="82" t="s">
        <v>5725</v>
      </c>
      <c r="T465" s="138" t="s">
        <v>171</v>
      </c>
      <c r="U465" s="352" t="s">
        <v>533</v>
      </c>
      <c r="V465" s="106">
        <v>0.0</v>
      </c>
      <c r="W465" s="107">
        <v>0.0</v>
      </c>
      <c r="X465" s="107">
        <v>0.0</v>
      </c>
      <c r="Y465" s="107">
        <v>0.0</v>
      </c>
      <c r="Z465" s="80">
        <v>0.0</v>
      </c>
      <c r="AA465" s="140">
        <v>0.0</v>
      </c>
      <c r="AB465" s="109">
        <v>0.0</v>
      </c>
      <c r="AC465" s="109">
        <v>0.0</v>
      </c>
      <c r="AD465" s="141">
        <v>0.0</v>
      </c>
      <c r="AE465" s="80">
        <v>0.0</v>
      </c>
      <c r="AF465" s="140">
        <v>0.0</v>
      </c>
      <c r="AG465" s="109">
        <v>0.0</v>
      </c>
      <c r="AH465" s="109">
        <v>0.0</v>
      </c>
      <c r="AI465" s="141">
        <v>0.0</v>
      </c>
      <c r="AJ465" s="80">
        <v>0.0</v>
      </c>
      <c r="AK465" s="140">
        <v>0.0</v>
      </c>
      <c r="AL465" s="109">
        <v>0.0</v>
      </c>
      <c r="AM465" s="141">
        <v>0.0</v>
      </c>
      <c r="AN465" s="80">
        <v>0.0</v>
      </c>
      <c r="AO465" s="140">
        <v>0.0</v>
      </c>
      <c r="AP465" s="109">
        <v>0.0</v>
      </c>
      <c r="AQ465" s="109">
        <v>0.0</v>
      </c>
      <c r="AR465" s="80">
        <v>0.0</v>
      </c>
      <c r="AS465" s="110">
        <v>0.0</v>
      </c>
      <c r="AT465" s="110">
        <v>0.0</v>
      </c>
      <c r="AU465" s="110">
        <v>0.0</v>
      </c>
      <c r="AV465" s="142">
        <v>0.0</v>
      </c>
      <c r="AW465" s="80">
        <v>0.0</v>
      </c>
      <c r="AX465" s="113">
        <v>0.0</v>
      </c>
      <c r="AY465" s="117">
        <v>0.0</v>
      </c>
      <c r="AZ465" s="328">
        <v>0.0</v>
      </c>
      <c r="BA465" s="315">
        <v>0.0</v>
      </c>
      <c r="BB465" s="316">
        <v>0.0</v>
      </c>
      <c r="BC465" s="132" t="s">
        <v>178</v>
      </c>
      <c r="BD465" s="143" t="s">
        <v>227</v>
      </c>
      <c r="BE465" s="132" t="s">
        <v>178</v>
      </c>
      <c r="BF465" s="123" t="s">
        <v>534</v>
      </c>
      <c r="BG465" s="83">
        <v>1179284.0</v>
      </c>
      <c r="BH465" s="112">
        <v>0.0</v>
      </c>
      <c r="BI465" s="98" t="s">
        <v>155</v>
      </c>
      <c r="BJ465" s="98" t="str">
        <f t="shared" si="1"/>
        <v>NÃO</v>
      </c>
      <c r="BK465" s="98" t="str">
        <f t="shared" si="2"/>
        <v>NÃO</v>
      </c>
    </row>
    <row r="466" ht="15.75" customHeight="1">
      <c r="A466" s="111" t="s">
        <v>540</v>
      </c>
      <c r="B466" s="172" t="s">
        <v>1822</v>
      </c>
      <c r="C466" s="136" t="s">
        <v>68</v>
      </c>
      <c r="D466" s="136">
        <v>1111070.0</v>
      </c>
      <c r="E466" s="136"/>
      <c r="F466" s="136">
        <v>2.9290732E7</v>
      </c>
      <c r="G466" s="187" t="s">
        <v>6137</v>
      </c>
      <c r="H466" s="91" t="s">
        <v>1845</v>
      </c>
      <c r="I466" s="187" t="s">
        <v>149</v>
      </c>
      <c r="J466" s="136" t="s">
        <v>150</v>
      </c>
      <c r="K466" s="136" t="s">
        <v>1685</v>
      </c>
      <c r="L466" s="136" t="s">
        <v>230</v>
      </c>
      <c r="M466" s="82" t="s">
        <v>6138</v>
      </c>
      <c r="N466" s="82" t="s">
        <v>6139</v>
      </c>
      <c r="O466" s="82" t="s">
        <v>6140</v>
      </c>
      <c r="P466" s="82" t="s">
        <v>6141</v>
      </c>
      <c r="Q466" s="82" t="s">
        <v>6142</v>
      </c>
      <c r="R466" s="82" t="s">
        <v>6143</v>
      </c>
      <c r="S466" s="82" t="s">
        <v>6146</v>
      </c>
      <c r="T466" s="138">
        <v>27.0</v>
      </c>
      <c r="U466" s="341">
        <v>20.0</v>
      </c>
      <c r="V466" s="106">
        <v>0.0</v>
      </c>
      <c r="W466" s="107">
        <v>0.0</v>
      </c>
      <c r="X466" s="107">
        <v>0.0</v>
      </c>
      <c r="Y466" s="107">
        <v>0.0</v>
      </c>
      <c r="Z466" s="80">
        <v>0.0</v>
      </c>
      <c r="AA466" s="140">
        <v>0.0</v>
      </c>
      <c r="AB466" s="109">
        <v>0.0</v>
      </c>
      <c r="AC466" s="109">
        <v>0.0</v>
      </c>
      <c r="AD466" s="141">
        <v>0.0</v>
      </c>
      <c r="AE466" s="80">
        <v>0.0</v>
      </c>
      <c r="AF466" s="140">
        <v>0.0</v>
      </c>
      <c r="AG466" s="109">
        <v>0.0</v>
      </c>
      <c r="AH466" s="109">
        <v>0.0</v>
      </c>
      <c r="AI466" s="141">
        <v>0.0</v>
      </c>
      <c r="AJ466" s="80">
        <v>0.0</v>
      </c>
      <c r="AK466" s="140">
        <v>0.0</v>
      </c>
      <c r="AL466" s="109">
        <v>0.0</v>
      </c>
      <c r="AM466" s="141">
        <v>0.0</v>
      </c>
      <c r="AN466" s="80">
        <v>0.0</v>
      </c>
      <c r="AO466" s="140">
        <v>0.0</v>
      </c>
      <c r="AP466" s="109">
        <v>0.0</v>
      </c>
      <c r="AQ466" s="109">
        <v>0.0</v>
      </c>
      <c r="AR466" s="80">
        <v>0.0</v>
      </c>
      <c r="AS466" s="110">
        <v>551.0</v>
      </c>
      <c r="AT466" s="110">
        <v>278.0</v>
      </c>
      <c r="AU466" s="110">
        <v>248.0</v>
      </c>
      <c r="AV466" s="142">
        <v>0.0</v>
      </c>
      <c r="AW466" s="80">
        <v>1077.0</v>
      </c>
      <c r="AX466" s="113">
        <v>1077.0</v>
      </c>
      <c r="AY466" s="117">
        <v>829.0</v>
      </c>
      <c r="AZ466" s="328">
        <v>248.0</v>
      </c>
      <c r="BA466" s="315">
        <v>0.0</v>
      </c>
      <c r="BB466" s="316">
        <v>1077.0</v>
      </c>
      <c r="BC466" s="132" t="s">
        <v>178</v>
      </c>
      <c r="BD466" s="132" t="s">
        <v>779</v>
      </c>
      <c r="BE466" s="132" t="s">
        <v>178</v>
      </c>
      <c r="BF466" s="156"/>
      <c r="BG466" s="136">
        <v>1111070.0</v>
      </c>
      <c r="BH466" s="112">
        <v>20.0</v>
      </c>
      <c r="BI466" s="98" t="s">
        <v>155</v>
      </c>
      <c r="BJ466" s="98" t="str">
        <f t="shared" si="1"/>
        <v>NÃO</v>
      </c>
      <c r="BK466" s="98" t="str">
        <f t="shared" si="2"/>
        <v>PROFISSIONAL</v>
      </c>
    </row>
    <row r="467" ht="15.75" customHeight="1">
      <c r="A467" s="111" t="s">
        <v>540</v>
      </c>
      <c r="B467" s="83" t="s">
        <v>1822</v>
      </c>
      <c r="C467" s="83" t="s">
        <v>164</v>
      </c>
      <c r="D467" s="83">
        <v>1111070.0</v>
      </c>
      <c r="E467" s="83">
        <v>1178296.0</v>
      </c>
      <c r="F467" s="83"/>
      <c r="G467" s="114" t="s">
        <v>6153</v>
      </c>
      <c r="H467" s="91" t="s">
        <v>1851</v>
      </c>
      <c r="I467" s="298" t="s">
        <v>149</v>
      </c>
      <c r="J467" s="83" t="s">
        <v>657</v>
      </c>
      <c r="K467" s="83" t="s">
        <v>1852</v>
      </c>
      <c r="L467" s="83" t="s">
        <v>169</v>
      </c>
      <c r="M467" s="82" t="s">
        <v>6138</v>
      </c>
      <c r="N467" s="82" t="s">
        <v>6139</v>
      </c>
      <c r="O467" s="82" t="s">
        <v>6140</v>
      </c>
      <c r="P467" s="82" t="s">
        <v>6141</v>
      </c>
      <c r="Q467" s="82" t="s">
        <v>6142</v>
      </c>
      <c r="R467" s="82" t="s">
        <v>6143</v>
      </c>
      <c r="S467" s="82" t="s">
        <v>6146</v>
      </c>
      <c r="T467" s="138">
        <v>7.0</v>
      </c>
      <c r="U467" s="393">
        <v>7.0</v>
      </c>
      <c r="V467" s="106">
        <v>0.0</v>
      </c>
      <c r="W467" s="107">
        <v>0.0</v>
      </c>
      <c r="X467" s="107">
        <v>0.0</v>
      </c>
      <c r="Y467" s="107">
        <v>0.0</v>
      </c>
      <c r="Z467" s="80">
        <v>0.0</v>
      </c>
      <c r="AA467" s="140">
        <v>0.0</v>
      </c>
      <c r="AB467" s="109">
        <v>0.0</v>
      </c>
      <c r="AC467" s="109">
        <v>0.0</v>
      </c>
      <c r="AD467" s="141">
        <v>0.0</v>
      </c>
      <c r="AE467" s="80">
        <v>0.0</v>
      </c>
      <c r="AF467" s="140">
        <v>0.0</v>
      </c>
      <c r="AG467" s="109">
        <v>0.0</v>
      </c>
      <c r="AH467" s="109">
        <v>0.0</v>
      </c>
      <c r="AI467" s="141">
        <v>0.0</v>
      </c>
      <c r="AJ467" s="80">
        <v>0.0</v>
      </c>
      <c r="AK467" s="140">
        <v>0.0</v>
      </c>
      <c r="AL467" s="109">
        <v>0.0</v>
      </c>
      <c r="AM467" s="141">
        <v>0.0</v>
      </c>
      <c r="AN467" s="80">
        <v>0.0</v>
      </c>
      <c r="AO467" s="140">
        <v>0.0</v>
      </c>
      <c r="AP467" s="109">
        <v>0.0</v>
      </c>
      <c r="AQ467" s="109">
        <v>0.0</v>
      </c>
      <c r="AR467" s="80">
        <v>0.0</v>
      </c>
      <c r="AS467" s="110">
        <v>0.0</v>
      </c>
      <c r="AT467" s="110">
        <v>73.0</v>
      </c>
      <c r="AU467" s="110">
        <v>90.0</v>
      </c>
      <c r="AV467" s="142">
        <v>0.0</v>
      </c>
      <c r="AW467" s="80">
        <v>163.0</v>
      </c>
      <c r="AX467" s="113">
        <v>163.0</v>
      </c>
      <c r="AY467" s="117">
        <v>73.0</v>
      </c>
      <c r="AZ467" s="328">
        <v>90.0</v>
      </c>
      <c r="BA467" s="315">
        <v>0.0</v>
      </c>
      <c r="BB467" s="316">
        <v>163.0</v>
      </c>
      <c r="BC467" s="132" t="s">
        <v>373</v>
      </c>
      <c r="BD467" s="132" t="s">
        <v>779</v>
      </c>
      <c r="BE467" s="132" t="s">
        <v>178</v>
      </c>
      <c r="BF467" s="83"/>
      <c r="BG467" s="83">
        <v>1178296.0</v>
      </c>
      <c r="BH467" s="112">
        <v>7.0</v>
      </c>
      <c r="BI467" s="98" t="s">
        <v>155</v>
      </c>
      <c r="BJ467" s="98" t="str">
        <f t="shared" si="1"/>
        <v>NÃO</v>
      </c>
      <c r="BK467" s="98" t="str">
        <f t="shared" si="2"/>
        <v>PROFISSIONAL</v>
      </c>
    </row>
    <row r="468" ht="15.75" customHeight="1">
      <c r="A468" s="111" t="s">
        <v>540</v>
      </c>
      <c r="B468" s="83" t="s">
        <v>1822</v>
      </c>
      <c r="C468" s="83" t="s">
        <v>164</v>
      </c>
      <c r="D468" s="83">
        <v>1111045.0</v>
      </c>
      <c r="E468" s="98">
        <v>1179057.0</v>
      </c>
      <c r="F468" s="83"/>
      <c r="G468" s="119" t="s">
        <v>6165</v>
      </c>
      <c r="H468" s="108" t="s">
        <v>1855</v>
      </c>
      <c r="I468" s="298"/>
      <c r="J468" s="83"/>
      <c r="K468" s="83" t="s">
        <v>1685</v>
      </c>
      <c r="L468" s="83" t="s">
        <v>169</v>
      </c>
      <c r="M468" s="82" t="s">
        <v>6086</v>
      </c>
      <c r="N468" s="82" t="s">
        <v>6087</v>
      </c>
      <c r="O468" s="82" t="s">
        <v>6088</v>
      </c>
      <c r="P468" s="82" t="s">
        <v>6089</v>
      </c>
      <c r="Q468" s="82" t="s">
        <v>6090</v>
      </c>
      <c r="R468" s="82" t="s">
        <v>6092</v>
      </c>
      <c r="S468" s="82" t="s">
        <v>6093</v>
      </c>
      <c r="T468" s="138"/>
      <c r="U468" s="341"/>
      <c r="V468" s="106">
        <v>0.0</v>
      </c>
      <c r="W468" s="107">
        <v>0.0</v>
      </c>
      <c r="X468" s="107">
        <v>0.0</v>
      </c>
      <c r="Y468" s="107">
        <v>0.0</v>
      </c>
      <c r="Z468" s="80">
        <v>0.0</v>
      </c>
      <c r="AA468" s="140">
        <v>0.0</v>
      </c>
      <c r="AB468" s="109">
        <v>0.0</v>
      </c>
      <c r="AC468" s="109">
        <v>0.0</v>
      </c>
      <c r="AD468" s="141">
        <v>0.0</v>
      </c>
      <c r="AE468" s="80">
        <v>0.0</v>
      </c>
      <c r="AF468" s="140">
        <v>0.0</v>
      </c>
      <c r="AG468" s="109">
        <v>0.0</v>
      </c>
      <c r="AH468" s="109">
        <v>0.0</v>
      </c>
      <c r="AI468" s="141">
        <v>0.0</v>
      </c>
      <c r="AJ468" s="80">
        <v>0.0</v>
      </c>
      <c r="AK468" s="140">
        <v>0.0</v>
      </c>
      <c r="AL468" s="109">
        <v>0.0</v>
      </c>
      <c r="AM468" s="141">
        <v>0.0</v>
      </c>
      <c r="AN468" s="80">
        <v>0.0</v>
      </c>
      <c r="AO468" s="140">
        <v>0.0</v>
      </c>
      <c r="AP468" s="109">
        <v>0.0</v>
      </c>
      <c r="AQ468" s="109">
        <v>0.0</v>
      </c>
      <c r="AR468" s="80">
        <v>0.0</v>
      </c>
      <c r="AS468" s="110">
        <v>0.0</v>
      </c>
      <c r="AT468" s="110">
        <v>0.0</v>
      </c>
      <c r="AU468" s="110">
        <v>0.0</v>
      </c>
      <c r="AV468" s="142">
        <v>0.0</v>
      </c>
      <c r="AW468" s="80">
        <v>0.0</v>
      </c>
      <c r="AX468" s="113">
        <v>0.0</v>
      </c>
      <c r="AY468" s="117">
        <v>0.0</v>
      </c>
      <c r="AZ468" s="328">
        <v>0.0</v>
      </c>
      <c r="BA468" s="315">
        <v>0.0</v>
      </c>
      <c r="BB468" s="316">
        <v>0.0</v>
      </c>
      <c r="BC468" s="132" t="s">
        <v>178</v>
      </c>
      <c r="BD468" s="132" t="s">
        <v>178</v>
      </c>
      <c r="BE468" s="132" t="s">
        <v>178</v>
      </c>
      <c r="BF468" s="123"/>
      <c r="BG468" s="98">
        <v>1179057.0</v>
      </c>
      <c r="BH468" s="98">
        <v>0.0</v>
      </c>
      <c r="BI468" s="98" t="s">
        <v>155</v>
      </c>
      <c r="BJ468" s="98" t="str">
        <f t="shared" si="1"/>
        <v>NÃO</v>
      </c>
      <c r="BK468" s="98" t="str">
        <f t="shared" si="2"/>
        <v>NÃO</v>
      </c>
    </row>
    <row r="469" ht="15.75" customHeight="1">
      <c r="A469" s="111" t="s">
        <v>540</v>
      </c>
      <c r="B469" s="83" t="s">
        <v>1859</v>
      </c>
      <c r="C469" s="83" t="s">
        <v>68</v>
      </c>
      <c r="D469" s="83">
        <v>1110685.0</v>
      </c>
      <c r="E469" s="83"/>
      <c r="F469" s="83">
        <v>2.9317134E7</v>
      </c>
      <c r="G469" s="114" t="s">
        <v>6167</v>
      </c>
      <c r="H469" s="91" t="s">
        <v>1861</v>
      </c>
      <c r="I469" s="114" t="s">
        <v>149</v>
      </c>
      <c r="J469" s="83" t="s">
        <v>150</v>
      </c>
      <c r="K469" s="83" t="s">
        <v>1685</v>
      </c>
      <c r="L469" s="83" t="s">
        <v>76</v>
      </c>
      <c r="M469" s="82" t="s">
        <v>6172</v>
      </c>
      <c r="N469" s="82" t="s">
        <v>6173</v>
      </c>
      <c r="O469" s="82" t="s">
        <v>6174</v>
      </c>
      <c r="P469" s="82" t="s">
        <v>6175</v>
      </c>
      <c r="Q469" s="82"/>
      <c r="R469" s="82"/>
      <c r="S469" s="82" t="s">
        <v>6176</v>
      </c>
      <c r="T469" s="138">
        <v>8.0</v>
      </c>
      <c r="U469" s="352" t="s">
        <v>6177</v>
      </c>
      <c r="V469" s="106">
        <v>0.0</v>
      </c>
      <c r="W469" s="107">
        <v>0.0</v>
      </c>
      <c r="X469" s="107">
        <v>0.0</v>
      </c>
      <c r="Y469" s="107">
        <v>0.0</v>
      </c>
      <c r="Z469" s="80">
        <v>0.0</v>
      </c>
      <c r="AA469" s="140">
        <v>0.0</v>
      </c>
      <c r="AB469" s="109">
        <v>0.0</v>
      </c>
      <c r="AC469" s="109">
        <v>0.0</v>
      </c>
      <c r="AD469" s="141">
        <v>0.0</v>
      </c>
      <c r="AE469" s="80">
        <v>0.0</v>
      </c>
      <c r="AF469" s="140">
        <v>135.0</v>
      </c>
      <c r="AG469" s="109">
        <v>8.0</v>
      </c>
      <c r="AH469" s="109">
        <v>38.0</v>
      </c>
      <c r="AI469" s="141">
        <v>82.0</v>
      </c>
      <c r="AJ469" s="80">
        <v>263.0</v>
      </c>
      <c r="AK469" s="140">
        <v>0.0</v>
      </c>
      <c r="AL469" s="109">
        <v>0.0</v>
      </c>
      <c r="AM469" s="141">
        <v>0.0</v>
      </c>
      <c r="AN469" s="80">
        <v>0.0</v>
      </c>
      <c r="AO469" s="140">
        <v>0.0</v>
      </c>
      <c r="AP469" s="109">
        <v>0.0</v>
      </c>
      <c r="AQ469" s="109">
        <v>118.0</v>
      </c>
      <c r="AR469" s="80">
        <v>118.0</v>
      </c>
      <c r="AS469" s="110">
        <v>0.0</v>
      </c>
      <c r="AT469" s="110">
        <v>0.0</v>
      </c>
      <c r="AU469" s="110">
        <v>0.0</v>
      </c>
      <c r="AV469" s="142">
        <v>0.0</v>
      </c>
      <c r="AW469" s="80">
        <v>0.0</v>
      </c>
      <c r="AX469" s="113">
        <v>381.0</v>
      </c>
      <c r="AY469" s="117">
        <v>225.0</v>
      </c>
      <c r="AZ469" s="328">
        <v>156.0</v>
      </c>
      <c r="BA469" s="315">
        <v>0.0</v>
      </c>
      <c r="BB469" s="316">
        <v>381.0</v>
      </c>
      <c r="BC469" s="132" t="s">
        <v>178</v>
      </c>
      <c r="BD469" s="132" t="s">
        <v>178</v>
      </c>
      <c r="BE469" s="132" t="s">
        <v>178</v>
      </c>
      <c r="BF469" s="123"/>
      <c r="BG469" s="83">
        <v>1110685.0</v>
      </c>
      <c r="BH469" s="112">
        <v>7.0</v>
      </c>
      <c r="BI469" s="98" t="s">
        <v>155</v>
      </c>
      <c r="BJ469" s="98" t="str">
        <f t="shared" si="1"/>
        <v>INTEGRAL</v>
      </c>
      <c r="BK469" s="98" t="str">
        <f t="shared" si="2"/>
        <v>NÃO</v>
      </c>
    </row>
    <row r="470" ht="15.75" customHeight="1">
      <c r="A470" s="111" t="s">
        <v>540</v>
      </c>
      <c r="B470" s="83" t="s">
        <v>1859</v>
      </c>
      <c r="C470" s="83" t="s">
        <v>164</v>
      </c>
      <c r="D470" s="83">
        <v>1110685.0</v>
      </c>
      <c r="E470" s="83">
        <v>1178413.0</v>
      </c>
      <c r="F470" s="83"/>
      <c r="G470" s="114" t="s">
        <v>6182</v>
      </c>
      <c r="H470" s="91" t="s">
        <v>1864</v>
      </c>
      <c r="I470" s="298" t="s">
        <v>1865</v>
      </c>
      <c r="J470" s="83" t="s">
        <v>1502</v>
      </c>
      <c r="K470" s="83" t="s">
        <v>168</v>
      </c>
      <c r="L470" s="83" t="s">
        <v>169</v>
      </c>
      <c r="M470" s="82" t="s">
        <v>6172</v>
      </c>
      <c r="N470" s="82" t="s">
        <v>6173</v>
      </c>
      <c r="O470" s="82" t="s">
        <v>6174</v>
      </c>
      <c r="P470" s="82" t="s">
        <v>6175</v>
      </c>
      <c r="Q470" s="82"/>
      <c r="R470" s="82"/>
      <c r="S470" s="82" t="s">
        <v>6176</v>
      </c>
      <c r="T470" s="138">
        <v>5.0</v>
      </c>
      <c r="U470" s="352">
        <v>3.0</v>
      </c>
      <c r="V470" s="106">
        <v>0.0</v>
      </c>
      <c r="W470" s="107">
        <v>0.0</v>
      </c>
      <c r="X470" s="107">
        <v>0.0</v>
      </c>
      <c r="Y470" s="107">
        <v>0.0</v>
      </c>
      <c r="Z470" s="80">
        <v>0.0</v>
      </c>
      <c r="AA470" s="140">
        <v>0.0</v>
      </c>
      <c r="AB470" s="109">
        <v>0.0</v>
      </c>
      <c r="AC470" s="109">
        <v>0.0</v>
      </c>
      <c r="AD470" s="141">
        <v>0.0</v>
      </c>
      <c r="AE470" s="80">
        <v>0.0</v>
      </c>
      <c r="AF470" s="140">
        <v>0.0</v>
      </c>
      <c r="AG470" s="109">
        <v>77.0</v>
      </c>
      <c r="AH470" s="109">
        <v>0.0</v>
      </c>
      <c r="AI470" s="141">
        <v>0.0</v>
      </c>
      <c r="AJ470" s="80">
        <v>77.0</v>
      </c>
      <c r="AK470" s="140">
        <v>0.0</v>
      </c>
      <c r="AL470" s="109">
        <v>0.0</v>
      </c>
      <c r="AM470" s="141">
        <v>0.0</v>
      </c>
      <c r="AN470" s="80">
        <v>0.0</v>
      </c>
      <c r="AO470" s="140">
        <v>0.0</v>
      </c>
      <c r="AP470" s="109">
        <v>0.0</v>
      </c>
      <c r="AQ470" s="109">
        <v>25.0</v>
      </c>
      <c r="AR470" s="80">
        <v>25.0</v>
      </c>
      <c r="AS470" s="110">
        <v>0.0</v>
      </c>
      <c r="AT470" s="110">
        <v>0.0</v>
      </c>
      <c r="AU470" s="110">
        <v>0.0</v>
      </c>
      <c r="AV470" s="142">
        <v>0.0</v>
      </c>
      <c r="AW470" s="80">
        <v>0.0</v>
      </c>
      <c r="AX470" s="113">
        <v>102.0</v>
      </c>
      <c r="AY470" s="117">
        <v>77.0</v>
      </c>
      <c r="AZ470" s="328">
        <v>25.0</v>
      </c>
      <c r="BA470" s="315">
        <v>0.0</v>
      </c>
      <c r="BB470" s="316">
        <v>102.0</v>
      </c>
      <c r="BC470" s="132" t="s">
        <v>373</v>
      </c>
      <c r="BD470" s="132" t="s">
        <v>178</v>
      </c>
      <c r="BE470" s="132" t="s">
        <v>178</v>
      </c>
      <c r="BF470" s="123"/>
      <c r="BG470" s="83">
        <v>1178413.0</v>
      </c>
      <c r="BH470" s="112">
        <v>3.0</v>
      </c>
      <c r="BI470" s="98" t="s">
        <v>155</v>
      </c>
      <c r="BJ470" s="98" t="str">
        <f t="shared" si="1"/>
        <v>NÃO</v>
      </c>
      <c r="BK470" s="98" t="str">
        <f t="shared" si="2"/>
        <v>NÃO</v>
      </c>
    </row>
    <row r="471" ht="15.75" customHeight="1">
      <c r="A471" s="111" t="s">
        <v>540</v>
      </c>
      <c r="B471" s="83" t="s">
        <v>1859</v>
      </c>
      <c r="C471" s="83" t="s">
        <v>164</v>
      </c>
      <c r="D471" s="83">
        <v>1179284.0</v>
      </c>
      <c r="E471" s="83">
        <v>1179052.0</v>
      </c>
      <c r="F471" s="83"/>
      <c r="G471" s="114" t="s">
        <v>1866</v>
      </c>
      <c r="H471" s="91" t="s">
        <v>1867</v>
      </c>
      <c r="I471" s="298" t="s">
        <v>149</v>
      </c>
      <c r="J471" s="83" t="s">
        <v>443</v>
      </c>
      <c r="K471" s="83" t="s">
        <v>168</v>
      </c>
      <c r="L471" s="83" t="s">
        <v>169</v>
      </c>
      <c r="M471" s="82" t="s">
        <v>5716</v>
      </c>
      <c r="N471" s="82" t="s">
        <v>5718</v>
      </c>
      <c r="O471" s="82" t="s">
        <v>5719</v>
      </c>
      <c r="P471" s="82" t="s">
        <v>5720</v>
      </c>
      <c r="Q471" s="82" t="s">
        <v>5721</v>
      </c>
      <c r="R471" s="82" t="s">
        <v>5724</v>
      </c>
      <c r="S471" s="82" t="s">
        <v>5725</v>
      </c>
      <c r="T471" s="138">
        <v>3.0</v>
      </c>
      <c r="U471" s="339">
        <v>3.0</v>
      </c>
      <c r="V471" s="106">
        <v>0.0</v>
      </c>
      <c r="W471" s="107">
        <v>0.0</v>
      </c>
      <c r="X471" s="107">
        <v>0.0</v>
      </c>
      <c r="Y471" s="107">
        <v>0.0</v>
      </c>
      <c r="Z471" s="80">
        <v>0.0</v>
      </c>
      <c r="AA471" s="140">
        <v>0.0</v>
      </c>
      <c r="AB471" s="109">
        <v>0.0</v>
      </c>
      <c r="AC471" s="109">
        <v>0.0</v>
      </c>
      <c r="AD471" s="141">
        <v>0.0</v>
      </c>
      <c r="AE471" s="80">
        <v>0.0</v>
      </c>
      <c r="AF471" s="140">
        <v>0.0</v>
      </c>
      <c r="AG471" s="109">
        <v>0.0</v>
      </c>
      <c r="AH471" s="109">
        <v>16.0</v>
      </c>
      <c r="AI471" s="141">
        <v>0.0</v>
      </c>
      <c r="AJ471" s="80">
        <v>16.0</v>
      </c>
      <c r="AK471" s="140">
        <v>0.0</v>
      </c>
      <c r="AL471" s="109">
        <v>0.0</v>
      </c>
      <c r="AM471" s="141">
        <v>0.0</v>
      </c>
      <c r="AN471" s="80">
        <v>0.0</v>
      </c>
      <c r="AO471" s="140">
        <v>0.0</v>
      </c>
      <c r="AP471" s="109">
        <v>0.0</v>
      </c>
      <c r="AQ471" s="109">
        <v>0.0</v>
      </c>
      <c r="AR471" s="80">
        <v>0.0</v>
      </c>
      <c r="AS471" s="110">
        <v>0.0</v>
      </c>
      <c r="AT471" s="110">
        <v>0.0</v>
      </c>
      <c r="AU471" s="110">
        <v>0.0</v>
      </c>
      <c r="AV471" s="142">
        <v>0.0</v>
      </c>
      <c r="AW471" s="80">
        <v>0.0</v>
      </c>
      <c r="AX471" s="113">
        <v>16.0</v>
      </c>
      <c r="AY471" s="117">
        <v>0.0</v>
      </c>
      <c r="AZ471" s="328">
        <v>16.0</v>
      </c>
      <c r="BA471" s="315">
        <v>0.0</v>
      </c>
      <c r="BB471" s="316">
        <v>16.0</v>
      </c>
      <c r="BC471" s="132" t="s">
        <v>178</v>
      </c>
      <c r="BD471" s="143" t="s">
        <v>227</v>
      </c>
      <c r="BE471" s="132" t="s">
        <v>178</v>
      </c>
      <c r="BF471" s="123"/>
      <c r="BG471" s="83">
        <v>1179052.0</v>
      </c>
      <c r="BH471" s="112">
        <v>3.0</v>
      </c>
      <c r="BI471" s="98" t="s">
        <v>155</v>
      </c>
      <c r="BJ471" s="98" t="str">
        <f t="shared" si="1"/>
        <v>NÃO</v>
      </c>
      <c r="BK471" s="98" t="str">
        <f t="shared" si="2"/>
        <v>NÃO</v>
      </c>
    </row>
    <row r="472" ht="15.75" customHeight="1">
      <c r="A472" s="111" t="s">
        <v>540</v>
      </c>
      <c r="B472" s="83" t="s">
        <v>1859</v>
      </c>
      <c r="C472" s="83" t="s">
        <v>164</v>
      </c>
      <c r="D472" s="83">
        <v>1179284.0</v>
      </c>
      <c r="E472" s="83">
        <v>1179051.0</v>
      </c>
      <c r="F472" s="83"/>
      <c r="G472" s="114" t="s">
        <v>1868</v>
      </c>
      <c r="H472" s="91" t="s">
        <v>1869</v>
      </c>
      <c r="I472" s="298" t="s">
        <v>171</v>
      </c>
      <c r="J472" s="83" t="s">
        <v>1870</v>
      </c>
      <c r="K472" s="83" t="s">
        <v>168</v>
      </c>
      <c r="L472" s="83" t="s">
        <v>169</v>
      </c>
      <c r="M472" s="82" t="s">
        <v>5716</v>
      </c>
      <c r="N472" s="82" t="s">
        <v>5718</v>
      </c>
      <c r="O472" s="82" t="s">
        <v>5719</v>
      </c>
      <c r="P472" s="82" t="s">
        <v>5720</v>
      </c>
      <c r="Q472" s="82" t="s">
        <v>5721</v>
      </c>
      <c r="R472" s="82" t="s">
        <v>5724</v>
      </c>
      <c r="S472" s="82" t="s">
        <v>5725</v>
      </c>
      <c r="T472" s="138">
        <v>3.0</v>
      </c>
      <c r="U472" s="331">
        <v>3.0</v>
      </c>
      <c r="V472" s="106">
        <v>0.0</v>
      </c>
      <c r="W472" s="107">
        <v>0.0</v>
      </c>
      <c r="X472" s="107">
        <v>0.0</v>
      </c>
      <c r="Y472" s="107">
        <v>0.0</v>
      </c>
      <c r="Z472" s="80">
        <v>0.0</v>
      </c>
      <c r="AA472" s="140">
        <v>0.0</v>
      </c>
      <c r="AB472" s="109">
        <v>0.0</v>
      </c>
      <c r="AC472" s="109">
        <v>0.0</v>
      </c>
      <c r="AD472" s="141">
        <v>0.0</v>
      </c>
      <c r="AE472" s="80">
        <v>0.0</v>
      </c>
      <c r="AF472" s="140">
        <v>0.0</v>
      </c>
      <c r="AG472" s="109">
        <v>0.0</v>
      </c>
      <c r="AH472" s="109">
        <v>57.0</v>
      </c>
      <c r="AI472" s="141">
        <v>0.0</v>
      </c>
      <c r="AJ472" s="80">
        <v>57.0</v>
      </c>
      <c r="AK472" s="140">
        <v>0.0</v>
      </c>
      <c r="AL472" s="109">
        <v>0.0</v>
      </c>
      <c r="AM472" s="141">
        <v>0.0</v>
      </c>
      <c r="AN472" s="80">
        <v>0.0</v>
      </c>
      <c r="AO472" s="140">
        <v>0.0</v>
      </c>
      <c r="AP472" s="109">
        <v>0.0</v>
      </c>
      <c r="AQ472" s="109">
        <v>0.0</v>
      </c>
      <c r="AR472" s="80">
        <v>0.0</v>
      </c>
      <c r="AS472" s="110">
        <v>0.0</v>
      </c>
      <c r="AT472" s="110">
        <v>0.0</v>
      </c>
      <c r="AU472" s="110">
        <v>0.0</v>
      </c>
      <c r="AV472" s="142">
        <v>0.0</v>
      </c>
      <c r="AW472" s="80">
        <v>0.0</v>
      </c>
      <c r="AX472" s="113">
        <v>57.0</v>
      </c>
      <c r="AY472" s="117">
        <v>0.0</v>
      </c>
      <c r="AZ472" s="328">
        <v>57.0</v>
      </c>
      <c r="BA472" s="315">
        <v>0.0</v>
      </c>
      <c r="BB472" s="316">
        <v>57.0</v>
      </c>
      <c r="BC472" s="132" t="s">
        <v>178</v>
      </c>
      <c r="BD472" s="143" t="s">
        <v>227</v>
      </c>
      <c r="BE472" s="132" t="s">
        <v>178</v>
      </c>
      <c r="BF472" s="123"/>
      <c r="BG472" s="83">
        <v>1179051.0</v>
      </c>
      <c r="BH472" s="112">
        <v>3.0</v>
      </c>
      <c r="BI472" s="98" t="s">
        <v>155</v>
      </c>
      <c r="BJ472" s="98" t="str">
        <f t="shared" si="1"/>
        <v>NÃO</v>
      </c>
      <c r="BK472" s="98" t="str">
        <f t="shared" si="2"/>
        <v>NÃO</v>
      </c>
    </row>
    <row r="473" ht="15.75" customHeight="1">
      <c r="A473" s="111" t="s">
        <v>540</v>
      </c>
      <c r="B473" s="83" t="s">
        <v>1859</v>
      </c>
      <c r="C473" s="83" t="s">
        <v>164</v>
      </c>
      <c r="D473" s="83">
        <v>1179284.0</v>
      </c>
      <c r="E473" s="83">
        <v>1179053.0</v>
      </c>
      <c r="F473" s="83"/>
      <c r="G473" s="114" t="s">
        <v>1871</v>
      </c>
      <c r="H473" s="91" t="s">
        <v>1872</v>
      </c>
      <c r="I473" s="114" t="s">
        <v>171</v>
      </c>
      <c r="J473" s="83" t="s">
        <v>890</v>
      </c>
      <c r="K473" s="83" t="s">
        <v>168</v>
      </c>
      <c r="L473" s="83" t="s">
        <v>169</v>
      </c>
      <c r="M473" s="82" t="s">
        <v>5716</v>
      </c>
      <c r="N473" s="82" t="s">
        <v>5718</v>
      </c>
      <c r="O473" s="82" t="s">
        <v>5719</v>
      </c>
      <c r="P473" s="82" t="s">
        <v>5720</v>
      </c>
      <c r="Q473" s="82" t="s">
        <v>5721</v>
      </c>
      <c r="R473" s="82" t="s">
        <v>5724</v>
      </c>
      <c r="S473" s="82" t="s">
        <v>5725</v>
      </c>
      <c r="T473" s="138">
        <v>2.0</v>
      </c>
      <c r="U473" s="331">
        <v>2.0</v>
      </c>
      <c r="V473" s="106">
        <v>0.0</v>
      </c>
      <c r="W473" s="107">
        <v>0.0</v>
      </c>
      <c r="X473" s="107">
        <v>0.0</v>
      </c>
      <c r="Y473" s="107">
        <v>0.0</v>
      </c>
      <c r="Z473" s="80">
        <v>0.0</v>
      </c>
      <c r="AA473" s="140">
        <v>0.0</v>
      </c>
      <c r="AB473" s="109">
        <v>0.0</v>
      </c>
      <c r="AC473" s="109">
        <v>0.0</v>
      </c>
      <c r="AD473" s="141">
        <v>0.0</v>
      </c>
      <c r="AE473" s="80">
        <v>0.0</v>
      </c>
      <c r="AF473" s="140">
        <v>0.0</v>
      </c>
      <c r="AG473" s="109">
        <v>0.0</v>
      </c>
      <c r="AH473" s="109">
        <v>3.0</v>
      </c>
      <c r="AI473" s="141">
        <v>0.0</v>
      </c>
      <c r="AJ473" s="80">
        <v>3.0</v>
      </c>
      <c r="AK473" s="140">
        <v>0.0</v>
      </c>
      <c r="AL473" s="109">
        <v>0.0</v>
      </c>
      <c r="AM473" s="141">
        <v>0.0</v>
      </c>
      <c r="AN473" s="80">
        <v>0.0</v>
      </c>
      <c r="AO473" s="140">
        <v>0.0</v>
      </c>
      <c r="AP473" s="109">
        <v>0.0</v>
      </c>
      <c r="AQ473" s="109">
        <v>0.0</v>
      </c>
      <c r="AR473" s="80">
        <v>0.0</v>
      </c>
      <c r="AS473" s="110">
        <v>0.0</v>
      </c>
      <c r="AT473" s="110">
        <v>0.0</v>
      </c>
      <c r="AU473" s="110">
        <v>0.0</v>
      </c>
      <c r="AV473" s="142">
        <v>0.0</v>
      </c>
      <c r="AW473" s="80">
        <v>0.0</v>
      </c>
      <c r="AX473" s="113">
        <v>3.0</v>
      </c>
      <c r="AY473" s="117">
        <v>0.0</v>
      </c>
      <c r="AZ473" s="328">
        <v>3.0</v>
      </c>
      <c r="BA473" s="315">
        <v>0.0</v>
      </c>
      <c r="BB473" s="316">
        <v>3.0</v>
      </c>
      <c r="BC473" s="132" t="s">
        <v>178</v>
      </c>
      <c r="BD473" s="143" t="s">
        <v>227</v>
      </c>
      <c r="BE473" s="132" t="s">
        <v>178</v>
      </c>
      <c r="BF473" s="123"/>
      <c r="BG473" s="83">
        <v>1179053.0</v>
      </c>
      <c r="BH473" s="112">
        <v>2.0</v>
      </c>
      <c r="BI473" s="98" t="s">
        <v>155</v>
      </c>
      <c r="BJ473" s="98" t="str">
        <f t="shared" si="1"/>
        <v>NÃO</v>
      </c>
      <c r="BK473" s="98" t="str">
        <f t="shared" si="2"/>
        <v>NÃO</v>
      </c>
    </row>
    <row r="474" ht="15.75" customHeight="1">
      <c r="A474" s="111" t="s">
        <v>605</v>
      </c>
      <c r="B474" s="83" t="s">
        <v>1873</v>
      </c>
      <c r="C474" s="83" t="s">
        <v>68</v>
      </c>
      <c r="D474" s="83">
        <v>1179279.0</v>
      </c>
      <c r="E474" s="83"/>
      <c r="F474" s="83">
        <v>2.945901E7</v>
      </c>
      <c r="G474" s="114" t="s">
        <v>1874</v>
      </c>
      <c r="H474" s="91" t="s">
        <v>1875</v>
      </c>
      <c r="I474" s="298" t="s">
        <v>1876</v>
      </c>
      <c r="J474" s="83" t="s">
        <v>187</v>
      </c>
      <c r="K474" s="83" t="s">
        <v>168</v>
      </c>
      <c r="L474" s="83" t="s">
        <v>169</v>
      </c>
      <c r="M474" s="82" t="s">
        <v>6203</v>
      </c>
      <c r="N474" s="82" t="s">
        <v>6204</v>
      </c>
      <c r="O474" s="82"/>
      <c r="P474" s="82"/>
      <c r="Q474" s="82"/>
      <c r="R474" s="82"/>
      <c r="S474" s="82"/>
      <c r="T474" s="138">
        <v>6.0</v>
      </c>
      <c r="U474" s="323">
        <v>6.0</v>
      </c>
      <c r="V474" s="106">
        <v>0.0</v>
      </c>
      <c r="W474" s="107">
        <v>0.0</v>
      </c>
      <c r="X474" s="107">
        <v>0.0</v>
      </c>
      <c r="Y474" s="107">
        <v>0.0</v>
      </c>
      <c r="Z474" s="80">
        <v>0.0</v>
      </c>
      <c r="AA474" s="140">
        <v>0.0</v>
      </c>
      <c r="AB474" s="109">
        <v>0.0</v>
      </c>
      <c r="AC474" s="109">
        <v>0.0</v>
      </c>
      <c r="AD474" s="141">
        <v>0.0</v>
      </c>
      <c r="AE474" s="80">
        <v>0.0</v>
      </c>
      <c r="AF474" s="140">
        <v>191.0</v>
      </c>
      <c r="AG474" s="109">
        <v>0.0</v>
      </c>
      <c r="AH474" s="109">
        <v>0.0</v>
      </c>
      <c r="AI474" s="141">
        <v>0.0</v>
      </c>
      <c r="AJ474" s="80">
        <v>191.0</v>
      </c>
      <c r="AK474" s="140">
        <v>0.0</v>
      </c>
      <c r="AL474" s="109">
        <v>0.0</v>
      </c>
      <c r="AM474" s="141">
        <v>0.0</v>
      </c>
      <c r="AN474" s="80">
        <v>0.0</v>
      </c>
      <c r="AO474" s="140">
        <v>0.0</v>
      </c>
      <c r="AP474" s="109">
        <v>0.0</v>
      </c>
      <c r="AQ474" s="109">
        <v>51.0</v>
      </c>
      <c r="AR474" s="80">
        <v>51.0</v>
      </c>
      <c r="AS474" s="110">
        <v>0.0</v>
      </c>
      <c r="AT474" s="110">
        <v>0.0</v>
      </c>
      <c r="AU474" s="110">
        <v>0.0</v>
      </c>
      <c r="AV474" s="142">
        <v>0.0</v>
      </c>
      <c r="AW474" s="80">
        <v>0.0</v>
      </c>
      <c r="AX474" s="113">
        <v>242.0</v>
      </c>
      <c r="AY474" s="117">
        <v>191.0</v>
      </c>
      <c r="AZ474" s="328">
        <v>51.0</v>
      </c>
      <c r="BA474" s="315">
        <v>0.0</v>
      </c>
      <c r="BB474" s="316">
        <v>242.0</v>
      </c>
      <c r="BC474" s="132" t="s">
        <v>373</v>
      </c>
      <c r="BD474" s="132" t="s">
        <v>178</v>
      </c>
      <c r="BE474" s="132" t="s">
        <v>178</v>
      </c>
      <c r="BF474" s="123"/>
      <c r="BG474" s="83">
        <v>1179279.0</v>
      </c>
      <c r="BH474" s="112">
        <v>6.0</v>
      </c>
      <c r="BI474" s="98" t="s">
        <v>155</v>
      </c>
      <c r="BJ474" s="98" t="str">
        <f t="shared" si="1"/>
        <v>NÃO</v>
      </c>
      <c r="BK474" s="98" t="str">
        <f t="shared" si="2"/>
        <v>NÃO</v>
      </c>
    </row>
    <row r="475" ht="15.75" customHeight="1">
      <c r="A475" s="111" t="s">
        <v>605</v>
      </c>
      <c r="B475" s="83" t="s">
        <v>1873</v>
      </c>
      <c r="C475" s="83" t="s">
        <v>68</v>
      </c>
      <c r="D475" s="83">
        <v>1178090.0</v>
      </c>
      <c r="E475" s="83"/>
      <c r="F475" s="83">
        <v>2.9433746E7</v>
      </c>
      <c r="G475" s="114" t="s">
        <v>1878</v>
      </c>
      <c r="H475" s="91" t="s">
        <v>1879</v>
      </c>
      <c r="I475" s="298" t="s">
        <v>149</v>
      </c>
      <c r="J475" s="83" t="s">
        <v>150</v>
      </c>
      <c r="K475" s="83" t="s">
        <v>151</v>
      </c>
      <c r="L475" s="83" t="s">
        <v>230</v>
      </c>
      <c r="M475" s="82" t="s">
        <v>6210</v>
      </c>
      <c r="N475" s="82" t="s">
        <v>6211</v>
      </c>
      <c r="O475" s="82"/>
      <c r="P475" s="82"/>
      <c r="Q475" s="82"/>
      <c r="R475" s="82"/>
      <c r="S475" s="82"/>
      <c r="T475" s="138">
        <v>9.0</v>
      </c>
      <c r="U475" s="331" t="s">
        <v>6212</v>
      </c>
      <c r="V475" s="106">
        <v>0.0</v>
      </c>
      <c r="W475" s="107">
        <v>0.0</v>
      </c>
      <c r="X475" s="107">
        <v>0.0</v>
      </c>
      <c r="Y475" s="107">
        <v>0.0</v>
      </c>
      <c r="Z475" s="80">
        <v>0.0</v>
      </c>
      <c r="AA475" s="140">
        <v>0.0</v>
      </c>
      <c r="AB475" s="109">
        <v>0.0</v>
      </c>
      <c r="AC475" s="109">
        <v>0.0</v>
      </c>
      <c r="AD475" s="141">
        <v>0.0</v>
      </c>
      <c r="AE475" s="80">
        <v>0.0</v>
      </c>
      <c r="AF475" s="140">
        <v>0.0</v>
      </c>
      <c r="AG475" s="109">
        <v>0.0</v>
      </c>
      <c r="AH475" s="109">
        <v>40.0</v>
      </c>
      <c r="AI475" s="141">
        <v>231.0</v>
      </c>
      <c r="AJ475" s="80">
        <v>271.0</v>
      </c>
      <c r="AK475" s="140">
        <v>0.0</v>
      </c>
      <c r="AL475" s="109">
        <v>0.0</v>
      </c>
      <c r="AM475" s="141">
        <v>0.0</v>
      </c>
      <c r="AN475" s="80">
        <v>0.0</v>
      </c>
      <c r="AO475" s="140">
        <v>0.0</v>
      </c>
      <c r="AP475" s="109">
        <v>0.0</v>
      </c>
      <c r="AQ475" s="109">
        <v>104.0</v>
      </c>
      <c r="AR475" s="80">
        <v>104.0</v>
      </c>
      <c r="AS475" s="110">
        <v>0.0</v>
      </c>
      <c r="AT475" s="110">
        <v>0.0</v>
      </c>
      <c r="AU475" s="110">
        <v>0.0</v>
      </c>
      <c r="AV475" s="142">
        <v>64.0</v>
      </c>
      <c r="AW475" s="80">
        <v>64.0</v>
      </c>
      <c r="AX475" s="113">
        <v>439.0</v>
      </c>
      <c r="AY475" s="117">
        <v>295.0</v>
      </c>
      <c r="AZ475" s="328">
        <v>144.0</v>
      </c>
      <c r="BA475" s="315">
        <v>0.0</v>
      </c>
      <c r="BB475" s="316">
        <v>439.0</v>
      </c>
      <c r="BC475" s="132" t="s">
        <v>178</v>
      </c>
      <c r="BD475" s="132" t="s">
        <v>178</v>
      </c>
      <c r="BE475" s="132" t="s">
        <v>178</v>
      </c>
      <c r="BF475" s="123"/>
      <c r="BG475" s="83">
        <v>1178090.0</v>
      </c>
      <c r="BH475" s="112">
        <v>10.0</v>
      </c>
      <c r="BI475" s="98" t="s">
        <v>155</v>
      </c>
      <c r="BJ475" s="98" t="str">
        <f t="shared" si="1"/>
        <v>INTEGRAL</v>
      </c>
      <c r="BK475" s="98" t="str">
        <f t="shared" si="2"/>
        <v>PROFISSIONAL</v>
      </c>
    </row>
    <row r="476" ht="15.75" customHeight="1">
      <c r="A476" s="111" t="s">
        <v>605</v>
      </c>
      <c r="B476" s="83" t="s">
        <v>1873</v>
      </c>
      <c r="C476" s="83" t="s">
        <v>164</v>
      </c>
      <c r="D476" s="83">
        <v>1179713.0</v>
      </c>
      <c r="E476" s="83">
        <v>1178542.0</v>
      </c>
      <c r="F476" s="83"/>
      <c r="G476" s="119" t="s">
        <v>1882</v>
      </c>
      <c r="H476" s="91" t="s">
        <v>1883</v>
      </c>
      <c r="I476" s="114" t="s">
        <v>1884</v>
      </c>
      <c r="J476" s="83" t="s">
        <v>868</v>
      </c>
      <c r="K476" s="83" t="s">
        <v>168</v>
      </c>
      <c r="L476" s="83" t="s">
        <v>76</v>
      </c>
      <c r="M476" s="82" t="s">
        <v>6220</v>
      </c>
      <c r="N476" s="82" t="s">
        <v>6221</v>
      </c>
      <c r="O476" s="82"/>
      <c r="P476" s="82"/>
      <c r="Q476" s="82"/>
      <c r="R476" s="82"/>
      <c r="S476" s="82"/>
      <c r="T476" s="138">
        <v>3.0</v>
      </c>
      <c r="U476" s="323">
        <v>3.0</v>
      </c>
      <c r="V476" s="106">
        <v>0.0</v>
      </c>
      <c r="W476" s="107">
        <v>0.0</v>
      </c>
      <c r="X476" s="107">
        <v>0.0</v>
      </c>
      <c r="Y476" s="107">
        <v>0.0</v>
      </c>
      <c r="Z476" s="80">
        <v>0.0</v>
      </c>
      <c r="AA476" s="140">
        <v>0.0</v>
      </c>
      <c r="AB476" s="109">
        <v>0.0</v>
      </c>
      <c r="AC476" s="109">
        <v>0.0</v>
      </c>
      <c r="AD476" s="141">
        <v>0.0</v>
      </c>
      <c r="AE476" s="80">
        <v>0.0</v>
      </c>
      <c r="AF476" s="140">
        <v>0.0</v>
      </c>
      <c r="AG476" s="109">
        <v>0.0</v>
      </c>
      <c r="AH476" s="109">
        <v>24.0</v>
      </c>
      <c r="AI476" s="141">
        <v>0.0</v>
      </c>
      <c r="AJ476" s="80">
        <v>24.0</v>
      </c>
      <c r="AK476" s="140">
        <v>0.0</v>
      </c>
      <c r="AL476" s="109">
        <v>0.0</v>
      </c>
      <c r="AM476" s="141">
        <v>0.0</v>
      </c>
      <c r="AN476" s="80">
        <v>0.0</v>
      </c>
      <c r="AO476" s="140">
        <v>0.0</v>
      </c>
      <c r="AP476" s="109">
        <v>0.0</v>
      </c>
      <c r="AQ476" s="109">
        <v>0.0</v>
      </c>
      <c r="AR476" s="80">
        <v>0.0</v>
      </c>
      <c r="AS476" s="110">
        <v>0.0</v>
      </c>
      <c r="AT476" s="110">
        <v>0.0</v>
      </c>
      <c r="AU476" s="110">
        <v>0.0</v>
      </c>
      <c r="AV476" s="142">
        <v>0.0</v>
      </c>
      <c r="AW476" s="80">
        <v>0.0</v>
      </c>
      <c r="AX476" s="113">
        <v>24.0</v>
      </c>
      <c r="AY476" s="117">
        <v>0.0</v>
      </c>
      <c r="AZ476" s="328">
        <v>24.0</v>
      </c>
      <c r="BA476" s="315">
        <v>0.0</v>
      </c>
      <c r="BB476" s="316">
        <v>24.0</v>
      </c>
      <c r="BC476" s="132" t="s">
        <v>373</v>
      </c>
      <c r="BD476" s="143" t="s">
        <v>227</v>
      </c>
      <c r="BE476" s="132" t="s">
        <v>178</v>
      </c>
      <c r="BF476" s="156"/>
      <c r="BG476" s="83">
        <v>1178542.0</v>
      </c>
      <c r="BH476" s="112">
        <v>3.0</v>
      </c>
      <c r="BI476" s="98" t="s">
        <v>155</v>
      </c>
      <c r="BJ476" s="98" t="str">
        <f t="shared" si="1"/>
        <v>NÃO</v>
      </c>
      <c r="BK476" s="98" t="str">
        <f t="shared" si="2"/>
        <v>NÃO</v>
      </c>
    </row>
    <row r="477" ht="15.75" customHeight="1">
      <c r="A477" s="111" t="s">
        <v>605</v>
      </c>
      <c r="B477" s="83" t="s">
        <v>1873</v>
      </c>
      <c r="C477" s="83" t="s">
        <v>164</v>
      </c>
      <c r="D477" s="83">
        <v>1179713.0</v>
      </c>
      <c r="E477" s="83">
        <v>1178540.0</v>
      </c>
      <c r="F477" s="83"/>
      <c r="G477" s="119" t="s">
        <v>1885</v>
      </c>
      <c r="H477" s="91" t="s">
        <v>1886</v>
      </c>
      <c r="I477" s="114" t="s">
        <v>1887</v>
      </c>
      <c r="J477" s="83" t="s">
        <v>865</v>
      </c>
      <c r="K477" s="83" t="s">
        <v>168</v>
      </c>
      <c r="L477" s="83" t="s">
        <v>76</v>
      </c>
      <c r="M477" s="82" t="s">
        <v>6220</v>
      </c>
      <c r="N477" s="82" t="s">
        <v>6221</v>
      </c>
      <c r="O477" s="82"/>
      <c r="P477" s="82"/>
      <c r="Q477" s="82"/>
      <c r="R477" s="82"/>
      <c r="S477" s="82"/>
      <c r="T477" s="138">
        <v>3.0</v>
      </c>
      <c r="U477" s="323">
        <v>3.0</v>
      </c>
      <c r="V477" s="106">
        <v>0.0</v>
      </c>
      <c r="W477" s="107">
        <v>0.0</v>
      </c>
      <c r="X477" s="107">
        <v>0.0</v>
      </c>
      <c r="Y477" s="107">
        <v>0.0</v>
      </c>
      <c r="Z477" s="80">
        <v>0.0</v>
      </c>
      <c r="AA477" s="140">
        <v>0.0</v>
      </c>
      <c r="AB477" s="109">
        <v>0.0</v>
      </c>
      <c r="AC477" s="109">
        <v>0.0</v>
      </c>
      <c r="AD477" s="141">
        <v>0.0</v>
      </c>
      <c r="AE477" s="80">
        <v>0.0</v>
      </c>
      <c r="AF477" s="140">
        <v>0.0</v>
      </c>
      <c r="AG477" s="109">
        <v>0.0</v>
      </c>
      <c r="AH477" s="109">
        <v>34.0</v>
      </c>
      <c r="AI477" s="141">
        <v>0.0</v>
      </c>
      <c r="AJ477" s="80">
        <v>34.0</v>
      </c>
      <c r="AK477" s="140">
        <v>0.0</v>
      </c>
      <c r="AL477" s="109">
        <v>0.0</v>
      </c>
      <c r="AM477" s="141">
        <v>0.0</v>
      </c>
      <c r="AN477" s="80">
        <v>0.0</v>
      </c>
      <c r="AO477" s="140">
        <v>0.0</v>
      </c>
      <c r="AP477" s="109">
        <v>0.0</v>
      </c>
      <c r="AQ477" s="109">
        <v>0.0</v>
      </c>
      <c r="AR477" s="80">
        <v>0.0</v>
      </c>
      <c r="AS477" s="110">
        <v>0.0</v>
      </c>
      <c r="AT477" s="110">
        <v>0.0</v>
      </c>
      <c r="AU477" s="110">
        <v>0.0</v>
      </c>
      <c r="AV477" s="142">
        <v>0.0</v>
      </c>
      <c r="AW477" s="80">
        <v>0.0</v>
      </c>
      <c r="AX477" s="113">
        <v>34.0</v>
      </c>
      <c r="AY477" s="117">
        <v>0.0</v>
      </c>
      <c r="AZ477" s="328">
        <v>34.0</v>
      </c>
      <c r="BA477" s="315">
        <v>0.0</v>
      </c>
      <c r="BB477" s="316">
        <v>34.0</v>
      </c>
      <c r="BC477" s="132" t="s">
        <v>373</v>
      </c>
      <c r="BD477" s="143" t="s">
        <v>227</v>
      </c>
      <c r="BE477" s="132" t="s">
        <v>178</v>
      </c>
      <c r="BF477" s="123"/>
      <c r="BG477" s="83">
        <v>1178540.0</v>
      </c>
      <c r="BH477" s="112">
        <v>3.0</v>
      </c>
      <c r="BI477" s="98" t="s">
        <v>155</v>
      </c>
      <c r="BJ477" s="98" t="str">
        <f t="shared" si="1"/>
        <v>NÃO</v>
      </c>
      <c r="BK477" s="98" t="str">
        <f t="shared" si="2"/>
        <v>NÃO</v>
      </c>
    </row>
    <row r="478" ht="15.75" customHeight="1">
      <c r="A478" s="111" t="s">
        <v>605</v>
      </c>
      <c r="B478" s="83" t="s">
        <v>1873</v>
      </c>
      <c r="C478" s="83" t="s">
        <v>164</v>
      </c>
      <c r="D478" s="83">
        <v>1178182.0</v>
      </c>
      <c r="E478" s="83">
        <v>1178539.0</v>
      </c>
      <c r="F478" s="83"/>
      <c r="G478" s="114" t="s">
        <v>1888</v>
      </c>
      <c r="H478" s="91" t="s">
        <v>1889</v>
      </c>
      <c r="I478" s="114" t="s">
        <v>1890</v>
      </c>
      <c r="J478" s="83" t="s">
        <v>252</v>
      </c>
      <c r="K478" s="83" t="s">
        <v>151</v>
      </c>
      <c r="L478" s="83" t="s">
        <v>169</v>
      </c>
      <c r="M478" s="82" t="s">
        <v>6229</v>
      </c>
      <c r="N478" s="82" t="s">
        <v>6230</v>
      </c>
      <c r="O478" s="82"/>
      <c r="P478" s="82"/>
      <c r="Q478" s="82"/>
      <c r="R478" s="82"/>
      <c r="S478" s="82"/>
      <c r="T478" s="138">
        <v>3.0</v>
      </c>
      <c r="U478" s="323">
        <v>3.0</v>
      </c>
      <c r="V478" s="106">
        <v>0.0</v>
      </c>
      <c r="W478" s="107">
        <v>0.0</v>
      </c>
      <c r="X478" s="107">
        <v>0.0</v>
      </c>
      <c r="Y478" s="107">
        <v>0.0</v>
      </c>
      <c r="Z478" s="80">
        <v>0.0</v>
      </c>
      <c r="AA478" s="140">
        <v>0.0</v>
      </c>
      <c r="AB478" s="109">
        <v>0.0</v>
      </c>
      <c r="AC478" s="109">
        <v>0.0</v>
      </c>
      <c r="AD478" s="141">
        <v>0.0</v>
      </c>
      <c r="AE478" s="80">
        <v>0.0</v>
      </c>
      <c r="AF478" s="140">
        <v>0.0</v>
      </c>
      <c r="AG478" s="109">
        <v>0.0</v>
      </c>
      <c r="AH478" s="109">
        <v>16.0</v>
      </c>
      <c r="AI478" s="141">
        <v>0.0</v>
      </c>
      <c r="AJ478" s="80">
        <v>16.0</v>
      </c>
      <c r="AK478" s="140">
        <v>0.0</v>
      </c>
      <c r="AL478" s="109">
        <v>0.0</v>
      </c>
      <c r="AM478" s="141">
        <v>0.0</v>
      </c>
      <c r="AN478" s="80">
        <v>0.0</v>
      </c>
      <c r="AO478" s="140">
        <v>0.0</v>
      </c>
      <c r="AP478" s="109">
        <v>0.0</v>
      </c>
      <c r="AQ478" s="109">
        <v>27.0</v>
      </c>
      <c r="AR478" s="80">
        <v>27.0</v>
      </c>
      <c r="AS478" s="110">
        <v>0.0</v>
      </c>
      <c r="AT478" s="110">
        <v>0.0</v>
      </c>
      <c r="AU478" s="110">
        <v>0.0</v>
      </c>
      <c r="AV478" s="142">
        <v>0.0</v>
      </c>
      <c r="AW478" s="80">
        <v>0.0</v>
      </c>
      <c r="AX478" s="113">
        <v>43.0</v>
      </c>
      <c r="AY478" s="117">
        <v>0.0</v>
      </c>
      <c r="AZ478" s="328">
        <v>43.0</v>
      </c>
      <c r="BA478" s="315">
        <v>0.0</v>
      </c>
      <c r="BB478" s="316">
        <v>43.0</v>
      </c>
      <c r="BC478" s="132" t="s">
        <v>631</v>
      </c>
      <c r="BD478" s="132" t="s">
        <v>178</v>
      </c>
      <c r="BE478" s="132" t="s">
        <v>178</v>
      </c>
      <c r="BF478" s="123"/>
      <c r="BG478" s="83">
        <v>1178539.0</v>
      </c>
      <c r="BH478" s="112">
        <v>3.0</v>
      </c>
      <c r="BI478" s="98" t="s">
        <v>155</v>
      </c>
      <c r="BJ478" s="98" t="str">
        <f t="shared" si="1"/>
        <v>NÃO</v>
      </c>
      <c r="BK478" s="98" t="str">
        <f t="shared" si="2"/>
        <v>NÃO</v>
      </c>
    </row>
    <row r="479" ht="15.75" customHeight="1">
      <c r="A479" s="111" t="s">
        <v>605</v>
      </c>
      <c r="B479" s="83" t="s">
        <v>1893</v>
      </c>
      <c r="C479" s="83" t="s">
        <v>68</v>
      </c>
      <c r="D479" s="83">
        <v>1113102.0</v>
      </c>
      <c r="E479" s="83"/>
      <c r="F479" s="83">
        <v>2.9317789E7</v>
      </c>
      <c r="G479" s="114" t="s">
        <v>1894</v>
      </c>
      <c r="H479" s="91" t="s">
        <v>1895</v>
      </c>
      <c r="I479" s="114" t="s">
        <v>149</v>
      </c>
      <c r="J479" s="83" t="s">
        <v>150</v>
      </c>
      <c r="K479" s="83" t="s">
        <v>151</v>
      </c>
      <c r="L479" s="83" t="s">
        <v>230</v>
      </c>
      <c r="M479" s="82" t="s">
        <v>6235</v>
      </c>
      <c r="N479" s="82" t="s">
        <v>6236</v>
      </c>
      <c r="O479" s="82" t="s">
        <v>6237</v>
      </c>
      <c r="P479" s="82" t="s">
        <v>6238</v>
      </c>
      <c r="Q479" s="82" t="s">
        <v>6239</v>
      </c>
      <c r="R479" s="82" t="s">
        <v>6240</v>
      </c>
      <c r="S479" s="82"/>
      <c r="T479" s="138">
        <v>11.0</v>
      </c>
      <c r="U479" s="331" t="s">
        <v>6241</v>
      </c>
      <c r="V479" s="106">
        <v>0.0</v>
      </c>
      <c r="W479" s="107">
        <v>0.0</v>
      </c>
      <c r="X479" s="107">
        <v>0.0</v>
      </c>
      <c r="Y479" s="107">
        <v>0.0</v>
      </c>
      <c r="Z479" s="80">
        <v>0.0</v>
      </c>
      <c r="AA479" s="140">
        <v>0.0</v>
      </c>
      <c r="AB479" s="109">
        <v>0.0</v>
      </c>
      <c r="AC479" s="109">
        <v>0.0</v>
      </c>
      <c r="AD479" s="141">
        <v>0.0</v>
      </c>
      <c r="AE479" s="80">
        <v>0.0</v>
      </c>
      <c r="AF479" s="140">
        <v>0.0</v>
      </c>
      <c r="AG479" s="109">
        <v>170.0</v>
      </c>
      <c r="AH479" s="109">
        <v>29.0</v>
      </c>
      <c r="AI479" s="141">
        <v>0.0</v>
      </c>
      <c r="AJ479" s="80">
        <v>199.0</v>
      </c>
      <c r="AK479" s="140">
        <v>0.0</v>
      </c>
      <c r="AL479" s="109">
        <v>0.0</v>
      </c>
      <c r="AM479" s="141">
        <v>0.0</v>
      </c>
      <c r="AN479" s="80">
        <v>0.0</v>
      </c>
      <c r="AO479" s="140">
        <v>0.0</v>
      </c>
      <c r="AP479" s="109">
        <v>0.0</v>
      </c>
      <c r="AQ479" s="109">
        <v>51.0</v>
      </c>
      <c r="AR479" s="80">
        <v>51.0</v>
      </c>
      <c r="AS479" s="110">
        <v>0.0</v>
      </c>
      <c r="AT479" s="110">
        <v>0.0</v>
      </c>
      <c r="AU479" s="110">
        <v>0.0</v>
      </c>
      <c r="AV479" s="142">
        <v>185.0</v>
      </c>
      <c r="AW479" s="80">
        <v>185.0</v>
      </c>
      <c r="AX479" s="113">
        <v>435.0</v>
      </c>
      <c r="AY479" s="117">
        <v>355.0</v>
      </c>
      <c r="AZ479" s="328">
        <v>80.0</v>
      </c>
      <c r="BA479" s="315">
        <v>0.0</v>
      </c>
      <c r="BB479" s="316">
        <v>435.0</v>
      </c>
      <c r="BC479" s="132" t="s">
        <v>178</v>
      </c>
      <c r="BD479" s="132" t="s">
        <v>178</v>
      </c>
      <c r="BE479" s="132" t="s">
        <v>178</v>
      </c>
      <c r="BF479" s="123"/>
      <c r="BG479" s="83">
        <v>1113102.0</v>
      </c>
      <c r="BH479" s="112">
        <v>7.0</v>
      </c>
      <c r="BI479" s="98" t="s">
        <v>155</v>
      </c>
      <c r="BJ479" s="98" t="str">
        <f t="shared" si="1"/>
        <v>INTEGRAL</v>
      </c>
      <c r="BK479" s="98" t="str">
        <f t="shared" si="2"/>
        <v>PROFISSIONAL</v>
      </c>
    </row>
    <row r="480" ht="15.75" customHeight="1">
      <c r="A480" s="111" t="s">
        <v>605</v>
      </c>
      <c r="B480" s="136" t="s">
        <v>1893</v>
      </c>
      <c r="C480" s="136" t="s">
        <v>164</v>
      </c>
      <c r="D480" s="83">
        <v>1113102.0</v>
      </c>
      <c r="E480" s="136">
        <v>1178544.0</v>
      </c>
      <c r="F480" s="136"/>
      <c r="G480" s="187" t="s">
        <v>1897</v>
      </c>
      <c r="H480" s="91" t="s">
        <v>1898</v>
      </c>
      <c r="I480" s="187" t="s">
        <v>1899</v>
      </c>
      <c r="J480" s="83" t="s">
        <v>1900</v>
      </c>
      <c r="K480" s="83" t="s">
        <v>168</v>
      </c>
      <c r="L480" s="83" t="s">
        <v>169</v>
      </c>
      <c r="M480" s="82" t="s">
        <v>6235</v>
      </c>
      <c r="N480" s="82" t="s">
        <v>6236</v>
      </c>
      <c r="O480" s="82" t="s">
        <v>6237</v>
      </c>
      <c r="P480" s="82" t="s">
        <v>6238</v>
      </c>
      <c r="Q480" s="82" t="s">
        <v>6239</v>
      </c>
      <c r="R480" s="82" t="s">
        <v>6240</v>
      </c>
      <c r="S480" s="82"/>
      <c r="T480" s="138">
        <v>3.0</v>
      </c>
      <c r="U480" s="323">
        <v>6.0</v>
      </c>
      <c r="V480" s="106">
        <v>0.0</v>
      </c>
      <c r="W480" s="107">
        <v>0.0</v>
      </c>
      <c r="X480" s="107">
        <v>0.0</v>
      </c>
      <c r="Y480" s="107">
        <v>0.0</v>
      </c>
      <c r="Z480" s="80">
        <v>0.0</v>
      </c>
      <c r="AA480" s="140">
        <v>0.0</v>
      </c>
      <c r="AB480" s="109">
        <v>0.0</v>
      </c>
      <c r="AC480" s="109">
        <v>0.0</v>
      </c>
      <c r="AD480" s="141">
        <v>0.0</v>
      </c>
      <c r="AE480" s="80">
        <v>0.0</v>
      </c>
      <c r="AF480" s="140">
        <v>0.0</v>
      </c>
      <c r="AG480" s="109">
        <v>35.0</v>
      </c>
      <c r="AH480" s="109">
        <v>21.0</v>
      </c>
      <c r="AI480" s="141">
        <v>0.0</v>
      </c>
      <c r="AJ480" s="80">
        <v>56.0</v>
      </c>
      <c r="AK480" s="140">
        <v>0.0</v>
      </c>
      <c r="AL480" s="109">
        <v>0.0</v>
      </c>
      <c r="AM480" s="141">
        <v>0.0</v>
      </c>
      <c r="AN480" s="80">
        <v>0.0</v>
      </c>
      <c r="AO480" s="140">
        <v>0.0</v>
      </c>
      <c r="AP480" s="109">
        <v>0.0</v>
      </c>
      <c r="AQ480" s="109">
        <v>55.0</v>
      </c>
      <c r="AR480" s="80">
        <v>55.0</v>
      </c>
      <c r="AS480" s="110">
        <v>0.0</v>
      </c>
      <c r="AT480" s="110">
        <v>0.0</v>
      </c>
      <c r="AU480" s="110">
        <v>0.0</v>
      </c>
      <c r="AV480" s="142">
        <v>0.0</v>
      </c>
      <c r="AW480" s="80">
        <v>0.0</v>
      </c>
      <c r="AX480" s="113">
        <v>111.0</v>
      </c>
      <c r="AY480" s="117">
        <v>35.0</v>
      </c>
      <c r="AZ480" s="328">
        <v>76.0</v>
      </c>
      <c r="BA480" s="315">
        <v>0.0</v>
      </c>
      <c r="BB480" s="316">
        <v>111.0</v>
      </c>
      <c r="BC480" s="132" t="s">
        <v>373</v>
      </c>
      <c r="BD480" s="132" t="s">
        <v>178</v>
      </c>
      <c r="BE480" s="132" t="s">
        <v>178</v>
      </c>
      <c r="BF480" s="123"/>
      <c r="BG480" s="136">
        <v>1178544.0</v>
      </c>
      <c r="BH480" s="112">
        <v>6.0</v>
      </c>
      <c r="BI480" s="98" t="s">
        <v>155</v>
      </c>
      <c r="BJ480" s="98" t="str">
        <f t="shared" si="1"/>
        <v>NÃO</v>
      </c>
      <c r="BK480" s="98" t="str">
        <f t="shared" si="2"/>
        <v>NÃO</v>
      </c>
    </row>
    <row r="481" ht="15.75" customHeight="1">
      <c r="A481" s="111" t="s">
        <v>605</v>
      </c>
      <c r="B481" s="83" t="s">
        <v>1893</v>
      </c>
      <c r="C481" s="83" t="s">
        <v>164</v>
      </c>
      <c r="D481" s="83">
        <v>1113102.0</v>
      </c>
      <c r="E481" s="83">
        <v>1178545.0</v>
      </c>
      <c r="F481" s="83"/>
      <c r="G481" s="114" t="s">
        <v>1901</v>
      </c>
      <c r="H481" s="91" t="s">
        <v>1902</v>
      </c>
      <c r="I481" s="114" t="s">
        <v>1903</v>
      </c>
      <c r="J481" s="83" t="s">
        <v>1904</v>
      </c>
      <c r="K481" s="83" t="s">
        <v>168</v>
      </c>
      <c r="L481" s="83" t="s">
        <v>169</v>
      </c>
      <c r="M481" s="82" t="s">
        <v>6235</v>
      </c>
      <c r="N481" s="82" t="s">
        <v>6236</v>
      </c>
      <c r="O481" s="82" t="s">
        <v>6237</v>
      </c>
      <c r="P481" s="82" t="s">
        <v>6238</v>
      </c>
      <c r="Q481" s="82" t="s">
        <v>6239</v>
      </c>
      <c r="R481" s="82" t="s">
        <v>6240</v>
      </c>
      <c r="S481" s="82"/>
      <c r="T481" s="138">
        <v>3.0</v>
      </c>
      <c r="U481" s="389">
        <v>3.0</v>
      </c>
      <c r="V481" s="106">
        <v>0.0</v>
      </c>
      <c r="W481" s="107">
        <v>0.0</v>
      </c>
      <c r="X481" s="107">
        <v>0.0</v>
      </c>
      <c r="Y481" s="107">
        <v>0.0</v>
      </c>
      <c r="Z481" s="80">
        <v>0.0</v>
      </c>
      <c r="AA481" s="140">
        <v>0.0</v>
      </c>
      <c r="AB481" s="109">
        <v>0.0</v>
      </c>
      <c r="AC481" s="109">
        <v>0.0</v>
      </c>
      <c r="AD481" s="141">
        <v>0.0</v>
      </c>
      <c r="AE481" s="80">
        <v>0.0</v>
      </c>
      <c r="AF481" s="140">
        <v>0.0</v>
      </c>
      <c r="AG481" s="109">
        <v>0.0</v>
      </c>
      <c r="AH481" s="109">
        <v>16.0</v>
      </c>
      <c r="AI481" s="141">
        <v>0.0</v>
      </c>
      <c r="AJ481" s="80">
        <v>16.0</v>
      </c>
      <c r="AK481" s="140">
        <v>0.0</v>
      </c>
      <c r="AL481" s="109">
        <v>0.0</v>
      </c>
      <c r="AM481" s="141">
        <v>0.0</v>
      </c>
      <c r="AN481" s="80">
        <v>0.0</v>
      </c>
      <c r="AO481" s="140">
        <v>0.0</v>
      </c>
      <c r="AP481" s="109">
        <v>0.0</v>
      </c>
      <c r="AQ481" s="109">
        <v>23.0</v>
      </c>
      <c r="AR481" s="80">
        <v>23.0</v>
      </c>
      <c r="AS481" s="110">
        <v>0.0</v>
      </c>
      <c r="AT481" s="110">
        <v>0.0</v>
      </c>
      <c r="AU481" s="110">
        <v>0.0</v>
      </c>
      <c r="AV481" s="142">
        <v>0.0</v>
      </c>
      <c r="AW481" s="80">
        <v>0.0</v>
      </c>
      <c r="AX481" s="113">
        <v>39.0</v>
      </c>
      <c r="AY481" s="117">
        <v>0.0</v>
      </c>
      <c r="AZ481" s="328">
        <v>39.0</v>
      </c>
      <c r="BA481" s="315">
        <v>0.0</v>
      </c>
      <c r="BB481" s="316">
        <v>39.0</v>
      </c>
      <c r="BC481" s="132" t="s">
        <v>373</v>
      </c>
      <c r="BD481" s="132" t="s">
        <v>178</v>
      </c>
      <c r="BE481" s="132" t="s">
        <v>178</v>
      </c>
      <c r="BF481" s="123"/>
      <c r="BG481" s="83">
        <v>1178545.0</v>
      </c>
      <c r="BH481" s="112">
        <v>3.0</v>
      </c>
      <c r="BI481" s="98" t="s">
        <v>155</v>
      </c>
      <c r="BJ481" s="98" t="str">
        <f t="shared" si="1"/>
        <v>NÃO</v>
      </c>
      <c r="BK481" s="98" t="str">
        <f t="shared" si="2"/>
        <v>NÃO</v>
      </c>
    </row>
    <row r="482" ht="15.75" customHeight="1">
      <c r="A482" s="111" t="s">
        <v>605</v>
      </c>
      <c r="B482" s="83" t="s">
        <v>1893</v>
      </c>
      <c r="C482" s="83" t="s">
        <v>164</v>
      </c>
      <c r="D482" s="83">
        <v>1113102.0</v>
      </c>
      <c r="E482" s="83">
        <v>1178546.0</v>
      </c>
      <c r="F482" s="83"/>
      <c r="G482" s="114" t="s">
        <v>1905</v>
      </c>
      <c r="H482" s="91" t="s">
        <v>1906</v>
      </c>
      <c r="I482" s="114" t="s">
        <v>149</v>
      </c>
      <c r="J482" s="83" t="s">
        <v>252</v>
      </c>
      <c r="K482" s="83" t="s">
        <v>168</v>
      </c>
      <c r="L482" s="83" t="s">
        <v>169</v>
      </c>
      <c r="M482" s="82" t="s">
        <v>6235</v>
      </c>
      <c r="N482" s="82" t="s">
        <v>6236</v>
      </c>
      <c r="O482" s="82" t="s">
        <v>6237</v>
      </c>
      <c r="P482" s="82" t="s">
        <v>6238</v>
      </c>
      <c r="Q482" s="82" t="s">
        <v>6239</v>
      </c>
      <c r="R482" s="82" t="s">
        <v>6240</v>
      </c>
      <c r="S482" s="82"/>
      <c r="T482" s="138">
        <v>3.0</v>
      </c>
      <c r="U482" s="323">
        <v>3.0</v>
      </c>
      <c r="V482" s="106">
        <v>0.0</v>
      </c>
      <c r="W482" s="107">
        <v>0.0</v>
      </c>
      <c r="X482" s="107">
        <v>0.0</v>
      </c>
      <c r="Y482" s="107">
        <v>0.0</v>
      </c>
      <c r="Z482" s="80">
        <v>0.0</v>
      </c>
      <c r="AA482" s="140">
        <v>0.0</v>
      </c>
      <c r="AB482" s="109">
        <v>0.0</v>
      </c>
      <c r="AC482" s="109">
        <v>0.0</v>
      </c>
      <c r="AD482" s="141">
        <v>0.0</v>
      </c>
      <c r="AE482" s="80">
        <v>0.0</v>
      </c>
      <c r="AF482" s="140">
        <v>0.0</v>
      </c>
      <c r="AG482" s="109">
        <v>119.0</v>
      </c>
      <c r="AH482" s="109">
        <v>25.0</v>
      </c>
      <c r="AI482" s="141">
        <v>0.0</v>
      </c>
      <c r="AJ482" s="80">
        <v>144.0</v>
      </c>
      <c r="AK482" s="140">
        <v>0.0</v>
      </c>
      <c r="AL482" s="109">
        <v>0.0</v>
      </c>
      <c r="AM482" s="141">
        <v>0.0</v>
      </c>
      <c r="AN482" s="80">
        <v>0.0</v>
      </c>
      <c r="AO482" s="140">
        <v>0.0</v>
      </c>
      <c r="AP482" s="109">
        <v>0.0</v>
      </c>
      <c r="AQ482" s="109">
        <v>36.0</v>
      </c>
      <c r="AR482" s="80">
        <v>36.0</v>
      </c>
      <c r="AS482" s="110">
        <v>0.0</v>
      </c>
      <c r="AT482" s="110">
        <v>0.0</v>
      </c>
      <c r="AU482" s="110">
        <v>0.0</v>
      </c>
      <c r="AV482" s="142">
        <v>0.0</v>
      </c>
      <c r="AW482" s="80">
        <v>0.0</v>
      </c>
      <c r="AX482" s="113">
        <v>180.0</v>
      </c>
      <c r="AY482" s="117">
        <v>119.0</v>
      </c>
      <c r="AZ482" s="328">
        <v>61.0</v>
      </c>
      <c r="BA482" s="315">
        <v>0.0</v>
      </c>
      <c r="BB482" s="316">
        <v>180.0</v>
      </c>
      <c r="BC482" s="132" t="s">
        <v>373</v>
      </c>
      <c r="BD482" s="132" t="s">
        <v>178</v>
      </c>
      <c r="BE482" s="132" t="s">
        <v>178</v>
      </c>
      <c r="BF482" s="123"/>
      <c r="BG482" s="83">
        <v>1178546.0</v>
      </c>
      <c r="BH482" s="112">
        <v>3.0</v>
      </c>
      <c r="BI482" s="98" t="s">
        <v>155</v>
      </c>
      <c r="BJ482" s="98" t="str">
        <f t="shared" si="1"/>
        <v>NÃO</v>
      </c>
      <c r="BK482" s="98" t="str">
        <f t="shared" si="2"/>
        <v>NÃO</v>
      </c>
    </row>
    <row r="483" ht="15.75" customHeight="1">
      <c r="A483" s="111" t="s">
        <v>605</v>
      </c>
      <c r="B483" s="83" t="s">
        <v>1893</v>
      </c>
      <c r="C483" s="83" t="s">
        <v>164</v>
      </c>
      <c r="D483" s="83">
        <v>1113102.0</v>
      </c>
      <c r="E483" s="83">
        <v>1178543.0</v>
      </c>
      <c r="F483" s="83"/>
      <c r="G483" s="114" t="s">
        <v>1907</v>
      </c>
      <c r="H483" s="91" t="s">
        <v>1908</v>
      </c>
      <c r="I483" s="114" t="s">
        <v>149</v>
      </c>
      <c r="J483" s="83" t="s">
        <v>1909</v>
      </c>
      <c r="K483" s="83" t="s">
        <v>168</v>
      </c>
      <c r="L483" s="83" t="s">
        <v>169</v>
      </c>
      <c r="M483" s="82" t="s">
        <v>6235</v>
      </c>
      <c r="N483" s="82" t="s">
        <v>6236</v>
      </c>
      <c r="O483" s="82" t="s">
        <v>6237</v>
      </c>
      <c r="P483" s="82" t="s">
        <v>6238</v>
      </c>
      <c r="Q483" s="82" t="s">
        <v>6239</v>
      </c>
      <c r="R483" s="82" t="s">
        <v>6240</v>
      </c>
      <c r="S483" s="82"/>
      <c r="T483" s="138">
        <v>3.0</v>
      </c>
      <c r="U483" s="323">
        <v>3.0</v>
      </c>
      <c r="V483" s="106">
        <v>0.0</v>
      </c>
      <c r="W483" s="107">
        <v>0.0</v>
      </c>
      <c r="X483" s="107">
        <v>0.0</v>
      </c>
      <c r="Y483" s="107">
        <v>0.0</v>
      </c>
      <c r="Z483" s="80">
        <v>0.0</v>
      </c>
      <c r="AA483" s="140">
        <v>0.0</v>
      </c>
      <c r="AB483" s="109">
        <v>0.0</v>
      </c>
      <c r="AC483" s="109">
        <v>0.0</v>
      </c>
      <c r="AD483" s="141">
        <v>0.0</v>
      </c>
      <c r="AE483" s="80">
        <v>0.0</v>
      </c>
      <c r="AF483" s="140">
        <v>0.0</v>
      </c>
      <c r="AG483" s="109">
        <v>0.0</v>
      </c>
      <c r="AH483" s="109">
        <v>13.0</v>
      </c>
      <c r="AI483" s="141">
        <v>0.0</v>
      </c>
      <c r="AJ483" s="80">
        <v>13.0</v>
      </c>
      <c r="AK483" s="140">
        <v>0.0</v>
      </c>
      <c r="AL483" s="109">
        <v>0.0</v>
      </c>
      <c r="AM483" s="141">
        <v>0.0</v>
      </c>
      <c r="AN483" s="80">
        <v>0.0</v>
      </c>
      <c r="AO483" s="140">
        <v>0.0</v>
      </c>
      <c r="AP483" s="109">
        <v>0.0</v>
      </c>
      <c r="AQ483" s="109">
        <v>31.0</v>
      </c>
      <c r="AR483" s="80">
        <v>31.0</v>
      </c>
      <c r="AS483" s="110">
        <v>0.0</v>
      </c>
      <c r="AT483" s="110">
        <v>0.0</v>
      </c>
      <c r="AU483" s="110">
        <v>0.0</v>
      </c>
      <c r="AV483" s="142">
        <v>0.0</v>
      </c>
      <c r="AW483" s="80">
        <v>0.0</v>
      </c>
      <c r="AX483" s="113">
        <v>44.0</v>
      </c>
      <c r="AY483" s="117">
        <v>0.0</v>
      </c>
      <c r="AZ483" s="328">
        <v>44.0</v>
      </c>
      <c r="BA483" s="315">
        <v>0.0</v>
      </c>
      <c r="BB483" s="316">
        <v>44.0</v>
      </c>
      <c r="BC483" s="132" t="s">
        <v>373</v>
      </c>
      <c r="BD483" s="132" t="s">
        <v>178</v>
      </c>
      <c r="BE483" s="132" t="s">
        <v>178</v>
      </c>
      <c r="BF483" s="123"/>
      <c r="BG483" s="83">
        <v>1178543.0</v>
      </c>
      <c r="BH483" s="112">
        <v>3.0</v>
      </c>
      <c r="BI483" s="98" t="s">
        <v>155</v>
      </c>
      <c r="BJ483" s="98" t="str">
        <f t="shared" si="1"/>
        <v>NÃO</v>
      </c>
      <c r="BK483" s="98" t="str">
        <f t="shared" si="2"/>
        <v>NÃO</v>
      </c>
    </row>
    <row r="484" ht="15.75" customHeight="1">
      <c r="A484" s="111" t="s">
        <v>605</v>
      </c>
      <c r="B484" s="83" t="s">
        <v>1910</v>
      </c>
      <c r="C484" s="83" t="s">
        <v>68</v>
      </c>
      <c r="D484" s="83">
        <v>1178216.0</v>
      </c>
      <c r="E484" s="83"/>
      <c r="F484" s="83">
        <v>2.9444993E7</v>
      </c>
      <c r="G484" s="114" t="s">
        <v>1911</v>
      </c>
      <c r="H484" s="91" t="s">
        <v>1912</v>
      </c>
      <c r="I484" s="114" t="s">
        <v>149</v>
      </c>
      <c r="J484" s="83" t="s">
        <v>150</v>
      </c>
      <c r="K484" s="83" t="s">
        <v>151</v>
      </c>
      <c r="L484" s="83" t="s">
        <v>169</v>
      </c>
      <c r="M484" s="82" t="s">
        <v>6257</v>
      </c>
      <c r="N484" s="82" t="s">
        <v>6258</v>
      </c>
      <c r="O484" s="82"/>
      <c r="P484" s="82"/>
      <c r="Q484" s="82"/>
      <c r="R484" s="82"/>
      <c r="S484" s="82" t="s">
        <v>6259</v>
      </c>
      <c r="T484" s="138">
        <v>7.0</v>
      </c>
      <c r="U484" s="323">
        <v>7.0</v>
      </c>
      <c r="V484" s="106">
        <v>0.0</v>
      </c>
      <c r="W484" s="107">
        <v>0.0</v>
      </c>
      <c r="X484" s="107">
        <v>0.0</v>
      </c>
      <c r="Y484" s="107">
        <v>0.0</v>
      </c>
      <c r="Z484" s="80">
        <v>0.0</v>
      </c>
      <c r="AA484" s="140">
        <v>0.0</v>
      </c>
      <c r="AB484" s="109">
        <v>0.0</v>
      </c>
      <c r="AC484" s="109">
        <v>0.0</v>
      </c>
      <c r="AD484" s="141">
        <v>0.0</v>
      </c>
      <c r="AE484" s="80">
        <v>0.0</v>
      </c>
      <c r="AF484" s="140">
        <v>239.0</v>
      </c>
      <c r="AG484" s="109">
        <v>30.0</v>
      </c>
      <c r="AH484" s="109">
        <v>18.0</v>
      </c>
      <c r="AI484" s="141">
        <v>0.0</v>
      </c>
      <c r="AJ484" s="80">
        <v>287.0</v>
      </c>
      <c r="AK484" s="140">
        <v>0.0</v>
      </c>
      <c r="AL484" s="109">
        <v>0.0</v>
      </c>
      <c r="AM484" s="141">
        <v>0.0</v>
      </c>
      <c r="AN484" s="80">
        <v>0.0</v>
      </c>
      <c r="AO484" s="140">
        <v>0.0</v>
      </c>
      <c r="AP484" s="109">
        <v>0.0</v>
      </c>
      <c r="AQ484" s="109">
        <v>34.0</v>
      </c>
      <c r="AR484" s="80">
        <v>34.0</v>
      </c>
      <c r="AS484" s="110">
        <v>0.0</v>
      </c>
      <c r="AT484" s="110">
        <v>0.0</v>
      </c>
      <c r="AU484" s="110">
        <v>0.0</v>
      </c>
      <c r="AV484" s="142">
        <v>0.0</v>
      </c>
      <c r="AW484" s="80">
        <v>0.0</v>
      </c>
      <c r="AX484" s="113">
        <v>321.0</v>
      </c>
      <c r="AY484" s="117">
        <v>269.0</v>
      </c>
      <c r="AZ484" s="328">
        <v>52.0</v>
      </c>
      <c r="BA484" s="315">
        <v>0.0</v>
      </c>
      <c r="BB484" s="316">
        <v>321.0</v>
      </c>
      <c r="BC484" s="132" t="s">
        <v>178</v>
      </c>
      <c r="BD484" s="132" t="s">
        <v>178</v>
      </c>
      <c r="BE484" s="132" t="s">
        <v>178</v>
      </c>
      <c r="BF484" s="123"/>
      <c r="BG484" s="83">
        <v>1178216.0</v>
      </c>
      <c r="BH484" s="112">
        <v>7.0</v>
      </c>
      <c r="BI484" s="98" t="s">
        <v>155</v>
      </c>
      <c r="BJ484" s="98" t="str">
        <f t="shared" si="1"/>
        <v>NÃO</v>
      </c>
      <c r="BK484" s="98" t="str">
        <f t="shared" si="2"/>
        <v>NÃO</v>
      </c>
    </row>
    <row r="485" ht="15.75" customHeight="1">
      <c r="A485" s="111" t="s">
        <v>605</v>
      </c>
      <c r="B485" s="83" t="s">
        <v>1914</v>
      </c>
      <c r="C485" s="83" t="s">
        <v>68</v>
      </c>
      <c r="D485" s="83">
        <v>1179481.0</v>
      </c>
      <c r="E485" s="83"/>
      <c r="F485" s="83">
        <v>2.9469066E7</v>
      </c>
      <c r="G485" s="114" t="s">
        <v>1915</v>
      </c>
      <c r="H485" s="91" t="s">
        <v>1916</v>
      </c>
      <c r="I485" s="114" t="s">
        <v>1917</v>
      </c>
      <c r="J485" s="83" t="s">
        <v>150</v>
      </c>
      <c r="K485" s="83" t="s">
        <v>151</v>
      </c>
      <c r="L485" s="83" t="s">
        <v>230</v>
      </c>
      <c r="M485" s="82" t="s">
        <v>6260</v>
      </c>
      <c r="N485" s="82" t="s">
        <v>6261</v>
      </c>
      <c r="O485" s="82" t="s">
        <v>6262</v>
      </c>
      <c r="P485" s="82" t="s">
        <v>6263</v>
      </c>
      <c r="Q485" s="82" t="s">
        <v>6264</v>
      </c>
      <c r="R485" s="82" t="s">
        <v>6265</v>
      </c>
      <c r="S485" s="82" t="s">
        <v>6267</v>
      </c>
      <c r="T485" s="138">
        <v>15.0</v>
      </c>
      <c r="U485" s="323">
        <v>15.0</v>
      </c>
      <c r="V485" s="106">
        <v>0.0</v>
      </c>
      <c r="W485" s="107">
        <v>0.0</v>
      </c>
      <c r="X485" s="107">
        <v>0.0</v>
      </c>
      <c r="Y485" s="107">
        <v>0.0</v>
      </c>
      <c r="Z485" s="80">
        <v>0.0</v>
      </c>
      <c r="AA485" s="140">
        <v>0.0</v>
      </c>
      <c r="AB485" s="109">
        <v>0.0</v>
      </c>
      <c r="AC485" s="109">
        <v>0.0</v>
      </c>
      <c r="AD485" s="141">
        <v>0.0</v>
      </c>
      <c r="AE485" s="80">
        <v>0.0</v>
      </c>
      <c r="AF485" s="140">
        <v>0.0</v>
      </c>
      <c r="AG485" s="109">
        <v>0.0</v>
      </c>
      <c r="AH485" s="109">
        <v>80.0</v>
      </c>
      <c r="AI485" s="141">
        <v>378.0</v>
      </c>
      <c r="AJ485" s="80">
        <v>458.0</v>
      </c>
      <c r="AK485" s="140">
        <v>0.0</v>
      </c>
      <c r="AL485" s="109">
        <v>0.0</v>
      </c>
      <c r="AM485" s="141">
        <v>0.0</v>
      </c>
      <c r="AN485" s="80">
        <v>0.0</v>
      </c>
      <c r="AO485" s="140">
        <v>0.0</v>
      </c>
      <c r="AP485" s="109">
        <v>0.0</v>
      </c>
      <c r="AQ485" s="109">
        <v>278.0</v>
      </c>
      <c r="AR485" s="80">
        <v>278.0</v>
      </c>
      <c r="AS485" s="110">
        <v>0.0</v>
      </c>
      <c r="AT485" s="110">
        <v>0.0</v>
      </c>
      <c r="AU485" s="110">
        <v>0.0</v>
      </c>
      <c r="AV485" s="142">
        <v>100.0</v>
      </c>
      <c r="AW485" s="80">
        <v>100.0</v>
      </c>
      <c r="AX485" s="113">
        <v>836.0</v>
      </c>
      <c r="AY485" s="117">
        <v>478.0</v>
      </c>
      <c r="AZ485" s="328">
        <v>358.0</v>
      </c>
      <c r="BA485" s="315">
        <v>1.0</v>
      </c>
      <c r="BB485" s="316">
        <v>837.0</v>
      </c>
      <c r="BC485" s="132" t="s">
        <v>178</v>
      </c>
      <c r="BD485" s="132" t="s">
        <v>178</v>
      </c>
      <c r="BE485" s="132" t="s">
        <v>178</v>
      </c>
      <c r="BF485" s="123"/>
      <c r="BG485" s="83">
        <v>1179481.0</v>
      </c>
      <c r="BH485" s="112">
        <v>15.0</v>
      </c>
      <c r="BI485" s="98" t="s">
        <v>284</v>
      </c>
      <c r="BJ485" s="98" t="str">
        <f t="shared" si="1"/>
        <v>INTEGRAL</v>
      </c>
      <c r="BK485" s="98" t="str">
        <f t="shared" si="2"/>
        <v>PROFISSIONAL</v>
      </c>
    </row>
    <row r="486" ht="15.75" customHeight="1">
      <c r="A486" s="111" t="s">
        <v>605</v>
      </c>
      <c r="B486" s="83" t="s">
        <v>1914</v>
      </c>
      <c r="C486" s="83" t="s">
        <v>68</v>
      </c>
      <c r="D486" s="83">
        <v>1176400.0</v>
      </c>
      <c r="E486" s="83"/>
      <c r="F486" s="83">
        <v>2.9370485E7</v>
      </c>
      <c r="G486" s="114" t="s">
        <v>1919</v>
      </c>
      <c r="H486" s="91" t="s">
        <v>1920</v>
      </c>
      <c r="I486" s="187" t="s">
        <v>1921</v>
      </c>
      <c r="J486" s="83" t="s">
        <v>150</v>
      </c>
      <c r="K486" s="83" t="s">
        <v>151</v>
      </c>
      <c r="L486" s="83" t="s">
        <v>169</v>
      </c>
      <c r="M486" s="82" t="s">
        <v>6272</v>
      </c>
      <c r="N486" s="82" t="s">
        <v>6273</v>
      </c>
      <c r="O486" s="82" t="s">
        <v>6274</v>
      </c>
      <c r="P486" s="82" t="s">
        <v>6275</v>
      </c>
      <c r="Q486" s="82"/>
      <c r="R486" s="82"/>
      <c r="S486" s="82" t="s">
        <v>6276</v>
      </c>
      <c r="T486" s="138">
        <v>11.0</v>
      </c>
      <c r="U486" s="323">
        <v>11.0</v>
      </c>
      <c r="V486" s="106">
        <v>0.0</v>
      </c>
      <c r="W486" s="107">
        <v>0.0</v>
      </c>
      <c r="X486" s="107">
        <v>0.0</v>
      </c>
      <c r="Y486" s="107">
        <v>0.0</v>
      </c>
      <c r="Z486" s="80">
        <v>0.0</v>
      </c>
      <c r="AA486" s="140">
        <v>0.0</v>
      </c>
      <c r="AB486" s="109">
        <v>0.0</v>
      </c>
      <c r="AC486" s="109">
        <v>0.0</v>
      </c>
      <c r="AD486" s="141">
        <v>0.0</v>
      </c>
      <c r="AE486" s="80">
        <v>0.0</v>
      </c>
      <c r="AF486" s="140">
        <v>0.0</v>
      </c>
      <c r="AG486" s="109">
        <v>118.0</v>
      </c>
      <c r="AH486" s="109">
        <v>0.0</v>
      </c>
      <c r="AI486" s="141">
        <v>101.0</v>
      </c>
      <c r="AJ486" s="80">
        <v>219.0</v>
      </c>
      <c r="AK486" s="140">
        <v>0.0</v>
      </c>
      <c r="AL486" s="109">
        <v>0.0</v>
      </c>
      <c r="AM486" s="141">
        <v>0.0</v>
      </c>
      <c r="AN486" s="80">
        <v>0.0</v>
      </c>
      <c r="AO486" s="140">
        <v>0.0</v>
      </c>
      <c r="AP486" s="109">
        <v>0.0</v>
      </c>
      <c r="AQ486" s="109">
        <v>77.0</v>
      </c>
      <c r="AR486" s="80">
        <v>77.0</v>
      </c>
      <c r="AS486" s="110">
        <v>0.0</v>
      </c>
      <c r="AT486" s="110">
        <v>0.0</v>
      </c>
      <c r="AU486" s="110">
        <v>0.0</v>
      </c>
      <c r="AV486" s="142">
        <v>0.0</v>
      </c>
      <c r="AW486" s="80">
        <v>0.0</v>
      </c>
      <c r="AX486" s="113">
        <v>296.0</v>
      </c>
      <c r="AY486" s="117">
        <v>219.0</v>
      </c>
      <c r="AZ486" s="328">
        <v>77.0</v>
      </c>
      <c r="BA486" s="315">
        <v>0.0</v>
      </c>
      <c r="BB486" s="316">
        <v>296.0</v>
      </c>
      <c r="BC486" s="132" t="s">
        <v>178</v>
      </c>
      <c r="BD486" s="132" t="s">
        <v>178</v>
      </c>
      <c r="BE486" s="132" t="s">
        <v>178</v>
      </c>
      <c r="BF486" s="123"/>
      <c r="BG486" s="83">
        <v>1176400.0</v>
      </c>
      <c r="BH486" s="112">
        <v>11.0</v>
      </c>
      <c r="BI486" s="98" t="s">
        <v>155</v>
      </c>
      <c r="BJ486" s="98" t="str">
        <f t="shared" si="1"/>
        <v>INTEGRAL</v>
      </c>
      <c r="BK486" s="98" t="str">
        <f t="shared" si="2"/>
        <v>NÃO</v>
      </c>
    </row>
    <row r="487" ht="15.75" customHeight="1">
      <c r="A487" s="111" t="s">
        <v>605</v>
      </c>
      <c r="B487" s="83" t="s">
        <v>1914</v>
      </c>
      <c r="C487" s="83" t="s">
        <v>68</v>
      </c>
      <c r="D487" s="83">
        <v>1178109.0</v>
      </c>
      <c r="E487" s="83"/>
      <c r="F487" s="83">
        <v>2.9446651E7</v>
      </c>
      <c r="G487" s="114" t="s">
        <v>1923</v>
      </c>
      <c r="H487" s="91" t="s">
        <v>1924</v>
      </c>
      <c r="I487" s="114" t="s">
        <v>1925</v>
      </c>
      <c r="J487" s="83" t="s">
        <v>150</v>
      </c>
      <c r="K487" s="83" t="s">
        <v>151</v>
      </c>
      <c r="L487" s="83" t="s">
        <v>152</v>
      </c>
      <c r="M487" s="82" t="s">
        <v>6277</v>
      </c>
      <c r="N487" s="82" t="s">
        <v>6278</v>
      </c>
      <c r="O487" s="82" t="s">
        <v>6279</v>
      </c>
      <c r="P487" s="82" t="s">
        <v>6280</v>
      </c>
      <c r="Q487" s="82"/>
      <c r="R487" s="82"/>
      <c r="S487" s="82" t="s">
        <v>6281</v>
      </c>
      <c r="T487" s="138">
        <v>13.0</v>
      </c>
      <c r="U487" s="341">
        <v>13.0</v>
      </c>
      <c r="V487" s="106">
        <v>0.0</v>
      </c>
      <c r="W487" s="107">
        <v>0.0</v>
      </c>
      <c r="X487" s="107">
        <v>0.0</v>
      </c>
      <c r="Y487" s="107">
        <v>0.0</v>
      </c>
      <c r="Z487" s="80">
        <v>0.0</v>
      </c>
      <c r="AA487" s="140">
        <v>0.0</v>
      </c>
      <c r="AB487" s="109">
        <v>0.0</v>
      </c>
      <c r="AC487" s="109">
        <v>0.0</v>
      </c>
      <c r="AD487" s="141">
        <v>0.0</v>
      </c>
      <c r="AE487" s="80">
        <v>0.0</v>
      </c>
      <c r="AF487" s="140">
        <v>362.0</v>
      </c>
      <c r="AG487" s="109">
        <v>315.0</v>
      </c>
      <c r="AH487" s="109">
        <v>0.0</v>
      </c>
      <c r="AI487" s="141">
        <v>243.0</v>
      </c>
      <c r="AJ487" s="80">
        <v>920.0</v>
      </c>
      <c r="AK487" s="140">
        <v>0.0</v>
      </c>
      <c r="AL487" s="109">
        <v>0.0</v>
      </c>
      <c r="AM487" s="141">
        <v>0.0</v>
      </c>
      <c r="AN487" s="80">
        <v>0.0</v>
      </c>
      <c r="AO487" s="140">
        <v>0.0</v>
      </c>
      <c r="AP487" s="109">
        <v>0.0</v>
      </c>
      <c r="AQ487" s="109">
        <v>0.0</v>
      </c>
      <c r="AR487" s="80">
        <v>0.0</v>
      </c>
      <c r="AS487" s="110">
        <v>0.0</v>
      </c>
      <c r="AT487" s="110">
        <v>0.0</v>
      </c>
      <c r="AU487" s="110">
        <v>0.0</v>
      </c>
      <c r="AV487" s="142">
        <v>0.0</v>
      </c>
      <c r="AW487" s="80">
        <v>0.0</v>
      </c>
      <c r="AX487" s="113">
        <v>920.0</v>
      </c>
      <c r="AY487" s="117">
        <v>920.0</v>
      </c>
      <c r="AZ487" s="328">
        <v>0.0</v>
      </c>
      <c r="BA487" s="315">
        <v>0.0</v>
      </c>
      <c r="BB487" s="316">
        <v>920.0</v>
      </c>
      <c r="BC487" s="132" t="s">
        <v>178</v>
      </c>
      <c r="BD487" s="132" t="s">
        <v>178</v>
      </c>
      <c r="BE487" s="132" t="s">
        <v>178</v>
      </c>
      <c r="BF487" s="156"/>
      <c r="BG487" s="83">
        <v>1178109.0</v>
      </c>
      <c r="BH487" s="112">
        <v>13.0</v>
      </c>
      <c r="BI487" s="98" t="s">
        <v>155</v>
      </c>
      <c r="BJ487" s="98" t="str">
        <f t="shared" si="1"/>
        <v>INTEGRAL</v>
      </c>
      <c r="BK487" s="98" t="str">
        <f t="shared" si="2"/>
        <v>NÃO</v>
      </c>
    </row>
    <row r="488" ht="15.75" customHeight="1">
      <c r="A488" s="111" t="s">
        <v>605</v>
      </c>
      <c r="B488" s="83" t="s">
        <v>1914</v>
      </c>
      <c r="C488" s="83" t="s">
        <v>164</v>
      </c>
      <c r="D488" s="83">
        <v>1179713.0</v>
      </c>
      <c r="E488" s="83">
        <v>1178518.0</v>
      </c>
      <c r="F488" s="83"/>
      <c r="G488" s="119" t="s">
        <v>1927</v>
      </c>
      <c r="H488" s="91" t="s">
        <v>1928</v>
      </c>
      <c r="I488" s="114" t="s">
        <v>149</v>
      </c>
      <c r="J488" s="83" t="s">
        <v>890</v>
      </c>
      <c r="K488" s="83" t="s">
        <v>168</v>
      </c>
      <c r="L488" s="83" t="s">
        <v>152</v>
      </c>
      <c r="M488" s="82" t="s">
        <v>6220</v>
      </c>
      <c r="N488" s="82" t="s">
        <v>6221</v>
      </c>
      <c r="O488" s="82"/>
      <c r="P488" s="82"/>
      <c r="Q488" s="82"/>
      <c r="R488" s="82"/>
      <c r="S488" s="82"/>
      <c r="T488" s="138">
        <v>3.0</v>
      </c>
      <c r="U488" s="341">
        <v>4.0</v>
      </c>
      <c r="V488" s="106">
        <v>0.0</v>
      </c>
      <c r="W488" s="107">
        <v>0.0</v>
      </c>
      <c r="X488" s="107">
        <v>0.0</v>
      </c>
      <c r="Y488" s="107">
        <v>0.0</v>
      </c>
      <c r="Z488" s="80">
        <v>0.0</v>
      </c>
      <c r="AA488" s="140">
        <v>0.0</v>
      </c>
      <c r="AB488" s="109">
        <v>0.0</v>
      </c>
      <c r="AC488" s="109">
        <v>0.0</v>
      </c>
      <c r="AD488" s="141">
        <v>0.0</v>
      </c>
      <c r="AE488" s="80">
        <v>0.0</v>
      </c>
      <c r="AF488" s="140">
        <v>0.0</v>
      </c>
      <c r="AG488" s="109">
        <v>0.0</v>
      </c>
      <c r="AH488" s="109">
        <v>26.0</v>
      </c>
      <c r="AI488" s="141">
        <v>0.0</v>
      </c>
      <c r="AJ488" s="80">
        <v>26.0</v>
      </c>
      <c r="AK488" s="140">
        <v>0.0</v>
      </c>
      <c r="AL488" s="109">
        <v>0.0</v>
      </c>
      <c r="AM488" s="141">
        <v>0.0</v>
      </c>
      <c r="AN488" s="80">
        <v>0.0</v>
      </c>
      <c r="AO488" s="140">
        <v>0.0</v>
      </c>
      <c r="AP488" s="109">
        <v>0.0</v>
      </c>
      <c r="AQ488" s="109">
        <v>0.0</v>
      </c>
      <c r="AR488" s="80">
        <v>0.0</v>
      </c>
      <c r="AS488" s="110">
        <v>0.0</v>
      </c>
      <c r="AT488" s="110">
        <v>0.0</v>
      </c>
      <c r="AU488" s="110">
        <v>0.0</v>
      </c>
      <c r="AV488" s="142">
        <v>0.0</v>
      </c>
      <c r="AW488" s="80">
        <v>0.0</v>
      </c>
      <c r="AX488" s="113">
        <v>26.0</v>
      </c>
      <c r="AY488" s="117">
        <v>0.0</v>
      </c>
      <c r="AZ488" s="328">
        <v>26.0</v>
      </c>
      <c r="BA488" s="315">
        <v>0.0</v>
      </c>
      <c r="BB488" s="316">
        <v>26.0</v>
      </c>
      <c r="BC488" s="132" t="s">
        <v>373</v>
      </c>
      <c r="BD488" s="132" t="s">
        <v>178</v>
      </c>
      <c r="BE488" s="132" t="s">
        <v>178</v>
      </c>
      <c r="BF488" s="156"/>
      <c r="BG488" s="83">
        <v>1178518.0</v>
      </c>
      <c r="BH488" s="112">
        <v>4.0</v>
      </c>
      <c r="BI488" s="98" t="s">
        <v>155</v>
      </c>
      <c r="BJ488" s="98" t="str">
        <f t="shared" si="1"/>
        <v>NÃO</v>
      </c>
      <c r="BK488" s="98" t="str">
        <f t="shared" si="2"/>
        <v>NÃO</v>
      </c>
    </row>
    <row r="489" ht="15.75" customHeight="1">
      <c r="A489" s="111" t="s">
        <v>605</v>
      </c>
      <c r="B489" s="83" t="s">
        <v>1914</v>
      </c>
      <c r="C489" s="83" t="s">
        <v>164</v>
      </c>
      <c r="D489" s="83">
        <v>1179713.0</v>
      </c>
      <c r="E489" s="83">
        <v>1178519.0</v>
      </c>
      <c r="F489" s="83"/>
      <c r="G489" s="119" t="s">
        <v>1929</v>
      </c>
      <c r="H489" s="91" t="s">
        <v>1930</v>
      </c>
      <c r="I489" s="114" t="s">
        <v>149</v>
      </c>
      <c r="J489" s="83" t="s">
        <v>1931</v>
      </c>
      <c r="K489" s="83" t="s">
        <v>168</v>
      </c>
      <c r="L489" s="83" t="s">
        <v>152</v>
      </c>
      <c r="M489" s="82" t="s">
        <v>6220</v>
      </c>
      <c r="N489" s="82" t="s">
        <v>6221</v>
      </c>
      <c r="O489" s="82"/>
      <c r="P489" s="82"/>
      <c r="Q489" s="82"/>
      <c r="R489" s="82"/>
      <c r="S489" s="82"/>
      <c r="T489" s="138">
        <v>3.0</v>
      </c>
      <c r="U489" s="341">
        <v>5.0</v>
      </c>
      <c r="V489" s="106">
        <v>0.0</v>
      </c>
      <c r="W489" s="107">
        <v>0.0</v>
      </c>
      <c r="X489" s="107">
        <v>0.0</v>
      </c>
      <c r="Y489" s="107">
        <v>0.0</v>
      </c>
      <c r="Z489" s="80">
        <v>0.0</v>
      </c>
      <c r="AA489" s="140">
        <v>0.0</v>
      </c>
      <c r="AB489" s="109">
        <v>0.0</v>
      </c>
      <c r="AC489" s="109">
        <v>0.0</v>
      </c>
      <c r="AD489" s="141">
        <v>0.0</v>
      </c>
      <c r="AE489" s="80">
        <v>0.0</v>
      </c>
      <c r="AF489" s="140">
        <v>0.0</v>
      </c>
      <c r="AG489" s="109">
        <v>0.0</v>
      </c>
      <c r="AH489" s="109">
        <v>17.0</v>
      </c>
      <c r="AI489" s="141">
        <v>0.0</v>
      </c>
      <c r="AJ489" s="80">
        <v>17.0</v>
      </c>
      <c r="AK489" s="140">
        <v>0.0</v>
      </c>
      <c r="AL489" s="109">
        <v>0.0</v>
      </c>
      <c r="AM489" s="141">
        <v>0.0</v>
      </c>
      <c r="AN489" s="80">
        <v>0.0</v>
      </c>
      <c r="AO489" s="140">
        <v>0.0</v>
      </c>
      <c r="AP489" s="109">
        <v>0.0</v>
      </c>
      <c r="AQ489" s="109">
        <v>0.0</v>
      </c>
      <c r="AR489" s="80">
        <v>0.0</v>
      </c>
      <c r="AS489" s="110">
        <v>0.0</v>
      </c>
      <c r="AT489" s="110">
        <v>0.0</v>
      </c>
      <c r="AU489" s="110">
        <v>0.0</v>
      </c>
      <c r="AV489" s="142">
        <v>0.0</v>
      </c>
      <c r="AW489" s="80">
        <v>0.0</v>
      </c>
      <c r="AX489" s="113">
        <v>17.0</v>
      </c>
      <c r="AY489" s="117">
        <v>0.0</v>
      </c>
      <c r="AZ489" s="328">
        <v>17.0</v>
      </c>
      <c r="BA489" s="315">
        <v>0.0</v>
      </c>
      <c r="BB489" s="316">
        <v>17.0</v>
      </c>
      <c r="BC489" s="132" t="s">
        <v>373</v>
      </c>
      <c r="BD489" s="143" t="s">
        <v>227</v>
      </c>
      <c r="BE489" s="132" t="s">
        <v>178</v>
      </c>
      <c r="BF489" s="123"/>
      <c r="BG489" s="83">
        <v>1178519.0</v>
      </c>
      <c r="BH489" s="112">
        <v>5.0</v>
      </c>
      <c r="BI489" s="98" t="s">
        <v>155</v>
      </c>
      <c r="BJ489" s="98" t="str">
        <f t="shared" si="1"/>
        <v>NÃO</v>
      </c>
      <c r="BK489" s="98" t="str">
        <f t="shared" si="2"/>
        <v>NÃO</v>
      </c>
    </row>
    <row r="490" ht="15.75" customHeight="1">
      <c r="A490" s="111" t="s">
        <v>605</v>
      </c>
      <c r="B490" s="83" t="s">
        <v>1914</v>
      </c>
      <c r="C490" s="83" t="s">
        <v>164</v>
      </c>
      <c r="D490" s="83">
        <v>1179713.0</v>
      </c>
      <c r="E490" s="83">
        <v>1178526.0</v>
      </c>
      <c r="F490" s="83"/>
      <c r="G490" s="119" t="s">
        <v>1932</v>
      </c>
      <c r="H490" s="91" t="s">
        <v>1933</v>
      </c>
      <c r="I490" s="114" t="s">
        <v>149</v>
      </c>
      <c r="J490" s="83" t="s">
        <v>568</v>
      </c>
      <c r="K490" s="83" t="s">
        <v>168</v>
      </c>
      <c r="L490" s="83" t="s">
        <v>152</v>
      </c>
      <c r="M490" s="82" t="s">
        <v>6220</v>
      </c>
      <c r="N490" s="82" t="s">
        <v>6221</v>
      </c>
      <c r="O490" s="82"/>
      <c r="P490" s="82"/>
      <c r="Q490" s="82"/>
      <c r="R490" s="82"/>
      <c r="S490" s="82"/>
      <c r="T490" s="138">
        <v>3.0</v>
      </c>
      <c r="U490" s="341">
        <v>4.0</v>
      </c>
      <c r="V490" s="106">
        <v>0.0</v>
      </c>
      <c r="W490" s="107">
        <v>0.0</v>
      </c>
      <c r="X490" s="107">
        <v>0.0</v>
      </c>
      <c r="Y490" s="107">
        <v>0.0</v>
      </c>
      <c r="Z490" s="80">
        <v>0.0</v>
      </c>
      <c r="AA490" s="140">
        <v>0.0</v>
      </c>
      <c r="AB490" s="109">
        <v>0.0</v>
      </c>
      <c r="AC490" s="109">
        <v>0.0</v>
      </c>
      <c r="AD490" s="141">
        <v>0.0</v>
      </c>
      <c r="AE490" s="80">
        <v>0.0</v>
      </c>
      <c r="AF490" s="140">
        <v>0.0</v>
      </c>
      <c r="AG490" s="109">
        <v>0.0</v>
      </c>
      <c r="AH490" s="109">
        <v>21.0</v>
      </c>
      <c r="AI490" s="141">
        <v>0.0</v>
      </c>
      <c r="AJ490" s="80">
        <v>21.0</v>
      </c>
      <c r="AK490" s="140">
        <v>0.0</v>
      </c>
      <c r="AL490" s="109">
        <v>0.0</v>
      </c>
      <c r="AM490" s="141">
        <v>0.0</v>
      </c>
      <c r="AN490" s="80">
        <v>0.0</v>
      </c>
      <c r="AO490" s="140">
        <v>0.0</v>
      </c>
      <c r="AP490" s="109">
        <v>0.0</v>
      </c>
      <c r="AQ490" s="109">
        <v>0.0</v>
      </c>
      <c r="AR490" s="80">
        <v>0.0</v>
      </c>
      <c r="AS490" s="110">
        <v>0.0</v>
      </c>
      <c r="AT490" s="110">
        <v>0.0</v>
      </c>
      <c r="AU490" s="110">
        <v>0.0</v>
      </c>
      <c r="AV490" s="142">
        <v>0.0</v>
      </c>
      <c r="AW490" s="80">
        <v>0.0</v>
      </c>
      <c r="AX490" s="113">
        <v>21.0</v>
      </c>
      <c r="AY490" s="117">
        <v>0.0</v>
      </c>
      <c r="AZ490" s="328">
        <v>21.0</v>
      </c>
      <c r="BA490" s="315">
        <v>0.0</v>
      </c>
      <c r="BB490" s="316">
        <v>21.0</v>
      </c>
      <c r="BC490" s="132" t="s">
        <v>373</v>
      </c>
      <c r="BD490" s="143" t="s">
        <v>227</v>
      </c>
      <c r="BE490" s="132" t="s">
        <v>178</v>
      </c>
      <c r="BF490" s="123"/>
      <c r="BG490" s="83">
        <v>1178526.0</v>
      </c>
      <c r="BH490" s="112">
        <v>4.0</v>
      </c>
      <c r="BI490" s="98" t="s">
        <v>155</v>
      </c>
      <c r="BJ490" s="98" t="str">
        <f t="shared" si="1"/>
        <v>NÃO</v>
      </c>
      <c r="BK490" s="98" t="str">
        <f t="shared" si="2"/>
        <v>NÃO</v>
      </c>
    </row>
    <row r="491" ht="15.75" customHeight="1">
      <c r="A491" s="111" t="s">
        <v>605</v>
      </c>
      <c r="B491" s="83" t="s">
        <v>1914</v>
      </c>
      <c r="C491" s="83" t="s">
        <v>164</v>
      </c>
      <c r="D491" s="83">
        <v>1179713.0</v>
      </c>
      <c r="E491" s="83">
        <v>1178525.0</v>
      </c>
      <c r="F491" s="83"/>
      <c r="G491" s="119" t="s">
        <v>1934</v>
      </c>
      <c r="H491" s="91" t="s">
        <v>1935</v>
      </c>
      <c r="I491" s="114" t="s">
        <v>149</v>
      </c>
      <c r="J491" s="83" t="s">
        <v>1936</v>
      </c>
      <c r="K491" s="83" t="s">
        <v>168</v>
      </c>
      <c r="L491" s="83" t="s">
        <v>152</v>
      </c>
      <c r="M491" s="82" t="s">
        <v>6220</v>
      </c>
      <c r="N491" s="82" t="s">
        <v>6221</v>
      </c>
      <c r="O491" s="82"/>
      <c r="P491" s="82"/>
      <c r="Q491" s="82"/>
      <c r="R491" s="82"/>
      <c r="S491" s="82"/>
      <c r="T491" s="138">
        <v>3.0</v>
      </c>
      <c r="U491" s="341">
        <v>4.0</v>
      </c>
      <c r="V491" s="106">
        <v>0.0</v>
      </c>
      <c r="W491" s="107">
        <v>0.0</v>
      </c>
      <c r="X491" s="107">
        <v>0.0</v>
      </c>
      <c r="Y491" s="107">
        <v>0.0</v>
      </c>
      <c r="Z491" s="80">
        <v>0.0</v>
      </c>
      <c r="AA491" s="140">
        <v>0.0</v>
      </c>
      <c r="AB491" s="109">
        <v>0.0</v>
      </c>
      <c r="AC491" s="109">
        <v>0.0</v>
      </c>
      <c r="AD491" s="141">
        <v>0.0</v>
      </c>
      <c r="AE491" s="80">
        <v>0.0</v>
      </c>
      <c r="AF491" s="140">
        <v>0.0</v>
      </c>
      <c r="AG491" s="109">
        <v>0.0</v>
      </c>
      <c r="AH491" s="109">
        <v>32.0</v>
      </c>
      <c r="AI491" s="141">
        <v>0.0</v>
      </c>
      <c r="AJ491" s="80">
        <v>32.0</v>
      </c>
      <c r="AK491" s="140">
        <v>0.0</v>
      </c>
      <c r="AL491" s="109">
        <v>0.0</v>
      </c>
      <c r="AM491" s="141">
        <v>0.0</v>
      </c>
      <c r="AN491" s="80">
        <v>0.0</v>
      </c>
      <c r="AO491" s="140">
        <v>0.0</v>
      </c>
      <c r="AP491" s="109">
        <v>0.0</v>
      </c>
      <c r="AQ491" s="109">
        <v>0.0</v>
      </c>
      <c r="AR491" s="80">
        <v>0.0</v>
      </c>
      <c r="AS491" s="110">
        <v>0.0</v>
      </c>
      <c r="AT491" s="110">
        <v>0.0</v>
      </c>
      <c r="AU491" s="110">
        <v>0.0</v>
      </c>
      <c r="AV491" s="142">
        <v>0.0</v>
      </c>
      <c r="AW491" s="80">
        <v>0.0</v>
      </c>
      <c r="AX491" s="113">
        <v>32.0</v>
      </c>
      <c r="AY491" s="117">
        <v>0.0</v>
      </c>
      <c r="AZ491" s="328">
        <v>32.0</v>
      </c>
      <c r="BA491" s="315">
        <v>0.0</v>
      </c>
      <c r="BB491" s="316">
        <v>32.0</v>
      </c>
      <c r="BC491" s="132" t="s">
        <v>373</v>
      </c>
      <c r="BD491" s="143" t="s">
        <v>227</v>
      </c>
      <c r="BE491" s="132" t="s">
        <v>178</v>
      </c>
      <c r="BF491" s="123"/>
      <c r="BG491" s="83">
        <v>1178525.0</v>
      </c>
      <c r="BH491" s="112">
        <v>4.0</v>
      </c>
      <c r="BI491" s="98" t="s">
        <v>155</v>
      </c>
      <c r="BJ491" s="98" t="str">
        <f t="shared" si="1"/>
        <v>NÃO</v>
      </c>
      <c r="BK491" s="98" t="str">
        <f t="shared" si="2"/>
        <v>NÃO</v>
      </c>
    </row>
    <row r="492" ht="15.75" customHeight="1">
      <c r="A492" s="111" t="s">
        <v>605</v>
      </c>
      <c r="B492" s="83" t="s">
        <v>1914</v>
      </c>
      <c r="C492" s="83" t="s">
        <v>164</v>
      </c>
      <c r="D492" s="83">
        <v>1179713.0</v>
      </c>
      <c r="E492" s="83">
        <v>1178524.0</v>
      </c>
      <c r="F492" s="83"/>
      <c r="G492" s="119" t="s">
        <v>1937</v>
      </c>
      <c r="H492" s="91" t="s">
        <v>1938</v>
      </c>
      <c r="I492" s="114" t="s">
        <v>149</v>
      </c>
      <c r="J492" s="83" t="s">
        <v>568</v>
      </c>
      <c r="K492" s="83" t="s">
        <v>168</v>
      </c>
      <c r="L492" s="83" t="s">
        <v>152</v>
      </c>
      <c r="M492" s="82" t="s">
        <v>6220</v>
      </c>
      <c r="N492" s="82" t="s">
        <v>6221</v>
      </c>
      <c r="O492" s="82"/>
      <c r="P492" s="82"/>
      <c r="Q492" s="82"/>
      <c r="R492" s="82"/>
      <c r="S492" s="82"/>
      <c r="T492" s="138">
        <v>3.0</v>
      </c>
      <c r="U492" s="341">
        <v>6.0</v>
      </c>
      <c r="V492" s="106">
        <v>0.0</v>
      </c>
      <c r="W492" s="107">
        <v>0.0</v>
      </c>
      <c r="X492" s="107">
        <v>0.0</v>
      </c>
      <c r="Y492" s="107">
        <v>0.0</v>
      </c>
      <c r="Z492" s="80">
        <v>0.0</v>
      </c>
      <c r="AA492" s="140">
        <v>0.0</v>
      </c>
      <c r="AB492" s="109">
        <v>0.0</v>
      </c>
      <c r="AC492" s="109">
        <v>0.0</v>
      </c>
      <c r="AD492" s="141">
        <v>0.0</v>
      </c>
      <c r="AE492" s="80">
        <v>0.0</v>
      </c>
      <c r="AF492" s="140">
        <v>0.0</v>
      </c>
      <c r="AG492" s="109">
        <v>0.0</v>
      </c>
      <c r="AH492" s="109">
        <v>50.0</v>
      </c>
      <c r="AI492" s="141">
        <v>0.0</v>
      </c>
      <c r="AJ492" s="80">
        <v>50.0</v>
      </c>
      <c r="AK492" s="140">
        <v>0.0</v>
      </c>
      <c r="AL492" s="109">
        <v>0.0</v>
      </c>
      <c r="AM492" s="141">
        <v>0.0</v>
      </c>
      <c r="AN492" s="80">
        <v>0.0</v>
      </c>
      <c r="AO492" s="140">
        <v>0.0</v>
      </c>
      <c r="AP492" s="109">
        <v>0.0</v>
      </c>
      <c r="AQ492" s="109">
        <v>0.0</v>
      </c>
      <c r="AR492" s="80">
        <v>0.0</v>
      </c>
      <c r="AS492" s="110">
        <v>0.0</v>
      </c>
      <c r="AT492" s="110">
        <v>0.0</v>
      </c>
      <c r="AU492" s="110">
        <v>0.0</v>
      </c>
      <c r="AV492" s="142">
        <v>0.0</v>
      </c>
      <c r="AW492" s="80">
        <v>0.0</v>
      </c>
      <c r="AX492" s="113">
        <v>50.0</v>
      </c>
      <c r="AY492" s="117">
        <v>0.0</v>
      </c>
      <c r="AZ492" s="328">
        <v>50.0</v>
      </c>
      <c r="BA492" s="315">
        <v>0.0</v>
      </c>
      <c r="BB492" s="316">
        <v>50.0</v>
      </c>
      <c r="BC492" s="132" t="s">
        <v>373</v>
      </c>
      <c r="BD492" s="143" t="s">
        <v>227</v>
      </c>
      <c r="BE492" s="132" t="s">
        <v>178</v>
      </c>
      <c r="BF492" s="123"/>
      <c r="BG492" s="83">
        <v>1178524.0</v>
      </c>
      <c r="BH492" s="112">
        <v>6.0</v>
      </c>
      <c r="BI492" s="98" t="s">
        <v>155</v>
      </c>
      <c r="BJ492" s="98" t="str">
        <f t="shared" si="1"/>
        <v>NÃO</v>
      </c>
      <c r="BK492" s="98" t="str">
        <f t="shared" si="2"/>
        <v>NÃO</v>
      </c>
    </row>
    <row r="493" ht="15.75" customHeight="1">
      <c r="A493" s="111" t="s">
        <v>605</v>
      </c>
      <c r="B493" s="83" t="s">
        <v>1914</v>
      </c>
      <c r="C493" s="83" t="s">
        <v>164</v>
      </c>
      <c r="D493" s="83">
        <v>1179713.0</v>
      </c>
      <c r="E493" s="83">
        <v>1178522.0</v>
      </c>
      <c r="F493" s="83"/>
      <c r="G493" s="119" t="s">
        <v>1939</v>
      </c>
      <c r="H493" s="91" t="s">
        <v>1940</v>
      </c>
      <c r="I493" s="114" t="s">
        <v>149</v>
      </c>
      <c r="J493" s="83" t="s">
        <v>641</v>
      </c>
      <c r="K493" s="83" t="s">
        <v>168</v>
      </c>
      <c r="L493" s="83" t="s">
        <v>152</v>
      </c>
      <c r="M493" s="82" t="s">
        <v>6220</v>
      </c>
      <c r="N493" s="82" t="s">
        <v>6221</v>
      </c>
      <c r="O493" s="82"/>
      <c r="P493" s="82"/>
      <c r="Q493" s="82"/>
      <c r="R493" s="82"/>
      <c r="S493" s="82"/>
      <c r="T493" s="138">
        <v>3.0</v>
      </c>
      <c r="U493" s="341">
        <v>3.0</v>
      </c>
      <c r="V493" s="106">
        <v>0.0</v>
      </c>
      <c r="W493" s="107">
        <v>0.0</v>
      </c>
      <c r="X493" s="107">
        <v>0.0</v>
      </c>
      <c r="Y493" s="107">
        <v>0.0</v>
      </c>
      <c r="Z493" s="80">
        <v>0.0</v>
      </c>
      <c r="AA493" s="140">
        <v>0.0</v>
      </c>
      <c r="AB493" s="109">
        <v>0.0</v>
      </c>
      <c r="AC493" s="109">
        <v>0.0</v>
      </c>
      <c r="AD493" s="141">
        <v>0.0</v>
      </c>
      <c r="AE493" s="80">
        <v>0.0</v>
      </c>
      <c r="AF493" s="140">
        <v>0.0</v>
      </c>
      <c r="AG493" s="109">
        <v>0.0</v>
      </c>
      <c r="AH493" s="109">
        <v>41.0</v>
      </c>
      <c r="AI493" s="141">
        <v>0.0</v>
      </c>
      <c r="AJ493" s="80">
        <v>41.0</v>
      </c>
      <c r="AK493" s="140">
        <v>0.0</v>
      </c>
      <c r="AL493" s="109">
        <v>0.0</v>
      </c>
      <c r="AM493" s="141">
        <v>0.0</v>
      </c>
      <c r="AN493" s="80">
        <v>0.0</v>
      </c>
      <c r="AO493" s="140">
        <v>0.0</v>
      </c>
      <c r="AP493" s="109">
        <v>0.0</v>
      </c>
      <c r="AQ493" s="109">
        <v>0.0</v>
      </c>
      <c r="AR493" s="80">
        <v>0.0</v>
      </c>
      <c r="AS493" s="110">
        <v>0.0</v>
      </c>
      <c r="AT493" s="110">
        <v>0.0</v>
      </c>
      <c r="AU493" s="110">
        <v>0.0</v>
      </c>
      <c r="AV493" s="142">
        <v>0.0</v>
      </c>
      <c r="AW493" s="80">
        <v>0.0</v>
      </c>
      <c r="AX493" s="113">
        <v>41.0</v>
      </c>
      <c r="AY493" s="117">
        <v>0.0</v>
      </c>
      <c r="AZ493" s="328">
        <v>41.0</v>
      </c>
      <c r="BA493" s="315">
        <v>0.0</v>
      </c>
      <c r="BB493" s="316">
        <v>41.0</v>
      </c>
      <c r="BC493" s="132" t="s">
        <v>373</v>
      </c>
      <c r="BD493" s="143" t="s">
        <v>227</v>
      </c>
      <c r="BE493" s="132" t="s">
        <v>178</v>
      </c>
      <c r="BF493" s="123"/>
      <c r="BG493" s="83">
        <v>1178522.0</v>
      </c>
      <c r="BH493" s="112">
        <v>3.0</v>
      </c>
      <c r="BI493" s="98" t="s">
        <v>155</v>
      </c>
      <c r="BJ493" s="98" t="str">
        <f t="shared" si="1"/>
        <v>NÃO</v>
      </c>
      <c r="BK493" s="98" t="str">
        <f t="shared" si="2"/>
        <v>NÃO</v>
      </c>
    </row>
    <row r="494" ht="15.75" customHeight="1">
      <c r="A494" s="111" t="s">
        <v>605</v>
      </c>
      <c r="B494" s="83" t="s">
        <v>1914</v>
      </c>
      <c r="C494" s="83" t="s">
        <v>164</v>
      </c>
      <c r="D494" s="83">
        <v>1179713.0</v>
      </c>
      <c r="E494" s="83">
        <v>1178520.0</v>
      </c>
      <c r="F494" s="83"/>
      <c r="G494" s="119" t="s">
        <v>1941</v>
      </c>
      <c r="H494" s="91" t="s">
        <v>1942</v>
      </c>
      <c r="I494" s="114" t="s">
        <v>149</v>
      </c>
      <c r="J494" s="83" t="s">
        <v>1745</v>
      </c>
      <c r="K494" s="83" t="s">
        <v>168</v>
      </c>
      <c r="L494" s="83" t="s">
        <v>152</v>
      </c>
      <c r="M494" s="82" t="s">
        <v>6220</v>
      </c>
      <c r="N494" s="82" t="s">
        <v>6221</v>
      </c>
      <c r="O494" s="82"/>
      <c r="P494" s="82"/>
      <c r="Q494" s="82"/>
      <c r="R494" s="82"/>
      <c r="S494" s="82"/>
      <c r="T494" s="138">
        <v>3.0</v>
      </c>
      <c r="U494" s="341">
        <v>4.0</v>
      </c>
      <c r="V494" s="106">
        <v>0.0</v>
      </c>
      <c r="W494" s="107">
        <v>0.0</v>
      </c>
      <c r="X494" s="107">
        <v>0.0</v>
      </c>
      <c r="Y494" s="107">
        <v>0.0</v>
      </c>
      <c r="Z494" s="80">
        <v>0.0</v>
      </c>
      <c r="AA494" s="140">
        <v>0.0</v>
      </c>
      <c r="AB494" s="109">
        <v>0.0</v>
      </c>
      <c r="AC494" s="109">
        <v>0.0</v>
      </c>
      <c r="AD494" s="141">
        <v>0.0</v>
      </c>
      <c r="AE494" s="80">
        <v>0.0</v>
      </c>
      <c r="AF494" s="140">
        <v>0.0</v>
      </c>
      <c r="AG494" s="109">
        <v>0.0</v>
      </c>
      <c r="AH494" s="109">
        <v>29.0</v>
      </c>
      <c r="AI494" s="141">
        <v>0.0</v>
      </c>
      <c r="AJ494" s="80">
        <v>29.0</v>
      </c>
      <c r="AK494" s="140">
        <v>0.0</v>
      </c>
      <c r="AL494" s="109">
        <v>0.0</v>
      </c>
      <c r="AM494" s="141">
        <v>0.0</v>
      </c>
      <c r="AN494" s="80">
        <v>0.0</v>
      </c>
      <c r="AO494" s="140">
        <v>0.0</v>
      </c>
      <c r="AP494" s="109">
        <v>0.0</v>
      </c>
      <c r="AQ494" s="109">
        <v>0.0</v>
      </c>
      <c r="AR494" s="80">
        <v>0.0</v>
      </c>
      <c r="AS494" s="110">
        <v>0.0</v>
      </c>
      <c r="AT494" s="110">
        <v>0.0</v>
      </c>
      <c r="AU494" s="110">
        <v>0.0</v>
      </c>
      <c r="AV494" s="142">
        <v>0.0</v>
      </c>
      <c r="AW494" s="80">
        <v>0.0</v>
      </c>
      <c r="AX494" s="113">
        <v>29.0</v>
      </c>
      <c r="AY494" s="117">
        <v>0.0</v>
      </c>
      <c r="AZ494" s="328">
        <v>29.0</v>
      </c>
      <c r="BA494" s="315">
        <v>0.0</v>
      </c>
      <c r="BB494" s="316">
        <v>29.0</v>
      </c>
      <c r="BC494" s="132" t="s">
        <v>373</v>
      </c>
      <c r="BD494" s="143" t="s">
        <v>227</v>
      </c>
      <c r="BE494" s="132" t="s">
        <v>178</v>
      </c>
      <c r="BF494" s="123"/>
      <c r="BG494" s="83">
        <v>1178520.0</v>
      </c>
      <c r="BH494" s="112">
        <v>4.0</v>
      </c>
      <c r="BI494" s="98" t="s">
        <v>155</v>
      </c>
      <c r="BJ494" s="98" t="str">
        <f t="shared" si="1"/>
        <v>NÃO</v>
      </c>
      <c r="BK494" s="98" t="str">
        <f t="shared" si="2"/>
        <v>NÃO</v>
      </c>
    </row>
    <row r="495" ht="15.75" customHeight="1">
      <c r="A495" s="111" t="s">
        <v>605</v>
      </c>
      <c r="B495" s="83" t="s">
        <v>1914</v>
      </c>
      <c r="C495" s="83" t="s">
        <v>164</v>
      </c>
      <c r="D495" s="83">
        <v>1179713.0</v>
      </c>
      <c r="E495" s="83">
        <v>1178523.0</v>
      </c>
      <c r="F495" s="83"/>
      <c r="G495" s="119" t="s">
        <v>1944</v>
      </c>
      <c r="H495" s="91" t="s">
        <v>1945</v>
      </c>
      <c r="I495" s="114" t="s">
        <v>149</v>
      </c>
      <c r="J495" s="83" t="s">
        <v>1946</v>
      </c>
      <c r="K495" s="83" t="s">
        <v>168</v>
      </c>
      <c r="L495" s="83" t="s">
        <v>152</v>
      </c>
      <c r="M495" s="82" t="s">
        <v>6220</v>
      </c>
      <c r="N495" s="82" t="s">
        <v>6221</v>
      </c>
      <c r="O495" s="82"/>
      <c r="P495" s="82"/>
      <c r="Q495" s="82"/>
      <c r="R495" s="82"/>
      <c r="S495" s="82"/>
      <c r="T495" s="138">
        <v>3.0</v>
      </c>
      <c r="U495" s="341">
        <v>5.0</v>
      </c>
      <c r="V495" s="106">
        <v>0.0</v>
      </c>
      <c r="W495" s="107">
        <v>0.0</v>
      </c>
      <c r="X495" s="107">
        <v>0.0</v>
      </c>
      <c r="Y495" s="107">
        <v>0.0</v>
      </c>
      <c r="Z495" s="80">
        <v>0.0</v>
      </c>
      <c r="AA495" s="140">
        <v>0.0</v>
      </c>
      <c r="AB495" s="109">
        <v>0.0</v>
      </c>
      <c r="AC495" s="109">
        <v>0.0</v>
      </c>
      <c r="AD495" s="141">
        <v>0.0</v>
      </c>
      <c r="AE495" s="80">
        <v>0.0</v>
      </c>
      <c r="AF495" s="140">
        <v>0.0</v>
      </c>
      <c r="AG495" s="109">
        <v>0.0</v>
      </c>
      <c r="AH495" s="109">
        <v>12.0</v>
      </c>
      <c r="AI495" s="141">
        <v>0.0</v>
      </c>
      <c r="AJ495" s="80">
        <v>12.0</v>
      </c>
      <c r="AK495" s="140">
        <v>0.0</v>
      </c>
      <c r="AL495" s="109">
        <v>0.0</v>
      </c>
      <c r="AM495" s="141">
        <v>0.0</v>
      </c>
      <c r="AN495" s="80">
        <v>0.0</v>
      </c>
      <c r="AO495" s="140">
        <v>0.0</v>
      </c>
      <c r="AP495" s="109">
        <v>0.0</v>
      </c>
      <c r="AQ495" s="109">
        <v>0.0</v>
      </c>
      <c r="AR495" s="80">
        <v>0.0</v>
      </c>
      <c r="AS495" s="110">
        <v>0.0</v>
      </c>
      <c r="AT495" s="110">
        <v>0.0</v>
      </c>
      <c r="AU495" s="110">
        <v>0.0</v>
      </c>
      <c r="AV495" s="142">
        <v>0.0</v>
      </c>
      <c r="AW495" s="80">
        <v>0.0</v>
      </c>
      <c r="AX495" s="113">
        <v>12.0</v>
      </c>
      <c r="AY495" s="117">
        <v>0.0</v>
      </c>
      <c r="AZ495" s="328">
        <v>12.0</v>
      </c>
      <c r="BA495" s="315">
        <v>0.0</v>
      </c>
      <c r="BB495" s="316">
        <v>12.0</v>
      </c>
      <c r="BC495" s="132" t="s">
        <v>373</v>
      </c>
      <c r="BD495" s="143" t="s">
        <v>227</v>
      </c>
      <c r="BE495" s="132" t="s">
        <v>178</v>
      </c>
      <c r="BF495" s="123"/>
      <c r="BG495" s="83">
        <v>1178523.0</v>
      </c>
      <c r="BH495" s="112">
        <v>5.0</v>
      </c>
      <c r="BI495" s="98" t="s">
        <v>155</v>
      </c>
      <c r="BJ495" s="98" t="str">
        <f t="shared" si="1"/>
        <v>NÃO</v>
      </c>
      <c r="BK495" s="98" t="str">
        <f t="shared" si="2"/>
        <v>NÃO</v>
      </c>
    </row>
    <row r="496" ht="15.75" customHeight="1">
      <c r="A496" s="111" t="s">
        <v>605</v>
      </c>
      <c r="B496" s="83" t="s">
        <v>1914</v>
      </c>
      <c r="C496" s="83" t="s">
        <v>164</v>
      </c>
      <c r="D496" s="83">
        <v>1179713.0</v>
      </c>
      <c r="E496" s="83">
        <v>1178521.0</v>
      </c>
      <c r="F496" s="83"/>
      <c r="G496" s="119" t="s">
        <v>1947</v>
      </c>
      <c r="H496" s="91" t="s">
        <v>1948</v>
      </c>
      <c r="I496" s="114" t="s">
        <v>149</v>
      </c>
      <c r="J496" s="83" t="s">
        <v>641</v>
      </c>
      <c r="K496" s="83" t="s">
        <v>168</v>
      </c>
      <c r="L496" s="83" t="s">
        <v>152</v>
      </c>
      <c r="M496" s="82" t="s">
        <v>6220</v>
      </c>
      <c r="N496" s="82" t="s">
        <v>6221</v>
      </c>
      <c r="O496" s="82"/>
      <c r="P496" s="82"/>
      <c r="Q496" s="82"/>
      <c r="R496" s="82"/>
      <c r="S496" s="82"/>
      <c r="T496" s="138">
        <v>3.0</v>
      </c>
      <c r="U496" s="341">
        <v>3.0</v>
      </c>
      <c r="V496" s="106">
        <v>0.0</v>
      </c>
      <c r="W496" s="107">
        <v>0.0</v>
      </c>
      <c r="X496" s="107">
        <v>0.0</v>
      </c>
      <c r="Y496" s="107">
        <v>0.0</v>
      </c>
      <c r="Z496" s="80">
        <v>0.0</v>
      </c>
      <c r="AA496" s="140">
        <v>0.0</v>
      </c>
      <c r="AB496" s="109">
        <v>0.0</v>
      </c>
      <c r="AC496" s="109">
        <v>0.0</v>
      </c>
      <c r="AD496" s="141">
        <v>0.0</v>
      </c>
      <c r="AE496" s="80">
        <v>0.0</v>
      </c>
      <c r="AF496" s="140">
        <v>0.0</v>
      </c>
      <c r="AG496" s="109">
        <v>0.0</v>
      </c>
      <c r="AH496" s="109">
        <v>20.0</v>
      </c>
      <c r="AI496" s="141">
        <v>0.0</v>
      </c>
      <c r="AJ496" s="80">
        <v>20.0</v>
      </c>
      <c r="AK496" s="140">
        <v>0.0</v>
      </c>
      <c r="AL496" s="109">
        <v>0.0</v>
      </c>
      <c r="AM496" s="141">
        <v>0.0</v>
      </c>
      <c r="AN496" s="80">
        <v>0.0</v>
      </c>
      <c r="AO496" s="140">
        <v>0.0</v>
      </c>
      <c r="AP496" s="109">
        <v>0.0</v>
      </c>
      <c r="AQ496" s="109">
        <v>0.0</v>
      </c>
      <c r="AR496" s="80">
        <v>0.0</v>
      </c>
      <c r="AS496" s="110">
        <v>0.0</v>
      </c>
      <c r="AT496" s="110">
        <v>0.0</v>
      </c>
      <c r="AU496" s="110">
        <v>0.0</v>
      </c>
      <c r="AV496" s="142">
        <v>0.0</v>
      </c>
      <c r="AW496" s="80">
        <v>0.0</v>
      </c>
      <c r="AX496" s="113">
        <v>20.0</v>
      </c>
      <c r="AY496" s="117">
        <v>0.0</v>
      </c>
      <c r="AZ496" s="328">
        <v>20.0</v>
      </c>
      <c r="BA496" s="315">
        <v>0.0</v>
      </c>
      <c r="BB496" s="316">
        <v>20.0</v>
      </c>
      <c r="BC496" s="132" t="s">
        <v>373</v>
      </c>
      <c r="BD496" s="143" t="s">
        <v>227</v>
      </c>
      <c r="BE496" s="132" t="s">
        <v>178</v>
      </c>
      <c r="BF496" s="123"/>
      <c r="BG496" s="83">
        <v>1178521.0</v>
      </c>
      <c r="BH496" s="112">
        <v>3.0</v>
      </c>
      <c r="BI496" s="98" t="s">
        <v>155</v>
      </c>
      <c r="BJ496" s="98" t="str">
        <f t="shared" si="1"/>
        <v>NÃO</v>
      </c>
      <c r="BK496" s="98" t="str">
        <f t="shared" si="2"/>
        <v>NÃO</v>
      </c>
    </row>
    <row r="497" ht="15.75" customHeight="1">
      <c r="A497" s="111" t="s">
        <v>605</v>
      </c>
      <c r="B497" s="83" t="s">
        <v>1914</v>
      </c>
      <c r="C497" s="83" t="s">
        <v>164</v>
      </c>
      <c r="D497" s="83">
        <v>1179686.0</v>
      </c>
      <c r="E497" s="83">
        <v>1179692.0</v>
      </c>
      <c r="F497" s="83"/>
      <c r="G497" s="114" t="s">
        <v>1949</v>
      </c>
      <c r="H497" s="91" t="s">
        <v>1950</v>
      </c>
      <c r="I497" s="114" t="s">
        <v>1951</v>
      </c>
      <c r="J497" s="83" t="s">
        <v>222</v>
      </c>
      <c r="K497" s="83" t="s">
        <v>168</v>
      </c>
      <c r="L497" s="83" t="s">
        <v>169</v>
      </c>
      <c r="M497" s="82" t="s">
        <v>6309</v>
      </c>
      <c r="N497" s="82" t="s">
        <v>6310</v>
      </c>
      <c r="O497" s="82"/>
      <c r="P497" s="82"/>
      <c r="Q497" s="82"/>
      <c r="R497" s="82"/>
      <c r="S497" s="82" t="s">
        <v>6311</v>
      </c>
      <c r="T497" s="138">
        <v>4.0</v>
      </c>
      <c r="U497" s="341" t="s">
        <v>171</v>
      </c>
      <c r="V497" s="106">
        <v>0.0</v>
      </c>
      <c r="W497" s="107">
        <v>0.0</v>
      </c>
      <c r="X497" s="107">
        <v>0.0</v>
      </c>
      <c r="Y497" s="107">
        <v>0.0</v>
      </c>
      <c r="Z497" s="80">
        <v>0.0</v>
      </c>
      <c r="AA497" s="140">
        <v>0.0</v>
      </c>
      <c r="AB497" s="109">
        <v>0.0</v>
      </c>
      <c r="AC497" s="109">
        <v>0.0</v>
      </c>
      <c r="AD497" s="141">
        <v>0.0</v>
      </c>
      <c r="AE497" s="80">
        <v>0.0</v>
      </c>
      <c r="AF497" s="140">
        <v>0.0</v>
      </c>
      <c r="AG497" s="109">
        <v>0.0</v>
      </c>
      <c r="AH497" s="109">
        <v>10.0</v>
      </c>
      <c r="AI497" s="141">
        <v>0.0</v>
      </c>
      <c r="AJ497" s="80">
        <v>10.0</v>
      </c>
      <c r="AK497" s="140">
        <v>0.0</v>
      </c>
      <c r="AL497" s="109">
        <v>0.0</v>
      </c>
      <c r="AM497" s="141">
        <v>0.0</v>
      </c>
      <c r="AN497" s="80">
        <v>0.0</v>
      </c>
      <c r="AO497" s="140">
        <v>0.0</v>
      </c>
      <c r="AP497" s="109">
        <v>0.0</v>
      </c>
      <c r="AQ497" s="109">
        <v>36.0</v>
      </c>
      <c r="AR497" s="80">
        <v>36.0</v>
      </c>
      <c r="AS497" s="110">
        <v>0.0</v>
      </c>
      <c r="AT497" s="110">
        <v>0.0</v>
      </c>
      <c r="AU497" s="110">
        <v>0.0</v>
      </c>
      <c r="AV497" s="142">
        <v>0.0</v>
      </c>
      <c r="AW497" s="80">
        <v>0.0</v>
      </c>
      <c r="AX497" s="113">
        <v>46.0</v>
      </c>
      <c r="AY497" s="117">
        <v>0.0</v>
      </c>
      <c r="AZ497" s="328">
        <v>46.0</v>
      </c>
      <c r="BA497" s="315">
        <v>0.0</v>
      </c>
      <c r="BB497" s="316">
        <v>46.0</v>
      </c>
      <c r="BC497" s="132" t="s">
        <v>631</v>
      </c>
      <c r="BD497" s="132" t="s">
        <v>178</v>
      </c>
      <c r="BE497" s="132" t="s">
        <v>178</v>
      </c>
      <c r="BF497" s="123"/>
      <c r="BG497" s="83">
        <v>1179692.0</v>
      </c>
      <c r="BH497" s="112">
        <v>4.0</v>
      </c>
      <c r="BI497" s="98" t="s">
        <v>155</v>
      </c>
      <c r="BJ497" s="98" t="str">
        <f t="shared" si="1"/>
        <v>NÃO</v>
      </c>
      <c r="BK497" s="98" t="str">
        <f t="shared" si="2"/>
        <v>NÃO</v>
      </c>
    </row>
    <row r="498" ht="15.75" customHeight="1">
      <c r="A498" s="111" t="s">
        <v>605</v>
      </c>
      <c r="B498" s="83" t="s">
        <v>1952</v>
      </c>
      <c r="C498" s="83" t="s">
        <v>68</v>
      </c>
      <c r="D498" s="83">
        <v>1113200.0</v>
      </c>
      <c r="E498" s="83"/>
      <c r="F498" s="83">
        <v>2.932248E7</v>
      </c>
      <c r="G498" s="119" t="s">
        <v>6314</v>
      </c>
      <c r="H498" s="91" t="s">
        <v>1954</v>
      </c>
      <c r="I498" s="114" t="s">
        <v>1955</v>
      </c>
      <c r="J498" s="83" t="s">
        <v>150</v>
      </c>
      <c r="K498" s="83" t="s">
        <v>151</v>
      </c>
      <c r="L498" s="83" t="s">
        <v>230</v>
      </c>
      <c r="M498" s="82" t="s">
        <v>6315</v>
      </c>
      <c r="N498" s="82" t="s">
        <v>6316</v>
      </c>
      <c r="O498" s="82" t="s">
        <v>6317</v>
      </c>
      <c r="P498" s="82" t="s">
        <v>6318</v>
      </c>
      <c r="Q498" s="82"/>
      <c r="R498" s="82"/>
      <c r="S498" s="82" t="s">
        <v>6320</v>
      </c>
      <c r="T498" s="138">
        <v>10.0</v>
      </c>
      <c r="U498" s="352" t="s">
        <v>6322</v>
      </c>
      <c r="V498" s="106">
        <v>0.0</v>
      </c>
      <c r="W498" s="107">
        <v>0.0</v>
      </c>
      <c r="X498" s="107">
        <v>0.0</v>
      </c>
      <c r="Y498" s="107">
        <v>0.0</v>
      </c>
      <c r="Z498" s="80">
        <v>0.0</v>
      </c>
      <c r="AA498" s="140">
        <v>0.0</v>
      </c>
      <c r="AB498" s="109">
        <v>0.0</v>
      </c>
      <c r="AC498" s="109">
        <v>0.0</v>
      </c>
      <c r="AD498" s="141">
        <v>0.0</v>
      </c>
      <c r="AE498" s="80">
        <v>0.0</v>
      </c>
      <c r="AF498" s="140">
        <v>0.0</v>
      </c>
      <c r="AG498" s="109">
        <v>0.0</v>
      </c>
      <c r="AH498" s="109">
        <v>18.0</v>
      </c>
      <c r="AI498" s="141">
        <v>306.0</v>
      </c>
      <c r="AJ498" s="80">
        <v>324.0</v>
      </c>
      <c r="AK498" s="140">
        <v>0.0</v>
      </c>
      <c r="AL498" s="109">
        <v>0.0</v>
      </c>
      <c r="AM498" s="141">
        <v>0.0</v>
      </c>
      <c r="AN498" s="80">
        <v>0.0</v>
      </c>
      <c r="AO498" s="140">
        <v>0.0</v>
      </c>
      <c r="AP498" s="109">
        <v>0.0</v>
      </c>
      <c r="AQ498" s="109">
        <v>70.0</v>
      </c>
      <c r="AR498" s="80">
        <v>70.0</v>
      </c>
      <c r="AS498" s="110">
        <v>0.0</v>
      </c>
      <c r="AT498" s="110">
        <v>0.0</v>
      </c>
      <c r="AU498" s="110">
        <v>34.0</v>
      </c>
      <c r="AV498" s="142">
        <v>0.0</v>
      </c>
      <c r="AW498" s="80">
        <v>34.0</v>
      </c>
      <c r="AX498" s="113">
        <v>428.0</v>
      </c>
      <c r="AY498" s="117">
        <v>306.0</v>
      </c>
      <c r="AZ498" s="328">
        <v>122.0</v>
      </c>
      <c r="BA498" s="315">
        <v>1.0</v>
      </c>
      <c r="BB498" s="316">
        <v>429.0</v>
      </c>
      <c r="BC498" s="132" t="s">
        <v>178</v>
      </c>
      <c r="BD498" s="132" t="s">
        <v>178</v>
      </c>
      <c r="BE498" s="132" t="s">
        <v>178</v>
      </c>
      <c r="BF498" s="123"/>
      <c r="BG498" s="83">
        <v>1113200.0</v>
      </c>
      <c r="BH498" s="112">
        <v>11.0</v>
      </c>
      <c r="BI498" s="98" t="s">
        <v>284</v>
      </c>
      <c r="BJ498" s="98" t="str">
        <f t="shared" si="1"/>
        <v>INTEGRAL</v>
      </c>
      <c r="BK498" s="98" t="str">
        <f t="shared" si="2"/>
        <v>PROFISSIONAL</v>
      </c>
    </row>
    <row r="499" ht="15.75" customHeight="1">
      <c r="A499" s="111" t="s">
        <v>605</v>
      </c>
      <c r="B499" s="83" t="s">
        <v>1952</v>
      </c>
      <c r="C499" s="83" t="s">
        <v>164</v>
      </c>
      <c r="D499" s="83">
        <v>1179713.0</v>
      </c>
      <c r="E499" s="83">
        <v>1178552.0</v>
      </c>
      <c r="F499" s="83"/>
      <c r="G499" s="147" t="s">
        <v>1959</v>
      </c>
      <c r="H499" s="91" t="s">
        <v>1960</v>
      </c>
      <c r="I499" s="114" t="s">
        <v>1961</v>
      </c>
      <c r="J499" s="83" t="s">
        <v>331</v>
      </c>
      <c r="K499" s="83" t="s">
        <v>168</v>
      </c>
      <c r="L499" s="83" t="s">
        <v>169</v>
      </c>
      <c r="M499" s="82" t="s">
        <v>6220</v>
      </c>
      <c r="N499" s="82" t="s">
        <v>6221</v>
      </c>
      <c r="O499" s="82"/>
      <c r="P499" s="82"/>
      <c r="Q499" s="82"/>
      <c r="R499" s="82"/>
      <c r="S499" s="82"/>
      <c r="T499" s="138">
        <v>3.0</v>
      </c>
      <c r="U499" s="364">
        <v>3.0</v>
      </c>
      <c r="V499" s="106">
        <v>0.0</v>
      </c>
      <c r="W499" s="107">
        <v>0.0</v>
      </c>
      <c r="X499" s="107">
        <v>0.0</v>
      </c>
      <c r="Y499" s="107">
        <v>0.0</v>
      </c>
      <c r="Z499" s="80">
        <v>0.0</v>
      </c>
      <c r="AA499" s="140">
        <v>0.0</v>
      </c>
      <c r="AB499" s="109">
        <v>0.0</v>
      </c>
      <c r="AC499" s="109">
        <v>0.0</v>
      </c>
      <c r="AD499" s="141">
        <v>0.0</v>
      </c>
      <c r="AE499" s="80">
        <v>0.0</v>
      </c>
      <c r="AF499" s="140">
        <v>0.0</v>
      </c>
      <c r="AG499" s="109">
        <v>0.0</v>
      </c>
      <c r="AH499" s="109">
        <v>5.0</v>
      </c>
      <c r="AI499" s="141">
        <v>0.0</v>
      </c>
      <c r="AJ499" s="80">
        <v>5.0</v>
      </c>
      <c r="AK499" s="140">
        <v>0.0</v>
      </c>
      <c r="AL499" s="109">
        <v>0.0</v>
      </c>
      <c r="AM499" s="141">
        <v>0.0</v>
      </c>
      <c r="AN499" s="80">
        <v>0.0</v>
      </c>
      <c r="AO499" s="140">
        <v>0.0</v>
      </c>
      <c r="AP499" s="109">
        <v>0.0</v>
      </c>
      <c r="AQ499" s="109">
        <v>0.0</v>
      </c>
      <c r="AR499" s="80">
        <v>0.0</v>
      </c>
      <c r="AS499" s="110">
        <v>0.0</v>
      </c>
      <c r="AT499" s="110">
        <v>0.0</v>
      </c>
      <c r="AU499" s="110">
        <v>0.0</v>
      </c>
      <c r="AV499" s="142">
        <v>0.0</v>
      </c>
      <c r="AW499" s="80">
        <v>0.0</v>
      </c>
      <c r="AX499" s="113">
        <v>5.0</v>
      </c>
      <c r="AY499" s="117">
        <v>0.0</v>
      </c>
      <c r="AZ499" s="328">
        <v>5.0</v>
      </c>
      <c r="BA499" s="315">
        <v>0.0</v>
      </c>
      <c r="BB499" s="316">
        <v>5.0</v>
      </c>
      <c r="BC499" s="132" t="s">
        <v>178</v>
      </c>
      <c r="BD499" s="143" t="s">
        <v>227</v>
      </c>
      <c r="BE499" s="132" t="s">
        <v>178</v>
      </c>
      <c r="BF499" s="156"/>
      <c r="BG499" s="83">
        <v>1178552.0</v>
      </c>
      <c r="BH499" s="112">
        <v>3.0</v>
      </c>
      <c r="BI499" s="98" t="s">
        <v>155</v>
      </c>
      <c r="BJ499" s="98" t="str">
        <f t="shared" si="1"/>
        <v>NÃO</v>
      </c>
      <c r="BK499" s="98" t="str">
        <f t="shared" si="2"/>
        <v>NÃO</v>
      </c>
    </row>
    <row r="500" ht="15.75" customHeight="1">
      <c r="A500" s="111" t="s">
        <v>605</v>
      </c>
      <c r="B500" s="83" t="s">
        <v>1952</v>
      </c>
      <c r="C500" s="83" t="s">
        <v>164</v>
      </c>
      <c r="D500" s="83">
        <v>1179713.0</v>
      </c>
      <c r="E500" s="83">
        <v>1178553.0</v>
      </c>
      <c r="F500" s="83"/>
      <c r="G500" s="147" t="s">
        <v>1962</v>
      </c>
      <c r="H500" s="91" t="s">
        <v>1963</v>
      </c>
      <c r="I500" s="114" t="s">
        <v>1964</v>
      </c>
      <c r="J500" s="83" t="s">
        <v>240</v>
      </c>
      <c r="K500" s="83" t="s">
        <v>168</v>
      </c>
      <c r="L500" s="83" t="s">
        <v>169</v>
      </c>
      <c r="M500" s="82" t="s">
        <v>6220</v>
      </c>
      <c r="N500" s="82" t="s">
        <v>6221</v>
      </c>
      <c r="O500" s="82"/>
      <c r="P500" s="82"/>
      <c r="Q500" s="82"/>
      <c r="R500" s="82"/>
      <c r="S500" s="82"/>
      <c r="T500" s="138">
        <v>1.0</v>
      </c>
      <c r="U500" s="323">
        <v>1.0</v>
      </c>
      <c r="V500" s="106">
        <v>0.0</v>
      </c>
      <c r="W500" s="107">
        <v>0.0</v>
      </c>
      <c r="X500" s="107">
        <v>0.0</v>
      </c>
      <c r="Y500" s="107">
        <v>0.0</v>
      </c>
      <c r="Z500" s="80">
        <v>0.0</v>
      </c>
      <c r="AA500" s="140">
        <v>0.0</v>
      </c>
      <c r="AB500" s="109">
        <v>0.0</v>
      </c>
      <c r="AC500" s="109">
        <v>0.0</v>
      </c>
      <c r="AD500" s="141">
        <v>0.0</v>
      </c>
      <c r="AE500" s="80">
        <v>0.0</v>
      </c>
      <c r="AF500" s="140">
        <v>0.0</v>
      </c>
      <c r="AG500" s="109">
        <v>4.0</v>
      </c>
      <c r="AH500" s="109">
        <v>4.0</v>
      </c>
      <c r="AI500" s="141">
        <v>0.0</v>
      </c>
      <c r="AJ500" s="80">
        <v>8.0</v>
      </c>
      <c r="AK500" s="140">
        <v>0.0</v>
      </c>
      <c r="AL500" s="109">
        <v>0.0</v>
      </c>
      <c r="AM500" s="141">
        <v>0.0</v>
      </c>
      <c r="AN500" s="80">
        <v>0.0</v>
      </c>
      <c r="AO500" s="140">
        <v>0.0</v>
      </c>
      <c r="AP500" s="109">
        <v>0.0</v>
      </c>
      <c r="AQ500" s="109">
        <v>0.0</v>
      </c>
      <c r="AR500" s="80">
        <v>0.0</v>
      </c>
      <c r="AS500" s="110">
        <v>0.0</v>
      </c>
      <c r="AT500" s="110">
        <v>0.0</v>
      </c>
      <c r="AU500" s="110">
        <v>0.0</v>
      </c>
      <c r="AV500" s="142">
        <v>0.0</v>
      </c>
      <c r="AW500" s="80">
        <v>0.0</v>
      </c>
      <c r="AX500" s="113">
        <v>8.0</v>
      </c>
      <c r="AY500" s="117">
        <v>4.0</v>
      </c>
      <c r="AZ500" s="328">
        <v>4.0</v>
      </c>
      <c r="BA500" s="315">
        <v>0.0</v>
      </c>
      <c r="BB500" s="316">
        <v>8.0</v>
      </c>
      <c r="BC500" s="132" t="s">
        <v>178</v>
      </c>
      <c r="BD500" s="143" t="s">
        <v>227</v>
      </c>
      <c r="BE500" s="132" t="s">
        <v>178</v>
      </c>
      <c r="BF500" s="123"/>
      <c r="BG500" s="83">
        <v>1178553.0</v>
      </c>
      <c r="BH500" s="112">
        <v>1.0</v>
      </c>
      <c r="BI500" s="98" t="s">
        <v>155</v>
      </c>
      <c r="BJ500" s="98" t="str">
        <f t="shared" si="1"/>
        <v>NÃO</v>
      </c>
      <c r="BK500" s="98" t="str">
        <f t="shared" si="2"/>
        <v>NÃO</v>
      </c>
    </row>
    <row r="501" ht="15.75" customHeight="1">
      <c r="A501" s="111" t="s">
        <v>605</v>
      </c>
      <c r="B501" s="83" t="s">
        <v>1952</v>
      </c>
      <c r="C501" s="83" t="s">
        <v>164</v>
      </c>
      <c r="D501" s="83">
        <v>1179713.0</v>
      </c>
      <c r="E501" s="83">
        <v>1178551.0</v>
      </c>
      <c r="F501" s="83"/>
      <c r="G501" s="184" t="s">
        <v>2292</v>
      </c>
      <c r="H501" s="91" t="s">
        <v>6331</v>
      </c>
      <c r="I501" s="114" t="s">
        <v>6332</v>
      </c>
      <c r="J501" s="83" t="s">
        <v>310</v>
      </c>
      <c r="K501" s="83" t="s">
        <v>168</v>
      </c>
      <c r="L501" s="83" t="s">
        <v>169</v>
      </c>
      <c r="M501" s="82" t="s">
        <v>6220</v>
      </c>
      <c r="N501" s="82" t="s">
        <v>6221</v>
      </c>
      <c r="O501" s="82"/>
      <c r="P501" s="82"/>
      <c r="Q501" s="82"/>
      <c r="R501" s="82"/>
      <c r="S501" s="82"/>
      <c r="T501" s="138">
        <v>1.0</v>
      </c>
      <c r="U501" s="323">
        <v>1.0</v>
      </c>
      <c r="V501" s="106">
        <v>0.0</v>
      </c>
      <c r="W501" s="107">
        <v>0.0</v>
      </c>
      <c r="X501" s="107">
        <v>0.0</v>
      </c>
      <c r="Y501" s="107">
        <v>0.0</v>
      </c>
      <c r="Z501" s="80">
        <v>0.0</v>
      </c>
      <c r="AA501" s="140">
        <v>0.0</v>
      </c>
      <c r="AB501" s="109">
        <v>0.0</v>
      </c>
      <c r="AC501" s="109">
        <v>0.0</v>
      </c>
      <c r="AD501" s="141">
        <v>0.0</v>
      </c>
      <c r="AE501" s="80">
        <v>0.0</v>
      </c>
      <c r="AF501" s="140">
        <v>3.0</v>
      </c>
      <c r="AG501" s="109">
        <v>5.0</v>
      </c>
      <c r="AH501" s="109">
        <v>3.0</v>
      </c>
      <c r="AI501" s="141">
        <v>0.0</v>
      </c>
      <c r="AJ501" s="80">
        <v>11.0</v>
      </c>
      <c r="AK501" s="140">
        <v>0.0</v>
      </c>
      <c r="AL501" s="109">
        <v>0.0</v>
      </c>
      <c r="AM501" s="141">
        <v>0.0</v>
      </c>
      <c r="AN501" s="80">
        <v>0.0</v>
      </c>
      <c r="AO501" s="140">
        <v>0.0</v>
      </c>
      <c r="AP501" s="109">
        <v>0.0</v>
      </c>
      <c r="AQ501" s="109">
        <v>0.0</v>
      </c>
      <c r="AR501" s="80">
        <v>0.0</v>
      </c>
      <c r="AS501" s="110">
        <v>0.0</v>
      </c>
      <c r="AT501" s="110">
        <v>0.0</v>
      </c>
      <c r="AU501" s="110">
        <v>0.0</v>
      </c>
      <c r="AV501" s="142">
        <v>0.0</v>
      </c>
      <c r="AW501" s="80">
        <v>0.0</v>
      </c>
      <c r="AX501" s="113">
        <v>11.0</v>
      </c>
      <c r="AY501" s="117">
        <v>8.0</v>
      </c>
      <c r="AZ501" s="328">
        <v>3.0</v>
      </c>
      <c r="BA501" s="315">
        <v>0.0</v>
      </c>
      <c r="BB501" s="316">
        <v>11.0</v>
      </c>
      <c r="BC501" s="132" t="s">
        <v>178</v>
      </c>
      <c r="BD501" s="143" t="s">
        <v>227</v>
      </c>
      <c r="BE501" s="132" t="s">
        <v>178</v>
      </c>
      <c r="BF501" s="123"/>
      <c r="BG501" s="83">
        <v>1178551.0</v>
      </c>
      <c r="BH501" s="112">
        <v>1.0</v>
      </c>
      <c r="BI501" s="98" t="s">
        <v>155</v>
      </c>
      <c r="BJ501" s="98" t="str">
        <f t="shared" si="1"/>
        <v>NÃO</v>
      </c>
      <c r="BK501" s="98" t="str">
        <f t="shared" si="2"/>
        <v>NÃO</v>
      </c>
    </row>
    <row r="502" ht="15.75" customHeight="1">
      <c r="A502" s="111" t="s">
        <v>605</v>
      </c>
      <c r="B502" s="83" t="s">
        <v>1952</v>
      </c>
      <c r="C502" s="83" t="s">
        <v>164</v>
      </c>
      <c r="D502" s="83">
        <v>1179713.0</v>
      </c>
      <c r="E502" s="83">
        <v>1178548.0</v>
      </c>
      <c r="F502" s="83"/>
      <c r="G502" s="184" t="s">
        <v>1971</v>
      </c>
      <c r="H502" s="91" t="s">
        <v>1972</v>
      </c>
      <c r="I502" s="125" t="s">
        <v>1973</v>
      </c>
      <c r="J502" s="83" t="s">
        <v>240</v>
      </c>
      <c r="K502" s="83" t="s">
        <v>168</v>
      </c>
      <c r="L502" s="83" t="s">
        <v>169</v>
      </c>
      <c r="M502" s="82" t="s">
        <v>6220</v>
      </c>
      <c r="N502" s="82" t="s">
        <v>6221</v>
      </c>
      <c r="O502" s="82"/>
      <c r="P502" s="82"/>
      <c r="Q502" s="82"/>
      <c r="R502" s="82"/>
      <c r="S502" s="82"/>
      <c r="T502" s="138">
        <v>1.0</v>
      </c>
      <c r="U502" s="323">
        <v>1.0</v>
      </c>
      <c r="V502" s="106">
        <v>0.0</v>
      </c>
      <c r="W502" s="107">
        <v>0.0</v>
      </c>
      <c r="X502" s="107">
        <v>0.0</v>
      </c>
      <c r="Y502" s="107">
        <v>0.0</v>
      </c>
      <c r="Z502" s="80">
        <v>0.0</v>
      </c>
      <c r="AA502" s="140">
        <v>0.0</v>
      </c>
      <c r="AB502" s="109">
        <v>0.0</v>
      </c>
      <c r="AC502" s="109">
        <v>0.0</v>
      </c>
      <c r="AD502" s="141">
        <v>0.0</v>
      </c>
      <c r="AE502" s="80">
        <v>0.0</v>
      </c>
      <c r="AF502" s="140">
        <v>0.0</v>
      </c>
      <c r="AG502" s="109">
        <v>1.0</v>
      </c>
      <c r="AH502" s="109">
        <v>2.0</v>
      </c>
      <c r="AI502" s="141">
        <v>0.0</v>
      </c>
      <c r="AJ502" s="80">
        <v>3.0</v>
      </c>
      <c r="AK502" s="140">
        <v>0.0</v>
      </c>
      <c r="AL502" s="109">
        <v>0.0</v>
      </c>
      <c r="AM502" s="141">
        <v>0.0</v>
      </c>
      <c r="AN502" s="80">
        <v>0.0</v>
      </c>
      <c r="AO502" s="140">
        <v>0.0</v>
      </c>
      <c r="AP502" s="109">
        <v>0.0</v>
      </c>
      <c r="AQ502" s="109">
        <v>0.0</v>
      </c>
      <c r="AR502" s="80">
        <v>0.0</v>
      </c>
      <c r="AS502" s="110">
        <v>0.0</v>
      </c>
      <c r="AT502" s="110">
        <v>0.0</v>
      </c>
      <c r="AU502" s="110">
        <v>0.0</v>
      </c>
      <c r="AV502" s="142">
        <v>0.0</v>
      </c>
      <c r="AW502" s="80">
        <v>0.0</v>
      </c>
      <c r="AX502" s="113">
        <v>3.0</v>
      </c>
      <c r="AY502" s="117">
        <v>1.0</v>
      </c>
      <c r="AZ502" s="328">
        <v>2.0</v>
      </c>
      <c r="BA502" s="315">
        <v>0.0</v>
      </c>
      <c r="BB502" s="316">
        <v>3.0</v>
      </c>
      <c r="BC502" s="132" t="s">
        <v>178</v>
      </c>
      <c r="BD502" s="143" t="s">
        <v>227</v>
      </c>
      <c r="BE502" s="132" t="s">
        <v>178</v>
      </c>
      <c r="BF502" s="123"/>
      <c r="BG502" s="83">
        <v>1178548.0</v>
      </c>
      <c r="BH502" s="112">
        <v>1.0</v>
      </c>
      <c r="BI502" s="98" t="s">
        <v>155</v>
      </c>
      <c r="BJ502" s="98" t="str">
        <f t="shared" si="1"/>
        <v>NÃO</v>
      </c>
      <c r="BK502" s="98" t="str">
        <f t="shared" si="2"/>
        <v>NÃO</v>
      </c>
    </row>
    <row r="503" ht="15.75" customHeight="1">
      <c r="A503" s="111" t="s">
        <v>605</v>
      </c>
      <c r="B503" s="83" t="s">
        <v>1952</v>
      </c>
      <c r="C503" s="83" t="s">
        <v>164</v>
      </c>
      <c r="D503" s="83">
        <v>1113200.0</v>
      </c>
      <c r="E503" s="83">
        <v>1178550.0</v>
      </c>
      <c r="F503" s="83"/>
      <c r="G503" s="184" t="s">
        <v>1977</v>
      </c>
      <c r="H503" s="91" t="s">
        <v>1978</v>
      </c>
      <c r="I503" s="114" t="s">
        <v>1979</v>
      </c>
      <c r="J503" s="83" t="s">
        <v>315</v>
      </c>
      <c r="K503" s="83" t="s">
        <v>168</v>
      </c>
      <c r="L503" s="83" t="s">
        <v>169</v>
      </c>
      <c r="M503" s="82" t="s">
        <v>6315</v>
      </c>
      <c r="N503" s="82" t="s">
        <v>6316</v>
      </c>
      <c r="O503" s="82" t="s">
        <v>6317</v>
      </c>
      <c r="P503" s="82" t="s">
        <v>6318</v>
      </c>
      <c r="Q503" s="82"/>
      <c r="R503" s="82"/>
      <c r="S503" s="82" t="s">
        <v>6320</v>
      </c>
      <c r="T503" s="138">
        <v>3.0</v>
      </c>
      <c r="U503" s="323">
        <v>3.0</v>
      </c>
      <c r="V503" s="106">
        <v>0.0</v>
      </c>
      <c r="W503" s="107">
        <v>0.0</v>
      </c>
      <c r="X503" s="107">
        <v>0.0</v>
      </c>
      <c r="Y503" s="107">
        <v>0.0</v>
      </c>
      <c r="Z503" s="80">
        <v>0.0</v>
      </c>
      <c r="AA503" s="140">
        <v>0.0</v>
      </c>
      <c r="AB503" s="109">
        <v>0.0</v>
      </c>
      <c r="AC503" s="109">
        <v>0.0</v>
      </c>
      <c r="AD503" s="141">
        <v>0.0</v>
      </c>
      <c r="AE503" s="80">
        <v>0.0</v>
      </c>
      <c r="AF503" s="140">
        <v>0.0</v>
      </c>
      <c r="AG503" s="109">
        <v>0.0</v>
      </c>
      <c r="AH503" s="109">
        <v>12.0</v>
      </c>
      <c r="AI503" s="141">
        <v>0.0</v>
      </c>
      <c r="AJ503" s="80">
        <v>12.0</v>
      </c>
      <c r="AK503" s="140">
        <v>0.0</v>
      </c>
      <c r="AL503" s="109">
        <v>0.0</v>
      </c>
      <c r="AM503" s="141">
        <v>0.0</v>
      </c>
      <c r="AN503" s="80">
        <v>0.0</v>
      </c>
      <c r="AO503" s="140">
        <v>0.0</v>
      </c>
      <c r="AP503" s="109">
        <v>0.0</v>
      </c>
      <c r="AQ503" s="109">
        <v>25.0</v>
      </c>
      <c r="AR503" s="80">
        <v>25.0</v>
      </c>
      <c r="AS503" s="110">
        <v>0.0</v>
      </c>
      <c r="AT503" s="110">
        <v>0.0</v>
      </c>
      <c r="AU503" s="110">
        <v>0.0</v>
      </c>
      <c r="AV503" s="142">
        <v>0.0</v>
      </c>
      <c r="AW503" s="80">
        <v>0.0</v>
      </c>
      <c r="AX503" s="113">
        <v>37.0</v>
      </c>
      <c r="AY503" s="117">
        <v>0.0</v>
      </c>
      <c r="AZ503" s="328">
        <v>37.0</v>
      </c>
      <c r="BA503" s="315">
        <v>0.0</v>
      </c>
      <c r="BB503" s="316">
        <v>37.0</v>
      </c>
      <c r="BC503" s="132" t="s">
        <v>373</v>
      </c>
      <c r="BD503" s="132" t="s">
        <v>178</v>
      </c>
      <c r="BE503" s="132" t="s">
        <v>178</v>
      </c>
      <c r="BF503" s="123"/>
      <c r="BG503" s="83">
        <v>1178550.0</v>
      </c>
      <c r="BH503" s="112">
        <v>3.0</v>
      </c>
      <c r="BI503" s="98" t="s">
        <v>155</v>
      </c>
      <c r="BJ503" s="98" t="str">
        <f t="shared" si="1"/>
        <v>NÃO</v>
      </c>
      <c r="BK503" s="98" t="str">
        <f t="shared" si="2"/>
        <v>NÃO</v>
      </c>
    </row>
    <row r="504" ht="15.75" customHeight="1">
      <c r="A504" s="111" t="s">
        <v>605</v>
      </c>
      <c r="B504" s="83" t="s">
        <v>1952</v>
      </c>
      <c r="C504" s="83" t="s">
        <v>164</v>
      </c>
      <c r="D504" s="83">
        <v>1113200.0</v>
      </c>
      <c r="E504" s="83">
        <v>1178178.0</v>
      </c>
      <c r="F504" s="83"/>
      <c r="G504" s="184" t="s">
        <v>1982</v>
      </c>
      <c r="H504" s="91" t="s">
        <v>1983</v>
      </c>
      <c r="I504" s="114" t="s">
        <v>1984</v>
      </c>
      <c r="J504" s="83" t="s">
        <v>187</v>
      </c>
      <c r="K504" s="83" t="s">
        <v>168</v>
      </c>
      <c r="L504" s="83" t="s">
        <v>169</v>
      </c>
      <c r="M504" s="82" t="s">
        <v>6315</v>
      </c>
      <c r="N504" s="82" t="s">
        <v>6316</v>
      </c>
      <c r="O504" s="82" t="s">
        <v>6317</v>
      </c>
      <c r="P504" s="82" t="s">
        <v>6318</v>
      </c>
      <c r="Q504" s="82"/>
      <c r="R504" s="82"/>
      <c r="S504" s="82" t="s">
        <v>6320</v>
      </c>
      <c r="T504" s="138">
        <v>3.0</v>
      </c>
      <c r="U504" s="323">
        <v>3.0</v>
      </c>
      <c r="V504" s="106">
        <v>0.0</v>
      </c>
      <c r="W504" s="107">
        <v>0.0</v>
      </c>
      <c r="X504" s="107">
        <v>0.0</v>
      </c>
      <c r="Y504" s="107">
        <v>0.0</v>
      </c>
      <c r="Z504" s="80">
        <v>0.0</v>
      </c>
      <c r="AA504" s="140">
        <v>0.0</v>
      </c>
      <c r="AB504" s="109">
        <v>0.0</v>
      </c>
      <c r="AC504" s="109">
        <v>0.0</v>
      </c>
      <c r="AD504" s="141">
        <v>0.0</v>
      </c>
      <c r="AE504" s="80">
        <v>0.0</v>
      </c>
      <c r="AF504" s="140">
        <v>46.0</v>
      </c>
      <c r="AG504" s="109">
        <v>0.0</v>
      </c>
      <c r="AH504" s="109">
        <v>0.0</v>
      </c>
      <c r="AI504" s="141">
        <v>0.0</v>
      </c>
      <c r="AJ504" s="80">
        <v>46.0</v>
      </c>
      <c r="AK504" s="140">
        <v>0.0</v>
      </c>
      <c r="AL504" s="109">
        <v>0.0</v>
      </c>
      <c r="AM504" s="141">
        <v>0.0</v>
      </c>
      <c r="AN504" s="80">
        <v>0.0</v>
      </c>
      <c r="AO504" s="140">
        <v>0.0</v>
      </c>
      <c r="AP504" s="109">
        <v>0.0</v>
      </c>
      <c r="AQ504" s="109">
        <v>0.0</v>
      </c>
      <c r="AR504" s="80">
        <v>0.0</v>
      </c>
      <c r="AS504" s="110">
        <v>0.0</v>
      </c>
      <c r="AT504" s="110">
        <v>0.0</v>
      </c>
      <c r="AU504" s="110">
        <v>0.0</v>
      </c>
      <c r="AV504" s="142">
        <v>0.0</v>
      </c>
      <c r="AW504" s="80">
        <v>0.0</v>
      </c>
      <c r="AX504" s="113">
        <v>46.0</v>
      </c>
      <c r="AY504" s="117">
        <v>46.0</v>
      </c>
      <c r="AZ504" s="328">
        <v>0.0</v>
      </c>
      <c r="BA504" s="315">
        <v>0.0</v>
      </c>
      <c r="BB504" s="316">
        <v>46.0</v>
      </c>
      <c r="BC504" s="132" t="s">
        <v>373</v>
      </c>
      <c r="BD504" s="132" t="s">
        <v>178</v>
      </c>
      <c r="BE504" s="132" t="s">
        <v>178</v>
      </c>
      <c r="BF504" s="123"/>
      <c r="BG504" s="83">
        <v>1178178.0</v>
      </c>
      <c r="BH504" s="112">
        <v>3.0</v>
      </c>
      <c r="BI504" s="98" t="s">
        <v>155</v>
      </c>
      <c r="BJ504" s="98" t="str">
        <f t="shared" si="1"/>
        <v>NÃO</v>
      </c>
      <c r="BK504" s="98" t="str">
        <f t="shared" si="2"/>
        <v>NÃO</v>
      </c>
    </row>
    <row r="505" ht="15.75" customHeight="1">
      <c r="A505" s="111" t="s">
        <v>605</v>
      </c>
      <c r="B505" s="83" t="s">
        <v>1952</v>
      </c>
      <c r="C505" s="83" t="s">
        <v>164</v>
      </c>
      <c r="D505" s="83">
        <v>1113200.0</v>
      </c>
      <c r="E505" s="83">
        <v>1178547.0</v>
      </c>
      <c r="F505" s="83"/>
      <c r="G505" s="184" t="s">
        <v>1988</v>
      </c>
      <c r="H505" s="91" t="s">
        <v>1989</v>
      </c>
      <c r="I505" s="114" t="s">
        <v>1990</v>
      </c>
      <c r="J505" s="83" t="s">
        <v>577</v>
      </c>
      <c r="K505" s="83" t="s">
        <v>168</v>
      </c>
      <c r="L505" s="83" t="s">
        <v>169</v>
      </c>
      <c r="M505" s="82" t="s">
        <v>6315</v>
      </c>
      <c r="N505" s="82" t="s">
        <v>6316</v>
      </c>
      <c r="O505" s="82" t="s">
        <v>6317</v>
      </c>
      <c r="P505" s="82" t="s">
        <v>6318</v>
      </c>
      <c r="Q505" s="82"/>
      <c r="R505" s="82"/>
      <c r="S505" s="82" t="s">
        <v>6320</v>
      </c>
      <c r="T505" s="138">
        <v>3.0</v>
      </c>
      <c r="U505" s="323">
        <v>3.0</v>
      </c>
      <c r="V505" s="106">
        <v>0.0</v>
      </c>
      <c r="W505" s="107">
        <v>0.0</v>
      </c>
      <c r="X505" s="107">
        <v>0.0</v>
      </c>
      <c r="Y505" s="107">
        <v>0.0</v>
      </c>
      <c r="Z505" s="80">
        <v>0.0</v>
      </c>
      <c r="AA505" s="140">
        <v>0.0</v>
      </c>
      <c r="AB505" s="109">
        <v>0.0</v>
      </c>
      <c r="AC505" s="109">
        <v>0.0</v>
      </c>
      <c r="AD505" s="141">
        <v>0.0</v>
      </c>
      <c r="AE505" s="80">
        <v>0.0</v>
      </c>
      <c r="AF505" s="140">
        <v>0.0</v>
      </c>
      <c r="AG505" s="109">
        <v>0.0</v>
      </c>
      <c r="AH505" s="109">
        <v>6.0</v>
      </c>
      <c r="AI505" s="141">
        <v>0.0</v>
      </c>
      <c r="AJ505" s="80">
        <v>6.0</v>
      </c>
      <c r="AK505" s="140">
        <v>0.0</v>
      </c>
      <c r="AL505" s="109">
        <v>0.0</v>
      </c>
      <c r="AM505" s="141">
        <v>0.0</v>
      </c>
      <c r="AN505" s="80">
        <v>0.0</v>
      </c>
      <c r="AO505" s="140">
        <v>0.0</v>
      </c>
      <c r="AP505" s="109">
        <v>0.0</v>
      </c>
      <c r="AQ505" s="109">
        <v>13.0</v>
      </c>
      <c r="AR505" s="80">
        <v>13.0</v>
      </c>
      <c r="AS505" s="110">
        <v>0.0</v>
      </c>
      <c r="AT505" s="110">
        <v>0.0</v>
      </c>
      <c r="AU505" s="110">
        <v>0.0</v>
      </c>
      <c r="AV505" s="142">
        <v>0.0</v>
      </c>
      <c r="AW505" s="80">
        <v>0.0</v>
      </c>
      <c r="AX505" s="113">
        <v>19.0</v>
      </c>
      <c r="AY505" s="117">
        <v>0.0</v>
      </c>
      <c r="AZ505" s="328">
        <v>19.0</v>
      </c>
      <c r="BA505" s="315">
        <v>0.0</v>
      </c>
      <c r="BB505" s="316">
        <v>19.0</v>
      </c>
      <c r="BC505" s="132" t="s">
        <v>373</v>
      </c>
      <c r="BD505" s="132" t="s">
        <v>178</v>
      </c>
      <c r="BE505" s="132" t="s">
        <v>178</v>
      </c>
      <c r="BF505" s="123"/>
      <c r="BG505" s="83">
        <v>1178547.0</v>
      </c>
      <c r="BH505" s="112">
        <v>3.0</v>
      </c>
      <c r="BI505" s="98" t="s">
        <v>155</v>
      </c>
      <c r="BJ505" s="98" t="str">
        <f t="shared" si="1"/>
        <v>NÃO</v>
      </c>
      <c r="BK505" s="98" t="str">
        <f t="shared" si="2"/>
        <v>NÃO</v>
      </c>
    </row>
    <row r="506" ht="15.75" customHeight="1">
      <c r="A506" s="111" t="s">
        <v>605</v>
      </c>
      <c r="B506" s="83" t="s">
        <v>1995</v>
      </c>
      <c r="C506" s="83" t="s">
        <v>68</v>
      </c>
      <c r="D506" s="83">
        <v>1170157.0</v>
      </c>
      <c r="E506" s="83"/>
      <c r="F506" s="83">
        <v>2.93238E7</v>
      </c>
      <c r="G506" s="185" t="s">
        <v>6355</v>
      </c>
      <c r="H506" s="91" t="s">
        <v>2002</v>
      </c>
      <c r="I506" s="114" t="s">
        <v>149</v>
      </c>
      <c r="J506" s="83" t="s">
        <v>150</v>
      </c>
      <c r="K506" s="83" t="s">
        <v>168</v>
      </c>
      <c r="L506" s="83" t="s">
        <v>76</v>
      </c>
      <c r="M506" s="82" t="s">
        <v>6356</v>
      </c>
      <c r="N506" s="82" t="s">
        <v>6357</v>
      </c>
      <c r="O506" s="82" t="s">
        <v>6358</v>
      </c>
      <c r="P506" s="82" t="s">
        <v>6359</v>
      </c>
      <c r="Q506" s="82"/>
      <c r="R506" s="82"/>
      <c r="S506" s="82" t="s">
        <v>6360</v>
      </c>
      <c r="T506" s="138">
        <v>6.0</v>
      </c>
      <c r="U506" s="323">
        <v>6.0</v>
      </c>
      <c r="V506" s="106">
        <v>0.0</v>
      </c>
      <c r="W506" s="107">
        <v>0.0</v>
      </c>
      <c r="X506" s="107">
        <v>0.0</v>
      </c>
      <c r="Y506" s="107">
        <v>0.0</v>
      </c>
      <c r="Z506" s="80">
        <v>0.0</v>
      </c>
      <c r="AA506" s="140">
        <v>0.0</v>
      </c>
      <c r="AB506" s="109">
        <v>0.0</v>
      </c>
      <c r="AC506" s="109">
        <v>0.0</v>
      </c>
      <c r="AD506" s="141">
        <v>0.0</v>
      </c>
      <c r="AE506" s="80">
        <v>0.0</v>
      </c>
      <c r="AF506" s="140">
        <v>0.0</v>
      </c>
      <c r="AG506" s="109">
        <v>128.0</v>
      </c>
      <c r="AH506" s="109">
        <v>40.0</v>
      </c>
      <c r="AI506" s="141">
        <v>56.0</v>
      </c>
      <c r="AJ506" s="80">
        <v>224.0</v>
      </c>
      <c r="AK506" s="140">
        <v>0.0</v>
      </c>
      <c r="AL506" s="109">
        <v>0.0</v>
      </c>
      <c r="AM506" s="141">
        <v>0.0</v>
      </c>
      <c r="AN506" s="80">
        <v>0.0</v>
      </c>
      <c r="AO506" s="140">
        <v>0.0</v>
      </c>
      <c r="AP506" s="109">
        <v>0.0</v>
      </c>
      <c r="AQ506" s="109">
        <v>35.0</v>
      </c>
      <c r="AR506" s="80">
        <v>35.0</v>
      </c>
      <c r="AS506" s="110">
        <v>0.0</v>
      </c>
      <c r="AT506" s="110">
        <v>0.0</v>
      </c>
      <c r="AU506" s="110">
        <v>0.0</v>
      </c>
      <c r="AV506" s="142">
        <v>0.0</v>
      </c>
      <c r="AW506" s="80">
        <v>0.0</v>
      </c>
      <c r="AX506" s="113">
        <v>259.0</v>
      </c>
      <c r="AY506" s="117">
        <v>184.0</v>
      </c>
      <c r="AZ506" s="328">
        <v>75.0</v>
      </c>
      <c r="BA506" s="315">
        <v>1.0</v>
      </c>
      <c r="BB506" s="316">
        <v>260.0</v>
      </c>
      <c r="BC506" s="132" t="s">
        <v>178</v>
      </c>
      <c r="BD506" s="132" t="s">
        <v>178</v>
      </c>
      <c r="BE506" s="132" t="s">
        <v>178</v>
      </c>
      <c r="BF506" s="123"/>
      <c r="BG506" s="83">
        <v>1170157.0</v>
      </c>
      <c r="BH506" s="112">
        <v>6.0</v>
      </c>
      <c r="BI506" s="98" t="s">
        <v>155</v>
      </c>
      <c r="BJ506" s="98" t="str">
        <f t="shared" si="1"/>
        <v>INTEGRAL</v>
      </c>
      <c r="BK506" s="98" t="str">
        <f t="shared" si="2"/>
        <v>NÃO</v>
      </c>
    </row>
    <row r="507" ht="15.75" customHeight="1">
      <c r="A507" s="111" t="s">
        <v>605</v>
      </c>
      <c r="B507" s="83" t="s">
        <v>1995</v>
      </c>
      <c r="C507" s="83" t="s">
        <v>164</v>
      </c>
      <c r="D507" s="83">
        <v>1170157.0</v>
      </c>
      <c r="E507" s="83">
        <v>1178530.0</v>
      </c>
      <c r="F507" s="83"/>
      <c r="G507" s="185" t="s">
        <v>6365</v>
      </c>
      <c r="H507" s="91" t="s">
        <v>2016</v>
      </c>
      <c r="I507" s="114" t="s">
        <v>2017</v>
      </c>
      <c r="J507" s="83" t="s">
        <v>187</v>
      </c>
      <c r="K507" s="83" t="s">
        <v>168</v>
      </c>
      <c r="L507" s="83" t="s">
        <v>169</v>
      </c>
      <c r="M507" s="82" t="s">
        <v>6356</v>
      </c>
      <c r="N507" s="82" t="s">
        <v>6357</v>
      </c>
      <c r="O507" s="82" t="s">
        <v>6358</v>
      </c>
      <c r="P507" s="82" t="s">
        <v>6359</v>
      </c>
      <c r="Q507" s="82"/>
      <c r="R507" s="82"/>
      <c r="S507" s="82" t="s">
        <v>6360</v>
      </c>
      <c r="T507" s="138">
        <v>3.0</v>
      </c>
      <c r="U507" s="323">
        <v>3.0</v>
      </c>
      <c r="V507" s="106">
        <v>0.0</v>
      </c>
      <c r="W507" s="107">
        <v>0.0</v>
      </c>
      <c r="X507" s="107">
        <v>0.0</v>
      </c>
      <c r="Y507" s="107">
        <v>0.0</v>
      </c>
      <c r="Z507" s="80">
        <v>0.0</v>
      </c>
      <c r="AA507" s="140">
        <v>0.0</v>
      </c>
      <c r="AB507" s="109">
        <v>0.0</v>
      </c>
      <c r="AC507" s="109">
        <v>0.0</v>
      </c>
      <c r="AD507" s="141">
        <v>0.0</v>
      </c>
      <c r="AE507" s="80">
        <v>0.0</v>
      </c>
      <c r="AF507" s="140">
        <v>0.0</v>
      </c>
      <c r="AG507" s="109">
        <v>0.0</v>
      </c>
      <c r="AH507" s="109">
        <v>10.0</v>
      </c>
      <c r="AI507" s="141">
        <v>0.0</v>
      </c>
      <c r="AJ507" s="80">
        <v>10.0</v>
      </c>
      <c r="AK507" s="140">
        <v>0.0</v>
      </c>
      <c r="AL507" s="109">
        <v>0.0</v>
      </c>
      <c r="AM507" s="141">
        <v>0.0</v>
      </c>
      <c r="AN507" s="80">
        <v>0.0</v>
      </c>
      <c r="AO507" s="140">
        <v>0.0</v>
      </c>
      <c r="AP507" s="109">
        <v>0.0</v>
      </c>
      <c r="AQ507" s="109">
        <v>9.0</v>
      </c>
      <c r="AR507" s="80">
        <v>9.0</v>
      </c>
      <c r="AS507" s="110">
        <v>0.0</v>
      </c>
      <c r="AT507" s="110">
        <v>0.0</v>
      </c>
      <c r="AU507" s="110">
        <v>0.0</v>
      </c>
      <c r="AV507" s="142">
        <v>0.0</v>
      </c>
      <c r="AW507" s="80">
        <v>0.0</v>
      </c>
      <c r="AX507" s="113">
        <v>19.0</v>
      </c>
      <c r="AY507" s="117">
        <v>0.0</v>
      </c>
      <c r="AZ507" s="328">
        <v>19.0</v>
      </c>
      <c r="BA507" s="315">
        <v>0.0</v>
      </c>
      <c r="BB507" s="316">
        <v>19.0</v>
      </c>
      <c r="BC507" s="132" t="s">
        <v>373</v>
      </c>
      <c r="BD507" s="132" t="s">
        <v>178</v>
      </c>
      <c r="BE507" s="132" t="s">
        <v>178</v>
      </c>
      <c r="BF507" s="123"/>
      <c r="BG507" s="83">
        <v>1178530.0</v>
      </c>
      <c r="BH507" s="112">
        <v>3.0</v>
      </c>
      <c r="BI507" s="98" t="s">
        <v>155</v>
      </c>
      <c r="BJ507" s="98" t="str">
        <f t="shared" si="1"/>
        <v>NÃO</v>
      </c>
      <c r="BK507" s="98" t="str">
        <f t="shared" si="2"/>
        <v>NÃO</v>
      </c>
    </row>
    <row r="508" ht="15.75" customHeight="1">
      <c r="A508" s="111" t="s">
        <v>605</v>
      </c>
      <c r="B508" s="83" t="s">
        <v>1995</v>
      </c>
      <c r="C508" s="83" t="s">
        <v>164</v>
      </c>
      <c r="D508" s="83">
        <v>1170157.0</v>
      </c>
      <c r="E508" s="83">
        <v>1178532.0</v>
      </c>
      <c r="F508" s="83"/>
      <c r="G508" s="185" t="s">
        <v>6372</v>
      </c>
      <c r="H508" s="91" t="s">
        <v>2023</v>
      </c>
      <c r="I508" s="114" t="s">
        <v>2024</v>
      </c>
      <c r="J508" s="83" t="s">
        <v>2025</v>
      </c>
      <c r="K508" s="83" t="s">
        <v>168</v>
      </c>
      <c r="L508" s="83" t="s">
        <v>169</v>
      </c>
      <c r="M508" s="82" t="s">
        <v>6356</v>
      </c>
      <c r="N508" s="82" t="s">
        <v>6357</v>
      </c>
      <c r="O508" s="82" t="s">
        <v>6358</v>
      </c>
      <c r="P508" s="82" t="s">
        <v>6359</v>
      </c>
      <c r="Q508" s="82"/>
      <c r="R508" s="82"/>
      <c r="S508" s="82" t="s">
        <v>6360</v>
      </c>
      <c r="T508" s="138">
        <v>3.0</v>
      </c>
      <c r="U508" s="341">
        <v>3.0</v>
      </c>
      <c r="V508" s="106">
        <v>0.0</v>
      </c>
      <c r="W508" s="107">
        <v>0.0</v>
      </c>
      <c r="X508" s="107">
        <v>0.0</v>
      </c>
      <c r="Y508" s="107">
        <v>0.0</v>
      </c>
      <c r="Z508" s="80">
        <v>0.0</v>
      </c>
      <c r="AA508" s="140">
        <v>0.0</v>
      </c>
      <c r="AB508" s="109">
        <v>0.0</v>
      </c>
      <c r="AC508" s="109">
        <v>0.0</v>
      </c>
      <c r="AD508" s="141">
        <v>0.0</v>
      </c>
      <c r="AE508" s="80">
        <v>0.0</v>
      </c>
      <c r="AF508" s="140">
        <v>0.0</v>
      </c>
      <c r="AG508" s="109">
        <v>0.0</v>
      </c>
      <c r="AH508" s="109">
        <v>25.0</v>
      </c>
      <c r="AI508" s="141">
        <v>0.0</v>
      </c>
      <c r="AJ508" s="80">
        <v>25.0</v>
      </c>
      <c r="AK508" s="140">
        <v>0.0</v>
      </c>
      <c r="AL508" s="109">
        <v>0.0</v>
      </c>
      <c r="AM508" s="141">
        <v>0.0</v>
      </c>
      <c r="AN508" s="80">
        <v>0.0</v>
      </c>
      <c r="AO508" s="140">
        <v>0.0</v>
      </c>
      <c r="AP508" s="109">
        <v>0.0</v>
      </c>
      <c r="AQ508" s="109">
        <v>48.0</v>
      </c>
      <c r="AR508" s="80">
        <v>48.0</v>
      </c>
      <c r="AS508" s="110">
        <v>0.0</v>
      </c>
      <c r="AT508" s="110">
        <v>0.0</v>
      </c>
      <c r="AU508" s="110">
        <v>0.0</v>
      </c>
      <c r="AV508" s="142">
        <v>0.0</v>
      </c>
      <c r="AW508" s="80">
        <v>0.0</v>
      </c>
      <c r="AX508" s="113">
        <v>73.0</v>
      </c>
      <c r="AY508" s="117">
        <v>0.0</v>
      </c>
      <c r="AZ508" s="328">
        <v>73.0</v>
      </c>
      <c r="BA508" s="315">
        <v>0.0</v>
      </c>
      <c r="BB508" s="316">
        <v>73.0</v>
      </c>
      <c r="BC508" s="132" t="s">
        <v>373</v>
      </c>
      <c r="BD508" s="132" t="s">
        <v>178</v>
      </c>
      <c r="BE508" s="132" t="s">
        <v>178</v>
      </c>
      <c r="BF508" s="156"/>
      <c r="BG508" s="83">
        <v>1178532.0</v>
      </c>
      <c r="BH508" s="112">
        <v>3.0</v>
      </c>
      <c r="BI508" s="98" t="s">
        <v>155</v>
      </c>
      <c r="BJ508" s="98" t="str">
        <f t="shared" si="1"/>
        <v>NÃO</v>
      </c>
      <c r="BK508" s="98" t="str">
        <f t="shared" si="2"/>
        <v>NÃO</v>
      </c>
    </row>
    <row r="509" ht="15.75" customHeight="1">
      <c r="A509" s="111" t="s">
        <v>605</v>
      </c>
      <c r="B509" s="83" t="s">
        <v>1995</v>
      </c>
      <c r="C509" s="83" t="s">
        <v>164</v>
      </c>
      <c r="D509" s="83">
        <v>1170157.0</v>
      </c>
      <c r="E509" s="83">
        <v>1178531.0</v>
      </c>
      <c r="F509" s="83"/>
      <c r="G509" s="185" t="s">
        <v>6376</v>
      </c>
      <c r="H509" s="91" t="s">
        <v>2035</v>
      </c>
      <c r="I509" s="114" t="s">
        <v>2036</v>
      </c>
      <c r="J509" s="83" t="s">
        <v>183</v>
      </c>
      <c r="K509" s="83" t="s">
        <v>151</v>
      </c>
      <c r="L509" s="83" t="s">
        <v>169</v>
      </c>
      <c r="M509" s="82" t="s">
        <v>6356</v>
      </c>
      <c r="N509" s="82" t="s">
        <v>6357</v>
      </c>
      <c r="O509" s="82" t="s">
        <v>6358</v>
      </c>
      <c r="P509" s="82" t="s">
        <v>6359</v>
      </c>
      <c r="Q509" s="82"/>
      <c r="R509" s="82"/>
      <c r="S509" s="82" t="s">
        <v>6360</v>
      </c>
      <c r="T509" s="138">
        <v>3.0</v>
      </c>
      <c r="U509" s="341">
        <v>3.0</v>
      </c>
      <c r="V509" s="106">
        <v>0.0</v>
      </c>
      <c r="W509" s="107">
        <v>0.0</v>
      </c>
      <c r="X509" s="107">
        <v>0.0</v>
      </c>
      <c r="Y509" s="107">
        <v>0.0</v>
      </c>
      <c r="Z509" s="80">
        <v>0.0</v>
      </c>
      <c r="AA509" s="140">
        <v>0.0</v>
      </c>
      <c r="AB509" s="109">
        <v>0.0</v>
      </c>
      <c r="AC509" s="109">
        <v>0.0</v>
      </c>
      <c r="AD509" s="141">
        <v>0.0</v>
      </c>
      <c r="AE509" s="80">
        <v>0.0</v>
      </c>
      <c r="AF509" s="140">
        <v>0.0</v>
      </c>
      <c r="AG509" s="109">
        <v>0.0</v>
      </c>
      <c r="AH509" s="109">
        <v>10.0</v>
      </c>
      <c r="AI509" s="141">
        <v>0.0</v>
      </c>
      <c r="AJ509" s="80">
        <v>10.0</v>
      </c>
      <c r="AK509" s="140">
        <v>0.0</v>
      </c>
      <c r="AL509" s="109">
        <v>0.0</v>
      </c>
      <c r="AM509" s="141">
        <v>0.0</v>
      </c>
      <c r="AN509" s="80">
        <v>0.0</v>
      </c>
      <c r="AO509" s="140">
        <v>0.0</v>
      </c>
      <c r="AP509" s="109">
        <v>0.0</v>
      </c>
      <c r="AQ509" s="109">
        <v>17.0</v>
      </c>
      <c r="AR509" s="80">
        <v>17.0</v>
      </c>
      <c r="AS509" s="110">
        <v>0.0</v>
      </c>
      <c r="AT509" s="110">
        <v>0.0</v>
      </c>
      <c r="AU509" s="110">
        <v>0.0</v>
      </c>
      <c r="AV509" s="142">
        <v>0.0</v>
      </c>
      <c r="AW509" s="80">
        <v>0.0</v>
      </c>
      <c r="AX509" s="113">
        <v>27.0</v>
      </c>
      <c r="AY509" s="117">
        <v>0.0</v>
      </c>
      <c r="AZ509" s="328">
        <v>27.0</v>
      </c>
      <c r="BA509" s="315">
        <v>0.0</v>
      </c>
      <c r="BB509" s="316">
        <v>27.0</v>
      </c>
      <c r="BC509" s="132" t="s">
        <v>373</v>
      </c>
      <c r="BD509" s="132" t="s">
        <v>178</v>
      </c>
      <c r="BE509" s="132" t="s">
        <v>178</v>
      </c>
      <c r="BF509" s="123"/>
      <c r="BG509" s="83">
        <v>1178531.0</v>
      </c>
      <c r="BH509" s="112">
        <v>3.0</v>
      </c>
      <c r="BI509" s="98" t="s">
        <v>155</v>
      </c>
      <c r="BJ509" s="98" t="str">
        <f t="shared" si="1"/>
        <v>NÃO</v>
      </c>
      <c r="BK509" s="98" t="str">
        <f t="shared" si="2"/>
        <v>NÃO</v>
      </c>
    </row>
    <row r="510" ht="15.75" customHeight="1">
      <c r="A510" s="111" t="s">
        <v>605</v>
      </c>
      <c r="B510" s="83" t="s">
        <v>2043</v>
      </c>
      <c r="C510" s="83" t="s">
        <v>68</v>
      </c>
      <c r="D510" s="83">
        <v>1157525.0</v>
      </c>
      <c r="E510" s="83"/>
      <c r="F510" s="83">
        <v>2.9323967E7</v>
      </c>
      <c r="G510" s="185" t="s">
        <v>2046</v>
      </c>
      <c r="H510" s="91" t="s">
        <v>2047</v>
      </c>
      <c r="I510" s="114" t="s">
        <v>149</v>
      </c>
      <c r="J510" s="83" t="s">
        <v>150</v>
      </c>
      <c r="K510" s="83" t="s">
        <v>151</v>
      </c>
      <c r="L510" s="83" t="s">
        <v>169</v>
      </c>
      <c r="M510" s="82" t="s">
        <v>6383</v>
      </c>
      <c r="N510" s="82" t="s">
        <v>6384</v>
      </c>
      <c r="O510" s="82"/>
      <c r="P510" s="82"/>
      <c r="Q510" s="82"/>
      <c r="R510" s="82"/>
      <c r="S510" s="82" t="s">
        <v>6385</v>
      </c>
      <c r="T510" s="138">
        <v>4.0</v>
      </c>
      <c r="U510" s="341" t="s">
        <v>6386</v>
      </c>
      <c r="V510" s="106">
        <v>0.0</v>
      </c>
      <c r="W510" s="107">
        <v>0.0</v>
      </c>
      <c r="X510" s="107">
        <v>0.0</v>
      </c>
      <c r="Y510" s="107">
        <v>0.0</v>
      </c>
      <c r="Z510" s="80">
        <v>0.0</v>
      </c>
      <c r="AA510" s="140">
        <v>0.0</v>
      </c>
      <c r="AB510" s="109">
        <v>0.0</v>
      </c>
      <c r="AC510" s="109">
        <v>0.0</v>
      </c>
      <c r="AD510" s="141">
        <v>0.0</v>
      </c>
      <c r="AE510" s="80">
        <v>0.0</v>
      </c>
      <c r="AF510" s="140">
        <v>129.0</v>
      </c>
      <c r="AG510" s="109">
        <v>0.0</v>
      </c>
      <c r="AH510" s="109">
        <v>0.0</v>
      </c>
      <c r="AI510" s="141">
        <v>0.0</v>
      </c>
      <c r="AJ510" s="80">
        <v>129.0</v>
      </c>
      <c r="AK510" s="140">
        <v>0.0</v>
      </c>
      <c r="AL510" s="109">
        <v>0.0</v>
      </c>
      <c r="AM510" s="141">
        <v>0.0</v>
      </c>
      <c r="AN510" s="80">
        <v>0.0</v>
      </c>
      <c r="AO510" s="140">
        <v>0.0</v>
      </c>
      <c r="AP510" s="109">
        <v>0.0</v>
      </c>
      <c r="AQ510" s="109">
        <v>14.0</v>
      </c>
      <c r="AR510" s="80">
        <v>14.0</v>
      </c>
      <c r="AS510" s="110">
        <v>0.0</v>
      </c>
      <c r="AT510" s="110">
        <v>0.0</v>
      </c>
      <c r="AU510" s="110">
        <v>0.0</v>
      </c>
      <c r="AV510" s="142">
        <v>0.0</v>
      </c>
      <c r="AW510" s="80">
        <v>0.0</v>
      </c>
      <c r="AX510" s="113">
        <v>143.0</v>
      </c>
      <c r="AY510" s="117">
        <v>129.0</v>
      </c>
      <c r="AZ510" s="328">
        <v>14.0</v>
      </c>
      <c r="BA510" s="315">
        <v>0.0</v>
      </c>
      <c r="BB510" s="316">
        <v>143.0</v>
      </c>
      <c r="BC510" s="132" t="s">
        <v>178</v>
      </c>
      <c r="BD510" s="132" t="s">
        <v>178</v>
      </c>
      <c r="BE510" s="132" t="s">
        <v>178</v>
      </c>
      <c r="BF510" s="123"/>
      <c r="BG510" s="83">
        <v>1157525.0</v>
      </c>
      <c r="BH510" s="112">
        <v>4.0</v>
      </c>
      <c r="BI510" s="98" t="s">
        <v>155</v>
      </c>
      <c r="BJ510" s="98" t="str">
        <f t="shared" si="1"/>
        <v>NÃO</v>
      </c>
      <c r="BK510" s="98" t="str">
        <f t="shared" si="2"/>
        <v>NÃO</v>
      </c>
    </row>
    <row r="511" ht="15.75" customHeight="1">
      <c r="A511" s="111" t="s">
        <v>605</v>
      </c>
      <c r="B511" s="83" t="s">
        <v>2053</v>
      </c>
      <c r="C511" s="83" t="s">
        <v>68</v>
      </c>
      <c r="D511" s="83">
        <v>1179661.0</v>
      </c>
      <c r="E511" s="83"/>
      <c r="F511" s="83">
        <v>2.9474272E7</v>
      </c>
      <c r="G511" s="185" t="s">
        <v>2054</v>
      </c>
      <c r="H511" s="91" t="s">
        <v>2055</v>
      </c>
      <c r="I511" s="298" t="s">
        <v>149</v>
      </c>
      <c r="J511" s="83" t="s">
        <v>2057</v>
      </c>
      <c r="K511" s="83" t="s">
        <v>151</v>
      </c>
      <c r="L511" s="83" t="s">
        <v>230</v>
      </c>
      <c r="M511" s="82" t="s">
        <v>6396</v>
      </c>
      <c r="N511" s="82" t="s">
        <v>6397</v>
      </c>
      <c r="O511" s="82" t="s">
        <v>6398</v>
      </c>
      <c r="P511" s="82" t="s">
        <v>6399</v>
      </c>
      <c r="Q511" s="82" t="s">
        <v>6400</v>
      </c>
      <c r="R511" s="82"/>
      <c r="S511" s="82"/>
      <c r="T511" s="138">
        <v>12.0</v>
      </c>
      <c r="U511" s="341">
        <v>12.0</v>
      </c>
      <c r="V511" s="106">
        <v>0.0</v>
      </c>
      <c r="W511" s="107">
        <v>0.0</v>
      </c>
      <c r="X511" s="107">
        <v>0.0</v>
      </c>
      <c r="Y511" s="107">
        <v>0.0</v>
      </c>
      <c r="Z511" s="80">
        <v>0.0</v>
      </c>
      <c r="AA511" s="140">
        <v>0.0</v>
      </c>
      <c r="AB511" s="109">
        <v>0.0</v>
      </c>
      <c r="AC511" s="109">
        <v>0.0</v>
      </c>
      <c r="AD511" s="141">
        <v>0.0</v>
      </c>
      <c r="AE511" s="80">
        <v>0.0</v>
      </c>
      <c r="AF511" s="140">
        <v>75.0</v>
      </c>
      <c r="AG511" s="109">
        <v>30.0</v>
      </c>
      <c r="AH511" s="109">
        <v>0.0</v>
      </c>
      <c r="AI511" s="141">
        <v>24.0</v>
      </c>
      <c r="AJ511" s="80">
        <v>129.0</v>
      </c>
      <c r="AK511" s="140">
        <v>0.0</v>
      </c>
      <c r="AL511" s="109">
        <v>0.0</v>
      </c>
      <c r="AM511" s="141">
        <v>0.0</v>
      </c>
      <c r="AN511" s="80">
        <v>0.0</v>
      </c>
      <c r="AO511" s="140">
        <v>0.0</v>
      </c>
      <c r="AP511" s="109">
        <v>0.0</v>
      </c>
      <c r="AQ511" s="109">
        <v>46.0</v>
      </c>
      <c r="AR511" s="80">
        <v>46.0</v>
      </c>
      <c r="AS511" s="110">
        <v>283.0</v>
      </c>
      <c r="AT511" s="110">
        <v>79.0</v>
      </c>
      <c r="AU511" s="110">
        <v>0.0</v>
      </c>
      <c r="AV511" s="142">
        <v>0.0</v>
      </c>
      <c r="AW511" s="80">
        <v>362.0</v>
      </c>
      <c r="AX511" s="113">
        <v>537.0</v>
      </c>
      <c r="AY511" s="117">
        <v>491.0</v>
      </c>
      <c r="AZ511" s="328">
        <v>46.0</v>
      </c>
      <c r="BA511" s="315">
        <v>0.0</v>
      </c>
      <c r="BB511" s="316">
        <v>537.0</v>
      </c>
      <c r="BC511" s="132" t="s">
        <v>178</v>
      </c>
      <c r="BD511" s="132" t="s">
        <v>522</v>
      </c>
      <c r="BE511" s="132" t="s">
        <v>178</v>
      </c>
      <c r="BF511" s="123"/>
      <c r="BG511" s="83">
        <v>1179661.0</v>
      </c>
      <c r="BH511" s="112">
        <v>12.0</v>
      </c>
      <c r="BI511" s="98" t="s">
        <v>155</v>
      </c>
      <c r="BJ511" s="98" t="str">
        <f t="shared" si="1"/>
        <v>INTEGRAL</v>
      </c>
      <c r="BK511" s="98" t="str">
        <f t="shared" si="2"/>
        <v>PROFISSIONAL</v>
      </c>
    </row>
    <row r="512" ht="15.75" customHeight="1">
      <c r="A512" s="111" t="s">
        <v>605</v>
      </c>
      <c r="B512" s="83" t="s">
        <v>2053</v>
      </c>
      <c r="C512" s="83" t="s">
        <v>164</v>
      </c>
      <c r="D512" s="83">
        <v>1179713.0</v>
      </c>
      <c r="E512" s="83">
        <v>1178556.0</v>
      </c>
      <c r="F512" s="83"/>
      <c r="G512" s="147" t="s">
        <v>2066</v>
      </c>
      <c r="H512" s="91" t="s">
        <v>2067</v>
      </c>
      <c r="I512" s="187" t="s">
        <v>2069</v>
      </c>
      <c r="J512" s="136" t="s">
        <v>244</v>
      </c>
      <c r="K512" s="83" t="s">
        <v>168</v>
      </c>
      <c r="L512" s="83" t="s">
        <v>169</v>
      </c>
      <c r="M512" s="82" t="s">
        <v>6220</v>
      </c>
      <c r="N512" s="82" t="s">
        <v>6221</v>
      </c>
      <c r="O512" s="82"/>
      <c r="P512" s="82"/>
      <c r="Q512" s="82"/>
      <c r="R512" s="82"/>
      <c r="S512" s="82"/>
      <c r="T512" s="138">
        <v>3.0</v>
      </c>
      <c r="U512" s="341">
        <v>3.0</v>
      </c>
      <c r="V512" s="106">
        <v>0.0</v>
      </c>
      <c r="W512" s="107">
        <v>0.0</v>
      </c>
      <c r="X512" s="107">
        <v>0.0</v>
      </c>
      <c r="Y512" s="107">
        <v>0.0</v>
      </c>
      <c r="Z512" s="80">
        <v>0.0</v>
      </c>
      <c r="AA512" s="140">
        <v>0.0</v>
      </c>
      <c r="AB512" s="109">
        <v>0.0</v>
      </c>
      <c r="AC512" s="109">
        <v>0.0</v>
      </c>
      <c r="AD512" s="141">
        <v>0.0</v>
      </c>
      <c r="AE512" s="80">
        <v>0.0</v>
      </c>
      <c r="AF512" s="140">
        <v>0.0</v>
      </c>
      <c r="AG512" s="109">
        <v>0.0</v>
      </c>
      <c r="AH512" s="109">
        <v>15.0</v>
      </c>
      <c r="AI512" s="141">
        <v>0.0</v>
      </c>
      <c r="AJ512" s="80">
        <v>15.0</v>
      </c>
      <c r="AK512" s="140">
        <v>0.0</v>
      </c>
      <c r="AL512" s="109">
        <v>0.0</v>
      </c>
      <c r="AM512" s="141">
        <v>0.0</v>
      </c>
      <c r="AN512" s="80">
        <v>0.0</v>
      </c>
      <c r="AO512" s="140">
        <v>0.0</v>
      </c>
      <c r="AP512" s="109">
        <v>0.0</v>
      </c>
      <c r="AQ512" s="109">
        <v>0.0</v>
      </c>
      <c r="AR512" s="80">
        <v>0.0</v>
      </c>
      <c r="AS512" s="110">
        <v>0.0</v>
      </c>
      <c r="AT512" s="110">
        <v>0.0</v>
      </c>
      <c r="AU512" s="110">
        <v>0.0</v>
      </c>
      <c r="AV512" s="142">
        <v>0.0</v>
      </c>
      <c r="AW512" s="80">
        <v>0.0</v>
      </c>
      <c r="AX512" s="113">
        <v>15.0</v>
      </c>
      <c r="AY512" s="117">
        <v>0.0</v>
      </c>
      <c r="AZ512" s="328">
        <v>15.0</v>
      </c>
      <c r="BA512" s="315">
        <v>0.0</v>
      </c>
      <c r="BB512" s="316">
        <v>15.0</v>
      </c>
      <c r="BC512" s="132" t="s">
        <v>265</v>
      </c>
      <c r="BD512" s="143" t="s">
        <v>227</v>
      </c>
      <c r="BE512" s="132" t="s">
        <v>178</v>
      </c>
      <c r="BF512" s="156"/>
      <c r="BG512" s="83">
        <v>1178556.0</v>
      </c>
      <c r="BH512" s="112">
        <v>3.0</v>
      </c>
      <c r="BI512" s="98" t="s">
        <v>155</v>
      </c>
      <c r="BJ512" s="98" t="str">
        <f t="shared" si="1"/>
        <v>NÃO</v>
      </c>
      <c r="BK512" s="98" t="str">
        <f t="shared" si="2"/>
        <v>NÃO</v>
      </c>
    </row>
    <row r="513" ht="15.75" customHeight="1">
      <c r="A513" s="111" t="s">
        <v>605</v>
      </c>
      <c r="B513" s="83" t="s">
        <v>2053</v>
      </c>
      <c r="C513" s="83" t="s">
        <v>164</v>
      </c>
      <c r="D513" s="83">
        <v>1179661.0</v>
      </c>
      <c r="E513" s="83">
        <v>1179702.0</v>
      </c>
      <c r="F513" s="83"/>
      <c r="G513" s="114" t="s">
        <v>2075</v>
      </c>
      <c r="H513" s="91" t="s">
        <v>2077</v>
      </c>
      <c r="I513" s="114" t="s">
        <v>2078</v>
      </c>
      <c r="J513" s="83" t="s">
        <v>890</v>
      </c>
      <c r="K513" s="83" t="s">
        <v>151</v>
      </c>
      <c r="L513" s="83" t="s">
        <v>512</v>
      </c>
      <c r="M513" s="82" t="s">
        <v>6396</v>
      </c>
      <c r="N513" s="82" t="s">
        <v>6397</v>
      </c>
      <c r="O513" s="82" t="s">
        <v>6398</v>
      </c>
      <c r="P513" s="82" t="s">
        <v>6399</v>
      </c>
      <c r="Q513" s="82" t="s">
        <v>6400</v>
      </c>
      <c r="R513" s="82"/>
      <c r="S513" s="82"/>
      <c r="T513" s="138">
        <v>3.0</v>
      </c>
      <c r="U513" s="323">
        <v>4.0</v>
      </c>
      <c r="V513" s="106">
        <v>0.0</v>
      </c>
      <c r="W513" s="107">
        <v>0.0</v>
      </c>
      <c r="X513" s="107">
        <v>0.0</v>
      </c>
      <c r="Y513" s="107">
        <v>0.0</v>
      </c>
      <c r="Z513" s="80">
        <v>0.0</v>
      </c>
      <c r="AA513" s="140">
        <v>0.0</v>
      </c>
      <c r="AB513" s="109">
        <v>0.0</v>
      </c>
      <c r="AC513" s="109">
        <v>0.0</v>
      </c>
      <c r="AD513" s="141">
        <v>0.0</v>
      </c>
      <c r="AE513" s="80">
        <v>0.0</v>
      </c>
      <c r="AF513" s="140">
        <v>0.0</v>
      </c>
      <c r="AG513" s="109">
        <v>0.0</v>
      </c>
      <c r="AH513" s="109">
        <v>19.0</v>
      </c>
      <c r="AI513" s="141">
        <v>0.0</v>
      </c>
      <c r="AJ513" s="80">
        <v>19.0</v>
      </c>
      <c r="AK513" s="140">
        <v>0.0</v>
      </c>
      <c r="AL513" s="109">
        <v>0.0</v>
      </c>
      <c r="AM513" s="141">
        <v>0.0</v>
      </c>
      <c r="AN513" s="80">
        <v>0.0</v>
      </c>
      <c r="AO513" s="140">
        <v>0.0</v>
      </c>
      <c r="AP513" s="109">
        <v>0.0</v>
      </c>
      <c r="AQ513" s="109">
        <v>48.0</v>
      </c>
      <c r="AR513" s="80">
        <v>48.0</v>
      </c>
      <c r="AS513" s="110">
        <v>0.0</v>
      </c>
      <c r="AT513" s="110">
        <v>0.0</v>
      </c>
      <c r="AU513" s="110">
        <v>0.0</v>
      </c>
      <c r="AV513" s="142">
        <v>0.0</v>
      </c>
      <c r="AW513" s="80">
        <v>0.0</v>
      </c>
      <c r="AX513" s="113">
        <v>67.0</v>
      </c>
      <c r="AY513" s="117">
        <v>0.0</v>
      </c>
      <c r="AZ513" s="328">
        <v>67.0</v>
      </c>
      <c r="BA513" s="315">
        <v>0.0</v>
      </c>
      <c r="BB513" s="316">
        <v>67.0</v>
      </c>
      <c r="BC513" s="132" t="s">
        <v>373</v>
      </c>
      <c r="BD513" s="132" t="s">
        <v>522</v>
      </c>
      <c r="BE513" s="132" t="s">
        <v>178</v>
      </c>
      <c r="BF513" s="156"/>
      <c r="BG513" s="83">
        <v>1179702.0</v>
      </c>
      <c r="BH513" s="112">
        <v>4.0</v>
      </c>
      <c r="BI513" s="98" t="s">
        <v>155</v>
      </c>
      <c r="BJ513" s="98" t="str">
        <f t="shared" si="1"/>
        <v>NÃO</v>
      </c>
      <c r="BK513" s="98" t="str">
        <f t="shared" si="2"/>
        <v>NÃO</v>
      </c>
    </row>
    <row r="514" ht="15.75" customHeight="1">
      <c r="A514" s="111" t="s">
        <v>605</v>
      </c>
      <c r="B514" s="83" t="s">
        <v>2053</v>
      </c>
      <c r="C514" s="83" t="s">
        <v>164</v>
      </c>
      <c r="D514" s="83">
        <v>1179661.0</v>
      </c>
      <c r="E514" s="83">
        <v>1179648.0</v>
      </c>
      <c r="F514" s="83"/>
      <c r="G514" s="114" t="s">
        <v>2084</v>
      </c>
      <c r="H514" s="91" t="s">
        <v>2085</v>
      </c>
      <c r="I514" s="114" t="s">
        <v>2086</v>
      </c>
      <c r="J514" s="83" t="s">
        <v>252</v>
      </c>
      <c r="K514" s="83" t="s">
        <v>151</v>
      </c>
      <c r="L514" s="83" t="s">
        <v>169</v>
      </c>
      <c r="M514" s="82" t="s">
        <v>6396</v>
      </c>
      <c r="N514" s="82" t="s">
        <v>6397</v>
      </c>
      <c r="O514" s="82" t="s">
        <v>6398</v>
      </c>
      <c r="P514" s="82" t="s">
        <v>6399</v>
      </c>
      <c r="Q514" s="82" t="s">
        <v>6400</v>
      </c>
      <c r="R514" s="82"/>
      <c r="S514" s="82"/>
      <c r="T514" s="138">
        <v>4.0</v>
      </c>
      <c r="U514" s="323">
        <v>4.0</v>
      </c>
      <c r="V514" s="106">
        <v>0.0</v>
      </c>
      <c r="W514" s="107">
        <v>0.0</v>
      </c>
      <c r="X514" s="107">
        <v>0.0</v>
      </c>
      <c r="Y514" s="107">
        <v>0.0</v>
      </c>
      <c r="Z514" s="80">
        <v>0.0</v>
      </c>
      <c r="AA514" s="140">
        <v>0.0</v>
      </c>
      <c r="AB514" s="109">
        <v>0.0</v>
      </c>
      <c r="AC514" s="109">
        <v>0.0</v>
      </c>
      <c r="AD514" s="141">
        <v>0.0</v>
      </c>
      <c r="AE514" s="80">
        <v>0.0</v>
      </c>
      <c r="AF514" s="140">
        <v>0.0</v>
      </c>
      <c r="AG514" s="109">
        <v>0.0</v>
      </c>
      <c r="AH514" s="109">
        <v>16.0</v>
      </c>
      <c r="AI514" s="141">
        <v>0.0</v>
      </c>
      <c r="AJ514" s="80">
        <v>16.0</v>
      </c>
      <c r="AK514" s="140">
        <v>0.0</v>
      </c>
      <c r="AL514" s="109">
        <v>0.0</v>
      </c>
      <c r="AM514" s="141">
        <v>0.0</v>
      </c>
      <c r="AN514" s="80">
        <v>0.0</v>
      </c>
      <c r="AO514" s="140">
        <v>0.0</v>
      </c>
      <c r="AP514" s="109">
        <v>0.0</v>
      </c>
      <c r="AQ514" s="109">
        <v>14.0</v>
      </c>
      <c r="AR514" s="80">
        <v>14.0</v>
      </c>
      <c r="AS514" s="110">
        <v>0.0</v>
      </c>
      <c r="AT514" s="110">
        <v>0.0</v>
      </c>
      <c r="AU514" s="110">
        <v>0.0</v>
      </c>
      <c r="AV514" s="142">
        <v>0.0</v>
      </c>
      <c r="AW514" s="80">
        <v>0.0</v>
      </c>
      <c r="AX514" s="113">
        <v>30.0</v>
      </c>
      <c r="AY514" s="117">
        <v>0.0</v>
      </c>
      <c r="AZ514" s="328">
        <v>30.0</v>
      </c>
      <c r="BA514" s="315">
        <v>0.0</v>
      </c>
      <c r="BB514" s="316">
        <v>30.0</v>
      </c>
      <c r="BC514" s="132" t="s">
        <v>373</v>
      </c>
      <c r="BD514" s="356" t="s">
        <v>522</v>
      </c>
      <c r="BE514" s="132" t="s">
        <v>178</v>
      </c>
      <c r="BF514" s="123"/>
      <c r="BG514" s="83">
        <v>1179648.0</v>
      </c>
      <c r="BH514" s="112">
        <v>4.0</v>
      </c>
      <c r="BI514" s="98" t="s">
        <v>155</v>
      </c>
      <c r="BJ514" s="98" t="str">
        <f t="shared" si="1"/>
        <v>NÃO</v>
      </c>
      <c r="BK514" s="98" t="str">
        <f t="shared" si="2"/>
        <v>NÃO</v>
      </c>
    </row>
    <row r="515" ht="15.75" customHeight="1">
      <c r="A515" s="111" t="s">
        <v>605</v>
      </c>
      <c r="B515" s="83" t="s">
        <v>2090</v>
      </c>
      <c r="C515" s="83" t="s">
        <v>68</v>
      </c>
      <c r="D515" s="83">
        <v>1157746.0</v>
      </c>
      <c r="E515" s="83"/>
      <c r="F515" s="83">
        <v>2.9325099E7</v>
      </c>
      <c r="G515" s="187" t="s">
        <v>6412</v>
      </c>
      <c r="H515" s="91" t="s">
        <v>2118</v>
      </c>
      <c r="I515" s="298" t="s">
        <v>149</v>
      </c>
      <c r="J515" s="83" t="s">
        <v>150</v>
      </c>
      <c r="K515" s="83" t="s">
        <v>151</v>
      </c>
      <c r="L515" s="83" t="s">
        <v>152</v>
      </c>
      <c r="M515" s="82" t="s">
        <v>6414</v>
      </c>
      <c r="N515" s="82" t="s">
        <v>6415</v>
      </c>
      <c r="O515" s="82" t="s">
        <v>6416</v>
      </c>
      <c r="P515" s="82" t="s">
        <v>6417</v>
      </c>
      <c r="Q515" s="82"/>
      <c r="R515" s="82"/>
      <c r="S515" s="82" t="s">
        <v>6418</v>
      </c>
      <c r="T515" s="138">
        <v>10.0</v>
      </c>
      <c r="U515" s="331" t="s">
        <v>6419</v>
      </c>
      <c r="V515" s="106">
        <v>0.0</v>
      </c>
      <c r="W515" s="107">
        <v>0.0</v>
      </c>
      <c r="X515" s="107">
        <v>0.0</v>
      </c>
      <c r="Y515" s="107">
        <v>0.0</v>
      </c>
      <c r="Z515" s="80">
        <v>0.0</v>
      </c>
      <c r="AA515" s="140">
        <v>0.0</v>
      </c>
      <c r="AB515" s="109">
        <v>0.0</v>
      </c>
      <c r="AC515" s="109">
        <v>0.0</v>
      </c>
      <c r="AD515" s="141">
        <v>0.0</v>
      </c>
      <c r="AE515" s="80">
        <v>0.0</v>
      </c>
      <c r="AF515" s="140">
        <v>39.0</v>
      </c>
      <c r="AG515" s="109">
        <v>0.0</v>
      </c>
      <c r="AH515" s="109">
        <v>17.0</v>
      </c>
      <c r="AI515" s="141">
        <v>166.0</v>
      </c>
      <c r="AJ515" s="80">
        <v>222.0</v>
      </c>
      <c r="AK515" s="140">
        <v>0.0</v>
      </c>
      <c r="AL515" s="109">
        <v>0.0</v>
      </c>
      <c r="AM515" s="141">
        <v>0.0</v>
      </c>
      <c r="AN515" s="80">
        <v>0.0</v>
      </c>
      <c r="AO515" s="140">
        <v>0.0</v>
      </c>
      <c r="AP515" s="109">
        <v>0.0</v>
      </c>
      <c r="AQ515" s="109">
        <v>79.0</v>
      </c>
      <c r="AR515" s="80">
        <v>79.0</v>
      </c>
      <c r="AS515" s="110">
        <v>0.0</v>
      </c>
      <c r="AT515" s="110">
        <v>0.0</v>
      </c>
      <c r="AU515" s="110">
        <v>0.0</v>
      </c>
      <c r="AV515" s="142">
        <v>0.0</v>
      </c>
      <c r="AW515" s="80">
        <v>0.0</v>
      </c>
      <c r="AX515" s="113">
        <v>301.0</v>
      </c>
      <c r="AY515" s="117">
        <v>205.0</v>
      </c>
      <c r="AZ515" s="328">
        <v>96.0</v>
      </c>
      <c r="BA515" s="315">
        <v>0.0</v>
      </c>
      <c r="BB515" s="316">
        <v>301.0</v>
      </c>
      <c r="BC515" s="132" t="s">
        <v>178</v>
      </c>
      <c r="BD515" s="132" t="s">
        <v>178</v>
      </c>
      <c r="BE515" s="132" t="s">
        <v>178</v>
      </c>
      <c r="BF515" s="156"/>
      <c r="BG515" s="83">
        <v>1157746.0</v>
      </c>
      <c r="BH515" s="112">
        <v>9.0</v>
      </c>
      <c r="BI515" s="98" t="s">
        <v>155</v>
      </c>
      <c r="BJ515" s="98" t="str">
        <f t="shared" si="1"/>
        <v>INTEGRAL</v>
      </c>
      <c r="BK515" s="98" t="str">
        <f t="shared" si="2"/>
        <v>NÃO</v>
      </c>
    </row>
    <row r="516" ht="15.75" customHeight="1">
      <c r="A516" s="111" t="s">
        <v>605</v>
      </c>
      <c r="B516" s="83" t="s">
        <v>2090</v>
      </c>
      <c r="C516" s="83" t="s">
        <v>68</v>
      </c>
      <c r="D516" s="83">
        <v>1178093.0</v>
      </c>
      <c r="E516" s="83"/>
      <c r="F516" s="83">
        <v>2.9433843E7</v>
      </c>
      <c r="G516" s="114" t="s">
        <v>2091</v>
      </c>
      <c r="H516" s="91" t="s">
        <v>2092</v>
      </c>
      <c r="I516" s="114" t="s">
        <v>149</v>
      </c>
      <c r="J516" s="83" t="s">
        <v>464</v>
      </c>
      <c r="K516" s="83" t="s">
        <v>151</v>
      </c>
      <c r="L516" s="83" t="s">
        <v>152</v>
      </c>
      <c r="M516" s="82" t="s">
        <v>6421</v>
      </c>
      <c r="N516" s="82" t="s">
        <v>6422</v>
      </c>
      <c r="O516" s="82" t="s">
        <v>6424</v>
      </c>
      <c r="P516" s="82" t="s">
        <v>6426</v>
      </c>
      <c r="Q516" s="82" t="s">
        <v>6428</v>
      </c>
      <c r="R516" s="82" t="s">
        <v>6429</v>
      </c>
      <c r="S516" s="82" t="s">
        <v>6431</v>
      </c>
      <c r="T516" s="138">
        <v>10.0</v>
      </c>
      <c r="U516" s="323">
        <v>8.0</v>
      </c>
      <c r="V516" s="106">
        <v>0.0</v>
      </c>
      <c r="W516" s="107">
        <v>0.0</v>
      </c>
      <c r="X516" s="107">
        <v>0.0</v>
      </c>
      <c r="Y516" s="107">
        <v>0.0</v>
      </c>
      <c r="Z516" s="80">
        <v>0.0</v>
      </c>
      <c r="AA516" s="140">
        <v>0.0</v>
      </c>
      <c r="AB516" s="109">
        <v>0.0</v>
      </c>
      <c r="AC516" s="109">
        <v>0.0</v>
      </c>
      <c r="AD516" s="141">
        <v>0.0</v>
      </c>
      <c r="AE516" s="80">
        <v>0.0</v>
      </c>
      <c r="AF516" s="140">
        <v>346.0</v>
      </c>
      <c r="AG516" s="109">
        <v>250.0</v>
      </c>
      <c r="AH516" s="109">
        <v>64.0</v>
      </c>
      <c r="AI516" s="141">
        <v>0.0</v>
      </c>
      <c r="AJ516" s="80">
        <v>660.0</v>
      </c>
      <c r="AK516" s="140">
        <v>0.0</v>
      </c>
      <c r="AL516" s="109">
        <v>0.0</v>
      </c>
      <c r="AM516" s="141">
        <v>0.0</v>
      </c>
      <c r="AN516" s="80">
        <v>0.0</v>
      </c>
      <c r="AO516" s="140">
        <v>0.0</v>
      </c>
      <c r="AP516" s="109">
        <v>0.0</v>
      </c>
      <c r="AQ516" s="109">
        <v>119.0</v>
      </c>
      <c r="AR516" s="80">
        <v>119.0</v>
      </c>
      <c r="AS516" s="110">
        <v>0.0</v>
      </c>
      <c r="AT516" s="110">
        <v>0.0</v>
      </c>
      <c r="AU516" s="110">
        <v>0.0</v>
      </c>
      <c r="AV516" s="142">
        <v>0.0</v>
      </c>
      <c r="AW516" s="80">
        <v>0.0</v>
      </c>
      <c r="AX516" s="113">
        <v>779.0</v>
      </c>
      <c r="AY516" s="117">
        <v>596.0</v>
      </c>
      <c r="AZ516" s="328">
        <v>183.0</v>
      </c>
      <c r="BA516" s="315">
        <v>0.0</v>
      </c>
      <c r="BB516" s="316">
        <v>779.0</v>
      </c>
      <c r="BC516" s="132" t="s">
        <v>373</v>
      </c>
      <c r="BD516" s="132" t="s">
        <v>178</v>
      </c>
      <c r="BE516" s="132" t="s">
        <v>178</v>
      </c>
      <c r="BF516" s="156"/>
      <c r="BG516" s="83">
        <v>1178093.0</v>
      </c>
      <c r="BH516" s="112">
        <v>8.0</v>
      </c>
      <c r="BI516" s="98" t="s">
        <v>155</v>
      </c>
      <c r="BJ516" s="98" t="str">
        <f t="shared" si="1"/>
        <v>NÃO</v>
      </c>
      <c r="BK516" s="98" t="str">
        <f t="shared" si="2"/>
        <v>NÃO</v>
      </c>
    </row>
    <row r="517" ht="15.75" customHeight="1">
      <c r="A517" s="111" t="s">
        <v>605</v>
      </c>
      <c r="B517" s="83" t="s">
        <v>2090</v>
      </c>
      <c r="C517" s="83" t="s">
        <v>68</v>
      </c>
      <c r="D517" s="83">
        <v>1178427.0</v>
      </c>
      <c r="E517" s="83"/>
      <c r="F517" s="83">
        <v>2.9399246E7</v>
      </c>
      <c r="G517" s="241" t="s">
        <v>6432</v>
      </c>
      <c r="H517" s="91" t="s">
        <v>2105</v>
      </c>
      <c r="I517" s="187" t="s">
        <v>2106</v>
      </c>
      <c r="J517" s="136" t="s">
        <v>209</v>
      </c>
      <c r="K517" s="136" t="s">
        <v>151</v>
      </c>
      <c r="L517" s="136" t="s">
        <v>169</v>
      </c>
      <c r="M517" s="82" t="s">
        <v>6433</v>
      </c>
      <c r="N517" s="82" t="s">
        <v>6434</v>
      </c>
      <c r="O517" s="82" t="s">
        <v>6435</v>
      </c>
      <c r="P517" s="82"/>
      <c r="Q517" s="82"/>
      <c r="R517" s="82"/>
      <c r="S517" s="82" t="s">
        <v>6436</v>
      </c>
      <c r="T517" s="138">
        <v>6.0</v>
      </c>
      <c r="U517" s="389">
        <v>3.0</v>
      </c>
      <c r="V517" s="106">
        <v>0.0</v>
      </c>
      <c r="W517" s="107">
        <v>0.0</v>
      </c>
      <c r="X517" s="107">
        <v>0.0</v>
      </c>
      <c r="Y517" s="107">
        <v>0.0</v>
      </c>
      <c r="Z517" s="80">
        <v>0.0</v>
      </c>
      <c r="AA517" s="140">
        <v>0.0</v>
      </c>
      <c r="AB517" s="109">
        <v>0.0</v>
      </c>
      <c r="AC517" s="109">
        <v>0.0</v>
      </c>
      <c r="AD517" s="141">
        <v>0.0</v>
      </c>
      <c r="AE517" s="80">
        <v>0.0</v>
      </c>
      <c r="AF517" s="140">
        <v>25.0</v>
      </c>
      <c r="AG517" s="109">
        <v>0.0</v>
      </c>
      <c r="AH517" s="109">
        <v>0.0</v>
      </c>
      <c r="AI517" s="141">
        <v>0.0</v>
      </c>
      <c r="AJ517" s="80">
        <v>25.0</v>
      </c>
      <c r="AK517" s="140">
        <v>0.0</v>
      </c>
      <c r="AL517" s="109">
        <v>0.0</v>
      </c>
      <c r="AM517" s="141">
        <v>0.0</v>
      </c>
      <c r="AN517" s="80">
        <v>0.0</v>
      </c>
      <c r="AO517" s="140">
        <v>0.0</v>
      </c>
      <c r="AP517" s="109">
        <v>0.0</v>
      </c>
      <c r="AQ517" s="109">
        <v>9.0</v>
      </c>
      <c r="AR517" s="80">
        <v>9.0</v>
      </c>
      <c r="AS517" s="110">
        <v>0.0</v>
      </c>
      <c r="AT517" s="110">
        <v>0.0</v>
      </c>
      <c r="AU517" s="110">
        <v>0.0</v>
      </c>
      <c r="AV517" s="142">
        <v>0.0</v>
      </c>
      <c r="AW517" s="80">
        <v>0.0</v>
      </c>
      <c r="AX517" s="113">
        <v>34.0</v>
      </c>
      <c r="AY517" s="117">
        <v>25.0</v>
      </c>
      <c r="AZ517" s="328">
        <v>9.0</v>
      </c>
      <c r="BA517" s="315">
        <v>0.0</v>
      </c>
      <c r="BB517" s="316">
        <v>34.0</v>
      </c>
      <c r="BC517" s="132" t="s">
        <v>631</v>
      </c>
      <c r="BD517" s="132" t="s">
        <v>178</v>
      </c>
      <c r="BE517" s="132" t="s">
        <v>178</v>
      </c>
      <c r="BF517" s="156"/>
      <c r="BG517" s="83">
        <v>1178427.0</v>
      </c>
      <c r="BH517" s="112">
        <v>3.0</v>
      </c>
      <c r="BI517" s="98" t="s">
        <v>155</v>
      </c>
      <c r="BJ517" s="98" t="str">
        <f t="shared" si="1"/>
        <v>NÃO</v>
      </c>
      <c r="BK517" s="98" t="str">
        <f t="shared" si="2"/>
        <v>NÃO</v>
      </c>
    </row>
    <row r="518" ht="15.75" customHeight="1">
      <c r="A518" s="111" t="s">
        <v>605</v>
      </c>
      <c r="B518" s="83" t="s">
        <v>2090</v>
      </c>
      <c r="C518" s="83" t="s">
        <v>164</v>
      </c>
      <c r="D518" s="83">
        <v>1178093.0</v>
      </c>
      <c r="E518" s="83">
        <v>1178559.0</v>
      </c>
      <c r="F518" s="83"/>
      <c r="G518" s="185" t="s">
        <v>2125</v>
      </c>
      <c r="H518" s="91" t="s">
        <v>2126</v>
      </c>
      <c r="I518" s="114" t="s">
        <v>149</v>
      </c>
      <c r="J518" s="83" t="s">
        <v>252</v>
      </c>
      <c r="K518" s="83" t="s">
        <v>151</v>
      </c>
      <c r="L518" s="83" t="s">
        <v>169</v>
      </c>
      <c r="M518" s="82" t="s">
        <v>6421</v>
      </c>
      <c r="N518" s="82" t="s">
        <v>6422</v>
      </c>
      <c r="O518" s="82" t="s">
        <v>6424</v>
      </c>
      <c r="P518" s="82" t="s">
        <v>6426</v>
      </c>
      <c r="Q518" s="82" t="s">
        <v>6428</v>
      </c>
      <c r="R518" s="82" t="s">
        <v>6429</v>
      </c>
      <c r="S518" s="82" t="s">
        <v>6431</v>
      </c>
      <c r="T518" s="138">
        <v>3.0</v>
      </c>
      <c r="U518" s="334">
        <v>3.0</v>
      </c>
      <c r="V518" s="106">
        <v>0.0</v>
      </c>
      <c r="W518" s="107">
        <v>0.0</v>
      </c>
      <c r="X518" s="107">
        <v>0.0</v>
      </c>
      <c r="Y518" s="107">
        <v>0.0</v>
      </c>
      <c r="Z518" s="80">
        <v>0.0</v>
      </c>
      <c r="AA518" s="140">
        <v>0.0</v>
      </c>
      <c r="AB518" s="109">
        <v>0.0</v>
      </c>
      <c r="AC518" s="109">
        <v>0.0</v>
      </c>
      <c r="AD518" s="141">
        <v>0.0</v>
      </c>
      <c r="AE518" s="80">
        <v>0.0</v>
      </c>
      <c r="AF518" s="140">
        <v>0.0</v>
      </c>
      <c r="AG518" s="109">
        <v>0.0</v>
      </c>
      <c r="AH518" s="109">
        <v>10.0</v>
      </c>
      <c r="AI518" s="141">
        <v>0.0</v>
      </c>
      <c r="AJ518" s="80">
        <v>10.0</v>
      </c>
      <c r="AK518" s="140">
        <v>0.0</v>
      </c>
      <c r="AL518" s="109">
        <v>0.0</v>
      </c>
      <c r="AM518" s="141">
        <v>0.0</v>
      </c>
      <c r="AN518" s="80">
        <v>0.0</v>
      </c>
      <c r="AO518" s="140">
        <v>0.0</v>
      </c>
      <c r="AP518" s="109">
        <v>0.0</v>
      </c>
      <c r="AQ518" s="109">
        <v>14.0</v>
      </c>
      <c r="AR518" s="80">
        <v>14.0</v>
      </c>
      <c r="AS518" s="110">
        <v>0.0</v>
      </c>
      <c r="AT518" s="110">
        <v>0.0</v>
      </c>
      <c r="AU518" s="110">
        <v>0.0</v>
      </c>
      <c r="AV518" s="142">
        <v>0.0</v>
      </c>
      <c r="AW518" s="80">
        <v>0.0</v>
      </c>
      <c r="AX518" s="113">
        <v>24.0</v>
      </c>
      <c r="AY518" s="117">
        <v>0.0</v>
      </c>
      <c r="AZ518" s="328">
        <v>24.0</v>
      </c>
      <c r="BA518" s="315">
        <v>0.0</v>
      </c>
      <c r="BB518" s="316">
        <v>24.0</v>
      </c>
      <c r="BC518" s="132" t="s">
        <v>373</v>
      </c>
      <c r="BD518" s="132" t="s">
        <v>178</v>
      </c>
      <c r="BE518" s="132" t="s">
        <v>178</v>
      </c>
      <c r="BF518" s="123"/>
      <c r="BG518" s="83">
        <v>1178559.0</v>
      </c>
      <c r="BH518" s="112">
        <v>3.0</v>
      </c>
      <c r="BI518" s="98" t="s">
        <v>155</v>
      </c>
      <c r="BJ518" s="98" t="str">
        <f t="shared" si="1"/>
        <v>NÃO</v>
      </c>
      <c r="BK518" s="98" t="str">
        <f t="shared" si="2"/>
        <v>NÃO</v>
      </c>
    </row>
    <row r="519" ht="15.75" customHeight="1">
      <c r="A519" s="111" t="s">
        <v>605</v>
      </c>
      <c r="B519" s="83" t="s">
        <v>2090</v>
      </c>
      <c r="C519" s="83" t="s">
        <v>164</v>
      </c>
      <c r="D519" s="83">
        <v>1178093.0</v>
      </c>
      <c r="E519" s="83">
        <v>1178558.0</v>
      </c>
      <c r="F519" s="83"/>
      <c r="G519" s="185" t="s">
        <v>2128</v>
      </c>
      <c r="H519" s="91" t="s">
        <v>2129</v>
      </c>
      <c r="I519" s="114" t="s">
        <v>149</v>
      </c>
      <c r="J519" s="83" t="s">
        <v>252</v>
      </c>
      <c r="K519" s="83" t="s">
        <v>151</v>
      </c>
      <c r="L519" s="83" t="s">
        <v>169</v>
      </c>
      <c r="M519" s="82" t="s">
        <v>6421</v>
      </c>
      <c r="N519" s="82" t="s">
        <v>6422</v>
      </c>
      <c r="O519" s="82" t="s">
        <v>6424</v>
      </c>
      <c r="P519" s="82" t="s">
        <v>6426</v>
      </c>
      <c r="Q519" s="82" t="s">
        <v>6428</v>
      </c>
      <c r="R519" s="82" t="s">
        <v>6429</v>
      </c>
      <c r="S519" s="82" t="s">
        <v>6431</v>
      </c>
      <c r="T519" s="138">
        <v>3.0</v>
      </c>
      <c r="U519" s="334">
        <v>3.0</v>
      </c>
      <c r="V519" s="106">
        <v>0.0</v>
      </c>
      <c r="W519" s="107">
        <v>0.0</v>
      </c>
      <c r="X519" s="107">
        <v>0.0</v>
      </c>
      <c r="Y519" s="107">
        <v>0.0</v>
      </c>
      <c r="Z519" s="80">
        <v>0.0</v>
      </c>
      <c r="AA519" s="140">
        <v>0.0</v>
      </c>
      <c r="AB519" s="109">
        <v>0.0</v>
      </c>
      <c r="AC519" s="109">
        <v>0.0</v>
      </c>
      <c r="AD519" s="141">
        <v>0.0</v>
      </c>
      <c r="AE519" s="80">
        <v>0.0</v>
      </c>
      <c r="AF519" s="140">
        <v>0.0</v>
      </c>
      <c r="AG519" s="109">
        <v>0.0</v>
      </c>
      <c r="AH519" s="109">
        <v>8.0</v>
      </c>
      <c r="AI519" s="141">
        <v>0.0</v>
      </c>
      <c r="AJ519" s="80">
        <v>8.0</v>
      </c>
      <c r="AK519" s="140">
        <v>0.0</v>
      </c>
      <c r="AL519" s="109">
        <v>0.0</v>
      </c>
      <c r="AM519" s="141">
        <v>0.0</v>
      </c>
      <c r="AN519" s="80">
        <v>0.0</v>
      </c>
      <c r="AO519" s="140">
        <v>0.0</v>
      </c>
      <c r="AP519" s="109">
        <v>0.0</v>
      </c>
      <c r="AQ519" s="109">
        <v>7.0</v>
      </c>
      <c r="AR519" s="80">
        <v>7.0</v>
      </c>
      <c r="AS519" s="110">
        <v>0.0</v>
      </c>
      <c r="AT519" s="110">
        <v>0.0</v>
      </c>
      <c r="AU519" s="110">
        <v>0.0</v>
      </c>
      <c r="AV519" s="142">
        <v>0.0</v>
      </c>
      <c r="AW519" s="80">
        <v>0.0</v>
      </c>
      <c r="AX519" s="113">
        <v>15.0</v>
      </c>
      <c r="AY519" s="117">
        <v>0.0</v>
      </c>
      <c r="AZ519" s="328">
        <v>15.0</v>
      </c>
      <c r="BA519" s="315">
        <v>0.0</v>
      </c>
      <c r="BB519" s="316">
        <v>15.0</v>
      </c>
      <c r="BC519" s="132" t="s">
        <v>373</v>
      </c>
      <c r="BD519" s="132" t="s">
        <v>178</v>
      </c>
      <c r="BE519" s="132" t="s">
        <v>178</v>
      </c>
      <c r="BF519" s="123"/>
      <c r="BG519" s="83">
        <v>1178558.0</v>
      </c>
      <c r="BH519" s="112">
        <v>3.0</v>
      </c>
      <c r="BI519" s="98" t="s">
        <v>155</v>
      </c>
      <c r="BJ519" s="98" t="str">
        <f t="shared" si="1"/>
        <v>NÃO</v>
      </c>
      <c r="BK519" s="98" t="str">
        <f t="shared" si="2"/>
        <v>NÃO</v>
      </c>
    </row>
    <row r="520" ht="15.75" customHeight="1">
      <c r="A520" s="111" t="s">
        <v>605</v>
      </c>
      <c r="B520" s="83" t="s">
        <v>2090</v>
      </c>
      <c r="C520" s="83" t="s">
        <v>164</v>
      </c>
      <c r="D520" s="83">
        <v>1178093.0</v>
      </c>
      <c r="E520" s="83">
        <v>1178557.0</v>
      </c>
      <c r="F520" s="83"/>
      <c r="G520" s="185" t="s">
        <v>2132</v>
      </c>
      <c r="H520" s="91" t="s">
        <v>2133</v>
      </c>
      <c r="I520" s="114" t="s">
        <v>149</v>
      </c>
      <c r="J520" s="83" t="s">
        <v>464</v>
      </c>
      <c r="K520" s="83" t="s">
        <v>151</v>
      </c>
      <c r="L520" s="83" t="s">
        <v>169</v>
      </c>
      <c r="M520" s="82" t="s">
        <v>6421</v>
      </c>
      <c r="N520" s="82" t="s">
        <v>6422</v>
      </c>
      <c r="O520" s="82" t="s">
        <v>6424</v>
      </c>
      <c r="P520" s="82" t="s">
        <v>6426</v>
      </c>
      <c r="Q520" s="82" t="s">
        <v>6428</v>
      </c>
      <c r="R520" s="82" t="s">
        <v>6429</v>
      </c>
      <c r="S520" s="82" t="s">
        <v>6431</v>
      </c>
      <c r="T520" s="138">
        <v>3.0</v>
      </c>
      <c r="U520" s="334">
        <v>3.0</v>
      </c>
      <c r="V520" s="106">
        <v>0.0</v>
      </c>
      <c r="W520" s="107">
        <v>0.0</v>
      </c>
      <c r="X520" s="107">
        <v>0.0</v>
      </c>
      <c r="Y520" s="107">
        <v>0.0</v>
      </c>
      <c r="Z520" s="80">
        <v>0.0</v>
      </c>
      <c r="AA520" s="140">
        <v>0.0</v>
      </c>
      <c r="AB520" s="109">
        <v>0.0</v>
      </c>
      <c r="AC520" s="109">
        <v>0.0</v>
      </c>
      <c r="AD520" s="141">
        <v>0.0</v>
      </c>
      <c r="AE520" s="80">
        <v>0.0</v>
      </c>
      <c r="AF520" s="140">
        <v>0.0</v>
      </c>
      <c r="AG520" s="109">
        <v>0.0</v>
      </c>
      <c r="AH520" s="109">
        <v>19.0</v>
      </c>
      <c r="AI520" s="141">
        <v>0.0</v>
      </c>
      <c r="AJ520" s="80">
        <v>19.0</v>
      </c>
      <c r="AK520" s="140">
        <v>0.0</v>
      </c>
      <c r="AL520" s="109">
        <v>0.0</v>
      </c>
      <c r="AM520" s="141">
        <v>0.0</v>
      </c>
      <c r="AN520" s="80">
        <v>0.0</v>
      </c>
      <c r="AO520" s="140">
        <v>0.0</v>
      </c>
      <c r="AP520" s="109">
        <v>0.0</v>
      </c>
      <c r="AQ520" s="109">
        <v>28.0</v>
      </c>
      <c r="AR520" s="80">
        <v>28.0</v>
      </c>
      <c r="AS520" s="110">
        <v>0.0</v>
      </c>
      <c r="AT520" s="110">
        <v>0.0</v>
      </c>
      <c r="AU520" s="110">
        <v>0.0</v>
      </c>
      <c r="AV520" s="142">
        <v>0.0</v>
      </c>
      <c r="AW520" s="80">
        <v>0.0</v>
      </c>
      <c r="AX520" s="113">
        <v>47.0</v>
      </c>
      <c r="AY520" s="117">
        <v>0.0</v>
      </c>
      <c r="AZ520" s="328">
        <v>47.0</v>
      </c>
      <c r="BA520" s="315">
        <v>0.0</v>
      </c>
      <c r="BB520" s="316">
        <v>47.0</v>
      </c>
      <c r="BC520" s="132" t="s">
        <v>373</v>
      </c>
      <c r="BD520" s="132" t="s">
        <v>178</v>
      </c>
      <c r="BE520" s="132" t="s">
        <v>178</v>
      </c>
      <c r="BF520" s="123"/>
      <c r="BG520" s="83">
        <v>1178557.0</v>
      </c>
      <c r="BH520" s="112">
        <v>3.0</v>
      </c>
      <c r="BI520" s="98" t="s">
        <v>155</v>
      </c>
      <c r="BJ520" s="98" t="str">
        <f t="shared" si="1"/>
        <v>NÃO</v>
      </c>
      <c r="BK520" s="98" t="str">
        <f t="shared" si="2"/>
        <v>NÃO</v>
      </c>
    </row>
    <row r="521" ht="15.75" customHeight="1">
      <c r="A521" s="111" t="s">
        <v>605</v>
      </c>
      <c r="B521" s="83" t="s">
        <v>2090</v>
      </c>
      <c r="C521" s="83" t="s">
        <v>164</v>
      </c>
      <c r="D521" s="83">
        <v>1178093.0</v>
      </c>
      <c r="E521" s="83">
        <v>1179696.0</v>
      </c>
      <c r="F521" s="83"/>
      <c r="G521" s="185" t="s">
        <v>2139</v>
      </c>
      <c r="H521" s="91" t="s">
        <v>2141</v>
      </c>
      <c r="I521" s="114" t="s">
        <v>149</v>
      </c>
      <c r="J521" s="83" t="s">
        <v>2142</v>
      </c>
      <c r="K521" s="83" t="s">
        <v>151</v>
      </c>
      <c r="L521" s="83" t="s">
        <v>169</v>
      </c>
      <c r="M521" s="82" t="s">
        <v>6421</v>
      </c>
      <c r="N521" s="82" t="s">
        <v>6422</v>
      </c>
      <c r="O521" s="82" t="s">
        <v>6424</v>
      </c>
      <c r="P521" s="82" t="s">
        <v>6426</v>
      </c>
      <c r="Q521" s="82" t="s">
        <v>6428</v>
      </c>
      <c r="R521" s="82" t="s">
        <v>6429</v>
      </c>
      <c r="S521" s="82" t="s">
        <v>6431</v>
      </c>
      <c r="T521" s="138">
        <v>3.0</v>
      </c>
      <c r="U521" s="334">
        <v>3.0</v>
      </c>
      <c r="V521" s="106">
        <v>0.0</v>
      </c>
      <c r="W521" s="107">
        <v>0.0</v>
      </c>
      <c r="X521" s="107">
        <v>0.0</v>
      </c>
      <c r="Y521" s="107">
        <v>0.0</v>
      </c>
      <c r="Z521" s="80">
        <v>0.0</v>
      </c>
      <c r="AA521" s="140">
        <v>0.0</v>
      </c>
      <c r="AB521" s="109">
        <v>0.0</v>
      </c>
      <c r="AC521" s="109">
        <v>0.0</v>
      </c>
      <c r="AD521" s="141">
        <v>0.0</v>
      </c>
      <c r="AE521" s="80">
        <v>0.0</v>
      </c>
      <c r="AF521" s="140">
        <v>0.0</v>
      </c>
      <c r="AG521" s="109">
        <v>0.0</v>
      </c>
      <c r="AH521" s="109">
        <v>19.0</v>
      </c>
      <c r="AI521" s="141">
        <v>0.0</v>
      </c>
      <c r="AJ521" s="80">
        <v>19.0</v>
      </c>
      <c r="AK521" s="140">
        <v>0.0</v>
      </c>
      <c r="AL521" s="109">
        <v>0.0</v>
      </c>
      <c r="AM521" s="141">
        <v>0.0</v>
      </c>
      <c r="AN521" s="80">
        <v>0.0</v>
      </c>
      <c r="AO521" s="140">
        <v>0.0</v>
      </c>
      <c r="AP521" s="109">
        <v>0.0</v>
      </c>
      <c r="AQ521" s="109">
        <v>13.0</v>
      </c>
      <c r="AR521" s="80">
        <v>13.0</v>
      </c>
      <c r="AS521" s="110">
        <v>0.0</v>
      </c>
      <c r="AT521" s="110">
        <v>0.0</v>
      </c>
      <c r="AU521" s="110">
        <v>0.0</v>
      </c>
      <c r="AV521" s="142">
        <v>0.0</v>
      </c>
      <c r="AW521" s="80">
        <v>0.0</v>
      </c>
      <c r="AX521" s="113">
        <v>32.0</v>
      </c>
      <c r="AY521" s="117">
        <v>0.0</v>
      </c>
      <c r="AZ521" s="328">
        <v>32.0</v>
      </c>
      <c r="BA521" s="315">
        <v>0.0</v>
      </c>
      <c r="BB521" s="316">
        <v>32.0</v>
      </c>
      <c r="BC521" s="132" t="s">
        <v>373</v>
      </c>
      <c r="BD521" s="132" t="s">
        <v>178</v>
      </c>
      <c r="BE521" s="132" t="s">
        <v>178</v>
      </c>
      <c r="BF521" s="123"/>
      <c r="BG521" s="83">
        <v>1179696.0</v>
      </c>
      <c r="BH521" s="112">
        <v>3.0</v>
      </c>
      <c r="BI521" s="98" t="s">
        <v>155</v>
      </c>
      <c r="BJ521" s="98" t="str">
        <f t="shared" si="1"/>
        <v>NÃO</v>
      </c>
      <c r="BK521" s="98" t="str">
        <f t="shared" si="2"/>
        <v>NÃO</v>
      </c>
    </row>
    <row r="522" ht="15.75" customHeight="1">
      <c r="A522" s="111" t="s">
        <v>605</v>
      </c>
      <c r="B522" s="83" t="s">
        <v>2146</v>
      </c>
      <c r="C522" s="83" t="s">
        <v>68</v>
      </c>
      <c r="D522" s="83">
        <v>1178036.0</v>
      </c>
      <c r="E522" s="83"/>
      <c r="F522" s="83">
        <v>2.9425719E7</v>
      </c>
      <c r="G522" s="185" t="s">
        <v>2149</v>
      </c>
      <c r="H522" s="91" t="s">
        <v>2151</v>
      </c>
      <c r="I522" s="114" t="s">
        <v>149</v>
      </c>
      <c r="J522" s="83" t="s">
        <v>865</v>
      </c>
      <c r="K522" s="83" t="s">
        <v>151</v>
      </c>
      <c r="L522" s="83" t="s">
        <v>230</v>
      </c>
      <c r="M522" s="82" t="s">
        <v>6452</v>
      </c>
      <c r="N522" s="82" t="s">
        <v>6453</v>
      </c>
      <c r="O522" s="82" t="s">
        <v>6454</v>
      </c>
      <c r="P522" s="82" t="s">
        <v>6455</v>
      </c>
      <c r="Q522" s="82"/>
      <c r="R522" s="82"/>
      <c r="S522" s="82" t="s">
        <v>6456</v>
      </c>
      <c r="T522" s="138">
        <v>9.0</v>
      </c>
      <c r="U522" s="334">
        <v>8.0</v>
      </c>
      <c r="V522" s="106">
        <v>0.0</v>
      </c>
      <c r="W522" s="107">
        <v>0.0</v>
      </c>
      <c r="X522" s="107">
        <v>0.0</v>
      </c>
      <c r="Y522" s="107">
        <v>0.0</v>
      </c>
      <c r="Z522" s="80">
        <v>0.0</v>
      </c>
      <c r="AA522" s="140">
        <v>0.0</v>
      </c>
      <c r="AB522" s="109">
        <v>0.0</v>
      </c>
      <c r="AC522" s="109">
        <v>0.0</v>
      </c>
      <c r="AD522" s="141">
        <v>0.0</v>
      </c>
      <c r="AE522" s="80">
        <v>0.0</v>
      </c>
      <c r="AF522" s="140">
        <v>0.0</v>
      </c>
      <c r="AG522" s="109">
        <v>0.0</v>
      </c>
      <c r="AH522" s="109">
        <v>40.0</v>
      </c>
      <c r="AI522" s="141">
        <v>68.0</v>
      </c>
      <c r="AJ522" s="80">
        <v>108.0</v>
      </c>
      <c r="AK522" s="140">
        <v>0.0</v>
      </c>
      <c r="AL522" s="109">
        <v>0.0</v>
      </c>
      <c r="AM522" s="141">
        <v>0.0</v>
      </c>
      <c r="AN522" s="80">
        <v>0.0</v>
      </c>
      <c r="AO522" s="140">
        <v>0.0</v>
      </c>
      <c r="AP522" s="109">
        <v>0.0</v>
      </c>
      <c r="AQ522" s="109">
        <v>153.0</v>
      </c>
      <c r="AR522" s="80">
        <v>153.0</v>
      </c>
      <c r="AS522" s="110">
        <v>0.0</v>
      </c>
      <c r="AT522" s="110">
        <v>0.0</v>
      </c>
      <c r="AU522" s="110">
        <v>0.0</v>
      </c>
      <c r="AV522" s="142">
        <v>0.0</v>
      </c>
      <c r="AW522" s="80">
        <v>0.0</v>
      </c>
      <c r="AX522" s="113">
        <v>261.0</v>
      </c>
      <c r="AY522" s="117">
        <v>68.0</v>
      </c>
      <c r="AZ522" s="328">
        <v>193.0</v>
      </c>
      <c r="BA522" s="315">
        <v>0.0</v>
      </c>
      <c r="BB522" s="316">
        <v>261.0</v>
      </c>
      <c r="BC522" s="132" t="s">
        <v>373</v>
      </c>
      <c r="BD522" s="132" t="s">
        <v>178</v>
      </c>
      <c r="BE522" s="132" t="s">
        <v>178</v>
      </c>
      <c r="BF522" s="123"/>
      <c r="BG522" s="83">
        <v>1178036.0</v>
      </c>
      <c r="BH522" s="112">
        <v>8.0</v>
      </c>
      <c r="BI522" s="98" t="s">
        <v>155</v>
      </c>
      <c r="BJ522" s="98" t="str">
        <f t="shared" si="1"/>
        <v>INTEGRAL</v>
      </c>
      <c r="BK522" s="98" t="str">
        <f t="shared" si="2"/>
        <v>NÃO</v>
      </c>
    </row>
    <row r="523" ht="15.75" customHeight="1">
      <c r="A523" s="111" t="s">
        <v>605</v>
      </c>
      <c r="B523" s="83" t="s">
        <v>2146</v>
      </c>
      <c r="C523" s="83" t="s">
        <v>68</v>
      </c>
      <c r="D523" s="83">
        <v>1136480.0</v>
      </c>
      <c r="E523" s="83"/>
      <c r="F523" s="83">
        <v>2.9325803E7</v>
      </c>
      <c r="G523" s="241" t="s">
        <v>2155</v>
      </c>
      <c r="H523" s="91" t="s">
        <v>2156</v>
      </c>
      <c r="I523" s="114" t="s">
        <v>2157</v>
      </c>
      <c r="J523" s="83" t="s">
        <v>865</v>
      </c>
      <c r="K523" s="83" t="s">
        <v>151</v>
      </c>
      <c r="L523" s="83" t="s">
        <v>152</v>
      </c>
      <c r="M523" s="82" t="s">
        <v>6460</v>
      </c>
      <c r="N523" s="82" t="s">
        <v>6461</v>
      </c>
      <c r="O523" s="82" t="s">
        <v>6462</v>
      </c>
      <c r="P523" s="82" t="s">
        <v>6463</v>
      </c>
      <c r="Q523" s="82" t="s">
        <v>6464</v>
      </c>
      <c r="R523" s="82" t="s">
        <v>6465</v>
      </c>
      <c r="S523" s="82" t="s">
        <v>6467</v>
      </c>
      <c r="T523" s="138">
        <v>10.0</v>
      </c>
      <c r="U523" s="334" t="s">
        <v>6468</v>
      </c>
      <c r="V523" s="106">
        <v>0.0</v>
      </c>
      <c r="W523" s="107">
        <v>0.0</v>
      </c>
      <c r="X523" s="107">
        <v>0.0</v>
      </c>
      <c r="Y523" s="107">
        <v>0.0</v>
      </c>
      <c r="Z523" s="80">
        <v>0.0</v>
      </c>
      <c r="AA523" s="140">
        <v>0.0</v>
      </c>
      <c r="AB523" s="109">
        <v>0.0</v>
      </c>
      <c r="AC523" s="109">
        <v>0.0</v>
      </c>
      <c r="AD523" s="141">
        <v>0.0</v>
      </c>
      <c r="AE523" s="80">
        <v>0.0</v>
      </c>
      <c r="AF523" s="140">
        <v>403.0</v>
      </c>
      <c r="AG523" s="109">
        <v>335.0</v>
      </c>
      <c r="AH523" s="109">
        <v>53.0</v>
      </c>
      <c r="AI523" s="141">
        <v>0.0</v>
      </c>
      <c r="AJ523" s="80">
        <v>791.0</v>
      </c>
      <c r="AK523" s="140">
        <v>0.0</v>
      </c>
      <c r="AL523" s="109">
        <v>0.0</v>
      </c>
      <c r="AM523" s="141">
        <v>0.0</v>
      </c>
      <c r="AN523" s="80">
        <v>0.0</v>
      </c>
      <c r="AO523" s="140">
        <v>0.0</v>
      </c>
      <c r="AP523" s="109">
        <v>0.0</v>
      </c>
      <c r="AQ523" s="109">
        <v>79.0</v>
      </c>
      <c r="AR523" s="80">
        <v>79.0</v>
      </c>
      <c r="AS523" s="110">
        <v>0.0</v>
      </c>
      <c r="AT523" s="110">
        <v>0.0</v>
      </c>
      <c r="AU523" s="110">
        <v>0.0</v>
      </c>
      <c r="AV523" s="142">
        <v>0.0</v>
      </c>
      <c r="AW523" s="80">
        <v>0.0</v>
      </c>
      <c r="AX523" s="113">
        <v>870.0</v>
      </c>
      <c r="AY523" s="117">
        <v>738.0</v>
      </c>
      <c r="AZ523" s="328">
        <v>132.0</v>
      </c>
      <c r="BA523" s="315">
        <v>1.0</v>
      </c>
      <c r="BB523" s="316">
        <v>871.0</v>
      </c>
      <c r="BC523" s="132" t="s">
        <v>373</v>
      </c>
      <c r="BD523" s="132" t="s">
        <v>178</v>
      </c>
      <c r="BE523" s="132" t="s">
        <v>178</v>
      </c>
      <c r="BF523" s="156"/>
      <c r="BG523" s="83">
        <v>1136480.0</v>
      </c>
      <c r="BH523" s="112">
        <v>10.0</v>
      </c>
      <c r="BI523" s="98" t="s">
        <v>155</v>
      </c>
      <c r="BJ523" s="98" t="str">
        <f t="shared" si="1"/>
        <v>NÃO</v>
      </c>
      <c r="BK523" s="98" t="str">
        <f t="shared" si="2"/>
        <v>NÃO</v>
      </c>
    </row>
    <row r="524" ht="15.75" customHeight="1">
      <c r="A524" s="111" t="s">
        <v>605</v>
      </c>
      <c r="B524" s="83" t="s">
        <v>2146</v>
      </c>
      <c r="C524" s="83" t="s">
        <v>68</v>
      </c>
      <c r="D524" s="83">
        <v>1113579.0</v>
      </c>
      <c r="E524" s="83"/>
      <c r="F524" s="83">
        <v>2.962861E7</v>
      </c>
      <c r="G524" s="185" t="s">
        <v>6473</v>
      </c>
      <c r="H524" s="91" t="s">
        <v>2163</v>
      </c>
      <c r="I524" s="114" t="s">
        <v>149</v>
      </c>
      <c r="J524" s="83" t="s">
        <v>150</v>
      </c>
      <c r="K524" s="83" t="s">
        <v>151</v>
      </c>
      <c r="L524" s="83" t="s">
        <v>76</v>
      </c>
      <c r="M524" s="82" t="s">
        <v>6474</v>
      </c>
      <c r="N524" s="82" t="s">
        <v>6475</v>
      </c>
      <c r="O524" s="82" t="s">
        <v>6476</v>
      </c>
      <c r="P524" s="82" t="s">
        <v>6477</v>
      </c>
      <c r="Q524" s="82"/>
      <c r="R524" s="82"/>
      <c r="S524" s="82" t="s">
        <v>6478</v>
      </c>
      <c r="T524" s="138">
        <v>6.0</v>
      </c>
      <c r="U524" s="341" t="s">
        <v>6479</v>
      </c>
      <c r="V524" s="106">
        <v>0.0</v>
      </c>
      <c r="W524" s="107">
        <v>0.0</v>
      </c>
      <c r="X524" s="107">
        <v>0.0</v>
      </c>
      <c r="Y524" s="107">
        <v>0.0</v>
      </c>
      <c r="Z524" s="80">
        <v>0.0</v>
      </c>
      <c r="AA524" s="140">
        <v>0.0</v>
      </c>
      <c r="AB524" s="109">
        <v>0.0</v>
      </c>
      <c r="AC524" s="109">
        <v>0.0</v>
      </c>
      <c r="AD524" s="141">
        <v>0.0</v>
      </c>
      <c r="AE524" s="80">
        <v>0.0</v>
      </c>
      <c r="AF524" s="140">
        <v>216.0</v>
      </c>
      <c r="AG524" s="109">
        <v>157.0</v>
      </c>
      <c r="AH524" s="109">
        <v>0.0</v>
      </c>
      <c r="AI524" s="141">
        <v>0.0</v>
      </c>
      <c r="AJ524" s="80">
        <v>373.0</v>
      </c>
      <c r="AK524" s="140">
        <v>0.0</v>
      </c>
      <c r="AL524" s="109">
        <v>0.0</v>
      </c>
      <c r="AM524" s="141">
        <v>0.0</v>
      </c>
      <c r="AN524" s="80">
        <v>0.0</v>
      </c>
      <c r="AO524" s="140">
        <v>0.0</v>
      </c>
      <c r="AP524" s="109">
        <v>0.0</v>
      </c>
      <c r="AQ524" s="109">
        <v>78.0</v>
      </c>
      <c r="AR524" s="80">
        <v>78.0</v>
      </c>
      <c r="AS524" s="110">
        <v>0.0</v>
      </c>
      <c r="AT524" s="110">
        <v>0.0</v>
      </c>
      <c r="AU524" s="110">
        <v>0.0</v>
      </c>
      <c r="AV524" s="142">
        <v>0.0</v>
      </c>
      <c r="AW524" s="80">
        <v>0.0</v>
      </c>
      <c r="AX524" s="113">
        <v>451.0</v>
      </c>
      <c r="AY524" s="117">
        <v>373.0</v>
      </c>
      <c r="AZ524" s="328">
        <v>78.0</v>
      </c>
      <c r="BA524" s="315">
        <v>1.0</v>
      </c>
      <c r="BB524" s="316">
        <v>452.0</v>
      </c>
      <c r="BC524" s="132" t="s">
        <v>178</v>
      </c>
      <c r="BD524" s="132" t="s">
        <v>178</v>
      </c>
      <c r="BE524" s="132" t="s">
        <v>178</v>
      </c>
      <c r="BF524" s="123"/>
      <c r="BG524" s="83">
        <v>1113579.0</v>
      </c>
      <c r="BH524" s="112">
        <v>5.0</v>
      </c>
      <c r="BI524" s="98" t="s">
        <v>155</v>
      </c>
      <c r="BJ524" s="98" t="str">
        <f t="shared" si="1"/>
        <v>NÃO</v>
      </c>
      <c r="BK524" s="98" t="str">
        <f t="shared" si="2"/>
        <v>NÃO</v>
      </c>
    </row>
    <row r="525" ht="15.75" customHeight="1">
      <c r="A525" s="111" t="s">
        <v>605</v>
      </c>
      <c r="B525" s="83" t="s">
        <v>2146</v>
      </c>
      <c r="C525" s="83" t="s">
        <v>164</v>
      </c>
      <c r="D525" s="83">
        <v>1179713.0</v>
      </c>
      <c r="E525" s="83">
        <v>1178562.0</v>
      </c>
      <c r="F525" s="83"/>
      <c r="G525" s="184" t="s">
        <v>2168</v>
      </c>
      <c r="H525" s="91" t="s">
        <v>2169</v>
      </c>
      <c r="I525" s="114" t="s">
        <v>149</v>
      </c>
      <c r="J525" s="83" t="s">
        <v>240</v>
      </c>
      <c r="K525" s="83" t="s">
        <v>151</v>
      </c>
      <c r="L525" s="83" t="s">
        <v>169</v>
      </c>
      <c r="M525" s="82" t="s">
        <v>6220</v>
      </c>
      <c r="N525" s="82" t="s">
        <v>6221</v>
      </c>
      <c r="O525" s="82"/>
      <c r="P525" s="82"/>
      <c r="Q525" s="82"/>
      <c r="R525" s="82"/>
      <c r="S525" s="82"/>
      <c r="T525" s="138">
        <v>3.0</v>
      </c>
      <c r="U525" s="341">
        <v>3.0</v>
      </c>
      <c r="V525" s="106">
        <v>0.0</v>
      </c>
      <c r="W525" s="107">
        <v>0.0</v>
      </c>
      <c r="X525" s="107">
        <v>0.0</v>
      </c>
      <c r="Y525" s="107">
        <v>0.0</v>
      </c>
      <c r="Z525" s="80">
        <v>0.0</v>
      </c>
      <c r="AA525" s="140">
        <v>0.0</v>
      </c>
      <c r="AB525" s="109">
        <v>0.0</v>
      </c>
      <c r="AC525" s="109">
        <v>0.0</v>
      </c>
      <c r="AD525" s="141">
        <v>0.0</v>
      </c>
      <c r="AE525" s="80">
        <v>0.0</v>
      </c>
      <c r="AF525" s="140">
        <v>0.0</v>
      </c>
      <c r="AG525" s="109">
        <v>0.0</v>
      </c>
      <c r="AH525" s="109">
        <v>60.0</v>
      </c>
      <c r="AI525" s="141">
        <v>0.0</v>
      </c>
      <c r="AJ525" s="80">
        <v>60.0</v>
      </c>
      <c r="AK525" s="140">
        <v>0.0</v>
      </c>
      <c r="AL525" s="109">
        <v>0.0</v>
      </c>
      <c r="AM525" s="141">
        <v>0.0</v>
      </c>
      <c r="AN525" s="80">
        <v>0.0</v>
      </c>
      <c r="AO525" s="140">
        <v>0.0</v>
      </c>
      <c r="AP525" s="109">
        <v>0.0</v>
      </c>
      <c r="AQ525" s="109">
        <v>0.0</v>
      </c>
      <c r="AR525" s="80">
        <v>0.0</v>
      </c>
      <c r="AS525" s="110">
        <v>0.0</v>
      </c>
      <c r="AT525" s="110">
        <v>0.0</v>
      </c>
      <c r="AU525" s="110">
        <v>0.0</v>
      </c>
      <c r="AV525" s="142">
        <v>0.0</v>
      </c>
      <c r="AW525" s="80">
        <v>0.0</v>
      </c>
      <c r="AX525" s="113">
        <v>60.0</v>
      </c>
      <c r="AY525" s="117">
        <v>0.0</v>
      </c>
      <c r="AZ525" s="328">
        <v>60.0</v>
      </c>
      <c r="BA525" s="315">
        <v>0.0</v>
      </c>
      <c r="BB525" s="316">
        <v>60.0</v>
      </c>
      <c r="BC525" s="132" t="s">
        <v>178</v>
      </c>
      <c r="BD525" s="143" t="s">
        <v>227</v>
      </c>
      <c r="BE525" s="132" t="s">
        <v>178</v>
      </c>
      <c r="BF525" s="156"/>
      <c r="BG525" s="83">
        <v>1178562.0</v>
      </c>
      <c r="BH525" s="112">
        <v>3.0</v>
      </c>
      <c r="BI525" s="98" t="s">
        <v>155</v>
      </c>
      <c r="BJ525" s="98" t="str">
        <f t="shared" si="1"/>
        <v>NÃO</v>
      </c>
      <c r="BK525" s="98" t="str">
        <f t="shared" si="2"/>
        <v>NÃO</v>
      </c>
    </row>
    <row r="526" ht="15.75" customHeight="1">
      <c r="A526" s="111" t="s">
        <v>605</v>
      </c>
      <c r="B526" s="83" t="s">
        <v>2146</v>
      </c>
      <c r="C526" s="83" t="s">
        <v>164</v>
      </c>
      <c r="D526" s="83">
        <v>1136480.0</v>
      </c>
      <c r="E526" s="83">
        <v>1178560.0</v>
      </c>
      <c r="F526" s="83"/>
      <c r="G526" s="185" t="s">
        <v>2176</v>
      </c>
      <c r="H526" s="91" t="s">
        <v>2177</v>
      </c>
      <c r="I526" s="114" t="s">
        <v>149</v>
      </c>
      <c r="J526" s="83" t="s">
        <v>240</v>
      </c>
      <c r="K526" s="83" t="s">
        <v>151</v>
      </c>
      <c r="L526" s="83" t="s">
        <v>169</v>
      </c>
      <c r="M526" s="82" t="s">
        <v>6460</v>
      </c>
      <c r="N526" s="82" t="s">
        <v>6461</v>
      </c>
      <c r="O526" s="82" t="s">
        <v>6462</v>
      </c>
      <c r="P526" s="82" t="s">
        <v>6463</v>
      </c>
      <c r="Q526" s="82" t="s">
        <v>6464</v>
      </c>
      <c r="R526" s="82" t="s">
        <v>6465</v>
      </c>
      <c r="S526" s="82" t="s">
        <v>6467</v>
      </c>
      <c r="T526" s="138">
        <v>3.0</v>
      </c>
      <c r="U526" s="387">
        <v>3.0</v>
      </c>
      <c r="V526" s="106">
        <v>0.0</v>
      </c>
      <c r="W526" s="107">
        <v>0.0</v>
      </c>
      <c r="X526" s="107">
        <v>0.0</v>
      </c>
      <c r="Y526" s="107">
        <v>0.0</v>
      </c>
      <c r="Z526" s="80">
        <v>0.0</v>
      </c>
      <c r="AA526" s="140">
        <v>0.0</v>
      </c>
      <c r="AB526" s="109">
        <v>0.0</v>
      </c>
      <c r="AC526" s="109">
        <v>0.0</v>
      </c>
      <c r="AD526" s="141">
        <v>0.0</v>
      </c>
      <c r="AE526" s="80">
        <v>0.0</v>
      </c>
      <c r="AF526" s="140">
        <v>0.0</v>
      </c>
      <c r="AG526" s="109">
        <v>0.0</v>
      </c>
      <c r="AH526" s="109">
        <v>9.0</v>
      </c>
      <c r="AI526" s="141">
        <v>0.0</v>
      </c>
      <c r="AJ526" s="80">
        <v>9.0</v>
      </c>
      <c r="AK526" s="140">
        <v>0.0</v>
      </c>
      <c r="AL526" s="109">
        <v>0.0</v>
      </c>
      <c r="AM526" s="141">
        <v>0.0</v>
      </c>
      <c r="AN526" s="80">
        <v>0.0</v>
      </c>
      <c r="AO526" s="140">
        <v>0.0</v>
      </c>
      <c r="AP526" s="109">
        <v>0.0</v>
      </c>
      <c r="AQ526" s="109">
        <v>31.0</v>
      </c>
      <c r="AR526" s="80">
        <v>31.0</v>
      </c>
      <c r="AS526" s="110">
        <v>0.0</v>
      </c>
      <c r="AT526" s="110">
        <v>0.0</v>
      </c>
      <c r="AU526" s="110">
        <v>0.0</v>
      </c>
      <c r="AV526" s="142">
        <v>0.0</v>
      </c>
      <c r="AW526" s="80">
        <v>0.0</v>
      </c>
      <c r="AX526" s="113">
        <v>40.0</v>
      </c>
      <c r="AY526" s="117">
        <v>0.0</v>
      </c>
      <c r="AZ526" s="328">
        <v>40.0</v>
      </c>
      <c r="BA526" s="315">
        <v>0.0</v>
      </c>
      <c r="BB526" s="316">
        <v>40.0</v>
      </c>
      <c r="BC526" s="132" t="s">
        <v>265</v>
      </c>
      <c r="BD526" s="132" t="s">
        <v>178</v>
      </c>
      <c r="BE526" s="132" t="s">
        <v>178</v>
      </c>
      <c r="BF526" s="123"/>
      <c r="BG526" s="83">
        <v>1178560.0</v>
      </c>
      <c r="BH526" s="112">
        <v>3.0</v>
      </c>
      <c r="BI526" s="98" t="s">
        <v>155</v>
      </c>
      <c r="BJ526" s="98" t="str">
        <f t="shared" si="1"/>
        <v>NÃO</v>
      </c>
      <c r="BK526" s="98" t="str">
        <f t="shared" si="2"/>
        <v>NÃO</v>
      </c>
    </row>
    <row r="527" ht="15.75" customHeight="1">
      <c r="A527" s="111" t="s">
        <v>605</v>
      </c>
      <c r="B527" s="83" t="s">
        <v>2180</v>
      </c>
      <c r="C527" s="83" t="s">
        <v>68</v>
      </c>
      <c r="D527" s="83">
        <v>1179453.0</v>
      </c>
      <c r="E527" s="83"/>
      <c r="F527" s="83">
        <v>2.9467624E7</v>
      </c>
      <c r="G527" s="185" t="s">
        <v>2182</v>
      </c>
      <c r="H527" s="91" t="s">
        <v>2183</v>
      </c>
      <c r="I527" s="114" t="s">
        <v>149</v>
      </c>
      <c r="J527" s="83" t="s">
        <v>705</v>
      </c>
      <c r="K527" s="83" t="s">
        <v>151</v>
      </c>
      <c r="L527" s="83" t="s">
        <v>169</v>
      </c>
      <c r="M527" s="82" t="s">
        <v>6489</v>
      </c>
      <c r="N527" s="82" t="s">
        <v>6490</v>
      </c>
      <c r="O527" s="82"/>
      <c r="P527" s="82"/>
      <c r="Q527" s="82"/>
      <c r="R527" s="82"/>
      <c r="S527" s="82"/>
      <c r="T527" s="138">
        <v>9.0</v>
      </c>
      <c r="U527" s="352" t="s">
        <v>6491</v>
      </c>
      <c r="V527" s="106">
        <v>48.0</v>
      </c>
      <c r="W527" s="107">
        <v>5.0</v>
      </c>
      <c r="X527" s="107">
        <v>0.0</v>
      </c>
      <c r="Y527" s="107">
        <v>0.0</v>
      </c>
      <c r="Z527" s="80">
        <v>53.0</v>
      </c>
      <c r="AA527" s="140">
        <v>106.0</v>
      </c>
      <c r="AB527" s="109">
        <v>87.0</v>
      </c>
      <c r="AC527" s="109">
        <v>0.0</v>
      </c>
      <c r="AD527" s="141">
        <v>0.0</v>
      </c>
      <c r="AE527" s="80">
        <v>193.0</v>
      </c>
      <c r="AF527" s="140">
        <v>0.0</v>
      </c>
      <c r="AG527" s="109">
        <v>42.0</v>
      </c>
      <c r="AH527" s="109">
        <v>10.0</v>
      </c>
      <c r="AI527" s="141">
        <v>0.0</v>
      </c>
      <c r="AJ527" s="80">
        <v>52.0</v>
      </c>
      <c r="AK527" s="140">
        <v>0.0</v>
      </c>
      <c r="AL527" s="109">
        <v>0.0</v>
      </c>
      <c r="AM527" s="141">
        <v>8.0</v>
      </c>
      <c r="AN527" s="80">
        <v>8.0</v>
      </c>
      <c r="AO527" s="140">
        <v>0.0</v>
      </c>
      <c r="AP527" s="109">
        <v>0.0</v>
      </c>
      <c r="AQ527" s="109">
        <v>19.0</v>
      </c>
      <c r="AR527" s="80">
        <v>19.0</v>
      </c>
      <c r="AS527" s="110">
        <v>0.0</v>
      </c>
      <c r="AT527" s="110">
        <v>0.0</v>
      </c>
      <c r="AU527" s="110">
        <v>0.0</v>
      </c>
      <c r="AV527" s="142">
        <v>0.0</v>
      </c>
      <c r="AW527" s="80">
        <v>0.0</v>
      </c>
      <c r="AX527" s="113">
        <v>325.0</v>
      </c>
      <c r="AY527" s="117">
        <v>288.0</v>
      </c>
      <c r="AZ527" s="328">
        <v>37.0</v>
      </c>
      <c r="BA527" s="315">
        <v>0.0</v>
      </c>
      <c r="BB527" s="316">
        <v>325.0</v>
      </c>
      <c r="BC527" s="143" t="s">
        <v>1294</v>
      </c>
      <c r="BD527" s="132" t="s">
        <v>178</v>
      </c>
      <c r="BE527" s="132" t="s">
        <v>178</v>
      </c>
      <c r="BF527" s="123"/>
      <c r="BG527" s="83">
        <v>1179453.0</v>
      </c>
      <c r="BH527" s="112">
        <v>8.0</v>
      </c>
      <c r="BI527" s="98" t="s">
        <v>155</v>
      </c>
      <c r="BJ527" s="98" t="str">
        <f t="shared" si="1"/>
        <v>NÃO</v>
      </c>
      <c r="BK527" s="98" t="str">
        <f t="shared" si="2"/>
        <v>NÃO</v>
      </c>
    </row>
    <row r="528" ht="15.75" customHeight="1">
      <c r="A528" s="111" t="s">
        <v>605</v>
      </c>
      <c r="B528" s="83" t="s">
        <v>2180</v>
      </c>
      <c r="C528" s="83" t="s">
        <v>68</v>
      </c>
      <c r="D528" s="83">
        <v>1179368.0</v>
      </c>
      <c r="E528" s="83"/>
      <c r="F528" s="83">
        <v>2.946439E7</v>
      </c>
      <c r="G528" s="185" t="s">
        <v>2191</v>
      </c>
      <c r="H528" s="91" t="s">
        <v>2193</v>
      </c>
      <c r="I528" s="114" t="s">
        <v>2194</v>
      </c>
      <c r="J528" s="83" t="s">
        <v>183</v>
      </c>
      <c r="K528" s="83" t="s">
        <v>168</v>
      </c>
      <c r="L528" s="83" t="s">
        <v>169</v>
      </c>
      <c r="M528" s="82" t="s">
        <v>6489</v>
      </c>
      <c r="N528" s="82" t="s">
        <v>6490</v>
      </c>
      <c r="O528" s="82"/>
      <c r="P528" s="82"/>
      <c r="Q528" s="82"/>
      <c r="R528" s="82"/>
      <c r="S528" s="82"/>
      <c r="T528" s="138">
        <v>15.0</v>
      </c>
      <c r="U528" s="352">
        <v>5.0</v>
      </c>
      <c r="V528" s="106">
        <v>9.0</v>
      </c>
      <c r="W528" s="107">
        <v>13.0</v>
      </c>
      <c r="X528" s="107">
        <v>0.0</v>
      </c>
      <c r="Y528" s="107">
        <v>0.0</v>
      </c>
      <c r="Z528" s="80">
        <v>22.0</v>
      </c>
      <c r="AA528" s="140">
        <v>56.0</v>
      </c>
      <c r="AB528" s="109">
        <v>22.0</v>
      </c>
      <c r="AC528" s="109">
        <v>0.0</v>
      </c>
      <c r="AD528" s="141">
        <v>0.0</v>
      </c>
      <c r="AE528" s="80">
        <v>78.0</v>
      </c>
      <c r="AF528" s="140">
        <v>0.0</v>
      </c>
      <c r="AG528" s="109">
        <v>5.0</v>
      </c>
      <c r="AH528" s="109">
        <v>10.0</v>
      </c>
      <c r="AI528" s="141">
        <v>0.0</v>
      </c>
      <c r="AJ528" s="80">
        <v>15.0</v>
      </c>
      <c r="AK528" s="140">
        <v>0.0</v>
      </c>
      <c r="AL528" s="109">
        <v>0.0</v>
      </c>
      <c r="AM528" s="141">
        <v>6.0</v>
      </c>
      <c r="AN528" s="80">
        <v>6.0</v>
      </c>
      <c r="AO528" s="140">
        <v>0.0</v>
      </c>
      <c r="AP528" s="109">
        <v>0.0</v>
      </c>
      <c r="AQ528" s="109">
        <v>5.0</v>
      </c>
      <c r="AR528" s="80">
        <v>5.0</v>
      </c>
      <c r="AS528" s="110">
        <v>0.0</v>
      </c>
      <c r="AT528" s="110">
        <v>0.0</v>
      </c>
      <c r="AU528" s="110">
        <v>0.0</v>
      </c>
      <c r="AV528" s="142">
        <v>0.0</v>
      </c>
      <c r="AW528" s="80">
        <v>0.0</v>
      </c>
      <c r="AX528" s="113">
        <v>126.0</v>
      </c>
      <c r="AY528" s="117">
        <v>105.0</v>
      </c>
      <c r="AZ528" s="328">
        <v>21.0</v>
      </c>
      <c r="BA528" s="315">
        <v>0.0</v>
      </c>
      <c r="BB528" s="316">
        <v>126.0</v>
      </c>
      <c r="BC528" s="143" t="s">
        <v>1294</v>
      </c>
      <c r="BD528" s="132" t="s">
        <v>178</v>
      </c>
      <c r="BE528" s="132" t="s">
        <v>178</v>
      </c>
      <c r="BF528" s="123"/>
      <c r="BG528" s="83">
        <v>1179368.0</v>
      </c>
      <c r="BH528" s="112">
        <v>5.0</v>
      </c>
      <c r="BI528" s="98" t="s">
        <v>155</v>
      </c>
      <c r="BJ528" s="98" t="str">
        <f t="shared" si="1"/>
        <v>NÃO</v>
      </c>
      <c r="BK528" s="98" t="str">
        <f t="shared" si="2"/>
        <v>NÃO</v>
      </c>
    </row>
    <row r="529" ht="15.75" customHeight="1">
      <c r="A529" s="111" t="s">
        <v>605</v>
      </c>
      <c r="B529" s="83" t="s">
        <v>2180</v>
      </c>
      <c r="C529" s="83" t="s">
        <v>68</v>
      </c>
      <c r="D529" s="83">
        <v>1178223.0</v>
      </c>
      <c r="E529" s="83"/>
      <c r="F529" s="83">
        <v>2.9445213E7</v>
      </c>
      <c r="G529" s="185" t="s">
        <v>2199</v>
      </c>
      <c r="H529" s="91" t="s">
        <v>2200</v>
      </c>
      <c r="I529" s="114" t="s">
        <v>2201</v>
      </c>
      <c r="J529" s="83" t="s">
        <v>187</v>
      </c>
      <c r="K529" s="83" t="s">
        <v>168</v>
      </c>
      <c r="L529" s="83" t="s">
        <v>169</v>
      </c>
      <c r="M529" s="82" t="s">
        <v>6489</v>
      </c>
      <c r="N529" s="82" t="s">
        <v>6490</v>
      </c>
      <c r="O529" s="82"/>
      <c r="P529" s="82"/>
      <c r="Q529" s="82"/>
      <c r="R529" s="82"/>
      <c r="S529" s="82"/>
      <c r="T529" s="138" t="s">
        <v>171</v>
      </c>
      <c r="U529" s="331">
        <v>1.0</v>
      </c>
      <c r="V529" s="106">
        <v>0.0</v>
      </c>
      <c r="W529" s="107">
        <v>0.0</v>
      </c>
      <c r="X529" s="107">
        <v>0.0</v>
      </c>
      <c r="Y529" s="107">
        <v>0.0</v>
      </c>
      <c r="Z529" s="80">
        <v>0.0</v>
      </c>
      <c r="AA529" s="140">
        <v>0.0</v>
      </c>
      <c r="AB529" s="109">
        <v>0.0</v>
      </c>
      <c r="AC529" s="109">
        <v>0.0</v>
      </c>
      <c r="AD529" s="141">
        <v>0.0</v>
      </c>
      <c r="AE529" s="80">
        <v>0.0</v>
      </c>
      <c r="AF529" s="140">
        <v>0.0</v>
      </c>
      <c r="AG529" s="109">
        <v>0.0</v>
      </c>
      <c r="AH529" s="109">
        <v>0.0</v>
      </c>
      <c r="AI529" s="141">
        <v>0.0</v>
      </c>
      <c r="AJ529" s="80">
        <v>0.0</v>
      </c>
      <c r="AK529" s="140">
        <v>0.0</v>
      </c>
      <c r="AL529" s="109">
        <v>0.0</v>
      </c>
      <c r="AM529" s="141">
        <v>0.0</v>
      </c>
      <c r="AN529" s="80">
        <v>0.0</v>
      </c>
      <c r="AO529" s="140">
        <v>0.0</v>
      </c>
      <c r="AP529" s="109">
        <v>0.0</v>
      </c>
      <c r="AQ529" s="109">
        <v>0.0</v>
      </c>
      <c r="AR529" s="80">
        <v>0.0</v>
      </c>
      <c r="AS529" s="110">
        <v>0.0</v>
      </c>
      <c r="AT529" s="110">
        <v>0.0</v>
      </c>
      <c r="AU529" s="110">
        <v>0.0</v>
      </c>
      <c r="AV529" s="142">
        <v>0.0</v>
      </c>
      <c r="AW529" s="80">
        <v>0.0</v>
      </c>
      <c r="AX529" s="113">
        <v>0.0</v>
      </c>
      <c r="AY529" s="117">
        <v>0.0</v>
      </c>
      <c r="AZ529" s="328">
        <v>0.0</v>
      </c>
      <c r="BA529" s="315">
        <v>0.0</v>
      </c>
      <c r="BB529" s="316">
        <v>0.0</v>
      </c>
      <c r="BC529" s="143" t="s">
        <v>1294</v>
      </c>
      <c r="BD529" s="132" t="s">
        <v>6503</v>
      </c>
      <c r="BE529" s="132" t="s">
        <v>178</v>
      </c>
      <c r="BF529" s="235" t="s">
        <v>6505</v>
      </c>
      <c r="BG529" s="83">
        <v>1178223.0</v>
      </c>
      <c r="BH529" s="112">
        <v>1.0</v>
      </c>
      <c r="BI529" s="98" t="s">
        <v>155</v>
      </c>
      <c r="BJ529" s="98" t="str">
        <f t="shared" si="1"/>
        <v>NÃO</v>
      </c>
      <c r="BK529" s="98" t="str">
        <f t="shared" si="2"/>
        <v>NÃO</v>
      </c>
    </row>
    <row r="530" ht="15.75" customHeight="1">
      <c r="A530" s="111" t="s">
        <v>605</v>
      </c>
      <c r="B530" s="83" t="s">
        <v>2180</v>
      </c>
      <c r="C530" s="83" t="s">
        <v>68</v>
      </c>
      <c r="D530" s="83">
        <v>1178127.0</v>
      </c>
      <c r="E530" s="83"/>
      <c r="F530" s="83">
        <v>2.9327059E7</v>
      </c>
      <c r="G530" s="185" t="s">
        <v>2207</v>
      </c>
      <c r="H530" s="91" t="s">
        <v>2208</v>
      </c>
      <c r="I530" s="114" t="s">
        <v>149</v>
      </c>
      <c r="J530" s="83" t="s">
        <v>865</v>
      </c>
      <c r="K530" s="83" t="s">
        <v>151</v>
      </c>
      <c r="L530" s="83" t="s">
        <v>169</v>
      </c>
      <c r="M530" s="82" t="s">
        <v>6507</v>
      </c>
      <c r="N530" s="82" t="s">
        <v>6508</v>
      </c>
      <c r="O530" s="82" t="s">
        <v>6509</v>
      </c>
      <c r="P530" s="82" t="s">
        <v>6510</v>
      </c>
      <c r="Q530" s="82"/>
      <c r="R530" s="82"/>
      <c r="S530" s="82" t="s">
        <v>6511</v>
      </c>
      <c r="T530" s="138">
        <v>8.0</v>
      </c>
      <c r="U530" s="331" t="s">
        <v>986</v>
      </c>
      <c r="V530" s="106">
        <v>0.0</v>
      </c>
      <c r="W530" s="107">
        <v>23.0</v>
      </c>
      <c r="X530" s="107">
        <v>0.0</v>
      </c>
      <c r="Y530" s="107">
        <v>0.0</v>
      </c>
      <c r="Z530" s="80">
        <v>23.0</v>
      </c>
      <c r="AA530" s="140">
        <v>35.0</v>
      </c>
      <c r="AB530" s="109">
        <v>55.0</v>
      </c>
      <c r="AC530" s="109">
        <v>0.0</v>
      </c>
      <c r="AD530" s="141">
        <v>0.0</v>
      </c>
      <c r="AE530" s="80">
        <v>90.0</v>
      </c>
      <c r="AF530" s="140">
        <v>29.0</v>
      </c>
      <c r="AG530" s="109">
        <v>0.0</v>
      </c>
      <c r="AH530" s="109">
        <v>0.0</v>
      </c>
      <c r="AI530" s="141">
        <v>0.0</v>
      </c>
      <c r="AJ530" s="80">
        <v>29.0</v>
      </c>
      <c r="AK530" s="140">
        <v>0.0</v>
      </c>
      <c r="AL530" s="109">
        <v>0.0</v>
      </c>
      <c r="AM530" s="141">
        <v>4.0</v>
      </c>
      <c r="AN530" s="80">
        <v>4.0</v>
      </c>
      <c r="AO530" s="140">
        <v>0.0</v>
      </c>
      <c r="AP530" s="109">
        <v>0.0</v>
      </c>
      <c r="AQ530" s="109">
        <v>0.0</v>
      </c>
      <c r="AR530" s="80">
        <v>0.0</v>
      </c>
      <c r="AS530" s="110">
        <v>0.0</v>
      </c>
      <c r="AT530" s="110">
        <v>0.0</v>
      </c>
      <c r="AU530" s="110">
        <v>0.0</v>
      </c>
      <c r="AV530" s="142">
        <v>0.0</v>
      </c>
      <c r="AW530" s="80">
        <v>0.0</v>
      </c>
      <c r="AX530" s="113">
        <v>146.0</v>
      </c>
      <c r="AY530" s="117">
        <v>142.0</v>
      </c>
      <c r="AZ530" s="328">
        <v>4.0</v>
      </c>
      <c r="BA530" s="315">
        <v>1.0</v>
      </c>
      <c r="BB530" s="316">
        <v>147.0</v>
      </c>
      <c r="BC530" s="143" t="s">
        <v>1294</v>
      </c>
      <c r="BD530" s="132" t="s">
        <v>178</v>
      </c>
      <c r="BE530" s="132" t="s">
        <v>178</v>
      </c>
      <c r="BF530" s="156"/>
      <c r="BG530" s="83">
        <v>1178127.0</v>
      </c>
      <c r="BH530" s="112">
        <v>5.0</v>
      </c>
      <c r="BI530" s="98" t="s">
        <v>155</v>
      </c>
      <c r="BJ530" s="98" t="str">
        <f t="shared" si="1"/>
        <v>NÃO</v>
      </c>
      <c r="BK530" s="98" t="str">
        <f t="shared" si="2"/>
        <v>NÃO</v>
      </c>
    </row>
    <row r="531" ht="15.75" customHeight="1">
      <c r="A531" s="111" t="s">
        <v>605</v>
      </c>
      <c r="B531" s="83" t="s">
        <v>2180</v>
      </c>
      <c r="C531" s="83" t="s">
        <v>68</v>
      </c>
      <c r="D531" s="83">
        <v>1178128.0</v>
      </c>
      <c r="E531" s="83"/>
      <c r="F531" s="83">
        <v>2.9327229E7</v>
      </c>
      <c r="G531" s="185" t="s">
        <v>2213</v>
      </c>
      <c r="H531" s="91" t="s">
        <v>2214</v>
      </c>
      <c r="I531" s="114" t="s">
        <v>149</v>
      </c>
      <c r="J531" s="83" t="s">
        <v>1806</v>
      </c>
      <c r="K531" s="83" t="s">
        <v>151</v>
      </c>
      <c r="L531" s="83" t="s">
        <v>169</v>
      </c>
      <c r="M531" s="82" t="s">
        <v>6516</v>
      </c>
      <c r="N531" s="82" t="s">
        <v>6517</v>
      </c>
      <c r="O531" s="82"/>
      <c r="P531" s="82"/>
      <c r="Q531" s="82"/>
      <c r="R531" s="82"/>
      <c r="S531" s="82"/>
      <c r="T531" s="426">
        <v>8.0</v>
      </c>
      <c r="U531" s="323">
        <v>8.0</v>
      </c>
      <c r="V531" s="106">
        <v>17.0</v>
      </c>
      <c r="W531" s="107">
        <v>0.0</v>
      </c>
      <c r="X531" s="107">
        <v>0.0</v>
      </c>
      <c r="Y531" s="107">
        <v>0.0</v>
      </c>
      <c r="Z531" s="80">
        <v>17.0</v>
      </c>
      <c r="AA531" s="140">
        <v>54.0</v>
      </c>
      <c r="AB531" s="109">
        <v>32.0</v>
      </c>
      <c r="AC531" s="109">
        <v>0.0</v>
      </c>
      <c r="AD531" s="141">
        <v>0.0</v>
      </c>
      <c r="AE531" s="80">
        <v>86.0</v>
      </c>
      <c r="AF531" s="140">
        <v>0.0</v>
      </c>
      <c r="AG531" s="109">
        <v>9.0</v>
      </c>
      <c r="AH531" s="109">
        <v>9.0</v>
      </c>
      <c r="AI531" s="141">
        <v>0.0</v>
      </c>
      <c r="AJ531" s="427">
        <v>18.0</v>
      </c>
      <c r="AK531" s="140">
        <v>0.0</v>
      </c>
      <c r="AL531" s="109">
        <v>0.0</v>
      </c>
      <c r="AM531" s="141">
        <v>9.0</v>
      </c>
      <c r="AN531" s="427">
        <v>9.0</v>
      </c>
      <c r="AO531" s="140">
        <v>0.0</v>
      </c>
      <c r="AP531" s="109">
        <v>0.0</v>
      </c>
      <c r="AQ531" s="109">
        <v>4.0</v>
      </c>
      <c r="AR531" s="427">
        <v>4.0</v>
      </c>
      <c r="AS531" s="109">
        <v>0.0</v>
      </c>
      <c r="AT531" s="109">
        <v>0.0</v>
      </c>
      <c r="AU531" s="109">
        <v>0.0</v>
      </c>
      <c r="AV531" s="428">
        <v>0.0</v>
      </c>
      <c r="AW531" s="427">
        <v>0.0</v>
      </c>
      <c r="AX531" s="429">
        <v>134.0</v>
      </c>
      <c r="AY531" s="429">
        <v>112.0</v>
      </c>
      <c r="AZ531" s="429">
        <v>22.0</v>
      </c>
      <c r="BA531" s="98">
        <v>0.0</v>
      </c>
      <c r="BB531" s="316">
        <v>134.0</v>
      </c>
      <c r="BC531" s="143" t="s">
        <v>1294</v>
      </c>
      <c r="BD531" s="132" t="s">
        <v>178</v>
      </c>
      <c r="BE531" s="132" t="s">
        <v>178</v>
      </c>
      <c r="BF531" s="83"/>
      <c r="BG531" s="83">
        <v>1178128.0</v>
      </c>
      <c r="BH531" s="112">
        <v>8.0</v>
      </c>
      <c r="BI531" s="98" t="s">
        <v>155</v>
      </c>
      <c r="BJ531" s="98" t="str">
        <f t="shared" si="1"/>
        <v>NÃO</v>
      </c>
      <c r="BK531" s="98" t="str">
        <f t="shared" si="2"/>
        <v>NÃO</v>
      </c>
    </row>
    <row r="532" ht="15.75" customHeight="1">
      <c r="A532" s="111" t="s">
        <v>605</v>
      </c>
      <c r="B532" s="83" t="s">
        <v>2180</v>
      </c>
      <c r="C532" s="83" t="s">
        <v>68</v>
      </c>
      <c r="D532" s="83">
        <v>1179452.0</v>
      </c>
      <c r="E532" s="83"/>
      <c r="F532" s="83">
        <v>2.9467551E7</v>
      </c>
      <c r="G532" s="185" t="s">
        <v>6525</v>
      </c>
      <c r="H532" s="91" t="s">
        <v>2221</v>
      </c>
      <c r="I532" s="114" t="s">
        <v>149</v>
      </c>
      <c r="J532" s="83" t="s">
        <v>705</v>
      </c>
      <c r="K532" s="83" t="s">
        <v>168</v>
      </c>
      <c r="L532" s="83" t="s">
        <v>169</v>
      </c>
      <c r="M532" s="82" t="s">
        <v>6528</v>
      </c>
      <c r="N532" s="82"/>
      <c r="O532" s="82"/>
      <c r="P532" s="82"/>
      <c r="Q532" s="82"/>
      <c r="R532" s="82"/>
      <c r="S532" s="82"/>
      <c r="T532" s="138">
        <v>8.0</v>
      </c>
      <c r="U532" s="331" t="s">
        <v>6529</v>
      </c>
      <c r="V532" s="106">
        <v>7.0</v>
      </c>
      <c r="W532" s="107">
        <v>10.0</v>
      </c>
      <c r="X532" s="107">
        <v>0.0</v>
      </c>
      <c r="Y532" s="107">
        <v>0.0</v>
      </c>
      <c r="Z532" s="80">
        <v>17.0</v>
      </c>
      <c r="AA532" s="140">
        <v>40.0</v>
      </c>
      <c r="AB532" s="109">
        <v>38.0</v>
      </c>
      <c r="AC532" s="109">
        <v>0.0</v>
      </c>
      <c r="AD532" s="141">
        <v>0.0</v>
      </c>
      <c r="AE532" s="80">
        <v>78.0</v>
      </c>
      <c r="AF532" s="140">
        <v>0.0</v>
      </c>
      <c r="AG532" s="109">
        <v>29.0</v>
      </c>
      <c r="AH532" s="109">
        <v>4.0</v>
      </c>
      <c r="AI532" s="141">
        <v>0.0</v>
      </c>
      <c r="AJ532" s="80">
        <v>33.0</v>
      </c>
      <c r="AK532" s="140">
        <v>0.0</v>
      </c>
      <c r="AL532" s="109">
        <v>0.0</v>
      </c>
      <c r="AM532" s="141">
        <v>7.0</v>
      </c>
      <c r="AN532" s="80">
        <v>7.0</v>
      </c>
      <c r="AO532" s="140">
        <v>0.0</v>
      </c>
      <c r="AP532" s="109">
        <v>0.0</v>
      </c>
      <c r="AQ532" s="109">
        <v>0.0</v>
      </c>
      <c r="AR532" s="80">
        <v>0.0</v>
      </c>
      <c r="AS532" s="110">
        <v>0.0</v>
      </c>
      <c r="AT532" s="110">
        <v>0.0</v>
      </c>
      <c r="AU532" s="110">
        <v>0.0</v>
      </c>
      <c r="AV532" s="142">
        <v>0.0</v>
      </c>
      <c r="AW532" s="80">
        <v>0.0</v>
      </c>
      <c r="AX532" s="113">
        <v>135.0</v>
      </c>
      <c r="AY532" s="117">
        <v>124.0</v>
      </c>
      <c r="AZ532" s="328">
        <v>11.0</v>
      </c>
      <c r="BA532" s="315">
        <v>0.0</v>
      </c>
      <c r="BB532" s="316">
        <v>135.0</v>
      </c>
      <c r="BC532" s="143" t="s">
        <v>1294</v>
      </c>
      <c r="BD532" s="132" t="s">
        <v>178</v>
      </c>
      <c r="BE532" s="132" t="s">
        <v>178</v>
      </c>
      <c r="BF532" s="123"/>
      <c r="BG532" s="83">
        <v>1179452.0</v>
      </c>
      <c r="BH532" s="112">
        <v>7.0</v>
      </c>
      <c r="BI532" s="98" t="s">
        <v>155</v>
      </c>
      <c r="BJ532" s="98" t="str">
        <f t="shared" si="1"/>
        <v>NÃO</v>
      </c>
      <c r="BK532" s="98" t="str">
        <f t="shared" si="2"/>
        <v>NÃO</v>
      </c>
    </row>
    <row r="533" ht="15.75" customHeight="1">
      <c r="A533" s="111" t="s">
        <v>605</v>
      </c>
      <c r="B533" s="83" t="s">
        <v>2180</v>
      </c>
      <c r="C533" s="83" t="s">
        <v>68</v>
      </c>
      <c r="D533" s="83">
        <v>1178182.0</v>
      </c>
      <c r="E533" s="83"/>
      <c r="F533" s="83">
        <v>2.944053E7</v>
      </c>
      <c r="G533" s="185" t="s">
        <v>2227</v>
      </c>
      <c r="H533" s="91" t="s">
        <v>2228</v>
      </c>
      <c r="I533" s="114" t="s">
        <v>149</v>
      </c>
      <c r="J533" s="83" t="s">
        <v>1806</v>
      </c>
      <c r="K533" s="83" t="s">
        <v>151</v>
      </c>
      <c r="L533" s="83" t="s">
        <v>169</v>
      </c>
      <c r="M533" s="82" t="s">
        <v>6229</v>
      </c>
      <c r="N533" s="82" t="s">
        <v>6230</v>
      </c>
      <c r="O533" s="82"/>
      <c r="P533" s="82"/>
      <c r="Q533" s="82"/>
      <c r="R533" s="82"/>
      <c r="S533" s="82"/>
      <c r="T533" s="138">
        <v>8.0</v>
      </c>
      <c r="U533" s="323">
        <v>4.0</v>
      </c>
      <c r="V533" s="106">
        <v>0.0</v>
      </c>
      <c r="W533" s="107">
        <v>0.0</v>
      </c>
      <c r="X533" s="107">
        <v>0.0</v>
      </c>
      <c r="Y533" s="107">
        <v>0.0</v>
      </c>
      <c r="Z533" s="80">
        <v>0.0</v>
      </c>
      <c r="AA533" s="140">
        <v>0.0</v>
      </c>
      <c r="AB533" s="109">
        <v>27.0</v>
      </c>
      <c r="AC533" s="109">
        <v>0.0</v>
      </c>
      <c r="AD533" s="141">
        <v>0.0</v>
      </c>
      <c r="AE533" s="80">
        <v>27.0</v>
      </c>
      <c r="AF533" s="140">
        <v>0.0</v>
      </c>
      <c r="AG533" s="109">
        <v>0.0</v>
      </c>
      <c r="AH533" s="109">
        <v>10.0</v>
      </c>
      <c r="AI533" s="141">
        <v>0.0</v>
      </c>
      <c r="AJ533" s="80">
        <v>10.0</v>
      </c>
      <c r="AK533" s="140">
        <v>0.0</v>
      </c>
      <c r="AL533" s="109">
        <v>0.0</v>
      </c>
      <c r="AM533" s="141">
        <v>4.0</v>
      </c>
      <c r="AN533" s="80">
        <v>4.0</v>
      </c>
      <c r="AO533" s="140">
        <v>0.0</v>
      </c>
      <c r="AP533" s="109">
        <v>0.0</v>
      </c>
      <c r="AQ533" s="109">
        <v>15.0</v>
      </c>
      <c r="AR533" s="80">
        <v>15.0</v>
      </c>
      <c r="AS533" s="110">
        <v>0.0</v>
      </c>
      <c r="AT533" s="110">
        <v>0.0</v>
      </c>
      <c r="AU533" s="110">
        <v>0.0</v>
      </c>
      <c r="AV533" s="142">
        <v>0.0</v>
      </c>
      <c r="AW533" s="80">
        <v>0.0</v>
      </c>
      <c r="AX533" s="113">
        <v>56.0</v>
      </c>
      <c r="AY533" s="117">
        <v>27.0</v>
      </c>
      <c r="AZ533" s="328">
        <v>29.0</v>
      </c>
      <c r="BA533" s="315">
        <v>0.0</v>
      </c>
      <c r="BB533" s="316">
        <v>56.0</v>
      </c>
      <c r="BC533" s="132" t="s">
        <v>631</v>
      </c>
      <c r="BD533" s="132" t="s">
        <v>178</v>
      </c>
      <c r="BE533" s="132" t="s">
        <v>178</v>
      </c>
      <c r="BF533" s="123"/>
      <c r="BG533" s="83">
        <v>1178182.0</v>
      </c>
      <c r="BH533" s="112">
        <v>4.0</v>
      </c>
      <c r="BI533" s="98" t="s">
        <v>155</v>
      </c>
      <c r="BJ533" s="98" t="str">
        <f t="shared" si="1"/>
        <v>NÃO</v>
      </c>
      <c r="BK533" s="98" t="str">
        <f t="shared" si="2"/>
        <v>NÃO</v>
      </c>
    </row>
    <row r="534" ht="15.75" customHeight="1">
      <c r="A534" s="111" t="s">
        <v>605</v>
      </c>
      <c r="B534" s="83" t="s">
        <v>2180</v>
      </c>
      <c r="C534" s="83" t="s">
        <v>68</v>
      </c>
      <c r="D534" s="83">
        <v>1179686.0</v>
      </c>
      <c r="E534" s="83"/>
      <c r="F534" s="83">
        <v>2.947722E7</v>
      </c>
      <c r="G534" s="185" t="s">
        <v>2235</v>
      </c>
      <c r="H534" s="91" t="s">
        <v>2236</v>
      </c>
      <c r="I534" s="114" t="s">
        <v>149</v>
      </c>
      <c r="J534" s="83" t="s">
        <v>705</v>
      </c>
      <c r="K534" s="83" t="s">
        <v>151</v>
      </c>
      <c r="L534" s="83" t="s">
        <v>169</v>
      </c>
      <c r="M534" s="82" t="s">
        <v>6309</v>
      </c>
      <c r="N534" s="82" t="s">
        <v>6310</v>
      </c>
      <c r="O534" s="82"/>
      <c r="P534" s="82"/>
      <c r="Q534" s="82"/>
      <c r="R534" s="82"/>
      <c r="S534" s="82" t="s">
        <v>6311</v>
      </c>
      <c r="T534" s="138">
        <v>6.0</v>
      </c>
      <c r="U534" s="323">
        <v>6.0</v>
      </c>
      <c r="V534" s="106">
        <v>0.0</v>
      </c>
      <c r="W534" s="107">
        <v>0.0</v>
      </c>
      <c r="X534" s="107">
        <v>0.0</v>
      </c>
      <c r="Y534" s="107">
        <v>0.0</v>
      </c>
      <c r="Z534" s="80">
        <v>0.0</v>
      </c>
      <c r="AA534" s="140">
        <v>0.0</v>
      </c>
      <c r="AB534" s="109">
        <v>0.0</v>
      </c>
      <c r="AC534" s="109">
        <v>0.0</v>
      </c>
      <c r="AD534" s="141">
        <v>0.0</v>
      </c>
      <c r="AE534" s="80">
        <v>0.0</v>
      </c>
      <c r="AF534" s="140">
        <v>0.0</v>
      </c>
      <c r="AG534" s="109">
        <v>0.0</v>
      </c>
      <c r="AH534" s="109">
        <v>13.0</v>
      </c>
      <c r="AI534" s="141">
        <v>0.0</v>
      </c>
      <c r="AJ534" s="80">
        <v>13.0</v>
      </c>
      <c r="AK534" s="140">
        <v>0.0</v>
      </c>
      <c r="AL534" s="109">
        <v>0.0</v>
      </c>
      <c r="AM534" s="141">
        <v>0.0</v>
      </c>
      <c r="AN534" s="80">
        <v>0.0</v>
      </c>
      <c r="AO534" s="140">
        <v>0.0</v>
      </c>
      <c r="AP534" s="109">
        <v>0.0</v>
      </c>
      <c r="AQ534" s="109">
        <v>34.0</v>
      </c>
      <c r="AR534" s="80">
        <v>34.0</v>
      </c>
      <c r="AS534" s="110">
        <v>0.0</v>
      </c>
      <c r="AT534" s="110">
        <v>0.0</v>
      </c>
      <c r="AU534" s="110">
        <v>0.0</v>
      </c>
      <c r="AV534" s="142">
        <v>15.0</v>
      </c>
      <c r="AW534" s="80">
        <v>15.0</v>
      </c>
      <c r="AX534" s="113">
        <v>62.0</v>
      </c>
      <c r="AY534" s="117">
        <v>15.0</v>
      </c>
      <c r="AZ534" s="328">
        <v>47.0</v>
      </c>
      <c r="BA534" s="315">
        <v>0.0</v>
      </c>
      <c r="BB534" s="316">
        <v>62.0</v>
      </c>
      <c r="BC534" s="132" t="s">
        <v>631</v>
      </c>
      <c r="BD534" s="132" t="s">
        <v>178</v>
      </c>
      <c r="BE534" s="132" t="s">
        <v>178</v>
      </c>
      <c r="BF534" s="156"/>
      <c r="BG534" s="83">
        <v>1179686.0</v>
      </c>
      <c r="BH534" s="112">
        <v>6.0</v>
      </c>
      <c r="BI534" s="98" t="s">
        <v>162</v>
      </c>
      <c r="BJ534" s="98" t="str">
        <f t="shared" si="1"/>
        <v>INTEGRAL</v>
      </c>
      <c r="BK534" s="98" t="str">
        <f t="shared" si="2"/>
        <v>PROFISSIONAL</v>
      </c>
    </row>
    <row r="535" ht="15.75" customHeight="1">
      <c r="A535" s="111" t="s">
        <v>605</v>
      </c>
      <c r="B535" s="83" t="s">
        <v>2180</v>
      </c>
      <c r="C535" s="83" t="s">
        <v>68</v>
      </c>
      <c r="D535" s="83">
        <v>1113749.0</v>
      </c>
      <c r="E535" s="83"/>
      <c r="F535" s="83">
        <v>2.9327202E7</v>
      </c>
      <c r="G535" s="279" t="s">
        <v>2243</v>
      </c>
      <c r="H535" s="91" t="s">
        <v>6540</v>
      </c>
      <c r="I535" s="114" t="s">
        <v>149</v>
      </c>
      <c r="J535" s="83" t="s">
        <v>150</v>
      </c>
      <c r="K535" s="83" t="s">
        <v>151</v>
      </c>
      <c r="L535" s="83" t="s">
        <v>152</v>
      </c>
      <c r="M535" s="82" t="s">
        <v>6542</v>
      </c>
      <c r="N535" s="82" t="s">
        <v>6543</v>
      </c>
      <c r="O535" s="82" t="s">
        <v>6544</v>
      </c>
      <c r="P535" s="82" t="s">
        <v>6545</v>
      </c>
      <c r="Q535" s="82"/>
      <c r="R535" s="82"/>
      <c r="S535" s="82" t="s">
        <v>6546</v>
      </c>
      <c r="T535" s="138">
        <v>8.0</v>
      </c>
      <c r="U535" s="323">
        <v>8.0</v>
      </c>
      <c r="V535" s="106">
        <v>0.0</v>
      </c>
      <c r="W535" s="107">
        <v>0.0</v>
      </c>
      <c r="X535" s="107">
        <v>0.0</v>
      </c>
      <c r="Y535" s="107">
        <v>0.0</v>
      </c>
      <c r="Z535" s="80">
        <v>0.0</v>
      </c>
      <c r="AA535" s="140">
        <v>0.0</v>
      </c>
      <c r="AB535" s="109">
        <v>0.0</v>
      </c>
      <c r="AC535" s="109">
        <v>0.0</v>
      </c>
      <c r="AD535" s="141">
        <v>0.0</v>
      </c>
      <c r="AE535" s="80">
        <v>0.0</v>
      </c>
      <c r="AF535" s="140">
        <v>218.0</v>
      </c>
      <c r="AG535" s="109">
        <v>117.0</v>
      </c>
      <c r="AH535" s="109">
        <v>45.0</v>
      </c>
      <c r="AI535" s="141">
        <v>200.0</v>
      </c>
      <c r="AJ535" s="80">
        <v>580.0</v>
      </c>
      <c r="AK535" s="140">
        <v>0.0</v>
      </c>
      <c r="AL535" s="109">
        <v>0.0</v>
      </c>
      <c r="AM535" s="141">
        <v>0.0</v>
      </c>
      <c r="AN535" s="80">
        <v>0.0</v>
      </c>
      <c r="AO535" s="140">
        <v>0.0</v>
      </c>
      <c r="AP535" s="109">
        <v>0.0</v>
      </c>
      <c r="AQ535" s="109">
        <v>161.0</v>
      </c>
      <c r="AR535" s="80">
        <v>161.0</v>
      </c>
      <c r="AS535" s="110">
        <v>0.0</v>
      </c>
      <c r="AT535" s="110">
        <v>0.0</v>
      </c>
      <c r="AU535" s="110">
        <v>0.0</v>
      </c>
      <c r="AV535" s="142">
        <v>0.0</v>
      </c>
      <c r="AW535" s="80">
        <v>0.0</v>
      </c>
      <c r="AX535" s="113">
        <v>741.0</v>
      </c>
      <c r="AY535" s="117">
        <v>535.0</v>
      </c>
      <c r="AZ535" s="328">
        <v>206.0</v>
      </c>
      <c r="BA535" s="315">
        <v>0.0</v>
      </c>
      <c r="BB535" s="316">
        <v>741.0</v>
      </c>
      <c r="BC535" s="132" t="s">
        <v>178</v>
      </c>
      <c r="BD535" s="132" t="s">
        <v>178</v>
      </c>
      <c r="BE535" s="132" t="s">
        <v>178</v>
      </c>
      <c r="BF535" s="181"/>
      <c r="BG535" s="83">
        <v>1113749.0</v>
      </c>
      <c r="BH535" s="112">
        <v>8.0</v>
      </c>
      <c r="BI535" s="98" t="s">
        <v>162</v>
      </c>
      <c r="BJ535" s="98" t="str">
        <f t="shared" si="1"/>
        <v>INTEGRAL</v>
      </c>
      <c r="BK535" s="98" t="str">
        <f t="shared" si="2"/>
        <v>NÃO</v>
      </c>
    </row>
    <row r="536" ht="15.75" customHeight="1">
      <c r="A536" s="111" t="s">
        <v>605</v>
      </c>
      <c r="B536" s="83" t="s">
        <v>2180</v>
      </c>
      <c r="C536" s="83" t="s">
        <v>164</v>
      </c>
      <c r="D536" s="83">
        <v>1179368.0</v>
      </c>
      <c r="E536" s="83">
        <v>1179688.0</v>
      </c>
      <c r="F536" s="83"/>
      <c r="G536" s="430" t="s">
        <v>2251</v>
      </c>
      <c r="H536" s="91" t="s">
        <v>2252</v>
      </c>
      <c r="I536" s="114" t="s">
        <v>2254</v>
      </c>
      <c r="J536" s="83" t="s">
        <v>464</v>
      </c>
      <c r="K536" s="83" t="s">
        <v>168</v>
      </c>
      <c r="L536" s="83" t="s">
        <v>169</v>
      </c>
      <c r="M536" s="82" t="s">
        <v>6489</v>
      </c>
      <c r="N536" s="82" t="s">
        <v>6490</v>
      </c>
      <c r="O536" s="82"/>
      <c r="P536" s="82"/>
      <c r="Q536" s="82"/>
      <c r="R536" s="82"/>
      <c r="S536" s="82"/>
      <c r="T536" s="138">
        <v>1.0</v>
      </c>
      <c r="U536" s="323">
        <v>2.0</v>
      </c>
      <c r="V536" s="106">
        <v>0.0</v>
      </c>
      <c r="W536" s="107">
        <v>5.0</v>
      </c>
      <c r="X536" s="107">
        <v>0.0</v>
      </c>
      <c r="Y536" s="107">
        <v>0.0</v>
      </c>
      <c r="Z536" s="80">
        <v>5.0</v>
      </c>
      <c r="AA536" s="140">
        <v>9.0</v>
      </c>
      <c r="AB536" s="109">
        <v>0.0</v>
      </c>
      <c r="AC536" s="109">
        <v>0.0</v>
      </c>
      <c r="AD536" s="141">
        <v>0.0</v>
      </c>
      <c r="AE536" s="80">
        <v>9.0</v>
      </c>
      <c r="AF536" s="140">
        <v>0.0</v>
      </c>
      <c r="AG536" s="109">
        <v>0.0</v>
      </c>
      <c r="AH536" s="109">
        <v>0.0</v>
      </c>
      <c r="AI536" s="141">
        <v>0.0</v>
      </c>
      <c r="AJ536" s="80">
        <v>0.0</v>
      </c>
      <c r="AK536" s="140">
        <v>0.0</v>
      </c>
      <c r="AL536" s="109">
        <v>0.0</v>
      </c>
      <c r="AM536" s="141">
        <v>14.0</v>
      </c>
      <c r="AN536" s="80">
        <v>14.0</v>
      </c>
      <c r="AO536" s="140">
        <v>0.0</v>
      </c>
      <c r="AP536" s="109">
        <v>0.0</v>
      </c>
      <c r="AQ536" s="109">
        <v>0.0</v>
      </c>
      <c r="AR536" s="80">
        <v>0.0</v>
      </c>
      <c r="AS536" s="110">
        <v>0.0</v>
      </c>
      <c r="AT536" s="110">
        <v>0.0</v>
      </c>
      <c r="AU536" s="110">
        <v>0.0</v>
      </c>
      <c r="AV536" s="142">
        <v>0.0</v>
      </c>
      <c r="AW536" s="80">
        <v>0.0</v>
      </c>
      <c r="AX536" s="113">
        <v>28.0</v>
      </c>
      <c r="AY536" s="117">
        <v>14.0</v>
      </c>
      <c r="AZ536" s="328">
        <v>14.0</v>
      </c>
      <c r="BA536" s="315">
        <v>0.0</v>
      </c>
      <c r="BB536" s="316">
        <v>28.0</v>
      </c>
      <c r="BC536" s="143" t="s">
        <v>1294</v>
      </c>
      <c r="BD536" s="132" t="s">
        <v>178</v>
      </c>
      <c r="BE536" s="132" t="s">
        <v>178</v>
      </c>
      <c r="BF536" s="156"/>
      <c r="BG536" s="83">
        <v>1179688.0</v>
      </c>
      <c r="BH536" s="112">
        <v>2.0</v>
      </c>
      <c r="BI536" s="98" t="s">
        <v>155</v>
      </c>
      <c r="BJ536" s="98" t="str">
        <f t="shared" si="1"/>
        <v>NÃO</v>
      </c>
      <c r="BK536" s="98" t="str">
        <f t="shared" si="2"/>
        <v>NÃO</v>
      </c>
    </row>
    <row r="537" ht="15.75" customHeight="1">
      <c r="A537" s="111" t="s">
        <v>605</v>
      </c>
      <c r="B537" s="83" t="s">
        <v>2180</v>
      </c>
      <c r="C537" s="83" t="s">
        <v>164</v>
      </c>
      <c r="D537" s="83">
        <v>1179368.0</v>
      </c>
      <c r="E537" s="83">
        <v>1179691.0</v>
      </c>
      <c r="F537" s="83"/>
      <c r="G537" s="219" t="s">
        <v>2259</v>
      </c>
      <c r="H537" s="91" t="s">
        <v>2260</v>
      </c>
      <c r="I537" s="125" t="s">
        <v>2201</v>
      </c>
      <c r="J537" s="83" t="s">
        <v>1012</v>
      </c>
      <c r="K537" s="83" t="s">
        <v>168</v>
      </c>
      <c r="L537" s="83" t="s">
        <v>169</v>
      </c>
      <c r="M537" s="82" t="s">
        <v>6489</v>
      </c>
      <c r="N537" s="82" t="s">
        <v>6490</v>
      </c>
      <c r="O537" s="82"/>
      <c r="P537" s="82"/>
      <c r="Q537" s="82"/>
      <c r="R537" s="82"/>
      <c r="S537" s="82"/>
      <c r="T537" s="138">
        <v>7.0</v>
      </c>
      <c r="U537" s="323">
        <v>4.0</v>
      </c>
      <c r="V537" s="106">
        <v>3.0</v>
      </c>
      <c r="W537" s="107">
        <v>12.0</v>
      </c>
      <c r="X537" s="107">
        <v>0.0</v>
      </c>
      <c r="Y537" s="107">
        <v>0.0</v>
      </c>
      <c r="Z537" s="80">
        <v>15.0</v>
      </c>
      <c r="AA537" s="140">
        <v>21.0</v>
      </c>
      <c r="AB537" s="109">
        <v>23.0</v>
      </c>
      <c r="AC537" s="109">
        <v>0.0</v>
      </c>
      <c r="AD537" s="141">
        <v>0.0</v>
      </c>
      <c r="AE537" s="80">
        <v>44.0</v>
      </c>
      <c r="AF537" s="140">
        <v>3.0</v>
      </c>
      <c r="AG537" s="109">
        <v>0.0</v>
      </c>
      <c r="AH537" s="109">
        <v>5.0</v>
      </c>
      <c r="AI537" s="141">
        <v>0.0</v>
      </c>
      <c r="AJ537" s="80">
        <v>8.0</v>
      </c>
      <c r="AK537" s="140">
        <v>0.0</v>
      </c>
      <c r="AL537" s="109">
        <v>0.0</v>
      </c>
      <c r="AM537" s="141">
        <v>1.0</v>
      </c>
      <c r="AN537" s="80">
        <v>1.0</v>
      </c>
      <c r="AO537" s="140">
        <v>0.0</v>
      </c>
      <c r="AP537" s="109">
        <v>0.0</v>
      </c>
      <c r="AQ537" s="109">
        <v>2.0</v>
      </c>
      <c r="AR537" s="80">
        <v>2.0</v>
      </c>
      <c r="AS537" s="110">
        <v>0.0</v>
      </c>
      <c r="AT537" s="110">
        <v>0.0</v>
      </c>
      <c r="AU537" s="110">
        <v>0.0</v>
      </c>
      <c r="AV537" s="142">
        <v>0.0</v>
      </c>
      <c r="AW537" s="80">
        <v>0.0</v>
      </c>
      <c r="AX537" s="113">
        <v>70.0</v>
      </c>
      <c r="AY537" s="117">
        <v>62.0</v>
      </c>
      <c r="AZ537" s="328">
        <v>8.0</v>
      </c>
      <c r="BA537" s="315">
        <v>0.0</v>
      </c>
      <c r="BB537" s="316">
        <v>70.0</v>
      </c>
      <c r="BC537" s="143" t="s">
        <v>1294</v>
      </c>
      <c r="BD537" s="132" t="s">
        <v>178</v>
      </c>
      <c r="BE537" s="132" t="s">
        <v>178</v>
      </c>
      <c r="BF537" s="181"/>
      <c r="BG537" s="83">
        <v>1179691.0</v>
      </c>
      <c r="BH537" s="112">
        <v>4.0</v>
      </c>
      <c r="BI537" s="98" t="s">
        <v>155</v>
      </c>
      <c r="BJ537" s="98" t="str">
        <f t="shared" si="1"/>
        <v>NÃO</v>
      </c>
      <c r="BK537" s="98" t="str">
        <f t="shared" si="2"/>
        <v>NÃO</v>
      </c>
    </row>
    <row r="538" ht="15.75" customHeight="1">
      <c r="A538" s="111" t="s">
        <v>605</v>
      </c>
      <c r="B538" s="83" t="s">
        <v>2180</v>
      </c>
      <c r="C538" s="83" t="s">
        <v>164</v>
      </c>
      <c r="D538" s="83">
        <v>1178223.0</v>
      </c>
      <c r="E538" s="83">
        <v>1179613.0</v>
      </c>
      <c r="F538" s="83"/>
      <c r="G538" s="185" t="s">
        <v>2267</v>
      </c>
      <c r="H538" s="91" t="s">
        <v>2268</v>
      </c>
      <c r="I538" s="298" t="s">
        <v>149</v>
      </c>
      <c r="J538" s="83" t="s">
        <v>327</v>
      </c>
      <c r="K538" s="83" t="s">
        <v>168</v>
      </c>
      <c r="L538" s="83" t="s">
        <v>169</v>
      </c>
      <c r="M538" s="82" t="s">
        <v>6489</v>
      </c>
      <c r="N538" s="82" t="s">
        <v>6490</v>
      </c>
      <c r="O538" s="82"/>
      <c r="P538" s="82"/>
      <c r="Q538" s="82"/>
      <c r="R538" s="82"/>
      <c r="S538" s="82"/>
      <c r="T538" s="138">
        <v>5.0</v>
      </c>
      <c r="U538" s="323">
        <v>4.0</v>
      </c>
      <c r="V538" s="106">
        <v>0.0</v>
      </c>
      <c r="W538" s="107">
        <v>14.0</v>
      </c>
      <c r="X538" s="107">
        <v>0.0</v>
      </c>
      <c r="Y538" s="107">
        <v>0.0</v>
      </c>
      <c r="Z538" s="80">
        <v>14.0</v>
      </c>
      <c r="AA538" s="140">
        <v>25.0</v>
      </c>
      <c r="AB538" s="109">
        <v>17.0</v>
      </c>
      <c r="AC538" s="109">
        <v>0.0</v>
      </c>
      <c r="AD538" s="141">
        <v>0.0</v>
      </c>
      <c r="AE538" s="80">
        <v>42.0</v>
      </c>
      <c r="AF538" s="140">
        <v>9.0</v>
      </c>
      <c r="AG538" s="109">
        <v>0.0</v>
      </c>
      <c r="AH538" s="109">
        <v>0.0</v>
      </c>
      <c r="AI538" s="141">
        <v>0.0</v>
      </c>
      <c r="AJ538" s="80">
        <v>9.0</v>
      </c>
      <c r="AK538" s="140">
        <v>0.0</v>
      </c>
      <c r="AL538" s="109">
        <v>0.0</v>
      </c>
      <c r="AM538" s="141">
        <v>2.0</v>
      </c>
      <c r="AN538" s="80">
        <v>2.0</v>
      </c>
      <c r="AO538" s="140">
        <v>0.0</v>
      </c>
      <c r="AP538" s="109">
        <v>0.0</v>
      </c>
      <c r="AQ538" s="109">
        <v>0.0</v>
      </c>
      <c r="AR538" s="80">
        <v>0.0</v>
      </c>
      <c r="AS538" s="110">
        <v>0.0</v>
      </c>
      <c r="AT538" s="110">
        <v>0.0</v>
      </c>
      <c r="AU538" s="110">
        <v>0.0</v>
      </c>
      <c r="AV538" s="142">
        <v>0.0</v>
      </c>
      <c r="AW538" s="80">
        <v>0.0</v>
      </c>
      <c r="AX538" s="113">
        <v>67.0</v>
      </c>
      <c r="AY538" s="117">
        <v>65.0</v>
      </c>
      <c r="AZ538" s="328">
        <v>2.0</v>
      </c>
      <c r="BA538" s="315">
        <v>0.0</v>
      </c>
      <c r="BB538" s="316">
        <v>67.0</v>
      </c>
      <c r="BC538" s="143" t="s">
        <v>1294</v>
      </c>
      <c r="BD538" s="132" t="s">
        <v>178</v>
      </c>
      <c r="BE538" s="132" t="s">
        <v>178</v>
      </c>
      <c r="BF538" s="156"/>
      <c r="BG538" s="83">
        <v>1179613.0</v>
      </c>
      <c r="BH538" s="112">
        <v>4.0</v>
      </c>
      <c r="BI538" s="98" t="s">
        <v>155</v>
      </c>
      <c r="BJ538" s="98" t="str">
        <f t="shared" si="1"/>
        <v>NÃO</v>
      </c>
      <c r="BK538" s="98" t="str">
        <f t="shared" si="2"/>
        <v>NÃO</v>
      </c>
    </row>
    <row r="539" ht="15.75" customHeight="1">
      <c r="A539" s="111" t="s">
        <v>605</v>
      </c>
      <c r="B539" s="83" t="s">
        <v>2180</v>
      </c>
      <c r="C539" s="83" t="s">
        <v>164</v>
      </c>
      <c r="D539" s="83">
        <v>1178223.0</v>
      </c>
      <c r="E539" s="83">
        <v>1179611.0</v>
      </c>
      <c r="F539" s="83"/>
      <c r="G539" s="185" t="s">
        <v>2272</v>
      </c>
      <c r="H539" s="91" t="s">
        <v>2273</v>
      </c>
      <c r="I539" s="298" t="s">
        <v>149</v>
      </c>
      <c r="J539" s="83" t="s">
        <v>664</v>
      </c>
      <c r="K539" s="83" t="s">
        <v>168</v>
      </c>
      <c r="L539" s="83" t="s">
        <v>169</v>
      </c>
      <c r="M539" s="82" t="s">
        <v>6489</v>
      </c>
      <c r="N539" s="82" t="s">
        <v>6490</v>
      </c>
      <c r="O539" s="82"/>
      <c r="P539" s="82"/>
      <c r="Q539" s="82"/>
      <c r="R539" s="82"/>
      <c r="S539" s="82"/>
      <c r="T539" s="138">
        <v>3.0</v>
      </c>
      <c r="U539" s="323">
        <v>2.0</v>
      </c>
      <c r="V539" s="106">
        <v>0.0</v>
      </c>
      <c r="W539" s="107">
        <v>7.0</v>
      </c>
      <c r="X539" s="107">
        <v>0.0</v>
      </c>
      <c r="Y539" s="107">
        <v>0.0</v>
      </c>
      <c r="Z539" s="80">
        <v>7.0</v>
      </c>
      <c r="AA539" s="140">
        <v>0.0</v>
      </c>
      <c r="AB539" s="109">
        <v>12.0</v>
      </c>
      <c r="AC539" s="109">
        <v>0.0</v>
      </c>
      <c r="AD539" s="141">
        <v>0.0</v>
      </c>
      <c r="AE539" s="80">
        <v>12.0</v>
      </c>
      <c r="AF539" s="140">
        <v>0.0</v>
      </c>
      <c r="AG539" s="109">
        <v>0.0</v>
      </c>
      <c r="AH539" s="109">
        <v>0.0</v>
      </c>
      <c r="AI539" s="141">
        <v>0.0</v>
      </c>
      <c r="AJ539" s="80">
        <v>0.0</v>
      </c>
      <c r="AK539" s="140">
        <v>0.0</v>
      </c>
      <c r="AL539" s="109">
        <v>0.0</v>
      </c>
      <c r="AM539" s="141">
        <v>10.0</v>
      </c>
      <c r="AN539" s="80">
        <v>10.0</v>
      </c>
      <c r="AO539" s="140">
        <v>0.0</v>
      </c>
      <c r="AP539" s="109">
        <v>0.0</v>
      </c>
      <c r="AQ539" s="109">
        <v>0.0</v>
      </c>
      <c r="AR539" s="80">
        <v>0.0</v>
      </c>
      <c r="AS539" s="110">
        <v>0.0</v>
      </c>
      <c r="AT539" s="110">
        <v>0.0</v>
      </c>
      <c r="AU539" s="110">
        <v>0.0</v>
      </c>
      <c r="AV539" s="142">
        <v>0.0</v>
      </c>
      <c r="AW539" s="80">
        <v>0.0</v>
      </c>
      <c r="AX539" s="113">
        <v>29.0</v>
      </c>
      <c r="AY539" s="117">
        <v>19.0</v>
      </c>
      <c r="AZ539" s="328">
        <v>10.0</v>
      </c>
      <c r="BA539" s="315">
        <v>0.0</v>
      </c>
      <c r="BB539" s="316">
        <v>29.0</v>
      </c>
      <c r="BC539" s="143" t="s">
        <v>1294</v>
      </c>
      <c r="BD539" s="132" t="s">
        <v>178</v>
      </c>
      <c r="BE539" s="132" t="s">
        <v>178</v>
      </c>
      <c r="BF539" s="156" t="s">
        <v>632</v>
      </c>
      <c r="BG539" s="83">
        <v>1179611.0</v>
      </c>
      <c r="BH539" s="112">
        <v>2.0</v>
      </c>
      <c r="BI539" s="98" t="s">
        <v>155</v>
      </c>
      <c r="BJ539" s="98" t="str">
        <f t="shared" si="1"/>
        <v>NÃO</v>
      </c>
      <c r="BK539" s="98" t="str">
        <f t="shared" si="2"/>
        <v>NÃO</v>
      </c>
    </row>
    <row r="540" ht="15.75" customHeight="1">
      <c r="A540" s="111" t="s">
        <v>605</v>
      </c>
      <c r="B540" s="83" t="s">
        <v>2180</v>
      </c>
      <c r="C540" s="83" t="s">
        <v>164</v>
      </c>
      <c r="D540" s="83">
        <v>1178223.0</v>
      </c>
      <c r="E540" s="83">
        <v>1179616.0</v>
      </c>
      <c r="F540" s="83"/>
      <c r="G540" s="185" t="s">
        <v>2280</v>
      </c>
      <c r="H540" s="91" t="s">
        <v>2281</v>
      </c>
      <c r="I540" s="114" t="s">
        <v>149</v>
      </c>
      <c r="J540" s="83" t="s">
        <v>672</v>
      </c>
      <c r="K540" s="83" t="s">
        <v>168</v>
      </c>
      <c r="L540" s="83" t="s">
        <v>169</v>
      </c>
      <c r="M540" s="82" t="s">
        <v>6489</v>
      </c>
      <c r="N540" s="82" t="s">
        <v>6490</v>
      </c>
      <c r="O540" s="82"/>
      <c r="P540" s="82"/>
      <c r="Q540" s="82"/>
      <c r="R540" s="82"/>
      <c r="S540" s="82"/>
      <c r="T540" s="138">
        <v>5.0</v>
      </c>
      <c r="U540" s="323">
        <v>3.0</v>
      </c>
      <c r="V540" s="106">
        <v>0.0</v>
      </c>
      <c r="W540" s="107">
        <v>4.0</v>
      </c>
      <c r="X540" s="107">
        <v>0.0</v>
      </c>
      <c r="Y540" s="107">
        <v>0.0</v>
      </c>
      <c r="Z540" s="80">
        <v>4.0</v>
      </c>
      <c r="AA540" s="140">
        <v>11.0</v>
      </c>
      <c r="AB540" s="109">
        <v>11.0</v>
      </c>
      <c r="AC540" s="109">
        <v>0.0</v>
      </c>
      <c r="AD540" s="141">
        <v>0.0</v>
      </c>
      <c r="AE540" s="80">
        <v>22.0</v>
      </c>
      <c r="AF540" s="140">
        <v>0.0</v>
      </c>
      <c r="AG540" s="109">
        <v>0.0</v>
      </c>
      <c r="AH540" s="109">
        <v>0.0</v>
      </c>
      <c r="AI540" s="141">
        <v>0.0</v>
      </c>
      <c r="AJ540" s="80">
        <v>0.0</v>
      </c>
      <c r="AK540" s="140">
        <v>0.0</v>
      </c>
      <c r="AL540" s="109">
        <v>0.0</v>
      </c>
      <c r="AM540" s="141">
        <v>14.0</v>
      </c>
      <c r="AN540" s="80">
        <v>14.0</v>
      </c>
      <c r="AO540" s="140">
        <v>0.0</v>
      </c>
      <c r="AP540" s="109">
        <v>0.0</v>
      </c>
      <c r="AQ540" s="109">
        <v>0.0</v>
      </c>
      <c r="AR540" s="80">
        <v>0.0</v>
      </c>
      <c r="AS540" s="110">
        <v>0.0</v>
      </c>
      <c r="AT540" s="110">
        <v>0.0</v>
      </c>
      <c r="AU540" s="110">
        <v>0.0</v>
      </c>
      <c r="AV540" s="142">
        <v>0.0</v>
      </c>
      <c r="AW540" s="80">
        <v>0.0</v>
      </c>
      <c r="AX540" s="113">
        <v>40.0</v>
      </c>
      <c r="AY540" s="117">
        <v>26.0</v>
      </c>
      <c r="AZ540" s="328">
        <v>14.0</v>
      </c>
      <c r="BA540" s="315">
        <v>0.0</v>
      </c>
      <c r="BB540" s="316">
        <v>40.0</v>
      </c>
      <c r="BC540" s="143" t="s">
        <v>1294</v>
      </c>
      <c r="BD540" s="132" t="s">
        <v>178</v>
      </c>
      <c r="BE540" s="132" t="s">
        <v>178</v>
      </c>
      <c r="BF540" s="156" t="s">
        <v>632</v>
      </c>
      <c r="BG540" s="83">
        <v>1179616.0</v>
      </c>
      <c r="BH540" s="112">
        <v>3.0</v>
      </c>
      <c r="BI540" s="98" t="s">
        <v>155</v>
      </c>
      <c r="BJ540" s="98" t="str">
        <f t="shared" si="1"/>
        <v>NÃO</v>
      </c>
      <c r="BK540" s="98" t="str">
        <f t="shared" si="2"/>
        <v>NÃO</v>
      </c>
    </row>
    <row r="541" ht="15.75" customHeight="1">
      <c r="A541" s="111" t="s">
        <v>605</v>
      </c>
      <c r="B541" s="83" t="s">
        <v>2180</v>
      </c>
      <c r="C541" s="83" t="s">
        <v>164</v>
      </c>
      <c r="D541" s="83">
        <v>1178223.0</v>
      </c>
      <c r="E541" s="83">
        <v>1179614.0</v>
      </c>
      <c r="F541" s="83"/>
      <c r="G541" s="185" t="s">
        <v>2285</v>
      </c>
      <c r="H541" s="91" t="s">
        <v>2286</v>
      </c>
      <c r="I541" s="114" t="s">
        <v>149</v>
      </c>
      <c r="J541" s="83" t="s">
        <v>1645</v>
      </c>
      <c r="K541" s="83" t="s">
        <v>168</v>
      </c>
      <c r="L541" s="83" t="s">
        <v>169</v>
      </c>
      <c r="M541" s="82" t="s">
        <v>6489</v>
      </c>
      <c r="N541" s="82" t="s">
        <v>6490</v>
      </c>
      <c r="O541" s="82"/>
      <c r="P541" s="82"/>
      <c r="Q541" s="82"/>
      <c r="R541" s="82"/>
      <c r="S541" s="82"/>
      <c r="T541" s="138">
        <v>8.0</v>
      </c>
      <c r="U541" s="323">
        <v>5.0</v>
      </c>
      <c r="V541" s="106">
        <v>30.0</v>
      </c>
      <c r="W541" s="107">
        <v>0.0</v>
      </c>
      <c r="X541" s="107">
        <v>0.0</v>
      </c>
      <c r="Y541" s="107">
        <v>0.0</v>
      </c>
      <c r="Z541" s="80">
        <v>30.0</v>
      </c>
      <c r="AA541" s="140">
        <v>33.0</v>
      </c>
      <c r="AB541" s="109">
        <v>49.0</v>
      </c>
      <c r="AC541" s="109">
        <v>0.0</v>
      </c>
      <c r="AD541" s="141">
        <v>0.0</v>
      </c>
      <c r="AE541" s="80">
        <v>82.0</v>
      </c>
      <c r="AF541" s="140">
        <v>7.0</v>
      </c>
      <c r="AG541" s="109">
        <v>3.0</v>
      </c>
      <c r="AH541" s="109">
        <v>0.0</v>
      </c>
      <c r="AI541" s="141">
        <v>0.0</v>
      </c>
      <c r="AJ541" s="80">
        <v>10.0</v>
      </c>
      <c r="AK541" s="140">
        <v>0.0</v>
      </c>
      <c r="AL541" s="109">
        <v>0.0</v>
      </c>
      <c r="AM541" s="141">
        <v>19.0</v>
      </c>
      <c r="AN541" s="80">
        <v>19.0</v>
      </c>
      <c r="AO541" s="140">
        <v>0.0</v>
      </c>
      <c r="AP541" s="109">
        <v>0.0</v>
      </c>
      <c r="AQ541" s="109">
        <v>8.0</v>
      </c>
      <c r="AR541" s="80">
        <v>8.0</v>
      </c>
      <c r="AS541" s="110">
        <v>0.0</v>
      </c>
      <c r="AT541" s="110">
        <v>0.0</v>
      </c>
      <c r="AU541" s="110">
        <v>0.0</v>
      </c>
      <c r="AV541" s="142">
        <v>0.0</v>
      </c>
      <c r="AW541" s="80">
        <v>0.0</v>
      </c>
      <c r="AX541" s="113">
        <v>149.0</v>
      </c>
      <c r="AY541" s="117">
        <v>122.0</v>
      </c>
      <c r="AZ541" s="328">
        <v>27.0</v>
      </c>
      <c r="BA541" s="315">
        <v>0.0</v>
      </c>
      <c r="BB541" s="316">
        <v>149.0</v>
      </c>
      <c r="BC541" s="143" t="s">
        <v>1294</v>
      </c>
      <c r="BD541" s="132" t="s">
        <v>178</v>
      </c>
      <c r="BE541" s="132" t="s">
        <v>178</v>
      </c>
      <c r="BF541" s="156"/>
      <c r="BG541" s="83">
        <v>1179614.0</v>
      </c>
      <c r="BH541" s="112">
        <v>5.0</v>
      </c>
      <c r="BI541" s="98" t="s">
        <v>155</v>
      </c>
      <c r="BJ541" s="98" t="str">
        <f t="shared" si="1"/>
        <v>NÃO</v>
      </c>
      <c r="BK541" s="98" t="str">
        <f t="shared" si="2"/>
        <v>NÃO</v>
      </c>
    </row>
    <row r="542" ht="15.75" customHeight="1">
      <c r="A542" s="111" t="s">
        <v>605</v>
      </c>
      <c r="B542" s="83" t="s">
        <v>2180</v>
      </c>
      <c r="C542" s="83" t="s">
        <v>164</v>
      </c>
      <c r="D542" s="83">
        <v>1178223.0</v>
      </c>
      <c r="E542" s="83">
        <v>1179612.0</v>
      </c>
      <c r="F542" s="83"/>
      <c r="G542" s="185" t="s">
        <v>2290</v>
      </c>
      <c r="H542" s="91" t="s">
        <v>2291</v>
      </c>
      <c r="I542" s="114" t="s">
        <v>149</v>
      </c>
      <c r="J542" s="83" t="s">
        <v>1645</v>
      </c>
      <c r="K542" s="83" t="s">
        <v>168</v>
      </c>
      <c r="L542" s="83" t="s">
        <v>169</v>
      </c>
      <c r="M542" s="82" t="s">
        <v>6489</v>
      </c>
      <c r="N542" s="82" t="s">
        <v>6490</v>
      </c>
      <c r="O542" s="82"/>
      <c r="P542" s="82"/>
      <c r="Q542" s="82"/>
      <c r="R542" s="82"/>
      <c r="S542" s="82"/>
      <c r="T542" s="138">
        <v>3.0</v>
      </c>
      <c r="U542" s="323">
        <v>2.0</v>
      </c>
      <c r="V542" s="106">
        <v>0.0</v>
      </c>
      <c r="W542" s="107">
        <v>7.0</v>
      </c>
      <c r="X542" s="107">
        <v>0.0</v>
      </c>
      <c r="Y542" s="107">
        <v>0.0</v>
      </c>
      <c r="Z542" s="80">
        <v>7.0</v>
      </c>
      <c r="AA542" s="140">
        <v>7.0</v>
      </c>
      <c r="AB542" s="109">
        <v>17.0</v>
      </c>
      <c r="AC542" s="109">
        <v>0.0</v>
      </c>
      <c r="AD542" s="141">
        <v>0.0</v>
      </c>
      <c r="AE542" s="80">
        <v>24.0</v>
      </c>
      <c r="AF542" s="140">
        <v>0.0</v>
      </c>
      <c r="AG542" s="109">
        <v>0.0</v>
      </c>
      <c r="AH542" s="109">
        <v>0.0</v>
      </c>
      <c r="AI542" s="141">
        <v>0.0</v>
      </c>
      <c r="AJ542" s="80">
        <v>0.0</v>
      </c>
      <c r="AK542" s="140">
        <v>0.0</v>
      </c>
      <c r="AL542" s="109">
        <v>0.0</v>
      </c>
      <c r="AM542" s="141">
        <v>8.0</v>
      </c>
      <c r="AN542" s="80">
        <v>8.0</v>
      </c>
      <c r="AO542" s="140">
        <v>0.0</v>
      </c>
      <c r="AP542" s="109">
        <v>0.0</v>
      </c>
      <c r="AQ542" s="109">
        <v>0.0</v>
      </c>
      <c r="AR542" s="80">
        <v>0.0</v>
      </c>
      <c r="AS542" s="110">
        <v>0.0</v>
      </c>
      <c r="AT542" s="110">
        <v>0.0</v>
      </c>
      <c r="AU542" s="110">
        <v>0.0</v>
      </c>
      <c r="AV542" s="142">
        <v>0.0</v>
      </c>
      <c r="AW542" s="80">
        <v>0.0</v>
      </c>
      <c r="AX542" s="113">
        <v>39.0</v>
      </c>
      <c r="AY542" s="117">
        <v>31.0</v>
      </c>
      <c r="AZ542" s="328">
        <v>8.0</v>
      </c>
      <c r="BA542" s="315">
        <v>0.0</v>
      </c>
      <c r="BB542" s="316">
        <v>39.0</v>
      </c>
      <c r="BC542" s="143" t="s">
        <v>1294</v>
      </c>
      <c r="BD542" s="132" t="s">
        <v>178</v>
      </c>
      <c r="BE542" s="132" t="s">
        <v>178</v>
      </c>
      <c r="BF542" s="156"/>
      <c r="BG542" s="83">
        <v>1179612.0</v>
      </c>
      <c r="BH542" s="112">
        <v>2.0</v>
      </c>
      <c r="BI542" s="98" t="s">
        <v>155</v>
      </c>
      <c r="BJ542" s="98" t="str">
        <f t="shared" si="1"/>
        <v>NÃO</v>
      </c>
      <c r="BK542" s="98" t="str">
        <f t="shared" si="2"/>
        <v>NÃO</v>
      </c>
    </row>
    <row r="543" ht="15.75" customHeight="1">
      <c r="A543" s="111" t="s">
        <v>605</v>
      </c>
      <c r="B543" s="83" t="s">
        <v>2180</v>
      </c>
      <c r="C543" s="83" t="s">
        <v>164</v>
      </c>
      <c r="D543" s="83">
        <v>1178223.0</v>
      </c>
      <c r="E543" s="83">
        <v>1179615.0</v>
      </c>
      <c r="F543" s="83"/>
      <c r="G543" s="185" t="s">
        <v>2293</v>
      </c>
      <c r="H543" s="91" t="s">
        <v>2294</v>
      </c>
      <c r="I543" s="114" t="s">
        <v>149</v>
      </c>
      <c r="J543" s="83" t="s">
        <v>222</v>
      </c>
      <c r="K543" s="83" t="s">
        <v>168</v>
      </c>
      <c r="L543" s="83" t="s">
        <v>169</v>
      </c>
      <c r="M543" s="82" t="s">
        <v>6489</v>
      </c>
      <c r="N543" s="82" t="s">
        <v>6490</v>
      </c>
      <c r="O543" s="82"/>
      <c r="P543" s="82"/>
      <c r="Q543" s="82"/>
      <c r="R543" s="82"/>
      <c r="S543" s="82"/>
      <c r="T543" s="138">
        <v>3.0</v>
      </c>
      <c r="U543" s="323">
        <v>2.0</v>
      </c>
      <c r="V543" s="106">
        <v>2.0</v>
      </c>
      <c r="W543" s="107">
        <v>0.0</v>
      </c>
      <c r="X543" s="107">
        <v>0.0</v>
      </c>
      <c r="Y543" s="107">
        <v>0.0</v>
      </c>
      <c r="Z543" s="80">
        <v>2.0</v>
      </c>
      <c r="AA543" s="140">
        <v>0.0</v>
      </c>
      <c r="AB543" s="109">
        <v>2.0</v>
      </c>
      <c r="AC543" s="109">
        <v>0.0</v>
      </c>
      <c r="AD543" s="141">
        <v>0.0</v>
      </c>
      <c r="AE543" s="80">
        <v>2.0</v>
      </c>
      <c r="AF543" s="140">
        <v>0.0</v>
      </c>
      <c r="AG543" s="109">
        <v>0.0</v>
      </c>
      <c r="AH543" s="109">
        <v>0.0</v>
      </c>
      <c r="AI543" s="141">
        <v>0.0</v>
      </c>
      <c r="AJ543" s="80">
        <v>0.0</v>
      </c>
      <c r="AK543" s="140">
        <v>0.0</v>
      </c>
      <c r="AL543" s="109">
        <v>0.0</v>
      </c>
      <c r="AM543" s="141">
        <v>4.0</v>
      </c>
      <c r="AN543" s="80">
        <v>4.0</v>
      </c>
      <c r="AO543" s="140">
        <v>0.0</v>
      </c>
      <c r="AP543" s="109">
        <v>0.0</v>
      </c>
      <c r="AQ543" s="109">
        <v>0.0</v>
      </c>
      <c r="AR543" s="80">
        <v>0.0</v>
      </c>
      <c r="AS543" s="110">
        <v>0.0</v>
      </c>
      <c r="AT543" s="110">
        <v>0.0</v>
      </c>
      <c r="AU543" s="110">
        <v>0.0</v>
      </c>
      <c r="AV543" s="142">
        <v>0.0</v>
      </c>
      <c r="AW543" s="80">
        <v>0.0</v>
      </c>
      <c r="AX543" s="113">
        <v>8.0</v>
      </c>
      <c r="AY543" s="117">
        <v>4.0</v>
      </c>
      <c r="AZ543" s="328">
        <v>4.0</v>
      </c>
      <c r="BA543" s="315">
        <v>0.0</v>
      </c>
      <c r="BB543" s="316">
        <v>8.0</v>
      </c>
      <c r="BC543" s="143" t="s">
        <v>1294</v>
      </c>
      <c r="BD543" s="132" t="s">
        <v>178</v>
      </c>
      <c r="BE543" s="132" t="s">
        <v>178</v>
      </c>
      <c r="BF543" s="156"/>
      <c r="BG543" s="83">
        <v>1179615.0</v>
      </c>
      <c r="BH543" s="112">
        <v>2.0</v>
      </c>
      <c r="BI543" s="98" t="s">
        <v>155</v>
      </c>
      <c r="BJ543" s="98" t="str">
        <f t="shared" si="1"/>
        <v>NÃO</v>
      </c>
      <c r="BK543" s="98" t="str">
        <f t="shared" si="2"/>
        <v>NÃO</v>
      </c>
    </row>
    <row r="544" ht="15.75" customHeight="1">
      <c r="A544" s="111" t="s">
        <v>605</v>
      </c>
      <c r="B544" s="83" t="s">
        <v>2296</v>
      </c>
      <c r="C544" s="83" t="s">
        <v>68</v>
      </c>
      <c r="D544" s="83">
        <v>1176218.0</v>
      </c>
      <c r="E544" s="83"/>
      <c r="F544" s="83">
        <v>2.9327695E7</v>
      </c>
      <c r="G544" s="185" t="s">
        <v>2299</v>
      </c>
      <c r="H544" s="91" t="s">
        <v>2300</v>
      </c>
      <c r="I544" s="114" t="s">
        <v>2301</v>
      </c>
      <c r="J544" s="83" t="s">
        <v>150</v>
      </c>
      <c r="K544" s="83" t="s">
        <v>151</v>
      </c>
      <c r="L544" s="83" t="s">
        <v>152</v>
      </c>
      <c r="M544" s="82" t="s">
        <v>6582</v>
      </c>
      <c r="N544" s="82" t="s">
        <v>6583</v>
      </c>
      <c r="O544" s="82" t="s">
        <v>6584</v>
      </c>
      <c r="P544" s="82" t="s">
        <v>6585</v>
      </c>
      <c r="Q544" s="82"/>
      <c r="R544" s="82"/>
      <c r="S544" s="82" t="s">
        <v>6586</v>
      </c>
      <c r="T544" s="138">
        <v>11.0</v>
      </c>
      <c r="U544" s="323">
        <v>10.0</v>
      </c>
      <c r="V544" s="106">
        <v>0.0</v>
      </c>
      <c r="W544" s="107">
        <v>0.0</v>
      </c>
      <c r="X544" s="107">
        <v>0.0</v>
      </c>
      <c r="Y544" s="107">
        <v>0.0</v>
      </c>
      <c r="Z544" s="80">
        <v>0.0</v>
      </c>
      <c r="AA544" s="140">
        <v>0.0</v>
      </c>
      <c r="AB544" s="109">
        <v>0.0</v>
      </c>
      <c r="AC544" s="109">
        <v>0.0</v>
      </c>
      <c r="AD544" s="141">
        <v>0.0</v>
      </c>
      <c r="AE544" s="80">
        <v>0.0</v>
      </c>
      <c r="AF544" s="140">
        <v>0.0</v>
      </c>
      <c r="AG544" s="109">
        <v>0.0</v>
      </c>
      <c r="AH544" s="109">
        <v>34.0</v>
      </c>
      <c r="AI544" s="141">
        <v>399.0</v>
      </c>
      <c r="AJ544" s="80">
        <v>433.0</v>
      </c>
      <c r="AK544" s="140">
        <v>0.0</v>
      </c>
      <c r="AL544" s="109">
        <v>0.0</v>
      </c>
      <c r="AM544" s="141">
        <v>0.0</v>
      </c>
      <c r="AN544" s="80">
        <v>0.0</v>
      </c>
      <c r="AO544" s="140">
        <v>0.0</v>
      </c>
      <c r="AP544" s="109">
        <v>0.0</v>
      </c>
      <c r="AQ544" s="109">
        <v>34.0</v>
      </c>
      <c r="AR544" s="80">
        <v>34.0</v>
      </c>
      <c r="AS544" s="110">
        <v>0.0</v>
      </c>
      <c r="AT544" s="110">
        <v>0.0</v>
      </c>
      <c r="AU544" s="110">
        <v>0.0</v>
      </c>
      <c r="AV544" s="142">
        <v>0.0</v>
      </c>
      <c r="AW544" s="80">
        <v>0.0</v>
      </c>
      <c r="AX544" s="113">
        <v>467.0</v>
      </c>
      <c r="AY544" s="117">
        <v>399.0</v>
      </c>
      <c r="AZ544" s="328">
        <v>68.0</v>
      </c>
      <c r="BA544" s="315">
        <v>2.0</v>
      </c>
      <c r="BB544" s="316">
        <v>469.0</v>
      </c>
      <c r="BC544" s="132" t="s">
        <v>178</v>
      </c>
      <c r="BD544" s="132" t="s">
        <v>178</v>
      </c>
      <c r="BE544" s="132" t="s">
        <v>178</v>
      </c>
      <c r="BF544" s="156"/>
      <c r="BG544" s="83">
        <v>1176218.0</v>
      </c>
      <c r="BH544" s="112">
        <v>10.0</v>
      </c>
      <c r="BI544" s="98" t="s">
        <v>155</v>
      </c>
      <c r="BJ544" s="98" t="str">
        <f t="shared" si="1"/>
        <v>INTEGRAL</v>
      </c>
      <c r="BK544" s="98" t="str">
        <f t="shared" si="2"/>
        <v>NÃO</v>
      </c>
    </row>
    <row r="545" ht="15.75" customHeight="1">
      <c r="A545" s="111" t="s">
        <v>605</v>
      </c>
      <c r="B545" s="83" t="s">
        <v>2296</v>
      </c>
      <c r="C545" s="83" t="s">
        <v>68</v>
      </c>
      <c r="D545" s="83">
        <v>1176217.0</v>
      </c>
      <c r="E545" s="83"/>
      <c r="F545" s="83">
        <v>2.9368219E7</v>
      </c>
      <c r="G545" s="185" t="s">
        <v>2313</v>
      </c>
      <c r="H545" s="91" t="s">
        <v>2314</v>
      </c>
      <c r="I545" s="114" t="s">
        <v>2315</v>
      </c>
      <c r="J545" s="83" t="s">
        <v>150</v>
      </c>
      <c r="K545" s="83" t="s">
        <v>151</v>
      </c>
      <c r="L545" s="83" t="s">
        <v>152</v>
      </c>
      <c r="M545" s="82" t="s">
        <v>6590</v>
      </c>
      <c r="N545" s="82" t="s">
        <v>6592</v>
      </c>
      <c r="O545" s="82" t="s">
        <v>6593</v>
      </c>
      <c r="P545" s="82" t="s">
        <v>6594</v>
      </c>
      <c r="Q545" s="82" t="s">
        <v>6595</v>
      </c>
      <c r="R545" s="82" t="s">
        <v>6596</v>
      </c>
      <c r="S545" s="82" t="s">
        <v>6597</v>
      </c>
      <c r="T545" s="138">
        <v>16.0</v>
      </c>
      <c r="U545" s="323">
        <v>16.0</v>
      </c>
      <c r="V545" s="106">
        <v>0.0</v>
      </c>
      <c r="W545" s="107">
        <v>0.0</v>
      </c>
      <c r="X545" s="107">
        <v>0.0</v>
      </c>
      <c r="Y545" s="107">
        <v>0.0</v>
      </c>
      <c r="Z545" s="80">
        <v>0.0</v>
      </c>
      <c r="AA545" s="140">
        <v>0.0</v>
      </c>
      <c r="AB545" s="109">
        <v>0.0</v>
      </c>
      <c r="AC545" s="109">
        <v>0.0</v>
      </c>
      <c r="AD545" s="141">
        <v>0.0</v>
      </c>
      <c r="AE545" s="80">
        <v>0.0</v>
      </c>
      <c r="AF545" s="140">
        <v>390.0</v>
      </c>
      <c r="AG545" s="109">
        <v>125.0</v>
      </c>
      <c r="AH545" s="109">
        <v>130.0</v>
      </c>
      <c r="AI545" s="141">
        <v>282.0</v>
      </c>
      <c r="AJ545" s="80">
        <v>927.0</v>
      </c>
      <c r="AK545" s="140">
        <v>0.0</v>
      </c>
      <c r="AL545" s="109">
        <v>0.0</v>
      </c>
      <c r="AM545" s="141">
        <v>0.0</v>
      </c>
      <c r="AN545" s="80">
        <v>0.0</v>
      </c>
      <c r="AO545" s="140">
        <v>0.0</v>
      </c>
      <c r="AP545" s="109">
        <v>0.0</v>
      </c>
      <c r="AQ545" s="109">
        <v>358.0</v>
      </c>
      <c r="AR545" s="80">
        <v>358.0</v>
      </c>
      <c r="AS545" s="110">
        <v>0.0</v>
      </c>
      <c r="AT545" s="110">
        <v>0.0</v>
      </c>
      <c r="AU545" s="110">
        <v>0.0</v>
      </c>
      <c r="AV545" s="142">
        <v>0.0</v>
      </c>
      <c r="AW545" s="80">
        <v>0.0</v>
      </c>
      <c r="AX545" s="113">
        <v>1285.0</v>
      </c>
      <c r="AY545" s="117">
        <v>797.0</v>
      </c>
      <c r="AZ545" s="328">
        <v>488.0</v>
      </c>
      <c r="BA545" s="315">
        <v>4.0</v>
      </c>
      <c r="BB545" s="316">
        <v>1289.0</v>
      </c>
      <c r="BC545" s="132" t="s">
        <v>178</v>
      </c>
      <c r="BD545" s="132" t="s">
        <v>178</v>
      </c>
      <c r="BE545" s="132" t="s">
        <v>178</v>
      </c>
      <c r="BF545" s="156"/>
      <c r="BG545" s="83">
        <v>1176217.0</v>
      </c>
      <c r="BH545" s="112">
        <v>16.0</v>
      </c>
      <c r="BI545" s="98" t="s">
        <v>155</v>
      </c>
      <c r="BJ545" s="98" t="str">
        <f t="shared" si="1"/>
        <v>INTEGRAL</v>
      </c>
      <c r="BK545" s="98" t="str">
        <f t="shared" si="2"/>
        <v>NÃO</v>
      </c>
    </row>
    <row r="546" ht="15.75" customHeight="1">
      <c r="A546" s="111" t="s">
        <v>605</v>
      </c>
      <c r="B546" s="83" t="s">
        <v>2296</v>
      </c>
      <c r="C546" s="83" t="s">
        <v>68</v>
      </c>
      <c r="D546" s="83">
        <v>1113684.0</v>
      </c>
      <c r="E546" s="83"/>
      <c r="F546" s="83">
        <v>2.9327911E7</v>
      </c>
      <c r="G546" s="185" t="s">
        <v>2325</v>
      </c>
      <c r="H546" s="91" t="s">
        <v>2326</v>
      </c>
      <c r="I546" s="298" t="s">
        <v>2327</v>
      </c>
      <c r="J546" s="83" t="s">
        <v>150</v>
      </c>
      <c r="K546" s="83" t="s">
        <v>151</v>
      </c>
      <c r="L546" s="83" t="s">
        <v>152</v>
      </c>
      <c r="M546" s="82" t="s">
        <v>6600</v>
      </c>
      <c r="N546" s="82" t="s">
        <v>6601</v>
      </c>
      <c r="O546" s="82" t="s">
        <v>6603</v>
      </c>
      <c r="P546" s="82" t="s">
        <v>6604</v>
      </c>
      <c r="Q546" s="82"/>
      <c r="R546" s="82"/>
      <c r="S546" s="82" t="s">
        <v>6605</v>
      </c>
      <c r="T546" s="138">
        <v>8.0</v>
      </c>
      <c r="U546" s="323">
        <v>8.0</v>
      </c>
      <c r="V546" s="106">
        <v>0.0</v>
      </c>
      <c r="W546" s="107">
        <v>0.0</v>
      </c>
      <c r="X546" s="107">
        <v>0.0</v>
      </c>
      <c r="Y546" s="107">
        <v>0.0</v>
      </c>
      <c r="Z546" s="80">
        <v>0.0</v>
      </c>
      <c r="AA546" s="140">
        <v>0.0</v>
      </c>
      <c r="AB546" s="109">
        <v>0.0</v>
      </c>
      <c r="AC546" s="109">
        <v>0.0</v>
      </c>
      <c r="AD546" s="141">
        <v>0.0</v>
      </c>
      <c r="AE546" s="80">
        <v>0.0</v>
      </c>
      <c r="AF546" s="140">
        <v>0.0</v>
      </c>
      <c r="AG546" s="109">
        <v>0.0</v>
      </c>
      <c r="AH546" s="109">
        <v>37.0</v>
      </c>
      <c r="AI546" s="141">
        <v>150.0</v>
      </c>
      <c r="AJ546" s="80">
        <v>187.0</v>
      </c>
      <c r="AK546" s="140">
        <v>0.0</v>
      </c>
      <c r="AL546" s="109">
        <v>0.0</v>
      </c>
      <c r="AM546" s="141">
        <v>0.0</v>
      </c>
      <c r="AN546" s="80">
        <v>0.0</v>
      </c>
      <c r="AO546" s="140">
        <v>0.0</v>
      </c>
      <c r="AP546" s="109">
        <v>0.0</v>
      </c>
      <c r="AQ546" s="109">
        <v>152.0</v>
      </c>
      <c r="AR546" s="80">
        <v>152.0</v>
      </c>
      <c r="AS546" s="110">
        <v>0.0</v>
      </c>
      <c r="AT546" s="110">
        <v>0.0</v>
      </c>
      <c r="AU546" s="110">
        <v>0.0</v>
      </c>
      <c r="AV546" s="142">
        <v>0.0</v>
      </c>
      <c r="AW546" s="80">
        <v>0.0</v>
      </c>
      <c r="AX546" s="113">
        <v>339.0</v>
      </c>
      <c r="AY546" s="117">
        <v>150.0</v>
      </c>
      <c r="AZ546" s="328">
        <v>189.0</v>
      </c>
      <c r="BA546" s="315">
        <v>2.0</v>
      </c>
      <c r="BB546" s="316">
        <v>341.0</v>
      </c>
      <c r="BC546" s="132" t="s">
        <v>178</v>
      </c>
      <c r="BD546" s="132" t="s">
        <v>178</v>
      </c>
      <c r="BE546" s="132" t="s">
        <v>178</v>
      </c>
      <c r="BF546" s="156"/>
      <c r="BG546" s="83">
        <v>1113684.0</v>
      </c>
      <c r="BH546" s="112">
        <v>8.0</v>
      </c>
      <c r="BI546" s="98" t="s">
        <v>155</v>
      </c>
      <c r="BJ546" s="98" t="str">
        <f t="shared" si="1"/>
        <v>INTEGRAL</v>
      </c>
      <c r="BK546" s="98" t="str">
        <f t="shared" si="2"/>
        <v>NÃO</v>
      </c>
    </row>
    <row r="547" ht="15.75" customHeight="1">
      <c r="A547" s="111" t="s">
        <v>605</v>
      </c>
      <c r="B547" s="83" t="s">
        <v>2296</v>
      </c>
      <c r="C547" s="83" t="s">
        <v>68</v>
      </c>
      <c r="D547" s="83">
        <v>1113846.0</v>
      </c>
      <c r="E547" s="83"/>
      <c r="F547" s="83">
        <v>2.9327792E7</v>
      </c>
      <c r="G547" s="185" t="s">
        <v>6606</v>
      </c>
      <c r="H547" s="91" t="s">
        <v>2336</v>
      </c>
      <c r="I547" s="298" t="s">
        <v>149</v>
      </c>
      <c r="J547" s="83" t="s">
        <v>150</v>
      </c>
      <c r="K547" s="83" t="s">
        <v>151</v>
      </c>
      <c r="L547" s="83" t="s">
        <v>230</v>
      </c>
      <c r="M547" s="82" t="s">
        <v>6608</v>
      </c>
      <c r="N547" s="82" t="s">
        <v>6609</v>
      </c>
      <c r="O547" s="82" t="s">
        <v>6610</v>
      </c>
      <c r="P547" s="82" t="s">
        <v>6612</v>
      </c>
      <c r="Q547" s="82" t="s">
        <v>6613</v>
      </c>
      <c r="R547" s="82" t="s">
        <v>6614</v>
      </c>
      <c r="S547" s="82" t="s">
        <v>6615</v>
      </c>
      <c r="T547" s="138">
        <v>18.0</v>
      </c>
      <c r="U547" s="331">
        <v>16.0</v>
      </c>
      <c r="V547" s="106">
        <v>0.0</v>
      </c>
      <c r="W547" s="107">
        <v>0.0</v>
      </c>
      <c r="X547" s="107">
        <v>0.0</v>
      </c>
      <c r="Y547" s="107">
        <v>0.0</v>
      </c>
      <c r="Z547" s="80">
        <v>0.0</v>
      </c>
      <c r="AA547" s="140">
        <v>0.0</v>
      </c>
      <c r="AB547" s="109">
        <v>0.0</v>
      </c>
      <c r="AC547" s="109">
        <v>0.0</v>
      </c>
      <c r="AD547" s="141">
        <v>0.0</v>
      </c>
      <c r="AE547" s="80">
        <v>0.0</v>
      </c>
      <c r="AF547" s="140">
        <v>507.0</v>
      </c>
      <c r="AG547" s="109">
        <v>194.0</v>
      </c>
      <c r="AH547" s="109">
        <v>40.0</v>
      </c>
      <c r="AI547" s="141">
        <v>401.0</v>
      </c>
      <c r="AJ547" s="80">
        <v>1142.0</v>
      </c>
      <c r="AK547" s="140">
        <v>0.0</v>
      </c>
      <c r="AL547" s="109">
        <v>0.0</v>
      </c>
      <c r="AM547" s="141">
        <v>0.0</v>
      </c>
      <c r="AN547" s="80">
        <v>0.0</v>
      </c>
      <c r="AO547" s="140">
        <v>0.0</v>
      </c>
      <c r="AP547" s="109">
        <v>0.0</v>
      </c>
      <c r="AQ547" s="109">
        <v>196.0</v>
      </c>
      <c r="AR547" s="80">
        <v>196.0</v>
      </c>
      <c r="AS547" s="110">
        <v>0.0</v>
      </c>
      <c r="AT547" s="110">
        <v>0.0</v>
      </c>
      <c r="AU547" s="110">
        <v>0.0</v>
      </c>
      <c r="AV547" s="142">
        <v>0.0</v>
      </c>
      <c r="AW547" s="80">
        <v>0.0</v>
      </c>
      <c r="AX547" s="113">
        <v>1338.0</v>
      </c>
      <c r="AY547" s="117">
        <v>1102.0</v>
      </c>
      <c r="AZ547" s="328">
        <v>236.0</v>
      </c>
      <c r="BA547" s="315">
        <v>0.0</v>
      </c>
      <c r="BB547" s="316">
        <v>1338.0</v>
      </c>
      <c r="BC547" s="132" t="s">
        <v>178</v>
      </c>
      <c r="BD547" s="132" t="s">
        <v>178</v>
      </c>
      <c r="BE547" s="132" t="s">
        <v>178</v>
      </c>
      <c r="BF547" s="156"/>
      <c r="BG547" s="83">
        <v>1113846.0</v>
      </c>
      <c r="BH547" s="98">
        <v>16.0</v>
      </c>
      <c r="BI547" s="98" t="s">
        <v>155</v>
      </c>
      <c r="BJ547" s="98" t="str">
        <f t="shared" si="1"/>
        <v>INTEGRAL</v>
      </c>
      <c r="BK547" s="98" t="str">
        <f t="shared" si="2"/>
        <v>NÃO</v>
      </c>
    </row>
    <row r="548" ht="15.75" customHeight="1">
      <c r="A548" s="111" t="s">
        <v>605</v>
      </c>
      <c r="B548" s="83" t="s">
        <v>2296</v>
      </c>
      <c r="C548" s="83" t="s">
        <v>68</v>
      </c>
      <c r="D548" s="83">
        <v>1113803.0</v>
      </c>
      <c r="E548" s="146"/>
      <c r="F548" s="431">
        <v>2.9328349E7</v>
      </c>
      <c r="G548" s="185" t="s">
        <v>2344</v>
      </c>
      <c r="H548" s="91" t="s">
        <v>2345</v>
      </c>
      <c r="I548" s="114" t="s">
        <v>2301</v>
      </c>
      <c r="J548" s="83" t="s">
        <v>150</v>
      </c>
      <c r="K548" s="83" t="s">
        <v>151</v>
      </c>
      <c r="L548" s="83" t="s">
        <v>76</v>
      </c>
      <c r="M548" s="82" t="s">
        <v>6623</v>
      </c>
      <c r="N548" s="82" t="s">
        <v>171</v>
      </c>
      <c r="O548" s="82" t="s">
        <v>6624</v>
      </c>
      <c r="P548" s="82" t="s">
        <v>6625</v>
      </c>
      <c r="Q548" s="82"/>
      <c r="R548" s="82"/>
      <c r="S548" s="82" t="s">
        <v>6626</v>
      </c>
      <c r="T548" s="138">
        <v>24.0</v>
      </c>
      <c r="U548" s="331">
        <v>24.0</v>
      </c>
      <c r="V548" s="106">
        <v>0.0</v>
      </c>
      <c r="W548" s="107">
        <v>0.0</v>
      </c>
      <c r="X548" s="107">
        <v>0.0</v>
      </c>
      <c r="Y548" s="107">
        <v>0.0</v>
      </c>
      <c r="Z548" s="80">
        <v>0.0</v>
      </c>
      <c r="AA548" s="140">
        <v>0.0</v>
      </c>
      <c r="AB548" s="109">
        <v>710.0</v>
      </c>
      <c r="AC548" s="109">
        <v>0.0</v>
      </c>
      <c r="AD548" s="141">
        <v>0.0</v>
      </c>
      <c r="AE548" s="80">
        <v>710.0</v>
      </c>
      <c r="AF548" s="140">
        <v>516.0</v>
      </c>
      <c r="AG548" s="109">
        <v>0.0</v>
      </c>
      <c r="AH548" s="109">
        <v>0.0</v>
      </c>
      <c r="AI548" s="141">
        <v>0.0</v>
      </c>
      <c r="AJ548" s="80">
        <v>516.0</v>
      </c>
      <c r="AK548" s="140">
        <v>0.0</v>
      </c>
      <c r="AL548" s="109">
        <v>0.0</v>
      </c>
      <c r="AM548" s="141">
        <v>0.0</v>
      </c>
      <c r="AN548" s="80">
        <v>0.0</v>
      </c>
      <c r="AO548" s="140">
        <v>0.0</v>
      </c>
      <c r="AP548" s="109">
        <v>0.0</v>
      </c>
      <c r="AQ548" s="109">
        <v>0.0</v>
      </c>
      <c r="AR548" s="80">
        <v>0.0</v>
      </c>
      <c r="AS548" s="110">
        <v>0.0</v>
      </c>
      <c r="AT548" s="110">
        <v>0.0</v>
      </c>
      <c r="AU548" s="110">
        <v>0.0</v>
      </c>
      <c r="AV548" s="142">
        <v>0.0</v>
      </c>
      <c r="AW548" s="80">
        <v>0.0</v>
      </c>
      <c r="AX548" s="113">
        <v>1226.0</v>
      </c>
      <c r="AY548" s="117">
        <v>1226.0</v>
      </c>
      <c r="AZ548" s="328">
        <v>0.0</v>
      </c>
      <c r="BA548" s="315">
        <v>0.0</v>
      </c>
      <c r="BB548" s="316">
        <v>1226.0</v>
      </c>
      <c r="BC548" s="143" t="s">
        <v>1014</v>
      </c>
      <c r="BD548" s="132" t="s">
        <v>178</v>
      </c>
      <c r="BE548" s="132" t="s">
        <v>178</v>
      </c>
      <c r="BF548" s="123"/>
      <c r="BG548" s="83">
        <v>1113803.0</v>
      </c>
      <c r="BH548" s="112">
        <v>24.0</v>
      </c>
      <c r="BI548" s="98" t="s">
        <v>162</v>
      </c>
      <c r="BJ548" s="98" t="str">
        <f t="shared" si="1"/>
        <v>NÃO</v>
      </c>
      <c r="BK548" s="98" t="str">
        <f t="shared" si="2"/>
        <v>NÃO</v>
      </c>
    </row>
    <row r="549" ht="15.75" customHeight="1">
      <c r="A549" s="111" t="s">
        <v>605</v>
      </c>
      <c r="B549" s="83" t="s">
        <v>2296</v>
      </c>
      <c r="C549" s="83" t="s">
        <v>68</v>
      </c>
      <c r="D549" s="83">
        <v>1176425.0</v>
      </c>
      <c r="E549" s="83"/>
      <c r="F549" s="83">
        <v>2.9389631E7</v>
      </c>
      <c r="G549" s="185" t="s">
        <v>2355</v>
      </c>
      <c r="H549" s="91" t="s">
        <v>2357</v>
      </c>
      <c r="I549" s="114" t="s">
        <v>2358</v>
      </c>
      <c r="J549" s="83" t="s">
        <v>150</v>
      </c>
      <c r="K549" s="83" t="s">
        <v>151</v>
      </c>
      <c r="L549" s="83" t="s">
        <v>230</v>
      </c>
      <c r="M549" s="82" t="s">
        <v>6634</v>
      </c>
      <c r="N549" s="82" t="s">
        <v>6635</v>
      </c>
      <c r="O549" s="82" t="s">
        <v>6636</v>
      </c>
      <c r="P549" s="82" t="s">
        <v>6637</v>
      </c>
      <c r="Q549" s="82" t="s">
        <v>6638</v>
      </c>
      <c r="R549" s="82" t="s">
        <v>6639</v>
      </c>
      <c r="S549" s="82" t="s">
        <v>6640</v>
      </c>
      <c r="T549" s="138">
        <v>13.0</v>
      </c>
      <c r="U549" s="323">
        <v>11.0</v>
      </c>
      <c r="V549" s="106">
        <v>0.0</v>
      </c>
      <c r="W549" s="107">
        <v>0.0</v>
      </c>
      <c r="X549" s="107">
        <v>0.0</v>
      </c>
      <c r="Y549" s="107">
        <v>0.0</v>
      </c>
      <c r="Z549" s="80">
        <v>0.0</v>
      </c>
      <c r="AA549" s="140">
        <v>0.0</v>
      </c>
      <c r="AB549" s="109">
        <v>0.0</v>
      </c>
      <c r="AC549" s="109">
        <v>0.0</v>
      </c>
      <c r="AD549" s="141">
        <v>0.0</v>
      </c>
      <c r="AE549" s="80">
        <v>0.0</v>
      </c>
      <c r="AF549" s="140">
        <v>0.0</v>
      </c>
      <c r="AG549" s="109">
        <v>0.0</v>
      </c>
      <c r="AH549" s="109">
        <v>0.0</v>
      </c>
      <c r="AI549" s="141">
        <v>0.0</v>
      </c>
      <c r="AJ549" s="80">
        <v>0.0</v>
      </c>
      <c r="AK549" s="140">
        <v>0.0</v>
      </c>
      <c r="AL549" s="109">
        <v>0.0</v>
      </c>
      <c r="AM549" s="141">
        <v>0.0</v>
      </c>
      <c r="AN549" s="80">
        <v>0.0</v>
      </c>
      <c r="AO549" s="140">
        <v>0.0</v>
      </c>
      <c r="AP549" s="109">
        <v>0.0</v>
      </c>
      <c r="AQ549" s="109">
        <v>0.0</v>
      </c>
      <c r="AR549" s="80">
        <v>0.0</v>
      </c>
      <c r="AS549" s="110">
        <v>395.0</v>
      </c>
      <c r="AT549" s="110">
        <v>325.0</v>
      </c>
      <c r="AU549" s="110">
        <v>201.0</v>
      </c>
      <c r="AV549" s="142">
        <v>0.0</v>
      </c>
      <c r="AW549" s="80">
        <v>921.0</v>
      </c>
      <c r="AX549" s="113">
        <v>921.0</v>
      </c>
      <c r="AY549" s="117">
        <v>720.0</v>
      </c>
      <c r="AZ549" s="328">
        <v>201.0</v>
      </c>
      <c r="BA549" s="315">
        <v>0.0</v>
      </c>
      <c r="BB549" s="316">
        <v>921.0</v>
      </c>
      <c r="BC549" s="132" t="s">
        <v>178</v>
      </c>
      <c r="BD549" s="132" t="s">
        <v>522</v>
      </c>
      <c r="BE549" s="132" t="s">
        <v>178</v>
      </c>
      <c r="BF549" s="123"/>
      <c r="BG549" s="83">
        <v>1176425.0</v>
      </c>
      <c r="BH549" s="112">
        <v>11.0</v>
      </c>
      <c r="BI549" s="98" t="s">
        <v>155</v>
      </c>
      <c r="BJ549" s="98" t="str">
        <f t="shared" si="1"/>
        <v>NÃO</v>
      </c>
      <c r="BK549" s="98" t="str">
        <f t="shared" si="2"/>
        <v>PROFISSIONAL</v>
      </c>
    </row>
    <row r="550" ht="15.75" customHeight="1">
      <c r="A550" s="111" t="s">
        <v>605</v>
      </c>
      <c r="B550" s="83" t="s">
        <v>2296</v>
      </c>
      <c r="C550" s="83" t="s">
        <v>164</v>
      </c>
      <c r="D550" s="83">
        <v>1179713.0</v>
      </c>
      <c r="E550" s="83"/>
      <c r="F550" s="83">
        <v>43860.0</v>
      </c>
      <c r="G550" s="430" t="s">
        <v>2367</v>
      </c>
      <c r="H550" s="91" t="s">
        <v>2368</v>
      </c>
      <c r="I550" s="114" t="s">
        <v>2369</v>
      </c>
      <c r="J550" s="83" t="s">
        <v>150</v>
      </c>
      <c r="K550" s="83" t="s">
        <v>151</v>
      </c>
      <c r="L550" s="83" t="s">
        <v>76</v>
      </c>
      <c r="M550" s="82" t="s">
        <v>6220</v>
      </c>
      <c r="N550" s="82" t="s">
        <v>6221</v>
      </c>
      <c r="O550" s="82"/>
      <c r="P550" s="82"/>
      <c r="Q550" s="82"/>
      <c r="R550" s="82"/>
      <c r="S550" s="82"/>
      <c r="T550" s="234" t="s">
        <v>171</v>
      </c>
      <c r="U550" s="331" t="s">
        <v>533</v>
      </c>
      <c r="V550" s="355">
        <v>0.0</v>
      </c>
      <c r="W550" s="246">
        <v>0.0</v>
      </c>
      <c r="X550" s="246">
        <v>0.0</v>
      </c>
      <c r="Y550" s="246">
        <v>0.0</v>
      </c>
      <c r="Z550" s="80">
        <v>0.0</v>
      </c>
      <c r="AA550" s="140">
        <v>0.0</v>
      </c>
      <c r="AB550" s="109">
        <v>0.0</v>
      </c>
      <c r="AC550" s="109">
        <v>0.0</v>
      </c>
      <c r="AD550" s="141">
        <v>0.0</v>
      </c>
      <c r="AE550" s="80">
        <v>0.0</v>
      </c>
      <c r="AF550" s="140">
        <v>0.0</v>
      </c>
      <c r="AG550" s="109">
        <v>0.0</v>
      </c>
      <c r="AH550" s="109">
        <v>0.0</v>
      </c>
      <c r="AI550" s="141">
        <v>0.0</v>
      </c>
      <c r="AJ550" s="80">
        <v>0.0</v>
      </c>
      <c r="AK550" s="140">
        <v>0.0</v>
      </c>
      <c r="AL550" s="109">
        <v>0.0</v>
      </c>
      <c r="AM550" s="141">
        <v>0.0</v>
      </c>
      <c r="AN550" s="80">
        <v>0.0</v>
      </c>
      <c r="AO550" s="140">
        <v>0.0</v>
      </c>
      <c r="AP550" s="109">
        <v>0.0</v>
      </c>
      <c r="AQ550" s="109">
        <v>0.0</v>
      </c>
      <c r="AR550" s="80">
        <v>0.0</v>
      </c>
      <c r="AS550" s="110">
        <v>0.0</v>
      </c>
      <c r="AT550" s="110">
        <v>0.0</v>
      </c>
      <c r="AU550" s="110">
        <v>0.0</v>
      </c>
      <c r="AV550" s="142">
        <v>0.0</v>
      </c>
      <c r="AW550" s="80">
        <v>0.0</v>
      </c>
      <c r="AX550" s="113">
        <v>0.0</v>
      </c>
      <c r="AY550" s="117">
        <v>0.0</v>
      </c>
      <c r="AZ550" s="328">
        <v>0.0</v>
      </c>
      <c r="BA550" s="315">
        <v>0.0</v>
      </c>
      <c r="BB550" s="316">
        <v>0.0</v>
      </c>
      <c r="BC550" s="132" t="s">
        <v>178</v>
      </c>
      <c r="BD550" s="143" t="s">
        <v>227</v>
      </c>
      <c r="BE550" s="132" t="s">
        <v>178</v>
      </c>
      <c r="BF550" s="123" t="s">
        <v>534</v>
      </c>
      <c r="BG550" s="83">
        <v>1179713.0</v>
      </c>
      <c r="BH550" s="98">
        <v>0.0</v>
      </c>
      <c r="BI550" s="98" t="s">
        <v>155</v>
      </c>
      <c r="BJ550" s="98" t="str">
        <f t="shared" si="1"/>
        <v>NÃO</v>
      </c>
      <c r="BK550" s="98" t="str">
        <f t="shared" si="2"/>
        <v>NÃO</v>
      </c>
    </row>
    <row r="551" ht="15.75" customHeight="1">
      <c r="A551" s="111" t="s">
        <v>605</v>
      </c>
      <c r="B551" s="83" t="s">
        <v>2296</v>
      </c>
      <c r="C551" s="83" t="s">
        <v>164</v>
      </c>
      <c r="D551" s="83">
        <v>1176217.0</v>
      </c>
      <c r="E551" s="83">
        <v>1178564.0</v>
      </c>
      <c r="F551" s="83"/>
      <c r="G551" s="185" t="s">
        <v>2375</v>
      </c>
      <c r="H551" s="91" t="s">
        <v>2377</v>
      </c>
      <c r="I551" s="114" t="s">
        <v>171</v>
      </c>
      <c r="J551" s="83" t="s">
        <v>187</v>
      </c>
      <c r="K551" s="83" t="s">
        <v>168</v>
      </c>
      <c r="L551" s="83" t="s">
        <v>169</v>
      </c>
      <c r="M551" s="82" t="s">
        <v>6590</v>
      </c>
      <c r="N551" s="82" t="s">
        <v>6592</v>
      </c>
      <c r="O551" s="82" t="s">
        <v>6593</v>
      </c>
      <c r="P551" s="82" t="s">
        <v>6594</v>
      </c>
      <c r="Q551" s="82" t="s">
        <v>6595</v>
      </c>
      <c r="R551" s="82" t="s">
        <v>6596</v>
      </c>
      <c r="S551" s="82" t="s">
        <v>6597</v>
      </c>
      <c r="T551" s="138">
        <v>3.0</v>
      </c>
      <c r="U551" s="323">
        <v>3.0</v>
      </c>
      <c r="V551" s="106">
        <v>0.0</v>
      </c>
      <c r="W551" s="107">
        <v>0.0</v>
      </c>
      <c r="X551" s="107">
        <v>0.0</v>
      </c>
      <c r="Y551" s="107">
        <v>0.0</v>
      </c>
      <c r="Z551" s="80">
        <v>0.0</v>
      </c>
      <c r="AA551" s="140">
        <v>0.0</v>
      </c>
      <c r="AB551" s="109">
        <v>0.0</v>
      </c>
      <c r="AC551" s="109">
        <v>0.0</v>
      </c>
      <c r="AD551" s="141">
        <v>0.0</v>
      </c>
      <c r="AE551" s="80">
        <v>0.0</v>
      </c>
      <c r="AF551" s="140">
        <v>0.0</v>
      </c>
      <c r="AG551" s="109">
        <v>0.0</v>
      </c>
      <c r="AH551" s="109">
        <v>26.0</v>
      </c>
      <c r="AI551" s="141">
        <v>0.0</v>
      </c>
      <c r="AJ551" s="80">
        <v>26.0</v>
      </c>
      <c r="AK551" s="140">
        <v>0.0</v>
      </c>
      <c r="AL551" s="109">
        <v>0.0</v>
      </c>
      <c r="AM551" s="141">
        <v>0.0</v>
      </c>
      <c r="AN551" s="80">
        <v>0.0</v>
      </c>
      <c r="AO551" s="140">
        <v>0.0</v>
      </c>
      <c r="AP551" s="109">
        <v>0.0</v>
      </c>
      <c r="AQ551" s="109">
        <v>81.0</v>
      </c>
      <c r="AR551" s="80">
        <v>81.0</v>
      </c>
      <c r="AS551" s="110">
        <v>0.0</v>
      </c>
      <c r="AT551" s="110">
        <v>0.0</v>
      </c>
      <c r="AU551" s="110">
        <v>0.0</v>
      </c>
      <c r="AV551" s="142">
        <v>0.0</v>
      </c>
      <c r="AW551" s="80">
        <v>0.0</v>
      </c>
      <c r="AX551" s="113">
        <v>107.0</v>
      </c>
      <c r="AY551" s="117">
        <v>0.0</v>
      </c>
      <c r="AZ551" s="328">
        <v>107.0</v>
      </c>
      <c r="BA551" s="315">
        <v>0.0</v>
      </c>
      <c r="BB551" s="316">
        <v>107.0</v>
      </c>
      <c r="BC551" s="132" t="s">
        <v>373</v>
      </c>
      <c r="BD551" s="132" t="s">
        <v>178</v>
      </c>
      <c r="BE551" s="132" t="s">
        <v>178</v>
      </c>
      <c r="BF551" s="156"/>
      <c r="BG551" s="83">
        <v>1178564.0</v>
      </c>
      <c r="BH551" s="112">
        <v>3.0</v>
      </c>
      <c r="BI551" s="98" t="s">
        <v>155</v>
      </c>
      <c r="BJ551" s="98" t="str">
        <f t="shared" si="1"/>
        <v>NÃO</v>
      </c>
      <c r="BK551" s="98" t="str">
        <f t="shared" si="2"/>
        <v>NÃO</v>
      </c>
    </row>
    <row r="552" ht="15.75" customHeight="1">
      <c r="A552" s="111" t="s">
        <v>605</v>
      </c>
      <c r="B552" s="83" t="s">
        <v>2296</v>
      </c>
      <c r="C552" s="83" t="s">
        <v>164</v>
      </c>
      <c r="D552" s="83">
        <v>1176217.0</v>
      </c>
      <c r="E552" s="83">
        <v>1179393.0</v>
      </c>
      <c r="F552" s="83"/>
      <c r="G552" s="241" t="s">
        <v>2384</v>
      </c>
      <c r="H552" s="91" t="s">
        <v>2385</v>
      </c>
      <c r="I552" s="114" t="s">
        <v>149</v>
      </c>
      <c r="J552" s="83" t="s">
        <v>1741</v>
      </c>
      <c r="K552" s="83" t="s">
        <v>168</v>
      </c>
      <c r="L552" s="83" t="s">
        <v>169</v>
      </c>
      <c r="M552" s="82" t="s">
        <v>6590</v>
      </c>
      <c r="N552" s="82" t="s">
        <v>6592</v>
      </c>
      <c r="O552" s="82" t="s">
        <v>6593</v>
      </c>
      <c r="P552" s="82" t="s">
        <v>6594</v>
      </c>
      <c r="Q552" s="82" t="s">
        <v>6595</v>
      </c>
      <c r="R552" s="82" t="s">
        <v>6596</v>
      </c>
      <c r="S552" s="82" t="s">
        <v>6597</v>
      </c>
      <c r="T552" s="138">
        <v>5.0</v>
      </c>
      <c r="U552" s="393">
        <v>5.0</v>
      </c>
      <c r="V552" s="106">
        <v>0.0</v>
      </c>
      <c r="W552" s="107">
        <v>0.0</v>
      </c>
      <c r="X552" s="107">
        <v>0.0</v>
      </c>
      <c r="Y552" s="107">
        <v>0.0</v>
      </c>
      <c r="Z552" s="80">
        <v>0.0</v>
      </c>
      <c r="AA552" s="140">
        <v>0.0</v>
      </c>
      <c r="AB552" s="109">
        <v>0.0</v>
      </c>
      <c r="AC552" s="109">
        <v>0.0</v>
      </c>
      <c r="AD552" s="141">
        <v>0.0</v>
      </c>
      <c r="AE552" s="80">
        <v>0.0</v>
      </c>
      <c r="AF552" s="140">
        <v>0.0</v>
      </c>
      <c r="AG552" s="109">
        <v>0.0</v>
      </c>
      <c r="AH552" s="109">
        <v>0.0</v>
      </c>
      <c r="AI552" s="141">
        <v>0.0</v>
      </c>
      <c r="AJ552" s="80">
        <v>0.0</v>
      </c>
      <c r="AK552" s="140">
        <v>22.0</v>
      </c>
      <c r="AL552" s="109">
        <v>17.0</v>
      </c>
      <c r="AM552" s="141">
        <v>0.0</v>
      </c>
      <c r="AN552" s="80">
        <v>39.0</v>
      </c>
      <c r="AO552" s="140">
        <v>33.0</v>
      </c>
      <c r="AP552" s="109">
        <v>0.0</v>
      </c>
      <c r="AQ552" s="109">
        <v>0.0</v>
      </c>
      <c r="AR552" s="80">
        <v>33.0</v>
      </c>
      <c r="AS552" s="110">
        <v>0.0</v>
      </c>
      <c r="AT552" s="110">
        <v>0.0</v>
      </c>
      <c r="AU552" s="110">
        <v>0.0</v>
      </c>
      <c r="AV552" s="142">
        <v>0.0</v>
      </c>
      <c r="AW552" s="80">
        <v>0.0</v>
      </c>
      <c r="AX552" s="113">
        <v>72.0</v>
      </c>
      <c r="AY552" s="117">
        <v>72.0</v>
      </c>
      <c r="AZ552" s="328">
        <v>0.0</v>
      </c>
      <c r="BA552" s="315">
        <v>0.0</v>
      </c>
      <c r="BB552" s="316">
        <v>72.0</v>
      </c>
      <c r="BC552" s="132" t="s">
        <v>563</v>
      </c>
      <c r="BD552" s="132" t="s">
        <v>178</v>
      </c>
      <c r="BE552" s="132" t="s">
        <v>178</v>
      </c>
      <c r="BF552" s="156"/>
      <c r="BG552" s="83">
        <v>1179393.0</v>
      </c>
      <c r="BH552" s="112">
        <v>5.0</v>
      </c>
      <c r="BI552" s="98" t="s">
        <v>155</v>
      </c>
      <c r="BJ552" s="98" t="str">
        <f t="shared" si="1"/>
        <v>NÃO</v>
      </c>
      <c r="BK552" s="98" t="str">
        <f t="shared" si="2"/>
        <v>NÃO</v>
      </c>
    </row>
    <row r="553">
      <c r="A553" s="111" t="s">
        <v>605</v>
      </c>
      <c r="B553" s="83" t="s">
        <v>2296</v>
      </c>
      <c r="C553" s="83" t="s">
        <v>164</v>
      </c>
      <c r="D553" s="83">
        <v>1113846.0</v>
      </c>
      <c r="E553" s="83">
        <v>1178563.0</v>
      </c>
      <c r="F553" s="83"/>
      <c r="G553" s="185" t="s">
        <v>2390</v>
      </c>
      <c r="H553" s="91" t="s">
        <v>2391</v>
      </c>
      <c r="I553" s="114" t="s">
        <v>149</v>
      </c>
      <c r="J553" s="83" t="s">
        <v>183</v>
      </c>
      <c r="K553" s="83" t="s">
        <v>168</v>
      </c>
      <c r="L553" s="83" t="s">
        <v>169</v>
      </c>
      <c r="M553" s="82" t="s">
        <v>6608</v>
      </c>
      <c r="N553" s="82" t="s">
        <v>6609</v>
      </c>
      <c r="O553" s="82" t="s">
        <v>6610</v>
      </c>
      <c r="P553" s="82" t="s">
        <v>6612</v>
      </c>
      <c r="Q553" s="82" t="s">
        <v>6613</v>
      </c>
      <c r="R553" s="82" t="s">
        <v>6614</v>
      </c>
      <c r="S553" s="82" t="s">
        <v>6615</v>
      </c>
      <c r="T553" s="138">
        <v>3.0</v>
      </c>
      <c r="U553" s="323">
        <v>3.0</v>
      </c>
      <c r="V553" s="106">
        <v>0.0</v>
      </c>
      <c r="W553" s="107">
        <v>0.0</v>
      </c>
      <c r="X553" s="107">
        <v>0.0</v>
      </c>
      <c r="Y553" s="107">
        <v>0.0</v>
      </c>
      <c r="Z553" s="80">
        <v>0.0</v>
      </c>
      <c r="AA553" s="140">
        <v>0.0</v>
      </c>
      <c r="AB553" s="109">
        <v>0.0</v>
      </c>
      <c r="AC553" s="109">
        <v>0.0</v>
      </c>
      <c r="AD553" s="141">
        <v>0.0</v>
      </c>
      <c r="AE553" s="80">
        <v>0.0</v>
      </c>
      <c r="AF553" s="140">
        <v>0.0</v>
      </c>
      <c r="AG553" s="109">
        <v>0.0</v>
      </c>
      <c r="AH553" s="109">
        <v>15.0</v>
      </c>
      <c r="AI553" s="141">
        <v>0.0</v>
      </c>
      <c r="AJ553" s="80">
        <v>15.0</v>
      </c>
      <c r="AK553" s="140">
        <v>0.0</v>
      </c>
      <c r="AL553" s="109">
        <v>0.0</v>
      </c>
      <c r="AM553" s="141">
        <v>0.0</v>
      </c>
      <c r="AN553" s="80">
        <v>0.0</v>
      </c>
      <c r="AO553" s="140">
        <v>0.0</v>
      </c>
      <c r="AP553" s="109">
        <v>0.0</v>
      </c>
      <c r="AQ553" s="109">
        <v>18.0</v>
      </c>
      <c r="AR553" s="80">
        <v>18.0</v>
      </c>
      <c r="AS553" s="110">
        <v>0.0</v>
      </c>
      <c r="AT553" s="110">
        <v>0.0</v>
      </c>
      <c r="AU553" s="110">
        <v>0.0</v>
      </c>
      <c r="AV553" s="142">
        <v>0.0</v>
      </c>
      <c r="AW553" s="80">
        <v>0.0</v>
      </c>
      <c r="AX553" s="113">
        <v>33.0</v>
      </c>
      <c r="AY553" s="117">
        <v>0.0</v>
      </c>
      <c r="AZ553" s="328">
        <v>33.0</v>
      </c>
      <c r="BA553" s="315">
        <v>0.0</v>
      </c>
      <c r="BB553" s="316">
        <v>33.0</v>
      </c>
      <c r="BC553" s="132" t="s">
        <v>373</v>
      </c>
      <c r="BD553" s="132" t="s">
        <v>178</v>
      </c>
      <c r="BE553" s="132" t="s">
        <v>178</v>
      </c>
      <c r="BF553" s="123"/>
      <c r="BG553" s="83">
        <v>1178563.0</v>
      </c>
      <c r="BH553" s="112">
        <v>3.0</v>
      </c>
      <c r="BI553" s="98" t="s">
        <v>155</v>
      </c>
      <c r="BJ553" s="98" t="str">
        <f t="shared" si="1"/>
        <v>NÃO</v>
      </c>
      <c r="BK553" s="98" t="str">
        <f t="shared" si="2"/>
        <v>NÃO</v>
      </c>
    </row>
    <row r="554" ht="15.75" customHeight="1">
      <c r="A554" s="111" t="s">
        <v>605</v>
      </c>
      <c r="B554" s="83" t="s">
        <v>2296</v>
      </c>
      <c r="C554" s="83" t="s">
        <v>164</v>
      </c>
      <c r="D554" s="83">
        <v>1113846.0</v>
      </c>
      <c r="E554" s="83">
        <v>1179247.0</v>
      </c>
      <c r="F554" s="83"/>
      <c r="G554" s="185" t="s">
        <v>2394</v>
      </c>
      <c r="H554" s="91" t="s">
        <v>2395</v>
      </c>
      <c r="I554" s="114" t="s">
        <v>149</v>
      </c>
      <c r="J554" s="83" t="s">
        <v>767</v>
      </c>
      <c r="K554" s="83" t="s">
        <v>168</v>
      </c>
      <c r="L554" s="83" t="s">
        <v>169</v>
      </c>
      <c r="M554" s="82" t="s">
        <v>6608</v>
      </c>
      <c r="N554" s="82" t="s">
        <v>6609</v>
      </c>
      <c r="O554" s="82" t="s">
        <v>6610</v>
      </c>
      <c r="P554" s="82" t="s">
        <v>6612</v>
      </c>
      <c r="Q554" s="82" t="s">
        <v>6613</v>
      </c>
      <c r="R554" s="82" t="s">
        <v>6614</v>
      </c>
      <c r="S554" s="82" t="s">
        <v>6615</v>
      </c>
      <c r="T554" s="138">
        <v>3.0</v>
      </c>
      <c r="U554" s="323">
        <v>3.0</v>
      </c>
      <c r="V554" s="106">
        <v>0.0</v>
      </c>
      <c r="W554" s="107">
        <v>0.0</v>
      </c>
      <c r="X554" s="107">
        <v>0.0</v>
      </c>
      <c r="Y554" s="107">
        <v>0.0</v>
      </c>
      <c r="Z554" s="80">
        <v>0.0</v>
      </c>
      <c r="AA554" s="140">
        <v>0.0</v>
      </c>
      <c r="AB554" s="109">
        <v>0.0</v>
      </c>
      <c r="AC554" s="109">
        <v>0.0</v>
      </c>
      <c r="AD554" s="141">
        <v>0.0</v>
      </c>
      <c r="AE554" s="80">
        <v>0.0</v>
      </c>
      <c r="AF554" s="140">
        <v>0.0</v>
      </c>
      <c r="AG554" s="109">
        <v>0.0</v>
      </c>
      <c r="AH554" s="109">
        <v>13.0</v>
      </c>
      <c r="AI554" s="141">
        <v>0.0</v>
      </c>
      <c r="AJ554" s="80">
        <v>13.0</v>
      </c>
      <c r="AK554" s="140">
        <v>0.0</v>
      </c>
      <c r="AL554" s="109">
        <v>0.0</v>
      </c>
      <c r="AM554" s="141">
        <v>0.0</v>
      </c>
      <c r="AN554" s="80">
        <v>0.0</v>
      </c>
      <c r="AO554" s="140">
        <v>0.0</v>
      </c>
      <c r="AP554" s="109">
        <v>0.0</v>
      </c>
      <c r="AQ554" s="109">
        <v>43.0</v>
      </c>
      <c r="AR554" s="80">
        <v>43.0</v>
      </c>
      <c r="AS554" s="110">
        <v>0.0</v>
      </c>
      <c r="AT554" s="110">
        <v>0.0</v>
      </c>
      <c r="AU554" s="110">
        <v>0.0</v>
      </c>
      <c r="AV554" s="142">
        <v>0.0</v>
      </c>
      <c r="AW554" s="80">
        <v>0.0</v>
      </c>
      <c r="AX554" s="113">
        <v>56.0</v>
      </c>
      <c r="AY554" s="117">
        <v>0.0</v>
      </c>
      <c r="AZ554" s="328">
        <v>56.0</v>
      </c>
      <c r="BA554" s="315">
        <v>0.0</v>
      </c>
      <c r="BB554" s="316">
        <v>56.0</v>
      </c>
      <c r="BC554" s="132" t="s">
        <v>373</v>
      </c>
      <c r="BD554" s="132" t="s">
        <v>178</v>
      </c>
      <c r="BE554" s="132" t="s">
        <v>178</v>
      </c>
      <c r="BF554" s="156"/>
      <c r="BG554" s="83">
        <v>1179247.0</v>
      </c>
      <c r="BH554" s="112">
        <v>3.0</v>
      </c>
      <c r="BI554" s="98" t="s">
        <v>155</v>
      </c>
      <c r="BJ554" s="98" t="str">
        <f t="shared" si="1"/>
        <v>NÃO</v>
      </c>
      <c r="BK554" s="98" t="str">
        <f t="shared" si="2"/>
        <v>NÃO</v>
      </c>
    </row>
    <row r="555" ht="15.75" customHeight="1">
      <c r="A555" s="111" t="s">
        <v>605</v>
      </c>
      <c r="B555" s="83" t="s">
        <v>2398</v>
      </c>
      <c r="C555" s="83" t="s">
        <v>68</v>
      </c>
      <c r="D555" s="83">
        <v>1178272.0</v>
      </c>
      <c r="E555" s="83"/>
      <c r="F555" s="83">
        <v>2.9903726E7</v>
      </c>
      <c r="G555" s="185" t="s">
        <v>2400</v>
      </c>
      <c r="H555" s="91" t="s">
        <v>2401</v>
      </c>
      <c r="I555" s="114" t="s">
        <v>149</v>
      </c>
      <c r="J555" s="83" t="s">
        <v>150</v>
      </c>
      <c r="K555" s="83" t="s">
        <v>151</v>
      </c>
      <c r="L555" s="83" t="s">
        <v>169</v>
      </c>
      <c r="M555" s="82" t="s">
        <v>6661</v>
      </c>
      <c r="N555" s="82" t="s">
        <v>6665</v>
      </c>
      <c r="O555" s="82" t="s">
        <v>6666</v>
      </c>
      <c r="P555" s="82" t="s">
        <v>6665</v>
      </c>
      <c r="Q555" s="82"/>
      <c r="R555" s="82"/>
      <c r="S555" s="82" t="s">
        <v>6667</v>
      </c>
      <c r="T555" s="138">
        <v>6.0</v>
      </c>
      <c r="U555" s="323">
        <v>6.0</v>
      </c>
      <c r="V555" s="106">
        <v>0.0</v>
      </c>
      <c r="W555" s="107">
        <v>0.0</v>
      </c>
      <c r="X555" s="107">
        <v>0.0</v>
      </c>
      <c r="Y555" s="107">
        <v>0.0</v>
      </c>
      <c r="Z555" s="80">
        <v>0.0</v>
      </c>
      <c r="AA555" s="140">
        <v>0.0</v>
      </c>
      <c r="AB555" s="109">
        <v>0.0</v>
      </c>
      <c r="AC555" s="109">
        <v>0.0</v>
      </c>
      <c r="AD555" s="141">
        <v>0.0</v>
      </c>
      <c r="AE555" s="80">
        <v>0.0</v>
      </c>
      <c r="AF555" s="140">
        <v>0.0</v>
      </c>
      <c r="AG555" s="109">
        <v>0.0</v>
      </c>
      <c r="AH555" s="109">
        <v>0.0</v>
      </c>
      <c r="AI555" s="141">
        <v>50.0</v>
      </c>
      <c r="AJ555" s="80">
        <v>50.0</v>
      </c>
      <c r="AK555" s="140">
        <v>0.0</v>
      </c>
      <c r="AL555" s="109">
        <v>0.0</v>
      </c>
      <c r="AM555" s="141">
        <v>0.0</v>
      </c>
      <c r="AN555" s="80">
        <v>0.0</v>
      </c>
      <c r="AO555" s="140">
        <v>0.0</v>
      </c>
      <c r="AP555" s="109">
        <v>0.0</v>
      </c>
      <c r="AQ555" s="109">
        <v>22.0</v>
      </c>
      <c r="AR555" s="80">
        <v>22.0</v>
      </c>
      <c r="AS555" s="110">
        <v>0.0</v>
      </c>
      <c r="AT555" s="110">
        <v>0.0</v>
      </c>
      <c r="AU555" s="110">
        <v>0.0</v>
      </c>
      <c r="AV555" s="142">
        <v>0.0</v>
      </c>
      <c r="AW555" s="80">
        <v>0.0</v>
      </c>
      <c r="AX555" s="113">
        <v>72.0</v>
      </c>
      <c r="AY555" s="117">
        <v>50.0</v>
      </c>
      <c r="AZ555" s="328">
        <v>22.0</v>
      </c>
      <c r="BA555" s="315">
        <v>0.0</v>
      </c>
      <c r="BB555" s="316">
        <v>72.0</v>
      </c>
      <c r="BC555" s="132" t="s">
        <v>178</v>
      </c>
      <c r="BD555" s="132" t="s">
        <v>178</v>
      </c>
      <c r="BE555" s="132" t="s">
        <v>178</v>
      </c>
      <c r="BF555" s="123"/>
      <c r="BG555" s="83">
        <v>1178272.0</v>
      </c>
      <c r="BH555" s="112">
        <v>6.0</v>
      </c>
      <c r="BI555" s="98" t="s">
        <v>155</v>
      </c>
      <c r="BJ555" s="98" t="str">
        <f t="shared" si="1"/>
        <v>INTEGRAL</v>
      </c>
      <c r="BK555" s="98" t="str">
        <f t="shared" si="2"/>
        <v>NÃO</v>
      </c>
    </row>
    <row r="556" ht="15.75" customHeight="1">
      <c r="A556" s="111" t="s">
        <v>605</v>
      </c>
      <c r="B556" s="83" t="s">
        <v>2398</v>
      </c>
      <c r="C556" s="83" t="s">
        <v>68</v>
      </c>
      <c r="D556" s="83">
        <v>1176142.0</v>
      </c>
      <c r="E556" s="83"/>
      <c r="F556" s="83">
        <v>2.9330041E7</v>
      </c>
      <c r="G556" s="185" t="s">
        <v>2407</v>
      </c>
      <c r="H556" s="91" t="s">
        <v>2409</v>
      </c>
      <c r="I556" s="114" t="s">
        <v>149</v>
      </c>
      <c r="J556" s="83" t="s">
        <v>2410</v>
      </c>
      <c r="K556" s="83" t="s">
        <v>151</v>
      </c>
      <c r="L556" s="83" t="s">
        <v>169</v>
      </c>
      <c r="M556" s="82" t="s">
        <v>6671</v>
      </c>
      <c r="N556" s="82" t="s">
        <v>6672</v>
      </c>
      <c r="O556" s="82"/>
      <c r="P556" s="82"/>
      <c r="Q556" s="82"/>
      <c r="R556" s="82"/>
      <c r="S556" s="82" t="s">
        <v>6673</v>
      </c>
      <c r="T556" s="138">
        <v>4.0</v>
      </c>
      <c r="U556" s="331">
        <v>4.0</v>
      </c>
      <c r="V556" s="106">
        <v>0.0</v>
      </c>
      <c r="W556" s="107">
        <v>0.0</v>
      </c>
      <c r="X556" s="107">
        <v>0.0</v>
      </c>
      <c r="Y556" s="107">
        <v>0.0</v>
      </c>
      <c r="Z556" s="80">
        <v>0.0</v>
      </c>
      <c r="AA556" s="140">
        <v>0.0</v>
      </c>
      <c r="AB556" s="109">
        <v>0.0</v>
      </c>
      <c r="AC556" s="109">
        <v>0.0</v>
      </c>
      <c r="AD556" s="141">
        <v>0.0</v>
      </c>
      <c r="AE556" s="80">
        <v>0.0</v>
      </c>
      <c r="AF556" s="140">
        <v>0.0</v>
      </c>
      <c r="AG556" s="109">
        <v>0.0</v>
      </c>
      <c r="AH556" s="109">
        <v>0.0</v>
      </c>
      <c r="AI556" s="141">
        <v>0.0</v>
      </c>
      <c r="AJ556" s="80">
        <v>0.0</v>
      </c>
      <c r="AK556" s="140">
        <v>0.0</v>
      </c>
      <c r="AL556" s="109">
        <v>0.0</v>
      </c>
      <c r="AM556" s="141">
        <v>0.0</v>
      </c>
      <c r="AN556" s="80">
        <v>0.0</v>
      </c>
      <c r="AO556" s="140">
        <v>0.0</v>
      </c>
      <c r="AP556" s="109">
        <v>0.0</v>
      </c>
      <c r="AQ556" s="109">
        <v>88.0</v>
      </c>
      <c r="AR556" s="80">
        <v>88.0</v>
      </c>
      <c r="AS556" s="110">
        <v>0.0</v>
      </c>
      <c r="AT556" s="110">
        <v>0.0</v>
      </c>
      <c r="AU556" s="110">
        <v>0.0</v>
      </c>
      <c r="AV556" s="142">
        <v>0.0</v>
      </c>
      <c r="AW556" s="80">
        <v>0.0</v>
      </c>
      <c r="AX556" s="113">
        <v>88.0</v>
      </c>
      <c r="AY556" s="117">
        <v>0.0</v>
      </c>
      <c r="AZ556" s="328">
        <v>88.0</v>
      </c>
      <c r="BA556" s="315">
        <v>0.0</v>
      </c>
      <c r="BB556" s="316">
        <v>88.0</v>
      </c>
      <c r="BC556" s="132" t="s">
        <v>373</v>
      </c>
      <c r="BD556" s="132" t="s">
        <v>178</v>
      </c>
      <c r="BE556" s="132" t="s">
        <v>178</v>
      </c>
      <c r="BF556" s="156"/>
      <c r="BG556" s="83">
        <v>1176142.0</v>
      </c>
      <c r="BH556" s="112">
        <v>4.0</v>
      </c>
      <c r="BI556" s="98" t="s">
        <v>155</v>
      </c>
      <c r="BJ556" s="98" t="str">
        <f t="shared" si="1"/>
        <v>NÃO</v>
      </c>
      <c r="BK556" s="98" t="str">
        <f t="shared" si="2"/>
        <v>NÃO</v>
      </c>
    </row>
    <row r="557" ht="15.75" customHeight="1">
      <c r="A557" s="111" t="s">
        <v>605</v>
      </c>
      <c r="B557" s="83" t="s">
        <v>2398</v>
      </c>
      <c r="C557" s="83" t="s">
        <v>164</v>
      </c>
      <c r="D557" s="83">
        <v>1179713.0</v>
      </c>
      <c r="E557" s="83">
        <v>1178565.0</v>
      </c>
      <c r="F557" s="83"/>
      <c r="G557" s="147" t="s">
        <v>2414</v>
      </c>
      <c r="H557" s="91" t="s">
        <v>2415</v>
      </c>
      <c r="I557" s="187" t="s">
        <v>149</v>
      </c>
      <c r="J557" s="83" t="s">
        <v>865</v>
      </c>
      <c r="K557" s="146" t="s">
        <v>168</v>
      </c>
      <c r="L557" s="83" t="s">
        <v>169</v>
      </c>
      <c r="M557" s="82" t="s">
        <v>6220</v>
      </c>
      <c r="N557" s="82" t="s">
        <v>6221</v>
      </c>
      <c r="O557" s="82"/>
      <c r="P557" s="82"/>
      <c r="Q557" s="82"/>
      <c r="R557" s="82"/>
      <c r="S557" s="82"/>
      <c r="T557" s="138">
        <v>3.0</v>
      </c>
      <c r="U557" s="323">
        <v>3.0</v>
      </c>
      <c r="V557" s="106">
        <v>0.0</v>
      </c>
      <c r="W557" s="107">
        <v>0.0</v>
      </c>
      <c r="X557" s="107">
        <v>0.0</v>
      </c>
      <c r="Y557" s="107">
        <v>0.0</v>
      </c>
      <c r="Z557" s="80">
        <v>0.0</v>
      </c>
      <c r="AA557" s="140">
        <v>0.0</v>
      </c>
      <c r="AB557" s="109">
        <v>0.0</v>
      </c>
      <c r="AC557" s="109">
        <v>0.0</v>
      </c>
      <c r="AD557" s="141">
        <v>0.0</v>
      </c>
      <c r="AE557" s="80">
        <v>0.0</v>
      </c>
      <c r="AF557" s="140">
        <v>0.0</v>
      </c>
      <c r="AG557" s="109">
        <v>0.0</v>
      </c>
      <c r="AH557" s="109">
        <v>14.0</v>
      </c>
      <c r="AI557" s="141">
        <v>0.0</v>
      </c>
      <c r="AJ557" s="80">
        <v>14.0</v>
      </c>
      <c r="AK557" s="140">
        <v>0.0</v>
      </c>
      <c r="AL557" s="109">
        <v>0.0</v>
      </c>
      <c r="AM557" s="141">
        <v>0.0</v>
      </c>
      <c r="AN557" s="80">
        <v>0.0</v>
      </c>
      <c r="AO557" s="140">
        <v>0.0</v>
      </c>
      <c r="AP557" s="109">
        <v>0.0</v>
      </c>
      <c r="AQ557" s="109">
        <v>0.0</v>
      </c>
      <c r="AR557" s="80">
        <v>0.0</v>
      </c>
      <c r="AS557" s="110">
        <v>0.0</v>
      </c>
      <c r="AT557" s="110">
        <v>0.0</v>
      </c>
      <c r="AU557" s="110">
        <v>0.0</v>
      </c>
      <c r="AV557" s="142">
        <v>0.0</v>
      </c>
      <c r="AW557" s="80">
        <v>0.0</v>
      </c>
      <c r="AX557" s="113">
        <v>14.0</v>
      </c>
      <c r="AY557" s="117">
        <v>0.0</v>
      </c>
      <c r="AZ557" s="328">
        <v>14.0</v>
      </c>
      <c r="BA557" s="315">
        <v>0.0</v>
      </c>
      <c r="BB557" s="316">
        <v>14.0</v>
      </c>
      <c r="BC557" s="132" t="s">
        <v>178</v>
      </c>
      <c r="BD557" s="143" t="s">
        <v>227</v>
      </c>
      <c r="BE557" s="132" t="s">
        <v>178</v>
      </c>
      <c r="BF557" s="123"/>
      <c r="BG557" s="83">
        <v>1178565.0</v>
      </c>
      <c r="BH557" s="112">
        <v>3.0</v>
      </c>
      <c r="BI557" s="98" t="s">
        <v>155</v>
      </c>
      <c r="BJ557" s="98" t="str">
        <f t="shared" si="1"/>
        <v>NÃO</v>
      </c>
      <c r="BK557" s="98" t="str">
        <f t="shared" si="2"/>
        <v>NÃO</v>
      </c>
    </row>
    <row r="558" ht="15.75" customHeight="1">
      <c r="A558" s="111" t="s">
        <v>605</v>
      </c>
      <c r="B558" s="83" t="s">
        <v>2398</v>
      </c>
      <c r="C558" s="83" t="s">
        <v>164</v>
      </c>
      <c r="D558" s="83">
        <v>1179713.0</v>
      </c>
      <c r="E558" s="83">
        <v>1178882.0</v>
      </c>
      <c r="F558" s="83"/>
      <c r="G558" s="147" t="s">
        <v>2417</v>
      </c>
      <c r="H558" s="91" t="s">
        <v>2418</v>
      </c>
      <c r="I558" s="187" t="s">
        <v>149</v>
      </c>
      <c r="J558" s="83" t="s">
        <v>694</v>
      </c>
      <c r="K558" s="83" t="s">
        <v>168</v>
      </c>
      <c r="L558" s="83" t="s">
        <v>169</v>
      </c>
      <c r="M558" s="82" t="s">
        <v>6220</v>
      </c>
      <c r="N558" s="82" t="s">
        <v>6221</v>
      </c>
      <c r="O558" s="82"/>
      <c r="P558" s="82"/>
      <c r="Q558" s="82"/>
      <c r="R558" s="82"/>
      <c r="S558" s="82"/>
      <c r="T558" s="138">
        <v>3.0</v>
      </c>
      <c r="U558" s="323">
        <v>3.0</v>
      </c>
      <c r="V558" s="106">
        <v>0.0</v>
      </c>
      <c r="W558" s="107">
        <v>0.0</v>
      </c>
      <c r="X558" s="107">
        <v>0.0</v>
      </c>
      <c r="Y558" s="107">
        <v>0.0</v>
      </c>
      <c r="Z558" s="80">
        <v>0.0</v>
      </c>
      <c r="AA558" s="140">
        <v>0.0</v>
      </c>
      <c r="AB558" s="109">
        <v>0.0</v>
      </c>
      <c r="AC558" s="109">
        <v>0.0</v>
      </c>
      <c r="AD558" s="141">
        <v>0.0</v>
      </c>
      <c r="AE558" s="80">
        <v>0.0</v>
      </c>
      <c r="AF558" s="140">
        <v>0.0</v>
      </c>
      <c r="AG558" s="109">
        <v>0.0</v>
      </c>
      <c r="AH558" s="109">
        <v>22.0</v>
      </c>
      <c r="AI558" s="141">
        <v>0.0</v>
      </c>
      <c r="AJ558" s="80">
        <v>22.0</v>
      </c>
      <c r="AK558" s="140">
        <v>0.0</v>
      </c>
      <c r="AL558" s="109">
        <v>0.0</v>
      </c>
      <c r="AM558" s="141">
        <v>0.0</v>
      </c>
      <c r="AN558" s="80">
        <v>0.0</v>
      </c>
      <c r="AO558" s="140">
        <v>0.0</v>
      </c>
      <c r="AP558" s="109">
        <v>0.0</v>
      </c>
      <c r="AQ558" s="109">
        <v>0.0</v>
      </c>
      <c r="AR558" s="80">
        <v>0.0</v>
      </c>
      <c r="AS558" s="110">
        <v>0.0</v>
      </c>
      <c r="AT558" s="110">
        <v>0.0</v>
      </c>
      <c r="AU558" s="110">
        <v>0.0</v>
      </c>
      <c r="AV558" s="142">
        <v>0.0</v>
      </c>
      <c r="AW558" s="80">
        <v>0.0</v>
      </c>
      <c r="AX558" s="113">
        <v>22.0</v>
      </c>
      <c r="AY558" s="117">
        <v>0.0</v>
      </c>
      <c r="AZ558" s="328">
        <v>22.0</v>
      </c>
      <c r="BA558" s="315">
        <v>0.0</v>
      </c>
      <c r="BB558" s="316">
        <v>22.0</v>
      </c>
      <c r="BC558" s="132" t="s">
        <v>178</v>
      </c>
      <c r="BD558" s="143" t="s">
        <v>227</v>
      </c>
      <c r="BE558" s="132" t="s">
        <v>178</v>
      </c>
      <c r="BF558" s="156"/>
      <c r="BG558" s="83">
        <v>1178882.0</v>
      </c>
      <c r="BH558" s="112">
        <v>3.0</v>
      </c>
      <c r="BI558" s="98" t="s">
        <v>155</v>
      </c>
      <c r="BJ558" s="98" t="str">
        <f t="shared" si="1"/>
        <v>NÃO</v>
      </c>
      <c r="BK558" s="98" t="str">
        <f t="shared" si="2"/>
        <v>NÃO</v>
      </c>
    </row>
    <row r="559" ht="15.75" customHeight="1">
      <c r="A559" s="111" t="s">
        <v>605</v>
      </c>
      <c r="B559" s="83" t="s">
        <v>2398</v>
      </c>
      <c r="C559" s="83" t="s">
        <v>164</v>
      </c>
      <c r="D559" s="83">
        <v>1178272.0</v>
      </c>
      <c r="E559" s="83">
        <v>1178566.0</v>
      </c>
      <c r="F559" s="83"/>
      <c r="G559" s="187" t="s">
        <v>2421</v>
      </c>
      <c r="H559" s="91" t="s">
        <v>2422</v>
      </c>
      <c r="I559" s="187" t="s">
        <v>2423</v>
      </c>
      <c r="J559" s="83" t="s">
        <v>865</v>
      </c>
      <c r="K559" s="83" t="s">
        <v>151</v>
      </c>
      <c r="L559" s="83" t="s">
        <v>169</v>
      </c>
      <c r="M559" s="82" t="s">
        <v>6661</v>
      </c>
      <c r="N559" s="82" t="s">
        <v>6665</v>
      </c>
      <c r="O559" s="82" t="s">
        <v>6666</v>
      </c>
      <c r="P559" s="82" t="s">
        <v>6665</v>
      </c>
      <c r="Q559" s="82"/>
      <c r="R559" s="82"/>
      <c r="S559" s="82" t="s">
        <v>6667</v>
      </c>
      <c r="T559" s="138">
        <v>3.0</v>
      </c>
      <c r="U559" s="323">
        <v>3.0</v>
      </c>
      <c r="V559" s="106">
        <v>0.0</v>
      </c>
      <c r="W559" s="107">
        <v>0.0</v>
      </c>
      <c r="X559" s="107">
        <v>0.0</v>
      </c>
      <c r="Y559" s="107">
        <v>0.0</v>
      </c>
      <c r="Z559" s="80">
        <v>0.0</v>
      </c>
      <c r="AA559" s="140">
        <v>0.0</v>
      </c>
      <c r="AB559" s="109">
        <v>0.0</v>
      </c>
      <c r="AC559" s="109">
        <v>0.0</v>
      </c>
      <c r="AD559" s="141">
        <v>0.0</v>
      </c>
      <c r="AE559" s="80">
        <v>0.0</v>
      </c>
      <c r="AF559" s="140">
        <v>0.0</v>
      </c>
      <c r="AG559" s="109">
        <v>0.0</v>
      </c>
      <c r="AH559" s="109">
        <v>5.0</v>
      </c>
      <c r="AI559" s="141">
        <v>0.0</v>
      </c>
      <c r="AJ559" s="80">
        <v>5.0</v>
      </c>
      <c r="AK559" s="140">
        <v>0.0</v>
      </c>
      <c r="AL559" s="109">
        <v>0.0</v>
      </c>
      <c r="AM559" s="141">
        <v>0.0</v>
      </c>
      <c r="AN559" s="80">
        <v>0.0</v>
      </c>
      <c r="AO559" s="140">
        <v>0.0</v>
      </c>
      <c r="AP559" s="109">
        <v>0.0</v>
      </c>
      <c r="AQ559" s="109">
        <v>6.0</v>
      </c>
      <c r="AR559" s="80">
        <v>6.0</v>
      </c>
      <c r="AS559" s="110">
        <v>0.0</v>
      </c>
      <c r="AT559" s="110">
        <v>0.0</v>
      </c>
      <c r="AU559" s="110">
        <v>0.0</v>
      </c>
      <c r="AV559" s="142">
        <v>0.0</v>
      </c>
      <c r="AW559" s="80">
        <v>0.0</v>
      </c>
      <c r="AX559" s="113">
        <v>11.0</v>
      </c>
      <c r="AY559" s="117">
        <v>0.0</v>
      </c>
      <c r="AZ559" s="328">
        <v>11.0</v>
      </c>
      <c r="BA559" s="315">
        <v>0.0</v>
      </c>
      <c r="BB559" s="316">
        <v>11.0</v>
      </c>
      <c r="BC559" s="132" t="s">
        <v>373</v>
      </c>
      <c r="BD559" s="132" t="s">
        <v>178</v>
      </c>
      <c r="BE559" s="132" t="s">
        <v>178</v>
      </c>
      <c r="BF559" s="123"/>
      <c r="BG559" s="83">
        <v>1178566.0</v>
      </c>
      <c r="BH559" s="112">
        <v>3.0</v>
      </c>
      <c r="BI559" s="98" t="s">
        <v>155</v>
      </c>
      <c r="BJ559" s="98" t="str">
        <f t="shared" si="1"/>
        <v>NÃO</v>
      </c>
      <c r="BK559" s="98" t="str">
        <f t="shared" si="2"/>
        <v>NÃO</v>
      </c>
    </row>
    <row r="560" ht="15.75" customHeight="1">
      <c r="A560" s="111" t="s">
        <v>673</v>
      </c>
      <c r="B560" s="83" t="s">
        <v>2425</v>
      </c>
      <c r="C560" s="83" t="s">
        <v>68</v>
      </c>
      <c r="D560" s="83">
        <v>1118449.0</v>
      </c>
      <c r="E560" s="83"/>
      <c r="F560" s="83">
        <v>2.9270545E7</v>
      </c>
      <c r="G560" s="187" t="s">
        <v>6683</v>
      </c>
      <c r="H560" s="91" t="s">
        <v>2429</v>
      </c>
      <c r="I560" s="187" t="s">
        <v>149</v>
      </c>
      <c r="J560" s="83" t="s">
        <v>150</v>
      </c>
      <c r="K560" s="83" t="s">
        <v>151</v>
      </c>
      <c r="L560" s="83" t="s">
        <v>169</v>
      </c>
      <c r="M560" s="82" t="s">
        <v>6684</v>
      </c>
      <c r="N560" s="82" t="s">
        <v>6685</v>
      </c>
      <c r="O560" s="82" t="s">
        <v>6686</v>
      </c>
      <c r="P560" s="82" t="s">
        <v>6687</v>
      </c>
      <c r="Q560" s="82"/>
      <c r="R560" s="82"/>
      <c r="S560" s="82" t="s">
        <v>6688</v>
      </c>
      <c r="T560" s="138">
        <v>5.0</v>
      </c>
      <c r="U560" s="323">
        <v>5.0</v>
      </c>
      <c r="V560" s="106">
        <v>0.0</v>
      </c>
      <c r="W560" s="107">
        <v>0.0</v>
      </c>
      <c r="X560" s="107">
        <v>0.0</v>
      </c>
      <c r="Y560" s="107">
        <v>0.0</v>
      </c>
      <c r="Z560" s="80">
        <v>0.0</v>
      </c>
      <c r="AA560" s="140">
        <v>0.0</v>
      </c>
      <c r="AB560" s="109">
        <v>0.0</v>
      </c>
      <c r="AC560" s="109">
        <v>0.0</v>
      </c>
      <c r="AD560" s="141">
        <v>0.0</v>
      </c>
      <c r="AE560" s="80">
        <v>0.0</v>
      </c>
      <c r="AF560" s="140">
        <v>144.0</v>
      </c>
      <c r="AG560" s="109">
        <v>53.0</v>
      </c>
      <c r="AH560" s="109">
        <v>0.0</v>
      </c>
      <c r="AI560" s="141">
        <v>0.0</v>
      </c>
      <c r="AJ560" s="80">
        <v>197.0</v>
      </c>
      <c r="AK560" s="140">
        <v>0.0</v>
      </c>
      <c r="AL560" s="109">
        <v>0.0</v>
      </c>
      <c r="AM560" s="141">
        <v>0.0</v>
      </c>
      <c r="AN560" s="80">
        <v>0.0</v>
      </c>
      <c r="AO560" s="140">
        <v>0.0</v>
      </c>
      <c r="AP560" s="109">
        <v>0.0</v>
      </c>
      <c r="AQ560" s="109">
        <v>49.0</v>
      </c>
      <c r="AR560" s="80">
        <v>49.0</v>
      </c>
      <c r="AS560" s="110">
        <v>0.0</v>
      </c>
      <c r="AT560" s="110">
        <v>0.0</v>
      </c>
      <c r="AU560" s="110">
        <v>0.0</v>
      </c>
      <c r="AV560" s="142">
        <v>0.0</v>
      </c>
      <c r="AW560" s="80">
        <v>0.0</v>
      </c>
      <c r="AX560" s="113">
        <v>246.0</v>
      </c>
      <c r="AY560" s="117">
        <v>197.0</v>
      </c>
      <c r="AZ560" s="328">
        <v>49.0</v>
      </c>
      <c r="BA560" s="315">
        <v>0.0</v>
      </c>
      <c r="BB560" s="316">
        <v>246.0</v>
      </c>
      <c r="BC560" s="132" t="s">
        <v>178</v>
      </c>
      <c r="BD560" s="132" t="s">
        <v>178</v>
      </c>
      <c r="BE560" s="132" t="s">
        <v>178</v>
      </c>
      <c r="BF560" s="123"/>
      <c r="BG560" s="83">
        <v>1118449.0</v>
      </c>
      <c r="BH560" s="112">
        <v>5.0</v>
      </c>
      <c r="BI560" s="98" t="s">
        <v>155</v>
      </c>
      <c r="BJ560" s="98" t="str">
        <f t="shared" si="1"/>
        <v>NÃO</v>
      </c>
      <c r="BK560" s="98" t="str">
        <f t="shared" si="2"/>
        <v>NÃO</v>
      </c>
    </row>
    <row r="561" ht="15.75" customHeight="1">
      <c r="A561" s="111" t="s">
        <v>673</v>
      </c>
      <c r="B561" s="83" t="s">
        <v>2431</v>
      </c>
      <c r="C561" s="83" t="s">
        <v>68</v>
      </c>
      <c r="D561" s="83">
        <v>1118511.0</v>
      </c>
      <c r="E561" s="83"/>
      <c r="F561" s="83">
        <v>2.9297974E7</v>
      </c>
      <c r="G561" s="187" t="s">
        <v>2433</v>
      </c>
      <c r="H561" s="91" t="s">
        <v>2434</v>
      </c>
      <c r="I561" s="187" t="s">
        <v>149</v>
      </c>
      <c r="J561" s="83" t="s">
        <v>150</v>
      </c>
      <c r="K561" s="83" t="s">
        <v>2435</v>
      </c>
      <c r="L561" s="83" t="s">
        <v>76</v>
      </c>
      <c r="M561" s="82" t="s">
        <v>6694</v>
      </c>
      <c r="N561" s="82" t="s">
        <v>6695</v>
      </c>
      <c r="O561" s="82" t="s">
        <v>6696</v>
      </c>
      <c r="P561" s="82" t="s">
        <v>6697</v>
      </c>
      <c r="Q561" s="82"/>
      <c r="R561" s="82"/>
      <c r="S561" s="82"/>
      <c r="T561" s="138">
        <v>11.0</v>
      </c>
      <c r="U561" s="331" t="s">
        <v>6698</v>
      </c>
      <c r="V561" s="106">
        <v>0.0</v>
      </c>
      <c r="W561" s="107">
        <v>0.0</v>
      </c>
      <c r="X561" s="107">
        <v>0.0</v>
      </c>
      <c r="Y561" s="107">
        <v>0.0</v>
      </c>
      <c r="Z561" s="80">
        <v>0.0</v>
      </c>
      <c r="AA561" s="140">
        <v>0.0</v>
      </c>
      <c r="AB561" s="109">
        <v>0.0</v>
      </c>
      <c r="AC561" s="109">
        <v>0.0</v>
      </c>
      <c r="AD561" s="141">
        <v>0.0</v>
      </c>
      <c r="AE561" s="80">
        <v>0.0</v>
      </c>
      <c r="AF561" s="140">
        <v>0.0</v>
      </c>
      <c r="AG561" s="109">
        <v>0.0</v>
      </c>
      <c r="AH561" s="109">
        <v>21.0</v>
      </c>
      <c r="AI561" s="141">
        <v>136.0</v>
      </c>
      <c r="AJ561" s="80">
        <v>157.0</v>
      </c>
      <c r="AK561" s="140">
        <v>0.0</v>
      </c>
      <c r="AL561" s="109">
        <v>0.0</v>
      </c>
      <c r="AM561" s="141">
        <v>0.0</v>
      </c>
      <c r="AN561" s="80">
        <v>0.0</v>
      </c>
      <c r="AO561" s="140">
        <v>0.0</v>
      </c>
      <c r="AP561" s="109">
        <v>0.0</v>
      </c>
      <c r="AQ561" s="109">
        <v>73.0</v>
      </c>
      <c r="AR561" s="80">
        <v>73.0</v>
      </c>
      <c r="AS561" s="110">
        <v>0.0</v>
      </c>
      <c r="AT561" s="110">
        <v>0.0</v>
      </c>
      <c r="AU561" s="110">
        <v>0.0</v>
      </c>
      <c r="AV561" s="142">
        <v>0.0</v>
      </c>
      <c r="AW561" s="80">
        <v>0.0</v>
      </c>
      <c r="AX561" s="113">
        <v>230.0</v>
      </c>
      <c r="AY561" s="117">
        <v>136.0</v>
      </c>
      <c r="AZ561" s="328">
        <v>94.0</v>
      </c>
      <c r="BA561" s="315">
        <v>0.0</v>
      </c>
      <c r="BB561" s="316">
        <v>230.0</v>
      </c>
      <c r="BC561" s="132" t="s">
        <v>178</v>
      </c>
      <c r="BD561" s="132" t="s">
        <v>178</v>
      </c>
      <c r="BE561" s="132" t="s">
        <v>178</v>
      </c>
      <c r="BF561" s="123"/>
      <c r="BG561" s="83">
        <v>1118511.0</v>
      </c>
      <c r="BH561" s="112">
        <v>4.0</v>
      </c>
      <c r="BI561" s="98" t="s">
        <v>155</v>
      </c>
      <c r="BJ561" s="98" t="str">
        <f t="shared" si="1"/>
        <v>INTEGRAL</v>
      </c>
      <c r="BK561" s="98" t="str">
        <f t="shared" si="2"/>
        <v>NÃO</v>
      </c>
    </row>
    <row r="562" ht="15.75" customHeight="1">
      <c r="A562" s="111" t="s">
        <v>673</v>
      </c>
      <c r="B562" s="83" t="s">
        <v>2446</v>
      </c>
      <c r="C562" s="83" t="s">
        <v>68</v>
      </c>
      <c r="D562" s="83">
        <v>1118546.0</v>
      </c>
      <c r="E562" s="83"/>
      <c r="F562" s="83">
        <v>2.9272696E7</v>
      </c>
      <c r="G562" s="119" t="s">
        <v>6700</v>
      </c>
      <c r="H562" s="91" t="s">
        <v>6701</v>
      </c>
      <c r="I562" s="114" t="s">
        <v>149</v>
      </c>
      <c r="J562" s="83" t="s">
        <v>150</v>
      </c>
      <c r="K562" s="83" t="s">
        <v>151</v>
      </c>
      <c r="L562" s="83" t="s">
        <v>76</v>
      </c>
      <c r="M562" s="82" t="s">
        <v>6704</v>
      </c>
      <c r="N562" s="82" t="s">
        <v>6705</v>
      </c>
      <c r="O562" s="82" t="s">
        <v>6707</v>
      </c>
      <c r="P562" s="82" t="s">
        <v>6708</v>
      </c>
      <c r="Q562" s="82"/>
      <c r="R562" s="82"/>
      <c r="S562" s="82" t="s">
        <v>6709</v>
      </c>
      <c r="T562" s="138">
        <v>7.0</v>
      </c>
      <c r="U562" s="323" t="s">
        <v>6710</v>
      </c>
      <c r="V562" s="106">
        <v>0.0</v>
      </c>
      <c r="W562" s="107">
        <v>0.0</v>
      </c>
      <c r="X562" s="107">
        <v>0.0</v>
      </c>
      <c r="Y562" s="107">
        <v>0.0</v>
      </c>
      <c r="Z562" s="80">
        <v>0.0</v>
      </c>
      <c r="AA562" s="140">
        <v>0.0</v>
      </c>
      <c r="AB562" s="109">
        <v>0.0</v>
      </c>
      <c r="AC562" s="109">
        <v>0.0</v>
      </c>
      <c r="AD562" s="141">
        <v>0.0</v>
      </c>
      <c r="AE562" s="80">
        <v>0.0</v>
      </c>
      <c r="AF562" s="140">
        <v>138.0</v>
      </c>
      <c r="AG562" s="109">
        <v>74.0</v>
      </c>
      <c r="AH562" s="109">
        <v>26.0</v>
      </c>
      <c r="AI562" s="141">
        <v>120.0</v>
      </c>
      <c r="AJ562" s="80">
        <v>358.0</v>
      </c>
      <c r="AK562" s="140">
        <v>0.0</v>
      </c>
      <c r="AL562" s="109">
        <v>0.0</v>
      </c>
      <c r="AM562" s="141">
        <v>0.0</v>
      </c>
      <c r="AN562" s="80">
        <v>0.0</v>
      </c>
      <c r="AO562" s="140">
        <v>0.0</v>
      </c>
      <c r="AP562" s="109">
        <v>0.0</v>
      </c>
      <c r="AQ562" s="109">
        <v>74.0</v>
      </c>
      <c r="AR562" s="80">
        <v>74.0</v>
      </c>
      <c r="AS562" s="110">
        <v>0.0</v>
      </c>
      <c r="AT562" s="110">
        <v>0.0</v>
      </c>
      <c r="AU562" s="110">
        <v>0.0</v>
      </c>
      <c r="AV562" s="142">
        <v>0.0</v>
      </c>
      <c r="AW562" s="80">
        <v>0.0</v>
      </c>
      <c r="AX562" s="113">
        <v>432.0</v>
      </c>
      <c r="AY562" s="117">
        <v>332.0</v>
      </c>
      <c r="AZ562" s="328">
        <v>100.0</v>
      </c>
      <c r="BA562" s="315">
        <v>0.0</v>
      </c>
      <c r="BB562" s="316">
        <v>432.0</v>
      </c>
      <c r="BC562" s="132" t="s">
        <v>178</v>
      </c>
      <c r="BD562" s="132" t="s">
        <v>178</v>
      </c>
      <c r="BE562" s="132" t="s">
        <v>178</v>
      </c>
      <c r="BF562" s="123"/>
      <c r="BG562" s="83">
        <v>1118546.0</v>
      </c>
      <c r="BH562" s="112">
        <v>6.0</v>
      </c>
      <c r="BI562" s="98" t="s">
        <v>162</v>
      </c>
      <c r="BJ562" s="98" t="str">
        <f t="shared" si="1"/>
        <v>INTEGRAL</v>
      </c>
      <c r="BK562" s="98" t="str">
        <f t="shared" si="2"/>
        <v>NÃO</v>
      </c>
    </row>
    <row r="563" ht="15.75" customHeight="1">
      <c r="A563" s="111" t="s">
        <v>673</v>
      </c>
      <c r="B563" s="83" t="s">
        <v>2446</v>
      </c>
      <c r="C563" s="83" t="s">
        <v>164</v>
      </c>
      <c r="D563" s="83">
        <v>1118546.0</v>
      </c>
      <c r="E563" s="83">
        <v>1178639.0</v>
      </c>
      <c r="F563" s="83"/>
      <c r="G563" s="119" t="s">
        <v>2458</v>
      </c>
      <c r="H563" s="91" t="s">
        <v>2459</v>
      </c>
      <c r="I563" s="114" t="s">
        <v>2460</v>
      </c>
      <c r="J563" s="83" t="s">
        <v>2461</v>
      </c>
      <c r="K563" s="83" t="s">
        <v>151</v>
      </c>
      <c r="L563" s="83" t="s">
        <v>169</v>
      </c>
      <c r="M563" s="82" t="s">
        <v>6704</v>
      </c>
      <c r="N563" s="82" t="s">
        <v>6705</v>
      </c>
      <c r="O563" s="82" t="s">
        <v>6707</v>
      </c>
      <c r="P563" s="82" t="s">
        <v>6708</v>
      </c>
      <c r="Q563" s="82"/>
      <c r="R563" s="82"/>
      <c r="S563" s="82" t="s">
        <v>6709</v>
      </c>
      <c r="T563" s="138">
        <v>2.0</v>
      </c>
      <c r="U563" s="389">
        <v>2.0</v>
      </c>
      <c r="V563" s="106">
        <v>0.0</v>
      </c>
      <c r="W563" s="107">
        <v>0.0</v>
      </c>
      <c r="X563" s="107">
        <v>0.0</v>
      </c>
      <c r="Y563" s="107">
        <v>0.0</v>
      </c>
      <c r="Z563" s="80">
        <v>0.0</v>
      </c>
      <c r="AA563" s="140">
        <v>0.0</v>
      </c>
      <c r="AB563" s="109">
        <v>0.0</v>
      </c>
      <c r="AC563" s="109">
        <v>0.0</v>
      </c>
      <c r="AD563" s="141">
        <v>0.0</v>
      </c>
      <c r="AE563" s="80">
        <v>0.0</v>
      </c>
      <c r="AF563" s="140">
        <v>15.0</v>
      </c>
      <c r="AG563" s="109">
        <v>0.0</v>
      </c>
      <c r="AH563" s="109">
        <v>0.0</v>
      </c>
      <c r="AI563" s="141">
        <v>0.0</v>
      </c>
      <c r="AJ563" s="80">
        <v>15.0</v>
      </c>
      <c r="AK563" s="140">
        <v>0.0</v>
      </c>
      <c r="AL563" s="109">
        <v>0.0</v>
      </c>
      <c r="AM563" s="141">
        <v>0.0</v>
      </c>
      <c r="AN563" s="80">
        <v>0.0</v>
      </c>
      <c r="AO563" s="140">
        <v>0.0</v>
      </c>
      <c r="AP563" s="109">
        <v>0.0</v>
      </c>
      <c r="AQ563" s="109">
        <v>0.0</v>
      </c>
      <c r="AR563" s="80">
        <v>0.0</v>
      </c>
      <c r="AS563" s="110">
        <v>0.0</v>
      </c>
      <c r="AT563" s="110">
        <v>0.0</v>
      </c>
      <c r="AU563" s="110">
        <v>0.0</v>
      </c>
      <c r="AV563" s="142">
        <v>0.0</v>
      </c>
      <c r="AW563" s="80">
        <v>0.0</v>
      </c>
      <c r="AX563" s="113">
        <v>15.0</v>
      </c>
      <c r="AY563" s="117">
        <v>15.0</v>
      </c>
      <c r="AZ563" s="328">
        <v>0.0</v>
      </c>
      <c r="BA563" s="315">
        <v>0.0</v>
      </c>
      <c r="BB563" s="316">
        <v>15.0</v>
      </c>
      <c r="BC563" s="132" t="s">
        <v>373</v>
      </c>
      <c r="BD563" s="132" t="s">
        <v>178</v>
      </c>
      <c r="BE563" s="132" t="s">
        <v>178</v>
      </c>
      <c r="BF563" s="123"/>
      <c r="BG563" s="83">
        <v>1178639.0</v>
      </c>
      <c r="BH563" s="112">
        <v>2.0</v>
      </c>
      <c r="BI563" s="98" t="s">
        <v>155</v>
      </c>
      <c r="BJ563" s="98" t="str">
        <f t="shared" si="1"/>
        <v>NÃO</v>
      </c>
      <c r="BK563" s="98" t="str">
        <f t="shared" si="2"/>
        <v>NÃO</v>
      </c>
    </row>
    <row r="564" ht="15.75" customHeight="1">
      <c r="A564" s="111" t="s">
        <v>673</v>
      </c>
      <c r="B564" s="83" t="s">
        <v>2446</v>
      </c>
      <c r="C564" s="83" t="s">
        <v>164</v>
      </c>
      <c r="D564" s="83">
        <v>1118546.0</v>
      </c>
      <c r="E564" s="83">
        <v>1178638.0</v>
      </c>
      <c r="F564" s="83"/>
      <c r="G564" s="432" t="s">
        <v>2465</v>
      </c>
      <c r="H564" s="91" t="s">
        <v>2466</v>
      </c>
      <c r="I564" s="187" t="s">
        <v>149</v>
      </c>
      <c r="J564" s="83" t="s">
        <v>702</v>
      </c>
      <c r="K564" s="83" t="s">
        <v>151</v>
      </c>
      <c r="L564" s="83" t="s">
        <v>169</v>
      </c>
      <c r="M564" s="82" t="s">
        <v>6704</v>
      </c>
      <c r="N564" s="82" t="s">
        <v>6705</v>
      </c>
      <c r="O564" s="82" t="s">
        <v>6707</v>
      </c>
      <c r="P564" s="82" t="s">
        <v>6708</v>
      </c>
      <c r="Q564" s="82"/>
      <c r="R564" s="82"/>
      <c r="S564" s="82" t="s">
        <v>6709</v>
      </c>
      <c r="T564" s="138">
        <v>2.0</v>
      </c>
      <c r="U564" s="419">
        <v>2.0</v>
      </c>
      <c r="V564" s="106">
        <v>0.0</v>
      </c>
      <c r="W564" s="107">
        <v>0.0</v>
      </c>
      <c r="X564" s="107">
        <v>0.0</v>
      </c>
      <c r="Y564" s="107">
        <v>0.0</v>
      </c>
      <c r="Z564" s="80">
        <v>0.0</v>
      </c>
      <c r="AA564" s="140">
        <v>0.0</v>
      </c>
      <c r="AB564" s="109">
        <v>0.0</v>
      </c>
      <c r="AC564" s="109">
        <v>0.0</v>
      </c>
      <c r="AD564" s="141">
        <v>0.0</v>
      </c>
      <c r="AE564" s="80">
        <v>0.0</v>
      </c>
      <c r="AF564" s="140">
        <v>0.0</v>
      </c>
      <c r="AG564" s="109">
        <v>0.0</v>
      </c>
      <c r="AH564" s="109">
        <v>22.0</v>
      </c>
      <c r="AI564" s="141">
        <v>0.0</v>
      </c>
      <c r="AJ564" s="80">
        <v>22.0</v>
      </c>
      <c r="AK564" s="140">
        <v>0.0</v>
      </c>
      <c r="AL564" s="109">
        <v>0.0</v>
      </c>
      <c r="AM564" s="141">
        <v>0.0</v>
      </c>
      <c r="AN564" s="80">
        <v>0.0</v>
      </c>
      <c r="AO564" s="140">
        <v>0.0</v>
      </c>
      <c r="AP564" s="109">
        <v>0.0</v>
      </c>
      <c r="AQ564" s="109">
        <v>0.0</v>
      </c>
      <c r="AR564" s="80">
        <v>0.0</v>
      </c>
      <c r="AS564" s="110">
        <v>0.0</v>
      </c>
      <c r="AT564" s="110">
        <v>0.0</v>
      </c>
      <c r="AU564" s="110">
        <v>0.0</v>
      </c>
      <c r="AV564" s="142">
        <v>0.0</v>
      </c>
      <c r="AW564" s="80">
        <v>0.0</v>
      </c>
      <c r="AX564" s="113">
        <v>22.0</v>
      </c>
      <c r="AY564" s="117">
        <v>0.0</v>
      </c>
      <c r="AZ564" s="328">
        <v>22.0</v>
      </c>
      <c r="BA564" s="315">
        <v>0.0</v>
      </c>
      <c r="BB564" s="316">
        <v>22.0</v>
      </c>
      <c r="BC564" s="132" t="s">
        <v>373</v>
      </c>
      <c r="BD564" s="132" t="s">
        <v>178</v>
      </c>
      <c r="BE564" s="132" t="s">
        <v>178</v>
      </c>
      <c r="BF564" s="123"/>
      <c r="BG564" s="83">
        <v>1178638.0</v>
      </c>
      <c r="BH564" s="112">
        <v>2.0</v>
      </c>
      <c r="BI564" s="98" t="s">
        <v>155</v>
      </c>
      <c r="BJ564" s="98" t="str">
        <f t="shared" si="1"/>
        <v>NÃO</v>
      </c>
      <c r="BK564" s="98" t="str">
        <f t="shared" si="2"/>
        <v>NÃO</v>
      </c>
    </row>
    <row r="565" ht="15.75" customHeight="1">
      <c r="A565" s="111" t="s">
        <v>673</v>
      </c>
      <c r="B565" s="83" t="s">
        <v>2469</v>
      </c>
      <c r="C565" s="83" t="s">
        <v>68</v>
      </c>
      <c r="D565" s="83">
        <v>1118619.0</v>
      </c>
      <c r="E565" s="83"/>
      <c r="F565" s="83">
        <v>2.9272947E7</v>
      </c>
      <c r="G565" s="114" t="s">
        <v>6717</v>
      </c>
      <c r="H565" s="91" t="s">
        <v>6718</v>
      </c>
      <c r="I565" s="187" t="s">
        <v>149</v>
      </c>
      <c r="J565" s="83" t="s">
        <v>150</v>
      </c>
      <c r="K565" s="83" t="s">
        <v>151</v>
      </c>
      <c r="L565" s="83" t="s">
        <v>152</v>
      </c>
      <c r="M565" s="82" t="s">
        <v>6719</v>
      </c>
      <c r="N565" s="82" t="s">
        <v>6720</v>
      </c>
      <c r="O565" s="82" t="s">
        <v>6721</v>
      </c>
      <c r="P565" s="82" t="s">
        <v>6722</v>
      </c>
      <c r="Q565" s="82" t="s">
        <v>6723</v>
      </c>
      <c r="R565" s="82" t="s">
        <v>6725</v>
      </c>
      <c r="S565" s="82" t="s">
        <v>6726</v>
      </c>
      <c r="T565" s="138">
        <v>15.0</v>
      </c>
      <c r="U565" s="323" t="s">
        <v>6728</v>
      </c>
      <c r="V565" s="106">
        <v>0.0</v>
      </c>
      <c r="W565" s="107">
        <v>0.0</v>
      </c>
      <c r="X565" s="107">
        <v>0.0</v>
      </c>
      <c r="Y565" s="107">
        <v>0.0</v>
      </c>
      <c r="Z565" s="80">
        <v>0.0</v>
      </c>
      <c r="AA565" s="140">
        <v>0.0</v>
      </c>
      <c r="AB565" s="109">
        <v>0.0</v>
      </c>
      <c r="AC565" s="109">
        <v>0.0</v>
      </c>
      <c r="AD565" s="141">
        <v>0.0</v>
      </c>
      <c r="AE565" s="80">
        <v>0.0</v>
      </c>
      <c r="AF565" s="140">
        <v>336.0</v>
      </c>
      <c r="AG565" s="109">
        <v>266.0</v>
      </c>
      <c r="AH565" s="109">
        <v>40.0</v>
      </c>
      <c r="AI565" s="141">
        <v>0.0</v>
      </c>
      <c r="AJ565" s="80">
        <v>642.0</v>
      </c>
      <c r="AK565" s="140">
        <v>0.0</v>
      </c>
      <c r="AL565" s="109">
        <v>0.0</v>
      </c>
      <c r="AM565" s="141">
        <v>0.0</v>
      </c>
      <c r="AN565" s="80">
        <v>0.0</v>
      </c>
      <c r="AO565" s="140">
        <v>0.0</v>
      </c>
      <c r="AP565" s="109">
        <v>36.0</v>
      </c>
      <c r="AQ565" s="109">
        <v>79.0</v>
      </c>
      <c r="AR565" s="80">
        <v>115.0</v>
      </c>
      <c r="AS565" s="110">
        <v>0.0</v>
      </c>
      <c r="AT565" s="110">
        <v>0.0</v>
      </c>
      <c r="AU565" s="110">
        <v>0.0</v>
      </c>
      <c r="AV565" s="142">
        <v>0.0</v>
      </c>
      <c r="AW565" s="80">
        <v>0.0</v>
      </c>
      <c r="AX565" s="113">
        <v>757.0</v>
      </c>
      <c r="AY565" s="117">
        <v>638.0</v>
      </c>
      <c r="AZ565" s="328">
        <v>119.0</v>
      </c>
      <c r="BA565" s="315">
        <v>0.0</v>
      </c>
      <c r="BB565" s="316">
        <v>757.0</v>
      </c>
      <c r="BC565" s="132" t="s">
        <v>178</v>
      </c>
      <c r="BD565" s="132" t="s">
        <v>178</v>
      </c>
      <c r="BE565" s="132" t="s">
        <v>178</v>
      </c>
      <c r="BF565" s="123"/>
      <c r="BG565" s="83">
        <v>1118619.0</v>
      </c>
      <c r="BH565" s="112">
        <v>11.0</v>
      </c>
      <c r="BI565" s="98" t="s">
        <v>155</v>
      </c>
      <c r="BJ565" s="98" t="str">
        <f t="shared" si="1"/>
        <v>NÃO</v>
      </c>
      <c r="BK565" s="98" t="str">
        <f t="shared" si="2"/>
        <v>NÃO</v>
      </c>
    </row>
    <row r="566" ht="15.75" customHeight="1">
      <c r="A566" s="111" t="s">
        <v>673</v>
      </c>
      <c r="B566" s="83" t="s">
        <v>2482</v>
      </c>
      <c r="C566" s="83" t="s">
        <v>68</v>
      </c>
      <c r="D566" s="83">
        <v>1118791.0</v>
      </c>
      <c r="E566" s="83"/>
      <c r="F566" s="83">
        <v>2.9282055E7</v>
      </c>
      <c r="G566" s="119" t="s">
        <v>2483</v>
      </c>
      <c r="H566" s="91" t="s">
        <v>2484</v>
      </c>
      <c r="I566" s="187" t="s">
        <v>2485</v>
      </c>
      <c r="J566" s="83" t="s">
        <v>150</v>
      </c>
      <c r="K566" s="83" t="s">
        <v>151</v>
      </c>
      <c r="L566" s="83" t="s">
        <v>152</v>
      </c>
      <c r="M566" s="82" t="s">
        <v>6733</v>
      </c>
      <c r="N566" s="82" t="s">
        <v>6734</v>
      </c>
      <c r="O566" s="82" t="s">
        <v>6735</v>
      </c>
      <c r="P566" s="82" t="s">
        <v>6737</v>
      </c>
      <c r="Q566" s="82" t="s">
        <v>6738</v>
      </c>
      <c r="R566" s="82" t="s">
        <v>6740</v>
      </c>
      <c r="S566" s="82" t="s">
        <v>6741</v>
      </c>
      <c r="T566" s="138">
        <v>14.0</v>
      </c>
      <c r="U566" s="406" t="s">
        <v>6743</v>
      </c>
      <c r="V566" s="106">
        <v>0.0</v>
      </c>
      <c r="W566" s="107">
        <v>0.0</v>
      </c>
      <c r="X566" s="107">
        <v>0.0</v>
      </c>
      <c r="Y566" s="107">
        <v>0.0</v>
      </c>
      <c r="Z566" s="80">
        <v>0.0</v>
      </c>
      <c r="AA566" s="140">
        <v>0.0</v>
      </c>
      <c r="AB566" s="109">
        <v>0.0</v>
      </c>
      <c r="AC566" s="109">
        <v>0.0</v>
      </c>
      <c r="AD566" s="141">
        <v>0.0</v>
      </c>
      <c r="AE566" s="80">
        <v>0.0</v>
      </c>
      <c r="AF566" s="140">
        <v>330.0</v>
      </c>
      <c r="AG566" s="109">
        <v>32.0</v>
      </c>
      <c r="AH566" s="109">
        <v>34.0</v>
      </c>
      <c r="AI566" s="141">
        <v>39.0</v>
      </c>
      <c r="AJ566" s="80">
        <v>435.0</v>
      </c>
      <c r="AK566" s="140">
        <v>0.0</v>
      </c>
      <c r="AL566" s="109">
        <v>0.0</v>
      </c>
      <c r="AM566" s="141">
        <v>0.0</v>
      </c>
      <c r="AN566" s="80">
        <v>0.0</v>
      </c>
      <c r="AO566" s="140">
        <v>0.0</v>
      </c>
      <c r="AP566" s="109">
        <v>0.0</v>
      </c>
      <c r="AQ566" s="109">
        <v>159.0</v>
      </c>
      <c r="AR566" s="80">
        <v>159.0</v>
      </c>
      <c r="AS566" s="110">
        <v>64.0</v>
      </c>
      <c r="AT566" s="110">
        <v>0.0</v>
      </c>
      <c r="AU566" s="110">
        <v>103.0</v>
      </c>
      <c r="AV566" s="142">
        <v>0.0</v>
      </c>
      <c r="AW566" s="80">
        <v>167.0</v>
      </c>
      <c r="AX566" s="113">
        <v>761.0</v>
      </c>
      <c r="AY566" s="117">
        <v>465.0</v>
      </c>
      <c r="AZ566" s="328">
        <v>296.0</v>
      </c>
      <c r="BA566" s="315">
        <v>0.0</v>
      </c>
      <c r="BB566" s="316">
        <v>761.0</v>
      </c>
      <c r="BC566" s="132" t="s">
        <v>178</v>
      </c>
      <c r="BD566" s="132" t="s">
        <v>178</v>
      </c>
      <c r="BE566" s="132" t="s">
        <v>178</v>
      </c>
      <c r="BF566" s="123"/>
      <c r="BG566" s="83">
        <v>1118791.0</v>
      </c>
      <c r="BH566" s="112">
        <v>16.0</v>
      </c>
      <c r="BI566" s="98" t="s">
        <v>155</v>
      </c>
      <c r="BJ566" s="98" t="str">
        <f t="shared" si="1"/>
        <v>INTEGRAL</v>
      </c>
      <c r="BK566" s="98" t="str">
        <f t="shared" si="2"/>
        <v>PROFISSIONAL</v>
      </c>
    </row>
    <row r="567" ht="15.75" customHeight="1">
      <c r="A567" s="111" t="s">
        <v>673</v>
      </c>
      <c r="B567" s="83" t="s">
        <v>2482</v>
      </c>
      <c r="C567" s="83" t="s">
        <v>164</v>
      </c>
      <c r="D567" s="83">
        <v>1118791.0</v>
      </c>
      <c r="E567" s="83">
        <v>1178641.0</v>
      </c>
      <c r="F567" s="83"/>
      <c r="G567" s="119" t="s">
        <v>6748</v>
      </c>
      <c r="H567" s="91" t="s">
        <v>2490</v>
      </c>
      <c r="I567" s="187" t="s">
        <v>2491</v>
      </c>
      <c r="J567" s="83" t="s">
        <v>2492</v>
      </c>
      <c r="K567" s="83" t="s">
        <v>168</v>
      </c>
      <c r="L567" s="83" t="s">
        <v>169</v>
      </c>
      <c r="M567" s="82" t="s">
        <v>6733</v>
      </c>
      <c r="N567" s="82" t="s">
        <v>6734</v>
      </c>
      <c r="O567" s="82" t="s">
        <v>6735</v>
      </c>
      <c r="P567" s="82" t="s">
        <v>6737</v>
      </c>
      <c r="Q567" s="82" t="s">
        <v>6738</v>
      </c>
      <c r="R567" s="82" t="s">
        <v>6740</v>
      </c>
      <c r="S567" s="82" t="s">
        <v>6741</v>
      </c>
      <c r="T567" s="138">
        <v>3.0</v>
      </c>
      <c r="U567" s="433">
        <v>3.0</v>
      </c>
      <c r="V567" s="106">
        <v>0.0</v>
      </c>
      <c r="W567" s="107">
        <v>0.0</v>
      </c>
      <c r="X567" s="107">
        <v>0.0</v>
      </c>
      <c r="Y567" s="107">
        <v>0.0</v>
      </c>
      <c r="Z567" s="80">
        <v>0.0</v>
      </c>
      <c r="AA567" s="140">
        <v>0.0</v>
      </c>
      <c r="AB567" s="109">
        <v>0.0</v>
      </c>
      <c r="AC567" s="109">
        <v>0.0</v>
      </c>
      <c r="AD567" s="141">
        <v>0.0</v>
      </c>
      <c r="AE567" s="80">
        <v>0.0</v>
      </c>
      <c r="AF567" s="140">
        <v>0.0</v>
      </c>
      <c r="AG567" s="109">
        <v>0.0</v>
      </c>
      <c r="AH567" s="109">
        <v>55.0</v>
      </c>
      <c r="AI567" s="141">
        <v>0.0</v>
      </c>
      <c r="AJ567" s="80">
        <v>55.0</v>
      </c>
      <c r="AK567" s="140">
        <v>0.0</v>
      </c>
      <c r="AL567" s="109">
        <v>0.0</v>
      </c>
      <c r="AM567" s="141">
        <v>0.0</v>
      </c>
      <c r="AN567" s="80">
        <v>0.0</v>
      </c>
      <c r="AO567" s="140">
        <v>0.0</v>
      </c>
      <c r="AP567" s="109">
        <v>0.0</v>
      </c>
      <c r="AQ567" s="109">
        <v>0.0</v>
      </c>
      <c r="AR567" s="80">
        <v>0.0</v>
      </c>
      <c r="AS567" s="110">
        <v>0.0</v>
      </c>
      <c r="AT567" s="110">
        <v>0.0</v>
      </c>
      <c r="AU567" s="110">
        <v>0.0</v>
      </c>
      <c r="AV567" s="142">
        <v>0.0</v>
      </c>
      <c r="AW567" s="80">
        <v>0.0</v>
      </c>
      <c r="AX567" s="113">
        <v>55.0</v>
      </c>
      <c r="AY567" s="117">
        <v>0.0</v>
      </c>
      <c r="AZ567" s="328">
        <v>55.0</v>
      </c>
      <c r="BA567" s="315">
        <v>0.0</v>
      </c>
      <c r="BB567" s="316">
        <v>55.0</v>
      </c>
      <c r="BC567" s="132" t="s">
        <v>373</v>
      </c>
      <c r="BD567" s="132" t="s">
        <v>178</v>
      </c>
      <c r="BE567" s="132" t="s">
        <v>178</v>
      </c>
      <c r="BF567" s="123"/>
      <c r="BG567" s="83">
        <v>1178641.0</v>
      </c>
      <c r="BH567" s="112">
        <v>3.0</v>
      </c>
      <c r="BI567" s="98" t="s">
        <v>155</v>
      </c>
      <c r="BJ567" s="98" t="str">
        <f t="shared" si="1"/>
        <v>NÃO</v>
      </c>
      <c r="BK567" s="98" t="str">
        <f t="shared" si="2"/>
        <v>NÃO</v>
      </c>
    </row>
    <row r="568" ht="15.75" customHeight="1">
      <c r="A568" s="111" t="s">
        <v>673</v>
      </c>
      <c r="B568" s="83" t="s">
        <v>2482</v>
      </c>
      <c r="C568" s="83" t="s">
        <v>164</v>
      </c>
      <c r="D568" s="83">
        <v>1118791.0</v>
      </c>
      <c r="E568" s="83">
        <v>1178640.0</v>
      </c>
      <c r="F568" s="83"/>
      <c r="G568" s="184" t="s">
        <v>2494</v>
      </c>
      <c r="H568" s="91" t="s">
        <v>2497</v>
      </c>
      <c r="I568" s="114" t="s">
        <v>2498</v>
      </c>
      <c r="J568" s="83" t="s">
        <v>471</v>
      </c>
      <c r="K568" s="83" t="s">
        <v>168</v>
      </c>
      <c r="L568" s="83" t="s">
        <v>169</v>
      </c>
      <c r="M568" s="82" t="s">
        <v>6733</v>
      </c>
      <c r="N568" s="82" t="s">
        <v>6734</v>
      </c>
      <c r="O568" s="82" t="s">
        <v>6735</v>
      </c>
      <c r="P568" s="82" t="s">
        <v>6737</v>
      </c>
      <c r="Q568" s="82" t="s">
        <v>6738</v>
      </c>
      <c r="R568" s="82" t="s">
        <v>6740</v>
      </c>
      <c r="S568" s="82" t="s">
        <v>6741</v>
      </c>
      <c r="T568" s="138">
        <v>3.0</v>
      </c>
      <c r="U568" s="434">
        <v>2.0</v>
      </c>
      <c r="V568" s="106">
        <v>0.0</v>
      </c>
      <c r="W568" s="107">
        <v>0.0</v>
      </c>
      <c r="X568" s="107">
        <v>0.0</v>
      </c>
      <c r="Y568" s="107">
        <v>0.0</v>
      </c>
      <c r="Z568" s="80">
        <v>0.0</v>
      </c>
      <c r="AA568" s="140">
        <v>0.0</v>
      </c>
      <c r="AB568" s="109">
        <v>0.0</v>
      </c>
      <c r="AC568" s="109">
        <v>0.0</v>
      </c>
      <c r="AD568" s="141">
        <v>0.0</v>
      </c>
      <c r="AE568" s="80">
        <v>0.0</v>
      </c>
      <c r="AF568" s="140">
        <v>23.0</v>
      </c>
      <c r="AG568" s="109">
        <v>17.0</v>
      </c>
      <c r="AH568" s="109">
        <v>0.0</v>
      </c>
      <c r="AI568" s="141">
        <v>0.0</v>
      </c>
      <c r="AJ568" s="80">
        <v>40.0</v>
      </c>
      <c r="AK568" s="140">
        <v>0.0</v>
      </c>
      <c r="AL568" s="109">
        <v>0.0</v>
      </c>
      <c r="AM568" s="141">
        <v>0.0</v>
      </c>
      <c r="AN568" s="80">
        <v>0.0</v>
      </c>
      <c r="AO568" s="140">
        <v>0.0</v>
      </c>
      <c r="AP568" s="109">
        <v>0.0</v>
      </c>
      <c r="AQ568" s="109">
        <v>23.0</v>
      </c>
      <c r="AR568" s="80">
        <v>23.0</v>
      </c>
      <c r="AS568" s="110">
        <v>0.0</v>
      </c>
      <c r="AT568" s="110">
        <v>0.0</v>
      </c>
      <c r="AU568" s="110">
        <v>0.0</v>
      </c>
      <c r="AV568" s="142">
        <v>0.0</v>
      </c>
      <c r="AW568" s="80">
        <v>0.0</v>
      </c>
      <c r="AX568" s="113">
        <v>63.0</v>
      </c>
      <c r="AY568" s="117">
        <v>40.0</v>
      </c>
      <c r="AZ568" s="328">
        <v>23.0</v>
      </c>
      <c r="BA568" s="315">
        <v>0.0</v>
      </c>
      <c r="BB568" s="316">
        <v>63.0</v>
      </c>
      <c r="BC568" s="132" t="s">
        <v>373</v>
      </c>
      <c r="BD568" s="132" t="s">
        <v>178</v>
      </c>
      <c r="BE568" s="132" t="s">
        <v>178</v>
      </c>
      <c r="BF568" s="123"/>
      <c r="BG568" s="83">
        <v>1178640.0</v>
      </c>
      <c r="BH568" s="112">
        <v>2.0</v>
      </c>
      <c r="BI568" s="98" t="s">
        <v>155</v>
      </c>
      <c r="BJ568" s="98" t="str">
        <f t="shared" si="1"/>
        <v>NÃO</v>
      </c>
      <c r="BK568" s="98" t="str">
        <f t="shared" si="2"/>
        <v>NÃO</v>
      </c>
    </row>
    <row r="569" ht="15.75" customHeight="1">
      <c r="A569" s="111" t="s">
        <v>673</v>
      </c>
      <c r="B569" s="83" t="s">
        <v>2500</v>
      </c>
      <c r="C569" s="83" t="s">
        <v>68</v>
      </c>
      <c r="D569" s="83">
        <v>1119119.0</v>
      </c>
      <c r="E569" s="83"/>
      <c r="F569" s="83">
        <v>2.9282977E7</v>
      </c>
      <c r="G569" s="185" t="s">
        <v>6764</v>
      </c>
      <c r="H569" s="91" t="s">
        <v>2503</v>
      </c>
      <c r="I569" s="298" t="s">
        <v>149</v>
      </c>
      <c r="J569" s="83" t="s">
        <v>150</v>
      </c>
      <c r="K569" s="83" t="s">
        <v>151</v>
      </c>
      <c r="L569" s="83" t="s">
        <v>76</v>
      </c>
      <c r="M569" s="82" t="s">
        <v>6765</v>
      </c>
      <c r="N569" s="82" t="s">
        <v>6766</v>
      </c>
      <c r="O569" s="82" t="s">
        <v>6767</v>
      </c>
      <c r="P569" s="82" t="s">
        <v>6768</v>
      </c>
      <c r="Q569" s="82"/>
      <c r="R569" s="82"/>
      <c r="S569" s="82" t="s">
        <v>6769</v>
      </c>
      <c r="T569" s="138">
        <v>12.0</v>
      </c>
      <c r="U569" s="323">
        <v>12.0</v>
      </c>
      <c r="V569" s="106">
        <v>0.0</v>
      </c>
      <c r="W569" s="107">
        <v>0.0</v>
      </c>
      <c r="X569" s="107">
        <v>0.0</v>
      </c>
      <c r="Y569" s="107">
        <v>0.0</v>
      </c>
      <c r="Z569" s="80">
        <v>0.0</v>
      </c>
      <c r="AA569" s="140">
        <v>0.0</v>
      </c>
      <c r="AB569" s="109">
        <v>0.0</v>
      </c>
      <c r="AC569" s="109">
        <v>0.0</v>
      </c>
      <c r="AD569" s="141">
        <v>0.0</v>
      </c>
      <c r="AE569" s="80">
        <v>0.0</v>
      </c>
      <c r="AF569" s="140">
        <v>0.0</v>
      </c>
      <c r="AG569" s="109">
        <v>0.0</v>
      </c>
      <c r="AH569" s="109">
        <v>0.0</v>
      </c>
      <c r="AI569" s="141">
        <v>0.0</v>
      </c>
      <c r="AJ569" s="80">
        <v>0.0</v>
      </c>
      <c r="AK569" s="140">
        <v>0.0</v>
      </c>
      <c r="AL569" s="109">
        <v>0.0</v>
      </c>
      <c r="AM569" s="141">
        <v>0.0</v>
      </c>
      <c r="AN569" s="80">
        <v>0.0</v>
      </c>
      <c r="AO569" s="140">
        <v>0.0</v>
      </c>
      <c r="AP569" s="109">
        <v>0.0</v>
      </c>
      <c r="AQ569" s="109">
        <v>64.0</v>
      </c>
      <c r="AR569" s="80">
        <v>64.0</v>
      </c>
      <c r="AS569" s="110">
        <v>304.0</v>
      </c>
      <c r="AT569" s="110">
        <v>0.0</v>
      </c>
      <c r="AU569" s="110">
        <v>92.0</v>
      </c>
      <c r="AV569" s="142">
        <v>0.0</v>
      </c>
      <c r="AW569" s="80">
        <v>396.0</v>
      </c>
      <c r="AX569" s="113">
        <v>460.0</v>
      </c>
      <c r="AY569" s="117">
        <v>304.0</v>
      </c>
      <c r="AZ569" s="328">
        <v>156.0</v>
      </c>
      <c r="BA569" s="315">
        <v>0.0</v>
      </c>
      <c r="BB569" s="316">
        <v>460.0</v>
      </c>
      <c r="BC569" s="132" t="s">
        <v>178</v>
      </c>
      <c r="BD569" s="132" t="s">
        <v>178</v>
      </c>
      <c r="BE569" s="132" t="s">
        <v>178</v>
      </c>
      <c r="BF569" s="123"/>
      <c r="BG569" s="83">
        <v>1119119.0</v>
      </c>
      <c r="BH569" s="112">
        <v>12.0</v>
      </c>
      <c r="BI569" s="98" t="s">
        <v>155</v>
      </c>
      <c r="BJ569" s="98" t="str">
        <f t="shared" si="1"/>
        <v>NÃO</v>
      </c>
      <c r="BK569" s="98" t="str">
        <f t="shared" si="2"/>
        <v>PROFISSIONAL</v>
      </c>
    </row>
    <row r="570" ht="15.75" customHeight="1">
      <c r="A570" s="111" t="s">
        <v>673</v>
      </c>
      <c r="B570" s="83" t="s">
        <v>2500</v>
      </c>
      <c r="C570" s="83" t="s">
        <v>68</v>
      </c>
      <c r="D570" s="83">
        <v>1176427.0</v>
      </c>
      <c r="E570" s="83"/>
      <c r="F570" s="83">
        <v>2.9394341E7</v>
      </c>
      <c r="G570" s="185" t="s">
        <v>6774</v>
      </c>
      <c r="H570" s="91" t="s">
        <v>2513</v>
      </c>
      <c r="I570" s="298" t="s">
        <v>149</v>
      </c>
      <c r="J570" s="83" t="s">
        <v>150</v>
      </c>
      <c r="K570" s="83" t="s">
        <v>151</v>
      </c>
      <c r="L570" s="83" t="s">
        <v>230</v>
      </c>
      <c r="M570" s="82" t="s">
        <v>6777</v>
      </c>
      <c r="N570" s="82" t="s">
        <v>6778</v>
      </c>
      <c r="O570" s="82" t="s">
        <v>6780</v>
      </c>
      <c r="P570" s="82" t="s">
        <v>6781</v>
      </c>
      <c r="Q570" s="82" t="s">
        <v>6782</v>
      </c>
      <c r="R570" s="82" t="s">
        <v>6783</v>
      </c>
      <c r="S570" s="82" t="s">
        <v>6784</v>
      </c>
      <c r="T570" s="138">
        <v>14.0</v>
      </c>
      <c r="U570" s="331" t="s">
        <v>6785</v>
      </c>
      <c r="V570" s="106">
        <v>0.0</v>
      </c>
      <c r="W570" s="107">
        <v>0.0</v>
      </c>
      <c r="X570" s="107">
        <v>0.0</v>
      </c>
      <c r="Y570" s="107">
        <v>0.0</v>
      </c>
      <c r="Z570" s="80">
        <v>0.0</v>
      </c>
      <c r="AA570" s="140">
        <v>0.0</v>
      </c>
      <c r="AB570" s="109">
        <v>0.0</v>
      </c>
      <c r="AC570" s="109">
        <v>0.0</v>
      </c>
      <c r="AD570" s="141">
        <v>0.0</v>
      </c>
      <c r="AE570" s="80">
        <v>0.0</v>
      </c>
      <c r="AF570" s="140">
        <v>511.0</v>
      </c>
      <c r="AG570" s="109">
        <v>340.0</v>
      </c>
      <c r="AH570" s="109">
        <v>79.0</v>
      </c>
      <c r="AI570" s="141">
        <v>0.0</v>
      </c>
      <c r="AJ570" s="80">
        <v>930.0</v>
      </c>
      <c r="AK570" s="140">
        <v>0.0</v>
      </c>
      <c r="AL570" s="109">
        <v>0.0</v>
      </c>
      <c r="AM570" s="141">
        <v>0.0</v>
      </c>
      <c r="AN570" s="80">
        <v>0.0</v>
      </c>
      <c r="AO570" s="140">
        <v>0.0</v>
      </c>
      <c r="AP570" s="109">
        <v>0.0</v>
      </c>
      <c r="AQ570" s="109">
        <v>186.0</v>
      </c>
      <c r="AR570" s="80">
        <v>186.0</v>
      </c>
      <c r="AS570" s="110">
        <v>0.0</v>
      </c>
      <c r="AT570" s="110">
        <v>0.0</v>
      </c>
      <c r="AU570" s="110">
        <v>0.0</v>
      </c>
      <c r="AV570" s="142">
        <v>0.0</v>
      </c>
      <c r="AW570" s="80">
        <v>0.0</v>
      </c>
      <c r="AX570" s="113">
        <v>1116.0</v>
      </c>
      <c r="AY570" s="117">
        <v>851.0</v>
      </c>
      <c r="AZ570" s="328">
        <v>265.0</v>
      </c>
      <c r="BA570" s="315">
        <v>0.0</v>
      </c>
      <c r="BB570" s="316">
        <v>1116.0</v>
      </c>
      <c r="BC570" s="132" t="s">
        <v>178</v>
      </c>
      <c r="BD570" s="132" t="s">
        <v>178</v>
      </c>
      <c r="BE570" s="132" t="s">
        <v>178</v>
      </c>
      <c r="BF570" s="123"/>
      <c r="BG570" s="83">
        <v>1176427.0</v>
      </c>
      <c r="BH570" s="112">
        <v>13.0</v>
      </c>
      <c r="BI570" s="98" t="s">
        <v>155</v>
      </c>
      <c r="BJ570" s="98" t="str">
        <f t="shared" si="1"/>
        <v>NÃO</v>
      </c>
      <c r="BK570" s="98" t="str">
        <f t="shared" si="2"/>
        <v>NÃO</v>
      </c>
    </row>
    <row r="571" ht="15.75" customHeight="1">
      <c r="A571" s="111" t="s">
        <v>673</v>
      </c>
      <c r="B571" s="83" t="s">
        <v>2500</v>
      </c>
      <c r="C571" s="83" t="s">
        <v>68</v>
      </c>
      <c r="D571" s="83">
        <v>1118899.0</v>
      </c>
      <c r="E571" s="83"/>
      <c r="F571" s="83">
        <v>2.9282608E7</v>
      </c>
      <c r="G571" s="184" t="s">
        <v>2522</v>
      </c>
      <c r="H571" s="91" t="s">
        <v>2523</v>
      </c>
      <c r="I571" s="114" t="s">
        <v>149</v>
      </c>
      <c r="J571" s="83" t="s">
        <v>150</v>
      </c>
      <c r="K571" s="83" t="s">
        <v>151</v>
      </c>
      <c r="L571" s="83" t="s">
        <v>152</v>
      </c>
      <c r="M571" s="82" t="s">
        <v>6790</v>
      </c>
      <c r="N571" s="82" t="s">
        <v>6791</v>
      </c>
      <c r="O571" s="82" t="s">
        <v>6792</v>
      </c>
      <c r="P571" s="82" t="s">
        <v>6793</v>
      </c>
      <c r="Q571" s="82"/>
      <c r="R571" s="82"/>
      <c r="S571" s="82" t="s">
        <v>6794</v>
      </c>
      <c r="T571" s="138">
        <v>22.0</v>
      </c>
      <c r="U571" s="331">
        <v>23.0</v>
      </c>
      <c r="V571" s="106">
        <v>0.0</v>
      </c>
      <c r="W571" s="107">
        <v>0.0</v>
      </c>
      <c r="X571" s="107">
        <v>0.0</v>
      </c>
      <c r="Y571" s="107">
        <v>0.0</v>
      </c>
      <c r="Z571" s="80">
        <v>0.0</v>
      </c>
      <c r="AA571" s="140">
        <v>0.0</v>
      </c>
      <c r="AB571" s="109">
        <v>0.0</v>
      </c>
      <c r="AC571" s="109">
        <v>0.0</v>
      </c>
      <c r="AD571" s="141">
        <v>0.0</v>
      </c>
      <c r="AE571" s="80">
        <v>0.0</v>
      </c>
      <c r="AF571" s="140">
        <v>164.0</v>
      </c>
      <c r="AG571" s="109">
        <v>0.0</v>
      </c>
      <c r="AH571" s="109">
        <v>36.0</v>
      </c>
      <c r="AI571" s="141">
        <v>24.0</v>
      </c>
      <c r="AJ571" s="80">
        <v>224.0</v>
      </c>
      <c r="AK571" s="140">
        <v>0.0</v>
      </c>
      <c r="AL571" s="109">
        <v>0.0</v>
      </c>
      <c r="AM571" s="141">
        <v>0.0</v>
      </c>
      <c r="AN571" s="80">
        <v>0.0</v>
      </c>
      <c r="AO571" s="140">
        <v>6.0</v>
      </c>
      <c r="AP571" s="109">
        <v>0.0</v>
      </c>
      <c r="AQ571" s="109">
        <v>157.0</v>
      </c>
      <c r="AR571" s="80">
        <v>163.0</v>
      </c>
      <c r="AS571" s="110">
        <v>83.0</v>
      </c>
      <c r="AT571" s="110">
        <v>0.0</v>
      </c>
      <c r="AU571" s="110">
        <v>101.0</v>
      </c>
      <c r="AV571" s="142">
        <v>0.0</v>
      </c>
      <c r="AW571" s="80">
        <v>184.0</v>
      </c>
      <c r="AX571" s="113">
        <v>571.0</v>
      </c>
      <c r="AY571" s="117">
        <v>277.0</v>
      </c>
      <c r="AZ571" s="328">
        <v>294.0</v>
      </c>
      <c r="BA571" s="315">
        <v>2.0</v>
      </c>
      <c r="BB571" s="316">
        <v>573.0</v>
      </c>
      <c r="BC571" s="132" t="s">
        <v>178</v>
      </c>
      <c r="BD571" s="132" t="s">
        <v>178</v>
      </c>
      <c r="BE571" s="132" t="s">
        <v>178</v>
      </c>
      <c r="BF571" s="123"/>
      <c r="BG571" s="83">
        <v>1118899.0</v>
      </c>
      <c r="BH571" s="112">
        <v>23.0</v>
      </c>
      <c r="BI571" s="98" t="s">
        <v>155</v>
      </c>
      <c r="BJ571" s="98" t="str">
        <f t="shared" si="1"/>
        <v>INTEGRAL</v>
      </c>
      <c r="BK571" s="98" t="str">
        <f t="shared" si="2"/>
        <v>PROFISSIONAL</v>
      </c>
    </row>
    <row r="572" ht="15.75" customHeight="1">
      <c r="A572" s="111" t="s">
        <v>673</v>
      </c>
      <c r="B572" s="83" t="s">
        <v>2532</v>
      </c>
      <c r="C572" s="83" t="s">
        <v>68</v>
      </c>
      <c r="D572" s="83">
        <v>1166613.0</v>
      </c>
      <c r="E572" s="83"/>
      <c r="F572" s="83">
        <v>2.928323E7</v>
      </c>
      <c r="G572" s="231" t="s">
        <v>6798</v>
      </c>
      <c r="H572" s="91" t="s">
        <v>2534</v>
      </c>
      <c r="I572" s="114" t="s">
        <v>149</v>
      </c>
      <c r="J572" s="83" t="s">
        <v>150</v>
      </c>
      <c r="K572" s="83" t="s">
        <v>151</v>
      </c>
      <c r="L572" s="83" t="s">
        <v>152</v>
      </c>
      <c r="M572" s="82" t="s">
        <v>6799</v>
      </c>
      <c r="N572" s="82" t="s">
        <v>6800</v>
      </c>
      <c r="O572" s="82"/>
      <c r="P572" s="82"/>
      <c r="Q572" s="82"/>
      <c r="R572" s="82"/>
      <c r="S572" s="82"/>
      <c r="T572" s="138">
        <v>8.0</v>
      </c>
      <c r="U572" s="339" t="s">
        <v>6801</v>
      </c>
      <c r="V572" s="106">
        <v>0.0</v>
      </c>
      <c r="W572" s="107">
        <v>0.0</v>
      </c>
      <c r="X572" s="107">
        <v>0.0</v>
      </c>
      <c r="Y572" s="107">
        <v>0.0</v>
      </c>
      <c r="Z572" s="80">
        <v>0.0</v>
      </c>
      <c r="AA572" s="140">
        <v>0.0</v>
      </c>
      <c r="AB572" s="109">
        <v>0.0</v>
      </c>
      <c r="AC572" s="109">
        <v>0.0</v>
      </c>
      <c r="AD572" s="141">
        <v>0.0</v>
      </c>
      <c r="AE572" s="80">
        <v>0.0</v>
      </c>
      <c r="AF572" s="140">
        <v>97.0</v>
      </c>
      <c r="AG572" s="109">
        <v>102.0</v>
      </c>
      <c r="AH572" s="109">
        <v>41.0</v>
      </c>
      <c r="AI572" s="141">
        <v>114.0</v>
      </c>
      <c r="AJ572" s="80">
        <v>354.0</v>
      </c>
      <c r="AK572" s="140">
        <v>0.0</v>
      </c>
      <c r="AL572" s="109">
        <v>0.0</v>
      </c>
      <c r="AM572" s="141">
        <v>0.0</v>
      </c>
      <c r="AN572" s="80">
        <v>0.0</v>
      </c>
      <c r="AO572" s="140">
        <v>0.0</v>
      </c>
      <c r="AP572" s="109">
        <v>0.0</v>
      </c>
      <c r="AQ572" s="109">
        <v>168.0</v>
      </c>
      <c r="AR572" s="80">
        <v>168.0</v>
      </c>
      <c r="AS572" s="110">
        <v>0.0</v>
      </c>
      <c r="AT572" s="110">
        <v>0.0</v>
      </c>
      <c r="AU572" s="110">
        <v>0.0</v>
      </c>
      <c r="AV572" s="142">
        <v>0.0</v>
      </c>
      <c r="AW572" s="80">
        <v>0.0</v>
      </c>
      <c r="AX572" s="113">
        <v>522.0</v>
      </c>
      <c r="AY572" s="117">
        <v>313.0</v>
      </c>
      <c r="AZ572" s="328">
        <v>209.0</v>
      </c>
      <c r="BA572" s="315">
        <v>0.0</v>
      </c>
      <c r="BB572" s="316">
        <v>522.0</v>
      </c>
      <c r="BC572" s="132" t="s">
        <v>178</v>
      </c>
      <c r="BD572" s="132" t="s">
        <v>178</v>
      </c>
      <c r="BE572" s="132" t="s">
        <v>178</v>
      </c>
      <c r="BF572" s="156"/>
      <c r="BG572" s="83">
        <v>1166613.0</v>
      </c>
      <c r="BH572" s="112">
        <v>7.0</v>
      </c>
      <c r="BI572" s="98" t="s">
        <v>155</v>
      </c>
      <c r="BJ572" s="98" t="str">
        <f t="shared" si="1"/>
        <v>INTEGRAL</v>
      </c>
      <c r="BK572" s="98" t="str">
        <f t="shared" si="2"/>
        <v>NÃO</v>
      </c>
    </row>
    <row r="573" ht="15.75" customHeight="1">
      <c r="A573" s="111" t="s">
        <v>673</v>
      </c>
      <c r="B573" s="83" t="s">
        <v>2532</v>
      </c>
      <c r="C573" s="83" t="s">
        <v>164</v>
      </c>
      <c r="D573" s="83">
        <v>1166613.0</v>
      </c>
      <c r="E573" s="83">
        <v>1178643.0</v>
      </c>
      <c r="F573" s="83"/>
      <c r="G573" s="185" t="s">
        <v>6807</v>
      </c>
      <c r="H573" s="91" t="s">
        <v>2542</v>
      </c>
      <c r="I573" s="114" t="s">
        <v>149</v>
      </c>
      <c r="J573" s="83" t="s">
        <v>464</v>
      </c>
      <c r="K573" s="83" t="s">
        <v>168</v>
      </c>
      <c r="L573" s="83" t="s">
        <v>169</v>
      </c>
      <c r="M573" s="82" t="s">
        <v>6799</v>
      </c>
      <c r="N573" s="82" t="s">
        <v>6800</v>
      </c>
      <c r="O573" s="82"/>
      <c r="P573" s="82"/>
      <c r="Q573" s="82"/>
      <c r="R573" s="82"/>
      <c r="S573" s="82"/>
      <c r="T573" s="138">
        <v>2.0</v>
      </c>
      <c r="U573" s="323">
        <v>1.0</v>
      </c>
      <c r="V573" s="106">
        <v>0.0</v>
      </c>
      <c r="W573" s="107">
        <v>0.0</v>
      </c>
      <c r="X573" s="107">
        <v>0.0</v>
      </c>
      <c r="Y573" s="107">
        <v>0.0</v>
      </c>
      <c r="Z573" s="80">
        <v>0.0</v>
      </c>
      <c r="AA573" s="140">
        <v>0.0</v>
      </c>
      <c r="AB573" s="109">
        <v>0.0</v>
      </c>
      <c r="AC573" s="109">
        <v>0.0</v>
      </c>
      <c r="AD573" s="141">
        <v>0.0</v>
      </c>
      <c r="AE573" s="80">
        <v>0.0</v>
      </c>
      <c r="AF573" s="140">
        <v>12.0</v>
      </c>
      <c r="AG573" s="109">
        <v>0.0</v>
      </c>
      <c r="AH573" s="109">
        <v>9.0</v>
      </c>
      <c r="AI573" s="141">
        <v>0.0</v>
      </c>
      <c r="AJ573" s="80">
        <v>21.0</v>
      </c>
      <c r="AK573" s="140">
        <v>0.0</v>
      </c>
      <c r="AL573" s="109">
        <v>0.0</v>
      </c>
      <c r="AM573" s="141">
        <v>0.0</v>
      </c>
      <c r="AN573" s="80">
        <v>0.0</v>
      </c>
      <c r="AO573" s="140">
        <v>0.0</v>
      </c>
      <c r="AP573" s="109">
        <v>0.0</v>
      </c>
      <c r="AQ573" s="109">
        <v>0.0</v>
      </c>
      <c r="AR573" s="80">
        <v>0.0</v>
      </c>
      <c r="AS573" s="110">
        <v>0.0</v>
      </c>
      <c r="AT573" s="110">
        <v>0.0</v>
      </c>
      <c r="AU573" s="110">
        <v>0.0</v>
      </c>
      <c r="AV573" s="142">
        <v>0.0</v>
      </c>
      <c r="AW573" s="80">
        <v>0.0</v>
      </c>
      <c r="AX573" s="113">
        <v>21.0</v>
      </c>
      <c r="AY573" s="117">
        <v>12.0</v>
      </c>
      <c r="AZ573" s="328">
        <v>9.0</v>
      </c>
      <c r="BA573" s="315">
        <v>0.0</v>
      </c>
      <c r="BB573" s="316">
        <v>21.0</v>
      </c>
      <c r="BC573" s="132" t="s">
        <v>373</v>
      </c>
      <c r="BD573" s="132" t="s">
        <v>178</v>
      </c>
      <c r="BE573" s="132" t="s">
        <v>178</v>
      </c>
      <c r="BF573" s="123"/>
      <c r="BG573" s="83">
        <v>1178643.0</v>
      </c>
      <c r="BH573" s="112">
        <v>1.0</v>
      </c>
      <c r="BI573" s="98" t="s">
        <v>155</v>
      </c>
      <c r="BJ573" s="98" t="str">
        <f t="shared" si="1"/>
        <v>NÃO</v>
      </c>
      <c r="BK573" s="98" t="str">
        <f t="shared" si="2"/>
        <v>NÃO</v>
      </c>
    </row>
    <row r="574" ht="15.75" customHeight="1">
      <c r="A574" s="111" t="s">
        <v>673</v>
      </c>
      <c r="B574" s="83" t="s">
        <v>2545</v>
      </c>
      <c r="C574" s="83" t="s">
        <v>68</v>
      </c>
      <c r="D574" s="83">
        <v>1178120.0</v>
      </c>
      <c r="E574" s="83"/>
      <c r="F574" s="83">
        <v>2.9437172E7</v>
      </c>
      <c r="G574" s="185" t="s">
        <v>6813</v>
      </c>
      <c r="H574" s="91" t="s">
        <v>2547</v>
      </c>
      <c r="I574" s="114" t="s">
        <v>149</v>
      </c>
      <c r="J574" s="83" t="s">
        <v>1645</v>
      </c>
      <c r="K574" s="83" t="s">
        <v>151</v>
      </c>
      <c r="L574" s="83" t="s">
        <v>169</v>
      </c>
      <c r="M574" s="82" t="s">
        <v>6814</v>
      </c>
      <c r="N574" s="82" t="s">
        <v>6815</v>
      </c>
      <c r="O574" s="82"/>
      <c r="P574" s="82"/>
      <c r="Q574" s="82"/>
      <c r="R574" s="82"/>
      <c r="S574" s="82" t="s">
        <v>6816</v>
      </c>
      <c r="T574" s="138">
        <v>7.0</v>
      </c>
      <c r="U574" s="389" t="s">
        <v>6817</v>
      </c>
      <c r="V574" s="106">
        <v>0.0</v>
      </c>
      <c r="W574" s="107">
        <v>0.0</v>
      </c>
      <c r="X574" s="107">
        <v>0.0</v>
      </c>
      <c r="Y574" s="107">
        <v>0.0</v>
      </c>
      <c r="Z574" s="80">
        <v>0.0</v>
      </c>
      <c r="AA574" s="140">
        <v>0.0</v>
      </c>
      <c r="AB574" s="109">
        <v>0.0</v>
      </c>
      <c r="AC574" s="109">
        <v>0.0</v>
      </c>
      <c r="AD574" s="141">
        <v>0.0</v>
      </c>
      <c r="AE574" s="80">
        <v>0.0</v>
      </c>
      <c r="AF574" s="140">
        <v>74.0</v>
      </c>
      <c r="AG574" s="109">
        <v>0.0</v>
      </c>
      <c r="AH574" s="109">
        <v>30.0</v>
      </c>
      <c r="AI574" s="141">
        <v>0.0</v>
      </c>
      <c r="AJ574" s="80">
        <v>104.0</v>
      </c>
      <c r="AK574" s="140">
        <v>0.0</v>
      </c>
      <c r="AL574" s="109">
        <v>0.0</v>
      </c>
      <c r="AM574" s="141">
        <v>0.0</v>
      </c>
      <c r="AN574" s="80">
        <v>0.0</v>
      </c>
      <c r="AO574" s="140">
        <v>0.0</v>
      </c>
      <c r="AP574" s="109">
        <v>0.0</v>
      </c>
      <c r="AQ574" s="109">
        <v>40.0</v>
      </c>
      <c r="AR574" s="80">
        <v>40.0</v>
      </c>
      <c r="AS574" s="110">
        <v>0.0</v>
      </c>
      <c r="AT574" s="110">
        <v>0.0</v>
      </c>
      <c r="AU574" s="110">
        <v>0.0</v>
      </c>
      <c r="AV574" s="142">
        <v>0.0</v>
      </c>
      <c r="AW574" s="80">
        <v>0.0</v>
      </c>
      <c r="AX574" s="113">
        <v>144.0</v>
      </c>
      <c r="AY574" s="117">
        <v>74.0</v>
      </c>
      <c r="AZ574" s="328">
        <v>70.0</v>
      </c>
      <c r="BA574" s="315">
        <v>0.0</v>
      </c>
      <c r="BB574" s="316">
        <v>144.0</v>
      </c>
      <c r="BC574" s="132" t="s">
        <v>373</v>
      </c>
      <c r="BD574" s="132" t="s">
        <v>178</v>
      </c>
      <c r="BE574" s="132" t="s">
        <v>178</v>
      </c>
      <c r="BF574" s="156"/>
      <c r="BG574" s="83">
        <v>1178120.0</v>
      </c>
      <c r="BH574" s="112">
        <v>3.0</v>
      </c>
      <c r="BI574" s="98" t="s">
        <v>155</v>
      </c>
      <c r="BJ574" s="98" t="str">
        <f t="shared" si="1"/>
        <v>NÃO</v>
      </c>
      <c r="BK574" s="98" t="str">
        <f t="shared" si="2"/>
        <v>NÃO</v>
      </c>
    </row>
    <row r="575" ht="15.75" customHeight="1">
      <c r="A575" s="111" t="s">
        <v>673</v>
      </c>
      <c r="B575" s="83" t="s">
        <v>2545</v>
      </c>
      <c r="C575" s="83" t="s">
        <v>68</v>
      </c>
      <c r="D575" s="83">
        <v>1119283.0</v>
      </c>
      <c r="E575" s="83"/>
      <c r="F575" s="83">
        <v>2.9283647E7</v>
      </c>
      <c r="G575" s="185" t="s">
        <v>6822</v>
      </c>
      <c r="H575" s="91" t="s">
        <v>6823</v>
      </c>
      <c r="I575" s="114" t="s">
        <v>149</v>
      </c>
      <c r="J575" s="83" t="s">
        <v>150</v>
      </c>
      <c r="K575" s="83" t="s">
        <v>151</v>
      </c>
      <c r="L575" s="83" t="s">
        <v>230</v>
      </c>
      <c r="M575" s="82" t="s">
        <v>6824</v>
      </c>
      <c r="N575" s="82" t="s">
        <v>6825</v>
      </c>
      <c r="O575" s="82" t="s">
        <v>6827</v>
      </c>
      <c r="P575" s="82" t="s">
        <v>6829</v>
      </c>
      <c r="Q575" s="82"/>
      <c r="R575" s="82"/>
      <c r="S575" s="82" t="s">
        <v>6830</v>
      </c>
      <c r="T575" s="138">
        <v>25.0</v>
      </c>
      <c r="U575" s="323">
        <v>22.0</v>
      </c>
      <c r="V575" s="106">
        <v>0.0</v>
      </c>
      <c r="W575" s="107">
        <v>0.0</v>
      </c>
      <c r="X575" s="107">
        <v>0.0</v>
      </c>
      <c r="Y575" s="107">
        <v>0.0</v>
      </c>
      <c r="Z575" s="80">
        <v>0.0</v>
      </c>
      <c r="AA575" s="140">
        <v>0.0</v>
      </c>
      <c r="AB575" s="109">
        <v>0.0</v>
      </c>
      <c r="AC575" s="109">
        <v>0.0</v>
      </c>
      <c r="AD575" s="141">
        <v>0.0</v>
      </c>
      <c r="AE575" s="80">
        <v>0.0</v>
      </c>
      <c r="AF575" s="140">
        <v>0.0</v>
      </c>
      <c r="AG575" s="109">
        <v>0.0</v>
      </c>
      <c r="AH575" s="109">
        <v>0.0</v>
      </c>
      <c r="AI575" s="141">
        <v>0.0</v>
      </c>
      <c r="AJ575" s="80">
        <v>0.0</v>
      </c>
      <c r="AK575" s="140">
        <v>0.0</v>
      </c>
      <c r="AL575" s="109">
        <v>0.0</v>
      </c>
      <c r="AM575" s="141">
        <v>0.0</v>
      </c>
      <c r="AN575" s="80">
        <v>0.0</v>
      </c>
      <c r="AO575" s="140">
        <v>0.0</v>
      </c>
      <c r="AP575" s="109">
        <v>0.0</v>
      </c>
      <c r="AQ575" s="109">
        <v>0.0</v>
      </c>
      <c r="AR575" s="80">
        <v>0.0</v>
      </c>
      <c r="AS575" s="110">
        <v>451.0</v>
      </c>
      <c r="AT575" s="110">
        <v>127.0</v>
      </c>
      <c r="AU575" s="110">
        <v>330.0</v>
      </c>
      <c r="AV575" s="142">
        <v>0.0</v>
      </c>
      <c r="AW575" s="80">
        <v>908.0</v>
      </c>
      <c r="AX575" s="113">
        <v>908.0</v>
      </c>
      <c r="AY575" s="117">
        <v>578.0</v>
      </c>
      <c r="AZ575" s="328">
        <v>330.0</v>
      </c>
      <c r="BA575" s="315">
        <v>0.0</v>
      </c>
      <c r="BB575" s="316">
        <v>908.0</v>
      </c>
      <c r="BC575" s="132" t="s">
        <v>178</v>
      </c>
      <c r="BD575" s="132" t="s">
        <v>522</v>
      </c>
      <c r="BE575" s="132" t="s">
        <v>178</v>
      </c>
      <c r="BF575" s="123"/>
      <c r="BG575" s="83">
        <v>1119283.0</v>
      </c>
      <c r="BH575" s="112">
        <v>22.0</v>
      </c>
      <c r="BI575" s="98" t="s">
        <v>155</v>
      </c>
      <c r="BJ575" s="98" t="str">
        <f t="shared" si="1"/>
        <v>NÃO</v>
      </c>
      <c r="BK575" s="98" t="str">
        <f t="shared" si="2"/>
        <v>PROFISSIONAL</v>
      </c>
    </row>
    <row r="576" ht="15.75" customHeight="1">
      <c r="A576" s="111" t="s">
        <v>673</v>
      </c>
      <c r="B576" s="83" t="s">
        <v>2545</v>
      </c>
      <c r="C576" s="83" t="s">
        <v>164</v>
      </c>
      <c r="D576" s="83">
        <v>1178120.0</v>
      </c>
      <c r="E576" s="83">
        <v>1178645.0</v>
      </c>
      <c r="F576" s="83"/>
      <c r="G576" s="185" t="s">
        <v>6832</v>
      </c>
      <c r="H576" s="91" t="s">
        <v>2554</v>
      </c>
      <c r="I576" s="114" t="s">
        <v>2555</v>
      </c>
      <c r="J576" s="83" t="s">
        <v>751</v>
      </c>
      <c r="K576" s="83" t="s">
        <v>168</v>
      </c>
      <c r="L576" s="83" t="s">
        <v>169</v>
      </c>
      <c r="M576" s="82" t="s">
        <v>6814</v>
      </c>
      <c r="N576" s="82" t="s">
        <v>6815</v>
      </c>
      <c r="O576" s="82"/>
      <c r="P576" s="82"/>
      <c r="Q576" s="82"/>
      <c r="R576" s="82"/>
      <c r="S576" s="82" t="s">
        <v>6816</v>
      </c>
      <c r="T576" s="138">
        <v>4.0</v>
      </c>
      <c r="U576" s="387">
        <v>4.0</v>
      </c>
      <c r="V576" s="106">
        <v>0.0</v>
      </c>
      <c r="W576" s="107">
        <v>0.0</v>
      </c>
      <c r="X576" s="107">
        <v>0.0</v>
      </c>
      <c r="Y576" s="107">
        <v>0.0</v>
      </c>
      <c r="Z576" s="80">
        <v>0.0</v>
      </c>
      <c r="AA576" s="140">
        <v>0.0</v>
      </c>
      <c r="AB576" s="109">
        <v>0.0</v>
      </c>
      <c r="AC576" s="109">
        <v>0.0</v>
      </c>
      <c r="AD576" s="141">
        <v>0.0</v>
      </c>
      <c r="AE576" s="80">
        <v>0.0</v>
      </c>
      <c r="AF576" s="140">
        <v>8.0</v>
      </c>
      <c r="AG576" s="109">
        <v>0.0</v>
      </c>
      <c r="AH576" s="109">
        <v>34.0</v>
      </c>
      <c r="AI576" s="141">
        <v>0.0</v>
      </c>
      <c r="AJ576" s="80">
        <v>42.0</v>
      </c>
      <c r="AK576" s="140">
        <v>0.0</v>
      </c>
      <c r="AL576" s="109">
        <v>0.0</v>
      </c>
      <c r="AM576" s="141">
        <v>0.0</v>
      </c>
      <c r="AN576" s="80">
        <v>0.0</v>
      </c>
      <c r="AO576" s="140">
        <v>0.0</v>
      </c>
      <c r="AP576" s="109">
        <v>0.0</v>
      </c>
      <c r="AQ576" s="109">
        <v>0.0</v>
      </c>
      <c r="AR576" s="80">
        <v>0.0</v>
      </c>
      <c r="AS576" s="110">
        <v>0.0</v>
      </c>
      <c r="AT576" s="110">
        <v>0.0</v>
      </c>
      <c r="AU576" s="110">
        <v>0.0</v>
      </c>
      <c r="AV576" s="142">
        <v>0.0</v>
      </c>
      <c r="AW576" s="80">
        <v>0.0</v>
      </c>
      <c r="AX576" s="113">
        <v>42.0</v>
      </c>
      <c r="AY576" s="117">
        <v>8.0</v>
      </c>
      <c r="AZ576" s="328">
        <v>34.0</v>
      </c>
      <c r="BA576" s="315">
        <v>0.0</v>
      </c>
      <c r="BB576" s="316">
        <v>42.0</v>
      </c>
      <c r="BC576" s="132" t="s">
        <v>373</v>
      </c>
      <c r="BD576" s="132" t="s">
        <v>178</v>
      </c>
      <c r="BE576" s="132" t="s">
        <v>178</v>
      </c>
      <c r="BF576" s="123"/>
      <c r="BG576" s="83">
        <v>1178645.0</v>
      </c>
      <c r="BH576" s="112">
        <v>4.0</v>
      </c>
      <c r="BI576" s="98" t="s">
        <v>155</v>
      </c>
      <c r="BJ576" s="98" t="str">
        <f t="shared" si="1"/>
        <v>NÃO</v>
      </c>
      <c r="BK576" s="98" t="str">
        <f t="shared" si="2"/>
        <v>NÃO</v>
      </c>
    </row>
    <row r="577" ht="15.75" customHeight="1">
      <c r="A577" s="111" t="s">
        <v>673</v>
      </c>
      <c r="B577" s="83" t="s">
        <v>2557</v>
      </c>
      <c r="C577" s="83" t="s">
        <v>68</v>
      </c>
      <c r="D577" s="83">
        <v>1119380.0</v>
      </c>
      <c r="E577" s="83"/>
      <c r="F577" s="83">
        <v>2.9284104E7</v>
      </c>
      <c r="G577" s="185" t="s">
        <v>6837</v>
      </c>
      <c r="H577" s="91" t="s">
        <v>2559</v>
      </c>
      <c r="I577" s="114" t="s">
        <v>149</v>
      </c>
      <c r="J577" s="83" t="s">
        <v>150</v>
      </c>
      <c r="K577" s="83" t="s">
        <v>168</v>
      </c>
      <c r="L577" s="83" t="s">
        <v>76</v>
      </c>
      <c r="M577" s="82" t="s">
        <v>6840</v>
      </c>
      <c r="N577" s="82" t="s">
        <v>6841</v>
      </c>
      <c r="O577" s="82"/>
      <c r="P577" s="82"/>
      <c r="Q577" s="82"/>
      <c r="R577" s="82"/>
      <c r="S577" s="82" t="s">
        <v>6843</v>
      </c>
      <c r="T577" s="138">
        <v>15.0</v>
      </c>
      <c r="U577" s="341" t="s">
        <v>6844</v>
      </c>
      <c r="V577" s="106">
        <v>0.0</v>
      </c>
      <c r="W577" s="107">
        <v>0.0</v>
      </c>
      <c r="X577" s="107">
        <v>0.0</v>
      </c>
      <c r="Y577" s="107">
        <v>0.0</v>
      </c>
      <c r="Z577" s="80">
        <v>0.0</v>
      </c>
      <c r="AA577" s="140">
        <v>0.0</v>
      </c>
      <c r="AB577" s="109">
        <v>0.0</v>
      </c>
      <c r="AC577" s="109">
        <v>0.0</v>
      </c>
      <c r="AD577" s="141">
        <v>0.0</v>
      </c>
      <c r="AE577" s="80">
        <v>0.0</v>
      </c>
      <c r="AF577" s="140">
        <v>390.0</v>
      </c>
      <c r="AG577" s="109">
        <v>0.0</v>
      </c>
      <c r="AH577" s="109">
        <v>34.0</v>
      </c>
      <c r="AI577" s="141">
        <v>16.0</v>
      </c>
      <c r="AJ577" s="80">
        <v>440.0</v>
      </c>
      <c r="AK577" s="140">
        <v>0.0</v>
      </c>
      <c r="AL577" s="109">
        <v>0.0</v>
      </c>
      <c r="AM577" s="141">
        <v>0.0</v>
      </c>
      <c r="AN577" s="80">
        <v>0.0</v>
      </c>
      <c r="AO577" s="140">
        <v>0.0</v>
      </c>
      <c r="AP577" s="109">
        <v>0.0</v>
      </c>
      <c r="AQ577" s="109">
        <v>148.0</v>
      </c>
      <c r="AR577" s="80">
        <v>148.0</v>
      </c>
      <c r="AS577" s="110">
        <v>0.0</v>
      </c>
      <c r="AT577" s="110">
        <v>0.0</v>
      </c>
      <c r="AU577" s="110">
        <v>0.0</v>
      </c>
      <c r="AV577" s="142">
        <v>0.0</v>
      </c>
      <c r="AW577" s="80">
        <v>0.0</v>
      </c>
      <c r="AX577" s="113">
        <v>588.0</v>
      </c>
      <c r="AY577" s="117">
        <v>406.0</v>
      </c>
      <c r="AZ577" s="328">
        <v>182.0</v>
      </c>
      <c r="BA577" s="315">
        <v>3.0</v>
      </c>
      <c r="BB577" s="316">
        <v>591.0</v>
      </c>
      <c r="BC577" s="132" t="s">
        <v>178</v>
      </c>
      <c r="BD577" s="132" t="s">
        <v>178</v>
      </c>
      <c r="BE577" s="132" t="s">
        <v>178</v>
      </c>
      <c r="BF577" s="123"/>
      <c r="BG577" s="83">
        <v>1119380.0</v>
      </c>
      <c r="BH577" s="112">
        <v>11.0</v>
      </c>
      <c r="BI577" s="98" t="s">
        <v>155</v>
      </c>
      <c r="BJ577" s="98" t="str">
        <f t="shared" si="1"/>
        <v>INTEGRAL</v>
      </c>
      <c r="BK577" s="98" t="str">
        <f t="shared" si="2"/>
        <v>NÃO</v>
      </c>
    </row>
    <row r="578" ht="15.75" customHeight="1">
      <c r="A578" s="111" t="s">
        <v>673</v>
      </c>
      <c r="B578" s="83" t="s">
        <v>2561</v>
      </c>
      <c r="C578" s="83" t="s">
        <v>68</v>
      </c>
      <c r="D578" s="83">
        <v>1178270.0</v>
      </c>
      <c r="E578" s="83"/>
      <c r="F578" s="83">
        <v>2.9466008E7</v>
      </c>
      <c r="G578" s="185" t="s">
        <v>6845</v>
      </c>
      <c r="H578" s="91" t="s">
        <v>2563</v>
      </c>
      <c r="I578" s="298" t="s">
        <v>2564</v>
      </c>
      <c r="J578" s="83" t="s">
        <v>150</v>
      </c>
      <c r="K578" s="83" t="s">
        <v>151</v>
      </c>
      <c r="L578" s="83" t="s">
        <v>76</v>
      </c>
      <c r="M578" s="82" t="s">
        <v>6846</v>
      </c>
      <c r="N578" s="82" t="s">
        <v>6847</v>
      </c>
      <c r="O578" s="82" t="s">
        <v>6848</v>
      </c>
      <c r="P578" s="82" t="s">
        <v>6849</v>
      </c>
      <c r="Q578" s="82"/>
      <c r="R578" s="82"/>
      <c r="S578" s="82" t="s">
        <v>6850</v>
      </c>
      <c r="T578" s="138">
        <v>6.0</v>
      </c>
      <c r="U578" s="352" t="s">
        <v>6851</v>
      </c>
      <c r="V578" s="106">
        <v>0.0</v>
      </c>
      <c r="W578" s="107">
        <v>0.0</v>
      </c>
      <c r="X578" s="107">
        <v>0.0</v>
      </c>
      <c r="Y578" s="107">
        <v>0.0</v>
      </c>
      <c r="Z578" s="80">
        <v>0.0</v>
      </c>
      <c r="AA578" s="140">
        <v>0.0</v>
      </c>
      <c r="AB578" s="109">
        <v>0.0</v>
      </c>
      <c r="AC578" s="109">
        <v>0.0</v>
      </c>
      <c r="AD578" s="141">
        <v>0.0</v>
      </c>
      <c r="AE578" s="80">
        <v>0.0</v>
      </c>
      <c r="AF578" s="140">
        <v>188.0</v>
      </c>
      <c r="AG578" s="109">
        <v>56.0</v>
      </c>
      <c r="AH578" s="109">
        <v>14.0</v>
      </c>
      <c r="AI578" s="141">
        <v>0.0</v>
      </c>
      <c r="AJ578" s="80">
        <v>258.0</v>
      </c>
      <c r="AK578" s="140">
        <v>0.0</v>
      </c>
      <c r="AL578" s="109">
        <v>0.0</v>
      </c>
      <c r="AM578" s="141">
        <v>0.0</v>
      </c>
      <c r="AN578" s="80">
        <v>0.0</v>
      </c>
      <c r="AO578" s="140">
        <v>0.0</v>
      </c>
      <c r="AP578" s="109">
        <v>0.0</v>
      </c>
      <c r="AQ578" s="109">
        <v>40.0</v>
      </c>
      <c r="AR578" s="80">
        <v>40.0</v>
      </c>
      <c r="AS578" s="110">
        <v>0.0</v>
      </c>
      <c r="AT578" s="110">
        <v>0.0</v>
      </c>
      <c r="AU578" s="110">
        <v>0.0</v>
      </c>
      <c r="AV578" s="142">
        <v>0.0</v>
      </c>
      <c r="AW578" s="80">
        <v>0.0</v>
      </c>
      <c r="AX578" s="113">
        <v>298.0</v>
      </c>
      <c r="AY578" s="117">
        <v>244.0</v>
      </c>
      <c r="AZ578" s="328">
        <v>54.0</v>
      </c>
      <c r="BA578" s="315">
        <v>0.0</v>
      </c>
      <c r="BB578" s="316">
        <v>298.0</v>
      </c>
      <c r="BC578" s="132" t="s">
        <v>178</v>
      </c>
      <c r="BD578" s="132" t="s">
        <v>178</v>
      </c>
      <c r="BE578" s="132" t="s">
        <v>178</v>
      </c>
      <c r="BF578" s="123"/>
      <c r="BG578" s="83">
        <v>1178270.0</v>
      </c>
      <c r="BH578" s="112">
        <v>7.0</v>
      </c>
      <c r="BI578" s="98" t="s">
        <v>155</v>
      </c>
      <c r="BJ578" s="98" t="str">
        <f t="shared" si="1"/>
        <v>NÃO</v>
      </c>
      <c r="BK578" s="98" t="str">
        <f t="shared" si="2"/>
        <v>NÃO</v>
      </c>
    </row>
    <row r="579" ht="15.75" customHeight="1">
      <c r="A579" s="111" t="s">
        <v>673</v>
      </c>
      <c r="B579" s="83" t="s">
        <v>2166</v>
      </c>
      <c r="C579" s="83" t="s">
        <v>68</v>
      </c>
      <c r="D579" s="83">
        <v>1118830.0</v>
      </c>
      <c r="E579" s="83"/>
      <c r="F579" s="83">
        <v>2.943783E7</v>
      </c>
      <c r="G579" s="187" t="s">
        <v>6853</v>
      </c>
      <c r="H579" s="91" t="s">
        <v>2567</v>
      </c>
      <c r="I579" s="114" t="s">
        <v>149</v>
      </c>
      <c r="J579" s="83" t="s">
        <v>150</v>
      </c>
      <c r="K579" s="83" t="s">
        <v>168</v>
      </c>
      <c r="L579" s="83" t="s">
        <v>76</v>
      </c>
      <c r="M579" s="82" t="s">
        <v>6857</v>
      </c>
      <c r="N579" s="82" t="s">
        <v>6858</v>
      </c>
      <c r="O579" s="82" t="s">
        <v>6859</v>
      </c>
      <c r="P579" s="82" t="s">
        <v>6860</v>
      </c>
      <c r="Q579" s="82"/>
      <c r="R579" s="82"/>
      <c r="S579" s="82" t="s">
        <v>6861</v>
      </c>
      <c r="T579" s="138">
        <v>8.0</v>
      </c>
      <c r="U579" s="419" t="s">
        <v>6863</v>
      </c>
      <c r="V579" s="106">
        <v>0.0</v>
      </c>
      <c r="W579" s="107">
        <v>0.0</v>
      </c>
      <c r="X579" s="107">
        <v>0.0</v>
      </c>
      <c r="Y579" s="107">
        <v>0.0</v>
      </c>
      <c r="Z579" s="80">
        <v>0.0</v>
      </c>
      <c r="AA579" s="140">
        <v>0.0</v>
      </c>
      <c r="AB579" s="109">
        <v>0.0</v>
      </c>
      <c r="AC579" s="109">
        <v>0.0</v>
      </c>
      <c r="AD579" s="141">
        <v>0.0</v>
      </c>
      <c r="AE579" s="80">
        <v>0.0</v>
      </c>
      <c r="AF579" s="140">
        <v>259.0</v>
      </c>
      <c r="AG579" s="109">
        <v>86.0</v>
      </c>
      <c r="AH579" s="109">
        <v>30.0</v>
      </c>
      <c r="AI579" s="141">
        <v>0.0</v>
      </c>
      <c r="AJ579" s="80">
        <v>375.0</v>
      </c>
      <c r="AK579" s="140">
        <v>0.0</v>
      </c>
      <c r="AL579" s="109">
        <v>0.0</v>
      </c>
      <c r="AM579" s="141">
        <v>0.0</v>
      </c>
      <c r="AN579" s="80">
        <v>0.0</v>
      </c>
      <c r="AO579" s="140">
        <v>0.0</v>
      </c>
      <c r="AP579" s="109">
        <v>0.0</v>
      </c>
      <c r="AQ579" s="109">
        <v>60.0</v>
      </c>
      <c r="AR579" s="80">
        <v>60.0</v>
      </c>
      <c r="AS579" s="110">
        <v>0.0</v>
      </c>
      <c r="AT579" s="110">
        <v>0.0</v>
      </c>
      <c r="AU579" s="110">
        <v>0.0</v>
      </c>
      <c r="AV579" s="142">
        <v>0.0</v>
      </c>
      <c r="AW579" s="80">
        <v>0.0</v>
      </c>
      <c r="AX579" s="113">
        <v>435.0</v>
      </c>
      <c r="AY579" s="117">
        <v>345.0</v>
      </c>
      <c r="AZ579" s="328">
        <v>90.0</v>
      </c>
      <c r="BA579" s="315">
        <v>0.0</v>
      </c>
      <c r="BB579" s="316">
        <v>435.0</v>
      </c>
      <c r="BC579" s="132" t="s">
        <v>178</v>
      </c>
      <c r="BD579" s="132" t="s">
        <v>178</v>
      </c>
      <c r="BE579" s="132" t="s">
        <v>178</v>
      </c>
      <c r="BF579" s="123"/>
      <c r="BG579" s="83">
        <v>1118830.0</v>
      </c>
      <c r="BH579" s="112">
        <v>6.0</v>
      </c>
      <c r="BI579" s="98" t="s">
        <v>155</v>
      </c>
      <c r="BJ579" s="98" t="str">
        <f t="shared" si="1"/>
        <v>NÃO</v>
      </c>
      <c r="BK579" s="98" t="str">
        <f t="shared" si="2"/>
        <v>NÃO</v>
      </c>
    </row>
    <row r="580" ht="15.75" customHeight="1">
      <c r="A580" s="111" t="s">
        <v>673</v>
      </c>
      <c r="B580" s="83" t="s">
        <v>2166</v>
      </c>
      <c r="C580" s="83" t="s">
        <v>164</v>
      </c>
      <c r="D580" s="83">
        <v>1118830.0</v>
      </c>
      <c r="E580" s="83">
        <v>1179697.0</v>
      </c>
      <c r="F580" s="83"/>
      <c r="G580" s="114" t="s">
        <v>6866</v>
      </c>
      <c r="H580" s="91" t="s">
        <v>2570</v>
      </c>
      <c r="I580" s="298" t="s">
        <v>576</v>
      </c>
      <c r="J580" s="83" t="s">
        <v>2571</v>
      </c>
      <c r="K580" s="83" t="s">
        <v>168</v>
      </c>
      <c r="L580" s="83" t="s">
        <v>169</v>
      </c>
      <c r="M580" s="82" t="s">
        <v>6857</v>
      </c>
      <c r="N580" s="82" t="s">
        <v>6858</v>
      </c>
      <c r="O580" s="82" t="s">
        <v>6859</v>
      </c>
      <c r="P580" s="82" t="s">
        <v>6860</v>
      </c>
      <c r="Q580" s="82"/>
      <c r="R580" s="82"/>
      <c r="S580" s="82" t="s">
        <v>6861</v>
      </c>
      <c r="T580" s="138">
        <v>1.0</v>
      </c>
      <c r="U580" s="389">
        <v>1.0</v>
      </c>
      <c r="V580" s="106">
        <v>0.0</v>
      </c>
      <c r="W580" s="107">
        <v>0.0</v>
      </c>
      <c r="X580" s="107">
        <v>0.0</v>
      </c>
      <c r="Y580" s="107">
        <v>0.0</v>
      </c>
      <c r="Z580" s="80">
        <v>0.0</v>
      </c>
      <c r="AA580" s="140">
        <v>0.0</v>
      </c>
      <c r="AB580" s="109">
        <v>0.0</v>
      </c>
      <c r="AC580" s="109">
        <v>0.0</v>
      </c>
      <c r="AD580" s="141">
        <v>0.0</v>
      </c>
      <c r="AE580" s="80">
        <v>0.0</v>
      </c>
      <c r="AF580" s="140">
        <v>0.0</v>
      </c>
      <c r="AG580" s="109">
        <v>0.0</v>
      </c>
      <c r="AH580" s="109">
        <v>1.0</v>
      </c>
      <c r="AI580" s="141">
        <v>0.0</v>
      </c>
      <c r="AJ580" s="80">
        <v>1.0</v>
      </c>
      <c r="AK580" s="140">
        <v>0.0</v>
      </c>
      <c r="AL580" s="109">
        <v>0.0</v>
      </c>
      <c r="AM580" s="141">
        <v>0.0</v>
      </c>
      <c r="AN580" s="80">
        <v>0.0</v>
      </c>
      <c r="AO580" s="140">
        <v>0.0</v>
      </c>
      <c r="AP580" s="109">
        <v>0.0</v>
      </c>
      <c r="AQ580" s="109">
        <v>0.0</v>
      </c>
      <c r="AR580" s="80">
        <v>0.0</v>
      </c>
      <c r="AS580" s="110">
        <v>0.0</v>
      </c>
      <c r="AT580" s="110">
        <v>0.0</v>
      </c>
      <c r="AU580" s="110">
        <v>0.0</v>
      </c>
      <c r="AV580" s="142">
        <v>0.0</v>
      </c>
      <c r="AW580" s="80">
        <v>0.0</v>
      </c>
      <c r="AX580" s="113">
        <v>1.0</v>
      </c>
      <c r="AY580" s="117">
        <v>0.0</v>
      </c>
      <c r="AZ580" s="328">
        <v>1.0</v>
      </c>
      <c r="BA580" s="315">
        <v>0.0</v>
      </c>
      <c r="BB580" s="316">
        <v>1.0</v>
      </c>
      <c r="BC580" s="132" t="s">
        <v>373</v>
      </c>
      <c r="BD580" s="132" t="s">
        <v>178</v>
      </c>
      <c r="BE580" s="132" t="s">
        <v>178</v>
      </c>
      <c r="BF580" s="123"/>
      <c r="BG580" s="83">
        <v>1179697.0</v>
      </c>
      <c r="BH580" s="112">
        <v>1.0</v>
      </c>
      <c r="BI580" s="98" t="s">
        <v>155</v>
      </c>
      <c r="BJ580" s="98" t="str">
        <f t="shared" si="1"/>
        <v>NÃO</v>
      </c>
      <c r="BK580" s="98" t="str">
        <f t="shared" si="2"/>
        <v>NÃO</v>
      </c>
    </row>
    <row r="581" ht="15.75" customHeight="1">
      <c r="A581" s="111" t="s">
        <v>673</v>
      </c>
      <c r="B581" s="83" t="s">
        <v>2166</v>
      </c>
      <c r="C581" s="83" t="s">
        <v>164</v>
      </c>
      <c r="D581" s="83">
        <v>1118830.0</v>
      </c>
      <c r="E581" s="83">
        <v>1179698.0</v>
      </c>
      <c r="F581" s="83"/>
      <c r="G581" s="185" t="s">
        <v>6869</v>
      </c>
      <c r="H581" s="91" t="s">
        <v>2573</v>
      </c>
      <c r="I581" s="187" t="s">
        <v>149</v>
      </c>
      <c r="J581" s="136" t="s">
        <v>2574</v>
      </c>
      <c r="K581" s="136" t="s">
        <v>168</v>
      </c>
      <c r="L581" s="83" t="s">
        <v>169</v>
      </c>
      <c r="M581" s="82" t="s">
        <v>6857</v>
      </c>
      <c r="N581" s="82" t="s">
        <v>6858</v>
      </c>
      <c r="O581" s="82" t="s">
        <v>6859</v>
      </c>
      <c r="P581" s="82" t="s">
        <v>6860</v>
      </c>
      <c r="Q581" s="82"/>
      <c r="R581" s="82"/>
      <c r="S581" s="82" t="s">
        <v>6861</v>
      </c>
      <c r="T581" s="138">
        <v>2.0</v>
      </c>
      <c r="U581" s="437">
        <v>1.0</v>
      </c>
      <c r="V581" s="106">
        <v>0.0</v>
      </c>
      <c r="W581" s="107">
        <v>0.0</v>
      </c>
      <c r="X581" s="107">
        <v>0.0</v>
      </c>
      <c r="Y581" s="107">
        <v>0.0</v>
      </c>
      <c r="Z581" s="80">
        <v>0.0</v>
      </c>
      <c r="AA581" s="140">
        <v>0.0</v>
      </c>
      <c r="AB581" s="109">
        <v>0.0</v>
      </c>
      <c r="AC581" s="109">
        <v>0.0</v>
      </c>
      <c r="AD581" s="141">
        <v>0.0</v>
      </c>
      <c r="AE581" s="80">
        <v>0.0</v>
      </c>
      <c r="AF581" s="140">
        <v>0.0</v>
      </c>
      <c r="AG581" s="109">
        <v>0.0</v>
      </c>
      <c r="AH581" s="109">
        <v>15.0</v>
      </c>
      <c r="AI581" s="141">
        <v>0.0</v>
      </c>
      <c r="AJ581" s="80">
        <v>15.0</v>
      </c>
      <c r="AK581" s="140">
        <v>0.0</v>
      </c>
      <c r="AL581" s="109">
        <v>0.0</v>
      </c>
      <c r="AM581" s="141">
        <v>0.0</v>
      </c>
      <c r="AN581" s="80">
        <v>0.0</v>
      </c>
      <c r="AO581" s="140">
        <v>0.0</v>
      </c>
      <c r="AP581" s="109">
        <v>0.0</v>
      </c>
      <c r="AQ581" s="109">
        <v>0.0</v>
      </c>
      <c r="AR581" s="80">
        <v>0.0</v>
      </c>
      <c r="AS581" s="110">
        <v>0.0</v>
      </c>
      <c r="AT581" s="110">
        <v>0.0</v>
      </c>
      <c r="AU581" s="110">
        <v>0.0</v>
      </c>
      <c r="AV581" s="142">
        <v>0.0</v>
      </c>
      <c r="AW581" s="80">
        <v>0.0</v>
      </c>
      <c r="AX581" s="113">
        <v>15.0</v>
      </c>
      <c r="AY581" s="117">
        <v>0.0</v>
      </c>
      <c r="AZ581" s="328">
        <v>15.0</v>
      </c>
      <c r="BA581" s="315">
        <v>0.0</v>
      </c>
      <c r="BB581" s="316">
        <v>15.0</v>
      </c>
      <c r="BC581" s="132" t="s">
        <v>373</v>
      </c>
      <c r="BD581" s="132" t="s">
        <v>178</v>
      </c>
      <c r="BE581" s="132" t="s">
        <v>178</v>
      </c>
      <c r="BF581" s="123"/>
      <c r="BG581" s="83">
        <v>1179698.0</v>
      </c>
      <c r="BH581" s="112">
        <v>1.0</v>
      </c>
      <c r="BI581" s="98" t="s">
        <v>155</v>
      </c>
      <c r="BJ581" s="98" t="str">
        <f t="shared" si="1"/>
        <v>NÃO</v>
      </c>
      <c r="BK581" s="98" t="str">
        <f t="shared" si="2"/>
        <v>NÃO</v>
      </c>
    </row>
    <row r="582" ht="15.75" customHeight="1">
      <c r="A582" s="111" t="s">
        <v>673</v>
      </c>
      <c r="B582" s="83" t="s">
        <v>2166</v>
      </c>
      <c r="C582" s="83" t="s">
        <v>164</v>
      </c>
      <c r="D582" s="83">
        <v>1118830.0</v>
      </c>
      <c r="E582" s="83">
        <v>1179076.0</v>
      </c>
      <c r="F582" s="83"/>
      <c r="G582" s="241" t="s">
        <v>6875</v>
      </c>
      <c r="H582" s="91" t="s">
        <v>6876</v>
      </c>
      <c r="I582" s="411" t="s">
        <v>149</v>
      </c>
      <c r="J582" s="136" t="s">
        <v>183</v>
      </c>
      <c r="K582" s="136" t="s">
        <v>151</v>
      </c>
      <c r="L582" s="83" t="s">
        <v>169</v>
      </c>
      <c r="M582" s="82" t="s">
        <v>6857</v>
      </c>
      <c r="N582" s="82" t="s">
        <v>6858</v>
      </c>
      <c r="O582" s="82" t="s">
        <v>6859</v>
      </c>
      <c r="P582" s="82" t="s">
        <v>6860</v>
      </c>
      <c r="Q582" s="82"/>
      <c r="R582" s="82"/>
      <c r="S582" s="82" t="s">
        <v>6861</v>
      </c>
      <c r="T582" s="138">
        <v>2.0</v>
      </c>
      <c r="U582" s="341">
        <v>1.0</v>
      </c>
      <c r="V582" s="106">
        <v>0.0</v>
      </c>
      <c r="W582" s="107">
        <v>0.0</v>
      </c>
      <c r="X582" s="107">
        <v>0.0</v>
      </c>
      <c r="Y582" s="107">
        <v>0.0</v>
      </c>
      <c r="Z582" s="80">
        <v>0.0</v>
      </c>
      <c r="AA582" s="140">
        <v>0.0</v>
      </c>
      <c r="AB582" s="109">
        <v>0.0</v>
      </c>
      <c r="AC582" s="109">
        <v>0.0</v>
      </c>
      <c r="AD582" s="141">
        <v>0.0</v>
      </c>
      <c r="AE582" s="80">
        <v>0.0</v>
      </c>
      <c r="AF582" s="140">
        <v>0.0</v>
      </c>
      <c r="AG582" s="109">
        <v>0.0</v>
      </c>
      <c r="AH582" s="109">
        <v>14.0</v>
      </c>
      <c r="AI582" s="141">
        <v>0.0</v>
      </c>
      <c r="AJ582" s="80">
        <v>14.0</v>
      </c>
      <c r="AK582" s="140">
        <v>0.0</v>
      </c>
      <c r="AL582" s="109">
        <v>0.0</v>
      </c>
      <c r="AM582" s="141">
        <v>0.0</v>
      </c>
      <c r="AN582" s="80">
        <v>0.0</v>
      </c>
      <c r="AO582" s="140">
        <v>0.0</v>
      </c>
      <c r="AP582" s="109">
        <v>0.0</v>
      </c>
      <c r="AQ582" s="109">
        <v>0.0</v>
      </c>
      <c r="AR582" s="80">
        <v>0.0</v>
      </c>
      <c r="AS582" s="110">
        <v>0.0</v>
      </c>
      <c r="AT582" s="110">
        <v>0.0</v>
      </c>
      <c r="AU582" s="110">
        <v>0.0</v>
      </c>
      <c r="AV582" s="142">
        <v>0.0</v>
      </c>
      <c r="AW582" s="80">
        <v>0.0</v>
      </c>
      <c r="AX582" s="113">
        <v>14.0</v>
      </c>
      <c r="AY582" s="117">
        <v>0.0</v>
      </c>
      <c r="AZ582" s="328">
        <v>14.0</v>
      </c>
      <c r="BA582" s="315">
        <v>0.0</v>
      </c>
      <c r="BB582" s="316">
        <v>14.0</v>
      </c>
      <c r="BC582" s="132" t="s">
        <v>373</v>
      </c>
      <c r="BD582" s="132" t="s">
        <v>178</v>
      </c>
      <c r="BE582" s="132" t="s">
        <v>178</v>
      </c>
      <c r="BF582" s="156"/>
      <c r="BG582" s="83">
        <v>1179076.0</v>
      </c>
      <c r="BH582" s="112">
        <v>1.0</v>
      </c>
      <c r="BI582" s="98" t="s">
        <v>155</v>
      </c>
      <c r="BJ582" s="98" t="str">
        <f t="shared" si="1"/>
        <v>NÃO</v>
      </c>
      <c r="BK582" s="98" t="str">
        <f t="shared" si="2"/>
        <v>NÃO</v>
      </c>
    </row>
    <row r="583" ht="15.75" customHeight="1">
      <c r="A583" s="111" t="s">
        <v>673</v>
      </c>
      <c r="B583" s="83" t="s">
        <v>2166</v>
      </c>
      <c r="C583" s="83" t="s">
        <v>164</v>
      </c>
      <c r="D583" s="83">
        <v>1118830.0</v>
      </c>
      <c r="E583" s="83">
        <v>1179108.0</v>
      </c>
      <c r="F583" s="83"/>
      <c r="G583" s="241" t="s">
        <v>6877</v>
      </c>
      <c r="H583" s="91" t="s">
        <v>6878</v>
      </c>
      <c r="I583" s="187" t="s">
        <v>6880</v>
      </c>
      <c r="J583" s="115" t="s">
        <v>209</v>
      </c>
      <c r="K583" s="115" t="s">
        <v>168</v>
      </c>
      <c r="L583" s="83" t="s">
        <v>169</v>
      </c>
      <c r="M583" s="82" t="s">
        <v>6857</v>
      </c>
      <c r="N583" s="82" t="s">
        <v>6858</v>
      </c>
      <c r="O583" s="82" t="s">
        <v>6859</v>
      </c>
      <c r="P583" s="82" t="s">
        <v>6860</v>
      </c>
      <c r="Q583" s="82"/>
      <c r="R583" s="82"/>
      <c r="S583" s="82" t="s">
        <v>6861</v>
      </c>
      <c r="T583" s="138">
        <v>1.0</v>
      </c>
      <c r="U583" s="341">
        <v>1.0</v>
      </c>
      <c r="V583" s="106">
        <v>0.0</v>
      </c>
      <c r="W583" s="107">
        <v>0.0</v>
      </c>
      <c r="X583" s="107">
        <v>0.0</v>
      </c>
      <c r="Y583" s="107">
        <v>0.0</v>
      </c>
      <c r="Z583" s="80">
        <v>0.0</v>
      </c>
      <c r="AA583" s="140">
        <v>0.0</v>
      </c>
      <c r="AB583" s="109">
        <v>0.0</v>
      </c>
      <c r="AC583" s="109">
        <v>0.0</v>
      </c>
      <c r="AD583" s="141">
        <v>0.0</v>
      </c>
      <c r="AE583" s="80">
        <v>0.0</v>
      </c>
      <c r="AF583" s="140">
        <v>0.0</v>
      </c>
      <c r="AG583" s="109">
        <v>0.0</v>
      </c>
      <c r="AH583" s="109">
        <v>23.0</v>
      </c>
      <c r="AI583" s="141">
        <v>0.0</v>
      </c>
      <c r="AJ583" s="80">
        <v>23.0</v>
      </c>
      <c r="AK583" s="140">
        <v>0.0</v>
      </c>
      <c r="AL583" s="109">
        <v>0.0</v>
      </c>
      <c r="AM583" s="141">
        <v>0.0</v>
      </c>
      <c r="AN583" s="80">
        <v>0.0</v>
      </c>
      <c r="AO583" s="140">
        <v>0.0</v>
      </c>
      <c r="AP583" s="109">
        <v>0.0</v>
      </c>
      <c r="AQ583" s="109">
        <v>0.0</v>
      </c>
      <c r="AR583" s="80">
        <v>0.0</v>
      </c>
      <c r="AS583" s="110">
        <v>0.0</v>
      </c>
      <c r="AT583" s="110">
        <v>0.0</v>
      </c>
      <c r="AU583" s="110">
        <v>0.0</v>
      </c>
      <c r="AV583" s="142">
        <v>0.0</v>
      </c>
      <c r="AW583" s="80">
        <v>0.0</v>
      </c>
      <c r="AX583" s="113">
        <v>23.0</v>
      </c>
      <c r="AY583" s="117">
        <v>0.0</v>
      </c>
      <c r="AZ583" s="328">
        <v>23.0</v>
      </c>
      <c r="BA583" s="315">
        <v>0.0</v>
      </c>
      <c r="BB583" s="316">
        <v>23.0</v>
      </c>
      <c r="BC583" s="132" t="s">
        <v>373</v>
      </c>
      <c r="BD583" s="132" t="s">
        <v>178</v>
      </c>
      <c r="BE583" s="132" t="s">
        <v>178</v>
      </c>
      <c r="BF583" s="156"/>
      <c r="BG583" s="83">
        <v>1179108.0</v>
      </c>
      <c r="BH583" s="112">
        <v>1.0</v>
      </c>
      <c r="BI583" s="98" t="s">
        <v>155</v>
      </c>
      <c r="BJ583" s="98" t="str">
        <f t="shared" si="1"/>
        <v>NÃO</v>
      </c>
      <c r="BK583" s="98" t="str">
        <f t="shared" si="2"/>
        <v>NÃO</v>
      </c>
    </row>
    <row r="584" ht="15.75" customHeight="1">
      <c r="A584" s="111" t="s">
        <v>673</v>
      </c>
      <c r="B584" s="83" t="s">
        <v>2576</v>
      </c>
      <c r="C584" s="83" t="s">
        <v>68</v>
      </c>
      <c r="D584" s="83">
        <v>1118872.0</v>
      </c>
      <c r="E584" s="83"/>
      <c r="F584" s="83">
        <v>2.9284767E7</v>
      </c>
      <c r="G584" s="185" t="s">
        <v>6885</v>
      </c>
      <c r="H584" s="91" t="s">
        <v>2580</v>
      </c>
      <c r="I584" s="187" t="s">
        <v>149</v>
      </c>
      <c r="J584" s="136" t="s">
        <v>150</v>
      </c>
      <c r="K584" s="136" t="s">
        <v>151</v>
      </c>
      <c r="L584" s="83" t="s">
        <v>169</v>
      </c>
      <c r="M584" s="82" t="s">
        <v>6886</v>
      </c>
      <c r="N584" s="82" t="s">
        <v>6887</v>
      </c>
      <c r="O584" s="82" t="s">
        <v>6888</v>
      </c>
      <c r="P584" s="82" t="s">
        <v>6889</v>
      </c>
      <c r="Q584" s="82"/>
      <c r="R584" s="82"/>
      <c r="S584" s="82" t="s">
        <v>6890</v>
      </c>
      <c r="T584" s="138">
        <v>10.0</v>
      </c>
      <c r="U584" s="352" t="s">
        <v>6891</v>
      </c>
      <c r="V584" s="106">
        <v>0.0</v>
      </c>
      <c r="W584" s="107">
        <v>0.0</v>
      </c>
      <c r="X584" s="107">
        <v>0.0</v>
      </c>
      <c r="Y584" s="107">
        <v>0.0</v>
      </c>
      <c r="Z584" s="80">
        <v>0.0</v>
      </c>
      <c r="AA584" s="140">
        <v>0.0</v>
      </c>
      <c r="AB584" s="109">
        <v>0.0</v>
      </c>
      <c r="AC584" s="109">
        <v>0.0</v>
      </c>
      <c r="AD584" s="141">
        <v>0.0</v>
      </c>
      <c r="AE584" s="80">
        <v>0.0</v>
      </c>
      <c r="AF584" s="140">
        <v>89.0</v>
      </c>
      <c r="AG584" s="109">
        <v>64.0</v>
      </c>
      <c r="AH584" s="109">
        <v>0.0</v>
      </c>
      <c r="AI584" s="141">
        <v>56.0</v>
      </c>
      <c r="AJ584" s="80">
        <v>209.0</v>
      </c>
      <c r="AK584" s="140">
        <v>0.0</v>
      </c>
      <c r="AL584" s="109">
        <v>0.0</v>
      </c>
      <c r="AM584" s="141">
        <v>0.0</v>
      </c>
      <c r="AN584" s="80">
        <v>0.0</v>
      </c>
      <c r="AO584" s="140">
        <v>0.0</v>
      </c>
      <c r="AP584" s="109">
        <v>0.0</v>
      </c>
      <c r="AQ584" s="109">
        <v>48.0</v>
      </c>
      <c r="AR584" s="80">
        <v>48.0</v>
      </c>
      <c r="AS584" s="110">
        <v>0.0</v>
      </c>
      <c r="AT584" s="110">
        <v>0.0</v>
      </c>
      <c r="AU584" s="110">
        <v>37.0</v>
      </c>
      <c r="AV584" s="142">
        <v>0.0</v>
      </c>
      <c r="AW584" s="80">
        <v>37.0</v>
      </c>
      <c r="AX584" s="113">
        <v>294.0</v>
      </c>
      <c r="AY584" s="117">
        <v>209.0</v>
      </c>
      <c r="AZ584" s="328">
        <v>85.0</v>
      </c>
      <c r="BA584" s="315">
        <v>0.0</v>
      </c>
      <c r="BB584" s="316">
        <v>294.0</v>
      </c>
      <c r="BC584" s="132" t="s">
        <v>178</v>
      </c>
      <c r="BD584" s="132" t="s">
        <v>178</v>
      </c>
      <c r="BE584" s="132" t="s">
        <v>178</v>
      </c>
      <c r="BF584" s="123"/>
      <c r="BG584" s="83">
        <v>1118872.0</v>
      </c>
      <c r="BH584" s="112">
        <v>7.0</v>
      </c>
      <c r="BI584" s="98" t="s">
        <v>155</v>
      </c>
      <c r="BJ584" s="98" t="str">
        <f t="shared" si="1"/>
        <v>INTEGRAL</v>
      </c>
      <c r="BK584" s="98" t="str">
        <f t="shared" si="2"/>
        <v>PROFISSIONAL</v>
      </c>
    </row>
    <row r="585" ht="15.75" customHeight="1">
      <c r="A585" s="111" t="s">
        <v>673</v>
      </c>
      <c r="B585" s="83" t="s">
        <v>2576</v>
      </c>
      <c r="C585" s="83" t="s">
        <v>164</v>
      </c>
      <c r="D585" s="83">
        <v>1118872.0</v>
      </c>
      <c r="E585" s="83">
        <v>1179627.0</v>
      </c>
      <c r="F585" s="83"/>
      <c r="G585" s="185" t="s">
        <v>6896</v>
      </c>
      <c r="H585" s="91" t="s">
        <v>2590</v>
      </c>
      <c r="I585" s="187" t="s">
        <v>2591</v>
      </c>
      <c r="J585" s="136" t="s">
        <v>183</v>
      </c>
      <c r="K585" s="83" t="s">
        <v>151</v>
      </c>
      <c r="L585" s="83" t="s">
        <v>169</v>
      </c>
      <c r="M585" s="82" t="s">
        <v>6886</v>
      </c>
      <c r="N585" s="82" t="s">
        <v>6887</v>
      </c>
      <c r="O585" s="82" t="s">
        <v>6888</v>
      </c>
      <c r="P585" s="82" t="s">
        <v>6889</v>
      </c>
      <c r="Q585" s="82"/>
      <c r="R585" s="82"/>
      <c r="S585" s="82" t="s">
        <v>6890</v>
      </c>
      <c r="T585" s="138">
        <v>7.0</v>
      </c>
      <c r="U585" s="352" t="s">
        <v>6897</v>
      </c>
      <c r="V585" s="106">
        <v>0.0</v>
      </c>
      <c r="W585" s="107">
        <v>0.0</v>
      </c>
      <c r="X585" s="107">
        <v>0.0</v>
      </c>
      <c r="Y585" s="107">
        <v>0.0</v>
      </c>
      <c r="Z585" s="80">
        <v>0.0</v>
      </c>
      <c r="AA585" s="140">
        <v>0.0</v>
      </c>
      <c r="AB585" s="109">
        <v>0.0</v>
      </c>
      <c r="AC585" s="109">
        <v>0.0</v>
      </c>
      <c r="AD585" s="141">
        <v>0.0</v>
      </c>
      <c r="AE585" s="80">
        <v>0.0</v>
      </c>
      <c r="AF585" s="140">
        <v>0.0</v>
      </c>
      <c r="AG585" s="109">
        <v>107.0</v>
      </c>
      <c r="AH585" s="109">
        <v>0.0</v>
      </c>
      <c r="AI585" s="141">
        <v>0.0</v>
      </c>
      <c r="AJ585" s="80">
        <v>107.0</v>
      </c>
      <c r="AK585" s="140">
        <v>0.0</v>
      </c>
      <c r="AL585" s="109">
        <v>0.0</v>
      </c>
      <c r="AM585" s="141">
        <v>0.0</v>
      </c>
      <c r="AN585" s="80">
        <v>0.0</v>
      </c>
      <c r="AO585" s="140">
        <v>0.0</v>
      </c>
      <c r="AP585" s="109">
        <v>0.0</v>
      </c>
      <c r="AQ585" s="109">
        <v>0.0</v>
      </c>
      <c r="AR585" s="80">
        <v>0.0</v>
      </c>
      <c r="AS585" s="110">
        <v>0.0</v>
      </c>
      <c r="AT585" s="110">
        <v>0.0</v>
      </c>
      <c r="AU585" s="110">
        <v>0.0</v>
      </c>
      <c r="AV585" s="142">
        <v>0.0</v>
      </c>
      <c r="AW585" s="80">
        <v>0.0</v>
      </c>
      <c r="AX585" s="113">
        <v>107.0</v>
      </c>
      <c r="AY585" s="117">
        <v>107.0</v>
      </c>
      <c r="AZ585" s="328">
        <v>0.0</v>
      </c>
      <c r="BA585" s="315">
        <v>3.0</v>
      </c>
      <c r="BB585" s="316">
        <v>110.0</v>
      </c>
      <c r="BC585" s="132" t="s">
        <v>373</v>
      </c>
      <c r="BD585" s="132" t="s">
        <v>178</v>
      </c>
      <c r="BE585" s="132" t="s">
        <v>178</v>
      </c>
      <c r="BF585" s="156"/>
      <c r="BG585" s="83">
        <v>1179627.0</v>
      </c>
      <c r="BH585" s="112">
        <v>4.0</v>
      </c>
      <c r="BI585" s="98" t="s">
        <v>155</v>
      </c>
      <c r="BJ585" s="98" t="str">
        <f t="shared" si="1"/>
        <v>NÃO</v>
      </c>
      <c r="BK585" s="98" t="str">
        <f t="shared" si="2"/>
        <v>NÃO</v>
      </c>
    </row>
    <row r="586" ht="15.75" customHeight="1">
      <c r="A586" s="111" t="s">
        <v>673</v>
      </c>
      <c r="B586" s="83" t="s">
        <v>2620</v>
      </c>
      <c r="C586" s="83" t="s">
        <v>68</v>
      </c>
      <c r="D586" s="83">
        <v>1112785.0</v>
      </c>
      <c r="E586" s="83"/>
      <c r="F586" s="83">
        <v>2.9312469E7</v>
      </c>
      <c r="G586" s="185" t="s">
        <v>6901</v>
      </c>
      <c r="H586" s="91" t="s">
        <v>2625</v>
      </c>
      <c r="I586" s="114" t="s">
        <v>149</v>
      </c>
      <c r="J586" s="83" t="s">
        <v>150</v>
      </c>
      <c r="K586" s="83" t="s">
        <v>151</v>
      </c>
      <c r="L586" s="83" t="s">
        <v>169</v>
      </c>
      <c r="M586" s="82" t="s">
        <v>6902</v>
      </c>
      <c r="N586" s="82" t="s">
        <v>6904</v>
      </c>
      <c r="O586" s="82"/>
      <c r="P586" s="82"/>
      <c r="Q586" s="82"/>
      <c r="R586" s="82"/>
      <c r="S586" s="82" t="s">
        <v>6908</v>
      </c>
      <c r="T586" s="138">
        <v>6.0</v>
      </c>
      <c r="U586" s="389" t="s">
        <v>6909</v>
      </c>
      <c r="V586" s="106">
        <v>0.0</v>
      </c>
      <c r="W586" s="107">
        <v>0.0</v>
      </c>
      <c r="X586" s="107">
        <v>0.0</v>
      </c>
      <c r="Y586" s="107">
        <v>0.0</v>
      </c>
      <c r="Z586" s="80">
        <v>0.0</v>
      </c>
      <c r="AA586" s="140">
        <v>0.0</v>
      </c>
      <c r="AB586" s="109">
        <v>0.0</v>
      </c>
      <c r="AC586" s="109">
        <v>0.0</v>
      </c>
      <c r="AD586" s="141">
        <v>0.0</v>
      </c>
      <c r="AE586" s="80">
        <v>0.0</v>
      </c>
      <c r="AF586" s="140">
        <v>140.0</v>
      </c>
      <c r="AG586" s="109">
        <v>0.0</v>
      </c>
      <c r="AH586" s="109">
        <v>17.0</v>
      </c>
      <c r="AI586" s="141">
        <v>0.0</v>
      </c>
      <c r="AJ586" s="80">
        <v>157.0</v>
      </c>
      <c r="AK586" s="140">
        <v>0.0</v>
      </c>
      <c r="AL586" s="109">
        <v>0.0</v>
      </c>
      <c r="AM586" s="141">
        <v>0.0</v>
      </c>
      <c r="AN586" s="80">
        <v>0.0</v>
      </c>
      <c r="AO586" s="140">
        <v>0.0</v>
      </c>
      <c r="AP586" s="109">
        <v>0.0</v>
      </c>
      <c r="AQ586" s="109">
        <v>60.0</v>
      </c>
      <c r="AR586" s="80">
        <v>60.0</v>
      </c>
      <c r="AS586" s="110">
        <v>0.0</v>
      </c>
      <c r="AT586" s="110">
        <v>0.0</v>
      </c>
      <c r="AU586" s="110">
        <v>0.0</v>
      </c>
      <c r="AV586" s="142">
        <v>0.0</v>
      </c>
      <c r="AW586" s="80">
        <v>0.0</v>
      </c>
      <c r="AX586" s="113">
        <v>217.0</v>
      </c>
      <c r="AY586" s="117">
        <v>140.0</v>
      </c>
      <c r="AZ586" s="328">
        <v>77.0</v>
      </c>
      <c r="BA586" s="315">
        <v>0.0</v>
      </c>
      <c r="BB586" s="316">
        <v>217.0</v>
      </c>
      <c r="BC586" s="132" t="s">
        <v>178</v>
      </c>
      <c r="BD586" s="132" t="s">
        <v>178</v>
      </c>
      <c r="BE586" s="132" t="s">
        <v>178</v>
      </c>
      <c r="BF586" s="123"/>
      <c r="BG586" s="83">
        <v>1112785.0</v>
      </c>
      <c r="BH586" s="112">
        <v>6.0</v>
      </c>
      <c r="BI586" s="98" t="s">
        <v>155</v>
      </c>
      <c r="BJ586" s="98" t="str">
        <f t="shared" si="1"/>
        <v>NÃO</v>
      </c>
      <c r="BK586" s="98" t="str">
        <f t="shared" si="2"/>
        <v>NÃO</v>
      </c>
    </row>
    <row r="587" ht="15.75" customHeight="1">
      <c r="A587" s="111" t="s">
        <v>723</v>
      </c>
      <c r="B587" s="83" t="s">
        <v>2442</v>
      </c>
      <c r="C587" s="83" t="s">
        <v>68</v>
      </c>
      <c r="D587" s="83">
        <v>1145462.0</v>
      </c>
      <c r="E587" s="83"/>
      <c r="F587" s="83">
        <v>2.922271E7</v>
      </c>
      <c r="G587" s="185" t="s">
        <v>2443</v>
      </c>
      <c r="H587" s="91" t="s">
        <v>6915</v>
      </c>
      <c r="I587" s="114" t="s">
        <v>149</v>
      </c>
      <c r="J587" s="83" t="s">
        <v>150</v>
      </c>
      <c r="K587" s="83" t="s">
        <v>151</v>
      </c>
      <c r="L587" s="83" t="s">
        <v>230</v>
      </c>
      <c r="M587" s="82" t="s">
        <v>6916</v>
      </c>
      <c r="N587" s="82" t="s">
        <v>6917</v>
      </c>
      <c r="O587" s="82" t="s">
        <v>6918</v>
      </c>
      <c r="P587" s="82" t="s">
        <v>6919</v>
      </c>
      <c r="Q587" s="82" t="s">
        <v>6920</v>
      </c>
      <c r="R587" s="82" t="s">
        <v>6921</v>
      </c>
      <c r="S587" s="82" t="s">
        <v>6922</v>
      </c>
      <c r="T587" s="138">
        <v>27.0</v>
      </c>
      <c r="U587" s="389" t="s">
        <v>6923</v>
      </c>
      <c r="V587" s="106">
        <v>0.0</v>
      </c>
      <c r="W587" s="107">
        <v>0.0</v>
      </c>
      <c r="X587" s="107">
        <v>0.0</v>
      </c>
      <c r="Y587" s="107">
        <v>0.0</v>
      </c>
      <c r="Z587" s="80">
        <v>0.0</v>
      </c>
      <c r="AA587" s="140">
        <v>0.0</v>
      </c>
      <c r="AB587" s="109">
        <v>0.0</v>
      </c>
      <c r="AC587" s="109">
        <v>0.0</v>
      </c>
      <c r="AD587" s="141">
        <v>0.0</v>
      </c>
      <c r="AE587" s="80">
        <v>0.0</v>
      </c>
      <c r="AF587" s="140">
        <v>341.0</v>
      </c>
      <c r="AG587" s="109">
        <v>100.0</v>
      </c>
      <c r="AH587" s="109">
        <v>0.0</v>
      </c>
      <c r="AI587" s="141">
        <v>54.0</v>
      </c>
      <c r="AJ587" s="80">
        <v>495.0</v>
      </c>
      <c r="AK587" s="140">
        <v>0.0</v>
      </c>
      <c r="AL587" s="109">
        <v>0.0</v>
      </c>
      <c r="AM587" s="141">
        <v>0.0</v>
      </c>
      <c r="AN587" s="80">
        <v>0.0</v>
      </c>
      <c r="AO587" s="140">
        <v>0.0</v>
      </c>
      <c r="AP587" s="109">
        <v>0.0</v>
      </c>
      <c r="AQ587" s="109">
        <v>471.0</v>
      </c>
      <c r="AR587" s="80">
        <v>471.0</v>
      </c>
      <c r="AS587" s="110">
        <v>0.0</v>
      </c>
      <c r="AT587" s="110">
        <v>0.0</v>
      </c>
      <c r="AU587" s="110">
        <v>0.0</v>
      </c>
      <c r="AV587" s="142">
        <v>0.0</v>
      </c>
      <c r="AW587" s="80">
        <v>0.0</v>
      </c>
      <c r="AX587" s="113">
        <v>966.0</v>
      </c>
      <c r="AY587" s="117">
        <v>495.0</v>
      </c>
      <c r="AZ587" s="328">
        <v>471.0</v>
      </c>
      <c r="BA587" s="315">
        <v>1.0</v>
      </c>
      <c r="BB587" s="316">
        <v>967.0</v>
      </c>
      <c r="BC587" s="132" t="s">
        <v>178</v>
      </c>
      <c r="BD587" s="132" t="s">
        <v>178</v>
      </c>
      <c r="BE587" s="132" t="s">
        <v>178</v>
      </c>
      <c r="BF587" s="156"/>
      <c r="BG587" s="83">
        <v>1145462.0</v>
      </c>
      <c r="BH587" s="112">
        <v>24.0</v>
      </c>
      <c r="BI587" s="98" t="s">
        <v>155</v>
      </c>
      <c r="BJ587" s="98" t="str">
        <f t="shared" si="1"/>
        <v>INTEGRAL</v>
      </c>
      <c r="BK587" s="98" t="str">
        <f t="shared" si="2"/>
        <v>NÃO</v>
      </c>
    </row>
    <row r="588" ht="15.75" customHeight="1">
      <c r="A588" s="111" t="s">
        <v>723</v>
      </c>
      <c r="B588" s="172" t="s">
        <v>2442</v>
      </c>
      <c r="C588" s="136" t="s">
        <v>68</v>
      </c>
      <c r="D588" s="136">
        <v>1109199.0</v>
      </c>
      <c r="E588" s="136"/>
      <c r="F588" s="136">
        <v>2.9222583E7</v>
      </c>
      <c r="G588" s="147" t="s">
        <v>2447</v>
      </c>
      <c r="H588" s="91" t="s">
        <v>6924</v>
      </c>
      <c r="I588" s="114" t="s">
        <v>149</v>
      </c>
      <c r="J588" s="83" t="s">
        <v>150</v>
      </c>
      <c r="K588" s="83" t="s">
        <v>151</v>
      </c>
      <c r="L588" s="83" t="s">
        <v>152</v>
      </c>
      <c r="M588" s="82" t="s">
        <v>6926</v>
      </c>
      <c r="N588" s="82" t="s">
        <v>6927</v>
      </c>
      <c r="O588" s="82" t="s">
        <v>6928</v>
      </c>
      <c r="P588" s="82" t="s">
        <v>6929</v>
      </c>
      <c r="Q588" s="82" t="s">
        <v>6930</v>
      </c>
      <c r="R588" s="82" t="s">
        <v>6931</v>
      </c>
      <c r="S588" s="82" t="s">
        <v>6932</v>
      </c>
      <c r="T588" s="138">
        <v>14.0</v>
      </c>
      <c r="U588" s="387" t="s">
        <v>6933</v>
      </c>
      <c r="V588" s="106">
        <v>0.0</v>
      </c>
      <c r="W588" s="107">
        <v>0.0</v>
      </c>
      <c r="X588" s="107">
        <v>0.0</v>
      </c>
      <c r="Y588" s="107">
        <v>0.0</v>
      </c>
      <c r="Z588" s="80">
        <v>0.0</v>
      </c>
      <c r="AA588" s="140">
        <v>0.0</v>
      </c>
      <c r="AB588" s="109">
        <v>0.0</v>
      </c>
      <c r="AC588" s="109">
        <v>0.0</v>
      </c>
      <c r="AD588" s="141">
        <v>0.0</v>
      </c>
      <c r="AE588" s="80">
        <v>0.0</v>
      </c>
      <c r="AF588" s="140">
        <v>0.0</v>
      </c>
      <c r="AG588" s="109">
        <v>0.0</v>
      </c>
      <c r="AH588" s="109">
        <v>27.0</v>
      </c>
      <c r="AI588" s="141">
        <v>384.0</v>
      </c>
      <c r="AJ588" s="80">
        <v>411.0</v>
      </c>
      <c r="AK588" s="140">
        <v>0.0</v>
      </c>
      <c r="AL588" s="109">
        <v>0.0</v>
      </c>
      <c r="AM588" s="141">
        <v>0.0</v>
      </c>
      <c r="AN588" s="80">
        <v>0.0</v>
      </c>
      <c r="AO588" s="140">
        <v>0.0</v>
      </c>
      <c r="AP588" s="109">
        <v>0.0</v>
      </c>
      <c r="AQ588" s="109">
        <v>215.0</v>
      </c>
      <c r="AR588" s="80">
        <v>215.0</v>
      </c>
      <c r="AS588" s="110">
        <v>0.0</v>
      </c>
      <c r="AT588" s="110">
        <v>0.0</v>
      </c>
      <c r="AU588" s="110">
        <v>0.0</v>
      </c>
      <c r="AV588" s="142">
        <v>0.0</v>
      </c>
      <c r="AW588" s="80">
        <v>0.0</v>
      </c>
      <c r="AX588" s="113">
        <v>626.0</v>
      </c>
      <c r="AY588" s="117">
        <v>384.0</v>
      </c>
      <c r="AZ588" s="328">
        <v>242.0</v>
      </c>
      <c r="BA588" s="315">
        <v>0.0</v>
      </c>
      <c r="BB588" s="316">
        <v>626.0</v>
      </c>
      <c r="BC588" s="132" t="s">
        <v>178</v>
      </c>
      <c r="BD588" s="132" t="s">
        <v>178</v>
      </c>
      <c r="BE588" s="132" t="s">
        <v>178</v>
      </c>
      <c r="BF588" s="123"/>
      <c r="BG588" s="136">
        <v>1109199.0</v>
      </c>
      <c r="BH588" s="112">
        <v>11.0</v>
      </c>
      <c r="BI588" s="98" t="s">
        <v>155</v>
      </c>
      <c r="BJ588" s="98" t="str">
        <f t="shared" si="1"/>
        <v>INTEGRAL</v>
      </c>
      <c r="BK588" s="98" t="str">
        <f t="shared" si="2"/>
        <v>NÃO</v>
      </c>
    </row>
    <row r="589" ht="15.75" customHeight="1">
      <c r="A589" s="111" t="s">
        <v>723</v>
      </c>
      <c r="B589" s="83" t="s">
        <v>2442</v>
      </c>
      <c r="C589" s="83" t="s">
        <v>68</v>
      </c>
      <c r="D589" s="83">
        <v>1167180.0</v>
      </c>
      <c r="E589" s="83"/>
      <c r="F589" s="83">
        <v>2.9223016E7</v>
      </c>
      <c r="G589" s="114" t="s">
        <v>2639</v>
      </c>
      <c r="H589" s="91" t="s">
        <v>2641</v>
      </c>
      <c r="I589" s="114" t="s">
        <v>149</v>
      </c>
      <c r="J589" s="83" t="s">
        <v>2642</v>
      </c>
      <c r="K589" s="83" t="s">
        <v>151</v>
      </c>
      <c r="L589" s="83" t="s">
        <v>230</v>
      </c>
      <c r="M589" s="82" t="s">
        <v>6937</v>
      </c>
      <c r="N589" s="82" t="s">
        <v>6938</v>
      </c>
      <c r="O589" s="82" t="s">
        <v>6939</v>
      </c>
      <c r="P589" s="82" t="s">
        <v>6940</v>
      </c>
      <c r="Q589" s="82"/>
      <c r="R589" s="82"/>
      <c r="S589" s="82" t="s">
        <v>6941</v>
      </c>
      <c r="T589" s="138">
        <v>16.0</v>
      </c>
      <c r="U589" s="414" t="s">
        <v>6942</v>
      </c>
      <c r="V589" s="106">
        <v>0.0</v>
      </c>
      <c r="W589" s="107">
        <v>0.0</v>
      </c>
      <c r="X589" s="107">
        <v>0.0</v>
      </c>
      <c r="Y589" s="107">
        <v>0.0</v>
      </c>
      <c r="Z589" s="80">
        <v>0.0</v>
      </c>
      <c r="AA589" s="140">
        <v>0.0</v>
      </c>
      <c r="AB589" s="109">
        <v>0.0</v>
      </c>
      <c r="AC589" s="109">
        <v>0.0</v>
      </c>
      <c r="AD589" s="141">
        <v>0.0</v>
      </c>
      <c r="AE589" s="80">
        <v>0.0</v>
      </c>
      <c r="AF589" s="140">
        <v>0.0</v>
      </c>
      <c r="AG589" s="109">
        <v>0.0</v>
      </c>
      <c r="AH589" s="109">
        <v>0.0</v>
      </c>
      <c r="AI589" s="141">
        <v>0.0</v>
      </c>
      <c r="AJ589" s="80">
        <v>0.0</v>
      </c>
      <c r="AK589" s="140">
        <v>0.0</v>
      </c>
      <c r="AL589" s="109">
        <v>0.0</v>
      </c>
      <c r="AM589" s="141">
        <v>0.0</v>
      </c>
      <c r="AN589" s="80">
        <v>0.0</v>
      </c>
      <c r="AO589" s="140">
        <v>0.0</v>
      </c>
      <c r="AP589" s="109">
        <v>0.0</v>
      </c>
      <c r="AQ589" s="109">
        <v>0.0</v>
      </c>
      <c r="AR589" s="80">
        <v>0.0</v>
      </c>
      <c r="AS589" s="110">
        <v>322.0</v>
      </c>
      <c r="AT589" s="110">
        <v>28.0</v>
      </c>
      <c r="AU589" s="110">
        <v>316.0</v>
      </c>
      <c r="AV589" s="142">
        <v>0.0</v>
      </c>
      <c r="AW589" s="80">
        <v>666.0</v>
      </c>
      <c r="AX589" s="113">
        <v>666.0</v>
      </c>
      <c r="AY589" s="117">
        <v>350.0</v>
      </c>
      <c r="AZ589" s="328">
        <v>316.0</v>
      </c>
      <c r="BA589" s="315">
        <v>0.0</v>
      </c>
      <c r="BB589" s="316">
        <v>666.0</v>
      </c>
      <c r="BC589" s="132" t="s">
        <v>178</v>
      </c>
      <c r="BD589" s="132" t="s">
        <v>522</v>
      </c>
      <c r="BE589" s="132" t="s">
        <v>178</v>
      </c>
      <c r="BF589" s="156"/>
      <c r="BG589" s="83">
        <v>1167180.0</v>
      </c>
      <c r="BH589" s="112">
        <v>12.0</v>
      </c>
      <c r="BI589" s="98" t="s">
        <v>176</v>
      </c>
      <c r="BJ589" s="98" t="str">
        <f t="shared" si="1"/>
        <v>NÃO</v>
      </c>
      <c r="BK589" s="98" t="str">
        <f t="shared" si="2"/>
        <v>PROFISSIONAL</v>
      </c>
    </row>
    <row r="590" ht="15.75" customHeight="1">
      <c r="A590" s="111" t="s">
        <v>723</v>
      </c>
      <c r="B590" s="83" t="s">
        <v>2654</v>
      </c>
      <c r="C590" s="83" t="s">
        <v>68</v>
      </c>
      <c r="D590" s="83">
        <v>1117175.0</v>
      </c>
      <c r="E590" s="83"/>
      <c r="F590" s="83">
        <v>2.9223687E7</v>
      </c>
      <c r="G590" s="114" t="s">
        <v>6948</v>
      </c>
      <c r="H590" s="91" t="s">
        <v>2656</v>
      </c>
      <c r="I590" s="114" t="s">
        <v>149</v>
      </c>
      <c r="J590" s="83" t="s">
        <v>2571</v>
      </c>
      <c r="K590" s="83" t="s">
        <v>151</v>
      </c>
      <c r="L590" s="83" t="s">
        <v>76</v>
      </c>
      <c r="M590" s="82" t="s">
        <v>6949</v>
      </c>
      <c r="N590" s="82" t="s">
        <v>6950</v>
      </c>
      <c r="O590" s="82"/>
      <c r="P590" s="82"/>
      <c r="Q590" s="82"/>
      <c r="R590" s="82"/>
      <c r="S590" s="82" t="s">
        <v>6951</v>
      </c>
      <c r="T590" s="138">
        <v>7.0</v>
      </c>
      <c r="U590" s="419" t="s">
        <v>6952</v>
      </c>
      <c r="V590" s="106">
        <v>0.0</v>
      </c>
      <c r="W590" s="107">
        <v>0.0</v>
      </c>
      <c r="X590" s="107">
        <v>0.0</v>
      </c>
      <c r="Y590" s="107">
        <v>0.0</v>
      </c>
      <c r="Z590" s="80">
        <v>0.0</v>
      </c>
      <c r="AA590" s="140">
        <v>0.0</v>
      </c>
      <c r="AB590" s="109">
        <v>0.0</v>
      </c>
      <c r="AC590" s="109">
        <v>0.0</v>
      </c>
      <c r="AD590" s="141">
        <v>0.0</v>
      </c>
      <c r="AE590" s="80">
        <v>0.0</v>
      </c>
      <c r="AF590" s="140">
        <v>170.0</v>
      </c>
      <c r="AG590" s="109">
        <v>113.0</v>
      </c>
      <c r="AH590" s="109">
        <v>20.0</v>
      </c>
      <c r="AI590" s="141">
        <v>53.0</v>
      </c>
      <c r="AJ590" s="80">
        <v>356.0</v>
      </c>
      <c r="AK590" s="140">
        <v>0.0</v>
      </c>
      <c r="AL590" s="109">
        <v>0.0</v>
      </c>
      <c r="AM590" s="141">
        <v>0.0</v>
      </c>
      <c r="AN590" s="80">
        <v>0.0</v>
      </c>
      <c r="AO590" s="140">
        <v>0.0</v>
      </c>
      <c r="AP590" s="109">
        <v>0.0</v>
      </c>
      <c r="AQ590" s="109">
        <v>106.0</v>
      </c>
      <c r="AR590" s="80">
        <v>106.0</v>
      </c>
      <c r="AS590" s="110">
        <v>0.0</v>
      </c>
      <c r="AT590" s="110">
        <v>0.0</v>
      </c>
      <c r="AU590" s="110">
        <v>0.0</v>
      </c>
      <c r="AV590" s="142">
        <v>0.0</v>
      </c>
      <c r="AW590" s="80">
        <v>0.0</v>
      </c>
      <c r="AX590" s="113">
        <v>462.0</v>
      </c>
      <c r="AY590" s="117">
        <v>336.0</v>
      </c>
      <c r="AZ590" s="328">
        <v>126.0</v>
      </c>
      <c r="BA590" s="315">
        <v>0.0</v>
      </c>
      <c r="BB590" s="316">
        <v>462.0</v>
      </c>
      <c r="BC590" s="132" t="s">
        <v>373</v>
      </c>
      <c r="BD590" s="132" t="s">
        <v>178</v>
      </c>
      <c r="BE590" s="132" t="s">
        <v>178</v>
      </c>
      <c r="BF590" s="123"/>
      <c r="BG590" s="83">
        <v>1117175.0</v>
      </c>
      <c r="BH590" s="112">
        <v>7.0</v>
      </c>
      <c r="BI590" s="98" t="s">
        <v>155</v>
      </c>
      <c r="BJ590" s="98" t="str">
        <f t="shared" si="1"/>
        <v>INTEGRAL</v>
      </c>
      <c r="BK590" s="98" t="str">
        <f t="shared" si="2"/>
        <v>NÃO</v>
      </c>
    </row>
    <row r="591" ht="15.75" customHeight="1">
      <c r="A591" s="111" t="s">
        <v>723</v>
      </c>
      <c r="B591" s="83" t="s">
        <v>2654</v>
      </c>
      <c r="C591" s="83" t="s">
        <v>68</v>
      </c>
      <c r="D591" s="83">
        <v>1176399.0</v>
      </c>
      <c r="E591" s="83"/>
      <c r="F591" s="83">
        <v>2.9369053E7</v>
      </c>
      <c r="G591" s="114" t="s">
        <v>6957</v>
      </c>
      <c r="H591" s="91" t="s">
        <v>2659</v>
      </c>
      <c r="I591" s="114" t="s">
        <v>149</v>
      </c>
      <c r="J591" s="83" t="s">
        <v>150</v>
      </c>
      <c r="K591" s="83" t="s">
        <v>151</v>
      </c>
      <c r="L591" s="83" t="s">
        <v>169</v>
      </c>
      <c r="M591" s="82" t="s">
        <v>6960</v>
      </c>
      <c r="N591" s="82" t="s">
        <v>6961</v>
      </c>
      <c r="O591" s="82" t="s">
        <v>6963</v>
      </c>
      <c r="P591" s="82" t="s">
        <v>6964</v>
      </c>
      <c r="Q591" s="82"/>
      <c r="R591" s="82"/>
      <c r="S591" s="82" t="s">
        <v>6965</v>
      </c>
      <c r="T591" s="138">
        <v>8.0</v>
      </c>
      <c r="U591" s="405" t="s">
        <v>6966</v>
      </c>
      <c r="V591" s="106">
        <v>0.0</v>
      </c>
      <c r="W591" s="107">
        <v>0.0</v>
      </c>
      <c r="X591" s="107">
        <v>0.0</v>
      </c>
      <c r="Y591" s="107">
        <v>0.0</v>
      </c>
      <c r="Z591" s="80">
        <v>0.0</v>
      </c>
      <c r="AA591" s="140">
        <v>0.0</v>
      </c>
      <c r="AB591" s="109">
        <v>0.0</v>
      </c>
      <c r="AC591" s="109">
        <v>0.0</v>
      </c>
      <c r="AD591" s="141">
        <v>0.0</v>
      </c>
      <c r="AE591" s="80">
        <v>0.0</v>
      </c>
      <c r="AF591" s="140">
        <v>92.0</v>
      </c>
      <c r="AG591" s="109">
        <v>74.0</v>
      </c>
      <c r="AH591" s="109">
        <v>0.0</v>
      </c>
      <c r="AI591" s="141">
        <v>134.0</v>
      </c>
      <c r="AJ591" s="80">
        <v>300.0</v>
      </c>
      <c r="AK591" s="140">
        <v>0.0</v>
      </c>
      <c r="AL591" s="109">
        <v>0.0</v>
      </c>
      <c r="AM591" s="141">
        <v>0.0</v>
      </c>
      <c r="AN591" s="80">
        <v>0.0</v>
      </c>
      <c r="AO591" s="140">
        <v>0.0</v>
      </c>
      <c r="AP591" s="109">
        <v>0.0</v>
      </c>
      <c r="AQ591" s="109">
        <v>74.0</v>
      </c>
      <c r="AR591" s="80">
        <v>74.0</v>
      </c>
      <c r="AS591" s="110">
        <v>29.0</v>
      </c>
      <c r="AT591" s="110">
        <v>17.0</v>
      </c>
      <c r="AU591" s="110">
        <v>39.0</v>
      </c>
      <c r="AV591" s="142">
        <v>0.0</v>
      </c>
      <c r="AW591" s="80">
        <v>85.0</v>
      </c>
      <c r="AX591" s="113">
        <v>459.0</v>
      </c>
      <c r="AY591" s="117">
        <v>346.0</v>
      </c>
      <c r="AZ591" s="328">
        <v>113.0</v>
      </c>
      <c r="BA591" s="315">
        <v>0.0</v>
      </c>
      <c r="BB591" s="316">
        <v>459.0</v>
      </c>
      <c r="BC591" s="132" t="s">
        <v>178</v>
      </c>
      <c r="BD591" s="132" t="s">
        <v>178</v>
      </c>
      <c r="BE591" s="132" t="s">
        <v>178</v>
      </c>
      <c r="BF591" s="156"/>
      <c r="BG591" s="83">
        <v>1176399.0</v>
      </c>
      <c r="BH591" s="112">
        <v>7.0</v>
      </c>
      <c r="BI591" s="98" t="s">
        <v>155</v>
      </c>
      <c r="BJ591" s="98" t="str">
        <f t="shared" si="1"/>
        <v>INTEGRAL</v>
      </c>
      <c r="BK591" s="98" t="str">
        <f t="shared" si="2"/>
        <v>PROFISSIONAL</v>
      </c>
    </row>
    <row r="592" ht="15.75" customHeight="1">
      <c r="A592" s="111" t="s">
        <v>723</v>
      </c>
      <c r="B592" s="136" t="s">
        <v>2661</v>
      </c>
      <c r="C592" s="136" t="s">
        <v>68</v>
      </c>
      <c r="D592" s="83">
        <v>1178045.0</v>
      </c>
      <c r="E592" s="83"/>
      <c r="F592" s="83">
        <v>2.9429129E7</v>
      </c>
      <c r="G592" s="187" t="s">
        <v>6970</v>
      </c>
      <c r="H592" s="91" t="s">
        <v>2663</v>
      </c>
      <c r="I592" s="187" t="s">
        <v>149</v>
      </c>
      <c r="J592" s="83" t="s">
        <v>150</v>
      </c>
      <c r="K592" s="83" t="s">
        <v>151</v>
      </c>
      <c r="L592" s="83" t="s">
        <v>169</v>
      </c>
      <c r="M592" s="82" t="s">
        <v>6972</v>
      </c>
      <c r="N592" s="82" t="s">
        <v>6973</v>
      </c>
      <c r="O592" s="82" t="s">
        <v>6974</v>
      </c>
      <c r="P592" s="82" t="s">
        <v>6975</v>
      </c>
      <c r="Q592" s="82"/>
      <c r="R592" s="82"/>
      <c r="S592" s="82" t="s">
        <v>6976</v>
      </c>
      <c r="T592" s="138">
        <v>6.0</v>
      </c>
      <c r="U592" s="433" t="s">
        <v>6977</v>
      </c>
      <c r="V592" s="106">
        <v>0.0</v>
      </c>
      <c r="W592" s="107">
        <v>0.0</v>
      </c>
      <c r="X592" s="107">
        <v>0.0</v>
      </c>
      <c r="Y592" s="107">
        <v>0.0</v>
      </c>
      <c r="Z592" s="80">
        <v>0.0</v>
      </c>
      <c r="AA592" s="140">
        <v>0.0</v>
      </c>
      <c r="AB592" s="109">
        <v>0.0</v>
      </c>
      <c r="AC592" s="109">
        <v>0.0</v>
      </c>
      <c r="AD592" s="141">
        <v>0.0</v>
      </c>
      <c r="AE592" s="80">
        <v>0.0</v>
      </c>
      <c r="AF592" s="140">
        <v>0.0</v>
      </c>
      <c r="AG592" s="109">
        <v>0.0</v>
      </c>
      <c r="AH592" s="109">
        <v>0.0</v>
      </c>
      <c r="AI592" s="141">
        <v>149.0</v>
      </c>
      <c r="AJ592" s="80">
        <v>149.0</v>
      </c>
      <c r="AK592" s="140">
        <v>0.0</v>
      </c>
      <c r="AL592" s="109">
        <v>0.0</v>
      </c>
      <c r="AM592" s="141">
        <v>0.0</v>
      </c>
      <c r="AN592" s="80">
        <v>0.0</v>
      </c>
      <c r="AO592" s="140">
        <v>0.0</v>
      </c>
      <c r="AP592" s="109">
        <v>0.0</v>
      </c>
      <c r="AQ592" s="109">
        <v>57.0</v>
      </c>
      <c r="AR592" s="80">
        <v>57.0</v>
      </c>
      <c r="AS592" s="110">
        <v>0.0</v>
      </c>
      <c r="AT592" s="110">
        <v>0.0</v>
      </c>
      <c r="AU592" s="110">
        <v>0.0</v>
      </c>
      <c r="AV592" s="142">
        <v>0.0</v>
      </c>
      <c r="AW592" s="80">
        <v>0.0</v>
      </c>
      <c r="AX592" s="113">
        <v>206.0</v>
      </c>
      <c r="AY592" s="117">
        <v>149.0</v>
      </c>
      <c r="AZ592" s="328">
        <v>57.0</v>
      </c>
      <c r="BA592" s="315">
        <v>0.0</v>
      </c>
      <c r="BB592" s="316">
        <v>206.0</v>
      </c>
      <c r="BC592" s="132" t="s">
        <v>178</v>
      </c>
      <c r="BD592" s="132" t="s">
        <v>178</v>
      </c>
      <c r="BE592" s="132" t="s">
        <v>178</v>
      </c>
      <c r="BF592" s="123"/>
      <c r="BG592" s="83">
        <v>1178045.0</v>
      </c>
      <c r="BH592" s="112">
        <v>6.0</v>
      </c>
      <c r="BI592" s="98" t="s">
        <v>155</v>
      </c>
      <c r="BJ592" s="98" t="str">
        <f t="shared" si="1"/>
        <v>INTEGRAL</v>
      </c>
      <c r="BK592" s="98" t="str">
        <f t="shared" si="2"/>
        <v>NÃO</v>
      </c>
    </row>
    <row r="593" ht="15.75" customHeight="1">
      <c r="A593" s="111" t="s">
        <v>723</v>
      </c>
      <c r="B593" s="136" t="s">
        <v>2661</v>
      </c>
      <c r="C593" s="136" t="s">
        <v>164</v>
      </c>
      <c r="D593" s="83">
        <v>1178045.0</v>
      </c>
      <c r="E593" s="83">
        <v>1178616.0</v>
      </c>
      <c r="F593" s="83"/>
      <c r="G593" s="187" t="s">
        <v>6983</v>
      </c>
      <c r="H593" s="91" t="s">
        <v>2666</v>
      </c>
      <c r="I593" s="187" t="s">
        <v>2667</v>
      </c>
      <c r="J593" s="83" t="s">
        <v>2668</v>
      </c>
      <c r="K593" s="83" t="s">
        <v>168</v>
      </c>
      <c r="L593" s="83" t="s">
        <v>169</v>
      </c>
      <c r="M593" s="82" t="s">
        <v>6972</v>
      </c>
      <c r="N593" s="82" t="s">
        <v>6973</v>
      </c>
      <c r="O593" s="82" t="s">
        <v>6974</v>
      </c>
      <c r="P593" s="82" t="s">
        <v>6975</v>
      </c>
      <c r="Q593" s="82"/>
      <c r="R593" s="82"/>
      <c r="S593" s="82" t="s">
        <v>6976</v>
      </c>
      <c r="T593" s="138">
        <v>3.0</v>
      </c>
      <c r="U593" s="420">
        <v>3.0</v>
      </c>
      <c r="V593" s="106">
        <v>0.0</v>
      </c>
      <c r="W593" s="107">
        <v>0.0</v>
      </c>
      <c r="X593" s="107">
        <v>0.0</v>
      </c>
      <c r="Y593" s="107">
        <v>0.0</v>
      </c>
      <c r="Z593" s="80">
        <v>0.0</v>
      </c>
      <c r="AA593" s="140">
        <v>0.0</v>
      </c>
      <c r="AB593" s="109">
        <v>0.0</v>
      </c>
      <c r="AC593" s="109">
        <v>0.0</v>
      </c>
      <c r="AD593" s="141">
        <v>0.0</v>
      </c>
      <c r="AE593" s="80">
        <v>0.0</v>
      </c>
      <c r="AF593" s="140">
        <v>0.0</v>
      </c>
      <c r="AG593" s="109">
        <v>0.0</v>
      </c>
      <c r="AH593" s="109">
        <v>11.0</v>
      </c>
      <c r="AI593" s="141">
        <v>0.0</v>
      </c>
      <c r="AJ593" s="80">
        <v>11.0</v>
      </c>
      <c r="AK593" s="140">
        <v>0.0</v>
      </c>
      <c r="AL593" s="109">
        <v>0.0</v>
      </c>
      <c r="AM593" s="141">
        <v>0.0</v>
      </c>
      <c r="AN593" s="80">
        <v>0.0</v>
      </c>
      <c r="AO593" s="140">
        <v>0.0</v>
      </c>
      <c r="AP593" s="109">
        <v>0.0</v>
      </c>
      <c r="AQ593" s="109">
        <v>15.0</v>
      </c>
      <c r="AR593" s="80">
        <v>15.0</v>
      </c>
      <c r="AS593" s="110">
        <v>0.0</v>
      </c>
      <c r="AT593" s="110">
        <v>0.0</v>
      </c>
      <c r="AU593" s="110">
        <v>0.0</v>
      </c>
      <c r="AV593" s="142">
        <v>0.0</v>
      </c>
      <c r="AW593" s="80">
        <v>0.0</v>
      </c>
      <c r="AX593" s="113">
        <v>26.0</v>
      </c>
      <c r="AY593" s="117">
        <v>0.0</v>
      </c>
      <c r="AZ593" s="328">
        <v>26.0</v>
      </c>
      <c r="BA593" s="315">
        <v>0.0</v>
      </c>
      <c r="BB593" s="316">
        <v>26.0</v>
      </c>
      <c r="BC593" s="132" t="s">
        <v>373</v>
      </c>
      <c r="BD593" s="132" t="s">
        <v>178</v>
      </c>
      <c r="BE593" s="132" t="s">
        <v>178</v>
      </c>
      <c r="BF593" s="156"/>
      <c r="BG593" s="83">
        <v>1178616.0</v>
      </c>
      <c r="BH593" s="112">
        <v>3.0</v>
      </c>
      <c r="BI593" s="98" t="s">
        <v>155</v>
      </c>
      <c r="BJ593" s="98" t="str">
        <f t="shared" si="1"/>
        <v>NÃO</v>
      </c>
      <c r="BK593" s="98" t="str">
        <f t="shared" si="2"/>
        <v>NÃO</v>
      </c>
    </row>
    <row r="594" ht="15.75" customHeight="1">
      <c r="A594" s="111" t="s">
        <v>723</v>
      </c>
      <c r="B594" s="83" t="s">
        <v>2670</v>
      </c>
      <c r="C594" s="83" t="s">
        <v>68</v>
      </c>
      <c r="D594" s="83">
        <v>1109423.0</v>
      </c>
      <c r="E594" s="83"/>
      <c r="F594" s="83">
        <v>2.9092744E7</v>
      </c>
      <c r="G594" s="114" t="s">
        <v>6990</v>
      </c>
      <c r="H594" s="91" t="s">
        <v>2675</v>
      </c>
      <c r="I594" s="187" t="s">
        <v>149</v>
      </c>
      <c r="J594" s="83" t="s">
        <v>150</v>
      </c>
      <c r="K594" s="83" t="s">
        <v>151</v>
      </c>
      <c r="L594" s="83" t="s">
        <v>76</v>
      </c>
      <c r="M594" s="82" t="s">
        <v>6991</v>
      </c>
      <c r="N594" s="82" t="s">
        <v>6992</v>
      </c>
      <c r="O594" s="82" t="s">
        <v>6993</v>
      </c>
      <c r="P594" s="82" t="s">
        <v>6994</v>
      </c>
      <c r="Q594" s="82" t="s">
        <v>6995</v>
      </c>
      <c r="R594" s="82"/>
      <c r="S594" s="82" t="s">
        <v>6996</v>
      </c>
      <c r="T594" s="138">
        <v>9.0</v>
      </c>
      <c r="U594" s="339">
        <v>9.0</v>
      </c>
      <c r="V594" s="106">
        <v>0.0</v>
      </c>
      <c r="W594" s="107">
        <v>0.0</v>
      </c>
      <c r="X594" s="107">
        <v>0.0</v>
      </c>
      <c r="Y594" s="107">
        <v>0.0</v>
      </c>
      <c r="Z594" s="80">
        <v>0.0</v>
      </c>
      <c r="AA594" s="140">
        <v>0.0</v>
      </c>
      <c r="AB594" s="109">
        <v>0.0</v>
      </c>
      <c r="AC594" s="109">
        <v>0.0</v>
      </c>
      <c r="AD594" s="141">
        <v>0.0</v>
      </c>
      <c r="AE594" s="80">
        <v>0.0</v>
      </c>
      <c r="AF594" s="140">
        <v>0.0</v>
      </c>
      <c r="AG594" s="109">
        <v>0.0</v>
      </c>
      <c r="AH594" s="109">
        <v>0.0</v>
      </c>
      <c r="AI594" s="141">
        <v>304.0</v>
      </c>
      <c r="AJ594" s="80">
        <v>304.0</v>
      </c>
      <c r="AK594" s="140">
        <v>0.0</v>
      </c>
      <c r="AL594" s="109">
        <v>0.0</v>
      </c>
      <c r="AM594" s="141">
        <v>0.0</v>
      </c>
      <c r="AN594" s="80">
        <v>0.0</v>
      </c>
      <c r="AO594" s="140">
        <v>0.0</v>
      </c>
      <c r="AP594" s="109">
        <v>0.0</v>
      </c>
      <c r="AQ594" s="109">
        <v>60.0</v>
      </c>
      <c r="AR594" s="80">
        <v>60.0</v>
      </c>
      <c r="AS594" s="110">
        <v>0.0</v>
      </c>
      <c r="AT594" s="110">
        <v>0.0</v>
      </c>
      <c r="AU594" s="110">
        <v>0.0</v>
      </c>
      <c r="AV594" s="142">
        <v>0.0</v>
      </c>
      <c r="AW594" s="80">
        <v>0.0</v>
      </c>
      <c r="AX594" s="113">
        <v>364.0</v>
      </c>
      <c r="AY594" s="117">
        <v>304.0</v>
      </c>
      <c r="AZ594" s="328">
        <v>60.0</v>
      </c>
      <c r="BA594" s="315">
        <v>0.0</v>
      </c>
      <c r="BB594" s="316">
        <v>364.0</v>
      </c>
      <c r="BC594" s="132" t="s">
        <v>178</v>
      </c>
      <c r="BD594" s="132" t="s">
        <v>178</v>
      </c>
      <c r="BE594" s="132" t="s">
        <v>178</v>
      </c>
      <c r="BF594" s="123"/>
      <c r="BG594" s="83">
        <v>1109423.0</v>
      </c>
      <c r="BH594" s="112">
        <v>9.0</v>
      </c>
      <c r="BI594" s="98" t="s">
        <v>155</v>
      </c>
      <c r="BJ594" s="98" t="str">
        <f t="shared" si="1"/>
        <v>INTEGRAL</v>
      </c>
      <c r="BK594" s="98" t="str">
        <f t="shared" si="2"/>
        <v>NÃO</v>
      </c>
    </row>
    <row r="595" ht="15.75" customHeight="1">
      <c r="A595" s="111" t="s">
        <v>723</v>
      </c>
      <c r="B595" s="83" t="s">
        <v>2678</v>
      </c>
      <c r="C595" s="83" t="s">
        <v>68</v>
      </c>
      <c r="D595" s="83">
        <v>1176366.0</v>
      </c>
      <c r="E595" s="83"/>
      <c r="F595" s="83">
        <v>2.934008E7</v>
      </c>
      <c r="G595" s="114" t="s">
        <v>6998</v>
      </c>
      <c r="H595" s="91" t="s">
        <v>6999</v>
      </c>
      <c r="I595" s="187" t="s">
        <v>149</v>
      </c>
      <c r="J595" s="83" t="s">
        <v>150</v>
      </c>
      <c r="K595" s="83" t="s">
        <v>151</v>
      </c>
      <c r="L595" s="83" t="s">
        <v>76</v>
      </c>
      <c r="M595" s="82" t="s">
        <v>7000</v>
      </c>
      <c r="N595" s="82" t="s">
        <v>7001</v>
      </c>
      <c r="O595" s="82"/>
      <c r="P595" s="82"/>
      <c r="Q595" s="82"/>
      <c r="R595" s="82"/>
      <c r="S595" s="82" t="s">
        <v>7003</v>
      </c>
      <c r="T595" s="138">
        <v>6.0</v>
      </c>
      <c r="U595" s="331">
        <v>5.0</v>
      </c>
      <c r="V595" s="106">
        <v>0.0</v>
      </c>
      <c r="W595" s="107">
        <v>0.0</v>
      </c>
      <c r="X595" s="107">
        <v>0.0</v>
      </c>
      <c r="Y595" s="107">
        <v>0.0</v>
      </c>
      <c r="Z595" s="80">
        <v>0.0</v>
      </c>
      <c r="AA595" s="140">
        <v>0.0</v>
      </c>
      <c r="AB595" s="109">
        <v>0.0</v>
      </c>
      <c r="AC595" s="109">
        <v>0.0</v>
      </c>
      <c r="AD595" s="141">
        <v>0.0</v>
      </c>
      <c r="AE595" s="80">
        <v>0.0</v>
      </c>
      <c r="AF595" s="140">
        <v>123.0</v>
      </c>
      <c r="AG595" s="109">
        <v>123.0</v>
      </c>
      <c r="AH595" s="109">
        <v>0.0</v>
      </c>
      <c r="AI595" s="141">
        <v>0.0</v>
      </c>
      <c r="AJ595" s="80">
        <v>246.0</v>
      </c>
      <c r="AK595" s="140">
        <v>0.0</v>
      </c>
      <c r="AL595" s="109">
        <v>0.0</v>
      </c>
      <c r="AM595" s="141">
        <v>0.0</v>
      </c>
      <c r="AN595" s="80">
        <v>0.0</v>
      </c>
      <c r="AO595" s="140">
        <v>0.0</v>
      </c>
      <c r="AP595" s="109">
        <v>0.0</v>
      </c>
      <c r="AQ595" s="109">
        <v>49.0</v>
      </c>
      <c r="AR595" s="80">
        <v>49.0</v>
      </c>
      <c r="AS595" s="110">
        <v>0.0</v>
      </c>
      <c r="AT595" s="110">
        <v>0.0</v>
      </c>
      <c r="AU595" s="110">
        <v>0.0</v>
      </c>
      <c r="AV595" s="142">
        <v>0.0</v>
      </c>
      <c r="AW595" s="80">
        <v>0.0</v>
      </c>
      <c r="AX595" s="113">
        <v>295.0</v>
      </c>
      <c r="AY595" s="117">
        <v>246.0</v>
      </c>
      <c r="AZ595" s="328">
        <v>49.0</v>
      </c>
      <c r="BA595" s="315">
        <v>0.0</v>
      </c>
      <c r="BB595" s="316">
        <v>295.0</v>
      </c>
      <c r="BC595" s="132" t="s">
        <v>178</v>
      </c>
      <c r="BD595" s="132" t="s">
        <v>178</v>
      </c>
      <c r="BE595" s="132" t="s">
        <v>178</v>
      </c>
      <c r="BF595" s="123"/>
      <c r="BG595" s="83">
        <v>1176366.0</v>
      </c>
      <c r="BH595" s="112">
        <v>5.0</v>
      </c>
      <c r="BI595" s="98" t="s">
        <v>155</v>
      </c>
      <c r="BJ595" s="98" t="str">
        <f t="shared" si="1"/>
        <v>NÃO</v>
      </c>
      <c r="BK595" s="98" t="str">
        <f t="shared" si="2"/>
        <v>NÃO</v>
      </c>
    </row>
    <row r="596" ht="15.75" customHeight="1">
      <c r="A596" s="111" t="s">
        <v>723</v>
      </c>
      <c r="B596" s="83" t="s">
        <v>2684</v>
      </c>
      <c r="C596" s="83" t="s">
        <v>68</v>
      </c>
      <c r="D596" s="83">
        <v>1119470.0</v>
      </c>
      <c r="E596" s="83"/>
      <c r="F596" s="83">
        <v>2.922604E7</v>
      </c>
      <c r="G596" s="114" t="s">
        <v>7006</v>
      </c>
      <c r="H596" s="91" t="s">
        <v>7007</v>
      </c>
      <c r="I596" s="187" t="s">
        <v>7008</v>
      </c>
      <c r="J596" s="83" t="s">
        <v>150</v>
      </c>
      <c r="K596" s="83" t="s">
        <v>151</v>
      </c>
      <c r="L596" s="83" t="s">
        <v>169</v>
      </c>
      <c r="M596" s="82" t="s">
        <v>2962</v>
      </c>
      <c r="N596" s="82"/>
      <c r="O596" s="82" t="s">
        <v>7011</v>
      </c>
      <c r="P596" s="82" t="s">
        <v>7012</v>
      </c>
      <c r="Q596" s="82"/>
      <c r="R596" s="82"/>
      <c r="S596" s="82" t="s">
        <v>7014</v>
      </c>
      <c r="T596" s="138">
        <v>7.0</v>
      </c>
      <c r="U596" s="323" t="s">
        <v>7015</v>
      </c>
      <c r="V596" s="106">
        <v>0.0</v>
      </c>
      <c r="W596" s="107">
        <v>0.0</v>
      </c>
      <c r="X596" s="107">
        <v>0.0</v>
      </c>
      <c r="Y596" s="107">
        <v>0.0</v>
      </c>
      <c r="Z596" s="80">
        <v>0.0</v>
      </c>
      <c r="AA596" s="140">
        <v>0.0</v>
      </c>
      <c r="AB596" s="109">
        <v>0.0</v>
      </c>
      <c r="AC596" s="109">
        <v>0.0</v>
      </c>
      <c r="AD596" s="141">
        <v>0.0</v>
      </c>
      <c r="AE596" s="80">
        <v>0.0</v>
      </c>
      <c r="AF596" s="140">
        <v>114.0</v>
      </c>
      <c r="AG596" s="109">
        <v>102.0</v>
      </c>
      <c r="AH596" s="109">
        <v>25.0</v>
      </c>
      <c r="AI596" s="141">
        <v>0.0</v>
      </c>
      <c r="AJ596" s="80">
        <v>241.0</v>
      </c>
      <c r="AK596" s="140">
        <v>0.0</v>
      </c>
      <c r="AL596" s="109">
        <v>0.0</v>
      </c>
      <c r="AM596" s="141">
        <v>0.0</v>
      </c>
      <c r="AN596" s="80">
        <v>0.0</v>
      </c>
      <c r="AO596" s="140">
        <v>0.0</v>
      </c>
      <c r="AP596" s="109">
        <v>0.0</v>
      </c>
      <c r="AQ596" s="109">
        <v>28.0</v>
      </c>
      <c r="AR596" s="80">
        <v>28.0</v>
      </c>
      <c r="AS596" s="110">
        <v>0.0</v>
      </c>
      <c r="AT596" s="110">
        <v>0.0</v>
      </c>
      <c r="AU596" s="110">
        <v>82.0</v>
      </c>
      <c r="AV596" s="142">
        <v>0.0</v>
      </c>
      <c r="AW596" s="80">
        <v>82.0</v>
      </c>
      <c r="AX596" s="113">
        <v>351.0</v>
      </c>
      <c r="AY596" s="117">
        <v>216.0</v>
      </c>
      <c r="AZ596" s="328">
        <v>135.0</v>
      </c>
      <c r="BA596" s="315">
        <v>0.0</v>
      </c>
      <c r="BB596" s="316">
        <v>351.0</v>
      </c>
      <c r="BC596" s="132" t="s">
        <v>178</v>
      </c>
      <c r="BD596" s="132" t="s">
        <v>178</v>
      </c>
      <c r="BE596" s="132" t="s">
        <v>178</v>
      </c>
      <c r="BF596" s="123"/>
      <c r="BG596" s="83">
        <v>1119470.0</v>
      </c>
      <c r="BH596" s="112">
        <v>6.0</v>
      </c>
      <c r="BI596" s="98" t="s">
        <v>155</v>
      </c>
      <c r="BJ596" s="98" t="str">
        <f t="shared" si="1"/>
        <v>NÃO</v>
      </c>
      <c r="BK596" s="98" t="str">
        <f t="shared" si="2"/>
        <v>PROFISSIONAL</v>
      </c>
    </row>
    <row r="597" ht="15.75" customHeight="1">
      <c r="A597" s="111" t="s">
        <v>723</v>
      </c>
      <c r="B597" s="83" t="s">
        <v>2688</v>
      </c>
      <c r="C597" s="83" t="s">
        <v>68</v>
      </c>
      <c r="D597" s="83">
        <v>1117566.0</v>
      </c>
      <c r="E597" s="83"/>
      <c r="F597" s="83">
        <v>2.9226147E7</v>
      </c>
      <c r="G597" s="114" t="s">
        <v>7021</v>
      </c>
      <c r="H597" s="91" t="s">
        <v>2690</v>
      </c>
      <c r="I597" s="114" t="s">
        <v>149</v>
      </c>
      <c r="J597" s="83" t="s">
        <v>150</v>
      </c>
      <c r="K597" s="83" t="s">
        <v>151</v>
      </c>
      <c r="L597" s="83" t="s">
        <v>76</v>
      </c>
      <c r="M597" s="82" t="s">
        <v>7022</v>
      </c>
      <c r="N597" s="82" t="s">
        <v>7023</v>
      </c>
      <c r="O597" s="82" t="s">
        <v>7024</v>
      </c>
      <c r="P597" s="82" t="s">
        <v>7025</v>
      </c>
      <c r="Q597" s="82" t="s">
        <v>7026</v>
      </c>
      <c r="R597" s="82"/>
      <c r="S597" s="82" t="s">
        <v>7027</v>
      </c>
      <c r="T597" s="138">
        <v>6.0</v>
      </c>
      <c r="U597" s="323" t="s">
        <v>7028</v>
      </c>
      <c r="V597" s="106">
        <v>0.0</v>
      </c>
      <c r="W597" s="107">
        <v>0.0</v>
      </c>
      <c r="X597" s="107">
        <v>0.0</v>
      </c>
      <c r="Y597" s="107">
        <v>0.0</v>
      </c>
      <c r="Z597" s="80">
        <v>0.0</v>
      </c>
      <c r="AA597" s="140">
        <v>0.0</v>
      </c>
      <c r="AB597" s="109">
        <v>0.0</v>
      </c>
      <c r="AC597" s="109">
        <v>0.0</v>
      </c>
      <c r="AD597" s="141">
        <v>0.0</v>
      </c>
      <c r="AE597" s="80">
        <v>0.0</v>
      </c>
      <c r="AF597" s="140">
        <v>153.0</v>
      </c>
      <c r="AG597" s="109">
        <v>162.0</v>
      </c>
      <c r="AH597" s="109">
        <v>0.0</v>
      </c>
      <c r="AI597" s="141">
        <v>0.0</v>
      </c>
      <c r="AJ597" s="80">
        <v>315.0</v>
      </c>
      <c r="AK597" s="140">
        <v>0.0</v>
      </c>
      <c r="AL597" s="109">
        <v>0.0</v>
      </c>
      <c r="AM597" s="141">
        <v>0.0</v>
      </c>
      <c r="AN597" s="80">
        <v>0.0</v>
      </c>
      <c r="AO597" s="140">
        <v>0.0</v>
      </c>
      <c r="AP597" s="109">
        <v>0.0</v>
      </c>
      <c r="AQ597" s="109">
        <v>84.0</v>
      </c>
      <c r="AR597" s="80">
        <v>84.0</v>
      </c>
      <c r="AS597" s="110">
        <v>0.0</v>
      </c>
      <c r="AT597" s="110">
        <v>0.0</v>
      </c>
      <c r="AU597" s="110">
        <v>0.0</v>
      </c>
      <c r="AV597" s="142">
        <v>0.0</v>
      </c>
      <c r="AW597" s="80">
        <v>0.0</v>
      </c>
      <c r="AX597" s="113">
        <v>399.0</v>
      </c>
      <c r="AY597" s="117">
        <v>315.0</v>
      </c>
      <c r="AZ597" s="328">
        <v>84.0</v>
      </c>
      <c r="BA597" s="315">
        <v>0.0</v>
      </c>
      <c r="BB597" s="316">
        <v>399.0</v>
      </c>
      <c r="BC597" s="132" t="s">
        <v>178</v>
      </c>
      <c r="BD597" s="132" t="s">
        <v>178</v>
      </c>
      <c r="BE597" s="132" t="s">
        <v>178</v>
      </c>
      <c r="BF597" s="156"/>
      <c r="BG597" s="83">
        <v>1117566.0</v>
      </c>
      <c r="BH597" s="112">
        <v>5.0</v>
      </c>
      <c r="BI597" s="98" t="s">
        <v>155</v>
      </c>
      <c r="BJ597" s="98" t="str">
        <f t="shared" si="1"/>
        <v>NÃO</v>
      </c>
      <c r="BK597" s="98" t="str">
        <f t="shared" si="2"/>
        <v>NÃO</v>
      </c>
    </row>
    <row r="598" ht="15.75" customHeight="1">
      <c r="A598" s="111" t="s">
        <v>723</v>
      </c>
      <c r="B598" s="83" t="s">
        <v>2081</v>
      </c>
      <c r="C598" s="83" t="s">
        <v>68</v>
      </c>
      <c r="D598" s="83">
        <v>1118007.0</v>
      </c>
      <c r="E598" s="83"/>
      <c r="F598" s="83">
        <v>2.9226511E7</v>
      </c>
      <c r="G598" s="114" t="s">
        <v>7029</v>
      </c>
      <c r="H598" s="91" t="s">
        <v>7030</v>
      </c>
      <c r="I598" s="114" t="s">
        <v>149</v>
      </c>
      <c r="J598" s="83" t="s">
        <v>150</v>
      </c>
      <c r="K598" s="83" t="s">
        <v>168</v>
      </c>
      <c r="L598" s="83" t="s">
        <v>76</v>
      </c>
      <c r="M598" s="82" t="s">
        <v>7032</v>
      </c>
      <c r="N598" s="82" t="s">
        <v>7033</v>
      </c>
      <c r="O598" s="82" t="s">
        <v>7034</v>
      </c>
      <c r="P598" s="82" t="s">
        <v>7035</v>
      </c>
      <c r="Q598" s="82"/>
      <c r="R598" s="82"/>
      <c r="S598" s="82" t="s">
        <v>7036</v>
      </c>
      <c r="T598" s="138">
        <v>8.0</v>
      </c>
      <c r="U598" s="387">
        <v>8.0</v>
      </c>
      <c r="V598" s="106">
        <v>0.0</v>
      </c>
      <c r="W598" s="107">
        <v>0.0</v>
      </c>
      <c r="X598" s="107">
        <v>0.0</v>
      </c>
      <c r="Y598" s="107">
        <v>0.0</v>
      </c>
      <c r="Z598" s="80">
        <v>0.0</v>
      </c>
      <c r="AA598" s="140">
        <v>204.0</v>
      </c>
      <c r="AB598" s="109">
        <v>204.0</v>
      </c>
      <c r="AC598" s="109">
        <v>0.0</v>
      </c>
      <c r="AD598" s="141">
        <v>0.0</v>
      </c>
      <c r="AE598" s="80">
        <v>408.0</v>
      </c>
      <c r="AF598" s="140">
        <v>0.0</v>
      </c>
      <c r="AG598" s="109">
        <v>0.0</v>
      </c>
      <c r="AH598" s="109">
        <v>0.0</v>
      </c>
      <c r="AI598" s="141">
        <v>0.0</v>
      </c>
      <c r="AJ598" s="80">
        <v>0.0</v>
      </c>
      <c r="AK598" s="140">
        <v>0.0</v>
      </c>
      <c r="AL598" s="109">
        <v>0.0</v>
      </c>
      <c r="AM598" s="141">
        <v>0.0</v>
      </c>
      <c r="AN598" s="80">
        <v>0.0</v>
      </c>
      <c r="AO598" s="140">
        <v>0.0</v>
      </c>
      <c r="AP598" s="109">
        <v>0.0</v>
      </c>
      <c r="AQ598" s="109">
        <v>0.0</v>
      </c>
      <c r="AR598" s="80">
        <v>0.0</v>
      </c>
      <c r="AS598" s="110">
        <v>0.0</v>
      </c>
      <c r="AT598" s="110">
        <v>0.0</v>
      </c>
      <c r="AU598" s="110">
        <v>0.0</v>
      </c>
      <c r="AV598" s="142">
        <v>0.0</v>
      </c>
      <c r="AW598" s="80">
        <v>0.0</v>
      </c>
      <c r="AX598" s="113">
        <v>408.0</v>
      </c>
      <c r="AY598" s="117">
        <v>408.0</v>
      </c>
      <c r="AZ598" s="328">
        <v>0.0</v>
      </c>
      <c r="BA598" s="315">
        <v>0.0</v>
      </c>
      <c r="BB598" s="316">
        <v>408.0</v>
      </c>
      <c r="BC598" s="132" t="s">
        <v>178</v>
      </c>
      <c r="BD598" s="132" t="s">
        <v>178</v>
      </c>
      <c r="BE598" s="132" t="s">
        <v>178</v>
      </c>
      <c r="BF598" s="123"/>
      <c r="BG598" s="83">
        <v>1118007.0</v>
      </c>
      <c r="BH598" s="112">
        <v>8.0</v>
      </c>
      <c r="BI598" s="98" t="s">
        <v>155</v>
      </c>
      <c r="BJ598" s="98" t="str">
        <f t="shared" si="1"/>
        <v>NÃO</v>
      </c>
      <c r="BK598" s="98" t="str">
        <f t="shared" si="2"/>
        <v>NÃO</v>
      </c>
    </row>
    <row r="599" ht="15.75" customHeight="1">
      <c r="A599" s="111" t="s">
        <v>723</v>
      </c>
      <c r="B599" s="83" t="s">
        <v>2081</v>
      </c>
      <c r="C599" s="83" t="s">
        <v>68</v>
      </c>
      <c r="D599" s="83">
        <v>1118023.0</v>
      </c>
      <c r="E599" s="83"/>
      <c r="F599" s="83">
        <v>2.9226864E7</v>
      </c>
      <c r="G599" s="119" t="s">
        <v>7041</v>
      </c>
      <c r="H599" s="91" t="s">
        <v>2703</v>
      </c>
      <c r="I599" s="114" t="s">
        <v>149</v>
      </c>
      <c r="J599" s="136" t="s">
        <v>2704</v>
      </c>
      <c r="K599" s="83" t="s">
        <v>151</v>
      </c>
      <c r="L599" s="83" t="s">
        <v>76</v>
      </c>
      <c r="M599" s="82" t="s">
        <v>7042</v>
      </c>
      <c r="N599" s="82" t="s">
        <v>7043</v>
      </c>
      <c r="O599" s="82" t="s">
        <v>7044</v>
      </c>
      <c r="P599" s="82" t="s">
        <v>7045</v>
      </c>
      <c r="Q599" s="82"/>
      <c r="R599" s="82"/>
      <c r="S599" s="82"/>
      <c r="T599" s="138">
        <v>10.0</v>
      </c>
      <c r="U599" s="419" t="s">
        <v>7046</v>
      </c>
      <c r="V599" s="106">
        <v>0.0</v>
      </c>
      <c r="W599" s="107">
        <v>0.0</v>
      </c>
      <c r="X599" s="107">
        <v>0.0</v>
      </c>
      <c r="Y599" s="107">
        <v>0.0</v>
      </c>
      <c r="Z599" s="80">
        <v>0.0</v>
      </c>
      <c r="AA599" s="140">
        <v>0.0</v>
      </c>
      <c r="AB599" s="109">
        <v>0.0</v>
      </c>
      <c r="AC599" s="109">
        <v>0.0</v>
      </c>
      <c r="AD599" s="141">
        <v>0.0</v>
      </c>
      <c r="AE599" s="80">
        <v>0.0</v>
      </c>
      <c r="AF599" s="140">
        <v>167.0</v>
      </c>
      <c r="AG599" s="109">
        <v>114.0</v>
      </c>
      <c r="AH599" s="109">
        <v>40.0</v>
      </c>
      <c r="AI599" s="141">
        <v>0.0</v>
      </c>
      <c r="AJ599" s="80">
        <v>321.0</v>
      </c>
      <c r="AK599" s="140">
        <v>0.0</v>
      </c>
      <c r="AL599" s="109">
        <v>0.0</v>
      </c>
      <c r="AM599" s="141">
        <v>0.0</v>
      </c>
      <c r="AN599" s="80">
        <v>0.0</v>
      </c>
      <c r="AO599" s="140">
        <v>0.0</v>
      </c>
      <c r="AP599" s="109">
        <v>0.0</v>
      </c>
      <c r="AQ599" s="109">
        <v>111.0</v>
      </c>
      <c r="AR599" s="80">
        <v>111.0</v>
      </c>
      <c r="AS599" s="110">
        <v>0.0</v>
      </c>
      <c r="AT599" s="110">
        <v>0.0</v>
      </c>
      <c r="AU599" s="110">
        <v>0.0</v>
      </c>
      <c r="AV599" s="142">
        <v>0.0</v>
      </c>
      <c r="AW599" s="80">
        <v>0.0</v>
      </c>
      <c r="AX599" s="113">
        <v>432.0</v>
      </c>
      <c r="AY599" s="117">
        <v>281.0</v>
      </c>
      <c r="AZ599" s="328">
        <v>151.0</v>
      </c>
      <c r="BA599" s="315">
        <v>3.0</v>
      </c>
      <c r="BB599" s="316">
        <v>435.0</v>
      </c>
      <c r="BC599" s="132" t="s">
        <v>373</v>
      </c>
      <c r="BD599" s="132" t="s">
        <v>178</v>
      </c>
      <c r="BE599" s="132" t="s">
        <v>178</v>
      </c>
      <c r="BF599" s="123"/>
      <c r="BG599" s="83">
        <v>1118023.0</v>
      </c>
      <c r="BH599" s="112">
        <v>10.0</v>
      </c>
      <c r="BI599" s="98" t="s">
        <v>155</v>
      </c>
      <c r="BJ599" s="98" t="str">
        <f t="shared" si="1"/>
        <v>NÃO</v>
      </c>
      <c r="BK599" s="98" t="str">
        <f t="shared" si="2"/>
        <v>NÃO</v>
      </c>
    </row>
    <row r="600" ht="15.75" customHeight="1">
      <c r="A600" s="111" t="s">
        <v>723</v>
      </c>
      <c r="B600" s="83" t="s">
        <v>2081</v>
      </c>
      <c r="C600" s="83" t="s">
        <v>68</v>
      </c>
      <c r="D600" s="83">
        <v>1119461.0</v>
      </c>
      <c r="E600" s="83"/>
      <c r="F600" s="83">
        <v>2.9227356E7</v>
      </c>
      <c r="G600" s="184" t="s">
        <v>7047</v>
      </c>
      <c r="H600" s="91" t="s">
        <v>2699</v>
      </c>
      <c r="I600" s="114" t="s">
        <v>2700</v>
      </c>
      <c r="J600" s="83" t="s">
        <v>150</v>
      </c>
      <c r="K600" s="83" t="s">
        <v>151</v>
      </c>
      <c r="L600" s="83" t="s">
        <v>152</v>
      </c>
      <c r="M600" s="82" t="s">
        <v>7050</v>
      </c>
      <c r="N600" s="82" t="s">
        <v>7051</v>
      </c>
      <c r="O600" s="82" t="s">
        <v>7052</v>
      </c>
      <c r="P600" s="82" t="s">
        <v>7053</v>
      </c>
      <c r="Q600" s="82" t="s">
        <v>7054</v>
      </c>
      <c r="R600" s="82" t="s">
        <v>7055</v>
      </c>
      <c r="S600" s="82" t="s">
        <v>7056</v>
      </c>
      <c r="T600" s="138">
        <v>8.0</v>
      </c>
      <c r="U600" s="401">
        <v>8.0</v>
      </c>
      <c r="V600" s="106">
        <v>0.0</v>
      </c>
      <c r="W600" s="107">
        <v>0.0</v>
      </c>
      <c r="X600" s="107">
        <v>0.0</v>
      </c>
      <c r="Y600" s="107">
        <v>0.0</v>
      </c>
      <c r="Z600" s="80">
        <v>0.0</v>
      </c>
      <c r="AA600" s="140">
        <v>0.0</v>
      </c>
      <c r="AB600" s="109">
        <v>0.0</v>
      </c>
      <c r="AC600" s="109">
        <v>0.0</v>
      </c>
      <c r="AD600" s="141">
        <v>0.0</v>
      </c>
      <c r="AE600" s="80">
        <v>0.0</v>
      </c>
      <c r="AF600" s="140">
        <v>134.0</v>
      </c>
      <c r="AG600" s="109">
        <v>23.0</v>
      </c>
      <c r="AH600" s="109">
        <v>0.0</v>
      </c>
      <c r="AI600" s="141">
        <v>79.0</v>
      </c>
      <c r="AJ600" s="80">
        <v>236.0</v>
      </c>
      <c r="AK600" s="140">
        <v>0.0</v>
      </c>
      <c r="AL600" s="109">
        <v>0.0</v>
      </c>
      <c r="AM600" s="141">
        <v>0.0</v>
      </c>
      <c r="AN600" s="80">
        <v>0.0</v>
      </c>
      <c r="AO600" s="140">
        <v>0.0</v>
      </c>
      <c r="AP600" s="109">
        <v>0.0</v>
      </c>
      <c r="AQ600" s="109">
        <v>239.0</v>
      </c>
      <c r="AR600" s="80">
        <v>239.0</v>
      </c>
      <c r="AS600" s="110">
        <v>0.0</v>
      </c>
      <c r="AT600" s="110">
        <v>0.0</v>
      </c>
      <c r="AU600" s="110">
        <v>0.0</v>
      </c>
      <c r="AV600" s="142">
        <v>0.0</v>
      </c>
      <c r="AW600" s="80">
        <v>0.0</v>
      </c>
      <c r="AX600" s="113">
        <v>475.0</v>
      </c>
      <c r="AY600" s="117">
        <v>236.0</v>
      </c>
      <c r="AZ600" s="328">
        <v>239.0</v>
      </c>
      <c r="BA600" s="315">
        <v>1.0</v>
      </c>
      <c r="BB600" s="316">
        <v>476.0</v>
      </c>
      <c r="BC600" s="132" t="s">
        <v>178</v>
      </c>
      <c r="BD600" s="132" t="s">
        <v>178</v>
      </c>
      <c r="BE600" s="132" t="s">
        <v>178</v>
      </c>
      <c r="BF600" s="123"/>
      <c r="BG600" s="83">
        <v>1119461.0</v>
      </c>
      <c r="BH600" s="112">
        <v>8.0</v>
      </c>
      <c r="BI600" s="98" t="s">
        <v>155</v>
      </c>
      <c r="BJ600" s="98" t="str">
        <f t="shared" si="1"/>
        <v>INTEGRAL</v>
      </c>
      <c r="BK600" s="98" t="str">
        <f t="shared" si="2"/>
        <v>NÃO</v>
      </c>
    </row>
    <row r="601" ht="15.75" customHeight="1">
      <c r="A601" s="111" t="s">
        <v>723</v>
      </c>
      <c r="B601" s="83" t="s">
        <v>2081</v>
      </c>
      <c r="C601" s="83" t="s">
        <v>68</v>
      </c>
      <c r="D601" s="83">
        <v>1119445.0</v>
      </c>
      <c r="E601" s="83"/>
      <c r="F601" s="83">
        <v>2.922652E7</v>
      </c>
      <c r="G601" s="185" t="s">
        <v>2707</v>
      </c>
      <c r="H601" s="91" t="s">
        <v>2708</v>
      </c>
      <c r="I601" s="114" t="s">
        <v>2709</v>
      </c>
      <c r="J601" s="83" t="s">
        <v>150</v>
      </c>
      <c r="K601" s="83" t="s">
        <v>151</v>
      </c>
      <c r="L601" s="83" t="s">
        <v>230</v>
      </c>
      <c r="M601" s="82" t="s">
        <v>7058</v>
      </c>
      <c r="N601" s="82" t="s">
        <v>7059</v>
      </c>
      <c r="O601" s="82" t="s">
        <v>7060</v>
      </c>
      <c r="P601" s="82" t="s">
        <v>7061</v>
      </c>
      <c r="Q601" s="82" t="s">
        <v>7062</v>
      </c>
      <c r="R601" s="82" t="s">
        <v>7063</v>
      </c>
      <c r="S601" s="82" t="s">
        <v>7064</v>
      </c>
      <c r="T601" s="138">
        <v>26.0</v>
      </c>
      <c r="U601" s="405" t="s">
        <v>7065</v>
      </c>
      <c r="V601" s="106">
        <v>0.0</v>
      </c>
      <c r="W601" s="107">
        <v>0.0</v>
      </c>
      <c r="X601" s="107">
        <v>0.0</v>
      </c>
      <c r="Y601" s="107">
        <v>0.0</v>
      </c>
      <c r="Z601" s="80">
        <v>0.0</v>
      </c>
      <c r="AA601" s="140">
        <v>0.0</v>
      </c>
      <c r="AB601" s="109">
        <v>0.0</v>
      </c>
      <c r="AC601" s="109">
        <v>0.0</v>
      </c>
      <c r="AD601" s="141">
        <v>0.0</v>
      </c>
      <c r="AE601" s="80">
        <v>0.0</v>
      </c>
      <c r="AF601" s="140">
        <v>212.0</v>
      </c>
      <c r="AG601" s="109">
        <v>161.0</v>
      </c>
      <c r="AH601" s="109">
        <v>26.0</v>
      </c>
      <c r="AI601" s="141">
        <v>0.0</v>
      </c>
      <c r="AJ601" s="80">
        <v>399.0</v>
      </c>
      <c r="AK601" s="140">
        <v>0.0</v>
      </c>
      <c r="AL601" s="109">
        <v>0.0</v>
      </c>
      <c r="AM601" s="141">
        <v>0.0</v>
      </c>
      <c r="AN601" s="80">
        <v>0.0</v>
      </c>
      <c r="AO601" s="140">
        <v>0.0</v>
      </c>
      <c r="AP601" s="109">
        <v>0.0</v>
      </c>
      <c r="AQ601" s="109">
        <v>31.0</v>
      </c>
      <c r="AR601" s="80">
        <v>31.0</v>
      </c>
      <c r="AS601" s="110">
        <v>418.0</v>
      </c>
      <c r="AT601" s="110">
        <v>183.0</v>
      </c>
      <c r="AU601" s="110">
        <v>191.0</v>
      </c>
      <c r="AV601" s="142">
        <v>0.0</v>
      </c>
      <c r="AW601" s="80">
        <v>792.0</v>
      </c>
      <c r="AX601" s="113">
        <v>1222.0</v>
      </c>
      <c r="AY601" s="117">
        <v>974.0</v>
      </c>
      <c r="AZ601" s="328">
        <v>248.0</v>
      </c>
      <c r="BA601" s="315">
        <v>0.0</v>
      </c>
      <c r="BB601" s="316">
        <v>1222.0</v>
      </c>
      <c r="BC601" s="132" t="s">
        <v>178</v>
      </c>
      <c r="BD601" s="132" t="s">
        <v>779</v>
      </c>
      <c r="BE601" s="132" t="s">
        <v>178</v>
      </c>
      <c r="BF601" s="123"/>
      <c r="BG601" s="83">
        <v>1119445.0</v>
      </c>
      <c r="BH601" s="112">
        <v>21.0</v>
      </c>
      <c r="BI601" s="98" t="s">
        <v>155</v>
      </c>
      <c r="BJ601" s="98" t="str">
        <f t="shared" si="1"/>
        <v>NÃO</v>
      </c>
      <c r="BK601" s="98" t="str">
        <f t="shared" si="2"/>
        <v>PROFISSIONAL</v>
      </c>
    </row>
    <row r="602" ht="15.75" customHeight="1">
      <c r="A602" s="111" t="s">
        <v>723</v>
      </c>
      <c r="B602" s="83" t="s">
        <v>2081</v>
      </c>
      <c r="C602" s="83" t="s">
        <v>164</v>
      </c>
      <c r="D602" s="83">
        <v>1119461.0</v>
      </c>
      <c r="E602" s="83">
        <v>1178628.0</v>
      </c>
      <c r="F602" s="83"/>
      <c r="G602" s="185" t="s">
        <v>7069</v>
      </c>
      <c r="H602" s="91" t="s">
        <v>2712</v>
      </c>
      <c r="I602" s="114" t="s">
        <v>2713</v>
      </c>
      <c r="J602" s="83" t="s">
        <v>2714</v>
      </c>
      <c r="K602" s="83" t="s">
        <v>168</v>
      </c>
      <c r="L602" s="83" t="s">
        <v>169</v>
      </c>
      <c r="M602" s="82" t="s">
        <v>7050</v>
      </c>
      <c r="N602" s="82" t="s">
        <v>7051</v>
      </c>
      <c r="O602" s="82" t="s">
        <v>7052</v>
      </c>
      <c r="P602" s="82" t="s">
        <v>7053</v>
      </c>
      <c r="Q602" s="82" t="s">
        <v>7054</v>
      </c>
      <c r="R602" s="82" t="s">
        <v>7055</v>
      </c>
      <c r="S602" s="82" t="s">
        <v>7056</v>
      </c>
      <c r="T602" s="138">
        <v>3.0</v>
      </c>
      <c r="U602" s="401">
        <v>3.0</v>
      </c>
      <c r="V602" s="106">
        <v>0.0</v>
      </c>
      <c r="W602" s="107">
        <v>0.0</v>
      </c>
      <c r="X602" s="107">
        <v>0.0</v>
      </c>
      <c r="Y602" s="107">
        <v>0.0</v>
      </c>
      <c r="Z602" s="80">
        <v>0.0</v>
      </c>
      <c r="AA602" s="140">
        <v>0.0</v>
      </c>
      <c r="AB602" s="109">
        <v>0.0</v>
      </c>
      <c r="AC602" s="109">
        <v>0.0</v>
      </c>
      <c r="AD602" s="141">
        <v>0.0</v>
      </c>
      <c r="AE602" s="80">
        <v>0.0</v>
      </c>
      <c r="AF602" s="140">
        <v>49.0</v>
      </c>
      <c r="AG602" s="109">
        <v>0.0</v>
      </c>
      <c r="AH602" s="109">
        <v>49.0</v>
      </c>
      <c r="AI602" s="141">
        <v>0.0</v>
      </c>
      <c r="AJ602" s="80">
        <v>98.0</v>
      </c>
      <c r="AK602" s="140">
        <v>0.0</v>
      </c>
      <c r="AL602" s="109">
        <v>0.0</v>
      </c>
      <c r="AM602" s="141">
        <v>0.0</v>
      </c>
      <c r="AN602" s="80">
        <v>0.0</v>
      </c>
      <c r="AO602" s="140">
        <v>0.0</v>
      </c>
      <c r="AP602" s="109">
        <v>0.0</v>
      </c>
      <c r="AQ602" s="109">
        <v>0.0</v>
      </c>
      <c r="AR602" s="80">
        <v>0.0</v>
      </c>
      <c r="AS602" s="110">
        <v>0.0</v>
      </c>
      <c r="AT602" s="110">
        <v>0.0</v>
      </c>
      <c r="AU602" s="110">
        <v>0.0</v>
      </c>
      <c r="AV602" s="142">
        <v>0.0</v>
      </c>
      <c r="AW602" s="80">
        <v>0.0</v>
      </c>
      <c r="AX602" s="113">
        <v>98.0</v>
      </c>
      <c r="AY602" s="117">
        <v>49.0</v>
      </c>
      <c r="AZ602" s="328">
        <v>49.0</v>
      </c>
      <c r="BA602" s="315">
        <v>0.0</v>
      </c>
      <c r="BB602" s="316">
        <v>98.0</v>
      </c>
      <c r="BC602" s="132" t="s">
        <v>373</v>
      </c>
      <c r="BD602" s="132" t="s">
        <v>178</v>
      </c>
      <c r="BE602" s="132" t="s">
        <v>178</v>
      </c>
      <c r="BF602" s="123"/>
      <c r="BG602" s="83">
        <v>1178628.0</v>
      </c>
      <c r="BH602" s="112">
        <v>3.0</v>
      </c>
      <c r="BI602" s="98" t="s">
        <v>155</v>
      </c>
      <c r="BJ602" s="98" t="str">
        <f t="shared" si="1"/>
        <v>NÃO</v>
      </c>
      <c r="BK602" s="98" t="str">
        <f t="shared" si="2"/>
        <v>NÃO</v>
      </c>
    </row>
    <row r="603" ht="15.75" customHeight="1">
      <c r="A603" s="111" t="s">
        <v>723</v>
      </c>
      <c r="B603" s="83" t="s">
        <v>2081</v>
      </c>
      <c r="C603" s="83" t="s">
        <v>164</v>
      </c>
      <c r="D603" s="83">
        <v>1119461.0</v>
      </c>
      <c r="E603" s="83">
        <v>1179369.0</v>
      </c>
      <c r="F603" s="83"/>
      <c r="G603" s="185" t="s">
        <v>2323</v>
      </c>
      <c r="H603" s="91" t="s">
        <v>7074</v>
      </c>
      <c r="I603" s="298" t="s">
        <v>7075</v>
      </c>
      <c r="J603" s="83" t="s">
        <v>6391</v>
      </c>
      <c r="K603" s="83" t="s">
        <v>168</v>
      </c>
      <c r="L603" s="83" t="s">
        <v>169</v>
      </c>
      <c r="M603" s="82" t="s">
        <v>7050</v>
      </c>
      <c r="N603" s="82" t="s">
        <v>7051</v>
      </c>
      <c r="O603" s="82" t="s">
        <v>7052</v>
      </c>
      <c r="P603" s="82" t="s">
        <v>7053</v>
      </c>
      <c r="Q603" s="82" t="s">
        <v>7054</v>
      </c>
      <c r="R603" s="82" t="s">
        <v>7055</v>
      </c>
      <c r="S603" s="82" t="s">
        <v>7056</v>
      </c>
      <c r="T603" s="138">
        <v>3.0</v>
      </c>
      <c r="U603" s="405">
        <v>3.0</v>
      </c>
      <c r="V603" s="106">
        <v>0.0</v>
      </c>
      <c r="W603" s="107">
        <v>0.0</v>
      </c>
      <c r="X603" s="107">
        <v>0.0</v>
      </c>
      <c r="Y603" s="107">
        <v>0.0</v>
      </c>
      <c r="Z603" s="80">
        <v>0.0</v>
      </c>
      <c r="AA603" s="140">
        <v>0.0</v>
      </c>
      <c r="AB603" s="109">
        <v>0.0</v>
      </c>
      <c r="AC603" s="109">
        <v>0.0</v>
      </c>
      <c r="AD603" s="141">
        <v>0.0</v>
      </c>
      <c r="AE603" s="80">
        <v>0.0</v>
      </c>
      <c r="AF603" s="140">
        <v>37.0</v>
      </c>
      <c r="AG603" s="109">
        <v>34.0</v>
      </c>
      <c r="AH603" s="109">
        <v>13.0</v>
      </c>
      <c r="AI603" s="141">
        <v>0.0</v>
      </c>
      <c r="AJ603" s="80">
        <v>84.0</v>
      </c>
      <c r="AK603" s="140">
        <v>0.0</v>
      </c>
      <c r="AL603" s="109">
        <v>0.0</v>
      </c>
      <c r="AM603" s="141">
        <v>0.0</v>
      </c>
      <c r="AN603" s="80">
        <v>0.0</v>
      </c>
      <c r="AO603" s="140">
        <v>0.0</v>
      </c>
      <c r="AP603" s="109">
        <v>0.0</v>
      </c>
      <c r="AQ603" s="109">
        <v>14.0</v>
      </c>
      <c r="AR603" s="80">
        <v>14.0</v>
      </c>
      <c r="AS603" s="110">
        <v>0.0</v>
      </c>
      <c r="AT603" s="110">
        <v>0.0</v>
      </c>
      <c r="AU603" s="110">
        <v>0.0</v>
      </c>
      <c r="AV603" s="142">
        <v>0.0</v>
      </c>
      <c r="AW603" s="80">
        <v>0.0</v>
      </c>
      <c r="AX603" s="113">
        <v>98.0</v>
      </c>
      <c r="AY603" s="117">
        <v>71.0</v>
      </c>
      <c r="AZ603" s="328">
        <v>27.0</v>
      </c>
      <c r="BA603" s="315">
        <v>0.0</v>
      </c>
      <c r="BB603" s="316">
        <v>98.0</v>
      </c>
      <c r="BC603" s="132" t="s">
        <v>373</v>
      </c>
      <c r="BD603" s="132" t="s">
        <v>178</v>
      </c>
      <c r="BE603" s="132" t="s">
        <v>178</v>
      </c>
      <c r="BF603" s="123"/>
      <c r="BG603" s="83">
        <v>1179369.0</v>
      </c>
      <c r="BH603" s="112">
        <v>3.0</v>
      </c>
      <c r="BI603" s="98" t="s">
        <v>155</v>
      </c>
      <c r="BJ603" s="98" t="str">
        <f t="shared" si="1"/>
        <v>NÃO</v>
      </c>
      <c r="BK603" s="98" t="str">
        <f t="shared" si="2"/>
        <v>NÃO</v>
      </c>
    </row>
    <row r="604" ht="15.75" customHeight="1">
      <c r="A604" s="111" t="s">
        <v>723</v>
      </c>
      <c r="B604" s="83" t="s">
        <v>2720</v>
      </c>
      <c r="C604" s="83" t="s">
        <v>68</v>
      </c>
      <c r="D604" s="83">
        <v>1110308.0</v>
      </c>
      <c r="E604" s="83"/>
      <c r="F604" s="83">
        <v>2.9229839E7</v>
      </c>
      <c r="G604" s="184" t="s">
        <v>7077</v>
      </c>
      <c r="H604" s="91" t="s">
        <v>7078</v>
      </c>
      <c r="I604" s="298" t="s">
        <v>149</v>
      </c>
      <c r="J604" s="83" t="s">
        <v>150</v>
      </c>
      <c r="K604" s="83" t="s">
        <v>151</v>
      </c>
      <c r="L604" s="83" t="s">
        <v>152</v>
      </c>
      <c r="M604" s="82" t="s">
        <v>7080</v>
      </c>
      <c r="N604" s="82" t="s">
        <v>7082</v>
      </c>
      <c r="O604" s="82" t="s">
        <v>7084</v>
      </c>
      <c r="P604" s="82" t="s">
        <v>7085</v>
      </c>
      <c r="Q604" s="82" t="s">
        <v>7086</v>
      </c>
      <c r="R604" s="82" t="s">
        <v>7088</v>
      </c>
      <c r="S604" s="82" t="s">
        <v>7089</v>
      </c>
      <c r="T604" s="138">
        <v>8.0</v>
      </c>
      <c r="U604" s="406" t="s">
        <v>7090</v>
      </c>
      <c r="V604" s="106">
        <v>0.0</v>
      </c>
      <c r="W604" s="107">
        <v>0.0</v>
      </c>
      <c r="X604" s="107">
        <v>0.0</v>
      </c>
      <c r="Y604" s="107">
        <v>0.0</v>
      </c>
      <c r="Z604" s="80">
        <v>0.0</v>
      </c>
      <c r="AA604" s="140">
        <v>0.0</v>
      </c>
      <c r="AB604" s="109">
        <v>0.0</v>
      </c>
      <c r="AC604" s="109">
        <v>0.0</v>
      </c>
      <c r="AD604" s="141">
        <v>0.0</v>
      </c>
      <c r="AE604" s="80">
        <v>0.0</v>
      </c>
      <c r="AF604" s="140">
        <v>149.0</v>
      </c>
      <c r="AG604" s="109">
        <v>102.0</v>
      </c>
      <c r="AH604" s="109">
        <v>33.0</v>
      </c>
      <c r="AI604" s="141">
        <v>212.0</v>
      </c>
      <c r="AJ604" s="80">
        <v>496.0</v>
      </c>
      <c r="AK604" s="140">
        <v>0.0</v>
      </c>
      <c r="AL604" s="109">
        <v>0.0</v>
      </c>
      <c r="AM604" s="141">
        <v>0.0</v>
      </c>
      <c r="AN604" s="80">
        <v>0.0</v>
      </c>
      <c r="AO604" s="140">
        <v>0.0</v>
      </c>
      <c r="AP604" s="109">
        <v>0.0</v>
      </c>
      <c r="AQ604" s="109">
        <v>174.0</v>
      </c>
      <c r="AR604" s="80">
        <v>174.0</v>
      </c>
      <c r="AS604" s="110">
        <v>0.0</v>
      </c>
      <c r="AT604" s="110">
        <v>0.0</v>
      </c>
      <c r="AU604" s="110">
        <v>0.0</v>
      </c>
      <c r="AV604" s="142">
        <v>0.0</v>
      </c>
      <c r="AW604" s="80">
        <v>0.0</v>
      </c>
      <c r="AX604" s="113">
        <v>670.0</v>
      </c>
      <c r="AY604" s="117">
        <v>463.0</v>
      </c>
      <c r="AZ604" s="328">
        <v>207.0</v>
      </c>
      <c r="BA604" s="315">
        <v>0.0</v>
      </c>
      <c r="BB604" s="316">
        <v>670.0</v>
      </c>
      <c r="BC604" s="132" t="s">
        <v>178</v>
      </c>
      <c r="BD604" s="132" t="s">
        <v>178</v>
      </c>
      <c r="BE604" s="132" t="s">
        <v>178</v>
      </c>
      <c r="BF604" s="123"/>
      <c r="BG604" s="83">
        <v>1110308.0</v>
      </c>
      <c r="BH604" s="112">
        <v>9.0</v>
      </c>
      <c r="BI604" s="98" t="s">
        <v>162</v>
      </c>
      <c r="BJ604" s="98" t="str">
        <f t="shared" si="1"/>
        <v>INTEGRAL</v>
      </c>
      <c r="BK604" s="98" t="str">
        <f t="shared" si="2"/>
        <v>NÃO</v>
      </c>
    </row>
    <row r="605" ht="15.75" customHeight="1">
      <c r="A605" s="111" t="s">
        <v>723</v>
      </c>
      <c r="B605" s="83" t="s">
        <v>2725</v>
      </c>
      <c r="C605" s="83" t="s">
        <v>68</v>
      </c>
      <c r="D605" s="83">
        <v>1118066.0</v>
      </c>
      <c r="E605" s="83"/>
      <c r="F605" s="83">
        <v>2.9230985E7</v>
      </c>
      <c r="G605" s="185" t="s">
        <v>7091</v>
      </c>
      <c r="H605" s="91" t="s">
        <v>2727</v>
      </c>
      <c r="I605" s="298" t="s">
        <v>149</v>
      </c>
      <c r="J605" s="83" t="s">
        <v>150</v>
      </c>
      <c r="K605" s="83" t="s">
        <v>151</v>
      </c>
      <c r="L605" s="83" t="s">
        <v>169</v>
      </c>
      <c r="M605" s="82" t="s">
        <v>7093</v>
      </c>
      <c r="N605" s="82" t="s">
        <v>7094</v>
      </c>
      <c r="O605" s="82"/>
      <c r="P605" s="82"/>
      <c r="Q605" s="82"/>
      <c r="R605" s="82"/>
      <c r="S605" s="82" t="s">
        <v>7096</v>
      </c>
      <c r="T605" s="138">
        <v>5.0</v>
      </c>
      <c r="U605" s="406" t="s">
        <v>7097</v>
      </c>
      <c r="V605" s="106">
        <v>0.0</v>
      </c>
      <c r="W605" s="107">
        <v>0.0</v>
      </c>
      <c r="X605" s="107">
        <v>0.0</v>
      </c>
      <c r="Y605" s="107">
        <v>0.0</v>
      </c>
      <c r="Z605" s="80">
        <v>0.0</v>
      </c>
      <c r="AA605" s="140">
        <v>0.0</v>
      </c>
      <c r="AB605" s="109">
        <v>0.0</v>
      </c>
      <c r="AC605" s="109">
        <v>0.0</v>
      </c>
      <c r="AD605" s="141">
        <v>0.0</v>
      </c>
      <c r="AE605" s="80">
        <v>0.0</v>
      </c>
      <c r="AF605" s="140">
        <v>34.0</v>
      </c>
      <c r="AG605" s="109">
        <v>90.0</v>
      </c>
      <c r="AH605" s="109">
        <v>0.0</v>
      </c>
      <c r="AI605" s="141">
        <v>0.0</v>
      </c>
      <c r="AJ605" s="80">
        <v>124.0</v>
      </c>
      <c r="AK605" s="140">
        <v>0.0</v>
      </c>
      <c r="AL605" s="109">
        <v>0.0</v>
      </c>
      <c r="AM605" s="141">
        <v>0.0</v>
      </c>
      <c r="AN605" s="80">
        <v>0.0</v>
      </c>
      <c r="AO605" s="140">
        <v>0.0</v>
      </c>
      <c r="AP605" s="109">
        <v>0.0</v>
      </c>
      <c r="AQ605" s="109">
        <v>29.0</v>
      </c>
      <c r="AR605" s="80">
        <v>29.0</v>
      </c>
      <c r="AS605" s="110">
        <v>0.0</v>
      </c>
      <c r="AT605" s="110">
        <v>0.0</v>
      </c>
      <c r="AU605" s="110">
        <v>0.0</v>
      </c>
      <c r="AV605" s="142">
        <v>0.0</v>
      </c>
      <c r="AW605" s="80">
        <v>0.0</v>
      </c>
      <c r="AX605" s="113">
        <v>153.0</v>
      </c>
      <c r="AY605" s="117">
        <v>124.0</v>
      </c>
      <c r="AZ605" s="328">
        <v>29.0</v>
      </c>
      <c r="BA605" s="315">
        <v>0.0</v>
      </c>
      <c r="BB605" s="316">
        <v>153.0</v>
      </c>
      <c r="BC605" s="132" t="s">
        <v>178</v>
      </c>
      <c r="BD605" s="132" t="s">
        <v>178</v>
      </c>
      <c r="BE605" s="132" t="s">
        <v>178</v>
      </c>
      <c r="BF605" s="156"/>
      <c r="BG605" s="83">
        <v>1118066.0</v>
      </c>
      <c r="BH605" s="112">
        <v>6.0</v>
      </c>
      <c r="BI605" s="98" t="s">
        <v>155</v>
      </c>
      <c r="BJ605" s="98" t="str">
        <f t="shared" si="1"/>
        <v>NÃO</v>
      </c>
      <c r="BK605" s="98" t="str">
        <f t="shared" si="2"/>
        <v>NÃO</v>
      </c>
    </row>
    <row r="606" ht="15.75" customHeight="1">
      <c r="A606" s="111" t="s">
        <v>723</v>
      </c>
      <c r="B606" s="83" t="s">
        <v>2264</v>
      </c>
      <c r="C606" s="83" t="s">
        <v>68</v>
      </c>
      <c r="D606" s="83">
        <v>1110359.0</v>
      </c>
      <c r="E606" s="83"/>
      <c r="F606" s="83">
        <v>2.9231264E7</v>
      </c>
      <c r="G606" s="219" t="s">
        <v>7102</v>
      </c>
      <c r="H606" s="91" t="s">
        <v>7103</v>
      </c>
      <c r="I606" s="114" t="s">
        <v>149</v>
      </c>
      <c r="J606" s="83" t="s">
        <v>150</v>
      </c>
      <c r="K606" s="83" t="s">
        <v>151</v>
      </c>
      <c r="L606" s="83" t="s">
        <v>152</v>
      </c>
      <c r="M606" s="82" t="s">
        <v>7104</v>
      </c>
      <c r="N606" s="82" t="s">
        <v>7105</v>
      </c>
      <c r="O606" s="82"/>
      <c r="P606" s="82"/>
      <c r="Q606" s="82"/>
      <c r="R606" s="82"/>
      <c r="S606" s="82" t="s">
        <v>7089</v>
      </c>
      <c r="T606" s="138">
        <v>10.0</v>
      </c>
      <c r="U606" s="406" t="s">
        <v>4346</v>
      </c>
      <c r="V606" s="106">
        <v>0.0</v>
      </c>
      <c r="W606" s="107">
        <v>0.0</v>
      </c>
      <c r="X606" s="107">
        <v>0.0</v>
      </c>
      <c r="Y606" s="107">
        <v>0.0</v>
      </c>
      <c r="Z606" s="80">
        <v>0.0</v>
      </c>
      <c r="AA606" s="140">
        <v>0.0</v>
      </c>
      <c r="AB606" s="109">
        <v>0.0</v>
      </c>
      <c r="AC606" s="109">
        <v>0.0</v>
      </c>
      <c r="AD606" s="141">
        <v>0.0</v>
      </c>
      <c r="AE606" s="80">
        <v>0.0</v>
      </c>
      <c r="AF606" s="140">
        <v>102.0</v>
      </c>
      <c r="AG606" s="109">
        <v>68.0</v>
      </c>
      <c r="AH606" s="109">
        <v>0.0</v>
      </c>
      <c r="AI606" s="141">
        <v>0.0</v>
      </c>
      <c r="AJ606" s="80">
        <v>170.0</v>
      </c>
      <c r="AK606" s="140">
        <v>0.0</v>
      </c>
      <c r="AL606" s="109">
        <v>0.0</v>
      </c>
      <c r="AM606" s="141">
        <v>0.0</v>
      </c>
      <c r="AN606" s="80">
        <v>0.0</v>
      </c>
      <c r="AO606" s="140">
        <v>0.0</v>
      </c>
      <c r="AP606" s="109">
        <v>0.0</v>
      </c>
      <c r="AQ606" s="109">
        <v>16.0</v>
      </c>
      <c r="AR606" s="80">
        <v>16.0</v>
      </c>
      <c r="AS606" s="110">
        <v>2.0</v>
      </c>
      <c r="AT606" s="110">
        <v>2.0</v>
      </c>
      <c r="AU606" s="110">
        <v>0.0</v>
      </c>
      <c r="AV606" s="142">
        <v>0.0</v>
      </c>
      <c r="AW606" s="80">
        <v>4.0</v>
      </c>
      <c r="AX606" s="113">
        <v>190.0</v>
      </c>
      <c r="AY606" s="117">
        <v>174.0</v>
      </c>
      <c r="AZ606" s="328">
        <v>16.0</v>
      </c>
      <c r="BA606" s="315">
        <v>0.0</v>
      </c>
      <c r="BB606" s="316">
        <v>190.0</v>
      </c>
      <c r="BC606" s="132" t="s">
        <v>178</v>
      </c>
      <c r="BD606" s="132" t="s">
        <v>178</v>
      </c>
      <c r="BE606" s="132" t="s">
        <v>178</v>
      </c>
      <c r="BF606" s="123"/>
      <c r="BG606" s="83">
        <v>1110359.0</v>
      </c>
      <c r="BH606" s="112">
        <v>8.0</v>
      </c>
      <c r="BI606" s="98" t="s">
        <v>155</v>
      </c>
      <c r="BJ606" s="98" t="str">
        <f t="shared" si="1"/>
        <v>NÃO</v>
      </c>
      <c r="BK606" s="98" t="str">
        <f t="shared" si="2"/>
        <v>PROFISSIONAL</v>
      </c>
    </row>
    <row r="607" ht="15.75" customHeight="1">
      <c r="A607" s="111" t="s">
        <v>723</v>
      </c>
      <c r="B607" s="83" t="s">
        <v>2264</v>
      </c>
      <c r="C607" s="83" t="s">
        <v>68</v>
      </c>
      <c r="D607" s="83">
        <v>1178269.0</v>
      </c>
      <c r="E607" s="83"/>
      <c r="F607" s="83">
        <v>2.944769E7</v>
      </c>
      <c r="G607" s="119" t="s">
        <v>7110</v>
      </c>
      <c r="H607" s="91" t="s">
        <v>2735</v>
      </c>
      <c r="I607" s="114" t="s">
        <v>149</v>
      </c>
      <c r="J607" s="83" t="s">
        <v>150</v>
      </c>
      <c r="K607" s="83" t="s">
        <v>151</v>
      </c>
      <c r="L607" s="83" t="s">
        <v>76</v>
      </c>
      <c r="M607" s="82" t="s">
        <v>7111</v>
      </c>
      <c r="N607" s="82" t="s">
        <v>7112</v>
      </c>
      <c r="O607" s="82" t="s">
        <v>7113</v>
      </c>
      <c r="P607" s="82" t="s">
        <v>7114</v>
      </c>
      <c r="Q607" s="82"/>
      <c r="R607" s="82"/>
      <c r="S607" s="82" t="s">
        <v>7096</v>
      </c>
      <c r="T607" s="138">
        <v>8.0</v>
      </c>
      <c r="U607" s="438" t="s">
        <v>7116</v>
      </c>
      <c r="V607" s="106">
        <v>0.0</v>
      </c>
      <c r="W607" s="107">
        <v>0.0</v>
      </c>
      <c r="X607" s="107">
        <v>0.0</v>
      </c>
      <c r="Y607" s="107">
        <v>0.0</v>
      </c>
      <c r="Z607" s="80">
        <v>0.0</v>
      </c>
      <c r="AA607" s="140">
        <v>0.0</v>
      </c>
      <c r="AB607" s="109">
        <v>0.0</v>
      </c>
      <c r="AC607" s="109">
        <v>0.0</v>
      </c>
      <c r="AD607" s="141">
        <v>0.0</v>
      </c>
      <c r="AE607" s="80">
        <v>0.0</v>
      </c>
      <c r="AF607" s="140">
        <v>364.0</v>
      </c>
      <c r="AG607" s="109">
        <v>337.0</v>
      </c>
      <c r="AH607" s="109">
        <v>27.0</v>
      </c>
      <c r="AI607" s="141">
        <v>37.0</v>
      </c>
      <c r="AJ607" s="80">
        <v>765.0</v>
      </c>
      <c r="AK607" s="140">
        <v>0.0</v>
      </c>
      <c r="AL607" s="109">
        <v>0.0</v>
      </c>
      <c r="AM607" s="141">
        <v>0.0</v>
      </c>
      <c r="AN607" s="80">
        <v>0.0</v>
      </c>
      <c r="AO607" s="140">
        <v>0.0</v>
      </c>
      <c r="AP607" s="109">
        <v>0.0</v>
      </c>
      <c r="AQ607" s="109">
        <v>98.0</v>
      </c>
      <c r="AR607" s="80">
        <v>98.0</v>
      </c>
      <c r="AS607" s="110">
        <v>49.0</v>
      </c>
      <c r="AT607" s="110">
        <v>12.0</v>
      </c>
      <c r="AU607" s="110">
        <v>0.0</v>
      </c>
      <c r="AV607" s="142">
        <v>0.0</v>
      </c>
      <c r="AW607" s="80">
        <v>61.0</v>
      </c>
      <c r="AX607" s="113">
        <v>924.0</v>
      </c>
      <c r="AY607" s="117">
        <v>799.0</v>
      </c>
      <c r="AZ607" s="328">
        <v>125.0</v>
      </c>
      <c r="BA607" s="315">
        <v>0.0</v>
      </c>
      <c r="BB607" s="316">
        <v>924.0</v>
      </c>
      <c r="BC607" s="132" t="s">
        <v>178</v>
      </c>
      <c r="BD607" s="132" t="s">
        <v>178</v>
      </c>
      <c r="BE607" s="132" t="s">
        <v>178</v>
      </c>
      <c r="BF607" s="123"/>
      <c r="BG607" s="83">
        <v>1178269.0</v>
      </c>
      <c r="BH607" s="112">
        <v>16.0</v>
      </c>
      <c r="BI607" s="98" t="s">
        <v>176</v>
      </c>
      <c r="BJ607" s="98" t="str">
        <f t="shared" si="1"/>
        <v>INTEGRAL</v>
      </c>
      <c r="BK607" s="98" t="str">
        <f t="shared" si="2"/>
        <v>PROFISSIONAL</v>
      </c>
    </row>
    <row r="608" ht="15.75" customHeight="1">
      <c r="A608" s="111" t="s">
        <v>723</v>
      </c>
      <c r="B608" s="83" t="s">
        <v>2737</v>
      </c>
      <c r="C608" s="83" t="s">
        <v>68</v>
      </c>
      <c r="D608" s="83">
        <v>1166796.0</v>
      </c>
      <c r="E608" s="83"/>
      <c r="F608" s="83">
        <v>2.9231868E7</v>
      </c>
      <c r="G608" s="187" t="s">
        <v>7120</v>
      </c>
      <c r="H608" s="91" t="s">
        <v>2739</v>
      </c>
      <c r="I608" s="187" t="s">
        <v>149</v>
      </c>
      <c r="J608" s="136" t="s">
        <v>150</v>
      </c>
      <c r="K608" s="83" t="s">
        <v>151</v>
      </c>
      <c r="L608" s="83" t="s">
        <v>169</v>
      </c>
      <c r="M608" s="82" t="s">
        <v>7122</v>
      </c>
      <c r="N608" s="82" t="s">
        <v>7123</v>
      </c>
      <c r="O608" s="82" t="s">
        <v>7124</v>
      </c>
      <c r="P608" s="82" t="s">
        <v>7125</v>
      </c>
      <c r="Q608" s="82"/>
      <c r="R608" s="82"/>
      <c r="S608" s="82" t="s">
        <v>7126</v>
      </c>
      <c r="T608" s="138">
        <v>5.0</v>
      </c>
      <c r="U608" s="323">
        <v>5.0</v>
      </c>
      <c r="V608" s="106">
        <v>0.0</v>
      </c>
      <c r="W608" s="107">
        <v>0.0</v>
      </c>
      <c r="X608" s="107">
        <v>0.0</v>
      </c>
      <c r="Y608" s="107">
        <v>0.0</v>
      </c>
      <c r="Z608" s="80">
        <v>0.0</v>
      </c>
      <c r="AA608" s="140">
        <v>0.0</v>
      </c>
      <c r="AB608" s="109">
        <v>0.0</v>
      </c>
      <c r="AC608" s="109">
        <v>0.0</v>
      </c>
      <c r="AD608" s="141">
        <v>0.0</v>
      </c>
      <c r="AE608" s="80">
        <v>0.0</v>
      </c>
      <c r="AF608" s="140">
        <v>154.0</v>
      </c>
      <c r="AG608" s="109">
        <v>99.0</v>
      </c>
      <c r="AH608" s="109">
        <v>0.0</v>
      </c>
      <c r="AI608" s="141">
        <v>0.0</v>
      </c>
      <c r="AJ608" s="80">
        <v>253.0</v>
      </c>
      <c r="AK608" s="140">
        <v>0.0</v>
      </c>
      <c r="AL608" s="109">
        <v>0.0</v>
      </c>
      <c r="AM608" s="141">
        <v>0.0</v>
      </c>
      <c r="AN608" s="80">
        <v>0.0</v>
      </c>
      <c r="AO608" s="140">
        <v>0.0</v>
      </c>
      <c r="AP608" s="109">
        <v>0.0</v>
      </c>
      <c r="AQ608" s="109">
        <v>78.0</v>
      </c>
      <c r="AR608" s="80">
        <v>78.0</v>
      </c>
      <c r="AS608" s="110">
        <v>0.0</v>
      </c>
      <c r="AT608" s="110">
        <v>0.0</v>
      </c>
      <c r="AU608" s="110">
        <v>0.0</v>
      </c>
      <c r="AV608" s="142">
        <v>0.0</v>
      </c>
      <c r="AW608" s="80">
        <v>0.0</v>
      </c>
      <c r="AX608" s="113">
        <v>331.0</v>
      </c>
      <c r="AY608" s="117">
        <v>253.0</v>
      </c>
      <c r="AZ608" s="328">
        <v>78.0</v>
      </c>
      <c r="BA608" s="315">
        <v>0.0</v>
      </c>
      <c r="BB608" s="316">
        <v>331.0</v>
      </c>
      <c r="BC608" s="132" t="s">
        <v>178</v>
      </c>
      <c r="BD608" s="132" t="s">
        <v>178</v>
      </c>
      <c r="BE608" s="132" t="s">
        <v>178</v>
      </c>
      <c r="BF608" s="123"/>
      <c r="BG608" s="83">
        <v>1166796.0</v>
      </c>
      <c r="BH608" s="112">
        <v>5.0</v>
      </c>
      <c r="BI608" s="98" t="s">
        <v>155</v>
      </c>
      <c r="BJ608" s="98" t="str">
        <f t="shared" si="1"/>
        <v>NÃO</v>
      </c>
      <c r="BK608" s="98" t="str">
        <f t="shared" si="2"/>
        <v>NÃO</v>
      </c>
    </row>
    <row r="609" ht="15.75" customHeight="1">
      <c r="A609" s="111" t="s">
        <v>723</v>
      </c>
      <c r="B609" s="83" t="s">
        <v>2269</v>
      </c>
      <c r="C609" s="83" t="s">
        <v>68</v>
      </c>
      <c r="D609" s="83">
        <v>1118171.0</v>
      </c>
      <c r="E609" s="83"/>
      <c r="F609" s="83">
        <v>2.9232341E7</v>
      </c>
      <c r="G609" s="114" t="s">
        <v>7127</v>
      </c>
      <c r="H609" s="91" t="s">
        <v>7128</v>
      </c>
      <c r="I609" s="114" t="s">
        <v>149</v>
      </c>
      <c r="J609" s="83" t="s">
        <v>150</v>
      </c>
      <c r="K609" s="83" t="s">
        <v>151</v>
      </c>
      <c r="L609" s="83" t="s">
        <v>169</v>
      </c>
      <c r="M609" s="82" t="s">
        <v>7130</v>
      </c>
      <c r="N609" s="82" t="s">
        <v>7131</v>
      </c>
      <c r="O609" s="82" t="s">
        <v>7132</v>
      </c>
      <c r="P609" s="82" t="s">
        <v>7133</v>
      </c>
      <c r="Q609" s="82" t="s">
        <v>7134</v>
      </c>
      <c r="R609" s="82"/>
      <c r="S609" s="82" t="s">
        <v>7135</v>
      </c>
      <c r="T609" s="138">
        <v>7.0</v>
      </c>
      <c r="U609" s="440">
        <v>7.0</v>
      </c>
      <c r="V609" s="106">
        <v>0.0</v>
      </c>
      <c r="W609" s="107">
        <v>0.0</v>
      </c>
      <c r="X609" s="107">
        <v>0.0</v>
      </c>
      <c r="Y609" s="107">
        <v>0.0</v>
      </c>
      <c r="Z609" s="80">
        <v>0.0</v>
      </c>
      <c r="AA609" s="140">
        <v>0.0</v>
      </c>
      <c r="AB609" s="109">
        <v>0.0</v>
      </c>
      <c r="AC609" s="109">
        <v>0.0</v>
      </c>
      <c r="AD609" s="141">
        <v>0.0</v>
      </c>
      <c r="AE609" s="80">
        <v>0.0</v>
      </c>
      <c r="AF609" s="140">
        <v>180.0</v>
      </c>
      <c r="AG609" s="109">
        <v>137.0</v>
      </c>
      <c r="AH609" s="109">
        <v>0.0</v>
      </c>
      <c r="AI609" s="141">
        <v>0.0</v>
      </c>
      <c r="AJ609" s="80">
        <v>317.0</v>
      </c>
      <c r="AK609" s="140">
        <v>0.0</v>
      </c>
      <c r="AL609" s="109">
        <v>0.0</v>
      </c>
      <c r="AM609" s="141">
        <v>0.0</v>
      </c>
      <c r="AN609" s="80">
        <v>0.0</v>
      </c>
      <c r="AO609" s="140">
        <v>0.0</v>
      </c>
      <c r="AP609" s="109">
        <v>0.0</v>
      </c>
      <c r="AQ609" s="109">
        <v>0.0</v>
      </c>
      <c r="AR609" s="80">
        <v>0.0</v>
      </c>
      <c r="AS609" s="110">
        <v>0.0</v>
      </c>
      <c r="AT609" s="110">
        <v>0.0</v>
      </c>
      <c r="AU609" s="110">
        <v>0.0</v>
      </c>
      <c r="AV609" s="142">
        <v>0.0</v>
      </c>
      <c r="AW609" s="80">
        <v>0.0</v>
      </c>
      <c r="AX609" s="113">
        <v>317.0</v>
      </c>
      <c r="AY609" s="117">
        <v>317.0</v>
      </c>
      <c r="AZ609" s="328">
        <v>0.0</v>
      </c>
      <c r="BA609" s="315">
        <v>0.0</v>
      </c>
      <c r="BB609" s="316">
        <v>317.0</v>
      </c>
      <c r="BC609" s="132" t="s">
        <v>178</v>
      </c>
      <c r="BD609" s="132" t="s">
        <v>178</v>
      </c>
      <c r="BE609" s="132" t="s">
        <v>178</v>
      </c>
      <c r="BF609" s="123"/>
      <c r="BG609" s="83">
        <v>1118171.0</v>
      </c>
      <c r="BH609" s="112">
        <v>7.0</v>
      </c>
      <c r="BI609" s="98" t="s">
        <v>155</v>
      </c>
      <c r="BJ609" s="98" t="str">
        <f t="shared" si="1"/>
        <v>NÃO</v>
      </c>
      <c r="BK609" s="98" t="str">
        <f t="shared" si="2"/>
        <v>NÃO</v>
      </c>
    </row>
    <row r="610" ht="15.75" customHeight="1">
      <c r="A610" s="111" t="s">
        <v>723</v>
      </c>
      <c r="B610" s="83" t="s">
        <v>2269</v>
      </c>
      <c r="C610" s="83" t="s">
        <v>68</v>
      </c>
      <c r="D610" s="83">
        <v>1176455.0</v>
      </c>
      <c r="E610" s="83"/>
      <c r="F610" s="83">
        <v>2.9390109E7</v>
      </c>
      <c r="G610" s="114" t="s">
        <v>7140</v>
      </c>
      <c r="H610" s="91" t="s">
        <v>2745</v>
      </c>
      <c r="I610" s="114" t="s">
        <v>2746</v>
      </c>
      <c r="J610" s="83" t="s">
        <v>150</v>
      </c>
      <c r="K610" s="83" t="s">
        <v>151</v>
      </c>
      <c r="L610" s="83" t="s">
        <v>152</v>
      </c>
      <c r="M610" s="82" t="s">
        <v>7143</v>
      </c>
      <c r="N610" s="82" t="s">
        <v>7144</v>
      </c>
      <c r="O610" s="82" t="s">
        <v>7146</v>
      </c>
      <c r="P610" s="82" t="s">
        <v>7147</v>
      </c>
      <c r="Q610" s="82" t="s">
        <v>7148</v>
      </c>
      <c r="R610" s="82" t="s">
        <v>7149</v>
      </c>
      <c r="S610" s="82" t="s">
        <v>7150</v>
      </c>
      <c r="T610" s="138">
        <v>8.0</v>
      </c>
      <c r="U610" s="341" t="s">
        <v>7151</v>
      </c>
      <c r="V610" s="106">
        <v>0.0</v>
      </c>
      <c r="W610" s="107">
        <v>0.0</v>
      </c>
      <c r="X610" s="107">
        <v>0.0</v>
      </c>
      <c r="Y610" s="107">
        <v>0.0</v>
      </c>
      <c r="Z610" s="80">
        <v>0.0</v>
      </c>
      <c r="AA610" s="140">
        <v>0.0</v>
      </c>
      <c r="AB610" s="109">
        <v>0.0</v>
      </c>
      <c r="AC610" s="109">
        <v>0.0</v>
      </c>
      <c r="AD610" s="141">
        <v>0.0</v>
      </c>
      <c r="AE610" s="80">
        <v>0.0</v>
      </c>
      <c r="AF610" s="140">
        <v>339.0</v>
      </c>
      <c r="AG610" s="109">
        <v>172.0</v>
      </c>
      <c r="AH610" s="109">
        <v>26.0</v>
      </c>
      <c r="AI610" s="141">
        <v>0.0</v>
      </c>
      <c r="AJ610" s="80">
        <v>537.0</v>
      </c>
      <c r="AK610" s="140">
        <v>0.0</v>
      </c>
      <c r="AL610" s="109">
        <v>0.0</v>
      </c>
      <c r="AM610" s="141">
        <v>0.0</v>
      </c>
      <c r="AN610" s="80">
        <v>0.0</v>
      </c>
      <c r="AO610" s="140">
        <v>0.0</v>
      </c>
      <c r="AP610" s="109">
        <v>0.0</v>
      </c>
      <c r="AQ610" s="109">
        <v>57.0</v>
      </c>
      <c r="AR610" s="80">
        <v>57.0</v>
      </c>
      <c r="AS610" s="110">
        <v>0.0</v>
      </c>
      <c r="AT610" s="110">
        <v>90.0</v>
      </c>
      <c r="AU610" s="110">
        <v>81.0</v>
      </c>
      <c r="AV610" s="142">
        <v>0.0</v>
      </c>
      <c r="AW610" s="80">
        <v>171.0</v>
      </c>
      <c r="AX610" s="113">
        <v>765.0</v>
      </c>
      <c r="AY610" s="117">
        <v>601.0</v>
      </c>
      <c r="AZ610" s="328">
        <v>164.0</v>
      </c>
      <c r="BA610" s="315">
        <v>0.0</v>
      </c>
      <c r="BB610" s="316">
        <v>765.0</v>
      </c>
      <c r="BC610" s="132" t="s">
        <v>178</v>
      </c>
      <c r="BD610" s="132" t="s">
        <v>178</v>
      </c>
      <c r="BE610" s="132" t="s">
        <v>178</v>
      </c>
      <c r="BF610" s="156"/>
      <c r="BG610" s="83">
        <v>1176455.0</v>
      </c>
      <c r="BH610" s="112">
        <v>8.0</v>
      </c>
      <c r="BI610" s="98" t="s">
        <v>155</v>
      </c>
      <c r="BJ610" s="98" t="str">
        <f t="shared" si="1"/>
        <v>NÃO</v>
      </c>
      <c r="BK610" s="98" t="str">
        <f t="shared" si="2"/>
        <v>PROFISSIONAL</v>
      </c>
    </row>
    <row r="611" ht="15.75" customHeight="1">
      <c r="A611" s="111" t="s">
        <v>723</v>
      </c>
      <c r="B611" s="83" t="s">
        <v>2269</v>
      </c>
      <c r="C611" s="83" t="s">
        <v>164</v>
      </c>
      <c r="D611" s="83">
        <v>1176455.0</v>
      </c>
      <c r="E611" s="83">
        <v>1179707.0</v>
      </c>
      <c r="F611" s="83"/>
      <c r="G611" s="119" t="s">
        <v>7152</v>
      </c>
      <c r="H611" s="91" t="s">
        <v>2751</v>
      </c>
      <c r="I611" s="114" t="s">
        <v>149</v>
      </c>
      <c r="J611" s="115" t="s">
        <v>2752</v>
      </c>
      <c r="K611" s="98" t="s">
        <v>168</v>
      </c>
      <c r="L611" s="83" t="s">
        <v>512</v>
      </c>
      <c r="M611" s="82" t="s">
        <v>7143</v>
      </c>
      <c r="N611" s="82" t="s">
        <v>7144</v>
      </c>
      <c r="O611" s="82" t="s">
        <v>7146</v>
      </c>
      <c r="P611" s="82" t="s">
        <v>7147</v>
      </c>
      <c r="Q611" s="82" t="s">
        <v>7148</v>
      </c>
      <c r="R611" s="82" t="s">
        <v>7149</v>
      </c>
      <c r="S611" s="82" t="s">
        <v>7150</v>
      </c>
      <c r="T611" s="138">
        <v>4.0</v>
      </c>
      <c r="U611" s="323">
        <v>3.0</v>
      </c>
      <c r="V611" s="106">
        <v>0.0</v>
      </c>
      <c r="W611" s="107">
        <v>0.0</v>
      </c>
      <c r="X611" s="107">
        <v>0.0</v>
      </c>
      <c r="Y611" s="107">
        <v>0.0</v>
      </c>
      <c r="Z611" s="80">
        <v>0.0</v>
      </c>
      <c r="AA611" s="140">
        <v>0.0</v>
      </c>
      <c r="AB611" s="109">
        <v>0.0</v>
      </c>
      <c r="AC611" s="109">
        <v>0.0</v>
      </c>
      <c r="AD611" s="141">
        <v>0.0</v>
      </c>
      <c r="AE611" s="80">
        <v>0.0</v>
      </c>
      <c r="AF611" s="140">
        <v>0.0</v>
      </c>
      <c r="AG611" s="109">
        <v>0.0</v>
      </c>
      <c r="AH611" s="109">
        <v>0.0</v>
      </c>
      <c r="AI611" s="141">
        <v>0.0</v>
      </c>
      <c r="AJ611" s="80">
        <v>0.0</v>
      </c>
      <c r="AK611" s="140">
        <v>0.0</v>
      </c>
      <c r="AL611" s="109">
        <v>0.0</v>
      </c>
      <c r="AM611" s="141">
        <v>0.0</v>
      </c>
      <c r="AN611" s="80">
        <v>0.0</v>
      </c>
      <c r="AO611" s="140">
        <v>0.0</v>
      </c>
      <c r="AP611" s="109">
        <v>0.0</v>
      </c>
      <c r="AQ611" s="109">
        <v>0.0</v>
      </c>
      <c r="AR611" s="80">
        <v>0.0</v>
      </c>
      <c r="AS611" s="110">
        <v>0.0</v>
      </c>
      <c r="AT611" s="110">
        <v>84.0</v>
      </c>
      <c r="AU611" s="110">
        <v>0.0</v>
      </c>
      <c r="AV611" s="142">
        <v>0.0</v>
      </c>
      <c r="AW611" s="80">
        <v>84.0</v>
      </c>
      <c r="AX611" s="113">
        <v>84.0</v>
      </c>
      <c r="AY611" s="117">
        <v>84.0</v>
      </c>
      <c r="AZ611" s="328">
        <v>0.0</v>
      </c>
      <c r="BA611" s="315">
        <v>0.0</v>
      </c>
      <c r="BB611" s="316">
        <v>84.0</v>
      </c>
      <c r="BC611" s="132" t="s">
        <v>373</v>
      </c>
      <c r="BD611" s="132" t="s">
        <v>178</v>
      </c>
      <c r="BE611" s="132" t="s">
        <v>178</v>
      </c>
      <c r="BF611" s="123"/>
      <c r="BG611" s="83">
        <v>1179707.0</v>
      </c>
      <c r="BH611" s="112">
        <v>3.0</v>
      </c>
      <c r="BI611" s="98" t="s">
        <v>155</v>
      </c>
      <c r="BJ611" s="98" t="str">
        <f t="shared" si="1"/>
        <v>NÃO</v>
      </c>
      <c r="BK611" s="98" t="str">
        <f t="shared" si="2"/>
        <v>PROFISSIONAL</v>
      </c>
    </row>
    <row r="612" ht="15.75" customHeight="1">
      <c r="A612" s="111" t="s">
        <v>723</v>
      </c>
      <c r="B612" s="83" t="s">
        <v>2753</v>
      </c>
      <c r="C612" s="83" t="s">
        <v>68</v>
      </c>
      <c r="D612" s="83">
        <v>1179694.0</v>
      </c>
      <c r="E612" s="83"/>
      <c r="F612" s="83">
        <v>2.9479169E7</v>
      </c>
      <c r="G612" s="114" t="s">
        <v>7157</v>
      </c>
      <c r="H612" s="91" t="s">
        <v>2755</v>
      </c>
      <c r="I612" s="298" t="s">
        <v>149</v>
      </c>
      <c r="J612" s="136" t="s">
        <v>150</v>
      </c>
      <c r="K612" s="83" t="s">
        <v>151</v>
      </c>
      <c r="L612" s="83" t="s">
        <v>152</v>
      </c>
      <c r="M612" s="82" t="s">
        <v>7158</v>
      </c>
      <c r="N612" s="82" t="s">
        <v>7159</v>
      </c>
      <c r="O612" s="82" t="s">
        <v>7160</v>
      </c>
      <c r="P612" s="82" t="s">
        <v>7161</v>
      </c>
      <c r="Q612" s="82" t="s">
        <v>7162</v>
      </c>
      <c r="R612" s="82" t="s">
        <v>7163</v>
      </c>
      <c r="S612" s="82"/>
      <c r="T612" s="138">
        <v>9.0</v>
      </c>
      <c r="U612" s="323" t="s">
        <v>7164</v>
      </c>
      <c r="V612" s="106">
        <v>0.0</v>
      </c>
      <c r="W612" s="107">
        <v>0.0</v>
      </c>
      <c r="X612" s="107">
        <v>0.0</v>
      </c>
      <c r="Y612" s="107">
        <v>0.0</v>
      </c>
      <c r="Z612" s="80">
        <v>0.0</v>
      </c>
      <c r="AA612" s="140">
        <v>0.0</v>
      </c>
      <c r="AB612" s="109">
        <v>0.0</v>
      </c>
      <c r="AC612" s="109">
        <v>0.0</v>
      </c>
      <c r="AD612" s="141">
        <v>0.0</v>
      </c>
      <c r="AE612" s="80">
        <v>0.0</v>
      </c>
      <c r="AF612" s="140">
        <v>0.0</v>
      </c>
      <c r="AG612" s="109">
        <v>0.0</v>
      </c>
      <c r="AH612" s="109">
        <v>0.0</v>
      </c>
      <c r="AI612" s="141">
        <v>206.0</v>
      </c>
      <c r="AJ612" s="80">
        <v>206.0</v>
      </c>
      <c r="AK612" s="140">
        <v>0.0</v>
      </c>
      <c r="AL612" s="109">
        <v>0.0</v>
      </c>
      <c r="AM612" s="141">
        <v>0.0</v>
      </c>
      <c r="AN612" s="80">
        <v>0.0</v>
      </c>
      <c r="AO612" s="140">
        <v>0.0</v>
      </c>
      <c r="AP612" s="109">
        <v>0.0</v>
      </c>
      <c r="AQ612" s="109">
        <v>89.0</v>
      </c>
      <c r="AR612" s="80">
        <v>89.0</v>
      </c>
      <c r="AS612" s="110">
        <v>77.0</v>
      </c>
      <c r="AT612" s="110">
        <v>0.0</v>
      </c>
      <c r="AU612" s="110">
        <v>7.0</v>
      </c>
      <c r="AV612" s="142">
        <v>31.0</v>
      </c>
      <c r="AW612" s="80">
        <v>115.0</v>
      </c>
      <c r="AX612" s="113">
        <v>410.0</v>
      </c>
      <c r="AY612" s="117">
        <v>314.0</v>
      </c>
      <c r="AZ612" s="328">
        <v>96.0</v>
      </c>
      <c r="BA612" s="315">
        <v>0.0</v>
      </c>
      <c r="BB612" s="316">
        <v>410.0</v>
      </c>
      <c r="BC612" s="132" t="s">
        <v>178</v>
      </c>
      <c r="BD612" s="132" t="s">
        <v>178</v>
      </c>
      <c r="BE612" s="132" t="s">
        <v>178</v>
      </c>
      <c r="BF612" s="156"/>
      <c r="BG612" s="83">
        <v>1179694.0</v>
      </c>
      <c r="BH612" s="112">
        <v>12.0</v>
      </c>
      <c r="BI612" s="98" t="s">
        <v>155</v>
      </c>
      <c r="BJ612" s="98" t="str">
        <f t="shared" si="1"/>
        <v>INTEGRAL</v>
      </c>
      <c r="BK612" s="98" t="str">
        <f t="shared" si="2"/>
        <v>PROFISSIONAL</v>
      </c>
    </row>
    <row r="613" ht="15.75" customHeight="1">
      <c r="A613" s="111" t="s">
        <v>723</v>
      </c>
      <c r="B613" s="83" t="s">
        <v>2764</v>
      </c>
      <c r="C613" s="83" t="s">
        <v>68</v>
      </c>
      <c r="D613" s="83">
        <v>1177069.0</v>
      </c>
      <c r="E613" s="83"/>
      <c r="F613" s="83">
        <v>2.9410452E7</v>
      </c>
      <c r="G613" s="147" t="s">
        <v>7165</v>
      </c>
      <c r="H613" s="91" t="s">
        <v>7166</v>
      </c>
      <c r="I613" s="114" t="s">
        <v>149</v>
      </c>
      <c r="J613" s="83" t="s">
        <v>150</v>
      </c>
      <c r="K613" s="83" t="s">
        <v>151</v>
      </c>
      <c r="L613" s="83" t="s">
        <v>230</v>
      </c>
      <c r="M613" s="82" t="s">
        <v>7167</v>
      </c>
      <c r="N613" s="82" t="s">
        <v>7168</v>
      </c>
      <c r="O613" s="82" t="s">
        <v>7169</v>
      </c>
      <c r="P613" s="82" t="s">
        <v>7170</v>
      </c>
      <c r="Q613" s="82" t="s">
        <v>7171</v>
      </c>
      <c r="R613" s="82" t="s">
        <v>7172</v>
      </c>
      <c r="S613" s="82" t="s">
        <v>7173</v>
      </c>
      <c r="T613" s="138">
        <v>9.0</v>
      </c>
      <c r="U613" s="401" t="s">
        <v>7174</v>
      </c>
      <c r="V613" s="106">
        <v>0.0</v>
      </c>
      <c r="W613" s="107">
        <v>0.0</v>
      </c>
      <c r="X613" s="107">
        <v>0.0</v>
      </c>
      <c r="Y613" s="107">
        <v>0.0</v>
      </c>
      <c r="Z613" s="80">
        <v>0.0</v>
      </c>
      <c r="AA613" s="140">
        <v>0.0</v>
      </c>
      <c r="AB613" s="109">
        <v>0.0</v>
      </c>
      <c r="AC613" s="109">
        <v>0.0</v>
      </c>
      <c r="AD613" s="141">
        <v>0.0</v>
      </c>
      <c r="AE613" s="80">
        <v>0.0</v>
      </c>
      <c r="AF613" s="140">
        <v>225.0</v>
      </c>
      <c r="AG613" s="109">
        <v>208.0</v>
      </c>
      <c r="AH613" s="109">
        <v>42.0</v>
      </c>
      <c r="AI613" s="141">
        <v>101.0</v>
      </c>
      <c r="AJ613" s="80">
        <v>576.0</v>
      </c>
      <c r="AK613" s="140">
        <v>0.0</v>
      </c>
      <c r="AL613" s="109">
        <v>0.0</v>
      </c>
      <c r="AM613" s="141">
        <v>0.0</v>
      </c>
      <c r="AN613" s="80">
        <v>0.0</v>
      </c>
      <c r="AO613" s="140">
        <v>0.0</v>
      </c>
      <c r="AP613" s="109">
        <v>0.0</v>
      </c>
      <c r="AQ613" s="109">
        <v>132.0</v>
      </c>
      <c r="AR613" s="80">
        <v>132.0</v>
      </c>
      <c r="AS613" s="110">
        <v>0.0</v>
      </c>
      <c r="AT613" s="110">
        <v>0.0</v>
      </c>
      <c r="AU613" s="110">
        <v>64.0</v>
      </c>
      <c r="AV613" s="142">
        <v>0.0</v>
      </c>
      <c r="AW613" s="80">
        <v>64.0</v>
      </c>
      <c r="AX613" s="113">
        <v>772.0</v>
      </c>
      <c r="AY613" s="117">
        <v>534.0</v>
      </c>
      <c r="AZ613" s="328">
        <v>238.0</v>
      </c>
      <c r="BA613" s="315">
        <v>3.0</v>
      </c>
      <c r="BB613" s="316">
        <v>775.0</v>
      </c>
      <c r="BC613" s="132" t="s">
        <v>178</v>
      </c>
      <c r="BD613" s="132" t="s">
        <v>178</v>
      </c>
      <c r="BE613" s="132" t="s">
        <v>178</v>
      </c>
      <c r="BF613" s="156"/>
      <c r="BG613" s="83">
        <v>1177069.0</v>
      </c>
      <c r="BH613" s="112">
        <v>9.0</v>
      </c>
      <c r="BI613" s="98" t="s">
        <v>155</v>
      </c>
      <c r="BJ613" s="98" t="str">
        <f t="shared" si="1"/>
        <v>INTEGRAL</v>
      </c>
      <c r="BK613" s="98" t="str">
        <f t="shared" si="2"/>
        <v>PROFISSIONAL</v>
      </c>
    </row>
    <row r="614" ht="15.75" customHeight="1">
      <c r="A614" s="111" t="s">
        <v>723</v>
      </c>
      <c r="B614" s="136" t="s">
        <v>2771</v>
      </c>
      <c r="C614" s="83" t="s">
        <v>68</v>
      </c>
      <c r="D614" s="83">
        <v>1118414.0</v>
      </c>
      <c r="E614" s="83"/>
      <c r="F614" s="83">
        <v>2.923445E7</v>
      </c>
      <c r="G614" s="241" t="s">
        <v>7180</v>
      </c>
      <c r="H614" s="91" t="s">
        <v>2773</v>
      </c>
      <c r="I614" s="187" t="s">
        <v>149</v>
      </c>
      <c r="J614" s="136" t="s">
        <v>150</v>
      </c>
      <c r="K614" s="136" t="s">
        <v>151</v>
      </c>
      <c r="L614" s="136" t="s">
        <v>152</v>
      </c>
      <c r="M614" s="82" t="s">
        <v>7181</v>
      </c>
      <c r="N614" s="82" t="s">
        <v>7182</v>
      </c>
      <c r="O614" s="82" t="s">
        <v>7183</v>
      </c>
      <c r="P614" s="82" t="s">
        <v>7184</v>
      </c>
      <c r="Q614" s="82" t="s">
        <v>7185</v>
      </c>
      <c r="R614" s="82" t="s">
        <v>7186</v>
      </c>
      <c r="S614" s="82" t="s">
        <v>7187</v>
      </c>
      <c r="T614" s="138">
        <v>12.0</v>
      </c>
      <c r="U614" s="437" t="s">
        <v>7188</v>
      </c>
      <c r="V614" s="106">
        <v>0.0</v>
      </c>
      <c r="W614" s="107">
        <v>0.0</v>
      </c>
      <c r="X614" s="107">
        <v>0.0</v>
      </c>
      <c r="Y614" s="107">
        <v>0.0</v>
      </c>
      <c r="Z614" s="80">
        <v>0.0</v>
      </c>
      <c r="AA614" s="140">
        <v>0.0</v>
      </c>
      <c r="AB614" s="109">
        <v>0.0</v>
      </c>
      <c r="AC614" s="109">
        <v>0.0</v>
      </c>
      <c r="AD614" s="141">
        <v>0.0</v>
      </c>
      <c r="AE614" s="80">
        <v>0.0</v>
      </c>
      <c r="AF614" s="140">
        <v>0.0</v>
      </c>
      <c r="AG614" s="109">
        <v>0.0</v>
      </c>
      <c r="AH614" s="109">
        <v>0.0</v>
      </c>
      <c r="AI614" s="141">
        <v>129.0</v>
      </c>
      <c r="AJ614" s="80">
        <v>129.0</v>
      </c>
      <c r="AK614" s="140">
        <v>0.0</v>
      </c>
      <c r="AL614" s="109">
        <v>0.0</v>
      </c>
      <c r="AM614" s="141">
        <v>0.0</v>
      </c>
      <c r="AN614" s="80">
        <v>0.0</v>
      </c>
      <c r="AO614" s="140">
        <v>0.0</v>
      </c>
      <c r="AP614" s="109">
        <v>0.0</v>
      </c>
      <c r="AQ614" s="109">
        <v>31.0</v>
      </c>
      <c r="AR614" s="80">
        <v>31.0</v>
      </c>
      <c r="AS614" s="110">
        <v>0.0</v>
      </c>
      <c r="AT614" s="110">
        <v>0.0</v>
      </c>
      <c r="AU614" s="110">
        <v>0.0</v>
      </c>
      <c r="AV614" s="142">
        <v>127.0</v>
      </c>
      <c r="AW614" s="80">
        <v>127.0</v>
      </c>
      <c r="AX614" s="113">
        <v>287.0</v>
      </c>
      <c r="AY614" s="117">
        <v>256.0</v>
      </c>
      <c r="AZ614" s="328">
        <v>31.0</v>
      </c>
      <c r="BA614" s="315">
        <v>0.0</v>
      </c>
      <c r="BB614" s="316">
        <v>287.0</v>
      </c>
      <c r="BC614" s="132" t="s">
        <v>178</v>
      </c>
      <c r="BD614" s="132" t="s">
        <v>178</v>
      </c>
      <c r="BE614" s="132" t="s">
        <v>178</v>
      </c>
      <c r="BF614" s="156"/>
      <c r="BG614" s="83">
        <v>1118414.0</v>
      </c>
      <c r="BH614" s="112">
        <v>8.0</v>
      </c>
      <c r="BI614" s="98" t="s">
        <v>155</v>
      </c>
      <c r="BJ614" s="98" t="str">
        <f t="shared" si="1"/>
        <v>INTEGRAL</v>
      </c>
      <c r="BK614" s="98" t="str">
        <f t="shared" si="2"/>
        <v>PROFISSIONAL</v>
      </c>
    </row>
    <row r="615" ht="15.75" customHeight="1">
      <c r="A615" s="111" t="s">
        <v>723</v>
      </c>
      <c r="B615" s="83" t="s">
        <v>2161</v>
      </c>
      <c r="C615" s="83" t="s">
        <v>68</v>
      </c>
      <c r="D615" s="83">
        <v>1166877.0</v>
      </c>
      <c r="E615" s="83"/>
      <c r="F615" s="83">
        <v>2.9234913E7</v>
      </c>
      <c r="G615" s="119" t="s">
        <v>2776</v>
      </c>
      <c r="H615" s="91" t="s">
        <v>2777</v>
      </c>
      <c r="I615" s="298" t="s">
        <v>149</v>
      </c>
      <c r="J615" s="83" t="s">
        <v>150</v>
      </c>
      <c r="K615" s="83" t="s">
        <v>151</v>
      </c>
      <c r="L615" s="83" t="s">
        <v>76</v>
      </c>
      <c r="M615" s="82" t="s">
        <v>7190</v>
      </c>
      <c r="N615" s="82" t="s">
        <v>7191</v>
      </c>
      <c r="O615" s="82" t="s">
        <v>7192</v>
      </c>
      <c r="P615" s="82" t="s">
        <v>7193</v>
      </c>
      <c r="Q615" s="82"/>
      <c r="R615" s="82"/>
      <c r="S615" s="82" t="s">
        <v>7194</v>
      </c>
      <c r="T615" s="138">
        <v>7.0</v>
      </c>
      <c r="U615" s="420">
        <v>4.0</v>
      </c>
      <c r="V615" s="106">
        <v>0.0</v>
      </c>
      <c r="W615" s="107">
        <v>0.0</v>
      </c>
      <c r="X615" s="107">
        <v>0.0</v>
      </c>
      <c r="Y615" s="107">
        <v>0.0</v>
      </c>
      <c r="Z615" s="80">
        <v>0.0</v>
      </c>
      <c r="AA615" s="140">
        <v>0.0</v>
      </c>
      <c r="AB615" s="109">
        <v>0.0</v>
      </c>
      <c r="AC615" s="109">
        <v>0.0</v>
      </c>
      <c r="AD615" s="141">
        <v>0.0</v>
      </c>
      <c r="AE615" s="80">
        <v>0.0</v>
      </c>
      <c r="AF615" s="140">
        <v>139.0</v>
      </c>
      <c r="AG615" s="109">
        <v>87.0</v>
      </c>
      <c r="AH615" s="109">
        <v>7.0</v>
      </c>
      <c r="AI615" s="141">
        <v>0.0</v>
      </c>
      <c r="AJ615" s="80">
        <v>233.0</v>
      </c>
      <c r="AK615" s="140">
        <v>0.0</v>
      </c>
      <c r="AL615" s="109">
        <v>0.0</v>
      </c>
      <c r="AM615" s="141">
        <v>0.0</v>
      </c>
      <c r="AN615" s="80">
        <v>0.0</v>
      </c>
      <c r="AO615" s="140">
        <v>0.0</v>
      </c>
      <c r="AP615" s="109">
        <v>0.0</v>
      </c>
      <c r="AQ615" s="109">
        <v>30.0</v>
      </c>
      <c r="AR615" s="80">
        <v>30.0</v>
      </c>
      <c r="AS615" s="110">
        <v>48.0</v>
      </c>
      <c r="AT615" s="110">
        <v>40.0</v>
      </c>
      <c r="AU615" s="110">
        <v>0.0</v>
      </c>
      <c r="AV615" s="142">
        <v>0.0</v>
      </c>
      <c r="AW615" s="80">
        <v>88.0</v>
      </c>
      <c r="AX615" s="113">
        <v>351.0</v>
      </c>
      <c r="AY615" s="117">
        <v>314.0</v>
      </c>
      <c r="AZ615" s="328">
        <v>37.0</v>
      </c>
      <c r="BA615" s="315">
        <v>0.0</v>
      </c>
      <c r="BB615" s="316">
        <v>351.0</v>
      </c>
      <c r="BC615" s="132" t="s">
        <v>178</v>
      </c>
      <c r="BD615" s="132" t="s">
        <v>178</v>
      </c>
      <c r="BE615" s="132" t="s">
        <v>178</v>
      </c>
      <c r="BF615" s="156"/>
      <c r="BG615" s="83">
        <v>1166877.0</v>
      </c>
      <c r="BH615" s="195">
        <v>4.0</v>
      </c>
      <c r="BI615" s="98" t="s">
        <v>155</v>
      </c>
      <c r="BJ615" s="98" t="str">
        <f t="shared" si="1"/>
        <v>NÃO</v>
      </c>
      <c r="BK615" s="98" t="str">
        <f t="shared" si="2"/>
        <v>PROFISSIONAL</v>
      </c>
    </row>
    <row r="616" ht="15.75" customHeight="1">
      <c r="A616" s="111" t="s">
        <v>723</v>
      </c>
      <c r="B616" s="83" t="s">
        <v>2161</v>
      </c>
      <c r="C616" s="83" t="s">
        <v>164</v>
      </c>
      <c r="D616" s="83">
        <v>1166877.0</v>
      </c>
      <c r="E616" s="83">
        <v>1178637.0</v>
      </c>
      <c r="F616" s="83"/>
      <c r="G616" s="187" t="s">
        <v>7201</v>
      </c>
      <c r="H616" s="91" t="s">
        <v>7202</v>
      </c>
      <c r="I616" s="114" t="s">
        <v>149</v>
      </c>
      <c r="J616" s="83" t="s">
        <v>150</v>
      </c>
      <c r="K616" s="83" t="s">
        <v>168</v>
      </c>
      <c r="L616" s="83" t="s">
        <v>169</v>
      </c>
      <c r="M616" s="82" t="s">
        <v>7190</v>
      </c>
      <c r="N616" s="82" t="s">
        <v>7191</v>
      </c>
      <c r="O616" s="82" t="s">
        <v>7192</v>
      </c>
      <c r="P616" s="82" t="s">
        <v>7193</v>
      </c>
      <c r="Q616" s="82"/>
      <c r="R616" s="82"/>
      <c r="S616" s="82" t="s">
        <v>7194</v>
      </c>
      <c r="T616" s="138">
        <v>2.0</v>
      </c>
      <c r="U616" s="387">
        <v>2.0</v>
      </c>
      <c r="V616" s="106">
        <v>0.0</v>
      </c>
      <c r="W616" s="107">
        <v>0.0</v>
      </c>
      <c r="X616" s="107">
        <v>0.0</v>
      </c>
      <c r="Y616" s="107">
        <v>0.0</v>
      </c>
      <c r="Z616" s="80">
        <v>0.0</v>
      </c>
      <c r="AA616" s="140">
        <v>0.0</v>
      </c>
      <c r="AB616" s="109">
        <v>0.0</v>
      </c>
      <c r="AC616" s="109">
        <v>0.0</v>
      </c>
      <c r="AD616" s="141">
        <v>0.0</v>
      </c>
      <c r="AE616" s="80">
        <v>0.0</v>
      </c>
      <c r="AF616" s="140">
        <v>0.0</v>
      </c>
      <c r="AG616" s="109">
        <v>0.0</v>
      </c>
      <c r="AH616" s="109">
        <v>0.0</v>
      </c>
      <c r="AI616" s="141">
        <v>0.0</v>
      </c>
      <c r="AJ616" s="80">
        <v>0.0</v>
      </c>
      <c r="AK616" s="140">
        <v>0.0</v>
      </c>
      <c r="AL616" s="109">
        <v>0.0</v>
      </c>
      <c r="AM616" s="141">
        <v>0.0</v>
      </c>
      <c r="AN616" s="80">
        <v>0.0</v>
      </c>
      <c r="AO616" s="140">
        <v>0.0</v>
      </c>
      <c r="AP616" s="109">
        <v>0.0</v>
      </c>
      <c r="AQ616" s="109">
        <v>5.0</v>
      </c>
      <c r="AR616" s="80">
        <v>5.0</v>
      </c>
      <c r="AS616" s="110">
        <v>0.0</v>
      </c>
      <c r="AT616" s="110">
        <v>0.0</v>
      </c>
      <c r="AU616" s="110">
        <v>0.0</v>
      </c>
      <c r="AV616" s="142">
        <v>0.0</v>
      </c>
      <c r="AW616" s="80">
        <v>0.0</v>
      </c>
      <c r="AX616" s="113">
        <v>5.0</v>
      </c>
      <c r="AY616" s="117">
        <v>0.0</v>
      </c>
      <c r="AZ616" s="328">
        <v>5.0</v>
      </c>
      <c r="BA616" s="315">
        <v>0.0</v>
      </c>
      <c r="BB616" s="316">
        <v>5.0</v>
      </c>
      <c r="BC616" s="132" t="s">
        <v>373</v>
      </c>
      <c r="BD616" s="132" t="s">
        <v>178</v>
      </c>
      <c r="BE616" s="132" t="s">
        <v>178</v>
      </c>
      <c r="BF616" s="123"/>
      <c r="BG616" s="83">
        <v>1178637.0</v>
      </c>
      <c r="BH616" s="112">
        <v>2.0</v>
      </c>
      <c r="BI616" s="98" t="s">
        <v>155</v>
      </c>
      <c r="BJ616" s="98" t="str">
        <f t="shared" si="1"/>
        <v>NÃO</v>
      </c>
      <c r="BK616" s="98" t="str">
        <f t="shared" si="2"/>
        <v>NÃO</v>
      </c>
    </row>
    <row r="617" ht="15.75" customHeight="1">
      <c r="A617" s="111" t="s">
        <v>723</v>
      </c>
      <c r="B617" s="83" t="s">
        <v>2784</v>
      </c>
      <c r="C617" s="83" t="s">
        <v>68</v>
      </c>
      <c r="D617" s="83">
        <v>1118287.0</v>
      </c>
      <c r="E617" s="83"/>
      <c r="F617" s="83">
        <v>2.9235138E7</v>
      </c>
      <c r="G617" s="114" t="s">
        <v>7206</v>
      </c>
      <c r="H617" s="91" t="s">
        <v>7207</v>
      </c>
      <c r="I617" s="187" t="s">
        <v>149</v>
      </c>
      <c r="J617" s="136" t="s">
        <v>150</v>
      </c>
      <c r="K617" s="136" t="s">
        <v>151</v>
      </c>
      <c r="L617" s="83" t="s">
        <v>152</v>
      </c>
      <c r="M617" s="82" t="s">
        <v>7208</v>
      </c>
      <c r="N617" s="82" t="s">
        <v>7209</v>
      </c>
      <c r="O617" s="82" t="s">
        <v>7210</v>
      </c>
      <c r="P617" s="82" t="s">
        <v>7211</v>
      </c>
      <c r="Q617" s="82"/>
      <c r="R617" s="82"/>
      <c r="S617" s="82" t="s">
        <v>7212</v>
      </c>
      <c r="T617" s="138">
        <v>14.0</v>
      </c>
      <c r="U617" s="352" t="s">
        <v>7213</v>
      </c>
      <c r="V617" s="106">
        <v>0.0</v>
      </c>
      <c r="W617" s="107">
        <v>0.0</v>
      </c>
      <c r="X617" s="107">
        <v>0.0</v>
      </c>
      <c r="Y617" s="107">
        <v>0.0</v>
      </c>
      <c r="Z617" s="80">
        <v>0.0</v>
      </c>
      <c r="AA617" s="140">
        <v>0.0</v>
      </c>
      <c r="AB617" s="109">
        <v>0.0</v>
      </c>
      <c r="AC617" s="109">
        <v>0.0</v>
      </c>
      <c r="AD617" s="141">
        <v>0.0</v>
      </c>
      <c r="AE617" s="80">
        <v>0.0</v>
      </c>
      <c r="AF617" s="140">
        <v>0.0</v>
      </c>
      <c r="AG617" s="109">
        <v>0.0</v>
      </c>
      <c r="AH617" s="109">
        <v>0.0</v>
      </c>
      <c r="AI617" s="141">
        <v>146.0</v>
      </c>
      <c r="AJ617" s="80">
        <v>146.0</v>
      </c>
      <c r="AK617" s="140">
        <v>0.0</v>
      </c>
      <c r="AL617" s="109">
        <v>0.0</v>
      </c>
      <c r="AM617" s="141">
        <v>0.0</v>
      </c>
      <c r="AN617" s="80">
        <v>0.0</v>
      </c>
      <c r="AO617" s="140">
        <v>0.0</v>
      </c>
      <c r="AP617" s="109">
        <v>0.0</v>
      </c>
      <c r="AQ617" s="109">
        <v>82.0</v>
      </c>
      <c r="AR617" s="80">
        <v>82.0</v>
      </c>
      <c r="AS617" s="110">
        <v>53.0</v>
      </c>
      <c r="AT617" s="110">
        <v>0.0</v>
      </c>
      <c r="AU617" s="110">
        <v>19.0</v>
      </c>
      <c r="AV617" s="142">
        <v>0.0</v>
      </c>
      <c r="AW617" s="80">
        <v>72.0</v>
      </c>
      <c r="AX617" s="113">
        <v>300.0</v>
      </c>
      <c r="AY617" s="117">
        <v>199.0</v>
      </c>
      <c r="AZ617" s="328">
        <v>101.0</v>
      </c>
      <c r="BA617" s="315">
        <v>0.0</v>
      </c>
      <c r="BB617" s="316">
        <v>300.0</v>
      </c>
      <c r="BC617" s="132" t="s">
        <v>178</v>
      </c>
      <c r="BD617" s="132" t="s">
        <v>178</v>
      </c>
      <c r="BE617" s="132" t="s">
        <v>178</v>
      </c>
      <c r="BF617" s="156"/>
      <c r="BG617" s="83">
        <v>1118287.0</v>
      </c>
      <c r="BH617" s="112">
        <v>11.0</v>
      </c>
      <c r="BI617" s="98" t="s">
        <v>155</v>
      </c>
      <c r="BJ617" s="98" t="str">
        <f t="shared" si="1"/>
        <v>INTEGRAL</v>
      </c>
      <c r="BK617" s="98" t="str">
        <f t="shared" si="2"/>
        <v>PROFISSIONAL</v>
      </c>
    </row>
    <row r="618" ht="15.75" customHeight="1">
      <c r="A618" s="111" t="s">
        <v>723</v>
      </c>
      <c r="B618" s="83" t="s">
        <v>2789</v>
      </c>
      <c r="C618" s="83" t="s">
        <v>68</v>
      </c>
      <c r="D618" s="83">
        <v>1109563.0</v>
      </c>
      <c r="E618" s="83"/>
      <c r="F618" s="83">
        <v>2.923526E7</v>
      </c>
      <c r="G618" s="114" t="s">
        <v>7215</v>
      </c>
      <c r="H618" s="91" t="s">
        <v>2794</v>
      </c>
      <c r="I618" s="187" t="s">
        <v>149</v>
      </c>
      <c r="J618" s="136" t="s">
        <v>150</v>
      </c>
      <c r="K618" s="136" t="s">
        <v>151</v>
      </c>
      <c r="L618" s="83" t="s">
        <v>76</v>
      </c>
      <c r="M618" s="82" t="s">
        <v>7217</v>
      </c>
      <c r="N618" s="82" t="s">
        <v>7218</v>
      </c>
      <c r="O618" s="82" t="s">
        <v>7219</v>
      </c>
      <c r="P618" s="82" t="s">
        <v>7220</v>
      </c>
      <c r="Q618" s="82"/>
      <c r="R618" s="82"/>
      <c r="S618" s="82" t="s">
        <v>7221</v>
      </c>
      <c r="T618" s="138">
        <v>9.0</v>
      </c>
      <c r="U618" s="341">
        <v>8.0</v>
      </c>
      <c r="V618" s="106">
        <v>0.0</v>
      </c>
      <c r="W618" s="107">
        <v>0.0</v>
      </c>
      <c r="X618" s="107">
        <v>0.0</v>
      </c>
      <c r="Y618" s="107">
        <v>0.0</v>
      </c>
      <c r="Z618" s="80">
        <v>0.0</v>
      </c>
      <c r="AA618" s="140">
        <v>0.0</v>
      </c>
      <c r="AB618" s="109">
        <v>0.0</v>
      </c>
      <c r="AC618" s="109">
        <v>0.0</v>
      </c>
      <c r="AD618" s="141">
        <v>0.0</v>
      </c>
      <c r="AE618" s="80">
        <v>0.0</v>
      </c>
      <c r="AF618" s="140">
        <v>171.0</v>
      </c>
      <c r="AG618" s="109">
        <v>97.0</v>
      </c>
      <c r="AH618" s="109">
        <v>0.0</v>
      </c>
      <c r="AI618" s="141">
        <v>0.0</v>
      </c>
      <c r="AJ618" s="80">
        <v>268.0</v>
      </c>
      <c r="AK618" s="140">
        <v>0.0</v>
      </c>
      <c r="AL618" s="109">
        <v>0.0</v>
      </c>
      <c r="AM618" s="141">
        <v>0.0</v>
      </c>
      <c r="AN618" s="80">
        <v>0.0</v>
      </c>
      <c r="AO618" s="140">
        <v>0.0</v>
      </c>
      <c r="AP618" s="109">
        <v>0.0</v>
      </c>
      <c r="AQ618" s="109">
        <v>52.0</v>
      </c>
      <c r="AR618" s="80">
        <v>52.0</v>
      </c>
      <c r="AS618" s="110">
        <v>0.0</v>
      </c>
      <c r="AT618" s="110">
        <v>0.0</v>
      </c>
      <c r="AU618" s="110">
        <v>0.0</v>
      </c>
      <c r="AV618" s="142">
        <v>0.0</v>
      </c>
      <c r="AW618" s="80">
        <v>0.0</v>
      </c>
      <c r="AX618" s="113">
        <v>320.0</v>
      </c>
      <c r="AY618" s="117">
        <v>268.0</v>
      </c>
      <c r="AZ618" s="328">
        <v>52.0</v>
      </c>
      <c r="BA618" s="315">
        <v>26.0</v>
      </c>
      <c r="BB618" s="316">
        <v>346.0</v>
      </c>
      <c r="BC618" s="132" t="s">
        <v>178</v>
      </c>
      <c r="BD618" s="132" t="s">
        <v>178</v>
      </c>
      <c r="BE618" s="132" t="s">
        <v>178</v>
      </c>
      <c r="BF618" s="123"/>
      <c r="BG618" s="83">
        <v>1109563.0</v>
      </c>
      <c r="BH618" s="112">
        <v>8.0</v>
      </c>
      <c r="BI618" s="98" t="s">
        <v>155</v>
      </c>
      <c r="BJ618" s="98" t="str">
        <f t="shared" si="1"/>
        <v>NÃO</v>
      </c>
      <c r="BK618" s="98" t="str">
        <f t="shared" si="2"/>
        <v>NÃO</v>
      </c>
    </row>
    <row r="619" ht="15.75" customHeight="1">
      <c r="A619" s="111" t="s">
        <v>723</v>
      </c>
      <c r="B619" s="83" t="s">
        <v>2806</v>
      </c>
      <c r="C619" s="136" t="s">
        <v>68</v>
      </c>
      <c r="D619" s="136">
        <v>1110529.0</v>
      </c>
      <c r="E619" s="136"/>
      <c r="F619" s="136">
        <v>2.923655E7</v>
      </c>
      <c r="G619" s="187" t="s">
        <v>7226</v>
      </c>
      <c r="H619" s="91" t="s">
        <v>2808</v>
      </c>
      <c r="I619" s="298" t="s">
        <v>149</v>
      </c>
      <c r="J619" s="83" t="s">
        <v>150</v>
      </c>
      <c r="K619" s="83" t="s">
        <v>151</v>
      </c>
      <c r="L619" s="83" t="s">
        <v>152</v>
      </c>
      <c r="M619" s="82" t="s">
        <v>7227</v>
      </c>
      <c r="N619" s="82" t="s">
        <v>7228</v>
      </c>
      <c r="O619" s="82" t="s">
        <v>7229</v>
      </c>
      <c r="P619" s="82" t="s">
        <v>7230</v>
      </c>
      <c r="Q619" s="82" t="s">
        <v>7231</v>
      </c>
      <c r="R619" s="82" t="s">
        <v>7232</v>
      </c>
      <c r="S619" s="82" t="s">
        <v>7234</v>
      </c>
      <c r="T619" s="138">
        <v>8.0</v>
      </c>
      <c r="U619" s="389" t="s">
        <v>7235</v>
      </c>
      <c r="V619" s="106">
        <v>0.0</v>
      </c>
      <c r="W619" s="107">
        <v>0.0</v>
      </c>
      <c r="X619" s="107">
        <v>0.0</v>
      </c>
      <c r="Y619" s="107">
        <v>0.0</v>
      </c>
      <c r="Z619" s="80">
        <v>0.0</v>
      </c>
      <c r="AA619" s="140">
        <v>0.0</v>
      </c>
      <c r="AB619" s="109">
        <v>0.0</v>
      </c>
      <c r="AC619" s="109">
        <v>0.0</v>
      </c>
      <c r="AD619" s="141">
        <v>0.0</v>
      </c>
      <c r="AE619" s="80">
        <v>0.0</v>
      </c>
      <c r="AF619" s="140">
        <v>291.0</v>
      </c>
      <c r="AG619" s="109">
        <v>174.0</v>
      </c>
      <c r="AH619" s="109">
        <v>0.0</v>
      </c>
      <c r="AI619" s="141">
        <v>20.0</v>
      </c>
      <c r="AJ619" s="80">
        <v>485.0</v>
      </c>
      <c r="AK619" s="140">
        <v>0.0</v>
      </c>
      <c r="AL619" s="109">
        <v>0.0</v>
      </c>
      <c r="AM619" s="141">
        <v>0.0</v>
      </c>
      <c r="AN619" s="80">
        <v>0.0</v>
      </c>
      <c r="AO619" s="140">
        <v>0.0</v>
      </c>
      <c r="AP619" s="109">
        <v>0.0</v>
      </c>
      <c r="AQ619" s="109">
        <v>84.0</v>
      </c>
      <c r="AR619" s="80">
        <v>84.0</v>
      </c>
      <c r="AS619" s="110">
        <v>0.0</v>
      </c>
      <c r="AT619" s="110">
        <v>0.0</v>
      </c>
      <c r="AU619" s="110">
        <v>21.0</v>
      </c>
      <c r="AV619" s="142">
        <v>0.0</v>
      </c>
      <c r="AW619" s="80">
        <v>21.0</v>
      </c>
      <c r="AX619" s="113">
        <v>590.0</v>
      </c>
      <c r="AY619" s="117">
        <v>485.0</v>
      </c>
      <c r="AZ619" s="328">
        <v>105.0</v>
      </c>
      <c r="BA619" s="315">
        <v>0.0</v>
      </c>
      <c r="BB619" s="316">
        <v>590.0</v>
      </c>
      <c r="BC619" s="132" t="s">
        <v>178</v>
      </c>
      <c r="BD619" s="132" t="s">
        <v>178</v>
      </c>
      <c r="BE619" s="132" t="s">
        <v>178</v>
      </c>
      <c r="BF619" s="123"/>
      <c r="BG619" s="136">
        <v>1110529.0</v>
      </c>
      <c r="BH619" s="112">
        <v>8.0</v>
      </c>
      <c r="BI619" s="98" t="s">
        <v>155</v>
      </c>
      <c r="BJ619" s="98" t="str">
        <f t="shared" si="1"/>
        <v>INTEGRAL</v>
      </c>
      <c r="BK619" s="98" t="str">
        <f t="shared" si="2"/>
        <v>PROFISSIONAL</v>
      </c>
    </row>
    <row r="620" ht="15.75" customHeight="1">
      <c r="A620" s="111" t="s">
        <v>723</v>
      </c>
      <c r="B620" s="83" t="s">
        <v>2806</v>
      </c>
      <c r="C620" s="83" t="s">
        <v>164</v>
      </c>
      <c r="D620" s="83">
        <v>1110529.0</v>
      </c>
      <c r="E620" s="83">
        <v>1178881.0</v>
      </c>
      <c r="F620" s="83"/>
      <c r="G620" s="114" t="s">
        <v>7239</v>
      </c>
      <c r="H620" s="91" t="s">
        <v>2819</v>
      </c>
      <c r="I620" s="298" t="s">
        <v>2820</v>
      </c>
      <c r="J620" s="83" t="s">
        <v>2821</v>
      </c>
      <c r="K620" s="83" t="s">
        <v>168</v>
      </c>
      <c r="L620" s="83" t="s">
        <v>169</v>
      </c>
      <c r="M620" s="82" t="s">
        <v>7227</v>
      </c>
      <c r="N620" s="82" t="s">
        <v>7228</v>
      </c>
      <c r="O620" s="82" t="s">
        <v>7229</v>
      </c>
      <c r="P620" s="82" t="s">
        <v>7230</v>
      </c>
      <c r="Q620" s="82" t="s">
        <v>7231</v>
      </c>
      <c r="R620" s="82" t="s">
        <v>7232</v>
      </c>
      <c r="S620" s="82" t="s">
        <v>7234</v>
      </c>
      <c r="T620" s="138">
        <v>3.0</v>
      </c>
      <c r="U620" s="341">
        <v>3.0</v>
      </c>
      <c r="V620" s="106">
        <v>0.0</v>
      </c>
      <c r="W620" s="107">
        <v>0.0</v>
      </c>
      <c r="X620" s="107">
        <v>0.0</v>
      </c>
      <c r="Y620" s="107">
        <v>0.0</v>
      </c>
      <c r="Z620" s="80">
        <v>0.0</v>
      </c>
      <c r="AA620" s="140">
        <v>0.0</v>
      </c>
      <c r="AB620" s="109">
        <v>0.0</v>
      </c>
      <c r="AC620" s="109">
        <v>0.0</v>
      </c>
      <c r="AD620" s="141">
        <v>0.0</v>
      </c>
      <c r="AE620" s="80">
        <v>0.0</v>
      </c>
      <c r="AF620" s="140">
        <v>0.0</v>
      </c>
      <c r="AG620" s="109">
        <v>0.0</v>
      </c>
      <c r="AH620" s="109">
        <v>19.0</v>
      </c>
      <c r="AI620" s="141">
        <v>0.0</v>
      </c>
      <c r="AJ620" s="80">
        <v>19.0</v>
      </c>
      <c r="AK620" s="140">
        <v>0.0</v>
      </c>
      <c r="AL620" s="109">
        <v>0.0</v>
      </c>
      <c r="AM620" s="141">
        <v>0.0</v>
      </c>
      <c r="AN620" s="80">
        <v>0.0</v>
      </c>
      <c r="AO620" s="140">
        <v>0.0</v>
      </c>
      <c r="AP620" s="109">
        <v>0.0</v>
      </c>
      <c r="AQ620" s="109">
        <v>30.0</v>
      </c>
      <c r="AR620" s="80">
        <v>30.0</v>
      </c>
      <c r="AS620" s="110">
        <v>0.0</v>
      </c>
      <c r="AT620" s="110">
        <v>0.0</v>
      </c>
      <c r="AU620" s="110">
        <v>0.0</v>
      </c>
      <c r="AV620" s="142">
        <v>0.0</v>
      </c>
      <c r="AW620" s="80">
        <v>0.0</v>
      </c>
      <c r="AX620" s="113">
        <v>49.0</v>
      </c>
      <c r="AY620" s="117">
        <v>0.0</v>
      </c>
      <c r="AZ620" s="328">
        <v>49.0</v>
      </c>
      <c r="BA620" s="315">
        <v>0.0</v>
      </c>
      <c r="BB620" s="316">
        <v>49.0</v>
      </c>
      <c r="BC620" s="132" t="s">
        <v>373</v>
      </c>
      <c r="BD620" s="132" t="s">
        <v>178</v>
      </c>
      <c r="BE620" s="132" t="s">
        <v>178</v>
      </c>
      <c r="BF620" s="123"/>
      <c r="BG620" s="83">
        <v>1178881.0</v>
      </c>
      <c r="BH620" s="112">
        <v>3.0</v>
      </c>
      <c r="BI620" s="98" t="s">
        <v>155</v>
      </c>
      <c r="BJ620" s="98" t="str">
        <f t="shared" si="1"/>
        <v>NÃO</v>
      </c>
      <c r="BK620" s="98" t="str">
        <f t="shared" si="2"/>
        <v>NÃO</v>
      </c>
    </row>
    <row r="621" ht="15.75" customHeight="1">
      <c r="A621" s="111" t="s">
        <v>796</v>
      </c>
      <c r="B621" s="83" t="s">
        <v>2830</v>
      </c>
      <c r="C621" s="83" t="s">
        <v>68</v>
      </c>
      <c r="D621" s="83">
        <v>1178278.0</v>
      </c>
      <c r="E621" s="83"/>
      <c r="F621" s="83">
        <v>2.9535808E7</v>
      </c>
      <c r="G621" s="114" t="s">
        <v>7244</v>
      </c>
      <c r="H621" s="91" t="s">
        <v>2832</v>
      </c>
      <c r="I621" s="298" t="s">
        <v>149</v>
      </c>
      <c r="J621" s="83" t="s">
        <v>150</v>
      </c>
      <c r="K621" s="83" t="s">
        <v>151</v>
      </c>
      <c r="L621" s="83" t="s">
        <v>76</v>
      </c>
      <c r="M621" s="82" t="s">
        <v>7245</v>
      </c>
      <c r="N621" s="82" t="s">
        <v>7246</v>
      </c>
      <c r="O621" s="82" t="s">
        <v>7247</v>
      </c>
      <c r="P621" s="82" t="s">
        <v>7248</v>
      </c>
      <c r="Q621" s="82"/>
      <c r="R621" s="82"/>
      <c r="S621" s="82" t="s">
        <v>7249</v>
      </c>
      <c r="T621" s="138">
        <v>8.0</v>
      </c>
      <c r="U621" s="352" t="s">
        <v>7250</v>
      </c>
      <c r="V621" s="106">
        <v>0.0</v>
      </c>
      <c r="W621" s="107">
        <v>0.0</v>
      </c>
      <c r="X621" s="107">
        <v>0.0</v>
      </c>
      <c r="Y621" s="107">
        <v>0.0</v>
      </c>
      <c r="Z621" s="80">
        <v>0.0</v>
      </c>
      <c r="AA621" s="140">
        <v>0.0</v>
      </c>
      <c r="AB621" s="109">
        <v>0.0</v>
      </c>
      <c r="AC621" s="109">
        <v>0.0</v>
      </c>
      <c r="AD621" s="141">
        <v>0.0</v>
      </c>
      <c r="AE621" s="80">
        <v>0.0</v>
      </c>
      <c r="AF621" s="140">
        <v>270.0</v>
      </c>
      <c r="AG621" s="109">
        <v>114.0</v>
      </c>
      <c r="AH621" s="109">
        <v>22.0</v>
      </c>
      <c r="AI621" s="141">
        <v>39.0</v>
      </c>
      <c r="AJ621" s="80">
        <v>445.0</v>
      </c>
      <c r="AK621" s="140">
        <v>0.0</v>
      </c>
      <c r="AL621" s="109">
        <v>0.0</v>
      </c>
      <c r="AM621" s="141">
        <v>0.0</v>
      </c>
      <c r="AN621" s="80">
        <v>0.0</v>
      </c>
      <c r="AO621" s="140">
        <v>0.0</v>
      </c>
      <c r="AP621" s="109">
        <v>0.0</v>
      </c>
      <c r="AQ621" s="109">
        <v>50.0</v>
      </c>
      <c r="AR621" s="80">
        <v>50.0</v>
      </c>
      <c r="AS621" s="110">
        <v>0.0</v>
      </c>
      <c r="AT621" s="110">
        <v>80.0</v>
      </c>
      <c r="AU621" s="110">
        <v>0.0</v>
      </c>
      <c r="AV621" s="142">
        <v>0.0</v>
      </c>
      <c r="AW621" s="80">
        <v>80.0</v>
      </c>
      <c r="AX621" s="113">
        <v>575.0</v>
      </c>
      <c r="AY621" s="117">
        <v>503.0</v>
      </c>
      <c r="AZ621" s="328">
        <v>72.0</v>
      </c>
      <c r="BA621" s="315">
        <v>0.0</v>
      </c>
      <c r="BB621" s="316">
        <v>575.0</v>
      </c>
      <c r="BC621" s="132" t="s">
        <v>178</v>
      </c>
      <c r="BD621" s="132" t="s">
        <v>178</v>
      </c>
      <c r="BE621" s="132" t="s">
        <v>178</v>
      </c>
      <c r="BF621" s="123"/>
      <c r="BG621" s="83">
        <v>1178278.0</v>
      </c>
      <c r="BH621" s="112">
        <v>7.0</v>
      </c>
      <c r="BI621" s="98" t="s">
        <v>155</v>
      </c>
      <c r="BJ621" s="98" t="str">
        <f t="shared" si="1"/>
        <v>INTEGRAL</v>
      </c>
      <c r="BK621" s="98" t="str">
        <f t="shared" si="2"/>
        <v>PROFISSIONAL</v>
      </c>
    </row>
    <row r="622" ht="15.75" customHeight="1">
      <c r="A622" s="111" t="s">
        <v>796</v>
      </c>
      <c r="B622" s="83" t="s">
        <v>2830</v>
      </c>
      <c r="C622" s="83" t="s">
        <v>164</v>
      </c>
      <c r="D622" s="83">
        <v>1179111.0</v>
      </c>
      <c r="E622" s="83">
        <v>1178647.0</v>
      </c>
      <c r="F622" s="83"/>
      <c r="G622" s="114" t="s">
        <v>2842</v>
      </c>
      <c r="H622" s="91" t="s">
        <v>2843</v>
      </c>
      <c r="I622" s="298" t="s">
        <v>149</v>
      </c>
      <c r="J622" s="83" t="s">
        <v>1931</v>
      </c>
      <c r="K622" s="83" t="s">
        <v>168</v>
      </c>
      <c r="L622" s="83" t="s">
        <v>169</v>
      </c>
      <c r="M622" s="82" t="s">
        <v>7256</v>
      </c>
      <c r="N622" s="82" t="s">
        <v>7257</v>
      </c>
      <c r="O622" s="82" t="s">
        <v>7259</v>
      </c>
      <c r="P622" s="82" t="s">
        <v>7260</v>
      </c>
      <c r="Q622" s="82" t="s">
        <v>7261</v>
      </c>
      <c r="R622" s="82" t="s">
        <v>7262</v>
      </c>
      <c r="S622" s="82" t="s">
        <v>7263</v>
      </c>
      <c r="T622" s="138">
        <v>1.0</v>
      </c>
      <c r="U622" s="341">
        <v>1.0</v>
      </c>
      <c r="V622" s="106">
        <v>0.0</v>
      </c>
      <c r="W622" s="107">
        <v>0.0</v>
      </c>
      <c r="X622" s="107">
        <v>0.0</v>
      </c>
      <c r="Y622" s="107">
        <v>0.0</v>
      </c>
      <c r="Z622" s="80">
        <v>0.0</v>
      </c>
      <c r="AA622" s="140">
        <v>0.0</v>
      </c>
      <c r="AB622" s="109">
        <v>0.0</v>
      </c>
      <c r="AC622" s="109">
        <v>0.0</v>
      </c>
      <c r="AD622" s="141">
        <v>0.0</v>
      </c>
      <c r="AE622" s="80">
        <v>0.0</v>
      </c>
      <c r="AF622" s="140">
        <v>3.0</v>
      </c>
      <c r="AG622" s="109">
        <v>10.0</v>
      </c>
      <c r="AH622" s="109">
        <v>8.0</v>
      </c>
      <c r="AI622" s="141">
        <v>0.0</v>
      </c>
      <c r="AJ622" s="80">
        <v>21.0</v>
      </c>
      <c r="AK622" s="140">
        <v>0.0</v>
      </c>
      <c r="AL622" s="109">
        <v>0.0</v>
      </c>
      <c r="AM622" s="141">
        <v>0.0</v>
      </c>
      <c r="AN622" s="80">
        <v>0.0</v>
      </c>
      <c r="AO622" s="140">
        <v>0.0</v>
      </c>
      <c r="AP622" s="109">
        <v>0.0</v>
      </c>
      <c r="AQ622" s="109">
        <v>0.0</v>
      </c>
      <c r="AR622" s="80">
        <v>0.0</v>
      </c>
      <c r="AS622" s="110">
        <v>0.0</v>
      </c>
      <c r="AT622" s="110">
        <v>0.0</v>
      </c>
      <c r="AU622" s="110">
        <v>0.0</v>
      </c>
      <c r="AV622" s="142">
        <v>0.0</v>
      </c>
      <c r="AW622" s="80">
        <v>0.0</v>
      </c>
      <c r="AX622" s="113">
        <v>21.0</v>
      </c>
      <c r="AY622" s="117">
        <v>13.0</v>
      </c>
      <c r="AZ622" s="328">
        <v>8.0</v>
      </c>
      <c r="BA622" s="315">
        <v>0.0</v>
      </c>
      <c r="BB622" s="316">
        <v>21.0</v>
      </c>
      <c r="BC622" s="132" t="s">
        <v>178</v>
      </c>
      <c r="BD622" s="143" t="s">
        <v>227</v>
      </c>
      <c r="BE622" s="132" t="s">
        <v>178</v>
      </c>
      <c r="BF622" s="123"/>
      <c r="BG622" s="83">
        <v>1178647.0</v>
      </c>
      <c r="BH622" s="112">
        <v>1.0</v>
      </c>
      <c r="BI622" s="98" t="s">
        <v>155</v>
      </c>
      <c r="BJ622" s="98" t="str">
        <f t="shared" si="1"/>
        <v>NÃO</v>
      </c>
      <c r="BK622" s="98" t="str">
        <f t="shared" si="2"/>
        <v>NÃO</v>
      </c>
    </row>
    <row r="623" ht="15.75" customHeight="1">
      <c r="A623" s="111" t="s">
        <v>796</v>
      </c>
      <c r="B623" s="83" t="s">
        <v>2830</v>
      </c>
      <c r="C623" s="83" t="s">
        <v>164</v>
      </c>
      <c r="D623" s="83">
        <v>1179111.0</v>
      </c>
      <c r="E623" s="83">
        <v>1179077.0</v>
      </c>
      <c r="F623" s="83"/>
      <c r="G623" s="114" t="s">
        <v>2852</v>
      </c>
      <c r="H623" s="91" t="s">
        <v>2853</v>
      </c>
      <c r="I623" s="187" t="s">
        <v>2854</v>
      </c>
      <c r="J623" s="83" t="s">
        <v>2855</v>
      </c>
      <c r="K623" s="83" t="s">
        <v>168</v>
      </c>
      <c r="L623" s="83" t="s">
        <v>169</v>
      </c>
      <c r="M623" s="82" t="s">
        <v>7256</v>
      </c>
      <c r="N623" s="82" t="s">
        <v>7257</v>
      </c>
      <c r="O623" s="82" t="s">
        <v>7259</v>
      </c>
      <c r="P623" s="82" t="s">
        <v>7260</v>
      </c>
      <c r="Q623" s="82" t="s">
        <v>7261</v>
      </c>
      <c r="R623" s="82" t="s">
        <v>7262</v>
      </c>
      <c r="S623" s="82" t="s">
        <v>7263</v>
      </c>
      <c r="T623" s="138">
        <v>2.0</v>
      </c>
      <c r="U623" s="389">
        <v>2.0</v>
      </c>
      <c r="V623" s="106">
        <v>0.0</v>
      </c>
      <c r="W623" s="107">
        <v>0.0</v>
      </c>
      <c r="X623" s="107">
        <v>0.0</v>
      </c>
      <c r="Y623" s="107">
        <v>0.0</v>
      </c>
      <c r="Z623" s="80">
        <v>0.0</v>
      </c>
      <c r="AA623" s="140">
        <v>0.0</v>
      </c>
      <c r="AB623" s="109">
        <v>0.0</v>
      </c>
      <c r="AC623" s="109">
        <v>0.0</v>
      </c>
      <c r="AD623" s="141">
        <v>0.0</v>
      </c>
      <c r="AE623" s="80">
        <v>0.0</v>
      </c>
      <c r="AF623" s="140">
        <v>7.0</v>
      </c>
      <c r="AG623" s="109">
        <v>18.0</v>
      </c>
      <c r="AH623" s="109">
        <v>0.0</v>
      </c>
      <c r="AI623" s="141">
        <v>0.0</v>
      </c>
      <c r="AJ623" s="80">
        <v>25.0</v>
      </c>
      <c r="AK623" s="140">
        <v>0.0</v>
      </c>
      <c r="AL623" s="109">
        <v>0.0</v>
      </c>
      <c r="AM623" s="141">
        <v>0.0</v>
      </c>
      <c r="AN623" s="80">
        <v>0.0</v>
      </c>
      <c r="AO623" s="140">
        <v>0.0</v>
      </c>
      <c r="AP623" s="109">
        <v>0.0</v>
      </c>
      <c r="AQ623" s="109">
        <v>0.0</v>
      </c>
      <c r="AR623" s="80">
        <v>0.0</v>
      </c>
      <c r="AS623" s="110">
        <v>0.0</v>
      </c>
      <c r="AT623" s="110">
        <v>0.0</v>
      </c>
      <c r="AU623" s="110">
        <v>0.0</v>
      </c>
      <c r="AV623" s="142">
        <v>0.0</v>
      </c>
      <c r="AW623" s="80">
        <v>0.0</v>
      </c>
      <c r="AX623" s="113">
        <v>25.0</v>
      </c>
      <c r="AY623" s="117">
        <v>25.0</v>
      </c>
      <c r="AZ623" s="328">
        <v>0.0</v>
      </c>
      <c r="BA623" s="315">
        <v>0.0</v>
      </c>
      <c r="BB623" s="316">
        <v>25.0</v>
      </c>
      <c r="BC623" s="132" t="s">
        <v>178</v>
      </c>
      <c r="BD623" s="143" t="s">
        <v>227</v>
      </c>
      <c r="BE623" s="132" t="s">
        <v>178</v>
      </c>
      <c r="BF623" s="123"/>
      <c r="BG623" s="83">
        <v>1179077.0</v>
      </c>
      <c r="BH623" s="112">
        <v>2.0</v>
      </c>
      <c r="BI623" s="98" t="s">
        <v>155</v>
      </c>
      <c r="BJ623" s="98" t="str">
        <f t="shared" si="1"/>
        <v>NÃO</v>
      </c>
      <c r="BK623" s="98" t="str">
        <f t="shared" si="2"/>
        <v>NÃO</v>
      </c>
    </row>
    <row r="624" ht="15.75" customHeight="1">
      <c r="A624" s="111" t="s">
        <v>796</v>
      </c>
      <c r="B624" s="83" t="s">
        <v>2830</v>
      </c>
      <c r="C624" s="83" t="s">
        <v>164</v>
      </c>
      <c r="D624" s="83">
        <v>1179111.0</v>
      </c>
      <c r="E624" s="83">
        <v>1178653.0</v>
      </c>
      <c r="F624" s="83"/>
      <c r="G624" s="114" t="s">
        <v>2856</v>
      </c>
      <c r="H624" s="91" t="s">
        <v>2857</v>
      </c>
      <c r="I624" s="187" t="s">
        <v>2858</v>
      </c>
      <c r="J624" s="83" t="s">
        <v>890</v>
      </c>
      <c r="K624" s="83" t="s">
        <v>168</v>
      </c>
      <c r="L624" s="83" t="s">
        <v>169</v>
      </c>
      <c r="M624" s="82" t="s">
        <v>7256</v>
      </c>
      <c r="N624" s="82" t="s">
        <v>7257</v>
      </c>
      <c r="O624" s="82" t="s">
        <v>7259</v>
      </c>
      <c r="P624" s="82" t="s">
        <v>7260</v>
      </c>
      <c r="Q624" s="82" t="s">
        <v>7261</v>
      </c>
      <c r="R624" s="82" t="s">
        <v>7262</v>
      </c>
      <c r="S624" s="82" t="s">
        <v>7263</v>
      </c>
      <c r="T624" s="138">
        <v>2.0</v>
      </c>
      <c r="U624" s="323">
        <v>2.0</v>
      </c>
      <c r="V624" s="106">
        <v>0.0</v>
      </c>
      <c r="W624" s="107">
        <v>0.0</v>
      </c>
      <c r="X624" s="107">
        <v>0.0</v>
      </c>
      <c r="Y624" s="107">
        <v>0.0</v>
      </c>
      <c r="Z624" s="80">
        <v>0.0</v>
      </c>
      <c r="AA624" s="140">
        <v>0.0</v>
      </c>
      <c r="AB624" s="109">
        <v>0.0</v>
      </c>
      <c r="AC624" s="109">
        <v>0.0</v>
      </c>
      <c r="AD624" s="141">
        <v>0.0</v>
      </c>
      <c r="AE624" s="80">
        <v>0.0</v>
      </c>
      <c r="AF624" s="140">
        <v>10.0</v>
      </c>
      <c r="AG624" s="109">
        <v>23.0</v>
      </c>
      <c r="AH624" s="109">
        <v>0.0</v>
      </c>
      <c r="AI624" s="141">
        <v>0.0</v>
      </c>
      <c r="AJ624" s="80">
        <v>33.0</v>
      </c>
      <c r="AK624" s="140">
        <v>0.0</v>
      </c>
      <c r="AL624" s="109">
        <v>0.0</v>
      </c>
      <c r="AM624" s="141">
        <v>0.0</v>
      </c>
      <c r="AN624" s="80">
        <v>0.0</v>
      </c>
      <c r="AO624" s="140">
        <v>0.0</v>
      </c>
      <c r="AP624" s="109">
        <v>0.0</v>
      </c>
      <c r="AQ624" s="109">
        <v>0.0</v>
      </c>
      <c r="AR624" s="80">
        <v>0.0</v>
      </c>
      <c r="AS624" s="110">
        <v>0.0</v>
      </c>
      <c r="AT624" s="110">
        <v>0.0</v>
      </c>
      <c r="AU624" s="110">
        <v>0.0</v>
      </c>
      <c r="AV624" s="142">
        <v>0.0</v>
      </c>
      <c r="AW624" s="80">
        <v>0.0</v>
      </c>
      <c r="AX624" s="113">
        <v>33.0</v>
      </c>
      <c r="AY624" s="117">
        <v>33.0</v>
      </c>
      <c r="AZ624" s="328">
        <v>0.0</v>
      </c>
      <c r="BA624" s="315">
        <v>0.0</v>
      </c>
      <c r="BB624" s="316">
        <v>33.0</v>
      </c>
      <c r="BC624" s="132" t="s">
        <v>178</v>
      </c>
      <c r="BD624" s="143" t="s">
        <v>227</v>
      </c>
      <c r="BE624" s="132" t="s">
        <v>178</v>
      </c>
      <c r="BF624" s="123"/>
      <c r="BG624" s="83">
        <v>1178653.0</v>
      </c>
      <c r="BH624" s="112">
        <v>2.0</v>
      </c>
      <c r="BI624" s="98" t="s">
        <v>155</v>
      </c>
      <c r="BJ624" s="98" t="str">
        <f t="shared" si="1"/>
        <v>NÃO</v>
      </c>
      <c r="BK624" s="98" t="str">
        <f t="shared" si="2"/>
        <v>NÃO</v>
      </c>
    </row>
    <row r="625" ht="15.75" customHeight="1">
      <c r="A625" s="111" t="s">
        <v>796</v>
      </c>
      <c r="B625" s="83" t="s">
        <v>2830</v>
      </c>
      <c r="C625" s="83" t="s">
        <v>164</v>
      </c>
      <c r="D625" s="83">
        <v>1179111.0</v>
      </c>
      <c r="E625" s="83">
        <v>1178650.0</v>
      </c>
      <c r="F625" s="83"/>
      <c r="G625" s="114" t="s">
        <v>2859</v>
      </c>
      <c r="H625" s="91" t="s">
        <v>2860</v>
      </c>
      <c r="I625" s="187" t="s">
        <v>2861</v>
      </c>
      <c r="J625" s="83" t="s">
        <v>222</v>
      </c>
      <c r="K625" s="83" t="s">
        <v>168</v>
      </c>
      <c r="L625" s="83" t="s">
        <v>169</v>
      </c>
      <c r="M625" s="82" t="s">
        <v>7256</v>
      </c>
      <c r="N625" s="82" t="s">
        <v>7257</v>
      </c>
      <c r="O625" s="82" t="s">
        <v>7259</v>
      </c>
      <c r="P625" s="82" t="s">
        <v>7260</v>
      </c>
      <c r="Q625" s="82" t="s">
        <v>7261</v>
      </c>
      <c r="R625" s="82" t="s">
        <v>7262</v>
      </c>
      <c r="S625" s="82" t="s">
        <v>7263</v>
      </c>
      <c r="T625" s="138">
        <v>2.0</v>
      </c>
      <c r="U625" s="323">
        <v>2.0</v>
      </c>
      <c r="V625" s="106">
        <v>0.0</v>
      </c>
      <c r="W625" s="107">
        <v>0.0</v>
      </c>
      <c r="X625" s="107">
        <v>0.0</v>
      </c>
      <c r="Y625" s="107">
        <v>0.0</v>
      </c>
      <c r="Z625" s="80">
        <v>0.0</v>
      </c>
      <c r="AA625" s="140">
        <v>0.0</v>
      </c>
      <c r="AB625" s="109">
        <v>0.0</v>
      </c>
      <c r="AC625" s="109">
        <v>0.0</v>
      </c>
      <c r="AD625" s="141">
        <v>0.0</v>
      </c>
      <c r="AE625" s="80">
        <v>0.0</v>
      </c>
      <c r="AF625" s="140">
        <v>10.0</v>
      </c>
      <c r="AG625" s="109">
        <v>5.0</v>
      </c>
      <c r="AH625" s="109">
        <v>0.0</v>
      </c>
      <c r="AI625" s="141">
        <v>0.0</v>
      </c>
      <c r="AJ625" s="80">
        <v>15.0</v>
      </c>
      <c r="AK625" s="140">
        <v>0.0</v>
      </c>
      <c r="AL625" s="109">
        <v>0.0</v>
      </c>
      <c r="AM625" s="141">
        <v>0.0</v>
      </c>
      <c r="AN625" s="80">
        <v>0.0</v>
      </c>
      <c r="AO625" s="140">
        <v>0.0</v>
      </c>
      <c r="AP625" s="109">
        <v>0.0</v>
      </c>
      <c r="AQ625" s="109">
        <v>0.0</v>
      </c>
      <c r="AR625" s="80">
        <v>0.0</v>
      </c>
      <c r="AS625" s="110">
        <v>0.0</v>
      </c>
      <c r="AT625" s="110">
        <v>0.0</v>
      </c>
      <c r="AU625" s="110">
        <v>0.0</v>
      </c>
      <c r="AV625" s="142">
        <v>0.0</v>
      </c>
      <c r="AW625" s="80">
        <v>0.0</v>
      </c>
      <c r="AX625" s="113">
        <v>15.0</v>
      </c>
      <c r="AY625" s="117">
        <v>15.0</v>
      </c>
      <c r="AZ625" s="328">
        <v>0.0</v>
      </c>
      <c r="BA625" s="315">
        <v>0.0</v>
      </c>
      <c r="BB625" s="316">
        <v>15.0</v>
      </c>
      <c r="BC625" s="132" t="s">
        <v>178</v>
      </c>
      <c r="BD625" s="143" t="s">
        <v>227</v>
      </c>
      <c r="BE625" s="132" t="s">
        <v>178</v>
      </c>
      <c r="BF625" s="123"/>
      <c r="BG625" s="83">
        <v>1178650.0</v>
      </c>
      <c r="BH625" s="112">
        <v>2.0</v>
      </c>
      <c r="BI625" s="98" t="s">
        <v>155</v>
      </c>
      <c r="BJ625" s="98" t="str">
        <f t="shared" si="1"/>
        <v>NÃO</v>
      </c>
      <c r="BK625" s="98" t="str">
        <f t="shared" si="2"/>
        <v>NÃO</v>
      </c>
    </row>
    <row r="626" ht="15.75" customHeight="1">
      <c r="A626" s="111" t="s">
        <v>796</v>
      </c>
      <c r="B626" s="83" t="s">
        <v>2830</v>
      </c>
      <c r="C626" s="83" t="s">
        <v>164</v>
      </c>
      <c r="D626" s="83">
        <v>1179111.0</v>
      </c>
      <c r="E626" s="83">
        <v>1178651.0</v>
      </c>
      <c r="F626" s="83"/>
      <c r="G626" s="114" t="s">
        <v>2869</v>
      </c>
      <c r="H626" s="91" t="s">
        <v>2870</v>
      </c>
      <c r="I626" s="187" t="s">
        <v>2871</v>
      </c>
      <c r="J626" s="83" t="s">
        <v>784</v>
      </c>
      <c r="K626" s="83" t="s">
        <v>168</v>
      </c>
      <c r="L626" s="83" t="s">
        <v>169</v>
      </c>
      <c r="M626" s="82" t="s">
        <v>7256</v>
      </c>
      <c r="N626" s="82" t="s">
        <v>7257</v>
      </c>
      <c r="O626" s="82" t="s">
        <v>7259</v>
      </c>
      <c r="P626" s="82" t="s">
        <v>7260</v>
      </c>
      <c r="Q626" s="82" t="s">
        <v>7261</v>
      </c>
      <c r="R626" s="82" t="s">
        <v>7262</v>
      </c>
      <c r="S626" s="82" t="s">
        <v>7263</v>
      </c>
      <c r="T626" s="138">
        <v>2.0</v>
      </c>
      <c r="U626" s="323">
        <v>2.0</v>
      </c>
      <c r="V626" s="106">
        <v>0.0</v>
      </c>
      <c r="W626" s="107">
        <v>0.0</v>
      </c>
      <c r="X626" s="107">
        <v>0.0</v>
      </c>
      <c r="Y626" s="107">
        <v>0.0</v>
      </c>
      <c r="Z626" s="80">
        <v>0.0</v>
      </c>
      <c r="AA626" s="140">
        <v>0.0</v>
      </c>
      <c r="AB626" s="109">
        <v>0.0</v>
      </c>
      <c r="AC626" s="109">
        <v>0.0</v>
      </c>
      <c r="AD626" s="141">
        <v>0.0</v>
      </c>
      <c r="AE626" s="80">
        <v>0.0</v>
      </c>
      <c r="AF626" s="140">
        <v>27.0</v>
      </c>
      <c r="AG626" s="109">
        <v>11.0</v>
      </c>
      <c r="AH626" s="109">
        <v>0.0</v>
      </c>
      <c r="AI626" s="141">
        <v>0.0</v>
      </c>
      <c r="AJ626" s="80">
        <v>38.0</v>
      </c>
      <c r="AK626" s="140">
        <v>0.0</v>
      </c>
      <c r="AL626" s="109">
        <v>0.0</v>
      </c>
      <c r="AM626" s="141">
        <v>0.0</v>
      </c>
      <c r="AN626" s="80">
        <v>0.0</v>
      </c>
      <c r="AO626" s="140">
        <v>0.0</v>
      </c>
      <c r="AP626" s="109">
        <v>0.0</v>
      </c>
      <c r="AQ626" s="109">
        <v>0.0</v>
      </c>
      <c r="AR626" s="80">
        <v>0.0</v>
      </c>
      <c r="AS626" s="110">
        <v>0.0</v>
      </c>
      <c r="AT626" s="110">
        <v>0.0</v>
      </c>
      <c r="AU626" s="110">
        <v>0.0</v>
      </c>
      <c r="AV626" s="142">
        <v>0.0</v>
      </c>
      <c r="AW626" s="80">
        <v>0.0</v>
      </c>
      <c r="AX626" s="113">
        <v>38.0</v>
      </c>
      <c r="AY626" s="117">
        <v>38.0</v>
      </c>
      <c r="AZ626" s="328">
        <v>0.0</v>
      </c>
      <c r="BA626" s="315">
        <v>0.0</v>
      </c>
      <c r="BB626" s="316">
        <v>38.0</v>
      </c>
      <c r="BC626" s="132" t="s">
        <v>178</v>
      </c>
      <c r="BD626" s="143" t="s">
        <v>227</v>
      </c>
      <c r="BE626" s="132" t="s">
        <v>178</v>
      </c>
      <c r="BF626" s="123"/>
      <c r="BG626" s="83">
        <v>1178651.0</v>
      </c>
      <c r="BH626" s="112">
        <v>2.0</v>
      </c>
      <c r="BI626" s="98" t="s">
        <v>155</v>
      </c>
      <c r="BJ626" s="98" t="str">
        <f t="shared" si="1"/>
        <v>NÃO</v>
      </c>
      <c r="BK626" s="98" t="str">
        <f t="shared" si="2"/>
        <v>NÃO</v>
      </c>
    </row>
    <row r="627" ht="15.75" customHeight="1">
      <c r="A627" s="111" t="s">
        <v>796</v>
      </c>
      <c r="B627" s="83" t="s">
        <v>2830</v>
      </c>
      <c r="C627" s="83" t="s">
        <v>164</v>
      </c>
      <c r="D627" s="83">
        <v>1179111.0</v>
      </c>
      <c r="E627" s="83">
        <v>1178669.0</v>
      </c>
      <c r="F627" s="83"/>
      <c r="G627" s="114" t="s">
        <v>2874</v>
      </c>
      <c r="H627" s="91" t="s">
        <v>2875</v>
      </c>
      <c r="I627" s="187" t="s">
        <v>2876</v>
      </c>
      <c r="J627" s="83" t="s">
        <v>2877</v>
      </c>
      <c r="K627" s="83" t="s">
        <v>168</v>
      </c>
      <c r="L627" s="83" t="s">
        <v>169</v>
      </c>
      <c r="M627" s="82" t="s">
        <v>7256</v>
      </c>
      <c r="N627" s="82" t="s">
        <v>7257</v>
      </c>
      <c r="O627" s="82" t="s">
        <v>7259</v>
      </c>
      <c r="P627" s="82" t="s">
        <v>7260</v>
      </c>
      <c r="Q627" s="82" t="s">
        <v>7261</v>
      </c>
      <c r="R627" s="82" t="s">
        <v>7262</v>
      </c>
      <c r="S627" s="82" t="s">
        <v>7263</v>
      </c>
      <c r="T627" s="138">
        <v>2.0</v>
      </c>
      <c r="U627" s="323">
        <v>2.0</v>
      </c>
      <c r="V627" s="106">
        <v>0.0</v>
      </c>
      <c r="W627" s="107">
        <v>0.0</v>
      </c>
      <c r="X627" s="107">
        <v>0.0</v>
      </c>
      <c r="Y627" s="107">
        <v>0.0</v>
      </c>
      <c r="Z627" s="80">
        <v>0.0</v>
      </c>
      <c r="AA627" s="140">
        <v>0.0</v>
      </c>
      <c r="AB627" s="109">
        <v>0.0</v>
      </c>
      <c r="AC627" s="109">
        <v>0.0</v>
      </c>
      <c r="AD627" s="141">
        <v>0.0</v>
      </c>
      <c r="AE627" s="80">
        <v>0.0</v>
      </c>
      <c r="AF627" s="140">
        <v>10.0</v>
      </c>
      <c r="AG627" s="109">
        <v>19.0</v>
      </c>
      <c r="AH627" s="109">
        <v>0.0</v>
      </c>
      <c r="AI627" s="141">
        <v>0.0</v>
      </c>
      <c r="AJ627" s="80">
        <v>29.0</v>
      </c>
      <c r="AK627" s="140">
        <v>0.0</v>
      </c>
      <c r="AL627" s="109">
        <v>0.0</v>
      </c>
      <c r="AM627" s="141">
        <v>0.0</v>
      </c>
      <c r="AN627" s="80">
        <v>0.0</v>
      </c>
      <c r="AO627" s="140">
        <v>0.0</v>
      </c>
      <c r="AP627" s="109">
        <v>0.0</v>
      </c>
      <c r="AQ627" s="109">
        <v>0.0</v>
      </c>
      <c r="AR627" s="80">
        <v>0.0</v>
      </c>
      <c r="AS627" s="110">
        <v>0.0</v>
      </c>
      <c r="AT627" s="110">
        <v>0.0</v>
      </c>
      <c r="AU627" s="110">
        <v>0.0</v>
      </c>
      <c r="AV627" s="142">
        <v>0.0</v>
      </c>
      <c r="AW627" s="80">
        <v>0.0</v>
      </c>
      <c r="AX627" s="113">
        <v>29.0</v>
      </c>
      <c r="AY627" s="117">
        <v>29.0</v>
      </c>
      <c r="AZ627" s="328">
        <v>0.0</v>
      </c>
      <c r="BA627" s="315">
        <v>0.0</v>
      </c>
      <c r="BB627" s="316">
        <v>29.0</v>
      </c>
      <c r="BC627" s="132" t="s">
        <v>178</v>
      </c>
      <c r="BD627" s="143" t="s">
        <v>227</v>
      </c>
      <c r="BE627" s="132" t="s">
        <v>178</v>
      </c>
      <c r="BF627" s="123"/>
      <c r="BG627" s="83">
        <v>1178669.0</v>
      </c>
      <c r="BH627" s="112">
        <v>2.0</v>
      </c>
      <c r="BI627" s="98" t="s">
        <v>155</v>
      </c>
      <c r="BJ627" s="98" t="str">
        <f t="shared" si="1"/>
        <v>NÃO</v>
      </c>
      <c r="BK627" s="98" t="str">
        <f t="shared" si="2"/>
        <v>NÃO</v>
      </c>
    </row>
    <row r="628" ht="15.75" customHeight="1">
      <c r="A628" s="111" t="s">
        <v>796</v>
      </c>
      <c r="B628" s="83" t="s">
        <v>2830</v>
      </c>
      <c r="C628" s="83" t="s">
        <v>164</v>
      </c>
      <c r="D628" s="83">
        <v>1179111.0</v>
      </c>
      <c r="E628" s="83">
        <v>1178649.0</v>
      </c>
      <c r="F628" s="83"/>
      <c r="G628" s="114" t="s">
        <v>2884</v>
      </c>
      <c r="H628" s="91" t="s">
        <v>2885</v>
      </c>
      <c r="I628" s="187" t="s">
        <v>2886</v>
      </c>
      <c r="J628" s="83" t="s">
        <v>485</v>
      </c>
      <c r="K628" s="83" t="s">
        <v>168</v>
      </c>
      <c r="L628" s="83" t="s">
        <v>169</v>
      </c>
      <c r="M628" s="82" t="s">
        <v>7256</v>
      </c>
      <c r="N628" s="82" t="s">
        <v>7257</v>
      </c>
      <c r="O628" s="82" t="s">
        <v>7259</v>
      </c>
      <c r="P628" s="82" t="s">
        <v>7260</v>
      </c>
      <c r="Q628" s="82" t="s">
        <v>7261</v>
      </c>
      <c r="R628" s="82" t="s">
        <v>7262</v>
      </c>
      <c r="S628" s="82" t="s">
        <v>7263</v>
      </c>
      <c r="T628" s="138">
        <v>2.0</v>
      </c>
      <c r="U628" s="323">
        <v>2.0</v>
      </c>
      <c r="V628" s="106">
        <v>0.0</v>
      </c>
      <c r="W628" s="107">
        <v>0.0</v>
      </c>
      <c r="X628" s="107">
        <v>0.0</v>
      </c>
      <c r="Y628" s="107">
        <v>0.0</v>
      </c>
      <c r="Z628" s="80">
        <v>0.0</v>
      </c>
      <c r="AA628" s="140">
        <v>0.0</v>
      </c>
      <c r="AB628" s="109">
        <v>0.0</v>
      </c>
      <c r="AC628" s="109">
        <v>0.0</v>
      </c>
      <c r="AD628" s="141">
        <v>0.0</v>
      </c>
      <c r="AE628" s="80">
        <v>0.0</v>
      </c>
      <c r="AF628" s="140">
        <v>0.0</v>
      </c>
      <c r="AG628" s="109">
        <v>0.0</v>
      </c>
      <c r="AH628" s="109">
        <v>64.0</v>
      </c>
      <c r="AI628" s="141">
        <v>0.0</v>
      </c>
      <c r="AJ628" s="80">
        <v>64.0</v>
      </c>
      <c r="AK628" s="140">
        <v>0.0</v>
      </c>
      <c r="AL628" s="109">
        <v>0.0</v>
      </c>
      <c r="AM628" s="141">
        <v>0.0</v>
      </c>
      <c r="AN628" s="80">
        <v>0.0</v>
      </c>
      <c r="AO628" s="140">
        <v>0.0</v>
      </c>
      <c r="AP628" s="109">
        <v>0.0</v>
      </c>
      <c r="AQ628" s="109">
        <v>0.0</v>
      </c>
      <c r="AR628" s="80">
        <v>0.0</v>
      </c>
      <c r="AS628" s="110">
        <v>0.0</v>
      </c>
      <c r="AT628" s="110">
        <v>0.0</v>
      </c>
      <c r="AU628" s="110">
        <v>0.0</v>
      </c>
      <c r="AV628" s="142">
        <v>0.0</v>
      </c>
      <c r="AW628" s="80">
        <v>0.0</v>
      </c>
      <c r="AX628" s="113">
        <v>64.0</v>
      </c>
      <c r="AY628" s="117">
        <v>0.0</v>
      </c>
      <c r="AZ628" s="328">
        <v>64.0</v>
      </c>
      <c r="BA628" s="315">
        <v>0.0</v>
      </c>
      <c r="BB628" s="316">
        <v>64.0</v>
      </c>
      <c r="BC628" s="132" t="s">
        <v>178</v>
      </c>
      <c r="BD628" s="143" t="s">
        <v>227</v>
      </c>
      <c r="BE628" s="132" t="s">
        <v>178</v>
      </c>
      <c r="BF628" s="123"/>
      <c r="BG628" s="83">
        <v>1178649.0</v>
      </c>
      <c r="BH628" s="112">
        <v>2.0</v>
      </c>
      <c r="BI628" s="98" t="s">
        <v>155</v>
      </c>
      <c r="BJ628" s="98" t="str">
        <f t="shared" si="1"/>
        <v>NÃO</v>
      </c>
      <c r="BK628" s="98" t="str">
        <f t="shared" si="2"/>
        <v>NÃO</v>
      </c>
    </row>
    <row r="629" ht="15.75" customHeight="1">
      <c r="A629" s="111" t="s">
        <v>796</v>
      </c>
      <c r="B629" s="83" t="s">
        <v>2830</v>
      </c>
      <c r="C629" s="83" t="s">
        <v>164</v>
      </c>
      <c r="D629" s="83">
        <v>1179111.0</v>
      </c>
      <c r="E629" s="83">
        <v>1178652.0</v>
      </c>
      <c r="F629" s="83"/>
      <c r="G629" s="114" t="s">
        <v>2887</v>
      </c>
      <c r="H629" s="91" t="s">
        <v>2888</v>
      </c>
      <c r="I629" s="187" t="s">
        <v>2889</v>
      </c>
      <c r="J629" s="83" t="s">
        <v>443</v>
      </c>
      <c r="K629" s="83" t="s">
        <v>168</v>
      </c>
      <c r="L629" s="83" t="s">
        <v>169</v>
      </c>
      <c r="M629" s="82" t="s">
        <v>7256</v>
      </c>
      <c r="N629" s="82" t="s">
        <v>7257</v>
      </c>
      <c r="O629" s="82" t="s">
        <v>7259</v>
      </c>
      <c r="P629" s="82" t="s">
        <v>7260</v>
      </c>
      <c r="Q629" s="82" t="s">
        <v>7261</v>
      </c>
      <c r="R629" s="82" t="s">
        <v>7262</v>
      </c>
      <c r="S629" s="82" t="s">
        <v>7263</v>
      </c>
      <c r="T629" s="138">
        <v>2.0</v>
      </c>
      <c r="U629" s="323">
        <v>2.0</v>
      </c>
      <c r="V629" s="106">
        <v>0.0</v>
      </c>
      <c r="W629" s="107">
        <v>0.0</v>
      </c>
      <c r="X629" s="107">
        <v>0.0</v>
      </c>
      <c r="Y629" s="107">
        <v>0.0</v>
      </c>
      <c r="Z629" s="80">
        <v>0.0</v>
      </c>
      <c r="AA629" s="140">
        <v>0.0</v>
      </c>
      <c r="AB629" s="109">
        <v>0.0</v>
      </c>
      <c r="AC629" s="109">
        <v>0.0</v>
      </c>
      <c r="AD629" s="141">
        <v>0.0</v>
      </c>
      <c r="AE629" s="80">
        <v>0.0</v>
      </c>
      <c r="AF629" s="140">
        <v>9.0</v>
      </c>
      <c r="AG629" s="109">
        <v>21.0</v>
      </c>
      <c r="AH629" s="109">
        <v>0.0</v>
      </c>
      <c r="AI629" s="141">
        <v>0.0</v>
      </c>
      <c r="AJ629" s="80">
        <v>30.0</v>
      </c>
      <c r="AK629" s="140">
        <v>0.0</v>
      </c>
      <c r="AL629" s="109">
        <v>0.0</v>
      </c>
      <c r="AM629" s="141">
        <v>0.0</v>
      </c>
      <c r="AN629" s="80">
        <v>0.0</v>
      </c>
      <c r="AO629" s="140">
        <v>0.0</v>
      </c>
      <c r="AP629" s="109">
        <v>0.0</v>
      </c>
      <c r="AQ629" s="109">
        <v>0.0</v>
      </c>
      <c r="AR629" s="80">
        <v>0.0</v>
      </c>
      <c r="AS629" s="110">
        <v>0.0</v>
      </c>
      <c r="AT629" s="110">
        <v>0.0</v>
      </c>
      <c r="AU629" s="110">
        <v>0.0</v>
      </c>
      <c r="AV629" s="142">
        <v>0.0</v>
      </c>
      <c r="AW629" s="80">
        <v>0.0</v>
      </c>
      <c r="AX629" s="113">
        <v>30.0</v>
      </c>
      <c r="AY629" s="117">
        <v>30.0</v>
      </c>
      <c r="AZ629" s="328">
        <v>0.0</v>
      </c>
      <c r="BA629" s="315">
        <v>0.0</v>
      </c>
      <c r="BB629" s="316">
        <v>30.0</v>
      </c>
      <c r="BC629" s="132" t="s">
        <v>178</v>
      </c>
      <c r="BD629" s="143" t="s">
        <v>227</v>
      </c>
      <c r="BE629" s="132" t="s">
        <v>178</v>
      </c>
      <c r="BF629" s="123"/>
      <c r="BG629" s="83">
        <v>1178652.0</v>
      </c>
      <c r="BH629" s="112">
        <v>2.0</v>
      </c>
      <c r="BI629" s="98" t="s">
        <v>155</v>
      </c>
      <c r="BJ629" s="98" t="str">
        <f t="shared" si="1"/>
        <v>NÃO</v>
      </c>
      <c r="BK629" s="98" t="str">
        <f t="shared" si="2"/>
        <v>NÃO</v>
      </c>
    </row>
    <row r="630" ht="15.75" customHeight="1">
      <c r="A630" s="111" t="s">
        <v>796</v>
      </c>
      <c r="B630" s="83" t="s">
        <v>2830</v>
      </c>
      <c r="C630" s="83" t="s">
        <v>164</v>
      </c>
      <c r="D630" s="83">
        <v>1179111.0</v>
      </c>
      <c r="E630" s="83">
        <v>1178654.0</v>
      </c>
      <c r="F630" s="83"/>
      <c r="G630" s="114" t="s">
        <v>2890</v>
      </c>
      <c r="H630" s="91" t="s">
        <v>2891</v>
      </c>
      <c r="I630" s="187" t="s">
        <v>2892</v>
      </c>
      <c r="J630" s="83" t="s">
        <v>890</v>
      </c>
      <c r="K630" s="83" t="s">
        <v>168</v>
      </c>
      <c r="L630" s="83" t="s">
        <v>169</v>
      </c>
      <c r="M630" s="82" t="s">
        <v>7256</v>
      </c>
      <c r="N630" s="82" t="s">
        <v>7257</v>
      </c>
      <c r="O630" s="82" t="s">
        <v>7259</v>
      </c>
      <c r="P630" s="82" t="s">
        <v>7260</v>
      </c>
      <c r="Q630" s="82" t="s">
        <v>7261</v>
      </c>
      <c r="R630" s="82" t="s">
        <v>7262</v>
      </c>
      <c r="S630" s="82" t="s">
        <v>7263</v>
      </c>
      <c r="T630" s="138">
        <v>2.0</v>
      </c>
      <c r="U630" s="323">
        <v>2.0</v>
      </c>
      <c r="V630" s="106">
        <v>0.0</v>
      </c>
      <c r="W630" s="107">
        <v>0.0</v>
      </c>
      <c r="X630" s="107">
        <v>0.0</v>
      </c>
      <c r="Y630" s="107">
        <v>0.0</v>
      </c>
      <c r="Z630" s="80">
        <v>0.0</v>
      </c>
      <c r="AA630" s="140">
        <v>0.0</v>
      </c>
      <c r="AB630" s="109">
        <v>0.0</v>
      </c>
      <c r="AC630" s="109">
        <v>0.0</v>
      </c>
      <c r="AD630" s="141">
        <v>0.0</v>
      </c>
      <c r="AE630" s="80">
        <v>0.0</v>
      </c>
      <c r="AF630" s="140">
        <v>11.0</v>
      </c>
      <c r="AG630" s="109">
        <v>21.0</v>
      </c>
      <c r="AH630" s="109">
        <v>0.0</v>
      </c>
      <c r="AI630" s="141">
        <v>0.0</v>
      </c>
      <c r="AJ630" s="80">
        <v>32.0</v>
      </c>
      <c r="AK630" s="140">
        <v>0.0</v>
      </c>
      <c r="AL630" s="109">
        <v>0.0</v>
      </c>
      <c r="AM630" s="141">
        <v>0.0</v>
      </c>
      <c r="AN630" s="80">
        <v>0.0</v>
      </c>
      <c r="AO630" s="140">
        <v>0.0</v>
      </c>
      <c r="AP630" s="109">
        <v>0.0</v>
      </c>
      <c r="AQ630" s="109">
        <v>0.0</v>
      </c>
      <c r="AR630" s="80">
        <v>0.0</v>
      </c>
      <c r="AS630" s="110">
        <v>0.0</v>
      </c>
      <c r="AT630" s="110">
        <v>0.0</v>
      </c>
      <c r="AU630" s="110">
        <v>0.0</v>
      </c>
      <c r="AV630" s="142">
        <v>0.0</v>
      </c>
      <c r="AW630" s="80">
        <v>0.0</v>
      </c>
      <c r="AX630" s="113">
        <v>32.0</v>
      </c>
      <c r="AY630" s="117">
        <v>32.0</v>
      </c>
      <c r="AZ630" s="328">
        <v>0.0</v>
      </c>
      <c r="BA630" s="315">
        <v>0.0</v>
      </c>
      <c r="BB630" s="316">
        <v>32.0</v>
      </c>
      <c r="BC630" s="132" t="s">
        <v>178</v>
      </c>
      <c r="BD630" s="143" t="s">
        <v>227</v>
      </c>
      <c r="BE630" s="132" t="s">
        <v>178</v>
      </c>
      <c r="BF630" s="123"/>
      <c r="BG630" s="83">
        <v>1178654.0</v>
      </c>
      <c r="BH630" s="112">
        <v>2.0</v>
      </c>
      <c r="BI630" s="98" t="s">
        <v>155</v>
      </c>
      <c r="BJ630" s="98" t="str">
        <f t="shared" si="1"/>
        <v>NÃO</v>
      </c>
      <c r="BK630" s="98" t="str">
        <f t="shared" si="2"/>
        <v>NÃO</v>
      </c>
    </row>
    <row r="631" ht="15.75" customHeight="1">
      <c r="A631" s="111" t="s">
        <v>796</v>
      </c>
      <c r="B631" s="83" t="s">
        <v>2830</v>
      </c>
      <c r="C631" s="83" t="s">
        <v>164</v>
      </c>
      <c r="D631" s="83">
        <v>1179111.0</v>
      </c>
      <c r="E631" s="83">
        <v>1178629.0</v>
      </c>
      <c r="F631" s="83"/>
      <c r="G631" s="114" t="s">
        <v>2893</v>
      </c>
      <c r="H631" s="91" t="s">
        <v>2894</v>
      </c>
      <c r="I631" s="187" t="s">
        <v>2895</v>
      </c>
      <c r="J631" s="83" t="s">
        <v>2896</v>
      </c>
      <c r="K631" s="83" t="s">
        <v>168</v>
      </c>
      <c r="L631" s="83" t="s">
        <v>169</v>
      </c>
      <c r="M631" s="82" t="s">
        <v>7256</v>
      </c>
      <c r="N631" s="82" t="s">
        <v>7257</v>
      </c>
      <c r="O631" s="82" t="s">
        <v>7259</v>
      </c>
      <c r="P631" s="82" t="s">
        <v>7260</v>
      </c>
      <c r="Q631" s="82" t="s">
        <v>7261</v>
      </c>
      <c r="R631" s="82" t="s">
        <v>7262</v>
      </c>
      <c r="S631" s="82" t="s">
        <v>7263</v>
      </c>
      <c r="T631" s="138">
        <v>3.0</v>
      </c>
      <c r="U631" s="323">
        <v>3.0</v>
      </c>
      <c r="V631" s="106">
        <v>0.0</v>
      </c>
      <c r="W631" s="107">
        <v>0.0</v>
      </c>
      <c r="X631" s="107">
        <v>0.0</v>
      </c>
      <c r="Y631" s="107">
        <v>0.0</v>
      </c>
      <c r="Z631" s="80">
        <v>0.0</v>
      </c>
      <c r="AA631" s="140">
        <v>0.0</v>
      </c>
      <c r="AB631" s="109">
        <v>0.0</v>
      </c>
      <c r="AC631" s="109">
        <v>0.0</v>
      </c>
      <c r="AD631" s="141">
        <v>0.0</v>
      </c>
      <c r="AE631" s="80">
        <v>0.0</v>
      </c>
      <c r="AF631" s="140">
        <v>7.0</v>
      </c>
      <c r="AG631" s="109">
        <v>7.0</v>
      </c>
      <c r="AH631" s="109">
        <v>11.0</v>
      </c>
      <c r="AI631" s="141">
        <v>0.0</v>
      </c>
      <c r="AJ631" s="80">
        <v>25.0</v>
      </c>
      <c r="AK631" s="140">
        <v>0.0</v>
      </c>
      <c r="AL631" s="109">
        <v>0.0</v>
      </c>
      <c r="AM631" s="141">
        <v>0.0</v>
      </c>
      <c r="AN631" s="80">
        <v>0.0</v>
      </c>
      <c r="AO631" s="140">
        <v>0.0</v>
      </c>
      <c r="AP631" s="109">
        <v>0.0</v>
      </c>
      <c r="AQ631" s="109">
        <v>0.0</v>
      </c>
      <c r="AR631" s="80">
        <v>0.0</v>
      </c>
      <c r="AS631" s="110">
        <v>0.0</v>
      </c>
      <c r="AT631" s="110">
        <v>0.0</v>
      </c>
      <c r="AU631" s="110">
        <v>0.0</v>
      </c>
      <c r="AV631" s="142">
        <v>0.0</v>
      </c>
      <c r="AW631" s="80">
        <v>0.0</v>
      </c>
      <c r="AX631" s="113">
        <v>25.0</v>
      </c>
      <c r="AY631" s="117">
        <v>14.0</v>
      </c>
      <c r="AZ631" s="328">
        <v>11.0</v>
      </c>
      <c r="BA631" s="315">
        <v>0.0</v>
      </c>
      <c r="BB631" s="316">
        <v>25.0</v>
      </c>
      <c r="BC631" s="132" t="s">
        <v>178</v>
      </c>
      <c r="BD631" s="143" t="s">
        <v>227</v>
      </c>
      <c r="BE631" s="132" t="s">
        <v>178</v>
      </c>
      <c r="BF631" s="123"/>
      <c r="BG631" s="83">
        <v>1178629.0</v>
      </c>
      <c r="BH631" s="112">
        <v>3.0</v>
      </c>
      <c r="BI631" s="98" t="s">
        <v>155</v>
      </c>
      <c r="BJ631" s="98" t="str">
        <f t="shared" si="1"/>
        <v>NÃO</v>
      </c>
      <c r="BK631" s="98" t="str">
        <f t="shared" si="2"/>
        <v>NÃO</v>
      </c>
    </row>
    <row r="632" ht="15.75" customHeight="1">
      <c r="A632" s="111" t="s">
        <v>796</v>
      </c>
      <c r="B632" s="83" t="s">
        <v>2830</v>
      </c>
      <c r="C632" s="83" t="s">
        <v>164</v>
      </c>
      <c r="D632" s="83">
        <v>1179111.0</v>
      </c>
      <c r="E632" s="83">
        <v>1178648.0</v>
      </c>
      <c r="F632" s="83"/>
      <c r="G632" s="114" t="s">
        <v>2897</v>
      </c>
      <c r="H632" s="91" t="s">
        <v>2898</v>
      </c>
      <c r="I632" s="187" t="s">
        <v>2899</v>
      </c>
      <c r="J632" s="83" t="s">
        <v>191</v>
      </c>
      <c r="K632" s="83" t="s">
        <v>168</v>
      </c>
      <c r="L632" s="83" t="s">
        <v>169</v>
      </c>
      <c r="M632" s="82" t="s">
        <v>7256</v>
      </c>
      <c r="N632" s="82" t="s">
        <v>7257</v>
      </c>
      <c r="O632" s="82" t="s">
        <v>7259</v>
      </c>
      <c r="P632" s="82" t="s">
        <v>7260</v>
      </c>
      <c r="Q632" s="82" t="s">
        <v>7261</v>
      </c>
      <c r="R632" s="82" t="s">
        <v>7262</v>
      </c>
      <c r="S632" s="82" t="s">
        <v>7263</v>
      </c>
      <c r="T632" s="138">
        <v>2.0</v>
      </c>
      <c r="U632" s="323">
        <v>2.0</v>
      </c>
      <c r="V632" s="106">
        <v>0.0</v>
      </c>
      <c r="W632" s="107">
        <v>0.0</v>
      </c>
      <c r="X632" s="107">
        <v>0.0</v>
      </c>
      <c r="Y632" s="107">
        <v>0.0</v>
      </c>
      <c r="Z632" s="80">
        <v>0.0</v>
      </c>
      <c r="AA632" s="140">
        <v>0.0</v>
      </c>
      <c r="AB632" s="109">
        <v>0.0</v>
      </c>
      <c r="AC632" s="109">
        <v>0.0</v>
      </c>
      <c r="AD632" s="141">
        <v>0.0</v>
      </c>
      <c r="AE632" s="80">
        <v>0.0</v>
      </c>
      <c r="AF632" s="140">
        <v>25.0</v>
      </c>
      <c r="AG632" s="109">
        <v>12.0</v>
      </c>
      <c r="AH632" s="109">
        <v>0.0</v>
      </c>
      <c r="AI632" s="141">
        <v>0.0</v>
      </c>
      <c r="AJ632" s="80">
        <v>37.0</v>
      </c>
      <c r="AK632" s="140">
        <v>0.0</v>
      </c>
      <c r="AL632" s="109">
        <v>0.0</v>
      </c>
      <c r="AM632" s="141">
        <v>0.0</v>
      </c>
      <c r="AN632" s="80">
        <v>0.0</v>
      </c>
      <c r="AO632" s="140">
        <v>0.0</v>
      </c>
      <c r="AP632" s="109">
        <v>0.0</v>
      </c>
      <c r="AQ632" s="109">
        <v>0.0</v>
      </c>
      <c r="AR632" s="80">
        <v>0.0</v>
      </c>
      <c r="AS632" s="110">
        <v>0.0</v>
      </c>
      <c r="AT632" s="110">
        <v>0.0</v>
      </c>
      <c r="AU632" s="110">
        <v>0.0</v>
      </c>
      <c r="AV632" s="142">
        <v>0.0</v>
      </c>
      <c r="AW632" s="80">
        <v>0.0</v>
      </c>
      <c r="AX632" s="113">
        <v>37.0</v>
      </c>
      <c r="AY632" s="117">
        <v>37.0</v>
      </c>
      <c r="AZ632" s="328">
        <v>0.0</v>
      </c>
      <c r="BA632" s="315">
        <v>0.0</v>
      </c>
      <c r="BB632" s="316">
        <v>37.0</v>
      </c>
      <c r="BC632" s="132" t="s">
        <v>178</v>
      </c>
      <c r="BD632" s="143" t="s">
        <v>227</v>
      </c>
      <c r="BE632" s="132" t="s">
        <v>178</v>
      </c>
      <c r="BF632" s="123"/>
      <c r="BG632" s="83">
        <v>1178648.0</v>
      </c>
      <c r="BH632" s="112">
        <v>2.0</v>
      </c>
      <c r="BI632" s="98" t="s">
        <v>155</v>
      </c>
      <c r="BJ632" s="98" t="str">
        <f t="shared" si="1"/>
        <v>NÃO</v>
      </c>
      <c r="BK632" s="98" t="str">
        <f t="shared" si="2"/>
        <v>NÃO</v>
      </c>
    </row>
    <row r="633" ht="15.75" customHeight="1">
      <c r="A633" s="111" t="s">
        <v>796</v>
      </c>
      <c r="B633" s="83" t="s">
        <v>2830</v>
      </c>
      <c r="C633" s="83" t="s">
        <v>164</v>
      </c>
      <c r="D633" s="83">
        <v>1179111.0</v>
      </c>
      <c r="E633" s="83">
        <v>1178655.0</v>
      </c>
      <c r="F633" s="83"/>
      <c r="G633" s="114" t="s">
        <v>2900</v>
      </c>
      <c r="H633" s="91" t="s">
        <v>2901</v>
      </c>
      <c r="I633" s="187" t="s">
        <v>2902</v>
      </c>
      <c r="J633" s="83" t="s">
        <v>2903</v>
      </c>
      <c r="K633" s="83" t="s">
        <v>151</v>
      </c>
      <c r="L633" s="83" t="s">
        <v>169</v>
      </c>
      <c r="M633" s="82" t="s">
        <v>7256</v>
      </c>
      <c r="N633" s="82" t="s">
        <v>7257</v>
      </c>
      <c r="O633" s="82" t="s">
        <v>7259</v>
      </c>
      <c r="P633" s="82" t="s">
        <v>7260</v>
      </c>
      <c r="Q633" s="82" t="s">
        <v>7261</v>
      </c>
      <c r="R633" s="82" t="s">
        <v>7262</v>
      </c>
      <c r="S633" s="82" t="s">
        <v>7263</v>
      </c>
      <c r="T633" s="138">
        <v>2.0</v>
      </c>
      <c r="U633" s="323">
        <v>2.0</v>
      </c>
      <c r="V633" s="106">
        <v>0.0</v>
      </c>
      <c r="W633" s="107">
        <v>0.0</v>
      </c>
      <c r="X633" s="107">
        <v>0.0</v>
      </c>
      <c r="Y633" s="107">
        <v>0.0</v>
      </c>
      <c r="Z633" s="80">
        <v>0.0</v>
      </c>
      <c r="AA633" s="140">
        <v>0.0</v>
      </c>
      <c r="AB633" s="109">
        <v>0.0</v>
      </c>
      <c r="AC633" s="109">
        <v>0.0</v>
      </c>
      <c r="AD633" s="141">
        <v>0.0</v>
      </c>
      <c r="AE633" s="80">
        <v>0.0</v>
      </c>
      <c r="AF633" s="140">
        <v>18.0</v>
      </c>
      <c r="AG633" s="109">
        <v>33.0</v>
      </c>
      <c r="AH633" s="109">
        <v>0.0</v>
      </c>
      <c r="AI633" s="141">
        <v>0.0</v>
      </c>
      <c r="AJ633" s="80">
        <v>51.0</v>
      </c>
      <c r="AK633" s="140">
        <v>0.0</v>
      </c>
      <c r="AL633" s="109">
        <v>0.0</v>
      </c>
      <c r="AM633" s="141">
        <v>0.0</v>
      </c>
      <c r="AN633" s="80">
        <v>0.0</v>
      </c>
      <c r="AO633" s="140">
        <v>0.0</v>
      </c>
      <c r="AP633" s="109">
        <v>0.0</v>
      </c>
      <c r="AQ633" s="109">
        <v>0.0</v>
      </c>
      <c r="AR633" s="80">
        <v>0.0</v>
      </c>
      <c r="AS633" s="110">
        <v>0.0</v>
      </c>
      <c r="AT633" s="110">
        <v>0.0</v>
      </c>
      <c r="AU633" s="110">
        <v>0.0</v>
      </c>
      <c r="AV633" s="142">
        <v>0.0</v>
      </c>
      <c r="AW633" s="80">
        <v>0.0</v>
      </c>
      <c r="AX633" s="113">
        <v>51.0</v>
      </c>
      <c r="AY633" s="117">
        <v>51.0</v>
      </c>
      <c r="AZ633" s="328">
        <v>0.0</v>
      </c>
      <c r="BA633" s="315">
        <v>0.0</v>
      </c>
      <c r="BB633" s="316">
        <v>51.0</v>
      </c>
      <c r="BC633" s="132" t="s">
        <v>178</v>
      </c>
      <c r="BD633" s="143" t="s">
        <v>227</v>
      </c>
      <c r="BE633" s="132" t="s">
        <v>178</v>
      </c>
      <c r="BF633" s="123"/>
      <c r="BG633" s="83">
        <v>1178655.0</v>
      </c>
      <c r="BH633" s="112">
        <v>2.0</v>
      </c>
      <c r="BI633" s="98" t="s">
        <v>155</v>
      </c>
      <c r="BJ633" s="98" t="str">
        <f t="shared" si="1"/>
        <v>NÃO</v>
      </c>
      <c r="BK633" s="98" t="str">
        <f t="shared" si="2"/>
        <v>NÃO</v>
      </c>
    </row>
    <row r="634" ht="15.75" customHeight="1">
      <c r="A634" s="111" t="s">
        <v>796</v>
      </c>
      <c r="B634" s="83" t="s">
        <v>2830</v>
      </c>
      <c r="C634" s="83" t="s">
        <v>164</v>
      </c>
      <c r="D634" s="83">
        <v>1179111.0</v>
      </c>
      <c r="E634" s="83">
        <v>1179043.0</v>
      </c>
      <c r="F634" s="83"/>
      <c r="G634" s="114" t="s">
        <v>2904</v>
      </c>
      <c r="H634" s="91" t="s">
        <v>2905</v>
      </c>
      <c r="I634" s="187" t="s">
        <v>2906</v>
      </c>
      <c r="J634" s="83" t="s">
        <v>2907</v>
      </c>
      <c r="K634" s="83" t="s">
        <v>168</v>
      </c>
      <c r="L634" s="83" t="s">
        <v>169</v>
      </c>
      <c r="M634" s="82" t="s">
        <v>7256</v>
      </c>
      <c r="N634" s="82" t="s">
        <v>7257</v>
      </c>
      <c r="O634" s="82" t="s">
        <v>7259</v>
      </c>
      <c r="P634" s="82" t="s">
        <v>7260</v>
      </c>
      <c r="Q634" s="82" t="s">
        <v>7261</v>
      </c>
      <c r="R634" s="82" t="s">
        <v>7262</v>
      </c>
      <c r="S634" s="82" t="s">
        <v>7263</v>
      </c>
      <c r="T634" s="138">
        <v>2.0</v>
      </c>
      <c r="U634" s="323">
        <v>2.0</v>
      </c>
      <c r="V634" s="106">
        <v>0.0</v>
      </c>
      <c r="W634" s="107">
        <v>0.0</v>
      </c>
      <c r="X634" s="107">
        <v>0.0</v>
      </c>
      <c r="Y634" s="107">
        <v>0.0</v>
      </c>
      <c r="Z634" s="80">
        <v>0.0</v>
      </c>
      <c r="AA634" s="140">
        <v>0.0</v>
      </c>
      <c r="AB634" s="109">
        <v>0.0</v>
      </c>
      <c r="AC634" s="109">
        <v>0.0</v>
      </c>
      <c r="AD634" s="141">
        <v>0.0</v>
      </c>
      <c r="AE634" s="80">
        <v>0.0</v>
      </c>
      <c r="AF634" s="140">
        <v>3.0</v>
      </c>
      <c r="AG634" s="109">
        <v>13.0</v>
      </c>
      <c r="AH634" s="109">
        <v>0.0</v>
      </c>
      <c r="AI634" s="141">
        <v>0.0</v>
      </c>
      <c r="AJ634" s="80">
        <v>16.0</v>
      </c>
      <c r="AK634" s="140">
        <v>0.0</v>
      </c>
      <c r="AL634" s="109">
        <v>0.0</v>
      </c>
      <c r="AM634" s="141">
        <v>0.0</v>
      </c>
      <c r="AN634" s="80">
        <v>0.0</v>
      </c>
      <c r="AO634" s="140">
        <v>0.0</v>
      </c>
      <c r="AP634" s="109">
        <v>0.0</v>
      </c>
      <c r="AQ634" s="109">
        <v>0.0</v>
      </c>
      <c r="AR634" s="80">
        <v>0.0</v>
      </c>
      <c r="AS634" s="110">
        <v>0.0</v>
      </c>
      <c r="AT634" s="110">
        <v>0.0</v>
      </c>
      <c r="AU634" s="110">
        <v>0.0</v>
      </c>
      <c r="AV634" s="142">
        <v>0.0</v>
      </c>
      <c r="AW634" s="80">
        <v>0.0</v>
      </c>
      <c r="AX634" s="113">
        <v>16.0</v>
      </c>
      <c r="AY634" s="117">
        <v>16.0</v>
      </c>
      <c r="AZ634" s="328">
        <v>0.0</v>
      </c>
      <c r="BA634" s="315">
        <v>0.0</v>
      </c>
      <c r="BB634" s="316">
        <v>16.0</v>
      </c>
      <c r="BC634" s="132" t="s">
        <v>178</v>
      </c>
      <c r="BD634" s="143" t="s">
        <v>227</v>
      </c>
      <c r="BE634" s="132" t="s">
        <v>178</v>
      </c>
      <c r="BF634" s="123"/>
      <c r="BG634" s="83">
        <v>1179043.0</v>
      </c>
      <c r="BH634" s="112">
        <v>2.0</v>
      </c>
      <c r="BI634" s="98" t="s">
        <v>155</v>
      </c>
      <c r="BJ634" s="98" t="str">
        <f t="shared" si="1"/>
        <v>NÃO</v>
      </c>
      <c r="BK634" s="98" t="str">
        <f t="shared" si="2"/>
        <v>NÃO</v>
      </c>
    </row>
    <row r="635" ht="15.75" customHeight="1">
      <c r="A635" s="111" t="s">
        <v>796</v>
      </c>
      <c r="B635" s="83" t="s">
        <v>2830</v>
      </c>
      <c r="C635" s="83" t="s">
        <v>164</v>
      </c>
      <c r="D635" s="83">
        <v>1179111.0</v>
      </c>
      <c r="E635" s="83">
        <v>1178646.0</v>
      </c>
      <c r="F635" s="83"/>
      <c r="G635" s="114" t="s">
        <v>2908</v>
      </c>
      <c r="H635" s="91" t="s">
        <v>2909</v>
      </c>
      <c r="I635" s="187" t="s">
        <v>2910</v>
      </c>
      <c r="J635" s="83" t="s">
        <v>672</v>
      </c>
      <c r="K635" s="83" t="s">
        <v>168</v>
      </c>
      <c r="L635" s="83" t="s">
        <v>169</v>
      </c>
      <c r="M635" s="82" t="s">
        <v>7256</v>
      </c>
      <c r="N635" s="82" t="s">
        <v>7257</v>
      </c>
      <c r="O635" s="82" t="s">
        <v>7259</v>
      </c>
      <c r="P635" s="82" t="s">
        <v>7260</v>
      </c>
      <c r="Q635" s="82" t="s">
        <v>7261</v>
      </c>
      <c r="R635" s="82" t="s">
        <v>7262</v>
      </c>
      <c r="S635" s="82" t="s">
        <v>7263</v>
      </c>
      <c r="T635" s="138">
        <v>2.0</v>
      </c>
      <c r="U635" s="323">
        <v>2.0</v>
      </c>
      <c r="V635" s="106">
        <v>0.0</v>
      </c>
      <c r="W635" s="107">
        <v>0.0</v>
      </c>
      <c r="X635" s="107">
        <v>0.0</v>
      </c>
      <c r="Y635" s="107">
        <v>0.0</v>
      </c>
      <c r="Z635" s="80">
        <v>0.0</v>
      </c>
      <c r="AA635" s="140">
        <v>0.0</v>
      </c>
      <c r="AB635" s="109">
        <v>0.0</v>
      </c>
      <c r="AC635" s="109">
        <v>0.0</v>
      </c>
      <c r="AD635" s="141">
        <v>0.0</v>
      </c>
      <c r="AE635" s="80">
        <v>0.0</v>
      </c>
      <c r="AF635" s="140">
        <v>37.0</v>
      </c>
      <c r="AG635" s="109">
        <v>13.0</v>
      </c>
      <c r="AH635" s="109">
        <v>0.0</v>
      </c>
      <c r="AI635" s="141">
        <v>0.0</v>
      </c>
      <c r="AJ635" s="80">
        <v>50.0</v>
      </c>
      <c r="AK635" s="140">
        <v>0.0</v>
      </c>
      <c r="AL635" s="109">
        <v>0.0</v>
      </c>
      <c r="AM635" s="141">
        <v>0.0</v>
      </c>
      <c r="AN635" s="80">
        <v>0.0</v>
      </c>
      <c r="AO635" s="140">
        <v>0.0</v>
      </c>
      <c r="AP635" s="109">
        <v>0.0</v>
      </c>
      <c r="AQ635" s="109">
        <v>0.0</v>
      </c>
      <c r="AR635" s="80">
        <v>0.0</v>
      </c>
      <c r="AS635" s="110">
        <v>0.0</v>
      </c>
      <c r="AT635" s="110">
        <v>0.0</v>
      </c>
      <c r="AU635" s="110">
        <v>0.0</v>
      </c>
      <c r="AV635" s="142">
        <v>0.0</v>
      </c>
      <c r="AW635" s="80">
        <v>0.0</v>
      </c>
      <c r="AX635" s="113">
        <v>50.0</v>
      </c>
      <c r="AY635" s="117">
        <v>50.0</v>
      </c>
      <c r="AZ635" s="328">
        <v>0.0</v>
      </c>
      <c r="BA635" s="315">
        <v>0.0</v>
      </c>
      <c r="BB635" s="316">
        <v>50.0</v>
      </c>
      <c r="BC635" s="132" t="s">
        <v>178</v>
      </c>
      <c r="BD635" s="143" t="s">
        <v>227</v>
      </c>
      <c r="BE635" s="132" t="s">
        <v>178</v>
      </c>
      <c r="BF635" s="123"/>
      <c r="BG635" s="83">
        <v>1178646.0</v>
      </c>
      <c r="BH635" s="112">
        <v>2.0</v>
      </c>
      <c r="BI635" s="98" t="s">
        <v>155</v>
      </c>
      <c r="BJ635" s="98" t="str">
        <f t="shared" si="1"/>
        <v>NÃO</v>
      </c>
      <c r="BK635" s="98" t="str">
        <f t="shared" si="2"/>
        <v>NÃO</v>
      </c>
    </row>
    <row r="636" ht="15.75" customHeight="1">
      <c r="A636" s="111" t="s">
        <v>796</v>
      </c>
      <c r="B636" s="83" t="s">
        <v>2911</v>
      </c>
      <c r="C636" s="83" t="s">
        <v>68</v>
      </c>
      <c r="D636" s="83">
        <v>1176454.0</v>
      </c>
      <c r="E636" s="83"/>
      <c r="F636" s="83">
        <v>2.9393353E7</v>
      </c>
      <c r="G636" s="114" t="s">
        <v>2913</v>
      </c>
      <c r="H636" s="91" t="s">
        <v>2915</v>
      </c>
      <c r="I636" s="187" t="s">
        <v>149</v>
      </c>
      <c r="J636" s="83" t="s">
        <v>150</v>
      </c>
      <c r="K636" s="83" t="s">
        <v>151</v>
      </c>
      <c r="L636" s="83" t="s">
        <v>152</v>
      </c>
      <c r="M636" s="82" t="s">
        <v>7301</v>
      </c>
      <c r="N636" s="82" t="s">
        <v>7302</v>
      </c>
      <c r="O636" s="82" t="s">
        <v>7303</v>
      </c>
      <c r="P636" s="82" t="s">
        <v>7304</v>
      </c>
      <c r="Q636" s="82"/>
      <c r="R636" s="82"/>
      <c r="S636" s="82" t="s">
        <v>7305</v>
      </c>
      <c r="T636" s="138">
        <v>8.0</v>
      </c>
      <c r="U636" s="331">
        <v>8.0</v>
      </c>
      <c r="V636" s="106">
        <v>0.0</v>
      </c>
      <c r="W636" s="107">
        <v>0.0</v>
      </c>
      <c r="X636" s="107">
        <v>0.0</v>
      </c>
      <c r="Y636" s="107">
        <v>0.0</v>
      </c>
      <c r="Z636" s="80">
        <v>0.0</v>
      </c>
      <c r="AA636" s="140">
        <v>0.0</v>
      </c>
      <c r="AB636" s="109">
        <v>0.0</v>
      </c>
      <c r="AC636" s="109">
        <v>0.0</v>
      </c>
      <c r="AD636" s="141">
        <v>0.0</v>
      </c>
      <c r="AE636" s="80">
        <v>0.0</v>
      </c>
      <c r="AF636" s="140">
        <v>172.0</v>
      </c>
      <c r="AG636" s="109">
        <v>196.0</v>
      </c>
      <c r="AH636" s="109">
        <v>0.0</v>
      </c>
      <c r="AI636" s="141">
        <v>0.0</v>
      </c>
      <c r="AJ636" s="80">
        <v>368.0</v>
      </c>
      <c r="AK636" s="140">
        <v>0.0</v>
      </c>
      <c r="AL636" s="109">
        <v>0.0</v>
      </c>
      <c r="AM636" s="141">
        <v>0.0</v>
      </c>
      <c r="AN636" s="80">
        <v>0.0</v>
      </c>
      <c r="AO636" s="140">
        <v>0.0</v>
      </c>
      <c r="AP636" s="109">
        <v>0.0</v>
      </c>
      <c r="AQ636" s="109">
        <v>105.0</v>
      </c>
      <c r="AR636" s="80">
        <v>105.0</v>
      </c>
      <c r="AS636" s="110">
        <v>53.0</v>
      </c>
      <c r="AT636" s="110">
        <v>0.0</v>
      </c>
      <c r="AU636" s="110">
        <v>0.0</v>
      </c>
      <c r="AV636" s="142">
        <v>0.0</v>
      </c>
      <c r="AW636" s="80">
        <v>53.0</v>
      </c>
      <c r="AX636" s="113">
        <v>526.0</v>
      </c>
      <c r="AY636" s="117">
        <v>421.0</v>
      </c>
      <c r="AZ636" s="328">
        <v>105.0</v>
      </c>
      <c r="BA636" s="315">
        <v>0.0</v>
      </c>
      <c r="BB636" s="316">
        <v>526.0</v>
      </c>
      <c r="BC636" s="132" t="s">
        <v>178</v>
      </c>
      <c r="BD636" s="132" t="s">
        <v>178</v>
      </c>
      <c r="BE636" s="132" t="s">
        <v>178</v>
      </c>
      <c r="BF636" s="123"/>
      <c r="BG636" s="83">
        <v>1176454.0</v>
      </c>
      <c r="BH636" s="112">
        <v>8.0</v>
      </c>
      <c r="BI636" s="98" t="s">
        <v>155</v>
      </c>
      <c r="BJ636" s="98" t="str">
        <f t="shared" si="1"/>
        <v>NÃO</v>
      </c>
      <c r="BK636" s="98" t="str">
        <f t="shared" si="2"/>
        <v>PROFISSIONAL</v>
      </c>
    </row>
    <row r="637" ht="15.75" customHeight="1">
      <c r="A637" s="111" t="s">
        <v>796</v>
      </c>
      <c r="B637" s="83" t="s">
        <v>2911</v>
      </c>
      <c r="C637" s="83" t="s">
        <v>164</v>
      </c>
      <c r="D637" s="83">
        <v>1179111.0</v>
      </c>
      <c r="E637" s="83">
        <v>1178604.0</v>
      </c>
      <c r="F637" s="83"/>
      <c r="G637" s="114" t="s">
        <v>2922</v>
      </c>
      <c r="H637" s="91" t="s">
        <v>2923</v>
      </c>
      <c r="I637" s="187" t="s">
        <v>2924</v>
      </c>
      <c r="J637" s="83" t="s">
        <v>467</v>
      </c>
      <c r="K637" s="83" t="s">
        <v>168</v>
      </c>
      <c r="L637" s="83" t="s">
        <v>169</v>
      </c>
      <c r="M637" s="82" t="s">
        <v>7256</v>
      </c>
      <c r="N637" s="82" t="s">
        <v>7257</v>
      </c>
      <c r="O637" s="82" t="s">
        <v>7259</v>
      </c>
      <c r="P637" s="82" t="s">
        <v>7260</v>
      </c>
      <c r="Q637" s="82" t="s">
        <v>7261</v>
      </c>
      <c r="R637" s="82" t="s">
        <v>7262</v>
      </c>
      <c r="S637" s="82" t="s">
        <v>7263</v>
      </c>
      <c r="T637" s="138">
        <v>1.0</v>
      </c>
      <c r="U637" s="323">
        <v>1.0</v>
      </c>
      <c r="V637" s="106">
        <v>0.0</v>
      </c>
      <c r="W637" s="107">
        <v>0.0</v>
      </c>
      <c r="X637" s="107">
        <v>0.0</v>
      </c>
      <c r="Y637" s="107">
        <v>0.0</v>
      </c>
      <c r="Z637" s="80">
        <v>0.0</v>
      </c>
      <c r="AA637" s="140">
        <v>0.0</v>
      </c>
      <c r="AB637" s="109">
        <v>0.0</v>
      </c>
      <c r="AC637" s="109">
        <v>0.0</v>
      </c>
      <c r="AD637" s="141">
        <v>0.0</v>
      </c>
      <c r="AE637" s="80">
        <v>0.0</v>
      </c>
      <c r="AF637" s="140">
        <v>0.0</v>
      </c>
      <c r="AG637" s="109">
        <v>7.0</v>
      </c>
      <c r="AH637" s="109">
        <v>0.0</v>
      </c>
      <c r="AI637" s="141">
        <v>0.0</v>
      </c>
      <c r="AJ637" s="80">
        <v>7.0</v>
      </c>
      <c r="AK637" s="140">
        <v>0.0</v>
      </c>
      <c r="AL637" s="109">
        <v>0.0</v>
      </c>
      <c r="AM637" s="141">
        <v>0.0</v>
      </c>
      <c r="AN637" s="80">
        <v>0.0</v>
      </c>
      <c r="AO637" s="140">
        <v>0.0</v>
      </c>
      <c r="AP637" s="109">
        <v>0.0</v>
      </c>
      <c r="AQ637" s="109">
        <v>0.0</v>
      </c>
      <c r="AR637" s="80">
        <v>0.0</v>
      </c>
      <c r="AS637" s="110">
        <v>0.0</v>
      </c>
      <c r="AT637" s="110">
        <v>0.0</v>
      </c>
      <c r="AU637" s="110">
        <v>0.0</v>
      </c>
      <c r="AV637" s="142">
        <v>0.0</v>
      </c>
      <c r="AW637" s="80">
        <v>0.0</v>
      </c>
      <c r="AX637" s="113">
        <v>7.0</v>
      </c>
      <c r="AY637" s="117">
        <v>7.0</v>
      </c>
      <c r="AZ637" s="328">
        <v>0.0</v>
      </c>
      <c r="BA637" s="315">
        <v>0.0</v>
      </c>
      <c r="BB637" s="316">
        <v>7.0</v>
      </c>
      <c r="BC637" s="132" t="s">
        <v>178</v>
      </c>
      <c r="BD637" s="143" t="s">
        <v>227</v>
      </c>
      <c r="BE637" s="132" t="s">
        <v>178</v>
      </c>
      <c r="BF637" s="123"/>
      <c r="BG637" s="83">
        <v>1178604.0</v>
      </c>
      <c r="BH637" s="112">
        <v>1.0</v>
      </c>
      <c r="BI637" s="98" t="s">
        <v>155</v>
      </c>
      <c r="BJ637" s="98" t="str">
        <f t="shared" si="1"/>
        <v>NÃO</v>
      </c>
      <c r="BK637" s="98" t="str">
        <f t="shared" si="2"/>
        <v>NÃO</v>
      </c>
    </row>
    <row r="638" ht="15.75" customHeight="1">
      <c r="A638" s="111" t="s">
        <v>796</v>
      </c>
      <c r="B638" s="83" t="s">
        <v>2925</v>
      </c>
      <c r="C638" s="83" t="s">
        <v>68</v>
      </c>
      <c r="D638" s="83">
        <v>1179712.0</v>
      </c>
      <c r="E638" s="189"/>
      <c r="F638" s="98">
        <v>2.94851E7</v>
      </c>
      <c r="G638" s="209" t="s">
        <v>7314</v>
      </c>
      <c r="H638" s="91" t="s">
        <v>7315</v>
      </c>
      <c r="I638" s="114" t="s">
        <v>171</v>
      </c>
      <c r="J638" s="98" t="s">
        <v>2928</v>
      </c>
      <c r="K638" s="83" t="s">
        <v>151</v>
      </c>
      <c r="L638" s="83" t="s">
        <v>169</v>
      </c>
      <c r="M638" s="82" t="s">
        <v>7316</v>
      </c>
      <c r="N638" s="82" t="s">
        <v>7317</v>
      </c>
      <c r="O638" s="82"/>
      <c r="P638" s="82"/>
      <c r="Q638" s="82"/>
      <c r="R638" s="82"/>
      <c r="S638" s="82"/>
      <c r="T638" s="138">
        <v>6.0</v>
      </c>
      <c r="U638" s="323">
        <v>6.0</v>
      </c>
      <c r="V638" s="106">
        <v>0.0</v>
      </c>
      <c r="W638" s="107">
        <v>0.0</v>
      </c>
      <c r="X638" s="107">
        <v>0.0</v>
      </c>
      <c r="Y638" s="107">
        <v>0.0</v>
      </c>
      <c r="Z638" s="80">
        <v>0.0</v>
      </c>
      <c r="AA638" s="140">
        <v>0.0</v>
      </c>
      <c r="AB638" s="109">
        <v>0.0</v>
      </c>
      <c r="AC638" s="109">
        <v>0.0</v>
      </c>
      <c r="AD638" s="141">
        <v>0.0</v>
      </c>
      <c r="AE638" s="80">
        <v>0.0</v>
      </c>
      <c r="AF638" s="140">
        <v>0.0</v>
      </c>
      <c r="AG638" s="109">
        <v>0.0</v>
      </c>
      <c r="AH638" s="109">
        <v>64.0</v>
      </c>
      <c r="AI638" s="141">
        <v>54.0</v>
      </c>
      <c r="AJ638" s="80">
        <v>118.0</v>
      </c>
      <c r="AK638" s="140">
        <v>0.0</v>
      </c>
      <c r="AL638" s="109">
        <v>0.0</v>
      </c>
      <c r="AM638" s="141">
        <v>0.0</v>
      </c>
      <c r="AN638" s="80">
        <v>0.0</v>
      </c>
      <c r="AO638" s="140">
        <v>0.0</v>
      </c>
      <c r="AP638" s="109">
        <v>0.0</v>
      </c>
      <c r="AQ638" s="109">
        <v>103.0</v>
      </c>
      <c r="AR638" s="80">
        <v>103.0</v>
      </c>
      <c r="AS638" s="110">
        <v>0.0</v>
      </c>
      <c r="AT638" s="110">
        <v>0.0</v>
      </c>
      <c r="AU638" s="110">
        <v>0.0</v>
      </c>
      <c r="AV638" s="142">
        <v>0.0</v>
      </c>
      <c r="AW638" s="80">
        <v>0.0</v>
      </c>
      <c r="AX638" s="113">
        <v>221.0</v>
      </c>
      <c r="AY638" s="117">
        <v>54.0</v>
      </c>
      <c r="AZ638" s="328">
        <v>167.0</v>
      </c>
      <c r="BA638" s="315">
        <v>0.0</v>
      </c>
      <c r="BB638" s="316">
        <v>221.0</v>
      </c>
      <c r="BC638" s="132" t="s">
        <v>178</v>
      </c>
      <c r="BD638" s="132" t="s">
        <v>178</v>
      </c>
      <c r="BE638" s="132" t="s">
        <v>178</v>
      </c>
      <c r="BF638" s="156"/>
      <c r="BG638" s="83">
        <v>1179712.0</v>
      </c>
      <c r="BH638" s="112">
        <v>6.0</v>
      </c>
      <c r="BI638" s="98" t="s">
        <v>155</v>
      </c>
      <c r="BJ638" s="98" t="str">
        <f t="shared" si="1"/>
        <v>INTEGRAL</v>
      </c>
      <c r="BK638" s="98" t="str">
        <f t="shared" si="2"/>
        <v>NÃO</v>
      </c>
    </row>
    <row r="639" ht="15.75" customHeight="1">
      <c r="A639" s="111" t="s">
        <v>796</v>
      </c>
      <c r="B639" s="83" t="s">
        <v>2925</v>
      </c>
      <c r="C639" s="191" t="s">
        <v>68</v>
      </c>
      <c r="D639" s="83">
        <v>1179592.0</v>
      </c>
      <c r="E639" s="83"/>
      <c r="F639" s="237">
        <v>2.947056E7</v>
      </c>
      <c r="G639" s="91" t="s">
        <v>2931</v>
      </c>
      <c r="H639" s="91" t="s">
        <v>2932</v>
      </c>
      <c r="I639" s="453" t="s">
        <v>149</v>
      </c>
      <c r="J639" s="83" t="s">
        <v>702</v>
      </c>
      <c r="K639" s="83" t="s">
        <v>151</v>
      </c>
      <c r="L639" s="83" t="s">
        <v>76</v>
      </c>
      <c r="M639" s="82" t="s">
        <v>7324</v>
      </c>
      <c r="N639" s="82" t="s">
        <v>7325</v>
      </c>
      <c r="O639" s="82"/>
      <c r="P639" s="82"/>
      <c r="Q639" s="82"/>
      <c r="R639" s="82"/>
      <c r="S639" s="82"/>
      <c r="T639" s="138">
        <v>10.0</v>
      </c>
      <c r="U639" s="323">
        <v>8.0</v>
      </c>
      <c r="V639" s="106">
        <v>0.0</v>
      </c>
      <c r="W639" s="107">
        <v>0.0</v>
      </c>
      <c r="X639" s="107">
        <v>0.0</v>
      </c>
      <c r="Y639" s="107">
        <v>0.0</v>
      </c>
      <c r="Z639" s="80">
        <v>0.0</v>
      </c>
      <c r="AA639" s="140">
        <v>0.0</v>
      </c>
      <c r="AB639" s="109">
        <v>0.0</v>
      </c>
      <c r="AC639" s="109">
        <v>0.0</v>
      </c>
      <c r="AD639" s="141">
        <v>0.0</v>
      </c>
      <c r="AE639" s="80">
        <v>0.0</v>
      </c>
      <c r="AF639" s="140">
        <v>0.0</v>
      </c>
      <c r="AG639" s="109">
        <v>0.0</v>
      </c>
      <c r="AH639" s="109">
        <v>39.0</v>
      </c>
      <c r="AI639" s="141">
        <v>234.0</v>
      </c>
      <c r="AJ639" s="80">
        <v>273.0</v>
      </c>
      <c r="AK639" s="140">
        <v>0.0</v>
      </c>
      <c r="AL639" s="109">
        <v>0.0</v>
      </c>
      <c r="AM639" s="141">
        <v>0.0</v>
      </c>
      <c r="AN639" s="80">
        <v>0.0</v>
      </c>
      <c r="AO639" s="140">
        <v>0.0</v>
      </c>
      <c r="AP639" s="109">
        <v>0.0</v>
      </c>
      <c r="AQ639" s="109">
        <v>147.0</v>
      </c>
      <c r="AR639" s="80">
        <v>147.0</v>
      </c>
      <c r="AS639" s="110">
        <v>0.0</v>
      </c>
      <c r="AT639" s="110">
        <v>0.0</v>
      </c>
      <c r="AU639" s="110">
        <v>0.0</v>
      </c>
      <c r="AV639" s="142">
        <v>0.0</v>
      </c>
      <c r="AW639" s="80">
        <v>0.0</v>
      </c>
      <c r="AX639" s="113">
        <v>420.0</v>
      </c>
      <c r="AY639" s="117">
        <v>234.0</v>
      </c>
      <c r="AZ639" s="328">
        <v>186.0</v>
      </c>
      <c r="BA639" s="315">
        <v>0.0</v>
      </c>
      <c r="BB639" s="316">
        <v>420.0</v>
      </c>
      <c r="BC639" s="132" t="s">
        <v>373</v>
      </c>
      <c r="BD639" s="132" t="s">
        <v>178</v>
      </c>
      <c r="BE639" s="132" t="s">
        <v>178</v>
      </c>
      <c r="BF639" s="123"/>
      <c r="BG639" s="83">
        <v>1179592.0</v>
      </c>
      <c r="BH639" s="112">
        <v>8.0</v>
      </c>
      <c r="BI639" s="98" t="s">
        <v>162</v>
      </c>
      <c r="BJ639" s="98" t="str">
        <f t="shared" si="1"/>
        <v>INTEGRAL</v>
      </c>
      <c r="BK639" s="98" t="str">
        <f t="shared" si="2"/>
        <v>NÃO</v>
      </c>
    </row>
    <row r="640" ht="15.75" customHeight="1">
      <c r="A640" s="111" t="s">
        <v>796</v>
      </c>
      <c r="B640" s="83" t="s">
        <v>2925</v>
      </c>
      <c r="C640" s="83" t="s">
        <v>68</v>
      </c>
      <c r="D640" s="83">
        <v>1179687.0</v>
      </c>
      <c r="E640" s="83"/>
      <c r="F640" s="83">
        <v>2.9477441E7</v>
      </c>
      <c r="G640" s="454" t="s">
        <v>7330</v>
      </c>
      <c r="H640" s="91" t="s">
        <v>2943</v>
      </c>
      <c r="I640" s="365" t="s">
        <v>149</v>
      </c>
      <c r="J640" s="83" t="s">
        <v>150</v>
      </c>
      <c r="K640" s="83" t="s">
        <v>151</v>
      </c>
      <c r="L640" s="83" t="s">
        <v>230</v>
      </c>
      <c r="M640" s="82" t="s">
        <v>7331</v>
      </c>
      <c r="N640" s="82" t="s">
        <v>7332</v>
      </c>
      <c r="O640" s="82" t="s">
        <v>7333</v>
      </c>
      <c r="P640" s="82" t="s">
        <v>7334</v>
      </c>
      <c r="Q640" s="82"/>
      <c r="R640" s="82"/>
      <c r="S640" s="82"/>
      <c r="T640" s="138">
        <v>25.0</v>
      </c>
      <c r="U640" s="323">
        <v>22.0</v>
      </c>
      <c r="V640" s="106">
        <v>0.0</v>
      </c>
      <c r="W640" s="107">
        <v>0.0</v>
      </c>
      <c r="X640" s="107">
        <v>0.0</v>
      </c>
      <c r="Y640" s="107">
        <v>0.0</v>
      </c>
      <c r="Z640" s="80">
        <v>0.0</v>
      </c>
      <c r="AA640" s="140">
        <v>0.0</v>
      </c>
      <c r="AB640" s="109">
        <v>0.0</v>
      </c>
      <c r="AC640" s="109">
        <v>0.0</v>
      </c>
      <c r="AD640" s="141">
        <v>0.0</v>
      </c>
      <c r="AE640" s="80">
        <v>0.0</v>
      </c>
      <c r="AF640" s="140">
        <v>587.0</v>
      </c>
      <c r="AG640" s="109">
        <v>501.0</v>
      </c>
      <c r="AH640" s="109">
        <v>156.0</v>
      </c>
      <c r="AI640" s="141">
        <v>116.0</v>
      </c>
      <c r="AJ640" s="80">
        <v>1360.0</v>
      </c>
      <c r="AK640" s="140">
        <v>0.0</v>
      </c>
      <c r="AL640" s="109">
        <v>0.0</v>
      </c>
      <c r="AM640" s="141">
        <v>0.0</v>
      </c>
      <c r="AN640" s="80">
        <v>0.0</v>
      </c>
      <c r="AO640" s="140">
        <v>0.0</v>
      </c>
      <c r="AP640" s="109">
        <v>0.0</v>
      </c>
      <c r="AQ640" s="109">
        <v>396.0</v>
      </c>
      <c r="AR640" s="80">
        <v>396.0</v>
      </c>
      <c r="AS640" s="110">
        <v>0.0</v>
      </c>
      <c r="AT640" s="110">
        <v>0.0</v>
      </c>
      <c r="AU640" s="110">
        <v>73.0</v>
      </c>
      <c r="AV640" s="142">
        <v>0.0</v>
      </c>
      <c r="AW640" s="80">
        <v>73.0</v>
      </c>
      <c r="AX640" s="113">
        <v>1829.0</v>
      </c>
      <c r="AY640" s="117">
        <v>1204.0</v>
      </c>
      <c r="AZ640" s="328">
        <v>625.0</v>
      </c>
      <c r="BA640" s="315">
        <v>0.0</v>
      </c>
      <c r="BB640" s="316">
        <v>1829.0</v>
      </c>
      <c r="BC640" s="132" t="s">
        <v>178</v>
      </c>
      <c r="BD640" s="132" t="s">
        <v>178</v>
      </c>
      <c r="BE640" s="132" t="s">
        <v>178</v>
      </c>
      <c r="BF640" s="156"/>
      <c r="BG640" s="83">
        <v>1179687.0</v>
      </c>
      <c r="BH640" s="112">
        <v>22.0</v>
      </c>
      <c r="BI640" s="98" t="s">
        <v>155</v>
      </c>
      <c r="BJ640" s="98" t="str">
        <f t="shared" si="1"/>
        <v>INTEGRAL</v>
      </c>
      <c r="BK640" s="98" t="str">
        <f t="shared" si="2"/>
        <v>PROFISSIONAL</v>
      </c>
    </row>
    <row r="641" ht="15.75" customHeight="1">
      <c r="A641" s="111" t="s">
        <v>796</v>
      </c>
      <c r="B641" s="83" t="s">
        <v>2925</v>
      </c>
      <c r="C641" s="83" t="s">
        <v>164</v>
      </c>
      <c r="D641" s="83">
        <v>1179687.0</v>
      </c>
      <c r="E641" s="83">
        <v>1178656.0</v>
      </c>
      <c r="F641" s="83"/>
      <c r="G641" s="114" t="s">
        <v>7339</v>
      </c>
      <c r="H641" s="91" t="s">
        <v>2958</v>
      </c>
      <c r="I641" s="114" t="s">
        <v>2959</v>
      </c>
      <c r="J641" s="83" t="s">
        <v>2961</v>
      </c>
      <c r="K641" s="83" t="s">
        <v>168</v>
      </c>
      <c r="L641" s="83" t="s">
        <v>169</v>
      </c>
      <c r="M641" s="82" t="s">
        <v>7331</v>
      </c>
      <c r="N641" s="82" t="s">
        <v>7332</v>
      </c>
      <c r="O641" s="82" t="s">
        <v>7333</v>
      </c>
      <c r="P641" s="82" t="s">
        <v>7334</v>
      </c>
      <c r="Q641" s="82"/>
      <c r="R641" s="82"/>
      <c r="S641" s="82"/>
      <c r="T641" s="138">
        <v>7.0</v>
      </c>
      <c r="U641" s="323">
        <v>4.0</v>
      </c>
      <c r="V641" s="106">
        <v>0.0</v>
      </c>
      <c r="W641" s="107">
        <v>0.0</v>
      </c>
      <c r="X641" s="107">
        <v>0.0</v>
      </c>
      <c r="Y641" s="107">
        <v>0.0</v>
      </c>
      <c r="Z641" s="80">
        <v>0.0</v>
      </c>
      <c r="AA641" s="140">
        <v>0.0</v>
      </c>
      <c r="AB641" s="109">
        <v>0.0</v>
      </c>
      <c r="AC641" s="109">
        <v>0.0</v>
      </c>
      <c r="AD641" s="141">
        <v>0.0</v>
      </c>
      <c r="AE641" s="80">
        <v>0.0</v>
      </c>
      <c r="AF641" s="140">
        <v>0.0</v>
      </c>
      <c r="AG641" s="109">
        <v>0.0</v>
      </c>
      <c r="AH641" s="109">
        <v>33.0</v>
      </c>
      <c r="AI641" s="141">
        <v>0.0</v>
      </c>
      <c r="AJ641" s="80">
        <v>33.0</v>
      </c>
      <c r="AK641" s="140">
        <v>0.0</v>
      </c>
      <c r="AL641" s="109">
        <v>0.0</v>
      </c>
      <c r="AM641" s="141">
        <v>0.0</v>
      </c>
      <c r="AN641" s="80">
        <v>0.0</v>
      </c>
      <c r="AO641" s="140">
        <v>0.0</v>
      </c>
      <c r="AP641" s="109">
        <v>0.0</v>
      </c>
      <c r="AQ641" s="109">
        <v>93.0</v>
      </c>
      <c r="AR641" s="80">
        <v>93.0</v>
      </c>
      <c r="AS641" s="110">
        <v>0.0</v>
      </c>
      <c r="AT641" s="110">
        <v>0.0</v>
      </c>
      <c r="AU641" s="110">
        <v>0.0</v>
      </c>
      <c r="AV641" s="142">
        <v>0.0</v>
      </c>
      <c r="AW641" s="80">
        <v>0.0</v>
      </c>
      <c r="AX641" s="113">
        <v>126.0</v>
      </c>
      <c r="AY641" s="117">
        <v>0.0</v>
      </c>
      <c r="AZ641" s="328">
        <v>126.0</v>
      </c>
      <c r="BA641" s="315">
        <v>0.0</v>
      </c>
      <c r="BB641" s="316">
        <v>126.0</v>
      </c>
      <c r="BC641" s="132" t="s">
        <v>373</v>
      </c>
      <c r="BD641" s="132" t="s">
        <v>178</v>
      </c>
      <c r="BE641" s="132" t="s">
        <v>178</v>
      </c>
      <c r="BF641" s="156"/>
      <c r="BG641" s="83">
        <v>1178656.0</v>
      </c>
      <c r="BH641" s="112">
        <v>4.0</v>
      </c>
      <c r="BI641" s="98" t="s">
        <v>155</v>
      </c>
      <c r="BJ641" s="98" t="str">
        <f t="shared" si="1"/>
        <v>NÃO</v>
      </c>
      <c r="BK641" s="98" t="str">
        <f t="shared" si="2"/>
        <v>NÃO</v>
      </c>
    </row>
    <row r="642" ht="15.75" customHeight="1">
      <c r="A642" s="111" t="s">
        <v>796</v>
      </c>
      <c r="B642" s="83" t="s">
        <v>2925</v>
      </c>
      <c r="C642" s="83" t="s">
        <v>164</v>
      </c>
      <c r="D642" s="83">
        <v>1179687.0</v>
      </c>
      <c r="E642" s="83">
        <v>1178663.0</v>
      </c>
      <c r="F642" s="83"/>
      <c r="G642" s="114" t="s">
        <v>7344</v>
      </c>
      <c r="H642" s="91" t="s">
        <v>2967</v>
      </c>
      <c r="I642" s="114" t="s">
        <v>2968</v>
      </c>
      <c r="J642" s="83" t="s">
        <v>1806</v>
      </c>
      <c r="K642" s="83" t="s">
        <v>168</v>
      </c>
      <c r="L642" s="83" t="s">
        <v>169</v>
      </c>
      <c r="M642" s="82" t="s">
        <v>7331</v>
      </c>
      <c r="N642" s="82" t="s">
        <v>7332</v>
      </c>
      <c r="O642" s="82" t="s">
        <v>7333</v>
      </c>
      <c r="P642" s="82" t="s">
        <v>7334</v>
      </c>
      <c r="Q642" s="82"/>
      <c r="R642" s="82"/>
      <c r="S642" s="82"/>
      <c r="T642" s="138">
        <v>3.0</v>
      </c>
      <c r="U642" s="323">
        <v>3.0</v>
      </c>
      <c r="V642" s="106">
        <v>0.0</v>
      </c>
      <c r="W642" s="107">
        <v>0.0</v>
      </c>
      <c r="X642" s="107">
        <v>0.0</v>
      </c>
      <c r="Y642" s="107">
        <v>0.0</v>
      </c>
      <c r="Z642" s="80">
        <v>0.0</v>
      </c>
      <c r="AA642" s="140">
        <v>0.0</v>
      </c>
      <c r="AB642" s="109">
        <v>0.0</v>
      </c>
      <c r="AC642" s="109">
        <v>0.0</v>
      </c>
      <c r="AD642" s="141">
        <v>0.0</v>
      </c>
      <c r="AE642" s="80">
        <v>0.0</v>
      </c>
      <c r="AF642" s="140">
        <v>0.0</v>
      </c>
      <c r="AG642" s="109">
        <v>83.0</v>
      </c>
      <c r="AH642" s="109">
        <v>0.0</v>
      </c>
      <c r="AI642" s="141">
        <v>0.0</v>
      </c>
      <c r="AJ642" s="80">
        <v>83.0</v>
      </c>
      <c r="AK642" s="140">
        <v>0.0</v>
      </c>
      <c r="AL642" s="109">
        <v>0.0</v>
      </c>
      <c r="AM642" s="141">
        <v>0.0</v>
      </c>
      <c r="AN642" s="80">
        <v>0.0</v>
      </c>
      <c r="AO642" s="140">
        <v>0.0</v>
      </c>
      <c r="AP642" s="109">
        <v>0.0</v>
      </c>
      <c r="AQ642" s="109">
        <v>0.0</v>
      </c>
      <c r="AR642" s="80">
        <v>0.0</v>
      </c>
      <c r="AS642" s="110">
        <v>0.0</v>
      </c>
      <c r="AT642" s="110">
        <v>0.0</v>
      </c>
      <c r="AU642" s="110">
        <v>0.0</v>
      </c>
      <c r="AV642" s="142">
        <v>0.0</v>
      </c>
      <c r="AW642" s="80">
        <v>0.0</v>
      </c>
      <c r="AX642" s="113">
        <v>83.0</v>
      </c>
      <c r="AY642" s="117">
        <v>83.0</v>
      </c>
      <c r="AZ642" s="328">
        <v>0.0</v>
      </c>
      <c r="BA642" s="315">
        <v>0.0</v>
      </c>
      <c r="BB642" s="316">
        <v>83.0</v>
      </c>
      <c r="BC642" s="132" t="s">
        <v>373</v>
      </c>
      <c r="BD642" s="132" t="s">
        <v>178</v>
      </c>
      <c r="BE642" s="132" t="s">
        <v>178</v>
      </c>
      <c r="BF642" s="156"/>
      <c r="BG642" s="83">
        <v>1178663.0</v>
      </c>
      <c r="BH642" s="112">
        <v>3.0</v>
      </c>
      <c r="BI642" s="98" t="s">
        <v>155</v>
      </c>
      <c r="BJ642" s="98" t="str">
        <f t="shared" si="1"/>
        <v>NÃO</v>
      </c>
      <c r="BK642" s="98" t="str">
        <f t="shared" si="2"/>
        <v>NÃO</v>
      </c>
    </row>
    <row r="643" ht="15.75" customHeight="1">
      <c r="A643" s="111" t="s">
        <v>796</v>
      </c>
      <c r="B643" s="83" t="s">
        <v>2925</v>
      </c>
      <c r="C643" s="83" t="s">
        <v>164</v>
      </c>
      <c r="D643" s="83">
        <v>1179687.0</v>
      </c>
      <c r="E643" s="83">
        <v>1178661.0</v>
      </c>
      <c r="F643" s="83"/>
      <c r="G643" s="114" t="s">
        <v>7349</v>
      </c>
      <c r="H643" s="91" t="s">
        <v>2970</v>
      </c>
      <c r="I643" s="187" t="s">
        <v>2971</v>
      </c>
      <c r="J643" s="83" t="s">
        <v>318</v>
      </c>
      <c r="K643" s="83" t="s">
        <v>168</v>
      </c>
      <c r="L643" s="83" t="s">
        <v>169</v>
      </c>
      <c r="M643" s="82" t="s">
        <v>7331</v>
      </c>
      <c r="N643" s="82" t="s">
        <v>7332</v>
      </c>
      <c r="O643" s="82" t="s">
        <v>7333</v>
      </c>
      <c r="P643" s="82" t="s">
        <v>7334</v>
      </c>
      <c r="Q643" s="82"/>
      <c r="R643" s="82"/>
      <c r="S643" s="82"/>
      <c r="T643" s="138">
        <v>3.0</v>
      </c>
      <c r="U643" s="323">
        <v>3.0</v>
      </c>
      <c r="V643" s="106">
        <v>0.0</v>
      </c>
      <c r="W643" s="107">
        <v>0.0</v>
      </c>
      <c r="X643" s="107">
        <v>0.0</v>
      </c>
      <c r="Y643" s="107">
        <v>0.0</v>
      </c>
      <c r="Z643" s="80">
        <v>0.0</v>
      </c>
      <c r="AA643" s="140">
        <v>0.0</v>
      </c>
      <c r="AB643" s="109">
        <v>0.0</v>
      </c>
      <c r="AC643" s="109">
        <v>0.0</v>
      </c>
      <c r="AD643" s="141">
        <v>0.0</v>
      </c>
      <c r="AE643" s="80">
        <v>0.0</v>
      </c>
      <c r="AF643" s="140">
        <v>0.0</v>
      </c>
      <c r="AG643" s="109">
        <v>34.0</v>
      </c>
      <c r="AH643" s="109">
        <v>0.0</v>
      </c>
      <c r="AI643" s="141">
        <v>0.0</v>
      </c>
      <c r="AJ643" s="80">
        <v>34.0</v>
      </c>
      <c r="AK643" s="140">
        <v>0.0</v>
      </c>
      <c r="AL643" s="109">
        <v>0.0</v>
      </c>
      <c r="AM643" s="141">
        <v>0.0</v>
      </c>
      <c r="AN643" s="80">
        <v>0.0</v>
      </c>
      <c r="AO643" s="140">
        <v>0.0</v>
      </c>
      <c r="AP643" s="109">
        <v>0.0</v>
      </c>
      <c r="AQ643" s="109">
        <v>0.0</v>
      </c>
      <c r="AR643" s="80">
        <v>0.0</v>
      </c>
      <c r="AS643" s="110">
        <v>0.0</v>
      </c>
      <c r="AT643" s="110">
        <v>0.0</v>
      </c>
      <c r="AU643" s="110">
        <v>0.0</v>
      </c>
      <c r="AV643" s="142">
        <v>0.0</v>
      </c>
      <c r="AW643" s="80">
        <v>0.0</v>
      </c>
      <c r="AX643" s="113">
        <v>34.0</v>
      </c>
      <c r="AY643" s="117">
        <v>34.0</v>
      </c>
      <c r="AZ643" s="328">
        <v>0.0</v>
      </c>
      <c r="BA643" s="315">
        <v>0.0</v>
      </c>
      <c r="BB643" s="316">
        <v>34.0</v>
      </c>
      <c r="BC643" s="132" t="s">
        <v>373</v>
      </c>
      <c r="BD643" s="132" t="s">
        <v>178</v>
      </c>
      <c r="BE643" s="132" t="s">
        <v>178</v>
      </c>
      <c r="BF643" s="123"/>
      <c r="BG643" s="83">
        <v>1178661.0</v>
      </c>
      <c r="BH643" s="112">
        <v>3.0</v>
      </c>
      <c r="BI643" s="98" t="s">
        <v>155</v>
      </c>
      <c r="BJ643" s="98" t="str">
        <f t="shared" si="1"/>
        <v>NÃO</v>
      </c>
      <c r="BK643" s="98" t="str">
        <f t="shared" si="2"/>
        <v>NÃO</v>
      </c>
    </row>
    <row r="644" ht="15.75" customHeight="1">
      <c r="A644" s="111" t="s">
        <v>796</v>
      </c>
      <c r="B644" s="83" t="s">
        <v>2925</v>
      </c>
      <c r="C644" s="83" t="s">
        <v>164</v>
      </c>
      <c r="D644" s="83">
        <v>1179687.0</v>
      </c>
      <c r="E644" s="83">
        <v>1178662.0</v>
      </c>
      <c r="F644" s="83"/>
      <c r="G644" s="114" t="s">
        <v>7354</v>
      </c>
      <c r="H644" s="91" t="s">
        <v>2978</v>
      </c>
      <c r="I644" s="187" t="s">
        <v>2979</v>
      </c>
      <c r="J644" s="83" t="s">
        <v>2896</v>
      </c>
      <c r="K644" s="83" t="s">
        <v>168</v>
      </c>
      <c r="L644" s="83" t="s">
        <v>169</v>
      </c>
      <c r="M644" s="82" t="s">
        <v>7331</v>
      </c>
      <c r="N644" s="82" t="s">
        <v>7332</v>
      </c>
      <c r="O644" s="82" t="s">
        <v>7333</v>
      </c>
      <c r="P644" s="82" t="s">
        <v>7334</v>
      </c>
      <c r="Q644" s="82"/>
      <c r="R644" s="82"/>
      <c r="S644" s="82"/>
      <c r="T644" s="138">
        <v>3.0</v>
      </c>
      <c r="U644" s="323">
        <v>3.0</v>
      </c>
      <c r="V644" s="106">
        <v>0.0</v>
      </c>
      <c r="W644" s="107">
        <v>0.0</v>
      </c>
      <c r="X644" s="107">
        <v>0.0</v>
      </c>
      <c r="Y644" s="107">
        <v>0.0</v>
      </c>
      <c r="Z644" s="80">
        <v>0.0</v>
      </c>
      <c r="AA644" s="140">
        <v>0.0</v>
      </c>
      <c r="AB644" s="109">
        <v>0.0</v>
      </c>
      <c r="AC644" s="109">
        <v>0.0</v>
      </c>
      <c r="AD644" s="141">
        <v>0.0</v>
      </c>
      <c r="AE644" s="80">
        <v>0.0</v>
      </c>
      <c r="AF644" s="140">
        <v>0.0</v>
      </c>
      <c r="AG644" s="109">
        <v>78.0</v>
      </c>
      <c r="AH644" s="109">
        <v>9.0</v>
      </c>
      <c r="AI644" s="141">
        <v>0.0</v>
      </c>
      <c r="AJ644" s="80">
        <v>87.0</v>
      </c>
      <c r="AK644" s="140">
        <v>0.0</v>
      </c>
      <c r="AL644" s="109">
        <v>0.0</v>
      </c>
      <c r="AM644" s="141">
        <v>0.0</v>
      </c>
      <c r="AN644" s="80">
        <v>0.0</v>
      </c>
      <c r="AO644" s="140">
        <v>0.0</v>
      </c>
      <c r="AP644" s="109">
        <v>0.0</v>
      </c>
      <c r="AQ644" s="109">
        <v>11.0</v>
      </c>
      <c r="AR644" s="80">
        <v>11.0</v>
      </c>
      <c r="AS644" s="110">
        <v>0.0</v>
      </c>
      <c r="AT644" s="110">
        <v>0.0</v>
      </c>
      <c r="AU644" s="110">
        <v>0.0</v>
      </c>
      <c r="AV644" s="142">
        <v>0.0</v>
      </c>
      <c r="AW644" s="80">
        <v>0.0</v>
      </c>
      <c r="AX644" s="113">
        <v>98.0</v>
      </c>
      <c r="AY644" s="117">
        <v>78.0</v>
      </c>
      <c r="AZ644" s="328">
        <v>20.0</v>
      </c>
      <c r="BA644" s="315">
        <v>0.0</v>
      </c>
      <c r="BB644" s="316">
        <v>98.0</v>
      </c>
      <c r="BC644" s="132" t="s">
        <v>373</v>
      </c>
      <c r="BD644" s="132" t="s">
        <v>178</v>
      </c>
      <c r="BE644" s="132" t="s">
        <v>178</v>
      </c>
      <c r="BF644" s="123"/>
      <c r="BG644" s="83">
        <v>1178662.0</v>
      </c>
      <c r="BH644" s="112">
        <v>3.0</v>
      </c>
      <c r="BI644" s="98" t="s">
        <v>155</v>
      </c>
      <c r="BJ644" s="98" t="str">
        <f t="shared" si="1"/>
        <v>NÃO</v>
      </c>
      <c r="BK644" s="98" t="str">
        <f t="shared" si="2"/>
        <v>NÃO</v>
      </c>
    </row>
    <row r="645" ht="15.75" customHeight="1">
      <c r="A645" s="111" t="s">
        <v>796</v>
      </c>
      <c r="B645" s="83" t="s">
        <v>2925</v>
      </c>
      <c r="C645" s="83" t="s">
        <v>164</v>
      </c>
      <c r="D645" s="83">
        <v>1179111.0</v>
      </c>
      <c r="E645" s="83">
        <v>1178660.0</v>
      </c>
      <c r="F645" s="83"/>
      <c r="G645" s="114" t="s">
        <v>2987</v>
      </c>
      <c r="H645" s="91" t="s">
        <v>2988</v>
      </c>
      <c r="I645" s="187" t="s">
        <v>2989</v>
      </c>
      <c r="J645" s="83" t="s">
        <v>183</v>
      </c>
      <c r="K645" s="83" t="s">
        <v>168</v>
      </c>
      <c r="L645" s="83" t="s">
        <v>169</v>
      </c>
      <c r="M645" s="82" t="s">
        <v>7256</v>
      </c>
      <c r="N645" s="82" t="s">
        <v>7257</v>
      </c>
      <c r="O645" s="82" t="s">
        <v>7259</v>
      </c>
      <c r="P645" s="82" t="s">
        <v>7260</v>
      </c>
      <c r="Q645" s="82" t="s">
        <v>7261</v>
      </c>
      <c r="R645" s="82" t="s">
        <v>7262</v>
      </c>
      <c r="S645" s="82" t="s">
        <v>7263</v>
      </c>
      <c r="T645" s="138">
        <v>2.0</v>
      </c>
      <c r="U645" s="323">
        <v>2.0</v>
      </c>
      <c r="V645" s="106">
        <v>0.0</v>
      </c>
      <c r="W645" s="107">
        <v>0.0</v>
      </c>
      <c r="X645" s="107">
        <v>0.0</v>
      </c>
      <c r="Y645" s="107">
        <v>0.0</v>
      </c>
      <c r="Z645" s="80">
        <v>0.0</v>
      </c>
      <c r="AA645" s="140">
        <v>0.0</v>
      </c>
      <c r="AB645" s="109">
        <v>0.0</v>
      </c>
      <c r="AC645" s="109">
        <v>0.0</v>
      </c>
      <c r="AD645" s="141">
        <v>0.0</v>
      </c>
      <c r="AE645" s="80">
        <v>0.0</v>
      </c>
      <c r="AF645" s="140">
        <v>26.0</v>
      </c>
      <c r="AG645" s="109">
        <v>30.0</v>
      </c>
      <c r="AH645" s="109">
        <v>0.0</v>
      </c>
      <c r="AI645" s="141">
        <v>0.0</v>
      </c>
      <c r="AJ645" s="80">
        <v>56.0</v>
      </c>
      <c r="AK645" s="140">
        <v>0.0</v>
      </c>
      <c r="AL645" s="109">
        <v>0.0</v>
      </c>
      <c r="AM645" s="141">
        <v>0.0</v>
      </c>
      <c r="AN645" s="80">
        <v>0.0</v>
      </c>
      <c r="AO645" s="140">
        <v>0.0</v>
      </c>
      <c r="AP645" s="109">
        <v>0.0</v>
      </c>
      <c r="AQ645" s="109">
        <v>0.0</v>
      </c>
      <c r="AR645" s="80">
        <v>0.0</v>
      </c>
      <c r="AS645" s="110">
        <v>0.0</v>
      </c>
      <c r="AT645" s="110">
        <v>0.0</v>
      </c>
      <c r="AU645" s="110">
        <v>0.0</v>
      </c>
      <c r="AV645" s="142">
        <v>0.0</v>
      </c>
      <c r="AW645" s="80">
        <v>0.0</v>
      </c>
      <c r="AX645" s="113">
        <v>56.0</v>
      </c>
      <c r="AY645" s="117">
        <v>56.0</v>
      </c>
      <c r="AZ645" s="328">
        <v>0.0</v>
      </c>
      <c r="BA645" s="315">
        <v>0.0</v>
      </c>
      <c r="BB645" s="316">
        <v>56.0</v>
      </c>
      <c r="BC645" s="132" t="s">
        <v>178</v>
      </c>
      <c r="BD645" s="143" t="s">
        <v>227</v>
      </c>
      <c r="BE645" s="132" t="s">
        <v>178</v>
      </c>
      <c r="BF645" s="123"/>
      <c r="BG645" s="83">
        <v>1178660.0</v>
      </c>
      <c r="BH645" s="112">
        <v>2.0</v>
      </c>
      <c r="BI645" s="98" t="s">
        <v>155</v>
      </c>
      <c r="BJ645" s="98" t="str">
        <f t="shared" si="1"/>
        <v>NÃO</v>
      </c>
      <c r="BK645" s="98" t="str">
        <f t="shared" si="2"/>
        <v>NÃO</v>
      </c>
    </row>
    <row r="646" ht="15.75" customHeight="1">
      <c r="A646" s="111" t="s">
        <v>796</v>
      </c>
      <c r="B646" s="83" t="s">
        <v>2205</v>
      </c>
      <c r="C646" s="83" t="s">
        <v>68</v>
      </c>
      <c r="D646" s="83">
        <v>1161654.0</v>
      </c>
      <c r="E646" s="83"/>
      <c r="F646" s="83">
        <v>2.9024129E7</v>
      </c>
      <c r="G646" s="114" t="s">
        <v>2999</v>
      </c>
      <c r="H646" s="91" t="s">
        <v>3000</v>
      </c>
      <c r="I646" s="187" t="s">
        <v>3001</v>
      </c>
      <c r="J646" s="83" t="s">
        <v>641</v>
      </c>
      <c r="K646" s="83" t="s">
        <v>151</v>
      </c>
      <c r="L646" s="83" t="s">
        <v>169</v>
      </c>
      <c r="M646" s="82" t="s">
        <v>7361</v>
      </c>
      <c r="N646" s="82" t="s">
        <v>7362</v>
      </c>
      <c r="O646" s="82" t="s">
        <v>7363</v>
      </c>
      <c r="P646" s="82" t="s">
        <v>7364</v>
      </c>
      <c r="Q646" s="82"/>
      <c r="R646" s="82"/>
      <c r="S646" s="82" t="s">
        <v>7365</v>
      </c>
      <c r="T646" s="138">
        <v>5.0</v>
      </c>
      <c r="U646" s="331">
        <v>5.0</v>
      </c>
      <c r="V646" s="106">
        <v>0.0</v>
      </c>
      <c r="W646" s="107">
        <v>0.0</v>
      </c>
      <c r="X646" s="107">
        <v>0.0</v>
      </c>
      <c r="Y646" s="107">
        <v>0.0</v>
      </c>
      <c r="Z646" s="80">
        <v>0.0</v>
      </c>
      <c r="AA646" s="140">
        <v>0.0</v>
      </c>
      <c r="AB646" s="109">
        <v>0.0</v>
      </c>
      <c r="AC646" s="109">
        <v>0.0</v>
      </c>
      <c r="AD646" s="141">
        <v>0.0</v>
      </c>
      <c r="AE646" s="80">
        <v>0.0</v>
      </c>
      <c r="AF646" s="140">
        <v>0.0</v>
      </c>
      <c r="AG646" s="109">
        <v>135.0</v>
      </c>
      <c r="AH646" s="109">
        <v>29.0</v>
      </c>
      <c r="AI646" s="141">
        <v>0.0</v>
      </c>
      <c r="AJ646" s="80">
        <v>164.0</v>
      </c>
      <c r="AK646" s="140">
        <v>0.0</v>
      </c>
      <c r="AL646" s="109">
        <v>0.0</v>
      </c>
      <c r="AM646" s="141">
        <v>0.0</v>
      </c>
      <c r="AN646" s="80">
        <v>0.0</v>
      </c>
      <c r="AO646" s="140">
        <v>0.0</v>
      </c>
      <c r="AP646" s="109">
        <v>0.0</v>
      </c>
      <c r="AQ646" s="109">
        <v>66.0</v>
      </c>
      <c r="AR646" s="80">
        <v>66.0</v>
      </c>
      <c r="AS646" s="110">
        <v>0.0</v>
      </c>
      <c r="AT646" s="110">
        <v>0.0</v>
      </c>
      <c r="AU646" s="110">
        <v>0.0</v>
      </c>
      <c r="AV646" s="142">
        <v>0.0</v>
      </c>
      <c r="AW646" s="80">
        <v>0.0</v>
      </c>
      <c r="AX646" s="113">
        <v>230.0</v>
      </c>
      <c r="AY646" s="117">
        <v>135.0</v>
      </c>
      <c r="AZ646" s="328">
        <v>95.0</v>
      </c>
      <c r="BA646" s="315">
        <v>0.0</v>
      </c>
      <c r="BB646" s="316">
        <v>230.0</v>
      </c>
      <c r="BC646" s="132" t="s">
        <v>373</v>
      </c>
      <c r="BD646" s="132" t="s">
        <v>178</v>
      </c>
      <c r="BE646" s="132" t="s">
        <v>178</v>
      </c>
      <c r="BF646" s="123"/>
      <c r="BG646" s="83">
        <v>1161654.0</v>
      </c>
      <c r="BH646" s="98">
        <v>5.0</v>
      </c>
      <c r="BI646" s="98" t="s">
        <v>155</v>
      </c>
      <c r="BJ646" s="98" t="str">
        <f t="shared" si="1"/>
        <v>NÃO</v>
      </c>
      <c r="BK646" s="98" t="str">
        <f t="shared" si="2"/>
        <v>NÃO</v>
      </c>
    </row>
    <row r="647" ht="15.75" customHeight="1">
      <c r="A647" s="111" t="s">
        <v>796</v>
      </c>
      <c r="B647" s="83" t="s">
        <v>2205</v>
      </c>
      <c r="C647" s="83" t="s">
        <v>68</v>
      </c>
      <c r="D647" s="83">
        <v>1170823.0</v>
      </c>
      <c r="E647" s="83"/>
      <c r="F647" s="83">
        <v>2.9024323E7</v>
      </c>
      <c r="G647" s="114" t="s">
        <v>7366</v>
      </c>
      <c r="H647" s="91" t="s">
        <v>3008</v>
      </c>
      <c r="I647" s="187" t="s">
        <v>149</v>
      </c>
      <c r="J647" s="83" t="s">
        <v>1806</v>
      </c>
      <c r="K647" s="83" t="s">
        <v>151</v>
      </c>
      <c r="L647" s="83" t="s">
        <v>169</v>
      </c>
      <c r="M647" s="82" t="s">
        <v>7367</v>
      </c>
      <c r="N647" s="82" t="s">
        <v>7368</v>
      </c>
      <c r="O647" s="82" t="s">
        <v>7369</v>
      </c>
      <c r="P647" s="82" t="s">
        <v>7370</v>
      </c>
      <c r="Q647" s="82" t="s">
        <v>7371</v>
      </c>
      <c r="R647" s="82" t="s">
        <v>7372</v>
      </c>
      <c r="S647" s="82" t="s">
        <v>7373</v>
      </c>
      <c r="T647" s="138">
        <v>5.0</v>
      </c>
      <c r="U647" s="323">
        <v>6.0</v>
      </c>
      <c r="V647" s="106">
        <v>0.0</v>
      </c>
      <c r="W647" s="107">
        <v>0.0</v>
      </c>
      <c r="X647" s="107">
        <v>0.0</v>
      </c>
      <c r="Y647" s="107">
        <v>0.0</v>
      </c>
      <c r="Z647" s="80">
        <v>0.0</v>
      </c>
      <c r="AA647" s="140">
        <v>0.0</v>
      </c>
      <c r="AB647" s="109">
        <v>0.0</v>
      </c>
      <c r="AC647" s="109">
        <v>0.0</v>
      </c>
      <c r="AD647" s="141">
        <v>0.0</v>
      </c>
      <c r="AE647" s="80">
        <v>0.0</v>
      </c>
      <c r="AF647" s="140">
        <v>125.0</v>
      </c>
      <c r="AG647" s="109">
        <v>175.0</v>
      </c>
      <c r="AH647" s="109">
        <v>0.0</v>
      </c>
      <c r="AI647" s="141">
        <v>0.0</v>
      </c>
      <c r="AJ647" s="80">
        <v>300.0</v>
      </c>
      <c r="AK647" s="140">
        <v>0.0</v>
      </c>
      <c r="AL647" s="109">
        <v>0.0</v>
      </c>
      <c r="AM647" s="141">
        <v>0.0</v>
      </c>
      <c r="AN647" s="80">
        <v>0.0</v>
      </c>
      <c r="AO647" s="140">
        <v>0.0</v>
      </c>
      <c r="AP647" s="109">
        <v>0.0</v>
      </c>
      <c r="AQ647" s="109">
        <v>32.0</v>
      </c>
      <c r="AR647" s="80">
        <v>32.0</v>
      </c>
      <c r="AS647" s="110">
        <v>0.0</v>
      </c>
      <c r="AT647" s="110">
        <v>0.0</v>
      </c>
      <c r="AU647" s="110">
        <v>0.0</v>
      </c>
      <c r="AV647" s="142">
        <v>0.0</v>
      </c>
      <c r="AW647" s="80">
        <v>0.0</v>
      </c>
      <c r="AX647" s="113">
        <v>332.0</v>
      </c>
      <c r="AY647" s="117">
        <v>300.0</v>
      </c>
      <c r="AZ647" s="328">
        <v>32.0</v>
      </c>
      <c r="BA647" s="315">
        <v>0.0</v>
      </c>
      <c r="BB647" s="316">
        <v>332.0</v>
      </c>
      <c r="BC647" s="132" t="s">
        <v>373</v>
      </c>
      <c r="BD647" s="132" t="s">
        <v>178</v>
      </c>
      <c r="BE647" s="132" t="s">
        <v>178</v>
      </c>
      <c r="BF647" s="123"/>
      <c r="BG647" s="83">
        <v>1170823.0</v>
      </c>
      <c r="BH647" s="112">
        <v>6.0</v>
      </c>
      <c r="BI647" s="98" t="s">
        <v>155</v>
      </c>
      <c r="BJ647" s="98" t="str">
        <f t="shared" si="1"/>
        <v>NÃO</v>
      </c>
      <c r="BK647" s="98" t="str">
        <f t="shared" si="2"/>
        <v>NÃO</v>
      </c>
    </row>
    <row r="648" ht="15.75" customHeight="1">
      <c r="A648" s="111" t="s">
        <v>796</v>
      </c>
      <c r="B648" s="83" t="s">
        <v>2205</v>
      </c>
      <c r="C648" s="83" t="s">
        <v>68</v>
      </c>
      <c r="D648" s="83">
        <v>1161638.0</v>
      </c>
      <c r="E648" s="83"/>
      <c r="F648" s="83">
        <v>2.9023688E7</v>
      </c>
      <c r="G648" s="119" t="s">
        <v>3010</v>
      </c>
      <c r="H648" s="108" t="s">
        <v>3011</v>
      </c>
      <c r="I648" s="187" t="s">
        <v>3012</v>
      </c>
      <c r="J648" s="83" t="s">
        <v>150</v>
      </c>
      <c r="K648" s="83" t="s">
        <v>151</v>
      </c>
      <c r="L648" s="83" t="s">
        <v>230</v>
      </c>
      <c r="M648" s="82" t="s">
        <v>7378</v>
      </c>
      <c r="N648" s="82" t="s">
        <v>7379</v>
      </c>
      <c r="O648" s="82"/>
      <c r="P648" s="82"/>
      <c r="Q648" s="82"/>
      <c r="R648" s="82"/>
      <c r="S648" s="82" t="s">
        <v>7380</v>
      </c>
      <c r="T648" s="138">
        <v>7.0</v>
      </c>
      <c r="U648" s="323">
        <v>6.0</v>
      </c>
      <c r="V648" s="106">
        <v>0.0</v>
      </c>
      <c r="W648" s="107">
        <v>0.0</v>
      </c>
      <c r="X648" s="107">
        <v>0.0</v>
      </c>
      <c r="Y648" s="107">
        <v>0.0</v>
      </c>
      <c r="Z648" s="80">
        <v>0.0</v>
      </c>
      <c r="AA648" s="140">
        <v>0.0</v>
      </c>
      <c r="AB648" s="109">
        <v>0.0</v>
      </c>
      <c r="AC648" s="109">
        <v>0.0</v>
      </c>
      <c r="AD648" s="141">
        <v>0.0</v>
      </c>
      <c r="AE648" s="80">
        <v>0.0</v>
      </c>
      <c r="AF648" s="140">
        <v>106.0</v>
      </c>
      <c r="AG648" s="109">
        <v>95.0</v>
      </c>
      <c r="AH648" s="109">
        <v>37.0</v>
      </c>
      <c r="AI648" s="141">
        <v>190.0</v>
      </c>
      <c r="AJ648" s="80">
        <v>428.0</v>
      </c>
      <c r="AK648" s="140">
        <v>0.0</v>
      </c>
      <c r="AL648" s="109">
        <v>0.0</v>
      </c>
      <c r="AM648" s="141">
        <v>0.0</v>
      </c>
      <c r="AN648" s="80">
        <v>0.0</v>
      </c>
      <c r="AO648" s="140">
        <v>0.0</v>
      </c>
      <c r="AP648" s="109">
        <v>0.0</v>
      </c>
      <c r="AQ648" s="109">
        <v>128.0</v>
      </c>
      <c r="AR648" s="80">
        <v>128.0</v>
      </c>
      <c r="AS648" s="110">
        <v>206.0</v>
      </c>
      <c r="AT648" s="110">
        <v>144.0</v>
      </c>
      <c r="AU648" s="110">
        <v>73.0</v>
      </c>
      <c r="AV648" s="142">
        <v>0.0</v>
      </c>
      <c r="AW648" s="80">
        <v>423.0</v>
      </c>
      <c r="AX648" s="113">
        <v>979.0</v>
      </c>
      <c r="AY648" s="117">
        <v>741.0</v>
      </c>
      <c r="AZ648" s="328">
        <v>238.0</v>
      </c>
      <c r="BA648" s="315">
        <v>0.0</v>
      </c>
      <c r="BB648" s="316">
        <v>979.0</v>
      </c>
      <c r="BC648" s="132" t="s">
        <v>178</v>
      </c>
      <c r="BD648" s="132" t="s">
        <v>522</v>
      </c>
      <c r="BE648" s="132" t="s">
        <v>178</v>
      </c>
      <c r="BF648" s="156"/>
      <c r="BG648" s="83">
        <v>1161638.0</v>
      </c>
      <c r="BH648" s="112">
        <v>6.0</v>
      </c>
      <c r="BI648" s="98" t="s">
        <v>162</v>
      </c>
      <c r="BJ648" s="98" t="str">
        <f t="shared" si="1"/>
        <v>INTEGRAL</v>
      </c>
      <c r="BK648" s="98" t="str">
        <f t="shared" si="2"/>
        <v>PROFISSIONAL</v>
      </c>
    </row>
    <row r="649" ht="15.75" customHeight="1">
      <c r="A649" s="111" t="s">
        <v>796</v>
      </c>
      <c r="B649" s="83" t="s">
        <v>2205</v>
      </c>
      <c r="C649" s="83" t="s">
        <v>164</v>
      </c>
      <c r="D649" s="83">
        <v>1176317.0</v>
      </c>
      <c r="E649" s="83">
        <v>1179082.0</v>
      </c>
      <c r="F649" s="83"/>
      <c r="G649" s="119" t="s">
        <v>3022</v>
      </c>
      <c r="H649" s="91" t="s">
        <v>3023</v>
      </c>
      <c r="I649" s="187" t="s">
        <v>3024</v>
      </c>
      <c r="J649" s="83" t="s">
        <v>3025</v>
      </c>
      <c r="K649" s="83" t="s">
        <v>168</v>
      </c>
      <c r="L649" s="83" t="s">
        <v>169</v>
      </c>
      <c r="M649" s="82" t="s">
        <v>2962</v>
      </c>
      <c r="N649" s="82"/>
      <c r="O649" s="82" t="s">
        <v>7383</v>
      </c>
      <c r="P649" s="82" t="s">
        <v>7384</v>
      </c>
      <c r="Q649" s="82"/>
      <c r="R649" s="82"/>
      <c r="S649" s="82" t="s">
        <v>7385</v>
      </c>
      <c r="T649" s="138">
        <v>3.0</v>
      </c>
      <c r="U649" s="323">
        <v>3.0</v>
      </c>
      <c r="V649" s="106">
        <v>0.0</v>
      </c>
      <c r="W649" s="107">
        <v>0.0</v>
      </c>
      <c r="X649" s="107">
        <v>0.0</v>
      </c>
      <c r="Y649" s="107">
        <v>0.0</v>
      </c>
      <c r="Z649" s="80">
        <v>0.0</v>
      </c>
      <c r="AA649" s="140">
        <v>0.0</v>
      </c>
      <c r="AB649" s="109">
        <v>0.0</v>
      </c>
      <c r="AC649" s="109">
        <v>0.0</v>
      </c>
      <c r="AD649" s="141">
        <v>0.0</v>
      </c>
      <c r="AE649" s="80">
        <v>0.0</v>
      </c>
      <c r="AF649" s="140">
        <v>0.0</v>
      </c>
      <c r="AG649" s="109">
        <v>34.0</v>
      </c>
      <c r="AH649" s="109">
        <v>0.0</v>
      </c>
      <c r="AI649" s="141">
        <v>0.0</v>
      </c>
      <c r="AJ649" s="80">
        <v>34.0</v>
      </c>
      <c r="AK649" s="140">
        <v>0.0</v>
      </c>
      <c r="AL649" s="109">
        <v>0.0</v>
      </c>
      <c r="AM649" s="141">
        <v>0.0</v>
      </c>
      <c r="AN649" s="80">
        <v>0.0</v>
      </c>
      <c r="AO649" s="140">
        <v>0.0</v>
      </c>
      <c r="AP649" s="109">
        <v>0.0</v>
      </c>
      <c r="AQ649" s="109">
        <v>0.0</v>
      </c>
      <c r="AR649" s="80">
        <v>0.0</v>
      </c>
      <c r="AS649" s="110">
        <v>0.0</v>
      </c>
      <c r="AT649" s="110">
        <v>0.0</v>
      </c>
      <c r="AU649" s="110">
        <v>0.0</v>
      </c>
      <c r="AV649" s="142">
        <v>0.0</v>
      </c>
      <c r="AW649" s="80">
        <v>0.0</v>
      </c>
      <c r="AX649" s="113">
        <v>34.0</v>
      </c>
      <c r="AY649" s="117">
        <v>34.0</v>
      </c>
      <c r="AZ649" s="328">
        <v>0.0</v>
      </c>
      <c r="BA649" s="315">
        <v>0.0</v>
      </c>
      <c r="BB649" s="316">
        <v>34.0</v>
      </c>
      <c r="BC649" s="132" t="s">
        <v>373</v>
      </c>
      <c r="BD649" s="132" t="s">
        <v>178</v>
      </c>
      <c r="BE649" s="132" t="s">
        <v>178</v>
      </c>
      <c r="BF649" s="235" t="s">
        <v>7389</v>
      </c>
      <c r="BG649" s="83">
        <v>1179082.0</v>
      </c>
      <c r="BH649" s="112">
        <v>3.0</v>
      </c>
      <c r="BI649" s="98" t="s">
        <v>155</v>
      </c>
      <c r="BJ649" s="98" t="str">
        <f t="shared" si="1"/>
        <v>NÃO</v>
      </c>
      <c r="BK649" s="98" t="str">
        <f t="shared" si="2"/>
        <v>NÃO</v>
      </c>
    </row>
    <row r="650" ht="15.75" customHeight="1">
      <c r="A650" s="111" t="s">
        <v>796</v>
      </c>
      <c r="B650" s="83" t="s">
        <v>2205</v>
      </c>
      <c r="C650" s="83" t="s">
        <v>164</v>
      </c>
      <c r="D650" s="83">
        <v>1179111.0</v>
      </c>
      <c r="E650" s="83">
        <v>1179079.0</v>
      </c>
      <c r="F650" s="83"/>
      <c r="G650" s="219" t="s">
        <v>3026</v>
      </c>
      <c r="H650" s="91" t="s">
        <v>3028</v>
      </c>
      <c r="I650" s="114" t="s">
        <v>3029</v>
      </c>
      <c r="J650" s="83" t="s">
        <v>331</v>
      </c>
      <c r="K650" s="83" t="s">
        <v>168</v>
      </c>
      <c r="L650" s="83" t="s">
        <v>169</v>
      </c>
      <c r="M650" s="82" t="s">
        <v>7256</v>
      </c>
      <c r="N650" s="82" t="s">
        <v>7257</v>
      </c>
      <c r="O650" s="82" t="s">
        <v>7259</v>
      </c>
      <c r="P650" s="82" t="s">
        <v>7260</v>
      </c>
      <c r="Q650" s="82" t="s">
        <v>7261</v>
      </c>
      <c r="R650" s="82" t="s">
        <v>7262</v>
      </c>
      <c r="S650" s="82" t="s">
        <v>7263</v>
      </c>
      <c r="T650" s="138">
        <v>3.0</v>
      </c>
      <c r="U650" s="323">
        <v>3.0</v>
      </c>
      <c r="V650" s="106">
        <v>0.0</v>
      </c>
      <c r="W650" s="107">
        <v>0.0</v>
      </c>
      <c r="X650" s="107">
        <v>0.0</v>
      </c>
      <c r="Y650" s="107">
        <v>0.0</v>
      </c>
      <c r="Z650" s="80">
        <v>0.0</v>
      </c>
      <c r="AA650" s="140">
        <v>0.0</v>
      </c>
      <c r="AB650" s="109">
        <v>0.0</v>
      </c>
      <c r="AC650" s="109">
        <v>0.0</v>
      </c>
      <c r="AD650" s="141">
        <v>0.0</v>
      </c>
      <c r="AE650" s="80">
        <v>0.0</v>
      </c>
      <c r="AF650" s="140">
        <v>0.0</v>
      </c>
      <c r="AG650" s="109">
        <v>0.0</v>
      </c>
      <c r="AH650" s="109">
        <v>21.0</v>
      </c>
      <c r="AI650" s="141">
        <v>0.0</v>
      </c>
      <c r="AJ650" s="80">
        <v>21.0</v>
      </c>
      <c r="AK650" s="140">
        <v>0.0</v>
      </c>
      <c r="AL650" s="109">
        <v>0.0</v>
      </c>
      <c r="AM650" s="141">
        <v>0.0</v>
      </c>
      <c r="AN650" s="80">
        <v>0.0</v>
      </c>
      <c r="AO650" s="140">
        <v>0.0</v>
      </c>
      <c r="AP650" s="109">
        <v>0.0</v>
      </c>
      <c r="AQ650" s="109">
        <v>0.0</v>
      </c>
      <c r="AR650" s="80">
        <v>0.0</v>
      </c>
      <c r="AS650" s="110">
        <v>0.0</v>
      </c>
      <c r="AT650" s="110">
        <v>0.0</v>
      </c>
      <c r="AU650" s="110">
        <v>0.0</v>
      </c>
      <c r="AV650" s="142">
        <v>0.0</v>
      </c>
      <c r="AW650" s="80">
        <v>0.0</v>
      </c>
      <c r="AX650" s="113">
        <v>21.0</v>
      </c>
      <c r="AY650" s="117">
        <v>0.0</v>
      </c>
      <c r="AZ650" s="328">
        <v>21.0</v>
      </c>
      <c r="BA650" s="315">
        <v>0.0</v>
      </c>
      <c r="BB650" s="316">
        <v>21.0</v>
      </c>
      <c r="BC650" s="132" t="s">
        <v>178</v>
      </c>
      <c r="BD650" s="143" t="s">
        <v>227</v>
      </c>
      <c r="BE650" s="132" t="s">
        <v>178</v>
      </c>
      <c r="BF650" s="156"/>
      <c r="BG650" s="83">
        <v>1179079.0</v>
      </c>
      <c r="BH650" s="112">
        <v>3.0</v>
      </c>
      <c r="BI650" s="98" t="s">
        <v>155</v>
      </c>
      <c r="BJ650" s="98" t="str">
        <f t="shared" si="1"/>
        <v>NÃO</v>
      </c>
      <c r="BK650" s="98" t="str">
        <f t="shared" si="2"/>
        <v>NÃO</v>
      </c>
    </row>
    <row r="651" ht="15.75" customHeight="1">
      <c r="A651" s="111" t="s">
        <v>796</v>
      </c>
      <c r="B651" s="83" t="s">
        <v>2205</v>
      </c>
      <c r="C651" s="83" t="s">
        <v>164</v>
      </c>
      <c r="D651" s="83">
        <v>1179111.0</v>
      </c>
      <c r="E651" s="83">
        <v>1179080.0</v>
      </c>
      <c r="F651" s="83"/>
      <c r="G651" s="114" t="s">
        <v>3036</v>
      </c>
      <c r="H651" s="91" t="s">
        <v>3037</v>
      </c>
      <c r="I651" s="187" t="s">
        <v>149</v>
      </c>
      <c r="J651" s="83" t="s">
        <v>727</v>
      </c>
      <c r="K651" s="83" t="s">
        <v>168</v>
      </c>
      <c r="L651" s="83" t="s">
        <v>169</v>
      </c>
      <c r="M651" s="82" t="s">
        <v>7256</v>
      </c>
      <c r="N651" s="82" t="s">
        <v>7257</v>
      </c>
      <c r="O651" s="82" t="s">
        <v>7259</v>
      </c>
      <c r="P651" s="82" t="s">
        <v>7260</v>
      </c>
      <c r="Q651" s="82" t="s">
        <v>7261</v>
      </c>
      <c r="R651" s="82" t="s">
        <v>7262</v>
      </c>
      <c r="S651" s="82" t="s">
        <v>7263</v>
      </c>
      <c r="T651" s="138">
        <v>3.0</v>
      </c>
      <c r="U651" s="323">
        <v>3.0</v>
      </c>
      <c r="V651" s="106">
        <v>0.0</v>
      </c>
      <c r="W651" s="107">
        <v>0.0</v>
      </c>
      <c r="X651" s="107">
        <v>0.0</v>
      </c>
      <c r="Y651" s="107">
        <v>0.0</v>
      </c>
      <c r="Z651" s="80">
        <v>0.0</v>
      </c>
      <c r="AA651" s="140">
        <v>0.0</v>
      </c>
      <c r="AB651" s="109">
        <v>0.0</v>
      </c>
      <c r="AC651" s="109">
        <v>0.0</v>
      </c>
      <c r="AD651" s="141">
        <v>0.0</v>
      </c>
      <c r="AE651" s="80">
        <v>0.0</v>
      </c>
      <c r="AF651" s="140">
        <v>0.0</v>
      </c>
      <c r="AG651" s="109">
        <v>0.0</v>
      </c>
      <c r="AH651" s="109">
        <v>10.0</v>
      </c>
      <c r="AI651" s="141">
        <v>0.0</v>
      </c>
      <c r="AJ651" s="80">
        <v>10.0</v>
      </c>
      <c r="AK651" s="140">
        <v>0.0</v>
      </c>
      <c r="AL651" s="109">
        <v>0.0</v>
      </c>
      <c r="AM651" s="141">
        <v>0.0</v>
      </c>
      <c r="AN651" s="80">
        <v>0.0</v>
      </c>
      <c r="AO651" s="140">
        <v>0.0</v>
      </c>
      <c r="AP651" s="109">
        <v>0.0</v>
      </c>
      <c r="AQ651" s="109">
        <v>0.0</v>
      </c>
      <c r="AR651" s="80">
        <v>0.0</v>
      </c>
      <c r="AS651" s="110">
        <v>0.0</v>
      </c>
      <c r="AT651" s="110">
        <v>0.0</v>
      </c>
      <c r="AU651" s="110">
        <v>0.0</v>
      </c>
      <c r="AV651" s="142">
        <v>0.0</v>
      </c>
      <c r="AW651" s="80">
        <v>0.0</v>
      </c>
      <c r="AX651" s="113">
        <v>10.0</v>
      </c>
      <c r="AY651" s="117">
        <v>0.0</v>
      </c>
      <c r="AZ651" s="328">
        <v>10.0</v>
      </c>
      <c r="BA651" s="315">
        <v>0.0</v>
      </c>
      <c r="BB651" s="316">
        <v>10.0</v>
      </c>
      <c r="BC651" s="132" t="s">
        <v>178</v>
      </c>
      <c r="BD651" s="143" t="s">
        <v>227</v>
      </c>
      <c r="BE651" s="132" t="s">
        <v>178</v>
      </c>
      <c r="BF651" s="156"/>
      <c r="BG651" s="83">
        <v>1179080.0</v>
      </c>
      <c r="BH651" s="112">
        <v>3.0</v>
      </c>
      <c r="BI651" s="98" t="s">
        <v>155</v>
      </c>
      <c r="BJ651" s="98" t="str">
        <f t="shared" si="1"/>
        <v>NÃO</v>
      </c>
      <c r="BK651" s="98" t="str">
        <f t="shared" si="2"/>
        <v>NÃO</v>
      </c>
    </row>
    <row r="652" ht="15.75" customHeight="1">
      <c r="A652" s="111" t="s">
        <v>796</v>
      </c>
      <c r="B652" s="83" t="s">
        <v>2205</v>
      </c>
      <c r="C652" s="83" t="s">
        <v>164</v>
      </c>
      <c r="D652" s="83">
        <v>1179111.0</v>
      </c>
      <c r="E652" s="83">
        <v>1178665.0</v>
      </c>
      <c r="F652" s="83"/>
      <c r="G652" s="125" t="s">
        <v>3039</v>
      </c>
      <c r="H652" s="91" t="s">
        <v>3041</v>
      </c>
      <c r="I652" s="187" t="s">
        <v>3042</v>
      </c>
      <c r="J652" s="83" t="s">
        <v>331</v>
      </c>
      <c r="K652" s="83" t="s">
        <v>168</v>
      </c>
      <c r="L652" s="83" t="s">
        <v>169</v>
      </c>
      <c r="M652" s="82" t="s">
        <v>7256</v>
      </c>
      <c r="N652" s="82" t="s">
        <v>7257</v>
      </c>
      <c r="O652" s="82" t="s">
        <v>7259</v>
      </c>
      <c r="P652" s="82" t="s">
        <v>7260</v>
      </c>
      <c r="Q652" s="82" t="s">
        <v>7261</v>
      </c>
      <c r="R652" s="82" t="s">
        <v>7262</v>
      </c>
      <c r="S652" s="82" t="s">
        <v>7263</v>
      </c>
      <c r="T652" s="138">
        <v>2.0</v>
      </c>
      <c r="U652" s="323">
        <v>2.0</v>
      </c>
      <c r="V652" s="106">
        <v>0.0</v>
      </c>
      <c r="W652" s="107">
        <v>0.0</v>
      </c>
      <c r="X652" s="107">
        <v>0.0</v>
      </c>
      <c r="Y652" s="107">
        <v>0.0</v>
      </c>
      <c r="Z652" s="80">
        <v>0.0</v>
      </c>
      <c r="AA652" s="140">
        <v>0.0</v>
      </c>
      <c r="AB652" s="109">
        <v>0.0</v>
      </c>
      <c r="AC652" s="109">
        <v>0.0</v>
      </c>
      <c r="AD652" s="141">
        <v>0.0</v>
      </c>
      <c r="AE652" s="80">
        <v>0.0</v>
      </c>
      <c r="AF652" s="140">
        <v>10.0</v>
      </c>
      <c r="AG652" s="109">
        <v>6.0</v>
      </c>
      <c r="AH652" s="109">
        <v>0.0</v>
      </c>
      <c r="AI652" s="141">
        <v>0.0</v>
      </c>
      <c r="AJ652" s="80">
        <v>16.0</v>
      </c>
      <c r="AK652" s="140">
        <v>0.0</v>
      </c>
      <c r="AL652" s="109">
        <v>0.0</v>
      </c>
      <c r="AM652" s="141">
        <v>0.0</v>
      </c>
      <c r="AN652" s="80">
        <v>0.0</v>
      </c>
      <c r="AO652" s="140">
        <v>0.0</v>
      </c>
      <c r="AP652" s="109">
        <v>0.0</v>
      </c>
      <c r="AQ652" s="109">
        <v>0.0</v>
      </c>
      <c r="AR652" s="80">
        <v>0.0</v>
      </c>
      <c r="AS652" s="110">
        <v>0.0</v>
      </c>
      <c r="AT652" s="110">
        <v>0.0</v>
      </c>
      <c r="AU652" s="110">
        <v>0.0</v>
      </c>
      <c r="AV652" s="142">
        <v>0.0</v>
      </c>
      <c r="AW652" s="80">
        <v>0.0</v>
      </c>
      <c r="AX652" s="113">
        <v>16.0</v>
      </c>
      <c r="AY652" s="117">
        <v>16.0</v>
      </c>
      <c r="AZ652" s="328">
        <v>0.0</v>
      </c>
      <c r="BA652" s="315">
        <v>0.0</v>
      </c>
      <c r="BB652" s="316">
        <v>16.0</v>
      </c>
      <c r="BC652" s="132" t="s">
        <v>178</v>
      </c>
      <c r="BD652" s="143" t="s">
        <v>227</v>
      </c>
      <c r="BE652" s="132" t="s">
        <v>178</v>
      </c>
      <c r="BF652" s="123"/>
      <c r="BG652" s="83">
        <v>1178665.0</v>
      </c>
      <c r="BH652" s="112">
        <v>2.0</v>
      </c>
      <c r="BI652" s="98" t="s">
        <v>155</v>
      </c>
      <c r="BJ652" s="98" t="str">
        <f t="shared" si="1"/>
        <v>NÃO</v>
      </c>
      <c r="BK652" s="98" t="str">
        <f t="shared" si="2"/>
        <v>NÃO</v>
      </c>
    </row>
    <row r="653" ht="15.75" customHeight="1">
      <c r="A653" s="111" t="s">
        <v>796</v>
      </c>
      <c r="B653" s="83" t="s">
        <v>2205</v>
      </c>
      <c r="C653" s="83" t="s">
        <v>164</v>
      </c>
      <c r="D653" s="83">
        <v>1179111.0</v>
      </c>
      <c r="E653" s="83">
        <v>1179081.0</v>
      </c>
      <c r="F653" s="83"/>
      <c r="G653" s="114" t="s">
        <v>3048</v>
      </c>
      <c r="H653" s="91" t="s">
        <v>3049</v>
      </c>
      <c r="I653" s="187" t="s">
        <v>3050</v>
      </c>
      <c r="J653" s="83" t="s">
        <v>1936</v>
      </c>
      <c r="K653" s="83" t="s">
        <v>168</v>
      </c>
      <c r="L653" s="83" t="s">
        <v>169</v>
      </c>
      <c r="M653" s="82" t="s">
        <v>7256</v>
      </c>
      <c r="N653" s="82" t="s">
        <v>7257</v>
      </c>
      <c r="O653" s="82" t="s">
        <v>7259</v>
      </c>
      <c r="P653" s="82" t="s">
        <v>7260</v>
      </c>
      <c r="Q653" s="82" t="s">
        <v>7261</v>
      </c>
      <c r="R653" s="82" t="s">
        <v>7262</v>
      </c>
      <c r="S653" s="82" t="s">
        <v>7263</v>
      </c>
      <c r="T653" s="138">
        <v>3.0</v>
      </c>
      <c r="U653" s="323">
        <v>3.0</v>
      </c>
      <c r="V653" s="106">
        <v>0.0</v>
      </c>
      <c r="W653" s="107">
        <v>0.0</v>
      </c>
      <c r="X653" s="107">
        <v>0.0</v>
      </c>
      <c r="Y653" s="107">
        <v>0.0</v>
      </c>
      <c r="Z653" s="80">
        <v>0.0</v>
      </c>
      <c r="AA653" s="140">
        <v>0.0</v>
      </c>
      <c r="AB653" s="109">
        <v>0.0</v>
      </c>
      <c r="AC653" s="109">
        <v>0.0</v>
      </c>
      <c r="AD653" s="141">
        <v>0.0</v>
      </c>
      <c r="AE653" s="80">
        <v>0.0</v>
      </c>
      <c r="AF653" s="140">
        <v>0.0</v>
      </c>
      <c r="AG653" s="109">
        <v>35.0</v>
      </c>
      <c r="AH653" s="109">
        <v>0.0</v>
      </c>
      <c r="AI653" s="141">
        <v>0.0</v>
      </c>
      <c r="AJ653" s="80">
        <v>35.0</v>
      </c>
      <c r="AK653" s="140">
        <v>0.0</v>
      </c>
      <c r="AL653" s="109">
        <v>0.0</v>
      </c>
      <c r="AM653" s="141">
        <v>0.0</v>
      </c>
      <c r="AN653" s="80">
        <v>0.0</v>
      </c>
      <c r="AO653" s="140">
        <v>0.0</v>
      </c>
      <c r="AP653" s="109">
        <v>0.0</v>
      </c>
      <c r="AQ653" s="109">
        <v>0.0</v>
      </c>
      <c r="AR653" s="80">
        <v>0.0</v>
      </c>
      <c r="AS653" s="110">
        <v>0.0</v>
      </c>
      <c r="AT653" s="110">
        <v>0.0</v>
      </c>
      <c r="AU653" s="110">
        <v>0.0</v>
      </c>
      <c r="AV653" s="142">
        <v>0.0</v>
      </c>
      <c r="AW653" s="80">
        <v>0.0</v>
      </c>
      <c r="AX653" s="113">
        <v>35.0</v>
      </c>
      <c r="AY653" s="117">
        <v>35.0</v>
      </c>
      <c r="AZ653" s="328">
        <v>0.0</v>
      </c>
      <c r="BA653" s="315">
        <v>0.0</v>
      </c>
      <c r="BB653" s="316">
        <v>35.0</v>
      </c>
      <c r="BC653" s="132" t="s">
        <v>178</v>
      </c>
      <c r="BD653" s="143" t="s">
        <v>227</v>
      </c>
      <c r="BE653" s="132" t="s">
        <v>178</v>
      </c>
      <c r="BF653" s="123"/>
      <c r="BG653" s="83">
        <v>1179081.0</v>
      </c>
      <c r="BH653" s="112">
        <v>3.0</v>
      </c>
      <c r="BI653" s="98" t="s">
        <v>155</v>
      </c>
      <c r="BJ653" s="98" t="str">
        <f t="shared" si="1"/>
        <v>NÃO</v>
      </c>
      <c r="BK653" s="98" t="str">
        <f t="shared" si="2"/>
        <v>NÃO</v>
      </c>
    </row>
    <row r="654" ht="15.75" customHeight="1">
      <c r="A654" s="111" t="s">
        <v>796</v>
      </c>
      <c r="B654" s="83" t="s">
        <v>2205</v>
      </c>
      <c r="C654" s="83" t="s">
        <v>164</v>
      </c>
      <c r="D654" s="83">
        <v>1176317.0</v>
      </c>
      <c r="E654" s="83">
        <v>1179603.0</v>
      </c>
      <c r="F654" s="83"/>
      <c r="G654" s="119" t="s">
        <v>3053</v>
      </c>
      <c r="H654" s="91" t="s">
        <v>3055</v>
      </c>
      <c r="I654" s="187" t="s">
        <v>3057</v>
      </c>
      <c r="J654" s="83" t="s">
        <v>727</v>
      </c>
      <c r="K654" s="83" t="s">
        <v>168</v>
      </c>
      <c r="L654" s="83" t="s">
        <v>169</v>
      </c>
      <c r="M654" s="82" t="s">
        <v>2962</v>
      </c>
      <c r="N654" s="82"/>
      <c r="O654" s="82" t="s">
        <v>7383</v>
      </c>
      <c r="P654" s="82" t="s">
        <v>7384</v>
      </c>
      <c r="Q654" s="82"/>
      <c r="R654" s="82"/>
      <c r="S654" s="82" t="s">
        <v>7385</v>
      </c>
      <c r="T654" s="138">
        <v>3.0</v>
      </c>
      <c r="U654" s="323">
        <v>3.0</v>
      </c>
      <c r="V654" s="106">
        <v>0.0</v>
      </c>
      <c r="W654" s="107">
        <v>0.0</v>
      </c>
      <c r="X654" s="107">
        <v>0.0</v>
      </c>
      <c r="Y654" s="107">
        <v>0.0</v>
      </c>
      <c r="Z654" s="80">
        <v>0.0</v>
      </c>
      <c r="AA654" s="140">
        <v>0.0</v>
      </c>
      <c r="AB654" s="109">
        <v>0.0</v>
      </c>
      <c r="AC654" s="109">
        <v>0.0</v>
      </c>
      <c r="AD654" s="141">
        <v>0.0</v>
      </c>
      <c r="AE654" s="80">
        <v>0.0</v>
      </c>
      <c r="AF654" s="140">
        <v>0.0</v>
      </c>
      <c r="AG654" s="109">
        <v>43.0</v>
      </c>
      <c r="AH654" s="109">
        <v>0.0</v>
      </c>
      <c r="AI654" s="141">
        <v>0.0</v>
      </c>
      <c r="AJ654" s="80">
        <v>43.0</v>
      </c>
      <c r="AK654" s="140">
        <v>0.0</v>
      </c>
      <c r="AL654" s="109">
        <v>0.0</v>
      </c>
      <c r="AM654" s="141">
        <v>0.0</v>
      </c>
      <c r="AN654" s="80">
        <v>0.0</v>
      </c>
      <c r="AO654" s="140">
        <v>0.0</v>
      </c>
      <c r="AP654" s="109">
        <v>0.0</v>
      </c>
      <c r="AQ654" s="109">
        <v>0.0</v>
      </c>
      <c r="AR654" s="80">
        <v>0.0</v>
      </c>
      <c r="AS654" s="110">
        <v>0.0</v>
      </c>
      <c r="AT654" s="110">
        <v>0.0</v>
      </c>
      <c r="AU654" s="110">
        <v>0.0</v>
      </c>
      <c r="AV654" s="142">
        <v>0.0</v>
      </c>
      <c r="AW654" s="80">
        <v>0.0</v>
      </c>
      <c r="AX654" s="113">
        <v>43.0</v>
      </c>
      <c r="AY654" s="117">
        <v>43.0</v>
      </c>
      <c r="AZ654" s="328">
        <v>0.0</v>
      </c>
      <c r="BA654" s="315">
        <v>2.0</v>
      </c>
      <c r="BB654" s="316">
        <v>45.0</v>
      </c>
      <c r="BC654" s="132" t="s">
        <v>373</v>
      </c>
      <c r="BD654" s="132" t="s">
        <v>178</v>
      </c>
      <c r="BE654" s="132" t="s">
        <v>178</v>
      </c>
      <c r="BF654" s="463" t="s">
        <v>7403</v>
      </c>
      <c r="BG654" s="83">
        <v>1179603.0</v>
      </c>
      <c r="BH654" s="112">
        <v>3.0</v>
      </c>
      <c r="BI654" s="98" t="s">
        <v>155</v>
      </c>
      <c r="BJ654" s="98" t="str">
        <f t="shared" si="1"/>
        <v>NÃO</v>
      </c>
      <c r="BK654" s="98" t="str">
        <f t="shared" si="2"/>
        <v>NÃO</v>
      </c>
    </row>
    <row r="655" ht="15.75" customHeight="1">
      <c r="A655" s="111" t="s">
        <v>796</v>
      </c>
      <c r="B655" s="83" t="s">
        <v>2087</v>
      </c>
      <c r="C655" s="83" t="s">
        <v>68</v>
      </c>
      <c r="D655" s="83">
        <v>1120915.0</v>
      </c>
      <c r="E655" s="83"/>
      <c r="F655" s="83">
        <v>2.9024579E7</v>
      </c>
      <c r="G655" s="114" t="s">
        <v>3060</v>
      </c>
      <c r="H655" s="91" t="s">
        <v>3061</v>
      </c>
      <c r="I655" s="187" t="s">
        <v>3062</v>
      </c>
      <c r="J655" s="83" t="s">
        <v>150</v>
      </c>
      <c r="K655" s="83" t="s">
        <v>151</v>
      </c>
      <c r="L655" s="83" t="s">
        <v>152</v>
      </c>
      <c r="M655" s="82" t="s">
        <v>7407</v>
      </c>
      <c r="N655" s="82" t="s">
        <v>7408</v>
      </c>
      <c r="O655" s="82" t="s">
        <v>7409</v>
      </c>
      <c r="P655" s="82" t="s">
        <v>7410</v>
      </c>
      <c r="Q655" s="82" t="s">
        <v>7411</v>
      </c>
      <c r="R655" s="82" t="s">
        <v>7412</v>
      </c>
      <c r="S655" s="82" t="s">
        <v>7413</v>
      </c>
      <c r="T655" s="138">
        <v>23.0</v>
      </c>
      <c r="U655" s="323">
        <v>20.0</v>
      </c>
      <c r="V655" s="106">
        <v>0.0</v>
      </c>
      <c r="W655" s="107">
        <v>0.0</v>
      </c>
      <c r="X655" s="107">
        <v>0.0</v>
      </c>
      <c r="Y655" s="107">
        <v>0.0</v>
      </c>
      <c r="Z655" s="80">
        <v>0.0</v>
      </c>
      <c r="AA655" s="140">
        <v>81.0</v>
      </c>
      <c r="AB655" s="109">
        <v>42.0</v>
      </c>
      <c r="AC655" s="109">
        <v>0.0</v>
      </c>
      <c r="AD655" s="141">
        <v>355.0</v>
      </c>
      <c r="AE655" s="80">
        <v>478.0</v>
      </c>
      <c r="AF655" s="140">
        <v>0.0</v>
      </c>
      <c r="AG655" s="109">
        <v>0.0</v>
      </c>
      <c r="AH655" s="109">
        <v>0.0</v>
      </c>
      <c r="AI655" s="141">
        <v>265.0</v>
      </c>
      <c r="AJ655" s="80">
        <v>265.0</v>
      </c>
      <c r="AK655" s="140">
        <v>0.0</v>
      </c>
      <c r="AL655" s="109">
        <v>0.0</v>
      </c>
      <c r="AM655" s="141">
        <v>0.0</v>
      </c>
      <c r="AN655" s="80">
        <v>0.0</v>
      </c>
      <c r="AO655" s="140">
        <v>0.0</v>
      </c>
      <c r="AP655" s="109">
        <v>0.0</v>
      </c>
      <c r="AQ655" s="109">
        <v>34.0</v>
      </c>
      <c r="AR655" s="80">
        <v>34.0</v>
      </c>
      <c r="AS655" s="110">
        <v>0.0</v>
      </c>
      <c r="AT655" s="110">
        <v>0.0</v>
      </c>
      <c r="AU655" s="110">
        <v>0.0</v>
      </c>
      <c r="AV655" s="142">
        <v>0.0</v>
      </c>
      <c r="AW655" s="80">
        <v>0.0</v>
      </c>
      <c r="AX655" s="113">
        <v>777.0</v>
      </c>
      <c r="AY655" s="117">
        <v>743.0</v>
      </c>
      <c r="AZ655" s="328">
        <v>34.0</v>
      </c>
      <c r="BA655" s="315">
        <v>0.0</v>
      </c>
      <c r="BB655" s="316">
        <v>777.0</v>
      </c>
      <c r="BC655" s="132" t="s">
        <v>178</v>
      </c>
      <c r="BD655" s="132" t="s">
        <v>178</v>
      </c>
      <c r="BE655" s="132" t="s">
        <v>178</v>
      </c>
      <c r="BF655" s="123"/>
      <c r="BG655" s="83">
        <v>1120915.0</v>
      </c>
      <c r="BH655" s="112">
        <v>20.0</v>
      </c>
      <c r="BI655" s="98" t="s">
        <v>155</v>
      </c>
      <c r="BJ655" s="98" t="str">
        <f t="shared" si="1"/>
        <v>INTEGRAL</v>
      </c>
      <c r="BK655" s="98" t="str">
        <f t="shared" si="2"/>
        <v>NÃO</v>
      </c>
    </row>
    <row r="656" ht="15.75" customHeight="1">
      <c r="A656" s="111" t="s">
        <v>796</v>
      </c>
      <c r="B656" s="83" t="s">
        <v>2087</v>
      </c>
      <c r="C656" s="83" t="s">
        <v>68</v>
      </c>
      <c r="D656" s="83">
        <v>1176428.0</v>
      </c>
      <c r="E656" s="83"/>
      <c r="F656" s="83">
        <v>2.9390737E7</v>
      </c>
      <c r="G656" s="114" t="s">
        <v>3069</v>
      </c>
      <c r="H656" s="91" t="s">
        <v>3070</v>
      </c>
      <c r="I656" s="187" t="s">
        <v>3071</v>
      </c>
      <c r="J656" s="83" t="s">
        <v>150</v>
      </c>
      <c r="K656" s="83" t="s">
        <v>151</v>
      </c>
      <c r="L656" s="83" t="s">
        <v>152</v>
      </c>
      <c r="M656" s="82" t="s">
        <v>7418</v>
      </c>
      <c r="N656" s="82" t="s">
        <v>7419</v>
      </c>
      <c r="O656" s="82" t="s">
        <v>7420</v>
      </c>
      <c r="P656" s="82" t="s">
        <v>7421</v>
      </c>
      <c r="Q656" s="82" t="s">
        <v>7422</v>
      </c>
      <c r="R656" s="82" t="s">
        <v>7423</v>
      </c>
      <c r="S656" s="82" t="s">
        <v>7424</v>
      </c>
      <c r="T656" s="138">
        <v>18.0</v>
      </c>
      <c r="U656" s="323">
        <v>18.0</v>
      </c>
      <c r="V656" s="106">
        <v>0.0</v>
      </c>
      <c r="W656" s="107">
        <v>0.0</v>
      </c>
      <c r="X656" s="107">
        <v>0.0</v>
      </c>
      <c r="Y656" s="107">
        <v>0.0</v>
      </c>
      <c r="Z656" s="80">
        <v>0.0</v>
      </c>
      <c r="AA656" s="140">
        <v>0.0</v>
      </c>
      <c r="AB656" s="109">
        <v>0.0</v>
      </c>
      <c r="AC656" s="109">
        <v>0.0</v>
      </c>
      <c r="AD656" s="141">
        <v>0.0</v>
      </c>
      <c r="AE656" s="80">
        <v>0.0</v>
      </c>
      <c r="AF656" s="140">
        <v>615.0</v>
      </c>
      <c r="AG656" s="109">
        <v>492.0</v>
      </c>
      <c r="AH656" s="109">
        <v>0.0</v>
      </c>
      <c r="AI656" s="141">
        <v>118.0</v>
      </c>
      <c r="AJ656" s="80">
        <v>1225.0</v>
      </c>
      <c r="AK656" s="140">
        <v>0.0</v>
      </c>
      <c r="AL656" s="109">
        <v>0.0</v>
      </c>
      <c r="AM656" s="141">
        <v>0.0</v>
      </c>
      <c r="AN656" s="80">
        <v>0.0</v>
      </c>
      <c r="AO656" s="140">
        <v>0.0</v>
      </c>
      <c r="AP656" s="109">
        <v>0.0</v>
      </c>
      <c r="AQ656" s="109">
        <v>0.0</v>
      </c>
      <c r="AR656" s="80">
        <v>0.0</v>
      </c>
      <c r="AS656" s="110">
        <v>0.0</v>
      </c>
      <c r="AT656" s="110">
        <v>0.0</v>
      </c>
      <c r="AU656" s="110">
        <v>11.0</v>
      </c>
      <c r="AV656" s="142">
        <v>0.0</v>
      </c>
      <c r="AW656" s="80">
        <v>11.0</v>
      </c>
      <c r="AX656" s="113">
        <v>1236.0</v>
      </c>
      <c r="AY656" s="117">
        <v>1225.0</v>
      </c>
      <c r="AZ656" s="328">
        <v>11.0</v>
      </c>
      <c r="BA656" s="315">
        <v>2.0</v>
      </c>
      <c r="BB656" s="316">
        <v>1238.0</v>
      </c>
      <c r="BC656" s="132" t="s">
        <v>178</v>
      </c>
      <c r="BD656" s="132" t="s">
        <v>178</v>
      </c>
      <c r="BE656" s="132" t="s">
        <v>178</v>
      </c>
      <c r="BF656" s="156"/>
      <c r="BG656" s="83">
        <v>1176428.0</v>
      </c>
      <c r="BH656" s="112">
        <v>18.0</v>
      </c>
      <c r="BI656" s="98" t="s">
        <v>284</v>
      </c>
      <c r="BJ656" s="98" t="str">
        <f t="shared" si="1"/>
        <v>INTEGRAL</v>
      </c>
      <c r="BK656" s="98" t="str">
        <f t="shared" si="2"/>
        <v>PROFISSIONAL</v>
      </c>
    </row>
    <row r="657" ht="15.75" customHeight="1">
      <c r="A657" s="111" t="s">
        <v>796</v>
      </c>
      <c r="B657" s="83" t="s">
        <v>2087</v>
      </c>
      <c r="C657" s="83" t="s">
        <v>68</v>
      </c>
      <c r="D657" s="83">
        <v>1120893.0</v>
      </c>
      <c r="E657" s="83"/>
      <c r="F657" s="83">
        <v>2.9025001E7</v>
      </c>
      <c r="G657" s="114" t="s">
        <v>3073</v>
      </c>
      <c r="H657" s="91" t="s">
        <v>3074</v>
      </c>
      <c r="I657" s="114" t="s">
        <v>614</v>
      </c>
      <c r="J657" s="83" t="s">
        <v>150</v>
      </c>
      <c r="K657" s="83" t="s">
        <v>168</v>
      </c>
      <c r="L657" s="83" t="s">
        <v>152</v>
      </c>
      <c r="M657" s="82" t="s">
        <v>7426</v>
      </c>
      <c r="N657" s="82" t="s">
        <v>7427</v>
      </c>
      <c r="O657" s="82" t="s">
        <v>7428</v>
      </c>
      <c r="P657" s="82" t="s">
        <v>7429</v>
      </c>
      <c r="Q657" s="82"/>
      <c r="R657" s="82"/>
      <c r="S657" s="82" t="s">
        <v>7430</v>
      </c>
      <c r="T657" s="138">
        <v>8.0</v>
      </c>
      <c r="U657" s="323">
        <v>8.0</v>
      </c>
      <c r="V657" s="106">
        <v>0.0</v>
      </c>
      <c r="W657" s="107">
        <v>0.0</v>
      </c>
      <c r="X657" s="107">
        <v>0.0</v>
      </c>
      <c r="Y657" s="107">
        <v>0.0</v>
      </c>
      <c r="Z657" s="80">
        <v>0.0</v>
      </c>
      <c r="AA657" s="140">
        <v>266.0</v>
      </c>
      <c r="AB657" s="109">
        <v>192.0</v>
      </c>
      <c r="AC657" s="109">
        <v>0.0</v>
      </c>
      <c r="AD657" s="141">
        <v>0.0</v>
      </c>
      <c r="AE657" s="80">
        <v>458.0</v>
      </c>
      <c r="AF657" s="140">
        <v>0.0</v>
      </c>
      <c r="AG657" s="109">
        <v>0.0</v>
      </c>
      <c r="AH657" s="109">
        <v>0.0</v>
      </c>
      <c r="AI657" s="141">
        <v>0.0</v>
      </c>
      <c r="AJ657" s="80">
        <v>0.0</v>
      </c>
      <c r="AK657" s="140">
        <v>0.0</v>
      </c>
      <c r="AL657" s="109">
        <v>0.0</v>
      </c>
      <c r="AM657" s="141">
        <v>0.0</v>
      </c>
      <c r="AN657" s="80">
        <v>0.0</v>
      </c>
      <c r="AO657" s="140">
        <v>0.0</v>
      </c>
      <c r="AP657" s="109">
        <v>0.0</v>
      </c>
      <c r="AQ657" s="109">
        <v>0.0</v>
      </c>
      <c r="AR657" s="80">
        <v>0.0</v>
      </c>
      <c r="AS657" s="110">
        <v>0.0</v>
      </c>
      <c r="AT657" s="110">
        <v>0.0</v>
      </c>
      <c r="AU657" s="110">
        <v>0.0</v>
      </c>
      <c r="AV657" s="142">
        <v>0.0</v>
      </c>
      <c r="AW657" s="80">
        <v>0.0</v>
      </c>
      <c r="AX657" s="113">
        <v>458.0</v>
      </c>
      <c r="AY657" s="117">
        <v>458.0</v>
      </c>
      <c r="AZ657" s="328">
        <v>0.0</v>
      </c>
      <c r="BA657" s="315">
        <v>0.0</v>
      </c>
      <c r="BB657" s="316">
        <v>458.0</v>
      </c>
      <c r="BC657" s="132" t="s">
        <v>178</v>
      </c>
      <c r="BD657" s="132" t="s">
        <v>178</v>
      </c>
      <c r="BE657" s="132" t="s">
        <v>178</v>
      </c>
      <c r="BF657" s="123"/>
      <c r="BG657" s="83">
        <v>1120893.0</v>
      </c>
      <c r="BH657" s="112">
        <v>8.0</v>
      </c>
      <c r="BI657" s="98" t="s">
        <v>155</v>
      </c>
      <c r="BJ657" s="98" t="str">
        <f t="shared" si="1"/>
        <v>NÃO</v>
      </c>
      <c r="BK657" s="98" t="str">
        <f t="shared" si="2"/>
        <v>NÃO</v>
      </c>
    </row>
    <row r="658" ht="15.75" customHeight="1">
      <c r="A658" s="111" t="s">
        <v>796</v>
      </c>
      <c r="B658" s="83" t="s">
        <v>2087</v>
      </c>
      <c r="C658" s="83" t="s">
        <v>68</v>
      </c>
      <c r="D658" s="83">
        <v>1178255.0</v>
      </c>
      <c r="E658" s="83"/>
      <c r="F658" s="83">
        <v>2.9467004E7</v>
      </c>
      <c r="G658" s="365" t="s">
        <v>7433</v>
      </c>
      <c r="H658" s="91" t="s">
        <v>7434</v>
      </c>
      <c r="I658" s="114" t="s">
        <v>3130</v>
      </c>
      <c r="J658" s="83" t="s">
        <v>150</v>
      </c>
      <c r="K658" s="83" t="s">
        <v>151</v>
      </c>
      <c r="L658" s="83" t="s">
        <v>76</v>
      </c>
      <c r="M658" s="82" t="s">
        <v>7437</v>
      </c>
      <c r="N658" s="82" t="s">
        <v>7438</v>
      </c>
      <c r="O658" s="82"/>
      <c r="P658" s="82"/>
      <c r="Q658" s="82"/>
      <c r="R658" s="82"/>
      <c r="S658" s="82" t="s">
        <v>7439</v>
      </c>
      <c r="T658" s="138">
        <v>8.0</v>
      </c>
      <c r="U658" s="323">
        <v>8.0</v>
      </c>
      <c r="V658" s="106">
        <v>0.0</v>
      </c>
      <c r="W658" s="107">
        <v>0.0</v>
      </c>
      <c r="X658" s="107">
        <v>0.0</v>
      </c>
      <c r="Y658" s="107">
        <v>0.0</v>
      </c>
      <c r="Z658" s="80">
        <v>0.0</v>
      </c>
      <c r="AA658" s="140">
        <v>0.0</v>
      </c>
      <c r="AB658" s="109">
        <v>0.0</v>
      </c>
      <c r="AC658" s="109">
        <v>0.0</v>
      </c>
      <c r="AD658" s="141">
        <v>0.0</v>
      </c>
      <c r="AE658" s="80">
        <v>0.0</v>
      </c>
      <c r="AF658" s="140">
        <v>159.0</v>
      </c>
      <c r="AG658" s="109">
        <v>24.0</v>
      </c>
      <c r="AH658" s="109">
        <v>31.0</v>
      </c>
      <c r="AI658" s="141">
        <v>132.0</v>
      </c>
      <c r="AJ658" s="80">
        <v>346.0</v>
      </c>
      <c r="AK658" s="140">
        <v>0.0</v>
      </c>
      <c r="AL658" s="109">
        <v>0.0</v>
      </c>
      <c r="AM658" s="141">
        <v>0.0</v>
      </c>
      <c r="AN658" s="80">
        <v>0.0</v>
      </c>
      <c r="AO658" s="140">
        <v>0.0</v>
      </c>
      <c r="AP658" s="109">
        <v>0.0</v>
      </c>
      <c r="AQ658" s="109">
        <v>207.0</v>
      </c>
      <c r="AR658" s="80">
        <v>207.0</v>
      </c>
      <c r="AS658" s="110">
        <v>0.0</v>
      </c>
      <c r="AT658" s="110">
        <v>0.0</v>
      </c>
      <c r="AU658" s="110">
        <v>0.0</v>
      </c>
      <c r="AV658" s="142">
        <v>0.0</v>
      </c>
      <c r="AW658" s="80">
        <v>0.0</v>
      </c>
      <c r="AX658" s="113">
        <v>553.0</v>
      </c>
      <c r="AY658" s="117">
        <v>315.0</v>
      </c>
      <c r="AZ658" s="328">
        <v>238.0</v>
      </c>
      <c r="BA658" s="315">
        <v>0.0</v>
      </c>
      <c r="BB658" s="316">
        <v>553.0</v>
      </c>
      <c r="BC658" s="132" t="s">
        <v>178</v>
      </c>
      <c r="BD658" s="132" t="s">
        <v>178</v>
      </c>
      <c r="BE658" s="132" t="s">
        <v>178</v>
      </c>
      <c r="BF658" s="156"/>
      <c r="BG658" s="83">
        <v>1178255.0</v>
      </c>
      <c r="BH658" s="112">
        <v>8.0</v>
      </c>
      <c r="BI658" s="98" t="s">
        <v>155</v>
      </c>
      <c r="BJ658" s="98" t="str">
        <f t="shared" si="1"/>
        <v>INTEGRAL</v>
      </c>
      <c r="BK658" s="98" t="str">
        <f t="shared" si="2"/>
        <v>NÃO</v>
      </c>
    </row>
    <row r="659" ht="15.75" customHeight="1">
      <c r="A659" s="111" t="s">
        <v>796</v>
      </c>
      <c r="B659" s="83" t="s">
        <v>2087</v>
      </c>
      <c r="C659" s="83" t="s">
        <v>68</v>
      </c>
      <c r="D659" s="83">
        <v>1120664.0</v>
      </c>
      <c r="E659" s="83"/>
      <c r="F659" s="83">
        <v>2.9024536E7</v>
      </c>
      <c r="G659" s="114" t="s">
        <v>1367</v>
      </c>
      <c r="H659" s="91" t="s">
        <v>3097</v>
      </c>
      <c r="I659" s="114" t="s">
        <v>3098</v>
      </c>
      <c r="J659" s="83" t="s">
        <v>150</v>
      </c>
      <c r="K659" s="83" t="s">
        <v>151</v>
      </c>
      <c r="L659" s="83" t="s">
        <v>230</v>
      </c>
      <c r="M659" s="82" t="s">
        <v>7444</v>
      </c>
      <c r="N659" s="82" t="s">
        <v>7445</v>
      </c>
      <c r="O659" s="82" t="s">
        <v>7446</v>
      </c>
      <c r="P659" s="82" t="s">
        <v>7447</v>
      </c>
      <c r="Q659" s="82" t="s">
        <v>7448</v>
      </c>
      <c r="R659" s="82" t="s">
        <v>7449</v>
      </c>
      <c r="S659" s="82" t="s">
        <v>7450</v>
      </c>
      <c r="T659" s="138">
        <v>18.0</v>
      </c>
      <c r="U659" s="323">
        <v>18.0</v>
      </c>
      <c r="V659" s="106">
        <v>0.0</v>
      </c>
      <c r="W659" s="107">
        <v>0.0</v>
      </c>
      <c r="X659" s="107">
        <v>0.0</v>
      </c>
      <c r="Y659" s="107">
        <v>0.0</v>
      </c>
      <c r="Z659" s="80">
        <v>0.0</v>
      </c>
      <c r="AA659" s="140">
        <v>317.0</v>
      </c>
      <c r="AB659" s="109">
        <v>355.0</v>
      </c>
      <c r="AC659" s="109">
        <v>0.0</v>
      </c>
      <c r="AD659" s="141">
        <v>0.0</v>
      </c>
      <c r="AE659" s="80">
        <v>672.0</v>
      </c>
      <c r="AF659" s="140">
        <v>312.0</v>
      </c>
      <c r="AG659" s="109">
        <v>182.0</v>
      </c>
      <c r="AH659" s="109">
        <v>40.0</v>
      </c>
      <c r="AI659" s="141">
        <v>219.0</v>
      </c>
      <c r="AJ659" s="80">
        <v>753.0</v>
      </c>
      <c r="AK659" s="140">
        <v>0.0</v>
      </c>
      <c r="AL659" s="109">
        <v>0.0</v>
      </c>
      <c r="AM659" s="141">
        <v>0.0</v>
      </c>
      <c r="AN659" s="80">
        <v>0.0</v>
      </c>
      <c r="AO659" s="140">
        <v>0.0</v>
      </c>
      <c r="AP659" s="109">
        <v>0.0</v>
      </c>
      <c r="AQ659" s="109">
        <v>251.0</v>
      </c>
      <c r="AR659" s="80">
        <v>251.0</v>
      </c>
      <c r="AS659" s="110">
        <v>0.0</v>
      </c>
      <c r="AT659" s="110">
        <v>0.0</v>
      </c>
      <c r="AU659" s="110">
        <v>0.0</v>
      </c>
      <c r="AV659" s="142">
        <v>0.0</v>
      </c>
      <c r="AW659" s="80">
        <v>0.0</v>
      </c>
      <c r="AX659" s="113">
        <v>1676.0</v>
      </c>
      <c r="AY659" s="117">
        <v>1385.0</v>
      </c>
      <c r="AZ659" s="328">
        <v>291.0</v>
      </c>
      <c r="BA659" s="315">
        <v>0.0</v>
      </c>
      <c r="BB659" s="316">
        <v>1676.0</v>
      </c>
      <c r="BC659" s="132" t="s">
        <v>178</v>
      </c>
      <c r="BD659" s="132" t="s">
        <v>178</v>
      </c>
      <c r="BE659" s="132" t="s">
        <v>178</v>
      </c>
      <c r="BF659" s="123"/>
      <c r="BG659" s="83">
        <v>1120664.0</v>
      </c>
      <c r="BH659" s="112">
        <v>18.0</v>
      </c>
      <c r="BI659" s="98" t="s">
        <v>155</v>
      </c>
      <c r="BJ659" s="98" t="str">
        <f t="shared" si="1"/>
        <v>INTEGRAL</v>
      </c>
      <c r="BK659" s="98" t="str">
        <f t="shared" si="2"/>
        <v>NÃO</v>
      </c>
    </row>
    <row r="660" ht="15.75" customHeight="1">
      <c r="A660" s="111" t="s">
        <v>796</v>
      </c>
      <c r="B660" s="83" t="s">
        <v>2087</v>
      </c>
      <c r="C660" s="83" t="s">
        <v>68</v>
      </c>
      <c r="D660" s="83">
        <v>1120613.0</v>
      </c>
      <c r="E660" s="83"/>
      <c r="F660" s="83">
        <v>2.902506E7</v>
      </c>
      <c r="G660" s="114" t="s">
        <v>7454</v>
      </c>
      <c r="H660" s="91" t="s">
        <v>3102</v>
      </c>
      <c r="I660" s="114" t="s">
        <v>3103</v>
      </c>
      <c r="J660" s="83" t="s">
        <v>150</v>
      </c>
      <c r="K660" s="83" t="s">
        <v>151</v>
      </c>
      <c r="L660" s="83" t="s">
        <v>152</v>
      </c>
      <c r="M660" s="82" t="s">
        <v>7455</v>
      </c>
      <c r="N660" s="82" t="s">
        <v>7456</v>
      </c>
      <c r="O660" s="82"/>
      <c r="P660" s="82"/>
      <c r="Q660" s="82"/>
      <c r="R660" s="82"/>
      <c r="S660" s="82" t="s">
        <v>7457</v>
      </c>
      <c r="T660" s="138">
        <v>10.0</v>
      </c>
      <c r="U660" s="323">
        <v>10.0</v>
      </c>
      <c r="V660" s="106">
        <v>0.0</v>
      </c>
      <c r="W660" s="107">
        <v>0.0</v>
      </c>
      <c r="X660" s="107">
        <v>0.0</v>
      </c>
      <c r="Y660" s="107">
        <v>0.0</v>
      </c>
      <c r="Z660" s="80">
        <v>0.0</v>
      </c>
      <c r="AA660" s="140">
        <v>373.0</v>
      </c>
      <c r="AB660" s="109">
        <v>358.0</v>
      </c>
      <c r="AC660" s="109">
        <v>0.0</v>
      </c>
      <c r="AD660" s="141">
        <v>0.0</v>
      </c>
      <c r="AE660" s="80">
        <v>731.0</v>
      </c>
      <c r="AF660" s="140">
        <v>0.0</v>
      </c>
      <c r="AG660" s="109">
        <v>0.0</v>
      </c>
      <c r="AH660" s="109">
        <v>0.0</v>
      </c>
      <c r="AI660" s="141">
        <v>0.0</v>
      </c>
      <c r="AJ660" s="80">
        <v>0.0</v>
      </c>
      <c r="AK660" s="140">
        <v>0.0</v>
      </c>
      <c r="AL660" s="109">
        <v>0.0</v>
      </c>
      <c r="AM660" s="141">
        <v>0.0</v>
      </c>
      <c r="AN660" s="80">
        <v>0.0</v>
      </c>
      <c r="AO660" s="140">
        <v>0.0</v>
      </c>
      <c r="AP660" s="109">
        <v>0.0</v>
      </c>
      <c r="AQ660" s="109">
        <v>127.0</v>
      </c>
      <c r="AR660" s="80">
        <v>127.0</v>
      </c>
      <c r="AS660" s="110">
        <v>0.0</v>
      </c>
      <c r="AT660" s="110">
        <v>0.0</v>
      </c>
      <c r="AU660" s="110">
        <v>0.0</v>
      </c>
      <c r="AV660" s="142">
        <v>0.0</v>
      </c>
      <c r="AW660" s="80">
        <v>0.0</v>
      </c>
      <c r="AX660" s="113">
        <v>858.0</v>
      </c>
      <c r="AY660" s="117">
        <v>731.0</v>
      </c>
      <c r="AZ660" s="328">
        <v>127.0</v>
      </c>
      <c r="BA660" s="315">
        <v>0.0</v>
      </c>
      <c r="BB660" s="316">
        <v>858.0</v>
      </c>
      <c r="BC660" s="132" t="s">
        <v>178</v>
      </c>
      <c r="BD660" s="132" t="s">
        <v>178</v>
      </c>
      <c r="BE660" s="132" t="s">
        <v>178</v>
      </c>
      <c r="BF660" s="123"/>
      <c r="BG660" s="83">
        <v>1120613.0</v>
      </c>
      <c r="BH660" s="112">
        <v>10.0</v>
      </c>
      <c r="BI660" s="98" t="s">
        <v>155</v>
      </c>
      <c r="BJ660" s="98" t="str">
        <f t="shared" si="1"/>
        <v>NÃO</v>
      </c>
      <c r="BK660" s="98" t="str">
        <f t="shared" si="2"/>
        <v>NÃO</v>
      </c>
    </row>
    <row r="661" ht="15.75" customHeight="1">
      <c r="A661" s="111" t="s">
        <v>796</v>
      </c>
      <c r="B661" s="83" t="s">
        <v>2087</v>
      </c>
      <c r="C661" s="83" t="s">
        <v>68</v>
      </c>
      <c r="D661" s="83">
        <v>1120524.0</v>
      </c>
      <c r="E661" s="83"/>
      <c r="F661" s="83">
        <v>2.9025052E7</v>
      </c>
      <c r="G661" s="114" t="s">
        <v>3076</v>
      </c>
      <c r="H661" s="91" t="s">
        <v>3077</v>
      </c>
      <c r="I661" s="114" t="s">
        <v>149</v>
      </c>
      <c r="J661" s="83" t="s">
        <v>150</v>
      </c>
      <c r="K661" s="83" t="s">
        <v>151</v>
      </c>
      <c r="L661" s="83" t="s">
        <v>76</v>
      </c>
      <c r="M661" s="82" t="s">
        <v>7464</v>
      </c>
      <c r="N661" s="82" t="s">
        <v>7465</v>
      </c>
      <c r="O661" s="82" t="s">
        <v>7466</v>
      </c>
      <c r="P661" s="82" t="s">
        <v>7467</v>
      </c>
      <c r="Q661" s="82"/>
      <c r="R661" s="82"/>
      <c r="S661" s="82" t="s">
        <v>7468</v>
      </c>
      <c r="T661" s="138">
        <v>9.0</v>
      </c>
      <c r="U661" s="323">
        <v>9.0</v>
      </c>
      <c r="V661" s="106">
        <v>0.0</v>
      </c>
      <c r="W661" s="107">
        <v>0.0</v>
      </c>
      <c r="X661" s="107">
        <v>0.0</v>
      </c>
      <c r="Y661" s="107">
        <v>0.0</v>
      </c>
      <c r="Z661" s="80">
        <v>0.0</v>
      </c>
      <c r="AA661" s="140">
        <v>238.0</v>
      </c>
      <c r="AB661" s="109">
        <v>38.0</v>
      </c>
      <c r="AC661" s="109">
        <v>0.0</v>
      </c>
      <c r="AD661" s="141">
        <v>0.0</v>
      </c>
      <c r="AE661" s="80">
        <v>276.0</v>
      </c>
      <c r="AF661" s="140">
        <v>122.0</v>
      </c>
      <c r="AG661" s="109">
        <v>0.0</v>
      </c>
      <c r="AH661" s="109">
        <v>0.0</v>
      </c>
      <c r="AI661" s="141">
        <v>0.0</v>
      </c>
      <c r="AJ661" s="80">
        <v>122.0</v>
      </c>
      <c r="AK661" s="140">
        <v>0.0</v>
      </c>
      <c r="AL661" s="109">
        <v>0.0</v>
      </c>
      <c r="AM661" s="141">
        <v>0.0</v>
      </c>
      <c r="AN661" s="80">
        <v>0.0</v>
      </c>
      <c r="AO661" s="140">
        <v>0.0</v>
      </c>
      <c r="AP661" s="109">
        <v>0.0</v>
      </c>
      <c r="AQ661" s="109">
        <v>49.0</v>
      </c>
      <c r="AR661" s="80">
        <v>49.0</v>
      </c>
      <c r="AS661" s="110">
        <v>0.0</v>
      </c>
      <c r="AT661" s="110">
        <v>0.0</v>
      </c>
      <c r="AU661" s="110">
        <v>0.0</v>
      </c>
      <c r="AV661" s="142">
        <v>0.0</v>
      </c>
      <c r="AW661" s="80">
        <v>0.0</v>
      </c>
      <c r="AX661" s="113">
        <v>447.0</v>
      </c>
      <c r="AY661" s="117">
        <v>398.0</v>
      </c>
      <c r="AZ661" s="328">
        <v>49.0</v>
      </c>
      <c r="BA661" s="315">
        <v>0.0</v>
      </c>
      <c r="BB661" s="316">
        <v>447.0</v>
      </c>
      <c r="BC661" s="132" t="s">
        <v>178</v>
      </c>
      <c r="BD661" s="132" t="s">
        <v>178</v>
      </c>
      <c r="BE661" s="132" t="s">
        <v>178</v>
      </c>
      <c r="BF661" s="123"/>
      <c r="BG661" s="83">
        <v>1120524.0</v>
      </c>
      <c r="BH661" s="112">
        <v>9.0</v>
      </c>
      <c r="BI661" s="98" t="s">
        <v>155</v>
      </c>
      <c r="BJ661" s="98" t="str">
        <f t="shared" si="1"/>
        <v>NÃO</v>
      </c>
      <c r="BK661" s="98" t="str">
        <f t="shared" si="2"/>
        <v>NÃO</v>
      </c>
    </row>
    <row r="662" ht="15.75" customHeight="1">
      <c r="A662" s="111" t="s">
        <v>796</v>
      </c>
      <c r="B662" s="83" t="s">
        <v>2087</v>
      </c>
      <c r="C662" s="83" t="s">
        <v>68</v>
      </c>
      <c r="D662" s="83">
        <v>1176091.0</v>
      </c>
      <c r="E662" s="83"/>
      <c r="F662" s="83">
        <v>2.9025117E7</v>
      </c>
      <c r="G662" s="114" t="s">
        <v>3080</v>
      </c>
      <c r="H662" s="91" t="s">
        <v>3081</v>
      </c>
      <c r="I662" s="114" t="s">
        <v>496</v>
      </c>
      <c r="J662" s="83" t="s">
        <v>150</v>
      </c>
      <c r="K662" s="83" t="s">
        <v>151</v>
      </c>
      <c r="L662" s="83" t="s">
        <v>152</v>
      </c>
      <c r="M662" s="82" t="s">
        <v>7473</v>
      </c>
      <c r="N662" s="82" t="s">
        <v>7474</v>
      </c>
      <c r="O662" s="82" t="s">
        <v>7476</v>
      </c>
      <c r="P662" s="82" t="s">
        <v>7478</v>
      </c>
      <c r="Q662" s="82" t="s">
        <v>7479</v>
      </c>
      <c r="R662" s="82" t="s">
        <v>7480</v>
      </c>
      <c r="S662" s="82" t="s">
        <v>7481</v>
      </c>
      <c r="T662" s="138">
        <v>13.0</v>
      </c>
      <c r="U662" s="323">
        <v>13.0</v>
      </c>
      <c r="V662" s="106">
        <v>0.0</v>
      </c>
      <c r="W662" s="107">
        <v>0.0</v>
      </c>
      <c r="X662" s="107">
        <v>0.0</v>
      </c>
      <c r="Y662" s="107">
        <v>0.0</v>
      </c>
      <c r="Z662" s="80">
        <v>0.0</v>
      </c>
      <c r="AA662" s="140">
        <v>0.0</v>
      </c>
      <c r="AB662" s="109">
        <v>0.0</v>
      </c>
      <c r="AC662" s="109">
        <v>0.0</v>
      </c>
      <c r="AD662" s="141">
        <v>0.0</v>
      </c>
      <c r="AE662" s="80">
        <v>0.0</v>
      </c>
      <c r="AF662" s="140">
        <v>416.0</v>
      </c>
      <c r="AG662" s="109">
        <v>192.0</v>
      </c>
      <c r="AH662" s="109">
        <v>80.0</v>
      </c>
      <c r="AI662" s="141">
        <v>0.0</v>
      </c>
      <c r="AJ662" s="80">
        <v>688.0</v>
      </c>
      <c r="AK662" s="140">
        <v>0.0</v>
      </c>
      <c r="AL662" s="109">
        <v>0.0</v>
      </c>
      <c r="AM662" s="141">
        <v>0.0</v>
      </c>
      <c r="AN662" s="80">
        <v>0.0</v>
      </c>
      <c r="AO662" s="140">
        <v>0.0</v>
      </c>
      <c r="AP662" s="109">
        <v>0.0</v>
      </c>
      <c r="AQ662" s="109">
        <v>147.0</v>
      </c>
      <c r="AR662" s="80">
        <v>147.0</v>
      </c>
      <c r="AS662" s="110">
        <v>0.0</v>
      </c>
      <c r="AT662" s="110">
        <v>0.0</v>
      </c>
      <c r="AU662" s="110">
        <v>0.0</v>
      </c>
      <c r="AV662" s="142">
        <v>0.0</v>
      </c>
      <c r="AW662" s="80">
        <v>0.0</v>
      </c>
      <c r="AX662" s="113">
        <v>835.0</v>
      </c>
      <c r="AY662" s="117">
        <v>608.0</v>
      </c>
      <c r="AZ662" s="328">
        <v>227.0</v>
      </c>
      <c r="BA662" s="315">
        <v>0.0</v>
      </c>
      <c r="BB662" s="316">
        <v>835.0</v>
      </c>
      <c r="BC662" s="132" t="s">
        <v>178</v>
      </c>
      <c r="BD662" s="132" t="s">
        <v>178</v>
      </c>
      <c r="BE662" s="132" t="s">
        <v>178</v>
      </c>
      <c r="BF662" s="123"/>
      <c r="BG662" s="83">
        <v>1176091.0</v>
      </c>
      <c r="BH662" s="112">
        <v>13.0</v>
      </c>
      <c r="BI662" s="98" t="s">
        <v>155</v>
      </c>
      <c r="BJ662" s="98" t="str">
        <f t="shared" si="1"/>
        <v>NÃO</v>
      </c>
      <c r="BK662" s="98" t="str">
        <f t="shared" si="2"/>
        <v>NÃO</v>
      </c>
    </row>
    <row r="663" ht="15.75" customHeight="1">
      <c r="A663" s="111" t="s">
        <v>796</v>
      </c>
      <c r="B663" s="83" t="s">
        <v>2087</v>
      </c>
      <c r="C663" s="83" t="s">
        <v>68</v>
      </c>
      <c r="D663" s="83">
        <v>1178378.0</v>
      </c>
      <c r="E663" s="83"/>
      <c r="F663" s="83">
        <v>2.9859808E7</v>
      </c>
      <c r="G663" s="114" t="s">
        <v>3084</v>
      </c>
      <c r="H663" s="91" t="s">
        <v>3085</v>
      </c>
      <c r="I663" s="114" t="s">
        <v>149</v>
      </c>
      <c r="J663" s="83" t="s">
        <v>1074</v>
      </c>
      <c r="K663" s="83" t="s">
        <v>151</v>
      </c>
      <c r="L663" s="83" t="s">
        <v>76</v>
      </c>
      <c r="M663" s="82" t="s">
        <v>7484</v>
      </c>
      <c r="N663" s="82" t="s">
        <v>7485</v>
      </c>
      <c r="O663" s="82"/>
      <c r="P663" s="82"/>
      <c r="Q663" s="82"/>
      <c r="R663" s="82"/>
      <c r="S663" s="82" t="s">
        <v>7486</v>
      </c>
      <c r="T663" s="138">
        <v>7.0</v>
      </c>
      <c r="U663" s="323">
        <v>8.0</v>
      </c>
      <c r="V663" s="106">
        <v>0.0</v>
      </c>
      <c r="W663" s="107">
        <v>0.0</v>
      </c>
      <c r="X663" s="107">
        <v>0.0</v>
      </c>
      <c r="Y663" s="107">
        <v>0.0</v>
      </c>
      <c r="Z663" s="80">
        <v>0.0</v>
      </c>
      <c r="AA663" s="140">
        <v>0.0</v>
      </c>
      <c r="AB663" s="109">
        <v>0.0</v>
      </c>
      <c r="AC663" s="109">
        <v>0.0</v>
      </c>
      <c r="AD663" s="141">
        <v>0.0</v>
      </c>
      <c r="AE663" s="80">
        <v>0.0</v>
      </c>
      <c r="AF663" s="140">
        <v>0.0</v>
      </c>
      <c r="AG663" s="109">
        <v>180.0</v>
      </c>
      <c r="AH663" s="109">
        <v>34.0</v>
      </c>
      <c r="AI663" s="141">
        <v>0.0</v>
      </c>
      <c r="AJ663" s="80">
        <v>214.0</v>
      </c>
      <c r="AK663" s="140">
        <v>0.0</v>
      </c>
      <c r="AL663" s="109">
        <v>0.0</v>
      </c>
      <c r="AM663" s="141">
        <v>0.0</v>
      </c>
      <c r="AN663" s="80">
        <v>0.0</v>
      </c>
      <c r="AO663" s="140">
        <v>0.0</v>
      </c>
      <c r="AP663" s="109">
        <v>0.0</v>
      </c>
      <c r="AQ663" s="109">
        <v>58.0</v>
      </c>
      <c r="AR663" s="80">
        <v>58.0</v>
      </c>
      <c r="AS663" s="110">
        <v>0.0</v>
      </c>
      <c r="AT663" s="110">
        <v>0.0</v>
      </c>
      <c r="AU663" s="110">
        <v>0.0</v>
      </c>
      <c r="AV663" s="142">
        <v>0.0</v>
      </c>
      <c r="AW663" s="80">
        <v>0.0</v>
      </c>
      <c r="AX663" s="113">
        <v>272.0</v>
      </c>
      <c r="AY663" s="117">
        <v>180.0</v>
      </c>
      <c r="AZ663" s="328">
        <v>92.0</v>
      </c>
      <c r="BA663" s="315">
        <v>0.0</v>
      </c>
      <c r="BB663" s="316">
        <v>272.0</v>
      </c>
      <c r="BC663" s="132" t="s">
        <v>373</v>
      </c>
      <c r="BD663" s="132" t="s">
        <v>178</v>
      </c>
      <c r="BE663" s="132" t="s">
        <v>178</v>
      </c>
      <c r="BF663" s="123"/>
      <c r="BG663" s="83">
        <v>1178378.0</v>
      </c>
      <c r="BH663" s="112">
        <v>8.0</v>
      </c>
      <c r="BI663" s="98" t="s">
        <v>155</v>
      </c>
      <c r="BJ663" s="98" t="str">
        <f t="shared" si="1"/>
        <v>NÃO</v>
      </c>
      <c r="BK663" s="98" t="str">
        <f t="shared" si="2"/>
        <v>NÃO</v>
      </c>
    </row>
    <row r="664" ht="15.75" customHeight="1">
      <c r="A664" s="111" t="s">
        <v>796</v>
      </c>
      <c r="B664" s="83" t="s">
        <v>2087</v>
      </c>
      <c r="C664" s="83" t="s">
        <v>68</v>
      </c>
      <c r="D664" s="83">
        <v>1120761.0</v>
      </c>
      <c r="E664" s="83"/>
      <c r="F664" s="83">
        <v>2.9024722E7</v>
      </c>
      <c r="G664" s="119" t="s">
        <v>3091</v>
      </c>
      <c r="H664" s="91" t="s">
        <v>3092</v>
      </c>
      <c r="I664" s="114" t="s">
        <v>3093</v>
      </c>
      <c r="J664" s="83" t="s">
        <v>150</v>
      </c>
      <c r="K664" s="83" t="s">
        <v>151</v>
      </c>
      <c r="L664" s="83" t="s">
        <v>152</v>
      </c>
      <c r="M664" s="82" t="s">
        <v>7491</v>
      </c>
      <c r="N664" s="82" t="s">
        <v>7492</v>
      </c>
      <c r="O664" s="82" t="s">
        <v>7493</v>
      </c>
      <c r="P664" s="82" t="s">
        <v>7494</v>
      </c>
      <c r="Q664" s="82"/>
      <c r="R664" s="82"/>
      <c r="S664" s="82" t="s">
        <v>7495</v>
      </c>
      <c r="T664" s="138">
        <v>9.0</v>
      </c>
      <c r="U664" s="323" t="s">
        <v>7496</v>
      </c>
      <c r="V664" s="106">
        <v>0.0</v>
      </c>
      <c r="W664" s="107">
        <v>0.0</v>
      </c>
      <c r="X664" s="107">
        <v>0.0</v>
      </c>
      <c r="Y664" s="107">
        <v>0.0</v>
      </c>
      <c r="Z664" s="80">
        <v>0.0</v>
      </c>
      <c r="AA664" s="140">
        <v>81.0</v>
      </c>
      <c r="AB664" s="109">
        <v>353.0</v>
      </c>
      <c r="AC664" s="109">
        <v>0.0</v>
      </c>
      <c r="AD664" s="141">
        <v>0.0</v>
      </c>
      <c r="AE664" s="80">
        <v>434.0</v>
      </c>
      <c r="AF664" s="140">
        <v>198.0</v>
      </c>
      <c r="AG664" s="109">
        <v>0.0</v>
      </c>
      <c r="AH664" s="109">
        <v>29.0</v>
      </c>
      <c r="AI664" s="141">
        <v>0.0</v>
      </c>
      <c r="AJ664" s="80">
        <v>227.0</v>
      </c>
      <c r="AK664" s="140">
        <v>0.0</v>
      </c>
      <c r="AL664" s="109">
        <v>0.0</v>
      </c>
      <c r="AM664" s="141">
        <v>11.0</v>
      </c>
      <c r="AN664" s="80">
        <v>11.0</v>
      </c>
      <c r="AO664" s="140">
        <v>0.0</v>
      </c>
      <c r="AP664" s="109">
        <v>0.0</v>
      </c>
      <c r="AQ664" s="109">
        <v>91.0</v>
      </c>
      <c r="AR664" s="80">
        <v>91.0</v>
      </c>
      <c r="AS664" s="110">
        <v>0.0</v>
      </c>
      <c r="AT664" s="110">
        <v>0.0</v>
      </c>
      <c r="AU664" s="110">
        <v>0.0</v>
      </c>
      <c r="AV664" s="142">
        <v>0.0</v>
      </c>
      <c r="AW664" s="80">
        <v>0.0</v>
      </c>
      <c r="AX664" s="113">
        <v>763.0</v>
      </c>
      <c r="AY664" s="117">
        <v>632.0</v>
      </c>
      <c r="AZ664" s="328">
        <v>131.0</v>
      </c>
      <c r="BA664" s="315">
        <v>0.0</v>
      </c>
      <c r="BB664" s="316">
        <v>763.0</v>
      </c>
      <c r="BC664" s="132" t="s">
        <v>178</v>
      </c>
      <c r="BD664" s="132" t="s">
        <v>178</v>
      </c>
      <c r="BE664" s="132" t="s">
        <v>178</v>
      </c>
      <c r="BF664" s="156"/>
      <c r="BG664" s="83">
        <v>1120761.0</v>
      </c>
      <c r="BH664" s="112">
        <v>9.0</v>
      </c>
      <c r="BI664" s="98" t="s">
        <v>155</v>
      </c>
      <c r="BJ664" s="98" t="str">
        <f t="shared" si="1"/>
        <v>NÃO</v>
      </c>
      <c r="BK664" s="98" t="str">
        <f t="shared" si="2"/>
        <v>NÃO</v>
      </c>
    </row>
    <row r="665" ht="15.75" customHeight="1">
      <c r="A665" s="111" t="s">
        <v>796</v>
      </c>
      <c r="B665" s="83" t="s">
        <v>2087</v>
      </c>
      <c r="C665" s="83" t="s">
        <v>68</v>
      </c>
      <c r="D665" s="83">
        <v>1160950.0</v>
      </c>
      <c r="E665" s="83"/>
      <c r="F665" s="83">
        <v>2.9024846E7</v>
      </c>
      <c r="G665" s="119" t="s">
        <v>3111</v>
      </c>
      <c r="H665" s="91" t="s">
        <v>3112</v>
      </c>
      <c r="I665" s="114" t="s">
        <v>3113</v>
      </c>
      <c r="J665" s="83" t="s">
        <v>150</v>
      </c>
      <c r="K665" s="83" t="s">
        <v>151</v>
      </c>
      <c r="L665" s="83" t="s">
        <v>152</v>
      </c>
      <c r="M665" s="82" t="s">
        <v>7498</v>
      </c>
      <c r="N665" s="82" t="s">
        <v>7499</v>
      </c>
      <c r="O665" s="82" t="s">
        <v>7500</v>
      </c>
      <c r="P665" s="82" t="s">
        <v>7501</v>
      </c>
      <c r="Q665" s="82" t="s">
        <v>7502</v>
      </c>
      <c r="R665" s="82" t="s">
        <v>7503</v>
      </c>
      <c r="S665" s="82" t="s">
        <v>7504</v>
      </c>
      <c r="T665" s="138">
        <v>6.0</v>
      </c>
      <c r="U665" s="323">
        <v>10.0</v>
      </c>
      <c r="V665" s="106">
        <v>0.0</v>
      </c>
      <c r="W665" s="107">
        <v>0.0</v>
      </c>
      <c r="X665" s="107">
        <v>0.0</v>
      </c>
      <c r="Y665" s="107">
        <v>0.0</v>
      </c>
      <c r="Z665" s="80">
        <v>0.0</v>
      </c>
      <c r="AA665" s="140">
        <v>0.0</v>
      </c>
      <c r="AB665" s="109">
        <v>235.0</v>
      </c>
      <c r="AC665" s="109">
        <v>0.0</v>
      </c>
      <c r="AD665" s="141">
        <v>0.0</v>
      </c>
      <c r="AE665" s="80">
        <v>235.0</v>
      </c>
      <c r="AF665" s="140">
        <v>166.0</v>
      </c>
      <c r="AG665" s="109">
        <v>0.0</v>
      </c>
      <c r="AH665" s="109">
        <v>17.0</v>
      </c>
      <c r="AI665" s="141">
        <v>0.0</v>
      </c>
      <c r="AJ665" s="80">
        <v>183.0</v>
      </c>
      <c r="AK665" s="140">
        <v>0.0</v>
      </c>
      <c r="AL665" s="109">
        <v>0.0</v>
      </c>
      <c r="AM665" s="141">
        <v>0.0</v>
      </c>
      <c r="AN665" s="80">
        <v>0.0</v>
      </c>
      <c r="AO665" s="140">
        <v>0.0</v>
      </c>
      <c r="AP665" s="109">
        <v>0.0</v>
      </c>
      <c r="AQ665" s="109">
        <v>68.0</v>
      </c>
      <c r="AR665" s="80">
        <v>68.0</v>
      </c>
      <c r="AS665" s="110">
        <v>0.0</v>
      </c>
      <c r="AT665" s="110">
        <v>0.0</v>
      </c>
      <c r="AU665" s="110">
        <v>0.0</v>
      </c>
      <c r="AV665" s="142">
        <v>0.0</v>
      </c>
      <c r="AW665" s="80">
        <v>0.0</v>
      </c>
      <c r="AX665" s="113">
        <v>486.0</v>
      </c>
      <c r="AY665" s="117">
        <v>401.0</v>
      </c>
      <c r="AZ665" s="328">
        <v>85.0</v>
      </c>
      <c r="BA665" s="315">
        <v>0.0</v>
      </c>
      <c r="BB665" s="316">
        <v>486.0</v>
      </c>
      <c r="BC665" s="132" t="s">
        <v>178</v>
      </c>
      <c r="BD665" s="132" t="s">
        <v>178</v>
      </c>
      <c r="BE665" s="132" t="s">
        <v>178</v>
      </c>
      <c r="BF665" s="123"/>
      <c r="BG665" s="83">
        <v>1160950.0</v>
      </c>
      <c r="BH665" s="98">
        <v>10.0</v>
      </c>
      <c r="BI665" s="98" t="s">
        <v>155</v>
      </c>
      <c r="BJ665" s="98" t="str">
        <f t="shared" si="1"/>
        <v>NÃO</v>
      </c>
      <c r="BK665" s="98" t="str">
        <f t="shared" si="2"/>
        <v>NÃO</v>
      </c>
    </row>
    <row r="666" ht="15.75" customHeight="1">
      <c r="A666" s="111" t="s">
        <v>796</v>
      </c>
      <c r="B666" s="83" t="s">
        <v>2087</v>
      </c>
      <c r="C666" s="83" t="s">
        <v>68</v>
      </c>
      <c r="D666" s="83">
        <v>1120389.0</v>
      </c>
      <c r="E666" s="83"/>
      <c r="F666" s="83">
        <v>2.9024862E7</v>
      </c>
      <c r="G666" s="114" t="s">
        <v>3116</v>
      </c>
      <c r="H666" s="91" t="s">
        <v>3117</v>
      </c>
      <c r="I666" s="114" t="s">
        <v>3118</v>
      </c>
      <c r="J666" s="83" t="s">
        <v>150</v>
      </c>
      <c r="K666" s="83" t="s">
        <v>151</v>
      </c>
      <c r="L666" s="83" t="s">
        <v>152</v>
      </c>
      <c r="M666" s="82" t="s">
        <v>7508</v>
      </c>
      <c r="N666" s="82" t="s">
        <v>7509</v>
      </c>
      <c r="O666" s="82" t="s">
        <v>7510</v>
      </c>
      <c r="P666" s="82" t="s">
        <v>7511</v>
      </c>
      <c r="Q666" s="82" t="s">
        <v>7512</v>
      </c>
      <c r="R666" s="82" t="s">
        <v>7513</v>
      </c>
      <c r="S666" s="82" t="s">
        <v>7514</v>
      </c>
      <c r="T666" s="138">
        <v>11.0</v>
      </c>
      <c r="U666" s="389">
        <v>10.0</v>
      </c>
      <c r="V666" s="106">
        <v>0.0</v>
      </c>
      <c r="W666" s="107">
        <v>0.0</v>
      </c>
      <c r="X666" s="107">
        <v>0.0</v>
      </c>
      <c r="Y666" s="107">
        <v>0.0</v>
      </c>
      <c r="Z666" s="80">
        <v>0.0</v>
      </c>
      <c r="AA666" s="140">
        <v>0.0</v>
      </c>
      <c r="AB666" s="109">
        <v>69.0</v>
      </c>
      <c r="AC666" s="109">
        <v>0.0</v>
      </c>
      <c r="AD666" s="141">
        <v>0.0</v>
      </c>
      <c r="AE666" s="80">
        <v>69.0</v>
      </c>
      <c r="AF666" s="140">
        <v>215.0</v>
      </c>
      <c r="AG666" s="109">
        <v>59.0</v>
      </c>
      <c r="AH666" s="109">
        <v>30.0</v>
      </c>
      <c r="AI666" s="141">
        <v>0.0</v>
      </c>
      <c r="AJ666" s="80">
        <v>304.0</v>
      </c>
      <c r="AK666" s="140">
        <v>0.0</v>
      </c>
      <c r="AL666" s="109">
        <v>0.0</v>
      </c>
      <c r="AM666" s="141">
        <v>0.0</v>
      </c>
      <c r="AN666" s="80">
        <v>0.0</v>
      </c>
      <c r="AO666" s="140">
        <v>0.0</v>
      </c>
      <c r="AP666" s="109">
        <v>0.0</v>
      </c>
      <c r="AQ666" s="109">
        <v>71.0</v>
      </c>
      <c r="AR666" s="80">
        <v>71.0</v>
      </c>
      <c r="AS666" s="110">
        <v>0.0</v>
      </c>
      <c r="AT666" s="110">
        <v>0.0</v>
      </c>
      <c r="AU666" s="110">
        <v>0.0</v>
      </c>
      <c r="AV666" s="142">
        <v>0.0</v>
      </c>
      <c r="AW666" s="80">
        <v>0.0</v>
      </c>
      <c r="AX666" s="113">
        <v>444.0</v>
      </c>
      <c r="AY666" s="117">
        <v>343.0</v>
      </c>
      <c r="AZ666" s="328">
        <v>101.0</v>
      </c>
      <c r="BA666" s="315">
        <v>0.0</v>
      </c>
      <c r="BB666" s="316">
        <v>444.0</v>
      </c>
      <c r="BC666" s="132" t="s">
        <v>178</v>
      </c>
      <c r="BD666" s="132" t="s">
        <v>178</v>
      </c>
      <c r="BE666" s="132" t="s">
        <v>178</v>
      </c>
      <c r="BF666" s="123"/>
      <c r="BG666" s="83">
        <v>1120389.0</v>
      </c>
      <c r="BH666" s="112">
        <v>10.0</v>
      </c>
      <c r="BI666" s="98" t="s">
        <v>155</v>
      </c>
      <c r="BJ666" s="98" t="str">
        <f t="shared" si="1"/>
        <v>NÃO</v>
      </c>
      <c r="BK666" s="98" t="str">
        <f t="shared" si="2"/>
        <v>NÃO</v>
      </c>
    </row>
    <row r="667" ht="15.75" customHeight="1">
      <c r="A667" s="111" t="s">
        <v>796</v>
      </c>
      <c r="B667" s="83" t="s">
        <v>2087</v>
      </c>
      <c r="C667" s="83" t="s">
        <v>68</v>
      </c>
      <c r="D667" s="83">
        <v>1176930.0</v>
      </c>
      <c r="E667" s="83"/>
      <c r="F667" s="83">
        <v>2.9408628E7</v>
      </c>
      <c r="G667" s="114" t="s">
        <v>3122</v>
      </c>
      <c r="H667" s="91" t="s">
        <v>3123</v>
      </c>
      <c r="I667" s="114" t="s">
        <v>3124</v>
      </c>
      <c r="J667" s="83" t="s">
        <v>150</v>
      </c>
      <c r="K667" s="83" t="s">
        <v>151</v>
      </c>
      <c r="L667" s="83" t="s">
        <v>152</v>
      </c>
      <c r="M667" s="82" t="s">
        <v>7517</v>
      </c>
      <c r="N667" s="82" t="s">
        <v>7519</v>
      </c>
      <c r="O667" s="82" t="s">
        <v>7521</v>
      </c>
      <c r="P667" s="82" t="s">
        <v>7522</v>
      </c>
      <c r="Q667" s="82" t="s">
        <v>7523</v>
      </c>
      <c r="R667" s="82" t="s">
        <v>7524</v>
      </c>
      <c r="S667" s="82" t="s">
        <v>7525</v>
      </c>
      <c r="T667" s="138">
        <v>11.0</v>
      </c>
      <c r="U667" s="323">
        <v>11.0</v>
      </c>
      <c r="V667" s="106">
        <v>0.0</v>
      </c>
      <c r="W667" s="107">
        <v>0.0</v>
      </c>
      <c r="X667" s="107">
        <v>0.0</v>
      </c>
      <c r="Y667" s="107">
        <v>0.0</v>
      </c>
      <c r="Z667" s="80">
        <v>0.0</v>
      </c>
      <c r="AA667" s="140">
        <v>196.0</v>
      </c>
      <c r="AB667" s="109">
        <v>154.0</v>
      </c>
      <c r="AC667" s="109">
        <v>0.0</v>
      </c>
      <c r="AD667" s="141">
        <v>0.0</v>
      </c>
      <c r="AE667" s="80">
        <v>350.0</v>
      </c>
      <c r="AF667" s="140">
        <v>142.0</v>
      </c>
      <c r="AG667" s="109">
        <v>92.0</v>
      </c>
      <c r="AH667" s="109">
        <v>0.0</v>
      </c>
      <c r="AI667" s="141">
        <v>0.0</v>
      </c>
      <c r="AJ667" s="80">
        <v>234.0</v>
      </c>
      <c r="AK667" s="140">
        <v>0.0</v>
      </c>
      <c r="AL667" s="109">
        <v>0.0</v>
      </c>
      <c r="AM667" s="141">
        <v>0.0</v>
      </c>
      <c r="AN667" s="80">
        <v>0.0</v>
      </c>
      <c r="AO667" s="140">
        <v>0.0</v>
      </c>
      <c r="AP667" s="109">
        <v>0.0</v>
      </c>
      <c r="AQ667" s="109">
        <v>77.0</v>
      </c>
      <c r="AR667" s="80">
        <v>77.0</v>
      </c>
      <c r="AS667" s="110">
        <v>0.0</v>
      </c>
      <c r="AT667" s="110">
        <v>0.0</v>
      </c>
      <c r="AU667" s="110">
        <v>0.0</v>
      </c>
      <c r="AV667" s="142">
        <v>0.0</v>
      </c>
      <c r="AW667" s="80">
        <v>0.0</v>
      </c>
      <c r="AX667" s="113">
        <v>661.0</v>
      </c>
      <c r="AY667" s="117">
        <v>584.0</v>
      </c>
      <c r="AZ667" s="328">
        <v>77.0</v>
      </c>
      <c r="BA667" s="315">
        <v>0.0</v>
      </c>
      <c r="BB667" s="316">
        <v>661.0</v>
      </c>
      <c r="BC667" s="132" t="s">
        <v>178</v>
      </c>
      <c r="BD667" s="132" t="s">
        <v>178</v>
      </c>
      <c r="BE667" s="132" t="s">
        <v>178</v>
      </c>
      <c r="BF667" s="156"/>
      <c r="BG667" s="83">
        <v>1176930.0</v>
      </c>
      <c r="BH667" s="112">
        <v>11.0</v>
      </c>
      <c r="BI667" s="98" t="s">
        <v>155</v>
      </c>
      <c r="BJ667" s="98" t="str">
        <f t="shared" si="1"/>
        <v>NÃO</v>
      </c>
      <c r="BK667" s="98" t="str">
        <f t="shared" si="2"/>
        <v>NÃO</v>
      </c>
    </row>
    <row r="668" ht="15.75" customHeight="1">
      <c r="A668" s="111" t="s">
        <v>796</v>
      </c>
      <c r="B668" s="83" t="s">
        <v>2087</v>
      </c>
      <c r="C668" s="83" t="s">
        <v>68</v>
      </c>
      <c r="D668" s="83">
        <v>1120338.0</v>
      </c>
      <c r="E668" s="83"/>
      <c r="F668" s="83">
        <v>2.9024765E7</v>
      </c>
      <c r="G668" s="114" t="s">
        <v>3127</v>
      </c>
      <c r="H668" s="91" t="s">
        <v>3129</v>
      </c>
      <c r="I668" s="114" t="s">
        <v>3130</v>
      </c>
      <c r="J668" s="83" t="s">
        <v>150</v>
      </c>
      <c r="K668" s="83" t="s">
        <v>151</v>
      </c>
      <c r="L668" s="83" t="s">
        <v>152</v>
      </c>
      <c r="M668" s="82" t="s">
        <v>7530</v>
      </c>
      <c r="N668" s="82" t="s">
        <v>7531</v>
      </c>
      <c r="O668" s="82" t="s">
        <v>7532</v>
      </c>
      <c r="P668" s="82" t="s">
        <v>7533</v>
      </c>
      <c r="Q668" s="82" t="s">
        <v>7534</v>
      </c>
      <c r="R668" s="82" t="s">
        <v>7535</v>
      </c>
      <c r="S668" s="82" t="s">
        <v>7536</v>
      </c>
      <c r="T668" s="138">
        <v>10.0</v>
      </c>
      <c r="U668" s="323">
        <v>10.0</v>
      </c>
      <c r="V668" s="106">
        <v>0.0</v>
      </c>
      <c r="W668" s="107">
        <v>0.0</v>
      </c>
      <c r="X668" s="107">
        <v>0.0</v>
      </c>
      <c r="Y668" s="107">
        <v>0.0</v>
      </c>
      <c r="Z668" s="80">
        <v>0.0</v>
      </c>
      <c r="AA668" s="140">
        <v>321.0</v>
      </c>
      <c r="AB668" s="109">
        <v>345.0</v>
      </c>
      <c r="AC668" s="109">
        <v>0.0</v>
      </c>
      <c r="AD668" s="141">
        <v>0.0</v>
      </c>
      <c r="AE668" s="80">
        <v>666.0</v>
      </c>
      <c r="AF668" s="140">
        <v>0.0</v>
      </c>
      <c r="AG668" s="109">
        <v>0.0</v>
      </c>
      <c r="AH668" s="109">
        <v>0.0</v>
      </c>
      <c r="AI668" s="141">
        <v>0.0</v>
      </c>
      <c r="AJ668" s="80">
        <v>0.0</v>
      </c>
      <c r="AK668" s="140">
        <v>0.0</v>
      </c>
      <c r="AL668" s="109">
        <v>0.0</v>
      </c>
      <c r="AM668" s="141">
        <v>36.0</v>
      </c>
      <c r="AN668" s="80">
        <v>36.0</v>
      </c>
      <c r="AO668" s="140">
        <v>0.0</v>
      </c>
      <c r="AP668" s="109">
        <v>0.0</v>
      </c>
      <c r="AQ668" s="109">
        <v>0.0</v>
      </c>
      <c r="AR668" s="80">
        <v>0.0</v>
      </c>
      <c r="AS668" s="110">
        <v>0.0</v>
      </c>
      <c r="AT668" s="110">
        <v>0.0</v>
      </c>
      <c r="AU668" s="110">
        <v>0.0</v>
      </c>
      <c r="AV668" s="142">
        <v>0.0</v>
      </c>
      <c r="AW668" s="80">
        <v>0.0</v>
      </c>
      <c r="AX668" s="113">
        <v>702.0</v>
      </c>
      <c r="AY668" s="117">
        <v>666.0</v>
      </c>
      <c r="AZ668" s="328">
        <v>36.0</v>
      </c>
      <c r="BA668" s="315">
        <v>4.0</v>
      </c>
      <c r="BB668" s="316">
        <v>706.0</v>
      </c>
      <c r="BC668" s="132" t="s">
        <v>178</v>
      </c>
      <c r="BD668" s="132" t="s">
        <v>178</v>
      </c>
      <c r="BE668" s="132" t="s">
        <v>178</v>
      </c>
      <c r="BF668" s="123"/>
      <c r="BG668" s="83">
        <v>1120338.0</v>
      </c>
      <c r="BH668" s="112">
        <v>10.0</v>
      </c>
      <c r="BI668" s="98" t="s">
        <v>155</v>
      </c>
      <c r="BJ668" s="98" t="str">
        <f t="shared" si="1"/>
        <v>NÃO</v>
      </c>
      <c r="BK668" s="98" t="str">
        <f t="shared" si="2"/>
        <v>NÃO</v>
      </c>
    </row>
    <row r="669" ht="15.75" customHeight="1">
      <c r="A669" s="111" t="s">
        <v>796</v>
      </c>
      <c r="B669" s="83" t="s">
        <v>2087</v>
      </c>
      <c r="C669" s="83" t="s">
        <v>68</v>
      </c>
      <c r="D669" s="83">
        <v>1161034.0</v>
      </c>
      <c r="E669" s="83"/>
      <c r="F669" s="83">
        <v>2.9024528E7</v>
      </c>
      <c r="G669" s="114" t="s">
        <v>7541</v>
      </c>
      <c r="H669" s="91" t="s">
        <v>3107</v>
      </c>
      <c r="I669" s="114" t="s">
        <v>3103</v>
      </c>
      <c r="J669" s="83" t="s">
        <v>150</v>
      </c>
      <c r="K669" s="83" t="s">
        <v>1078</v>
      </c>
      <c r="L669" s="83" t="s">
        <v>230</v>
      </c>
      <c r="M669" s="82" t="s">
        <v>7542</v>
      </c>
      <c r="N669" s="82" t="s">
        <v>7543</v>
      </c>
      <c r="O669" s="82" t="s">
        <v>7544</v>
      </c>
      <c r="P669" s="82" t="s">
        <v>7545</v>
      </c>
      <c r="Q669" s="82" t="s">
        <v>7546</v>
      </c>
      <c r="R669" s="82" t="s">
        <v>7547</v>
      </c>
      <c r="S669" s="82" t="s">
        <v>7548</v>
      </c>
      <c r="T669" s="138">
        <v>15.0</v>
      </c>
      <c r="U669" s="323">
        <v>13.0</v>
      </c>
      <c r="V669" s="106">
        <v>0.0</v>
      </c>
      <c r="W669" s="107">
        <v>0.0</v>
      </c>
      <c r="X669" s="107">
        <v>0.0</v>
      </c>
      <c r="Y669" s="107">
        <v>0.0</v>
      </c>
      <c r="Z669" s="80">
        <v>0.0</v>
      </c>
      <c r="AA669" s="140">
        <v>0.0</v>
      </c>
      <c r="AB669" s="109">
        <v>0.0</v>
      </c>
      <c r="AC669" s="109">
        <v>0.0</v>
      </c>
      <c r="AD669" s="141">
        <v>0.0</v>
      </c>
      <c r="AE669" s="80">
        <v>0.0</v>
      </c>
      <c r="AF669" s="140">
        <v>0.0</v>
      </c>
      <c r="AG669" s="109">
        <v>0.0</v>
      </c>
      <c r="AH669" s="109">
        <v>52.0</v>
      </c>
      <c r="AI669" s="141">
        <v>471.0</v>
      </c>
      <c r="AJ669" s="80">
        <v>523.0</v>
      </c>
      <c r="AK669" s="140">
        <v>0.0</v>
      </c>
      <c r="AL669" s="109">
        <v>0.0</v>
      </c>
      <c r="AM669" s="141">
        <v>0.0</v>
      </c>
      <c r="AN669" s="80">
        <v>0.0</v>
      </c>
      <c r="AO669" s="140">
        <v>0.0</v>
      </c>
      <c r="AP669" s="109">
        <v>0.0</v>
      </c>
      <c r="AQ669" s="109">
        <v>56.0</v>
      </c>
      <c r="AR669" s="80">
        <v>56.0</v>
      </c>
      <c r="AS669" s="110">
        <v>0.0</v>
      </c>
      <c r="AT669" s="110">
        <v>0.0</v>
      </c>
      <c r="AU669" s="110">
        <v>0.0</v>
      </c>
      <c r="AV669" s="142">
        <v>0.0</v>
      </c>
      <c r="AW669" s="80">
        <v>0.0</v>
      </c>
      <c r="AX669" s="113">
        <v>579.0</v>
      </c>
      <c r="AY669" s="117">
        <v>471.0</v>
      </c>
      <c r="AZ669" s="328">
        <v>108.0</v>
      </c>
      <c r="BA669" s="315">
        <v>0.0</v>
      </c>
      <c r="BB669" s="316">
        <v>579.0</v>
      </c>
      <c r="BC669" s="132" t="s">
        <v>178</v>
      </c>
      <c r="BD669" s="132" t="s">
        <v>178</v>
      </c>
      <c r="BE669" s="132" t="s">
        <v>178</v>
      </c>
      <c r="BF669" s="156"/>
      <c r="BG669" s="83">
        <v>1161034.0</v>
      </c>
      <c r="BH669" s="112">
        <v>13.0</v>
      </c>
      <c r="BI669" s="98" t="s">
        <v>155</v>
      </c>
      <c r="BJ669" s="98" t="str">
        <f t="shared" si="1"/>
        <v>INTEGRAL</v>
      </c>
      <c r="BK669" s="98" t="str">
        <f t="shared" si="2"/>
        <v>NÃO</v>
      </c>
    </row>
    <row r="670" ht="15.75" customHeight="1">
      <c r="A670" s="111" t="s">
        <v>796</v>
      </c>
      <c r="B670" s="83" t="s">
        <v>2087</v>
      </c>
      <c r="C670" s="83" t="s">
        <v>68</v>
      </c>
      <c r="D670" s="83">
        <v>1120311.0</v>
      </c>
      <c r="E670" s="83"/>
      <c r="F670" s="83">
        <v>2.9025028E7</v>
      </c>
      <c r="G670" s="114" t="s">
        <v>7550</v>
      </c>
      <c r="H670" s="91" t="s">
        <v>3133</v>
      </c>
      <c r="I670" s="114" t="s">
        <v>3134</v>
      </c>
      <c r="J670" s="83" t="s">
        <v>150</v>
      </c>
      <c r="K670" s="83" t="s">
        <v>151</v>
      </c>
      <c r="L670" s="83" t="s">
        <v>152</v>
      </c>
      <c r="M670" s="82" t="s">
        <v>7552</v>
      </c>
      <c r="N670" s="82" t="s">
        <v>171</v>
      </c>
      <c r="O670" s="82" t="s">
        <v>7553</v>
      </c>
      <c r="P670" s="82" t="s">
        <v>7554</v>
      </c>
      <c r="Q670" s="82" t="s">
        <v>7555</v>
      </c>
      <c r="R670" s="82" t="s">
        <v>7556</v>
      </c>
      <c r="S670" s="82" t="s">
        <v>7557</v>
      </c>
      <c r="T670" s="138">
        <v>16.0</v>
      </c>
      <c r="U670" s="331" t="s">
        <v>7558</v>
      </c>
      <c r="V670" s="106">
        <v>0.0</v>
      </c>
      <c r="W670" s="107">
        <v>0.0</v>
      </c>
      <c r="X670" s="107">
        <v>0.0</v>
      </c>
      <c r="Y670" s="107">
        <v>0.0</v>
      </c>
      <c r="Z670" s="80">
        <v>0.0</v>
      </c>
      <c r="AA670" s="140">
        <v>164.0</v>
      </c>
      <c r="AB670" s="109">
        <v>686.0</v>
      </c>
      <c r="AC670" s="109">
        <v>0.0</v>
      </c>
      <c r="AD670" s="141">
        <v>0.0</v>
      </c>
      <c r="AE670" s="80">
        <v>850.0</v>
      </c>
      <c r="AF670" s="140">
        <v>428.0</v>
      </c>
      <c r="AG670" s="109">
        <v>0.0</v>
      </c>
      <c r="AH670" s="109">
        <v>0.0</v>
      </c>
      <c r="AI670" s="141">
        <v>0.0</v>
      </c>
      <c r="AJ670" s="80">
        <v>428.0</v>
      </c>
      <c r="AK670" s="140">
        <v>0.0</v>
      </c>
      <c r="AL670" s="109">
        <v>0.0</v>
      </c>
      <c r="AM670" s="141">
        <v>0.0</v>
      </c>
      <c r="AN670" s="80">
        <v>0.0</v>
      </c>
      <c r="AO670" s="140">
        <v>0.0</v>
      </c>
      <c r="AP670" s="109">
        <v>0.0</v>
      </c>
      <c r="AQ670" s="109">
        <v>0.0</v>
      </c>
      <c r="AR670" s="80">
        <v>0.0</v>
      </c>
      <c r="AS670" s="110">
        <v>0.0</v>
      </c>
      <c r="AT670" s="110">
        <v>0.0</v>
      </c>
      <c r="AU670" s="110">
        <v>0.0</v>
      </c>
      <c r="AV670" s="142">
        <v>0.0</v>
      </c>
      <c r="AW670" s="80">
        <v>0.0</v>
      </c>
      <c r="AX670" s="113">
        <v>1278.0</v>
      </c>
      <c r="AY670" s="117">
        <v>1278.0</v>
      </c>
      <c r="AZ670" s="328">
        <v>0.0</v>
      </c>
      <c r="BA670" s="315">
        <v>1.0</v>
      </c>
      <c r="BB670" s="316">
        <v>1279.0</v>
      </c>
      <c r="BC670" s="143" t="s">
        <v>1014</v>
      </c>
      <c r="BD670" s="132" t="s">
        <v>178</v>
      </c>
      <c r="BE670" s="132" t="s">
        <v>178</v>
      </c>
      <c r="BF670" s="123"/>
      <c r="BG670" s="83">
        <v>1120311.0</v>
      </c>
      <c r="BH670" s="112">
        <v>16.0</v>
      </c>
      <c r="BI670" s="98" t="s">
        <v>155</v>
      </c>
      <c r="BJ670" s="98" t="str">
        <f t="shared" si="1"/>
        <v>NÃO</v>
      </c>
      <c r="BK670" s="98" t="str">
        <f t="shared" si="2"/>
        <v>NÃO</v>
      </c>
    </row>
    <row r="671" ht="15.75" customHeight="1">
      <c r="A671" s="111" t="s">
        <v>796</v>
      </c>
      <c r="B671" s="83" t="s">
        <v>2087</v>
      </c>
      <c r="C671" s="83" t="s">
        <v>68</v>
      </c>
      <c r="D671" s="83">
        <v>1161085.0</v>
      </c>
      <c r="E671" s="83"/>
      <c r="F671" s="83">
        <v>2.9024641E7</v>
      </c>
      <c r="G671" s="114" t="s">
        <v>3137</v>
      </c>
      <c r="H671" s="91" t="s">
        <v>3138</v>
      </c>
      <c r="I671" s="114" t="s">
        <v>3139</v>
      </c>
      <c r="J671" s="83" t="s">
        <v>150</v>
      </c>
      <c r="K671" s="83" t="s">
        <v>151</v>
      </c>
      <c r="L671" s="83" t="s">
        <v>230</v>
      </c>
      <c r="M671" s="82" t="s">
        <v>7561</v>
      </c>
      <c r="N671" s="82" t="s">
        <v>7562</v>
      </c>
      <c r="O671" s="82" t="s">
        <v>7563</v>
      </c>
      <c r="P671" s="82" t="s">
        <v>7564</v>
      </c>
      <c r="Q671" s="82" t="s">
        <v>7565</v>
      </c>
      <c r="R671" s="82" t="s">
        <v>7566</v>
      </c>
      <c r="S671" s="82" t="s">
        <v>7567</v>
      </c>
      <c r="T671" s="138">
        <v>23.0</v>
      </c>
      <c r="U671" s="323">
        <v>19.0</v>
      </c>
      <c r="V671" s="106">
        <v>0.0</v>
      </c>
      <c r="W671" s="107">
        <v>0.0</v>
      </c>
      <c r="X671" s="107">
        <v>0.0</v>
      </c>
      <c r="Y671" s="107">
        <v>0.0</v>
      </c>
      <c r="Z671" s="80">
        <v>0.0</v>
      </c>
      <c r="AA671" s="140">
        <v>0.0</v>
      </c>
      <c r="AB671" s="109">
        <v>0.0</v>
      </c>
      <c r="AC671" s="109">
        <v>0.0</v>
      </c>
      <c r="AD671" s="141">
        <v>0.0</v>
      </c>
      <c r="AE671" s="80">
        <v>0.0</v>
      </c>
      <c r="AF671" s="140">
        <v>0.0</v>
      </c>
      <c r="AG671" s="109">
        <v>0.0</v>
      </c>
      <c r="AH671" s="109">
        <v>0.0</v>
      </c>
      <c r="AI671" s="141">
        <v>0.0</v>
      </c>
      <c r="AJ671" s="80">
        <v>0.0</v>
      </c>
      <c r="AK671" s="140">
        <v>0.0</v>
      </c>
      <c r="AL671" s="109">
        <v>0.0</v>
      </c>
      <c r="AM671" s="141">
        <v>0.0</v>
      </c>
      <c r="AN671" s="80">
        <v>0.0</v>
      </c>
      <c r="AO671" s="140">
        <v>0.0</v>
      </c>
      <c r="AP671" s="109">
        <v>0.0</v>
      </c>
      <c r="AQ671" s="109">
        <v>0.0</v>
      </c>
      <c r="AR671" s="80">
        <v>0.0</v>
      </c>
      <c r="AS671" s="110">
        <v>555.0</v>
      </c>
      <c r="AT671" s="110">
        <v>316.0</v>
      </c>
      <c r="AU671" s="110">
        <v>196.0</v>
      </c>
      <c r="AV671" s="142">
        <v>0.0</v>
      </c>
      <c r="AW671" s="80">
        <v>1067.0</v>
      </c>
      <c r="AX671" s="113">
        <v>1067.0</v>
      </c>
      <c r="AY671" s="117">
        <v>871.0</v>
      </c>
      <c r="AZ671" s="328">
        <v>196.0</v>
      </c>
      <c r="BA671" s="315">
        <v>0.0</v>
      </c>
      <c r="BB671" s="316">
        <v>1067.0</v>
      </c>
      <c r="BC671" s="132" t="s">
        <v>178</v>
      </c>
      <c r="BD671" s="132" t="s">
        <v>522</v>
      </c>
      <c r="BE671" s="132" t="s">
        <v>178</v>
      </c>
      <c r="BF671" s="156"/>
      <c r="BG671" s="83">
        <v>1161085.0</v>
      </c>
      <c r="BH671" s="112">
        <v>19.0</v>
      </c>
      <c r="BI671" s="98" t="s">
        <v>155</v>
      </c>
      <c r="BJ671" s="98" t="str">
        <f t="shared" si="1"/>
        <v>NÃO</v>
      </c>
      <c r="BK671" s="98" t="str">
        <f t="shared" si="2"/>
        <v>PROFISSIONAL</v>
      </c>
    </row>
    <row r="672" ht="15.75" customHeight="1">
      <c r="A672" s="111" t="s">
        <v>796</v>
      </c>
      <c r="B672" s="83" t="s">
        <v>2087</v>
      </c>
      <c r="C672" s="83" t="s">
        <v>68</v>
      </c>
      <c r="D672" s="83">
        <v>1179111.0</v>
      </c>
      <c r="E672" s="83"/>
      <c r="F672" s="83">
        <v>2.9456509E7</v>
      </c>
      <c r="G672" s="114" t="s">
        <v>3149</v>
      </c>
      <c r="H672" s="91" t="s">
        <v>3150</v>
      </c>
      <c r="I672" s="114" t="s">
        <v>3151</v>
      </c>
      <c r="J672" s="83" t="s">
        <v>150</v>
      </c>
      <c r="K672" s="83" t="s">
        <v>151</v>
      </c>
      <c r="L672" s="83" t="s">
        <v>230</v>
      </c>
      <c r="M672" s="82" t="s">
        <v>7256</v>
      </c>
      <c r="N672" s="82" t="s">
        <v>7257</v>
      </c>
      <c r="O672" s="82" t="s">
        <v>7259</v>
      </c>
      <c r="P672" s="82" t="s">
        <v>7260</v>
      </c>
      <c r="Q672" s="82" t="s">
        <v>7261</v>
      </c>
      <c r="R672" s="82" t="s">
        <v>7262</v>
      </c>
      <c r="S672" s="82" t="s">
        <v>7263</v>
      </c>
      <c r="T672" s="138" t="s">
        <v>171</v>
      </c>
      <c r="U672" s="339" t="s">
        <v>533</v>
      </c>
      <c r="V672" s="355">
        <v>0.0</v>
      </c>
      <c r="W672" s="246">
        <v>0.0</v>
      </c>
      <c r="X672" s="246">
        <v>0.0</v>
      </c>
      <c r="Y672" s="246">
        <v>0.0</v>
      </c>
      <c r="Z672" s="80">
        <v>0.0</v>
      </c>
      <c r="AA672" s="140">
        <v>0.0</v>
      </c>
      <c r="AB672" s="109">
        <v>0.0</v>
      </c>
      <c r="AC672" s="109">
        <v>0.0</v>
      </c>
      <c r="AD672" s="141">
        <v>0.0</v>
      </c>
      <c r="AE672" s="80">
        <v>0.0</v>
      </c>
      <c r="AF672" s="140">
        <v>0.0</v>
      </c>
      <c r="AG672" s="109">
        <v>0.0</v>
      </c>
      <c r="AH672" s="109">
        <v>0.0</v>
      </c>
      <c r="AI672" s="141">
        <v>0.0</v>
      </c>
      <c r="AJ672" s="80">
        <v>0.0</v>
      </c>
      <c r="AK672" s="140">
        <v>0.0</v>
      </c>
      <c r="AL672" s="109">
        <v>0.0</v>
      </c>
      <c r="AM672" s="141">
        <v>0.0</v>
      </c>
      <c r="AN672" s="80">
        <v>0.0</v>
      </c>
      <c r="AO672" s="140">
        <v>0.0</v>
      </c>
      <c r="AP672" s="109">
        <v>0.0</v>
      </c>
      <c r="AQ672" s="109">
        <v>0.0</v>
      </c>
      <c r="AR672" s="80">
        <v>0.0</v>
      </c>
      <c r="AS672" s="110">
        <v>0.0</v>
      </c>
      <c r="AT672" s="110">
        <v>0.0</v>
      </c>
      <c r="AU672" s="110">
        <v>0.0</v>
      </c>
      <c r="AV672" s="142">
        <v>0.0</v>
      </c>
      <c r="AW672" s="80">
        <v>0.0</v>
      </c>
      <c r="AX672" s="113">
        <v>0.0</v>
      </c>
      <c r="AY672" s="117">
        <v>0.0</v>
      </c>
      <c r="AZ672" s="328">
        <v>0.0</v>
      </c>
      <c r="BA672" s="315">
        <v>0.0</v>
      </c>
      <c r="BB672" s="316">
        <v>0.0</v>
      </c>
      <c r="BC672" s="132" t="s">
        <v>178</v>
      </c>
      <c r="BD672" s="143" t="s">
        <v>227</v>
      </c>
      <c r="BE672" s="132" t="s">
        <v>178</v>
      </c>
      <c r="BF672" s="123" t="s">
        <v>534</v>
      </c>
      <c r="BG672" s="83">
        <v>1179111.0</v>
      </c>
      <c r="BH672" s="112">
        <v>0.0</v>
      </c>
      <c r="BI672" s="98" t="s">
        <v>155</v>
      </c>
      <c r="BJ672" s="98" t="str">
        <f t="shared" si="1"/>
        <v>NÃO</v>
      </c>
      <c r="BK672" s="98" t="str">
        <f t="shared" si="2"/>
        <v>NÃO</v>
      </c>
    </row>
    <row r="673" ht="15.75" customHeight="1">
      <c r="A673" s="111" t="s">
        <v>796</v>
      </c>
      <c r="B673" s="83" t="s">
        <v>2087</v>
      </c>
      <c r="C673" s="83" t="s">
        <v>68</v>
      </c>
      <c r="D673" s="83">
        <v>1120494.0</v>
      </c>
      <c r="E673" s="83"/>
      <c r="F673" s="83">
        <v>2.9024803E7</v>
      </c>
      <c r="G673" s="114" t="s">
        <v>3161</v>
      </c>
      <c r="H673" s="91" t="s">
        <v>3162</v>
      </c>
      <c r="I673" s="114" t="s">
        <v>3139</v>
      </c>
      <c r="J673" s="83" t="s">
        <v>150</v>
      </c>
      <c r="K673" s="83" t="s">
        <v>151</v>
      </c>
      <c r="L673" s="83" t="s">
        <v>230</v>
      </c>
      <c r="M673" s="82" t="s">
        <v>7574</v>
      </c>
      <c r="N673" s="82" t="s">
        <v>7575</v>
      </c>
      <c r="O673" s="82" t="s">
        <v>7577</v>
      </c>
      <c r="P673" s="82" t="s">
        <v>7578</v>
      </c>
      <c r="Q673" s="82" t="s">
        <v>7579</v>
      </c>
      <c r="R673" s="82" t="s">
        <v>7580</v>
      </c>
      <c r="S673" s="82" t="s">
        <v>7581</v>
      </c>
      <c r="T673" s="138">
        <v>12.0</v>
      </c>
      <c r="U673" s="323">
        <v>9.0</v>
      </c>
      <c r="V673" s="106">
        <v>0.0</v>
      </c>
      <c r="W673" s="107">
        <v>0.0</v>
      </c>
      <c r="X673" s="107">
        <v>0.0</v>
      </c>
      <c r="Y673" s="107">
        <v>0.0</v>
      </c>
      <c r="Z673" s="80">
        <v>0.0</v>
      </c>
      <c r="AA673" s="140">
        <v>0.0</v>
      </c>
      <c r="AB673" s="109">
        <v>0.0</v>
      </c>
      <c r="AC673" s="109">
        <v>0.0</v>
      </c>
      <c r="AD673" s="141">
        <v>0.0</v>
      </c>
      <c r="AE673" s="80">
        <v>0.0</v>
      </c>
      <c r="AF673" s="140">
        <v>0.0</v>
      </c>
      <c r="AG673" s="109">
        <v>0.0</v>
      </c>
      <c r="AH673" s="109">
        <v>0.0</v>
      </c>
      <c r="AI673" s="141">
        <v>0.0</v>
      </c>
      <c r="AJ673" s="80">
        <v>0.0</v>
      </c>
      <c r="AK673" s="140">
        <v>0.0</v>
      </c>
      <c r="AL673" s="109">
        <v>0.0</v>
      </c>
      <c r="AM673" s="141">
        <v>0.0</v>
      </c>
      <c r="AN673" s="80">
        <v>0.0</v>
      </c>
      <c r="AO673" s="140">
        <v>0.0</v>
      </c>
      <c r="AP673" s="109">
        <v>0.0</v>
      </c>
      <c r="AQ673" s="109">
        <v>0.0</v>
      </c>
      <c r="AR673" s="80">
        <v>0.0</v>
      </c>
      <c r="AS673" s="110">
        <v>293.0</v>
      </c>
      <c r="AT673" s="110">
        <v>151.0</v>
      </c>
      <c r="AU673" s="110">
        <v>151.0</v>
      </c>
      <c r="AV673" s="142">
        <v>0.0</v>
      </c>
      <c r="AW673" s="80">
        <v>595.0</v>
      </c>
      <c r="AX673" s="113">
        <v>595.0</v>
      </c>
      <c r="AY673" s="117">
        <v>444.0</v>
      </c>
      <c r="AZ673" s="328">
        <v>151.0</v>
      </c>
      <c r="BA673" s="315">
        <v>0.0</v>
      </c>
      <c r="BB673" s="316">
        <v>595.0</v>
      </c>
      <c r="BC673" s="132" t="s">
        <v>178</v>
      </c>
      <c r="BD673" s="132" t="s">
        <v>779</v>
      </c>
      <c r="BE673" s="132" t="s">
        <v>178</v>
      </c>
      <c r="BF673" s="156"/>
      <c r="BG673" s="83">
        <v>1120494.0</v>
      </c>
      <c r="BH673" s="112">
        <v>9.0</v>
      </c>
      <c r="BI673" s="98" t="s">
        <v>155</v>
      </c>
      <c r="BJ673" s="98" t="str">
        <f t="shared" si="1"/>
        <v>NÃO</v>
      </c>
      <c r="BK673" s="98" t="str">
        <f t="shared" si="2"/>
        <v>PROFISSIONAL</v>
      </c>
    </row>
    <row r="674" ht="15.75" customHeight="1">
      <c r="A674" s="111" t="s">
        <v>796</v>
      </c>
      <c r="B674" s="83" t="s">
        <v>2087</v>
      </c>
      <c r="C674" s="83" t="s">
        <v>164</v>
      </c>
      <c r="D674" s="83">
        <v>1120893.0</v>
      </c>
      <c r="E674" s="83">
        <v>1179535.0</v>
      </c>
      <c r="F674" s="83"/>
      <c r="G674" s="114" t="s">
        <v>3174</v>
      </c>
      <c r="H674" s="91" t="s">
        <v>3175</v>
      </c>
      <c r="I674" s="187" t="s">
        <v>3176</v>
      </c>
      <c r="J674" s="83" t="s">
        <v>222</v>
      </c>
      <c r="K674" s="83" t="s">
        <v>168</v>
      </c>
      <c r="L674" s="136" t="s">
        <v>169</v>
      </c>
      <c r="M674" s="82" t="s">
        <v>7426</v>
      </c>
      <c r="N674" s="82" t="s">
        <v>7427</v>
      </c>
      <c r="O674" s="82" t="s">
        <v>7428</v>
      </c>
      <c r="P674" s="82" t="s">
        <v>7429</v>
      </c>
      <c r="Q674" s="82"/>
      <c r="R674" s="82"/>
      <c r="S674" s="82" t="s">
        <v>7430</v>
      </c>
      <c r="T674" s="138">
        <v>6.0</v>
      </c>
      <c r="U674" s="393">
        <v>3.0</v>
      </c>
      <c r="V674" s="106">
        <v>0.0</v>
      </c>
      <c r="W674" s="107">
        <v>0.0</v>
      </c>
      <c r="X674" s="107">
        <v>0.0</v>
      </c>
      <c r="Y674" s="107">
        <v>0.0</v>
      </c>
      <c r="Z674" s="80">
        <v>0.0</v>
      </c>
      <c r="AA674" s="140">
        <v>0.0</v>
      </c>
      <c r="AB674" s="109">
        <v>0.0</v>
      </c>
      <c r="AC674" s="109">
        <v>0.0</v>
      </c>
      <c r="AD674" s="141">
        <v>0.0</v>
      </c>
      <c r="AE674" s="80">
        <v>0.0</v>
      </c>
      <c r="AF674" s="140">
        <v>0.0</v>
      </c>
      <c r="AG674" s="109">
        <v>0.0</v>
      </c>
      <c r="AH674" s="109">
        <v>40.0</v>
      </c>
      <c r="AI674" s="141">
        <v>0.0</v>
      </c>
      <c r="AJ674" s="80">
        <v>40.0</v>
      </c>
      <c r="AK674" s="140">
        <v>0.0</v>
      </c>
      <c r="AL674" s="109">
        <v>0.0</v>
      </c>
      <c r="AM674" s="141">
        <v>0.0</v>
      </c>
      <c r="AN674" s="80">
        <v>0.0</v>
      </c>
      <c r="AO674" s="140">
        <v>0.0</v>
      </c>
      <c r="AP674" s="109">
        <v>0.0</v>
      </c>
      <c r="AQ674" s="109">
        <v>98.0</v>
      </c>
      <c r="AR674" s="80">
        <v>98.0</v>
      </c>
      <c r="AS674" s="110">
        <v>0.0</v>
      </c>
      <c r="AT674" s="110">
        <v>0.0</v>
      </c>
      <c r="AU674" s="110">
        <v>0.0</v>
      </c>
      <c r="AV674" s="142">
        <v>0.0</v>
      </c>
      <c r="AW674" s="80">
        <v>0.0</v>
      </c>
      <c r="AX674" s="113">
        <v>138.0</v>
      </c>
      <c r="AY674" s="117">
        <v>0.0</v>
      </c>
      <c r="AZ674" s="328">
        <v>138.0</v>
      </c>
      <c r="BA674" s="315">
        <v>0.0</v>
      </c>
      <c r="BB674" s="316">
        <v>138.0</v>
      </c>
      <c r="BC674" s="132" t="s">
        <v>373</v>
      </c>
      <c r="BD674" s="132" t="s">
        <v>178</v>
      </c>
      <c r="BE674" s="132" t="s">
        <v>178</v>
      </c>
      <c r="BF674" s="156"/>
      <c r="BG674" s="83">
        <v>1179535.0</v>
      </c>
      <c r="BH674" s="112">
        <v>3.0</v>
      </c>
      <c r="BI674" s="98" t="s">
        <v>155</v>
      </c>
      <c r="BJ674" s="98" t="str">
        <f t="shared" si="1"/>
        <v>NÃO</v>
      </c>
      <c r="BK674" s="98" t="str">
        <f t="shared" si="2"/>
        <v>NÃO</v>
      </c>
    </row>
    <row r="675" ht="15.75" customHeight="1">
      <c r="A675" s="111" t="s">
        <v>796</v>
      </c>
      <c r="B675" s="83" t="s">
        <v>2087</v>
      </c>
      <c r="C675" s="83" t="s">
        <v>164</v>
      </c>
      <c r="D675" s="83">
        <v>1160950.0</v>
      </c>
      <c r="E675" s="83">
        <v>1178675.0</v>
      </c>
      <c r="F675" s="83"/>
      <c r="G675" s="114" t="s">
        <v>7595</v>
      </c>
      <c r="H675" s="91" t="s">
        <v>3183</v>
      </c>
      <c r="I675" s="114" t="s">
        <v>149</v>
      </c>
      <c r="J675" s="83" t="s">
        <v>1012</v>
      </c>
      <c r="K675" s="83" t="s">
        <v>168</v>
      </c>
      <c r="L675" s="83" t="s">
        <v>169</v>
      </c>
      <c r="M675" s="82" t="s">
        <v>7498</v>
      </c>
      <c r="N675" s="82" t="s">
        <v>7499</v>
      </c>
      <c r="O675" s="82" t="s">
        <v>7500</v>
      </c>
      <c r="P675" s="82" t="s">
        <v>7501</v>
      </c>
      <c r="Q675" s="82" t="s">
        <v>7502</v>
      </c>
      <c r="R675" s="82" t="s">
        <v>7503</v>
      </c>
      <c r="S675" s="82" t="s">
        <v>7504</v>
      </c>
      <c r="T675" s="138">
        <v>5.0</v>
      </c>
      <c r="U675" s="323">
        <v>3.0</v>
      </c>
      <c r="V675" s="106">
        <v>0.0</v>
      </c>
      <c r="W675" s="107">
        <v>0.0</v>
      </c>
      <c r="X675" s="107">
        <v>0.0</v>
      </c>
      <c r="Y675" s="107">
        <v>0.0</v>
      </c>
      <c r="Z675" s="80">
        <v>0.0</v>
      </c>
      <c r="AA675" s="140">
        <v>0.0</v>
      </c>
      <c r="AB675" s="109">
        <v>0.0</v>
      </c>
      <c r="AC675" s="109">
        <v>0.0</v>
      </c>
      <c r="AD675" s="141">
        <v>0.0</v>
      </c>
      <c r="AE675" s="80">
        <v>0.0</v>
      </c>
      <c r="AF675" s="140">
        <v>0.0</v>
      </c>
      <c r="AG675" s="109">
        <v>0.0</v>
      </c>
      <c r="AH675" s="109">
        <v>0.0</v>
      </c>
      <c r="AI675" s="141">
        <v>0.0</v>
      </c>
      <c r="AJ675" s="80">
        <v>0.0</v>
      </c>
      <c r="AK675" s="140">
        <v>0.0</v>
      </c>
      <c r="AL675" s="109">
        <v>0.0</v>
      </c>
      <c r="AM675" s="141">
        <v>0.0</v>
      </c>
      <c r="AN675" s="80">
        <v>0.0</v>
      </c>
      <c r="AO675" s="140">
        <v>3.0</v>
      </c>
      <c r="AP675" s="109">
        <v>19.0</v>
      </c>
      <c r="AQ675" s="109">
        <v>0.0</v>
      </c>
      <c r="AR675" s="80">
        <v>22.0</v>
      </c>
      <c r="AS675" s="110">
        <v>0.0</v>
      </c>
      <c r="AT675" s="110">
        <v>0.0</v>
      </c>
      <c r="AU675" s="110">
        <v>0.0</v>
      </c>
      <c r="AV675" s="142">
        <v>0.0</v>
      </c>
      <c r="AW675" s="80">
        <v>0.0</v>
      </c>
      <c r="AX675" s="113">
        <v>22.0</v>
      </c>
      <c r="AY675" s="117">
        <v>22.0</v>
      </c>
      <c r="AZ675" s="328">
        <v>0.0</v>
      </c>
      <c r="BA675" s="315">
        <v>0.0</v>
      </c>
      <c r="BB675" s="316">
        <v>22.0</v>
      </c>
      <c r="BC675" s="132" t="s">
        <v>563</v>
      </c>
      <c r="BD675" s="132" t="s">
        <v>178</v>
      </c>
      <c r="BE675" s="132" t="s">
        <v>178</v>
      </c>
      <c r="BF675" s="123"/>
      <c r="BG675" s="83">
        <v>1178675.0</v>
      </c>
      <c r="BH675" s="112">
        <v>3.0</v>
      </c>
      <c r="BI675" s="98" t="s">
        <v>155</v>
      </c>
      <c r="BJ675" s="98" t="str">
        <f t="shared" si="1"/>
        <v>NÃO</v>
      </c>
      <c r="BK675" s="98" t="str">
        <f t="shared" si="2"/>
        <v>NÃO</v>
      </c>
    </row>
    <row r="676" ht="15.75" customHeight="1">
      <c r="A676" s="111" t="s">
        <v>796</v>
      </c>
      <c r="B676" s="83" t="s">
        <v>2087</v>
      </c>
      <c r="C676" s="83" t="s">
        <v>164</v>
      </c>
      <c r="D676" s="83">
        <v>1120893.0</v>
      </c>
      <c r="E676" s="83">
        <v>1178672.0</v>
      </c>
      <c r="F676" s="83"/>
      <c r="G676" s="114" t="s">
        <v>3185</v>
      </c>
      <c r="H676" s="91" t="s">
        <v>3186</v>
      </c>
      <c r="I676" s="187" t="s">
        <v>3187</v>
      </c>
      <c r="J676" s="83" t="s">
        <v>1074</v>
      </c>
      <c r="K676" s="83" t="s">
        <v>168</v>
      </c>
      <c r="L676" s="83" t="s">
        <v>169</v>
      </c>
      <c r="M676" s="82" t="s">
        <v>7426</v>
      </c>
      <c r="N676" s="82" t="s">
        <v>7427</v>
      </c>
      <c r="O676" s="82" t="s">
        <v>7428</v>
      </c>
      <c r="P676" s="82" t="s">
        <v>7429</v>
      </c>
      <c r="Q676" s="82"/>
      <c r="R676" s="82"/>
      <c r="S676" s="82" t="s">
        <v>7430</v>
      </c>
      <c r="T676" s="138">
        <v>3.0</v>
      </c>
      <c r="U676" s="323">
        <v>3.0</v>
      </c>
      <c r="V676" s="106">
        <v>0.0</v>
      </c>
      <c r="W676" s="107">
        <v>0.0</v>
      </c>
      <c r="X676" s="107">
        <v>0.0</v>
      </c>
      <c r="Y676" s="107">
        <v>0.0</v>
      </c>
      <c r="Z676" s="80">
        <v>0.0</v>
      </c>
      <c r="AA676" s="140">
        <v>0.0</v>
      </c>
      <c r="AB676" s="109">
        <v>0.0</v>
      </c>
      <c r="AC676" s="109">
        <v>0.0</v>
      </c>
      <c r="AD676" s="141">
        <v>0.0</v>
      </c>
      <c r="AE676" s="80">
        <v>0.0</v>
      </c>
      <c r="AF676" s="140">
        <v>0.0</v>
      </c>
      <c r="AG676" s="109">
        <v>0.0</v>
      </c>
      <c r="AH676" s="109">
        <v>7.0</v>
      </c>
      <c r="AI676" s="141">
        <v>0.0</v>
      </c>
      <c r="AJ676" s="80">
        <v>7.0</v>
      </c>
      <c r="AK676" s="140">
        <v>0.0</v>
      </c>
      <c r="AL676" s="109">
        <v>0.0</v>
      </c>
      <c r="AM676" s="141">
        <v>0.0</v>
      </c>
      <c r="AN676" s="80">
        <v>0.0</v>
      </c>
      <c r="AO676" s="140">
        <v>0.0</v>
      </c>
      <c r="AP676" s="109">
        <v>0.0</v>
      </c>
      <c r="AQ676" s="109">
        <v>14.0</v>
      </c>
      <c r="AR676" s="80">
        <v>14.0</v>
      </c>
      <c r="AS676" s="110">
        <v>0.0</v>
      </c>
      <c r="AT676" s="110">
        <v>0.0</v>
      </c>
      <c r="AU676" s="110">
        <v>0.0</v>
      </c>
      <c r="AV676" s="142">
        <v>0.0</v>
      </c>
      <c r="AW676" s="80">
        <v>0.0</v>
      </c>
      <c r="AX676" s="113">
        <v>21.0</v>
      </c>
      <c r="AY676" s="117">
        <v>0.0</v>
      </c>
      <c r="AZ676" s="328">
        <v>21.0</v>
      </c>
      <c r="BA676" s="315">
        <v>0.0</v>
      </c>
      <c r="BB676" s="316">
        <v>21.0</v>
      </c>
      <c r="BC676" s="132" t="s">
        <v>373</v>
      </c>
      <c r="BD676" s="132" t="s">
        <v>178</v>
      </c>
      <c r="BE676" s="132" t="s">
        <v>178</v>
      </c>
      <c r="BF676" s="156"/>
      <c r="BG676" s="83">
        <v>1178672.0</v>
      </c>
      <c r="BH676" s="112">
        <v>3.0</v>
      </c>
      <c r="BI676" s="98" t="s">
        <v>155</v>
      </c>
      <c r="BJ676" s="98" t="str">
        <f t="shared" si="1"/>
        <v>NÃO</v>
      </c>
      <c r="BK676" s="98" t="str">
        <f t="shared" si="2"/>
        <v>NÃO</v>
      </c>
    </row>
    <row r="677" ht="15.75" customHeight="1">
      <c r="A677" s="111" t="s">
        <v>796</v>
      </c>
      <c r="B677" s="83" t="s">
        <v>2087</v>
      </c>
      <c r="C677" s="83" t="s">
        <v>164</v>
      </c>
      <c r="D677" s="83">
        <v>1120761.0</v>
      </c>
      <c r="E677" s="83">
        <v>1178197.0</v>
      </c>
      <c r="F677" s="83"/>
      <c r="G677" s="114" t="s">
        <v>3188</v>
      </c>
      <c r="H677" s="91" t="s">
        <v>3189</v>
      </c>
      <c r="I677" s="187" t="s">
        <v>3190</v>
      </c>
      <c r="J677" s="83" t="s">
        <v>1946</v>
      </c>
      <c r="K677" s="83" t="s">
        <v>168</v>
      </c>
      <c r="L677" s="83" t="s">
        <v>169</v>
      </c>
      <c r="M677" s="82" t="s">
        <v>7491</v>
      </c>
      <c r="N677" s="82" t="s">
        <v>7492</v>
      </c>
      <c r="O677" s="82" t="s">
        <v>7493</v>
      </c>
      <c r="P677" s="82" t="s">
        <v>7494</v>
      </c>
      <c r="Q677" s="82"/>
      <c r="R677" s="82"/>
      <c r="S677" s="82" t="s">
        <v>7495</v>
      </c>
      <c r="T677" s="138">
        <v>5.0</v>
      </c>
      <c r="U677" s="323">
        <v>4.0</v>
      </c>
      <c r="V677" s="106">
        <v>0.0</v>
      </c>
      <c r="W677" s="107">
        <v>0.0</v>
      </c>
      <c r="X677" s="107">
        <v>0.0</v>
      </c>
      <c r="Y677" s="107">
        <v>0.0</v>
      </c>
      <c r="Z677" s="80">
        <v>0.0</v>
      </c>
      <c r="AA677" s="140">
        <v>0.0</v>
      </c>
      <c r="AB677" s="109">
        <v>0.0</v>
      </c>
      <c r="AC677" s="109">
        <v>0.0</v>
      </c>
      <c r="AD677" s="141">
        <v>0.0</v>
      </c>
      <c r="AE677" s="80">
        <v>0.0</v>
      </c>
      <c r="AF677" s="140">
        <v>0.0</v>
      </c>
      <c r="AG677" s="109">
        <v>21.0</v>
      </c>
      <c r="AH677" s="109">
        <v>20.0</v>
      </c>
      <c r="AI677" s="141">
        <v>0.0</v>
      </c>
      <c r="AJ677" s="80">
        <v>41.0</v>
      </c>
      <c r="AK677" s="140">
        <v>0.0</v>
      </c>
      <c r="AL677" s="109">
        <v>0.0</v>
      </c>
      <c r="AM677" s="141">
        <v>0.0</v>
      </c>
      <c r="AN677" s="80">
        <v>0.0</v>
      </c>
      <c r="AO677" s="140">
        <v>0.0</v>
      </c>
      <c r="AP677" s="109">
        <v>0.0</v>
      </c>
      <c r="AQ677" s="109">
        <v>9.0</v>
      </c>
      <c r="AR677" s="80">
        <v>9.0</v>
      </c>
      <c r="AS677" s="110">
        <v>0.0</v>
      </c>
      <c r="AT677" s="110">
        <v>0.0</v>
      </c>
      <c r="AU677" s="110">
        <v>0.0</v>
      </c>
      <c r="AV677" s="142">
        <v>0.0</v>
      </c>
      <c r="AW677" s="80">
        <v>0.0</v>
      </c>
      <c r="AX677" s="113">
        <v>50.0</v>
      </c>
      <c r="AY677" s="117">
        <v>21.0</v>
      </c>
      <c r="AZ677" s="328">
        <v>29.0</v>
      </c>
      <c r="BA677" s="315">
        <v>0.0</v>
      </c>
      <c r="BB677" s="316">
        <v>50.0</v>
      </c>
      <c r="BC677" s="132" t="s">
        <v>373</v>
      </c>
      <c r="BD677" s="132" t="s">
        <v>178</v>
      </c>
      <c r="BE677" s="132" t="s">
        <v>178</v>
      </c>
      <c r="BF677" s="123"/>
      <c r="BG677" s="83">
        <v>1178197.0</v>
      </c>
      <c r="BH677" s="112">
        <v>4.0</v>
      </c>
      <c r="BI677" s="98" t="s">
        <v>155</v>
      </c>
      <c r="BJ677" s="98" t="str">
        <f t="shared" si="1"/>
        <v>NÃO</v>
      </c>
      <c r="BK677" s="98" t="str">
        <f t="shared" si="2"/>
        <v>NÃO</v>
      </c>
    </row>
    <row r="678" ht="15.75" customHeight="1">
      <c r="A678" s="111" t="s">
        <v>796</v>
      </c>
      <c r="B678" s="83" t="s">
        <v>2087</v>
      </c>
      <c r="C678" s="83" t="s">
        <v>164</v>
      </c>
      <c r="D678" s="83">
        <v>1178255.0</v>
      </c>
      <c r="E678" s="83">
        <v>1178670.0</v>
      </c>
      <c r="F678" s="83"/>
      <c r="G678" s="114" t="s">
        <v>7611</v>
      </c>
      <c r="H678" s="91" t="s">
        <v>3205</v>
      </c>
      <c r="I678" s="187" t="s">
        <v>149</v>
      </c>
      <c r="J678" s="83" t="s">
        <v>705</v>
      </c>
      <c r="K678" s="83" t="s">
        <v>168</v>
      </c>
      <c r="L678" s="83" t="s">
        <v>169</v>
      </c>
      <c r="M678" s="82" t="s">
        <v>7437</v>
      </c>
      <c r="N678" s="82" t="s">
        <v>7438</v>
      </c>
      <c r="O678" s="82"/>
      <c r="P678" s="82"/>
      <c r="Q678" s="82"/>
      <c r="R678" s="82"/>
      <c r="S678" s="82" t="s">
        <v>7439</v>
      </c>
      <c r="T678" s="138">
        <v>3.0</v>
      </c>
      <c r="U678" s="323">
        <v>3.0</v>
      </c>
      <c r="V678" s="106">
        <v>0.0</v>
      </c>
      <c r="W678" s="107">
        <v>0.0</v>
      </c>
      <c r="X678" s="107">
        <v>0.0</v>
      </c>
      <c r="Y678" s="107">
        <v>0.0</v>
      </c>
      <c r="Z678" s="80">
        <v>0.0</v>
      </c>
      <c r="AA678" s="140">
        <v>0.0</v>
      </c>
      <c r="AB678" s="109">
        <v>0.0</v>
      </c>
      <c r="AC678" s="109">
        <v>0.0</v>
      </c>
      <c r="AD678" s="141">
        <v>0.0</v>
      </c>
      <c r="AE678" s="80">
        <v>0.0</v>
      </c>
      <c r="AF678" s="140">
        <v>0.0</v>
      </c>
      <c r="AG678" s="109">
        <v>0.0</v>
      </c>
      <c r="AH678" s="109">
        <v>18.0</v>
      </c>
      <c r="AI678" s="141">
        <v>0.0</v>
      </c>
      <c r="AJ678" s="80">
        <v>18.0</v>
      </c>
      <c r="AK678" s="140">
        <v>0.0</v>
      </c>
      <c r="AL678" s="109">
        <v>0.0</v>
      </c>
      <c r="AM678" s="141">
        <v>0.0</v>
      </c>
      <c r="AN678" s="80">
        <v>0.0</v>
      </c>
      <c r="AO678" s="140">
        <v>0.0</v>
      </c>
      <c r="AP678" s="109">
        <v>0.0</v>
      </c>
      <c r="AQ678" s="109">
        <v>43.0</v>
      </c>
      <c r="AR678" s="80">
        <v>43.0</v>
      </c>
      <c r="AS678" s="110">
        <v>0.0</v>
      </c>
      <c r="AT678" s="110">
        <v>0.0</v>
      </c>
      <c r="AU678" s="110">
        <v>0.0</v>
      </c>
      <c r="AV678" s="142">
        <v>0.0</v>
      </c>
      <c r="AW678" s="80">
        <v>0.0</v>
      </c>
      <c r="AX678" s="113">
        <v>61.0</v>
      </c>
      <c r="AY678" s="117">
        <v>0.0</v>
      </c>
      <c r="AZ678" s="328">
        <v>61.0</v>
      </c>
      <c r="BA678" s="315">
        <v>0.0</v>
      </c>
      <c r="BB678" s="316">
        <v>61.0</v>
      </c>
      <c r="BC678" s="132" t="s">
        <v>373</v>
      </c>
      <c r="BD678" s="132" t="s">
        <v>178</v>
      </c>
      <c r="BE678" s="132" t="s">
        <v>178</v>
      </c>
      <c r="BF678" s="123"/>
      <c r="BG678" s="83">
        <v>1178670.0</v>
      </c>
      <c r="BH678" s="112">
        <v>3.0</v>
      </c>
      <c r="BI678" s="98" t="s">
        <v>155</v>
      </c>
      <c r="BJ678" s="98" t="str">
        <f t="shared" si="1"/>
        <v>NÃO</v>
      </c>
      <c r="BK678" s="98" t="str">
        <f t="shared" si="2"/>
        <v>NÃO</v>
      </c>
    </row>
    <row r="679" ht="15.75" customHeight="1">
      <c r="A679" s="111" t="s">
        <v>796</v>
      </c>
      <c r="B679" s="83" t="s">
        <v>2087</v>
      </c>
      <c r="C679" s="83" t="s">
        <v>164</v>
      </c>
      <c r="D679" s="83">
        <v>1178255.0</v>
      </c>
      <c r="E679" s="83">
        <v>1178671.0</v>
      </c>
      <c r="F679" s="83"/>
      <c r="G679" s="114" t="s">
        <v>7616</v>
      </c>
      <c r="H679" s="91" t="s">
        <v>3207</v>
      </c>
      <c r="I679" s="114" t="s">
        <v>149</v>
      </c>
      <c r="J679" s="83" t="s">
        <v>252</v>
      </c>
      <c r="K679" s="83" t="s">
        <v>168</v>
      </c>
      <c r="L679" s="83" t="s">
        <v>169</v>
      </c>
      <c r="M679" s="82" t="s">
        <v>7437</v>
      </c>
      <c r="N679" s="82" t="s">
        <v>7438</v>
      </c>
      <c r="O679" s="82"/>
      <c r="P679" s="82"/>
      <c r="Q679" s="82"/>
      <c r="R679" s="82"/>
      <c r="S679" s="82" t="s">
        <v>7439</v>
      </c>
      <c r="T679" s="138">
        <v>3.0</v>
      </c>
      <c r="U679" s="323">
        <v>3.0</v>
      </c>
      <c r="V679" s="106">
        <v>0.0</v>
      </c>
      <c r="W679" s="107">
        <v>0.0</v>
      </c>
      <c r="X679" s="107">
        <v>0.0</v>
      </c>
      <c r="Y679" s="107">
        <v>0.0</v>
      </c>
      <c r="Z679" s="80">
        <v>0.0</v>
      </c>
      <c r="AA679" s="140">
        <v>0.0</v>
      </c>
      <c r="AB679" s="109">
        <v>0.0</v>
      </c>
      <c r="AC679" s="109">
        <v>0.0</v>
      </c>
      <c r="AD679" s="141">
        <v>0.0</v>
      </c>
      <c r="AE679" s="80">
        <v>0.0</v>
      </c>
      <c r="AF679" s="140">
        <v>0.0</v>
      </c>
      <c r="AG679" s="109">
        <v>0.0</v>
      </c>
      <c r="AH679" s="109">
        <v>18.0</v>
      </c>
      <c r="AI679" s="141">
        <v>0.0</v>
      </c>
      <c r="AJ679" s="80">
        <v>18.0</v>
      </c>
      <c r="AK679" s="140">
        <v>0.0</v>
      </c>
      <c r="AL679" s="109">
        <v>0.0</v>
      </c>
      <c r="AM679" s="141">
        <v>0.0</v>
      </c>
      <c r="AN679" s="80">
        <v>0.0</v>
      </c>
      <c r="AO679" s="140">
        <v>0.0</v>
      </c>
      <c r="AP679" s="109">
        <v>0.0</v>
      </c>
      <c r="AQ679" s="109">
        <v>25.0</v>
      </c>
      <c r="AR679" s="80">
        <v>25.0</v>
      </c>
      <c r="AS679" s="110">
        <v>0.0</v>
      </c>
      <c r="AT679" s="110">
        <v>0.0</v>
      </c>
      <c r="AU679" s="110">
        <v>0.0</v>
      </c>
      <c r="AV679" s="142">
        <v>0.0</v>
      </c>
      <c r="AW679" s="80">
        <v>0.0</v>
      </c>
      <c r="AX679" s="113">
        <v>43.0</v>
      </c>
      <c r="AY679" s="117">
        <v>0.0</v>
      </c>
      <c r="AZ679" s="328">
        <v>43.0</v>
      </c>
      <c r="BA679" s="315">
        <v>0.0</v>
      </c>
      <c r="BB679" s="316">
        <v>43.0</v>
      </c>
      <c r="BC679" s="132" t="s">
        <v>373</v>
      </c>
      <c r="BD679" s="132" t="s">
        <v>178</v>
      </c>
      <c r="BE679" s="132" t="s">
        <v>178</v>
      </c>
      <c r="BF679" s="123"/>
      <c r="BG679" s="83">
        <v>1178671.0</v>
      </c>
      <c r="BH679" s="112">
        <v>3.0</v>
      </c>
      <c r="BI679" s="98" t="s">
        <v>155</v>
      </c>
      <c r="BJ679" s="98" t="str">
        <f t="shared" si="1"/>
        <v>NÃO</v>
      </c>
      <c r="BK679" s="98" t="str">
        <f t="shared" si="2"/>
        <v>NÃO</v>
      </c>
    </row>
    <row r="680" ht="15.75" customHeight="1">
      <c r="A680" s="111" t="s">
        <v>796</v>
      </c>
      <c r="B680" s="83" t="s">
        <v>2087</v>
      </c>
      <c r="C680" s="83" t="s">
        <v>164</v>
      </c>
      <c r="D680" s="83">
        <v>1120664.0</v>
      </c>
      <c r="E680" s="83">
        <v>1178212.0</v>
      </c>
      <c r="F680" s="83"/>
      <c r="G680" s="114" t="s">
        <v>7621</v>
      </c>
      <c r="H680" s="91" t="s">
        <v>3209</v>
      </c>
      <c r="I680" s="187" t="s">
        <v>3210</v>
      </c>
      <c r="J680" s="136" t="s">
        <v>1946</v>
      </c>
      <c r="K680" s="83" t="s">
        <v>168</v>
      </c>
      <c r="L680" s="83" t="s">
        <v>169</v>
      </c>
      <c r="M680" s="82" t="s">
        <v>7444</v>
      </c>
      <c r="N680" s="82" t="s">
        <v>7445</v>
      </c>
      <c r="O680" s="82" t="s">
        <v>7446</v>
      </c>
      <c r="P680" s="82" t="s">
        <v>7447</v>
      </c>
      <c r="Q680" s="82" t="s">
        <v>7448</v>
      </c>
      <c r="R680" s="82" t="s">
        <v>7449</v>
      </c>
      <c r="S680" s="82" t="s">
        <v>7450</v>
      </c>
      <c r="T680" s="138">
        <v>3.0</v>
      </c>
      <c r="U680" s="323">
        <v>3.0</v>
      </c>
      <c r="V680" s="106">
        <v>0.0</v>
      </c>
      <c r="W680" s="107">
        <v>0.0</v>
      </c>
      <c r="X680" s="107">
        <v>0.0</v>
      </c>
      <c r="Y680" s="107">
        <v>0.0</v>
      </c>
      <c r="Z680" s="80">
        <v>0.0</v>
      </c>
      <c r="AA680" s="140">
        <v>0.0</v>
      </c>
      <c r="AB680" s="109">
        <v>0.0</v>
      </c>
      <c r="AC680" s="109">
        <v>0.0</v>
      </c>
      <c r="AD680" s="141">
        <v>0.0</v>
      </c>
      <c r="AE680" s="80">
        <v>0.0</v>
      </c>
      <c r="AF680" s="140">
        <v>0.0</v>
      </c>
      <c r="AG680" s="109">
        <v>54.0</v>
      </c>
      <c r="AH680" s="109">
        <v>7.0</v>
      </c>
      <c r="AI680" s="141">
        <v>0.0</v>
      </c>
      <c r="AJ680" s="80">
        <v>61.0</v>
      </c>
      <c r="AK680" s="140">
        <v>0.0</v>
      </c>
      <c r="AL680" s="109">
        <v>0.0</v>
      </c>
      <c r="AM680" s="141">
        <v>0.0</v>
      </c>
      <c r="AN680" s="80">
        <v>0.0</v>
      </c>
      <c r="AO680" s="140">
        <v>0.0</v>
      </c>
      <c r="AP680" s="109">
        <v>0.0</v>
      </c>
      <c r="AQ680" s="109">
        <v>11.0</v>
      </c>
      <c r="AR680" s="80">
        <v>11.0</v>
      </c>
      <c r="AS680" s="110">
        <v>0.0</v>
      </c>
      <c r="AT680" s="110">
        <v>0.0</v>
      </c>
      <c r="AU680" s="110">
        <v>0.0</v>
      </c>
      <c r="AV680" s="142">
        <v>0.0</v>
      </c>
      <c r="AW680" s="80">
        <v>0.0</v>
      </c>
      <c r="AX680" s="113">
        <v>72.0</v>
      </c>
      <c r="AY680" s="117">
        <v>54.0</v>
      </c>
      <c r="AZ680" s="328">
        <v>18.0</v>
      </c>
      <c r="BA680" s="315">
        <v>0.0</v>
      </c>
      <c r="BB680" s="316">
        <v>72.0</v>
      </c>
      <c r="BC680" s="132" t="s">
        <v>373</v>
      </c>
      <c r="BD680" s="132" t="s">
        <v>178</v>
      </c>
      <c r="BE680" s="132" t="s">
        <v>178</v>
      </c>
      <c r="BF680" s="123"/>
      <c r="BG680" s="83">
        <v>1178212.0</v>
      </c>
      <c r="BH680" s="112">
        <v>3.0</v>
      </c>
      <c r="BI680" s="98" t="s">
        <v>155</v>
      </c>
      <c r="BJ680" s="98" t="str">
        <f t="shared" si="1"/>
        <v>NÃO</v>
      </c>
      <c r="BK680" s="98" t="str">
        <f t="shared" si="2"/>
        <v>NÃO</v>
      </c>
    </row>
    <row r="681" ht="15.75" customHeight="1">
      <c r="A681" s="111" t="s">
        <v>796</v>
      </c>
      <c r="B681" s="83" t="s">
        <v>2087</v>
      </c>
      <c r="C681" s="83" t="s">
        <v>164</v>
      </c>
      <c r="D681" s="83">
        <v>1120613.0</v>
      </c>
      <c r="E681" s="83">
        <v>1179084.0</v>
      </c>
      <c r="F681" s="83"/>
      <c r="G681" s="114" t="s">
        <v>3196</v>
      </c>
      <c r="H681" s="91" t="s">
        <v>3197</v>
      </c>
      <c r="I681" s="187" t="s">
        <v>3198</v>
      </c>
      <c r="J681" s="136" t="s">
        <v>702</v>
      </c>
      <c r="K681" s="83" t="s">
        <v>168</v>
      </c>
      <c r="L681" s="83" t="s">
        <v>169</v>
      </c>
      <c r="M681" s="82" t="s">
        <v>7455</v>
      </c>
      <c r="N681" s="82" t="s">
        <v>7456</v>
      </c>
      <c r="O681" s="82"/>
      <c r="P681" s="82"/>
      <c r="Q681" s="82"/>
      <c r="R681" s="82"/>
      <c r="S681" s="82" t="s">
        <v>7457</v>
      </c>
      <c r="T681" s="138">
        <v>5.0</v>
      </c>
      <c r="U681" s="323">
        <v>4.0</v>
      </c>
      <c r="V681" s="106">
        <v>0.0</v>
      </c>
      <c r="W681" s="107">
        <v>0.0</v>
      </c>
      <c r="X681" s="107">
        <v>0.0</v>
      </c>
      <c r="Y681" s="107">
        <v>0.0</v>
      </c>
      <c r="Z681" s="80">
        <v>0.0</v>
      </c>
      <c r="AA681" s="140">
        <v>0.0</v>
      </c>
      <c r="AB681" s="109">
        <v>0.0</v>
      </c>
      <c r="AC681" s="109">
        <v>0.0</v>
      </c>
      <c r="AD681" s="141">
        <v>0.0</v>
      </c>
      <c r="AE681" s="80">
        <v>0.0</v>
      </c>
      <c r="AF681" s="140">
        <v>0.0</v>
      </c>
      <c r="AG681" s="109">
        <v>0.0</v>
      </c>
      <c r="AH681" s="109">
        <v>21.0</v>
      </c>
      <c r="AI681" s="141">
        <v>0.0</v>
      </c>
      <c r="AJ681" s="80">
        <v>21.0</v>
      </c>
      <c r="AK681" s="140">
        <v>0.0</v>
      </c>
      <c r="AL681" s="109">
        <v>0.0</v>
      </c>
      <c r="AM681" s="141">
        <v>0.0</v>
      </c>
      <c r="AN681" s="80">
        <v>0.0</v>
      </c>
      <c r="AO681" s="140">
        <v>0.0</v>
      </c>
      <c r="AP681" s="109">
        <v>0.0</v>
      </c>
      <c r="AQ681" s="109">
        <v>69.0</v>
      </c>
      <c r="AR681" s="80">
        <v>69.0</v>
      </c>
      <c r="AS681" s="110">
        <v>0.0</v>
      </c>
      <c r="AT681" s="110">
        <v>0.0</v>
      </c>
      <c r="AU681" s="110">
        <v>0.0</v>
      </c>
      <c r="AV681" s="142">
        <v>0.0</v>
      </c>
      <c r="AW681" s="80">
        <v>0.0</v>
      </c>
      <c r="AX681" s="113">
        <v>90.0</v>
      </c>
      <c r="AY681" s="117">
        <v>0.0</v>
      </c>
      <c r="AZ681" s="328">
        <v>90.0</v>
      </c>
      <c r="BA681" s="315">
        <v>0.0</v>
      </c>
      <c r="BB681" s="316">
        <v>90.0</v>
      </c>
      <c r="BC681" s="132" t="s">
        <v>373</v>
      </c>
      <c r="BD681" s="132" t="s">
        <v>178</v>
      </c>
      <c r="BE681" s="132" t="s">
        <v>178</v>
      </c>
      <c r="BF681" s="179"/>
      <c r="BG681" s="83">
        <v>1179084.0</v>
      </c>
      <c r="BH681" s="112">
        <v>4.0</v>
      </c>
      <c r="BI681" s="98" t="s">
        <v>155</v>
      </c>
      <c r="BJ681" s="98" t="str">
        <f t="shared" si="1"/>
        <v>NÃO</v>
      </c>
      <c r="BK681" s="98" t="str">
        <f t="shared" si="2"/>
        <v>NÃO</v>
      </c>
    </row>
    <row r="682" ht="15.75" customHeight="1">
      <c r="A682" s="111" t="s">
        <v>796</v>
      </c>
      <c r="B682" s="83" t="s">
        <v>2087</v>
      </c>
      <c r="C682" s="83" t="s">
        <v>164</v>
      </c>
      <c r="D682" s="83">
        <v>1120613.0</v>
      </c>
      <c r="E682" s="83">
        <v>1178230.0</v>
      </c>
      <c r="F682" s="83"/>
      <c r="G682" s="114" t="s">
        <v>3199</v>
      </c>
      <c r="H682" s="91" t="s">
        <v>3200</v>
      </c>
      <c r="I682" s="187" t="s">
        <v>149</v>
      </c>
      <c r="J682" s="136" t="s">
        <v>3201</v>
      </c>
      <c r="K682" s="83" t="s">
        <v>168</v>
      </c>
      <c r="L682" s="83" t="s">
        <v>152</v>
      </c>
      <c r="M682" s="82" t="s">
        <v>7455</v>
      </c>
      <c r="N682" s="82" t="s">
        <v>7456</v>
      </c>
      <c r="O682" s="82"/>
      <c r="P682" s="82"/>
      <c r="Q682" s="82"/>
      <c r="R682" s="82"/>
      <c r="S682" s="82" t="s">
        <v>7457</v>
      </c>
      <c r="T682" s="138">
        <v>3.0</v>
      </c>
      <c r="U682" s="323">
        <v>3.0</v>
      </c>
      <c r="V682" s="106">
        <v>0.0</v>
      </c>
      <c r="W682" s="107">
        <v>0.0</v>
      </c>
      <c r="X682" s="107">
        <v>0.0</v>
      </c>
      <c r="Y682" s="107">
        <v>0.0</v>
      </c>
      <c r="Z682" s="80">
        <v>0.0</v>
      </c>
      <c r="AA682" s="140">
        <v>0.0</v>
      </c>
      <c r="AB682" s="109">
        <v>0.0</v>
      </c>
      <c r="AC682" s="109">
        <v>0.0</v>
      </c>
      <c r="AD682" s="141">
        <v>0.0</v>
      </c>
      <c r="AE682" s="80">
        <v>0.0</v>
      </c>
      <c r="AF682" s="140">
        <v>0.0</v>
      </c>
      <c r="AG682" s="109">
        <v>0.0</v>
      </c>
      <c r="AH682" s="109">
        <v>15.0</v>
      </c>
      <c r="AI682" s="141">
        <v>0.0</v>
      </c>
      <c r="AJ682" s="80">
        <v>15.0</v>
      </c>
      <c r="AK682" s="140">
        <v>0.0</v>
      </c>
      <c r="AL682" s="109">
        <v>0.0</v>
      </c>
      <c r="AM682" s="141">
        <v>0.0</v>
      </c>
      <c r="AN682" s="80">
        <v>0.0</v>
      </c>
      <c r="AO682" s="140">
        <v>0.0</v>
      </c>
      <c r="AP682" s="109">
        <v>0.0</v>
      </c>
      <c r="AQ682" s="109">
        <v>33.0</v>
      </c>
      <c r="AR682" s="80">
        <v>33.0</v>
      </c>
      <c r="AS682" s="110">
        <v>0.0</v>
      </c>
      <c r="AT682" s="110">
        <v>0.0</v>
      </c>
      <c r="AU682" s="110">
        <v>0.0</v>
      </c>
      <c r="AV682" s="142">
        <v>0.0</v>
      </c>
      <c r="AW682" s="80">
        <v>0.0</v>
      </c>
      <c r="AX682" s="113">
        <v>48.0</v>
      </c>
      <c r="AY682" s="117">
        <v>0.0</v>
      </c>
      <c r="AZ682" s="328">
        <v>48.0</v>
      </c>
      <c r="BA682" s="315">
        <v>0.0</v>
      </c>
      <c r="BB682" s="316">
        <v>48.0</v>
      </c>
      <c r="BC682" s="132" t="s">
        <v>373</v>
      </c>
      <c r="BD682" s="132" t="s">
        <v>178</v>
      </c>
      <c r="BE682" s="132" t="s">
        <v>178</v>
      </c>
      <c r="BF682" s="123"/>
      <c r="BG682" s="83">
        <v>1178230.0</v>
      </c>
      <c r="BH682" s="112">
        <v>3.0</v>
      </c>
      <c r="BI682" s="98" t="s">
        <v>155</v>
      </c>
      <c r="BJ682" s="98" t="str">
        <f t="shared" si="1"/>
        <v>NÃO</v>
      </c>
      <c r="BK682" s="98" t="str">
        <f t="shared" si="2"/>
        <v>NÃO</v>
      </c>
    </row>
    <row r="683" ht="15.75" customHeight="1">
      <c r="A683" s="111" t="s">
        <v>796</v>
      </c>
      <c r="B683" s="83" t="s">
        <v>2087</v>
      </c>
      <c r="C683" s="83" t="s">
        <v>164</v>
      </c>
      <c r="D683" s="83">
        <v>1176091.0</v>
      </c>
      <c r="E683" s="83">
        <v>1178220.0</v>
      </c>
      <c r="F683" s="83"/>
      <c r="G683" s="114" t="s">
        <v>3202</v>
      </c>
      <c r="H683" s="91" t="s">
        <v>3203</v>
      </c>
      <c r="I683" s="187" t="s">
        <v>149</v>
      </c>
      <c r="J683" s="136" t="s">
        <v>577</v>
      </c>
      <c r="K683" s="83" t="s">
        <v>168</v>
      </c>
      <c r="L683" s="83" t="s">
        <v>169</v>
      </c>
      <c r="M683" s="82" t="s">
        <v>7473</v>
      </c>
      <c r="N683" s="82" t="s">
        <v>7474</v>
      </c>
      <c r="O683" s="82" t="s">
        <v>7476</v>
      </c>
      <c r="P683" s="82" t="s">
        <v>7478</v>
      </c>
      <c r="Q683" s="82" t="s">
        <v>7479</v>
      </c>
      <c r="R683" s="82" t="s">
        <v>7480</v>
      </c>
      <c r="S683" s="82" t="s">
        <v>7481</v>
      </c>
      <c r="T683" s="138">
        <v>3.0</v>
      </c>
      <c r="U683" s="323">
        <v>3.0</v>
      </c>
      <c r="V683" s="106">
        <v>0.0</v>
      </c>
      <c r="W683" s="107">
        <v>0.0</v>
      </c>
      <c r="X683" s="107">
        <v>0.0</v>
      </c>
      <c r="Y683" s="107">
        <v>0.0</v>
      </c>
      <c r="Z683" s="80">
        <v>0.0</v>
      </c>
      <c r="AA683" s="140">
        <v>0.0</v>
      </c>
      <c r="AB683" s="109">
        <v>0.0</v>
      </c>
      <c r="AC683" s="109">
        <v>0.0</v>
      </c>
      <c r="AD683" s="141">
        <v>0.0</v>
      </c>
      <c r="AE683" s="80">
        <v>0.0</v>
      </c>
      <c r="AF683" s="140">
        <v>0.0</v>
      </c>
      <c r="AG683" s="109">
        <v>0.0</v>
      </c>
      <c r="AH683" s="109">
        <v>20.0</v>
      </c>
      <c r="AI683" s="141">
        <v>0.0</v>
      </c>
      <c r="AJ683" s="80">
        <v>20.0</v>
      </c>
      <c r="AK683" s="140">
        <v>0.0</v>
      </c>
      <c r="AL683" s="109">
        <v>0.0</v>
      </c>
      <c r="AM683" s="141">
        <v>0.0</v>
      </c>
      <c r="AN683" s="80">
        <v>0.0</v>
      </c>
      <c r="AO683" s="140">
        <v>0.0</v>
      </c>
      <c r="AP683" s="109">
        <v>0.0</v>
      </c>
      <c r="AQ683" s="109">
        <v>30.0</v>
      </c>
      <c r="AR683" s="80">
        <v>30.0</v>
      </c>
      <c r="AS683" s="110">
        <v>0.0</v>
      </c>
      <c r="AT683" s="110">
        <v>0.0</v>
      </c>
      <c r="AU683" s="110">
        <v>0.0</v>
      </c>
      <c r="AV683" s="142">
        <v>0.0</v>
      </c>
      <c r="AW683" s="80">
        <v>0.0</v>
      </c>
      <c r="AX683" s="113">
        <v>50.0</v>
      </c>
      <c r="AY683" s="117">
        <v>0.0</v>
      </c>
      <c r="AZ683" s="328">
        <v>50.0</v>
      </c>
      <c r="BA683" s="315">
        <v>0.0</v>
      </c>
      <c r="BB683" s="316">
        <v>50.0</v>
      </c>
      <c r="BC683" s="132" t="s">
        <v>373</v>
      </c>
      <c r="BD683" s="132" t="s">
        <v>178</v>
      </c>
      <c r="BE683" s="132" t="s">
        <v>178</v>
      </c>
      <c r="BF683" s="123"/>
      <c r="BG683" s="83">
        <v>1178220.0</v>
      </c>
      <c r="BH683" s="112">
        <v>3.0</v>
      </c>
      <c r="BI683" s="98" t="s">
        <v>155</v>
      </c>
      <c r="BJ683" s="98" t="str">
        <f t="shared" si="1"/>
        <v>NÃO</v>
      </c>
      <c r="BK683" s="98" t="str">
        <f t="shared" si="2"/>
        <v>NÃO</v>
      </c>
    </row>
    <row r="684" ht="15.75" customHeight="1">
      <c r="A684" s="111" t="s">
        <v>796</v>
      </c>
      <c r="B684" s="83" t="s">
        <v>2087</v>
      </c>
      <c r="C684" s="83" t="s">
        <v>68</v>
      </c>
      <c r="D684" s="83">
        <v>1120389.0</v>
      </c>
      <c r="E684" s="98">
        <v>1176768.0</v>
      </c>
      <c r="F684" s="83"/>
      <c r="G684" s="119" t="s">
        <v>7648</v>
      </c>
      <c r="H684" s="108" t="s">
        <v>3214</v>
      </c>
      <c r="I684" s="187" t="s">
        <v>149</v>
      </c>
      <c r="J684" s="136"/>
      <c r="K684" s="98" t="s">
        <v>168</v>
      </c>
      <c r="L684" s="98" t="s">
        <v>169</v>
      </c>
      <c r="M684" s="82" t="s">
        <v>7508</v>
      </c>
      <c r="N684" s="82" t="s">
        <v>7509</v>
      </c>
      <c r="O684" s="82" t="s">
        <v>7510</v>
      </c>
      <c r="P684" s="82" t="s">
        <v>7511</v>
      </c>
      <c r="Q684" s="82" t="s">
        <v>7512</v>
      </c>
      <c r="R684" s="82" t="s">
        <v>7513</v>
      </c>
      <c r="S684" s="82" t="s">
        <v>7514</v>
      </c>
      <c r="T684" s="138"/>
      <c r="U684" s="323"/>
      <c r="V684" s="106">
        <v>0.0</v>
      </c>
      <c r="W684" s="107">
        <v>0.0</v>
      </c>
      <c r="X684" s="107">
        <v>0.0</v>
      </c>
      <c r="Y684" s="107">
        <v>0.0</v>
      </c>
      <c r="Z684" s="80">
        <v>0.0</v>
      </c>
      <c r="AA684" s="140">
        <v>0.0</v>
      </c>
      <c r="AB684" s="109">
        <v>0.0</v>
      </c>
      <c r="AC684" s="109">
        <v>0.0</v>
      </c>
      <c r="AD684" s="141">
        <v>0.0</v>
      </c>
      <c r="AE684" s="80">
        <v>0.0</v>
      </c>
      <c r="AF684" s="140">
        <v>0.0</v>
      </c>
      <c r="AG684" s="109">
        <v>0.0</v>
      </c>
      <c r="AH684" s="109">
        <v>0.0</v>
      </c>
      <c r="AI684" s="141">
        <v>0.0</v>
      </c>
      <c r="AJ684" s="80">
        <v>0.0</v>
      </c>
      <c r="AK684" s="140">
        <v>0.0</v>
      </c>
      <c r="AL684" s="109">
        <v>0.0</v>
      </c>
      <c r="AM684" s="141">
        <v>0.0</v>
      </c>
      <c r="AN684" s="80">
        <v>0.0</v>
      </c>
      <c r="AO684" s="140">
        <v>0.0</v>
      </c>
      <c r="AP684" s="109">
        <v>0.0</v>
      </c>
      <c r="AQ684" s="109">
        <v>25.0</v>
      </c>
      <c r="AR684" s="80">
        <v>25.0</v>
      </c>
      <c r="AS684" s="110">
        <v>0.0</v>
      </c>
      <c r="AT684" s="110">
        <v>0.0</v>
      </c>
      <c r="AU684" s="110">
        <v>0.0</v>
      </c>
      <c r="AV684" s="142">
        <v>0.0</v>
      </c>
      <c r="AW684" s="80">
        <v>0.0</v>
      </c>
      <c r="AX684" s="113">
        <v>25.0</v>
      </c>
      <c r="AY684" s="117">
        <v>0.0</v>
      </c>
      <c r="AZ684" s="328">
        <v>25.0</v>
      </c>
      <c r="BA684" s="315">
        <v>0.0</v>
      </c>
      <c r="BB684" s="316">
        <v>25.0</v>
      </c>
      <c r="BC684" s="132" t="s">
        <v>178</v>
      </c>
      <c r="BD684" s="132" t="s">
        <v>178</v>
      </c>
      <c r="BE684" s="132" t="s">
        <v>178</v>
      </c>
      <c r="BF684" s="123"/>
      <c r="BG684" s="98">
        <v>1176768.0</v>
      </c>
      <c r="BH684" s="98">
        <v>0.0</v>
      </c>
      <c r="BI684" s="98" t="s">
        <v>155</v>
      </c>
      <c r="BJ684" s="98" t="str">
        <f t="shared" si="1"/>
        <v>NÃO</v>
      </c>
      <c r="BK684" s="98" t="str">
        <f t="shared" si="2"/>
        <v>NÃO</v>
      </c>
    </row>
    <row r="685" ht="15.75" customHeight="1">
      <c r="A685" s="111" t="s">
        <v>796</v>
      </c>
      <c r="B685" s="83" t="s">
        <v>2087</v>
      </c>
      <c r="C685" s="83" t="s">
        <v>164</v>
      </c>
      <c r="D685" s="83">
        <v>1120389.0</v>
      </c>
      <c r="E685" s="83">
        <v>1178170.0</v>
      </c>
      <c r="F685" s="83"/>
      <c r="G685" s="114" t="s">
        <v>3215</v>
      </c>
      <c r="H685" s="91" t="s">
        <v>3216</v>
      </c>
      <c r="I685" s="187" t="s">
        <v>3118</v>
      </c>
      <c r="J685" s="83" t="s">
        <v>1502</v>
      </c>
      <c r="K685" s="83" t="s">
        <v>168</v>
      </c>
      <c r="L685" s="83" t="s">
        <v>169</v>
      </c>
      <c r="M685" s="82" t="s">
        <v>7508</v>
      </c>
      <c r="N685" s="82" t="s">
        <v>7509</v>
      </c>
      <c r="O685" s="82" t="s">
        <v>7510</v>
      </c>
      <c r="P685" s="82" t="s">
        <v>7511</v>
      </c>
      <c r="Q685" s="82" t="s">
        <v>7512</v>
      </c>
      <c r="R685" s="82" t="s">
        <v>7513</v>
      </c>
      <c r="S685" s="82" t="s">
        <v>7514</v>
      </c>
      <c r="T685" s="138">
        <v>3.0</v>
      </c>
      <c r="U685" s="323">
        <v>3.0</v>
      </c>
      <c r="V685" s="106">
        <v>0.0</v>
      </c>
      <c r="W685" s="107">
        <v>0.0</v>
      </c>
      <c r="X685" s="107">
        <v>0.0</v>
      </c>
      <c r="Y685" s="107">
        <v>0.0</v>
      </c>
      <c r="Z685" s="80">
        <v>0.0</v>
      </c>
      <c r="AA685" s="140">
        <v>0.0</v>
      </c>
      <c r="AB685" s="109">
        <v>0.0</v>
      </c>
      <c r="AC685" s="109">
        <v>0.0</v>
      </c>
      <c r="AD685" s="141">
        <v>0.0</v>
      </c>
      <c r="AE685" s="80">
        <v>0.0</v>
      </c>
      <c r="AF685" s="140">
        <v>0.0</v>
      </c>
      <c r="AG685" s="109">
        <v>40.0</v>
      </c>
      <c r="AH685" s="109">
        <v>7.0</v>
      </c>
      <c r="AI685" s="141">
        <v>0.0</v>
      </c>
      <c r="AJ685" s="80">
        <v>47.0</v>
      </c>
      <c r="AK685" s="140">
        <v>0.0</v>
      </c>
      <c r="AL685" s="109">
        <v>0.0</v>
      </c>
      <c r="AM685" s="141">
        <v>0.0</v>
      </c>
      <c r="AN685" s="80">
        <v>0.0</v>
      </c>
      <c r="AO685" s="140">
        <v>0.0</v>
      </c>
      <c r="AP685" s="109">
        <v>0.0</v>
      </c>
      <c r="AQ685" s="109">
        <v>7.0</v>
      </c>
      <c r="AR685" s="80">
        <v>7.0</v>
      </c>
      <c r="AS685" s="110">
        <v>0.0</v>
      </c>
      <c r="AT685" s="110">
        <v>0.0</v>
      </c>
      <c r="AU685" s="110">
        <v>0.0</v>
      </c>
      <c r="AV685" s="142">
        <v>0.0</v>
      </c>
      <c r="AW685" s="80">
        <v>0.0</v>
      </c>
      <c r="AX685" s="113">
        <v>54.0</v>
      </c>
      <c r="AY685" s="117">
        <v>40.0</v>
      </c>
      <c r="AZ685" s="328">
        <v>14.0</v>
      </c>
      <c r="BA685" s="315">
        <v>0.0</v>
      </c>
      <c r="BB685" s="316">
        <v>54.0</v>
      </c>
      <c r="BC685" s="132" t="s">
        <v>373</v>
      </c>
      <c r="BD685" s="132" t="s">
        <v>178</v>
      </c>
      <c r="BE685" s="132" t="s">
        <v>178</v>
      </c>
      <c r="BF685" s="123"/>
      <c r="BG685" s="83">
        <v>1178170.0</v>
      </c>
      <c r="BH685" s="112">
        <v>3.0</v>
      </c>
      <c r="BI685" s="98" t="s">
        <v>155</v>
      </c>
      <c r="BJ685" s="98" t="str">
        <f t="shared" si="1"/>
        <v>NÃO</v>
      </c>
      <c r="BK685" s="98" t="str">
        <f t="shared" si="2"/>
        <v>NÃO</v>
      </c>
    </row>
    <row r="686" ht="15.75" customHeight="1">
      <c r="A686" s="111" t="s">
        <v>796</v>
      </c>
      <c r="B686" s="83" t="s">
        <v>2087</v>
      </c>
      <c r="C686" s="83" t="s">
        <v>164</v>
      </c>
      <c r="D686" s="83">
        <v>1120389.0</v>
      </c>
      <c r="E686" s="83">
        <v>1178666.0</v>
      </c>
      <c r="F686" s="83"/>
      <c r="G686" s="114" t="s">
        <v>3217</v>
      </c>
      <c r="H686" s="91" t="s">
        <v>3218</v>
      </c>
      <c r="I686" s="114" t="s">
        <v>3118</v>
      </c>
      <c r="J686" s="83" t="s">
        <v>3219</v>
      </c>
      <c r="K686" s="83" t="s">
        <v>168</v>
      </c>
      <c r="L686" s="83" t="s">
        <v>169</v>
      </c>
      <c r="M686" s="82" t="s">
        <v>7508</v>
      </c>
      <c r="N686" s="82" t="s">
        <v>7509</v>
      </c>
      <c r="O686" s="82" t="s">
        <v>7510</v>
      </c>
      <c r="P686" s="82" t="s">
        <v>7511</v>
      </c>
      <c r="Q686" s="82" t="s">
        <v>7512</v>
      </c>
      <c r="R686" s="82" t="s">
        <v>7513</v>
      </c>
      <c r="S686" s="82" t="s">
        <v>7514</v>
      </c>
      <c r="T686" s="138">
        <v>4.0</v>
      </c>
      <c r="U686" s="323">
        <v>3.0</v>
      </c>
      <c r="V686" s="106">
        <v>0.0</v>
      </c>
      <c r="W686" s="107">
        <v>0.0</v>
      </c>
      <c r="X686" s="107">
        <v>0.0</v>
      </c>
      <c r="Y686" s="107">
        <v>0.0</v>
      </c>
      <c r="Z686" s="80">
        <v>0.0</v>
      </c>
      <c r="AA686" s="140">
        <v>0.0</v>
      </c>
      <c r="AB686" s="109">
        <v>0.0</v>
      </c>
      <c r="AC686" s="109">
        <v>0.0</v>
      </c>
      <c r="AD686" s="141">
        <v>0.0</v>
      </c>
      <c r="AE686" s="80">
        <v>0.0</v>
      </c>
      <c r="AF686" s="140">
        <v>0.0</v>
      </c>
      <c r="AG686" s="109">
        <v>0.0</v>
      </c>
      <c r="AH686" s="109">
        <v>0.0</v>
      </c>
      <c r="AI686" s="141">
        <v>0.0</v>
      </c>
      <c r="AJ686" s="80">
        <v>0.0</v>
      </c>
      <c r="AK686" s="140">
        <v>0.0</v>
      </c>
      <c r="AL686" s="109">
        <v>0.0</v>
      </c>
      <c r="AM686" s="141">
        <v>0.0</v>
      </c>
      <c r="AN686" s="80">
        <v>0.0</v>
      </c>
      <c r="AO686" s="140">
        <v>0.0</v>
      </c>
      <c r="AP686" s="109">
        <v>0.0</v>
      </c>
      <c r="AQ686" s="109">
        <v>20.0</v>
      </c>
      <c r="AR686" s="80">
        <v>20.0</v>
      </c>
      <c r="AS686" s="110">
        <v>0.0</v>
      </c>
      <c r="AT686" s="110">
        <v>0.0</v>
      </c>
      <c r="AU686" s="110">
        <v>0.0</v>
      </c>
      <c r="AV686" s="142">
        <v>0.0</v>
      </c>
      <c r="AW686" s="80">
        <v>0.0</v>
      </c>
      <c r="AX686" s="113">
        <v>20.0</v>
      </c>
      <c r="AY686" s="117">
        <v>0.0</v>
      </c>
      <c r="AZ686" s="328">
        <v>20.0</v>
      </c>
      <c r="BA686" s="315">
        <v>0.0</v>
      </c>
      <c r="BB686" s="316">
        <v>20.0</v>
      </c>
      <c r="BC686" s="132" t="s">
        <v>373</v>
      </c>
      <c r="BD686" s="132" t="s">
        <v>178</v>
      </c>
      <c r="BE686" s="132" t="s">
        <v>178</v>
      </c>
      <c r="BF686" s="156"/>
      <c r="BG686" s="83">
        <v>1178666.0</v>
      </c>
      <c r="BH686" s="112">
        <v>3.0</v>
      </c>
      <c r="BI686" s="98" t="s">
        <v>155</v>
      </c>
      <c r="BJ686" s="98" t="str">
        <f t="shared" si="1"/>
        <v>NÃO</v>
      </c>
      <c r="BK686" s="98" t="str">
        <f t="shared" si="2"/>
        <v>NÃO</v>
      </c>
    </row>
    <row r="687" ht="15.75" customHeight="1">
      <c r="A687" s="111" t="s">
        <v>796</v>
      </c>
      <c r="B687" s="83" t="s">
        <v>2087</v>
      </c>
      <c r="C687" s="83" t="s">
        <v>164</v>
      </c>
      <c r="D687" s="83">
        <v>1120389.0</v>
      </c>
      <c r="E687" s="83">
        <v>1178668.0</v>
      </c>
      <c r="F687" s="83"/>
      <c r="G687" s="114" t="s">
        <v>3220</v>
      </c>
      <c r="H687" s="91" t="s">
        <v>3221</v>
      </c>
      <c r="I687" s="114" t="s">
        <v>3222</v>
      </c>
      <c r="J687" s="83" t="s">
        <v>3223</v>
      </c>
      <c r="K687" s="83" t="s">
        <v>168</v>
      </c>
      <c r="L687" s="83" t="s">
        <v>169</v>
      </c>
      <c r="M687" s="82" t="s">
        <v>7508</v>
      </c>
      <c r="N687" s="82" t="s">
        <v>7509</v>
      </c>
      <c r="O687" s="82" t="s">
        <v>7510</v>
      </c>
      <c r="P687" s="82" t="s">
        <v>7511</v>
      </c>
      <c r="Q687" s="82" t="s">
        <v>7512</v>
      </c>
      <c r="R687" s="82" t="s">
        <v>7513</v>
      </c>
      <c r="S687" s="82" t="s">
        <v>7514</v>
      </c>
      <c r="T687" s="138">
        <v>4.0</v>
      </c>
      <c r="U687" s="323">
        <v>3.0</v>
      </c>
      <c r="V687" s="106">
        <v>0.0</v>
      </c>
      <c r="W687" s="107">
        <v>0.0</v>
      </c>
      <c r="X687" s="107">
        <v>0.0</v>
      </c>
      <c r="Y687" s="107">
        <v>0.0</v>
      </c>
      <c r="Z687" s="80">
        <v>0.0</v>
      </c>
      <c r="AA687" s="140">
        <v>0.0</v>
      </c>
      <c r="AB687" s="109">
        <v>0.0</v>
      </c>
      <c r="AC687" s="109">
        <v>0.0</v>
      </c>
      <c r="AD687" s="141">
        <v>0.0</v>
      </c>
      <c r="AE687" s="80">
        <v>0.0</v>
      </c>
      <c r="AF687" s="140">
        <v>0.0</v>
      </c>
      <c r="AG687" s="109">
        <v>0.0</v>
      </c>
      <c r="AH687" s="109">
        <v>38.0</v>
      </c>
      <c r="AI687" s="141">
        <v>0.0</v>
      </c>
      <c r="AJ687" s="80">
        <v>38.0</v>
      </c>
      <c r="AK687" s="140">
        <v>0.0</v>
      </c>
      <c r="AL687" s="109">
        <v>0.0</v>
      </c>
      <c r="AM687" s="141">
        <v>0.0</v>
      </c>
      <c r="AN687" s="80">
        <v>0.0</v>
      </c>
      <c r="AO687" s="140">
        <v>0.0</v>
      </c>
      <c r="AP687" s="109">
        <v>0.0</v>
      </c>
      <c r="AQ687" s="109">
        <v>104.0</v>
      </c>
      <c r="AR687" s="80">
        <v>104.0</v>
      </c>
      <c r="AS687" s="110">
        <v>0.0</v>
      </c>
      <c r="AT687" s="110">
        <v>0.0</v>
      </c>
      <c r="AU687" s="110">
        <v>0.0</v>
      </c>
      <c r="AV687" s="142">
        <v>0.0</v>
      </c>
      <c r="AW687" s="80">
        <v>0.0</v>
      </c>
      <c r="AX687" s="113">
        <v>142.0</v>
      </c>
      <c r="AY687" s="117">
        <v>0.0</v>
      </c>
      <c r="AZ687" s="328">
        <v>142.0</v>
      </c>
      <c r="BA687" s="315">
        <v>0.0</v>
      </c>
      <c r="BB687" s="316">
        <v>142.0</v>
      </c>
      <c r="BC687" s="132" t="s">
        <v>373</v>
      </c>
      <c r="BD687" s="132" t="s">
        <v>178</v>
      </c>
      <c r="BE687" s="132" t="s">
        <v>178</v>
      </c>
      <c r="BF687" s="123"/>
      <c r="BG687" s="83">
        <v>1178668.0</v>
      </c>
      <c r="BH687" s="112">
        <v>3.0</v>
      </c>
      <c r="BI687" s="98" t="s">
        <v>155</v>
      </c>
      <c r="BJ687" s="98" t="str">
        <f t="shared" si="1"/>
        <v>NÃO</v>
      </c>
      <c r="BK687" s="98" t="str">
        <f t="shared" si="2"/>
        <v>NÃO</v>
      </c>
    </row>
    <row r="688" ht="15.75" customHeight="1">
      <c r="A688" s="111" t="s">
        <v>796</v>
      </c>
      <c r="B688" s="83" t="s">
        <v>2087</v>
      </c>
      <c r="C688" s="83" t="s">
        <v>164</v>
      </c>
      <c r="D688" s="83">
        <v>1176930.0</v>
      </c>
      <c r="E688" s="83">
        <v>1178242.0</v>
      </c>
      <c r="F688" s="83"/>
      <c r="G688" s="114" t="s">
        <v>3224</v>
      </c>
      <c r="H688" s="91" t="s">
        <v>3225</v>
      </c>
      <c r="I688" s="114" t="s">
        <v>3226</v>
      </c>
      <c r="J688" s="83" t="s">
        <v>3227</v>
      </c>
      <c r="K688" s="83" t="s">
        <v>168</v>
      </c>
      <c r="L688" s="83" t="s">
        <v>169</v>
      </c>
      <c r="M688" s="82" t="s">
        <v>7517</v>
      </c>
      <c r="N688" s="82" t="s">
        <v>7519</v>
      </c>
      <c r="O688" s="82" t="s">
        <v>7521</v>
      </c>
      <c r="P688" s="82" t="s">
        <v>7522</v>
      </c>
      <c r="Q688" s="82" t="s">
        <v>7523</v>
      </c>
      <c r="R688" s="82" t="s">
        <v>7524</v>
      </c>
      <c r="S688" s="82" t="s">
        <v>7525</v>
      </c>
      <c r="T688" s="138">
        <v>3.0</v>
      </c>
      <c r="U688" s="323">
        <v>4.0</v>
      </c>
      <c r="V688" s="106">
        <v>0.0</v>
      </c>
      <c r="W688" s="107">
        <v>0.0</v>
      </c>
      <c r="X688" s="107">
        <v>0.0</v>
      </c>
      <c r="Y688" s="107">
        <v>0.0</v>
      </c>
      <c r="Z688" s="80">
        <v>0.0</v>
      </c>
      <c r="AA688" s="140">
        <v>0.0</v>
      </c>
      <c r="AB688" s="109">
        <v>0.0</v>
      </c>
      <c r="AC688" s="109">
        <v>0.0</v>
      </c>
      <c r="AD688" s="141">
        <v>0.0</v>
      </c>
      <c r="AE688" s="80">
        <v>0.0</v>
      </c>
      <c r="AF688" s="140">
        <v>0.0</v>
      </c>
      <c r="AG688" s="109">
        <v>64.0</v>
      </c>
      <c r="AH688" s="109">
        <v>12.0</v>
      </c>
      <c r="AI688" s="141">
        <v>0.0</v>
      </c>
      <c r="AJ688" s="80">
        <v>76.0</v>
      </c>
      <c r="AK688" s="140">
        <v>0.0</v>
      </c>
      <c r="AL688" s="109">
        <v>0.0</v>
      </c>
      <c r="AM688" s="141">
        <v>0.0</v>
      </c>
      <c r="AN688" s="80">
        <v>0.0</v>
      </c>
      <c r="AO688" s="140">
        <v>0.0</v>
      </c>
      <c r="AP688" s="109">
        <v>0.0</v>
      </c>
      <c r="AQ688" s="109">
        <v>15.0</v>
      </c>
      <c r="AR688" s="80">
        <v>15.0</v>
      </c>
      <c r="AS688" s="110">
        <v>0.0</v>
      </c>
      <c r="AT688" s="110">
        <v>0.0</v>
      </c>
      <c r="AU688" s="110">
        <v>0.0</v>
      </c>
      <c r="AV688" s="142">
        <v>0.0</v>
      </c>
      <c r="AW688" s="80">
        <v>0.0</v>
      </c>
      <c r="AX688" s="113">
        <v>91.0</v>
      </c>
      <c r="AY688" s="117">
        <v>64.0</v>
      </c>
      <c r="AZ688" s="328">
        <v>27.0</v>
      </c>
      <c r="BA688" s="315">
        <v>0.0</v>
      </c>
      <c r="BB688" s="316">
        <v>91.0</v>
      </c>
      <c r="BC688" s="132" t="s">
        <v>373</v>
      </c>
      <c r="BD688" s="132" t="s">
        <v>178</v>
      </c>
      <c r="BE688" s="132" t="s">
        <v>178</v>
      </c>
      <c r="BF688" s="123"/>
      <c r="BG688" s="83">
        <v>1178242.0</v>
      </c>
      <c r="BH688" s="112">
        <v>4.0</v>
      </c>
      <c r="BI688" s="98" t="s">
        <v>155</v>
      </c>
      <c r="BJ688" s="98" t="str">
        <f t="shared" si="1"/>
        <v>NÃO</v>
      </c>
      <c r="BK688" s="98" t="str">
        <f t="shared" si="2"/>
        <v>NÃO</v>
      </c>
    </row>
    <row r="689" ht="15.75" customHeight="1">
      <c r="A689" s="111" t="s">
        <v>796</v>
      </c>
      <c r="B689" s="83" t="s">
        <v>2087</v>
      </c>
      <c r="C689" s="83" t="s">
        <v>164</v>
      </c>
      <c r="D689" s="83">
        <v>1120338.0</v>
      </c>
      <c r="E689" s="83">
        <v>1178231.0</v>
      </c>
      <c r="F689" s="83"/>
      <c r="G689" s="114" t="s">
        <v>3229</v>
      </c>
      <c r="H689" s="91" t="s">
        <v>3230</v>
      </c>
      <c r="I689" s="187" t="s">
        <v>3231</v>
      </c>
      <c r="J689" s="83" t="s">
        <v>3232</v>
      </c>
      <c r="K689" s="83" t="s">
        <v>3467</v>
      </c>
      <c r="L689" s="83" t="s">
        <v>169</v>
      </c>
      <c r="M689" s="82" t="s">
        <v>7530</v>
      </c>
      <c r="N689" s="82" t="s">
        <v>7531</v>
      </c>
      <c r="O689" s="82" t="s">
        <v>7532</v>
      </c>
      <c r="P689" s="82" t="s">
        <v>7533</v>
      </c>
      <c r="Q689" s="82" t="s">
        <v>7534</v>
      </c>
      <c r="R689" s="82" t="s">
        <v>7535</v>
      </c>
      <c r="S689" s="82" t="s">
        <v>7536</v>
      </c>
      <c r="T689" s="138">
        <v>6.0</v>
      </c>
      <c r="U689" s="323">
        <v>4.0</v>
      </c>
      <c r="V689" s="106">
        <v>0.0</v>
      </c>
      <c r="W689" s="107">
        <v>0.0</v>
      </c>
      <c r="X689" s="107">
        <v>0.0</v>
      </c>
      <c r="Y689" s="107">
        <v>0.0</v>
      </c>
      <c r="Z689" s="80">
        <v>0.0</v>
      </c>
      <c r="AA689" s="140">
        <v>0.0</v>
      </c>
      <c r="AB689" s="109">
        <v>0.0</v>
      </c>
      <c r="AC689" s="109">
        <v>0.0</v>
      </c>
      <c r="AD689" s="141">
        <v>0.0</v>
      </c>
      <c r="AE689" s="80">
        <v>0.0</v>
      </c>
      <c r="AF689" s="140">
        <v>0.0</v>
      </c>
      <c r="AG689" s="109">
        <v>0.0</v>
      </c>
      <c r="AH689" s="109">
        <v>34.0</v>
      </c>
      <c r="AI689" s="141">
        <v>0.0</v>
      </c>
      <c r="AJ689" s="80">
        <v>34.0</v>
      </c>
      <c r="AK689" s="140">
        <v>0.0</v>
      </c>
      <c r="AL689" s="109">
        <v>0.0</v>
      </c>
      <c r="AM689" s="141">
        <v>0.0</v>
      </c>
      <c r="AN689" s="80">
        <v>0.0</v>
      </c>
      <c r="AO689" s="140">
        <v>0.0</v>
      </c>
      <c r="AP689" s="109">
        <v>0.0</v>
      </c>
      <c r="AQ689" s="109">
        <v>16.0</v>
      </c>
      <c r="AR689" s="80">
        <v>16.0</v>
      </c>
      <c r="AS689" s="110">
        <v>0.0</v>
      </c>
      <c r="AT689" s="110">
        <v>0.0</v>
      </c>
      <c r="AU689" s="110">
        <v>0.0</v>
      </c>
      <c r="AV689" s="142">
        <v>0.0</v>
      </c>
      <c r="AW689" s="80">
        <v>0.0</v>
      </c>
      <c r="AX689" s="113">
        <v>50.0</v>
      </c>
      <c r="AY689" s="117">
        <v>0.0</v>
      </c>
      <c r="AZ689" s="328">
        <v>50.0</v>
      </c>
      <c r="BA689" s="315">
        <v>0.0</v>
      </c>
      <c r="BB689" s="316">
        <v>50.0</v>
      </c>
      <c r="BC689" s="132" t="s">
        <v>373</v>
      </c>
      <c r="BD689" s="132" t="s">
        <v>178</v>
      </c>
      <c r="BE689" s="132" t="s">
        <v>178</v>
      </c>
      <c r="BF689" s="123"/>
      <c r="BG689" s="83">
        <v>1178231.0</v>
      </c>
      <c r="BH689" s="112">
        <v>4.0</v>
      </c>
      <c r="BI689" s="98" t="s">
        <v>155</v>
      </c>
      <c r="BJ689" s="98" t="str">
        <f t="shared" si="1"/>
        <v>NÃO</v>
      </c>
      <c r="BK689" s="98" t="str">
        <f t="shared" si="2"/>
        <v>NÃO</v>
      </c>
    </row>
    <row r="690" ht="15.75" customHeight="1">
      <c r="A690" s="111" t="s">
        <v>796</v>
      </c>
      <c r="B690" s="83" t="s">
        <v>2087</v>
      </c>
      <c r="C690" s="83" t="s">
        <v>164</v>
      </c>
      <c r="D690" s="83">
        <v>1120338.0</v>
      </c>
      <c r="E690" s="83">
        <v>1178243.0</v>
      </c>
      <c r="F690" s="83"/>
      <c r="G690" s="114" t="s">
        <v>3233</v>
      </c>
      <c r="H690" s="91" t="s">
        <v>3234</v>
      </c>
      <c r="I690" s="187" t="s">
        <v>3235</v>
      </c>
      <c r="J690" s="83" t="s">
        <v>1946</v>
      </c>
      <c r="K690" s="83" t="s">
        <v>3467</v>
      </c>
      <c r="L690" s="83" t="s">
        <v>169</v>
      </c>
      <c r="M690" s="82" t="s">
        <v>7530</v>
      </c>
      <c r="N690" s="82" t="s">
        <v>7531</v>
      </c>
      <c r="O690" s="82" t="s">
        <v>7532</v>
      </c>
      <c r="P690" s="82" t="s">
        <v>7533</v>
      </c>
      <c r="Q690" s="82" t="s">
        <v>7534</v>
      </c>
      <c r="R690" s="82" t="s">
        <v>7535</v>
      </c>
      <c r="S690" s="82" t="s">
        <v>7536</v>
      </c>
      <c r="T690" s="138">
        <v>3.0</v>
      </c>
      <c r="U690" s="323">
        <v>3.0</v>
      </c>
      <c r="V690" s="106">
        <v>0.0</v>
      </c>
      <c r="W690" s="107">
        <v>0.0</v>
      </c>
      <c r="X690" s="107">
        <v>0.0</v>
      </c>
      <c r="Y690" s="107">
        <v>0.0</v>
      </c>
      <c r="Z690" s="80">
        <v>0.0</v>
      </c>
      <c r="AA690" s="140">
        <v>0.0</v>
      </c>
      <c r="AB690" s="109">
        <v>0.0</v>
      </c>
      <c r="AC690" s="109">
        <v>0.0</v>
      </c>
      <c r="AD690" s="141">
        <v>0.0</v>
      </c>
      <c r="AE690" s="80">
        <v>0.0</v>
      </c>
      <c r="AF690" s="140">
        <v>0.0</v>
      </c>
      <c r="AG690" s="109">
        <v>0.0</v>
      </c>
      <c r="AH690" s="109">
        <v>6.0</v>
      </c>
      <c r="AI690" s="141">
        <v>0.0</v>
      </c>
      <c r="AJ690" s="80">
        <v>6.0</v>
      </c>
      <c r="AK690" s="140">
        <v>0.0</v>
      </c>
      <c r="AL690" s="109">
        <v>0.0</v>
      </c>
      <c r="AM690" s="141">
        <v>0.0</v>
      </c>
      <c r="AN690" s="80">
        <v>0.0</v>
      </c>
      <c r="AO690" s="140">
        <v>0.0</v>
      </c>
      <c r="AP690" s="109">
        <v>0.0</v>
      </c>
      <c r="AQ690" s="109">
        <v>6.0</v>
      </c>
      <c r="AR690" s="80">
        <v>6.0</v>
      </c>
      <c r="AS690" s="110">
        <v>0.0</v>
      </c>
      <c r="AT690" s="110">
        <v>0.0</v>
      </c>
      <c r="AU690" s="110">
        <v>0.0</v>
      </c>
      <c r="AV690" s="142">
        <v>0.0</v>
      </c>
      <c r="AW690" s="80">
        <v>0.0</v>
      </c>
      <c r="AX690" s="113">
        <v>12.0</v>
      </c>
      <c r="AY690" s="117">
        <v>0.0</v>
      </c>
      <c r="AZ690" s="328">
        <v>12.0</v>
      </c>
      <c r="BA690" s="315">
        <v>0.0</v>
      </c>
      <c r="BB690" s="316">
        <v>12.0</v>
      </c>
      <c r="BC690" s="132" t="s">
        <v>373</v>
      </c>
      <c r="BD690" s="132" t="s">
        <v>178</v>
      </c>
      <c r="BE690" s="132" t="s">
        <v>178</v>
      </c>
      <c r="BF690" s="123"/>
      <c r="BG690" s="83">
        <v>1178243.0</v>
      </c>
      <c r="BH690" s="112">
        <v>3.0</v>
      </c>
      <c r="BI690" s="98" t="s">
        <v>155</v>
      </c>
      <c r="BJ690" s="98" t="str">
        <f t="shared" si="1"/>
        <v>NÃO</v>
      </c>
      <c r="BK690" s="98" t="str">
        <f t="shared" si="2"/>
        <v>NÃO</v>
      </c>
    </row>
    <row r="691" ht="15.75" customHeight="1">
      <c r="A691" s="111" t="s">
        <v>796</v>
      </c>
      <c r="B691" s="83" t="s">
        <v>2087</v>
      </c>
      <c r="C691" s="83" t="s">
        <v>164</v>
      </c>
      <c r="D691" s="83">
        <v>1160950.0</v>
      </c>
      <c r="E691" s="83">
        <v>1178673.0</v>
      </c>
      <c r="F691" s="83"/>
      <c r="G691" s="114" t="s">
        <v>7687</v>
      </c>
      <c r="H691" s="91" t="s">
        <v>3212</v>
      </c>
      <c r="I691" s="187" t="s">
        <v>1563</v>
      </c>
      <c r="J691" s="83" t="s">
        <v>1502</v>
      </c>
      <c r="K691" s="83" t="s">
        <v>168</v>
      </c>
      <c r="L691" s="83" t="s">
        <v>169</v>
      </c>
      <c r="M691" s="82" t="s">
        <v>7498</v>
      </c>
      <c r="N691" s="82" t="s">
        <v>7499</v>
      </c>
      <c r="O691" s="82" t="s">
        <v>7500</v>
      </c>
      <c r="P691" s="82" t="s">
        <v>7501</v>
      </c>
      <c r="Q691" s="82" t="s">
        <v>7502</v>
      </c>
      <c r="R691" s="82" t="s">
        <v>7503</v>
      </c>
      <c r="S691" s="82" t="s">
        <v>7504</v>
      </c>
      <c r="T691" s="138">
        <v>3.0</v>
      </c>
      <c r="U691" s="323">
        <v>3.0</v>
      </c>
      <c r="V691" s="106">
        <v>0.0</v>
      </c>
      <c r="W691" s="107">
        <v>0.0</v>
      </c>
      <c r="X691" s="107">
        <v>0.0</v>
      </c>
      <c r="Y691" s="107">
        <v>0.0</v>
      </c>
      <c r="Z691" s="80">
        <v>0.0</v>
      </c>
      <c r="AA691" s="140">
        <v>0.0</v>
      </c>
      <c r="AB691" s="109">
        <v>0.0</v>
      </c>
      <c r="AC691" s="109">
        <v>0.0</v>
      </c>
      <c r="AD691" s="141">
        <v>0.0</v>
      </c>
      <c r="AE691" s="80">
        <v>0.0</v>
      </c>
      <c r="AF691" s="140">
        <v>0.0</v>
      </c>
      <c r="AG691" s="109">
        <v>0.0</v>
      </c>
      <c r="AH691" s="109">
        <v>16.0</v>
      </c>
      <c r="AI691" s="141">
        <v>0.0</v>
      </c>
      <c r="AJ691" s="80">
        <v>16.0</v>
      </c>
      <c r="AK691" s="140">
        <v>0.0</v>
      </c>
      <c r="AL691" s="109">
        <v>0.0</v>
      </c>
      <c r="AM691" s="141">
        <v>0.0</v>
      </c>
      <c r="AN691" s="80">
        <v>0.0</v>
      </c>
      <c r="AO691" s="140">
        <v>0.0</v>
      </c>
      <c r="AP691" s="109">
        <v>0.0</v>
      </c>
      <c r="AQ691" s="109">
        <v>34.0</v>
      </c>
      <c r="AR691" s="80">
        <v>34.0</v>
      </c>
      <c r="AS691" s="110">
        <v>0.0</v>
      </c>
      <c r="AT691" s="110">
        <v>0.0</v>
      </c>
      <c r="AU691" s="110">
        <v>0.0</v>
      </c>
      <c r="AV691" s="142">
        <v>0.0</v>
      </c>
      <c r="AW691" s="80">
        <v>0.0</v>
      </c>
      <c r="AX691" s="113">
        <v>50.0</v>
      </c>
      <c r="AY691" s="117">
        <v>0.0</v>
      </c>
      <c r="AZ691" s="328">
        <v>50.0</v>
      </c>
      <c r="BA691" s="315">
        <v>0.0</v>
      </c>
      <c r="BB691" s="316">
        <v>50.0</v>
      </c>
      <c r="BC691" s="132" t="s">
        <v>373</v>
      </c>
      <c r="BD691" s="132" t="s">
        <v>178</v>
      </c>
      <c r="BE691" s="132" t="s">
        <v>178</v>
      </c>
      <c r="BF691" s="123"/>
      <c r="BG691" s="83">
        <v>1178673.0</v>
      </c>
      <c r="BH691" s="112">
        <v>3.0</v>
      </c>
      <c r="BI691" s="98" t="s">
        <v>155</v>
      </c>
      <c r="BJ691" s="98" t="str">
        <f t="shared" si="1"/>
        <v>NÃO</v>
      </c>
      <c r="BK691" s="98" t="str">
        <f t="shared" si="2"/>
        <v>NÃO</v>
      </c>
    </row>
    <row r="692" ht="15.75" customHeight="1">
      <c r="A692" s="111" t="s">
        <v>796</v>
      </c>
      <c r="B692" s="83" t="s">
        <v>2087</v>
      </c>
      <c r="C692" s="83" t="s">
        <v>164</v>
      </c>
      <c r="D692" s="83">
        <v>1161034.0</v>
      </c>
      <c r="E692" s="83">
        <v>1178171.0</v>
      </c>
      <c r="F692" s="83"/>
      <c r="G692" s="114" t="s">
        <v>3236</v>
      </c>
      <c r="H692" s="91" t="s">
        <v>3237</v>
      </c>
      <c r="I692" s="187" t="s">
        <v>149</v>
      </c>
      <c r="J692" s="83" t="s">
        <v>315</v>
      </c>
      <c r="K692" s="83" t="s">
        <v>168</v>
      </c>
      <c r="L692" s="83" t="s">
        <v>169</v>
      </c>
      <c r="M692" s="82" t="s">
        <v>7542</v>
      </c>
      <c r="N692" s="82" t="s">
        <v>7543</v>
      </c>
      <c r="O692" s="82" t="s">
        <v>7544</v>
      </c>
      <c r="P692" s="82" t="s">
        <v>7545</v>
      </c>
      <c r="Q692" s="82" t="s">
        <v>7546</v>
      </c>
      <c r="R692" s="82" t="s">
        <v>7547</v>
      </c>
      <c r="S692" s="82" t="s">
        <v>7548</v>
      </c>
      <c r="T692" s="138">
        <v>4.0</v>
      </c>
      <c r="U692" s="323">
        <v>3.0</v>
      </c>
      <c r="V692" s="106">
        <v>0.0</v>
      </c>
      <c r="W692" s="107">
        <v>0.0</v>
      </c>
      <c r="X692" s="107">
        <v>0.0</v>
      </c>
      <c r="Y692" s="107">
        <v>0.0</v>
      </c>
      <c r="Z692" s="80">
        <v>0.0</v>
      </c>
      <c r="AA692" s="140">
        <v>0.0</v>
      </c>
      <c r="AB692" s="109">
        <v>0.0</v>
      </c>
      <c r="AC692" s="109">
        <v>0.0</v>
      </c>
      <c r="AD692" s="141">
        <v>0.0</v>
      </c>
      <c r="AE692" s="80">
        <v>0.0</v>
      </c>
      <c r="AF692" s="140">
        <v>0.0</v>
      </c>
      <c r="AG692" s="109">
        <v>110.0</v>
      </c>
      <c r="AH692" s="109">
        <v>13.0</v>
      </c>
      <c r="AI692" s="141">
        <v>0.0</v>
      </c>
      <c r="AJ692" s="80">
        <v>123.0</v>
      </c>
      <c r="AK692" s="140">
        <v>0.0</v>
      </c>
      <c r="AL692" s="109">
        <v>0.0</v>
      </c>
      <c r="AM692" s="141">
        <v>0.0</v>
      </c>
      <c r="AN692" s="80">
        <v>0.0</v>
      </c>
      <c r="AO692" s="140">
        <v>0.0</v>
      </c>
      <c r="AP692" s="109">
        <v>0.0</v>
      </c>
      <c r="AQ692" s="109">
        <v>18.0</v>
      </c>
      <c r="AR692" s="80">
        <v>18.0</v>
      </c>
      <c r="AS692" s="110">
        <v>0.0</v>
      </c>
      <c r="AT692" s="110">
        <v>0.0</v>
      </c>
      <c r="AU692" s="110">
        <v>0.0</v>
      </c>
      <c r="AV692" s="142">
        <v>0.0</v>
      </c>
      <c r="AW692" s="80">
        <v>0.0</v>
      </c>
      <c r="AX692" s="113">
        <v>141.0</v>
      </c>
      <c r="AY692" s="117">
        <v>110.0</v>
      </c>
      <c r="AZ692" s="328">
        <v>31.0</v>
      </c>
      <c r="BA692" s="315">
        <v>0.0</v>
      </c>
      <c r="BB692" s="316">
        <v>141.0</v>
      </c>
      <c r="BC692" s="132" t="s">
        <v>373</v>
      </c>
      <c r="BD692" s="132" t="s">
        <v>178</v>
      </c>
      <c r="BE692" s="132" t="s">
        <v>178</v>
      </c>
      <c r="BF692" s="123"/>
      <c r="BG692" s="83">
        <v>1178171.0</v>
      </c>
      <c r="BH692" s="112">
        <v>3.0</v>
      </c>
      <c r="BI692" s="98" t="s">
        <v>155</v>
      </c>
      <c r="BJ692" s="98" t="str">
        <f t="shared" si="1"/>
        <v>NÃO</v>
      </c>
      <c r="BK692" s="98" t="str">
        <f t="shared" si="2"/>
        <v>NÃO</v>
      </c>
    </row>
    <row r="693" ht="15.75" customHeight="1">
      <c r="A693" s="111" t="s">
        <v>796</v>
      </c>
      <c r="B693" s="83" t="s">
        <v>3238</v>
      </c>
      <c r="C693" s="83" t="s">
        <v>68</v>
      </c>
      <c r="D693" s="83">
        <v>1121520.0</v>
      </c>
      <c r="E693" s="83"/>
      <c r="F693" s="83">
        <v>2.9029732E7</v>
      </c>
      <c r="G693" s="119" t="s">
        <v>3239</v>
      </c>
      <c r="H693" s="91" t="s">
        <v>3241</v>
      </c>
      <c r="I693" s="187" t="s">
        <v>149</v>
      </c>
      <c r="J693" s="83" t="s">
        <v>150</v>
      </c>
      <c r="K693" s="83" t="s">
        <v>151</v>
      </c>
      <c r="L693" s="83" t="s">
        <v>230</v>
      </c>
      <c r="M693" s="82" t="s">
        <v>7697</v>
      </c>
      <c r="N693" s="82" t="s">
        <v>7698</v>
      </c>
      <c r="O693" s="82" t="s">
        <v>7699</v>
      </c>
      <c r="P693" s="82" t="s">
        <v>7700</v>
      </c>
      <c r="Q693" s="82" t="s">
        <v>7701</v>
      </c>
      <c r="R693" s="82" t="s">
        <v>7702</v>
      </c>
      <c r="S693" s="82" t="s">
        <v>7703</v>
      </c>
      <c r="T693" s="138">
        <v>8.0</v>
      </c>
      <c r="U693" s="323">
        <v>6.0</v>
      </c>
      <c r="V693" s="106">
        <v>0.0</v>
      </c>
      <c r="W693" s="107">
        <v>0.0</v>
      </c>
      <c r="X693" s="107">
        <v>0.0</v>
      </c>
      <c r="Y693" s="107">
        <v>0.0</v>
      </c>
      <c r="Z693" s="80">
        <v>0.0</v>
      </c>
      <c r="AA693" s="140">
        <v>0.0</v>
      </c>
      <c r="AB693" s="109">
        <v>0.0</v>
      </c>
      <c r="AC693" s="109">
        <v>0.0</v>
      </c>
      <c r="AD693" s="141">
        <v>0.0</v>
      </c>
      <c r="AE693" s="80">
        <v>0.0</v>
      </c>
      <c r="AF693" s="140">
        <v>226.0</v>
      </c>
      <c r="AG693" s="109">
        <v>224.0</v>
      </c>
      <c r="AH693" s="109">
        <v>60.0</v>
      </c>
      <c r="AI693" s="141">
        <v>0.0</v>
      </c>
      <c r="AJ693" s="80">
        <v>510.0</v>
      </c>
      <c r="AK693" s="140">
        <v>0.0</v>
      </c>
      <c r="AL693" s="109">
        <v>0.0</v>
      </c>
      <c r="AM693" s="141">
        <v>0.0</v>
      </c>
      <c r="AN693" s="80">
        <v>0.0</v>
      </c>
      <c r="AO693" s="140">
        <v>0.0</v>
      </c>
      <c r="AP693" s="109">
        <v>0.0</v>
      </c>
      <c r="AQ693" s="109">
        <v>199.0</v>
      </c>
      <c r="AR693" s="80">
        <v>199.0</v>
      </c>
      <c r="AS693" s="110">
        <v>0.0</v>
      </c>
      <c r="AT693" s="110">
        <v>0.0</v>
      </c>
      <c r="AU693" s="110">
        <v>0.0</v>
      </c>
      <c r="AV693" s="142">
        <v>0.0</v>
      </c>
      <c r="AW693" s="80">
        <v>0.0</v>
      </c>
      <c r="AX693" s="113">
        <v>709.0</v>
      </c>
      <c r="AY693" s="117">
        <v>450.0</v>
      </c>
      <c r="AZ693" s="328">
        <v>259.0</v>
      </c>
      <c r="BA693" s="315">
        <v>0.0</v>
      </c>
      <c r="BB693" s="316">
        <v>709.0</v>
      </c>
      <c r="BC693" s="132" t="s">
        <v>178</v>
      </c>
      <c r="BD693" s="132" t="s">
        <v>178</v>
      </c>
      <c r="BE693" s="132" t="s">
        <v>178</v>
      </c>
      <c r="BF693" s="123"/>
      <c r="BG693" s="83">
        <v>1121520.0</v>
      </c>
      <c r="BH693" s="112">
        <v>6.0</v>
      </c>
      <c r="BI693" s="98" t="s">
        <v>155</v>
      </c>
      <c r="BJ693" s="98" t="str">
        <f t="shared" si="1"/>
        <v>NÃO</v>
      </c>
      <c r="BK693" s="98" t="str">
        <f t="shared" si="2"/>
        <v>NÃO</v>
      </c>
    </row>
    <row r="694" ht="15.75" customHeight="1">
      <c r="A694" s="111" t="s">
        <v>796</v>
      </c>
      <c r="B694" s="83" t="s">
        <v>3238</v>
      </c>
      <c r="C694" s="83" t="s">
        <v>164</v>
      </c>
      <c r="D694" s="83">
        <v>1121520.0</v>
      </c>
      <c r="E694" s="83">
        <v>1179364.0</v>
      </c>
      <c r="F694" s="83"/>
      <c r="G694" s="114" t="s">
        <v>7711</v>
      </c>
      <c r="H694" s="91" t="s">
        <v>3246</v>
      </c>
      <c r="I694" s="187" t="s">
        <v>149</v>
      </c>
      <c r="J694" s="83" t="s">
        <v>3247</v>
      </c>
      <c r="K694" s="83" t="s">
        <v>168</v>
      </c>
      <c r="L694" s="83" t="s">
        <v>169</v>
      </c>
      <c r="M694" s="82" t="s">
        <v>7697</v>
      </c>
      <c r="N694" s="82" t="s">
        <v>7698</v>
      </c>
      <c r="O694" s="82" t="s">
        <v>7699</v>
      </c>
      <c r="P694" s="82" t="s">
        <v>7700</v>
      </c>
      <c r="Q694" s="82" t="s">
        <v>7701</v>
      </c>
      <c r="R694" s="82" t="s">
        <v>7702</v>
      </c>
      <c r="S694" s="82" t="s">
        <v>7703</v>
      </c>
      <c r="T694" s="138">
        <v>3.0</v>
      </c>
      <c r="U694" s="323">
        <v>2.0</v>
      </c>
      <c r="V694" s="106">
        <v>0.0</v>
      </c>
      <c r="W694" s="107">
        <v>0.0</v>
      </c>
      <c r="X694" s="107">
        <v>0.0</v>
      </c>
      <c r="Y694" s="107">
        <v>0.0</v>
      </c>
      <c r="Z694" s="80">
        <v>0.0</v>
      </c>
      <c r="AA694" s="140">
        <v>0.0</v>
      </c>
      <c r="AB694" s="109">
        <v>0.0</v>
      </c>
      <c r="AC694" s="109">
        <v>0.0</v>
      </c>
      <c r="AD694" s="141">
        <v>0.0</v>
      </c>
      <c r="AE694" s="80">
        <v>0.0</v>
      </c>
      <c r="AF694" s="140">
        <v>0.0</v>
      </c>
      <c r="AG694" s="109">
        <v>19.0</v>
      </c>
      <c r="AH694" s="109">
        <v>0.0</v>
      </c>
      <c r="AI694" s="141">
        <v>0.0</v>
      </c>
      <c r="AJ694" s="80">
        <v>19.0</v>
      </c>
      <c r="AK694" s="140">
        <v>0.0</v>
      </c>
      <c r="AL694" s="109">
        <v>0.0</v>
      </c>
      <c r="AM694" s="141">
        <v>0.0</v>
      </c>
      <c r="AN694" s="80">
        <v>0.0</v>
      </c>
      <c r="AO694" s="140">
        <v>0.0</v>
      </c>
      <c r="AP694" s="109">
        <v>0.0</v>
      </c>
      <c r="AQ694" s="109">
        <v>0.0</v>
      </c>
      <c r="AR694" s="80">
        <v>0.0</v>
      </c>
      <c r="AS694" s="110">
        <v>0.0</v>
      </c>
      <c r="AT694" s="110">
        <v>0.0</v>
      </c>
      <c r="AU694" s="110">
        <v>0.0</v>
      </c>
      <c r="AV694" s="142">
        <v>0.0</v>
      </c>
      <c r="AW694" s="80">
        <v>0.0</v>
      </c>
      <c r="AX694" s="113">
        <v>19.0</v>
      </c>
      <c r="AY694" s="117">
        <v>19.0</v>
      </c>
      <c r="AZ694" s="328">
        <v>0.0</v>
      </c>
      <c r="BA694" s="315">
        <v>0.0</v>
      </c>
      <c r="BB694" s="316">
        <v>19.0</v>
      </c>
      <c r="BC694" s="132" t="s">
        <v>373</v>
      </c>
      <c r="BD694" s="132" t="s">
        <v>178</v>
      </c>
      <c r="BE694" s="132" t="s">
        <v>178</v>
      </c>
      <c r="BF694" s="123"/>
      <c r="BG694" s="83">
        <v>1179364.0</v>
      </c>
      <c r="BH694" s="98">
        <v>2.0</v>
      </c>
      <c r="BI694" s="98" t="s">
        <v>155</v>
      </c>
      <c r="BJ694" s="98" t="str">
        <f t="shared" si="1"/>
        <v>NÃO</v>
      </c>
      <c r="BK694" s="98" t="str">
        <f t="shared" si="2"/>
        <v>NÃO</v>
      </c>
    </row>
    <row r="695" ht="15.75" customHeight="1">
      <c r="A695" s="111" t="s">
        <v>796</v>
      </c>
      <c r="B695" s="83" t="s">
        <v>3238</v>
      </c>
      <c r="C695" s="83" t="s">
        <v>164</v>
      </c>
      <c r="D695" s="83">
        <v>1121520.0</v>
      </c>
      <c r="E695" s="83">
        <v>1179143.0</v>
      </c>
      <c r="F695" s="83"/>
      <c r="G695" s="185" t="s">
        <v>7715</v>
      </c>
      <c r="H695" s="91" t="s">
        <v>3262</v>
      </c>
      <c r="I695" s="114" t="s">
        <v>3263</v>
      </c>
      <c r="J695" s="83" t="s">
        <v>890</v>
      </c>
      <c r="K695" s="83" t="s">
        <v>168</v>
      </c>
      <c r="L695" s="83" t="s">
        <v>169</v>
      </c>
      <c r="M695" s="82" t="s">
        <v>7697</v>
      </c>
      <c r="N695" s="82" t="s">
        <v>7698</v>
      </c>
      <c r="O695" s="82" t="s">
        <v>7699</v>
      </c>
      <c r="P695" s="82" t="s">
        <v>7700</v>
      </c>
      <c r="Q695" s="82" t="s">
        <v>7701</v>
      </c>
      <c r="R695" s="82" t="s">
        <v>7702</v>
      </c>
      <c r="S695" s="82" t="s">
        <v>7703</v>
      </c>
      <c r="T695" s="138">
        <v>3.0</v>
      </c>
      <c r="U695" s="323">
        <v>2.0</v>
      </c>
      <c r="V695" s="106">
        <v>0.0</v>
      </c>
      <c r="W695" s="107">
        <v>0.0</v>
      </c>
      <c r="X695" s="107">
        <v>0.0</v>
      </c>
      <c r="Y695" s="107">
        <v>0.0</v>
      </c>
      <c r="Z695" s="80">
        <v>0.0</v>
      </c>
      <c r="AA695" s="140">
        <v>0.0</v>
      </c>
      <c r="AB695" s="109">
        <v>0.0</v>
      </c>
      <c r="AC695" s="109">
        <v>0.0</v>
      </c>
      <c r="AD695" s="141">
        <v>0.0</v>
      </c>
      <c r="AE695" s="80">
        <v>0.0</v>
      </c>
      <c r="AF695" s="140">
        <v>0.0</v>
      </c>
      <c r="AG695" s="109">
        <v>0.0</v>
      </c>
      <c r="AH695" s="109">
        <v>21.0</v>
      </c>
      <c r="AI695" s="141">
        <v>0.0</v>
      </c>
      <c r="AJ695" s="80">
        <v>21.0</v>
      </c>
      <c r="AK695" s="140">
        <v>0.0</v>
      </c>
      <c r="AL695" s="109">
        <v>0.0</v>
      </c>
      <c r="AM695" s="141">
        <v>0.0</v>
      </c>
      <c r="AN695" s="80">
        <v>0.0</v>
      </c>
      <c r="AO695" s="140">
        <v>0.0</v>
      </c>
      <c r="AP695" s="109">
        <v>0.0</v>
      </c>
      <c r="AQ695" s="109">
        <v>35.0</v>
      </c>
      <c r="AR695" s="80">
        <v>35.0</v>
      </c>
      <c r="AS695" s="110">
        <v>0.0</v>
      </c>
      <c r="AT695" s="110">
        <v>0.0</v>
      </c>
      <c r="AU695" s="110">
        <v>0.0</v>
      </c>
      <c r="AV695" s="142">
        <v>0.0</v>
      </c>
      <c r="AW695" s="80">
        <v>0.0</v>
      </c>
      <c r="AX695" s="113">
        <v>56.0</v>
      </c>
      <c r="AY695" s="117">
        <v>0.0</v>
      </c>
      <c r="AZ695" s="328">
        <v>56.0</v>
      </c>
      <c r="BA695" s="315">
        <v>0.0</v>
      </c>
      <c r="BB695" s="316">
        <v>56.0</v>
      </c>
      <c r="BC695" s="132" t="s">
        <v>373</v>
      </c>
      <c r="BD695" s="132" t="s">
        <v>178</v>
      </c>
      <c r="BE695" s="132" t="s">
        <v>178</v>
      </c>
      <c r="BF695" s="123"/>
      <c r="BG695" s="83">
        <v>1179143.0</v>
      </c>
      <c r="BH695" s="98">
        <v>2.0</v>
      </c>
      <c r="BI695" s="98" t="s">
        <v>155</v>
      </c>
      <c r="BJ695" s="98" t="str">
        <f t="shared" si="1"/>
        <v>NÃO</v>
      </c>
      <c r="BK695" s="98" t="str">
        <f t="shared" si="2"/>
        <v>NÃO</v>
      </c>
    </row>
    <row r="696" ht="15.75" customHeight="1">
      <c r="A696" s="111" t="s">
        <v>796</v>
      </c>
      <c r="B696" s="83" t="s">
        <v>3238</v>
      </c>
      <c r="C696" s="83" t="s">
        <v>164</v>
      </c>
      <c r="D696" s="83">
        <v>1121520.0</v>
      </c>
      <c r="E696" s="83">
        <v>1179086.0</v>
      </c>
      <c r="F696" s="83"/>
      <c r="G696" s="185" t="s">
        <v>7723</v>
      </c>
      <c r="H696" s="91" t="s">
        <v>3270</v>
      </c>
      <c r="I696" s="114" t="s">
        <v>149</v>
      </c>
      <c r="J696" s="83" t="s">
        <v>3271</v>
      </c>
      <c r="K696" s="83" t="s">
        <v>168</v>
      </c>
      <c r="L696" s="83" t="s">
        <v>169</v>
      </c>
      <c r="M696" s="82" t="s">
        <v>7697</v>
      </c>
      <c r="N696" s="82" t="s">
        <v>7698</v>
      </c>
      <c r="O696" s="82" t="s">
        <v>7699</v>
      </c>
      <c r="P696" s="82" t="s">
        <v>7700</v>
      </c>
      <c r="Q696" s="82" t="s">
        <v>7701</v>
      </c>
      <c r="R696" s="82" t="s">
        <v>7702</v>
      </c>
      <c r="S696" s="82" t="s">
        <v>7703</v>
      </c>
      <c r="T696" s="138">
        <v>3.0</v>
      </c>
      <c r="U696" s="323">
        <v>2.0</v>
      </c>
      <c r="V696" s="106">
        <v>0.0</v>
      </c>
      <c r="W696" s="107">
        <v>0.0</v>
      </c>
      <c r="X696" s="107">
        <v>0.0</v>
      </c>
      <c r="Y696" s="107">
        <v>0.0</v>
      </c>
      <c r="Z696" s="80">
        <v>0.0</v>
      </c>
      <c r="AA696" s="140">
        <v>0.0</v>
      </c>
      <c r="AB696" s="109">
        <v>0.0</v>
      </c>
      <c r="AC696" s="109">
        <v>0.0</v>
      </c>
      <c r="AD696" s="141">
        <v>0.0</v>
      </c>
      <c r="AE696" s="80">
        <v>0.0</v>
      </c>
      <c r="AF696" s="140">
        <v>0.0</v>
      </c>
      <c r="AG696" s="109">
        <v>50.0</v>
      </c>
      <c r="AH696" s="109">
        <v>0.0</v>
      </c>
      <c r="AI696" s="141">
        <v>0.0</v>
      </c>
      <c r="AJ696" s="80">
        <v>50.0</v>
      </c>
      <c r="AK696" s="140">
        <v>0.0</v>
      </c>
      <c r="AL696" s="109">
        <v>0.0</v>
      </c>
      <c r="AM696" s="141">
        <v>0.0</v>
      </c>
      <c r="AN696" s="80">
        <v>0.0</v>
      </c>
      <c r="AO696" s="140">
        <v>0.0</v>
      </c>
      <c r="AP696" s="109">
        <v>0.0</v>
      </c>
      <c r="AQ696" s="109">
        <v>0.0</v>
      </c>
      <c r="AR696" s="80">
        <v>0.0</v>
      </c>
      <c r="AS696" s="110">
        <v>0.0</v>
      </c>
      <c r="AT696" s="110">
        <v>0.0</v>
      </c>
      <c r="AU696" s="110">
        <v>0.0</v>
      </c>
      <c r="AV696" s="142">
        <v>0.0</v>
      </c>
      <c r="AW696" s="80">
        <v>0.0</v>
      </c>
      <c r="AX696" s="113">
        <v>50.0</v>
      </c>
      <c r="AY696" s="117">
        <v>50.0</v>
      </c>
      <c r="AZ696" s="328">
        <v>0.0</v>
      </c>
      <c r="BA696" s="315">
        <v>0.0</v>
      </c>
      <c r="BB696" s="316">
        <v>50.0</v>
      </c>
      <c r="BC696" s="132" t="s">
        <v>373</v>
      </c>
      <c r="BD696" s="132" t="s">
        <v>178</v>
      </c>
      <c r="BE696" s="132" t="s">
        <v>178</v>
      </c>
      <c r="BF696" s="156"/>
      <c r="BG696" s="83">
        <v>1179086.0</v>
      </c>
      <c r="BH696" s="98">
        <v>2.0</v>
      </c>
      <c r="BI696" s="98" t="s">
        <v>155</v>
      </c>
      <c r="BJ696" s="98" t="str">
        <f t="shared" si="1"/>
        <v>NÃO</v>
      </c>
      <c r="BK696" s="98" t="str">
        <f t="shared" si="2"/>
        <v>NÃO</v>
      </c>
    </row>
    <row r="697" ht="15.75" customHeight="1">
      <c r="A697" s="111" t="s">
        <v>796</v>
      </c>
      <c r="B697" s="83" t="s">
        <v>3238</v>
      </c>
      <c r="C697" s="83" t="s">
        <v>164</v>
      </c>
      <c r="D697" s="83">
        <v>1121520.0</v>
      </c>
      <c r="E697" s="83">
        <v>1179088.0</v>
      </c>
      <c r="F697" s="83"/>
      <c r="G697" s="185" t="s">
        <v>7727</v>
      </c>
      <c r="H697" s="91" t="s">
        <v>3273</v>
      </c>
      <c r="I697" s="114" t="s">
        <v>149</v>
      </c>
      <c r="J697" s="83" t="s">
        <v>3274</v>
      </c>
      <c r="K697" s="83" t="s">
        <v>168</v>
      </c>
      <c r="L697" s="83" t="s">
        <v>169</v>
      </c>
      <c r="M697" s="82" t="s">
        <v>7697</v>
      </c>
      <c r="N697" s="82" t="s">
        <v>7698</v>
      </c>
      <c r="O697" s="82" t="s">
        <v>7699</v>
      </c>
      <c r="P697" s="82" t="s">
        <v>7700</v>
      </c>
      <c r="Q697" s="82" t="s">
        <v>7701</v>
      </c>
      <c r="R697" s="82" t="s">
        <v>7702</v>
      </c>
      <c r="S697" s="82" t="s">
        <v>7703</v>
      </c>
      <c r="T697" s="138">
        <v>3.0</v>
      </c>
      <c r="U697" s="323">
        <v>3.0</v>
      </c>
      <c r="V697" s="106">
        <v>0.0</v>
      </c>
      <c r="W697" s="107">
        <v>0.0</v>
      </c>
      <c r="X697" s="107">
        <v>0.0</v>
      </c>
      <c r="Y697" s="107">
        <v>0.0</v>
      </c>
      <c r="Z697" s="80">
        <v>0.0</v>
      </c>
      <c r="AA697" s="140">
        <v>0.0</v>
      </c>
      <c r="AB697" s="109">
        <v>0.0</v>
      </c>
      <c r="AC697" s="109">
        <v>0.0</v>
      </c>
      <c r="AD697" s="141">
        <v>0.0</v>
      </c>
      <c r="AE697" s="80">
        <v>0.0</v>
      </c>
      <c r="AF697" s="140">
        <v>0.0</v>
      </c>
      <c r="AG697" s="109">
        <v>34.0</v>
      </c>
      <c r="AH697" s="109">
        <v>0.0</v>
      </c>
      <c r="AI697" s="141">
        <v>0.0</v>
      </c>
      <c r="AJ697" s="80">
        <v>34.0</v>
      </c>
      <c r="AK697" s="140">
        <v>0.0</v>
      </c>
      <c r="AL697" s="109">
        <v>0.0</v>
      </c>
      <c r="AM697" s="141">
        <v>0.0</v>
      </c>
      <c r="AN697" s="80">
        <v>0.0</v>
      </c>
      <c r="AO697" s="140">
        <v>0.0</v>
      </c>
      <c r="AP697" s="109">
        <v>0.0</v>
      </c>
      <c r="AQ697" s="109">
        <v>0.0</v>
      </c>
      <c r="AR697" s="80">
        <v>0.0</v>
      </c>
      <c r="AS697" s="110">
        <v>0.0</v>
      </c>
      <c r="AT697" s="110">
        <v>0.0</v>
      </c>
      <c r="AU697" s="110">
        <v>0.0</v>
      </c>
      <c r="AV697" s="142">
        <v>0.0</v>
      </c>
      <c r="AW697" s="80">
        <v>0.0</v>
      </c>
      <c r="AX697" s="113">
        <v>34.0</v>
      </c>
      <c r="AY697" s="117">
        <v>34.0</v>
      </c>
      <c r="AZ697" s="328">
        <v>0.0</v>
      </c>
      <c r="BA697" s="315">
        <v>0.0</v>
      </c>
      <c r="BB697" s="316">
        <v>34.0</v>
      </c>
      <c r="BC697" s="132" t="s">
        <v>373</v>
      </c>
      <c r="BD697" s="132" t="s">
        <v>178</v>
      </c>
      <c r="BE697" s="132" t="s">
        <v>178</v>
      </c>
      <c r="BF697" s="156"/>
      <c r="BG697" s="83">
        <v>1179088.0</v>
      </c>
      <c r="BH697" s="112">
        <v>3.0</v>
      </c>
      <c r="BI697" s="98" t="s">
        <v>155</v>
      </c>
      <c r="BJ697" s="98" t="str">
        <f t="shared" si="1"/>
        <v>NÃO</v>
      </c>
      <c r="BK697" s="98" t="str">
        <f t="shared" si="2"/>
        <v>NÃO</v>
      </c>
    </row>
    <row r="698" ht="15.75" customHeight="1">
      <c r="A698" s="111" t="s">
        <v>796</v>
      </c>
      <c r="B698" s="83" t="s">
        <v>3238</v>
      </c>
      <c r="C698" s="83" t="s">
        <v>164</v>
      </c>
      <c r="D698" s="83">
        <v>1121520.0</v>
      </c>
      <c r="E698" s="83">
        <v>1179087.0</v>
      </c>
      <c r="F698" s="83"/>
      <c r="G698" s="185" t="s">
        <v>7734</v>
      </c>
      <c r="H698" s="91" t="s">
        <v>3251</v>
      </c>
      <c r="I698" s="114" t="s">
        <v>149</v>
      </c>
      <c r="J698" s="83" t="s">
        <v>183</v>
      </c>
      <c r="K698" s="83" t="s">
        <v>168</v>
      </c>
      <c r="L698" s="83" t="s">
        <v>169</v>
      </c>
      <c r="M698" s="82" t="s">
        <v>7697</v>
      </c>
      <c r="N698" s="82" t="s">
        <v>7698</v>
      </c>
      <c r="O698" s="82" t="s">
        <v>7699</v>
      </c>
      <c r="P698" s="82" t="s">
        <v>7700</v>
      </c>
      <c r="Q698" s="82" t="s">
        <v>7701</v>
      </c>
      <c r="R698" s="82" t="s">
        <v>7702</v>
      </c>
      <c r="S698" s="82" t="s">
        <v>7703</v>
      </c>
      <c r="T698" s="138">
        <v>6.0</v>
      </c>
      <c r="U698" s="323">
        <v>6.0</v>
      </c>
      <c r="V698" s="106">
        <v>0.0</v>
      </c>
      <c r="W698" s="107">
        <v>0.0</v>
      </c>
      <c r="X698" s="107">
        <v>0.0</v>
      </c>
      <c r="Y698" s="107">
        <v>0.0</v>
      </c>
      <c r="Z698" s="80">
        <v>0.0</v>
      </c>
      <c r="AA698" s="140">
        <v>0.0</v>
      </c>
      <c r="AB698" s="109">
        <v>0.0</v>
      </c>
      <c r="AC698" s="109">
        <v>0.0</v>
      </c>
      <c r="AD698" s="141">
        <v>0.0</v>
      </c>
      <c r="AE698" s="80">
        <v>0.0</v>
      </c>
      <c r="AF698" s="140">
        <v>0.0</v>
      </c>
      <c r="AG698" s="109">
        <v>0.0</v>
      </c>
      <c r="AH698" s="109">
        <v>45.0</v>
      </c>
      <c r="AI698" s="141">
        <v>0.0</v>
      </c>
      <c r="AJ698" s="80">
        <v>45.0</v>
      </c>
      <c r="AK698" s="140">
        <v>0.0</v>
      </c>
      <c r="AL698" s="109">
        <v>0.0</v>
      </c>
      <c r="AM698" s="141">
        <v>0.0</v>
      </c>
      <c r="AN698" s="80">
        <v>0.0</v>
      </c>
      <c r="AO698" s="140">
        <v>0.0</v>
      </c>
      <c r="AP698" s="109">
        <v>0.0</v>
      </c>
      <c r="AQ698" s="109">
        <v>33.0</v>
      </c>
      <c r="AR698" s="80">
        <v>33.0</v>
      </c>
      <c r="AS698" s="110">
        <v>0.0</v>
      </c>
      <c r="AT698" s="110">
        <v>0.0</v>
      </c>
      <c r="AU698" s="110">
        <v>0.0</v>
      </c>
      <c r="AV698" s="142">
        <v>0.0</v>
      </c>
      <c r="AW698" s="80">
        <v>0.0</v>
      </c>
      <c r="AX698" s="113">
        <v>78.0</v>
      </c>
      <c r="AY698" s="117">
        <v>0.0</v>
      </c>
      <c r="AZ698" s="328">
        <v>78.0</v>
      </c>
      <c r="BA698" s="315">
        <v>0.0</v>
      </c>
      <c r="BB698" s="316">
        <v>78.0</v>
      </c>
      <c r="BC698" s="132" t="s">
        <v>373</v>
      </c>
      <c r="BD698" s="132" t="s">
        <v>178</v>
      </c>
      <c r="BE698" s="132" t="s">
        <v>178</v>
      </c>
      <c r="BF698" s="156"/>
      <c r="BG698" s="83">
        <v>1179087.0</v>
      </c>
      <c r="BH698" s="112">
        <v>6.0</v>
      </c>
      <c r="BI698" s="98" t="s">
        <v>155</v>
      </c>
      <c r="BJ698" s="98" t="str">
        <f t="shared" si="1"/>
        <v>NÃO</v>
      </c>
      <c r="BK698" s="98" t="str">
        <f t="shared" si="2"/>
        <v>NÃO</v>
      </c>
    </row>
    <row r="699" ht="15.75" customHeight="1">
      <c r="A699" s="111" t="s">
        <v>796</v>
      </c>
      <c r="B699" s="83" t="s">
        <v>3238</v>
      </c>
      <c r="C699" s="83" t="s">
        <v>164</v>
      </c>
      <c r="D699" s="83">
        <v>1121520.0</v>
      </c>
      <c r="E699" s="83">
        <v>1178678.0</v>
      </c>
      <c r="F699" s="83"/>
      <c r="G699" s="185" t="s">
        <v>7740</v>
      </c>
      <c r="H699" s="91" t="s">
        <v>3277</v>
      </c>
      <c r="I699" s="114" t="s">
        <v>149</v>
      </c>
      <c r="J699" s="83" t="s">
        <v>1745</v>
      </c>
      <c r="K699" s="83" t="s">
        <v>168</v>
      </c>
      <c r="L699" s="83" t="s">
        <v>169</v>
      </c>
      <c r="M699" s="82" t="s">
        <v>7697</v>
      </c>
      <c r="N699" s="82" t="s">
        <v>7698</v>
      </c>
      <c r="O699" s="82" t="s">
        <v>7699</v>
      </c>
      <c r="P699" s="82" t="s">
        <v>7700</v>
      </c>
      <c r="Q699" s="82" t="s">
        <v>7701</v>
      </c>
      <c r="R699" s="82" t="s">
        <v>7702</v>
      </c>
      <c r="S699" s="82" t="s">
        <v>7703</v>
      </c>
      <c r="T699" s="138">
        <v>3.0</v>
      </c>
      <c r="U699" s="323">
        <v>3.0</v>
      </c>
      <c r="V699" s="106">
        <v>0.0</v>
      </c>
      <c r="W699" s="107">
        <v>0.0</v>
      </c>
      <c r="X699" s="107">
        <v>0.0</v>
      </c>
      <c r="Y699" s="107">
        <v>0.0</v>
      </c>
      <c r="Z699" s="80">
        <v>0.0</v>
      </c>
      <c r="AA699" s="140">
        <v>0.0</v>
      </c>
      <c r="AB699" s="109">
        <v>0.0</v>
      </c>
      <c r="AC699" s="109">
        <v>0.0</v>
      </c>
      <c r="AD699" s="141">
        <v>0.0</v>
      </c>
      <c r="AE699" s="80">
        <v>0.0</v>
      </c>
      <c r="AF699" s="140">
        <v>0.0</v>
      </c>
      <c r="AG699" s="109">
        <v>0.0</v>
      </c>
      <c r="AH699" s="109">
        <v>19.0</v>
      </c>
      <c r="AI699" s="141">
        <v>0.0</v>
      </c>
      <c r="AJ699" s="80">
        <v>19.0</v>
      </c>
      <c r="AK699" s="140">
        <v>0.0</v>
      </c>
      <c r="AL699" s="109">
        <v>0.0</v>
      </c>
      <c r="AM699" s="141">
        <v>0.0</v>
      </c>
      <c r="AN699" s="80">
        <v>0.0</v>
      </c>
      <c r="AO699" s="140">
        <v>0.0</v>
      </c>
      <c r="AP699" s="109">
        <v>0.0</v>
      </c>
      <c r="AQ699" s="109">
        <v>41.0</v>
      </c>
      <c r="AR699" s="80">
        <v>41.0</v>
      </c>
      <c r="AS699" s="110">
        <v>0.0</v>
      </c>
      <c r="AT699" s="110">
        <v>0.0</v>
      </c>
      <c r="AU699" s="110">
        <v>0.0</v>
      </c>
      <c r="AV699" s="142">
        <v>0.0</v>
      </c>
      <c r="AW699" s="80">
        <v>0.0</v>
      </c>
      <c r="AX699" s="113">
        <v>60.0</v>
      </c>
      <c r="AY699" s="117">
        <v>0.0</v>
      </c>
      <c r="AZ699" s="328">
        <v>60.0</v>
      </c>
      <c r="BA699" s="315">
        <v>0.0</v>
      </c>
      <c r="BB699" s="316">
        <v>60.0</v>
      </c>
      <c r="BC699" s="132" t="s">
        <v>373</v>
      </c>
      <c r="BD699" s="132" t="s">
        <v>178</v>
      </c>
      <c r="BE699" s="132" t="s">
        <v>178</v>
      </c>
      <c r="BF699" s="156"/>
      <c r="BG699" s="83">
        <v>1178678.0</v>
      </c>
      <c r="BH699" s="112">
        <v>3.0</v>
      </c>
      <c r="BI699" s="98" t="s">
        <v>155</v>
      </c>
      <c r="BJ699" s="98" t="str">
        <f t="shared" si="1"/>
        <v>NÃO</v>
      </c>
      <c r="BK699" s="98" t="str">
        <f t="shared" si="2"/>
        <v>NÃO</v>
      </c>
    </row>
    <row r="700" ht="15.75" customHeight="1">
      <c r="A700" s="111" t="s">
        <v>796</v>
      </c>
      <c r="B700" s="83" t="s">
        <v>3238</v>
      </c>
      <c r="C700" s="83" t="s">
        <v>164</v>
      </c>
      <c r="D700" s="83">
        <v>1121520.0</v>
      </c>
      <c r="E700" s="83">
        <v>1178677.0</v>
      </c>
      <c r="F700" s="83"/>
      <c r="G700" s="185" t="s">
        <v>7749</v>
      </c>
      <c r="H700" s="91" t="s">
        <v>3279</v>
      </c>
      <c r="I700" s="114" t="s">
        <v>149</v>
      </c>
      <c r="J700" s="83" t="s">
        <v>694</v>
      </c>
      <c r="K700" s="83" t="s">
        <v>168</v>
      </c>
      <c r="L700" s="83" t="s">
        <v>169</v>
      </c>
      <c r="M700" s="82" t="s">
        <v>7697</v>
      </c>
      <c r="N700" s="82" t="s">
        <v>7698</v>
      </c>
      <c r="O700" s="82" t="s">
        <v>7699</v>
      </c>
      <c r="P700" s="82" t="s">
        <v>7700</v>
      </c>
      <c r="Q700" s="82" t="s">
        <v>7701</v>
      </c>
      <c r="R700" s="82" t="s">
        <v>7702</v>
      </c>
      <c r="S700" s="82" t="s">
        <v>7703</v>
      </c>
      <c r="T700" s="138">
        <v>4.0</v>
      </c>
      <c r="U700" s="323">
        <v>3.0</v>
      </c>
      <c r="V700" s="106">
        <v>0.0</v>
      </c>
      <c r="W700" s="107">
        <v>0.0</v>
      </c>
      <c r="X700" s="107">
        <v>0.0</v>
      </c>
      <c r="Y700" s="107">
        <v>0.0</v>
      </c>
      <c r="Z700" s="80">
        <v>0.0</v>
      </c>
      <c r="AA700" s="140">
        <v>0.0</v>
      </c>
      <c r="AB700" s="109">
        <v>0.0</v>
      </c>
      <c r="AC700" s="109">
        <v>0.0</v>
      </c>
      <c r="AD700" s="141">
        <v>0.0</v>
      </c>
      <c r="AE700" s="80">
        <v>0.0</v>
      </c>
      <c r="AF700" s="140">
        <v>0.0</v>
      </c>
      <c r="AG700" s="109">
        <v>77.0</v>
      </c>
      <c r="AH700" s="109">
        <v>38.0</v>
      </c>
      <c r="AI700" s="141">
        <v>0.0</v>
      </c>
      <c r="AJ700" s="80">
        <v>115.0</v>
      </c>
      <c r="AK700" s="140">
        <v>0.0</v>
      </c>
      <c r="AL700" s="109">
        <v>0.0</v>
      </c>
      <c r="AM700" s="141">
        <v>0.0</v>
      </c>
      <c r="AN700" s="80">
        <v>0.0</v>
      </c>
      <c r="AO700" s="140">
        <v>0.0</v>
      </c>
      <c r="AP700" s="109">
        <v>0.0</v>
      </c>
      <c r="AQ700" s="109">
        <v>0.0</v>
      </c>
      <c r="AR700" s="80">
        <v>0.0</v>
      </c>
      <c r="AS700" s="110">
        <v>0.0</v>
      </c>
      <c r="AT700" s="110">
        <v>0.0</v>
      </c>
      <c r="AU700" s="110">
        <v>0.0</v>
      </c>
      <c r="AV700" s="142">
        <v>0.0</v>
      </c>
      <c r="AW700" s="80">
        <v>0.0</v>
      </c>
      <c r="AX700" s="113">
        <v>115.0</v>
      </c>
      <c r="AY700" s="117">
        <v>77.0</v>
      </c>
      <c r="AZ700" s="328">
        <v>38.0</v>
      </c>
      <c r="BA700" s="315">
        <v>0.0</v>
      </c>
      <c r="BB700" s="316">
        <v>115.0</v>
      </c>
      <c r="BC700" s="132" t="s">
        <v>373</v>
      </c>
      <c r="BD700" s="132" t="s">
        <v>178</v>
      </c>
      <c r="BE700" s="132" t="s">
        <v>178</v>
      </c>
      <c r="BF700" s="156"/>
      <c r="BG700" s="83">
        <v>1178677.0</v>
      </c>
      <c r="BH700" s="112">
        <v>3.0</v>
      </c>
      <c r="BI700" s="98" t="s">
        <v>155</v>
      </c>
      <c r="BJ700" s="98" t="str">
        <f t="shared" si="1"/>
        <v>NÃO</v>
      </c>
      <c r="BK700" s="98" t="str">
        <f t="shared" si="2"/>
        <v>NÃO</v>
      </c>
    </row>
    <row r="701" ht="15.75" customHeight="1">
      <c r="A701" s="111" t="s">
        <v>796</v>
      </c>
      <c r="B701" s="83" t="s">
        <v>3238</v>
      </c>
      <c r="C701" s="83" t="s">
        <v>164</v>
      </c>
      <c r="D701" s="83">
        <v>1121520.0</v>
      </c>
      <c r="E701" s="83">
        <v>1179365.0</v>
      </c>
      <c r="F701" s="83"/>
      <c r="G701" s="185" t="s">
        <v>7756</v>
      </c>
      <c r="H701" s="91" t="s">
        <v>3254</v>
      </c>
      <c r="I701" s="114" t="s">
        <v>149</v>
      </c>
      <c r="J701" s="83" t="s">
        <v>3255</v>
      </c>
      <c r="K701" s="83" t="s">
        <v>168</v>
      </c>
      <c r="L701" s="83" t="s">
        <v>169</v>
      </c>
      <c r="M701" s="82" t="s">
        <v>7697</v>
      </c>
      <c r="N701" s="82" t="s">
        <v>7698</v>
      </c>
      <c r="O701" s="82" t="s">
        <v>7699</v>
      </c>
      <c r="P701" s="82" t="s">
        <v>7700</v>
      </c>
      <c r="Q701" s="82" t="s">
        <v>7701</v>
      </c>
      <c r="R701" s="82" t="s">
        <v>7702</v>
      </c>
      <c r="S701" s="82" t="s">
        <v>7703</v>
      </c>
      <c r="T701" s="138">
        <v>3.0</v>
      </c>
      <c r="U701" s="323">
        <v>2.0</v>
      </c>
      <c r="V701" s="106">
        <v>0.0</v>
      </c>
      <c r="W701" s="107">
        <v>0.0</v>
      </c>
      <c r="X701" s="107">
        <v>0.0</v>
      </c>
      <c r="Y701" s="107">
        <v>0.0</v>
      </c>
      <c r="Z701" s="80">
        <v>0.0</v>
      </c>
      <c r="AA701" s="140">
        <v>0.0</v>
      </c>
      <c r="AB701" s="109">
        <v>0.0</v>
      </c>
      <c r="AC701" s="109">
        <v>0.0</v>
      </c>
      <c r="AD701" s="141">
        <v>0.0</v>
      </c>
      <c r="AE701" s="80">
        <v>0.0</v>
      </c>
      <c r="AF701" s="140">
        <v>0.0</v>
      </c>
      <c r="AG701" s="109">
        <v>0.0</v>
      </c>
      <c r="AH701" s="109">
        <v>24.0</v>
      </c>
      <c r="AI701" s="141">
        <v>0.0</v>
      </c>
      <c r="AJ701" s="80">
        <v>24.0</v>
      </c>
      <c r="AK701" s="140">
        <v>0.0</v>
      </c>
      <c r="AL701" s="109">
        <v>0.0</v>
      </c>
      <c r="AM701" s="141">
        <v>0.0</v>
      </c>
      <c r="AN701" s="80">
        <v>0.0</v>
      </c>
      <c r="AO701" s="140">
        <v>0.0</v>
      </c>
      <c r="AP701" s="109">
        <v>0.0</v>
      </c>
      <c r="AQ701" s="109">
        <v>48.0</v>
      </c>
      <c r="AR701" s="80">
        <v>48.0</v>
      </c>
      <c r="AS701" s="110">
        <v>0.0</v>
      </c>
      <c r="AT701" s="110">
        <v>0.0</v>
      </c>
      <c r="AU701" s="110">
        <v>0.0</v>
      </c>
      <c r="AV701" s="142">
        <v>0.0</v>
      </c>
      <c r="AW701" s="80">
        <v>0.0</v>
      </c>
      <c r="AX701" s="113">
        <v>72.0</v>
      </c>
      <c r="AY701" s="117">
        <v>0.0</v>
      </c>
      <c r="AZ701" s="328">
        <v>72.0</v>
      </c>
      <c r="BA701" s="315">
        <v>0.0</v>
      </c>
      <c r="BB701" s="316">
        <v>72.0</v>
      </c>
      <c r="BC701" s="132" t="s">
        <v>373</v>
      </c>
      <c r="BD701" s="132" t="s">
        <v>178</v>
      </c>
      <c r="BE701" s="132" t="s">
        <v>178</v>
      </c>
      <c r="BF701" s="123"/>
      <c r="BG701" s="83">
        <v>1179365.0</v>
      </c>
      <c r="BH701" s="98">
        <v>2.0</v>
      </c>
      <c r="BI701" s="98" t="s">
        <v>155</v>
      </c>
      <c r="BJ701" s="98" t="str">
        <f t="shared" si="1"/>
        <v>NÃO</v>
      </c>
      <c r="BK701" s="98" t="str">
        <f t="shared" si="2"/>
        <v>NÃO</v>
      </c>
    </row>
    <row r="702" ht="15.75" customHeight="1">
      <c r="A702" s="111" t="s">
        <v>796</v>
      </c>
      <c r="B702" s="83" t="s">
        <v>3238</v>
      </c>
      <c r="C702" s="83" t="s">
        <v>164</v>
      </c>
      <c r="D702" s="83">
        <v>1121520.0</v>
      </c>
      <c r="E702" s="83">
        <v>1178680.0</v>
      </c>
      <c r="F702" s="83"/>
      <c r="G702" s="185" t="s">
        <v>7761</v>
      </c>
      <c r="H702" s="91" t="s">
        <v>3290</v>
      </c>
      <c r="I702" s="114" t="s">
        <v>3291</v>
      </c>
      <c r="J702" s="83" t="s">
        <v>3292</v>
      </c>
      <c r="K702" s="83" t="s">
        <v>168</v>
      </c>
      <c r="L702" s="83" t="s">
        <v>169</v>
      </c>
      <c r="M702" s="82" t="s">
        <v>7697</v>
      </c>
      <c r="N702" s="82" t="s">
        <v>7698</v>
      </c>
      <c r="O702" s="82" t="s">
        <v>7699</v>
      </c>
      <c r="P702" s="82" t="s">
        <v>7700</v>
      </c>
      <c r="Q702" s="82" t="s">
        <v>7701</v>
      </c>
      <c r="R702" s="82" t="s">
        <v>7702</v>
      </c>
      <c r="S702" s="82" t="s">
        <v>7703</v>
      </c>
      <c r="T702" s="138">
        <v>3.0</v>
      </c>
      <c r="U702" s="323">
        <v>2.0</v>
      </c>
      <c r="V702" s="106">
        <v>0.0</v>
      </c>
      <c r="W702" s="107">
        <v>0.0</v>
      </c>
      <c r="X702" s="107">
        <v>0.0</v>
      </c>
      <c r="Y702" s="107">
        <v>0.0</v>
      </c>
      <c r="Z702" s="80">
        <v>0.0</v>
      </c>
      <c r="AA702" s="140">
        <v>0.0</v>
      </c>
      <c r="AB702" s="109">
        <v>0.0</v>
      </c>
      <c r="AC702" s="109">
        <v>0.0</v>
      </c>
      <c r="AD702" s="141">
        <v>0.0</v>
      </c>
      <c r="AE702" s="80">
        <v>0.0</v>
      </c>
      <c r="AF702" s="140">
        <v>0.0</v>
      </c>
      <c r="AG702" s="109">
        <v>0.0</v>
      </c>
      <c r="AH702" s="109">
        <v>8.0</v>
      </c>
      <c r="AI702" s="141">
        <v>0.0</v>
      </c>
      <c r="AJ702" s="80">
        <v>8.0</v>
      </c>
      <c r="AK702" s="140">
        <v>0.0</v>
      </c>
      <c r="AL702" s="109">
        <v>0.0</v>
      </c>
      <c r="AM702" s="141">
        <v>0.0</v>
      </c>
      <c r="AN702" s="80">
        <v>0.0</v>
      </c>
      <c r="AO702" s="140">
        <v>0.0</v>
      </c>
      <c r="AP702" s="109">
        <v>0.0</v>
      </c>
      <c r="AQ702" s="109">
        <v>22.0</v>
      </c>
      <c r="AR702" s="80">
        <v>22.0</v>
      </c>
      <c r="AS702" s="110">
        <v>0.0</v>
      </c>
      <c r="AT702" s="110">
        <v>0.0</v>
      </c>
      <c r="AU702" s="110">
        <v>0.0</v>
      </c>
      <c r="AV702" s="142">
        <v>0.0</v>
      </c>
      <c r="AW702" s="80">
        <v>0.0</v>
      </c>
      <c r="AX702" s="113">
        <v>30.0</v>
      </c>
      <c r="AY702" s="117">
        <v>0.0</v>
      </c>
      <c r="AZ702" s="328">
        <v>30.0</v>
      </c>
      <c r="BA702" s="315">
        <v>0.0</v>
      </c>
      <c r="BB702" s="316">
        <v>30.0</v>
      </c>
      <c r="BC702" s="132" t="s">
        <v>373</v>
      </c>
      <c r="BD702" s="132" t="s">
        <v>178</v>
      </c>
      <c r="BE702" s="132" t="s">
        <v>178</v>
      </c>
      <c r="BF702" s="123"/>
      <c r="BG702" s="83">
        <v>1178680.0</v>
      </c>
      <c r="BH702" s="98">
        <v>2.0</v>
      </c>
      <c r="BI702" s="98" t="s">
        <v>155</v>
      </c>
      <c r="BJ702" s="98" t="str">
        <f t="shared" si="1"/>
        <v>NÃO</v>
      </c>
      <c r="BK702" s="98" t="str">
        <f t="shared" si="2"/>
        <v>NÃO</v>
      </c>
    </row>
    <row r="703" ht="15.75" customHeight="1">
      <c r="A703" s="111" t="s">
        <v>796</v>
      </c>
      <c r="B703" s="83" t="s">
        <v>3238</v>
      </c>
      <c r="C703" s="83" t="s">
        <v>164</v>
      </c>
      <c r="D703" s="83">
        <v>1121520.0</v>
      </c>
      <c r="E703" s="83">
        <v>1178676.0</v>
      </c>
      <c r="F703" s="83"/>
      <c r="G703" s="185" t="s">
        <v>7766</v>
      </c>
      <c r="H703" s="91" t="s">
        <v>3299</v>
      </c>
      <c r="I703" s="114" t="s">
        <v>3300</v>
      </c>
      <c r="J703" s="83" t="s">
        <v>3301</v>
      </c>
      <c r="K703" s="83" t="s">
        <v>151</v>
      </c>
      <c r="L703" s="83" t="s">
        <v>169</v>
      </c>
      <c r="M703" s="82" t="s">
        <v>7697</v>
      </c>
      <c r="N703" s="82" t="s">
        <v>7698</v>
      </c>
      <c r="O703" s="82" t="s">
        <v>7699</v>
      </c>
      <c r="P703" s="82" t="s">
        <v>7700</v>
      </c>
      <c r="Q703" s="82" t="s">
        <v>7701</v>
      </c>
      <c r="R703" s="82" t="s">
        <v>7702</v>
      </c>
      <c r="S703" s="82" t="s">
        <v>7703</v>
      </c>
      <c r="T703" s="138">
        <v>3.0</v>
      </c>
      <c r="U703" s="323">
        <v>3.0</v>
      </c>
      <c r="V703" s="106">
        <v>0.0</v>
      </c>
      <c r="W703" s="107">
        <v>0.0</v>
      </c>
      <c r="X703" s="107">
        <v>0.0</v>
      </c>
      <c r="Y703" s="107">
        <v>0.0</v>
      </c>
      <c r="Z703" s="80">
        <v>0.0</v>
      </c>
      <c r="AA703" s="140">
        <v>0.0</v>
      </c>
      <c r="AB703" s="109">
        <v>0.0</v>
      </c>
      <c r="AC703" s="109">
        <v>0.0</v>
      </c>
      <c r="AD703" s="141">
        <v>0.0</v>
      </c>
      <c r="AE703" s="80">
        <v>0.0</v>
      </c>
      <c r="AF703" s="140">
        <v>0.0</v>
      </c>
      <c r="AG703" s="109">
        <v>0.0</v>
      </c>
      <c r="AH703" s="109">
        <v>26.0</v>
      </c>
      <c r="AI703" s="141">
        <v>0.0</v>
      </c>
      <c r="AJ703" s="80">
        <v>26.0</v>
      </c>
      <c r="AK703" s="140">
        <v>0.0</v>
      </c>
      <c r="AL703" s="109">
        <v>0.0</v>
      </c>
      <c r="AM703" s="141">
        <v>0.0</v>
      </c>
      <c r="AN703" s="80">
        <v>0.0</v>
      </c>
      <c r="AO703" s="140">
        <v>0.0</v>
      </c>
      <c r="AP703" s="109">
        <v>0.0</v>
      </c>
      <c r="AQ703" s="109">
        <v>30.0</v>
      </c>
      <c r="AR703" s="80">
        <v>30.0</v>
      </c>
      <c r="AS703" s="110">
        <v>0.0</v>
      </c>
      <c r="AT703" s="110">
        <v>0.0</v>
      </c>
      <c r="AU703" s="110">
        <v>0.0</v>
      </c>
      <c r="AV703" s="142">
        <v>0.0</v>
      </c>
      <c r="AW703" s="80">
        <v>0.0</v>
      </c>
      <c r="AX703" s="113">
        <v>56.0</v>
      </c>
      <c r="AY703" s="117">
        <v>0.0</v>
      </c>
      <c r="AZ703" s="328">
        <v>56.0</v>
      </c>
      <c r="BA703" s="315">
        <v>0.0</v>
      </c>
      <c r="BB703" s="316">
        <v>56.0</v>
      </c>
      <c r="BC703" s="132" t="s">
        <v>373</v>
      </c>
      <c r="BD703" s="132" t="s">
        <v>178</v>
      </c>
      <c r="BE703" s="132" t="s">
        <v>178</v>
      </c>
      <c r="BF703" s="156"/>
      <c r="BG703" s="83">
        <v>1178676.0</v>
      </c>
      <c r="BH703" s="112">
        <v>3.0</v>
      </c>
      <c r="BI703" s="98" t="s">
        <v>155</v>
      </c>
      <c r="BJ703" s="98" t="str">
        <f t="shared" si="1"/>
        <v>NÃO</v>
      </c>
      <c r="BK703" s="98" t="str">
        <f t="shared" si="2"/>
        <v>NÃO</v>
      </c>
    </row>
    <row r="704" ht="15.75" customHeight="1">
      <c r="A704" s="111" t="s">
        <v>796</v>
      </c>
      <c r="B704" s="83" t="s">
        <v>3238</v>
      </c>
      <c r="C704" s="83" t="s">
        <v>164</v>
      </c>
      <c r="D704" s="83">
        <v>1121520.0</v>
      </c>
      <c r="E704" s="83">
        <v>1178679.0</v>
      </c>
      <c r="F704" s="83"/>
      <c r="G704" s="185" t="s">
        <v>7768</v>
      </c>
      <c r="H704" s="91" t="s">
        <v>3294</v>
      </c>
      <c r="I704" s="114" t="s">
        <v>3295</v>
      </c>
      <c r="J704" s="83" t="s">
        <v>3296</v>
      </c>
      <c r="K704" s="83" t="s">
        <v>168</v>
      </c>
      <c r="L704" s="83" t="s">
        <v>169</v>
      </c>
      <c r="M704" s="82" t="s">
        <v>7697</v>
      </c>
      <c r="N704" s="82" t="s">
        <v>7698</v>
      </c>
      <c r="O704" s="82" t="s">
        <v>7699</v>
      </c>
      <c r="P704" s="82" t="s">
        <v>7700</v>
      </c>
      <c r="Q704" s="82" t="s">
        <v>7701</v>
      </c>
      <c r="R704" s="82" t="s">
        <v>7702</v>
      </c>
      <c r="S704" s="82" t="s">
        <v>7703</v>
      </c>
      <c r="T704" s="138">
        <v>3.0</v>
      </c>
      <c r="U704" s="323">
        <v>3.0</v>
      </c>
      <c r="V704" s="106">
        <v>0.0</v>
      </c>
      <c r="W704" s="107">
        <v>0.0</v>
      </c>
      <c r="X704" s="107">
        <v>0.0</v>
      </c>
      <c r="Y704" s="107">
        <v>0.0</v>
      </c>
      <c r="Z704" s="80">
        <v>0.0</v>
      </c>
      <c r="AA704" s="140">
        <v>0.0</v>
      </c>
      <c r="AB704" s="109">
        <v>0.0</v>
      </c>
      <c r="AC704" s="109">
        <v>0.0</v>
      </c>
      <c r="AD704" s="141">
        <v>0.0</v>
      </c>
      <c r="AE704" s="80">
        <v>0.0</v>
      </c>
      <c r="AF704" s="140">
        <v>0.0</v>
      </c>
      <c r="AG704" s="109">
        <v>0.0</v>
      </c>
      <c r="AH704" s="109">
        <v>13.0</v>
      </c>
      <c r="AI704" s="141">
        <v>0.0</v>
      </c>
      <c r="AJ704" s="80">
        <v>13.0</v>
      </c>
      <c r="AK704" s="140">
        <v>0.0</v>
      </c>
      <c r="AL704" s="109">
        <v>0.0</v>
      </c>
      <c r="AM704" s="141">
        <v>0.0</v>
      </c>
      <c r="AN704" s="80">
        <v>0.0</v>
      </c>
      <c r="AO704" s="140">
        <v>0.0</v>
      </c>
      <c r="AP704" s="109">
        <v>0.0</v>
      </c>
      <c r="AQ704" s="109">
        <v>29.0</v>
      </c>
      <c r="AR704" s="80">
        <v>29.0</v>
      </c>
      <c r="AS704" s="110">
        <v>0.0</v>
      </c>
      <c r="AT704" s="110">
        <v>0.0</v>
      </c>
      <c r="AU704" s="110">
        <v>0.0</v>
      </c>
      <c r="AV704" s="142">
        <v>0.0</v>
      </c>
      <c r="AW704" s="80">
        <v>0.0</v>
      </c>
      <c r="AX704" s="113">
        <v>42.0</v>
      </c>
      <c r="AY704" s="117">
        <v>0.0</v>
      </c>
      <c r="AZ704" s="328">
        <v>42.0</v>
      </c>
      <c r="BA704" s="315">
        <v>0.0</v>
      </c>
      <c r="BB704" s="316">
        <v>42.0</v>
      </c>
      <c r="BC704" s="132" t="s">
        <v>373</v>
      </c>
      <c r="BD704" s="132" t="s">
        <v>178</v>
      </c>
      <c r="BE704" s="132" t="s">
        <v>178</v>
      </c>
      <c r="BF704" s="123"/>
      <c r="BG704" s="83">
        <v>1178679.0</v>
      </c>
      <c r="BH704" s="112">
        <v>3.0</v>
      </c>
      <c r="BI704" s="98" t="s">
        <v>155</v>
      </c>
      <c r="BJ704" s="98" t="str">
        <f t="shared" si="1"/>
        <v>NÃO</v>
      </c>
      <c r="BK704" s="98" t="str">
        <f t="shared" si="2"/>
        <v>NÃO</v>
      </c>
    </row>
    <row r="705" ht="15.75" customHeight="1">
      <c r="A705" s="111" t="s">
        <v>796</v>
      </c>
      <c r="B705" s="83" t="s">
        <v>3238</v>
      </c>
      <c r="C705" s="83" t="s">
        <v>164</v>
      </c>
      <c r="D705" s="83">
        <v>1121520.0</v>
      </c>
      <c r="E705" s="83">
        <v>1179142.0</v>
      </c>
      <c r="F705" s="83"/>
      <c r="G705" s="185" t="s">
        <v>7771</v>
      </c>
      <c r="H705" s="91" t="s">
        <v>3267</v>
      </c>
      <c r="I705" s="114" t="s">
        <v>3268</v>
      </c>
      <c r="J705" s="83" t="s">
        <v>2928</v>
      </c>
      <c r="K705" s="83" t="s">
        <v>168</v>
      </c>
      <c r="L705" s="83" t="s">
        <v>169</v>
      </c>
      <c r="M705" s="82" t="s">
        <v>7697</v>
      </c>
      <c r="N705" s="82" t="s">
        <v>7698</v>
      </c>
      <c r="O705" s="82" t="s">
        <v>7699</v>
      </c>
      <c r="P705" s="82" t="s">
        <v>7700</v>
      </c>
      <c r="Q705" s="82" t="s">
        <v>7701</v>
      </c>
      <c r="R705" s="82" t="s">
        <v>7702</v>
      </c>
      <c r="S705" s="82" t="s">
        <v>7703</v>
      </c>
      <c r="T705" s="138">
        <v>3.0</v>
      </c>
      <c r="U705" s="323">
        <v>2.0</v>
      </c>
      <c r="V705" s="106">
        <v>0.0</v>
      </c>
      <c r="W705" s="107">
        <v>0.0</v>
      </c>
      <c r="X705" s="107">
        <v>0.0</v>
      </c>
      <c r="Y705" s="107">
        <v>0.0</v>
      </c>
      <c r="Z705" s="80">
        <v>0.0</v>
      </c>
      <c r="AA705" s="140">
        <v>0.0</v>
      </c>
      <c r="AB705" s="109">
        <v>0.0</v>
      </c>
      <c r="AC705" s="109">
        <v>0.0</v>
      </c>
      <c r="AD705" s="141">
        <v>0.0</v>
      </c>
      <c r="AE705" s="80">
        <v>0.0</v>
      </c>
      <c r="AF705" s="140">
        <v>0.0</v>
      </c>
      <c r="AG705" s="109">
        <v>0.0</v>
      </c>
      <c r="AH705" s="109">
        <v>5.0</v>
      </c>
      <c r="AI705" s="141">
        <v>0.0</v>
      </c>
      <c r="AJ705" s="80">
        <v>5.0</v>
      </c>
      <c r="AK705" s="140">
        <v>0.0</v>
      </c>
      <c r="AL705" s="109">
        <v>0.0</v>
      </c>
      <c r="AM705" s="141">
        <v>0.0</v>
      </c>
      <c r="AN705" s="80">
        <v>0.0</v>
      </c>
      <c r="AO705" s="140">
        <v>0.0</v>
      </c>
      <c r="AP705" s="109">
        <v>0.0</v>
      </c>
      <c r="AQ705" s="109">
        <v>7.0</v>
      </c>
      <c r="AR705" s="80">
        <v>7.0</v>
      </c>
      <c r="AS705" s="110">
        <v>0.0</v>
      </c>
      <c r="AT705" s="110">
        <v>0.0</v>
      </c>
      <c r="AU705" s="110">
        <v>0.0</v>
      </c>
      <c r="AV705" s="142">
        <v>0.0</v>
      </c>
      <c r="AW705" s="80">
        <v>0.0</v>
      </c>
      <c r="AX705" s="113">
        <v>12.0</v>
      </c>
      <c r="AY705" s="117">
        <v>0.0</v>
      </c>
      <c r="AZ705" s="328">
        <v>12.0</v>
      </c>
      <c r="BA705" s="315">
        <v>0.0</v>
      </c>
      <c r="BB705" s="316">
        <v>12.0</v>
      </c>
      <c r="BC705" s="132" t="s">
        <v>373</v>
      </c>
      <c r="BD705" s="132" t="s">
        <v>178</v>
      </c>
      <c r="BE705" s="132" t="s">
        <v>178</v>
      </c>
      <c r="BF705" s="123"/>
      <c r="BG705" s="83">
        <v>1179142.0</v>
      </c>
      <c r="BH705" s="98">
        <v>2.0</v>
      </c>
      <c r="BI705" s="98" t="s">
        <v>155</v>
      </c>
      <c r="BJ705" s="98" t="str">
        <f t="shared" si="1"/>
        <v>NÃO</v>
      </c>
      <c r="BK705" s="98" t="str">
        <f t="shared" si="2"/>
        <v>NÃO</v>
      </c>
    </row>
    <row r="706" ht="15.75" customHeight="1">
      <c r="A706" s="111" t="s">
        <v>796</v>
      </c>
      <c r="B706" s="83" t="s">
        <v>2159</v>
      </c>
      <c r="C706" s="83" t="s">
        <v>68</v>
      </c>
      <c r="D706" s="83">
        <v>1121326.0</v>
      </c>
      <c r="E706" s="83"/>
      <c r="F706" s="83">
        <v>2.9030137E7</v>
      </c>
      <c r="G706" s="185" t="s">
        <v>3303</v>
      </c>
      <c r="H706" s="91" t="s">
        <v>3304</v>
      </c>
      <c r="I706" s="114" t="s">
        <v>149</v>
      </c>
      <c r="J706" s="83" t="s">
        <v>150</v>
      </c>
      <c r="K706" s="83" t="s">
        <v>151</v>
      </c>
      <c r="L706" s="83" t="s">
        <v>76</v>
      </c>
      <c r="M706" s="82" t="s">
        <v>7778</v>
      </c>
      <c r="N706" s="82" t="s">
        <v>7779</v>
      </c>
      <c r="O706" s="82" t="s">
        <v>7780</v>
      </c>
      <c r="P706" s="82" t="s">
        <v>7781</v>
      </c>
      <c r="Q706" s="82"/>
      <c r="R706" s="82"/>
      <c r="S706" s="82"/>
      <c r="T706" s="138">
        <v>10.0</v>
      </c>
      <c r="U706" s="323" t="s">
        <v>7782</v>
      </c>
      <c r="V706" s="106">
        <v>0.0</v>
      </c>
      <c r="W706" s="107">
        <v>0.0</v>
      </c>
      <c r="X706" s="107">
        <v>0.0</v>
      </c>
      <c r="Y706" s="107">
        <v>0.0</v>
      </c>
      <c r="Z706" s="80">
        <v>0.0</v>
      </c>
      <c r="AA706" s="140">
        <v>0.0</v>
      </c>
      <c r="AB706" s="109">
        <v>0.0</v>
      </c>
      <c r="AC706" s="109">
        <v>0.0</v>
      </c>
      <c r="AD706" s="141">
        <v>0.0</v>
      </c>
      <c r="AE706" s="80">
        <v>0.0</v>
      </c>
      <c r="AF706" s="140">
        <v>106.0</v>
      </c>
      <c r="AG706" s="109">
        <v>150.0</v>
      </c>
      <c r="AH706" s="109">
        <v>16.0</v>
      </c>
      <c r="AI706" s="141">
        <v>0.0</v>
      </c>
      <c r="AJ706" s="80">
        <v>272.0</v>
      </c>
      <c r="AK706" s="140">
        <v>0.0</v>
      </c>
      <c r="AL706" s="109">
        <v>0.0</v>
      </c>
      <c r="AM706" s="141">
        <v>0.0</v>
      </c>
      <c r="AN706" s="80">
        <v>0.0</v>
      </c>
      <c r="AO706" s="140">
        <v>0.0</v>
      </c>
      <c r="AP706" s="109">
        <v>0.0</v>
      </c>
      <c r="AQ706" s="109">
        <v>113.0</v>
      </c>
      <c r="AR706" s="80">
        <v>113.0</v>
      </c>
      <c r="AS706" s="110">
        <v>64.0</v>
      </c>
      <c r="AT706" s="110">
        <v>60.0</v>
      </c>
      <c r="AU706" s="110">
        <v>0.0</v>
      </c>
      <c r="AV706" s="142">
        <v>0.0</v>
      </c>
      <c r="AW706" s="80">
        <v>124.0</v>
      </c>
      <c r="AX706" s="113">
        <v>509.0</v>
      </c>
      <c r="AY706" s="117">
        <v>380.0</v>
      </c>
      <c r="AZ706" s="328">
        <v>129.0</v>
      </c>
      <c r="BA706" s="315">
        <v>3.0</v>
      </c>
      <c r="BB706" s="316">
        <v>512.0</v>
      </c>
      <c r="BC706" s="132" t="s">
        <v>178</v>
      </c>
      <c r="BD706" s="132" t="s">
        <v>178</v>
      </c>
      <c r="BE706" s="132" t="s">
        <v>178</v>
      </c>
      <c r="BF706" s="123"/>
      <c r="BG706" s="83">
        <v>1121326.0</v>
      </c>
      <c r="BH706" s="112">
        <v>10.0</v>
      </c>
      <c r="BI706" s="98" t="s">
        <v>155</v>
      </c>
      <c r="BJ706" s="98" t="str">
        <f t="shared" si="1"/>
        <v>NÃO</v>
      </c>
      <c r="BK706" s="98" t="str">
        <f t="shared" si="2"/>
        <v>PROFISSIONAL</v>
      </c>
    </row>
    <row r="707" ht="15.75" customHeight="1">
      <c r="A707" s="111" t="s">
        <v>796</v>
      </c>
      <c r="B707" s="83" t="s">
        <v>2159</v>
      </c>
      <c r="C707" s="83" t="s">
        <v>68</v>
      </c>
      <c r="D707" s="83">
        <v>1121342.0</v>
      </c>
      <c r="E707" s="83"/>
      <c r="F707" s="83">
        <v>2.9031265E7</v>
      </c>
      <c r="G707" s="184" t="s">
        <v>7783</v>
      </c>
      <c r="H707" s="91" t="s">
        <v>3307</v>
      </c>
      <c r="I707" s="114" t="s">
        <v>149</v>
      </c>
      <c r="J707" s="83" t="s">
        <v>150</v>
      </c>
      <c r="K707" s="83" t="s">
        <v>151</v>
      </c>
      <c r="L707" s="83" t="s">
        <v>152</v>
      </c>
      <c r="M707" s="82" t="s">
        <v>7785</v>
      </c>
      <c r="N707" s="82" t="s">
        <v>7786</v>
      </c>
      <c r="O707" s="82" t="s">
        <v>7787</v>
      </c>
      <c r="P707" s="82" t="s">
        <v>7788</v>
      </c>
      <c r="Q707" s="82"/>
      <c r="R707" s="82"/>
      <c r="S707" s="82"/>
      <c r="T707" s="138">
        <v>11.0</v>
      </c>
      <c r="U707" s="323" t="s">
        <v>7789</v>
      </c>
      <c r="V707" s="106">
        <v>0.0</v>
      </c>
      <c r="W707" s="107">
        <v>0.0</v>
      </c>
      <c r="X707" s="107">
        <v>0.0</v>
      </c>
      <c r="Y707" s="107">
        <v>0.0</v>
      </c>
      <c r="Z707" s="80">
        <v>0.0</v>
      </c>
      <c r="AA707" s="140">
        <v>70.0</v>
      </c>
      <c r="AB707" s="109">
        <v>0.0</v>
      </c>
      <c r="AC707" s="109">
        <v>0.0</v>
      </c>
      <c r="AD707" s="141">
        <v>0.0</v>
      </c>
      <c r="AE707" s="80">
        <v>70.0</v>
      </c>
      <c r="AF707" s="140">
        <v>313.0</v>
      </c>
      <c r="AG707" s="109">
        <v>263.0</v>
      </c>
      <c r="AH707" s="109">
        <v>70.0</v>
      </c>
      <c r="AI707" s="141">
        <v>115.0</v>
      </c>
      <c r="AJ707" s="80">
        <v>761.0</v>
      </c>
      <c r="AK707" s="140">
        <v>0.0</v>
      </c>
      <c r="AL707" s="109">
        <v>0.0</v>
      </c>
      <c r="AM707" s="141">
        <v>0.0</v>
      </c>
      <c r="AN707" s="80">
        <v>0.0</v>
      </c>
      <c r="AO707" s="140">
        <v>0.0</v>
      </c>
      <c r="AP707" s="109">
        <v>0.0</v>
      </c>
      <c r="AQ707" s="109">
        <v>223.0</v>
      </c>
      <c r="AR707" s="80">
        <v>223.0</v>
      </c>
      <c r="AS707" s="110">
        <v>0.0</v>
      </c>
      <c r="AT707" s="110">
        <v>0.0</v>
      </c>
      <c r="AU707" s="110">
        <v>0.0</v>
      </c>
      <c r="AV707" s="142">
        <v>0.0</v>
      </c>
      <c r="AW707" s="80">
        <v>0.0</v>
      </c>
      <c r="AX707" s="113">
        <v>1054.0</v>
      </c>
      <c r="AY707" s="117">
        <v>761.0</v>
      </c>
      <c r="AZ707" s="328">
        <v>293.0</v>
      </c>
      <c r="BA707" s="315">
        <v>0.0</v>
      </c>
      <c r="BB707" s="316">
        <v>1054.0</v>
      </c>
      <c r="BC707" s="132" t="s">
        <v>178</v>
      </c>
      <c r="BD707" s="132" t="s">
        <v>178</v>
      </c>
      <c r="BE707" s="132" t="s">
        <v>178</v>
      </c>
      <c r="BF707" s="123"/>
      <c r="BG707" s="83">
        <v>1121342.0</v>
      </c>
      <c r="BH707" s="112">
        <v>13.0</v>
      </c>
      <c r="BI707" s="98" t="s">
        <v>162</v>
      </c>
      <c r="BJ707" s="98" t="str">
        <f t="shared" si="1"/>
        <v>INTEGRAL</v>
      </c>
      <c r="BK707" s="98" t="str">
        <f t="shared" si="2"/>
        <v>NÃO</v>
      </c>
    </row>
    <row r="708" ht="15.75" customHeight="1">
      <c r="A708" s="111" t="s">
        <v>796</v>
      </c>
      <c r="B708" s="83" t="s">
        <v>2159</v>
      </c>
      <c r="C708" s="83" t="s">
        <v>164</v>
      </c>
      <c r="D708" s="83">
        <v>1179111.0</v>
      </c>
      <c r="E708" s="83">
        <v>1178688.0</v>
      </c>
      <c r="F708" s="83"/>
      <c r="G708" s="114" t="s">
        <v>3309</v>
      </c>
      <c r="H708" s="91" t="s">
        <v>3310</v>
      </c>
      <c r="I708" s="114" t="s">
        <v>149</v>
      </c>
      <c r="J708" s="83" t="s">
        <v>2855</v>
      </c>
      <c r="K708" s="83" t="s">
        <v>168</v>
      </c>
      <c r="L708" s="83" t="s">
        <v>169</v>
      </c>
      <c r="M708" s="82" t="s">
        <v>7256</v>
      </c>
      <c r="N708" s="82" t="s">
        <v>7257</v>
      </c>
      <c r="O708" s="82" t="s">
        <v>7259</v>
      </c>
      <c r="P708" s="82" t="s">
        <v>7260</v>
      </c>
      <c r="Q708" s="82" t="s">
        <v>7261</v>
      </c>
      <c r="R708" s="82" t="s">
        <v>7262</v>
      </c>
      <c r="S708" s="82" t="s">
        <v>7263</v>
      </c>
      <c r="T708" s="138">
        <v>2.0</v>
      </c>
      <c r="U708" s="419">
        <v>2.0</v>
      </c>
      <c r="V708" s="106">
        <v>0.0</v>
      </c>
      <c r="W708" s="107">
        <v>0.0</v>
      </c>
      <c r="X708" s="107">
        <v>0.0</v>
      </c>
      <c r="Y708" s="107">
        <v>0.0</v>
      </c>
      <c r="Z708" s="80">
        <v>0.0</v>
      </c>
      <c r="AA708" s="140">
        <v>0.0</v>
      </c>
      <c r="AB708" s="109">
        <v>0.0</v>
      </c>
      <c r="AC708" s="109">
        <v>0.0</v>
      </c>
      <c r="AD708" s="141">
        <v>0.0</v>
      </c>
      <c r="AE708" s="80">
        <v>0.0</v>
      </c>
      <c r="AF708" s="140">
        <v>0.0</v>
      </c>
      <c r="AG708" s="109">
        <v>31.0</v>
      </c>
      <c r="AH708" s="109">
        <v>0.0</v>
      </c>
      <c r="AI708" s="141">
        <v>0.0</v>
      </c>
      <c r="AJ708" s="80">
        <v>31.0</v>
      </c>
      <c r="AK708" s="140">
        <v>0.0</v>
      </c>
      <c r="AL708" s="109">
        <v>0.0</v>
      </c>
      <c r="AM708" s="141">
        <v>0.0</v>
      </c>
      <c r="AN708" s="80">
        <v>0.0</v>
      </c>
      <c r="AO708" s="140">
        <v>0.0</v>
      </c>
      <c r="AP708" s="109">
        <v>0.0</v>
      </c>
      <c r="AQ708" s="109">
        <v>0.0</v>
      </c>
      <c r="AR708" s="80">
        <v>0.0</v>
      </c>
      <c r="AS708" s="110">
        <v>0.0</v>
      </c>
      <c r="AT708" s="110">
        <v>0.0</v>
      </c>
      <c r="AU708" s="110">
        <v>0.0</v>
      </c>
      <c r="AV708" s="142">
        <v>0.0</v>
      </c>
      <c r="AW708" s="80">
        <v>0.0</v>
      </c>
      <c r="AX708" s="113">
        <v>31.0</v>
      </c>
      <c r="AY708" s="117">
        <v>31.0</v>
      </c>
      <c r="AZ708" s="328">
        <v>0.0</v>
      </c>
      <c r="BA708" s="315">
        <v>0.0</v>
      </c>
      <c r="BB708" s="316">
        <v>31.0</v>
      </c>
      <c r="BC708" s="132" t="s">
        <v>178</v>
      </c>
      <c r="BD708" s="143" t="s">
        <v>227</v>
      </c>
      <c r="BE708" s="132" t="s">
        <v>178</v>
      </c>
      <c r="BF708" s="123"/>
      <c r="BG708" s="83">
        <v>1178688.0</v>
      </c>
      <c r="BH708" s="112">
        <v>2.0</v>
      </c>
      <c r="BI708" s="98" t="s">
        <v>155</v>
      </c>
      <c r="BJ708" s="98" t="str">
        <f t="shared" si="1"/>
        <v>NÃO</v>
      </c>
      <c r="BK708" s="98" t="str">
        <f t="shared" si="2"/>
        <v>NÃO</v>
      </c>
    </row>
    <row r="709" ht="15.75" customHeight="1">
      <c r="A709" s="111" t="s">
        <v>796</v>
      </c>
      <c r="B709" s="83" t="s">
        <v>2159</v>
      </c>
      <c r="C709" s="83" t="s">
        <v>164</v>
      </c>
      <c r="D709" s="83">
        <v>1179111.0</v>
      </c>
      <c r="E709" s="83">
        <v>1178683.0</v>
      </c>
      <c r="F709" s="83"/>
      <c r="G709" s="384" t="s">
        <v>3311</v>
      </c>
      <c r="H709" s="91" t="s">
        <v>3312</v>
      </c>
      <c r="I709" s="114" t="s">
        <v>149</v>
      </c>
      <c r="J709" s="83" t="s">
        <v>702</v>
      </c>
      <c r="K709" s="83" t="s">
        <v>168</v>
      </c>
      <c r="L709" s="83" t="s">
        <v>169</v>
      </c>
      <c r="M709" s="82" t="s">
        <v>7256</v>
      </c>
      <c r="N709" s="82" t="s">
        <v>7257</v>
      </c>
      <c r="O709" s="82" t="s">
        <v>7259</v>
      </c>
      <c r="P709" s="82" t="s">
        <v>7260</v>
      </c>
      <c r="Q709" s="82" t="s">
        <v>7261</v>
      </c>
      <c r="R709" s="82" t="s">
        <v>7262</v>
      </c>
      <c r="S709" s="82" t="s">
        <v>7263</v>
      </c>
      <c r="T709" s="138">
        <v>2.0</v>
      </c>
      <c r="U709" s="419">
        <v>2.0</v>
      </c>
      <c r="V709" s="106">
        <v>0.0</v>
      </c>
      <c r="W709" s="107">
        <v>0.0</v>
      </c>
      <c r="X709" s="107">
        <v>0.0</v>
      </c>
      <c r="Y709" s="107">
        <v>0.0</v>
      </c>
      <c r="Z709" s="80">
        <v>0.0</v>
      </c>
      <c r="AA709" s="140">
        <v>0.0</v>
      </c>
      <c r="AB709" s="109">
        <v>0.0</v>
      </c>
      <c r="AC709" s="109">
        <v>0.0</v>
      </c>
      <c r="AD709" s="141">
        <v>0.0</v>
      </c>
      <c r="AE709" s="80">
        <v>0.0</v>
      </c>
      <c r="AF709" s="140">
        <v>0.0</v>
      </c>
      <c r="AG709" s="109">
        <v>31.0</v>
      </c>
      <c r="AH709" s="109">
        <v>0.0</v>
      </c>
      <c r="AI709" s="141">
        <v>0.0</v>
      </c>
      <c r="AJ709" s="80">
        <v>31.0</v>
      </c>
      <c r="AK709" s="140">
        <v>0.0</v>
      </c>
      <c r="AL709" s="109">
        <v>0.0</v>
      </c>
      <c r="AM709" s="141">
        <v>0.0</v>
      </c>
      <c r="AN709" s="80">
        <v>0.0</v>
      </c>
      <c r="AO709" s="140">
        <v>0.0</v>
      </c>
      <c r="AP709" s="109">
        <v>0.0</v>
      </c>
      <c r="AQ709" s="109">
        <v>0.0</v>
      </c>
      <c r="AR709" s="80">
        <v>0.0</v>
      </c>
      <c r="AS709" s="110">
        <v>0.0</v>
      </c>
      <c r="AT709" s="110">
        <v>0.0</v>
      </c>
      <c r="AU709" s="110">
        <v>0.0</v>
      </c>
      <c r="AV709" s="142">
        <v>0.0</v>
      </c>
      <c r="AW709" s="80">
        <v>0.0</v>
      </c>
      <c r="AX709" s="113">
        <v>31.0</v>
      </c>
      <c r="AY709" s="117">
        <v>31.0</v>
      </c>
      <c r="AZ709" s="328">
        <v>0.0</v>
      </c>
      <c r="BA709" s="315">
        <v>0.0</v>
      </c>
      <c r="BB709" s="316">
        <v>31.0</v>
      </c>
      <c r="BC709" s="132" t="s">
        <v>178</v>
      </c>
      <c r="BD709" s="143" t="s">
        <v>227</v>
      </c>
      <c r="BE709" s="132" t="s">
        <v>178</v>
      </c>
      <c r="BF709" s="123"/>
      <c r="BG709" s="83">
        <v>1178683.0</v>
      </c>
      <c r="BH709" s="112">
        <v>2.0</v>
      </c>
      <c r="BI709" s="98" t="s">
        <v>155</v>
      </c>
      <c r="BJ709" s="98" t="str">
        <f t="shared" si="1"/>
        <v>NÃO</v>
      </c>
      <c r="BK709" s="98" t="str">
        <f t="shared" si="2"/>
        <v>NÃO</v>
      </c>
    </row>
    <row r="710" ht="15.75" customHeight="1">
      <c r="A710" s="111" t="s">
        <v>796</v>
      </c>
      <c r="B710" s="83" t="s">
        <v>2159</v>
      </c>
      <c r="C710" s="83" t="s">
        <v>164</v>
      </c>
      <c r="D710" s="83">
        <v>1179111.0</v>
      </c>
      <c r="E710" s="83">
        <v>1178682.0</v>
      </c>
      <c r="F710" s="83"/>
      <c r="G710" s="114" t="s">
        <v>3313</v>
      </c>
      <c r="H710" s="91" t="s">
        <v>3314</v>
      </c>
      <c r="I710" s="114" t="s">
        <v>171</v>
      </c>
      <c r="J710" s="115" t="s">
        <v>784</v>
      </c>
      <c r="K710" s="83" t="s">
        <v>168</v>
      </c>
      <c r="L710" s="83" t="s">
        <v>512</v>
      </c>
      <c r="M710" s="82" t="s">
        <v>7256</v>
      </c>
      <c r="N710" s="82" t="s">
        <v>7257</v>
      </c>
      <c r="O710" s="82" t="s">
        <v>7259</v>
      </c>
      <c r="P710" s="82" t="s">
        <v>7260</v>
      </c>
      <c r="Q710" s="82" t="s">
        <v>7261</v>
      </c>
      <c r="R710" s="82" t="s">
        <v>7262</v>
      </c>
      <c r="S710" s="82" t="s">
        <v>7263</v>
      </c>
      <c r="T710" s="138" t="s">
        <v>171</v>
      </c>
      <c r="U710" s="406">
        <v>2.0</v>
      </c>
      <c r="V710" s="106">
        <v>0.0</v>
      </c>
      <c r="W710" s="107">
        <v>0.0</v>
      </c>
      <c r="X710" s="107">
        <v>0.0</v>
      </c>
      <c r="Y710" s="107">
        <v>0.0</v>
      </c>
      <c r="Z710" s="80">
        <v>0.0</v>
      </c>
      <c r="AA710" s="140">
        <v>0.0</v>
      </c>
      <c r="AB710" s="109">
        <v>0.0</v>
      </c>
      <c r="AC710" s="109">
        <v>0.0</v>
      </c>
      <c r="AD710" s="141">
        <v>0.0</v>
      </c>
      <c r="AE710" s="80">
        <v>0.0</v>
      </c>
      <c r="AF710" s="140">
        <v>0.0</v>
      </c>
      <c r="AG710" s="109">
        <v>28.0</v>
      </c>
      <c r="AH710" s="109">
        <v>0.0</v>
      </c>
      <c r="AI710" s="141">
        <v>0.0</v>
      </c>
      <c r="AJ710" s="80">
        <v>28.0</v>
      </c>
      <c r="AK710" s="140">
        <v>0.0</v>
      </c>
      <c r="AL710" s="109">
        <v>0.0</v>
      </c>
      <c r="AM710" s="141">
        <v>0.0</v>
      </c>
      <c r="AN710" s="80">
        <v>0.0</v>
      </c>
      <c r="AO710" s="140">
        <v>0.0</v>
      </c>
      <c r="AP710" s="109">
        <v>0.0</v>
      </c>
      <c r="AQ710" s="109">
        <v>0.0</v>
      </c>
      <c r="AR710" s="80">
        <v>0.0</v>
      </c>
      <c r="AS710" s="110">
        <v>0.0</v>
      </c>
      <c r="AT710" s="110">
        <v>0.0</v>
      </c>
      <c r="AU710" s="110">
        <v>0.0</v>
      </c>
      <c r="AV710" s="142">
        <v>0.0</v>
      </c>
      <c r="AW710" s="80">
        <v>0.0</v>
      </c>
      <c r="AX710" s="113">
        <v>28.0</v>
      </c>
      <c r="AY710" s="117">
        <v>28.0</v>
      </c>
      <c r="AZ710" s="328">
        <v>0.0</v>
      </c>
      <c r="BA710" s="315">
        <v>0.0</v>
      </c>
      <c r="BB710" s="316">
        <v>28.0</v>
      </c>
      <c r="BC710" s="132" t="s">
        <v>178</v>
      </c>
      <c r="BD710" s="143" t="s">
        <v>227</v>
      </c>
      <c r="BE710" s="132" t="s">
        <v>178</v>
      </c>
      <c r="BF710" s="123" t="s">
        <v>632</v>
      </c>
      <c r="BG710" s="83">
        <v>1178682.0</v>
      </c>
      <c r="BH710" s="98">
        <v>2.0</v>
      </c>
      <c r="BI710" s="98" t="s">
        <v>155</v>
      </c>
      <c r="BJ710" s="98" t="str">
        <f t="shared" si="1"/>
        <v>NÃO</v>
      </c>
      <c r="BK710" s="98" t="str">
        <f t="shared" si="2"/>
        <v>NÃO</v>
      </c>
    </row>
    <row r="711" ht="15.75" customHeight="1">
      <c r="A711" s="111" t="s">
        <v>796</v>
      </c>
      <c r="B711" s="83" t="s">
        <v>2159</v>
      </c>
      <c r="C711" s="83" t="s">
        <v>164</v>
      </c>
      <c r="D711" s="83">
        <v>1179111.0</v>
      </c>
      <c r="E711" s="83">
        <v>1178687.0</v>
      </c>
      <c r="F711" s="83"/>
      <c r="G711" s="114" t="s">
        <v>3316</v>
      </c>
      <c r="H711" s="91" t="s">
        <v>3317</v>
      </c>
      <c r="I711" s="114" t="s">
        <v>149</v>
      </c>
      <c r="J711" s="136" t="s">
        <v>672</v>
      </c>
      <c r="K711" s="83" t="s">
        <v>151</v>
      </c>
      <c r="L711" s="83" t="s">
        <v>169</v>
      </c>
      <c r="M711" s="82" t="s">
        <v>7256</v>
      </c>
      <c r="N711" s="82" t="s">
        <v>7257</v>
      </c>
      <c r="O711" s="82" t="s">
        <v>7259</v>
      </c>
      <c r="P711" s="82" t="s">
        <v>7260</v>
      </c>
      <c r="Q711" s="82" t="s">
        <v>7261</v>
      </c>
      <c r="R711" s="82" t="s">
        <v>7262</v>
      </c>
      <c r="S711" s="82" t="s">
        <v>7263</v>
      </c>
      <c r="T711" s="138">
        <v>2.0</v>
      </c>
      <c r="U711" s="401">
        <v>2.0</v>
      </c>
      <c r="V711" s="106">
        <v>0.0</v>
      </c>
      <c r="W711" s="107">
        <v>0.0</v>
      </c>
      <c r="X711" s="107">
        <v>0.0</v>
      </c>
      <c r="Y711" s="107">
        <v>0.0</v>
      </c>
      <c r="Z711" s="80">
        <v>0.0</v>
      </c>
      <c r="AA711" s="140">
        <v>0.0</v>
      </c>
      <c r="AB711" s="109">
        <v>0.0</v>
      </c>
      <c r="AC711" s="109">
        <v>0.0</v>
      </c>
      <c r="AD711" s="141">
        <v>0.0</v>
      </c>
      <c r="AE711" s="80">
        <v>0.0</v>
      </c>
      <c r="AF711" s="140">
        <v>15.0</v>
      </c>
      <c r="AG711" s="109">
        <v>24.0</v>
      </c>
      <c r="AH711" s="109">
        <v>0.0</v>
      </c>
      <c r="AI711" s="141">
        <v>0.0</v>
      </c>
      <c r="AJ711" s="80">
        <v>39.0</v>
      </c>
      <c r="AK711" s="140">
        <v>0.0</v>
      </c>
      <c r="AL711" s="109">
        <v>0.0</v>
      </c>
      <c r="AM711" s="141">
        <v>0.0</v>
      </c>
      <c r="AN711" s="80">
        <v>0.0</v>
      </c>
      <c r="AO711" s="140">
        <v>0.0</v>
      </c>
      <c r="AP711" s="109">
        <v>0.0</v>
      </c>
      <c r="AQ711" s="109">
        <v>0.0</v>
      </c>
      <c r="AR711" s="80">
        <v>0.0</v>
      </c>
      <c r="AS711" s="110">
        <v>0.0</v>
      </c>
      <c r="AT711" s="110">
        <v>0.0</v>
      </c>
      <c r="AU711" s="110">
        <v>0.0</v>
      </c>
      <c r="AV711" s="142">
        <v>0.0</v>
      </c>
      <c r="AW711" s="80">
        <v>0.0</v>
      </c>
      <c r="AX711" s="113">
        <v>39.0</v>
      </c>
      <c r="AY711" s="117">
        <v>39.0</v>
      </c>
      <c r="AZ711" s="328">
        <v>0.0</v>
      </c>
      <c r="BA711" s="315">
        <v>0.0</v>
      </c>
      <c r="BB711" s="316">
        <v>39.0</v>
      </c>
      <c r="BC711" s="132" t="s">
        <v>178</v>
      </c>
      <c r="BD711" s="143" t="s">
        <v>227</v>
      </c>
      <c r="BE711" s="132" t="s">
        <v>178</v>
      </c>
      <c r="BF711" s="123"/>
      <c r="BG711" s="83">
        <v>1178687.0</v>
      </c>
      <c r="BH711" s="112">
        <v>2.0</v>
      </c>
      <c r="BI711" s="98" t="s">
        <v>155</v>
      </c>
      <c r="BJ711" s="98" t="str">
        <f t="shared" si="1"/>
        <v>NÃO</v>
      </c>
      <c r="BK711" s="98" t="str">
        <f t="shared" si="2"/>
        <v>NÃO</v>
      </c>
    </row>
    <row r="712" ht="15.75" customHeight="1">
      <c r="A712" s="111" t="s">
        <v>796</v>
      </c>
      <c r="B712" s="83" t="s">
        <v>2159</v>
      </c>
      <c r="C712" s="83" t="s">
        <v>164</v>
      </c>
      <c r="D712" s="83">
        <v>1179111.0</v>
      </c>
      <c r="E712" s="189">
        <v>1178681.0</v>
      </c>
      <c r="F712" s="83"/>
      <c r="G712" s="472" t="s">
        <v>3318</v>
      </c>
      <c r="H712" s="91" t="s">
        <v>3304</v>
      </c>
      <c r="I712" s="365" t="s">
        <v>149</v>
      </c>
      <c r="J712" s="83" t="s">
        <v>3319</v>
      </c>
      <c r="K712" s="83" t="s">
        <v>168</v>
      </c>
      <c r="L712" s="83" t="s">
        <v>169</v>
      </c>
      <c r="M712" s="82" t="s">
        <v>7256</v>
      </c>
      <c r="N712" s="82" t="s">
        <v>7257</v>
      </c>
      <c r="O712" s="82" t="s">
        <v>7259</v>
      </c>
      <c r="P712" s="82" t="s">
        <v>7260</v>
      </c>
      <c r="Q712" s="82" t="s">
        <v>7261</v>
      </c>
      <c r="R712" s="82" t="s">
        <v>7262</v>
      </c>
      <c r="S712" s="82" t="s">
        <v>7263</v>
      </c>
      <c r="T712" s="138">
        <v>3.0</v>
      </c>
      <c r="U712" s="401">
        <v>3.0</v>
      </c>
      <c r="V712" s="106">
        <v>0.0</v>
      </c>
      <c r="W712" s="107">
        <v>0.0</v>
      </c>
      <c r="X712" s="107">
        <v>0.0</v>
      </c>
      <c r="Y712" s="107">
        <v>0.0</v>
      </c>
      <c r="Z712" s="80">
        <v>0.0</v>
      </c>
      <c r="AA712" s="140">
        <v>0.0</v>
      </c>
      <c r="AB712" s="109">
        <v>0.0</v>
      </c>
      <c r="AC712" s="109">
        <v>0.0</v>
      </c>
      <c r="AD712" s="141">
        <v>0.0</v>
      </c>
      <c r="AE712" s="80">
        <v>0.0</v>
      </c>
      <c r="AF712" s="140">
        <v>0.0</v>
      </c>
      <c r="AG712" s="109">
        <v>17.0</v>
      </c>
      <c r="AH712" s="109">
        <v>22.0</v>
      </c>
      <c r="AI712" s="141">
        <v>0.0</v>
      </c>
      <c r="AJ712" s="80">
        <v>39.0</v>
      </c>
      <c r="AK712" s="140">
        <v>0.0</v>
      </c>
      <c r="AL712" s="109">
        <v>0.0</v>
      </c>
      <c r="AM712" s="141">
        <v>0.0</v>
      </c>
      <c r="AN712" s="80">
        <v>0.0</v>
      </c>
      <c r="AO712" s="140">
        <v>0.0</v>
      </c>
      <c r="AP712" s="109">
        <v>0.0</v>
      </c>
      <c r="AQ712" s="109">
        <v>0.0</v>
      </c>
      <c r="AR712" s="80">
        <v>0.0</v>
      </c>
      <c r="AS712" s="110">
        <v>0.0</v>
      </c>
      <c r="AT712" s="110">
        <v>0.0</v>
      </c>
      <c r="AU712" s="110">
        <v>0.0</v>
      </c>
      <c r="AV712" s="142">
        <v>0.0</v>
      </c>
      <c r="AW712" s="80">
        <v>0.0</v>
      </c>
      <c r="AX712" s="113">
        <v>39.0</v>
      </c>
      <c r="AY712" s="117">
        <v>17.0</v>
      </c>
      <c r="AZ712" s="328">
        <v>22.0</v>
      </c>
      <c r="BA712" s="315">
        <v>0.0</v>
      </c>
      <c r="BB712" s="316">
        <v>39.0</v>
      </c>
      <c r="BC712" s="132" t="s">
        <v>178</v>
      </c>
      <c r="BD712" s="143" t="s">
        <v>227</v>
      </c>
      <c r="BE712" s="132" t="s">
        <v>178</v>
      </c>
      <c r="BF712" s="156"/>
      <c r="BG712" s="83">
        <v>1178681.0</v>
      </c>
      <c r="BH712" s="112">
        <v>3.0</v>
      </c>
      <c r="BI712" s="98" t="s">
        <v>155</v>
      </c>
      <c r="BJ712" s="98" t="str">
        <f t="shared" si="1"/>
        <v>NÃO</v>
      </c>
      <c r="BK712" s="98" t="str">
        <f t="shared" si="2"/>
        <v>NÃO</v>
      </c>
    </row>
    <row r="713" ht="15.75" customHeight="1">
      <c r="A713" s="111" t="s">
        <v>796</v>
      </c>
      <c r="B713" s="83" t="s">
        <v>2159</v>
      </c>
      <c r="C713" s="191" t="s">
        <v>164</v>
      </c>
      <c r="D713" s="83">
        <v>1179111.0</v>
      </c>
      <c r="E713" s="189">
        <v>1178686.0</v>
      </c>
      <c r="F713" s="237"/>
      <c r="G713" s="210" t="s">
        <v>2160</v>
      </c>
      <c r="H713" s="91" t="s">
        <v>7805</v>
      </c>
      <c r="I713" s="381" t="s">
        <v>171</v>
      </c>
      <c r="J713" s="115" t="s">
        <v>751</v>
      </c>
      <c r="K713" s="83" t="s">
        <v>168</v>
      </c>
      <c r="L713" s="83" t="s">
        <v>512</v>
      </c>
      <c r="M713" s="82" t="s">
        <v>7256</v>
      </c>
      <c r="N713" s="82" t="s">
        <v>7257</v>
      </c>
      <c r="O713" s="82" t="s">
        <v>7259</v>
      </c>
      <c r="P713" s="82" t="s">
        <v>7260</v>
      </c>
      <c r="Q713" s="82" t="s">
        <v>7261</v>
      </c>
      <c r="R713" s="82" t="s">
        <v>7262</v>
      </c>
      <c r="S713" s="82" t="s">
        <v>7263</v>
      </c>
      <c r="T713" s="138" t="s">
        <v>171</v>
      </c>
      <c r="U713" s="401" t="s">
        <v>171</v>
      </c>
      <c r="V713" s="106">
        <v>0.0</v>
      </c>
      <c r="W713" s="107">
        <v>0.0</v>
      </c>
      <c r="X713" s="107">
        <v>0.0</v>
      </c>
      <c r="Y713" s="107">
        <v>0.0</v>
      </c>
      <c r="Z713" s="80">
        <v>0.0</v>
      </c>
      <c r="AA713" s="140">
        <v>0.0</v>
      </c>
      <c r="AB713" s="109">
        <v>0.0</v>
      </c>
      <c r="AC713" s="109">
        <v>0.0</v>
      </c>
      <c r="AD713" s="141">
        <v>0.0</v>
      </c>
      <c r="AE713" s="80">
        <v>0.0</v>
      </c>
      <c r="AF713" s="140">
        <v>0.0</v>
      </c>
      <c r="AG713" s="109">
        <v>1.0</v>
      </c>
      <c r="AH713" s="109">
        <v>0.0</v>
      </c>
      <c r="AI713" s="141">
        <v>0.0</v>
      </c>
      <c r="AJ713" s="80">
        <v>1.0</v>
      </c>
      <c r="AK713" s="140">
        <v>0.0</v>
      </c>
      <c r="AL713" s="109">
        <v>0.0</v>
      </c>
      <c r="AM713" s="141">
        <v>0.0</v>
      </c>
      <c r="AN713" s="80">
        <v>0.0</v>
      </c>
      <c r="AO713" s="140">
        <v>0.0</v>
      </c>
      <c r="AP713" s="109">
        <v>0.0</v>
      </c>
      <c r="AQ713" s="109">
        <v>0.0</v>
      </c>
      <c r="AR713" s="80">
        <v>0.0</v>
      </c>
      <c r="AS713" s="110">
        <v>0.0</v>
      </c>
      <c r="AT713" s="110">
        <v>0.0</v>
      </c>
      <c r="AU713" s="110">
        <v>0.0</v>
      </c>
      <c r="AV713" s="142">
        <v>0.0</v>
      </c>
      <c r="AW713" s="80">
        <v>0.0</v>
      </c>
      <c r="AX713" s="113">
        <v>1.0</v>
      </c>
      <c r="AY713" s="117">
        <v>1.0</v>
      </c>
      <c r="AZ713" s="328">
        <v>0.0</v>
      </c>
      <c r="BA713" s="315">
        <v>0.0</v>
      </c>
      <c r="BB713" s="316">
        <v>1.0</v>
      </c>
      <c r="BC713" s="132" t="s">
        <v>178</v>
      </c>
      <c r="BD713" s="143" t="s">
        <v>227</v>
      </c>
      <c r="BE713" s="132" t="s">
        <v>178</v>
      </c>
      <c r="BF713" s="123"/>
      <c r="BG713" s="83">
        <v>1178686.0</v>
      </c>
      <c r="BH713" s="112">
        <v>0.0</v>
      </c>
      <c r="BI713" s="98" t="s">
        <v>155</v>
      </c>
      <c r="BJ713" s="98" t="str">
        <f t="shared" si="1"/>
        <v>NÃO</v>
      </c>
      <c r="BK713" s="98" t="str">
        <f t="shared" si="2"/>
        <v>NÃO</v>
      </c>
    </row>
    <row r="714" ht="15.75" customHeight="1">
      <c r="A714" s="111" t="s">
        <v>796</v>
      </c>
      <c r="B714" s="83" t="s">
        <v>2159</v>
      </c>
      <c r="C714" s="191" t="s">
        <v>164</v>
      </c>
      <c r="D714" s="83">
        <v>1179111.0</v>
      </c>
      <c r="E714" s="83">
        <v>1178685.0</v>
      </c>
      <c r="F714" s="237"/>
      <c r="G714" s="114" t="s">
        <v>3320</v>
      </c>
      <c r="H714" s="91" t="s">
        <v>3321</v>
      </c>
      <c r="I714" s="381" t="s">
        <v>149</v>
      </c>
      <c r="J714" s="83" t="s">
        <v>3319</v>
      </c>
      <c r="K714" s="83" t="s">
        <v>168</v>
      </c>
      <c r="L714" s="83" t="s">
        <v>169</v>
      </c>
      <c r="M714" s="82" t="s">
        <v>7256</v>
      </c>
      <c r="N714" s="82" t="s">
        <v>7257</v>
      </c>
      <c r="O714" s="82" t="s">
        <v>7259</v>
      </c>
      <c r="P714" s="82" t="s">
        <v>7260</v>
      </c>
      <c r="Q714" s="82" t="s">
        <v>7261</v>
      </c>
      <c r="R714" s="82" t="s">
        <v>7262</v>
      </c>
      <c r="S714" s="82" t="s">
        <v>7263</v>
      </c>
      <c r="T714" s="138">
        <v>1.0</v>
      </c>
      <c r="U714" s="401">
        <v>1.0</v>
      </c>
      <c r="V714" s="106">
        <v>0.0</v>
      </c>
      <c r="W714" s="107">
        <v>0.0</v>
      </c>
      <c r="X714" s="107">
        <v>0.0</v>
      </c>
      <c r="Y714" s="107">
        <v>0.0</v>
      </c>
      <c r="Z714" s="80">
        <v>0.0</v>
      </c>
      <c r="AA714" s="140">
        <v>0.0</v>
      </c>
      <c r="AB714" s="109">
        <v>0.0</v>
      </c>
      <c r="AC714" s="109">
        <v>0.0</v>
      </c>
      <c r="AD714" s="141">
        <v>0.0</v>
      </c>
      <c r="AE714" s="80">
        <v>0.0</v>
      </c>
      <c r="AF714" s="140">
        <v>0.0</v>
      </c>
      <c r="AG714" s="109">
        <v>20.0</v>
      </c>
      <c r="AH714" s="109">
        <v>0.0</v>
      </c>
      <c r="AI714" s="141">
        <v>0.0</v>
      </c>
      <c r="AJ714" s="80">
        <v>20.0</v>
      </c>
      <c r="AK714" s="140">
        <v>0.0</v>
      </c>
      <c r="AL714" s="109">
        <v>0.0</v>
      </c>
      <c r="AM714" s="141">
        <v>0.0</v>
      </c>
      <c r="AN714" s="80">
        <v>0.0</v>
      </c>
      <c r="AO714" s="140">
        <v>0.0</v>
      </c>
      <c r="AP714" s="109">
        <v>0.0</v>
      </c>
      <c r="AQ714" s="109">
        <v>0.0</v>
      </c>
      <c r="AR714" s="80">
        <v>0.0</v>
      </c>
      <c r="AS714" s="110">
        <v>0.0</v>
      </c>
      <c r="AT714" s="110">
        <v>0.0</v>
      </c>
      <c r="AU714" s="110">
        <v>0.0</v>
      </c>
      <c r="AV714" s="142">
        <v>0.0</v>
      </c>
      <c r="AW714" s="80">
        <v>0.0</v>
      </c>
      <c r="AX714" s="113">
        <v>20.0</v>
      </c>
      <c r="AY714" s="117">
        <v>20.0</v>
      </c>
      <c r="AZ714" s="328">
        <v>0.0</v>
      </c>
      <c r="BA714" s="315">
        <v>0.0</v>
      </c>
      <c r="BB714" s="316">
        <v>20.0</v>
      </c>
      <c r="BC714" s="132" t="s">
        <v>178</v>
      </c>
      <c r="BD714" s="143" t="s">
        <v>227</v>
      </c>
      <c r="BE714" s="132" t="s">
        <v>178</v>
      </c>
      <c r="BF714" s="181"/>
      <c r="BG714" s="83">
        <v>1178685.0</v>
      </c>
      <c r="BH714" s="112">
        <v>1.0</v>
      </c>
      <c r="BI714" s="98" t="s">
        <v>155</v>
      </c>
      <c r="BJ714" s="98" t="str">
        <f t="shared" si="1"/>
        <v>NÃO</v>
      </c>
      <c r="BK714" s="98" t="str">
        <f t="shared" si="2"/>
        <v>NÃO</v>
      </c>
    </row>
    <row r="715" ht="15.75" customHeight="1">
      <c r="A715" s="111" t="s">
        <v>796</v>
      </c>
      <c r="B715" s="83" t="s">
        <v>2159</v>
      </c>
      <c r="C715" s="83" t="s">
        <v>164</v>
      </c>
      <c r="D715" s="83">
        <v>1179111.0</v>
      </c>
      <c r="E715" s="82">
        <v>1178684.0</v>
      </c>
      <c r="F715" s="83"/>
      <c r="G715" s="476" t="s">
        <v>3324</v>
      </c>
      <c r="H715" s="91" t="s">
        <v>3325</v>
      </c>
      <c r="I715" s="365" t="s">
        <v>149</v>
      </c>
      <c r="J715" s="83" t="s">
        <v>657</v>
      </c>
      <c r="K715" s="83" t="s">
        <v>168</v>
      </c>
      <c r="L715" s="83" t="s">
        <v>169</v>
      </c>
      <c r="M715" s="82" t="s">
        <v>7256</v>
      </c>
      <c r="N715" s="82" t="s">
        <v>7257</v>
      </c>
      <c r="O715" s="82" t="s">
        <v>7259</v>
      </c>
      <c r="P715" s="82" t="s">
        <v>7260</v>
      </c>
      <c r="Q715" s="82" t="s">
        <v>7261</v>
      </c>
      <c r="R715" s="82" t="s">
        <v>7262</v>
      </c>
      <c r="S715" s="82" t="s">
        <v>7263</v>
      </c>
      <c r="T715" s="138">
        <v>1.0</v>
      </c>
      <c r="U715" s="478">
        <v>9.0</v>
      </c>
      <c r="V715" s="106">
        <v>0.0</v>
      </c>
      <c r="W715" s="107">
        <v>0.0</v>
      </c>
      <c r="X715" s="107">
        <v>0.0</v>
      </c>
      <c r="Y715" s="107">
        <v>0.0</v>
      </c>
      <c r="Z715" s="80">
        <v>0.0</v>
      </c>
      <c r="AA715" s="140">
        <v>0.0</v>
      </c>
      <c r="AB715" s="109">
        <v>0.0</v>
      </c>
      <c r="AC715" s="109">
        <v>0.0</v>
      </c>
      <c r="AD715" s="141">
        <v>0.0</v>
      </c>
      <c r="AE715" s="80">
        <v>0.0</v>
      </c>
      <c r="AF715" s="140">
        <v>9.0</v>
      </c>
      <c r="AG715" s="109">
        <v>21.0</v>
      </c>
      <c r="AH715" s="109">
        <v>0.0</v>
      </c>
      <c r="AI715" s="141">
        <v>0.0</v>
      </c>
      <c r="AJ715" s="80">
        <v>30.0</v>
      </c>
      <c r="AK715" s="140">
        <v>0.0</v>
      </c>
      <c r="AL715" s="109">
        <v>0.0</v>
      </c>
      <c r="AM715" s="141">
        <v>0.0</v>
      </c>
      <c r="AN715" s="80">
        <v>0.0</v>
      </c>
      <c r="AO715" s="140">
        <v>0.0</v>
      </c>
      <c r="AP715" s="109">
        <v>0.0</v>
      </c>
      <c r="AQ715" s="109">
        <v>0.0</v>
      </c>
      <c r="AR715" s="80">
        <v>0.0</v>
      </c>
      <c r="AS715" s="110">
        <v>0.0</v>
      </c>
      <c r="AT715" s="110">
        <v>0.0</v>
      </c>
      <c r="AU715" s="110">
        <v>0.0</v>
      </c>
      <c r="AV715" s="142">
        <v>0.0</v>
      </c>
      <c r="AW715" s="80">
        <v>0.0</v>
      </c>
      <c r="AX715" s="113">
        <v>30.0</v>
      </c>
      <c r="AY715" s="117">
        <v>30.0</v>
      </c>
      <c r="AZ715" s="328">
        <v>0.0</v>
      </c>
      <c r="BA715" s="315">
        <v>0.0</v>
      </c>
      <c r="BB715" s="316">
        <v>30.0</v>
      </c>
      <c r="BC715" s="132" t="s">
        <v>178</v>
      </c>
      <c r="BD715" s="143" t="s">
        <v>227</v>
      </c>
      <c r="BE715" s="132" t="s">
        <v>178</v>
      </c>
      <c r="BF715" s="123"/>
      <c r="BG715" s="83">
        <v>1178684.0</v>
      </c>
      <c r="BH715" s="98">
        <v>9.0</v>
      </c>
      <c r="BI715" s="98" t="s">
        <v>155</v>
      </c>
      <c r="BJ715" s="98" t="str">
        <f t="shared" si="1"/>
        <v>NÃO</v>
      </c>
      <c r="BK715" s="98" t="str">
        <f t="shared" si="2"/>
        <v>NÃO</v>
      </c>
    </row>
    <row r="716" ht="15.75" customHeight="1">
      <c r="A716" s="111" t="s">
        <v>796</v>
      </c>
      <c r="B716" s="83" t="s">
        <v>2234</v>
      </c>
      <c r="C716" s="83" t="s">
        <v>68</v>
      </c>
      <c r="D716" s="83">
        <v>1120990.0</v>
      </c>
      <c r="E716" s="83"/>
      <c r="F716" s="83">
        <v>2.9031761E7</v>
      </c>
      <c r="G716" s="114" t="s">
        <v>2374</v>
      </c>
      <c r="H716" s="91" t="s">
        <v>7819</v>
      </c>
      <c r="I716" s="114" t="s">
        <v>149</v>
      </c>
      <c r="J716" s="83" t="s">
        <v>150</v>
      </c>
      <c r="K716" s="83" t="s">
        <v>151</v>
      </c>
      <c r="L716" s="83" t="s">
        <v>1326</v>
      </c>
      <c r="M716" s="82" t="s">
        <v>7821</v>
      </c>
      <c r="N716" s="82" t="s">
        <v>7822</v>
      </c>
      <c r="O716" s="82" t="s">
        <v>7823</v>
      </c>
      <c r="P716" s="82" t="s">
        <v>7824</v>
      </c>
      <c r="Q716" s="82"/>
      <c r="R716" s="82"/>
      <c r="S716" s="82"/>
      <c r="T716" s="138">
        <v>12.0</v>
      </c>
      <c r="U716" s="406" t="s">
        <v>7825</v>
      </c>
      <c r="V716" s="106">
        <v>0.0</v>
      </c>
      <c r="W716" s="107">
        <v>0.0</v>
      </c>
      <c r="X716" s="107">
        <v>0.0</v>
      </c>
      <c r="Y716" s="107">
        <v>0.0</v>
      </c>
      <c r="Z716" s="80">
        <v>0.0</v>
      </c>
      <c r="AA716" s="140">
        <v>0.0</v>
      </c>
      <c r="AB716" s="109">
        <v>0.0</v>
      </c>
      <c r="AC716" s="109">
        <v>0.0</v>
      </c>
      <c r="AD716" s="141">
        <v>0.0</v>
      </c>
      <c r="AE716" s="80">
        <v>0.0</v>
      </c>
      <c r="AF716" s="140">
        <v>0.0</v>
      </c>
      <c r="AG716" s="109">
        <v>0.0</v>
      </c>
      <c r="AH716" s="109">
        <v>39.0</v>
      </c>
      <c r="AI716" s="141">
        <v>467.0</v>
      </c>
      <c r="AJ716" s="80">
        <v>506.0</v>
      </c>
      <c r="AK716" s="140">
        <v>0.0</v>
      </c>
      <c r="AL716" s="109">
        <v>0.0</v>
      </c>
      <c r="AM716" s="141">
        <v>0.0</v>
      </c>
      <c r="AN716" s="80">
        <v>0.0</v>
      </c>
      <c r="AO716" s="140">
        <v>0.0</v>
      </c>
      <c r="AP716" s="109">
        <v>0.0</v>
      </c>
      <c r="AQ716" s="109">
        <v>119.0</v>
      </c>
      <c r="AR716" s="80">
        <v>119.0</v>
      </c>
      <c r="AS716" s="110">
        <v>0.0</v>
      </c>
      <c r="AT716" s="110">
        <v>0.0</v>
      </c>
      <c r="AU716" s="110">
        <v>0.0</v>
      </c>
      <c r="AV716" s="142">
        <v>0.0</v>
      </c>
      <c r="AW716" s="80">
        <v>0.0</v>
      </c>
      <c r="AX716" s="113">
        <v>625.0</v>
      </c>
      <c r="AY716" s="117">
        <v>467.0</v>
      </c>
      <c r="AZ716" s="328">
        <v>158.0</v>
      </c>
      <c r="BA716" s="315">
        <v>0.0</v>
      </c>
      <c r="BB716" s="316">
        <v>625.0</v>
      </c>
      <c r="BC716" s="132" t="s">
        <v>178</v>
      </c>
      <c r="BD716" s="132" t="s">
        <v>178</v>
      </c>
      <c r="BE716" s="132" t="s">
        <v>178</v>
      </c>
      <c r="BF716" s="123"/>
      <c r="BG716" s="83">
        <v>1120990.0</v>
      </c>
      <c r="BH716" s="112">
        <v>10.0</v>
      </c>
      <c r="BI716" s="98" t="s">
        <v>284</v>
      </c>
      <c r="BJ716" s="98" t="str">
        <f t="shared" si="1"/>
        <v>INTEGRAL</v>
      </c>
      <c r="BK716" s="98" t="str">
        <f t="shared" si="2"/>
        <v>NÃO</v>
      </c>
    </row>
    <row r="717" ht="15.75" customHeight="1">
      <c r="A717" s="111" t="s">
        <v>796</v>
      </c>
      <c r="B717" s="83" t="s">
        <v>2234</v>
      </c>
      <c r="C717" s="83" t="s">
        <v>68</v>
      </c>
      <c r="D717" s="83">
        <v>1144156.0</v>
      </c>
      <c r="E717" s="83"/>
      <c r="F717" s="83">
        <v>2.903163E7</v>
      </c>
      <c r="G717" s="119" t="s">
        <v>2544</v>
      </c>
      <c r="H717" s="91" t="s">
        <v>3326</v>
      </c>
      <c r="I717" s="114" t="s">
        <v>149</v>
      </c>
      <c r="J717" s="83" t="s">
        <v>150</v>
      </c>
      <c r="K717" s="83" t="s">
        <v>151</v>
      </c>
      <c r="L717" s="83" t="s">
        <v>152</v>
      </c>
      <c r="M717" s="82" t="s">
        <v>7829</v>
      </c>
      <c r="N717" s="82" t="s">
        <v>7830</v>
      </c>
      <c r="O717" s="82" t="s">
        <v>7831</v>
      </c>
      <c r="P717" s="82" t="s">
        <v>7832</v>
      </c>
      <c r="Q717" s="82"/>
      <c r="R717" s="82"/>
      <c r="S717" s="82"/>
      <c r="T717" s="138">
        <v>10.0</v>
      </c>
      <c r="U717" s="401">
        <v>13.0</v>
      </c>
      <c r="V717" s="106">
        <v>0.0</v>
      </c>
      <c r="W717" s="107">
        <v>0.0</v>
      </c>
      <c r="X717" s="107">
        <v>0.0</v>
      </c>
      <c r="Y717" s="107">
        <v>0.0</v>
      </c>
      <c r="Z717" s="80">
        <v>0.0</v>
      </c>
      <c r="AA717" s="140">
        <v>0.0</v>
      </c>
      <c r="AB717" s="109">
        <v>0.0</v>
      </c>
      <c r="AC717" s="109">
        <v>0.0</v>
      </c>
      <c r="AD717" s="141">
        <v>0.0</v>
      </c>
      <c r="AE717" s="80">
        <v>0.0</v>
      </c>
      <c r="AF717" s="140">
        <v>206.0</v>
      </c>
      <c r="AG717" s="109">
        <v>0.0</v>
      </c>
      <c r="AH717" s="109">
        <v>0.0</v>
      </c>
      <c r="AI717" s="141">
        <v>0.0</v>
      </c>
      <c r="AJ717" s="80">
        <v>206.0</v>
      </c>
      <c r="AK717" s="140">
        <v>0.0</v>
      </c>
      <c r="AL717" s="109">
        <v>0.0</v>
      </c>
      <c r="AM717" s="141">
        <v>0.0</v>
      </c>
      <c r="AN717" s="80">
        <v>0.0</v>
      </c>
      <c r="AO717" s="140">
        <v>0.0</v>
      </c>
      <c r="AP717" s="109">
        <v>0.0</v>
      </c>
      <c r="AQ717" s="109">
        <v>0.0</v>
      </c>
      <c r="AR717" s="80">
        <v>0.0</v>
      </c>
      <c r="AS717" s="110">
        <v>91.0</v>
      </c>
      <c r="AT717" s="110">
        <v>121.0</v>
      </c>
      <c r="AU717" s="110">
        <v>79.0</v>
      </c>
      <c r="AV717" s="142">
        <v>0.0</v>
      </c>
      <c r="AW717" s="80">
        <v>291.0</v>
      </c>
      <c r="AX717" s="113">
        <v>497.0</v>
      </c>
      <c r="AY717" s="117">
        <v>418.0</v>
      </c>
      <c r="AZ717" s="328">
        <v>79.0</v>
      </c>
      <c r="BA717" s="315">
        <v>0.0</v>
      </c>
      <c r="BB717" s="316">
        <v>497.0</v>
      </c>
      <c r="BC717" s="132" t="s">
        <v>178</v>
      </c>
      <c r="BD717" s="132" t="s">
        <v>178</v>
      </c>
      <c r="BE717" s="132" t="s">
        <v>178</v>
      </c>
      <c r="BF717" s="123"/>
      <c r="BG717" s="83">
        <v>1144156.0</v>
      </c>
      <c r="BH717" s="98">
        <v>13.0</v>
      </c>
      <c r="BI717" s="98" t="s">
        <v>155</v>
      </c>
      <c r="BJ717" s="98" t="str">
        <f t="shared" si="1"/>
        <v>NÃO</v>
      </c>
      <c r="BK717" s="98" t="str">
        <f t="shared" si="2"/>
        <v>PROFISSIONAL</v>
      </c>
    </row>
    <row r="718" ht="15.75" customHeight="1">
      <c r="A718" s="111" t="s">
        <v>796</v>
      </c>
      <c r="B718" s="83" t="s">
        <v>2234</v>
      </c>
      <c r="C718" s="83" t="s">
        <v>164</v>
      </c>
      <c r="D718" s="83">
        <v>1120990.0</v>
      </c>
      <c r="E718" s="83">
        <v>1178703.0</v>
      </c>
      <c r="F718" s="83"/>
      <c r="G718" s="119" t="s">
        <v>3331</v>
      </c>
      <c r="H718" s="91" t="s">
        <v>3332</v>
      </c>
      <c r="I718" s="114" t="s">
        <v>3333</v>
      </c>
      <c r="J718" s="83" t="s">
        <v>3334</v>
      </c>
      <c r="K718" s="83" t="s">
        <v>151</v>
      </c>
      <c r="L718" s="83" t="s">
        <v>169</v>
      </c>
      <c r="M718" s="82" t="s">
        <v>7821</v>
      </c>
      <c r="N718" s="82" t="s">
        <v>7822</v>
      </c>
      <c r="O718" s="82" t="s">
        <v>7823</v>
      </c>
      <c r="P718" s="82" t="s">
        <v>7824</v>
      </c>
      <c r="Q718" s="82"/>
      <c r="R718" s="82"/>
      <c r="S718" s="82"/>
      <c r="T718" s="138">
        <v>3.0</v>
      </c>
      <c r="U718" s="401">
        <v>3.0</v>
      </c>
      <c r="V718" s="106">
        <v>0.0</v>
      </c>
      <c r="W718" s="107">
        <v>0.0</v>
      </c>
      <c r="X718" s="107">
        <v>0.0</v>
      </c>
      <c r="Y718" s="107">
        <v>0.0</v>
      </c>
      <c r="Z718" s="80">
        <v>0.0</v>
      </c>
      <c r="AA718" s="140">
        <v>0.0</v>
      </c>
      <c r="AB718" s="109">
        <v>0.0</v>
      </c>
      <c r="AC718" s="109">
        <v>0.0</v>
      </c>
      <c r="AD718" s="141">
        <v>0.0</v>
      </c>
      <c r="AE718" s="80">
        <v>0.0</v>
      </c>
      <c r="AF718" s="140">
        <v>0.0</v>
      </c>
      <c r="AG718" s="109">
        <v>0.0</v>
      </c>
      <c r="AH718" s="109">
        <v>15.0</v>
      </c>
      <c r="AI718" s="141">
        <v>0.0</v>
      </c>
      <c r="AJ718" s="80">
        <v>15.0</v>
      </c>
      <c r="AK718" s="140">
        <v>0.0</v>
      </c>
      <c r="AL718" s="109">
        <v>0.0</v>
      </c>
      <c r="AM718" s="141">
        <v>0.0</v>
      </c>
      <c r="AN718" s="80">
        <v>0.0</v>
      </c>
      <c r="AO718" s="140">
        <v>0.0</v>
      </c>
      <c r="AP718" s="109">
        <v>0.0</v>
      </c>
      <c r="AQ718" s="109">
        <v>32.0</v>
      </c>
      <c r="AR718" s="80">
        <v>32.0</v>
      </c>
      <c r="AS718" s="110">
        <v>0.0</v>
      </c>
      <c r="AT718" s="110">
        <v>0.0</v>
      </c>
      <c r="AU718" s="110">
        <v>0.0</v>
      </c>
      <c r="AV718" s="142">
        <v>0.0</v>
      </c>
      <c r="AW718" s="80">
        <v>0.0</v>
      </c>
      <c r="AX718" s="113">
        <v>47.0</v>
      </c>
      <c r="AY718" s="117">
        <v>0.0</v>
      </c>
      <c r="AZ718" s="328">
        <v>47.0</v>
      </c>
      <c r="BA718" s="315">
        <v>0.0</v>
      </c>
      <c r="BB718" s="316">
        <v>47.0</v>
      </c>
      <c r="BC718" s="132" t="s">
        <v>373</v>
      </c>
      <c r="BD718" s="132" t="s">
        <v>178</v>
      </c>
      <c r="BE718" s="132" t="s">
        <v>178</v>
      </c>
      <c r="BF718" s="156"/>
      <c r="BG718" s="83">
        <v>1178703.0</v>
      </c>
      <c r="BH718" s="112">
        <v>3.0</v>
      </c>
      <c r="BI718" s="98" t="s">
        <v>155</v>
      </c>
      <c r="BJ718" s="98" t="str">
        <f t="shared" si="1"/>
        <v>NÃO</v>
      </c>
      <c r="BK718" s="98" t="str">
        <f t="shared" si="2"/>
        <v>NÃO</v>
      </c>
    </row>
    <row r="719" ht="15.75" customHeight="1">
      <c r="A719" s="111" t="s">
        <v>796</v>
      </c>
      <c r="B719" s="83" t="s">
        <v>2234</v>
      </c>
      <c r="C719" s="83" t="s">
        <v>164</v>
      </c>
      <c r="D719" s="83">
        <v>1120990.0</v>
      </c>
      <c r="E719" s="83">
        <v>1178700.0</v>
      </c>
      <c r="F719" s="83"/>
      <c r="G719" s="114" t="s">
        <v>7838</v>
      </c>
      <c r="H719" s="91" t="s">
        <v>3336</v>
      </c>
      <c r="I719" s="114" t="s">
        <v>3337</v>
      </c>
      <c r="J719" s="83" t="s">
        <v>2410</v>
      </c>
      <c r="K719" s="83" t="s">
        <v>168</v>
      </c>
      <c r="L719" s="83" t="s">
        <v>169</v>
      </c>
      <c r="M719" s="82" t="s">
        <v>7821</v>
      </c>
      <c r="N719" s="82" t="s">
        <v>7822</v>
      </c>
      <c r="O719" s="82" t="s">
        <v>7823</v>
      </c>
      <c r="P719" s="82" t="s">
        <v>7824</v>
      </c>
      <c r="Q719" s="82"/>
      <c r="R719" s="82"/>
      <c r="S719" s="82"/>
      <c r="T719" s="138">
        <v>3.0</v>
      </c>
      <c r="U719" s="412">
        <v>3.0</v>
      </c>
      <c r="V719" s="106">
        <v>0.0</v>
      </c>
      <c r="W719" s="107">
        <v>0.0</v>
      </c>
      <c r="X719" s="107">
        <v>0.0</v>
      </c>
      <c r="Y719" s="107">
        <v>0.0</v>
      </c>
      <c r="Z719" s="80">
        <v>0.0</v>
      </c>
      <c r="AA719" s="140">
        <v>0.0</v>
      </c>
      <c r="AB719" s="109">
        <v>0.0</v>
      </c>
      <c r="AC719" s="109">
        <v>0.0</v>
      </c>
      <c r="AD719" s="141">
        <v>0.0</v>
      </c>
      <c r="AE719" s="80">
        <v>0.0</v>
      </c>
      <c r="AF719" s="140">
        <v>0.0</v>
      </c>
      <c r="AG719" s="109">
        <v>0.0</v>
      </c>
      <c r="AH719" s="109">
        <v>22.0</v>
      </c>
      <c r="AI719" s="141">
        <v>0.0</v>
      </c>
      <c r="AJ719" s="80">
        <v>22.0</v>
      </c>
      <c r="AK719" s="140">
        <v>0.0</v>
      </c>
      <c r="AL719" s="109">
        <v>0.0</v>
      </c>
      <c r="AM719" s="141">
        <v>0.0</v>
      </c>
      <c r="AN719" s="80">
        <v>0.0</v>
      </c>
      <c r="AO719" s="140">
        <v>0.0</v>
      </c>
      <c r="AP719" s="109">
        <v>0.0</v>
      </c>
      <c r="AQ719" s="109">
        <v>43.0</v>
      </c>
      <c r="AR719" s="80">
        <v>43.0</v>
      </c>
      <c r="AS719" s="110">
        <v>0.0</v>
      </c>
      <c r="AT719" s="110">
        <v>0.0</v>
      </c>
      <c r="AU719" s="110">
        <v>0.0</v>
      </c>
      <c r="AV719" s="142">
        <v>0.0</v>
      </c>
      <c r="AW719" s="80">
        <v>0.0</v>
      </c>
      <c r="AX719" s="113">
        <v>65.0</v>
      </c>
      <c r="AY719" s="117">
        <v>0.0</v>
      </c>
      <c r="AZ719" s="328">
        <v>65.0</v>
      </c>
      <c r="BA719" s="315">
        <v>0.0</v>
      </c>
      <c r="BB719" s="316">
        <v>65.0</v>
      </c>
      <c r="BC719" s="132" t="s">
        <v>373</v>
      </c>
      <c r="BD719" s="132" t="s">
        <v>178</v>
      </c>
      <c r="BE719" s="132" t="s">
        <v>178</v>
      </c>
      <c r="BF719" s="123"/>
      <c r="BG719" s="83">
        <v>1178700.0</v>
      </c>
      <c r="BH719" s="112">
        <v>3.0</v>
      </c>
      <c r="BI719" s="98" t="s">
        <v>155</v>
      </c>
      <c r="BJ719" s="98" t="str">
        <f t="shared" si="1"/>
        <v>NÃO</v>
      </c>
      <c r="BK719" s="98" t="str">
        <f t="shared" si="2"/>
        <v>NÃO</v>
      </c>
    </row>
    <row r="720" ht="15.75" customHeight="1">
      <c r="A720" s="111" t="s">
        <v>796</v>
      </c>
      <c r="B720" s="83" t="s">
        <v>2234</v>
      </c>
      <c r="C720" s="83" t="s">
        <v>164</v>
      </c>
      <c r="D720" s="83">
        <v>1120990.0</v>
      </c>
      <c r="E720" s="83">
        <v>1178690.0</v>
      </c>
      <c r="F720" s="83"/>
      <c r="G720" s="119" t="s">
        <v>7839</v>
      </c>
      <c r="H720" s="91" t="s">
        <v>3339</v>
      </c>
      <c r="I720" s="298" t="s">
        <v>3340</v>
      </c>
      <c r="J720" s="83" t="s">
        <v>568</v>
      </c>
      <c r="K720" s="83" t="s">
        <v>151</v>
      </c>
      <c r="L720" s="83" t="s">
        <v>169</v>
      </c>
      <c r="M720" s="82" t="s">
        <v>7821</v>
      </c>
      <c r="N720" s="82" t="s">
        <v>7822</v>
      </c>
      <c r="O720" s="82" t="s">
        <v>7823</v>
      </c>
      <c r="P720" s="82" t="s">
        <v>7824</v>
      </c>
      <c r="Q720" s="82"/>
      <c r="R720" s="82"/>
      <c r="S720" s="82"/>
      <c r="T720" s="138">
        <v>4.0</v>
      </c>
      <c r="U720" s="331">
        <v>3.0</v>
      </c>
      <c r="V720" s="106">
        <v>0.0</v>
      </c>
      <c r="W720" s="107">
        <v>0.0</v>
      </c>
      <c r="X720" s="107">
        <v>0.0</v>
      </c>
      <c r="Y720" s="107">
        <v>0.0</v>
      </c>
      <c r="Z720" s="80">
        <v>0.0</v>
      </c>
      <c r="AA720" s="140">
        <v>0.0</v>
      </c>
      <c r="AB720" s="109">
        <v>0.0</v>
      </c>
      <c r="AC720" s="109">
        <v>0.0</v>
      </c>
      <c r="AD720" s="141">
        <v>0.0</v>
      </c>
      <c r="AE720" s="80">
        <v>0.0</v>
      </c>
      <c r="AF720" s="140">
        <v>0.0</v>
      </c>
      <c r="AG720" s="109">
        <v>100.0</v>
      </c>
      <c r="AH720" s="109">
        <v>17.0</v>
      </c>
      <c r="AI720" s="141">
        <v>0.0</v>
      </c>
      <c r="AJ720" s="80">
        <v>117.0</v>
      </c>
      <c r="AK720" s="140">
        <v>0.0</v>
      </c>
      <c r="AL720" s="109">
        <v>0.0</v>
      </c>
      <c r="AM720" s="141">
        <v>0.0</v>
      </c>
      <c r="AN720" s="80">
        <v>0.0</v>
      </c>
      <c r="AO720" s="140">
        <v>0.0</v>
      </c>
      <c r="AP720" s="109">
        <v>0.0</v>
      </c>
      <c r="AQ720" s="109">
        <v>61.0</v>
      </c>
      <c r="AR720" s="80">
        <v>61.0</v>
      </c>
      <c r="AS720" s="110">
        <v>0.0</v>
      </c>
      <c r="AT720" s="110">
        <v>0.0</v>
      </c>
      <c r="AU720" s="110">
        <v>0.0</v>
      </c>
      <c r="AV720" s="142">
        <v>0.0</v>
      </c>
      <c r="AW720" s="80">
        <v>0.0</v>
      </c>
      <c r="AX720" s="113">
        <v>178.0</v>
      </c>
      <c r="AY720" s="117">
        <v>100.0</v>
      </c>
      <c r="AZ720" s="328">
        <v>78.0</v>
      </c>
      <c r="BA720" s="315">
        <v>0.0</v>
      </c>
      <c r="BB720" s="316">
        <v>178.0</v>
      </c>
      <c r="BC720" s="132" t="s">
        <v>373</v>
      </c>
      <c r="BD720" s="132" t="s">
        <v>178</v>
      </c>
      <c r="BE720" s="132" t="s">
        <v>178</v>
      </c>
      <c r="BF720" s="123"/>
      <c r="BG720" s="83">
        <v>1178690.0</v>
      </c>
      <c r="BH720" s="112">
        <v>3.0</v>
      </c>
      <c r="BI720" s="98" t="s">
        <v>155</v>
      </c>
      <c r="BJ720" s="98" t="str">
        <f t="shared" si="1"/>
        <v>NÃO</v>
      </c>
      <c r="BK720" s="98" t="str">
        <f t="shared" si="2"/>
        <v>NÃO</v>
      </c>
    </row>
    <row r="721" ht="15.75" customHeight="1">
      <c r="A721" s="111" t="s">
        <v>796</v>
      </c>
      <c r="B721" s="83" t="s">
        <v>2234</v>
      </c>
      <c r="C721" s="83" t="s">
        <v>164</v>
      </c>
      <c r="D721" s="83">
        <v>1179111.0</v>
      </c>
      <c r="E721" s="83">
        <v>1178699.0</v>
      </c>
      <c r="F721" s="83"/>
      <c r="G721" s="114" t="s">
        <v>3343</v>
      </c>
      <c r="H721" s="91" t="s">
        <v>3344</v>
      </c>
      <c r="I721" s="298" t="s">
        <v>171</v>
      </c>
      <c r="J721" s="83" t="s">
        <v>3345</v>
      </c>
      <c r="K721" s="83" t="s">
        <v>151</v>
      </c>
      <c r="L721" s="83" t="s">
        <v>169</v>
      </c>
      <c r="M721" s="82" t="s">
        <v>7256</v>
      </c>
      <c r="N721" s="82" t="s">
        <v>7257</v>
      </c>
      <c r="O721" s="82" t="s">
        <v>7259</v>
      </c>
      <c r="P721" s="82" t="s">
        <v>7260</v>
      </c>
      <c r="Q721" s="82" t="s">
        <v>7261</v>
      </c>
      <c r="R721" s="82" t="s">
        <v>7262</v>
      </c>
      <c r="S721" s="82" t="s">
        <v>7263</v>
      </c>
      <c r="T721" s="138">
        <v>1.0</v>
      </c>
      <c r="U721" s="323">
        <v>1.0</v>
      </c>
      <c r="V721" s="106">
        <v>0.0</v>
      </c>
      <c r="W721" s="107">
        <v>0.0</v>
      </c>
      <c r="X721" s="107">
        <v>0.0</v>
      </c>
      <c r="Y721" s="107">
        <v>0.0</v>
      </c>
      <c r="Z721" s="80">
        <v>0.0</v>
      </c>
      <c r="AA721" s="140">
        <v>0.0</v>
      </c>
      <c r="AB721" s="109">
        <v>0.0</v>
      </c>
      <c r="AC721" s="109">
        <v>0.0</v>
      </c>
      <c r="AD721" s="141">
        <v>0.0</v>
      </c>
      <c r="AE721" s="80">
        <v>0.0</v>
      </c>
      <c r="AF721" s="140">
        <v>9.0</v>
      </c>
      <c r="AG721" s="109">
        <v>6.0</v>
      </c>
      <c r="AH721" s="109">
        <v>5.0</v>
      </c>
      <c r="AI721" s="141">
        <v>0.0</v>
      </c>
      <c r="AJ721" s="80">
        <v>20.0</v>
      </c>
      <c r="AK721" s="140">
        <v>0.0</v>
      </c>
      <c r="AL721" s="109">
        <v>0.0</v>
      </c>
      <c r="AM721" s="141">
        <v>0.0</v>
      </c>
      <c r="AN721" s="80">
        <v>0.0</v>
      </c>
      <c r="AO721" s="140">
        <v>0.0</v>
      </c>
      <c r="AP721" s="109">
        <v>0.0</v>
      </c>
      <c r="AQ721" s="109">
        <v>0.0</v>
      </c>
      <c r="AR721" s="80">
        <v>0.0</v>
      </c>
      <c r="AS721" s="110">
        <v>0.0</v>
      </c>
      <c r="AT721" s="110">
        <v>0.0</v>
      </c>
      <c r="AU721" s="110">
        <v>0.0</v>
      </c>
      <c r="AV721" s="142">
        <v>0.0</v>
      </c>
      <c r="AW721" s="80">
        <v>0.0</v>
      </c>
      <c r="AX721" s="113">
        <v>20.0</v>
      </c>
      <c r="AY721" s="117">
        <v>15.0</v>
      </c>
      <c r="AZ721" s="328">
        <v>5.0</v>
      </c>
      <c r="BA721" s="315">
        <v>0.0</v>
      </c>
      <c r="BB721" s="316">
        <v>20.0</v>
      </c>
      <c r="BC721" s="132" t="s">
        <v>178</v>
      </c>
      <c r="BD721" s="143" t="s">
        <v>227</v>
      </c>
      <c r="BE721" s="132" t="s">
        <v>178</v>
      </c>
      <c r="BF721" s="123"/>
      <c r="BG721" s="83">
        <v>1178699.0</v>
      </c>
      <c r="BH721" s="112">
        <v>1.0</v>
      </c>
      <c r="BI721" s="98" t="s">
        <v>155</v>
      </c>
      <c r="BJ721" s="98" t="str">
        <f t="shared" si="1"/>
        <v>NÃO</v>
      </c>
      <c r="BK721" s="98" t="str">
        <f t="shared" si="2"/>
        <v>NÃO</v>
      </c>
    </row>
    <row r="722" ht="15.75" customHeight="1">
      <c r="A722" s="111" t="s">
        <v>796</v>
      </c>
      <c r="B722" s="83" t="s">
        <v>2234</v>
      </c>
      <c r="C722" s="83" t="s">
        <v>164</v>
      </c>
      <c r="D722" s="83">
        <v>1179111.0</v>
      </c>
      <c r="E722" s="83">
        <v>1178697.0</v>
      </c>
      <c r="F722" s="83"/>
      <c r="G722" s="114" t="s">
        <v>3346</v>
      </c>
      <c r="H722" s="91" t="s">
        <v>3347</v>
      </c>
      <c r="I722" s="298" t="s">
        <v>171</v>
      </c>
      <c r="J722" s="83" t="s">
        <v>3025</v>
      </c>
      <c r="K722" s="83" t="s">
        <v>168</v>
      </c>
      <c r="L722" s="83" t="s">
        <v>169</v>
      </c>
      <c r="M722" s="82" t="s">
        <v>7256</v>
      </c>
      <c r="N722" s="82" t="s">
        <v>7257</v>
      </c>
      <c r="O722" s="82" t="s">
        <v>7259</v>
      </c>
      <c r="P722" s="82" t="s">
        <v>7260</v>
      </c>
      <c r="Q722" s="82" t="s">
        <v>7261</v>
      </c>
      <c r="R722" s="82" t="s">
        <v>7262</v>
      </c>
      <c r="S722" s="82" t="s">
        <v>7263</v>
      </c>
      <c r="T722" s="138">
        <v>1.0</v>
      </c>
      <c r="U722" s="323">
        <v>1.0</v>
      </c>
      <c r="V722" s="106">
        <v>0.0</v>
      </c>
      <c r="W722" s="107">
        <v>0.0</v>
      </c>
      <c r="X722" s="107">
        <v>0.0</v>
      </c>
      <c r="Y722" s="107">
        <v>0.0</v>
      </c>
      <c r="Z722" s="80">
        <v>0.0</v>
      </c>
      <c r="AA722" s="140">
        <v>0.0</v>
      </c>
      <c r="AB722" s="109">
        <v>0.0</v>
      </c>
      <c r="AC722" s="109">
        <v>0.0</v>
      </c>
      <c r="AD722" s="141">
        <v>0.0</v>
      </c>
      <c r="AE722" s="80">
        <v>0.0</v>
      </c>
      <c r="AF722" s="140">
        <v>0.0</v>
      </c>
      <c r="AG722" s="109">
        <v>28.0</v>
      </c>
      <c r="AH722" s="109">
        <v>0.0</v>
      </c>
      <c r="AI722" s="141">
        <v>0.0</v>
      </c>
      <c r="AJ722" s="80">
        <v>28.0</v>
      </c>
      <c r="AK722" s="140">
        <v>0.0</v>
      </c>
      <c r="AL722" s="109">
        <v>0.0</v>
      </c>
      <c r="AM722" s="141">
        <v>0.0</v>
      </c>
      <c r="AN722" s="80">
        <v>0.0</v>
      </c>
      <c r="AO722" s="140">
        <v>0.0</v>
      </c>
      <c r="AP722" s="109">
        <v>0.0</v>
      </c>
      <c r="AQ722" s="109">
        <v>0.0</v>
      </c>
      <c r="AR722" s="80">
        <v>0.0</v>
      </c>
      <c r="AS722" s="110">
        <v>0.0</v>
      </c>
      <c r="AT722" s="110">
        <v>0.0</v>
      </c>
      <c r="AU722" s="110">
        <v>0.0</v>
      </c>
      <c r="AV722" s="142">
        <v>0.0</v>
      </c>
      <c r="AW722" s="80">
        <v>0.0</v>
      </c>
      <c r="AX722" s="113">
        <v>28.0</v>
      </c>
      <c r="AY722" s="117">
        <v>28.0</v>
      </c>
      <c r="AZ722" s="328">
        <v>0.0</v>
      </c>
      <c r="BA722" s="315">
        <v>0.0</v>
      </c>
      <c r="BB722" s="316">
        <v>28.0</v>
      </c>
      <c r="BC722" s="132" t="s">
        <v>178</v>
      </c>
      <c r="BD722" s="143" t="s">
        <v>227</v>
      </c>
      <c r="BE722" s="132" t="s">
        <v>178</v>
      </c>
      <c r="BF722" s="123"/>
      <c r="BG722" s="83">
        <v>1178697.0</v>
      </c>
      <c r="BH722" s="112">
        <v>1.0</v>
      </c>
      <c r="BI722" s="98" t="s">
        <v>155</v>
      </c>
      <c r="BJ722" s="98" t="str">
        <f t="shared" si="1"/>
        <v>NÃO</v>
      </c>
      <c r="BK722" s="98" t="str">
        <f t="shared" si="2"/>
        <v>NÃO</v>
      </c>
    </row>
    <row r="723" ht="15.75" customHeight="1">
      <c r="A723" s="111" t="s">
        <v>796</v>
      </c>
      <c r="B723" s="83" t="s">
        <v>2234</v>
      </c>
      <c r="C723" s="83" t="s">
        <v>164</v>
      </c>
      <c r="D723" s="83">
        <v>1179111.0</v>
      </c>
      <c r="E723" s="83">
        <v>1178696.0</v>
      </c>
      <c r="F723" s="83"/>
      <c r="G723" s="114" t="s">
        <v>3348</v>
      </c>
      <c r="H723" s="91" t="s">
        <v>3349</v>
      </c>
      <c r="I723" s="298" t="s">
        <v>171</v>
      </c>
      <c r="J723" s="83" t="s">
        <v>3350</v>
      </c>
      <c r="K723" s="83" t="s">
        <v>168</v>
      </c>
      <c r="L723" s="83" t="s">
        <v>169</v>
      </c>
      <c r="M723" s="82" t="s">
        <v>7256</v>
      </c>
      <c r="N723" s="82" t="s">
        <v>7257</v>
      </c>
      <c r="O723" s="82" t="s">
        <v>7259</v>
      </c>
      <c r="P723" s="82" t="s">
        <v>7260</v>
      </c>
      <c r="Q723" s="82" t="s">
        <v>7261</v>
      </c>
      <c r="R723" s="82" t="s">
        <v>7262</v>
      </c>
      <c r="S723" s="82" t="s">
        <v>7263</v>
      </c>
      <c r="T723" s="138">
        <v>2.0</v>
      </c>
      <c r="U723" s="323">
        <v>2.0</v>
      </c>
      <c r="V723" s="106">
        <v>0.0</v>
      </c>
      <c r="W723" s="107">
        <v>0.0</v>
      </c>
      <c r="X723" s="107">
        <v>0.0</v>
      </c>
      <c r="Y723" s="107">
        <v>0.0</v>
      </c>
      <c r="Z723" s="80">
        <v>0.0</v>
      </c>
      <c r="AA723" s="140">
        <v>0.0</v>
      </c>
      <c r="AB723" s="109">
        <v>0.0</v>
      </c>
      <c r="AC723" s="109">
        <v>0.0</v>
      </c>
      <c r="AD723" s="141">
        <v>0.0</v>
      </c>
      <c r="AE723" s="80">
        <v>0.0</v>
      </c>
      <c r="AF723" s="140">
        <v>8.0</v>
      </c>
      <c r="AG723" s="109">
        <v>0.0</v>
      </c>
      <c r="AH723" s="109">
        <v>7.0</v>
      </c>
      <c r="AI723" s="141">
        <v>0.0</v>
      </c>
      <c r="AJ723" s="80">
        <v>15.0</v>
      </c>
      <c r="AK723" s="140">
        <v>0.0</v>
      </c>
      <c r="AL723" s="109">
        <v>0.0</v>
      </c>
      <c r="AM723" s="141">
        <v>0.0</v>
      </c>
      <c r="AN723" s="80">
        <v>0.0</v>
      </c>
      <c r="AO723" s="140">
        <v>0.0</v>
      </c>
      <c r="AP723" s="109">
        <v>0.0</v>
      </c>
      <c r="AQ723" s="109">
        <v>0.0</v>
      </c>
      <c r="AR723" s="80">
        <v>0.0</v>
      </c>
      <c r="AS723" s="110">
        <v>0.0</v>
      </c>
      <c r="AT723" s="110">
        <v>0.0</v>
      </c>
      <c r="AU723" s="110">
        <v>0.0</v>
      </c>
      <c r="AV723" s="142">
        <v>0.0</v>
      </c>
      <c r="AW723" s="80">
        <v>0.0</v>
      </c>
      <c r="AX723" s="113">
        <v>15.0</v>
      </c>
      <c r="AY723" s="117">
        <v>8.0</v>
      </c>
      <c r="AZ723" s="328">
        <v>7.0</v>
      </c>
      <c r="BA723" s="315">
        <v>0.0</v>
      </c>
      <c r="BB723" s="316">
        <v>15.0</v>
      </c>
      <c r="BC723" s="132" t="s">
        <v>178</v>
      </c>
      <c r="BD723" s="143" t="s">
        <v>227</v>
      </c>
      <c r="BE723" s="132" t="s">
        <v>178</v>
      </c>
      <c r="BF723" s="123"/>
      <c r="BG723" s="83">
        <v>1178696.0</v>
      </c>
      <c r="BH723" s="112">
        <v>2.0</v>
      </c>
      <c r="BI723" s="98" t="s">
        <v>155</v>
      </c>
      <c r="BJ723" s="98" t="str">
        <f t="shared" si="1"/>
        <v>NÃO</v>
      </c>
      <c r="BK723" s="98" t="str">
        <f t="shared" si="2"/>
        <v>NÃO</v>
      </c>
    </row>
    <row r="724" ht="15.75" customHeight="1">
      <c r="A724" s="111" t="s">
        <v>796</v>
      </c>
      <c r="B724" s="83" t="s">
        <v>2234</v>
      </c>
      <c r="C724" s="83" t="s">
        <v>164</v>
      </c>
      <c r="D724" s="83">
        <v>1179111.0</v>
      </c>
      <c r="E724" s="83">
        <v>1178694.0</v>
      </c>
      <c r="F724" s="83"/>
      <c r="G724" s="114" t="s">
        <v>3351</v>
      </c>
      <c r="H724" s="91" t="s">
        <v>3352</v>
      </c>
      <c r="I724" s="298" t="s">
        <v>171</v>
      </c>
      <c r="J724" s="83" t="s">
        <v>464</v>
      </c>
      <c r="K724" s="83" t="s">
        <v>168</v>
      </c>
      <c r="L724" s="83" t="s">
        <v>169</v>
      </c>
      <c r="M724" s="82" t="s">
        <v>7256</v>
      </c>
      <c r="N724" s="82" t="s">
        <v>7257</v>
      </c>
      <c r="O724" s="82" t="s">
        <v>7259</v>
      </c>
      <c r="P724" s="82" t="s">
        <v>7260</v>
      </c>
      <c r="Q724" s="82" t="s">
        <v>7261</v>
      </c>
      <c r="R724" s="82" t="s">
        <v>7262</v>
      </c>
      <c r="S724" s="82" t="s">
        <v>7263</v>
      </c>
      <c r="T724" s="138">
        <v>1.0</v>
      </c>
      <c r="U724" s="323">
        <v>1.0</v>
      </c>
      <c r="V724" s="106">
        <v>0.0</v>
      </c>
      <c r="W724" s="107">
        <v>0.0</v>
      </c>
      <c r="X724" s="107">
        <v>0.0</v>
      </c>
      <c r="Y724" s="107">
        <v>0.0</v>
      </c>
      <c r="Z724" s="80">
        <v>0.0</v>
      </c>
      <c r="AA724" s="140">
        <v>0.0</v>
      </c>
      <c r="AB724" s="109">
        <v>0.0</v>
      </c>
      <c r="AC724" s="109">
        <v>0.0</v>
      </c>
      <c r="AD724" s="141">
        <v>0.0</v>
      </c>
      <c r="AE724" s="80">
        <v>0.0</v>
      </c>
      <c r="AF724" s="140">
        <v>6.0</v>
      </c>
      <c r="AG724" s="109">
        <v>12.0</v>
      </c>
      <c r="AH724" s="109">
        <v>12.0</v>
      </c>
      <c r="AI724" s="141">
        <v>0.0</v>
      </c>
      <c r="AJ724" s="80">
        <v>30.0</v>
      </c>
      <c r="AK724" s="140">
        <v>0.0</v>
      </c>
      <c r="AL724" s="109">
        <v>0.0</v>
      </c>
      <c r="AM724" s="141">
        <v>0.0</v>
      </c>
      <c r="AN724" s="80">
        <v>0.0</v>
      </c>
      <c r="AO724" s="140">
        <v>0.0</v>
      </c>
      <c r="AP724" s="109">
        <v>0.0</v>
      </c>
      <c r="AQ724" s="109">
        <v>0.0</v>
      </c>
      <c r="AR724" s="80">
        <v>0.0</v>
      </c>
      <c r="AS724" s="110">
        <v>0.0</v>
      </c>
      <c r="AT724" s="110">
        <v>0.0</v>
      </c>
      <c r="AU724" s="110">
        <v>0.0</v>
      </c>
      <c r="AV724" s="142">
        <v>0.0</v>
      </c>
      <c r="AW724" s="80">
        <v>0.0</v>
      </c>
      <c r="AX724" s="113">
        <v>30.0</v>
      </c>
      <c r="AY724" s="117">
        <v>18.0</v>
      </c>
      <c r="AZ724" s="328">
        <v>12.0</v>
      </c>
      <c r="BA724" s="315">
        <v>0.0</v>
      </c>
      <c r="BB724" s="316">
        <v>30.0</v>
      </c>
      <c r="BC724" s="132" t="s">
        <v>178</v>
      </c>
      <c r="BD724" s="143" t="s">
        <v>227</v>
      </c>
      <c r="BE724" s="132" t="s">
        <v>178</v>
      </c>
      <c r="BF724" s="123"/>
      <c r="BG724" s="83">
        <v>1178694.0</v>
      </c>
      <c r="BH724" s="112">
        <v>1.0</v>
      </c>
      <c r="BI724" s="98" t="s">
        <v>155</v>
      </c>
      <c r="BJ724" s="98" t="str">
        <f t="shared" si="1"/>
        <v>NÃO</v>
      </c>
      <c r="BK724" s="98" t="str">
        <f t="shared" si="2"/>
        <v>NÃO</v>
      </c>
    </row>
    <row r="725" ht="15.75" customHeight="1">
      <c r="A725" s="111" t="s">
        <v>796</v>
      </c>
      <c r="B725" s="83" t="s">
        <v>2234</v>
      </c>
      <c r="C725" s="83" t="s">
        <v>164</v>
      </c>
      <c r="D725" s="83">
        <v>1179111.0</v>
      </c>
      <c r="E725" s="83">
        <v>1178693.0</v>
      </c>
      <c r="F725" s="83"/>
      <c r="G725" s="114" t="s">
        <v>3353</v>
      </c>
      <c r="H725" s="91" t="s">
        <v>3354</v>
      </c>
      <c r="I725" s="298" t="s">
        <v>171</v>
      </c>
      <c r="J725" s="83" t="s">
        <v>865</v>
      </c>
      <c r="K725" s="83" t="s">
        <v>168</v>
      </c>
      <c r="L725" s="83" t="s">
        <v>169</v>
      </c>
      <c r="M725" s="82" t="s">
        <v>7256</v>
      </c>
      <c r="N725" s="82" t="s">
        <v>7257</v>
      </c>
      <c r="O725" s="82" t="s">
        <v>7259</v>
      </c>
      <c r="P725" s="82" t="s">
        <v>7260</v>
      </c>
      <c r="Q725" s="82" t="s">
        <v>7261</v>
      </c>
      <c r="R725" s="82" t="s">
        <v>7262</v>
      </c>
      <c r="S725" s="82" t="s">
        <v>7263</v>
      </c>
      <c r="T725" s="138">
        <v>1.0</v>
      </c>
      <c r="U725" s="323">
        <v>1.0</v>
      </c>
      <c r="V725" s="106">
        <v>0.0</v>
      </c>
      <c r="W725" s="107">
        <v>0.0</v>
      </c>
      <c r="X725" s="107">
        <v>0.0</v>
      </c>
      <c r="Y725" s="107">
        <v>0.0</v>
      </c>
      <c r="Z725" s="80">
        <v>0.0</v>
      </c>
      <c r="AA725" s="140">
        <v>0.0</v>
      </c>
      <c r="AB725" s="109">
        <v>0.0</v>
      </c>
      <c r="AC725" s="109">
        <v>0.0</v>
      </c>
      <c r="AD725" s="141">
        <v>0.0</v>
      </c>
      <c r="AE725" s="80">
        <v>0.0</v>
      </c>
      <c r="AF725" s="140">
        <v>1.0</v>
      </c>
      <c r="AG725" s="109">
        <v>15.0</v>
      </c>
      <c r="AH725" s="109">
        <v>14.0</v>
      </c>
      <c r="AI725" s="141">
        <v>0.0</v>
      </c>
      <c r="AJ725" s="80">
        <v>30.0</v>
      </c>
      <c r="AK725" s="140">
        <v>0.0</v>
      </c>
      <c r="AL725" s="109">
        <v>0.0</v>
      </c>
      <c r="AM725" s="141">
        <v>0.0</v>
      </c>
      <c r="AN725" s="80">
        <v>0.0</v>
      </c>
      <c r="AO725" s="140">
        <v>0.0</v>
      </c>
      <c r="AP725" s="109">
        <v>0.0</v>
      </c>
      <c r="AQ725" s="109">
        <v>0.0</v>
      </c>
      <c r="AR725" s="80">
        <v>0.0</v>
      </c>
      <c r="AS725" s="110">
        <v>0.0</v>
      </c>
      <c r="AT725" s="110">
        <v>0.0</v>
      </c>
      <c r="AU725" s="110">
        <v>0.0</v>
      </c>
      <c r="AV725" s="142">
        <v>0.0</v>
      </c>
      <c r="AW725" s="80">
        <v>0.0</v>
      </c>
      <c r="AX725" s="113">
        <v>30.0</v>
      </c>
      <c r="AY725" s="117">
        <v>16.0</v>
      </c>
      <c r="AZ725" s="328">
        <v>14.0</v>
      </c>
      <c r="BA725" s="315">
        <v>0.0</v>
      </c>
      <c r="BB725" s="316">
        <v>30.0</v>
      </c>
      <c r="BC725" s="132" t="s">
        <v>178</v>
      </c>
      <c r="BD725" s="143" t="s">
        <v>227</v>
      </c>
      <c r="BE725" s="132" t="s">
        <v>178</v>
      </c>
      <c r="BF725" s="123"/>
      <c r="BG725" s="83">
        <v>1178693.0</v>
      </c>
      <c r="BH725" s="112">
        <v>1.0</v>
      </c>
      <c r="BI725" s="98" t="s">
        <v>155</v>
      </c>
      <c r="BJ725" s="98" t="str">
        <f t="shared" si="1"/>
        <v>NÃO</v>
      </c>
      <c r="BK725" s="98" t="str">
        <f t="shared" si="2"/>
        <v>NÃO</v>
      </c>
    </row>
    <row r="726" ht="15.75" customHeight="1">
      <c r="A726" s="111" t="s">
        <v>796</v>
      </c>
      <c r="B726" s="83" t="s">
        <v>2234</v>
      </c>
      <c r="C726" s="83" t="s">
        <v>164</v>
      </c>
      <c r="D726" s="83">
        <v>1179111.0</v>
      </c>
      <c r="E726" s="83">
        <v>1178698.0</v>
      </c>
      <c r="F726" s="83"/>
      <c r="G726" s="114" t="s">
        <v>3360</v>
      </c>
      <c r="H726" s="91" t="s">
        <v>3361</v>
      </c>
      <c r="I726" s="298" t="s">
        <v>171</v>
      </c>
      <c r="J726" s="83" t="s">
        <v>1870</v>
      </c>
      <c r="K726" s="83" t="s">
        <v>168</v>
      </c>
      <c r="L726" s="83" t="s">
        <v>169</v>
      </c>
      <c r="M726" s="82" t="s">
        <v>7256</v>
      </c>
      <c r="N726" s="82" t="s">
        <v>7257</v>
      </c>
      <c r="O726" s="82" t="s">
        <v>7259</v>
      </c>
      <c r="P726" s="82" t="s">
        <v>7260</v>
      </c>
      <c r="Q726" s="82" t="s">
        <v>7261</v>
      </c>
      <c r="R726" s="82" t="s">
        <v>7262</v>
      </c>
      <c r="S726" s="82" t="s">
        <v>7263</v>
      </c>
      <c r="T726" s="138">
        <v>3.0</v>
      </c>
      <c r="U726" s="323">
        <v>3.0</v>
      </c>
      <c r="V726" s="106">
        <v>0.0</v>
      </c>
      <c r="W726" s="107">
        <v>0.0</v>
      </c>
      <c r="X726" s="107">
        <v>0.0</v>
      </c>
      <c r="Y726" s="107">
        <v>0.0</v>
      </c>
      <c r="Z726" s="80">
        <v>0.0</v>
      </c>
      <c r="AA726" s="140">
        <v>0.0</v>
      </c>
      <c r="AB726" s="109">
        <v>0.0</v>
      </c>
      <c r="AC726" s="109">
        <v>0.0</v>
      </c>
      <c r="AD726" s="141">
        <v>0.0</v>
      </c>
      <c r="AE726" s="80">
        <v>0.0</v>
      </c>
      <c r="AF726" s="140">
        <v>0.0</v>
      </c>
      <c r="AG726" s="109">
        <v>0.0</v>
      </c>
      <c r="AH726" s="109">
        <v>13.0</v>
      </c>
      <c r="AI726" s="141">
        <v>0.0</v>
      </c>
      <c r="AJ726" s="80">
        <v>13.0</v>
      </c>
      <c r="AK726" s="140">
        <v>0.0</v>
      </c>
      <c r="AL726" s="109">
        <v>0.0</v>
      </c>
      <c r="AM726" s="141">
        <v>0.0</v>
      </c>
      <c r="AN726" s="80">
        <v>0.0</v>
      </c>
      <c r="AO726" s="140">
        <v>0.0</v>
      </c>
      <c r="AP726" s="109">
        <v>0.0</v>
      </c>
      <c r="AQ726" s="109">
        <v>0.0</v>
      </c>
      <c r="AR726" s="80">
        <v>0.0</v>
      </c>
      <c r="AS726" s="110">
        <v>0.0</v>
      </c>
      <c r="AT726" s="110">
        <v>0.0</v>
      </c>
      <c r="AU726" s="110">
        <v>0.0</v>
      </c>
      <c r="AV726" s="142">
        <v>0.0</v>
      </c>
      <c r="AW726" s="80">
        <v>0.0</v>
      </c>
      <c r="AX726" s="113">
        <v>13.0</v>
      </c>
      <c r="AY726" s="117">
        <v>0.0</v>
      </c>
      <c r="AZ726" s="328">
        <v>13.0</v>
      </c>
      <c r="BA726" s="315">
        <v>0.0</v>
      </c>
      <c r="BB726" s="316">
        <v>13.0</v>
      </c>
      <c r="BC726" s="132" t="s">
        <v>178</v>
      </c>
      <c r="BD726" s="143" t="s">
        <v>227</v>
      </c>
      <c r="BE726" s="132" t="s">
        <v>178</v>
      </c>
      <c r="BF726" s="123"/>
      <c r="BG726" s="83">
        <v>1178698.0</v>
      </c>
      <c r="BH726" s="112">
        <v>3.0</v>
      </c>
      <c r="BI726" s="98" t="s">
        <v>155</v>
      </c>
      <c r="BJ726" s="98" t="str">
        <f t="shared" si="1"/>
        <v>NÃO</v>
      </c>
      <c r="BK726" s="98" t="str">
        <f t="shared" si="2"/>
        <v>NÃO</v>
      </c>
    </row>
    <row r="727" ht="15.75" customHeight="1">
      <c r="A727" s="111" t="s">
        <v>796</v>
      </c>
      <c r="B727" s="83" t="s">
        <v>2234</v>
      </c>
      <c r="C727" s="83" t="s">
        <v>164</v>
      </c>
      <c r="D727" s="83">
        <v>1179111.0</v>
      </c>
      <c r="E727" s="83">
        <v>1178692.0</v>
      </c>
      <c r="F727" s="83"/>
      <c r="G727" s="114" t="s">
        <v>3362</v>
      </c>
      <c r="H727" s="91" t="s">
        <v>3363</v>
      </c>
      <c r="I727" s="298" t="s">
        <v>171</v>
      </c>
      <c r="J727" s="83" t="s">
        <v>315</v>
      </c>
      <c r="K727" s="83" t="s">
        <v>168</v>
      </c>
      <c r="L727" s="83" t="s">
        <v>169</v>
      </c>
      <c r="M727" s="82" t="s">
        <v>7256</v>
      </c>
      <c r="N727" s="82" t="s">
        <v>7257</v>
      </c>
      <c r="O727" s="82" t="s">
        <v>7259</v>
      </c>
      <c r="P727" s="82" t="s">
        <v>7260</v>
      </c>
      <c r="Q727" s="82" t="s">
        <v>7261</v>
      </c>
      <c r="R727" s="82" t="s">
        <v>7262</v>
      </c>
      <c r="S727" s="82" t="s">
        <v>7263</v>
      </c>
      <c r="T727" s="138">
        <v>1.0</v>
      </c>
      <c r="U727" s="323">
        <v>1.0</v>
      </c>
      <c r="V727" s="106">
        <v>0.0</v>
      </c>
      <c r="W727" s="107">
        <v>0.0</v>
      </c>
      <c r="X727" s="107">
        <v>0.0</v>
      </c>
      <c r="Y727" s="107">
        <v>0.0</v>
      </c>
      <c r="Z727" s="80">
        <v>0.0</v>
      </c>
      <c r="AA727" s="140">
        <v>0.0</v>
      </c>
      <c r="AB727" s="109">
        <v>0.0</v>
      </c>
      <c r="AC727" s="109">
        <v>0.0</v>
      </c>
      <c r="AD727" s="141">
        <v>0.0</v>
      </c>
      <c r="AE727" s="80">
        <v>0.0</v>
      </c>
      <c r="AF727" s="140">
        <v>4.0</v>
      </c>
      <c r="AG727" s="109">
        <v>4.0</v>
      </c>
      <c r="AH727" s="109">
        <v>2.0</v>
      </c>
      <c r="AI727" s="141">
        <v>0.0</v>
      </c>
      <c r="AJ727" s="80">
        <v>10.0</v>
      </c>
      <c r="AK727" s="140">
        <v>0.0</v>
      </c>
      <c r="AL727" s="109">
        <v>0.0</v>
      </c>
      <c r="AM727" s="141">
        <v>0.0</v>
      </c>
      <c r="AN727" s="80">
        <v>0.0</v>
      </c>
      <c r="AO727" s="140">
        <v>0.0</v>
      </c>
      <c r="AP727" s="109">
        <v>0.0</v>
      </c>
      <c r="AQ727" s="109">
        <v>0.0</v>
      </c>
      <c r="AR727" s="80">
        <v>0.0</v>
      </c>
      <c r="AS727" s="110">
        <v>0.0</v>
      </c>
      <c r="AT727" s="110">
        <v>0.0</v>
      </c>
      <c r="AU727" s="110">
        <v>0.0</v>
      </c>
      <c r="AV727" s="142">
        <v>0.0</v>
      </c>
      <c r="AW727" s="80">
        <v>0.0</v>
      </c>
      <c r="AX727" s="113">
        <v>10.0</v>
      </c>
      <c r="AY727" s="117">
        <v>8.0</v>
      </c>
      <c r="AZ727" s="328">
        <v>2.0</v>
      </c>
      <c r="BA727" s="315">
        <v>0.0</v>
      </c>
      <c r="BB727" s="316">
        <v>10.0</v>
      </c>
      <c r="BC727" s="132" t="s">
        <v>178</v>
      </c>
      <c r="BD727" s="143" t="s">
        <v>227</v>
      </c>
      <c r="BE727" s="132" t="s">
        <v>178</v>
      </c>
      <c r="BF727" s="123"/>
      <c r="BG727" s="83">
        <v>1178692.0</v>
      </c>
      <c r="BH727" s="112">
        <v>1.0</v>
      </c>
      <c r="BI727" s="98" t="s">
        <v>155</v>
      </c>
      <c r="BJ727" s="98" t="str">
        <f t="shared" si="1"/>
        <v>NÃO</v>
      </c>
      <c r="BK727" s="98" t="str">
        <f t="shared" si="2"/>
        <v>NÃO</v>
      </c>
    </row>
    <row r="728" ht="15.75" customHeight="1">
      <c r="A728" s="111" t="s">
        <v>796</v>
      </c>
      <c r="B728" s="83" t="s">
        <v>2234</v>
      </c>
      <c r="C728" s="83" t="s">
        <v>164</v>
      </c>
      <c r="D728" s="83">
        <v>1179111.0</v>
      </c>
      <c r="E728" s="83">
        <v>1179144.0</v>
      </c>
      <c r="F728" s="83"/>
      <c r="G728" s="114" t="s">
        <v>3364</v>
      </c>
      <c r="H728" s="91" t="s">
        <v>3365</v>
      </c>
      <c r="I728" s="298" t="s">
        <v>171</v>
      </c>
      <c r="J728" s="83" t="s">
        <v>252</v>
      </c>
      <c r="K728" s="83" t="s">
        <v>168</v>
      </c>
      <c r="L728" s="83" t="s">
        <v>169</v>
      </c>
      <c r="M728" s="82" t="s">
        <v>7256</v>
      </c>
      <c r="N728" s="82" t="s">
        <v>7257</v>
      </c>
      <c r="O728" s="82" t="s">
        <v>7259</v>
      </c>
      <c r="P728" s="82" t="s">
        <v>7260</v>
      </c>
      <c r="Q728" s="82" t="s">
        <v>7261</v>
      </c>
      <c r="R728" s="82" t="s">
        <v>7262</v>
      </c>
      <c r="S728" s="82" t="s">
        <v>7263</v>
      </c>
      <c r="T728" s="138">
        <v>1.0</v>
      </c>
      <c r="U728" s="323">
        <v>1.0</v>
      </c>
      <c r="V728" s="106">
        <v>0.0</v>
      </c>
      <c r="W728" s="107">
        <v>0.0</v>
      </c>
      <c r="X728" s="107">
        <v>0.0</v>
      </c>
      <c r="Y728" s="107">
        <v>0.0</v>
      </c>
      <c r="Z728" s="80">
        <v>0.0</v>
      </c>
      <c r="AA728" s="140">
        <v>0.0</v>
      </c>
      <c r="AB728" s="109">
        <v>0.0</v>
      </c>
      <c r="AC728" s="109">
        <v>0.0</v>
      </c>
      <c r="AD728" s="141">
        <v>0.0</v>
      </c>
      <c r="AE728" s="80">
        <v>0.0</v>
      </c>
      <c r="AF728" s="140">
        <v>4.0</v>
      </c>
      <c r="AG728" s="109">
        <v>7.0</v>
      </c>
      <c r="AH728" s="109">
        <v>10.0</v>
      </c>
      <c r="AI728" s="141">
        <v>0.0</v>
      </c>
      <c r="AJ728" s="80">
        <v>21.0</v>
      </c>
      <c r="AK728" s="140">
        <v>0.0</v>
      </c>
      <c r="AL728" s="109">
        <v>0.0</v>
      </c>
      <c r="AM728" s="141">
        <v>0.0</v>
      </c>
      <c r="AN728" s="80">
        <v>0.0</v>
      </c>
      <c r="AO728" s="140">
        <v>0.0</v>
      </c>
      <c r="AP728" s="109">
        <v>0.0</v>
      </c>
      <c r="AQ728" s="109">
        <v>0.0</v>
      </c>
      <c r="AR728" s="80">
        <v>0.0</v>
      </c>
      <c r="AS728" s="110">
        <v>0.0</v>
      </c>
      <c r="AT728" s="110">
        <v>0.0</v>
      </c>
      <c r="AU728" s="110">
        <v>0.0</v>
      </c>
      <c r="AV728" s="142">
        <v>0.0</v>
      </c>
      <c r="AW728" s="80">
        <v>0.0</v>
      </c>
      <c r="AX728" s="113">
        <v>21.0</v>
      </c>
      <c r="AY728" s="117">
        <v>11.0</v>
      </c>
      <c r="AZ728" s="328">
        <v>10.0</v>
      </c>
      <c r="BA728" s="315">
        <v>0.0</v>
      </c>
      <c r="BB728" s="316">
        <v>21.0</v>
      </c>
      <c r="BC728" s="132" t="s">
        <v>178</v>
      </c>
      <c r="BD728" s="143" t="s">
        <v>227</v>
      </c>
      <c r="BE728" s="132" t="s">
        <v>178</v>
      </c>
      <c r="BF728" s="123"/>
      <c r="BG728" s="83">
        <v>1179144.0</v>
      </c>
      <c r="BH728" s="112">
        <v>1.0</v>
      </c>
      <c r="BI728" s="98" t="s">
        <v>155</v>
      </c>
      <c r="BJ728" s="98" t="str">
        <f t="shared" si="1"/>
        <v>NÃO</v>
      </c>
      <c r="BK728" s="98" t="str">
        <f t="shared" si="2"/>
        <v>NÃO</v>
      </c>
    </row>
    <row r="729" ht="15.75" customHeight="1">
      <c r="A729" s="111" t="s">
        <v>796</v>
      </c>
      <c r="B729" s="83" t="s">
        <v>3366</v>
      </c>
      <c r="C729" s="83" t="s">
        <v>45</v>
      </c>
      <c r="D729" s="83">
        <v>1178380.0</v>
      </c>
      <c r="E729" s="83"/>
      <c r="F729" s="83">
        <v>2.9397731E7</v>
      </c>
      <c r="G729" s="114" t="s">
        <v>3367</v>
      </c>
      <c r="H729" s="91" t="s">
        <v>3368</v>
      </c>
      <c r="I729" s="296" t="s">
        <v>149</v>
      </c>
      <c r="J729" s="98" t="s">
        <v>1301</v>
      </c>
      <c r="K729" s="83" t="s">
        <v>171</v>
      </c>
      <c r="L729" s="83" t="s">
        <v>169</v>
      </c>
      <c r="M729" s="82" t="s">
        <v>7873</v>
      </c>
      <c r="N729" s="82" t="s">
        <v>7874</v>
      </c>
      <c r="O729" s="82"/>
      <c r="P729" s="82"/>
      <c r="Q729" s="82"/>
      <c r="R729" s="82"/>
      <c r="S729" s="82"/>
      <c r="T729" s="138">
        <v>10.0</v>
      </c>
      <c r="U729" s="323" t="s">
        <v>171</v>
      </c>
      <c r="V729" s="106">
        <v>0.0</v>
      </c>
      <c r="W729" s="107">
        <v>0.0</v>
      </c>
      <c r="X729" s="107">
        <v>0.0</v>
      </c>
      <c r="Y729" s="107">
        <v>0.0</v>
      </c>
      <c r="Z729" s="80">
        <v>0.0</v>
      </c>
      <c r="AA729" s="140">
        <v>0.0</v>
      </c>
      <c r="AB729" s="109">
        <v>0.0</v>
      </c>
      <c r="AC729" s="109">
        <v>0.0</v>
      </c>
      <c r="AD729" s="141">
        <v>42.0</v>
      </c>
      <c r="AE729" s="80">
        <v>42.0</v>
      </c>
      <c r="AF729" s="140">
        <v>0.0</v>
      </c>
      <c r="AG729" s="109">
        <v>0.0</v>
      </c>
      <c r="AH729" s="109">
        <v>0.0</v>
      </c>
      <c r="AI729" s="141">
        <v>84.0</v>
      </c>
      <c r="AJ729" s="80">
        <v>84.0</v>
      </c>
      <c r="AK729" s="140">
        <v>0.0</v>
      </c>
      <c r="AL729" s="109">
        <v>0.0</v>
      </c>
      <c r="AM729" s="141">
        <v>0.0</v>
      </c>
      <c r="AN729" s="80">
        <v>0.0</v>
      </c>
      <c r="AO729" s="140">
        <v>0.0</v>
      </c>
      <c r="AP729" s="109">
        <v>0.0</v>
      </c>
      <c r="AQ729" s="109">
        <v>0.0</v>
      </c>
      <c r="AR729" s="80">
        <v>0.0</v>
      </c>
      <c r="AS729" s="110">
        <v>0.0</v>
      </c>
      <c r="AT729" s="110">
        <v>0.0</v>
      </c>
      <c r="AU729" s="110">
        <v>0.0</v>
      </c>
      <c r="AV729" s="142">
        <v>0.0</v>
      </c>
      <c r="AW729" s="80">
        <v>0.0</v>
      </c>
      <c r="AX729" s="113">
        <v>126.0</v>
      </c>
      <c r="AY729" s="117">
        <v>126.0</v>
      </c>
      <c r="AZ729" s="328">
        <v>0.0</v>
      </c>
      <c r="BA729" s="315">
        <v>0.0</v>
      </c>
      <c r="BB729" s="316">
        <v>126.0</v>
      </c>
      <c r="BC729" s="132" t="s">
        <v>178</v>
      </c>
      <c r="BD729" s="132" t="s">
        <v>178</v>
      </c>
      <c r="BE729" s="132" t="s">
        <v>178</v>
      </c>
      <c r="BF729" s="123"/>
      <c r="BG729" s="83">
        <v>1178380.0</v>
      </c>
      <c r="BH729" s="112">
        <v>10.0</v>
      </c>
      <c r="BI729" s="98" t="s">
        <v>155</v>
      </c>
      <c r="BJ729" s="98" t="str">
        <f t="shared" si="1"/>
        <v>INTEGRAL</v>
      </c>
      <c r="BK729" s="98" t="str">
        <f t="shared" si="2"/>
        <v>NÃO</v>
      </c>
    </row>
    <row r="730" ht="15.75" customHeight="1">
      <c r="A730" s="111" t="s">
        <v>796</v>
      </c>
      <c r="B730" s="83" t="s">
        <v>3366</v>
      </c>
      <c r="C730" s="83" t="s">
        <v>68</v>
      </c>
      <c r="D730" s="83">
        <v>1120907.0</v>
      </c>
      <c r="E730" s="83"/>
      <c r="F730" s="83">
        <v>2.9032334E7</v>
      </c>
      <c r="G730" s="114" t="s">
        <v>7879</v>
      </c>
      <c r="H730" s="91" t="s">
        <v>3395</v>
      </c>
      <c r="I730" s="298" t="s">
        <v>149</v>
      </c>
      <c r="J730" s="83" t="s">
        <v>150</v>
      </c>
      <c r="K730" s="83" t="s">
        <v>151</v>
      </c>
      <c r="L730" s="83" t="s">
        <v>152</v>
      </c>
      <c r="M730" s="82" t="s">
        <v>7880</v>
      </c>
      <c r="N730" s="82" t="s">
        <v>7881</v>
      </c>
      <c r="O730" s="82" t="s">
        <v>7882</v>
      </c>
      <c r="P730" s="82" t="s">
        <v>7883</v>
      </c>
      <c r="Q730" s="82" t="s">
        <v>7884</v>
      </c>
      <c r="R730" s="82"/>
      <c r="S730" s="82"/>
      <c r="T730" s="138">
        <v>12.0</v>
      </c>
      <c r="U730" s="331" t="s">
        <v>7885</v>
      </c>
      <c r="V730" s="106">
        <v>0.0</v>
      </c>
      <c r="W730" s="107">
        <v>0.0</v>
      </c>
      <c r="X730" s="107">
        <v>0.0</v>
      </c>
      <c r="Y730" s="107">
        <v>0.0</v>
      </c>
      <c r="Z730" s="80">
        <v>0.0</v>
      </c>
      <c r="AA730" s="140">
        <v>0.0</v>
      </c>
      <c r="AB730" s="109">
        <v>0.0</v>
      </c>
      <c r="AC730" s="109">
        <v>0.0</v>
      </c>
      <c r="AD730" s="141">
        <v>0.0</v>
      </c>
      <c r="AE730" s="80">
        <v>0.0</v>
      </c>
      <c r="AF730" s="140">
        <v>285.0</v>
      </c>
      <c r="AG730" s="109">
        <v>190.0</v>
      </c>
      <c r="AH730" s="109">
        <v>58.0</v>
      </c>
      <c r="AI730" s="141">
        <v>0.0</v>
      </c>
      <c r="AJ730" s="80">
        <v>533.0</v>
      </c>
      <c r="AK730" s="140">
        <v>0.0</v>
      </c>
      <c r="AL730" s="109">
        <v>0.0</v>
      </c>
      <c r="AM730" s="141">
        <v>0.0</v>
      </c>
      <c r="AN730" s="80">
        <v>0.0</v>
      </c>
      <c r="AO730" s="140">
        <v>0.0</v>
      </c>
      <c r="AP730" s="109">
        <v>0.0</v>
      </c>
      <c r="AQ730" s="109">
        <v>173.0</v>
      </c>
      <c r="AR730" s="80">
        <v>173.0</v>
      </c>
      <c r="AS730" s="110">
        <v>0.0</v>
      </c>
      <c r="AT730" s="110">
        <v>0.0</v>
      </c>
      <c r="AU730" s="110">
        <v>0.0</v>
      </c>
      <c r="AV730" s="142">
        <v>0.0</v>
      </c>
      <c r="AW730" s="80">
        <v>0.0</v>
      </c>
      <c r="AX730" s="113">
        <v>706.0</v>
      </c>
      <c r="AY730" s="117">
        <v>475.0</v>
      </c>
      <c r="AZ730" s="328">
        <v>231.0</v>
      </c>
      <c r="BA730" s="315">
        <v>0.0</v>
      </c>
      <c r="BB730" s="316">
        <v>706.0</v>
      </c>
      <c r="BC730" s="132" t="s">
        <v>178</v>
      </c>
      <c r="BD730" s="132" t="s">
        <v>178</v>
      </c>
      <c r="BE730" s="132" t="s">
        <v>178</v>
      </c>
      <c r="BF730" s="156"/>
      <c r="BG730" s="83">
        <v>1120907.0</v>
      </c>
      <c r="BH730" s="112">
        <v>9.0</v>
      </c>
      <c r="BI730" s="98" t="s">
        <v>155</v>
      </c>
      <c r="BJ730" s="98" t="str">
        <f t="shared" si="1"/>
        <v>NÃO</v>
      </c>
      <c r="BK730" s="98" t="str">
        <f t="shared" si="2"/>
        <v>NÃO</v>
      </c>
    </row>
    <row r="731" ht="15.75" customHeight="1">
      <c r="A731" s="111" t="s">
        <v>796</v>
      </c>
      <c r="B731" s="83" t="s">
        <v>3366</v>
      </c>
      <c r="C731" s="83" t="s">
        <v>68</v>
      </c>
      <c r="D731" s="83">
        <v>1120508.0</v>
      </c>
      <c r="E731" s="83"/>
      <c r="F731" s="83">
        <v>2.90323E7</v>
      </c>
      <c r="G731" s="114" t="s">
        <v>3376</v>
      </c>
      <c r="H731" s="91" t="s">
        <v>3377</v>
      </c>
      <c r="I731" s="298" t="s">
        <v>149</v>
      </c>
      <c r="J731" s="172" t="s">
        <v>150</v>
      </c>
      <c r="K731" s="83" t="s">
        <v>151</v>
      </c>
      <c r="L731" s="83" t="s">
        <v>152</v>
      </c>
      <c r="M731" s="82" t="s">
        <v>7891</v>
      </c>
      <c r="N731" s="82" t="s">
        <v>7892</v>
      </c>
      <c r="O731" s="82" t="s">
        <v>7894</v>
      </c>
      <c r="P731" s="82" t="s">
        <v>7895</v>
      </c>
      <c r="Q731" s="82"/>
      <c r="R731" s="82"/>
      <c r="S731" s="82" t="s">
        <v>7896</v>
      </c>
      <c r="T731" s="138">
        <v>11.0</v>
      </c>
      <c r="U731" s="391" t="s">
        <v>7897</v>
      </c>
      <c r="V731" s="106">
        <v>0.0</v>
      </c>
      <c r="W731" s="107">
        <v>0.0</v>
      </c>
      <c r="X731" s="107">
        <v>0.0</v>
      </c>
      <c r="Y731" s="107">
        <v>0.0</v>
      </c>
      <c r="Z731" s="80">
        <v>0.0</v>
      </c>
      <c r="AA731" s="140">
        <v>0.0</v>
      </c>
      <c r="AB731" s="109">
        <v>0.0</v>
      </c>
      <c r="AC731" s="109">
        <v>0.0</v>
      </c>
      <c r="AD731" s="141">
        <v>0.0</v>
      </c>
      <c r="AE731" s="80">
        <v>0.0</v>
      </c>
      <c r="AF731" s="246">
        <v>0.0</v>
      </c>
      <c r="AG731" s="246">
        <v>0.0</v>
      </c>
      <c r="AH731" s="246">
        <v>0.0</v>
      </c>
      <c r="AI731" s="247">
        <v>181.0</v>
      </c>
      <c r="AJ731" s="80">
        <v>181.0</v>
      </c>
      <c r="AK731" s="140">
        <v>0.0</v>
      </c>
      <c r="AL731" s="109">
        <v>0.0</v>
      </c>
      <c r="AM731" s="141">
        <v>0.0</v>
      </c>
      <c r="AN731" s="80">
        <v>0.0</v>
      </c>
      <c r="AO731" s="246">
        <v>0.0</v>
      </c>
      <c r="AP731" s="246">
        <v>0.0</v>
      </c>
      <c r="AQ731" s="247">
        <v>102.0</v>
      </c>
      <c r="AR731" s="80">
        <v>102.0</v>
      </c>
      <c r="AS731" s="110">
        <v>0.0</v>
      </c>
      <c r="AT731" s="110">
        <v>0.0</v>
      </c>
      <c r="AU731" s="110">
        <v>0.0</v>
      </c>
      <c r="AV731" s="142">
        <v>0.0</v>
      </c>
      <c r="AW731" s="80">
        <v>0.0</v>
      </c>
      <c r="AX731" s="113">
        <v>283.0</v>
      </c>
      <c r="AY731" s="117">
        <v>181.0</v>
      </c>
      <c r="AZ731" s="328">
        <v>102.0</v>
      </c>
      <c r="BA731" s="315">
        <v>1.0</v>
      </c>
      <c r="BB731" s="316">
        <v>284.0</v>
      </c>
      <c r="BC731" s="132" t="s">
        <v>178</v>
      </c>
      <c r="BD731" s="132" t="s">
        <v>178</v>
      </c>
      <c r="BE731" s="132" t="s">
        <v>178</v>
      </c>
      <c r="BF731" s="123"/>
      <c r="BG731" s="83">
        <v>1120508.0</v>
      </c>
      <c r="BH731" s="112">
        <v>11.0</v>
      </c>
      <c r="BI731" s="98" t="s">
        <v>155</v>
      </c>
      <c r="BJ731" s="98" t="str">
        <f t="shared" si="1"/>
        <v>INTEGRAL</v>
      </c>
      <c r="BK731" s="98" t="str">
        <f t="shared" si="2"/>
        <v>NÃO</v>
      </c>
    </row>
    <row r="732" ht="15.75" customHeight="1">
      <c r="A732" s="111" t="s">
        <v>796</v>
      </c>
      <c r="B732" s="83" t="s">
        <v>3366</v>
      </c>
      <c r="C732" s="83" t="s">
        <v>164</v>
      </c>
      <c r="D732" s="83">
        <v>1120907.0</v>
      </c>
      <c r="E732" s="83">
        <v>1179540.0</v>
      </c>
      <c r="F732" s="83"/>
      <c r="G732" s="114" t="s">
        <v>7898</v>
      </c>
      <c r="H732" s="91" t="s">
        <v>3401</v>
      </c>
      <c r="I732" s="114" t="s">
        <v>3402</v>
      </c>
      <c r="J732" s="83" t="s">
        <v>822</v>
      </c>
      <c r="K732" s="83" t="s">
        <v>151</v>
      </c>
      <c r="L732" s="83" t="s">
        <v>169</v>
      </c>
      <c r="M732" s="82" t="s">
        <v>7880</v>
      </c>
      <c r="N732" s="82" t="s">
        <v>7881</v>
      </c>
      <c r="O732" s="82" t="s">
        <v>7882</v>
      </c>
      <c r="P732" s="82" t="s">
        <v>7883</v>
      </c>
      <c r="Q732" s="82" t="s">
        <v>7884</v>
      </c>
      <c r="R732" s="82"/>
      <c r="S732" s="82"/>
      <c r="T732" s="138">
        <v>5.0</v>
      </c>
      <c r="U732" s="389">
        <v>2.0</v>
      </c>
      <c r="V732" s="106">
        <v>0.0</v>
      </c>
      <c r="W732" s="107">
        <v>0.0</v>
      </c>
      <c r="X732" s="107">
        <v>0.0</v>
      </c>
      <c r="Y732" s="107">
        <v>0.0</v>
      </c>
      <c r="Z732" s="80">
        <v>0.0</v>
      </c>
      <c r="AA732" s="140">
        <v>0.0</v>
      </c>
      <c r="AB732" s="109">
        <v>0.0</v>
      </c>
      <c r="AC732" s="109">
        <v>0.0</v>
      </c>
      <c r="AD732" s="141">
        <v>0.0</v>
      </c>
      <c r="AE732" s="80">
        <v>0.0</v>
      </c>
      <c r="AF732" s="140">
        <v>0.0</v>
      </c>
      <c r="AG732" s="109">
        <v>0.0</v>
      </c>
      <c r="AH732" s="109">
        <v>0.0</v>
      </c>
      <c r="AI732" s="141">
        <v>0.0</v>
      </c>
      <c r="AJ732" s="80">
        <v>0.0</v>
      </c>
      <c r="AK732" s="140">
        <v>0.0</v>
      </c>
      <c r="AL732" s="109">
        <v>0.0</v>
      </c>
      <c r="AM732" s="141">
        <v>0.0</v>
      </c>
      <c r="AN732" s="80">
        <v>0.0</v>
      </c>
      <c r="AO732" s="140">
        <v>0.0</v>
      </c>
      <c r="AP732" s="109">
        <v>0.0</v>
      </c>
      <c r="AQ732" s="109">
        <v>0.0</v>
      </c>
      <c r="AR732" s="80">
        <v>0.0</v>
      </c>
      <c r="AS732" s="110">
        <v>0.0</v>
      </c>
      <c r="AT732" s="110">
        <v>0.0</v>
      </c>
      <c r="AU732" s="110">
        <v>9.0</v>
      </c>
      <c r="AV732" s="142">
        <v>0.0</v>
      </c>
      <c r="AW732" s="80">
        <v>9.0</v>
      </c>
      <c r="AX732" s="113">
        <v>9.0</v>
      </c>
      <c r="AY732" s="117">
        <v>0.0</v>
      </c>
      <c r="AZ732" s="328">
        <v>9.0</v>
      </c>
      <c r="BA732" s="315">
        <v>0.0</v>
      </c>
      <c r="BB732" s="316">
        <v>9.0</v>
      </c>
      <c r="BC732" s="132" t="s">
        <v>631</v>
      </c>
      <c r="BD732" s="132" t="s">
        <v>178</v>
      </c>
      <c r="BE732" s="132" t="s">
        <v>178</v>
      </c>
      <c r="BF732" s="123"/>
      <c r="BG732" s="83">
        <v>1179540.0</v>
      </c>
      <c r="BH732" s="112">
        <v>2.0</v>
      </c>
      <c r="BI732" s="98" t="s">
        <v>155</v>
      </c>
      <c r="BJ732" s="98" t="str">
        <f t="shared" si="1"/>
        <v>NÃO</v>
      </c>
      <c r="BK732" s="98" t="str">
        <f t="shared" si="2"/>
        <v>PROFISSIONAL</v>
      </c>
    </row>
    <row r="733" ht="15.75" customHeight="1">
      <c r="A733" s="111" t="s">
        <v>796</v>
      </c>
      <c r="B733" s="83" t="s">
        <v>3417</v>
      </c>
      <c r="C733" s="83" t="s">
        <v>68</v>
      </c>
      <c r="D733" s="83">
        <v>1121474.0</v>
      </c>
      <c r="E733" s="83"/>
      <c r="F733" s="83">
        <v>2.9124506E7</v>
      </c>
      <c r="G733" s="114" t="s">
        <v>3419</v>
      </c>
      <c r="H733" s="91" t="s">
        <v>3420</v>
      </c>
      <c r="I733" s="114" t="s">
        <v>149</v>
      </c>
      <c r="J733" s="83" t="s">
        <v>150</v>
      </c>
      <c r="K733" s="83" t="s">
        <v>151</v>
      </c>
      <c r="L733" s="83" t="s">
        <v>76</v>
      </c>
      <c r="M733" s="82" t="s">
        <v>7905</v>
      </c>
      <c r="N733" s="82" t="s">
        <v>7906</v>
      </c>
      <c r="O733" s="82" t="s">
        <v>7907</v>
      </c>
      <c r="P733" s="82" t="s">
        <v>7908</v>
      </c>
      <c r="Q733" s="82"/>
      <c r="R733" s="82"/>
      <c r="S733" s="82"/>
      <c r="T733" s="138">
        <v>12.0</v>
      </c>
      <c r="U733" s="339" t="s">
        <v>7909</v>
      </c>
      <c r="V733" s="106">
        <v>0.0</v>
      </c>
      <c r="W733" s="107">
        <v>0.0</v>
      </c>
      <c r="X733" s="107">
        <v>0.0</v>
      </c>
      <c r="Y733" s="107">
        <v>0.0</v>
      </c>
      <c r="Z733" s="80">
        <v>0.0</v>
      </c>
      <c r="AA733" s="140">
        <v>0.0</v>
      </c>
      <c r="AB733" s="109">
        <v>0.0</v>
      </c>
      <c r="AC733" s="109">
        <v>0.0</v>
      </c>
      <c r="AD733" s="141">
        <v>0.0</v>
      </c>
      <c r="AE733" s="80">
        <v>0.0</v>
      </c>
      <c r="AF733" s="140">
        <v>64.0</v>
      </c>
      <c r="AG733" s="109">
        <v>0.0</v>
      </c>
      <c r="AH733" s="109">
        <v>0.0</v>
      </c>
      <c r="AI733" s="141">
        <v>35.0</v>
      </c>
      <c r="AJ733" s="80">
        <v>99.0</v>
      </c>
      <c r="AK733" s="140">
        <v>0.0</v>
      </c>
      <c r="AL733" s="109">
        <v>0.0</v>
      </c>
      <c r="AM733" s="141">
        <v>0.0</v>
      </c>
      <c r="AN733" s="80">
        <v>0.0</v>
      </c>
      <c r="AO733" s="140">
        <v>0.0</v>
      </c>
      <c r="AP733" s="109">
        <v>0.0</v>
      </c>
      <c r="AQ733" s="109">
        <v>70.0</v>
      </c>
      <c r="AR733" s="80">
        <v>70.0</v>
      </c>
      <c r="AS733" s="110">
        <v>0.0</v>
      </c>
      <c r="AT733" s="110">
        <v>0.0</v>
      </c>
      <c r="AU733" s="110">
        <v>0.0</v>
      </c>
      <c r="AV733" s="142">
        <v>0.0</v>
      </c>
      <c r="AW733" s="80">
        <v>0.0</v>
      </c>
      <c r="AX733" s="113">
        <v>169.0</v>
      </c>
      <c r="AY733" s="117">
        <v>99.0</v>
      </c>
      <c r="AZ733" s="328">
        <v>70.0</v>
      </c>
      <c r="BA733" s="315">
        <v>8.0</v>
      </c>
      <c r="BB733" s="316">
        <v>177.0</v>
      </c>
      <c r="BC733" s="132" t="s">
        <v>178</v>
      </c>
      <c r="BD733" s="132" t="s">
        <v>178</v>
      </c>
      <c r="BE733" s="132" t="s">
        <v>178</v>
      </c>
      <c r="BF733" s="123"/>
      <c r="BG733" s="83">
        <v>1121474.0</v>
      </c>
      <c r="BH733" s="112">
        <v>10.0</v>
      </c>
      <c r="BI733" s="98" t="s">
        <v>155</v>
      </c>
      <c r="BJ733" s="98" t="str">
        <f t="shared" si="1"/>
        <v>INTEGRAL</v>
      </c>
      <c r="BK733" s="98" t="str">
        <f t="shared" si="2"/>
        <v>NÃO</v>
      </c>
    </row>
    <row r="734" ht="15.75" customHeight="1">
      <c r="A734" s="111" t="s">
        <v>796</v>
      </c>
      <c r="B734" s="83" t="s">
        <v>3417</v>
      </c>
      <c r="C734" s="83" t="s">
        <v>68</v>
      </c>
      <c r="D734" s="83">
        <v>1161271.0</v>
      </c>
      <c r="E734" s="83"/>
      <c r="F734" s="83">
        <v>2.9125537E7</v>
      </c>
      <c r="G734" s="114" t="s">
        <v>3426</v>
      </c>
      <c r="H734" s="91" t="s">
        <v>3427</v>
      </c>
      <c r="I734" s="298" t="s">
        <v>576</v>
      </c>
      <c r="J734" s="172" t="s">
        <v>767</v>
      </c>
      <c r="K734" s="83" t="s">
        <v>151</v>
      </c>
      <c r="L734" s="83" t="s">
        <v>169</v>
      </c>
      <c r="M734" s="82" t="s">
        <v>7915</v>
      </c>
      <c r="N734" s="82" t="s">
        <v>7916</v>
      </c>
      <c r="O734" s="82" t="s">
        <v>7917</v>
      </c>
      <c r="P734" s="82"/>
      <c r="Q734" s="82"/>
      <c r="R734" s="82"/>
      <c r="S734" s="82"/>
      <c r="T734" s="138">
        <v>7.0</v>
      </c>
      <c r="U734" s="331" t="s">
        <v>7918</v>
      </c>
      <c r="V734" s="106">
        <v>0.0</v>
      </c>
      <c r="W734" s="107">
        <v>0.0</v>
      </c>
      <c r="X734" s="107">
        <v>0.0</v>
      </c>
      <c r="Y734" s="107">
        <v>0.0</v>
      </c>
      <c r="Z734" s="80">
        <v>0.0</v>
      </c>
      <c r="AA734" s="140">
        <v>0.0</v>
      </c>
      <c r="AB734" s="109">
        <v>0.0</v>
      </c>
      <c r="AC734" s="109">
        <v>0.0</v>
      </c>
      <c r="AD734" s="141">
        <v>0.0</v>
      </c>
      <c r="AE734" s="80">
        <v>0.0</v>
      </c>
      <c r="AF734" s="140">
        <v>42.0</v>
      </c>
      <c r="AG734" s="109">
        <v>0.0</v>
      </c>
      <c r="AH734" s="109">
        <v>0.0</v>
      </c>
      <c r="AI734" s="141">
        <v>0.0</v>
      </c>
      <c r="AJ734" s="80">
        <v>42.0</v>
      </c>
      <c r="AK734" s="140">
        <v>0.0</v>
      </c>
      <c r="AL734" s="109">
        <v>0.0</v>
      </c>
      <c r="AM734" s="141">
        <v>0.0</v>
      </c>
      <c r="AN734" s="80">
        <v>0.0</v>
      </c>
      <c r="AO734" s="140">
        <v>0.0</v>
      </c>
      <c r="AP734" s="109">
        <v>0.0</v>
      </c>
      <c r="AQ734" s="109">
        <v>11.0</v>
      </c>
      <c r="AR734" s="80">
        <v>11.0</v>
      </c>
      <c r="AS734" s="110">
        <v>0.0</v>
      </c>
      <c r="AT734" s="110">
        <v>0.0</v>
      </c>
      <c r="AU734" s="110">
        <v>0.0</v>
      </c>
      <c r="AV734" s="142">
        <v>0.0</v>
      </c>
      <c r="AW734" s="80">
        <v>0.0</v>
      </c>
      <c r="AX734" s="113">
        <v>53.0</v>
      </c>
      <c r="AY734" s="117">
        <v>42.0</v>
      </c>
      <c r="AZ734" s="328">
        <v>11.0</v>
      </c>
      <c r="BA734" s="315">
        <v>0.0</v>
      </c>
      <c r="BB734" s="316">
        <v>53.0</v>
      </c>
      <c r="BC734" s="132" t="s">
        <v>373</v>
      </c>
      <c r="BD734" s="132" t="s">
        <v>178</v>
      </c>
      <c r="BE734" s="132" t="s">
        <v>178</v>
      </c>
      <c r="BF734" s="156"/>
      <c r="BG734" s="83">
        <v>1161271.0</v>
      </c>
      <c r="BH734" s="112">
        <v>4.0</v>
      </c>
      <c r="BI734" s="98" t="s">
        <v>155</v>
      </c>
      <c r="BJ734" s="98" t="str">
        <f t="shared" si="1"/>
        <v>NÃO</v>
      </c>
      <c r="BK734" s="98" t="str">
        <f t="shared" si="2"/>
        <v>NÃO</v>
      </c>
    </row>
    <row r="735" ht="15.75" customHeight="1">
      <c r="A735" s="111" t="s">
        <v>796</v>
      </c>
      <c r="B735" s="83" t="s">
        <v>3417</v>
      </c>
      <c r="C735" s="83" t="s">
        <v>68</v>
      </c>
      <c r="D735" s="83">
        <v>1121423.0</v>
      </c>
      <c r="E735" s="83"/>
      <c r="F735" s="83">
        <v>2.9124964E7</v>
      </c>
      <c r="G735" s="114" t="s">
        <v>3432</v>
      </c>
      <c r="H735" s="91" t="s">
        <v>3433</v>
      </c>
      <c r="I735" s="114" t="s">
        <v>576</v>
      </c>
      <c r="J735" s="83" t="s">
        <v>751</v>
      </c>
      <c r="K735" s="83" t="s">
        <v>151</v>
      </c>
      <c r="L735" s="83" t="s">
        <v>169</v>
      </c>
      <c r="M735" s="82" t="s">
        <v>7919</v>
      </c>
      <c r="N735" s="82" t="s">
        <v>7920</v>
      </c>
      <c r="O735" s="82" t="s">
        <v>7922</v>
      </c>
      <c r="P735" s="82" t="s">
        <v>7923</v>
      </c>
      <c r="Q735" s="82"/>
      <c r="R735" s="82"/>
      <c r="S735" s="82"/>
      <c r="T735" s="138">
        <v>7.0</v>
      </c>
      <c r="U735" s="339" t="s">
        <v>7924</v>
      </c>
      <c r="V735" s="106">
        <v>0.0</v>
      </c>
      <c r="W735" s="107">
        <v>0.0</v>
      </c>
      <c r="X735" s="107">
        <v>0.0</v>
      </c>
      <c r="Y735" s="107">
        <v>0.0</v>
      </c>
      <c r="Z735" s="80">
        <v>0.0</v>
      </c>
      <c r="AA735" s="140">
        <v>0.0</v>
      </c>
      <c r="AB735" s="109">
        <v>0.0</v>
      </c>
      <c r="AC735" s="109">
        <v>0.0</v>
      </c>
      <c r="AD735" s="141">
        <v>0.0</v>
      </c>
      <c r="AE735" s="80">
        <v>0.0</v>
      </c>
      <c r="AF735" s="140">
        <v>91.0</v>
      </c>
      <c r="AG735" s="109">
        <v>92.0</v>
      </c>
      <c r="AH735" s="109">
        <v>0.0</v>
      </c>
      <c r="AI735" s="141">
        <v>0.0</v>
      </c>
      <c r="AJ735" s="80">
        <v>183.0</v>
      </c>
      <c r="AK735" s="140">
        <v>0.0</v>
      </c>
      <c r="AL735" s="109">
        <v>0.0</v>
      </c>
      <c r="AM735" s="141">
        <v>0.0</v>
      </c>
      <c r="AN735" s="80">
        <v>0.0</v>
      </c>
      <c r="AO735" s="140">
        <v>0.0</v>
      </c>
      <c r="AP735" s="109">
        <v>0.0</v>
      </c>
      <c r="AQ735" s="109">
        <v>0.0</v>
      </c>
      <c r="AR735" s="80">
        <v>0.0</v>
      </c>
      <c r="AS735" s="110">
        <v>0.0</v>
      </c>
      <c r="AT735" s="110">
        <v>0.0</v>
      </c>
      <c r="AU735" s="110">
        <v>0.0</v>
      </c>
      <c r="AV735" s="142">
        <v>0.0</v>
      </c>
      <c r="AW735" s="80">
        <v>0.0</v>
      </c>
      <c r="AX735" s="113">
        <v>183.0</v>
      </c>
      <c r="AY735" s="117">
        <v>183.0</v>
      </c>
      <c r="AZ735" s="328">
        <v>0.0</v>
      </c>
      <c r="BA735" s="315">
        <v>0.0</v>
      </c>
      <c r="BB735" s="316">
        <v>183.0</v>
      </c>
      <c r="BC735" s="132" t="s">
        <v>373</v>
      </c>
      <c r="BD735" s="132" t="s">
        <v>178</v>
      </c>
      <c r="BE735" s="132" t="s">
        <v>178</v>
      </c>
      <c r="BF735" s="123"/>
      <c r="BG735" s="83">
        <v>1121423.0</v>
      </c>
      <c r="BH735" s="112">
        <v>4.0</v>
      </c>
      <c r="BI735" s="98" t="s">
        <v>155</v>
      </c>
      <c r="BJ735" s="98" t="str">
        <f t="shared" si="1"/>
        <v>NÃO</v>
      </c>
      <c r="BK735" s="98" t="str">
        <f t="shared" si="2"/>
        <v>NÃO</v>
      </c>
    </row>
    <row r="736" ht="15.75" customHeight="1">
      <c r="A736" s="111" t="s">
        <v>796</v>
      </c>
      <c r="B736" s="83" t="s">
        <v>3417</v>
      </c>
      <c r="C736" s="83" t="s">
        <v>68</v>
      </c>
      <c r="D736" s="83">
        <v>1161336.0</v>
      </c>
      <c r="E736" s="83"/>
      <c r="F736" s="83">
        <v>2.9124484E7</v>
      </c>
      <c r="G736" s="114" t="s">
        <v>3445</v>
      </c>
      <c r="H736" s="91" t="s">
        <v>7929</v>
      </c>
      <c r="I736" s="114" t="s">
        <v>149</v>
      </c>
      <c r="J736" s="83" t="s">
        <v>150</v>
      </c>
      <c r="K736" s="83" t="s">
        <v>151</v>
      </c>
      <c r="L736" s="83" t="s">
        <v>230</v>
      </c>
      <c r="M736" s="82" t="s">
        <v>7931</v>
      </c>
      <c r="N736" s="82" t="s">
        <v>7932</v>
      </c>
      <c r="O736" s="82" t="s">
        <v>7933</v>
      </c>
      <c r="P736" s="82"/>
      <c r="Q736" s="82" t="s">
        <v>7934</v>
      </c>
      <c r="R736" s="82"/>
      <c r="S736" s="82"/>
      <c r="T736" s="138">
        <v>15.0</v>
      </c>
      <c r="U736" s="339">
        <v>15.0</v>
      </c>
      <c r="V736" s="106">
        <v>0.0</v>
      </c>
      <c r="W736" s="107">
        <v>0.0</v>
      </c>
      <c r="X736" s="107">
        <v>0.0</v>
      </c>
      <c r="Y736" s="107">
        <v>0.0</v>
      </c>
      <c r="Z736" s="80">
        <v>0.0</v>
      </c>
      <c r="AA736" s="140">
        <v>0.0</v>
      </c>
      <c r="AB736" s="109">
        <v>0.0</v>
      </c>
      <c r="AC736" s="109">
        <v>0.0</v>
      </c>
      <c r="AD736" s="141">
        <v>0.0</v>
      </c>
      <c r="AE736" s="80">
        <v>0.0</v>
      </c>
      <c r="AF736" s="140">
        <v>0.0</v>
      </c>
      <c r="AG736" s="109">
        <v>0.0</v>
      </c>
      <c r="AH736" s="109">
        <v>0.0</v>
      </c>
      <c r="AI736" s="141">
        <v>0.0</v>
      </c>
      <c r="AJ736" s="80">
        <v>0.0</v>
      </c>
      <c r="AK736" s="140">
        <v>0.0</v>
      </c>
      <c r="AL736" s="109">
        <v>0.0</v>
      </c>
      <c r="AM736" s="141">
        <v>0.0</v>
      </c>
      <c r="AN736" s="80">
        <v>0.0</v>
      </c>
      <c r="AO736" s="140">
        <v>0.0</v>
      </c>
      <c r="AP736" s="109">
        <v>0.0</v>
      </c>
      <c r="AQ736" s="109">
        <v>0.0</v>
      </c>
      <c r="AR736" s="80">
        <v>0.0</v>
      </c>
      <c r="AS736" s="110">
        <v>453.0</v>
      </c>
      <c r="AT736" s="110">
        <v>228.0</v>
      </c>
      <c r="AU736" s="110">
        <v>148.0</v>
      </c>
      <c r="AV736" s="142">
        <v>0.0</v>
      </c>
      <c r="AW736" s="80">
        <v>829.0</v>
      </c>
      <c r="AX736" s="113">
        <v>829.0</v>
      </c>
      <c r="AY736" s="117">
        <v>681.0</v>
      </c>
      <c r="AZ736" s="328">
        <v>148.0</v>
      </c>
      <c r="BA736" s="315">
        <v>0.0</v>
      </c>
      <c r="BB736" s="316">
        <v>829.0</v>
      </c>
      <c r="BC736" s="132" t="s">
        <v>178</v>
      </c>
      <c r="BD736" s="132" t="s">
        <v>522</v>
      </c>
      <c r="BE736" s="132" t="s">
        <v>178</v>
      </c>
      <c r="BF736" s="156"/>
      <c r="BG736" s="83">
        <v>1161336.0</v>
      </c>
      <c r="BH736" s="112">
        <v>12.0</v>
      </c>
      <c r="BI736" s="98" t="s">
        <v>162</v>
      </c>
      <c r="BJ736" s="98" t="str">
        <f t="shared" si="1"/>
        <v>NÃO</v>
      </c>
      <c r="BK736" s="98" t="str">
        <f t="shared" si="2"/>
        <v>PROFISSIONAL</v>
      </c>
    </row>
    <row r="737" ht="15.75" customHeight="1">
      <c r="A737" s="111" t="s">
        <v>796</v>
      </c>
      <c r="B737" s="83" t="s">
        <v>3417</v>
      </c>
      <c r="C737" s="83" t="s">
        <v>164</v>
      </c>
      <c r="D737" s="83">
        <v>1121423.0</v>
      </c>
      <c r="E737" s="83">
        <v>1179601.0</v>
      </c>
      <c r="F737" s="83"/>
      <c r="G737" s="114" t="s">
        <v>7935</v>
      </c>
      <c r="H737" s="91" t="s">
        <v>3458</v>
      </c>
      <c r="I737" s="114" t="s">
        <v>3459</v>
      </c>
      <c r="J737" s="83" t="s">
        <v>252</v>
      </c>
      <c r="K737" s="83" t="s">
        <v>151</v>
      </c>
      <c r="L737" s="83" t="s">
        <v>169</v>
      </c>
      <c r="M737" s="82" t="s">
        <v>7919</v>
      </c>
      <c r="N737" s="82" t="s">
        <v>7920</v>
      </c>
      <c r="O737" s="82" t="s">
        <v>7922</v>
      </c>
      <c r="P737" s="82" t="s">
        <v>7923</v>
      </c>
      <c r="Q737" s="82"/>
      <c r="R737" s="82"/>
      <c r="S737" s="82"/>
      <c r="T737" s="138">
        <v>3.0</v>
      </c>
      <c r="U737" s="389">
        <v>3.0</v>
      </c>
      <c r="V737" s="106">
        <v>0.0</v>
      </c>
      <c r="W737" s="107">
        <v>0.0</v>
      </c>
      <c r="X737" s="107">
        <v>0.0</v>
      </c>
      <c r="Y737" s="107">
        <v>0.0</v>
      </c>
      <c r="Z737" s="80">
        <v>0.0</v>
      </c>
      <c r="AA737" s="140">
        <v>0.0</v>
      </c>
      <c r="AB737" s="109">
        <v>0.0</v>
      </c>
      <c r="AC737" s="109">
        <v>0.0</v>
      </c>
      <c r="AD737" s="141">
        <v>0.0</v>
      </c>
      <c r="AE737" s="80">
        <v>0.0</v>
      </c>
      <c r="AF737" s="140">
        <v>24.0</v>
      </c>
      <c r="AG737" s="109">
        <v>0.0</v>
      </c>
      <c r="AH737" s="109">
        <v>0.0</v>
      </c>
      <c r="AI737" s="141">
        <v>0.0</v>
      </c>
      <c r="AJ737" s="80">
        <v>24.0</v>
      </c>
      <c r="AK737" s="140">
        <v>0.0</v>
      </c>
      <c r="AL737" s="109">
        <v>0.0</v>
      </c>
      <c r="AM737" s="141">
        <v>0.0</v>
      </c>
      <c r="AN737" s="80">
        <v>0.0</v>
      </c>
      <c r="AO737" s="140">
        <v>0.0</v>
      </c>
      <c r="AP737" s="109">
        <v>0.0</v>
      </c>
      <c r="AQ737" s="109">
        <v>0.0</v>
      </c>
      <c r="AR737" s="80">
        <v>0.0</v>
      </c>
      <c r="AS737" s="110">
        <v>0.0</v>
      </c>
      <c r="AT737" s="110">
        <v>0.0</v>
      </c>
      <c r="AU737" s="110">
        <v>0.0</v>
      </c>
      <c r="AV737" s="142">
        <v>0.0</v>
      </c>
      <c r="AW737" s="80">
        <v>0.0</v>
      </c>
      <c r="AX737" s="113">
        <v>24.0</v>
      </c>
      <c r="AY737" s="117">
        <v>24.0</v>
      </c>
      <c r="AZ737" s="328">
        <v>0.0</v>
      </c>
      <c r="BA737" s="315">
        <v>0.0</v>
      </c>
      <c r="BB737" s="316">
        <v>24.0</v>
      </c>
      <c r="BC737" s="132" t="s">
        <v>178</v>
      </c>
      <c r="BD737" s="132" t="s">
        <v>178</v>
      </c>
      <c r="BE737" s="132" t="s">
        <v>178</v>
      </c>
      <c r="BF737" s="123"/>
      <c r="BG737" s="83">
        <v>1179601.0</v>
      </c>
      <c r="BH737" s="112">
        <v>3.0</v>
      </c>
      <c r="BI737" s="98" t="s">
        <v>155</v>
      </c>
      <c r="BJ737" s="98" t="str">
        <f t="shared" si="1"/>
        <v>NÃO</v>
      </c>
      <c r="BK737" s="98" t="str">
        <f t="shared" si="2"/>
        <v>NÃO</v>
      </c>
    </row>
    <row r="738" ht="15.75" customHeight="1">
      <c r="A738" s="111" t="s">
        <v>796</v>
      </c>
      <c r="B738" s="83" t="s">
        <v>3417</v>
      </c>
      <c r="C738" s="83" t="s">
        <v>164</v>
      </c>
      <c r="D738" s="83">
        <v>1121423.0</v>
      </c>
      <c r="E738" s="83">
        <v>1179600.0</v>
      </c>
      <c r="F738" s="83"/>
      <c r="G738" s="114" t="s">
        <v>7939</v>
      </c>
      <c r="H738" s="91" t="s">
        <v>3461</v>
      </c>
      <c r="I738" s="114" t="s">
        <v>3462</v>
      </c>
      <c r="J738" s="83" t="s">
        <v>443</v>
      </c>
      <c r="K738" s="83" t="s">
        <v>151</v>
      </c>
      <c r="L738" s="83" t="s">
        <v>169</v>
      </c>
      <c r="M738" s="82" t="s">
        <v>7919</v>
      </c>
      <c r="N738" s="82" t="s">
        <v>7920</v>
      </c>
      <c r="O738" s="82" t="s">
        <v>7922</v>
      </c>
      <c r="P738" s="82" t="s">
        <v>7923</v>
      </c>
      <c r="Q738" s="82"/>
      <c r="R738" s="82"/>
      <c r="S738" s="82"/>
      <c r="T738" s="138">
        <v>4.0</v>
      </c>
      <c r="U738" s="323">
        <v>3.0</v>
      </c>
      <c r="V738" s="106">
        <v>0.0</v>
      </c>
      <c r="W738" s="107">
        <v>0.0</v>
      </c>
      <c r="X738" s="107">
        <v>0.0</v>
      </c>
      <c r="Y738" s="107">
        <v>0.0</v>
      </c>
      <c r="Z738" s="80">
        <v>0.0</v>
      </c>
      <c r="AA738" s="140">
        <v>0.0</v>
      </c>
      <c r="AB738" s="109">
        <v>0.0</v>
      </c>
      <c r="AC738" s="109">
        <v>0.0</v>
      </c>
      <c r="AD738" s="141">
        <v>0.0</v>
      </c>
      <c r="AE738" s="80">
        <v>0.0</v>
      </c>
      <c r="AF738" s="140">
        <v>41.0</v>
      </c>
      <c r="AG738" s="109">
        <v>0.0</v>
      </c>
      <c r="AH738" s="109">
        <v>0.0</v>
      </c>
      <c r="AI738" s="141">
        <v>0.0</v>
      </c>
      <c r="AJ738" s="80">
        <v>41.0</v>
      </c>
      <c r="AK738" s="140">
        <v>0.0</v>
      </c>
      <c r="AL738" s="109">
        <v>0.0</v>
      </c>
      <c r="AM738" s="141">
        <v>0.0</v>
      </c>
      <c r="AN738" s="80">
        <v>0.0</v>
      </c>
      <c r="AO738" s="140">
        <v>0.0</v>
      </c>
      <c r="AP738" s="109">
        <v>0.0</v>
      </c>
      <c r="AQ738" s="109">
        <v>0.0</v>
      </c>
      <c r="AR738" s="80">
        <v>0.0</v>
      </c>
      <c r="AS738" s="110">
        <v>0.0</v>
      </c>
      <c r="AT738" s="110">
        <v>0.0</v>
      </c>
      <c r="AU738" s="110">
        <v>0.0</v>
      </c>
      <c r="AV738" s="142">
        <v>0.0</v>
      </c>
      <c r="AW738" s="80">
        <v>0.0</v>
      </c>
      <c r="AX738" s="113">
        <v>41.0</v>
      </c>
      <c r="AY738" s="117">
        <v>41.0</v>
      </c>
      <c r="AZ738" s="328">
        <v>0.0</v>
      </c>
      <c r="BA738" s="315">
        <v>0.0</v>
      </c>
      <c r="BB738" s="316">
        <v>41.0</v>
      </c>
      <c r="BC738" s="132" t="s">
        <v>373</v>
      </c>
      <c r="BD738" s="132" t="s">
        <v>178</v>
      </c>
      <c r="BE738" s="132" t="s">
        <v>178</v>
      </c>
      <c r="BF738" s="156"/>
      <c r="BG738" s="83">
        <v>1179600.0</v>
      </c>
      <c r="BH738" s="112">
        <v>3.0</v>
      </c>
      <c r="BI738" s="98" t="s">
        <v>155</v>
      </c>
      <c r="BJ738" s="98" t="str">
        <f t="shared" si="1"/>
        <v>NÃO</v>
      </c>
      <c r="BK738" s="98" t="str">
        <f t="shared" si="2"/>
        <v>NÃO</v>
      </c>
    </row>
    <row r="739" ht="15.75" customHeight="1">
      <c r="A739" s="111" t="s">
        <v>860</v>
      </c>
      <c r="B739" s="83" t="s">
        <v>3463</v>
      </c>
      <c r="C739" s="83" t="s">
        <v>45</v>
      </c>
      <c r="D739" s="83">
        <v>1178383.0</v>
      </c>
      <c r="E739" s="83"/>
      <c r="F739" s="83">
        <v>2.9376718E7</v>
      </c>
      <c r="G739" s="114" t="s">
        <v>3464</v>
      </c>
      <c r="H739" s="91" t="s">
        <v>3465</v>
      </c>
      <c r="I739" s="298" t="s">
        <v>149</v>
      </c>
      <c r="J739" s="83" t="s">
        <v>3466</v>
      </c>
      <c r="K739" s="83" t="s">
        <v>3467</v>
      </c>
      <c r="L739" s="83" t="s">
        <v>169</v>
      </c>
      <c r="M739" s="82" t="s">
        <v>7945</v>
      </c>
      <c r="N739" s="82" t="s">
        <v>7946</v>
      </c>
      <c r="O739" s="82"/>
      <c r="P739" s="82"/>
      <c r="Q739" s="82"/>
      <c r="R739" s="82"/>
      <c r="S739" s="82"/>
      <c r="T739" s="138">
        <v>5.0</v>
      </c>
      <c r="U739" s="323" t="s">
        <v>171</v>
      </c>
      <c r="V739" s="106">
        <v>0.0</v>
      </c>
      <c r="W739" s="107">
        <v>0.0</v>
      </c>
      <c r="X739" s="107">
        <v>0.0</v>
      </c>
      <c r="Y739" s="107">
        <v>0.0</v>
      </c>
      <c r="Z739" s="80">
        <v>0.0</v>
      </c>
      <c r="AA739" s="140">
        <v>0.0</v>
      </c>
      <c r="AB739" s="109">
        <v>0.0</v>
      </c>
      <c r="AC739" s="109">
        <v>0.0</v>
      </c>
      <c r="AD739" s="141">
        <v>0.0</v>
      </c>
      <c r="AE739" s="80">
        <v>0.0</v>
      </c>
      <c r="AF739" s="140">
        <v>0.0</v>
      </c>
      <c r="AG739" s="109">
        <v>0.0</v>
      </c>
      <c r="AH739" s="109">
        <v>0.0</v>
      </c>
      <c r="AI739" s="141">
        <v>102.0</v>
      </c>
      <c r="AJ739" s="80">
        <v>102.0</v>
      </c>
      <c r="AK739" s="140">
        <v>0.0</v>
      </c>
      <c r="AL739" s="109">
        <v>0.0</v>
      </c>
      <c r="AM739" s="141">
        <v>0.0</v>
      </c>
      <c r="AN739" s="80">
        <v>0.0</v>
      </c>
      <c r="AO739" s="140">
        <v>0.0</v>
      </c>
      <c r="AP739" s="109">
        <v>0.0</v>
      </c>
      <c r="AQ739" s="109">
        <v>0.0</v>
      </c>
      <c r="AR739" s="80">
        <v>0.0</v>
      </c>
      <c r="AS739" s="110">
        <v>0.0</v>
      </c>
      <c r="AT739" s="110">
        <v>0.0</v>
      </c>
      <c r="AU739" s="110">
        <v>0.0</v>
      </c>
      <c r="AV739" s="142">
        <v>0.0</v>
      </c>
      <c r="AW739" s="80">
        <v>0.0</v>
      </c>
      <c r="AX739" s="113">
        <v>102.0</v>
      </c>
      <c r="AY739" s="117">
        <v>102.0</v>
      </c>
      <c r="AZ739" s="328">
        <v>0.0</v>
      </c>
      <c r="BA739" s="315">
        <v>0.0</v>
      </c>
      <c r="BB739" s="316">
        <v>102.0</v>
      </c>
      <c r="BC739" s="132" t="s">
        <v>178</v>
      </c>
      <c r="BD739" s="132" t="s">
        <v>178</v>
      </c>
      <c r="BE739" s="132" t="s">
        <v>178</v>
      </c>
      <c r="BF739" s="156"/>
      <c r="BG739" s="83">
        <v>1178383.0</v>
      </c>
      <c r="BH739" s="112">
        <v>5.0</v>
      </c>
      <c r="BI739" s="98" t="s">
        <v>155</v>
      </c>
      <c r="BJ739" s="98" t="str">
        <f t="shared" si="1"/>
        <v>INTEGRAL</v>
      </c>
      <c r="BK739" s="98" t="str">
        <f t="shared" si="2"/>
        <v>NÃO</v>
      </c>
    </row>
    <row r="740" ht="15.75" customHeight="1">
      <c r="A740" s="111" t="s">
        <v>860</v>
      </c>
      <c r="B740" s="83" t="s">
        <v>3463</v>
      </c>
      <c r="C740" s="83" t="s">
        <v>68</v>
      </c>
      <c r="D740" s="83">
        <v>1129521.0</v>
      </c>
      <c r="E740" s="83"/>
      <c r="F740" s="83">
        <v>2.9005752E7</v>
      </c>
      <c r="G740" s="119" t="s">
        <v>3469</v>
      </c>
      <c r="H740" s="91" t="s">
        <v>3470</v>
      </c>
      <c r="I740" s="298" t="s">
        <v>149</v>
      </c>
      <c r="J740" s="83" t="s">
        <v>150</v>
      </c>
      <c r="K740" s="83" t="s">
        <v>151</v>
      </c>
      <c r="L740" s="83" t="s">
        <v>76</v>
      </c>
      <c r="M740" s="82" t="s">
        <v>7950</v>
      </c>
      <c r="N740" s="82" t="s">
        <v>7951</v>
      </c>
      <c r="O740" s="82" t="s">
        <v>7952</v>
      </c>
      <c r="P740" s="82" t="s">
        <v>7953</v>
      </c>
      <c r="Q740" s="82"/>
      <c r="R740" s="82"/>
      <c r="S740" s="82" t="s">
        <v>7954</v>
      </c>
      <c r="T740" s="138">
        <v>6.0</v>
      </c>
      <c r="U740" s="331" t="s">
        <v>7955</v>
      </c>
      <c r="V740" s="106">
        <v>0.0</v>
      </c>
      <c r="W740" s="107">
        <v>0.0</v>
      </c>
      <c r="X740" s="107">
        <v>0.0</v>
      </c>
      <c r="Y740" s="107">
        <v>0.0</v>
      </c>
      <c r="Z740" s="80">
        <v>0.0</v>
      </c>
      <c r="AA740" s="140">
        <v>0.0</v>
      </c>
      <c r="AB740" s="109">
        <v>0.0</v>
      </c>
      <c r="AC740" s="109">
        <v>0.0</v>
      </c>
      <c r="AD740" s="141">
        <v>0.0</v>
      </c>
      <c r="AE740" s="80">
        <v>0.0</v>
      </c>
      <c r="AF740" s="140">
        <v>100.0</v>
      </c>
      <c r="AG740" s="109">
        <v>74.0</v>
      </c>
      <c r="AH740" s="109">
        <v>0.0</v>
      </c>
      <c r="AI740" s="141">
        <v>53.0</v>
      </c>
      <c r="AJ740" s="80">
        <v>227.0</v>
      </c>
      <c r="AK740" s="140">
        <v>0.0</v>
      </c>
      <c r="AL740" s="109">
        <v>0.0</v>
      </c>
      <c r="AM740" s="141">
        <v>0.0</v>
      </c>
      <c r="AN740" s="80">
        <v>0.0</v>
      </c>
      <c r="AO740" s="140">
        <v>0.0</v>
      </c>
      <c r="AP740" s="109">
        <v>0.0</v>
      </c>
      <c r="AQ740" s="109">
        <v>33.0</v>
      </c>
      <c r="AR740" s="80">
        <v>33.0</v>
      </c>
      <c r="AS740" s="110">
        <v>0.0</v>
      </c>
      <c r="AT740" s="110">
        <v>0.0</v>
      </c>
      <c r="AU740" s="110">
        <v>0.0</v>
      </c>
      <c r="AV740" s="142">
        <v>0.0</v>
      </c>
      <c r="AW740" s="80">
        <v>0.0</v>
      </c>
      <c r="AX740" s="113">
        <v>260.0</v>
      </c>
      <c r="AY740" s="117">
        <v>227.0</v>
      </c>
      <c r="AZ740" s="328">
        <v>33.0</v>
      </c>
      <c r="BA740" s="315">
        <v>2.0</v>
      </c>
      <c r="BB740" s="316">
        <v>262.0</v>
      </c>
      <c r="BC740" s="132" t="s">
        <v>178</v>
      </c>
      <c r="BD740" s="132" t="s">
        <v>178</v>
      </c>
      <c r="BE740" s="132" t="s">
        <v>178</v>
      </c>
      <c r="BF740" s="156"/>
      <c r="BG740" s="83">
        <v>1129521.0</v>
      </c>
      <c r="BH740" s="112">
        <v>5.0</v>
      </c>
      <c r="BI740" s="98" t="s">
        <v>155</v>
      </c>
      <c r="BJ740" s="98" t="str">
        <f t="shared" si="1"/>
        <v>INTEGRAL</v>
      </c>
      <c r="BK740" s="98" t="str">
        <f t="shared" si="2"/>
        <v>NÃO</v>
      </c>
    </row>
    <row r="741" ht="15.75" customHeight="1">
      <c r="A741" s="111" t="s">
        <v>860</v>
      </c>
      <c r="B741" s="83" t="s">
        <v>3463</v>
      </c>
      <c r="C741" s="83" t="s">
        <v>164</v>
      </c>
      <c r="D741" s="83">
        <v>1129521.0</v>
      </c>
      <c r="E741" s="83">
        <v>1178866.0</v>
      </c>
      <c r="F741" s="83"/>
      <c r="G741" s="114" t="s">
        <v>3475</v>
      </c>
      <c r="H741" s="91" t="s">
        <v>3476</v>
      </c>
      <c r="I741" s="114" t="s">
        <v>149</v>
      </c>
      <c r="J741" s="83" t="s">
        <v>315</v>
      </c>
      <c r="K741" s="83" t="s">
        <v>168</v>
      </c>
      <c r="L741" s="83" t="s">
        <v>169</v>
      </c>
      <c r="M741" s="82" t="s">
        <v>7950</v>
      </c>
      <c r="N741" s="82" t="s">
        <v>7951</v>
      </c>
      <c r="O741" s="82" t="s">
        <v>7952</v>
      </c>
      <c r="P741" s="82" t="s">
        <v>7953</v>
      </c>
      <c r="Q741" s="82"/>
      <c r="R741" s="82"/>
      <c r="S741" s="82" t="s">
        <v>7954</v>
      </c>
      <c r="T741" s="138">
        <v>3.0</v>
      </c>
      <c r="U741" s="364">
        <v>3.0</v>
      </c>
      <c r="V741" s="106">
        <v>0.0</v>
      </c>
      <c r="W741" s="107">
        <v>0.0</v>
      </c>
      <c r="X741" s="107">
        <v>0.0</v>
      </c>
      <c r="Y741" s="107">
        <v>0.0</v>
      </c>
      <c r="Z741" s="80">
        <v>0.0</v>
      </c>
      <c r="AA741" s="140">
        <v>0.0</v>
      </c>
      <c r="AB741" s="109">
        <v>0.0</v>
      </c>
      <c r="AC741" s="109">
        <v>0.0</v>
      </c>
      <c r="AD741" s="141">
        <v>0.0</v>
      </c>
      <c r="AE741" s="80">
        <v>0.0</v>
      </c>
      <c r="AF741" s="246">
        <v>12.0</v>
      </c>
      <c r="AG741" s="246">
        <v>0.0</v>
      </c>
      <c r="AH741" s="246">
        <v>0.0</v>
      </c>
      <c r="AI741" s="247">
        <v>0.0</v>
      </c>
      <c r="AJ741" s="80">
        <v>12.0</v>
      </c>
      <c r="AK741" s="140">
        <v>0.0</v>
      </c>
      <c r="AL741" s="109">
        <v>0.0</v>
      </c>
      <c r="AM741" s="141">
        <v>0.0</v>
      </c>
      <c r="AN741" s="80">
        <v>0.0</v>
      </c>
      <c r="AO741" s="246">
        <v>0.0</v>
      </c>
      <c r="AP741" s="246">
        <v>0.0</v>
      </c>
      <c r="AQ741" s="247">
        <v>0.0</v>
      </c>
      <c r="AR741" s="80">
        <v>0.0</v>
      </c>
      <c r="AS741" s="110">
        <v>0.0</v>
      </c>
      <c r="AT741" s="110">
        <v>0.0</v>
      </c>
      <c r="AU741" s="110">
        <v>0.0</v>
      </c>
      <c r="AV741" s="142">
        <v>0.0</v>
      </c>
      <c r="AW741" s="80">
        <v>0.0</v>
      </c>
      <c r="AX741" s="113">
        <v>12.0</v>
      </c>
      <c r="AY741" s="117">
        <v>12.0</v>
      </c>
      <c r="AZ741" s="328">
        <v>0.0</v>
      </c>
      <c r="BA741" s="315">
        <v>0.0</v>
      </c>
      <c r="BB741" s="316">
        <v>12.0</v>
      </c>
      <c r="BC741" s="132" t="s">
        <v>373</v>
      </c>
      <c r="BD741" s="132" t="s">
        <v>178</v>
      </c>
      <c r="BE741" s="132" t="s">
        <v>178</v>
      </c>
      <c r="BF741" s="123"/>
      <c r="BG741" s="83">
        <v>1178866.0</v>
      </c>
      <c r="BH741" s="112">
        <v>3.0</v>
      </c>
      <c r="BI741" s="98" t="s">
        <v>155</v>
      </c>
      <c r="BJ741" s="98" t="str">
        <f t="shared" si="1"/>
        <v>NÃO</v>
      </c>
      <c r="BK741" s="98" t="str">
        <f t="shared" si="2"/>
        <v>NÃO</v>
      </c>
    </row>
    <row r="742" ht="15.75" customHeight="1">
      <c r="A742" s="111" t="s">
        <v>860</v>
      </c>
      <c r="B742" s="83" t="s">
        <v>3463</v>
      </c>
      <c r="C742" s="83" t="s">
        <v>164</v>
      </c>
      <c r="D742" s="83">
        <v>1129521.0</v>
      </c>
      <c r="E742" s="83">
        <v>1178865.0</v>
      </c>
      <c r="F742" s="83"/>
      <c r="G742" s="114" t="s">
        <v>7963</v>
      </c>
      <c r="H742" s="91" t="s">
        <v>3481</v>
      </c>
      <c r="I742" s="114" t="s">
        <v>149</v>
      </c>
      <c r="J742" s="83" t="s">
        <v>467</v>
      </c>
      <c r="K742" s="83" t="s">
        <v>151</v>
      </c>
      <c r="L742" s="83" t="s">
        <v>169</v>
      </c>
      <c r="M742" s="82" t="s">
        <v>7950</v>
      </c>
      <c r="N742" s="82" t="s">
        <v>7951</v>
      </c>
      <c r="O742" s="82" t="s">
        <v>7952</v>
      </c>
      <c r="P742" s="82" t="s">
        <v>7953</v>
      </c>
      <c r="Q742" s="82"/>
      <c r="R742" s="82"/>
      <c r="S742" s="82" t="s">
        <v>7954</v>
      </c>
      <c r="T742" s="138">
        <v>6.0</v>
      </c>
      <c r="U742" s="342">
        <v>8.0</v>
      </c>
      <c r="V742" s="106">
        <v>0.0</v>
      </c>
      <c r="W742" s="107">
        <v>0.0</v>
      </c>
      <c r="X742" s="107">
        <v>0.0</v>
      </c>
      <c r="Y742" s="107">
        <v>0.0</v>
      </c>
      <c r="Z742" s="80">
        <v>0.0</v>
      </c>
      <c r="AA742" s="140">
        <v>0.0</v>
      </c>
      <c r="AB742" s="109">
        <v>0.0</v>
      </c>
      <c r="AC742" s="109">
        <v>0.0</v>
      </c>
      <c r="AD742" s="141">
        <v>0.0</v>
      </c>
      <c r="AE742" s="80">
        <v>0.0</v>
      </c>
      <c r="AF742" s="140">
        <v>0.0</v>
      </c>
      <c r="AG742" s="109">
        <v>121.0</v>
      </c>
      <c r="AH742" s="109">
        <v>17.0</v>
      </c>
      <c r="AI742" s="141">
        <v>0.0</v>
      </c>
      <c r="AJ742" s="80">
        <v>138.0</v>
      </c>
      <c r="AK742" s="140">
        <v>0.0</v>
      </c>
      <c r="AL742" s="109">
        <v>0.0</v>
      </c>
      <c r="AM742" s="141">
        <v>0.0</v>
      </c>
      <c r="AN742" s="80">
        <v>0.0</v>
      </c>
      <c r="AO742" s="140">
        <v>0.0</v>
      </c>
      <c r="AP742" s="109">
        <v>0.0</v>
      </c>
      <c r="AQ742" s="109">
        <v>23.0</v>
      </c>
      <c r="AR742" s="80">
        <v>23.0</v>
      </c>
      <c r="AS742" s="110">
        <v>0.0</v>
      </c>
      <c r="AT742" s="110">
        <v>0.0</v>
      </c>
      <c r="AU742" s="110">
        <v>0.0</v>
      </c>
      <c r="AV742" s="142">
        <v>0.0</v>
      </c>
      <c r="AW742" s="80">
        <v>0.0</v>
      </c>
      <c r="AX742" s="113">
        <v>161.0</v>
      </c>
      <c r="AY742" s="117">
        <v>121.0</v>
      </c>
      <c r="AZ742" s="328">
        <v>40.0</v>
      </c>
      <c r="BA742" s="315">
        <v>0.0</v>
      </c>
      <c r="BB742" s="316">
        <v>161.0</v>
      </c>
      <c r="BC742" s="132" t="s">
        <v>373</v>
      </c>
      <c r="BD742" s="132" t="s">
        <v>178</v>
      </c>
      <c r="BE742" s="132" t="s">
        <v>178</v>
      </c>
      <c r="BF742" s="123"/>
      <c r="BG742" s="83">
        <v>1178865.0</v>
      </c>
      <c r="BH742" s="112">
        <v>8.0</v>
      </c>
      <c r="BI742" s="98" t="s">
        <v>155</v>
      </c>
      <c r="BJ742" s="98" t="str">
        <f t="shared" si="1"/>
        <v>NÃO</v>
      </c>
      <c r="BK742" s="98" t="str">
        <f t="shared" si="2"/>
        <v>NÃO</v>
      </c>
    </row>
    <row r="743" ht="15.75" customHeight="1">
      <c r="A743" s="111" t="s">
        <v>860</v>
      </c>
      <c r="B743" s="83" t="s">
        <v>3486</v>
      </c>
      <c r="C743" s="83" t="s">
        <v>68</v>
      </c>
      <c r="D743" s="83">
        <v>1129637.0</v>
      </c>
      <c r="E743" s="83"/>
      <c r="F743" s="83">
        <v>2.9000599E7</v>
      </c>
      <c r="G743" s="114" t="s">
        <v>7969</v>
      </c>
      <c r="H743" s="91" t="s">
        <v>3488</v>
      </c>
      <c r="I743" s="114" t="s">
        <v>171</v>
      </c>
      <c r="J743" s="83" t="s">
        <v>150</v>
      </c>
      <c r="K743" s="83" t="s">
        <v>151</v>
      </c>
      <c r="L743" s="83" t="s">
        <v>169</v>
      </c>
      <c r="M743" s="82" t="s">
        <v>7970</v>
      </c>
      <c r="N743" s="82" t="s">
        <v>7971</v>
      </c>
      <c r="O743" s="82" t="s">
        <v>7972</v>
      </c>
      <c r="P743" s="82" t="s">
        <v>7973</v>
      </c>
      <c r="Q743" s="82"/>
      <c r="R743" s="82"/>
      <c r="S743" s="82" t="s">
        <v>7974</v>
      </c>
      <c r="T743" s="138">
        <v>5.0</v>
      </c>
      <c r="U743" s="340">
        <v>5.0</v>
      </c>
      <c r="V743" s="106">
        <v>0.0</v>
      </c>
      <c r="W743" s="107">
        <v>0.0</v>
      </c>
      <c r="X743" s="107">
        <v>0.0</v>
      </c>
      <c r="Y743" s="107">
        <v>0.0</v>
      </c>
      <c r="Z743" s="80">
        <v>0.0</v>
      </c>
      <c r="AA743" s="140">
        <v>0.0</v>
      </c>
      <c r="AB743" s="109">
        <v>0.0</v>
      </c>
      <c r="AC743" s="109">
        <v>0.0</v>
      </c>
      <c r="AD743" s="141">
        <v>0.0</v>
      </c>
      <c r="AE743" s="80">
        <v>0.0</v>
      </c>
      <c r="AF743" s="140">
        <v>118.0</v>
      </c>
      <c r="AG743" s="109">
        <v>110.0</v>
      </c>
      <c r="AH743" s="109">
        <v>29.0</v>
      </c>
      <c r="AI743" s="141">
        <v>29.0</v>
      </c>
      <c r="AJ743" s="80">
        <v>286.0</v>
      </c>
      <c r="AK743" s="140">
        <v>0.0</v>
      </c>
      <c r="AL743" s="109">
        <v>0.0</v>
      </c>
      <c r="AM743" s="141">
        <v>0.0</v>
      </c>
      <c r="AN743" s="80">
        <v>0.0</v>
      </c>
      <c r="AO743" s="140">
        <v>0.0</v>
      </c>
      <c r="AP743" s="109">
        <v>0.0</v>
      </c>
      <c r="AQ743" s="109">
        <v>34.0</v>
      </c>
      <c r="AR743" s="80">
        <v>34.0</v>
      </c>
      <c r="AS743" s="110">
        <v>0.0</v>
      </c>
      <c r="AT743" s="110">
        <v>0.0</v>
      </c>
      <c r="AU743" s="110">
        <v>0.0</v>
      </c>
      <c r="AV743" s="142">
        <v>0.0</v>
      </c>
      <c r="AW743" s="80">
        <v>0.0</v>
      </c>
      <c r="AX743" s="113">
        <v>320.0</v>
      </c>
      <c r="AY743" s="117">
        <v>257.0</v>
      </c>
      <c r="AZ743" s="328">
        <v>63.0</v>
      </c>
      <c r="BA743" s="315">
        <v>0.0</v>
      </c>
      <c r="BB743" s="316">
        <v>320.0</v>
      </c>
      <c r="BC743" s="132" t="s">
        <v>178</v>
      </c>
      <c r="BD743" s="132" t="s">
        <v>178</v>
      </c>
      <c r="BE743" s="132" t="s">
        <v>178</v>
      </c>
      <c r="BF743" s="123"/>
      <c r="BG743" s="83">
        <v>1129637.0</v>
      </c>
      <c r="BH743" s="112">
        <v>5.0</v>
      </c>
      <c r="BI743" s="98" t="s">
        <v>155</v>
      </c>
      <c r="BJ743" s="98" t="str">
        <f t="shared" si="1"/>
        <v>INTEGRAL</v>
      </c>
      <c r="BK743" s="98" t="str">
        <f t="shared" si="2"/>
        <v>NÃO</v>
      </c>
    </row>
    <row r="744" ht="15.75" customHeight="1">
      <c r="A744" s="111" t="s">
        <v>860</v>
      </c>
      <c r="B744" s="83" t="s">
        <v>3486</v>
      </c>
      <c r="C744" s="83" t="s">
        <v>68</v>
      </c>
      <c r="D744" s="83">
        <v>1179377.0</v>
      </c>
      <c r="E744" s="83"/>
      <c r="F744" s="83">
        <v>2.9464765E7</v>
      </c>
      <c r="G744" s="114" t="s">
        <v>7979</v>
      </c>
      <c r="H744" s="91" t="s">
        <v>3491</v>
      </c>
      <c r="I744" s="114" t="s">
        <v>3492</v>
      </c>
      <c r="J744" s="83" t="s">
        <v>331</v>
      </c>
      <c r="K744" s="83" t="s">
        <v>151</v>
      </c>
      <c r="L744" s="83" t="s">
        <v>152</v>
      </c>
      <c r="M744" s="82" t="s">
        <v>7982</v>
      </c>
      <c r="N744" s="82" t="s">
        <v>7984</v>
      </c>
      <c r="O744" s="82"/>
      <c r="P744" s="82"/>
      <c r="Q744" s="82"/>
      <c r="R744" s="82"/>
      <c r="S744" s="82" t="s">
        <v>7985</v>
      </c>
      <c r="T744" s="138">
        <v>5.0</v>
      </c>
      <c r="U744" s="490">
        <v>4.0</v>
      </c>
      <c r="V744" s="106">
        <v>0.0</v>
      </c>
      <c r="W744" s="107">
        <v>0.0</v>
      </c>
      <c r="X744" s="107">
        <v>0.0</v>
      </c>
      <c r="Y744" s="107">
        <v>0.0</v>
      </c>
      <c r="Z744" s="80">
        <v>0.0</v>
      </c>
      <c r="AA744" s="140">
        <v>0.0</v>
      </c>
      <c r="AB744" s="109">
        <v>0.0</v>
      </c>
      <c r="AC744" s="109">
        <v>0.0</v>
      </c>
      <c r="AD744" s="141">
        <v>0.0</v>
      </c>
      <c r="AE744" s="80">
        <v>0.0</v>
      </c>
      <c r="AF744" s="140">
        <v>98.0</v>
      </c>
      <c r="AG744" s="109">
        <v>0.0</v>
      </c>
      <c r="AH744" s="109">
        <v>13.0</v>
      </c>
      <c r="AI744" s="141">
        <v>0.0</v>
      </c>
      <c r="AJ744" s="80">
        <v>111.0</v>
      </c>
      <c r="AK744" s="140">
        <v>0.0</v>
      </c>
      <c r="AL744" s="109">
        <v>0.0</v>
      </c>
      <c r="AM744" s="141">
        <v>0.0</v>
      </c>
      <c r="AN744" s="80">
        <v>0.0</v>
      </c>
      <c r="AO744" s="140">
        <v>0.0</v>
      </c>
      <c r="AP744" s="109">
        <v>0.0</v>
      </c>
      <c r="AQ744" s="109">
        <v>14.0</v>
      </c>
      <c r="AR744" s="80">
        <v>14.0</v>
      </c>
      <c r="AS744" s="110">
        <v>0.0</v>
      </c>
      <c r="AT744" s="110">
        <v>0.0</v>
      </c>
      <c r="AU744" s="110">
        <v>0.0</v>
      </c>
      <c r="AV744" s="142">
        <v>32.0</v>
      </c>
      <c r="AW744" s="80">
        <v>32.0</v>
      </c>
      <c r="AX744" s="113">
        <v>157.0</v>
      </c>
      <c r="AY744" s="117">
        <v>130.0</v>
      </c>
      <c r="AZ744" s="328">
        <v>27.0</v>
      </c>
      <c r="BA744" s="315">
        <v>0.0</v>
      </c>
      <c r="BB744" s="316">
        <v>157.0</v>
      </c>
      <c r="BC744" s="132" t="s">
        <v>373</v>
      </c>
      <c r="BD744" s="132" t="s">
        <v>178</v>
      </c>
      <c r="BE744" s="132" t="s">
        <v>178</v>
      </c>
      <c r="BF744" s="123"/>
      <c r="BG744" s="83">
        <v>1179377.0</v>
      </c>
      <c r="BH744" s="112">
        <v>4.0</v>
      </c>
      <c r="BI744" s="98" t="s">
        <v>155</v>
      </c>
      <c r="BJ744" s="98" t="str">
        <f t="shared" si="1"/>
        <v>INTEGRAL</v>
      </c>
      <c r="BK744" s="98" t="str">
        <f t="shared" si="2"/>
        <v>PROFISSIONAL</v>
      </c>
    </row>
    <row r="745" ht="15.75" customHeight="1">
      <c r="A745" s="111" t="s">
        <v>860</v>
      </c>
      <c r="B745" s="83" t="s">
        <v>3486</v>
      </c>
      <c r="C745" s="83" t="s">
        <v>164</v>
      </c>
      <c r="D745" s="83">
        <v>1129637.0</v>
      </c>
      <c r="E745" s="83">
        <v>1178867.0</v>
      </c>
      <c r="F745" s="83"/>
      <c r="G745" s="114" t="s">
        <v>3494</v>
      </c>
      <c r="H745" s="91" t="s">
        <v>3495</v>
      </c>
      <c r="I745" s="298" t="s">
        <v>149</v>
      </c>
      <c r="J745" s="83" t="s">
        <v>240</v>
      </c>
      <c r="K745" s="83" t="s">
        <v>168</v>
      </c>
      <c r="L745" s="83" t="s">
        <v>169</v>
      </c>
      <c r="M745" s="82" t="s">
        <v>7970</v>
      </c>
      <c r="N745" s="82" t="s">
        <v>7971</v>
      </c>
      <c r="O745" s="82" t="s">
        <v>7972</v>
      </c>
      <c r="P745" s="82" t="s">
        <v>7973</v>
      </c>
      <c r="Q745" s="82"/>
      <c r="R745" s="82"/>
      <c r="S745" s="82" t="s">
        <v>7974</v>
      </c>
      <c r="T745" s="138">
        <v>5.0</v>
      </c>
      <c r="U745" s="343">
        <v>5.0</v>
      </c>
      <c r="V745" s="106">
        <v>0.0</v>
      </c>
      <c r="W745" s="107">
        <v>0.0</v>
      </c>
      <c r="X745" s="107">
        <v>0.0</v>
      </c>
      <c r="Y745" s="107">
        <v>0.0</v>
      </c>
      <c r="Z745" s="80">
        <v>0.0</v>
      </c>
      <c r="AA745" s="140">
        <v>0.0</v>
      </c>
      <c r="AB745" s="109">
        <v>0.0</v>
      </c>
      <c r="AC745" s="109">
        <v>0.0</v>
      </c>
      <c r="AD745" s="141">
        <v>0.0</v>
      </c>
      <c r="AE745" s="80">
        <v>0.0</v>
      </c>
      <c r="AF745" s="140">
        <v>0.0</v>
      </c>
      <c r="AG745" s="109">
        <v>0.0</v>
      </c>
      <c r="AH745" s="109">
        <v>45.0</v>
      </c>
      <c r="AI745" s="141">
        <v>0.0</v>
      </c>
      <c r="AJ745" s="80">
        <v>45.0</v>
      </c>
      <c r="AK745" s="140">
        <v>0.0</v>
      </c>
      <c r="AL745" s="109">
        <v>0.0</v>
      </c>
      <c r="AM745" s="141">
        <v>0.0</v>
      </c>
      <c r="AN745" s="80">
        <v>0.0</v>
      </c>
      <c r="AO745" s="140">
        <v>0.0</v>
      </c>
      <c r="AP745" s="109">
        <v>0.0</v>
      </c>
      <c r="AQ745" s="109">
        <v>61.0</v>
      </c>
      <c r="AR745" s="80">
        <v>61.0</v>
      </c>
      <c r="AS745" s="110">
        <v>0.0</v>
      </c>
      <c r="AT745" s="110">
        <v>0.0</v>
      </c>
      <c r="AU745" s="110">
        <v>0.0</v>
      </c>
      <c r="AV745" s="142">
        <v>0.0</v>
      </c>
      <c r="AW745" s="80">
        <v>0.0</v>
      </c>
      <c r="AX745" s="113">
        <v>106.0</v>
      </c>
      <c r="AY745" s="117">
        <v>0.0</v>
      </c>
      <c r="AZ745" s="328">
        <v>106.0</v>
      </c>
      <c r="BA745" s="315">
        <v>0.0</v>
      </c>
      <c r="BB745" s="316">
        <v>106.0</v>
      </c>
      <c r="BC745" s="132" t="s">
        <v>373</v>
      </c>
      <c r="BD745" s="132" t="s">
        <v>178</v>
      </c>
      <c r="BE745" s="132" t="s">
        <v>178</v>
      </c>
      <c r="BF745" s="123"/>
      <c r="BG745" s="83">
        <v>1178867.0</v>
      </c>
      <c r="BH745" s="112">
        <v>5.0</v>
      </c>
      <c r="BI745" s="98" t="s">
        <v>155</v>
      </c>
      <c r="BJ745" s="98" t="str">
        <f t="shared" si="1"/>
        <v>NÃO</v>
      </c>
      <c r="BK745" s="98" t="str">
        <f t="shared" si="2"/>
        <v>NÃO</v>
      </c>
    </row>
    <row r="746" ht="15.75" customHeight="1">
      <c r="A746" s="111" t="s">
        <v>860</v>
      </c>
      <c r="B746" s="83" t="s">
        <v>3497</v>
      </c>
      <c r="C746" s="83" t="s">
        <v>68</v>
      </c>
      <c r="D746" s="83">
        <v>1129858.0</v>
      </c>
      <c r="E746" s="83"/>
      <c r="F746" s="83">
        <v>2.9001773E7</v>
      </c>
      <c r="G746" s="114" t="s">
        <v>7994</v>
      </c>
      <c r="H746" s="91" t="s">
        <v>3499</v>
      </c>
      <c r="I746" s="114" t="s">
        <v>149</v>
      </c>
      <c r="J746" s="83" t="s">
        <v>150</v>
      </c>
      <c r="K746" s="83" t="s">
        <v>151</v>
      </c>
      <c r="L746" s="83" t="s">
        <v>76</v>
      </c>
      <c r="M746" s="82" t="s">
        <v>7995</v>
      </c>
      <c r="N746" s="82" t="s">
        <v>7996</v>
      </c>
      <c r="O746" s="82" t="s">
        <v>7997</v>
      </c>
      <c r="P746" s="82" t="s">
        <v>7998</v>
      </c>
      <c r="Q746" s="82"/>
      <c r="R746" s="82"/>
      <c r="S746" s="82" t="s">
        <v>8000</v>
      </c>
      <c r="T746" s="138">
        <v>8.0</v>
      </c>
      <c r="U746" s="340">
        <v>8.0</v>
      </c>
      <c r="V746" s="106">
        <v>0.0</v>
      </c>
      <c r="W746" s="107">
        <v>0.0</v>
      </c>
      <c r="X746" s="107">
        <v>0.0</v>
      </c>
      <c r="Y746" s="107">
        <v>0.0</v>
      </c>
      <c r="Z746" s="80">
        <v>0.0</v>
      </c>
      <c r="AA746" s="140">
        <v>0.0</v>
      </c>
      <c r="AB746" s="109">
        <v>0.0</v>
      </c>
      <c r="AC746" s="109">
        <v>0.0</v>
      </c>
      <c r="AD746" s="141">
        <v>0.0</v>
      </c>
      <c r="AE746" s="80">
        <v>0.0</v>
      </c>
      <c r="AF746" s="140">
        <v>157.0</v>
      </c>
      <c r="AG746" s="109">
        <v>0.0</v>
      </c>
      <c r="AH746" s="109">
        <v>29.0</v>
      </c>
      <c r="AI746" s="141">
        <v>10.0</v>
      </c>
      <c r="AJ746" s="80">
        <v>196.0</v>
      </c>
      <c r="AK746" s="140">
        <v>0.0</v>
      </c>
      <c r="AL746" s="109">
        <v>0.0</v>
      </c>
      <c r="AM746" s="141">
        <v>0.0</v>
      </c>
      <c r="AN746" s="80">
        <v>0.0</v>
      </c>
      <c r="AO746" s="140">
        <v>0.0</v>
      </c>
      <c r="AP746" s="109">
        <v>0.0</v>
      </c>
      <c r="AQ746" s="109">
        <v>73.0</v>
      </c>
      <c r="AR746" s="80">
        <v>73.0</v>
      </c>
      <c r="AS746" s="110">
        <v>0.0</v>
      </c>
      <c r="AT746" s="110">
        <v>0.0</v>
      </c>
      <c r="AU746" s="110">
        <v>0.0</v>
      </c>
      <c r="AV746" s="142">
        <v>0.0</v>
      </c>
      <c r="AW746" s="80">
        <v>0.0</v>
      </c>
      <c r="AX746" s="113">
        <v>269.0</v>
      </c>
      <c r="AY746" s="117">
        <v>167.0</v>
      </c>
      <c r="AZ746" s="328">
        <v>102.0</v>
      </c>
      <c r="BA746" s="315">
        <v>0.0</v>
      </c>
      <c r="BB746" s="316">
        <v>269.0</v>
      </c>
      <c r="BC746" s="132" t="s">
        <v>178</v>
      </c>
      <c r="BD746" s="132" t="s">
        <v>178</v>
      </c>
      <c r="BE746" s="132" t="s">
        <v>178</v>
      </c>
      <c r="BF746" s="156"/>
      <c r="BG746" s="83">
        <v>1129858.0</v>
      </c>
      <c r="BH746" s="112">
        <v>8.0</v>
      </c>
      <c r="BI746" s="98" t="s">
        <v>155</v>
      </c>
      <c r="BJ746" s="98" t="str">
        <f t="shared" si="1"/>
        <v>INTEGRAL</v>
      </c>
      <c r="BK746" s="98" t="str">
        <f t="shared" si="2"/>
        <v>NÃO</v>
      </c>
    </row>
    <row r="747" ht="15.75" customHeight="1">
      <c r="A747" s="111" t="s">
        <v>860</v>
      </c>
      <c r="B747" s="83" t="s">
        <v>3497</v>
      </c>
      <c r="C747" s="83" t="s">
        <v>68</v>
      </c>
      <c r="D747" s="83">
        <v>1129939.0</v>
      </c>
      <c r="E747" s="83"/>
      <c r="F747" s="83">
        <v>2.9383218E7</v>
      </c>
      <c r="G747" s="114" t="s">
        <v>8004</v>
      </c>
      <c r="H747" s="91" t="s">
        <v>3503</v>
      </c>
      <c r="I747" s="114" t="s">
        <v>149</v>
      </c>
      <c r="J747" s="83" t="s">
        <v>150</v>
      </c>
      <c r="K747" s="83" t="s">
        <v>151</v>
      </c>
      <c r="L747" s="83" t="s">
        <v>76</v>
      </c>
      <c r="M747" s="82" t="s">
        <v>8005</v>
      </c>
      <c r="N747" s="82" t="s">
        <v>8006</v>
      </c>
      <c r="O747" s="82" t="s">
        <v>8007</v>
      </c>
      <c r="P747" s="82" t="s">
        <v>8008</v>
      </c>
      <c r="Q747" s="82"/>
      <c r="R747" s="82"/>
      <c r="S747" s="82" t="s">
        <v>8009</v>
      </c>
      <c r="T747" s="138">
        <v>10.0</v>
      </c>
      <c r="U747" s="340">
        <v>10.0</v>
      </c>
      <c r="V747" s="106">
        <v>0.0</v>
      </c>
      <c r="W747" s="107">
        <v>0.0</v>
      </c>
      <c r="X747" s="107">
        <v>0.0</v>
      </c>
      <c r="Y747" s="107">
        <v>0.0</v>
      </c>
      <c r="Z747" s="80">
        <v>0.0</v>
      </c>
      <c r="AA747" s="140">
        <v>0.0</v>
      </c>
      <c r="AB747" s="109">
        <v>0.0</v>
      </c>
      <c r="AC747" s="109">
        <v>0.0</v>
      </c>
      <c r="AD747" s="141">
        <v>0.0</v>
      </c>
      <c r="AE747" s="80">
        <v>0.0</v>
      </c>
      <c r="AF747" s="140">
        <v>309.0</v>
      </c>
      <c r="AG747" s="109">
        <v>274.0</v>
      </c>
      <c r="AH747" s="109">
        <v>0.0</v>
      </c>
      <c r="AI747" s="141">
        <v>0.0</v>
      </c>
      <c r="AJ747" s="80">
        <v>583.0</v>
      </c>
      <c r="AK747" s="140">
        <v>0.0</v>
      </c>
      <c r="AL747" s="109">
        <v>0.0</v>
      </c>
      <c r="AM747" s="141">
        <v>0.0</v>
      </c>
      <c r="AN747" s="80">
        <v>0.0</v>
      </c>
      <c r="AO747" s="140">
        <v>0.0</v>
      </c>
      <c r="AP747" s="109">
        <v>0.0</v>
      </c>
      <c r="AQ747" s="109">
        <v>0.0</v>
      </c>
      <c r="AR747" s="80">
        <v>0.0</v>
      </c>
      <c r="AS747" s="110">
        <v>0.0</v>
      </c>
      <c r="AT747" s="110">
        <v>0.0</v>
      </c>
      <c r="AU747" s="110">
        <v>0.0</v>
      </c>
      <c r="AV747" s="142">
        <v>0.0</v>
      </c>
      <c r="AW747" s="80">
        <v>0.0</v>
      </c>
      <c r="AX747" s="113">
        <v>583.0</v>
      </c>
      <c r="AY747" s="117">
        <v>583.0</v>
      </c>
      <c r="AZ747" s="328">
        <v>0.0</v>
      </c>
      <c r="BA747" s="315">
        <v>0.0</v>
      </c>
      <c r="BB747" s="316">
        <v>583.0</v>
      </c>
      <c r="BC747" s="132" t="s">
        <v>178</v>
      </c>
      <c r="BD747" s="132" t="s">
        <v>178</v>
      </c>
      <c r="BE747" s="132" t="s">
        <v>178</v>
      </c>
      <c r="BF747" s="123"/>
      <c r="BG747" s="83">
        <v>1129939.0</v>
      </c>
      <c r="BH747" s="112">
        <v>10.0</v>
      </c>
      <c r="BI747" s="98" t="s">
        <v>155</v>
      </c>
      <c r="BJ747" s="98" t="str">
        <f t="shared" si="1"/>
        <v>NÃO</v>
      </c>
      <c r="BK747" s="98" t="str">
        <f t="shared" si="2"/>
        <v>NÃO</v>
      </c>
    </row>
    <row r="748" ht="15.75" customHeight="1">
      <c r="A748" s="111" t="s">
        <v>860</v>
      </c>
      <c r="B748" s="83" t="s">
        <v>3497</v>
      </c>
      <c r="C748" s="83" t="s">
        <v>68</v>
      </c>
      <c r="D748" s="83">
        <v>1178162.0</v>
      </c>
      <c r="E748" s="83"/>
      <c r="F748" s="83">
        <v>2.9437881E7</v>
      </c>
      <c r="G748" s="114" t="s">
        <v>8011</v>
      </c>
      <c r="H748" s="91" t="s">
        <v>3519</v>
      </c>
      <c r="I748" s="187" t="s">
        <v>3520</v>
      </c>
      <c r="J748" s="83" t="s">
        <v>150</v>
      </c>
      <c r="K748" s="83" t="s">
        <v>3521</v>
      </c>
      <c r="L748" s="83" t="s">
        <v>76</v>
      </c>
      <c r="M748" s="82" t="s">
        <v>8012</v>
      </c>
      <c r="N748" s="82" t="s">
        <v>8013</v>
      </c>
      <c r="O748" s="82" t="s">
        <v>8014</v>
      </c>
      <c r="P748" s="82" t="s">
        <v>8015</v>
      </c>
      <c r="Q748" s="82"/>
      <c r="R748" s="82"/>
      <c r="S748" s="82" t="s">
        <v>8016</v>
      </c>
      <c r="T748" s="138">
        <v>8.0</v>
      </c>
      <c r="U748" s="323">
        <v>8.0</v>
      </c>
      <c r="V748" s="106">
        <v>0.0</v>
      </c>
      <c r="W748" s="107">
        <v>0.0</v>
      </c>
      <c r="X748" s="107">
        <v>0.0</v>
      </c>
      <c r="Y748" s="107">
        <v>0.0</v>
      </c>
      <c r="Z748" s="80">
        <v>0.0</v>
      </c>
      <c r="AA748" s="140">
        <v>0.0</v>
      </c>
      <c r="AB748" s="109">
        <v>0.0</v>
      </c>
      <c r="AC748" s="109">
        <v>0.0</v>
      </c>
      <c r="AD748" s="141">
        <v>0.0</v>
      </c>
      <c r="AE748" s="80">
        <v>0.0</v>
      </c>
      <c r="AF748" s="140">
        <v>136.0</v>
      </c>
      <c r="AG748" s="109">
        <v>119.0</v>
      </c>
      <c r="AH748" s="109">
        <v>0.0</v>
      </c>
      <c r="AI748" s="141">
        <v>113.0</v>
      </c>
      <c r="AJ748" s="80">
        <v>368.0</v>
      </c>
      <c r="AK748" s="140">
        <v>0.0</v>
      </c>
      <c r="AL748" s="109">
        <v>0.0</v>
      </c>
      <c r="AM748" s="141">
        <v>0.0</v>
      </c>
      <c r="AN748" s="80">
        <v>0.0</v>
      </c>
      <c r="AO748" s="140">
        <v>0.0</v>
      </c>
      <c r="AP748" s="109">
        <v>0.0</v>
      </c>
      <c r="AQ748" s="109">
        <v>124.0</v>
      </c>
      <c r="AR748" s="80">
        <v>124.0</v>
      </c>
      <c r="AS748" s="110">
        <v>0.0</v>
      </c>
      <c r="AT748" s="110">
        <v>0.0</v>
      </c>
      <c r="AU748" s="110">
        <v>0.0</v>
      </c>
      <c r="AV748" s="142">
        <v>0.0</v>
      </c>
      <c r="AW748" s="80">
        <v>0.0</v>
      </c>
      <c r="AX748" s="113">
        <v>492.0</v>
      </c>
      <c r="AY748" s="117">
        <v>368.0</v>
      </c>
      <c r="AZ748" s="328">
        <v>124.0</v>
      </c>
      <c r="BA748" s="315">
        <v>0.0</v>
      </c>
      <c r="BB748" s="316">
        <v>492.0</v>
      </c>
      <c r="BC748" s="132" t="s">
        <v>178</v>
      </c>
      <c r="BD748" s="132" t="s">
        <v>178</v>
      </c>
      <c r="BE748" s="132" t="s">
        <v>178</v>
      </c>
      <c r="BF748" s="123"/>
      <c r="BG748" s="83">
        <v>1178162.0</v>
      </c>
      <c r="BH748" s="112">
        <v>8.0</v>
      </c>
      <c r="BI748" s="98" t="s">
        <v>155</v>
      </c>
      <c r="BJ748" s="98" t="str">
        <f t="shared" si="1"/>
        <v>INTEGRAL</v>
      </c>
      <c r="BK748" s="98" t="str">
        <f t="shared" si="2"/>
        <v>NÃO</v>
      </c>
    </row>
    <row r="749" ht="15.75" customHeight="1">
      <c r="A749" s="111" t="s">
        <v>860</v>
      </c>
      <c r="B749" s="83" t="s">
        <v>3497</v>
      </c>
      <c r="C749" s="83" t="s">
        <v>68</v>
      </c>
      <c r="D749" s="83">
        <v>1129718.0</v>
      </c>
      <c r="E749" s="83"/>
      <c r="F749" s="83">
        <v>2.9336325E7</v>
      </c>
      <c r="G749" s="114" t="s">
        <v>8018</v>
      </c>
      <c r="H749" s="91" t="s">
        <v>3513</v>
      </c>
      <c r="I749" s="187" t="s">
        <v>3514</v>
      </c>
      <c r="J749" s="83" t="s">
        <v>150</v>
      </c>
      <c r="K749" s="83" t="s">
        <v>151</v>
      </c>
      <c r="L749" s="83" t="s">
        <v>152</v>
      </c>
      <c r="M749" s="82" t="s">
        <v>8021</v>
      </c>
      <c r="N749" s="82" t="s">
        <v>8022</v>
      </c>
      <c r="O749" s="82" t="s">
        <v>8024</v>
      </c>
      <c r="P749" s="82" t="s">
        <v>8025</v>
      </c>
      <c r="Q749" s="82" t="s">
        <v>8026</v>
      </c>
      <c r="R749" s="82" t="s">
        <v>8027</v>
      </c>
      <c r="S749" s="82" t="s">
        <v>8028</v>
      </c>
      <c r="T749" s="138">
        <v>10.0</v>
      </c>
      <c r="U749" s="323">
        <v>8.0</v>
      </c>
      <c r="V749" s="106">
        <v>0.0</v>
      </c>
      <c r="W749" s="107">
        <v>0.0</v>
      </c>
      <c r="X749" s="107">
        <v>0.0</v>
      </c>
      <c r="Y749" s="107">
        <v>0.0</v>
      </c>
      <c r="Z749" s="80">
        <v>0.0</v>
      </c>
      <c r="AA749" s="140">
        <v>0.0</v>
      </c>
      <c r="AB749" s="109">
        <v>0.0</v>
      </c>
      <c r="AC749" s="109">
        <v>0.0</v>
      </c>
      <c r="AD749" s="141">
        <v>0.0</v>
      </c>
      <c r="AE749" s="80">
        <v>0.0</v>
      </c>
      <c r="AF749" s="140">
        <v>296.0</v>
      </c>
      <c r="AG749" s="109">
        <v>125.0</v>
      </c>
      <c r="AH749" s="109">
        <v>79.0</v>
      </c>
      <c r="AI749" s="141">
        <v>23.0</v>
      </c>
      <c r="AJ749" s="80">
        <v>523.0</v>
      </c>
      <c r="AK749" s="140">
        <v>0.0</v>
      </c>
      <c r="AL749" s="109">
        <v>0.0</v>
      </c>
      <c r="AM749" s="141">
        <v>0.0</v>
      </c>
      <c r="AN749" s="80">
        <v>0.0</v>
      </c>
      <c r="AO749" s="140">
        <v>0.0</v>
      </c>
      <c r="AP749" s="109">
        <v>0.0</v>
      </c>
      <c r="AQ749" s="109">
        <v>188.0</v>
      </c>
      <c r="AR749" s="80">
        <v>188.0</v>
      </c>
      <c r="AS749" s="110">
        <v>0.0</v>
      </c>
      <c r="AT749" s="110">
        <v>0.0</v>
      </c>
      <c r="AU749" s="110">
        <v>0.0</v>
      </c>
      <c r="AV749" s="142">
        <v>0.0</v>
      </c>
      <c r="AW749" s="80">
        <v>0.0</v>
      </c>
      <c r="AX749" s="113">
        <v>711.0</v>
      </c>
      <c r="AY749" s="117">
        <v>444.0</v>
      </c>
      <c r="AZ749" s="328">
        <v>267.0</v>
      </c>
      <c r="BA749" s="315">
        <v>0.0</v>
      </c>
      <c r="BB749" s="316">
        <v>711.0</v>
      </c>
      <c r="BC749" s="132" t="s">
        <v>178</v>
      </c>
      <c r="BD749" s="132" t="s">
        <v>178</v>
      </c>
      <c r="BE749" s="132" t="s">
        <v>178</v>
      </c>
      <c r="BF749" s="123"/>
      <c r="BG749" s="83">
        <v>1129718.0</v>
      </c>
      <c r="BH749" s="112">
        <v>8.0</v>
      </c>
      <c r="BI749" s="98" t="s">
        <v>155</v>
      </c>
      <c r="BJ749" s="98" t="str">
        <f t="shared" si="1"/>
        <v>INTEGRAL</v>
      </c>
      <c r="BK749" s="98" t="str">
        <f t="shared" si="2"/>
        <v>NÃO</v>
      </c>
    </row>
    <row r="750" ht="15.75" customHeight="1">
      <c r="A750" s="111" t="s">
        <v>860</v>
      </c>
      <c r="B750" s="83" t="s">
        <v>3497</v>
      </c>
      <c r="C750" s="83" t="s">
        <v>68</v>
      </c>
      <c r="D750" s="83">
        <v>1129696.0</v>
      </c>
      <c r="E750" s="83"/>
      <c r="F750" s="83">
        <v>2.9001064E7</v>
      </c>
      <c r="G750" s="114" t="s">
        <v>8033</v>
      </c>
      <c r="H750" s="91" t="s">
        <v>3525</v>
      </c>
      <c r="I750" s="114" t="s">
        <v>149</v>
      </c>
      <c r="J750" s="83" t="s">
        <v>150</v>
      </c>
      <c r="K750" s="83" t="s">
        <v>151</v>
      </c>
      <c r="L750" s="83" t="s">
        <v>152</v>
      </c>
      <c r="M750" s="82" t="s">
        <v>8034</v>
      </c>
      <c r="N750" s="82" t="s">
        <v>8036</v>
      </c>
      <c r="O750" s="82" t="s">
        <v>8038</v>
      </c>
      <c r="P750" s="82" t="s">
        <v>8040</v>
      </c>
      <c r="Q750" s="82"/>
      <c r="R750" s="82"/>
      <c r="S750" s="82" t="s">
        <v>8042</v>
      </c>
      <c r="T750" s="138">
        <v>8.0</v>
      </c>
      <c r="U750" s="323">
        <v>8.0</v>
      </c>
      <c r="V750" s="106">
        <v>0.0</v>
      </c>
      <c r="W750" s="107">
        <v>0.0</v>
      </c>
      <c r="X750" s="107">
        <v>0.0</v>
      </c>
      <c r="Y750" s="107">
        <v>0.0</v>
      </c>
      <c r="Z750" s="80">
        <v>0.0</v>
      </c>
      <c r="AA750" s="140">
        <v>0.0</v>
      </c>
      <c r="AB750" s="109">
        <v>0.0</v>
      </c>
      <c r="AC750" s="109">
        <v>0.0</v>
      </c>
      <c r="AD750" s="141">
        <v>0.0</v>
      </c>
      <c r="AE750" s="80">
        <v>0.0</v>
      </c>
      <c r="AF750" s="140">
        <v>262.0</v>
      </c>
      <c r="AG750" s="109">
        <v>141.0</v>
      </c>
      <c r="AH750" s="109">
        <v>32.0</v>
      </c>
      <c r="AI750" s="141">
        <v>6.0</v>
      </c>
      <c r="AJ750" s="80">
        <v>441.0</v>
      </c>
      <c r="AK750" s="140">
        <v>0.0</v>
      </c>
      <c r="AL750" s="109">
        <v>0.0</v>
      </c>
      <c r="AM750" s="141">
        <v>0.0</v>
      </c>
      <c r="AN750" s="80">
        <v>0.0</v>
      </c>
      <c r="AO750" s="140">
        <v>0.0</v>
      </c>
      <c r="AP750" s="109">
        <v>0.0</v>
      </c>
      <c r="AQ750" s="109">
        <v>87.0</v>
      </c>
      <c r="AR750" s="80">
        <v>87.0</v>
      </c>
      <c r="AS750" s="110">
        <v>0.0</v>
      </c>
      <c r="AT750" s="110">
        <v>0.0</v>
      </c>
      <c r="AU750" s="110">
        <v>0.0</v>
      </c>
      <c r="AV750" s="142">
        <v>0.0</v>
      </c>
      <c r="AW750" s="80">
        <v>0.0</v>
      </c>
      <c r="AX750" s="113">
        <v>528.0</v>
      </c>
      <c r="AY750" s="117">
        <v>409.0</v>
      </c>
      <c r="AZ750" s="328">
        <v>119.0</v>
      </c>
      <c r="BA750" s="315">
        <v>0.0</v>
      </c>
      <c r="BB750" s="316">
        <v>528.0</v>
      </c>
      <c r="BC750" s="132" t="s">
        <v>178</v>
      </c>
      <c r="BD750" s="132" t="s">
        <v>178</v>
      </c>
      <c r="BE750" s="132" t="s">
        <v>178</v>
      </c>
      <c r="BF750" s="123"/>
      <c r="BG750" s="83">
        <v>1129696.0</v>
      </c>
      <c r="BH750" s="112">
        <v>8.0</v>
      </c>
      <c r="BI750" s="98" t="s">
        <v>155</v>
      </c>
      <c r="BJ750" s="98" t="str">
        <f t="shared" si="1"/>
        <v>INTEGRAL</v>
      </c>
      <c r="BK750" s="98" t="str">
        <f t="shared" si="2"/>
        <v>NÃO</v>
      </c>
    </row>
    <row r="751" ht="15.75" customHeight="1">
      <c r="A751" s="111" t="s">
        <v>860</v>
      </c>
      <c r="B751" s="83" t="s">
        <v>3497</v>
      </c>
      <c r="C751" s="83" t="s">
        <v>68</v>
      </c>
      <c r="D751" s="83">
        <v>1139896.0</v>
      </c>
      <c r="E751" s="83"/>
      <c r="F751" s="83">
        <v>2.900084E7</v>
      </c>
      <c r="G751" s="114" t="s">
        <v>8047</v>
      </c>
      <c r="H751" s="91" t="s">
        <v>3528</v>
      </c>
      <c r="I751" s="114" t="s">
        <v>149</v>
      </c>
      <c r="J751" s="83" t="s">
        <v>150</v>
      </c>
      <c r="K751" s="83" t="s">
        <v>151</v>
      </c>
      <c r="L751" s="83" t="s">
        <v>230</v>
      </c>
      <c r="M751" s="82" t="s">
        <v>8048</v>
      </c>
      <c r="N751" s="82" t="s">
        <v>8049</v>
      </c>
      <c r="O751" s="82" t="s">
        <v>8050</v>
      </c>
      <c r="P751" s="82" t="s">
        <v>8051</v>
      </c>
      <c r="Q751" s="82" t="s">
        <v>8052</v>
      </c>
      <c r="R751" s="82" t="s">
        <v>8053</v>
      </c>
      <c r="S751" s="82" t="s">
        <v>8054</v>
      </c>
      <c r="T751" s="138">
        <v>15.0</v>
      </c>
      <c r="U751" s="323">
        <v>15.0</v>
      </c>
      <c r="V751" s="106">
        <v>0.0</v>
      </c>
      <c r="W751" s="107">
        <v>0.0</v>
      </c>
      <c r="X751" s="107">
        <v>0.0</v>
      </c>
      <c r="Y751" s="107">
        <v>0.0</v>
      </c>
      <c r="Z751" s="80">
        <v>0.0</v>
      </c>
      <c r="AA751" s="140">
        <v>0.0</v>
      </c>
      <c r="AB751" s="109">
        <v>0.0</v>
      </c>
      <c r="AC751" s="109">
        <v>0.0</v>
      </c>
      <c r="AD751" s="141">
        <v>0.0</v>
      </c>
      <c r="AE751" s="80">
        <v>0.0</v>
      </c>
      <c r="AF751" s="140">
        <v>609.0</v>
      </c>
      <c r="AG751" s="109">
        <v>465.0</v>
      </c>
      <c r="AH751" s="109">
        <v>45.0</v>
      </c>
      <c r="AI751" s="141">
        <v>0.0</v>
      </c>
      <c r="AJ751" s="80">
        <v>1119.0</v>
      </c>
      <c r="AK751" s="140">
        <v>0.0</v>
      </c>
      <c r="AL751" s="109">
        <v>0.0</v>
      </c>
      <c r="AM751" s="141">
        <v>0.0</v>
      </c>
      <c r="AN751" s="80">
        <v>0.0</v>
      </c>
      <c r="AO751" s="140">
        <v>0.0</v>
      </c>
      <c r="AP751" s="109">
        <v>0.0</v>
      </c>
      <c r="AQ751" s="109">
        <v>141.0</v>
      </c>
      <c r="AR751" s="80">
        <v>141.0</v>
      </c>
      <c r="AS751" s="110">
        <v>0.0</v>
      </c>
      <c r="AT751" s="110">
        <v>0.0</v>
      </c>
      <c r="AU751" s="110">
        <v>0.0</v>
      </c>
      <c r="AV751" s="142">
        <v>0.0</v>
      </c>
      <c r="AW751" s="80">
        <v>0.0</v>
      </c>
      <c r="AX751" s="113">
        <v>1260.0</v>
      </c>
      <c r="AY751" s="117">
        <v>1074.0</v>
      </c>
      <c r="AZ751" s="328">
        <v>186.0</v>
      </c>
      <c r="BA751" s="315">
        <v>7.0</v>
      </c>
      <c r="BB751" s="316">
        <v>1267.0</v>
      </c>
      <c r="BC751" s="132" t="s">
        <v>178</v>
      </c>
      <c r="BD751" s="132" t="s">
        <v>178</v>
      </c>
      <c r="BE751" s="132" t="s">
        <v>178</v>
      </c>
      <c r="BF751" s="123"/>
      <c r="BG751" s="83">
        <v>1139896.0</v>
      </c>
      <c r="BH751" s="112">
        <v>15.0</v>
      </c>
      <c r="BI751" s="98" t="s">
        <v>155</v>
      </c>
      <c r="BJ751" s="98" t="str">
        <f t="shared" si="1"/>
        <v>NÃO</v>
      </c>
      <c r="BK751" s="98" t="str">
        <f t="shared" si="2"/>
        <v>NÃO</v>
      </c>
    </row>
    <row r="752" ht="15.75" customHeight="1">
      <c r="A752" s="111" t="s">
        <v>860</v>
      </c>
      <c r="B752" s="83" t="s">
        <v>3497</v>
      </c>
      <c r="C752" s="83" t="s">
        <v>68</v>
      </c>
      <c r="D752" s="83">
        <v>1165382.0</v>
      </c>
      <c r="E752" s="83"/>
      <c r="F752" s="83">
        <v>2.9000831E7</v>
      </c>
      <c r="G752" s="114" t="s">
        <v>8060</v>
      </c>
      <c r="H752" s="91" t="s">
        <v>3540</v>
      </c>
      <c r="I752" s="187" t="s">
        <v>149</v>
      </c>
      <c r="J752" s="83" t="s">
        <v>150</v>
      </c>
      <c r="K752" s="83" t="s">
        <v>151</v>
      </c>
      <c r="L752" s="83" t="s">
        <v>76</v>
      </c>
      <c r="M752" s="82" t="s">
        <v>8062</v>
      </c>
      <c r="N752" s="82" t="s">
        <v>8063</v>
      </c>
      <c r="O752" s="82" t="s">
        <v>8064</v>
      </c>
      <c r="P752" s="82" t="s">
        <v>8065</v>
      </c>
      <c r="Q752" s="82"/>
      <c r="R752" s="82"/>
      <c r="S752" s="82" t="s">
        <v>8066</v>
      </c>
      <c r="T752" s="138">
        <v>11.0</v>
      </c>
      <c r="U752" s="331" t="s">
        <v>8067</v>
      </c>
      <c r="V752" s="106">
        <v>0.0</v>
      </c>
      <c r="W752" s="107">
        <v>0.0</v>
      </c>
      <c r="X752" s="107">
        <v>0.0</v>
      </c>
      <c r="Y752" s="107">
        <v>0.0</v>
      </c>
      <c r="Z752" s="80">
        <v>0.0</v>
      </c>
      <c r="AA752" s="140">
        <v>0.0</v>
      </c>
      <c r="AB752" s="109">
        <v>0.0</v>
      </c>
      <c r="AC752" s="109">
        <v>0.0</v>
      </c>
      <c r="AD752" s="141">
        <v>0.0</v>
      </c>
      <c r="AE752" s="80">
        <v>0.0</v>
      </c>
      <c r="AF752" s="140">
        <v>161.0</v>
      </c>
      <c r="AG752" s="109">
        <v>44.0</v>
      </c>
      <c r="AH752" s="109">
        <v>0.0</v>
      </c>
      <c r="AI752" s="141">
        <v>62.0</v>
      </c>
      <c r="AJ752" s="80">
        <v>267.0</v>
      </c>
      <c r="AK752" s="140">
        <v>0.0</v>
      </c>
      <c r="AL752" s="109">
        <v>0.0</v>
      </c>
      <c r="AM752" s="141">
        <v>0.0</v>
      </c>
      <c r="AN752" s="80">
        <v>0.0</v>
      </c>
      <c r="AO752" s="140">
        <v>0.0</v>
      </c>
      <c r="AP752" s="109">
        <v>0.0</v>
      </c>
      <c r="AQ752" s="109">
        <v>70.0</v>
      </c>
      <c r="AR752" s="80">
        <v>70.0</v>
      </c>
      <c r="AS752" s="110">
        <v>0.0</v>
      </c>
      <c r="AT752" s="110">
        <v>0.0</v>
      </c>
      <c r="AU752" s="110">
        <v>0.0</v>
      </c>
      <c r="AV752" s="142">
        <v>0.0</v>
      </c>
      <c r="AW752" s="80">
        <v>0.0</v>
      </c>
      <c r="AX752" s="113">
        <v>337.0</v>
      </c>
      <c r="AY752" s="117">
        <v>267.0</v>
      </c>
      <c r="AZ752" s="328">
        <v>70.0</v>
      </c>
      <c r="BA752" s="315">
        <v>0.0</v>
      </c>
      <c r="BB752" s="316">
        <v>337.0</v>
      </c>
      <c r="BC752" s="132" t="s">
        <v>178</v>
      </c>
      <c r="BD752" s="132" t="s">
        <v>178</v>
      </c>
      <c r="BE752" s="132" t="s">
        <v>178</v>
      </c>
      <c r="BF752" s="123"/>
      <c r="BG752" s="83">
        <v>1165382.0</v>
      </c>
      <c r="BH752" s="112">
        <v>8.0</v>
      </c>
      <c r="BI752" s="98" t="s">
        <v>155</v>
      </c>
      <c r="BJ752" s="98" t="str">
        <f t="shared" si="1"/>
        <v>INTEGRAL</v>
      </c>
      <c r="BK752" s="98" t="str">
        <f t="shared" si="2"/>
        <v>NÃO</v>
      </c>
    </row>
    <row r="753" ht="15.75" customHeight="1">
      <c r="A753" s="111" t="s">
        <v>860</v>
      </c>
      <c r="B753" s="83" t="s">
        <v>3497</v>
      </c>
      <c r="C753" s="83" t="s">
        <v>68</v>
      </c>
      <c r="D753" s="83">
        <v>1129831.0</v>
      </c>
      <c r="E753" s="83"/>
      <c r="F753" s="83">
        <v>2.9001498E7</v>
      </c>
      <c r="G753" s="114" t="s">
        <v>8071</v>
      </c>
      <c r="H753" s="91" t="s">
        <v>3551</v>
      </c>
      <c r="I753" s="187" t="s">
        <v>149</v>
      </c>
      <c r="J753" s="136" t="s">
        <v>150</v>
      </c>
      <c r="K753" s="136" t="s">
        <v>151</v>
      </c>
      <c r="L753" s="83" t="s">
        <v>76</v>
      </c>
      <c r="M753" s="82" t="s">
        <v>8072</v>
      </c>
      <c r="N753" s="82" t="s">
        <v>171</v>
      </c>
      <c r="O753" s="82" t="s">
        <v>8073</v>
      </c>
      <c r="P753" s="82" t="s">
        <v>8075</v>
      </c>
      <c r="Q753" s="82"/>
      <c r="R753" s="82"/>
      <c r="S753" s="82" t="s">
        <v>8077</v>
      </c>
      <c r="T753" s="138">
        <v>12.0</v>
      </c>
      <c r="U753" s="323">
        <v>12.0</v>
      </c>
      <c r="V753" s="106">
        <v>0.0</v>
      </c>
      <c r="W753" s="107">
        <v>0.0</v>
      </c>
      <c r="X753" s="107">
        <v>0.0</v>
      </c>
      <c r="Y753" s="107">
        <v>0.0</v>
      </c>
      <c r="Z753" s="80">
        <v>0.0</v>
      </c>
      <c r="AA753" s="140">
        <v>0.0</v>
      </c>
      <c r="AB753" s="109">
        <v>330.0</v>
      </c>
      <c r="AC753" s="109">
        <v>0.0</v>
      </c>
      <c r="AD753" s="141">
        <v>0.0</v>
      </c>
      <c r="AE753" s="80">
        <v>330.0</v>
      </c>
      <c r="AF753" s="140">
        <v>338.0</v>
      </c>
      <c r="AG753" s="109">
        <v>0.0</v>
      </c>
      <c r="AH753" s="109">
        <v>0.0</v>
      </c>
      <c r="AI753" s="141">
        <v>0.0</v>
      </c>
      <c r="AJ753" s="80">
        <v>338.0</v>
      </c>
      <c r="AK753" s="140">
        <v>0.0</v>
      </c>
      <c r="AL753" s="109">
        <v>0.0</v>
      </c>
      <c r="AM753" s="141">
        <v>0.0</v>
      </c>
      <c r="AN753" s="80">
        <v>0.0</v>
      </c>
      <c r="AO753" s="140">
        <v>0.0</v>
      </c>
      <c r="AP753" s="109">
        <v>0.0</v>
      </c>
      <c r="AQ753" s="109">
        <v>0.0</v>
      </c>
      <c r="AR753" s="80">
        <v>0.0</v>
      </c>
      <c r="AS753" s="110">
        <v>0.0</v>
      </c>
      <c r="AT753" s="110">
        <v>0.0</v>
      </c>
      <c r="AU753" s="110">
        <v>0.0</v>
      </c>
      <c r="AV753" s="142">
        <v>0.0</v>
      </c>
      <c r="AW753" s="80">
        <v>0.0</v>
      </c>
      <c r="AX753" s="113">
        <v>668.0</v>
      </c>
      <c r="AY753" s="117">
        <v>668.0</v>
      </c>
      <c r="AZ753" s="328">
        <v>0.0</v>
      </c>
      <c r="BA753" s="315">
        <v>0.0</v>
      </c>
      <c r="BB753" s="316">
        <v>668.0</v>
      </c>
      <c r="BC753" s="143" t="s">
        <v>1014</v>
      </c>
      <c r="BD753" s="132" t="s">
        <v>178</v>
      </c>
      <c r="BE753" s="132" t="s">
        <v>178</v>
      </c>
      <c r="BF753" s="156"/>
      <c r="BG753" s="83">
        <v>1129831.0</v>
      </c>
      <c r="BH753" s="112">
        <v>12.0</v>
      </c>
      <c r="BI753" s="98" t="s">
        <v>155</v>
      </c>
      <c r="BJ753" s="98" t="str">
        <f t="shared" si="1"/>
        <v>NÃO</v>
      </c>
      <c r="BK753" s="98" t="str">
        <f t="shared" si="2"/>
        <v>NÃO</v>
      </c>
    </row>
    <row r="754" ht="15.75" customHeight="1">
      <c r="A754" s="111" t="s">
        <v>860</v>
      </c>
      <c r="B754" s="83" t="s">
        <v>3497</v>
      </c>
      <c r="C754" s="83" t="s">
        <v>68</v>
      </c>
      <c r="D754" s="83">
        <v>1129742.0</v>
      </c>
      <c r="E754" s="83"/>
      <c r="F754" s="83">
        <v>2.9000971E7</v>
      </c>
      <c r="G754" s="114" t="s">
        <v>3556</v>
      </c>
      <c r="H754" s="91" t="s">
        <v>3557</v>
      </c>
      <c r="I754" s="187" t="s">
        <v>149</v>
      </c>
      <c r="J754" s="136" t="s">
        <v>150</v>
      </c>
      <c r="K754" s="136" t="s">
        <v>151</v>
      </c>
      <c r="L754" s="83" t="s">
        <v>230</v>
      </c>
      <c r="M754" s="82" t="s">
        <v>8081</v>
      </c>
      <c r="N754" s="82" t="s">
        <v>8082</v>
      </c>
      <c r="O754" s="82" t="s">
        <v>8083</v>
      </c>
      <c r="P754" s="82" t="s">
        <v>8084</v>
      </c>
      <c r="Q754" s="82" t="s">
        <v>8085</v>
      </c>
      <c r="R754" s="82" t="s">
        <v>8087</v>
      </c>
      <c r="S754" s="82" t="s">
        <v>8088</v>
      </c>
      <c r="T754" s="138">
        <v>16.0</v>
      </c>
      <c r="U754" s="389">
        <v>15.0</v>
      </c>
      <c r="V754" s="106">
        <v>0.0</v>
      </c>
      <c r="W754" s="107">
        <v>0.0</v>
      </c>
      <c r="X754" s="107">
        <v>0.0</v>
      </c>
      <c r="Y754" s="107">
        <v>0.0</v>
      </c>
      <c r="Z754" s="80">
        <v>0.0</v>
      </c>
      <c r="AA754" s="140">
        <v>0.0</v>
      </c>
      <c r="AB754" s="109">
        <v>0.0</v>
      </c>
      <c r="AC754" s="109">
        <v>0.0</v>
      </c>
      <c r="AD754" s="141">
        <v>0.0</v>
      </c>
      <c r="AE754" s="80">
        <v>0.0</v>
      </c>
      <c r="AF754" s="140">
        <v>0.0</v>
      </c>
      <c r="AG754" s="109">
        <v>0.0</v>
      </c>
      <c r="AH754" s="109">
        <v>0.0</v>
      </c>
      <c r="AI754" s="141">
        <v>0.0</v>
      </c>
      <c r="AJ754" s="80">
        <v>0.0</v>
      </c>
      <c r="AK754" s="140">
        <v>0.0</v>
      </c>
      <c r="AL754" s="109">
        <v>0.0</v>
      </c>
      <c r="AM754" s="141">
        <v>0.0</v>
      </c>
      <c r="AN754" s="80">
        <v>0.0</v>
      </c>
      <c r="AO754" s="140">
        <v>0.0</v>
      </c>
      <c r="AP754" s="109">
        <v>0.0</v>
      </c>
      <c r="AQ754" s="109">
        <v>0.0</v>
      </c>
      <c r="AR754" s="80">
        <v>0.0</v>
      </c>
      <c r="AS754" s="110">
        <v>579.0</v>
      </c>
      <c r="AT754" s="110">
        <v>541.0</v>
      </c>
      <c r="AU754" s="110">
        <v>193.0</v>
      </c>
      <c r="AV754" s="142">
        <v>0.0</v>
      </c>
      <c r="AW754" s="80">
        <v>1313.0</v>
      </c>
      <c r="AX754" s="113">
        <v>1313.0</v>
      </c>
      <c r="AY754" s="117">
        <v>1120.0</v>
      </c>
      <c r="AZ754" s="328">
        <v>193.0</v>
      </c>
      <c r="BA754" s="315">
        <v>0.0</v>
      </c>
      <c r="BB754" s="316">
        <v>1313.0</v>
      </c>
      <c r="BC754" s="132" t="s">
        <v>178</v>
      </c>
      <c r="BD754" s="132" t="s">
        <v>522</v>
      </c>
      <c r="BE754" s="132" t="s">
        <v>178</v>
      </c>
      <c r="BF754" s="156"/>
      <c r="BG754" s="83">
        <v>1129742.0</v>
      </c>
      <c r="BH754" s="112">
        <v>15.0</v>
      </c>
      <c r="BI754" s="98" t="s">
        <v>155</v>
      </c>
      <c r="BJ754" s="98" t="str">
        <f t="shared" si="1"/>
        <v>NÃO</v>
      </c>
      <c r="BK754" s="98" t="str">
        <f t="shared" si="2"/>
        <v>PROFISSIONAL</v>
      </c>
    </row>
    <row r="755" ht="15.75" customHeight="1">
      <c r="A755" s="111" t="s">
        <v>860</v>
      </c>
      <c r="B755" s="83" t="s">
        <v>3497</v>
      </c>
      <c r="C755" s="83" t="s">
        <v>68</v>
      </c>
      <c r="D755" s="83">
        <v>1179339.0</v>
      </c>
      <c r="E755" s="83"/>
      <c r="F755" s="83">
        <v>2.946148E7</v>
      </c>
      <c r="G755" s="187" t="s">
        <v>3561</v>
      </c>
      <c r="H755" s="91" t="s">
        <v>8092</v>
      </c>
      <c r="I755" s="187" t="s">
        <v>8095</v>
      </c>
      <c r="J755" s="136" t="s">
        <v>150</v>
      </c>
      <c r="K755" s="136" t="s">
        <v>151</v>
      </c>
      <c r="L755" s="83" t="s">
        <v>230</v>
      </c>
      <c r="M755" s="82" t="s">
        <v>8097</v>
      </c>
      <c r="N755" s="82" t="s">
        <v>8098</v>
      </c>
      <c r="O755" s="82" t="s">
        <v>8099</v>
      </c>
      <c r="P755" s="82"/>
      <c r="Q755" s="82" t="s">
        <v>8100</v>
      </c>
      <c r="R755" s="82"/>
      <c r="S755" s="82"/>
      <c r="T755" s="138" t="s">
        <v>171</v>
      </c>
      <c r="U755" s="331" t="s">
        <v>533</v>
      </c>
      <c r="V755" s="355">
        <v>0.0</v>
      </c>
      <c r="W755" s="246">
        <v>0.0</v>
      </c>
      <c r="X755" s="246">
        <v>0.0</v>
      </c>
      <c r="Y755" s="246">
        <v>0.0</v>
      </c>
      <c r="Z755" s="80">
        <v>0.0</v>
      </c>
      <c r="AA755" s="140">
        <v>0.0</v>
      </c>
      <c r="AB755" s="109">
        <v>0.0</v>
      </c>
      <c r="AC755" s="109">
        <v>0.0</v>
      </c>
      <c r="AD755" s="141">
        <v>0.0</v>
      </c>
      <c r="AE755" s="80">
        <v>0.0</v>
      </c>
      <c r="AF755" s="140">
        <v>0.0</v>
      </c>
      <c r="AG755" s="109">
        <v>0.0</v>
      </c>
      <c r="AH755" s="109">
        <v>0.0</v>
      </c>
      <c r="AI755" s="141">
        <v>0.0</v>
      </c>
      <c r="AJ755" s="80">
        <v>0.0</v>
      </c>
      <c r="AK755" s="140">
        <v>0.0</v>
      </c>
      <c r="AL755" s="109">
        <v>0.0</v>
      </c>
      <c r="AM755" s="141">
        <v>0.0</v>
      </c>
      <c r="AN755" s="80">
        <v>0.0</v>
      </c>
      <c r="AO755" s="140">
        <v>0.0</v>
      </c>
      <c r="AP755" s="109">
        <v>0.0</v>
      </c>
      <c r="AQ755" s="109">
        <v>0.0</v>
      </c>
      <c r="AR755" s="80">
        <v>0.0</v>
      </c>
      <c r="AS755" s="110">
        <v>0.0</v>
      </c>
      <c r="AT755" s="110">
        <v>0.0</v>
      </c>
      <c r="AU755" s="110">
        <v>0.0</v>
      </c>
      <c r="AV755" s="142">
        <v>0.0</v>
      </c>
      <c r="AW755" s="80">
        <v>0.0</v>
      </c>
      <c r="AX755" s="113">
        <v>0.0</v>
      </c>
      <c r="AY755" s="117">
        <v>0.0</v>
      </c>
      <c r="AZ755" s="328">
        <v>0.0</v>
      </c>
      <c r="BA755" s="315">
        <v>0.0</v>
      </c>
      <c r="BB755" s="316">
        <v>0.0</v>
      </c>
      <c r="BC755" s="132" t="s">
        <v>178</v>
      </c>
      <c r="BD755" s="143" t="s">
        <v>227</v>
      </c>
      <c r="BE755" s="132" t="s">
        <v>178</v>
      </c>
      <c r="BF755" s="123" t="s">
        <v>534</v>
      </c>
      <c r="BG755" s="83">
        <v>1179339.0</v>
      </c>
      <c r="BH755" s="112">
        <v>0.0</v>
      </c>
      <c r="BI755" s="98" t="s">
        <v>155</v>
      </c>
      <c r="BJ755" s="98" t="str">
        <f t="shared" si="1"/>
        <v>NÃO</v>
      </c>
      <c r="BK755" s="98" t="str">
        <f t="shared" si="2"/>
        <v>NÃO</v>
      </c>
    </row>
    <row r="756" ht="15.75" customHeight="1">
      <c r="A756" s="111" t="s">
        <v>860</v>
      </c>
      <c r="B756" s="83" t="s">
        <v>3497</v>
      </c>
      <c r="C756" s="83" t="s">
        <v>68</v>
      </c>
      <c r="D756" s="83">
        <v>1179458.0</v>
      </c>
      <c r="E756" s="83"/>
      <c r="F756" s="83">
        <v>2.9468396E7</v>
      </c>
      <c r="G756" s="187" t="s">
        <v>3564</v>
      </c>
      <c r="H756" s="91" t="s">
        <v>3565</v>
      </c>
      <c r="I756" s="187" t="s">
        <v>3566</v>
      </c>
      <c r="J756" s="136" t="s">
        <v>150</v>
      </c>
      <c r="K756" s="136" t="s">
        <v>151</v>
      </c>
      <c r="L756" s="83" t="s">
        <v>230</v>
      </c>
      <c r="M756" s="82" t="s">
        <v>8102</v>
      </c>
      <c r="N756" s="82" t="s">
        <v>8103</v>
      </c>
      <c r="O756" s="82" t="s">
        <v>8104</v>
      </c>
      <c r="P756" s="82" t="s">
        <v>8105</v>
      </c>
      <c r="Q756" s="82"/>
      <c r="R756" s="82"/>
      <c r="S756" s="82"/>
      <c r="T756" s="138" t="s">
        <v>171</v>
      </c>
      <c r="U756" s="331" t="s">
        <v>8106</v>
      </c>
      <c r="V756" s="106">
        <v>0.0</v>
      </c>
      <c r="W756" s="107">
        <v>0.0</v>
      </c>
      <c r="X756" s="107">
        <v>0.0</v>
      </c>
      <c r="Y756" s="107">
        <v>0.0</v>
      </c>
      <c r="Z756" s="80">
        <v>0.0</v>
      </c>
      <c r="AA756" s="495">
        <v>0.0</v>
      </c>
      <c r="AB756" s="109">
        <v>0.0</v>
      </c>
      <c r="AC756" s="109">
        <v>0.0</v>
      </c>
      <c r="AD756" s="141">
        <v>0.0</v>
      </c>
      <c r="AE756" s="80">
        <v>0.0</v>
      </c>
      <c r="AF756" s="140">
        <v>0.0</v>
      </c>
      <c r="AG756" s="109">
        <v>0.0</v>
      </c>
      <c r="AH756" s="109">
        <v>0.0</v>
      </c>
      <c r="AI756" s="141">
        <v>0.0</v>
      </c>
      <c r="AJ756" s="80">
        <v>0.0</v>
      </c>
      <c r="AK756" s="140">
        <v>0.0</v>
      </c>
      <c r="AL756" s="109">
        <v>0.0</v>
      </c>
      <c r="AM756" s="141">
        <v>0.0</v>
      </c>
      <c r="AN756" s="80">
        <v>0.0</v>
      </c>
      <c r="AO756" s="140">
        <v>0.0</v>
      </c>
      <c r="AP756" s="109">
        <v>0.0</v>
      </c>
      <c r="AQ756" s="109">
        <v>0.0</v>
      </c>
      <c r="AR756" s="80">
        <v>0.0</v>
      </c>
      <c r="AS756" s="110">
        <v>0.0</v>
      </c>
      <c r="AT756" s="110">
        <v>0.0</v>
      </c>
      <c r="AU756" s="110">
        <v>0.0</v>
      </c>
      <c r="AV756" s="142">
        <v>0.0</v>
      </c>
      <c r="AW756" s="80">
        <v>0.0</v>
      </c>
      <c r="AX756" s="346">
        <v>2030.0</v>
      </c>
      <c r="AY756" s="347">
        <v>2030.0</v>
      </c>
      <c r="AZ756" s="348">
        <v>0.0</v>
      </c>
      <c r="BA756" s="349">
        <v>0.0</v>
      </c>
      <c r="BB756" s="316">
        <v>2030.0</v>
      </c>
      <c r="BC756" s="143" t="s">
        <v>547</v>
      </c>
      <c r="BD756" s="132" t="s">
        <v>178</v>
      </c>
      <c r="BE756" s="132" t="s">
        <v>178</v>
      </c>
      <c r="BF756" s="123"/>
      <c r="BG756" s="83">
        <v>1179458.0</v>
      </c>
      <c r="BH756" s="112">
        <v>7.0</v>
      </c>
      <c r="BI756" s="98" t="s">
        <v>155</v>
      </c>
      <c r="BJ756" s="98" t="str">
        <f t="shared" si="1"/>
        <v>NÃO</v>
      </c>
      <c r="BK756" s="98" t="str">
        <f t="shared" si="2"/>
        <v>NÃO</v>
      </c>
    </row>
    <row r="757" ht="15.75" customHeight="1">
      <c r="A757" s="111" t="s">
        <v>860</v>
      </c>
      <c r="B757" s="83" t="s">
        <v>3497</v>
      </c>
      <c r="C757" s="83" t="s">
        <v>164</v>
      </c>
      <c r="D757" s="83">
        <v>1129718.0</v>
      </c>
      <c r="E757" s="83">
        <v>1179673.0</v>
      </c>
      <c r="F757" s="83"/>
      <c r="G757" s="187" t="s">
        <v>3573</v>
      </c>
      <c r="H757" s="91" t="s">
        <v>3574</v>
      </c>
      <c r="I757" s="187" t="s">
        <v>149</v>
      </c>
      <c r="J757" s="136" t="s">
        <v>150</v>
      </c>
      <c r="K757" s="136" t="s">
        <v>168</v>
      </c>
      <c r="L757" s="136" t="s">
        <v>169</v>
      </c>
      <c r="M757" s="82" t="s">
        <v>8021</v>
      </c>
      <c r="N757" s="82" t="s">
        <v>8022</v>
      </c>
      <c r="O757" s="82" t="s">
        <v>8024</v>
      </c>
      <c r="P757" s="82" t="s">
        <v>8025</v>
      </c>
      <c r="Q757" s="82" t="s">
        <v>8026</v>
      </c>
      <c r="R757" s="82" t="s">
        <v>8027</v>
      </c>
      <c r="S757" s="82" t="s">
        <v>8028</v>
      </c>
      <c r="T757" s="138">
        <v>6.0</v>
      </c>
      <c r="U757" s="393">
        <v>3.0</v>
      </c>
      <c r="V757" s="106">
        <v>0.0</v>
      </c>
      <c r="W757" s="107">
        <v>0.0</v>
      </c>
      <c r="X757" s="107">
        <v>0.0</v>
      </c>
      <c r="Y757" s="107">
        <v>0.0</v>
      </c>
      <c r="Z757" s="80">
        <v>0.0</v>
      </c>
      <c r="AA757" s="140">
        <v>0.0</v>
      </c>
      <c r="AB757" s="109">
        <v>0.0</v>
      </c>
      <c r="AC757" s="109">
        <v>0.0</v>
      </c>
      <c r="AD757" s="141">
        <v>0.0</v>
      </c>
      <c r="AE757" s="80">
        <v>0.0</v>
      </c>
      <c r="AF757" s="140">
        <v>0.0</v>
      </c>
      <c r="AG757" s="109">
        <v>0.0</v>
      </c>
      <c r="AH757" s="109">
        <v>0.0</v>
      </c>
      <c r="AI757" s="141">
        <v>0.0</v>
      </c>
      <c r="AJ757" s="80">
        <v>0.0</v>
      </c>
      <c r="AK757" s="140">
        <v>54.0</v>
      </c>
      <c r="AL757" s="109">
        <v>42.0</v>
      </c>
      <c r="AM757" s="141">
        <v>11.0</v>
      </c>
      <c r="AN757" s="80">
        <v>107.0</v>
      </c>
      <c r="AO757" s="140">
        <v>13.0</v>
      </c>
      <c r="AP757" s="109">
        <v>0.0</v>
      </c>
      <c r="AQ757" s="109">
        <v>39.0</v>
      </c>
      <c r="AR757" s="80">
        <v>52.0</v>
      </c>
      <c r="AS757" s="110">
        <v>0.0</v>
      </c>
      <c r="AT757" s="110">
        <v>0.0</v>
      </c>
      <c r="AU757" s="110">
        <v>0.0</v>
      </c>
      <c r="AV757" s="142">
        <v>0.0</v>
      </c>
      <c r="AW757" s="80">
        <v>0.0</v>
      </c>
      <c r="AX757" s="113">
        <v>159.0</v>
      </c>
      <c r="AY757" s="117">
        <v>109.0</v>
      </c>
      <c r="AZ757" s="328">
        <v>50.0</v>
      </c>
      <c r="BA757" s="315">
        <v>0.0</v>
      </c>
      <c r="BB757" s="316">
        <v>159.0</v>
      </c>
      <c r="BC757" s="132" t="s">
        <v>563</v>
      </c>
      <c r="BD757" s="132" t="s">
        <v>178</v>
      </c>
      <c r="BE757" s="132" t="s">
        <v>178</v>
      </c>
      <c r="BF757" s="156"/>
      <c r="BG757" s="83">
        <v>1179673.0</v>
      </c>
      <c r="BH757" s="112">
        <v>3.0</v>
      </c>
      <c r="BI757" s="98" t="s">
        <v>155</v>
      </c>
      <c r="BJ757" s="98" t="str">
        <f t="shared" si="1"/>
        <v>NÃO</v>
      </c>
      <c r="BK757" s="98" t="str">
        <f t="shared" si="2"/>
        <v>NÃO</v>
      </c>
    </row>
    <row r="758" ht="15.75" customHeight="1">
      <c r="A758" s="111" t="s">
        <v>860</v>
      </c>
      <c r="B758" s="83" t="s">
        <v>3497</v>
      </c>
      <c r="C758" s="83" t="s">
        <v>164</v>
      </c>
      <c r="D758" s="83">
        <v>1179339.0</v>
      </c>
      <c r="E758" s="83">
        <v>1178869.0</v>
      </c>
      <c r="F758" s="83"/>
      <c r="G758" s="187" t="s">
        <v>3576</v>
      </c>
      <c r="H758" s="91" t="s">
        <v>3577</v>
      </c>
      <c r="I758" s="187" t="s">
        <v>149</v>
      </c>
      <c r="J758" s="136" t="s">
        <v>568</v>
      </c>
      <c r="K758" s="83" t="s">
        <v>168</v>
      </c>
      <c r="L758" s="136" t="s">
        <v>169</v>
      </c>
      <c r="M758" s="82" t="s">
        <v>8097</v>
      </c>
      <c r="N758" s="82" t="s">
        <v>8098</v>
      </c>
      <c r="O758" s="82" t="s">
        <v>8099</v>
      </c>
      <c r="P758" s="82"/>
      <c r="Q758" s="82" t="s">
        <v>8100</v>
      </c>
      <c r="R758" s="82"/>
      <c r="S758" s="82"/>
      <c r="T758" s="138">
        <v>3.0</v>
      </c>
      <c r="U758" s="389">
        <v>3.0</v>
      </c>
      <c r="V758" s="106">
        <v>0.0</v>
      </c>
      <c r="W758" s="107">
        <v>0.0</v>
      </c>
      <c r="X758" s="107">
        <v>0.0</v>
      </c>
      <c r="Y758" s="107">
        <v>0.0</v>
      </c>
      <c r="Z758" s="80">
        <v>0.0</v>
      </c>
      <c r="AA758" s="140">
        <v>0.0</v>
      </c>
      <c r="AB758" s="109">
        <v>0.0</v>
      </c>
      <c r="AC758" s="109">
        <v>0.0</v>
      </c>
      <c r="AD758" s="141">
        <v>0.0</v>
      </c>
      <c r="AE758" s="80">
        <v>0.0</v>
      </c>
      <c r="AF758" s="140">
        <v>0.0</v>
      </c>
      <c r="AG758" s="109">
        <v>0.0</v>
      </c>
      <c r="AH758" s="109">
        <v>71.0</v>
      </c>
      <c r="AI758" s="141">
        <v>0.0</v>
      </c>
      <c r="AJ758" s="80">
        <v>71.0</v>
      </c>
      <c r="AK758" s="140">
        <v>0.0</v>
      </c>
      <c r="AL758" s="109">
        <v>0.0</v>
      </c>
      <c r="AM758" s="141">
        <v>0.0</v>
      </c>
      <c r="AN758" s="80">
        <v>0.0</v>
      </c>
      <c r="AO758" s="140">
        <v>0.0</v>
      </c>
      <c r="AP758" s="109">
        <v>0.0</v>
      </c>
      <c r="AQ758" s="109">
        <v>0.0</v>
      </c>
      <c r="AR758" s="80">
        <v>0.0</v>
      </c>
      <c r="AS758" s="110">
        <v>0.0</v>
      </c>
      <c r="AT758" s="110">
        <v>0.0</v>
      </c>
      <c r="AU758" s="110">
        <v>0.0</v>
      </c>
      <c r="AV758" s="142">
        <v>0.0</v>
      </c>
      <c r="AW758" s="80">
        <v>0.0</v>
      </c>
      <c r="AX758" s="113">
        <v>71.0</v>
      </c>
      <c r="AY758" s="117">
        <v>0.0</v>
      </c>
      <c r="AZ758" s="328">
        <v>71.0</v>
      </c>
      <c r="BA758" s="315">
        <v>0.0</v>
      </c>
      <c r="BB758" s="316">
        <v>71.0</v>
      </c>
      <c r="BC758" s="132" t="s">
        <v>178</v>
      </c>
      <c r="BD758" s="143" t="s">
        <v>227</v>
      </c>
      <c r="BE758" s="132" t="s">
        <v>178</v>
      </c>
      <c r="BF758" s="361"/>
      <c r="BG758" s="83">
        <v>1178869.0</v>
      </c>
      <c r="BH758" s="112">
        <v>3.0</v>
      </c>
      <c r="BI758" s="98" t="s">
        <v>155</v>
      </c>
      <c r="BJ758" s="98" t="str">
        <f t="shared" si="1"/>
        <v>NÃO</v>
      </c>
      <c r="BK758" s="98" t="str">
        <f t="shared" si="2"/>
        <v>NÃO</v>
      </c>
    </row>
    <row r="759" ht="15.75" customHeight="1">
      <c r="A759" s="111" t="s">
        <v>860</v>
      </c>
      <c r="B759" s="83" t="s">
        <v>3497</v>
      </c>
      <c r="C759" s="83" t="s">
        <v>164</v>
      </c>
      <c r="D759" s="83">
        <v>1179339.0</v>
      </c>
      <c r="E759" s="83">
        <v>1179169.0</v>
      </c>
      <c r="F759" s="83"/>
      <c r="G759" s="114" t="s">
        <v>3580</v>
      </c>
      <c r="H759" s="91" t="s">
        <v>3581</v>
      </c>
      <c r="I759" s="114" t="s">
        <v>149</v>
      </c>
      <c r="J759" s="83" t="s">
        <v>244</v>
      </c>
      <c r="K759" s="83" t="s">
        <v>168</v>
      </c>
      <c r="L759" s="83" t="s">
        <v>169</v>
      </c>
      <c r="M759" s="82" t="s">
        <v>8097</v>
      </c>
      <c r="N759" s="82" t="s">
        <v>8098</v>
      </c>
      <c r="O759" s="82" t="s">
        <v>8099</v>
      </c>
      <c r="P759" s="82"/>
      <c r="Q759" s="82" t="s">
        <v>8100</v>
      </c>
      <c r="R759" s="82"/>
      <c r="S759" s="82"/>
      <c r="T759" s="138">
        <v>1.0</v>
      </c>
      <c r="U759" s="323">
        <v>1.0</v>
      </c>
      <c r="V759" s="106">
        <v>0.0</v>
      </c>
      <c r="W759" s="107">
        <v>0.0</v>
      </c>
      <c r="X759" s="107">
        <v>0.0</v>
      </c>
      <c r="Y759" s="107">
        <v>0.0</v>
      </c>
      <c r="Z759" s="80">
        <v>0.0</v>
      </c>
      <c r="AA759" s="140">
        <v>0.0</v>
      </c>
      <c r="AB759" s="109">
        <v>0.0</v>
      </c>
      <c r="AC759" s="109">
        <v>0.0</v>
      </c>
      <c r="AD759" s="141">
        <v>0.0</v>
      </c>
      <c r="AE759" s="80">
        <v>0.0</v>
      </c>
      <c r="AF759" s="140">
        <v>10.0</v>
      </c>
      <c r="AG759" s="109">
        <v>15.0</v>
      </c>
      <c r="AH759" s="109">
        <v>15.0</v>
      </c>
      <c r="AI759" s="141">
        <v>0.0</v>
      </c>
      <c r="AJ759" s="80">
        <v>40.0</v>
      </c>
      <c r="AK759" s="140">
        <v>0.0</v>
      </c>
      <c r="AL759" s="109">
        <v>0.0</v>
      </c>
      <c r="AM759" s="141">
        <v>0.0</v>
      </c>
      <c r="AN759" s="80">
        <v>0.0</v>
      </c>
      <c r="AO759" s="140">
        <v>0.0</v>
      </c>
      <c r="AP759" s="109">
        <v>0.0</v>
      </c>
      <c r="AQ759" s="109">
        <v>0.0</v>
      </c>
      <c r="AR759" s="80">
        <v>0.0</v>
      </c>
      <c r="AS759" s="110">
        <v>0.0</v>
      </c>
      <c r="AT759" s="110">
        <v>0.0</v>
      </c>
      <c r="AU759" s="110">
        <v>0.0</v>
      </c>
      <c r="AV759" s="142">
        <v>0.0</v>
      </c>
      <c r="AW759" s="80">
        <v>0.0</v>
      </c>
      <c r="AX759" s="113">
        <v>40.0</v>
      </c>
      <c r="AY759" s="117">
        <v>25.0</v>
      </c>
      <c r="AZ759" s="328">
        <v>15.0</v>
      </c>
      <c r="BA759" s="315">
        <v>0.0</v>
      </c>
      <c r="BB759" s="316">
        <v>40.0</v>
      </c>
      <c r="BC759" s="132" t="s">
        <v>178</v>
      </c>
      <c r="BD759" s="143" t="s">
        <v>227</v>
      </c>
      <c r="BE759" s="132" t="s">
        <v>178</v>
      </c>
      <c r="BF759" s="156"/>
      <c r="BG759" s="83">
        <v>1179169.0</v>
      </c>
      <c r="BH759" s="112">
        <v>1.0</v>
      </c>
      <c r="BI759" s="98" t="s">
        <v>155</v>
      </c>
      <c r="BJ759" s="98" t="str">
        <f t="shared" si="1"/>
        <v>NÃO</v>
      </c>
      <c r="BK759" s="98" t="str">
        <f t="shared" si="2"/>
        <v>NÃO</v>
      </c>
    </row>
    <row r="760" ht="15.75" customHeight="1">
      <c r="A760" s="111" t="s">
        <v>860</v>
      </c>
      <c r="B760" s="83" t="s">
        <v>3497</v>
      </c>
      <c r="C760" s="83" t="s">
        <v>164</v>
      </c>
      <c r="D760" s="83">
        <v>1179339.0</v>
      </c>
      <c r="E760" s="83">
        <v>1179265.0</v>
      </c>
      <c r="F760" s="83"/>
      <c r="G760" s="114" t="s">
        <v>3584</v>
      </c>
      <c r="H760" s="91" t="s">
        <v>3585</v>
      </c>
      <c r="I760" s="114" t="s">
        <v>149</v>
      </c>
      <c r="J760" s="83" t="s">
        <v>694</v>
      </c>
      <c r="K760" s="83" t="s">
        <v>168</v>
      </c>
      <c r="L760" s="83" t="s">
        <v>169</v>
      </c>
      <c r="M760" s="82" t="s">
        <v>8097</v>
      </c>
      <c r="N760" s="82" t="s">
        <v>8098</v>
      </c>
      <c r="O760" s="82" t="s">
        <v>8099</v>
      </c>
      <c r="P760" s="82"/>
      <c r="Q760" s="82" t="s">
        <v>8100</v>
      </c>
      <c r="R760" s="82"/>
      <c r="S760" s="82"/>
      <c r="T760" s="138">
        <v>2.0</v>
      </c>
      <c r="U760" s="323">
        <v>2.0</v>
      </c>
      <c r="V760" s="106">
        <v>0.0</v>
      </c>
      <c r="W760" s="107">
        <v>0.0</v>
      </c>
      <c r="X760" s="107">
        <v>0.0</v>
      </c>
      <c r="Y760" s="107">
        <v>0.0</v>
      </c>
      <c r="Z760" s="80">
        <v>0.0</v>
      </c>
      <c r="AA760" s="140">
        <v>0.0</v>
      </c>
      <c r="AB760" s="109">
        <v>0.0</v>
      </c>
      <c r="AC760" s="109">
        <v>0.0</v>
      </c>
      <c r="AD760" s="141">
        <v>0.0</v>
      </c>
      <c r="AE760" s="80">
        <v>0.0</v>
      </c>
      <c r="AF760" s="140">
        <v>0.0</v>
      </c>
      <c r="AG760" s="109">
        <v>0.0</v>
      </c>
      <c r="AH760" s="109">
        <v>20.0</v>
      </c>
      <c r="AI760" s="141">
        <v>0.0</v>
      </c>
      <c r="AJ760" s="80">
        <v>20.0</v>
      </c>
      <c r="AK760" s="140">
        <v>0.0</v>
      </c>
      <c r="AL760" s="109">
        <v>0.0</v>
      </c>
      <c r="AM760" s="141">
        <v>0.0</v>
      </c>
      <c r="AN760" s="80">
        <v>0.0</v>
      </c>
      <c r="AO760" s="140">
        <v>0.0</v>
      </c>
      <c r="AP760" s="109">
        <v>0.0</v>
      </c>
      <c r="AQ760" s="109">
        <v>0.0</v>
      </c>
      <c r="AR760" s="80">
        <v>0.0</v>
      </c>
      <c r="AS760" s="110">
        <v>0.0</v>
      </c>
      <c r="AT760" s="110">
        <v>0.0</v>
      </c>
      <c r="AU760" s="110">
        <v>0.0</v>
      </c>
      <c r="AV760" s="142">
        <v>0.0</v>
      </c>
      <c r="AW760" s="80">
        <v>0.0</v>
      </c>
      <c r="AX760" s="113">
        <v>20.0</v>
      </c>
      <c r="AY760" s="117">
        <v>0.0</v>
      </c>
      <c r="AZ760" s="328">
        <v>20.0</v>
      </c>
      <c r="BA760" s="315">
        <v>0.0</v>
      </c>
      <c r="BB760" s="316">
        <v>20.0</v>
      </c>
      <c r="BC760" s="132" t="s">
        <v>178</v>
      </c>
      <c r="BD760" s="143" t="s">
        <v>227</v>
      </c>
      <c r="BE760" s="132" t="s">
        <v>178</v>
      </c>
      <c r="BF760" s="123"/>
      <c r="BG760" s="83">
        <v>1179265.0</v>
      </c>
      <c r="BH760" s="112">
        <v>2.0</v>
      </c>
      <c r="BI760" s="98" t="s">
        <v>155</v>
      </c>
      <c r="BJ760" s="98" t="str">
        <f t="shared" si="1"/>
        <v>NÃO</v>
      </c>
      <c r="BK760" s="98" t="str">
        <f t="shared" si="2"/>
        <v>NÃO</v>
      </c>
    </row>
    <row r="761" ht="15.75" customHeight="1">
      <c r="A761" s="111" t="s">
        <v>860</v>
      </c>
      <c r="B761" s="83" t="s">
        <v>3591</v>
      </c>
      <c r="C761" s="83" t="s">
        <v>68</v>
      </c>
      <c r="D761" s="83">
        <v>1178003.0</v>
      </c>
      <c r="E761" s="83"/>
      <c r="F761" s="83">
        <v>2.941869E7</v>
      </c>
      <c r="G761" s="114" t="s">
        <v>8125</v>
      </c>
      <c r="H761" s="91" t="s">
        <v>3593</v>
      </c>
      <c r="I761" s="114" t="s">
        <v>149</v>
      </c>
      <c r="J761" s="83" t="s">
        <v>150</v>
      </c>
      <c r="K761" s="83" t="s">
        <v>151</v>
      </c>
      <c r="L761" s="83" t="s">
        <v>76</v>
      </c>
      <c r="M761" s="82" t="s">
        <v>8126</v>
      </c>
      <c r="N761" s="82" t="s">
        <v>8128</v>
      </c>
      <c r="O761" s="82" t="s">
        <v>8130</v>
      </c>
      <c r="P761" s="82" t="s">
        <v>8132</v>
      </c>
      <c r="Q761" s="82" t="s">
        <v>8134</v>
      </c>
      <c r="R761" s="82"/>
      <c r="S761" s="82" t="s">
        <v>8135</v>
      </c>
      <c r="T761" s="138">
        <v>9.0</v>
      </c>
      <c r="U761" s="331" t="s">
        <v>8137</v>
      </c>
      <c r="V761" s="106">
        <v>0.0</v>
      </c>
      <c r="W761" s="107">
        <v>0.0</v>
      </c>
      <c r="X761" s="107">
        <v>0.0</v>
      </c>
      <c r="Y761" s="107">
        <v>0.0</v>
      </c>
      <c r="Z761" s="80">
        <v>0.0</v>
      </c>
      <c r="AA761" s="140">
        <v>0.0</v>
      </c>
      <c r="AB761" s="109">
        <v>0.0</v>
      </c>
      <c r="AC761" s="109">
        <v>0.0</v>
      </c>
      <c r="AD761" s="141">
        <v>0.0</v>
      </c>
      <c r="AE761" s="80">
        <v>0.0</v>
      </c>
      <c r="AF761" s="140">
        <v>291.0</v>
      </c>
      <c r="AG761" s="109">
        <v>117.0</v>
      </c>
      <c r="AH761" s="109">
        <v>38.0</v>
      </c>
      <c r="AI761" s="141">
        <v>45.0</v>
      </c>
      <c r="AJ761" s="80">
        <v>491.0</v>
      </c>
      <c r="AK761" s="140">
        <v>0.0</v>
      </c>
      <c r="AL761" s="109">
        <v>0.0</v>
      </c>
      <c r="AM761" s="141">
        <v>0.0</v>
      </c>
      <c r="AN761" s="80">
        <v>0.0</v>
      </c>
      <c r="AO761" s="140">
        <v>0.0</v>
      </c>
      <c r="AP761" s="109">
        <v>0.0</v>
      </c>
      <c r="AQ761" s="109">
        <v>51.0</v>
      </c>
      <c r="AR761" s="80">
        <v>51.0</v>
      </c>
      <c r="AS761" s="110">
        <v>0.0</v>
      </c>
      <c r="AT761" s="110">
        <v>22.0</v>
      </c>
      <c r="AU761" s="110">
        <v>0.0</v>
      </c>
      <c r="AV761" s="142">
        <v>0.0</v>
      </c>
      <c r="AW761" s="80">
        <v>22.0</v>
      </c>
      <c r="AX761" s="113">
        <v>564.0</v>
      </c>
      <c r="AY761" s="117">
        <v>475.0</v>
      </c>
      <c r="AZ761" s="328">
        <v>89.0</v>
      </c>
      <c r="BA761" s="315">
        <v>0.0</v>
      </c>
      <c r="BB761" s="316">
        <v>564.0</v>
      </c>
      <c r="BC761" s="132" t="s">
        <v>178</v>
      </c>
      <c r="BD761" s="132" t="s">
        <v>178</v>
      </c>
      <c r="BE761" s="132" t="s">
        <v>178</v>
      </c>
      <c r="BF761" s="123"/>
      <c r="BG761" s="83">
        <v>1178003.0</v>
      </c>
      <c r="BH761" s="112">
        <v>9.0</v>
      </c>
      <c r="BI761" s="98" t="s">
        <v>155</v>
      </c>
      <c r="BJ761" s="98" t="str">
        <f t="shared" si="1"/>
        <v>INTEGRAL</v>
      </c>
      <c r="BK761" s="98" t="str">
        <f t="shared" si="2"/>
        <v>PROFISSIONAL</v>
      </c>
    </row>
    <row r="762" ht="15.75" customHeight="1">
      <c r="A762" s="111" t="s">
        <v>860</v>
      </c>
      <c r="B762" s="83" t="s">
        <v>3591</v>
      </c>
      <c r="C762" s="83" t="s">
        <v>164</v>
      </c>
      <c r="D762" s="83">
        <v>1179339.0</v>
      </c>
      <c r="E762" s="83">
        <v>1178823.0</v>
      </c>
      <c r="F762" s="83"/>
      <c r="G762" s="114" t="s">
        <v>3595</v>
      </c>
      <c r="H762" s="91" t="s">
        <v>3596</v>
      </c>
      <c r="I762" s="114" t="s">
        <v>3597</v>
      </c>
      <c r="J762" s="83" t="s">
        <v>222</v>
      </c>
      <c r="K762" s="83" t="s">
        <v>168</v>
      </c>
      <c r="L762" s="83" t="s">
        <v>169</v>
      </c>
      <c r="M762" s="82" t="s">
        <v>8097</v>
      </c>
      <c r="N762" s="82" t="s">
        <v>8098</v>
      </c>
      <c r="O762" s="82" t="s">
        <v>8099</v>
      </c>
      <c r="P762" s="82"/>
      <c r="Q762" s="82" t="s">
        <v>8100</v>
      </c>
      <c r="R762" s="82"/>
      <c r="S762" s="82"/>
      <c r="T762" s="138">
        <v>1.0</v>
      </c>
      <c r="U762" s="323">
        <v>1.0</v>
      </c>
      <c r="V762" s="106">
        <v>0.0</v>
      </c>
      <c r="W762" s="107">
        <v>0.0</v>
      </c>
      <c r="X762" s="107">
        <v>0.0</v>
      </c>
      <c r="Y762" s="107">
        <v>0.0</v>
      </c>
      <c r="Z762" s="80">
        <v>0.0</v>
      </c>
      <c r="AA762" s="140">
        <v>0.0</v>
      </c>
      <c r="AB762" s="109">
        <v>0.0</v>
      </c>
      <c r="AC762" s="109">
        <v>0.0</v>
      </c>
      <c r="AD762" s="141">
        <v>0.0</v>
      </c>
      <c r="AE762" s="80">
        <v>0.0</v>
      </c>
      <c r="AF762" s="140">
        <v>16.0</v>
      </c>
      <c r="AG762" s="109">
        <v>20.0</v>
      </c>
      <c r="AH762" s="109">
        <v>19.0</v>
      </c>
      <c r="AI762" s="141">
        <v>0.0</v>
      </c>
      <c r="AJ762" s="80">
        <v>55.0</v>
      </c>
      <c r="AK762" s="140">
        <v>0.0</v>
      </c>
      <c r="AL762" s="109">
        <v>0.0</v>
      </c>
      <c r="AM762" s="141">
        <v>0.0</v>
      </c>
      <c r="AN762" s="80">
        <v>0.0</v>
      </c>
      <c r="AO762" s="140">
        <v>0.0</v>
      </c>
      <c r="AP762" s="109">
        <v>0.0</v>
      </c>
      <c r="AQ762" s="109">
        <v>0.0</v>
      </c>
      <c r="AR762" s="80">
        <v>0.0</v>
      </c>
      <c r="AS762" s="110">
        <v>0.0</v>
      </c>
      <c r="AT762" s="110">
        <v>0.0</v>
      </c>
      <c r="AU762" s="110">
        <v>0.0</v>
      </c>
      <c r="AV762" s="142">
        <v>0.0</v>
      </c>
      <c r="AW762" s="80">
        <v>0.0</v>
      </c>
      <c r="AX762" s="113">
        <v>55.0</v>
      </c>
      <c r="AY762" s="117">
        <v>36.0</v>
      </c>
      <c r="AZ762" s="328">
        <v>19.0</v>
      </c>
      <c r="BA762" s="315">
        <v>0.0</v>
      </c>
      <c r="BB762" s="316">
        <v>55.0</v>
      </c>
      <c r="BC762" s="132" t="s">
        <v>178</v>
      </c>
      <c r="BD762" s="143" t="s">
        <v>227</v>
      </c>
      <c r="BE762" s="132" t="s">
        <v>178</v>
      </c>
      <c r="BF762" s="156"/>
      <c r="BG762" s="83">
        <v>1178823.0</v>
      </c>
      <c r="BH762" s="112">
        <v>1.0</v>
      </c>
      <c r="BI762" s="98" t="s">
        <v>155</v>
      </c>
      <c r="BJ762" s="98" t="str">
        <f t="shared" si="1"/>
        <v>NÃO</v>
      </c>
      <c r="BK762" s="98" t="str">
        <f t="shared" si="2"/>
        <v>NÃO</v>
      </c>
    </row>
    <row r="763" ht="15.75" customHeight="1">
      <c r="A763" s="111" t="s">
        <v>860</v>
      </c>
      <c r="B763" s="83" t="s">
        <v>3591</v>
      </c>
      <c r="C763" s="83" t="s">
        <v>164</v>
      </c>
      <c r="D763" s="83">
        <v>1179339.0</v>
      </c>
      <c r="E763" s="83">
        <v>1179334.0</v>
      </c>
      <c r="F763" s="83"/>
      <c r="G763" s="114" t="s">
        <v>3598</v>
      </c>
      <c r="H763" s="91" t="s">
        <v>3599</v>
      </c>
      <c r="I763" s="187" t="s">
        <v>3600</v>
      </c>
      <c r="J763" s="83" t="s">
        <v>331</v>
      </c>
      <c r="K763" s="83" t="s">
        <v>168</v>
      </c>
      <c r="L763" s="83" t="s">
        <v>169</v>
      </c>
      <c r="M763" s="82" t="s">
        <v>8097</v>
      </c>
      <c r="N763" s="82" t="s">
        <v>8098</v>
      </c>
      <c r="O763" s="82" t="s">
        <v>8099</v>
      </c>
      <c r="P763" s="82"/>
      <c r="Q763" s="82" t="s">
        <v>8100</v>
      </c>
      <c r="R763" s="82"/>
      <c r="S763" s="82"/>
      <c r="T763" s="138">
        <v>1.0</v>
      </c>
      <c r="U763" s="496">
        <v>1.0</v>
      </c>
      <c r="V763" s="106">
        <v>0.0</v>
      </c>
      <c r="W763" s="107">
        <v>0.0</v>
      </c>
      <c r="X763" s="107">
        <v>0.0</v>
      </c>
      <c r="Y763" s="107">
        <v>0.0</v>
      </c>
      <c r="Z763" s="80">
        <v>0.0</v>
      </c>
      <c r="AA763" s="140">
        <v>0.0</v>
      </c>
      <c r="AB763" s="109">
        <v>0.0</v>
      </c>
      <c r="AC763" s="109">
        <v>0.0</v>
      </c>
      <c r="AD763" s="141">
        <v>0.0</v>
      </c>
      <c r="AE763" s="80">
        <v>0.0</v>
      </c>
      <c r="AF763" s="140">
        <v>17.0</v>
      </c>
      <c r="AG763" s="109">
        <v>13.0</v>
      </c>
      <c r="AH763" s="109">
        <v>0.0</v>
      </c>
      <c r="AI763" s="141">
        <v>0.0</v>
      </c>
      <c r="AJ763" s="80">
        <v>30.0</v>
      </c>
      <c r="AK763" s="140">
        <v>0.0</v>
      </c>
      <c r="AL763" s="109">
        <v>0.0</v>
      </c>
      <c r="AM763" s="141">
        <v>0.0</v>
      </c>
      <c r="AN763" s="80">
        <v>0.0</v>
      </c>
      <c r="AO763" s="140">
        <v>0.0</v>
      </c>
      <c r="AP763" s="109">
        <v>0.0</v>
      </c>
      <c r="AQ763" s="109">
        <v>0.0</v>
      </c>
      <c r="AR763" s="80">
        <v>0.0</v>
      </c>
      <c r="AS763" s="110">
        <v>0.0</v>
      </c>
      <c r="AT763" s="110">
        <v>0.0</v>
      </c>
      <c r="AU763" s="110">
        <v>0.0</v>
      </c>
      <c r="AV763" s="142">
        <v>0.0</v>
      </c>
      <c r="AW763" s="80">
        <v>0.0</v>
      </c>
      <c r="AX763" s="113">
        <v>30.0</v>
      </c>
      <c r="AY763" s="117">
        <v>30.0</v>
      </c>
      <c r="AZ763" s="328">
        <v>0.0</v>
      </c>
      <c r="BA763" s="315">
        <v>0.0</v>
      </c>
      <c r="BB763" s="316">
        <v>30.0</v>
      </c>
      <c r="BC763" s="132" t="s">
        <v>178</v>
      </c>
      <c r="BD763" s="143" t="s">
        <v>227</v>
      </c>
      <c r="BE763" s="132" t="s">
        <v>178</v>
      </c>
      <c r="BF763" s="156"/>
      <c r="BG763" s="83">
        <v>1179334.0</v>
      </c>
      <c r="BH763" s="112">
        <v>1.0</v>
      </c>
      <c r="BI763" s="98" t="s">
        <v>155</v>
      </c>
      <c r="BJ763" s="98" t="str">
        <f t="shared" si="1"/>
        <v>NÃO</v>
      </c>
      <c r="BK763" s="98" t="str">
        <f t="shared" si="2"/>
        <v>NÃO</v>
      </c>
    </row>
    <row r="764" ht="15.75" customHeight="1">
      <c r="A764" s="111" t="s">
        <v>860</v>
      </c>
      <c r="B764" s="83" t="s">
        <v>3591</v>
      </c>
      <c r="C764" s="83" t="s">
        <v>164</v>
      </c>
      <c r="D764" s="83">
        <v>1179339.0</v>
      </c>
      <c r="E764" s="83">
        <v>1178826.0</v>
      </c>
      <c r="F764" s="83"/>
      <c r="G764" s="114" t="s">
        <v>3601</v>
      </c>
      <c r="H764" s="91" t="s">
        <v>3602</v>
      </c>
      <c r="I764" s="114" t="s">
        <v>3603</v>
      </c>
      <c r="J764" s="83" t="s">
        <v>3227</v>
      </c>
      <c r="K764" s="83" t="s">
        <v>168</v>
      </c>
      <c r="L764" s="83" t="s">
        <v>169</v>
      </c>
      <c r="M764" s="82" t="s">
        <v>8097</v>
      </c>
      <c r="N764" s="82" t="s">
        <v>8098</v>
      </c>
      <c r="O764" s="82" t="s">
        <v>8099</v>
      </c>
      <c r="P764" s="82"/>
      <c r="Q764" s="82" t="s">
        <v>8100</v>
      </c>
      <c r="R764" s="82"/>
      <c r="S764" s="82"/>
      <c r="T764" s="138">
        <v>1.0</v>
      </c>
      <c r="U764" s="341">
        <v>1.0</v>
      </c>
      <c r="V764" s="106">
        <v>0.0</v>
      </c>
      <c r="W764" s="107">
        <v>0.0</v>
      </c>
      <c r="X764" s="107">
        <v>0.0</v>
      </c>
      <c r="Y764" s="107">
        <v>0.0</v>
      </c>
      <c r="Z764" s="80">
        <v>0.0</v>
      </c>
      <c r="AA764" s="140">
        <v>0.0</v>
      </c>
      <c r="AB764" s="109">
        <v>0.0</v>
      </c>
      <c r="AC764" s="109">
        <v>0.0</v>
      </c>
      <c r="AD764" s="141">
        <v>0.0</v>
      </c>
      <c r="AE764" s="80">
        <v>0.0</v>
      </c>
      <c r="AF764" s="140">
        <v>21.0</v>
      </c>
      <c r="AG764" s="109">
        <v>27.0</v>
      </c>
      <c r="AH764" s="109">
        <v>20.0</v>
      </c>
      <c r="AI764" s="141">
        <v>0.0</v>
      </c>
      <c r="AJ764" s="80">
        <v>68.0</v>
      </c>
      <c r="AK764" s="140">
        <v>0.0</v>
      </c>
      <c r="AL764" s="109">
        <v>0.0</v>
      </c>
      <c r="AM764" s="141">
        <v>0.0</v>
      </c>
      <c r="AN764" s="80">
        <v>0.0</v>
      </c>
      <c r="AO764" s="140">
        <v>0.0</v>
      </c>
      <c r="AP764" s="109">
        <v>0.0</v>
      </c>
      <c r="AQ764" s="109">
        <v>0.0</v>
      </c>
      <c r="AR764" s="80">
        <v>0.0</v>
      </c>
      <c r="AS764" s="110">
        <v>0.0</v>
      </c>
      <c r="AT764" s="110">
        <v>0.0</v>
      </c>
      <c r="AU764" s="110">
        <v>0.0</v>
      </c>
      <c r="AV764" s="142">
        <v>0.0</v>
      </c>
      <c r="AW764" s="80">
        <v>0.0</v>
      </c>
      <c r="AX764" s="113">
        <v>68.0</v>
      </c>
      <c r="AY764" s="117">
        <v>48.0</v>
      </c>
      <c r="AZ764" s="328">
        <v>20.0</v>
      </c>
      <c r="BA764" s="315">
        <v>0.0</v>
      </c>
      <c r="BB764" s="316">
        <v>68.0</v>
      </c>
      <c r="BC764" s="132" t="s">
        <v>178</v>
      </c>
      <c r="BD764" s="143" t="s">
        <v>227</v>
      </c>
      <c r="BE764" s="132" t="s">
        <v>178</v>
      </c>
      <c r="BF764" s="123"/>
      <c r="BG764" s="83">
        <v>1178826.0</v>
      </c>
      <c r="BH764" s="112">
        <v>1.0</v>
      </c>
      <c r="BI764" s="98" t="s">
        <v>155</v>
      </c>
      <c r="BJ764" s="98" t="str">
        <f t="shared" si="1"/>
        <v>NÃO</v>
      </c>
      <c r="BK764" s="98" t="str">
        <f t="shared" si="2"/>
        <v>NÃO</v>
      </c>
    </row>
    <row r="765" ht="15.75" customHeight="1">
      <c r="A765" s="111" t="s">
        <v>860</v>
      </c>
      <c r="B765" s="83" t="s">
        <v>3591</v>
      </c>
      <c r="C765" s="83" t="s">
        <v>164</v>
      </c>
      <c r="D765" s="83">
        <v>1179339.0</v>
      </c>
      <c r="E765" s="83">
        <v>1178825.0</v>
      </c>
      <c r="F765" s="83"/>
      <c r="G765" s="114" t="s">
        <v>3604</v>
      </c>
      <c r="H765" s="91" t="s">
        <v>3605</v>
      </c>
      <c r="I765" s="187" t="s">
        <v>3606</v>
      </c>
      <c r="J765" s="83" t="s">
        <v>315</v>
      </c>
      <c r="K765" s="83" t="s">
        <v>168</v>
      </c>
      <c r="L765" s="83" t="s">
        <v>169</v>
      </c>
      <c r="M765" s="82" t="s">
        <v>8097</v>
      </c>
      <c r="N765" s="82" t="s">
        <v>8098</v>
      </c>
      <c r="O765" s="82" t="s">
        <v>8099</v>
      </c>
      <c r="P765" s="82"/>
      <c r="Q765" s="82" t="s">
        <v>8100</v>
      </c>
      <c r="R765" s="82"/>
      <c r="S765" s="82"/>
      <c r="T765" s="138">
        <v>1.0</v>
      </c>
      <c r="U765" s="341">
        <v>1.0</v>
      </c>
      <c r="V765" s="106">
        <v>0.0</v>
      </c>
      <c r="W765" s="107">
        <v>0.0</v>
      </c>
      <c r="X765" s="107">
        <v>0.0</v>
      </c>
      <c r="Y765" s="107">
        <v>0.0</v>
      </c>
      <c r="Z765" s="80">
        <v>0.0</v>
      </c>
      <c r="AA765" s="140">
        <v>0.0</v>
      </c>
      <c r="AB765" s="109">
        <v>0.0</v>
      </c>
      <c r="AC765" s="109">
        <v>0.0</v>
      </c>
      <c r="AD765" s="141">
        <v>0.0</v>
      </c>
      <c r="AE765" s="80">
        <v>0.0</v>
      </c>
      <c r="AF765" s="140">
        <v>12.0</v>
      </c>
      <c r="AG765" s="109">
        <v>15.0</v>
      </c>
      <c r="AH765" s="109">
        <v>13.0</v>
      </c>
      <c r="AI765" s="141">
        <v>0.0</v>
      </c>
      <c r="AJ765" s="80">
        <v>40.0</v>
      </c>
      <c r="AK765" s="140">
        <v>0.0</v>
      </c>
      <c r="AL765" s="109">
        <v>0.0</v>
      </c>
      <c r="AM765" s="141">
        <v>0.0</v>
      </c>
      <c r="AN765" s="80">
        <v>0.0</v>
      </c>
      <c r="AO765" s="140">
        <v>0.0</v>
      </c>
      <c r="AP765" s="109">
        <v>0.0</v>
      </c>
      <c r="AQ765" s="109">
        <v>0.0</v>
      </c>
      <c r="AR765" s="80">
        <v>0.0</v>
      </c>
      <c r="AS765" s="110">
        <v>0.0</v>
      </c>
      <c r="AT765" s="110">
        <v>0.0</v>
      </c>
      <c r="AU765" s="110">
        <v>0.0</v>
      </c>
      <c r="AV765" s="142">
        <v>0.0</v>
      </c>
      <c r="AW765" s="80">
        <v>0.0</v>
      </c>
      <c r="AX765" s="113">
        <v>40.0</v>
      </c>
      <c r="AY765" s="117">
        <v>27.0</v>
      </c>
      <c r="AZ765" s="328">
        <v>13.0</v>
      </c>
      <c r="BA765" s="315">
        <v>0.0</v>
      </c>
      <c r="BB765" s="316">
        <v>40.0</v>
      </c>
      <c r="BC765" s="132" t="s">
        <v>178</v>
      </c>
      <c r="BD765" s="143" t="s">
        <v>227</v>
      </c>
      <c r="BE765" s="132" t="s">
        <v>178</v>
      </c>
      <c r="BF765" s="156"/>
      <c r="BG765" s="83">
        <v>1178825.0</v>
      </c>
      <c r="BH765" s="112">
        <v>1.0</v>
      </c>
      <c r="BI765" s="98" t="s">
        <v>155</v>
      </c>
      <c r="BJ765" s="98" t="str">
        <f t="shared" si="1"/>
        <v>NÃO</v>
      </c>
      <c r="BK765" s="98" t="str">
        <f t="shared" si="2"/>
        <v>NÃO</v>
      </c>
    </row>
    <row r="766" ht="15.75" customHeight="1">
      <c r="A766" s="111" t="s">
        <v>860</v>
      </c>
      <c r="B766" s="83" t="s">
        <v>3591</v>
      </c>
      <c r="C766" s="83" t="s">
        <v>164</v>
      </c>
      <c r="D766" s="83">
        <v>1179339.0</v>
      </c>
      <c r="E766" s="83">
        <v>1178822.0</v>
      </c>
      <c r="F766" s="83"/>
      <c r="G766" s="114" t="s">
        <v>3607</v>
      </c>
      <c r="H766" s="91" t="s">
        <v>3608</v>
      </c>
      <c r="I766" s="114" t="s">
        <v>3609</v>
      </c>
      <c r="J766" s="83" t="s">
        <v>331</v>
      </c>
      <c r="K766" s="83" t="s">
        <v>168</v>
      </c>
      <c r="L766" s="83" t="s">
        <v>169</v>
      </c>
      <c r="M766" s="82" t="s">
        <v>8097</v>
      </c>
      <c r="N766" s="82" t="s">
        <v>8098</v>
      </c>
      <c r="O766" s="82" t="s">
        <v>8099</v>
      </c>
      <c r="P766" s="82"/>
      <c r="Q766" s="82" t="s">
        <v>8100</v>
      </c>
      <c r="R766" s="82"/>
      <c r="S766" s="82"/>
      <c r="T766" s="138">
        <v>1.0</v>
      </c>
      <c r="U766" s="341">
        <v>1.0</v>
      </c>
      <c r="V766" s="106">
        <v>0.0</v>
      </c>
      <c r="W766" s="107">
        <v>0.0</v>
      </c>
      <c r="X766" s="107">
        <v>0.0</v>
      </c>
      <c r="Y766" s="107">
        <v>0.0</v>
      </c>
      <c r="Z766" s="80">
        <v>0.0</v>
      </c>
      <c r="AA766" s="140">
        <v>0.0</v>
      </c>
      <c r="AB766" s="109">
        <v>0.0</v>
      </c>
      <c r="AC766" s="109">
        <v>0.0</v>
      </c>
      <c r="AD766" s="141">
        <v>0.0</v>
      </c>
      <c r="AE766" s="80">
        <v>0.0</v>
      </c>
      <c r="AF766" s="140">
        <v>9.0</v>
      </c>
      <c r="AG766" s="109">
        <v>17.0</v>
      </c>
      <c r="AH766" s="109">
        <v>14.0</v>
      </c>
      <c r="AI766" s="141">
        <v>0.0</v>
      </c>
      <c r="AJ766" s="80">
        <v>40.0</v>
      </c>
      <c r="AK766" s="140">
        <v>0.0</v>
      </c>
      <c r="AL766" s="109">
        <v>0.0</v>
      </c>
      <c r="AM766" s="141">
        <v>0.0</v>
      </c>
      <c r="AN766" s="80">
        <v>0.0</v>
      </c>
      <c r="AO766" s="140">
        <v>0.0</v>
      </c>
      <c r="AP766" s="109">
        <v>0.0</v>
      </c>
      <c r="AQ766" s="109">
        <v>0.0</v>
      </c>
      <c r="AR766" s="80">
        <v>0.0</v>
      </c>
      <c r="AS766" s="110">
        <v>0.0</v>
      </c>
      <c r="AT766" s="110">
        <v>0.0</v>
      </c>
      <c r="AU766" s="110">
        <v>0.0</v>
      </c>
      <c r="AV766" s="142">
        <v>0.0</v>
      </c>
      <c r="AW766" s="80">
        <v>0.0</v>
      </c>
      <c r="AX766" s="113">
        <v>40.0</v>
      </c>
      <c r="AY766" s="117">
        <v>26.0</v>
      </c>
      <c r="AZ766" s="328">
        <v>14.0</v>
      </c>
      <c r="BA766" s="315">
        <v>0.0</v>
      </c>
      <c r="BB766" s="316">
        <v>40.0</v>
      </c>
      <c r="BC766" s="132" t="s">
        <v>178</v>
      </c>
      <c r="BD766" s="143" t="s">
        <v>227</v>
      </c>
      <c r="BE766" s="132" t="s">
        <v>178</v>
      </c>
      <c r="BF766" s="123"/>
      <c r="BG766" s="83">
        <v>1178822.0</v>
      </c>
      <c r="BH766" s="112">
        <v>1.0</v>
      </c>
      <c r="BI766" s="98" t="s">
        <v>155</v>
      </c>
      <c r="BJ766" s="98" t="str">
        <f t="shared" si="1"/>
        <v>NÃO</v>
      </c>
      <c r="BK766" s="98" t="str">
        <f t="shared" si="2"/>
        <v>NÃO</v>
      </c>
    </row>
    <row r="767" ht="15.75" customHeight="1">
      <c r="A767" s="111" t="s">
        <v>860</v>
      </c>
      <c r="B767" s="83" t="s">
        <v>3591</v>
      </c>
      <c r="C767" s="83" t="s">
        <v>164</v>
      </c>
      <c r="D767" s="83">
        <v>1179339.0</v>
      </c>
      <c r="E767" s="83">
        <v>1178824.0</v>
      </c>
      <c r="F767" s="83"/>
      <c r="G767" s="114" t="s">
        <v>3610</v>
      </c>
      <c r="H767" s="91" t="s">
        <v>3611</v>
      </c>
      <c r="I767" s="114" t="s">
        <v>3612</v>
      </c>
      <c r="J767" s="83" t="s">
        <v>485</v>
      </c>
      <c r="K767" s="83" t="s">
        <v>168</v>
      </c>
      <c r="L767" s="83" t="s">
        <v>169</v>
      </c>
      <c r="M767" s="82" t="s">
        <v>8097</v>
      </c>
      <c r="N767" s="82" t="s">
        <v>8098</v>
      </c>
      <c r="O767" s="82" t="s">
        <v>8099</v>
      </c>
      <c r="P767" s="82"/>
      <c r="Q767" s="82" t="s">
        <v>8100</v>
      </c>
      <c r="R767" s="82"/>
      <c r="S767" s="82"/>
      <c r="T767" s="138">
        <v>1.0</v>
      </c>
      <c r="U767" s="341">
        <v>1.0</v>
      </c>
      <c r="V767" s="106">
        <v>0.0</v>
      </c>
      <c r="W767" s="107">
        <v>0.0</v>
      </c>
      <c r="X767" s="107">
        <v>0.0</v>
      </c>
      <c r="Y767" s="107">
        <v>0.0</v>
      </c>
      <c r="Z767" s="80">
        <v>0.0</v>
      </c>
      <c r="AA767" s="140">
        <v>0.0</v>
      </c>
      <c r="AB767" s="109">
        <v>0.0</v>
      </c>
      <c r="AC767" s="109">
        <v>0.0</v>
      </c>
      <c r="AD767" s="141">
        <v>0.0</v>
      </c>
      <c r="AE767" s="80">
        <v>0.0</v>
      </c>
      <c r="AF767" s="140">
        <v>24.0</v>
      </c>
      <c r="AG767" s="109">
        <v>30.0</v>
      </c>
      <c r="AH767" s="109">
        <v>0.0</v>
      </c>
      <c r="AI767" s="141">
        <v>0.0</v>
      </c>
      <c r="AJ767" s="80">
        <v>54.0</v>
      </c>
      <c r="AK767" s="140">
        <v>0.0</v>
      </c>
      <c r="AL767" s="109">
        <v>0.0</v>
      </c>
      <c r="AM767" s="141">
        <v>0.0</v>
      </c>
      <c r="AN767" s="80">
        <v>0.0</v>
      </c>
      <c r="AO767" s="140">
        <v>0.0</v>
      </c>
      <c r="AP767" s="109">
        <v>0.0</v>
      </c>
      <c r="AQ767" s="109">
        <v>0.0</v>
      </c>
      <c r="AR767" s="80">
        <v>0.0</v>
      </c>
      <c r="AS767" s="110">
        <v>0.0</v>
      </c>
      <c r="AT767" s="110">
        <v>0.0</v>
      </c>
      <c r="AU767" s="110">
        <v>0.0</v>
      </c>
      <c r="AV767" s="142">
        <v>0.0</v>
      </c>
      <c r="AW767" s="80">
        <v>0.0</v>
      </c>
      <c r="AX767" s="113">
        <v>54.0</v>
      </c>
      <c r="AY767" s="117">
        <v>54.0</v>
      </c>
      <c r="AZ767" s="328">
        <v>0.0</v>
      </c>
      <c r="BA767" s="315">
        <v>0.0</v>
      </c>
      <c r="BB767" s="316">
        <v>54.0</v>
      </c>
      <c r="BC767" s="132" t="s">
        <v>178</v>
      </c>
      <c r="BD767" s="143" t="s">
        <v>227</v>
      </c>
      <c r="BE767" s="132" t="s">
        <v>178</v>
      </c>
      <c r="BF767" s="123"/>
      <c r="BG767" s="83">
        <v>1178824.0</v>
      </c>
      <c r="BH767" s="112">
        <v>1.0</v>
      </c>
      <c r="BI767" s="98" t="s">
        <v>155</v>
      </c>
      <c r="BJ767" s="98" t="str">
        <f t="shared" si="1"/>
        <v>NÃO</v>
      </c>
      <c r="BK767" s="98" t="str">
        <f t="shared" si="2"/>
        <v>NÃO</v>
      </c>
    </row>
    <row r="768" ht="15.75" customHeight="1">
      <c r="A768" s="111" t="s">
        <v>860</v>
      </c>
      <c r="B768" s="83" t="s">
        <v>3591</v>
      </c>
      <c r="C768" s="83" t="s">
        <v>164</v>
      </c>
      <c r="D768" s="83">
        <v>1179339.0</v>
      </c>
      <c r="E768" s="83">
        <v>1179134.0</v>
      </c>
      <c r="F768" s="83"/>
      <c r="G768" s="187" t="s">
        <v>3613</v>
      </c>
      <c r="H768" s="91" t="s">
        <v>3614</v>
      </c>
      <c r="I768" s="114" t="s">
        <v>3616</v>
      </c>
      <c r="J768" s="83" t="s">
        <v>2855</v>
      </c>
      <c r="K768" s="83" t="s">
        <v>168</v>
      </c>
      <c r="L768" s="83" t="s">
        <v>169</v>
      </c>
      <c r="M768" s="82" t="s">
        <v>8097</v>
      </c>
      <c r="N768" s="82" t="s">
        <v>8098</v>
      </c>
      <c r="O768" s="82" t="s">
        <v>8099</v>
      </c>
      <c r="P768" s="82"/>
      <c r="Q768" s="82" t="s">
        <v>8100</v>
      </c>
      <c r="R768" s="82"/>
      <c r="S768" s="82"/>
      <c r="T768" s="138">
        <v>1.0</v>
      </c>
      <c r="U768" s="341">
        <v>1.0</v>
      </c>
      <c r="V768" s="106">
        <v>0.0</v>
      </c>
      <c r="W768" s="107">
        <v>0.0</v>
      </c>
      <c r="X768" s="107">
        <v>0.0</v>
      </c>
      <c r="Y768" s="107">
        <v>0.0</v>
      </c>
      <c r="Z768" s="80">
        <v>0.0</v>
      </c>
      <c r="AA768" s="140">
        <v>0.0</v>
      </c>
      <c r="AB768" s="109">
        <v>0.0</v>
      </c>
      <c r="AC768" s="109">
        <v>0.0</v>
      </c>
      <c r="AD768" s="141">
        <v>0.0</v>
      </c>
      <c r="AE768" s="80">
        <v>0.0</v>
      </c>
      <c r="AF768" s="140">
        <v>14.0</v>
      </c>
      <c r="AG768" s="109">
        <v>8.0</v>
      </c>
      <c r="AH768" s="109">
        <v>13.0</v>
      </c>
      <c r="AI768" s="141">
        <v>0.0</v>
      </c>
      <c r="AJ768" s="80">
        <v>35.0</v>
      </c>
      <c r="AK768" s="140">
        <v>0.0</v>
      </c>
      <c r="AL768" s="109">
        <v>0.0</v>
      </c>
      <c r="AM768" s="141">
        <v>0.0</v>
      </c>
      <c r="AN768" s="80">
        <v>0.0</v>
      </c>
      <c r="AO768" s="140">
        <v>0.0</v>
      </c>
      <c r="AP768" s="109">
        <v>0.0</v>
      </c>
      <c r="AQ768" s="109">
        <v>0.0</v>
      </c>
      <c r="AR768" s="80">
        <v>0.0</v>
      </c>
      <c r="AS768" s="110">
        <v>0.0</v>
      </c>
      <c r="AT768" s="110">
        <v>0.0</v>
      </c>
      <c r="AU768" s="110">
        <v>0.0</v>
      </c>
      <c r="AV768" s="142">
        <v>0.0</v>
      </c>
      <c r="AW768" s="80">
        <v>0.0</v>
      </c>
      <c r="AX768" s="113">
        <v>35.0</v>
      </c>
      <c r="AY768" s="117">
        <v>22.0</v>
      </c>
      <c r="AZ768" s="328">
        <v>13.0</v>
      </c>
      <c r="BA768" s="315">
        <v>0.0</v>
      </c>
      <c r="BB768" s="316">
        <v>35.0</v>
      </c>
      <c r="BC768" s="132" t="s">
        <v>178</v>
      </c>
      <c r="BD768" s="143" t="s">
        <v>227</v>
      </c>
      <c r="BE768" s="132" t="s">
        <v>178</v>
      </c>
      <c r="BF768" s="123"/>
      <c r="BG768" s="83">
        <v>1179134.0</v>
      </c>
      <c r="BH768" s="112">
        <v>1.0</v>
      </c>
      <c r="BI768" s="98" t="s">
        <v>155</v>
      </c>
      <c r="BJ768" s="98" t="str">
        <f t="shared" si="1"/>
        <v>NÃO</v>
      </c>
      <c r="BK768" s="98" t="str">
        <f t="shared" si="2"/>
        <v>NÃO</v>
      </c>
    </row>
    <row r="769" ht="15.75" customHeight="1">
      <c r="A769" s="111" t="s">
        <v>860</v>
      </c>
      <c r="B769" s="83" t="s">
        <v>3591</v>
      </c>
      <c r="C769" s="83" t="s">
        <v>164</v>
      </c>
      <c r="D769" s="83">
        <v>1179339.0</v>
      </c>
      <c r="E769" s="83">
        <v>1179317.0</v>
      </c>
      <c r="F769" s="83"/>
      <c r="G769" s="187" t="s">
        <v>3622</v>
      </c>
      <c r="H769" s="91" t="s">
        <v>3623</v>
      </c>
      <c r="I769" s="114" t="s">
        <v>3624</v>
      </c>
      <c r="J769" s="83" t="s">
        <v>784</v>
      </c>
      <c r="K769" s="83" t="s">
        <v>168</v>
      </c>
      <c r="L769" s="83" t="s">
        <v>169</v>
      </c>
      <c r="M769" s="82" t="s">
        <v>8097</v>
      </c>
      <c r="N769" s="82" t="s">
        <v>8098</v>
      </c>
      <c r="O769" s="82" t="s">
        <v>8099</v>
      </c>
      <c r="P769" s="82"/>
      <c r="Q769" s="82" t="s">
        <v>8100</v>
      </c>
      <c r="R769" s="82"/>
      <c r="S769" s="82"/>
      <c r="T769" s="138">
        <v>1.0</v>
      </c>
      <c r="U769" s="341">
        <v>1.0</v>
      </c>
      <c r="V769" s="106">
        <v>0.0</v>
      </c>
      <c r="W769" s="107">
        <v>0.0</v>
      </c>
      <c r="X769" s="107">
        <v>0.0</v>
      </c>
      <c r="Y769" s="107">
        <v>0.0</v>
      </c>
      <c r="Z769" s="80">
        <v>0.0</v>
      </c>
      <c r="AA769" s="140">
        <v>0.0</v>
      </c>
      <c r="AB769" s="109">
        <v>0.0</v>
      </c>
      <c r="AC769" s="109">
        <v>0.0</v>
      </c>
      <c r="AD769" s="141">
        <v>0.0</v>
      </c>
      <c r="AE769" s="80">
        <v>0.0</v>
      </c>
      <c r="AF769" s="140">
        <v>10.0</v>
      </c>
      <c r="AG769" s="109">
        <v>15.0</v>
      </c>
      <c r="AH769" s="109">
        <v>14.0</v>
      </c>
      <c r="AI769" s="141">
        <v>0.0</v>
      </c>
      <c r="AJ769" s="80">
        <v>39.0</v>
      </c>
      <c r="AK769" s="140">
        <v>0.0</v>
      </c>
      <c r="AL769" s="109">
        <v>0.0</v>
      </c>
      <c r="AM769" s="141">
        <v>0.0</v>
      </c>
      <c r="AN769" s="80">
        <v>0.0</v>
      </c>
      <c r="AO769" s="140">
        <v>0.0</v>
      </c>
      <c r="AP769" s="109">
        <v>0.0</v>
      </c>
      <c r="AQ769" s="109">
        <v>0.0</v>
      </c>
      <c r="AR769" s="80">
        <v>0.0</v>
      </c>
      <c r="AS769" s="110">
        <v>0.0</v>
      </c>
      <c r="AT769" s="110">
        <v>0.0</v>
      </c>
      <c r="AU769" s="110">
        <v>0.0</v>
      </c>
      <c r="AV769" s="142">
        <v>0.0</v>
      </c>
      <c r="AW769" s="80">
        <v>0.0</v>
      </c>
      <c r="AX769" s="113">
        <v>39.0</v>
      </c>
      <c r="AY769" s="117">
        <v>25.0</v>
      </c>
      <c r="AZ769" s="328">
        <v>14.0</v>
      </c>
      <c r="BA769" s="315">
        <v>0.0</v>
      </c>
      <c r="BB769" s="316">
        <v>39.0</v>
      </c>
      <c r="BC769" s="132" t="s">
        <v>178</v>
      </c>
      <c r="BD769" s="143" t="s">
        <v>227</v>
      </c>
      <c r="BE769" s="132" t="s">
        <v>178</v>
      </c>
      <c r="BF769" s="123"/>
      <c r="BG769" s="83">
        <v>1179317.0</v>
      </c>
      <c r="BH769" s="112">
        <v>1.0</v>
      </c>
      <c r="BI769" s="98" t="s">
        <v>155</v>
      </c>
      <c r="BJ769" s="98" t="str">
        <f t="shared" si="1"/>
        <v>NÃO</v>
      </c>
      <c r="BK769" s="98" t="str">
        <f t="shared" si="2"/>
        <v>NÃO</v>
      </c>
    </row>
    <row r="770" ht="15.75" customHeight="1">
      <c r="A770" s="111" t="s">
        <v>860</v>
      </c>
      <c r="B770" s="83" t="s">
        <v>3591</v>
      </c>
      <c r="C770" s="83" t="s">
        <v>164</v>
      </c>
      <c r="D770" s="83">
        <v>1179339.0</v>
      </c>
      <c r="E770" s="83">
        <v>1179316.0</v>
      </c>
      <c r="F770" s="83"/>
      <c r="G770" s="187" t="s">
        <v>3626</v>
      </c>
      <c r="H770" s="91" t="s">
        <v>3627</v>
      </c>
      <c r="I770" s="114" t="s">
        <v>3628</v>
      </c>
      <c r="J770" s="83" t="s">
        <v>240</v>
      </c>
      <c r="K770" s="83" t="s">
        <v>168</v>
      </c>
      <c r="L770" s="83" t="s">
        <v>169</v>
      </c>
      <c r="M770" s="82" t="s">
        <v>8097</v>
      </c>
      <c r="N770" s="82" t="s">
        <v>8098</v>
      </c>
      <c r="O770" s="82" t="s">
        <v>8099</v>
      </c>
      <c r="P770" s="82"/>
      <c r="Q770" s="82" t="s">
        <v>8100</v>
      </c>
      <c r="R770" s="82"/>
      <c r="S770" s="82"/>
      <c r="T770" s="138">
        <v>1.0</v>
      </c>
      <c r="U770" s="341">
        <v>1.0</v>
      </c>
      <c r="V770" s="106">
        <v>0.0</v>
      </c>
      <c r="W770" s="107">
        <v>0.0</v>
      </c>
      <c r="X770" s="107">
        <v>0.0</v>
      </c>
      <c r="Y770" s="107">
        <v>0.0</v>
      </c>
      <c r="Z770" s="80">
        <v>0.0</v>
      </c>
      <c r="AA770" s="140">
        <v>0.0</v>
      </c>
      <c r="AB770" s="109">
        <v>0.0</v>
      </c>
      <c r="AC770" s="109">
        <v>0.0</v>
      </c>
      <c r="AD770" s="141">
        <v>0.0</v>
      </c>
      <c r="AE770" s="80">
        <v>0.0</v>
      </c>
      <c r="AF770" s="140">
        <v>25.0</v>
      </c>
      <c r="AG770" s="109">
        <v>24.0</v>
      </c>
      <c r="AH770" s="109">
        <v>14.0</v>
      </c>
      <c r="AI770" s="141">
        <v>0.0</v>
      </c>
      <c r="AJ770" s="80">
        <v>63.0</v>
      </c>
      <c r="AK770" s="140">
        <v>0.0</v>
      </c>
      <c r="AL770" s="109">
        <v>0.0</v>
      </c>
      <c r="AM770" s="141">
        <v>0.0</v>
      </c>
      <c r="AN770" s="80">
        <v>0.0</v>
      </c>
      <c r="AO770" s="140">
        <v>0.0</v>
      </c>
      <c r="AP770" s="109">
        <v>0.0</v>
      </c>
      <c r="AQ770" s="109">
        <v>0.0</v>
      </c>
      <c r="AR770" s="80">
        <v>0.0</v>
      </c>
      <c r="AS770" s="110">
        <v>0.0</v>
      </c>
      <c r="AT770" s="110">
        <v>0.0</v>
      </c>
      <c r="AU770" s="110">
        <v>0.0</v>
      </c>
      <c r="AV770" s="142">
        <v>0.0</v>
      </c>
      <c r="AW770" s="80">
        <v>0.0</v>
      </c>
      <c r="AX770" s="113">
        <v>63.0</v>
      </c>
      <c r="AY770" s="117">
        <v>49.0</v>
      </c>
      <c r="AZ770" s="328">
        <v>14.0</v>
      </c>
      <c r="BA770" s="315">
        <v>0.0</v>
      </c>
      <c r="BB770" s="316">
        <v>63.0</v>
      </c>
      <c r="BC770" s="132" t="s">
        <v>178</v>
      </c>
      <c r="BD770" s="143" t="s">
        <v>227</v>
      </c>
      <c r="BE770" s="132" t="s">
        <v>178</v>
      </c>
      <c r="BF770" s="123"/>
      <c r="BG770" s="83">
        <v>1179316.0</v>
      </c>
      <c r="BH770" s="112">
        <v>1.0</v>
      </c>
      <c r="BI770" s="98" t="s">
        <v>155</v>
      </c>
      <c r="BJ770" s="98" t="str">
        <f t="shared" si="1"/>
        <v>NÃO</v>
      </c>
      <c r="BK770" s="98" t="str">
        <f t="shared" si="2"/>
        <v>NÃO</v>
      </c>
    </row>
    <row r="771" ht="15.75" customHeight="1">
      <c r="A771" s="111" t="s">
        <v>860</v>
      </c>
      <c r="B771" s="83" t="s">
        <v>3630</v>
      </c>
      <c r="C771" s="83" t="s">
        <v>68</v>
      </c>
      <c r="D771" s="83">
        <v>1129980.0</v>
      </c>
      <c r="E771" s="83"/>
      <c r="F771" s="83">
        <v>2.9002427E7</v>
      </c>
      <c r="G771" s="187" t="s">
        <v>8196</v>
      </c>
      <c r="H771" s="91" t="s">
        <v>3632</v>
      </c>
      <c r="I771" s="114" t="s">
        <v>149</v>
      </c>
      <c r="J771" s="83" t="s">
        <v>150</v>
      </c>
      <c r="K771" s="83" t="s">
        <v>151</v>
      </c>
      <c r="L771" s="83" t="s">
        <v>169</v>
      </c>
      <c r="M771" s="82" t="s">
        <v>8198</v>
      </c>
      <c r="N771" s="82" t="s">
        <v>8199</v>
      </c>
      <c r="O771" s="82"/>
      <c r="P771" s="82"/>
      <c r="Q771" s="82"/>
      <c r="R771" s="82"/>
      <c r="S771" s="82" t="s">
        <v>8200</v>
      </c>
      <c r="T771" s="138">
        <v>3.0</v>
      </c>
      <c r="U771" s="341">
        <v>6.0</v>
      </c>
      <c r="V771" s="106">
        <v>0.0</v>
      </c>
      <c r="W771" s="107">
        <v>0.0</v>
      </c>
      <c r="X771" s="107">
        <v>0.0</v>
      </c>
      <c r="Y771" s="107">
        <v>0.0</v>
      </c>
      <c r="Z771" s="80">
        <v>0.0</v>
      </c>
      <c r="AA771" s="140">
        <v>0.0</v>
      </c>
      <c r="AB771" s="109">
        <v>0.0</v>
      </c>
      <c r="AC771" s="109">
        <v>0.0</v>
      </c>
      <c r="AD771" s="141">
        <v>0.0</v>
      </c>
      <c r="AE771" s="80">
        <v>0.0</v>
      </c>
      <c r="AF771" s="140">
        <v>0.0</v>
      </c>
      <c r="AG771" s="109">
        <v>0.0</v>
      </c>
      <c r="AH771" s="109">
        <v>0.0</v>
      </c>
      <c r="AI771" s="141">
        <v>74.0</v>
      </c>
      <c r="AJ771" s="80">
        <v>74.0</v>
      </c>
      <c r="AK771" s="140">
        <v>0.0</v>
      </c>
      <c r="AL771" s="109">
        <v>0.0</v>
      </c>
      <c r="AM771" s="141">
        <v>0.0</v>
      </c>
      <c r="AN771" s="80">
        <v>0.0</v>
      </c>
      <c r="AO771" s="140">
        <v>0.0</v>
      </c>
      <c r="AP771" s="109">
        <v>0.0</v>
      </c>
      <c r="AQ771" s="109">
        <v>0.0</v>
      </c>
      <c r="AR771" s="80">
        <v>0.0</v>
      </c>
      <c r="AS771" s="110">
        <v>0.0</v>
      </c>
      <c r="AT771" s="110">
        <v>0.0</v>
      </c>
      <c r="AU771" s="110">
        <v>0.0</v>
      </c>
      <c r="AV771" s="142">
        <v>0.0</v>
      </c>
      <c r="AW771" s="80">
        <v>0.0</v>
      </c>
      <c r="AX771" s="113">
        <v>74.0</v>
      </c>
      <c r="AY771" s="117">
        <v>74.0</v>
      </c>
      <c r="AZ771" s="328">
        <v>0.0</v>
      </c>
      <c r="BA771" s="315">
        <v>0.0</v>
      </c>
      <c r="BB771" s="316">
        <v>74.0</v>
      </c>
      <c r="BC771" s="132" t="s">
        <v>178</v>
      </c>
      <c r="BD771" s="132" t="s">
        <v>178</v>
      </c>
      <c r="BE771" s="132" t="s">
        <v>178</v>
      </c>
      <c r="BF771" s="156"/>
      <c r="BG771" s="83">
        <v>1129980.0</v>
      </c>
      <c r="BH771" s="112">
        <v>6.0</v>
      </c>
      <c r="BI771" s="98" t="s">
        <v>155</v>
      </c>
      <c r="BJ771" s="98" t="str">
        <f t="shared" si="1"/>
        <v>INTEGRAL</v>
      </c>
      <c r="BK771" s="98" t="str">
        <f t="shared" si="2"/>
        <v>NÃO</v>
      </c>
    </row>
    <row r="772" ht="15.75" customHeight="1">
      <c r="A772" s="111" t="s">
        <v>860</v>
      </c>
      <c r="B772" s="83" t="s">
        <v>3630</v>
      </c>
      <c r="C772" s="83" t="s">
        <v>164</v>
      </c>
      <c r="D772" s="83">
        <v>1179339.0</v>
      </c>
      <c r="E772" s="83">
        <v>1178875.0</v>
      </c>
      <c r="F772" s="83"/>
      <c r="G772" s="187" t="s">
        <v>3634</v>
      </c>
      <c r="H772" s="91" t="s">
        <v>3635</v>
      </c>
      <c r="I772" s="114" t="s">
        <v>3636</v>
      </c>
      <c r="J772" s="83" t="s">
        <v>822</v>
      </c>
      <c r="K772" s="83" t="s">
        <v>168</v>
      </c>
      <c r="L772" s="83" t="s">
        <v>169</v>
      </c>
      <c r="M772" s="82" t="s">
        <v>8097</v>
      </c>
      <c r="N772" s="82" t="s">
        <v>8098</v>
      </c>
      <c r="O772" s="82" t="s">
        <v>8099</v>
      </c>
      <c r="P772" s="82"/>
      <c r="Q772" s="82" t="s">
        <v>8100</v>
      </c>
      <c r="R772" s="82"/>
      <c r="S772" s="82"/>
      <c r="T772" s="138">
        <v>3.0</v>
      </c>
      <c r="U772" s="341">
        <v>3.0</v>
      </c>
      <c r="V772" s="106">
        <v>0.0</v>
      </c>
      <c r="W772" s="107">
        <v>0.0</v>
      </c>
      <c r="X772" s="107">
        <v>0.0</v>
      </c>
      <c r="Y772" s="107">
        <v>0.0</v>
      </c>
      <c r="Z772" s="80">
        <v>0.0</v>
      </c>
      <c r="AA772" s="140">
        <v>0.0</v>
      </c>
      <c r="AB772" s="109">
        <v>0.0</v>
      </c>
      <c r="AC772" s="109">
        <v>0.0</v>
      </c>
      <c r="AD772" s="141">
        <v>0.0</v>
      </c>
      <c r="AE772" s="80">
        <v>0.0</v>
      </c>
      <c r="AF772" s="140">
        <v>0.0</v>
      </c>
      <c r="AG772" s="109">
        <v>0.0</v>
      </c>
      <c r="AH772" s="109">
        <v>25.0</v>
      </c>
      <c r="AI772" s="141">
        <v>0.0</v>
      </c>
      <c r="AJ772" s="80">
        <v>25.0</v>
      </c>
      <c r="AK772" s="140">
        <v>0.0</v>
      </c>
      <c r="AL772" s="109">
        <v>0.0</v>
      </c>
      <c r="AM772" s="141">
        <v>0.0</v>
      </c>
      <c r="AN772" s="80">
        <v>0.0</v>
      </c>
      <c r="AO772" s="140">
        <v>0.0</v>
      </c>
      <c r="AP772" s="109">
        <v>0.0</v>
      </c>
      <c r="AQ772" s="109">
        <v>0.0</v>
      </c>
      <c r="AR772" s="80">
        <v>0.0</v>
      </c>
      <c r="AS772" s="110">
        <v>0.0</v>
      </c>
      <c r="AT772" s="110">
        <v>0.0</v>
      </c>
      <c r="AU772" s="110">
        <v>0.0</v>
      </c>
      <c r="AV772" s="142">
        <v>0.0</v>
      </c>
      <c r="AW772" s="80">
        <v>0.0</v>
      </c>
      <c r="AX772" s="113">
        <v>25.0</v>
      </c>
      <c r="AY772" s="117">
        <v>0.0</v>
      </c>
      <c r="AZ772" s="328">
        <v>25.0</v>
      </c>
      <c r="BA772" s="315">
        <v>0.0</v>
      </c>
      <c r="BB772" s="316">
        <v>25.0</v>
      </c>
      <c r="BC772" s="132" t="s">
        <v>178</v>
      </c>
      <c r="BD772" s="143" t="s">
        <v>227</v>
      </c>
      <c r="BE772" s="132" t="s">
        <v>178</v>
      </c>
      <c r="BF772" s="156"/>
      <c r="BG772" s="83">
        <v>1178875.0</v>
      </c>
      <c r="BH772" s="112">
        <v>3.0</v>
      </c>
      <c r="BI772" s="98" t="s">
        <v>155</v>
      </c>
      <c r="BJ772" s="98" t="str">
        <f t="shared" si="1"/>
        <v>NÃO</v>
      </c>
      <c r="BK772" s="98" t="str">
        <f t="shared" si="2"/>
        <v>NÃO</v>
      </c>
    </row>
    <row r="773" ht="15.75" customHeight="1">
      <c r="A773" s="111" t="s">
        <v>860</v>
      </c>
      <c r="B773" s="83" t="s">
        <v>2218</v>
      </c>
      <c r="C773" s="83" t="s">
        <v>68</v>
      </c>
      <c r="D773" s="83">
        <v>1130260.0</v>
      </c>
      <c r="E773" s="83"/>
      <c r="F773" s="83">
        <v>2.90071E7</v>
      </c>
      <c r="G773" s="114" t="s">
        <v>8210</v>
      </c>
      <c r="H773" s="91" t="s">
        <v>8211</v>
      </c>
      <c r="I773" s="187" t="s">
        <v>149</v>
      </c>
      <c r="J773" s="83" t="s">
        <v>150</v>
      </c>
      <c r="K773" s="83" t="s">
        <v>151</v>
      </c>
      <c r="L773" s="83" t="s">
        <v>152</v>
      </c>
      <c r="M773" s="82" t="s">
        <v>8212</v>
      </c>
      <c r="N773" s="82" t="s">
        <v>8213</v>
      </c>
      <c r="O773" s="82" t="s">
        <v>8214</v>
      </c>
      <c r="P773" s="82" t="s">
        <v>8215</v>
      </c>
      <c r="Q773" s="82"/>
      <c r="R773" s="82"/>
      <c r="S773" s="82" t="s">
        <v>8216</v>
      </c>
      <c r="T773" s="138">
        <v>6.0</v>
      </c>
      <c r="U773" s="341">
        <v>7.0</v>
      </c>
      <c r="V773" s="106">
        <v>0.0</v>
      </c>
      <c r="W773" s="107">
        <v>0.0</v>
      </c>
      <c r="X773" s="107">
        <v>0.0</v>
      </c>
      <c r="Y773" s="107">
        <v>0.0</v>
      </c>
      <c r="Z773" s="80">
        <v>0.0</v>
      </c>
      <c r="AA773" s="140">
        <v>0.0</v>
      </c>
      <c r="AB773" s="109">
        <v>0.0</v>
      </c>
      <c r="AC773" s="109">
        <v>0.0</v>
      </c>
      <c r="AD773" s="141">
        <v>0.0</v>
      </c>
      <c r="AE773" s="80">
        <v>0.0</v>
      </c>
      <c r="AF773" s="140">
        <v>111.0</v>
      </c>
      <c r="AG773" s="109">
        <v>117.0</v>
      </c>
      <c r="AH773" s="109">
        <v>0.0</v>
      </c>
      <c r="AI773" s="141">
        <v>91.0</v>
      </c>
      <c r="AJ773" s="80">
        <v>319.0</v>
      </c>
      <c r="AK773" s="140">
        <v>0.0</v>
      </c>
      <c r="AL773" s="109">
        <v>0.0</v>
      </c>
      <c r="AM773" s="141">
        <v>0.0</v>
      </c>
      <c r="AN773" s="80">
        <v>0.0</v>
      </c>
      <c r="AO773" s="140">
        <v>0.0</v>
      </c>
      <c r="AP773" s="109">
        <v>0.0</v>
      </c>
      <c r="AQ773" s="109">
        <v>31.0</v>
      </c>
      <c r="AR773" s="80">
        <v>31.0</v>
      </c>
      <c r="AS773" s="110">
        <v>0.0</v>
      </c>
      <c r="AT773" s="110">
        <v>0.0</v>
      </c>
      <c r="AU773" s="110">
        <v>0.0</v>
      </c>
      <c r="AV773" s="142">
        <v>0.0</v>
      </c>
      <c r="AW773" s="80">
        <v>0.0</v>
      </c>
      <c r="AX773" s="113">
        <v>350.0</v>
      </c>
      <c r="AY773" s="117">
        <v>319.0</v>
      </c>
      <c r="AZ773" s="328">
        <v>31.0</v>
      </c>
      <c r="BA773" s="315">
        <v>3.0</v>
      </c>
      <c r="BB773" s="316">
        <v>353.0</v>
      </c>
      <c r="BC773" s="132" t="s">
        <v>178</v>
      </c>
      <c r="BD773" s="132" t="s">
        <v>178</v>
      </c>
      <c r="BE773" s="132" t="s">
        <v>178</v>
      </c>
      <c r="BF773" s="123"/>
      <c r="BG773" s="83">
        <v>1130260.0</v>
      </c>
      <c r="BH773" s="112">
        <v>7.0</v>
      </c>
      <c r="BI773" s="98" t="s">
        <v>155</v>
      </c>
      <c r="BJ773" s="98" t="str">
        <f t="shared" si="1"/>
        <v>INTEGRAL</v>
      </c>
      <c r="BK773" s="98" t="str">
        <f t="shared" si="2"/>
        <v>NÃO</v>
      </c>
    </row>
    <row r="774" ht="15.75" customHeight="1">
      <c r="A774" s="111" t="s">
        <v>860</v>
      </c>
      <c r="B774" s="83" t="s">
        <v>2218</v>
      </c>
      <c r="C774" s="83" t="s">
        <v>164</v>
      </c>
      <c r="D774" s="83">
        <v>1130260.0</v>
      </c>
      <c r="E774" s="83">
        <v>1178877.0</v>
      </c>
      <c r="F774" s="83"/>
      <c r="G774" s="114" t="s">
        <v>8221</v>
      </c>
      <c r="H774" s="91" t="s">
        <v>3643</v>
      </c>
      <c r="I774" s="187" t="s">
        <v>3644</v>
      </c>
      <c r="J774" s="83" t="s">
        <v>3645</v>
      </c>
      <c r="K774" s="83" t="s">
        <v>168</v>
      </c>
      <c r="L774" s="83" t="s">
        <v>169</v>
      </c>
      <c r="M774" s="82" t="s">
        <v>8212</v>
      </c>
      <c r="N774" s="82" t="s">
        <v>8213</v>
      </c>
      <c r="O774" s="82" t="s">
        <v>8214</v>
      </c>
      <c r="P774" s="82" t="s">
        <v>8215</v>
      </c>
      <c r="Q774" s="82"/>
      <c r="R774" s="82"/>
      <c r="S774" s="82" t="s">
        <v>8216</v>
      </c>
      <c r="T774" s="138">
        <v>3.0</v>
      </c>
      <c r="U774" s="341">
        <v>3.0</v>
      </c>
      <c r="V774" s="106">
        <v>0.0</v>
      </c>
      <c r="W774" s="107">
        <v>0.0</v>
      </c>
      <c r="X774" s="107">
        <v>0.0</v>
      </c>
      <c r="Y774" s="107">
        <v>0.0</v>
      </c>
      <c r="Z774" s="80">
        <v>0.0</v>
      </c>
      <c r="AA774" s="140">
        <v>0.0</v>
      </c>
      <c r="AB774" s="109">
        <v>0.0</v>
      </c>
      <c r="AC774" s="109">
        <v>0.0</v>
      </c>
      <c r="AD774" s="141">
        <v>0.0</v>
      </c>
      <c r="AE774" s="80">
        <v>0.0</v>
      </c>
      <c r="AF774" s="140">
        <v>23.0</v>
      </c>
      <c r="AG774" s="109">
        <v>0.0</v>
      </c>
      <c r="AH774" s="109">
        <v>5.0</v>
      </c>
      <c r="AI774" s="141">
        <v>0.0</v>
      </c>
      <c r="AJ774" s="80">
        <v>28.0</v>
      </c>
      <c r="AK774" s="140">
        <v>0.0</v>
      </c>
      <c r="AL774" s="109">
        <v>0.0</v>
      </c>
      <c r="AM774" s="141">
        <v>0.0</v>
      </c>
      <c r="AN774" s="80">
        <v>0.0</v>
      </c>
      <c r="AO774" s="140">
        <v>0.0</v>
      </c>
      <c r="AP774" s="109">
        <v>0.0</v>
      </c>
      <c r="AQ774" s="109">
        <v>0.0</v>
      </c>
      <c r="AR774" s="80">
        <v>0.0</v>
      </c>
      <c r="AS774" s="110">
        <v>0.0</v>
      </c>
      <c r="AT774" s="110">
        <v>0.0</v>
      </c>
      <c r="AU774" s="110">
        <v>0.0</v>
      </c>
      <c r="AV774" s="142">
        <v>0.0</v>
      </c>
      <c r="AW774" s="80">
        <v>0.0</v>
      </c>
      <c r="AX774" s="113">
        <v>28.0</v>
      </c>
      <c r="AY774" s="117">
        <v>23.0</v>
      </c>
      <c r="AZ774" s="328">
        <v>5.0</v>
      </c>
      <c r="BA774" s="315">
        <v>0.0</v>
      </c>
      <c r="BB774" s="316">
        <v>28.0</v>
      </c>
      <c r="BC774" s="132" t="s">
        <v>373</v>
      </c>
      <c r="BD774" s="132" t="s">
        <v>178</v>
      </c>
      <c r="BE774" s="132" t="s">
        <v>178</v>
      </c>
      <c r="BF774" s="123"/>
      <c r="BG774" s="83">
        <v>1178877.0</v>
      </c>
      <c r="BH774" s="112">
        <v>3.0</v>
      </c>
      <c r="BI774" s="98" t="s">
        <v>155</v>
      </c>
      <c r="BJ774" s="98" t="str">
        <f t="shared" si="1"/>
        <v>NÃO</v>
      </c>
      <c r="BK774" s="98" t="str">
        <f t="shared" si="2"/>
        <v>NÃO</v>
      </c>
    </row>
    <row r="775" ht="15.75" customHeight="1">
      <c r="A775" s="111" t="s">
        <v>860</v>
      </c>
      <c r="B775" s="83" t="s">
        <v>2218</v>
      </c>
      <c r="C775" s="83" t="s">
        <v>164</v>
      </c>
      <c r="D775" s="83">
        <v>1130260.0</v>
      </c>
      <c r="E775" s="245">
        <v>1178876.0</v>
      </c>
      <c r="F775" s="83"/>
      <c r="G775" s="119" t="s">
        <v>8229</v>
      </c>
      <c r="H775" s="108" t="s">
        <v>8230</v>
      </c>
      <c r="I775" s="187"/>
      <c r="J775" s="83"/>
      <c r="K775" s="83" t="s">
        <v>168</v>
      </c>
      <c r="L775" s="83" t="s">
        <v>169</v>
      </c>
      <c r="M775" s="82" t="s">
        <v>8212</v>
      </c>
      <c r="N775" s="82" t="s">
        <v>8213</v>
      </c>
      <c r="O775" s="82" t="s">
        <v>8214</v>
      </c>
      <c r="P775" s="82" t="s">
        <v>8215</v>
      </c>
      <c r="Q775" s="82"/>
      <c r="R775" s="82"/>
      <c r="S775" s="82" t="s">
        <v>8216</v>
      </c>
      <c r="T775" s="138"/>
      <c r="U775" s="341"/>
      <c r="V775" s="106">
        <v>0.0</v>
      </c>
      <c r="W775" s="107">
        <v>0.0</v>
      </c>
      <c r="X775" s="107">
        <v>0.0</v>
      </c>
      <c r="Y775" s="107">
        <v>0.0</v>
      </c>
      <c r="Z775" s="80">
        <v>0.0</v>
      </c>
      <c r="AA775" s="140">
        <v>0.0</v>
      </c>
      <c r="AB775" s="109">
        <v>0.0</v>
      </c>
      <c r="AC775" s="109">
        <v>0.0</v>
      </c>
      <c r="AD775" s="141">
        <v>0.0</v>
      </c>
      <c r="AE775" s="80">
        <v>0.0</v>
      </c>
      <c r="AF775" s="140">
        <v>0.0</v>
      </c>
      <c r="AG775" s="109">
        <v>0.0</v>
      </c>
      <c r="AH775" s="109">
        <v>0.0</v>
      </c>
      <c r="AI775" s="141">
        <v>0.0</v>
      </c>
      <c r="AJ775" s="80">
        <v>0.0</v>
      </c>
      <c r="AK775" s="140">
        <v>0.0</v>
      </c>
      <c r="AL775" s="109">
        <v>0.0</v>
      </c>
      <c r="AM775" s="141">
        <v>0.0</v>
      </c>
      <c r="AN775" s="80">
        <v>0.0</v>
      </c>
      <c r="AO775" s="140">
        <v>0.0</v>
      </c>
      <c r="AP775" s="109">
        <v>0.0</v>
      </c>
      <c r="AQ775" s="109">
        <v>0.0</v>
      </c>
      <c r="AR775" s="80">
        <v>0.0</v>
      </c>
      <c r="AS775" s="110">
        <v>0.0</v>
      </c>
      <c r="AT775" s="110">
        <v>0.0</v>
      </c>
      <c r="AU775" s="110">
        <v>0.0</v>
      </c>
      <c r="AV775" s="142">
        <v>0.0</v>
      </c>
      <c r="AW775" s="80">
        <v>0.0</v>
      </c>
      <c r="AX775" s="113">
        <v>0.0</v>
      </c>
      <c r="AY775" s="117">
        <v>0.0</v>
      </c>
      <c r="AZ775" s="328">
        <v>0.0</v>
      </c>
      <c r="BA775" s="315">
        <v>0.0</v>
      </c>
      <c r="BB775" s="316">
        <v>0.0</v>
      </c>
      <c r="BC775" s="132" t="s">
        <v>178</v>
      </c>
      <c r="BD775" s="132" t="s">
        <v>178</v>
      </c>
      <c r="BE775" s="132" t="s">
        <v>178</v>
      </c>
      <c r="BF775" s="123"/>
      <c r="BG775" s="98">
        <v>1178876.0</v>
      </c>
      <c r="BH775" s="98">
        <v>0.0</v>
      </c>
      <c r="BI775" s="98" t="s">
        <v>155</v>
      </c>
      <c r="BJ775" s="98" t="str">
        <f t="shared" si="1"/>
        <v>NÃO</v>
      </c>
      <c r="BK775" s="98" t="str">
        <f t="shared" si="2"/>
        <v>NÃO</v>
      </c>
    </row>
    <row r="776" ht="15.75" customHeight="1">
      <c r="A776" s="111" t="s">
        <v>860</v>
      </c>
      <c r="B776" s="83" t="s">
        <v>2218</v>
      </c>
      <c r="C776" s="83" t="s">
        <v>164</v>
      </c>
      <c r="D776" s="83">
        <v>1130260.0</v>
      </c>
      <c r="E776" s="83">
        <v>1179073.0</v>
      </c>
      <c r="F776" s="83"/>
      <c r="G776" s="114" t="s">
        <v>8235</v>
      </c>
      <c r="H776" s="91" t="s">
        <v>3648</v>
      </c>
      <c r="I776" s="114" t="s">
        <v>3649</v>
      </c>
      <c r="J776" s="136" t="s">
        <v>702</v>
      </c>
      <c r="K776" s="83" t="s">
        <v>168</v>
      </c>
      <c r="L776" s="83" t="s">
        <v>169</v>
      </c>
      <c r="M776" s="82" t="s">
        <v>8212</v>
      </c>
      <c r="N776" s="82" t="s">
        <v>8213</v>
      </c>
      <c r="O776" s="82" t="s">
        <v>8214</v>
      </c>
      <c r="P776" s="82" t="s">
        <v>8215</v>
      </c>
      <c r="Q776" s="82"/>
      <c r="R776" s="82"/>
      <c r="S776" s="82" t="s">
        <v>8216</v>
      </c>
      <c r="T776" s="138">
        <v>4.0</v>
      </c>
      <c r="U776" s="341">
        <v>3.0</v>
      </c>
      <c r="V776" s="106">
        <v>0.0</v>
      </c>
      <c r="W776" s="107">
        <v>0.0</v>
      </c>
      <c r="X776" s="107">
        <v>0.0</v>
      </c>
      <c r="Y776" s="107">
        <v>0.0</v>
      </c>
      <c r="Z776" s="80">
        <v>0.0</v>
      </c>
      <c r="AA776" s="140">
        <v>0.0</v>
      </c>
      <c r="AB776" s="109">
        <v>0.0</v>
      </c>
      <c r="AC776" s="109">
        <v>0.0</v>
      </c>
      <c r="AD776" s="141">
        <v>0.0</v>
      </c>
      <c r="AE776" s="80">
        <v>0.0</v>
      </c>
      <c r="AF776" s="140">
        <v>27.0</v>
      </c>
      <c r="AG776" s="109">
        <v>14.0</v>
      </c>
      <c r="AH776" s="109">
        <v>22.0</v>
      </c>
      <c r="AI776" s="141">
        <v>0.0</v>
      </c>
      <c r="AJ776" s="80">
        <v>63.0</v>
      </c>
      <c r="AK776" s="140">
        <v>0.0</v>
      </c>
      <c r="AL776" s="109">
        <v>0.0</v>
      </c>
      <c r="AM776" s="141">
        <v>0.0</v>
      </c>
      <c r="AN776" s="80">
        <v>0.0</v>
      </c>
      <c r="AO776" s="140">
        <v>0.0</v>
      </c>
      <c r="AP776" s="109">
        <v>0.0</v>
      </c>
      <c r="AQ776" s="109">
        <v>0.0</v>
      </c>
      <c r="AR776" s="80">
        <v>0.0</v>
      </c>
      <c r="AS776" s="110">
        <v>0.0</v>
      </c>
      <c r="AT776" s="110">
        <v>0.0</v>
      </c>
      <c r="AU776" s="110">
        <v>0.0</v>
      </c>
      <c r="AV776" s="142">
        <v>0.0</v>
      </c>
      <c r="AW776" s="80">
        <v>0.0</v>
      </c>
      <c r="AX776" s="113">
        <v>63.0</v>
      </c>
      <c r="AY776" s="117">
        <v>41.0</v>
      </c>
      <c r="AZ776" s="328">
        <v>22.0</v>
      </c>
      <c r="BA776" s="315">
        <v>0.0</v>
      </c>
      <c r="BB776" s="316">
        <v>63.0</v>
      </c>
      <c r="BC776" s="132" t="s">
        <v>373</v>
      </c>
      <c r="BD776" s="132" t="s">
        <v>178</v>
      </c>
      <c r="BE776" s="132" t="s">
        <v>178</v>
      </c>
      <c r="BF776" s="123"/>
      <c r="BG776" s="83">
        <v>1179073.0</v>
      </c>
      <c r="BH776" s="112">
        <v>3.0</v>
      </c>
      <c r="BI776" s="98" t="s">
        <v>155</v>
      </c>
      <c r="BJ776" s="98" t="str">
        <f t="shared" si="1"/>
        <v>NÃO</v>
      </c>
      <c r="BK776" s="98" t="str">
        <f t="shared" si="2"/>
        <v>NÃO</v>
      </c>
    </row>
    <row r="777" ht="15.75" customHeight="1">
      <c r="A777" s="111" t="s">
        <v>860</v>
      </c>
      <c r="B777" s="83" t="s">
        <v>2218</v>
      </c>
      <c r="C777" s="83" t="s">
        <v>164</v>
      </c>
      <c r="D777" s="83">
        <v>1179339.0</v>
      </c>
      <c r="E777" s="497">
        <v>1178878.0</v>
      </c>
      <c r="F777" s="83"/>
      <c r="G777" s="114" t="s">
        <v>3650</v>
      </c>
      <c r="H777" s="91" t="s">
        <v>3651</v>
      </c>
      <c r="I777" s="114" t="s">
        <v>149</v>
      </c>
      <c r="J777" s="136" t="s">
        <v>244</v>
      </c>
      <c r="K777" s="83" t="s">
        <v>168</v>
      </c>
      <c r="L777" s="83" t="s">
        <v>169</v>
      </c>
      <c r="M777" s="82" t="s">
        <v>8097</v>
      </c>
      <c r="N777" s="82" t="s">
        <v>8098</v>
      </c>
      <c r="O777" s="82" t="s">
        <v>8099</v>
      </c>
      <c r="P777" s="82"/>
      <c r="Q777" s="82" t="s">
        <v>8100</v>
      </c>
      <c r="R777" s="82"/>
      <c r="S777" s="82"/>
      <c r="T777" s="138">
        <v>3.0</v>
      </c>
      <c r="U777" s="341">
        <v>3.0</v>
      </c>
      <c r="V777" s="106">
        <v>0.0</v>
      </c>
      <c r="W777" s="107">
        <v>0.0</v>
      </c>
      <c r="X777" s="107">
        <v>0.0</v>
      </c>
      <c r="Y777" s="107">
        <v>0.0</v>
      </c>
      <c r="Z777" s="80">
        <v>0.0</v>
      </c>
      <c r="AA777" s="140">
        <v>0.0</v>
      </c>
      <c r="AB777" s="109">
        <v>0.0</v>
      </c>
      <c r="AC777" s="109">
        <v>0.0</v>
      </c>
      <c r="AD777" s="141">
        <v>0.0</v>
      </c>
      <c r="AE777" s="80">
        <v>0.0</v>
      </c>
      <c r="AF777" s="140">
        <v>11.0</v>
      </c>
      <c r="AG777" s="109">
        <v>0.0</v>
      </c>
      <c r="AH777" s="109">
        <v>0.0</v>
      </c>
      <c r="AI777" s="141">
        <v>0.0</v>
      </c>
      <c r="AJ777" s="80">
        <v>11.0</v>
      </c>
      <c r="AK777" s="140">
        <v>0.0</v>
      </c>
      <c r="AL777" s="109">
        <v>0.0</v>
      </c>
      <c r="AM777" s="141">
        <v>0.0</v>
      </c>
      <c r="AN777" s="80">
        <v>0.0</v>
      </c>
      <c r="AO777" s="140">
        <v>0.0</v>
      </c>
      <c r="AP777" s="109">
        <v>0.0</v>
      </c>
      <c r="AQ777" s="109">
        <v>0.0</v>
      </c>
      <c r="AR777" s="80">
        <v>0.0</v>
      </c>
      <c r="AS777" s="110">
        <v>0.0</v>
      </c>
      <c r="AT777" s="110">
        <v>0.0</v>
      </c>
      <c r="AU777" s="110">
        <v>0.0</v>
      </c>
      <c r="AV777" s="142">
        <v>0.0</v>
      </c>
      <c r="AW777" s="80">
        <v>0.0</v>
      </c>
      <c r="AX777" s="113">
        <v>11.0</v>
      </c>
      <c r="AY777" s="117">
        <v>11.0</v>
      </c>
      <c r="AZ777" s="328">
        <v>0.0</v>
      </c>
      <c r="BA777" s="315">
        <v>0.0</v>
      </c>
      <c r="BB777" s="316">
        <v>11.0</v>
      </c>
      <c r="BC777" s="132" t="s">
        <v>178</v>
      </c>
      <c r="BD777" s="143" t="s">
        <v>227</v>
      </c>
      <c r="BE777" s="132" t="s">
        <v>178</v>
      </c>
      <c r="BF777" s="123"/>
      <c r="BG777" s="83">
        <v>1178878.0</v>
      </c>
      <c r="BH777" s="112">
        <v>3.0</v>
      </c>
      <c r="BI777" s="98" t="s">
        <v>155</v>
      </c>
      <c r="BJ777" s="98" t="str">
        <f t="shared" si="1"/>
        <v>NÃO</v>
      </c>
      <c r="BK777" s="98" t="str">
        <f t="shared" si="2"/>
        <v>NÃO</v>
      </c>
    </row>
    <row r="778" ht="15.75" customHeight="1">
      <c r="A778" s="111" t="s">
        <v>860</v>
      </c>
      <c r="B778" s="83" t="s">
        <v>2218</v>
      </c>
      <c r="C778" s="83" t="s">
        <v>164</v>
      </c>
      <c r="D778" s="83">
        <v>1179339.0</v>
      </c>
      <c r="E778" s="83">
        <v>1179444.0</v>
      </c>
      <c r="F778" s="83"/>
      <c r="G778" s="114" t="s">
        <v>3653</v>
      </c>
      <c r="H778" s="91" t="s">
        <v>3654</v>
      </c>
      <c r="I778" s="114" t="s">
        <v>3655</v>
      </c>
      <c r="J778" s="83" t="s">
        <v>183</v>
      </c>
      <c r="K778" s="83" t="s">
        <v>168</v>
      </c>
      <c r="L778" s="83" t="s">
        <v>169</v>
      </c>
      <c r="M778" s="82" t="s">
        <v>8097</v>
      </c>
      <c r="N778" s="82" t="s">
        <v>8098</v>
      </c>
      <c r="O778" s="82" t="s">
        <v>8099</v>
      </c>
      <c r="P778" s="82"/>
      <c r="Q778" s="82" t="s">
        <v>8100</v>
      </c>
      <c r="R778" s="82"/>
      <c r="S778" s="82"/>
      <c r="T778" s="138">
        <v>2.0</v>
      </c>
      <c r="U778" s="341">
        <v>2.0</v>
      </c>
      <c r="V778" s="106">
        <v>0.0</v>
      </c>
      <c r="W778" s="107">
        <v>0.0</v>
      </c>
      <c r="X778" s="107">
        <v>0.0</v>
      </c>
      <c r="Y778" s="107">
        <v>0.0</v>
      </c>
      <c r="Z778" s="80">
        <v>0.0</v>
      </c>
      <c r="AA778" s="140">
        <v>0.0</v>
      </c>
      <c r="AB778" s="109">
        <v>0.0</v>
      </c>
      <c r="AC778" s="109">
        <v>0.0</v>
      </c>
      <c r="AD778" s="141">
        <v>0.0</v>
      </c>
      <c r="AE778" s="80">
        <v>0.0</v>
      </c>
      <c r="AF778" s="140">
        <v>0.0</v>
      </c>
      <c r="AG778" s="109">
        <v>0.0</v>
      </c>
      <c r="AH778" s="109">
        <v>5.0</v>
      </c>
      <c r="AI778" s="141">
        <v>0.0</v>
      </c>
      <c r="AJ778" s="80">
        <v>5.0</v>
      </c>
      <c r="AK778" s="140">
        <v>0.0</v>
      </c>
      <c r="AL778" s="109">
        <v>0.0</v>
      </c>
      <c r="AM778" s="141">
        <v>0.0</v>
      </c>
      <c r="AN778" s="80">
        <v>0.0</v>
      </c>
      <c r="AO778" s="140">
        <v>0.0</v>
      </c>
      <c r="AP778" s="109">
        <v>0.0</v>
      </c>
      <c r="AQ778" s="109">
        <v>0.0</v>
      </c>
      <c r="AR778" s="80">
        <v>0.0</v>
      </c>
      <c r="AS778" s="110">
        <v>0.0</v>
      </c>
      <c r="AT778" s="110">
        <v>0.0</v>
      </c>
      <c r="AU778" s="110">
        <v>0.0</v>
      </c>
      <c r="AV778" s="142">
        <v>0.0</v>
      </c>
      <c r="AW778" s="80">
        <v>0.0</v>
      </c>
      <c r="AX778" s="113">
        <v>5.0</v>
      </c>
      <c r="AY778" s="117">
        <v>0.0</v>
      </c>
      <c r="AZ778" s="328">
        <v>5.0</v>
      </c>
      <c r="BA778" s="315">
        <v>0.0</v>
      </c>
      <c r="BB778" s="316">
        <v>5.0</v>
      </c>
      <c r="BC778" s="132" t="s">
        <v>178</v>
      </c>
      <c r="BD778" s="143" t="s">
        <v>227</v>
      </c>
      <c r="BE778" s="132" t="s">
        <v>178</v>
      </c>
      <c r="BF778" s="123"/>
      <c r="BG778" s="83">
        <v>1179444.0</v>
      </c>
      <c r="BH778" s="112">
        <v>2.0</v>
      </c>
      <c r="BI778" s="98" t="s">
        <v>155</v>
      </c>
      <c r="BJ778" s="98" t="str">
        <f t="shared" si="1"/>
        <v>NÃO</v>
      </c>
      <c r="BK778" s="98" t="str">
        <f t="shared" si="2"/>
        <v>NÃO</v>
      </c>
    </row>
    <row r="779" ht="15.75" customHeight="1">
      <c r="A779" s="111" t="s">
        <v>860</v>
      </c>
      <c r="B779" s="83" t="s">
        <v>2218</v>
      </c>
      <c r="C779" s="83" t="s">
        <v>164</v>
      </c>
      <c r="D779" s="83">
        <v>1179339.0</v>
      </c>
      <c r="E779" s="83">
        <v>1179236.0</v>
      </c>
      <c r="F779" s="83"/>
      <c r="G779" s="114" t="s">
        <v>3660</v>
      </c>
      <c r="H779" s="91" t="s">
        <v>3661</v>
      </c>
      <c r="I779" s="187" t="s">
        <v>149</v>
      </c>
      <c r="J779" s="83" t="s">
        <v>588</v>
      </c>
      <c r="K779" s="83" t="s">
        <v>168</v>
      </c>
      <c r="L779" s="83" t="s">
        <v>169</v>
      </c>
      <c r="M779" s="82" t="s">
        <v>8097</v>
      </c>
      <c r="N779" s="82" t="s">
        <v>8098</v>
      </c>
      <c r="O779" s="82" t="s">
        <v>8099</v>
      </c>
      <c r="P779" s="82"/>
      <c r="Q779" s="82" t="s">
        <v>8100</v>
      </c>
      <c r="R779" s="82"/>
      <c r="S779" s="82"/>
      <c r="T779" s="138">
        <v>3.0</v>
      </c>
      <c r="U779" s="341">
        <v>3.0</v>
      </c>
      <c r="V779" s="106">
        <v>0.0</v>
      </c>
      <c r="W779" s="107">
        <v>0.0</v>
      </c>
      <c r="X779" s="107">
        <v>0.0</v>
      </c>
      <c r="Y779" s="107">
        <v>0.0</v>
      </c>
      <c r="Z779" s="80">
        <v>0.0</v>
      </c>
      <c r="AA779" s="140">
        <v>0.0</v>
      </c>
      <c r="AB779" s="109">
        <v>0.0</v>
      </c>
      <c r="AC779" s="109">
        <v>0.0</v>
      </c>
      <c r="AD779" s="141">
        <v>0.0</v>
      </c>
      <c r="AE779" s="80">
        <v>0.0</v>
      </c>
      <c r="AF779" s="140">
        <v>0.0</v>
      </c>
      <c r="AG779" s="109">
        <v>0.0</v>
      </c>
      <c r="AH779" s="109">
        <v>11.0</v>
      </c>
      <c r="AI779" s="141">
        <v>0.0</v>
      </c>
      <c r="AJ779" s="80">
        <v>11.0</v>
      </c>
      <c r="AK779" s="140">
        <v>0.0</v>
      </c>
      <c r="AL779" s="109">
        <v>0.0</v>
      </c>
      <c r="AM779" s="141">
        <v>0.0</v>
      </c>
      <c r="AN779" s="80">
        <v>0.0</v>
      </c>
      <c r="AO779" s="140">
        <v>0.0</v>
      </c>
      <c r="AP779" s="109">
        <v>0.0</v>
      </c>
      <c r="AQ779" s="109">
        <v>0.0</v>
      </c>
      <c r="AR779" s="80">
        <v>0.0</v>
      </c>
      <c r="AS779" s="110">
        <v>0.0</v>
      </c>
      <c r="AT779" s="110">
        <v>0.0</v>
      </c>
      <c r="AU779" s="110">
        <v>0.0</v>
      </c>
      <c r="AV779" s="142">
        <v>0.0</v>
      </c>
      <c r="AW779" s="80">
        <v>0.0</v>
      </c>
      <c r="AX779" s="113">
        <v>11.0</v>
      </c>
      <c r="AY779" s="117">
        <v>0.0</v>
      </c>
      <c r="AZ779" s="328">
        <v>11.0</v>
      </c>
      <c r="BA779" s="315">
        <v>0.0</v>
      </c>
      <c r="BB779" s="316">
        <v>11.0</v>
      </c>
      <c r="BC779" s="132" t="s">
        <v>178</v>
      </c>
      <c r="BD779" s="143" t="s">
        <v>227</v>
      </c>
      <c r="BE779" s="132" t="s">
        <v>178</v>
      </c>
      <c r="BF779" s="123"/>
      <c r="BG779" s="83">
        <v>1179236.0</v>
      </c>
      <c r="BH779" s="112">
        <v>3.0</v>
      </c>
      <c r="BI779" s="98" t="s">
        <v>155</v>
      </c>
      <c r="BJ779" s="98" t="str">
        <f t="shared" si="1"/>
        <v>NÃO</v>
      </c>
      <c r="BK779" s="98" t="str">
        <f t="shared" si="2"/>
        <v>NÃO</v>
      </c>
    </row>
    <row r="780" ht="15.75" customHeight="1">
      <c r="A780" s="111" t="s">
        <v>860</v>
      </c>
      <c r="B780" s="83" t="s">
        <v>2173</v>
      </c>
      <c r="C780" s="83" t="s">
        <v>68</v>
      </c>
      <c r="D780" s="83">
        <v>1169558.0</v>
      </c>
      <c r="E780" s="83"/>
      <c r="F780" s="83">
        <v>2.9007887E7</v>
      </c>
      <c r="G780" s="119" t="s">
        <v>3662</v>
      </c>
      <c r="H780" s="91" t="s">
        <v>3663</v>
      </c>
      <c r="I780" s="187" t="s">
        <v>149</v>
      </c>
      <c r="J780" s="83" t="s">
        <v>150</v>
      </c>
      <c r="K780" s="83" t="s">
        <v>151</v>
      </c>
      <c r="L780" s="83" t="s">
        <v>76</v>
      </c>
      <c r="M780" s="82" t="s">
        <v>8265</v>
      </c>
      <c r="N780" s="82" t="s">
        <v>8266</v>
      </c>
      <c r="O780" s="82" t="s">
        <v>8267</v>
      </c>
      <c r="P780" s="82" t="s">
        <v>8268</v>
      </c>
      <c r="Q780" s="82"/>
      <c r="R780" s="82"/>
      <c r="S780" s="82" t="s">
        <v>8269</v>
      </c>
      <c r="T780" s="138">
        <v>5.0</v>
      </c>
      <c r="U780" s="341">
        <v>5.0</v>
      </c>
      <c r="V780" s="106">
        <v>0.0</v>
      </c>
      <c r="W780" s="107">
        <v>0.0</v>
      </c>
      <c r="X780" s="107">
        <v>0.0</v>
      </c>
      <c r="Y780" s="107">
        <v>0.0</v>
      </c>
      <c r="Z780" s="80">
        <v>0.0</v>
      </c>
      <c r="AA780" s="140">
        <v>0.0</v>
      </c>
      <c r="AB780" s="109">
        <v>0.0</v>
      </c>
      <c r="AC780" s="109">
        <v>0.0</v>
      </c>
      <c r="AD780" s="141">
        <v>0.0</v>
      </c>
      <c r="AE780" s="80">
        <v>0.0</v>
      </c>
      <c r="AF780" s="140">
        <v>168.0</v>
      </c>
      <c r="AG780" s="109">
        <v>177.0</v>
      </c>
      <c r="AH780" s="109">
        <v>0.0</v>
      </c>
      <c r="AI780" s="141">
        <v>0.0</v>
      </c>
      <c r="AJ780" s="80">
        <v>345.0</v>
      </c>
      <c r="AK780" s="140">
        <v>0.0</v>
      </c>
      <c r="AL780" s="109">
        <v>0.0</v>
      </c>
      <c r="AM780" s="141">
        <v>0.0</v>
      </c>
      <c r="AN780" s="80">
        <v>0.0</v>
      </c>
      <c r="AO780" s="140">
        <v>0.0</v>
      </c>
      <c r="AP780" s="109">
        <v>0.0</v>
      </c>
      <c r="AQ780" s="109">
        <v>35.0</v>
      </c>
      <c r="AR780" s="80">
        <v>35.0</v>
      </c>
      <c r="AS780" s="110">
        <v>0.0</v>
      </c>
      <c r="AT780" s="110">
        <v>0.0</v>
      </c>
      <c r="AU780" s="110">
        <v>0.0</v>
      </c>
      <c r="AV780" s="142">
        <v>0.0</v>
      </c>
      <c r="AW780" s="80">
        <v>0.0</v>
      </c>
      <c r="AX780" s="113">
        <v>380.0</v>
      </c>
      <c r="AY780" s="117">
        <v>345.0</v>
      </c>
      <c r="AZ780" s="328">
        <v>35.0</v>
      </c>
      <c r="BA780" s="315">
        <v>0.0</v>
      </c>
      <c r="BB780" s="316">
        <v>380.0</v>
      </c>
      <c r="BC780" s="132" t="s">
        <v>178</v>
      </c>
      <c r="BD780" s="132" t="s">
        <v>178</v>
      </c>
      <c r="BE780" s="132" t="s">
        <v>178</v>
      </c>
      <c r="BF780" s="156"/>
      <c r="BG780" s="83">
        <v>1169558.0</v>
      </c>
      <c r="BH780" s="112">
        <v>5.0</v>
      </c>
      <c r="BI780" s="98" t="s">
        <v>155</v>
      </c>
      <c r="BJ780" s="98" t="str">
        <f t="shared" si="1"/>
        <v>NÃO</v>
      </c>
      <c r="BK780" s="98" t="str">
        <f t="shared" si="2"/>
        <v>NÃO</v>
      </c>
    </row>
    <row r="781" ht="15.75" customHeight="1">
      <c r="A781" s="111" t="s">
        <v>860</v>
      </c>
      <c r="B781" s="83" t="s">
        <v>2173</v>
      </c>
      <c r="C781" s="83" t="s">
        <v>164</v>
      </c>
      <c r="D781" s="83">
        <v>1169558.0</v>
      </c>
      <c r="E781" s="83">
        <v>1178879.0</v>
      </c>
      <c r="F781" s="83"/>
      <c r="G781" s="114" t="s">
        <v>8275</v>
      </c>
      <c r="H781" s="91" t="s">
        <v>8277</v>
      </c>
      <c r="I781" s="187" t="s">
        <v>149</v>
      </c>
      <c r="J781" s="83" t="s">
        <v>8279</v>
      </c>
      <c r="K781" s="83" t="s">
        <v>151</v>
      </c>
      <c r="L781" s="83" t="s">
        <v>169</v>
      </c>
      <c r="M781" s="82" t="s">
        <v>8265</v>
      </c>
      <c r="N781" s="82" t="s">
        <v>8266</v>
      </c>
      <c r="O781" s="82" t="s">
        <v>8267</v>
      </c>
      <c r="P781" s="82" t="s">
        <v>8268</v>
      </c>
      <c r="Q781" s="82"/>
      <c r="R781" s="82"/>
      <c r="S781" s="82" t="s">
        <v>8269</v>
      </c>
      <c r="T781" s="138">
        <v>4.0</v>
      </c>
      <c r="U781" s="341">
        <v>5.0</v>
      </c>
      <c r="V781" s="106">
        <v>0.0</v>
      </c>
      <c r="W781" s="107">
        <v>0.0</v>
      </c>
      <c r="X781" s="107">
        <v>0.0</v>
      </c>
      <c r="Y781" s="107">
        <v>0.0</v>
      </c>
      <c r="Z781" s="80">
        <v>0.0</v>
      </c>
      <c r="AA781" s="140">
        <v>0.0</v>
      </c>
      <c r="AB781" s="109">
        <v>0.0</v>
      </c>
      <c r="AC781" s="109">
        <v>0.0</v>
      </c>
      <c r="AD781" s="141">
        <v>0.0</v>
      </c>
      <c r="AE781" s="80">
        <v>0.0</v>
      </c>
      <c r="AF781" s="140">
        <v>0.0</v>
      </c>
      <c r="AG781" s="109">
        <v>122.0</v>
      </c>
      <c r="AH781" s="109">
        <v>0.0</v>
      </c>
      <c r="AI781" s="141">
        <v>0.0</v>
      </c>
      <c r="AJ781" s="80">
        <v>122.0</v>
      </c>
      <c r="AK781" s="140">
        <v>0.0</v>
      </c>
      <c r="AL781" s="109">
        <v>0.0</v>
      </c>
      <c r="AM781" s="141">
        <v>0.0</v>
      </c>
      <c r="AN781" s="80">
        <v>0.0</v>
      </c>
      <c r="AO781" s="140">
        <v>0.0</v>
      </c>
      <c r="AP781" s="109">
        <v>0.0</v>
      </c>
      <c r="AQ781" s="109">
        <v>0.0</v>
      </c>
      <c r="AR781" s="80">
        <v>0.0</v>
      </c>
      <c r="AS781" s="110">
        <v>0.0</v>
      </c>
      <c r="AT781" s="110">
        <v>0.0</v>
      </c>
      <c r="AU781" s="110">
        <v>0.0</v>
      </c>
      <c r="AV781" s="142">
        <v>0.0</v>
      </c>
      <c r="AW781" s="80">
        <v>0.0</v>
      </c>
      <c r="AX781" s="113">
        <v>122.0</v>
      </c>
      <c r="AY781" s="117">
        <v>122.0</v>
      </c>
      <c r="AZ781" s="328">
        <v>0.0</v>
      </c>
      <c r="BA781" s="315">
        <v>0.0</v>
      </c>
      <c r="BB781" s="316">
        <v>122.0</v>
      </c>
      <c r="BC781" s="132" t="s">
        <v>373</v>
      </c>
      <c r="BD781" s="132" t="s">
        <v>178</v>
      </c>
      <c r="BE781" s="132" t="s">
        <v>178</v>
      </c>
      <c r="BF781" s="123"/>
      <c r="BG781" s="83">
        <v>1178879.0</v>
      </c>
      <c r="BH781" s="112">
        <v>5.0</v>
      </c>
      <c r="BI781" s="98" t="s">
        <v>155</v>
      </c>
      <c r="BJ781" s="98" t="str">
        <f t="shared" si="1"/>
        <v>NÃO</v>
      </c>
      <c r="BK781" s="98" t="str">
        <f t="shared" si="2"/>
        <v>NÃO</v>
      </c>
    </row>
    <row r="782" ht="15.75" customHeight="1">
      <c r="A782" s="111" t="s">
        <v>860</v>
      </c>
      <c r="B782" s="83" t="s">
        <v>2030</v>
      </c>
      <c r="C782" s="83" t="s">
        <v>68</v>
      </c>
      <c r="D782" s="83">
        <v>1179662.0</v>
      </c>
      <c r="E782" s="83"/>
      <c r="F782" s="83">
        <v>2.9474914E7</v>
      </c>
      <c r="G782" s="114" t="s">
        <v>8285</v>
      </c>
      <c r="H782" s="91" t="s">
        <v>8286</v>
      </c>
      <c r="I782" s="187" t="s">
        <v>149</v>
      </c>
      <c r="J782" s="83" t="s">
        <v>150</v>
      </c>
      <c r="K782" s="83" t="s">
        <v>151</v>
      </c>
      <c r="L782" s="83" t="s">
        <v>230</v>
      </c>
      <c r="M782" s="82" t="s">
        <v>8287</v>
      </c>
      <c r="N782" s="82" t="s">
        <v>8288</v>
      </c>
      <c r="O782" s="82" t="s">
        <v>8289</v>
      </c>
      <c r="P782" s="82" t="s">
        <v>8290</v>
      </c>
      <c r="Q782" s="82"/>
      <c r="R782" s="82"/>
      <c r="S782" s="82" t="s">
        <v>8291</v>
      </c>
      <c r="T782" s="138">
        <v>6.0</v>
      </c>
      <c r="U782" s="341">
        <v>4.0</v>
      </c>
      <c r="V782" s="106">
        <v>0.0</v>
      </c>
      <c r="W782" s="107">
        <v>0.0</v>
      </c>
      <c r="X782" s="107">
        <v>0.0</v>
      </c>
      <c r="Y782" s="107">
        <v>0.0</v>
      </c>
      <c r="Z782" s="80">
        <v>0.0</v>
      </c>
      <c r="AA782" s="140">
        <v>0.0</v>
      </c>
      <c r="AB782" s="109">
        <v>0.0</v>
      </c>
      <c r="AC782" s="109">
        <v>0.0</v>
      </c>
      <c r="AD782" s="141">
        <v>0.0</v>
      </c>
      <c r="AE782" s="80">
        <v>0.0</v>
      </c>
      <c r="AF782" s="140">
        <v>255.0</v>
      </c>
      <c r="AG782" s="109">
        <v>201.0</v>
      </c>
      <c r="AH782" s="109">
        <v>0.0</v>
      </c>
      <c r="AI782" s="141">
        <v>0.0</v>
      </c>
      <c r="AJ782" s="80">
        <v>456.0</v>
      </c>
      <c r="AK782" s="140">
        <v>0.0</v>
      </c>
      <c r="AL782" s="109">
        <v>0.0</v>
      </c>
      <c r="AM782" s="141">
        <v>0.0</v>
      </c>
      <c r="AN782" s="80">
        <v>0.0</v>
      </c>
      <c r="AO782" s="140">
        <v>0.0</v>
      </c>
      <c r="AP782" s="109">
        <v>0.0</v>
      </c>
      <c r="AQ782" s="109">
        <v>113.0</v>
      </c>
      <c r="AR782" s="80">
        <v>113.0</v>
      </c>
      <c r="AS782" s="110">
        <v>160.0</v>
      </c>
      <c r="AT782" s="110">
        <v>169.0</v>
      </c>
      <c r="AU782" s="110">
        <v>89.0</v>
      </c>
      <c r="AV782" s="142">
        <v>0.0</v>
      </c>
      <c r="AW782" s="80">
        <v>418.0</v>
      </c>
      <c r="AX782" s="113">
        <v>987.0</v>
      </c>
      <c r="AY782" s="117">
        <v>785.0</v>
      </c>
      <c r="AZ782" s="328">
        <v>202.0</v>
      </c>
      <c r="BA782" s="315">
        <v>78.0</v>
      </c>
      <c r="BB782" s="316">
        <v>1065.0</v>
      </c>
      <c r="BC782" s="132" t="s">
        <v>178</v>
      </c>
      <c r="BD782" s="132" t="s">
        <v>522</v>
      </c>
      <c r="BE782" s="132" t="s">
        <v>178</v>
      </c>
      <c r="BF782" s="156"/>
      <c r="BG782" s="83">
        <v>1179662.0</v>
      </c>
      <c r="BH782" s="112">
        <v>4.0</v>
      </c>
      <c r="BI782" s="98" t="s">
        <v>162</v>
      </c>
      <c r="BJ782" s="98" t="str">
        <f t="shared" si="1"/>
        <v>NÃO</v>
      </c>
      <c r="BK782" s="98" t="str">
        <f t="shared" si="2"/>
        <v>PROFISSIONAL</v>
      </c>
    </row>
    <row r="783" ht="15.75" customHeight="1">
      <c r="A783" s="111" t="s">
        <v>860</v>
      </c>
      <c r="B783" s="83" t="s">
        <v>2403</v>
      </c>
      <c r="C783" s="83" t="s">
        <v>68</v>
      </c>
      <c r="D783" s="82">
        <v>1179440.0</v>
      </c>
      <c r="E783" s="82"/>
      <c r="F783" s="83">
        <v>2.9464773E7</v>
      </c>
      <c r="G783" s="91" t="s">
        <v>8300</v>
      </c>
      <c r="H783" s="108" t="s">
        <v>3674</v>
      </c>
      <c r="I783" s="114" t="s">
        <v>3675</v>
      </c>
      <c r="J783" s="83" t="s">
        <v>150</v>
      </c>
      <c r="K783" s="83" t="s">
        <v>151</v>
      </c>
      <c r="L783" s="83" t="s">
        <v>230</v>
      </c>
      <c r="M783" s="82" t="s">
        <v>8301</v>
      </c>
      <c r="N783" s="82" t="s">
        <v>8302</v>
      </c>
      <c r="O783" s="82" t="s">
        <v>8303</v>
      </c>
      <c r="P783" s="82" t="s">
        <v>8304</v>
      </c>
      <c r="Q783" s="82"/>
      <c r="R783" s="82"/>
      <c r="S783" s="82"/>
      <c r="T783" s="138">
        <v>11.0</v>
      </c>
      <c r="U783" s="341">
        <v>10.0</v>
      </c>
      <c r="V783" s="106">
        <v>0.0</v>
      </c>
      <c r="W783" s="107">
        <v>0.0</v>
      </c>
      <c r="X783" s="107">
        <v>0.0</v>
      </c>
      <c r="Y783" s="107">
        <v>0.0</v>
      </c>
      <c r="Z783" s="80">
        <v>0.0</v>
      </c>
      <c r="AA783" s="140">
        <v>0.0</v>
      </c>
      <c r="AB783" s="109">
        <v>0.0</v>
      </c>
      <c r="AC783" s="109">
        <v>0.0</v>
      </c>
      <c r="AD783" s="141">
        <v>0.0</v>
      </c>
      <c r="AE783" s="80">
        <v>0.0</v>
      </c>
      <c r="AF783" s="140">
        <v>443.0</v>
      </c>
      <c r="AG783" s="109">
        <v>381.0</v>
      </c>
      <c r="AH783" s="109">
        <v>82.0</v>
      </c>
      <c r="AI783" s="141">
        <v>49.0</v>
      </c>
      <c r="AJ783" s="80">
        <v>955.0</v>
      </c>
      <c r="AK783" s="140">
        <v>0.0</v>
      </c>
      <c r="AL783" s="109">
        <v>0.0</v>
      </c>
      <c r="AM783" s="141">
        <v>0.0</v>
      </c>
      <c r="AN783" s="80">
        <v>0.0</v>
      </c>
      <c r="AO783" s="140">
        <v>0.0</v>
      </c>
      <c r="AP783" s="109">
        <v>0.0</v>
      </c>
      <c r="AQ783" s="109">
        <v>186.0</v>
      </c>
      <c r="AR783" s="80">
        <v>186.0</v>
      </c>
      <c r="AS783" s="110">
        <v>25.0</v>
      </c>
      <c r="AT783" s="110">
        <v>23.0</v>
      </c>
      <c r="AU783" s="110">
        <v>0.0</v>
      </c>
      <c r="AV783" s="142">
        <v>0.0</v>
      </c>
      <c r="AW783" s="80">
        <v>48.0</v>
      </c>
      <c r="AX783" s="113">
        <v>1189.0</v>
      </c>
      <c r="AY783" s="117">
        <v>921.0</v>
      </c>
      <c r="AZ783" s="328">
        <v>268.0</v>
      </c>
      <c r="BA783" s="315">
        <v>1.0</v>
      </c>
      <c r="BB783" s="316">
        <v>1190.0</v>
      </c>
      <c r="BC783" s="132" t="s">
        <v>178</v>
      </c>
      <c r="BD783" s="132" t="s">
        <v>178</v>
      </c>
      <c r="BE783" s="132" t="s">
        <v>178</v>
      </c>
      <c r="BF783" s="123"/>
      <c r="BG783" s="83">
        <v>1179440.0</v>
      </c>
      <c r="BH783" s="112">
        <v>10.0</v>
      </c>
      <c r="BI783" s="98" t="s">
        <v>162</v>
      </c>
      <c r="BJ783" s="98" t="str">
        <f t="shared" si="1"/>
        <v>INTEGRAL</v>
      </c>
      <c r="BK783" s="98" t="str">
        <f t="shared" si="2"/>
        <v>PROFISSIONAL</v>
      </c>
    </row>
    <row r="784" ht="15.75" customHeight="1">
      <c r="A784" s="111" t="s">
        <v>860</v>
      </c>
      <c r="B784" s="83" t="s">
        <v>2403</v>
      </c>
      <c r="C784" s="83" t="s">
        <v>68</v>
      </c>
      <c r="D784" s="83">
        <v>1171390.0</v>
      </c>
      <c r="E784" s="83"/>
      <c r="F784" s="83">
        <v>2.9379423E7</v>
      </c>
      <c r="G784" s="153" t="s">
        <v>8310</v>
      </c>
      <c r="H784" s="91" t="s">
        <v>3670</v>
      </c>
      <c r="I784" s="114" t="s">
        <v>149</v>
      </c>
      <c r="J784" s="83" t="s">
        <v>150</v>
      </c>
      <c r="K784" s="83" t="s">
        <v>151</v>
      </c>
      <c r="L784" s="83" t="s">
        <v>230</v>
      </c>
      <c r="M784" s="82" t="s">
        <v>8314</v>
      </c>
      <c r="N784" s="82" t="s">
        <v>8315</v>
      </c>
      <c r="O784" s="82" t="s">
        <v>8316</v>
      </c>
      <c r="P784" s="82"/>
      <c r="Q784" s="82" t="s">
        <v>8317</v>
      </c>
      <c r="R784" s="82" t="s">
        <v>8318</v>
      </c>
      <c r="S784" s="82" t="s">
        <v>8319</v>
      </c>
      <c r="T784" s="138">
        <v>13.0</v>
      </c>
      <c r="U784" s="331" t="s">
        <v>8320</v>
      </c>
      <c r="V784" s="106">
        <v>0.0</v>
      </c>
      <c r="W784" s="107">
        <v>0.0</v>
      </c>
      <c r="X784" s="107">
        <v>0.0</v>
      </c>
      <c r="Y784" s="107">
        <v>0.0</v>
      </c>
      <c r="Z784" s="80">
        <v>0.0</v>
      </c>
      <c r="AA784" s="140">
        <v>0.0</v>
      </c>
      <c r="AB784" s="109">
        <v>0.0</v>
      </c>
      <c r="AC784" s="109">
        <v>0.0</v>
      </c>
      <c r="AD784" s="141">
        <v>0.0</v>
      </c>
      <c r="AE784" s="80">
        <v>0.0</v>
      </c>
      <c r="AF784" s="140">
        <v>397.0</v>
      </c>
      <c r="AG784" s="109">
        <v>339.0</v>
      </c>
      <c r="AH784" s="109">
        <v>103.0</v>
      </c>
      <c r="AI784" s="141">
        <v>71.0</v>
      </c>
      <c r="AJ784" s="80">
        <v>910.0</v>
      </c>
      <c r="AK784" s="140">
        <v>0.0</v>
      </c>
      <c r="AL784" s="109">
        <v>0.0</v>
      </c>
      <c r="AM784" s="141">
        <v>0.0</v>
      </c>
      <c r="AN784" s="80">
        <v>0.0</v>
      </c>
      <c r="AO784" s="140">
        <v>0.0</v>
      </c>
      <c r="AP784" s="109">
        <v>0.0</v>
      </c>
      <c r="AQ784" s="109">
        <v>224.0</v>
      </c>
      <c r="AR784" s="80">
        <v>224.0</v>
      </c>
      <c r="AS784" s="110">
        <v>0.0</v>
      </c>
      <c r="AT784" s="110">
        <v>0.0</v>
      </c>
      <c r="AU784" s="110">
        <v>0.0</v>
      </c>
      <c r="AV784" s="142">
        <v>0.0</v>
      </c>
      <c r="AW784" s="80">
        <v>0.0</v>
      </c>
      <c r="AX784" s="113">
        <v>1134.0</v>
      </c>
      <c r="AY784" s="117">
        <v>807.0</v>
      </c>
      <c r="AZ784" s="328">
        <v>327.0</v>
      </c>
      <c r="BA784" s="315">
        <v>0.0</v>
      </c>
      <c r="BB784" s="316">
        <v>1134.0</v>
      </c>
      <c r="BC784" s="132" t="s">
        <v>178</v>
      </c>
      <c r="BD784" s="132" t="s">
        <v>178</v>
      </c>
      <c r="BE784" s="132" t="s">
        <v>178</v>
      </c>
      <c r="BF784" s="156"/>
      <c r="BG784" s="83">
        <v>1171390.0</v>
      </c>
      <c r="BH784" s="112">
        <v>13.0</v>
      </c>
      <c r="BI784" s="98" t="s">
        <v>155</v>
      </c>
      <c r="BJ784" s="98" t="str">
        <f t="shared" si="1"/>
        <v>INTEGRAL</v>
      </c>
      <c r="BK784" s="98" t="str">
        <f t="shared" si="2"/>
        <v>NÃO</v>
      </c>
    </row>
    <row r="785" ht="15.75" customHeight="1">
      <c r="A785" s="111" t="s">
        <v>860</v>
      </c>
      <c r="B785" s="83" t="s">
        <v>2403</v>
      </c>
      <c r="C785" s="83" t="s">
        <v>68</v>
      </c>
      <c r="D785" s="83">
        <v>1177102.0</v>
      </c>
      <c r="E785" s="83"/>
      <c r="F785" s="83">
        <v>2.942755E7</v>
      </c>
      <c r="G785" s="241" t="s">
        <v>8324</v>
      </c>
      <c r="H785" s="91" t="s">
        <v>3679</v>
      </c>
      <c r="I785" s="114" t="s">
        <v>149</v>
      </c>
      <c r="J785" s="83" t="s">
        <v>150</v>
      </c>
      <c r="K785" s="83" t="s">
        <v>151</v>
      </c>
      <c r="L785" s="83" t="s">
        <v>152</v>
      </c>
      <c r="M785" s="82" t="s">
        <v>8328</v>
      </c>
      <c r="N785" s="82" t="s">
        <v>8329</v>
      </c>
      <c r="O785" s="82" t="s">
        <v>8330</v>
      </c>
      <c r="P785" s="82" t="s">
        <v>8332</v>
      </c>
      <c r="Q785" s="82" t="s">
        <v>8333</v>
      </c>
      <c r="R785" s="82"/>
      <c r="S785" s="82" t="s">
        <v>8334</v>
      </c>
      <c r="T785" s="138">
        <v>14.0</v>
      </c>
      <c r="U785" s="331" t="s">
        <v>8335</v>
      </c>
      <c r="V785" s="106">
        <v>0.0</v>
      </c>
      <c r="W785" s="107">
        <v>0.0</v>
      </c>
      <c r="X785" s="107">
        <v>0.0</v>
      </c>
      <c r="Y785" s="107">
        <v>0.0</v>
      </c>
      <c r="Z785" s="80">
        <v>0.0</v>
      </c>
      <c r="AA785" s="140">
        <v>0.0</v>
      </c>
      <c r="AB785" s="109">
        <v>0.0</v>
      </c>
      <c r="AC785" s="109">
        <v>0.0</v>
      </c>
      <c r="AD785" s="141">
        <v>0.0</v>
      </c>
      <c r="AE785" s="80">
        <v>0.0</v>
      </c>
      <c r="AF785" s="140">
        <v>524.0</v>
      </c>
      <c r="AG785" s="109">
        <v>367.0</v>
      </c>
      <c r="AH785" s="109">
        <v>157.0</v>
      </c>
      <c r="AI785" s="141">
        <v>0.0</v>
      </c>
      <c r="AJ785" s="80">
        <v>1048.0</v>
      </c>
      <c r="AK785" s="140">
        <v>0.0</v>
      </c>
      <c r="AL785" s="109">
        <v>0.0</v>
      </c>
      <c r="AM785" s="141">
        <v>0.0</v>
      </c>
      <c r="AN785" s="80">
        <v>0.0</v>
      </c>
      <c r="AO785" s="140">
        <v>0.0</v>
      </c>
      <c r="AP785" s="109">
        <v>0.0</v>
      </c>
      <c r="AQ785" s="109">
        <v>272.0</v>
      </c>
      <c r="AR785" s="80">
        <v>272.0</v>
      </c>
      <c r="AS785" s="110">
        <v>0.0</v>
      </c>
      <c r="AT785" s="110">
        <v>0.0</v>
      </c>
      <c r="AU785" s="110">
        <v>0.0</v>
      </c>
      <c r="AV785" s="142">
        <v>0.0</v>
      </c>
      <c r="AW785" s="80">
        <v>0.0</v>
      </c>
      <c r="AX785" s="113">
        <v>1320.0</v>
      </c>
      <c r="AY785" s="117">
        <v>891.0</v>
      </c>
      <c r="AZ785" s="328">
        <v>429.0</v>
      </c>
      <c r="BA785" s="315">
        <v>2.0</v>
      </c>
      <c r="BB785" s="316">
        <v>1322.0</v>
      </c>
      <c r="BC785" s="132" t="s">
        <v>178</v>
      </c>
      <c r="BD785" s="132" t="s">
        <v>178</v>
      </c>
      <c r="BE785" s="132" t="s">
        <v>178</v>
      </c>
      <c r="BF785" s="156"/>
      <c r="BG785" s="83">
        <v>1177102.0</v>
      </c>
      <c r="BH785" s="112">
        <v>15.0</v>
      </c>
      <c r="BI785" s="98" t="s">
        <v>155</v>
      </c>
      <c r="BJ785" s="98" t="str">
        <f t="shared" si="1"/>
        <v>NÃO</v>
      </c>
      <c r="BK785" s="98" t="str">
        <f t="shared" si="2"/>
        <v>NÃO</v>
      </c>
    </row>
    <row r="786" ht="15.75" customHeight="1">
      <c r="A786" s="111" t="s">
        <v>860</v>
      </c>
      <c r="B786" s="83" t="s">
        <v>2403</v>
      </c>
      <c r="C786" s="83" t="s">
        <v>164</v>
      </c>
      <c r="D786" s="83">
        <v>1171390.0</v>
      </c>
      <c r="E786" s="83">
        <v>1178887.0</v>
      </c>
      <c r="F786" s="83"/>
      <c r="G786" s="241" t="s">
        <v>8339</v>
      </c>
      <c r="H786" s="91" t="s">
        <v>8340</v>
      </c>
      <c r="I786" s="114" t="s">
        <v>149</v>
      </c>
      <c r="J786" s="98" t="s">
        <v>150</v>
      </c>
      <c r="K786" s="83" t="s">
        <v>1078</v>
      </c>
      <c r="L786" s="83" t="s">
        <v>512</v>
      </c>
      <c r="M786" s="82" t="s">
        <v>8314</v>
      </c>
      <c r="N786" s="82" t="s">
        <v>8315</v>
      </c>
      <c r="O786" s="82" t="s">
        <v>8316</v>
      </c>
      <c r="P786" s="82"/>
      <c r="Q786" s="82" t="s">
        <v>8317</v>
      </c>
      <c r="R786" s="82" t="s">
        <v>8318</v>
      </c>
      <c r="S786" s="82" t="s">
        <v>8319</v>
      </c>
      <c r="T786" s="138" t="s">
        <v>171</v>
      </c>
      <c r="U786" s="331">
        <v>3.0</v>
      </c>
      <c r="V786" s="106">
        <v>0.0</v>
      </c>
      <c r="W786" s="107">
        <v>0.0</v>
      </c>
      <c r="X786" s="107">
        <v>0.0</v>
      </c>
      <c r="Y786" s="107">
        <v>0.0</v>
      </c>
      <c r="Z786" s="80">
        <v>0.0</v>
      </c>
      <c r="AA786" s="140">
        <v>0.0</v>
      </c>
      <c r="AB786" s="109">
        <v>0.0</v>
      </c>
      <c r="AC786" s="109">
        <v>0.0</v>
      </c>
      <c r="AD786" s="141">
        <v>0.0</v>
      </c>
      <c r="AE786" s="80">
        <v>0.0</v>
      </c>
      <c r="AF786" s="140">
        <v>149.0</v>
      </c>
      <c r="AG786" s="109">
        <v>172.0</v>
      </c>
      <c r="AH786" s="109">
        <v>0.0</v>
      </c>
      <c r="AI786" s="141">
        <v>0.0</v>
      </c>
      <c r="AJ786" s="80">
        <v>321.0</v>
      </c>
      <c r="AK786" s="140">
        <v>0.0</v>
      </c>
      <c r="AL786" s="109">
        <v>0.0</v>
      </c>
      <c r="AM786" s="141">
        <v>0.0</v>
      </c>
      <c r="AN786" s="80">
        <v>0.0</v>
      </c>
      <c r="AO786" s="140">
        <v>0.0</v>
      </c>
      <c r="AP786" s="109">
        <v>0.0</v>
      </c>
      <c r="AQ786" s="109">
        <v>0.0</v>
      </c>
      <c r="AR786" s="80">
        <v>0.0</v>
      </c>
      <c r="AS786" s="110">
        <v>0.0</v>
      </c>
      <c r="AT786" s="110">
        <v>0.0</v>
      </c>
      <c r="AU786" s="110">
        <v>0.0</v>
      </c>
      <c r="AV786" s="142">
        <v>0.0</v>
      </c>
      <c r="AW786" s="80">
        <v>0.0</v>
      </c>
      <c r="AX786" s="113">
        <v>321.0</v>
      </c>
      <c r="AY786" s="117">
        <v>321.0</v>
      </c>
      <c r="AZ786" s="328">
        <v>0.0</v>
      </c>
      <c r="BA786" s="315">
        <v>0.0</v>
      </c>
      <c r="BB786" s="316">
        <v>321.0</v>
      </c>
      <c r="BC786" s="132" t="s">
        <v>178</v>
      </c>
      <c r="BD786" s="132" t="s">
        <v>178</v>
      </c>
      <c r="BE786" s="132" t="s">
        <v>178</v>
      </c>
      <c r="BF786" s="156"/>
      <c r="BG786" s="83">
        <v>1178887.0</v>
      </c>
      <c r="BH786" s="112">
        <v>3.0</v>
      </c>
      <c r="BI786" s="98" t="s">
        <v>155</v>
      </c>
      <c r="BJ786" s="98" t="str">
        <f t="shared" si="1"/>
        <v>NÃO</v>
      </c>
      <c r="BK786" s="98" t="str">
        <f t="shared" si="2"/>
        <v>NÃO</v>
      </c>
    </row>
    <row r="787" ht="15.75" customHeight="1">
      <c r="A787" s="111" t="s">
        <v>860</v>
      </c>
      <c r="B787" s="83" t="s">
        <v>2403</v>
      </c>
      <c r="C787" s="83" t="s">
        <v>164</v>
      </c>
      <c r="D787" s="83">
        <v>1179339.0</v>
      </c>
      <c r="E787" s="83">
        <v>1178885.0</v>
      </c>
      <c r="F787" s="83"/>
      <c r="G787" s="241" t="s">
        <v>3688</v>
      </c>
      <c r="H787" s="91" t="s">
        <v>3689</v>
      </c>
      <c r="I787" s="114" t="s">
        <v>3690</v>
      </c>
      <c r="J787" s="83" t="s">
        <v>464</v>
      </c>
      <c r="K787" s="83" t="s">
        <v>168</v>
      </c>
      <c r="L787" s="83" t="s">
        <v>169</v>
      </c>
      <c r="M787" s="82" t="s">
        <v>8097</v>
      </c>
      <c r="N787" s="82" t="s">
        <v>8098</v>
      </c>
      <c r="O787" s="82" t="s">
        <v>8099</v>
      </c>
      <c r="P787" s="82"/>
      <c r="Q787" s="82" t="s">
        <v>8100</v>
      </c>
      <c r="R787" s="82"/>
      <c r="S787" s="82"/>
      <c r="T787" s="138">
        <v>3.0</v>
      </c>
      <c r="U787" s="389">
        <v>3.0</v>
      </c>
      <c r="V787" s="106">
        <v>0.0</v>
      </c>
      <c r="W787" s="107">
        <v>0.0</v>
      </c>
      <c r="X787" s="107">
        <v>0.0</v>
      </c>
      <c r="Y787" s="107">
        <v>0.0</v>
      </c>
      <c r="Z787" s="80">
        <v>0.0</v>
      </c>
      <c r="AA787" s="140">
        <v>0.0</v>
      </c>
      <c r="AB787" s="109">
        <v>0.0</v>
      </c>
      <c r="AC787" s="109">
        <v>0.0</v>
      </c>
      <c r="AD787" s="141">
        <v>0.0</v>
      </c>
      <c r="AE787" s="80">
        <v>0.0</v>
      </c>
      <c r="AF787" s="140">
        <v>0.0</v>
      </c>
      <c r="AG787" s="109">
        <v>0.0</v>
      </c>
      <c r="AH787" s="109">
        <v>18.0</v>
      </c>
      <c r="AI787" s="141">
        <v>0.0</v>
      </c>
      <c r="AJ787" s="80">
        <v>18.0</v>
      </c>
      <c r="AK787" s="140">
        <v>0.0</v>
      </c>
      <c r="AL787" s="109">
        <v>0.0</v>
      </c>
      <c r="AM787" s="141">
        <v>0.0</v>
      </c>
      <c r="AN787" s="80">
        <v>0.0</v>
      </c>
      <c r="AO787" s="140">
        <v>0.0</v>
      </c>
      <c r="AP787" s="109">
        <v>0.0</v>
      </c>
      <c r="AQ787" s="109">
        <v>0.0</v>
      </c>
      <c r="AR787" s="80">
        <v>0.0</v>
      </c>
      <c r="AS787" s="110">
        <v>0.0</v>
      </c>
      <c r="AT787" s="110">
        <v>0.0</v>
      </c>
      <c r="AU787" s="110">
        <v>0.0</v>
      </c>
      <c r="AV787" s="142">
        <v>0.0</v>
      </c>
      <c r="AW787" s="80">
        <v>0.0</v>
      </c>
      <c r="AX787" s="113">
        <v>18.0</v>
      </c>
      <c r="AY787" s="117">
        <v>0.0</v>
      </c>
      <c r="AZ787" s="328">
        <v>18.0</v>
      </c>
      <c r="BA787" s="315">
        <v>0.0</v>
      </c>
      <c r="BB787" s="316">
        <v>18.0</v>
      </c>
      <c r="BC787" s="132" t="s">
        <v>178</v>
      </c>
      <c r="BD787" s="143" t="s">
        <v>227</v>
      </c>
      <c r="BE787" s="132" t="s">
        <v>178</v>
      </c>
      <c r="BF787" s="156"/>
      <c r="BG787" s="83">
        <v>1178885.0</v>
      </c>
      <c r="BH787" s="112">
        <v>3.0</v>
      </c>
      <c r="BI787" s="98" t="s">
        <v>155</v>
      </c>
      <c r="BJ787" s="98" t="str">
        <f t="shared" si="1"/>
        <v>NÃO</v>
      </c>
      <c r="BK787" s="98" t="str">
        <f t="shared" si="2"/>
        <v>NÃO</v>
      </c>
    </row>
    <row r="788" ht="15.75" customHeight="1">
      <c r="A788" s="111" t="s">
        <v>860</v>
      </c>
      <c r="B788" s="83" t="s">
        <v>2403</v>
      </c>
      <c r="C788" s="83" t="s">
        <v>164</v>
      </c>
      <c r="D788" s="83">
        <v>1179339.0</v>
      </c>
      <c r="E788" s="83">
        <v>1179335.0</v>
      </c>
      <c r="F788" s="83"/>
      <c r="G788" s="298" t="s">
        <v>3691</v>
      </c>
      <c r="H788" s="91" t="s">
        <v>3692</v>
      </c>
      <c r="I788" s="187" t="s">
        <v>3693</v>
      </c>
      <c r="J788" s="136" t="s">
        <v>868</v>
      </c>
      <c r="K788" s="83" t="s">
        <v>168</v>
      </c>
      <c r="L788" s="83" t="s">
        <v>169</v>
      </c>
      <c r="M788" s="82" t="s">
        <v>8097</v>
      </c>
      <c r="N788" s="82" t="s">
        <v>8098</v>
      </c>
      <c r="O788" s="82" t="s">
        <v>8099</v>
      </c>
      <c r="P788" s="82"/>
      <c r="Q788" s="82" t="s">
        <v>8100</v>
      </c>
      <c r="R788" s="82"/>
      <c r="S788" s="82"/>
      <c r="T788" s="138">
        <v>2.0</v>
      </c>
      <c r="U788" s="323">
        <v>2.0</v>
      </c>
      <c r="V788" s="106">
        <v>0.0</v>
      </c>
      <c r="W788" s="107">
        <v>0.0</v>
      </c>
      <c r="X788" s="107">
        <v>0.0</v>
      </c>
      <c r="Y788" s="107">
        <v>0.0</v>
      </c>
      <c r="Z788" s="80">
        <v>0.0</v>
      </c>
      <c r="AA788" s="140">
        <v>0.0</v>
      </c>
      <c r="AB788" s="109">
        <v>0.0</v>
      </c>
      <c r="AC788" s="109">
        <v>0.0</v>
      </c>
      <c r="AD788" s="141">
        <v>0.0</v>
      </c>
      <c r="AE788" s="80">
        <v>0.0</v>
      </c>
      <c r="AF788" s="140">
        <v>0.0</v>
      </c>
      <c r="AG788" s="109">
        <v>8.0</v>
      </c>
      <c r="AH788" s="109">
        <v>37.0</v>
      </c>
      <c r="AI788" s="141">
        <v>0.0</v>
      </c>
      <c r="AJ788" s="80">
        <v>45.0</v>
      </c>
      <c r="AK788" s="140">
        <v>0.0</v>
      </c>
      <c r="AL788" s="109">
        <v>0.0</v>
      </c>
      <c r="AM788" s="141">
        <v>0.0</v>
      </c>
      <c r="AN788" s="80">
        <v>0.0</v>
      </c>
      <c r="AO788" s="140">
        <v>0.0</v>
      </c>
      <c r="AP788" s="109">
        <v>0.0</v>
      </c>
      <c r="AQ788" s="109">
        <v>0.0</v>
      </c>
      <c r="AR788" s="80">
        <v>0.0</v>
      </c>
      <c r="AS788" s="110">
        <v>0.0</v>
      </c>
      <c r="AT788" s="110">
        <v>0.0</v>
      </c>
      <c r="AU788" s="110">
        <v>0.0</v>
      </c>
      <c r="AV788" s="142">
        <v>0.0</v>
      </c>
      <c r="AW788" s="80">
        <v>0.0</v>
      </c>
      <c r="AX788" s="113">
        <v>45.0</v>
      </c>
      <c r="AY788" s="117">
        <v>8.0</v>
      </c>
      <c r="AZ788" s="328">
        <v>37.0</v>
      </c>
      <c r="BA788" s="315">
        <v>1.0</v>
      </c>
      <c r="BB788" s="316">
        <v>46.0</v>
      </c>
      <c r="BC788" s="132" t="s">
        <v>178</v>
      </c>
      <c r="BD788" s="143" t="s">
        <v>227</v>
      </c>
      <c r="BE788" s="132" t="s">
        <v>178</v>
      </c>
      <c r="BF788" s="123"/>
      <c r="BG788" s="83">
        <v>1179335.0</v>
      </c>
      <c r="BH788" s="112">
        <v>2.0</v>
      </c>
      <c r="BI788" s="98" t="s">
        <v>155</v>
      </c>
      <c r="BJ788" s="98" t="str">
        <f t="shared" si="1"/>
        <v>NÃO</v>
      </c>
      <c r="BK788" s="98" t="str">
        <f t="shared" si="2"/>
        <v>NÃO</v>
      </c>
    </row>
    <row r="789" ht="15.75" customHeight="1">
      <c r="A789" s="111" t="s">
        <v>860</v>
      </c>
      <c r="B789" s="83" t="s">
        <v>2403</v>
      </c>
      <c r="C789" s="83" t="s">
        <v>164</v>
      </c>
      <c r="D789" s="83">
        <v>1179339.0</v>
      </c>
      <c r="E789" s="83">
        <v>1179238.0</v>
      </c>
      <c r="F789" s="83"/>
      <c r="G789" s="114" t="s">
        <v>3699</v>
      </c>
      <c r="H789" s="91" t="s">
        <v>3700</v>
      </c>
      <c r="I789" s="187" t="s">
        <v>149</v>
      </c>
      <c r="J789" s="83" t="s">
        <v>183</v>
      </c>
      <c r="K789" s="83" t="s">
        <v>168</v>
      </c>
      <c r="L789" s="83" t="s">
        <v>169</v>
      </c>
      <c r="M789" s="82" t="s">
        <v>8097</v>
      </c>
      <c r="N789" s="82" t="s">
        <v>8098</v>
      </c>
      <c r="O789" s="82" t="s">
        <v>8099</v>
      </c>
      <c r="P789" s="82"/>
      <c r="Q789" s="82" t="s">
        <v>8100</v>
      </c>
      <c r="R789" s="82"/>
      <c r="S789" s="82"/>
      <c r="T789" s="138">
        <v>2.0</v>
      </c>
      <c r="U789" s="323">
        <v>2.0</v>
      </c>
      <c r="V789" s="106">
        <v>0.0</v>
      </c>
      <c r="W789" s="107">
        <v>0.0</v>
      </c>
      <c r="X789" s="107">
        <v>0.0</v>
      </c>
      <c r="Y789" s="107">
        <v>0.0</v>
      </c>
      <c r="Z789" s="80">
        <v>0.0</v>
      </c>
      <c r="AA789" s="140">
        <v>0.0</v>
      </c>
      <c r="AB789" s="109">
        <v>0.0</v>
      </c>
      <c r="AC789" s="109">
        <v>0.0</v>
      </c>
      <c r="AD789" s="141">
        <v>0.0</v>
      </c>
      <c r="AE789" s="80">
        <v>0.0</v>
      </c>
      <c r="AF789" s="140">
        <v>2.0</v>
      </c>
      <c r="AG789" s="109">
        <v>0.0</v>
      </c>
      <c r="AH789" s="109">
        <v>6.0</v>
      </c>
      <c r="AI789" s="141">
        <v>0.0</v>
      </c>
      <c r="AJ789" s="80">
        <v>8.0</v>
      </c>
      <c r="AK789" s="140">
        <v>0.0</v>
      </c>
      <c r="AL789" s="109">
        <v>0.0</v>
      </c>
      <c r="AM789" s="141">
        <v>0.0</v>
      </c>
      <c r="AN789" s="80">
        <v>0.0</v>
      </c>
      <c r="AO789" s="140">
        <v>0.0</v>
      </c>
      <c r="AP789" s="109">
        <v>0.0</v>
      </c>
      <c r="AQ789" s="109">
        <v>0.0</v>
      </c>
      <c r="AR789" s="80">
        <v>0.0</v>
      </c>
      <c r="AS789" s="110">
        <v>0.0</v>
      </c>
      <c r="AT789" s="110">
        <v>0.0</v>
      </c>
      <c r="AU789" s="110">
        <v>0.0</v>
      </c>
      <c r="AV789" s="142">
        <v>0.0</v>
      </c>
      <c r="AW789" s="80">
        <v>0.0</v>
      </c>
      <c r="AX789" s="113">
        <v>8.0</v>
      </c>
      <c r="AY789" s="117">
        <v>2.0</v>
      </c>
      <c r="AZ789" s="328">
        <v>6.0</v>
      </c>
      <c r="BA789" s="315">
        <v>0.0</v>
      </c>
      <c r="BB789" s="316">
        <v>8.0</v>
      </c>
      <c r="BC789" s="132" t="s">
        <v>178</v>
      </c>
      <c r="BD789" s="143" t="s">
        <v>227</v>
      </c>
      <c r="BE789" s="132" t="s">
        <v>178</v>
      </c>
      <c r="BF789" s="123"/>
      <c r="BG789" s="83">
        <v>1179238.0</v>
      </c>
      <c r="BH789" s="112">
        <v>2.0</v>
      </c>
      <c r="BI789" s="98" t="s">
        <v>155</v>
      </c>
      <c r="BJ789" s="98" t="str">
        <f t="shared" si="1"/>
        <v>NÃO</v>
      </c>
      <c r="BK789" s="98" t="str">
        <f t="shared" si="2"/>
        <v>NÃO</v>
      </c>
    </row>
    <row r="790" ht="15.75" customHeight="1">
      <c r="A790" s="111" t="s">
        <v>860</v>
      </c>
      <c r="B790" s="83" t="s">
        <v>3701</v>
      </c>
      <c r="C790" s="83" t="s">
        <v>68</v>
      </c>
      <c r="D790" s="83">
        <v>1178086.0</v>
      </c>
      <c r="E790" s="83"/>
      <c r="F790" s="83">
        <v>2.9431662E7</v>
      </c>
      <c r="G790" s="114" t="s">
        <v>8365</v>
      </c>
      <c r="H790" s="91" t="s">
        <v>3703</v>
      </c>
      <c r="I790" s="187" t="s">
        <v>149</v>
      </c>
      <c r="J790" s="83" t="s">
        <v>150</v>
      </c>
      <c r="K790" s="83" t="s">
        <v>151</v>
      </c>
      <c r="L790" s="83" t="s">
        <v>152</v>
      </c>
      <c r="M790" s="82" t="s">
        <v>8366</v>
      </c>
      <c r="N790" s="82" t="s">
        <v>8368</v>
      </c>
      <c r="O790" s="82" t="s">
        <v>8370</v>
      </c>
      <c r="P790" s="82" t="s">
        <v>8371</v>
      </c>
      <c r="Q790" s="82"/>
      <c r="R790" s="82"/>
      <c r="S790" s="82"/>
      <c r="T790" s="138">
        <v>8.0</v>
      </c>
      <c r="U790" s="331" t="s">
        <v>8373</v>
      </c>
      <c r="V790" s="106">
        <v>0.0</v>
      </c>
      <c r="W790" s="107">
        <v>0.0</v>
      </c>
      <c r="X790" s="107">
        <v>0.0</v>
      </c>
      <c r="Y790" s="107">
        <v>0.0</v>
      </c>
      <c r="Z790" s="80">
        <v>0.0</v>
      </c>
      <c r="AA790" s="140">
        <v>0.0</v>
      </c>
      <c r="AB790" s="109">
        <v>0.0</v>
      </c>
      <c r="AC790" s="109">
        <v>0.0</v>
      </c>
      <c r="AD790" s="141">
        <v>0.0</v>
      </c>
      <c r="AE790" s="80">
        <v>0.0</v>
      </c>
      <c r="AF790" s="140">
        <v>0.0</v>
      </c>
      <c r="AG790" s="109">
        <v>0.0</v>
      </c>
      <c r="AH790" s="109">
        <v>21.0</v>
      </c>
      <c r="AI790" s="141">
        <v>166.0</v>
      </c>
      <c r="AJ790" s="80">
        <v>187.0</v>
      </c>
      <c r="AK790" s="140">
        <v>0.0</v>
      </c>
      <c r="AL790" s="109">
        <v>0.0</v>
      </c>
      <c r="AM790" s="141">
        <v>0.0</v>
      </c>
      <c r="AN790" s="80">
        <v>0.0</v>
      </c>
      <c r="AO790" s="140">
        <v>0.0</v>
      </c>
      <c r="AP790" s="109">
        <v>0.0</v>
      </c>
      <c r="AQ790" s="109">
        <v>41.0</v>
      </c>
      <c r="AR790" s="80">
        <v>41.0</v>
      </c>
      <c r="AS790" s="110">
        <v>0.0</v>
      </c>
      <c r="AT790" s="110">
        <v>0.0</v>
      </c>
      <c r="AU790" s="110">
        <v>0.0</v>
      </c>
      <c r="AV790" s="142">
        <v>0.0</v>
      </c>
      <c r="AW790" s="80">
        <v>0.0</v>
      </c>
      <c r="AX790" s="113">
        <v>228.0</v>
      </c>
      <c r="AY790" s="117">
        <v>166.0</v>
      </c>
      <c r="AZ790" s="328">
        <v>62.0</v>
      </c>
      <c r="BA790" s="315">
        <v>0.0</v>
      </c>
      <c r="BB790" s="316">
        <v>228.0</v>
      </c>
      <c r="BC790" s="132" t="s">
        <v>178</v>
      </c>
      <c r="BD790" s="132" t="s">
        <v>178</v>
      </c>
      <c r="BE790" s="132" t="s">
        <v>178</v>
      </c>
      <c r="BF790" s="156"/>
      <c r="BG790" s="83">
        <v>1178086.0</v>
      </c>
      <c r="BH790" s="112">
        <v>8.0</v>
      </c>
      <c r="BI790" s="98" t="s">
        <v>155</v>
      </c>
      <c r="BJ790" s="98" t="str">
        <f t="shared" si="1"/>
        <v>INTEGRAL</v>
      </c>
      <c r="BK790" s="98" t="str">
        <f t="shared" si="2"/>
        <v>NÃO</v>
      </c>
    </row>
    <row r="791" ht="15.75" customHeight="1">
      <c r="A791" s="111" t="s">
        <v>860</v>
      </c>
      <c r="B791" s="83" t="s">
        <v>3701</v>
      </c>
      <c r="C791" s="83" t="s">
        <v>164</v>
      </c>
      <c r="D791" s="83">
        <v>1178086.0</v>
      </c>
      <c r="E791" s="83">
        <v>1178890.0</v>
      </c>
      <c r="F791" s="83"/>
      <c r="G791" s="114" t="s">
        <v>8379</v>
      </c>
      <c r="H791" s="91" t="s">
        <v>3719</v>
      </c>
      <c r="I791" s="187" t="s">
        <v>149</v>
      </c>
      <c r="J791" s="83" t="s">
        <v>694</v>
      </c>
      <c r="K791" s="83" t="s">
        <v>168</v>
      </c>
      <c r="L791" s="83" t="s">
        <v>169</v>
      </c>
      <c r="M791" s="82" t="s">
        <v>8366</v>
      </c>
      <c r="N791" s="82" t="s">
        <v>8368</v>
      </c>
      <c r="O791" s="82" t="s">
        <v>8370</v>
      </c>
      <c r="P791" s="82" t="s">
        <v>8371</v>
      </c>
      <c r="Q791" s="82"/>
      <c r="R791" s="82"/>
      <c r="S791" s="82"/>
      <c r="T791" s="138">
        <v>3.0</v>
      </c>
      <c r="U791" s="323">
        <v>3.0</v>
      </c>
      <c r="V791" s="106">
        <v>0.0</v>
      </c>
      <c r="W791" s="107">
        <v>0.0</v>
      </c>
      <c r="X791" s="107">
        <v>0.0</v>
      </c>
      <c r="Y791" s="107">
        <v>0.0</v>
      </c>
      <c r="Z791" s="80">
        <v>0.0</v>
      </c>
      <c r="AA791" s="140">
        <v>0.0</v>
      </c>
      <c r="AB791" s="109">
        <v>0.0</v>
      </c>
      <c r="AC791" s="109">
        <v>0.0</v>
      </c>
      <c r="AD791" s="141">
        <v>0.0</v>
      </c>
      <c r="AE791" s="80">
        <v>0.0</v>
      </c>
      <c r="AF791" s="140">
        <v>0.0</v>
      </c>
      <c r="AG791" s="109">
        <v>0.0</v>
      </c>
      <c r="AH791" s="109">
        <v>19.0</v>
      </c>
      <c r="AI791" s="141">
        <v>0.0</v>
      </c>
      <c r="AJ791" s="80">
        <v>19.0</v>
      </c>
      <c r="AK791" s="140">
        <v>0.0</v>
      </c>
      <c r="AL791" s="109">
        <v>0.0</v>
      </c>
      <c r="AM791" s="141">
        <v>0.0</v>
      </c>
      <c r="AN791" s="80">
        <v>0.0</v>
      </c>
      <c r="AO791" s="140">
        <v>0.0</v>
      </c>
      <c r="AP791" s="109">
        <v>0.0</v>
      </c>
      <c r="AQ791" s="109">
        <v>28.0</v>
      </c>
      <c r="AR791" s="80">
        <v>28.0</v>
      </c>
      <c r="AS791" s="110">
        <v>0.0</v>
      </c>
      <c r="AT791" s="110">
        <v>0.0</v>
      </c>
      <c r="AU791" s="110">
        <v>0.0</v>
      </c>
      <c r="AV791" s="142">
        <v>0.0</v>
      </c>
      <c r="AW791" s="80">
        <v>0.0</v>
      </c>
      <c r="AX791" s="113">
        <v>47.0</v>
      </c>
      <c r="AY791" s="117">
        <v>0.0</v>
      </c>
      <c r="AZ791" s="328">
        <v>47.0</v>
      </c>
      <c r="BA791" s="315">
        <v>0.0</v>
      </c>
      <c r="BB791" s="316">
        <v>47.0</v>
      </c>
      <c r="BC791" s="132" t="s">
        <v>373</v>
      </c>
      <c r="BD791" s="132" t="s">
        <v>178</v>
      </c>
      <c r="BE791" s="132" t="s">
        <v>178</v>
      </c>
      <c r="BF791" s="123"/>
      <c r="BG791" s="83">
        <v>1178890.0</v>
      </c>
      <c r="BH791" s="112">
        <v>3.0</v>
      </c>
      <c r="BI791" s="98" t="s">
        <v>155</v>
      </c>
      <c r="BJ791" s="98" t="str">
        <f t="shared" si="1"/>
        <v>NÃO</v>
      </c>
      <c r="BK791" s="98" t="str">
        <f t="shared" si="2"/>
        <v>NÃO</v>
      </c>
    </row>
    <row r="792" ht="15.75" customHeight="1">
      <c r="A792" s="111" t="s">
        <v>860</v>
      </c>
      <c r="B792" s="83" t="s">
        <v>3701</v>
      </c>
      <c r="C792" s="83" t="s">
        <v>164</v>
      </c>
      <c r="D792" s="83">
        <v>1178086.0</v>
      </c>
      <c r="E792" s="83">
        <v>1178889.0</v>
      </c>
      <c r="F792" s="83"/>
      <c r="G792" s="185" t="s">
        <v>8387</v>
      </c>
      <c r="H792" s="91" t="s">
        <v>3712</v>
      </c>
      <c r="I792" s="114" t="s">
        <v>149</v>
      </c>
      <c r="J792" s="136" t="s">
        <v>187</v>
      </c>
      <c r="K792" s="83" t="s">
        <v>168</v>
      </c>
      <c r="L792" s="83" t="s">
        <v>169</v>
      </c>
      <c r="M792" s="82" t="s">
        <v>8366</v>
      </c>
      <c r="N792" s="82" t="s">
        <v>8368</v>
      </c>
      <c r="O792" s="82" t="s">
        <v>8370</v>
      </c>
      <c r="P792" s="82" t="s">
        <v>8371</v>
      </c>
      <c r="Q792" s="82"/>
      <c r="R792" s="82"/>
      <c r="S792" s="82"/>
      <c r="T792" s="138">
        <v>3.0</v>
      </c>
      <c r="U792" s="389">
        <v>3.0</v>
      </c>
      <c r="V792" s="106">
        <v>0.0</v>
      </c>
      <c r="W792" s="107">
        <v>0.0</v>
      </c>
      <c r="X792" s="107">
        <v>0.0</v>
      </c>
      <c r="Y792" s="107">
        <v>0.0</v>
      </c>
      <c r="Z792" s="80">
        <v>0.0</v>
      </c>
      <c r="AA792" s="140">
        <v>0.0</v>
      </c>
      <c r="AB792" s="109">
        <v>0.0</v>
      </c>
      <c r="AC792" s="109">
        <v>0.0</v>
      </c>
      <c r="AD792" s="141">
        <v>0.0</v>
      </c>
      <c r="AE792" s="80">
        <v>0.0</v>
      </c>
      <c r="AF792" s="140">
        <v>39.0</v>
      </c>
      <c r="AG792" s="109">
        <v>0.0</v>
      </c>
      <c r="AH792" s="109">
        <v>0.0</v>
      </c>
      <c r="AI792" s="141">
        <v>0.0</v>
      </c>
      <c r="AJ792" s="80">
        <v>39.0</v>
      </c>
      <c r="AK792" s="140">
        <v>0.0</v>
      </c>
      <c r="AL792" s="109">
        <v>0.0</v>
      </c>
      <c r="AM792" s="141">
        <v>0.0</v>
      </c>
      <c r="AN792" s="80">
        <v>0.0</v>
      </c>
      <c r="AO792" s="140">
        <v>0.0</v>
      </c>
      <c r="AP792" s="109">
        <v>0.0</v>
      </c>
      <c r="AQ792" s="109">
        <v>0.0</v>
      </c>
      <c r="AR792" s="80">
        <v>0.0</v>
      </c>
      <c r="AS792" s="110">
        <v>0.0</v>
      </c>
      <c r="AT792" s="110">
        <v>0.0</v>
      </c>
      <c r="AU792" s="110">
        <v>0.0</v>
      </c>
      <c r="AV792" s="142">
        <v>0.0</v>
      </c>
      <c r="AW792" s="80">
        <v>0.0</v>
      </c>
      <c r="AX792" s="113">
        <v>39.0</v>
      </c>
      <c r="AY792" s="117">
        <v>39.0</v>
      </c>
      <c r="AZ792" s="328">
        <v>0.0</v>
      </c>
      <c r="BA792" s="315">
        <v>0.0</v>
      </c>
      <c r="BB792" s="316">
        <v>39.0</v>
      </c>
      <c r="BC792" s="132" t="s">
        <v>373</v>
      </c>
      <c r="BD792" s="132" t="s">
        <v>178</v>
      </c>
      <c r="BE792" s="132" t="s">
        <v>178</v>
      </c>
      <c r="BF792" s="123"/>
      <c r="BG792" s="83">
        <v>1178889.0</v>
      </c>
      <c r="BH792" s="112">
        <v>3.0</v>
      </c>
      <c r="BI792" s="98" t="s">
        <v>155</v>
      </c>
      <c r="BJ792" s="98" t="str">
        <f t="shared" si="1"/>
        <v>NÃO</v>
      </c>
      <c r="BK792" s="98" t="str">
        <f t="shared" si="2"/>
        <v>NÃO</v>
      </c>
    </row>
    <row r="793" ht="15.75" customHeight="1">
      <c r="A793" s="111" t="s">
        <v>860</v>
      </c>
      <c r="B793" s="83" t="s">
        <v>3701</v>
      </c>
      <c r="C793" s="83" t="s">
        <v>164</v>
      </c>
      <c r="D793" s="83">
        <v>1178086.0</v>
      </c>
      <c r="E793" s="83">
        <v>1178888.0</v>
      </c>
      <c r="F793" s="83"/>
      <c r="G793" s="185" t="s">
        <v>8393</v>
      </c>
      <c r="H793" s="91" t="s">
        <v>3715</v>
      </c>
      <c r="I793" s="114" t="s">
        <v>149</v>
      </c>
      <c r="J793" s="83" t="s">
        <v>872</v>
      </c>
      <c r="K793" s="83" t="s">
        <v>168</v>
      </c>
      <c r="L793" s="83" t="s">
        <v>169</v>
      </c>
      <c r="M793" s="82" t="s">
        <v>8366</v>
      </c>
      <c r="N793" s="82" t="s">
        <v>8368</v>
      </c>
      <c r="O793" s="82" t="s">
        <v>8370</v>
      </c>
      <c r="P793" s="82" t="s">
        <v>8371</v>
      </c>
      <c r="Q793" s="82"/>
      <c r="R793" s="82"/>
      <c r="S793" s="82"/>
      <c r="T793" s="138">
        <v>5.0</v>
      </c>
      <c r="U793" s="323">
        <v>7.0</v>
      </c>
      <c r="V793" s="106">
        <v>0.0</v>
      </c>
      <c r="W793" s="107">
        <v>0.0</v>
      </c>
      <c r="X793" s="107">
        <v>0.0</v>
      </c>
      <c r="Y793" s="107">
        <v>0.0</v>
      </c>
      <c r="Z793" s="80">
        <v>0.0</v>
      </c>
      <c r="AA793" s="140">
        <v>0.0</v>
      </c>
      <c r="AB793" s="109">
        <v>0.0</v>
      </c>
      <c r="AC793" s="109">
        <v>0.0</v>
      </c>
      <c r="AD793" s="141">
        <v>0.0</v>
      </c>
      <c r="AE793" s="80">
        <v>0.0</v>
      </c>
      <c r="AF793" s="140">
        <v>0.0</v>
      </c>
      <c r="AG793" s="109">
        <v>0.0</v>
      </c>
      <c r="AH793" s="109">
        <v>46.0</v>
      </c>
      <c r="AI793" s="141">
        <v>0.0</v>
      </c>
      <c r="AJ793" s="80">
        <v>46.0</v>
      </c>
      <c r="AK793" s="140">
        <v>0.0</v>
      </c>
      <c r="AL793" s="109">
        <v>0.0</v>
      </c>
      <c r="AM793" s="141">
        <v>0.0</v>
      </c>
      <c r="AN793" s="80">
        <v>0.0</v>
      </c>
      <c r="AO793" s="140">
        <v>0.0</v>
      </c>
      <c r="AP793" s="109">
        <v>0.0</v>
      </c>
      <c r="AQ793" s="109">
        <v>76.0</v>
      </c>
      <c r="AR793" s="80">
        <v>76.0</v>
      </c>
      <c r="AS793" s="110">
        <v>0.0</v>
      </c>
      <c r="AT793" s="110">
        <v>0.0</v>
      </c>
      <c r="AU793" s="110">
        <v>0.0</v>
      </c>
      <c r="AV793" s="142">
        <v>0.0</v>
      </c>
      <c r="AW793" s="80">
        <v>0.0</v>
      </c>
      <c r="AX793" s="113">
        <v>122.0</v>
      </c>
      <c r="AY793" s="117">
        <v>0.0</v>
      </c>
      <c r="AZ793" s="328">
        <v>122.0</v>
      </c>
      <c r="BA793" s="315">
        <v>0.0</v>
      </c>
      <c r="BB793" s="316">
        <v>122.0</v>
      </c>
      <c r="BC793" s="132" t="s">
        <v>373</v>
      </c>
      <c r="BD793" s="132" t="s">
        <v>178</v>
      </c>
      <c r="BE793" s="132" t="s">
        <v>178</v>
      </c>
      <c r="BF793" s="123"/>
      <c r="BG793" s="83">
        <v>1178888.0</v>
      </c>
      <c r="BH793" s="112">
        <v>7.0</v>
      </c>
      <c r="BI793" s="98" t="s">
        <v>155</v>
      </c>
      <c r="BJ793" s="98" t="str">
        <f t="shared" si="1"/>
        <v>NÃO</v>
      </c>
      <c r="BK793" s="98" t="str">
        <f t="shared" si="2"/>
        <v>NÃO</v>
      </c>
    </row>
    <row r="794" ht="15.75" customHeight="1">
      <c r="A794" s="111" t="s">
        <v>860</v>
      </c>
      <c r="B794" s="83" t="s">
        <v>3701</v>
      </c>
      <c r="C794" s="83" t="s">
        <v>164</v>
      </c>
      <c r="D794" s="83">
        <v>1179339.0</v>
      </c>
      <c r="E794" s="83">
        <v>1179239.0</v>
      </c>
      <c r="F794" s="83"/>
      <c r="G794" s="185" t="s">
        <v>3716</v>
      </c>
      <c r="H794" s="91" t="s">
        <v>3717</v>
      </c>
      <c r="I794" s="114" t="s">
        <v>149</v>
      </c>
      <c r="J794" s="83" t="s">
        <v>865</v>
      </c>
      <c r="K794" s="83" t="s">
        <v>168</v>
      </c>
      <c r="L794" s="83" t="s">
        <v>169</v>
      </c>
      <c r="M794" s="82" t="s">
        <v>8097</v>
      </c>
      <c r="N794" s="82" t="s">
        <v>8098</v>
      </c>
      <c r="O794" s="82" t="s">
        <v>8099</v>
      </c>
      <c r="P794" s="82"/>
      <c r="Q794" s="82" t="s">
        <v>8100</v>
      </c>
      <c r="R794" s="82"/>
      <c r="S794" s="82"/>
      <c r="T794" s="138">
        <v>2.0</v>
      </c>
      <c r="U794" s="323">
        <v>2.0</v>
      </c>
      <c r="V794" s="106">
        <v>0.0</v>
      </c>
      <c r="W794" s="107">
        <v>0.0</v>
      </c>
      <c r="X794" s="107">
        <v>0.0</v>
      </c>
      <c r="Y794" s="107">
        <v>0.0</v>
      </c>
      <c r="Z794" s="80">
        <v>0.0</v>
      </c>
      <c r="AA794" s="140">
        <v>0.0</v>
      </c>
      <c r="AB794" s="109">
        <v>0.0</v>
      </c>
      <c r="AC794" s="109">
        <v>0.0</v>
      </c>
      <c r="AD794" s="141">
        <v>0.0</v>
      </c>
      <c r="AE794" s="80">
        <v>0.0</v>
      </c>
      <c r="AF794" s="140">
        <v>13.0</v>
      </c>
      <c r="AG794" s="109">
        <v>19.0</v>
      </c>
      <c r="AH794" s="109">
        <v>0.0</v>
      </c>
      <c r="AI794" s="141">
        <v>0.0</v>
      </c>
      <c r="AJ794" s="80">
        <v>32.0</v>
      </c>
      <c r="AK794" s="140">
        <v>0.0</v>
      </c>
      <c r="AL794" s="109">
        <v>0.0</v>
      </c>
      <c r="AM794" s="141">
        <v>0.0</v>
      </c>
      <c r="AN794" s="80">
        <v>0.0</v>
      </c>
      <c r="AO794" s="140">
        <v>0.0</v>
      </c>
      <c r="AP794" s="109">
        <v>0.0</v>
      </c>
      <c r="AQ794" s="109">
        <v>0.0</v>
      </c>
      <c r="AR794" s="80">
        <v>0.0</v>
      </c>
      <c r="AS794" s="110">
        <v>0.0</v>
      </c>
      <c r="AT794" s="110">
        <v>0.0</v>
      </c>
      <c r="AU794" s="110">
        <v>0.0</v>
      </c>
      <c r="AV794" s="142">
        <v>0.0</v>
      </c>
      <c r="AW794" s="80">
        <v>0.0</v>
      </c>
      <c r="AX794" s="113">
        <v>32.0</v>
      </c>
      <c r="AY794" s="117">
        <v>32.0</v>
      </c>
      <c r="AZ794" s="328">
        <v>0.0</v>
      </c>
      <c r="BA794" s="315">
        <v>0.0</v>
      </c>
      <c r="BB794" s="316">
        <v>32.0</v>
      </c>
      <c r="BC794" s="132" t="s">
        <v>178</v>
      </c>
      <c r="BD794" s="143" t="s">
        <v>227</v>
      </c>
      <c r="BE794" s="132" t="s">
        <v>178</v>
      </c>
      <c r="BF794" s="123"/>
      <c r="BG794" s="83">
        <v>1179239.0</v>
      </c>
      <c r="BH794" s="112">
        <v>2.0</v>
      </c>
      <c r="BI794" s="98" t="s">
        <v>155</v>
      </c>
      <c r="BJ794" s="98" t="str">
        <f t="shared" si="1"/>
        <v>NÃO</v>
      </c>
      <c r="BK794" s="98" t="str">
        <f t="shared" si="2"/>
        <v>NÃO</v>
      </c>
    </row>
    <row r="795" ht="15.75" customHeight="1">
      <c r="A795" s="111" t="s">
        <v>860</v>
      </c>
      <c r="B795" s="83" t="s">
        <v>2372</v>
      </c>
      <c r="C795" s="83" t="s">
        <v>68</v>
      </c>
      <c r="D795" s="83">
        <v>1130856.0</v>
      </c>
      <c r="E795" s="83"/>
      <c r="F795" s="83">
        <v>2.9343003E7</v>
      </c>
      <c r="G795" s="185" t="s">
        <v>8408</v>
      </c>
      <c r="H795" s="91" t="s">
        <v>3721</v>
      </c>
      <c r="I795" s="114" t="s">
        <v>149</v>
      </c>
      <c r="J795" s="136" t="s">
        <v>150</v>
      </c>
      <c r="K795" s="83" t="s">
        <v>151</v>
      </c>
      <c r="L795" s="83" t="s">
        <v>152</v>
      </c>
      <c r="M795" s="82" t="s">
        <v>8409</v>
      </c>
      <c r="N795" s="82" t="s">
        <v>8410</v>
      </c>
      <c r="O795" s="82" t="s">
        <v>8411</v>
      </c>
      <c r="P795" s="82" t="s">
        <v>8412</v>
      </c>
      <c r="Q795" s="82"/>
      <c r="R795" s="82"/>
      <c r="S795" s="82" t="s">
        <v>8413</v>
      </c>
      <c r="T795" s="138">
        <v>6.0</v>
      </c>
      <c r="U795" s="323">
        <v>6.0</v>
      </c>
      <c r="V795" s="106">
        <v>0.0</v>
      </c>
      <c r="W795" s="107">
        <v>0.0</v>
      </c>
      <c r="X795" s="107">
        <v>0.0</v>
      </c>
      <c r="Y795" s="107">
        <v>0.0</v>
      </c>
      <c r="Z795" s="80">
        <v>0.0</v>
      </c>
      <c r="AA795" s="140">
        <v>0.0</v>
      </c>
      <c r="AB795" s="109">
        <v>0.0</v>
      </c>
      <c r="AC795" s="109">
        <v>0.0</v>
      </c>
      <c r="AD795" s="141">
        <v>0.0</v>
      </c>
      <c r="AE795" s="80">
        <v>0.0</v>
      </c>
      <c r="AF795" s="140">
        <v>111.0</v>
      </c>
      <c r="AG795" s="109">
        <v>76.0</v>
      </c>
      <c r="AH795" s="109">
        <v>37.0</v>
      </c>
      <c r="AI795" s="141">
        <v>92.0</v>
      </c>
      <c r="AJ795" s="80">
        <v>316.0</v>
      </c>
      <c r="AK795" s="140">
        <v>0.0</v>
      </c>
      <c r="AL795" s="109">
        <v>0.0</v>
      </c>
      <c r="AM795" s="141">
        <v>0.0</v>
      </c>
      <c r="AN795" s="80">
        <v>0.0</v>
      </c>
      <c r="AO795" s="140">
        <v>0.0</v>
      </c>
      <c r="AP795" s="109">
        <v>0.0</v>
      </c>
      <c r="AQ795" s="109">
        <v>85.0</v>
      </c>
      <c r="AR795" s="80">
        <v>85.0</v>
      </c>
      <c r="AS795" s="110">
        <v>0.0</v>
      </c>
      <c r="AT795" s="110">
        <v>0.0</v>
      </c>
      <c r="AU795" s="110">
        <v>0.0</v>
      </c>
      <c r="AV795" s="142">
        <v>0.0</v>
      </c>
      <c r="AW795" s="80">
        <v>0.0</v>
      </c>
      <c r="AX795" s="113">
        <v>401.0</v>
      </c>
      <c r="AY795" s="117">
        <v>279.0</v>
      </c>
      <c r="AZ795" s="328">
        <v>122.0</v>
      </c>
      <c r="BA795" s="315">
        <v>0.0</v>
      </c>
      <c r="BB795" s="316">
        <v>401.0</v>
      </c>
      <c r="BC795" s="132" t="s">
        <v>178</v>
      </c>
      <c r="BD795" s="132" t="s">
        <v>178</v>
      </c>
      <c r="BE795" s="132" t="s">
        <v>178</v>
      </c>
      <c r="BF795" s="123"/>
      <c r="BG795" s="83">
        <v>1130856.0</v>
      </c>
      <c r="BH795" s="112">
        <v>6.0</v>
      </c>
      <c r="BI795" s="98" t="s">
        <v>155</v>
      </c>
      <c r="BJ795" s="98" t="str">
        <f t="shared" si="1"/>
        <v>INTEGRAL</v>
      </c>
      <c r="BK795" s="98" t="str">
        <f t="shared" si="2"/>
        <v>NÃO</v>
      </c>
    </row>
    <row r="796" ht="15.75" customHeight="1">
      <c r="A796" s="111" t="s">
        <v>860</v>
      </c>
      <c r="B796" s="83" t="s">
        <v>2372</v>
      </c>
      <c r="C796" s="83" t="s">
        <v>68</v>
      </c>
      <c r="D796" s="83">
        <v>1178288.0</v>
      </c>
      <c r="E796" s="83"/>
      <c r="F796" s="83">
        <v>2.9526809E7</v>
      </c>
      <c r="G796" s="114" t="s">
        <v>8418</v>
      </c>
      <c r="H796" s="91" t="s">
        <v>3727</v>
      </c>
      <c r="I796" s="187" t="s">
        <v>149</v>
      </c>
      <c r="J796" s="136" t="s">
        <v>464</v>
      </c>
      <c r="K796" s="83" t="s">
        <v>168</v>
      </c>
      <c r="L796" s="83" t="s">
        <v>76</v>
      </c>
      <c r="M796" s="82" t="s">
        <v>8421</v>
      </c>
      <c r="N796" s="82" t="s">
        <v>8422</v>
      </c>
      <c r="O796" s="82"/>
      <c r="P796" s="82"/>
      <c r="Q796" s="82"/>
      <c r="R796" s="82"/>
      <c r="S796" s="82" t="s">
        <v>8424</v>
      </c>
      <c r="T796" s="138">
        <v>5.0</v>
      </c>
      <c r="U796" s="323">
        <v>4.0</v>
      </c>
      <c r="V796" s="106">
        <v>0.0</v>
      </c>
      <c r="W796" s="107">
        <v>0.0</v>
      </c>
      <c r="X796" s="107">
        <v>0.0</v>
      </c>
      <c r="Y796" s="107">
        <v>0.0</v>
      </c>
      <c r="Z796" s="80">
        <v>0.0</v>
      </c>
      <c r="AA796" s="140">
        <v>0.0</v>
      </c>
      <c r="AB796" s="109">
        <v>0.0</v>
      </c>
      <c r="AC796" s="109">
        <v>0.0</v>
      </c>
      <c r="AD796" s="141">
        <v>0.0</v>
      </c>
      <c r="AE796" s="80">
        <v>0.0</v>
      </c>
      <c r="AF796" s="140">
        <v>0.0</v>
      </c>
      <c r="AG796" s="109">
        <v>87.0</v>
      </c>
      <c r="AH796" s="109">
        <v>0.0</v>
      </c>
      <c r="AI796" s="141">
        <v>0.0</v>
      </c>
      <c r="AJ796" s="80">
        <v>87.0</v>
      </c>
      <c r="AK796" s="140">
        <v>0.0</v>
      </c>
      <c r="AL796" s="109">
        <v>0.0</v>
      </c>
      <c r="AM796" s="141">
        <v>0.0</v>
      </c>
      <c r="AN796" s="80">
        <v>0.0</v>
      </c>
      <c r="AO796" s="140">
        <v>0.0</v>
      </c>
      <c r="AP796" s="109">
        <v>0.0</v>
      </c>
      <c r="AQ796" s="109">
        <v>27.0</v>
      </c>
      <c r="AR796" s="80">
        <v>27.0</v>
      </c>
      <c r="AS796" s="110">
        <v>0.0</v>
      </c>
      <c r="AT796" s="110">
        <v>0.0</v>
      </c>
      <c r="AU796" s="110">
        <v>0.0</v>
      </c>
      <c r="AV796" s="142">
        <v>0.0</v>
      </c>
      <c r="AW796" s="80">
        <v>0.0</v>
      </c>
      <c r="AX796" s="113">
        <v>114.0</v>
      </c>
      <c r="AY796" s="117">
        <v>87.0</v>
      </c>
      <c r="AZ796" s="328">
        <v>27.0</v>
      </c>
      <c r="BA796" s="315">
        <v>13.0</v>
      </c>
      <c r="BB796" s="316">
        <v>127.0</v>
      </c>
      <c r="BC796" s="132" t="s">
        <v>373</v>
      </c>
      <c r="BD796" s="132" t="s">
        <v>178</v>
      </c>
      <c r="BE796" s="132" t="s">
        <v>178</v>
      </c>
      <c r="BF796" s="123"/>
      <c r="BG796" s="83">
        <v>1178288.0</v>
      </c>
      <c r="BH796" s="112">
        <v>4.0</v>
      </c>
      <c r="BI796" s="98" t="s">
        <v>155</v>
      </c>
      <c r="BJ796" s="98" t="str">
        <f t="shared" si="1"/>
        <v>NÃO</v>
      </c>
      <c r="BK796" s="98" t="str">
        <f t="shared" si="2"/>
        <v>NÃO</v>
      </c>
    </row>
    <row r="797" ht="15.75" customHeight="1">
      <c r="A797" s="111" t="s">
        <v>860</v>
      </c>
      <c r="B797" s="83" t="s">
        <v>2372</v>
      </c>
      <c r="C797" s="83" t="s">
        <v>164</v>
      </c>
      <c r="D797" s="83">
        <v>1178288.0</v>
      </c>
      <c r="E797" s="83">
        <v>1178892.0</v>
      </c>
      <c r="F797" s="83"/>
      <c r="G797" s="114" t="s">
        <v>3729</v>
      </c>
      <c r="H797" s="91" t="s">
        <v>3730</v>
      </c>
      <c r="I797" s="114" t="s">
        <v>149</v>
      </c>
      <c r="J797" s="83" t="s">
        <v>702</v>
      </c>
      <c r="K797" s="83" t="s">
        <v>168</v>
      </c>
      <c r="L797" s="83" t="s">
        <v>169</v>
      </c>
      <c r="M797" s="82" t="s">
        <v>8421</v>
      </c>
      <c r="N797" s="82" t="s">
        <v>8422</v>
      </c>
      <c r="O797" s="82"/>
      <c r="P797" s="82"/>
      <c r="Q797" s="82"/>
      <c r="R797" s="82"/>
      <c r="S797" s="82" t="s">
        <v>8424</v>
      </c>
      <c r="T797" s="138">
        <v>4.0</v>
      </c>
      <c r="U797" s="341">
        <v>4.0</v>
      </c>
      <c r="V797" s="106">
        <v>0.0</v>
      </c>
      <c r="W797" s="107">
        <v>0.0</v>
      </c>
      <c r="X797" s="107">
        <v>0.0</v>
      </c>
      <c r="Y797" s="107">
        <v>0.0</v>
      </c>
      <c r="Z797" s="80">
        <v>0.0</v>
      </c>
      <c r="AA797" s="140">
        <v>0.0</v>
      </c>
      <c r="AB797" s="109">
        <v>0.0</v>
      </c>
      <c r="AC797" s="109">
        <v>0.0</v>
      </c>
      <c r="AD797" s="141">
        <v>0.0</v>
      </c>
      <c r="AE797" s="80">
        <v>0.0</v>
      </c>
      <c r="AF797" s="140">
        <v>0.0</v>
      </c>
      <c r="AG797" s="109">
        <v>0.0</v>
      </c>
      <c r="AH797" s="109">
        <v>31.0</v>
      </c>
      <c r="AI797" s="141">
        <v>0.0</v>
      </c>
      <c r="AJ797" s="80">
        <v>31.0</v>
      </c>
      <c r="AK797" s="140">
        <v>0.0</v>
      </c>
      <c r="AL797" s="109">
        <v>0.0</v>
      </c>
      <c r="AM797" s="141">
        <v>0.0</v>
      </c>
      <c r="AN797" s="80">
        <v>0.0</v>
      </c>
      <c r="AO797" s="140">
        <v>0.0</v>
      </c>
      <c r="AP797" s="109">
        <v>0.0</v>
      </c>
      <c r="AQ797" s="109">
        <v>59.0</v>
      </c>
      <c r="AR797" s="80">
        <v>59.0</v>
      </c>
      <c r="AS797" s="110">
        <v>0.0</v>
      </c>
      <c r="AT797" s="110">
        <v>0.0</v>
      </c>
      <c r="AU797" s="110">
        <v>0.0</v>
      </c>
      <c r="AV797" s="142">
        <v>0.0</v>
      </c>
      <c r="AW797" s="80">
        <v>0.0</v>
      </c>
      <c r="AX797" s="113">
        <v>90.0</v>
      </c>
      <c r="AY797" s="117">
        <v>0.0</v>
      </c>
      <c r="AZ797" s="328">
        <v>90.0</v>
      </c>
      <c r="BA797" s="315">
        <v>0.0</v>
      </c>
      <c r="BB797" s="316">
        <v>90.0</v>
      </c>
      <c r="BC797" s="132" t="s">
        <v>373</v>
      </c>
      <c r="BD797" s="132" t="s">
        <v>178</v>
      </c>
      <c r="BE797" s="132" t="s">
        <v>178</v>
      </c>
      <c r="BF797" s="123"/>
      <c r="BG797" s="83">
        <v>1178892.0</v>
      </c>
      <c r="BH797" s="112">
        <v>4.0</v>
      </c>
      <c r="BI797" s="98" t="s">
        <v>155</v>
      </c>
      <c r="BJ797" s="98" t="str">
        <f t="shared" si="1"/>
        <v>NÃO</v>
      </c>
      <c r="BK797" s="98" t="str">
        <f t="shared" si="2"/>
        <v>NÃO</v>
      </c>
    </row>
    <row r="798" ht="15.75" customHeight="1">
      <c r="A798" s="111" t="s">
        <v>860</v>
      </c>
      <c r="B798" s="83" t="s">
        <v>2372</v>
      </c>
      <c r="C798" s="83" t="s">
        <v>164</v>
      </c>
      <c r="D798" s="83">
        <v>1178288.0</v>
      </c>
      <c r="E798" s="83">
        <v>1178893.0</v>
      </c>
      <c r="F798" s="83"/>
      <c r="G798" s="114" t="s">
        <v>3737</v>
      </c>
      <c r="H798" s="91" t="s">
        <v>3738</v>
      </c>
      <c r="I798" s="114" t="s">
        <v>149</v>
      </c>
      <c r="J798" s="83" t="s">
        <v>252</v>
      </c>
      <c r="K798" s="83" t="s">
        <v>168</v>
      </c>
      <c r="L798" s="83" t="s">
        <v>169</v>
      </c>
      <c r="M798" s="82" t="s">
        <v>8421</v>
      </c>
      <c r="N798" s="82" t="s">
        <v>8422</v>
      </c>
      <c r="O798" s="82"/>
      <c r="P798" s="82"/>
      <c r="Q798" s="82"/>
      <c r="R798" s="82"/>
      <c r="S798" s="82" t="s">
        <v>8424</v>
      </c>
      <c r="T798" s="138">
        <v>4.0</v>
      </c>
      <c r="U798" s="341">
        <v>4.0</v>
      </c>
      <c r="V798" s="106">
        <v>0.0</v>
      </c>
      <c r="W798" s="107">
        <v>0.0</v>
      </c>
      <c r="X798" s="107">
        <v>0.0</v>
      </c>
      <c r="Y798" s="107">
        <v>0.0</v>
      </c>
      <c r="Z798" s="80">
        <v>0.0</v>
      </c>
      <c r="AA798" s="140">
        <v>0.0</v>
      </c>
      <c r="AB798" s="109">
        <v>0.0</v>
      </c>
      <c r="AC798" s="109">
        <v>0.0</v>
      </c>
      <c r="AD798" s="141">
        <v>0.0</v>
      </c>
      <c r="AE798" s="80">
        <v>0.0</v>
      </c>
      <c r="AF798" s="140">
        <v>0.0</v>
      </c>
      <c r="AG798" s="109">
        <v>72.0</v>
      </c>
      <c r="AH798" s="109">
        <v>0.0</v>
      </c>
      <c r="AI798" s="141">
        <v>0.0</v>
      </c>
      <c r="AJ798" s="80">
        <v>72.0</v>
      </c>
      <c r="AK798" s="140">
        <v>0.0</v>
      </c>
      <c r="AL798" s="109">
        <v>0.0</v>
      </c>
      <c r="AM798" s="141">
        <v>0.0</v>
      </c>
      <c r="AN798" s="80">
        <v>0.0</v>
      </c>
      <c r="AO798" s="140">
        <v>0.0</v>
      </c>
      <c r="AP798" s="109">
        <v>0.0</v>
      </c>
      <c r="AQ798" s="109">
        <v>0.0</v>
      </c>
      <c r="AR798" s="80">
        <v>0.0</v>
      </c>
      <c r="AS798" s="110">
        <v>0.0</v>
      </c>
      <c r="AT798" s="110">
        <v>0.0</v>
      </c>
      <c r="AU798" s="110">
        <v>0.0</v>
      </c>
      <c r="AV798" s="142">
        <v>0.0</v>
      </c>
      <c r="AW798" s="80">
        <v>0.0</v>
      </c>
      <c r="AX798" s="113">
        <v>72.0</v>
      </c>
      <c r="AY798" s="117">
        <v>72.0</v>
      </c>
      <c r="AZ798" s="328">
        <v>0.0</v>
      </c>
      <c r="BA798" s="315">
        <v>0.0</v>
      </c>
      <c r="BB798" s="316">
        <v>72.0</v>
      </c>
      <c r="BC798" s="132" t="s">
        <v>373</v>
      </c>
      <c r="BD798" s="132" t="s">
        <v>178</v>
      </c>
      <c r="BE798" s="132" t="s">
        <v>178</v>
      </c>
      <c r="BF798" s="123"/>
      <c r="BG798" s="83">
        <v>1178893.0</v>
      </c>
      <c r="BH798" s="112">
        <v>4.0</v>
      </c>
      <c r="BI798" s="98" t="s">
        <v>155</v>
      </c>
      <c r="BJ798" s="98" t="str">
        <f t="shared" si="1"/>
        <v>NÃO</v>
      </c>
      <c r="BK798" s="98" t="str">
        <f t="shared" si="2"/>
        <v>NÃO</v>
      </c>
    </row>
    <row r="799" ht="15.75" customHeight="1">
      <c r="A799" s="111" t="s">
        <v>860</v>
      </c>
      <c r="B799" s="83" t="s">
        <v>2372</v>
      </c>
      <c r="C799" s="83" t="s">
        <v>164</v>
      </c>
      <c r="D799" s="83">
        <v>1179339.0</v>
      </c>
      <c r="E799" s="83">
        <v>1179397.0</v>
      </c>
      <c r="F799" s="83"/>
      <c r="G799" s="114" t="s">
        <v>3740</v>
      </c>
      <c r="H799" s="91" t="s">
        <v>3741</v>
      </c>
      <c r="I799" s="114" t="s">
        <v>3742</v>
      </c>
      <c r="J799" s="83" t="s">
        <v>3345</v>
      </c>
      <c r="K799" s="83" t="s">
        <v>168</v>
      </c>
      <c r="L799" s="83" t="s">
        <v>169</v>
      </c>
      <c r="M799" s="82" t="s">
        <v>8097</v>
      </c>
      <c r="N799" s="82" t="s">
        <v>8098</v>
      </c>
      <c r="O799" s="82" t="s">
        <v>8099</v>
      </c>
      <c r="P799" s="82"/>
      <c r="Q799" s="82" t="s">
        <v>8100</v>
      </c>
      <c r="R799" s="82"/>
      <c r="S799" s="82"/>
      <c r="T799" s="138">
        <v>1.0</v>
      </c>
      <c r="U799" s="341">
        <v>1.0</v>
      </c>
      <c r="V799" s="106">
        <v>0.0</v>
      </c>
      <c r="W799" s="107">
        <v>0.0</v>
      </c>
      <c r="X799" s="107">
        <v>0.0</v>
      </c>
      <c r="Y799" s="107">
        <v>0.0</v>
      </c>
      <c r="Z799" s="80">
        <v>0.0</v>
      </c>
      <c r="AA799" s="140">
        <v>0.0</v>
      </c>
      <c r="AB799" s="109">
        <v>0.0</v>
      </c>
      <c r="AC799" s="109">
        <v>0.0</v>
      </c>
      <c r="AD799" s="141">
        <v>0.0</v>
      </c>
      <c r="AE799" s="80">
        <v>0.0</v>
      </c>
      <c r="AF799" s="140">
        <v>7.0</v>
      </c>
      <c r="AG799" s="109">
        <v>0.0</v>
      </c>
      <c r="AH799" s="109">
        <v>11.0</v>
      </c>
      <c r="AI799" s="141">
        <v>0.0</v>
      </c>
      <c r="AJ799" s="80">
        <v>18.0</v>
      </c>
      <c r="AK799" s="140">
        <v>0.0</v>
      </c>
      <c r="AL799" s="109">
        <v>0.0</v>
      </c>
      <c r="AM799" s="141">
        <v>0.0</v>
      </c>
      <c r="AN799" s="80">
        <v>0.0</v>
      </c>
      <c r="AO799" s="140">
        <v>0.0</v>
      </c>
      <c r="AP799" s="109">
        <v>0.0</v>
      </c>
      <c r="AQ799" s="109">
        <v>0.0</v>
      </c>
      <c r="AR799" s="80">
        <v>0.0</v>
      </c>
      <c r="AS799" s="110">
        <v>0.0</v>
      </c>
      <c r="AT799" s="110">
        <v>0.0</v>
      </c>
      <c r="AU799" s="110">
        <v>0.0</v>
      </c>
      <c r="AV799" s="142">
        <v>0.0</v>
      </c>
      <c r="AW799" s="80">
        <v>0.0</v>
      </c>
      <c r="AX799" s="113">
        <v>18.0</v>
      </c>
      <c r="AY799" s="117">
        <v>7.0</v>
      </c>
      <c r="AZ799" s="328">
        <v>11.0</v>
      </c>
      <c r="BA799" s="315">
        <v>0.0</v>
      </c>
      <c r="BB799" s="316">
        <v>18.0</v>
      </c>
      <c r="BC799" s="132" t="s">
        <v>178</v>
      </c>
      <c r="BD799" s="143" t="s">
        <v>227</v>
      </c>
      <c r="BE799" s="132" t="s">
        <v>178</v>
      </c>
      <c r="BF799" s="123"/>
      <c r="BG799" s="83">
        <v>1179397.0</v>
      </c>
      <c r="BH799" s="112">
        <v>1.0</v>
      </c>
      <c r="BI799" s="98" t="s">
        <v>155</v>
      </c>
      <c r="BJ799" s="98" t="str">
        <f t="shared" si="1"/>
        <v>NÃO</v>
      </c>
      <c r="BK799" s="98" t="str">
        <f t="shared" si="2"/>
        <v>NÃO</v>
      </c>
    </row>
    <row r="800" ht="15.75" customHeight="1">
      <c r="A800" s="111" t="s">
        <v>860</v>
      </c>
      <c r="B800" s="83" t="s">
        <v>2372</v>
      </c>
      <c r="C800" s="83" t="s">
        <v>164</v>
      </c>
      <c r="D800" s="83">
        <v>1179339.0</v>
      </c>
      <c r="E800" s="83">
        <v>1178894.0</v>
      </c>
      <c r="F800" s="83"/>
      <c r="G800" s="114" t="s">
        <v>2373</v>
      </c>
      <c r="H800" s="91" t="s">
        <v>8448</v>
      </c>
      <c r="I800" s="114" t="s">
        <v>149</v>
      </c>
      <c r="J800" s="83" t="s">
        <v>331</v>
      </c>
      <c r="K800" s="83" t="s">
        <v>168</v>
      </c>
      <c r="L800" s="83" t="s">
        <v>169</v>
      </c>
      <c r="M800" s="82" t="s">
        <v>8097</v>
      </c>
      <c r="N800" s="82" t="s">
        <v>8098</v>
      </c>
      <c r="O800" s="82" t="s">
        <v>8099</v>
      </c>
      <c r="P800" s="82"/>
      <c r="Q800" s="82" t="s">
        <v>8100</v>
      </c>
      <c r="R800" s="82"/>
      <c r="S800" s="82"/>
      <c r="T800" s="138">
        <v>2.0</v>
      </c>
      <c r="U800" s="341">
        <v>2.0</v>
      </c>
      <c r="V800" s="106">
        <v>0.0</v>
      </c>
      <c r="W800" s="107">
        <v>0.0</v>
      </c>
      <c r="X800" s="107">
        <v>0.0</v>
      </c>
      <c r="Y800" s="107">
        <v>0.0</v>
      </c>
      <c r="Z800" s="80">
        <v>0.0</v>
      </c>
      <c r="AA800" s="140">
        <v>0.0</v>
      </c>
      <c r="AB800" s="109">
        <v>0.0</v>
      </c>
      <c r="AC800" s="109">
        <v>0.0</v>
      </c>
      <c r="AD800" s="141">
        <v>0.0</v>
      </c>
      <c r="AE800" s="80">
        <v>0.0</v>
      </c>
      <c r="AF800" s="140">
        <v>5.0</v>
      </c>
      <c r="AG800" s="109">
        <v>17.0</v>
      </c>
      <c r="AH800" s="109">
        <v>0.0</v>
      </c>
      <c r="AI800" s="141">
        <v>0.0</v>
      </c>
      <c r="AJ800" s="80">
        <v>22.0</v>
      </c>
      <c r="AK800" s="140">
        <v>0.0</v>
      </c>
      <c r="AL800" s="109">
        <v>0.0</v>
      </c>
      <c r="AM800" s="141">
        <v>0.0</v>
      </c>
      <c r="AN800" s="80">
        <v>0.0</v>
      </c>
      <c r="AO800" s="140">
        <v>0.0</v>
      </c>
      <c r="AP800" s="109">
        <v>0.0</v>
      </c>
      <c r="AQ800" s="109">
        <v>0.0</v>
      </c>
      <c r="AR800" s="80">
        <v>0.0</v>
      </c>
      <c r="AS800" s="110">
        <v>0.0</v>
      </c>
      <c r="AT800" s="110">
        <v>0.0</v>
      </c>
      <c r="AU800" s="110">
        <v>0.0</v>
      </c>
      <c r="AV800" s="142">
        <v>0.0</v>
      </c>
      <c r="AW800" s="80">
        <v>0.0</v>
      </c>
      <c r="AX800" s="113">
        <v>22.0</v>
      </c>
      <c r="AY800" s="117">
        <v>22.0</v>
      </c>
      <c r="AZ800" s="328">
        <v>0.0</v>
      </c>
      <c r="BA800" s="315">
        <v>0.0</v>
      </c>
      <c r="BB800" s="316">
        <v>22.0</v>
      </c>
      <c r="BC800" s="132" t="s">
        <v>631</v>
      </c>
      <c r="BD800" s="143" t="s">
        <v>227</v>
      </c>
      <c r="BE800" s="132" t="s">
        <v>178</v>
      </c>
      <c r="BF800" s="123"/>
      <c r="BG800" s="83">
        <v>1178894.0</v>
      </c>
      <c r="BH800" s="112">
        <v>2.0</v>
      </c>
      <c r="BI800" s="98" t="s">
        <v>155</v>
      </c>
      <c r="BJ800" s="98" t="str">
        <f t="shared" si="1"/>
        <v>NÃO</v>
      </c>
      <c r="BK800" s="98" t="str">
        <f t="shared" si="2"/>
        <v>NÃO</v>
      </c>
    </row>
    <row r="801" ht="15.75" customHeight="1">
      <c r="A801" s="111" t="s">
        <v>860</v>
      </c>
      <c r="B801" s="83" t="s">
        <v>2229</v>
      </c>
      <c r="C801" s="83" t="s">
        <v>68</v>
      </c>
      <c r="D801" s="83">
        <v>1130937.0</v>
      </c>
      <c r="E801" s="83"/>
      <c r="F801" s="83">
        <v>2.900965E7</v>
      </c>
      <c r="G801" s="114" t="s">
        <v>8453</v>
      </c>
      <c r="H801" s="91" t="s">
        <v>8454</v>
      </c>
      <c r="I801" s="298" t="s">
        <v>149</v>
      </c>
      <c r="J801" s="83" t="s">
        <v>150</v>
      </c>
      <c r="K801" s="83" t="s">
        <v>151</v>
      </c>
      <c r="L801" s="83" t="s">
        <v>76</v>
      </c>
      <c r="M801" s="82" t="s">
        <v>8455</v>
      </c>
      <c r="N801" s="82" t="s">
        <v>8456</v>
      </c>
      <c r="O801" s="82" t="s">
        <v>8457</v>
      </c>
      <c r="P801" s="82"/>
      <c r="Q801" s="82"/>
      <c r="R801" s="82"/>
      <c r="S801" s="82" t="s">
        <v>8458</v>
      </c>
      <c r="T801" s="138">
        <v>7.0</v>
      </c>
      <c r="U801" s="341">
        <v>7.0</v>
      </c>
      <c r="V801" s="106">
        <v>0.0</v>
      </c>
      <c r="W801" s="107">
        <v>0.0</v>
      </c>
      <c r="X801" s="107">
        <v>0.0</v>
      </c>
      <c r="Y801" s="107">
        <v>0.0</v>
      </c>
      <c r="Z801" s="80">
        <v>0.0</v>
      </c>
      <c r="AA801" s="140">
        <v>0.0</v>
      </c>
      <c r="AB801" s="109">
        <v>0.0</v>
      </c>
      <c r="AC801" s="109">
        <v>0.0</v>
      </c>
      <c r="AD801" s="141">
        <v>0.0</v>
      </c>
      <c r="AE801" s="80">
        <v>0.0</v>
      </c>
      <c r="AF801" s="140">
        <v>267.0</v>
      </c>
      <c r="AG801" s="109">
        <v>199.0</v>
      </c>
      <c r="AH801" s="109">
        <v>0.0</v>
      </c>
      <c r="AI801" s="141">
        <v>0.0</v>
      </c>
      <c r="AJ801" s="80">
        <v>466.0</v>
      </c>
      <c r="AK801" s="140">
        <v>0.0</v>
      </c>
      <c r="AL801" s="109">
        <v>0.0</v>
      </c>
      <c r="AM801" s="141">
        <v>0.0</v>
      </c>
      <c r="AN801" s="80">
        <v>0.0</v>
      </c>
      <c r="AO801" s="140">
        <v>0.0</v>
      </c>
      <c r="AP801" s="109">
        <v>0.0</v>
      </c>
      <c r="AQ801" s="109">
        <v>0.0</v>
      </c>
      <c r="AR801" s="80">
        <v>0.0</v>
      </c>
      <c r="AS801" s="110">
        <v>0.0</v>
      </c>
      <c r="AT801" s="110">
        <v>0.0</v>
      </c>
      <c r="AU801" s="110">
        <v>0.0</v>
      </c>
      <c r="AV801" s="142">
        <v>0.0</v>
      </c>
      <c r="AW801" s="80">
        <v>0.0</v>
      </c>
      <c r="AX801" s="113">
        <v>466.0</v>
      </c>
      <c r="AY801" s="117">
        <v>466.0</v>
      </c>
      <c r="AZ801" s="328">
        <v>0.0</v>
      </c>
      <c r="BA801" s="315">
        <v>0.0</v>
      </c>
      <c r="BB801" s="316">
        <v>466.0</v>
      </c>
      <c r="BC801" s="132" t="s">
        <v>178</v>
      </c>
      <c r="BD801" s="132" t="s">
        <v>178</v>
      </c>
      <c r="BE801" s="132" t="s">
        <v>178</v>
      </c>
      <c r="BF801" s="156"/>
      <c r="BG801" s="83">
        <v>1130937.0</v>
      </c>
      <c r="BH801" s="112">
        <v>7.0</v>
      </c>
      <c r="BI801" s="98" t="s">
        <v>155</v>
      </c>
      <c r="BJ801" s="98" t="str">
        <f t="shared" si="1"/>
        <v>NÃO</v>
      </c>
      <c r="BK801" s="98" t="str">
        <f t="shared" si="2"/>
        <v>NÃO</v>
      </c>
    </row>
    <row r="802" ht="15.75" customHeight="1">
      <c r="A802" s="111" t="s">
        <v>860</v>
      </c>
      <c r="B802" s="83" t="s">
        <v>2229</v>
      </c>
      <c r="C802" s="83" t="s">
        <v>68</v>
      </c>
      <c r="D802" s="83">
        <v>1130910.0</v>
      </c>
      <c r="E802" s="83"/>
      <c r="F802" s="83">
        <v>2.9009847E7</v>
      </c>
      <c r="G802" s="114" t="s">
        <v>8466</v>
      </c>
      <c r="H802" s="91" t="s">
        <v>8468</v>
      </c>
      <c r="I802" s="114" t="s">
        <v>149</v>
      </c>
      <c r="J802" s="83" t="s">
        <v>150</v>
      </c>
      <c r="K802" s="83" t="s">
        <v>151</v>
      </c>
      <c r="L802" s="83" t="s">
        <v>76</v>
      </c>
      <c r="M802" s="82" t="s">
        <v>8469</v>
      </c>
      <c r="N802" s="82" t="s">
        <v>8470</v>
      </c>
      <c r="O802" s="82" t="s">
        <v>8471</v>
      </c>
      <c r="P802" s="82" t="s">
        <v>8472</v>
      </c>
      <c r="Q802" s="82"/>
      <c r="R802" s="82"/>
      <c r="S802" s="82" t="s">
        <v>8473</v>
      </c>
      <c r="T802" s="138">
        <v>6.0</v>
      </c>
      <c r="U802" s="352" t="s">
        <v>8474</v>
      </c>
      <c r="V802" s="106">
        <v>0.0</v>
      </c>
      <c r="W802" s="107">
        <v>0.0</v>
      </c>
      <c r="X802" s="107">
        <v>0.0</v>
      </c>
      <c r="Y802" s="107">
        <v>0.0</v>
      </c>
      <c r="Z802" s="80">
        <v>0.0</v>
      </c>
      <c r="AA802" s="140">
        <v>0.0</v>
      </c>
      <c r="AB802" s="109">
        <v>0.0</v>
      </c>
      <c r="AC802" s="109">
        <v>0.0</v>
      </c>
      <c r="AD802" s="141">
        <v>0.0</v>
      </c>
      <c r="AE802" s="80">
        <v>0.0</v>
      </c>
      <c r="AF802" s="140">
        <v>33.0</v>
      </c>
      <c r="AG802" s="109">
        <v>72.0</v>
      </c>
      <c r="AH802" s="109">
        <v>23.0</v>
      </c>
      <c r="AI802" s="141">
        <v>62.0</v>
      </c>
      <c r="AJ802" s="80">
        <v>190.0</v>
      </c>
      <c r="AK802" s="140">
        <v>0.0</v>
      </c>
      <c r="AL802" s="109">
        <v>0.0</v>
      </c>
      <c r="AM802" s="141">
        <v>0.0</v>
      </c>
      <c r="AN802" s="80">
        <v>0.0</v>
      </c>
      <c r="AO802" s="140">
        <v>0.0</v>
      </c>
      <c r="AP802" s="109">
        <v>0.0</v>
      </c>
      <c r="AQ802" s="109">
        <v>77.0</v>
      </c>
      <c r="AR802" s="80">
        <v>77.0</v>
      </c>
      <c r="AS802" s="110">
        <v>0.0</v>
      </c>
      <c r="AT802" s="110">
        <v>0.0</v>
      </c>
      <c r="AU802" s="110">
        <v>0.0</v>
      </c>
      <c r="AV802" s="142">
        <v>0.0</v>
      </c>
      <c r="AW802" s="80">
        <v>0.0</v>
      </c>
      <c r="AX802" s="113">
        <v>267.0</v>
      </c>
      <c r="AY802" s="117">
        <v>167.0</v>
      </c>
      <c r="AZ802" s="328">
        <v>100.0</v>
      </c>
      <c r="BA802" s="315">
        <v>1.0</v>
      </c>
      <c r="BB802" s="316">
        <v>268.0</v>
      </c>
      <c r="BC802" s="132" t="s">
        <v>178</v>
      </c>
      <c r="BD802" s="132" t="s">
        <v>178</v>
      </c>
      <c r="BE802" s="132" t="s">
        <v>178</v>
      </c>
      <c r="BF802" s="123"/>
      <c r="BG802" s="83">
        <v>1130910.0</v>
      </c>
      <c r="BH802" s="112">
        <v>6.0</v>
      </c>
      <c r="BI802" s="98" t="s">
        <v>155</v>
      </c>
      <c r="BJ802" s="98" t="str">
        <f t="shared" si="1"/>
        <v>INTEGRAL</v>
      </c>
      <c r="BK802" s="98" t="str">
        <f t="shared" si="2"/>
        <v>NÃO</v>
      </c>
    </row>
    <row r="803" ht="15.75" customHeight="1">
      <c r="A803" s="111" t="s">
        <v>860</v>
      </c>
      <c r="B803" s="83" t="s">
        <v>2229</v>
      </c>
      <c r="C803" s="83" t="s">
        <v>68</v>
      </c>
      <c r="D803" s="83">
        <v>1130929.0</v>
      </c>
      <c r="E803" s="83"/>
      <c r="F803" s="83">
        <v>2.9009197E7</v>
      </c>
      <c r="G803" s="119" t="s">
        <v>8484</v>
      </c>
      <c r="H803" s="91" t="s">
        <v>3750</v>
      </c>
      <c r="I803" s="298" t="s">
        <v>149</v>
      </c>
      <c r="J803" s="83" t="s">
        <v>150</v>
      </c>
      <c r="K803" s="83" t="s">
        <v>151</v>
      </c>
      <c r="L803" s="83" t="s">
        <v>230</v>
      </c>
      <c r="M803" s="82" t="s">
        <v>8485</v>
      </c>
      <c r="N803" s="82" t="s">
        <v>8486</v>
      </c>
      <c r="O803" s="82" t="s">
        <v>8487</v>
      </c>
      <c r="P803" s="82" t="s">
        <v>8488</v>
      </c>
      <c r="Q803" s="82"/>
      <c r="R803" s="82"/>
      <c r="S803" s="82" t="s">
        <v>8489</v>
      </c>
      <c r="T803" s="138">
        <v>10.0</v>
      </c>
      <c r="U803" s="331" t="s">
        <v>8490</v>
      </c>
      <c r="V803" s="106">
        <v>0.0</v>
      </c>
      <c r="W803" s="107">
        <v>0.0</v>
      </c>
      <c r="X803" s="107">
        <v>0.0</v>
      </c>
      <c r="Y803" s="107">
        <v>0.0</v>
      </c>
      <c r="Z803" s="80">
        <v>0.0</v>
      </c>
      <c r="AA803" s="140">
        <v>0.0</v>
      </c>
      <c r="AB803" s="109">
        <v>0.0</v>
      </c>
      <c r="AC803" s="109">
        <v>0.0</v>
      </c>
      <c r="AD803" s="141">
        <v>0.0</v>
      </c>
      <c r="AE803" s="80">
        <v>0.0</v>
      </c>
      <c r="AF803" s="140">
        <v>0.0</v>
      </c>
      <c r="AG803" s="109">
        <v>0.0</v>
      </c>
      <c r="AH803" s="109">
        <v>0.0</v>
      </c>
      <c r="AI803" s="141">
        <v>0.0</v>
      </c>
      <c r="AJ803" s="80">
        <v>0.0</v>
      </c>
      <c r="AK803" s="140">
        <v>0.0</v>
      </c>
      <c r="AL803" s="109">
        <v>0.0</v>
      </c>
      <c r="AM803" s="141">
        <v>0.0</v>
      </c>
      <c r="AN803" s="80">
        <v>0.0</v>
      </c>
      <c r="AO803" s="140">
        <v>0.0</v>
      </c>
      <c r="AP803" s="109">
        <v>0.0</v>
      </c>
      <c r="AQ803" s="109">
        <v>0.0</v>
      </c>
      <c r="AR803" s="80">
        <v>0.0</v>
      </c>
      <c r="AS803" s="110">
        <v>147.0</v>
      </c>
      <c r="AT803" s="110">
        <v>167.0</v>
      </c>
      <c r="AU803" s="110">
        <v>92.0</v>
      </c>
      <c r="AV803" s="142">
        <v>0.0</v>
      </c>
      <c r="AW803" s="80">
        <v>406.0</v>
      </c>
      <c r="AX803" s="113">
        <v>406.0</v>
      </c>
      <c r="AY803" s="117">
        <v>314.0</v>
      </c>
      <c r="AZ803" s="328">
        <v>92.0</v>
      </c>
      <c r="BA803" s="315">
        <v>0.0</v>
      </c>
      <c r="BB803" s="316">
        <v>406.0</v>
      </c>
      <c r="BC803" s="132" t="s">
        <v>178</v>
      </c>
      <c r="BD803" s="132" t="s">
        <v>522</v>
      </c>
      <c r="BE803" s="132" t="s">
        <v>178</v>
      </c>
      <c r="BF803" s="123"/>
      <c r="BG803" s="83">
        <v>1130929.0</v>
      </c>
      <c r="BH803" s="112">
        <v>5.0</v>
      </c>
      <c r="BI803" s="98" t="s">
        <v>155</v>
      </c>
      <c r="BJ803" s="98" t="str">
        <f t="shared" si="1"/>
        <v>NÃO</v>
      </c>
      <c r="BK803" s="98" t="str">
        <f t="shared" si="2"/>
        <v>PROFISSIONAL</v>
      </c>
    </row>
    <row r="804" ht="15.75" customHeight="1">
      <c r="A804" s="111" t="s">
        <v>860</v>
      </c>
      <c r="B804" s="83" t="s">
        <v>2229</v>
      </c>
      <c r="C804" s="83" t="s">
        <v>164</v>
      </c>
      <c r="D804" s="83">
        <v>1179339.0</v>
      </c>
      <c r="E804" s="83">
        <v>1179396.0</v>
      </c>
      <c r="F804" s="83"/>
      <c r="G804" s="114" t="s">
        <v>3760</v>
      </c>
      <c r="H804" s="91" t="s">
        <v>3761</v>
      </c>
      <c r="I804" s="298" t="s">
        <v>3762</v>
      </c>
      <c r="J804" s="83" t="s">
        <v>191</v>
      </c>
      <c r="K804" s="83" t="s">
        <v>168</v>
      </c>
      <c r="L804" s="83" t="s">
        <v>169</v>
      </c>
      <c r="M804" s="82" t="s">
        <v>8097</v>
      </c>
      <c r="N804" s="82" t="s">
        <v>8098</v>
      </c>
      <c r="O804" s="82" t="s">
        <v>8099</v>
      </c>
      <c r="P804" s="82"/>
      <c r="Q804" s="82" t="s">
        <v>8100</v>
      </c>
      <c r="R804" s="82"/>
      <c r="S804" s="82"/>
      <c r="T804" s="138">
        <v>2.0</v>
      </c>
      <c r="U804" s="389">
        <v>2.0</v>
      </c>
      <c r="V804" s="106">
        <v>0.0</v>
      </c>
      <c r="W804" s="107">
        <v>0.0</v>
      </c>
      <c r="X804" s="107">
        <v>0.0</v>
      </c>
      <c r="Y804" s="107">
        <v>0.0</v>
      </c>
      <c r="Z804" s="80">
        <v>0.0</v>
      </c>
      <c r="AA804" s="140">
        <v>0.0</v>
      </c>
      <c r="AB804" s="109">
        <v>0.0</v>
      </c>
      <c r="AC804" s="109">
        <v>0.0</v>
      </c>
      <c r="AD804" s="141">
        <v>0.0</v>
      </c>
      <c r="AE804" s="80">
        <v>0.0</v>
      </c>
      <c r="AF804" s="140">
        <v>10.0</v>
      </c>
      <c r="AG804" s="109">
        <v>13.0</v>
      </c>
      <c r="AH804" s="109">
        <v>0.0</v>
      </c>
      <c r="AI804" s="141">
        <v>0.0</v>
      </c>
      <c r="AJ804" s="80">
        <v>23.0</v>
      </c>
      <c r="AK804" s="140">
        <v>0.0</v>
      </c>
      <c r="AL804" s="109">
        <v>0.0</v>
      </c>
      <c r="AM804" s="141">
        <v>0.0</v>
      </c>
      <c r="AN804" s="80">
        <v>0.0</v>
      </c>
      <c r="AO804" s="140">
        <v>0.0</v>
      </c>
      <c r="AP804" s="109">
        <v>0.0</v>
      </c>
      <c r="AQ804" s="109">
        <v>0.0</v>
      </c>
      <c r="AR804" s="80">
        <v>0.0</v>
      </c>
      <c r="AS804" s="110">
        <v>0.0</v>
      </c>
      <c r="AT804" s="110">
        <v>0.0</v>
      </c>
      <c r="AU804" s="110">
        <v>0.0</v>
      </c>
      <c r="AV804" s="142">
        <v>0.0</v>
      </c>
      <c r="AW804" s="80">
        <v>0.0</v>
      </c>
      <c r="AX804" s="113">
        <v>23.0</v>
      </c>
      <c r="AY804" s="117">
        <v>23.0</v>
      </c>
      <c r="AZ804" s="328">
        <v>0.0</v>
      </c>
      <c r="BA804" s="315">
        <v>0.0</v>
      </c>
      <c r="BB804" s="316">
        <v>23.0</v>
      </c>
      <c r="BC804" s="132" t="s">
        <v>178</v>
      </c>
      <c r="BD804" s="143" t="s">
        <v>227</v>
      </c>
      <c r="BE804" s="132" t="s">
        <v>178</v>
      </c>
      <c r="BF804" s="123"/>
      <c r="BG804" s="83">
        <v>1179396.0</v>
      </c>
      <c r="BH804" s="112">
        <v>2.0</v>
      </c>
      <c r="BI804" s="98" t="s">
        <v>155</v>
      </c>
      <c r="BJ804" s="98" t="str">
        <f t="shared" si="1"/>
        <v>NÃO</v>
      </c>
      <c r="BK804" s="98" t="str">
        <f t="shared" si="2"/>
        <v>NÃO</v>
      </c>
    </row>
    <row r="805" ht="15.75" customHeight="1">
      <c r="A805" s="111" t="s">
        <v>860</v>
      </c>
      <c r="B805" s="83" t="s">
        <v>2229</v>
      </c>
      <c r="C805" s="83" t="s">
        <v>164</v>
      </c>
      <c r="D805" s="83">
        <v>1179339.0</v>
      </c>
      <c r="E805" s="83">
        <v>1179395.0</v>
      </c>
      <c r="F805" s="83"/>
      <c r="G805" s="114" t="s">
        <v>3764</v>
      </c>
      <c r="H805" s="91" t="s">
        <v>3765</v>
      </c>
      <c r="I805" s="298" t="s">
        <v>3766</v>
      </c>
      <c r="J805" s="83" t="s">
        <v>244</v>
      </c>
      <c r="K805" s="83" t="s">
        <v>168</v>
      </c>
      <c r="L805" s="83" t="s">
        <v>169</v>
      </c>
      <c r="M805" s="82" t="s">
        <v>8097</v>
      </c>
      <c r="N805" s="82" t="s">
        <v>8098</v>
      </c>
      <c r="O805" s="82" t="s">
        <v>8099</v>
      </c>
      <c r="P805" s="82"/>
      <c r="Q805" s="82" t="s">
        <v>8100</v>
      </c>
      <c r="R805" s="82"/>
      <c r="S805" s="82"/>
      <c r="T805" s="138">
        <v>3.0</v>
      </c>
      <c r="U805" s="389">
        <v>3.0</v>
      </c>
      <c r="V805" s="106">
        <v>0.0</v>
      </c>
      <c r="W805" s="107">
        <v>0.0</v>
      </c>
      <c r="X805" s="107">
        <v>0.0</v>
      </c>
      <c r="Y805" s="107">
        <v>0.0</v>
      </c>
      <c r="Z805" s="80">
        <v>0.0</v>
      </c>
      <c r="AA805" s="140">
        <v>0.0</v>
      </c>
      <c r="AB805" s="109">
        <v>0.0</v>
      </c>
      <c r="AC805" s="109">
        <v>0.0</v>
      </c>
      <c r="AD805" s="141">
        <v>0.0</v>
      </c>
      <c r="AE805" s="80">
        <v>0.0</v>
      </c>
      <c r="AF805" s="140">
        <v>0.0</v>
      </c>
      <c r="AG805" s="109">
        <v>0.0</v>
      </c>
      <c r="AH805" s="109">
        <v>27.0</v>
      </c>
      <c r="AI805" s="141">
        <v>0.0</v>
      </c>
      <c r="AJ805" s="80">
        <v>27.0</v>
      </c>
      <c r="AK805" s="140">
        <v>0.0</v>
      </c>
      <c r="AL805" s="109">
        <v>0.0</v>
      </c>
      <c r="AM805" s="141">
        <v>0.0</v>
      </c>
      <c r="AN805" s="80">
        <v>0.0</v>
      </c>
      <c r="AO805" s="140">
        <v>0.0</v>
      </c>
      <c r="AP805" s="109">
        <v>0.0</v>
      </c>
      <c r="AQ805" s="109">
        <v>0.0</v>
      </c>
      <c r="AR805" s="80">
        <v>0.0</v>
      </c>
      <c r="AS805" s="110">
        <v>0.0</v>
      </c>
      <c r="AT805" s="110">
        <v>0.0</v>
      </c>
      <c r="AU805" s="110">
        <v>0.0</v>
      </c>
      <c r="AV805" s="142">
        <v>0.0</v>
      </c>
      <c r="AW805" s="80">
        <v>0.0</v>
      </c>
      <c r="AX805" s="113">
        <v>27.0</v>
      </c>
      <c r="AY805" s="117">
        <v>0.0</v>
      </c>
      <c r="AZ805" s="328">
        <v>27.0</v>
      </c>
      <c r="BA805" s="315">
        <v>0.0</v>
      </c>
      <c r="BB805" s="316">
        <v>27.0</v>
      </c>
      <c r="BC805" s="132" t="s">
        <v>178</v>
      </c>
      <c r="BD805" s="143" t="s">
        <v>227</v>
      </c>
      <c r="BE805" s="132" t="s">
        <v>178</v>
      </c>
      <c r="BF805" s="123"/>
      <c r="BG805" s="83">
        <v>1179395.0</v>
      </c>
      <c r="BH805" s="112">
        <v>3.0</v>
      </c>
      <c r="BI805" s="98" t="s">
        <v>155</v>
      </c>
      <c r="BJ805" s="98" t="str">
        <f t="shared" si="1"/>
        <v>NÃO</v>
      </c>
      <c r="BK805" s="98" t="str">
        <f t="shared" si="2"/>
        <v>NÃO</v>
      </c>
    </row>
    <row r="806" ht="15.75" customHeight="1">
      <c r="A806" s="111" t="s">
        <v>860</v>
      </c>
      <c r="B806" s="83" t="s">
        <v>2229</v>
      </c>
      <c r="C806" s="83" t="s">
        <v>164</v>
      </c>
      <c r="D806" s="83">
        <v>1179339.0</v>
      </c>
      <c r="E806" s="83">
        <v>1179237.0</v>
      </c>
      <c r="F806" s="83"/>
      <c r="G806" s="114" t="s">
        <v>3772</v>
      </c>
      <c r="H806" s="91" t="s">
        <v>3773</v>
      </c>
      <c r="I806" s="298" t="s">
        <v>3774</v>
      </c>
      <c r="J806" s="83" t="s">
        <v>890</v>
      </c>
      <c r="K806" s="83" t="s">
        <v>168</v>
      </c>
      <c r="L806" s="83" t="s">
        <v>169</v>
      </c>
      <c r="M806" s="82" t="s">
        <v>8097</v>
      </c>
      <c r="N806" s="82" t="s">
        <v>8098</v>
      </c>
      <c r="O806" s="82" t="s">
        <v>8099</v>
      </c>
      <c r="P806" s="82"/>
      <c r="Q806" s="82" t="s">
        <v>8100</v>
      </c>
      <c r="R806" s="82"/>
      <c r="S806" s="82"/>
      <c r="T806" s="138">
        <v>2.0</v>
      </c>
      <c r="U806" s="323">
        <v>2.0</v>
      </c>
      <c r="V806" s="106">
        <v>0.0</v>
      </c>
      <c r="W806" s="107">
        <v>0.0</v>
      </c>
      <c r="X806" s="107">
        <v>0.0</v>
      </c>
      <c r="Y806" s="107">
        <v>0.0</v>
      </c>
      <c r="Z806" s="80">
        <v>0.0</v>
      </c>
      <c r="AA806" s="140">
        <v>0.0</v>
      </c>
      <c r="AB806" s="109">
        <v>0.0</v>
      </c>
      <c r="AC806" s="109">
        <v>0.0</v>
      </c>
      <c r="AD806" s="141">
        <v>0.0</v>
      </c>
      <c r="AE806" s="80">
        <v>0.0</v>
      </c>
      <c r="AF806" s="140">
        <v>8.0</v>
      </c>
      <c r="AG806" s="109">
        <v>0.0</v>
      </c>
      <c r="AH806" s="109">
        <v>16.0</v>
      </c>
      <c r="AI806" s="141">
        <v>0.0</v>
      </c>
      <c r="AJ806" s="80">
        <v>24.0</v>
      </c>
      <c r="AK806" s="140">
        <v>0.0</v>
      </c>
      <c r="AL806" s="109">
        <v>0.0</v>
      </c>
      <c r="AM806" s="141">
        <v>0.0</v>
      </c>
      <c r="AN806" s="80">
        <v>0.0</v>
      </c>
      <c r="AO806" s="140">
        <v>0.0</v>
      </c>
      <c r="AP806" s="109">
        <v>0.0</v>
      </c>
      <c r="AQ806" s="109">
        <v>0.0</v>
      </c>
      <c r="AR806" s="80">
        <v>0.0</v>
      </c>
      <c r="AS806" s="110">
        <v>0.0</v>
      </c>
      <c r="AT806" s="110">
        <v>0.0</v>
      </c>
      <c r="AU806" s="110">
        <v>0.0</v>
      </c>
      <c r="AV806" s="142">
        <v>0.0</v>
      </c>
      <c r="AW806" s="80">
        <v>0.0</v>
      </c>
      <c r="AX806" s="113">
        <v>24.0</v>
      </c>
      <c r="AY806" s="117">
        <v>8.0</v>
      </c>
      <c r="AZ806" s="328">
        <v>16.0</v>
      </c>
      <c r="BA806" s="315">
        <v>0.0</v>
      </c>
      <c r="BB806" s="316">
        <v>24.0</v>
      </c>
      <c r="BC806" s="132" t="s">
        <v>178</v>
      </c>
      <c r="BD806" s="143" t="s">
        <v>227</v>
      </c>
      <c r="BE806" s="132" t="s">
        <v>178</v>
      </c>
      <c r="BF806" s="156"/>
      <c r="BG806" s="83">
        <v>1179237.0</v>
      </c>
      <c r="BH806" s="112">
        <v>2.0</v>
      </c>
      <c r="BI806" s="98" t="s">
        <v>155</v>
      </c>
      <c r="BJ806" s="98" t="str">
        <f t="shared" si="1"/>
        <v>NÃO</v>
      </c>
      <c r="BK806" s="98" t="str">
        <f t="shared" si="2"/>
        <v>NÃO</v>
      </c>
    </row>
    <row r="807" ht="15.75" customHeight="1">
      <c r="A807" s="111" t="s">
        <v>860</v>
      </c>
      <c r="B807" s="83" t="s">
        <v>2229</v>
      </c>
      <c r="C807" s="83" t="s">
        <v>164</v>
      </c>
      <c r="D807" s="83">
        <v>1179339.0</v>
      </c>
      <c r="E807" s="189">
        <v>1178898.0</v>
      </c>
      <c r="F807" s="83"/>
      <c r="G807" s="210" t="s">
        <v>3776</v>
      </c>
      <c r="H807" s="91" t="s">
        <v>3777</v>
      </c>
      <c r="I807" s="298" t="s">
        <v>3778</v>
      </c>
      <c r="J807" s="83" t="s">
        <v>641</v>
      </c>
      <c r="K807" s="83" t="s">
        <v>168</v>
      </c>
      <c r="L807" s="83" t="s">
        <v>169</v>
      </c>
      <c r="M807" s="82" t="s">
        <v>8097</v>
      </c>
      <c r="N807" s="82" t="s">
        <v>8098</v>
      </c>
      <c r="O807" s="82" t="s">
        <v>8099</v>
      </c>
      <c r="P807" s="82"/>
      <c r="Q807" s="82" t="s">
        <v>8100</v>
      </c>
      <c r="R807" s="82"/>
      <c r="S807" s="82"/>
      <c r="T807" s="138">
        <v>1.0</v>
      </c>
      <c r="U807" s="323">
        <v>1.0</v>
      </c>
      <c r="V807" s="106">
        <v>0.0</v>
      </c>
      <c r="W807" s="107">
        <v>0.0</v>
      </c>
      <c r="X807" s="107">
        <v>0.0</v>
      </c>
      <c r="Y807" s="107">
        <v>0.0</v>
      </c>
      <c r="Z807" s="80">
        <v>0.0</v>
      </c>
      <c r="AA807" s="140">
        <v>0.0</v>
      </c>
      <c r="AB807" s="109">
        <v>0.0</v>
      </c>
      <c r="AC807" s="109">
        <v>0.0</v>
      </c>
      <c r="AD807" s="141">
        <v>0.0</v>
      </c>
      <c r="AE807" s="80">
        <v>0.0</v>
      </c>
      <c r="AF807" s="140">
        <v>0.0</v>
      </c>
      <c r="AG807" s="109">
        <v>3.0</v>
      </c>
      <c r="AH807" s="109">
        <v>8.0</v>
      </c>
      <c r="AI807" s="141">
        <v>0.0</v>
      </c>
      <c r="AJ807" s="80">
        <v>11.0</v>
      </c>
      <c r="AK807" s="140">
        <v>0.0</v>
      </c>
      <c r="AL807" s="109">
        <v>0.0</v>
      </c>
      <c r="AM807" s="141">
        <v>0.0</v>
      </c>
      <c r="AN807" s="80">
        <v>0.0</v>
      </c>
      <c r="AO807" s="140">
        <v>0.0</v>
      </c>
      <c r="AP807" s="109">
        <v>0.0</v>
      </c>
      <c r="AQ807" s="109">
        <v>0.0</v>
      </c>
      <c r="AR807" s="80">
        <v>0.0</v>
      </c>
      <c r="AS807" s="110">
        <v>0.0</v>
      </c>
      <c r="AT807" s="110">
        <v>0.0</v>
      </c>
      <c r="AU807" s="110">
        <v>0.0</v>
      </c>
      <c r="AV807" s="142">
        <v>0.0</v>
      </c>
      <c r="AW807" s="80">
        <v>0.0</v>
      </c>
      <c r="AX807" s="113">
        <v>11.0</v>
      </c>
      <c r="AY807" s="117">
        <v>3.0</v>
      </c>
      <c r="AZ807" s="328">
        <v>8.0</v>
      </c>
      <c r="BA807" s="315">
        <v>0.0</v>
      </c>
      <c r="BB807" s="316">
        <v>11.0</v>
      </c>
      <c r="BC807" s="132" t="s">
        <v>178</v>
      </c>
      <c r="BD807" s="143" t="s">
        <v>227</v>
      </c>
      <c r="BE807" s="132" t="s">
        <v>178</v>
      </c>
      <c r="BF807" s="156"/>
      <c r="BG807" s="83">
        <v>1178898.0</v>
      </c>
      <c r="BH807" s="112">
        <v>1.0</v>
      </c>
      <c r="BI807" s="98" t="s">
        <v>155</v>
      </c>
      <c r="BJ807" s="98" t="str">
        <f t="shared" si="1"/>
        <v>NÃO</v>
      </c>
      <c r="BK807" s="98" t="str">
        <f t="shared" si="2"/>
        <v>NÃO</v>
      </c>
    </row>
    <row r="808" ht="15.75" customHeight="1">
      <c r="A808" s="111" t="s">
        <v>860</v>
      </c>
      <c r="B808" s="83" t="s">
        <v>2229</v>
      </c>
      <c r="C808" s="191" t="s">
        <v>164</v>
      </c>
      <c r="D808" s="83">
        <v>1179339.0</v>
      </c>
      <c r="E808" s="83">
        <v>1178897.0</v>
      </c>
      <c r="F808" s="237"/>
      <c r="G808" s="114" t="s">
        <v>3780</v>
      </c>
      <c r="H808" s="91" t="s">
        <v>3782</v>
      </c>
      <c r="I808" s="498" t="s">
        <v>3783</v>
      </c>
      <c r="J808" s="83" t="s">
        <v>3785</v>
      </c>
      <c r="K808" s="83" t="s">
        <v>168</v>
      </c>
      <c r="L808" s="83" t="s">
        <v>169</v>
      </c>
      <c r="M808" s="82" t="s">
        <v>8097</v>
      </c>
      <c r="N808" s="82" t="s">
        <v>8098</v>
      </c>
      <c r="O808" s="82" t="s">
        <v>8099</v>
      </c>
      <c r="P808" s="82"/>
      <c r="Q808" s="82" t="s">
        <v>8100</v>
      </c>
      <c r="R808" s="82"/>
      <c r="S808" s="82"/>
      <c r="T808" s="138">
        <v>3.0</v>
      </c>
      <c r="U808" s="323">
        <v>3.0</v>
      </c>
      <c r="V808" s="106">
        <v>0.0</v>
      </c>
      <c r="W808" s="107">
        <v>0.0</v>
      </c>
      <c r="X808" s="107">
        <v>0.0</v>
      </c>
      <c r="Y808" s="107">
        <v>0.0</v>
      </c>
      <c r="Z808" s="80">
        <v>0.0</v>
      </c>
      <c r="AA808" s="140">
        <v>0.0</v>
      </c>
      <c r="AB808" s="109">
        <v>0.0</v>
      </c>
      <c r="AC808" s="109">
        <v>0.0</v>
      </c>
      <c r="AD808" s="141">
        <v>0.0</v>
      </c>
      <c r="AE808" s="80">
        <v>0.0</v>
      </c>
      <c r="AF808" s="140">
        <v>0.0</v>
      </c>
      <c r="AG808" s="109">
        <v>0.0</v>
      </c>
      <c r="AH808" s="109">
        <v>22.0</v>
      </c>
      <c r="AI808" s="141">
        <v>0.0</v>
      </c>
      <c r="AJ808" s="80">
        <v>22.0</v>
      </c>
      <c r="AK808" s="140">
        <v>0.0</v>
      </c>
      <c r="AL808" s="109">
        <v>0.0</v>
      </c>
      <c r="AM808" s="141">
        <v>0.0</v>
      </c>
      <c r="AN808" s="80">
        <v>0.0</v>
      </c>
      <c r="AO808" s="140">
        <v>0.0</v>
      </c>
      <c r="AP808" s="109">
        <v>0.0</v>
      </c>
      <c r="AQ808" s="109">
        <v>0.0</v>
      </c>
      <c r="AR808" s="80">
        <v>0.0</v>
      </c>
      <c r="AS808" s="110">
        <v>0.0</v>
      </c>
      <c r="AT808" s="110">
        <v>0.0</v>
      </c>
      <c r="AU808" s="110">
        <v>0.0</v>
      </c>
      <c r="AV808" s="142">
        <v>0.0</v>
      </c>
      <c r="AW808" s="80">
        <v>0.0</v>
      </c>
      <c r="AX808" s="113">
        <v>22.0</v>
      </c>
      <c r="AY808" s="117">
        <v>0.0</v>
      </c>
      <c r="AZ808" s="328">
        <v>22.0</v>
      </c>
      <c r="BA808" s="315">
        <v>0.0</v>
      </c>
      <c r="BB808" s="316">
        <v>22.0</v>
      </c>
      <c r="BC808" s="132" t="s">
        <v>178</v>
      </c>
      <c r="BD808" s="143" t="s">
        <v>227</v>
      </c>
      <c r="BE808" s="132" t="s">
        <v>178</v>
      </c>
      <c r="BF808" s="123"/>
      <c r="BG808" s="83">
        <v>1178897.0</v>
      </c>
      <c r="BH808" s="112">
        <v>3.0</v>
      </c>
      <c r="BI808" s="98" t="s">
        <v>155</v>
      </c>
      <c r="BJ808" s="98" t="str">
        <f t="shared" si="1"/>
        <v>NÃO</v>
      </c>
      <c r="BK808" s="98" t="str">
        <f t="shared" si="2"/>
        <v>NÃO</v>
      </c>
    </row>
    <row r="809" ht="15.75" customHeight="1">
      <c r="A809" s="111" t="s">
        <v>860</v>
      </c>
      <c r="B809" s="83" t="s">
        <v>2229</v>
      </c>
      <c r="C809" s="191" t="s">
        <v>164</v>
      </c>
      <c r="D809" s="83">
        <v>1179339.0</v>
      </c>
      <c r="E809" s="83">
        <v>1178896.0</v>
      </c>
      <c r="F809" s="237"/>
      <c r="G809" s="114" t="s">
        <v>3788</v>
      </c>
      <c r="H809" s="91" t="s">
        <v>3789</v>
      </c>
      <c r="I809" s="498" t="s">
        <v>3790</v>
      </c>
      <c r="J809" s="83" t="s">
        <v>456</v>
      </c>
      <c r="K809" s="83" t="s">
        <v>168</v>
      </c>
      <c r="L809" s="83" t="s">
        <v>169</v>
      </c>
      <c r="M809" s="82" t="s">
        <v>8097</v>
      </c>
      <c r="N809" s="82" t="s">
        <v>8098</v>
      </c>
      <c r="O809" s="82" t="s">
        <v>8099</v>
      </c>
      <c r="P809" s="82"/>
      <c r="Q809" s="82" t="s">
        <v>8100</v>
      </c>
      <c r="R809" s="82"/>
      <c r="S809" s="82"/>
      <c r="T809" s="138">
        <v>3.0</v>
      </c>
      <c r="U809" s="323">
        <v>3.0</v>
      </c>
      <c r="V809" s="106">
        <v>0.0</v>
      </c>
      <c r="W809" s="107">
        <v>0.0</v>
      </c>
      <c r="X809" s="107">
        <v>0.0</v>
      </c>
      <c r="Y809" s="107">
        <v>0.0</v>
      </c>
      <c r="Z809" s="80">
        <v>0.0</v>
      </c>
      <c r="AA809" s="140">
        <v>0.0</v>
      </c>
      <c r="AB809" s="109">
        <v>0.0</v>
      </c>
      <c r="AC809" s="109">
        <v>0.0</v>
      </c>
      <c r="AD809" s="141">
        <v>0.0</v>
      </c>
      <c r="AE809" s="80">
        <v>0.0</v>
      </c>
      <c r="AF809" s="140">
        <v>0.0</v>
      </c>
      <c r="AG809" s="109">
        <v>0.0</v>
      </c>
      <c r="AH809" s="109">
        <v>14.0</v>
      </c>
      <c r="AI809" s="141">
        <v>0.0</v>
      </c>
      <c r="AJ809" s="80">
        <v>14.0</v>
      </c>
      <c r="AK809" s="140">
        <v>0.0</v>
      </c>
      <c r="AL809" s="109">
        <v>0.0</v>
      </c>
      <c r="AM809" s="141">
        <v>0.0</v>
      </c>
      <c r="AN809" s="80">
        <v>0.0</v>
      </c>
      <c r="AO809" s="140">
        <v>0.0</v>
      </c>
      <c r="AP809" s="109">
        <v>0.0</v>
      </c>
      <c r="AQ809" s="109">
        <v>0.0</v>
      </c>
      <c r="AR809" s="80">
        <v>0.0</v>
      </c>
      <c r="AS809" s="110">
        <v>0.0</v>
      </c>
      <c r="AT809" s="110">
        <v>0.0</v>
      </c>
      <c r="AU809" s="110">
        <v>0.0</v>
      </c>
      <c r="AV809" s="142">
        <v>0.0</v>
      </c>
      <c r="AW809" s="80">
        <v>0.0</v>
      </c>
      <c r="AX809" s="113">
        <v>14.0</v>
      </c>
      <c r="AY809" s="117">
        <v>0.0</v>
      </c>
      <c r="AZ809" s="328">
        <v>14.0</v>
      </c>
      <c r="BA809" s="315">
        <v>0.0</v>
      </c>
      <c r="BB809" s="316">
        <v>14.0</v>
      </c>
      <c r="BC809" s="132" t="s">
        <v>178</v>
      </c>
      <c r="BD809" s="143" t="s">
        <v>227</v>
      </c>
      <c r="BE809" s="132" t="s">
        <v>178</v>
      </c>
      <c r="BF809" s="123"/>
      <c r="BG809" s="83">
        <v>1178896.0</v>
      </c>
      <c r="BH809" s="112">
        <v>3.0</v>
      </c>
      <c r="BI809" s="98" t="s">
        <v>155</v>
      </c>
      <c r="BJ809" s="98" t="str">
        <f t="shared" si="1"/>
        <v>NÃO</v>
      </c>
      <c r="BK809" s="98" t="str">
        <f t="shared" si="2"/>
        <v>NÃO</v>
      </c>
    </row>
    <row r="810" ht="15.75" customHeight="1">
      <c r="A810" s="111" t="s">
        <v>860</v>
      </c>
      <c r="B810" s="83" t="s">
        <v>2405</v>
      </c>
      <c r="C810" s="83" t="s">
        <v>68</v>
      </c>
      <c r="D810" s="83">
        <v>1130902.0</v>
      </c>
      <c r="E810" s="82"/>
      <c r="F810" s="83">
        <v>2.9004403E7</v>
      </c>
      <c r="G810" s="91" t="s">
        <v>8531</v>
      </c>
      <c r="H810" s="91" t="s">
        <v>8533</v>
      </c>
      <c r="I810" s="298" t="s">
        <v>149</v>
      </c>
      <c r="J810" s="83" t="s">
        <v>150</v>
      </c>
      <c r="K810" s="83" t="s">
        <v>151</v>
      </c>
      <c r="L810" s="83" t="s">
        <v>76</v>
      </c>
      <c r="M810" s="82" t="s">
        <v>8534</v>
      </c>
      <c r="N810" s="82" t="s">
        <v>8535</v>
      </c>
      <c r="O810" s="82" t="s">
        <v>8536</v>
      </c>
      <c r="P810" s="82" t="s">
        <v>8537</v>
      </c>
      <c r="Q810" s="82"/>
      <c r="R810" s="82"/>
      <c r="S810" s="82" t="s">
        <v>8538</v>
      </c>
      <c r="T810" s="138">
        <v>5.0</v>
      </c>
      <c r="U810" s="323">
        <v>5.0</v>
      </c>
      <c r="V810" s="106">
        <v>0.0</v>
      </c>
      <c r="W810" s="107">
        <v>0.0</v>
      </c>
      <c r="X810" s="107">
        <v>0.0</v>
      </c>
      <c r="Y810" s="107">
        <v>0.0</v>
      </c>
      <c r="Z810" s="80">
        <v>0.0</v>
      </c>
      <c r="AA810" s="140">
        <v>0.0</v>
      </c>
      <c r="AB810" s="109">
        <v>0.0</v>
      </c>
      <c r="AC810" s="109">
        <v>0.0</v>
      </c>
      <c r="AD810" s="141">
        <v>0.0</v>
      </c>
      <c r="AE810" s="80">
        <v>0.0</v>
      </c>
      <c r="AF810" s="140">
        <v>165.0</v>
      </c>
      <c r="AG810" s="109">
        <v>152.0</v>
      </c>
      <c r="AH810" s="109">
        <v>31.0</v>
      </c>
      <c r="AI810" s="141">
        <v>0.0</v>
      </c>
      <c r="AJ810" s="80">
        <v>348.0</v>
      </c>
      <c r="AK810" s="140">
        <v>0.0</v>
      </c>
      <c r="AL810" s="109">
        <v>0.0</v>
      </c>
      <c r="AM810" s="141">
        <v>0.0</v>
      </c>
      <c r="AN810" s="80">
        <v>0.0</v>
      </c>
      <c r="AO810" s="140">
        <v>0.0</v>
      </c>
      <c r="AP810" s="109">
        <v>0.0</v>
      </c>
      <c r="AQ810" s="109">
        <v>87.0</v>
      </c>
      <c r="AR810" s="80">
        <v>87.0</v>
      </c>
      <c r="AS810" s="110">
        <v>0.0</v>
      </c>
      <c r="AT810" s="110">
        <v>0.0</v>
      </c>
      <c r="AU810" s="110">
        <v>0.0</v>
      </c>
      <c r="AV810" s="142">
        <v>0.0</v>
      </c>
      <c r="AW810" s="80">
        <v>0.0</v>
      </c>
      <c r="AX810" s="113">
        <v>435.0</v>
      </c>
      <c r="AY810" s="117">
        <v>317.0</v>
      </c>
      <c r="AZ810" s="328">
        <v>118.0</v>
      </c>
      <c r="BA810" s="315">
        <v>0.0</v>
      </c>
      <c r="BB810" s="316">
        <v>435.0</v>
      </c>
      <c r="BC810" s="132" t="s">
        <v>178</v>
      </c>
      <c r="BD810" s="132" t="s">
        <v>178</v>
      </c>
      <c r="BE810" s="132" t="s">
        <v>178</v>
      </c>
      <c r="BF810" s="123"/>
      <c r="BG810" s="83">
        <v>1130902.0</v>
      </c>
      <c r="BH810" s="112">
        <v>5.0</v>
      </c>
      <c r="BI810" s="98" t="s">
        <v>155</v>
      </c>
      <c r="BJ810" s="98" t="str">
        <f t="shared" si="1"/>
        <v>NÃO</v>
      </c>
      <c r="BK810" s="98" t="str">
        <f t="shared" si="2"/>
        <v>NÃO</v>
      </c>
    </row>
    <row r="811" ht="15.75" customHeight="1">
      <c r="A811" s="111" t="s">
        <v>860</v>
      </c>
      <c r="B811" s="83" t="s">
        <v>2405</v>
      </c>
      <c r="C811" s="83" t="s">
        <v>68</v>
      </c>
      <c r="D811" s="83">
        <v>1179619.0</v>
      </c>
      <c r="E811" s="189"/>
      <c r="F811" s="83">
        <v>2.9470501E7</v>
      </c>
      <c r="G811" s="210" t="s">
        <v>8542</v>
      </c>
      <c r="H811" s="91" t="s">
        <v>495</v>
      </c>
      <c r="I811" s="298" t="s">
        <v>3792</v>
      </c>
      <c r="J811" s="83" t="s">
        <v>3793</v>
      </c>
      <c r="K811" s="83" t="s">
        <v>151</v>
      </c>
      <c r="L811" s="83" t="s">
        <v>169</v>
      </c>
      <c r="M811" s="82" t="s">
        <v>8547</v>
      </c>
      <c r="N811" s="82" t="s">
        <v>8548</v>
      </c>
      <c r="O811" s="82"/>
      <c r="P811" s="82"/>
      <c r="Q811" s="82"/>
      <c r="R811" s="82"/>
      <c r="S811" s="82" t="s">
        <v>8549</v>
      </c>
      <c r="T811" s="138">
        <v>5.0</v>
      </c>
      <c r="U811" s="323">
        <v>4.0</v>
      </c>
      <c r="V811" s="106">
        <v>0.0</v>
      </c>
      <c r="W811" s="107">
        <v>0.0</v>
      </c>
      <c r="X811" s="107">
        <v>0.0</v>
      </c>
      <c r="Y811" s="107">
        <v>0.0</v>
      </c>
      <c r="Z811" s="80">
        <v>0.0</v>
      </c>
      <c r="AA811" s="140">
        <v>0.0</v>
      </c>
      <c r="AB811" s="109">
        <v>0.0</v>
      </c>
      <c r="AC811" s="109">
        <v>0.0</v>
      </c>
      <c r="AD811" s="141">
        <v>0.0</v>
      </c>
      <c r="AE811" s="80">
        <v>0.0</v>
      </c>
      <c r="AF811" s="140">
        <v>86.0</v>
      </c>
      <c r="AG811" s="109">
        <v>2.0</v>
      </c>
      <c r="AH811" s="109">
        <v>0.0</v>
      </c>
      <c r="AI811" s="141">
        <v>0.0</v>
      </c>
      <c r="AJ811" s="80">
        <v>88.0</v>
      </c>
      <c r="AK811" s="140">
        <v>0.0</v>
      </c>
      <c r="AL811" s="109">
        <v>0.0</v>
      </c>
      <c r="AM811" s="141">
        <v>0.0</v>
      </c>
      <c r="AN811" s="80">
        <v>0.0</v>
      </c>
      <c r="AO811" s="140">
        <v>0.0</v>
      </c>
      <c r="AP811" s="109">
        <v>0.0</v>
      </c>
      <c r="AQ811" s="109">
        <v>63.0</v>
      </c>
      <c r="AR811" s="80">
        <v>63.0</v>
      </c>
      <c r="AS811" s="110">
        <v>50.0</v>
      </c>
      <c r="AT811" s="110">
        <v>40.0</v>
      </c>
      <c r="AU811" s="110">
        <v>0.0</v>
      </c>
      <c r="AV811" s="142">
        <v>0.0</v>
      </c>
      <c r="AW811" s="80">
        <v>90.0</v>
      </c>
      <c r="AX811" s="113">
        <v>241.0</v>
      </c>
      <c r="AY811" s="117">
        <v>178.0</v>
      </c>
      <c r="AZ811" s="328">
        <v>63.0</v>
      </c>
      <c r="BA811" s="315">
        <v>7.0</v>
      </c>
      <c r="BB811" s="316">
        <v>248.0</v>
      </c>
      <c r="BC811" s="132" t="s">
        <v>373</v>
      </c>
      <c r="BD811" s="132" t="s">
        <v>178</v>
      </c>
      <c r="BE811" s="132" t="s">
        <v>178</v>
      </c>
      <c r="BF811" s="123"/>
      <c r="BG811" s="83">
        <v>1179619.0</v>
      </c>
      <c r="BH811" s="112">
        <v>4.0</v>
      </c>
      <c r="BI811" s="98" t="s">
        <v>155</v>
      </c>
      <c r="BJ811" s="98" t="str">
        <f t="shared" si="1"/>
        <v>NÃO</v>
      </c>
      <c r="BK811" s="98" t="str">
        <f t="shared" si="2"/>
        <v>PROFISSIONAL</v>
      </c>
    </row>
    <row r="812" ht="15.75" customHeight="1">
      <c r="A812" s="111" t="s">
        <v>860</v>
      </c>
      <c r="B812" s="83" t="s">
        <v>2405</v>
      </c>
      <c r="C812" s="191" t="s">
        <v>68</v>
      </c>
      <c r="D812" s="83">
        <v>1176129.0</v>
      </c>
      <c r="E812" s="189"/>
      <c r="F812" s="237">
        <v>2.9336082E7</v>
      </c>
      <c r="G812" s="210" t="s">
        <v>8555</v>
      </c>
      <c r="H812" s="91" t="s">
        <v>8556</v>
      </c>
      <c r="I812" s="399" t="s">
        <v>149</v>
      </c>
      <c r="J812" s="83" t="s">
        <v>150</v>
      </c>
      <c r="K812" s="83" t="s">
        <v>151</v>
      </c>
      <c r="L812" s="83" t="s">
        <v>169</v>
      </c>
      <c r="M812" s="82" t="s">
        <v>8557</v>
      </c>
      <c r="N812" s="82" t="s">
        <v>8559</v>
      </c>
      <c r="O812" s="82"/>
      <c r="P812" s="82"/>
      <c r="Q812" s="82"/>
      <c r="R812" s="82"/>
      <c r="S812" s="82" t="s">
        <v>8562</v>
      </c>
      <c r="T812" s="138">
        <v>4.0</v>
      </c>
      <c r="U812" s="341">
        <v>4.0</v>
      </c>
      <c r="V812" s="106">
        <v>0.0</v>
      </c>
      <c r="W812" s="107">
        <v>0.0</v>
      </c>
      <c r="X812" s="107">
        <v>0.0</v>
      </c>
      <c r="Y812" s="107">
        <v>0.0</v>
      </c>
      <c r="Z812" s="80">
        <v>0.0</v>
      </c>
      <c r="AA812" s="140">
        <v>0.0</v>
      </c>
      <c r="AB812" s="109">
        <v>0.0</v>
      </c>
      <c r="AC812" s="109">
        <v>0.0</v>
      </c>
      <c r="AD812" s="141">
        <v>0.0</v>
      </c>
      <c r="AE812" s="80">
        <v>0.0</v>
      </c>
      <c r="AF812" s="140">
        <v>147.0</v>
      </c>
      <c r="AG812" s="109">
        <v>112.0</v>
      </c>
      <c r="AH812" s="109">
        <v>0.0</v>
      </c>
      <c r="AI812" s="141">
        <v>0.0</v>
      </c>
      <c r="AJ812" s="80">
        <v>259.0</v>
      </c>
      <c r="AK812" s="140">
        <v>0.0</v>
      </c>
      <c r="AL812" s="109">
        <v>0.0</v>
      </c>
      <c r="AM812" s="141">
        <v>0.0</v>
      </c>
      <c r="AN812" s="80">
        <v>0.0</v>
      </c>
      <c r="AO812" s="140">
        <v>0.0</v>
      </c>
      <c r="AP812" s="109">
        <v>0.0</v>
      </c>
      <c r="AQ812" s="109">
        <v>0.0</v>
      </c>
      <c r="AR812" s="80">
        <v>0.0</v>
      </c>
      <c r="AS812" s="110">
        <v>0.0</v>
      </c>
      <c r="AT812" s="110">
        <v>0.0</v>
      </c>
      <c r="AU812" s="110">
        <v>0.0</v>
      </c>
      <c r="AV812" s="142">
        <v>0.0</v>
      </c>
      <c r="AW812" s="80">
        <v>0.0</v>
      </c>
      <c r="AX812" s="113">
        <v>259.0</v>
      </c>
      <c r="AY812" s="117">
        <v>259.0</v>
      </c>
      <c r="AZ812" s="328">
        <v>0.0</v>
      </c>
      <c r="BA812" s="315">
        <v>0.0</v>
      </c>
      <c r="BB812" s="316">
        <v>259.0</v>
      </c>
      <c r="BC812" s="132" t="s">
        <v>178</v>
      </c>
      <c r="BD812" s="132" t="s">
        <v>178</v>
      </c>
      <c r="BE812" s="132" t="s">
        <v>178</v>
      </c>
      <c r="BF812" s="123"/>
      <c r="BG812" s="83">
        <v>1176129.0</v>
      </c>
      <c r="BH812" s="112">
        <v>4.0</v>
      </c>
      <c r="BI812" s="98" t="s">
        <v>155</v>
      </c>
      <c r="BJ812" s="98" t="str">
        <f t="shared" si="1"/>
        <v>NÃO</v>
      </c>
      <c r="BK812" s="98" t="str">
        <f t="shared" si="2"/>
        <v>NÃO</v>
      </c>
    </row>
    <row r="813" ht="15.75" customHeight="1">
      <c r="A813" s="111" t="s">
        <v>860</v>
      </c>
      <c r="B813" s="83" t="s">
        <v>2405</v>
      </c>
      <c r="C813" s="191" t="s">
        <v>164</v>
      </c>
      <c r="D813" s="83">
        <v>1176129.0</v>
      </c>
      <c r="E813" s="237">
        <v>1179720.0</v>
      </c>
      <c r="F813" s="237"/>
      <c r="G813" s="114" t="s">
        <v>8564</v>
      </c>
      <c r="H813" s="91" t="s">
        <v>3799</v>
      </c>
      <c r="I813" s="500" t="s">
        <v>171</v>
      </c>
      <c r="J813" s="83" t="s">
        <v>3800</v>
      </c>
      <c r="K813" s="83" t="s">
        <v>168</v>
      </c>
      <c r="L813" s="83" t="s">
        <v>512</v>
      </c>
      <c r="M813" s="82" t="s">
        <v>8557</v>
      </c>
      <c r="N813" s="82" t="s">
        <v>8559</v>
      </c>
      <c r="O813" s="82"/>
      <c r="P813" s="82"/>
      <c r="Q813" s="82"/>
      <c r="R813" s="82"/>
      <c r="S813" s="82" t="s">
        <v>8562</v>
      </c>
      <c r="T813" s="138" t="s">
        <v>171</v>
      </c>
      <c r="U813" s="341" t="s">
        <v>171</v>
      </c>
      <c r="V813" s="106">
        <v>0.0</v>
      </c>
      <c r="W813" s="107">
        <v>0.0</v>
      </c>
      <c r="X813" s="107">
        <v>0.0</v>
      </c>
      <c r="Y813" s="107">
        <v>0.0</v>
      </c>
      <c r="Z813" s="80">
        <v>0.0</v>
      </c>
      <c r="AA813" s="140">
        <v>0.0</v>
      </c>
      <c r="AB813" s="109">
        <v>0.0</v>
      </c>
      <c r="AC813" s="109">
        <v>0.0</v>
      </c>
      <c r="AD813" s="141">
        <v>0.0</v>
      </c>
      <c r="AE813" s="80">
        <v>0.0</v>
      </c>
      <c r="AF813" s="140">
        <v>0.0</v>
      </c>
      <c r="AG813" s="109">
        <v>0.0</v>
      </c>
      <c r="AH813" s="109">
        <v>21.0</v>
      </c>
      <c r="AI813" s="141">
        <v>0.0</v>
      </c>
      <c r="AJ813" s="80">
        <v>21.0</v>
      </c>
      <c r="AK813" s="140">
        <v>0.0</v>
      </c>
      <c r="AL813" s="109">
        <v>0.0</v>
      </c>
      <c r="AM813" s="141">
        <v>0.0</v>
      </c>
      <c r="AN813" s="80">
        <v>0.0</v>
      </c>
      <c r="AO813" s="140">
        <v>0.0</v>
      </c>
      <c r="AP813" s="109">
        <v>0.0</v>
      </c>
      <c r="AQ813" s="109">
        <v>63.0</v>
      </c>
      <c r="AR813" s="80">
        <v>63.0</v>
      </c>
      <c r="AS813" s="110">
        <v>0.0</v>
      </c>
      <c r="AT813" s="110">
        <v>0.0</v>
      </c>
      <c r="AU813" s="110">
        <v>0.0</v>
      </c>
      <c r="AV813" s="142">
        <v>0.0</v>
      </c>
      <c r="AW813" s="80">
        <v>0.0</v>
      </c>
      <c r="AX813" s="113">
        <v>84.0</v>
      </c>
      <c r="AY813" s="117">
        <v>0.0</v>
      </c>
      <c r="AZ813" s="328">
        <v>84.0</v>
      </c>
      <c r="BA813" s="315">
        <v>0.0</v>
      </c>
      <c r="BB813" s="316">
        <v>84.0</v>
      </c>
      <c r="BC813" s="132" t="s">
        <v>178</v>
      </c>
      <c r="BD813" s="132" t="s">
        <v>178</v>
      </c>
      <c r="BE813" s="132" t="s">
        <v>178</v>
      </c>
      <c r="BF813" s="156"/>
      <c r="BG813" s="83">
        <v>1179720.0</v>
      </c>
      <c r="BH813" s="112">
        <v>0.0</v>
      </c>
      <c r="BI813" s="98" t="s">
        <v>155</v>
      </c>
      <c r="BJ813" s="98" t="str">
        <f t="shared" si="1"/>
        <v>NÃO</v>
      </c>
      <c r="BK813" s="98" t="str">
        <f t="shared" si="2"/>
        <v>NÃO</v>
      </c>
    </row>
    <row r="814" ht="15.75" customHeight="1">
      <c r="A814" s="111" t="s">
        <v>860</v>
      </c>
      <c r="B814" s="83" t="s">
        <v>2405</v>
      </c>
      <c r="C814" s="83" t="s">
        <v>164</v>
      </c>
      <c r="D814" s="82">
        <v>1130902.0</v>
      </c>
      <c r="E814" s="82">
        <v>1179718.0</v>
      </c>
      <c r="F814" s="83"/>
      <c r="G814" s="91" t="s">
        <v>8573</v>
      </c>
      <c r="H814" s="108" t="s">
        <v>3818</v>
      </c>
      <c r="I814" s="114" t="s">
        <v>171</v>
      </c>
      <c r="J814" s="83" t="s">
        <v>3821</v>
      </c>
      <c r="K814" s="83" t="s">
        <v>168</v>
      </c>
      <c r="L814" s="83" t="s">
        <v>512</v>
      </c>
      <c r="M814" s="82" t="s">
        <v>8534</v>
      </c>
      <c r="N814" s="82" t="s">
        <v>8535</v>
      </c>
      <c r="O814" s="82" t="s">
        <v>8536</v>
      </c>
      <c r="P814" s="82" t="s">
        <v>8537</v>
      </c>
      <c r="Q814" s="82"/>
      <c r="R814" s="82"/>
      <c r="S814" s="82" t="s">
        <v>8538</v>
      </c>
      <c r="T814" s="138" t="s">
        <v>171</v>
      </c>
      <c r="U814" s="341" t="s">
        <v>171</v>
      </c>
      <c r="V814" s="106">
        <v>0.0</v>
      </c>
      <c r="W814" s="107">
        <v>0.0</v>
      </c>
      <c r="X814" s="107">
        <v>0.0</v>
      </c>
      <c r="Y814" s="107">
        <v>0.0</v>
      </c>
      <c r="Z814" s="80">
        <v>0.0</v>
      </c>
      <c r="AA814" s="140">
        <v>0.0</v>
      </c>
      <c r="AB814" s="109">
        <v>0.0</v>
      </c>
      <c r="AC814" s="109">
        <v>0.0</v>
      </c>
      <c r="AD814" s="141">
        <v>0.0</v>
      </c>
      <c r="AE814" s="80">
        <v>0.0</v>
      </c>
      <c r="AF814" s="140">
        <v>0.0</v>
      </c>
      <c r="AG814" s="109">
        <v>0.0</v>
      </c>
      <c r="AH814" s="109">
        <v>9.0</v>
      </c>
      <c r="AI814" s="141">
        <v>0.0</v>
      </c>
      <c r="AJ814" s="80">
        <v>9.0</v>
      </c>
      <c r="AK814" s="140">
        <v>0.0</v>
      </c>
      <c r="AL814" s="109">
        <v>0.0</v>
      </c>
      <c r="AM814" s="141">
        <v>0.0</v>
      </c>
      <c r="AN814" s="80">
        <v>0.0</v>
      </c>
      <c r="AO814" s="140">
        <v>0.0</v>
      </c>
      <c r="AP814" s="109">
        <v>0.0</v>
      </c>
      <c r="AQ814" s="109">
        <v>36.0</v>
      </c>
      <c r="AR814" s="80">
        <v>36.0</v>
      </c>
      <c r="AS814" s="110">
        <v>0.0</v>
      </c>
      <c r="AT814" s="110">
        <v>0.0</v>
      </c>
      <c r="AU814" s="110">
        <v>0.0</v>
      </c>
      <c r="AV814" s="142">
        <v>0.0</v>
      </c>
      <c r="AW814" s="80">
        <v>0.0</v>
      </c>
      <c r="AX814" s="113">
        <v>45.0</v>
      </c>
      <c r="AY814" s="117">
        <v>0.0</v>
      </c>
      <c r="AZ814" s="328">
        <v>45.0</v>
      </c>
      <c r="BA814" s="315">
        <v>0.0</v>
      </c>
      <c r="BB814" s="316">
        <v>45.0</v>
      </c>
      <c r="BC814" s="132" t="s">
        <v>178</v>
      </c>
      <c r="BD814" s="132" t="s">
        <v>178</v>
      </c>
      <c r="BE814" s="132" t="s">
        <v>178</v>
      </c>
      <c r="BF814" s="156"/>
      <c r="BG814" s="83">
        <v>1179718.0</v>
      </c>
      <c r="BH814" s="112">
        <v>0.0</v>
      </c>
      <c r="BI814" s="98" t="s">
        <v>155</v>
      </c>
      <c r="BJ814" s="98" t="str">
        <f t="shared" si="1"/>
        <v>NÃO</v>
      </c>
      <c r="BK814" s="98" t="str">
        <f t="shared" si="2"/>
        <v>NÃO</v>
      </c>
    </row>
    <row r="815" ht="15.75" customHeight="1">
      <c r="A815" s="111" t="s">
        <v>860</v>
      </c>
      <c r="B815" s="83" t="s">
        <v>2405</v>
      </c>
      <c r="C815" s="83" t="s">
        <v>164</v>
      </c>
      <c r="D815" s="83">
        <v>1176129.0</v>
      </c>
      <c r="E815" s="83">
        <v>1179721.0</v>
      </c>
      <c r="F815" s="83"/>
      <c r="G815" s="187" t="s">
        <v>8581</v>
      </c>
      <c r="H815" s="91" t="s">
        <v>3810</v>
      </c>
      <c r="I815" s="365" t="s">
        <v>171</v>
      </c>
      <c r="J815" s="373" t="s">
        <v>3811</v>
      </c>
      <c r="K815" s="83" t="s">
        <v>168</v>
      </c>
      <c r="L815" s="83" t="s">
        <v>512</v>
      </c>
      <c r="M815" s="82" t="s">
        <v>8557</v>
      </c>
      <c r="N815" s="82" t="s">
        <v>8559</v>
      </c>
      <c r="O815" s="82"/>
      <c r="P815" s="82"/>
      <c r="Q815" s="82"/>
      <c r="R815" s="82"/>
      <c r="S815" s="82" t="s">
        <v>8562</v>
      </c>
      <c r="T815" s="138" t="s">
        <v>171</v>
      </c>
      <c r="U815" s="364" t="s">
        <v>171</v>
      </c>
      <c r="V815" s="106">
        <v>0.0</v>
      </c>
      <c r="W815" s="107">
        <v>0.0</v>
      </c>
      <c r="X815" s="107">
        <v>0.0</v>
      </c>
      <c r="Y815" s="107">
        <v>0.0</v>
      </c>
      <c r="Z815" s="80">
        <v>0.0</v>
      </c>
      <c r="AA815" s="140">
        <v>0.0</v>
      </c>
      <c r="AB815" s="109">
        <v>0.0</v>
      </c>
      <c r="AC815" s="109">
        <v>0.0</v>
      </c>
      <c r="AD815" s="141">
        <v>0.0</v>
      </c>
      <c r="AE815" s="80">
        <v>0.0</v>
      </c>
      <c r="AF815" s="140">
        <v>0.0</v>
      </c>
      <c r="AG815" s="109">
        <v>0.0</v>
      </c>
      <c r="AH815" s="109">
        <v>12.0</v>
      </c>
      <c r="AI815" s="141">
        <v>0.0</v>
      </c>
      <c r="AJ815" s="80">
        <v>12.0</v>
      </c>
      <c r="AK815" s="140">
        <v>0.0</v>
      </c>
      <c r="AL815" s="109">
        <v>0.0</v>
      </c>
      <c r="AM815" s="141">
        <v>0.0</v>
      </c>
      <c r="AN815" s="80">
        <v>0.0</v>
      </c>
      <c r="AO815" s="140">
        <v>0.0</v>
      </c>
      <c r="AP815" s="109">
        <v>0.0</v>
      </c>
      <c r="AQ815" s="109">
        <v>20.0</v>
      </c>
      <c r="AR815" s="80">
        <v>20.0</v>
      </c>
      <c r="AS815" s="110">
        <v>0.0</v>
      </c>
      <c r="AT815" s="110">
        <v>0.0</v>
      </c>
      <c r="AU815" s="110">
        <v>0.0</v>
      </c>
      <c r="AV815" s="142">
        <v>0.0</v>
      </c>
      <c r="AW815" s="80">
        <v>0.0</v>
      </c>
      <c r="AX815" s="113">
        <v>32.0</v>
      </c>
      <c r="AY815" s="117">
        <v>0.0</v>
      </c>
      <c r="AZ815" s="328">
        <v>32.0</v>
      </c>
      <c r="BA815" s="315">
        <v>0.0</v>
      </c>
      <c r="BB815" s="316">
        <v>32.0</v>
      </c>
      <c r="BC815" s="132" t="s">
        <v>178</v>
      </c>
      <c r="BD815" s="132" t="s">
        <v>178</v>
      </c>
      <c r="BE815" s="132" t="s">
        <v>178</v>
      </c>
      <c r="BF815" s="156"/>
      <c r="BG815" s="83">
        <v>1179721.0</v>
      </c>
      <c r="BH815" s="112">
        <v>0.0</v>
      </c>
      <c r="BI815" s="98" t="s">
        <v>155</v>
      </c>
      <c r="BJ815" s="98" t="str">
        <f t="shared" si="1"/>
        <v>NÃO</v>
      </c>
      <c r="BK815" s="98" t="str">
        <f t="shared" si="2"/>
        <v>NÃO</v>
      </c>
    </row>
    <row r="816" ht="15.75" customHeight="1">
      <c r="A816" s="111" t="s">
        <v>860</v>
      </c>
      <c r="B816" s="83" t="s">
        <v>2405</v>
      </c>
      <c r="C816" s="83" t="s">
        <v>164</v>
      </c>
      <c r="D816" s="83">
        <v>1130902.0</v>
      </c>
      <c r="E816" s="83">
        <v>1179719.0</v>
      </c>
      <c r="F816" s="83"/>
      <c r="G816" s="187" t="s">
        <v>2412</v>
      </c>
      <c r="H816" s="108" t="s">
        <v>8595</v>
      </c>
      <c r="I816" s="365" t="s">
        <v>171</v>
      </c>
      <c r="J816" s="373" t="s">
        <v>1498</v>
      </c>
      <c r="K816" s="83" t="s">
        <v>168</v>
      </c>
      <c r="L816" s="83" t="s">
        <v>512</v>
      </c>
      <c r="M816" s="82" t="s">
        <v>8534</v>
      </c>
      <c r="N816" s="82" t="s">
        <v>8535</v>
      </c>
      <c r="O816" s="82" t="s">
        <v>8536</v>
      </c>
      <c r="P816" s="82" t="s">
        <v>8537</v>
      </c>
      <c r="Q816" s="82"/>
      <c r="R816" s="82"/>
      <c r="S816" s="82" t="s">
        <v>8538</v>
      </c>
      <c r="T816" s="138" t="s">
        <v>171</v>
      </c>
      <c r="U816" s="364" t="s">
        <v>171</v>
      </c>
      <c r="V816" s="106">
        <v>0.0</v>
      </c>
      <c r="W816" s="107">
        <v>0.0</v>
      </c>
      <c r="X816" s="107">
        <v>0.0</v>
      </c>
      <c r="Y816" s="107">
        <v>0.0</v>
      </c>
      <c r="Z816" s="80">
        <v>0.0</v>
      </c>
      <c r="AA816" s="140">
        <v>0.0</v>
      </c>
      <c r="AB816" s="109">
        <v>0.0</v>
      </c>
      <c r="AC816" s="109">
        <v>0.0</v>
      </c>
      <c r="AD816" s="141">
        <v>0.0</v>
      </c>
      <c r="AE816" s="80">
        <v>0.0</v>
      </c>
      <c r="AF816" s="140">
        <v>0.0</v>
      </c>
      <c r="AG816" s="109">
        <v>0.0</v>
      </c>
      <c r="AH816" s="109">
        <v>28.0</v>
      </c>
      <c r="AI816" s="141">
        <v>0.0</v>
      </c>
      <c r="AJ816" s="80">
        <v>28.0</v>
      </c>
      <c r="AK816" s="140">
        <v>0.0</v>
      </c>
      <c r="AL816" s="109">
        <v>0.0</v>
      </c>
      <c r="AM816" s="141">
        <v>0.0</v>
      </c>
      <c r="AN816" s="80">
        <v>0.0</v>
      </c>
      <c r="AO816" s="140">
        <v>0.0</v>
      </c>
      <c r="AP816" s="109">
        <v>0.0</v>
      </c>
      <c r="AQ816" s="109">
        <v>80.0</v>
      </c>
      <c r="AR816" s="80">
        <v>80.0</v>
      </c>
      <c r="AS816" s="110">
        <v>0.0</v>
      </c>
      <c r="AT816" s="110">
        <v>0.0</v>
      </c>
      <c r="AU816" s="110">
        <v>0.0</v>
      </c>
      <c r="AV816" s="142">
        <v>0.0</v>
      </c>
      <c r="AW816" s="80">
        <v>0.0</v>
      </c>
      <c r="AX816" s="113">
        <v>108.0</v>
      </c>
      <c r="AY816" s="117">
        <v>0.0</v>
      </c>
      <c r="AZ816" s="328">
        <v>108.0</v>
      </c>
      <c r="BA816" s="315">
        <v>0.0</v>
      </c>
      <c r="BB816" s="316">
        <v>108.0</v>
      </c>
      <c r="BC816" s="132" t="s">
        <v>178</v>
      </c>
      <c r="BD816" s="132" t="s">
        <v>178</v>
      </c>
      <c r="BE816" s="132" t="s">
        <v>178</v>
      </c>
      <c r="BF816" s="156"/>
      <c r="BG816" s="83">
        <v>1179719.0</v>
      </c>
      <c r="BH816" s="112">
        <v>0.0</v>
      </c>
      <c r="BI816" s="98" t="s">
        <v>155</v>
      </c>
      <c r="BJ816" s="98" t="str">
        <f t="shared" si="1"/>
        <v>NÃO</v>
      </c>
      <c r="BK816" s="98" t="str">
        <f t="shared" si="2"/>
        <v>NÃO</v>
      </c>
    </row>
    <row r="817" ht="15.75" customHeight="1">
      <c r="A817" s="111" t="s">
        <v>860</v>
      </c>
      <c r="B817" s="83" t="s">
        <v>3822</v>
      </c>
      <c r="C817" s="83" t="s">
        <v>68</v>
      </c>
      <c r="D817" s="83">
        <v>1165455.0</v>
      </c>
      <c r="E817" s="83"/>
      <c r="F817" s="83">
        <v>2.9010438E7</v>
      </c>
      <c r="G817" s="147" t="s">
        <v>3829</v>
      </c>
      <c r="H817" s="91" t="s">
        <v>8603</v>
      </c>
      <c r="I817" s="365" t="s">
        <v>149</v>
      </c>
      <c r="J817" s="373" t="s">
        <v>150</v>
      </c>
      <c r="K817" s="83" t="s">
        <v>151</v>
      </c>
      <c r="L817" s="83" t="s">
        <v>76</v>
      </c>
      <c r="M817" s="82" t="s">
        <v>8604</v>
      </c>
      <c r="N817" s="82" t="s">
        <v>8605</v>
      </c>
      <c r="O817" s="82"/>
      <c r="P817" s="82"/>
      <c r="Q817" s="82"/>
      <c r="R817" s="82"/>
      <c r="S817" s="82" t="s">
        <v>8606</v>
      </c>
      <c r="T817" s="138">
        <v>10.0</v>
      </c>
      <c r="U817" s="364">
        <v>7.0</v>
      </c>
      <c r="V817" s="106">
        <v>0.0</v>
      </c>
      <c r="W817" s="107">
        <v>0.0</v>
      </c>
      <c r="X817" s="107">
        <v>0.0</v>
      </c>
      <c r="Y817" s="107">
        <v>0.0</v>
      </c>
      <c r="Z817" s="80">
        <v>0.0</v>
      </c>
      <c r="AA817" s="140">
        <v>0.0</v>
      </c>
      <c r="AB817" s="109">
        <v>0.0</v>
      </c>
      <c r="AC817" s="109">
        <v>0.0</v>
      </c>
      <c r="AD817" s="141">
        <v>0.0</v>
      </c>
      <c r="AE817" s="80">
        <v>0.0</v>
      </c>
      <c r="AF817" s="140">
        <v>184.0</v>
      </c>
      <c r="AG817" s="109">
        <v>168.0</v>
      </c>
      <c r="AH817" s="109">
        <v>0.0</v>
      </c>
      <c r="AI817" s="141">
        <v>65.0</v>
      </c>
      <c r="AJ817" s="80">
        <v>417.0</v>
      </c>
      <c r="AK817" s="140">
        <v>0.0</v>
      </c>
      <c r="AL817" s="109">
        <v>0.0</v>
      </c>
      <c r="AM817" s="141">
        <v>0.0</v>
      </c>
      <c r="AN817" s="80">
        <v>0.0</v>
      </c>
      <c r="AO817" s="140">
        <v>0.0</v>
      </c>
      <c r="AP817" s="109">
        <v>0.0</v>
      </c>
      <c r="AQ817" s="109">
        <v>32.0</v>
      </c>
      <c r="AR817" s="80">
        <v>32.0</v>
      </c>
      <c r="AS817" s="110">
        <v>0.0</v>
      </c>
      <c r="AT817" s="110">
        <v>0.0</v>
      </c>
      <c r="AU817" s="110">
        <v>0.0</v>
      </c>
      <c r="AV817" s="142">
        <v>0.0</v>
      </c>
      <c r="AW817" s="80">
        <v>0.0</v>
      </c>
      <c r="AX817" s="113">
        <v>449.0</v>
      </c>
      <c r="AY817" s="117">
        <v>417.0</v>
      </c>
      <c r="AZ817" s="328">
        <v>32.0</v>
      </c>
      <c r="BA817" s="315">
        <v>2.0</v>
      </c>
      <c r="BB817" s="316">
        <v>451.0</v>
      </c>
      <c r="BC817" s="132" t="s">
        <v>178</v>
      </c>
      <c r="BD817" s="132" t="s">
        <v>178</v>
      </c>
      <c r="BE817" s="132" t="s">
        <v>178</v>
      </c>
      <c r="BF817" s="156"/>
      <c r="BG817" s="83">
        <v>1165455.0</v>
      </c>
      <c r="BH817" s="112">
        <v>7.0</v>
      </c>
      <c r="BI817" s="98" t="s">
        <v>155</v>
      </c>
      <c r="BJ817" s="98" t="str">
        <f t="shared" si="1"/>
        <v>INTEGRAL</v>
      </c>
      <c r="BK817" s="98" t="str">
        <f t="shared" si="2"/>
        <v>NÃO</v>
      </c>
    </row>
    <row r="818" ht="15.75" customHeight="1">
      <c r="A818" s="111" t="s">
        <v>860</v>
      </c>
      <c r="B818" s="83" t="s">
        <v>3822</v>
      </c>
      <c r="C818" s="83" t="s">
        <v>164</v>
      </c>
      <c r="D818" s="83">
        <v>1179339.0</v>
      </c>
      <c r="E818" s="83">
        <v>1179454.0</v>
      </c>
      <c r="F818" s="83"/>
      <c r="G818" s="187" t="s">
        <v>3839</v>
      </c>
      <c r="H818" s="91" t="s">
        <v>3840</v>
      </c>
      <c r="I818" s="365" t="s">
        <v>3841</v>
      </c>
      <c r="J818" s="373" t="s">
        <v>464</v>
      </c>
      <c r="K818" s="83" t="s">
        <v>168</v>
      </c>
      <c r="L818" s="83" t="s">
        <v>169</v>
      </c>
      <c r="M818" s="82" t="s">
        <v>8097</v>
      </c>
      <c r="N818" s="82" t="s">
        <v>8098</v>
      </c>
      <c r="O818" s="82" t="s">
        <v>8099</v>
      </c>
      <c r="P818" s="82"/>
      <c r="Q818" s="82" t="s">
        <v>8100</v>
      </c>
      <c r="R818" s="82"/>
      <c r="S818" s="82"/>
      <c r="T818" s="138">
        <v>2.0</v>
      </c>
      <c r="U818" s="364">
        <v>2.0</v>
      </c>
      <c r="V818" s="106">
        <v>0.0</v>
      </c>
      <c r="W818" s="107">
        <v>0.0</v>
      </c>
      <c r="X818" s="107">
        <v>0.0</v>
      </c>
      <c r="Y818" s="107">
        <v>0.0</v>
      </c>
      <c r="Z818" s="80">
        <v>0.0</v>
      </c>
      <c r="AA818" s="140">
        <v>0.0</v>
      </c>
      <c r="AB818" s="109">
        <v>0.0</v>
      </c>
      <c r="AC818" s="109">
        <v>0.0</v>
      </c>
      <c r="AD818" s="141">
        <v>0.0</v>
      </c>
      <c r="AE818" s="80">
        <v>0.0</v>
      </c>
      <c r="AF818" s="140">
        <v>0.0</v>
      </c>
      <c r="AG818" s="109">
        <v>0.0</v>
      </c>
      <c r="AH818" s="109">
        <v>0.0</v>
      </c>
      <c r="AI818" s="141">
        <v>0.0</v>
      </c>
      <c r="AJ818" s="80">
        <v>0.0</v>
      </c>
      <c r="AK818" s="140">
        <v>0.0</v>
      </c>
      <c r="AL818" s="109">
        <v>0.0</v>
      </c>
      <c r="AM818" s="141">
        <v>0.0</v>
      </c>
      <c r="AN818" s="80">
        <v>0.0</v>
      </c>
      <c r="AO818" s="140">
        <v>0.0</v>
      </c>
      <c r="AP818" s="109">
        <v>0.0</v>
      </c>
      <c r="AQ818" s="109">
        <v>0.0</v>
      </c>
      <c r="AR818" s="80">
        <v>0.0</v>
      </c>
      <c r="AS818" s="110">
        <v>0.0</v>
      </c>
      <c r="AT818" s="110">
        <v>0.0</v>
      </c>
      <c r="AU818" s="110">
        <v>0.0</v>
      </c>
      <c r="AV818" s="142">
        <v>0.0</v>
      </c>
      <c r="AW818" s="80">
        <v>0.0</v>
      </c>
      <c r="AX818" s="113">
        <v>0.0</v>
      </c>
      <c r="AY818" s="117">
        <v>0.0</v>
      </c>
      <c r="AZ818" s="328">
        <v>0.0</v>
      </c>
      <c r="BA818" s="315">
        <v>0.0</v>
      </c>
      <c r="BB818" s="316">
        <v>0.0</v>
      </c>
      <c r="BC818" s="132" t="s">
        <v>178</v>
      </c>
      <c r="BD818" s="143" t="s">
        <v>227</v>
      </c>
      <c r="BE818" s="132" t="s">
        <v>178</v>
      </c>
      <c r="BF818" s="156"/>
      <c r="BG818" s="83">
        <v>1179454.0</v>
      </c>
      <c r="BH818" s="112">
        <v>2.0</v>
      </c>
      <c r="BI818" s="98" t="s">
        <v>155</v>
      </c>
      <c r="BJ818" s="98" t="str">
        <f t="shared" si="1"/>
        <v>NÃO</v>
      </c>
      <c r="BK818" s="98" t="str">
        <f t="shared" si="2"/>
        <v>NÃO</v>
      </c>
    </row>
    <row r="819" ht="15.75" customHeight="1">
      <c r="A819" s="111" t="s">
        <v>860</v>
      </c>
      <c r="B819" s="83" t="s">
        <v>3822</v>
      </c>
      <c r="C819" s="83" t="s">
        <v>164</v>
      </c>
      <c r="D819" s="83">
        <v>1179339.0</v>
      </c>
      <c r="E819" s="83">
        <v>1178906.0</v>
      </c>
      <c r="F819" s="83"/>
      <c r="G819" s="114" t="s">
        <v>3842</v>
      </c>
      <c r="H819" s="91" t="s">
        <v>3843</v>
      </c>
      <c r="I819" s="114" t="s">
        <v>149</v>
      </c>
      <c r="J819" s="83" t="s">
        <v>865</v>
      </c>
      <c r="K819" s="83" t="s">
        <v>168</v>
      </c>
      <c r="L819" s="83" t="s">
        <v>169</v>
      </c>
      <c r="M819" s="82" t="s">
        <v>8097</v>
      </c>
      <c r="N819" s="82" t="s">
        <v>8098</v>
      </c>
      <c r="O819" s="82" t="s">
        <v>8099</v>
      </c>
      <c r="P819" s="82"/>
      <c r="Q819" s="82" t="s">
        <v>8100</v>
      </c>
      <c r="R819" s="82"/>
      <c r="S819" s="82"/>
      <c r="T819" s="138">
        <v>3.0</v>
      </c>
      <c r="U819" s="323">
        <v>3.0</v>
      </c>
      <c r="V819" s="106">
        <v>0.0</v>
      </c>
      <c r="W819" s="107">
        <v>0.0</v>
      </c>
      <c r="X819" s="107">
        <v>0.0</v>
      </c>
      <c r="Y819" s="107">
        <v>0.0</v>
      </c>
      <c r="Z819" s="80">
        <v>0.0</v>
      </c>
      <c r="AA819" s="140">
        <v>0.0</v>
      </c>
      <c r="AB819" s="109">
        <v>0.0</v>
      </c>
      <c r="AC819" s="109">
        <v>0.0</v>
      </c>
      <c r="AD819" s="141">
        <v>0.0</v>
      </c>
      <c r="AE819" s="80">
        <v>0.0</v>
      </c>
      <c r="AF819" s="140">
        <v>0.0</v>
      </c>
      <c r="AG819" s="109">
        <v>49.0</v>
      </c>
      <c r="AH819" s="109">
        <v>0.0</v>
      </c>
      <c r="AI819" s="141">
        <v>0.0</v>
      </c>
      <c r="AJ819" s="80">
        <v>49.0</v>
      </c>
      <c r="AK819" s="140">
        <v>0.0</v>
      </c>
      <c r="AL819" s="109">
        <v>0.0</v>
      </c>
      <c r="AM819" s="141">
        <v>0.0</v>
      </c>
      <c r="AN819" s="80">
        <v>0.0</v>
      </c>
      <c r="AO819" s="140">
        <v>0.0</v>
      </c>
      <c r="AP819" s="109">
        <v>0.0</v>
      </c>
      <c r="AQ819" s="109">
        <v>0.0</v>
      </c>
      <c r="AR819" s="80">
        <v>0.0</v>
      </c>
      <c r="AS819" s="110">
        <v>0.0</v>
      </c>
      <c r="AT819" s="110">
        <v>0.0</v>
      </c>
      <c r="AU819" s="110">
        <v>0.0</v>
      </c>
      <c r="AV819" s="142">
        <v>0.0</v>
      </c>
      <c r="AW819" s="80">
        <v>0.0</v>
      </c>
      <c r="AX819" s="113">
        <v>49.0</v>
      </c>
      <c r="AY819" s="117">
        <v>49.0</v>
      </c>
      <c r="AZ819" s="328">
        <v>0.0</v>
      </c>
      <c r="BA819" s="315">
        <v>0.0</v>
      </c>
      <c r="BB819" s="316">
        <v>49.0</v>
      </c>
      <c r="BC819" s="132" t="s">
        <v>178</v>
      </c>
      <c r="BD819" s="143" t="s">
        <v>227</v>
      </c>
      <c r="BE819" s="132" t="s">
        <v>178</v>
      </c>
      <c r="BF819" s="156"/>
      <c r="BG819" s="83">
        <v>1178906.0</v>
      </c>
      <c r="BH819" s="112">
        <v>3.0</v>
      </c>
      <c r="BI819" s="98" t="s">
        <v>155</v>
      </c>
      <c r="BJ819" s="98" t="str">
        <f t="shared" si="1"/>
        <v>NÃO</v>
      </c>
      <c r="BK819" s="98" t="str">
        <f t="shared" si="2"/>
        <v>NÃO</v>
      </c>
    </row>
    <row r="820" ht="15.75" customHeight="1">
      <c r="A820" s="111" t="s">
        <v>914</v>
      </c>
      <c r="B820" s="83" t="s">
        <v>3851</v>
      </c>
      <c r="C820" s="83" t="s">
        <v>45</v>
      </c>
      <c r="D820" s="83">
        <v>1178384.0</v>
      </c>
      <c r="E820" s="83"/>
      <c r="F820" s="83">
        <v>2.9203473E7</v>
      </c>
      <c r="G820" s="114" t="s">
        <v>3852</v>
      </c>
      <c r="H820" s="91" t="s">
        <v>3853</v>
      </c>
      <c r="I820" s="187" t="s">
        <v>149</v>
      </c>
      <c r="J820" s="98" t="s">
        <v>150</v>
      </c>
      <c r="K820" s="83" t="s">
        <v>171</v>
      </c>
      <c r="L820" s="83" t="s">
        <v>169</v>
      </c>
      <c r="M820" s="82" t="s">
        <v>8624</v>
      </c>
      <c r="N820" s="82" t="s">
        <v>8625</v>
      </c>
      <c r="O820" s="82"/>
      <c r="P820" s="82"/>
      <c r="Q820" s="82"/>
      <c r="R820" s="82"/>
      <c r="S820" s="82"/>
      <c r="T820" s="138">
        <v>9.0</v>
      </c>
      <c r="U820" s="323" t="s">
        <v>171</v>
      </c>
      <c r="V820" s="106">
        <v>0.0</v>
      </c>
      <c r="W820" s="107">
        <v>0.0</v>
      </c>
      <c r="X820" s="107">
        <v>0.0</v>
      </c>
      <c r="Y820" s="107">
        <v>0.0</v>
      </c>
      <c r="Z820" s="80">
        <v>0.0</v>
      </c>
      <c r="AA820" s="140">
        <v>0.0</v>
      </c>
      <c r="AB820" s="109">
        <v>0.0</v>
      </c>
      <c r="AC820" s="109">
        <v>0.0</v>
      </c>
      <c r="AD820" s="141">
        <v>79.0</v>
      </c>
      <c r="AE820" s="80">
        <v>79.0</v>
      </c>
      <c r="AF820" s="140">
        <v>0.0</v>
      </c>
      <c r="AG820" s="109">
        <v>0.0</v>
      </c>
      <c r="AH820" s="109">
        <v>0.0</v>
      </c>
      <c r="AI820" s="141">
        <v>101.0</v>
      </c>
      <c r="AJ820" s="80">
        <v>101.0</v>
      </c>
      <c r="AK820" s="140">
        <v>0.0</v>
      </c>
      <c r="AL820" s="109">
        <v>0.0</v>
      </c>
      <c r="AM820" s="141">
        <v>0.0</v>
      </c>
      <c r="AN820" s="80">
        <v>0.0</v>
      </c>
      <c r="AO820" s="140">
        <v>0.0</v>
      </c>
      <c r="AP820" s="109">
        <v>0.0</v>
      </c>
      <c r="AQ820" s="109">
        <v>0.0</v>
      </c>
      <c r="AR820" s="80">
        <v>0.0</v>
      </c>
      <c r="AS820" s="110">
        <v>0.0</v>
      </c>
      <c r="AT820" s="110">
        <v>0.0</v>
      </c>
      <c r="AU820" s="110">
        <v>0.0</v>
      </c>
      <c r="AV820" s="142">
        <v>0.0</v>
      </c>
      <c r="AW820" s="80">
        <v>0.0</v>
      </c>
      <c r="AX820" s="113">
        <v>180.0</v>
      </c>
      <c r="AY820" s="117">
        <v>180.0</v>
      </c>
      <c r="AZ820" s="328">
        <v>0.0</v>
      </c>
      <c r="BA820" s="315">
        <v>0.0</v>
      </c>
      <c r="BB820" s="316">
        <v>180.0</v>
      </c>
      <c r="BC820" s="132" t="s">
        <v>178</v>
      </c>
      <c r="BD820" s="132" t="s">
        <v>178</v>
      </c>
      <c r="BE820" s="132" t="s">
        <v>178</v>
      </c>
      <c r="BF820" s="156"/>
      <c r="BG820" s="83">
        <v>1178384.0</v>
      </c>
      <c r="BH820" s="112">
        <v>9.0</v>
      </c>
      <c r="BI820" s="98" t="s">
        <v>155</v>
      </c>
      <c r="BJ820" s="98" t="str">
        <f t="shared" si="1"/>
        <v>INTEGRAL</v>
      </c>
      <c r="BK820" s="98" t="str">
        <f t="shared" si="2"/>
        <v>NÃO</v>
      </c>
    </row>
    <row r="821" ht="15.75" customHeight="1">
      <c r="A821" s="111" t="s">
        <v>914</v>
      </c>
      <c r="B821" s="83" t="s">
        <v>3851</v>
      </c>
      <c r="C821" s="83" t="s">
        <v>68</v>
      </c>
      <c r="D821" s="83">
        <v>1176443.0</v>
      </c>
      <c r="E821" s="83"/>
      <c r="F821" s="83">
        <v>2.93844E7</v>
      </c>
      <c r="G821" s="114" t="s">
        <v>8632</v>
      </c>
      <c r="H821" s="91" t="s">
        <v>3856</v>
      </c>
      <c r="I821" s="114" t="s">
        <v>149</v>
      </c>
      <c r="J821" s="83" t="s">
        <v>150</v>
      </c>
      <c r="K821" s="83" t="s">
        <v>151</v>
      </c>
      <c r="L821" s="83" t="s">
        <v>152</v>
      </c>
      <c r="M821" s="82" t="s">
        <v>8633</v>
      </c>
      <c r="N821" s="82" t="s">
        <v>8634</v>
      </c>
      <c r="O821" s="82" t="s">
        <v>8635</v>
      </c>
      <c r="P821" s="82" t="s">
        <v>8636</v>
      </c>
      <c r="Q821" s="82" t="s">
        <v>8637</v>
      </c>
      <c r="R821" s="82" t="s">
        <v>8638</v>
      </c>
      <c r="S821" s="82" t="s">
        <v>8639</v>
      </c>
      <c r="T821" s="138">
        <v>10.0</v>
      </c>
      <c r="U821" s="323">
        <v>10.0</v>
      </c>
      <c r="V821" s="106">
        <v>0.0</v>
      </c>
      <c r="W821" s="107">
        <v>0.0</v>
      </c>
      <c r="X821" s="107">
        <v>0.0</v>
      </c>
      <c r="Y821" s="107">
        <v>0.0</v>
      </c>
      <c r="Z821" s="80">
        <v>0.0</v>
      </c>
      <c r="AA821" s="140">
        <v>0.0</v>
      </c>
      <c r="AB821" s="109">
        <v>0.0</v>
      </c>
      <c r="AC821" s="109">
        <v>0.0</v>
      </c>
      <c r="AD821" s="141">
        <v>0.0</v>
      </c>
      <c r="AE821" s="80">
        <v>0.0</v>
      </c>
      <c r="AF821" s="140">
        <v>232.0</v>
      </c>
      <c r="AG821" s="109">
        <v>184.0</v>
      </c>
      <c r="AH821" s="109">
        <v>36.0</v>
      </c>
      <c r="AI821" s="141">
        <v>71.0</v>
      </c>
      <c r="AJ821" s="80">
        <v>523.0</v>
      </c>
      <c r="AK821" s="140">
        <v>0.0</v>
      </c>
      <c r="AL821" s="109">
        <v>0.0</v>
      </c>
      <c r="AM821" s="141">
        <v>0.0</v>
      </c>
      <c r="AN821" s="80">
        <v>0.0</v>
      </c>
      <c r="AO821" s="140">
        <v>0.0</v>
      </c>
      <c r="AP821" s="109">
        <v>0.0</v>
      </c>
      <c r="AQ821" s="109">
        <v>15.0</v>
      </c>
      <c r="AR821" s="80">
        <v>15.0</v>
      </c>
      <c r="AS821" s="110">
        <v>0.0</v>
      </c>
      <c r="AT821" s="110">
        <v>68.0</v>
      </c>
      <c r="AU821" s="110">
        <v>30.0</v>
      </c>
      <c r="AV821" s="142">
        <v>0.0</v>
      </c>
      <c r="AW821" s="80">
        <v>98.0</v>
      </c>
      <c r="AX821" s="113">
        <v>636.0</v>
      </c>
      <c r="AY821" s="117">
        <v>555.0</v>
      </c>
      <c r="AZ821" s="328">
        <v>81.0</v>
      </c>
      <c r="BA821" s="315">
        <v>0.0</v>
      </c>
      <c r="BB821" s="316">
        <v>636.0</v>
      </c>
      <c r="BC821" s="132" t="s">
        <v>178</v>
      </c>
      <c r="BD821" s="132" t="s">
        <v>178</v>
      </c>
      <c r="BE821" s="132" t="s">
        <v>178</v>
      </c>
      <c r="BF821" s="123"/>
      <c r="BG821" s="83">
        <v>1176443.0</v>
      </c>
      <c r="BH821" s="112">
        <v>10.0</v>
      </c>
      <c r="BI821" s="98" t="s">
        <v>155</v>
      </c>
      <c r="BJ821" s="98" t="str">
        <f t="shared" si="1"/>
        <v>INTEGRAL</v>
      </c>
      <c r="BK821" s="98" t="str">
        <f t="shared" si="2"/>
        <v>PROFISSIONAL</v>
      </c>
    </row>
    <row r="822" ht="15.75" customHeight="1">
      <c r="A822" s="111" t="s">
        <v>914</v>
      </c>
      <c r="B822" s="83" t="s">
        <v>3851</v>
      </c>
      <c r="C822" s="83" t="s">
        <v>164</v>
      </c>
      <c r="D822" s="83">
        <v>1179717.0</v>
      </c>
      <c r="E822" s="83">
        <v>1178844.0</v>
      </c>
      <c r="F822" s="83"/>
      <c r="G822" s="119" t="s">
        <v>3859</v>
      </c>
      <c r="H822" s="91" t="s">
        <v>3860</v>
      </c>
      <c r="I822" s="114" t="s">
        <v>149</v>
      </c>
      <c r="J822" s="136" t="s">
        <v>464</v>
      </c>
      <c r="K822" s="83" t="s">
        <v>168</v>
      </c>
      <c r="L822" s="83" t="s">
        <v>169</v>
      </c>
      <c r="M822" s="82" t="s">
        <v>8648</v>
      </c>
      <c r="N822" s="82" t="s">
        <v>8649</v>
      </c>
      <c r="O822" s="82" t="s">
        <v>171</v>
      </c>
      <c r="P822" s="82"/>
      <c r="Q822" s="82" t="s">
        <v>171</v>
      </c>
      <c r="R822" s="82"/>
      <c r="S822" s="82"/>
      <c r="T822" s="138">
        <v>3.0</v>
      </c>
      <c r="U822" s="364">
        <v>3.0</v>
      </c>
      <c r="V822" s="106">
        <v>0.0</v>
      </c>
      <c r="W822" s="107">
        <v>0.0</v>
      </c>
      <c r="X822" s="107">
        <v>0.0</v>
      </c>
      <c r="Y822" s="107">
        <v>0.0</v>
      </c>
      <c r="Z822" s="80">
        <v>0.0</v>
      </c>
      <c r="AA822" s="140">
        <v>0.0</v>
      </c>
      <c r="AB822" s="109">
        <v>0.0</v>
      </c>
      <c r="AC822" s="109">
        <v>0.0</v>
      </c>
      <c r="AD822" s="141">
        <v>0.0</v>
      </c>
      <c r="AE822" s="80">
        <v>0.0</v>
      </c>
      <c r="AF822" s="246">
        <v>0.0</v>
      </c>
      <c r="AG822" s="246">
        <v>0.0</v>
      </c>
      <c r="AH822" s="246">
        <v>59.0</v>
      </c>
      <c r="AI822" s="247">
        <v>0.0</v>
      </c>
      <c r="AJ822" s="80">
        <v>59.0</v>
      </c>
      <c r="AK822" s="140">
        <v>0.0</v>
      </c>
      <c r="AL822" s="109">
        <v>0.0</v>
      </c>
      <c r="AM822" s="141">
        <v>0.0</v>
      </c>
      <c r="AN822" s="80">
        <v>0.0</v>
      </c>
      <c r="AO822" s="246">
        <v>0.0</v>
      </c>
      <c r="AP822" s="246">
        <v>0.0</v>
      </c>
      <c r="AQ822" s="247">
        <v>0.0</v>
      </c>
      <c r="AR822" s="80">
        <v>0.0</v>
      </c>
      <c r="AS822" s="110">
        <v>0.0</v>
      </c>
      <c r="AT822" s="110">
        <v>0.0</v>
      </c>
      <c r="AU822" s="110">
        <v>0.0</v>
      </c>
      <c r="AV822" s="142">
        <v>0.0</v>
      </c>
      <c r="AW822" s="80">
        <v>0.0</v>
      </c>
      <c r="AX822" s="113">
        <v>59.0</v>
      </c>
      <c r="AY822" s="117">
        <v>0.0</v>
      </c>
      <c r="AZ822" s="328">
        <v>59.0</v>
      </c>
      <c r="BA822" s="315">
        <v>0.0</v>
      </c>
      <c r="BB822" s="316">
        <v>59.0</v>
      </c>
      <c r="BC822" s="132" t="s">
        <v>373</v>
      </c>
      <c r="BD822" s="143" t="s">
        <v>227</v>
      </c>
      <c r="BE822" s="132" t="s">
        <v>178</v>
      </c>
      <c r="BF822" s="123"/>
      <c r="BG822" s="83">
        <v>1178844.0</v>
      </c>
      <c r="BH822" s="112">
        <v>3.0</v>
      </c>
      <c r="BI822" s="98" t="s">
        <v>155</v>
      </c>
      <c r="BJ822" s="98" t="str">
        <f t="shared" si="1"/>
        <v>NÃO</v>
      </c>
      <c r="BK822" s="98" t="str">
        <f t="shared" si="2"/>
        <v>NÃO</v>
      </c>
    </row>
    <row r="823" ht="15.75" customHeight="1">
      <c r="A823" s="111" t="s">
        <v>914</v>
      </c>
      <c r="B823" s="83" t="s">
        <v>3851</v>
      </c>
      <c r="C823" s="83" t="s">
        <v>164</v>
      </c>
      <c r="D823" s="83">
        <v>1179717.0</v>
      </c>
      <c r="E823" s="83">
        <v>1179434.0</v>
      </c>
      <c r="F823" s="83"/>
      <c r="G823" s="119" t="s">
        <v>3861</v>
      </c>
      <c r="H823" s="91" t="s">
        <v>3862</v>
      </c>
      <c r="I823" s="114" t="s">
        <v>3863</v>
      </c>
      <c r="J823" s="83" t="s">
        <v>331</v>
      </c>
      <c r="K823" s="83" t="s">
        <v>168</v>
      </c>
      <c r="L823" s="83" t="s">
        <v>169</v>
      </c>
      <c r="M823" s="82" t="s">
        <v>8648</v>
      </c>
      <c r="N823" s="82" t="s">
        <v>8649</v>
      </c>
      <c r="O823" s="82" t="s">
        <v>171</v>
      </c>
      <c r="P823" s="82"/>
      <c r="Q823" s="82" t="s">
        <v>171</v>
      </c>
      <c r="R823" s="82"/>
      <c r="S823" s="82"/>
      <c r="T823" s="138">
        <v>1.0</v>
      </c>
      <c r="U823" s="323">
        <v>3.0</v>
      </c>
      <c r="V823" s="106">
        <v>0.0</v>
      </c>
      <c r="W823" s="107">
        <v>0.0</v>
      </c>
      <c r="X823" s="107">
        <v>0.0</v>
      </c>
      <c r="Y823" s="107">
        <v>0.0</v>
      </c>
      <c r="Z823" s="80">
        <v>0.0</v>
      </c>
      <c r="AA823" s="140">
        <v>0.0</v>
      </c>
      <c r="AB823" s="109">
        <v>0.0</v>
      </c>
      <c r="AC823" s="109">
        <v>0.0</v>
      </c>
      <c r="AD823" s="141">
        <v>0.0</v>
      </c>
      <c r="AE823" s="80">
        <v>0.0</v>
      </c>
      <c r="AF823" s="140">
        <v>9.0</v>
      </c>
      <c r="AG823" s="109">
        <v>0.0</v>
      </c>
      <c r="AH823" s="109">
        <v>6.0</v>
      </c>
      <c r="AI823" s="141">
        <v>0.0</v>
      </c>
      <c r="AJ823" s="80">
        <v>15.0</v>
      </c>
      <c r="AK823" s="140">
        <v>0.0</v>
      </c>
      <c r="AL823" s="109">
        <v>0.0</v>
      </c>
      <c r="AM823" s="141">
        <v>0.0</v>
      </c>
      <c r="AN823" s="80">
        <v>0.0</v>
      </c>
      <c r="AO823" s="140">
        <v>0.0</v>
      </c>
      <c r="AP823" s="109">
        <v>0.0</v>
      </c>
      <c r="AQ823" s="109">
        <v>0.0</v>
      </c>
      <c r="AR823" s="80">
        <v>0.0</v>
      </c>
      <c r="AS823" s="110">
        <v>0.0</v>
      </c>
      <c r="AT823" s="110">
        <v>0.0</v>
      </c>
      <c r="AU823" s="110">
        <v>0.0</v>
      </c>
      <c r="AV823" s="142">
        <v>0.0</v>
      </c>
      <c r="AW823" s="80">
        <v>0.0</v>
      </c>
      <c r="AX823" s="113">
        <v>15.0</v>
      </c>
      <c r="AY823" s="117">
        <v>9.0</v>
      </c>
      <c r="AZ823" s="328">
        <v>6.0</v>
      </c>
      <c r="BA823" s="315">
        <v>0.0</v>
      </c>
      <c r="BB823" s="316">
        <v>15.0</v>
      </c>
      <c r="BC823" s="132" t="s">
        <v>373</v>
      </c>
      <c r="BD823" s="143" t="s">
        <v>227</v>
      </c>
      <c r="BE823" s="132" t="s">
        <v>178</v>
      </c>
      <c r="BF823" s="156"/>
      <c r="BG823" s="83">
        <v>1179434.0</v>
      </c>
      <c r="BH823" s="112">
        <v>3.0</v>
      </c>
      <c r="BI823" s="98" t="s">
        <v>155</v>
      </c>
      <c r="BJ823" s="98" t="str">
        <f t="shared" si="1"/>
        <v>NÃO</v>
      </c>
      <c r="BK823" s="98" t="str">
        <f t="shared" si="2"/>
        <v>NÃO</v>
      </c>
    </row>
    <row r="824" ht="15.75" customHeight="1">
      <c r="A824" s="111" t="s">
        <v>914</v>
      </c>
      <c r="B824" s="83" t="s">
        <v>3851</v>
      </c>
      <c r="C824" s="83" t="s">
        <v>164</v>
      </c>
      <c r="D824" s="83">
        <v>1179717.0</v>
      </c>
      <c r="E824" s="83">
        <v>1179153.0</v>
      </c>
      <c r="F824" s="83"/>
      <c r="G824" s="119" t="s">
        <v>3864</v>
      </c>
      <c r="H824" s="91" t="s">
        <v>3865</v>
      </c>
      <c r="I824" s="114" t="s">
        <v>149</v>
      </c>
      <c r="J824" s="83" t="s">
        <v>183</v>
      </c>
      <c r="K824" s="83" t="s">
        <v>168</v>
      </c>
      <c r="L824" s="83" t="s">
        <v>169</v>
      </c>
      <c r="M824" s="82" t="s">
        <v>8648</v>
      </c>
      <c r="N824" s="82" t="s">
        <v>8649</v>
      </c>
      <c r="O824" s="82" t="s">
        <v>171</v>
      </c>
      <c r="P824" s="82"/>
      <c r="Q824" s="82" t="s">
        <v>171</v>
      </c>
      <c r="R824" s="82"/>
      <c r="S824" s="82"/>
      <c r="T824" s="138">
        <v>3.0</v>
      </c>
      <c r="U824" s="323">
        <v>3.0</v>
      </c>
      <c r="V824" s="106">
        <v>0.0</v>
      </c>
      <c r="W824" s="107">
        <v>0.0</v>
      </c>
      <c r="X824" s="107">
        <v>0.0</v>
      </c>
      <c r="Y824" s="107">
        <v>0.0</v>
      </c>
      <c r="Z824" s="80">
        <v>0.0</v>
      </c>
      <c r="AA824" s="140">
        <v>0.0</v>
      </c>
      <c r="AB824" s="109">
        <v>0.0</v>
      </c>
      <c r="AC824" s="109">
        <v>0.0</v>
      </c>
      <c r="AD824" s="141">
        <v>0.0</v>
      </c>
      <c r="AE824" s="80">
        <v>0.0</v>
      </c>
      <c r="AF824" s="140">
        <v>0.0</v>
      </c>
      <c r="AG824" s="109">
        <v>0.0</v>
      </c>
      <c r="AH824" s="109">
        <v>28.0</v>
      </c>
      <c r="AI824" s="141">
        <v>0.0</v>
      </c>
      <c r="AJ824" s="80">
        <v>28.0</v>
      </c>
      <c r="AK824" s="140">
        <v>0.0</v>
      </c>
      <c r="AL824" s="109">
        <v>0.0</v>
      </c>
      <c r="AM824" s="141">
        <v>0.0</v>
      </c>
      <c r="AN824" s="80">
        <v>0.0</v>
      </c>
      <c r="AO824" s="140">
        <v>0.0</v>
      </c>
      <c r="AP824" s="109">
        <v>0.0</v>
      </c>
      <c r="AQ824" s="109">
        <v>0.0</v>
      </c>
      <c r="AR824" s="80">
        <v>0.0</v>
      </c>
      <c r="AS824" s="110">
        <v>0.0</v>
      </c>
      <c r="AT824" s="110">
        <v>0.0</v>
      </c>
      <c r="AU824" s="110">
        <v>0.0</v>
      </c>
      <c r="AV824" s="142">
        <v>0.0</v>
      </c>
      <c r="AW824" s="80">
        <v>0.0</v>
      </c>
      <c r="AX824" s="113">
        <v>28.0</v>
      </c>
      <c r="AY824" s="117">
        <v>0.0</v>
      </c>
      <c r="AZ824" s="328">
        <v>28.0</v>
      </c>
      <c r="BA824" s="315">
        <v>0.0</v>
      </c>
      <c r="BB824" s="316">
        <v>28.0</v>
      </c>
      <c r="BC824" s="132" t="s">
        <v>373</v>
      </c>
      <c r="BD824" s="132" t="s">
        <v>178</v>
      </c>
      <c r="BE824" s="132" t="s">
        <v>178</v>
      </c>
      <c r="BF824" s="123"/>
      <c r="BG824" s="83">
        <v>1179153.0</v>
      </c>
      <c r="BH824" s="112">
        <v>3.0</v>
      </c>
      <c r="BI824" s="98" t="s">
        <v>155</v>
      </c>
      <c r="BJ824" s="98" t="str">
        <f t="shared" si="1"/>
        <v>NÃO</v>
      </c>
      <c r="BK824" s="98" t="str">
        <f t="shared" si="2"/>
        <v>NÃO</v>
      </c>
    </row>
    <row r="825" ht="15.75" customHeight="1">
      <c r="A825" s="111" t="s">
        <v>914</v>
      </c>
      <c r="B825" s="83" t="s">
        <v>3866</v>
      </c>
      <c r="C825" s="83" t="s">
        <v>45</v>
      </c>
      <c r="D825" s="83">
        <v>1178392.0</v>
      </c>
      <c r="E825" s="83"/>
      <c r="F825" s="83">
        <v>2.9397723E7</v>
      </c>
      <c r="G825" s="114" t="s">
        <v>3867</v>
      </c>
      <c r="H825" s="91" t="s">
        <v>3868</v>
      </c>
      <c r="I825" s="114" t="s">
        <v>149</v>
      </c>
      <c r="J825" s="98" t="s">
        <v>150</v>
      </c>
      <c r="K825" s="83" t="s">
        <v>171</v>
      </c>
      <c r="L825" s="83" t="s">
        <v>169</v>
      </c>
      <c r="M825" s="82" t="s">
        <v>8665</v>
      </c>
      <c r="N825" s="82" t="s">
        <v>8666</v>
      </c>
      <c r="O825" s="82"/>
      <c r="P825" s="82"/>
      <c r="Q825" s="82"/>
      <c r="R825" s="82"/>
      <c r="S825" s="82"/>
      <c r="T825" s="138">
        <v>7.0</v>
      </c>
      <c r="U825" s="323" t="s">
        <v>171</v>
      </c>
      <c r="V825" s="106">
        <v>0.0</v>
      </c>
      <c r="W825" s="107">
        <v>0.0</v>
      </c>
      <c r="X825" s="107">
        <v>0.0</v>
      </c>
      <c r="Y825" s="107">
        <v>0.0</v>
      </c>
      <c r="Z825" s="80">
        <v>0.0</v>
      </c>
      <c r="AA825" s="140">
        <v>0.0</v>
      </c>
      <c r="AB825" s="109">
        <v>0.0</v>
      </c>
      <c r="AC825" s="109">
        <v>0.0</v>
      </c>
      <c r="AD825" s="141">
        <v>32.0</v>
      </c>
      <c r="AE825" s="80">
        <v>32.0</v>
      </c>
      <c r="AF825" s="140">
        <v>0.0</v>
      </c>
      <c r="AG825" s="109">
        <v>0.0</v>
      </c>
      <c r="AH825" s="109">
        <v>0.0</v>
      </c>
      <c r="AI825" s="141">
        <v>99.0</v>
      </c>
      <c r="AJ825" s="80">
        <v>99.0</v>
      </c>
      <c r="AK825" s="140">
        <v>0.0</v>
      </c>
      <c r="AL825" s="109">
        <v>0.0</v>
      </c>
      <c r="AM825" s="141">
        <v>0.0</v>
      </c>
      <c r="AN825" s="80">
        <v>0.0</v>
      </c>
      <c r="AO825" s="140">
        <v>0.0</v>
      </c>
      <c r="AP825" s="109">
        <v>0.0</v>
      </c>
      <c r="AQ825" s="109">
        <v>0.0</v>
      </c>
      <c r="AR825" s="80">
        <v>0.0</v>
      </c>
      <c r="AS825" s="110">
        <v>0.0</v>
      </c>
      <c r="AT825" s="110">
        <v>0.0</v>
      </c>
      <c r="AU825" s="110">
        <v>0.0</v>
      </c>
      <c r="AV825" s="142">
        <v>0.0</v>
      </c>
      <c r="AW825" s="80">
        <v>0.0</v>
      </c>
      <c r="AX825" s="113">
        <v>131.0</v>
      </c>
      <c r="AY825" s="117">
        <v>131.0</v>
      </c>
      <c r="AZ825" s="328">
        <v>0.0</v>
      </c>
      <c r="BA825" s="315">
        <v>0.0</v>
      </c>
      <c r="BB825" s="316">
        <v>131.0</v>
      </c>
      <c r="BC825" s="132" t="s">
        <v>178</v>
      </c>
      <c r="BD825" s="132" t="s">
        <v>178</v>
      </c>
      <c r="BE825" s="132" t="s">
        <v>178</v>
      </c>
      <c r="BF825" s="156"/>
      <c r="BG825" s="83">
        <v>1178392.0</v>
      </c>
      <c r="BH825" s="112">
        <v>7.0</v>
      </c>
      <c r="BI825" s="98" t="s">
        <v>155</v>
      </c>
      <c r="BJ825" s="98" t="str">
        <f t="shared" si="1"/>
        <v>INTEGRAL</v>
      </c>
      <c r="BK825" s="98" t="str">
        <f t="shared" si="2"/>
        <v>NÃO</v>
      </c>
    </row>
    <row r="826" ht="15.75" customHeight="1">
      <c r="A826" s="111" t="s">
        <v>914</v>
      </c>
      <c r="B826" s="83" t="s">
        <v>3866</v>
      </c>
      <c r="C826" s="83" t="s">
        <v>68</v>
      </c>
      <c r="D826" s="83">
        <v>1176458.0</v>
      </c>
      <c r="E826" s="83"/>
      <c r="F826" s="83">
        <v>2.9384389E7</v>
      </c>
      <c r="G826" s="119" t="s">
        <v>8671</v>
      </c>
      <c r="H826" s="91" t="s">
        <v>3871</v>
      </c>
      <c r="I826" s="114" t="s">
        <v>149</v>
      </c>
      <c r="J826" s="83" t="s">
        <v>150</v>
      </c>
      <c r="K826" s="83" t="s">
        <v>151</v>
      </c>
      <c r="L826" s="83" t="s">
        <v>152</v>
      </c>
      <c r="M826" s="82" t="s">
        <v>8672</v>
      </c>
      <c r="N826" s="82" t="s">
        <v>8673</v>
      </c>
      <c r="O826" s="82" t="s">
        <v>8674</v>
      </c>
      <c r="P826" s="82" t="s">
        <v>8675</v>
      </c>
      <c r="Q826" s="82"/>
      <c r="R826" s="82"/>
      <c r="S826" s="82" t="s">
        <v>8676</v>
      </c>
      <c r="T826" s="138">
        <v>10.0</v>
      </c>
      <c r="U826" s="323">
        <v>10.0</v>
      </c>
      <c r="V826" s="106">
        <v>0.0</v>
      </c>
      <c r="W826" s="107">
        <v>0.0</v>
      </c>
      <c r="X826" s="107">
        <v>0.0</v>
      </c>
      <c r="Y826" s="107">
        <v>0.0</v>
      </c>
      <c r="Z826" s="80">
        <v>0.0</v>
      </c>
      <c r="AA826" s="140">
        <v>0.0</v>
      </c>
      <c r="AB826" s="109">
        <v>0.0</v>
      </c>
      <c r="AC826" s="109">
        <v>0.0</v>
      </c>
      <c r="AD826" s="141">
        <v>0.0</v>
      </c>
      <c r="AE826" s="80">
        <v>0.0</v>
      </c>
      <c r="AF826" s="140">
        <v>0.0</v>
      </c>
      <c r="AG826" s="109">
        <v>0.0</v>
      </c>
      <c r="AH826" s="109">
        <v>29.0</v>
      </c>
      <c r="AI826" s="141">
        <v>355.0</v>
      </c>
      <c r="AJ826" s="80">
        <v>384.0</v>
      </c>
      <c r="AK826" s="140">
        <v>0.0</v>
      </c>
      <c r="AL826" s="109">
        <v>0.0</v>
      </c>
      <c r="AM826" s="141">
        <v>0.0</v>
      </c>
      <c r="AN826" s="80">
        <v>0.0</v>
      </c>
      <c r="AO826" s="140">
        <v>0.0</v>
      </c>
      <c r="AP826" s="109">
        <v>0.0</v>
      </c>
      <c r="AQ826" s="109">
        <v>64.0</v>
      </c>
      <c r="AR826" s="80">
        <v>64.0</v>
      </c>
      <c r="AS826" s="110">
        <v>0.0</v>
      </c>
      <c r="AT826" s="110">
        <v>0.0</v>
      </c>
      <c r="AU826" s="110">
        <v>0.0</v>
      </c>
      <c r="AV826" s="142">
        <v>0.0</v>
      </c>
      <c r="AW826" s="80">
        <v>0.0</v>
      </c>
      <c r="AX826" s="113">
        <v>448.0</v>
      </c>
      <c r="AY826" s="117">
        <v>355.0</v>
      </c>
      <c r="AZ826" s="328">
        <v>93.0</v>
      </c>
      <c r="BA826" s="315">
        <v>0.0</v>
      </c>
      <c r="BB826" s="316">
        <v>448.0</v>
      </c>
      <c r="BC826" s="132" t="s">
        <v>373</v>
      </c>
      <c r="BD826" s="132" t="s">
        <v>178</v>
      </c>
      <c r="BE826" s="132" t="s">
        <v>178</v>
      </c>
      <c r="BF826" s="156"/>
      <c r="BG826" s="83">
        <v>1176458.0</v>
      </c>
      <c r="BH826" s="112">
        <v>10.0</v>
      </c>
      <c r="BI826" s="98" t="s">
        <v>155</v>
      </c>
      <c r="BJ826" s="98" t="str">
        <f t="shared" si="1"/>
        <v>INTEGRAL</v>
      </c>
      <c r="BK826" s="98" t="str">
        <f t="shared" si="2"/>
        <v>NÃO</v>
      </c>
    </row>
    <row r="827" ht="15.75" customHeight="1">
      <c r="A827" s="111" t="s">
        <v>914</v>
      </c>
      <c r="B827" s="83" t="s">
        <v>3873</v>
      </c>
      <c r="C827" s="83" t="s">
        <v>68</v>
      </c>
      <c r="D827" s="83">
        <v>1167709.0</v>
      </c>
      <c r="E827" s="83"/>
      <c r="F827" s="83">
        <v>2.9205387E7</v>
      </c>
      <c r="G827" s="114" t="s">
        <v>8682</v>
      </c>
      <c r="H827" s="91" t="s">
        <v>3875</v>
      </c>
      <c r="I827" s="114" t="s">
        <v>149</v>
      </c>
      <c r="J827" s="136" t="s">
        <v>150</v>
      </c>
      <c r="K827" s="83" t="s">
        <v>151</v>
      </c>
      <c r="L827" s="83" t="s">
        <v>3876</v>
      </c>
      <c r="M827" s="82" t="s">
        <v>8684</v>
      </c>
      <c r="N827" s="82" t="s">
        <v>8685</v>
      </c>
      <c r="O827" s="82" t="s">
        <v>8686</v>
      </c>
      <c r="P827" s="82"/>
      <c r="Q827" s="82"/>
      <c r="R827" s="82"/>
      <c r="S827" s="82" t="s">
        <v>8687</v>
      </c>
      <c r="T827" s="138">
        <v>8.0</v>
      </c>
      <c r="U827" s="364">
        <v>8.0</v>
      </c>
      <c r="V827" s="106">
        <v>0.0</v>
      </c>
      <c r="W827" s="107">
        <v>0.0</v>
      </c>
      <c r="X827" s="107">
        <v>0.0</v>
      </c>
      <c r="Y827" s="107">
        <v>0.0</v>
      </c>
      <c r="Z827" s="80">
        <v>0.0</v>
      </c>
      <c r="AA827" s="140">
        <v>0.0</v>
      </c>
      <c r="AB827" s="109">
        <v>0.0</v>
      </c>
      <c r="AC827" s="109">
        <v>0.0</v>
      </c>
      <c r="AD827" s="141">
        <v>0.0</v>
      </c>
      <c r="AE827" s="80">
        <v>0.0</v>
      </c>
      <c r="AF827" s="246">
        <v>0.0</v>
      </c>
      <c r="AG827" s="246">
        <v>0.0</v>
      </c>
      <c r="AH827" s="246">
        <v>0.0</v>
      </c>
      <c r="AI827" s="247">
        <v>232.0</v>
      </c>
      <c r="AJ827" s="80">
        <v>232.0</v>
      </c>
      <c r="AK827" s="140">
        <v>0.0</v>
      </c>
      <c r="AL827" s="109">
        <v>0.0</v>
      </c>
      <c r="AM827" s="141">
        <v>0.0</v>
      </c>
      <c r="AN827" s="80">
        <v>0.0</v>
      </c>
      <c r="AO827" s="246">
        <v>0.0</v>
      </c>
      <c r="AP827" s="246">
        <v>0.0</v>
      </c>
      <c r="AQ827" s="247">
        <v>21.0</v>
      </c>
      <c r="AR827" s="80">
        <v>21.0</v>
      </c>
      <c r="AS827" s="110">
        <v>0.0</v>
      </c>
      <c r="AT827" s="110">
        <v>0.0</v>
      </c>
      <c r="AU827" s="110">
        <v>0.0</v>
      </c>
      <c r="AV827" s="142">
        <v>0.0</v>
      </c>
      <c r="AW827" s="80">
        <v>0.0</v>
      </c>
      <c r="AX827" s="113">
        <v>253.0</v>
      </c>
      <c r="AY827" s="117">
        <v>232.0</v>
      </c>
      <c r="AZ827" s="328">
        <v>21.0</v>
      </c>
      <c r="BA827" s="315">
        <v>0.0</v>
      </c>
      <c r="BB827" s="316">
        <v>253.0</v>
      </c>
      <c r="BC827" s="132" t="s">
        <v>178</v>
      </c>
      <c r="BD827" s="132" t="s">
        <v>178</v>
      </c>
      <c r="BE827" s="132" t="s">
        <v>178</v>
      </c>
      <c r="BF827" s="123"/>
      <c r="BG827" s="83">
        <v>1167709.0</v>
      </c>
      <c r="BH827" s="112">
        <v>8.0</v>
      </c>
      <c r="BI827" s="98" t="s">
        <v>155</v>
      </c>
      <c r="BJ827" s="98" t="str">
        <f t="shared" si="1"/>
        <v>INTEGRAL</v>
      </c>
      <c r="BK827" s="98" t="str">
        <f t="shared" si="2"/>
        <v>NÃO</v>
      </c>
    </row>
    <row r="828" ht="15.75" customHeight="1">
      <c r="A828" s="111" t="s">
        <v>914</v>
      </c>
      <c r="B828" s="136" t="s">
        <v>3878</v>
      </c>
      <c r="C828" s="136" t="s">
        <v>68</v>
      </c>
      <c r="D828" s="83">
        <v>1165056.0</v>
      </c>
      <c r="E828" s="83"/>
      <c r="F828" s="83">
        <v>2.9236606E7</v>
      </c>
      <c r="G828" s="187" t="s">
        <v>8692</v>
      </c>
      <c r="H828" s="91" t="s">
        <v>8693</v>
      </c>
      <c r="I828" s="114" t="s">
        <v>149</v>
      </c>
      <c r="J828" s="83" t="s">
        <v>150</v>
      </c>
      <c r="K828" s="83" t="s">
        <v>151</v>
      </c>
      <c r="L828" s="83" t="s">
        <v>76</v>
      </c>
      <c r="M828" s="82" t="s">
        <v>8694</v>
      </c>
      <c r="N828" s="82" t="s">
        <v>8695</v>
      </c>
      <c r="O828" s="82" t="s">
        <v>8696</v>
      </c>
      <c r="P828" s="82"/>
      <c r="Q828" s="82"/>
      <c r="R828" s="82"/>
      <c r="S828" s="82" t="s">
        <v>8698</v>
      </c>
      <c r="T828" s="138">
        <v>7.0</v>
      </c>
      <c r="U828" s="406" t="s">
        <v>8700</v>
      </c>
      <c r="V828" s="106">
        <v>0.0</v>
      </c>
      <c r="W828" s="107">
        <v>0.0</v>
      </c>
      <c r="X828" s="107">
        <v>0.0</v>
      </c>
      <c r="Y828" s="107">
        <v>0.0</v>
      </c>
      <c r="Z828" s="80">
        <v>0.0</v>
      </c>
      <c r="AA828" s="140">
        <v>0.0</v>
      </c>
      <c r="AB828" s="109">
        <v>0.0</v>
      </c>
      <c r="AC828" s="109">
        <v>0.0</v>
      </c>
      <c r="AD828" s="141">
        <v>0.0</v>
      </c>
      <c r="AE828" s="80">
        <v>0.0</v>
      </c>
      <c r="AF828" s="140">
        <v>0.0</v>
      </c>
      <c r="AG828" s="109">
        <v>0.0</v>
      </c>
      <c r="AH828" s="109">
        <v>32.0</v>
      </c>
      <c r="AI828" s="141">
        <v>217.0</v>
      </c>
      <c r="AJ828" s="80">
        <v>249.0</v>
      </c>
      <c r="AK828" s="140">
        <v>0.0</v>
      </c>
      <c r="AL828" s="109">
        <v>0.0</v>
      </c>
      <c r="AM828" s="141">
        <v>0.0</v>
      </c>
      <c r="AN828" s="80">
        <v>0.0</v>
      </c>
      <c r="AO828" s="140">
        <v>0.0</v>
      </c>
      <c r="AP828" s="109">
        <v>0.0</v>
      </c>
      <c r="AQ828" s="109">
        <v>60.0</v>
      </c>
      <c r="AR828" s="80">
        <v>60.0</v>
      </c>
      <c r="AS828" s="110">
        <v>0.0</v>
      </c>
      <c r="AT828" s="110">
        <v>0.0</v>
      </c>
      <c r="AU828" s="110">
        <v>0.0</v>
      </c>
      <c r="AV828" s="142">
        <v>0.0</v>
      </c>
      <c r="AW828" s="80">
        <v>0.0</v>
      </c>
      <c r="AX828" s="113">
        <v>309.0</v>
      </c>
      <c r="AY828" s="117">
        <v>217.0</v>
      </c>
      <c r="AZ828" s="328">
        <v>92.0</v>
      </c>
      <c r="BA828" s="315">
        <v>0.0</v>
      </c>
      <c r="BB828" s="316">
        <v>309.0</v>
      </c>
      <c r="BC828" s="132" t="s">
        <v>178</v>
      </c>
      <c r="BD828" s="132" t="s">
        <v>178</v>
      </c>
      <c r="BE828" s="132" t="s">
        <v>178</v>
      </c>
      <c r="BF828" s="156"/>
      <c r="BG828" s="83">
        <v>1165056.0</v>
      </c>
      <c r="BH828" s="112">
        <v>6.0</v>
      </c>
      <c r="BI828" s="98" t="s">
        <v>155</v>
      </c>
      <c r="BJ828" s="98" t="str">
        <f t="shared" si="1"/>
        <v>INTEGRAL</v>
      </c>
      <c r="BK828" s="98" t="str">
        <f t="shared" si="2"/>
        <v>NÃO</v>
      </c>
    </row>
    <row r="829" ht="15.75" customHeight="1">
      <c r="A829" s="111" t="s">
        <v>914</v>
      </c>
      <c r="B829" s="83" t="s">
        <v>3878</v>
      </c>
      <c r="C829" s="83" t="s">
        <v>164</v>
      </c>
      <c r="D829" s="83">
        <v>1165056.0</v>
      </c>
      <c r="E829" s="83">
        <v>1178845.0</v>
      </c>
      <c r="F829" s="83"/>
      <c r="G829" s="114" t="s">
        <v>8704</v>
      </c>
      <c r="H829" s="91" t="s">
        <v>3890</v>
      </c>
      <c r="I829" s="187" t="s">
        <v>3891</v>
      </c>
      <c r="J829" s="83" t="s">
        <v>244</v>
      </c>
      <c r="K829" s="83" t="s">
        <v>168</v>
      </c>
      <c r="L829" s="83" t="s">
        <v>169</v>
      </c>
      <c r="M829" s="82" t="s">
        <v>8694</v>
      </c>
      <c r="N829" s="82" t="s">
        <v>8695</v>
      </c>
      <c r="O829" s="82" t="s">
        <v>8696</v>
      </c>
      <c r="P829" s="82"/>
      <c r="Q829" s="82"/>
      <c r="R829" s="82"/>
      <c r="S829" s="82" t="s">
        <v>8698</v>
      </c>
      <c r="T829" s="138">
        <v>3.0</v>
      </c>
      <c r="U829" s="420">
        <v>4.0</v>
      </c>
      <c r="V829" s="106">
        <v>0.0</v>
      </c>
      <c r="W829" s="107">
        <v>0.0</v>
      </c>
      <c r="X829" s="107">
        <v>0.0</v>
      </c>
      <c r="Y829" s="107">
        <v>0.0</v>
      </c>
      <c r="Z829" s="80">
        <v>0.0</v>
      </c>
      <c r="AA829" s="140">
        <v>0.0</v>
      </c>
      <c r="AB829" s="109">
        <v>0.0</v>
      </c>
      <c r="AC829" s="109">
        <v>0.0</v>
      </c>
      <c r="AD829" s="141">
        <v>0.0</v>
      </c>
      <c r="AE829" s="80">
        <v>0.0</v>
      </c>
      <c r="AF829" s="140">
        <v>0.0</v>
      </c>
      <c r="AG829" s="109">
        <v>74.0</v>
      </c>
      <c r="AH829" s="109">
        <v>0.0</v>
      </c>
      <c r="AI829" s="141">
        <v>0.0</v>
      </c>
      <c r="AJ829" s="80">
        <v>74.0</v>
      </c>
      <c r="AK829" s="140">
        <v>0.0</v>
      </c>
      <c r="AL829" s="109">
        <v>0.0</v>
      </c>
      <c r="AM829" s="141">
        <v>0.0</v>
      </c>
      <c r="AN829" s="80">
        <v>0.0</v>
      </c>
      <c r="AO829" s="140">
        <v>0.0</v>
      </c>
      <c r="AP829" s="109">
        <v>0.0</v>
      </c>
      <c r="AQ829" s="109">
        <v>0.0</v>
      </c>
      <c r="AR829" s="80">
        <v>0.0</v>
      </c>
      <c r="AS829" s="110">
        <v>0.0</v>
      </c>
      <c r="AT829" s="110">
        <v>0.0</v>
      </c>
      <c r="AU829" s="110">
        <v>0.0</v>
      </c>
      <c r="AV829" s="142">
        <v>0.0</v>
      </c>
      <c r="AW829" s="80">
        <v>0.0</v>
      </c>
      <c r="AX829" s="113">
        <v>74.0</v>
      </c>
      <c r="AY829" s="117">
        <v>74.0</v>
      </c>
      <c r="AZ829" s="328">
        <v>0.0</v>
      </c>
      <c r="BA829" s="315">
        <v>0.0</v>
      </c>
      <c r="BB829" s="316">
        <v>74.0</v>
      </c>
      <c r="BC829" s="132" t="s">
        <v>373</v>
      </c>
      <c r="BD829" s="132" t="s">
        <v>178</v>
      </c>
      <c r="BE829" s="132" t="s">
        <v>178</v>
      </c>
      <c r="BF829" s="156"/>
      <c r="BG829" s="83">
        <v>1178845.0</v>
      </c>
      <c r="BH829" s="112">
        <v>4.0</v>
      </c>
      <c r="BI829" s="98" t="s">
        <v>155</v>
      </c>
      <c r="BJ829" s="98" t="str">
        <f t="shared" si="1"/>
        <v>NÃO</v>
      </c>
      <c r="BK829" s="98" t="str">
        <f t="shared" si="2"/>
        <v>NÃO</v>
      </c>
    </row>
    <row r="830" ht="15.75" customHeight="1">
      <c r="A830" s="375" t="s">
        <v>914</v>
      </c>
      <c r="B830" s="83" t="s">
        <v>3900</v>
      </c>
      <c r="C830" s="83" t="s">
        <v>68</v>
      </c>
      <c r="D830" s="83">
        <v>1127960.0</v>
      </c>
      <c r="E830" s="83"/>
      <c r="F830" s="83">
        <v>2.9206545E7</v>
      </c>
      <c r="G830" s="365" t="s">
        <v>8709</v>
      </c>
      <c r="H830" s="91" t="s">
        <v>3902</v>
      </c>
      <c r="I830" s="187" t="s">
        <v>149</v>
      </c>
      <c r="J830" s="83" t="s">
        <v>150</v>
      </c>
      <c r="K830" s="83" t="s">
        <v>151</v>
      </c>
      <c r="L830" s="83" t="s">
        <v>76</v>
      </c>
      <c r="M830" s="82" t="s">
        <v>8712</v>
      </c>
      <c r="N830" s="82" t="s">
        <v>8713</v>
      </c>
      <c r="O830" s="82" t="s">
        <v>8714</v>
      </c>
      <c r="P830" s="82" t="s">
        <v>8716</v>
      </c>
      <c r="Q830" s="82" t="s">
        <v>8717</v>
      </c>
      <c r="R830" s="82" t="s">
        <v>8718</v>
      </c>
      <c r="S830" s="82" t="s">
        <v>8719</v>
      </c>
      <c r="T830" s="138">
        <v>6.0</v>
      </c>
      <c r="U830" s="389">
        <v>6.0</v>
      </c>
      <c r="V830" s="106">
        <v>0.0</v>
      </c>
      <c r="W830" s="107">
        <v>0.0</v>
      </c>
      <c r="X830" s="107">
        <v>0.0</v>
      </c>
      <c r="Y830" s="107">
        <v>0.0</v>
      </c>
      <c r="Z830" s="80">
        <v>0.0</v>
      </c>
      <c r="AA830" s="140">
        <v>0.0</v>
      </c>
      <c r="AB830" s="109">
        <v>0.0</v>
      </c>
      <c r="AC830" s="109">
        <v>0.0</v>
      </c>
      <c r="AD830" s="141">
        <v>0.0</v>
      </c>
      <c r="AE830" s="80">
        <v>0.0</v>
      </c>
      <c r="AF830" s="140">
        <v>157.0</v>
      </c>
      <c r="AG830" s="109">
        <v>65.0</v>
      </c>
      <c r="AH830" s="109">
        <v>0.0</v>
      </c>
      <c r="AI830" s="141">
        <v>79.0</v>
      </c>
      <c r="AJ830" s="80">
        <v>301.0</v>
      </c>
      <c r="AK830" s="140">
        <v>0.0</v>
      </c>
      <c r="AL830" s="109">
        <v>0.0</v>
      </c>
      <c r="AM830" s="141">
        <v>0.0</v>
      </c>
      <c r="AN830" s="80">
        <v>0.0</v>
      </c>
      <c r="AO830" s="140">
        <v>0.0</v>
      </c>
      <c r="AP830" s="109">
        <v>0.0</v>
      </c>
      <c r="AQ830" s="109">
        <v>0.0</v>
      </c>
      <c r="AR830" s="80">
        <v>0.0</v>
      </c>
      <c r="AS830" s="110">
        <v>0.0</v>
      </c>
      <c r="AT830" s="110">
        <v>0.0</v>
      </c>
      <c r="AU830" s="110">
        <v>0.0</v>
      </c>
      <c r="AV830" s="142">
        <v>0.0</v>
      </c>
      <c r="AW830" s="80">
        <v>0.0</v>
      </c>
      <c r="AX830" s="113">
        <v>301.0</v>
      </c>
      <c r="AY830" s="117">
        <v>301.0</v>
      </c>
      <c r="AZ830" s="328">
        <v>0.0</v>
      </c>
      <c r="BA830" s="315">
        <v>0.0</v>
      </c>
      <c r="BB830" s="316">
        <v>301.0</v>
      </c>
      <c r="BC830" s="132" t="s">
        <v>373</v>
      </c>
      <c r="BD830" s="132" t="s">
        <v>178</v>
      </c>
      <c r="BE830" s="132" t="s">
        <v>178</v>
      </c>
      <c r="BF830" s="156"/>
      <c r="BG830" s="83">
        <v>1127960.0</v>
      </c>
      <c r="BH830" s="112">
        <v>6.0</v>
      </c>
      <c r="BI830" s="98" t="s">
        <v>155</v>
      </c>
      <c r="BJ830" s="98" t="str">
        <f t="shared" si="1"/>
        <v>INTEGRAL</v>
      </c>
      <c r="BK830" s="98" t="str">
        <f t="shared" si="2"/>
        <v>NÃO</v>
      </c>
    </row>
    <row r="831" ht="15.75" customHeight="1">
      <c r="A831" s="111" t="s">
        <v>914</v>
      </c>
      <c r="B831" s="83" t="s">
        <v>3900</v>
      </c>
      <c r="C831" s="83" t="s">
        <v>164</v>
      </c>
      <c r="D831" s="83">
        <v>1179717.0</v>
      </c>
      <c r="E831" s="83">
        <v>1178850.0</v>
      </c>
      <c r="F831" s="83"/>
      <c r="G831" s="119" t="s">
        <v>3904</v>
      </c>
      <c r="H831" s="91" t="s">
        <v>3905</v>
      </c>
      <c r="I831" s="187" t="s">
        <v>149</v>
      </c>
      <c r="J831" s="83" t="s">
        <v>222</v>
      </c>
      <c r="K831" s="83" t="s">
        <v>151</v>
      </c>
      <c r="L831" s="83" t="s">
        <v>169</v>
      </c>
      <c r="M831" s="82" t="s">
        <v>8648</v>
      </c>
      <c r="N831" s="82" t="s">
        <v>8649</v>
      </c>
      <c r="O831" s="82" t="s">
        <v>171</v>
      </c>
      <c r="P831" s="82"/>
      <c r="Q831" s="82" t="s">
        <v>171</v>
      </c>
      <c r="R831" s="82"/>
      <c r="S831" s="82"/>
      <c r="T831" s="138">
        <v>3.0</v>
      </c>
      <c r="U831" s="323">
        <v>2.0</v>
      </c>
      <c r="V831" s="106">
        <v>0.0</v>
      </c>
      <c r="W831" s="107">
        <v>0.0</v>
      </c>
      <c r="X831" s="107">
        <v>0.0</v>
      </c>
      <c r="Y831" s="107">
        <v>0.0</v>
      </c>
      <c r="Z831" s="80">
        <v>0.0</v>
      </c>
      <c r="AA831" s="140">
        <v>0.0</v>
      </c>
      <c r="AB831" s="109">
        <v>0.0</v>
      </c>
      <c r="AC831" s="109">
        <v>0.0</v>
      </c>
      <c r="AD831" s="141">
        <v>0.0</v>
      </c>
      <c r="AE831" s="80">
        <v>0.0</v>
      </c>
      <c r="AF831" s="140">
        <v>34.0</v>
      </c>
      <c r="AG831" s="109">
        <v>0.0</v>
      </c>
      <c r="AH831" s="109">
        <v>0.0</v>
      </c>
      <c r="AI831" s="141">
        <v>0.0</v>
      </c>
      <c r="AJ831" s="80">
        <v>34.0</v>
      </c>
      <c r="AK831" s="140">
        <v>0.0</v>
      </c>
      <c r="AL831" s="109">
        <v>0.0</v>
      </c>
      <c r="AM831" s="141">
        <v>0.0</v>
      </c>
      <c r="AN831" s="80">
        <v>0.0</v>
      </c>
      <c r="AO831" s="140">
        <v>0.0</v>
      </c>
      <c r="AP831" s="109">
        <v>0.0</v>
      </c>
      <c r="AQ831" s="109">
        <v>0.0</v>
      </c>
      <c r="AR831" s="80">
        <v>0.0</v>
      </c>
      <c r="AS831" s="110">
        <v>0.0</v>
      </c>
      <c r="AT831" s="110">
        <v>0.0</v>
      </c>
      <c r="AU831" s="110">
        <v>0.0</v>
      </c>
      <c r="AV831" s="142">
        <v>0.0</v>
      </c>
      <c r="AW831" s="80">
        <v>0.0</v>
      </c>
      <c r="AX831" s="113">
        <v>34.0</v>
      </c>
      <c r="AY831" s="117">
        <v>34.0</v>
      </c>
      <c r="AZ831" s="328">
        <v>0.0</v>
      </c>
      <c r="BA831" s="315">
        <v>0.0</v>
      </c>
      <c r="BB831" s="316">
        <v>34.0</v>
      </c>
      <c r="BC831" s="132" t="s">
        <v>373</v>
      </c>
      <c r="BD831" s="143" t="s">
        <v>227</v>
      </c>
      <c r="BE831" s="132" t="s">
        <v>178</v>
      </c>
      <c r="BF831" s="123"/>
      <c r="BG831" s="83">
        <v>1178850.0</v>
      </c>
      <c r="BH831" s="112">
        <v>2.0</v>
      </c>
      <c r="BI831" s="98" t="s">
        <v>155</v>
      </c>
      <c r="BJ831" s="98" t="str">
        <f t="shared" si="1"/>
        <v>NÃO</v>
      </c>
      <c r="BK831" s="98" t="str">
        <f t="shared" si="2"/>
        <v>NÃO</v>
      </c>
    </row>
    <row r="832" ht="15.75" customHeight="1">
      <c r="A832" s="81" t="s">
        <v>914</v>
      </c>
      <c r="B832" s="83" t="s">
        <v>3900</v>
      </c>
      <c r="C832" s="83" t="s">
        <v>164</v>
      </c>
      <c r="D832" s="83">
        <v>1179717.0</v>
      </c>
      <c r="E832" s="83">
        <v>1178849.0</v>
      </c>
      <c r="F832" s="83"/>
      <c r="G832" s="119" t="s">
        <v>3906</v>
      </c>
      <c r="H832" s="91" t="s">
        <v>3907</v>
      </c>
      <c r="I832" s="114" t="s">
        <v>149</v>
      </c>
      <c r="J832" s="83" t="s">
        <v>822</v>
      </c>
      <c r="K832" s="83" t="s">
        <v>151</v>
      </c>
      <c r="L832" s="83" t="s">
        <v>169</v>
      </c>
      <c r="M832" s="82" t="s">
        <v>8648</v>
      </c>
      <c r="N832" s="82" t="s">
        <v>8649</v>
      </c>
      <c r="O832" s="82" t="s">
        <v>171</v>
      </c>
      <c r="P832" s="82"/>
      <c r="Q832" s="82" t="s">
        <v>171</v>
      </c>
      <c r="R832" s="82"/>
      <c r="S832" s="82"/>
      <c r="T832" s="138">
        <v>1.0</v>
      </c>
      <c r="U832" s="341">
        <v>2.0</v>
      </c>
      <c r="V832" s="106">
        <v>0.0</v>
      </c>
      <c r="W832" s="107">
        <v>0.0</v>
      </c>
      <c r="X832" s="107">
        <v>0.0</v>
      </c>
      <c r="Y832" s="107">
        <v>0.0</v>
      </c>
      <c r="Z832" s="80">
        <v>0.0</v>
      </c>
      <c r="AA832" s="140">
        <v>0.0</v>
      </c>
      <c r="AB832" s="109">
        <v>0.0</v>
      </c>
      <c r="AC832" s="109">
        <v>0.0</v>
      </c>
      <c r="AD832" s="141">
        <v>0.0</v>
      </c>
      <c r="AE832" s="80">
        <v>0.0</v>
      </c>
      <c r="AF832" s="140">
        <v>2.0</v>
      </c>
      <c r="AG832" s="109">
        <v>7.0</v>
      </c>
      <c r="AH832" s="109">
        <v>11.0</v>
      </c>
      <c r="AI832" s="141">
        <v>0.0</v>
      </c>
      <c r="AJ832" s="80">
        <v>20.0</v>
      </c>
      <c r="AK832" s="140">
        <v>0.0</v>
      </c>
      <c r="AL832" s="109">
        <v>0.0</v>
      </c>
      <c r="AM832" s="141">
        <v>0.0</v>
      </c>
      <c r="AN832" s="80">
        <v>0.0</v>
      </c>
      <c r="AO832" s="140">
        <v>0.0</v>
      </c>
      <c r="AP832" s="109">
        <v>0.0</v>
      </c>
      <c r="AQ832" s="109">
        <v>0.0</v>
      </c>
      <c r="AR832" s="80">
        <v>0.0</v>
      </c>
      <c r="AS832" s="110">
        <v>0.0</v>
      </c>
      <c r="AT832" s="110">
        <v>0.0</v>
      </c>
      <c r="AU832" s="110">
        <v>0.0</v>
      </c>
      <c r="AV832" s="142">
        <v>0.0</v>
      </c>
      <c r="AW832" s="80">
        <v>0.0</v>
      </c>
      <c r="AX832" s="113">
        <v>20.0</v>
      </c>
      <c r="AY832" s="117">
        <v>9.0</v>
      </c>
      <c r="AZ832" s="328">
        <v>11.0</v>
      </c>
      <c r="BA832" s="315">
        <v>0.0</v>
      </c>
      <c r="BB832" s="316">
        <v>20.0</v>
      </c>
      <c r="BC832" s="132" t="s">
        <v>373</v>
      </c>
      <c r="BD832" s="143" t="s">
        <v>227</v>
      </c>
      <c r="BE832" s="132" t="s">
        <v>178</v>
      </c>
      <c r="BF832" s="123"/>
      <c r="BG832" s="83">
        <v>1178849.0</v>
      </c>
      <c r="BH832" s="112">
        <v>2.0</v>
      </c>
      <c r="BI832" s="98" t="s">
        <v>155</v>
      </c>
      <c r="BJ832" s="98" t="str">
        <f t="shared" si="1"/>
        <v>NÃO</v>
      </c>
      <c r="BK832" s="98" t="str">
        <f t="shared" si="2"/>
        <v>NÃO</v>
      </c>
    </row>
    <row r="833" ht="15.75" customHeight="1">
      <c r="A833" s="111" t="s">
        <v>914</v>
      </c>
      <c r="B833" s="189" t="s">
        <v>3900</v>
      </c>
      <c r="C833" s="189" t="s">
        <v>164</v>
      </c>
      <c r="D833" s="189">
        <v>1179717.0</v>
      </c>
      <c r="E833" s="189">
        <v>1178847.0</v>
      </c>
      <c r="F833" s="189"/>
      <c r="G833" s="209" t="s">
        <v>3914</v>
      </c>
      <c r="H833" s="91" t="s">
        <v>3915</v>
      </c>
      <c r="I833" s="210" t="s">
        <v>149</v>
      </c>
      <c r="J833" s="189" t="s">
        <v>244</v>
      </c>
      <c r="K833" s="189" t="s">
        <v>168</v>
      </c>
      <c r="L833" s="189" t="s">
        <v>169</v>
      </c>
      <c r="M833" s="82" t="s">
        <v>8648</v>
      </c>
      <c r="N833" s="82" t="s">
        <v>8649</v>
      </c>
      <c r="O833" s="82" t="s">
        <v>171</v>
      </c>
      <c r="P833" s="82"/>
      <c r="Q833" s="82" t="s">
        <v>171</v>
      </c>
      <c r="R833" s="82"/>
      <c r="S833" s="82"/>
      <c r="T833" s="321">
        <v>2.0</v>
      </c>
      <c r="U833" s="501">
        <v>2.0</v>
      </c>
      <c r="V833" s="106">
        <v>0.0</v>
      </c>
      <c r="W833" s="107">
        <v>0.0</v>
      </c>
      <c r="X833" s="107">
        <v>0.0</v>
      </c>
      <c r="Y833" s="107">
        <v>0.0</v>
      </c>
      <c r="Z833" s="80">
        <v>0.0</v>
      </c>
      <c r="AA833" s="324">
        <v>0.0</v>
      </c>
      <c r="AB833" s="325">
        <v>0.0</v>
      </c>
      <c r="AC833" s="325">
        <v>0.0</v>
      </c>
      <c r="AD833" s="326">
        <v>0.0</v>
      </c>
      <c r="AE833" s="80">
        <v>0.0</v>
      </c>
      <c r="AF833" s="324">
        <v>7.0</v>
      </c>
      <c r="AG833" s="325">
        <v>0.0</v>
      </c>
      <c r="AH833" s="325">
        <v>15.0</v>
      </c>
      <c r="AI833" s="326">
        <v>0.0</v>
      </c>
      <c r="AJ833" s="80">
        <v>22.0</v>
      </c>
      <c r="AK833" s="324">
        <v>0.0</v>
      </c>
      <c r="AL833" s="325">
        <v>0.0</v>
      </c>
      <c r="AM833" s="326">
        <v>0.0</v>
      </c>
      <c r="AN833" s="80">
        <v>0.0</v>
      </c>
      <c r="AO833" s="324">
        <v>0.0</v>
      </c>
      <c r="AP833" s="325">
        <v>0.0</v>
      </c>
      <c r="AQ833" s="325">
        <v>0.0</v>
      </c>
      <c r="AR833" s="80">
        <v>0.0</v>
      </c>
      <c r="AS833" s="329">
        <v>0.0</v>
      </c>
      <c r="AT833" s="329">
        <v>0.0</v>
      </c>
      <c r="AU833" s="329">
        <v>0.0</v>
      </c>
      <c r="AV833" s="330">
        <v>0.0</v>
      </c>
      <c r="AW833" s="80">
        <v>0.0</v>
      </c>
      <c r="AX833" s="113">
        <v>22.0</v>
      </c>
      <c r="AY833" s="117">
        <v>7.0</v>
      </c>
      <c r="AZ833" s="328">
        <v>15.0</v>
      </c>
      <c r="BA833" s="502">
        <v>0.0</v>
      </c>
      <c r="BB833" s="316">
        <v>22.0</v>
      </c>
      <c r="BC833" s="132" t="s">
        <v>373</v>
      </c>
      <c r="BD833" s="143" t="s">
        <v>227</v>
      </c>
      <c r="BE833" s="132" t="s">
        <v>178</v>
      </c>
      <c r="BF833" s="503"/>
      <c r="BG833" s="83">
        <v>1178847.0</v>
      </c>
      <c r="BH833" s="112">
        <v>2.0</v>
      </c>
      <c r="BI833" s="98" t="s">
        <v>155</v>
      </c>
      <c r="BJ833" s="98" t="str">
        <f t="shared" si="1"/>
        <v>NÃO</v>
      </c>
      <c r="BK833" s="98" t="str">
        <f t="shared" si="2"/>
        <v>NÃO</v>
      </c>
    </row>
    <row r="834" ht="15.75" customHeight="1">
      <c r="A834" s="111" t="s">
        <v>914</v>
      </c>
      <c r="B834" s="83" t="s">
        <v>3900</v>
      </c>
      <c r="C834" s="83" t="s">
        <v>164</v>
      </c>
      <c r="D834" s="83">
        <v>1179717.0</v>
      </c>
      <c r="E834" s="83">
        <v>1178846.0</v>
      </c>
      <c r="F834" s="83"/>
      <c r="G834" s="119" t="s">
        <v>3916</v>
      </c>
      <c r="H834" s="91" t="s">
        <v>3917</v>
      </c>
      <c r="I834" s="210" t="s">
        <v>149</v>
      </c>
      <c r="J834" s="83" t="s">
        <v>240</v>
      </c>
      <c r="K834" s="83" t="s">
        <v>168</v>
      </c>
      <c r="L834" s="189" t="s">
        <v>169</v>
      </c>
      <c r="M834" s="82" t="s">
        <v>8648</v>
      </c>
      <c r="N834" s="82" t="s">
        <v>8649</v>
      </c>
      <c r="O834" s="82" t="s">
        <v>171</v>
      </c>
      <c r="P834" s="82"/>
      <c r="Q834" s="82" t="s">
        <v>171</v>
      </c>
      <c r="R834" s="82"/>
      <c r="S834" s="82"/>
      <c r="T834" s="138">
        <v>1.0</v>
      </c>
      <c r="U834" s="341">
        <v>1.0</v>
      </c>
      <c r="V834" s="106">
        <v>0.0</v>
      </c>
      <c r="W834" s="107">
        <v>0.0</v>
      </c>
      <c r="X834" s="107">
        <v>0.0</v>
      </c>
      <c r="Y834" s="107">
        <v>0.0</v>
      </c>
      <c r="Z834" s="80">
        <v>0.0</v>
      </c>
      <c r="AA834" s="140">
        <v>0.0</v>
      </c>
      <c r="AB834" s="109">
        <v>0.0</v>
      </c>
      <c r="AC834" s="109">
        <v>0.0</v>
      </c>
      <c r="AD834" s="141">
        <v>0.0</v>
      </c>
      <c r="AE834" s="80">
        <v>0.0</v>
      </c>
      <c r="AF834" s="140">
        <v>8.0</v>
      </c>
      <c r="AG834" s="109">
        <v>12.0</v>
      </c>
      <c r="AH834" s="109">
        <v>5.0</v>
      </c>
      <c r="AI834" s="141">
        <v>0.0</v>
      </c>
      <c r="AJ834" s="80">
        <v>25.0</v>
      </c>
      <c r="AK834" s="140">
        <v>0.0</v>
      </c>
      <c r="AL834" s="109">
        <v>0.0</v>
      </c>
      <c r="AM834" s="141">
        <v>0.0</v>
      </c>
      <c r="AN834" s="80">
        <v>0.0</v>
      </c>
      <c r="AO834" s="140">
        <v>0.0</v>
      </c>
      <c r="AP834" s="109">
        <v>0.0</v>
      </c>
      <c r="AQ834" s="109">
        <v>0.0</v>
      </c>
      <c r="AR834" s="80">
        <v>0.0</v>
      </c>
      <c r="AS834" s="110">
        <v>0.0</v>
      </c>
      <c r="AT834" s="110">
        <v>0.0</v>
      </c>
      <c r="AU834" s="110">
        <v>0.0</v>
      </c>
      <c r="AV834" s="142">
        <v>0.0</v>
      </c>
      <c r="AW834" s="80">
        <v>0.0</v>
      </c>
      <c r="AX834" s="113">
        <v>25.0</v>
      </c>
      <c r="AY834" s="117">
        <v>20.0</v>
      </c>
      <c r="AZ834" s="328">
        <v>5.0</v>
      </c>
      <c r="BA834" s="315">
        <v>0.0</v>
      </c>
      <c r="BB834" s="316">
        <v>25.0</v>
      </c>
      <c r="BC834" s="132" t="s">
        <v>265</v>
      </c>
      <c r="BD834" s="132" t="s">
        <v>178</v>
      </c>
      <c r="BE834" s="132" t="s">
        <v>178</v>
      </c>
      <c r="BF834" s="123"/>
      <c r="BG834" s="83">
        <v>1178846.0</v>
      </c>
      <c r="BH834" s="112">
        <v>1.0</v>
      </c>
      <c r="BI834" s="98" t="s">
        <v>155</v>
      </c>
      <c r="BJ834" s="98" t="str">
        <f t="shared" si="1"/>
        <v>NÃO</v>
      </c>
      <c r="BK834" s="98" t="str">
        <f t="shared" si="2"/>
        <v>NÃO</v>
      </c>
    </row>
    <row r="835" ht="15.75" customHeight="1">
      <c r="A835" s="111" t="s">
        <v>914</v>
      </c>
      <c r="B835" s="82" t="s">
        <v>3900</v>
      </c>
      <c r="C835" s="82" t="s">
        <v>164</v>
      </c>
      <c r="D835" s="83">
        <v>1179717.0</v>
      </c>
      <c r="E835" s="82">
        <v>1178848.0</v>
      </c>
      <c r="F835" s="82"/>
      <c r="G835" s="108" t="s">
        <v>3922</v>
      </c>
      <c r="H835" s="91" t="s">
        <v>3923</v>
      </c>
      <c r="I835" s="91" t="s">
        <v>149</v>
      </c>
      <c r="J835" s="82" t="s">
        <v>222</v>
      </c>
      <c r="K835" s="82" t="s">
        <v>168</v>
      </c>
      <c r="L835" s="82" t="s">
        <v>169</v>
      </c>
      <c r="M835" s="82" t="s">
        <v>8648</v>
      </c>
      <c r="N835" s="82" t="s">
        <v>8649</v>
      </c>
      <c r="O835" s="82" t="s">
        <v>171</v>
      </c>
      <c r="P835" s="82"/>
      <c r="Q835" s="82" t="s">
        <v>171</v>
      </c>
      <c r="R835" s="82"/>
      <c r="S835" s="82"/>
      <c r="T835" s="104">
        <v>3.0</v>
      </c>
      <c r="U835" s="504">
        <v>2.0</v>
      </c>
      <c r="V835" s="106">
        <v>0.0</v>
      </c>
      <c r="W835" s="107">
        <v>0.0</v>
      </c>
      <c r="X835" s="107">
        <v>0.0</v>
      </c>
      <c r="Y835" s="107">
        <v>0.0</v>
      </c>
      <c r="Z835" s="80">
        <v>0.0</v>
      </c>
      <c r="AA835" s="222">
        <v>0.0</v>
      </c>
      <c r="AB835" s="505">
        <v>0.0</v>
      </c>
      <c r="AC835" s="505">
        <v>0.0</v>
      </c>
      <c r="AD835" s="506">
        <v>0.0</v>
      </c>
      <c r="AE835" s="80">
        <v>0.0</v>
      </c>
      <c r="AF835" s="222">
        <v>48.0</v>
      </c>
      <c r="AG835" s="505">
        <v>0.0</v>
      </c>
      <c r="AH835" s="505">
        <v>0.0</v>
      </c>
      <c r="AI835" s="506">
        <v>0.0</v>
      </c>
      <c r="AJ835" s="80">
        <v>48.0</v>
      </c>
      <c r="AK835" s="222">
        <v>0.0</v>
      </c>
      <c r="AL835" s="505">
        <v>0.0</v>
      </c>
      <c r="AM835" s="506">
        <v>0.0</v>
      </c>
      <c r="AN835" s="80">
        <v>0.0</v>
      </c>
      <c r="AO835" s="222">
        <v>0.0</v>
      </c>
      <c r="AP835" s="505">
        <v>0.0</v>
      </c>
      <c r="AQ835" s="505">
        <v>0.0</v>
      </c>
      <c r="AR835" s="80">
        <v>0.0</v>
      </c>
      <c r="AS835" s="507">
        <v>0.0</v>
      </c>
      <c r="AT835" s="507">
        <v>0.0</v>
      </c>
      <c r="AU835" s="507">
        <v>0.0</v>
      </c>
      <c r="AV835" s="508">
        <v>0.0</v>
      </c>
      <c r="AW835" s="80">
        <v>0.0</v>
      </c>
      <c r="AX835" s="113">
        <v>48.0</v>
      </c>
      <c r="AY835" s="117">
        <v>48.0</v>
      </c>
      <c r="AZ835" s="328">
        <v>0.0</v>
      </c>
      <c r="BA835" s="509">
        <v>0.0</v>
      </c>
      <c r="BB835" s="316">
        <v>48.0</v>
      </c>
      <c r="BC835" s="132" t="s">
        <v>373</v>
      </c>
      <c r="BD835" s="132" t="s">
        <v>178</v>
      </c>
      <c r="BE835" s="132" t="s">
        <v>178</v>
      </c>
      <c r="BF835" s="133"/>
      <c r="BG835" s="83">
        <v>1178848.0</v>
      </c>
      <c r="BH835" s="112">
        <v>2.0</v>
      </c>
      <c r="BI835" s="98" t="s">
        <v>155</v>
      </c>
      <c r="BJ835" s="98" t="str">
        <f t="shared" si="1"/>
        <v>NÃO</v>
      </c>
      <c r="BK835" s="98" t="str">
        <f t="shared" si="2"/>
        <v>NÃO</v>
      </c>
    </row>
    <row r="836" ht="15.75" customHeight="1">
      <c r="A836" s="111" t="s">
        <v>914</v>
      </c>
      <c r="B836" s="83" t="s">
        <v>3924</v>
      </c>
      <c r="C836" s="83" t="s">
        <v>45</v>
      </c>
      <c r="D836" s="83">
        <v>1178390.0</v>
      </c>
      <c r="E836" s="83"/>
      <c r="F836" s="83">
        <v>2.9981727E7</v>
      </c>
      <c r="G836" s="114" t="s">
        <v>3925</v>
      </c>
      <c r="H836" s="91" t="s">
        <v>3927</v>
      </c>
      <c r="I836" s="114" t="s">
        <v>149</v>
      </c>
      <c r="J836" s="98" t="s">
        <v>150</v>
      </c>
      <c r="K836" s="83" t="s">
        <v>171</v>
      </c>
      <c r="L836" s="83" t="s">
        <v>169</v>
      </c>
      <c r="M836" s="82" t="s">
        <v>8766</v>
      </c>
      <c r="N836" s="82" t="s">
        <v>8767</v>
      </c>
      <c r="O836" s="82"/>
      <c r="P836" s="82"/>
      <c r="Q836" s="82"/>
      <c r="R836" s="82"/>
      <c r="S836" s="82"/>
      <c r="T836" s="138">
        <v>4.0</v>
      </c>
      <c r="U836" s="352">
        <v>4.0</v>
      </c>
      <c r="V836" s="106">
        <v>0.0</v>
      </c>
      <c r="W836" s="107">
        <v>0.0</v>
      </c>
      <c r="X836" s="107">
        <v>0.0</v>
      </c>
      <c r="Y836" s="107">
        <v>0.0</v>
      </c>
      <c r="Z836" s="80">
        <v>0.0</v>
      </c>
      <c r="AA836" s="140">
        <v>0.0</v>
      </c>
      <c r="AB836" s="109">
        <v>0.0</v>
      </c>
      <c r="AC836" s="109">
        <v>0.0</v>
      </c>
      <c r="AD836" s="141">
        <v>0.0</v>
      </c>
      <c r="AE836" s="80">
        <v>0.0</v>
      </c>
      <c r="AF836" s="140">
        <v>0.0</v>
      </c>
      <c r="AG836" s="109">
        <v>0.0</v>
      </c>
      <c r="AH836" s="109">
        <v>0.0</v>
      </c>
      <c r="AI836" s="141">
        <v>104.0</v>
      </c>
      <c r="AJ836" s="80">
        <v>104.0</v>
      </c>
      <c r="AK836" s="140">
        <v>0.0</v>
      </c>
      <c r="AL836" s="109">
        <v>0.0</v>
      </c>
      <c r="AM836" s="141">
        <v>0.0</v>
      </c>
      <c r="AN836" s="80">
        <v>0.0</v>
      </c>
      <c r="AO836" s="140">
        <v>0.0</v>
      </c>
      <c r="AP836" s="109">
        <v>0.0</v>
      </c>
      <c r="AQ836" s="109">
        <v>0.0</v>
      </c>
      <c r="AR836" s="80">
        <v>0.0</v>
      </c>
      <c r="AS836" s="110">
        <v>0.0</v>
      </c>
      <c r="AT836" s="110">
        <v>0.0</v>
      </c>
      <c r="AU836" s="110">
        <v>0.0</v>
      </c>
      <c r="AV836" s="142">
        <v>0.0</v>
      </c>
      <c r="AW836" s="80">
        <v>0.0</v>
      </c>
      <c r="AX836" s="113">
        <v>104.0</v>
      </c>
      <c r="AY836" s="117">
        <v>104.0</v>
      </c>
      <c r="AZ836" s="328">
        <v>0.0</v>
      </c>
      <c r="BA836" s="315">
        <v>0.0</v>
      </c>
      <c r="BB836" s="316">
        <v>104.0</v>
      </c>
      <c r="BC836" s="132" t="s">
        <v>178</v>
      </c>
      <c r="BD836" s="132" t="s">
        <v>178</v>
      </c>
      <c r="BE836" s="132" t="s">
        <v>178</v>
      </c>
      <c r="BF836" s="123"/>
      <c r="BG836" s="83">
        <v>1178390.0</v>
      </c>
      <c r="BH836" s="112">
        <v>4.0</v>
      </c>
      <c r="BI836" s="98" t="s">
        <v>155</v>
      </c>
      <c r="BJ836" s="98" t="str">
        <f t="shared" si="1"/>
        <v>INTEGRAL</v>
      </c>
      <c r="BK836" s="98" t="str">
        <f t="shared" si="2"/>
        <v>NÃO</v>
      </c>
    </row>
    <row r="837" ht="15.75" customHeight="1">
      <c r="A837" s="111" t="s">
        <v>914</v>
      </c>
      <c r="B837" s="83" t="s">
        <v>3924</v>
      </c>
      <c r="C837" s="83" t="s">
        <v>68</v>
      </c>
      <c r="D837" s="83">
        <v>1128088.0</v>
      </c>
      <c r="E837" s="83"/>
      <c r="F837" s="83">
        <v>2.9209439E7</v>
      </c>
      <c r="G837" s="114" t="s">
        <v>8774</v>
      </c>
      <c r="H837" s="91" t="s">
        <v>3932</v>
      </c>
      <c r="I837" s="114" t="s">
        <v>149</v>
      </c>
      <c r="J837" s="83" t="s">
        <v>150</v>
      </c>
      <c r="K837" s="83" t="s">
        <v>151</v>
      </c>
      <c r="L837" s="83" t="s">
        <v>76</v>
      </c>
      <c r="M837" s="82" t="s">
        <v>8775</v>
      </c>
      <c r="N837" s="82" t="s">
        <v>8776</v>
      </c>
      <c r="O837" s="82"/>
      <c r="P837" s="82"/>
      <c r="Q837" s="82"/>
      <c r="R837" s="82"/>
      <c r="S837" s="82" t="s">
        <v>8777</v>
      </c>
      <c r="T837" s="138">
        <v>7.0</v>
      </c>
      <c r="U837" s="341">
        <v>7.0</v>
      </c>
      <c r="V837" s="106">
        <v>0.0</v>
      </c>
      <c r="W837" s="107">
        <v>0.0</v>
      </c>
      <c r="X837" s="107">
        <v>0.0</v>
      </c>
      <c r="Y837" s="107">
        <v>0.0</v>
      </c>
      <c r="Z837" s="80">
        <v>0.0</v>
      </c>
      <c r="AA837" s="140">
        <v>0.0</v>
      </c>
      <c r="AB837" s="109">
        <v>0.0</v>
      </c>
      <c r="AC837" s="109">
        <v>0.0</v>
      </c>
      <c r="AD837" s="141">
        <v>0.0</v>
      </c>
      <c r="AE837" s="80">
        <v>0.0</v>
      </c>
      <c r="AF837" s="140">
        <v>138.0</v>
      </c>
      <c r="AG837" s="109">
        <v>0.0</v>
      </c>
      <c r="AH837" s="109">
        <v>0.0</v>
      </c>
      <c r="AI837" s="141">
        <v>0.0</v>
      </c>
      <c r="AJ837" s="80">
        <v>138.0</v>
      </c>
      <c r="AK837" s="140">
        <v>0.0</v>
      </c>
      <c r="AL837" s="109">
        <v>0.0</v>
      </c>
      <c r="AM837" s="141">
        <v>0.0</v>
      </c>
      <c r="AN837" s="80">
        <v>0.0</v>
      </c>
      <c r="AO837" s="140">
        <v>0.0</v>
      </c>
      <c r="AP837" s="109">
        <v>0.0</v>
      </c>
      <c r="AQ837" s="109">
        <v>0.0</v>
      </c>
      <c r="AR837" s="80">
        <v>0.0</v>
      </c>
      <c r="AS837" s="110">
        <v>0.0</v>
      </c>
      <c r="AT837" s="110">
        <v>0.0</v>
      </c>
      <c r="AU837" s="110">
        <v>0.0</v>
      </c>
      <c r="AV837" s="142">
        <v>0.0</v>
      </c>
      <c r="AW837" s="80">
        <v>0.0</v>
      </c>
      <c r="AX837" s="113">
        <v>138.0</v>
      </c>
      <c r="AY837" s="117">
        <v>138.0</v>
      </c>
      <c r="AZ837" s="328">
        <v>0.0</v>
      </c>
      <c r="BA837" s="315">
        <v>0.0</v>
      </c>
      <c r="BB837" s="316">
        <v>138.0</v>
      </c>
      <c r="BC837" s="132" t="s">
        <v>178</v>
      </c>
      <c r="BD837" s="132" t="s">
        <v>178</v>
      </c>
      <c r="BE837" s="132" t="s">
        <v>178</v>
      </c>
      <c r="BF837" s="123"/>
      <c r="BG837" s="83">
        <v>1128088.0</v>
      </c>
      <c r="BH837" s="112">
        <v>7.0</v>
      </c>
      <c r="BI837" s="98" t="s">
        <v>155</v>
      </c>
      <c r="BJ837" s="98" t="str">
        <f t="shared" si="1"/>
        <v>NÃO</v>
      </c>
      <c r="BK837" s="98" t="str">
        <f t="shared" si="2"/>
        <v>NÃO</v>
      </c>
    </row>
    <row r="838" ht="15.75" customHeight="1">
      <c r="A838" s="111" t="s">
        <v>914</v>
      </c>
      <c r="B838" s="83" t="s">
        <v>3924</v>
      </c>
      <c r="C838" s="83" t="s">
        <v>68</v>
      </c>
      <c r="D838" s="83">
        <v>1128177.0</v>
      </c>
      <c r="E838" s="83"/>
      <c r="F838" s="83">
        <v>2.9208297E7</v>
      </c>
      <c r="G838" s="241" t="s">
        <v>3940</v>
      </c>
      <c r="H838" s="91" t="s">
        <v>3941</v>
      </c>
      <c r="I838" s="114" t="s">
        <v>149</v>
      </c>
      <c r="J838" s="136" t="s">
        <v>150</v>
      </c>
      <c r="K838" s="83" t="s">
        <v>151</v>
      </c>
      <c r="L838" s="83" t="s">
        <v>230</v>
      </c>
      <c r="M838" s="82" t="s">
        <v>8784</v>
      </c>
      <c r="N838" s="82" t="s">
        <v>8785</v>
      </c>
      <c r="O838" s="82" t="s">
        <v>8786</v>
      </c>
      <c r="P838" s="82" t="s">
        <v>8787</v>
      </c>
      <c r="Q838" s="82" t="s">
        <v>8788</v>
      </c>
      <c r="R838" s="82" t="s">
        <v>8789</v>
      </c>
      <c r="S838" s="82" t="s">
        <v>8790</v>
      </c>
      <c r="T838" s="138">
        <v>22.0</v>
      </c>
      <c r="U838" s="331">
        <v>24.0</v>
      </c>
      <c r="V838" s="106">
        <v>0.0</v>
      </c>
      <c r="W838" s="107">
        <v>0.0</v>
      </c>
      <c r="X838" s="107">
        <v>0.0</v>
      </c>
      <c r="Y838" s="107">
        <v>0.0</v>
      </c>
      <c r="Z838" s="80">
        <v>0.0</v>
      </c>
      <c r="AA838" s="140">
        <v>0.0</v>
      </c>
      <c r="AB838" s="109">
        <v>0.0</v>
      </c>
      <c r="AC838" s="109">
        <v>0.0</v>
      </c>
      <c r="AD838" s="141">
        <v>0.0</v>
      </c>
      <c r="AE838" s="80">
        <v>0.0</v>
      </c>
      <c r="AF838" s="246">
        <v>443.0</v>
      </c>
      <c r="AG838" s="246">
        <v>176.0</v>
      </c>
      <c r="AH838" s="246">
        <v>21.0</v>
      </c>
      <c r="AI838" s="247">
        <v>0.0</v>
      </c>
      <c r="AJ838" s="80">
        <v>640.0</v>
      </c>
      <c r="AK838" s="140">
        <v>0.0</v>
      </c>
      <c r="AL838" s="109">
        <v>0.0</v>
      </c>
      <c r="AM838" s="141">
        <v>0.0</v>
      </c>
      <c r="AN838" s="80">
        <v>0.0</v>
      </c>
      <c r="AO838" s="246">
        <v>0.0</v>
      </c>
      <c r="AP838" s="246">
        <v>0.0</v>
      </c>
      <c r="AQ838" s="247">
        <v>85.0</v>
      </c>
      <c r="AR838" s="80">
        <v>85.0</v>
      </c>
      <c r="AS838" s="110">
        <v>385.0</v>
      </c>
      <c r="AT838" s="110">
        <v>147.0</v>
      </c>
      <c r="AU838" s="110">
        <v>46.0</v>
      </c>
      <c r="AV838" s="142">
        <v>0.0</v>
      </c>
      <c r="AW838" s="80">
        <v>578.0</v>
      </c>
      <c r="AX838" s="113">
        <v>1303.0</v>
      </c>
      <c r="AY838" s="117">
        <v>1151.0</v>
      </c>
      <c r="AZ838" s="328">
        <v>152.0</v>
      </c>
      <c r="BA838" s="315">
        <v>7.0</v>
      </c>
      <c r="BB838" s="316">
        <v>1310.0</v>
      </c>
      <c r="BC838" s="132" t="s">
        <v>178</v>
      </c>
      <c r="BD838" s="132" t="s">
        <v>522</v>
      </c>
      <c r="BE838" s="132" t="s">
        <v>178</v>
      </c>
      <c r="BF838" s="123"/>
      <c r="BG838" s="83">
        <v>1128177.0</v>
      </c>
      <c r="BH838" s="98">
        <v>24.0</v>
      </c>
      <c r="BI838" s="98" t="s">
        <v>155</v>
      </c>
      <c r="BJ838" s="98" t="str">
        <f t="shared" si="1"/>
        <v>NÃO</v>
      </c>
      <c r="BK838" s="98" t="str">
        <f t="shared" si="2"/>
        <v>PROFISSIONAL</v>
      </c>
    </row>
    <row r="839" ht="15.75" customHeight="1">
      <c r="A839" s="111" t="s">
        <v>914</v>
      </c>
      <c r="B839" s="83" t="s">
        <v>3924</v>
      </c>
      <c r="C839" s="98" t="s">
        <v>68</v>
      </c>
      <c r="D839" s="83">
        <v>1179717.0</v>
      </c>
      <c r="E839" s="83"/>
      <c r="F839" s="83">
        <v>2.9483395E7</v>
      </c>
      <c r="G839" s="185" t="s">
        <v>3949</v>
      </c>
      <c r="H839" s="91" t="s">
        <v>3950</v>
      </c>
      <c r="I839" s="114" t="s">
        <v>149</v>
      </c>
      <c r="J839" s="98" t="s">
        <v>150</v>
      </c>
      <c r="K839" s="83" t="s">
        <v>151</v>
      </c>
      <c r="L839" s="83" t="s">
        <v>230</v>
      </c>
      <c r="M839" s="82" t="s">
        <v>8648</v>
      </c>
      <c r="N839" s="82" t="s">
        <v>8649</v>
      </c>
      <c r="O839" s="82" t="s">
        <v>171</v>
      </c>
      <c r="P839" s="82"/>
      <c r="Q839" s="82" t="s">
        <v>171</v>
      </c>
      <c r="R839" s="82"/>
      <c r="S839" s="82"/>
      <c r="T839" s="138"/>
      <c r="U839" s="331">
        <v>1.0</v>
      </c>
      <c r="V839" s="106">
        <v>0.0</v>
      </c>
      <c r="W839" s="107">
        <v>0.0</v>
      </c>
      <c r="X839" s="107">
        <v>0.0</v>
      </c>
      <c r="Y839" s="107">
        <v>0.0</v>
      </c>
      <c r="Z839" s="80">
        <v>0.0</v>
      </c>
      <c r="AA839" s="140">
        <v>0.0</v>
      </c>
      <c r="AB839" s="109">
        <v>0.0</v>
      </c>
      <c r="AC839" s="109">
        <v>0.0</v>
      </c>
      <c r="AD839" s="141">
        <v>0.0</v>
      </c>
      <c r="AE839" s="80">
        <v>0.0</v>
      </c>
      <c r="AF839" s="140">
        <v>0.0</v>
      </c>
      <c r="AG839" s="109">
        <v>0.0</v>
      </c>
      <c r="AH839" s="109">
        <v>0.0</v>
      </c>
      <c r="AI839" s="141">
        <v>0.0</v>
      </c>
      <c r="AJ839" s="80">
        <v>0.0</v>
      </c>
      <c r="AK839" s="140">
        <v>0.0</v>
      </c>
      <c r="AL839" s="109">
        <v>0.0</v>
      </c>
      <c r="AM839" s="141">
        <v>0.0</v>
      </c>
      <c r="AN839" s="80">
        <v>0.0</v>
      </c>
      <c r="AO839" s="140">
        <v>0.0</v>
      </c>
      <c r="AP839" s="109">
        <v>0.0</v>
      </c>
      <c r="AQ839" s="109">
        <v>0.0</v>
      </c>
      <c r="AR839" s="80">
        <v>0.0</v>
      </c>
      <c r="AS839" s="110">
        <v>0.0</v>
      </c>
      <c r="AT839" s="110">
        <v>0.0</v>
      </c>
      <c r="AU839" s="110">
        <v>0.0</v>
      </c>
      <c r="AV839" s="142">
        <v>0.0</v>
      </c>
      <c r="AW839" s="80">
        <v>0.0</v>
      </c>
      <c r="AX839" s="113">
        <v>0.0</v>
      </c>
      <c r="AY839" s="117">
        <v>0.0</v>
      </c>
      <c r="AZ839" s="328">
        <v>0.0</v>
      </c>
      <c r="BA839" s="315">
        <v>0.0</v>
      </c>
      <c r="BB839" s="316">
        <v>0.0</v>
      </c>
      <c r="BC839" s="132" t="s">
        <v>178</v>
      </c>
      <c r="BD839" s="143" t="s">
        <v>227</v>
      </c>
      <c r="BE839" s="132" t="s">
        <v>178</v>
      </c>
      <c r="BF839" s="123" t="s">
        <v>534</v>
      </c>
      <c r="BG839" s="83">
        <v>1179717.0</v>
      </c>
      <c r="BH839" s="98">
        <v>1.0</v>
      </c>
      <c r="BI839" s="98" t="s">
        <v>155</v>
      </c>
      <c r="BJ839" s="98" t="str">
        <f t="shared" si="1"/>
        <v>NÃO</v>
      </c>
      <c r="BK839" s="98" t="str">
        <f t="shared" si="2"/>
        <v>NÃO</v>
      </c>
    </row>
    <row r="840" ht="15.75" customHeight="1">
      <c r="A840" s="111" t="s">
        <v>914</v>
      </c>
      <c r="B840" s="83" t="s">
        <v>3924</v>
      </c>
      <c r="C840" s="83" t="s">
        <v>164</v>
      </c>
      <c r="D840" s="83">
        <v>1179717.0</v>
      </c>
      <c r="E840" s="83">
        <v>1178853.0</v>
      </c>
      <c r="F840" s="83"/>
      <c r="G840" s="184" t="s">
        <v>3953</v>
      </c>
      <c r="H840" s="91" t="s">
        <v>3954</v>
      </c>
      <c r="I840" s="114" t="s">
        <v>149</v>
      </c>
      <c r="J840" s="83" t="s">
        <v>464</v>
      </c>
      <c r="K840" s="83" t="s">
        <v>168</v>
      </c>
      <c r="L840" s="83" t="s">
        <v>169</v>
      </c>
      <c r="M840" s="82" t="s">
        <v>8648</v>
      </c>
      <c r="N840" s="82" t="s">
        <v>8649</v>
      </c>
      <c r="O840" s="82" t="s">
        <v>171</v>
      </c>
      <c r="P840" s="82"/>
      <c r="Q840" s="82" t="s">
        <v>171</v>
      </c>
      <c r="R840" s="82"/>
      <c r="S840" s="82"/>
      <c r="T840" s="138">
        <v>1.0</v>
      </c>
      <c r="U840" s="331">
        <v>1.0</v>
      </c>
      <c r="V840" s="106">
        <v>0.0</v>
      </c>
      <c r="W840" s="107">
        <v>0.0</v>
      </c>
      <c r="X840" s="107">
        <v>0.0</v>
      </c>
      <c r="Y840" s="107">
        <v>0.0</v>
      </c>
      <c r="Z840" s="80">
        <v>0.0</v>
      </c>
      <c r="AA840" s="140">
        <v>0.0</v>
      </c>
      <c r="AB840" s="109">
        <v>0.0</v>
      </c>
      <c r="AC840" s="109">
        <v>0.0</v>
      </c>
      <c r="AD840" s="141">
        <v>0.0</v>
      </c>
      <c r="AE840" s="80">
        <v>0.0</v>
      </c>
      <c r="AF840" s="140">
        <v>10.0</v>
      </c>
      <c r="AG840" s="109">
        <v>8.0</v>
      </c>
      <c r="AH840" s="109">
        <v>8.0</v>
      </c>
      <c r="AI840" s="141">
        <v>0.0</v>
      </c>
      <c r="AJ840" s="80">
        <v>26.0</v>
      </c>
      <c r="AK840" s="140">
        <v>0.0</v>
      </c>
      <c r="AL840" s="109">
        <v>0.0</v>
      </c>
      <c r="AM840" s="141">
        <v>0.0</v>
      </c>
      <c r="AN840" s="80">
        <v>0.0</v>
      </c>
      <c r="AO840" s="140">
        <v>0.0</v>
      </c>
      <c r="AP840" s="109">
        <v>0.0</v>
      </c>
      <c r="AQ840" s="109">
        <v>0.0</v>
      </c>
      <c r="AR840" s="80">
        <v>0.0</v>
      </c>
      <c r="AS840" s="110">
        <v>0.0</v>
      </c>
      <c r="AT840" s="110">
        <v>0.0</v>
      </c>
      <c r="AU840" s="110">
        <v>0.0</v>
      </c>
      <c r="AV840" s="142">
        <v>0.0</v>
      </c>
      <c r="AW840" s="80">
        <v>0.0</v>
      </c>
      <c r="AX840" s="113">
        <v>26.0</v>
      </c>
      <c r="AY840" s="117">
        <v>18.0</v>
      </c>
      <c r="AZ840" s="328">
        <v>8.0</v>
      </c>
      <c r="BA840" s="315">
        <v>0.0</v>
      </c>
      <c r="BB840" s="316">
        <v>26.0</v>
      </c>
      <c r="BC840" s="132" t="s">
        <v>373</v>
      </c>
      <c r="BD840" s="132" t="s">
        <v>178</v>
      </c>
      <c r="BE840" s="132" t="s">
        <v>178</v>
      </c>
      <c r="BF840" s="123"/>
      <c r="BG840" s="83">
        <v>1178853.0</v>
      </c>
      <c r="BH840" s="98">
        <v>1.0</v>
      </c>
      <c r="BI840" s="98" t="s">
        <v>155</v>
      </c>
      <c r="BJ840" s="98" t="str">
        <f t="shared" si="1"/>
        <v>NÃO</v>
      </c>
      <c r="BK840" s="98" t="str">
        <f t="shared" si="2"/>
        <v>NÃO</v>
      </c>
    </row>
    <row r="841" ht="15.75" customHeight="1">
      <c r="A841" s="111" t="s">
        <v>914</v>
      </c>
      <c r="B841" s="83" t="s">
        <v>3924</v>
      </c>
      <c r="C841" s="83" t="s">
        <v>164</v>
      </c>
      <c r="D841" s="83">
        <v>1179717.0</v>
      </c>
      <c r="E841" s="83">
        <v>1179149.0</v>
      </c>
      <c r="F841" s="83"/>
      <c r="G841" s="119" t="s">
        <v>3959</v>
      </c>
      <c r="H841" s="91" t="s">
        <v>3961</v>
      </c>
      <c r="I841" s="274" t="s">
        <v>149</v>
      </c>
      <c r="J841" s="83" t="s">
        <v>244</v>
      </c>
      <c r="K841" s="83" t="s">
        <v>168</v>
      </c>
      <c r="L841" s="83" t="s">
        <v>169</v>
      </c>
      <c r="M841" s="82" t="s">
        <v>8648</v>
      </c>
      <c r="N841" s="82" t="s">
        <v>8649</v>
      </c>
      <c r="O841" s="82" t="s">
        <v>171</v>
      </c>
      <c r="P841" s="82"/>
      <c r="Q841" s="82" t="s">
        <v>171</v>
      </c>
      <c r="R841" s="82"/>
      <c r="S841" s="82"/>
      <c r="T841" s="138">
        <v>2.0</v>
      </c>
      <c r="U841" s="331">
        <v>2.0</v>
      </c>
      <c r="V841" s="106">
        <v>0.0</v>
      </c>
      <c r="W841" s="107">
        <v>0.0</v>
      </c>
      <c r="X841" s="107">
        <v>0.0</v>
      </c>
      <c r="Y841" s="107">
        <v>0.0</v>
      </c>
      <c r="Z841" s="80">
        <v>0.0</v>
      </c>
      <c r="AA841" s="140">
        <v>0.0</v>
      </c>
      <c r="AB841" s="109">
        <v>0.0</v>
      </c>
      <c r="AC841" s="109">
        <v>0.0</v>
      </c>
      <c r="AD841" s="141">
        <v>0.0</v>
      </c>
      <c r="AE841" s="80">
        <v>0.0</v>
      </c>
      <c r="AF841" s="140">
        <v>38.0</v>
      </c>
      <c r="AG841" s="109">
        <v>22.0</v>
      </c>
      <c r="AH841" s="109">
        <v>0.0</v>
      </c>
      <c r="AI841" s="141">
        <v>0.0</v>
      </c>
      <c r="AJ841" s="80">
        <v>60.0</v>
      </c>
      <c r="AK841" s="140">
        <v>0.0</v>
      </c>
      <c r="AL841" s="109">
        <v>0.0</v>
      </c>
      <c r="AM841" s="141">
        <v>0.0</v>
      </c>
      <c r="AN841" s="80">
        <v>0.0</v>
      </c>
      <c r="AO841" s="140">
        <v>0.0</v>
      </c>
      <c r="AP841" s="109">
        <v>0.0</v>
      </c>
      <c r="AQ841" s="109">
        <v>0.0</v>
      </c>
      <c r="AR841" s="80">
        <v>0.0</v>
      </c>
      <c r="AS841" s="110">
        <v>0.0</v>
      </c>
      <c r="AT841" s="110">
        <v>0.0</v>
      </c>
      <c r="AU841" s="110">
        <v>0.0</v>
      </c>
      <c r="AV841" s="142">
        <v>0.0</v>
      </c>
      <c r="AW841" s="80">
        <v>0.0</v>
      </c>
      <c r="AX841" s="113">
        <v>60.0</v>
      </c>
      <c r="AY841" s="117">
        <v>60.0</v>
      </c>
      <c r="AZ841" s="328">
        <v>0.0</v>
      </c>
      <c r="BA841" s="315">
        <v>0.0</v>
      </c>
      <c r="BB841" s="316">
        <v>60.0</v>
      </c>
      <c r="BC841" s="132" t="s">
        <v>373</v>
      </c>
      <c r="BD841" s="143" t="s">
        <v>227</v>
      </c>
      <c r="BE841" s="132" t="s">
        <v>178</v>
      </c>
      <c r="BF841" s="156"/>
      <c r="BG841" s="83">
        <v>1179149.0</v>
      </c>
      <c r="BH841" s="98">
        <v>2.0</v>
      </c>
      <c r="BI841" s="98" t="s">
        <v>155</v>
      </c>
      <c r="BJ841" s="98" t="str">
        <f t="shared" si="1"/>
        <v>NÃO</v>
      </c>
      <c r="BK841" s="98" t="str">
        <f t="shared" si="2"/>
        <v>NÃO</v>
      </c>
    </row>
    <row r="842" ht="15.75" customHeight="1">
      <c r="A842" s="111" t="s">
        <v>914</v>
      </c>
      <c r="B842" s="83" t="s">
        <v>3924</v>
      </c>
      <c r="C842" s="83" t="s">
        <v>164</v>
      </c>
      <c r="D842" s="83">
        <v>1179717.0</v>
      </c>
      <c r="E842" s="83">
        <v>1178851.0</v>
      </c>
      <c r="F842" s="83"/>
      <c r="G842" s="184" t="s">
        <v>3963</v>
      </c>
      <c r="H842" s="91" t="s">
        <v>3964</v>
      </c>
      <c r="I842" s="114" t="s">
        <v>149</v>
      </c>
      <c r="J842" s="83" t="s">
        <v>456</v>
      </c>
      <c r="K842" s="83" t="s">
        <v>168</v>
      </c>
      <c r="L842" s="83" t="s">
        <v>169</v>
      </c>
      <c r="M842" s="82" t="s">
        <v>8648</v>
      </c>
      <c r="N842" s="82" t="s">
        <v>8649</v>
      </c>
      <c r="O842" s="82" t="s">
        <v>171</v>
      </c>
      <c r="P842" s="82"/>
      <c r="Q842" s="82" t="s">
        <v>171</v>
      </c>
      <c r="R842" s="82"/>
      <c r="S842" s="82"/>
      <c r="T842" s="138">
        <v>1.0</v>
      </c>
      <c r="U842" s="331">
        <v>1.0</v>
      </c>
      <c r="V842" s="106">
        <v>0.0</v>
      </c>
      <c r="W842" s="107">
        <v>0.0</v>
      </c>
      <c r="X842" s="107">
        <v>0.0</v>
      </c>
      <c r="Y842" s="107">
        <v>0.0</v>
      </c>
      <c r="Z842" s="80">
        <v>0.0</v>
      </c>
      <c r="AA842" s="140">
        <v>0.0</v>
      </c>
      <c r="AB842" s="109">
        <v>0.0</v>
      </c>
      <c r="AC842" s="109">
        <v>0.0</v>
      </c>
      <c r="AD842" s="141">
        <v>0.0</v>
      </c>
      <c r="AE842" s="80">
        <v>0.0</v>
      </c>
      <c r="AF842" s="140">
        <v>10.0</v>
      </c>
      <c r="AG842" s="109">
        <v>3.0</v>
      </c>
      <c r="AH842" s="109">
        <v>14.0</v>
      </c>
      <c r="AI842" s="141">
        <v>0.0</v>
      </c>
      <c r="AJ842" s="80">
        <v>27.0</v>
      </c>
      <c r="AK842" s="140">
        <v>0.0</v>
      </c>
      <c r="AL842" s="109">
        <v>0.0</v>
      </c>
      <c r="AM842" s="141">
        <v>0.0</v>
      </c>
      <c r="AN842" s="80">
        <v>0.0</v>
      </c>
      <c r="AO842" s="140">
        <v>0.0</v>
      </c>
      <c r="AP842" s="109">
        <v>0.0</v>
      </c>
      <c r="AQ842" s="109">
        <v>0.0</v>
      </c>
      <c r="AR842" s="80">
        <v>0.0</v>
      </c>
      <c r="AS842" s="110">
        <v>0.0</v>
      </c>
      <c r="AT842" s="110">
        <v>0.0</v>
      </c>
      <c r="AU842" s="110">
        <v>0.0</v>
      </c>
      <c r="AV842" s="142">
        <v>0.0</v>
      </c>
      <c r="AW842" s="80">
        <v>0.0</v>
      </c>
      <c r="AX842" s="113">
        <v>27.0</v>
      </c>
      <c r="AY842" s="117">
        <v>13.0</v>
      </c>
      <c r="AZ842" s="328">
        <v>14.0</v>
      </c>
      <c r="BA842" s="315">
        <v>0.0</v>
      </c>
      <c r="BB842" s="316">
        <v>27.0</v>
      </c>
      <c r="BC842" s="132" t="s">
        <v>373</v>
      </c>
      <c r="BD842" s="143" t="s">
        <v>227</v>
      </c>
      <c r="BE842" s="132" t="s">
        <v>178</v>
      </c>
      <c r="BF842" s="123"/>
      <c r="BG842" s="83">
        <v>1178851.0</v>
      </c>
      <c r="BH842" s="98">
        <v>1.0</v>
      </c>
      <c r="BI842" s="98" t="s">
        <v>155</v>
      </c>
      <c r="BJ842" s="98" t="str">
        <f t="shared" si="1"/>
        <v>NÃO</v>
      </c>
      <c r="BK842" s="98" t="str">
        <f t="shared" si="2"/>
        <v>NÃO</v>
      </c>
    </row>
    <row r="843" ht="15.75" customHeight="1">
      <c r="A843" s="111" t="s">
        <v>914</v>
      </c>
      <c r="B843" s="83" t="s">
        <v>3924</v>
      </c>
      <c r="C843" s="83" t="s">
        <v>164</v>
      </c>
      <c r="D843" s="83">
        <v>1179717.0</v>
      </c>
      <c r="E843" s="83">
        <v>1178852.0</v>
      </c>
      <c r="F843" s="83"/>
      <c r="G843" s="184" t="s">
        <v>3965</v>
      </c>
      <c r="H843" s="91" t="s">
        <v>3966</v>
      </c>
      <c r="I843" s="114" t="s">
        <v>149</v>
      </c>
      <c r="J843" s="83" t="s">
        <v>1074</v>
      </c>
      <c r="K843" s="83" t="s">
        <v>151</v>
      </c>
      <c r="L843" s="83" t="s">
        <v>169</v>
      </c>
      <c r="M843" s="82" t="s">
        <v>8648</v>
      </c>
      <c r="N843" s="82" t="s">
        <v>8649</v>
      </c>
      <c r="O843" s="82" t="s">
        <v>171</v>
      </c>
      <c r="P843" s="82"/>
      <c r="Q843" s="82" t="s">
        <v>171</v>
      </c>
      <c r="R843" s="82"/>
      <c r="S843" s="82"/>
      <c r="T843" s="138">
        <v>2.0</v>
      </c>
      <c r="U843" s="331">
        <v>2.0</v>
      </c>
      <c r="V843" s="106">
        <v>0.0</v>
      </c>
      <c r="W843" s="107">
        <v>0.0</v>
      </c>
      <c r="X843" s="107">
        <v>0.0</v>
      </c>
      <c r="Y843" s="107">
        <v>0.0</v>
      </c>
      <c r="Z843" s="80">
        <v>0.0</v>
      </c>
      <c r="AA843" s="140">
        <v>0.0</v>
      </c>
      <c r="AB843" s="109">
        <v>0.0</v>
      </c>
      <c r="AC843" s="109">
        <v>0.0</v>
      </c>
      <c r="AD843" s="141">
        <v>0.0</v>
      </c>
      <c r="AE843" s="80">
        <v>0.0</v>
      </c>
      <c r="AF843" s="140">
        <v>11.0</v>
      </c>
      <c r="AG843" s="109">
        <v>24.0</v>
      </c>
      <c r="AH843" s="109">
        <v>0.0</v>
      </c>
      <c r="AI843" s="141">
        <v>0.0</v>
      </c>
      <c r="AJ843" s="80">
        <v>35.0</v>
      </c>
      <c r="AK843" s="140">
        <v>0.0</v>
      </c>
      <c r="AL843" s="109">
        <v>0.0</v>
      </c>
      <c r="AM843" s="141">
        <v>0.0</v>
      </c>
      <c r="AN843" s="80">
        <v>0.0</v>
      </c>
      <c r="AO843" s="140">
        <v>0.0</v>
      </c>
      <c r="AP843" s="109">
        <v>0.0</v>
      </c>
      <c r="AQ843" s="109">
        <v>0.0</v>
      </c>
      <c r="AR843" s="80">
        <v>0.0</v>
      </c>
      <c r="AS843" s="110">
        <v>0.0</v>
      </c>
      <c r="AT843" s="110">
        <v>0.0</v>
      </c>
      <c r="AU843" s="110">
        <v>0.0</v>
      </c>
      <c r="AV843" s="142">
        <v>0.0</v>
      </c>
      <c r="AW843" s="80">
        <v>0.0</v>
      </c>
      <c r="AX843" s="113">
        <v>35.0</v>
      </c>
      <c r="AY843" s="117">
        <v>35.0</v>
      </c>
      <c r="AZ843" s="328">
        <v>0.0</v>
      </c>
      <c r="BA843" s="315">
        <v>0.0</v>
      </c>
      <c r="BB843" s="316">
        <v>35.0</v>
      </c>
      <c r="BC843" s="132" t="s">
        <v>373</v>
      </c>
      <c r="BD843" s="143" t="s">
        <v>227</v>
      </c>
      <c r="BE843" s="132" t="s">
        <v>178</v>
      </c>
      <c r="BF843" s="156"/>
      <c r="BG843" s="83">
        <v>1178852.0</v>
      </c>
      <c r="BH843" s="98">
        <v>2.0</v>
      </c>
      <c r="BI843" s="98" t="s">
        <v>155</v>
      </c>
      <c r="BJ843" s="98" t="str">
        <f t="shared" si="1"/>
        <v>NÃO</v>
      </c>
      <c r="BK843" s="98" t="str">
        <f t="shared" si="2"/>
        <v>NÃO</v>
      </c>
    </row>
    <row r="844" ht="15.75" customHeight="1">
      <c r="A844" s="111" t="s">
        <v>914</v>
      </c>
      <c r="B844" s="83" t="s">
        <v>3968</v>
      </c>
      <c r="C844" s="83" t="s">
        <v>45</v>
      </c>
      <c r="D844" s="83">
        <v>2.9379938E7</v>
      </c>
      <c r="E844" s="83"/>
      <c r="F844" s="83">
        <v>2.9379938E7</v>
      </c>
      <c r="G844" s="185" t="s">
        <v>3976</v>
      </c>
      <c r="H844" s="91" t="s">
        <v>3977</v>
      </c>
      <c r="I844" s="114" t="s">
        <v>149</v>
      </c>
      <c r="J844" s="83" t="s">
        <v>150</v>
      </c>
      <c r="K844" s="83" t="s">
        <v>151</v>
      </c>
      <c r="L844" s="83" t="s">
        <v>152</v>
      </c>
      <c r="M844" s="82" t="s">
        <v>8822</v>
      </c>
      <c r="N844" s="82" t="s">
        <v>8823</v>
      </c>
      <c r="O844" s="82"/>
      <c r="P844" s="82"/>
      <c r="Q844" s="82"/>
      <c r="R844" s="82"/>
      <c r="S844" s="82"/>
      <c r="T844" s="138">
        <v>8.0</v>
      </c>
      <c r="U844" s="323" t="s">
        <v>171</v>
      </c>
      <c r="V844" s="106">
        <v>0.0</v>
      </c>
      <c r="W844" s="107">
        <v>0.0</v>
      </c>
      <c r="X844" s="107">
        <v>0.0</v>
      </c>
      <c r="Y844" s="107">
        <v>0.0</v>
      </c>
      <c r="Z844" s="80">
        <v>0.0</v>
      </c>
      <c r="AA844" s="140">
        <v>0.0</v>
      </c>
      <c r="AB844" s="109">
        <v>0.0</v>
      </c>
      <c r="AC844" s="109">
        <v>0.0</v>
      </c>
      <c r="AD844" s="141">
        <v>78.0</v>
      </c>
      <c r="AE844" s="80">
        <v>78.0</v>
      </c>
      <c r="AF844" s="140">
        <v>0.0</v>
      </c>
      <c r="AG844" s="109">
        <v>0.0</v>
      </c>
      <c r="AH844" s="109">
        <v>0.0</v>
      </c>
      <c r="AI844" s="141">
        <v>31.0</v>
      </c>
      <c r="AJ844" s="80">
        <v>31.0</v>
      </c>
      <c r="AK844" s="140">
        <v>0.0</v>
      </c>
      <c r="AL844" s="109">
        <v>0.0</v>
      </c>
      <c r="AM844" s="141">
        <v>0.0</v>
      </c>
      <c r="AN844" s="80">
        <v>0.0</v>
      </c>
      <c r="AO844" s="140">
        <v>0.0</v>
      </c>
      <c r="AP844" s="109">
        <v>0.0</v>
      </c>
      <c r="AQ844" s="109">
        <v>0.0</v>
      </c>
      <c r="AR844" s="80">
        <v>0.0</v>
      </c>
      <c r="AS844" s="110">
        <v>0.0</v>
      </c>
      <c r="AT844" s="110">
        <v>0.0</v>
      </c>
      <c r="AU844" s="110">
        <v>0.0</v>
      </c>
      <c r="AV844" s="142">
        <v>0.0</v>
      </c>
      <c r="AW844" s="80">
        <v>0.0</v>
      </c>
      <c r="AX844" s="113">
        <v>109.0</v>
      </c>
      <c r="AY844" s="117">
        <v>109.0</v>
      </c>
      <c r="AZ844" s="328">
        <v>0.0</v>
      </c>
      <c r="BA844" s="315">
        <v>0.0</v>
      </c>
      <c r="BB844" s="316">
        <v>109.0</v>
      </c>
      <c r="BC844" s="132" t="s">
        <v>178</v>
      </c>
      <c r="BD844" s="132" t="s">
        <v>178</v>
      </c>
      <c r="BE844" s="132" t="s">
        <v>178</v>
      </c>
      <c r="BF844" s="123"/>
      <c r="BG844" s="83">
        <v>2.9379938E7</v>
      </c>
      <c r="BH844" s="112">
        <v>8.0</v>
      </c>
      <c r="BI844" s="98" t="s">
        <v>155</v>
      </c>
      <c r="BJ844" s="98" t="str">
        <f t="shared" si="1"/>
        <v>INTEGRAL</v>
      </c>
      <c r="BK844" s="98" t="str">
        <f t="shared" si="2"/>
        <v>NÃO</v>
      </c>
    </row>
    <row r="845" ht="15.75" customHeight="1">
      <c r="A845" s="111" t="s">
        <v>914</v>
      </c>
      <c r="B845" s="83" t="s">
        <v>3968</v>
      </c>
      <c r="C845" s="83" t="s">
        <v>68</v>
      </c>
      <c r="D845" s="83">
        <v>1127731.0</v>
      </c>
      <c r="E845" s="83"/>
      <c r="F845" s="83">
        <v>2.9239354E7</v>
      </c>
      <c r="G845" s="185" t="s">
        <v>8828</v>
      </c>
      <c r="H845" s="91" t="s">
        <v>3981</v>
      </c>
      <c r="I845" s="114" t="s">
        <v>149</v>
      </c>
      <c r="J845" s="83" t="s">
        <v>150</v>
      </c>
      <c r="K845" s="83" t="s">
        <v>151</v>
      </c>
      <c r="L845" s="83" t="s">
        <v>152</v>
      </c>
      <c r="M845" s="82" t="s">
        <v>8832</v>
      </c>
      <c r="N845" s="82" t="s">
        <v>8834</v>
      </c>
      <c r="O845" s="82" t="s">
        <v>8835</v>
      </c>
      <c r="P845" s="82" t="s">
        <v>8836</v>
      </c>
      <c r="Q845" s="82"/>
      <c r="R845" s="82"/>
      <c r="S845" s="82" t="s">
        <v>8837</v>
      </c>
      <c r="T845" s="138">
        <v>8.0</v>
      </c>
      <c r="U845" s="323">
        <v>7.0</v>
      </c>
      <c r="V845" s="106">
        <v>0.0</v>
      </c>
      <c r="W845" s="107">
        <v>0.0</v>
      </c>
      <c r="X845" s="107">
        <v>0.0</v>
      </c>
      <c r="Y845" s="107">
        <v>0.0</v>
      </c>
      <c r="Z845" s="80">
        <v>0.0</v>
      </c>
      <c r="AA845" s="140">
        <v>0.0</v>
      </c>
      <c r="AB845" s="109">
        <v>0.0</v>
      </c>
      <c r="AC845" s="109">
        <v>0.0</v>
      </c>
      <c r="AD845" s="141">
        <v>0.0</v>
      </c>
      <c r="AE845" s="80">
        <v>0.0</v>
      </c>
      <c r="AF845" s="140">
        <v>262.0</v>
      </c>
      <c r="AG845" s="109">
        <v>208.0</v>
      </c>
      <c r="AH845" s="109">
        <v>24.0</v>
      </c>
      <c r="AI845" s="141">
        <v>0.0</v>
      </c>
      <c r="AJ845" s="80">
        <v>494.0</v>
      </c>
      <c r="AK845" s="140">
        <v>0.0</v>
      </c>
      <c r="AL845" s="109">
        <v>0.0</v>
      </c>
      <c r="AM845" s="141">
        <v>0.0</v>
      </c>
      <c r="AN845" s="80">
        <v>0.0</v>
      </c>
      <c r="AO845" s="140">
        <v>0.0</v>
      </c>
      <c r="AP845" s="109">
        <v>0.0</v>
      </c>
      <c r="AQ845" s="109">
        <v>81.0</v>
      </c>
      <c r="AR845" s="80">
        <v>81.0</v>
      </c>
      <c r="AS845" s="110">
        <v>0.0</v>
      </c>
      <c r="AT845" s="110">
        <v>0.0</v>
      </c>
      <c r="AU845" s="110">
        <v>0.0</v>
      </c>
      <c r="AV845" s="142">
        <v>0.0</v>
      </c>
      <c r="AW845" s="80">
        <v>0.0</v>
      </c>
      <c r="AX845" s="113">
        <v>575.0</v>
      </c>
      <c r="AY845" s="117">
        <v>470.0</v>
      </c>
      <c r="AZ845" s="328">
        <v>105.0</v>
      </c>
      <c r="BA845" s="315">
        <v>0.0</v>
      </c>
      <c r="BB845" s="316">
        <v>575.0</v>
      </c>
      <c r="BC845" s="132" t="s">
        <v>178</v>
      </c>
      <c r="BD845" s="132" t="s">
        <v>178</v>
      </c>
      <c r="BE845" s="132" t="s">
        <v>178</v>
      </c>
      <c r="BF845" s="123"/>
      <c r="BG845" s="83">
        <v>1127731.0</v>
      </c>
      <c r="BH845" s="112">
        <v>7.0</v>
      </c>
      <c r="BI845" s="98" t="s">
        <v>155</v>
      </c>
      <c r="BJ845" s="98" t="str">
        <f t="shared" si="1"/>
        <v>NÃO</v>
      </c>
      <c r="BK845" s="98" t="str">
        <f t="shared" si="2"/>
        <v>NÃO</v>
      </c>
    </row>
    <row r="846" ht="15.75" customHeight="1">
      <c r="A846" s="111" t="s">
        <v>914</v>
      </c>
      <c r="B846" s="83" t="s">
        <v>3968</v>
      </c>
      <c r="C846" s="83" t="s">
        <v>164</v>
      </c>
      <c r="D846" s="83">
        <v>1127731.0</v>
      </c>
      <c r="E846" s="83">
        <v>1178855.0</v>
      </c>
      <c r="F846" s="83"/>
      <c r="G846" s="241" t="s">
        <v>8842</v>
      </c>
      <c r="H846" s="91" t="s">
        <v>3992</v>
      </c>
      <c r="I846" s="114" t="s">
        <v>149</v>
      </c>
      <c r="J846" s="83" t="s">
        <v>209</v>
      </c>
      <c r="K846" s="83" t="s">
        <v>168</v>
      </c>
      <c r="L846" s="83" t="s">
        <v>169</v>
      </c>
      <c r="M846" s="82" t="s">
        <v>8832</v>
      </c>
      <c r="N846" s="82" t="s">
        <v>8834</v>
      </c>
      <c r="O846" s="82" t="s">
        <v>8835</v>
      </c>
      <c r="P846" s="82" t="s">
        <v>8836</v>
      </c>
      <c r="Q846" s="82"/>
      <c r="R846" s="82"/>
      <c r="S846" s="82" t="s">
        <v>8837</v>
      </c>
      <c r="T846" s="138">
        <v>3.0</v>
      </c>
      <c r="U846" s="364">
        <v>3.0</v>
      </c>
      <c r="V846" s="106">
        <v>0.0</v>
      </c>
      <c r="W846" s="107">
        <v>0.0</v>
      </c>
      <c r="X846" s="107">
        <v>0.0</v>
      </c>
      <c r="Y846" s="107">
        <v>0.0</v>
      </c>
      <c r="Z846" s="80">
        <v>0.0</v>
      </c>
      <c r="AA846" s="140">
        <v>0.0</v>
      </c>
      <c r="AB846" s="109">
        <v>0.0</v>
      </c>
      <c r="AC846" s="109">
        <v>0.0</v>
      </c>
      <c r="AD846" s="141">
        <v>0.0</v>
      </c>
      <c r="AE846" s="80">
        <v>0.0</v>
      </c>
      <c r="AF846" s="246">
        <v>116.0</v>
      </c>
      <c r="AG846" s="246">
        <v>0.0</v>
      </c>
      <c r="AH846" s="246">
        <v>10.0</v>
      </c>
      <c r="AI846" s="247">
        <v>0.0</v>
      </c>
      <c r="AJ846" s="80">
        <v>126.0</v>
      </c>
      <c r="AK846" s="140">
        <v>0.0</v>
      </c>
      <c r="AL846" s="109">
        <v>0.0</v>
      </c>
      <c r="AM846" s="141">
        <v>0.0</v>
      </c>
      <c r="AN846" s="80">
        <v>0.0</v>
      </c>
      <c r="AO846" s="246">
        <v>0.0</v>
      </c>
      <c r="AP846" s="246">
        <v>0.0</v>
      </c>
      <c r="AQ846" s="247">
        <v>16.0</v>
      </c>
      <c r="AR846" s="80">
        <v>16.0</v>
      </c>
      <c r="AS846" s="110">
        <v>0.0</v>
      </c>
      <c r="AT846" s="110">
        <v>0.0</v>
      </c>
      <c r="AU846" s="110">
        <v>0.0</v>
      </c>
      <c r="AV846" s="142">
        <v>0.0</v>
      </c>
      <c r="AW846" s="80">
        <v>0.0</v>
      </c>
      <c r="AX846" s="113">
        <v>142.0</v>
      </c>
      <c r="AY846" s="117">
        <v>116.0</v>
      </c>
      <c r="AZ846" s="328">
        <v>26.0</v>
      </c>
      <c r="BA846" s="315">
        <v>0.0</v>
      </c>
      <c r="BB846" s="316">
        <v>142.0</v>
      </c>
      <c r="BC846" s="132" t="s">
        <v>373</v>
      </c>
      <c r="BD846" s="132" t="s">
        <v>178</v>
      </c>
      <c r="BE846" s="132" t="s">
        <v>178</v>
      </c>
      <c r="BF846" s="156"/>
      <c r="BG846" s="83">
        <v>1178855.0</v>
      </c>
      <c r="BH846" s="112">
        <v>3.0</v>
      </c>
      <c r="BI846" s="98" t="s">
        <v>155</v>
      </c>
      <c r="BJ846" s="98" t="str">
        <f t="shared" si="1"/>
        <v>NÃO</v>
      </c>
      <c r="BK846" s="98" t="str">
        <f t="shared" si="2"/>
        <v>NÃO</v>
      </c>
    </row>
    <row r="847" ht="15.75" customHeight="1">
      <c r="A847" s="111" t="s">
        <v>914</v>
      </c>
      <c r="B847" s="83" t="s">
        <v>4001</v>
      </c>
      <c r="C847" s="83" t="s">
        <v>68</v>
      </c>
      <c r="D847" s="83">
        <v>1127707.0</v>
      </c>
      <c r="E847" s="83"/>
      <c r="F847" s="83">
        <v>2.9240131E7</v>
      </c>
      <c r="G847" s="241" t="s">
        <v>8849</v>
      </c>
      <c r="H847" s="91" t="s">
        <v>4003</v>
      </c>
      <c r="I847" s="114" t="s">
        <v>149</v>
      </c>
      <c r="J847" s="83" t="s">
        <v>150</v>
      </c>
      <c r="K847" s="83" t="s">
        <v>151</v>
      </c>
      <c r="L847" s="83" t="s">
        <v>169</v>
      </c>
      <c r="M847" s="82" t="s">
        <v>8851</v>
      </c>
      <c r="N847" s="82" t="s">
        <v>8852</v>
      </c>
      <c r="O847" s="82" t="s">
        <v>8853</v>
      </c>
      <c r="P847" s="82" t="s">
        <v>8854</v>
      </c>
      <c r="Q847" s="82"/>
      <c r="R847" s="82"/>
      <c r="S847" s="82" t="s">
        <v>8855</v>
      </c>
      <c r="T847" s="138">
        <v>6.0</v>
      </c>
      <c r="U847" s="341">
        <v>7.0</v>
      </c>
      <c r="V847" s="106">
        <v>0.0</v>
      </c>
      <c r="W847" s="107">
        <v>0.0</v>
      </c>
      <c r="X847" s="107">
        <v>0.0</v>
      </c>
      <c r="Y847" s="107">
        <v>0.0</v>
      </c>
      <c r="Z847" s="80">
        <v>0.0</v>
      </c>
      <c r="AA847" s="140">
        <v>0.0</v>
      </c>
      <c r="AB847" s="109">
        <v>0.0</v>
      </c>
      <c r="AC847" s="109">
        <v>0.0</v>
      </c>
      <c r="AD847" s="141">
        <v>0.0</v>
      </c>
      <c r="AE847" s="80">
        <v>0.0</v>
      </c>
      <c r="AF847" s="140">
        <v>117.0</v>
      </c>
      <c r="AG847" s="109">
        <v>77.0</v>
      </c>
      <c r="AH847" s="109">
        <v>0.0</v>
      </c>
      <c r="AI847" s="141">
        <v>82.0</v>
      </c>
      <c r="AJ847" s="80">
        <v>276.0</v>
      </c>
      <c r="AK847" s="140">
        <v>0.0</v>
      </c>
      <c r="AL847" s="109">
        <v>0.0</v>
      </c>
      <c r="AM847" s="141">
        <v>0.0</v>
      </c>
      <c r="AN847" s="80">
        <v>0.0</v>
      </c>
      <c r="AO847" s="140">
        <v>0.0</v>
      </c>
      <c r="AP847" s="109">
        <v>0.0</v>
      </c>
      <c r="AQ847" s="109">
        <v>0.0</v>
      </c>
      <c r="AR847" s="80">
        <v>0.0</v>
      </c>
      <c r="AS847" s="110">
        <v>0.0</v>
      </c>
      <c r="AT847" s="110">
        <v>0.0</v>
      </c>
      <c r="AU847" s="110">
        <v>0.0</v>
      </c>
      <c r="AV847" s="142">
        <v>0.0</v>
      </c>
      <c r="AW847" s="80">
        <v>0.0</v>
      </c>
      <c r="AX847" s="113">
        <v>276.0</v>
      </c>
      <c r="AY847" s="117">
        <v>276.0</v>
      </c>
      <c r="AZ847" s="328">
        <v>0.0</v>
      </c>
      <c r="BA847" s="315">
        <v>0.0</v>
      </c>
      <c r="BB847" s="316">
        <v>276.0</v>
      </c>
      <c r="BC847" s="132" t="s">
        <v>178</v>
      </c>
      <c r="BD847" s="132" t="s">
        <v>178</v>
      </c>
      <c r="BE847" s="132" t="s">
        <v>178</v>
      </c>
      <c r="BF847" s="123"/>
      <c r="BG847" s="83">
        <v>1127707.0</v>
      </c>
      <c r="BH847" s="112">
        <v>7.0</v>
      </c>
      <c r="BI847" s="98" t="s">
        <v>155</v>
      </c>
      <c r="BJ847" s="98" t="str">
        <f t="shared" si="1"/>
        <v>INTEGRAL</v>
      </c>
      <c r="BK847" s="98" t="str">
        <f t="shared" si="2"/>
        <v>NÃO</v>
      </c>
    </row>
    <row r="848" ht="15.75" customHeight="1">
      <c r="A848" s="111" t="s">
        <v>914</v>
      </c>
      <c r="B848" s="83" t="s">
        <v>4001</v>
      </c>
      <c r="C848" s="83" t="s">
        <v>68</v>
      </c>
      <c r="D848" s="83">
        <v>1127634.0</v>
      </c>
      <c r="E848" s="83"/>
      <c r="F848" s="83">
        <v>2.924053E7</v>
      </c>
      <c r="G848" s="241" t="s">
        <v>8862</v>
      </c>
      <c r="H848" s="91" t="s">
        <v>4006</v>
      </c>
      <c r="I848" s="114" t="s">
        <v>149</v>
      </c>
      <c r="J848" s="83" t="s">
        <v>784</v>
      </c>
      <c r="K848" s="83" t="s">
        <v>151</v>
      </c>
      <c r="L848" s="83" t="s">
        <v>169</v>
      </c>
      <c r="M848" s="82" t="s">
        <v>8863</v>
      </c>
      <c r="N848" s="82" t="s">
        <v>8864</v>
      </c>
      <c r="O848" s="82"/>
      <c r="P848" s="82"/>
      <c r="Q848" s="82"/>
      <c r="R848" s="82"/>
      <c r="S848" s="82" t="s">
        <v>8866</v>
      </c>
      <c r="T848" s="138">
        <v>7.0</v>
      </c>
      <c r="U848" s="352" t="s">
        <v>8869</v>
      </c>
      <c r="V848" s="106">
        <v>0.0</v>
      </c>
      <c r="W848" s="107">
        <v>0.0</v>
      </c>
      <c r="X848" s="107">
        <v>0.0</v>
      </c>
      <c r="Y848" s="107">
        <v>0.0</v>
      </c>
      <c r="Z848" s="80">
        <v>0.0</v>
      </c>
      <c r="AA848" s="140">
        <v>0.0</v>
      </c>
      <c r="AB848" s="109">
        <v>81.0</v>
      </c>
      <c r="AC848" s="109">
        <v>0.0</v>
      </c>
      <c r="AD848" s="141">
        <v>0.0</v>
      </c>
      <c r="AE848" s="80">
        <v>81.0</v>
      </c>
      <c r="AF848" s="140">
        <v>0.0</v>
      </c>
      <c r="AG848" s="109">
        <v>63.0</v>
      </c>
      <c r="AH848" s="109">
        <v>0.0</v>
      </c>
      <c r="AI848" s="141">
        <v>20.0</v>
      </c>
      <c r="AJ848" s="80">
        <v>83.0</v>
      </c>
      <c r="AK848" s="140">
        <v>0.0</v>
      </c>
      <c r="AL848" s="109">
        <v>0.0</v>
      </c>
      <c r="AM848" s="141">
        <v>0.0</v>
      </c>
      <c r="AN848" s="80">
        <v>0.0</v>
      </c>
      <c r="AO848" s="140">
        <v>0.0</v>
      </c>
      <c r="AP848" s="109">
        <v>0.0</v>
      </c>
      <c r="AQ848" s="109">
        <v>0.0</v>
      </c>
      <c r="AR848" s="80">
        <v>0.0</v>
      </c>
      <c r="AS848" s="110">
        <v>0.0</v>
      </c>
      <c r="AT848" s="110">
        <v>0.0</v>
      </c>
      <c r="AU848" s="110">
        <v>0.0</v>
      </c>
      <c r="AV848" s="142">
        <v>0.0</v>
      </c>
      <c r="AW848" s="80">
        <v>0.0</v>
      </c>
      <c r="AX848" s="113">
        <v>164.0</v>
      </c>
      <c r="AY848" s="117">
        <v>164.0</v>
      </c>
      <c r="AZ848" s="328">
        <v>0.0</v>
      </c>
      <c r="BA848" s="315">
        <v>0.0</v>
      </c>
      <c r="BB848" s="316">
        <v>164.0</v>
      </c>
      <c r="BC848" s="132" t="s">
        <v>373</v>
      </c>
      <c r="BD848" s="132" t="s">
        <v>178</v>
      </c>
      <c r="BE848" s="132" t="s">
        <v>178</v>
      </c>
      <c r="BF848" s="123"/>
      <c r="BG848" s="83">
        <v>1127634.0</v>
      </c>
      <c r="BH848" s="112">
        <v>7.0</v>
      </c>
      <c r="BI848" s="98" t="s">
        <v>155</v>
      </c>
      <c r="BJ848" s="98" t="str">
        <f t="shared" si="1"/>
        <v>INTEGRAL</v>
      </c>
      <c r="BK848" s="98" t="str">
        <f t="shared" si="2"/>
        <v>NÃO</v>
      </c>
    </row>
    <row r="849" ht="15.75" customHeight="1">
      <c r="A849" s="111" t="s">
        <v>914</v>
      </c>
      <c r="B849" s="83" t="s">
        <v>4001</v>
      </c>
      <c r="C849" s="83" t="s">
        <v>164</v>
      </c>
      <c r="D849" s="83">
        <v>1179717.0</v>
      </c>
      <c r="E849" s="83">
        <v>1178856.0</v>
      </c>
      <c r="F849" s="83"/>
      <c r="G849" s="119" t="s">
        <v>4008</v>
      </c>
      <c r="H849" s="91" t="s">
        <v>4009</v>
      </c>
      <c r="I849" s="187" t="s">
        <v>149</v>
      </c>
      <c r="J849" s="136" t="s">
        <v>315</v>
      </c>
      <c r="K849" s="83" t="s">
        <v>151</v>
      </c>
      <c r="L849" s="83" t="s">
        <v>169</v>
      </c>
      <c r="M849" s="82" t="s">
        <v>8648</v>
      </c>
      <c r="N849" s="82" t="s">
        <v>8649</v>
      </c>
      <c r="O849" s="82" t="s">
        <v>171</v>
      </c>
      <c r="P849" s="82"/>
      <c r="Q849" s="82" t="s">
        <v>171</v>
      </c>
      <c r="R849" s="82"/>
      <c r="S849" s="82"/>
      <c r="T849" s="138">
        <v>3.0</v>
      </c>
      <c r="U849" s="323">
        <v>3.0</v>
      </c>
      <c r="V849" s="106">
        <v>0.0</v>
      </c>
      <c r="W849" s="107">
        <v>0.0</v>
      </c>
      <c r="X849" s="107">
        <v>0.0</v>
      </c>
      <c r="Y849" s="107">
        <v>0.0</v>
      </c>
      <c r="Z849" s="80">
        <v>0.0</v>
      </c>
      <c r="AA849" s="140">
        <v>0.0</v>
      </c>
      <c r="AB849" s="109">
        <v>0.0</v>
      </c>
      <c r="AC849" s="109">
        <v>0.0</v>
      </c>
      <c r="AD849" s="141">
        <v>0.0</v>
      </c>
      <c r="AE849" s="80">
        <v>0.0</v>
      </c>
      <c r="AF849" s="140">
        <v>0.0</v>
      </c>
      <c r="AG849" s="109">
        <v>38.0</v>
      </c>
      <c r="AH849" s="109">
        <v>0.0</v>
      </c>
      <c r="AI849" s="141">
        <v>0.0</v>
      </c>
      <c r="AJ849" s="80">
        <v>38.0</v>
      </c>
      <c r="AK849" s="140">
        <v>0.0</v>
      </c>
      <c r="AL849" s="109">
        <v>0.0</v>
      </c>
      <c r="AM849" s="141">
        <v>0.0</v>
      </c>
      <c r="AN849" s="80">
        <v>0.0</v>
      </c>
      <c r="AO849" s="140">
        <v>0.0</v>
      </c>
      <c r="AP849" s="109">
        <v>0.0</v>
      </c>
      <c r="AQ849" s="109">
        <v>0.0</v>
      </c>
      <c r="AR849" s="80">
        <v>0.0</v>
      </c>
      <c r="AS849" s="110">
        <v>0.0</v>
      </c>
      <c r="AT849" s="110">
        <v>0.0</v>
      </c>
      <c r="AU849" s="110">
        <v>0.0</v>
      </c>
      <c r="AV849" s="142">
        <v>0.0</v>
      </c>
      <c r="AW849" s="80">
        <v>0.0</v>
      </c>
      <c r="AX849" s="113">
        <v>38.0</v>
      </c>
      <c r="AY849" s="117">
        <v>38.0</v>
      </c>
      <c r="AZ849" s="328">
        <v>0.0</v>
      </c>
      <c r="BA849" s="315">
        <v>0.0</v>
      </c>
      <c r="BB849" s="316">
        <v>38.0</v>
      </c>
      <c r="BC849" s="132" t="s">
        <v>373</v>
      </c>
      <c r="BD849" s="143" t="s">
        <v>227</v>
      </c>
      <c r="BE849" s="132" t="s">
        <v>178</v>
      </c>
      <c r="BF849" s="123"/>
      <c r="BG849" s="83">
        <v>1178856.0</v>
      </c>
      <c r="BH849" s="112">
        <v>3.0</v>
      </c>
      <c r="BI849" s="98" t="s">
        <v>155</v>
      </c>
      <c r="BJ849" s="98" t="str">
        <f t="shared" si="1"/>
        <v>NÃO</v>
      </c>
      <c r="BK849" s="98" t="str">
        <f t="shared" si="2"/>
        <v>NÃO</v>
      </c>
    </row>
    <row r="850" ht="15.75" customHeight="1">
      <c r="A850" s="111" t="s">
        <v>914</v>
      </c>
      <c r="B850" s="83" t="s">
        <v>4001</v>
      </c>
      <c r="C850" s="83" t="s">
        <v>164</v>
      </c>
      <c r="D850" s="83">
        <v>1179717.0</v>
      </c>
      <c r="E850" s="83">
        <v>1179162.0</v>
      </c>
      <c r="F850" s="83"/>
      <c r="G850" s="119" t="s">
        <v>4010</v>
      </c>
      <c r="H850" s="91" t="s">
        <v>4011</v>
      </c>
      <c r="I850" s="187" t="s">
        <v>149</v>
      </c>
      <c r="J850" s="136" t="s">
        <v>183</v>
      </c>
      <c r="K850" s="83" t="s">
        <v>151</v>
      </c>
      <c r="L850" s="83" t="s">
        <v>169</v>
      </c>
      <c r="M850" s="82" t="s">
        <v>8648</v>
      </c>
      <c r="N850" s="82" t="s">
        <v>8649</v>
      </c>
      <c r="O850" s="82" t="s">
        <v>171</v>
      </c>
      <c r="P850" s="82"/>
      <c r="Q850" s="82" t="s">
        <v>171</v>
      </c>
      <c r="R850" s="82"/>
      <c r="S850" s="82"/>
      <c r="T850" s="138">
        <v>4.0</v>
      </c>
      <c r="U850" s="323">
        <v>3.0</v>
      </c>
      <c r="V850" s="106">
        <v>0.0</v>
      </c>
      <c r="W850" s="107">
        <v>0.0</v>
      </c>
      <c r="X850" s="107">
        <v>0.0</v>
      </c>
      <c r="Y850" s="107">
        <v>0.0</v>
      </c>
      <c r="Z850" s="80">
        <v>0.0</v>
      </c>
      <c r="AA850" s="140">
        <v>0.0</v>
      </c>
      <c r="AB850" s="109">
        <v>0.0</v>
      </c>
      <c r="AC850" s="109">
        <v>0.0</v>
      </c>
      <c r="AD850" s="141">
        <v>0.0</v>
      </c>
      <c r="AE850" s="80">
        <v>0.0</v>
      </c>
      <c r="AF850" s="140">
        <v>0.0</v>
      </c>
      <c r="AG850" s="109">
        <v>21.0</v>
      </c>
      <c r="AH850" s="109">
        <v>0.0</v>
      </c>
      <c r="AI850" s="141">
        <v>0.0</v>
      </c>
      <c r="AJ850" s="80">
        <v>21.0</v>
      </c>
      <c r="AK850" s="140">
        <v>0.0</v>
      </c>
      <c r="AL850" s="109">
        <v>0.0</v>
      </c>
      <c r="AM850" s="141">
        <v>0.0</v>
      </c>
      <c r="AN850" s="80">
        <v>0.0</v>
      </c>
      <c r="AO850" s="140">
        <v>0.0</v>
      </c>
      <c r="AP850" s="109">
        <v>0.0</v>
      </c>
      <c r="AQ850" s="109">
        <v>0.0</v>
      </c>
      <c r="AR850" s="80">
        <v>0.0</v>
      </c>
      <c r="AS850" s="110">
        <v>0.0</v>
      </c>
      <c r="AT850" s="110">
        <v>0.0</v>
      </c>
      <c r="AU850" s="110">
        <v>0.0</v>
      </c>
      <c r="AV850" s="142">
        <v>0.0</v>
      </c>
      <c r="AW850" s="80">
        <v>0.0</v>
      </c>
      <c r="AX850" s="113">
        <v>21.0</v>
      </c>
      <c r="AY850" s="117">
        <v>21.0</v>
      </c>
      <c r="AZ850" s="328">
        <v>0.0</v>
      </c>
      <c r="BA850" s="315">
        <v>0.0</v>
      </c>
      <c r="BB850" s="316">
        <v>21.0</v>
      </c>
      <c r="BC850" s="132" t="s">
        <v>373</v>
      </c>
      <c r="BD850" s="143" t="s">
        <v>227</v>
      </c>
      <c r="BE850" s="132" t="s">
        <v>178</v>
      </c>
      <c r="BF850" s="123"/>
      <c r="BG850" s="83">
        <v>1179162.0</v>
      </c>
      <c r="BH850" s="112">
        <v>3.0</v>
      </c>
      <c r="BI850" s="98" t="s">
        <v>155</v>
      </c>
      <c r="BJ850" s="98" t="str">
        <f t="shared" si="1"/>
        <v>NÃO</v>
      </c>
      <c r="BK850" s="98" t="str">
        <f t="shared" si="2"/>
        <v>NÃO</v>
      </c>
    </row>
    <row r="851" ht="15.75" customHeight="1">
      <c r="A851" s="111" t="s">
        <v>973</v>
      </c>
      <c r="B851" s="83" t="s">
        <v>2038</v>
      </c>
      <c r="C851" s="83" t="s">
        <v>68</v>
      </c>
      <c r="D851" s="83">
        <v>1123817.0</v>
      </c>
      <c r="E851" s="83"/>
      <c r="F851" s="83">
        <v>2.9256089E7</v>
      </c>
      <c r="G851" s="114" t="s">
        <v>8887</v>
      </c>
      <c r="H851" s="91" t="s">
        <v>8889</v>
      </c>
      <c r="I851" s="187" t="s">
        <v>149</v>
      </c>
      <c r="J851" s="136" t="s">
        <v>150</v>
      </c>
      <c r="K851" s="83" t="s">
        <v>151</v>
      </c>
      <c r="L851" s="83" t="s">
        <v>152</v>
      </c>
      <c r="M851" s="82" t="s">
        <v>8890</v>
      </c>
      <c r="N851" s="82" t="s">
        <v>8891</v>
      </c>
      <c r="O851" s="82" t="s">
        <v>8892</v>
      </c>
      <c r="P851" s="82" t="s">
        <v>8893</v>
      </c>
      <c r="Q851" s="82" t="s">
        <v>8894</v>
      </c>
      <c r="R851" s="82" t="s">
        <v>8895</v>
      </c>
      <c r="S851" s="82" t="s">
        <v>8896</v>
      </c>
      <c r="T851" s="138">
        <v>22.0</v>
      </c>
      <c r="U851" s="331" t="s">
        <v>8897</v>
      </c>
      <c r="V851" s="106">
        <v>0.0</v>
      </c>
      <c r="W851" s="107">
        <v>0.0</v>
      </c>
      <c r="X851" s="107">
        <v>0.0</v>
      </c>
      <c r="Y851" s="107">
        <v>0.0</v>
      </c>
      <c r="Z851" s="80">
        <v>0.0</v>
      </c>
      <c r="AA851" s="140">
        <v>0.0</v>
      </c>
      <c r="AB851" s="109">
        <v>0.0</v>
      </c>
      <c r="AC851" s="109">
        <v>0.0</v>
      </c>
      <c r="AD851" s="141">
        <v>0.0</v>
      </c>
      <c r="AE851" s="80">
        <v>0.0</v>
      </c>
      <c r="AF851" s="140">
        <v>236.0</v>
      </c>
      <c r="AG851" s="109">
        <v>151.0</v>
      </c>
      <c r="AH851" s="109">
        <v>43.0</v>
      </c>
      <c r="AI851" s="141">
        <v>563.0</v>
      </c>
      <c r="AJ851" s="80">
        <v>993.0</v>
      </c>
      <c r="AK851" s="140">
        <v>0.0</v>
      </c>
      <c r="AL851" s="109">
        <v>0.0</v>
      </c>
      <c r="AM851" s="141">
        <v>0.0</v>
      </c>
      <c r="AN851" s="80">
        <v>0.0</v>
      </c>
      <c r="AO851" s="140">
        <v>0.0</v>
      </c>
      <c r="AP851" s="109">
        <v>13.0</v>
      </c>
      <c r="AQ851" s="109">
        <v>173.0</v>
      </c>
      <c r="AR851" s="80">
        <v>186.0</v>
      </c>
      <c r="AS851" s="110">
        <v>0.0</v>
      </c>
      <c r="AT851" s="110">
        <v>0.0</v>
      </c>
      <c r="AU851" s="110">
        <v>0.0</v>
      </c>
      <c r="AV851" s="142">
        <v>0.0</v>
      </c>
      <c r="AW851" s="80">
        <v>0.0</v>
      </c>
      <c r="AX851" s="113">
        <v>1179.0</v>
      </c>
      <c r="AY851" s="117">
        <v>963.0</v>
      </c>
      <c r="AZ851" s="328">
        <v>216.0</v>
      </c>
      <c r="BA851" s="315">
        <v>23.0</v>
      </c>
      <c r="BB851" s="316">
        <v>1202.0</v>
      </c>
      <c r="BC851" s="132" t="s">
        <v>178</v>
      </c>
      <c r="BD851" s="132" t="s">
        <v>178</v>
      </c>
      <c r="BE851" s="132" t="s">
        <v>178</v>
      </c>
      <c r="BF851" s="123"/>
      <c r="BG851" s="83">
        <v>1123817.0</v>
      </c>
      <c r="BH851" s="112">
        <v>21.0</v>
      </c>
      <c r="BI851" s="98" t="s">
        <v>155</v>
      </c>
      <c r="BJ851" s="98" t="str">
        <f t="shared" si="1"/>
        <v>INTEGRAL</v>
      </c>
      <c r="BK851" s="98" t="str">
        <f t="shared" si="2"/>
        <v>NÃO</v>
      </c>
    </row>
    <row r="852" ht="15.75" customHeight="1">
      <c r="A852" s="111" t="s">
        <v>973</v>
      </c>
      <c r="B852" s="83" t="s">
        <v>2038</v>
      </c>
      <c r="C852" s="83" t="s">
        <v>68</v>
      </c>
      <c r="D852" s="83">
        <v>1176430.0</v>
      </c>
      <c r="E852" s="83"/>
      <c r="F852" s="83">
        <v>2.9392365E7</v>
      </c>
      <c r="G852" s="114" t="s">
        <v>4023</v>
      </c>
      <c r="H852" s="91" t="s">
        <v>4024</v>
      </c>
      <c r="I852" s="187" t="s">
        <v>149</v>
      </c>
      <c r="J852" s="136" t="s">
        <v>150</v>
      </c>
      <c r="K852" s="83" t="s">
        <v>151</v>
      </c>
      <c r="L852" s="83" t="s">
        <v>230</v>
      </c>
      <c r="M852" s="82" t="s">
        <v>8903</v>
      </c>
      <c r="N852" s="82" t="s">
        <v>8904</v>
      </c>
      <c r="O852" s="82" t="s">
        <v>8905</v>
      </c>
      <c r="P852" s="82" t="s">
        <v>8907</v>
      </c>
      <c r="Q852" s="82"/>
      <c r="R852" s="82"/>
      <c r="S852" s="82" t="s">
        <v>8908</v>
      </c>
      <c r="T852" s="138">
        <v>15.0</v>
      </c>
      <c r="U852" s="323">
        <v>14.0</v>
      </c>
      <c r="V852" s="106">
        <v>0.0</v>
      </c>
      <c r="W852" s="107">
        <v>0.0</v>
      </c>
      <c r="X852" s="107">
        <v>0.0</v>
      </c>
      <c r="Y852" s="107">
        <v>0.0</v>
      </c>
      <c r="Z852" s="80">
        <v>0.0</v>
      </c>
      <c r="AA852" s="140">
        <v>0.0</v>
      </c>
      <c r="AB852" s="109">
        <v>0.0</v>
      </c>
      <c r="AC852" s="109">
        <v>0.0</v>
      </c>
      <c r="AD852" s="141">
        <v>0.0</v>
      </c>
      <c r="AE852" s="80">
        <v>0.0</v>
      </c>
      <c r="AF852" s="140">
        <v>0.0</v>
      </c>
      <c r="AG852" s="109">
        <v>0.0</v>
      </c>
      <c r="AH852" s="109">
        <v>0.0</v>
      </c>
      <c r="AI852" s="141">
        <v>0.0</v>
      </c>
      <c r="AJ852" s="80">
        <v>0.0</v>
      </c>
      <c r="AK852" s="140">
        <v>0.0</v>
      </c>
      <c r="AL852" s="109">
        <v>0.0</v>
      </c>
      <c r="AM852" s="141">
        <v>0.0</v>
      </c>
      <c r="AN852" s="80">
        <v>0.0</v>
      </c>
      <c r="AO852" s="140">
        <v>0.0</v>
      </c>
      <c r="AP852" s="109">
        <v>0.0</v>
      </c>
      <c r="AQ852" s="109">
        <v>0.0</v>
      </c>
      <c r="AR852" s="80">
        <v>0.0</v>
      </c>
      <c r="AS852" s="110">
        <v>490.0</v>
      </c>
      <c r="AT852" s="110">
        <v>492.0</v>
      </c>
      <c r="AU852" s="110">
        <v>207.0</v>
      </c>
      <c r="AV852" s="142">
        <v>0.0</v>
      </c>
      <c r="AW852" s="80">
        <v>1189.0</v>
      </c>
      <c r="AX852" s="113">
        <v>1189.0</v>
      </c>
      <c r="AY852" s="117">
        <v>982.0</v>
      </c>
      <c r="AZ852" s="328">
        <v>207.0</v>
      </c>
      <c r="BA852" s="315">
        <v>0.0</v>
      </c>
      <c r="BB852" s="316">
        <v>1189.0</v>
      </c>
      <c r="BC852" s="132" t="s">
        <v>178</v>
      </c>
      <c r="BD852" s="132" t="s">
        <v>779</v>
      </c>
      <c r="BE852" s="132" t="s">
        <v>178</v>
      </c>
      <c r="BF852" s="123"/>
      <c r="BG852" s="83">
        <v>1176430.0</v>
      </c>
      <c r="BH852" s="112">
        <v>14.0</v>
      </c>
      <c r="BI852" s="98" t="s">
        <v>155</v>
      </c>
      <c r="BJ852" s="98" t="str">
        <f t="shared" si="1"/>
        <v>NÃO</v>
      </c>
      <c r="BK852" s="98" t="str">
        <f t="shared" si="2"/>
        <v>PROFISSIONAL</v>
      </c>
    </row>
    <row r="853" ht="15.75" customHeight="1">
      <c r="A853" s="111" t="s">
        <v>973</v>
      </c>
      <c r="B853" s="83" t="s">
        <v>4035</v>
      </c>
      <c r="C853" s="83" t="s">
        <v>45</v>
      </c>
      <c r="D853" s="83">
        <v>1178396.0</v>
      </c>
      <c r="E853" s="83"/>
      <c r="F853" s="83">
        <v>2.9241065E7</v>
      </c>
      <c r="G853" s="187" t="s">
        <v>4038</v>
      </c>
      <c r="H853" s="91" t="s">
        <v>4039</v>
      </c>
      <c r="I853" s="187" t="s">
        <v>149</v>
      </c>
      <c r="J853" s="98" t="s">
        <v>4040</v>
      </c>
      <c r="K853" s="83" t="s">
        <v>171</v>
      </c>
      <c r="L853" s="83" t="s">
        <v>169</v>
      </c>
      <c r="M853" s="82" t="s">
        <v>8913</v>
      </c>
      <c r="N853" s="82" t="s">
        <v>8915</v>
      </c>
      <c r="O853" s="82" t="s">
        <v>8916</v>
      </c>
      <c r="P853" s="82" t="s">
        <v>8917</v>
      </c>
      <c r="Q853" s="82"/>
      <c r="R853" s="82"/>
      <c r="S853" s="82"/>
      <c r="T853" s="138">
        <v>5.0</v>
      </c>
      <c r="U853" s="339">
        <v>5.0</v>
      </c>
      <c r="V853" s="106">
        <v>0.0</v>
      </c>
      <c r="W853" s="107">
        <v>0.0</v>
      </c>
      <c r="X853" s="107">
        <v>0.0</v>
      </c>
      <c r="Y853" s="107">
        <v>0.0</v>
      </c>
      <c r="Z853" s="80">
        <v>0.0</v>
      </c>
      <c r="AA853" s="140">
        <v>0.0</v>
      </c>
      <c r="AB853" s="109">
        <v>0.0</v>
      </c>
      <c r="AC853" s="109">
        <v>0.0</v>
      </c>
      <c r="AD853" s="141">
        <v>0.0</v>
      </c>
      <c r="AE853" s="80">
        <v>0.0</v>
      </c>
      <c r="AF853" s="140">
        <v>0.0</v>
      </c>
      <c r="AG853" s="109">
        <v>0.0</v>
      </c>
      <c r="AH853" s="109">
        <v>0.0</v>
      </c>
      <c r="AI853" s="141">
        <v>147.0</v>
      </c>
      <c r="AJ853" s="80">
        <v>147.0</v>
      </c>
      <c r="AK853" s="140">
        <v>0.0</v>
      </c>
      <c r="AL853" s="109">
        <v>0.0</v>
      </c>
      <c r="AM853" s="141">
        <v>0.0</v>
      </c>
      <c r="AN853" s="80">
        <v>0.0</v>
      </c>
      <c r="AO853" s="140">
        <v>0.0</v>
      </c>
      <c r="AP853" s="109">
        <v>0.0</v>
      </c>
      <c r="AQ853" s="109">
        <v>0.0</v>
      </c>
      <c r="AR853" s="80">
        <v>0.0</v>
      </c>
      <c r="AS853" s="110">
        <v>0.0</v>
      </c>
      <c r="AT853" s="110">
        <v>0.0</v>
      </c>
      <c r="AU853" s="110">
        <v>0.0</v>
      </c>
      <c r="AV853" s="142">
        <v>0.0</v>
      </c>
      <c r="AW853" s="80">
        <v>0.0</v>
      </c>
      <c r="AX853" s="113">
        <v>147.0</v>
      </c>
      <c r="AY853" s="117">
        <v>147.0</v>
      </c>
      <c r="AZ853" s="328">
        <v>0.0</v>
      </c>
      <c r="BA853" s="315">
        <v>0.0</v>
      </c>
      <c r="BB853" s="316">
        <v>147.0</v>
      </c>
      <c r="BC853" s="132" t="s">
        <v>178</v>
      </c>
      <c r="BD853" s="132" t="s">
        <v>178</v>
      </c>
      <c r="BE853" s="132" t="s">
        <v>178</v>
      </c>
      <c r="BF853" s="123"/>
      <c r="BG853" s="83">
        <v>1178396.0</v>
      </c>
      <c r="BH853" s="112">
        <v>5.0</v>
      </c>
      <c r="BI853" s="98" t="s">
        <v>155</v>
      </c>
      <c r="BJ853" s="98" t="str">
        <f t="shared" si="1"/>
        <v>INTEGRAL</v>
      </c>
      <c r="BK853" s="98" t="str">
        <f t="shared" si="2"/>
        <v>NÃO</v>
      </c>
    </row>
    <row r="854" ht="15.75" customHeight="1">
      <c r="A854" s="111" t="s">
        <v>973</v>
      </c>
      <c r="B854" s="83" t="s">
        <v>4035</v>
      </c>
      <c r="C854" s="83" t="s">
        <v>68</v>
      </c>
      <c r="D854" s="83">
        <v>1128371.0</v>
      </c>
      <c r="E854" s="83"/>
      <c r="F854" s="83">
        <v>2.9240638E7</v>
      </c>
      <c r="G854" s="119" t="s">
        <v>4044</v>
      </c>
      <c r="H854" s="91" t="s">
        <v>4046</v>
      </c>
      <c r="I854" s="187" t="s">
        <v>149</v>
      </c>
      <c r="J854" s="83" t="s">
        <v>150</v>
      </c>
      <c r="K854" s="83" t="s">
        <v>151</v>
      </c>
      <c r="L854" s="83" t="s">
        <v>230</v>
      </c>
      <c r="M854" s="82" t="s">
        <v>8922</v>
      </c>
      <c r="N854" s="82" t="s">
        <v>8923</v>
      </c>
      <c r="O854" s="82" t="s">
        <v>8924</v>
      </c>
      <c r="P854" s="82" t="s">
        <v>8925</v>
      </c>
      <c r="Q854" s="82" t="s">
        <v>8926</v>
      </c>
      <c r="R854" s="82"/>
      <c r="S854" s="82" t="s">
        <v>8927</v>
      </c>
      <c r="T854" s="138">
        <v>16.0</v>
      </c>
      <c r="U854" s="331">
        <v>20.0</v>
      </c>
      <c r="V854" s="106">
        <v>0.0</v>
      </c>
      <c r="W854" s="107">
        <v>0.0</v>
      </c>
      <c r="X854" s="107">
        <v>0.0</v>
      </c>
      <c r="Y854" s="107">
        <v>0.0</v>
      </c>
      <c r="Z854" s="80">
        <v>0.0</v>
      </c>
      <c r="AA854" s="140">
        <v>0.0</v>
      </c>
      <c r="AB854" s="109">
        <v>0.0</v>
      </c>
      <c r="AC854" s="109">
        <v>0.0</v>
      </c>
      <c r="AD854" s="141">
        <v>0.0</v>
      </c>
      <c r="AE854" s="80">
        <v>0.0</v>
      </c>
      <c r="AF854" s="140">
        <v>154.0</v>
      </c>
      <c r="AG854" s="109">
        <v>175.0</v>
      </c>
      <c r="AH854" s="109">
        <v>44.0</v>
      </c>
      <c r="AI854" s="141">
        <v>6.0</v>
      </c>
      <c r="AJ854" s="80">
        <v>379.0</v>
      </c>
      <c r="AK854" s="140">
        <v>0.0</v>
      </c>
      <c r="AL854" s="109">
        <v>0.0</v>
      </c>
      <c r="AM854" s="141">
        <v>0.0</v>
      </c>
      <c r="AN854" s="80">
        <v>0.0</v>
      </c>
      <c r="AO854" s="140">
        <v>0.0</v>
      </c>
      <c r="AP854" s="109">
        <v>0.0</v>
      </c>
      <c r="AQ854" s="109">
        <v>160.0</v>
      </c>
      <c r="AR854" s="80">
        <v>160.0</v>
      </c>
      <c r="AS854" s="110">
        <v>0.0</v>
      </c>
      <c r="AT854" s="110">
        <v>0.0</v>
      </c>
      <c r="AU854" s="110">
        <v>76.0</v>
      </c>
      <c r="AV854" s="142">
        <v>0.0</v>
      </c>
      <c r="AW854" s="80">
        <v>76.0</v>
      </c>
      <c r="AX854" s="113">
        <v>615.0</v>
      </c>
      <c r="AY854" s="117">
        <v>335.0</v>
      </c>
      <c r="AZ854" s="328">
        <v>280.0</v>
      </c>
      <c r="BA854" s="315">
        <v>248.0</v>
      </c>
      <c r="BB854" s="316">
        <v>863.0</v>
      </c>
      <c r="BC854" s="132" t="s">
        <v>178</v>
      </c>
      <c r="BD854" s="132" t="s">
        <v>178</v>
      </c>
      <c r="BE854" s="132" t="s">
        <v>178</v>
      </c>
      <c r="BF854" s="156"/>
      <c r="BG854" s="83">
        <v>1128371.0</v>
      </c>
      <c r="BH854" s="112">
        <v>20.0</v>
      </c>
      <c r="BI854" s="98" t="s">
        <v>162</v>
      </c>
      <c r="BJ854" s="98" t="str">
        <f t="shared" si="1"/>
        <v>INTEGRAL</v>
      </c>
      <c r="BK854" s="98" t="str">
        <f t="shared" si="2"/>
        <v>PROFISSIONAL</v>
      </c>
    </row>
    <row r="855" ht="15.75" customHeight="1">
      <c r="A855" s="111" t="s">
        <v>973</v>
      </c>
      <c r="B855" s="83" t="s">
        <v>4035</v>
      </c>
      <c r="C855" s="83" t="s">
        <v>164</v>
      </c>
      <c r="D855" s="83">
        <v>1128371.0</v>
      </c>
      <c r="E855" s="83">
        <v>1178232.0</v>
      </c>
      <c r="F855" s="83"/>
      <c r="G855" s="114" t="s">
        <v>8934</v>
      </c>
      <c r="H855" s="91" t="s">
        <v>4052</v>
      </c>
      <c r="I855" s="114" t="s">
        <v>4053</v>
      </c>
      <c r="J855" s="136" t="s">
        <v>209</v>
      </c>
      <c r="K855" s="83" t="s">
        <v>168</v>
      </c>
      <c r="L855" s="83" t="s">
        <v>169</v>
      </c>
      <c r="M855" s="82" t="s">
        <v>8922</v>
      </c>
      <c r="N855" s="82" t="s">
        <v>8923</v>
      </c>
      <c r="O855" s="82" t="s">
        <v>8924</v>
      </c>
      <c r="P855" s="82" t="s">
        <v>8925</v>
      </c>
      <c r="Q855" s="82" t="s">
        <v>8926</v>
      </c>
      <c r="R855" s="82"/>
      <c r="S855" s="82" t="s">
        <v>8927</v>
      </c>
      <c r="T855" s="138">
        <v>5.0</v>
      </c>
      <c r="U855" s="323">
        <v>4.0</v>
      </c>
      <c r="V855" s="106">
        <v>0.0</v>
      </c>
      <c r="W855" s="107">
        <v>0.0</v>
      </c>
      <c r="X855" s="107">
        <v>0.0</v>
      </c>
      <c r="Y855" s="107">
        <v>0.0</v>
      </c>
      <c r="Z855" s="80">
        <v>0.0</v>
      </c>
      <c r="AA855" s="140">
        <v>0.0</v>
      </c>
      <c r="AB855" s="109">
        <v>0.0</v>
      </c>
      <c r="AC855" s="109">
        <v>0.0</v>
      </c>
      <c r="AD855" s="141">
        <v>0.0</v>
      </c>
      <c r="AE855" s="80">
        <v>0.0</v>
      </c>
      <c r="AF855" s="246">
        <v>0.0</v>
      </c>
      <c r="AG855" s="246">
        <v>64.0</v>
      </c>
      <c r="AH855" s="246">
        <v>0.0</v>
      </c>
      <c r="AI855" s="247">
        <v>0.0</v>
      </c>
      <c r="AJ855" s="80">
        <v>64.0</v>
      </c>
      <c r="AK855" s="140">
        <v>0.0</v>
      </c>
      <c r="AL855" s="109">
        <v>0.0</v>
      </c>
      <c r="AM855" s="141">
        <v>0.0</v>
      </c>
      <c r="AN855" s="80">
        <v>0.0</v>
      </c>
      <c r="AO855" s="246">
        <v>0.0</v>
      </c>
      <c r="AP855" s="246">
        <v>0.0</v>
      </c>
      <c r="AQ855" s="247">
        <v>0.0</v>
      </c>
      <c r="AR855" s="80">
        <v>0.0</v>
      </c>
      <c r="AS855" s="110">
        <v>0.0</v>
      </c>
      <c r="AT855" s="110">
        <v>0.0</v>
      </c>
      <c r="AU855" s="110">
        <v>0.0</v>
      </c>
      <c r="AV855" s="142">
        <v>0.0</v>
      </c>
      <c r="AW855" s="80">
        <v>0.0</v>
      </c>
      <c r="AX855" s="113">
        <v>64.0</v>
      </c>
      <c r="AY855" s="117">
        <v>64.0</v>
      </c>
      <c r="AZ855" s="328">
        <v>0.0</v>
      </c>
      <c r="BA855" s="315">
        <v>0.0</v>
      </c>
      <c r="BB855" s="316">
        <v>64.0</v>
      </c>
      <c r="BC855" s="132" t="s">
        <v>373</v>
      </c>
      <c r="BD855" s="132" t="s">
        <v>178</v>
      </c>
      <c r="BE855" s="132" t="s">
        <v>178</v>
      </c>
      <c r="BF855" s="123"/>
      <c r="BG855" s="83">
        <v>1178232.0</v>
      </c>
      <c r="BH855" s="112">
        <v>4.0</v>
      </c>
      <c r="BI855" s="98" t="s">
        <v>155</v>
      </c>
      <c r="BJ855" s="98" t="str">
        <f t="shared" si="1"/>
        <v>NÃO</v>
      </c>
      <c r="BK855" s="98" t="str">
        <f t="shared" si="2"/>
        <v>NÃO</v>
      </c>
    </row>
    <row r="856" ht="15.75" customHeight="1">
      <c r="A856" s="111" t="s">
        <v>973</v>
      </c>
      <c r="B856" s="83" t="s">
        <v>2170</v>
      </c>
      <c r="C856" s="83" t="s">
        <v>68</v>
      </c>
      <c r="D856" s="83">
        <v>1129335.0</v>
      </c>
      <c r="E856" s="83"/>
      <c r="F856" s="83">
        <v>2.924229E7</v>
      </c>
      <c r="G856" s="219" t="s">
        <v>2185</v>
      </c>
      <c r="H856" s="91" t="s">
        <v>8939</v>
      </c>
      <c r="I856" s="187" t="s">
        <v>149</v>
      </c>
      <c r="J856" s="83" t="s">
        <v>150</v>
      </c>
      <c r="K856" s="83" t="s">
        <v>151</v>
      </c>
      <c r="L856" s="83" t="s">
        <v>152</v>
      </c>
      <c r="M856" s="82" t="s">
        <v>2962</v>
      </c>
      <c r="N856" s="82"/>
      <c r="O856" s="82" t="s">
        <v>8942</v>
      </c>
      <c r="P856" s="82" t="s">
        <v>8943</v>
      </c>
      <c r="Q856" s="82" t="s">
        <v>8945</v>
      </c>
      <c r="R856" s="82" t="s">
        <v>8946</v>
      </c>
      <c r="S856" s="82" t="s">
        <v>8947</v>
      </c>
      <c r="T856" s="138">
        <v>23.0</v>
      </c>
      <c r="U856" s="323">
        <v>18.0</v>
      </c>
      <c r="V856" s="106">
        <v>0.0</v>
      </c>
      <c r="W856" s="107">
        <v>0.0</v>
      </c>
      <c r="X856" s="107">
        <v>0.0</v>
      </c>
      <c r="Y856" s="107">
        <v>0.0</v>
      </c>
      <c r="Z856" s="80">
        <v>0.0</v>
      </c>
      <c r="AA856" s="140">
        <v>0.0</v>
      </c>
      <c r="AB856" s="109">
        <v>567.0</v>
      </c>
      <c r="AC856" s="109">
        <v>0.0</v>
      </c>
      <c r="AD856" s="141">
        <v>142.0</v>
      </c>
      <c r="AE856" s="80">
        <v>709.0</v>
      </c>
      <c r="AF856" s="140">
        <v>240.0</v>
      </c>
      <c r="AG856" s="109">
        <v>0.0</v>
      </c>
      <c r="AH856" s="109">
        <v>42.0</v>
      </c>
      <c r="AI856" s="141">
        <v>97.0</v>
      </c>
      <c r="AJ856" s="80">
        <v>379.0</v>
      </c>
      <c r="AK856" s="140">
        <v>0.0</v>
      </c>
      <c r="AL856" s="109">
        <v>0.0</v>
      </c>
      <c r="AM856" s="141">
        <v>0.0</v>
      </c>
      <c r="AN856" s="80">
        <v>0.0</v>
      </c>
      <c r="AO856" s="140">
        <v>0.0</v>
      </c>
      <c r="AP856" s="109">
        <v>0.0</v>
      </c>
      <c r="AQ856" s="109">
        <v>181.0</v>
      </c>
      <c r="AR856" s="80">
        <v>181.0</v>
      </c>
      <c r="AS856" s="110">
        <v>0.0</v>
      </c>
      <c r="AT856" s="110">
        <v>0.0</v>
      </c>
      <c r="AU856" s="110">
        <v>0.0</v>
      </c>
      <c r="AV856" s="142">
        <v>0.0</v>
      </c>
      <c r="AW856" s="80">
        <v>0.0</v>
      </c>
      <c r="AX856" s="113">
        <v>1269.0</v>
      </c>
      <c r="AY856" s="117">
        <v>1046.0</v>
      </c>
      <c r="AZ856" s="328">
        <v>223.0</v>
      </c>
      <c r="BA856" s="315">
        <v>2.0</v>
      </c>
      <c r="BB856" s="316">
        <v>1271.0</v>
      </c>
      <c r="BC856" s="132" t="s">
        <v>178</v>
      </c>
      <c r="BD856" s="132" t="s">
        <v>178</v>
      </c>
      <c r="BE856" s="132" t="s">
        <v>178</v>
      </c>
      <c r="BF856" s="123"/>
      <c r="BG856" s="83">
        <v>1129335.0</v>
      </c>
      <c r="BH856" s="112">
        <v>18.0</v>
      </c>
      <c r="BI856" s="98" t="s">
        <v>155</v>
      </c>
      <c r="BJ856" s="98" t="str">
        <f t="shared" si="1"/>
        <v>INTEGRAL</v>
      </c>
      <c r="BK856" s="98" t="str">
        <f t="shared" si="2"/>
        <v>NÃO</v>
      </c>
    </row>
    <row r="857" ht="15.75" customHeight="1">
      <c r="A857" s="111" t="s">
        <v>973</v>
      </c>
      <c r="B857" s="83" t="s">
        <v>2170</v>
      </c>
      <c r="C857" s="83" t="s">
        <v>68</v>
      </c>
      <c r="D857" s="83">
        <v>1161751.0</v>
      </c>
      <c r="E857" s="83"/>
      <c r="F857" s="83">
        <v>2.9242231E7</v>
      </c>
      <c r="G857" s="114" t="s">
        <v>2171</v>
      </c>
      <c r="H857" s="91" t="s">
        <v>8952</v>
      </c>
      <c r="I857" s="187" t="s">
        <v>149</v>
      </c>
      <c r="J857" s="136" t="s">
        <v>150</v>
      </c>
      <c r="K857" s="136" t="s">
        <v>151</v>
      </c>
      <c r="L857" s="136" t="s">
        <v>230</v>
      </c>
      <c r="M857" s="82" t="s">
        <v>8953</v>
      </c>
      <c r="N857" s="82" t="s">
        <v>8954</v>
      </c>
      <c r="O857" s="82" t="s">
        <v>8955</v>
      </c>
      <c r="P857" s="82" t="s">
        <v>8956</v>
      </c>
      <c r="Q857" s="82" t="s">
        <v>8958</v>
      </c>
      <c r="R857" s="82" t="s">
        <v>8960</v>
      </c>
      <c r="S857" s="82" t="s">
        <v>8961</v>
      </c>
      <c r="T857" s="138">
        <v>16.0</v>
      </c>
      <c r="U857" s="331" t="s">
        <v>8962</v>
      </c>
      <c r="V857" s="106">
        <v>0.0</v>
      </c>
      <c r="W857" s="107">
        <v>0.0</v>
      </c>
      <c r="X857" s="107">
        <v>0.0</v>
      </c>
      <c r="Y857" s="107">
        <v>0.0</v>
      </c>
      <c r="Z857" s="80">
        <v>0.0</v>
      </c>
      <c r="AA857" s="140">
        <v>0.0</v>
      </c>
      <c r="AB857" s="109">
        <v>0.0</v>
      </c>
      <c r="AC857" s="109">
        <v>0.0</v>
      </c>
      <c r="AD857" s="141">
        <v>287.0</v>
      </c>
      <c r="AE857" s="80">
        <v>287.0</v>
      </c>
      <c r="AF857" s="140">
        <v>0.0</v>
      </c>
      <c r="AG857" s="109">
        <v>0.0</v>
      </c>
      <c r="AH857" s="109">
        <v>0.0</v>
      </c>
      <c r="AI857" s="141">
        <v>169.0</v>
      </c>
      <c r="AJ857" s="80">
        <v>169.0</v>
      </c>
      <c r="AK857" s="140">
        <v>0.0</v>
      </c>
      <c r="AL857" s="109">
        <v>0.0</v>
      </c>
      <c r="AM857" s="141">
        <v>0.0</v>
      </c>
      <c r="AN857" s="80">
        <v>0.0</v>
      </c>
      <c r="AO857" s="140">
        <v>0.0</v>
      </c>
      <c r="AP857" s="109">
        <v>0.0</v>
      </c>
      <c r="AQ857" s="109">
        <v>16.0</v>
      </c>
      <c r="AR857" s="80">
        <v>16.0</v>
      </c>
      <c r="AS857" s="110">
        <v>0.0</v>
      </c>
      <c r="AT857" s="110">
        <v>0.0</v>
      </c>
      <c r="AU857" s="110">
        <v>0.0</v>
      </c>
      <c r="AV857" s="142">
        <v>0.0</v>
      </c>
      <c r="AW857" s="80">
        <v>0.0</v>
      </c>
      <c r="AX857" s="113">
        <v>472.0</v>
      </c>
      <c r="AY857" s="117">
        <v>456.0</v>
      </c>
      <c r="AZ857" s="328">
        <v>16.0</v>
      </c>
      <c r="BA857" s="315">
        <v>1.0</v>
      </c>
      <c r="BB857" s="316">
        <v>473.0</v>
      </c>
      <c r="BC857" s="132" t="s">
        <v>178</v>
      </c>
      <c r="BD857" s="132" t="s">
        <v>178</v>
      </c>
      <c r="BE857" s="132" t="s">
        <v>178</v>
      </c>
      <c r="BF857" s="123"/>
      <c r="BG857" s="83">
        <v>1161751.0</v>
      </c>
      <c r="BH857" s="112">
        <v>15.0</v>
      </c>
      <c r="BI857" s="98" t="s">
        <v>155</v>
      </c>
      <c r="BJ857" s="98" t="str">
        <f t="shared" si="1"/>
        <v>INTEGRAL</v>
      </c>
      <c r="BK857" s="98" t="str">
        <f t="shared" si="2"/>
        <v>NÃO</v>
      </c>
    </row>
    <row r="858" ht="15.75" customHeight="1">
      <c r="A858" s="111" t="s">
        <v>973</v>
      </c>
      <c r="B858" s="83" t="s">
        <v>2170</v>
      </c>
      <c r="C858" s="83" t="s">
        <v>68</v>
      </c>
      <c r="D858" s="83">
        <v>1178115.0</v>
      </c>
      <c r="E858" s="83"/>
      <c r="F858" s="83">
        <v>2.9433568E7</v>
      </c>
      <c r="G858" s="187" t="s">
        <v>8966</v>
      </c>
      <c r="H858" s="91" t="s">
        <v>4061</v>
      </c>
      <c r="I858" s="187" t="s">
        <v>149</v>
      </c>
      <c r="J858" s="83" t="s">
        <v>702</v>
      </c>
      <c r="K858" s="83" t="s">
        <v>151</v>
      </c>
      <c r="L858" s="83" t="s">
        <v>76</v>
      </c>
      <c r="M858" s="82" t="s">
        <v>8967</v>
      </c>
      <c r="N858" s="82" t="s">
        <v>8968</v>
      </c>
      <c r="O858" s="82" t="s">
        <v>8969</v>
      </c>
      <c r="P858" s="82" t="s">
        <v>8970</v>
      </c>
      <c r="Q858" s="82"/>
      <c r="R858" s="82"/>
      <c r="S858" s="82" t="s">
        <v>8971</v>
      </c>
      <c r="T858" s="138">
        <v>8.0</v>
      </c>
      <c r="U858" s="323">
        <v>8.0</v>
      </c>
      <c r="V858" s="106">
        <v>0.0</v>
      </c>
      <c r="W858" s="107">
        <v>0.0</v>
      </c>
      <c r="X858" s="107">
        <v>0.0</v>
      </c>
      <c r="Y858" s="107">
        <v>0.0</v>
      </c>
      <c r="Z858" s="80">
        <v>0.0</v>
      </c>
      <c r="AA858" s="140">
        <v>0.0</v>
      </c>
      <c r="AB858" s="109">
        <v>0.0</v>
      </c>
      <c r="AC858" s="109">
        <v>0.0</v>
      </c>
      <c r="AD858" s="141">
        <v>0.0</v>
      </c>
      <c r="AE858" s="80">
        <v>0.0</v>
      </c>
      <c r="AF858" s="140">
        <v>0.0</v>
      </c>
      <c r="AG858" s="109">
        <v>63.0</v>
      </c>
      <c r="AH858" s="109">
        <v>22.0</v>
      </c>
      <c r="AI858" s="141">
        <v>118.0</v>
      </c>
      <c r="AJ858" s="80">
        <v>203.0</v>
      </c>
      <c r="AK858" s="140">
        <v>0.0</v>
      </c>
      <c r="AL858" s="109">
        <v>0.0</v>
      </c>
      <c r="AM858" s="141">
        <v>0.0</v>
      </c>
      <c r="AN858" s="80">
        <v>0.0</v>
      </c>
      <c r="AO858" s="140">
        <v>0.0</v>
      </c>
      <c r="AP858" s="109">
        <v>0.0</v>
      </c>
      <c r="AQ858" s="109">
        <v>83.0</v>
      </c>
      <c r="AR858" s="80">
        <v>83.0</v>
      </c>
      <c r="AS858" s="110">
        <v>0.0</v>
      </c>
      <c r="AT858" s="110">
        <v>0.0</v>
      </c>
      <c r="AU858" s="110">
        <v>0.0</v>
      </c>
      <c r="AV858" s="142">
        <v>0.0</v>
      </c>
      <c r="AW858" s="80">
        <v>0.0</v>
      </c>
      <c r="AX858" s="113">
        <v>286.0</v>
      </c>
      <c r="AY858" s="117">
        <v>181.0</v>
      </c>
      <c r="AZ858" s="328">
        <v>105.0</v>
      </c>
      <c r="BA858" s="315">
        <v>0.0</v>
      </c>
      <c r="BB858" s="316">
        <v>286.0</v>
      </c>
      <c r="BC858" s="132" t="s">
        <v>373</v>
      </c>
      <c r="BD858" s="132" t="s">
        <v>178</v>
      </c>
      <c r="BE858" s="132" t="s">
        <v>178</v>
      </c>
      <c r="BF858" s="123"/>
      <c r="BG858" s="83">
        <v>1178115.0</v>
      </c>
      <c r="BH858" s="112">
        <v>8.0</v>
      </c>
      <c r="BI858" s="98" t="s">
        <v>155</v>
      </c>
      <c r="BJ858" s="98" t="str">
        <f t="shared" si="1"/>
        <v>INTEGRAL</v>
      </c>
      <c r="BK858" s="98" t="str">
        <f t="shared" si="2"/>
        <v>NÃO</v>
      </c>
    </row>
    <row r="859" ht="15.75" customHeight="1">
      <c r="A859" s="111" t="s">
        <v>973</v>
      </c>
      <c r="B859" s="83" t="s">
        <v>2170</v>
      </c>
      <c r="C859" s="83" t="s">
        <v>68</v>
      </c>
      <c r="D859" s="83">
        <v>1178022.0</v>
      </c>
      <c r="E859" s="83"/>
      <c r="F859" s="83">
        <v>2.9428394E7</v>
      </c>
      <c r="G859" s="114" t="s">
        <v>2187</v>
      </c>
      <c r="H859" s="91" t="s">
        <v>8976</v>
      </c>
      <c r="I859" s="187" t="s">
        <v>149</v>
      </c>
      <c r="J859" s="83" t="s">
        <v>150</v>
      </c>
      <c r="K859" s="83" t="s">
        <v>151</v>
      </c>
      <c r="L859" s="83" t="s">
        <v>230</v>
      </c>
      <c r="M859" s="82" t="s">
        <v>8979</v>
      </c>
      <c r="N859" s="82" t="s">
        <v>8980</v>
      </c>
      <c r="O859" s="82" t="s">
        <v>8981</v>
      </c>
      <c r="P859" s="82" t="s">
        <v>8982</v>
      </c>
      <c r="Q859" s="82" t="s">
        <v>8983</v>
      </c>
      <c r="R859" s="82" t="s">
        <v>8984</v>
      </c>
      <c r="S859" s="82" t="s">
        <v>8985</v>
      </c>
      <c r="T859" s="138">
        <v>16.0</v>
      </c>
      <c r="U859" s="389">
        <v>15.0</v>
      </c>
      <c r="V859" s="106">
        <v>0.0</v>
      </c>
      <c r="W859" s="107">
        <v>0.0</v>
      </c>
      <c r="X859" s="107">
        <v>0.0</v>
      </c>
      <c r="Y859" s="107">
        <v>0.0</v>
      </c>
      <c r="Z859" s="80">
        <v>0.0</v>
      </c>
      <c r="AA859" s="140">
        <v>0.0</v>
      </c>
      <c r="AB859" s="109">
        <v>0.0</v>
      </c>
      <c r="AC859" s="109">
        <v>0.0</v>
      </c>
      <c r="AD859" s="141">
        <v>0.0</v>
      </c>
      <c r="AE859" s="80">
        <v>0.0</v>
      </c>
      <c r="AF859" s="140">
        <v>0.0</v>
      </c>
      <c r="AG859" s="109">
        <v>0.0</v>
      </c>
      <c r="AH859" s="109">
        <v>0.0</v>
      </c>
      <c r="AI859" s="141">
        <v>0.0</v>
      </c>
      <c r="AJ859" s="80">
        <v>0.0</v>
      </c>
      <c r="AK859" s="140">
        <v>0.0</v>
      </c>
      <c r="AL859" s="109">
        <v>0.0</v>
      </c>
      <c r="AM859" s="141">
        <v>0.0</v>
      </c>
      <c r="AN859" s="80">
        <v>0.0</v>
      </c>
      <c r="AO859" s="140">
        <v>0.0</v>
      </c>
      <c r="AP859" s="109">
        <v>0.0</v>
      </c>
      <c r="AQ859" s="109">
        <v>0.0</v>
      </c>
      <c r="AR859" s="80">
        <v>0.0</v>
      </c>
      <c r="AS859" s="110">
        <v>495.0</v>
      </c>
      <c r="AT859" s="110">
        <v>254.0</v>
      </c>
      <c r="AU859" s="110">
        <v>333.0</v>
      </c>
      <c r="AV859" s="142">
        <v>0.0</v>
      </c>
      <c r="AW859" s="80">
        <v>1082.0</v>
      </c>
      <c r="AX859" s="113">
        <v>1082.0</v>
      </c>
      <c r="AY859" s="117">
        <v>749.0</v>
      </c>
      <c r="AZ859" s="328">
        <v>333.0</v>
      </c>
      <c r="BA859" s="315">
        <v>0.0</v>
      </c>
      <c r="BB859" s="316">
        <v>1082.0</v>
      </c>
      <c r="BC859" s="132" t="s">
        <v>178</v>
      </c>
      <c r="BD859" s="132" t="s">
        <v>522</v>
      </c>
      <c r="BE859" s="132" t="s">
        <v>178</v>
      </c>
      <c r="BF859" s="156"/>
      <c r="BG859" s="83">
        <v>1178022.0</v>
      </c>
      <c r="BH859" s="112">
        <v>15.0</v>
      </c>
      <c r="BI859" s="98" t="s">
        <v>155</v>
      </c>
      <c r="BJ859" s="98" t="str">
        <f t="shared" si="1"/>
        <v>NÃO</v>
      </c>
      <c r="BK859" s="98" t="str">
        <f t="shared" si="2"/>
        <v>PROFISSIONAL</v>
      </c>
    </row>
    <row r="860" ht="15.75" customHeight="1">
      <c r="A860" s="111" t="s">
        <v>973</v>
      </c>
      <c r="B860" s="83" t="s">
        <v>2170</v>
      </c>
      <c r="C860" s="83" t="s">
        <v>68</v>
      </c>
      <c r="D860" s="83">
        <v>1176710.0</v>
      </c>
      <c r="E860" s="83"/>
      <c r="F860" s="83">
        <v>2.9410134E7</v>
      </c>
      <c r="G860" s="187" t="s">
        <v>4063</v>
      </c>
      <c r="H860" s="91" t="s">
        <v>4064</v>
      </c>
      <c r="I860" s="187" t="s">
        <v>4065</v>
      </c>
      <c r="J860" s="83" t="s">
        <v>150</v>
      </c>
      <c r="K860" s="83" t="s">
        <v>151</v>
      </c>
      <c r="L860" s="83" t="s">
        <v>230</v>
      </c>
      <c r="M860" s="82" t="s">
        <v>8991</v>
      </c>
      <c r="N860" s="82" t="s">
        <v>8992</v>
      </c>
      <c r="O860" s="82" t="s">
        <v>8994</v>
      </c>
      <c r="P860" s="82" t="s">
        <v>8995</v>
      </c>
      <c r="Q860" s="82"/>
      <c r="R860" s="82"/>
      <c r="S860" s="82" t="s">
        <v>8996</v>
      </c>
      <c r="T860" s="138">
        <v>24.0</v>
      </c>
      <c r="U860" s="401">
        <v>11.0</v>
      </c>
      <c r="V860" s="106">
        <v>0.0</v>
      </c>
      <c r="W860" s="107">
        <v>0.0</v>
      </c>
      <c r="X860" s="107">
        <v>0.0</v>
      </c>
      <c r="Y860" s="107">
        <v>0.0</v>
      </c>
      <c r="Z860" s="80">
        <v>0.0</v>
      </c>
      <c r="AA860" s="140">
        <v>0.0</v>
      </c>
      <c r="AB860" s="109">
        <v>0.0</v>
      </c>
      <c r="AC860" s="109">
        <v>0.0</v>
      </c>
      <c r="AD860" s="141">
        <v>0.0</v>
      </c>
      <c r="AE860" s="80">
        <v>0.0</v>
      </c>
      <c r="AF860" s="140">
        <v>0.0</v>
      </c>
      <c r="AG860" s="109">
        <v>0.0</v>
      </c>
      <c r="AH860" s="109">
        <v>0.0</v>
      </c>
      <c r="AI860" s="141">
        <v>0.0</v>
      </c>
      <c r="AJ860" s="80">
        <v>0.0</v>
      </c>
      <c r="AK860" s="140">
        <v>0.0</v>
      </c>
      <c r="AL860" s="109">
        <v>0.0</v>
      </c>
      <c r="AM860" s="141">
        <v>0.0</v>
      </c>
      <c r="AN860" s="80">
        <v>0.0</v>
      </c>
      <c r="AO860" s="140">
        <v>0.0</v>
      </c>
      <c r="AP860" s="109">
        <v>0.0</v>
      </c>
      <c r="AQ860" s="109">
        <v>0.0</v>
      </c>
      <c r="AR860" s="80">
        <v>0.0</v>
      </c>
      <c r="AS860" s="110">
        <v>0.0</v>
      </c>
      <c r="AT860" s="110">
        <v>0.0</v>
      </c>
      <c r="AU860" s="110">
        <v>0.0</v>
      </c>
      <c r="AV860" s="142">
        <v>0.0</v>
      </c>
      <c r="AW860" s="80">
        <v>0.0</v>
      </c>
      <c r="AX860" s="346">
        <v>142.0</v>
      </c>
      <c r="AY860" s="347">
        <v>142.0</v>
      </c>
      <c r="AZ860" s="328">
        <v>0.0</v>
      </c>
      <c r="BA860" s="349">
        <v>0.0</v>
      </c>
      <c r="BB860" s="316">
        <v>142.0</v>
      </c>
      <c r="BC860" s="132" t="s">
        <v>553</v>
      </c>
      <c r="BD860" s="132" t="s">
        <v>178</v>
      </c>
      <c r="BE860" s="132" t="s">
        <v>178</v>
      </c>
      <c r="BF860" s="123"/>
      <c r="BG860" s="83">
        <v>1176710.0</v>
      </c>
      <c r="BH860" s="112">
        <v>11.0</v>
      </c>
      <c r="BI860" s="98" t="s">
        <v>155</v>
      </c>
      <c r="BJ860" s="98" t="str">
        <f t="shared" si="1"/>
        <v>NÃO</v>
      </c>
      <c r="BK860" s="98" t="str">
        <f t="shared" si="2"/>
        <v>NÃO</v>
      </c>
    </row>
    <row r="861" ht="15.75" customHeight="1">
      <c r="A861" s="111" t="s">
        <v>973</v>
      </c>
      <c r="B861" s="83" t="s">
        <v>2170</v>
      </c>
      <c r="C861" s="83" t="s">
        <v>164</v>
      </c>
      <c r="D861" s="83">
        <v>1161751.0</v>
      </c>
      <c r="E861" s="83">
        <v>1178859.0</v>
      </c>
      <c r="F861" s="83"/>
      <c r="G861" s="119" t="s">
        <v>9002</v>
      </c>
      <c r="H861" s="91" t="s">
        <v>4067</v>
      </c>
      <c r="I861" s="187" t="s">
        <v>4068</v>
      </c>
      <c r="J861" s="83" t="s">
        <v>187</v>
      </c>
      <c r="K861" s="83" t="s">
        <v>168</v>
      </c>
      <c r="L861" s="83" t="s">
        <v>169</v>
      </c>
      <c r="M861" s="82" t="s">
        <v>8953</v>
      </c>
      <c r="N861" s="82" t="s">
        <v>8954</v>
      </c>
      <c r="O861" s="82" t="s">
        <v>8955</v>
      </c>
      <c r="P861" s="82" t="s">
        <v>8956</v>
      </c>
      <c r="Q861" s="82" t="s">
        <v>8958</v>
      </c>
      <c r="R861" s="82" t="s">
        <v>8960</v>
      </c>
      <c r="S861" s="82" t="s">
        <v>8961</v>
      </c>
      <c r="T861" s="138">
        <v>6.0</v>
      </c>
      <c r="U861" s="401">
        <v>4.0</v>
      </c>
      <c r="V861" s="106">
        <v>0.0</v>
      </c>
      <c r="W861" s="107">
        <v>0.0</v>
      </c>
      <c r="X861" s="107">
        <v>0.0</v>
      </c>
      <c r="Y861" s="107">
        <v>0.0</v>
      </c>
      <c r="Z861" s="80">
        <v>0.0</v>
      </c>
      <c r="AA861" s="140">
        <v>0.0</v>
      </c>
      <c r="AB861" s="109">
        <v>0.0</v>
      </c>
      <c r="AC861" s="109">
        <v>0.0</v>
      </c>
      <c r="AD861" s="141">
        <v>0.0</v>
      </c>
      <c r="AE861" s="80">
        <v>0.0</v>
      </c>
      <c r="AF861" s="140">
        <v>0.0</v>
      </c>
      <c r="AG861" s="109">
        <v>0.0</v>
      </c>
      <c r="AH861" s="109">
        <v>8.0</v>
      </c>
      <c r="AI861" s="141">
        <v>0.0</v>
      </c>
      <c r="AJ861" s="80">
        <v>8.0</v>
      </c>
      <c r="AK861" s="140">
        <v>0.0</v>
      </c>
      <c r="AL861" s="109">
        <v>0.0</v>
      </c>
      <c r="AM861" s="141">
        <v>0.0</v>
      </c>
      <c r="AN861" s="80">
        <v>0.0</v>
      </c>
      <c r="AO861" s="140">
        <v>0.0</v>
      </c>
      <c r="AP861" s="109">
        <v>0.0</v>
      </c>
      <c r="AQ861" s="109">
        <v>53.0</v>
      </c>
      <c r="AR861" s="80">
        <v>53.0</v>
      </c>
      <c r="AS861" s="110">
        <v>0.0</v>
      </c>
      <c r="AT861" s="110">
        <v>0.0</v>
      </c>
      <c r="AU861" s="110">
        <v>0.0</v>
      </c>
      <c r="AV861" s="142">
        <v>0.0</v>
      </c>
      <c r="AW861" s="80">
        <v>0.0</v>
      </c>
      <c r="AX861" s="113">
        <v>61.0</v>
      </c>
      <c r="AY861" s="117">
        <v>0.0</v>
      </c>
      <c r="AZ861" s="328">
        <v>61.0</v>
      </c>
      <c r="BA861" s="315">
        <v>0.0</v>
      </c>
      <c r="BB861" s="316">
        <v>61.0</v>
      </c>
      <c r="BC861" s="132" t="s">
        <v>373</v>
      </c>
      <c r="BD861" s="132" t="s">
        <v>178</v>
      </c>
      <c r="BE861" s="132" t="s">
        <v>178</v>
      </c>
      <c r="BF861" s="123"/>
      <c r="BG861" s="83">
        <v>1178859.0</v>
      </c>
      <c r="BH861" s="112">
        <v>4.0</v>
      </c>
      <c r="BI861" s="98" t="s">
        <v>155</v>
      </c>
      <c r="BJ861" s="98" t="str">
        <f t="shared" si="1"/>
        <v>NÃO</v>
      </c>
      <c r="BK861" s="98" t="str">
        <f t="shared" si="2"/>
        <v>NÃO</v>
      </c>
    </row>
    <row r="862" ht="15.75" customHeight="1">
      <c r="A862" s="111" t="s">
        <v>973</v>
      </c>
      <c r="B862" s="83" t="s">
        <v>4069</v>
      </c>
      <c r="C862" s="83" t="s">
        <v>68</v>
      </c>
      <c r="D862" s="83">
        <v>1170866.0</v>
      </c>
      <c r="E862" s="83"/>
      <c r="F862" s="83">
        <v>2.9243882E7</v>
      </c>
      <c r="G862" s="114" t="s">
        <v>9010</v>
      </c>
      <c r="H862" s="91" t="s">
        <v>4072</v>
      </c>
      <c r="I862" s="114" t="s">
        <v>149</v>
      </c>
      <c r="J862" s="83" t="s">
        <v>150</v>
      </c>
      <c r="K862" s="83" t="s">
        <v>151</v>
      </c>
      <c r="L862" s="83" t="s">
        <v>152</v>
      </c>
      <c r="M862" s="82" t="s">
        <v>9011</v>
      </c>
      <c r="N862" s="82" t="s">
        <v>9012</v>
      </c>
      <c r="O862" s="82" t="s">
        <v>9013</v>
      </c>
      <c r="P862" s="82" t="s">
        <v>9014</v>
      </c>
      <c r="Q862" s="82" t="s">
        <v>9015</v>
      </c>
      <c r="R862" s="82" t="s">
        <v>9016</v>
      </c>
      <c r="S862" s="82" t="s">
        <v>9017</v>
      </c>
      <c r="T862" s="138">
        <v>12.0</v>
      </c>
      <c r="U862" s="401" t="s">
        <v>9018</v>
      </c>
      <c r="V862" s="106">
        <v>0.0</v>
      </c>
      <c r="W862" s="107">
        <v>0.0</v>
      </c>
      <c r="X862" s="107">
        <v>0.0</v>
      </c>
      <c r="Y862" s="107">
        <v>0.0</v>
      </c>
      <c r="Z862" s="80">
        <v>0.0</v>
      </c>
      <c r="AA862" s="140">
        <v>0.0</v>
      </c>
      <c r="AB862" s="109">
        <v>0.0</v>
      </c>
      <c r="AC862" s="109">
        <v>0.0</v>
      </c>
      <c r="AD862" s="141">
        <v>0.0</v>
      </c>
      <c r="AE862" s="80">
        <v>0.0</v>
      </c>
      <c r="AF862" s="140">
        <v>0.0</v>
      </c>
      <c r="AG862" s="109">
        <v>0.0</v>
      </c>
      <c r="AH862" s="109">
        <v>0.0</v>
      </c>
      <c r="AI862" s="141">
        <v>424.0</v>
      </c>
      <c r="AJ862" s="80">
        <v>424.0</v>
      </c>
      <c r="AK862" s="140">
        <v>0.0</v>
      </c>
      <c r="AL862" s="109">
        <v>0.0</v>
      </c>
      <c r="AM862" s="141">
        <v>0.0</v>
      </c>
      <c r="AN862" s="80">
        <v>0.0</v>
      </c>
      <c r="AO862" s="140">
        <v>0.0</v>
      </c>
      <c r="AP862" s="109">
        <v>0.0</v>
      </c>
      <c r="AQ862" s="109">
        <v>111.0</v>
      </c>
      <c r="AR862" s="80">
        <v>111.0</v>
      </c>
      <c r="AS862" s="110">
        <v>0.0</v>
      </c>
      <c r="AT862" s="110">
        <v>0.0</v>
      </c>
      <c r="AU862" s="110">
        <v>0.0</v>
      </c>
      <c r="AV862" s="142">
        <v>0.0</v>
      </c>
      <c r="AW862" s="80">
        <v>0.0</v>
      </c>
      <c r="AX862" s="113">
        <v>535.0</v>
      </c>
      <c r="AY862" s="117">
        <v>424.0</v>
      </c>
      <c r="AZ862" s="328">
        <v>111.0</v>
      </c>
      <c r="BA862" s="315">
        <v>15.0</v>
      </c>
      <c r="BB862" s="316">
        <v>550.0</v>
      </c>
      <c r="BC862" s="132" t="s">
        <v>178</v>
      </c>
      <c r="BD862" s="132" t="s">
        <v>178</v>
      </c>
      <c r="BE862" s="132" t="s">
        <v>178</v>
      </c>
      <c r="BF862" s="156"/>
      <c r="BG862" s="83">
        <v>1170866.0</v>
      </c>
      <c r="BH862" s="112">
        <v>12.0</v>
      </c>
      <c r="BI862" s="98" t="s">
        <v>155</v>
      </c>
      <c r="BJ862" s="98" t="str">
        <f t="shared" si="1"/>
        <v>INTEGRAL</v>
      </c>
      <c r="BK862" s="98" t="str">
        <f t="shared" si="2"/>
        <v>NÃO</v>
      </c>
    </row>
    <row r="863" ht="15.75" customHeight="1">
      <c r="A863" s="111" t="s">
        <v>973</v>
      </c>
      <c r="B863" s="83" t="s">
        <v>4080</v>
      </c>
      <c r="C863" s="83" t="s">
        <v>68</v>
      </c>
      <c r="D863" s="83">
        <v>1124163.0</v>
      </c>
      <c r="E863" s="83"/>
      <c r="F863" s="83">
        <v>2.9214866E7</v>
      </c>
      <c r="G863" s="187" t="s">
        <v>9024</v>
      </c>
      <c r="H863" s="91" t="s">
        <v>4082</v>
      </c>
      <c r="I863" s="187" t="s">
        <v>149</v>
      </c>
      <c r="J863" s="83" t="s">
        <v>150</v>
      </c>
      <c r="K863" s="83" t="s">
        <v>151</v>
      </c>
      <c r="L863" s="83" t="s">
        <v>169</v>
      </c>
      <c r="M863" s="82" t="s">
        <v>9025</v>
      </c>
      <c r="N863" s="82" t="s">
        <v>9026</v>
      </c>
      <c r="O863" s="82"/>
      <c r="P863" s="82"/>
      <c r="Q863" s="82"/>
      <c r="R863" s="82"/>
      <c r="S863" s="82" t="s">
        <v>9027</v>
      </c>
      <c r="T863" s="138">
        <v>4.0</v>
      </c>
      <c r="U863" s="401" t="s">
        <v>9028</v>
      </c>
      <c r="V863" s="106">
        <v>0.0</v>
      </c>
      <c r="W863" s="107">
        <v>0.0</v>
      </c>
      <c r="X863" s="107">
        <v>0.0</v>
      </c>
      <c r="Y863" s="107">
        <v>0.0</v>
      </c>
      <c r="Z863" s="80">
        <v>0.0</v>
      </c>
      <c r="AA863" s="140">
        <v>0.0</v>
      </c>
      <c r="AB863" s="109">
        <v>0.0</v>
      </c>
      <c r="AC863" s="109">
        <v>0.0</v>
      </c>
      <c r="AD863" s="141">
        <v>0.0</v>
      </c>
      <c r="AE863" s="80">
        <v>0.0</v>
      </c>
      <c r="AF863" s="140">
        <v>46.0</v>
      </c>
      <c r="AG863" s="109">
        <v>51.0</v>
      </c>
      <c r="AH863" s="109">
        <v>16.0</v>
      </c>
      <c r="AI863" s="141">
        <v>23.0</v>
      </c>
      <c r="AJ863" s="80">
        <v>136.0</v>
      </c>
      <c r="AK863" s="140">
        <v>0.0</v>
      </c>
      <c r="AL863" s="109">
        <v>0.0</v>
      </c>
      <c r="AM863" s="141">
        <v>0.0</v>
      </c>
      <c r="AN863" s="80">
        <v>0.0</v>
      </c>
      <c r="AO863" s="140">
        <v>0.0</v>
      </c>
      <c r="AP863" s="109">
        <v>0.0</v>
      </c>
      <c r="AQ863" s="109">
        <v>33.0</v>
      </c>
      <c r="AR863" s="80">
        <v>33.0</v>
      </c>
      <c r="AS863" s="110">
        <v>0.0</v>
      </c>
      <c r="AT863" s="110">
        <v>0.0</v>
      </c>
      <c r="AU863" s="110">
        <v>0.0</v>
      </c>
      <c r="AV863" s="142">
        <v>0.0</v>
      </c>
      <c r="AW863" s="80">
        <v>0.0</v>
      </c>
      <c r="AX863" s="113">
        <v>169.0</v>
      </c>
      <c r="AY863" s="117">
        <v>120.0</v>
      </c>
      <c r="AZ863" s="328">
        <v>49.0</v>
      </c>
      <c r="BA863" s="315">
        <v>29.0</v>
      </c>
      <c r="BB863" s="316">
        <v>198.0</v>
      </c>
      <c r="BC863" s="132" t="s">
        <v>178</v>
      </c>
      <c r="BD863" s="132" t="s">
        <v>178</v>
      </c>
      <c r="BE863" s="132" t="s">
        <v>178</v>
      </c>
      <c r="BF863" s="123"/>
      <c r="BG863" s="83">
        <v>1124163.0</v>
      </c>
      <c r="BH863" s="112">
        <v>3.0</v>
      </c>
      <c r="BI863" s="98" t="s">
        <v>155</v>
      </c>
      <c r="BJ863" s="98" t="str">
        <f t="shared" si="1"/>
        <v>INTEGRAL</v>
      </c>
      <c r="BK863" s="98" t="str">
        <f t="shared" si="2"/>
        <v>NÃO</v>
      </c>
    </row>
    <row r="864" ht="15.75" customHeight="1">
      <c r="A864" s="111" t="s">
        <v>973</v>
      </c>
      <c r="B864" s="83" t="s">
        <v>4086</v>
      </c>
      <c r="C864" s="83" t="s">
        <v>68</v>
      </c>
      <c r="D864" s="83">
        <v>1124287.0</v>
      </c>
      <c r="E864" s="83"/>
      <c r="F864" s="83">
        <v>2.9237629E7</v>
      </c>
      <c r="G864" s="114" t="s">
        <v>9032</v>
      </c>
      <c r="H864" s="91" t="s">
        <v>9033</v>
      </c>
      <c r="I864" s="114" t="s">
        <v>171</v>
      </c>
      <c r="J864" s="83" t="s">
        <v>150</v>
      </c>
      <c r="K864" s="83" t="s">
        <v>151</v>
      </c>
      <c r="L864" s="83" t="s">
        <v>76</v>
      </c>
      <c r="M864" s="82" t="s">
        <v>9037</v>
      </c>
      <c r="N864" s="82" t="s">
        <v>9038</v>
      </c>
      <c r="O864" s="82" t="s">
        <v>9039</v>
      </c>
      <c r="P864" s="82" t="s">
        <v>9040</v>
      </c>
      <c r="Q864" s="82"/>
      <c r="R864" s="82"/>
      <c r="S864" s="82" t="s">
        <v>9041</v>
      </c>
      <c r="T864" s="138">
        <v>10.0</v>
      </c>
      <c r="U864" s="510">
        <v>12.0</v>
      </c>
      <c r="V864" s="106">
        <v>0.0</v>
      </c>
      <c r="W864" s="107">
        <v>0.0</v>
      </c>
      <c r="X864" s="107">
        <v>0.0</v>
      </c>
      <c r="Y864" s="107">
        <v>0.0</v>
      </c>
      <c r="Z864" s="80">
        <v>0.0</v>
      </c>
      <c r="AA864" s="140">
        <v>0.0</v>
      </c>
      <c r="AB864" s="109">
        <v>0.0</v>
      </c>
      <c r="AC864" s="109">
        <v>0.0</v>
      </c>
      <c r="AD864" s="141">
        <v>0.0</v>
      </c>
      <c r="AE864" s="80">
        <v>0.0</v>
      </c>
      <c r="AF864" s="140">
        <v>83.0</v>
      </c>
      <c r="AG864" s="109">
        <v>0.0</v>
      </c>
      <c r="AH864" s="109">
        <v>31.0</v>
      </c>
      <c r="AI864" s="141">
        <v>172.0</v>
      </c>
      <c r="AJ864" s="80">
        <v>286.0</v>
      </c>
      <c r="AK864" s="140">
        <v>0.0</v>
      </c>
      <c r="AL864" s="109">
        <v>0.0</v>
      </c>
      <c r="AM864" s="141">
        <v>0.0</v>
      </c>
      <c r="AN864" s="80">
        <v>0.0</v>
      </c>
      <c r="AO864" s="140">
        <v>0.0</v>
      </c>
      <c r="AP864" s="109">
        <v>0.0</v>
      </c>
      <c r="AQ864" s="109">
        <v>60.0</v>
      </c>
      <c r="AR864" s="80">
        <v>60.0</v>
      </c>
      <c r="AS864" s="110">
        <v>101.0</v>
      </c>
      <c r="AT864" s="110">
        <v>0.0</v>
      </c>
      <c r="AU864" s="110">
        <v>0.0</v>
      </c>
      <c r="AV864" s="142">
        <v>0.0</v>
      </c>
      <c r="AW864" s="80">
        <v>101.0</v>
      </c>
      <c r="AX864" s="113">
        <v>447.0</v>
      </c>
      <c r="AY864" s="117">
        <v>356.0</v>
      </c>
      <c r="AZ864" s="328">
        <v>91.0</v>
      </c>
      <c r="BA864" s="315">
        <v>7.0</v>
      </c>
      <c r="BB864" s="316">
        <v>454.0</v>
      </c>
      <c r="BC864" s="132" t="s">
        <v>178</v>
      </c>
      <c r="BD864" s="132" t="s">
        <v>178</v>
      </c>
      <c r="BE864" s="132" t="s">
        <v>178</v>
      </c>
      <c r="BF864" s="156"/>
      <c r="BG864" s="83">
        <v>1124287.0</v>
      </c>
      <c r="BH864" s="112">
        <v>6.0</v>
      </c>
      <c r="BI864" s="98" t="s">
        <v>162</v>
      </c>
      <c r="BJ864" s="98" t="str">
        <f t="shared" si="1"/>
        <v>INTEGRAL</v>
      </c>
      <c r="BK864" s="98" t="str">
        <f t="shared" si="2"/>
        <v>PROFISSIONAL</v>
      </c>
    </row>
    <row r="865" ht="15.75" customHeight="1">
      <c r="A865" s="111" t="s">
        <v>973</v>
      </c>
      <c r="B865" s="136" t="s">
        <v>4108</v>
      </c>
      <c r="C865" s="83" t="s">
        <v>68</v>
      </c>
      <c r="D865" s="83">
        <v>1176438.0</v>
      </c>
      <c r="E865" s="83"/>
      <c r="F865" s="83">
        <v>2.9394414E7</v>
      </c>
      <c r="G865" s="114" t="s">
        <v>6774</v>
      </c>
      <c r="H865" s="91" t="s">
        <v>4131</v>
      </c>
      <c r="I865" s="187" t="s">
        <v>149</v>
      </c>
      <c r="J865" s="83" t="s">
        <v>150</v>
      </c>
      <c r="K865" s="83" t="s">
        <v>151</v>
      </c>
      <c r="L865" s="83" t="s">
        <v>152</v>
      </c>
      <c r="M865" s="82" t="s">
        <v>9049</v>
      </c>
      <c r="N865" s="82" t="s">
        <v>9050</v>
      </c>
      <c r="O865" s="82" t="s">
        <v>9051</v>
      </c>
      <c r="P865" s="82"/>
      <c r="Q865" s="82"/>
      <c r="R865" s="82"/>
      <c r="S865" s="82" t="s">
        <v>9052</v>
      </c>
      <c r="T865" s="138">
        <v>17.0</v>
      </c>
      <c r="U865" s="437">
        <v>16.0</v>
      </c>
      <c r="V865" s="106">
        <v>0.0</v>
      </c>
      <c r="W865" s="107">
        <v>0.0</v>
      </c>
      <c r="X865" s="107">
        <v>0.0</v>
      </c>
      <c r="Y865" s="107">
        <v>0.0</v>
      </c>
      <c r="Z865" s="80">
        <v>0.0</v>
      </c>
      <c r="AA865" s="140">
        <v>0.0</v>
      </c>
      <c r="AB865" s="109">
        <v>0.0</v>
      </c>
      <c r="AC865" s="109">
        <v>0.0</v>
      </c>
      <c r="AD865" s="141">
        <v>0.0</v>
      </c>
      <c r="AE865" s="80">
        <v>0.0</v>
      </c>
      <c r="AF865" s="140">
        <v>608.0</v>
      </c>
      <c r="AG865" s="109">
        <v>551.0</v>
      </c>
      <c r="AH865" s="109">
        <v>0.0</v>
      </c>
      <c r="AI865" s="141">
        <v>0.0</v>
      </c>
      <c r="AJ865" s="80">
        <v>1159.0</v>
      </c>
      <c r="AK865" s="140">
        <v>0.0</v>
      </c>
      <c r="AL865" s="109">
        <v>0.0</v>
      </c>
      <c r="AM865" s="141">
        <v>0.0</v>
      </c>
      <c r="AN865" s="80">
        <v>0.0</v>
      </c>
      <c r="AO865" s="140">
        <v>0.0</v>
      </c>
      <c r="AP865" s="109">
        <v>0.0</v>
      </c>
      <c r="AQ865" s="109">
        <v>0.0</v>
      </c>
      <c r="AR865" s="80">
        <v>0.0</v>
      </c>
      <c r="AS865" s="110">
        <v>0.0</v>
      </c>
      <c r="AT865" s="110">
        <v>0.0</v>
      </c>
      <c r="AU865" s="110">
        <v>0.0</v>
      </c>
      <c r="AV865" s="142">
        <v>0.0</v>
      </c>
      <c r="AW865" s="80">
        <v>0.0</v>
      </c>
      <c r="AX865" s="113">
        <v>1159.0</v>
      </c>
      <c r="AY865" s="117">
        <v>1159.0</v>
      </c>
      <c r="AZ865" s="328">
        <v>0.0</v>
      </c>
      <c r="BA865" s="315">
        <v>0.0</v>
      </c>
      <c r="BB865" s="316">
        <v>1159.0</v>
      </c>
      <c r="BC865" s="132" t="s">
        <v>178</v>
      </c>
      <c r="BD865" s="132" t="s">
        <v>178</v>
      </c>
      <c r="BE865" s="132" t="s">
        <v>178</v>
      </c>
      <c r="BF865" s="123"/>
      <c r="BG865" s="83">
        <v>1176438.0</v>
      </c>
      <c r="BH865" s="112">
        <v>16.0</v>
      </c>
      <c r="BI865" s="98" t="s">
        <v>155</v>
      </c>
      <c r="BJ865" s="98" t="str">
        <f t="shared" si="1"/>
        <v>NÃO</v>
      </c>
      <c r="BK865" s="98" t="str">
        <f t="shared" si="2"/>
        <v>NÃO</v>
      </c>
    </row>
    <row r="866" ht="15.75" customHeight="1">
      <c r="A866" s="111" t="s">
        <v>973</v>
      </c>
      <c r="B866" s="83" t="s">
        <v>4108</v>
      </c>
      <c r="C866" s="83" t="s">
        <v>68</v>
      </c>
      <c r="D866" s="83">
        <v>1128606.0</v>
      </c>
      <c r="E866" s="83"/>
      <c r="F866" s="83">
        <v>2.9243947E7</v>
      </c>
      <c r="G866" s="114" t="s">
        <v>9056</v>
      </c>
      <c r="H866" s="91" t="s">
        <v>4110</v>
      </c>
      <c r="I866" s="114" t="s">
        <v>149</v>
      </c>
      <c r="J866" s="83" t="s">
        <v>150</v>
      </c>
      <c r="K866" s="83" t="s">
        <v>151</v>
      </c>
      <c r="L866" s="83" t="s">
        <v>230</v>
      </c>
      <c r="M866" s="82" t="s">
        <v>9057</v>
      </c>
      <c r="N866" s="82" t="s">
        <v>9058</v>
      </c>
      <c r="O866" s="82" t="s">
        <v>9059</v>
      </c>
      <c r="P866" s="82" t="s">
        <v>9060</v>
      </c>
      <c r="Q866" s="82" t="s">
        <v>9061</v>
      </c>
      <c r="R866" s="82" t="s">
        <v>9062</v>
      </c>
      <c r="S866" s="82" t="s">
        <v>9063</v>
      </c>
      <c r="T866" s="138">
        <v>18.0</v>
      </c>
      <c r="U866" s="389" t="s">
        <v>9064</v>
      </c>
      <c r="V866" s="106">
        <v>0.0</v>
      </c>
      <c r="W866" s="107">
        <v>0.0</v>
      </c>
      <c r="X866" s="107">
        <v>0.0</v>
      </c>
      <c r="Y866" s="107">
        <v>0.0</v>
      </c>
      <c r="Z866" s="80">
        <v>0.0</v>
      </c>
      <c r="AA866" s="140">
        <v>0.0</v>
      </c>
      <c r="AB866" s="109">
        <v>0.0</v>
      </c>
      <c r="AC866" s="109">
        <v>0.0</v>
      </c>
      <c r="AD866" s="141">
        <v>0.0</v>
      </c>
      <c r="AE866" s="80">
        <v>0.0</v>
      </c>
      <c r="AF866" s="140">
        <v>194.0</v>
      </c>
      <c r="AG866" s="109">
        <v>73.0</v>
      </c>
      <c r="AH866" s="109">
        <v>57.0</v>
      </c>
      <c r="AI866" s="141">
        <v>19.0</v>
      </c>
      <c r="AJ866" s="80">
        <v>343.0</v>
      </c>
      <c r="AK866" s="140">
        <v>0.0</v>
      </c>
      <c r="AL866" s="109">
        <v>0.0</v>
      </c>
      <c r="AM866" s="141">
        <v>0.0</v>
      </c>
      <c r="AN866" s="80">
        <v>0.0</v>
      </c>
      <c r="AO866" s="140">
        <v>0.0</v>
      </c>
      <c r="AP866" s="109">
        <v>29.0</v>
      </c>
      <c r="AQ866" s="109">
        <v>451.0</v>
      </c>
      <c r="AR866" s="80">
        <v>480.0</v>
      </c>
      <c r="AS866" s="110">
        <v>0.0</v>
      </c>
      <c r="AT866" s="110">
        <v>0.0</v>
      </c>
      <c r="AU866" s="110">
        <v>0.0</v>
      </c>
      <c r="AV866" s="142">
        <v>0.0</v>
      </c>
      <c r="AW866" s="80">
        <v>0.0</v>
      </c>
      <c r="AX866" s="113">
        <v>823.0</v>
      </c>
      <c r="AY866" s="117">
        <v>315.0</v>
      </c>
      <c r="AZ866" s="328">
        <v>508.0</v>
      </c>
      <c r="BA866" s="315">
        <v>3.0</v>
      </c>
      <c r="BB866" s="316">
        <v>826.0</v>
      </c>
      <c r="BC866" s="132" t="s">
        <v>178</v>
      </c>
      <c r="BD866" s="132" t="s">
        <v>178</v>
      </c>
      <c r="BE866" s="132" t="s">
        <v>178</v>
      </c>
      <c r="BF866" s="123"/>
      <c r="BG866" s="83">
        <v>1128606.0</v>
      </c>
      <c r="BH866" s="112">
        <v>17.0</v>
      </c>
      <c r="BI866" s="98" t="s">
        <v>155</v>
      </c>
      <c r="BJ866" s="98" t="str">
        <f t="shared" si="1"/>
        <v>INTEGRAL</v>
      </c>
      <c r="BK866" s="98" t="str">
        <f t="shared" si="2"/>
        <v>NÃO</v>
      </c>
    </row>
    <row r="867" ht="15.75" customHeight="1">
      <c r="A867" s="111" t="s">
        <v>973</v>
      </c>
      <c r="B867" s="83" t="s">
        <v>4108</v>
      </c>
      <c r="C867" s="83" t="s">
        <v>68</v>
      </c>
      <c r="D867" s="83">
        <v>1178149.0</v>
      </c>
      <c r="E867" s="83"/>
      <c r="F867" s="83">
        <v>2.9437814E7</v>
      </c>
      <c r="G867" s="365" t="s">
        <v>9068</v>
      </c>
      <c r="H867" s="91" t="s">
        <v>4123</v>
      </c>
      <c r="I867" s="114" t="s">
        <v>4124</v>
      </c>
      <c r="J867" s="83" t="s">
        <v>191</v>
      </c>
      <c r="K867" s="83" t="s">
        <v>151</v>
      </c>
      <c r="L867" s="83" t="s">
        <v>169</v>
      </c>
      <c r="M867" s="82" t="s">
        <v>9071</v>
      </c>
      <c r="N867" s="82" t="s">
        <v>9072</v>
      </c>
      <c r="O867" s="82" t="s">
        <v>9074</v>
      </c>
      <c r="P867" s="82" t="s">
        <v>9075</v>
      </c>
      <c r="Q867" s="82"/>
      <c r="R867" s="82"/>
      <c r="S867" s="82" t="s">
        <v>9076</v>
      </c>
      <c r="T867" s="138">
        <v>5.0</v>
      </c>
      <c r="U867" s="323" t="s">
        <v>9077</v>
      </c>
      <c r="V867" s="106">
        <v>0.0</v>
      </c>
      <c r="W867" s="107">
        <v>0.0</v>
      </c>
      <c r="X867" s="107">
        <v>0.0</v>
      </c>
      <c r="Y867" s="107">
        <v>0.0</v>
      </c>
      <c r="Z867" s="80">
        <v>0.0</v>
      </c>
      <c r="AA867" s="140">
        <v>0.0</v>
      </c>
      <c r="AB867" s="109">
        <v>0.0</v>
      </c>
      <c r="AC867" s="109">
        <v>0.0</v>
      </c>
      <c r="AD867" s="141">
        <v>0.0</v>
      </c>
      <c r="AE867" s="80">
        <v>0.0</v>
      </c>
      <c r="AF867" s="140">
        <v>0.0</v>
      </c>
      <c r="AG867" s="109">
        <v>131.0</v>
      </c>
      <c r="AH867" s="109">
        <v>0.0</v>
      </c>
      <c r="AI867" s="141">
        <v>0.0</v>
      </c>
      <c r="AJ867" s="80">
        <v>131.0</v>
      </c>
      <c r="AK867" s="140">
        <v>0.0</v>
      </c>
      <c r="AL867" s="109">
        <v>0.0</v>
      </c>
      <c r="AM867" s="141">
        <v>0.0</v>
      </c>
      <c r="AN867" s="80">
        <v>0.0</v>
      </c>
      <c r="AO867" s="140">
        <v>0.0</v>
      </c>
      <c r="AP867" s="109">
        <v>0.0</v>
      </c>
      <c r="AQ867" s="109">
        <v>46.0</v>
      </c>
      <c r="AR867" s="80">
        <v>46.0</v>
      </c>
      <c r="AS867" s="110">
        <v>0.0</v>
      </c>
      <c r="AT867" s="110">
        <v>0.0</v>
      </c>
      <c r="AU867" s="110">
        <v>0.0</v>
      </c>
      <c r="AV867" s="142">
        <v>0.0</v>
      </c>
      <c r="AW867" s="80">
        <v>0.0</v>
      </c>
      <c r="AX867" s="113">
        <v>177.0</v>
      </c>
      <c r="AY867" s="117">
        <v>131.0</v>
      </c>
      <c r="AZ867" s="328">
        <v>46.0</v>
      </c>
      <c r="BA867" s="315">
        <v>0.0</v>
      </c>
      <c r="BB867" s="316">
        <v>177.0</v>
      </c>
      <c r="BC867" s="132" t="s">
        <v>373</v>
      </c>
      <c r="BD867" s="132" t="s">
        <v>178</v>
      </c>
      <c r="BE867" s="132" t="s">
        <v>178</v>
      </c>
      <c r="BF867" s="156"/>
      <c r="BG867" s="83">
        <v>1178149.0</v>
      </c>
      <c r="BH867" s="112">
        <v>5.0</v>
      </c>
      <c r="BI867" s="98" t="s">
        <v>155</v>
      </c>
      <c r="BJ867" s="98" t="str">
        <f t="shared" si="1"/>
        <v>NÃO</v>
      </c>
      <c r="BK867" s="98" t="str">
        <f t="shared" si="2"/>
        <v>NÃO</v>
      </c>
    </row>
    <row r="868" ht="15.75" customHeight="1">
      <c r="A868" s="111" t="s">
        <v>973</v>
      </c>
      <c r="B868" s="83" t="s">
        <v>4108</v>
      </c>
      <c r="C868" s="83" t="s">
        <v>68</v>
      </c>
      <c r="D868" s="83">
        <v>1129319.0</v>
      </c>
      <c r="E868" s="83"/>
      <c r="F868" s="83">
        <v>2.924392E7</v>
      </c>
      <c r="G868" s="114" t="s">
        <v>4134</v>
      </c>
      <c r="H868" s="91" t="s">
        <v>4135</v>
      </c>
      <c r="I868" s="187" t="s">
        <v>149</v>
      </c>
      <c r="J868" s="83" t="s">
        <v>150</v>
      </c>
      <c r="K868" s="83" t="s">
        <v>151</v>
      </c>
      <c r="L868" s="83" t="s">
        <v>230</v>
      </c>
      <c r="M868" s="82" t="s">
        <v>9081</v>
      </c>
      <c r="N868" s="82" t="s">
        <v>9082</v>
      </c>
      <c r="O868" s="82" t="s">
        <v>9083</v>
      </c>
      <c r="P868" s="82" t="s">
        <v>9084</v>
      </c>
      <c r="Q868" s="82" t="s">
        <v>9086</v>
      </c>
      <c r="R868" s="82" t="s">
        <v>9088</v>
      </c>
      <c r="S868" s="82" t="s">
        <v>9090</v>
      </c>
      <c r="T868" s="138">
        <v>20.0</v>
      </c>
      <c r="U868" s="419" t="s">
        <v>9092</v>
      </c>
      <c r="V868" s="106">
        <v>0.0</v>
      </c>
      <c r="W868" s="107">
        <v>0.0</v>
      </c>
      <c r="X868" s="107">
        <v>0.0</v>
      </c>
      <c r="Y868" s="107">
        <v>0.0</v>
      </c>
      <c r="Z868" s="80">
        <v>0.0</v>
      </c>
      <c r="AA868" s="140">
        <v>0.0</v>
      </c>
      <c r="AB868" s="109">
        <v>0.0</v>
      </c>
      <c r="AC868" s="109">
        <v>0.0</v>
      </c>
      <c r="AD868" s="141">
        <v>0.0</v>
      </c>
      <c r="AE868" s="80">
        <v>0.0</v>
      </c>
      <c r="AF868" s="140">
        <v>0.0</v>
      </c>
      <c r="AG868" s="109">
        <v>0.0</v>
      </c>
      <c r="AH868" s="109">
        <v>0.0</v>
      </c>
      <c r="AI868" s="141">
        <v>0.0</v>
      </c>
      <c r="AJ868" s="80">
        <v>0.0</v>
      </c>
      <c r="AK868" s="140">
        <v>0.0</v>
      </c>
      <c r="AL868" s="109">
        <v>0.0</v>
      </c>
      <c r="AM868" s="141">
        <v>0.0</v>
      </c>
      <c r="AN868" s="80">
        <v>0.0</v>
      </c>
      <c r="AO868" s="140">
        <v>0.0</v>
      </c>
      <c r="AP868" s="109">
        <v>0.0</v>
      </c>
      <c r="AQ868" s="109">
        <v>0.0</v>
      </c>
      <c r="AR868" s="80">
        <v>0.0</v>
      </c>
      <c r="AS868" s="110">
        <v>693.0</v>
      </c>
      <c r="AT868" s="110">
        <v>625.0</v>
      </c>
      <c r="AU868" s="110">
        <v>518.0</v>
      </c>
      <c r="AV868" s="142">
        <v>0.0</v>
      </c>
      <c r="AW868" s="80">
        <v>1836.0</v>
      </c>
      <c r="AX868" s="113">
        <v>1836.0</v>
      </c>
      <c r="AY868" s="117">
        <v>1318.0</v>
      </c>
      <c r="AZ868" s="328">
        <v>518.0</v>
      </c>
      <c r="BA868" s="315">
        <v>0.0</v>
      </c>
      <c r="BB868" s="316">
        <v>1836.0</v>
      </c>
      <c r="BC868" s="132" t="s">
        <v>178</v>
      </c>
      <c r="BD868" s="132" t="s">
        <v>779</v>
      </c>
      <c r="BE868" s="132" t="s">
        <v>178</v>
      </c>
      <c r="BF868" s="123"/>
      <c r="BG868" s="83">
        <v>1129319.0</v>
      </c>
      <c r="BH868" s="112">
        <v>25.0</v>
      </c>
      <c r="BI868" s="98" t="s">
        <v>155</v>
      </c>
      <c r="BJ868" s="98" t="str">
        <f t="shared" si="1"/>
        <v>NÃO</v>
      </c>
      <c r="BK868" s="98" t="str">
        <f t="shared" si="2"/>
        <v>PROFISSIONAL</v>
      </c>
    </row>
    <row r="869" ht="15.75" customHeight="1">
      <c r="A869" s="111" t="s">
        <v>973</v>
      </c>
      <c r="B869" s="83" t="s">
        <v>4140</v>
      </c>
      <c r="C869" s="83" t="s">
        <v>68</v>
      </c>
      <c r="D869" s="83">
        <v>1178031.0</v>
      </c>
      <c r="E869" s="83"/>
      <c r="F869" s="83">
        <v>2.9424348E7</v>
      </c>
      <c r="G869" s="114" t="s">
        <v>9096</v>
      </c>
      <c r="H869" s="91" t="s">
        <v>4142</v>
      </c>
      <c r="I869" s="187" t="s">
        <v>149</v>
      </c>
      <c r="J869" s="83" t="s">
        <v>150</v>
      </c>
      <c r="K869" s="83" t="s">
        <v>151</v>
      </c>
      <c r="L869" s="83" t="s">
        <v>152</v>
      </c>
      <c r="M869" s="82" t="s">
        <v>9097</v>
      </c>
      <c r="N869" s="82" t="s">
        <v>9098</v>
      </c>
      <c r="O869" s="82" t="s">
        <v>9099</v>
      </c>
      <c r="P869" s="82" t="s">
        <v>9100</v>
      </c>
      <c r="Q869" s="82"/>
      <c r="R869" s="82"/>
      <c r="S869" s="82" t="s">
        <v>9102</v>
      </c>
      <c r="T869" s="138">
        <v>8.0</v>
      </c>
      <c r="U869" s="511" t="s">
        <v>2949</v>
      </c>
      <c r="V869" s="106">
        <v>0.0</v>
      </c>
      <c r="W869" s="107">
        <v>0.0</v>
      </c>
      <c r="X869" s="107">
        <v>0.0</v>
      </c>
      <c r="Y869" s="107">
        <v>0.0</v>
      </c>
      <c r="Z869" s="80">
        <v>0.0</v>
      </c>
      <c r="AA869" s="140">
        <v>0.0</v>
      </c>
      <c r="AB869" s="109">
        <v>0.0</v>
      </c>
      <c r="AC869" s="109">
        <v>0.0</v>
      </c>
      <c r="AD869" s="141">
        <v>0.0</v>
      </c>
      <c r="AE869" s="80">
        <v>0.0</v>
      </c>
      <c r="AF869" s="140">
        <v>0.0</v>
      </c>
      <c r="AG869" s="109">
        <v>0.0</v>
      </c>
      <c r="AH869" s="109">
        <v>0.0</v>
      </c>
      <c r="AI869" s="141">
        <v>277.0</v>
      </c>
      <c r="AJ869" s="80">
        <v>277.0</v>
      </c>
      <c r="AK869" s="140">
        <v>0.0</v>
      </c>
      <c r="AL869" s="109">
        <v>0.0</v>
      </c>
      <c r="AM869" s="141">
        <v>0.0</v>
      </c>
      <c r="AN869" s="80">
        <v>0.0</v>
      </c>
      <c r="AO869" s="140">
        <v>0.0</v>
      </c>
      <c r="AP869" s="109">
        <v>0.0</v>
      </c>
      <c r="AQ869" s="109">
        <v>75.0</v>
      </c>
      <c r="AR869" s="80">
        <v>75.0</v>
      </c>
      <c r="AS869" s="110">
        <v>0.0</v>
      </c>
      <c r="AT869" s="110">
        <v>0.0</v>
      </c>
      <c r="AU869" s="110">
        <v>8.0</v>
      </c>
      <c r="AV869" s="142">
        <v>0.0</v>
      </c>
      <c r="AW869" s="80">
        <v>8.0</v>
      </c>
      <c r="AX869" s="113">
        <v>360.0</v>
      </c>
      <c r="AY869" s="117">
        <v>277.0</v>
      </c>
      <c r="AZ869" s="328">
        <v>83.0</v>
      </c>
      <c r="BA869" s="315">
        <v>1.0</v>
      </c>
      <c r="BB869" s="316">
        <v>361.0</v>
      </c>
      <c r="BC869" s="132" t="s">
        <v>178</v>
      </c>
      <c r="BD869" s="132" t="s">
        <v>178</v>
      </c>
      <c r="BE869" s="132" t="s">
        <v>178</v>
      </c>
      <c r="BF869" s="123"/>
      <c r="BG869" s="83">
        <v>1178031.0</v>
      </c>
      <c r="BH869" s="112">
        <v>8.0</v>
      </c>
      <c r="BI869" s="98" t="s">
        <v>155</v>
      </c>
      <c r="BJ869" s="98" t="str">
        <f t="shared" si="1"/>
        <v>INTEGRAL</v>
      </c>
      <c r="BK869" s="98" t="str">
        <f t="shared" si="2"/>
        <v>PROFISSIONAL</v>
      </c>
    </row>
    <row r="870" ht="15.75" customHeight="1">
      <c r="A870" s="111" t="s">
        <v>973</v>
      </c>
      <c r="B870" s="83" t="s">
        <v>4144</v>
      </c>
      <c r="C870" s="83" t="s">
        <v>68</v>
      </c>
      <c r="D870" s="83">
        <v>1168039.0</v>
      </c>
      <c r="E870" s="83"/>
      <c r="F870" s="83">
        <v>2.9260256E7</v>
      </c>
      <c r="G870" s="114" t="s">
        <v>4149</v>
      </c>
      <c r="H870" s="91" t="s">
        <v>4150</v>
      </c>
      <c r="I870" s="187" t="s">
        <v>149</v>
      </c>
      <c r="J870" s="83" t="s">
        <v>150</v>
      </c>
      <c r="K870" s="83" t="s">
        <v>151</v>
      </c>
      <c r="L870" s="83" t="s">
        <v>152</v>
      </c>
      <c r="M870" s="82" t="s">
        <v>9108</v>
      </c>
      <c r="N870" s="82" t="s">
        <v>9109</v>
      </c>
      <c r="O870" s="82" t="s">
        <v>9111</v>
      </c>
      <c r="P870" s="82" t="s">
        <v>9114</v>
      </c>
      <c r="Q870" s="82"/>
      <c r="R870" s="82"/>
      <c r="S870" s="82" t="s">
        <v>9115</v>
      </c>
      <c r="T870" s="138">
        <v>10.0</v>
      </c>
      <c r="U870" s="406" t="s">
        <v>9117</v>
      </c>
      <c r="V870" s="106">
        <v>0.0</v>
      </c>
      <c r="W870" s="107">
        <v>0.0</v>
      </c>
      <c r="X870" s="107">
        <v>0.0</v>
      </c>
      <c r="Y870" s="107">
        <v>0.0</v>
      </c>
      <c r="Z870" s="80">
        <v>0.0</v>
      </c>
      <c r="AA870" s="140">
        <v>0.0</v>
      </c>
      <c r="AB870" s="109">
        <v>0.0</v>
      </c>
      <c r="AC870" s="109">
        <v>0.0</v>
      </c>
      <c r="AD870" s="141">
        <v>0.0</v>
      </c>
      <c r="AE870" s="80">
        <v>0.0</v>
      </c>
      <c r="AF870" s="140">
        <v>121.0</v>
      </c>
      <c r="AG870" s="109">
        <v>66.0</v>
      </c>
      <c r="AH870" s="109">
        <v>35.0</v>
      </c>
      <c r="AI870" s="141">
        <v>220.0</v>
      </c>
      <c r="AJ870" s="80">
        <v>442.0</v>
      </c>
      <c r="AK870" s="140">
        <v>0.0</v>
      </c>
      <c r="AL870" s="109">
        <v>0.0</v>
      </c>
      <c r="AM870" s="141">
        <v>0.0</v>
      </c>
      <c r="AN870" s="80">
        <v>0.0</v>
      </c>
      <c r="AO870" s="140">
        <v>0.0</v>
      </c>
      <c r="AP870" s="109">
        <v>0.0</v>
      </c>
      <c r="AQ870" s="109">
        <v>72.0</v>
      </c>
      <c r="AR870" s="80">
        <v>72.0</v>
      </c>
      <c r="AS870" s="110">
        <v>0.0</v>
      </c>
      <c r="AT870" s="110">
        <v>0.0</v>
      </c>
      <c r="AU870" s="110">
        <v>0.0</v>
      </c>
      <c r="AV870" s="142">
        <v>0.0</v>
      </c>
      <c r="AW870" s="80">
        <v>0.0</v>
      </c>
      <c r="AX870" s="113">
        <v>514.0</v>
      </c>
      <c r="AY870" s="117">
        <v>407.0</v>
      </c>
      <c r="AZ870" s="328">
        <v>107.0</v>
      </c>
      <c r="BA870" s="315">
        <v>1.0</v>
      </c>
      <c r="BB870" s="316">
        <v>515.0</v>
      </c>
      <c r="BC870" s="132" t="s">
        <v>178</v>
      </c>
      <c r="BD870" s="132" t="s">
        <v>178</v>
      </c>
      <c r="BE870" s="132" t="s">
        <v>178</v>
      </c>
      <c r="BF870" s="123"/>
      <c r="BG870" s="83">
        <v>1168039.0</v>
      </c>
      <c r="BH870" s="98">
        <v>9.0</v>
      </c>
      <c r="BI870" s="98" t="s">
        <v>162</v>
      </c>
      <c r="BJ870" s="98" t="str">
        <f t="shared" si="1"/>
        <v>INTEGRAL</v>
      </c>
      <c r="BK870" s="98" t="str">
        <f t="shared" si="2"/>
        <v>NÃO</v>
      </c>
    </row>
    <row r="871" ht="15.75" customHeight="1">
      <c r="A871" s="111" t="s">
        <v>973</v>
      </c>
      <c r="B871" s="83" t="s">
        <v>4144</v>
      </c>
      <c r="C871" s="83" t="s">
        <v>164</v>
      </c>
      <c r="D871" s="83">
        <v>1168039.0</v>
      </c>
      <c r="E871" s="83">
        <v>1179338.0</v>
      </c>
      <c r="F871" s="83"/>
      <c r="G871" s="114" t="s">
        <v>9121</v>
      </c>
      <c r="H871" s="91" t="s">
        <v>4154</v>
      </c>
      <c r="I871" s="187" t="s">
        <v>149</v>
      </c>
      <c r="J871" s="83" t="s">
        <v>767</v>
      </c>
      <c r="K871" s="83" t="s">
        <v>168</v>
      </c>
      <c r="L871" s="83" t="s">
        <v>169</v>
      </c>
      <c r="M871" s="82" t="s">
        <v>9108</v>
      </c>
      <c r="N871" s="82" t="s">
        <v>9109</v>
      </c>
      <c r="O871" s="82" t="s">
        <v>9111</v>
      </c>
      <c r="P871" s="82" t="s">
        <v>9114</v>
      </c>
      <c r="Q871" s="82"/>
      <c r="R871" s="82"/>
      <c r="S871" s="82" t="s">
        <v>9115</v>
      </c>
      <c r="T871" s="138">
        <v>4.0</v>
      </c>
      <c r="U871" s="406">
        <v>4.0</v>
      </c>
      <c r="V871" s="106">
        <v>0.0</v>
      </c>
      <c r="W871" s="107">
        <v>0.0</v>
      </c>
      <c r="X871" s="107">
        <v>0.0</v>
      </c>
      <c r="Y871" s="107">
        <v>0.0</v>
      </c>
      <c r="Z871" s="80">
        <v>0.0</v>
      </c>
      <c r="AA871" s="140">
        <v>0.0</v>
      </c>
      <c r="AB871" s="109">
        <v>0.0</v>
      </c>
      <c r="AC871" s="109">
        <v>0.0</v>
      </c>
      <c r="AD871" s="141">
        <v>0.0</v>
      </c>
      <c r="AE871" s="80">
        <v>0.0</v>
      </c>
      <c r="AF871" s="140">
        <v>9.0</v>
      </c>
      <c r="AG871" s="109">
        <v>0.0</v>
      </c>
      <c r="AH871" s="109">
        <v>30.0</v>
      </c>
      <c r="AI871" s="141">
        <v>0.0</v>
      </c>
      <c r="AJ871" s="80">
        <v>39.0</v>
      </c>
      <c r="AK871" s="140">
        <v>0.0</v>
      </c>
      <c r="AL871" s="109">
        <v>0.0</v>
      </c>
      <c r="AM871" s="141">
        <v>0.0</v>
      </c>
      <c r="AN871" s="80">
        <v>0.0</v>
      </c>
      <c r="AO871" s="140">
        <v>0.0</v>
      </c>
      <c r="AP871" s="109">
        <v>0.0</v>
      </c>
      <c r="AQ871" s="109">
        <v>48.0</v>
      </c>
      <c r="AR871" s="80">
        <v>48.0</v>
      </c>
      <c r="AS871" s="110">
        <v>0.0</v>
      </c>
      <c r="AT871" s="110">
        <v>0.0</v>
      </c>
      <c r="AU871" s="110">
        <v>0.0</v>
      </c>
      <c r="AV871" s="142">
        <v>0.0</v>
      </c>
      <c r="AW871" s="80">
        <v>0.0</v>
      </c>
      <c r="AX871" s="113">
        <v>87.0</v>
      </c>
      <c r="AY871" s="117">
        <v>9.0</v>
      </c>
      <c r="AZ871" s="328">
        <v>78.0</v>
      </c>
      <c r="BA871" s="315">
        <v>0.0</v>
      </c>
      <c r="BB871" s="316">
        <v>87.0</v>
      </c>
      <c r="BC871" s="132" t="s">
        <v>373</v>
      </c>
      <c r="BD871" s="132" t="s">
        <v>178</v>
      </c>
      <c r="BE871" s="132" t="s">
        <v>178</v>
      </c>
      <c r="BF871" s="123"/>
      <c r="BG871" s="83">
        <v>1179338.0</v>
      </c>
      <c r="BH871" s="112">
        <v>4.0</v>
      </c>
      <c r="BI871" s="98" t="s">
        <v>155</v>
      </c>
      <c r="BJ871" s="98" t="str">
        <f t="shared" si="1"/>
        <v>NÃO</v>
      </c>
      <c r="BK871" s="98" t="str">
        <f t="shared" si="2"/>
        <v>NÃO</v>
      </c>
    </row>
    <row r="872" ht="15.75" customHeight="1">
      <c r="A872" s="111" t="s">
        <v>973</v>
      </c>
      <c r="B872" s="83" t="s">
        <v>4144</v>
      </c>
      <c r="C872" s="83" t="s">
        <v>164</v>
      </c>
      <c r="D872" s="83">
        <v>1168039.0</v>
      </c>
      <c r="E872" s="83">
        <v>1178754.0</v>
      </c>
      <c r="F872" s="83"/>
      <c r="G872" s="430" t="s">
        <v>9127</v>
      </c>
      <c r="H872" s="91" t="s">
        <v>4163</v>
      </c>
      <c r="I872" s="114" t="s">
        <v>4164</v>
      </c>
      <c r="J872" s="83" t="s">
        <v>705</v>
      </c>
      <c r="K872" s="83" t="s">
        <v>168</v>
      </c>
      <c r="L872" s="136" t="s">
        <v>169</v>
      </c>
      <c r="M872" s="82" t="s">
        <v>9108</v>
      </c>
      <c r="N872" s="82" t="s">
        <v>9109</v>
      </c>
      <c r="O872" s="82" t="s">
        <v>9111</v>
      </c>
      <c r="P872" s="82" t="s">
        <v>9114</v>
      </c>
      <c r="Q872" s="82"/>
      <c r="R872" s="82"/>
      <c r="S872" s="82" t="s">
        <v>9115</v>
      </c>
      <c r="T872" s="138">
        <v>4.0</v>
      </c>
      <c r="U872" s="438">
        <v>4.0</v>
      </c>
      <c r="V872" s="106">
        <v>0.0</v>
      </c>
      <c r="W872" s="107">
        <v>0.0</v>
      </c>
      <c r="X872" s="107">
        <v>0.0</v>
      </c>
      <c r="Y872" s="107">
        <v>0.0</v>
      </c>
      <c r="Z872" s="80">
        <v>0.0</v>
      </c>
      <c r="AA872" s="140">
        <v>0.0</v>
      </c>
      <c r="AB872" s="109">
        <v>0.0</v>
      </c>
      <c r="AC872" s="109">
        <v>0.0</v>
      </c>
      <c r="AD872" s="141">
        <v>0.0</v>
      </c>
      <c r="AE872" s="80">
        <v>0.0</v>
      </c>
      <c r="AF872" s="140">
        <v>0.0</v>
      </c>
      <c r="AG872" s="109">
        <v>41.0</v>
      </c>
      <c r="AH872" s="109">
        <v>0.0</v>
      </c>
      <c r="AI872" s="141">
        <v>0.0</v>
      </c>
      <c r="AJ872" s="80">
        <v>41.0</v>
      </c>
      <c r="AK872" s="140">
        <v>0.0</v>
      </c>
      <c r="AL872" s="109">
        <v>0.0</v>
      </c>
      <c r="AM872" s="141">
        <v>0.0</v>
      </c>
      <c r="AN872" s="80">
        <v>0.0</v>
      </c>
      <c r="AO872" s="140">
        <v>0.0</v>
      </c>
      <c r="AP872" s="109">
        <v>0.0</v>
      </c>
      <c r="AQ872" s="109">
        <v>0.0</v>
      </c>
      <c r="AR872" s="80">
        <v>0.0</v>
      </c>
      <c r="AS872" s="110">
        <v>0.0</v>
      </c>
      <c r="AT872" s="110">
        <v>0.0</v>
      </c>
      <c r="AU872" s="110">
        <v>0.0</v>
      </c>
      <c r="AV872" s="142">
        <v>0.0</v>
      </c>
      <c r="AW872" s="80">
        <v>0.0</v>
      </c>
      <c r="AX872" s="113">
        <v>41.0</v>
      </c>
      <c r="AY872" s="117">
        <v>41.0</v>
      </c>
      <c r="AZ872" s="328">
        <v>0.0</v>
      </c>
      <c r="BA872" s="315">
        <v>0.0</v>
      </c>
      <c r="BB872" s="316">
        <v>41.0</v>
      </c>
      <c r="BC872" s="132" t="s">
        <v>373</v>
      </c>
      <c r="BD872" s="132" t="s">
        <v>178</v>
      </c>
      <c r="BE872" s="132" t="s">
        <v>178</v>
      </c>
      <c r="BF872" s="156"/>
      <c r="BG872" s="83">
        <v>1178754.0</v>
      </c>
      <c r="BH872" s="112">
        <v>4.0</v>
      </c>
      <c r="BI872" s="98" t="s">
        <v>155</v>
      </c>
      <c r="BJ872" s="98" t="str">
        <f t="shared" si="1"/>
        <v>NÃO</v>
      </c>
      <c r="BK872" s="98" t="str">
        <f t="shared" si="2"/>
        <v>NÃO</v>
      </c>
    </row>
    <row r="873" ht="15.75" customHeight="1">
      <c r="A873" s="111" t="s">
        <v>973</v>
      </c>
      <c r="B873" s="83" t="s">
        <v>4144</v>
      </c>
      <c r="C873" s="83" t="s">
        <v>164</v>
      </c>
      <c r="D873" s="83">
        <v>1168039.0</v>
      </c>
      <c r="E873" s="83">
        <v>1178753.0</v>
      </c>
      <c r="F873" s="83"/>
      <c r="G873" s="185" t="s">
        <v>9134</v>
      </c>
      <c r="H873" s="91" t="s">
        <v>4166</v>
      </c>
      <c r="I873" s="298" t="s">
        <v>4167</v>
      </c>
      <c r="J873" s="83" t="s">
        <v>222</v>
      </c>
      <c r="K873" s="83" t="s">
        <v>168</v>
      </c>
      <c r="L873" s="83" t="s">
        <v>169</v>
      </c>
      <c r="M873" s="82" t="s">
        <v>9108</v>
      </c>
      <c r="N873" s="82" t="s">
        <v>9109</v>
      </c>
      <c r="O873" s="82" t="s">
        <v>9111</v>
      </c>
      <c r="P873" s="82" t="s">
        <v>9114</v>
      </c>
      <c r="Q873" s="82"/>
      <c r="R873" s="82"/>
      <c r="S873" s="82" t="s">
        <v>9115</v>
      </c>
      <c r="T873" s="138">
        <v>5.0</v>
      </c>
      <c r="U873" s="331">
        <v>5.0</v>
      </c>
      <c r="V873" s="106">
        <v>0.0</v>
      </c>
      <c r="W873" s="107">
        <v>0.0</v>
      </c>
      <c r="X873" s="107">
        <v>0.0</v>
      </c>
      <c r="Y873" s="107">
        <v>0.0</v>
      </c>
      <c r="Z873" s="80">
        <v>0.0</v>
      </c>
      <c r="AA873" s="140">
        <v>0.0</v>
      </c>
      <c r="AB873" s="109">
        <v>0.0</v>
      </c>
      <c r="AC873" s="109">
        <v>0.0</v>
      </c>
      <c r="AD873" s="141">
        <v>0.0</v>
      </c>
      <c r="AE873" s="80">
        <v>0.0</v>
      </c>
      <c r="AF873" s="140">
        <v>0.0</v>
      </c>
      <c r="AG873" s="109">
        <v>69.0</v>
      </c>
      <c r="AH873" s="109">
        <v>0.0</v>
      </c>
      <c r="AI873" s="141">
        <v>0.0</v>
      </c>
      <c r="AJ873" s="80">
        <v>69.0</v>
      </c>
      <c r="AK873" s="140">
        <v>0.0</v>
      </c>
      <c r="AL873" s="109">
        <v>0.0</v>
      </c>
      <c r="AM873" s="141">
        <v>0.0</v>
      </c>
      <c r="AN873" s="80">
        <v>0.0</v>
      </c>
      <c r="AO873" s="140">
        <v>0.0</v>
      </c>
      <c r="AP873" s="109">
        <v>0.0</v>
      </c>
      <c r="AQ873" s="109">
        <v>0.0</v>
      </c>
      <c r="AR873" s="80">
        <v>0.0</v>
      </c>
      <c r="AS873" s="110">
        <v>0.0</v>
      </c>
      <c r="AT873" s="110">
        <v>0.0</v>
      </c>
      <c r="AU873" s="110">
        <v>0.0</v>
      </c>
      <c r="AV873" s="142">
        <v>0.0</v>
      </c>
      <c r="AW873" s="80">
        <v>0.0</v>
      </c>
      <c r="AX873" s="113">
        <v>69.0</v>
      </c>
      <c r="AY873" s="117">
        <v>69.0</v>
      </c>
      <c r="AZ873" s="328">
        <v>0.0</v>
      </c>
      <c r="BA873" s="315">
        <v>1.0</v>
      </c>
      <c r="BB873" s="316">
        <v>70.0</v>
      </c>
      <c r="BC873" s="132" t="s">
        <v>373</v>
      </c>
      <c r="BD873" s="132" t="s">
        <v>178</v>
      </c>
      <c r="BE873" s="132" t="s">
        <v>178</v>
      </c>
      <c r="BF873" s="156"/>
      <c r="BG873" s="83">
        <v>1178753.0</v>
      </c>
      <c r="BH873" s="112">
        <v>5.0</v>
      </c>
      <c r="BI873" s="98" t="s">
        <v>155</v>
      </c>
      <c r="BJ873" s="98" t="str">
        <f t="shared" si="1"/>
        <v>NÃO</v>
      </c>
      <c r="BK873" s="98" t="str">
        <f t="shared" si="2"/>
        <v>NÃO</v>
      </c>
    </row>
    <row r="874" ht="15.75" customHeight="1">
      <c r="A874" s="111" t="s">
        <v>973</v>
      </c>
      <c r="B874" s="83" t="s">
        <v>4168</v>
      </c>
      <c r="C874" s="83" t="s">
        <v>68</v>
      </c>
      <c r="D874" s="83">
        <v>1178218.0</v>
      </c>
      <c r="E874" s="83"/>
      <c r="F874" s="83">
        <v>2.9443334E7</v>
      </c>
      <c r="G874" s="185" t="s">
        <v>5557</v>
      </c>
      <c r="H874" s="91" t="s">
        <v>4170</v>
      </c>
      <c r="I874" s="298" t="s">
        <v>4171</v>
      </c>
      <c r="J874" s="83" t="s">
        <v>150</v>
      </c>
      <c r="K874" s="83" t="s">
        <v>151</v>
      </c>
      <c r="L874" s="83" t="s">
        <v>76</v>
      </c>
      <c r="M874" s="82" t="s">
        <v>9144</v>
      </c>
      <c r="N874" s="82" t="s">
        <v>9145</v>
      </c>
      <c r="O874" s="82" t="s">
        <v>9146</v>
      </c>
      <c r="P874" s="82" t="s">
        <v>9147</v>
      </c>
      <c r="Q874" s="82"/>
      <c r="R874" s="82"/>
      <c r="S874" s="82"/>
      <c r="T874" s="138">
        <v>7.0</v>
      </c>
      <c r="U874" s="331" t="s">
        <v>9149</v>
      </c>
      <c r="V874" s="106">
        <v>0.0</v>
      </c>
      <c r="W874" s="107">
        <v>0.0</v>
      </c>
      <c r="X874" s="107">
        <v>0.0</v>
      </c>
      <c r="Y874" s="107">
        <v>0.0</v>
      </c>
      <c r="Z874" s="80">
        <v>0.0</v>
      </c>
      <c r="AA874" s="140">
        <v>0.0</v>
      </c>
      <c r="AB874" s="109">
        <v>0.0</v>
      </c>
      <c r="AC874" s="109">
        <v>0.0</v>
      </c>
      <c r="AD874" s="141">
        <v>0.0</v>
      </c>
      <c r="AE874" s="80">
        <v>0.0</v>
      </c>
      <c r="AF874" s="140">
        <v>132.0</v>
      </c>
      <c r="AG874" s="109">
        <v>116.0</v>
      </c>
      <c r="AH874" s="109">
        <v>22.0</v>
      </c>
      <c r="AI874" s="141">
        <v>37.0</v>
      </c>
      <c r="AJ874" s="80">
        <v>307.0</v>
      </c>
      <c r="AK874" s="140">
        <v>0.0</v>
      </c>
      <c r="AL874" s="109">
        <v>0.0</v>
      </c>
      <c r="AM874" s="141">
        <v>0.0</v>
      </c>
      <c r="AN874" s="80">
        <v>0.0</v>
      </c>
      <c r="AO874" s="140">
        <v>0.0</v>
      </c>
      <c r="AP874" s="109">
        <v>0.0</v>
      </c>
      <c r="AQ874" s="109">
        <v>95.0</v>
      </c>
      <c r="AR874" s="80">
        <v>95.0</v>
      </c>
      <c r="AS874" s="110">
        <v>0.0</v>
      </c>
      <c r="AT874" s="110">
        <v>0.0</v>
      </c>
      <c r="AU874" s="110">
        <v>0.0</v>
      </c>
      <c r="AV874" s="142">
        <v>0.0</v>
      </c>
      <c r="AW874" s="80">
        <v>0.0</v>
      </c>
      <c r="AX874" s="113">
        <v>402.0</v>
      </c>
      <c r="AY874" s="117">
        <v>285.0</v>
      </c>
      <c r="AZ874" s="328">
        <v>117.0</v>
      </c>
      <c r="BA874" s="315">
        <v>3.0</v>
      </c>
      <c r="BB874" s="316">
        <v>405.0</v>
      </c>
      <c r="BC874" s="132" t="s">
        <v>178</v>
      </c>
      <c r="BD874" s="132" t="s">
        <v>178</v>
      </c>
      <c r="BE874" s="132" t="s">
        <v>178</v>
      </c>
      <c r="BF874" s="123"/>
      <c r="BG874" s="83">
        <v>1178218.0</v>
      </c>
      <c r="BH874" s="112">
        <v>7.0</v>
      </c>
      <c r="BI874" s="98" t="s">
        <v>155</v>
      </c>
      <c r="BJ874" s="98" t="str">
        <f t="shared" si="1"/>
        <v>INTEGRAL</v>
      </c>
      <c r="BK874" s="98" t="str">
        <f t="shared" si="2"/>
        <v>NÃO</v>
      </c>
    </row>
    <row r="875" ht="15.75" customHeight="1">
      <c r="A875" s="111" t="s">
        <v>973</v>
      </c>
      <c r="B875" s="83" t="s">
        <v>4173</v>
      </c>
      <c r="C875" s="83" t="s">
        <v>68</v>
      </c>
      <c r="D875" s="83">
        <v>1140606.0</v>
      </c>
      <c r="E875" s="83"/>
      <c r="F875" s="83">
        <v>2.9248132E7</v>
      </c>
      <c r="G875" s="185" t="s">
        <v>9153</v>
      </c>
      <c r="H875" s="91" t="s">
        <v>4179</v>
      </c>
      <c r="I875" s="298" t="s">
        <v>149</v>
      </c>
      <c r="J875" s="83" t="s">
        <v>150</v>
      </c>
      <c r="K875" s="83" t="s">
        <v>151</v>
      </c>
      <c r="L875" s="83" t="s">
        <v>76</v>
      </c>
      <c r="M875" s="82" t="s">
        <v>9154</v>
      </c>
      <c r="N875" s="82" t="s">
        <v>9155</v>
      </c>
      <c r="O875" s="82" t="s">
        <v>9157</v>
      </c>
      <c r="P875" s="82" t="s">
        <v>9159</v>
      </c>
      <c r="Q875" s="82"/>
      <c r="R875" s="82"/>
      <c r="S875" s="82" t="s">
        <v>9160</v>
      </c>
      <c r="T875" s="138">
        <v>8.0</v>
      </c>
      <c r="U875" s="323" t="s">
        <v>9162</v>
      </c>
      <c r="V875" s="106">
        <v>0.0</v>
      </c>
      <c r="W875" s="107">
        <v>0.0</v>
      </c>
      <c r="X875" s="107">
        <v>0.0</v>
      </c>
      <c r="Y875" s="107">
        <v>0.0</v>
      </c>
      <c r="Z875" s="80">
        <v>0.0</v>
      </c>
      <c r="AA875" s="140">
        <v>0.0</v>
      </c>
      <c r="AB875" s="109">
        <v>0.0</v>
      </c>
      <c r="AC875" s="109">
        <v>0.0</v>
      </c>
      <c r="AD875" s="141">
        <v>0.0</v>
      </c>
      <c r="AE875" s="80">
        <v>0.0</v>
      </c>
      <c r="AF875" s="140">
        <v>171.0</v>
      </c>
      <c r="AG875" s="109">
        <v>194.0</v>
      </c>
      <c r="AH875" s="109">
        <v>15.0</v>
      </c>
      <c r="AI875" s="141">
        <v>31.0</v>
      </c>
      <c r="AJ875" s="80">
        <v>411.0</v>
      </c>
      <c r="AK875" s="140">
        <v>0.0</v>
      </c>
      <c r="AL875" s="109">
        <v>0.0</v>
      </c>
      <c r="AM875" s="141">
        <v>0.0</v>
      </c>
      <c r="AN875" s="80">
        <v>0.0</v>
      </c>
      <c r="AO875" s="140">
        <v>0.0</v>
      </c>
      <c r="AP875" s="109">
        <v>0.0</v>
      </c>
      <c r="AQ875" s="109">
        <v>71.0</v>
      </c>
      <c r="AR875" s="80">
        <v>71.0</v>
      </c>
      <c r="AS875" s="110">
        <v>0.0</v>
      </c>
      <c r="AT875" s="110">
        <v>0.0</v>
      </c>
      <c r="AU875" s="110">
        <v>0.0</v>
      </c>
      <c r="AV875" s="142">
        <v>0.0</v>
      </c>
      <c r="AW875" s="80">
        <v>0.0</v>
      </c>
      <c r="AX875" s="113">
        <v>482.0</v>
      </c>
      <c r="AY875" s="117">
        <v>396.0</v>
      </c>
      <c r="AZ875" s="328">
        <v>86.0</v>
      </c>
      <c r="BA875" s="315">
        <v>20.0</v>
      </c>
      <c r="BB875" s="316">
        <v>502.0</v>
      </c>
      <c r="BC875" s="132" t="s">
        <v>178</v>
      </c>
      <c r="BD875" s="132" t="s">
        <v>178</v>
      </c>
      <c r="BE875" s="132" t="s">
        <v>178</v>
      </c>
      <c r="BF875" s="123"/>
      <c r="BG875" s="83">
        <v>1140606.0</v>
      </c>
      <c r="BH875" s="112">
        <v>8.0</v>
      </c>
      <c r="BI875" s="98" t="s">
        <v>155</v>
      </c>
      <c r="BJ875" s="98" t="str">
        <f t="shared" si="1"/>
        <v>INTEGRAL</v>
      </c>
      <c r="BK875" s="98" t="str">
        <f t="shared" si="2"/>
        <v>NÃO</v>
      </c>
    </row>
    <row r="876" ht="15.75" customHeight="1">
      <c r="A876" s="111" t="s">
        <v>973</v>
      </c>
      <c r="B876" s="83" t="s">
        <v>4188</v>
      </c>
      <c r="C876" s="83" t="s">
        <v>68</v>
      </c>
      <c r="D876" s="83">
        <v>1173130.0</v>
      </c>
      <c r="E876" s="83"/>
      <c r="F876" s="83">
        <v>2.9237645E7</v>
      </c>
      <c r="G876" s="114" t="s">
        <v>9166</v>
      </c>
      <c r="H876" s="91" t="s">
        <v>4190</v>
      </c>
      <c r="I876" s="298" t="s">
        <v>149</v>
      </c>
      <c r="J876" s="83" t="s">
        <v>150</v>
      </c>
      <c r="K876" s="83" t="s">
        <v>151</v>
      </c>
      <c r="L876" s="83" t="s">
        <v>230</v>
      </c>
      <c r="M876" s="82" t="s">
        <v>9167</v>
      </c>
      <c r="N876" s="82" t="s">
        <v>9168</v>
      </c>
      <c r="O876" s="82" t="s">
        <v>9169</v>
      </c>
      <c r="P876" s="82" t="s">
        <v>9170</v>
      </c>
      <c r="Q876" s="82" t="s">
        <v>9171</v>
      </c>
      <c r="R876" s="82" t="s">
        <v>9173</v>
      </c>
      <c r="S876" s="82" t="s">
        <v>9175</v>
      </c>
      <c r="T876" s="138">
        <v>14.0</v>
      </c>
      <c r="U876" s="323">
        <v>14.0</v>
      </c>
      <c r="V876" s="106">
        <v>0.0</v>
      </c>
      <c r="W876" s="107">
        <v>0.0</v>
      </c>
      <c r="X876" s="107">
        <v>0.0</v>
      </c>
      <c r="Y876" s="107">
        <v>0.0</v>
      </c>
      <c r="Z876" s="80">
        <v>0.0</v>
      </c>
      <c r="AA876" s="140">
        <v>0.0</v>
      </c>
      <c r="AB876" s="109">
        <v>0.0</v>
      </c>
      <c r="AC876" s="109">
        <v>0.0</v>
      </c>
      <c r="AD876" s="141">
        <v>0.0</v>
      </c>
      <c r="AE876" s="80">
        <v>0.0</v>
      </c>
      <c r="AF876" s="140">
        <v>485.0</v>
      </c>
      <c r="AG876" s="109">
        <v>141.0</v>
      </c>
      <c r="AH876" s="109">
        <v>44.0</v>
      </c>
      <c r="AI876" s="141">
        <v>80.0</v>
      </c>
      <c r="AJ876" s="80">
        <v>750.0</v>
      </c>
      <c r="AK876" s="140">
        <v>0.0</v>
      </c>
      <c r="AL876" s="109">
        <v>0.0</v>
      </c>
      <c r="AM876" s="141">
        <v>0.0</v>
      </c>
      <c r="AN876" s="80">
        <v>0.0</v>
      </c>
      <c r="AO876" s="140">
        <v>0.0</v>
      </c>
      <c r="AP876" s="109">
        <v>0.0</v>
      </c>
      <c r="AQ876" s="109">
        <v>80.0</v>
      </c>
      <c r="AR876" s="80">
        <v>80.0</v>
      </c>
      <c r="AS876" s="110">
        <v>0.0</v>
      </c>
      <c r="AT876" s="110">
        <v>0.0</v>
      </c>
      <c r="AU876" s="110">
        <v>0.0</v>
      </c>
      <c r="AV876" s="142">
        <v>0.0</v>
      </c>
      <c r="AW876" s="80">
        <v>0.0</v>
      </c>
      <c r="AX876" s="113">
        <v>830.0</v>
      </c>
      <c r="AY876" s="117">
        <v>706.0</v>
      </c>
      <c r="AZ876" s="328">
        <v>124.0</v>
      </c>
      <c r="BA876" s="315">
        <v>149.0</v>
      </c>
      <c r="BB876" s="316">
        <v>979.0</v>
      </c>
      <c r="BC876" s="132" t="s">
        <v>178</v>
      </c>
      <c r="BD876" s="132" t="s">
        <v>178</v>
      </c>
      <c r="BE876" s="132" t="s">
        <v>178</v>
      </c>
      <c r="BF876" s="123"/>
      <c r="BG876" s="83">
        <v>1173130.0</v>
      </c>
      <c r="BH876" s="112">
        <v>14.0</v>
      </c>
      <c r="BI876" s="98" t="s">
        <v>155</v>
      </c>
      <c r="BJ876" s="98" t="str">
        <f t="shared" si="1"/>
        <v>INTEGRAL</v>
      </c>
      <c r="BK876" s="98" t="str">
        <f t="shared" si="2"/>
        <v>NÃO</v>
      </c>
    </row>
    <row r="877" ht="15.75" customHeight="1">
      <c r="A877" s="111" t="s">
        <v>973</v>
      </c>
      <c r="B877" s="83" t="s">
        <v>4188</v>
      </c>
      <c r="C877" s="83" t="s">
        <v>164</v>
      </c>
      <c r="D877" s="83">
        <v>1173130.0</v>
      </c>
      <c r="E877" s="83">
        <v>1178758.0</v>
      </c>
      <c r="F877" s="83"/>
      <c r="G877" s="187" t="s">
        <v>9178</v>
      </c>
      <c r="H877" s="91" t="s">
        <v>4194</v>
      </c>
      <c r="I877" s="187" t="s">
        <v>4195</v>
      </c>
      <c r="J877" s="136" t="s">
        <v>1074</v>
      </c>
      <c r="K877" s="83" t="s">
        <v>168</v>
      </c>
      <c r="L877" s="83" t="s">
        <v>169</v>
      </c>
      <c r="M877" s="82" t="s">
        <v>9167</v>
      </c>
      <c r="N877" s="82" t="s">
        <v>9168</v>
      </c>
      <c r="O877" s="82" t="s">
        <v>9169</v>
      </c>
      <c r="P877" s="82" t="s">
        <v>9170</v>
      </c>
      <c r="Q877" s="82" t="s">
        <v>9171</v>
      </c>
      <c r="R877" s="82" t="s">
        <v>9173</v>
      </c>
      <c r="S877" s="82" t="s">
        <v>9175</v>
      </c>
      <c r="T877" s="138">
        <v>3.0</v>
      </c>
      <c r="U877" s="419">
        <v>3.0</v>
      </c>
      <c r="V877" s="106">
        <v>0.0</v>
      </c>
      <c r="W877" s="107">
        <v>0.0</v>
      </c>
      <c r="X877" s="107">
        <v>0.0</v>
      </c>
      <c r="Y877" s="107">
        <v>0.0</v>
      </c>
      <c r="Z877" s="80">
        <v>0.0</v>
      </c>
      <c r="AA877" s="140">
        <v>0.0</v>
      </c>
      <c r="AB877" s="109">
        <v>0.0</v>
      </c>
      <c r="AC877" s="109">
        <v>0.0</v>
      </c>
      <c r="AD877" s="141">
        <v>0.0</v>
      </c>
      <c r="AE877" s="80">
        <v>0.0</v>
      </c>
      <c r="AF877" s="140">
        <v>0.0</v>
      </c>
      <c r="AG877" s="109">
        <v>65.0</v>
      </c>
      <c r="AH877" s="109">
        <v>0.0</v>
      </c>
      <c r="AI877" s="141">
        <v>0.0</v>
      </c>
      <c r="AJ877" s="80">
        <v>65.0</v>
      </c>
      <c r="AK877" s="140">
        <v>0.0</v>
      </c>
      <c r="AL877" s="109">
        <v>0.0</v>
      </c>
      <c r="AM877" s="141">
        <v>0.0</v>
      </c>
      <c r="AN877" s="80">
        <v>0.0</v>
      </c>
      <c r="AO877" s="140">
        <v>0.0</v>
      </c>
      <c r="AP877" s="109">
        <v>0.0</v>
      </c>
      <c r="AQ877" s="109">
        <v>0.0</v>
      </c>
      <c r="AR877" s="80">
        <v>0.0</v>
      </c>
      <c r="AS877" s="110">
        <v>0.0</v>
      </c>
      <c r="AT877" s="110">
        <v>0.0</v>
      </c>
      <c r="AU877" s="110">
        <v>0.0</v>
      </c>
      <c r="AV877" s="142">
        <v>0.0</v>
      </c>
      <c r="AW877" s="80">
        <v>0.0</v>
      </c>
      <c r="AX877" s="113">
        <v>65.0</v>
      </c>
      <c r="AY877" s="117">
        <v>65.0</v>
      </c>
      <c r="AZ877" s="328">
        <v>0.0</v>
      </c>
      <c r="BA877" s="315">
        <v>0.0</v>
      </c>
      <c r="BB877" s="316">
        <v>65.0</v>
      </c>
      <c r="BC877" s="132" t="s">
        <v>373</v>
      </c>
      <c r="BD877" s="132" t="s">
        <v>178</v>
      </c>
      <c r="BE877" s="132" t="s">
        <v>178</v>
      </c>
      <c r="BF877" s="156"/>
      <c r="BG877" s="83">
        <v>1178758.0</v>
      </c>
      <c r="BH877" s="112">
        <v>3.0</v>
      </c>
      <c r="BI877" s="98" t="s">
        <v>155</v>
      </c>
      <c r="BJ877" s="98" t="str">
        <f t="shared" si="1"/>
        <v>NÃO</v>
      </c>
      <c r="BK877" s="98" t="str">
        <f t="shared" si="2"/>
        <v>NÃO</v>
      </c>
    </row>
    <row r="878" ht="15.75" customHeight="1">
      <c r="A878" s="111" t="s">
        <v>973</v>
      </c>
      <c r="B878" s="83" t="s">
        <v>4188</v>
      </c>
      <c r="C878" s="83" t="s">
        <v>164</v>
      </c>
      <c r="D878" s="83">
        <v>1173130.0</v>
      </c>
      <c r="E878" s="83">
        <v>1178757.0</v>
      </c>
      <c r="F878" s="83"/>
      <c r="G878" s="185" t="s">
        <v>9187</v>
      </c>
      <c r="H878" s="91" t="s">
        <v>4199</v>
      </c>
      <c r="I878" s="114" t="s">
        <v>4201</v>
      </c>
      <c r="J878" s="83" t="s">
        <v>784</v>
      </c>
      <c r="K878" s="83" t="s">
        <v>168</v>
      </c>
      <c r="L878" s="83" t="s">
        <v>169</v>
      </c>
      <c r="M878" s="82" t="s">
        <v>9167</v>
      </c>
      <c r="N878" s="82" t="s">
        <v>9168</v>
      </c>
      <c r="O878" s="82" t="s">
        <v>9169</v>
      </c>
      <c r="P878" s="82" t="s">
        <v>9170</v>
      </c>
      <c r="Q878" s="82" t="s">
        <v>9171</v>
      </c>
      <c r="R878" s="82" t="s">
        <v>9173</v>
      </c>
      <c r="S878" s="82" t="s">
        <v>9175</v>
      </c>
      <c r="T878" s="138">
        <v>3.0</v>
      </c>
      <c r="U878" s="323">
        <v>3.0</v>
      </c>
      <c r="V878" s="106">
        <v>0.0</v>
      </c>
      <c r="W878" s="107">
        <v>0.0</v>
      </c>
      <c r="X878" s="107">
        <v>0.0</v>
      </c>
      <c r="Y878" s="107">
        <v>0.0</v>
      </c>
      <c r="Z878" s="80">
        <v>0.0</v>
      </c>
      <c r="AA878" s="140">
        <v>0.0</v>
      </c>
      <c r="AB878" s="109">
        <v>0.0</v>
      </c>
      <c r="AC878" s="109">
        <v>0.0</v>
      </c>
      <c r="AD878" s="141">
        <v>0.0</v>
      </c>
      <c r="AE878" s="80">
        <v>0.0</v>
      </c>
      <c r="AF878" s="140">
        <v>69.0</v>
      </c>
      <c r="AG878" s="109">
        <v>50.0</v>
      </c>
      <c r="AH878" s="109">
        <v>0.0</v>
      </c>
      <c r="AI878" s="141">
        <v>0.0</v>
      </c>
      <c r="AJ878" s="80">
        <v>119.0</v>
      </c>
      <c r="AK878" s="140">
        <v>0.0</v>
      </c>
      <c r="AL878" s="109">
        <v>0.0</v>
      </c>
      <c r="AM878" s="141">
        <v>0.0</v>
      </c>
      <c r="AN878" s="80">
        <v>0.0</v>
      </c>
      <c r="AO878" s="140">
        <v>0.0</v>
      </c>
      <c r="AP878" s="109">
        <v>0.0</v>
      </c>
      <c r="AQ878" s="109">
        <v>0.0</v>
      </c>
      <c r="AR878" s="80">
        <v>0.0</v>
      </c>
      <c r="AS878" s="110">
        <v>0.0</v>
      </c>
      <c r="AT878" s="110">
        <v>0.0</v>
      </c>
      <c r="AU878" s="110">
        <v>0.0</v>
      </c>
      <c r="AV878" s="142">
        <v>0.0</v>
      </c>
      <c r="AW878" s="80">
        <v>0.0</v>
      </c>
      <c r="AX878" s="113">
        <v>119.0</v>
      </c>
      <c r="AY878" s="117">
        <v>119.0</v>
      </c>
      <c r="AZ878" s="328">
        <v>0.0</v>
      </c>
      <c r="BA878" s="315">
        <v>0.0</v>
      </c>
      <c r="BB878" s="316">
        <v>119.0</v>
      </c>
      <c r="BC878" s="132" t="s">
        <v>373</v>
      </c>
      <c r="BD878" s="132" t="s">
        <v>178</v>
      </c>
      <c r="BE878" s="132" t="s">
        <v>178</v>
      </c>
      <c r="BF878" s="156"/>
      <c r="BG878" s="83">
        <v>1178757.0</v>
      </c>
      <c r="BH878" s="112">
        <v>3.0</v>
      </c>
      <c r="BI878" s="98" t="s">
        <v>155</v>
      </c>
      <c r="BJ878" s="98" t="str">
        <f t="shared" si="1"/>
        <v>NÃO</v>
      </c>
      <c r="BK878" s="98" t="str">
        <f t="shared" si="2"/>
        <v>NÃO</v>
      </c>
    </row>
    <row r="879" ht="15.75" customHeight="1">
      <c r="A879" s="111" t="s">
        <v>973</v>
      </c>
      <c r="B879" s="83" t="s">
        <v>4188</v>
      </c>
      <c r="C879" s="83" t="s">
        <v>164</v>
      </c>
      <c r="D879" s="83">
        <v>1173130.0</v>
      </c>
      <c r="E879" s="83">
        <v>1178756.0</v>
      </c>
      <c r="F879" s="83"/>
      <c r="G879" s="185" t="s">
        <v>9193</v>
      </c>
      <c r="H879" s="91" t="s">
        <v>4203</v>
      </c>
      <c r="I879" s="298" t="s">
        <v>4205</v>
      </c>
      <c r="J879" s="83" t="s">
        <v>3227</v>
      </c>
      <c r="K879" s="83" t="s">
        <v>168</v>
      </c>
      <c r="L879" s="83" t="s">
        <v>169</v>
      </c>
      <c r="M879" s="82" t="s">
        <v>9167</v>
      </c>
      <c r="N879" s="82" t="s">
        <v>9168</v>
      </c>
      <c r="O879" s="82" t="s">
        <v>9169</v>
      </c>
      <c r="P879" s="82" t="s">
        <v>9170</v>
      </c>
      <c r="Q879" s="82" t="s">
        <v>9171</v>
      </c>
      <c r="R879" s="82" t="s">
        <v>9173</v>
      </c>
      <c r="S879" s="82" t="s">
        <v>9175</v>
      </c>
      <c r="T879" s="138">
        <v>6.0</v>
      </c>
      <c r="U879" s="401">
        <v>5.0</v>
      </c>
      <c r="V879" s="106">
        <v>0.0</v>
      </c>
      <c r="W879" s="107">
        <v>0.0</v>
      </c>
      <c r="X879" s="107">
        <v>0.0</v>
      </c>
      <c r="Y879" s="107">
        <v>0.0</v>
      </c>
      <c r="Z879" s="80">
        <v>0.0</v>
      </c>
      <c r="AA879" s="140">
        <v>0.0</v>
      </c>
      <c r="AB879" s="109">
        <v>0.0</v>
      </c>
      <c r="AC879" s="109">
        <v>0.0</v>
      </c>
      <c r="AD879" s="141">
        <v>0.0</v>
      </c>
      <c r="AE879" s="80">
        <v>0.0</v>
      </c>
      <c r="AF879" s="140">
        <v>0.0</v>
      </c>
      <c r="AG879" s="109">
        <v>90.0</v>
      </c>
      <c r="AH879" s="109">
        <v>54.0</v>
      </c>
      <c r="AI879" s="141">
        <v>0.0</v>
      </c>
      <c r="AJ879" s="80">
        <v>144.0</v>
      </c>
      <c r="AK879" s="140">
        <v>0.0</v>
      </c>
      <c r="AL879" s="109">
        <v>0.0</v>
      </c>
      <c r="AM879" s="141">
        <v>0.0</v>
      </c>
      <c r="AN879" s="80">
        <v>0.0</v>
      </c>
      <c r="AO879" s="140">
        <v>0.0</v>
      </c>
      <c r="AP879" s="109">
        <v>0.0</v>
      </c>
      <c r="AQ879" s="109">
        <v>0.0</v>
      </c>
      <c r="AR879" s="80">
        <v>0.0</v>
      </c>
      <c r="AS879" s="110">
        <v>0.0</v>
      </c>
      <c r="AT879" s="110">
        <v>0.0</v>
      </c>
      <c r="AU879" s="110">
        <v>0.0</v>
      </c>
      <c r="AV879" s="142">
        <v>0.0</v>
      </c>
      <c r="AW879" s="80">
        <v>0.0</v>
      </c>
      <c r="AX879" s="113">
        <v>144.0</v>
      </c>
      <c r="AY879" s="117">
        <v>90.0</v>
      </c>
      <c r="AZ879" s="328">
        <v>54.0</v>
      </c>
      <c r="BA879" s="315">
        <v>0.0</v>
      </c>
      <c r="BB879" s="316">
        <v>144.0</v>
      </c>
      <c r="BC879" s="132" t="s">
        <v>373</v>
      </c>
      <c r="BD879" s="132" t="s">
        <v>178</v>
      </c>
      <c r="BE879" s="132" t="s">
        <v>178</v>
      </c>
      <c r="BF879" s="123"/>
      <c r="BG879" s="83">
        <v>1178756.0</v>
      </c>
      <c r="BH879" s="112">
        <v>5.0</v>
      </c>
      <c r="BI879" s="98" t="s">
        <v>155</v>
      </c>
      <c r="BJ879" s="98" t="str">
        <f t="shared" si="1"/>
        <v>NÃO</v>
      </c>
      <c r="BK879" s="98" t="str">
        <f t="shared" si="2"/>
        <v>NÃO</v>
      </c>
    </row>
    <row r="880" ht="15.75" customHeight="1">
      <c r="A880" s="111" t="s">
        <v>973</v>
      </c>
      <c r="B880" s="83" t="s">
        <v>4188</v>
      </c>
      <c r="C880" s="83" t="s">
        <v>164</v>
      </c>
      <c r="D880" s="83">
        <v>1173130.0</v>
      </c>
      <c r="E880" s="83">
        <v>1179194.0</v>
      </c>
      <c r="F880" s="83"/>
      <c r="G880" s="185" t="s">
        <v>9200</v>
      </c>
      <c r="H880" s="91" t="s">
        <v>4214</v>
      </c>
      <c r="I880" s="114" t="s">
        <v>4215</v>
      </c>
      <c r="J880" s="83" t="s">
        <v>694</v>
      </c>
      <c r="K880" s="83" t="s">
        <v>168</v>
      </c>
      <c r="L880" s="83" t="s">
        <v>169</v>
      </c>
      <c r="M880" s="82" t="s">
        <v>9167</v>
      </c>
      <c r="N880" s="82" t="s">
        <v>9168</v>
      </c>
      <c r="O880" s="82" t="s">
        <v>9169</v>
      </c>
      <c r="P880" s="82" t="s">
        <v>9170</v>
      </c>
      <c r="Q880" s="82" t="s">
        <v>9171</v>
      </c>
      <c r="R880" s="82" t="s">
        <v>9173</v>
      </c>
      <c r="S880" s="82" t="s">
        <v>9175</v>
      </c>
      <c r="T880" s="138">
        <v>3.0</v>
      </c>
      <c r="U880" s="323">
        <v>2.0</v>
      </c>
      <c r="V880" s="106">
        <v>0.0</v>
      </c>
      <c r="W880" s="107">
        <v>0.0</v>
      </c>
      <c r="X880" s="107">
        <v>0.0</v>
      </c>
      <c r="Y880" s="107">
        <v>0.0</v>
      </c>
      <c r="Z880" s="80">
        <v>0.0</v>
      </c>
      <c r="AA880" s="140">
        <v>0.0</v>
      </c>
      <c r="AB880" s="109">
        <v>0.0</v>
      </c>
      <c r="AC880" s="109">
        <v>0.0</v>
      </c>
      <c r="AD880" s="141">
        <v>0.0</v>
      </c>
      <c r="AE880" s="80">
        <v>0.0</v>
      </c>
      <c r="AF880" s="140">
        <v>22.0</v>
      </c>
      <c r="AG880" s="109">
        <v>9.0</v>
      </c>
      <c r="AH880" s="109">
        <v>0.0</v>
      </c>
      <c r="AI880" s="141">
        <v>0.0</v>
      </c>
      <c r="AJ880" s="80">
        <v>31.0</v>
      </c>
      <c r="AK880" s="140">
        <v>0.0</v>
      </c>
      <c r="AL880" s="109">
        <v>0.0</v>
      </c>
      <c r="AM880" s="141">
        <v>0.0</v>
      </c>
      <c r="AN880" s="80">
        <v>0.0</v>
      </c>
      <c r="AO880" s="140">
        <v>0.0</v>
      </c>
      <c r="AP880" s="109">
        <v>0.0</v>
      </c>
      <c r="AQ880" s="109">
        <v>0.0</v>
      </c>
      <c r="AR880" s="80">
        <v>0.0</v>
      </c>
      <c r="AS880" s="110">
        <v>0.0</v>
      </c>
      <c r="AT880" s="110">
        <v>0.0</v>
      </c>
      <c r="AU880" s="110">
        <v>0.0</v>
      </c>
      <c r="AV880" s="142">
        <v>0.0</v>
      </c>
      <c r="AW880" s="80">
        <v>0.0</v>
      </c>
      <c r="AX880" s="113">
        <v>31.0</v>
      </c>
      <c r="AY880" s="117">
        <v>31.0</v>
      </c>
      <c r="AZ880" s="328">
        <v>0.0</v>
      </c>
      <c r="BA880" s="315">
        <v>1.0</v>
      </c>
      <c r="BB880" s="316">
        <v>32.0</v>
      </c>
      <c r="BC880" s="132" t="s">
        <v>265</v>
      </c>
      <c r="BD880" s="132" t="s">
        <v>178</v>
      </c>
      <c r="BE880" s="132" t="s">
        <v>178</v>
      </c>
      <c r="BF880" s="123"/>
      <c r="BG880" s="83">
        <v>1179194.0</v>
      </c>
      <c r="BH880" s="112">
        <v>2.0</v>
      </c>
      <c r="BI880" s="98" t="s">
        <v>155</v>
      </c>
      <c r="BJ880" s="98" t="str">
        <f t="shared" si="1"/>
        <v>NÃO</v>
      </c>
      <c r="BK880" s="98" t="str">
        <f t="shared" si="2"/>
        <v>NÃO</v>
      </c>
    </row>
    <row r="881" ht="15.75" customHeight="1">
      <c r="A881" s="111" t="s">
        <v>973</v>
      </c>
      <c r="B881" s="83" t="s">
        <v>4216</v>
      </c>
      <c r="C881" s="83" t="s">
        <v>68</v>
      </c>
      <c r="D881" s="83">
        <v>1124635.0</v>
      </c>
      <c r="E881" s="83"/>
      <c r="F881" s="83">
        <v>2.926166E7</v>
      </c>
      <c r="G881" s="185" t="s">
        <v>9208</v>
      </c>
      <c r="H881" s="91" t="s">
        <v>9209</v>
      </c>
      <c r="I881" s="114" t="s">
        <v>149</v>
      </c>
      <c r="J881" s="83" t="s">
        <v>150</v>
      </c>
      <c r="K881" s="83" t="s">
        <v>151</v>
      </c>
      <c r="L881" s="83" t="s">
        <v>76</v>
      </c>
      <c r="M881" s="82" t="s">
        <v>9212</v>
      </c>
      <c r="N881" s="82" t="s">
        <v>9214</v>
      </c>
      <c r="O881" s="82" t="s">
        <v>9215</v>
      </c>
      <c r="P881" s="82" t="s">
        <v>9216</v>
      </c>
      <c r="Q881" s="82"/>
      <c r="R881" s="82"/>
      <c r="S881" s="82" t="s">
        <v>9217</v>
      </c>
      <c r="T881" s="138">
        <v>12.0</v>
      </c>
      <c r="U881" s="331" t="s">
        <v>9218</v>
      </c>
      <c r="V881" s="106">
        <v>0.0</v>
      </c>
      <c r="W881" s="107">
        <v>0.0</v>
      </c>
      <c r="X881" s="107">
        <v>0.0</v>
      </c>
      <c r="Y881" s="107">
        <v>0.0</v>
      </c>
      <c r="Z881" s="80">
        <v>0.0</v>
      </c>
      <c r="AA881" s="140">
        <v>0.0</v>
      </c>
      <c r="AB881" s="109">
        <v>0.0</v>
      </c>
      <c r="AC881" s="109">
        <v>0.0</v>
      </c>
      <c r="AD881" s="141">
        <v>0.0</v>
      </c>
      <c r="AE881" s="80">
        <v>0.0</v>
      </c>
      <c r="AF881" s="140">
        <v>67.0</v>
      </c>
      <c r="AG881" s="109">
        <v>55.0</v>
      </c>
      <c r="AH881" s="109">
        <v>32.0</v>
      </c>
      <c r="AI881" s="141">
        <v>57.0</v>
      </c>
      <c r="AJ881" s="80">
        <v>211.0</v>
      </c>
      <c r="AK881" s="140">
        <v>0.0</v>
      </c>
      <c r="AL881" s="109">
        <v>0.0</v>
      </c>
      <c r="AM881" s="141">
        <v>0.0</v>
      </c>
      <c r="AN881" s="80">
        <v>0.0</v>
      </c>
      <c r="AO881" s="140">
        <v>0.0</v>
      </c>
      <c r="AP881" s="109">
        <v>0.0</v>
      </c>
      <c r="AQ881" s="109">
        <v>21.0</v>
      </c>
      <c r="AR881" s="80">
        <v>21.0</v>
      </c>
      <c r="AS881" s="110">
        <v>61.0</v>
      </c>
      <c r="AT881" s="110">
        <v>63.0</v>
      </c>
      <c r="AU881" s="110">
        <v>28.0</v>
      </c>
      <c r="AV881" s="142">
        <v>0.0</v>
      </c>
      <c r="AW881" s="80">
        <v>152.0</v>
      </c>
      <c r="AX881" s="113">
        <v>384.0</v>
      </c>
      <c r="AY881" s="117">
        <v>303.0</v>
      </c>
      <c r="AZ881" s="328">
        <v>81.0</v>
      </c>
      <c r="BA881" s="315">
        <v>0.0</v>
      </c>
      <c r="BB881" s="316">
        <v>384.0</v>
      </c>
      <c r="BC881" s="132" t="s">
        <v>178</v>
      </c>
      <c r="BD881" s="132" t="s">
        <v>178</v>
      </c>
      <c r="BE881" s="132" t="s">
        <v>178</v>
      </c>
      <c r="BF881" s="123"/>
      <c r="BG881" s="83">
        <v>1124635.0</v>
      </c>
      <c r="BH881" s="112">
        <v>7.0</v>
      </c>
      <c r="BI881" s="98" t="s">
        <v>155</v>
      </c>
      <c r="BJ881" s="98" t="str">
        <f t="shared" si="1"/>
        <v>INTEGRAL</v>
      </c>
      <c r="BK881" s="98" t="str">
        <f t="shared" si="2"/>
        <v>PROFISSIONAL</v>
      </c>
    </row>
    <row r="882" ht="15.75" customHeight="1">
      <c r="A882" s="111" t="s">
        <v>973</v>
      </c>
      <c r="B882" s="83" t="s">
        <v>4227</v>
      </c>
      <c r="C882" s="83" t="s">
        <v>68</v>
      </c>
      <c r="D882" s="83">
        <v>1129130.0</v>
      </c>
      <c r="E882" s="83"/>
      <c r="F882" s="83">
        <v>2.9251648E7</v>
      </c>
      <c r="G882" s="185" t="s">
        <v>9220</v>
      </c>
      <c r="H882" s="91" t="s">
        <v>4229</v>
      </c>
      <c r="I882" s="298" t="s">
        <v>149</v>
      </c>
      <c r="J882" s="83" t="s">
        <v>150</v>
      </c>
      <c r="K882" s="83" t="s">
        <v>151</v>
      </c>
      <c r="L882" s="83" t="s">
        <v>152</v>
      </c>
      <c r="M882" s="82" t="s">
        <v>9221</v>
      </c>
      <c r="N882" s="82" t="s">
        <v>9222</v>
      </c>
      <c r="O882" s="82" t="s">
        <v>9223</v>
      </c>
      <c r="P882" s="82" t="s">
        <v>9224</v>
      </c>
      <c r="Q882" s="82" t="s">
        <v>9226</v>
      </c>
      <c r="R882" s="82" t="s">
        <v>9228</v>
      </c>
      <c r="S882" s="82" t="s">
        <v>9229</v>
      </c>
      <c r="T882" s="138">
        <v>11.0</v>
      </c>
      <c r="U882" s="331" t="s">
        <v>9230</v>
      </c>
      <c r="V882" s="106">
        <v>0.0</v>
      </c>
      <c r="W882" s="107">
        <v>0.0</v>
      </c>
      <c r="X882" s="107">
        <v>0.0</v>
      </c>
      <c r="Y882" s="107">
        <v>0.0</v>
      </c>
      <c r="Z882" s="80">
        <v>0.0</v>
      </c>
      <c r="AA882" s="140">
        <v>0.0</v>
      </c>
      <c r="AB882" s="109">
        <v>0.0</v>
      </c>
      <c r="AC882" s="109">
        <v>0.0</v>
      </c>
      <c r="AD882" s="141">
        <v>0.0</v>
      </c>
      <c r="AE882" s="80">
        <v>0.0</v>
      </c>
      <c r="AF882" s="140">
        <v>41.0</v>
      </c>
      <c r="AG882" s="109">
        <v>40.0</v>
      </c>
      <c r="AH882" s="109">
        <v>40.0</v>
      </c>
      <c r="AI882" s="141">
        <v>350.0</v>
      </c>
      <c r="AJ882" s="80">
        <v>471.0</v>
      </c>
      <c r="AK882" s="140">
        <v>0.0</v>
      </c>
      <c r="AL882" s="109">
        <v>0.0</v>
      </c>
      <c r="AM882" s="141">
        <v>0.0</v>
      </c>
      <c r="AN882" s="80">
        <v>0.0</v>
      </c>
      <c r="AO882" s="140">
        <v>0.0</v>
      </c>
      <c r="AP882" s="109">
        <v>0.0</v>
      </c>
      <c r="AQ882" s="109">
        <v>151.0</v>
      </c>
      <c r="AR882" s="80">
        <v>151.0</v>
      </c>
      <c r="AS882" s="110">
        <v>0.0</v>
      </c>
      <c r="AT882" s="110">
        <v>0.0</v>
      </c>
      <c r="AU882" s="110">
        <v>0.0</v>
      </c>
      <c r="AV882" s="142">
        <v>0.0</v>
      </c>
      <c r="AW882" s="80">
        <v>0.0</v>
      </c>
      <c r="AX882" s="113">
        <v>622.0</v>
      </c>
      <c r="AY882" s="117">
        <v>431.0</v>
      </c>
      <c r="AZ882" s="328">
        <v>191.0</v>
      </c>
      <c r="BA882" s="315">
        <v>0.0</v>
      </c>
      <c r="BB882" s="316">
        <v>622.0</v>
      </c>
      <c r="BC882" s="132" t="s">
        <v>178</v>
      </c>
      <c r="BD882" s="132" t="s">
        <v>178</v>
      </c>
      <c r="BE882" s="132" t="s">
        <v>178</v>
      </c>
      <c r="BF882" s="123"/>
      <c r="BG882" s="83">
        <v>1129130.0</v>
      </c>
      <c r="BH882" s="112">
        <v>6.0</v>
      </c>
      <c r="BI882" s="98" t="s">
        <v>155</v>
      </c>
      <c r="BJ882" s="98" t="str">
        <f t="shared" si="1"/>
        <v>INTEGRAL</v>
      </c>
      <c r="BK882" s="98" t="str">
        <f t="shared" si="2"/>
        <v>NÃO</v>
      </c>
    </row>
    <row r="883" ht="15.75" customHeight="1">
      <c r="A883" s="111" t="s">
        <v>973</v>
      </c>
      <c r="B883" s="83" t="s">
        <v>4227</v>
      </c>
      <c r="C883" s="83" t="s">
        <v>164</v>
      </c>
      <c r="D883" s="83">
        <v>1129130.0</v>
      </c>
      <c r="E883" s="83">
        <v>1179021.0</v>
      </c>
      <c r="F883" s="83"/>
      <c r="G883" s="187" t="s">
        <v>9233</v>
      </c>
      <c r="H883" s="91" t="s">
        <v>4234</v>
      </c>
      <c r="I883" s="298" t="s">
        <v>149</v>
      </c>
      <c r="J883" s="83" t="s">
        <v>244</v>
      </c>
      <c r="K883" s="83" t="s">
        <v>168</v>
      </c>
      <c r="L883" s="83" t="s">
        <v>169</v>
      </c>
      <c r="M883" s="82" t="s">
        <v>9221</v>
      </c>
      <c r="N883" s="82" t="s">
        <v>9222</v>
      </c>
      <c r="O883" s="82" t="s">
        <v>9223</v>
      </c>
      <c r="P883" s="82" t="s">
        <v>9224</v>
      </c>
      <c r="Q883" s="82" t="s">
        <v>9226</v>
      </c>
      <c r="R883" s="82" t="s">
        <v>9228</v>
      </c>
      <c r="S883" s="82" t="s">
        <v>9229</v>
      </c>
      <c r="T883" s="138">
        <v>3.0</v>
      </c>
      <c r="U883" s="387">
        <v>3.0</v>
      </c>
      <c r="V883" s="106">
        <v>0.0</v>
      </c>
      <c r="W883" s="107">
        <v>0.0</v>
      </c>
      <c r="X883" s="107">
        <v>0.0</v>
      </c>
      <c r="Y883" s="107">
        <v>0.0</v>
      </c>
      <c r="Z883" s="80">
        <v>0.0</v>
      </c>
      <c r="AA883" s="140">
        <v>0.0</v>
      </c>
      <c r="AB883" s="109">
        <v>0.0</v>
      </c>
      <c r="AC883" s="109">
        <v>0.0</v>
      </c>
      <c r="AD883" s="141">
        <v>0.0</v>
      </c>
      <c r="AE883" s="80">
        <v>0.0</v>
      </c>
      <c r="AF883" s="140">
        <v>0.0</v>
      </c>
      <c r="AG883" s="109">
        <v>0.0</v>
      </c>
      <c r="AH883" s="109">
        <v>21.0</v>
      </c>
      <c r="AI883" s="141">
        <v>0.0</v>
      </c>
      <c r="AJ883" s="80">
        <v>21.0</v>
      </c>
      <c r="AK883" s="140">
        <v>0.0</v>
      </c>
      <c r="AL883" s="109">
        <v>0.0</v>
      </c>
      <c r="AM883" s="141">
        <v>0.0</v>
      </c>
      <c r="AN883" s="80">
        <v>0.0</v>
      </c>
      <c r="AO883" s="140">
        <v>0.0</v>
      </c>
      <c r="AP883" s="109">
        <v>0.0</v>
      </c>
      <c r="AQ883" s="109">
        <v>37.0</v>
      </c>
      <c r="AR883" s="80">
        <v>37.0</v>
      </c>
      <c r="AS883" s="110">
        <v>0.0</v>
      </c>
      <c r="AT883" s="110">
        <v>0.0</v>
      </c>
      <c r="AU883" s="110">
        <v>0.0</v>
      </c>
      <c r="AV883" s="142">
        <v>0.0</v>
      </c>
      <c r="AW883" s="80">
        <v>0.0</v>
      </c>
      <c r="AX883" s="113">
        <v>58.0</v>
      </c>
      <c r="AY883" s="117">
        <v>0.0</v>
      </c>
      <c r="AZ883" s="328">
        <v>58.0</v>
      </c>
      <c r="BA883" s="315">
        <v>1.0</v>
      </c>
      <c r="BB883" s="316">
        <v>59.0</v>
      </c>
      <c r="BC883" s="132" t="s">
        <v>373</v>
      </c>
      <c r="BD883" s="132" t="s">
        <v>178</v>
      </c>
      <c r="BE883" s="132" t="s">
        <v>178</v>
      </c>
      <c r="BF883" s="123"/>
      <c r="BG883" s="83">
        <v>1179021.0</v>
      </c>
      <c r="BH883" s="112">
        <v>3.0</v>
      </c>
      <c r="BI883" s="98" t="s">
        <v>155</v>
      </c>
      <c r="BJ883" s="98" t="str">
        <f t="shared" si="1"/>
        <v>NÃO</v>
      </c>
      <c r="BK883" s="98" t="str">
        <f t="shared" si="2"/>
        <v>NÃO</v>
      </c>
    </row>
    <row r="884" ht="15.75" customHeight="1">
      <c r="A884" s="111" t="s">
        <v>973</v>
      </c>
      <c r="B884" s="83" t="s">
        <v>4235</v>
      </c>
      <c r="C884" s="83" t="s">
        <v>68</v>
      </c>
      <c r="D884" s="83">
        <v>1176379.0</v>
      </c>
      <c r="E884" s="83"/>
      <c r="F884" s="83">
        <v>2.9359805E7</v>
      </c>
      <c r="G884" s="184" t="s">
        <v>9240</v>
      </c>
      <c r="H884" s="91" t="s">
        <v>9241</v>
      </c>
      <c r="I884" s="114" t="s">
        <v>149</v>
      </c>
      <c r="J884" s="83" t="s">
        <v>150</v>
      </c>
      <c r="K884" s="83" t="s">
        <v>151</v>
      </c>
      <c r="L884" s="83" t="s">
        <v>76</v>
      </c>
      <c r="M884" s="82" t="s">
        <v>9243</v>
      </c>
      <c r="N884" s="82" t="s">
        <v>9244</v>
      </c>
      <c r="O884" s="82" t="s">
        <v>9245</v>
      </c>
      <c r="P884" s="82" t="s">
        <v>9246</v>
      </c>
      <c r="Q884" s="82"/>
      <c r="R884" s="82"/>
      <c r="S884" s="82" t="s">
        <v>9247</v>
      </c>
      <c r="T884" s="138">
        <v>6.0</v>
      </c>
      <c r="U884" s="331">
        <v>12.0</v>
      </c>
      <c r="V884" s="106">
        <v>0.0</v>
      </c>
      <c r="W884" s="107">
        <v>0.0</v>
      </c>
      <c r="X884" s="107">
        <v>0.0</v>
      </c>
      <c r="Y884" s="107">
        <v>0.0</v>
      </c>
      <c r="Z884" s="80">
        <v>0.0</v>
      </c>
      <c r="AA884" s="140">
        <v>0.0</v>
      </c>
      <c r="AB884" s="109">
        <v>0.0</v>
      </c>
      <c r="AC884" s="109">
        <v>0.0</v>
      </c>
      <c r="AD884" s="141">
        <v>0.0</v>
      </c>
      <c r="AE884" s="80">
        <v>0.0</v>
      </c>
      <c r="AF884" s="140">
        <v>129.0</v>
      </c>
      <c r="AG884" s="109">
        <v>109.0</v>
      </c>
      <c r="AH884" s="109">
        <v>17.0</v>
      </c>
      <c r="AI884" s="141">
        <v>199.0</v>
      </c>
      <c r="AJ884" s="80">
        <v>454.0</v>
      </c>
      <c r="AK884" s="140">
        <v>0.0</v>
      </c>
      <c r="AL884" s="109">
        <v>0.0</v>
      </c>
      <c r="AM884" s="141">
        <v>0.0</v>
      </c>
      <c r="AN884" s="80">
        <v>0.0</v>
      </c>
      <c r="AO884" s="140">
        <v>0.0</v>
      </c>
      <c r="AP884" s="109">
        <v>0.0</v>
      </c>
      <c r="AQ884" s="109">
        <v>61.0</v>
      </c>
      <c r="AR884" s="80">
        <v>61.0</v>
      </c>
      <c r="AS884" s="110">
        <v>0.0</v>
      </c>
      <c r="AT884" s="110">
        <v>0.0</v>
      </c>
      <c r="AU884" s="110">
        <v>0.0</v>
      </c>
      <c r="AV884" s="142">
        <v>0.0</v>
      </c>
      <c r="AW884" s="80">
        <v>0.0</v>
      </c>
      <c r="AX884" s="113">
        <v>515.0</v>
      </c>
      <c r="AY884" s="117">
        <v>437.0</v>
      </c>
      <c r="AZ884" s="328">
        <v>78.0</v>
      </c>
      <c r="BA884" s="315">
        <v>3.0</v>
      </c>
      <c r="BB884" s="316">
        <v>518.0</v>
      </c>
      <c r="BC884" s="132" t="s">
        <v>178</v>
      </c>
      <c r="BD884" s="132" t="s">
        <v>178</v>
      </c>
      <c r="BE884" s="132" t="s">
        <v>178</v>
      </c>
      <c r="BF884" s="123"/>
      <c r="BG884" s="83">
        <v>1176379.0</v>
      </c>
      <c r="BH884" s="98">
        <v>12.0</v>
      </c>
      <c r="BI884" s="98" t="s">
        <v>162</v>
      </c>
      <c r="BJ884" s="98" t="str">
        <f t="shared" si="1"/>
        <v>INTEGRAL</v>
      </c>
      <c r="BK884" s="98" t="str">
        <f t="shared" si="2"/>
        <v>NÃO</v>
      </c>
    </row>
    <row r="885" ht="15.75" customHeight="1">
      <c r="A885" s="111" t="s">
        <v>973</v>
      </c>
      <c r="B885" s="83" t="s">
        <v>4235</v>
      </c>
      <c r="C885" s="83" t="s">
        <v>164</v>
      </c>
      <c r="D885" s="83">
        <v>1176379.0</v>
      </c>
      <c r="E885" s="83">
        <v>1179022.0</v>
      </c>
      <c r="F885" s="83"/>
      <c r="G885" s="185" t="s">
        <v>9248</v>
      </c>
      <c r="H885" s="91" t="s">
        <v>4243</v>
      </c>
      <c r="I885" s="114" t="s">
        <v>149</v>
      </c>
      <c r="J885" s="83" t="s">
        <v>240</v>
      </c>
      <c r="K885" s="83" t="s">
        <v>168</v>
      </c>
      <c r="L885" s="83" t="s">
        <v>169</v>
      </c>
      <c r="M885" s="82" t="s">
        <v>9243</v>
      </c>
      <c r="N885" s="82" t="s">
        <v>9244</v>
      </c>
      <c r="O885" s="82" t="s">
        <v>9245</v>
      </c>
      <c r="P885" s="82" t="s">
        <v>9246</v>
      </c>
      <c r="Q885" s="82"/>
      <c r="R885" s="82"/>
      <c r="S885" s="82" t="s">
        <v>9247</v>
      </c>
      <c r="T885" s="138">
        <v>4.0</v>
      </c>
      <c r="U885" s="323">
        <v>2.0</v>
      </c>
      <c r="V885" s="106">
        <v>0.0</v>
      </c>
      <c r="W885" s="107">
        <v>0.0</v>
      </c>
      <c r="X885" s="107">
        <v>0.0</v>
      </c>
      <c r="Y885" s="107">
        <v>0.0</v>
      </c>
      <c r="Z885" s="80">
        <v>0.0</v>
      </c>
      <c r="AA885" s="140">
        <v>0.0</v>
      </c>
      <c r="AB885" s="109">
        <v>0.0</v>
      </c>
      <c r="AC885" s="109">
        <v>0.0</v>
      </c>
      <c r="AD885" s="141">
        <v>0.0</v>
      </c>
      <c r="AE885" s="80">
        <v>0.0</v>
      </c>
      <c r="AF885" s="140">
        <v>0.0</v>
      </c>
      <c r="AG885" s="109">
        <v>25.0</v>
      </c>
      <c r="AH885" s="109">
        <v>0.0</v>
      </c>
      <c r="AI885" s="141">
        <v>0.0</v>
      </c>
      <c r="AJ885" s="80">
        <v>25.0</v>
      </c>
      <c r="AK885" s="140">
        <v>0.0</v>
      </c>
      <c r="AL885" s="109">
        <v>0.0</v>
      </c>
      <c r="AM885" s="141">
        <v>0.0</v>
      </c>
      <c r="AN885" s="80">
        <v>0.0</v>
      </c>
      <c r="AO885" s="140">
        <v>0.0</v>
      </c>
      <c r="AP885" s="109">
        <v>0.0</v>
      </c>
      <c r="AQ885" s="109">
        <v>0.0</v>
      </c>
      <c r="AR885" s="80">
        <v>0.0</v>
      </c>
      <c r="AS885" s="110">
        <v>0.0</v>
      </c>
      <c r="AT885" s="110">
        <v>0.0</v>
      </c>
      <c r="AU885" s="110">
        <v>0.0</v>
      </c>
      <c r="AV885" s="142">
        <v>0.0</v>
      </c>
      <c r="AW885" s="80">
        <v>0.0</v>
      </c>
      <c r="AX885" s="113">
        <v>25.0</v>
      </c>
      <c r="AY885" s="117">
        <v>25.0</v>
      </c>
      <c r="AZ885" s="328">
        <v>0.0</v>
      </c>
      <c r="BA885" s="315">
        <v>33.0</v>
      </c>
      <c r="BB885" s="316">
        <v>58.0</v>
      </c>
      <c r="BC885" s="132" t="s">
        <v>373</v>
      </c>
      <c r="BD885" s="132" t="s">
        <v>178</v>
      </c>
      <c r="BE885" s="132" t="s">
        <v>178</v>
      </c>
      <c r="BF885" s="123"/>
      <c r="BG885" s="83">
        <v>1179022.0</v>
      </c>
      <c r="BH885" s="112">
        <v>2.0</v>
      </c>
      <c r="BI885" s="98" t="s">
        <v>155</v>
      </c>
      <c r="BJ885" s="98" t="str">
        <f t="shared" si="1"/>
        <v>NÃO</v>
      </c>
      <c r="BK885" s="98" t="str">
        <f t="shared" si="2"/>
        <v>NÃO</v>
      </c>
    </row>
    <row r="886" ht="15.75" customHeight="1">
      <c r="A886" s="111" t="s">
        <v>973</v>
      </c>
      <c r="B886" s="83" t="s">
        <v>4251</v>
      </c>
      <c r="C886" s="83" t="s">
        <v>68</v>
      </c>
      <c r="D886" s="83">
        <v>1129416.0</v>
      </c>
      <c r="E886" s="83"/>
      <c r="F886" s="83">
        <v>2.9264049E7</v>
      </c>
      <c r="G886" s="513" t="s">
        <v>9250</v>
      </c>
      <c r="H886" s="91" t="s">
        <v>4253</v>
      </c>
      <c r="I886" s="114" t="s">
        <v>4254</v>
      </c>
      <c r="J886" s="83" t="s">
        <v>310</v>
      </c>
      <c r="K886" s="83" t="s">
        <v>151</v>
      </c>
      <c r="L886" s="83" t="s">
        <v>169</v>
      </c>
      <c r="M886" s="82" t="s">
        <v>9254</v>
      </c>
      <c r="N886" s="82" t="s">
        <v>9256</v>
      </c>
      <c r="O886" s="82"/>
      <c r="P886" s="82"/>
      <c r="Q886" s="82"/>
      <c r="R886" s="82"/>
      <c r="S886" s="82" t="s">
        <v>9257</v>
      </c>
      <c r="T886" s="138">
        <v>8.0</v>
      </c>
      <c r="U886" s="334" t="s">
        <v>9258</v>
      </c>
      <c r="V886" s="106">
        <v>0.0</v>
      </c>
      <c r="W886" s="107">
        <v>0.0</v>
      </c>
      <c r="X886" s="107">
        <v>0.0</v>
      </c>
      <c r="Y886" s="107">
        <v>0.0</v>
      </c>
      <c r="Z886" s="80">
        <v>0.0</v>
      </c>
      <c r="AA886" s="140">
        <v>0.0</v>
      </c>
      <c r="AB886" s="109">
        <v>0.0</v>
      </c>
      <c r="AC886" s="109">
        <v>0.0</v>
      </c>
      <c r="AD886" s="141">
        <v>0.0</v>
      </c>
      <c r="AE886" s="80">
        <v>0.0</v>
      </c>
      <c r="AF886" s="140">
        <v>0.0</v>
      </c>
      <c r="AG886" s="109">
        <v>0.0</v>
      </c>
      <c r="AH886" s="109">
        <v>10.0</v>
      </c>
      <c r="AI886" s="141">
        <v>216.0</v>
      </c>
      <c r="AJ886" s="80">
        <v>226.0</v>
      </c>
      <c r="AK886" s="140">
        <v>0.0</v>
      </c>
      <c r="AL886" s="109">
        <v>0.0</v>
      </c>
      <c r="AM886" s="141">
        <v>0.0</v>
      </c>
      <c r="AN886" s="80">
        <v>0.0</v>
      </c>
      <c r="AO886" s="140">
        <v>0.0</v>
      </c>
      <c r="AP886" s="109">
        <v>0.0</v>
      </c>
      <c r="AQ886" s="109">
        <v>35.0</v>
      </c>
      <c r="AR886" s="80">
        <v>35.0</v>
      </c>
      <c r="AS886" s="110">
        <v>0.0</v>
      </c>
      <c r="AT886" s="110">
        <v>0.0</v>
      </c>
      <c r="AU886" s="110">
        <v>0.0</v>
      </c>
      <c r="AV886" s="142">
        <v>0.0</v>
      </c>
      <c r="AW886" s="80">
        <v>0.0</v>
      </c>
      <c r="AX886" s="113">
        <v>261.0</v>
      </c>
      <c r="AY886" s="117">
        <v>216.0</v>
      </c>
      <c r="AZ886" s="328">
        <v>45.0</v>
      </c>
      <c r="BA886" s="315">
        <v>3.0</v>
      </c>
      <c r="BB886" s="316">
        <v>264.0</v>
      </c>
      <c r="BC886" s="132" t="s">
        <v>178</v>
      </c>
      <c r="BD886" s="132" t="s">
        <v>178</v>
      </c>
      <c r="BE886" s="132" t="s">
        <v>178</v>
      </c>
      <c r="BF886" s="156"/>
      <c r="BG886" s="83">
        <v>1129416.0</v>
      </c>
      <c r="BH886" s="112">
        <v>8.0</v>
      </c>
      <c r="BI886" s="98" t="s">
        <v>162</v>
      </c>
      <c r="BJ886" s="98" t="str">
        <f t="shared" si="1"/>
        <v>INTEGRAL</v>
      </c>
      <c r="BK886" s="98" t="str">
        <f t="shared" si="2"/>
        <v>NÃO</v>
      </c>
    </row>
    <row r="887" ht="15.75" customHeight="1">
      <c r="A887" s="111" t="s">
        <v>973</v>
      </c>
      <c r="B887" s="83" t="s">
        <v>4251</v>
      </c>
      <c r="C887" s="83" t="s">
        <v>68</v>
      </c>
      <c r="D887" s="83">
        <v>1176197.0</v>
      </c>
      <c r="E887" s="83"/>
      <c r="F887" s="83">
        <v>2.9263972E7</v>
      </c>
      <c r="G887" s="185" t="s">
        <v>9259</v>
      </c>
      <c r="H887" s="91" t="s">
        <v>9260</v>
      </c>
      <c r="I887" s="114" t="s">
        <v>9261</v>
      </c>
      <c r="J887" s="83" t="s">
        <v>150</v>
      </c>
      <c r="K887" s="83" t="s">
        <v>151</v>
      </c>
      <c r="L887" s="83" t="s">
        <v>169</v>
      </c>
      <c r="M887" s="82" t="s">
        <v>9262</v>
      </c>
      <c r="N887" s="82" t="s">
        <v>9263</v>
      </c>
      <c r="O887" s="82" t="s">
        <v>9264</v>
      </c>
      <c r="P887" s="82" t="s">
        <v>9265</v>
      </c>
      <c r="Q887" s="82"/>
      <c r="R887" s="82"/>
      <c r="S887" s="82" t="s">
        <v>9266</v>
      </c>
      <c r="T887" s="138">
        <v>6.0</v>
      </c>
      <c r="U887" s="334" t="s">
        <v>9267</v>
      </c>
      <c r="V887" s="106">
        <v>0.0</v>
      </c>
      <c r="W887" s="107">
        <v>0.0</v>
      </c>
      <c r="X887" s="107">
        <v>0.0</v>
      </c>
      <c r="Y887" s="107">
        <v>0.0</v>
      </c>
      <c r="Z887" s="80">
        <v>0.0</v>
      </c>
      <c r="AA887" s="140">
        <v>0.0</v>
      </c>
      <c r="AB887" s="109">
        <v>0.0</v>
      </c>
      <c r="AC887" s="109">
        <v>0.0</v>
      </c>
      <c r="AD887" s="141">
        <v>0.0</v>
      </c>
      <c r="AE887" s="80">
        <v>0.0</v>
      </c>
      <c r="AF887" s="140">
        <v>94.0</v>
      </c>
      <c r="AG887" s="109">
        <v>92.0</v>
      </c>
      <c r="AH887" s="109">
        <v>0.0</v>
      </c>
      <c r="AI887" s="141">
        <v>30.0</v>
      </c>
      <c r="AJ887" s="80">
        <v>216.0</v>
      </c>
      <c r="AK887" s="140">
        <v>0.0</v>
      </c>
      <c r="AL887" s="109">
        <v>0.0</v>
      </c>
      <c r="AM887" s="141">
        <v>0.0</v>
      </c>
      <c r="AN887" s="80">
        <v>0.0</v>
      </c>
      <c r="AO887" s="140">
        <v>0.0</v>
      </c>
      <c r="AP887" s="109">
        <v>0.0</v>
      </c>
      <c r="AQ887" s="109">
        <v>0.0</v>
      </c>
      <c r="AR887" s="80">
        <v>0.0</v>
      </c>
      <c r="AS887" s="110">
        <v>0.0</v>
      </c>
      <c r="AT887" s="110">
        <v>0.0</v>
      </c>
      <c r="AU887" s="110">
        <v>0.0</v>
      </c>
      <c r="AV887" s="142">
        <v>0.0</v>
      </c>
      <c r="AW887" s="80">
        <v>0.0</v>
      </c>
      <c r="AX887" s="113">
        <v>216.0</v>
      </c>
      <c r="AY887" s="117">
        <v>216.0</v>
      </c>
      <c r="AZ887" s="328">
        <v>0.0</v>
      </c>
      <c r="BA887" s="315">
        <v>0.0</v>
      </c>
      <c r="BB887" s="316">
        <v>216.0</v>
      </c>
      <c r="BC887" s="132" t="s">
        <v>178</v>
      </c>
      <c r="BD887" s="132" t="s">
        <v>178</v>
      </c>
      <c r="BE887" s="132" t="s">
        <v>178</v>
      </c>
      <c r="BF887" s="123"/>
      <c r="BG887" s="83">
        <v>1176197.0</v>
      </c>
      <c r="BH887" s="112">
        <v>6.0</v>
      </c>
      <c r="BI887" s="98" t="s">
        <v>155</v>
      </c>
      <c r="BJ887" s="98" t="str">
        <f t="shared" si="1"/>
        <v>INTEGRAL</v>
      </c>
      <c r="BK887" s="98" t="str">
        <f t="shared" si="2"/>
        <v>NÃO</v>
      </c>
    </row>
    <row r="888" ht="15.75" customHeight="1">
      <c r="A888" s="111" t="s">
        <v>973</v>
      </c>
      <c r="B888" s="83" t="s">
        <v>4267</v>
      </c>
      <c r="C888" s="83" t="s">
        <v>68</v>
      </c>
      <c r="D888" s="83">
        <v>1129432.0</v>
      </c>
      <c r="E888" s="83"/>
      <c r="F888" s="83">
        <v>2.9254396E7</v>
      </c>
      <c r="G888" s="187" t="s">
        <v>9272</v>
      </c>
      <c r="H888" s="91" t="s">
        <v>4269</v>
      </c>
      <c r="I888" s="187" t="s">
        <v>149</v>
      </c>
      <c r="J888" s="136" t="s">
        <v>150</v>
      </c>
      <c r="K888" s="83" t="s">
        <v>151</v>
      </c>
      <c r="L888" s="83" t="s">
        <v>169</v>
      </c>
      <c r="M888" s="82" t="s">
        <v>9273</v>
      </c>
      <c r="N888" s="82" t="s">
        <v>9274</v>
      </c>
      <c r="O888" s="82" t="s">
        <v>9275</v>
      </c>
      <c r="P888" s="82" t="s">
        <v>9276</v>
      </c>
      <c r="Q888" s="82"/>
      <c r="R888" s="82"/>
      <c r="S888" s="82" t="s">
        <v>9277</v>
      </c>
      <c r="T888" s="138">
        <v>6.0</v>
      </c>
      <c r="U888" s="514" t="s">
        <v>9278</v>
      </c>
      <c r="V888" s="106">
        <v>0.0</v>
      </c>
      <c r="W888" s="107">
        <v>0.0</v>
      </c>
      <c r="X888" s="107">
        <v>0.0</v>
      </c>
      <c r="Y888" s="107">
        <v>0.0</v>
      </c>
      <c r="Z888" s="80">
        <v>0.0</v>
      </c>
      <c r="AA888" s="140">
        <v>0.0</v>
      </c>
      <c r="AB888" s="109">
        <v>0.0</v>
      </c>
      <c r="AC888" s="109">
        <v>0.0</v>
      </c>
      <c r="AD888" s="141">
        <v>0.0</v>
      </c>
      <c r="AE888" s="80">
        <v>0.0</v>
      </c>
      <c r="AF888" s="140">
        <v>83.0</v>
      </c>
      <c r="AG888" s="109">
        <v>66.0</v>
      </c>
      <c r="AH888" s="109">
        <v>9.0</v>
      </c>
      <c r="AI888" s="141">
        <v>21.0</v>
      </c>
      <c r="AJ888" s="80">
        <v>179.0</v>
      </c>
      <c r="AK888" s="140">
        <v>0.0</v>
      </c>
      <c r="AL888" s="109">
        <v>0.0</v>
      </c>
      <c r="AM888" s="141">
        <v>0.0</v>
      </c>
      <c r="AN888" s="80">
        <v>0.0</v>
      </c>
      <c r="AO888" s="140">
        <v>0.0</v>
      </c>
      <c r="AP888" s="109">
        <v>0.0</v>
      </c>
      <c r="AQ888" s="109">
        <v>64.0</v>
      </c>
      <c r="AR888" s="80">
        <v>64.0</v>
      </c>
      <c r="AS888" s="110">
        <v>81.0</v>
      </c>
      <c r="AT888" s="110">
        <v>0.0</v>
      </c>
      <c r="AU888" s="110">
        <v>0.0</v>
      </c>
      <c r="AV888" s="142">
        <v>0.0</v>
      </c>
      <c r="AW888" s="80">
        <v>81.0</v>
      </c>
      <c r="AX888" s="113">
        <v>324.0</v>
      </c>
      <c r="AY888" s="117">
        <v>251.0</v>
      </c>
      <c r="AZ888" s="328">
        <v>73.0</v>
      </c>
      <c r="BA888" s="315">
        <v>0.0</v>
      </c>
      <c r="BB888" s="316">
        <v>324.0</v>
      </c>
      <c r="BC888" s="132" t="s">
        <v>178</v>
      </c>
      <c r="BD888" s="132" t="s">
        <v>178</v>
      </c>
      <c r="BE888" s="132" t="s">
        <v>178</v>
      </c>
      <c r="BF888" s="123"/>
      <c r="BG888" s="83">
        <v>1129432.0</v>
      </c>
      <c r="BH888" s="112">
        <v>6.0</v>
      </c>
      <c r="BI888" s="98" t="s">
        <v>155</v>
      </c>
      <c r="BJ888" s="98" t="str">
        <f t="shared" si="1"/>
        <v>INTEGRAL</v>
      </c>
      <c r="BK888" s="98" t="str">
        <f t="shared" si="2"/>
        <v>PROFISSIONAL</v>
      </c>
    </row>
    <row r="889" ht="15.75" customHeight="1">
      <c r="A889" s="111" t="s">
        <v>973</v>
      </c>
      <c r="B889" s="83" t="s">
        <v>4278</v>
      </c>
      <c r="C889" s="83" t="s">
        <v>68</v>
      </c>
      <c r="D889" s="83">
        <v>1177101.0</v>
      </c>
      <c r="E889" s="83"/>
      <c r="F889" s="83">
        <v>2.9422167E7</v>
      </c>
      <c r="G889" s="119" t="s">
        <v>4286</v>
      </c>
      <c r="H889" s="91" t="s">
        <v>4287</v>
      </c>
      <c r="I889" s="187" t="s">
        <v>149</v>
      </c>
      <c r="J889" s="136" t="s">
        <v>150</v>
      </c>
      <c r="K889" s="83" t="s">
        <v>151</v>
      </c>
      <c r="L889" s="83" t="s">
        <v>152</v>
      </c>
      <c r="M889" s="82" t="s">
        <v>9280</v>
      </c>
      <c r="N889" s="82" t="s">
        <v>9281</v>
      </c>
      <c r="O889" s="82" t="s">
        <v>9282</v>
      </c>
      <c r="P889" s="82" t="s">
        <v>9283</v>
      </c>
      <c r="Q889" s="82"/>
      <c r="R889" s="82"/>
      <c r="S889" s="82" t="s">
        <v>9284</v>
      </c>
      <c r="T889" s="138">
        <v>11.0</v>
      </c>
      <c r="U889" s="387">
        <v>10.0</v>
      </c>
      <c r="V889" s="106">
        <v>0.0</v>
      </c>
      <c r="W889" s="107">
        <v>0.0</v>
      </c>
      <c r="X889" s="107">
        <v>0.0</v>
      </c>
      <c r="Y889" s="107">
        <v>0.0</v>
      </c>
      <c r="Z889" s="80">
        <v>0.0</v>
      </c>
      <c r="AA889" s="140">
        <v>0.0</v>
      </c>
      <c r="AB889" s="109">
        <v>0.0</v>
      </c>
      <c r="AC889" s="109">
        <v>0.0</v>
      </c>
      <c r="AD889" s="141">
        <v>0.0</v>
      </c>
      <c r="AE889" s="80">
        <v>0.0</v>
      </c>
      <c r="AF889" s="140">
        <v>0.0</v>
      </c>
      <c r="AG889" s="109">
        <v>112.0</v>
      </c>
      <c r="AH889" s="109">
        <v>28.0</v>
      </c>
      <c r="AI889" s="141">
        <v>119.0</v>
      </c>
      <c r="AJ889" s="80">
        <v>259.0</v>
      </c>
      <c r="AK889" s="140">
        <v>0.0</v>
      </c>
      <c r="AL889" s="109">
        <v>0.0</v>
      </c>
      <c r="AM889" s="141">
        <v>0.0</v>
      </c>
      <c r="AN889" s="80">
        <v>0.0</v>
      </c>
      <c r="AO889" s="140">
        <v>0.0</v>
      </c>
      <c r="AP889" s="109">
        <v>0.0</v>
      </c>
      <c r="AQ889" s="109">
        <v>61.0</v>
      </c>
      <c r="AR889" s="80">
        <v>61.0</v>
      </c>
      <c r="AS889" s="110">
        <v>0.0</v>
      </c>
      <c r="AT889" s="110">
        <v>21.0</v>
      </c>
      <c r="AU889" s="110">
        <v>27.0</v>
      </c>
      <c r="AV889" s="142">
        <v>88.0</v>
      </c>
      <c r="AW889" s="80">
        <v>136.0</v>
      </c>
      <c r="AX889" s="113">
        <v>456.0</v>
      </c>
      <c r="AY889" s="117">
        <v>340.0</v>
      </c>
      <c r="AZ889" s="328">
        <v>116.0</v>
      </c>
      <c r="BA889" s="315">
        <v>0.0</v>
      </c>
      <c r="BB889" s="316">
        <v>456.0</v>
      </c>
      <c r="BC889" s="132" t="s">
        <v>178</v>
      </c>
      <c r="BD889" s="132" t="s">
        <v>178</v>
      </c>
      <c r="BE889" s="132" t="s">
        <v>178</v>
      </c>
      <c r="BF889" s="156"/>
      <c r="BG889" s="83">
        <v>1177101.0</v>
      </c>
      <c r="BH889" s="112">
        <v>10.0</v>
      </c>
      <c r="BI889" s="98" t="s">
        <v>155</v>
      </c>
      <c r="BJ889" s="98" t="str">
        <f t="shared" si="1"/>
        <v>INTEGRAL</v>
      </c>
      <c r="BK889" s="98" t="str">
        <f t="shared" si="2"/>
        <v>PROFISSIONAL</v>
      </c>
    </row>
    <row r="890" ht="15.75" customHeight="1">
      <c r="A890" s="111" t="s">
        <v>973</v>
      </c>
      <c r="B890" s="136" t="s">
        <v>4278</v>
      </c>
      <c r="C890" s="136" t="s">
        <v>68</v>
      </c>
      <c r="D890" s="136">
        <v>1178173.0</v>
      </c>
      <c r="E890" s="136"/>
      <c r="F890" s="136">
        <v>2.9442095E7</v>
      </c>
      <c r="G890" s="187" t="s">
        <v>9288</v>
      </c>
      <c r="H890" s="91" t="s">
        <v>4282</v>
      </c>
      <c r="I890" s="187" t="s">
        <v>4283</v>
      </c>
      <c r="J890" s="83" t="s">
        <v>767</v>
      </c>
      <c r="K890" s="83" t="s">
        <v>151</v>
      </c>
      <c r="L890" s="83" t="s">
        <v>169</v>
      </c>
      <c r="M890" s="82" t="s">
        <v>9289</v>
      </c>
      <c r="N890" s="82" t="s">
        <v>9290</v>
      </c>
      <c r="O890" s="82" t="s">
        <v>9291</v>
      </c>
      <c r="P890" s="82" t="s">
        <v>9292</v>
      </c>
      <c r="Q890" s="82"/>
      <c r="R890" s="82"/>
      <c r="S890" s="82" t="s">
        <v>9293</v>
      </c>
      <c r="T890" s="138">
        <v>7.0</v>
      </c>
      <c r="U890" s="339" t="s">
        <v>9294</v>
      </c>
      <c r="V890" s="106">
        <v>0.0</v>
      </c>
      <c r="W890" s="107">
        <v>0.0</v>
      </c>
      <c r="X890" s="107">
        <v>0.0</v>
      </c>
      <c r="Y890" s="107">
        <v>0.0</v>
      </c>
      <c r="Z890" s="80">
        <v>0.0</v>
      </c>
      <c r="AA890" s="140">
        <v>0.0</v>
      </c>
      <c r="AB890" s="109">
        <v>0.0</v>
      </c>
      <c r="AC890" s="109">
        <v>0.0</v>
      </c>
      <c r="AD890" s="141">
        <v>0.0</v>
      </c>
      <c r="AE890" s="80">
        <v>0.0</v>
      </c>
      <c r="AF890" s="140">
        <v>120.0</v>
      </c>
      <c r="AG890" s="109">
        <v>170.0</v>
      </c>
      <c r="AH890" s="109">
        <v>9.0</v>
      </c>
      <c r="AI890" s="141">
        <v>9.0</v>
      </c>
      <c r="AJ890" s="80">
        <v>308.0</v>
      </c>
      <c r="AK890" s="140">
        <v>0.0</v>
      </c>
      <c r="AL890" s="109">
        <v>0.0</v>
      </c>
      <c r="AM890" s="141">
        <v>0.0</v>
      </c>
      <c r="AN890" s="80">
        <v>0.0</v>
      </c>
      <c r="AO890" s="140">
        <v>0.0</v>
      </c>
      <c r="AP890" s="109">
        <v>0.0</v>
      </c>
      <c r="AQ890" s="109">
        <v>15.0</v>
      </c>
      <c r="AR890" s="80">
        <v>15.0</v>
      </c>
      <c r="AS890" s="110">
        <v>0.0</v>
      </c>
      <c r="AT890" s="110">
        <v>0.0</v>
      </c>
      <c r="AU890" s="110">
        <v>0.0</v>
      </c>
      <c r="AV890" s="142">
        <v>0.0</v>
      </c>
      <c r="AW890" s="80">
        <v>0.0</v>
      </c>
      <c r="AX890" s="113">
        <v>323.0</v>
      </c>
      <c r="AY890" s="117">
        <v>299.0</v>
      </c>
      <c r="AZ890" s="328">
        <v>24.0</v>
      </c>
      <c r="BA890" s="315">
        <v>1.0</v>
      </c>
      <c r="BB890" s="316">
        <v>324.0</v>
      </c>
      <c r="BC890" s="132" t="s">
        <v>373</v>
      </c>
      <c r="BD890" s="132" t="s">
        <v>178</v>
      </c>
      <c r="BE890" s="132" t="s">
        <v>178</v>
      </c>
      <c r="BF890" s="123"/>
      <c r="BG890" s="136">
        <v>1178173.0</v>
      </c>
      <c r="BH890" s="112">
        <v>6.0</v>
      </c>
      <c r="BI890" s="98" t="s">
        <v>155</v>
      </c>
      <c r="BJ890" s="98" t="str">
        <f t="shared" si="1"/>
        <v>INTEGRAL</v>
      </c>
      <c r="BK890" s="98" t="str">
        <f t="shared" si="2"/>
        <v>NÃO</v>
      </c>
    </row>
    <row r="891" ht="15.75" customHeight="1">
      <c r="A891" s="111" t="s">
        <v>973</v>
      </c>
      <c r="B891" s="83" t="s">
        <v>4296</v>
      </c>
      <c r="C891" s="83" t="s">
        <v>45</v>
      </c>
      <c r="D891" s="83">
        <v>1178389.0</v>
      </c>
      <c r="E891" s="83"/>
      <c r="F891" s="83">
        <v>2.9210976E7</v>
      </c>
      <c r="G891" s="365" t="s">
        <v>4297</v>
      </c>
      <c r="H891" s="91" t="s">
        <v>4298</v>
      </c>
      <c r="I891" s="298" t="s">
        <v>149</v>
      </c>
      <c r="J891" s="98" t="s">
        <v>4299</v>
      </c>
      <c r="K891" s="83" t="s">
        <v>171</v>
      </c>
      <c r="L891" s="83" t="s">
        <v>169</v>
      </c>
      <c r="M891" s="82" t="s">
        <v>9296</v>
      </c>
      <c r="N891" s="82" t="s">
        <v>9297</v>
      </c>
      <c r="O891" s="82" t="s">
        <v>9298</v>
      </c>
      <c r="P891" s="82" t="s">
        <v>9299</v>
      </c>
      <c r="Q891" s="82"/>
      <c r="R891" s="82"/>
      <c r="S891" s="82"/>
      <c r="T891" s="138">
        <v>4.0</v>
      </c>
      <c r="U891" s="323" t="s">
        <v>171</v>
      </c>
      <c r="V891" s="106">
        <v>0.0</v>
      </c>
      <c r="W891" s="107">
        <v>0.0</v>
      </c>
      <c r="X891" s="107">
        <v>0.0</v>
      </c>
      <c r="Y891" s="107">
        <v>0.0</v>
      </c>
      <c r="Z891" s="80">
        <v>0.0</v>
      </c>
      <c r="AA891" s="140">
        <v>0.0</v>
      </c>
      <c r="AB891" s="109">
        <v>0.0</v>
      </c>
      <c r="AC891" s="109">
        <v>0.0</v>
      </c>
      <c r="AD891" s="141">
        <v>63.0</v>
      </c>
      <c r="AE891" s="80">
        <v>63.0</v>
      </c>
      <c r="AF891" s="140">
        <v>0.0</v>
      </c>
      <c r="AG891" s="109">
        <v>0.0</v>
      </c>
      <c r="AH891" s="109">
        <v>0.0</v>
      </c>
      <c r="AI891" s="141">
        <v>22.0</v>
      </c>
      <c r="AJ891" s="80">
        <v>22.0</v>
      </c>
      <c r="AK891" s="140">
        <v>0.0</v>
      </c>
      <c r="AL891" s="109">
        <v>0.0</v>
      </c>
      <c r="AM891" s="141">
        <v>0.0</v>
      </c>
      <c r="AN891" s="80">
        <v>0.0</v>
      </c>
      <c r="AO891" s="140">
        <v>0.0</v>
      </c>
      <c r="AP891" s="109">
        <v>0.0</v>
      </c>
      <c r="AQ891" s="109">
        <v>0.0</v>
      </c>
      <c r="AR891" s="80">
        <v>0.0</v>
      </c>
      <c r="AS891" s="110">
        <v>0.0</v>
      </c>
      <c r="AT891" s="110">
        <v>0.0</v>
      </c>
      <c r="AU891" s="110">
        <v>0.0</v>
      </c>
      <c r="AV891" s="142">
        <v>0.0</v>
      </c>
      <c r="AW891" s="80">
        <v>0.0</v>
      </c>
      <c r="AX891" s="113">
        <v>85.0</v>
      </c>
      <c r="AY891" s="117">
        <v>85.0</v>
      </c>
      <c r="AZ891" s="328">
        <v>0.0</v>
      </c>
      <c r="BA891" s="315">
        <v>0.0</v>
      </c>
      <c r="BB891" s="316">
        <v>85.0</v>
      </c>
      <c r="BC891" s="132" t="s">
        <v>178</v>
      </c>
      <c r="BD891" s="132" t="s">
        <v>178</v>
      </c>
      <c r="BE891" s="132" t="s">
        <v>178</v>
      </c>
      <c r="BF891" s="156"/>
      <c r="BG891" s="83">
        <v>1178389.0</v>
      </c>
      <c r="BH891" s="112">
        <v>4.0</v>
      </c>
      <c r="BI891" s="98" t="s">
        <v>155</v>
      </c>
      <c r="BJ891" s="98" t="str">
        <f t="shared" si="1"/>
        <v>INTEGRAL</v>
      </c>
      <c r="BK891" s="98" t="str">
        <f t="shared" si="2"/>
        <v>NÃO</v>
      </c>
    </row>
    <row r="892" ht="15.75" customHeight="1">
      <c r="A892" s="111" t="s">
        <v>973</v>
      </c>
      <c r="B892" s="83" t="s">
        <v>4296</v>
      </c>
      <c r="C892" s="83" t="s">
        <v>68</v>
      </c>
      <c r="D892" s="83">
        <v>1127910.0</v>
      </c>
      <c r="E892" s="83"/>
      <c r="F892" s="83">
        <v>2.921095E7</v>
      </c>
      <c r="G892" s="119" t="s">
        <v>4301</v>
      </c>
      <c r="H892" s="91" t="s">
        <v>9303</v>
      </c>
      <c r="I892" s="298" t="s">
        <v>149</v>
      </c>
      <c r="J892" s="83" t="s">
        <v>150</v>
      </c>
      <c r="K892" s="83" t="s">
        <v>151</v>
      </c>
      <c r="L892" s="83" t="s">
        <v>76</v>
      </c>
      <c r="M892" s="82" t="s">
        <v>9304</v>
      </c>
      <c r="N892" s="82" t="s">
        <v>9305</v>
      </c>
      <c r="O892" s="82" t="s">
        <v>9306</v>
      </c>
      <c r="P892" s="82" t="s">
        <v>9307</v>
      </c>
      <c r="Q892" s="82"/>
      <c r="R892" s="82"/>
      <c r="S892" s="82" t="s">
        <v>9308</v>
      </c>
      <c r="T892" s="138">
        <v>10.0</v>
      </c>
      <c r="U892" s="339" t="s">
        <v>9309</v>
      </c>
      <c r="V892" s="106">
        <v>0.0</v>
      </c>
      <c r="W892" s="107">
        <v>0.0</v>
      </c>
      <c r="X892" s="107">
        <v>0.0</v>
      </c>
      <c r="Y892" s="107">
        <v>0.0</v>
      </c>
      <c r="Z892" s="80">
        <v>0.0</v>
      </c>
      <c r="AA892" s="140">
        <v>0.0</v>
      </c>
      <c r="AB892" s="109">
        <v>0.0</v>
      </c>
      <c r="AC892" s="109">
        <v>0.0</v>
      </c>
      <c r="AD892" s="141">
        <v>0.0</v>
      </c>
      <c r="AE892" s="80">
        <v>0.0</v>
      </c>
      <c r="AF892" s="140">
        <v>185.0</v>
      </c>
      <c r="AG892" s="109">
        <v>146.0</v>
      </c>
      <c r="AH892" s="109">
        <v>25.0</v>
      </c>
      <c r="AI892" s="141">
        <v>304.0</v>
      </c>
      <c r="AJ892" s="80">
        <v>660.0</v>
      </c>
      <c r="AK892" s="140">
        <v>0.0</v>
      </c>
      <c r="AL892" s="109">
        <v>0.0</v>
      </c>
      <c r="AM892" s="141">
        <v>0.0</v>
      </c>
      <c r="AN892" s="80">
        <v>0.0</v>
      </c>
      <c r="AO892" s="140">
        <v>0.0</v>
      </c>
      <c r="AP892" s="109">
        <v>0.0</v>
      </c>
      <c r="AQ892" s="109">
        <v>69.0</v>
      </c>
      <c r="AR892" s="80">
        <v>69.0</v>
      </c>
      <c r="AS892" s="110">
        <v>0.0</v>
      </c>
      <c r="AT892" s="110">
        <v>0.0</v>
      </c>
      <c r="AU892" s="110">
        <v>0.0</v>
      </c>
      <c r="AV892" s="142">
        <v>0.0</v>
      </c>
      <c r="AW892" s="80">
        <v>0.0</v>
      </c>
      <c r="AX892" s="113">
        <v>729.0</v>
      </c>
      <c r="AY892" s="117">
        <v>635.0</v>
      </c>
      <c r="AZ892" s="328">
        <v>94.0</v>
      </c>
      <c r="BA892" s="315">
        <v>1.0</v>
      </c>
      <c r="BB892" s="316">
        <v>730.0</v>
      </c>
      <c r="BC892" s="132" t="s">
        <v>178</v>
      </c>
      <c r="BD892" s="132" t="s">
        <v>178</v>
      </c>
      <c r="BE892" s="132" t="s">
        <v>178</v>
      </c>
      <c r="BF892" s="123"/>
      <c r="BG892" s="83">
        <v>1127910.0</v>
      </c>
      <c r="BH892" s="112">
        <v>10.0</v>
      </c>
      <c r="BI892" s="98" t="s">
        <v>155</v>
      </c>
      <c r="BJ892" s="98" t="str">
        <f t="shared" si="1"/>
        <v>INTEGRAL</v>
      </c>
      <c r="BK892" s="98" t="str">
        <f t="shared" si="2"/>
        <v>NÃO</v>
      </c>
    </row>
    <row r="893" ht="15.75" customHeight="1">
      <c r="A893" s="111" t="s">
        <v>973</v>
      </c>
      <c r="B893" s="83" t="s">
        <v>4306</v>
      </c>
      <c r="C893" s="83" t="s">
        <v>68</v>
      </c>
      <c r="D893" s="83">
        <v>1137346.0</v>
      </c>
      <c r="E893" s="83"/>
      <c r="F893" s="83">
        <v>2.9254426E7</v>
      </c>
      <c r="G893" s="114" t="s">
        <v>9313</v>
      </c>
      <c r="H893" s="91" t="s">
        <v>9314</v>
      </c>
      <c r="I893" s="114" t="s">
        <v>149</v>
      </c>
      <c r="J893" s="136" t="s">
        <v>150</v>
      </c>
      <c r="K893" s="83" t="s">
        <v>151</v>
      </c>
      <c r="L893" s="83" t="s">
        <v>76</v>
      </c>
      <c r="M893" s="82" t="s">
        <v>9315</v>
      </c>
      <c r="N893" s="82" t="s">
        <v>9316</v>
      </c>
      <c r="O893" s="82" t="s">
        <v>9317</v>
      </c>
      <c r="P893" s="82" t="s">
        <v>9318</v>
      </c>
      <c r="Q893" s="82"/>
      <c r="R893" s="82"/>
      <c r="S893" s="82" t="s">
        <v>9319</v>
      </c>
      <c r="T893" s="138">
        <v>12.0</v>
      </c>
      <c r="U893" s="364" t="s">
        <v>9320</v>
      </c>
      <c r="V893" s="106">
        <v>0.0</v>
      </c>
      <c r="W893" s="107">
        <v>0.0</v>
      </c>
      <c r="X893" s="107">
        <v>0.0</v>
      </c>
      <c r="Y893" s="107">
        <v>0.0</v>
      </c>
      <c r="Z893" s="80">
        <v>0.0</v>
      </c>
      <c r="AA893" s="140">
        <v>0.0</v>
      </c>
      <c r="AB893" s="109">
        <v>0.0</v>
      </c>
      <c r="AC893" s="109">
        <v>0.0</v>
      </c>
      <c r="AD893" s="141">
        <v>0.0</v>
      </c>
      <c r="AE893" s="80">
        <v>0.0</v>
      </c>
      <c r="AF893" s="246">
        <v>0.0</v>
      </c>
      <c r="AG893" s="246">
        <v>0.0</v>
      </c>
      <c r="AH893" s="246">
        <v>56.0</v>
      </c>
      <c r="AI893" s="247">
        <v>439.0</v>
      </c>
      <c r="AJ893" s="80">
        <v>495.0</v>
      </c>
      <c r="AK893" s="140">
        <v>0.0</v>
      </c>
      <c r="AL893" s="109">
        <v>0.0</v>
      </c>
      <c r="AM893" s="141">
        <v>0.0</v>
      </c>
      <c r="AN893" s="80">
        <v>0.0</v>
      </c>
      <c r="AO893" s="246">
        <v>0.0</v>
      </c>
      <c r="AP893" s="246">
        <v>0.0</v>
      </c>
      <c r="AQ893" s="247">
        <v>106.0</v>
      </c>
      <c r="AR893" s="80">
        <v>106.0</v>
      </c>
      <c r="AS893" s="110">
        <v>0.0</v>
      </c>
      <c r="AT893" s="110">
        <v>0.0</v>
      </c>
      <c r="AU893" s="110">
        <v>0.0</v>
      </c>
      <c r="AV893" s="142">
        <v>0.0</v>
      </c>
      <c r="AW893" s="80">
        <v>0.0</v>
      </c>
      <c r="AX893" s="113">
        <v>601.0</v>
      </c>
      <c r="AY893" s="117">
        <v>439.0</v>
      </c>
      <c r="AZ893" s="328">
        <v>162.0</v>
      </c>
      <c r="BA893" s="315">
        <v>3.0</v>
      </c>
      <c r="BB893" s="316">
        <v>604.0</v>
      </c>
      <c r="BC893" s="132" t="s">
        <v>178</v>
      </c>
      <c r="BD893" s="132" t="s">
        <v>178</v>
      </c>
      <c r="BE893" s="132" t="s">
        <v>178</v>
      </c>
      <c r="BF893" s="123"/>
      <c r="BG893" s="83">
        <v>1137346.0</v>
      </c>
      <c r="BH893" s="112">
        <v>13.0</v>
      </c>
      <c r="BI893" s="98" t="s">
        <v>155</v>
      </c>
      <c r="BJ893" s="98" t="str">
        <f t="shared" si="1"/>
        <v>INTEGRAL</v>
      </c>
      <c r="BK893" s="98" t="str">
        <f t="shared" si="2"/>
        <v>NÃO</v>
      </c>
    </row>
    <row r="894" ht="15.75" customHeight="1">
      <c r="A894" s="111" t="s">
        <v>1027</v>
      </c>
      <c r="B894" s="83" t="s">
        <v>4311</v>
      </c>
      <c r="C894" s="83" t="s">
        <v>68</v>
      </c>
      <c r="D894" s="83">
        <v>1123183.0</v>
      </c>
      <c r="E894" s="83"/>
      <c r="F894" s="83">
        <v>2.9081815E7</v>
      </c>
      <c r="G894" s="114" t="s">
        <v>9324</v>
      </c>
      <c r="H894" s="91" t="s">
        <v>4313</v>
      </c>
      <c r="I894" s="298" t="s">
        <v>4314</v>
      </c>
      <c r="J894" s="136" t="s">
        <v>519</v>
      </c>
      <c r="K894" s="83" t="s">
        <v>1685</v>
      </c>
      <c r="L894" s="83" t="s">
        <v>169</v>
      </c>
      <c r="M894" s="82" t="s">
        <v>9325</v>
      </c>
      <c r="N894" s="82" t="s">
        <v>9326</v>
      </c>
      <c r="O894" s="82"/>
      <c r="P894" s="82"/>
      <c r="Q894" s="82"/>
      <c r="R894" s="82"/>
      <c r="S894" s="82"/>
      <c r="T894" s="138">
        <v>4.0</v>
      </c>
      <c r="U894" s="389" t="s">
        <v>9327</v>
      </c>
      <c r="V894" s="106">
        <v>0.0</v>
      </c>
      <c r="W894" s="107">
        <v>0.0</v>
      </c>
      <c r="X894" s="107">
        <v>0.0</v>
      </c>
      <c r="Y894" s="107">
        <v>0.0</v>
      </c>
      <c r="Z894" s="80">
        <v>0.0</v>
      </c>
      <c r="AA894" s="140">
        <v>0.0</v>
      </c>
      <c r="AB894" s="109">
        <v>0.0</v>
      </c>
      <c r="AC894" s="109">
        <v>0.0</v>
      </c>
      <c r="AD894" s="141">
        <v>0.0</v>
      </c>
      <c r="AE894" s="80">
        <v>0.0</v>
      </c>
      <c r="AF894" s="140">
        <v>46.0</v>
      </c>
      <c r="AG894" s="109">
        <v>49.0</v>
      </c>
      <c r="AH894" s="109">
        <v>0.0</v>
      </c>
      <c r="AI894" s="141">
        <v>0.0</v>
      </c>
      <c r="AJ894" s="80">
        <v>95.0</v>
      </c>
      <c r="AK894" s="140">
        <v>0.0</v>
      </c>
      <c r="AL894" s="109">
        <v>0.0</v>
      </c>
      <c r="AM894" s="141">
        <v>0.0</v>
      </c>
      <c r="AN894" s="80">
        <v>0.0</v>
      </c>
      <c r="AO894" s="140">
        <v>0.0</v>
      </c>
      <c r="AP894" s="109">
        <v>0.0</v>
      </c>
      <c r="AQ894" s="109">
        <v>0.0</v>
      </c>
      <c r="AR894" s="80">
        <v>0.0</v>
      </c>
      <c r="AS894" s="110">
        <v>0.0</v>
      </c>
      <c r="AT894" s="110">
        <v>0.0</v>
      </c>
      <c r="AU894" s="110">
        <v>0.0</v>
      </c>
      <c r="AV894" s="142">
        <v>0.0</v>
      </c>
      <c r="AW894" s="80">
        <v>0.0</v>
      </c>
      <c r="AX894" s="113">
        <v>95.0</v>
      </c>
      <c r="AY894" s="117">
        <v>95.0</v>
      </c>
      <c r="AZ894" s="328">
        <v>0.0</v>
      </c>
      <c r="BA894" s="315">
        <v>0.0</v>
      </c>
      <c r="BB894" s="316">
        <v>95.0</v>
      </c>
      <c r="BC894" s="132" t="s">
        <v>373</v>
      </c>
      <c r="BD894" s="132" t="s">
        <v>178</v>
      </c>
      <c r="BE894" s="132" t="s">
        <v>178</v>
      </c>
      <c r="BF894" s="123"/>
      <c r="BG894" s="83">
        <v>1123183.0</v>
      </c>
      <c r="BH894" s="112">
        <v>3.0</v>
      </c>
      <c r="BI894" s="98" t="s">
        <v>155</v>
      </c>
      <c r="BJ894" s="98" t="str">
        <f t="shared" si="1"/>
        <v>NÃO</v>
      </c>
      <c r="BK894" s="98" t="str">
        <f t="shared" si="2"/>
        <v>NÃO</v>
      </c>
    </row>
    <row r="895" ht="15.75" customHeight="1">
      <c r="A895" s="111" t="s">
        <v>1027</v>
      </c>
      <c r="B895" s="83" t="s">
        <v>4311</v>
      </c>
      <c r="C895" s="83" t="s">
        <v>68</v>
      </c>
      <c r="D895" s="83">
        <v>1164351.0</v>
      </c>
      <c r="E895" s="83"/>
      <c r="F895" s="83">
        <v>2.908144E7</v>
      </c>
      <c r="G895" s="114" t="s">
        <v>9331</v>
      </c>
      <c r="H895" s="91" t="s">
        <v>4317</v>
      </c>
      <c r="I895" s="298" t="s">
        <v>4318</v>
      </c>
      <c r="J895" s="83" t="s">
        <v>4319</v>
      </c>
      <c r="K895" s="83" t="s">
        <v>151</v>
      </c>
      <c r="L895" s="83" t="s">
        <v>169</v>
      </c>
      <c r="M895" s="82" t="s">
        <v>9332</v>
      </c>
      <c r="N895" s="82" t="s">
        <v>9333</v>
      </c>
      <c r="O895" s="82"/>
      <c r="P895" s="82"/>
      <c r="Q895" s="82"/>
      <c r="R895" s="82"/>
      <c r="S895" s="82"/>
      <c r="T895" s="138">
        <v>5.0</v>
      </c>
      <c r="U895" s="419" t="s">
        <v>9334</v>
      </c>
      <c r="V895" s="106">
        <v>0.0</v>
      </c>
      <c r="W895" s="107">
        <v>0.0</v>
      </c>
      <c r="X895" s="107">
        <v>0.0</v>
      </c>
      <c r="Y895" s="107">
        <v>0.0</v>
      </c>
      <c r="Z895" s="80">
        <v>0.0</v>
      </c>
      <c r="AA895" s="140">
        <v>0.0</v>
      </c>
      <c r="AB895" s="109">
        <v>0.0</v>
      </c>
      <c r="AC895" s="109">
        <v>0.0</v>
      </c>
      <c r="AD895" s="141">
        <v>0.0</v>
      </c>
      <c r="AE895" s="80">
        <v>0.0</v>
      </c>
      <c r="AF895" s="140">
        <v>42.0</v>
      </c>
      <c r="AG895" s="109">
        <v>28.0</v>
      </c>
      <c r="AH895" s="109">
        <v>0.0</v>
      </c>
      <c r="AI895" s="141">
        <v>0.0</v>
      </c>
      <c r="AJ895" s="80">
        <v>70.0</v>
      </c>
      <c r="AK895" s="140">
        <v>0.0</v>
      </c>
      <c r="AL895" s="109">
        <v>0.0</v>
      </c>
      <c r="AM895" s="141">
        <v>0.0</v>
      </c>
      <c r="AN895" s="80">
        <v>0.0</v>
      </c>
      <c r="AO895" s="140">
        <v>0.0</v>
      </c>
      <c r="AP895" s="109">
        <v>0.0</v>
      </c>
      <c r="AQ895" s="109">
        <v>0.0</v>
      </c>
      <c r="AR895" s="80">
        <v>0.0</v>
      </c>
      <c r="AS895" s="110">
        <v>0.0</v>
      </c>
      <c r="AT895" s="110">
        <v>0.0</v>
      </c>
      <c r="AU895" s="110">
        <v>0.0</v>
      </c>
      <c r="AV895" s="142">
        <v>0.0</v>
      </c>
      <c r="AW895" s="80">
        <v>0.0</v>
      </c>
      <c r="AX895" s="113">
        <v>70.0</v>
      </c>
      <c r="AY895" s="117">
        <v>70.0</v>
      </c>
      <c r="AZ895" s="328">
        <v>0.0</v>
      </c>
      <c r="BA895" s="315">
        <v>2.0</v>
      </c>
      <c r="BB895" s="316">
        <v>72.0</v>
      </c>
      <c r="BC895" s="132" t="s">
        <v>373</v>
      </c>
      <c r="BD895" s="132" t="s">
        <v>178</v>
      </c>
      <c r="BE895" s="132" t="s">
        <v>178</v>
      </c>
      <c r="BF895" s="156"/>
      <c r="BG895" s="83">
        <v>1164351.0</v>
      </c>
      <c r="BH895" s="112">
        <v>4.0</v>
      </c>
      <c r="BI895" s="98" t="s">
        <v>155</v>
      </c>
      <c r="BJ895" s="98" t="str">
        <f t="shared" si="1"/>
        <v>NÃO</v>
      </c>
      <c r="BK895" s="98" t="str">
        <f t="shared" si="2"/>
        <v>NÃO</v>
      </c>
    </row>
    <row r="896" ht="15.75" customHeight="1">
      <c r="A896" s="111" t="s">
        <v>1027</v>
      </c>
      <c r="B896" s="83" t="s">
        <v>4311</v>
      </c>
      <c r="C896" s="83" t="s">
        <v>68</v>
      </c>
      <c r="D896" s="83">
        <v>1179112.0</v>
      </c>
      <c r="E896" s="83"/>
      <c r="F896" s="83">
        <v>2.9450837E7</v>
      </c>
      <c r="G896" s="114" t="s">
        <v>9336</v>
      </c>
      <c r="H896" s="91" t="s">
        <v>4322</v>
      </c>
      <c r="I896" s="187" t="s">
        <v>4323</v>
      </c>
      <c r="J896" s="83" t="s">
        <v>4324</v>
      </c>
      <c r="K896" s="83" t="s">
        <v>151</v>
      </c>
      <c r="L896" s="83" t="s">
        <v>169</v>
      </c>
      <c r="M896" s="82" t="s">
        <v>9338</v>
      </c>
      <c r="N896" s="82" t="s">
        <v>9340</v>
      </c>
      <c r="O896" s="82"/>
      <c r="P896" s="82"/>
      <c r="Q896" s="82"/>
      <c r="R896" s="82"/>
      <c r="S896" s="82"/>
      <c r="T896" s="138">
        <v>2.0</v>
      </c>
      <c r="U896" s="387">
        <v>2.0</v>
      </c>
      <c r="V896" s="106">
        <v>0.0</v>
      </c>
      <c r="W896" s="107">
        <v>0.0</v>
      </c>
      <c r="X896" s="107">
        <v>0.0</v>
      </c>
      <c r="Y896" s="107">
        <v>0.0</v>
      </c>
      <c r="Z896" s="80">
        <v>0.0</v>
      </c>
      <c r="AA896" s="140">
        <v>0.0</v>
      </c>
      <c r="AB896" s="109">
        <v>0.0</v>
      </c>
      <c r="AC896" s="109">
        <v>0.0</v>
      </c>
      <c r="AD896" s="141">
        <v>0.0</v>
      </c>
      <c r="AE896" s="80">
        <v>0.0</v>
      </c>
      <c r="AF896" s="140">
        <v>30.0</v>
      </c>
      <c r="AG896" s="109">
        <v>18.0</v>
      </c>
      <c r="AH896" s="109">
        <v>0.0</v>
      </c>
      <c r="AI896" s="141">
        <v>0.0</v>
      </c>
      <c r="AJ896" s="80">
        <v>48.0</v>
      </c>
      <c r="AK896" s="140">
        <v>0.0</v>
      </c>
      <c r="AL896" s="109">
        <v>0.0</v>
      </c>
      <c r="AM896" s="141">
        <v>0.0</v>
      </c>
      <c r="AN896" s="80">
        <v>0.0</v>
      </c>
      <c r="AO896" s="140">
        <v>0.0</v>
      </c>
      <c r="AP896" s="109">
        <v>0.0</v>
      </c>
      <c r="AQ896" s="109">
        <v>9.0</v>
      </c>
      <c r="AR896" s="80">
        <v>9.0</v>
      </c>
      <c r="AS896" s="110">
        <v>0.0</v>
      </c>
      <c r="AT896" s="110">
        <v>0.0</v>
      </c>
      <c r="AU896" s="110">
        <v>0.0</v>
      </c>
      <c r="AV896" s="142">
        <v>0.0</v>
      </c>
      <c r="AW896" s="80">
        <v>0.0</v>
      </c>
      <c r="AX896" s="113">
        <v>57.0</v>
      </c>
      <c r="AY896" s="117">
        <v>48.0</v>
      </c>
      <c r="AZ896" s="328">
        <v>9.0</v>
      </c>
      <c r="BA896" s="315">
        <v>0.0</v>
      </c>
      <c r="BB896" s="316">
        <v>57.0</v>
      </c>
      <c r="BC896" s="132" t="s">
        <v>631</v>
      </c>
      <c r="BD896" s="132" t="s">
        <v>178</v>
      </c>
      <c r="BE896" s="132" t="s">
        <v>178</v>
      </c>
      <c r="BF896" s="123"/>
      <c r="BG896" s="83">
        <v>1179112.0</v>
      </c>
      <c r="BH896" s="112">
        <v>2.0</v>
      </c>
      <c r="BI896" s="98" t="s">
        <v>155</v>
      </c>
      <c r="BJ896" s="98" t="str">
        <f t="shared" si="1"/>
        <v>NÃO</v>
      </c>
      <c r="BK896" s="98" t="str">
        <f t="shared" si="2"/>
        <v>NÃO</v>
      </c>
    </row>
    <row r="897" ht="15.75" customHeight="1">
      <c r="A897" s="111" t="s">
        <v>1027</v>
      </c>
      <c r="B897" s="83" t="s">
        <v>4311</v>
      </c>
      <c r="C897" s="83" t="s">
        <v>68</v>
      </c>
      <c r="D897" s="83">
        <v>1123159.0</v>
      </c>
      <c r="E897" s="83"/>
      <c r="F897" s="83">
        <v>2.9081319E7</v>
      </c>
      <c r="G897" s="114" t="s">
        <v>9343</v>
      </c>
      <c r="H897" s="91" t="s">
        <v>4327</v>
      </c>
      <c r="I897" s="187" t="s">
        <v>149</v>
      </c>
      <c r="J897" s="83" t="s">
        <v>150</v>
      </c>
      <c r="K897" s="83" t="s">
        <v>151</v>
      </c>
      <c r="L897" s="83" t="s">
        <v>76</v>
      </c>
      <c r="M897" s="82" t="s">
        <v>9344</v>
      </c>
      <c r="N897" s="82" t="s">
        <v>9345</v>
      </c>
      <c r="O897" s="82" t="s">
        <v>9346</v>
      </c>
      <c r="P897" s="82" t="s">
        <v>9347</v>
      </c>
      <c r="Q897" s="82"/>
      <c r="R897" s="82"/>
      <c r="S897" s="82"/>
      <c r="T897" s="138">
        <v>10.0</v>
      </c>
      <c r="U897" s="437">
        <v>9.0</v>
      </c>
      <c r="V897" s="106">
        <v>0.0</v>
      </c>
      <c r="W897" s="107">
        <v>0.0</v>
      </c>
      <c r="X897" s="107">
        <v>0.0</v>
      </c>
      <c r="Y897" s="107">
        <v>0.0</v>
      </c>
      <c r="Z897" s="80">
        <v>0.0</v>
      </c>
      <c r="AA897" s="140">
        <v>0.0</v>
      </c>
      <c r="AB897" s="109">
        <v>0.0</v>
      </c>
      <c r="AC897" s="109">
        <v>0.0</v>
      </c>
      <c r="AD897" s="141">
        <v>0.0</v>
      </c>
      <c r="AE897" s="80">
        <v>0.0</v>
      </c>
      <c r="AF897" s="140">
        <v>279.0</v>
      </c>
      <c r="AG897" s="109">
        <v>91.0</v>
      </c>
      <c r="AH897" s="109">
        <v>8.0</v>
      </c>
      <c r="AI897" s="141">
        <v>30.0</v>
      </c>
      <c r="AJ897" s="80">
        <v>408.0</v>
      </c>
      <c r="AK897" s="140">
        <v>0.0</v>
      </c>
      <c r="AL897" s="109">
        <v>0.0</v>
      </c>
      <c r="AM897" s="141">
        <v>0.0</v>
      </c>
      <c r="AN897" s="80">
        <v>0.0</v>
      </c>
      <c r="AO897" s="140">
        <v>0.0</v>
      </c>
      <c r="AP897" s="109">
        <v>0.0</v>
      </c>
      <c r="AQ897" s="109">
        <v>40.0</v>
      </c>
      <c r="AR897" s="80">
        <v>40.0</v>
      </c>
      <c r="AS897" s="110">
        <v>0.0</v>
      </c>
      <c r="AT897" s="110">
        <v>0.0</v>
      </c>
      <c r="AU897" s="110">
        <v>0.0</v>
      </c>
      <c r="AV897" s="142">
        <v>0.0</v>
      </c>
      <c r="AW897" s="80">
        <v>0.0</v>
      </c>
      <c r="AX897" s="113">
        <v>448.0</v>
      </c>
      <c r="AY897" s="117">
        <v>400.0</v>
      </c>
      <c r="AZ897" s="328">
        <v>48.0</v>
      </c>
      <c r="BA897" s="315">
        <v>0.0</v>
      </c>
      <c r="BB897" s="316">
        <v>448.0</v>
      </c>
      <c r="BC897" s="132" t="s">
        <v>178</v>
      </c>
      <c r="BD897" s="132" t="s">
        <v>178</v>
      </c>
      <c r="BE897" s="132" t="s">
        <v>178</v>
      </c>
      <c r="BF897" s="156"/>
      <c r="BG897" s="83">
        <v>1123159.0</v>
      </c>
      <c r="BH897" s="112">
        <v>9.0</v>
      </c>
      <c r="BI897" s="98" t="s">
        <v>155</v>
      </c>
      <c r="BJ897" s="98" t="str">
        <f t="shared" si="1"/>
        <v>INTEGRAL</v>
      </c>
      <c r="BK897" s="98" t="str">
        <f t="shared" si="2"/>
        <v>NÃO</v>
      </c>
    </row>
    <row r="898" ht="15.75" customHeight="1">
      <c r="A898" s="111" t="s">
        <v>1027</v>
      </c>
      <c r="B898" s="83" t="s">
        <v>4311</v>
      </c>
      <c r="C898" s="83" t="s">
        <v>164</v>
      </c>
      <c r="D898" s="83">
        <v>1179112.0</v>
      </c>
      <c r="E898" s="83">
        <v>1179187.0</v>
      </c>
      <c r="F898" s="83"/>
      <c r="G898" s="114" t="s">
        <v>9353</v>
      </c>
      <c r="H898" s="91" t="s">
        <v>4337</v>
      </c>
      <c r="I898" s="114" t="s">
        <v>4338</v>
      </c>
      <c r="J898" s="83" t="s">
        <v>467</v>
      </c>
      <c r="K898" s="83" t="s">
        <v>168</v>
      </c>
      <c r="L898" s="83" t="s">
        <v>169</v>
      </c>
      <c r="M898" s="82" t="s">
        <v>9338</v>
      </c>
      <c r="N898" s="82" t="s">
        <v>9340</v>
      </c>
      <c r="O898" s="82"/>
      <c r="P898" s="82"/>
      <c r="Q898" s="82"/>
      <c r="R898" s="82"/>
      <c r="S898" s="82"/>
      <c r="T898" s="138">
        <v>3.0</v>
      </c>
      <c r="U898" s="341">
        <v>3.0</v>
      </c>
      <c r="V898" s="106">
        <v>0.0</v>
      </c>
      <c r="W898" s="107">
        <v>0.0</v>
      </c>
      <c r="X898" s="107">
        <v>0.0</v>
      </c>
      <c r="Y898" s="107">
        <v>0.0</v>
      </c>
      <c r="Z898" s="80">
        <v>0.0</v>
      </c>
      <c r="AA898" s="140">
        <v>0.0</v>
      </c>
      <c r="AB898" s="109">
        <v>0.0</v>
      </c>
      <c r="AC898" s="109">
        <v>0.0</v>
      </c>
      <c r="AD898" s="141">
        <v>0.0</v>
      </c>
      <c r="AE898" s="80">
        <v>0.0</v>
      </c>
      <c r="AF898" s="140">
        <v>0.0</v>
      </c>
      <c r="AG898" s="109">
        <v>0.0</v>
      </c>
      <c r="AH898" s="109">
        <v>7.0</v>
      </c>
      <c r="AI898" s="141">
        <v>0.0</v>
      </c>
      <c r="AJ898" s="80">
        <v>7.0</v>
      </c>
      <c r="AK898" s="140">
        <v>0.0</v>
      </c>
      <c r="AL898" s="109">
        <v>0.0</v>
      </c>
      <c r="AM898" s="141">
        <v>0.0</v>
      </c>
      <c r="AN898" s="80">
        <v>0.0</v>
      </c>
      <c r="AO898" s="140">
        <v>0.0</v>
      </c>
      <c r="AP898" s="109">
        <v>0.0</v>
      </c>
      <c r="AQ898" s="109">
        <v>14.0</v>
      </c>
      <c r="AR898" s="80">
        <v>14.0</v>
      </c>
      <c r="AS898" s="110">
        <v>0.0</v>
      </c>
      <c r="AT898" s="110">
        <v>0.0</v>
      </c>
      <c r="AU898" s="110">
        <v>0.0</v>
      </c>
      <c r="AV898" s="142">
        <v>0.0</v>
      </c>
      <c r="AW898" s="80">
        <v>0.0</v>
      </c>
      <c r="AX898" s="113">
        <v>21.0</v>
      </c>
      <c r="AY898" s="117">
        <v>0.0</v>
      </c>
      <c r="AZ898" s="328">
        <v>21.0</v>
      </c>
      <c r="BA898" s="315">
        <v>0.0</v>
      </c>
      <c r="BB898" s="316">
        <v>21.0</v>
      </c>
      <c r="BC898" s="132" t="s">
        <v>631</v>
      </c>
      <c r="BD898" s="132" t="s">
        <v>178</v>
      </c>
      <c r="BE898" s="132" t="s">
        <v>178</v>
      </c>
      <c r="BF898" s="156"/>
      <c r="BG898" s="83">
        <v>1179187.0</v>
      </c>
      <c r="BH898" s="112">
        <v>3.0</v>
      </c>
      <c r="BI898" s="98" t="s">
        <v>155</v>
      </c>
      <c r="BJ898" s="98" t="str">
        <f t="shared" si="1"/>
        <v>NÃO</v>
      </c>
      <c r="BK898" s="98" t="str">
        <f t="shared" si="2"/>
        <v>NÃO</v>
      </c>
    </row>
    <row r="899" ht="15.75" customHeight="1">
      <c r="A899" s="111" t="s">
        <v>1027</v>
      </c>
      <c r="B899" s="83" t="s">
        <v>4344</v>
      </c>
      <c r="C899" s="83" t="s">
        <v>68</v>
      </c>
      <c r="D899" s="83">
        <v>1123310.0</v>
      </c>
      <c r="E899" s="83"/>
      <c r="F899" s="83">
        <v>2.9082234E7</v>
      </c>
      <c r="G899" s="114" t="s">
        <v>9355</v>
      </c>
      <c r="H899" s="91" t="s">
        <v>4348</v>
      </c>
      <c r="I899" s="114" t="s">
        <v>149</v>
      </c>
      <c r="J899" s="83" t="s">
        <v>150</v>
      </c>
      <c r="K899" s="83" t="s">
        <v>151</v>
      </c>
      <c r="L899" s="83" t="s">
        <v>230</v>
      </c>
      <c r="M899" s="82" t="s">
        <v>9356</v>
      </c>
      <c r="N899" s="82" t="s">
        <v>9357</v>
      </c>
      <c r="O899" s="82" t="s">
        <v>9359</v>
      </c>
      <c r="P899" s="82" t="s">
        <v>9361</v>
      </c>
      <c r="Q899" s="82" t="s">
        <v>9362</v>
      </c>
      <c r="R899" s="82"/>
      <c r="S899" s="82"/>
      <c r="T899" s="138">
        <v>14.0</v>
      </c>
      <c r="U899" s="341">
        <v>16.0</v>
      </c>
      <c r="V899" s="106">
        <v>0.0</v>
      </c>
      <c r="W899" s="107">
        <v>0.0</v>
      </c>
      <c r="X899" s="107">
        <v>0.0</v>
      </c>
      <c r="Y899" s="107">
        <v>0.0</v>
      </c>
      <c r="Z899" s="80">
        <v>0.0</v>
      </c>
      <c r="AA899" s="140">
        <v>0.0</v>
      </c>
      <c r="AB899" s="109">
        <v>0.0</v>
      </c>
      <c r="AC899" s="109">
        <v>0.0</v>
      </c>
      <c r="AD899" s="141">
        <v>0.0</v>
      </c>
      <c r="AE899" s="80">
        <v>0.0</v>
      </c>
      <c r="AF899" s="140">
        <v>253.0</v>
      </c>
      <c r="AG899" s="109">
        <v>192.0</v>
      </c>
      <c r="AH899" s="109">
        <v>40.0</v>
      </c>
      <c r="AI899" s="141">
        <v>133.0</v>
      </c>
      <c r="AJ899" s="80">
        <v>618.0</v>
      </c>
      <c r="AK899" s="140">
        <v>0.0</v>
      </c>
      <c r="AL899" s="109">
        <v>0.0</v>
      </c>
      <c r="AM899" s="141">
        <v>0.0</v>
      </c>
      <c r="AN899" s="80">
        <v>0.0</v>
      </c>
      <c r="AO899" s="140">
        <v>0.0</v>
      </c>
      <c r="AP899" s="109">
        <v>0.0</v>
      </c>
      <c r="AQ899" s="109">
        <v>170.0</v>
      </c>
      <c r="AR899" s="80">
        <v>170.0</v>
      </c>
      <c r="AS899" s="110">
        <v>0.0</v>
      </c>
      <c r="AT899" s="110">
        <v>59.0</v>
      </c>
      <c r="AU899" s="110">
        <v>0.0</v>
      </c>
      <c r="AV899" s="142">
        <v>0.0</v>
      </c>
      <c r="AW899" s="80">
        <v>59.0</v>
      </c>
      <c r="AX899" s="113">
        <v>847.0</v>
      </c>
      <c r="AY899" s="117">
        <v>637.0</v>
      </c>
      <c r="AZ899" s="328">
        <v>210.0</v>
      </c>
      <c r="BA899" s="315">
        <v>1.0</v>
      </c>
      <c r="BB899" s="316">
        <v>848.0</v>
      </c>
      <c r="BC899" s="132" t="s">
        <v>178</v>
      </c>
      <c r="BD899" s="132" t="s">
        <v>178</v>
      </c>
      <c r="BE899" s="132" t="s">
        <v>178</v>
      </c>
      <c r="BF899" s="123"/>
      <c r="BG899" s="83">
        <v>1123310.0</v>
      </c>
      <c r="BH899" s="112">
        <v>16.0</v>
      </c>
      <c r="BI899" s="98" t="s">
        <v>155</v>
      </c>
      <c r="BJ899" s="98" t="str">
        <f t="shared" si="1"/>
        <v>INTEGRAL</v>
      </c>
      <c r="BK899" s="98" t="str">
        <f t="shared" si="2"/>
        <v>PROFISSIONAL</v>
      </c>
    </row>
    <row r="900" ht="15.75" customHeight="1">
      <c r="A900" s="111" t="s">
        <v>1027</v>
      </c>
      <c r="B900" s="83" t="s">
        <v>4344</v>
      </c>
      <c r="C900" s="83" t="s">
        <v>164</v>
      </c>
      <c r="D900" s="83">
        <v>1123310.0</v>
      </c>
      <c r="E900" s="83">
        <v>1178736.0</v>
      </c>
      <c r="F900" s="83"/>
      <c r="G900" s="114" t="s">
        <v>9364</v>
      </c>
      <c r="H900" s="91" t="s">
        <v>4351</v>
      </c>
      <c r="I900" s="114" t="s">
        <v>4352</v>
      </c>
      <c r="J900" s="83" t="s">
        <v>4353</v>
      </c>
      <c r="K900" s="83" t="s">
        <v>168</v>
      </c>
      <c r="L900" s="83" t="s">
        <v>169</v>
      </c>
      <c r="M900" s="82" t="s">
        <v>9356</v>
      </c>
      <c r="N900" s="82" t="s">
        <v>9357</v>
      </c>
      <c r="O900" s="82" t="s">
        <v>9359</v>
      </c>
      <c r="P900" s="82" t="s">
        <v>9361</v>
      </c>
      <c r="Q900" s="82" t="s">
        <v>9362</v>
      </c>
      <c r="R900" s="82"/>
      <c r="S900" s="82"/>
      <c r="T900" s="138">
        <v>3.0</v>
      </c>
      <c r="U900" s="341">
        <v>3.0</v>
      </c>
      <c r="V900" s="106">
        <v>0.0</v>
      </c>
      <c r="W900" s="107">
        <v>0.0</v>
      </c>
      <c r="X900" s="107">
        <v>0.0</v>
      </c>
      <c r="Y900" s="107">
        <v>0.0</v>
      </c>
      <c r="Z900" s="80">
        <v>0.0</v>
      </c>
      <c r="AA900" s="140">
        <v>0.0</v>
      </c>
      <c r="AB900" s="109">
        <v>0.0</v>
      </c>
      <c r="AC900" s="109">
        <v>0.0</v>
      </c>
      <c r="AD900" s="141">
        <v>0.0</v>
      </c>
      <c r="AE900" s="80">
        <v>0.0</v>
      </c>
      <c r="AF900" s="140">
        <v>95.0</v>
      </c>
      <c r="AG900" s="109">
        <v>80.0</v>
      </c>
      <c r="AH900" s="109">
        <v>0.0</v>
      </c>
      <c r="AI900" s="141">
        <v>0.0</v>
      </c>
      <c r="AJ900" s="80">
        <v>175.0</v>
      </c>
      <c r="AK900" s="140">
        <v>0.0</v>
      </c>
      <c r="AL900" s="109">
        <v>0.0</v>
      </c>
      <c r="AM900" s="141">
        <v>0.0</v>
      </c>
      <c r="AN900" s="80">
        <v>0.0</v>
      </c>
      <c r="AO900" s="140">
        <v>0.0</v>
      </c>
      <c r="AP900" s="109">
        <v>0.0</v>
      </c>
      <c r="AQ900" s="109">
        <v>46.0</v>
      </c>
      <c r="AR900" s="80">
        <v>46.0</v>
      </c>
      <c r="AS900" s="110">
        <v>0.0</v>
      </c>
      <c r="AT900" s="110">
        <v>0.0</v>
      </c>
      <c r="AU900" s="110">
        <v>0.0</v>
      </c>
      <c r="AV900" s="142">
        <v>0.0</v>
      </c>
      <c r="AW900" s="80">
        <v>0.0</v>
      </c>
      <c r="AX900" s="113">
        <v>221.0</v>
      </c>
      <c r="AY900" s="117">
        <v>175.0</v>
      </c>
      <c r="AZ900" s="328">
        <v>46.0</v>
      </c>
      <c r="BA900" s="315">
        <v>0.0</v>
      </c>
      <c r="BB900" s="316">
        <v>221.0</v>
      </c>
      <c r="BC900" s="132" t="s">
        <v>373</v>
      </c>
      <c r="BD900" s="132" t="s">
        <v>178</v>
      </c>
      <c r="BE900" s="132" t="s">
        <v>178</v>
      </c>
      <c r="BF900" s="123"/>
      <c r="BG900" s="83">
        <v>1178736.0</v>
      </c>
      <c r="BH900" s="112">
        <v>3.0</v>
      </c>
      <c r="BI900" s="98" t="s">
        <v>155</v>
      </c>
      <c r="BJ900" s="98" t="str">
        <f t="shared" si="1"/>
        <v>NÃO</v>
      </c>
      <c r="BK900" s="98" t="str">
        <f t="shared" si="2"/>
        <v>NÃO</v>
      </c>
    </row>
    <row r="901" ht="15.75" customHeight="1">
      <c r="A901" s="111" t="s">
        <v>1027</v>
      </c>
      <c r="B901" s="83" t="s">
        <v>4358</v>
      </c>
      <c r="C901" s="83" t="s">
        <v>68</v>
      </c>
      <c r="D901" s="83">
        <v>1164343.0</v>
      </c>
      <c r="E901" s="83"/>
      <c r="F901" s="83">
        <v>2.9083044E7</v>
      </c>
      <c r="G901" s="114" t="s">
        <v>9369</v>
      </c>
      <c r="H901" s="91" t="s">
        <v>4360</v>
      </c>
      <c r="I901" s="187" t="s">
        <v>149</v>
      </c>
      <c r="J901" s="83" t="s">
        <v>150</v>
      </c>
      <c r="K901" s="83" t="s">
        <v>151</v>
      </c>
      <c r="L901" s="83" t="s">
        <v>169</v>
      </c>
      <c r="M901" s="82" t="s">
        <v>9370</v>
      </c>
      <c r="N901" s="82" t="s">
        <v>9371</v>
      </c>
      <c r="O901" s="82" t="s">
        <v>9372</v>
      </c>
      <c r="P901" s="82" t="s">
        <v>9373</v>
      </c>
      <c r="Q901" s="82"/>
      <c r="R901" s="82"/>
      <c r="S901" s="82"/>
      <c r="T901" s="138">
        <v>7.0</v>
      </c>
      <c r="U901" s="323" t="s">
        <v>9374</v>
      </c>
      <c r="V901" s="106">
        <v>0.0</v>
      </c>
      <c r="W901" s="107">
        <v>0.0</v>
      </c>
      <c r="X901" s="107">
        <v>0.0</v>
      </c>
      <c r="Y901" s="107">
        <v>0.0</v>
      </c>
      <c r="Z901" s="80">
        <v>0.0</v>
      </c>
      <c r="AA901" s="140">
        <v>0.0</v>
      </c>
      <c r="AB901" s="109">
        <v>0.0</v>
      </c>
      <c r="AC901" s="109">
        <v>0.0</v>
      </c>
      <c r="AD901" s="141">
        <v>0.0</v>
      </c>
      <c r="AE901" s="80">
        <v>0.0</v>
      </c>
      <c r="AF901" s="140">
        <v>56.0</v>
      </c>
      <c r="AG901" s="109">
        <v>40.0</v>
      </c>
      <c r="AH901" s="109">
        <v>0.0</v>
      </c>
      <c r="AI901" s="141">
        <v>77.0</v>
      </c>
      <c r="AJ901" s="80">
        <v>173.0</v>
      </c>
      <c r="AK901" s="140">
        <v>0.0</v>
      </c>
      <c r="AL901" s="109">
        <v>0.0</v>
      </c>
      <c r="AM901" s="141">
        <v>0.0</v>
      </c>
      <c r="AN901" s="80">
        <v>0.0</v>
      </c>
      <c r="AO901" s="140">
        <v>0.0</v>
      </c>
      <c r="AP901" s="109">
        <v>0.0</v>
      </c>
      <c r="AQ901" s="109">
        <v>58.0</v>
      </c>
      <c r="AR901" s="80">
        <v>58.0</v>
      </c>
      <c r="AS901" s="110">
        <v>0.0</v>
      </c>
      <c r="AT901" s="110">
        <v>0.0</v>
      </c>
      <c r="AU901" s="110">
        <v>20.0</v>
      </c>
      <c r="AV901" s="142">
        <v>0.0</v>
      </c>
      <c r="AW901" s="80">
        <v>20.0</v>
      </c>
      <c r="AX901" s="113">
        <v>251.0</v>
      </c>
      <c r="AY901" s="117">
        <v>173.0</v>
      </c>
      <c r="AZ901" s="328">
        <v>78.0</v>
      </c>
      <c r="BA901" s="315">
        <v>0.0</v>
      </c>
      <c r="BB901" s="316">
        <v>251.0</v>
      </c>
      <c r="BC901" s="132" t="s">
        <v>178</v>
      </c>
      <c r="BD901" s="132" t="s">
        <v>178</v>
      </c>
      <c r="BE901" s="132" t="s">
        <v>178</v>
      </c>
      <c r="BF901" s="123"/>
      <c r="BG901" s="83">
        <v>1164343.0</v>
      </c>
      <c r="BH901" s="112">
        <v>4.0</v>
      </c>
      <c r="BI901" s="98" t="s">
        <v>155</v>
      </c>
      <c r="BJ901" s="98" t="str">
        <f t="shared" si="1"/>
        <v>INTEGRAL</v>
      </c>
      <c r="BK901" s="98" t="str">
        <f t="shared" si="2"/>
        <v>PROFISSIONAL</v>
      </c>
    </row>
    <row r="902" ht="15.75" customHeight="1">
      <c r="A902" s="111" t="s">
        <v>1027</v>
      </c>
      <c r="B902" s="83" t="s">
        <v>2536</v>
      </c>
      <c r="C902" s="83" t="s">
        <v>68</v>
      </c>
      <c r="D902" s="83">
        <v>1176429.0</v>
      </c>
      <c r="E902" s="83"/>
      <c r="F902" s="83">
        <v>2.9393949E7</v>
      </c>
      <c r="G902" s="114" t="s">
        <v>6774</v>
      </c>
      <c r="H902" s="91" t="s">
        <v>4371</v>
      </c>
      <c r="I902" s="187" t="s">
        <v>4373</v>
      </c>
      <c r="J902" s="83" t="s">
        <v>150</v>
      </c>
      <c r="K902" s="83" t="s">
        <v>151</v>
      </c>
      <c r="L902" s="83" t="s">
        <v>152</v>
      </c>
      <c r="M902" s="82" t="s">
        <v>9381</v>
      </c>
      <c r="N902" s="82" t="s">
        <v>9382</v>
      </c>
      <c r="O902" s="82" t="s">
        <v>9383</v>
      </c>
      <c r="P902" s="82" t="s">
        <v>9385</v>
      </c>
      <c r="Q902" s="82"/>
      <c r="R902" s="82"/>
      <c r="S902" s="82"/>
      <c r="T902" s="138">
        <v>19.0</v>
      </c>
      <c r="U902" s="331" t="s">
        <v>9386</v>
      </c>
      <c r="V902" s="106">
        <v>0.0</v>
      </c>
      <c r="W902" s="107">
        <v>0.0</v>
      </c>
      <c r="X902" s="107">
        <v>0.0</v>
      </c>
      <c r="Y902" s="107">
        <v>0.0</v>
      </c>
      <c r="Z902" s="80">
        <v>0.0</v>
      </c>
      <c r="AA902" s="140">
        <v>0.0</v>
      </c>
      <c r="AB902" s="109">
        <v>0.0</v>
      </c>
      <c r="AC902" s="109">
        <v>0.0</v>
      </c>
      <c r="AD902" s="141">
        <v>0.0</v>
      </c>
      <c r="AE902" s="80">
        <v>0.0</v>
      </c>
      <c r="AF902" s="140">
        <v>586.0</v>
      </c>
      <c r="AG902" s="109">
        <v>368.0</v>
      </c>
      <c r="AH902" s="109">
        <v>40.0</v>
      </c>
      <c r="AI902" s="141">
        <v>309.0</v>
      </c>
      <c r="AJ902" s="80">
        <v>1303.0</v>
      </c>
      <c r="AK902" s="140">
        <v>0.0</v>
      </c>
      <c r="AL902" s="109">
        <v>0.0</v>
      </c>
      <c r="AM902" s="141">
        <v>0.0</v>
      </c>
      <c r="AN902" s="80">
        <v>0.0</v>
      </c>
      <c r="AO902" s="140">
        <v>0.0</v>
      </c>
      <c r="AP902" s="109">
        <v>0.0</v>
      </c>
      <c r="AQ902" s="109">
        <v>344.0</v>
      </c>
      <c r="AR902" s="80">
        <v>344.0</v>
      </c>
      <c r="AS902" s="110">
        <v>0.0</v>
      </c>
      <c r="AT902" s="110">
        <v>0.0</v>
      </c>
      <c r="AU902" s="110">
        <v>0.0</v>
      </c>
      <c r="AV902" s="142">
        <v>0.0</v>
      </c>
      <c r="AW902" s="80">
        <v>0.0</v>
      </c>
      <c r="AX902" s="113">
        <v>1647.0</v>
      </c>
      <c r="AY902" s="117">
        <v>1263.0</v>
      </c>
      <c r="AZ902" s="328">
        <v>384.0</v>
      </c>
      <c r="BA902" s="315">
        <v>20.0</v>
      </c>
      <c r="BB902" s="316">
        <v>1667.0</v>
      </c>
      <c r="BC902" s="132" t="s">
        <v>178</v>
      </c>
      <c r="BD902" s="132" t="s">
        <v>178</v>
      </c>
      <c r="BE902" s="132" t="s">
        <v>178</v>
      </c>
      <c r="BF902" s="123"/>
      <c r="BG902" s="83">
        <v>1176429.0</v>
      </c>
      <c r="BH902" s="112">
        <v>19.0</v>
      </c>
      <c r="BI902" s="98" t="s">
        <v>155</v>
      </c>
      <c r="BJ902" s="98" t="str">
        <f t="shared" si="1"/>
        <v>INTEGRAL</v>
      </c>
      <c r="BK902" s="98" t="str">
        <f t="shared" si="2"/>
        <v>NÃO</v>
      </c>
    </row>
    <row r="903" ht="15.75" customHeight="1">
      <c r="A903" s="111" t="s">
        <v>1027</v>
      </c>
      <c r="B903" s="83" t="s">
        <v>2536</v>
      </c>
      <c r="C903" s="83" t="s">
        <v>68</v>
      </c>
      <c r="D903" s="83">
        <v>1123485.0</v>
      </c>
      <c r="E903" s="83"/>
      <c r="F903" s="83">
        <v>2.9084202E7</v>
      </c>
      <c r="G903" s="114" t="s">
        <v>9392</v>
      </c>
      <c r="H903" s="91" t="s">
        <v>4383</v>
      </c>
      <c r="I903" s="114" t="s">
        <v>4384</v>
      </c>
      <c r="J903" s="83" t="s">
        <v>150</v>
      </c>
      <c r="K903" s="83" t="s">
        <v>151</v>
      </c>
      <c r="L903" s="83" t="s">
        <v>152</v>
      </c>
      <c r="M903" s="82" t="s">
        <v>9393</v>
      </c>
      <c r="N903" s="82" t="s">
        <v>9394</v>
      </c>
      <c r="O903" s="82" t="s">
        <v>9395</v>
      </c>
      <c r="P903" s="82" t="s">
        <v>9396</v>
      </c>
      <c r="Q903" s="82"/>
      <c r="R903" s="82"/>
      <c r="S903" s="82"/>
      <c r="T903" s="138">
        <v>9.0</v>
      </c>
      <c r="U903" s="433" t="s">
        <v>9397</v>
      </c>
      <c r="V903" s="106">
        <v>0.0</v>
      </c>
      <c r="W903" s="107">
        <v>0.0</v>
      </c>
      <c r="X903" s="107">
        <v>0.0</v>
      </c>
      <c r="Y903" s="107">
        <v>0.0</v>
      </c>
      <c r="Z903" s="80">
        <v>0.0</v>
      </c>
      <c r="AA903" s="140">
        <v>0.0</v>
      </c>
      <c r="AB903" s="109">
        <v>0.0</v>
      </c>
      <c r="AC903" s="109">
        <v>0.0</v>
      </c>
      <c r="AD903" s="141">
        <v>0.0</v>
      </c>
      <c r="AE903" s="80">
        <v>0.0</v>
      </c>
      <c r="AF903" s="140">
        <v>92.0</v>
      </c>
      <c r="AG903" s="109">
        <v>0.0</v>
      </c>
      <c r="AH903" s="109">
        <v>0.0</v>
      </c>
      <c r="AI903" s="141">
        <v>129.0</v>
      </c>
      <c r="AJ903" s="80">
        <v>221.0</v>
      </c>
      <c r="AK903" s="140">
        <v>0.0</v>
      </c>
      <c r="AL903" s="109">
        <v>0.0</v>
      </c>
      <c r="AM903" s="141">
        <v>0.0</v>
      </c>
      <c r="AN903" s="80">
        <v>0.0</v>
      </c>
      <c r="AO903" s="140">
        <v>0.0</v>
      </c>
      <c r="AP903" s="109">
        <v>0.0</v>
      </c>
      <c r="AQ903" s="109">
        <v>175.0</v>
      </c>
      <c r="AR903" s="80">
        <v>175.0</v>
      </c>
      <c r="AS903" s="110">
        <v>0.0</v>
      </c>
      <c r="AT903" s="110">
        <v>0.0</v>
      </c>
      <c r="AU903" s="110">
        <v>0.0</v>
      </c>
      <c r="AV903" s="142">
        <v>0.0</v>
      </c>
      <c r="AW903" s="80">
        <v>0.0</v>
      </c>
      <c r="AX903" s="113">
        <v>396.0</v>
      </c>
      <c r="AY903" s="117">
        <v>221.0</v>
      </c>
      <c r="AZ903" s="328">
        <v>175.0</v>
      </c>
      <c r="BA903" s="315">
        <v>0.0</v>
      </c>
      <c r="BB903" s="316">
        <v>396.0</v>
      </c>
      <c r="BC903" s="132" t="s">
        <v>178</v>
      </c>
      <c r="BD903" s="132" t="s">
        <v>178</v>
      </c>
      <c r="BE903" s="132" t="s">
        <v>178</v>
      </c>
      <c r="BF903" s="156"/>
      <c r="BG903" s="83">
        <v>1123485.0</v>
      </c>
      <c r="BH903" s="112">
        <v>7.0</v>
      </c>
      <c r="BI903" s="98" t="s">
        <v>155</v>
      </c>
      <c r="BJ903" s="98" t="str">
        <f t="shared" si="1"/>
        <v>INTEGRAL</v>
      </c>
      <c r="BK903" s="98" t="str">
        <f t="shared" si="2"/>
        <v>NÃO</v>
      </c>
    </row>
    <row r="904" ht="15.75" customHeight="1">
      <c r="A904" s="111" t="s">
        <v>1027</v>
      </c>
      <c r="B904" s="83" t="s">
        <v>2536</v>
      </c>
      <c r="C904" s="83" t="s">
        <v>68</v>
      </c>
      <c r="D904" s="83">
        <v>1123434.0</v>
      </c>
      <c r="E904" s="83"/>
      <c r="F904" s="83">
        <v>2.9083354E7</v>
      </c>
      <c r="G904" s="231" t="s">
        <v>4392</v>
      </c>
      <c r="H904" s="91" t="s">
        <v>4393</v>
      </c>
      <c r="I904" s="298" t="s">
        <v>149</v>
      </c>
      <c r="J904" s="83" t="s">
        <v>150</v>
      </c>
      <c r="K904" s="83" t="s">
        <v>151</v>
      </c>
      <c r="L904" s="83" t="s">
        <v>230</v>
      </c>
      <c r="M904" s="82" t="s">
        <v>9403</v>
      </c>
      <c r="N904" s="82" t="s">
        <v>9404</v>
      </c>
      <c r="O904" s="82" t="s">
        <v>9405</v>
      </c>
      <c r="P904" s="82" t="s">
        <v>9406</v>
      </c>
      <c r="Q904" s="82" t="s">
        <v>9407</v>
      </c>
      <c r="R904" s="82" t="s">
        <v>9408</v>
      </c>
      <c r="S904" s="82"/>
      <c r="T904" s="138">
        <v>20.0</v>
      </c>
      <c r="U904" s="401">
        <v>18.0</v>
      </c>
      <c r="V904" s="106">
        <v>0.0</v>
      </c>
      <c r="W904" s="107">
        <v>0.0</v>
      </c>
      <c r="X904" s="107">
        <v>0.0</v>
      </c>
      <c r="Y904" s="107">
        <v>0.0</v>
      </c>
      <c r="Z904" s="80">
        <v>0.0</v>
      </c>
      <c r="AA904" s="140">
        <v>0.0</v>
      </c>
      <c r="AB904" s="109">
        <v>0.0</v>
      </c>
      <c r="AC904" s="109">
        <v>0.0</v>
      </c>
      <c r="AD904" s="141">
        <v>0.0</v>
      </c>
      <c r="AE904" s="80">
        <v>0.0</v>
      </c>
      <c r="AF904" s="140">
        <v>0.0</v>
      </c>
      <c r="AG904" s="109">
        <v>0.0</v>
      </c>
      <c r="AH904" s="109">
        <v>0.0</v>
      </c>
      <c r="AI904" s="141">
        <v>0.0</v>
      </c>
      <c r="AJ904" s="80">
        <v>0.0</v>
      </c>
      <c r="AK904" s="140">
        <v>0.0</v>
      </c>
      <c r="AL904" s="109">
        <v>0.0</v>
      </c>
      <c r="AM904" s="141">
        <v>0.0</v>
      </c>
      <c r="AN904" s="80">
        <v>0.0</v>
      </c>
      <c r="AO904" s="140">
        <v>0.0</v>
      </c>
      <c r="AP904" s="109">
        <v>0.0</v>
      </c>
      <c r="AQ904" s="109">
        <v>0.0</v>
      </c>
      <c r="AR904" s="80">
        <v>0.0</v>
      </c>
      <c r="AS904" s="110">
        <v>466.0</v>
      </c>
      <c r="AT904" s="110">
        <v>368.0</v>
      </c>
      <c r="AU904" s="110">
        <v>259.0</v>
      </c>
      <c r="AV904" s="142">
        <v>0.0</v>
      </c>
      <c r="AW904" s="80">
        <v>1093.0</v>
      </c>
      <c r="AX904" s="113">
        <v>1093.0</v>
      </c>
      <c r="AY904" s="117">
        <v>834.0</v>
      </c>
      <c r="AZ904" s="328">
        <v>259.0</v>
      </c>
      <c r="BA904" s="315">
        <v>0.0</v>
      </c>
      <c r="BB904" s="316">
        <v>1093.0</v>
      </c>
      <c r="BC904" s="132" t="s">
        <v>178</v>
      </c>
      <c r="BD904" s="132" t="s">
        <v>522</v>
      </c>
      <c r="BE904" s="132" t="s">
        <v>178</v>
      </c>
      <c r="BF904" s="156"/>
      <c r="BG904" s="83">
        <v>1123434.0</v>
      </c>
      <c r="BH904" s="112">
        <v>18.0</v>
      </c>
      <c r="BI904" s="98" t="s">
        <v>155</v>
      </c>
      <c r="BJ904" s="98" t="str">
        <f t="shared" si="1"/>
        <v>NÃO</v>
      </c>
      <c r="BK904" s="98" t="str">
        <f t="shared" si="2"/>
        <v>PROFISSIONAL</v>
      </c>
    </row>
    <row r="905" ht="15.75" customHeight="1">
      <c r="A905" s="111" t="s">
        <v>1027</v>
      </c>
      <c r="B905" s="83" t="s">
        <v>4411</v>
      </c>
      <c r="C905" s="83" t="s">
        <v>68</v>
      </c>
      <c r="D905" s="83">
        <v>1178268.0</v>
      </c>
      <c r="E905" s="83"/>
      <c r="F905" s="83">
        <v>2.9581605E7</v>
      </c>
      <c r="G905" s="184" t="s">
        <v>4412</v>
      </c>
      <c r="H905" s="91" t="s">
        <v>4413</v>
      </c>
      <c r="I905" s="114" t="s">
        <v>149</v>
      </c>
      <c r="J905" s="83" t="s">
        <v>150</v>
      </c>
      <c r="K905" s="83" t="s">
        <v>151</v>
      </c>
      <c r="L905" s="83" t="s">
        <v>152</v>
      </c>
      <c r="M905" s="82" t="s">
        <v>9411</v>
      </c>
      <c r="N905" s="82" t="s">
        <v>9412</v>
      </c>
      <c r="O905" s="82"/>
      <c r="P905" s="82"/>
      <c r="Q905" s="82"/>
      <c r="R905" s="82"/>
      <c r="S905" s="82"/>
      <c r="T905" s="138">
        <v>14.0</v>
      </c>
      <c r="U905" s="389" t="s">
        <v>9413</v>
      </c>
      <c r="V905" s="106">
        <v>0.0</v>
      </c>
      <c r="W905" s="107">
        <v>0.0</v>
      </c>
      <c r="X905" s="107">
        <v>0.0</v>
      </c>
      <c r="Y905" s="107">
        <v>0.0</v>
      </c>
      <c r="Z905" s="80">
        <v>0.0</v>
      </c>
      <c r="AA905" s="140">
        <v>0.0</v>
      </c>
      <c r="AB905" s="109">
        <v>0.0</v>
      </c>
      <c r="AC905" s="109">
        <v>0.0</v>
      </c>
      <c r="AD905" s="141">
        <v>0.0</v>
      </c>
      <c r="AE905" s="80">
        <v>0.0</v>
      </c>
      <c r="AF905" s="140">
        <v>473.0</v>
      </c>
      <c r="AG905" s="109">
        <v>338.0</v>
      </c>
      <c r="AH905" s="109">
        <v>36.0</v>
      </c>
      <c r="AI905" s="141">
        <v>0.0</v>
      </c>
      <c r="AJ905" s="80">
        <v>847.0</v>
      </c>
      <c r="AK905" s="140">
        <v>0.0</v>
      </c>
      <c r="AL905" s="109">
        <v>0.0</v>
      </c>
      <c r="AM905" s="141">
        <v>0.0</v>
      </c>
      <c r="AN905" s="80">
        <v>0.0</v>
      </c>
      <c r="AO905" s="140">
        <v>0.0</v>
      </c>
      <c r="AP905" s="109">
        <v>0.0</v>
      </c>
      <c r="AQ905" s="109">
        <v>102.0</v>
      </c>
      <c r="AR905" s="80">
        <v>102.0</v>
      </c>
      <c r="AS905" s="110">
        <v>0.0</v>
      </c>
      <c r="AT905" s="110">
        <v>0.0</v>
      </c>
      <c r="AU905" s="110">
        <v>0.0</v>
      </c>
      <c r="AV905" s="142">
        <v>0.0</v>
      </c>
      <c r="AW905" s="80">
        <v>0.0</v>
      </c>
      <c r="AX905" s="113">
        <v>949.0</v>
      </c>
      <c r="AY905" s="117">
        <v>811.0</v>
      </c>
      <c r="AZ905" s="328">
        <v>138.0</v>
      </c>
      <c r="BA905" s="315">
        <v>0.0</v>
      </c>
      <c r="BB905" s="316">
        <v>949.0</v>
      </c>
      <c r="BC905" s="132" t="s">
        <v>178</v>
      </c>
      <c r="BD905" s="132" t="s">
        <v>178</v>
      </c>
      <c r="BE905" s="132" t="s">
        <v>178</v>
      </c>
      <c r="BF905" s="123"/>
      <c r="BG905" s="83">
        <v>1178268.0</v>
      </c>
      <c r="BH905" s="112">
        <v>14.0</v>
      </c>
      <c r="BI905" s="98" t="s">
        <v>155</v>
      </c>
      <c r="BJ905" s="98" t="str">
        <f t="shared" si="1"/>
        <v>NÃO</v>
      </c>
      <c r="BK905" s="98" t="str">
        <f t="shared" si="2"/>
        <v>NÃO</v>
      </c>
    </row>
    <row r="906" ht="15.75" customHeight="1">
      <c r="A906" s="111" t="s">
        <v>1027</v>
      </c>
      <c r="B906" s="83" t="s">
        <v>4424</v>
      </c>
      <c r="C906" s="83" t="s">
        <v>68</v>
      </c>
      <c r="D906" s="83">
        <v>1123531.0</v>
      </c>
      <c r="E906" s="83"/>
      <c r="F906" s="83">
        <v>2.9084784E7</v>
      </c>
      <c r="G906" s="185" t="s">
        <v>9416</v>
      </c>
      <c r="H906" s="91" t="s">
        <v>4426</v>
      </c>
      <c r="I906" s="187" t="s">
        <v>149</v>
      </c>
      <c r="J906" s="83" t="s">
        <v>150</v>
      </c>
      <c r="K906" s="83" t="s">
        <v>151</v>
      </c>
      <c r="L906" s="83" t="s">
        <v>169</v>
      </c>
      <c r="M906" s="82" t="s">
        <v>9418</v>
      </c>
      <c r="N906" s="82" t="s">
        <v>9419</v>
      </c>
      <c r="O906" s="82"/>
      <c r="P906" s="82"/>
      <c r="Q906" s="82"/>
      <c r="R906" s="82"/>
      <c r="S906" s="82"/>
      <c r="T906" s="138">
        <v>6.0</v>
      </c>
      <c r="U906" s="323" t="s">
        <v>9420</v>
      </c>
      <c r="V906" s="106">
        <v>0.0</v>
      </c>
      <c r="W906" s="107">
        <v>0.0</v>
      </c>
      <c r="X906" s="107">
        <v>0.0</v>
      </c>
      <c r="Y906" s="107">
        <v>0.0</v>
      </c>
      <c r="Z906" s="80">
        <v>0.0</v>
      </c>
      <c r="AA906" s="140">
        <v>0.0</v>
      </c>
      <c r="AB906" s="109">
        <v>0.0</v>
      </c>
      <c r="AC906" s="109">
        <v>0.0</v>
      </c>
      <c r="AD906" s="141">
        <v>0.0</v>
      </c>
      <c r="AE906" s="80">
        <v>0.0</v>
      </c>
      <c r="AF906" s="140">
        <v>17.0</v>
      </c>
      <c r="AG906" s="109">
        <v>10.0</v>
      </c>
      <c r="AH906" s="109">
        <v>0.0</v>
      </c>
      <c r="AI906" s="141">
        <v>91.0</v>
      </c>
      <c r="AJ906" s="80">
        <v>118.0</v>
      </c>
      <c r="AK906" s="140">
        <v>0.0</v>
      </c>
      <c r="AL906" s="109">
        <v>0.0</v>
      </c>
      <c r="AM906" s="141">
        <v>0.0</v>
      </c>
      <c r="AN906" s="80">
        <v>0.0</v>
      </c>
      <c r="AO906" s="140">
        <v>0.0</v>
      </c>
      <c r="AP906" s="109">
        <v>0.0</v>
      </c>
      <c r="AQ906" s="109">
        <v>19.0</v>
      </c>
      <c r="AR906" s="80">
        <v>19.0</v>
      </c>
      <c r="AS906" s="110">
        <v>0.0</v>
      </c>
      <c r="AT906" s="110">
        <v>0.0</v>
      </c>
      <c r="AU906" s="110">
        <v>0.0</v>
      </c>
      <c r="AV906" s="142">
        <v>0.0</v>
      </c>
      <c r="AW906" s="80">
        <v>0.0</v>
      </c>
      <c r="AX906" s="113">
        <v>137.0</v>
      </c>
      <c r="AY906" s="117">
        <v>118.0</v>
      </c>
      <c r="AZ906" s="328">
        <v>19.0</v>
      </c>
      <c r="BA906" s="315">
        <v>1.0</v>
      </c>
      <c r="BB906" s="316">
        <v>138.0</v>
      </c>
      <c r="BC906" s="132" t="s">
        <v>178</v>
      </c>
      <c r="BD906" s="132" t="s">
        <v>178</v>
      </c>
      <c r="BE906" s="132" t="s">
        <v>178</v>
      </c>
      <c r="BF906" s="123"/>
      <c r="BG906" s="83">
        <v>1123531.0</v>
      </c>
      <c r="BH906" s="112">
        <v>4.0</v>
      </c>
      <c r="BI906" s="98" t="s">
        <v>162</v>
      </c>
      <c r="BJ906" s="98" t="str">
        <f t="shared" si="1"/>
        <v>INTEGRAL</v>
      </c>
      <c r="BK906" s="98" t="str">
        <f t="shared" si="2"/>
        <v>NÃO</v>
      </c>
    </row>
    <row r="907" ht="15.75" customHeight="1">
      <c r="A907" s="111" t="s">
        <v>1027</v>
      </c>
      <c r="B907" s="83" t="s">
        <v>4428</v>
      </c>
      <c r="C907" s="83" t="s">
        <v>68</v>
      </c>
      <c r="D907" s="83">
        <v>1178398.0</v>
      </c>
      <c r="E907" s="83"/>
      <c r="F907" s="83">
        <v>2.998072E7</v>
      </c>
      <c r="G907" s="114" t="s">
        <v>9424</v>
      </c>
      <c r="H907" s="91" t="s">
        <v>4431</v>
      </c>
      <c r="I907" s="114" t="s">
        <v>149</v>
      </c>
      <c r="J907" s="83" t="s">
        <v>150</v>
      </c>
      <c r="K907" s="83" t="s">
        <v>151</v>
      </c>
      <c r="L907" s="83" t="s">
        <v>76</v>
      </c>
      <c r="M907" s="82" t="s">
        <v>9425</v>
      </c>
      <c r="N907" s="82" t="s">
        <v>9426</v>
      </c>
      <c r="O907" s="82" t="s">
        <v>9427</v>
      </c>
      <c r="P907" s="82" t="s">
        <v>9428</v>
      </c>
      <c r="Q907" s="82"/>
      <c r="R907" s="82"/>
      <c r="S907" s="82"/>
      <c r="T907" s="138">
        <v>9.0</v>
      </c>
      <c r="U907" s="352" t="s">
        <v>9429</v>
      </c>
      <c r="V907" s="106">
        <v>0.0</v>
      </c>
      <c r="W907" s="107">
        <v>0.0</v>
      </c>
      <c r="X907" s="107">
        <v>0.0</v>
      </c>
      <c r="Y907" s="107">
        <v>0.0</v>
      </c>
      <c r="Z907" s="80">
        <v>0.0</v>
      </c>
      <c r="AA907" s="140">
        <v>0.0</v>
      </c>
      <c r="AB907" s="109">
        <v>0.0</v>
      </c>
      <c r="AC907" s="109">
        <v>0.0</v>
      </c>
      <c r="AD907" s="141">
        <v>0.0</v>
      </c>
      <c r="AE907" s="80">
        <v>0.0</v>
      </c>
      <c r="AF907" s="140">
        <v>207.0</v>
      </c>
      <c r="AG907" s="109">
        <v>75.0</v>
      </c>
      <c r="AH907" s="109">
        <v>38.0</v>
      </c>
      <c r="AI907" s="141">
        <v>19.0</v>
      </c>
      <c r="AJ907" s="80">
        <v>339.0</v>
      </c>
      <c r="AK907" s="140">
        <v>0.0</v>
      </c>
      <c r="AL907" s="109">
        <v>0.0</v>
      </c>
      <c r="AM907" s="141">
        <v>0.0</v>
      </c>
      <c r="AN907" s="80">
        <v>0.0</v>
      </c>
      <c r="AO907" s="140">
        <v>0.0</v>
      </c>
      <c r="AP907" s="109">
        <v>0.0</v>
      </c>
      <c r="AQ907" s="109">
        <v>145.0</v>
      </c>
      <c r="AR907" s="80">
        <v>145.0</v>
      </c>
      <c r="AS907" s="110">
        <v>85.0</v>
      </c>
      <c r="AT907" s="110">
        <v>141.0</v>
      </c>
      <c r="AU907" s="110">
        <v>70.0</v>
      </c>
      <c r="AV907" s="142">
        <v>0.0</v>
      </c>
      <c r="AW907" s="80">
        <v>296.0</v>
      </c>
      <c r="AX907" s="113">
        <v>780.0</v>
      </c>
      <c r="AY907" s="117">
        <v>527.0</v>
      </c>
      <c r="AZ907" s="328">
        <v>253.0</v>
      </c>
      <c r="BA907" s="315">
        <v>1.0</v>
      </c>
      <c r="BB907" s="316">
        <v>781.0</v>
      </c>
      <c r="BC907" s="132" t="s">
        <v>178</v>
      </c>
      <c r="BD907" s="132" t="s">
        <v>178</v>
      </c>
      <c r="BE907" s="132" t="s">
        <v>178</v>
      </c>
      <c r="BF907" s="123"/>
      <c r="BG907" s="83">
        <v>1178398.0</v>
      </c>
      <c r="BH907" s="112">
        <v>11.0</v>
      </c>
      <c r="BI907" s="98" t="s">
        <v>155</v>
      </c>
      <c r="BJ907" s="98" t="str">
        <f t="shared" si="1"/>
        <v>INTEGRAL</v>
      </c>
      <c r="BK907" s="98" t="str">
        <f t="shared" si="2"/>
        <v>PROFISSIONAL</v>
      </c>
    </row>
    <row r="908" ht="15.75" customHeight="1">
      <c r="A908" s="111" t="s">
        <v>1027</v>
      </c>
      <c r="B908" s="83" t="s">
        <v>2276</v>
      </c>
      <c r="C908" s="83" t="s">
        <v>45</v>
      </c>
      <c r="D908" s="83">
        <v>1178442.0</v>
      </c>
      <c r="E908" s="83"/>
      <c r="F908" s="83">
        <v>2.9891736E7</v>
      </c>
      <c r="G908" s="187" t="s">
        <v>4438</v>
      </c>
      <c r="H908" s="91" t="s">
        <v>4439</v>
      </c>
      <c r="I908" s="114" t="s">
        <v>4440</v>
      </c>
      <c r="J908" s="98" t="s">
        <v>222</v>
      </c>
      <c r="K908" s="83" t="s">
        <v>171</v>
      </c>
      <c r="L908" s="83" t="s">
        <v>512</v>
      </c>
      <c r="M908" s="82" t="s">
        <v>9432</v>
      </c>
      <c r="N908" s="82" t="s">
        <v>9433</v>
      </c>
      <c r="O908" s="82"/>
      <c r="P908" s="82"/>
      <c r="Q908" s="82"/>
      <c r="R908" s="82"/>
      <c r="S908" s="82"/>
      <c r="T908" s="138">
        <v>5.0</v>
      </c>
      <c r="U908" s="518" t="s">
        <v>171</v>
      </c>
      <c r="V908" s="106">
        <v>0.0</v>
      </c>
      <c r="W908" s="107">
        <v>0.0</v>
      </c>
      <c r="X908" s="107">
        <v>0.0</v>
      </c>
      <c r="Y908" s="107">
        <v>0.0</v>
      </c>
      <c r="Z908" s="80">
        <v>0.0</v>
      </c>
      <c r="AA908" s="140">
        <v>0.0</v>
      </c>
      <c r="AB908" s="109">
        <v>0.0</v>
      </c>
      <c r="AC908" s="109">
        <v>0.0</v>
      </c>
      <c r="AD908" s="141">
        <v>0.0</v>
      </c>
      <c r="AE908" s="80">
        <v>0.0</v>
      </c>
      <c r="AF908" s="140">
        <v>0.0</v>
      </c>
      <c r="AG908" s="109">
        <v>0.0</v>
      </c>
      <c r="AH908" s="109">
        <v>0.0</v>
      </c>
      <c r="AI908" s="141">
        <v>89.0</v>
      </c>
      <c r="AJ908" s="80">
        <v>89.0</v>
      </c>
      <c r="AK908" s="140">
        <v>0.0</v>
      </c>
      <c r="AL908" s="109">
        <v>0.0</v>
      </c>
      <c r="AM908" s="141">
        <v>0.0</v>
      </c>
      <c r="AN908" s="80">
        <v>0.0</v>
      </c>
      <c r="AO908" s="140">
        <v>0.0</v>
      </c>
      <c r="AP908" s="109">
        <v>0.0</v>
      </c>
      <c r="AQ908" s="109">
        <v>0.0</v>
      </c>
      <c r="AR908" s="80">
        <v>0.0</v>
      </c>
      <c r="AS908" s="110">
        <v>0.0</v>
      </c>
      <c r="AT908" s="110">
        <v>0.0</v>
      </c>
      <c r="AU908" s="110">
        <v>0.0</v>
      </c>
      <c r="AV908" s="142">
        <v>0.0</v>
      </c>
      <c r="AW908" s="80">
        <v>0.0</v>
      </c>
      <c r="AX908" s="113">
        <v>89.0</v>
      </c>
      <c r="AY908" s="117">
        <v>89.0</v>
      </c>
      <c r="AZ908" s="328">
        <v>0.0</v>
      </c>
      <c r="BA908" s="315">
        <v>0.0</v>
      </c>
      <c r="BB908" s="316">
        <v>89.0</v>
      </c>
      <c r="BC908" s="132" t="s">
        <v>178</v>
      </c>
      <c r="BD908" s="132" t="s">
        <v>178</v>
      </c>
      <c r="BE908" s="132" t="s">
        <v>178</v>
      </c>
      <c r="BF908" s="123"/>
      <c r="BG908" s="83">
        <v>1178442.0</v>
      </c>
      <c r="BH908" s="112">
        <v>5.0</v>
      </c>
      <c r="BI908" s="98" t="s">
        <v>155</v>
      </c>
      <c r="BJ908" s="98" t="str">
        <f t="shared" si="1"/>
        <v>INTEGRAL</v>
      </c>
      <c r="BK908" s="98" t="str">
        <f t="shared" si="2"/>
        <v>NÃO</v>
      </c>
    </row>
    <row r="909" ht="15.75" customHeight="1">
      <c r="A909" s="111" t="s">
        <v>1027</v>
      </c>
      <c r="B909" s="83" t="s">
        <v>2276</v>
      </c>
      <c r="C909" s="83" t="s">
        <v>68</v>
      </c>
      <c r="D909" s="83">
        <v>1122985.0</v>
      </c>
      <c r="E909" s="83"/>
      <c r="F909" s="83">
        <v>2.908637E7</v>
      </c>
      <c r="G909" s="114" t="s">
        <v>9439</v>
      </c>
      <c r="H909" s="91" t="s">
        <v>9440</v>
      </c>
      <c r="I909" s="114" t="s">
        <v>149</v>
      </c>
      <c r="J909" s="83" t="s">
        <v>150</v>
      </c>
      <c r="K909" s="83" t="s">
        <v>151</v>
      </c>
      <c r="L909" s="83" t="s">
        <v>76</v>
      </c>
      <c r="M909" s="82" t="s">
        <v>9441</v>
      </c>
      <c r="N909" s="82" t="s">
        <v>9442</v>
      </c>
      <c r="O909" s="82" t="s">
        <v>9443</v>
      </c>
      <c r="P909" s="82" t="s">
        <v>9444</v>
      </c>
      <c r="Q909" s="82" t="s">
        <v>9446</v>
      </c>
      <c r="R909" s="82" t="s">
        <v>9447</v>
      </c>
      <c r="S909" s="82"/>
      <c r="T909" s="138">
        <v>10.0</v>
      </c>
      <c r="U909" s="440" t="s">
        <v>9448</v>
      </c>
      <c r="V909" s="106">
        <v>0.0</v>
      </c>
      <c r="W909" s="107">
        <v>0.0</v>
      </c>
      <c r="X909" s="107">
        <v>0.0</v>
      </c>
      <c r="Y909" s="107">
        <v>0.0</v>
      </c>
      <c r="Z909" s="80">
        <v>0.0</v>
      </c>
      <c r="AA909" s="140">
        <v>0.0</v>
      </c>
      <c r="AB909" s="109">
        <v>0.0</v>
      </c>
      <c r="AC909" s="109">
        <v>0.0</v>
      </c>
      <c r="AD909" s="141">
        <v>0.0</v>
      </c>
      <c r="AE909" s="80">
        <v>0.0</v>
      </c>
      <c r="AF909" s="140">
        <v>92.0</v>
      </c>
      <c r="AG909" s="109">
        <v>54.0</v>
      </c>
      <c r="AH909" s="109">
        <v>12.0</v>
      </c>
      <c r="AI909" s="141">
        <v>1.0</v>
      </c>
      <c r="AJ909" s="80">
        <v>159.0</v>
      </c>
      <c r="AK909" s="140">
        <v>0.0</v>
      </c>
      <c r="AL909" s="109">
        <v>0.0</v>
      </c>
      <c r="AM909" s="141">
        <v>0.0</v>
      </c>
      <c r="AN909" s="80">
        <v>0.0</v>
      </c>
      <c r="AO909" s="140">
        <v>0.0</v>
      </c>
      <c r="AP909" s="109">
        <v>0.0</v>
      </c>
      <c r="AQ909" s="109">
        <v>74.0</v>
      </c>
      <c r="AR909" s="80">
        <v>74.0</v>
      </c>
      <c r="AS909" s="110">
        <v>0.0</v>
      </c>
      <c r="AT909" s="110">
        <v>0.0</v>
      </c>
      <c r="AU909" s="110">
        <v>0.0</v>
      </c>
      <c r="AV909" s="142">
        <v>0.0</v>
      </c>
      <c r="AW909" s="80">
        <v>0.0</v>
      </c>
      <c r="AX909" s="113">
        <v>233.0</v>
      </c>
      <c r="AY909" s="117">
        <v>147.0</v>
      </c>
      <c r="AZ909" s="328">
        <v>86.0</v>
      </c>
      <c r="BA909" s="315">
        <v>6.0</v>
      </c>
      <c r="BB909" s="316">
        <v>239.0</v>
      </c>
      <c r="BC909" s="132" t="s">
        <v>178</v>
      </c>
      <c r="BD909" s="132" t="s">
        <v>178</v>
      </c>
      <c r="BE909" s="132" t="s">
        <v>178</v>
      </c>
      <c r="BF909" s="123"/>
      <c r="BG909" s="83">
        <v>1122985.0</v>
      </c>
      <c r="BH909" s="112">
        <v>8.0</v>
      </c>
      <c r="BI909" s="98" t="s">
        <v>155</v>
      </c>
      <c r="BJ909" s="98" t="str">
        <f t="shared" si="1"/>
        <v>INTEGRAL</v>
      </c>
      <c r="BK909" s="98" t="str">
        <f t="shared" si="2"/>
        <v>NÃO</v>
      </c>
    </row>
    <row r="910" ht="15.75" customHeight="1">
      <c r="A910" s="111" t="s">
        <v>1027</v>
      </c>
      <c r="B910" s="83" t="s">
        <v>2276</v>
      </c>
      <c r="C910" s="83" t="s">
        <v>68</v>
      </c>
      <c r="D910" s="83">
        <v>1123000.0</v>
      </c>
      <c r="E910" s="83"/>
      <c r="F910" s="83">
        <v>2.9086914E7</v>
      </c>
      <c r="G910" s="241" t="s">
        <v>4442</v>
      </c>
      <c r="H910" s="91" t="s">
        <v>4443</v>
      </c>
      <c r="I910" s="114" t="s">
        <v>149</v>
      </c>
      <c r="J910" s="136" t="s">
        <v>150</v>
      </c>
      <c r="K910" s="136" t="s">
        <v>151</v>
      </c>
      <c r="L910" s="83" t="s">
        <v>230</v>
      </c>
      <c r="M910" s="82" t="s">
        <v>9453</v>
      </c>
      <c r="N910" s="82" t="s">
        <v>9454</v>
      </c>
      <c r="O910" s="82" t="s">
        <v>9455</v>
      </c>
      <c r="P910" s="82" t="s">
        <v>9456</v>
      </c>
      <c r="Q910" s="82" t="s">
        <v>9457</v>
      </c>
      <c r="R910" s="82" t="s">
        <v>9458</v>
      </c>
      <c r="S910" s="82"/>
      <c r="T910" s="138">
        <v>16.0</v>
      </c>
      <c r="U910" s="364" t="s">
        <v>9459</v>
      </c>
      <c r="V910" s="106">
        <v>0.0</v>
      </c>
      <c r="W910" s="107">
        <v>0.0</v>
      </c>
      <c r="X910" s="107">
        <v>0.0</v>
      </c>
      <c r="Y910" s="107">
        <v>0.0</v>
      </c>
      <c r="Z910" s="80">
        <v>0.0</v>
      </c>
      <c r="AA910" s="140">
        <v>0.0</v>
      </c>
      <c r="AB910" s="109">
        <v>0.0</v>
      </c>
      <c r="AC910" s="109">
        <v>0.0</v>
      </c>
      <c r="AD910" s="141">
        <v>0.0</v>
      </c>
      <c r="AE910" s="80">
        <v>0.0</v>
      </c>
      <c r="AF910" s="246">
        <v>0.0</v>
      </c>
      <c r="AG910" s="246">
        <v>0.0</v>
      </c>
      <c r="AH910" s="246">
        <v>0.0</v>
      </c>
      <c r="AI910" s="247">
        <v>0.0</v>
      </c>
      <c r="AJ910" s="80">
        <v>0.0</v>
      </c>
      <c r="AK910" s="140">
        <v>0.0</v>
      </c>
      <c r="AL910" s="109">
        <v>0.0</v>
      </c>
      <c r="AM910" s="141">
        <v>0.0</v>
      </c>
      <c r="AN910" s="80">
        <v>0.0</v>
      </c>
      <c r="AO910" s="246">
        <v>0.0</v>
      </c>
      <c r="AP910" s="246">
        <v>0.0</v>
      </c>
      <c r="AQ910" s="247">
        <v>0.0</v>
      </c>
      <c r="AR910" s="80">
        <v>0.0</v>
      </c>
      <c r="AS910" s="110">
        <v>328.0</v>
      </c>
      <c r="AT910" s="110">
        <v>92.0</v>
      </c>
      <c r="AU910" s="110">
        <v>104.0</v>
      </c>
      <c r="AV910" s="142">
        <v>0.0</v>
      </c>
      <c r="AW910" s="80">
        <v>524.0</v>
      </c>
      <c r="AX910" s="113">
        <v>524.0</v>
      </c>
      <c r="AY910" s="117">
        <v>420.0</v>
      </c>
      <c r="AZ910" s="328">
        <v>104.0</v>
      </c>
      <c r="BA910" s="315">
        <v>0.0</v>
      </c>
      <c r="BB910" s="316">
        <v>524.0</v>
      </c>
      <c r="BC910" s="132" t="s">
        <v>178</v>
      </c>
      <c r="BD910" s="132" t="s">
        <v>522</v>
      </c>
      <c r="BE910" s="132" t="s">
        <v>178</v>
      </c>
      <c r="BF910" s="123"/>
      <c r="BG910" s="83">
        <v>1123000.0</v>
      </c>
      <c r="BH910" s="112">
        <v>12.0</v>
      </c>
      <c r="BI910" s="98" t="s">
        <v>155</v>
      </c>
      <c r="BJ910" s="98" t="str">
        <f t="shared" si="1"/>
        <v>NÃO</v>
      </c>
      <c r="BK910" s="98" t="str">
        <f t="shared" si="2"/>
        <v>PROFISSIONAL</v>
      </c>
    </row>
    <row r="911" ht="15.75" customHeight="1">
      <c r="A911" s="111" t="s">
        <v>1027</v>
      </c>
      <c r="B911" s="83" t="s">
        <v>2276</v>
      </c>
      <c r="C911" s="83" t="s">
        <v>164</v>
      </c>
      <c r="D911" s="83">
        <v>1122985.0</v>
      </c>
      <c r="E911" s="83">
        <v>1179240.0</v>
      </c>
      <c r="F911" s="83"/>
      <c r="G911" s="231" t="s">
        <v>9463</v>
      </c>
      <c r="H911" s="91" t="s">
        <v>4453</v>
      </c>
      <c r="I911" s="187" t="s">
        <v>149</v>
      </c>
      <c r="J911" s="136" t="s">
        <v>187</v>
      </c>
      <c r="K911" s="136" t="s">
        <v>168</v>
      </c>
      <c r="L911" s="136" t="s">
        <v>169</v>
      </c>
      <c r="M911" s="82" t="s">
        <v>9441</v>
      </c>
      <c r="N911" s="82" t="s">
        <v>9442</v>
      </c>
      <c r="O911" s="82" t="s">
        <v>9443</v>
      </c>
      <c r="P911" s="82" t="s">
        <v>9444</v>
      </c>
      <c r="Q911" s="82" t="s">
        <v>9446</v>
      </c>
      <c r="R911" s="82" t="s">
        <v>9447</v>
      </c>
      <c r="S911" s="82"/>
      <c r="T911" s="138">
        <v>4.0</v>
      </c>
      <c r="U911" s="387">
        <v>3.0</v>
      </c>
      <c r="V911" s="106">
        <v>0.0</v>
      </c>
      <c r="W911" s="107">
        <v>0.0</v>
      </c>
      <c r="X911" s="107">
        <v>0.0</v>
      </c>
      <c r="Y911" s="107">
        <v>0.0</v>
      </c>
      <c r="Z911" s="80">
        <v>0.0</v>
      </c>
      <c r="AA911" s="140">
        <v>0.0</v>
      </c>
      <c r="AB911" s="109">
        <v>0.0</v>
      </c>
      <c r="AC911" s="109">
        <v>0.0</v>
      </c>
      <c r="AD911" s="141">
        <v>0.0</v>
      </c>
      <c r="AE911" s="80">
        <v>0.0</v>
      </c>
      <c r="AF911" s="140">
        <v>0.0</v>
      </c>
      <c r="AG911" s="109">
        <v>14.0</v>
      </c>
      <c r="AH911" s="109">
        <v>59.0</v>
      </c>
      <c r="AI911" s="141">
        <v>0.0</v>
      </c>
      <c r="AJ911" s="80">
        <v>73.0</v>
      </c>
      <c r="AK911" s="140">
        <v>0.0</v>
      </c>
      <c r="AL911" s="109">
        <v>0.0</v>
      </c>
      <c r="AM911" s="141">
        <v>0.0</v>
      </c>
      <c r="AN911" s="80">
        <v>0.0</v>
      </c>
      <c r="AO911" s="140">
        <v>0.0</v>
      </c>
      <c r="AP911" s="109">
        <v>0.0</v>
      </c>
      <c r="AQ911" s="109">
        <v>0.0</v>
      </c>
      <c r="AR911" s="80">
        <v>0.0</v>
      </c>
      <c r="AS911" s="110">
        <v>0.0</v>
      </c>
      <c r="AT911" s="110">
        <v>0.0</v>
      </c>
      <c r="AU911" s="110">
        <v>0.0</v>
      </c>
      <c r="AV911" s="142">
        <v>0.0</v>
      </c>
      <c r="AW911" s="80">
        <v>0.0</v>
      </c>
      <c r="AX911" s="113">
        <v>73.0</v>
      </c>
      <c r="AY911" s="117">
        <v>14.0</v>
      </c>
      <c r="AZ911" s="328">
        <v>59.0</v>
      </c>
      <c r="BA911" s="315">
        <v>0.0</v>
      </c>
      <c r="BB911" s="316">
        <v>73.0</v>
      </c>
      <c r="BC911" s="132" t="s">
        <v>373</v>
      </c>
      <c r="BD911" s="132" t="s">
        <v>178</v>
      </c>
      <c r="BE911" s="132" t="s">
        <v>178</v>
      </c>
      <c r="BF911" s="123"/>
      <c r="BG911" s="83">
        <v>1179240.0</v>
      </c>
      <c r="BH911" s="112">
        <v>3.0</v>
      </c>
      <c r="BI911" s="98" t="s">
        <v>155</v>
      </c>
      <c r="BJ911" s="98" t="str">
        <f t="shared" si="1"/>
        <v>NÃO</v>
      </c>
      <c r="BK911" s="98" t="str">
        <f t="shared" si="2"/>
        <v>NÃO</v>
      </c>
    </row>
    <row r="912" ht="15.75" customHeight="1">
      <c r="A912" s="111" t="s">
        <v>1027</v>
      </c>
      <c r="B912" s="83" t="s">
        <v>2276</v>
      </c>
      <c r="C912" s="83" t="s">
        <v>164</v>
      </c>
      <c r="D912" s="83">
        <v>1122985.0</v>
      </c>
      <c r="E912" s="83">
        <v>1178727.0</v>
      </c>
      <c r="F912" s="83"/>
      <c r="G912" s="241" t="s">
        <v>9468</v>
      </c>
      <c r="H912" s="91" t="s">
        <v>4451</v>
      </c>
      <c r="I912" s="114" t="s">
        <v>149</v>
      </c>
      <c r="J912" s="136" t="s">
        <v>183</v>
      </c>
      <c r="K912" s="136" t="s">
        <v>168</v>
      </c>
      <c r="L912" s="83" t="s">
        <v>169</v>
      </c>
      <c r="M912" s="82" t="s">
        <v>9441</v>
      </c>
      <c r="N912" s="82" t="s">
        <v>9442</v>
      </c>
      <c r="O912" s="82" t="s">
        <v>9443</v>
      </c>
      <c r="P912" s="82" t="s">
        <v>9444</v>
      </c>
      <c r="Q912" s="82" t="s">
        <v>9446</v>
      </c>
      <c r="R912" s="82" t="s">
        <v>9447</v>
      </c>
      <c r="S912" s="82"/>
      <c r="T912" s="138">
        <v>5.0</v>
      </c>
      <c r="U912" s="387">
        <v>5.0</v>
      </c>
      <c r="V912" s="106">
        <v>0.0</v>
      </c>
      <c r="W912" s="107">
        <v>0.0</v>
      </c>
      <c r="X912" s="107">
        <v>0.0</v>
      </c>
      <c r="Y912" s="107">
        <v>0.0</v>
      </c>
      <c r="Z912" s="80">
        <v>0.0</v>
      </c>
      <c r="AA912" s="140">
        <v>0.0</v>
      </c>
      <c r="AB912" s="109">
        <v>0.0</v>
      </c>
      <c r="AC912" s="109">
        <v>0.0</v>
      </c>
      <c r="AD912" s="141">
        <v>0.0</v>
      </c>
      <c r="AE912" s="80">
        <v>0.0</v>
      </c>
      <c r="AF912" s="140">
        <v>0.0</v>
      </c>
      <c r="AG912" s="109">
        <v>0.0</v>
      </c>
      <c r="AH912" s="109">
        <v>143.0</v>
      </c>
      <c r="AI912" s="141">
        <v>0.0</v>
      </c>
      <c r="AJ912" s="80">
        <v>143.0</v>
      </c>
      <c r="AK912" s="140">
        <v>0.0</v>
      </c>
      <c r="AL912" s="109">
        <v>0.0</v>
      </c>
      <c r="AM912" s="141">
        <v>0.0</v>
      </c>
      <c r="AN912" s="80">
        <v>0.0</v>
      </c>
      <c r="AO912" s="140">
        <v>0.0</v>
      </c>
      <c r="AP912" s="109">
        <v>0.0</v>
      </c>
      <c r="AQ912" s="109">
        <v>0.0</v>
      </c>
      <c r="AR912" s="80">
        <v>0.0</v>
      </c>
      <c r="AS912" s="110">
        <v>0.0</v>
      </c>
      <c r="AT912" s="110">
        <v>0.0</v>
      </c>
      <c r="AU912" s="110">
        <v>0.0</v>
      </c>
      <c r="AV912" s="142">
        <v>0.0</v>
      </c>
      <c r="AW912" s="80">
        <v>0.0</v>
      </c>
      <c r="AX912" s="113">
        <v>143.0</v>
      </c>
      <c r="AY912" s="117">
        <v>0.0</v>
      </c>
      <c r="AZ912" s="328">
        <v>143.0</v>
      </c>
      <c r="BA912" s="315">
        <v>0.0</v>
      </c>
      <c r="BB912" s="316">
        <v>143.0</v>
      </c>
      <c r="BC912" s="132" t="s">
        <v>373</v>
      </c>
      <c r="BD912" s="132" t="s">
        <v>178</v>
      </c>
      <c r="BE912" s="132" t="s">
        <v>178</v>
      </c>
      <c r="BF912" s="123"/>
      <c r="BG912" s="83">
        <v>1178727.0</v>
      </c>
      <c r="BH912" s="112">
        <v>5.0</v>
      </c>
      <c r="BI912" s="98" t="s">
        <v>155</v>
      </c>
      <c r="BJ912" s="98" t="str">
        <f t="shared" si="1"/>
        <v>NÃO</v>
      </c>
      <c r="BK912" s="98" t="str">
        <f t="shared" si="2"/>
        <v>NÃO</v>
      </c>
    </row>
    <row r="913" ht="15.75" customHeight="1">
      <c r="A913" s="111" t="s">
        <v>1027</v>
      </c>
      <c r="B913" s="83" t="s">
        <v>4459</v>
      </c>
      <c r="C913" s="83" t="s">
        <v>68</v>
      </c>
      <c r="D913" s="83">
        <v>1178016.0</v>
      </c>
      <c r="E913" s="83"/>
      <c r="F913" s="83">
        <v>2.942696E7</v>
      </c>
      <c r="G913" s="292" t="s">
        <v>4461</v>
      </c>
      <c r="H913" s="91" t="s">
        <v>4462</v>
      </c>
      <c r="I913" s="114" t="s">
        <v>149</v>
      </c>
      <c r="J913" s="136" t="s">
        <v>150</v>
      </c>
      <c r="K913" s="136" t="s">
        <v>151</v>
      </c>
      <c r="L913" s="83" t="s">
        <v>152</v>
      </c>
      <c r="M913" s="82" t="s">
        <v>9472</v>
      </c>
      <c r="N913" s="82" t="s">
        <v>9473</v>
      </c>
      <c r="O913" s="82" t="s">
        <v>9474</v>
      </c>
      <c r="P913" s="82" t="s">
        <v>9475</v>
      </c>
      <c r="Q913" s="82"/>
      <c r="R913" s="82"/>
      <c r="S913" s="82"/>
      <c r="T913" s="138">
        <v>10.0</v>
      </c>
      <c r="U913" s="341">
        <v>8.0</v>
      </c>
      <c r="V913" s="106">
        <v>0.0</v>
      </c>
      <c r="W913" s="107">
        <v>0.0</v>
      </c>
      <c r="X913" s="107">
        <v>0.0</v>
      </c>
      <c r="Y913" s="107">
        <v>0.0</v>
      </c>
      <c r="Z913" s="80">
        <v>0.0</v>
      </c>
      <c r="AA913" s="140">
        <v>0.0</v>
      </c>
      <c r="AB913" s="109">
        <v>0.0</v>
      </c>
      <c r="AC913" s="109">
        <v>0.0</v>
      </c>
      <c r="AD913" s="141">
        <v>0.0</v>
      </c>
      <c r="AE913" s="80">
        <v>0.0</v>
      </c>
      <c r="AF913" s="140">
        <v>151.0</v>
      </c>
      <c r="AG913" s="109">
        <v>298.0</v>
      </c>
      <c r="AH913" s="109">
        <v>22.0</v>
      </c>
      <c r="AI913" s="141">
        <v>0.0</v>
      </c>
      <c r="AJ913" s="80">
        <v>471.0</v>
      </c>
      <c r="AK913" s="140">
        <v>0.0</v>
      </c>
      <c r="AL913" s="109">
        <v>0.0</v>
      </c>
      <c r="AM913" s="141">
        <v>0.0</v>
      </c>
      <c r="AN913" s="80">
        <v>0.0</v>
      </c>
      <c r="AO913" s="140">
        <v>0.0</v>
      </c>
      <c r="AP913" s="109">
        <v>0.0</v>
      </c>
      <c r="AQ913" s="109">
        <v>99.0</v>
      </c>
      <c r="AR913" s="80">
        <v>99.0</v>
      </c>
      <c r="AS913" s="110">
        <v>158.0</v>
      </c>
      <c r="AT913" s="110">
        <v>0.0</v>
      </c>
      <c r="AU913" s="110">
        <v>0.0</v>
      </c>
      <c r="AV913" s="142">
        <v>0.0</v>
      </c>
      <c r="AW913" s="80">
        <v>158.0</v>
      </c>
      <c r="AX913" s="113">
        <v>728.0</v>
      </c>
      <c r="AY913" s="117">
        <v>607.0</v>
      </c>
      <c r="AZ913" s="328">
        <v>121.0</v>
      </c>
      <c r="BA913" s="315">
        <v>0.0</v>
      </c>
      <c r="BB913" s="316">
        <v>728.0</v>
      </c>
      <c r="BC913" s="132" t="s">
        <v>178</v>
      </c>
      <c r="BD913" s="132" t="s">
        <v>178</v>
      </c>
      <c r="BE913" s="132" t="s">
        <v>178</v>
      </c>
      <c r="BF913" s="123"/>
      <c r="BG913" s="83">
        <v>1178016.0</v>
      </c>
      <c r="BH913" s="112">
        <v>8.0</v>
      </c>
      <c r="BI913" s="98" t="s">
        <v>155</v>
      </c>
      <c r="BJ913" s="98" t="str">
        <f t="shared" si="1"/>
        <v>NÃO</v>
      </c>
      <c r="BK913" s="98" t="str">
        <f t="shared" si="2"/>
        <v>PROFISSIONAL</v>
      </c>
    </row>
    <row r="914" ht="15.75" customHeight="1">
      <c r="A914" s="111" t="s">
        <v>1027</v>
      </c>
      <c r="B914" s="83" t="s">
        <v>4464</v>
      </c>
      <c r="C914" s="83" t="s">
        <v>68</v>
      </c>
      <c r="D914" s="83">
        <v>1178426.0</v>
      </c>
      <c r="E914" s="83"/>
      <c r="F914" s="83">
        <v>2.9441919E7</v>
      </c>
      <c r="G914" s="241" t="s">
        <v>9479</v>
      </c>
      <c r="H914" s="91" t="s">
        <v>4467</v>
      </c>
      <c r="I914" s="298" t="s">
        <v>149</v>
      </c>
      <c r="J914" s="136" t="s">
        <v>767</v>
      </c>
      <c r="K914" s="136" t="s">
        <v>151</v>
      </c>
      <c r="L914" s="83" t="s">
        <v>76</v>
      </c>
      <c r="M914" s="82" t="s">
        <v>9480</v>
      </c>
      <c r="N914" s="82" t="s">
        <v>9481</v>
      </c>
      <c r="O914" s="82" t="s">
        <v>9482</v>
      </c>
      <c r="P914" s="82" t="s">
        <v>9483</v>
      </c>
      <c r="Q914" s="82"/>
      <c r="R914" s="82"/>
      <c r="S914" s="82"/>
      <c r="T914" s="138">
        <v>7.0</v>
      </c>
      <c r="U914" s="352" t="s">
        <v>9149</v>
      </c>
      <c r="V914" s="106">
        <v>0.0</v>
      </c>
      <c r="W914" s="107">
        <v>0.0</v>
      </c>
      <c r="X914" s="107">
        <v>0.0</v>
      </c>
      <c r="Y914" s="107">
        <v>0.0</v>
      </c>
      <c r="Z914" s="80">
        <v>0.0</v>
      </c>
      <c r="AA914" s="140">
        <v>0.0</v>
      </c>
      <c r="AB914" s="109">
        <v>0.0</v>
      </c>
      <c r="AC914" s="109">
        <v>0.0</v>
      </c>
      <c r="AD914" s="141">
        <v>0.0</v>
      </c>
      <c r="AE914" s="80">
        <v>0.0</v>
      </c>
      <c r="AF914" s="140">
        <v>184.0</v>
      </c>
      <c r="AG914" s="109">
        <v>209.0</v>
      </c>
      <c r="AH914" s="109">
        <v>0.0</v>
      </c>
      <c r="AI914" s="141">
        <v>0.0</v>
      </c>
      <c r="AJ914" s="80">
        <v>393.0</v>
      </c>
      <c r="AK914" s="140">
        <v>0.0</v>
      </c>
      <c r="AL914" s="109">
        <v>0.0</v>
      </c>
      <c r="AM914" s="141">
        <v>0.0</v>
      </c>
      <c r="AN914" s="80">
        <v>0.0</v>
      </c>
      <c r="AO914" s="140">
        <v>0.0</v>
      </c>
      <c r="AP914" s="109">
        <v>0.0</v>
      </c>
      <c r="AQ914" s="109">
        <v>17.0</v>
      </c>
      <c r="AR914" s="80">
        <v>17.0</v>
      </c>
      <c r="AS914" s="110">
        <v>0.0</v>
      </c>
      <c r="AT914" s="110">
        <v>0.0</v>
      </c>
      <c r="AU914" s="110">
        <v>0.0</v>
      </c>
      <c r="AV914" s="142">
        <v>0.0</v>
      </c>
      <c r="AW914" s="80">
        <v>0.0</v>
      </c>
      <c r="AX914" s="113">
        <v>410.0</v>
      </c>
      <c r="AY914" s="117">
        <v>393.0</v>
      </c>
      <c r="AZ914" s="328">
        <v>17.0</v>
      </c>
      <c r="BA914" s="315">
        <v>0.0</v>
      </c>
      <c r="BB914" s="316">
        <v>410.0</v>
      </c>
      <c r="BC914" s="132" t="s">
        <v>373</v>
      </c>
      <c r="BD914" s="132" t="s">
        <v>178</v>
      </c>
      <c r="BE914" s="132" t="s">
        <v>178</v>
      </c>
      <c r="BF914" s="123"/>
      <c r="BG914" s="83">
        <v>1178426.0</v>
      </c>
      <c r="BH914" s="112">
        <v>7.0</v>
      </c>
      <c r="BI914" s="98" t="s">
        <v>155</v>
      </c>
      <c r="BJ914" s="98" t="str">
        <f t="shared" si="1"/>
        <v>NÃO</v>
      </c>
      <c r="BK914" s="98" t="str">
        <f t="shared" si="2"/>
        <v>NÃO</v>
      </c>
    </row>
    <row r="915" ht="15.75" customHeight="1">
      <c r="A915" s="111" t="s">
        <v>1027</v>
      </c>
      <c r="B915" s="83" t="s">
        <v>4464</v>
      </c>
      <c r="C915" s="83" t="s">
        <v>68</v>
      </c>
      <c r="D915" s="83">
        <v>1178044.0</v>
      </c>
      <c r="E915" s="83"/>
      <c r="F915" s="83">
        <v>2.9424038E7</v>
      </c>
      <c r="G915" s="114" t="s">
        <v>9484</v>
      </c>
      <c r="H915" s="91" t="s">
        <v>4475</v>
      </c>
      <c r="I915" s="114" t="s">
        <v>149</v>
      </c>
      <c r="J915" s="83" t="s">
        <v>150</v>
      </c>
      <c r="K915" s="83" t="s">
        <v>151</v>
      </c>
      <c r="L915" s="83" t="s">
        <v>76</v>
      </c>
      <c r="M915" s="82" t="s">
        <v>9485</v>
      </c>
      <c r="N915" s="82" t="s">
        <v>9487</v>
      </c>
      <c r="O915" s="82"/>
      <c r="P915" s="82"/>
      <c r="Q915" s="82"/>
      <c r="R915" s="82"/>
      <c r="S915" s="82"/>
      <c r="T915" s="138">
        <v>7.0</v>
      </c>
      <c r="U915" s="341">
        <v>6.0</v>
      </c>
      <c r="V915" s="106">
        <v>0.0</v>
      </c>
      <c r="W915" s="107">
        <v>0.0</v>
      </c>
      <c r="X915" s="107">
        <v>0.0</v>
      </c>
      <c r="Y915" s="107">
        <v>0.0</v>
      </c>
      <c r="Z915" s="80">
        <v>0.0</v>
      </c>
      <c r="AA915" s="140">
        <v>0.0</v>
      </c>
      <c r="AB915" s="109">
        <v>0.0</v>
      </c>
      <c r="AC915" s="109">
        <v>0.0</v>
      </c>
      <c r="AD915" s="141">
        <v>0.0</v>
      </c>
      <c r="AE915" s="80">
        <v>0.0</v>
      </c>
      <c r="AF915" s="140">
        <v>249.0</v>
      </c>
      <c r="AG915" s="109">
        <v>192.0</v>
      </c>
      <c r="AH915" s="109">
        <v>0.0</v>
      </c>
      <c r="AI915" s="141">
        <v>0.0</v>
      </c>
      <c r="AJ915" s="80">
        <v>441.0</v>
      </c>
      <c r="AK915" s="140">
        <v>0.0</v>
      </c>
      <c r="AL915" s="109">
        <v>0.0</v>
      </c>
      <c r="AM915" s="141">
        <v>0.0</v>
      </c>
      <c r="AN915" s="80">
        <v>0.0</v>
      </c>
      <c r="AO915" s="140">
        <v>0.0</v>
      </c>
      <c r="AP915" s="109">
        <v>0.0</v>
      </c>
      <c r="AQ915" s="109">
        <v>52.0</v>
      </c>
      <c r="AR915" s="80">
        <v>52.0</v>
      </c>
      <c r="AS915" s="110">
        <v>0.0</v>
      </c>
      <c r="AT915" s="110">
        <v>0.0</v>
      </c>
      <c r="AU915" s="110">
        <v>0.0</v>
      </c>
      <c r="AV915" s="142">
        <v>0.0</v>
      </c>
      <c r="AW915" s="80">
        <v>0.0</v>
      </c>
      <c r="AX915" s="113">
        <v>493.0</v>
      </c>
      <c r="AY915" s="117">
        <v>441.0</v>
      </c>
      <c r="AZ915" s="328">
        <v>52.0</v>
      </c>
      <c r="BA915" s="315">
        <v>0.0</v>
      </c>
      <c r="BB915" s="316">
        <v>493.0</v>
      </c>
      <c r="BC915" s="132" t="s">
        <v>178</v>
      </c>
      <c r="BD915" s="132" t="s">
        <v>178</v>
      </c>
      <c r="BE915" s="132" t="s">
        <v>178</v>
      </c>
      <c r="BF915" s="123"/>
      <c r="BG915" s="83">
        <v>1178044.0</v>
      </c>
      <c r="BH915" s="112">
        <v>6.0</v>
      </c>
      <c r="BI915" s="98" t="s">
        <v>155</v>
      </c>
      <c r="BJ915" s="98" t="str">
        <f t="shared" si="1"/>
        <v>NÃO</v>
      </c>
      <c r="BK915" s="98" t="str">
        <f t="shared" si="2"/>
        <v>NÃO</v>
      </c>
    </row>
    <row r="916" ht="15.75" customHeight="1">
      <c r="A916" s="111" t="s">
        <v>1027</v>
      </c>
      <c r="B916" s="136" t="s">
        <v>4478</v>
      </c>
      <c r="C916" s="83" t="s">
        <v>45</v>
      </c>
      <c r="D916" s="83">
        <v>1178387.0</v>
      </c>
      <c r="E916" s="83"/>
      <c r="F916" s="83">
        <v>2.936082E7</v>
      </c>
      <c r="G916" s="187" t="s">
        <v>4484</v>
      </c>
      <c r="H916" s="91" t="s">
        <v>4485</v>
      </c>
      <c r="I916" s="114" t="s">
        <v>149</v>
      </c>
      <c r="J916" s="115" t="s">
        <v>150</v>
      </c>
      <c r="K916" s="83" t="s">
        <v>171</v>
      </c>
      <c r="L916" s="83" t="s">
        <v>169</v>
      </c>
      <c r="M916" s="82" t="s">
        <v>9491</v>
      </c>
      <c r="N916" s="82" t="s">
        <v>9492</v>
      </c>
      <c r="O916" s="82"/>
      <c r="P916" s="82"/>
      <c r="Q916" s="82"/>
      <c r="R916" s="82"/>
      <c r="S916" s="82"/>
      <c r="T916" s="138">
        <v>7.0</v>
      </c>
      <c r="U916" s="323" t="s">
        <v>171</v>
      </c>
      <c r="V916" s="106">
        <v>0.0</v>
      </c>
      <c r="W916" s="107">
        <v>0.0</v>
      </c>
      <c r="X916" s="107">
        <v>0.0</v>
      </c>
      <c r="Y916" s="107">
        <v>0.0</v>
      </c>
      <c r="Z916" s="80">
        <v>0.0</v>
      </c>
      <c r="AA916" s="140">
        <v>0.0</v>
      </c>
      <c r="AB916" s="109">
        <v>0.0</v>
      </c>
      <c r="AC916" s="109">
        <v>0.0</v>
      </c>
      <c r="AD916" s="141">
        <v>0.0</v>
      </c>
      <c r="AE916" s="80">
        <v>0.0</v>
      </c>
      <c r="AF916" s="140">
        <v>0.0</v>
      </c>
      <c r="AG916" s="109">
        <v>0.0</v>
      </c>
      <c r="AH916" s="109">
        <v>0.0</v>
      </c>
      <c r="AI916" s="141">
        <v>177.0</v>
      </c>
      <c r="AJ916" s="80">
        <v>177.0</v>
      </c>
      <c r="AK916" s="140">
        <v>0.0</v>
      </c>
      <c r="AL916" s="109">
        <v>0.0</v>
      </c>
      <c r="AM916" s="141">
        <v>0.0</v>
      </c>
      <c r="AN916" s="80">
        <v>0.0</v>
      </c>
      <c r="AO916" s="140">
        <v>0.0</v>
      </c>
      <c r="AP916" s="109">
        <v>0.0</v>
      </c>
      <c r="AQ916" s="109">
        <v>0.0</v>
      </c>
      <c r="AR916" s="80">
        <v>0.0</v>
      </c>
      <c r="AS916" s="110">
        <v>0.0</v>
      </c>
      <c r="AT916" s="110">
        <v>0.0</v>
      </c>
      <c r="AU916" s="110">
        <v>0.0</v>
      </c>
      <c r="AV916" s="142">
        <v>0.0</v>
      </c>
      <c r="AW916" s="80">
        <v>0.0</v>
      </c>
      <c r="AX916" s="113">
        <v>177.0</v>
      </c>
      <c r="AY916" s="117">
        <v>177.0</v>
      </c>
      <c r="AZ916" s="328">
        <v>0.0</v>
      </c>
      <c r="BA916" s="315">
        <v>0.0</v>
      </c>
      <c r="BB916" s="316">
        <v>177.0</v>
      </c>
      <c r="BC916" s="132" t="s">
        <v>178</v>
      </c>
      <c r="BD916" s="132" t="s">
        <v>178</v>
      </c>
      <c r="BE916" s="132" t="s">
        <v>178</v>
      </c>
      <c r="BF916" s="123"/>
      <c r="BG916" s="83">
        <v>1178387.0</v>
      </c>
      <c r="BH916" s="112">
        <v>7.0</v>
      </c>
      <c r="BI916" s="98" t="s">
        <v>155</v>
      </c>
      <c r="BJ916" s="98" t="str">
        <f t="shared" si="1"/>
        <v>INTEGRAL</v>
      </c>
      <c r="BK916" s="98" t="str">
        <f t="shared" si="2"/>
        <v>NÃO</v>
      </c>
    </row>
    <row r="917" ht="15.75" customHeight="1">
      <c r="A917" s="111" t="s">
        <v>1027</v>
      </c>
      <c r="B917" s="136" t="s">
        <v>4478</v>
      </c>
      <c r="C917" s="83" t="s">
        <v>68</v>
      </c>
      <c r="D917" s="83">
        <v>1123957.0</v>
      </c>
      <c r="E917" s="83"/>
      <c r="F917" s="83">
        <v>2.9087236E7</v>
      </c>
      <c r="G917" s="187" t="s">
        <v>9493</v>
      </c>
      <c r="H917" s="91" t="s">
        <v>4489</v>
      </c>
      <c r="I917" s="114" t="s">
        <v>4490</v>
      </c>
      <c r="J917" s="136" t="s">
        <v>150</v>
      </c>
      <c r="K917" s="83" t="s">
        <v>151</v>
      </c>
      <c r="L917" s="83" t="s">
        <v>230</v>
      </c>
      <c r="M917" s="82" t="s">
        <v>9496</v>
      </c>
      <c r="N917" s="82" t="s">
        <v>9497</v>
      </c>
      <c r="O917" s="82" t="s">
        <v>9498</v>
      </c>
      <c r="P917" s="82"/>
      <c r="Q917" s="82" t="s">
        <v>9500</v>
      </c>
      <c r="R917" s="82" t="s">
        <v>9501</v>
      </c>
      <c r="S917" s="82"/>
      <c r="T917" s="138">
        <v>15.0</v>
      </c>
      <c r="U917" s="323">
        <v>15.0</v>
      </c>
      <c r="V917" s="106">
        <v>0.0</v>
      </c>
      <c r="W917" s="107">
        <v>0.0</v>
      </c>
      <c r="X917" s="107">
        <v>0.0</v>
      </c>
      <c r="Y917" s="107">
        <v>0.0</v>
      </c>
      <c r="Z917" s="80">
        <v>0.0</v>
      </c>
      <c r="AA917" s="140">
        <v>0.0</v>
      </c>
      <c r="AB917" s="109">
        <v>0.0</v>
      </c>
      <c r="AC917" s="109">
        <v>0.0</v>
      </c>
      <c r="AD917" s="141">
        <v>0.0</v>
      </c>
      <c r="AE917" s="80">
        <v>0.0</v>
      </c>
      <c r="AF917" s="140">
        <v>175.0</v>
      </c>
      <c r="AG917" s="109">
        <v>149.0</v>
      </c>
      <c r="AH917" s="109">
        <v>45.0</v>
      </c>
      <c r="AI917" s="141">
        <v>205.0</v>
      </c>
      <c r="AJ917" s="80">
        <v>574.0</v>
      </c>
      <c r="AK917" s="140">
        <v>0.0</v>
      </c>
      <c r="AL917" s="109">
        <v>0.0</v>
      </c>
      <c r="AM917" s="141">
        <v>0.0</v>
      </c>
      <c r="AN917" s="80">
        <v>0.0</v>
      </c>
      <c r="AO917" s="140">
        <v>0.0</v>
      </c>
      <c r="AP917" s="109">
        <v>0.0</v>
      </c>
      <c r="AQ917" s="109">
        <v>242.0</v>
      </c>
      <c r="AR917" s="80">
        <v>242.0</v>
      </c>
      <c r="AS917" s="110">
        <v>137.0</v>
      </c>
      <c r="AT917" s="110">
        <v>78.0</v>
      </c>
      <c r="AU917" s="110">
        <v>0.0</v>
      </c>
      <c r="AV917" s="142">
        <v>0.0</v>
      </c>
      <c r="AW917" s="80">
        <v>215.0</v>
      </c>
      <c r="AX917" s="113">
        <v>1031.0</v>
      </c>
      <c r="AY917" s="117">
        <v>744.0</v>
      </c>
      <c r="AZ917" s="328">
        <v>287.0</v>
      </c>
      <c r="BA917" s="315">
        <v>0.0</v>
      </c>
      <c r="BB917" s="316">
        <v>1031.0</v>
      </c>
      <c r="BC917" s="132" t="s">
        <v>178</v>
      </c>
      <c r="BD917" s="132" t="s">
        <v>178</v>
      </c>
      <c r="BE917" s="132" t="s">
        <v>178</v>
      </c>
      <c r="BF917" s="123"/>
      <c r="BG917" s="83">
        <v>1123957.0</v>
      </c>
      <c r="BH917" s="112">
        <v>15.0</v>
      </c>
      <c r="BI917" s="98" t="s">
        <v>155</v>
      </c>
      <c r="BJ917" s="98" t="str">
        <f t="shared" si="1"/>
        <v>INTEGRAL</v>
      </c>
      <c r="BK917" s="98" t="str">
        <f t="shared" si="2"/>
        <v>PROFISSIONAL</v>
      </c>
    </row>
    <row r="918" ht="15.75" customHeight="1">
      <c r="A918" s="111" t="s">
        <v>1027</v>
      </c>
      <c r="B918" s="83" t="s">
        <v>4478</v>
      </c>
      <c r="C918" s="83" t="s">
        <v>164</v>
      </c>
      <c r="D918" s="83">
        <v>1123957.0</v>
      </c>
      <c r="E918" s="83">
        <v>1178742.0</v>
      </c>
      <c r="F918" s="83"/>
      <c r="G918" s="114" t="s">
        <v>9505</v>
      </c>
      <c r="H918" s="91" t="s">
        <v>4499</v>
      </c>
      <c r="I918" s="114" t="s">
        <v>4500</v>
      </c>
      <c r="J918" s="136" t="s">
        <v>464</v>
      </c>
      <c r="K918" s="136" t="s">
        <v>168</v>
      </c>
      <c r="L918" s="83" t="s">
        <v>169</v>
      </c>
      <c r="M918" s="82" t="s">
        <v>9496</v>
      </c>
      <c r="N918" s="82" t="s">
        <v>9497</v>
      </c>
      <c r="O918" s="82" t="s">
        <v>9498</v>
      </c>
      <c r="P918" s="82"/>
      <c r="Q918" s="82" t="s">
        <v>9500</v>
      </c>
      <c r="R918" s="82" t="s">
        <v>9501</v>
      </c>
      <c r="S918" s="82"/>
      <c r="T918" s="138">
        <v>4.0</v>
      </c>
      <c r="U918" s="364">
        <v>3.0</v>
      </c>
      <c r="V918" s="106">
        <v>0.0</v>
      </c>
      <c r="W918" s="107">
        <v>0.0</v>
      </c>
      <c r="X918" s="107">
        <v>0.0</v>
      </c>
      <c r="Y918" s="107">
        <v>0.0</v>
      </c>
      <c r="Z918" s="80">
        <v>0.0</v>
      </c>
      <c r="AA918" s="140">
        <v>0.0</v>
      </c>
      <c r="AB918" s="109">
        <v>0.0</v>
      </c>
      <c r="AC918" s="109">
        <v>0.0</v>
      </c>
      <c r="AD918" s="141">
        <v>0.0</v>
      </c>
      <c r="AE918" s="80">
        <v>0.0</v>
      </c>
      <c r="AF918" s="246">
        <v>0.0</v>
      </c>
      <c r="AG918" s="246">
        <v>92.0</v>
      </c>
      <c r="AH918" s="246">
        <v>0.0</v>
      </c>
      <c r="AI918" s="247">
        <v>0.0</v>
      </c>
      <c r="AJ918" s="80">
        <v>92.0</v>
      </c>
      <c r="AK918" s="140">
        <v>0.0</v>
      </c>
      <c r="AL918" s="109">
        <v>0.0</v>
      </c>
      <c r="AM918" s="141">
        <v>0.0</v>
      </c>
      <c r="AN918" s="80">
        <v>0.0</v>
      </c>
      <c r="AO918" s="246">
        <v>0.0</v>
      </c>
      <c r="AP918" s="246">
        <v>0.0</v>
      </c>
      <c r="AQ918" s="247">
        <v>0.0</v>
      </c>
      <c r="AR918" s="80">
        <v>0.0</v>
      </c>
      <c r="AS918" s="110">
        <v>0.0</v>
      </c>
      <c r="AT918" s="110">
        <v>0.0</v>
      </c>
      <c r="AU918" s="110">
        <v>0.0</v>
      </c>
      <c r="AV918" s="142">
        <v>0.0</v>
      </c>
      <c r="AW918" s="80">
        <v>0.0</v>
      </c>
      <c r="AX918" s="113">
        <v>92.0</v>
      </c>
      <c r="AY918" s="117">
        <v>92.0</v>
      </c>
      <c r="AZ918" s="328">
        <v>0.0</v>
      </c>
      <c r="BA918" s="315">
        <v>0.0</v>
      </c>
      <c r="BB918" s="316">
        <v>92.0</v>
      </c>
      <c r="BC918" s="132" t="s">
        <v>373</v>
      </c>
      <c r="BD918" s="132" t="s">
        <v>178</v>
      </c>
      <c r="BE918" s="132" t="s">
        <v>178</v>
      </c>
      <c r="BF918" s="123"/>
      <c r="BG918" s="83">
        <v>1178742.0</v>
      </c>
      <c r="BH918" s="112">
        <v>3.0</v>
      </c>
      <c r="BI918" s="98" t="s">
        <v>155</v>
      </c>
      <c r="BJ918" s="98" t="str">
        <f t="shared" si="1"/>
        <v>NÃO</v>
      </c>
      <c r="BK918" s="98" t="str">
        <f t="shared" si="2"/>
        <v>NÃO</v>
      </c>
    </row>
    <row r="919" ht="15.75" customHeight="1">
      <c r="A919" s="111" t="s">
        <v>1027</v>
      </c>
      <c r="B919" s="83" t="s">
        <v>4478</v>
      </c>
      <c r="C919" s="83" t="s">
        <v>164</v>
      </c>
      <c r="D919" s="83">
        <v>1123957.0</v>
      </c>
      <c r="E919" s="83">
        <v>1178741.0</v>
      </c>
      <c r="F919" s="83"/>
      <c r="G919" s="114" t="s">
        <v>9508</v>
      </c>
      <c r="H919" s="91" t="s">
        <v>4506</v>
      </c>
      <c r="I919" s="187" t="s">
        <v>4507</v>
      </c>
      <c r="J919" s="136" t="s">
        <v>183</v>
      </c>
      <c r="K919" s="136" t="s">
        <v>168</v>
      </c>
      <c r="L919" s="83" t="s">
        <v>169</v>
      </c>
      <c r="M919" s="82" t="s">
        <v>9496</v>
      </c>
      <c r="N919" s="82" t="s">
        <v>9497</v>
      </c>
      <c r="O919" s="82" t="s">
        <v>9498</v>
      </c>
      <c r="P919" s="82"/>
      <c r="Q919" s="82" t="s">
        <v>9500</v>
      </c>
      <c r="R919" s="82" t="s">
        <v>9501</v>
      </c>
      <c r="S919" s="82"/>
      <c r="T919" s="138">
        <v>2.0</v>
      </c>
      <c r="U919" s="341">
        <v>1.0</v>
      </c>
      <c r="V919" s="106">
        <v>0.0</v>
      </c>
      <c r="W919" s="107">
        <v>0.0</v>
      </c>
      <c r="X919" s="107">
        <v>0.0</v>
      </c>
      <c r="Y919" s="107">
        <v>0.0</v>
      </c>
      <c r="Z919" s="80">
        <v>0.0</v>
      </c>
      <c r="AA919" s="140">
        <v>0.0</v>
      </c>
      <c r="AB919" s="109">
        <v>0.0</v>
      </c>
      <c r="AC919" s="109">
        <v>0.0</v>
      </c>
      <c r="AD919" s="141">
        <v>0.0</v>
      </c>
      <c r="AE919" s="80">
        <v>0.0</v>
      </c>
      <c r="AF919" s="140">
        <v>21.0</v>
      </c>
      <c r="AG919" s="109">
        <v>10.0</v>
      </c>
      <c r="AH919" s="109">
        <v>12.0</v>
      </c>
      <c r="AI919" s="141">
        <v>0.0</v>
      </c>
      <c r="AJ919" s="80">
        <v>43.0</v>
      </c>
      <c r="AK919" s="140">
        <v>0.0</v>
      </c>
      <c r="AL919" s="109">
        <v>0.0</v>
      </c>
      <c r="AM919" s="141">
        <v>0.0</v>
      </c>
      <c r="AN919" s="80">
        <v>0.0</v>
      </c>
      <c r="AO919" s="140">
        <v>0.0</v>
      </c>
      <c r="AP919" s="109">
        <v>0.0</v>
      </c>
      <c r="AQ919" s="109">
        <v>0.0</v>
      </c>
      <c r="AR919" s="80">
        <v>0.0</v>
      </c>
      <c r="AS919" s="110">
        <v>0.0</v>
      </c>
      <c r="AT919" s="110">
        <v>0.0</v>
      </c>
      <c r="AU919" s="110">
        <v>0.0</v>
      </c>
      <c r="AV919" s="142">
        <v>0.0</v>
      </c>
      <c r="AW919" s="80">
        <v>0.0</v>
      </c>
      <c r="AX919" s="113">
        <v>43.0</v>
      </c>
      <c r="AY919" s="117">
        <v>31.0</v>
      </c>
      <c r="AZ919" s="328">
        <v>12.0</v>
      </c>
      <c r="BA919" s="315">
        <v>0.0</v>
      </c>
      <c r="BB919" s="316">
        <v>43.0</v>
      </c>
      <c r="BC919" s="132" t="s">
        <v>373</v>
      </c>
      <c r="BD919" s="132" t="s">
        <v>178</v>
      </c>
      <c r="BE919" s="132" t="s">
        <v>178</v>
      </c>
      <c r="BF919" s="123"/>
      <c r="BG919" s="83">
        <v>1178741.0</v>
      </c>
      <c r="BH919" s="112">
        <v>1.0</v>
      </c>
      <c r="BI919" s="98" t="s">
        <v>155</v>
      </c>
      <c r="BJ919" s="98" t="str">
        <f t="shared" si="1"/>
        <v>NÃO</v>
      </c>
      <c r="BK919" s="98" t="str">
        <f t="shared" si="2"/>
        <v>NÃO</v>
      </c>
    </row>
    <row r="920" ht="15.75" customHeight="1">
      <c r="A920" s="111" t="s">
        <v>1027</v>
      </c>
      <c r="B920" s="83" t="s">
        <v>4513</v>
      </c>
      <c r="C920" s="83" t="s">
        <v>68</v>
      </c>
      <c r="D920" s="83">
        <v>1178106.0</v>
      </c>
      <c r="E920" s="83"/>
      <c r="F920" s="83">
        <v>2.9443113E7</v>
      </c>
      <c r="G920" s="114" t="s">
        <v>9439</v>
      </c>
      <c r="H920" s="91" t="s">
        <v>4514</v>
      </c>
      <c r="I920" s="187" t="s">
        <v>149</v>
      </c>
      <c r="J920" s="136" t="s">
        <v>150</v>
      </c>
      <c r="K920" s="136" t="s">
        <v>151</v>
      </c>
      <c r="L920" s="83" t="s">
        <v>76</v>
      </c>
      <c r="M920" s="82" t="s">
        <v>9514</v>
      </c>
      <c r="N920" s="82" t="s">
        <v>9515</v>
      </c>
      <c r="O920" s="82" t="s">
        <v>9516</v>
      </c>
      <c r="P920" s="82" t="s">
        <v>9517</v>
      </c>
      <c r="Q920" s="82"/>
      <c r="R920" s="82"/>
      <c r="S920" s="82"/>
      <c r="T920" s="138">
        <v>11.0</v>
      </c>
      <c r="U920" s="341">
        <v>9.0</v>
      </c>
      <c r="V920" s="106">
        <v>0.0</v>
      </c>
      <c r="W920" s="107">
        <v>0.0</v>
      </c>
      <c r="X920" s="107">
        <v>0.0</v>
      </c>
      <c r="Y920" s="107">
        <v>0.0</v>
      </c>
      <c r="Z920" s="80">
        <v>0.0</v>
      </c>
      <c r="AA920" s="140">
        <v>0.0</v>
      </c>
      <c r="AB920" s="109">
        <v>0.0</v>
      </c>
      <c r="AC920" s="109">
        <v>0.0</v>
      </c>
      <c r="AD920" s="141">
        <v>0.0</v>
      </c>
      <c r="AE920" s="80">
        <v>0.0</v>
      </c>
      <c r="AF920" s="140">
        <v>262.0</v>
      </c>
      <c r="AG920" s="109">
        <v>176.0</v>
      </c>
      <c r="AH920" s="109">
        <v>0.0</v>
      </c>
      <c r="AI920" s="141">
        <v>24.0</v>
      </c>
      <c r="AJ920" s="80">
        <v>462.0</v>
      </c>
      <c r="AK920" s="140">
        <v>0.0</v>
      </c>
      <c r="AL920" s="109">
        <v>0.0</v>
      </c>
      <c r="AM920" s="141">
        <v>0.0</v>
      </c>
      <c r="AN920" s="80">
        <v>0.0</v>
      </c>
      <c r="AO920" s="140">
        <v>0.0</v>
      </c>
      <c r="AP920" s="109">
        <v>0.0</v>
      </c>
      <c r="AQ920" s="109">
        <v>47.0</v>
      </c>
      <c r="AR920" s="80">
        <v>47.0</v>
      </c>
      <c r="AS920" s="110">
        <v>0.0</v>
      </c>
      <c r="AT920" s="110">
        <v>0.0</v>
      </c>
      <c r="AU920" s="110">
        <v>0.0</v>
      </c>
      <c r="AV920" s="142">
        <v>0.0</v>
      </c>
      <c r="AW920" s="80">
        <v>0.0</v>
      </c>
      <c r="AX920" s="113">
        <v>509.0</v>
      </c>
      <c r="AY920" s="117">
        <v>462.0</v>
      </c>
      <c r="AZ920" s="328">
        <v>47.0</v>
      </c>
      <c r="BA920" s="315">
        <v>2.0</v>
      </c>
      <c r="BB920" s="316">
        <v>511.0</v>
      </c>
      <c r="BC920" s="132" t="s">
        <v>178</v>
      </c>
      <c r="BD920" s="132" t="s">
        <v>178</v>
      </c>
      <c r="BE920" s="132" t="s">
        <v>178</v>
      </c>
      <c r="BF920" s="123"/>
      <c r="BG920" s="83">
        <v>1178106.0</v>
      </c>
      <c r="BH920" s="112">
        <v>9.0</v>
      </c>
      <c r="BI920" s="98" t="s">
        <v>155</v>
      </c>
      <c r="BJ920" s="98" t="str">
        <f t="shared" si="1"/>
        <v>INTEGRAL</v>
      </c>
      <c r="BK920" s="98" t="str">
        <f t="shared" si="2"/>
        <v>NÃO</v>
      </c>
    </row>
    <row r="921" ht="15.75" customHeight="1">
      <c r="A921" s="111" t="s">
        <v>1027</v>
      </c>
      <c r="B921" s="83" t="s">
        <v>4525</v>
      </c>
      <c r="C921" s="83" t="s">
        <v>68</v>
      </c>
      <c r="D921" s="83">
        <v>1123043.0</v>
      </c>
      <c r="E921" s="83"/>
      <c r="F921" s="83">
        <v>2.908824E7</v>
      </c>
      <c r="G921" s="114" t="s">
        <v>9522</v>
      </c>
      <c r="H921" s="91" t="s">
        <v>9524</v>
      </c>
      <c r="I921" s="187" t="s">
        <v>149</v>
      </c>
      <c r="J921" s="136" t="s">
        <v>150</v>
      </c>
      <c r="K921" s="136" t="s">
        <v>151</v>
      </c>
      <c r="L921" s="83" t="s">
        <v>152</v>
      </c>
      <c r="M921" s="82" t="s">
        <v>9525</v>
      </c>
      <c r="N921" s="82" t="s">
        <v>9526</v>
      </c>
      <c r="O921" s="82" t="s">
        <v>9527</v>
      </c>
      <c r="P921" s="82" t="s">
        <v>9528</v>
      </c>
      <c r="Q921" s="82" t="s">
        <v>9529</v>
      </c>
      <c r="R921" s="82" t="s">
        <v>9530</v>
      </c>
      <c r="S921" s="82"/>
      <c r="T921" s="138">
        <v>10.0</v>
      </c>
      <c r="U921" s="341">
        <v>8.0</v>
      </c>
      <c r="V921" s="106">
        <v>0.0</v>
      </c>
      <c r="W921" s="107">
        <v>0.0</v>
      </c>
      <c r="X921" s="107">
        <v>0.0</v>
      </c>
      <c r="Y921" s="107">
        <v>0.0</v>
      </c>
      <c r="Z921" s="80">
        <v>0.0</v>
      </c>
      <c r="AA921" s="140">
        <v>0.0</v>
      </c>
      <c r="AB921" s="109">
        <v>0.0</v>
      </c>
      <c r="AC921" s="109">
        <v>0.0</v>
      </c>
      <c r="AD921" s="141">
        <v>0.0</v>
      </c>
      <c r="AE921" s="80">
        <v>0.0</v>
      </c>
      <c r="AF921" s="140">
        <v>317.0</v>
      </c>
      <c r="AG921" s="109">
        <v>273.0</v>
      </c>
      <c r="AH921" s="109">
        <v>0.0</v>
      </c>
      <c r="AI921" s="141">
        <v>0.0</v>
      </c>
      <c r="AJ921" s="80">
        <v>590.0</v>
      </c>
      <c r="AK921" s="140">
        <v>0.0</v>
      </c>
      <c r="AL921" s="109">
        <v>0.0</v>
      </c>
      <c r="AM921" s="141">
        <v>0.0</v>
      </c>
      <c r="AN921" s="80">
        <v>0.0</v>
      </c>
      <c r="AO921" s="140">
        <v>0.0</v>
      </c>
      <c r="AP921" s="109">
        <v>0.0</v>
      </c>
      <c r="AQ921" s="109">
        <v>83.0</v>
      </c>
      <c r="AR921" s="80">
        <v>83.0</v>
      </c>
      <c r="AS921" s="110">
        <v>0.0</v>
      </c>
      <c r="AT921" s="110">
        <v>0.0</v>
      </c>
      <c r="AU921" s="110">
        <v>0.0</v>
      </c>
      <c r="AV921" s="142">
        <v>0.0</v>
      </c>
      <c r="AW921" s="80">
        <v>0.0</v>
      </c>
      <c r="AX921" s="113">
        <v>673.0</v>
      </c>
      <c r="AY921" s="117">
        <v>590.0</v>
      </c>
      <c r="AZ921" s="328">
        <v>83.0</v>
      </c>
      <c r="BA921" s="315">
        <v>0.0</v>
      </c>
      <c r="BB921" s="316">
        <v>673.0</v>
      </c>
      <c r="BC921" s="132" t="s">
        <v>178</v>
      </c>
      <c r="BD921" s="132" t="s">
        <v>178</v>
      </c>
      <c r="BE921" s="132" t="s">
        <v>178</v>
      </c>
      <c r="BF921" s="123"/>
      <c r="BG921" s="83">
        <v>1123043.0</v>
      </c>
      <c r="BH921" s="112">
        <v>8.0</v>
      </c>
      <c r="BI921" s="98" t="s">
        <v>155</v>
      </c>
      <c r="BJ921" s="98" t="str">
        <f t="shared" si="1"/>
        <v>NÃO</v>
      </c>
      <c r="BK921" s="98" t="str">
        <f t="shared" si="2"/>
        <v>NÃO</v>
      </c>
    </row>
    <row r="922" ht="15.75" customHeight="1">
      <c r="A922" s="111" t="s">
        <v>1090</v>
      </c>
      <c r="B922" s="83" t="s">
        <v>4530</v>
      </c>
      <c r="C922" s="83" t="s">
        <v>68</v>
      </c>
      <c r="D922" s="83">
        <v>1122730.0</v>
      </c>
      <c r="E922" s="83"/>
      <c r="F922" s="83">
        <v>2.9080533E7</v>
      </c>
      <c r="G922" s="289" t="s">
        <v>4531</v>
      </c>
      <c r="H922" s="91" t="s">
        <v>9531</v>
      </c>
      <c r="I922" s="114" t="s">
        <v>149</v>
      </c>
      <c r="J922" s="83" t="s">
        <v>150</v>
      </c>
      <c r="K922" s="83" t="s">
        <v>1685</v>
      </c>
      <c r="L922" s="83" t="s">
        <v>152</v>
      </c>
      <c r="M922" s="82" t="s">
        <v>9533</v>
      </c>
      <c r="N922" s="82" t="s">
        <v>9534</v>
      </c>
      <c r="O922" s="82" t="s">
        <v>9535</v>
      </c>
      <c r="P922" s="82" t="s">
        <v>9536</v>
      </c>
      <c r="Q922" s="82" t="s">
        <v>9537</v>
      </c>
      <c r="R922" s="82" t="s">
        <v>9538</v>
      </c>
      <c r="S922" s="82" t="s">
        <v>9539</v>
      </c>
      <c r="T922" s="138">
        <v>14.0</v>
      </c>
      <c r="U922" s="323">
        <v>14.0</v>
      </c>
      <c r="V922" s="106">
        <v>0.0</v>
      </c>
      <c r="W922" s="107">
        <v>0.0</v>
      </c>
      <c r="X922" s="107">
        <v>0.0</v>
      </c>
      <c r="Y922" s="107">
        <v>0.0</v>
      </c>
      <c r="Z922" s="80">
        <v>0.0</v>
      </c>
      <c r="AA922" s="140">
        <v>0.0</v>
      </c>
      <c r="AB922" s="109">
        <v>0.0</v>
      </c>
      <c r="AC922" s="109">
        <v>0.0</v>
      </c>
      <c r="AD922" s="141">
        <v>0.0</v>
      </c>
      <c r="AE922" s="80">
        <v>0.0</v>
      </c>
      <c r="AF922" s="140">
        <v>33.0</v>
      </c>
      <c r="AG922" s="109">
        <v>27.0</v>
      </c>
      <c r="AH922" s="109">
        <v>0.0</v>
      </c>
      <c r="AI922" s="141">
        <v>606.0</v>
      </c>
      <c r="AJ922" s="80">
        <v>666.0</v>
      </c>
      <c r="AK922" s="140">
        <v>0.0</v>
      </c>
      <c r="AL922" s="109">
        <v>0.0</v>
      </c>
      <c r="AM922" s="141">
        <v>0.0</v>
      </c>
      <c r="AN922" s="80">
        <v>0.0</v>
      </c>
      <c r="AO922" s="140">
        <v>0.0</v>
      </c>
      <c r="AP922" s="109">
        <v>0.0</v>
      </c>
      <c r="AQ922" s="109">
        <v>269.0</v>
      </c>
      <c r="AR922" s="80">
        <v>269.0</v>
      </c>
      <c r="AS922" s="110">
        <v>0.0</v>
      </c>
      <c r="AT922" s="110">
        <v>0.0</v>
      </c>
      <c r="AU922" s="110">
        <v>63.0</v>
      </c>
      <c r="AV922" s="142">
        <v>0.0</v>
      </c>
      <c r="AW922" s="80">
        <v>63.0</v>
      </c>
      <c r="AX922" s="113">
        <v>998.0</v>
      </c>
      <c r="AY922" s="117">
        <v>666.0</v>
      </c>
      <c r="AZ922" s="328">
        <v>332.0</v>
      </c>
      <c r="BA922" s="315">
        <v>0.0</v>
      </c>
      <c r="BB922" s="316">
        <v>998.0</v>
      </c>
      <c r="BC922" s="132" t="s">
        <v>178</v>
      </c>
      <c r="BD922" s="132" t="s">
        <v>178</v>
      </c>
      <c r="BE922" s="132" t="s">
        <v>178</v>
      </c>
      <c r="BF922" s="123"/>
      <c r="BG922" s="83">
        <v>1122730.0</v>
      </c>
      <c r="BH922" s="112">
        <v>14.0</v>
      </c>
      <c r="BI922" s="98" t="s">
        <v>155</v>
      </c>
      <c r="BJ922" s="98" t="str">
        <f t="shared" si="1"/>
        <v>INTEGRAL</v>
      </c>
      <c r="BK922" s="98" t="str">
        <f t="shared" si="2"/>
        <v>PROFISSIONAL</v>
      </c>
    </row>
    <row r="923" ht="15.75" customHeight="1">
      <c r="A923" s="111" t="s">
        <v>1090</v>
      </c>
      <c r="B923" s="83" t="s">
        <v>4536</v>
      </c>
      <c r="C923" s="83" t="s">
        <v>68</v>
      </c>
      <c r="D923" s="83">
        <v>1179030.0</v>
      </c>
      <c r="E923" s="83"/>
      <c r="F923" s="83">
        <v>2.9398282E7</v>
      </c>
      <c r="G923" s="119" t="s">
        <v>9543</v>
      </c>
      <c r="H923" s="91" t="s">
        <v>4538</v>
      </c>
      <c r="I923" s="114" t="s">
        <v>149</v>
      </c>
      <c r="J923" s="83" t="s">
        <v>150</v>
      </c>
      <c r="K923" s="83" t="s">
        <v>1685</v>
      </c>
      <c r="L923" s="83" t="s">
        <v>76</v>
      </c>
      <c r="M923" s="82" t="s">
        <v>9544</v>
      </c>
      <c r="N923" s="82" t="s">
        <v>9545</v>
      </c>
      <c r="O923" s="82" t="s">
        <v>9546</v>
      </c>
      <c r="P923" s="82" t="s">
        <v>9547</v>
      </c>
      <c r="Q923" s="82"/>
      <c r="R923" s="82"/>
      <c r="S923" s="82" t="s">
        <v>9548</v>
      </c>
      <c r="T923" s="138">
        <v>9.0</v>
      </c>
      <c r="U923" s="331">
        <v>8.0</v>
      </c>
      <c r="V923" s="106">
        <v>0.0</v>
      </c>
      <c r="W923" s="107">
        <v>0.0</v>
      </c>
      <c r="X923" s="107">
        <v>0.0</v>
      </c>
      <c r="Y923" s="107">
        <v>0.0</v>
      </c>
      <c r="Z923" s="80">
        <v>0.0</v>
      </c>
      <c r="AA923" s="140">
        <v>0.0</v>
      </c>
      <c r="AB923" s="109">
        <v>0.0</v>
      </c>
      <c r="AC923" s="109">
        <v>0.0</v>
      </c>
      <c r="AD923" s="141">
        <v>0.0</v>
      </c>
      <c r="AE923" s="80">
        <v>0.0</v>
      </c>
      <c r="AF923" s="140">
        <v>0.0</v>
      </c>
      <c r="AG923" s="109">
        <v>0.0</v>
      </c>
      <c r="AH923" s="109">
        <v>0.0</v>
      </c>
      <c r="AI923" s="141">
        <v>304.0</v>
      </c>
      <c r="AJ923" s="80">
        <v>304.0</v>
      </c>
      <c r="AK923" s="140">
        <v>0.0</v>
      </c>
      <c r="AL923" s="109">
        <v>0.0</v>
      </c>
      <c r="AM923" s="141">
        <v>0.0</v>
      </c>
      <c r="AN923" s="80">
        <v>0.0</v>
      </c>
      <c r="AO923" s="140">
        <v>0.0</v>
      </c>
      <c r="AP923" s="109">
        <v>0.0</v>
      </c>
      <c r="AQ923" s="109">
        <v>76.0</v>
      </c>
      <c r="AR923" s="80">
        <v>76.0</v>
      </c>
      <c r="AS923" s="110">
        <v>0.0</v>
      </c>
      <c r="AT923" s="110">
        <v>0.0</v>
      </c>
      <c r="AU923" s="110">
        <v>0.0</v>
      </c>
      <c r="AV923" s="142">
        <v>0.0</v>
      </c>
      <c r="AW923" s="80">
        <v>0.0</v>
      </c>
      <c r="AX923" s="113">
        <v>380.0</v>
      </c>
      <c r="AY923" s="117">
        <v>304.0</v>
      </c>
      <c r="AZ923" s="328">
        <v>76.0</v>
      </c>
      <c r="BA923" s="315">
        <v>0.0</v>
      </c>
      <c r="BB923" s="316">
        <v>380.0</v>
      </c>
      <c r="BC923" s="132" t="s">
        <v>178</v>
      </c>
      <c r="BD923" s="132" t="s">
        <v>178</v>
      </c>
      <c r="BE923" s="132" t="s">
        <v>178</v>
      </c>
      <c r="BF923" s="123"/>
      <c r="BG923" s="83">
        <v>1179030.0</v>
      </c>
      <c r="BH923" s="98">
        <v>8.0</v>
      </c>
      <c r="BI923" s="98" t="s">
        <v>155</v>
      </c>
      <c r="BJ923" s="98" t="str">
        <f t="shared" si="1"/>
        <v>INTEGRAL</v>
      </c>
      <c r="BK923" s="98" t="str">
        <f t="shared" si="2"/>
        <v>NÃO</v>
      </c>
    </row>
    <row r="924" ht="15.75" customHeight="1">
      <c r="A924" s="111" t="s">
        <v>1090</v>
      </c>
      <c r="B924" s="83" t="s">
        <v>2332</v>
      </c>
      <c r="C924" s="83" t="s">
        <v>68</v>
      </c>
      <c r="D924" s="83">
        <v>1162243.0</v>
      </c>
      <c r="E924" s="83"/>
      <c r="F924" s="83">
        <v>2.906958E7</v>
      </c>
      <c r="G924" s="114" t="s">
        <v>4543</v>
      </c>
      <c r="H924" s="91" t="s">
        <v>4544</v>
      </c>
      <c r="I924" s="298" t="s">
        <v>149</v>
      </c>
      <c r="J924" s="83" t="s">
        <v>150</v>
      </c>
      <c r="K924" s="83" t="s">
        <v>1685</v>
      </c>
      <c r="L924" s="83" t="s">
        <v>230</v>
      </c>
      <c r="M924" s="82" t="s">
        <v>9554</v>
      </c>
      <c r="N924" s="82" t="s">
        <v>9555</v>
      </c>
      <c r="O924" s="82" t="s">
        <v>9556</v>
      </c>
      <c r="P924" s="82" t="s">
        <v>9557</v>
      </c>
      <c r="Q924" s="82" t="s">
        <v>9558</v>
      </c>
      <c r="R924" s="82" t="s">
        <v>9559</v>
      </c>
      <c r="S924" s="82" t="s">
        <v>9560</v>
      </c>
      <c r="T924" s="138">
        <v>14.0</v>
      </c>
      <c r="U924" s="352">
        <v>24.0</v>
      </c>
      <c r="V924" s="106">
        <v>0.0</v>
      </c>
      <c r="W924" s="107">
        <v>0.0</v>
      </c>
      <c r="X924" s="107">
        <v>0.0</v>
      </c>
      <c r="Y924" s="107">
        <v>0.0</v>
      </c>
      <c r="Z924" s="80">
        <v>0.0</v>
      </c>
      <c r="AA924" s="140">
        <v>0.0</v>
      </c>
      <c r="AB924" s="109">
        <v>0.0</v>
      </c>
      <c r="AC924" s="109">
        <v>0.0</v>
      </c>
      <c r="AD924" s="141">
        <v>0.0</v>
      </c>
      <c r="AE924" s="80">
        <v>0.0</v>
      </c>
      <c r="AF924" s="140">
        <v>0.0</v>
      </c>
      <c r="AG924" s="109">
        <v>136.0</v>
      </c>
      <c r="AH924" s="109">
        <v>40.0</v>
      </c>
      <c r="AI924" s="141">
        <v>437.0</v>
      </c>
      <c r="AJ924" s="80">
        <v>613.0</v>
      </c>
      <c r="AK924" s="140">
        <v>0.0</v>
      </c>
      <c r="AL924" s="109">
        <v>0.0</v>
      </c>
      <c r="AM924" s="141">
        <v>0.0</v>
      </c>
      <c r="AN924" s="80">
        <v>0.0</v>
      </c>
      <c r="AO924" s="140">
        <v>0.0</v>
      </c>
      <c r="AP924" s="109">
        <v>0.0</v>
      </c>
      <c r="AQ924" s="109">
        <v>286.0</v>
      </c>
      <c r="AR924" s="80">
        <v>286.0</v>
      </c>
      <c r="AS924" s="110">
        <v>522.0</v>
      </c>
      <c r="AT924" s="110">
        <v>201.0</v>
      </c>
      <c r="AU924" s="110">
        <v>157.0</v>
      </c>
      <c r="AV924" s="142">
        <v>0.0</v>
      </c>
      <c r="AW924" s="80">
        <v>880.0</v>
      </c>
      <c r="AX924" s="113">
        <v>1779.0</v>
      </c>
      <c r="AY924" s="117">
        <v>1296.0</v>
      </c>
      <c r="AZ924" s="328">
        <v>483.0</v>
      </c>
      <c r="BA924" s="315">
        <v>9.0</v>
      </c>
      <c r="BB924" s="316">
        <v>1788.0</v>
      </c>
      <c r="BC924" s="132" t="s">
        <v>178</v>
      </c>
      <c r="BD924" s="132" t="s">
        <v>522</v>
      </c>
      <c r="BE924" s="132" t="s">
        <v>178</v>
      </c>
      <c r="BF924" s="123"/>
      <c r="BG924" s="83">
        <v>1162243.0</v>
      </c>
      <c r="BH924" s="112">
        <v>24.0</v>
      </c>
      <c r="BI924" s="98" t="s">
        <v>162</v>
      </c>
      <c r="BJ924" s="98" t="str">
        <f t="shared" si="1"/>
        <v>INTEGRAL</v>
      </c>
      <c r="BK924" s="98" t="str">
        <f t="shared" si="2"/>
        <v>PROFISSIONAL</v>
      </c>
    </row>
    <row r="925" ht="15.75" customHeight="1">
      <c r="A925" s="111" t="s">
        <v>1090</v>
      </c>
      <c r="B925" s="83" t="s">
        <v>2332</v>
      </c>
      <c r="C925" s="83" t="s">
        <v>164</v>
      </c>
      <c r="D925" s="83">
        <v>1162243.0</v>
      </c>
      <c r="E925" s="83">
        <v>1178710.0</v>
      </c>
      <c r="F925" s="83"/>
      <c r="G925" s="114" t="s">
        <v>2333</v>
      </c>
      <c r="H925" s="91" t="s">
        <v>9561</v>
      </c>
      <c r="I925" s="114" t="s">
        <v>149</v>
      </c>
      <c r="J925" s="83" t="s">
        <v>209</v>
      </c>
      <c r="K925" s="83" t="s">
        <v>168</v>
      </c>
      <c r="L925" s="83" t="s">
        <v>169</v>
      </c>
      <c r="M925" s="82" t="s">
        <v>9554</v>
      </c>
      <c r="N925" s="82" t="s">
        <v>9555</v>
      </c>
      <c r="O925" s="82" t="s">
        <v>9556</v>
      </c>
      <c r="P925" s="82" t="s">
        <v>9557</v>
      </c>
      <c r="Q925" s="82" t="s">
        <v>9558</v>
      </c>
      <c r="R925" s="82" t="s">
        <v>9559</v>
      </c>
      <c r="S925" s="82" t="s">
        <v>9560</v>
      </c>
      <c r="T925" s="138">
        <v>6.0</v>
      </c>
      <c r="U925" s="323">
        <v>5.0</v>
      </c>
      <c r="V925" s="106">
        <v>0.0</v>
      </c>
      <c r="W925" s="107">
        <v>0.0</v>
      </c>
      <c r="X925" s="107">
        <v>0.0</v>
      </c>
      <c r="Y925" s="107">
        <v>0.0</v>
      </c>
      <c r="Z925" s="80">
        <v>0.0</v>
      </c>
      <c r="AA925" s="140">
        <v>0.0</v>
      </c>
      <c r="AB925" s="109">
        <v>0.0</v>
      </c>
      <c r="AC925" s="109">
        <v>0.0</v>
      </c>
      <c r="AD925" s="141">
        <v>0.0</v>
      </c>
      <c r="AE925" s="80">
        <v>0.0</v>
      </c>
      <c r="AF925" s="140">
        <v>0.0</v>
      </c>
      <c r="AG925" s="109">
        <v>138.0</v>
      </c>
      <c r="AH925" s="109">
        <v>0.0</v>
      </c>
      <c r="AI925" s="141">
        <v>0.0</v>
      </c>
      <c r="AJ925" s="80">
        <v>138.0</v>
      </c>
      <c r="AK925" s="140">
        <v>0.0</v>
      </c>
      <c r="AL925" s="109">
        <v>0.0</v>
      </c>
      <c r="AM925" s="141">
        <v>0.0</v>
      </c>
      <c r="AN925" s="80">
        <v>0.0</v>
      </c>
      <c r="AO925" s="140">
        <v>0.0</v>
      </c>
      <c r="AP925" s="109">
        <v>0.0</v>
      </c>
      <c r="AQ925" s="109">
        <v>26.0</v>
      </c>
      <c r="AR925" s="80">
        <v>26.0</v>
      </c>
      <c r="AS925" s="110">
        <v>0.0</v>
      </c>
      <c r="AT925" s="110">
        <v>0.0</v>
      </c>
      <c r="AU925" s="110">
        <v>0.0</v>
      </c>
      <c r="AV925" s="142">
        <v>0.0</v>
      </c>
      <c r="AW925" s="80">
        <v>0.0</v>
      </c>
      <c r="AX925" s="113">
        <v>164.0</v>
      </c>
      <c r="AY925" s="117">
        <v>138.0</v>
      </c>
      <c r="AZ925" s="328">
        <v>26.0</v>
      </c>
      <c r="BA925" s="315">
        <v>0.0</v>
      </c>
      <c r="BB925" s="316">
        <v>164.0</v>
      </c>
      <c r="BC925" s="132" t="s">
        <v>373</v>
      </c>
      <c r="BD925" s="132" t="s">
        <v>522</v>
      </c>
      <c r="BE925" s="132" t="s">
        <v>178</v>
      </c>
      <c r="BF925" s="123"/>
      <c r="BG925" s="83">
        <v>1178710.0</v>
      </c>
      <c r="BH925" s="112">
        <v>5.0</v>
      </c>
      <c r="BI925" s="98" t="s">
        <v>155</v>
      </c>
      <c r="BJ925" s="98" t="str">
        <f t="shared" si="1"/>
        <v>NÃO</v>
      </c>
      <c r="BK925" s="98" t="str">
        <f t="shared" si="2"/>
        <v>NÃO</v>
      </c>
    </row>
    <row r="926" ht="15.75" customHeight="1">
      <c r="A926" s="111" t="s">
        <v>1090</v>
      </c>
      <c r="B926" s="83" t="s">
        <v>4553</v>
      </c>
      <c r="C926" s="83" t="s">
        <v>68</v>
      </c>
      <c r="D926" s="83">
        <v>1106904.0</v>
      </c>
      <c r="E926" s="83"/>
      <c r="F926" s="83">
        <v>2.9139368E7</v>
      </c>
      <c r="G926" s="187" t="s">
        <v>6803</v>
      </c>
      <c r="H926" s="91" t="s">
        <v>4555</v>
      </c>
      <c r="I926" s="114" t="s">
        <v>149</v>
      </c>
      <c r="J926" s="83" t="s">
        <v>150</v>
      </c>
      <c r="K926" s="83" t="s">
        <v>1685</v>
      </c>
      <c r="L926" s="83" t="s">
        <v>169</v>
      </c>
      <c r="M926" s="82" t="s">
        <v>9567</v>
      </c>
      <c r="N926" s="82" t="s">
        <v>9568</v>
      </c>
      <c r="O926" s="82" t="s">
        <v>9569</v>
      </c>
      <c r="P926" s="82" t="s">
        <v>9570</v>
      </c>
      <c r="Q926" s="82" t="s">
        <v>9571</v>
      </c>
      <c r="R926" s="82" t="s">
        <v>9572</v>
      </c>
      <c r="S926" s="82" t="s">
        <v>9573</v>
      </c>
      <c r="T926" s="138">
        <v>6.0</v>
      </c>
      <c r="U926" s="323" t="s">
        <v>9574</v>
      </c>
      <c r="V926" s="106">
        <v>0.0</v>
      </c>
      <c r="W926" s="107">
        <v>0.0</v>
      </c>
      <c r="X926" s="107">
        <v>0.0</v>
      </c>
      <c r="Y926" s="107">
        <v>0.0</v>
      </c>
      <c r="Z926" s="80">
        <v>0.0</v>
      </c>
      <c r="AA926" s="140">
        <v>0.0</v>
      </c>
      <c r="AB926" s="109">
        <v>0.0</v>
      </c>
      <c r="AC926" s="109">
        <v>0.0</v>
      </c>
      <c r="AD926" s="141">
        <v>0.0</v>
      </c>
      <c r="AE926" s="80">
        <v>0.0</v>
      </c>
      <c r="AF926" s="140">
        <v>72.0</v>
      </c>
      <c r="AG926" s="109">
        <v>37.0</v>
      </c>
      <c r="AH926" s="109">
        <v>0.0</v>
      </c>
      <c r="AI926" s="141">
        <v>0.0</v>
      </c>
      <c r="AJ926" s="80">
        <v>109.0</v>
      </c>
      <c r="AK926" s="140">
        <v>0.0</v>
      </c>
      <c r="AL926" s="109">
        <v>0.0</v>
      </c>
      <c r="AM926" s="141">
        <v>0.0</v>
      </c>
      <c r="AN926" s="80">
        <v>0.0</v>
      </c>
      <c r="AO926" s="140">
        <v>0.0</v>
      </c>
      <c r="AP926" s="109">
        <v>0.0</v>
      </c>
      <c r="AQ926" s="109">
        <v>33.0</v>
      </c>
      <c r="AR926" s="80">
        <v>33.0</v>
      </c>
      <c r="AS926" s="110">
        <v>0.0</v>
      </c>
      <c r="AT926" s="110">
        <v>0.0</v>
      </c>
      <c r="AU926" s="110">
        <v>0.0</v>
      </c>
      <c r="AV926" s="142">
        <v>0.0</v>
      </c>
      <c r="AW926" s="80">
        <v>0.0</v>
      </c>
      <c r="AX926" s="113">
        <v>142.0</v>
      </c>
      <c r="AY926" s="117">
        <v>109.0</v>
      </c>
      <c r="AZ926" s="328">
        <v>33.0</v>
      </c>
      <c r="BA926" s="315">
        <v>1.0</v>
      </c>
      <c r="BB926" s="316">
        <v>143.0</v>
      </c>
      <c r="BC926" s="132" t="s">
        <v>178</v>
      </c>
      <c r="BD926" s="132" t="s">
        <v>178</v>
      </c>
      <c r="BE926" s="132" t="s">
        <v>178</v>
      </c>
      <c r="BF926" s="156"/>
      <c r="BG926" s="83">
        <v>1106904.0</v>
      </c>
      <c r="BH926" s="112">
        <v>4.0</v>
      </c>
      <c r="BI926" s="98" t="s">
        <v>155</v>
      </c>
      <c r="BJ926" s="98" t="str">
        <f t="shared" si="1"/>
        <v>NÃO</v>
      </c>
      <c r="BK926" s="98" t="str">
        <f t="shared" si="2"/>
        <v>NÃO</v>
      </c>
    </row>
    <row r="927" ht="15.75" customHeight="1">
      <c r="A927" s="111" t="s">
        <v>1090</v>
      </c>
      <c r="B927" s="83" t="s">
        <v>2261</v>
      </c>
      <c r="C927" s="83" t="s">
        <v>68</v>
      </c>
      <c r="D927" s="83">
        <v>1107331.0</v>
      </c>
      <c r="E927" s="83"/>
      <c r="F927" s="83">
        <v>2.9103037E7</v>
      </c>
      <c r="G927" s="187" t="s">
        <v>2262</v>
      </c>
      <c r="H927" s="91" t="s">
        <v>9577</v>
      </c>
      <c r="I927" s="114" t="s">
        <v>149</v>
      </c>
      <c r="J927" s="83" t="s">
        <v>150</v>
      </c>
      <c r="K927" s="83" t="s">
        <v>1685</v>
      </c>
      <c r="L927" s="83" t="s">
        <v>152</v>
      </c>
      <c r="M927" s="82" t="s">
        <v>9578</v>
      </c>
      <c r="N927" s="82" t="s">
        <v>9579</v>
      </c>
      <c r="O927" s="82" t="s">
        <v>9580</v>
      </c>
      <c r="P927" s="82" t="s">
        <v>9581</v>
      </c>
      <c r="Q927" s="82"/>
      <c r="R927" s="82"/>
      <c r="S927" s="82" t="s">
        <v>9582</v>
      </c>
      <c r="T927" s="138">
        <v>7.0</v>
      </c>
      <c r="U927" s="323">
        <v>7.0</v>
      </c>
      <c r="V927" s="106">
        <v>0.0</v>
      </c>
      <c r="W927" s="107">
        <v>0.0</v>
      </c>
      <c r="X927" s="107">
        <v>0.0</v>
      </c>
      <c r="Y927" s="107">
        <v>0.0</v>
      </c>
      <c r="Z927" s="80">
        <v>0.0</v>
      </c>
      <c r="AA927" s="140">
        <v>0.0</v>
      </c>
      <c r="AB927" s="109">
        <v>0.0</v>
      </c>
      <c r="AC927" s="109">
        <v>0.0</v>
      </c>
      <c r="AD927" s="141">
        <v>0.0</v>
      </c>
      <c r="AE927" s="80">
        <v>0.0</v>
      </c>
      <c r="AF927" s="140">
        <v>244.0</v>
      </c>
      <c r="AG927" s="109">
        <v>208.0</v>
      </c>
      <c r="AH927" s="109">
        <v>0.0</v>
      </c>
      <c r="AI927" s="141">
        <v>0.0</v>
      </c>
      <c r="AJ927" s="80">
        <v>452.0</v>
      </c>
      <c r="AK927" s="140">
        <v>0.0</v>
      </c>
      <c r="AL927" s="109">
        <v>0.0</v>
      </c>
      <c r="AM927" s="141">
        <v>0.0</v>
      </c>
      <c r="AN927" s="80">
        <v>0.0</v>
      </c>
      <c r="AO927" s="140">
        <v>0.0</v>
      </c>
      <c r="AP927" s="109">
        <v>0.0</v>
      </c>
      <c r="AQ927" s="109">
        <v>181.0</v>
      </c>
      <c r="AR927" s="80">
        <v>181.0</v>
      </c>
      <c r="AS927" s="110">
        <v>0.0</v>
      </c>
      <c r="AT927" s="110">
        <v>0.0</v>
      </c>
      <c r="AU927" s="110">
        <v>0.0</v>
      </c>
      <c r="AV927" s="142">
        <v>0.0</v>
      </c>
      <c r="AW927" s="80">
        <v>0.0</v>
      </c>
      <c r="AX927" s="113">
        <v>633.0</v>
      </c>
      <c r="AY927" s="117">
        <v>452.0</v>
      </c>
      <c r="AZ927" s="328">
        <v>181.0</v>
      </c>
      <c r="BA927" s="315">
        <v>1.0</v>
      </c>
      <c r="BB927" s="316">
        <v>634.0</v>
      </c>
      <c r="BC927" s="132" t="s">
        <v>178</v>
      </c>
      <c r="BD927" s="132" t="s">
        <v>178</v>
      </c>
      <c r="BE927" s="132" t="s">
        <v>178</v>
      </c>
      <c r="BF927" s="123"/>
      <c r="BG927" s="83">
        <v>1107331.0</v>
      </c>
      <c r="BH927" s="112">
        <v>7.0</v>
      </c>
      <c r="BI927" s="98" t="s">
        <v>155</v>
      </c>
      <c r="BJ927" s="98" t="str">
        <f t="shared" si="1"/>
        <v>NÃO</v>
      </c>
      <c r="BK927" s="98" t="str">
        <f t="shared" si="2"/>
        <v>NÃO</v>
      </c>
    </row>
    <row r="928" ht="15.75" customHeight="1">
      <c r="A928" s="111" t="s">
        <v>1090</v>
      </c>
      <c r="B928" s="83" t="s">
        <v>2261</v>
      </c>
      <c r="C928" s="83" t="s">
        <v>68</v>
      </c>
      <c r="D928" s="83">
        <v>1160445.0</v>
      </c>
      <c r="E928" s="83"/>
      <c r="F928" s="83">
        <v>2.9101719E7</v>
      </c>
      <c r="G928" s="114" t="s">
        <v>9585</v>
      </c>
      <c r="H928" s="91" t="s">
        <v>4563</v>
      </c>
      <c r="I928" s="114" t="s">
        <v>4564</v>
      </c>
      <c r="J928" s="83" t="s">
        <v>150</v>
      </c>
      <c r="K928" s="83" t="s">
        <v>1685</v>
      </c>
      <c r="L928" s="83" t="s">
        <v>152</v>
      </c>
      <c r="M928" s="82" t="s">
        <v>9586</v>
      </c>
      <c r="N928" s="82" t="s">
        <v>9587</v>
      </c>
      <c r="O928" s="82" t="s">
        <v>9589</v>
      </c>
      <c r="P928" s="82" t="s">
        <v>9590</v>
      </c>
      <c r="Q928" s="82" t="s">
        <v>9591</v>
      </c>
      <c r="R928" s="82" t="s">
        <v>9592</v>
      </c>
      <c r="S928" s="82" t="s">
        <v>9593</v>
      </c>
      <c r="T928" s="138">
        <v>8.0</v>
      </c>
      <c r="U928" s="514" t="s">
        <v>9594</v>
      </c>
      <c r="V928" s="106">
        <v>0.0</v>
      </c>
      <c r="W928" s="107">
        <v>0.0</v>
      </c>
      <c r="X928" s="107">
        <v>0.0</v>
      </c>
      <c r="Y928" s="107">
        <v>0.0</v>
      </c>
      <c r="Z928" s="80">
        <v>0.0</v>
      </c>
      <c r="AA928" s="140">
        <v>0.0</v>
      </c>
      <c r="AB928" s="109">
        <v>0.0</v>
      </c>
      <c r="AC928" s="109">
        <v>0.0</v>
      </c>
      <c r="AD928" s="141">
        <v>0.0</v>
      </c>
      <c r="AE928" s="80">
        <v>0.0</v>
      </c>
      <c r="AF928" s="140">
        <v>324.0</v>
      </c>
      <c r="AG928" s="109">
        <v>286.0</v>
      </c>
      <c r="AH928" s="109">
        <v>60.0</v>
      </c>
      <c r="AI928" s="141">
        <v>0.0</v>
      </c>
      <c r="AJ928" s="80">
        <v>670.0</v>
      </c>
      <c r="AK928" s="140">
        <v>0.0</v>
      </c>
      <c r="AL928" s="109">
        <v>0.0</v>
      </c>
      <c r="AM928" s="141">
        <v>0.0</v>
      </c>
      <c r="AN928" s="80">
        <v>0.0</v>
      </c>
      <c r="AO928" s="140">
        <v>0.0</v>
      </c>
      <c r="AP928" s="109">
        <v>0.0</v>
      </c>
      <c r="AQ928" s="109">
        <v>62.0</v>
      </c>
      <c r="AR928" s="80">
        <v>62.0</v>
      </c>
      <c r="AS928" s="110">
        <v>0.0</v>
      </c>
      <c r="AT928" s="110">
        <v>0.0</v>
      </c>
      <c r="AU928" s="110">
        <v>0.0</v>
      </c>
      <c r="AV928" s="142">
        <v>0.0</v>
      </c>
      <c r="AW928" s="80">
        <v>0.0</v>
      </c>
      <c r="AX928" s="113">
        <v>732.0</v>
      </c>
      <c r="AY928" s="117">
        <v>610.0</v>
      </c>
      <c r="AZ928" s="328">
        <v>122.0</v>
      </c>
      <c r="BA928" s="315">
        <v>0.0</v>
      </c>
      <c r="BB928" s="316">
        <v>732.0</v>
      </c>
      <c r="BC928" s="132" t="s">
        <v>178</v>
      </c>
      <c r="BD928" s="132" t="s">
        <v>178</v>
      </c>
      <c r="BE928" s="132" t="s">
        <v>178</v>
      </c>
      <c r="BF928" s="123"/>
      <c r="BG928" s="83">
        <v>1160445.0</v>
      </c>
      <c r="BH928" s="112">
        <v>8.0</v>
      </c>
      <c r="BI928" s="98" t="s">
        <v>155</v>
      </c>
      <c r="BJ928" s="98" t="str">
        <f t="shared" si="1"/>
        <v>NÃO</v>
      </c>
      <c r="BK928" s="98" t="str">
        <f t="shared" si="2"/>
        <v>NÃO</v>
      </c>
    </row>
    <row r="929" ht="15.75" customHeight="1">
      <c r="A929" s="111" t="s">
        <v>1090</v>
      </c>
      <c r="B929" s="83" t="s">
        <v>2261</v>
      </c>
      <c r="C929" s="83" t="s">
        <v>68</v>
      </c>
      <c r="D929" s="83">
        <v>1107323.0</v>
      </c>
      <c r="E929" s="83"/>
      <c r="F929" s="83">
        <v>2.9101484E7</v>
      </c>
      <c r="G929" s="185" t="s">
        <v>9597</v>
      </c>
      <c r="H929" s="91" t="s">
        <v>4570</v>
      </c>
      <c r="I929" s="114" t="s">
        <v>149</v>
      </c>
      <c r="J929" s="83" t="s">
        <v>150</v>
      </c>
      <c r="K929" s="83" t="s">
        <v>1685</v>
      </c>
      <c r="L929" s="83" t="s">
        <v>230</v>
      </c>
      <c r="M929" s="82" t="s">
        <v>9599</v>
      </c>
      <c r="N929" s="82" t="s">
        <v>9601</v>
      </c>
      <c r="O929" s="82" t="s">
        <v>9602</v>
      </c>
      <c r="P929" s="82" t="s">
        <v>9603</v>
      </c>
      <c r="Q929" s="82" t="s">
        <v>9604</v>
      </c>
      <c r="R929" s="82" t="s">
        <v>9605</v>
      </c>
      <c r="S929" s="82" t="s">
        <v>9606</v>
      </c>
      <c r="T929" s="138">
        <v>17.0</v>
      </c>
      <c r="U929" s="340" t="s">
        <v>9607</v>
      </c>
      <c r="V929" s="106">
        <v>0.0</v>
      </c>
      <c r="W929" s="107">
        <v>0.0</v>
      </c>
      <c r="X929" s="107">
        <v>0.0</v>
      </c>
      <c r="Y929" s="107">
        <v>0.0</v>
      </c>
      <c r="Z929" s="80">
        <v>0.0</v>
      </c>
      <c r="AA929" s="140">
        <v>0.0</v>
      </c>
      <c r="AB929" s="109">
        <v>0.0</v>
      </c>
      <c r="AC929" s="109">
        <v>0.0</v>
      </c>
      <c r="AD929" s="141">
        <v>0.0</v>
      </c>
      <c r="AE929" s="80">
        <v>0.0</v>
      </c>
      <c r="AF929" s="140">
        <v>40.0</v>
      </c>
      <c r="AG929" s="109">
        <v>42.0</v>
      </c>
      <c r="AH929" s="109">
        <v>0.0</v>
      </c>
      <c r="AI929" s="141">
        <v>0.0</v>
      </c>
      <c r="AJ929" s="80">
        <v>82.0</v>
      </c>
      <c r="AK929" s="140">
        <v>0.0</v>
      </c>
      <c r="AL929" s="109">
        <v>0.0</v>
      </c>
      <c r="AM929" s="141">
        <v>0.0</v>
      </c>
      <c r="AN929" s="80">
        <v>0.0</v>
      </c>
      <c r="AO929" s="140">
        <v>0.0</v>
      </c>
      <c r="AP929" s="109">
        <v>0.0</v>
      </c>
      <c r="AQ929" s="109">
        <v>0.0</v>
      </c>
      <c r="AR929" s="80">
        <v>0.0</v>
      </c>
      <c r="AS929" s="110">
        <v>299.0</v>
      </c>
      <c r="AT929" s="110">
        <v>361.0</v>
      </c>
      <c r="AU929" s="110">
        <v>267.0</v>
      </c>
      <c r="AV929" s="142">
        <v>0.0</v>
      </c>
      <c r="AW929" s="80">
        <v>927.0</v>
      </c>
      <c r="AX929" s="113">
        <v>1009.0</v>
      </c>
      <c r="AY929" s="117">
        <v>742.0</v>
      </c>
      <c r="AZ929" s="328">
        <v>267.0</v>
      </c>
      <c r="BA929" s="315">
        <v>0.0</v>
      </c>
      <c r="BB929" s="316">
        <v>1009.0</v>
      </c>
      <c r="BC929" s="132" t="s">
        <v>178</v>
      </c>
      <c r="BD929" s="132" t="s">
        <v>522</v>
      </c>
      <c r="BE929" s="132" t="s">
        <v>178</v>
      </c>
      <c r="BF929" s="123"/>
      <c r="BG929" s="83">
        <v>1107323.0</v>
      </c>
      <c r="BH929" s="112">
        <v>12.0</v>
      </c>
      <c r="BI929" s="98" t="s">
        <v>284</v>
      </c>
      <c r="BJ929" s="98" t="str">
        <f t="shared" si="1"/>
        <v>NÃO</v>
      </c>
      <c r="BK929" s="98" t="str">
        <f t="shared" si="2"/>
        <v>PROFISSIONAL</v>
      </c>
    </row>
    <row r="930" ht="15.75" customHeight="1">
      <c r="A930" s="111" t="s">
        <v>1090</v>
      </c>
      <c r="B930" s="83" t="s">
        <v>2261</v>
      </c>
      <c r="C930" s="83" t="s">
        <v>164</v>
      </c>
      <c r="D930" s="83">
        <v>1160445.0</v>
      </c>
      <c r="E930" s="83">
        <v>1178455.0</v>
      </c>
      <c r="F930" s="83"/>
      <c r="G930" s="185" t="s">
        <v>9609</v>
      </c>
      <c r="H930" s="91" t="s">
        <v>4589</v>
      </c>
      <c r="I930" s="114" t="s">
        <v>149</v>
      </c>
      <c r="J930" s="83" t="s">
        <v>992</v>
      </c>
      <c r="K930" s="83" t="s">
        <v>1685</v>
      </c>
      <c r="L930" s="83" t="s">
        <v>169</v>
      </c>
      <c r="M930" s="82" t="s">
        <v>9586</v>
      </c>
      <c r="N930" s="82" t="s">
        <v>9587</v>
      </c>
      <c r="O930" s="82" t="s">
        <v>9589</v>
      </c>
      <c r="P930" s="82" t="s">
        <v>9590</v>
      </c>
      <c r="Q930" s="82" t="s">
        <v>9591</v>
      </c>
      <c r="R930" s="82" t="s">
        <v>9592</v>
      </c>
      <c r="S930" s="82" t="s">
        <v>9593</v>
      </c>
      <c r="T930" s="138">
        <v>2.0</v>
      </c>
      <c r="U930" s="496">
        <v>2.0</v>
      </c>
      <c r="V930" s="106">
        <v>0.0</v>
      </c>
      <c r="W930" s="107">
        <v>0.0</v>
      </c>
      <c r="X930" s="107">
        <v>0.0</v>
      </c>
      <c r="Y930" s="107">
        <v>0.0</v>
      </c>
      <c r="Z930" s="80">
        <v>0.0</v>
      </c>
      <c r="AA930" s="140">
        <v>0.0</v>
      </c>
      <c r="AB930" s="109">
        <v>0.0</v>
      </c>
      <c r="AC930" s="109">
        <v>0.0</v>
      </c>
      <c r="AD930" s="141">
        <v>0.0</v>
      </c>
      <c r="AE930" s="80">
        <v>0.0</v>
      </c>
      <c r="AF930" s="140">
        <v>10.0</v>
      </c>
      <c r="AG930" s="109">
        <v>35.0</v>
      </c>
      <c r="AH930" s="109">
        <v>0.0</v>
      </c>
      <c r="AI930" s="141">
        <v>0.0</v>
      </c>
      <c r="AJ930" s="80">
        <v>45.0</v>
      </c>
      <c r="AK930" s="140">
        <v>0.0</v>
      </c>
      <c r="AL930" s="109">
        <v>0.0</v>
      </c>
      <c r="AM930" s="141">
        <v>0.0</v>
      </c>
      <c r="AN930" s="80">
        <v>0.0</v>
      </c>
      <c r="AO930" s="140">
        <v>0.0</v>
      </c>
      <c r="AP930" s="109">
        <v>0.0</v>
      </c>
      <c r="AQ930" s="109">
        <v>0.0</v>
      </c>
      <c r="AR930" s="80">
        <v>0.0</v>
      </c>
      <c r="AS930" s="110">
        <v>0.0</v>
      </c>
      <c r="AT930" s="110">
        <v>0.0</v>
      </c>
      <c r="AU930" s="110">
        <v>0.0</v>
      </c>
      <c r="AV930" s="142">
        <v>0.0</v>
      </c>
      <c r="AW930" s="80">
        <v>0.0</v>
      </c>
      <c r="AX930" s="113">
        <v>45.0</v>
      </c>
      <c r="AY930" s="117">
        <v>45.0</v>
      </c>
      <c r="AZ930" s="328">
        <v>0.0</v>
      </c>
      <c r="BA930" s="315">
        <v>0.0</v>
      </c>
      <c r="BB930" s="316">
        <v>45.0</v>
      </c>
      <c r="BC930" s="132" t="s">
        <v>373</v>
      </c>
      <c r="BD930" s="132" t="s">
        <v>178</v>
      </c>
      <c r="BE930" s="132" t="s">
        <v>178</v>
      </c>
      <c r="BF930" s="156"/>
      <c r="BG930" s="83">
        <v>1178455.0</v>
      </c>
      <c r="BH930" s="112">
        <v>2.0</v>
      </c>
      <c r="BI930" s="98" t="s">
        <v>155</v>
      </c>
      <c r="BJ930" s="98" t="str">
        <f t="shared" si="1"/>
        <v>NÃO</v>
      </c>
      <c r="BK930" s="98" t="str">
        <f t="shared" si="2"/>
        <v>NÃO</v>
      </c>
    </row>
    <row r="931" ht="15.75" customHeight="1">
      <c r="A931" s="111" t="s">
        <v>1090</v>
      </c>
      <c r="B931" s="83" t="s">
        <v>2261</v>
      </c>
      <c r="C931" s="83" t="s">
        <v>164</v>
      </c>
      <c r="D931" s="83">
        <v>1160445.0</v>
      </c>
      <c r="E931" s="83">
        <v>1178454.0</v>
      </c>
      <c r="F931" s="83"/>
      <c r="G931" s="185" t="s">
        <v>9612</v>
      </c>
      <c r="H931" s="91" t="s">
        <v>4593</v>
      </c>
      <c r="I931" s="114" t="s">
        <v>149</v>
      </c>
      <c r="J931" s="83" t="s">
        <v>1460</v>
      </c>
      <c r="K931" s="83" t="s">
        <v>1022</v>
      </c>
      <c r="L931" s="83" t="s">
        <v>169</v>
      </c>
      <c r="M931" s="82" t="s">
        <v>9586</v>
      </c>
      <c r="N931" s="82" t="s">
        <v>9587</v>
      </c>
      <c r="O931" s="82" t="s">
        <v>9589</v>
      </c>
      <c r="P931" s="82" t="s">
        <v>9590</v>
      </c>
      <c r="Q931" s="82" t="s">
        <v>9591</v>
      </c>
      <c r="R931" s="82" t="s">
        <v>9592</v>
      </c>
      <c r="S931" s="82" t="s">
        <v>9593</v>
      </c>
      <c r="T931" s="138">
        <v>2.0</v>
      </c>
      <c r="U931" s="387">
        <v>2.0</v>
      </c>
      <c r="V931" s="106">
        <v>0.0</v>
      </c>
      <c r="W931" s="107">
        <v>0.0</v>
      </c>
      <c r="X931" s="107">
        <v>0.0</v>
      </c>
      <c r="Y931" s="107">
        <v>0.0</v>
      </c>
      <c r="Z931" s="80">
        <v>0.0</v>
      </c>
      <c r="AA931" s="140">
        <v>0.0</v>
      </c>
      <c r="AB931" s="109">
        <v>0.0</v>
      </c>
      <c r="AC931" s="109">
        <v>0.0</v>
      </c>
      <c r="AD931" s="141">
        <v>0.0</v>
      </c>
      <c r="AE931" s="80">
        <v>0.0</v>
      </c>
      <c r="AF931" s="140">
        <v>0.0</v>
      </c>
      <c r="AG931" s="109">
        <v>0.0</v>
      </c>
      <c r="AH931" s="109">
        <v>28.0</v>
      </c>
      <c r="AI931" s="141">
        <v>0.0</v>
      </c>
      <c r="AJ931" s="80">
        <v>28.0</v>
      </c>
      <c r="AK931" s="140">
        <v>0.0</v>
      </c>
      <c r="AL931" s="109">
        <v>0.0</v>
      </c>
      <c r="AM931" s="141">
        <v>0.0</v>
      </c>
      <c r="AN931" s="80">
        <v>0.0</v>
      </c>
      <c r="AO931" s="140">
        <v>0.0</v>
      </c>
      <c r="AP931" s="109">
        <v>0.0</v>
      </c>
      <c r="AQ931" s="109">
        <v>0.0</v>
      </c>
      <c r="AR931" s="80">
        <v>0.0</v>
      </c>
      <c r="AS931" s="110">
        <v>0.0</v>
      </c>
      <c r="AT931" s="110">
        <v>0.0</v>
      </c>
      <c r="AU931" s="110">
        <v>0.0</v>
      </c>
      <c r="AV931" s="142">
        <v>0.0</v>
      </c>
      <c r="AW931" s="80">
        <v>0.0</v>
      </c>
      <c r="AX931" s="113">
        <v>28.0</v>
      </c>
      <c r="AY931" s="117">
        <v>0.0</v>
      </c>
      <c r="AZ931" s="328">
        <v>28.0</v>
      </c>
      <c r="BA931" s="315">
        <v>0.0</v>
      </c>
      <c r="BB931" s="316">
        <v>28.0</v>
      </c>
      <c r="BC931" s="132" t="s">
        <v>373</v>
      </c>
      <c r="BD931" s="132" t="s">
        <v>178</v>
      </c>
      <c r="BE931" s="132" t="s">
        <v>178</v>
      </c>
      <c r="BF931" s="123"/>
      <c r="BG931" s="83">
        <v>1178454.0</v>
      </c>
      <c r="BH931" s="112">
        <v>2.0</v>
      </c>
      <c r="BI931" s="98" t="s">
        <v>155</v>
      </c>
      <c r="BJ931" s="98" t="str">
        <f t="shared" si="1"/>
        <v>NÃO</v>
      </c>
      <c r="BK931" s="98" t="str">
        <f t="shared" si="2"/>
        <v>NÃO</v>
      </c>
    </row>
    <row r="932" ht="15.75" customHeight="1">
      <c r="A932" s="111" t="s">
        <v>1090</v>
      </c>
      <c r="B932" s="83" t="s">
        <v>2261</v>
      </c>
      <c r="C932" s="83" t="s">
        <v>164</v>
      </c>
      <c r="D932" s="83">
        <v>1160445.0</v>
      </c>
      <c r="E932" s="83">
        <v>1178451.0</v>
      </c>
      <c r="F932" s="83">
        <v>2.9101719E7</v>
      </c>
      <c r="G932" s="185" t="s">
        <v>9615</v>
      </c>
      <c r="H932" s="91" t="s">
        <v>4600</v>
      </c>
      <c r="I932" s="119" t="s">
        <v>171</v>
      </c>
      <c r="J932" s="83"/>
      <c r="K932" s="83" t="s">
        <v>1022</v>
      </c>
      <c r="L932" s="98" t="s">
        <v>512</v>
      </c>
      <c r="M932" s="82" t="s">
        <v>9586</v>
      </c>
      <c r="N932" s="82" t="s">
        <v>9587</v>
      </c>
      <c r="O932" s="82" t="s">
        <v>9589</v>
      </c>
      <c r="P932" s="82" t="s">
        <v>9590</v>
      </c>
      <c r="Q932" s="82" t="s">
        <v>9591</v>
      </c>
      <c r="R932" s="82" t="s">
        <v>9592</v>
      </c>
      <c r="S932" s="82" t="s">
        <v>9593</v>
      </c>
      <c r="T932" s="138"/>
      <c r="U932" s="343">
        <v>1.0</v>
      </c>
      <c r="V932" s="106">
        <v>0.0</v>
      </c>
      <c r="W932" s="107">
        <v>0.0</v>
      </c>
      <c r="X932" s="107">
        <v>0.0</v>
      </c>
      <c r="Y932" s="107">
        <v>0.0</v>
      </c>
      <c r="Z932" s="80">
        <v>0.0</v>
      </c>
      <c r="AA932" s="140">
        <v>0.0</v>
      </c>
      <c r="AB932" s="109">
        <v>0.0</v>
      </c>
      <c r="AC932" s="109">
        <v>0.0</v>
      </c>
      <c r="AD932" s="141">
        <v>0.0</v>
      </c>
      <c r="AE932" s="80">
        <v>0.0</v>
      </c>
      <c r="AF932" s="140">
        <v>0.0</v>
      </c>
      <c r="AG932" s="109">
        <v>0.0</v>
      </c>
      <c r="AH932" s="109">
        <v>36.0</v>
      </c>
      <c r="AI932" s="141">
        <v>0.0</v>
      </c>
      <c r="AJ932" s="80">
        <v>36.0</v>
      </c>
      <c r="AK932" s="140">
        <v>0.0</v>
      </c>
      <c r="AL932" s="109">
        <v>0.0</v>
      </c>
      <c r="AM932" s="141">
        <v>0.0</v>
      </c>
      <c r="AN932" s="80">
        <v>0.0</v>
      </c>
      <c r="AO932" s="140">
        <v>0.0</v>
      </c>
      <c r="AP932" s="109">
        <v>0.0</v>
      </c>
      <c r="AQ932" s="109">
        <v>0.0</v>
      </c>
      <c r="AR932" s="80">
        <v>0.0</v>
      </c>
      <c r="AS932" s="110">
        <v>0.0</v>
      </c>
      <c r="AT932" s="110">
        <v>0.0</v>
      </c>
      <c r="AU932" s="110">
        <v>0.0</v>
      </c>
      <c r="AV932" s="142">
        <v>0.0</v>
      </c>
      <c r="AW932" s="80">
        <v>0.0</v>
      </c>
      <c r="AX932" s="113">
        <v>36.0</v>
      </c>
      <c r="AY932" s="117">
        <v>0.0</v>
      </c>
      <c r="AZ932" s="328">
        <v>36.0</v>
      </c>
      <c r="BA932" s="315">
        <v>0.0</v>
      </c>
      <c r="BB932" s="316">
        <v>36.0</v>
      </c>
      <c r="BC932" s="132" t="s">
        <v>178</v>
      </c>
      <c r="BD932" s="132" t="s">
        <v>178</v>
      </c>
      <c r="BE932" s="132" t="s">
        <v>178</v>
      </c>
      <c r="BF932" s="123"/>
      <c r="BG932" s="83">
        <v>1178451.0</v>
      </c>
      <c r="BH932" s="112">
        <v>1.0</v>
      </c>
      <c r="BI932" s="98" t="s">
        <v>155</v>
      </c>
      <c r="BJ932" s="98" t="str">
        <f t="shared" si="1"/>
        <v>NÃO</v>
      </c>
      <c r="BK932" s="98" t="str">
        <f t="shared" si="2"/>
        <v>NÃO</v>
      </c>
    </row>
    <row r="933" ht="30.75" customHeight="1">
      <c r="A933" s="111" t="s">
        <v>1090</v>
      </c>
      <c r="B933" s="83" t="s">
        <v>2261</v>
      </c>
      <c r="C933" s="83" t="s">
        <v>164</v>
      </c>
      <c r="D933" s="83">
        <v>1160445.0</v>
      </c>
      <c r="E933" s="83">
        <v>1178453.0</v>
      </c>
      <c r="F933" s="83"/>
      <c r="G933" s="185" t="s">
        <v>9618</v>
      </c>
      <c r="H933" s="91" t="s">
        <v>4608</v>
      </c>
      <c r="I933" s="114" t="s">
        <v>149</v>
      </c>
      <c r="J933" s="83" t="s">
        <v>209</v>
      </c>
      <c r="K933" s="83" t="s">
        <v>1685</v>
      </c>
      <c r="L933" s="83" t="s">
        <v>169</v>
      </c>
      <c r="M933" s="82" t="s">
        <v>9586</v>
      </c>
      <c r="N933" s="82" t="s">
        <v>9587</v>
      </c>
      <c r="O933" s="82" t="s">
        <v>9589</v>
      </c>
      <c r="P933" s="82" t="s">
        <v>9590</v>
      </c>
      <c r="Q933" s="82" t="s">
        <v>9591</v>
      </c>
      <c r="R933" s="82" t="s">
        <v>9592</v>
      </c>
      <c r="S933" s="82" t="s">
        <v>9593</v>
      </c>
      <c r="T933" s="138">
        <v>2.0</v>
      </c>
      <c r="U933" s="343">
        <v>2.0</v>
      </c>
      <c r="V933" s="106">
        <v>0.0</v>
      </c>
      <c r="W933" s="107">
        <v>0.0</v>
      </c>
      <c r="X933" s="107">
        <v>0.0</v>
      </c>
      <c r="Y933" s="107">
        <v>0.0</v>
      </c>
      <c r="Z933" s="80">
        <v>0.0</v>
      </c>
      <c r="AA933" s="140">
        <v>0.0</v>
      </c>
      <c r="AB933" s="109">
        <v>0.0</v>
      </c>
      <c r="AC933" s="109">
        <v>0.0</v>
      </c>
      <c r="AD933" s="141">
        <v>0.0</v>
      </c>
      <c r="AE933" s="80">
        <v>0.0</v>
      </c>
      <c r="AF933" s="140">
        <v>0.0</v>
      </c>
      <c r="AG933" s="109">
        <v>38.0</v>
      </c>
      <c r="AH933" s="109">
        <v>0.0</v>
      </c>
      <c r="AI933" s="141">
        <v>0.0</v>
      </c>
      <c r="AJ933" s="80">
        <v>38.0</v>
      </c>
      <c r="AK933" s="140">
        <v>0.0</v>
      </c>
      <c r="AL933" s="109">
        <v>0.0</v>
      </c>
      <c r="AM933" s="141">
        <v>0.0</v>
      </c>
      <c r="AN933" s="80">
        <v>0.0</v>
      </c>
      <c r="AO933" s="140">
        <v>0.0</v>
      </c>
      <c r="AP933" s="109">
        <v>0.0</v>
      </c>
      <c r="AQ933" s="109">
        <v>0.0</v>
      </c>
      <c r="AR933" s="80">
        <v>0.0</v>
      </c>
      <c r="AS933" s="110">
        <v>0.0</v>
      </c>
      <c r="AT933" s="110">
        <v>0.0</v>
      </c>
      <c r="AU933" s="110">
        <v>0.0</v>
      </c>
      <c r="AV933" s="142">
        <v>0.0</v>
      </c>
      <c r="AW933" s="80">
        <v>0.0</v>
      </c>
      <c r="AX933" s="113">
        <v>38.0</v>
      </c>
      <c r="AY933" s="117">
        <v>38.0</v>
      </c>
      <c r="AZ933" s="328">
        <v>0.0</v>
      </c>
      <c r="BA933" s="315">
        <v>0.0</v>
      </c>
      <c r="BB933" s="316">
        <v>38.0</v>
      </c>
      <c r="BC933" s="132" t="s">
        <v>373</v>
      </c>
      <c r="BD933" s="132" t="s">
        <v>178</v>
      </c>
      <c r="BE933" s="132" t="s">
        <v>178</v>
      </c>
      <c r="BF933" s="123"/>
      <c r="BG933" s="83">
        <v>1178453.0</v>
      </c>
      <c r="BH933" s="112">
        <v>2.0</v>
      </c>
      <c r="BI933" s="98" t="s">
        <v>155</v>
      </c>
      <c r="BJ933" s="98" t="str">
        <f t="shared" si="1"/>
        <v>NÃO</v>
      </c>
      <c r="BK933" s="98" t="str">
        <f t="shared" si="2"/>
        <v>NÃO</v>
      </c>
    </row>
    <row r="934" ht="15.75" customHeight="1">
      <c r="A934" s="111" t="s">
        <v>1090</v>
      </c>
      <c r="B934" s="83" t="s">
        <v>4619</v>
      </c>
      <c r="C934" s="83" t="s">
        <v>68</v>
      </c>
      <c r="D934" s="83">
        <v>1122861.0</v>
      </c>
      <c r="E934" s="83"/>
      <c r="F934" s="83">
        <v>2.90855E7</v>
      </c>
      <c r="G934" s="241" t="s">
        <v>9621</v>
      </c>
      <c r="H934" s="91" t="s">
        <v>4621</v>
      </c>
      <c r="I934" s="365" t="s">
        <v>149</v>
      </c>
      <c r="J934" s="193" t="s">
        <v>150</v>
      </c>
      <c r="K934" s="83" t="s">
        <v>1685</v>
      </c>
      <c r="L934" s="83" t="s">
        <v>152</v>
      </c>
      <c r="M934" s="82" t="s">
        <v>9622</v>
      </c>
      <c r="N934" s="82" t="s">
        <v>9623</v>
      </c>
      <c r="O934" s="82" t="s">
        <v>9625</v>
      </c>
      <c r="P934" s="82" t="s">
        <v>9626</v>
      </c>
      <c r="Q934" s="82"/>
      <c r="R934" s="82"/>
      <c r="S934" s="82" t="s">
        <v>9627</v>
      </c>
      <c r="T934" s="138">
        <v>10.0</v>
      </c>
      <c r="U934" s="340" t="s">
        <v>9628</v>
      </c>
      <c r="V934" s="106">
        <v>0.0</v>
      </c>
      <c r="W934" s="107">
        <v>0.0</v>
      </c>
      <c r="X934" s="107">
        <v>0.0</v>
      </c>
      <c r="Y934" s="107">
        <v>0.0</v>
      </c>
      <c r="Z934" s="80">
        <v>0.0</v>
      </c>
      <c r="AA934" s="140">
        <v>0.0</v>
      </c>
      <c r="AB934" s="109">
        <v>0.0</v>
      </c>
      <c r="AC934" s="109">
        <v>0.0</v>
      </c>
      <c r="AD934" s="141">
        <v>0.0</v>
      </c>
      <c r="AE934" s="80">
        <v>0.0</v>
      </c>
      <c r="AF934" s="140">
        <v>199.0</v>
      </c>
      <c r="AG934" s="109">
        <v>222.0</v>
      </c>
      <c r="AH934" s="109">
        <v>0.0</v>
      </c>
      <c r="AI934" s="141">
        <v>88.0</v>
      </c>
      <c r="AJ934" s="80">
        <v>509.0</v>
      </c>
      <c r="AK934" s="140">
        <v>0.0</v>
      </c>
      <c r="AL934" s="109">
        <v>0.0</v>
      </c>
      <c r="AM934" s="141">
        <v>0.0</v>
      </c>
      <c r="AN934" s="80">
        <v>0.0</v>
      </c>
      <c r="AO934" s="140">
        <v>0.0</v>
      </c>
      <c r="AP934" s="109">
        <v>0.0</v>
      </c>
      <c r="AQ934" s="109">
        <v>65.0</v>
      </c>
      <c r="AR934" s="80">
        <v>65.0</v>
      </c>
      <c r="AS934" s="110">
        <v>0.0</v>
      </c>
      <c r="AT934" s="110">
        <v>35.0</v>
      </c>
      <c r="AU934" s="110">
        <v>77.0</v>
      </c>
      <c r="AV934" s="142">
        <v>0.0</v>
      </c>
      <c r="AW934" s="80">
        <v>112.0</v>
      </c>
      <c r="AX934" s="113">
        <v>686.0</v>
      </c>
      <c r="AY934" s="117">
        <v>544.0</v>
      </c>
      <c r="AZ934" s="328">
        <v>142.0</v>
      </c>
      <c r="BA934" s="315">
        <v>5.0</v>
      </c>
      <c r="BB934" s="316">
        <v>691.0</v>
      </c>
      <c r="BC934" s="132" t="s">
        <v>178</v>
      </c>
      <c r="BD934" s="132" t="s">
        <v>178</v>
      </c>
      <c r="BE934" s="132" t="s">
        <v>178</v>
      </c>
      <c r="BF934" s="156"/>
      <c r="BG934" s="83">
        <v>1122861.0</v>
      </c>
      <c r="BH934" s="112">
        <v>9.0</v>
      </c>
      <c r="BI934" s="98" t="s">
        <v>155</v>
      </c>
      <c r="BJ934" s="98" t="str">
        <f t="shared" si="1"/>
        <v>INTEGRAL</v>
      </c>
      <c r="BK934" s="98" t="str">
        <f t="shared" si="2"/>
        <v>PROFISSIONAL</v>
      </c>
    </row>
    <row r="935" ht="15.75" customHeight="1">
      <c r="A935" s="111" t="s">
        <v>1090</v>
      </c>
      <c r="B935" s="83" t="s">
        <v>4625</v>
      </c>
      <c r="C935" s="83" t="s">
        <v>68</v>
      </c>
      <c r="D935" s="83">
        <v>1160771.0</v>
      </c>
      <c r="E935" s="83"/>
      <c r="F935" s="83">
        <v>2.9140633E7</v>
      </c>
      <c r="G935" s="185" t="s">
        <v>9632</v>
      </c>
      <c r="H935" s="91" t="s">
        <v>4628</v>
      </c>
      <c r="I935" s="114" t="s">
        <v>149</v>
      </c>
      <c r="J935" s="83" t="s">
        <v>150</v>
      </c>
      <c r="K935" s="83" t="s">
        <v>1685</v>
      </c>
      <c r="L935" s="83" t="s">
        <v>169</v>
      </c>
      <c r="M935" s="82" t="s">
        <v>9633</v>
      </c>
      <c r="N935" s="82" t="s">
        <v>9634</v>
      </c>
      <c r="O935" s="82" t="s">
        <v>9635</v>
      </c>
      <c r="P935" s="82" t="s">
        <v>9636</v>
      </c>
      <c r="Q935" s="82" t="s">
        <v>9637</v>
      </c>
      <c r="R935" s="82" t="s">
        <v>9638</v>
      </c>
      <c r="S935" s="82" t="s">
        <v>9639</v>
      </c>
      <c r="T935" s="138">
        <v>7.0</v>
      </c>
      <c r="U935" s="343" t="s">
        <v>9640</v>
      </c>
      <c r="V935" s="106">
        <v>0.0</v>
      </c>
      <c r="W935" s="107">
        <v>0.0</v>
      </c>
      <c r="X935" s="107">
        <v>0.0</v>
      </c>
      <c r="Y935" s="107">
        <v>0.0</v>
      </c>
      <c r="Z935" s="80">
        <v>0.0</v>
      </c>
      <c r="AA935" s="140">
        <v>0.0</v>
      </c>
      <c r="AB935" s="109">
        <v>0.0</v>
      </c>
      <c r="AC935" s="109">
        <v>0.0</v>
      </c>
      <c r="AD935" s="141">
        <v>0.0</v>
      </c>
      <c r="AE935" s="80">
        <v>0.0</v>
      </c>
      <c r="AF935" s="140">
        <v>0.0</v>
      </c>
      <c r="AG935" s="109">
        <v>0.0</v>
      </c>
      <c r="AH935" s="109">
        <v>0.0</v>
      </c>
      <c r="AI935" s="141">
        <v>211.0</v>
      </c>
      <c r="AJ935" s="80">
        <v>211.0</v>
      </c>
      <c r="AK935" s="140">
        <v>0.0</v>
      </c>
      <c r="AL935" s="109">
        <v>0.0</v>
      </c>
      <c r="AM935" s="141">
        <v>0.0</v>
      </c>
      <c r="AN935" s="80">
        <v>0.0</v>
      </c>
      <c r="AO935" s="140">
        <v>0.0</v>
      </c>
      <c r="AP935" s="109">
        <v>0.0</v>
      </c>
      <c r="AQ935" s="109">
        <v>61.0</v>
      </c>
      <c r="AR935" s="80">
        <v>61.0</v>
      </c>
      <c r="AS935" s="110">
        <v>0.0</v>
      </c>
      <c r="AT935" s="110">
        <v>0.0</v>
      </c>
      <c r="AU935" s="110">
        <v>0.0</v>
      </c>
      <c r="AV935" s="142">
        <v>0.0</v>
      </c>
      <c r="AW935" s="80">
        <v>0.0</v>
      </c>
      <c r="AX935" s="113">
        <v>272.0</v>
      </c>
      <c r="AY935" s="117">
        <v>211.0</v>
      </c>
      <c r="AZ935" s="328">
        <v>61.0</v>
      </c>
      <c r="BA935" s="315">
        <v>3.0</v>
      </c>
      <c r="BB935" s="316">
        <v>275.0</v>
      </c>
      <c r="BC935" s="132" t="s">
        <v>178</v>
      </c>
      <c r="BD935" s="132" t="s">
        <v>178</v>
      </c>
      <c r="BE935" s="132" t="s">
        <v>178</v>
      </c>
      <c r="BF935" s="123"/>
      <c r="BG935" s="83">
        <v>1160771.0</v>
      </c>
      <c r="BH935" s="112">
        <v>7.0</v>
      </c>
      <c r="BI935" s="98" t="s">
        <v>155</v>
      </c>
      <c r="BJ935" s="98" t="str">
        <f t="shared" si="1"/>
        <v>INTEGRAL</v>
      </c>
      <c r="BK935" s="98" t="str">
        <f t="shared" si="2"/>
        <v>NÃO</v>
      </c>
    </row>
    <row r="936" ht="15.75" customHeight="1">
      <c r="A936" s="111" t="s">
        <v>1090</v>
      </c>
      <c r="B936" s="83" t="s">
        <v>4630</v>
      </c>
      <c r="C936" s="83" t="s">
        <v>68</v>
      </c>
      <c r="D936" s="83">
        <v>1106840.0</v>
      </c>
      <c r="E936" s="83"/>
      <c r="F936" s="83">
        <v>2.9141044E7</v>
      </c>
      <c r="G936" s="187" t="s">
        <v>9644</v>
      </c>
      <c r="H936" s="91" t="s">
        <v>9646</v>
      </c>
      <c r="I936" s="298" t="s">
        <v>149</v>
      </c>
      <c r="J936" s="83" t="s">
        <v>150</v>
      </c>
      <c r="K936" s="83" t="s">
        <v>1685</v>
      </c>
      <c r="L936" s="83" t="s">
        <v>152</v>
      </c>
      <c r="M936" s="82" t="s">
        <v>9648</v>
      </c>
      <c r="N936" s="82" t="s">
        <v>9649</v>
      </c>
      <c r="O936" s="82" t="s">
        <v>9650</v>
      </c>
      <c r="P936" s="82" t="s">
        <v>9651</v>
      </c>
      <c r="Q936" s="82" t="s">
        <v>9652</v>
      </c>
      <c r="R936" s="82" t="s">
        <v>9653</v>
      </c>
      <c r="S936" s="82" t="s">
        <v>9654</v>
      </c>
      <c r="T936" s="138">
        <v>13.0</v>
      </c>
      <c r="U936" s="387" t="s">
        <v>9655</v>
      </c>
      <c r="V936" s="106">
        <v>0.0</v>
      </c>
      <c r="W936" s="107">
        <v>0.0</v>
      </c>
      <c r="X936" s="107">
        <v>0.0</v>
      </c>
      <c r="Y936" s="107">
        <v>0.0</v>
      </c>
      <c r="Z936" s="80">
        <v>0.0</v>
      </c>
      <c r="AA936" s="140">
        <v>0.0</v>
      </c>
      <c r="AB936" s="109">
        <v>0.0</v>
      </c>
      <c r="AC936" s="109">
        <v>0.0</v>
      </c>
      <c r="AD936" s="141">
        <v>0.0</v>
      </c>
      <c r="AE936" s="80">
        <v>0.0</v>
      </c>
      <c r="AF936" s="140">
        <v>0.0</v>
      </c>
      <c r="AG936" s="109">
        <v>0.0</v>
      </c>
      <c r="AH936" s="109">
        <v>0.0</v>
      </c>
      <c r="AI936" s="141">
        <v>430.0</v>
      </c>
      <c r="AJ936" s="80">
        <v>430.0</v>
      </c>
      <c r="AK936" s="140">
        <v>0.0</v>
      </c>
      <c r="AL936" s="109">
        <v>0.0</v>
      </c>
      <c r="AM936" s="141">
        <v>0.0</v>
      </c>
      <c r="AN936" s="80">
        <v>0.0</v>
      </c>
      <c r="AO936" s="140">
        <v>0.0</v>
      </c>
      <c r="AP936" s="109">
        <v>0.0</v>
      </c>
      <c r="AQ936" s="109">
        <v>102.0</v>
      </c>
      <c r="AR936" s="80">
        <v>102.0</v>
      </c>
      <c r="AS936" s="110">
        <v>0.0</v>
      </c>
      <c r="AT936" s="110">
        <v>0.0</v>
      </c>
      <c r="AU936" s="110">
        <v>0.0</v>
      </c>
      <c r="AV936" s="142">
        <v>0.0</v>
      </c>
      <c r="AW936" s="80">
        <v>0.0</v>
      </c>
      <c r="AX936" s="113">
        <v>532.0</v>
      </c>
      <c r="AY936" s="117">
        <v>430.0</v>
      </c>
      <c r="AZ936" s="328">
        <v>102.0</v>
      </c>
      <c r="BA936" s="315">
        <v>2.0</v>
      </c>
      <c r="BB936" s="316">
        <v>534.0</v>
      </c>
      <c r="BC936" s="132" t="s">
        <v>178</v>
      </c>
      <c r="BD936" s="132" t="s">
        <v>178</v>
      </c>
      <c r="BE936" s="132" t="s">
        <v>178</v>
      </c>
      <c r="BF936" s="123"/>
      <c r="BG936" s="83">
        <v>1106840.0</v>
      </c>
      <c r="BH936" s="112">
        <v>10.0</v>
      </c>
      <c r="BI936" s="98" t="s">
        <v>155</v>
      </c>
      <c r="BJ936" s="98" t="str">
        <f t="shared" si="1"/>
        <v>INTEGRAL</v>
      </c>
      <c r="BK936" s="98" t="str">
        <f t="shared" si="2"/>
        <v>NÃO</v>
      </c>
    </row>
    <row r="937" ht="15.75" customHeight="1">
      <c r="A937" s="111" t="s">
        <v>1090</v>
      </c>
      <c r="B937" s="83" t="s">
        <v>4640</v>
      </c>
      <c r="C937" s="83" t="s">
        <v>68</v>
      </c>
      <c r="D937" s="83">
        <v>1107234.0</v>
      </c>
      <c r="E937" s="83"/>
      <c r="F937" s="83">
        <v>2.9105684E7</v>
      </c>
      <c r="G937" s="114" t="s">
        <v>9658</v>
      </c>
      <c r="H937" s="91" t="s">
        <v>4642</v>
      </c>
      <c r="I937" s="187" t="s">
        <v>149</v>
      </c>
      <c r="J937" s="136" t="s">
        <v>150</v>
      </c>
      <c r="K937" s="136" t="s">
        <v>1685</v>
      </c>
      <c r="L937" s="83" t="s">
        <v>152</v>
      </c>
      <c r="M937" s="82" t="s">
        <v>9659</v>
      </c>
      <c r="N937" s="82" t="s">
        <v>9660</v>
      </c>
      <c r="O937" s="82" t="s">
        <v>9661</v>
      </c>
      <c r="P937" s="82" t="s">
        <v>9662</v>
      </c>
      <c r="Q937" s="82"/>
      <c r="R937" s="82"/>
      <c r="S937" s="82" t="s">
        <v>9663</v>
      </c>
      <c r="T937" s="138">
        <v>10.0</v>
      </c>
      <c r="U937" s="339" t="s">
        <v>7115</v>
      </c>
      <c r="V937" s="106">
        <v>0.0</v>
      </c>
      <c r="W937" s="107">
        <v>0.0</v>
      </c>
      <c r="X937" s="107">
        <v>0.0</v>
      </c>
      <c r="Y937" s="107">
        <v>0.0</v>
      </c>
      <c r="Z937" s="80">
        <v>0.0</v>
      </c>
      <c r="AA937" s="140">
        <v>0.0</v>
      </c>
      <c r="AB937" s="109">
        <v>0.0</v>
      </c>
      <c r="AC937" s="109">
        <v>0.0</v>
      </c>
      <c r="AD937" s="141">
        <v>0.0</v>
      </c>
      <c r="AE937" s="80">
        <v>0.0</v>
      </c>
      <c r="AF937" s="140">
        <v>0.0</v>
      </c>
      <c r="AG937" s="109">
        <v>0.0</v>
      </c>
      <c r="AH937" s="109">
        <v>14.0</v>
      </c>
      <c r="AI937" s="141">
        <v>357.0</v>
      </c>
      <c r="AJ937" s="80">
        <v>371.0</v>
      </c>
      <c r="AK937" s="140">
        <v>0.0</v>
      </c>
      <c r="AL937" s="109">
        <v>0.0</v>
      </c>
      <c r="AM937" s="141">
        <v>0.0</v>
      </c>
      <c r="AN937" s="80">
        <v>0.0</v>
      </c>
      <c r="AO937" s="140">
        <v>0.0</v>
      </c>
      <c r="AP937" s="109">
        <v>0.0</v>
      </c>
      <c r="AQ937" s="109">
        <v>0.0</v>
      </c>
      <c r="AR937" s="80">
        <v>0.0</v>
      </c>
      <c r="AS937" s="110">
        <v>0.0</v>
      </c>
      <c r="AT937" s="110">
        <v>0.0</v>
      </c>
      <c r="AU937" s="110">
        <v>0.0</v>
      </c>
      <c r="AV937" s="142">
        <v>0.0</v>
      </c>
      <c r="AW937" s="80">
        <v>0.0</v>
      </c>
      <c r="AX937" s="113">
        <v>371.0</v>
      </c>
      <c r="AY937" s="117">
        <v>357.0</v>
      </c>
      <c r="AZ937" s="328">
        <v>14.0</v>
      </c>
      <c r="BA937" s="315">
        <v>0.0</v>
      </c>
      <c r="BB937" s="316">
        <v>371.0</v>
      </c>
      <c r="BC937" s="132" t="s">
        <v>178</v>
      </c>
      <c r="BD937" s="132" t="s">
        <v>178</v>
      </c>
      <c r="BE937" s="132" t="s">
        <v>178</v>
      </c>
      <c r="BF937" s="156"/>
      <c r="BG937" s="83">
        <v>1107234.0</v>
      </c>
      <c r="BH937" s="98">
        <v>10.0</v>
      </c>
      <c r="BI937" s="98" t="s">
        <v>155</v>
      </c>
      <c r="BJ937" s="98" t="str">
        <f t="shared" si="1"/>
        <v>INTEGRAL</v>
      </c>
      <c r="BK937" s="98" t="str">
        <f t="shared" si="2"/>
        <v>NÃO</v>
      </c>
    </row>
    <row r="938" ht="15.75" customHeight="1">
      <c r="A938" s="111" t="s">
        <v>1090</v>
      </c>
      <c r="B938" s="83" t="s">
        <v>4652</v>
      </c>
      <c r="C938" s="83" t="s">
        <v>45</v>
      </c>
      <c r="D938" s="83">
        <v>1178385.0</v>
      </c>
      <c r="E938" s="83"/>
      <c r="F938" s="83">
        <v>2.9367263E7</v>
      </c>
      <c r="G938" s="114" t="s">
        <v>4653</v>
      </c>
      <c r="H938" s="91" t="s">
        <v>4654</v>
      </c>
      <c r="I938" s="114" t="s">
        <v>4655</v>
      </c>
      <c r="J938" s="98" t="s">
        <v>327</v>
      </c>
      <c r="K938" s="83" t="s">
        <v>171</v>
      </c>
      <c r="L938" s="98" t="s">
        <v>76</v>
      </c>
      <c r="M938" s="82" t="s">
        <v>9666</v>
      </c>
      <c r="N938" s="82" t="s">
        <v>9667</v>
      </c>
      <c r="O938" s="82"/>
      <c r="P938" s="82"/>
      <c r="Q938" s="82"/>
      <c r="R938" s="82"/>
      <c r="S938" s="82"/>
      <c r="T938" s="138">
        <v>7.0</v>
      </c>
      <c r="U938" s="387" t="s">
        <v>171</v>
      </c>
      <c r="V938" s="106">
        <v>0.0</v>
      </c>
      <c r="W938" s="107">
        <v>0.0</v>
      </c>
      <c r="X938" s="107">
        <v>0.0</v>
      </c>
      <c r="Y938" s="107">
        <v>0.0</v>
      </c>
      <c r="Z938" s="80">
        <v>0.0</v>
      </c>
      <c r="AA938" s="140">
        <v>0.0</v>
      </c>
      <c r="AB938" s="109">
        <v>0.0</v>
      </c>
      <c r="AC938" s="109">
        <v>0.0</v>
      </c>
      <c r="AD938" s="141">
        <v>63.0</v>
      </c>
      <c r="AE938" s="80">
        <v>63.0</v>
      </c>
      <c r="AF938" s="140">
        <v>0.0</v>
      </c>
      <c r="AG938" s="109">
        <v>0.0</v>
      </c>
      <c r="AH938" s="109">
        <v>0.0</v>
      </c>
      <c r="AI938" s="141">
        <v>186.0</v>
      </c>
      <c r="AJ938" s="80">
        <v>186.0</v>
      </c>
      <c r="AK938" s="140">
        <v>0.0</v>
      </c>
      <c r="AL938" s="109">
        <v>0.0</v>
      </c>
      <c r="AM938" s="141">
        <v>0.0</v>
      </c>
      <c r="AN938" s="80">
        <v>0.0</v>
      </c>
      <c r="AO938" s="140">
        <v>0.0</v>
      </c>
      <c r="AP938" s="109">
        <v>0.0</v>
      </c>
      <c r="AQ938" s="109">
        <v>0.0</v>
      </c>
      <c r="AR938" s="80">
        <v>0.0</v>
      </c>
      <c r="AS938" s="110">
        <v>0.0</v>
      </c>
      <c r="AT938" s="110">
        <v>0.0</v>
      </c>
      <c r="AU938" s="110">
        <v>0.0</v>
      </c>
      <c r="AV938" s="142">
        <v>0.0</v>
      </c>
      <c r="AW938" s="80">
        <v>0.0</v>
      </c>
      <c r="AX938" s="113">
        <v>249.0</v>
      </c>
      <c r="AY938" s="117">
        <v>249.0</v>
      </c>
      <c r="AZ938" s="328">
        <v>0.0</v>
      </c>
      <c r="BA938" s="315">
        <v>0.0</v>
      </c>
      <c r="BB938" s="316">
        <v>249.0</v>
      </c>
      <c r="BC938" s="132" t="s">
        <v>178</v>
      </c>
      <c r="BD938" s="132" t="s">
        <v>178</v>
      </c>
      <c r="BE938" s="132" t="s">
        <v>178</v>
      </c>
      <c r="BF938" s="123"/>
      <c r="BG938" s="83">
        <v>1178385.0</v>
      </c>
      <c r="BH938" s="112">
        <v>7.0</v>
      </c>
      <c r="BI938" s="98" t="s">
        <v>155</v>
      </c>
      <c r="BJ938" s="98" t="str">
        <f t="shared" si="1"/>
        <v>INTEGRAL</v>
      </c>
      <c r="BK938" s="98" t="str">
        <f t="shared" si="2"/>
        <v>NÃO</v>
      </c>
    </row>
    <row r="939" ht="15.75" customHeight="1">
      <c r="A939" s="111" t="s">
        <v>1090</v>
      </c>
      <c r="B939" s="83" t="s">
        <v>4652</v>
      </c>
      <c r="C939" s="83" t="s">
        <v>68</v>
      </c>
      <c r="D939" s="83">
        <v>1122705.0</v>
      </c>
      <c r="E939" s="83"/>
      <c r="F939" s="83">
        <v>2.907754E7</v>
      </c>
      <c r="G939" s="114" t="s">
        <v>9668</v>
      </c>
      <c r="H939" s="91" t="s">
        <v>4658</v>
      </c>
      <c r="I939" s="114" t="s">
        <v>149</v>
      </c>
      <c r="J939" s="83" t="s">
        <v>150</v>
      </c>
      <c r="K939" s="83" t="s">
        <v>1685</v>
      </c>
      <c r="L939" s="83" t="s">
        <v>152</v>
      </c>
      <c r="M939" s="82" t="s">
        <v>9669</v>
      </c>
      <c r="N939" s="82" t="s">
        <v>9670</v>
      </c>
      <c r="O939" s="82" t="s">
        <v>9671</v>
      </c>
      <c r="P939" s="82" t="s">
        <v>9672</v>
      </c>
      <c r="Q939" s="82" t="s">
        <v>9673</v>
      </c>
      <c r="R939" s="82" t="s">
        <v>9674</v>
      </c>
      <c r="S939" s="82" t="s">
        <v>9675</v>
      </c>
      <c r="T939" s="138">
        <v>9.0</v>
      </c>
      <c r="U939" s="323" t="s">
        <v>9676</v>
      </c>
      <c r="V939" s="106">
        <v>0.0</v>
      </c>
      <c r="W939" s="107">
        <v>0.0</v>
      </c>
      <c r="X939" s="107">
        <v>0.0</v>
      </c>
      <c r="Y939" s="107">
        <v>0.0</v>
      </c>
      <c r="Z939" s="80">
        <v>0.0</v>
      </c>
      <c r="AA939" s="140">
        <v>0.0</v>
      </c>
      <c r="AB939" s="109">
        <v>0.0</v>
      </c>
      <c r="AC939" s="109">
        <v>0.0</v>
      </c>
      <c r="AD939" s="141">
        <v>0.0</v>
      </c>
      <c r="AE939" s="80">
        <v>0.0</v>
      </c>
      <c r="AF939" s="140">
        <v>0.0</v>
      </c>
      <c r="AG939" s="109">
        <v>166.0</v>
      </c>
      <c r="AH939" s="109">
        <v>26.0</v>
      </c>
      <c r="AI939" s="141">
        <v>84.0</v>
      </c>
      <c r="AJ939" s="80">
        <v>276.0</v>
      </c>
      <c r="AK939" s="140">
        <v>0.0</v>
      </c>
      <c r="AL939" s="109">
        <v>0.0</v>
      </c>
      <c r="AM939" s="141">
        <v>0.0</v>
      </c>
      <c r="AN939" s="80">
        <v>0.0</v>
      </c>
      <c r="AO939" s="140">
        <v>0.0</v>
      </c>
      <c r="AP939" s="109">
        <v>0.0</v>
      </c>
      <c r="AQ939" s="109">
        <v>76.0</v>
      </c>
      <c r="AR939" s="80">
        <v>76.0</v>
      </c>
      <c r="AS939" s="110">
        <v>0.0</v>
      </c>
      <c r="AT939" s="110">
        <v>0.0</v>
      </c>
      <c r="AU939" s="110">
        <v>0.0</v>
      </c>
      <c r="AV939" s="142">
        <v>0.0</v>
      </c>
      <c r="AW939" s="80">
        <v>0.0</v>
      </c>
      <c r="AX939" s="113">
        <v>352.0</v>
      </c>
      <c r="AY939" s="117">
        <v>250.0</v>
      </c>
      <c r="AZ939" s="328">
        <v>102.0</v>
      </c>
      <c r="BA939" s="315">
        <v>7.0</v>
      </c>
      <c r="BB939" s="316">
        <v>359.0</v>
      </c>
      <c r="BC939" s="132" t="s">
        <v>178</v>
      </c>
      <c r="BD939" s="132" t="s">
        <v>178</v>
      </c>
      <c r="BE939" s="132" t="s">
        <v>178</v>
      </c>
      <c r="BF939" s="123"/>
      <c r="BG939" s="83">
        <v>1122705.0</v>
      </c>
      <c r="BH939" s="112">
        <v>8.0</v>
      </c>
      <c r="BI939" s="98" t="s">
        <v>155</v>
      </c>
      <c r="BJ939" s="98" t="str">
        <f t="shared" si="1"/>
        <v>INTEGRAL</v>
      </c>
      <c r="BK939" s="98" t="str">
        <f t="shared" si="2"/>
        <v>NÃO</v>
      </c>
    </row>
    <row r="940" ht="15.75" customHeight="1">
      <c r="A940" s="111" t="s">
        <v>1090</v>
      </c>
      <c r="B940" s="83" t="s">
        <v>4667</v>
      </c>
      <c r="C940" s="83" t="s">
        <v>68</v>
      </c>
      <c r="D940" s="83">
        <v>1137982.0</v>
      </c>
      <c r="E940" s="83"/>
      <c r="F940" s="83">
        <v>2.9142997E7</v>
      </c>
      <c r="G940" s="114" t="s">
        <v>9678</v>
      </c>
      <c r="H940" s="91" t="s">
        <v>4690</v>
      </c>
      <c r="I940" s="114" t="s">
        <v>149</v>
      </c>
      <c r="J940" s="172" t="s">
        <v>150</v>
      </c>
      <c r="K940" s="83" t="s">
        <v>1685</v>
      </c>
      <c r="L940" s="83" t="s">
        <v>152</v>
      </c>
      <c r="M940" s="82" t="s">
        <v>9679</v>
      </c>
      <c r="N940" s="82" t="s">
        <v>9680</v>
      </c>
      <c r="O940" s="82" t="s">
        <v>9681</v>
      </c>
      <c r="P940" s="82" t="s">
        <v>9682</v>
      </c>
      <c r="Q940" s="82" t="s">
        <v>9683</v>
      </c>
      <c r="R940" s="82" t="s">
        <v>9684</v>
      </c>
      <c r="S940" s="82" t="s">
        <v>9685</v>
      </c>
      <c r="T940" s="138">
        <v>14.0</v>
      </c>
      <c r="U940" s="364">
        <v>14.0</v>
      </c>
      <c r="V940" s="106">
        <v>0.0</v>
      </c>
      <c r="W940" s="107">
        <v>0.0</v>
      </c>
      <c r="X940" s="107">
        <v>0.0</v>
      </c>
      <c r="Y940" s="107">
        <v>0.0</v>
      </c>
      <c r="Z940" s="80">
        <v>0.0</v>
      </c>
      <c r="AA940" s="140">
        <v>0.0</v>
      </c>
      <c r="AB940" s="109">
        <v>0.0</v>
      </c>
      <c r="AC940" s="109">
        <v>0.0</v>
      </c>
      <c r="AD940" s="141">
        <v>0.0</v>
      </c>
      <c r="AE940" s="80">
        <v>0.0</v>
      </c>
      <c r="AF940" s="246">
        <v>223.0</v>
      </c>
      <c r="AG940" s="246">
        <v>0.0</v>
      </c>
      <c r="AH940" s="246">
        <v>50.0</v>
      </c>
      <c r="AI940" s="247">
        <v>258.0</v>
      </c>
      <c r="AJ940" s="80">
        <v>531.0</v>
      </c>
      <c r="AK940" s="140">
        <v>0.0</v>
      </c>
      <c r="AL940" s="109">
        <v>0.0</v>
      </c>
      <c r="AM940" s="141">
        <v>0.0</v>
      </c>
      <c r="AN940" s="80">
        <v>0.0</v>
      </c>
      <c r="AO940" s="246">
        <v>0.0</v>
      </c>
      <c r="AP940" s="246">
        <v>0.0</v>
      </c>
      <c r="AQ940" s="247">
        <v>143.0</v>
      </c>
      <c r="AR940" s="80">
        <v>143.0</v>
      </c>
      <c r="AS940" s="110">
        <v>0.0</v>
      </c>
      <c r="AT940" s="110">
        <v>0.0</v>
      </c>
      <c r="AU940" s="110">
        <v>0.0</v>
      </c>
      <c r="AV940" s="142">
        <v>0.0</v>
      </c>
      <c r="AW940" s="80">
        <v>0.0</v>
      </c>
      <c r="AX940" s="113">
        <v>674.0</v>
      </c>
      <c r="AY940" s="117">
        <v>481.0</v>
      </c>
      <c r="AZ940" s="328">
        <v>193.0</v>
      </c>
      <c r="BA940" s="315">
        <v>3.0</v>
      </c>
      <c r="BB940" s="316">
        <v>677.0</v>
      </c>
      <c r="BC940" s="132" t="s">
        <v>178</v>
      </c>
      <c r="BD940" s="132" t="s">
        <v>178</v>
      </c>
      <c r="BE940" s="132" t="s">
        <v>178</v>
      </c>
      <c r="BF940" s="123"/>
      <c r="BG940" s="83">
        <v>1137982.0</v>
      </c>
      <c r="BH940" s="112">
        <v>14.0</v>
      </c>
      <c r="BI940" s="98" t="s">
        <v>155</v>
      </c>
      <c r="BJ940" s="98" t="str">
        <f t="shared" si="1"/>
        <v>INTEGRAL</v>
      </c>
      <c r="BK940" s="98" t="str">
        <f t="shared" si="2"/>
        <v>NÃO</v>
      </c>
    </row>
    <row r="941" ht="15.75" customHeight="1">
      <c r="A941" s="111" t="s">
        <v>1090</v>
      </c>
      <c r="B941" s="83" t="s">
        <v>4667</v>
      </c>
      <c r="C941" s="83" t="s">
        <v>68</v>
      </c>
      <c r="D941" s="83">
        <v>1160828.0</v>
      </c>
      <c r="E941" s="83"/>
      <c r="F941" s="83">
        <v>2.9143942E7</v>
      </c>
      <c r="G941" s="535" t="s">
        <v>4668</v>
      </c>
      <c r="H941" s="91" t="s">
        <v>4669</v>
      </c>
      <c r="I941" s="114" t="s">
        <v>149</v>
      </c>
      <c r="J941" s="136" t="s">
        <v>1460</v>
      </c>
      <c r="K941" s="83" t="s">
        <v>1685</v>
      </c>
      <c r="L941" s="83" t="s">
        <v>169</v>
      </c>
      <c r="M941" s="82" t="s">
        <v>9686</v>
      </c>
      <c r="N941" s="82" t="s">
        <v>9687</v>
      </c>
      <c r="O941" s="82" t="s">
        <v>9688</v>
      </c>
      <c r="P941" s="82" t="s">
        <v>9689</v>
      </c>
      <c r="Q941" s="82"/>
      <c r="R941" s="82"/>
      <c r="S941" s="82"/>
      <c r="T941" s="138">
        <v>5.0</v>
      </c>
      <c r="U941" s="514">
        <v>4.0</v>
      </c>
      <c r="V941" s="106">
        <v>0.0</v>
      </c>
      <c r="W941" s="107">
        <v>0.0</v>
      </c>
      <c r="X941" s="107">
        <v>0.0</v>
      </c>
      <c r="Y941" s="107">
        <v>0.0</v>
      </c>
      <c r="Z941" s="80">
        <v>0.0</v>
      </c>
      <c r="AA941" s="140">
        <v>0.0</v>
      </c>
      <c r="AB941" s="109">
        <v>0.0</v>
      </c>
      <c r="AC941" s="109">
        <v>0.0</v>
      </c>
      <c r="AD941" s="141">
        <v>0.0</v>
      </c>
      <c r="AE941" s="80">
        <v>0.0</v>
      </c>
      <c r="AF941" s="140">
        <v>0.0</v>
      </c>
      <c r="AG941" s="109">
        <v>38.0</v>
      </c>
      <c r="AH941" s="109">
        <v>0.0</v>
      </c>
      <c r="AI941" s="141">
        <v>14.0</v>
      </c>
      <c r="AJ941" s="80">
        <v>52.0</v>
      </c>
      <c r="AK941" s="140">
        <v>0.0</v>
      </c>
      <c r="AL941" s="109">
        <v>0.0</v>
      </c>
      <c r="AM941" s="141">
        <v>25.0</v>
      </c>
      <c r="AN941" s="80">
        <v>25.0</v>
      </c>
      <c r="AO941" s="140">
        <v>0.0</v>
      </c>
      <c r="AP941" s="109">
        <v>0.0</v>
      </c>
      <c r="AQ941" s="109">
        <v>36.0</v>
      </c>
      <c r="AR941" s="80">
        <v>36.0</v>
      </c>
      <c r="AS941" s="110">
        <v>0.0</v>
      </c>
      <c r="AT941" s="110">
        <v>0.0</v>
      </c>
      <c r="AU941" s="110">
        <v>0.0</v>
      </c>
      <c r="AV941" s="142">
        <v>0.0</v>
      </c>
      <c r="AW941" s="80">
        <v>0.0</v>
      </c>
      <c r="AX941" s="113">
        <v>113.0</v>
      </c>
      <c r="AY941" s="117">
        <v>52.0</v>
      </c>
      <c r="AZ941" s="328">
        <v>61.0</v>
      </c>
      <c r="BA941" s="315">
        <v>0.0</v>
      </c>
      <c r="BB941" s="316">
        <v>113.0</v>
      </c>
      <c r="BC941" s="132" t="s">
        <v>373</v>
      </c>
      <c r="BD941" s="132" t="s">
        <v>178</v>
      </c>
      <c r="BE941" s="132" t="s">
        <v>178</v>
      </c>
      <c r="BF941" s="123"/>
      <c r="BG941" s="83">
        <v>1160828.0</v>
      </c>
      <c r="BH941" s="112">
        <v>4.0</v>
      </c>
      <c r="BI941" s="98" t="s">
        <v>155</v>
      </c>
      <c r="BJ941" s="98" t="str">
        <f t="shared" si="1"/>
        <v>INTEGRAL</v>
      </c>
      <c r="BK941" s="98" t="str">
        <f t="shared" si="2"/>
        <v>NÃO</v>
      </c>
    </row>
    <row r="942" ht="15.75" customHeight="1">
      <c r="A942" s="111" t="s">
        <v>1090</v>
      </c>
      <c r="B942" s="83" t="s">
        <v>4667</v>
      </c>
      <c r="C942" s="83" t="s">
        <v>68</v>
      </c>
      <c r="D942" s="83">
        <v>1138245.0</v>
      </c>
      <c r="E942" s="83"/>
      <c r="F942" s="83">
        <v>2.9143365E7</v>
      </c>
      <c r="G942" s="114" t="s">
        <v>4678</v>
      </c>
      <c r="H942" s="91" t="s">
        <v>4679</v>
      </c>
      <c r="I942" s="114" t="s">
        <v>149</v>
      </c>
      <c r="J942" s="83" t="s">
        <v>331</v>
      </c>
      <c r="K942" s="83" t="s">
        <v>1685</v>
      </c>
      <c r="L942" s="83" t="s">
        <v>169</v>
      </c>
      <c r="M942" s="82" t="s">
        <v>9690</v>
      </c>
      <c r="N942" s="82" t="s">
        <v>9691</v>
      </c>
      <c r="O942" s="82" t="s">
        <v>9692</v>
      </c>
      <c r="P942" s="82" t="s">
        <v>9693</v>
      </c>
      <c r="Q942" s="82"/>
      <c r="R942" s="82"/>
      <c r="S942" s="82"/>
      <c r="T942" s="138">
        <v>6.0</v>
      </c>
      <c r="U942" s="331" t="s">
        <v>9694</v>
      </c>
      <c r="V942" s="106">
        <v>0.0</v>
      </c>
      <c r="W942" s="107">
        <v>0.0</v>
      </c>
      <c r="X942" s="107">
        <v>0.0</v>
      </c>
      <c r="Y942" s="107">
        <v>0.0</v>
      </c>
      <c r="Z942" s="80">
        <v>0.0</v>
      </c>
      <c r="AA942" s="140">
        <v>0.0</v>
      </c>
      <c r="AB942" s="109">
        <v>0.0</v>
      </c>
      <c r="AC942" s="109">
        <v>0.0</v>
      </c>
      <c r="AD942" s="141">
        <v>0.0</v>
      </c>
      <c r="AE942" s="80">
        <v>0.0</v>
      </c>
      <c r="AF942" s="140">
        <v>51.0</v>
      </c>
      <c r="AG942" s="109">
        <v>0.0</v>
      </c>
      <c r="AH942" s="109">
        <v>0.0</v>
      </c>
      <c r="AI942" s="141">
        <v>37.0</v>
      </c>
      <c r="AJ942" s="80">
        <v>88.0</v>
      </c>
      <c r="AK942" s="140">
        <v>0.0</v>
      </c>
      <c r="AL942" s="109">
        <v>0.0</v>
      </c>
      <c r="AM942" s="141">
        <v>17.0</v>
      </c>
      <c r="AN942" s="80">
        <v>17.0</v>
      </c>
      <c r="AO942" s="140">
        <v>0.0</v>
      </c>
      <c r="AP942" s="109">
        <v>0.0</v>
      </c>
      <c r="AQ942" s="109">
        <v>32.0</v>
      </c>
      <c r="AR942" s="80">
        <v>32.0</v>
      </c>
      <c r="AS942" s="110">
        <v>0.0</v>
      </c>
      <c r="AT942" s="110">
        <v>0.0</v>
      </c>
      <c r="AU942" s="110">
        <v>0.0</v>
      </c>
      <c r="AV942" s="142">
        <v>0.0</v>
      </c>
      <c r="AW942" s="80">
        <v>0.0</v>
      </c>
      <c r="AX942" s="113">
        <v>137.0</v>
      </c>
      <c r="AY942" s="117">
        <v>88.0</v>
      </c>
      <c r="AZ942" s="328">
        <v>49.0</v>
      </c>
      <c r="BA942" s="315">
        <v>0.0</v>
      </c>
      <c r="BB942" s="316">
        <v>137.0</v>
      </c>
      <c r="BC942" s="132" t="s">
        <v>373</v>
      </c>
      <c r="BD942" s="132" t="s">
        <v>178</v>
      </c>
      <c r="BE942" s="132" t="s">
        <v>178</v>
      </c>
      <c r="BF942" s="156"/>
      <c r="BG942" s="83">
        <v>1138245.0</v>
      </c>
      <c r="BH942" s="112">
        <v>5.0</v>
      </c>
      <c r="BI942" s="98" t="s">
        <v>155</v>
      </c>
      <c r="BJ942" s="98" t="str">
        <f t="shared" si="1"/>
        <v>INTEGRAL</v>
      </c>
      <c r="BK942" s="98" t="str">
        <f t="shared" si="2"/>
        <v>NÃO</v>
      </c>
    </row>
    <row r="943" ht="15.75" customHeight="1">
      <c r="A943" s="111" t="s">
        <v>1090</v>
      </c>
      <c r="B943" s="83" t="s">
        <v>4667</v>
      </c>
      <c r="C943" s="83" t="s">
        <v>68</v>
      </c>
      <c r="D943" s="83">
        <v>1138172.0</v>
      </c>
      <c r="E943" s="83"/>
      <c r="F943" s="83">
        <v>2.9142709E7</v>
      </c>
      <c r="G943" s="114" t="s">
        <v>4701</v>
      </c>
      <c r="H943" s="91" t="s">
        <v>4702</v>
      </c>
      <c r="I943" s="114" t="s">
        <v>149</v>
      </c>
      <c r="J943" s="83" t="s">
        <v>150</v>
      </c>
      <c r="K943" s="83" t="s">
        <v>4703</v>
      </c>
      <c r="L943" s="83" t="s">
        <v>230</v>
      </c>
      <c r="M943" s="82" t="s">
        <v>9695</v>
      </c>
      <c r="N943" s="82" t="s">
        <v>9696</v>
      </c>
      <c r="O943" s="82" t="s">
        <v>9697</v>
      </c>
      <c r="P943" s="82" t="s">
        <v>9698</v>
      </c>
      <c r="Q943" s="82"/>
      <c r="R943" s="82"/>
      <c r="S943" s="82" t="s">
        <v>9699</v>
      </c>
      <c r="T943" s="138">
        <v>13.0</v>
      </c>
      <c r="U943" s="331">
        <v>12.0</v>
      </c>
      <c r="V943" s="106">
        <v>0.0</v>
      </c>
      <c r="W943" s="107">
        <v>0.0</v>
      </c>
      <c r="X943" s="107">
        <v>0.0</v>
      </c>
      <c r="Y943" s="107">
        <v>0.0</v>
      </c>
      <c r="Z943" s="80">
        <v>0.0</v>
      </c>
      <c r="AA943" s="140">
        <v>0.0</v>
      </c>
      <c r="AB943" s="109">
        <v>0.0</v>
      </c>
      <c r="AC943" s="109">
        <v>0.0</v>
      </c>
      <c r="AD943" s="141">
        <v>0.0</v>
      </c>
      <c r="AE943" s="80">
        <v>0.0</v>
      </c>
      <c r="AF943" s="140">
        <v>0.0</v>
      </c>
      <c r="AG943" s="109">
        <v>0.0</v>
      </c>
      <c r="AH943" s="109">
        <v>0.0</v>
      </c>
      <c r="AI943" s="141">
        <v>0.0</v>
      </c>
      <c r="AJ943" s="80">
        <v>0.0</v>
      </c>
      <c r="AK943" s="140">
        <v>0.0</v>
      </c>
      <c r="AL943" s="109">
        <v>0.0</v>
      </c>
      <c r="AM943" s="141">
        <v>0.0</v>
      </c>
      <c r="AN943" s="80">
        <v>0.0</v>
      </c>
      <c r="AO943" s="140">
        <v>0.0</v>
      </c>
      <c r="AP943" s="109">
        <v>0.0</v>
      </c>
      <c r="AQ943" s="109">
        <v>0.0</v>
      </c>
      <c r="AR943" s="80">
        <v>0.0</v>
      </c>
      <c r="AS943" s="110">
        <v>245.0</v>
      </c>
      <c r="AT943" s="110">
        <v>76.0</v>
      </c>
      <c r="AU943" s="110">
        <v>236.0</v>
      </c>
      <c r="AV943" s="142">
        <v>0.0</v>
      </c>
      <c r="AW943" s="80">
        <v>557.0</v>
      </c>
      <c r="AX943" s="113">
        <v>557.0</v>
      </c>
      <c r="AY943" s="117">
        <v>321.0</v>
      </c>
      <c r="AZ943" s="328">
        <v>236.0</v>
      </c>
      <c r="BA943" s="315">
        <v>0.0</v>
      </c>
      <c r="BB943" s="316">
        <v>557.0</v>
      </c>
      <c r="BC943" s="132" t="s">
        <v>178</v>
      </c>
      <c r="BD943" s="132" t="s">
        <v>522</v>
      </c>
      <c r="BE943" s="132" t="s">
        <v>178</v>
      </c>
      <c r="BF943" s="156"/>
      <c r="BG943" s="83">
        <v>1138172.0</v>
      </c>
      <c r="BH943" s="112">
        <v>12.0</v>
      </c>
      <c r="BI943" s="98" t="s">
        <v>155</v>
      </c>
      <c r="BJ943" s="98" t="str">
        <f t="shared" si="1"/>
        <v>NÃO</v>
      </c>
      <c r="BK943" s="98" t="str">
        <f t="shared" si="2"/>
        <v>PROFISSIONAL</v>
      </c>
    </row>
    <row r="944" ht="15.75" customHeight="1">
      <c r="A944" s="111" t="s">
        <v>1090</v>
      </c>
      <c r="B944" s="83" t="s">
        <v>2239</v>
      </c>
      <c r="C944" s="83" t="s">
        <v>68</v>
      </c>
      <c r="D944" s="83">
        <v>1176125.0</v>
      </c>
      <c r="E944" s="83"/>
      <c r="F944" s="83">
        <v>2.9354943E7</v>
      </c>
      <c r="G944" s="114" t="s">
        <v>9700</v>
      </c>
      <c r="H944" s="91" t="s">
        <v>4723</v>
      </c>
      <c r="I944" s="114" t="s">
        <v>149</v>
      </c>
      <c r="J944" s="83" t="s">
        <v>150</v>
      </c>
      <c r="K944" s="83" t="s">
        <v>1685</v>
      </c>
      <c r="L944" s="83" t="s">
        <v>169</v>
      </c>
      <c r="M944" s="82" t="s">
        <v>9701</v>
      </c>
      <c r="N944" s="82" t="s">
        <v>9702</v>
      </c>
      <c r="O944" s="82" t="s">
        <v>9703</v>
      </c>
      <c r="P944" s="82" t="s">
        <v>9704</v>
      </c>
      <c r="Q944" s="82" t="s">
        <v>9705</v>
      </c>
      <c r="R944" s="82" t="s">
        <v>9706</v>
      </c>
      <c r="S944" s="82"/>
      <c r="T944" s="138">
        <v>6.0</v>
      </c>
      <c r="U944" s="339" t="s">
        <v>9707</v>
      </c>
      <c r="V944" s="106">
        <v>0.0</v>
      </c>
      <c r="W944" s="107">
        <v>0.0</v>
      </c>
      <c r="X944" s="107">
        <v>0.0</v>
      </c>
      <c r="Y944" s="107">
        <v>0.0</v>
      </c>
      <c r="Z944" s="80">
        <v>0.0</v>
      </c>
      <c r="AA944" s="140">
        <v>0.0</v>
      </c>
      <c r="AB944" s="109">
        <v>0.0</v>
      </c>
      <c r="AC944" s="109">
        <v>0.0</v>
      </c>
      <c r="AD944" s="141">
        <v>0.0</v>
      </c>
      <c r="AE944" s="80">
        <v>0.0</v>
      </c>
      <c r="AF944" s="140">
        <v>0.0</v>
      </c>
      <c r="AG944" s="109">
        <v>0.0</v>
      </c>
      <c r="AH944" s="109">
        <v>0.0</v>
      </c>
      <c r="AI944" s="141">
        <v>181.0</v>
      </c>
      <c r="AJ944" s="80">
        <v>181.0</v>
      </c>
      <c r="AK944" s="140">
        <v>0.0</v>
      </c>
      <c r="AL944" s="109">
        <v>0.0</v>
      </c>
      <c r="AM944" s="141">
        <v>0.0</v>
      </c>
      <c r="AN944" s="80">
        <v>0.0</v>
      </c>
      <c r="AO944" s="140">
        <v>0.0</v>
      </c>
      <c r="AP944" s="109">
        <v>0.0</v>
      </c>
      <c r="AQ944" s="109">
        <v>42.0</v>
      </c>
      <c r="AR944" s="80">
        <v>42.0</v>
      </c>
      <c r="AS944" s="110">
        <v>0.0</v>
      </c>
      <c r="AT944" s="110">
        <v>0.0</v>
      </c>
      <c r="AU944" s="110">
        <v>13.0</v>
      </c>
      <c r="AV944" s="142">
        <v>0.0</v>
      </c>
      <c r="AW944" s="80">
        <v>13.0</v>
      </c>
      <c r="AX944" s="113">
        <v>236.0</v>
      </c>
      <c r="AY944" s="117">
        <v>181.0</v>
      </c>
      <c r="AZ944" s="328">
        <v>55.0</v>
      </c>
      <c r="BA944" s="315">
        <v>0.0</v>
      </c>
      <c r="BB944" s="316">
        <v>236.0</v>
      </c>
      <c r="BC944" s="132" t="s">
        <v>178</v>
      </c>
      <c r="BD944" s="132" t="s">
        <v>178</v>
      </c>
      <c r="BE944" s="132" t="s">
        <v>178</v>
      </c>
      <c r="BF944" s="156"/>
      <c r="BG944" s="83">
        <v>1176125.0</v>
      </c>
      <c r="BH944" s="112">
        <v>6.0</v>
      </c>
      <c r="BI944" s="98" t="s">
        <v>155</v>
      </c>
      <c r="BJ944" s="98" t="str">
        <f t="shared" si="1"/>
        <v>INTEGRAL</v>
      </c>
      <c r="BK944" s="98" t="str">
        <f t="shared" si="2"/>
        <v>PROFISSIONAL</v>
      </c>
    </row>
    <row r="945" ht="15.75" customHeight="1">
      <c r="A945" s="111" t="s">
        <v>1090</v>
      </c>
      <c r="B945" s="83" t="s">
        <v>2239</v>
      </c>
      <c r="C945" s="83" t="s">
        <v>164</v>
      </c>
      <c r="D945" s="83">
        <v>1176125.0</v>
      </c>
      <c r="E945" s="83">
        <v>1178723.0</v>
      </c>
      <c r="F945" s="83"/>
      <c r="G945" s="114" t="s">
        <v>9708</v>
      </c>
      <c r="H945" s="91" t="s">
        <v>4714</v>
      </c>
      <c r="I945" s="187" t="s">
        <v>149</v>
      </c>
      <c r="J945" s="136" t="s">
        <v>222</v>
      </c>
      <c r="K945" s="83" t="s">
        <v>1022</v>
      </c>
      <c r="L945" s="83" t="s">
        <v>169</v>
      </c>
      <c r="M945" s="82" t="s">
        <v>9701</v>
      </c>
      <c r="N945" s="82" t="s">
        <v>9702</v>
      </c>
      <c r="O945" s="82" t="s">
        <v>9703</v>
      </c>
      <c r="P945" s="82" t="s">
        <v>9704</v>
      </c>
      <c r="Q945" s="82" t="s">
        <v>9705</v>
      </c>
      <c r="R945" s="82" t="s">
        <v>9706</v>
      </c>
      <c r="S945" s="82"/>
      <c r="T945" s="138">
        <v>5.0</v>
      </c>
      <c r="U945" s="323">
        <v>5.0</v>
      </c>
      <c r="V945" s="106">
        <v>0.0</v>
      </c>
      <c r="W945" s="107">
        <v>0.0</v>
      </c>
      <c r="X945" s="107">
        <v>0.0</v>
      </c>
      <c r="Y945" s="107">
        <v>0.0</v>
      </c>
      <c r="Z945" s="80">
        <v>0.0</v>
      </c>
      <c r="AA945" s="140">
        <v>0.0</v>
      </c>
      <c r="AB945" s="109">
        <v>0.0</v>
      </c>
      <c r="AC945" s="109">
        <v>0.0</v>
      </c>
      <c r="AD945" s="141">
        <v>0.0</v>
      </c>
      <c r="AE945" s="80">
        <v>0.0</v>
      </c>
      <c r="AF945" s="140">
        <v>0.0</v>
      </c>
      <c r="AG945" s="109">
        <v>115.0</v>
      </c>
      <c r="AH945" s="109">
        <v>20.0</v>
      </c>
      <c r="AI945" s="141">
        <v>0.0</v>
      </c>
      <c r="AJ945" s="80">
        <v>135.0</v>
      </c>
      <c r="AK945" s="140">
        <v>0.0</v>
      </c>
      <c r="AL945" s="109">
        <v>0.0</v>
      </c>
      <c r="AM945" s="141">
        <v>0.0</v>
      </c>
      <c r="AN945" s="80">
        <v>0.0</v>
      </c>
      <c r="AO945" s="140">
        <v>0.0</v>
      </c>
      <c r="AP945" s="109">
        <v>0.0</v>
      </c>
      <c r="AQ945" s="109">
        <v>40.0</v>
      </c>
      <c r="AR945" s="80">
        <v>40.0</v>
      </c>
      <c r="AS945" s="110">
        <v>0.0</v>
      </c>
      <c r="AT945" s="110">
        <v>0.0</v>
      </c>
      <c r="AU945" s="110">
        <v>0.0</v>
      </c>
      <c r="AV945" s="142">
        <v>0.0</v>
      </c>
      <c r="AW945" s="80">
        <v>0.0</v>
      </c>
      <c r="AX945" s="113">
        <v>175.0</v>
      </c>
      <c r="AY945" s="117">
        <v>115.0</v>
      </c>
      <c r="AZ945" s="328">
        <v>60.0</v>
      </c>
      <c r="BA945" s="315">
        <v>0.0</v>
      </c>
      <c r="BB945" s="316">
        <v>175.0</v>
      </c>
      <c r="BC945" s="132" t="s">
        <v>373</v>
      </c>
      <c r="BD945" s="132" t="s">
        <v>178</v>
      </c>
      <c r="BE945" s="132" t="s">
        <v>178</v>
      </c>
      <c r="BF945" s="156"/>
      <c r="BG945" s="83">
        <v>1178723.0</v>
      </c>
      <c r="BH945" s="112">
        <v>5.0</v>
      </c>
      <c r="BI945" s="98" t="s">
        <v>155</v>
      </c>
      <c r="BJ945" s="98" t="str">
        <f t="shared" si="1"/>
        <v>NÃO</v>
      </c>
      <c r="BK945" s="98" t="str">
        <f t="shared" si="2"/>
        <v>NÃO</v>
      </c>
    </row>
    <row r="946" ht="15.75" customHeight="1">
      <c r="A946" s="111" t="s">
        <v>1090</v>
      </c>
      <c r="B946" s="83" t="s">
        <v>4725</v>
      </c>
      <c r="C946" s="83" t="s">
        <v>68</v>
      </c>
      <c r="D946" s="83">
        <v>1107650.0</v>
      </c>
      <c r="E946" s="83"/>
      <c r="F946" s="83">
        <v>2.9111285E7</v>
      </c>
      <c r="G946" s="114" t="s">
        <v>4728</v>
      </c>
      <c r="H946" s="91" t="s">
        <v>4730</v>
      </c>
      <c r="I946" s="114" t="s">
        <v>149</v>
      </c>
      <c r="J946" s="83" t="s">
        <v>2642</v>
      </c>
      <c r="K946" s="83" t="s">
        <v>1685</v>
      </c>
      <c r="L946" s="83" t="s">
        <v>169</v>
      </c>
      <c r="M946" s="82" t="s">
        <v>9709</v>
      </c>
      <c r="N946" s="82" t="s">
        <v>9710</v>
      </c>
      <c r="O946" s="82" t="s">
        <v>9711</v>
      </c>
      <c r="P946" s="82" t="s">
        <v>9712</v>
      </c>
      <c r="Q946" s="82"/>
      <c r="R946" s="82"/>
      <c r="S946" s="82"/>
      <c r="T946" s="138">
        <v>9.0</v>
      </c>
      <c r="U946" s="339">
        <v>8.0</v>
      </c>
      <c r="V946" s="106">
        <v>0.0</v>
      </c>
      <c r="W946" s="107">
        <v>0.0</v>
      </c>
      <c r="X946" s="107">
        <v>0.0</v>
      </c>
      <c r="Y946" s="107">
        <v>0.0</v>
      </c>
      <c r="Z946" s="80">
        <v>0.0</v>
      </c>
      <c r="AA946" s="140">
        <v>0.0</v>
      </c>
      <c r="AB946" s="109">
        <v>0.0</v>
      </c>
      <c r="AC946" s="109">
        <v>0.0</v>
      </c>
      <c r="AD946" s="141">
        <v>0.0</v>
      </c>
      <c r="AE946" s="80">
        <v>0.0</v>
      </c>
      <c r="AF946" s="140">
        <v>127.0</v>
      </c>
      <c r="AG946" s="109">
        <v>94.0</v>
      </c>
      <c r="AH946" s="109">
        <v>0.0</v>
      </c>
      <c r="AI946" s="141">
        <v>24.0</v>
      </c>
      <c r="AJ946" s="80">
        <v>245.0</v>
      </c>
      <c r="AK946" s="140">
        <v>0.0</v>
      </c>
      <c r="AL946" s="109">
        <v>0.0</v>
      </c>
      <c r="AM946" s="141">
        <v>0.0</v>
      </c>
      <c r="AN946" s="80">
        <v>0.0</v>
      </c>
      <c r="AO946" s="140">
        <v>0.0</v>
      </c>
      <c r="AP946" s="109">
        <v>0.0</v>
      </c>
      <c r="AQ946" s="109">
        <v>63.0</v>
      </c>
      <c r="AR946" s="80">
        <v>63.0</v>
      </c>
      <c r="AS946" s="110">
        <v>0.0</v>
      </c>
      <c r="AT946" s="110">
        <v>0.0</v>
      </c>
      <c r="AU946" s="110">
        <v>0.0</v>
      </c>
      <c r="AV946" s="142">
        <v>0.0</v>
      </c>
      <c r="AW946" s="80">
        <v>0.0</v>
      </c>
      <c r="AX946" s="113">
        <v>308.0</v>
      </c>
      <c r="AY946" s="117">
        <v>245.0</v>
      </c>
      <c r="AZ946" s="328">
        <v>63.0</v>
      </c>
      <c r="BA946" s="315">
        <v>0.0</v>
      </c>
      <c r="BB946" s="316">
        <v>308.0</v>
      </c>
      <c r="BC946" s="132" t="s">
        <v>373</v>
      </c>
      <c r="BD946" s="132" t="s">
        <v>178</v>
      </c>
      <c r="BE946" s="132" t="s">
        <v>178</v>
      </c>
      <c r="BF946" s="156"/>
      <c r="BG946" s="83">
        <v>1107650.0</v>
      </c>
      <c r="BH946" s="112">
        <v>8.0</v>
      </c>
      <c r="BI946" s="98" t="s">
        <v>155</v>
      </c>
      <c r="BJ946" s="98" t="str">
        <f t="shared" si="1"/>
        <v>INTEGRAL</v>
      </c>
      <c r="BK946" s="98" t="str">
        <f t="shared" si="2"/>
        <v>NÃO</v>
      </c>
    </row>
    <row r="947" ht="15.75" customHeight="1">
      <c r="A947" s="111" t="s">
        <v>1090</v>
      </c>
      <c r="B947" s="83" t="s">
        <v>4725</v>
      </c>
      <c r="C947" s="83" t="s">
        <v>68</v>
      </c>
      <c r="D947" s="83">
        <v>1107684.0</v>
      </c>
      <c r="E947" s="83"/>
      <c r="F947" s="83">
        <v>2.9110866E7</v>
      </c>
      <c r="G947" s="147" t="s">
        <v>4743</v>
      </c>
      <c r="H947" s="91" t="s">
        <v>4744</v>
      </c>
      <c r="I947" s="114" t="s">
        <v>149</v>
      </c>
      <c r="J947" s="83" t="s">
        <v>240</v>
      </c>
      <c r="K947" s="83" t="s">
        <v>1685</v>
      </c>
      <c r="L947" s="83" t="s">
        <v>152</v>
      </c>
      <c r="M947" s="82" t="s">
        <v>9713</v>
      </c>
      <c r="N947" s="82" t="s">
        <v>9714</v>
      </c>
      <c r="O947" s="82" t="s">
        <v>9715</v>
      </c>
      <c r="P947" s="82" t="s">
        <v>9716</v>
      </c>
      <c r="Q947" s="82" t="s">
        <v>9717</v>
      </c>
      <c r="R947" s="82" t="s">
        <v>9718</v>
      </c>
      <c r="S947" s="82"/>
      <c r="T947" s="138">
        <v>12.0</v>
      </c>
      <c r="U947" s="331">
        <v>9.0</v>
      </c>
      <c r="V947" s="106">
        <v>0.0</v>
      </c>
      <c r="W947" s="107">
        <v>0.0</v>
      </c>
      <c r="X947" s="107">
        <v>0.0</v>
      </c>
      <c r="Y947" s="107">
        <v>0.0</v>
      </c>
      <c r="Z947" s="80">
        <v>0.0</v>
      </c>
      <c r="AA947" s="140">
        <v>0.0</v>
      </c>
      <c r="AB947" s="109">
        <v>0.0</v>
      </c>
      <c r="AC947" s="109">
        <v>0.0</v>
      </c>
      <c r="AD947" s="141">
        <v>0.0</v>
      </c>
      <c r="AE947" s="80">
        <v>0.0</v>
      </c>
      <c r="AF947" s="140">
        <v>0.0</v>
      </c>
      <c r="AG947" s="109">
        <v>0.0</v>
      </c>
      <c r="AH947" s="109">
        <v>0.0</v>
      </c>
      <c r="AI947" s="141">
        <v>358.0</v>
      </c>
      <c r="AJ947" s="80">
        <v>358.0</v>
      </c>
      <c r="AK947" s="140">
        <v>0.0</v>
      </c>
      <c r="AL947" s="109">
        <v>0.0</v>
      </c>
      <c r="AM947" s="141">
        <v>0.0</v>
      </c>
      <c r="AN947" s="80">
        <v>0.0</v>
      </c>
      <c r="AO947" s="140">
        <v>0.0</v>
      </c>
      <c r="AP947" s="109">
        <v>0.0</v>
      </c>
      <c r="AQ947" s="109">
        <v>89.0</v>
      </c>
      <c r="AR947" s="80">
        <v>89.0</v>
      </c>
      <c r="AS947" s="110">
        <v>0.0</v>
      </c>
      <c r="AT947" s="110">
        <v>0.0</v>
      </c>
      <c r="AU947" s="110">
        <v>0.0</v>
      </c>
      <c r="AV947" s="142">
        <v>0.0</v>
      </c>
      <c r="AW947" s="80">
        <v>0.0</v>
      </c>
      <c r="AX947" s="113">
        <v>447.0</v>
      </c>
      <c r="AY947" s="117">
        <v>358.0</v>
      </c>
      <c r="AZ947" s="328">
        <v>89.0</v>
      </c>
      <c r="BA947" s="315">
        <v>1.0</v>
      </c>
      <c r="BB947" s="316">
        <v>448.0</v>
      </c>
      <c r="BC947" s="132" t="s">
        <v>373</v>
      </c>
      <c r="BD947" s="132" t="s">
        <v>178</v>
      </c>
      <c r="BE947" s="132" t="s">
        <v>178</v>
      </c>
      <c r="BF947" s="123"/>
      <c r="BG947" s="83">
        <v>1107684.0</v>
      </c>
      <c r="BH947" s="112">
        <v>9.0</v>
      </c>
      <c r="BI947" s="98" t="s">
        <v>155</v>
      </c>
      <c r="BJ947" s="98" t="str">
        <f t="shared" si="1"/>
        <v>INTEGRAL</v>
      </c>
      <c r="BK947" s="98" t="str">
        <f t="shared" si="2"/>
        <v>NÃO</v>
      </c>
    </row>
    <row r="948" ht="15.75" customHeight="1">
      <c r="A948" s="111" t="s">
        <v>1090</v>
      </c>
      <c r="B948" s="83" t="s">
        <v>4754</v>
      </c>
      <c r="C948" s="83" t="s">
        <v>68</v>
      </c>
      <c r="D948" s="83">
        <v>1176069.0</v>
      </c>
      <c r="E948" s="83"/>
      <c r="F948" s="83">
        <v>2.9088623E7</v>
      </c>
      <c r="G948" s="114" t="s">
        <v>9719</v>
      </c>
      <c r="H948" s="91" t="s">
        <v>4756</v>
      </c>
      <c r="I948" s="114" t="s">
        <v>149</v>
      </c>
      <c r="J948" s="83" t="s">
        <v>150</v>
      </c>
      <c r="K948" s="83" t="s">
        <v>1685</v>
      </c>
      <c r="L948" s="83" t="s">
        <v>76</v>
      </c>
      <c r="M948" s="82" t="s">
        <v>9720</v>
      </c>
      <c r="N948" s="82" t="s">
        <v>9721</v>
      </c>
      <c r="O948" s="82" t="s">
        <v>9722</v>
      </c>
      <c r="P948" s="82" t="s">
        <v>9723</v>
      </c>
      <c r="Q948" s="82"/>
      <c r="R948" s="82"/>
      <c r="S948" s="82"/>
      <c r="T948" s="138">
        <v>12.0</v>
      </c>
      <c r="U948" s="331" t="s">
        <v>9724</v>
      </c>
      <c r="V948" s="106">
        <v>0.0</v>
      </c>
      <c r="W948" s="107">
        <v>0.0</v>
      </c>
      <c r="X948" s="107">
        <v>0.0</v>
      </c>
      <c r="Y948" s="107">
        <v>0.0</v>
      </c>
      <c r="Z948" s="80">
        <v>0.0</v>
      </c>
      <c r="AA948" s="140">
        <v>0.0</v>
      </c>
      <c r="AB948" s="109">
        <v>0.0</v>
      </c>
      <c r="AC948" s="109">
        <v>0.0</v>
      </c>
      <c r="AD948" s="141">
        <v>0.0</v>
      </c>
      <c r="AE948" s="80">
        <v>0.0</v>
      </c>
      <c r="AF948" s="140">
        <v>0.0</v>
      </c>
      <c r="AG948" s="109">
        <v>167.0</v>
      </c>
      <c r="AH948" s="109">
        <v>0.0</v>
      </c>
      <c r="AI948" s="141">
        <v>102.0</v>
      </c>
      <c r="AJ948" s="80">
        <v>269.0</v>
      </c>
      <c r="AK948" s="140">
        <v>0.0</v>
      </c>
      <c r="AL948" s="109">
        <v>0.0</v>
      </c>
      <c r="AM948" s="141">
        <v>0.0</v>
      </c>
      <c r="AN948" s="80">
        <v>0.0</v>
      </c>
      <c r="AO948" s="140">
        <v>0.0</v>
      </c>
      <c r="AP948" s="109">
        <v>0.0</v>
      </c>
      <c r="AQ948" s="109">
        <v>54.0</v>
      </c>
      <c r="AR948" s="80">
        <v>54.0</v>
      </c>
      <c r="AS948" s="110">
        <v>0.0</v>
      </c>
      <c r="AT948" s="110">
        <v>0.0</v>
      </c>
      <c r="AU948" s="110">
        <v>0.0</v>
      </c>
      <c r="AV948" s="142">
        <v>0.0</v>
      </c>
      <c r="AW948" s="80">
        <v>0.0</v>
      </c>
      <c r="AX948" s="113">
        <v>323.0</v>
      </c>
      <c r="AY948" s="117">
        <v>269.0</v>
      </c>
      <c r="AZ948" s="328">
        <v>54.0</v>
      </c>
      <c r="BA948" s="315">
        <v>0.0</v>
      </c>
      <c r="BB948" s="316">
        <v>323.0</v>
      </c>
      <c r="BC948" s="132" t="s">
        <v>178</v>
      </c>
      <c r="BD948" s="132" t="s">
        <v>178</v>
      </c>
      <c r="BE948" s="132" t="s">
        <v>178</v>
      </c>
      <c r="BF948" s="123"/>
      <c r="BG948" s="83">
        <v>1176069.0</v>
      </c>
      <c r="BH948" s="112">
        <v>8.0</v>
      </c>
      <c r="BI948" s="98" t="s">
        <v>155</v>
      </c>
      <c r="BJ948" s="98" t="str">
        <f t="shared" si="1"/>
        <v>INTEGRAL</v>
      </c>
      <c r="BK948" s="98" t="str">
        <f t="shared" si="2"/>
        <v>NÃO</v>
      </c>
    </row>
    <row r="949" ht="15.75" customHeight="1">
      <c r="A949" s="111" t="s">
        <v>1090</v>
      </c>
      <c r="B949" s="83" t="s">
        <v>4765</v>
      </c>
      <c r="C949" s="83" t="s">
        <v>68</v>
      </c>
      <c r="D949" s="83">
        <v>1122306.0</v>
      </c>
      <c r="E949" s="83"/>
      <c r="F949" s="83">
        <v>2.9079934E7</v>
      </c>
      <c r="G949" s="114" t="s">
        <v>9725</v>
      </c>
      <c r="H949" s="91" t="s">
        <v>4767</v>
      </c>
      <c r="I949" s="114" t="s">
        <v>149</v>
      </c>
      <c r="J949" s="83" t="s">
        <v>150</v>
      </c>
      <c r="K949" s="83" t="s">
        <v>1685</v>
      </c>
      <c r="L949" s="83" t="s">
        <v>169</v>
      </c>
      <c r="M949" s="82" t="s">
        <v>9726</v>
      </c>
      <c r="N949" s="82" t="s">
        <v>9727</v>
      </c>
      <c r="O949" s="82" t="s">
        <v>9728</v>
      </c>
      <c r="P949" s="82" t="s">
        <v>9729</v>
      </c>
      <c r="Q949" s="82"/>
      <c r="R949" s="82"/>
      <c r="S949" s="82" t="s">
        <v>9730</v>
      </c>
      <c r="T949" s="138">
        <v>7.0</v>
      </c>
      <c r="U949" s="331">
        <v>6.0</v>
      </c>
      <c r="V949" s="106">
        <v>0.0</v>
      </c>
      <c r="W949" s="107">
        <v>0.0</v>
      </c>
      <c r="X949" s="107">
        <v>0.0</v>
      </c>
      <c r="Y949" s="107">
        <v>0.0</v>
      </c>
      <c r="Z949" s="80">
        <v>0.0</v>
      </c>
      <c r="AA949" s="140">
        <v>0.0</v>
      </c>
      <c r="AB949" s="109">
        <v>0.0</v>
      </c>
      <c r="AC949" s="109">
        <v>0.0</v>
      </c>
      <c r="AD949" s="141">
        <v>0.0</v>
      </c>
      <c r="AE949" s="80">
        <v>0.0</v>
      </c>
      <c r="AF949" s="140">
        <v>102.0</v>
      </c>
      <c r="AG949" s="109">
        <v>59.0</v>
      </c>
      <c r="AH949" s="109">
        <v>35.0</v>
      </c>
      <c r="AI949" s="141">
        <v>55.0</v>
      </c>
      <c r="AJ949" s="80">
        <v>251.0</v>
      </c>
      <c r="AK949" s="140">
        <v>0.0</v>
      </c>
      <c r="AL949" s="109">
        <v>0.0</v>
      </c>
      <c r="AM949" s="141">
        <v>0.0</v>
      </c>
      <c r="AN949" s="80">
        <v>0.0</v>
      </c>
      <c r="AO949" s="140">
        <v>0.0</v>
      </c>
      <c r="AP949" s="109">
        <v>0.0</v>
      </c>
      <c r="AQ949" s="109">
        <v>47.0</v>
      </c>
      <c r="AR949" s="80">
        <v>47.0</v>
      </c>
      <c r="AS949" s="110">
        <v>0.0</v>
      </c>
      <c r="AT949" s="110">
        <v>0.0</v>
      </c>
      <c r="AU949" s="110">
        <v>0.0</v>
      </c>
      <c r="AV949" s="142">
        <v>0.0</v>
      </c>
      <c r="AW949" s="80">
        <v>0.0</v>
      </c>
      <c r="AX949" s="113">
        <v>298.0</v>
      </c>
      <c r="AY949" s="117">
        <v>216.0</v>
      </c>
      <c r="AZ949" s="328">
        <v>82.0</v>
      </c>
      <c r="BA949" s="315">
        <v>1.0</v>
      </c>
      <c r="BB949" s="316">
        <v>299.0</v>
      </c>
      <c r="BC949" s="132" t="s">
        <v>178</v>
      </c>
      <c r="BD949" s="132" t="s">
        <v>178</v>
      </c>
      <c r="BE949" s="132" t="s">
        <v>178</v>
      </c>
      <c r="BF949" s="123"/>
      <c r="BG949" s="83">
        <v>1122306.0</v>
      </c>
      <c r="BH949" s="112">
        <v>6.0</v>
      </c>
      <c r="BI949" s="98" t="s">
        <v>155</v>
      </c>
      <c r="BJ949" s="98" t="str">
        <f t="shared" si="1"/>
        <v>INTEGRAL</v>
      </c>
      <c r="BK949" s="98" t="str">
        <f t="shared" si="2"/>
        <v>NÃO</v>
      </c>
    </row>
    <row r="950" ht="15.75" customHeight="1">
      <c r="A950" s="111" t="s">
        <v>1161</v>
      </c>
      <c r="B950" s="83" t="s">
        <v>4771</v>
      </c>
      <c r="C950" s="83" t="s">
        <v>68</v>
      </c>
      <c r="D950" s="83">
        <v>1178027.0</v>
      </c>
      <c r="E950" s="83"/>
      <c r="F950" s="83">
        <v>2.906832E7</v>
      </c>
      <c r="G950" s="114" t="s">
        <v>9731</v>
      </c>
      <c r="H950" s="91" t="s">
        <v>4774</v>
      </c>
      <c r="I950" s="298" t="s">
        <v>149</v>
      </c>
      <c r="J950" s="83" t="s">
        <v>150</v>
      </c>
      <c r="K950" s="83" t="s">
        <v>151</v>
      </c>
      <c r="L950" s="83" t="s">
        <v>152</v>
      </c>
      <c r="M950" s="82" t="s">
        <v>9732</v>
      </c>
      <c r="N950" s="82" t="s">
        <v>9733</v>
      </c>
      <c r="O950" s="82" t="s">
        <v>9734</v>
      </c>
      <c r="P950" s="82" t="s">
        <v>9735</v>
      </c>
      <c r="Q950" s="82"/>
      <c r="R950" s="82"/>
      <c r="S950" s="82" t="s">
        <v>9736</v>
      </c>
      <c r="T950" s="138">
        <v>6.0</v>
      </c>
      <c r="U950" s="339" t="s">
        <v>9737</v>
      </c>
      <c r="V950" s="106">
        <v>0.0</v>
      </c>
      <c r="W950" s="107">
        <v>0.0</v>
      </c>
      <c r="X950" s="107">
        <v>0.0</v>
      </c>
      <c r="Y950" s="107">
        <v>0.0</v>
      </c>
      <c r="Z950" s="80">
        <v>0.0</v>
      </c>
      <c r="AA950" s="140">
        <v>0.0</v>
      </c>
      <c r="AB950" s="109">
        <v>0.0</v>
      </c>
      <c r="AC950" s="109">
        <v>0.0</v>
      </c>
      <c r="AD950" s="141">
        <v>0.0</v>
      </c>
      <c r="AE950" s="80">
        <v>0.0</v>
      </c>
      <c r="AF950" s="140">
        <v>0.0</v>
      </c>
      <c r="AG950" s="109">
        <v>0.0</v>
      </c>
      <c r="AH950" s="109">
        <v>16.0</v>
      </c>
      <c r="AI950" s="141">
        <v>184.0</v>
      </c>
      <c r="AJ950" s="80">
        <v>200.0</v>
      </c>
      <c r="AK950" s="140">
        <v>0.0</v>
      </c>
      <c r="AL950" s="109">
        <v>0.0</v>
      </c>
      <c r="AM950" s="141">
        <v>0.0</v>
      </c>
      <c r="AN950" s="80">
        <v>0.0</v>
      </c>
      <c r="AO950" s="140">
        <v>0.0</v>
      </c>
      <c r="AP950" s="109">
        <v>0.0</v>
      </c>
      <c r="AQ950" s="109">
        <v>64.0</v>
      </c>
      <c r="AR950" s="80">
        <v>64.0</v>
      </c>
      <c r="AS950" s="110">
        <v>0.0</v>
      </c>
      <c r="AT950" s="110">
        <v>0.0</v>
      </c>
      <c r="AU950" s="110">
        <v>0.0</v>
      </c>
      <c r="AV950" s="142">
        <v>0.0</v>
      </c>
      <c r="AW950" s="80">
        <v>0.0</v>
      </c>
      <c r="AX950" s="113">
        <v>264.0</v>
      </c>
      <c r="AY950" s="117">
        <v>184.0</v>
      </c>
      <c r="AZ950" s="328">
        <v>80.0</v>
      </c>
      <c r="BA950" s="315">
        <v>0.0</v>
      </c>
      <c r="BB950" s="316">
        <v>264.0</v>
      </c>
      <c r="BC950" s="132" t="s">
        <v>178</v>
      </c>
      <c r="BD950" s="132" t="s">
        <v>178</v>
      </c>
      <c r="BE950" s="132" t="s">
        <v>178</v>
      </c>
      <c r="BF950" s="156"/>
      <c r="BG950" s="83">
        <v>1178027.0</v>
      </c>
      <c r="BH950" s="112">
        <v>6.0</v>
      </c>
      <c r="BI950" s="98" t="s">
        <v>155</v>
      </c>
      <c r="BJ950" s="98" t="str">
        <f t="shared" si="1"/>
        <v>INTEGRAL</v>
      </c>
      <c r="BK950" s="98" t="str">
        <f t="shared" si="2"/>
        <v>NÃO</v>
      </c>
    </row>
    <row r="951" ht="15.75" customHeight="1">
      <c r="A951" s="111" t="s">
        <v>1161</v>
      </c>
      <c r="B951" s="83" t="s">
        <v>4771</v>
      </c>
      <c r="C951" s="83" t="s">
        <v>164</v>
      </c>
      <c r="D951" s="83">
        <v>1178027.0</v>
      </c>
      <c r="E951" s="83">
        <v>1178707.0</v>
      </c>
      <c r="F951" s="83"/>
      <c r="G951" s="114" t="s">
        <v>4781</v>
      </c>
      <c r="H951" s="91" t="s">
        <v>4782</v>
      </c>
      <c r="I951" s="298" t="s">
        <v>4783</v>
      </c>
      <c r="J951" s="83" t="s">
        <v>244</v>
      </c>
      <c r="K951" s="83" t="s">
        <v>168</v>
      </c>
      <c r="L951" s="83" t="s">
        <v>169</v>
      </c>
      <c r="M951" s="82" t="s">
        <v>9732</v>
      </c>
      <c r="N951" s="82" t="s">
        <v>9733</v>
      </c>
      <c r="O951" s="82" t="s">
        <v>9734</v>
      </c>
      <c r="P951" s="82" t="s">
        <v>9735</v>
      </c>
      <c r="Q951" s="82"/>
      <c r="R951" s="82"/>
      <c r="S951" s="82" t="s">
        <v>9736</v>
      </c>
      <c r="T951" s="138">
        <v>4.0</v>
      </c>
      <c r="U951" s="331">
        <v>4.0</v>
      </c>
      <c r="V951" s="106">
        <v>0.0</v>
      </c>
      <c r="W951" s="107">
        <v>0.0</v>
      </c>
      <c r="X951" s="107">
        <v>0.0</v>
      </c>
      <c r="Y951" s="107">
        <v>0.0</v>
      </c>
      <c r="Z951" s="80">
        <v>0.0</v>
      </c>
      <c r="AA951" s="140">
        <v>0.0</v>
      </c>
      <c r="AB951" s="109">
        <v>0.0</v>
      </c>
      <c r="AC951" s="109">
        <v>0.0</v>
      </c>
      <c r="AD951" s="141">
        <v>0.0</v>
      </c>
      <c r="AE951" s="80">
        <v>0.0</v>
      </c>
      <c r="AF951" s="140">
        <v>84.0</v>
      </c>
      <c r="AG951" s="109">
        <v>109.0</v>
      </c>
      <c r="AH951" s="109">
        <v>0.0</v>
      </c>
      <c r="AI951" s="141">
        <v>0.0</v>
      </c>
      <c r="AJ951" s="80">
        <v>193.0</v>
      </c>
      <c r="AK951" s="140">
        <v>0.0</v>
      </c>
      <c r="AL951" s="109">
        <v>0.0</v>
      </c>
      <c r="AM951" s="141">
        <v>0.0</v>
      </c>
      <c r="AN951" s="80">
        <v>0.0</v>
      </c>
      <c r="AO951" s="140">
        <v>0.0</v>
      </c>
      <c r="AP951" s="109">
        <v>0.0</v>
      </c>
      <c r="AQ951" s="109">
        <v>0.0</v>
      </c>
      <c r="AR951" s="80">
        <v>0.0</v>
      </c>
      <c r="AS951" s="110">
        <v>0.0</v>
      </c>
      <c r="AT951" s="110">
        <v>0.0</v>
      </c>
      <c r="AU951" s="110">
        <v>0.0</v>
      </c>
      <c r="AV951" s="142">
        <v>0.0</v>
      </c>
      <c r="AW951" s="80">
        <v>0.0</v>
      </c>
      <c r="AX951" s="113">
        <v>193.0</v>
      </c>
      <c r="AY951" s="117">
        <v>193.0</v>
      </c>
      <c r="AZ951" s="328">
        <v>0.0</v>
      </c>
      <c r="BA951" s="315">
        <v>0.0</v>
      </c>
      <c r="BB951" s="316">
        <v>193.0</v>
      </c>
      <c r="BC951" s="132" t="s">
        <v>373</v>
      </c>
      <c r="BD951" s="132" t="s">
        <v>178</v>
      </c>
      <c r="BE951" s="132" t="s">
        <v>178</v>
      </c>
      <c r="BF951" s="123"/>
      <c r="BG951" s="83">
        <v>1178707.0</v>
      </c>
      <c r="BH951" s="112">
        <v>4.0</v>
      </c>
      <c r="BI951" s="98" t="s">
        <v>155</v>
      </c>
      <c r="BJ951" s="98" t="str">
        <f t="shared" si="1"/>
        <v>NÃO</v>
      </c>
      <c r="BK951" s="98" t="str">
        <f t="shared" si="2"/>
        <v>NÃO</v>
      </c>
    </row>
    <row r="952" ht="15.75" customHeight="1">
      <c r="A952" s="111" t="s">
        <v>1161</v>
      </c>
      <c r="B952" s="83" t="s">
        <v>2175</v>
      </c>
      <c r="C952" s="83" t="s">
        <v>68</v>
      </c>
      <c r="D952" s="83">
        <v>1158157.0</v>
      </c>
      <c r="E952" s="83"/>
      <c r="F952" s="83">
        <v>2.9071275E7</v>
      </c>
      <c r="G952" s="114" t="s">
        <v>4810</v>
      </c>
      <c r="H952" s="91" t="s">
        <v>4811</v>
      </c>
      <c r="I952" s="187" t="s">
        <v>4812</v>
      </c>
      <c r="J952" s="83" t="s">
        <v>471</v>
      </c>
      <c r="K952" s="83" t="s">
        <v>151</v>
      </c>
      <c r="L952" s="83" t="s">
        <v>76</v>
      </c>
      <c r="M952" s="82" t="s">
        <v>9738</v>
      </c>
      <c r="N952" s="82" t="s">
        <v>9739</v>
      </c>
      <c r="O952" s="82" t="s">
        <v>9740</v>
      </c>
      <c r="P952" s="82" t="s">
        <v>9741</v>
      </c>
      <c r="Q952" s="82"/>
      <c r="R952" s="82"/>
      <c r="S952" s="82" t="s">
        <v>9742</v>
      </c>
      <c r="T952" s="138">
        <v>6.0</v>
      </c>
      <c r="U952" s="389">
        <v>6.0</v>
      </c>
      <c r="V952" s="106">
        <v>0.0</v>
      </c>
      <c r="W952" s="107">
        <v>0.0</v>
      </c>
      <c r="X952" s="107">
        <v>0.0</v>
      </c>
      <c r="Y952" s="107">
        <v>0.0</v>
      </c>
      <c r="Z952" s="80">
        <v>0.0</v>
      </c>
      <c r="AA952" s="140">
        <v>0.0</v>
      </c>
      <c r="AB952" s="109">
        <v>0.0</v>
      </c>
      <c r="AC952" s="109">
        <v>0.0</v>
      </c>
      <c r="AD952" s="141">
        <v>0.0</v>
      </c>
      <c r="AE952" s="80">
        <v>0.0</v>
      </c>
      <c r="AF952" s="140">
        <v>39.0</v>
      </c>
      <c r="AG952" s="109">
        <v>50.0</v>
      </c>
      <c r="AH952" s="109">
        <v>13.0</v>
      </c>
      <c r="AI952" s="141">
        <v>59.0</v>
      </c>
      <c r="AJ952" s="80">
        <v>161.0</v>
      </c>
      <c r="AK952" s="140">
        <v>0.0</v>
      </c>
      <c r="AL952" s="109">
        <v>0.0</v>
      </c>
      <c r="AM952" s="141">
        <v>0.0</v>
      </c>
      <c r="AN952" s="80">
        <v>0.0</v>
      </c>
      <c r="AO952" s="140">
        <v>0.0</v>
      </c>
      <c r="AP952" s="109">
        <v>0.0</v>
      </c>
      <c r="AQ952" s="109">
        <v>66.0</v>
      </c>
      <c r="AR952" s="80">
        <v>66.0</v>
      </c>
      <c r="AS952" s="110">
        <v>0.0</v>
      </c>
      <c r="AT952" s="110">
        <v>0.0</v>
      </c>
      <c r="AU952" s="110">
        <v>0.0</v>
      </c>
      <c r="AV952" s="142">
        <v>0.0</v>
      </c>
      <c r="AW952" s="80">
        <v>0.0</v>
      </c>
      <c r="AX952" s="113">
        <v>227.0</v>
      </c>
      <c r="AY952" s="117">
        <v>148.0</v>
      </c>
      <c r="AZ952" s="328">
        <v>79.0</v>
      </c>
      <c r="BA952" s="315">
        <v>0.0</v>
      </c>
      <c r="BB952" s="316">
        <v>227.0</v>
      </c>
      <c r="BC952" s="132" t="s">
        <v>373</v>
      </c>
      <c r="BD952" s="132" t="s">
        <v>178</v>
      </c>
      <c r="BE952" s="132" t="s">
        <v>178</v>
      </c>
      <c r="BF952" s="123"/>
      <c r="BG952" s="83">
        <v>1158157.0</v>
      </c>
      <c r="BH952" s="112">
        <v>6.0</v>
      </c>
      <c r="BI952" s="98" t="s">
        <v>155</v>
      </c>
      <c r="BJ952" s="98" t="str">
        <f t="shared" si="1"/>
        <v>INTEGRAL</v>
      </c>
      <c r="BK952" s="98" t="str">
        <f t="shared" si="2"/>
        <v>NÃO</v>
      </c>
    </row>
    <row r="953" ht="15.75" customHeight="1">
      <c r="A953" s="111" t="s">
        <v>1161</v>
      </c>
      <c r="B953" s="83" t="s">
        <v>2175</v>
      </c>
      <c r="C953" s="83" t="s">
        <v>68</v>
      </c>
      <c r="D953" s="83">
        <v>1178094.0</v>
      </c>
      <c r="E953" s="83"/>
      <c r="F953" s="83">
        <v>2.9440211E7</v>
      </c>
      <c r="G953" s="114" t="s">
        <v>9743</v>
      </c>
      <c r="H953" s="91" t="s">
        <v>9744</v>
      </c>
      <c r="I953" s="187" t="s">
        <v>149</v>
      </c>
      <c r="J953" s="83" t="s">
        <v>150</v>
      </c>
      <c r="K953" s="83" t="s">
        <v>151</v>
      </c>
      <c r="L953" s="83" t="s">
        <v>230</v>
      </c>
      <c r="M953" s="82" t="s">
        <v>9745</v>
      </c>
      <c r="N953" s="82" t="s">
        <v>9746</v>
      </c>
      <c r="O953" s="82" t="s">
        <v>9747</v>
      </c>
      <c r="P953" s="82" t="s">
        <v>9748</v>
      </c>
      <c r="Q953" s="82"/>
      <c r="R953" s="82"/>
      <c r="S953" s="82" t="s">
        <v>9749</v>
      </c>
      <c r="T953" s="138">
        <v>16.0</v>
      </c>
      <c r="U953" s="331" t="s">
        <v>9750</v>
      </c>
      <c r="V953" s="106">
        <v>0.0</v>
      </c>
      <c r="W953" s="107">
        <v>0.0</v>
      </c>
      <c r="X953" s="107">
        <v>0.0</v>
      </c>
      <c r="Y953" s="107">
        <v>0.0</v>
      </c>
      <c r="Z953" s="80">
        <v>0.0</v>
      </c>
      <c r="AA953" s="140">
        <v>0.0</v>
      </c>
      <c r="AB953" s="109">
        <v>0.0</v>
      </c>
      <c r="AC953" s="109">
        <v>0.0</v>
      </c>
      <c r="AD953" s="141">
        <v>0.0</v>
      </c>
      <c r="AE953" s="80">
        <v>0.0</v>
      </c>
      <c r="AF953" s="140">
        <v>0.0</v>
      </c>
      <c r="AG953" s="109">
        <v>0.0</v>
      </c>
      <c r="AH953" s="109">
        <v>0.0</v>
      </c>
      <c r="AI953" s="141">
        <v>158.0</v>
      </c>
      <c r="AJ953" s="80">
        <v>158.0</v>
      </c>
      <c r="AK953" s="140">
        <v>0.0</v>
      </c>
      <c r="AL953" s="109">
        <v>0.0</v>
      </c>
      <c r="AM953" s="141">
        <v>0.0</v>
      </c>
      <c r="AN953" s="80">
        <v>0.0</v>
      </c>
      <c r="AO953" s="140">
        <v>0.0</v>
      </c>
      <c r="AP953" s="109">
        <v>0.0</v>
      </c>
      <c r="AQ953" s="109">
        <v>0.0</v>
      </c>
      <c r="AR953" s="80">
        <v>0.0</v>
      </c>
      <c r="AS953" s="110">
        <v>0.0</v>
      </c>
      <c r="AT953" s="110">
        <v>0.0</v>
      </c>
      <c r="AU953" s="110">
        <v>0.0</v>
      </c>
      <c r="AV953" s="142">
        <v>0.0</v>
      </c>
      <c r="AW953" s="80">
        <v>0.0</v>
      </c>
      <c r="AX953" s="113">
        <v>158.0</v>
      </c>
      <c r="AY953" s="117">
        <v>158.0</v>
      </c>
      <c r="AZ953" s="328">
        <v>0.0</v>
      </c>
      <c r="BA953" s="315">
        <v>0.0</v>
      </c>
      <c r="BB953" s="316">
        <v>158.0</v>
      </c>
      <c r="BC953" s="132" t="s">
        <v>178</v>
      </c>
      <c r="BD953" s="132" t="s">
        <v>178</v>
      </c>
      <c r="BE953" s="132" t="s">
        <v>178</v>
      </c>
      <c r="BF953" s="123"/>
      <c r="BG953" s="83">
        <v>1178094.0</v>
      </c>
      <c r="BH953" s="112">
        <v>12.0</v>
      </c>
      <c r="BI953" s="98" t="s">
        <v>155</v>
      </c>
      <c r="BJ953" s="98" t="str">
        <f t="shared" si="1"/>
        <v>INTEGRAL</v>
      </c>
      <c r="BK953" s="98" t="str">
        <f t="shared" si="2"/>
        <v>NÃO</v>
      </c>
    </row>
    <row r="954" ht="15.75" customHeight="1">
      <c r="A954" s="111" t="s">
        <v>1161</v>
      </c>
      <c r="B954" s="83" t="s">
        <v>2175</v>
      </c>
      <c r="C954" s="83" t="s">
        <v>68</v>
      </c>
      <c r="D954" s="83">
        <v>1176100.0</v>
      </c>
      <c r="E954" s="83"/>
      <c r="F954" s="83">
        <v>2.9344247E7</v>
      </c>
      <c r="G954" s="185" t="s">
        <v>4826</v>
      </c>
      <c r="H954" s="91" t="s">
        <v>4827</v>
      </c>
      <c r="I954" s="298" t="s">
        <v>4828</v>
      </c>
      <c r="J954" s="83" t="s">
        <v>150</v>
      </c>
      <c r="K954" s="83" t="s">
        <v>151</v>
      </c>
      <c r="L954" s="83" t="s">
        <v>230</v>
      </c>
      <c r="M954" s="82" t="s">
        <v>9751</v>
      </c>
      <c r="N954" s="82" t="s">
        <v>9752</v>
      </c>
      <c r="O954" s="82" t="s">
        <v>9753</v>
      </c>
      <c r="P954" s="82" t="s">
        <v>9754</v>
      </c>
      <c r="Q954" s="82" t="s">
        <v>9755</v>
      </c>
      <c r="R954" s="82" t="s">
        <v>9756</v>
      </c>
      <c r="S954" s="82" t="s">
        <v>9757</v>
      </c>
      <c r="T954" s="138">
        <v>19.0</v>
      </c>
      <c r="U954" s="323">
        <v>17.0</v>
      </c>
      <c r="V954" s="106">
        <v>0.0</v>
      </c>
      <c r="W954" s="107">
        <v>0.0</v>
      </c>
      <c r="X954" s="107">
        <v>0.0</v>
      </c>
      <c r="Y954" s="107">
        <v>0.0</v>
      </c>
      <c r="Z954" s="80">
        <v>0.0</v>
      </c>
      <c r="AA954" s="140">
        <v>0.0</v>
      </c>
      <c r="AB954" s="109">
        <v>0.0</v>
      </c>
      <c r="AC954" s="109">
        <v>0.0</v>
      </c>
      <c r="AD954" s="141">
        <v>0.0</v>
      </c>
      <c r="AE954" s="80">
        <v>0.0</v>
      </c>
      <c r="AF954" s="140">
        <v>0.0</v>
      </c>
      <c r="AG954" s="109">
        <v>0.0</v>
      </c>
      <c r="AH954" s="109">
        <v>0.0</v>
      </c>
      <c r="AI954" s="141">
        <v>0.0</v>
      </c>
      <c r="AJ954" s="80">
        <v>0.0</v>
      </c>
      <c r="AK954" s="140">
        <v>0.0</v>
      </c>
      <c r="AL954" s="109">
        <v>0.0</v>
      </c>
      <c r="AM954" s="141">
        <v>0.0</v>
      </c>
      <c r="AN954" s="80">
        <v>0.0</v>
      </c>
      <c r="AO954" s="140">
        <v>0.0</v>
      </c>
      <c r="AP954" s="109">
        <v>0.0</v>
      </c>
      <c r="AQ954" s="109">
        <v>0.0</v>
      </c>
      <c r="AR954" s="80">
        <v>0.0</v>
      </c>
      <c r="AS954" s="110">
        <v>534.0</v>
      </c>
      <c r="AT954" s="110">
        <v>515.0</v>
      </c>
      <c r="AU954" s="110">
        <v>161.0</v>
      </c>
      <c r="AV954" s="142">
        <v>0.0</v>
      </c>
      <c r="AW954" s="80">
        <v>1210.0</v>
      </c>
      <c r="AX954" s="113">
        <v>1210.0</v>
      </c>
      <c r="AY954" s="117">
        <v>1049.0</v>
      </c>
      <c r="AZ954" s="328">
        <v>161.0</v>
      </c>
      <c r="BA954" s="315">
        <v>0.0</v>
      </c>
      <c r="BB954" s="316">
        <v>1210.0</v>
      </c>
      <c r="BC954" s="132" t="s">
        <v>178</v>
      </c>
      <c r="BD954" s="132" t="s">
        <v>522</v>
      </c>
      <c r="BE954" s="132" t="s">
        <v>178</v>
      </c>
      <c r="BF954" s="156"/>
      <c r="BG954" s="83">
        <v>1176100.0</v>
      </c>
      <c r="BH954" s="112">
        <v>17.0</v>
      </c>
      <c r="BI954" s="98" t="s">
        <v>155</v>
      </c>
      <c r="BJ954" s="98" t="str">
        <f t="shared" si="1"/>
        <v>NÃO</v>
      </c>
      <c r="BK954" s="98" t="str">
        <f t="shared" si="2"/>
        <v>PROFISSIONAL</v>
      </c>
    </row>
    <row r="955" ht="15.75" customHeight="1">
      <c r="A955" s="111" t="s">
        <v>1161</v>
      </c>
      <c r="B955" s="83" t="s">
        <v>2175</v>
      </c>
      <c r="C955" s="83" t="s">
        <v>68</v>
      </c>
      <c r="D955" s="83">
        <v>1121962.0</v>
      </c>
      <c r="E955" s="83"/>
      <c r="F955" s="83">
        <v>2.907035E7</v>
      </c>
      <c r="G955" s="185" t="s">
        <v>9758</v>
      </c>
      <c r="H955" s="91" t="s">
        <v>4799</v>
      </c>
      <c r="I955" s="298" t="s">
        <v>4800</v>
      </c>
      <c r="J955" s="83" t="s">
        <v>150</v>
      </c>
      <c r="K955" s="83" t="s">
        <v>151</v>
      </c>
      <c r="L955" s="83" t="s">
        <v>230</v>
      </c>
      <c r="M955" s="82" t="s">
        <v>9759</v>
      </c>
      <c r="N955" s="82" t="s">
        <v>9760</v>
      </c>
      <c r="O955" s="82" t="s">
        <v>9761</v>
      </c>
      <c r="P955" s="82" t="s">
        <v>9762</v>
      </c>
      <c r="Q955" s="82" t="s">
        <v>9763</v>
      </c>
      <c r="R955" s="82" t="s">
        <v>9764</v>
      </c>
      <c r="S955" s="82" t="s">
        <v>9765</v>
      </c>
      <c r="T955" s="138">
        <v>23.0</v>
      </c>
      <c r="U955" s="339" t="s">
        <v>9766</v>
      </c>
      <c r="V955" s="106">
        <v>0.0</v>
      </c>
      <c r="W955" s="107">
        <v>0.0</v>
      </c>
      <c r="X955" s="107">
        <v>0.0</v>
      </c>
      <c r="Y955" s="107">
        <v>0.0</v>
      </c>
      <c r="Z955" s="80">
        <v>0.0</v>
      </c>
      <c r="AA955" s="140">
        <v>0.0</v>
      </c>
      <c r="AB955" s="109">
        <v>0.0</v>
      </c>
      <c r="AC955" s="109">
        <v>0.0</v>
      </c>
      <c r="AD955" s="141">
        <v>0.0</v>
      </c>
      <c r="AE955" s="80">
        <v>0.0</v>
      </c>
      <c r="AF955" s="140">
        <v>0.0</v>
      </c>
      <c r="AG955" s="109">
        <v>0.0</v>
      </c>
      <c r="AH955" s="109">
        <v>115.0</v>
      </c>
      <c r="AI955" s="141">
        <v>467.0</v>
      </c>
      <c r="AJ955" s="80">
        <v>582.0</v>
      </c>
      <c r="AK955" s="140">
        <v>0.0</v>
      </c>
      <c r="AL955" s="109">
        <v>0.0</v>
      </c>
      <c r="AM955" s="141">
        <v>0.0</v>
      </c>
      <c r="AN955" s="80">
        <v>0.0</v>
      </c>
      <c r="AO955" s="140">
        <v>0.0</v>
      </c>
      <c r="AP955" s="109">
        <v>0.0</v>
      </c>
      <c r="AQ955" s="109">
        <v>414.0</v>
      </c>
      <c r="AR955" s="80">
        <v>414.0</v>
      </c>
      <c r="AS955" s="110">
        <v>0.0</v>
      </c>
      <c r="AT955" s="110">
        <v>0.0</v>
      </c>
      <c r="AU955" s="110">
        <v>0.0</v>
      </c>
      <c r="AV955" s="142">
        <v>0.0</v>
      </c>
      <c r="AW955" s="80">
        <v>0.0</v>
      </c>
      <c r="AX955" s="113">
        <v>996.0</v>
      </c>
      <c r="AY955" s="117">
        <v>467.0</v>
      </c>
      <c r="AZ955" s="328">
        <v>529.0</v>
      </c>
      <c r="BA955" s="315">
        <v>0.0</v>
      </c>
      <c r="BB955" s="316">
        <v>996.0</v>
      </c>
      <c r="BC955" s="132" t="s">
        <v>178</v>
      </c>
      <c r="BD955" s="132" t="s">
        <v>178</v>
      </c>
      <c r="BE955" s="132" t="s">
        <v>178</v>
      </c>
      <c r="BF955" s="123"/>
      <c r="BG955" s="83">
        <v>1121962.0</v>
      </c>
      <c r="BH955" s="112">
        <v>22.0</v>
      </c>
      <c r="BI955" s="98" t="s">
        <v>284</v>
      </c>
      <c r="BJ955" s="98" t="str">
        <f t="shared" si="1"/>
        <v>INTEGRAL</v>
      </c>
      <c r="BK955" s="98" t="str">
        <f t="shared" si="2"/>
        <v>NÃO</v>
      </c>
    </row>
    <row r="956" ht="15.75" customHeight="1">
      <c r="A956" s="111" t="s">
        <v>1161</v>
      </c>
      <c r="B956" s="83" t="s">
        <v>2175</v>
      </c>
      <c r="C956" s="83" t="s">
        <v>164</v>
      </c>
      <c r="D956" s="83">
        <v>1158157.0</v>
      </c>
      <c r="E956" s="83">
        <v>1178713.0</v>
      </c>
      <c r="F956" s="83"/>
      <c r="G956" s="185" t="s">
        <v>9767</v>
      </c>
      <c r="H956" s="91" t="s">
        <v>4841</v>
      </c>
      <c r="I956" s="298" t="s">
        <v>149</v>
      </c>
      <c r="J956" s="83" t="s">
        <v>464</v>
      </c>
      <c r="K956" s="83" t="s">
        <v>168</v>
      </c>
      <c r="L956" s="83" t="s">
        <v>169</v>
      </c>
      <c r="M956" s="82" t="s">
        <v>9738</v>
      </c>
      <c r="N956" s="82" t="s">
        <v>9739</v>
      </c>
      <c r="O956" s="82" t="s">
        <v>9740</v>
      </c>
      <c r="P956" s="82" t="s">
        <v>9741</v>
      </c>
      <c r="Q956" s="82"/>
      <c r="R956" s="82"/>
      <c r="S956" s="82" t="s">
        <v>9742</v>
      </c>
      <c r="T956" s="138">
        <v>3.0</v>
      </c>
      <c r="U956" s="323">
        <v>3.0</v>
      </c>
      <c r="V956" s="106">
        <v>0.0</v>
      </c>
      <c r="W956" s="107">
        <v>0.0</v>
      </c>
      <c r="X956" s="107">
        <v>0.0</v>
      </c>
      <c r="Y956" s="107">
        <v>0.0</v>
      </c>
      <c r="Z956" s="80">
        <v>0.0</v>
      </c>
      <c r="AA956" s="140">
        <v>0.0</v>
      </c>
      <c r="AB956" s="109">
        <v>0.0</v>
      </c>
      <c r="AC956" s="109">
        <v>0.0</v>
      </c>
      <c r="AD956" s="141">
        <v>0.0</v>
      </c>
      <c r="AE956" s="80">
        <v>0.0</v>
      </c>
      <c r="AF956" s="140">
        <v>0.0</v>
      </c>
      <c r="AG956" s="109">
        <v>0.0</v>
      </c>
      <c r="AH956" s="109">
        <v>34.0</v>
      </c>
      <c r="AI956" s="141">
        <v>0.0</v>
      </c>
      <c r="AJ956" s="80">
        <v>34.0</v>
      </c>
      <c r="AK956" s="140">
        <v>0.0</v>
      </c>
      <c r="AL956" s="109">
        <v>0.0</v>
      </c>
      <c r="AM956" s="141">
        <v>0.0</v>
      </c>
      <c r="AN956" s="80">
        <v>0.0</v>
      </c>
      <c r="AO956" s="140">
        <v>0.0</v>
      </c>
      <c r="AP956" s="109">
        <v>0.0</v>
      </c>
      <c r="AQ956" s="109">
        <v>0.0</v>
      </c>
      <c r="AR956" s="80">
        <v>0.0</v>
      </c>
      <c r="AS956" s="110">
        <v>0.0</v>
      </c>
      <c r="AT956" s="110">
        <v>0.0</v>
      </c>
      <c r="AU956" s="110">
        <v>0.0</v>
      </c>
      <c r="AV956" s="142">
        <v>0.0</v>
      </c>
      <c r="AW956" s="80">
        <v>0.0</v>
      </c>
      <c r="AX956" s="113">
        <v>34.0</v>
      </c>
      <c r="AY956" s="117">
        <v>0.0</v>
      </c>
      <c r="AZ956" s="328">
        <v>34.0</v>
      </c>
      <c r="BA956" s="315">
        <v>0.0</v>
      </c>
      <c r="BB956" s="316">
        <v>34.0</v>
      </c>
      <c r="BC956" s="132" t="s">
        <v>373</v>
      </c>
      <c r="BD956" s="132" t="s">
        <v>178</v>
      </c>
      <c r="BE956" s="132" t="s">
        <v>178</v>
      </c>
      <c r="BF956" s="156"/>
      <c r="BG956" s="83">
        <v>1178713.0</v>
      </c>
      <c r="BH956" s="112">
        <v>3.0</v>
      </c>
      <c r="BI956" s="98" t="s">
        <v>155</v>
      </c>
      <c r="BJ956" s="98" t="str">
        <f t="shared" si="1"/>
        <v>NÃO</v>
      </c>
      <c r="BK956" s="98" t="str">
        <f t="shared" si="2"/>
        <v>NÃO</v>
      </c>
    </row>
    <row r="957" ht="15.75" customHeight="1">
      <c r="A957" s="111" t="s">
        <v>1161</v>
      </c>
      <c r="B957" s="83" t="s">
        <v>2175</v>
      </c>
      <c r="C957" s="83" t="s">
        <v>164</v>
      </c>
      <c r="D957" s="83">
        <v>1158157.0</v>
      </c>
      <c r="E957" s="83">
        <v>1179327.0</v>
      </c>
      <c r="F957" s="83"/>
      <c r="G957" s="185" t="s">
        <v>9768</v>
      </c>
      <c r="H957" s="91" t="s">
        <v>9769</v>
      </c>
      <c r="I957" s="298" t="s">
        <v>149</v>
      </c>
      <c r="J957" s="83" t="s">
        <v>187</v>
      </c>
      <c r="K957" s="83" t="s">
        <v>168</v>
      </c>
      <c r="L957" s="83" t="s">
        <v>169</v>
      </c>
      <c r="M957" s="82" t="s">
        <v>9738</v>
      </c>
      <c r="N957" s="82" t="s">
        <v>9739</v>
      </c>
      <c r="O957" s="82" t="s">
        <v>9740</v>
      </c>
      <c r="P957" s="82" t="s">
        <v>9741</v>
      </c>
      <c r="Q957" s="82"/>
      <c r="R957" s="82"/>
      <c r="S957" s="82" t="s">
        <v>9742</v>
      </c>
      <c r="T957" s="138">
        <v>6.0</v>
      </c>
      <c r="U957" s="344">
        <v>6.0</v>
      </c>
      <c r="V957" s="106">
        <v>0.0</v>
      </c>
      <c r="W957" s="107">
        <v>0.0</v>
      </c>
      <c r="X957" s="107">
        <v>0.0</v>
      </c>
      <c r="Y957" s="107">
        <v>0.0</v>
      </c>
      <c r="Z957" s="80">
        <v>0.0</v>
      </c>
      <c r="AA957" s="140">
        <v>0.0</v>
      </c>
      <c r="AB957" s="109">
        <v>0.0</v>
      </c>
      <c r="AC957" s="109">
        <v>0.0</v>
      </c>
      <c r="AD957" s="141">
        <v>0.0</v>
      </c>
      <c r="AE957" s="80">
        <v>0.0</v>
      </c>
      <c r="AF957" s="140">
        <v>84.0</v>
      </c>
      <c r="AG957" s="109">
        <v>105.0</v>
      </c>
      <c r="AH957" s="109">
        <v>0.0</v>
      </c>
      <c r="AI957" s="141">
        <v>0.0</v>
      </c>
      <c r="AJ957" s="80">
        <v>189.0</v>
      </c>
      <c r="AK957" s="140">
        <v>0.0</v>
      </c>
      <c r="AL957" s="109">
        <v>0.0</v>
      </c>
      <c r="AM957" s="141">
        <v>0.0</v>
      </c>
      <c r="AN957" s="80">
        <v>0.0</v>
      </c>
      <c r="AO957" s="140">
        <v>0.0</v>
      </c>
      <c r="AP957" s="109">
        <v>0.0</v>
      </c>
      <c r="AQ957" s="109">
        <v>29.0</v>
      </c>
      <c r="AR957" s="80">
        <v>29.0</v>
      </c>
      <c r="AS957" s="110">
        <v>0.0</v>
      </c>
      <c r="AT957" s="110">
        <v>0.0</v>
      </c>
      <c r="AU957" s="110">
        <v>0.0</v>
      </c>
      <c r="AV957" s="142">
        <v>0.0</v>
      </c>
      <c r="AW957" s="80">
        <v>0.0</v>
      </c>
      <c r="AX957" s="113">
        <v>218.0</v>
      </c>
      <c r="AY957" s="117">
        <v>189.0</v>
      </c>
      <c r="AZ957" s="328">
        <v>29.0</v>
      </c>
      <c r="BA957" s="315">
        <v>0.0</v>
      </c>
      <c r="BB957" s="316">
        <v>218.0</v>
      </c>
      <c r="BC957" s="132" t="s">
        <v>373</v>
      </c>
      <c r="BD957" s="132" t="s">
        <v>178</v>
      </c>
      <c r="BE957" s="132" t="s">
        <v>178</v>
      </c>
      <c r="BF957" s="123"/>
      <c r="BG957" s="83">
        <v>1179327.0</v>
      </c>
      <c r="BH957" s="98">
        <v>6.0</v>
      </c>
      <c r="BI957" s="98" t="s">
        <v>155</v>
      </c>
      <c r="BJ957" s="98" t="str">
        <f t="shared" si="1"/>
        <v>NÃO</v>
      </c>
      <c r="BK957" s="98" t="str">
        <f t="shared" si="2"/>
        <v>NÃO</v>
      </c>
    </row>
    <row r="958" ht="15.75" customHeight="1">
      <c r="A958" s="111" t="s">
        <v>1161</v>
      </c>
      <c r="B958" s="83" t="s">
        <v>2175</v>
      </c>
      <c r="C958" s="83" t="s">
        <v>164</v>
      </c>
      <c r="D958" s="83">
        <v>1178094.0</v>
      </c>
      <c r="E958" s="83">
        <v>1179326.0</v>
      </c>
      <c r="F958" s="83"/>
      <c r="G958" s="185" t="s">
        <v>2527</v>
      </c>
      <c r="H958" s="91" t="s">
        <v>9770</v>
      </c>
      <c r="I958" s="114" t="s">
        <v>4789</v>
      </c>
      <c r="J958" s="83" t="s">
        <v>244</v>
      </c>
      <c r="K958" s="83" t="s">
        <v>168</v>
      </c>
      <c r="L958" s="83" t="s">
        <v>169</v>
      </c>
      <c r="M958" s="82" t="s">
        <v>9745</v>
      </c>
      <c r="N958" s="82" t="s">
        <v>9746</v>
      </c>
      <c r="O958" s="82" t="s">
        <v>9747</v>
      </c>
      <c r="P958" s="82" t="s">
        <v>9748</v>
      </c>
      <c r="Q958" s="82"/>
      <c r="R958" s="82"/>
      <c r="S958" s="82" t="s">
        <v>9749</v>
      </c>
      <c r="T958" s="138">
        <v>4.0</v>
      </c>
      <c r="U958" s="331">
        <v>4.0</v>
      </c>
      <c r="V958" s="106">
        <v>0.0</v>
      </c>
      <c r="W958" s="107">
        <v>0.0</v>
      </c>
      <c r="X958" s="107">
        <v>0.0</v>
      </c>
      <c r="Y958" s="107">
        <v>0.0</v>
      </c>
      <c r="Z958" s="80">
        <v>0.0</v>
      </c>
      <c r="AA958" s="140">
        <v>0.0</v>
      </c>
      <c r="AB958" s="109">
        <v>0.0</v>
      </c>
      <c r="AC958" s="109">
        <v>0.0</v>
      </c>
      <c r="AD958" s="141">
        <v>0.0</v>
      </c>
      <c r="AE958" s="80">
        <v>0.0</v>
      </c>
      <c r="AF958" s="140">
        <v>121.0</v>
      </c>
      <c r="AG958" s="109">
        <v>75.0</v>
      </c>
      <c r="AH958" s="109">
        <v>0.0</v>
      </c>
      <c r="AI958" s="141">
        <v>0.0</v>
      </c>
      <c r="AJ958" s="80">
        <v>196.0</v>
      </c>
      <c r="AK958" s="140">
        <v>0.0</v>
      </c>
      <c r="AL958" s="109">
        <v>0.0</v>
      </c>
      <c r="AM958" s="141">
        <v>0.0</v>
      </c>
      <c r="AN958" s="80">
        <v>0.0</v>
      </c>
      <c r="AO958" s="140">
        <v>0.0</v>
      </c>
      <c r="AP958" s="109">
        <v>0.0</v>
      </c>
      <c r="AQ958" s="109">
        <v>0.0</v>
      </c>
      <c r="AR958" s="80">
        <v>0.0</v>
      </c>
      <c r="AS958" s="110">
        <v>0.0</v>
      </c>
      <c r="AT958" s="110">
        <v>0.0</v>
      </c>
      <c r="AU958" s="110">
        <v>0.0</v>
      </c>
      <c r="AV958" s="142">
        <v>0.0</v>
      </c>
      <c r="AW958" s="80">
        <v>0.0</v>
      </c>
      <c r="AX958" s="113">
        <v>196.0</v>
      </c>
      <c r="AY958" s="117">
        <v>196.0</v>
      </c>
      <c r="AZ958" s="328">
        <v>0.0</v>
      </c>
      <c r="BA958" s="315">
        <v>0.0</v>
      </c>
      <c r="BB958" s="316">
        <v>196.0</v>
      </c>
      <c r="BC958" s="132" t="s">
        <v>373</v>
      </c>
      <c r="BD958" s="132" t="s">
        <v>178</v>
      </c>
      <c r="BE958" s="132" t="s">
        <v>178</v>
      </c>
      <c r="BF958" s="123"/>
      <c r="BG958" s="83">
        <v>1179326.0</v>
      </c>
      <c r="BH958" s="98">
        <v>4.0</v>
      </c>
      <c r="BI958" s="98" t="s">
        <v>155</v>
      </c>
      <c r="BJ958" s="98" t="str">
        <f t="shared" si="1"/>
        <v>NÃO</v>
      </c>
      <c r="BK958" s="98" t="str">
        <f t="shared" si="2"/>
        <v>NÃO</v>
      </c>
    </row>
    <row r="959" ht="15.75" customHeight="1">
      <c r="A959" s="111" t="s">
        <v>1161</v>
      </c>
      <c r="B959" s="83" t="s">
        <v>2175</v>
      </c>
      <c r="C959" s="83" t="s">
        <v>164</v>
      </c>
      <c r="D959" s="83">
        <v>1178094.0</v>
      </c>
      <c r="E959" s="83">
        <v>1178712.0</v>
      </c>
      <c r="F959" s="83"/>
      <c r="G959" s="185" t="s">
        <v>9771</v>
      </c>
      <c r="H959" s="91" t="s">
        <v>4851</v>
      </c>
      <c r="I959" s="114" t="s">
        <v>4852</v>
      </c>
      <c r="J959" s="83" t="s">
        <v>822</v>
      </c>
      <c r="K959" s="83" t="s">
        <v>168</v>
      </c>
      <c r="L959" s="83" t="s">
        <v>169</v>
      </c>
      <c r="M959" s="82" t="s">
        <v>9745</v>
      </c>
      <c r="N959" s="82" t="s">
        <v>9746</v>
      </c>
      <c r="O959" s="82" t="s">
        <v>9747</v>
      </c>
      <c r="P959" s="82" t="s">
        <v>9748</v>
      </c>
      <c r="Q959" s="82"/>
      <c r="R959" s="82"/>
      <c r="S959" s="82" t="s">
        <v>9749</v>
      </c>
      <c r="T959" s="138">
        <v>3.0</v>
      </c>
      <c r="U959" s="323">
        <v>3.0</v>
      </c>
      <c r="V959" s="106">
        <v>0.0</v>
      </c>
      <c r="W959" s="107">
        <v>0.0</v>
      </c>
      <c r="X959" s="107">
        <v>0.0</v>
      </c>
      <c r="Y959" s="107">
        <v>0.0</v>
      </c>
      <c r="Z959" s="80">
        <v>0.0</v>
      </c>
      <c r="AA959" s="140">
        <v>0.0</v>
      </c>
      <c r="AB959" s="109">
        <v>0.0</v>
      </c>
      <c r="AC959" s="109">
        <v>0.0</v>
      </c>
      <c r="AD959" s="141">
        <v>0.0</v>
      </c>
      <c r="AE959" s="80">
        <v>0.0</v>
      </c>
      <c r="AF959" s="140">
        <v>0.0</v>
      </c>
      <c r="AG959" s="109">
        <v>0.0</v>
      </c>
      <c r="AH959" s="109">
        <v>60.0</v>
      </c>
      <c r="AI959" s="141">
        <v>0.0</v>
      </c>
      <c r="AJ959" s="80">
        <v>60.0</v>
      </c>
      <c r="AK959" s="140">
        <v>0.0</v>
      </c>
      <c r="AL959" s="109">
        <v>0.0</v>
      </c>
      <c r="AM959" s="141">
        <v>0.0</v>
      </c>
      <c r="AN959" s="80">
        <v>0.0</v>
      </c>
      <c r="AO959" s="140">
        <v>0.0</v>
      </c>
      <c r="AP959" s="109">
        <v>0.0</v>
      </c>
      <c r="AQ959" s="109">
        <v>0.0</v>
      </c>
      <c r="AR959" s="80">
        <v>0.0</v>
      </c>
      <c r="AS959" s="110">
        <v>0.0</v>
      </c>
      <c r="AT959" s="110">
        <v>0.0</v>
      </c>
      <c r="AU959" s="110">
        <v>0.0</v>
      </c>
      <c r="AV959" s="142">
        <v>0.0</v>
      </c>
      <c r="AW959" s="80">
        <v>0.0</v>
      </c>
      <c r="AX959" s="113">
        <v>60.0</v>
      </c>
      <c r="AY959" s="117">
        <v>0.0</v>
      </c>
      <c r="AZ959" s="328">
        <v>60.0</v>
      </c>
      <c r="BA959" s="315">
        <v>0.0</v>
      </c>
      <c r="BB959" s="316">
        <v>60.0</v>
      </c>
      <c r="BC959" s="132" t="s">
        <v>265</v>
      </c>
      <c r="BD959" s="132" t="s">
        <v>178</v>
      </c>
      <c r="BE959" s="132" t="s">
        <v>178</v>
      </c>
      <c r="BF959" s="156"/>
      <c r="BG959" s="83">
        <v>1178712.0</v>
      </c>
      <c r="BH959" s="112">
        <v>3.0</v>
      </c>
      <c r="BI959" s="98" t="s">
        <v>155</v>
      </c>
      <c r="BJ959" s="98" t="str">
        <f t="shared" si="1"/>
        <v>NÃO</v>
      </c>
      <c r="BK959" s="98" t="str">
        <f t="shared" si="2"/>
        <v>NÃO</v>
      </c>
    </row>
    <row r="960" ht="15.75" customHeight="1">
      <c r="A960" s="111" t="s">
        <v>1161</v>
      </c>
      <c r="B960" s="83" t="s">
        <v>4859</v>
      </c>
      <c r="C960" s="83" t="s">
        <v>68</v>
      </c>
      <c r="D960" s="83">
        <v>1178026.0</v>
      </c>
      <c r="E960" s="83"/>
      <c r="F960" s="83">
        <v>2.942553E7</v>
      </c>
      <c r="G960" s="185" t="s">
        <v>9772</v>
      </c>
      <c r="H960" s="91" t="s">
        <v>4862</v>
      </c>
      <c r="I960" s="298" t="s">
        <v>149</v>
      </c>
      <c r="J960" s="83" t="s">
        <v>150</v>
      </c>
      <c r="K960" s="83" t="s">
        <v>151</v>
      </c>
      <c r="L960" s="83" t="s">
        <v>152</v>
      </c>
      <c r="M960" s="82" t="s">
        <v>9773</v>
      </c>
      <c r="N960" s="82" t="s">
        <v>9774</v>
      </c>
      <c r="O960" s="82" t="s">
        <v>9775</v>
      </c>
      <c r="P960" s="82" t="s">
        <v>9776</v>
      </c>
      <c r="Q960" s="82"/>
      <c r="R960" s="82"/>
      <c r="S960" s="82" t="s">
        <v>9777</v>
      </c>
      <c r="T960" s="138">
        <v>13.0</v>
      </c>
      <c r="U960" s="331" t="s">
        <v>9778</v>
      </c>
      <c r="V960" s="106">
        <v>0.0</v>
      </c>
      <c r="W960" s="107">
        <v>0.0</v>
      </c>
      <c r="X960" s="107">
        <v>0.0</v>
      </c>
      <c r="Y960" s="107">
        <v>0.0</v>
      </c>
      <c r="Z960" s="80">
        <v>0.0</v>
      </c>
      <c r="AA960" s="140">
        <v>0.0</v>
      </c>
      <c r="AB960" s="109">
        <v>0.0</v>
      </c>
      <c r="AC960" s="109">
        <v>0.0</v>
      </c>
      <c r="AD960" s="141">
        <v>0.0</v>
      </c>
      <c r="AE960" s="80">
        <v>0.0</v>
      </c>
      <c r="AF960" s="140">
        <v>0.0</v>
      </c>
      <c r="AG960" s="109">
        <v>0.0</v>
      </c>
      <c r="AH960" s="109">
        <v>0.0</v>
      </c>
      <c r="AI960" s="141">
        <v>358.0</v>
      </c>
      <c r="AJ960" s="80">
        <v>358.0</v>
      </c>
      <c r="AK960" s="140">
        <v>0.0</v>
      </c>
      <c r="AL960" s="109">
        <v>0.0</v>
      </c>
      <c r="AM960" s="141">
        <v>0.0</v>
      </c>
      <c r="AN960" s="80">
        <v>0.0</v>
      </c>
      <c r="AO960" s="140">
        <v>0.0</v>
      </c>
      <c r="AP960" s="109">
        <v>0.0</v>
      </c>
      <c r="AQ960" s="109">
        <v>0.0</v>
      </c>
      <c r="AR960" s="80">
        <v>0.0</v>
      </c>
      <c r="AS960" s="110">
        <v>0.0</v>
      </c>
      <c r="AT960" s="110">
        <v>0.0</v>
      </c>
      <c r="AU960" s="110">
        <v>49.0</v>
      </c>
      <c r="AV960" s="142">
        <v>0.0</v>
      </c>
      <c r="AW960" s="80">
        <v>49.0</v>
      </c>
      <c r="AX960" s="113">
        <v>407.0</v>
      </c>
      <c r="AY960" s="117">
        <v>358.0</v>
      </c>
      <c r="AZ960" s="328">
        <v>49.0</v>
      </c>
      <c r="BA960" s="315">
        <v>0.0</v>
      </c>
      <c r="BB960" s="316">
        <v>407.0</v>
      </c>
      <c r="BC960" s="132" t="s">
        <v>178</v>
      </c>
      <c r="BD960" s="132" t="s">
        <v>178</v>
      </c>
      <c r="BE960" s="132" t="s">
        <v>178</v>
      </c>
      <c r="BF960" s="156"/>
      <c r="BG960" s="83">
        <v>1178026.0</v>
      </c>
      <c r="BH960" s="112">
        <v>10.0</v>
      </c>
      <c r="BI960" s="98" t="s">
        <v>155</v>
      </c>
      <c r="BJ960" s="98" t="str">
        <f t="shared" si="1"/>
        <v>INTEGRAL</v>
      </c>
      <c r="BK960" s="98" t="str">
        <f t="shared" si="2"/>
        <v>PROFISSIONAL</v>
      </c>
    </row>
    <row r="961" ht="15.75" customHeight="1">
      <c r="A961" s="111" t="s">
        <v>1161</v>
      </c>
      <c r="B961" s="83" t="s">
        <v>4859</v>
      </c>
      <c r="C961" s="83" t="s">
        <v>68</v>
      </c>
      <c r="D961" s="83">
        <v>1122144.0</v>
      </c>
      <c r="E961" s="83"/>
      <c r="F961" s="83">
        <v>2.9073014E7</v>
      </c>
      <c r="G961" s="184" t="s">
        <v>4876</v>
      </c>
      <c r="H961" s="91" t="s">
        <v>4877</v>
      </c>
      <c r="I961" s="298" t="s">
        <v>149</v>
      </c>
      <c r="J961" s="83" t="s">
        <v>150</v>
      </c>
      <c r="K961" s="83" t="s">
        <v>151</v>
      </c>
      <c r="L961" s="83" t="s">
        <v>152</v>
      </c>
      <c r="M961" s="82" t="s">
        <v>9779</v>
      </c>
      <c r="N961" s="82" t="s">
        <v>9780</v>
      </c>
      <c r="O961" s="82" t="s">
        <v>9781</v>
      </c>
      <c r="P961" s="82" t="s">
        <v>9782</v>
      </c>
      <c r="Q961" s="82" t="s">
        <v>9783</v>
      </c>
      <c r="R961" s="82" t="s">
        <v>9784</v>
      </c>
      <c r="S961" s="82" t="s">
        <v>9785</v>
      </c>
      <c r="T961" s="138">
        <v>14.0</v>
      </c>
      <c r="U961" s="331" t="s">
        <v>9786</v>
      </c>
      <c r="V961" s="106">
        <v>0.0</v>
      </c>
      <c r="W961" s="107">
        <v>0.0</v>
      </c>
      <c r="X961" s="107">
        <v>0.0</v>
      </c>
      <c r="Y961" s="107">
        <v>0.0</v>
      </c>
      <c r="Z961" s="80">
        <v>0.0</v>
      </c>
      <c r="AA961" s="140">
        <v>0.0</v>
      </c>
      <c r="AB961" s="109">
        <v>0.0</v>
      </c>
      <c r="AC961" s="109">
        <v>0.0</v>
      </c>
      <c r="AD961" s="141">
        <v>0.0</v>
      </c>
      <c r="AE961" s="80">
        <v>0.0</v>
      </c>
      <c r="AF961" s="140">
        <v>0.0</v>
      </c>
      <c r="AG961" s="109">
        <v>0.0</v>
      </c>
      <c r="AH961" s="109">
        <v>34.0</v>
      </c>
      <c r="AI961" s="141">
        <v>236.0</v>
      </c>
      <c r="AJ961" s="80">
        <v>270.0</v>
      </c>
      <c r="AK961" s="140">
        <v>0.0</v>
      </c>
      <c r="AL961" s="109">
        <v>0.0</v>
      </c>
      <c r="AM961" s="141">
        <v>0.0</v>
      </c>
      <c r="AN961" s="80">
        <v>0.0</v>
      </c>
      <c r="AO961" s="140">
        <v>0.0</v>
      </c>
      <c r="AP961" s="109">
        <v>0.0</v>
      </c>
      <c r="AQ961" s="109">
        <v>165.0</v>
      </c>
      <c r="AR961" s="80">
        <v>165.0</v>
      </c>
      <c r="AS961" s="110">
        <v>0.0</v>
      </c>
      <c r="AT961" s="110">
        <v>0.0</v>
      </c>
      <c r="AU961" s="110">
        <v>0.0</v>
      </c>
      <c r="AV961" s="142">
        <v>0.0</v>
      </c>
      <c r="AW961" s="80">
        <v>0.0</v>
      </c>
      <c r="AX961" s="113">
        <v>435.0</v>
      </c>
      <c r="AY961" s="117">
        <v>236.0</v>
      </c>
      <c r="AZ961" s="328">
        <v>199.0</v>
      </c>
      <c r="BA961" s="315">
        <v>0.0</v>
      </c>
      <c r="BB961" s="316">
        <v>435.0</v>
      </c>
      <c r="BC961" s="132" t="s">
        <v>178</v>
      </c>
      <c r="BD961" s="132" t="s">
        <v>178</v>
      </c>
      <c r="BE961" s="132" t="s">
        <v>178</v>
      </c>
      <c r="BF961" s="123"/>
      <c r="BG961" s="83">
        <v>1122144.0</v>
      </c>
      <c r="BH961" s="112">
        <v>12.0</v>
      </c>
      <c r="BI961" s="98" t="s">
        <v>155</v>
      </c>
      <c r="BJ961" s="98" t="str">
        <f t="shared" si="1"/>
        <v>INTEGRAL</v>
      </c>
      <c r="BK961" s="98" t="str">
        <f t="shared" si="2"/>
        <v>NÃO</v>
      </c>
    </row>
    <row r="962" ht="15.75" customHeight="1">
      <c r="A962" s="111" t="s">
        <v>1161</v>
      </c>
      <c r="B962" s="83" t="s">
        <v>4859</v>
      </c>
      <c r="C962" s="83" t="s">
        <v>164</v>
      </c>
      <c r="D962" s="83">
        <v>1178026.0</v>
      </c>
      <c r="E962" s="83">
        <v>1178714.0</v>
      </c>
      <c r="F962" s="83"/>
      <c r="G962" s="114" t="s">
        <v>4889</v>
      </c>
      <c r="H962" s="91" t="s">
        <v>4890</v>
      </c>
      <c r="I962" s="298" t="s">
        <v>149</v>
      </c>
      <c r="J962" s="83" t="s">
        <v>187</v>
      </c>
      <c r="K962" s="83" t="s">
        <v>168</v>
      </c>
      <c r="L962" s="83" t="s">
        <v>169</v>
      </c>
      <c r="M962" s="82" t="s">
        <v>9773</v>
      </c>
      <c r="N962" s="82" t="s">
        <v>9774</v>
      </c>
      <c r="O962" s="82" t="s">
        <v>9775</v>
      </c>
      <c r="P962" s="82" t="s">
        <v>9776</v>
      </c>
      <c r="Q962" s="82"/>
      <c r="R962" s="82"/>
      <c r="S962" s="82" t="s">
        <v>9777</v>
      </c>
      <c r="T962" s="138">
        <v>3.0</v>
      </c>
      <c r="U962" s="339">
        <v>3.0</v>
      </c>
      <c r="V962" s="106">
        <v>0.0</v>
      </c>
      <c r="W962" s="107">
        <v>0.0</v>
      </c>
      <c r="X962" s="107">
        <v>0.0</v>
      </c>
      <c r="Y962" s="107">
        <v>0.0</v>
      </c>
      <c r="Z962" s="80">
        <v>0.0</v>
      </c>
      <c r="AA962" s="140">
        <v>0.0</v>
      </c>
      <c r="AB962" s="109">
        <v>0.0</v>
      </c>
      <c r="AC962" s="109">
        <v>0.0</v>
      </c>
      <c r="AD962" s="141">
        <v>0.0</v>
      </c>
      <c r="AE962" s="80">
        <v>0.0</v>
      </c>
      <c r="AF962" s="140">
        <v>0.0</v>
      </c>
      <c r="AG962" s="109">
        <v>58.0</v>
      </c>
      <c r="AH962" s="109">
        <v>0.0</v>
      </c>
      <c r="AI962" s="141">
        <v>0.0</v>
      </c>
      <c r="AJ962" s="80">
        <v>58.0</v>
      </c>
      <c r="AK962" s="140">
        <v>0.0</v>
      </c>
      <c r="AL962" s="109">
        <v>0.0</v>
      </c>
      <c r="AM962" s="141">
        <v>0.0</v>
      </c>
      <c r="AN962" s="80">
        <v>0.0</v>
      </c>
      <c r="AO962" s="140">
        <v>0.0</v>
      </c>
      <c r="AP962" s="109">
        <v>0.0</v>
      </c>
      <c r="AQ962" s="109">
        <v>0.0</v>
      </c>
      <c r="AR962" s="80">
        <v>0.0</v>
      </c>
      <c r="AS962" s="110">
        <v>0.0</v>
      </c>
      <c r="AT962" s="110">
        <v>0.0</v>
      </c>
      <c r="AU962" s="110">
        <v>0.0</v>
      </c>
      <c r="AV962" s="142">
        <v>0.0</v>
      </c>
      <c r="AW962" s="80">
        <v>0.0</v>
      </c>
      <c r="AX962" s="113">
        <v>58.0</v>
      </c>
      <c r="AY962" s="117">
        <v>58.0</v>
      </c>
      <c r="AZ962" s="328">
        <v>0.0</v>
      </c>
      <c r="BA962" s="315">
        <v>0.0</v>
      </c>
      <c r="BB962" s="316">
        <v>58.0</v>
      </c>
      <c r="BC962" s="132" t="s">
        <v>373</v>
      </c>
      <c r="BD962" s="132" t="s">
        <v>178</v>
      </c>
      <c r="BE962" s="132" t="s">
        <v>178</v>
      </c>
      <c r="BF962" s="123"/>
      <c r="BG962" s="83">
        <v>1178714.0</v>
      </c>
      <c r="BH962" s="112">
        <v>3.0</v>
      </c>
      <c r="BI962" s="98" t="s">
        <v>155</v>
      </c>
      <c r="BJ962" s="98" t="str">
        <f t="shared" si="1"/>
        <v>NÃO</v>
      </c>
      <c r="BK962" s="98" t="str">
        <f t="shared" si="2"/>
        <v>NÃO</v>
      </c>
    </row>
    <row r="963" ht="15.75" customHeight="1">
      <c r="A963" s="111" t="s">
        <v>1161</v>
      </c>
      <c r="B963" s="83" t="s">
        <v>4895</v>
      </c>
      <c r="C963" s="83" t="s">
        <v>68</v>
      </c>
      <c r="D963" s="83">
        <v>1122365.0</v>
      </c>
      <c r="E963" s="83"/>
      <c r="F963" s="83">
        <v>2.9073324E7</v>
      </c>
      <c r="G963" s="187" t="s">
        <v>9787</v>
      </c>
      <c r="H963" s="91" t="s">
        <v>4897</v>
      </c>
      <c r="I963" s="187" t="s">
        <v>149</v>
      </c>
      <c r="J963" s="136" t="s">
        <v>150</v>
      </c>
      <c r="K963" s="136" t="s">
        <v>151</v>
      </c>
      <c r="L963" s="136" t="s">
        <v>152</v>
      </c>
      <c r="M963" s="82" t="s">
        <v>9788</v>
      </c>
      <c r="N963" s="82" t="s">
        <v>9789</v>
      </c>
      <c r="O963" s="82"/>
      <c r="P963" s="82"/>
      <c r="Q963" s="82"/>
      <c r="R963" s="82"/>
      <c r="S963" s="82" t="s">
        <v>9790</v>
      </c>
      <c r="T963" s="138">
        <v>6.0</v>
      </c>
      <c r="U963" s="389">
        <v>6.0</v>
      </c>
      <c r="V963" s="106">
        <v>0.0</v>
      </c>
      <c r="W963" s="107">
        <v>0.0</v>
      </c>
      <c r="X963" s="107">
        <v>0.0</v>
      </c>
      <c r="Y963" s="107">
        <v>0.0</v>
      </c>
      <c r="Z963" s="80">
        <v>0.0</v>
      </c>
      <c r="AA963" s="140">
        <v>0.0</v>
      </c>
      <c r="AB963" s="109">
        <v>0.0</v>
      </c>
      <c r="AC963" s="109">
        <v>0.0</v>
      </c>
      <c r="AD963" s="141">
        <v>0.0</v>
      </c>
      <c r="AE963" s="80">
        <v>0.0</v>
      </c>
      <c r="AF963" s="140">
        <v>102.0</v>
      </c>
      <c r="AG963" s="109">
        <v>124.0</v>
      </c>
      <c r="AH963" s="109">
        <v>0.0</v>
      </c>
      <c r="AI963" s="141">
        <v>90.0</v>
      </c>
      <c r="AJ963" s="80">
        <v>316.0</v>
      </c>
      <c r="AK963" s="140">
        <v>0.0</v>
      </c>
      <c r="AL963" s="109">
        <v>0.0</v>
      </c>
      <c r="AM963" s="141">
        <v>0.0</v>
      </c>
      <c r="AN963" s="80">
        <v>0.0</v>
      </c>
      <c r="AO963" s="140">
        <v>0.0</v>
      </c>
      <c r="AP963" s="109">
        <v>0.0</v>
      </c>
      <c r="AQ963" s="109">
        <v>72.0</v>
      </c>
      <c r="AR963" s="80">
        <v>72.0</v>
      </c>
      <c r="AS963" s="110">
        <v>0.0</v>
      </c>
      <c r="AT963" s="110">
        <v>0.0</v>
      </c>
      <c r="AU963" s="110">
        <v>0.0</v>
      </c>
      <c r="AV963" s="142">
        <v>0.0</v>
      </c>
      <c r="AW963" s="80">
        <v>0.0</v>
      </c>
      <c r="AX963" s="113">
        <v>388.0</v>
      </c>
      <c r="AY963" s="117">
        <v>316.0</v>
      </c>
      <c r="AZ963" s="328">
        <v>72.0</v>
      </c>
      <c r="BA963" s="315">
        <v>0.0</v>
      </c>
      <c r="BB963" s="316">
        <v>388.0</v>
      </c>
      <c r="BC963" s="132" t="s">
        <v>178</v>
      </c>
      <c r="BD963" s="132" t="s">
        <v>178</v>
      </c>
      <c r="BE963" s="132" t="s">
        <v>178</v>
      </c>
      <c r="BF963" s="123"/>
      <c r="BG963" s="83">
        <v>1122365.0</v>
      </c>
      <c r="BH963" s="112">
        <v>6.0</v>
      </c>
      <c r="BI963" s="98" t="s">
        <v>155</v>
      </c>
      <c r="BJ963" s="98" t="str">
        <f t="shared" si="1"/>
        <v>INTEGRAL</v>
      </c>
      <c r="BK963" s="98" t="str">
        <f t="shared" si="2"/>
        <v>NÃO</v>
      </c>
    </row>
    <row r="964" ht="15.75" customHeight="1">
      <c r="A964" s="111" t="s">
        <v>1161</v>
      </c>
      <c r="B964" s="83" t="s">
        <v>4895</v>
      </c>
      <c r="C964" s="83" t="s">
        <v>164</v>
      </c>
      <c r="D964" s="83">
        <v>1122365.0</v>
      </c>
      <c r="E964" s="83">
        <v>1178715.0</v>
      </c>
      <c r="F964" s="83"/>
      <c r="G964" s="114" t="s">
        <v>9791</v>
      </c>
      <c r="H964" s="91" t="s">
        <v>4911</v>
      </c>
      <c r="I964" s="298" t="s">
        <v>4916</v>
      </c>
      <c r="J964" s="83" t="s">
        <v>240</v>
      </c>
      <c r="K964" s="83" t="s">
        <v>151</v>
      </c>
      <c r="L964" s="83" t="s">
        <v>169</v>
      </c>
      <c r="M964" s="82" t="s">
        <v>9788</v>
      </c>
      <c r="N964" s="82" t="s">
        <v>9789</v>
      </c>
      <c r="O964" s="82"/>
      <c r="P964" s="82"/>
      <c r="Q964" s="82"/>
      <c r="R964" s="82"/>
      <c r="S964" s="82" t="s">
        <v>9790</v>
      </c>
      <c r="T964" s="138">
        <v>3.0</v>
      </c>
      <c r="U964" s="323">
        <v>3.0</v>
      </c>
      <c r="V964" s="106">
        <v>0.0</v>
      </c>
      <c r="W964" s="107">
        <v>0.0</v>
      </c>
      <c r="X964" s="107">
        <v>0.0</v>
      </c>
      <c r="Y964" s="107">
        <v>0.0</v>
      </c>
      <c r="Z964" s="80">
        <v>0.0</v>
      </c>
      <c r="AA964" s="140">
        <v>0.0</v>
      </c>
      <c r="AB964" s="109">
        <v>0.0</v>
      </c>
      <c r="AC964" s="109">
        <v>0.0</v>
      </c>
      <c r="AD964" s="141">
        <v>0.0</v>
      </c>
      <c r="AE964" s="80">
        <v>0.0</v>
      </c>
      <c r="AF964" s="140">
        <v>0.0</v>
      </c>
      <c r="AG964" s="109">
        <v>96.0</v>
      </c>
      <c r="AH964" s="109">
        <v>0.0</v>
      </c>
      <c r="AI964" s="141">
        <v>0.0</v>
      </c>
      <c r="AJ964" s="80">
        <v>96.0</v>
      </c>
      <c r="AK964" s="140">
        <v>0.0</v>
      </c>
      <c r="AL964" s="109">
        <v>0.0</v>
      </c>
      <c r="AM964" s="141">
        <v>0.0</v>
      </c>
      <c r="AN964" s="80">
        <v>0.0</v>
      </c>
      <c r="AO964" s="140">
        <v>0.0</v>
      </c>
      <c r="AP964" s="109">
        <v>0.0</v>
      </c>
      <c r="AQ964" s="109">
        <v>0.0</v>
      </c>
      <c r="AR964" s="80">
        <v>0.0</v>
      </c>
      <c r="AS964" s="110">
        <v>0.0</v>
      </c>
      <c r="AT964" s="110">
        <v>0.0</v>
      </c>
      <c r="AU964" s="110">
        <v>0.0</v>
      </c>
      <c r="AV964" s="142">
        <v>0.0</v>
      </c>
      <c r="AW964" s="80">
        <v>0.0</v>
      </c>
      <c r="AX964" s="113">
        <v>96.0</v>
      </c>
      <c r="AY964" s="117">
        <v>96.0</v>
      </c>
      <c r="AZ964" s="328">
        <v>0.0</v>
      </c>
      <c r="BA964" s="315">
        <v>0.0</v>
      </c>
      <c r="BB964" s="316">
        <v>96.0</v>
      </c>
      <c r="BC964" s="132" t="s">
        <v>373</v>
      </c>
      <c r="BD964" s="132" t="s">
        <v>178</v>
      </c>
      <c r="BE964" s="132" t="s">
        <v>178</v>
      </c>
      <c r="BF964" s="123"/>
      <c r="BG964" s="83">
        <v>1178715.0</v>
      </c>
      <c r="BH964" s="112">
        <v>3.0</v>
      </c>
      <c r="BI964" s="98" t="s">
        <v>155</v>
      </c>
      <c r="BJ964" s="98" t="str">
        <f t="shared" si="1"/>
        <v>NÃO</v>
      </c>
      <c r="BK964" s="98" t="str">
        <f t="shared" si="2"/>
        <v>NÃO</v>
      </c>
    </row>
    <row r="965" ht="15.75" customHeight="1">
      <c r="A965" s="111" t="s">
        <v>1161</v>
      </c>
      <c r="B965" s="83" t="s">
        <v>4895</v>
      </c>
      <c r="C965" s="83" t="s">
        <v>164</v>
      </c>
      <c r="D965" s="83">
        <v>1122365.0</v>
      </c>
      <c r="E965" s="83">
        <v>1179473.0</v>
      </c>
      <c r="F965" s="83"/>
      <c r="G965" s="185" t="s">
        <v>9792</v>
      </c>
      <c r="H965" s="91" t="s">
        <v>4922</v>
      </c>
      <c r="I965" s="114" t="s">
        <v>4283</v>
      </c>
      <c r="J965" s="83" t="s">
        <v>2492</v>
      </c>
      <c r="K965" s="83" t="s">
        <v>168</v>
      </c>
      <c r="L965" s="83" t="s">
        <v>169</v>
      </c>
      <c r="M965" s="82" t="s">
        <v>9788</v>
      </c>
      <c r="N965" s="82" t="s">
        <v>9789</v>
      </c>
      <c r="O965" s="82"/>
      <c r="P965" s="82"/>
      <c r="Q965" s="82"/>
      <c r="R965" s="82"/>
      <c r="S965" s="82" t="s">
        <v>9790</v>
      </c>
      <c r="T965" s="138">
        <v>1.0</v>
      </c>
      <c r="U965" s="331">
        <v>2.0</v>
      </c>
      <c r="V965" s="106">
        <v>0.0</v>
      </c>
      <c r="W965" s="107">
        <v>0.0</v>
      </c>
      <c r="X965" s="107">
        <v>0.0</v>
      </c>
      <c r="Y965" s="107">
        <v>0.0</v>
      </c>
      <c r="Z965" s="80">
        <v>0.0</v>
      </c>
      <c r="AA965" s="140">
        <v>0.0</v>
      </c>
      <c r="AB965" s="109">
        <v>0.0</v>
      </c>
      <c r="AC965" s="109">
        <v>0.0</v>
      </c>
      <c r="AD965" s="141">
        <v>0.0</v>
      </c>
      <c r="AE965" s="80">
        <v>0.0</v>
      </c>
      <c r="AF965" s="140">
        <v>0.0</v>
      </c>
      <c r="AG965" s="109">
        <v>0.0</v>
      </c>
      <c r="AH965" s="109">
        <v>32.0</v>
      </c>
      <c r="AI965" s="141">
        <v>0.0</v>
      </c>
      <c r="AJ965" s="80">
        <v>32.0</v>
      </c>
      <c r="AK965" s="140">
        <v>0.0</v>
      </c>
      <c r="AL965" s="109">
        <v>0.0</v>
      </c>
      <c r="AM965" s="141">
        <v>0.0</v>
      </c>
      <c r="AN965" s="80">
        <v>0.0</v>
      </c>
      <c r="AO965" s="140">
        <v>0.0</v>
      </c>
      <c r="AP965" s="109">
        <v>0.0</v>
      </c>
      <c r="AQ965" s="109">
        <v>0.0</v>
      </c>
      <c r="AR965" s="80">
        <v>0.0</v>
      </c>
      <c r="AS965" s="110">
        <v>0.0</v>
      </c>
      <c r="AT965" s="110">
        <v>0.0</v>
      </c>
      <c r="AU965" s="110">
        <v>0.0</v>
      </c>
      <c r="AV965" s="142">
        <v>0.0</v>
      </c>
      <c r="AW965" s="80">
        <v>0.0</v>
      </c>
      <c r="AX965" s="113">
        <v>32.0</v>
      </c>
      <c r="AY965" s="117">
        <v>0.0</v>
      </c>
      <c r="AZ965" s="328">
        <v>32.0</v>
      </c>
      <c r="BA965" s="315">
        <v>0.0</v>
      </c>
      <c r="BB965" s="316">
        <v>32.0</v>
      </c>
      <c r="BC965" s="132" t="s">
        <v>373</v>
      </c>
      <c r="BD965" s="132" t="s">
        <v>178</v>
      </c>
      <c r="BE965" s="132" t="s">
        <v>178</v>
      </c>
      <c r="BF965" s="123"/>
      <c r="BG965" s="83">
        <v>1179473.0</v>
      </c>
      <c r="BH965" s="112">
        <v>2.0</v>
      </c>
      <c r="BI965" s="98" t="s">
        <v>155</v>
      </c>
      <c r="BJ965" s="98" t="str">
        <f t="shared" si="1"/>
        <v>NÃO</v>
      </c>
      <c r="BK965" s="98" t="str">
        <f t="shared" si="2"/>
        <v>NÃO</v>
      </c>
    </row>
    <row r="966" ht="15.75" customHeight="1">
      <c r="A966" s="111" t="s">
        <v>1161</v>
      </c>
      <c r="B966" s="83" t="s">
        <v>4895</v>
      </c>
      <c r="C966" s="83" t="s">
        <v>164</v>
      </c>
      <c r="D966" s="83">
        <v>1122365.0</v>
      </c>
      <c r="E966" s="83">
        <v>1179278.0</v>
      </c>
      <c r="F966" s="83"/>
      <c r="G966" s="185" t="s">
        <v>9793</v>
      </c>
      <c r="H966" s="91" t="s">
        <v>4932</v>
      </c>
      <c r="I966" s="114" t="s">
        <v>4933</v>
      </c>
      <c r="J966" s="83" t="s">
        <v>209</v>
      </c>
      <c r="K966" s="83" t="s">
        <v>168</v>
      </c>
      <c r="L966" s="83" t="s">
        <v>169</v>
      </c>
      <c r="M966" s="82" t="s">
        <v>9788</v>
      </c>
      <c r="N966" s="82" t="s">
        <v>9789</v>
      </c>
      <c r="O966" s="82"/>
      <c r="P966" s="82"/>
      <c r="Q966" s="82"/>
      <c r="R966" s="82"/>
      <c r="S966" s="82" t="s">
        <v>9790</v>
      </c>
      <c r="T966" s="138">
        <v>3.0</v>
      </c>
      <c r="U966" s="323">
        <v>3.0</v>
      </c>
      <c r="V966" s="106">
        <v>0.0</v>
      </c>
      <c r="W966" s="107">
        <v>0.0</v>
      </c>
      <c r="X966" s="107">
        <v>0.0</v>
      </c>
      <c r="Y966" s="107">
        <v>0.0</v>
      </c>
      <c r="Z966" s="80">
        <v>0.0</v>
      </c>
      <c r="AA966" s="140">
        <v>0.0</v>
      </c>
      <c r="AB966" s="109">
        <v>0.0</v>
      </c>
      <c r="AC966" s="109">
        <v>0.0</v>
      </c>
      <c r="AD966" s="141">
        <v>0.0</v>
      </c>
      <c r="AE966" s="80">
        <v>0.0</v>
      </c>
      <c r="AF966" s="140">
        <v>0.0</v>
      </c>
      <c r="AG966" s="109">
        <v>0.0</v>
      </c>
      <c r="AH966" s="109">
        <v>37.0</v>
      </c>
      <c r="AI966" s="141">
        <v>0.0</v>
      </c>
      <c r="AJ966" s="80">
        <v>37.0</v>
      </c>
      <c r="AK966" s="140">
        <v>0.0</v>
      </c>
      <c r="AL966" s="109">
        <v>0.0</v>
      </c>
      <c r="AM966" s="141">
        <v>0.0</v>
      </c>
      <c r="AN966" s="80">
        <v>0.0</v>
      </c>
      <c r="AO966" s="140">
        <v>0.0</v>
      </c>
      <c r="AP966" s="109">
        <v>0.0</v>
      </c>
      <c r="AQ966" s="109">
        <v>0.0</v>
      </c>
      <c r="AR966" s="80">
        <v>0.0</v>
      </c>
      <c r="AS966" s="110">
        <v>0.0</v>
      </c>
      <c r="AT966" s="110">
        <v>0.0</v>
      </c>
      <c r="AU966" s="110">
        <v>0.0</v>
      </c>
      <c r="AV966" s="142">
        <v>0.0</v>
      </c>
      <c r="AW966" s="80">
        <v>0.0</v>
      </c>
      <c r="AX966" s="113">
        <v>37.0</v>
      </c>
      <c r="AY966" s="117">
        <v>0.0</v>
      </c>
      <c r="AZ966" s="328">
        <v>37.0</v>
      </c>
      <c r="BA966" s="315">
        <v>0.0</v>
      </c>
      <c r="BB966" s="316">
        <v>37.0</v>
      </c>
      <c r="BC966" s="132" t="s">
        <v>265</v>
      </c>
      <c r="BD966" s="132" t="s">
        <v>178</v>
      </c>
      <c r="BE966" s="132" t="s">
        <v>178</v>
      </c>
      <c r="BF966" s="123"/>
      <c r="BG966" s="83">
        <v>1179278.0</v>
      </c>
      <c r="BH966" s="112">
        <v>3.0</v>
      </c>
      <c r="BI966" s="98" t="s">
        <v>155</v>
      </c>
      <c r="BJ966" s="98" t="str">
        <f t="shared" si="1"/>
        <v>NÃO</v>
      </c>
      <c r="BK966" s="98" t="str">
        <f t="shared" si="2"/>
        <v>NÃO</v>
      </c>
    </row>
    <row r="967" ht="15.75" customHeight="1">
      <c r="A967" s="111" t="s">
        <v>1161</v>
      </c>
      <c r="B967" s="83" t="s">
        <v>2347</v>
      </c>
      <c r="C967" s="83" t="s">
        <v>68</v>
      </c>
      <c r="D967" s="83">
        <v>1172419.0</v>
      </c>
      <c r="E967" s="83"/>
      <c r="F967" s="83">
        <v>2.9075874E7</v>
      </c>
      <c r="G967" s="185" t="s">
        <v>9794</v>
      </c>
      <c r="H967" s="91" t="s">
        <v>4958</v>
      </c>
      <c r="I967" s="114" t="s">
        <v>149</v>
      </c>
      <c r="J967" s="83" t="s">
        <v>150</v>
      </c>
      <c r="K967" s="83" t="s">
        <v>151</v>
      </c>
      <c r="L967" s="83" t="s">
        <v>152</v>
      </c>
      <c r="M967" s="82" t="s">
        <v>9795</v>
      </c>
      <c r="N967" s="82" t="s">
        <v>9796</v>
      </c>
      <c r="O967" s="82" t="s">
        <v>9797</v>
      </c>
      <c r="P967" s="82" t="s">
        <v>9798</v>
      </c>
      <c r="Q967" s="82"/>
      <c r="R967" s="82"/>
      <c r="S967" s="82" t="s">
        <v>9799</v>
      </c>
      <c r="T967" s="138">
        <v>8.0</v>
      </c>
      <c r="U967" s="323">
        <v>8.0</v>
      </c>
      <c r="V967" s="106">
        <v>0.0</v>
      </c>
      <c r="W967" s="107">
        <v>0.0</v>
      </c>
      <c r="X967" s="107">
        <v>0.0</v>
      </c>
      <c r="Y967" s="107">
        <v>0.0</v>
      </c>
      <c r="Z967" s="80">
        <v>0.0</v>
      </c>
      <c r="AA967" s="140">
        <v>0.0</v>
      </c>
      <c r="AB967" s="109">
        <v>0.0</v>
      </c>
      <c r="AC967" s="109">
        <v>0.0</v>
      </c>
      <c r="AD967" s="141">
        <v>0.0</v>
      </c>
      <c r="AE967" s="80">
        <v>0.0</v>
      </c>
      <c r="AF967" s="140">
        <v>58.0</v>
      </c>
      <c r="AG967" s="109">
        <v>49.0</v>
      </c>
      <c r="AH967" s="109">
        <v>24.0</v>
      </c>
      <c r="AI967" s="141">
        <v>258.0</v>
      </c>
      <c r="AJ967" s="80">
        <v>389.0</v>
      </c>
      <c r="AK967" s="140">
        <v>0.0</v>
      </c>
      <c r="AL967" s="109">
        <v>0.0</v>
      </c>
      <c r="AM967" s="141">
        <v>0.0</v>
      </c>
      <c r="AN967" s="80">
        <v>0.0</v>
      </c>
      <c r="AO967" s="140">
        <v>0.0</v>
      </c>
      <c r="AP967" s="109">
        <v>0.0</v>
      </c>
      <c r="AQ967" s="109">
        <v>118.0</v>
      </c>
      <c r="AR967" s="80">
        <v>118.0</v>
      </c>
      <c r="AS967" s="110">
        <v>0.0</v>
      </c>
      <c r="AT967" s="110">
        <v>0.0</v>
      </c>
      <c r="AU967" s="110">
        <v>0.0</v>
      </c>
      <c r="AV967" s="142">
        <v>0.0</v>
      </c>
      <c r="AW967" s="80">
        <v>0.0</v>
      </c>
      <c r="AX967" s="113">
        <v>507.0</v>
      </c>
      <c r="AY967" s="117">
        <v>365.0</v>
      </c>
      <c r="AZ967" s="328">
        <v>142.0</v>
      </c>
      <c r="BA967" s="315">
        <v>0.0</v>
      </c>
      <c r="BB967" s="316">
        <v>507.0</v>
      </c>
      <c r="BC967" s="132" t="s">
        <v>178</v>
      </c>
      <c r="BD967" s="132" t="s">
        <v>178</v>
      </c>
      <c r="BE967" s="132" t="s">
        <v>178</v>
      </c>
      <c r="BF967" s="156"/>
      <c r="BG967" s="83">
        <v>1172419.0</v>
      </c>
      <c r="BH967" s="112">
        <v>8.0</v>
      </c>
      <c r="BI967" s="98" t="s">
        <v>155</v>
      </c>
      <c r="BJ967" s="98" t="str">
        <f t="shared" si="1"/>
        <v>INTEGRAL</v>
      </c>
      <c r="BK967" s="98" t="str">
        <f t="shared" si="2"/>
        <v>NÃO</v>
      </c>
    </row>
    <row r="968" ht="15.75" customHeight="1">
      <c r="A968" s="111" t="s">
        <v>1161</v>
      </c>
      <c r="B968" s="83" t="s">
        <v>2347</v>
      </c>
      <c r="C968" s="83" t="s">
        <v>164</v>
      </c>
      <c r="D968" s="83">
        <v>1172419.0</v>
      </c>
      <c r="E968" s="83">
        <v>1178717.0</v>
      </c>
      <c r="F968" s="83"/>
      <c r="G968" s="185" t="s">
        <v>2348</v>
      </c>
      <c r="H968" s="91" t="s">
        <v>9800</v>
      </c>
      <c r="I968" s="114" t="s">
        <v>149</v>
      </c>
      <c r="J968" s="83" t="s">
        <v>252</v>
      </c>
      <c r="K968" s="83" t="s">
        <v>168</v>
      </c>
      <c r="L968" s="83" t="s">
        <v>169</v>
      </c>
      <c r="M968" s="82" t="s">
        <v>9795</v>
      </c>
      <c r="N968" s="82" t="s">
        <v>9796</v>
      </c>
      <c r="O968" s="82" t="s">
        <v>9797</v>
      </c>
      <c r="P968" s="82" t="s">
        <v>9798</v>
      </c>
      <c r="Q968" s="82"/>
      <c r="R968" s="82"/>
      <c r="S968" s="82" t="s">
        <v>9799</v>
      </c>
      <c r="T968" s="138">
        <v>4.0</v>
      </c>
      <c r="U968" s="323">
        <v>3.0</v>
      </c>
      <c r="V968" s="106">
        <v>0.0</v>
      </c>
      <c r="W968" s="107">
        <v>0.0</v>
      </c>
      <c r="X968" s="107">
        <v>0.0</v>
      </c>
      <c r="Y968" s="107">
        <v>0.0</v>
      </c>
      <c r="Z968" s="80">
        <v>0.0</v>
      </c>
      <c r="AA968" s="140">
        <v>0.0</v>
      </c>
      <c r="AB968" s="109">
        <v>0.0</v>
      </c>
      <c r="AC968" s="109">
        <v>0.0</v>
      </c>
      <c r="AD968" s="141">
        <v>0.0</v>
      </c>
      <c r="AE968" s="80">
        <v>0.0</v>
      </c>
      <c r="AF968" s="140">
        <v>109.0</v>
      </c>
      <c r="AG968" s="109">
        <v>81.0</v>
      </c>
      <c r="AH968" s="109">
        <v>29.0</v>
      </c>
      <c r="AI968" s="141">
        <v>0.0</v>
      </c>
      <c r="AJ968" s="80">
        <v>219.0</v>
      </c>
      <c r="AK968" s="140">
        <v>0.0</v>
      </c>
      <c r="AL968" s="109">
        <v>0.0</v>
      </c>
      <c r="AM968" s="141">
        <v>0.0</v>
      </c>
      <c r="AN968" s="80">
        <v>0.0</v>
      </c>
      <c r="AO968" s="140">
        <v>0.0</v>
      </c>
      <c r="AP968" s="109">
        <v>0.0</v>
      </c>
      <c r="AQ968" s="109">
        <v>41.0</v>
      </c>
      <c r="AR968" s="80">
        <v>41.0</v>
      </c>
      <c r="AS968" s="110">
        <v>0.0</v>
      </c>
      <c r="AT968" s="110">
        <v>0.0</v>
      </c>
      <c r="AU968" s="110">
        <v>0.0</v>
      </c>
      <c r="AV968" s="142">
        <v>0.0</v>
      </c>
      <c r="AW968" s="80">
        <v>0.0</v>
      </c>
      <c r="AX968" s="113">
        <v>260.0</v>
      </c>
      <c r="AY968" s="117">
        <v>190.0</v>
      </c>
      <c r="AZ968" s="328">
        <v>70.0</v>
      </c>
      <c r="BA968" s="315">
        <v>0.0</v>
      </c>
      <c r="BB968" s="316">
        <v>260.0</v>
      </c>
      <c r="BC968" s="132" t="s">
        <v>373</v>
      </c>
      <c r="BD968" s="132" t="s">
        <v>178</v>
      </c>
      <c r="BE968" s="132" t="s">
        <v>178</v>
      </c>
      <c r="BF968" s="156"/>
      <c r="BG968" s="83">
        <v>1178717.0</v>
      </c>
      <c r="BH968" s="112">
        <v>3.0</v>
      </c>
      <c r="BI968" s="98" t="s">
        <v>155</v>
      </c>
      <c r="BJ968" s="98" t="str">
        <f t="shared" si="1"/>
        <v>NÃO</v>
      </c>
      <c r="BK968" s="98" t="str">
        <f t="shared" si="2"/>
        <v>NÃO</v>
      </c>
    </row>
    <row r="969" ht="15.75" customHeight="1">
      <c r="A969" s="111" t="s">
        <v>1161</v>
      </c>
      <c r="B969" s="83" t="s">
        <v>4960</v>
      </c>
      <c r="C969" s="83" t="s">
        <v>68</v>
      </c>
      <c r="D969" s="83">
        <v>1122233.0</v>
      </c>
      <c r="E969" s="83"/>
      <c r="F969" s="83">
        <v>2.9079004E7</v>
      </c>
      <c r="G969" s="119" t="s">
        <v>4961</v>
      </c>
      <c r="H969" s="91" t="s">
        <v>4962</v>
      </c>
      <c r="I969" s="114" t="s">
        <v>149</v>
      </c>
      <c r="J969" s="83" t="s">
        <v>150</v>
      </c>
      <c r="K969" s="83" t="s">
        <v>151</v>
      </c>
      <c r="L969" s="83" t="s">
        <v>152</v>
      </c>
      <c r="M969" s="82" t="s">
        <v>9801</v>
      </c>
      <c r="N969" s="82" t="s">
        <v>9802</v>
      </c>
      <c r="O969" s="82" t="s">
        <v>9803</v>
      </c>
      <c r="P969" s="82" t="s">
        <v>9804</v>
      </c>
      <c r="Q969" s="82"/>
      <c r="R969" s="82"/>
      <c r="S969" s="82" t="s">
        <v>9805</v>
      </c>
      <c r="T969" s="138">
        <v>8.0</v>
      </c>
      <c r="U969" s="331">
        <v>8.0</v>
      </c>
      <c r="V969" s="106">
        <v>0.0</v>
      </c>
      <c r="W969" s="107">
        <v>0.0</v>
      </c>
      <c r="X969" s="107">
        <v>0.0</v>
      </c>
      <c r="Y969" s="107">
        <v>0.0</v>
      </c>
      <c r="Z969" s="80">
        <v>0.0</v>
      </c>
      <c r="AA969" s="140">
        <v>0.0</v>
      </c>
      <c r="AB969" s="109">
        <v>0.0</v>
      </c>
      <c r="AC969" s="109">
        <v>0.0</v>
      </c>
      <c r="AD969" s="141">
        <v>0.0</v>
      </c>
      <c r="AE969" s="80">
        <v>0.0</v>
      </c>
      <c r="AF969" s="140">
        <v>0.0</v>
      </c>
      <c r="AG969" s="109">
        <v>0.0</v>
      </c>
      <c r="AH969" s="109">
        <v>19.0</v>
      </c>
      <c r="AI969" s="141">
        <v>142.0</v>
      </c>
      <c r="AJ969" s="80">
        <v>161.0</v>
      </c>
      <c r="AK969" s="140">
        <v>0.0</v>
      </c>
      <c r="AL969" s="109">
        <v>0.0</v>
      </c>
      <c r="AM969" s="141">
        <v>0.0</v>
      </c>
      <c r="AN969" s="80">
        <v>0.0</v>
      </c>
      <c r="AO969" s="140">
        <v>0.0</v>
      </c>
      <c r="AP969" s="109">
        <v>0.0</v>
      </c>
      <c r="AQ969" s="109">
        <v>99.0</v>
      </c>
      <c r="AR969" s="80">
        <v>99.0</v>
      </c>
      <c r="AS969" s="110">
        <v>136.0</v>
      </c>
      <c r="AT969" s="110">
        <v>91.0</v>
      </c>
      <c r="AU969" s="110">
        <v>17.0</v>
      </c>
      <c r="AV969" s="142">
        <v>0.0</v>
      </c>
      <c r="AW969" s="80">
        <v>244.0</v>
      </c>
      <c r="AX969" s="113">
        <v>504.0</v>
      </c>
      <c r="AY969" s="117">
        <v>369.0</v>
      </c>
      <c r="AZ969" s="328">
        <v>135.0</v>
      </c>
      <c r="BA969" s="315">
        <v>0.0</v>
      </c>
      <c r="BB969" s="316">
        <v>504.0</v>
      </c>
      <c r="BC969" s="132" t="s">
        <v>178</v>
      </c>
      <c r="BD969" s="132" t="s">
        <v>178</v>
      </c>
      <c r="BE969" s="132" t="s">
        <v>178</v>
      </c>
      <c r="BF969" s="156"/>
      <c r="BG969" s="83">
        <v>1122233.0</v>
      </c>
      <c r="BH969" s="112">
        <v>8.0</v>
      </c>
      <c r="BI969" s="98" t="s">
        <v>155</v>
      </c>
      <c r="BJ969" s="98" t="str">
        <f t="shared" si="1"/>
        <v>INTEGRAL</v>
      </c>
      <c r="BK969" s="98" t="str">
        <f t="shared" si="2"/>
        <v>PROFISSIONAL</v>
      </c>
    </row>
    <row r="970" ht="15.75" customHeight="1">
      <c r="A970" s="111" t="s">
        <v>1161</v>
      </c>
      <c r="B970" s="83" t="s">
        <v>4973</v>
      </c>
      <c r="C970" s="83" t="s">
        <v>68</v>
      </c>
      <c r="D970" s="83">
        <v>1161794.0</v>
      </c>
      <c r="E970" s="83"/>
      <c r="F970" s="83">
        <v>2.9079055E7</v>
      </c>
      <c r="G970" s="119" t="s">
        <v>9806</v>
      </c>
      <c r="H970" s="91" t="s">
        <v>9807</v>
      </c>
      <c r="I970" s="114" t="s">
        <v>149</v>
      </c>
      <c r="J970" s="83" t="s">
        <v>150</v>
      </c>
      <c r="K970" s="83" t="s">
        <v>151</v>
      </c>
      <c r="L970" s="83" t="s">
        <v>152</v>
      </c>
      <c r="M970" s="82" t="s">
        <v>9808</v>
      </c>
      <c r="N970" s="82" t="s">
        <v>9809</v>
      </c>
      <c r="O970" s="82" t="s">
        <v>9810</v>
      </c>
      <c r="P970" s="82" t="s">
        <v>9811</v>
      </c>
      <c r="Q970" s="82" t="s">
        <v>9812</v>
      </c>
      <c r="R970" s="82" t="s">
        <v>9813</v>
      </c>
      <c r="S970" s="82" t="s">
        <v>9814</v>
      </c>
      <c r="T970" s="138">
        <v>11.0</v>
      </c>
      <c r="U970" s="331" t="s">
        <v>9815</v>
      </c>
      <c r="V970" s="106">
        <v>0.0</v>
      </c>
      <c r="W970" s="107">
        <v>0.0</v>
      </c>
      <c r="X970" s="107">
        <v>0.0</v>
      </c>
      <c r="Y970" s="107">
        <v>0.0</v>
      </c>
      <c r="Z970" s="80">
        <v>0.0</v>
      </c>
      <c r="AA970" s="140">
        <v>0.0</v>
      </c>
      <c r="AB970" s="109">
        <v>0.0</v>
      </c>
      <c r="AC970" s="109">
        <v>0.0</v>
      </c>
      <c r="AD970" s="141">
        <v>0.0</v>
      </c>
      <c r="AE970" s="80">
        <v>0.0</v>
      </c>
      <c r="AF970" s="140">
        <v>0.0</v>
      </c>
      <c r="AG970" s="109">
        <v>65.0</v>
      </c>
      <c r="AH970" s="109">
        <v>36.0</v>
      </c>
      <c r="AI970" s="141">
        <v>215.0</v>
      </c>
      <c r="AJ970" s="80">
        <v>316.0</v>
      </c>
      <c r="AK970" s="140">
        <v>0.0</v>
      </c>
      <c r="AL970" s="109">
        <v>0.0</v>
      </c>
      <c r="AM970" s="141">
        <v>0.0</v>
      </c>
      <c r="AN970" s="80">
        <v>0.0</v>
      </c>
      <c r="AO970" s="140">
        <v>0.0</v>
      </c>
      <c r="AP970" s="109">
        <v>0.0</v>
      </c>
      <c r="AQ970" s="109">
        <v>133.0</v>
      </c>
      <c r="AR970" s="80">
        <v>133.0</v>
      </c>
      <c r="AS970" s="110">
        <v>44.0</v>
      </c>
      <c r="AT970" s="110">
        <v>48.0</v>
      </c>
      <c r="AU970" s="110">
        <v>0.0</v>
      </c>
      <c r="AV970" s="142">
        <v>0.0</v>
      </c>
      <c r="AW970" s="80">
        <v>92.0</v>
      </c>
      <c r="AX970" s="113">
        <v>541.0</v>
      </c>
      <c r="AY970" s="117">
        <v>372.0</v>
      </c>
      <c r="AZ970" s="328">
        <v>169.0</v>
      </c>
      <c r="BA970" s="315">
        <v>0.0</v>
      </c>
      <c r="BB970" s="316">
        <v>541.0</v>
      </c>
      <c r="BC970" s="132" t="s">
        <v>178</v>
      </c>
      <c r="BD970" s="132" t="s">
        <v>178</v>
      </c>
      <c r="BE970" s="132" t="s">
        <v>178</v>
      </c>
      <c r="BF970" s="123"/>
      <c r="BG970" s="83">
        <v>1161794.0</v>
      </c>
      <c r="BH970" s="112">
        <v>9.0</v>
      </c>
      <c r="BI970" s="98" t="s">
        <v>162</v>
      </c>
      <c r="BJ970" s="98" t="str">
        <f t="shared" si="1"/>
        <v>INTEGRAL</v>
      </c>
      <c r="BK970" s="98" t="str">
        <f t="shared" si="2"/>
        <v>PROFISSIONAL</v>
      </c>
    </row>
    <row r="971" ht="15.75" customHeight="1">
      <c r="A971" s="111" t="s">
        <v>1161</v>
      </c>
      <c r="B971" s="83" t="s">
        <v>4978</v>
      </c>
      <c r="C971" s="83" t="s">
        <v>68</v>
      </c>
      <c r="D971" s="83">
        <v>1179205.0</v>
      </c>
      <c r="E971" s="83"/>
      <c r="F971" s="83">
        <v>2.9441609E7</v>
      </c>
      <c r="G971" s="114" t="s">
        <v>9816</v>
      </c>
      <c r="H971" s="91" t="s">
        <v>4980</v>
      </c>
      <c r="I971" s="114" t="s">
        <v>149</v>
      </c>
      <c r="J971" s="83" t="s">
        <v>150</v>
      </c>
      <c r="K971" s="83" t="s">
        <v>151</v>
      </c>
      <c r="L971" s="83" t="s">
        <v>152</v>
      </c>
      <c r="M971" s="82" t="s">
        <v>9817</v>
      </c>
      <c r="N971" s="82" t="s">
        <v>9818</v>
      </c>
      <c r="O971" s="82" t="s">
        <v>9819</v>
      </c>
      <c r="P971" s="82" t="s">
        <v>9820</v>
      </c>
      <c r="Q971" s="82"/>
      <c r="R971" s="82"/>
      <c r="S971" s="82" t="s">
        <v>9821</v>
      </c>
      <c r="T971" s="138">
        <v>8.0</v>
      </c>
      <c r="U971" s="323">
        <v>8.0</v>
      </c>
      <c r="V971" s="106">
        <v>0.0</v>
      </c>
      <c r="W971" s="107">
        <v>0.0</v>
      </c>
      <c r="X971" s="107">
        <v>0.0</v>
      </c>
      <c r="Y971" s="107">
        <v>0.0</v>
      </c>
      <c r="Z971" s="80">
        <v>0.0</v>
      </c>
      <c r="AA971" s="140">
        <v>0.0</v>
      </c>
      <c r="AB971" s="109">
        <v>0.0</v>
      </c>
      <c r="AC971" s="109">
        <v>0.0</v>
      </c>
      <c r="AD971" s="141">
        <v>0.0</v>
      </c>
      <c r="AE971" s="80">
        <v>0.0</v>
      </c>
      <c r="AF971" s="140">
        <v>0.0</v>
      </c>
      <c r="AG971" s="109">
        <v>41.0</v>
      </c>
      <c r="AH971" s="109">
        <v>22.0</v>
      </c>
      <c r="AI971" s="141">
        <v>0.0</v>
      </c>
      <c r="AJ971" s="80">
        <v>63.0</v>
      </c>
      <c r="AK971" s="140">
        <v>0.0</v>
      </c>
      <c r="AL971" s="109">
        <v>0.0</v>
      </c>
      <c r="AM971" s="141">
        <v>0.0</v>
      </c>
      <c r="AN971" s="80">
        <v>0.0</v>
      </c>
      <c r="AO971" s="140">
        <v>0.0</v>
      </c>
      <c r="AP971" s="109">
        <v>0.0</v>
      </c>
      <c r="AQ971" s="109">
        <v>92.0</v>
      </c>
      <c r="AR971" s="80">
        <v>92.0</v>
      </c>
      <c r="AS971" s="110">
        <v>0.0</v>
      </c>
      <c r="AT971" s="110">
        <v>0.0</v>
      </c>
      <c r="AU971" s="110">
        <v>0.0</v>
      </c>
      <c r="AV971" s="142">
        <v>0.0</v>
      </c>
      <c r="AW971" s="80">
        <v>0.0</v>
      </c>
      <c r="AX971" s="113">
        <v>155.0</v>
      </c>
      <c r="AY971" s="117">
        <v>41.0</v>
      </c>
      <c r="AZ971" s="328">
        <v>114.0</v>
      </c>
      <c r="BA971" s="315">
        <v>347.0</v>
      </c>
      <c r="BB971" s="316">
        <v>502.0</v>
      </c>
      <c r="BC971" s="132" t="s">
        <v>178</v>
      </c>
      <c r="BD971" s="132" t="s">
        <v>178</v>
      </c>
      <c r="BE971" s="132" t="s">
        <v>178</v>
      </c>
      <c r="BF971" s="123"/>
      <c r="BG971" s="83">
        <v>1179205.0</v>
      </c>
      <c r="BH971" s="112">
        <v>8.0</v>
      </c>
      <c r="BI971" s="98" t="s">
        <v>155</v>
      </c>
      <c r="BJ971" s="98" t="str">
        <f t="shared" si="1"/>
        <v>NÃO</v>
      </c>
      <c r="BK971" s="98" t="str">
        <f t="shared" si="2"/>
        <v>NÃO</v>
      </c>
    </row>
    <row r="972" ht="15.75" customHeight="1">
      <c r="A972" s="111" t="s">
        <v>1161</v>
      </c>
      <c r="B972" s="83" t="s">
        <v>4978</v>
      </c>
      <c r="C972" s="83" t="s">
        <v>164</v>
      </c>
      <c r="D972" s="189">
        <v>1179205.0</v>
      </c>
      <c r="E972" s="189">
        <v>1178724.0</v>
      </c>
      <c r="F972" s="83"/>
      <c r="G972" s="219" t="s">
        <v>9822</v>
      </c>
      <c r="H972" s="114" t="s">
        <v>4984</v>
      </c>
      <c r="I972" s="298" t="s">
        <v>149</v>
      </c>
      <c r="J972" s="83" t="s">
        <v>464</v>
      </c>
      <c r="K972" s="83" t="s">
        <v>168</v>
      </c>
      <c r="L972" s="83" t="s">
        <v>169</v>
      </c>
      <c r="M972" s="82" t="s">
        <v>9817</v>
      </c>
      <c r="N972" s="82" t="s">
        <v>9818</v>
      </c>
      <c r="O972" s="82" t="s">
        <v>9819</v>
      </c>
      <c r="P972" s="82" t="s">
        <v>9820</v>
      </c>
      <c r="Q972" s="82"/>
      <c r="R972" s="82"/>
      <c r="S972" s="82" t="s">
        <v>9821</v>
      </c>
      <c r="T972" s="138">
        <v>3.0</v>
      </c>
      <c r="U972" s="389">
        <v>3.0</v>
      </c>
      <c r="V972" s="106">
        <v>0.0</v>
      </c>
      <c r="W972" s="107">
        <v>0.0</v>
      </c>
      <c r="X972" s="107">
        <v>0.0</v>
      </c>
      <c r="Y972" s="107">
        <v>0.0</v>
      </c>
      <c r="Z972" s="80">
        <v>0.0</v>
      </c>
      <c r="AA972" s="140">
        <v>0.0</v>
      </c>
      <c r="AB972" s="109">
        <v>0.0</v>
      </c>
      <c r="AC972" s="109">
        <v>0.0</v>
      </c>
      <c r="AD972" s="141">
        <v>0.0</v>
      </c>
      <c r="AE972" s="80">
        <v>0.0</v>
      </c>
      <c r="AF972" s="140">
        <v>0.0</v>
      </c>
      <c r="AG972" s="109">
        <v>49.0</v>
      </c>
      <c r="AH972" s="109">
        <v>0.0</v>
      </c>
      <c r="AI972" s="141">
        <v>0.0</v>
      </c>
      <c r="AJ972" s="80">
        <v>49.0</v>
      </c>
      <c r="AK972" s="140">
        <v>0.0</v>
      </c>
      <c r="AL972" s="109">
        <v>0.0</v>
      </c>
      <c r="AM972" s="141">
        <v>0.0</v>
      </c>
      <c r="AN972" s="80">
        <v>0.0</v>
      </c>
      <c r="AO972" s="140">
        <v>0.0</v>
      </c>
      <c r="AP972" s="109">
        <v>0.0</v>
      </c>
      <c r="AQ972" s="109">
        <v>33.0</v>
      </c>
      <c r="AR972" s="80">
        <v>33.0</v>
      </c>
      <c r="AS972" s="110">
        <v>0.0</v>
      </c>
      <c r="AT972" s="110">
        <v>0.0</v>
      </c>
      <c r="AU972" s="110">
        <v>0.0</v>
      </c>
      <c r="AV972" s="142">
        <v>0.0</v>
      </c>
      <c r="AW972" s="80">
        <v>0.0</v>
      </c>
      <c r="AX972" s="113">
        <v>82.0</v>
      </c>
      <c r="AY972" s="117">
        <v>49.0</v>
      </c>
      <c r="AZ972" s="328">
        <v>33.0</v>
      </c>
      <c r="BA972" s="315">
        <v>0.0</v>
      </c>
      <c r="BB972" s="316">
        <v>82.0</v>
      </c>
      <c r="BC972" s="132" t="s">
        <v>373</v>
      </c>
      <c r="BD972" s="132" t="s">
        <v>178</v>
      </c>
      <c r="BE972" s="132" t="s">
        <v>178</v>
      </c>
      <c r="BF972" s="156"/>
      <c r="BG972" s="83">
        <v>1178724.0</v>
      </c>
      <c r="BH972" s="112">
        <v>3.0</v>
      </c>
      <c r="BI972" s="98" t="s">
        <v>155</v>
      </c>
      <c r="BJ972" s="98" t="str">
        <f t="shared" si="1"/>
        <v>NÃO</v>
      </c>
      <c r="BK972" s="98" t="str">
        <f t="shared" si="2"/>
        <v>NÃO</v>
      </c>
    </row>
    <row r="973" ht="15.75" customHeight="1">
      <c r="A973" s="111" t="s">
        <v>1161</v>
      </c>
      <c r="B973" s="83" t="s">
        <v>4992</v>
      </c>
      <c r="C973" s="191" t="s">
        <v>68</v>
      </c>
      <c r="D973" s="83">
        <v>1176123.0</v>
      </c>
      <c r="E973" s="248"/>
      <c r="F973" s="248">
        <v>2.934033E7</v>
      </c>
      <c r="G973" s="210" t="s">
        <v>9823</v>
      </c>
      <c r="H973" s="91" t="s">
        <v>4994</v>
      </c>
      <c r="I973" s="114" t="s">
        <v>149</v>
      </c>
      <c r="J973" s="83" t="s">
        <v>150</v>
      </c>
      <c r="K973" s="83" t="s">
        <v>151</v>
      </c>
      <c r="L973" s="83" t="s">
        <v>76</v>
      </c>
      <c r="M973" s="82" t="s">
        <v>9824</v>
      </c>
      <c r="N973" s="82" t="s">
        <v>9825</v>
      </c>
      <c r="O973" s="82" t="s">
        <v>9826</v>
      </c>
      <c r="P973" s="82" t="s">
        <v>9827</v>
      </c>
      <c r="Q973" s="82"/>
      <c r="R973" s="82"/>
      <c r="S973" s="82" t="s">
        <v>9828</v>
      </c>
      <c r="T973" s="138">
        <v>6.0</v>
      </c>
      <c r="U973" s="323">
        <v>6.0</v>
      </c>
      <c r="V973" s="106">
        <v>0.0</v>
      </c>
      <c r="W973" s="107">
        <v>0.0</v>
      </c>
      <c r="X973" s="107">
        <v>0.0</v>
      </c>
      <c r="Y973" s="107">
        <v>0.0</v>
      </c>
      <c r="Z973" s="80">
        <v>0.0</v>
      </c>
      <c r="AA973" s="140">
        <v>0.0</v>
      </c>
      <c r="AB973" s="109">
        <v>0.0</v>
      </c>
      <c r="AC973" s="109">
        <v>0.0</v>
      </c>
      <c r="AD973" s="141">
        <v>0.0</v>
      </c>
      <c r="AE973" s="80">
        <v>0.0</v>
      </c>
      <c r="AF973" s="140">
        <v>146.0</v>
      </c>
      <c r="AG973" s="109">
        <v>157.0</v>
      </c>
      <c r="AH973" s="109">
        <v>0.0</v>
      </c>
      <c r="AI973" s="141">
        <v>69.0</v>
      </c>
      <c r="AJ973" s="80">
        <v>372.0</v>
      </c>
      <c r="AK973" s="140">
        <v>0.0</v>
      </c>
      <c r="AL973" s="109">
        <v>0.0</v>
      </c>
      <c r="AM973" s="141">
        <v>0.0</v>
      </c>
      <c r="AN973" s="80">
        <v>0.0</v>
      </c>
      <c r="AO973" s="140">
        <v>0.0</v>
      </c>
      <c r="AP973" s="109">
        <v>0.0</v>
      </c>
      <c r="AQ973" s="109">
        <v>115.0</v>
      </c>
      <c r="AR973" s="80">
        <v>115.0</v>
      </c>
      <c r="AS973" s="110">
        <v>0.0</v>
      </c>
      <c r="AT973" s="110">
        <v>0.0</v>
      </c>
      <c r="AU973" s="110">
        <v>0.0</v>
      </c>
      <c r="AV973" s="142">
        <v>0.0</v>
      </c>
      <c r="AW973" s="80">
        <v>0.0</v>
      </c>
      <c r="AX973" s="113">
        <v>487.0</v>
      </c>
      <c r="AY973" s="117">
        <v>372.0</v>
      </c>
      <c r="AZ973" s="328">
        <v>115.0</v>
      </c>
      <c r="BA973" s="315">
        <v>0.0</v>
      </c>
      <c r="BB973" s="316">
        <v>487.0</v>
      </c>
      <c r="BC973" s="132" t="s">
        <v>178</v>
      </c>
      <c r="BD973" s="132" t="s">
        <v>178</v>
      </c>
      <c r="BE973" s="132" t="s">
        <v>178</v>
      </c>
      <c r="BF973" s="123"/>
      <c r="BG973" s="83">
        <v>1176123.0</v>
      </c>
      <c r="BH973" s="112">
        <v>6.0</v>
      </c>
      <c r="BI973" s="98" t="s">
        <v>155</v>
      </c>
      <c r="BJ973" s="98" t="str">
        <f t="shared" si="1"/>
        <v>INTEGRAL</v>
      </c>
      <c r="BK973" s="98" t="str">
        <f t="shared" si="2"/>
        <v>NÃO</v>
      </c>
    </row>
    <row r="974" ht="15.75" customHeight="1">
      <c r="A974" s="111" t="s">
        <v>1224</v>
      </c>
      <c r="B974" s="83" t="s">
        <v>5004</v>
      </c>
      <c r="C974" s="191" t="s">
        <v>68</v>
      </c>
      <c r="D974" s="83">
        <v>1165846.0</v>
      </c>
      <c r="E974" s="83"/>
      <c r="F974" s="237">
        <v>2.9125898E7</v>
      </c>
      <c r="G974" s="114" t="s">
        <v>9829</v>
      </c>
      <c r="H974" s="91" t="s">
        <v>5007</v>
      </c>
      <c r="I974" s="381" t="s">
        <v>149</v>
      </c>
      <c r="J974" s="83" t="s">
        <v>150</v>
      </c>
      <c r="K974" s="83" t="s">
        <v>151</v>
      </c>
      <c r="L974" s="83" t="s">
        <v>152</v>
      </c>
      <c r="M974" s="82" t="s">
        <v>9830</v>
      </c>
      <c r="N974" s="82" t="s">
        <v>9831</v>
      </c>
      <c r="O974" s="82" t="s">
        <v>9832</v>
      </c>
      <c r="P974" s="82" t="s">
        <v>9833</v>
      </c>
      <c r="Q974" s="82"/>
      <c r="R974" s="82"/>
      <c r="S974" s="82"/>
      <c r="T974" s="138">
        <v>11.0</v>
      </c>
      <c r="U974" s="331" t="s">
        <v>9834</v>
      </c>
      <c r="V974" s="106">
        <v>0.0</v>
      </c>
      <c r="W974" s="107">
        <v>0.0</v>
      </c>
      <c r="X974" s="107">
        <v>0.0</v>
      </c>
      <c r="Y974" s="107">
        <v>0.0</v>
      </c>
      <c r="Z974" s="80">
        <v>0.0</v>
      </c>
      <c r="AA974" s="140">
        <v>0.0</v>
      </c>
      <c r="AB974" s="109">
        <v>0.0</v>
      </c>
      <c r="AC974" s="109">
        <v>0.0</v>
      </c>
      <c r="AD974" s="141">
        <v>0.0</v>
      </c>
      <c r="AE974" s="80">
        <v>0.0</v>
      </c>
      <c r="AF974" s="140">
        <v>64.0</v>
      </c>
      <c r="AG974" s="109">
        <v>197.0</v>
      </c>
      <c r="AH974" s="109">
        <v>13.0</v>
      </c>
      <c r="AI974" s="141">
        <v>77.0</v>
      </c>
      <c r="AJ974" s="80">
        <v>351.0</v>
      </c>
      <c r="AK974" s="140">
        <v>0.0</v>
      </c>
      <c r="AL974" s="109">
        <v>0.0</v>
      </c>
      <c r="AM974" s="141">
        <v>0.0</v>
      </c>
      <c r="AN974" s="80">
        <v>0.0</v>
      </c>
      <c r="AO974" s="140">
        <v>0.0</v>
      </c>
      <c r="AP974" s="109">
        <v>0.0</v>
      </c>
      <c r="AQ974" s="109">
        <v>30.0</v>
      </c>
      <c r="AR974" s="80">
        <v>30.0</v>
      </c>
      <c r="AS974" s="110">
        <v>0.0</v>
      </c>
      <c r="AT974" s="110">
        <v>0.0</v>
      </c>
      <c r="AU974" s="110">
        <v>43.0</v>
      </c>
      <c r="AV974" s="142">
        <v>0.0</v>
      </c>
      <c r="AW974" s="80">
        <v>43.0</v>
      </c>
      <c r="AX974" s="113">
        <v>424.0</v>
      </c>
      <c r="AY974" s="117">
        <v>338.0</v>
      </c>
      <c r="AZ974" s="328">
        <v>86.0</v>
      </c>
      <c r="BA974" s="315">
        <v>0.0</v>
      </c>
      <c r="BB974" s="316">
        <v>424.0</v>
      </c>
      <c r="BC974" s="132" t="s">
        <v>178</v>
      </c>
      <c r="BD974" s="132" t="s">
        <v>178</v>
      </c>
      <c r="BE974" s="132" t="s">
        <v>178</v>
      </c>
      <c r="BF974" s="123"/>
      <c r="BG974" s="83">
        <v>1165846.0</v>
      </c>
      <c r="BH974" s="112">
        <v>8.0</v>
      </c>
      <c r="BI974" s="98" t="s">
        <v>155</v>
      </c>
      <c r="BJ974" s="98" t="str">
        <f t="shared" si="1"/>
        <v>INTEGRAL</v>
      </c>
      <c r="BK974" s="98" t="str">
        <f t="shared" si="2"/>
        <v>PROFISSIONAL</v>
      </c>
    </row>
    <row r="975" ht="15.75" customHeight="1">
      <c r="A975" s="111" t="s">
        <v>1224</v>
      </c>
      <c r="B975" s="83" t="s">
        <v>5015</v>
      </c>
      <c r="C975" s="83" t="s">
        <v>68</v>
      </c>
      <c r="D975" s="82">
        <v>1114893.0</v>
      </c>
      <c r="E975" s="82"/>
      <c r="F975" s="83">
        <v>2.9126126E7</v>
      </c>
      <c r="G975" s="91" t="s">
        <v>9835</v>
      </c>
      <c r="H975" s="91" t="s">
        <v>5017</v>
      </c>
      <c r="I975" s="114" t="s">
        <v>149</v>
      </c>
      <c r="J975" s="83" t="s">
        <v>150</v>
      </c>
      <c r="K975" s="83" t="s">
        <v>151</v>
      </c>
      <c r="L975" s="83" t="s">
        <v>76</v>
      </c>
      <c r="M975" s="82" t="s">
        <v>9836</v>
      </c>
      <c r="N975" s="82" t="s">
        <v>9837</v>
      </c>
      <c r="O975" s="82"/>
      <c r="P975" s="82"/>
      <c r="Q975" s="82"/>
      <c r="R975" s="82"/>
      <c r="S975" s="82"/>
      <c r="T975" s="138">
        <v>8.0</v>
      </c>
      <c r="U975" s="341">
        <v>7.0</v>
      </c>
      <c r="V975" s="106">
        <v>0.0</v>
      </c>
      <c r="W975" s="107">
        <v>0.0</v>
      </c>
      <c r="X975" s="107">
        <v>0.0</v>
      </c>
      <c r="Y975" s="107">
        <v>0.0</v>
      </c>
      <c r="Z975" s="80">
        <v>0.0</v>
      </c>
      <c r="AA975" s="140">
        <v>0.0</v>
      </c>
      <c r="AB975" s="109">
        <v>0.0</v>
      </c>
      <c r="AC975" s="109">
        <v>0.0</v>
      </c>
      <c r="AD975" s="141">
        <v>0.0</v>
      </c>
      <c r="AE975" s="80">
        <v>0.0</v>
      </c>
      <c r="AF975" s="140">
        <v>72.0</v>
      </c>
      <c r="AG975" s="109">
        <v>134.0</v>
      </c>
      <c r="AH975" s="109">
        <v>38.0</v>
      </c>
      <c r="AI975" s="141">
        <v>111.0</v>
      </c>
      <c r="AJ975" s="80">
        <v>355.0</v>
      </c>
      <c r="AK975" s="140">
        <v>0.0</v>
      </c>
      <c r="AL975" s="109">
        <v>0.0</v>
      </c>
      <c r="AM975" s="141">
        <v>0.0</v>
      </c>
      <c r="AN975" s="80">
        <v>0.0</v>
      </c>
      <c r="AO975" s="140">
        <v>0.0</v>
      </c>
      <c r="AP975" s="109">
        <v>0.0</v>
      </c>
      <c r="AQ975" s="109">
        <v>84.0</v>
      </c>
      <c r="AR975" s="80">
        <v>84.0</v>
      </c>
      <c r="AS975" s="110">
        <v>0.0</v>
      </c>
      <c r="AT975" s="110">
        <v>0.0</v>
      </c>
      <c r="AU975" s="110">
        <v>0.0</v>
      </c>
      <c r="AV975" s="142">
        <v>0.0</v>
      </c>
      <c r="AW975" s="80">
        <v>0.0</v>
      </c>
      <c r="AX975" s="113">
        <v>439.0</v>
      </c>
      <c r="AY975" s="117">
        <v>317.0</v>
      </c>
      <c r="AZ975" s="328">
        <v>122.0</v>
      </c>
      <c r="BA975" s="315">
        <v>1.0</v>
      </c>
      <c r="BB975" s="316">
        <v>440.0</v>
      </c>
      <c r="BC975" s="132" t="s">
        <v>178</v>
      </c>
      <c r="BD975" s="132" t="s">
        <v>178</v>
      </c>
      <c r="BE975" s="132" t="s">
        <v>178</v>
      </c>
      <c r="BF975" s="156"/>
      <c r="BG975" s="83">
        <v>1114893.0</v>
      </c>
      <c r="BH975" s="112">
        <v>7.0</v>
      </c>
      <c r="BI975" s="98" t="s">
        <v>155</v>
      </c>
      <c r="BJ975" s="98" t="str">
        <f t="shared" si="1"/>
        <v>INTEGRAL</v>
      </c>
      <c r="BK975" s="98" t="str">
        <f t="shared" si="2"/>
        <v>NÃO</v>
      </c>
    </row>
    <row r="976" ht="15.75" customHeight="1">
      <c r="A976" s="111" t="s">
        <v>1224</v>
      </c>
      <c r="B976" s="83" t="s">
        <v>5024</v>
      </c>
      <c r="C976" s="83" t="s">
        <v>68</v>
      </c>
      <c r="D976" s="83">
        <v>1178443.0</v>
      </c>
      <c r="E976" s="83"/>
      <c r="F976" s="83">
        <v>2.944934E7</v>
      </c>
      <c r="G976" s="114" t="s">
        <v>9838</v>
      </c>
      <c r="H976" s="91" t="s">
        <v>5026</v>
      </c>
      <c r="I976" s="187" t="s">
        <v>5027</v>
      </c>
      <c r="J976" s="83" t="s">
        <v>890</v>
      </c>
      <c r="K976" s="83" t="s">
        <v>168</v>
      </c>
      <c r="L976" s="83" t="s">
        <v>169</v>
      </c>
      <c r="M976" s="82" t="s">
        <v>9839</v>
      </c>
      <c r="N976" s="82" t="s">
        <v>9840</v>
      </c>
      <c r="O976" s="82" t="s">
        <v>9841</v>
      </c>
      <c r="P976" s="82" t="s">
        <v>9842</v>
      </c>
      <c r="Q976" s="82"/>
      <c r="R976" s="82"/>
      <c r="S976" s="82"/>
      <c r="T976" s="138">
        <v>8.0</v>
      </c>
      <c r="U976" s="323">
        <v>8.0</v>
      </c>
      <c r="V976" s="106">
        <v>4.0</v>
      </c>
      <c r="W976" s="107">
        <v>0.0</v>
      </c>
      <c r="X976" s="107">
        <v>0.0</v>
      </c>
      <c r="Y976" s="107">
        <v>0.0</v>
      </c>
      <c r="Z976" s="80">
        <v>4.0</v>
      </c>
      <c r="AA976" s="140">
        <v>25.0</v>
      </c>
      <c r="AB976" s="109">
        <v>57.0</v>
      </c>
      <c r="AC976" s="109">
        <v>0.0</v>
      </c>
      <c r="AD976" s="141">
        <v>0.0</v>
      </c>
      <c r="AE976" s="80">
        <v>82.0</v>
      </c>
      <c r="AF976" s="140">
        <v>0.0</v>
      </c>
      <c r="AG976" s="109">
        <v>45.0</v>
      </c>
      <c r="AH976" s="109">
        <v>0.0</v>
      </c>
      <c r="AI976" s="141">
        <v>0.0</v>
      </c>
      <c r="AJ976" s="80">
        <v>45.0</v>
      </c>
      <c r="AK976" s="140">
        <v>0.0</v>
      </c>
      <c r="AL976" s="109">
        <v>0.0</v>
      </c>
      <c r="AM976" s="141">
        <v>153.0</v>
      </c>
      <c r="AN976" s="80">
        <v>153.0</v>
      </c>
      <c r="AO976" s="140">
        <v>0.0</v>
      </c>
      <c r="AP976" s="109">
        <v>0.0</v>
      </c>
      <c r="AQ976" s="109">
        <v>109.0</v>
      </c>
      <c r="AR976" s="80">
        <v>109.0</v>
      </c>
      <c r="AS976" s="110">
        <v>0.0</v>
      </c>
      <c r="AT976" s="110">
        <v>0.0</v>
      </c>
      <c r="AU976" s="110">
        <v>0.0</v>
      </c>
      <c r="AV976" s="142">
        <v>0.0</v>
      </c>
      <c r="AW976" s="80">
        <v>0.0</v>
      </c>
      <c r="AX976" s="113">
        <v>393.0</v>
      </c>
      <c r="AY976" s="117">
        <v>131.0</v>
      </c>
      <c r="AZ976" s="328">
        <v>262.0</v>
      </c>
      <c r="BA976" s="315">
        <v>0.0</v>
      </c>
      <c r="BB976" s="316">
        <v>393.0</v>
      </c>
      <c r="BC976" s="143" t="s">
        <v>1294</v>
      </c>
      <c r="BD976" s="132" t="s">
        <v>178</v>
      </c>
      <c r="BE976" s="132" t="s">
        <v>178</v>
      </c>
      <c r="BF976" s="156"/>
      <c r="BG976" s="83">
        <v>1178443.0</v>
      </c>
      <c r="BH976" s="112">
        <v>8.0</v>
      </c>
      <c r="BI976" s="98" t="s">
        <v>155</v>
      </c>
      <c r="BJ976" s="98" t="str">
        <f t="shared" si="1"/>
        <v>NÃO</v>
      </c>
      <c r="BK976" s="98" t="str">
        <f t="shared" si="2"/>
        <v>NÃO</v>
      </c>
    </row>
    <row r="977" ht="15.75" customHeight="1">
      <c r="A977" s="111" t="s">
        <v>1224</v>
      </c>
      <c r="B977" s="83" t="s">
        <v>5024</v>
      </c>
      <c r="C977" s="83" t="s">
        <v>68</v>
      </c>
      <c r="D977" s="83">
        <v>1179131.0</v>
      </c>
      <c r="E977" s="83"/>
      <c r="F977" s="83">
        <v>2.946398E7</v>
      </c>
      <c r="G977" s="114" t="s">
        <v>9843</v>
      </c>
      <c r="H977" s="91" t="s">
        <v>5030</v>
      </c>
      <c r="I977" s="298" t="s">
        <v>5031</v>
      </c>
      <c r="J977" s="83" t="s">
        <v>822</v>
      </c>
      <c r="K977" s="83" t="s">
        <v>151</v>
      </c>
      <c r="L977" s="83" t="s">
        <v>169</v>
      </c>
      <c r="M977" s="82" t="s">
        <v>9844</v>
      </c>
      <c r="N977" s="82" t="s">
        <v>9845</v>
      </c>
      <c r="O977" s="82" t="s">
        <v>9846</v>
      </c>
      <c r="P977" s="82" t="s">
        <v>9847</v>
      </c>
      <c r="Q977" s="82"/>
      <c r="R977" s="82"/>
      <c r="S977" s="82"/>
      <c r="T977" s="138">
        <v>8.0</v>
      </c>
      <c r="U977" s="341">
        <v>8.0</v>
      </c>
      <c r="V977" s="106">
        <v>13.0</v>
      </c>
      <c r="W977" s="107">
        <v>0.0</v>
      </c>
      <c r="X977" s="107">
        <v>0.0</v>
      </c>
      <c r="Y977" s="107">
        <v>0.0</v>
      </c>
      <c r="Z977" s="80">
        <v>13.0</v>
      </c>
      <c r="AA977" s="140">
        <v>56.0</v>
      </c>
      <c r="AB977" s="109">
        <v>78.0</v>
      </c>
      <c r="AC977" s="109">
        <v>0.0</v>
      </c>
      <c r="AD977" s="141">
        <v>0.0</v>
      </c>
      <c r="AE977" s="80">
        <v>134.0</v>
      </c>
      <c r="AF977" s="140">
        <v>0.0</v>
      </c>
      <c r="AG977" s="109">
        <v>25.0</v>
      </c>
      <c r="AH977" s="109">
        <v>0.0</v>
      </c>
      <c r="AI977" s="141">
        <v>0.0</v>
      </c>
      <c r="AJ977" s="80">
        <v>25.0</v>
      </c>
      <c r="AK977" s="140">
        <v>0.0</v>
      </c>
      <c r="AL977" s="109">
        <v>0.0</v>
      </c>
      <c r="AM977" s="141">
        <v>3.0</v>
      </c>
      <c r="AN977" s="80">
        <v>3.0</v>
      </c>
      <c r="AO977" s="140">
        <v>0.0</v>
      </c>
      <c r="AP977" s="109">
        <v>0.0</v>
      </c>
      <c r="AQ977" s="109">
        <v>28.0</v>
      </c>
      <c r="AR977" s="80">
        <v>28.0</v>
      </c>
      <c r="AS977" s="110">
        <v>0.0</v>
      </c>
      <c r="AT977" s="110">
        <v>0.0</v>
      </c>
      <c r="AU977" s="110">
        <v>0.0</v>
      </c>
      <c r="AV977" s="142">
        <v>0.0</v>
      </c>
      <c r="AW977" s="80">
        <v>0.0</v>
      </c>
      <c r="AX977" s="113">
        <v>203.0</v>
      </c>
      <c r="AY977" s="117">
        <v>172.0</v>
      </c>
      <c r="AZ977" s="328">
        <v>31.0</v>
      </c>
      <c r="BA977" s="315">
        <v>0.0</v>
      </c>
      <c r="BB977" s="316">
        <v>203.0</v>
      </c>
      <c r="BC977" s="143" t="s">
        <v>1294</v>
      </c>
      <c r="BD977" s="132" t="s">
        <v>178</v>
      </c>
      <c r="BE977" s="132" t="s">
        <v>178</v>
      </c>
      <c r="BF977" s="123"/>
      <c r="BG977" s="83">
        <v>1179131.0</v>
      </c>
      <c r="BH977" s="112">
        <v>8.0</v>
      </c>
      <c r="BI977" s="98" t="s">
        <v>155</v>
      </c>
      <c r="BJ977" s="98" t="str">
        <f t="shared" si="1"/>
        <v>NÃO</v>
      </c>
      <c r="BK977" s="98" t="str">
        <f t="shared" si="2"/>
        <v>NÃO</v>
      </c>
    </row>
    <row r="978" ht="15.75" customHeight="1">
      <c r="A978" s="111" t="s">
        <v>1224</v>
      </c>
      <c r="B978" s="83" t="s">
        <v>5024</v>
      </c>
      <c r="C978" s="83" t="s">
        <v>68</v>
      </c>
      <c r="D978" s="83">
        <v>1178319.0</v>
      </c>
      <c r="E978" s="83"/>
      <c r="F978" s="83">
        <v>2.9599601E7</v>
      </c>
      <c r="G978" s="119" t="s">
        <v>9848</v>
      </c>
      <c r="H978" s="91" t="s">
        <v>5039</v>
      </c>
      <c r="I978" s="114" t="s">
        <v>5040</v>
      </c>
      <c r="J978" s="83" t="s">
        <v>1347</v>
      </c>
      <c r="K978" s="83" t="s">
        <v>151</v>
      </c>
      <c r="L978" s="83" t="s">
        <v>76</v>
      </c>
      <c r="M978" s="82" t="s">
        <v>2962</v>
      </c>
      <c r="N978" s="82"/>
      <c r="O978" s="82"/>
      <c r="P978" s="82"/>
      <c r="Q978" s="82"/>
      <c r="R978" s="82"/>
      <c r="S978" s="82"/>
      <c r="T978" s="138">
        <v>8.0</v>
      </c>
      <c r="U978" s="331" t="s">
        <v>2949</v>
      </c>
      <c r="V978" s="106">
        <v>15.0</v>
      </c>
      <c r="W978" s="107">
        <v>0.0</v>
      </c>
      <c r="X978" s="107">
        <v>0.0</v>
      </c>
      <c r="Y978" s="107">
        <v>0.0</v>
      </c>
      <c r="Z978" s="80">
        <v>15.0</v>
      </c>
      <c r="AA978" s="140">
        <v>66.0</v>
      </c>
      <c r="AB978" s="109">
        <v>105.0</v>
      </c>
      <c r="AC978" s="109">
        <v>0.0</v>
      </c>
      <c r="AD978" s="141">
        <v>0.0</v>
      </c>
      <c r="AE978" s="80">
        <v>171.0</v>
      </c>
      <c r="AF978" s="140">
        <v>0.0</v>
      </c>
      <c r="AG978" s="109">
        <v>0.0</v>
      </c>
      <c r="AH978" s="109">
        <v>8.0</v>
      </c>
      <c r="AI978" s="141">
        <v>0.0</v>
      </c>
      <c r="AJ978" s="80">
        <v>8.0</v>
      </c>
      <c r="AK978" s="140">
        <v>0.0</v>
      </c>
      <c r="AL978" s="109">
        <v>0.0</v>
      </c>
      <c r="AM978" s="141">
        <v>10.0</v>
      </c>
      <c r="AN978" s="80">
        <v>10.0</v>
      </c>
      <c r="AO978" s="140">
        <v>0.0</v>
      </c>
      <c r="AP978" s="109">
        <v>0.0</v>
      </c>
      <c r="AQ978" s="109">
        <v>48.0</v>
      </c>
      <c r="AR978" s="80">
        <v>48.0</v>
      </c>
      <c r="AS978" s="110">
        <v>0.0</v>
      </c>
      <c r="AT978" s="110">
        <v>0.0</v>
      </c>
      <c r="AU978" s="110">
        <v>0.0</v>
      </c>
      <c r="AV978" s="142">
        <v>0.0</v>
      </c>
      <c r="AW978" s="80">
        <v>0.0</v>
      </c>
      <c r="AX978" s="113">
        <v>252.0</v>
      </c>
      <c r="AY978" s="117">
        <v>186.0</v>
      </c>
      <c r="AZ978" s="328">
        <v>66.0</v>
      </c>
      <c r="BA978" s="315">
        <v>0.0</v>
      </c>
      <c r="BB978" s="316">
        <v>252.0</v>
      </c>
      <c r="BC978" s="143" t="s">
        <v>1294</v>
      </c>
      <c r="BD978" s="132" t="s">
        <v>178</v>
      </c>
      <c r="BE978" s="132" t="s">
        <v>178</v>
      </c>
      <c r="BF978" s="123"/>
      <c r="BG978" s="83">
        <v>1178319.0</v>
      </c>
      <c r="BH978" s="112">
        <v>8.0</v>
      </c>
      <c r="BI978" s="98" t="s">
        <v>155</v>
      </c>
      <c r="BJ978" s="98" t="str">
        <f t="shared" si="1"/>
        <v>NÃO</v>
      </c>
      <c r="BK978" s="98" t="str">
        <f t="shared" si="2"/>
        <v>NÃO</v>
      </c>
    </row>
    <row r="979" ht="15.75" customHeight="1">
      <c r="A979" s="111" t="s">
        <v>1224</v>
      </c>
      <c r="B979" s="83" t="s">
        <v>5024</v>
      </c>
      <c r="C979" s="83" t="s">
        <v>68</v>
      </c>
      <c r="D979" s="83">
        <v>1179128.0</v>
      </c>
      <c r="E979" s="83"/>
      <c r="F979" s="83">
        <v>2.912655E7</v>
      </c>
      <c r="G979" s="114" t="s">
        <v>9849</v>
      </c>
      <c r="H979" s="91" t="s">
        <v>5043</v>
      </c>
      <c r="I979" s="241" t="s">
        <v>5044</v>
      </c>
      <c r="J979" s="83" t="s">
        <v>1386</v>
      </c>
      <c r="K979" s="83" t="s">
        <v>168</v>
      </c>
      <c r="L979" s="83" t="s">
        <v>169</v>
      </c>
      <c r="M979" s="82" t="s">
        <v>9850</v>
      </c>
      <c r="N979" s="82" t="s">
        <v>9851</v>
      </c>
      <c r="O979" s="82"/>
      <c r="P979" s="82"/>
      <c r="Q979" s="82"/>
      <c r="R979" s="82"/>
      <c r="S979" s="82"/>
      <c r="T979" s="138">
        <v>8.0</v>
      </c>
      <c r="U979" s="331" t="s">
        <v>9852</v>
      </c>
      <c r="V979" s="106">
        <v>18.0</v>
      </c>
      <c r="W979" s="107">
        <v>0.0</v>
      </c>
      <c r="X979" s="107">
        <v>0.0</v>
      </c>
      <c r="Y979" s="107">
        <v>0.0</v>
      </c>
      <c r="Z979" s="80">
        <v>18.0</v>
      </c>
      <c r="AA979" s="140">
        <v>50.0</v>
      </c>
      <c r="AB979" s="109">
        <v>80.0</v>
      </c>
      <c r="AC979" s="109">
        <v>0.0</v>
      </c>
      <c r="AD979" s="141">
        <v>0.0</v>
      </c>
      <c r="AE979" s="80">
        <v>130.0</v>
      </c>
      <c r="AF979" s="140">
        <v>0.0</v>
      </c>
      <c r="AG979" s="109">
        <v>14.0</v>
      </c>
      <c r="AH979" s="109">
        <v>0.0</v>
      </c>
      <c r="AI979" s="141">
        <v>0.0</v>
      </c>
      <c r="AJ979" s="80">
        <v>14.0</v>
      </c>
      <c r="AK979" s="140">
        <v>0.0</v>
      </c>
      <c r="AL979" s="109">
        <v>0.0</v>
      </c>
      <c r="AM979" s="141">
        <v>8.0</v>
      </c>
      <c r="AN979" s="80">
        <v>8.0</v>
      </c>
      <c r="AO979" s="140">
        <v>0.0</v>
      </c>
      <c r="AP979" s="109">
        <v>0.0</v>
      </c>
      <c r="AQ979" s="109">
        <v>12.0</v>
      </c>
      <c r="AR979" s="80">
        <v>12.0</v>
      </c>
      <c r="AS979" s="110">
        <v>0.0</v>
      </c>
      <c r="AT979" s="110">
        <v>0.0</v>
      </c>
      <c r="AU979" s="110">
        <v>0.0</v>
      </c>
      <c r="AV979" s="142">
        <v>0.0</v>
      </c>
      <c r="AW979" s="80">
        <v>0.0</v>
      </c>
      <c r="AX979" s="113">
        <v>182.0</v>
      </c>
      <c r="AY979" s="117">
        <v>162.0</v>
      </c>
      <c r="AZ979" s="328">
        <v>20.0</v>
      </c>
      <c r="BA979" s="315">
        <v>0.0</v>
      </c>
      <c r="BB979" s="316">
        <v>182.0</v>
      </c>
      <c r="BC979" s="143" t="s">
        <v>1294</v>
      </c>
      <c r="BD979" s="132" t="s">
        <v>178</v>
      </c>
      <c r="BE979" s="132" t="s">
        <v>178</v>
      </c>
      <c r="BF979" s="123"/>
      <c r="BG979" s="83">
        <v>1179128.0</v>
      </c>
      <c r="BH979" s="112">
        <v>8.0</v>
      </c>
      <c r="BI979" s="98" t="s">
        <v>155</v>
      </c>
      <c r="BJ979" s="98" t="str">
        <f t="shared" si="1"/>
        <v>NÃO</v>
      </c>
      <c r="BK979" s="98" t="str">
        <f t="shared" si="2"/>
        <v>NÃO</v>
      </c>
    </row>
    <row r="980" ht="15.75" customHeight="1">
      <c r="A980" s="111" t="s">
        <v>1224</v>
      </c>
      <c r="B980" s="83" t="s">
        <v>5024</v>
      </c>
      <c r="C980" s="83" t="s">
        <v>68</v>
      </c>
      <c r="D980" s="83">
        <v>1178096.0</v>
      </c>
      <c r="E980" s="83"/>
      <c r="F980" s="83">
        <v>2.9429889E7</v>
      </c>
      <c r="G980" s="114" t="s">
        <v>9853</v>
      </c>
      <c r="H980" s="91" t="s">
        <v>5047</v>
      </c>
      <c r="I980" s="187" t="s">
        <v>149</v>
      </c>
      <c r="J980" s="83" t="s">
        <v>150</v>
      </c>
      <c r="K980" s="83" t="s">
        <v>151</v>
      </c>
      <c r="L980" s="83" t="s">
        <v>76</v>
      </c>
      <c r="M980" s="82" t="s">
        <v>9854</v>
      </c>
      <c r="N980" s="82" t="s">
        <v>9855</v>
      </c>
      <c r="O980" s="82" t="s">
        <v>9856</v>
      </c>
      <c r="P980" s="82" t="s">
        <v>9857</v>
      </c>
      <c r="Q980" s="82"/>
      <c r="R980" s="82"/>
      <c r="S980" s="82"/>
      <c r="T980" s="138">
        <v>7.0</v>
      </c>
      <c r="U980" s="323">
        <v>6.0</v>
      </c>
      <c r="V980" s="106">
        <v>0.0</v>
      </c>
      <c r="W980" s="107">
        <v>0.0</v>
      </c>
      <c r="X980" s="107">
        <v>0.0</v>
      </c>
      <c r="Y980" s="107">
        <v>0.0</v>
      </c>
      <c r="Z980" s="80">
        <v>0.0</v>
      </c>
      <c r="AA980" s="140">
        <v>0.0</v>
      </c>
      <c r="AB980" s="109">
        <v>0.0</v>
      </c>
      <c r="AC980" s="109">
        <v>0.0</v>
      </c>
      <c r="AD980" s="141">
        <v>0.0</v>
      </c>
      <c r="AE980" s="80">
        <v>0.0</v>
      </c>
      <c r="AF980" s="140">
        <v>226.0</v>
      </c>
      <c r="AG980" s="109">
        <v>122.0</v>
      </c>
      <c r="AH980" s="109">
        <v>0.0</v>
      </c>
      <c r="AI980" s="141">
        <v>0.0</v>
      </c>
      <c r="AJ980" s="80">
        <v>348.0</v>
      </c>
      <c r="AK980" s="140">
        <v>0.0</v>
      </c>
      <c r="AL980" s="109">
        <v>0.0</v>
      </c>
      <c r="AM980" s="141">
        <v>0.0</v>
      </c>
      <c r="AN980" s="80">
        <v>0.0</v>
      </c>
      <c r="AO980" s="140">
        <v>0.0</v>
      </c>
      <c r="AP980" s="109">
        <v>0.0</v>
      </c>
      <c r="AQ980" s="109">
        <v>38.0</v>
      </c>
      <c r="AR980" s="80">
        <v>38.0</v>
      </c>
      <c r="AS980" s="110">
        <v>0.0</v>
      </c>
      <c r="AT980" s="110">
        <v>0.0</v>
      </c>
      <c r="AU980" s="110">
        <v>7.0</v>
      </c>
      <c r="AV980" s="142">
        <v>0.0</v>
      </c>
      <c r="AW980" s="80">
        <v>7.0</v>
      </c>
      <c r="AX980" s="113">
        <v>393.0</v>
      </c>
      <c r="AY980" s="117">
        <v>348.0</v>
      </c>
      <c r="AZ980" s="328">
        <v>45.0</v>
      </c>
      <c r="BA980" s="315">
        <v>0.0</v>
      </c>
      <c r="BB980" s="316">
        <v>393.0</v>
      </c>
      <c r="BC980" s="132" t="s">
        <v>178</v>
      </c>
      <c r="BD980" s="132" t="s">
        <v>178</v>
      </c>
      <c r="BE980" s="132" t="s">
        <v>178</v>
      </c>
      <c r="BF980" s="123"/>
      <c r="BG980" s="83">
        <v>1178096.0</v>
      </c>
      <c r="BH980" s="112">
        <v>6.0</v>
      </c>
      <c r="BI980" s="98" t="s">
        <v>155</v>
      </c>
      <c r="BJ980" s="98" t="str">
        <f t="shared" si="1"/>
        <v>NÃO</v>
      </c>
      <c r="BK980" s="98" t="str">
        <f t="shared" si="2"/>
        <v>PROFISSIONAL</v>
      </c>
    </row>
    <row r="981" ht="15.75" customHeight="1">
      <c r="A981" s="111" t="s">
        <v>1224</v>
      </c>
      <c r="B981" s="83" t="s">
        <v>5024</v>
      </c>
      <c r="C981" s="83" t="s">
        <v>164</v>
      </c>
      <c r="D981" s="83">
        <v>1178319.0</v>
      </c>
      <c r="E981" s="83">
        <v>1178587.0</v>
      </c>
      <c r="F981" s="83"/>
      <c r="G981" s="119" t="s">
        <v>5056</v>
      </c>
      <c r="H981" s="91" t="s">
        <v>5057</v>
      </c>
      <c r="I981" s="187" t="s">
        <v>5058</v>
      </c>
      <c r="J981" s="83" t="s">
        <v>4299</v>
      </c>
      <c r="K981" s="83" t="s">
        <v>151</v>
      </c>
      <c r="L981" s="83" t="s">
        <v>169</v>
      </c>
      <c r="M981" s="82" t="s">
        <v>2962</v>
      </c>
      <c r="N981" s="82"/>
      <c r="O981" s="82"/>
      <c r="P981" s="82"/>
      <c r="Q981" s="82"/>
      <c r="R981" s="82"/>
      <c r="S981" s="82"/>
      <c r="T981" s="138">
        <v>4.0</v>
      </c>
      <c r="U981" s="323">
        <v>2.0</v>
      </c>
      <c r="V981" s="106">
        <v>4.0</v>
      </c>
      <c r="W981" s="107">
        <v>0.0</v>
      </c>
      <c r="X981" s="107">
        <v>0.0</v>
      </c>
      <c r="Y981" s="107">
        <v>0.0</v>
      </c>
      <c r="Z981" s="80">
        <v>4.0</v>
      </c>
      <c r="AA981" s="140">
        <v>5.0</v>
      </c>
      <c r="AB981" s="109">
        <v>0.0</v>
      </c>
      <c r="AC981" s="109">
        <v>0.0</v>
      </c>
      <c r="AD981" s="141">
        <v>0.0</v>
      </c>
      <c r="AE981" s="80">
        <v>5.0</v>
      </c>
      <c r="AF981" s="140">
        <v>0.0</v>
      </c>
      <c r="AG981" s="109">
        <v>0.0</v>
      </c>
      <c r="AH981" s="109">
        <v>0.0</v>
      </c>
      <c r="AI981" s="141">
        <v>0.0</v>
      </c>
      <c r="AJ981" s="80">
        <v>0.0</v>
      </c>
      <c r="AK981" s="140">
        <v>0.0</v>
      </c>
      <c r="AL981" s="109">
        <v>0.0</v>
      </c>
      <c r="AM981" s="141">
        <v>0.0</v>
      </c>
      <c r="AN981" s="80">
        <v>0.0</v>
      </c>
      <c r="AO981" s="140">
        <v>0.0</v>
      </c>
      <c r="AP981" s="109">
        <v>0.0</v>
      </c>
      <c r="AQ981" s="109">
        <v>0.0</v>
      </c>
      <c r="AR981" s="80">
        <v>0.0</v>
      </c>
      <c r="AS981" s="110">
        <v>0.0</v>
      </c>
      <c r="AT981" s="110">
        <v>0.0</v>
      </c>
      <c r="AU981" s="110">
        <v>0.0</v>
      </c>
      <c r="AV981" s="142">
        <v>0.0</v>
      </c>
      <c r="AW981" s="80">
        <v>0.0</v>
      </c>
      <c r="AX981" s="113">
        <v>9.0</v>
      </c>
      <c r="AY981" s="117">
        <v>9.0</v>
      </c>
      <c r="AZ981" s="328">
        <v>0.0</v>
      </c>
      <c r="BA981" s="315">
        <v>0.0</v>
      </c>
      <c r="BB981" s="316">
        <v>9.0</v>
      </c>
      <c r="BC981" s="143" t="s">
        <v>1294</v>
      </c>
      <c r="BD981" s="132" t="s">
        <v>178</v>
      </c>
      <c r="BE981" s="132" t="s">
        <v>178</v>
      </c>
      <c r="BF981" s="123"/>
      <c r="BG981" s="83">
        <v>1178587.0</v>
      </c>
      <c r="BH981" s="112">
        <v>2.0</v>
      </c>
      <c r="BI981" s="98" t="s">
        <v>155</v>
      </c>
      <c r="BJ981" s="98" t="str">
        <f t="shared" si="1"/>
        <v>NÃO</v>
      </c>
      <c r="BK981" s="98" t="str">
        <f t="shared" si="2"/>
        <v>NÃO</v>
      </c>
    </row>
    <row r="982" ht="15.75" customHeight="1">
      <c r="A982" s="111" t="s">
        <v>1224</v>
      </c>
      <c r="B982" s="83" t="s">
        <v>5024</v>
      </c>
      <c r="C982" s="83" t="s">
        <v>164</v>
      </c>
      <c r="D982" s="83">
        <v>1178319.0</v>
      </c>
      <c r="E982" s="83">
        <v>1178588.0</v>
      </c>
      <c r="F982" s="83"/>
      <c r="G982" s="114" t="s">
        <v>5059</v>
      </c>
      <c r="H982" s="91" t="s">
        <v>5060</v>
      </c>
      <c r="I982" s="187" t="s">
        <v>5060</v>
      </c>
      <c r="J982" s="83" t="s">
        <v>1012</v>
      </c>
      <c r="K982" s="83" t="s">
        <v>151</v>
      </c>
      <c r="L982" s="83" t="s">
        <v>169</v>
      </c>
      <c r="M982" s="82" t="s">
        <v>2962</v>
      </c>
      <c r="N982" s="82"/>
      <c r="O982" s="82"/>
      <c r="P982" s="82"/>
      <c r="Q982" s="82"/>
      <c r="R982" s="82"/>
      <c r="S982" s="82"/>
      <c r="T982" s="138">
        <v>3.0</v>
      </c>
      <c r="U982" s="323">
        <v>3.0</v>
      </c>
      <c r="V982" s="106">
        <v>12.0</v>
      </c>
      <c r="W982" s="107">
        <v>12.0</v>
      </c>
      <c r="X982" s="107">
        <v>0.0</v>
      </c>
      <c r="Y982" s="107">
        <v>0.0</v>
      </c>
      <c r="Z982" s="80">
        <v>24.0</v>
      </c>
      <c r="AA982" s="140">
        <v>11.0</v>
      </c>
      <c r="AB982" s="109">
        <v>17.0</v>
      </c>
      <c r="AC982" s="109">
        <v>0.0</v>
      </c>
      <c r="AD982" s="141">
        <v>0.0</v>
      </c>
      <c r="AE982" s="80">
        <v>28.0</v>
      </c>
      <c r="AF982" s="140">
        <v>0.0</v>
      </c>
      <c r="AG982" s="109">
        <v>0.0</v>
      </c>
      <c r="AH982" s="109">
        <v>0.0</v>
      </c>
      <c r="AI982" s="141">
        <v>0.0</v>
      </c>
      <c r="AJ982" s="80">
        <v>0.0</v>
      </c>
      <c r="AK982" s="140">
        <v>0.0</v>
      </c>
      <c r="AL982" s="109">
        <v>0.0</v>
      </c>
      <c r="AM982" s="141">
        <v>0.0</v>
      </c>
      <c r="AN982" s="80">
        <v>0.0</v>
      </c>
      <c r="AO982" s="140">
        <v>0.0</v>
      </c>
      <c r="AP982" s="109">
        <v>0.0</v>
      </c>
      <c r="AQ982" s="109">
        <v>0.0</v>
      </c>
      <c r="AR982" s="80">
        <v>0.0</v>
      </c>
      <c r="AS982" s="110">
        <v>0.0</v>
      </c>
      <c r="AT982" s="110">
        <v>0.0</v>
      </c>
      <c r="AU982" s="110">
        <v>0.0</v>
      </c>
      <c r="AV982" s="142">
        <v>0.0</v>
      </c>
      <c r="AW982" s="80">
        <v>0.0</v>
      </c>
      <c r="AX982" s="113">
        <v>52.0</v>
      </c>
      <c r="AY982" s="117">
        <v>52.0</v>
      </c>
      <c r="AZ982" s="328">
        <v>0.0</v>
      </c>
      <c r="BA982" s="315">
        <v>0.0</v>
      </c>
      <c r="BB982" s="316">
        <v>52.0</v>
      </c>
      <c r="BC982" s="143" t="s">
        <v>1294</v>
      </c>
      <c r="BD982" s="132" t="s">
        <v>178</v>
      </c>
      <c r="BE982" s="132" t="s">
        <v>178</v>
      </c>
      <c r="BF982" s="123"/>
      <c r="BG982" s="83">
        <v>1178588.0</v>
      </c>
      <c r="BH982" s="112">
        <v>3.0</v>
      </c>
      <c r="BI982" s="98" t="s">
        <v>155</v>
      </c>
      <c r="BJ982" s="98" t="str">
        <f t="shared" si="1"/>
        <v>NÃO</v>
      </c>
      <c r="BK982" s="98" t="str">
        <f t="shared" si="2"/>
        <v>NÃO</v>
      </c>
    </row>
    <row r="983" ht="15.75" customHeight="1">
      <c r="A983" s="111" t="s">
        <v>1224</v>
      </c>
      <c r="B983" s="83" t="s">
        <v>5024</v>
      </c>
      <c r="C983" s="83" t="s">
        <v>164</v>
      </c>
      <c r="D983" s="83">
        <v>1178319.0</v>
      </c>
      <c r="E983" s="83">
        <v>1178589.0</v>
      </c>
      <c r="F983" s="83"/>
      <c r="G983" s="114" t="s">
        <v>5062</v>
      </c>
      <c r="H983" s="91" t="s">
        <v>5063</v>
      </c>
      <c r="I983" s="187" t="s">
        <v>5064</v>
      </c>
      <c r="J983" s="83" t="s">
        <v>1741</v>
      </c>
      <c r="K983" s="83" t="s">
        <v>151</v>
      </c>
      <c r="L983" s="83" t="s">
        <v>169</v>
      </c>
      <c r="M983" s="82" t="s">
        <v>2962</v>
      </c>
      <c r="N983" s="82"/>
      <c r="O983" s="82"/>
      <c r="P983" s="82"/>
      <c r="Q983" s="82"/>
      <c r="R983" s="82"/>
      <c r="S983" s="82"/>
      <c r="T983" s="138">
        <v>5.0</v>
      </c>
      <c r="U983" s="323">
        <v>8.0</v>
      </c>
      <c r="V983" s="106">
        <v>31.0</v>
      </c>
      <c r="W983" s="107">
        <v>0.0</v>
      </c>
      <c r="X983" s="107">
        <v>0.0</v>
      </c>
      <c r="Y983" s="107">
        <v>0.0</v>
      </c>
      <c r="Z983" s="80">
        <v>31.0</v>
      </c>
      <c r="AA983" s="140">
        <v>34.0</v>
      </c>
      <c r="AB983" s="109">
        <v>58.0</v>
      </c>
      <c r="AC983" s="109">
        <v>0.0</v>
      </c>
      <c r="AD983" s="141">
        <v>0.0</v>
      </c>
      <c r="AE983" s="80">
        <v>92.0</v>
      </c>
      <c r="AF983" s="140">
        <v>0.0</v>
      </c>
      <c r="AG983" s="109">
        <v>0.0</v>
      </c>
      <c r="AH983" s="109">
        <v>0.0</v>
      </c>
      <c r="AI983" s="141">
        <v>0.0</v>
      </c>
      <c r="AJ983" s="80">
        <v>0.0</v>
      </c>
      <c r="AK983" s="140">
        <v>0.0</v>
      </c>
      <c r="AL983" s="109">
        <v>0.0</v>
      </c>
      <c r="AM983" s="141">
        <v>12.0</v>
      </c>
      <c r="AN983" s="80">
        <v>12.0</v>
      </c>
      <c r="AO983" s="140">
        <v>0.0</v>
      </c>
      <c r="AP983" s="109">
        <v>0.0</v>
      </c>
      <c r="AQ983" s="109">
        <v>0.0</v>
      </c>
      <c r="AR983" s="80">
        <v>0.0</v>
      </c>
      <c r="AS983" s="110">
        <v>0.0</v>
      </c>
      <c r="AT983" s="110">
        <v>0.0</v>
      </c>
      <c r="AU983" s="110">
        <v>0.0</v>
      </c>
      <c r="AV983" s="142">
        <v>0.0</v>
      </c>
      <c r="AW983" s="80">
        <v>0.0</v>
      </c>
      <c r="AX983" s="113">
        <v>135.0</v>
      </c>
      <c r="AY983" s="117">
        <v>123.0</v>
      </c>
      <c r="AZ983" s="328">
        <v>12.0</v>
      </c>
      <c r="BA983" s="315">
        <v>0.0</v>
      </c>
      <c r="BB983" s="316">
        <v>135.0</v>
      </c>
      <c r="BC983" s="143" t="s">
        <v>1294</v>
      </c>
      <c r="BD983" s="132" t="s">
        <v>178</v>
      </c>
      <c r="BE983" s="132" t="s">
        <v>178</v>
      </c>
      <c r="BF983" s="123"/>
      <c r="BG983" s="83">
        <v>1178589.0</v>
      </c>
      <c r="BH983" s="112">
        <v>8.0</v>
      </c>
      <c r="BI983" s="98" t="s">
        <v>155</v>
      </c>
      <c r="BJ983" s="98" t="str">
        <f t="shared" si="1"/>
        <v>NÃO</v>
      </c>
      <c r="BK983" s="98" t="str">
        <f t="shared" si="2"/>
        <v>NÃO</v>
      </c>
    </row>
    <row r="984" ht="15.75" customHeight="1">
      <c r="A984" s="111" t="s">
        <v>1224</v>
      </c>
      <c r="B984" s="83" t="s">
        <v>5024</v>
      </c>
      <c r="C984" s="83" t="s">
        <v>164</v>
      </c>
      <c r="D984" s="83">
        <v>1179128.0</v>
      </c>
      <c r="E984" s="83">
        <v>1179133.0</v>
      </c>
      <c r="F984" s="83"/>
      <c r="G984" s="114" t="s">
        <v>5072</v>
      </c>
      <c r="H984" s="91" t="s">
        <v>5073</v>
      </c>
      <c r="I984" s="187" t="s">
        <v>5074</v>
      </c>
      <c r="J984" s="83" t="s">
        <v>822</v>
      </c>
      <c r="K984" s="83" t="s">
        <v>168</v>
      </c>
      <c r="L984" s="83" t="s">
        <v>169</v>
      </c>
      <c r="M984" s="82" t="s">
        <v>9850</v>
      </c>
      <c r="N984" s="82" t="s">
        <v>9851</v>
      </c>
      <c r="O984" s="82"/>
      <c r="P984" s="82"/>
      <c r="Q984" s="82"/>
      <c r="R984" s="82"/>
      <c r="S984" s="82"/>
      <c r="T984" s="138">
        <v>2.0</v>
      </c>
      <c r="U984" s="323">
        <v>2.0</v>
      </c>
      <c r="V984" s="106">
        <v>6.0</v>
      </c>
      <c r="W984" s="107">
        <v>0.0</v>
      </c>
      <c r="X984" s="107">
        <v>0.0</v>
      </c>
      <c r="Y984" s="107">
        <v>0.0</v>
      </c>
      <c r="Z984" s="80">
        <v>6.0</v>
      </c>
      <c r="AA984" s="140">
        <v>6.0</v>
      </c>
      <c r="AB984" s="109">
        <v>4.0</v>
      </c>
      <c r="AC984" s="109">
        <v>0.0</v>
      </c>
      <c r="AD984" s="141">
        <v>0.0</v>
      </c>
      <c r="AE984" s="80">
        <v>10.0</v>
      </c>
      <c r="AF984" s="140">
        <v>0.0</v>
      </c>
      <c r="AG984" s="109">
        <v>0.0</v>
      </c>
      <c r="AH984" s="109">
        <v>0.0</v>
      </c>
      <c r="AI984" s="141">
        <v>0.0</v>
      </c>
      <c r="AJ984" s="80">
        <v>0.0</v>
      </c>
      <c r="AK984" s="140">
        <v>0.0</v>
      </c>
      <c r="AL984" s="109">
        <v>0.0</v>
      </c>
      <c r="AM984" s="141">
        <v>0.0</v>
      </c>
      <c r="AN984" s="80">
        <v>0.0</v>
      </c>
      <c r="AO984" s="140">
        <v>0.0</v>
      </c>
      <c r="AP984" s="109">
        <v>0.0</v>
      </c>
      <c r="AQ984" s="109">
        <v>0.0</v>
      </c>
      <c r="AR984" s="80">
        <v>0.0</v>
      </c>
      <c r="AS984" s="110">
        <v>0.0</v>
      </c>
      <c r="AT984" s="110">
        <v>0.0</v>
      </c>
      <c r="AU984" s="110">
        <v>0.0</v>
      </c>
      <c r="AV984" s="142">
        <v>0.0</v>
      </c>
      <c r="AW984" s="80">
        <v>0.0</v>
      </c>
      <c r="AX984" s="113">
        <v>16.0</v>
      </c>
      <c r="AY984" s="117">
        <v>16.0</v>
      </c>
      <c r="AZ984" s="328">
        <v>0.0</v>
      </c>
      <c r="BA984" s="315">
        <v>0.0</v>
      </c>
      <c r="BB984" s="316">
        <v>16.0</v>
      </c>
      <c r="BC984" s="143" t="s">
        <v>1294</v>
      </c>
      <c r="BD984" s="132" t="s">
        <v>178</v>
      </c>
      <c r="BE984" s="132" t="s">
        <v>178</v>
      </c>
      <c r="BF984" s="123"/>
      <c r="BG984" s="83">
        <v>1179133.0</v>
      </c>
      <c r="BH984" s="112">
        <v>2.0</v>
      </c>
      <c r="BI984" s="98" t="s">
        <v>155</v>
      </c>
      <c r="BJ984" s="98" t="str">
        <f t="shared" si="1"/>
        <v>NÃO</v>
      </c>
      <c r="BK984" s="98" t="str">
        <f t="shared" si="2"/>
        <v>NÃO</v>
      </c>
    </row>
    <row r="985" ht="15.75" customHeight="1">
      <c r="A985" s="111" t="s">
        <v>1224</v>
      </c>
      <c r="B985" s="83" t="s">
        <v>5024</v>
      </c>
      <c r="C985" s="83" t="s">
        <v>164</v>
      </c>
      <c r="D985" s="83">
        <v>1179128.0</v>
      </c>
      <c r="E985" s="83">
        <v>1179130.0</v>
      </c>
      <c r="F985" s="83"/>
      <c r="G985" s="114" t="s">
        <v>5075</v>
      </c>
      <c r="H985" s="91" t="s">
        <v>5076</v>
      </c>
      <c r="I985" s="187" t="s">
        <v>5077</v>
      </c>
      <c r="J985" s="83" t="s">
        <v>1321</v>
      </c>
      <c r="K985" s="83" t="s">
        <v>168</v>
      </c>
      <c r="L985" s="83" t="s">
        <v>169</v>
      </c>
      <c r="M985" s="82" t="s">
        <v>9850</v>
      </c>
      <c r="N985" s="82" t="s">
        <v>9851</v>
      </c>
      <c r="O985" s="82"/>
      <c r="P985" s="82"/>
      <c r="Q985" s="82"/>
      <c r="R985" s="82"/>
      <c r="S985" s="82"/>
      <c r="T985" s="138">
        <v>1.0</v>
      </c>
      <c r="U985" s="323">
        <v>1.0</v>
      </c>
      <c r="V985" s="106">
        <v>5.0</v>
      </c>
      <c r="W985" s="107">
        <v>0.0</v>
      </c>
      <c r="X985" s="107">
        <v>0.0</v>
      </c>
      <c r="Y985" s="107">
        <v>0.0</v>
      </c>
      <c r="Z985" s="80">
        <v>5.0</v>
      </c>
      <c r="AA985" s="140">
        <v>3.0</v>
      </c>
      <c r="AB985" s="109">
        <v>5.0</v>
      </c>
      <c r="AC985" s="109">
        <v>0.0</v>
      </c>
      <c r="AD985" s="141">
        <v>0.0</v>
      </c>
      <c r="AE985" s="80">
        <v>8.0</v>
      </c>
      <c r="AF985" s="140">
        <v>0.0</v>
      </c>
      <c r="AG985" s="109">
        <v>0.0</v>
      </c>
      <c r="AH985" s="109">
        <v>0.0</v>
      </c>
      <c r="AI985" s="141">
        <v>0.0</v>
      </c>
      <c r="AJ985" s="80">
        <v>0.0</v>
      </c>
      <c r="AK985" s="140">
        <v>0.0</v>
      </c>
      <c r="AL985" s="109">
        <v>0.0</v>
      </c>
      <c r="AM985" s="141">
        <v>0.0</v>
      </c>
      <c r="AN985" s="80">
        <v>0.0</v>
      </c>
      <c r="AO985" s="140">
        <v>0.0</v>
      </c>
      <c r="AP985" s="109">
        <v>0.0</v>
      </c>
      <c r="AQ985" s="109">
        <v>0.0</v>
      </c>
      <c r="AR985" s="80">
        <v>0.0</v>
      </c>
      <c r="AS985" s="110">
        <v>0.0</v>
      </c>
      <c r="AT985" s="110">
        <v>0.0</v>
      </c>
      <c r="AU985" s="110">
        <v>0.0</v>
      </c>
      <c r="AV985" s="142">
        <v>0.0</v>
      </c>
      <c r="AW985" s="80">
        <v>0.0</v>
      </c>
      <c r="AX985" s="113">
        <v>13.0</v>
      </c>
      <c r="AY985" s="117">
        <v>13.0</v>
      </c>
      <c r="AZ985" s="328">
        <v>0.0</v>
      </c>
      <c r="BA985" s="315">
        <v>3.0</v>
      </c>
      <c r="BB985" s="316">
        <v>16.0</v>
      </c>
      <c r="BC985" s="143" t="s">
        <v>1294</v>
      </c>
      <c r="BD985" s="132" t="s">
        <v>178</v>
      </c>
      <c r="BE985" s="132" t="s">
        <v>178</v>
      </c>
      <c r="BF985" s="123"/>
      <c r="BG985" s="83">
        <v>1179130.0</v>
      </c>
      <c r="BH985" s="112">
        <v>1.0</v>
      </c>
      <c r="BI985" s="98" t="s">
        <v>155</v>
      </c>
      <c r="BJ985" s="98" t="str">
        <f t="shared" si="1"/>
        <v>NÃO</v>
      </c>
      <c r="BK985" s="98" t="str">
        <f t="shared" si="2"/>
        <v>NÃO</v>
      </c>
    </row>
    <row r="986" ht="15.75" customHeight="1">
      <c r="A986" s="111" t="s">
        <v>1224</v>
      </c>
      <c r="B986" s="83" t="s">
        <v>5024</v>
      </c>
      <c r="C986" s="83" t="s">
        <v>164</v>
      </c>
      <c r="D986" s="83">
        <v>1179131.0</v>
      </c>
      <c r="E986" s="83">
        <v>1179531.0</v>
      </c>
      <c r="F986" s="83"/>
      <c r="G986" s="114" t="s">
        <v>9858</v>
      </c>
      <c r="H986" s="91" t="s">
        <v>5079</v>
      </c>
      <c r="I986" s="114" t="s">
        <v>5080</v>
      </c>
      <c r="J986" s="83" t="s">
        <v>1301</v>
      </c>
      <c r="K986" s="83" t="s">
        <v>168</v>
      </c>
      <c r="L986" s="83" t="s">
        <v>169</v>
      </c>
      <c r="M986" s="82" t="s">
        <v>9844</v>
      </c>
      <c r="N986" s="82" t="s">
        <v>9845</v>
      </c>
      <c r="O986" s="82" t="s">
        <v>9846</v>
      </c>
      <c r="P986" s="82" t="s">
        <v>9847</v>
      </c>
      <c r="Q986" s="82"/>
      <c r="R986" s="82"/>
      <c r="S986" s="82"/>
      <c r="T986" s="138">
        <v>3.0</v>
      </c>
      <c r="U986" s="323">
        <v>2.0</v>
      </c>
      <c r="V986" s="106">
        <v>3.0</v>
      </c>
      <c r="W986" s="107">
        <v>0.0</v>
      </c>
      <c r="X986" s="107">
        <v>0.0</v>
      </c>
      <c r="Y986" s="107">
        <v>0.0</v>
      </c>
      <c r="Z986" s="80">
        <v>3.0</v>
      </c>
      <c r="AA986" s="140">
        <v>4.0</v>
      </c>
      <c r="AB986" s="109">
        <v>16.0</v>
      </c>
      <c r="AC986" s="109">
        <v>0.0</v>
      </c>
      <c r="AD986" s="141">
        <v>0.0</v>
      </c>
      <c r="AE986" s="80">
        <v>20.0</v>
      </c>
      <c r="AF986" s="140">
        <v>0.0</v>
      </c>
      <c r="AG986" s="109">
        <v>0.0</v>
      </c>
      <c r="AH986" s="109">
        <v>0.0</v>
      </c>
      <c r="AI986" s="141">
        <v>0.0</v>
      </c>
      <c r="AJ986" s="80">
        <v>0.0</v>
      </c>
      <c r="AK986" s="140">
        <v>0.0</v>
      </c>
      <c r="AL986" s="109">
        <v>0.0</v>
      </c>
      <c r="AM986" s="141">
        <v>0.0</v>
      </c>
      <c r="AN986" s="80">
        <v>0.0</v>
      </c>
      <c r="AO986" s="140">
        <v>0.0</v>
      </c>
      <c r="AP986" s="109">
        <v>0.0</v>
      </c>
      <c r="AQ986" s="109">
        <v>0.0</v>
      </c>
      <c r="AR986" s="80">
        <v>0.0</v>
      </c>
      <c r="AS986" s="110">
        <v>0.0</v>
      </c>
      <c r="AT986" s="110">
        <v>0.0</v>
      </c>
      <c r="AU986" s="110">
        <v>0.0</v>
      </c>
      <c r="AV986" s="142">
        <v>0.0</v>
      </c>
      <c r="AW986" s="80">
        <v>0.0</v>
      </c>
      <c r="AX986" s="113">
        <v>23.0</v>
      </c>
      <c r="AY986" s="117">
        <v>23.0</v>
      </c>
      <c r="AZ986" s="328">
        <v>0.0</v>
      </c>
      <c r="BA986" s="315">
        <v>0.0</v>
      </c>
      <c r="BB986" s="316">
        <v>23.0</v>
      </c>
      <c r="BC986" s="143" t="s">
        <v>1294</v>
      </c>
      <c r="BD986" s="132" t="s">
        <v>178</v>
      </c>
      <c r="BE986" s="132" t="s">
        <v>178</v>
      </c>
      <c r="BF986" s="123"/>
      <c r="BG986" s="83">
        <v>1179531.0</v>
      </c>
      <c r="BH986" s="112">
        <v>2.0</v>
      </c>
      <c r="BI986" s="98" t="s">
        <v>155</v>
      </c>
      <c r="BJ986" s="98" t="str">
        <f t="shared" si="1"/>
        <v>NÃO</v>
      </c>
      <c r="BK986" s="98" t="str">
        <f t="shared" si="2"/>
        <v>NÃO</v>
      </c>
    </row>
    <row r="987" ht="15.75" customHeight="1">
      <c r="A987" s="111" t="s">
        <v>1224</v>
      </c>
      <c r="B987" s="83" t="s">
        <v>5024</v>
      </c>
      <c r="C987" s="83" t="s">
        <v>164</v>
      </c>
      <c r="D987" s="83">
        <v>1179131.0</v>
      </c>
      <c r="E987" s="83">
        <v>1179710.0</v>
      </c>
      <c r="F987" s="83"/>
      <c r="G987" s="114" t="s">
        <v>5086</v>
      </c>
      <c r="H987" s="91" t="s">
        <v>5087</v>
      </c>
      <c r="I987" s="114" t="s">
        <v>5088</v>
      </c>
      <c r="J987" s="98" t="s">
        <v>327</v>
      </c>
      <c r="K987" s="83" t="s">
        <v>168</v>
      </c>
      <c r="L987" s="83" t="s">
        <v>512</v>
      </c>
      <c r="M987" s="82" t="s">
        <v>9844</v>
      </c>
      <c r="N987" s="82" t="s">
        <v>9845</v>
      </c>
      <c r="O987" s="82" t="s">
        <v>9846</v>
      </c>
      <c r="P987" s="82" t="s">
        <v>9847</v>
      </c>
      <c r="Q987" s="82"/>
      <c r="R987" s="82"/>
      <c r="S987" s="82"/>
      <c r="T987" s="138" t="s">
        <v>171</v>
      </c>
      <c r="U987" s="323">
        <v>1.0</v>
      </c>
      <c r="V987" s="106">
        <v>4.0</v>
      </c>
      <c r="W987" s="107">
        <v>0.0</v>
      </c>
      <c r="X987" s="107">
        <v>0.0</v>
      </c>
      <c r="Y987" s="107">
        <v>0.0</v>
      </c>
      <c r="Z987" s="80">
        <v>4.0</v>
      </c>
      <c r="AA987" s="140">
        <v>10.0</v>
      </c>
      <c r="AB987" s="109">
        <v>10.0</v>
      </c>
      <c r="AC987" s="109">
        <v>0.0</v>
      </c>
      <c r="AD987" s="141">
        <v>0.0</v>
      </c>
      <c r="AE987" s="80">
        <v>20.0</v>
      </c>
      <c r="AF987" s="140">
        <v>0.0</v>
      </c>
      <c r="AG987" s="109">
        <v>0.0</v>
      </c>
      <c r="AH987" s="109">
        <v>0.0</v>
      </c>
      <c r="AI987" s="141">
        <v>0.0</v>
      </c>
      <c r="AJ987" s="80">
        <v>0.0</v>
      </c>
      <c r="AK987" s="140">
        <v>0.0</v>
      </c>
      <c r="AL987" s="109">
        <v>0.0</v>
      </c>
      <c r="AM987" s="141">
        <v>0.0</v>
      </c>
      <c r="AN987" s="80">
        <v>0.0</v>
      </c>
      <c r="AO987" s="140">
        <v>0.0</v>
      </c>
      <c r="AP987" s="109">
        <v>0.0</v>
      </c>
      <c r="AQ987" s="109">
        <v>0.0</v>
      </c>
      <c r="AR987" s="80">
        <v>0.0</v>
      </c>
      <c r="AS987" s="110">
        <v>0.0</v>
      </c>
      <c r="AT987" s="110">
        <v>0.0</v>
      </c>
      <c r="AU987" s="110">
        <v>0.0</v>
      </c>
      <c r="AV987" s="142">
        <v>0.0</v>
      </c>
      <c r="AW987" s="80">
        <v>0.0</v>
      </c>
      <c r="AX987" s="113">
        <v>24.0</v>
      </c>
      <c r="AY987" s="117">
        <v>24.0</v>
      </c>
      <c r="AZ987" s="328">
        <v>0.0</v>
      </c>
      <c r="BA987" s="315">
        <v>0.0</v>
      </c>
      <c r="BB987" s="316">
        <v>24.0</v>
      </c>
      <c r="BC987" s="143" t="s">
        <v>1294</v>
      </c>
      <c r="BD987" s="132" t="s">
        <v>178</v>
      </c>
      <c r="BE987" s="132" t="s">
        <v>178</v>
      </c>
      <c r="BF987" s="123" t="s">
        <v>632</v>
      </c>
      <c r="BG987" s="83">
        <v>1179710.0</v>
      </c>
      <c r="BH987" s="112">
        <v>0.0</v>
      </c>
      <c r="BI987" s="98" t="s">
        <v>155</v>
      </c>
      <c r="BJ987" s="98" t="str">
        <f t="shared" si="1"/>
        <v>NÃO</v>
      </c>
      <c r="BK987" s="98" t="str">
        <f t="shared" si="2"/>
        <v>NÃO</v>
      </c>
    </row>
    <row r="988" ht="15.75" customHeight="1">
      <c r="A988" s="111" t="s">
        <v>1224</v>
      </c>
      <c r="B988" s="83" t="s">
        <v>5024</v>
      </c>
      <c r="C988" s="83" t="s">
        <v>164</v>
      </c>
      <c r="D988" s="83">
        <v>1179128.0</v>
      </c>
      <c r="E988" s="83">
        <v>1179529.0</v>
      </c>
      <c r="F988" s="83"/>
      <c r="G988" s="114" t="s">
        <v>9859</v>
      </c>
      <c r="H988" s="91" t="s">
        <v>5090</v>
      </c>
      <c r="I988" s="241" t="s">
        <v>5091</v>
      </c>
      <c r="J988" s="83" t="s">
        <v>1012</v>
      </c>
      <c r="K988" s="83" t="s">
        <v>168</v>
      </c>
      <c r="L988" s="83" t="s">
        <v>169</v>
      </c>
      <c r="M988" s="82" t="s">
        <v>9850</v>
      </c>
      <c r="N988" s="82" t="s">
        <v>9851</v>
      </c>
      <c r="O988" s="82"/>
      <c r="P988" s="82"/>
      <c r="Q988" s="82"/>
      <c r="R988" s="82"/>
      <c r="S988" s="82"/>
      <c r="T988" s="138">
        <v>2.0</v>
      </c>
      <c r="U988" s="323">
        <v>2.0</v>
      </c>
      <c r="V988" s="106">
        <v>8.0</v>
      </c>
      <c r="W988" s="107">
        <v>0.0</v>
      </c>
      <c r="X988" s="107">
        <v>0.0</v>
      </c>
      <c r="Y988" s="107">
        <v>0.0</v>
      </c>
      <c r="Z988" s="80">
        <v>8.0</v>
      </c>
      <c r="AA988" s="140">
        <v>5.0</v>
      </c>
      <c r="AB988" s="109">
        <v>8.0</v>
      </c>
      <c r="AC988" s="109">
        <v>0.0</v>
      </c>
      <c r="AD988" s="141">
        <v>0.0</v>
      </c>
      <c r="AE988" s="80">
        <v>13.0</v>
      </c>
      <c r="AF988" s="140">
        <v>0.0</v>
      </c>
      <c r="AG988" s="109">
        <v>0.0</v>
      </c>
      <c r="AH988" s="109">
        <v>0.0</v>
      </c>
      <c r="AI988" s="141">
        <v>0.0</v>
      </c>
      <c r="AJ988" s="80">
        <v>0.0</v>
      </c>
      <c r="AK988" s="140">
        <v>0.0</v>
      </c>
      <c r="AL988" s="109">
        <v>0.0</v>
      </c>
      <c r="AM988" s="141">
        <v>0.0</v>
      </c>
      <c r="AN988" s="80">
        <v>0.0</v>
      </c>
      <c r="AO988" s="140">
        <v>0.0</v>
      </c>
      <c r="AP988" s="109">
        <v>0.0</v>
      </c>
      <c r="AQ988" s="109">
        <v>0.0</v>
      </c>
      <c r="AR988" s="80">
        <v>0.0</v>
      </c>
      <c r="AS988" s="110">
        <v>0.0</v>
      </c>
      <c r="AT988" s="110">
        <v>0.0</v>
      </c>
      <c r="AU988" s="110">
        <v>0.0</v>
      </c>
      <c r="AV988" s="142">
        <v>0.0</v>
      </c>
      <c r="AW988" s="80">
        <v>0.0</v>
      </c>
      <c r="AX988" s="113">
        <v>21.0</v>
      </c>
      <c r="AY988" s="117">
        <v>21.0</v>
      </c>
      <c r="AZ988" s="328">
        <v>0.0</v>
      </c>
      <c r="BA988" s="315">
        <v>0.0</v>
      </c>
      <c r="BB988" s="316">
        <v>21.0</v>
      </c>
      <c r="BC988" s="143" t="s">
        <v>1294</v>
      </c>
      <c r="BD988" s="132" t="s">
        <v>178</v>
      </c>
      <c r="BE988" s="132" t="s">
        <v>178</v>
      </c>
      <c r="BF988" s="156"/>
      <c r="BG988" s="83">
        <v>1179529.0</v>
      </c>
      <c r="BH988" s="112">
        <v>2.0</v>
      </c>
      <c r="BI988" s="98" t="s">
        <v>155</v>
      </c>
      <c r="BJ988" s="98" t="str">
        <f t="shared" si="1"/>
        <v>NÃO</v>
      </c>
      <c r="BK988" s="98" t="str">
        <f t="shared" si="2"/>
        <v>NÃO</v>
      </c>
    </row>
    <row r="989" ht="15.75" customHeight="1">
      <c r="A989" s="111" t="s">
        <v>1224</v>
      </c>
      <c r="B989" s="83" t="s">
        <v>5024</v>
      </c>
      <c r="C989" s="83" t="s">
        <v>164</v>
      </c>
      <c r="D989" s="83">
        <v>1179131.0</v>
      </c>
      <c r="E989" s="83">
        <v>1179132.0</v>
      </c>
      <c r="F989" s="83"/>
      <c r="G989" s="187" t="s">
        <v>9860</v>
      </c>
      <c r="H989" s="160" t="s">
        <v>5098</v>
      </c>
      <c r="I989" s="187" t="s">
        <v>5091</v>
      </c>
      <c r="J989" s="83" t="s">
        <v>5099</v>
      </c>
      <c r="K989" s="83" t="s">
        <v>151</v>
      </c>
      <c r="L989" s="83" t="s">
        <v>169</v>
      </c>
      <c r="M989" s="82" t="s">
        <v>9844</v>
      </c>
      <c r="N989" s="82" t="s">
        <v>9845</v>
      </c>
      <c r="O989" s="82" t="s">
        <v>9846</v>
      </c>
      <c r="P989" s="82" t="s">
        <v>9847</v>
      </c>
      <c r="Q989" s="82"/>
      <c r="R989" s="82"/>
      <c r="S989" s="82"/>
      <c r="T989" s="138">
        <v>2.0</v>
      </c>
      <c r="U989" s="323">
        <v>2.0</v>
      </c>
      <c r="V989" s="106">
        <v>2.0</v>
      </c>
      <c r="W989" s="107">
        <v>0.0</v>
      </c>
      <c r="X989" s="107">
        <v>0.0</v>
      </c>
      <c r="Y989" s="107">
        <v>0.0</v>
      </c>
      <c r="Z989" s="80">
        <v>2.0</v>
      </c>
      <c r="AA989" s="140">
        <v>5.0</v>
      </c>
      <c r="AB989" s="109">
        <v>3.0</v>
      </c>
      <c r="AC989" s="109">
        <v>0.0</v>
      </c>
      <c r="AD989" s="141">
        <v>0.0</v>
      </c>
      <c r="AE989" s="80">
        <v>8.0</v>
      </c>
      <c r="AF989" s="140">
        <v>0.0</v>
      </c>
      <c r="AG989" s="109">
        <v>0.0</v>
      </c>
      <c r="AH989" s="109">
        <v>0.0</v>
      </c>
      <c r="AI989" s="141">
        <v>0.0</v>
      </c>
      <c r="AJ989" s="80">
        <v>0.0</v>
      </c>
      <c r="AK989" s="140">
        <v>0.0</v>
      </c>
      <c r="AL989" s="109">
        <v>0.0</v>
      </c>
      <c r="AM989" s="141">
        <v>0.0</v>
      </c>
      <c r="AN989" s="80">
        <v>0.0</v>
      </c>
      <c r="AO989" s="140">
        <v>0.0</v>
      </c>
      <c r="AP989" s="109">
        <v>0.0</v>
      </c>
      <c r="AQ989" s="109">
        <v>0.0</v>
      </c>
      <c r="AR989" s="80">
        <v>0.0</v>
      </c>
      <c r="AS989" s="110">
        <v>0.0</v>
      </c>
      <c r="AT989" s="110">
        <v>0.0</v>
      </c>
      <c r="AU989" s="110">
        <v>0.0</v>
      </c>
      <c r="AV989" s="142">
        <v>0.0</v>
      </c>
      <c r="AW989" s="80">
        <v>0.0</v>
      </c>
      <c r="AX989" s="113">
        <v>10.0</v>
      </c>
      <c r="AY989" s="117">
        <v>10.0</v>
      </c>
      <c r="AZ989" s="328">
        <v>0.0</v>
      </c>
      <c r="BA989" s="315">
        <v>4.0</v>
      </c>
      <c r="BB989" s="316">
        <v>14.0</v>
      </c>
      <c r="BC989" s="143" t="s">
        <v>1294</v>
      </c>
      <c r="BD989" s="132" t="s">
        <v>178</v>
      </c>
      <c r="BE989" s="132" t="s">
        <v>178</v>
      </c>
      <c r="BF989" s="156"/>
      <c r="BG989" s="83">
        <v>1179132.0</v>
      </c>
      <c r="BH989" s="112">
        <v>2.0</v>
      </c>
      <c r="BI989" s="98" t="s">
        <v>155</v>
      </c>
      <c r="BJ989" s="98" t="str">
        <f t="shared" si="1"/>
        <v>NÃO</v>
      </c>
      <c r="BK989" s="98" t="str">
        <f t="shared" si="2"/>
        <v>NÃO</v>
      </c>
    </row>
    <row r="990" ht="15.75" customHeight="1">
      <c r="A990" s="111" t="s">
        <v>1224</v>
      </c>
      <c r="B990" s="83" t="s">
        <v>5101</v>
      </c>
      <c r="C990" s="83" t="s">
        <v>68</v>
      </c>
      <c r="D990" s="83">
        <v>1114729.0</v>
      </c>
      <c r="E990" s="83"/>
      <c r="F990" s="83">
        <v>2.9126991E7</v>
      </c>
      <c r="G990" s="114" t="s">
        <v>5106</v>
      </c>
      <c r="H990" s="91" t="s">
        <v>5107</v>
      </c>
      <c r="I990" s="187" t="s">
        <v>149</v>
      </c>
      <c r="J990" s="83" t="s">
        <v>150</v>
      </c>
      <c r="K990" s="83" t="s">
        <v>151</v>
      </c>
      <c r="L990" s="83" t="s">
        <v>76</v>
      </c>
      <c r="M990" s="82" t="s">
        <v>9861</v>
      </c>
      <c r="N990" s="82" t="s">
        <v>9862</v>
      </c>
      <c r="O990" s="82" t="s">
        <v>9863</v>
      </c>
      <c r="P990" s="82" t="s">
        <v>9864</v>
      </c>
      <c r="Q990" s="82"/>
      <c r="R990" s="82"/>
      <c r="S990" s="82"/>
      <c r="T990" s="138">
        <v>10.0</v>
      </c>
      <c r="U990" s="331" t="s">
        <v>8700</v>
      </c>
      <c r="V990" s="106">
        <v>0.0</v>
      </c>
      <c r="W990" s="107">
        <v>0.0</v>
      </c>
      <c r="X990" s="107">
        <v>0.0</v>
      </c>
      <c r="Y990" s="107">
        <v>0.0</v>
      </c>
      <c r="Z990" s="80">
        <v>0.0</v>
      </c>
      <c r="AA990" s="140">
        <v>0.0</v>
      </c>
      <c r="AB990" s="109">
        <v>0.0</v>
      </c>
      <c r="AC990" s="109">
        <v>0.0</v>
      </c>
      <c r="AD990" s="141">
        <v>0.0</v>
      </c>
      <c r="AE990" s="80">
        <v>0.0</v>
      </c>
      <c r="AF990" s="140">
        <v>225.0</v>
      </c>
      <c r="AG990" s="109">
        <v>52.0</v>
      </c>
      <c r="AH990" s="109">
        <v>0.0</v>
      </c>
      <c r="AI990" s="141">
        <v>0.0</v>
      </c>
      <c r="AJ990" s="80">
        <v>277.0</v>
      </c>
      <c r="AK990" s="140">
        <v>0.0</v>
      </c>
      <c r="AL990" s="109">
        <v>0.0</v>
      </c>
      <c r="AM990" s="141">
        <v>0.0</v>
      </c>
      <c r="AN990" s="80">
        <v>0.0</v>
      </c>
      <c r="AO990" s="140">
        <v>0.0</v>
      </c>
      <c r="AP990" s="109">
        <v>0.0</v>
      </c>
      <c r="AQ990" s="109">
        <v>28.0</v>
      </c>
      <c r="AR990" s="80">
        <v>28.0</v>
      </c>
      <c r="AS990" s="110">
        <v>0.0</v>
      </c>
      <c r="AT990" s="110">
        <v>0.0</v>
      </c>
      <c r="AU990" s="110">
        <v>0.0</v>
      </c>
      <c r="AV990" s="142">
        <v>0.0</v>
      </c>
      <c r="AW990" s="80">
        <v>0.0</v>
      </c>
      <c r="AX990" s="113">
        <v>305.0</v>
      </c>
      <c r="AY990" s="117">
        <v>277.0</v>
      </c>
      <c r="AZ990" s="328">
        <v>28.0</v>
      </c>
      <c r="BA990" s="315">
        <v>0.0</v>
      </c>
      <c r="BB990" s="316">
        <v>305.0</v>
      </c>
      <c r="BC990" s="132" t="s">
        <v>178</v>
      </c>
      <c r="BD990" s="132" t="s">
        <v>178</v>
      </c>
      <c r="BE990" s="132" t="s">
        <v>178</v>
      </c>
      <c r="BF990" s="417"/>
      <c r="BG990" s="83">
        <v>1114729.0</v>
      </c>
      <c r="BH990" s="112">
        <v>7.0</v>
      </c>
      <c r="BI990" s="98" t="s">
        <v>155</v>
      </c>
      <c r="BJ990" s="98" t="str">
        <f t="shared" si="1"/>
        <v>NÃO</v>
      </c>
      <c r="BK990" s="98" t="str">
        <f t="shared" si="2"/>
        <v>NÃO</v>
      </c>
    </row>
    <row r="991" ht="15.75" customHeight="1">
      <c r="A991" s="111" t="s">
        <v>1224</v>
      </c>
      <c r="B991" s="83" t="s">
        <v>5101</v>
      </c>
      <c r="C991" s="83" t="s">
        <v>68</v>
      </c>
      <c r="D991" s="83">
        <v>1178254.0</v>
      </c>
      <c r="E991" s="83"/>
      <c r="F991" s="83">
        <v>2.9468E7</v>
      </c>
      <c r="G991" s="114" t="s">
        <v>5112</v>
      </c>
      <c r="H991" s="91" t="s">
        <v>5114</v>
      </c>
      <c r="I991" s="241" t="s">
        <v>149</v>
      </c>
      <c r="J991" s="83" t="s">
        <v>150</v>
      </c>
      <c r="K991" s="83" t="s">
        <v>151</v>
      </c>
      <c r="L991" s="83" t="s">
        <v>230</v>
      </c>
      <c r="M991" s="82" t="s">
        <v>9865</v>
      </c>
      <c r="N991" s="82" t="s">
        <v>9866</v>
      </c>
      <c r="O991" s="82" t="s">
        <v>9867</v>
      </c>
      <c r="P991" s="82" t="s">
        <v>9868</v>
      </c>
      <c r="Q991" s="82" t="s">
        <v>9869</v>
      </c>
      <c r="R991" s="82" t="s">
        <v>9870</v>
      </c>
      <c r="S991" s="82"/>
      <c r="T991" s="138">
        <v>15.0</v>
      </c>
      <c r="U991" s="331" t="s">
        <v>818</v>
      </c>
      <c r="V991" s="106">
        <v>0.0</v>
      </c>
      <c r="W991" s="107">
        <v>0.0</v>
      </c>
      <c r="X991" s="107">
        <v>0.0</v>
      </c>
      <c r="Y991" s="107">
        <v>0.0</v>
      </c>
      <c r="Z991" s="80">
        <v>0.0</v>
      </c>
      <c r="AA991" s="140">
        <v>0.0</v>
      </c>
      <c r="AB991" s="109">
        <v>0.0</v>
      </c>
      <c r="AC991" s="109">
        <v>0.0</v>
      </c>
      <c r="AD991" s="141">
        <v>0.0</v>
      </c>
      <c r="AE991" s="80">
        <v>0.0</v>
      </c>
      <c r="AF991" s="140">
        <v>0.0</v>
      </c>
      <c r="AG991" s="109">
        <v>0.0</v>
      </c>
      <c r="AH991" s="109">
        <v>0.0</v>
      </c>
      <c r="AI991" s="141">
        <v>0.0</v>
      </c>
      <c r="AJ991" s="80">
        <v>0.0</v>
      </c>
      <c r="AK991" s="140">
        <v>0.0</v>
      </c>
      <c r="AL991" s="109">
        <v>0.0</v>
      </c>
      <c r="AM991" s="141">
        <v>0.0</v>
      </c>
      <c r="AN991" s="80">
        <v>0.0</v>
      </c>
      <c r="AO991" s="140">
        <v>0.0</v>
      </c>
      <c r="AP991" s="109">
        <v>0.0</v>
      </c>
      <c r="AQ991" s="109">
        <v>0.0</v>
      </c>
      <c r="AR991" s="80">
        <v>0.0</v>
      </c>
      <c r="AS991" s="110">
        <v>410.0</v>
      </c>
      <c r="AT991" s="110">
        <v>380.0</v>
      </c>
      <c r="AU991" s="110">
        <v>191.0</v>
      </c>
      <c r="AV991" s="142">
        <v>0.0</v>
      </c>
      <c r="AW991" s="80">
        <v>981.0</v>
      </c>
      <c r="AX991" s="113">
        <v>981.0</v>
      </c>
      <c r="AY991" s="117">
        <v>790.0</v>
      </c>
      <c r="AZ991" s="328">
        <v>191.0</v>
      </c>
      <c r="BA991" s="315">
        <v>0.0</v>
      </c>
      <c r="BB991" s="316">
        <v>981.0</v>
      </c>
      <c r="BC991" s="132" t="s">
        <v>178</v>
      </c>
      <c r="BD991" s="132" t="s">
        <v>779</v>
      </c>
      <c r="BE991" s="132" t="s">
        <v>178</v>
      </c>
      <c r="BF991" s="123"/>
      <c r="BG991" s="83">
        <v>1178254.0</v>
      </c>
      <c r="BH991" s="112">
        <v>12.0</v>
      </c>
      <c r="BI991" s="98" t="s">
        <v>155</v>
      </c>
      <c r="BJ991" s="98" t="str">
        <f t="shared" si="1"/>
        <v>NÃO</v>
      </c>
      <c r="BK991" s="98" t="str">
        <f t="shared" si="2"/>
        <v>PROFISSIONAL</v>
      </c>
    </row>
    <row r="992" ht="15.75" customHeight="1">
      <c r="A992" s="111" t="s">
        <v>1224</v>
      </c>
      <c r="B992" s="83" t="s">
        <v>5101</v>
      </c>
      <c r="C992" s="83" t="s">
        <v>164</v>
      </c>
      <c r="D992" s="83">
        <v>1114729.0</v>
      </c>
      <c r="E992" s="83">
        <v>1178590.0</v>
      </c>
      <c r="F992" s="83"/>
      <c r="G992" s="114" t="s">
        <v>5121</v>
      </c>
      <c r="H992" s="91" t="s">
        <v>5122</v>
      </c>
      <c r="I992" s="187" t="s">
        <v>149</v>
      </c>
      <c r="J992" s="83" t="s">
        <v>464</v>
      </c>
      <c r="K992" s="83" t="s">
        <v>168</v>
      </c>
      <c r="L992" s="83" t="s">
        <v>169</v>
      </c>
      <c r="M992" s="82" t="s">
        <v>9861</v>
      </c>
      <c r="N992" s="82" t="s">
        <v>9862</v>
      </c>
      <c r="O992" s="82" t="s">
        <v>9863</v>
      </c>
      <c r="P992" s="82" t="s">
        <v>9864</v>
      </c>
      <c r="Q992" s="82"/>
      <c r="R992" s="82"/>
      <c r="S992" s="82"/>
      <c r="T992" s="138">
        <v>2.0</v>
      </c>
      <c r="U992" s="389">
        <v>2.0</v>
      </c>
      <c r="V992" s="106">
        <v>0.0</v>
      </c>
      <c r="W992" s="107">
        <v>0.0</v>
      </c>
      <c r="X992" s="107">
        <v>0.0</v>
      </c>
      <c r="Y992" s="107">
        <v>0.0</v>
      </c>
      <c r="Z992" s="80">
        <v>0.0</v>
      </c>
      <c r="AA992" s="140">
        <v>0.0</v>
      </c>
      <c r="AB992" s="109">
        <v>0.0</v>
      </c>
      <c r="AC992" s="109">
        <v>0.0</v>
      </c>
      <c r="AD992" s="141">
        <v>0.0</v>
      </c>
      <c r="AE992" s="80">
        <v>0.0</v>
      </c>
      <c r="AF992" s="140">
        <v>0.0</v>
      </c>
      <c r="AG992" s="109">
        <v>12.0</v>
      </c>
      <c r="AH992" s="109">
        <v>26.0</v>
      </c>
      <c r="AI992" s="141">
        <v>0.0</v>
      </c>
      <c r="AJ992" s="80">
        <v>38.0</v>
      </c>
      <c r="AK992" s="140">
        <v>0.0</v>
      </c>
      <c r="AL992" s="109">
        <v>0.0</v>
      </c>
      <c r="AM992" s="141">
        <v>0.0</v>
      </c>
      <c r="AN992" s="80">
        <v>0.0</v>
      </c>
      <c r="AO992" s="140">
        <v>0.0</v>
      </c>
      <c r="AP992" s="109">
        <v>0.0</v>
      </c>
      <c r="AQ992" s="109">
        <v>0.0</v>
      </c>
      <c r="AR992" s="80">
        <v>0.0</v>
      </c>
      <c r="AS992" s="110">
        <v>0.0</v>
      </c>
      <c r="AT992" s="110">
        <v>0.0</v>
      </c>
      <c r="AU992" s="110">
        <v>0.0</v>
      </c>
      <c r="AV992" s="142">
        <v>0.0</v>
      </c>
      <c r="AW992" s="80">
        <v>0.0</v>
      </c>
      <c r="AX992" s="113">
        <v>38.0</v>
      </c>
      <c r="AY992" s="117">
        <v>12.0</v>
      </c>
      <c r="AZ992" s="328">
        <v>26.0</v>
      </c>
      <c r="BA992" s="315">
        <v>0.0</v>
      </c>
      <c r="BB992" s="316">
        <v>38.0</v>
      </c>
      <c r="BC992" s="132" t="s">
        <v>373</v>
      </c>
      <c r="BD992" s="132" t="s">
        <v>178</v>
      </c>
      <c r="BE992" s="132" t="s">
        <v>178</v>
      </c>
      <c r="BF992" s="123"/>
      <c r="BG992" s="83">
        <v>1178590.0</v>
      </c>
      <c r="BH992" s="112">
        <v>2.0</v>
      </c>
      <c r="BI992" s="98" t="s">
        <v>155</v>
      </c>
      <c r="BJ992" s="98" t="str">
        <f t="shared" si="1"/>
        <v>NÃO</v>
      </c>
      <c r="BK992" s="98" t="str">
        <f t="shared" si="2"/>
        <v>NÃO</v>
      </c>
    </row>
    <row r="993" ht="15.75" customHeight="1">
      <c r="A993" s="111" t="s">
        <v>1224</v>
      </c>
      <c r="B993" s="83" t="s">
        <v>5101</v>
      </c>
      <c r="C993" s="83" t="s">
        <v>164</v>
      </c>
      <c r="D993" s="83">
        <v>1114729.0</v>
      </c>
      <c r="E993" s="83">
        <v>1178592.0</v>
      </c>
      <c r="F993" s="83"/>
      <c r="G993" s="114" t="s">
        <v>9871</v>
      </c>
      <c r="H993" s="91" t="s">
        <v>5129</v>
      </c>
      <c r="I993" s="187" t="s">
        <v>149</v>
      </c>
      <c r="J993" s="83" t="s">
        <v>252</v>
      </c>
      <c r="K993" s="83" t="s">
        <v>168</v>
      </c>
      <c r="L993" s="83" t="s">
        <v>169</v>
      </c>
      <c r="M993" s="82" t="s">
        <v>9861</v>
      </c>
      <c r="N993" s="82" t="s">
        <v>9862</v>
      </c>
      <c r="O993" s="82" t="s">
        <v>9863</v>
      </c>
      <c r="P993" s="82" t="s">
        <v>9864</v>
      </c>
      <c r="Q993" s="82"/>
      <c r="R993" s="82"/>
      <c r="S993" s="82"/>
      <c r="T993" s="138">
        <v>3.0</v>
      </c>
      <c r="U993" s="323">
        <v>3.0</v>
      </c>
      <c r="V993" s="106">
        <v>0.0</v>
      </c>
      <c r="W993" s="107">
        <v>0.0</v>
      </c>
      <c r="X993" s="107">
        <v>0.0</v>
      </c>
      <c r="Y993" s="107">
        <v>0.0</v>
      </c>
      <c r="Z993" s="80">
        <v>0.0</v>
      </c>
      <c r="AA993" s="140">
        <v>0.0</v>
      </c>
      <c r="AB993" s="109">
        <v>0.0</v>
      </c>
      <c r="AC993" s="109">
        <v>0.0</v>
      </c>
      <c r="AD993" s="141">
        <v>0.0</v>
      </c>
      <c r="AE993" s="80">
        <v>0.0</v>
      </c>
      <c r="AF993" s="140">
        <v>0.0</v>
      </c>
      <c r="AG993" s="109">
        <v>10.0</v>
      </c>
      <c r="AH993" s="109">
        <v>57.0</v>
      </c>
      <c r="AI993" s="141">
        <v>0.0</v>
      </c>
      <c r="AJ993" s="80">
        <v>67.0</v>
      </c>
      <c r="AK993" s="140">
        <v>0.0</v>
      </c>
      <c r="AL993" s="109">
        <v>0.0</v>
      </c>
      <c r="AM993" s="141">
        <v>0.0</v>
      </c>
      <c r="AN993" s="80">
        <v>0.0</v>
      </c>
      <c r="AO993" s="140">
        <v>0.0</v>
      </c>
      <c r="AP993" s="109">
        <v>0.0</v>
      </c>
      <c r="AQ993" s="109">
        <v>0.0</v>
      </c>
      <c r="AR993" s="80">
        <v>0.0</v>
      </c>
      <c r="AS993" s="110">
        <v>0.0</v>
      </c>
      <c r="AT993" s="110">
        <v>0.0</v>
      </c>
      <c r="AU993" s="110">
        <v>0.0</v>
      </c>
      <c r="AV993" s="142">
        <v>0.0</v>
      </c>
      <c r="AW993" s="80">
        <v>0.0</v>
      </c>
      <c r="AX993" s="113">
        <v>67.0</v>
      </c>
      <c r="AY993" s="117">
        <v>10.0</v>
      </c>
      <c r="AZ993" s="328">
        <v>57.0</v>
      </c>
      <c r="BA993" s="315">
        <v>0.0</v>
      </c>
      <c r="BB993" s="316">
        <v>67.0</v>
      </c>
      <c r="BC993" s="132" t="s">
        <v>373</v>
      </c>
      <c r="BD993" s="132" t="s">
        <v>178</v>
      </c>
      <c r="BE993" s="132" t="s">
        <v>178</v>
      </c>
      <c r="BF993" s="123"/>
      <c r="BG993" s="83">
        <v>1178592.0</v>
      </c>
      <c r="BH993" s="112">
        <v>3.0</v>
      </c>
      <c r="BI993" s="98" t="s">
        <v>155</v>
      </c>
      <c r="BJ993" s="98" t="str">
        <f t="shared" si="1"/>
        <v>NÃO</v>
      </c>
      <c r="BK993" s="98" t="str">
        <f t="shared" si="2"/>
        <v>NÃO</v>
      </c>
    </row>
    <row r="994" ht="15.75" customHeight="1">
      <c r="A994" s="111" t="s">
        <v>1224</v>
      </c>
      <c r="B994" s="83" t="s">
        <v>2005</v>
      </c>
      <c r="C994" s="83" t="s">
        <v>68</v>
      </c>
      <c r="D994" s="83">
        <v>1178167.0</v>
      </c>
      <c r="E994" s="83"/>
      <c r="F994" s="83">
        <v>2.9445949E7</v>
      </c>
      <c r="G994" s="119" t="s">
        <v>9872</v>
      </c>
      <c r="H994" s="108" t="s">
        <v>5137</v>
      </c>
      <c r="I994" s="147" t="s">
        <v>171</v>
      </c>
      <c r="J994" s="83" t="s">
        <v>150</v>
      </c>
      <c r="K994" s="83" t="s">
        <v>151</v>
      </c>
      <c r="L994" s="83" t="s">
        <v>76</v>
      </c>
      <c r="M994" s="82" t="s">
        <v>9873</v>
      </c>
      <c r="N994" s="82" t="s">
        <v>9874</v>
      </c>
      <c r="O994" s="82" t="s">
        <v>9875</v>
      </c>
      <c r="P994" s="82" t="s">
        <v>9876</v>
      </c>
      <c r="Q994" s="82"/>
      <c r="R994" s="82"/>
      <c r="S994" s="82" t="s">
        <v>9877</v>
      </c>
      <c r="T994" s="138">
        <v>6.0</v>
      </c>
      <c r="U994" s="323">
        <v>12.0</v>
      </c>
      <c r="V994" s="106">
        <v>0.0</v>
      </c>
      <c r="W994" s="107">
        <v>0.0</v>
      </c>
      <c r="X994" s="107">
        <v>0.0</v>
      </c>
      <c r="Y994" s="107">
        <v>0.0</v>
      </c>
      <c r="Z994" s="80">
        <v>0.0</v>
      </c>
      <c r="AA994" s="140">
        <v>0.0</v>
      </c>
      <c r="AB994" s="109">
        <v>0.0</v>
      </c>
      <c r="AC994" s="109">
        <v>0.0</v>
      </c>
      <c r="AD994" s="141">
        <v>0.0</v>
      </c>
      <c r="AE994" s="80">
        <v>0.0</v>
      </c>
      <c r="AF994" s="140">
        <v>144.0</v>
      </c>
      <c r="AG994" s="109">
        <v>214.0</v>
      </c>
      <c r="AH994" s="109">
        <v>77.0</v>
      </c>
      <c r="AI994" s="141">
        <v>203.0</v>
      </c>
      <c r="AJ994" s="80">
        <v>638.0</v>
      </c>
      <c r="AK994" s="140">
        <v>0.0</v>
      </c>
      <c r="AL994" s="109">
        <v>0.0</v>
      </c>
      <c r="AM994" s="141">
        <v>0.0</v>
      </c>
      <c r="AN994" s="80">
        <v>0.0</v>
      </c>
      <c r="AO994" s="140">
        <v>0.0</v>
      </c>
      <c r="AP994" s="109">
        <v>0.0</v>
      </c>
      <c r="AQ994" s="109">
        <v>174.0</v>
      </c>
      <c r="AR994" s="80">
        <v>174.0</v>
      </c>
      <c r="AS994" s="110">
        <v>0.0</v>
      </c>
      <c r="AT994" s="110">
        <v>0.0</v>
      </c>
      <c r="AU994" s="110">
        <v>0.0</v>
      </c>
      <c r="AV994" s="142">
        <v>0.0</v>
      </c>
      <c r="AW994" s="80">
        <v>0.0</v>
      </c>
      <c r="AX994" s="113">
        <v>812.0</v>
      </c>
      <c r="AY994" s="117">
        <v>561.0</v>
      </c>
      <c r="AZ994" s="328">
        <v>251.0</v>
      </c>
      <c r="BA994" s="349">
        <v>3.0</v>
      </c>
      <c r="BB994" s="316">
        <v>815.0</v>
      </c>
      <c r="BC994" s="132" t="s">
        <v>178</v>
      </c>
      <c r="BD994" s="132" t="s">
        <v>178</v>
      </c>
      <c r="BE994" s="132" t="s">
        <v>178</v>
      </c>
      <c r="BF994" s="123" t="s">
        <v>9878</v>
      </c>
      <c r="BG994" s="83">
        <v>1178167.0</v>
      </c>
      <c r="BH994" s="112">
        <v>12.0</v>
      </c>
      <c r="BI994" s="98" t="s">
        <v>162</v>
      </c>
      <c r="BJ994" s="98" t="str">
        <f t="shared" si="1"/>
        <v>INTEGRAL</v>
      </c>
      <c r="BK994" s="98" t="str">
        <f t="shared" si="2"/>
        <v>NÃO</v>
      </c>
    </row>
    <row r="995" ht="15.75" customHeight="1">
      <c r="A995" s="111" t="s">
        <v>1224</v>
      </c>
      <c r="B995" s="83" t="s">
        <v>5148</v>
      </c>
      <c r="C995" s="83" t="s">
        <v>68</v>
      </c>
      <c r="D995" s="83">
        <v>1178049.0</v>
      </c>
      <c r="E995" s="83"/>
      <c r="F995" s="83">
        <v>2.9423805E7</v>
      </c>
      <c r="G995" s="119" t="s">
        <v>9879</v>
      </c>
      <c r="H995" s="91" t="s">
        <v>5156</v>
      </c>
      <c r="I995" s="114" t="s">
        <v>149</v>
      </c>
      <c r="J995" s="83" t="s">
        <v>150</v>
      </c>
      <c r="K995" s="83" t="s">
        <v>151</v>
      </c>
      <c r="L995" s="83" t="s">
        <v>152</v>
      </c>
      <c r="M995" s="82" t="s">
        <v>9880</v>
      </c>
      <c r="N995" s="82" t="s">
        <v>9881</v>
      </c>
      <c r="O995" s="82"/>
      <c r="P995" s="82"/>
      <c r="Q995" s="82"/>
      <c r="R995" s="82"/>
      <c r="S995" s="82" t="s">
        <v>9882</v>
      </c>
      <c r="T995" s="138">
        <v>8.0</v>
      </c>
      <c r="U995" s="323" t="s">
        <v>9883</v>
      </c>
      <c r="V995" s="106">
        <v>0.0</v>
      </c>
      <c r="W995" s="107">
        <v>0.0</v>
      </c>
      <c r="X995" s="107">
        <v>0.0</v>
      </c>
      <c r="Y995" s="107">
        <v>0.0</v>
      </c>
      <c r="Z995" s="80">
        <v>0.0</v>
      </c>
      <c r="AA995" s="140">
        <v>0.0</v>
      </c>
      <c r="AB995" s="109">
        <v>0.0</v>
      </c>
      <c r="AC995" s="109">
        <v>0.0</v>
      </c>
      <c r="AD995" s="141">
        <v>0.0</v>
      </c>
      <c r="AE995" s="80">
        <v>0.0</v>
      </c>
      <c r="AF995" s="140">
        <v>339.0</v>
      </c>
      <c r="AG995" s="109">
        <v>285.0</v>
      </c>
      <c r="AH995" s="109">
        <v>29.0</v>
      </c>
      <c r="AI995" s="141">
        <v>0.0</v>
      </c>
      <c r="AJ995" s="80">
        <v>653.0</v>
      </c>
      <c r="AK995" s="140">
        <v>0.0</v>
      </c>
      <c r="AL995" s="109">
        <v>0.0</v>
      </c>
      <c r="AM995" s="141">
        <v>0.0</v>
      </c>
      <c r="AN995" s="80">
        <v>0.0</v>
      </c>
      <c r="AO995" s="140">
        <v>0.0</v>
      </c>
      <c r="AP995" s="109">
        <v>0.0</v>
      </c>
      <c r="AQ995" s="109">
        <v>98.0</v>
      </c>
      <c r="AR995" s="80">
        <v>98.0</v>
      </c>
      <c r="AS995" s="110">
        <v>0.0</v>
      </c>
      <c r="AT995" s="110">
        <v>0.0</v>
      </c>
      <c r="AU995" s="110">
        <v>0.0</v>
      </c>
      <c r="AV995" s="142">
        <v>0.0</v>
      </c>
      <c r="AW995" s="80">
        <v>0.0</v>
      </c>
      <c r="AX995" s="113">
        <v>751.0</v>
      </c>
      <c r="AY995" s="117">
        <v>624.0</v>
      </c>
      <c r="AZ995" s="328">
        <v>127.0</v>
      </c>
      <c r="BA995" s="315">
        <v>0.0</v>
      </c>
      <c r="BB995" s="316">
        <v>751.0</v>
      </c>
      <c r="BC995" s="132" t="s">
        <v>178</v>
      </c>
      <c r="BD995" s="132" t="s">
        <v>178</v>
      </c>
      <c r="BE995" s="132" t="s">
        <v>178</v>
      </c>
      <c r="BF995" s="123"/>
      <c r="BG995" s="83">
        <v>1178049.0</v>
      </c>
      <c r="BH995" s="112">
        <v>7.0</v>
      </c>
      <c r="BI995" s="98" t="s">
        <v>155</v>
      </c>
      <c r="BJ995" s="98" t="str">
        <f t="shared" si="1"/>
        <v>NÃO</v>
      </c>
      <c r="BK995" s="98" t="str">
        <f t="shared" si="2"/>
        <v>NÃO</v>
      </c>
    </row>
    <row r="996" ht="15.75" customHeight="1">
      <c r="A996" s="111" t="s">
        <v>1224</v>
      </c>
      <c r="B996" s="83" t="s">
        <v>2000</v>
      </c>
      <c r="C996" s="83" t="s">
        <v>68</v>
      </c>
      <c r="D996" s="83">
        <v>1114680.0</v>
      </c>
      <c r="E996" s="83"/>
      <c r="F996" s="83">
        <v>2.911724E7</v>
      </c>
      <c r="G996" s="219" t="s">
        <v>9884</v>
      </c>
      <c r="H996" s="91" t="s">
        <v>5179</v>
      </c>
      <c r="I996" s="136" t="s">
        <v>149</v>
      </c>
      <c r="J996" s="83" t="s">
        <v>150</v>
      </c>
      <c r="K996" s="83" t="s">
        <v>168</v>
      </c>
      <c r="L996" s="83" t="s">
        <v>230</v>
      </c>
      <c r="M996" s="82" t="s">
        <v>9885</v>
      </c>
      <c r="N996" s="82" t="s">
        <v>9886</v>
      </c>
      <c r="O996" s="82" t="s">
        <v>9887</v>
      </c>
      <c r="P996" s="82" t="s">
        <v>9888</v>
      </c>
      <c r="Q996" s="82" t="s">
        <v>9889</v>
      </c>
      <c r="R996" s="82" t="s">
        <v>9890</v>
      </c>
      <c r="S996" s="82"/>
      <c r="T996" s="138">
        <v>17.0</v>
      </c>
      <c r="U996" s="323">
        <v>17.0</v>
      </c>
      <c r="V996" s="106">
        <v>0.0</v>
      </c>
      <c r="W996" s="107">
        <v>0.0</v>
      </c>
      <c r="X996" s="107">
        <v>0.0</v>
      </c>
      <c r="Y996" s="107">
        <v>0.0</v>
      </c>
      <c r="Z996" s="80">
        <v>0.0</v>
      </c>
      <c r="AA996" s="140">
        <v>0.0</v>
      </c>
      <c r="AB996" s="109">
        <v>0.0</v>
      </c>
      <c r="AC996" s="109">
        <v>0.0</v>
      </c>
      <c r="AD996" s="141">
        <v>0.0</v>
      </c>
      <c r="AE996" s="80">
        <v>0.0</v>
      </c>
      <c r="AF996" s="140">
        <v>401.0</v>
      </c>
      <c r="AG996" s="109">
        <v>341.0</v>
      </c>
      <c r="AH996" s="109">
        <v>101.0</v>
      </c>
      <c r="AI996" s="141">
        <v>0.0</v>
      </c>
      <c r="AJ996" s="80">
        <v>843.0</v>
      </c>
      <c r="AK996" s="140">
        <v>0.0</v>
      </c>
      <c r="AL996" s="109">
        <v>0.0</v>
      </c>
      <c r="AM996" s="141">
        <v>0.0</v>
      </c>
      <c r="AN996" s="80">
        <v>0.0</v>
      </c>
      <c r="AO996" s="140">
        <v>0.0</v>
      </c>
      <c r="AP996" s="109">
        <v>0.0</v>
      </c>
      <c r="AQ996" s="109">
        <v>195.0</v>
      </c>
      <c r="AR996" s="80">
        <v>195.0</v>
      </c>
      <c r="AS996" s="110">
        <v>0.0</v>
      </c>
      <c r="AT996" s="110">
        <v>0.0</v>
      </c>
      <c r="AU996" s="110">
        <v>0.0</v>
      </c>
      <c r="AV996" s="142">
        <v>0.0</v>
      </c>
      <c r="AW996" s="80">
        <v>0.0</v>
      </c>
      <c r="AX996" s="113">
        <v>1038.0</v>
      </c>
      <c r="AY996" s="117">
        <v>742.0</v>
      </c>
      <c r="AZ996" s="328">
        <v>296.0</v>
      </c>
      <c r="BA996" s="315">
        <v>0.0</v>
      </c>
      <c r="BB996" s="316">
        <v>1038.0</v>
      </c>
      <c r="BC996" s="132" t="s">
        <v>178</v>
      </c>
      <c r="BD996" s="132" t="s">
        <v>178</v>
      </c>
      <c r="BE996" s="132" t="s">
        <v>178</v>
      </c>
      <c r="BF996" s="156"/>
      <c r="BG996" s="83">
        <v>1114680.0</v>
      </c>
      <c r="BH996" s="112">
        <v>17.0</v>
      </c>
      <c r="BI996" s="98" t="s">
        <v>155</v>
      </c>
      <c r="BJ996" s="98" t="str">
        <f t="shared" si="1"/>
        <v>NÃO</v>
      </c>
      <c r="BK996" s="98" t="str">
        <f t="shared" si="2"/>
        <v>NÃO</v>
      </c>
    </row>
    <row r="997" ht="15.75" customHeight="1">
      <c r="A997" s="111" t="s">
        <v>1224</v>
      </c>
      <c r="B997" s="83" t="s">
        <v>2000</v>
      </c>
      <c r="C997" s="83" t="s">
        <v>68</v>
      </c>
      <c r="D997" s="83">
        <v>1179120.0</v>
      </c>
      <c r="E997" s="83"/>
      <c r="F997" s="83">
        <v>2.9117194E7</v>
      </c>
      <c r="G997" s="219" t="s">
        <v>9891</v>
      </c>
      <c r="H997" s="91" t="s">
        <v>5173</v>
      </c>
      <c r="I997" s="187" t="s">
        <v>5175</v>
      </c>
      <c r="J997" s="83" t="s">
        <v>839</v>
      </c>
      <c r="K997" s="83" t="s">
        <v>168</v>
      </c>
      <c r="L997" s="83" t="s">
        <v>76</v>
      </c>
      <c r="M997" s="82" t="s">
        <v>9892</v>
      </c>
      <c r="N997" s="82" t="s">
        <v>9893</v>
      </c>
      <c r="O997" s="82" t="s">
        <v>9894</v>
      </c>
      <c r="P997" s="82" t="s">
        <v>9895</v>
      </c>
      <c r="Q997" s="82"/>
      <c r="R997" s="82"/>
      <c r="S997" s="82"/>
      <c r="T997" s="138">
        <v>8.0</v>
      </c>
      <c r="U997" s="341">
        <v>7.0</v>
      </c>
      <c r="V997" s="106">
        <v>26.0</v>
      </c>
      <c r="W997" s="107">
        <v>0.0</v>
      </c>
      <c r="X997" s="107">
        <v>0.0</v>
      </c>
      <c r="Y997" s="107">
        <v>0.0</v>
      </c>
      <c r="Z997" s="80">
        <v>26.0</v>
      </c>
      <c r="AA997" s="140">
        <v>67.0</v>
      </c>
      <c r="AB997" s="109">
        <v>90.0</v>
      </c>
      <c r="AC997" s="109">
        <v>0.0</v>
      </c>
      <c r="AD997" s="141">
        <v>0.0</v>
      </c>
      <c r="AE997" s="80">
        <v>157.0</v>
      </c>
      <c r="AF997" s="140">
        <v>0.0</v>
      </c>
      <c r="AG997" s="109">
        <v>19.0</v>
      </c>
      <c r="AH997" s="109">
        <v>40.0</v>
      </c>
      <c r="AI997" s="141">
        <v>0.0</v>
      </c>
      <c r="AJ997" s="80">
        <v>59.0</v>
      </c>
      <c r="AK997" s="140">
        <v>0.0</v>
      </c>
      <c r="AL997" s="109">
        <v>0.0</v>
      </c>
      <c r="AM997" s="141">
        <v>16.0</v>
      </c>
      <c r="AN997" s="80">
        <v>16.0</v>
      </c>
      <c r="AO997" s="140">
        <v>0.0</v>
      </c>
      <c r="AP997" s="109">
        <v>0.0</v>
      </c>
      <c r="AQ997" s="109">
        <v>50.0</v>
      </c>
      <c r="AR997" s="80">
        <v>50.0</v>
      </c>
      <c r="AS997" s="110">
        <v>0.0</v>
      </c>
      <c r="AT997" s="110">
        <v>0.0</v>
      </c>
      <c r="AU997" s="110">
        <v>15.0</v>
      </c>
      <c r="AV997" s="142">
        <v>0.0</v>
      </c>
      <c r="AW997" s="80">
        <v>15.0</v>
      </c>
      <c r="AX997" s="113">
        <v>323.0</v>
      </c>
      <c r="AY997" s="117">
        <v>202.0</v>
      </c>
      <c r="AZ997" s="328">
        <v>121.0</v>
      </c>
      <c r="BA997" s="315">
        <v>0.0</v>
      </c>
      <c r="BB997" s="316">
        <v>323.0</v>
      </c>
      <c r="BC997" s="143" t="s">
        <v>1294</v>
      </c>
      <c r="BD997" s="132" t="s">
        <v>178</v>
      </c>
      <c r="BE997" s="132" t="s">
        <v>178</v>
      </c>
      <c r="BF997" s="123"/>
      <c r="BG997" s="83">
        <v>1179120.0</v>
      </c>
      <c r="BH997" s="112">
        <v>7.0</v>
      </c>
      <c r="BI997" s="98" t="s">
        <v>155</v>
      </c>
      <c r="BJ997" s="98" t="str">
        <f t="shared" si="1"/>
        <v>NÃO</v>
      </c>
      <c r="BK997" s="98" t="str">
        <f t="shared" si="2"/>
        <v>PROFISSIONAL</v>
      </c>
    </row>
    <row r="998" ht="15.75" customHeight="1">
      <c r="A998" s="167" t="s">
        <v>1224</v>
      </c>
      <c r="B998" s="83" t="s">
        <v>2000</v>
      </c>
      <c r="C998" s="83" t="s">
        <v>68</v>
      </c>
      <c r="D998" s="98">
        <v>1114559.0</v>
      </c>
      <c r="E998" s="98" t="s">
        <v>9896</v>
      </c>
      <c r="F998" s="98" t="s">
        <v>9897</v>
      </c>
      <c r="G998" s="119" t="s">
        <v>5183</v>
      </c>
      <c r="H998" s="108" t="s">
        <v>5184</v>
      </c>
      <c r="I998" s="114" t="s">
        <v>149</v>
      </c>
      <c r="J998" s="83" t="s">
        <v>150</v>
      </c>
      <c r="K998" s="83" t="s">
        <v>151</v>
      </c>
      <c r="L998" s="83" t="s">
        <v>230</v>
      </c>
      <c r="M998" s="82" t="s">
        <v>9898</v>
      </c>
      <c r="N998" s="82" t="s">
        <v>9899</v>
      </c>
      <c r="O998" s="82" t="s">
        <v>9900</v>
      </c>
      <c r="P998" s="82" t="s">
        <v>9901</v>
      </c>
      <c r="Q998" s="82"/>
      <c r="R998" s="82"/>
      <c r="S998" s="82"/>
      <c r="T998" s="138"/>
      <c r="U998" s="331">
        <v>17.0</v>
      </c>
      <c r="V998" s="106">
        <v>0.0</v>
      </c>
      <c r="W998" s="107">
        <v>0.0</v>
      </c>
      <c r="X998" s="107">
        <v>0.0</v>
      </c>
      <c r="Y998" s="107">
        <v>0.0</v>
      </c>
      <c r="Z998" s="80">
        <v>0.0</v>
      </c>
      <c r="AA998" s="140">
        <v>0.0</v>
      </c>
      <c r="AB998" s="109">
        <v>0.0</v>
      </c>
      <c r="AC998" s="109">
        <v>0.0</v>
      </c>
      <c r="AD998" s="141">
        <v>0.0</v>
      </c>
      <c r="AE998" s="80">
        <v>0.0</v>
      </c>
      <c r="AF998" s="140">
        <v>118.0</v>
      </c>
      <c r="AG998" s="109">
        <v>150.0</v>
      </c>
      <c r="AH998" s="109">
        <v>0.0</v>
      </c>
      <c r="AI998" s="141">
        <v>104.0</v>
      </c>
      <c r="AJ998" s="80">
        <v>372.0</v>
      </c>
      <c r="AK998" s="140">
        <v>0.0</v>
      </c>
      <c r="AL998" s="109">
        <v>0.0</v>
      </c>
      <c r="AM998" s="141">
        <v>0.0</v>
      </c>
      <c r="AN998" s="80">
        <v>0.0</v>
      </c>
      <c r="AO998" s="140">
        <v>0.0</v>
      </c>
      <c r="AP998" s="109">
        <v>0.0</v>
      </c>
      <c r="AQ998" s="109">
        <v>165.0</v>
      </c>
      <c r="AR998" s="80">
        <v>165.0</v>
      </c>
      <c r="AS998" s="110">
        <v>293.0</v>
      </c>
      <c r="AT998" s="110">
        <v>302.0</v>
      </c>
      <c r="AU998" s="110">
        <v>228.0</v>
      </c>
      <c r="AV998" s="142">
        <v>0.0</v>
      </c>
      <c r="AW998" s="80">
        <v>823.0</v>
      </c>
      <c r="AX998" s="113">
        <v>1360.0</v>
      </c>
      <c r="AY998" s="117">
        <v>967.0</v>
      </c>
      <c r="AZ998" s="328">
        <v>393.0</v>
      </c>
      <c r="BA998" s="315">
        <v>0.0</v>
      </c>
      <c r="BB998" s="316">
        <v>1360.0</v>
      </c>
      <c r="BC998" s="132" t="s">
        <v>178</v>
      </c>
      <c r="BD998" s="132" t="s">
        <v>522</v>
      </c>
      <c r="BE998" s="132" t="s">
        <v>178</v>
      </c>
      <c r="BF998" s="123"/>
      <c r="BG998" s="83">
        <v>1114559.0</v>
      </c>
      <c r="BH998" s="112">
        <v>17.0</v>
      </c>
      <c r="BI998" s="98" t="s">
        <v>162</v>
      </c>
      <c r="BJ998" s="98" t="str">
        <f t="shared" si="1"/>
        <v>INTEGRAL</v>
      </c>
      <c r="BK998" s="98" t="str">
        <f t="shared" si="2"/>
        <v>PROFISSIONAL</v>
      </c>
    </row>
    <row r="999" ht="15.75" customHeight="1">
      <c r="A999" s="111" t="s">
        <v>1224</v>
      </c>
      <c r="B999" s="83" t="s">
        <v>2000</v>
      </c>
      <c r="C999" s="83" t="s">
        <v>164</v>
      </c>
      <c r="D999" s="83">
        <v>1179120.0</v>
      </c>
      <c r="E999" s="83">
        <v>1179119.0</v>
      </c>
      <c r="F999" s="83"/>
      <c r="G999" s="114" t="s">
        <v>9902</v>
      </c>
      <c r="H999" s="91" t="s">
        <v>9903</v>
      </c>
      <c r="I999" s="187" t="s">
        <v>9904</v>
      </c>
      <c r="J999" s="83" t="s">
        <v>191</v>
      </c>
      <c r="K999" s="83" t="s">
        <v>168</v>
      </c>
      <c r="L999" s="83" t="s">
        <v>169</v>
      </c>
      <c r="M999" s="82" t="s">
        <v>9892</v>
      </c>
      <c r="N999" s="82" t="s">
        <v>9893</v>
      </c>
      <c r="O999" s="82" t="s">
        <v>9894</v>
      </c>
      <c r="P999" s="82" t="s">
        <v>9895</v>
      </c>
      <c r="Q999" s="82"/>
      <c r="R999" s="82"/>
      <c r="S999" s="82"/>
      <c r="T999" s="138">
        <v>2.0</v>
      </c>
      <c r="U999" s="323">
        <v>2.0</v>
      </c>
      <c r="V999" s="106">
        <v>3.0</v>
      </c>
      <c r="W999" s="107">
        <v>0.0</v>
      </c>
      <c r="X999" s="107">
        <v>0.0</v>
      </c>
      <c r="Y999" s="107">
        <v>0.0</v>
      </c>
      <c r="Z999" s="80">
        <v>3.0</v>
      </c>
      <c r="AA999" s="140">
        <v>1.0</v>
      </c>
      <c r="AB999" s="109">
        <v>7.0</v>
      </c>
      <c r="AC999" s="109">
        <v>0.0</v>
      </c>
      <c r="AD999" s="141">
        <v>0.0</v>
      </c>
      <c r="AE999" s="80">
        <v>8.0</v>
      </c>
      <c r="AF999" s="140">
        <v>0.0</v>
      </c>
      <c r="AG999" s="109">
        <v>0.0</v>
      </c>
      <c r="AH999" s="109">
        <v>0.0</v>
      </c>
      <c r="AI999" s="141">
        <v>0.0</v>
      </c>
      <c r="AJ999" s="80">
        <v>0.0</v>
      </c>
      <c r="AK999" s="140">
        <v>0.0</v>
      </c>
      <c r="AL999" s="109">
        <v>0.0</v>
      </c>
      <c r="AM999" s="141">
        <v>0.0</v>
      </c>
      <c r="AN999" s="80">
        <v>0.0</v>
      </c>
      <c r="AO999" s="140">
        <v>0.0</v>
      </c>
      <c r="AP999" s="109">
        <v>0.0</v>
      </c>
      <c r="AQ999" s="109">
        <v>0.0</v>
      </c>
      <c r="AR999" s="80">
        <v>0.0</v>
      </c>
      <c r="AS999" s="110">
        <v>0.0</v>
      </c>
      <c r="AT999" s="110">
        <v>0.0</v>
      </c>
      <c r="AU999" s="110">
        <v>0.0</v>
      </c>
      <c r="AV999" s="142">
        <v>0.0</v>
      </c>
      <c r="AW999" s="80">
        <v>0.0</v>
      </c>
      <c r="AX999" s="113">
        <v>11.0</v>
      </c>
      <c r="AY999" s="117">
        <v>11.0</v>
      </c>
      <c r="AZ999" s="328">
        <v>0.0</v>
      </c>
      <c r="BA999" s="315">
        <v>0.0</v>
      </c>
      <c r="BB999" s="316">
        <v>11.0</v>
      </c>
      <c r="BC999" s="143" t="s">
        <v>1294</v>
      </c>
      <c r="BD999" s="132" t="s">
        <v>178</v>
      </c>
      <c r="BE999" s="132" t="s">
        <v>178</v>
      </c>
      <c r="BF999" s="156"/>
      <c r="BG999" s="83">
        <v>1179119.0</v>
      </c>
      <c r="BH999" s="112">
        <v>2.0</v>
      </c>
      <c r="BI999" s="98" t="s">
        <v>155</v>
      </c>
      <c r="BJ999" s="98" t="str">
        <f t="shared" si="1"/>
        <v>NÃO</v>
      </c>
      <c r="BK999" s="98" t="str">
        <f t="shared" si="2"/>
        <v>NÃO</v>
      </c>
    </row>
    <row r="1000" ht="15.75" customHeight="1">
      <c r="A1000" s="111" t="s">
        <v>1224</v>
      </c>
      <c r="B1000" s="136" t="s">
        <v>2000</v>
      </c>
      <c r="C1000" s="136" t="s">
        <v>164</v>
      </c>
      <c r="D1000" s="136">
        <v>1179120.0</v>
      </c>
      <c r="E1000" s="136">
        <v>1178327.0</v>
      </c>
      <c r="F1000" s="136"/>
      <c r="G1000" s="219" t="s">
        <v>9905</v>
      </c>
      <c r="H1000" s="160" t="s">
        <v>9906</v>
      </c>
      <c r="I1000" s="187" t="s">
        <v>9907</v>
      </c>
      <c r="J1000" s="136" t="s">
        <v>839</v>
      </c>
      <c r="K1000" s="136" t="s">
        <v>168</v>
      </c>
      <c r="L1000" s="136" t="s">
        <v>169</v>
      </c>
      <c r="M1000" s="196" t="s">
        <v>9892</v>
      </c>
      <c r="N1000" s="196" t="s">
        <v>9893</v>
      </c>
      <c r="O1000" s="196" t="s">
        <v>9894</v>
      </c>
      <c r="P1000" s="196" t="s">
        <v>9895</v>
      </c>
      <c r="Q1000" s="196"/>
      <c r="R1000" s="196"/>
      <c r="S1000" s="196"/>
      <c r="T1000" s="138">
        <v>2.0</v>
      </c>
      <c r="U1000" s="323">
        <v>2.0</v>
      </c>
      <c r="V1000" s="106">
        <v>0.0</v>
      </c>
      <c r="W1000" s="107">
        <v>0.0</v>
      </c>
      <c r="X1000" s="107">
        <v>0.0</v>
      </c>
      <c r="Y1000" s="107">
        <v>0.0</v>
      </c>
      <c r="Z1000" s="80">
        <v>0.0</v>
      </c>
      <c r="AA1000" s="200">
        <v>0.0</v>
      </c>
      <c r="AB1000" s="201">
        <v>7.0</v>
      </c>
      <c r="AC1000" s="201">
        <v>0.0</v>
      </c>
      <c r="AD1000" s="202">
        <v>0.0</v>
      </c>
      <c r="AE1000" s="80">
        <v>7.0</v>
      </c>
      <c r="AF1000" s="200">
        <v>0.0</v>
      </c>
      <c r="AG1000" s="201">
        <v>0.0</v>
      </c>
      <c r="AH1000" s="201">
        <v>0.0</v>
      </c>
      <c r="AI1000" s="202">
        <v>0.0</v>
      </c>
      <c r="AJ1000" s="80">
        <v>0.0</v>
      </c>
      <c r="AK1000" s="200">
        <v>0.0</v>
      </c>
      <c r="AL1000" s="201">
        <v>0.0</v>
      </c>
      <c r="AM1000" s="202">
        <v>1.0</v>
      </c>
      <c r="AN1000" s="80">
        <v>1.0</v>
      </c>
      <c r="AO1000" s="200">
        <v>0.0</v>
      </c>
      <c r="AP1000" s="201">
        <v>0.0</v>
      </c>
      <c r="AQ1000" s="201">
        <v>0.0</v>
      </c>
      <c r="AR1000" s="80">
        <v>0.0</v>
      </c>
      <c r="AS1000" s="201">
        <v>0.0</v>
      </c>
      <c r="AT1000" s="201">
        <v>0.0</v>
      </c>
      <c r="AU1000" s="201">
        <v>0.0</v>
      </c>
      <c r="AV1000" s="203">
        <v>0.0</v>
      </c>
      <c r="AW1000" s="80">
        <v>0.0</v>
      </c>
      <c r="AX1000" s="113">
        <v>8.0</v>
      </c>
      <c r="AY1000" s="117">
        <v>7.0</v>
      </c>
      <c r="AZ1000" s="328">
        <v>1.0</v>
      </c>
      <c r="BA1000" s="315">
        <v>0.0</v>
      </c>
      <c r="BB1000" s="316">
        <v>8.0</v>
      </c>
      <c r="BC1000" s="536" t="s">
        <v>1294</v>
      </c>
      <c r="BD1000" s="205" t="s">
        <v>178</v>
      </c>
      <c r="BE1000" s="205" t="s">
        <v>178</v>
      </c>
      <c r="BF1000" s="206"/>
      <c r="BG1000" s="136">
        <v>1178327.0</v>
      </c>
      <c r="BH1000" s="112">
        <v>2.0</v>
      </c>
      <c r="BI1000" s="98" t="s">
        <v>155</v>
      </c>
      <c r="BJ1000" s="98" t="str">
        <f t="shared" si="1"/>
        <v>NÃO</v>
      </c>
      <c r="BK1000" s="98" t="str">
        <f t="shared" si="2"/>
        <v>NÃO</v>
      </c>
    </row>
    <row r="1001" ht="15.75" customHeight="1">
      <c r="A1001" s="111" t="s">
        <v>1224</v>
      </c>
      <c r="B1001" s="83" t="s">
        <v>2097</v>
      </c>
      <c r="C1001" s="83" t="s">
        <v>68</v>
      </c>
      <c r="D1001" s="83">
        <v>1114478.0</v>
      </c>
      <c r="E1001" s="83"/>
      <c r="F1001" s="83">
        <v>2.9128366E7</v>
      </c>
      <c r="G1001" s="114" t="s">
        <v>9908</v>
      </c>
      <c r="H1001" s="91" t="s">
        <v>9909</v>
      </c>
      <c r="I1001" s="187" t="s">
        <v>149</v>
      </c>
      <c r="J1001" s="83" t="s">
        <v>150</v>
      </c>
      <c r="K1001" s="83" t="s">
        <v>151</v>
      </c>
      <c r="L1001" s="83" t="s">
        <v>76</v>
      </c>
      <c r="M1001" s="82" t="s">
        <v>9910</v>
      </c>
      <c r="N1001" s="82" t="s">
        <v>9911</v>
      </c>
      <c r="O1001" s="82" t="s">
        <v>9912</v>
      </c>
      <c r="P1001" s="82" t="s">
        <v>9913</v>
      </c>
      <c r="Q1001" s="82"/>
      <c r="R1001" s="82"/>
      <c r="S1001" s="82"/>
      <c r="T1001" s="138">
        <v>5.0</v>
      </c>
      <c r="U1001" s="331">
        <v>12.0</v>
      </c>
      <c r="V1001" s="106">
        <v>0.0</v>
      </c>
      <c r="W1001" s="107">
        <v>0.0</v>
      </c>
      <c r="X1001" s="107">
        <v>0.0</v>
      </c>
      <c r="Y1001" s="107">
        <v>0.0</v>
      </c>
      <c r="Z1001" s="80">
        <v>0.0</v>
      </c>
      <c r="AA1001" s="140">
        <v>0.0</v>
      </c>
      <c r="AB1001" s="109">
        <v>0.0</v>
      </c>
      <c r="AC1001" s="109">
        <v>0.0</v>
      </c>
      <c r="AD1001" s="141">
        <v>0.0</v>
      </c>
      <c r="AE1001" s="80">
        <v>0.0</v>
      </c>
      <c r="AF1001" s="140">
        <v>158.0</v>
      </c>
      <c r="AG1001" s="109">
        <v>227.0</v>
      </c>
      <c r="AH1001" s="109">
        <v>0.0</v>
      </c>
      <c r="AI1001" s="141">
        <v>207.0</v>
      </c>
      <c r="AJ1001" s="80">
        <v>592.0</v>
      </c>
      <c r="AK1001" s="140">
        <v>0.0</v>
      </c>
      <c r="AL1001" s="109">
        <v>0.0</v>
      </c>
      <c r="AM1001" s="141">
        <v>0.0</v>
      </c>
      <c r="AN1001" s="80">
        <v>0.0</v>
      </c>
      <c r="AO1001" s="140">
        <v>0.0</v>
      </c>
      <c r="AP1001" s="109">
        <v>0.0</v>
      </c>
      <c r="AQ1001" s="109">
        <v>69.0</v>
      </c>
      <c r="AR1001" s="80">
        <v>69.0</v>
      </c>
      <c r="AS1001" s="110">
        <v>0.0</v>
      </c>
      <c r="AT1001" s="110">
        <v>0.0</v>
      </c>
      <c r="AU1001" s="110">
        <v>0.0</v>
      </c>
      <c r="AV1001" s="142">
        <v>0.0</v>
      </c>
      <c r="AW1001" s="80">
        <v>0.0</v>
      </c>
      <c r="AX1001" s="113">
        <v>661.0</v>
      </c>
      <c r="AY1001" s="117">
        <v>592.0</v>
      </c>
      <c r="AZ1001" s="328">
        <v>69.0</v>
      </c>
      <c r="BA1001" s="315">
        <v>0.0</v>
      </c>
      <c r="BB1001" s="316">
        <v>661.0</v>
      </c>
      <c r="BC1001" s="132" t="s">
        <v>178</v>
      </c>
      <c r="BD1001" s="132" t="s">
        <v>178</v>
      </c>
      <c r="BE1001" s="132" t="s">
        <v>178</v>
      </c>
      <c r="BF1001" s="156"/>
      <c r="BG1001" s="83">
        <v>1114478.0</v>
      </c>
      <c r="BH1001" s="112">
        <v>5.0</v>
      </c>
      <c r="BI1001" s="98" t="s">
        <v>162</v>
      </c>
      <c r="BJ1001" s="98" t="str">
        <f t="shared" si="1"/>
        <v>INTEGRAL</v>
      </c>
      <c r="BK1001" s="98" t="str">
        <f t="shared" si="2"/>
        <v>NÃO</v>
      </c>
    </row>
    <row r="1002" ht="15.75" customHeight="1">
      <c r="A1002" s="111" t="s">
        <v>1224</v>
      </c>
      <c r="B1002" s="83" t="s">
        <v>5190</v>
      </c>
      <c r="C1002" s="83" t="s">
        <v>68</v>
      </c>
      <c r="D1002" s="83">
        <v>1178118.0</v>
      </c>
      <c r="E1002" s="83"/>
      <c r="F1002" s="83">
        <v>2.943453E7</v>
      </c>
      <c r="G1002" s="114" t="s">
        <v>9914</v>
      </c>
      <c r="H1002" s="91" t="s">
        <v>5192</v>
      </c>
      <c r="I1002" s="187" t="s">
        <v>149</v>
      </c>
      <c r="J1002" s="83" t="s">
        <v>150</v>
      </c>
      <c r="K1002" s="83" t="s">
        <v>151</v>
      </c>
      <c r="L1002" s="83" t="s">
        <v>152</v>
      </c>
      <c r="M1002" s="82" t="s">
        <v>9915</v>
      </c>
      <c r="N1002" s="82" t="s">
        <v>9916</v>
      </c>
      <c r="O1002" s="82" t="s">
        <v>9917</v>
      </c>
      <c r="P1002" s="82" t="s">
        <v>9918</v>
      </c>
      <c r="Q1002" s="82" t="s">
        <v>9919</v>
      </c>
      <c r="R1002" s="82" t="s">
        <v>9920</v>
      </c>
      <c r="S1002" s="82" t="s">
        <v>9921</v>
      </c>
      <c r="T1002" s="138">
        <v>14.0</v>
      </c>
      <c r="U1002" s="323" t="s">
        <v>9922</v>
      </c>
      <c r="V1002" s="106">
        <v>0.0</v>
      </c>
      <c r="W1002" s="107">
        <v>0.0</v>
      </c>
      <c r="X1002" s="107">
        <v>0.0</v>
      </c>
      <c r="Y1002" s="107">
        <v>0.0</v>
      </c>
      <c r="Z1002" s="80">
        <v>0.0</v>
      </c>
      <c r="AA1002" s="140">
        <v>0.0</v>
      </c>
      <c r="AB1002" s="109">
        <v>0.0</v>
      </c>
      <c r="AC1002" s="109">
        <v>0.0</v>
      </c>
      <c r="AD1002" s="141">
        <v>0.0</v>
      </c>
      <c r="AE1002" s="80">
        <v>0.0</v>
      </c>
      <c r="AF1002" s="140">
        <v>0.0</v>
      </c>
      <c r="AG1002" s="109">
        <v>0.0</v>
      </c>
      <c r="AH1002" s="109">
        <v>0.0</v>
      </c>
      <c r="AI1002" s="141">
        <v>353.0</v>
      </c>
      <c r="AJ1002" s="80">
        <v>353.0</v>
      </c>
      <c r="AK1002" s="140">
        <v>0.0</v>
      </c>
      <c r="AL1002" s="109">
        <v>0.0</v>
      </c>
      <c r="AM1002" s="141">
        <v>0.0</v>
      </c>
      <c r="AN1002" s="80">
        <v>0.0</v>
      </c>
      <c r="AO1002" s="140">
        <v>0.0</v>
      </c>
      <c r="AP1002" s="109">
        <v>66.0</v>
      </c>
      <c r="AQ1002" s="109">
        <v>30.0</v>
      </c>
      <c r="AR1002" s="80">
        <v>96.0</v>
      </c>
      <c r="AS1002" s="110">
        <v>41.0</v>
      </c>
      <c r="AT1002" s="110">
        <v>20.0</v>
      </c>
      <c r="AU1002" s="110">
        <v>26.0</v>
      </c>
      <c r="AV1002" s="142">
        <v>0.0</v>
      </c>
      <c r="AW1002" s="80">
        <v>87.0</v>
      </c>
      <c r="AX1002" s="113">
        <v>536.0</v>
      </c>
      <c r="AY1002" s="117">
        <v>480.0</v>
      </c>
      <c r="AZ1002" s="328">
        <v>56.0</v>
      </c>
      <c r="BA1002" s="315">
        <v>0.0</v>
      </c>
      <c r="BB1002" s="316">
        <v>536.0</v>
      </c>
      <c r="BC1002" s="132" t="s">
        <v>178</v>
      </c>
      <c r="BD1002" s="132" t="s">
        <v>178</v>
      </c>
      <c r="BE1002" s="132" t="s">
        <v>178</v>
      </c>
      <c r="BF1002" s="123"/>
      <c r="BG1002" s="83">
        <v>1178118.0</v>
      </c>
      <c r="BH1002" s="112">
        <v>6.0</v>
      </c>
      <c r="BI1002" s="98" t="s">
        <v>155</v>
      </c>
      <c r="BJ1002" s="98" t="str">
        <f t="shared" si="1"/>
        <v>INTEGRAL</v>
      </c>
      <c r="BK1002" s="98" t="str">
        <f t="shared" si="2"/>
        <v>PROFISSIONAL</v>
      </c>
    </row>
    <row r="1003" ht="15.75" customHeight="1">
      <c r="A1003" s="111" t="s">
        <v>1224</v>
      </c>
      <c r="B1003" s="83" t="s">
        <v>2223</v>
      </c>
      <c r="C1003" s="83" t="s">
        <v>68</v>
      </c>
      <c r="D1003" s="83">
        <v>1114192.0</v>
      </c>
      <c r="E1003" s="83"/>
      <c r="F1003" s="83">
        <v>2.9112699E7</v>
      </c>
      <c r="G1003" s="114" t="s">
        <v>2224</v>
      </c>
      <c r="H1003" s="91" t="s">
        <v>9923</v>
      </c>
      <c r="I1003" s="114" t="s">
        <v>149</v>
      </c>
      <c r="J1003" s="83" t="s">
        <v>150</v>
      </c>
      <c r="K1003" s="83" t="s">
        <v>151</v>
      </c>
      <c r="L1003" s="83" t="s">
        <v>76</v>
      </c>
      <c r="M1003" s="82" t="s">
        <v>9924</v>
      </c>
      <c r="N1003" s="82" t="s">
        <v>9925</v>
      </c>
      <c r="O1003" s="82"/>
      <c r="P1003" s="82"/>
      <c r="Q1003" s="82"/>
      <c r="R1003" s="82"/>
      <c r="S1003" s="82"/>
      <c r="T1003" s="138">
        <v>10.0</v>
      </c>
      <c r="U1003" s="331" t="s">
        <v>2949</v>
      </c>
      <c r="V1003" s="106">
        <v>0.0</v>
      </c>
      <c r="W1003" s="107">
        <v>0.0</v>
      </c>
      <c r="X1003" s="107">
        <v>0.0</v>
      </c>
      <c r="Y1003" s="107">
        <v>0.0</v>
      </c>
      <c r="Z1003" s="80">
        <v>0.0</v>
      </c>
      <c r="AA1003" s="140">
        <v>0.0</v>
      </c>
      <c r="AB1003" s="109">
        <v>0.0</v>
      </c>
      <c r="AC1003" s="109">
        <v>0.0</v>
      </c>
      <c r="AD1003" s="141">
        <v>0.0</v>
      </c>
      <c r="AE1003" s="80">
        <v>0.0</v>
      </c>
      <c r="AF1003" s="140">
        <v>328.0</v>
      </c>
      <c r="AG1003" s="109">
        <v>276.0</v>
      </c>
      <c r="AH1003" s="109">
        <v>0.0</v>
      </c>
      <c r="AI1003" s="141">
        <v>0.0</v>
      </c>
      <c r="AJ1003" s="80">
        <v>604.0</v>
      </c>
      <c r="AK1003" s="140">
        <v>0.0</v>
      </c>
      <c r="AL1003" s="109">
        <v>0.0</v>
      </c>
      <c r="AM1003" s="141">
        <v>0.0</v>
      </c>
      <c r="AN1003" s="80">
        <v>0.0</v>
      </c>
      <c r="AO1003" s="140">
        <v>0.0</v>
      </c>
      <c r="AP1003" s="109">
        <v>0.0</v>
      </c>
      <c r="AQ1003" s="109">
        <v>0.0</v>
      </c>
      <c r="AR1003" s="80">
        <v>0.0</v>
      </c>
      <c r="AS1003" s="110">
        <v>0.0</v>
      </c>
      <c r="AT1003" s="110">
        <v>0.0</v>
      </c>
      <c r="AU1003" s="110">
        <v>0.0</v>
      </c>
      <c r="AV1003" s="142">
        <v>0.0</v>
      </c>
      <c r="AW1003" s="80">
        <v>0.0</v>
      </c>
      <c r="AX1003" s="113">
        <v>604.0</v>
      </c>
      <c r="AY1003" s="117">
        <v>604.0</v>
      </c>
      <c r="AZ1003" s="328">
        <v>0.0</v>
      </c>
      <c r="BA1003" s="315">
        <v>0.0</v>
      </c>
      <c r="BB1003" s="316">
        <v>604.0</v>
      </c>
      <c r="BC1003" s="132" t="s">
        <v>178</v>
      </c>
      <c r="BD1003" s="132" t="s">
        <v>178</v>
      </c>
      <c r="BE1003" s="132" t="s">
        <v>178</v>
      </c>
      <c r="BF1003" s="123"/>
      <c r="BG1003" s="83">
        <v>1114192.0</v>
      </c>
      <c r="BH1003" s="112">
        <v>8.0</v>
      </c>
      <c r="BI1003" s="98" t="s">
        <v>155</v>
      </c>
      <c r="BJ1003" s="98" t="str">
        <f t="shared" si="1"/>
        <v>NÃO</v>
      </c>
      <c r="BK1003" s="98" t="str">
        <f t="shared" si="2"/>
        <v>NÃO</v>
      </c>
    </row>
    <row r="1004" ht="15.75" customHeight="1">
      <c r="A1004" s="111" t="s">
        <v>1224</v>
      </c>
      <c r="B1004" s="83" t="s">
        <v>2223</v>
      </c>
      <c r="C1004" s="83" t="s">
        <v>68</v>
      </c>
      <c r="D1004" s="83">
        <v>1178014.0</v>
      </c>
      <c r="E1004" s="83"/>
      <c r="F1004" s="83">
        <v>2.9423732E7</v>
      </c>
      <c r="G1004" s="114" t="s">
        <v>2226</v>
      </c>
      <c r="H1004" s="91" t="s">
        <v>9926</v>
      </c>
      <c r="I1004" s="187" t="s">
        <v>149</v>
      </c>
      <c r="J1004" s="83" t="s">
        <v>150</v>
      </c>
      <c r="K1004" s="83" t="s">
        <v>151</v>
      </c>
      <c r="L1004" s="83" t="s">
        <v>152</v>
      </c>
      <c r="M1004" s="82" t="s">
        <v>9927</v>
      </c>
      <c r="N1004" s="82" t="s">
        <v>9928</v>
      </c>
      <c r="O1004" s="82" t="s">
        <v>9929</v>
      </c>
      <c r="P1004" s="82" t="s">
        <v>9930</v>
      </c>
      <c r="Q1004" s="82" t="s">
        <v>9931</v>
      </c>
      <c r="R1004" s="82" t="s">
        <v>9932</v>
      </c>
      <c r="S1004" s="82"/>
      <c r="T1004" s="138">
        <v>11.0</v>
      </c>
      <c r="U1004" s="514" t="s">
        <v>9933</v>
      </c>
      <c r="V1004" s="106">
        <v>0.0</v>
      </c>
      <c r="W1004" s="107">
        <v>0.0</v>
      </c>
      <c r="X1004" s="107">
        <v>0.0</v>
      </c>
      <c r="Y1004" s="107">
        <v>0.0</v>
      </c>
      <c r="Z1004" s="80">
        <v>0.0</v>
      </c>
      <c r="AA1004" s="140">
        <v>0.0</v>
      </c>
      <c r="AB1004" s="109">
        <v>0.0</v>
      </c>
      <c r="AC1004" s="109">
        <v>0.0</v>
      </c>
      <c r="AD1004" s="141">
        <v>0.0</v>
      </c>
      <c r="AE1004" s="80">
        <v>0.0</v>
      </c>
      <c r="AF1004" s="140">
        <v>378.0</v>
      </c>
      <c r="AG1004" s="109">
        <v>49.0</v>
      </c>
      <c r="AH1004" s="109">
        <v>38.0</v>
      </c>
      <c r="AI1004" s="141">
        <v>54.0</v>
      </c>
      <c r="AJ1004" s="80">
        <v>519.0</v>
      </c>
      <c r="AK1004" s="140">
        <v>0.0</v>
      </c>
      <c r="AL1004" s="109">
        <v>0.0</v>
      </c>
      <c r="AM1004" s="141">
        <v>0.0</v>
      </c>
      <c r="AN1004" s="80">
        <v>0.0</v>
      </c>
      <c r="AO1004" s="140">
        <v>0.0</v>
      </c>
      <c r="AP1004" s="109">
        <v>0.0</v>
      </c>
      <c r="AQ1004" s="109">
        <v>150.0</v>
      </c>
      <c r="AR1004" s="80">
        <v>150.0</v>
      </c>
      <c r="AS1004" s="110">
        <v>0.0</v>
      </c>
      <c r="AT1004" s="110">
        <v>0.0</v>
      </c>
      <c r="AU1004" s="110">
        <v>0.0</v>
      </c>
      <c r="AV1004" s="142">
        <v>0.0</v>
      </c>
      <c r="AW1004" s="80">
        <v>0.0</v>
      </c>
      <c r="AX1004" s="113">
        <v>669.0</v>
      </c>
      <c r="AY1004" s="117">
        <v>481.0</v>
      </c>
      <c r="AZ1004" s="328">
        <v>188.0</v>
      </c>
      <c r="BA1004" s="315">
        <v>0.0</v>
      </c>
      <c r="BB1004" s="316">
        <v>669.0</v>
      </c>
      <c r="BC1004" s="132" t="s">
        <v>178</v>
      </c>
      <c r="BD1004" s="132" t="s">
        <v>178</v>
      </c>
      <c r="BE1004" s="132" t="s">
        <v>178</v>
      </c>
      <c r="BF1004" s="123"/>
      <c r="BG1004" s="83">
        <v>1178014.0</v>
      </c>
      <c r="BH1004" s="112">
        <v>10.0</v>
      </c>
      <c r="BI1004" s="98" t="s">
        <v>155</v>
      </c>
      <c r="BJ1004" s="98" t="str">
        <f t="shared" si="1"/>
        <v>INTEGRAL</v>
      </c>
      <c r="BK1004" s="98" t="str">
        <f t="shared" si="2"/>
        <v>NÃO</v>
      </c>
    </row>
    <row r="1005" ht="15.75" customHeight="1">
      <c r="A1005" s="111" t="s">
        <v>1224</v>
      </c>
      <c r="B1005" s="83" t="s">
        <v>2223</v>
      </c>
      <c r="C1005" s="83" t="s">
        <v>68</v>
      </c>
      <c r="D1005" s="83">
        <v>1178136.0</v>
      </c>
      <c r="E1005" s="83"/>
      <c r="F1005" s="83">
        <v>2.9436931E7</v>
      </c>
      <c r="G1005" s="185" t="s">
        <v>9934</v>
      </c>
      <c r="H1005" s="91" t="s">
        <v>9935</v>
      </c>
      <c r="I1005" s="114" t="s">
        <v>149</v>
      </c>
      <c r="J1005" s="83" t="s">
        <v>209</v>
      </c>
      <c r="K1005" s="83" t="s">
        <v>151</v>
      </c>
      <c r="L1005" s="83" t="s">
        <v>230</v>
      </c>
      <c r="M1005" s="82" t="s">
        <v>9936</v>
      </c>
      <c r="N1005" s="82" t="s">
        <v>9937</v>
      </c>
      <c r="O1005" s="82" t="s">
        <v>9938</v>
      </c>
      <c r="P1005" s="82" t="s">
        <v>9939</v>
      </c>
      <c r="Q1005" s="82"/>
      <c r="R1005" s="82"/>
      <c r="S1005" s="82"/>
      <c r="T1005" s="138">
        <v>7.0</v>
      </c>
      <c r="U1005" s="331">
        <v>8.0</v>
      </c>
      <c r="V1005" s="106">
        <v>0.0</v>
      </c>
      <c r="W1005" s="107">
        <v>0.0</v>
      </c>
      <c r="X1005" s="107">
        <v>0.0</v>
      </c>
      <c r="Y1005" s="107">
        <v>0.0</v>
      </c>
      <c r="Z1005" s="80">
        <v>0.0</v>
      </c>
      <c r="AA1005" s="140">
        <v>0.0</v>
      </c>
      <c r="AB1005" s="109">
        <v>0.0</v>
      </c>
      <c r="AC1005" s="109">
        <v>0.0</v>
      </c>
      <c r="AD1005" s="141">
        <v>0.0</v>
      </c>
      <c r="AE1005" s="80">
        <v>0.0</v>
      </c>
      <c r="AF1005" s="140">
        <v>0.0</v>
      </c>
      <c r="AG1005" s="109">
        <v>0.0</v>
      </c>
      <c r="AH1005" s="109">
        <v>0.0</v>
      </c>
      <c r="AI1005" s="141">
        <v>0.0</v>
      </c>
      <c r="AJ1005" s="80">
        <v>0.0</v>
      </c>
      <c r="AK1005" s="140">
        <v>0.0</v>
      </c>
      <c r="AL1005" s="109">
        <v>0.0</v>
      </c>
      <c r="AM1005" s="141">
        <v>0.0</v>
      </c>
      <c r="AN1005" s="80">
        <v>0.0</v>
      </c>
      <c r="AO1005" s="140">
        <v>0.0</v>
      </c>
      <c r="AP1005" s="109">
        <v>0.0</v>
      </c>
      <c r="AQ1005" s="109">
        <v>0.0</v>
      </c>
      <c r="AR1005" s="80">
        <v>0.0</v>
      </c>
      <c r="AS1005" s="110">
        <v>70.0</v>
      </c>
      <c r="AT1005" s="110">
        <v>0.0</v>
      </c>
      <c r="AU1005" s="110">
        <v>170.0</v>
      </c>
      <c r="AV1005" s="142">
        <v>0.0</v>
      </c>
      <c r="AW1005" s="80">
        <v>240.0</v>
      </c>
      <c r="AX1005" s="113">
        <v>240.0</v>
      </c>
      <c r="AY1005" s="117">
        <v>70.0</v>
      </c>
      <c r="AZ1005" s="328">
        <v>170.0</v>
      </c>
      <c r="BA1005" s="315">
        <v>0.0</v>
      </c>
      <c r="BB1005" s="316">
        <v>240.0</v>
      </c>
      <c r="BC1005" s="132" t="s">
        <v>178</v>
      </c>
      <c r="BD1005" s="132" t="s">
        <v>522</v>
      </c>
      <c r="BE1005" s="132" t="s">
        <v>178</v>
      </c>
      <c r="BF1005" s="123"/>
      <c r="BG1005" s="83">
        <v>1178136.0</v>
      </c>
      <c r="BH1005" s="112">
        <v>8.0</v>
      </c>
      <c r="BI1005" s="98" t="s">
        <v>155</v>
      </c>
      <c r="BJ1005" s="98" t="str">
        <f t="shared" si="1"/>
        <v>NÃO</v>
      </c>
      <c r="BK1005" s="98" t="str">
        <f t="shared" si="2"/>
        <v>PROFISSIONAL</v>
      </c>
    </row>
    <row r="1006" ht="15.75" customHeight="1">
      <c r="A1006" s="111" t="s">
        <v>1224</v>
      </c>
      <c r="B1006" s="83" t="s">
        <v>2223</v>
      </c>
      <c r="C1006" s="83" t="s">
        <v>164</v>
      </c>
      <c r="D1006" s="83">
        <v>1114192.0</v>
      </c>
      <c r="E1006" s="83">
        <v>1178581.0</v>
      </c>
      <c r="F1006" s="83"/>
      <c r="G1006" s="185" t="s">
        <v>9940</v>
      </c>
      <c r="H1006" s="91" t="s">
        <v>5198</v>
      </c>
      <c r="I1006" s="114" t="s">
        <v>149</v>
      </c>
      <c r="J1006" s="83" t="s">
        <v>252</v>
      </c>
      <c r="K1006" s="83" t="s">
        <v>168</v>
      </c>
      <c r="L1006" s="83" t="s">
        <v>169</v>
      </c>
      <c r="M1006" s="82" t="s">
        <v>9924</v>
      </c>
      <c r="N1006" s="82" t="s">
        <v>9925</v>
      </c>
      <c r="O1006" s="82"/>
      <c r="P1006" s="82"/>
      <c r="Q1006" s="82"/>
      <c r="R1006" s="82"/>
      <c r="S1006" s="82"/>
      <c r="T1006" s="138">
        <v>4.0</v>
      </c>
      <c r="U1006" s="331">
        <v>4.0</v>
      </c>
      <c r="V1006" s="106">
        <v>0.0</v>
      </c>
      <c r="W1006" s="107">
        <v>0.0</v>
      </c>
      <c r="X1006" s="107">
        <v>0.0</v>
      </c>
      <c r="Y1006" s="107">
        <v>0.0</v>
      </c>
      <c r="Z1006" s="80">
        <v>0.0</v>
      </c>
      <c r="AA1006" s="140">
        <v>0.0</v>
      </c>
      <c r="AB1006" s="109">
        <v>0.0</v>
      </c>
      <c r="AC1006" s="109">
        <v>0.0</v>
      </c>
      <c r="AD1006" s="141">
        <v>0.0</v>
      </c>
      <c r="AE1006" s="80">
        <v>0.0</v>
      </c>
      <c r="AF1006" s="140">
        <v>0.0</v>
      </c>
      <c r="AG1006" s="109">
        <v>0.0</v>
      </c>
      <c r="AH1006" s="109">
        <v>68.0</v>
      </c>
      <c r="AI1006" s="141">
        <v>0.0</v>
      </c>
      <c r="AJ1006" s="80">
        <v>68.0</v>
      </c>
      <c r="AK1006" s="140">
        <v>0.0</v>
      </c>
      <c r="AL1006" s="109">
        <v>0.0</v>
      </c>
      <c r="AM1006" s="141">
        <v>0.0</v>
      </c>
      <c r="AN1006" s="80">
        <v>0.0</v>
      </c>
      <c r="AO1006" s="140">
        <v>0.0</v>
      </c>
      <c r="AP1006" s="109">
        <v>0.0</v>
      </c>
      <c r="AQ1006" s="109">
        <v>0.0</v>
      </c>
      <c r="AR1006" s="80">
        <v>0.0</v>
      </c>
      <c r="AS1006" s="110">
        <v>0.0</v>
      </c>
      <c r="AT1006" s="110">
        <v>0.0</v>
      </c>
      <c r="AU1006" s="110">
        <v>0.0</v>
      </c>
      <c r="AV1006" s="142">
        <v>0.0</v>
      </c>
      <c r="AW1006" s="80">
        <v>0.0</v>
      </c>
      <c r="AX1006" s="113">
        <v>68.0</v>
      </c>
      <c r="AY1006" s="117">
        <v>0.0</v>
      </c>
      <c r="AZ1006" s="328">
        <v>68.0</v>
      </c>
      <c r="BA1006" s="315">
        <v>0.0</v>
      </c>
      <c r="BB1006" s="316">
        <v>68.0</v>
      </c>
      <c r="BC1006" s="132" t="s">
        <v>373</v>
      </c>
      <c r="BD1006" s="132" t="s">
        <v>178</v>
      </c>
      <c r="BE1006" s="132" t="s">
        <v>178</v>
      </c>
      <c r="BF1006" s="123"/>
      <c r="BG1006" s="83">
        <v>1178581.0</v>
      </c>
      <c r="BH1006" s="112">
        <v>4.0</v>
      </c>
      <c r="BI1006" s="98" t="s">
        <v>155</v>
      </c>
      <c r="BJ1006" s="98" t="str">
        <f t="shared" si="1"/>
        <v>NÃO</v>
      </c>
      <c r="BK1006" s="98" t="str">
        <f t="shared" si="2"/>
        <v>NÃO</v>
      </c>
    </row>
    <row r="1007" ht="15.75" customHeight="1">
      <c r="A1007" s="111" t="s">
        <v>1224</v>
      </c>
      <c r="B1007" s="83" t="s">
        <v>5199</v>
      </c>
      <c r="C1007" s="83" t="s">
        <v>68</v>
      </c>
      <c r="D1007" s="83">
        <v>1115245.0</v>
      </c>
      <c r="E1007" s="83"/>
      <c r="F1007" s="83">
        <v>2.9130603E7</v>
      </c>
      <c r="G1007" s="185" t="s">
        <v>9941</v>
      </c>
      <c r="H1007" s="91" t="s">
        <v>9942</v>
      </c>
      <c r="I1007" s="114" t="s">
        <v>149</v>
      </c>
      <c r="J1007" s="83" t="s">
        <v>150</v>
      </c>
      <c r="K1007" s="83" t="s">
        <v>151</v>
      </c>
      <c r="L1007" s="83" t="s">
        <v>76</v>
      </c>
      <c r="M1007" s="82" t="s">
        <v>9943</v>
      </c>
      <c r="N1007" s="82" t="s">
        <v>9944</v>
      </c>
      <c r="O1007" s="82"/>
      <c r="P1007" s="82"/>
      <c r="Q1007" s="82"/>
      <c r="R1007" s="82"/>
      <c r="S1007" s="82" t="s">
        <v>9945</v>
      </c>
      <c r="T1007" s="138">
        <v>7.0</v>
      </c>
      <c r="U1007" s="323">
        <v>5.0</v>
      </c>
      <c r="V1007" s="106">
        <v>0.0</v>
      </c>
      <c r="W1007" s="107">
        <v>0.0</v>
      </c>
      <c r="X1007" s="107">
        <v>0.0</v>
      </c>
      <c r="Y1007" s="107">
        <v>0.0</v>
      </c>
      <c r="Z1007" s="80">
        <v>0.0</v>
      </c>
      <c r="AA1007" s="140">
        <v>0.0</v>
      </c>
      <c r="AB1007" s="109">
        <v>0.0</v>
      </c>
      <c r="AC1007" s="109">
        <v>0.0</v>
      </c>
      <c r="AD1007" s="141">
        <v>0.0</v>
      </c>
      <c r="AE1007" s="80">
        <v>0.0</v>
      </c>
      <c r="AF1007" s="140">
        <v>0.0</v>
      </c>
      <c r="AG1007" s="109">
        <v>0.0</v>
      </c>
      <c r="AH1007" s="109">
        <v>0.0</v>
      </c>
      <c r="AI1007" s="141">
        <v>0.0</v>
      </c>
      <c r="AJ1007" s="80">
        <v>0.0</v>
      </c>
      <c r="AK1007" s="140">
        <v>0.0</v>
      </c>
      <c r="AL1007" s="109">
        <v>0.0</v>
      </c>
      <c r="AM1007" s="141">
        <v>0.0</v>
      </c>
      <c r="AN1007" s="80">
        <v>0.0</v>
      </c>
      <c r="AO1007" s="140">
        <v>0.0</v>
      </c>
      <c r="AP1007" s="109">
        <v>0.0</v>
      </c>
      <c r="AQ1007" s="109">
        <v>25.0</v>
      </c>
      <c r="AR1007" s="80">
        <v>25.0</v>
      </c>
      <c r="AS1007" s="110">
        <v>0.0</v>
      </c>
      <c r="AT1007" s="110">
        <v>0.0</v>
      </c>
      <c r="AU1007" s="110">
        <v>0.0</v>
      </c>
      <c r="AV1007" s="142">
        <v>0.0</v>
      </c>
      <c r="AW1007" s="80">
        <v>0.0</v>
      </c>
      <c r="AX1007" s="113">
        <v>25.0</v>
      </c>
      <c r="AY1007" s="117">
        <v>0.0</v>
      </c>
      <c r="AZ1007" s="328">
        <v>25.0</v>
      </c>
      <c r="BA1007" s="315">
        <v>0.0</v>
      </c>
      <c r="BB1007" s="316">
        <v>25.0</v>
      </c>
      <c r="BC1007" s="132" t="s">
        <v>178</v>
      </c>
      <c r="BD1007" s="132" t="s">
        <v>178</v>
      </c>
      <c r="BE1007" s="132" t="s">
        <v>178</v>
      </c>
      <c r="BF1007" s="123"/>
      <c r="BG1007" s="83">
        <v>1115245.0</v>
      </c>
      <c r="BH1007" s="112">
        <v>5.0</v>
      </c>
      <c r="BI1007" s="98" t="s">
        <v>155</v>
      </c>
      <c r="BJ1007" s="98" t="str">
        <f t="shared" si="1"/>
        <v>NÃO</v>
      </c>
      <c r="BK1007" s="98" t="str">
        <f t="shared" si="2"/>
        <v>NÃO</v>
      </c>
    </row>
    <row r="1008" ht="15.75" customHeight="1">
      <c r="A1008" s="111" t="s">
        <v>1224</v>
      </c>
      <c r="B1008" s="83" t="s">
        <v>5199</v>
      </c>
      <c r="C1008" s="83" t="s">
        <v>68</v>
      </c>
      <c r="D1008" s="83">
        <v>1177006.0</v>
      </c>
      <c r="E1008" s="83"/>
      <c r="F1008" s="83">
        <v>2.9407834E7</v>
      </c>
      <c r="G1008" s="184" t="s">
        <v>5200</v>
      </c>
      <c r="H1008" s="91" t="s">
        <v>9946</v>
      </c>
      <c r="I1008" s="114" t="s">
        <v>5202</v>
      </c>
      <c r="J1008" s="83" t="s">
        <v>150</v>
      </c>
      <c r="K1008" s="83" t="s">
        <v>151</v>
      </c>
      <c r="L1008" s="83" t="s">
        <v>152</v>
      </c>
      <c r="M1008" s="82" t="s">
        <v>9947</v>
      </c>
      <c r="N1008" s="82" t="s">
        <v>9948</v>
      </c>
      <c r="O1008" s="82" t="s">
        <v>9949</v>
      </c>
      <c r="P1008" s="82" t="s">
        <v>9950</v>
      </c>
      <c r="Q1008" s="82" t="s">
        <v>9951</v>
      </c>
      <c r="R1008" s="82" t="s">
        <v>9952</v>
      </c>
      <c r="S1008" s="82"/>
      <c r="T1008" s="138">
        <v>8.0</v>
      </c>
      <c r="U1008" s="323">
        <v>8.0</v>
      </c>
      <c r="V1008" s="106">
        <v>0.0</v>
      </c>
      <c r="W1008" s="107">
        <v>0.0</v>
      </c>
      <c r="X1008" s="107">
        <v>0.0</v>
      </c>
      <c r="Y1008" s="107">
        <v>0.0</v>
      </c>
      <c r="Z1008" s="80">
        <v>0.0</v>
      </c>
      <c r="AA1008" s="140">
        <v>0.0</v>
      </c>
      <c r="AB1008" s="109">
        <v>0.0</v>
      </c>
      <c r="AC1008" s="109">
        <v>0.0</v>
      </c>
      <c r="AD1008" s="141">
        <v>0.0</v>
      </c>
      <c r="AE1008" s="80">
        <v>0.0</v>
      </c>
      <c r="AF1008" s="140">
        <v>257.0</v>
      </c>
      <c r="AG1008" s="109">
        <v>306.0</v>
      </c>
      <c r="AH1008" s="109">
        <v>47.0</v>
      </c>
      <c r="AI1008" s="141">
        <v>295.0</v>
      </c>
      <c r="AJ1008" s="80">
        <v>905.0</v>
      </c>
      <c r="AK1008" s="140">
        <v>0.0</v>
      </c>
      <c r="AL1008" s="109">
        <v>0.0</v>
      </c>
      <c r="AM1008" s="141">
        <v>0.0</v>
      </c>
      <c r="AN1008" s="80">
        <v>0.0</v>
      </c>
      <c r="AO1008" s="140">
        <v>0.0</v>
      </c>
      <c r="AP1008" s="109">
        <v>0.0</v>
      </c>
      <c r="AQ1008" s="109">
        <v>187.0</v>
      </c>
      <c r="AR1008" s="80">
        <v>187.0</v>
      </c>
      <c r="AS1008" s="110">
        <v>27.0</v>
      </c>
      <c r="AT1008" s="110">
        <v>0.0</v>
      </c>
      <c r="AU1008" s="110">
        <v>0.0</v>
      </c>
      <c r="AV1008" s="142">
        <v>0.0</v>
      </c>
      <c r="AW1008" s="80">
        <v>27.0</v>
      </c>
      <c r="AX1008" s="113">
        <v>1119.0</v>
      </c>
      <c r="AY1008" s="117">
        <v>885.0</v>
      </c>
      <c r="AZ1008" s="328">
        <v>234.0</v>
      </c>
      <c r="BA1008" s="315">
        <v>0.0</v>
      </c>
      <c r="BB1008" s="316">
        <v>1119.0</v>
      </c>
      <c r="BC1008" s="132" t="s">
        <v>178</v>
      </c>
      <c r="BD1008" s="132" t="s">
        <v>178</v>
      </c>
      <c r="BE1008" s="132" t="s">
        <v>178</v>
      </c>
      <c r="BF1008" s="123"/>
      <c r="BG1008" s="83">
        <v>1177006.0</v>
      </c>
      <c r="BH1008" s="112">
        <v>8.0</v>
      </c>
      <c r="BI1008" s="98" t="s">
        <v>155</v>
      </c>
      <c r="BJ1008" s="98" t="str">
        <f t="shared" si="1"/>
        <v>INTEGRAL</v>
      </c>
      <c r="BK1008" s="98" t="str">
        <f t="shared" si="2"/>
        <v>PROFISSIONAL</v>
      </c>
    </row>
    <row r="1009" ht="15.75" customHeight="1">
      <c r="A1009" s="111" t="s">
        <v>1224</v>
      </c>
      <c r="B1009" s="83" t="s">
        <v>5205</v>
      </c>
      <c r="C1009" s="83" t="s">
        <v>68</v>
      </c>
      <c r="D1009" s="83">
        <v>1166133.0</v>
      </c>
      <c r="E1009" s="83"/>
      <c r="F1009" s="83">
        <v>2.9131383E7</v>
      </c>
      <c r="G1009" s="114" t="s">
        <v>9953</v>
      </c>
      <c r="H1009" s="91" t="s">
        <v>5207</v>
      </c>
      <c r="I1009" s="114" t="s">
        <v>149</v>
      </c>
      <c r="J1009" s="83" t="s">
        <v>150</v>
      </c>
      <c r="K1009" s="83" t="s">
        <v>151</v>
      </c>
      <c r="L1009" s="83" t="s">
        <v>152</v>
      </c>
      <c r="M1009" s="82" t="s">
        <v>9954</v>
      </c>
      <c r="N1009" s="82" t="s">
        <v>9955</v>
      </c>
      <c r="O1009" s="82" t="s">
        <v>9956</v>
      </c>
      <c r="P1009" s="82" t="s">
        <v>9957</v>
      </c>
      <c r="Q1009" s="82"/>
      <c r="R1009" s="82"/>
      <c r="S1009" s="82"/>
      <c r="T1009" s="138">
        <v>6.0</v>
      </c>
      <c r="U1009" s="341">
        <v>8.0</v>
      </c>
      <c r="V1009" s="106">
        <v>0.0</v>
      </c>
      <c r="W1009" s="107">
        <v>0.0</v>
      </c>
      <c r="X1009" s="107">
        <v>0.0</v>
      </c>
      <c r="Y1009" s="107">
        <v>0.0</v>
      </c>
      <c r="Z1009" s="80">
        <v>0.0</v>
      </c>
      <c r="AA1009" s="140">
        <v>0.0</v>
      </c>
      <c r="AB1009" s="109">
        <v>0.0</v>
      </c>
      <c r="AC1009" s="109">
        <v>0.0</v>
      </c>
      <c r="AD1009" s="141">
        <v>0.0</v>
      </c>
      <c r="AE1009" s="80">
        <v>0.0</v>
      </c>
      <c r="AF1009" s="140">
        <v>96.0</v>
      </c>
      <c r="AG1009" s="109">
        <v>117.0</v>
      </c>
      <c r="AH1009" s="109">
        <v>0.0</v>
      </c>
      <c r="AI1009" s="141">
        <v>74.0</v>
      </c>
      <c r="AJ1009" s="80">
        <v>287.0</v>
      </c>
      <c r="AK1009" s="140">
        <v>0.0</v>
      </c>
      <c r="AL1009" s="109">
        <v>0.0</v>
      </c>
      <c r="AM1009" s="141">
        <v>0.0</v>
      </c>
      <c r="AN1009" s="80">
        <v>0.0</v>
      </c>
      <c r="AO1009" s="140">
        <v>0.0</v>
      </c>
      <c r="AP1009" s="109">
        <v>0.0</v>
      </c>
      <c r="AQ1009" s="109">
        <v>52.0</v>
      </c>
      <c r="AR1009" s="80">
        <v>52.0</v>
      </c>
      <c r="AS1009" s="110">
        <v>0.0</v>
      </c>
      <c r="AT1009" s="110">
        <v>0.0</v>
      </c>
      <c r="AU1009" s="110">
        <v>0.0</v>
      </c>
      <c r="AV1009" s="142">
        <v>0.0</v>
      </c>
      <c r="AW1009" s="80">
        <v>0.0</v>
      </c>
      <c r="AX1009" s="113">
        <v>339.0</v>
      </c>
      <c r="AY1009" s="117">
        <v>287.0</v>
      </c>
      <c r="AZ1009" s="328">
        <v>52.0</v>
      </c>
      <c r="BA1009" s="315">
        <v>0.0</v>
      </c>
      <c r="BB1009" s="316">
        <v>339.0</v>
      </c>
      <c r="BC1009" s="132" t="s">
        <v>178</v>
      </c>
      <c r="BD1009" s="132" t="s">
        <v>178</v>
      </c>
      <c r="BE1009" s="132" t="s">
        <v>178</v>
      </c>
      <c r="BF1009" s="123"/>
      <c r="BG1009" s="83">
        <v>1166133.0</v>
      </c>
      <c r="BH1009" s="112">
        <v>8.0</v>
      </c>
      <c r="BI1009" s="98" t="s">
        <v>162</v>
      </c>
      <c r="BJ1009" s="98" t="str">
        <f t="shared" si="1"/>
        <v>INTEGRAL</v>
      </c>
      <c r="BK1009" s="98" t="str">
        <f t="shared" si="2"/>
        <v>NÃO</v>
      </c>
    </row>
    <row r="1010" ht="15.75" customHeight="1">
      <c r="A1010" s="111" t="s">
        <v>1224</v>
      </c>
      <c r="B1010" s="83" t="s">
        <v>5210</v>
      </c>
      <c r="C1010" s="83" t="s">
        <v>68</v>
      </c>
      <c r="D1010" s="83">
        <v>1115091.0</v>
      </c>
      <c r="E1010" s="83"/>
      <c r="F1010" s="83">
        <v>2.9132045E7</v>
      </c>
      <c r="G1010" s="114" t="s">
        <v>9959</v>
      </c>
      <c r="H1010" s="91" t="s">
        <v>9960</v>
      </c>
      <c r="I1010" s="114" t="s">
        <v>149</v>
      </c>
      <c r="J1010" s="83" t="s">
        <v>150</v>
      </c>
      <c r="K1010" s="83" t="s">
        <v>151</v>
      </c>
      <c r="L1010" s="83" t="s">
        <v>152</v>
      </c>
      <c r="M1010" s="82" t="s">
        <v>9961</v>
      </c>
      <c r="N1010" s="82" t="s">
        <v>9962</v>
      </c>
      <c r="O1010" s="82" t="s">
        <v>9963</v>
      </c>
      <c r="P1010" s="82" t="s">
        <v>9964</v>
      </c>
      <c r="Q1010" s="82" t="s">
        <v>9965</v>
      </c>
      <c r="R1010" s="82" t="s">
        <v>9966</v>
      </c>
      <c r="S1010" s="82"/>
      <c r="T1010" s="138">
        <v>11.0</v>
      </c>
      <c r="U1010" s="341">
        <v>11.0</v>
      </c>
      <c r="V1010" s="106">
        <v>0.0</v>
      </c>
      <c r="W1010" s="107">
        <v>0.0</v>
      </c>
      <c r="X1010" s="107">
        <v>0.0</v>
      </c>
      <c r="Y1010" s="107">
        <v>0.0</v>
      </c>
      <c r="Z1010" s="80">
        <v>0.0</v>
      </c>
      <c r="AA1010" s="140">
        <v>0.0</v>
      </c>
      <c r="AB1010" s="109">
        <v>0.0</v>
      </c>
      <c r="AC1010" s="109">
        <v>0.0</v>
      </c>
      <c r="AD1010" s="141">
        <v>0.0</v>
      </c>
      <c r="AE1010" s="80">
        <v>0.0</v>
      </c>
      <c r="AF1010" s="140">
        <v>397.0</v>
      </c>
      <c r="AG1010" s="109">
        <v>355.0</v>
      </c>
      <c r="AH1010" s="109">
        <v>21.0</v>
      </c>
      <c r="AI1010" s="141">
        <v>0.0</v>
      </c>
      <c r="AJ1010" s="80">
        <v>773.0</v>
      </c>
      <c r="AK1010" s="140">
        <v>0.0</v>
      </c>
      <c r="AL1010" s="109">
        <v>0.0</v>
      </c>
      <c r="AM1010" s="141">
        <v>0.0</v>
      </c>
      <c r="AN1010" s="80">
        <v>0.0</v>
      </c>
      <c r="AO1010" s="140">
        <v>0.0</v>
      </c>
      <c r="AP1010" s="109">
        <v>0.0</v>
      </c>
      <c r="AQ1010" s="109">
        <v>120.0</v>
      </c>
      <c r="AR1010" s="80">
        <v>120.0</v>
      </c>
      <c r="AS1010" s="110">
        <v>0.0</v>
      </c>
      <c r="AT1010" s="110">
        <v>0.0</v>
      </c>
      <c r="AU1010" s="110">
        <v>0.0</v>
      </c>
      <c r="AV1010" s="142">
        <v>0.0</v>
      </c>
      <c r="AW1010" s="80">
        <v>0.0</v>
      </c>
      <c r="AX1010" s="113">
        <v>893.0</v>
      </c>
      <c r="AY1010" s="117">
        <v>752.0</v>
      </c>
      <c r="AZ1010" s="328">
        <v>141.0</v>
      </c>
      <c r="BA1010" s="315">
        <v>0.0</v>
      </c>
      <c r="BB1010" s="316">
        <v>893.0</v>
      </c>
      <c r="BC1010" s="132" t="s">
        <v>178</v>
      </c>
      <c r="BD1010" s="132" t="s">
        <v>178</v>
      </c>
      <c r="BE1010" s="132" t="s">
        <v>178</v>
      </c>
      <c r="BF1010" s="156"/>
      <c r="BG1010" s="83">
        <v>1115091.0</v>
      </c>
      <c r="BH1010" s="112">
        <v>11.0</v>
      </c>
      <c r="BI1010" s="98" t="s">
        <v>155</v>
      </c>
      <c r="BJ1010" s="98" t="str">
        <f t="shared" si="1"/>
        <v>NÃO</v>
      </c>
      <c r="BK1010" s="98" t="str">
        <f t="shared" si="2"/>
        <v>NÃO</v>
      </c>
    </row>
    <row r="1011" ht="15.75" customHeight="1">
      <c r="A1011" s="111" t="s">
        <v>1224</v>
      </c>
      <c r="B1011" s="83" t="s">
        <v>5210</v>
      </c>
      <c r="C1011" s="83" t="s">
        <v>164</v>
      </c>
      <c r="D1011" s="83">
        <v>1115091.0</v>
      </c>
      <c r="E1011" s="83">
        <v>1179101.0</v>
      </c>
      <c r="F1011" s="83"/>
      <c r="G1011" s="114" t="s">
        <v>9967</v>
      </c>
      <c r="H1011" s="91" t="s">
        <v>5220</v>
      </c>
      <c r="I1011" s="114" t="s">
        <v>149</v>
      </c>
      <c r="J1011" s="83" t="s">
        <v>471</v>
      </c>
      <c r="K1011" s="83" t="s">
        <v>168</v>
      </c>
      <c r="L1011" s="83" t="s">
        <v>169</v>
      </c>
      <c r="M1011" s="82" t="s">
        <v>9961</v>
      </c>
      <c r="N1011" s="82" t="s">
        <v>9962</v>
      </c>
      <c r="O1011" s="82" t="s">
        <v>9963</v>
      </c>
      <c r="P1011" s="82" t="s">
        <v>9964</v>
      </c>
      <c r="Q1011" s="82" t="s">
        <v>9965</v>
      </c>
      <c r="R1011" s="82" t="s">
        <v>9966</v>
      </c>
      <c r="S1011" s="82"/>
      <c r="T1011" s="138">
        <v>3.0</v>
      </c>
      <c r="U1011" s="341">
        <v>3.0</v>
      </c>
      <c r="V1011" s="106">
        <v>0.0</v>
      </c>
      <c r="W1011" s="107">
        <v>0.0</v>
      </c>
      <c r="X1011" s="107">
        <v>0.0</v>
      </c>
      <c r="Y1011" s="107">
        <v>0.0</v>
      </c>
      <c r="Z1011" s="80">
        <v>0.0</v>
      </c>
      <c r="AA1011" s="140">
        <v>0.0</v>
      </c>
      <c r="AB1011" s="109">
        <v>0.0</v>
      </c>
      <c r="AC1011" s="109">
        <v>0.0</v>
      </c>
      <c r="AD1011" s="141">
        <v>0.0</v>
      </c>
      <c r="AE1011" s="80">
        <v>0.0</v>
      </c>
      <c r="AF1011" s="140">
        <v>0.0</v>
      </c>
      <c r="AG1011" s="109">
        <v>60.0</v>
      </c>
      <c r="AH1011" s="109">
        <v>0.0</v>
      </c>
      <c r="AI1011" s="141">
        <v>0.0</v>
      </c>
      <c r="AJ1011" s="80">
        <v>60.0</v>
      </c>
      <c r="AK1011" s="140">
        <v>0.0</v>
      </c>
      <c r="AL1011" s="109">
        <v>0.0</v>
      </c>
      <c r="AM1011" s="141">
        <v>0.0</v>
      </c>
      <c r="AN1011" s="80">
        <v>0.0</v>
      </c>
      <c r="AO1011" s="140">
        <v>0.0</v>
      </c>
      <c r="AP1011" s="109">
        <v>0.0</v>
      </c>
      <c r="AQ1011" s="109">
        <v>0.0</v>
      </c>
      <c r="AR1011" s="80">
        <v>0.0</v>
      </c>
      <c r="AS1011" s="110">
        <v>0.0</v>
      </c>
      <c r="AT1011" s="110">
        <v>0.0</v>
      </c>
      <c r="AU1011" s="110">
        <v>0.0</v>
      </c>
      <c r="AV1011" s="142">
        <v>0.0</v>
      </c>
      <c r="AW1011" s="80">
        <v>0.0</v>
      </c>
      <c r="AX1011" s="113">
        <v>60.0</v>
      </c>
      <c r="AY1011" s="117">
        <v>60.0</v>
      </c>
      <c r="AZ1011" s="328">
        <v>0.0</v>
      </c>
      <c r="BA1011" s="315">
        <v>0.0</v>
      </c>
      <c r="BB1011" s="316">
        <v>60.0</v>
      </c>
      <c r="BC1011" s="132" t="s">
        <v>373</v>
      </c>
      <c r="BD1011" s="132" t="s">
        <v>178</v>
      </c>
      <c r="BE1011" s="132" t="s">
        <v>178</v>
      </c>
      <c r="BF1011" s="156"/>
      <c r="BG1011" s="83">
        <v>1179101.0</v>
      </c>
      <c r="BH1011" s="112">
        <v>3.0</v>
      </c>
      <c r="BI1011" s="98" t="s">
        <v>155</v>
      </c>
      <c r="BJ1011" s="98" t="str">
        <f t="shared" si="1"/>
        <v>NÃO</v>
      </c>
      <c r="BK1011" s="98" t="str">
        <f t="shared" si="2"/>
        <v>NÃO</v>
      </c>
    </row>
    <row r="1012" ht="15.75" customHeight="1">
      <c r="A1012" s="111" t="s">
        <v>1224</v>
      </c>
      <c r="B1012" s="83" t="s">
        <v>5221</v>
      </c>
      <c r="C1012" s="83" t="s">
        <v>68</v>
      </c>
      <c r="D1012" s="83">
        <v>1138539.0</v>
      </c>
      <c r="E1012" s="83"/>
      <c r="F1012" s="83">
        <v>2.9113881E7</v>
      </c>
      <c r="G1012" s="114" t="s">
        <v>9968</v>
      </c>
      <c r="H1012" s="91" t="s">
        <v>5223</v>
      </c>
      <c r="I1012" s="114" t="s">
        <v>5224</v>
      </c>
      <c r="J1012" s="83" t="s">
        <v>150</v>
      </c>
      <c r="K1012" s="83" t="s">
        <v>151</v>
      </c>
      <c r="L1012" s="83" t="s">
        <v>76</v>
      </c>
      <c r="M1012" s="82" t="s">
        <v>9969</v>
      </c>
      <c r="N1012" s="82" t="s">
        <v>9970</v>
      </c>
      <c r="O1012" s="82" t="s">
        <v>9971</v>
      </c>
      <c r="P1012" s="82" t="s">
        <v>9972</v>
      </c>
      <c r="Q1012" s="82"/>
      <c r="R1012" s="82"/>
      <c r="S1012" s="82"/>
      <c r="T1012" s="138">
        <v>8.0</v>
      </c>
      <c r="U1012" s="341" t="s">
        <v>9973</v>
      </c>
      <c r="V1012" s="106">
        <v>0.0</v>
      </c>
      <c r="W1012" s="107">
        <v>0.0</v>
      </c>
      <c r="X1012" s="107">
        <v>0.0</v>
      </c>
      <c r="Y1012" s="107">
        <v>0.0</v>
      </c>
      <c r="Z1012" s="80">
        <v>0.0</v>
      </c>
      <c r="AA1012" s="140">
        <v>0.0</v>
      </c>
      <c r="AB1012" s="109">
        <v>0.0</v>
      </c>
      <c r="AC1012" s="109">
        <v>0.0</v>
      </c>
      <c r="AD1012" s="141">
        <v>0.0</v>
      </c>
      <c r="AE1012" s="80">
        <v>0.0</v>
      </c>
      <c r="AF1012" s="140">
        <v>140.0</v>
      </c>
      <c r="AG1012" s="109">
        <v>148.0</v>
      </c>
      <c r="AH1012" s="109">
        <v>14.0</v>
      </c>
      <c r="AI1012" s="141">
        <v>0.0</v>
      </c>
      <c r="AJ1012" s="80">
        <v>302.0</v>
      </c>
      <c r="AK1012" s="140">
        <v>0.0</v>
      </c>
      <c r="AL1012" s="109">
        <v>0.0</v>
      </c>
      <c r="AM1012" s="141">
        <v>0.0</v>
      </c>
      <c r="AN1012" s="80">
        <v>0.0</v>
      </c>
      <c r="AO1012" s="140">
        <v>0.0</v>
      </c>
      <c r="AP1012" s="109">
        <v>0.0</v>
      </c>
      <c r="AQ1012" s="109">
        <v>47.0</v>
      </c>
      <c r="AR1012" s="80">
        <v>47.0</v>
      </c>
      <c r="AS1012" s="110">
        <v>103.0</v>
      </c>
      <c r="AT1012" s="110">
        <v>28.0</v>
      </c>
      <c r="AU1012" s="110">
        <v>22.0</v>
      </c>
      <c r="AV1012" s="142">
        <v>0.0</v>
      </c>
      <c r="AW1012" s="80">
        <v>153.0</v>
      </c>
      <c r="AX1012" s="113">
        <v>502.0</v>
      </c>
      <c r="AY1012" s="117">
        <v>419.0</v>
      </c>
      <c r="AZ1012" s="328">
        <v>83.0</v>
      </c>
      <c r="BA1012" s="315">
        <v>0.0</v>
      </c>
      <c r="BB1012" s="316">
        <v>502.0</v>
      </c>
      <c r="BC1012" s="132" t="s">
        <v>178</v>
      </c>
      <c r="BD1012" s="132" t="s">
        <v>178</v>
      </c>
      <c r="BE1012" s="132" t="s">
        <v>178</v>
      </c>
      <c r="BF1012" s="123"/>
      <c r="BG1012" s="83">
        <v>1138539.0</v>
      </c>
      <c r="BH1012" s="112">
        <v>7.0</v>
      </c>
      <c r="BI1012" s="98" t="s">
        <v>155</v>
      </c>
      <c r="BJ1012" s="98" t="str">
        <f t="shared" si="1"/>
        <v>NÃO</v>
      </c>
      <c r="BK1012" s="98" t="str">
        <f t="shared" si="2"/>
        <v>PROFISSIONAL</v>
      </c>
    </row>
    <row r="1013" ht="15.75" customHeight="1">
      <c r="A1013" s="111" t="s">
        <v>1224</v>
      </c>
      <c r="B1013" s="83" t="s">
        <v>5226</v>
      </c>
      <c r="C1013" s="83" t="s">
        <v>68</v>
      </c>
      <c r="D1013" s="83">
        <v>1115342.0</v>
      </c>
      <c r="E1013" s="83"/>
      <c r="F1013" s="83">
        <v>2.9132711E7</v>
      </c>
      <c r="G1013" s="187" t="s">
        <v>5227</v>
      </c>
      <c r="H1013" s="91" t="s">
        <v>5228</v>
      </c>
      <c r="I1013" s="114" t="s">
        <v>149</v>
      </c>
      <c r="J1013" s="83" t="s">
        <v>150</v>
      </c>
      <c r="K1013" s="83" t="s">
        <v>151</v>
      </c>
      <c r="L1013" s="83" t="s">
        <v>76</v>
      </c>
      <c r="M1013" s="82" t="s">
        <v>9974</v>
      </c>
      <c r="N1013" s="82" t="s">
        <v>9975</v>
      </c>
      <c r="O1013" s="82" t="s">
        <v>9976</v>
      </c>
      <c r="P1013" s="82" t="s">
        <v>9977</v>
      </c>
      <c r="Q1013" s="82"/>
      <c r="R1013" s="82"/>
      <c r="S1013" s="82" t="s">
        <v>9978</v>
      </c>
      <c r="T1013" s="138">
        <v>7.0</v>
      </c>
      <c r="U1013" s="352" t="s">
        <v>9979</v>
      </c>
      <c r="V1013" s="106">
        <v>0.0</v>
      </c>
      <c r="W1013" s="107">
        <v>0.0</v>
      </c>
      <c r="X1013" s="107">
        <v>0.0</v>
      </c>
      <c r="Y1013" s="107">
        <v>0.0</v>
      </c>
      <c r="Z1013" s="80">
        <v>0.0</v>
      </c>
      <c r="AA1013" s="140">
        <v>0.0</v>
      </c>
      <c r="AB1013" s="109">
        <v>0.0</v>
      </c>
      <c r="AC1013" s="109">
        <v>0.0</v>
      </c>
      <c r="AD1013" s="141">
        <v>0.0</v>
      </c>
      <c r="AE1013" s="80">
        <v>0.0</v>
      </c>
      <c r="AF1013" s="140">
        <v>196.0</v>
      </c>
      <c r="AG1013" s="109">
        <v>208.0</v>
      </c>
      <c r="AH1013" s="109">
        <v>18.0</v>
      </c>
      <c r="AI1013" s="141">
        <v>0.0</v>
      </c>
      <c r="AJ1013" s="80">
        <v>422.0</v>
      </c>
      <c r="AK1013" s="140">
        <v>0.0</v>
      </c>
      <c r="AL1013" s="109">
        <v>0.0</v>
      </c>
      <c r="AM1013" s="141">
        <v>0.0</v>
      </c>
      <c r="AN1013" s="80">
        <v>0.0</v>
      </c>
      <c r="AO1013" s="140">
        <v>0.0</v>
      </c>
      <c r="AP1013" s="109">
        <v>0.0</v>
      </c>
      <c r="AQ1013" s="109">
        <v>91.0</v>
      </c>
      <c r="AR1013" s="80">
        <v>91.0</v>
      </c>
      <c r="AS1013" s="110">
        <v>0.0</v>
      </c>
      <c r="AT1013" s="110">
        <v>0.0</v>
      </c>
      <c r="AU1013" s="110">
        <v>0.0</v>
      </c>
      <c r="AV1013" s="142">
        <v>0.0</v>
      </c>
      <c r="AW1013" s="80">
        <v>0.0</v>
      </c>
      <c r="AX1013" s="113">
        <v>513.0</v>
      </c>
      <c r="AY1013" s="117">
        <v>404.0</v>
      </c>
      <c r="AZ1013" s="328">
        <v>109.0</v>
      </c>
      <c r="BA1013" s="315">
        <v>0.0</v>
      </c>
      <c r="BB1013" s="316">
        <v>513.0</v>
      </c>
      <c r="BC1013" s="132" t="s">
        <v>178</v>
      </c>
      <c r="BD1013" s="132" t="s">
        <v>178</v>
      </c>
      <c r="BE1013" s="132" t="s">
        <v>178</v>
      </c>
      <c r="BF1013" s="156"/>
      <c r="BG1013" s="83">
        <v>1115342.0</v>
      </c>
      <c r="BH1013" s="112">
        <v>7.0</v>
      </c>
      <c r="BI1013" s="98" t="s">
        <v>155</v>
      </c>
      <c r="BJ1013" s="98" t="str">
        <f t="shared" si="1"/>
        <v>NÃO</v>
      </c>
      <c r="BK1013" s="98" t="str">
        <f t="shared" si="2"/>
        <v>NÃO</v>
      </c>
    </row>
    <row r="1014" ht="15.75" customHeight="1">
      <c r="A1014" s="111" t="s">
        <v>1224</v>
      </c>
      <c r="B1014" s="83" t="s">
        <v>5230</v>
      </c>
      <c r="C1014" s="83" t="s">
        <v>45</v>
      </c>
      <c r="D1014" s="83">
        <v>1178393.0</v>
      </c>
      <c r="E1014" s="83"/>
      <c r="F1014" s="83">
        <v>2.937572E7</v>
      </c>
      <c r="G1014" s="114" t="s">
        <v>5231</v>
      </c>
      <c r="H1014" s="91" t="s">
        <v>5232</v>
      </c>
      <c r="I1014" s="298" t="s">
        <v>149</v>
      </c>
      <c r="J1014" s="98" t="s">
        <v>694</v>
      </c>
      <c r="K1014" s="83" t="s">
        <v>171</v>
      </c>
      <c r="L1014" s="83" t="s">
        <v>169</v>
      </c>
      <c r="M1014" s="82" t="s">
        <v>9980</v>
      </c>
      <c r="N1014" s="82" t="s">
        <v>9981</v>
      </c>
      <c r="O1014" s="82"/>
      <c r="P1014" s="82"/>
      <c r="Q1014" s="82"/>
      <c r="R1014" s="82"/>
      <c r="S1014" s="82"/>
      <c r="T1014" s="138">
        <v>9.0</v>
      </c>
      <c r="U1014" s="341" t="s">
        <v>171</v>
      </c>
      <c r="V1014" s="106">
        <v>0.0</v>
      </c>
      <c r="W1014" s="107">
        <v>0.0</v>
      </c>
      <c r="X1014" s="107">
        <v>0.0</v>
      </c>
      <c r="Y1014" s="107">
        <v>0.0</v>
      </c>
      <c r="Z1014" s="80">
        <v>0.0</v>
      </c>
      <c r="AA1014" s="140">
        <v>0.0</v>
      </c>
      <c r="AB1014" s="109">
        <v>0.0</v>
      </c>
      <c r="AC1014" s="109">
        <v>0.0</v>
      </c>
      <c r="AD1014" s="141">
        <v>119.0</v>
      </c>
      <c r="AE1014" s="80">
        <v>119.0</v>
      </c>
      <c r="AF1014" s="140">
        <v>0.0</v>
      </c>
      <c r="AG1014" s="109">
        <v>0.0</v>
      </c>
      <c r="AH1014" s="109">
        <v>0.0</v>
      </c>
      <c r="AI1014" s="141">
        <v>72.0</v>
      </c>
      <c r="AJ1014" s="80">
        <v>72.0</v>
      </c>
      <c r="AK1014" s="140">
        <v>0.0</v>
      </c>
      <c r="AL1014" s="109">
        <v>0.0</v>
      </c>
      <c r="AM1014" s="141">
        <v>0.0</v>
      </c>
      <c r="AN1014" s="80">
        <v>0.0</v>
      </c>
      <c r="AO1014" s="140">
        <v>0.0</v>
      </c>
      <c r="AP1014" s="109">
        <v>0.0</v>
      </c>
      <c r="AQ1014" s="109">
        <v>0.0</v>
      </c>
      <c r="AR1014" s="80">
        <v>0.0</v>
      </c>
      <c r="AS1014" s="110">
        <v>0.0</v>
      </c>
      <c r="AT1014" s="110">
        <v>0.0</v>
      </c>
      <c r="AU1014" s="110">
        <v>0.0</v>
      </c>
      <c r="AV1014" s="142">
        <v>0.0</v>
      </c>
      <c r="AW1014" s="80">
        <v>0.0</v>
      </c>
      <c r="AX1014" s="113">
        <v>191.0</v>
      </c>
      <c r="AY1014" s="117">
        <v>191.0</v>
      </c>
      <c r="AZ1014" s="328">
        <v>0.0</v>
      </c>
      <c r="BA1014" s="315">
        <v>0.0</v>
      </c>
      <c r="BB1014" s="316">
        <v>191.0</v>
      </c>
      <c r="BC1014" s="132" t="s">
        <v>178</v>
      </c>
      <c r="BD1014" s="132" t="s">
        <v>178</v>
      </c>
      <c r="BE1014" s="132" t="s">
        <v>178</v>
      </c>
      <c r="BF1014" s="156"/>
      <c r="BG1014" s="83">
        <v>1178393.0</v>
      </c>
      <c r="BH1014" s="112">
        <v>9.0</v>
      </c>
      <c r="BI1014" s="98" t="s">
        <v>155</v>
      </c>
      <c r="BJ1014" s="98" t="str">
        <f t="shared" si="1"/>
        <v>INTEGRAL</v>
      </c>
      <c r="BK1014" s="98" t="str">
        <f t="shared" si="2"/>
        <v>NÃO</v>
      </c>
    </row>
    <row r="1015" ht="15.75" customHeight="1">
      <c r="A1015" s="111" t="s">
        <v>1224</v>
      </c>
      <c r="B1015" s="83" t="s">
        <v>5230</v>
      </c>
      <c r="C1015" s="83" t="s">
        <v>68</v>
      </c>
      <c r="D1015" s="83">
        <v>1115393.0</v>
      </c>
      <c r="E1015" s="83"/>
      <c r="F1015" s="83">
        <v>2.9133955E7</v>
      </c>
      <c r="G1015" s="114" t="s">
        <v>9982</v>
      </c>
      <c r="H1015" s="91" t="s">
        <v>5240</v>
      </c>
      <c r="I1015" s="187" t="s">
        <v>149</v>
      </c>
      <c r="J1015" s="136" t="s">
        <v>150</v>
      </c>
      <c r="K1015" s="83" t="s">
        <v>151</v>
      </c>
      <c r="L1015" s="83" t="s">
        <v>152</v>
      </c>
      <c r="M1015" s="82" t="s">
        <v>9983</v>
      </c>
      <c r="N1015" s="82" t="s">
        <v>9984</v>
      </c>
      <c r="O1015" s="82" t="s">
        <v>9985</v>
      </c>
      <c r="P1015" s="82" t="s">
        <v>9986</v>
      </c>
      <c r="Q1015" s="82"/>
      <c r="R1015" s="82"/>
      <c r="S1015" s="82" t="s">
        <v>9987</v>
      </c>
      <c r="T1015" s="138">
        <v>13.0</v>
      </c>
      <c r="U1015" s="339" t="s">
        <v>9988</v>
      </c>
      <c r="V1015" s="106">
        <v>0.0</v>
      </c>
      <c r="W1015" s="107">
        <v>0.0</v>
      </c>
      <c r="X1015" s="107">
        <v>0.0</v>
      </c>
      <c r="Y1015" s="107">
        <v>0.0</v>
      </c>
      <c r="Z1015" s="80">
        <v>0.0</v>
      </c>
      <c r="AA1015" s="140">
        <v>0.0</v>
      </c>
      <c r="AB1015" s="109">
        <v>0.0</v>
      </c>
      <c r="AC1015" s="109">
        <v>0.0</v>
      </c>
      <c r="AD1015" s="141">
        <v>0.0</v>
      </c>
      <c r="AE1015" s="80">
        <v>0.0</v>
      </c>
      <c r="AF1015" s="140">
        <v>152.0</v>
      </c>
      <c r="AG1015" s="109">
        <v>160.0</v>
      </c>
      <c r="AH1015" s="109">
        <v>0.0</v>
      </c>
      <c r="AI1015" s="141">
        <v>0.0</v>
      </c>
      <c r="AJ1015" s="80">
        <v>312.0</v>
      </c>
      <c r="AK1015" s="140">
        <v>0.0</v>
      </c>
      <c r="AL1015" s="109">
        <v>0.0</v>
      </c>
      <c r="AM1015" s="141">
        <v>0.0</v>
      </c>
      <c r="AN1015" s="80">
        <v>0.0</v>
      </c>
      <c r="AO1015" s="140">
        <v>0.0</v>
      </c>
      <c r="AP1015" s="109">
        <v>0.0</v>
      </c>
      <c r="AQ1015" s="109">
        <v>142.0</v>
      </c>
      <c r="AR1015" s="80">
        <v>142.0</v>
      </c>
      <c r="AS1015" s="110">
        <v>0.0</v>
      </c>
      <c r="AT1015" s="110">
        <v>0.0</v>
      </c>
      <c r="AU1015" s="110">
        <v>0.0</v>
      </c>
      <c r="AV1015" s="142">
        <v>0.0</v>
      </c>
      <c r="AW1015" s="80">
        <v>0.0</v>
      </c>
      <c r="AX1015" s="113">
        <v>454.0</v>
      </c>
      <c r="AY1015" s="117">
        <v>312.0</v>
      </c>
      <c r="AZ1015" s="328">
        <v>142.0</v>
      </c>
      <c r="BA1015" s="315">
        <v>0.0</v>
      </c>
      <c r="BB1015" s="316">
        <v>454.0</v>
      </c>
      <c r="BC1015" s="132" t="s">
        <v>178</v>
      </c>
      <c r="BD1015" s="132" t="s">
        <v>178</v>
      </c>
      <c r="BE1015" s="132" t="s">
        <v>178</v>
      </c>
      <c r="BF1015" s="123"/>
      <c r="BG1015" s="83">
        <v>1115393.0</v>
      </c>
      <c r="BH1015" s="112">
        <v>6.0</v>
      </c>
      <c r="BI1015" s="98" t="s">
        <v>155</v>
      </c>
      <c r="BJ1015" s="98" t="str">
        <f t="shared" si="1"/>
        <v>NÃO</v>
      </c>
      <c r="BK1015" s="98" t="str">
        <f t="shared" si="2"/>
        <v>NÃO</v>
      </c>
    </row>
    <row r="1016" ht="15.75" customHeight="1">
      <c r="A1016" s="111" t="s">
        <v>1224</v>
      </c>
      <c r="B1016" s="83" t="s">
        <v>5230</v>
      </c>
      <c r="C1016" s="83" t="s">
        <v>68</v>
      </c>
      <c r="D1016" s="83">
        <v>1178429.0</v>
      </c>
      <c r="E1016" s="83"/>
      <c r="F1016" s="83">
        <v>2.939894E7</v>
      </c>
      <c r="G1016" s="114" t="s">
        <v>9989</v>
      </c>
      <c r="H1016" s="91" t="s">
        <v>9990</v>
      </c>
      <c r="I1016" s="187" t="s">
        <v>149</v>
      </c>
      <c r="J1016" s="136" t="s">
        <v>240</v>
      </c>
      <c r="K1016" s="83" t="s">
        <v>151</v>
      </c>
      <c r="L1016" s="83" t="s">
        <v>169</v>
      </c>
      <c r="M1016" s="82" t="s">
        <v>9991</v>
      </c>
      <c r="N1016" s="82" t="s">
        <v>9992</v>
      </c>
      <c r="O1016" s="82"/>
      <c r="P1016" s="82"/>
      <c r="Q1016" s="82"/>
      <c r="R1016" s="82"/>
      <c r="S1016" s="82" t="s">
        <v>9993</v>
      </c>
      <c r="T1016" s="138">
        <v>6.0</v>
      </c>
      <c r="U1016" s="364">
        <v>6.0</v>
      </c>
      <c r="V1016" s="106">
        <v>0.0</v>
      </c>
      <c r="W1016" s="107">
        <v>0.0</v>
      </c>
      <c r="X1016" s="107">
        <v>0.0</v>
      </c>
      <c r="Y1016" s="107">
        <v>0.0</v>
      </c>
      <c r="Z1016" s="80">
        <v>0.0</v>
      </c>
      <c r="AA1016" s="140">
        <v>0.0</v>
      </c>
      <c r="AB1016" s="109">
        <v>0.0</v>
      </c>
      <c r="AC1016" s="109">
        <v>0.0</v>
      </c>
      <c r="AD1016" s="141">
        <v>0.0</v>
      </c>
      <c r="AE1016" s="80">
        <v>0.0</v>
      </c>
      <c r="AF1016" s="246">
        <v>63.0</v>
      </c>
      <c r="AG1016" s="246">
        <v>140.0</v>
      </c>
      <c r="AH1016" s="246">
        <v>0.0</v>
      </c>
      <c r="AI1016" s="247">
        <v>0.0</v>
      </c>
      <c r="AJ1016" s="80">
        <v>203.0</v>
      </c>
      <c r="AK1016" s="140">
        <v>0.0</v>
      </c>
      <c r="AL1016" s="109">
        <v>0.0</v>
      </c>
      <c r="AM1016" s="141">
        <v>0.0</v>
      </c>
      <c r="AN1016" s="80">
        <v>0.0</v>
      </c>
      <c r="AO1016" s="246">
        <v>0.0</v>
      </c>
      <c r="AP1016" s="246">
        <v>0.0</v>
      </c>
      <c r="AQ1016" s="247">
        <v>68.0</v>
      </c>
      <c r="AR1016" s="80">
        <v>68.0</v>
      </c>
      <c r="AS1016" s="110">
        <v>0.0</v>
      </c>
      <c r="AT1016" s="110">
        <v>0.0</v>
      </c>
      <c r="AU1016" s="110">
        <v>0.0</v>
      </c>
      <c r="AV1016" s="142">
        <v>0.0</v>
      </c>
      <c r="AW1016" s="80">
        <v>0.0</v>
      </c>
      <c r="AX1016" s="113">
        <v>271.0</v>
      </c>
      <c r="AY1016" s="117">
        <v>203.0</v>
      </c>
      <c r="AZ1016" s="328">
        <v>68.0</v>
      </c>
      <c r="BA1016" s="315">
        <v>3.0</v>
      </c>
      <c r="BB1016" s="316">
        <v>274.0</v>
      </c>
      <c r="BC1016" s="132" t="s">
        <v>373</v>
      </c>
      <c r="BD1016" s="132" t="s">
        <v>178</v>
      </c>
      <c r="BE1016" s="132" t="s">
        <v>178</v>
      </c>
      <c r="BF1016" s="123"/>
      <c r="BG1016" s="83">
        <v>1178429.0</v>
      </c>
      <c r="BH1016" s="112">
        <v>6.0</v>
      </c>
      <c r="BI1016" s="98" t="s">
        <v>155</v>
      </c>
      <c r="BJ1016" s="98" t="str">
        <f t="shared" si="1"/>
        <v>NÃO</v>
      </c>
      <c r="BK1016" s="98" t="str">
        <f t="shared" si="2"/>
        <v>NÃO</v>
      </c>
    </row>
    <row r="1017" ht="15.75" customHeight="1">
      <c r="A1017" s="111" t="s">
        <v>1224</v>
      </c>
      <c r="B1017" s="83" t="s">
        <v>5230</v>
      </c>
      <c r="C1017" s="83" t="s">
        <v>68</v>
      </c>
      <c r="D1017" s="83">
        <v>1178084.0</v>
      </c>
      <c r="E1017" s="83"/>
      <c r="F1017" s="83">
        <v>2.942853E7</v>
      </c>
      <c r="G1017" s="114" t="s">
        <v>5243</v>
      </c>
      <c r="H1017" s="91" t="s">
        <v>5244</v>
      </c>
      <c r="I1017" s="187" t="s">
        <v>149</v>
      </c>
      <c r="J1017" s="136" t="s">
        <v>150</v>
      </c>
      <c r="K1017" s="83" t="s">
        <v>151</v>
      </c>
      <c r="L1017" s="83" t="s">
        <v>152</v>
      </c>
      <c r="M1017" s="82" t="s">
        <v>9994</v>
      </c>
      <c r="N1017" s="82" t="s">
        <v>9995</v>
      </c>
      <c r="O1017" s="82" t="s">
        <v>9996</v>
      </c>
      <c r="P1017" s="82" t="s">
        <v>9997</v>
      </c>
      <c r="Q1017" s="82" t="s">
        <v>9998</v>
      </c>
      <c r="R1017" s="82" t="s">
        <v>9999</v>
      </c>
      <c r="S1017" s="82" t="s">
        <v>10000</v>
      </c>
      <c r="T1017" s="138">
        <v>8.0</v>
      </c>
      <c r="U1017" s="389">
        <v>8.0</v>
      </c>
      <c r="V1017" s="106">
        <v>0.0</v>
      </c>
      <c r="W1017" s="107">
        <v>0.0</v>
      </c>
      <c r="X1017" s="107">
        <v>0.0</v>
      </c>
      <c r="Y1017" s="107">
        <v>0.0</v>
      </c>
      <c r="Z1017" s="80">
        <v>0.0</v>
      </c>
      <c r="AA1017" s="140">
        <v>0.0</v>
      </c>
      <c r="AB1017" s="109">
        <v>0.0</v>
      </c>
      <c r="AC1017" s="109">
        <v>0.0</v>
      </c>
      <c r="AD1017" s="141">
        <v>0.0</v>
      </c>
      <c r="AE1017" s="80">
        <v>0.0</v>
      </c>
      <c r="AF1017" s="140">
        <v>291.0</v>
      </c>
      <c r="AG1017" s="109">
        <v>243.0</v>
      </c>
      <c r="AH1017" s="109">
        <v>31.0</v>
      </c>
      <c r="AI1017" s="141">
        <v>0.0</v>
      </c>
      <c r="AJ1017" s="80">
        <v>565.0</v>
      </c>
      <c r="AK1017" s="140">
        <v>0.0</v>
      </c>
      <c r="AL1017" s="109">
        <v>0.0</v>
      </c>
      <c r="AM1017" s="141">
        <v>0.0</v>
      </c>
      <c r="AN1017" s="80">
        <v>0.0</v>
      </c>
      <c r="AO1017" s="140">
        <v>0.0</v>
      </c>
      <c r="AP1017" s="109">
        <v>0.0</v>
      </c>
      <c r="AQ1017" s="109">
        <v>103.0</v>
      </c>
      <c r="AR1017" s="80">
        <v>103.0</v>
      </c>
      <c r="AS1017" s="110">
        <v>0.0</v>
      </c>
      <c r="AT1017" s="110">
        <v>0.0</v>
      </c>
      <c r="AU1017" s="110">
        <v>0.0</v>
      </c>
      <c r="AV1017" s="142">
        <v>0.0</v>
      </c>
      <c r="AW1017" s="80">
        <v>0.0</v>
      </c>
      <c r="AX1017" s="113">
        <v>668.0</v>
      </c>
      <c r="AY1017" s="117">
        <v>534.0</v>
      </c>
      <c r="AZ1017" s="328">
        <v>134.0</v>
      </c>
      <c r="BA1017" s="315">
        <v>1.0</v>
      </c>
      <c r="BB1017" s="316">
        <v>669.0</v>
      </c>
      <c r="BC1017" s="132" t="s">
        <v>178</v>
      </c>
      <c r="BD1017" s="132" t="s">
        <v>178</v>
      </c>
      <c r="BE1017" s="132" t="s">
        <v>178</v>
      </c>
      <c r="BF1017" s="123"/>
      <c r="BG1017" s="83">
        <v>1178084.0</v>
      </c>
      <c r="BH1017" s="112">
        <v>8.0</v>
      </c>
      <c r="BI1017" s="98" t="s">
        <v>155</v>
      </c>
      <c r="BJ1017" s="98" t="str">
        <f t="shared" si="1"/>
        <v>NÃO</v>
      </c>
      <c r="BK1017" s="98" t="str">
        <f t="shared" si="2"/>
        <v>NÃO</v>
      </c>
    </row>
    <row r="1018" ht="15.75" customHeight="1">
      <c r="A1018" s="111" t="s">
        <v>1224</v>
      </c>
      <c r="B1018" s="83" t="s">
        <v>5230</v>
      </c>
      <c r="C1018" s="83" t="s">
        <v>68</v>
      </c>
      <c r="D1018" s="83">
        <v>1115326.0</v>
      </c>
      <c r="E1018" s="83"/>
      <c r="F1018" s="83">
        <v>2.913313E7</v>
      </c>
      <c r="G1018" s="119" t="s">
        <v>5246</v>
      </c>
      <c r="H1018" s="91" t="s">
        <v>5247</v>
      </c>
      <c r="I1018" s="187" t="s">
        <v>149</v>
      </c>
      <c r="J1018" s="136" t="s">
        <v>150</v>
      </c>
      <c r="K1018" s="83" t="s">
        <v>151</v>
      </c>
      <c r="L1018" s="83" t="s">
        <v>230</v>
      </c>
      <c r="M1018" s="82" t="s">
        <v>10001</v>
      </c>
      <c r="N1018" s="82" t="s">
        <v>10002</v>
      </c>
      <c r="O1018" s="82" t="s">
        <v>10003</v>
      </c>
      <c r="P1018" s="82" t="s">
        <v>10004</v>
      </c>
      <c r="Q1018" s="82" t="s">
        <v>10005</v>
      </c>
      <c r="R1018" s="82"/>
      <c r="S1018" s="82" t="s">
        <v>10006</v>
      </c>
      <c r="T1018" s="138">
        <v>14.0</v>
      </c>
      <c r="U1018" s="331" t="s">
        <v>349</v>
      </c>
      <c r="V1018" s="106">
        <v>0.0</v>
      </c>
      <c r="W1018" s="107">
        <v>0.0</v>
      </c>
      <c r="X1018" s="107">
        <v>0.0</v>
      </c>
      <c r="Y1018" s="107">
        <v>0.0</v>
      </c>
      <c r="Z1018" s="80">
        <v>0.0</v>
      </c>
      <c r="AA1018" s="140">
        <v>0.0</v>
      </c>
      <c r="AB1018" s="109">
        <v>0.0</v>
      </c>
      <c r="AC1018" s="109">
        <v>0.0</v>
      </c>
      <c r="AD1018" s="141">
        <v>0.0</v>
      </c>
      <c r="AE1018" s="80">
        <v>0.0</v>
      </c>
      <c r="AF1018" s="140">
        <v>0.0</v>
      </c>
      <c r="AG1018" s="109">
        <v>0.0</v>
      </c>
      <c r="AH1018" s="109">
        <v>0.0</v>
      </c>
      <c r="AI1018" s="141">
        <v>0.0</v>
      </c>
      <c r="AJ1018" s="80">
        <v>0.0</v>
      </c>
      <c r="AK1018" s="140">
        <v>0.0</v>
      </c>
      <c r="AL1018" s="109">
        <v>0.0</v>
      </c>
      <c r="AM1018" s="141">
        <v>0.0</v>
      </c>
      <c r="AN1018" s="80">
        <v>0.0</v>
      </c>
      <c r="AO1018" s="140">
        <v>0.0</v>
      </c>
      <c r="AP1018" s="109">
        <v>0.0</v>
      </c>
      <c r="AQ1018" s="109">
        <v>0.0</v>
      </c>
      <c r="AR1018" s="80">
        <v>0.0</v>
      </c>
      <c r="AS1018" s="110">
        <v>450.0</v>
      </c>
      <c r="AT1018" s="110">
        <v>411.0</v>
      </c>
      <c r="AU1018" s="110">
        <v>242.0</v>
      </c>
      <c r="AV1018" s="142">
        <v>0.0</v>
      </c>
      <c r="AW1018" s="80">
        <v>1103.0</v>
      </c>
      <c r="AX1018" s="113">
        <v>1103.0</v>
      </c>
      <c r="AY1018" s="117">
        <v>861.0</v>
      </c>
      <c r="AZ1018" s="328">
        <v>242.0</v>
      </c>
      <c r="BA1018" s="315">
        <v>0.0</v>
      </c>
      <c r="BB1018" s="316">
        <v>1103.0</v>
      </c>
      <c r="BC1018" s="132" t="s">
        <v>178</v>
      </c>
      <c r="BD1018" s="132" t="s">
        <v>522</v>
      </c>
      <c r="BE1018" s="132" t="s">
        <v>178</v>
      </c>
      <c r="BF1018" s="123"/>
      <c r="BG1018" s="83">
        <v>1115326.0</v>
      </c>
      <c r="BH1018" s="112">
        <v>13.0</v>
      </c>
      <c r="BI1018" s="98" t="s">
        <v>155</v>
      </c>
      <c r="BJ1018" s="98" t="str">
        <f t="shared" si="1"/>
        <v>NÃO</v>
      </c>
      <c r="BK1018" s="98" t="str">
        <f t="shared" si="2"/>
        <v>PROFISSIONAL</v>
      </c>
    </row>
    <row r="1019" ht="15.75" customHeight="1">
      <c r="A1019" s="111" t="s">
        <v>1224</v>
      </c>
      <c r="B1019" s="83" t="s">
        <v>5251</v>
      </c>
      <c r="C1019" s="83" t="s">
        <v>68</v>
      </c>
      <c r="D1019" s="83">
        <v>1114303.0</v>
      </c>
      <c r="E1019" s="83"/>
      <c r="F1019" s="83">
        <v>2.91145E7</v>
      </c>
      <c r="G1019" s="114" t="s">
        <v>7959</v>
      </c>
      <c r="H1019" s="91" t="s">
        <v>5257</v>
      </c>
      <c r="I1019" s="187" t="s">
        <v>149</v>
      </c>
      <c r="J1019" s="136" t="s">
        <v>150</v>
      </c>
      <c r="K1019" s="83" t="s">
        <v>151</v>
      </c>
      <c r="L1019" s="83" t="s">
        <v>152</v>
      </c>
      <c r="M1019" s="82" t="s">
        <v>10007</v>
      </c>
      <c r="N1019" s="82" t="s">
        <v>10008</v>
      </c>
      <c r="O1019" s="82" t="s">
        <v>10009</v>
      </c>
      <c r="P1019" s="82" t="s">
        <v>10010</v>
      </c>
      <c r="Q1019" s="82"/>
      <c r="R1019" s="82"/>
      <c r="S1019" s="82" t="s">
        <v>10011</v>
      </c>
      <c r="T1019" s="138">
        <v>10.0</v>
      </c>
      <c r="U1019" s="331" t="s">
        <v>10012</v>
      </c>
      <c r="V1019" s="106">
        <v>0.0</v>
      </c>
      <c r="W1019" s="107">
        <v>0.0</v>
      </c>
      <c r="X1019" s="107">
        <v>0.0</v>
      </c>
      <c r="Y1019" s="107">
        <v>0.0</v>
      </c>
      <c r="Z1019" s="80">
        <v>0.0</v>
      </c>
      <c r="AA1019" s="140">
        <v>0.0</v>
      </c>
      <c r="AB1019" s="109">
        <v>0.0</v>
      </c>
      <c r="AC1019" s="109">
        <v>0.0</v>
      </c>
      <c r="AD1019" s="141">
        <v>0.0</v>
      </c>
      <c r="AE1019" s="80">
        <v>0.0</v>
      </c>
      <c r="AF1019" s="140">
        <v>317.0</v>
      </c>
      <c r="AG1019" s="109">
        <v>0.0</v>
      </c>
      <c r="AH1019" s="109">
        <v>35.0</v>
      </c>
      <c r="AI1019" s="141">
        <v>24.0</v>
      </c>
      <c r="AJ1019" s="80">
        <v>376.0</v>
      </c>
      <c r="AK1019" s="140">
        <v>0.0</v>
      </c>
      <c r="AL1019" s="109">
        <v>0.0</v>
      </c>
      <c r="AM1019" s="141">
        <v>0.0</v>
      </c>
      <c r="AN1019" s="80">
        <v>0.0</v>
      </c>
      <c r="AO1019" s="140">
        <v>0.0</v>
      </c>
      <c r="AP1019" s="109">
        <v>0.0</v>
      </c>
      <c r="AQ1019" s="109">
        <v>87.0</v>
      </c>
      <c r="AR1019" s="80">
        <v>87.0</v>
      </c>
      <c r="AS1019" s="110">
        <v>121.0</v>
      </c>
      <c r="AT1019" s="110">
        <v>0.0</v>
      </c>
      <c r="AU1019" s="110">
        <v>0.0</v>
      </c>
      <c r="AV1019" s="142">
        <v>0.0</v>
      </c>
      <c r="AW1019" s="80">
        <v>121.0</v>
      </c>
      <c r="AX1019" s="113">
        <v>584.0</v>
      </c>
      <c r="AY1019" s="117">
        <v>462.0</v>
      </c>
      <c r="AZ1019" s="328">
        <v>122.0</v>
      </c>
      <c r="BA1019" s="315">
        <v>0.0</v>
      </c>
      <c r="BB1019" s="316">
        <v>584.0</v>
      </c>
      <c r="BC1019" s="132" t="s">
        <v>178</v>
      </c>
      <c r="BD1019" s="132" t="s">
        <v>178</v>
      </c>
      <c r="BE1019" s="132" t="s">
        <v>178</v>
      </c>
      <c r="BF1019" s="123"/>
      <c r="BG1019" s="83">
        <v>1114303.0</v>
      </c>
      <c r="BH1019" s="112">
        <v>11.0</v>
      </c>
      <c r="BI1019" s="98" t="s">
        <v>155</v>
      </c>
      <c r="BJ1019" s="98" t="str">
        <f t="shared" si="1"/>
        <v>INTEGRAL</v>
      </c>
      <c r="BK1019" s="98" t="str">
        <f t="shared" si="2"/>
        <v>PROFISSIONAL</v>
      </c>
    </row>
    <row r="1020" ht="15.75" customHeight="1">
      <c r="A1020" s="111" t="s">
        <v>1224</v>
      </c>
      <c r="B1020" s="83" t="s">
        <v>5263</v>
      </c>
      <c r="C1020" s="83" t="s">
        <v>68</v>
      </c>
      <c r="D1020" s="83">
        <v>1171196.0</v>
      </c>
      <c r="E1020" s="83"/>
      <c r="F1020" s="83">
        <v>2.9115396E7</v>
      </c>
      <c r="G1020" s="119" t="s">
        <v>5264</v>
      </c>
      <c r="H1020" s="91" t="s">
        <v>10013</v>
      </c>
      <c r="I1020" s="187" t="s">
        <v>149</v>
      </c>
      <c r="J1020" s="136" t="s">
        <v>150</v>
      </c>
      <c r="K1020" s="83" t="s">
        <v>151</v>
      </c>
      <c r="L1020" s="83" t="s">
        <v>169</v>
      </c>
      <c r="M1020" s="82" t="s">
        <v>10014</v>
      </c>
      <c r="N1020" s="82" t="s">
        <v>10015</v>
      </c>
      <c r="O1020" s="82"/>
      <c r="P1020" s="82"/>
      <c r="Q1020" s="82"/>
      <c r="R1020" s="82"/>
      <c r="S1020" s="82" t="s">
        <v>10016</v>
      </c>
      <c r="T1020" s="138">
        <v>7.0</v>
      </c>
      <c r="U1020" s="331">
        <v>10.0</v>
      </c>
      <c r="V1020" s="106">
        <v>0.0</v>
      </c>
      <c r="W1020" s="107">
        <v>0.0</v>
      </c>
      <c r="X1020" s="107">
        <v>0.0</v>
      </c>
      <c r="Y1020" s="107">
        <v>0.0</v>
      </c>
      <c r="Z1020" s="80">
        <v>0.0</v>
      </c>
      <c r="AA1020" s="140">
        <v>0.0</v>
      </c>
      <c r="AB1020" s="109">
        <v>0.0</v>
      </c>
      <c r="AC1020" s="109">
        <v>0.0</v>
      </c>
      <c r="AD1020" s="141">
        <v>0.0</v>
      </c>
      <c r="AE1020" s="80">
        <v>0.0</v>
      </c>
      <c r="AF1020" s="140">
        <v>92.0</v>
      </c>
      <c r="AG1020" s="109">
        <v>26.0</v>
      </c>
      <c r="AH1020" s="109">
        <v>23.0</v>
      </c>
      <c r="AI1020" s="141">
        <v>56.0</v>
      </c>
      <c r="AJ1020" s="80">
        <v>197.0</v>
      </c>
      <c r="AK1020" s="140">
        <v>0.0</v>
      </c>
      <c r="AL1020" s="109">
        <v>0.0</v>
      </c>
      <c r="AM1020" s="141">
        <v>0.0</v>
      </c>
      <c r="AN1020" s="80">
        <v>0.0</v>
      </c>
      <c r="AO1020" s="140">
        <v>0.0</v>
      </c>
      <c r="AP1020" s="109">
        <v>0.0</v>
      </c>
      <c r="AQ1020" s="109">
        <v>97.0</v>
      </c>
      <c r="AR1020" s="80">
        <v>97.0</v>
      </c>
      <c r="AS1020" s="110">
        <v>0.0</v>
      </c>
      <c r="AT1020" s="110">
        <v>0.0</v>
      </c>
      <c r="AU1020" s="110">
        <v>12.0</v>
      </c>
      <c r="AV1020" s="142">
        <v>85.0</v>
      </c>
      <c r="AW1020" s="80">
        <v>97.0</v>
      </c>
      <c r="AX1020" s="113">
        <v>391.0</v>
      </c>
      <c r="AY1020" s="117">
        <v>259.0</v>
      </c>
      <c r="AZ1020" s="328">
        <v>132.0</v>
      </c>
      <c r="BA1020" s="315">
        <v>0.0</v>
      </c>
      <c r="BB1020" s="316">
        <v>391.0</v>
      </c>
      <c r="BC1020" s="132" t="s">
        <v>178</v>
      </c>
      <c r="BD1020" s="132" t="s">
        <v>178</v>
      </c>
      <c r="BE1020" s="132" t="s">
        <v>178</v>
      </c>
      <c r="BF1020" s="123"/>
      <c r="BG1020" s="83">
        <v>1171196.0</v>
      </c>
      <c r="BH1020" s="112">
        <v>6.0</v>
      </c>
      <c r="BI1020" s="98" t="s">
        <v>162</v>
      </c>
      <c r="BJ1020" s="98" t="str">
        <f t="shared" si="1"/>
        <v>INTEGRAL</v>
      </c>
      <c r="BK1020" s="98" t="str">
        <f t="shared" si="2"/>
        <v>PROFISSIONAL</v>
      </c>
    </row>
    <row r="1021" ht="15.75" customHeight="1">
      <c r="A1021" s="111" t="s">
        <v>1281</v>
      </c>
      <c r="B1021" s="83" t="s">
        <v>5277</v>
      </c>
      <c r="C1021" s="136" t="s">
        <v>68</v>
      </c>
      <c r="D1021" s="136">
        <v>1178221.0</v>
      </c>
      <c r="E1021" s="136"/>
      <c r="F1021" s="136">
        <v>2.944674E7</v>
      </c>
      <c r="G1021" s="147" t="s">
        <v>10017</v>
      </c>
      <c r="H1021" s="91" t="s">
        <v>5283</v>
      </c>
      <c r="I1021" s="187" t="s">
        <v>149</v>
      </c>
      <c r="J1021" s="83" t="s">
        <v>150</v>
      </c>
      <c r="K1021" s="83" t="s">
        <v>151</v>
      </c>
      <c r="L1021" s="83" t="s">
        <v>152</v>
      </c>
      <c r="M1021" s="82" t="s">
        <v>10018</v>
      </c>
      <c r="N1021" s="82" t="s">
        <v>10019</v>
      </c>
      <c r="O1021" s="82" t="s">
        <v>10020</v>
      </c>
      <c r="P1021" s="82" t="s">
        <v>10021</v>
      </c>
      <c r="Q1021" s="82"/>
      <c r="R1021" s="82"/>
      <c r="S1021" s="82" t="s">
        <v>10022</v>
      </c>
      <c r="T1021" s="138">
        <v>9.0</v>
      </c>
      <c r="U1021" s="389">
        <v>7.0</v>
      </c>
      <c r="V1021" s="106">
        <v>0.0</v>
      </c>
      <c r="W1021" s="107">
        <v>0.0</v>
      </c>
      <c r="X1021" s="107">
        <v>0.0</v>
      </c>
      <c r="Y1021" s="107">
        <v>0.0</v>
      </c>
      <c r="Z1021" s="80">
        <v>0.0</v>
      </c>
      <c r="AA1021" s="140">
        <v>0.0</v>
      </c>
      <c r="AB1021" s="109">
        <v>0.0</v>
      </c>
      <c r="AC1021" s="109">
        <v>0.0</v>
      </c>
      <c r="AD1021" s="141">
        <v>0.0</v>
      </c>
      <c r="AE1021" s="80">
        <v>0.0</v>
      </c>
      <c r="AF1021" s="140">
        <v>240.0</v>
      </c>
      <c r="AG1021" s="109">
        <v>135.0</v>
      </c>
      <c r="AH1021" s="109">
        <v>0.0</v>
      </c>
      <c r="AI1021" s="141">
        <v>40.0</v>
      </c>
      <c r="AJ1021" s="80">
        <v>415.0</v>
      </c>
      <c r="AK1021" s="140">
        <v>0.0</v>
      </c>
      <c r="AL1021" s="109">
        <v>0.0</v>
      </c>
      <c r="AM1021" s="141">
        <v>0.0</v>
      </c>
      <c r="AN1021" s="80">
        <v>0.0</v>
      </c>
      <c r="AO1021" s="140">
        <v>0.0</v>
      </c>
      <c r="AP1021" s="109">
        <v>0.0</v>
      </c>
      <c r="AQ1021" s="109">
        <v>148.0</v>
      </c>
      <c r="AR1021" s="80">
        <v>148.0</v>
      </c>
      <c r="AS1021" s="110">
        <v>0.0</v>
      </c>
      <c r="AT1021" s="110">
        <v>0.0</v>
      </c>
      <c r="AU1021" s="110">
        <v>0.0</v>
      </c>
      <c r="AV1021" s="142">
        <v>0.0</v>
      </c>
      <c r="AW1021" s="80">
        <v>0.0</v>
      </c>
      <c r="AX1021" s="113">
        <v>563.0</v>
      </c>
      <c r="AY1021" s="117">
        <v>415.0</v>
      </c>
      <c r="AZ1021" s="328">
        <v>148.0</v>
      </c>
      <c r="BA1021" s="315">
        <v>0.0</v>
      </c>
      <c r="BB1021" s="316">
        <v>563.0</v>
      </c>
      <c r="BC1021" s="132" t="s">
        <v>178</v>
      </c>
      <c r="BD1021" s="132" t="s">
        <v>178</v>
      </c>
      <c r="BE1021" s="132" t="s">
        <v>178</v>
      </c>
      <c r="BF1021" s="123"/>
      <c r="BG1021" s="136">
        <v>1178221.0</v>
      </c>
      <c r="BH1021" s="112">
        <v>7.0</v>
      </c>
      <c r="BI1021" s="98" t="s">
        <v>155</v>
      </c>
      <c r="BJ1021" s="98" t="str">
        <f t="shared" si="1"/>
        <v>INTEGRAL</v>
      </c>
      <c r="BK1021" s="98" t="str">
        <f t="shared" si="2"/>
        <v>NÃO</v>
      </c>
    </row>
    <row r="1022" ht="15.75" customHeight="1">
      <c r="A1022" s="111" t="s">
        <v>1281</v>
      </c>
      <c r="B1022" s="83" t="s">
        <v>2476</v>
      </c>
      <c r="C1022" s="83" t="s">
        <v>68</v>
      </c>
      <c r="D1022" s="83">
        <v>1107862.0</v>
      </c>
      <c r="E1022" s="83"/>
      <c r="F1022" s="83">
        <v>2.915059E7</v>
      </c>
      <c r="G1022" s="114" t="s">
        <v>5288</v>
      </c>
      <c r="H1022" s="91" t="s">
        <v>5289</v>
      </c>
      <c r="I1022" s="298" t="s">
        <v>5290</v>
      </c>
      <c r="J1022" s="83" t="s">
        <v>150</v>
      </c>
      <c r="K1022" s="83" t="s">
        <v>151</v>
      </c>
      <c r="L1022" s="83" t="s">
        <v>169</v>
      </c>
      <c r="M1022" s="82" t="s">
        <v>10023</v>
      </c>
      <c r="N1022" s="82" t="s">
        <v>10024</v>
      </c>
      <c r="O1022" s="82" t="s">
        <v>10025</v>
      </c>
      <c r="P1022" s="82" t="s">
        <v>10026</v>
      </c>
      <c r="Q1022" s="82"/>
      <c r="R1022" s="82"/>
      <c r="S1022" s="82" t="s">
        <v>10027</v>
      </c>
      <c r="T1022" s="138">
        <v>4.0</v>
      </c>
      <c r="U1022" s="341">
        <v>4.0</v>
      </c>
      <c r="V1022" s="106">
        <v>0.0</v>
      </c>
      <c r="W1022" s="107">
        <v>0.0</v>
      </c>
      <c r="X1022" s="107">
        <v>0.0</v>
      </c>
      <c r="Y1022" s="107">
        <v>0.0</v>
      </c>
      <c r="Z1022" s="80">
        <v>0.0</v>
      </c>
      <c r="AA1022" s="140">
        <v>131.0</v>
      </c>
      <c r="AB1022" s="109">
        <v>114.0</v>
      </c>
      <c r="AC1022" s="109">
        <v>0.0</v>
      </c>
      <c r="AD1022" s="141">
        <v>0.0</v>
      </c>
      <c r="AE1022" s="80">
        <v>245.0</v>
      </c>
      <c r="AF1022" s="140">
        <v>0.0</v>
      </c>
      <c r="AG1022" s="109">
        <v>0.0</v>
      </c>
      <c r="AH1022" s="109">
        <v>0.0</v>
      </c>
      <c r="AI1022" s="141">
        <v>0.0</v>
      </c>
      <c r="AJ1022" s="80">
        <v>0.0</v>
      </c>
      <c r="AK1022" s="140">
        <v>0.0</v>
      </c>
      <c r="AL1022" s="109">
        <v>0.0</v>
      </c>
      <c r="AM1022" s="141">
        <v>0.0</v>
      </c>
      <c r="AN1022" s="80">
        <v>0.0</v>
      </c>
      <c r="AO1022" s="140">
        <v>0.0</v>
      </c>
      <c r="AP1022" s="109">
        <v>0.0</v>
      </c>
      <c r="AQ1022" s="109">
        <v>0.0</v>
      </c>
      <c r="AR1022" s="80">
        <v>0.0</v>
      </c>
      <c r="AS1022" s="110">
        <v>0.0</v>
      </c>
      <c r="AT1022" s="110">
        <v>0.0</v>
      </c>
      <c r="AU1022" s="110">
        <v>0.0</v>
      </c>
      <c r="AV1022" s="142">
        <v>0.0</v>
      </c>
      <c r="AW1022" s="80">
        <v>0.0</v>
      </c>
      <c r="AX1022" s="113">
        <v>245.0</v>
      </c>
      <c r="AY1022" s="117">
        <v>245.0</v>
      </c>
      <c r="AZ1022" s="328">
        <v>0.0</v>
      </c>
      <c r="BA1022" s="315">
        <v>0.0</v>
      </c>
      <c r="BB1022" s="316">
        <v>245.0</v>
      </c>
      <c r="BC1022" s="132" t="s">
        <v>178</v>
      </c>
      <c r="BD1022" s="132" t="s">
        <v>178</v>
      </c>
      <c r="BE1022" s="132" t="s">
        <v>178</v>
      </c>
      <c r="BF1022" s="156"/>
      <c r="BG1022" s="83">
        <v>1107862.0</v>
      </c>
      <c r="BH1022" s="112">
        <v>4.0</v>
      </c>
      <c r="BI1022" s="98" t="s">
        <v>155</v>
      </c>
      <c r="BJ1022" s="98" t="str">
        <f t="shared" si="1"/>
        <v>NÃO</v>
      </c>
      <c r="BK1022" s="98" t="str">
        <f t="shared" si="2"/>
        <v>NÃO</v>
      </c>
    </row>
    <row r="1023" ht="15.75" customHeight="1">
      <c r="A1023" s="111" t="s">
        <v>1281</v>
      </c>
      <c r="B1023" s="83" t="s">
        <v>2476</v>
      </c>
      <c r="C1023" s="83" t="s">
        <v>68</v>
      </c>
      <c r="D1023" s="83">
        <v>1107960.0</v>
      </c>
      <c r="E1023" s="83"/>
      <c r="F1023" s="83">
        <v>2.9150191E7</v>
      </c>
      <c r="G1023" s="114" t="s">
        <v>5301</v>
      </c>
      <c r="H1023" s="91" t="s">
        <v>5302</v>
      </c>
      <c r="I1023" s="114" t="s">
        <v>149</v>
      </c>
      <c r="J1023" s="83" t="s">
        <v>150</v>
      </c>
      <c r="K1023" s="83" t="s">
        <v>151</v>
      </c>
      <c r="L1023" s="83" t="s">
        <v>76</v>
      </c>
      <c r="M1023" s="82" t="s">
        <v>10031</v>
      </c>
      <c r="N1023" s="82" t="s">
        <v>10032</v>
      </c>
      <c r="O1023" s="82" t="s">
        <v>10033</v>
      </c>
      <c r="P1023" s="82"/>
      <c r="Q1023" s="82"/>
      <c r="R1023" s="82"/>
      <c r="S1023" s="82" t="s">
        <v>10034</v>
      </c>
      <c r="T1023" s="138">
        <v>8.0</v>
      </c>
      <c r="U1023" s="331" t="s">
        <v>6491</v>
      </c>
      <c r="V1023" s="106">
        <v>0.0</v>
      </c>
      <c r="W1023" s="107">
        <v>0.0</v>
      </c>
      <c r="X1023" s="107">
        <v>0.0</v>
      </c>
      <c r="Y1023" s="107">
        <v>0.0</v>
      </c>
      <c r="Z1023" s="80">
        <v>0.0</v>
      </c>
      <c r="AA1023" s="140">
        <v>246.0</v>
      </c>
      <c r="AB1023" s="109">
        <v>273.0</v>
      </c>
      <c r="AC1023" s="109">
        <v>0.0</v>
      </c>
      <c r="AD1023" s="141">
        <v>0.0</v>
      </c>
      <c r="AE1023" s="80">
        <v>519.0</v>
      </c>
      <c r="AF1023" s="140">
        <v>0.0</v>
      </c>
      <c r="AG1023" s="109">
        <v>0.0</v>
      </c>
      <c r="AH1023" s="109">
        <v>0.0</v>
      </c>
      <c r="AI1023" s="141">
        <v>0.0</v>
      </c>
      <c r="AJ1023" s="80">
        <v>0.0</v>
      </c>
      <c r="AK1023" s="140">
        <v>0.0</v>
      </c>
      <c r="AL1023" s="109">
        <v>0.0</v>
      </c>
      <c r="AM1023" s="141">
        <v>0.0</v>
      </c>
      <c r="AN1023" s="80">
        <v>0.0</v>
      </c>
      <c r="AO1023" s="140">
        <v>0.0</v>
      </c>
      <c r="AP1023" s="109">
        <v>0.0</v>
      </c>
      <c r="AQ1023" s="109">
        <v>0.0</v>
      </c>
      <c r="AR1023" s="80">
        <v>0.0</v>
      </c>
      <c r="AS1023" s="110">
        <v>0.0</v>
      </c>
      <c r="AT1023" s="110">
        <v>0.0</v>
      </c>
      <c r="AU1023" s="110">
        <v>0.0</v>
      </c>
      <c r="AV1023" s="142">
        <v>0.0</v>
      </c>
      <c r="AW1023" s="80">
        <v>0.0</v>
      </c>
      <c r="AX1023" s="113">
        <v>519.0</v>
      </c>
      <c r="AY1023" s="117">
        <v>519.0</v>
      </c>
      <c r="AZ1023" s="328">
        <v>0.0</v>
      </c>
      <c r="BA1023" s="315">
        <v>0.0</v>
      </c>
      <c r="BB1023" s="316">
        <v>519.0</v>
      </c>
      <c r="BC1023" s="132" t="s">
        <v>178</v>
      </c>
      <c r="BD1023" s="132" t="s">
        <v>178</v>
      </c>
      <c r="BE1023" s="132" t="s">
        <v>178</v>
      </c>
      <c r="BF1023" s="123"/>
      <c r="BG1023" s="83">
        <v>1107960.0</v>
      </c>
      <c r="BH1023" s="112">
        <v>8.0</v>
      </c>
      <c r="BI1023" s="98" t="s">
        <v>155</v>
      </c>
      <c r="BJ1023" s="98" t="str">
        <f t="shared" si="1"/>
        <v>NÃO</v>
      </c>
      <c r="BK1023" s="98" t="str">
        <f t="shared" si="2"/>
        <v>NÃO</v>
      </c>
    </row>
    <row r="1024" ht="15.75" customHeight="1">
      <c r="A1024" s="111" t="s">
        <v>1281</v>
      </c>
      <c r="B1024" s="83" t="s">
        <v>2476</v>
      </c>
      <c r="C1024" s="83" t="s">
        <v>68</v>
      </c>
      <c r="D1024" s="83">
        <v>1105207.0</v>
      </c>
      <c r="E1024" s="83"/>
      <c r="F1024" s="83">
        <v>2.915037E7</v>
      </c>
      <c r="G1024" s="114" t="s">
        <v>5313</v>
      </c>
      <c r="H1024" s="91" t="s">
        <v>5314</v>
      </c>
      <c r="I1024" s="114" t="s">
        <v>5315</v>
      </c>
      <c r="J1024" s="83" t="s">
        <v>150</v>
      </c>
      <c r="K1024" s="83" t="s">
        <v>151</v>
      </c>
      <c r="L1024" s="83" t="s">
        <v>76</v>
      </c>
      <c r="M1024" s="82" t="s">
        <v>10043</v>
      </c>
      <c r="N1024" s="82" t="s">
        <v>10044</v>
      </c>
      <c r="O1024" s="82" t="s">
        <v>10046</v>
      </c>
      <c r="P1024" s="82" t="s">
        <v>10047</v>
      </c>
      <c r="Q1024" s="82"/>
      <c r="R1024" s="82"/>
      <c r="S1024" s="82" t="s">
        <v>10048</v>
      </c>
      <c r="T1024" s="138">
        <v>8.0</v>
      </c>
      <c r="U1024" s="323">
        <v>8.0</v>
      </c>
      <c r="V1024" s="106">
        <v>0.0</v>
      </c>
      <c r="W1024" s="107">
        <v>0.0</v>
      </c>
      <c r="X1024" s="107">
        <v>0.0</v>
      </c>
      <c r="Y1024" s="107">
        <v>0.0</v>
      </c>
      <c r="Z1024" s="80">
        <v>0.0</v>
      </c>
      <c r="AA1024" s="140">
        <v>280.0</v>
      </c>
      <c r="AB1024" s="109">
        <v>248.0</v>
      </c>
      <c r="AC1024" s="109">
        <v>0.0</v>
      </c>
      <c r="AD1024" s="141">
        <v>0.0</v>
      </c>
      <c r="AE1024" s="80">
        <v>528.0</v>
      </c>
      <c r="AF1024" s="140">
        <v>0.0</v>
      </c>
      <c r="AG1024" s="109">
        <v>0.0</v>
      </c>
      <c r="AH1024" s="109">
        <v>0.0</v>
      </c>
      <c r="AI1024" s="141">
        <v>0.0</v>
      </c>
      <c r="AJ1024" s="80">
        <v>0.0</v>
      </c>
      <c r="AK1024" s="140">
        <v>0.0</v>
      </c>
      <c r="AL1024" s="109">
        <v>0.0</v>
      </c>
      <c r="AM1024" s="141">
        <v>0.0</v>
      </c>
      <c r="AN1024" s="80">
        <v>0.0</v>
      </c>
      <c r="AO1024" s="140">
        <v>0.0</v>
      </c>
      <c r="AP1024" s="109">
        <v>0.0</v>
      </c>
      <c r="AQ1024" s="109">
        <v>0.0</v>
      </c>
      <c r="AR1024" s="80">
        <v>0.0</v>
      </c>
      <c r="AS1024" s="110">
        <v>0.0</v>
      </c>
      <c r="AT1024" s="110">
        <v>0.0</v>
      </c>
      <c r="AU1024" s="110">
        <v>0.0</v>
      </c>
      <c r="AV1024" s="142">
        <v>0.0</v>
      </c>
      <c r="AW1024" s="80">
        <v>0.0</v>
      </c>
      <c r="AX1024" s="113">
        <v>528.0</v>
      </c>
      <c r="AY1024" s="117">
        <v>528.0</v>
      </c>
      <c r="AZ1024" s="328">
        <v>0.0</v>
      </c>
      <c r="BA1024" s="315">
        <v>1.0</v>
      </c>
      <c r="BB1024" s="316">
        <v>529.0</v>
      </c>
      <c r="BC1024" s="132" t="s">
        <v>178</v>
      </c>
      <c r="BD1024" s="132" t="s">
        <v>178</v>
      </c>
      <c r="BE1024" s="132" t="s">
        <v>178</v>
      </c>
      <c r="BF1024" s="123"/>
      <c r="BG1024" s="83">
        <v>1105207.0</v>
      </c>
      <c r="BH1024" s="112">
        <v>8.0</v>
      </c>
      <c r="BI1024" s="98" t="s">
        <v>155</v>
      </c>
      <c r="BJ1024" s="98" t="str">
        <f t="shared" si="1"/>
        <v>NÃO</v>
      </c>
      <c r="BK1024" s="98" t="str">
        <f t="shared" si="2"/>
        <v>NÃO</v>
      </c>
    </row>
    <row r="1025" ht="15.75" customHeight="1">
      <c r="A1025" s="111" t="s">
        <v>1281</v>
      </c>
      <c r="B1025" s="83" t="s">
        <v>2476</v>
      </c>
      <c r="C1025" s="83" t="s">
        <v>68</v>
      </c>
      <c r="D1025" s="83">
        <v>1177089.0</v>
      </c>
      <c r="E1025" s="83"/>
      <c r="F1025" s="83">
        <v>2.9417163E7</v>
      </c>
      <c r="G1025" s="114" t="s">
        <v>6774</v>
      </c>
      <c r="H1025" s="91" t="s">
        <v>5328</v>
      </c>
      <c r="I1025" s="114" t="s">
        <v>149</v>
      </c>
      <c r="J1025" s="83" t="s">
        <v>150</v>
      </c>
      <c r="K1025" s="83" t="s">
        <v>151</v>
      </c>
      <c r="L1025" s="83" t="s">
        <v>152</v>
      </c>
      <c r="M1025" s="82" t="s">
        <v>10049</v>
      </c>
      <c r="N1025" s="82" t="s">
        <v>10050</v>
      </c>
      <c r="O1025" s="82" t="s">
        <v>10051</v>
      </c>
      <c r="P1025" s="82" t="s">
        <v>10052</v>
      </c>
      <c r="Q1025" s="82"/>
      <c r="R1025" s="82"/>
      <c r="S1025" s="82" t="s">
        <v>10053</v>
      </c>
      <c r="T1025" s="138">
        <v>16.0</v>
      </c>
      <c r="U1025" s="331">
        <v>12.0</v>
      </c>
      <c r="V1025" s="106">
        <v>0.0</v>
      </c>
      <c r="W1025" s="107">
        <v>0.0</v>
      </c>
      <c r="X1025" s="107">
        <v>0.0</v>
      </c>
      <c r="Y1025" s="107">
        <v>0.0</v>
      </c>
      <c r="Z1025" s="80">
        <v>0.0</v>
      </c>
      <c r="AA1025" s="140">
        <v>0.0</v>
      </c>
      <c r="AB1025" s="109">
        <v>0.0</v>
      </c>
      <c r="AC1025" s="109">
        <v>0.0</v>
      </c>
      <c r="AD1025" s="141">
        <v>0.0</v>
      </c>
      <c r="AE1025" s="80">
        <v>0.0</v>
      </c>
      <c r="AF1025" s="140">
        <v>435.0</v>
      </c>
      <c r="AG1025" s="109">
        <v>437.0</v>
      </c>
      <c r="AH1025" s="109">
        <v>0.0</v>
      </c>
      <c r="AI1025" s="141">
        <v>0.0</v>
      </c>
      <c r="AJ1025" s="80">
        <v>872.0</v>
      </c>
      <c r="AK1025" s="140">
        <v>0.0</v>
      </c>
      <c r="AL1025" s="109">
        <v>0.0</v>
      </c>
      <c r="AM1025" s="141">
        <v>0.0</v>
      </c>
      <c r="AN1025" s="80">
        <v>0.0</v>
      </c>
      <c r="AO1025" s="140">
        <v>0.0</v>
      </c>
      <c r="AP1025" s="109">
        <v>0.0</v>
      </c>
      <c r="AQ1025" s="109">
        <v>0.0</v>
      </c>
      <c r="AR1025" s="80">
        <v>0.0</v>
      </c>
      <c r="AS1025" s="110">
        <v>116.0</v>
      </c>
      <c r="AT1025" s="110">
        <v>52.0</v>
      </c>
      <c r="AU1025" s="110">
        <v>0.0</v>
      </c>
      <c r="AV1025" s="142">
        <v>0.0</v>
      </c>
      <c r="AW1025" s="80">
        <v>168.0</v>
      </c>
      <c r="AX1025" s="113">
        <v>1040.0</v>
      </c>
      <c r="AY1025" s="117">
        <v>1040.0</v>
      </c>
      <c r="AZ1025" s="328">
        <v>0.0</v>
      </c>
      <c r="BA1025" s="315">
        <v>2.0</v>
      </c>
      <c r="BB1025" s="316">
        <v>1042.0</v>
      </c>
      <c r="BC1025" s="132" t="s">
        <v>178</v>
      </c>
      <c r="BD1025" s="132" t="s">
        <v>178</v>
      </c>
      <c r="BE1025" s="132" t="s">
        <v>178</v>
      </c>
      <c r="BF1025" s="123"/>
      <c r="BG1025" s="83">
        <v>1177089.0</v>
      </c>
      <c r="BH1025" s="98">
        <v>12.0</v>
      </c>
      <c r="BI1025" s="98" t="s">
        <v>284</v>
      </c>
      <c r="BJ1025" s="98" t="str">
        <f t="shared" si="1"/>
        <v>NÃO</v>
      </c>
      <c r="BK1025" s="98" t="str">
        <f t="shared" si="2"/>
        <v>PROFISSIONAL</v>
      </c>
    </row>
    <row r="1026" ht="15.75" customHeight="1">
      <c r="A1026" s="111" t="s">
        <v>1281</v>
      </c>
      <c r="B1026" s="83" t="s">
        <v>2476</v>
      </c>
      <c r="C1026" s="83" t="s">
        <v>68</v>
      </c>
      <c r="D1026" s="83">
        <v>1108028.0</v>
      </c>
      <c r="E1026" s="83"/>
      <c r="F1026" s="83">
        <v>2.9150663E7</v>
      </c>
      <c r="G1026" s="114" t="s">
        <v>10054</v>
      </c>
      <c r="H1026" s="91" t="s">
        <v>5338</v>
      </c>
      <c r="I1026" s="114" t="s">
        <v>5339</v>
      </c>
      <c r="J1026" s="83" t="s">
        <v>150</v>
      </c>
      <c r="K1026" s="83" t="s">
        <v>151</v>
      </c>
      <c r="L1026" s="83" t="s">
        <v>152</v>
      </c>
      <c r="M1026" s="82" t="s">
        <v>10055</v>
      </c>
      <c r="N1026" s="82" t="s">
        <v>10056</v>
      </c>
      <c r="O1026" s="82" t="s">
        <v>10057</v>
      </c>
      <c r="P1026" s="82" t="s">
        <v>10058</v>
      </c>
      <c r="Q1026" s="82"/>
      <c r="R1026" s="82"/>
      <c r="S1026" s="82" t="s">
        <v>10059</v>
      </c>
      <c r="T1026" s="138">
        <v>12.0</v>
      </c>
      <c r="U1026" s="323">
        <v>12.0</v>
      </c>
      <c r="V1026" s="106">
        <v>0.0</v>
      </c>
      <c r="W1026" s="107">
        <v>0.0</v>
      </c>
      <c r="X1026" s="107">
        <v>0.0</v>
      </c>
      <c r="Y1026" s="107">
        <v>0.0</v>
      </c>
      <c r="Z1026" s="80">
        <v>0.0</v>
      </c>
      <c r="AA1026" s="140">
        <v>428.0</v>
      </c>
      <c r="AB1026" s="109">
        <v>396.0</v>
      </c>
      <c r="AC1026" s="109">
        <v>0.0</v>
      </c>
      <c r="AD1026" s="141">
        <v>0.0</v>
      </c>
      <c r="AE1026" s="80">
        <v>824.0</v>
      </c>
      <c r="AF1026" s="140">
        <v>0.0</v>
      </c>
      <c r="AG1026" s="109">
        <v>0.0</v>
      </c>
      <c r="AH1026" s="109">
        <v>0.0</v>
      </c>
      <c r="AI1026" s="141">
        <v>0.0</v>
      </c>
      <c r="AJ1026" s="80">
        <v>0.0</v>
      </c>
      <c r="AK1026" s="140">
        <v>0.0</v>
      </c>
      <c r="AL1026" s="109">
        <v>0.0</v>
      </c>
      <c r="AM1026" s="141">
        <v>0.0</v>
      </c>
      <c r="AN1026" s="80">
        <v>0.0</v>
      </c>
      <c r="AO1026" s="140">
        <v>0.0</v>
      </c>
      <c r="AP1026" s="109">
        <v>0.0</v>
      </c>
      <c r="AQ1026" s="109">
        <v>0.0</v>
      </c>
      <c r="AR1026" s="80">
        <v>0.0</v>
      </c>
      <c r="AS1026" s="110">
        <v>0.0</v>
      </c>
      <c r="AT1026" s="110">
        <v>0.0</v>
      </c>
      <c r="AU1026" s="110">
        <v>0.0</v>
      </c>
      <c r="AV1026" s="142">
        <v>0.0</v>
      </c>
      <c r="AW1026" s="80">
        <v>0.0</v>
      </c>
      <c r="AX1026" s="113">
        <v>824.0</v>
      </c>
      <c r="AY1026" s="117">
        <v>824.0</v>
      </c>
      <c r="AZ1026" s="328">
        <v>0.0</v>
      </c>
      <c r="BA1026" s="315">
        <v>0.0</v>
      </c>
      <c r="BB1026" s="316">
        <v>824.0</v>
      </c>
      <c r="BC1026" s="132" t="s">
        <v>178</v>
      </c>
      <c r="BD1026" s="132" t="s">
        <v>178</v>
      </c>
      <c r="BE1026" s="132" t="s">
        <v>178</v>
      </c>
      <c r="BF1026" s="123"/>
      <c r="BG1026" s="83">
        <v>1108028.0</v>
      </c>
      <c r="BH1026" s="112">
        <v>12.0</v>
      </c>
      <c r="BI1026" s="98" t="s">
        <v>155</v>
      </c>
      <c r="BJ1026" s="98" t="str">
        <f t="shared" si="1"/>
        <v>NÃO</v>
      </c>
      <c r="BK1026" s="98" t="str">
        <f t="shared" si="2"/>
        <v>NÃO</v>
      </c>
    </row>
    <row r="1027" ht="15.75" customHeight="1">
      <c r="A1027" s="111" t="s">
        <v>1281</v>
      </c>
      <c r="B1027" s="83" t="s">
        <v>2476</v>
      </c>
      <c r="C1027" s="83" t="s">
        <v>68</v>
      </c>
      <c r="D1027" s="83">
        <v>1178077.0</v>
      </c>
      <c r="E1027" s="83"/>
      <c r="F1027" s="83">
        <v>2.943153E7</v>
      </c>
      <c r="G1027" s="365" t="s">
        <v>10060</v>
      </c>
      <c r="H1027" s="91" t="s">
        <v>5351</v>
      </c>
      <c r="I1027" s="114" t="s">
        <v>149</v>
      </c>
      <c r="J1027" s="83" t="s">
        <v>150</v>
      </c>
      <c r="K1027" s="83" t="s">
        <v>151</v>
      </c>
      <c r="L1027" s="83" t="s">
        <v>230</v>
      </c>
      <c r="M1027" s="82" t="s">
        <v>10061</v>
      </c>
      <c r="N1027" s="82" t="s">
        <v>10062</v>
      </c>
      <c r="O1027" s="82" t="s">
        <v>10063</v>
      </c>
      <c r="P1027" s="82" t="s">
        <v>10064</v>
      </c>
      <c r="Q1027" s="82" t="s">
        <v>10065</v>
      </c>
      <c r="R1027" s="82" t="s">
        <v>10066</v>
      </c>
      <c r="S1027" s="82" t="s">
        <v>10067</v>
      </c>
      <c r="T1027" s="138">
        <v>20.0</v>
      </c>
      <c r="U1027" s="331" t="s">
        <v>10068</v>
      </c>
      <c r="V1027" s="106">
        <v>0.0</v>
      </c>
      <c r="W1027" s="107">
        <v>0.0</v>
      </c>
      <c r="X1027" s="107">
        <v>0.0</v>
      </c>
      <c r="Y1027" s="107">
        <v>0.0</v>
      </c>
      <c r="Z1027" s="80">
        <v>0.0</v>
      </c>
      <c r="AA1027" s="140">
        <v>0.0</v>
      </c>
      <c r="AB1027" s="109">
        <v>0.0</v>
      </c>
      <c r="AC1027" s="109">
        <v>0.0</v>
      </c>
      <c r="AD1027" s="141">
        <v>0.0</v>
      </c>
      <c r="AE1027" s="80">
        <v>0.0</v>
      </c>
      <c r="AF1027" s="140">
        <v>193.0</v>
      </c>
      <c r="AG1027" s="109">
        <v>58.0</v>
      </c>
      <c r="AH1027" s="109">
        <v>39.0</v>
      </c>
      <c r="AI1027" s="141">
        <v>16.0</v>
      </c>
      <c r="AJ1027" s="80">
        <v>306.0</v>
      </c>
      <c r="AK1027" s="140">
        <v>0.0</v>
      </c>
      <c r="AL1027" s="109">
        <v>0.0</v>
      </c>
      <c r="AM1027" s="141">
        <v>0.0</v>
      </c>
      <c r="AN1027" s="80">
        <v>0.0</v>
      </c>
      <c r="AO1027" s="140">
        <v>0.0</v>
      </c>
      <c r="AP1027" s="109">
        <v>14.0</v>
      </c>
      <c r="AQ1027" s="109">
        <v>257.0</v>
      </c>
      <c r="AR1027" s="80">
        <v>271.0</v>
      </c>
      <c r="AS1027" s="110">
        <v>0.0</v>
      </c>
      <c r="AT1027" s="110">
        <v>0.0</v>
      </c>
      <c r="AU1027" s="110">
        <v>0.0</v>
      </c>
      <c r="AV1027" s="142">
        <v>0.0</v>
      </c>
      <c r="AW1027" s="80">
        <v>0.0</v>
      </c>
      <c r="AX1027" s="113">
        <v>577.0</v>
      </c>
      <c r="AY1027" s="117">
        <v>281.0</v>
      </c>
      <c r="AZ1027" s="328">
        <v>296.0</v>
      </c>
      <c r="BA1027" s="315">
        <v>0.0</v>
      </c>
      <c r="BB1027" s="316">
        <v>577.0</v>
      </c>
      <c r="BC1027" s="132" t="s">
        <v>178</v>
      </c>
      <c r="BD1027" s="132" t="s">
        <v>178</v>
      </c>
      <c r="BE1027" s="132" t="s">
        <v>178</v>
      </c>
      <c r="BF1027" s="156"/>
      <c r="BG1027" s="83">
        <v>1178077.0</v>
      </c>
      <c r="BH1027" s="98">
        <v>11.0</v>
      </c>
      <c r="BI1027" s="98" t="s">
        <v>155</v>
      </c>
      <c r="BJ1027" s="98" t="str">
        <f t="shared" si="1"/>
        <v>INTEGRAL</v>
      </c>
      <c r="BK1027" s="98" t="str">
        <f t="shared" si="2"/>
        <v>NÃO</v>
      </c>
    </row>
    <row r="1028" ht="15.75" customHeight="1">
      <c r="A1028" s="111" t="s">
        <v>1281</v>
      </c>
      <c r="B1028" s="83" t="s">
        <v>2476</v>
      </c>
      <c r="C1028" s="83" t="s">
        <v>68</v>
      </c>
      <c r="D1028" s="83">
        <v>1107986.0</v>
      </c>
      <c r="E1028" s="83"/>
      <c r="F1028" s="83">
        <v>2.9149878E7</v>
      </c>
      <c r="G1028" s="114" t="s">
        <v>2477</v>
      </c>
      <c r="H1028" s="91" t="s">
        <v>10069</v>
      </c>
      <c r="I1028" s="114" t="s">
        <v>149</v>
      </c>
      <c r="J1028" s="83" t="s">
        <v>150</v>
      </c>
      <c r="K1028" s="83" t="s">
        <v>151</v>
      </c>
      <c r="L1028" s="83" t="s">
        <v>152</v>
      </c>
      <c r="M1028" s="82" t="s">
        <v>10070</v>
      </c>
      <c r="N1028" s="82" t="s">
        <v>10071</v>
      </c>
      <c r="O1028" s="82" t="s">
        <v>10072</v>
      </c>
      <c r="P1028" s="82" t="s">
        <v>10073</v>
      </c>
      <c r="Q1028" s="82"/>
      <c r="R1028" s="82"/>
      <c r="S1028" s="82" t="s">
        <v>10053</v>
      </c>
      <c r="T1028" s="138">
        <v>10.0</v>
      </c>
      <c r="U1028" s="323">
        <v>10.0</v>
      </c>
      <c r="V1028" s="106">
        <v>0.0</v>
      </c>
      <c r="W1028" s="107">
        <v>0.0</v>
      </c>
      <c r="X1028" s="107">
        <v>0.0</v>
      </c>
      <c r="Y1028" s="107">
        <v>0.0</v>
      </c>
      <c r="Z1028" s="80">
        <v>0.0</v>
      </c>
      <c r="AA1028" s="140">
        <v>0.0</v>
      </c>
      <c r="AB1028" s="109">
        <v>0.0</v>
      </c>
      <c r="AC1028" s="109">
        <v>0.0</v>
      </c>
      <c r="AD1028" s="141">
        <v>0.0</v>
      </c>
      <c r="AE1028" s="80">
        <v>0.0</v>
      </c>
      <c r="AF1028" s="140">
        <v>153.0</v>
      </c>
      <c r="AG1028" s="109">
        <v>0.0</v>
      </c>
      <c r="AH1028" s="109">
        <v>0.0</v>
      </c>
      <c r="AI1028" s="141">
        <v>52.0</v>
      </c>
      <c r="AJ1028" s="80">
        <v>205.0</v>
      </c>
      <c r="AK1028" s="140">
        <v>0.0</v>
      </c>
      <c r="AL1028" s="109">
        <v>0.0</v>
      </c>
      <c r="AM1028" s="141">
        <v>0.0</v>
      </c>
      <c r="AN1028" s="80">
        <v>0.0</v>
      </c>
      <c r="AO1028" s="140">
        <v>0.0</v>
      </c>
      <c r="AP1028" s="109">
        <v>0.0</v>
      </c>
      <c r="AQ1028" s="109">
        <v>0.0</v>
      </c>
      <c r="AR1028" s="80">
        <v>0.0</v>
      </c>
      <c r="AS1028" s="110">
        <v>0.0</v>
      </c>
      <c r="AT1028" s="110">
        <v>0.0</v>
      </c>
      <c r="AU1028" s="110">
        <v>0.0</v>
      </c>
      <c r="AV1028" s="142">
        <v>0.0</v>
      </c>
      <c r="AW1028" s="80">
        <v>0.0</v>
      </c>
      <c r="AX1028" s="113">
        <v>205.0</v>
      </c>
      <c r="AY1028" s="117">
        <v>205.0</v>
      </c>
      <c r="AZ1028" s="328">
        <v>0.0</v>
      </c>
      <c r="BA1028" s="315">
        <v>0.0</v>
      </c>
      <c r="BB1028" s="316">
        <v>205.0</v>
      </c>
      <c r="BC1028" s="132" t="s">
        <v>178</v>
      </c>
      <c r="BD1028" s="132" t="s">
        <v>178</v>
      </c>
      <c r="BE1028" s="132" t="s">
        <v>178</v>
      </c>
      <c r="BF1028" s="123"/>
      <c r="BG1028" s="83">
        <v>1107986.0</v>
      </c>
      <c r="BH1028" s="112">
        <v>10.0</v>
      </c>
      <c r="BI1028" s="98" t="s">
        <v>155</v>
      </c>
      <c r="BJ1028" s="98" t="str">
        <f t="shared" si="1"/>
        <v>INTEGRAL</v>
      </c>
      <c r="BK1028" s="98" t="str">
        <f t="shared" si="2"/>
        <v>NÃO</v>
      </c>
    </row>
    <row r="1029" ht="15.75" customHeight="1">
      <c r="A1029" s="111" t="s">
        <v>1281</v>
      </c>
      <c r="B1029" s="83" t="s">
        <v>2476</v>
      </c>
      <c r="C1029" s="83" t="s">
        <v>68</v>
      </c>
      <c r="D1029" s="83">
        <v>1178440.0</v>
      </c>
      <c r="E1029" s="83"/>
      <c r="F1029" s="83">
        <v>2.9999812E7</v>
      </c>
      <c r="G1029" s="119" t="s">
        <v>10075</v>
      </c>
      <c r="H1029" s="91" t="s">
        <v>5358</v>
      </c>
      <c r="I1029" s="114" t="s">
        <v>5360</v>
      </c>
      <c r="J1029" s="83" t="s">
        <v>1301</v>
      </c>
      <c r="K1029" s="83" t="s">
        <v>151</v>
      </c>
      <c r="L1029" s="83" t="s">
        <v>169</v>
      </c>
      <c r="M1029" s="82" t="s">
        <v>10076</v>
      </c>
      <c r="N1029" s="82" t="s">
        <v>10077</v>
      </c>
      <c r="O1029" s="82" t="s">
        <v>10078</v>
      </c>
      <c r="P1029" s="82" t="s">
        <v>10079</v>
      </c>
      <c r="Q1029" s="82"/>
      <c r="R1029" s="82"/>
      <c r="S1029" s="82" t="s">
        <v>10080</v>
      </c>
      <c r="T1029" s="138">
        <v>6.0</v>
      </c>
      <c r="U1029" s="389">
        <v>6.0</v>
      </c>
      <c r="V1029" s="106">
        <v>0.0</v>
      </c>
      <c r="W1029" s="107">
        <v>0.0</v>
      </c>
      <c r="X1029" s="107">
        <v>0.0</v>
      </c>
      <c r="Y1029" s="107">
        <v>0.0</v>
      </c>
      <c r="Z1029" s="80">
        <v>0.0</v>
      </c>
      <c r="AA1029" s="140">
        <v>111.0</v>
      </c>
      <c r="AB1029" s="109">
        <v>44.0</v>
      </c>
      <c r="AC1029" s="109">
        <v>0.0</v>
      </c>
      <c r="AD1029" s="141">
        <v>0.0</v>
      </c>
      <c r="AE1029" s="80">
        <v>155.0</v>
      </c>
      <c r="AF1029" s="140">
        <v>0.0</v>
      </c>
      <c r="AG1029" s="109">
        <v>56.0</v>
      </c>
      <c r="AH1029" s="109">
        <v>0.0</v>
      </c>
      <c r="AI1029" s="141">
        <v>0.0</v>
      </c>
      <c r="AJ1029" s="80">
        <v>56.0</v>
      </c>
      <c r="AK1029" s="140">
        <v>0.0</v>
      </c>
      <c r="AL1029" s="109">
        <v>0.0</v>
      </c>
      <c r="AM1029" s="141">
        <v>0.0</v>
      </c>
      <c r="AN1029" s="80">
        <v>0.0</v>
      </c>
      <c r="AO1029" s="140">
        <v>0.0</v>
      </c>
      <c r="AP1029" s="109">
        <v>0.0</v>
      </c>
      <c r="AQ1029" s="109">
        <v>0.0</v>
      </c>
      <c r="AR1029" s="80">
        <v>0.0</v>
      </c>
      <c r="AS1029" s="110">
        <v>0.0</v>
      </c>
      <c r="AT1029" s="110">
        <v>0.0</v>
      </c>
      <c r="AU1029" s="110">
        <v>0.0</v>
      </c>
      <c r="AV1029" s="142">
        <v>0.0</v>
      </c>
      <c r="AW1029" s="80">
        <v>0.0</v>
      </c>
      <c r="AX1029" s="113">
        <v>211.0</v>
      </c>
      <c r="AY1029" s="117">
        <v>211.0</v>
      </c>
      <c r="AZ1029" s="328">
        <v>0.0</v>
      </c>
      <c r="BA1029" s="315">
        <v>1.0</v>
      </c>
      <c r="BB1029" s="316">
        <v>212.0</v>
      </c>
      <c r="BC1029" s="132" t="s">
        <v>373</v>
      </c>
      <c r="BD1029" s="132" t="s">
        <v>178</v>
      </c>
      <c r="BE1029" s="132" t="s">
        <v>178</v>
      </c>
      <c r="BF1029" s="123"/>
      <c r="BG1029" s="83">
        <v>1178440.0</v>
      </c>
      <c r="BH1029" s="98">
        <v>6.0</v>
      </c>
      <c r="BI1029" s="98" t="s">
        <v>155</v>
      </c>
      <c r="BJ1029" s="98" t="str">
        <f t="shared" si="1"/>
        <v>NÃO</v>
      </c>
      <c r="BK1029" s="98" t="str">
        <f t="shared" si="2"/>
        <v>NÃO</v>
      </c>
    </row>
    <row r="1030" ht="15.75" customHeight="1">
      <c r="A1030" s="111" t="s">
        <v>1281</v>
      </c>
      <c r="B1030" s="83" t="s">
        <v>2476</v>
      </c>
      <c r="C1030" s="83" t="s">
        <v>68</v>
      </c>
      <c r="D1030" s="83">
        <v>1178266.0</v>
      </c>
      <c r="E1030" s="83"/>
      <c r="F1030" s="83">
        <v>2.94568E7</v>
      </c>
      <c r="G1030" s="119" t="s">
        <v>5371</v>
      </c>
      <c r="H1030" s="91" t="s">
        <v>5372</v>
      </c>
      <c r="I1030" s="114" t="s">
        <v>5373</v>
      </c>
      <c r="J1030" s="83" t="s">
        <v>702</v>
      </c>
      <c r="K1030" s="83" t="s">
        <v>5374</v>
      </c>
      <c r="L1030" s="83" t="s">
        <v>76</v>
      </c>
      <c r="M1030" s="82" t="s">
        <v>10081</v>
      </c>
      <c r="N1030" s="82" t="s">
        <v>10082</v>
      </c>
      <c r="O1030" s="82" t="s">
        <v>10083</v>
      </c>
      <c r="P1030" s="82" t="s">
        <v>10084</v>
      </c>
      <c r="Q1030" s="82"/>
      <c r="R1030" s="82"/>
      <c r="S1030" s="82" t="s">
        <v>10085</v>
      </c>
      <c r="T1030" s="138">
        <v>7.0</v>
      </c>
      <c r="U1030" s="331" t="s">
        <v>10086</v>
      </c>
      <c r="V1030" s="106">
        <v>0.0</v>
      </c>
      <c r="W1030" s="107">
        <v>0.0</v>
      </c>
      <c r="X1030" s="107">
        <v>0.0</v>
      </c>
      <c r="Y1030" s="107">
        <v>0.0</v>
      </c>
      <c r="Z1030" s="80">
        <v>0.0</v>
      </c>
      <c r="AA1030" s="140">
        <v>0.0</v>
      </c>
      <c r="AB1030" s="109">
        <v>0.0</v>
      </c>
      <c r="AC1030" s="109">
        <v>0.0</v>
      </c>
      <c r="AD1030" s="141">
        <v>0.0</v>
      </c>
      <c r="AE1030" s="80">
        <v>0.0</v>
      </c>
      <c r="AF1030" s="140">
        <v>0.0</v>
      </c>
      <c r="AG1030" s="109">
        <v>0.0</v>
      </c>
      <c r="AH1030" s="109">
        <v>0.0</v>
      </c>
      <c r="AI1030" s="141">
        <v>209.0</v>
      </c>
      <c r="AJ1030" s="80">
        <v>209.0</v>
      </c>
      <c r="AK1030" s="140">
        <v>0.0</v>
      </c>
      <c r="AL1030" s="109">
        <v>0.0</v>
      </c>
      <c r="AM1030" s="141">
        <v>0.0</v>
      </c>
      <c r="AN1030" s="80">
        <v>0.0</v>
      </c>
      <c r="AO1030" s="140">
        <v>0.0</v>
      </c>
      <c r="AP1030" s="109">
        <v>0.0</v>
      </c>
      <c r="AQ1030" s="109">
        <v>71.0</v>
      </c>
      <c r="AR1030" s="80">
        <v>71.0</v>
      </c>
      <c r="AS1030" s="110">
        <v>0.0</v>
      </c>
      <c r="AT1030" s="110">
        <v>0.0</v>
      </c>
      <c r="AU1030" s="110">
        <v>0.0</v>
      </c>
      <c r="AV1030" s="142">
        <v>0.0</v>
      </c>
      <c r="AW1030" s="80">
        <v>0.0</v>
      </c>
      <c r="AX1030" s="113">
        <v>280.0</v>
      </c>
      <c r="AY1030" s="117">
        <v>209.0</v>
      </c>
      <c r="AZ1030" s="328">
        <v>71.0</v>
      </c>
      <c r="BA1030" s="315">
        <v>0.0</v>
      </c>
      <c r="BB1030" s="316">
        <v>280.0</v>
      </c>
      <c r="BC1030" s="132" t="s">
        <v>373</v>
      </c>
      <c r="BD1030" s="132" t="s">
        <v>178</v>
      </c>
      <c r="BE1030" s="132" t="s">
        <v>178</v>
      </c>
      <c r="BF1030" s="123"/>
      <c r="BG1030" s="83">
        <v>1178266.0</v>
      </c>
      <c r="BH1030" s="112">
        <v>6.0</v>
      </c>
      <c r="BI1030" s="98" t="s">
        <v>155</v>
      </c>
      <c r="BJ1030" s="98" t="str">
        <f t="shared" si="1"/>
        <v>INTEGRAL</v>
      </c>
      <c r="BK1030" s="98" t="str">
        <f t="shared" si="2"/>
        <v>NÃO</v>
      </c>
    </row>
    <row r="1031" ht="15.75" customHeight="1">
      <c r="A1031" s="111" t="s">
        <v>1281</v>
      </c>
      <c r="B1031" s="83" t="s">
        <v>2476</v>
      </c>
      <c r="C1031" s="83" t="s">
        <v>68</v>
      </c>
      <c r="D1031" s="83">
        <v>1176465.0</v>
      </c>
      <c r="E1031" s="83"/>
      <c r="F1031" s="83">
        <v>2.9395712E7</v>
      </c>
      <c r="G1031" s="114" t="s">
        <v>10087</v>
      </c>
      <c r="H1031" s="91" t="s">
        <v>5379</v>
      </c>
      <c r="I1031" s="543" t="s">
        <v>5380</v>
      </c>
      <c r="J1031" s="83" t="s">
        <v>150</v>
      </c>
      <c r="K1031" s="83" t="s">
        <v>151</v>
      </c>
      <c r="L1031" s="83" t="s">
        <v>76</v>
      </c>
      <c r="M1031" s="82" t="s">
        <v>10088</v>
      </c>
      <c r="N1031" s="82" t="s">
        <v>10089</v>
      </c>
      <c r="O1031" s="82" t="s">
        <v>10090</v>
      </c>
      <c r="P1031" s="82" t="s">
        <v>10091</v>
      </c>
      <c r="Q1031" s="82"/>
      <c r="R1031" s="82"/>
      <c r="S1031" s="82" t="s">
        <v>10092</v>
      </c>
      <c r="T1031" s="138">
        <v>11.0</v>
      </c>
      <c r="U1031" s="323">
        <v>10.0</v>
      </c>
      <c r="V1031" s="106">
        <v>0.0</v>
      </c>
      <c r="W1031" s="107">
        <v>0.0</v>
      </c>
      <c r="X1031" s="107">
        <v>0.0</v>
      </c>
      <c r="Y1031" s="107">
        <v>0.0</v>
      </c>
      <c r="Z1031" s="80">
        <v>0.0</v>
      </c>
      <c r="AA1031" s="140">
        <v>0.0</v>
      </c>
      <c r="AB1031" s="109">
        <v>0.0</v>
      </c>
      <c r="AC1031" s="109">
        <v>0.0</v>
      </c>
      <c r="AD1031" s="141">
        <v>0.0</v>
      </c>
      <c r="AE1031" s="80">
        <v>0.0</v>
      </c>
      <c r="AF1031" s="140">
        <v>0.0</v>
      </c>
      <c r="AG1031" s="109">
        <v>0.0</v>
      </c>
      <c r="AH1031" s="109">
        <v>0.0</v>
      </c>
      <c r="AI1031" s="141">
        <v>0.0</v>
      </c>
      <c r="AJ1031" s="80">
        <v>0.0</v>
      </c>
      <c r="AK1031" s="140">
        <v>0.0</v>
      </c>
      <c r="AL1031" s="109">
        <v>0.0</v>
      </c>
      <c r="AM1031" s="141">
        <v>0.0</v>
      </c>
      <c r="AN1031" s="80">
        <v>0.0</v>
      </c>
      <c r="AO1031" s="140">
        <v>0.0</v>
      </c>
      <c r="AP1031" s="109">
        <v>0.0</v>
      </c>
      <c r="AQ1031" s="109">
        <v>0.0</v>
      </c>
      <c r="AR1031" s="80">
        <v>0.0</v>
      </c>
      <c r="AS1031" s="110">
        <v>228.0</v>
      </c>
      <c r="AT1031" s="110">
        <v>86.0</v>
      </c>
      <c r="AU1031" s="110">
        <v>152.0</v>
      </c>
      <c r="AV1031" s="142">
        <v>0.0</v>
      </c>
      <c r="AW1031" s="80">
        <v>466.0</v>
      </c>
      <c r="AX1031" s="113">
        <v>466.0</v>
      </c>
      <c r="AY1031" s="117">
        <v>314.0</v>
      </c>
      <c r="AZ1031" s="328">
        <v>152.0</v>
      </c>
      <c r="BA1031" s="315">
        <v>0.0</v>
      </c>
      <c r="BB1031" s="316">
        <v>466.0</v>
      </c>
      <c r="BC1031" s="132" t="s">
        <v>178</v>
      </c>
      <c r="BD1031" s="132" t="s">
        <v>178</v>
      </c>
      <c r="BE1031" s="132" t="s">
        <v>178</v>
      </c>
      <c r="BF1031" s="123"/>
      <c r="BG1031" s="83">
        <v>1176465.0</v>
      </c>
      <c r="BH1031" s="112">
        <v>10.0</v>
      </c>
      <c r="BI1031" s="98" t="s">
        <v>155</v>
      </c>
      <c r="BJ1031" s="98" t="str">
        <f t="shared" si="1"/>
        <v>NÃO</v>
      </c>
      <c r="BK1031" s="98" t="str">
        <f t="shared" si="2"/>
        <v>PROFISSIONAL</v>
      </c>
    </row>
    <row r="1032" ht="15.75" customHeight="1">
      <c r="A1032" s="111" t="s">
        <v>1281</v>
      </c>
      <c r="B1032" s="83" t="s">
        <v>2476</v>
      </c>
      <c r="C1032" s="83" t="s">
        <v>68</v>
      </c>
      <c r="D1032" s="83">
        <v>1169809.0</v>
      </c>
      <c r="E1032" s="83"/>
      <c r="F1032" s="83">
        <v>2.9150442E7</v>
      </c>
      <c r="G1032" s="119" t="s">
        <v>5387</v>
      </c>
      <c r="H1032" s="91" t="s">
        <v>5388</v>
      </c>
      <c r="I1032" s="114" t="s">
        <v>149</v>
      </c>
      <c r="J1032" s="83" t="s">
        <v>150</v>
      </c>
      <c r="K1032" s="83" t="s">
        <v>151</v>
      </c>
      <c r="L1032" s="83" t="s">
        <v>152</v>
      </c>
      <c r="M1032" s="82" t="s">
        <v>10093</v>
      </c>
      <c r="N1032" s="82" t="s">
        <v>10094</v>
      </c>
      <c r="O1032" s="82" t="s">
        <v>10095</v>
      </c>
      <c r="P1032" s="82" t="s">
        <v>10096</v>
      </c>
      <c r="Q1032" s="82" t="s">
        <v>10097</v>
      </c>
      <c r="R1032" s="82" t="s">
        <v>10098</v>
      </c>
      <c r="S1032" s="82" t="s">
        <v>10099</v>
      </c>
      <c r="T1032" s="138">
        <v>11.0</v>
      </c>
      <c r="U1032" s="389">
        <v>11.0</v>
      </c>
      <c r="V1032" s="106">
        <v>0.0</v>
      </c>
      <c r="W1032" s="107">
        <v>0.0</v>
      </c>
      <c r="X1032" s="107">
        <v>0.0</v>
      </c>
      <c r="Y1032" s="107">
        <v>0.0</v>
      </c>
      <c r="Z1032" s="80">
        <v>0.0</v>
      </c>
      <c r="AA1032" s="140">
        <v>201.0</v>
      </c>
      <c r="AB1032" s="109">
        <v>355.0</v>
      </c>
      <c r="AC1032" s="109">
        <v>0.0</v>
      </c>
      <c r="AD1032" s="141">
        <v>0.0</v>
      </c>
      <c r="AE1032" s="80">
        <v>556.0</v>
      </c>
      <c r="AF1032" s="140">
        <v>193.0</v>
      </c>
      <c r="AG1032" s="109">
        <v>0.0</v>
      </c>
      <c r="AH1032" s="109">
        <v>0.0</v>
      </c>
      <c r="AI1032" s="141">
        <v>0.0</v>
      </c>
      <c r="AJ1032" s="80">
        <v>193.0</v>
      </c>
      <c r="AK1032" s="140">
        <v>0.0</v>
      </c>
      <c r="AL1032" s="109">
        <v>0.0</v>
      </c>
      <c r="AM1032" s="141">
        <v>0.0</v>
      </c>
      <c r="AN1032" s="80">
        <v>0.0</v>
      </c>
      <c r="AO1032" s="140">
        <v>0.0</v>
      </c>
      <c r="AP1032" s="109">
        <v>0.0</v>
      </c>
      <c r="AQ1032" s="109">
        <v>99.0</v>
      </c>
      <c r="AR1032" s="80">
        <v>99.0</v>
      </c>
      <c r="AS1032" s="110">
        <v>0.0</v>
      </c>
      <c r="AT1032" s="110">
        <v>0.0</v>
      </c>
      <c r="AU1032" s="110">
        <v>0.0</v>
      </c>
      <c r="AV1032" s="142">
        <v>0.0</v>
      </c>
      <c r="AW1032" s="80">
        <v>0.0</v>
      </c>
      <c r="AX1032" s="113">
        <v>848.0</v>
      </c>
      <c r="AY1032" s="117">
        <v>749.0</v>
      </c>
      <c r="AZ1032" s="328">
        <v>99.0</v>
      </c>
      <c r="BA1032" s="315">
        <v>0.0</v>
      </c>
      <c r="BB1032" s="316">
        <v>848.0</v>
      </c>
      <c r="BC1032" s="132" t="s">
        <v>178</v>
      </c>
      <c r="BD1032" s="132" t="s">
        <v>178</v>
      </c>
      <c r="BE1032" s="132" t="s">
        <v>178</v>
      </c>
      <c r="BF1032" s="123"/>
      <c r="BG1032" s="83">
        <v>1169809.0</v>
      </c>
      <c r="BH1032" s="112">
        <v>11.0</v>
      </c>
      <c r="BI1032" s="98" t="s">
        <v>155</v>
      </c>
      <c r="BJ1032" s="98" t="str">
        <f t="shared" si="1"/>
        <v>NÃO</v>
      </c>
      <c r="BK1032" s="98" t="str">
        <f t="shared" si="2"/>
        <v>NÃO</v>
      </c>
    </row>
    <row r="1033" ht="15.75" customHeight="1">
      <c r="A1033" s="111" t="s">
        <v>1281</v>
      </c>
      <c r="B1033" s="83" t="s">
        <v>2476</v>
      </c>
      <c r="C1033" s="83" t="s">
        <v>68</v>
      </c>
      <c r="D1033" s="83">
        <v>1135637.0</v>
      </c>
      <c r="E1033" s="83"/>
      <c r="F1033" s="83">
        <v>2.9150418E7</v>
      </c>
      <c r="G1033" s="365" t="s">
        <v>10100</v>
      </c>
      <c r="H1033" s="91" t="s">
        <v>5400</v>
      </c>
      <c r="I1033" s="114" t="s">
        <v>149</v>
      </c>
      <c r="J1033" s="83" t="s">
        <v>150</v>
      </c>
      <c r="K1033" s="83" t="s">
        <v>151</v>
      </c>
      <c r="L1033" s="83" t="s">
        <v>152</v>
      </c>
      <c r="M1033" s="82" t="s">
        <v>10101</v>
      </c>
      <c r="N1033" s="82" t="s">
        <v>10102</v>
      </c>
      <c r="O1033" s="82" t="s">
        <v>10103</v>
      </c>
      <c r="P1033" s="82" t="s">
        <v>10104</v>
      </c>
      <c r="Q1033" s="82" t="s">
        <v>10105</v>
      </c>
      <c r="R1033" s="82" t="s">
        <v>10106</v>
      </c>
      <c r="S1033" s="82" t="s">
        <v>10107</v>
      </c>
      <c r="T1033" s="138">
        <v>8.0</v>
      </c>
      <c r="U1033" s="323">
        <v>8.0</v>
      </c>
      <c r="V1033" s="106">
        <v>0.0</v>
      </c>
      <c r="W1033" s="107">
        <v>0.0</v>
      </c>
      <c r="X1033" s="107">
        <v>0.0</v>
      </c>
      <c r="Y1033" s="107">
        <v>0.0</v>
      </c>
      <c r="Z1033" s="80">
        <v>0.0</v>
      </c>
      <c r="AA1033" s="140">
        <v>0.0</v>
      </c>
      <c r="AB1033" s="109">
        <v>0.0</v>
      </c>
      <c r="AC1033" s="109">
        <v>0.0</v>
      </c>
      <c r="AD1033" s="141">
        <v>0.0</v>
      </c>
      <c r="AE1033" s="80">
        <v>0.0</v>
      </c>
      <c r="AF1033" s="140">
        <v>0.0</v>
      </c>
      <c r="AG1033" s="109">
        <v>0.0</v>
      </c>
      <c r="AH1033" s="109">
        <v>0.0</v>
      </c>
      <c r="AI1033" s="141">
        <v>0.0</v>
      </c>
      <c r="AJ1033" s="80">
        <v>0.0</v>
      </c>
      <c r="AK1033" s="140">
        <v>129.0</v>
      </c>
      <c r="AL1033" s="109">
        <v>162.0</v>
      </c>
      <c r="AM1033" s="141">
        <v>104.0</v>
      </c>
      <c r="AN1033" s="80">
        <v>395.0</v>
      </c>
      <c r="AO1033" s="140">
        <v>104.0</v>
      </c>
      <c r="AP1033" s="109">
        <v>47.0</v>
      </c>
      <c r="AQ1033" s="109">
        <v>178.0</v>
      </c>
      <c r="AR1033" s="80">
        <v>329.0</v>
      </c>
      <c r="AS1033" s="110">
        <v>0.0</v>
      </c>
      <c r="AT1033" s="110">
        <v>0.0</v>
      </c>
      <c r="AU1033" s="110">
        <v>0.0</v>
      </c>
      <c r="AV1033" s="142">
        <v>0.0</v>
      </c>
      <c r="AW1033" s="80">
        <v>0.0</v>
      </c>
      <c r="AX1033" s="113">
        <v>724.0</v>
      </c>
      <c r="AY1033" s="117">
        <v>442.0</v>
      </c>
      <c r="AZ1033" s="328">
        <v>282.0</v>
      </c>
      <c r="BA1033" s="315">
        <v>0.0</v>
      </c>
      <c r="BB1033" s="316">
        <v>724.0</v>
      </c>
      <c r="BC1033" s="132" t="s">
        <v>178</v>
      </c>
      <c r="BD1033" s="132" t="s">
        <v>178</v>
      </c>
      <c r="BE1033" s="132" t="s">
        <v>178</v>
      </c>
      <c r="BF1033" s="156"/>
      <c r="BG1033" s="83">
        <v>1135637.0</v>
      </c>
      <c r="BH1033" s="112">
        <v>8.0</v>
      </c>
      <c r="BI1033" s="98" t="s">
        <v>155</v>
      </c>
      <c r="BJ1033" s="98" t="str">
        <f t="shared" si="1"/>
        <v>NÃO</v>
      </c>
      <c r="BK1033" s="98" t="str">
        <f t="shared" si="2"/>
        <v>NÃO</v>
      </c>
    </row>
    <row r="1034" ht="15.75" customHeight="1">
      <c r="A1034" s="111" t="s">
        <v>1281</v>
      </c>
      <c r="B1034" s="83" t="s">
        <v>2476</v>
      </c>
      <c r="C1034" s="83" t="s">
        <v>68</v>
      </c>
      <c r="D1034" s="83">
        <v>1107773.0</v>
      </c>
      <c r="E1034" s="83"/>
      <c r="F1034" s="83">
        <v>2.915031E7</v>
      </c>
      <c r="G1034" s="114" t="s">
        <v>10108</v>
      </c>
      <c r="H1034" s="91" t="s">
        <v>5410</v>
      </c>
      <c r="I1034" s="114" t="s">
        <v>149</v>
      </c>
      <c r="J1034" s="83" t="s">
        <v>150</v>
      </c>
      <c r="K1034" s="83" t="s">
        <v>151</v>
      </c>
      <c r="L1034" s="83" t="s">
        <v>230</v>
      </c>
      <c r="M1034" s="82" t="s">
        <v>10109</v>
      </c>
      <c r="N1034" s="82" t="s">
        <v>10110</v>
      </c>
      <c r="O1034" s="82" t="s">
        <v>10111</v>
      </c>
      <c r="P1034" s="82" t="s">
        <v>10112</v>
      </c>
      <c r="Q1034" s="82" t="s">
        <v>10113</v>
      </c>
      <c r="R1034" s="82" t="s">
        <v>10114</v>
      </c>
      <c r="S1034" s="82" t="s">
        <v>10115</v>
      </c>
      <c r="T1034" s="138">
        <v>17.0</v>
      </c>
      <c r="U1034" s="331" t="s">
        <v>10116</v>
      </c>
      <c r="V1034" s="106">
        <v>0.0</v>
      </c>
      <c r="W1034" s="107">
        <v>0.0</v>
      </c>
      <c r="X1034" s="107">
        <v>0.0</v>
      </c>
      <c r="Y1034" s="107">
        <v>0.0</v>
      </c>
      <c r="Z1034" s="80">
        <v>0.0</v>
      </c>
      <c r="AA1034" s="140">
        <v>407.0</v>
      </c>
      <c r="AB1034" s="109">
        <v>384.0</v>
      </c>
      <c r="AC1034" s="109">
        <v>0.0</v>
      </c>
      <c r="AD1034" s="141">
        <v>0.0</v>
      </c>
      <c r="AE1034" s="80">
        <v>791.0</v>
      </c>
      <c r="AF1034" s="140">
        <v>194.0</v>
      </c>
      <c r="AG1034" s="109">
        <v>185.0</v>
      </c>
      <c r="AH1034" s="109">
        <v>0.0</v>
      </c>
      <c r="AI1034" s="141">
        <v>0.0</v>
      </c>
      <c r="AJ1034" s="80">
        <v>379.0</v>
      </c>
      <c r="AK1034" s="140">
        <v>0.0</v>
      </c>
      <c r="AL1034" s="109">
        <v>0.0</v>
      </c>
      <c r="AM1034" s="141">
        <v>0.0</v>
      </c>
      <c r="AN1034" s="80">
        <v>0.0</v>
      </c>
      <c r="AO1034" s="140">
        <v>0.0</v>
      </c>
      <c r="AP1034" s="109">
        <v>0.0</v>
      </c>
      <c r="AQ1034" s="109">
        <v>147.0</v>
      </c>
      <c r="AR1034" s="80">
        <v>147.0</v>
      </c>
      <c r="AS1034" s="110">
        <v>0.0</v>
      </c>
      <c r="AT1034" s="110">
        <v>0.0</v>
      </c>
      <c r="AU1034" s="110">
        <v>0.0</v>
      </c>
      <c r="AV1034" s="142">
        <v>0.0</v>
      </c>
      <c r="AW1034" s="80">
        <v>0.0</v>
      </c>
      <c r="AX1034" s="113">
        <v>1317.0</v>
      </c>
      <c r="AY1034" s="117">
        <v>1170.0</v>
      </c>
      <c r="AZ1034" s="328">
        <v>147.0</v>
      </c>
      <c r="BA1034" s="315">
        <v>0.0</v>
      </c>
      <c r="BB1034" s="316">
        <v>1317.0</v>
      </c>
      <c r="BC1034" s="132" t="s">
        <v>178</v>
      </c>
      <c r="BD1034" s="132" t="s">
        <v>178</v>
      </c>
      <c r="BE1034" s="132" t="s">
        <v>178</v>
      </c>
      <c r="BF1034" s="156"/>
      <c r="BG1034" s="83">
        <v>1107773.0</v>
      </c>
      <c r="BH1034" s="112">
        <v>16.0</v>
      </c>
      <c r="BI1034" s="98" t="s">
        <v>155</v>
      </c>
      <c r="BJ1034" s="98" t="str">
        <f t="shared" si="1"/>
        <v>NÃO</v>
      </c>
      <c r="BK1034" s="98" t="str">
        <f t="shared" si="2"/>
        <v>NÃO</v>
      </c>
    </row>
    <row r="1035" ht="15.75" customHeight="1">
      <c r="A1035" s="111" t="s">
        <v>1281</v>
      </c>
      <c r="B1035" s="83" t="s">
        <v>2476</v>
      </c>
      <c r="C1035" s="83" t="s">
        <v>68</v>
      </c>
      <c r="D1035" s="83">
        <v>1176092.0</v>
      </c>
      <c r="E1035" s="83"/>
      <c r="F1035" s="83">
        <v>2.915045E7</v>
      </c>
      <c r="G1035" s="114" t="s">
        <v>10117</v>
      </c>
      <c r="H1035" s="91" t="s">
        <v>5415</v>
      </c>
      <c r="I1035" s="114" t="s">
        <v>5339</v>
      </c>
      <c r="J1035" s="83" t="s">
        <v>150</v>
      </c>
      <c r="K1035" s="83" t="s">
        <v>151</v>
      </c>
      <c r="L1035" s="83" t="s">
        <v>152</v>
      </c>
      <c r="M1035" s="82" t="s">
        <v>10118</v>
      </c>
      <c r="N1035" s="82" t="s">
        <v>171</v>
      </c>
      <c r="O1035" s="82" t="s">
        <v>10119</v>
      </c>
      <c r="P1035" s="82" t="s">
        <v>10120</v>
      </c>
      <c r="Q1035" s="82"/>
      <c r="R1035" s="82"/>
      <c r="S1035" s="82" t="s">
        <v>10121</v>
      </c>
      <c r="T1035" s="138">
        <v>19.0</v>
      </c>
      <c r="U1035" s="331" t="s">
        <v>10122</v>
      </c>
      <c r="V1035" s="106">
        <v>0.0</v>
      </c>
      <c r="W1035" s="107">
        <v>0.0</v>
      </c>
      <c r="X1035" s="107">
        <v>0.0</v>
      </c>
      <c r="Y1035" s="107">
        <v>0.0</v>
      </c>
      <c r="Z1035" s="80">
        <v>0.0</v>
      </c>
      <c r="AA1035" s="140">
        <v>147.0</v>
      </c>
      <c r="AB1035" s="109">
        <v>537.0</v>
      </c>
      <c r="AC1035" s="109">
        <v>0.0</v>
      </c>
      <c r="AD1035" s="141">
        <v>0.0</v>
      </c>
      <c r="AE1035" s="80">
        <v>684.0</v>
      </c>
      <c r="AF1035" s="140">
        <v>408.0</v>
      </c>
      <c r="AG1035" s="109">
        <v>0.0</v>
      </c>
      <c r="AH1035" s="109">
        <v>0.0</v>
      </c>
      <c r="AI1035" s="141">
        <v>0.0</v>
      </c>
      <c r="AJ1035" s="80">
        <v>408.0</v>
      </c>
      <c r="AK1035" s="140">
        <v>0.0</v>
      </c>
      <c r="AL1035" s="109">
        <v>0.0</v>
      </c>
      <c r="AM1035" s="141">
        <v>0.0</v>
      </c>
      <c r="AN1035" s="80">
        <v>0.0</v>
      </c>
      <c r="AO1035" s="140">
        <v>0.0</v>
      </c>
      <c r="AP1035" s="109">
        <v>0.0</v>
      </c>
      <c r="AQ1035" s="109">
        <v>0.0</v>
      </c>
      <c r="AR1035" s="80">
        <v>0.0</v>
      </c>
      <c r="AS1035" s="110">
        <v>0.0</v>
      </c>
      <c r="AT1035" s="110">
        <v>0.0</v>
      </c>
      <c r="AU1035" s="110">
        <v>0.0</v>
      </c>
      <c r="AV1035" s="142">
        <v>0.0</v>
      </c>
      <c r="AW1035" s="80">
        <v>0.0</v>
      </c>
      <c r="AX1035" s="113">
        <v>1092.0</v>
      </c>
      <c r="AY1035" s="117">
        <v>1092.0</v>
      </c>
      <c r="AZ1035" s="328">
        <v>0.0</v>
      </c>
      <c r="BA1035" s="315">
        <v>0.0</v>
      </c>
      <c r="BB1035" s="316">
        <v>1092.0</v>
      </c>
      <c r="BC1035" s="143" t="s">
        <v>1014</v>
      </c>
      <c r="BD1035" s="132" t="s">
        <v>178</v>
      </c>
      <c r="BE1035" s="132" t="s">
        <v>178</v>
      </c>
      <c r="BF1035" s="156"/>
      <c r="BG1035" s="83">
        <v>1176092.0</v>
      </c>
      <c r="BH1035" s="98">
        <v>23.0</v>
      </c>
      <c r="BI1035" s="98" t="s">
        <v>155</v>
      </c>
      <c r="BJ1035" s="98" t="str">
        <f t="shared" si="1"/>
        <v>NÃO</v>
      </c>
      <c r="BK1035" s="98" t="str">
        <f t="shared" si="2"/>
        <v>NÃO</v>
      </c>
    </row>
    <row r="1036" ht="15.75" customHeight="1">
      <c r="A1036" s="111" t="s">
        <v>1281</v>
      </c>
      <c r="B1036" s="83" t="s">
        <v>2476</v>
      </c>
      <c r="C1036" s="83" t="s">
        <v>68</v>
      </c>
      <c r="D1036" s="83">
        <v>1107927.0</v>
      </c>
      <c r="E1036" s="83"/>
      <c r="F1036" s="83">
        <v>2.9149835E7</v>
      </c>
      <c r="G1036" s="114" t="s">
        <v>5427</v>
      </c>
      <c r="H1036" s="91" t="s">
        <v>5429</v>
      </c>
      <c r="I1036" s="114" t="s">
        <v>149</v>
      </c>
      <c r="J1036" s="83" t="s">
        <v>150</v>
      </c>
      <c r="K1036" s="83" t="s">
        <v>151</v>
      </c>
      <c r="L1036" s="83" t="s">
        <v>230</v>
      </c>
      <c r="M1036" s="82" t="s">
        <v>10123</v>
      </c>
      <c r="N1036" s="82" t="s">
        <v>10124</v>
      </c>
      <c r="O1036" s="82" t="s">
        <v>10125</v>
      </c>
      <c r="P1036" s="82" t="s">
        <v>10126</v>
      </c>
      <c r="Q1036" s="82"/>
      <c r="R1036" s="82"/>
      <c r="S1036" s="82" t="s">
        <v>10127</v>
      </c>
      <c r="T1036" s="138">
        <v>38.0</v>
      </c>
      <c r="U1036" s="323">
        <v>30.0</v>
      </c>
      <c r="V1036" s="106">
        <v>0.0</v>
      </c>
      <c r="W1036" s="107">
        <v>0.0</v>
      </c>
      <c r="X1036" s="107">
        <v>0.0</v>
      </c>
      <c r="Y1036" s="107">
        <v>0.0</v>
      </c>
      <c r="Z1036" s="80">
        <v>0.0</v>
      </c>
      <c r="AA1036" s="140">
        <v>0.0</v>
      </c>
      <c r="AB1036" s="109">
        <v>0.0</v>
      </c>
      <c r="AC1036" s="109">
        <v>0.0</v>
      </c>
      <c r="AD1036" s="141">
        <v>0.0</v>
      </c>
      <c r="AE1036" s="80">
        <v>0.0</v>
      </c>
      <c r="AF1036" s="140">
        <v>0.0</v>
      </c>
      <c r="AG1036" s="109">
        <v>0.0</v>
      </c>
      <c r="AH1036" s="109">
        <v>0.0</v>
      </c>
      <c r="AI1036" s="141">
        <v>0.0</v>
      </c>
      <c r="AJ1036" s="80">
        <v>0.0</v>
      </c>
      <c r="AK1036" s="140">
        <v>0.0</v>
      </c>
      <c r="AL1036" s="109">
        <v>0.0</v>
      </c>
      <c r="AM1036" s="141">
        <v>0.0</v>
      </c>
      <c r="AN1036" s="80">
        <v>0.0</v>
      </c>
      <c r="AO1036" s="140">
        <v>0.0</v>
      </c>
      <c r="AP1036" s="109">
        <v>0.0</v>
      </c>
      <c r="AQ1036" s="109">
        <v>0.0</v>
      </c>
      <c r="AR1036" s="80">
        <v>0.0</v>
      </c>
      <c r="AS1036" s="110">
        <v>849.0</v>
      </c>
      <c r="AT1036" s="110">
        <v>340.0</v>
      </c>
      <c r="AU1036" s="110">
        <v>653.0</v>
      </c>
      <c r="AV1036" s="142">
        <v>0.0</v>
      </c>
      <c r="AW1036" s="80">
        <v>1842.0</v>
      </c>
      <c r="AX1036" s="113">
        <v>1842.0</v>
      </c>
      <c r="AY1036" s="117">
        <v>1189.0</v>
      </c>
      <c r="AZ1036" s="328">
        <v>653.0</v>
      </c>
      <c r="BA1036" s="315">
        <v>0.0</v>
      </c>
      <c r="BB1036" s="316">
        <v>1842.0</v>
      </c>
      <c r="BC1036" s="132" t="s">
        <v>178</v>
      </c>
      <c r="BD1036" s="132" t="s">
        <v>522</v>
      </c>
      <c r="BE1036" s="132" t="s">
        <v>178</v>
      </c>
      <c r="BF1036" s="123"/>
      <c r="BG1036" s="83">
        <v>1107927.0</v>
      </c>
      <c r="BH1036" s="112">
        <v>30.0</v>
      </c>
      <c r="BI1036" s="98" t="s">
        <v>155</v>
      </c>
      <c r="BJ1036" s="98" t="str">
        <f t="shared" si="1"/>
        <v>NÃO</v>
      </c>
      <c r="BK1036" s="98" t="str">
        <f t="shared" si="2"/>
        <v>PROFISSIONAL</v>
      </c>
    </row>
    <row r="1037" ht="15.75" customHeight="1">
      <c r="A1037" s="111" t="s">
        <v>1281</v>
      </c>
      <c r="B1037" s="83" t="s">
        <v>2476</v>
      </c>
      <c r="C1037" s="83" t="s">
        <v>164</v>
      </c>
      <c r="D1037" s="83">
        <v>1107773.0</v>
      </c>
      <c r="E1037" s="83">
        <v>1178463.0</v>
      </c>
      <c r="F1037" s="83"/>
      <c r="G1037" s="114" t="s">
        <v>10128</v>
      </c>
      <c r="H1037" s="91" t="s">
        <v>5445</v>
      </c>
      <c r="I1037" s="114" t="s">
        <v>5446</v>
      </c>
      <c r="J1037" s="83" t="s">
        <v>762</v>
      </c>
      <c r="K1037" s="83" t="s">
        <v>168</v>
      </c>
      <c r="L1037" s="83" t="s">
        <v>169</v>
      </c>
      <c r="M1037" s="82" t="s">
        <v>10109</v>
      </c>
      <c r="N1037" s="82" t="s">
        <v>10110</v>
      </c>
      <c r="O1037" s="82" t="s">
        <v>10111</v>
      </c>
      <c r="P1037" s="82" t="s">
        <v>10112</v>
      </c>
      <c r="Q1037" s="82" t="s">
        <v>10113</v>
      </c>
      <c r="R1037" s="82" t="s">
        <v>10114</v>
      </c>
      <c r="S1037" s="82" t="s">
        <v>10115</v>
      </c>
      <c r="T1037" s="138">
        <v>5.0</v>
      </c>
      <c r="U1037" s="389">
        <v>5.0</v>
      </c>
      <c r="V1037" s="355">
        <v>0.0</v>
      </c>
      <c r="W1037" s="246">
        <v>0.0</v>
      </c>
      <c r="X1037" s="246">
        <v>0.0</v>
      </c>
      <c r="Y1037" s="246">
        <v>0.0</v>
      </c>
      <c r="Z1037" s="80">
        <v>0.0</v>
      </c>
      <c r="AA1037" s="140">
        <v>0.0</v>
      </c>
      <c r="AB1037" s="109">
        <v>0.0</v>
      </c>
      <c r="AC1037" s="109">
        <v>0.0</v>
      </c>
      <c r="AD1037" s="141">
        <v>0.0</v>
      </c>
      <c r="AE1037" s="80">
        <v>0.0</v>
      </c>
      <c r="AF1037" s="140">
        <v>0.0</v>
      </c>
      <c r="AG1037" s="109">
        <v>0.0</v>
      </c>
      <c r="AH1037" s="109">
        <v>0.0</v>
      </c>
      <c r="AI1037" s="141">
        <v>0.0</v>
      </c>
      <c r="AJ1037" s="80">
        <v>0.0</v>
      </c>
      <c r="AK1037" s="140">
        <v>0.0</v>
      </c>
      <c r="AL1037" s="109">
        <v>0.0</v>
      </c>
      <c r="AM1037" s="141">
        <v>0.0</v>
      </c>
      <c r="AN1037" s="80">
        <v>0.0</v>
      </c>
      <c r="AO1037" s="140">
        <v>0.0</v>
      </c>
      <c r="AP1037" s="109">
        <v>0.0</v>
      </c>
      <c r="AQ1037" s="109">
        <v>39.0</v>
      </c>
      <c r="AR1037" s="80">
        <v>39.0</v>
      </c>
      <c r="AS1037" s="110">
        <v>0.0</v>
      </c>
      <c r="AT1037" s="110">
        <v>0.0</v>
      </c>
      <c r="AU1037" s="110">
        <v>0.0</v>
      </c>
      <c r="AV1037" s="142">
        <v>0.0</v>
      </c>
      <c r="AW1037" s="80">
        <v>0.0</v>
      </c>
      <c r="AX1037" s="113">
        <v>39.0</v>
      </c>
      <c r="AY1037" s="117">
        <v>0.0</v>
      </c>
      <c r="AZ1037" s="328">
        <v>39.0</v>
      </c>
      <c r="BA1037" s="315">
        <v>0.0</v>
      </c>
      <c r="BB1037" s="316">
        <v>39.0</v>
      </c>
      <c r="BC1037" s="132" t="s">
        <v>265</v>
      </c>
      <c r="BD1037" s="132" t="s">
        <v>178</v>
      </c>
      <c r="BE1037" s="132" t="s">
        <v>178</v>
      </c>
      <c r="BF1037" s="156"/>
      <c r="BG1037" s="83">
        <v>1178463.0</v>
      </c>
      <c r="BH1037" s="112">
        <v>5.0</v>
      </c>
      <c r="BI1037" s="98" t="s">
        <v>155</v>
      </c>
      <c r="BJ1037" s="98" t="str">
        <f t="shared" si="1"/>
        <v>NÃO</v>
      </c>
      <c r="BK1037" s="98" t="str">
        <f t="shared" si="2"/>
        <v>NÃO</v>
      </c>
    </row>
    <row r="1038" ht="15.75" customHeight="1">
      <c r="A1038" s="111" t="s">
        <v>1281</v>
      </c>
      <c r="B1038" s="83" t="s">
        <v>5447</v>
      </c>
      <c r="C1038" s="83" t="s">
        <v>68</v>
      </c>
      <c r="D1038" s="83">
        <v>1107749.0</v>
      </c>
      <c r="E1038" s="83"/>
      <c r="F1038" s="83">
        <v>2.9151554E7</v>
      </c>
      <c r="G1038" s="119" t="s">
        <v>10129</v>
      </c>
      <c r="H1038" s="91" t="s">
        <v>10130</v>
      </c>
      <c r="I1038" s="114" t="s">
        <v>149</v>
      </c>
      <c r="J1038" s="83" t="s">
        <v>150</v>
      </c>
      <c r="K1038" s="83" t="s">
        <v>151</v>
      </c>
      <c r="L1038" s="83" t="s">
        <v>169</v>
      </c>
      <c r="M1038" s="82" t="s">
        <v>10132</v>
      </c>
      <c r="N1038" s="82" t="s">
        <v>10133</v>
      </c>
      <c r="O1038" s="82" t="s">
        <v>10134</v>
      </c>
      <c r="P1038" s="82" t="s">
        <v>10135</v>
      </c>
      <c r="Q1038" s="82"/>
      <c r="R1038" s="82"/>
      <c r="S1038" s="82" t="s">
        <v>10136</v>
      </c>
      <c r="T1038" s="138">
        <v>5.0</v>
      </c>
      <c r="U1038" s="331">
        <v>12.0</v>
      </c>
      <c r="V1038" s="106">
        <v>0.0</v>
      </c>
      <c r="W1038" s="107">
        <v>0.0</v>
      </c>
      <c r="X1038" s="107">
        <v>0.0</v>
      </c>
      <c r="Y1038" s="107">
        <v>0.0</v>
      </c>
      <c r="Z1038" s="80">
        <v>0.0</v>
      </c>
      <c r="AA1038" s="140">
        <v>0.0</v>
      </c>
      <c r="AB1038" s="109">
        <v>0.0</v>
      </c>
      <c r="AC1038" s="109">
        <v>0.0</v>
      </c>
      <c r="AD1038" s="141">
        <v>0.0</v>
      </c>
      <c r="AE1038" s="80">
        <v>0.0</v>
      </c>
      <c r="AF1038" s="140">
        <v>30.0</v>
      </c>
      <c r="AG1038" s="109">
        <v>37.0</v>
      </c>
      <c r="AH1038" s="109">
        <v>22.0</v>
      </c>
      <c r="AI1038" s="141">
        <v>85.0</v>
      </c>
      <c r="AJ1038" s="80">
        <v>174.0</v>
      </c>
      <c r="AK1038" s="140">
        <v>0.0</v>
      </c>
      <c r="AL1038" s="109">
        <v>0.0</v>
      </c>
      <c r="AM1038" s="141">
        <v>0.0</v>
      </c>
      <c r="AN1038" s="80">
        <v>0.0</v>
      </c>
      <c r="AO1038" s="140">
        <v>0.0</v>
      </c>
      <c r="AP1038" s="109">
        <v>0.0</v>
      </c>
      <c r="AQ1038" s="109">
        <v>36.0</v>
      </c>
      <c r="AR1038" s="80">
        <v>36.0</v>
      </c>
      <c r="AS1038" s="110">
        <v>0.0</v>
      </c>
      <c r="AT1038" s="110">
        <v>91.0</v>
      </c>
      <c r="AU1038" s="110">
        <v>5.0</v>
      </c>
      <c r="AV1038" s="142">
        <v>0.0</v>
      </c>
      <c r="AW1038" s="80">
        <v>96.0</v>
      </c>
      <c r="AX1038" s="113">
        <v>306.0</v>
      </c>
      <c r="AY1038" s="117">
        <v>243.0</v>
      </c>
      <c r="AZ1038" s="328">
        <v>63.0</v>
      </c>
      <c r="BA1038" s="315">
        <v>0.0</v>
      </c>
      <c r="BB1038" s="316">
        <v>306.0</v>
      </c>
      <c r="BC1038" s="132" t="s">
        <v>178</v>
      </c>
      <c r="BD1038" s="132" t="s">
        <v>178</v>
      </c>
      <c r="BE1038" s="132" t="s">
        <v>178</v>
      </c>
      <c r="BF1038" s="123"/>
      <c r="BG1038" s="83">
        <v>1107749.0</v>
      </c>
      <c r="BH1038" s="112">
        <v>12.0</v>
      </c>
      <c r="BI1038" s="98" t="s">
        <v>162</v>
      </c>
      <c r="BJ1038" s="98" t="str">
        <f t="shared" si="1"/>
        <v>INTEGRAL</v>
      </c>
      <c r="BK1038" s="98" t="str">
        <f t="shared" si="2"/>
        <v>PROFISSIONAL</v>
      </c>
    </row>
    <row r="1039" ht="15.75" customHeight="1">
      <c r="A1039" s="111" t="s">
        <v>1281</v>
      </c>
      <c r="B1039" s="83" t="s">
        <v>5447</v>
      </c>
      <c r="C1039" s="83" t="s">
        <v>68</v>
      </c>
      <c r="D1039" s="83">
        <v>1107730.0</v>
      </c>
      <c r="E1039" s="83"/>
      <c r="F1039" s="83">
        <v>2.9151651E7</v>
      </c>
      <c r="G1039" s="114" t="s">
        <v>10140</v>
      </c>
      <c r="H1039" s="91" t="s">
        <v>5457</v>
      </c>
      <c r="I1039" s="241" t="s">
        <v>5458</v>
      </c>
      <c r="J1039" s="83" t="s">
        <v>240</v>
      </c>
      <c r="K1039" s="83" t="s">
        <v>151</v>
      </c>
      <c r="L1039" s="98" t="s">
        <v>152</v>
      </c>
      <c r="M1039" s="82" t="s">
        <v>10141</v>
      </c>
      <c r="N1039" s="82" t="s">
        <v>10142</v>
      </c>
      <c r="O1039" s="82" t="s">
        <v>10143</v>
      </c>
      <c r="P1039" s="82" t="s">
        <v>10144</v>
      </c>
      <c r="Q1039" s="82" t="s">
        <v>10145</v>
      </c>
      <c r="R1039" s="82"/>
      <c r="S1039" s="82" t="s">
        <v>10146</v>
      </c>
      <c r="T1039" s="138">
        <v>12.0</v>
      </c>
      <c r="U1039" s="323">
        <v>12.0</v>
      </c>
      <c r="V1039" s="106">
        <v>0.0</v>
      </c>
      <c r="W1039" s="107">
        <v>0.0</v>
      </c>
      <c r="X1039" s="107">
        <v>0.0</v>
      </c>
      <c r="Y1039" s="107">
        <v>0.0</v>
      </c>
      <c r="Z1039" s="80">
        <v>0.0</v>
      </c>
      <c r="AA1039" s="140">
        <v>0.0</v>
      </c>
      <c r="AB1039" s="109">
        <v>0.0</v>
      </c>
      <c r="AC1039" s="109">
        <v>0.0</v>
      </c>
      <c r="AD1039" s="141">
        <v>0.0</v>
      </c>
      <c r="AE1039" s="80">
        <v>0.0</v>
      </c>
      <c r="AF1039" s="140">
        <v>0.0</v>
      </c>
      <c r="AG1039" s="109">
        <v>112.0</v>
      </c>
      <c r="AH1039" s="109">
        <v>0.0</v>
      </c>
      <c r="AI1039" s="141">
        <v>136.0</v>
      </c>
      <c r="AJ1039" s="80">
        <v>248.0</v>
      </c>
      <c r="AK1039" s="140">
        <v>0.0</v>
      </c>
      <c r="AL1039" s="109">
        <v>0.0</v>
      </c>
      <c r="AM1039" s="141">
        <v>0.0</v>
      </c>
      <c r="AN1039" s="80">
        <v>0.0</v>
      </c>
      <c r="AO1039" s="140">
        <v>0.0</v>
      </c>
      <c r="AP1039" s="109">
        <v>0.0</v>
      </c>
      <c r="AQ1039" s="109">
        <v>119.0</v>
      </c>
      <c r="AR1039" s="80">
        <v>119.0</v>
      </c>
      <c r="AS1039" s="110">
        <v>0.0</v>
      </c>
      <c r="AT1039" s="110">
        <v>0.0</v>
      </c>
      <c r="AU1039" s="110">
        <v>0.0</v>
      </c>
      <c r="AV1039" s="142">
        <v>0.0</v>
      </c>
      <c r="AW1039" s="80">
        <v>0.0</v>
      </c>
      <c r="AX1039" s="113">
        <v>367.0</v>
      </c>
      <c r="AY1039" s="117">
        <v>248.0</v>
      </c>
      <c r="AZ1039" s="328">
        <v>119.0</v>
      </c>
      <c r="BA1039" s="315">
        <v>0.0</v>
      </c>
      <c r="BB1039" s="316">
        <v>367.0</v>
      </c>
      <c r="BC1039" s="132" t="s">
        <v>373</v>
      </c>
      <c r="BD1039" s="132" t="s">
        <v>178</v>
      </c>
      <c r="BE1039" s="132" t="s">
        <v>178</v>
      </c>
      <c r="BF1039" s="123"/>
      <c r="BG1039" s="83">
        <v>1107730.0</v>
      </c>
      <c r="BH1039" s="112">
        <v>12.0</v>
      </c>
      <c r="BI1039" s="98" t="s">
        <v>162</v>
      </c>
      <c r="BJ1039" s="98" t="str">
        <f t="shared" si="1"/>
        <v>INTEGRAL</v>
      </c>
      <c r="BK1039" s="98" t="str">
        <f t="shared" si="2"/>
        <v>NÃO</v>
      </c>
    </row>
    <row r="1040" ht="15.75" customHeight="1">
      <c r="A1040" s="111" t="s">
        <v>1281</v>
      </c>
      <c r="B1040" s="83" t="s">
        <v>5044</v>
      </c>
      <c r="C1040" s="83" t="s">
        <v>68</v>
      </c>
      <c r="D1040" s="83">
        <v>1179312.0</v>
      </c>
      <c r="E1040" s="83"/>
      <c r="F1040" s="83">
        <v>2.9461464E7</v>
      </c>
      <c r="G1040" s="219" t="s">
        <v>10148</v>
      </c>
      <c r="H1040" s="91" t="s">
        <v>5462</v>
      </c>
      <c r="I1040" s="114" t="s">
        <v>149</v>
      </c>
      <c r="J1040" s="83" t="s">
        <v>150</v>
      </c>
      <c r="K1040" s="83" t="s">
        <v>151</v>
      </c>
      <c r="L1040" s="83" t="s">
        <v>152</v>
      </c>
      <c r="M1040" s="82" t="s">
        <v>10149</v>
      </c>
      <c r="N1040" s="82" t="s">
        <v>10150</v>
      </c>
      <c r="O1040" s="82" t="s">
        <v>10151</v>
      </c>
      <c r="P1040" s="82" t="s">
        <v>10152</v>
      </c>
      <c r="Q1040" s="82" t="s">
        <v>10153</v>
      </c>
      <c r="R1040" s="82" t="s">
        <v>10154</v>
      </c>
      <c r="S1040" s="82" t="s">
        <v>10155</v>
      </c>
      <c r="T1040" s="138">
        <v>8.0</v>
      </c>
      <c r="U1040" s="331">
        <v>10.0</v>
      </c>
      <c r="V1040" s="106">
        <v>0.0</v>
      </c>
      <c r="W1040" s="107">
        <v>0.0</v>
      </c>
      <c r="X1040" s="107">
        <v>0.0</v>
      </c>
      <c r="Y1040" s="107">
        <v>0.0</v>
      </c>
      <c r="Z1040" s="80">
        <v>0.0</v>
      </c>
      <c r="AA1040" s="140">
        <v>0.0</v>
      </c>
      <c r="AB1040" s="109">
        <v>0.0</v>
      </c>
      <c r="AC1040" s="109">
        <v>0.0</v>
      </c>
      <c r="AD1040" s="141">
        <v>0.0</v>
      </c>
      <c r="AE1040" s="80">
        <v>0.0</v>
      </c>
      <c r="AF1040" s="140">
        <v>93.0</v>
      </c>
      <c r="AG1040" s="109">
        <v>160.0</v>
      </c>
      <c r="AH1040" s="109">
        <v>0.0</v>
      </c>
      <c r="AI1040" s="141">
        <v>130.0</v>
      </c>
      <c r="AJ1040" s="80">
        <v>383.0</v>
      </c>
      <c r="AK1040" s="140">
        <v>0.0</v>
      </c>
      <c r="AL1040" s="109">
        <v>0.0</v>
      </c>
      <c r="AM1040" s="141">
        <v>0.0</v>
      </c>
      <c r="AN1040" s="80">
        <v>0.0</v>
      </c>
      <c r="AO1040" s="140">
        <v>0.0</v>
      </c>
      <c r="AP1040" s="109">
        <v>0.0</v>
      </c>
      <c r="AQ1040" s="109">
        <v>169.0</v>
      </c>
      <c r="AR1040" s="80">
        <v>169.0</v>
      </c>
      <c r="AS1040" s="110">
        <v>99.0</v>
      </c>
      <c r="AT1040" s="110">
        <v>78.0</v>
      </c>
      <c r="AU1040" s="110">
        <v>0.0</v>
      </c>
      <c r="AV1040" s="142">
        <v>0.0</v>
      </c>
      <c r="AW1040" s="80">
        <v>177.0</v>
      </c>
      <c r="AX1040" s="113">
        <v>729.0</v>
      </c>
      <c r="AY1040" s="117">
        <v>560.0</v>
      </c>
      <c r="AZ1040" s="328">
        <v>169.0</v>
      </c>
      <c r="BA1040" s="315">
        <v>0.0</v>
      </c>
      <c r="BB1040" s="316">
        <v>729.0</v>
      </c>
      <c r="BC1040" s="132" t="s">
        <v>178</v>
      </c>
      <c r="BD1040" s="132" t="s">
        <v>178</v>
      </c>
      <c r="BE1040" s="132" t="s">
        <v>178</v>
      </c>
      <c r="BF1040" s="123"/>
      <c r="BG1040" s="83">
        <v>1179312.0</v>
      </c>
      <c r="BH1040" s="112">
        <v>10.0</v>
      </c>
      <c r="BI1040" s="98" t="s">
        <v>162</v>
      </c>
      <c r="BJ1040" s="98" t="str">
        <f t="shared" si="1"/>
        <v>INTEGRAL</v>
      </c>
      <c r="BK1040" s="98" t="str">
        <f t="shared" si="2"/>
        <v>PROFISSIONAL</v>
      </c>
    </row>
    <row r="1041" ht="15.75" customHeight="1">
      <c r="A1041" s="111" t="s">
        <v>1281</v>
      </c>
      <c r="B1041" s="83" t="s">
        <v>5464</v>
      </c>
      <c r="C1041" s="83" t="s">
        <v>68</v>
      </c>
      <c r="D1041" s="83">
        <v>1179439.0</v>
      </c>
      <c r="E1041" s="83"/>
      <c r="F1041" s="83">
        <v>2.94654E7</v>
      </c>
      <c r="G1041" s="220" t="s">
        <v>10156</v>
      </c>
      <c r="H1041" s="91" t="s">
        <v>5466</v>
      </c>
      <c r="I1041" s="187" t="s">
        <v>149</v>
      </c>
      <c r="J1041" s="83" t="s">
        <v>150</v>
      </c>
      <c r="K1041" s="83" t="s">
        <v>151</v>
      </c>
      <c r="L1041" s="136" t="s">
        <v>76</v>
      </c>
      <c r="M1041" s="82" t="s">
        <v>10157</v>
      </c>
      <c r="N1041" s="82" t="s">
        <v>10158</v>
      </c>
      <c r="O1041" s="82" t="s">
        <v>10159</v>
      </c>
      <c r="P1041" s="82" t="s">
        <v>10160</v>
      </c>
      <c r="Q1041" s="82" t="s">
        <v>10161</v>
      </c>
      <c r="R1041" s="82" t="s">
        <v>10162</v>
      </c>
      <c r="S1041" s="82" t="s">
        <v>10163</v>
      </c>
      <c r="T1041" s="138">
        <v>11.0</v>
      </c>
      <c r="U1041" s="331" t="s">
        <v>10164</v>
      </c>
      <c r="V1041" s="106">
        <v>0.0</v>
      </c>
      <c r="W1041" s="107">
        <v>0.0</v>
      </c>
      <c r="X1041" s="107">
        <v>0.0</v>
      </c>
      <c r="Y1041" s="107">
        <v>0.0</v>
      </c>
      <c r="Z1041" s="80">
        <v>0.0</v>
      </c>
      <c r="AA1041" s="140">
        <v>0.0</v>
      </c>
      <c r="AB1041" s="109">
        <v>0.0</v>
      </c>
      <c r="AC1041" s="109">
        <v>0.0</v>
      </c>
      <c r="AD1041" s="141">
        <v>0.0</v>
      </c>
      <c r="AE1041" s="80">
        <v>0.0</v>
      </c>
      <c r="AF1041" s="140">
        <v>0.0</v>
      </c>
      <c r="AG1041" s="109">
        <v>0.0</v>
      </c>
      <c r="AH1041" s="109">
        <v>0.0</v>
      </c>
      <c r="AI1041" s="141">
        <v>213.0</v>
      </c>
      <c r="AJ1041" s="80">
        <v>213.0</v>
      </c>
      <c r="AK1041" s="140">
        <v>0.0</v>
      </c>
      <c r="AL1041" s="109">
        <v>0.0</v>
      </c>
      <c r="AM1041" s="141">
        <v>0.0</v>
      </c>
      <c r="AN1041" s="80">
        <v>0.0</v>
      </c>
      <c r="AO1041" s="140">
        <v>0.0</v>
      </c>
      <c r="AP1041" s="109">
        <v>0.0</v>
      </c>
      <c r="AQ1041" s="109">
        <v>45.0</v>
      </c>
      <c r="AR1041" s="80">
        <v>45.0</v>
      </c>
      <c r="AS1041" s="110">
        <v>0.0</v>
      </c>
      <c r="AT1041" s="110">
        <v>0.0</v>
      </c>
      <c r="AU1041" s="110">
        <v>133.0</v>
      </c>
      <c r="AV1041" s="142">
        <v>114.0</v>
      </c>
      <c r="AW1041" s="80">
        <v>247.0</v>
      </c>
      <c r="AX1041" s="113">
        <v>505.0</v>
      </c>
      <c r="AY1041" s="117">
        <v>327.0</v>
      </c>
      <c r="AZ1041" s="328">
        <v>178.0</v>
      </c>
      <c r="BA1041" s="315">
        <v>0.0</v>
      </c>
      <c r="BB1041" s="316">
        <v>505.0</v>
      </c>
      <c r="BC1041" s="132" t="s">
        <v>178</v>
      </c>
      <c r="BD1041" s="132" t="s">
        <v>178</v>
      </c>
      <c r="BE1041" s="132" t="s">
        <v>178</v>
      </c>
      <c r="BF1041" s="123"/>
      <c r="BG1041" s="83">
        <v>1179439.0</v>
      </c>
      <c r="BH1041" s="112">
        <v>9.0</v>
      </c>
      <c r="BI1041" s="98" t="s">
        <v>162</v>
      </c>
      <c r="BJ1041" s="98" t="str">
        <f t="shared" si="1"/>
        <v>INTEGRAL</v>
      </c>
      <c r="BK1041" s="98" t="str">
        <f t="shared" si="2"/>
        <v>PROFISSIONAL</v>
      </c>
    </row>
    <row r="1042" ht="15.75" customHeight="1">
      <c r="A1042" s="111" t="s">
        <v>1281</v>
      </c>
      <c r="B1042" s="83" t="s">
        <v>5476</v>
      </c>
      <c r="C1042" s="83" t="s">
        <v>68</v>
      </c>
      <c r="D1042" s="83">
        <v>1108656.0</v>
      </c>
      <c r="E1042" s="83"/>
      <c r="F1042" s="83">
        <v>2.9155401E7</v>
      </c>
      <c r="G1042" s="384" t="s">
        <v>10165</v>
      </c>
      <c r="H1042" s="91" t="s">
        <v>5484</v>
      </c>
      <c r="I1042" s="114" t="s">
        <v>149</v>
      </c>
      <c r="J1042" s="83" t="s">
        <v>150</v>
      </c>
      <c r="K1042" s="83" t="s">
        <v>151</v>
      </c>
      <c r="L1042" s="83" t="s">
        <v>152</v>
      </c>
      <c r="M1042" s="82" t="s">
        <v>10166</v>
      </c>
      <c r="N1042" s="82"/>
      <c r="O1042" s="82" t="s">
        <v>10167</v>
      </c>
      <c r="P1042" s="82" t="s">
        <v>10168</v>
      </c>
      <c r="Q1042" s="82"/>
      <c r="R1042" s="82"/>
      <c r="S1042" s="82" t="s">
        <v>10169</v>
      </c>
      <c r="T1042" s="138">
        <v>12.0</v>
      </c>
      <c r="U1042" s="331" t="s">
        <v>10170</v>
      </c>
      <c r="V1042" s="106">
        <v>0.0</v>
      </c>
      <c r="W1042" s="107">
        <v>0.0</v>
      </c>
      <c r="X1042" s="107">
        <v>0.0</v>
      </c>
      <c r="Y1042" s="107">
        <v>0.0</v>
      </c>
      <c r="Z1042" s="80">
        <v>0.0</v>
      </c>
      <c r="AA1042" s="140">
        <v>0.0</v>
      </c>
      <c r="AB1042" s="109">
        <v>0.0</v>
      </c>
      <c r="AC1042" s="109">
        <v>0.0</v>
      </c>
      <c r="AD1042" s="141">
        <v>0.0</v>
      </c>
      <c r="AE1042" s="80">
        <v>0.0</v>
      </c>
      <c r="AF1042" s="140">
        <v>117.0</v>
      </c>
      <c r="AG1042" s="109">
        <v>0.0</v>
      </c>
      <c r="AH1042" s="109">
        <v>31.0</v>
      </c>
      <c r="AI1042" s="141">
        <v>83.0</v>
      </c>
      <c r="AJ1042" s="80">
        <v>231.0</v>
      </c>
      <c r="AK1042" s="140">
        <v>0.0</v>
      </c>
      <c r="AL1042" s="109">
        <v>0.0</v>
      </c>
      <c r="AM1042" s="141">
        <v>0.0</v>
      </c>
      <c r="AN1042" s="80">
        <v>0.0</v>
      </c>
      <c r="AO1042" s="140">
        <v>0.0</v>
      </c>
      <c r="AP1042" s="109">
        <v>0.0</v>
      </c>
      <c r="AQ1042" s="109">
        <v>162.0</v>
      </c>
      <c r="AR1042" s="80">
        <v>162.0</v>
      </c>
      <c r="AS1042" s="110">
        <v>0.0</v>
      </c>
      <c r="AT1042" s="110">
        <v>0.0</v>
      </c>
      <c r="AU1042" s="110">
        <v>49.0</v>
      </c>
      <c r="AV1042" s="142">
        <v>65.0</v>
      </c>
      <c r="AW1042" s="80">
        <v>114.0</v>
      </c>
      <c r="AX1042" s="113">
        <v>507.0</v>
      </c>
      <c r="AY1042" s="117">
        <v>265.0</v>
      </c>
      <c r="AZ1042" s="328">
        <v>242.0</v>
      </c>
      <c r="BA1042" s="315">
        <v>0.0</v>
      </c>
      <c r="BB1042" s="316">
        <v>507.0</v>
      </c>
      <c r="BC1042" s="132" t="s">
        <v>178</v>
      </c>
      <c r="BD1042" s="132" t="s">
        <v>178</v>
      </c>
      <c r="BE1042" s="132" t="s">
        <v>178</v>
      </c>
      <c r="BF1042" s="83"/>
      <c r="BG1042" s="83">
        <v>1108656.0</v>
      </c>
      <c r="BH1042" s="112">
        <v>8.0</v>
      </c>
      <c r="BI1042" s="98" t="s">
        <v>155</v>
      </c>
      <c r="BJ1042" s="98" t="str">
        <f t="shared" si="1"/>
        <v>INTEGRAL</v>
      </c>
      <c r="BK1042" s="98" t="str">
        <f t="shared" si="2"/>
        <v>PROFISSIONAL</v>
      </c>
    </row>
    <row r="1043" ht="15.75" customHeight="1">
      <c r="A1043" s="111" t="s">
        <v>1281</v>
      </c>
      <c r="B1043" s="83" t="s">
        <v>2307</v>
      </c>
      <c r="C1043" s="83" t="s">
        <v>68</v>
      </c>
      <c r="D1043" s="83">
        <v>1108761.0</v>
      </c>
      <c r="E1043" s="83"/>
      <c r="F1043" s="83">
        <v>2.9158931E7</v>
      </c>
      <c r="G1043" s="219" t="s">
        <v>10171</v>
      </c>
      <c r="H1043" s="91" t="s">
        <v>10172</v>
      </c>
      <c r="I1043" s="114" t="s">
        <v>4175</v>
      </c>
      <c r="J1043" s="83" t="s">
        <v>150</v>
      </c>
      <c r="K1043" s="83" t="s">
        <v>151</v>
      </c>
      <c r="L1043" s="83" t="s">
        <v>152</v>
      </c>
      <c r="M1043" s="82" t="s">
        <v>10173</v>
      </c>
      <c r="N1043" s="82" t="s">
        <v>10174</v>
      </c>
      <c r="O1043" s="82" t="s">
        <v>10175</v>
      </c>
      <c r="P1043" s="82" t="s">
        <v>10176</v>
      </c>
      <c r="Q1043" s="82" t="s">
        <v>10177</v>
      </c>
      <c r="R1043" s="82" t="s">
        <v>10178</v>
      </c>
      <c r="S1043" s="82" t="s">
        <v>10179</v>
      </c>
      <c r="T1043" s="138">
        <v>7.0</v>
      </c>
      <c r="U1043" s="389">
        <v>7.0</v>
      </c>
      <c r="V1043" s="106">
        <v>0.0</v>
      </c>
      <c r="W1043" s="107">
        <v>0.0</v>
      </c>
      <c r="X1043" s="107">
        <v>0.0</v>
      </c>
      <c r="Y1043" s="107">
        <v>0.0</v>
      </c>
      <c r="Z1043" s="80">
        <v>0.0</v>
      </c>
      <c r="AA1043" s="140">
        <v>0.0</v>
      </c>
      <c r="AB1043" s="109">
        <v>0.0</v>
      </c>
      <c r="AC1043" s="109">
        <v>0.0</v>
      </c>
      <c r="AD1043" s="141">
        <v>0.0</v>
      </c>
      <c r="AE1043" s="80">
        <v>0.0</v>
      </c>
      <c r="AF1043" s="140">
        <v>263.0</v>
      </c>
      <c r="AG1043" s="109">
        <v>268.0</v>
      </c>
      <c r="AH1043" s="109">
        <v>0.0</v>
      </c>
      <c r="AI1043" s="141">
        <v>0.0</v>
      </c>
      <c r="AJ1043" s="80">
        <v>531.0</v>
      </c>
      <c r="AK1043" s="140">
        <v>0.0</v>
      </c>
      <c r="AL1043" s="109">
        <v>0.0</v>
      </c>
      <c r="AM1043" s="141">
        <v>0.0</v>
      </c>
      <c r="AN1043" s="80">
        <v>0.0</v>
      </c>
      <c r="AO1043" s="140">
        <v>0.0</v>
      </c>
      <c r="AP1043" s="109">
        <v>0.0</v>
      </c>
      <c r="AQ1043" s="109">
        <v>234.0</v>
      </c>
      <c r="AR1043" s="80">
        <v>234.0</v>
      </c>
      <c r="AS1043" s="110">
        <v>0.0</v>
      </c>
      <c r="AT1043" s="110">
        <v>0.0</v>
      </c>
      <c r="AU1043" s="110">
        <v>0.0</v>
      </c>
      <c r="AV1043" s="142">
        <v>0.0</v>
      </c>
      <c r="AW1043" s="80">
        <v>0.0</v>
      </c>
      <c r="AX1043" s="113">
        <v>765.0</v>
      </c>
      <c r="AY1043" s="117">
        <v>531.0</v>
      </c>
      <c r="AZ1043" s="328">
        <v>234.0</v>
      </c>
      <c r="BA1043" s="315">
        <v>0.0</v>
      </c>
      <c r="BB1043" s="316">
        <v>765.0</v>
      </c>
      <c r="BC1043" s="132" t="s">
        <v>178</v>
      </c>
      <c r="BD1043" s="132" t="s">
        <v>178</v>
      </c>
      <c r="BE1043" s="132" t="s">
        <v>178</v>
      </c>
      <c r="BF1043" s="156"/>
      <c r="BG1043" s="83">
        <v>1108761.0</v>
      </c>
      <c r="BH1043" s="112">
        <v>7.0</v>
      </c>
      <c r="BI1043" s="98" t="s">
        <v>155</v>
      </c>
      <c r="BJ1043" s="98" t="str">
        <f t="shared" si="1"/>
        <v>NÃO</v>
      </c>
      <c r="BK1043" s="98" t="str">
        <f t="shared" si="2"/>
        <v>NÃO</v>
      </c>
    </row>
    <row r="1044" ht="15.75" customHeight="1">
      <c r="A1044" s="111" t="s">
        <v>1281</v>
      </c>
      <c r="B1044" s="83" t="s">
        <v>2307</v>
      </c>
      <c r="C1044" s="83" t="s">
        <v>68</v>
      </c>
      <c r="D1044" s="83">
        <v>1108729.0</v>
      </c>
      <c r="E1044" s="83"/>
      <c r="F1044" s="83">
        <v>2.915885E7</v>
      </c>
      <c r="G1044" s="114" t="s">
        <v>10180</v>
      </c>
      <c r="H1044" s="91" t="s">
        <v>5492</v>
      </c>
      <c r="I1044" s="114" t="s">
        <v>149</v>
      </c>
      <c r="J1044" s="83" t="s">
        <v>2642</v>
      </c>
      <c r="K1044" s="83" t="s">
        <v>151</v>
      </c>
      <c r="L1044" s="83" t="s">
        <v>169</v>
      </c>
      <c r="M1044" s="82" t="s">
        <v>10181</v>
      </c>
      <c r="N1044" s="82" t="s">
        <v>10182</v>
      </c>
      <c r="O1044" s="82" t="s">
        <v>10183</v>
      </c>
      <c r="P1044" s="82" t="s">
        <v>10184</v>
      </c>
      <c r="Q1044" s="82"/>
      <c r="R1044" s="82"/>
      <c r="S1044" s="82" t="s">
        <v>10185</v>
      </c>
      <c r="T1044" s="138">
        <v>6.0</v>
      </c>
      <c r="U1044" s="339" t="s">
        <v>10186</v>
      </c>
      <c r="V1044" s="106">
        <v>0.0</v>
      </c>
      <c r="W1044" s="107">
        <v>0.0</v>
      </c>
      <c r="X1044" s="107">
        <v>0.0</v>
      </c>
      <c r="Y1044" s="107">
        <v>0.0</v>
      </c>
      <c r="Z1044" s="80">
        <v>0.0</v>
      </c>
      <c r="AA1044" s="140">
        <v>0.0</v>
      </c>
      <c r="AB1044" s="109">
        <v>0.0</v>
      </c>
      <c r="AC1044" s="109">
        <v>0.0</v>
      </c>
      <c r="AD1044" s="141">
        <v>0.0</v>
      </c>
      <c r="AE1044" s="80">
        <v>0.0</v>
      </c>
      <c r="AF1044" s="140">
        <v>29.0</v>
      </c>
      <c r="AG1044" s="109">
        <v>22.0</v>
      </c>
      <c r="AH1044" s="109">
        <v>0.0</v>
      </c>
      <c r="AI1044" s="141">
        <v>24.0</v>
      </c>
      <c r="AJ1044" s="80">
        <v>75.0</v>
      </c>
      <c r="AK1044" s="140">
        <v>0.0</v>
      </c>
      <c r="AL1044" s="109">
        <v>0.0</v>
      </c>
      <c r="AM1044" s="141">
        <v>0.0</v>
      </c>
      <c r="AN1044" s="80">
        <v>0.0</v>
      </c>
      <c r="AO1044" s="140">
        <v>0.0</v>
      </c>
      <c r="AP1044" s="109">
        <v>0.0</v>
      </c>
      <c r="AQ1044" s="109">
        <v>56.0</v>
      </c>
      <c r="AR1044" s="80">
        <v>56.0</v>
      </c>
      <c r="AS1044" s="110">
        <v>0.0</v>
      </c>
      <c r="AT1044" s="110">
        <v>0.0</v>
      </c>
      <c r="AU1044" s="110">
        <v>0.0</v>
      </c>
      <c r="AV1044" s="142">
        <v>0.0</v>
      </c>
      <c r="AW1044" s="80">
        <v>0.0</v>
      </c>
      <c r="AX1044" s="113">
        <v>131.0</v>
      </c>
      <c r="AY1044" s="117">
        <v>75.0</v>
      </c>
      <c r="AZ1044" s="328">
        <v>56.0</v>
      </c>
      <c r="BA1044" s="315">
        <v>0.0</v>
      </c>
      <c r="BB1044" s="316">
        <v>131.0</v>
      </c>
      <c r="BC1044" s="132" t="s">
        <v>373</v>
      </c>
      <c r="BD1044" s="132" t="s">
        <v>178</v>
      </c>
      <c r="BE1044" s="132" t="s">
        <v>178</v>
      </c>
      <c r="BF1044" s="123"/>
      <c r="BG1044" s="83">
        <v>1108729.0</v>
      </c>
      <c r="BH1044" s="112">
        <v>4.0</v>
      </c>
      <c r="BI1044" s="98" t="s">
        <v>155</v>
      </c>
      <c r="BJ1044" s="98" t="str">
        <f t="shared" si="1"/>
        <v>INTEGRAL</v>
      </c>
      <c r="BK1044" s="98" t="str">
        <f t="shared" si="2"/>
        <v>NÃO</v>
      </c>
    </row>
    <row r="1045" ht="15.75" customHeight="1">
      <c r="A1045" s="111" t="s">
        <v>1281</v>
      </c>
      <c r="B1045" s="83" t="s">
        <v>2307</v>
      </c>
      <c r="C1045" s="83" t="s">
        <v>68</v>
      </c>
      <c r="D1045" s="83">
        <v>1108591.0</v>
      </c>
      <c r="E1045" s="83"/>
      <c r="F1045" s="83">
        <v>2.9158893E7</v>
      </c>
      <c r="G1045" s="114" t="s">
        <v>10187</v>
      </c>
      <c r="H1045" s="91" t="s">
        <v>5502</v>
      </c>
      <c r="I1045" s="114" t="s">
        <v>5503</v>
      </c>
      <c r="J1045" s="83" t="s">
        <v>150</v>
      </c>
      <c r="K1045" s="83" t="s">
        <v>151</v>
      </c>
      <c r="L1045" s="83" t="s">
        <v>152</v>
      </c>
      <c r="M1045" s="82" t="s">
        <v>10188</v>
      </c>
      <c r="N1045" s="82" t="s">
        <v>10189</v>
      </c>
      <c r="O1045" s="82" t="s">
        <v>10190</v>
      </c>
      <c r="P1045" s="82" t="s">
        <v>10191</v>
      </c>
      <c r="Q1045" s="82"/>
      <c r="R1045" s="82"/>
      <c r="S1045" s="82" t="s">
        <v>10192</v>
      </c>
      <c r="T1045" s="138">
        <v>11.0</v>
      </c>
      <c r="U1045" s="323">
        <v>8.0</v>
      </c>
      <c r="V1045" s="106">
        <v>0.0</v>
      </c>
      <c r="W1045" s="107">
        <v>0.0</v>
      </c>
      <c r="X1045" s="107">
        <v>0.0</v>
      </c>
      <c r="Y1045" s="107">
        <v>0.0</v>
      </c>
      <c r="Z1045" s="80">
        <v>0.0</v>
      </c>
      <c r="AA1045" s="140">
        <v>0.0</v>
      </c>
      <c r="AB1045" s="109">
        <v>0.0</v>
      </c>
      <c r="AC1045" s="109">
        <v>0.0</v>
      </c>
      <c r="AD1045" s="141">
        <v>0.0</v>
      </c>
      <c r="AE1045" s="80">
        <v>0.0</v>
      </c>
      <c r="AF1045" s="140">
        <v>0.0</v>
      </c>
      <c r="AG1045" s="109">
        <v>0.0</v>
      </c>
      <c r="AH1045" s="109">
        <v>22.0</v>
      </c>
      <c r="AI1045" s="141">
        <v>114.0</v>
      </c>
      <c r="AJ1045" s="80">
        <v>136.0</v>
      </c>
      <c r="AK1045" s="140">
        <v>0.0</v>
      </c>
      <c r="AL1045" s="109">
        <v>0.0</v>
      </c>
      <c r="AM1045" s="141">
        <v>0.0</v>
      </c>
      <c r="AN1045" s="80">
        <v>0.0</v>
      </c>
      <c r="AO1045" s="140">
        <v>0.0</v>
      </c>
      <c r="AP1045" s="109">
        <v>0.0</v>
      </c>
      <c r="AQ1045" s="109">
        <v>89.0</v>
      </c>
      <c r="AR1045" s="80">
        <v>89.0</v>
      </c>
      <c r="AS1045" s="110">
        <v>0.0</v>
      </c>
      <c r="AT1045" s="110">
        <v>0.0</v>
      </c>
      <c r="AU1045" s="110">
        <v>0.0</v>
      </c>
      <c r="AV1045" s="142">
        <v>0.0</v>
      </c>
      <c r="AW1045" s="80">
        <v>0.0</v>
      </c>
      <c r="AX1045" s="113">
        <v>225.0</v>
      </c>
      <c r="AY1045" s="117">
        <v>114.0</v>
      </c>
      <c r="AZ1045" s="328">
        <v>111.0</v>
      </c>
      <c r="BA1045" s="315">
        <v>0.0</v>
      </c>
      <c r="BB1045" s="316">
        <v>225.0</v>
      </c>
      <c r="BC1045" s="132" t="s">
        <v>178</v>
      </c>
      <c r="BD1045" s="132" t="s">
        <v>178</v>
      </c>
      <c r="BE1045" s="132" t="s">
        <v>178</v>
      </c>
      <c r="BF1045" s="123"/>
      <c r="BG1045" s="83">
        <v>1108591.0</v>
      </c>
      <c r="BH1045" s="112">
        <v>8.0</v>
      </c>
      <c r="BI1045" s="98" t="s">
        <v>155</v>
      </c>
      <c r="BJ1045" s="98" t="str">
        <f t="shared" si="1"/>
        <v>INTEGRAL</v>
      </c>
      <c r="BK1045" s="98" t="str">
        <f t="shared" si="2"/>
        <v>NÃO</v>
      </c>
    </row>
    <row r="1046" ht="15.75" customHeight="1">
      <c r="A1046" s="111" t="s">
        <v>1281</v>
      </c>
      <c r="B1046" s="83" t="s">
        <v>2307</v>
      </c>
      <c r="C1046" s="83" t="s">
        <v>68</v>
      </c>
      <c r="D1046" s="83">
        <v>1108648.0</v>
      </c>
      <c r="E1046" s="83"/>
      <c r="F1046" s="83">
        <v>2.9158605E7</v>
      </c>
      <c r="G1046" s="365" t="s">
        <v>5512</v>
      </c>
      <c r="H1046" s="91" t="s">
        <v>5513</v>
      </c>
      <c r="I1046" s="187" t="s">
        <v>149</v>
      </c>
      <c r="J1046" s="83" t="s">
        <v>150</v>
      </c>
      <c r="K1046" s="83" t="s">
        <v>151</v>
      </c>
      <c r="L1046" s="83" t="s">
        <v>230</v>
      </c>
      <c r="M1046" s="82" t="s">
        <v>10193</v>
      </c>
      <c r="N1046" s="82" t="s">
        <v>10194</v>
      </c>
      <c r="O1046" s="82" t="s">
        <v>10195</v>
      </c>
      <c r="P1046" s="82" t="s">
        <v>10196</v>
      </c>
      <c r="Q1046" s="82" t="s">
        <v>10197</v>
      </c>
      <c r="R1046" s="82" t="s">
        <v>10198</v>
      </c>
      <c r="S1046" s="82" t="s">
        <v>10199</v>
      </c>
      <c r="T1046" s="138">
        <v>18.0</v>
      </c>
      <c r="U1046" s="339" t="s">
        <v>10200</v>
      </c>
      <c r="V1046" s="106">
        <v>0.0</v>
      </c>
      <c r="W1046" s="107">
        <v>0.0</v>
      </c>
      <c r="X1046" s="107">
        <v>0.0</v>
      </c>
      <c r="Y1046" s="107">
        <v>0.0</v>
      </c>
      <c r="Z1046" s="80">
        <v>0.0</v>
      </c>
      <c r="AA1046" s="140">
        <v>0.0</v>
      </c>
      <c r="AB1046" s="109">
        <v>0.0</v>
      </c>
      <c r="AC1046" s="109">
        <v>0.0</v>
      </c>
      <c r="AD1046" s="141">
        <v>0.0</v>
      </c>
      <c r="AE1046" s="80">
        <v>0.0</v>
      </c>
      <c r="AF1046" s="140">
        <v>0.0</v>
      </c>
      <c r="AG1046" s="109">
        <v>0.0</v>
      </c>
      <c r="AH1046" s="109">
        <v>0.0</v>
      </c>
      <c r="AI1046" s="141">
        <v>0.0</v>
      </c>
      <c r="AJ1046" s="80">
        <v>0.0</v>
      </c>
      <c r="AK1046" s="140">
        <v>0.0</v>
      </c>
      <c r="AL1046" s="109">
        <v>0.0</v>
      </c>
      <c r="AM1046" s="141">
        <v>0.0</v>
      </c>
      <c r="AN1046" s="80">
        <v>0.0</v>
      </c>
      <c r="AO1046" s="140">
        <v>0.0</v>
      </c>
      <c r="AP1046" s="109">
        <v>0.0</v>
      </c>
      <c r="AQ1046" s="109">
        <v>0.0</v>
      </c>
      <c r="AR1046" s="80">
        <v>0.0</v>
      </c>
      <c r="AS1046" s="110">
        <v>620.0</v>
      </c>
      <c r="AT1046" s="110">
        <v>463.0</v>
      </c>
      <c r="AU1046" s="110">
        <v>436.0</v>
      </c>
      <c r="AV1046" s="142">
        <v>0.0</v>
      </c>
      <c r="AW1046" s="80">
        <v>1519.0</v>
      </c>
      <c r="AX1046" s="113">
        <v>1519.0</v>
      </c>
      <c r="AY1046" s="117">
        <v>1083.0</v>
      </c>
      <c r="AZ1046" s="328">
        <v>436.0</v>
      </c>
      <c r="BA1046" s="315">
        <v>0.0</v>
      </c>
      <c r="BB1046" s="316">
        <v>1519.0</v>
      </c>
      <c r="BC1046" s="132" t="s">
        <v>178</v>
      </c>
      <c r="BD1046" s="132" t="s">
        <v>779</v>
      </c>
      <c r="BE1046" s="132" t="s">
        <v>178</v>
      </c>
      <c r="BF1046" s="123"/>
      <c r="BG1046" s="83">
        <v>1108648.0</v>
      </c>
      <c r="BH1046" s="112">
        <v>18.0</v>
      </c>
      <c r="BI1046" s="98" t="s">
        <v>155</v>
      </c>
      <c r="BJ1046" s="98" t="str">
        <f t="shared" si="1"/>
        <v>NÃO</v>
      </c>
      <c r="BK1046" s="98" t="str">
        <f t="shared" si="2"/>
        <v>PROFISSIONAL</v>
      </c>
    </row>
    <row r="1047" ht="15.75" customHeight="1">
      <c r="A1047" s="111" t="s">
        <v>1281</v>
      </c>
      <c r="B1047" s="83" t="s">
        <v>5517</v>
      </c>
      <c r="C1047" s="83" t="s">
        <v>68</v>
      </c>
      <c r="D1047" s="83">
        <v>1108532.0</v>
      </c>
      <c r="E1047" s="83"/>
      <c r="F1047" s="83">
        <v>2.9155894E7</v>
      </c>
      <c r="G1047" s="114" t="s">
        <v>10201</v>
      </c>
      <c r="H1047" s="91" t="s">
        <v>5540</v>
      </c>
      <c r="I1047" s="114" t="s">
        <v>149</v>
      </c>
      <c r="J1047" s="83" t="s">
        <v>150</v>
      </c>
      <c r="K1047" s="83" t="s">
        <v>151</v>
      </c>
      <c r="L1047" s="83" t="s">
        <v>169</v>
      </c>
      <c r="M1047" s="82" t="s">
        <v>10202</v>
      </c>
      <c r="N1047" s="82" t="s">
        <v>10203</v>
      </c>
      <c r="O1047" s="82"/>
      <c r="P1047" s="82"/>
      <c r="Q1047" s="82"/>
      <c r="R1047" s="82"/>
      <c r="S1047" s="82" t="s">
        <v>10204</v>
      </c>
      <c r="T1047" s="138">
        <v>8.0</v>
      </c>
      <c r="U1047" s="323" t="s">
        <v>10205</v>
      </c>
      <c r="V1047" s="106">
        <v>0.0</v>
      </c>
      <c r="W1047" s="107">
        <v>0.0</v>
      </c>
      <c r="X1047" s="107">
        <v>0.0</v>
      </c>
      <c r="Y1047" s="107">
        <v>0.0</v>
      </c>
      <c r="Z1047" s="80">
        <v>0.0</v>
      </c>
      <c r="AA1047" s="140">
        <v>0.0</v>
      </c>
      <c r="AB1047" s="109">
        <v>0.0</v>
      </c>
      <c r="AC1047" s="109">
        <v>0.0</v>
      </c>
      <c r="AD1047" s="141">
        <v>0.0</v>
      </c>
      <c r="AE1047" s="80">
        <v>0.0</v>
      </c>
      <c r="AF1047" s="140">
        <v>0.0</v>
      </c>
      <c r="AG1047" s="109">
        <v>0.0</v>
      </c>
      <c r="AH1047" s="109">
        <v>0.0</v>
      </c>
      <c r="AI1047" s="141">
        <v>16.0</v>
      </c>
      <c r="AJ1047" s="80">
        <v>16.0</v>
      </c>
      <c r="AK1047" s="140">
        <v>0.0</v>
      </c>
      <c r="AL1047" s="109">
        <v>0.0</v>
      </c>
      <c r="AM1047" s="141">
        <v>0.0</v>
      </c>
      <c r="AN1047" s="80">
        <v>0.0</v>
      </c>
      <c r="AO1047" s="140">
        <v>0.0</v>
      </c>
      <c r="AP1047" s="109">
        <v>0.0</v>
      </c>
      <c r="AQ1047" s="109">
        <v>89.0</v>
      </c>
      <c r="AR1047" s="80">
        <v>89.0</v>
      </c>
      <c r="AS1047" s="110">
        <v>0.0</v>
      </c>
      <c r="AT1047" s="110">
        <v>0.0</v>
      </c>
      <c r="AU1047" s="110">
        <v>57.0</v>
      </c>
      <c r="AV1047" s="142">
        <v>52.0</v>
      </c>
      <c r="AW1047" s="80">
        <v>109.0</v>
      </c>
      <c r="AX1047" s="113">
        <v>214.0</v>
      </c>
      <c r="AY1047" s="117">
        <v>68.0</v>
      </c>
      <c r="AZ1047" s="328">
        <v>146.0</v>
      </c>
      <c r="BA1047" s="315">
        <v>0.0</v>
      </c>
      <c r="BB1047" s="316">
        <v>214.0</v>
      </c>
      <c r="BC1047" s="132" t="s">
        <v>178</v>
      </c>
      <c r="BD1047" s="132" t="s">
        <v>178</v>
      </c>
      <c r="BE1047" s="132" t="s">
        <v>178</v>
      </c>
      <c r="BF1047" s="123"/>
      <c r="BG1047" s="83">
        <v>1108532.0</v>
      </c>
      <c r="BH1047" s="112">
        <v>7.0</v>
      </c>
      <c r="BI1047" s="98" t="s">
        <v>155</v>
      </c>
      <c r="BJ1047" s="98" t="str">
        <f t="shared" si="1"/>
        <v>INTEGRAL</v>
      </c>
      <c r="BK1047" s="98" t="str">
        <f t="shared" si="2"/>
        <v>PROFISSIONAL</v>
      </c>
    </row>
    <row r="1048" ht="15.75" customHeight="1">
      <c r="A1048" s="111" t="s">
        <v>1281</v>
      </c>
      <c r="B1048" s="83" t="s">
        <v>5517</v>
      </c>
      <c r="C1048" s="83" t="s">
        <v>68</v>
      </c>
      <c r="D1048" s="83">
        <v>1108524.0</v>
      </c>
      <c r="E1048" s="83"/>
      <c r="F1048" s="83">
        <v>2.9155673E7</v>
      </c>
      <c r="G1048" s="114" t="s">
        <v>10206</v>
      </c>
      <c r="H1048" s="91" t="s">
        <v>5524</v>
      </c>
      <c r="I1048" s="114" t="s">
        <v>149</v>
      </c>
      <c r="J1048" s="83" t="s">
        <v>150</v>
      </c>
      <c r="K1048" s="83" t="s">
        <v>151</v>
      </c>
      <c r="L1048" s="83" t="s">
        <v>152</v>
      </c>
      <c r="M1048" s="82" t="s">
        <v>10207</v>
      </c>
      <c r="N1048" s="82" t="s">
        <v>10208</v>
      </c>
      <c r="O1048" s="82" t="s">
        <v>10209</v>
      </c>
      <c r="P1048" s="82" t="s">
        <v>10210</v>
      </c>
      <c r="Q1048" s="82" t="s">
        <v>10211</v>
      </c>
      <c r="R1048" s="82" t="s">
        <v>10212</v>
      </c>
      <c r="S1048" s="82" t="s">
        <v>10213</v>
      </c>
      <c r="T1048" s="138">
        <v>14.0</v>
      </c>
      <c r="U1048" s="389" t="s">
        <v>10214</v>
      </c>
      <c r="V1048" s="106">
        <v>0.0</v>
      </c>
      <c r="W1048" s="107">
        <v>0.0</v>
      </c>
      <c r="X1048" s="107">
        <v>0.0</v>
      </c>
      <c r="Y1048" s="107">
        <v>0.0</v>
      </c>
      <c r="Z1048" s="80">
        <v>0.0</v>
      </c>
      <c r="AA1048" s="140">
        <v>0.0</v>
      </c>
      <c r="AB1048" s="109">
        <v>0.0</v>
      </c>
      <c r="AC1048" s="109">
        <v>0.0</v>
      </c>
      <c r="AD1048" s="141">
        <v>0.0</v>
      </c>
      <c r="AE1048" s="80">
        <v>0.0</v>
      </c>
      <c r="AF1048" s="140">
        <v>372.0</v>
      </c>
      <c r="AG1048" s="109">
        <v>230.0</v>
      </c>
      <c r="AH1048" s="109">
        <v>69.0</v>
      </c>
      <c r="AI1048" s="141">
        <v>0.0</v>
      </c>
      <c r="AJ1048" s="80">
        <v>671.0</v>
      </c>
      <c r="AK1048" s="140">
        <v>0.0</v>
      </c>
      <c r="AL1048" s="109">
        <v>0.0</v>
      </c>
      <c r="AM1048" s="141">
        <v>0.0</v>
      </c>
      <c r="AN1048" s="80">
        <v>0.0</v>
      </c>
      <c r="AO1048" s="140">
        <v>0.0</v>
      </c>
      <c r="AP1048" s="109">
        <v>0.0</v>
      </c>
      <c r="AQ1048" s="109">
        <v>170.0</v>
      </c>
      <c r="AR1048" s="80">
        <v>170.0</v>
      </c>
      <c r="AS1048" s="110">
        <v>0.0</v>
      </c>
      <c r="AT1048" s="110">
        <v>0.0</v>
      </c>
      <c r="AU1048" s="110">
        <v>0.0</v>
      </c>
      <c r="AV1048" s="142">
        <v>0.0</v>
      </c>
      <c r="AW1048" s="80">
        <v>0.0</v>
      </c>
      <c r="AX1048" s="113">
        <v>841.0</v>
      </c>
      <c r="AY1048" s="117">
        <v>602.0</v>
      </c>
      <c r="AZ1048" s="328">
        <v>239.0</v>
      </c>
      <c r="BA1048" s="315">
        <v>0.0</v>
      </c>
      <c r="BB1048" s="316">
        <v>841.0</v>
      </c>
      <c r="BC1048" s="132" t="s">
        <v>178</v>
      </c>
      <c r="BD1048" s="132" t="s">
        <v>178</v>
      </c>
      <c r="BE1048" s="132" t="s">
        <v>178</v>
      </c>
      <c r="BF1048" s="123"/>
      <c r="BG1048" s="83">
        <v>1108524.0</v>
      </c>
      <c r="BH1048" s="112">
        <v>12.0</v>
      </c>
      <c r="BI1048" s="98" t="s">
        <v>155</v>
      </c>
      <c r="BJ1048" s="98" t="str">
        <f t="shared" si="1"/>
        <v>NÃO</v>
      </c>
      <c r="BK1048" s="98" t="str">
        <f t="shared" si="2"/>
        <v>NÃO</v>
      </c>
    </row>
    <row r="1049" ht="15.75" customHeight="1">
      <c r="A1049" s="111" t="s">
        <v>1281</v>
      </c>
      <c r="B1049" s="83" t="s">
        <v>5517</v>
      </c>
      <c r="C1049" s="83" t="s">
        <v>164</v>
      </c>
      <c r="D1049" s="83">
        <v>1108524.0</v>
      </c>
      <c r="E1049" s="83">
        <v>1178466.0</v>
      </c>
      <c r="F1049" s="83"/>
      <c r="G1049" s="114" t="s">
        <v>10215</v>
      </c>
      <c r="H1049" s="91" t="s">
        <v>5544</v>
      </c>
      <c r="I1049" s="187" t="s">
        <v>5545</v>
      </c>
      <c r="J1049" s="83" t="s">
        <v>209</v>
      </c>
      <c r="K1049" s="83" t="s">
        <v>168</v>
      </c>
      <c r="L1049" s="83" t="s">
        <v>169</v>
      </c>
      <c r="M1049" s="82" t="s">
        <v>10207</v>
      </c>
      <c r="N1049" s="82" t="s">
        <v>10208</v>
      </c>
      <c r="O1049" s="82" t="s">
        <v>10209</v>
      </c>
      <c r="P1049" s="82" t="s">
        <v>10210</v>
      </c>
      <c r="Q1049" s="82" t="s">
        <v>10211</v>
      </c>
      <c r="R1049" s="82" t="s">
        <v>10212</v>
      </c>
      <c r="S1049" s="82" t="s">
        <v>10213</v>
      </c>
      <c r="T1049" s="138">
        <v>3.0</v>
      </c>
      <c r="U1049" s="341">
        <v>3.0</v>
      </c>
      <c r="V1049" s="106">
        <v>0.0</v>
      </c>
      <c r="W1049" s="107">
        <v>0.0</v>
      </c>
      <c r="X1049" s="107">
        <v>0.0</v>
      </c>
      <c r="Y1049" s="107">
        <v>0.0</v>
      </c>
      <c r="Z1049" s="80">
        <v>0.0</v>
      </c>
      <c r="AA1049" s="140">
        <v>0.0</v>
      </c>
      <c r="AB1049" s="109">
        <v>0.0</v>
      </c>
      <c r="AC1049" s="109">
        <v>0.0</v>
      </c>
      <c r="AD1049" s="141">
        <v>0.0</v>
      </c>
      <c r="AE1049" s="80">
        <v>0.0</v>
      </c>
      <c r="AF1049" s="140">
        <v>0.0</v>
      </c>
      <c r="AG1049" s="109">
        <v>0.0</v>
      </c>
      <c r="AH1049" s="109">
        <v>60.0</v>
      </c>
      <c r="AI1049" s="141">
        <v>0.0</v>
      </c>
      <c r="AJ1049" s="80">
        <v>60.0</v>
      </c>
      <c r="AK1049" s="140">
        <v>0.0</v>
      </c>
      <c r="AL1049" s="109">
        <v>0.0</v>
      </c>
      <c r="AM1049" s="141">
        <v>0.0</v>
      </c>
      <c r="AN1049" s="80">
        <v>0.0</v>
      </c>
      <c r="AO1049" s="140">
        <v>0.0</v>
      </c>
      <c r="AP1049" s="109">
        <v>0.0</v>
      </c>
      <c r="AQ1049" s="109">
        <v>0.0</v>
      </c>
      <c r="AR1049" s="80">
        <v>0.0</v>
      </c>
      <c r="AS1049" s="110">
        <v>0.0</v>
      </c>
      <c r="AT1049" s="110">
        <v>0.0</v>
      </c>
      <c r="AU1049" s="110">
        <v>0.0</v>
      </c>
      <c r="AV1049" s="142">
        <v>0.0</v>
      </c>
      <c r="AW1049" s="80">
        <v>0.0</v>
      </c>
      <c r="AX1049" s="113">
        <v>60.0</v>
      </c>
      <c r="AY1049" s="117">
        <v>0.0</v>
      </c>
      <c r="AZ1049" s="328">
        <v>60.0</v>
      </c>
      <c r="BA1049" s="315">
        <v>0.0</v>
      </c>
      <c r="BB1049" s="316">
        <v>60.0</v>
      </c>
      <c r="BC1049" s="132" t="s">
        <v>373</v>
      </c>
      <c r="BD1049" s="132" t="s">
        <v>178</v>
      </c>
      <c r="BE1049" s="132" t="s">
        <v>178</v>
      </c>
      <c r="BF1049" s="123"/>
      <c r="BG1049" s="83">
        <v>1178466.0</v>
      </c>
      <c r="BH1049" s="112">
        <v>3.0</v>
      </c>
      <c r="BI1049" s="98" t="s">
        <v>155</v>
      </c>
      <c r="BJ1049" s="98" t="str">
        <f t="shared" si="1"/>
        <v>NÃO</v>
      </c>
      <c r="BK1049" s="98" t="str">
        <f t="shared" si="2"/>
        <v>NÃO</v>
      </c>
    </row>
    <row r="1050" ht="15.75" customHeight="1">
      <c r="A1050" s="111" t="s">
        <v>1281</v>
      </c>
      <c r="B1050" s="83" t="s">
        <v>5517</v>
      </c>
      <c r="C1050" s="83" t="s">
        <v>164</v>
      </c>
      <c r="D1050" s="83">
        <v>1108524.0</v>
      </c>
      <c r="E1050" s="83">
        <v>1178465.0</v>
      </c>
      <c r="F1050" s="83"/>
      <c r="G1050" s="114" t="s">
        <v>10216</v>
      </c>
      <c r="H1050" s="91" t="s">
        <v>5548</v>
      </c>
      <c r="I1050" s="187" t="s">
        <v>5549</v>
      </c>
      <c r="J1050" s="83" t="s">
        <v>471</v>
      </c>
      <c r="K1050" s="83" t="s">
        <v>151</v>
      </c>
      <c r="L1050" s="83" t="s">
        <v>169</v>
      </c>
      <c r="M1050" s="82" t="s">
        <v>10207</v>
      </c>
      <c r="N1050" s="82" t="s">
        <v>10208</v>
      </c>
      <c r="O1050" s="82" t="s">
        <v>10209</v>
      </c>
      <c r="P1050" s="82" t="s">
        <v>10210</v>
      </c>
      <c r="Q1050" s="82" t="s">
        <v>10211</v>
      </c>
      <c r="R1050" s="82" t="s">
        <v>10212</v>
      </c>
      <c r="S1050" s="82" t="s">
        <v>10213</v>
      </c>
      <c r="T1050" s="138">
        <v>2.0</v>
      </c>
      <c r="U1050" s="387">
        <v>3.0</v>
      </c>
      <c r="V1050" s="106">
        <v>0.0</v>
      </c>
      <c r="W1050" s="107">
        <v>0.0</v>
      </c>
      <c r="X1050" s="107">
        <v>0.0</v>
      </c>
      <c r="Y1050" s="107">
        <v>0.0</v>
      </c>
      <c r="Z1050" s="80">
        <v>0.0</v>
      </c>
      <c r="AA1050" s="140">
        <v>0.0</v>
      </c>
      <c r="AB1050" s="109">
        <v>0.0</v>
      </c>
      <c r="AC1050" s="109">
        <v>0.0</v>
      </c>
      <c r="AD1050" s="141">
        <v>0.0</v>
      </c>
      <c r="AE1050" s="80">
        <v>0.0</v>
      </c>
      <c r="AF1050" s="140">
        <v>0.0</v>
      </c>
      <c r="AG1050" s="109">
        <v>23.0</v>
      </c>
      <c r="AH1050" s="109">
        <v>16.0</v>
      </c>
      <c r="AI1050" s="141">
        <v>0.0</v>
      </c>
      <c r="AJ1050" s="80">
        <v>39.0</v>
      </c>
      <c r="AK1050" s="140">
        <v>0.0</v>
      </c>
      <c r="AL1050" s="109">
        <v>0.0</v>
      </c>
      <c r="AM1050" s="141">
        <v>0.0</v>
      </c>
      <c r="AN1050" s="80">
        <v>0.0</v>
      </c>
      <c r="AO1050" s="140">
        <v>0.0</v>
      </c>
      <c r="AP1050" s="109">
        <v>0.0</v>
      </c>
      <c r="AQ1050" s="109">
        <v>0.0</v>
      </c>
      <c r="AR1050" s="80">
        <v>0.0</v>
      </c>
      <c r="AS1050" s="110">
        <v>0.0</v>
      </c>
      <c r="AT1050" s="110">
        <v>0.0</v>
      </c>
      <c r="AU1050" s="110">
        <v>0.0</v>
      </c>
      <c r="AV1050" s="142">
        <v>0.0</v>
      </c>
      <c r="AW1050" s="80">
        <v>0.0</v>
      </c>
      <c r="AX1050" s="113">
        <v>39.0</v>
      </c>
      <c r="AY1050" s="117">
        <v>23.0</v>
      </c>
      <c r="AZ1050" s="328">
        <v>16.0</v>
      </c>
      <c r="BA1050" s="315">
        <v>0.0</v>
      </c>
      <c r="BB1050" s="316">
        <v>39.0</v>
      </c>
      <c r="BC1050" s="132" t="s">
        <v>373</v>
      </c>
      <c r="BD1050" s="132" t="s">
        <v>178</v>
      </c>
      <c r="BE1050" s="132" t="s">
        <v>178</v>
      </c>
      <c r="BF1050" s="123"/>
      <c r="BG1050" s="83">
        <v>1178465.0</v>
      </c>
      <c r="BH1050" s="112">
        <v>3.0</v>
      </c>
      <c r="BI1050" s="98" t="s">
        <v>155</v>
      </c>
      <c r="BJ1050" s="98" t="str">
        <f t="shared" si="1"/>
        <v>NÃO</v>
      </c>
      <c r="BK1050" s="98" t="str">
        <f t="shared" si="2"/>
        <v>NÃO</v>
      </c>
    </row>
    <row r="1051" ht="15.75" customHeight="1">
      <c r="A1051" s="111" t="s">
        <v>1281</v>
      </c>
      <c r="B1051" s="83" t="s">
        <v>2328</v>
      </c>
      <c r="C1051" s="83" t="s">
        <v>68</v>
      </c>
      <c r="D1051" s="83">
        <v>1114613.0</v>
      </c>
      <c r="E1051" s="83"/>
      <c r="F1051" s="83">
        <v>2.915319E7</v>
      </c>
      <c r="G1051" s="119" t="s">
        <v>10217</v>
      </c>
      <c r="H1051" s="108" t="s">
        <v>10218</v>
      </c>
      <c r="I1051" s="187" t="s">
        <v>149</v>
      </c>
      <c r="J1051" s="83" t="s">
        <v>150</v>
      </c>
      <c r="K1051" s="83" t="s">
        <v>151</v>
      </c>
      <c r="L1051" s="83" t="s">
        <v>152</v>
      </c>
      <c r="M1051" s="82" t="s">
        <v>10219</v>
      </c>
      <c r="N1051" s="82" t="s">
        <v>10220</v>
      </c>
      <c r="O1051" s="82" t="s">
        <v>10221</v>
      </c>
      <c r="P1051" s="82" t="s">
        <v>10222</v>
      </c>
      <c r="Q1051" s="82"/>
      <c r="R1051" s="82"/>
      <c r="S1051" s="82"/>
      <c r="T1051" s="138">
        <v>10.0</v>
      </c>
      <c r="U1051" s="352" t="s">
        <v>10223</v>
      </c>
      <c r="V1051" s="106">
        <v>0.0</v>
      </c>
      <c r="W1051" s="107">
        <v>0.0</v>
      </c>
      <c r="X1051" s="107">
        <v>0.0</v>
      </c>
      <c r="Y1051" s="107">
        <v>0.0</v>
      </c>
      <c r="Z1051" s="80">
        <v>0.0</v>
      </c>
      <c r="AA1051" s="140">
        <v>0.0</v>
      </c>
      <c r="AB1051" s="109">
        <v>0.0</v>
      </c>
      <c r="AC1051" s="109">
        <v>0.0</v>
      </c>
      <c r="AD1051" s="141">
        <v>0.0</v>
      </c>
      <c r="AE1051" s="80">
        <v>0.0</v>
      </c>
      <c r="AF1051" s="140">
        <v>79.0</v>
      </c>
      <c r="AG1051" s="109">
        <v>158.0</v>
      </c>
      <c r="AH1051" s="109">
        <v>0.0</v>
      </c>
      <c r="AI1051" s="141">
        <v>313.0</v>
      </c>
      <c r="AJ1051" s="80">
        <v>550.0</v>
      </c>
      <c r="AK1051" s="140">
        <v>0.0</v>
      </c>
      <c r="AL1051" s="109">
        <v>0.0</v>
      </c>
      <c r="AM1051" s="141">
        <v>0.0</v>
      </c>
      <c r="AN1051" s="80">
        <v>0.0</v>
      </c>
      <c r="AO1051" s="140">
        <v>0.0</v>
      </c>
      <c r="AP1051" s="109">
        <v>0.0</v>
      </c>
      <c r="AQ1051" s="109">
        <v>84.0</v>
      </c>
      <c r="AR1051" s="80">
        <v>84.0</v>
      </c>
      <c r="AS1051" s="110">
        <v>93.0</v>
      </c>
      <c r="AT1051" s="110">
        <v>23.0</v>
      </c>
      <c r="AU1051" s="110">
        <v>0.0</v>
      </c>
      <c r="AV1051" s="142">
        <v>0.0</v>
      </c>
      <c r="AW1051" s="80">
        <v>116.0</v>
      </c>
      <c r="AX1051" s="113">
        <v>750.0</v>
      </c>
      <c r="AY1051" s="117">
        <v>666.0</v>
      </c>
      <c r="AZ1051" s="328">
        <v>84.0</v>
      </c>
      <c r="BA1051" s="315">
        <v>0.0</v>
      </c>
      <c r="BB1051" s="316">
        <v>750.0</v>
      </c>
      <c r="BC1051" s="132" t="s">
        <v>178</v>
      </c>
      <c r="BD1051" s="132" t="s">
        <v>178</v>
      </c>
      <c r="BE1051" s="132" t="s">
        <v>178</v>
      </c>
      <c r="BF1051" s="123"/>
      <c r="BG1051" s="83">
        <v>1114613.0</v>
      </c>
      <c r="BH1051" s="98">
        <v>17.0</v>
      </c>
      <c r="BI1051" s="98" t="s">
        <v>162</v>
      </c>
      <c r="BJ1051" s="98" t="str">
        <f t="shared" si="1"/>
        <v>INTEGRAL</v>
      </c>
      <c r="BK1051" s="98" t="str">
        <f t="shared" si="2"/>
        <v>PROFISSIONAL</v>
      </c>
    </row>
    <row r="1052" ht="15.75" customHeight="1">
      <c r="A1052" s="111" t="s">
        <v>1281</v>
      </c>
      <c r="B1052" s="83" t="s">
        <v>2328</v>
      </c>
      <c r="C1052" s="83" t="s">
        <v>164</v>
      </c>
      <c r="D1052" s="83">
        <v>1114613.0</v>
      </c>
      <c r="E1052" s="83">
        <v>1179488.0</v>
      </c>
      <c r="F1052" s="83"/>
      <c r="G1052" s="119" t="s">
        <v>10224</v>
      </c>
      <c r="H1052" s="91" t="s">
        <v>10225</v>
      </c>
      <c r="I1052" s="187" t="s">
        <v>10226</v>
      </c>
      <c r="J1052" s="83" t="s">
        <v>822</v>
      </c>
      <c r="K1052" s="83" t="s">
        <v>168</v>
      </c>
      <c r="L1052" s="83" t="s">
        <v>169</v>
      </c>
      <c r="M1052" s="82" t="s">
        <v>10219</v>
      </c>
      <c r="N1052" s="82" t="s">
        <v>10220</v>
      </c>
      <c r="O1052" s="82" t="s">
        <v>10221</v>
      </c>
      <c r="P1052" s="82" t="s">
        <v>10222</v>
      </c>
      <c r="Q1052" s="82"/>
      <c r="R1052" s="82"/>
      <c r="S1052" s="82"/>
      <c r="T1052" s="138">
        <v>1.0</v>
      </c>
      <c r="U1052" s="341">
        <v>1.0</v>
      </c>
      <c r="V1052" s="106">
        <v>0.0</v>
      </c>
      <c r="W1052" s="107">
        <v>0.0</v>
      </c>
      <c r="X1052" s="107">
        <v>0.0</v>
      </c>
      <c r="Y1052" s="107">
        <v>0.0</v>
      </c>
      <c r="Z1052" s="80">
        <v>0.0</v>
      </c>
      <c r="AA1052" s="140">
        <v>0.0</v>
      </c>
      <c r="AB1052" s="109">
        <v>0.0</v>
      </c>
      <c r="AC1052" s="109">
        <v>0.0</v>
      </c>
      <c r="AD1052" s="141">
        <v>0.0</v>
      </c>
      <c r="AE1052" s="80">
        <v>0.0</v>
      </c>
      <c r="AF1052" s="140">
        <v>11.0</v>
      </c>
      <c r="AG1052" s="109">
        <v>0.0</v>
      </c>
      <c r="AH1052" s="109">
        <v>0.0</v>
      </c>
      <c r="AI1052" s="141">
        <v>0.0</v>
      </c>
      <c r="AJ1052" s="80">
        <v>11.0</v>
      </c>
      <c r="AK1052" s="140">
        <v>0.0</v>
      </c>
      <c r="AL1052" s="109">
        <v>0.0</v>
      </c>
      <c r="AM1052" s="141">
        <v>0.0</v>
      </c>
      <c r="AN1052" s="80">
        <v>0.0</v>
      </c>
      <c r="AO1052" s="140">
        <v>0.0</v>
      </c>
      <c r="AP1052" s="109">
        <v>0.0</v>
      </c>
      <c r="AQ1052" s="109">
        <v>0.0</v>
      </c>
      <c r="AR1052" s="80">
        <v>0.0</v>
      </c>
      <c r="AS1052" s="110">
        <v>0.0</v>
      </c>
      <c r="AT1052" s="110">
        <v>0.0</v>
      </c>
      <c r="AU1052" s="110">
        <v>0.0</v>
      </c>
      <c r="AV1052" s="142">
        <v>0.0</v>
      </c>
      <c r="AW1052" s="80">
        <v>0.0</v>
      </c>
      <c r="AX1052" s="113">
        <v>11.0</v>
      </c>
      <c r="AY1052" s="117">
        <v>11.0</v>
      </c>
      <c r="AZ1052" s="328">
        <v>0.0</v>
      </c>
      <c r="BA1052" s="315">
        <v>0.0</v>
      </c>
      <c r="BB1052" s="316">
        <v>11.0</v>
      </c>
      <c r="BC1052" s="132" t="s">
        <v>373</v>
      </c>
      <c r="BD1052" s="132" t="s">
        <v>178</v>
      </c>
      <c r="BE1052" s="132" t="s">
        <v>178</v>
      </c>
      <c r="BF1052" s="123"/>
      <c r="BG1052" s="83">
        <v>1179488.0</v>
      </c>
      <c r="BH1052" s="112">
        <v>1.0</v>
      </c>
      <c r="BI1052" s="98" t="s">
        <v>155</v>
      </c>
      <c r="BJ1052" s="98" t="str">
        <f t="shared" si="1"/>
        <v>NÃO</v>
      </c>
      <c r="BK1052" s="98" t="str">
        <f t="shared" si="2"/>
        <v>NÃO</v>
      </c>
    </row>
    <row r="1053" ht="72.75" customHeight="1">
      <c r="A1053" s="111" t="s">
        <v>1281</v>
      </c>
      <c r="B1053" s="83" t="s">
        <v>2148</v>
      </c>
      <c r="C1053" s="83" t="s">
        <v>68</v>
      </c>
      <c r="D1053" s="83">
        <v>1179222.0</v>
      </c>
      <c r="E1053" s="83"/>
      <c r="F1053" s="83">
        <v>2.9456495E7</v>
      </c>
      <c r="G1053" s="153" t="s">
        <v>10227</v>
      </c>
      <c r="H1053" s="219" t="s">
        <v>5555</v>
      </c>
      <c r="I1053" s="187" t="s">
        <v>149</v>
      </c>
      <c r="J1053" s="83" t="s">
        <v>672</v>
      </c>
      <c r="K1053" s="83" t="s">
        <v>151</v>
      </c>
      <c r="L1053" s="83" t="s">
        <v>76</v>
      </c>
      <c r="M1053" s="82" t="s">
        <v>10228</v>
      </c>
      <c r="N1053" s="82" t="s">
        <v>10229</v>
      </c>
      <c r="O1053" s="82" t="s">
        <v>10230</v>
      </c>
      <c r="P1053" s="82" t="s">
        <v>10231</v>
      </c>
      <c r="Q1053" s="82"/>
      <c r="R1053" s="82"/>
      <c r="S1053" s="82" t="s">
        <v>10232</v>
      </c>
      <c r="T1053" s="138">
        <v>9.0</v>
      </c>
      <c r="U1053" s="551">
        <v>9.0</v>
      </c>
      <c r="V1053" s="106">
        <v>0.0</v>
      </c>
      <c r="W1053" s="107">
        <v>0.0</v>
      </c>
      <c r="X1053" s="107">
        <v>0.0</v>
      </c>
      <c r="Y1053" s="107">
        <v>0.0</v>
      </c>
      <c r="Z1053" s="80">
        <v>0.0</v>
      </c>
      <c r="AA1053" s="140">
        <v>0.0</v>
      </c>
      <c r="AB1053" s="109">
        <v>0.0</v>
      </c>
      <c r="AC1053" s="109">
        <v>0.0</v>
      </c>
      <c r="AD1053" s="141">
        <v>0.0</v>
      </c>
      <c r="AE1053" s="80">
        <v>0.0</v>
      </c>
      <c r="AF1053" s="140">
        <v>249.0</v>
      </c>
      <c r="AG1053" s="109">
        <v>62.0</v>
      </c>
      <c r="AH1053" s="109">
        <v>29.0</v>
      </c>
      <c r="AI1053" s="141">
        <v>39.0</v>
      </c>
      <c r="AJ1053" s="80">
        <v>379.0</v>
      </c>
      <c r="AK1053" s="140">
        <v>0.0</v>
      </c>
      <c r="AL1053" s="109">
        <v>0.0</v>
      </c>
      <c r="AM1053" s="141">
        <v>0.0</v>
      </c>
      <c r="AN1053" s="80">
        <v>0.0</v>
      </c>
      <c r="AO1053" s="140">
        <v>0.0</v>
      </c>
      <c r="AP1053" s="109">
        <v>0.0</v>
      </c>
      <c r="AQ1053" s="109">
        <v>89.0</v>
      </c>
      <c r="AR1053" s="80">
        <v>89.0</v>
      </c>
      <c r="AS1053" s="110">
        <v>0.0</v>
      </c>
      <c r="AT1053" s="110">
        <v>0.0</v>
      </c>
      <c r="AU1053" s="110">
        <v>0.0</v>
      </c>
      <c r="AV1053" s="142">
        <v>0.0</v>
      </c>
      <c r="AW1053" s="80">
        <v>0.0</v>
      </c>
      <c r="AX1053" s="113">
        <v>468.0</v>
      </c>
      <c r="AY1053" s="117">
        <v>350.0</v>
      </c>
      <c r="AZ1053" s="328">
        <v>118.0</v>
      </c>
      <c r="BA1053" s="315">
        <v>0.0</v>
      </c>
      <c r="BB1053" s="316">
        <v>468.0</v>
      </c>
      <c r="BC1053" s="132" t="s">
        <v>373</v>
      </c>
      <c r="BD1053" s="132" t="s">
        <v>178</v>
      </c>
      <c r="BE1053" s="132" t="s">
        <v>178</v>
      </c>
      <c r="BF1053" s="123"/>
      <c r="BG1053" s="83">
        <v>1179222.0</v>
      </c>
      <c r="BH1053" s="112">
        <v>9.0</v>
      </c>
      <c r="BI1053" s="98" t="s">
        <v>155</v>
      </c>
      <c r="BJ1053" s="98" t="str">
        <f t="shared" si="1"/>
        <v>INTEGRAL</v>
      </c>
      <c r="BK1053" s="98" t="str">
        <f t="shared" si="2"/>
        <v>NÃO</v>
      </c>
    </row>
    <row r="1054" ht="15.75" customHeight="1">
      <c r="A1054" s="111" t="s">
        <v>1281</v>
      </c>
      <c r="B1054" s="83" t="s">
        <v>2148</v>
      </c>
      <c r="C1054" s="83" t="s">
        <v>68</v>
      </c>
      <c r="D1054" s="83">
        <v>1108508.0</v>
      </c>
      <c r="E1054" s="83"/>
      <c r="F1054" s="83">
        <v>2.9156688E7</v>
      </c>
      <c r="G1054" s="114" t="s">
        <v>2150</v>
      </c>
      <c r="H1054" s="91" t="s">
        <v>10233</v>
      </c>
      <c r="I1054" s="114" t="s">
        <v>2369</v>
      </c>
      <c r="J1054" s="83" t="s">
        <v>150</v>
      </c>
      <c r="K1054" s="83" t="s">
        <v>151</v>
      </c>
      <c r="L1054" s="83" t="s">
        <v>76</v>
      </c>
      <c r="M1054" s="82" t="s">
        <v>10234</v>
      </c>
      <c r="N1054" s="82" t="s">
        <v>10235</v>
      </c>
      <c r="O1054" s="82"/>
      <c r="P1054" s="82"/>
      <c r="Q1054" s="82"/>
      <c r="R1054" s="82"/>
      <c r="S1054" s="82" t="s">
        <v>10236</v>
      </c>
      <c r="T1054" s="138">
        <v>6.0</v>
      </c>
      <c r="U1054" s="323">
        <v>4.0</v>
      </c>
      <c r="V1054" s="106">
        <v>0.0</v>
      </c>
      <c r="W1054" s="107">
        <v>0.0</v>
      </c>
      <c r="X1054" s="107">
        <v>0.0</v>
      </c>
      <c r="Y1054" s="107">
        <v>0.0</v>
      </c>
      <c r="Z1054" s="80">
        <v>0.0</v>
      </c>
      <c r="AA1054" s="140">
        <v>0.0</v>
      </c>
      <c r="AB1054" s="109">
        <v>0.0</v>
      </c>
      <c r="AC1054" s="109">
        <v>0.0</v>
      </c>
      <c r="AD1054" s="141">
        <v>0.0</v>
      </c>
      <c r="AE1054" s="80">
        <v>0.0</v>
      </c>
      <c r="AF1054" s="140">
        <v>58.0</v>
      </c>
      <c r="AG1054" s="109">
        <v>36.0</v>
      </c>
      <c r="AH1054" s="109">
        <v>70.0</v>
      </c>
      <c r="AI1054" s="141">
        <v>7.0</v>
      </c>
      <c r="AJ1054" s="80">
        <v>171.0</v>
      </c>
      <c r="AK1054" s="140">
        <v>0.0</v>
      </c>
      <c r="AL1054" s="109">
        <v>0.0</v>
      </c>
      <c r="AM1054" s="141">
        <v>0.0</v>
      </c>
      <c r="AN1054" s="80">
        <v>0.0</v>
      </c>
      <c r="AO1054" s="140">
        <v>0.0</v>
      </c>
      <c r="AP1054" s="109">
        <v>0.0</v>
      </c>
      <c r="AQ1054" s="109">
        <v>73.0</v>
      </c>
      <c r="AR1054" s="80">
        <v>73.0</v>
      </c>
      <c r="AS1054" s="110">
        <v>0.0</v>
      </c>
      <c r="AT1054" s="110">
        <v>0.0</v>
      </c>
      <c r="AU1054" s="110">
        <v>0.0</v>
      </c>
      <c r="AV1054" s="142">
        <v>0.0</v>
      </c>
      <c r="AW1054" s="80">
        <v>0.0</v>
      </c>
      <c r="AX1054" s="113">
        <v>244.0</v>
      </c>
      <c r="AY1054" s="117">
        <v>101.0</v>
      </c>
      <c r="AZ1054" s="328">
        <v>143.0</v>
      </c>
      <c r="BA1054" s="315">
        <v>0.0</v>
      </c>
      <c r="BB1054" s="316">
        <v>244.0</v>
      </c>
      <c r="BC1054" s="132" t="s">
        <v>178</v>
      </c>
      <c r="BD1054" s="132" t="s">
        <v>178</v>
      </c>
      <c r="BE1054" s="132" t="s">
        <v>178</v>
      </c>
      <c r="BF1054" s="156"/>
      <c r="BG1054" s="83">
        <v>1108508.0</v>
      </c>
      <c r="BH1054" s="112">
        <v>4.0</v>
      </c>
      <c r="BI1054" s="98" t="s">
        <v>155</v>
      </c>
      <c r="BJ1054" s="98" t="str">
        <f t="shared" si="1"/>
        <v>INTEGRAL</v>
      </c>
      <c r="BK1054" s="98" t="str">
        <f t="shared" si="2"/>
        <v>NÃO</v>
      </c>
    </row>
    <row r="1055" ht="15.75" customHeight="1">
      <c r="A1055" s="111" t="s">
        <v>1281</v>
      </c>
      <c r="B1055" s="83" t="s">
        <v>2148</v>
      </c>
      <c r="C1055" s="83" t="s">
        <v>68</v>
      </c>
      <c r="D1055" s="83">
        <v>1108753.0</v>
      </c>
      <c r="E1055" s="83"/>
      <c r="F1055" s="83">
        <v>2.9156211E7</v>
      </c>
      <c r="G1055" s="119" t="s">
        <v>10237</v>
      </c>
      <c r="H1055" s="91" t="s">
        <v>5564</v>
      </c>
      <c r="I1055" s="187" t="s">
        <v>149</v>
      </c>
      <c r="J1055" s="83" t="s">
        <v>150</v>
      </c>
      <c r="K1055" s="83" t="s">
        <v>151</v>
      </c>
      <c r="L1055" s="83" t="s">
        <v>76</v>
      </c>
      <c r="M1055" s="82" t="s">
        <v>10238</v>
      </c>
      <c r="N1055" s="82" t="s">
        <v>10239</v>
      </c>
      <c r="O1055" s="82" t="s">
        <v>10240</v>
      </c>
      <c r="P1055" s="82" t="s">
        <v>10241</v>
      </c>
      <c r="Q1055" s="82" t="s">
        <v>10242</v>
      </c>
      <c r="R1055" s="82" t="s">
        <v>10243</v>
      </c>
      <c r="S1055" s="82" t="s">
        <v>10244</v>
      </c>
      <c r="T1055" s="138">
        <v>18.0</v>
      </c>
      <c r="U1055" s="323">
        <v>15.0</v>
      </c>
      <c r="V1055" s="106">
        <v>0.0</v>
      </c>
      <c r="W1055" s="107">
        <v>0.0</v>
      </c>
      <c r="X1055" s="107">
        <v>0.0</v>
      </c>
      <c r="Y1055" s="107">
        <v>0.0</v>
      </c>
      <c r="Z1055" s="80">
        <v>0.0</v>
      </c>
      <c r="AA1055" s="140">
        <v>0.0</v>
      </c>
      <c r="AB1055" s="109">
        <v>0.0</v>
      </c>
      <c r="AC1055" s="109">
        <v>0.0</v>
      </c>
      <c r="AD1055" s="141">
        <v>0.0</v>
      </c>
      <c r="AE1055" s="80">
        <v>0.0</v>
      </c>
      <c r="AF1055" s="140">
        <v>147.0</v>
      </c>
      <c r="AG1055" s="109">
        <v>99.0</v>
      </c>
      <c r="AH1055" s="109">
        <v>62.0</v>
      </c>
      <c r="AI1055" s="141">
        <v>112.0</v>
      </c>
      <c r="AJ1055" s="80">
        <v>420.0</v>
      </c>
      <c r="AK1055" s="140">
        <v>0.0</v>
      </c>
      <c r="AL1055" s="109">
        <v>0.0</v>
      </c>
      <c r="AM1055" s="141">
        <v>0.0</v>
      </c>
      <c r="AN1055" s="80">
        <v>0.0</v>
      </c>
      <c r="AO1055" s="140">
        <v>0.0</v>
      </c>
      <c r="AP1055" s="109">
        <v>0.0</v>
      </c>
      <c r="AQ1055" s="109">
        <v>150.0</v>
      </c>
      <c r="AR1055" s="80">
        <v>150.0</v>
      </c>
      <c r="AS1055" s="110">
        <v>196.0</v>
      </c>
      <c r="AT1055" s="110">
        <v>170.0</v>
      </c>
      <c r="AU1055" s="110">
        <v>0.0</v>
      </c>
      <c r="AV1055" s="142">
        <v>0.0</v>
      </c>
      <c r="AW1055" s="80">
        <v>366.0</v>
      </c>
      <c r="AX1055" s="113">
        <v>936.0</v>
      </c>
      <c r="AY1055" s="117">
        <v>724.0</v>
      </c>
      <c r="AZ1055" s="328">
        <v>212.0</v>
      </c>
      <c r="BA1055" s="315">
        <v>0.0</v>
      </c>
      <c r="BB1055" s="316">
        <v>936.0</v>
      </c>
      <c r="BC1055" s="132" t="s">
        <v>178</v>
      </c>
      <c r="BD1055" s="132" t="s">
        <v>178</v>
      </c>
      <c r="BE1055" s="132" t="s">
        <v>178</v>
      </c>
      <c r="BF1055" s="123"/>
      <c r="BG1055" s="83">
        <v>1108753.0</v>
      </c>
      <c r="BH1055" s="112">
        <v>15.0</v>
      </c>
      <c r="BI1055" s="98" t="s">
        <v>176</v>
      </c>
      <c r="BJ1055" s="98" t="str">
        <f t="shared" si="1"/>
        <v>INTEGRAL</v>
      </c>
      <c r="BK1055" s="98" t="str">
        <f t="shared" si="2"/>
        <v>PROFISSIONAL</v>
      </c>
    </row>
    <row r="1056" ht="15.75" customHeight="1">
      <c r="A1056" s="111" t="s">
        <v>1281</v>
      </c>
      <c r="B1056" s="83" t="s">
        <v>2148</v>
      </c>
      <c r="C1056" s="83" t="s">
        <v>164</v>
      </c>
      <c r="D1056" s="83">
        <v>1108508.0</v>
      </c>
      <c r="E1056" s="83">
        <v>1178469.0</v>
      </c>
      <c r="F1056" s="83"/>
      <c r="G1056" s="114" t="s">
        <v>10245</v>
      </c>
      <c r="H1056" s="91" t="s">
        <v>5580</v>
      </c>
      <c r="I1056" s="187" t="s">
        <v>5581</v>
      </c>
      <c r="J1056" s="83" t="s">
        <v>568</v>
      </c>
      <c r="K1056" s="83" t="s">
        <v>168</v>
      </c>
      <c r="L1056" s="83" t="s">
        <v>169</v>
      </c>
      <c r="M1056" s="82" t="s">
        <v>10234</v>
      </c>
      <c r="N1056" s="82" t="s">
        <v>10235</v>
      </c>
      <c r="O1056" s="82"/>
      <c r="P1056" s="82"/>
      <c r="Q1056" s="82"/>
      <c r="R1056" s="82"/>
      <c r="S1056" s="82" t="s">
        <v>10236</v>
      </c>
      <c r="T1056" s="138">
        <v>3.0</v>
      </c>
      <c r="U1056" s="323">
        <v>3.0</v>
      </c>
      <c r="V1056" s="106">
        <v>0.0</v>
      </c>
      <c r="W1056" s="107">
        <v>0.0</v>
      </c>
      <c r="X1056" s="107">
        <v>0.0</v>
      </c>
      <c r="Y1056" s="107">
        <v>0.0</v>
      </c>
      <c r="Z1056" s="80">
        <v>0.0</v>
      </c>
      <c r="AA1056" s="140">
        <v>0.0</v>
      </c>
      <c r="AB1056" s="109">
        <v>0.0</v>
      </c>
      <c r="AC1056" s="109">
        <v>0.0</v>
      </c>
      <c r="AD1056" s="141">
        <v>0.0</v>
      </c>
      <c r="AE1056" s="80">
        <v>0.0</v>
      </c>
      <c r="AF1056" s="140">
        <v>0.0</v>
      </c>
      <c r="AG1056" s="109">
        <v>0.0</v>
      </c>
      <c r="AH1056" s="109">
        <v>50.0</v>
      </c>
      <c r="AI1056" s="141">
        <v>0.0</v>
      </c>
      <c r="AJ1056" s="80">
        <v>50.0</v>
      </c>
      <c r="AK1056" s="140">
        <v>0.0</v>
      </c>
      <c r="AL1056" s="109">
        <v>0.0</v>
      </c>
      <c r="AM1056" s="141">
        <v>0.0</v>
      </c>
      <c r="AN1056" s="80">
        <v>0.0</v>
      </c>
      <c r="AO1056" s="140">
        <v>0.0</v>
      </c>
      <c r="AP1056" s="109">
        <v>0.0</v>
      </c>
      <c r="AQ1056" s="109">
        <v>0.0</v>
      </c>
      <c r="AR1056" s="80">
        <v>0.0</v>
      </c>
      <c r="AS1056" s="110">
        <v>0.0</v>
      </c>
      <c r="AT1056" s="110">
        <v>0.0</v>
      </c>
      <c r="AU1056" s="110">
        <v>0.0</v>
      </c>
      <c r="AV1056" s="142">
        <v>0.0</v>
      </c>
      <c r="AW1056" s="80">
        <v>0.0</v>
      </c>
      <c r="AX1056" s="113">
        <v>50.0</v>
      </c>
      <c r="AY1056" s="117">
        <v>0.0</v>
      </c>
      <c r="AZ1056" s="328">
        <v>50.0</v>
      </c>
      <c r="BA1056" s="315">
        <v>0.0</v>
      </c>
      <c r="BB1056" s="316">
        <v>50.0</v>
      </c>
      <c r="BC1056" s="132" t="s">
        <v>373</v>
      </c>
      <c r="BD1056" s="132" t="s">
        <v>178</v>
      </c>
      <c r="BE1056" s="132" t="s">
        <v>178</v>
      </c>
      <c r="BF1056" s="123"/>
      <c r="BG1056" s="83">
        <v>1178469.0</v>
      </c>
      <c r="BH1056" s="112">
        <v>3.0</v>
      </c>
      <c r="BI1056" s="98" t="s">
        <v>155</v>
      </c>
      <c r="BJ1056" s="98" t="str">
        <f t="shared" si="1"/>
        <v>NÃO</v>
      </c>
      <c r="BK1056" s="98" t="str">
        <f t="shared" si="2"/>
        <v>NÃO</v>
      </c>
    </row>
    <row r="1057" ht="15.75" customHeight="1">
      <c r="A1057" s="111" t="s">
        <v>1281</v>
      </c>
      <c r="B1057" s="83" t="s">
        <v>2148</v>
      </c>
      <c r="C1057" s="83" t="s">
        <v>164</v>
      </c>
      <c r="D1057" s="83">
        <v>1108508.0</v>
      </c>
      <c r="E1057" s="83">
        <v>1178468.0</v>
      </c>
      <c r="F1057" s="83"/>
      <c r="G1057" s="114" t="s">
        <v>10246</v>
      </c>
      <c r="H1057" s="91" t="s">
        <v>5574</v>
      </c>
      <c r="I1057" s="187" t="s">
        <v>5575</v>
      </c>
      <c r="J1057" s="83" t="s">
        <v>1502</v>
      </c>
      <c r="K1057" s="83" t="s">
        <v>168</v>
      </c>
      <c r="L1057" s="83" t="s">
        <v>169</v>
      </c>
      <c r="M1057" s="82" t="s">
        <v>10234</v>
      </c>
      <c r="N1057" s="82" t="s">
        <v>10235</v>
      </c>
      <c r="O1057" s="82"/>
      <c r="P1057" s="82"/>
      <c r="Q1057" s="82"/>
      <c r="R1057" s="82"/>
      <c r="S1057" s="82" t="s">
        <v>10236</v>
      </c>
      <c r="T1057" s="138">
        <v>3.0</v>
      </c>
      <c r="U1057" s="323">
        <v>3.0</v>
      </c>
      <c r="V1057" s="106">
        <v>0.0</v>
      </c>
      <c r="W1057" s="107">
        <v>0.0</v>
      </c>
      <c r="X1057" s="107">
        <v>0.0</v>
      </c>
      <c r="Y1057" s="107">
        <v>0.0</v>
      </c>
      <c r="Z1057" s="80">
        <v>0.0</v>
      </c>
      <c r="AA1057" s="140">
        <v>0.0</v>
      </c>
      <c r="AB1057" s="109">
        <v>0.0</v>
      </c>
      <c r="AC1057" s="109">
        <v>0.0</v>
      </c>
      <c r="AD1057" s="141">
        <v>0.0</v>
      </c>
      <c r="AE1057" s="80">
        <v>0.0</v>
      </c>
      <c r="AF1057" s="140">
        <v>0.0</v>
      </c>
      <c r="AG1057" s="109">
        <v>0.0</v>
      </c>
      <c r="AH1057" s="109">
        <v>46.0</v>
      </c>
      <c r="AI1057" s="141">
        <v>0.0</v>
      </c>
      <c r="AJ1057" s="80">
        <v>46.0</v>
      </c>
      <c r="AK1057" s="140">
        <v>0.0</v>
      </c>
      <c r="AL1057" s="109">
        <v>0.0</v>
      </c>
      <c r="AM1057" s="141">
        <v>0.0</v>
      </c>
      <c r="AN1057" s="80">
        <v>0.0</v>
      </c>
      <c r="AO1057" s="140">
        <v>0.0</v>
      </c>
      <c r="AP1057" s="109">
        <v>0.0</v>
      </c>
      <c r="AQ1057" s="109">
        <v>0.0</v>
      </c>
      <c r="AR1057" s="80">
        <v>0.0</v>
      </c>
      <c r="AS1057" s="110">
        <v>0.0</v>
      </c>
      <c r="AT1057" s="110">
        <v>0.0</v>
      </c>
      <c r="AU1057" s="110">
        <v>0.0</v>
      </c>
      <c r="AV1057" s="142">
        <v>0.0</v>
      </c>
      <c r="AW1057" s="80">
        <v>0.0</v>
      </c>
      <c r="AX1057" s="113">
        <v>46.0</v>
      </c>
      <c r="AY1057" s="117">
        <v>0.0</v>
      </c>
      <c r="AZ1057" s="328">
        <v>46.0</v>
      </c>
      <c r="BA1057" s="315">
        <v>0.0</v>
      </c>
      <c r="BB1057" s="316">
        <v>46.0</v>
      </c>
      <c r="BC1057" s="132" t="s">
        <v>373</v>
      </c>
      <c r="BD1057" s="132" t="s">
        <v>178</v>
      </c>
      <c r="BE1057" s="132" t="s">
        <v>178</v>
      </c>
      <c r="BF1057" s="123"/>
      <c r="BG1057" s="83">
        <v>1178468.0</v>
      </c>
      <c r="BH1057" s="112">
        <v>3.0</v>
      </c>
      <c r="BI1057" s="98" t="s">
        <v>155</v>
      </c>
      <c r="BJ1057" s="98" t="str">
        <f t="shared" si="1"/>
        <v>NÃO</v>
      </c>
      <c r="BK1057" s="98" t="str">
        <f t="shared" si="2"/>
        <v>NÃO</v>
      </c>
    </row>
    <row r="1058" ht="15.75" customHeight="1">
      <c r="A1058" s="111" t="s">
        <v>1281</v>
      </c>
      <c r="B1058" s="83" t="s">
        <v>5587</v>
      </c>
      <c r="C1058" s="83" t="s">
        <v>68</v>
      </c>
      <c r="D1058" s="83">
        <v>1176401.0</v>
      </c>
      <c r="E1058" s="83"/>
      <c r="F1058" s="83">
        <v>2.937328E7</v>
      </c>
      <c r="G1058" s="119" t="s">
        <v>10247</v>
      </c>
      <c r="H1058" s="91" t="s">
        <v>10248</v>
      </c>
      <c r="I1058" s="187" t="s">
        <v>149</v>
      </c>
      <c r="J1058" s="83" t="s">
        <v>150</v>
      </c>
      <c r="K1058" s="83" t="s">
        <v>151</v>
      </c>
      <c r="L1058" s="83" t="s">
        <v>230</v>
      </c>
      <c r="M1058" s="82" t="s">
        <v>10249</v>
      </c>
      <c r="N1058" s="82" t="s">
        <v>10250</v>
      </c>
      <c r="O1058" s="82" t="s">
        <v>10251</v>
      </c>
      <c r="P1058" s="82" t="s">
        <v>10252</v>
      </c>
      <c r="Q1058" s="82" t="s">
        <v>10253</v>
      </c>
      <c r="R1058" s="82" t="s">
        <v>10254</v>
      </c>
      <c r="S1058" s="82" t="s">
        <v>10255</v>
      </c>
      <c r="T1058" s="138">
        <v>12.0</v>
      </c>
      <c r="U1058" s="323">
        <v>12.0</v>
      </c>
      <c r="V1058" s="106">
        <v>0.0</v>
      </c>
      <c r="W1058" s="107">
        <v>0.0</v>
      </c>
      <c r="X1058" s="107">
        <v>0.0</v>
      </c>
      <c r="Y1058" s="107">
        <v>0.0</v>
      </c>
      <c r="Z1058" s="80">
        <v>0.0</v>
      </c>
      <c r="AA1058" s="140">
        <v>0.0</v>
      </c>
      <c r="AB1058" s="109">
        <v>0.0</v>
      </c>
      <c r="AC1058" s="109">
        <v>0.0</v>
      </c>
      <c r="AD1058" s="141">
        <v>0.0</v>
      </c>
      <c r="AE1058" s="80">
        <v>0.0</v>
      </c>
      <c r="AF1058" s="140">
        <v>293.0</v>
      </c>
      <c r="AG1058" s="109">
        <v>165.0</v>
      </c>
      <c r="AH1058" s="109">
        <v>44.0</v>
      </c>
      <c r="AI1058" s="141">
        <v>220.0</v>
      </c>
      <c r="AJ1058" s="80">
        <v>722.0</v>
      </c>
      <c r="AK1058" s="140">
        <v>0.0</v>
      </c>
      <c r="AL1058" s="109">
        <v>0.0</v>
      </c>
      <c r="AM1058" s="141">
        <v>0.0</v>
      </c>
      <c r="AN1058" s="80">
        <v>0.0</v>
      </c>
      <c r="AO1058" s="140">
        <v>0.0</v>
      </c>
      <c r="AP1058" s="109">
        <v>0.0</v>
      </c>
      <c r="AQ1058" s="109">
        <v>300.0</v>
      </c>
      <c r="AR1058" s="80">
        <v>300.0</v>
      </c>
      <c r="AS1058" s="110">
        <v>96.0</v>
      </c>
      <c r="AT1058" s="110">
        <v>70.0</v>
      </c>
      <c r="AU1058" s="110">
        <v>0.0</v>
      </c>
      <c r="AV1058" s="142">
        <v>0.0</v>
      </c>
      <c r="AW1058" s="80">
        <v>166.0</v>
      </c>
      <c r="AX1058" s="113">
        <v>1188.0</v>
      </c>
      <c r="AY1058" s="117">
        <v>844.0</v>
      </c>
      <c r="AZ1058" s="328">
        <v>344.0</v>
      </c>
      <c r="BA1058" s="315">
        <v>3.0</v>
      </c>
      <c r="BB1058" s="316">
        <v>1191.0</v>
      </c>
      <c r="BC1058" s="132" t="s">
        <v>178</v>
      </c>
      <c r="BD1058" s="132" t="s">
        <v>178</v>
      </c>
      <c r="BE1058" s="132" t="s">
        <v>178</v>
      </c>
      <c r="BF1058" s="123"/>
      <c r="BG1058" s="83">
        <v>1176401.0</v>
      </c>
      <c r="BH1058" s="112">
        <v>12.0</v>
      </c>
      <c r="BI1058" s="98" t="s">
        <v>155</v>
      </c>
      <c r="BJ1058" s="98" t="str">
        <f t="shared" si="1"/>
        <v>INTEGRAL</v>
      </c>
      <c r="BK1058" s="98" t="str">
        <f t="shared" si="2"/>
        <v>PROFISSIONAL</v>
      </c>
    </row>
    <row r="1059" ht="15.75" customHeight="1">
      <c r="A1059" s="111" t="s">
        <v>1281</v>
      </c>
      <c r="B1059" s="83" t="s">
        <v>5587</v>
      </c>
      <c r="C1059" s="83" t="s">
        <v>164</v>
      </c>
      <c r="D1059" s="83">
        <v>1176401.0</v>
      </c>
      <c r="E1059" s="83">
        <v>1178471.0</v>
      </c>
      <c r="F1059" s="83"/>
      <c r="G1059" s="114" t="s">
        <v>10256</v>
      </c>
      <c r="H1059" s="91" t="s">
        <v>5597</v>
      </c>
      <c r="I1059" s="187" t="s">
        <v>149</v>
      </c>
      <c r="J1059" s="83" t="s">
        <v>1806</v>
      </c>
      <c r="K1059" s="83" t="s">
        <v>168</v>
      </c>
      <c r="L1059" s="83" t="s">
        <v>169</v>
      </c>
      <c r="M1059" s="82" t="s">
        <v>10249</v>
      </c>
      <c r="N1059" s="82" t="s">
        <v>10250</v>
      </c>
      <c r="O1059" s="82" t="s">
        <v>10251</v>
      </c>
      <c r="P1059" s="82" t="s">
        <v>10252</v>
      </c>
      <c r="Q1059" s="82" t="s">
        <v>10253</v>
      </c>
      <c r="R1059" s="82" t="s">
        <v>10254</v>
      </c>
      <c r="S1059" s="82" t="s">
        <v>10255</v>
      </c>
      <c r="T1059" s="138">
        <v>3.0</v>
      </c>
      <c r="U1059" s="323">
        <v>3.0</v>
      </c>
      <c r="V1059" s="106">
        <v>0.0</v>
      </c>
      <c r="W1059" s="107">
        <v>0.0</v>
      </c>
      <c r="X1059" s="107">
        <v>0.0</v>
      </c>
      <c r="Y1059" s="107">
        <v>0.0</v>
      </c>
      <c r="Z1059" s="80">
        <v>0.0</v>
      </c>
      <c r="AA1059" s="140">
        <v>0.0</v>
      </c>
      <c r="AB1059" s="109">
        <v>0.0</v>
      </c>
      <c r="AC1059" s="109">
        <v>0.0</v>
      </c>
      <c r="AD1059" s="141">
        <v>0.0</v>
      </c>
      <c r="AE1059" s="80">
        <v>0.0</v>
      </c>
      <c r="AF1059" s="140">
        <v>18.0</v>
      </c>
      <c r="AG1059" s="109">
        <v>21.0</v>
      </c>
      <c r="AH1059" s="109">
        <v>40.0</v>
      </c>
      <c r="AI1059" s="141">
        <v>0.0</v>
      </c>
      <c r="AJ1059" s="80">
        <v>79.0</v>
      </c>
      <c r="AK1059" s="140">
        <v>0.0</v>
      </c>
      <c r="AL1059" s="109">
        <v>0.0</v>
      </c>
      <c r="AM1059" s="141">
        <v>0.0</v>
      </c>
      <c r="AN1059" s="80">
        <v>0.0</v>
      </c>
      <c r="AO1059" s="140">
        <v>0.0</v>
      </c>
      <c r="AP1059" s="109">
        <v>0.0</v>
      </c>
      <c r="AQ1059" s="109">
        <v>0.0</v>
      </c>
      <c r="AR1059" s="80">
        <v>0.0</v>
      </c>
      <c r="AS1059" s="110">
        <v>0.0</v>
      </c>
      <c r="AT1059" s="110">
        <v>0.0</v>
      </c>
      <c r="AU1059" s="110">
        <v>0.0</v>
      </c>
      <c r="AV1059" s="142">
        <v>0.0</v>
      </c>
      <c r="AW1059" s="80">
        <v>0.0</v>
      </c>
      <c r="AX1059" s="113">
        <v>79.0</v>
      </c>
      <c r="AY1059" s="117">
        <v>39.0</v>
      </c>
      <c r="AZ1059" s="328">
        <v>40.0</v>
      </c>
      <c r="BA1059" s="315">
        <v>0.0</v>
      </c>
      <c r="BB1059" s="316">
        <v>79.0</v>
      </c>
      <c r="BC1059" s="132" t="s">
        <v>373</v>
      </c>
      <c r="BD1059" s="132" t="s">
        <v>178</v>
      </c>
      <c r="BE1059" s="132" t="s">
        <v>178</v>
      </c>
      <c r="BF1059" s="123"/>
      <c r="BG1059" s="83">
        <v>1178471.0</v>
      </c>
      <c r="BH1059" s="112">
        <v>3.0</v>
      </c>
      <c r="BI1059" s="98" t="s">
        <v>155</v>
      </c>
      <c r="BJ1059" s="98" t="str">
        <f t="shared" si="1"/>
        <v>NÃO</v>
      </c>
      <c r="BK1059" s="98" t="str">
        <f t="shared" si="2"/>
        <v>NÃO</v>
      </c>
    </row>
    <row r="1060" ht="15.75" customHeight="1">
      <c r="A1060" s="111" t="s">
        <v>1281</v>
      </c>
      <c r="B1060" s="83" t="s">
        <v>5587</v>
      </c>
      <c r="C1060" s="83" t="s">
        <v>164</v>
      </c>
      <c r="D1060" s="83">
        <v>1176401.0</v>
      </c>
      <c r="E1060" s="83">
        <v>1178470.0</v>
      </c>
      <c r="F1060" s="83"/>
      <c r="G1060" s="114" t="s">
        <v>10257</v>
      </c>
      <c r="H1060" s="91" t="s">
        <v>5604</v>
      </c>
      <c r="I1060" s="187" t="s">
        <v>149</v>
      </c>
      <c r="J1060" s="83" t="s">
        <v>5605</v>
      </c>
      <c r="K1060" s="83" t="s">
        <v>168</v>
      </c>
      <c r="L1060" s="83" t="s">
        <v>169</v>
      </c>
      <c r="M1060" s="82" t="s">
        <v>10249</v>
      </c>
      <c r="N1060" s="82" t="s">
        <v>10250</v>
      </c>
      <c r="O1060" s="82" t="s">
        <v>10251</v>
      </c>
      <c r="P1060" s="82" t="s">
        <v>10252</v>
      </c>
      <c r="Q1060" s="82" t="s">
        <v>10253</v>
      </c>
      <c r="R1060" s="82" t="s">
        <v>10254</v>
      </c>
      <c r="S1060" s="82" t="s">
        <v>10255</v>
      </c>
      <c r="T1060" s="138">
        <v>3.0</v>
      </c>
      <c r="U1060" s="323">
        <v>4.0</v>
      </c>
      <c r="V1060" s="106">
        <v>0.0</v>
      </c>
      <c r="W1060" s="107">
        <v>0.0</v>
      </c>
      <c r="X1060" s="107">
        <v>0.0</v>
      </c>
      <c r="Y1060" s="107">
        <v>0.0</v>
      </c>
      <c r="Z1060" s="80">
        <v>0.0</v>
      </c>
      <c r="AA1060" s="140">
        <v>0.0</v>
      </c>
      <c r="AB1060" s="109">
        <v>0.0</v>
      </c>
      <c r="AC1060" s="109">
        <v>0.0</v>
      </c>
      <c r="AD1060" s="141">
        <v>0.0</v>
      </c>
      <c r="AE1060" s="80">
        <v>0.0</v>
      </c>
      <c r="AF1060" s="140">
        <v>36.0</v>
      </c>
      <c r="AG1060" s="109">
        <v>77.0</v>
      </c>
      <c r="AH1060" s="109">
        <v>79.0</v>
      </c>
      <c r="AI1060" s="141">
        <v>0.0</v>
      </c>
      <c r="AJ1060" s="80">
        <v>192.0</v>
      </c>
      <c r="AK1060" s="140">
        <v>0.0</v>
      </c>
      <c r="AL1060" s="109">
        <v>0.0</v>
      </c>
      <c r="AM1060" s="141">
        <v>0.0</v>
      </c>
      <c r="AN1060" s="80">
        <v>0.0</v>
      </c>
      <c r="AO1060" s="140">
        <v>0.0</v>
      </c>
      <c r="AP1060" s="109">
        <v>0.0</v>
      </c>
      <c r="AQ1060" s="109">
        <v>0.0</v>
      </c>
      <c r="AR1060" s="80">
        <v>0.0</v>
      </c>
      <c r="AS1060" s="110">
        <v>0.0</v>
      </c>
      <c r="AT1060" s="110">
        <v>0.0</v>
      </c>
      <c r="AU1060" s="110">
        <v>0.0</v>
      </c>
      <c r="AV1060" s="142">
        <v>0.0</v>
      </c>
      <c r="AW1060" s="80">
        <v>0.0</v>
      </c>
      <c r="AX1060" s="113">
        <v>192.0</v>
      </c>
      <c r="AY1060" s="117">
        <v>113.0</v>
      </c>
      <c r="AZ1060" s="328">
        <v>79.0</v>
      </c>
      <c r="BA1060" s="315">
        <v>0.0</v>
      </c>
      <c r="BB1060" s="316">
        <v>192.0</v>
      </c>
      <c r="BC1060" s="132" t="s">
        <v>373</v>
      </c>
      <c r="BD1060" s="132" t="s">
        <v>178</v>
      </c>
      <c r="BE1060" s="132" t="s">
        <v>178</v>
      </c>
      <c r="BF1060" s="156"/>
      <c r="BG1060" s="83">
        <v>1178470.0</v>
      </c>
      <c r="BH1060" s="112">
        <v>4.0</v>
      </c>
      <c r="BI1060" s="98" t="s">
        <v>155</v>
      </c>
      <c r="BJ1060" s="98" t="str">
        <f t="shared" si="1"/>
        <v>NÃO</v>
      </c>
      <c r="BK1060" s="98" t="str">
        <f t="shared" si="2"/>
        <v>NÃO</v>
      </c>
    </row>
    <row r="1061" ht="15.75" customHeight="1">
      <c r="A1061" s="111" t="s">
        <v>1281</v>
      </c>
      <c r="B1061" s="83" t="s">
        <v>5606</v>
      </c>
      <c r="C1061" s="83" t="s">
        <v>45</v>
      </c>
      <c r="D1061" s="83">
        <v>1178394.0</v>
      </c>
      <c r="E1061" s="83"/>
      <c r="F1061" s="83">
        <v>2.9432928E7</v>
      </c>
      <c r="G1061" s="114" t="s">
        <v>5607</v>
      </c>
      <c r="H1061" s="91" t="s">
        <v>5608</v>
      </c>
      <c r="I1061" s="187" t="s">
        <v>149</v>
      </c>
      <c r="J1061" s="98" t="s">
        <v>767</v>
      </c>
      <c r="K1061" s="83" t="s">
        <v>171</v>
      </c>
      <c r="L1061" s="83" t="s">
        <v>169</v>
      </c>
      <c r="M1061" s="82" t="s">
        <v>10258</v>
      </c>
      <c r="N1061" s="82" t="s">
        <v>10259</v>
      </c>
      <c r="O1061" s="82" t="s">
        <v>10260</v>
      </c>
      <c r="P1061" s="82" t="s">
        <v>10261</v>
      </c>
      <c r="Q1061" s="82"/>
      <c r="R1061" s="82"/>
      <c r="S1061" s="82"/>
      <c r="T1061" s="138">
        <v>4.0</v>
      </c>
      <c r="U1061" s="323" t="s">
        <v>171</v>
      </c>
      <c r="V1061" s="106">
        <v>0.0</v>
      </c>
      <c r="W1061" s="107">
        <v>0.0</v>
      </c>
      <c r="X1061" s="107">
        <v>0.0</v>
      </c>
      <c r="Y1061" s="107">
        <v>0.0</v>
      </c>
      <c r="Z1061" s="80">
        <v>0.0</v>
      </c>
      <c r="AA1061" s="140">
        <v>0.0</v>
      </c>
      <c r="AB1061" s="109">
        <v>0.0</v>
      </c>
      <c r="AC1061" s="109">
        <v>0.0</v>
      </c>
      <c r="AD1061" s="141">
        <v>0.0</v>
      </c>
      <c r="AE1061" s="80">
        <v>0.0</v>
      </c>
      <c r="AF1061" s="140">
        <v>0.0</v>
      </c>
      <c r="AG1061" s="109">
        <v>0.0</v>
      </c>
      <c r="AH1061" s="109">
        <v>0.0</v>
      </c>
      <c r="AI1061" s="141">
        <v>67.0</v>
      </c>
      <c r="AJ1061" s="80">
        <v>67.0</v>
      </c>
      <c r="AK1061" s="140">
        <v>0.0</v>
      </c>
      <c r="AL1061" s="109">
        <v>0.0</v>
      </c>
      <c r="AM1061" s="141">
        <v>0.0</v>
      </c>
      <c r="AN1061" s="80">
        <v>0.0</v>
      </c>
      <c r="AO1061" s="140">
        <v>0.0</v>
      </c>
      <c r="AP1061" s="109">
        <v>0.0</v>
      </c>
      <c r="AQ1061" s="109">
        <v>0.0</v>
      </c>
      <c r="AR1061" s="80">
        <v>0.0</v>
      </c>
      <c r="AS1061" s="110">
        <v>0.0</v>
      </c>
      <c r="AT1061" s="110">
        <v>0.0</v>
      </c>
      <c r="AU1061" s="110">
        <v>0.0</v>
      </c>
      <c r="AV1061" s="142">
        <v>0.0</v>
      </c>
      <c r="AW1061" s="80">
        <v>0.0</v>
      </c>
      <c r="AX1061" s="113">
        <v>67.0</v>
      </c>
      <c r="AY1061" s="117">
        <v>67.0</v>
      </c>
      <c r="AZ1061" s="328">
        <v>0.0</v>
      </c>
      <c r="BA1061" s="315">
        <v>0.0</v>
      </c>
      <c r="BB1061" s="316">
        <v>67.0</v>
      </c>
      <c r="BC1061" s="132" t="s">
        <v>178</v>
      </c>
      <c r="BD1061" s="132" t="s">
        <v>178</v>
      </c>
      <c r="BE1061" s="132" t="s">
        <v>178</v>
      </c>
      <c r="BF1061" s="123"/>
      <c r="BG1061" s="83">
        <v>1178394.0</v>
      </c>
      <c r="BH1061" s="112">
        <v>0.0</v>
      </c>
      <c r="BI1061" s="98" t="s">
        <v>155</v>
      </c>
      <c r="BJ1061" s="98" t="str">
        <f t="shared" si="1"/>
        <v>INTEGRAL</v>
      </c>
      <c r="BK1061" s="98" t="str">
        <f t="shared" si="2"/>
        <v>NÃO</v>
      </c>
    </row>
    <row r="1062" ht="15.75" customHeight="1">
      <c r="A1062" s="111" t="s">
        <v>1281</v>
      </c>
      <c r="B1062" s="83" t="s">
        <v>5606</v>
      </c>
      <c r="C1062" s="83" t="s">
        <v>68</v>
      </c>
      <c r="D1062" s="83">
        <v>1178078.0</v>
      </c>
      <c r="E1062" s="83"/>
      <c r="F1062" s="83">
        <v>2.9430305E7</v>
      </c>
      <c r="G1062" s="114" t="s">
        <v>10262</v>
      </c>
      <c r="H1062" s="91" t="s">
        <v>5614</v>
      </c>
      <c r="I1062" s="187" t="s">
        <v>149</v>
      </c>
      <c r="J1062" s="83" t="s">
        <v>150</v>
      </c>
      <c r="K1062" s="83" t="s">
        <v>151</v>
      </c>
      <c r="L1062" s="83" t="s">
        <v>230</v>
      </c>
      <c r="M1062" s="82" t="s">
        <v>10263</v>
      </c>
      <c r="N1062" s="82" t="s">
        <v>10264</v>
      </c>
      <c r="O1062" s="82" t="s">
        <v>10265</v>
      </c>
      <c r="P1062" s="82" t="s">
        <v>10266</v>
      </c>
      <c r="Q1062" s="82"/>
      <c r="R1062" s="82"/>
      <c r="S1062" s="82" t="s">
        <v>10267</v>
      </c>
      <c r="T1062" s="138">
        <v>12.0</v>
      </c>
      <c r="U1062" s="323" t="s">
        <v>10268</v>
      </c>
      <c r="V1062" s="106">
        <v>0.0</v>
      </c>
      <c r="W1062" s="107">
        <v>0.0</v>
      </c>
      <c r="X1062" s="107">
        <v>0.0</v>
      </c>
      <c r="Y1062" s="107">
        <v>0.0</v>
      </c>
      <c r="Z1062" s="80">
        <v>0.0</v>
      </c>
      <c r="AA1062" s="140">
        <v>0.0</v>
      </c>
      <c r="AB1062" s="109">
        <v>0.0</v>
      </c>
      <c r="AC1062" s="109">
        <v>0.0</v>
      </c>
      <c r="AD1062" s="141">
        <v>0.0</v>
      </c>
      <c r="AE1062" s="80">
        <v>0.0</v>
      </c>
      <c r="AF1062" s="140">
        <v>443.0</v>
      </c>
      <c r="AG1062" s="109">
        <v>371.0</v>
      </c>
      <c r="AH1062" s="109">
        <v>71.0</v>
      </c>
      <c r="AI1062" s="141">
        <v>0.0</v>
      </c>
      <c r="AJ1062" s="80">
        <v>885.0</v>
      </c>
      <c r="AK1062" s="140">
        <v>0.0</v>
      </c>
      <c r="AL1062" s="109">
        <v>0.0</v>
      </c>
      <c r="AM1062" s="141">
        <v>0.0</v>
      </c>
      <c r="AN1062" s="80">
        <v>0.0</v>
      </c>
      <c r="AO1062" s="140">
        <v>0.0</v>
      </c>
      <c r="AP1062" s="109">
        <v>0.0</v>
      </c>
      <c r="AQ1062" s="109">
        <v>205.0</v>
      </c>
      <c r="AR1062" s="80">
        <v>205.0</v>
      </c>
      <c r="AS1062" s="110">
        <v>0.0</v>
      </c>
      <c r="AT1062" s="110">
        <v>0.0</v>
      </c>
      <c r="AU1062" s="110">
        <v>0.0</v>
      </c>
      <c r="AV1062" s="142">
        <v>0.0</v>
      </c>
      <c r="AW1062" s="80">
        <v>0.0</v>
      </c>
      <c r="AX1062" s="113">
        <v>1090.0</v>
      </c>
      <c r="AY1062" s="117">
        <v>814.0</v>
      </c>
      <c r="AZ1062" s="328">
        <v>276.0</v>
      </c>
      <c r="BA1062" s="315">
        <v>4.0</v>
      </c>
      <c r="BB1062" s="316">
        <v>1094.0</v>
      </c>
      <c r="BC1062" s="132" t="s">
        <v>178</v>
      </c>
      <c r="BD1062" s="132" t="s">
        <v>178</v>
      </c>
      <c r="BE1062" s="132" t="s">
        <v>178</v>
      </c>
      <c r="BF1062" s="123"/>
      <c r="BG1062" s="83">
        <v>1178078.0</v>
      </c>
      <c r="BH1062" s="112">
        <v>12.0</v>
      </c>
      <c r="BI1062" s="98" t="s">
        <v>155</v>
      </c>
      <c r="BJ1062" s="98" t="str">
        <f t="shared" si="1"/>
        <v>NÃO</v>
      </c>
      <c r="BK1062" s="98" t="str">
        <f t="shared" si="2"/>
        <v>NÃO</v>
      </c>
    </row>
    <row r="1063" ht="15.75" customHeight="1">
      <c r="A1063" s="111" t="s">
        <v>1281</v>
      </c>
      <c r="B1063" s="83" t="s">
        <v>5606</v>
      </c>
      <c r="C1063" s="83" t="s">
        <v>68</v>
      </c>
      <c r="D1063" s="83">
        <v>1178251.0</v>
      </c>
      <c r="E1063" s="83"/>
      <c r="F1063" s="83">
        <v>2.9456606E7</v>
      </c>
      <c r="G1063" s="114" t="s">
        <v>10269</v>
      </c>
      <c r="H1063" s="91" t="s">
        <v>5611</v>
      </c>
      <c r="I1063" s="114" t="s">
        <v>149</v>
      </c>
      <c r="J1063" s="136" t="s">
        <v>467</v>
      </c>
      <c r="K1063" s="83" t="s">
        <v>151</v>
      </c>
      <c r="L1063" s="83" t="s">
        <v>169</v>
      </c>
      <c r="M1063" s="82" t="s">
        <v>10271</v>
      </c>
      <c r="N1063" s="82" t="s">
        <v>10272</v>
      </c>
      <c r="O1063" s="82" t="s">
        <v>10273</v>
      </c>
      <c r="P1063" s="82" t="s">
        <v>10274</v>
      </c>
      <c r="Q1063" s="82"/>
      <c r="R1063" s="82"/>
      <c r="S1063" s="82" t="s">
        <v>10275</v>
      </c>
      <c r="T1063" s="138">
        <v>3.0</v>
      </c>
      <c r="U1063" s="364">
        <v>4.0</v>
      </c>
      <c r="V1063" s="106">
        <v>0.0</v>
      </c>
      <c r="W1063" s="107">
        <v>0.0</v>
      </c>
      <c r="X1063" s="107">
        <v>0.0</v>
      </c>
      <c r="Y1063" s="107">
        <v>0.0</v>
      </c>
      <c r="Z1063" s="80">
        <v>0.0</v>
      </c>
      <c r="AA1063" s="140">
        <v>0.0</v>
      </c>
      <c r="AB1063" s="109">
        <v>0.0</v>
      </c>
      <c r="AC1063" s="109">
        <v>0.0</v>
      </c>
      <c r="AD1063" s="141">
        <v>0.0</v>
      </c>
      <c r="AE1063" s="80">
        <v>0.0</v>
      </c>
      <c r="AF1063" s="246">
        <v>53.0</v>
      </c>
      <c r="AG1063" s="246">
        <v>47.0</v>
      </c>
      <c r="AH1063" s="246">
        <v>36.0</v>
      </c>
      <c r="AI1063" s="247">
        <v>0.0</v>
      </c>
      <c r="AJ1063" s="80">
        <v>136.0</v>
      </c>
      <c r="AK1063" s="140">
        <v>0.0</v>
      </c>
      <c r="AL1063" s="109">
        <v>0.0</v>
      </c>
      <c r="AM1063" s="141">
        <v>0.0</v>
      </c>
      <c r="AN1063" s="80">
        <v>0.0</v>
      </c>
      <c r="AO1063" s="246">
        <v>0.0</v>
      </c>
      <c r="AP1063" s="246">
        <v>0.0</v>
      </c>
      <c r="AQ1063" s="247">
        <v>0.0</v>
      </c>
      <c r="AR1063" s="80">
        <v>0.0</v>
      </c>
      <c r="AS1063" s="110">
        <v>0.0</v>
      </c>
      <c r="AT1063" s="110">
        <v>0.0</v>
      </c>
      <c r="AU1063" s="110">
        <v>0.0</v>
      </c>
      <c r="AV1063" s="142">
        <v>0.0</v>
      </c>
      <c r="AW1063" s="80">
        <v>0.0</v>
      </c>
      <c r="AX1063" s="113">
        <v>136.0</v>
      </c>
      <c r="AY1063" s="117">
        <v>100.0</v>
      </c>
      <c r="AZ1063" s="328">
        <v>36.0</v>
      </c>
      <c r="BA1063" s="315">
        <v>0.0</v>
      </c>
      <c r="BB1063" s="316">
        <v>136.0</v>
      </c>
      <c r="BC1063" s="132" t="s">
        <v>373</v>
      </c>
      <c r="BD1063" s="132" t="s">
        <v>178</v>
      </c>
      <c r="BE1063" s="132" t="s">
        <v>178</v>
      </c>
      <c r="BF1063" s="123"/>
      <c r="BG1063" s="83">
        <v>1178251.0</v>
      </c>
      <c r="BH1063" s="112">
        <v>4.0</v>
      </c>
      <c r="BI1063" s="98" t="s">
        <v>155</v>
      </c>
      <c r="BJ1063" s="98" t="str">
        <f t="shared" si="1"/>
        <v>NÃO</v>
      </c>
      <c r="BK1063" s="98" t="str">
        <f t="shared" si="2"/>
        <v>NÃO</v>
      </c>
    </row>
    <row r="1064" ht="15.75" customHeight="1">
      <c r="A1064" s="111" t="s">
        <v>1281</v>
      </c>
      <c r="B1064" s="83" t="s">
        <v>5606</v>
      </c>
      <c r="C1064" s="83" t="s">
        <v>164</v>
      </c>
      <c r="D1064" s="83">
        <v>1178078.0</v>
      </c>
      <c r="E1064" s="83">
        <v>1178246.0</v>
      </c>
      <c r="F1064" s="83"/>
      <c r="G1064" s="114" t="s">
        <v>10276</v>
      </c>
      <c r="H1064" s="91" t="s">
        <v>5631</v>
      </c>
      <c r="I1064" s="114" t="s">
        <v>149</v>
      </c>
      <c r="J1064" s="83" t="s">
        <v>209</v>
      </c>
      <c r="K1064" s="83" t="s">
        <v>168</v>
      </c>
      <c r="L1064" s="83" t="s">
        <v>169</v>
      </c>
      <c r="M1064" s="82" t="s">
        <v>10263</v>
      </c>
      <c r="N1064" s="82" t="s">
        <v>10264</v>
      </c>
      <c r="O1064" s="82" t="s">
        <v>10265</v>
      </c>
      <c r="P1064" s="82" t="s">
        <v>10266</v>
      </c>
      <c r="Q1064" s="82"/>
      <c r="R1064" s="82"/>
      <c r="S1064" s="82" t="s">
        <v>10267</v>
      </c>
      <c r="T1064" s="138">
        <v>3.0</v>
      </c>
      <c r="U1064" s="341">
        <v>3.0</v>
      </c>
      <c r="V1064" s="106">
        <v>0.0</v>
      </c>
      <c r="W1064" s="107">
        <v>0.0</v>
      </c>
      <c r="X1064" s="107">
        <v>0.0</v>
      </c>
      <c r="Y1064" s="107">
        <v>0.0</v>
      </c>
      <c r="Z1064" s="80">
        <v>0.0</v>
      </c>
      <c r="AA1064" s="140">
        <v>0.0</v>
      </c>
      <c r="AB1064" s="109">
        <v>0.0</v>
      </c>
      <c r="AC1064" s="109">
        <v>0.0</v>
      </c>
      <c r="AD1064" s="141">
        <v>0.0</v>
      </c>
      <c r="AE1064" s="80">
        <v>0.0</v>
      </c>
      <c r="AF1064" s="140">
        <v>0.0</v>
      </c>
      <c r="AG1064" s="109">
        <v>0.0</v>
      </c>
      <c r="AH1064" s="109">
        <v>37.0</v>
      </c>
      <c r="AI1064" s="141">
        <v>0.0</v>
      </c>
      <c r="AJ1064" s="80">
        <v>37.0</v>
      </c>
      <c r="AK1064" s="140">
        <v>0.0</v>
      </c>
      <c r="AL1064" s="109">
        <v>0.0</v>
      </c>
      <c r="AM1064" s="141">
        <v>0.0</v>
      </c>
      <c r="AN1064" s="80">
        <v>0.0</v>
      </c>
      <c r="AO1064" s="140">
        <v>0.0</v>
      </c>
      <c r="AP1064" s="109">
        <v>0.0</v>
      </c>
      <c r="AQ1064" s="109">
        <v>0.0</v>
      </c>
      <c r="AR1064" s="80">
        <v>0.0</v>
      </c>
      <c r="AS1064" s="110">
        <v>0.0</v>
      </c>
      <c r="AT1064" s="110">
        <v>0.0</v>
      </c>
      <c r="AU1064" s="110">
        <v>0.0</v>
      </c>
      <c r="AV1064" s="142">
        <v>0.0</v>
      </c>
      <c r="AW1064" s="80">
        <v>0.0</v>
      </c>
      <c r="AX1064" s="113">
        <v>37.0</v>
      </c>
      <c r="AY1064" s="117">
        <v>0.0</v>
      </c>
      <c r="AZ1064" s="328">
        <v>37.0</v>
      </c>
      <c r="BA1064" s="315">
        <v>0.0</v>
      </c>
      <c r="BB1064" s="316">
        <v>37.0</v>
      </c>
      <c r="BC1064" s="132" t="s">
        <v>373</v>
      </c>
      <c r="BD1064" s="132" t="s">
        <v>178</v>
      </c>
      <c r="BE1064" s="132" t="s">
        <v>178</v>
      </c>
      <c r="BF1064" s="123"/>
      <c r="BG1064" s="83">
        <v>1178246.0</v>
      </c>
      <c r="BH1064" s="112">
        <v>3.0</v>
      </c>
      <c r="BI1064" s="98" t="s">
        <v>155</v>
      </c>
      <c r="BJ1064" s="98" t="str">
        <f t="shared" si="1"/>
        <v>NÃO</v>
      </c>
      <c r="BK1064" s="98" t="str">
        <f t="shared" si="2"/>
        <v>NÃO</v>
      </c>
    </row>
    <row r="1065" ht="15.75" customHeight="1">
      <c r="A1065" s="111" t="s">
        <v>1281</v>
      </c>
      <c r="B1065" s="83" t="s">
        <v>5606</v>
      </c>
      <c r="C1065" s="83" t="s">
        <v>164</v>
      </c>
      <c r="D1065" s="83">
        <v>1178078.0</v>
      </c>
      <c r="E1065" s="83">
        <v>1178256.0</v>
      </c>
      <c r="F1065" s="83"/>
      <c r="G1065" s="114" t="s">
        <v>10277</v>
      </c>
      <c r="H1065" s="91" t="s">
        <v>5621</v>
      </c>
      <c r="I1065" s="187" t="s">
        <v>5622</v>
      </c>
      <c r="J1065" s="83" t="s">
        <v>240</v>
      </c>
      <c r="K1065" s="83" t="s">
        <v>168</v>
      </c>
      <c r="L1065" s="83" t="s">
        <v>169</v>
      </c>
      <c r="M1065" s="82" t="s">
        <v>10263</v>
      </c>
      <c r="N1065" s="82" t="s">
        <v>10264</v>
      </c>
      <c r="O1065" s="82" t="s">
        <v>10265</v>
      </c>
      <c r="P1065" s="82" t="s">
        <v>10266</v>
      </c>
      <c r="Q1065" s="82"/>
      <c r="R1065" s="82"/>
      <c r="S1065" s="82" t="s">
        <v>10267</v>
      </c>
      <c r="T1065" s="138">
        <v>3.0</v>
      </c>
      <c r="U1065" s="341">
        <v>3.0</v>
      </c>
      <c r="V1065" s="106">
        <v>0.0</v>
      </c>
      <c r="W1065" s="107">
        <v>0.0</v>
      </c>
      <c r="X1065" s="107">
        <v>0.0</v>
      </c>
      <c r="Y1065" s="107">
        <v>0.0</v>
      </c>
      <c r="Z1065" s="80">
        <v>0.0</v>
      </c>
      <c r="AA1065" s="140">
        <v>0.0</v>
      </c>
      <c r="AB1065" s="109">
        <v>0.0</v>
      </c>
      <c r="AC1065" s="109">
        <v>0.0</v>
      </c>
      <c r="AD1065" s="141">
        <v>0.0</v>
      </c>
      <c r="AE1065" s="80">
        <v>0.0</v>
      </c>
      <c r="AF1065" s="140">
        <v>0.0</v>
      </c>
      <c r="AG1065" s="109">
        <v>0.0</v>
      </c>
      <c r="AH1065" s="109">
        <v>63.0</v>
      </c>
      <c r="AI1065" s="141">
        <v>0.0</v>
      </c>
      <c r="AJ1065" s="80">
        <v>63.0</v>
      </c>
      <c r="AK1065" s="140">
        <v>0.0</v>
      </c>
      <c r="AL1065" s="109">
        <v>0.0</v>
      </c>
      <c r="AM1065" s="141">
        <v>0.0</v>
      </c>
      <c r="AN1065" s="80">
        <v>0.0</v>
      </c>
      <c r="AO1065" s="140">
        <v>0.0</v>
      </c>
      <c r="AP1065" s="109">
        <v>0.0</v>
      </c>
      <c r="AQ1065" s="109">
        <v>0.0</v>
      </c>
      <c r="AR1065" s="80">
        <v>0.0</v>
      </c>
      <c r="AS1065" s="110">
        <v>0.0</v>
      </c>
      <c r="AT1065" s="110">
        <v>0.0</v>
      </c>
      <c r="AU1065" s="110">
        <v>0.0</v>
      </c>
      <c r="AV1065" s="142">
        <v>0.0</v>
      </c>
      <c r="AW1065" s="80">
        <v>0.0</v>
      </c>
      <c r="AX1065" s="113">
        <v>63.0</v>
      </c>
      <c r="AY1065" s="117">
        <v>0.0</v>
      </c>
      <c r="AZ1065" s="328">
        <v>63.0</v>
      </c>
      <c r="BA1065" s="315">
        <v>0.0</v>
      </c>
      <c r="BB1065" s="316">
        <v>63.0</v>
      </c>
      <c r="BC1065" s="132" t="s">
        <v>373</v>
      </c>
      <c r="BD1065" s="132" t="s">
        <v>178</v>
      </c>
      <c r="BE1065" s="132" t="s">
        <v>178</v>
      </c>
      <c r="BF1065" s="123"/>
      <c r="BG1065" s="83">
        <v>1178256.0</v>
      </c>
      <c r="BH1065" s="112">
        <v>3.0</v>
      </c>
      <c r="BI1065" s="98" t="s">
        <v>155</v>
      </c>
      <c r="BJ1065" s="98" t="str">
        <f t="shared" si="1"/>
        <v>NÃO</v>
      </c>
      <c r="BK1065" s="98" t="str">
        <f t="shared" si="2"/>
        <v>NÃO</v>
      </c>
    </row>
    <row r="1066" ht="15.75" customHeight="1">
      <c r="A1066" s="111" t="s">
        <v>1281</v>
      </c>
      <c r="B1066" s="83" t="s">
        <v>5606</v>
      </c>
      <c r="C1066" s="83" t="s">
        <v>164</v>
      </c>
      <c r="D1066" s="83">
        <v>1178078.0</v>
      </c>
      <c r="E1066" s="83">
        <v>1178472.0</v>
      </c>
      <c r="F1066" s="83"/>
      <c r="G1066" s="114" t="s">
        <v>10278</v>
      </c>
      <c r="H1066" s="91" t="s">
        <v>5629</v>
      </c>
      <c r="I1066" s="114" t="s">
        <v>149</v>
      </c>
      <c r="J1066" s="83" t="s">
        <v>240</v>
      </c>
      <c r="K1066" s="83" t="s">
        <v>168</v>
      </c>
      <c r="L1066" s="83" t="s">
        <v>169</v>
      </c>
      <c r="M1066" s="82" t="s">
        <v>10263</v>
      </c>
      <c r="N1066" s="82" t="s">
        <v>10264</v>
      </c>
      <c r="O1066" s="82" t="s">
        <v>10265</v>
      </c>
      <c r="P1066" s="82" t="s">
        <v>10266</v>
      </c>
      <c r="Q1066" s="82"/>
      <c r="R1066" s="82"/>
      <c r="S1066" s="82" t="s">
        <v>10267</v>
      </c>
      <c r="T1066" s="138">
        <v>3.0</v>
      </c>
      <c r="U1066" s="341">
        <v>3.0</v>
      </c>
      <c r="V1066" s="106">
        <v>0.0</v>
      </c>
      <c r="W1066" s="107">
        <v>0.0</v>
      </c>
      <c r="X1066" s="107">
        <v>0.0</v>
      </c>
      <c r="Y1066" s="107">
        <v>0.0</v>
      </c>
      <c r="Z1066" s="80">
        <v>0.0</v>
      </c>
      <c r="AA1066" s="140">
        <v>0.0</v>
      </c>
      <c r="AB1066" s="109">
        <v>0.0</v>
      </c>
      <c r="AC1066" s="109">
        <v>0.0</v>
      </c>
      <c r="AD1066" s="141">
        <v>0.0</v>
      </c>
      <c r="AE1066" s="80">
        <v>0.0</v>
      </c>
      <c r="AF1066" s="140">
        <v>0.0</v>
      </c>
      <c r="AG1066" s="109">
        <v>0.0</v>
      </c>
      <c r="AH1066" s="109">
        <v>45.0</v>
      </c>
      <c r="AI1066" s="141">
        <v>0.0</v>
      </c>
      <c r="AJ1066" s="80">
        <v>45.0</v>
      </c>
      <c r="AK1066" s="140">
        <v>0.0</v>
      </c>
      <c r="AL1066" s="109">
        <v>0.0</v>
      </c>
      <c r="AM1066" s="141">
        <v>0.0</v>
      </c>
      <c r="AN1066" s="80">
        <v>0.0</v>
      </c>
      <c r="AO1066" s="140">
        <v>0.0</v>
      </c>
      <c r="AP1066" s="109">
        <v>0.0</v>
      </c>
      <c r="AQ1066" s="109">
        <v>0.0</v>
      </c>
      <c r="AR1066" s="80">
        <v>0.0</v>
      </c>
      <c r="AS1066" s="110">
        <v>0.0</v>
      </c>
      <c r="AT1066" s="110">
        <v>0.0</v>
      </c>
      <c r="AU1066" s="110">
        <v>0.0</v>
      </c>
      <c r="AV1066" s="142">
        <v>0.0</v>
      </c>
      <c r="AW1066" s="80">
        <v>0.0</v>
      </c>
      <c r="AX1066" s="113">
        <v>45.0</v>
      </c>
      <c r="AY1066" s="117">
        <v>0.0</v>
      </c>
      <c r="AZ1066" s="328">
        <v>45.0</v>
      </c>
      <c r="BA1066" s="315">
        <v>0.0</v>
      </c>
      <c r="BB1066" s="316">
        <v>45.0</v>
      </c>
      <c r="BC1066" s="132" t="s">
        <v>373</v>
      </c>
      <c r="BD1066" s="132" t="s">
        <v>178</v>
      </c>
      <c r="BE1066" s="132" t="s">
        <v>178</v>
      </c>
      <c r="BF1066" s="123"/>
      <c r="BG1066" s="83">
        <v>1178472.0</v>
      </c>
      <c r="BH1066" s="112">
        <v>3.0</v>
      </c>
      <c r="BI1066" s="98" t="s">
        <v>155</v>
      </c>
      <c r="BJ1066" s="98" t="str">
        <f t="shared" si="1"/>
        <v>NÃO</v>
      </c>
      <c r="BK1066" s="98" t="str">
        <f t="shared" si="2"/>
        <v>NÃO</v>
      </c>
    </row>
    <row r="1067" ht="15.75" customHeight="1">
      <c r="A1067" s="111" t="s">
        <v>1281</v>
      </c>
      <c r="B1067" s="83" t="s">
        <v>5632</v>
      </c>
      <c r="C1067" s="83" t="s">
        <v>68</v>
      </c>
      <c r="D1067" s="83">
        <v>1133936.0</v>
      </c>
      <c r="E1067" s="83"/>
      <c r="F1067" s="83">
        <v>2.9159318E7</v>
      </c>
      <c r="G1067" s="114" t="s">
        <v>10280</v>
      </c>
      <c r="H1067" s="91" t="s">
        <v>5634</v>
      </c>
      <c r="I1067" s="187" t="s">
        <v>149</v>
      </c>
      <c r="J1067" s="83" t="s">
        <v>150</v>
      </c>
      <c r="K1067" s="83" t="s">
        <v>151</v>
      </c>
      <c r="L1067" s="83" t="s">
        <v>152</v>
      </c>
      <c r="M1067" s="82" t="s">
        <v>10281</v>
      </c>
      <c r="N1067" s="82" t="s">
        <v>10282</v>
      </c>
      <c r="O1067" s="82" t="s">
        <v>10283</v>
      </c>
      <c r="P1067" s="82"/>
      <c r="Q1067" s="82"/>
      <c r="R1067" s="82"/>
      <c r="S1067" s="82" t="s">
        <v>10284</v>
      </c>
      <c r="T1067" s="138">
        <v>8.0</v>
      </c>
      <c r="U1067" s="341" t="s">
        <v>10285</v>
      </c>
      <c r="V1067" s="106">
        <v>0.0</v>
      </c>
      <c r="W1067" s="107">
        <v>0.0</v>
      </c>
      <c r="X1067" s="107">
        <v>0.0</v>
      </c>
      <c r="Y1067" s="107">
        <v>0.0</v>
      </c>
      <c r="Z1067" s="80">
        <v>0.0</v>
      </c>
      <c r="AA1067" s="140">
        <v>0.0</v>
      </c>
      <c r="AB1067" s="109">
        <v>0.0</v>
      </c>
      <c r="AC1067" s="109">
        <v>0.0</v>
      </c>
      <c r="AD1067" s="141">
        <v>0.0</v>
      </c>
      <c r="AE1067" s="80">
        <v>0.0</v>
      </c>
      <c r="AF1067" s="140">
        <v>0.0</v>
      </c>
      <c r="AG1067" s="109">
        <v>0.0</v>
      </c>
      <c r="AH1067" s="109">
        <v>26.0</v>
      </c>
      <c r="AI1067" s="141">
        <v>168.0</v>
      </c>
      <c r="AJ1067" s="80">
        <v>194.0</v>
      </c>
      <c r="AK1067" s="140">
        <v>0.0</v>
      </c>
      <c r="AL1067" s="109">
        <v>0.0</v>
      </c>
      <c r="AM1067" s="141">
        <v>0.0</v>
      </c>
      <c r="AN1067" s="80">
        <v>0.0</v>
      </c>
      <c r="AO1067" s="140">
        <v>0.0</v>
      </c>
      <c r="AP1067" s="109">
        <v>0.0</v>
      </c>
      <c r="AQ1067" s="109">
        <v>97.0</v>
      </c>
      <c r="AR1067" s="80">
        <v>97.0</v>
      </c>
      <c r="AS1067" s="110">
        <v>0.0</v>
      </c>
      <c r="AT1067" s="110">
        <v>0.0</v>
      </c>
      <c r="AU1067" s="110">
        <v>0.0</v>
      </c>
      <c r="AV1067" s="142">
        <v>0.0</v>
      </c>
      <c r="AW1067" s="80">
        <v>0.0</v>
      </c>
      <c r="AX1067" s="113">
        <v>291.0</v>
      </c>
      <c r="AY1067" s="117">
        <v>168.0</v>
      </c>
      <c r="AZ1067" s="328">
        <v>123.0</v>
      </c>
      <c r="BA1067" s="315">
        <v>1.0</v>
      </c>
      <c r="BB1067" s="316">
        <v>292.0</v>
      </c>
      <c r="BC1067" s="132" t="s">
        <v>178</v>
      </c>
      <c r="BD1067" s="132" t="s">
        <v>178</v>
      </c>
      <c r="BE1067" s="132" t="s">
        <v>178</v>
      </c>
      <c r="BF1067" s="123"/>
      <c r="BG1067" s="83">
        <v>1133936.0</v>
      </c>
      <c r="BH1067" s="112">
        <v>8.0</v>
      </c>
      <c r="BI1067" s="98" t="s">
        <v>155</v>
      </c>
      <c r="BJ1067" s="98" t="str">
        <f t="shared" si="1"/>
        <v>INTEGRAL</v>
      </c>
      <c r="BK1067" s="98" t="str">
        <f t="shared" si="2"/>
        <v>NÃO</v>
      </c>
    </row>
    <row r="1068" ht="15.75" customHeight="1">
      <c r="A1068" s="111" t="s">
        <v>1281</v>
      </c>
      <c r="B1068" s="83" t="s">
        <v>5636</v>
      </c>
      <c r="C1068" s="83" t="s">
        <v>68</v>
      </c>
      <c r="D1068" s="83">
        <v>1143494.0</v>
      </c>
      <c r="E1068" s="83"/>
      <c r="F1068" s="83">
        <v>2.9129435E7</v>
      </c>
      <c r="G1068" s="114" t="s">
        <v>10286</v>
      </c>
      <c r="H1068" s="91" t="s">
        <v>1656</v>
      </c>
      <c r="I1068" s="114" t="s">
        <v>149</v>
      </c>
      <c r="J1068" s="83" t="s">
        <v>150</v>
      </c>
      <c r="K1068" s="83" t="s">
        <v>151</v>
      </c>
      <c r="L1068" s="83" t="s">
        <v>76</v>
      </c>
      <c r="M1068" s="82" t="s">
        <v>10287</v>
      </c>
      <c r="N1068" s="82" t="s">
        <v>10288</v>
      </c>
      <c r="O1068" s="82" t="s">
        <v>10289</v>
      </c>
      <c r="P1068" s="82" t="s">
        <v>10290</v>
      </c>
      <c r="Q1068" s="82"/>
      <c r="R1068" s="82"/>
      <c r="S1068" s="82" t="s">
        <v>10291</v>
      </c>
      <c r="T1068" s="138">
        <v>8.0</v>
      </c>
      <c r="U1068" s="352" t="s">
        <v>10292</v>
      </c>
      <c r="V1068" s="106">
        <v>0.0</v>
      </c>
      <c r="W1068" s="107">
        <v>0.0</v>
      </c>
      <c r="X1068" s="107">
        <v>0.0</v>
      </c>
      <c r="Y1068" s="107">
        <v>0.0</v>
      </c>
      <c r="Z1068" s="80">
        <v>0.0</v>
      </c>
      <c r="AA1068" s="140">
        <v>0.0</v>
      </c>
      <c r="AB1068" s="109">
        <v>0.0</v>
      </c>
      <c r="AC1068" s="109">
        <v>0.0</v>
      </c>
      <c r="AD1068" s="141">
        <v>0.0</v>
      </c>
      <c r="AE1068" s="80">
        <v>0.0</v>
      </c>
      <c r="AF1068" s="140">
        <v>321.0</v>
      </c>
      <c r="AG1068" s="109">
        <v>179.0</v>
      </c>
      <c r="AH1068" s="109">
        <v>0.0</v>
      </c>
      <c r="AI1068" s="141">
        <v>0.0</v>
      </c>
      <c r="AJ1068" s="80">
        <v>500.0</v>
      </c>
      <c r="AK1068" s="140">
        <v>0.0</v>
      </c>
      <c r="AL1068" s="109">
        <v>0.0</v>
      </c>
      <c r="AM1068" s="141">
        <v>0.0</v>
      </c>
      <c r="AN1068" s="80">
        <v>0.0</v>
      </c>
      <c r="AO1068" s="140">
        <v>0.0</v>
      </c>
      <c r="AP1068" s="109">
        <v>0.0</v>
      </c>
      <c r="AQ1068" s="109">
        <v>77.0</v>
      </c>
      <c r="AR1068" s="80">
        <v>77.0</v>
      </c>
      <c r="AS1068" s="110">
        <v>0.0</v>
      </c>
      <c r="AT1068" s="110">
        <v>0.0</v>
      </c>
      <c r="AU1068" s="110">
        <v>0.0</v>
      </c>
      <c r="AV1068" s="142">
        <v>0.0</v>
      </c>
      <c r="AW1068" s="80">
        <v>0.0</v>
      </c>
      <c r="AX1068" s="113">
        <v>577.0</v>
      </c>
      <c r="AY1068" s="117">
        <v>500.0</v>
      </c>
      <c r="AZ1068" s="328">
        <v>77.0</v>
      </c>
      <c r="BA1068" s="315">
        <v>0.0</v>
      </c>
      <c r="BB1068" s="316">
        <v>577.0</v>
      </c>
      <c r="BC1068" s="132" t="s">
        <v>178</v>
      </c>
      <c r="BD1068" s="132" t="s">
        <v>178</v>
      </c>
      <c r="BE1068" s="132" t="s">
        <v>178</v>
      </c>
      <c r="BF1068" s="123"/>
      <c r="BG1068" s="83">
        <v>1143494.0</v>
      </c>
      <c r="BH1068" s="112">
        <v>7.0</v>
      </c>
      <c r="BI1068" s="98" t="s">
        <v>155</v>
      </c>
      <c r="BJ1068" s="98" t="str">
        <f t="shared" si="1"/>
        <v>NÃO</v>
      </c>
      <c r="BK1068" s="98" t="str">
        <f t="shared" si="2"/>
        <v>NÃO</v>
      </c>
    </row>
    <row r="1069" ht="15.75" customHeight="1">
      <c r="A1069" s="111" t="s">
        <v>1281</v>
      </c>
      <c r="B1069" s="83" t="s">
        <v>5636</v>
      </c>
      <c r="C1069" s="83" t="s">
        <v>68</v>
      </c>
      <c r="D1069" s="83">
        <v>1179315.0</v>
      </c>
      <c r="E1069" s="83"/>
      <c r="F1069" s="83">
        <v>2.9459915E7</v>
      </c>
      <c r="G1069" s="114" t="s">
        <v>10293</v>
      </c>
      <c r="H1069" s="91" t="s">
        <v>5638</v>
      </c>
      <c r="I1069" s="114" t="s">
        <v>5639</v>
      </c>
      <c r="J1069" s="83" t="s">
        <v>315</v>
      </c>
      <c r="K1069" s="83" t="s">
        <v>151</v>
      </c>
      <c r="L1069" s="83" t="s">
        <v>152</v>
      </c>
      <c r="M1069" s="82" t="s">
        <v>10294</v>
      </c>
      <c r="N1069" s="82" t="s">
        <v>10295</v>
      </c>
      <c r="O1069" s="82" t="s">
        <v>10296</v>
      </c>
      <c r="P1069" s="82" t="s">
        <v>10297</v>
      </c>
      <c r="Q1069" s="82" t="s">
        <v>10298</v>
      </c>
      <c r="R1069" s="82" t="s">
        <v>10299</v>
      </c>
      <c r="S1069" s="82"/>
      <c r="T1069" s="138">
        <v>7.0</v>
      </c>
      <c r="U1069" s="514" t="s">
        <v>8869</v>
      </c>
      <c r="V1069" s="106">
        <v>0.0</v>
      </c>
      <c r="W1069" s="107">
        <v>0.0</v>
      </c>
      <c r="X1069" s="107">
        <v>0.0</v>
      </c>
      <c r="Y1069" s="107">
        <v>0.0</v>
      </c>
      <c r="Z1069" s="80">
        <v>0.0</v>
      </c>
      <c r="AA1069" s="140">
        <v>0.0</v>
      </c>
      <c r="AB1069" s="109">
        <v>0.0</v>
      </c>
      <c r="AC1069" s="109">
        <v>0.0</v>
      </c>
      <c r="AD1069" s="141">
        <v>0.0</v>
      </c>
      <c r="AE1069" s="80">
        <v>0.0</v>
      </c>
      <c r="AF1069" s="140">
        <v>220.0</v>
      </c>
      <c r="AG1069" s="109">
        <v>210.0</v>
      </c>
      <c r="AH1069" s="109">
        <v>54.0</v>
      </c>
      <c r="AI1069" s="141">
        <v>0.0</v>
      </c>
      <c r="AJ1069" s="80">
        <v>484.0</v>
      </c>
      <c r="AK1069" s="140">
        <v>0.0</v>
      </c>
      <c r="AL1069" s="109">
        <v>0.0</v>
      </c>
      <c r="AM1069" s="141">
        <v>0.0</v>
      </c>
      <c r="AN1069" s="80">
        <v>0.0</v>
      </c>
      <c r="AO1069" s="140">
        <v>0.0</v>
      </c>
      <c r="AP1069" s="109">
        <v>0.0</v>
      </c>
      <c r="AQ1069" s="109">
        <v>205.0</v>
      </c>
      <c r="AR1069" s="80">
        <v>205.0</v>
      </c>
      <c r="AS1069" s="110">
        <v>0.0</v>
      </c>
      <c r="AT1069" s="110">
        <v>0.0</v>
      </c>
      <c r="AU1069" s="110">
        <v>0.0</v>
      </c>
      <c r="AV1069" s="142">
        <v>0.0</v>
      </c>
      <c r="AW1069" s="80">
        <v>0.0</v>
      </c>
      <c r="AX1069" s="113">
        <v>689.0</v>
      </c>
      <c r="AY1069" s="117">
        <v>430.0</v>
      </c>
      <c r="AZ1069" s="328">
        <v>259.0</v>
      </c>
      <c r="BA1069" s="315">
        <v>0.0</v>
      </c>
      <c r="BB1069" s="316">
        <v>689.0</v>
      </c>
      <c r="BC1069" s="132" t="s">
        <v>373</v>
      </c>
      <c r="BD1069" s="132" t="s">
        <v>178</v>
      </c>
      <c r="BE1069" s="132" t="s">
        <v>178</v>
      </c>
      <c r="BF1069" s="156"/>
      <c r="BG1069" s="83">
        <v>1179315.0</v>
      </c>
      <c r="BH1069" s="112">
        <v>7.0</v>
      </c>
      <c r="BI1069" s="98" t="s">
        <v>155</v>
      </c>
      <c r="BJ1069" s="98" t="str">
        <f t="shared" si="1"/>
        <v>NÃO</v>
      </c>
      <c r="BK1069" s="98" t="str">
        <f t="shared" si="2"/>
        <v>NÃO</v>
      </c>
    </row>
    <row r="1070" ht="15.75" customHeight="1">
      <c r="A1070" s="111" t="s">
        <v>1281</v>
      </c>
      <c r="B1070" s="83" t="s">
        <v>5651</v>
      </c>
      <c r="C1070" s="83" t="s">
        <v>68</v>
      </c>
      <c r="D1070" s="83">
        <v>1108141.0</v>
      </c>
      <c r="E1070" s="83"/>
      <c r="F1070" s="83">
        <v>2.9157536E7</v>
      </c>
      <c r="G1070" s="185" t="s">
        <v>10300</v>
      </c>
      <c r="H1070" s="91" t="s">
        <v>5653</v>
      </c>
      <c r="I1070" s="114" t="s">
        <v>149</v>
      </c>
      <c r="J1070" s="83" t="s">
        <v>150</v>
      </c>
      <c r="K1070" s="83" t="s">
        <v>151</v>
      </c>
      <c r="L1070" s="83" t="s">
        <v>76</v>
      </c>
      <c r="M1070" s="82" t="s">
        <v>10301</v>
      </c>
      <c r="N1070" s="82" t="s">
        <v>10303</v>
      </c>
      <c r="O1070" s="82" t="s">
        <v>10304</v>
      </c>
      <c r="P1070" s="82" t="s">
        <v>10305</v>
      </c>
      <c r="Q1070" s="82"/>
      <c r="R1070" s="82"/>
      <c r="S1070" s="82" t="s">
        <v>10306</v>
      </c>
      <c r="T1070" s="138">
        <v>5.0</v>
      </c>
      <c r="U1070" s="339" t="s">
        <v>3687</v>
      </c>
      <c r="V1070" s="106">
        <v>0.0</v>
      </c>
      <c r="W1070" s="107">
        <v>0.0</v>
      </c>
      <c r="X1070" s="107">
        <v>0.0</v>
      </c>
      <c r="Y1070" s="107">
        <v>0.0</v>
      </c>
      <c r="Z1070" s="80">
        <v>0.0</v>
      </c>
      <c r="AA1070" s="140">
        <v>0.0</v>
      </c>
      <c r="AB1070" s="109">
        <v>0.0</v>
      </c>
      <c r="AC1070" s="109">
        <v>0.0</v>
      </c>
      <c r="AD1070" s="141">
        <v>0.0</v>
      </c>
      <c r="AE1070" s="80">
        <v>0.0</v>
      </c>
      <c r="AF1070" s="140">
        <v>128.0</v>
      </c>
      <c r="AG1070" s="109">
        <v>96.0</v>
      </c>
      <c r="AH1070" s="109">
        <v>0.0</v>
      </c>
      <c r="AI1070" s="141">
        <v>0.0</v>
      </c>
      <c r="AJ1070" s="80">
        <v>224.0</v>
      </c>
      <c r="AK1070" s="140">
        <v>0.0</v>
      </c>
      <c r="AL1070" s="109">
        <v>0.0</v>
      </c>
      <c r="AM1070" s="141">
        <v>0.0</v>
      </c>
      <c r="AN1070" s="80">
        <v>0.0</v>
      </c>
      <c r="AO1070" s="140">
        <v>0.0</v>
      </c>
      <c r="AP1070" s="109">
        <v>0.0</v>
      </c>
      <c r="AQ1070" s="109">
        <v>50.0</v>
      </c>
      <c r="AR1070" s="80">
        <v>50.0</v>
      </c>
      <c r="AS1070" s="110">
        <v>0.0</v>
      </c>
      <c r="AT1070" s="110">
        <v>0.0</v>
      </c>
      <c r="AU1070" s="110">
        <v>0.0</v>
      </c>
      <c r="AV1070" s="142">
        <v>0.0</v>
      </c>
      <c r="AW1070" s="80">
        <v>0.0</v>
      </c>
      <c r="AX1070" s="113">
        <v>274.0</v>
      </c>
      <c r="AY1070" s="117">
        <v>224.0</v>
      </c>
      <c r="AZ1070" s="328">
        <v>50.0</v>
      </c>
      <c r="BA1070" s="315">
        <v>0.0</v>
      </c>
      <c r="BB1070" s="316">
        <v>274.0</v>
      </c>
      <c r="BC1070" s="132" t="s">
        <v>178</v>
      </c>
      <c r="BD1070" s="132" t="s">
        <v>178</v>
      </c>
      <c r="BE1070" s="132" t="s">
        <v>178</v>
      </c>
      <c r="BF1070" s="156"/>
      <c r="BG1070" s="83">
        <v>1108141.0</v>
      </c>
      <c r="BH1070" s="112">
        <v>5.0</v>
      </c>
      <c r="BI1070" s="98" t="s">
        <v>155</v>
      </c>
      <c r="BJ1070" s="98" t="str">
        <f t="shared" si="1"/>
        <v>NÃO</v>
      </c>
      <c r="BK1070" s="98" t="str">
        <f t="shared" si="2"/>
        <v>NÃO</v>
      </c>
    </row>
    <row r="1071" ht="15.75" customHeight="1">
      <c r="A1071" s="111" t="s">
        <v>1281</v>
      </c>
      <c r="B1071" s="83" t="s">
        <v>5651</v>
      </c>
      <c r="C1071" s="83" t="s">
        <v>164</v>
      </c>
      <c r="D1071" s="83">
        <v>1108141.0</v>
      </c>
      <c r="E1071" s="83">
        <v>1179384.0</v>
      </c>
      <c r="F1071" s="83"/>
      <c r="G1071" s="185" t="s">
        <v>10307</v>
      </c>
      <c r="H1071" s="91" t="s">
        <v>5653</v>
      </c>
      <c r="I1071" s="298" t="s">
        <v>149</v>
      </c>
      <c r="J1071" s="83" t="s">
        <v>3645</v>
      </c>
      <c r="K1071" s="83" t="s">
        <v>168</v>
      </c>
      <c r="L1071" s="83" t="s">
        <v>169</v>
      </c>
      <c r="M1071" s="82" t="s">
        <v>10301</v>
      </c>
      <c r="N1071" s="82" t="s">
        <v>10303</v>
      </c>
      <c r="O1071" s="82" t="s">
        <v>10304</v>
      </c>
      <c r="P1071" s="82" t="s">
        <v>10305</v>
      </c>
      <c r="Q1071" s="82"/>
      <c r="R1071" s="82"/>
      <c r="S1071" s="82" t="s">
        <v>10306</v>
      </c>
      <c r="T1071" s="138">
        <v>2.0</v>
      </c>
      <c r="U1071" s="323">
        <v>2.0</v>
      </c>
      <c r="V1071" s="106">
        <v>0.0</v>
      </c>
      <c r="W1071" s="107">
        <v>0.0</v>
      </c>
      <c r="X1071" s="107">
        <v>0.0</v>
      </c>
      <c r="Y1071" s="107">
        <v>0.0</v>
      </c>
      <c r="Z1071" s="80">
        <v>0.0</v>
      </c>
      <c r="AA1071" s="140">
        <v>0.0</v>
      </c>
      <c r="AB1071" s="109">
        <v>0.0</v>
      </c>
      <c r="AC1071" s="109">
        <v>0.0</v>
      </c>
      <c r="AD1071" s="141">
        <v>0.0</v>
      </c>
      <c r="AE1071" s="80">
        <v>0.0</v>
      </c>
      <c r="AF1071" s="140">
        <v>0.0</v>
      </c>
      <c r="AG1071" s="109">
        <v>0.0</v>
      </c>
      <c r="AH1071" s="109">
        <v>22.0</v>
      </c>
      <c r="AI1071" s="141">
        <v>0.0</v>
      </c>
      <c r="AJ1071" s="80">
        <v>22.0</v>
      </c>
      <c r="AK1071" s="140">
        <v>0.0</v>
      </c>
      <c r="AL1071" s="109">
        <v>0.0</v>
      </c>
      <c r="AM1071" s="141">
        <v>0.0</v>
      </c>
      <c r="AN1071" s="80">
        <v>0.0</v>
      </c>
      <c r="AO1071" s="140">
        <v>0.0</v>
      </c>
      <c r="AP1071" s="109">
        <v>0.0</v>
      </c>
      <c r="AQ1071" s="109">
        <v>0.0</v>
      </c>
      <c r="AR1071" s="80">
        <v>0.0</v>
      </c>
      <c r="AS1071" s="110">
        <v>0.0</v>
      </c>
      <c r="AT1071" s="110">
        <v>0.0</v>
      </c>
      <c r="AU1071" s="110">
        <v>0.0</v>
      </c>
      <c r="AV1071" s="142">
        <v>0.0</v>
      </c>
      <c r="AW1071" s="80">
        <v>0.0</v>
      </c>
      <c r="AX1071" s="113">
        <v>22.0</v>
      </c>
      <c r="AY1071" s="117">
        <v>0.0</v>
      </c>
      <c r="AZ1071" s="328">
        <v>22.0</v>
      </c>
      <c r="BA1071" s="315">
        <v>0.0</v>
      </c>
      <c r="BB1071" s="316">
        <v>22.0</v>
      </c>
      <c r="BC1071" s="132" t="s">
        <v>373</v>
      </c>
      <c r="BD1071" s="132" t="s">
        <v>178</v>
      </c>
      <c r="BE1071" s="132" t="s">
        <v>178</v>
      </c>
      <c r="BF1071" s="156"/>
      <c r="BG1071" s="83">
        <v>1179384.0</v>
      </c>
      <c r="BH1071" s="112">
        <v>2.0</v>
      </c>
      <c r="BI1071" s="98" t="s">
        <v>155</v>
      </c>
      <c r="BJ1071" s="98" t="str">
        <f t="shared" si="1"/>
        <v>NÃO</v>
      </c>
      <c r="BK1071" s="98" t="str">
        <f t="shared" si="2"/>
        <v>NÃO</v>
      </c>
    </row>
    <row r="1072" ht="15.75" customHeight="1">
      <c r="A1072" s="111" t="s">
        <v>1281</v>
      </c>
      <c r="B1072" s="83" t="s">
        <v>5651</v>
      </c>
      <c r="C1072" s="83" t="s">
        <v>164</v>
      </c>
      <c r="D1072" s="83">
        <v>1108141.0</v>
      </c>
      <c r="E1072" s="83">
        <v>1178475.0</v>
      </c>
      <c r="F1072" s="83"/>
      <c r="G1072" s="185" t="s">
        <v>10308</v>
      </c>
      <c r="H1072" s="91" t="s">
        <v>5666</v>
      </c>
      <c r="I1072" s="114" t="s">
        <v>5667</v>
      </c>
      <c r="J1072" s="83" t="s">
        <v>1946</v>
      </c>
      <c r="K1072" s="83" t="s">
        <v>151</v>
      </c>
      <c r="L1072" s="83" t="s">
        <v>169</v>
      </c>
      <c r="M1072" s="82" t="s">
        <v>10301</v>
      </c>
      <c r="N1072" s="82" t="s">
        <v>10303</v>
      </c>
      <c r="O1072" s="82" t="s">
        <v>10304</v>
      </c>
      <c r="P1072" s="82" t="s">
        <v>10305</v>
      </c>
      <c r="Q1072" s="82"/>
      <c r="R1072" s="82"/>
      <c r="S1072" s="82" t="s">
        <v>10306</v>
      </c>
      <c r="T1072" s="138">
        <v>3.0</v>
      </c>
      <c r="U1072" s="323">
        <v>3.0</v>
      </c>
      <c r="V1072" s="106">
        <v>0.0</v>
      </c>
      <c r="W1072" s="107">
        <v>0.0</v>
      </c>
      <c r="X1072" s="107">
        <v>0.0</v>
      </c>
      <c r="Y1072" s="107">
        <v>0.0</v>
      </c>
      <c r="Z1072" s="80">
        <v>0.0</v>
      </c>
      <c r="AA1072" s="140">
        <v>0.0</v>
      </c>
      <c r="AB1072" s="109">
        <v>0.0</v>
      </c>
      <c r="AC1072" s="109">
        <v>0.0</v>
      </c>
      <c r="AD1072" s="141">
        <v>0.0</v>
      </c>
      <c r="AE1072" s="80">
        <v>0.0</v>
      </c>
      <c r="AF1072" s="140">
        <v>0.0</v>
      </c>
      <c r="AG1072" s="109">
        <v>0.0</v>
      </c>
      <c r="AH1072" s="109">
        <v>28.0</v>
      </c>
      <c r="AI1072" s="141">
        <v>0.0</v>
      </c>
      <c r="AJ1072" s="80">
        <v>28.0</v>
      </c>
      <c r="AK1072" s="140">
        <v>0.0</v>
      </c>
      <c r="AL1072" s="109">
        <v>0.0</v>
      </c>
      <c r="AM1072" s="141">
        <v>0.0</v>
      </c>
      <c r="AN1072" s="80">
        <v>0.0</v>
      </c>
      <c r="AO1072" s="140">
        <v>0.0</v>
      </c>
      <c r="AP1072" s="109">
        <v>0.0</v>
      </c>
      <c r="AQ1072" s="109">
        <v>0.0</v>
      </c>
      <c r="AR1072" s="80">
        <v>0.0</v>
      </c>
      <c r="AS1072" s="110">
        <v>0.0</v>
      </c>
      <c r="AT1072" s="110">
        <v>0.0</v>
      </c>
      <c r="AU1072" s="110">
        <v>0.0</v>
      </c>
      <c r="AV1072" s="142">
        <v>0.0</v>
      </c>
      <c r="AW1072" s="80">
        <v>0.0</v>
      </c>
      <c r="AX1072" s="113">
        <v>28.0</v>
      </c>
      <c r="AY1072" s="117">
        <v>0.0</v>
      </c>
      <c r="AZ1072" s="328">
        <v>28.0</v>
      </c>
      <c r="BA1072" s="315">
        <v>0.0</v>
      </c>
      <c r="BB1072" s="316">
        <v>28.0</v>
      </c>
      <c r="BC1072" s="132" t="s">
        <v>373</v>
      </c>
      <c r="BD1072" s="132" t="s">
        <v>178</v>
      </c>
      <c r="BE1072" s="132" t="s">
        <v>178</v>
      </c>
      <c r="BF1072" s="123"/>
      <c r="BG1072" s="83">
        <v>1178475.0</v>
      </c>
      <c r="BH1072" s="112">
        <v>3.0</v>
      </c>
      <c r="BI1072" s="98" t="s">
        <v>155</v>
      </c>
      <c r="BJ1072" s="98" t="str">
        <f t="shared" si="1"/>
        <v>NÃO</v>
      </c>
      <c r="BK1072" s="98" t="str">
        <f t="shared" si="2"/>
        <v>NÃO</v>
      </c>
    </row>
    <row r="1073" ht="15.75" customHeight="1">
      <c r="A1073" s="111" t="s">
        <v>1281</v>
      </c>
      <c r="B1073" s="83" t="s">
        <v>5651</v>
      </c>
      <c r="C1073" s="83" t="s">
        <v>164</v>
      </c>
      <c r="D1073" s="83">
        <v>1108141.0</v>
      </c>
      <c r="E1073" s="83">
        <v>1178474.0</v>
      </c>
      <c r="F1073" s="83"/>
      <c r="G1073" s="185" t="s">
        <v>10310</v>
      </c>
      <c r="H1073" s="91" t="s">
        <v>5669</v>
      </c>
      <c r="I1073" s="114" t="s">
        <v>5670</v>
      </c>
      <c r="J1073" s="83" t="s">
        <v>305</v>
      </c>
      <c r="K1073" s="83" t="s">
        <v>168</v>
      </c>
      <c r="L1073" s="83" t="s">
        <v>169</v>
      </c>
      <c r="M1073" s="82" t="s">
        <v>10301</v>
      </c>
      <c r="N1073" s="82" t="s">
        <v>10303</v>
      </c>
      <c r="O1073" s="82" t="s">
        <v>10304</v>
      </c>
      <c r="P1073" s="82" t="s">
        <v>10305</v>
      </c>
      <c r="Q1073" s="82"/>
      <c r="R1073" s="82"/>
      <c r="S1073" s="82" t="s">
        <v>10306</v>
      </c>
      <c r="T1073" s="138">
        <v>3.0</v>
      </c>
      <c r="U1073" s="323">
        <v>3.0</v>
      </c>
      <c r="V1073" s="106">
        <v>0.0</v>
      </c>
      <c r="W1073" s="107">
        <v>0.0</v>
      </c>
      <c r="X1073" s="107">
        <v>0.0</v>
      </c>
      <c r="Y1073" s="107">
        <v>0.0</v>
      </c>
      <c r="Z1073" s="80">
        <v>0.0</v>
      </c>
      <c r="AA1073" s="140">
        <v>0.0</v>
      </c>
      <c r="AB1073" s="109">
        <v>0.0</v>
      </c>
      <c r="AC1073" s="109">
        <v>0.0</v>
      </c>
      <c r="AD1073" s="141">
        <v>0.0</v>
      </c>
      <c r="AE1073" s="80">
        <v>0.0</v>
      </c>
      <c r="AF1073" s="140">
        <v>0.0</v>
      </c>
      <c r="AG1073" s="109">
        <v>0.0</v>
      </c>
      <c r="AH1073" s="109">
        <v>38.0</v>
      </c>
      <c r="AI1073" s="141">
        <v>0.0</v>
      </c>
      <c r="AJ1073" s="80">
        <v>38.0</v>
      </c>
      <c r="AK1073" s="140">
        <v>0.0</v>
      </c>
      <c r="AL1073" s="109">
        <v>0.0</v>
      </c>
      <c r="AM1073" s="141">
        <v>0.0</v>
      </c>
      <c r="AN1073" s="80">
        <v>0.0</v>
      </c>
      <c r="AO1073" s="140">
        <v>0.0</v>
      </c>
      <c r="AP1073" s="109">
        <v>0.0</v>
      </c>
      <c r="AQ1073" s="109">
        <v>0.0</v>
      </c>
      <c r="AR1073" s="80">
        <v>0.0</v>
      </c>
      <c r="AS1073" s="110">
        <v>0.0</v>
      </c>
      <c r="AT1073" s="110">
        <v>0.0</v>
      </c>
      <c r="AU1073" s="110">
        <v>0.0</v>
      </c>
      <c r="AV1073" s="142">
        <v>0.0</v>
      </c>
      <c r="AW1073" s="80">
        <v>0.0</v>
      </c>
      <c r="AX1073" s="113">
        <v>38.0</v>
      </c>
      <c r="AY1073" s="117">
        <v>0.0</v>
      </c>
      <c r="AZ1073" s="328">
        <v>38.0</v>
      </c>
      <c r="BA1073" s="315">
        <v>0.0</v>
      </c>
      <c r="BB1073" s="316">
        <v>38.0</v>
      </c>
      <c r="BC1073" s="132" t="s">
        <v>373</v>
      </c>
      <c r="BD1073" s="132" t="s">
        <v>178</v>
      </c>
      <c r="BE1073" s="132" t="s">
        <v>178</v>
      </c>
      <c r="BF1073" s="156"/>
      <c r="BG1073" s="83">
        <v>1178474.0</v>
      </c>
      <c r="BH1073" s="112">
        <v>3.0</v>
      </c>
      <c r="BI1073" s="98" t="s">
        <v>155</v>
      </c>
      <c r="BJ1073" s="98" t="str">
        <f t="shared" si="1"/>
        <v>NÃO</v>
      </c>
      <c r="BK1073" s="98" t="str">
        <f t="shared" si="2"/>
        <v>NÃO</v>
      </c>
    </row>
    <row r="1074" ht="15.75" customHeight="1">
      <c r="A1074" s="111" t="s">
        <v>1281</v>
      </c>
      <c r="B1074" s="83" t="s">
        <v>5651</v>
      </c>
      <c r="C1074" s="83" t="s">
        <v>164</v>
      </c>
      <c r="D1074" s="83">
        <v>1108141.0</v>
      </c>
      <c r="E1074" s="83">
        <v>1179049.0</v>
      </c>
      <c r="F1074" s="83"/>
      <c r="G1074" s="185" t="s">
        <v>10311</v>
      </c>
      <c r="H1074" s="91" t="s">
        <v>5678</v>
      </c>
      <c r="I1074" s="298" t="s">
        <v>149</v>
      </c>
      <c r="J1074" s="83" t="s">
        <v>467</v>
      </c>
      <c r="K1074" s="83" t="s">
        <v>151</v>
      </c>
      <c r="L1074" s="83" t="s">
        <v>169</v>
      </c>
      <c r="M1074" s="82" t="s">
        <v>10301</v>
      </c>
      <c r="N1074" s="82" t="s">
        <v>10303</v>
      </c>
      <c r="O1074" s="82" t="s">
        <v>10304</v>
      </c>
      <c r="P1074" s="82" t="s">
        <v>10305</v>
      </c>
      <c r="Q1074" s="82"/>
      <c r="R1074" s="82"/>
      <c r="S1074" s="82" t="s">
        <v>10306</v>
      </c>
      <c r="T1074" s="138">
        <v>3.0</v>
      </c>
      <c r="U1074" s="323">
        <v>3.0</v>
      </c>
      <c r="V1074" s="106">
        <v>0.0</v>
      </c>
      <c r="W1074" s="107">
        <v>0.0</v>
      </c>
      <c r="X1074" s="107">
        <v>0.0</v>
      </c>
      <c r="Y1074" s="107">
        <v>0.0</v>
      </c>
      <c r="Z1074" s="80">
        <v>0.0</v>
      </c>
      <c r="AA1074" s="140">
        <v>0.0</v>
      </c>
      <c r="AB1074" s="109">
        <v>0.0</v>
      </c>
      <c r="AC1074" s="109">
        <v>0.0</v>
      </c>
      <c r="AD1074" s="141">
        <v>0.0</v>
      </c>
      <c r="AE1074" s="80">
        <v>0.0</v>
      </c>
      <c r="AF1074" s="140">
        <v>0.0</v>
      </c>
      <c r="AG1074" s="109">
        <v>0.0</v>
      </c>
      <c r="AH1074" s="109">
        <v>37.0</v>
      </c>
      <c r="AI1074" s="141">
        <v>0.0</v>
      </c>
      <c r="AJ1074" s="80">
        <v>37.0</v>
      </c>
      <c r="AK1074" s="140">
        <v>0.0</v>
      </c>
      <c r="AL1074" s="109">
        <v>0.0</v>
      </c>
      <c r="AM1074" s="141">
        <v>0.0</v>
      </c>
      <c r="AN1074" s="80">
        <v>0.0</v>
      </c>
      <c r="AO1074" s="140">
        <v>0.0</v>
      </c>
      <c r="AP1074" s="109">
        <v>0.0</v>
      </c>
      <c r="AQ1074" s="109">
        <v>0.0</v>
      </c>
      <c r="AR1074" s="80">
        <v>0.0</v>
      </c>
      <c r="AS1074" s="110">
        <v>0.0</v>
      </c>
      <c r="AT1074" s="110">
        <v>0.0</v>
      </c>
      <c r="AU1074" s="110">
        <v>0.0</v>
      </c>
      <c r="AV1074" s="142">
        <v>0.0</v>
      </c>
      <c r="AW1074" s="80">
        <v>0.0</v>
      </c>
      <c r="AX1074" s="113">
        <v>37.0</v>
      </c>
      <c r="AY1074" s="117">
        <v>0.0</v>
      </c>
      <c r="AZ1074" s="328">
        <v>37.0</v>
      </c>
      <c r="BA1074" s="315">
        <v>0.0</v>
      </c>
      <c r="BB1074" s="316">
        <v>37.0</v>
      </c>
      <c r="BC1074" s="132" t="s">
        <v>373</v>
      </c>
      <c r="BD1074" s="132" t="s">
        <v>178</v>
      </c>
      <c r="BE1074" s="132" t="s">
        <v>178</v>
      </c>
      <c r="BF1074" s="123"/>
      <c r="BG1074" s="83">
        <v>1179049.0</v>
      </c>
      <c r="BH1074" s="112">
        <v>3.0</v>
      </c>
      <c r="BI1074" s="98" t="s">
        <v>155</v>
      </c>
      <c r="BJ1074" s="98" t="str">
        <f t="shared" si="1"/>
        <v>NÃO</v>
      </c>
      <c r="BK1074" s="98" t="str">
        <f t="shared" si="2"/>
        <v>NÃO</v>
      </c>
    </row>
    <row r="1075" ht="15.75" customHeight="1">
      <c r="A1075" s="111" t="s">
        <v>1281</v>
      </c>
      <c r="B1075" s="83" t="s">
        <v>2287</v>
      </c>
      <c r="C1075" s="83" t="s">
        <v>68</v>
      </c>
      <c r="D1075" s="83">
        <v>1115229.0</v>
      </c>
      <c r="E1075" s="83"/>
      <c r="F1075" s="83">
        <v>2.9131553E7</v>
      </c>
      <c r="G1075" s="185" t="s">
        <v>10313</v>
      </c>
      <c r="H1075" s="91" t="s">
        <v>5680</v>
      </c>
      <c r="I1075" s="114" t="s">
        <v>149</v>
      </c>
      <c r="J1075" s="83" t="s">
        <v>150</v>
      </c>
      <c r="K1075" s="83" t="s">
        <v>151</v>
      </c>
      <c r="L1075" s="83" t="s">
        <v>230</v>
      </c>
      <c r="M1075" s="82" t="s">
        <v>10314</v>
      </c>
      <c r="N1075" s="82" t="s">
        <v>10315</v>
      </c>
      <c r="O1075" s="82" t="s">
        <v>10316</v>
      </c>
      <c r="P1075" s="82" t="s">
        <v>10317</v>
      </c>
      <c r="Q1075" s="82" t="s">
        <v>10318</v>
      </c>
      <c r="R1075" s="82"/>
      <c r="S1075" s="82" t="s">
        <v>10319</v>
      </c>
      <c r="T1075" s="138">
        <v>11.0</v>
      </c>
      <c r="U1075" s="323" t="s">
        <v>10320</v>
      </c>
      <c r="V1075" s="106">
        <v>0.0</v>
      </c>
      <c r="W1075" s="107">
        <v>0.0</v>
      </c>
      <c r="X1075" s="107">
        <v>0.0</v>
      </c>
      <c r="Y1075" s="107">
        <v>0.0</v>
      </c>
      <c r="Z1075" s="80">
        <v>0.0</v>
      </c>
      <c r="AA1075" s="140">
        <v>0.0</v>
      </c>
      <c r="AB1075" s="109">
        <v>0.0</v>
      </c>
      <c r="AC1075" s="109">
        <v>0.0</v>
      </c>
      <c r="AD1075" s="141">
        <v>0.0</v>
      </c>
      <c r="AE1075" s="80">
        <v>0.0</v>
      </c>
      <c r="AF1075" s="140">
        <v>0.0</v>
      </c>
      <c r="AG1075" s="109">
        <v>0.0</v>
      </c>
      <c r="AH1075" s="109">
        <v>75.0</v>
      </c>
      <c r="AI1075" s="141">
        <v>271.0</v>
      </c>
      <c r="AJ1075" s="80">
        <v>346.0</v>
      </c>
      <c r="AK1075" s="140">
        <v>0.0</v>
      </c>
      <c r="AL1075" s="109">
        <v>0.0</v>
      </c>
      <c r="AM1075" s="141">
        <v>0.0</v>
      </c>
      <c r="AN1075" s="80">
        <v>0.0</v>
      </c>
      <c r="AO1075" s="140">
        <v>0.0</v>
      </c>
      <c r="AP1075" s="109">
        <v>0.0</v>
      </c>
      <c r="AQ1075" s="109">
        <v>91.0</v>
      </c>
      <c r="AR1075" s="80">
        <v>91.0</v>
      </c>
      <c r="AS1075" s="110">
        <v>0.0</v>
      </c>
      <c r="AT1075" s="110">
        <v>0.0</v>
      </c>
      <c r="AU1075" s="110">
        <v>73.0</v>
      </c>
      <c r="AV1075" s="142">
        <v>146.0</v>
      </c>
      <c r="AW1075" s="80">
        <v>219.0</v>
      </c>
      <c r="AX1075" s="113">
        <v>656.0</v>
      </c>
      <c r="AY1075" s="117">
        <v>417.0</v>
      </c>
      <c r="AZ1075" s="328">
        <v>239.0</v>
      </c>
      <c r="BA1075" s="315">
        <v>0.0</v>
      </c>
      <c r="BB1075" s="316">
        <v>656.0</v>
      </c>
      <c r="BC1075" s="132" t="s">
        <v>373</v>
      </c>
      <c r="BD1075" s="132" t="s">
        <v>178</v>
      </c>
      <c r="BE1075" s="132" t="s">
        <v>178</v>
      </c>
      <c r="BF1075" s="123"/>
      <c r="BG1075" s="83">
        <v>1115229.0</v>
      </c>
      <c r="BH1075" s="112">
        <v>11.0</v>
      </c>
      <c r="BI1075" s="98" t="s">
        <v>5682</v>
      </c>
      <c r="BJ1075" s="98" t="str">
        <f t="shared" si="1"/>
        <v>INTEGRAL</v>
      </c>
      <c r="BK1075" s="98" t="str">
        <f t="shared" si="2"/>
        <v>PROFISSIONAL</v>
      </c>
    </row>
    <row r="1076" ht="15.75" customHeight="1">
      <c r="A1076" s="111" t="s">
        <v>1281</v>
      </c>
      <c r="B1076" s="83" t="s">
        <v>2287</v>
      </c>
      <c r="C1076" s="83" t="s">
        <v>68</v>
      </c>
      <c r="D1076" s="83">
        <v>1178259.0</v>
      </c>
      <c r="E1076" s="83"/>
      <c r="F1076" s="83">
        <v>2.9848873E7</v>
      </c>
      <c r="G1076" s="185" t="s">
        <v>10322</v>
      </c>
      <c r="H1076" s="91" t="s">
        <v>5685</v>
      </c>
      <c r="I1076" s="114" t="s">
        <v>149</v>
      </c>
      <c r="J1076" s="83" t="s">
        <v>1347</v>
      </c>
      <c r="K1076" s="83" t="s">
        <v>151</v>
      </c>
      <c r="L1076" s="83" t="s">
        <v>169</v>
      </c>
      <c r="M1076" s="82" t="s">
        <v>10323</v>
      </c>
      <c r="N1076" s="82" t="s">
        <v>10324</v>
      </c>
      <c r="O1076" s="82"/>
      <c r="P1076" s="82"/>
      <c r="Q1076" s="82"/>
      <c r="R1076" s="82"/>
      <c r="S1076" s="82" t="s">
        <v>10326</v>
      </c>
      <c r="T1076" s="138">
        <v>8.0</v>
      </c>
      <c r="U1076" s="323">
        <v>7.0</v>
      </c>
      <c r="V1076" s="106">
        <v>0.0</v>
      </c>
      <c r="W1076" s="107">
        <v>0.0</v>
      </c>
      <c r="X1076" s="107">
        <v>0.0</v>
      </c>
      <c r="Y1076" s="107">
        <v>0.0</v>
      </c>
      <c r="Z1076" s="80">
        <v>0.0</v>
      </c>
      <c r="AA1076" s="140">
        <v>0.0</v>
      </c>
      <c r="AB1076" s="109">
        <v>0.0</v>
      </c>
      <c r="AC1076" s="109">
        <v>0.0</v>
      </c>
      <c r="AD1076" s="141">
        <v>0.0</v>
      </c>
      <c r="AE1076" s="80">
        <v>0.0</v>
      </c>
      <c r="AF1076" s="140">
        <v>0.0</v>
      </c>
      <c r="AG1076" s="109">
        <v>178.0</v>
      </c>
      <c r="AH1076" s="109">
        <v>0.0</v>
      </c>
      <c r="AI1076" s="141">
        <v>41.0</v>
      </c>
      <c r="AJ1076" s="80">
        <v>219.0</v>
      </c>
      <c r="AK1076" s="140">
        <v>0.0</v>
      </c>
      <c r="AL1076" s="109">
        <v>0.0</v>
      </c>
      <c r="AM1076" s="141">
        <v>0.0</v>
      </c>
      <c r="AN1076" s="80">
        <v>0.0</v>
      </c>
      <c r="AO1076" s="140">
        <v>0.0</v>
      </c>
      <c r="AP1076" s="109">
        <v>0.0</v>
      </c>
      <c r="AQ1076" s="109">
        <v>25.0</v>
      </c>
      <c r="AR1076" s="80">
        <v>25.0</v>
      </c>
      <c r="AS1076" s="110">
        <v>0.0</v>
      </c>
      <c r="AT1076" s="110">
        <v>0.0</v>
      </c>
      <c r="AU1076" s="110">
        <v>0.0</v>
      </c>
      <c r="AV1076" s="142">
        <v>0.0</v>
      </c>
      <c r="AW1076" s="80">
        <v>0.0</v>
      </c>
      <c r="AX1076" s="113">
        <v>244.0</v>
      </c>
      <c r="AY1076" s="117">
        <v>219.0</v>
      </c>
      <c r="AZ1076" s="328">
        <v>25.0</v>
      </c>
      <c r="BA1076" s="315">
        <v>0.0</v>
      </c>
      <c r="BB1076" s="316">
        <v>244.0</v>
      </c>
      <c r="BC1076" s="132" t="s">
        <v>373</v>
      </c>
      <c r="BD1076" s="132" t="s">
        <v>178</v>
      </c>
      <c r="BE1076" s="132" t="s">
        <v>178</v>
      </c>
      <c r="BF1076" s="123"/>
      <c r="BG1076" s="83">
        <v>1178259.0</v>
      </c>
      <c r="BH1076" s="112">
        <v>7.0</v>
      </c>
      <c r="BI1076" s="98" t="s">
        <v>155</v>
      </c>
      <c r="BJ1076" s="98" t="str">
        <f t="shared" si="1"/>
        <v>INTEGRAL</v>
      </c>
      <c r="BK1076" s="98" t="str">
        <f t="shared" si="2"/>
        <v>NÃO</v>
      </c>
    </row>
    <row r="1077" ht="15.75" customHeight="1">
      <c r="A1077" s="111" t="s">
        <v>1281</v>
      </c>
      <c r="B1077" s="83" t="s">
        <v>2287</v>
      </c>
      <c r="C1077" s="83" t="s">
        <v>164</v>
      </c>
      <c r="D1077" s="83">
        <v>1115229.0</v>
      </c>
      <c r="E1077" s="83">
        <v>1178190.0</v>
      </c>
      <c r="F1077" s="83"/>
      <c r="G1077" s="114" t="s">
        <v>2288</v>
      </c>
      <c r="H1077" s="91" t="s">
        <v>10329</v>
      </c>
      <c r="I1077" s="114" t="s">
        <v>149</v>
      </c>
      <c r="J1077" s="83" t="s">
        <v>150</v>
      </c>
      <c r="K1077" s="83" t="s">
        <v>151</v>
      </c>
      <c r="L1077" s="83" t="s">
        <v>169</v>
      </c>
      <c r="M1077" s="82" t="s">
        <v>10314</v>
      </c>
      <c r="N1077" s="82" t="s">
        <v>10315</v>
      </c>
      <c r="O1077" s="82" t="s">
        <v>10316</v>
      </c>
      <c r="P1077" s="82" t="s">
        <v>10317</v>
      </c>
      <c r="Q1077" s="82" t="s">
        <v>10318</v>
      </c>
      <c r="R1077" s="82"/>
      <c r="S1077" s="82" t="s">
        <v>10319</v>
      </c>
      <c r="T1077" s="138">
        <v>4.0</v>
      </c>
      <c r="U1077" s="341">
        <v>5.0</v>
      </c>
      <c r="V1077" s="106">
        <v>0.0</v>
      </c>
      <c r="W1077" s="107">
        <v>0.0</v>
      </c>
      <c r="X1077" s="107">
        <v>0.0</v>
      </c>
      <c r="Y1077" s="107">
        <v>0.0</v>
      </c>
      <c r="Z1077" s="80">
        <v>0.0</v>
      </c>
      <c r="AA1077" s="140">
        <v>0.0</v>
      </c>
      <c r="AB1077" s="109">
        <v>0.0</v>
      </c>
      <c r="AC1077" s="109">
        <v>0.0</v>
      </c>
      <c r="AD1077" s="141">
        <v>0.0</v>
      </c>
      <c r="AE1077" s="80">
        <v>0.0</v>
      </c>
      <c r="AF1077" s="140">
        <v>0.0</v>
      </c>
      <c r="AG1077" s="109">
        <v>0.0</v>
      </c>
      <c r="AH1077" s="109">
        <v>0.0</v>
      </c>
      <c r="AI1077" s="141">
        <v>79.0</v>
      </c>
      <c r="AJ1077" s="80">
        <v>79.0</v>
      </c>
      <c r="AK1077" s="140">
        <v>0.0</v>
      </c>
      <c r="AL1077" s="109">
        <v>0.0</v>
      </c>
      <c r="AM1077" s="141">
        <v>0.0</v>
      </c>
      <c r="AN1077" s="80">
        <v>0.0</v>
      </c>
      <c r="AO1077" s="140">
        <v>0.0</v>
      </c>
      <c r="AP1077" s="109">
        <v>0.0</v>
      </c>
      <c r="AQ1077" s="109">
        <v>48.0</v>
      </c>
      <c r="AR1077" s="80">
        <v>48.0</v>
      </c>
      <c r="AS1077" s="110">
        <v>0.0</v>
      </c>
      <c r="AT1077" s="110">
        <v>0.0</v>
      </c>
      <c r="AU1077" s="110">
        <v>0.0</v>
      </c>
      <c r="AV1077" s="142">
        <v>18.0</v>
      </c>
      <c r="AW1077" s="80">
        <v>18.0</v>
      </c>
      <c r="AX1077" s="113">
        <v>145.0</v>
      </c>
      <c r="AY1077" s="117">
        <v>97.0</v>
      </c>
      <c r="AZ1077" s="328">
        <v>48.0</v>
      </c>
      <c r="BA1077" s="315">
        <v>0.0</v>
      </c>
      <c r="BB1077" s="316">
        <v>145.0</v>
      </c>
      <c r="BC1077" s="132" t="s">
        <v>373</v>
      </c>
      <c r="BD1077" s="132" t="s">
        <v>178</v>
      </c>
      <c r="BE1077" s="132" t="s">
        <v>178</v>
      </c>
      <c r="BF1077" s="123"/>
      <c r="BG1077" s="83">
        <v>1178190.0</v>
      </c>
      <c r="BH1077" s="112">
        <v>5.0</v>
      </c>
      <c r="BI1077" s="98" t="s">
        <v>155</v>
      </c>
      <c r="BJ1077" s="98" t="str">
        <f t="shared" si="1"/>
        <v>INTEGRAL</v>
      </c>
      <c r="BK1077" s="98" t="str">
        <f t="shared" si="2"/>
        <v>PROFISSIONAL</v>
      </c>
    </row>
    <row r="1078" ht="15.75" customHeight="1">
      <c r="A1078" s="111" t="s">
        <v>1281</v>
      </c>
      <c r="B1078" s="83" t="s">
        <v>5688</v>
      </c>
      <c r="C1078" s="83" t="s">
        <v>68</v>
      </c>
      <c r="D1078" s="83">
        <v>1160186.0</v>
      </c>
      <c r="E1078" s="83"/>
      <c r="F1078" s="83">
        <v>2.9104505E7</v>
      </c>
      <c r="G1078" s="119" t="s">
        <v>5689</v>
      </c>
      <c r="H1078" s="91" t="s">
        <v>5690</v>
      </c>
      <c r="I1078" s="114" t="s">
        <v>149</v>
      </c>
      <c r="J1078" s="83" t="s">
        <v>150</v>
      </c>
      <c r="K1078" s="83" t="s">
        <v>151</v>
      </c>
      <c r="L1078" s="83" t="s">
        <v>76</v>
      </c>
      <c r="M1078" s="82" t="s">
        <v>10330</v>
      </c>
      <c r="N1078" s="82" t="s">
        <v>10331</v>
      </c>
      <c r="O1078" s="82" t="s">
        <v>10332</v>
      </c>
      <c r="P1078" s="82" t="s">
        <v>10333</v>
      </c>
      <c r="Q1078" s="82"/>
      <c r="R1078" s="82"/>
      <c r="S1078" s="82" t="s">
        <v>10334</v>
      </c>
      <c r="T1078" s="138">
        <v>6.0</v>
      </c>
      <c r="U1078" s="341" t="s">
        <v>10335</v>
      </c>
      <c r="V1078" s="106">
        <v>0.0</v>
      </c>
      <c r="W1078" s="107">
        <v>0.0</v>
      </c>
      <c r="X1078" s="107">
        <v>0.0</v>
      </c>
      <c r="Y1078" s="107">
        <v>0.0</v>
      </c>
      <c r="Z1078" s="80">
        <v>0.0</v>
      </c>
      <c r="AA1078" s="140">
        <v>0.0</v>
      </c>
      <c r="AB1078" s="109">
        <v>0.0</v>
      </c>
      <c r="AC1078" s="109">
        <v>0.0</v>
      </c>
      <c r="AD1078" s="141">
        <v>0.0</v>
      </c>
      <c r="AE1078" s="80">
        <v>0.0</v>
      </c>
      <c r="AF1078" s="140">
        <v>0.0</v>
      </c>
      <c r="AG1078" s="109">
        <v>0.0</v>
      </c>
      <c r="AH1078" s="109">
        <v>17.0</v>
      </c>
      <c r="AI1078" s="141">
        <v>93.0</v>
      </c>
      <c r="AJ1078" s="80">
        <v>110.0</v>
      </c>
      <c r="AK1078" s="140">
        <v>0.0</v>
      </c>
      <c r="AL1078" s="109">
        <v>0.0</v>
      </c>
      <c r="AM1078" s="141">
        <v>0.0</v>
      </c>
      <c r="AN1078" s="80">
        <v>0.0</v>
      </c>
      <c r="AO1078" s="140">
        <v>0.0</v>
      </c>
      <c r="AP1078" s="109">
        <v>0.0</v>
      </c>
      <c r="AQ1078" s="109">
        <v>41.0</v>
      </c>
      <c r="AR1078" s="80">
        <v>41.0</v>
      </c>
      <c r="AS1078" s="110">
        <v>0.0</v>
      </c>
      <c r="AT1078" s="110">
        <v>0.0</v>
      </c>
      <c r="AU1078" s="110">
        <v>22.0</v>
      </c>
      <c r="AV1078" s="142">
        <v>99.0</v>
      </c>
      <c r="AW1078" s="80">
        <v>121.0</v>
      </c>
      <c r="AX1078" s="113">
        <v>272.0</v>
      </c>
      <c r="AY1078" s="117">
        <v>192.0</v>
      </c>
      <c r="AZ1078" s="328">
        <v>80.0</v>
      </c>
      <c r="BA1078" s="315">
        <v>0.0</v>
      </c>
      <c r="BB1078" s="316">
        <v>272.0</v>
      </c>
      <c r="BC1078" s="132" t="s">
        <v>373</v>
      </c>
      <c r="BD1078" s="132" t="s">
        <v>178</v>
      </c>
      <c r="BE1078" s="132" t="s">
        <v>178</v>
      </c>
      <c r="BF1078" s="123"/>
      <c r="BG1078" s="83">
        <v>1160186.0</v>
      </c>
      <c r="BH1078" s="112">
        <v>6.0</v>
      </c>
      <c r="BI1078" s="98" t="s">
        <v>155</v>
      </c>
      <c r="BJ1078" s="98" t="str">
        <f t="shared" si="1"/>
        <v>INTEGRAL</v>
      </c>
      <c r="BK1078" s="98" t="str">
        <f t="shared" si="2"/>
        <v>PROFISSIONAL</v>
      </c>
    </row>
    <row r="1079" ht="15.75" customHeight="1">
      <c r="A1079" s="111" t="s">
        <v>1281</v>
      </c>
      <c r="B1079" s="83" t="s">
        <v>5693</v>
      </c>
      <c r="C1079" s="83" t="s">
        <v>68</v>
      </c>
      <c r="D1079" s="83">
        <v>1108222.0</v>
      </c>
      <c r="E1079" s="83"/>
      <c r="F1079" s="83">
        <v>2.910458E7</v>
      </c>
      <c r="G1079" s="114" t="s">
        <v>10336</v>
      </c>
      <c r="H1079" s="91" t="s">
        <v>5695</v>
      </c>
      <c r="I1079" s="114" t="s">
        <v>149</v>
      </c>
      <c r="J1079" s="83" t="s">
        <v>150</v>
      </c>
      <c r="K1079" s="83" t="s">
        <v>151</v>
      </c>
      <c r="L1079" s="83" t="s">
        <v>76</v>
      </c>
      <c r="M1079" s="82" t="s">
        <v>10337</v>
      </c>
      <c r="N1079" s="82" t="s">
        <v>10338</v>
      </c>
      <c r="O1079" s="82" t="s">
        <v>10339</v>
      </c>
      <c r="P1079" s="82" t="s">
        <v>10340</v>
      </c>
      <c r="Q1079" s="82"/>
      <c r="R1079" s="82"/>
      <c r="S1079" s="82" t="s">
        <v>10341</v>
      </c>
      <c r="T1079" s="138">
        <v>5.0</v>
      </c>
      <c r="U1079" s="341" t="s">
        <v>10342</v>
      </c>
      <c r="V1079" s="106">
        <v>0.0</v>
      </c>
      <c r="W1079" s="107">
        <v>0.0</v>
      </c>
      <c r="X1079" s="107">
        <v>0.0</v>
      </c>
      <c r="Y1079" s="107">
        <v>0.0</v>
      </c>
      <c r="Z1079" s="80">
        <v>0.0</v>
      </c>
      <c r="AA1079" s="140">
        <v>0.0</v>
      </c>
      <c r="AB1079" s="109">
        <v>0.0</v>
      </c>
      <c r="AC1079" s="109">
        <v>0.0</v>
      </c>
      <c r="AD1079" s="141">
        <v>0.0</v>
      </c>
      <c r="AE1079" s="80">
        <v>0.0</v>
      </c>
      <c r="AF1079" s="140">
        <v>0.0</v>
      </c>
      <c r="AG1079" s="109">
        <v>63.0</v>
      </c>
      <c r="AH1079" s="109">
        <v>0.0</v>
      </c>
      <c r="AI1079" s="141">
        <v>39.0</v>
      </c>
      <c r="AJ1079" s="80">
        <v>102.0</v>
      </c>
      <c r="AK1079" s="140">
        <v>0.0</v>
      </c>
      <c r="AL1079" s="109">
        <v>0.0</v>
      </c>
      <c r="AM1079" s="141">
        <v>0.0</v>
      </c>
      <c r="AN1079" s="80">
        <v>0.0</v>
      </c>
      <c r="AO1079" s="140">
        <v>0.0</v>
      </c>
      <c r="AP1079" s="109">
        <v>0.0</v>
      </c>
      <c r="AQ1079" s="109">
        <v>37.0</v>
      </c>
      <c r="AR1079" s="80">
        <v>37.0</v>
      </c>
      <c r="AS1079" s="110">
        <v>51.0</v>
      </c>
      <c r="AT1079" s="110">
        <v>0.0</v>
      </c>
      <c r="AU1079" s="110">
        <v>8.0</v>
      </c>
      <c r="AV1079" s="142">
        <v>0.0</v>
      </c>
      <c r="AW1079" s="80">
        <v>59.0</v>
      </c>
      <c r="AX1079" s="113">
        <v>198.0</v>
      </c>
      <c r="AY1079" s="117">
        <v>153.0</v>
      </c>
      <c r="AZ1079" s="328">
        <v>45.0</v>
      </c>
      <c r="BA1079" s="315">
        <v>0.0</v>
      </c>
      <c r="BB1079" s="316">
        <v>198.0</v>
      </c>
      <c r="BC1079" s="132" t="s">
        <v>178</v>
      </c>
      <c r="BD1079" s="132" t="s">
        <v>178</v>
      </c>
      <c r="BE1079" s="132" t="s">
        <v>178</v>
      </c>
      <c r="BF1079" s="123"/>
      <c r="BG1079" s="83">
        <v>1108222.0</v>
      </c>
      <c r="BH1079" s="112">
        <v>9.0</v>
      </c>
      <c r="BI1079" s="98" t="s">
        <v>155</v>
      </c>
      <c r="BJ1079" s="98" t="str">
        <f t="shared" si="1"/>
        <v>INTEGRAL</v>
      </c>
      <c r="BK1079" s="98" t="str">
        <f t="shared" si="2"/>
        <v>PROFISSIONAL</v>
      </c>
    </row>
    <row r="1080" ht="15.75" customHeight="1">
      <c r="A1080" s="111" t="s">
        <v>1281</v>
      </c>
      <c r="B1080" s="83" t="s">
        <v>2518</v>
      </c>
      <c r="C1080" s="83" t="s">
        <v>45</v>
      </c>
      <c r="D1080" s="83">
        <v>1178395.0</v>
      </c>
      <c r="E1080" s="83"/>
      <c r="F1080" s="83">
        <v>2.9529026E7</v>
      </c>
      <c r="G1080" s="114" t="s">
        <v>5698</v>
      </c>
      <c r="H1080" s="91" t="s">
        <v>5699</v>
      </c>
      <c r="I1080" s="114" t="s">
        <v>5700</v>
      </c>
      <c r="J1080" s="98" t="s">
        <v>694</v>
      </c>
      <c r="K1080" s="83" t="s">
        <v>171</v>
      </c>
      <c r="L1080" s="83" t="s">
        <v>169</v>
      </c>
      <c r="M1080" s="82" t="s">
        <v>10343</v>
      </c>
      <c r="N1080" s="82" t="s">
        <v>10344</v>
      </c>
      <c r="O1080" s="82"/>
      <c r="P1080" s="82"/>
      <c r="Q1080" s="82"/>
      <c r="R1080" s="82"/>
      <c r="S1080" s="82"/>
      <c r="T1080" s="138">
        <v>4.0</v>
      </c>
      <c r="U1080" s="387" t="s">
        <v>171</v>
      </c>
      <c r="V1080" s="106">
        <v>0.0</v>
      </c>
      <c r="W1080" s="107">
        <v>0.0</v>
      </c>
      <c r="X1080" s="107">
        <v>0.0</v>
      </c>
      <c r="Y1080" s="107">
        <v>0.0</v>
      </c>
      <c r="Z1080" s="80">
        <v>0.0</v>
      </c>
      <c r="AA1080" s="140">
        <v>0.0</v>
      </c>
      <c r="AB1080" s="109">
        <v>0.0</v>
      </c>
      <c r="AC1080" s="109">
        <v>0.0</v>
      </c>
      <c r="AD1080" s="141">
        <v>0.0</v>
      </c>
      <c r="AE1080" s="80">
        <v>0.0</v>
      </c>
      <c r="AF1080" s="140">
        <v>0.0</v>
      </c>
      <c r="AG1080" s="109">
        <v>0.0</v>
      </c>
      <c r="AH1080" s="109">
        <v>0.0</v>
      </c>
      <c r="AI1080" s="141">
        <v>90.0</v>
      </c>
      <c r="AJ1080" s="80">
        <v>90.0</v>
      </c>
      <c r="AK1080" s="140">
        <v>0.0</v>
      </c>
      <c r="AL1080" s="109">
        <v>0.0</v>
      </c>
      <c r="AM1080" s="141">
        <v>0.0</v>
      </c>
      <c r="AN1080" s="80">
        <v>0.0</v>
      </c>
      <c r="AO1080" s="140">
        <v>0.0</v>
      </c>
      <c r="AP1080" s="109">
        <v>0.0</v>
      </c>
      <c r="AQ1080" s="109">
        <v>0.0</v>
      </c>
      <c r="AR1080" s="80">
        <v>0.0</v>
      </c>
      <c r="AS1080" s="110">
        <v>0.0</v>
      </c>
      <c r="AT1080" s="110">
        <v>0.0</v>
      </c>
      <c r="AU1080" s="110">
        <v>0.0</v>
      </c>
      <c r="AV1080" s="142">
        <v>0.0</v>
      </c>
      <c r="AW1080" s="80">
        <v>0.0</v>
      </c>
      <c r="AX1080" s="113">
        <v>90.0</v>
      </c>
      <c r="AY1080" s="117">
        <v>90.0</v>
      </c>
      <c r="AZ1080" s="328">
        <v>0.0</v>
      </c>
      <c r="BA1080" s="315">
        <v>0.0</v>
      </c>
      <c r="BB1080" s="316">
        <v>90.0</v>
      </c>
      <c r="BC1080" s="132" t="s">
        <v>178</v>
      </c>
      <c r="BD1080" s="132" t="s">
        <v>178</v>
      </c>
      <c r="BE1080" s="132" t="s">
        <v>178</v>
      </c>
      <c r="BF1080" s="156"/>
      <c r="BG1080" s="83">
        <v>1178395.0</v>
      </c>
      <c r="BH1080" s="112">
        <v>4.0</v>
      </c>
      <c r="BI1080" s="98" t="s">
        <v>155</v>
      </c>
      <c r="BJ1080" s="98" t="str">
        <f t="shared" si="1"/>
        <v>INTEGRAL</v>
      </c>
      <c r="BK1080" s="98" t="str">
        <f t="shared" si="2"/>
        <v>NÃO</v>
      </c>
    </row>
    <row r="1081" ht="15.75" customHeight="1">
      <c r="A1081" s="111" t="s">
        <v>1281</v>
      </c>
      <c r="B1081" s="83" t="s">
        <v>2518</v>
      </c>
      <c r="C1081" s="83" t="s">
        <v>68</v>
      </c>
      <c r="D1081" s="83">
        <v>1108311.0</v>
      </c>
      <c r="E1081" s="83"/>
      <c r="F1081" s="83">
        <v>2.9154618E7</v>
      </c>
      <c r="G1081" s="114" t="s">
        <v>10345</v>
      </c>
      <c r="H1081" s="91" t="s">
        <v>10346</v>
      </c>
      <c r="I1081" s="114" t="s">
        <v>149</v>
      </c>
      <c r="J1081" s="83" t="s">
        <v>150</v>
      </c>
      <c r="K1081" s="83" t="s">
        <v>151</v>
      </c>
      <c r="L1081" s="83" t="s">
        <v>76</v>
      </c>
      <c r="M1081" s="82" t="s">
        <v>10347</v>
      </c>
      <c r="N1081" s="82" t="s">
        <v>10348</v>
      </c>
      <c r="O1081" s="82" t="s">
        <v>10349</v>
      </c>
      <c r="P1081" s="82" t="s">
        <v>10350</v>
      </c>
      <c r="Q1081" s="82"/>
      <c r="R1081" s="82"/>
      <c r="S1081" s="82" t="s">
        <v>10351</v>
      </c>
      <c r="T1081" s="138">
        <v>8.0</v>
      </c>
      <c r="U1081" s="341">
        <v>7.0</v>
      </c>
      <c r="V1081" s="106">
        <v>0.0</v>
      </c>
      <c r="W1081" s="107">
        <v>0.0</v>
      </c>
      <c r="X1081" s="107">
        <v>0.0</v>
      </c>
      <c r="Y1081" s="107">
        <v>0.0</v>
      </c>
      <c r="Z1081" s="80">
        <v>0.0</v>
      </c>
      <c r="AA1081" s="140">
        <v>0.0</v>
      </c>
      <c r="AB1081" s="109">
        <v>0.0</v>
      </c>
      <c r="AC1081" s="109">
        <v>0.0</v>
      </c>
      <c r="AD1081" s="141">
        <v>0.0</v>
      </c>
      <c r="AE1081" s="80">
        <v>0.0</v>
      </c>
      <c r="AF1081" s="140">
        <v>181.0</v>
      </c>
      <c r="AG1081" s="109">
        <v>0.0</v>
      </c>
      <c r="AH1081" s="109">
        <v>0.0</v>
      </c>
      <c r="AI1081" s="141">
        <v>0.0</v>
      </c>
      <c r="AJ1081" s="80">
        <v>181.0</v>
      </c>
      <c r="AK1081" s="140">
        <v>0.0</v>
      </c>
      <c r="AL1081" s="109">
        <v>0.0</v>
      </c>
      <c r="AM1081" s="141">
        <v>0.0</v>
      </c>
      <c r="AN1081" s="80">
        <v>0.0</v>
      </c>
      <c r="AO1081" s="140">
        <v>0.0</v>
      </c>
      <c r="AP1081" s="109">
        <v>0.0</v>
      </c>
      <c r="AQ1081" s="109">
        <v>63.0</v>
      </c>
      <c r="AR1081" s="80">
        <v>63.0</v>
      </c>
      <c r="AS1081" s="110">
        <v>59.0</v>
      </c>
      <c r="AT1081" s="110">
        <v>70.0</v>
      </c>
      <c r="AU1081" s="110">
        <v>0.0</v>
      </c>
      <c r="AV1081" s="142">
        <v>0.0</v>
      </c>
      <c r="AW1081" s="80">
        <v>129.0</v>
      </c>
      <c r="AX1081" s="113">
        <v>373.0</v>
      </c>
      <c r="AY1081" s="117">
        <v>310.0</v>
      </c>
      <c r="AZ1081" s="328">
        <v>63.0</v>
      </c>
      <c r="BA1081" s="315">
        <v>0.0</v>
      </c>
      <c r="BB1081" s="316">
        <v>373.0</v>
      </c>
      <c r="BC1081" s="132" t="s">
        <v>178</v>
      </c>
      <c r="BD1081" s="132" t="s">
        <v>178</v>
      </c>
      <c r="BE1081" s="132" t="s">
        <v>178</v>
      </c>
      <c r="BF1081" s="123"/>
      <c r="BG1081" s="83">
        <v>1108311.0</v>
      </c>
      <c r="BH1081" s="112">
        <v>7.0</v>
      </c>
      <c r="BI1081" s="98" t="s">
        <v>155</v>
      </c>
      <c r="BJ1081" s="98" t="str">
        <f t="shared" si="1"/>
        <v>NÃO</v>
      </c>
      <c r="BK1081" s="98" t="str">
        <f t="shared" si="2"/>
        <v>PROFISSIONAL</v>
      </c>
    </row>
    <row r="1082" ht="15.75" customHeight="1">
      <c r="A1082" s="111" t="s">
        <v>1281</v>
      </c>
      <c r="B1082" s="83" t="s">
        <v>2518</v>
      </c>
      <c r="C1082" s="83" t="s">
        <v>68</v>
      </c>
      <c r="D1082" s="83">
        <v>1108320.0</v>
      </c>
      <c r="E1082" s="83"/>
      <c r="F1082" s="83">
        <v>2.9153964E7</v>
      </c>
      <c r="G1082" s="298" t="s">
        <v>10352</v>
      </c>
      <c r="H1082" s="91" t="s">
        <v>10353</v>
      </c>
      <c r="I1082" s="114" t="s">
        <v>149</v>
      </c>
      <c r="J1082" s="136" t="s">
        <v>150</v>
      </c>
      <c r="K1082" s="83" t="s">
        <v>151</v>
      </c>
      <c r="L1082" s="83" t="s">
        <v>152</v>
      </c>
      <c r="M1082" s="82" t="s">
        <v>10354</v>
      </c>
      <c r="N1082" s="82" t="s">
        <v>10355</v>
      </c>
      <c r="O1082" s="82" t="s">
        <v>10357</v>
      </c>
      <c r="P1082" s="82" t="s">
        <v>10358</v>
      </c>
      <c r="Q1082" s="82" t="s">
        <v>10359</v>
      </c>
      <c r="R1082" s="82" t="s">
        <v>10360</v>
      </c>
      <c r="S1082" s="82" t="s">
        <v>10361</v>
      </c>
      <c r="T1082" s="138">
        <v>12.0</v>
      </c>
      <c r="U1082" s="364">
        <v>12.0</v>
      </c>
      <c r="V1082" s="106">
        <v>0.0</v>
      </c>
      <c r="W1082" s="107">
        <v>0.0</v>
      </c>
      <c r="X1082" s="107">
        <v>0.0</v>
      </c>
      <c r="Y1082" s="107">
        <v>0.0</v>
      </c>
      <c r="Z1082" s="80">
        <v>0.0</v>
      </c>
      <c r="AA1082" s="140">
        <v>0.0</v>
      </c>
      <c r="AB1082" s="109">
        <v>0.0</v>
      </c>
      <c r="AC1082" s="109">
        <v>0.0</v>
      </c>
      <c r="AD1082" s="141">
        <v>0.0</v>
      </c>
      <c r="AE1082" s="80">
        <v>0.0</v>
      </c>
      <c r="AF1082" s="246">
        <v>493.0</v>
      </c>
      <c r="AG1082" s="246">
        <v>434.0</v>
      </c>
      <c r="AH1082" s="246">
        <v>67.0</v>
      </c>
      <c r="AI1082" s="247">
        <v>0.0</v>
      </c>
      <c r="AJ1082" s="80">
        <v>994.0</v>
      </c>
      <c r="AK1082" s="140">
        <v>0.0</v>
      </c>
      <c r="AL1082" s="109">
        <v>0.0</v>
      </c>
      <c r="AM1082" s="141">
        <v>0.0</v>
      </c>
      <c r="AN1082" s="80">
        <v>0.0</v>
      </c>
      <c r="AO1082" s="246">
        <v>0.0</v>
      </c>
      <c r="AP1082" s="246">
        <v>0.0</v>
      </c>
      <c r="AQ1082" s="247">
        <v>105.0</v>
      </c>
      <c r="AR1082" s="80">
        <v>105.0</v>
      </c>
      <c r="AS1082" s="110">
        <v>0.0</v>
      </c>
      <c r="AT1082" s="110">
        <v>0.0</v>
      </c>
      <c r="AU1082" s="110">
        <v>0.0</v>
      </c>
      <c r="AV1082" s="142">
        <v>0.0</v>
      </c>
      <c r="AW1082" s="80">
        <v>0.0</v>
      </c>
      <c r="AX1082" s="113">
        <v>1099.0</v>
      </c>
      <c r="AY1082" s="117">
        <v>927.0</v>
      </c>
      <c r="AZ1082" s="328">
        <v>172.0</v>
      </c>
      <c r="BA1082" s="315">
        <v>0.0</v>
      </c>
      <c r="BB1082" s="316">
        <v>1099.0</v>
      </c>
      <c r="BC1082" s="132" t="s">
        <v>178</v>
      </c>
      <c r="BD1082" s="132" t="s">
        <v>178</v>
      </c>
      <c r="BE1082" s="132" t="s">
        <v>178</v>
      </c>
      <c r="BF1082" s="123"/>
      <c r="BG1082" s="83">
        <v>1108320.0</v>
      </c>
      <c r="BH1082" s="112">
        <v>12.0</v>
      </c>
      <c r="BI1082" s="98" t="s">
        <v>155</v>
      </c>
      <c r="BJ1082" s="98" t="str">
        <f t="shared" si="1"/>
        <v>NÃO</v>
      </c>
      <c r="BK1082" s="98" t="str">
        <f t="shared" si="2"/>
        <v>NÃO</v>
      </c>
    </row>
    <row r="1083" ht="15.75" customHeight="1">
      <c r="A1083" s="111" t="s">
        <v>1281</v>
      </c>
      <c r="B1083" s="83" t="s">
        <v>2524</v>
      </c>
      <c r="C1083" s="83" t="s">
        <v>68</v>
      </c>
      <c r="D1083" s="83">
        <v>1108273.0</v>
      </c>
      <c r="E1083" s="83"/>
      <c r="F1083" s="83">
        <v>2.9154707E7</v>
      </c>
      <c r="G1083" s="114" t="s">
        <v>10363</v>
      </c>
      <c r="H1083" s="91" t="s">
        <v>5708</v>
      </c>
      <c r="I1083" s="187" t="s">
        <v>149</v>
      </c>
      <c r="J1083" s="136" t="s">
        <v>150</v>
      </c>
      <c r="K1083" s="83" t="s">
        <v>151</v>
      </c>
      <c r="L1083" s="83" t="s">
        <v>76</v>
      </c>
      <c r="M1083" s="82" t="s">
        <v>10364</v>
      </c>
      <c r="N1083" s="82" t="s">
        <v>10365</v>
      </c>
      <c r="O1083" s="82" t="s">
        <v>10366</v>
      </c>
      <c r="P1083" s="82" t="s">
        <v>10367</v>
      </c>
      <c r="Q1083" s="82"/>
      <c r="R1083" s="82"/>
      <c r="S1083" s="82" t="s">
        <v>10368</v>
      </c>
      <c r="T1083" s="138">
        <v>6.0</v>
      </c>
      <c r="U1083" s="341">
        <v>6.0</v>
      </c>
      <c r="V1083" s="106">
        <v>0.0</v>
      </c>
      <c r="W1083" s="107">
        <v>0.0</v>
      </c>
      <c r="X1083" s="107">
        <v>0.0</v>
      </c>
      <c r="Y1083" s="107">
        <v>0.0</v>
      </c>
      <c r="Z1083" s="80">
        <v>0.0</v>
      </c>
      <c r="AA1083" s="140">
        <v>0.0</v>
      </c>
      <c r="AB1083" s="109">
        <v>0.0</v>
      </c>
      <c r="AC1083" s="109">
        <v>0.0</v>
      </c>
      <c r="AD1083" s="141">
        <v>0.0</v>
      </c>
      <c r="AE1083" s="80">
        <v>0.0</v>
      </c>
      <c r="AF1083" s="140">
        <v>137.0</v>
      </c>
      <c r="AG1083" s="109">
        <v>102.0</v>
      </c>
      <c r="AH1083" s="109">
        <v>28.0</v>
      </c>
      <c r="AI1083" s="141">
        <v>40.0</v>
      </c>
      <c r="AJ1083" s="80">
        <v>307.0</v>
      </c>
      <c r="AK1083" s="140">
        <v>0.0</v>
      </c>
      <c r="AL1083" s="109">
        <v>0.0</v>
      </c>
      <c r="AM1083" s="141">
        <v>0.0</v>
      </c>
      <c r="AN1083" s="80">
        <v>0.0</v>
      </c>
      <c r="AO1083" s="140">
        <v>0.0</v>
      </c>
      <c r="AP1083" s="109">
        <v>0.0</v>
      </c>
      <c r="AQ1083" s="109">
        <v>132.0</v>
      </c>
      <c r="AR1083" s="80">
        <v>132.0</v>
      </c>
      <c r="AS1083" s="110">
        <v>0.0</v>
      </c>
      <c r="AT1083" s="110">
        <v>0.0</v>
      </c>
      <c r="AU1083" s="110">
        <v>0.0</v>
      </c>
      <c r="AV1083" s="142">
        <v>0.0</v>
      </c>
      <c r="AW1083" s="80">
        <v>0.0</v>
      </c>
      <c r="AX1083" s="113">
        <v>439.0</v>
      </c>
      <c r="AY1083" s="117">
        <v>279.0</v>
      </c>
      <c r="AZ1083" s="328">
        <v>160.0</v>
      </c>
      <c r="BA1083" s="315">
        <v>0.0</v>
      </c>
      <c r="BB1083" s="316">
        <v>439.0</v>
      </c>
      <c r="BC1083" s="132" t="s">
        <v>178</v>
      </c>
      <c r="BD1083" s="132" t="s">
        <v>178</v>
      </c>
      <c r="BE1083" s="132" t="s">
        <v>178</v>
      </c>
      <c r="BF1083" s="123"/>
      <c r="BG1083" s="83">
        <v>1108273.0</v>
      </c>
      <c r="BH1083" s="112">
        <v>6.0</v>
      </c>
      <c r="BI1083" s="98" t="s">
        <v>155</v>
      </c>
      <c r="BJ1083" s="98" t="str">
        <f t="shared" si="1"/>
        <v>INTEGRAL</v>
      </c>
      <c r="BK1083" s="98" t="str">
        <f t="shared" si="2"/>
        <v>NÃO</v>
      </c>
    </row>
    <row r="1084" ht="15.75" customHeight="1">
      <c r="A1084" s="111" t="s">
        <v>1281</v>
      </c>
      <c r="B1084" s="83" t="s">
        <v>2524</v>
      </c>
      <c r="C1084" s="83" t="s">
        <v>164</v>
      </c>
      <c r="D1084" s="83">
        <v>1108273.0</v>
      </c>
      <c r="E1084" s="83">
        <v>1178476.0</v>
      </c>
      <c r="F1084" s="83"/>
      <c r="G1084" s="114" t="s">
        <v>10369</v>
      </c>
      <c r="H1084" s="91" t="s">
        <v>10370</v>
      </c>
      <c r="I1084" s="187" t="s">
        <v>149</v>
      </c>
      <c r="J1084" s="136" t="s">
        <v>694</v>
      </c>
      <c r="K1084" s="83" t="s">
        <v>168</v>
      </c>
      <c r="L1084" s="83" t="s">
        <v>169</v>
      </c>
      <c r="M1084" s="82" t="s">
        <v>10364</v>
      </c>
      <c r="N1084" s="82" t="s">
        <v>10365</v>
      </c>
      <c r="O1084" s="82" t="s">
        <v>10366</v>
      </c>
      <c r="P1084" s="82" t="s">
        <v>10367</v>
      </c>
      <c r="Q1084" s="82"/>
      <c r="R1084" s="82"/>
      <c r="S1084" s="82" t="s">
        <v>10368</v>
      </c>
      <c r="T1084" s="138">
        <v>5.0</v>
      </c>
      <c r="U1084" s="341">
        <v>5.0</v>
      </c>
      <c r="V1084" s="106">
        <v>0.0</v>
      </c>
      <c r="W1084" s="107">
        <v>0.0</v>
      </c>
      <c r="X1084" s="107">
        <v>0.0</v>
      </c>
      <c r="Y1084" s="107">
        <v>0.0</v>
      </c>
      <c r="Z1084" s="80">
        <v>0.0</v>
      </c>
      <c r="AA1084" s="140">
        <v>0.0</v>
      </c>
      <c r="AB1084" s="109">
        <v>0.0</v>
      </c>
      <c r="AC1084" s="109">
        <v>0.0</v>
      </c>
      <c r="AD1084" s="141">
        <v>0.0</v>
      </c>
      <c r="AE1084" s="80">
        <v>0.0</v>
      </c>
      <c r="AF1084" s="140">
        <v>0.0</v>
      </c>
      <c r="AG1084" s="109">
        <v>0.0</v>
      </c>
      <c r="AH1084" s="109">
        <v>41.0</v>
      </c>
      <c r="AI1084" s="141">
        <v>0.0</v>
      </c>
      <c r="AJ1084" s="80">
        <v>41.0</v>
      </c>
      <c r="AK1084" s="140">
        <v>0.0</v>
      </c>
      <c r="AL1084" s="109">
        <v>0.0</v>
      </c>
      <c r="AM1084" s="141">
        <v>0.0</v>
      </c>
      <c r="AN1084" s="80">
        <v>0.0</v>
      </c>
      <c r="AO1084" s="140">
        <v>0.0</v>
      </c>
      <c r="AP1084" s="109">
        <v>0.0</v>
      </c>
      <c r="AQ1084" s="109">
        <v>77.0</v>
      </c>
      <c r="AR1084" s="80">
        <v>77.0</v>
      </c>
      <c r="AS1084" s="110">
        <v>0.0</v>
      </c>
      <c r="AT1084" s="110">
        <v>0.0</v>
      </c>
      <c r="AU1084" s="110">
        <v>0.0</v>
      </c>
      <c r="AV1084" s="142">
        <v>0.0</v>
      </c>
      <c r="AW1084" s="80">
        <v>0.0</v>
      </c>
      <c r="AX1084" s="113">
        <v>118.0</v>
      </c>
      <c r="AY1084" s="117">
        <v>0.0</v>
      </c>
      <c r="AZ1084" s="328">
        <v>118.0</v>
      </c>
      <c r="BA1084" s="315">
        <v>0.0</v>
      </c>
      <c r="BB1084" s="316">
        <v>118.0</v>
      </c>
      <c r="BC1084" s="132" t="s">
        <v>373</v>
      </c>
      <c r="BD1084" s="132" t="s">
        <v>178</v>
      </c>
      <c r="BE1084" s="132" t="s">
        <v>178</v>
      </c>
      <c r="BF1084" s="123"/>
      <c r="BG1084" s="83">
        <v>1178476.0</v>
      </c>
      <c r="BH1084" s="112">
        <v>5.0</v>
      </c>
      <c r="BI1084" s="98" t="s">
        <v>155</v>
      </c>
      <c r="BJ1084" s="98" t="str">
        <f t="shared" si="1"/>
        <v>NÃO</v>
      </c>
      <c r="BK1084" s="98" t="str">
        <f t="shared" si="2"/>
        <v>NÃO</v>
      </c>
    </row>
    <row r="1085" ht="15.75" customHeight="1">
      <c r="A1085" s="111" t="s">
        <v>1335</v>
      </c>
      <c r="B1085" s="83" t="s">
        <v>5710</v>
      </c>
      <c r="C1085" s="83" t="s">
        <v>68</v>
      </c>
      <c r="D1085" s="83">
        <v>1105320.0</v>
      </c>
      <c r="E1085" s="83"/>
      <c r="F1085" s="83">
        <v>2.9089115E7</v>
      </c>
      <c r="G1085" s="114" t="s">
        <v>5711</v>
      </c>
      <c r="H1085" s="91" t="s">
        <v>5712</v>
      </c>
      <c r="I1085" s="114" t="s">
        <v>149</v>
      </c>
      <c r="J1085" s="83" t="s">
        <v>150</v>
      </c>
      <c r="K1085" s="83" t="s">
        <v>151</v>
      </c>
      <c r="L1085" s="83" t="s">
        <v>152</v>
      </c>
      <c r="M1085" s="82" t="s">
        <v>10371</v>
      </c>
      <c r="N1085" s="82" t="s">
        <v>10372</v>
      </c>
      <c r="O1085" s="82" t="s">
        <v>10373</v>
      </c>
      <c r="P1085" s="82" t="s">
        <v>10374</v>
      </c>
      <c r="Q1085" s="82"/>
      <c r="R1085" s="82"/>
      <c r="S1085" s="82" t="s">
        <v>10375</v>
      </c>
      <c r="T1085" s="138">
        <v>6.0</v>
      </c>
      <c r="U1085" s="401">
        <v>6.0</v>
      </c>
      <c r="V1085" s="106">
        <v>0.0</v>
      </c>
      <c r="W1085" s="107">
        <v>0.0</v>
      </c>
      <c r="X1085" s="107">
        <v>0.0</v>
      </c>
      <c r="Y1085" s="107">
        <v>0.0</v>
      </c>
      <c r="Z1085" s="80">
        <v>0.0</v>
      </c>
      <c r="AA1085" s="140">
        <v>0.0</v>
      </c>
      <c r="AB1085" s="109">
        <v>0.0</v>
      </c>
      <c r="AC1085" s="109">
        <v>0.0</v>
      </c>
      <c r="AD1085" s="141">
        <v>0.0</v>
      </c>
      <c r="AE1085" s="80">
        <v>0.0</v>
      </c>
      <c r="AF1085" s="140">
        <v>172.0</v>
      </c>
      <c r="AG1085" s="109">
        <v>103.0</v>
      </c>
      <c r="AH1085" s="109">
        <v>0.0</v>
      </c>
      <c r="AI1085" s="141">
        <v>39.0</v>
      </c>
      <c r="AJ1085" s="80">
        <v>314.0</v>
      </c>
      <c r="AK1085" s="140">
        <v>0.0</v>
      </c>
      <c r="AL1085" s="109">
        <v>0.0</v>
      </c>
      <c r="AM1085" s="141">
        <v>0.0</v>
      </c>
      <c r="AN1085" s="80">
        <v>0.0</v>
      </c>
      <c r="AO1085" s="140">
        <v>0.0</v>
      </c>
      <c r="AP1085" s="109">
        <v>0.0</v>
      </c>
      <c r="AQ1085" s="109">
        <v>84.0</v>
      </c>
      <c r="AR1085" s="80">
        <v>84.0</v>
      </c>
      <c r="AS1085" s="110">
        <v>0.0</v>
      </c>
      <c r="AT1085" s="110">
        <v>0.0</v>
      </c>
      <c r="AU1085" s="110">
        <v>0.0</v>
      </c>
      <c r="AV1085" s="142">
        <v>0.0</v>
      </c>
      <c r="AW1085" s="80">
        <v>0.0</v>
      </c>
      <c r="AX1085" s="113">
        <v>398.0</v>
      </c>
      <c r="AY1085" s="117">
        <v>314.0</v>
      </c>
      <c r="AZ1085" s="328">
        <v>84.0</v>
      </c>
      <c r="BA1085" s="315">
        <v>0.0</v>
      </c>
      <c r="BB1085" s="316">
        <v>398.0</v>
      </c>
      <c r="BC1085" s="132" t="s">
        <v>178</v>
      </c>
      <c r="BD1085" s="132" t="s">
        <v>178</v>
      </c>
      <c r="BE1085" s="132" t="s">
        <v>178</v>
      </c>
      <c r="BF1085" s="123"/>
      <c r="BG1085" s="83">
        <v>1105320.0</v>
      </c>
      <c r="BH1085" s="112">
        <v>6.0</v>
      </c>
      <c r="BI1085" s="98" t="s">
        <v>155</v>
      </c>
      <c r="BJ1085" s="98" t="str">
        <f t="shared" si="1"/>
        <v>INTEGRAL</v>
      </c>
      <c r="BK1085" s="98" t="str">
        <f t="shared" si="2"/>
        <v>NÃO</v>
      </c>
    </row>
    <row r="1086" ht="15.75" customHeight="1">
      <c r="A1086" s="111" t="s">
        <v>1335</v>
      </c>
      <c r="B1086" s="83" t="s">
        <v>5710</v>
      </c>
      <c r="C1086" s="83" t="s">
        <v>164</v>
      </c>
      <c r="D1086" s="83">
        <v>1105320.0</v>
      </c>
      <c r="E1086" s="83">
        <v>1178598.0</v>
      </c>
      <c r="F1086" s="83"/>
      <c r="G1086" s="114" t="s">
        <v>5714</v>
      </c>
      <c r="H1086" s="91" t="s">
        <v>5715</v>
      </c>
      <c r="I1086" s="114" t="s">
        <v>149</v>
      </c>
      <c r="J1086" s="83" t="s">
        <v>2574</v>
      </c>
      <c r="K1086" s="83" t="s">
        <v>151</v>
      </c>
      <c r="L1086" s="83" t="s">
        <v>169</v>
      </c>
      <c r="M1086" s="82" t="s">
        <v>10371</v>
      </c>
      <c r="N1086" s="82" t="s">
        <v>10372</v>
      </c>
      <c r="O1086" s="82" t="s">
        <v>10373</v>
      </c>
      <c r="P1086" s="82" t="s">
        <v>10374</v>
      </c>
      <c r="Q1086" s="82"/>
      <c r="R1086" s="82"/>
      <c r="S1086" s="82" t="s">
        <v>10375</v>
      </c>
      <c r="T1086" s="138">
        <v>4.0</v>
      </c>
      <c r="U1086" s="401">
        <v>4.0</v>
      </c>
      <c r="V1086" s="106">
        <v>0.0</v>
      </c>
      <c r="W1086" s="107">
        <v>0.0</v>
      </c>
      <c r="X1086" s="107">
        <v>0.0</v>
      </c>
      <c r="Y1086" s="107">
        <v>0.0</v>
      </c>
      <c r="Z1086" s="80">
        <v>0.0</v>
      </c>
      <c r="AA1086" s="140">
        <v>0.0</v>
      </c>
      <c r="AB1086" s="109">
        <v>0.0</v>
      </c>
      <c r="AC1086" s="109">
        <v>0.0</v>
      </c>
      <c r="AD1086" s="141">
        <v>0.0</v>
      </c>
      <c r="AE1086" s="80">
        <v>0.0</v>
      </c>
      <c r="AF1086" s="140">
        <v>0.0</v>
      </c>
      <c r="AG1086" s="109">
        <v>52.0</v>
      </c>
      <c r="AH1086" s="109">
        <v>28.0</v>
      </c>
      <c r="AI1086" s="141">
        <v>0.0</v>
      </c>
      <c r="AJ1086" s="80">
        <v>80.0</v>
      </c>
      <c r="AK1086" s="140">
        <v>0.0</v>
      </c>
      <c r="AL1086" s="109">
        <v>0.0</v>
      </c>
      <c r="AM1086" s="141">
        <v>0.0</v>
      </c>
      <c r="AN1086" s="80">
        <v>0.0</v>
      </c>
      <c r="AO1086" s="140">
        <v>0.0</v>
      </c>
      <c r="AP1086" s="109">
        <v>0.0</v>
      </c>
      <c r="AQ1086" s="109">
        <v>47.0</v>
      </c>
      <c r="AR1086" s="80">
        <v>47.0</v>
      </c>
      <c r="AS1086" s="110">
        <v>0.0</v>
      </c>
      <c r="AT1086" s="110">
        <v>0.0</v>
      </c>
      <c r="AU1086" s="110">
        <v>0.0</v>
      </c>
      <c r="AV1086" s="142">
        <v>0.0</v>
      </c>
      <c r="AW1086" s="80">
        <v>0.0</v>
      </c>
      <c r="AX1086" s="113">
        <v>127.0</v>
      </c>
      <c r="AY1086" s="117">
        <v>52.0</v>
      </c>
      <c r="AZ1086" s="328">
        <v>75.0</v>
      </c>
      <c r="BA1086" s="315">
        <v>0.0</v>
      </c>
      <c r="BB1086" s="316">
        <v>127.0</v>
      </c>
      <c r="BC1086" s="132" t="s">
        <v>373</v>
      </c>
      <c r="BD1086" s="132" t="s">
        <v>178</v>
      </c>
      <c r="BE1086" s="132" t="s">
        <v>178</v>
      </c>
      <c r="BF1086" s="123"/>
      <c r="BG1086" s="83">
        <v>1178598.0</v>
      </c>
      <c r="BH1086" s="112">
        <v>4.0</v>
      </c>
      <c r="BI1086" s="98" t="s">
        <v>155</v>
      </c>
      <c r="BJ1086" s="98" t="str">
        <f t="shared" si="1"/>
        <v>NÃO</v>
      </c>
      <c r="BK1086" s="98" t="str">
        <f t="shared" si="2"/>
        <v>NÃO</v>
      </c>
    </row>
    <row r="1087" ht="15.75" customHeight="1">
      <c r="A1087" s="111" t="s">
        <v>1335</v>
      </c>
      <c r="B1087" s="83" t="s">
        <v>5717</v>
      </c>
      <c r="C1087" s="83" t="s">
        <v>68</v>
      </c>
      <c r="D1087" s="83">
        <v>1105436.0</v>
      </c>
      <c r="E1087" s="83"/>
      <c r="F1087" s="83">
        <v>2.9157803E7</v>
      </c>
      <c r="G1087" s="147" t="s">
        <v>10377</v>
      </c>
      <c r="H1087" s="91" t="s">
        <v>5723</v>
      </c>
      <c r="I1087" s="187" t="s">
        <v>149</v>
      </c>
      <c r="J1087" s="136" t="s">
        <v>150</v>
      </c>
      <c r="K1087" s="136" t="s">
        <v>151</v>
      </c>
      <c r="L1087" s="83" t="s">
        <v>152</v>
      </c>
      <c r="M1087" s="82" t="s">
        <v>10378</v>
      </c>
      <c r="N1087" s="82" t="s">
        <v>10379</v>
      </c>
      <c r="O1087" s="82" t="s">
        <v>10380</v>
      </c>
      <c r="P1087" s="82" t="s">
        <v>10381</v>
      </c>
      <c r="Q1087" s="82" t="s">
        <v>10382</v>
      </c>
      <c r="R1087" s="82" t="s">
        <v>10383</v>
      </c>
      <c r="S1087" s="82" t="s">
        <v>10384</v>
      </c>
      <c r="T1087" s="138">
        <v>12.0</v>
      </c>
      <c r="U1087" s="331" t="s">
        <v>10385</v>
      </c>
      <c r="V1087" s="106">
        <v>0.0</v>
      </c>
      <c r="W1087" s="107">
        <v>0.0</v>
      </c>
      <c r="X1087" s="107">
        <v>0.0</v>
      </c>
      <c r="Y1087" s="107">
        <v>0.0</v>
      </c>
      <c r="Z1087" s="80">
        <v>0.0</v>
      </c>
      <c r="AA1087" s="140">
        <v>0.0</v>
      </c>
      <c r="AB1087" s="109">
        <v>0.0</v>
      </c>
      <c r="AC1087" s="109">
        <v>0.0</v>
      </c>
      <c r="AD1087" s="141">
        <v>0.0</v>
      </c>
      <c r="AE1087" s="80">
        <v>0.0</v>
      </c>
      <c r="AF1087" s="140">
        <v>318.0</v>
      </c>
      <c r="AG1087" s="109">
        <v>43.0</v>
      </c>
      <c r="AH1087" s="109">
        <v>0.0</v>
      </c>
      <c r="AI1087" s="141">
        <v>252.0</v>
      </c>
      <c r="AJ1087" s="80">
        <v>613.0</v>
      </c>
      <c r="AK1087" s="140">
        <v>0.0</v>
      </c>
      <c r="AL1087" s="109">
        <v>0.0</v>
      </c>
      <c r="AM1087" s="141">
        <v>0.0</v>
      </c>
      <c r="AN1087" s="80">
        <v>0.0</v>
      </c>
      <c r="AO1087" s="140">
        <v>0.0</v>
      </c>
      <c r="AP1087" s="109">
        <v>113.0</v>
      </c>
      <c r="AQ1087" s="109">
        <v>136.0</v>
      </c>
      <c r="AR1087" s="80">
        <v>249.0</v>
      </c>
      <c r="AS1087" s="110">
        <v>169.0</v>
      </c>
      <c r="AT1087" s="110">
        <v>0.0</v>
      </c>
      <c r="AU1087" s="110">
        <v>145.0</v>
      </c>
      <c r="AV1087" s="142">
        <v>0.0</v>
      </c>
      <c r="AW1087" s="80">
        <v>314.0</v>
      </c>
      <c r="AX1087" s="113">
        <v>1176.0</v>
      </c>
      <c r="AY1087" s="117">
        <v>895.0</v>
      </c>
      <c r="AZ1087" s="328">
        <v>281.0</v>
      </c>
      <c r="BA1087" s="315">
        <v>0.0</v>
      </c>
      <c r="BB1087" s="316">
        <v>1176.0</v>
      </c>
      <c r="BC1087" s="132" t="s">
        <v>178</v>
      </c>
      <c r="BD1087" s="132" t="s">
        <v>178</v>
      </c>
      <c r="BE1087" s="132" t="s">
        <v>178</v>
      </c>
      <c r="BF1087" s="123"/>
      <c r="BG1087" s="83">
        <v>1105436.0</v>
      </c>
      <c r="BH1087" s="112">
        <v>24.0</v>
      </c>
      <c r="BI1087" s="98" t="s">
        <v>162</v>
      </c>
      <c r="BJ1087" s="98" t="str">
        <f t="shared" si="1"/>
        <v>INTEGRAL</v>
      </c>
      <c r="BK1087" s="98" t="str">
        <f t="shared" si="2"/>
        <v>PROFISSIONAL</v>
      </c>
    </row>
    <row r="1088" ht="15.75" customHeight="1">
      <c r="A1088" s="111" t="s">
        <v>1335</v>
      </c>
      <c r="B1088" s="83" t="s">
        <v>5728</v>
      </c>
      <c r="C1088" s="83" t="s">
        <v>68</v>
      </c>
      <c r="D1088" s="83">
        <v>1105584.0</v>
      </c>
      <c r="E1088" s="83"/>
      <c r="F1088" s="83">
        <v>2.9089964E7</v>
      </c>
      <c r="G1088" s="119" t="s">
        <v>5729</v>
      </c>
      <c r="H1088" s="91" t="s">
        <v>5730</v>
      </c>
      <c r="I1088" s="114" t="s">
        <v>149</v>
      </c>
      <c r="J1088" s="83" t="s">
        <v>150</v>
      </c>
      <c r="K1088" s="83" t="s">
        <v>151</v>
      </c>
      <c r="L1088" s="83" t="s">
        <v>76</v>
      </c>
      <c r="M1088" s="82" t="s">
        <v>10386</v>
      </c>
      <c r="N1088" s="82" t="s">
        <v>10387</v>
      </c>
      <c r="O1088" s="82" t="s">
        <v>10388</v>
      </c>
      <c r="P1088" s="82" t="s">
        <v>10389</v>
      </c>
      <c r="Q1088" s="82"/>
      <c r="R1088" s="82"/>
      <c r="S1088" s="82" t="s">
        <v>10390</v>
      </c>
      <c r="T1088" s="138">
        <v>9.0</v>
      </c>
      <c r="U1088" s="323">
        <v>9.0</v>
      </c>
      <c r="V1088" s="106">
        <v>0.0</v>
      </c>
      <c r="W1088" s="107">
        <v>0.0</v>
      </c>
      <c r="X1088" s="107">
        <v>0.0</v>
      </c>
      <c r="Y1088" s="107">
        <v>0.0</v>
      </c>
      <c r="Z1088" s="80">
        <v>0.0</v>
      </c>
      <c r="AA1088" s="140">
        <v>0.0</v>
      </c>
      <c r="AB1088" s="109">
        <v>0.0</v>
      </c>
      <c r="AC1088" s="109">
        <v>0.0</v>
      </c>
      <c r="AD1088" s="141">
        <v>0.0</v>
      </c>
      <c r="AE1088" s="80">
        <v>0.0</v>
      </c>
      <c r="AF1088" s="140">
        <v>113.0</v>
      </c>
      <c r="AG1088" s="109">
        <v>83.0</v>
      </c>
      <c r="AH1088" s="109">
        <v>0.0</v>
      </c>
      <c r="AI1088" s="141">
        <v>141.0</v>
      </c>
      <c r="AJ1088" s="80">
        <v>337.0</v>
      </c>
      <c r="AK1088" s="140">
        <v>0.0</v>
      </c>
      <c r="AL1088" s="109">
        <v>0.0</v>
      </c>
      <c r="AM1088" s="141">
        <v>0.0</v>
      </c>
      <c r="AN1088" s="80">
        <v>0.0</v>
      </c>
      <c r="AO1088" s="140">
        <v>0.0</v>
      </c>
      <c r="AP1088" s="109">
        <v>0.0</v>
      </c>
      <c r="AQ1088" s="109">
        <v>76.0</v>
      </c>
      <c r="AR1088" s="80">
        <v>76.0</v>
      </c>
      <c r="AS1088" s="110">
        <v>0.0</v>
      </c>
      <c r="AT1088" s="110">
        <v>0.0</v>
      </c>
      <c r="AU1088" s="110">
        <v>0.0</v>
      </c>
      <c r="AV1088" s="142">
        <v>0.0</v>
      </c>
      <c r="AW1088" s="80">
        <v>0.0</v>
      </c>
      <c r="AX1088" s="113">
        <v>413.0</v>
      </c>
      <c r="AY1088" s="117">
        <v>337.0</v>
      </c>
      <c r="AZ1088" s="328">
        <v>76.0</v>
      </c>
      <c r="BA1088" s="315">
        <v>0.0</v>
      </c>
      <c r="BB1088" s="316">
        <v>413.0</v>
      </c>
      <c r="BC1088" s="132" t="s">
        <v>178</v>
      </c>
      <c r="BD1088" s="132" t="s">
        <v>178</v>
      </c>
      <c r="BE1088" s="132" t="s">
        <v>178</v>
      </c>
      <c r="BF1088" s="123"/>
      <c r="BG1088" s="83">
        <v>1105584.0</v>
      </c>
      <c r="BH1088" s="112">
        <v>9.0</v>
      </c>
      <c r="BI1088" s="98" t="s">
        <v>155</v>
      </c>
      <c r="BJ1088" s="98" t="str">
        <f t="shared" si="1"/>
        <v>INTEGRAL</v>
      </c>
      <c r="BK1088" s="98" t="str">
        <f t="shared" si="2"/>
        <v>NÃO</v>
      </c>
    </row>
    <row r="1089" ht="15.75" customHeight="1">
      <c r="A1089" s="111" t="s">
        <v>1335</v>
      </c>
      <c r="B1089" s="83" t="s">
        <v>5732</v>
      </c>
      <c r="C1089" s="83" t="s">
        <v>68</v>
      </c>
      <c r="D1089" s="83">
        <v>1105460.0</v>
      </c>
      <c r="E1089" s="83"/>
      <c r="F1089" s="83">
        <v>2.909035E7</v>
      </c>
      <c r="G1089" s="219" t="s">
        <v>10391</v>
      </c>
      <c r="H1089" s="91" t="s">
        <v>10392</v>
      </c>
      <c r="I1089" s="114" t="s">
        <v>149</v>
      </c>
      <c r="J1089" s="83" t="s">
        <v>150</v>
      </c>
      <c r="K1089" s="83" t="s">
        <v>151</v>
      </c>
      <c r="L1089" s="83" t="s">
        <v>76</v>
      </c>
      <c r="M1089" s="82" t="s">
        <v>10393</v>
      </c>
      <c r="N1089" s="82" t="s">
        <v>10394</v>
      </c>
      <c r="O1089" s="82" t="s">
        <v>10395</v>
      </c>
      <c r="P1089" s="82" t="s">
        <v>10396</v>
      </c>
      <c r="Q1089" s="82"/>
      <c r="R1089" s="82"/>
      <c r="S1089" s="82" t="s">
        <v>10397</v>
      </c>
      <c r="T1089" s="138">
        <v>9.0</v>
      </c>
      <c r="U1089" s="331" t="s">
        <v>10398</v>
      </c>
      <c r="V1089" s="106">
        <v>0.0</v>
      </c>
      <c r="W1089" s="107">
        <v>0.0</v>
      </c>
      <c r="X1089" s="107">
        <v>0.0</v>
      </c>
      <c r="Y1089" s="107">
        <v>0.0</v>
      </c>
      <c r="Z1089" s="80">
        <v>0.0</v>
      </c>
      <c r="AA1089" s="140">
        <v>0.0</v>
      </c>
      <c r="AB1089" s="109">
        <v>0.0</v>
      </c>
      <c r="AC1089" s="109">
        <v>0.0</v>
      </c>
      <c r="AD1089" s="141">
        <v>0.0</v>
      </c>
      <c r="AE1089" s="80">
        <v>0.0</v>
      </c>
      <c r="AF1089" s="140">
        <v>95.0</v>
      </c>
      <c r="AG1089" s="109">
        <v>148.0</v>
      </c>
      <c r="AH1089" s="109">
        <v>0.0</v>
      </c>
      <c r="AI1089" s="141">
        <v>54.0</v>
      </c>
      <c r="AJ1089" s="80">
        <v>297.0</v>
      </c>
      <c r="AK1089" s="140">
        <v>0.0</v>
      </c>
      <c r="AL1089" s="109">
        <v>0.0</v>
      </c>
      <c r="AM1089" s="141">
        <v>0.0</v>
      </c>
      <c r="AN1089" s="80">
        <v>0.0</v>
      </c>
      <c r="AO1089" s="140">
        <v>0.0</v>
      </c>
      <c r="AP1089" s="109">
        <v>0.0</v>
      </c>
      <c r="AQ1089" s="109">
        <v>0.0</v>
      </c>
      <c r="AR1089" s="80">
        <v>0.0</v>
      </c>
      <c r="AS1089" s="110">
        <v>0.0</v>
      </c>
      <c r="AT1089" s="110">
        <v>0.0</v>
      </c>
      <c r="AU1089" s="110">
        <v>0.0</v>
      </c>
      <c r="AV1089" s="142">
        <v>0.0</v>
      </c>
      <c r="AW1089" s="80">
        <v>0.0</v>
      </c>
      <c r="AX1089" s="113">
        <v>297.0</v>
      </c>
      <c r="AY1089" s="117">
        <v>297.0</v>
      </c>
      <c r="AZ1089" s="328">
        <v>0.0</v>
      </c>
      <c r="BA1089" s="315">
        <v>0.0</v>
      </c>
      <c r="BB1089" s="316">
        <v>297.0</v>
      </c>
      <c r="BC1089" s="132" t="s">
        <v>373</v>
      </c>
      <c r="BD1089" s="132" t="s">
        <v>178</v>
      </c>
      <c r="BE1089" s="132" t="s">
        <v>178</v>
      </c>
      <c r="BF1089" s="123"/>
      <c r="BG1089" s="83">
        <v>1105460.0</v>
      </c>
      <c r="BH1089" s="112">
        <v>11.0</v>
      </c>
      <c r="BI1089" s="98" t="s">
        <v>155</v>
      </c>
      <c r="BJ1089" s="98" t="str">
        <f t="shared" si="1"/>
        <v>INTEGRAL</v>
      </c>
      <c r="BK1089" s="98" t="str">
        <f t="shared" si="2"/>
        <v>NÃO</v>
      </c>
    </row>
    <row r="1090" ht="15.75" customHeight="1">
      <c r="A1090" s="111" t="s">
        <v>1335</v>
      </c>
      <c r="B1090" s="83" t="s">
        <v>5736</v>
      </c>
      <c r="C1090" s="83" t="s">
        <v>68</v>
      </c>
      <c r="D1090" s="83">
        <v>1105568.0</v>
      </c>
      <c r="E1090" s="83"/>
      <c r="F1090" s="83">
        <v>2.9090865E7</v>
      </c>
      <c r="G1090" s="147" t="s">
        <v>10399</v>
      </c>
      <c r="H1090" s="91" t="s">
        <v>5738</v>
      </c>
      <c r="I1090" s="114" t="s">
        <v>149</v>
      </c>
      <c r="J1090" s="83" t="s">
        <v>150</v>
      </c>
      <c r="K1090" s="83" t="s">
        <v>151</v>
      </c>
      <c r="L1090" s="83" t="s">
        <v>152</v>
      </c>
      <c r="M1090" s="82" t="s">
        <v>10400</v>
      </c>
      <c r="N1090" s="82" t="s">
        <v>10401</v>
      </c>
      <c r="O1090" s="82" t="s">
        <v>10402</v>
      </c>
      <c r="P1090" s="82" t="s">
        <v>10403</v>
      </c>
      <c r="Q1090" s="82"/>
      <c r="R1090" s="82"/>
      <c r="S1090" s="82" t="s">
        <v>10404</v>
      </c>
      <c r="T1090" s="138">
        <v>11.0</v>
      </c>
      <c r="U1090" s="510" t="s">
        <v>10405</v>
      </c>
      <c r="V1090" s="106">
        <v>0.0</v>
      </c>
      <c r="W1090" s="107">
        <v>0.0</v>
      </c>
      <c r="X1090" s="107">
        <v>0.0</v>
      </c>
      <c r="Y1090" s="107">
        <v>0.0</v>
      </c>
      <c r="Z1090" s="80">
        <v>0.0</v>
      </c>
      <c r="AA1090" s="140">
        <v>0.0</v>
      </c>
      <c r="AB1090" s="109">
        <v>0.0</v>
      </c>
      <c r="AC1090" s="109">
        <v>0.0</v>
      </c>
      <c r="AD1090" s="141">
        <v>0.0</v>
      </c>
      <c r="AE1090" s="80">
        <v>0.0</v>
      </c>
      <c r="AF1090" s="140">
        <v>214.0</v>
      </c>
      <c r="AG1090" s="109">
        <v>332.0</v>
      </c>
      <c r="AH1090" s="109">
        <v>0.0</v>
      </c>
      <c r="AI1090" s="141">
        <v>78.0</v>
      </c>
      <c r="AJ1090" s="80">
        <v>624.0</v>
      </c>
      <c r="AK1090" s="140">
        <v>0.0</v>
      </c>
      <c r="AL1090" s="109">
        <v>0.0</v>
      </c>
      <c r="AM1090" s="141">
        <v>0.0</v>
      </c>
      <c r="AN1090" s="80">
        <v>0.0</v>
      </c>
      <c r="AO1090" s="140">
        <v>0.0</v>
      </c>
      <c r="AP1090" s="109">
        <v>0.0</v>
      </c>
      <c r="AQ1090" s="109">
        <v>141.0</v>
      </c>
      <c r="AR1090" s="80">
        <v>141.0</v>
      </c>
      <c r="AS1090" s="110">
        <v>154.0</v>
      </c>
      <c r="AT1090" s="110">
        <v>13.0</v>
      </c>
      <c r="AU1090" s="110">
        <v>0.0</v>
      </c>
      <c r="AV1090" s="142">
        <v>0.0</v>
      </c>
      <c r="AW1090" s="80">
        <v>167.0</v>
      </c>
      <c r="AX1090" s="113">
        <v>932.0</v>
      </c>
      <c r="AY1090" s="117">
        <v>791.0</v>
      </c>
      <c r="AZ1090" s="328">
        <v>141.0</v>
      </c>
      <c r="BA1090" s="315">
        <v>1.0</v>
      </c>
      <c r="BB1090" s="316">
        <v>933.0</v>
      </c>
      <c r="BC1090" s="132" t="s">
        <v>178</v>
      </c>
      <c r="BD1090" s="132" t="s">
        <v>178</v>
      </c>
      <c r="BE1090" s="132" t="s">
        <v>178</v>
      </c>
      <c r="BF1090" s="123"/>
      <c r="BG1090" s="83">
        <v>1105568.0</v>
      </c>
      <c r="BH1090" s="112">
        <v>21.0</v>
      </c>
      <c r="BI1090" s="98" t="s">
        <v>155</v>
      </c>
      <c r="BJ1090" s="98" t="str">
        <f t="shared" si="1"/>
        <v>INTEGRAL</v>
      </c>
      <c r="BK1090" s="98" t="str">
        <f t="shared" si="2"/>
        <v>PROFISSIONAL</v>
      </c>
    </row>
    <row r="1091" ht="15.75" customHeight="1">
      <c r="A1091" s="111" t="s">
        <v>1335</v>
      </c>
      <c r="B1091" s="172" t="s">
        <v>2113</v>
      </c>
      <c r="C1091" s="83" t="s">
        <v>68</v>
      </c>
      <c r="D1091" s="83">
        <v>1105266.0</v>
      </c>
      <c r="E1091" s="83"/>
      <c r="F1091" s="83">
        <v>2.909147E7</v>
      </c>
      <c r="G1091" s="187" t="s">
        <v>10406</v>
      </c>
      <c r="H1091" s="91" t="s">
        <v>5741</v>
      </c>
      <c r="I1091" s="114" t="s">
        <v>149</v>
      </c>
      <c r="J1091" s="83" t="s">
        <v>150</v>
      </c>
      <c r="K1091" s="83" t="s">
        <v>151</v>
      </c>
      <c r="L1091" s="83" t="s">
        <v>230</v>
      </c>
      <c r="M1091" s="82" t="s">
        <v>10407</v>
      </c>
      <c r="N1091" s="82" t="s">
        <v>10408</v>
      </c>
      <c r="O1091" s="82" t="s">
        <v>10409</v>
      </c>
      <c r="P1091" s="82" t="s">
        <v>10410</v>
      </c>
      <c r="Q1091" s="82"/>
      <c r="R1091" s="82"/>
      <c r="S1091" s="82" t="s">
        <v>10411</v>
      </c>
      <c r="T1091" s="138">
        <v>17.0</v>
      </c>
      <c r="U1091" s="389">
        <v>17.0</v>
      </c>
      <c r="V1091" s="106">
        <v>0.0</v>
      </c>
      <c r="W1091" s="107">
        <v>0.0</v>
      </c>
      <c r="X1091" s="107">
        <v>0.0</v>
      </c>
      <c r="Y1091" s="107">
        <v>0.0</v>
      </c>
      <c r="Z1091" s="80">
        <v>0.0</v>
      </c>
      <c r="AA1091" s="140">
        <v>0.0</v>
      </c>
      <c r="AB1091" s="109">
        <v>0.0</v>
      </c>
      <c r="AC1091" s="109">
        <v>0.0</v>
      </c>
      <c r="AD1091" s="141">
        <v>0.0</v>
      </c>
      <c r="AE1091" s="80">
        <v>0.0</v>
      </c>
      <c r="AF1091" s="140">
        <v>319.0</v>
      </c>
      <c r="AG1091" s="109">
        <v>286.0</v>
      </c>
      <c r="AH1091" s="109">
        <v>35.0</v>
      </c>
      <c r="AI1091" s="141">
        <v>207.0</v>
      </c>
      <c r="AJ1091" s="80">
        <v>847.0</v>
      </c>
      <c r="AK1091" s="140">
        <v>0.0</v>
      </c>
      <c r="AL1091" s="109">
        <v>0.0</v>
      </c>
      <c r="AM1091" s="141">
        <v>0.0</v>
      </c>
      <c r="AN1091" s="80">
        <v>0.0</v>
      </c>
      <c r="AO1091" s="140">
        <v>0.0</v>
      </c>
      <c r="AP1091" s="109">
        <v>0.0</v>
      </c>
      <c r="AQ1091" s="109">
        <v>139.0</v>
      </c>
      <c r="AR1091" s="80">
        <v>139.0</v>
      </c>
      <c r="AS1091" s="110">
        <v>126.0</v>
      </c>
      <c r="AT1091" s="110">
        <v>82.0</v>
      </c>
      <c r="AU1091" s="110">
        <v>83.0</v>
      </c>
      <c r="AV1091" s="142">
        <v>182.0</v>
      </c>
      <c r="AW1091" s="80">
        <v>473.0</v>
      </c>
      <c r="AX1091" s="113">
        <v>1459.0</v>
      </c>
      <c r="AY1091" s="117">
        <v>1202.0</v>
      </c>
      <c r="AZ1091" s="328">
        <v>257.0</v>
      </c>
      <c r="BA1091" s="315">
        <v>0.0</v>
      </c>
      <c r="BB1091" s="316">
        <v>1459.0</v>
      </c>
      <c r="BC1091" s="132" t="s">
        <v>178</v>
      </c>
      <c r="BD1091" s="132" t="s">
        <v>178</v>
      </c>
      <c r="BE1091" s="132" t="s">
        <v>178</v>
      </c>
      <c r="BF1091" s="123"/>
      <c r="BG1091" s="83">
        <v>1105266.0</v>
      </c>
      <c r="BH1091" s="112">
        <v>17.0</v>
      </c>
      <c r="BI1091" s="98" t="s">
        <v>155</v>
      </c>
      <c r="BJ1091" s="98" t="str">
        <f t="shared" si="1"/>
        <v>INTEGRAL</v>
      </c>
      <c r="BK1091" s="98" t="str">
        <f t="shared" si="2"/>
        <v>PROFISSIONAL</v>
      </c>
    </row>
    <row r="1092" ht="15.75" customHeight="1">
      <c r="A1092" s="111" t="s">
        <v>1335</v>
      </c>
      <c r="B1092" s="83" t="s">
        <v>5743</v>
      </c>
      <c r="C1092" s="83" t="s">
        <v>68</v>
      </c>
      <c r="D1092" s="83">
        <v>1105100.0</v>
      </c>
      <c r="E1092" s="83"/>
      <c r="F1092" s="83">
        <v>2.9092213E7</v>
      </c>
      <c r="G1092" s="119" t="s">
        <v>5744</v>
      </c>
      <c r="H1092" s="91" t="s">
        <v>5745</v>
      </c>
      <c r="I1092" s="187" t="s">
        <v>5746</v>
      </c>
      <c r="J1092" s="83" t="s">
        <v>2574</v>
      </c>
      <c r="K1092" s="83" t="s">
        <v>151</v>
      </c>
      <c r="L1092" s="83" t="s">
        <v>76</v>
      </c>
      <c r="M1092" s="82" t="s">
        <v>10412</v>
      </c>
      <c r="N1092" s="82" t="s">
        <v>10413</v>
      </c>
      <c r="O1092" s="82" t="s">
        <v>10414</v>
      </c>
      <c r="P1092" s="82" t="s">
        <v>10415</v>
      </c>
      <c r="Q1092" s="82"/>
      <c r="R1092" s="82"/>
      <c r="S1092" s="82" t="s">
        <v>10416</v>
      </c>
      <c r="T1092" s="138">
        <v>9.0</v>
      </c>
      <c r="U1092" s="419" t="s">
        <v>10417</v>
      </c>
      <c r="V1092" s="106">
        <v>0.0</v>
      </c>
      <c r="W1092" s="107">
        <v>0.0</v>
      </c>
      <c r="X1092" s="107">
        <v>0.0</v>
      </c>
      <c r="Y1092" s="107">
        <v>0.0</v>
      </c>
      <c r="Z1092" s="80">
        <v>0.0</v>
      </c>
      <c r="AA1092" s="140">
        <v>0.0</v>
      </c>
      <c r="AB1092" s="109">
        <v>0.0</v>
      </c>
      <c r="AC1092" s="109">
        <v>0.0</v>
      </c>
      <c r="AD1092" s="141">
        <v>0.0</v>
      </c>
      <c r="AE1092" s="80">
        <v>0.0</v>
      </c>
      <c r="AF1092" s="140">
        <v>138.0</v>
      </c>
      <c r="AG1092" s="109">
        <v>132.0</v>
      </c>
      <c r="AH1092" s="109">
        <v>0.0</v>
      </c>
      <c r="AI1092" s="141">
        <v>0.0</v>
      </c>
      <c r="AJ1092" s="80">
        <v>270.0</v>
      </c>
      <c r="AK1092" s="140">
        <v>0.0</v>
      </c>
      <c r="AL1092" s="109">
        <v>0.0</v>
      </c>
      <c r="AM1092" s="141">
        <v>40.0</v>
      </c>
      <c r="AN1092" s="80">
        <v>40.0</v>
      </c>
      <c r="AO1092" s="140">
        <v>0.0</v>
      </c>
      <c r="AP1092" s="109">
        <v>0.0</v>
      </c>
      <c r="AQ1092" s="109">
        <v>63.0</v>
      </c>
      <c r="AR1092" s="80">
        <v>63.0</v>
      </c>
      <c r="AS1092" s="110">
        <v>0.0</v>
      </c>
      <c r="AT1092" s="110">
        <v>0.0</v>
      </c>
      <c r="AU1092" s="110">
        <v>0.0</v>
      </c>
      <c r="AV1092" s="142">
        <v>0.0</v>
      </c>
      <c r="AW1092" s="80">
        <v>0.0</v>
      </c>
      <c r="AX1092" s="113">
        <v>373.0</v>
      </c>
      <c r="AY1092" s="117">
        <v>270.0</v>
      </c>
      <c r="AZ1092" s="328">
        <v>103.0</v>
      </c>
      <c r="BA1092" s="315">
        <v>0.0</v>
      </c>
      <c r="BB1092" s="316">
        <v>373.0</v>
      </c>
      <c r="BC1092" s="132" t="s">
        <v>373</v>
      </c>
      <c r="BD1092" s="132" t="s">
        <v>178</v>
      </c>
      <c r="BE1092" s="132" t="s">
        <v>178</v>
      </c>
      <c r="BF1092" s="123"/>
      <c r="BG1092" s="83">
        <v>1105100.0</v>
      </c>
      <c r="BH1092" s="112">
        <v>7.0</v>
      </c>
      <c r="BI1092" s="98" t="s">
        <v>155</v>
      </c>
      <c r="BJ1092" s="98" t="str">
        <f t="shared" si="1"/>
        <v>NÃO</v>
      </c>
      <c r="BK1092" s="98" t="str">
        <f t="shared" si="2"/>
        <v>NÃO</v>
      </c>
    </row>
    <row r="1093" ht="15.75" customHeight="1">
      <c r="A1093" s="111" t="s">
        <v>1335</v>
      </c>
      <c r="B1093" s="83" t="s">
        <v>5743</v>
      </c>
      <c r="C1093" s="83" t="s">
        <v>68</v>
      </c>
      <c r="D1093" s="83">
        <v>1105169.0</v>
      </c>
      <c r="E1093" s="83"/>
      <c r="F1093" s="83">
        <v>2.9092191E7</v>
      </c>
      <c r="G1093" s="119" t="s">
        <v>10418</v>
      </c>
      <c r="H1093" s="91" t="s">
        <v>5756</v>
      </c>
      <c r="I1093" s="187" t="s">
        <v>149</v>
      </c>
      <c r="J1093" s="83" t="s">
        <v>150</v>
      </c>
      <c r="K1093" s="83" t="s">
        <v>151</v>
      </c>
      <c r="L1093" s="83" t="s">
        <v>230</v>
      </c>
      <c r="M1093" s="82" t="s">
        <v>10419</v>
      </c>
      <c r="N1093" s="82" t="s">
        <v>10420</v>
      </c>
      <c r="O1093" s="82"/>
      <c r="P1093" s="82"/>
      <c r="Q1093" s="82"/>
      <c r="R1093" s="82"/>
      <c r="S1093" s="82" t="s">
        <v>10421</v>
      </c>
      <c r="T1093" s="138">
        <v>16.0</v>
      </c>
      <c r="U1093" s="341" t="s">
        <v>10422</v>
      </c>
      <c r="V1093" s="106">
        <v>0.0</v>
      </c>
      <c r="W1093" s="107">
        <v>0.0</v>
      </c>
      <c r="X1093" s="107">
        <v>0.0</v>
      </c>
      <c r="Y1093" s="107">
        <v>0.0</v>
      </c>
      <c r="Z1093" s="80">
        <v>0.0</v>
      </c>
      <c r="AA1093" s="140">
        <v>0.0</v>
      </c>
      <c r="AB1093" s="109">
        <v>0.0</v>
      </c>
      <c r="AC1093" s="109">
        <v>0.0</v>
      </c>
      <c r="AD1093" s="141">
        <v>0.0</v>
      </c>
      <c r="AE1093" s="80">
        <v>0.0</v>
      </c>
      <c r="AF1093" s="140">
        <v>0.0</v>
      </c>
      <c r="AG1093" s="109">
        <v>103.0</v>
      </c>
      <c r="AH1093" s="109">
        <v>0.0</v>
      </c>
      <c r="AI1093" s="141">
        <v>425.0</v>
      </c>
      <c r="AJ1093" s="80">
        <v>528.0</v>
      </c>
      <c r="AK1093" s="140">
        <v>0.0</v>
      </c>
      <c r="AL1093" s="109">
        <v>0.0</v>
      </c>
      <c r="AM1093" s="141">
        <v>0.0</v>
      </c>
      <c r="AN1093" s="80">
        <v>0.0</v>
      </c>
      <c r="AO1093" s="140">
        <v>0.0</v>
      </c>
      <c r="AP1093" s="109">
        <v>0.0</v>
      </c>
      <c r="AQ1093" s="109">
        <v>112.0</v>
      </c>
      <c r="AR1093" s="80">
        <v>112.0</v>
      </c>
      <c r="AS1093" s="110">
        <v>0.0</v>
      </c>
      <c r="AT1093" s="110">
        <v>11.0</v>
      </c>
      <c r="AU1093" s="110">
        <v>119.0</v>
      </c>
      <c r="AV1093" s="142">
        <v>0.0</v>
      </c>
      <c r="AW1093" s="80">
        <v>130.0</v>
      </c>
      <c r="AX1093" s="113">
        <v>770.0</v>
      </c>
      <c r="AY1093" s="117">
        <v>539.0</v>
      </c>
      <c r="AZ1093" s="328">
        <v>231.0</v>
      </c>
      <c r="BA1093" s="315">
        <v>0.0</v>
      </c>
      <c r="BB1093" s="316">
        <v>770.0</v>
      </c>
      <c r="BC1093" s="132" t="s">
        <v>178</v>
      </c>
      <c r="BD1093" s="132" t="s">
        <v>178</v>
      </c>
      <c r="BE1093" s="132" t="s">
        <v>178</v>
      </c>
      <c r="BF1093" s="123"/>
      <c r="BG1093" s="83">
        <v>1105169.0</v>
      </c>
      <c r="BH1093" s="112">
        <v>14.0</v>
      </c>
      <c r="BI1093" s="98" t="s">
        <v>155</v>
      </c>
      <c r="BJ1093" s="98" t="str">
        <f t="shared" si="1"/>
        <v>INTEGRAL</v>
      </c>
      <c r="BK1093" s="98" t="str">
        <f t="shared" si="2"/>
        <v>PROFISSIONAL</v>
      </c>
    </row>
    <row r="1094" ht="15.75" customHeight="1">
      <c r="A1094" s="111" t="s">
        <v>1335</v>
      </c>
      <c r="B1094" s="83" t="s">
        <v>2050</v>
      </c>
      <c r="C1094" s="83" t="s">
        <v>68</v>
      </c>
      <c r="D1094" s="83">
        <v>1105959.0</v>
      </c>
      <c r="E1094" s="83"/>
      <c r="F1094" s="83">
        <v>2.9096243E7</v>
      </c>
      <c r="G1094" s="119" t="s">
        <v>5758</v>
      </c>
      <c r="H1094" s="91" t="s">
        <v>5759</v>
      </c>
      <c r="I1094" s="187" t="s">
        <v>149</v>
      </c>
      <c r="J1094" s="83" t="s">
        <v>150</v>
      </c>
      <c r="K1094" s="83" t="s">
        <v>151</v>
      </c>
      <c r="L1094" s="83" t="s">
        <v>230</v>
      </c>
      <c r="M1094" s="82" t="s">
        <v>10423</v>
      </c>
      <c r="N1094" s="82" t="s">
        <v>10424</v>
      </c>
      <c r="O1094" s="82" t="s">
        <v>10425</v>
      </c>
      <c r="P1094" s="82" t="s">
        <v>10426</v>
      </c>
      <c r="Q1094" s="82" t="s">
        <v>10427</v>
      </c>
      <c r="R1094" s="82"/>
      <c r="S1094" s="82" t="s">
        <v>10428</v>
      </c>
      <c r="T1094" s="138">
        <v>34.0</v>
      </c>
      <c r="U1094" s="433">
        <v>34.0</v>
      </c>
      <c r="V1094" s="106">
        <v>0.0</v>
      </c>
      <c r="W1094" s="107">
        <v>0.0</v>
      </c>
      <c r="X1094" s="107">
        <v>0.0</v>
      </c>
      <c r="Y1094" s="107">
        <v>0.0</v>
      </c>
      <c r="Z1094" s="80">
        <v>0.0</v>
      </c>
      <c r="AA1094" s="140">
        <v>178.0</v>
      </c>
      <c r="AB1094" s="109">
        <v>302.0</v>
      </c>
      <c r="AC1094" s="109">
        <v>0.0</v>
      </c>
      <c r="AD1094" s="141">
        <v>282.0</v>
      </c>
      <c r="AE1094" s="80">
        <v>762.0</v>
      </c>
      <c r="AF1094" s="140">
        <v>205.0</v>
      </c>
      <c r="AG1094" s="109">
        <v>87.0</v>
      </c>
      <c r="AH1094" s="109">
        <v>0.0</v>
      </c>
      <c r="AI1094" s="141">
        <v>684.0</v>
      </c>
      <c r="AJ1094" s="80">
        <v>976.0</v>
      </c>
      <c r="AK1094" s="140">
        <v>0.0</v>
      </c>
      <c r="AL1094" s="109">
        <v>0.0</v>
      </c>
      <c r="AM1094" s="141">
        <v>0.0</v>
      </c>
      <c r="AN1094" s="80">
        <v>0.0</v>
      </c>
      <c r="AO1094" s="140">
        <v>0.0</v>
      </c>
      <c r="AP1094" s="109">
        <v>0.0</v>
      </c>
      <c r="AQ1094" s="109">
        <v>0.0</v>
      </c>
      <c r="AR1094" s="80">
        <v>0.0</v>
      </c>
      <c r="AS1094" s="110">
        <v>0.0</v>
      </c>
      <c r="AT1094" s="110">
        <v>0.0</v>
      </c>
      <c r="AU1094" s="110">
        <v>0.0</v>
      </c>
      <c r="AV1094" s="142">
        <v>0.0</v>
      </c>
      <c r="AW1094" s="80">
        <v>0.0</v>
      </c>
      <c r="AX1094" s="113">
        <v>1738.0</v>
      </c>
      <c r="AY1094" s="117">
        <v>1738.0</v>
      </c>
      <c r="AZ1094" s="328">
        <v>0.0</v>
      </c>
      <c r="BA1094" s="315">
        <v>1.0</v>
      </c>
      <c r="BB1094" s="316">
        <v>1739.0</v>
      </c>
      <c r="BC1094" s="132" t="s">
        <v>178</v>
      </c>
      <c r="BD1094" s="132" t="s">
        <v>178</v>
      </c>
      <c r="BE1094" s="132" t="s">
        <v>178</v>
      </c>
      <c r="BF1094" s="123"/>
      <c r="BG1094" s="83">
        <v>1105959.0</v>
      </c>
      <c r="BH1094" s="98">
        <v>34.0</v>
      </c>
      <c r="BI1094" s="98" t="s">
        <v>155</v>
      </c>
      <c r="BJ1094" s="98" t="str">
        <f t="shared" si="1"/>
        <v>INTEGRAL</v>
      </c>
      <c r="BK1094" s="98" t="str">
        <f t="shared" si="2"/>
        <v>NÃO</v>
      </c>
    </row>
    <row r="1095" ht="15.75" customHeight="1">
      <c r="A1095" s="111" t="s">
        <v>1335</v>
      </c>
      <c r="B1095" s="83" t="s">
        <v>2050</v>
      </c>
      <c r="C1095" s="83" t="s">
        <v>68</v>
      </c>
      <c r="D1095" s="83">
        <v>1176423.0</v>
      </c>
      <c r="E1095" s="83"/>
      <c r="F1095" s="83">
        <v>2.9387736E7</v>
      </c>
      <c r="G1095" s="114" t="s">
        <v>4944</v>
      </c>
      <c r="H1095" s="91" t="s">
        <v>5762</v>
      </c>
      <c r="I1095" s="187" t="s">
        <v>149</v>
      </c>
      <c r="J1095" s="83" t="s">
        <v>150</v>
      </c>
      <c r="K1095" s="83" t="s">
        <v>151</v>
      </c>
      <c r="L1095" s="83" t="s">
        <v>230</v>
      </c>
      <c r="M1095" s="82" t="s">
        <v>10429</v>
      </c>
      <c r="N1095" s="82" t="s">
        <v>10430</v>
      </c>
      <c r="O1095" s="82" t="s">
        <v>10431</v>
      </c>
      <c r="P1095" s="82" t="s">
        <v>10432</v>
      </c>
      <c r="Q1095" s="82" t="s">
        <v>10433</v>
      </c>
      <c r="R1095" s="82" t="s">
        <v>10434</v>
      </c>
      <c r="S1095" s="82" t="s">
        <v>10435</v>
      </c>
      <c r="T1095" s="138">
        <v>22.0</v>
      </c>
      <c r="U1095" s="433">
        <v>22.0</v>
      </c>
      <c r="V1095" s="106">
        <v>0.0</v>
      </c>
      <c r="W1095" s="107">
        <v>0.0</v>
      </c>
      <c r="X1095" s="107">
        <v>0.0</v>
      </c>
      <c r="Y1095" s="107">
        <v>0.0</v>
      </c>
      <c r="Z1095" s="80">
        <v>0.0</v>
      </c>
      <c r="AA1095" s="140">
        <v>0.0</v>
      </c>
      <c r="AB1095" s="109">
        <v>0.0</v>
      </c>
      <c r="AC1095" s="109">
        <v>0.0</v>
      </c>
      <c r="AD1095" s="141">
        <v>0.0</v>
      </c>
      <c r="AE1095" s="80">
        <v>0.0</v>
      </c>
      <c r="AF1095" s="140">
        <v>178.0</v>
      </c>
      <c r="AG1095" s="109">
        <v>255.0</v>
      </c>
      <c r="AH1095" s="109">
        <v>25.0</v>
      </c>
      <c r="AI1095" s="141">
        <v>501.0</v>
      </c>
      <c r="AJ1095" s="80">
        <v>959.0</v>
      </c>
      <c r="AK1095" s="140">
        <v>0.0</v>
      </c>
      <c r="AL1095" s="109">
        <v>0.0</v>
      </c>
      <c r="AM1095" s="141">
        <v>0.0</v>
      </c>
      <c r="AN1095" s="80">
        <v>0.0</v>
      </c>
      <c r="AO1095" s="140">
        <v>0.0</v>
      </c>
      <c r="AP1095" s="109">
        <v>0.0</v>
      </c>
      <c r="AQ1095" s="109">
        <v>44.0</v>
      </c>
      <c r="AR1095" s="80">
        <v>44.0</v>
      </c>
      <c r="AS1095" s="110">
        <v>0.0</v>
      </c>
      <c r="AT1095" s="110">
        <v>0.0</v>
      </c>
      <c r="AU1095" s="110">
        <v>210.0</v>
      </c>
      <c r="AV1095" s="142">
        <v>0.0</v>
      </c>
      <c r="AW1095" s="80">
        <v>210.0</v>
      </c>
      <c r="AX1095" s="113">
        <v>1213.0</v>
      </c>
      <c r="AY1095" s="117">
        <v>934.0</v>
      </c>
      <c r="AZ1095" s="328">
        <v>279.0</v>
      </c>
      <c r="BA1095" s="315">
        <v>0.0</v>
      </c>
      <c r="BB1095" s="316">
        <v>1213.0</v>
      </c>
      <c r="BC1095" s="132" t="s">
        <v>178</v>
      </c>
      <c r="BD1095" s="132" t="s">
        <v>178</v>
      </c>
      <c r="BE1095" s="132" t="s">
        <v>178</v>
      </c>
      <c r="BF1095" s="123"/>
      <c r="BG1095" s="83">
        <v>1176423.0</v>
      </c>
      <c r="BH1095" s="98">
        <v>22.0</v>
      </c>
      <c r="BI1095" s="98" t="s">
        <v>155</v>
      </c>
      <c r="BJ1095" s="98" t="str">
        <f t="shared" si="1"/>
        <v>INTEGRAL</v>
      </c>
      <c r="BK1095" s="98" t="str">
        <f t="shared" si="2"/>
        <v>PROFISSIONAL</v>
      </c>
    </row>
    <row r="1096" ht="15.75" customHeight="1">
      <c r="A1096" s="111" t="s">
        <v>1335</v>
      </c>
      <c r="B1096" s="83" t="s">
        <v>2050</v>
      </c>
      <c r="C1096" s="83" t="s">
        <v>68</v>
      </c>
      <c r="D1096" s="83">
        <v>1106084.0</v>
      </c>
      <c r="E1096" s="83"/>
      <c r="F1096" s="83">
        <v>2.909519E7</v>
      </c>
      <c r="G1096" s="114" t="s">
        <v>5764</v>
      </c>
      <c r="H1096" s="91" t="s">
        <v>5765</v>
      </c>
      <c r="I1096" s="114" t="s">
        <v>5766</v>
      </c>
      <c r="J1096" s="83" t="s">
        <v>150</v>
      </c>
      <c r="K1096" s="83" t="s">
        <v>5767</v>
      </c>
      <c r="L1096" s="83" t="s">
        <v>152</v>
      </c>
      <c r="M1096" s="82" t="s">
        <v>10436</v>
      </c>
      <c r="N1096" s="82" t="s">
        <v>10437</v>
      </c>
      <c r="O1096" s="82" t="s">
        <v>10438</v>
      </c>
      <c r="P1096" s="82" t="s">
        <v>10439</v>
      </c>
      <c r="Q1096" s="82" t="s">
        <v>10440</v>
      </c>
      <c r="R1096" s="82" t="s">
        <v>10441</v>
      </c>
      <c r="S1096" s="82" t="s">
        <v>10442</v>
      </c>
      <c r="T1096" s="138">
        <v>12.0</v>
      </c>
      <c r="U1096" s="406">
        <v>12.0</v>
      </c>
      <c r="V1096" s="106">
        <v>0.0</v>
      </c>
      <c r="W1096" s="107">
        <v>0.0</v>
      </c>
      <c r="X1096" s="107">
        <v>0.0</v>
      </c>
      <c r="Y1096" s="107">
        <v>0.0</v>
      </c>
      <c r="Z1096" s="80">
        <v>0.0</v>
      </c>
      <c r="AA1096" s="140">
        <v>35.0</v>
      </c>
      <c r="AB1096" s="109">
        <v>214.0</v>
      </c>
      <c r="AC1096" s="109">
        <v>0.0</v>
      </c>
      <c r="AD1096" s="141">
        <v>0.0</v>
      </c>
      <c r="AE1096" s="80">
        <v>249.0</v>
      </c>
      <c r="AF1096" s="140">
        <v>238.0</v>
      </c>
      <c r="AG1096" s="109">
        <v>82.0</v>
      </c>
      <c r="AH1096" s="109">
        <v>35.0</v>
      </c>
      <c r="AI1096" s="141">
        <v>0.0</v>
      </c>
      <c r="AJ1096" s="80">
        <v>355.0</v>
      </c>
      <c r="AK1096" s="140">
        <v>0.0</v>
      </c>
      <c r="AL1096" s="109">
        <v>0.0</v>
      </c>
      <c r="AM1096" s="141">
        <v>60.0</v>
      </c>
      <c r="AN1096" s="80">
        <v>60.0</v>
      </c>
      <c r="AO1096" s="140">
        <v>0.0</v>
      </c>
      <c r="AP1096" s="109">
        <v>0.0</v>
      </c>
      <c r="AQ1096" s="109">
        <v>195.0</v>
      </c>
      <c r="AR1096" s="80">
        <v>195.0</v>
      </c>
      <c r="AS1096" s="110">
        <v>0.0</v>
      </c>
      <c r="AT1096" s="110">
        <v>0.0</v>
      </c>
      <c r="AU1096" s="110">
        <v>0.0</v>
      </c>
      <c r="AV1096" s="142">
        <v>0.0</v>
      </c>
      <c r="AW1096" s="80">
        <v>0.0</v>
      </c>
      <c r="AX1096" s="113">
        <v>859.0</v>
      </c>
      <c r="AY1096" s="117">
        <v>569.0</v>
      </c>
      <c r="AZ1096" s="328">
        <v>290.0</v>
      </c>
      <c r="BA1096" s="315">
        <v>0.0</v>
      </c>
      <c r="BB1096" s="316">
        <v>859.0</v>
      </c>
      <c r="BC1096" s="132" t="s">
        <v>178</v>
      </c>
      <c r="BD1096" s="132" t="s">
        <v>178</v>
      </c>
      <c r="BE1096" s="132" t="s">
        <v>178</v>
      </c>
      <c r="BF1096" s="123"/>
      <c r="BG1096" s="83">
        <v>1106084.0</v>
      </c>
      <c r="BH1096" s="98">
        <v>12.0</v>
      </c>
      <c r="BI1096" s="98" t="s">
        <v>155</v>
      </c>
      <c r="BJ1096" s="98" t="str">
        <f t="shared" si="1"/>
        <v>NÃO</v>
      </c>
      <c r="BK1096" s="98" t="str">
        <f t="shared" si="2"/>
        <v>NÃO</v>
      </c>
    </row>
    <row r="1097" ht="15.75" customHeight="1">
      <c r="A1097" s="111" t="s">
        <v>1335</v>
      </c>
      <c r="B1097" s="83" t="s">
        <v>2050</v>
      </c>
      <c r="C1097" s="83" t="s">
        <v>68</v>
      </c>
      <c r="D1097" s="83">
        <v>1106238.0</v>
      </c>
      <c r="E1097" s="83"/>
      <c r="F1097" s="83">
        <v>2.909357E7</v>
      </c>
      <c r="G1097" s="365" t="s">
        <v>2256</v>
      </c>
      <c r="H1097" s="91" t="s">
        <v>10443</v>
      </c>
      <c r="I1097" s="114" t="s">
        <v>10444</v>
      </c>
      <c r="J1097" s="83" t="s">
        <v>150</v>
      </c>
      <c r="K1097" s="83" t="s">
        <v>151</v>
      </c>
      <c r="L1097" s="83" t="s">
        <v>76</v>
      </c>
      <c r="M1097" s="82" t="s">
        <v>10445</v>
      </c>
      <c r="N1097" s="82" t="s">
        <v>10446</v>
      </c>
      <c r="O1097" s="82" t="s">
        <v>10447</v>
      </c>
      <c r="P1097" s="82" t="s">
        <v>10448</v>
      </c>
      <c r="Q1097" s="82"/>
      <c r="R1097" s="82"/>
      <c r="S1097" s="82" t="s">
        <v>10449</v>
      </c>
      <c r="T1097" s="138">
        <v>9.0</v>
      </c>
      <c r="U1097" s="406">
        <v>9.0</v>
      </c>
      <c r="V1097" s="106">
        <v>0.0</v>
      </c>
      <c r="W1097" s="107">
        <v>0.0</v>
      </c>
      <c r="X1097" s="107">
        <v>0.0</v>
      </c>
      <c r="Y1097" s="107">
        <v>0.0</v>
      </c>
      <c r="Z1097" s="80">
        <v>0.0</v>
      </c>
      <c r="AA1097" s="140">
        <v>14.0</v>
      </c>
      <c r="AB1097" s="109">
        <v>0.0</v>
      </c>
      <c r="AC1097" s="109">
        <v>0.0</v>
      </c>
      <c r="AD1097" s="141">
        <v>56.0</v>
      </c>
      <c r="AE1097" s="80">
        <v>70.0</v>
      </c>
      <c r="AF1097" s="140">
        <v>0.0</v>
      </c>
      <c r="AG1097" s="109">
        <v>0.0</v>
      </c>
      <c r="AH1097" s="109">
        <v>0.0</v>
      </c>
      <c r="AI1097" s="141">
        <v>80.0</v>
      </c>
      <c r="AJ1097" s="80">
        <v>80.0</v>
      </c>
      <c r="AK1097" s="140">
        <v>0.0</v>
      </c>
      <c r="AL1097" s="109">
        <v>0.0</v>
      </c>
      <c r="AM1097" s="141">
        <v>0.0</v>
      </c>
      <c r="AN1097" s="80">
        <v>0.0</v>
      </c>
      <c r="AO1097" s="140">
        <v>0.0</v>
      </c>
      <c r="AP1097" s="109">
        <v>0.0</v>
      </c>
      <c r="AQ1097" s="109">
        <v>27.0</v>
      </c>
      <c r="AR1097" s="80">
        <v>27.0</v>
      </c>
      <c r="AS1097" s="110">
        <v>0.0</v>
      </c>
      <c r="AT1097" s="110">
        <v>0.0</v>
      </c>
      <c r="AU1097" s="110">
        <v>0.0</v>
      </c>
      <c r="AV1097" s="142">
        <v>0.0</v>
      </c>
      <c r="AW1097" s="80">
        <v>0.0</v>
      </c>
      <c r="AX1097" s="113">
        <v>177.0</v>
      </c>
      <c r="AY1097" s="117">
        <v>150.0</v>
      </c>
      <c r="AZ1097" s="328">
        <v>27.0</v>
      </c>
      <c r="BA1097" s="315">
        <v>0.0</v>
      </c>
      <c r="BB1097" s="316">
        <v>177.0</v>
      </c>
      <c r="BC1097" s="132" t="s">
        <v>178</v>
      </c>
      <c r="BD1097" s="132" t="s">
        <v>178</v>
      </c>
      <c r="BE1097" s="132" t="s">
        <v>178</v>
      </c>
      <c r="BF1097" s="156"/>
      <c r="BG1097" s="83">
        <v>1106238.0</v>
      </c>
      <c r="BH1097" s="98">
        <v>9.0</v>
      </c>
      <c r="BI1097" s="98" t="s">
        <v>155</v>
      </c>
      <c r="BJ1097" s="98" t="str">
        <f t="shared" si="1"/>
        <v>INTEGRAL</v>
      </c>
      <c r="BK1097" s="98" t="str">
        <f t="shared" si="2"/>
        <v>NÃO</v>
      </c>
    </row>
    <row r="1098" ht="15.75" customHeight="1">
      <c r="A1098" s="111" t="s">
        <v>1335</v>
      </c>
      <c r="B1098" s="83" t="s">
        <v>2050</v>
      </c>
      <c r="C1098" s="83" t="s">
        <v>68</v>
      </c>
      <c r="D1098" s="83">
        <v>1142242.0</v>
      </c>
      <c r="E1098" s="83"/>
      <c r="F1098" s="83">
        <v>2.9097665E7</v>
      </c>
      <c r="G1098" s="114" t="s">
        <v>5770</v>
      </c>
      <c r="H1098" s="91" t="s">
        <v>5771</v>
      </c>
      <c r="I1098" s="114" t="s">
        <v>5772</v>
      </c>
      <c r="J1098" s="83" t="s">
        <v>150</v>
      </c>
      <c r="K1098" s="83" t="s">
        <v>151</v>
      </c>
      <c r="L1098" s="83" t="s">
        <v>230</v>
      </c>
      <c r="M1098" s="82" t="s">
        <v>10450</v>
      </c>
      <c r="N1098" s="82" t="s">
        <v>10451</v>
      </c>
      <c r="O1098" s="82" t="s">
        <v>10452</v>
      </c>
      <c r="P1098" s="82" t="s">
        <v>10453</v>
      </c>
      <c r="Q1098" s="82" t="s">
        <v>10454</v>
      </c>
      <c r="R1098" s="82" t="s">
        <v>10455</v>
      </c>
      <c r="S1098" s="82" t="s">
        <v>10456</v>
      </c>
      <c r="T1098" s="138">
        <v>16.0</v>
      </c>
      <c r="U1098" s="406">
        <v>16.0</v>
      </c>
      <c r="V1098" s="106">
        <v>0.0</v>
      </c>
      <c r="W1098" s="107">
        <v>0.0</v>
      </c>
      <c r="X1098" s="107">
        <v>0.0</v>
      </c>
      <c r="Y1098" s="107">
        <v>0.0</v>
      </c>
      <c r="Z1098" s="80">
        <v>0.0</v>
      </c>
      <c r="AA1098" s="140">
        <v>191.0</v>
      </c>
      <c r="AB1098" s="109">
        <v>183.0</v>
      </c>
      <c r="AC1098" s="109">
        <v>0.0</v>
      </c>
      <c r="AD1098" s="141">
        <v>0.0</v>
      </c>
      <c r="AE1098" s="80">
        <v>374.0</v>
      </c>
      <c r="AF1098" s="140">
        <v>69.0</v>
      </c>
      <c r="AG1098" s="109">
        <v>0.0</v>
      </c>
      <c r="AH1098" s="109">
        <v>39.0</v>
      </c>
      <c r="AI1098" s="141">
        <v>263.0</v>
      </c>
      <c r="AJ1098" s="80">
        <v>371.0</v>
      </c>
      <c r="AK1098" s="140">
        <v>0.0</v>
      </c>
      <c r="AL1098" s="109">
        <v>0.0</v>
      </c>
      <c r="AM1098" s="141">
        <v>58.0</v>
      </c>
      <c r="AN1098" s="80">
        <v>58.0</v>
      </c>
      <c r="AO1098" s="140">
        <v>0.0</v>
      </c>
      <c r="AP1098" s="109">
        <v>0.0</v>
      </c>
      <c r="AQ1098" s="109">
        <v>129.0</v>
      </c>
      <c r="AR1098" s="80">
        <v>129.0</v>
      </c>
      <c r="AS1098" s="110">
        <v>0.0</v>
      </c>
      <c r="AT1098" s="110">
        <v>38.0</v>
      </c>
      <c r="AU1098" s="110">
        <v>70.0</v>
      </c>
      <c r="AV1098" s="142">
        <v>0.0</v>
      </c>
      <c r="AW1098" s="80">
        <v>108.0</v>
      </c>
      <c r="AX1098" s="113">
        <v>1040.0</v>
      </c>
      <c r="AY1098" s="117">
        <v>744.0</v>
      </c>
      <c r="AZ1098" s="328">
        <v>296.0</v>
      </c>
      <c r="BA1098" s="315">
        <v>0.0</v>
      </c>
      <c r="BB1098" s="316">
        <v>1040.0</v>
      </c>
      <c r="BC1098" s="132" t="s">
        <v>178</v>
      </c>
      <c r="BD1098" s="132" t="s">
        <v>178</v>
      </c>
      <c r="BE1098" s="132" t="s">
        <v>178</v>
      </c>
      <c r="BF1098" s="123"/>
      <c r="BG1098" s="83">
        <v>1142242.0</v>
      </c>
      <c r="BH1098" s="112">
        <v>16.0</v>
      </c>
      <c r="BI1098" s="98" t="s">
        <v>155</v>
      </c>
      <c r="BJ1098" s="98" t="str">
        <f t="shared" si="1"/>
        <v>INTEGRAL</v>
      </c>
      <c r="BK1098" s="98" t="str">
        <f t="shared" si="2"/>
        <v>PROFISSIONAL</v>
      </c>
    </row>
    <row r="1099" ht="15.75" customHeight="1">
      <c r="A1099" s="111" t="s">
        <v>1335</v>
      </c>
      <c r="B1099" s="83" t="s">
        <v>2050</v>
      </c>
      <c r="C1099" s="83" t="s">
        <v>68</v>
      </c>
      <c r="D1099" s="83">
        <v>1106220.0</v>
      </c>
      <c r="E1099" s="83"/>
      <c r="F1099" s="83">
        <v>2.9094216E7</v>
      </c>
      <c r="G1099" s="114" t="s">
        <v>5781</v>
      </c>
      <c r="H1099" s="91" t="s">
        <v>5782</v>
      </c>
      <c r="I1099" s="114" t="s">
        <v>5783</v>
      </c>
      <c r="J1099" s="83" t="s">
        <v>150</v>
      </c>
      <c r="K1099" s="83" t="s">
        <v>5784</v>
      </c>
      <c r="L1099" s="83" t="s">
        <v>152</v>
      </c>
      <c r="M1099" s="82" t="s">
        <v>10457</v>
      </c>
      <c r="N1099" s="82" t="s">
        <v>10458</v>
      </c>
      <c r="O1099" s="82" t="s">
        <v>10459</v>
      </c>
      <c r="P1099" s="82" t="s">
        <v>10460</v>
      </c>
      <c r="Q1099" s="82" t="s">
        <v>10461</v>
      </c>
      <c r="R1099" s="82" t="s">
        <v>10462</v>
      </c>
      <c r="S1099" s="82" t="s">
        <v>10463</v>
      </c>
      <c r="T1099" s="138">
        <v>15.0</v>
      </c>
      <c r="U1099" s="406">
        <v>15.0</v>
      </c>
      <c r="V1099" s="106">
        <v>0.0</v>
      </c>
      <c r="W1099" s="107">
        <v>0.0</v>
      </c>
      <c r="X1099" s="107">
        <v>0.0</v>
      </c>
      <c r="Y1099" s="107">
        <v>0.0</v>
      </c>
      <c r="Z1099" s="80">
        <v>0.0</v>
      </c>
      <c r="AA1099" s="140">
        <v>326.0</v>
      </c>
      <c r="AB1099" s="109">
        <v>294.0</v>
      </c>
      <c r="AC1099" s="109">
        <v>0.0</v>
      </c>
      <c r="AD1099" s="141">
        <v>0.0</v>
      </c>
      <c r="AE1099" s="80">
        <v>620.0</v>
      </c>
      <c r="AF1099" s="140">
        <v>212.0</v>
      </c>
      <c r="AG1099" s="109">
        <v>104.0</v>
      </c>
      <c r="AH1099" s="109">
        <v>0.0</v>
      </c>
      <c r="AI1099" s="141">
        <v>0.0</v>
      </c>
      <c r="AJ1099" s="80">
        <v>316.0</v>
      </c>
      <c r="AK1099" s="140">
        <v>0.0</v>
      </c>
      <c r="AL1099" s="109">
        <v>0.0</v>
      </c>
      <c r="AM1099" s="141">
        <v>0.0</v>
      </c>
      <c r="AN1099" s="80">
        <v>0.0</v>
      </c>
      <c r="AO1099" s="140">
        <v>0.0</v>
      </c>
      <c r="AP1099" s="109">
        <v>0.0</v>
      </c>
      <c r="AQ1099" s="109">
        <v>83.0</v>
      </c>
      <c r="AR1099" s="80">
        <v>83.0</v>
      </c>
      <c r="AS1099" s="110">
        <v>0.0</v>
      </c>
      <c r="AT1099" s="110">
        <v>0.0</v>
      </c>
      <c r="AU1099" s="110">
        <v>0.0</v>
      </c>
      <c r="AV1099" s="142">
        <v>0.0</v>
      </c>
      <c r="AW1099" s="80">
        <v>0.0</v>
      </c>
      <c r="AX1099" s="113">
        <v>1019.0</v>
      </c>
      <c r="AY1099" s="117">
        <v>936.0</v>
      </c>
      <c r="AZ1099" s="328">
        <v>83.0</v>
      </c>
      <c r="BA1099" s="315">
        <v>9.0</v>
      </c>
      <c r="BB1099" s="316">
        <v>1028.0</v>
      </c>
      <c r="BC1099" s="132" t="s">
        <v>178</v>
      </c>
      <c r="BD1099" s="132" t="s">
        <v>178</v>
      </c>
      <c r="BE1099" s="132" t="s">
        <v>178</v>
      </c>
      <c r="BF1099" s="123"/>
      <c r="BG1099" s="83">
        <v>1106220.0</v>
      </c>
      <c r="BH1099" s="112">
        <v>15.0</v>
      </c>
      <c r="BI1099" s="98" t="s">
        <v>155</v>
      </c>
      <c r="BJ1099" s="98" t="str">
        <f t="shared" si="1"/>
        <v>NÃO</v>
      </c>
      <c r="BK1099" s="98" t="str">
        <f t="shared" si="2"/>
        <v>NÃO</v>
      </c>
    </row>
    <row r="1100" ht="15.75" customHeight="1">
      <c r="A1100" s="111" t="s">
        <v>1335</v>
      </c>
      <c r="B1100" s="83" t="s">
        <v>2050</v>
      </c>
      <c r="C1100" s="83" t="s">
        <v>68</v>
      </c>
      <c r="D1100" s="83">
        <v>1106556.0</v>
      </c>
      <c r="E1100" s="83"/>
      <c r="F1100" s="83">
        <v>2.9094798E7</v>
      </c>
      <c r="G1100" s="114" t="s">
        <v>5786</v>
      </c>
      <c r="H1100" s="91" t="s">
        <v>5788</v>
      </c>
      <c r="I1100" s="114" t="s">
        <v>5783</v>
      </c>
      <c r="J1100" s="83" t="s">
        <v>150</v>
      </c>
      <c r="K1100" s="83" t="s">
        <v>5791</v>
      </c>
      <c r="L1100" s="83" t="s">
        <v>76</v>
      </c>
      <c r="M1100" s="82" t="s">
        <v>10464</v>
      </c>
      <c r="N1100" s="82" t="s">
        <v>10465</v>
      </c>
      <c r="O1100" s="82" t="s">
        <v>10466</v>
      </c>
      <c r="P1100" s="82" t="s">
        <v>10467</v>
      </c>
      <c r="Q1100" s="82"/>
      <c r="R1100" s="82"/>
      <c r="S1100" s="82" t="s">
        <v>10468</v>
      </c>
      <c r="T1100" s="138">
        <v>7.0</v>
      </c>
      <c r="U1100" s="406">
        <v>7.0</v>
      </c>
      <c r="V1100" s="106">
        <v>0.0</v>
      </c>
      <c r="W1100" s="107">
        <v>0.0</v>
      </c>
      <c r="X1100" s="107">
        <v>0.0</v>
      </c>
      <c r="Y1100" s="107">
        <v>0.0</v>
      </c>
      <c r="Z1100" s="80">
        <v>0.0</v>
      </c>
      <c r="AA1100" s="140">
        <v>0.0</v>
      </c>
      <c r="AB1100" s="109">
        <v>0.0</v>
      </c>
      <c r="AC1100" s="109">
        <v>0.0</v>
      </c>
      <c r="AD1100" s="141">
        <v>0.0</v>
      </c>
      <c r="AE1100" s="80">
        <v>0.0</v>
      </c>
      <c r="AF1100" s="140">
        <v>267.0</v>
      </c>
      <c r="AG1100" s="109">
        <v>256.0</v>
      </c>
      <c r="AH1100" s="109">
        <v>0.0</v>
      </c>
      <c r="AI1100" s="141">
        <v>0.0</v>
      </c>
      <c r="AJ1100" s="80">
        <v>523.0</v>
      </c>
      <c r="AK1100" s="140">
        <v>0.0</v>
      </c>
      <c r="AL1100" s="109">
        <v>0.0</v>
      </c>
      <c r="AM1100" s="141">
        <v>0.0</v>
      </c>
      <c r="AN1100" s="80">
        <v>0.0</v>
      </c>
      <c r="AO1100" s="140">
        <v>0.0</v>
      </c>
      <c r="AP1100" s="109">
        <v>0.0</v>
      </c>
      <c r="AQ1100" s="109">
        <v>0.0</v>
      </c>
      <c r="AR1100" s="80">
        <v>0.0</v>
      </c>
      <c r="AS1100" s="110">
        <v>0.0</v>
      </c>
      <c r="AT1100" s="110">
        <v>0.0</v>
      </c>
      <c r="AU1100" s="110">
        <v>0.0</v>
      </c>
      <c r="AV1100" s="142">
        <v>0.0</v>
      </c>
      <c r="AW1100" s="80">
        <v>0.0</v>
      </c>
      <c r="AX1100" s="113">
        <v>523.0</v>
      </c>
      <c r="AY1100" s="117">
        <v>523.0</v>
      </c>
      <c r="AZ1100" s="328">
        <v>0.0</v>
      </c>
      <c r="BA1100" s="315">
        <v>0.0</v>
      </c>
      <c r="BB1100" s="316">
        <v>523.0</v>
      </c>
      <c r="BC1100" s="132" t="s">
        <v>178</v>
      </c>
      <c r="BD1100" s="132" t="s">
        <v>178</v>
      </c>
      <c r="BE1100" s="132" t="s">
        <v>178</v>
      </c>
      <c r="BF1100" s="123"/>
      <c r="BG1100" s="83">
        <v>1106556.0</v>
      </c>
      <c r="BH1100" s="112">
        <v>7.0</v>
      </c>
      <c r="BI1100" s="98" t="s">
        <v>155</v>
      </c>
      <c r="BJ1100" s="98" t="str">
        <f t="shared" si="1"/>
        <v>NÃO</v>
      </c>
      <c r="BK1100" s="98" t="str">
        <f t="shared" si="2"/>
        <v>NÃO</v>
      </c>
    </row>
    <row r="1101" ht="15.75" customHeight="1">
      <c r="A1101" s="111" t="s">
        <v>1335</v>
      </c>
      <c r="B1101" s="83" t="s">
        <v>2050</v>
      </c>
      <c r="C1101" s="83" t="s">
        <v>68</v>
      </c>
      <c r="D1101" s="83">
        <v>1106637.0</v>
      </c>
      <c r="E1101" s="83"/>
      <c r="F1101" s="83">
        <v>2.9095999E7</v>
      </c>
      <c r="G1101" s="114" t="s">
        <v>10469</v>
      </c>
      <c r="H1101" s="91" t="s">
        <v>5808</v>
      </c>
      <c r="I1101" s="114" t="s">
        <v>156</v>
      </c>
      <c r="J1101" s="83" t="s">
        <v>150</v>
      </c>
      <c r="K1101" s="83" t="s">
        <v>5791</v>
      </c>
      <c r="L1101" s="83" t="s">
        <v>76</v>
      </c>
      <c r="M1101" s="82" t="s">
        <v>10470</v>
      </c>
      <c r="N1101" s="82" t="s">
        <v>10471</v>
      </c>
      <c r="O1101" s="82" t="s">
        <v>10472</v>
      </c>
      <c r="P1101" s="82" t="s">
        <v>10473</v>
      </c>
      <c r="Q1101" s="82"/>
      <c r="R1101" s="82"/>
      <c r="S1101" s="82" t="s">
        <v>10474</v>
      </c>
      <c r="T1101" s="138">
        <v>10.0</v>
      </c>
      <c r="U1101" s="406">
        <v>10.0</v>
      </c>
      <c r="V1101" s="106">
        <v>0.0</v>
      </c>
      <c r="W1101" s="107">
        <v>0.0</v>
      </c>
      <c r="X1101" s="107">
        <v>0.0</v>
      </c>
      <c r="Y1101" s="107">
        <v>0.0</v>
      </c>
      <c r="Z1101" s="80">
        <v>0.0</v>
      </c>
      <c r="AA1101" s="140">
        <v>0.0</v>
      </c>
      <c r="AB1101" s="109">
        <v>0.0</v>
      </c>
      <c r="AC1101" s="109">
        <v>0.0</v>
      </c>
      <c r="AD1101" s="141">
        <v>0.0</v>
      </c>
      <c r="AE1101" s="80">
        <v>0.0</v>
      </c>
      <c r="AF1101" s="140">
        <v>265.0</v>
      </c>
      <c r="AG1101" s="109">
        <v>82.0</v>
      </c>
      <c r="AH1101" s="109">
        <v>0.0</v>
      </c>
      <c r="AI1101" s="141">
        <v>0.0</v>
      </c>
      <c r="AJ1101" s="80">
        <v>347.0</v>
      </c>
      <c r="AK1101" s="140">
        <v>0.0</v>
      </c>
      <c r="AL1101" s="109">
        <v>0.0</v>
      </c>
      <c r="AM1101" s="141">
        <v>0.0</v>
      </c>
      <c r="AN1101" s="80">
        <v>0.0</v>
      </c>
      <c r="AO1101" s="140">
        <v>0.0</v>
      </c>
      <c r="AP1101" s="109">
        <v>0.0</v>
      </c>
      <c r="AQ1101" s="109">
        <v>0.0</v>
      </c>
      <c r="AR1101" s="80">
        <v>0.0</v>
      </c>
      <c r="AS1101" s="110">
        <v>0.0</v>
      </c>
      <c r="AT1101" s="110">
        <v>0.0</v>
      </c>
      <c r="AU1101" s="110">
        <v>0.0</v>
      </c>
      <c r="AV1101" s="142">
        <v>0.0</v>
      </c>
      <c r="AW1101" s="80">
        <v>0.0</v>
      </c>
      <c r="AX1101" s="113">
        <v>347.0</v>
      </c>
      <c r="AY1101" s="117">
        <v>347.0</v>
      </c>
      <c r="AZ1101" s="328">
        <v>0.0</v>
      </c>
      <c r="BA1101" s="315">
        <v>0.0</v>
      </c>
      <c r="BB1101" s="316">
        <v>347.0</v>
      </c>
      <c r="BC1101" s="132" t="s">
        <v>178</v>
      </c>
      <c r="BD1101" s="132" t="s">
        <v>178</v>
      </c>
      <c r="BE1101" s="132" t="s">
        <v>178</v>
      </c>
      <c r="BF1101" s="156"/>
      <c r="BG1101" s="83">
        <v>1106637.0</v>
      </c>
      <c r="BH1101" s="98">
        <v>10.0</v>
      </c>
      <c r="BI1101" s="98" t="s">
        <v>155</v>
      </c>
      <c r="BJ1101" s="98" t="str">
        <f t="shared" si="1"/>
        <v>NÃO</v>
      </c>
      <c r="BK1101" s="98" t="str">
        <f t="shared" si="2"/>
        <v>NÃO</v>
      </c>
    </row>
    <row r="1102" ht="15.75" customHeight="1">
      <c r="A1102" s="111" t="s">
        <v>1335</v>
      </c>
      <c r="B1102" s="83" t="s">
        <v>2050</v>
      </c>
      <c r="C1102" s="83" t="s">
        <v>68</v>
      </c>
      <c r="D1102" s="83">
        <v>1106564.0</v>
      </c>
      <c r="E1102" s="83"/>
      <c r="F1102" s="83">
        <v>2.9094712E7</v>
      </c>
      <c r="G1102" s="114" t="s">
        <v>10475</v>
      </c>
      <c r="H1102" s="91" t="s">
        <v>5921</v>
      </c>
      <c r="I1102" s="114" t="s">
        <v>5922</v>
      </c>
      <c r="J1102" s="83" t="s">
        <v>150</v>
      </c>
      <c r="K1102" s="83" t="s">
        <v>151</v>
      </c>
      <c r="L1102" s="83" t="s">
        <v>152</v>
      </c>
      <c r="M1102" s="82" t="s">
        <v>10476</v>
      </c>
      <c r="N1102" s="82" t="s">
        <v>10477</v>
      </c>
      <c r="O1102" s="82" t="s">
        <v>10478</v>
      </c>
      <c r="P1102" s="82" t="s">
        <v>10479</v>
      </c>
      <c r="Q1102" s="82" t="s">
        <v>10480</v>
      </c>
      <c r="R1102" s="82" t="s">
        <v>10481</v>
      </c>
      <c r="S1102" s="82" t="s">
        <v>10482</v>
      </c>
      <c r="T1102" s="138">
        <v>20.0</v>
      </c>
      <c r="U1102" s="406">
        <v>20.0</v>
      </c>
      <c r="V1102" s="106">
        <v>0.0</v>
      </c>
      <c r="W1102" s="107">
        <v>0.0</v>
      </c>
      <c r="X1102" s="107">
        <v>0.0</v>
      </c>
      <c r="Y1102" s="107">
        <v>0.0</v>
      </c>
      <c r="Z1102" s="80">
        <v>0.0</v>
      </c>
      <c r="AA1102" s="140">
        <v>331.0</v>
      </c>
      <c r="AB1102" s="109">
        <v>85.0</v>
      </c>
      <c r="AC1102" s="109">
        <v>0.0</v>
      </c>
      <c r="AD1102" s="141">
        <v>96.0</v>
      </c>
      <c r="AE1102" s="80">
        <v>512.0</v>
      </c>
      <c r="AF1102" s="140">
        <v>236.0</v>
      </c>
      <c r="AG1102" s="109">
        <v>148.0</v>
      </c>
      <c r="AH1102" s="109">
        <v>0.0</v>
      </c>
      <c r="AI1102" s="141">
        <v>61.0</v>
      </c>
      <c r="AJ1102" s="80">
        <v>445.0</v>
      </c>
      <c r="AK1102" s="140">
        <v>0.0</v>
      </c>
      <c r="AL1102" s="109">
        <v>89.0</v>
      </c>
      <c r="AM1102" s="141">
        <v>44.0</v>
      </c>
      <c r="AN1102" s="80">
        <v>133.0</v>
      </c>
      <c r="AO1102" s="140">
        <v>0.0</v>
      </c>
      <c r="AP1102" s="109">
        <v>0.0</v>
      </c>
      <c r="AQ1102" s="109">
        <v>134.0</v>
      </c>
      <c r="AR1102" s="80">
        <v>134.0</v>
      </c>
      <c r="AS1102" s="110">
        <v>0.0</v>
      </c>
      <c r="AT1102" s="110">
        <v>0.0</v>
      </c>
      <c r="AU1102" s="110">
        <v>0.0</v>
      </c>
      <c r="AV1102" s="142">
        <v>0.0</v>
      </c>
      <c r="AW1102" s="80">
        <v>0.0</v>
      </c>
      <c r="AX1102" s="113">
        <v>1224.0</v>
      </c>
      <c r="AY1102" s="117">
        <v>1046.0</v>
      </c>
      <c r="AZ1102" s="328">
        <v>178.0</v>
      </c>
      <c r="BA1102" s="315">
        <v>2.0</v>
      </c>
      <c r="BB1102" s="316">
        <v>1226.0</v>
      </c>
      <c r="BC1102" s="132" t="s">
        <v>178</v>
      </c>
      <c r="BD1102" s="132" t="s">
        <v>178</v>
      </c>
      <c r="BE1102" s="132" t="s">
        <v>178</v>
      </c>
      <c r="BF1102" s="123"/>
      <c r="BG1102" s="83">
        <v>1106564.0</v>
      </c>
      <c r="BH1102" s="98">
        <v>20.0</v>
      </c>
      <c r="BI1102" s="98" t="s">
        <v>155</v>
      </c>
      <c r="BJ1102" s="98" t="str">
        <f t="shared" si="1"/>
        <v>INTEGRAL</v>
      </c>
      <c r="BK1102" s="98" t="str">
        <f t="shared" si="2"/>
        <v>NÃO</v>
      </c>
    </row>
    <row r="1103" ht="15.75" customHeight="1">
      <c r="A1103" s="111" t="s">
        <v>1335</v>
      </c>
      <c r="B1103" s="83" t="s">
        <v>2050</v>
      </c>
      <c r="C1103" s="83" t="s">
        <v>68</v>
      </c>
      <c r="D1103" s="83">
        <v>1106688.0</v>
      </c>
      <c r="E1103" s="83"/>
      <c r="F1103" s="83">
        <v>2.9094682E7</v>
      </c>
      <c r="G1103" s="114" t="s">
        <v>2253</v>
      </c>
      <c r="H1103" s="91" t="s">
        <v>10483</v>
      </c>
      <c r="I1103" s="114" t="s">
        <v>4373</v>
      </c>
      <c r="J1103" s="83" t="s">
        <v>150</v>
      </c>
      <c r="K1103" s="83" t="s">
        <v>151</v>
      </c>
      <c r="L1103" s="83" t="s">
        <v>76</v>
      </c>
      <c r="M1103" s="82" t="s">
        <v>10484</v>
      </c>
      <c r="N1103" s="82" t="s">
        <v>10485</v>
      </c>
      <c r="O1103" s="82" t="s">
        <v>10486</v>
      </c>
      <c r="P1103" s="82" t="s">
        <v>10487</v>
      </c>
      <c r="Q1103" s="82"/>
      <c r="R1103" s="82"/>
      <c r="S1103" s="82" t="s">
        <v>10488</v>
      </c>
      <c r="T1103" s="138">
        <v>9.0</v>
      </c>
      <c r="U1103" s="406">
        <v>9.0</v>
      </c>
      <c r="V1103" s="106">
        <v>0.0</v>
      </c>
      <c r="W1103" s="107">
        <v>0.0</v>
      </c>
      <c r="X1103" s="107">
        <v>0.0</v>
      </c>
      <c r="Y1103" s="107">
        <v>0.0</v>
      </c>
      <c r="Z1103" s="80">
        <v>0.0</v>
      </c>
      <c r="AA1103" s="140">
        <v>0.0</v>
      </c>
      <c r="AB1103" s="109">
        <v>0.0</v>
      </c>
      <c r="AC1103" s="109">
        <v>0.0</v>
      </c>
      <c r="AD1103" s="141">
        <v>0.0</v>
      </c>
      <c r="AE1103" s="80">
        <v>0.0</v>
      </c>
      <c r="AF1103" s="140">
        <v>136.0</v>
      </c>
      <c r="AG1103" s="109">
        <v>0.0</v>
      </c>
      <c r="AH1103" s="109">
        <v>0.0</v>
      </c>
      <c r="AI1103" s="141">
        <v>0.0</v>
      </c>
      <c r="AJ1103" s="80">
        <v>136.0</v>
      </c>
      <c r="AK1103" s="140">
        <v>0.0</v>
      </c>
      <c r="AL1103" s="109">
        <v>0.0</v>
      </c>
      <c r="AM1103" s="141">
        <v>0.0</v>
      </c>
      <c r="AN1103" s="80">
        <v>0.0</v>
      </c>
      <c r="AO1103" s="140">
        <v>0.0</v>
      </c>
      <c r="AP1103" s="109">
        <v>0.0</v>
      </c>
      <c r="AQ1103" s="109">
        <v>0.0</v>
      </c>
      <c r="AR1103" s="80">
        <v>0.0</v>
      </c>
      <c r="AS1103" s="110">
        <v>0.0</v>
      </c>
      <c r="AT1103" s="110">
        <v>0.0</v>
      </c>
      <c r="AU1103" s="110">
        <v>0.0</v>
      </c>
      <c r="AV1103" s="142">
        <v>0.0</v>
      </c>
      <c r="AW1103" s="80">
        <v>0.0</v>
      </c>
      <c r="AX1103" s="113">
        <v>136.0</v>
      </c>
      <c r="AY1103" s="117">
        <v>136.0</v>
      </c>
      <c r="AZ1103" s="328">
        <v>0.0</v>
      </c>
      <c r="BA1103" s="315">
        <v>0.0</v>
      </c>
      <c r="BB1103" s="316">
        <v>136.0</v>
      </c>
      <c r="BC1103" s="132" t="s">
        <v>178</v>
      </c>
      <c r="BD1103" s="132" t="s">
        <v>178</v>
      </c>
      <c r="BE1103" s="132" t="s">
        <v>178</v>
      </c>
      <c r="BF1103" s="123"/>
      <c r="BG1103" s="83">
        <v>1106688.0</v>
      </c>
      <c r="BH1103" s="98">
        <v>9.0</v>
      </c>
      <c r="BI1103" s="98" t="s">
        <v>155</v>
      </c>
      <c r="BJ1103" s="98" t="str">
        <f t="shared" si="1"/>
        <v>NÃO</v>
      </c>
      <c r="BK1103" s="98" t="str">
        <f t="shared" si="2"/>
        <v>NÃO</v>
      </c>
    </row>
    <row r="1104" ht="15.75" customHeight="1">
      <c r="A1104" s="111" t="s">
        <v>1335</v>
      </c>
      <c r="B1104" s="83" t="s">
        <v>2050</v>
      </c>
      <c r="C1104" s="83" t="s">
        <v>68</v>
      </c>
      <c r="D1104" s="83">
        <v>1106289.0</v>
      </c>
      <c r="E1104" s="83"/>
      <c r="F1104" s="83">
        <v>2.909335E7</v>
      </c>
      <c r="G1104" s="114" t="s">
        <v>5815</v>
      </c>
      <c r="H1104" s="91" t="s">
        <v>5816</v>
      </c>
      <c r="I1104" s="114" t="s">
        <v>5817</v>
      </c>
      <c r="J1104" s="83" t="s">
        <v>150</v>
      </c>
      <c r="K1104" s="83" t="s">
        <v>151</v>
      </c>
      <c r="L1104" s="83" t="s">
        <v>152</v>
      </c>
      <c r="M1104" s="82" t="s">
        <v>10490</v>
      </c>
      <c r="N1104" s="82" t="s">
        <v>10491</v>
      </c>
      <c r="O1104" s="82" t="s">
        <v>10492</v>
      </c>
      <c r="P1104" s="82" t="s">
        <v>10493</v>
      </c>
      <c r="Q1104" s="82" t="s">
        <v>10494</v>
      </c>
      <c r="R1104" s="82" t="s">
        <v>10495</v>
      </c>
      <c r="S1104" s="82" t="s">
        <v>10496</v>
      </c>
      <c r="T1104" s="138">
        <v>15.0</v>
      </c>
      <c r="U1104" s="406">
        <v>15.0</v>
      </c>
      <c r="V1104" s="106">
        <v>0.0</v>
      </c>
      <c r="W1104" s="107">
        <v>0.0</v>
      </c>
      <c r="X1104" s="107">
        <v>0.0</v>
      </c>
      <c r="Y1104" s="107">
        <v>0.0</v>
      </c>
      <c r="Z1104" s="80">
        <v>0.0</v>
      </c>
      <c r="AA1104" s="140">
        <v>145.0</v>
      </c>
      <c r="AB1104" s="109">
        <v>268.0</v>
      </c>
      <c r="AC1104" s="109">
        <v>0.0</v>
      </c>
      <c r="AD1104" s="141">
        <v>0.0</v>
      </c>
      <c r="AE1104" s="80">
        <v>413.0</v>
      </c>
      <c r="AF1104" s="140">
        <v>324.0</v>
      </c>
      <c r="AG1104" s="109">
        <v>127.0</v>
      </c>
      <c r="AH1104" s="109">
        <v>22.0</v>
      </c>
      <c r="AI1104" s="141">
        <v>0.0</v>
      </c>
      <c r="AJ1104" s="80">
        <v>473.0</v>
      </c>
      <c r="AK1104" s="140">
        <v>0.0</v>
      </c>
      <c r="AL1104" s="109">
        <v>0.0</v>
      </c>
      <c r="AM1104" s="141">
        <v>45.0</v>
      </c>
      <c r="AN1104" s="80">
        <v>45.0</v>
      </c>
      <c r="AO1104" s="140">
        <v>0.0</v>
      </c>
      <c r="AP1104" s="109">
        <v>0.0</v>
      </c>
      <c r="AQ1104" s="109">
        <v>150.0</v>
      </c>
      <c r="AR1104" s="80">
        <v>150.0</v>
      </c>
      <c r="AS1104" s="110">
        <v>0.0</v>
      </c>
      <c r="AT1104" s="110">
        <v>0.0</v>
      </c>
      <c r="AU1104" s="110">
        <v>0.0</v>
      </c>
      <c r="AV1104" s="142">
        <v>0.0</v>
      </c>
      <c r="AW1104" s="80">
        <v>0.0</v>
      </c>
      <c r="AX1104" s="113">
        <v>1081.0</v>
      </c>
      <c r="AY1104" s="117">
        <v>864.0</v>
      </c>
      <c r="AZ1104" s="328">
        <v>217.0</v>
      </c>
      <c r="BA1104" s="315">
        <v>0.0</v>
      </c>
      <c r="BB1104" s="316">
        <v>1081.0</v>
      </c>
      <c r="BC1104" s="132" t="s">
        <v>178</v>
      </c>
      <c r="BD1104" s="132" t="s">
        <v>178</v>
      </c>
      <c r="BE1104" s="132" t="s">
        <v>178</v>
      </c>
      <c r="BF1104" s="123"/>
      <c r="BG1104" s="83">
        <v>1106289.0</v>
      </c>
      <c r="BH1104" s="98">
        <v>15.0</v>
      </c>
      <c r="BI1104" s="98" t="s">
        <v>155</v>
      </c>
      <c r="BJ1104" s="98" t="str">
        <f t="shared" si="1"/>
        <v>NÃO</v>
      </c>
      <c r="BK1104" s="98" t="str">
        <f t="shared" si="2"/>
        <v>NÃO</v>
      </c>
    </row>
    <row r="1105" ht="15.75" customHeight="1">
      <c r="A1105" s="111" t="s">
        <v>1335</v>
      </c>
      <c r="B1105" s="83" t="s">
        <v>2050</v>
      </c>
      <c r="C1105" s="83" t="s">
        <v>68</v>
      </c>
      <c r="D1105" s="83">
        <v>1176068.0</v>
      </c>
      <c r="E1105" s="83"/>
      <c r="F1105" s="83">
        <v>2.9093473E7</v>
      </c>
      <c r="G1105" s="114" t="s">
        <v>5824</v>
      </c>
      <c r="H1105" s="91" t="s">
        <v>5825</v>
      </c>
      <c r="I1105" s="114" t="s">
        <v>149</v>
      </c>
      <c r="J1105" s="83" t="s">
        <v>150</v>
      </c>
      <c r="K1105" s="83" t="s">
        <v>151</v>
      </c>
      <c r="L1105" s="83" t="s">
        <v>152</v>
      </c>
      <c r="M1105" s="82" t="s">
        <v>10497</v>
      </c>
      <c r="N1105" s="82" t="s">
        <v>10498</v>
      </c>
      <c r="O1105" s="82" t="s">
        <v>10499</v>
      </c>
      <c r="P1105" s="82" t="s">
        <v>10500</v>
      </c>
      <c r="Q1105" s="82" t="s">
        <v>10501</v>
      </c>
      <c r="R1105" s="82" t="s">
        <v>10502</v>
      </c>
      <c r="S1105" s="82" t="s">
        <v>10503</v>
      </c>
      <c r="T1105" s="138">
        <v>9.0</v>
      </c>
      <c r="U1105" s="406">
        <v>9.0</v>
      </c>
      <c r="V1105" s="106">
        <v>0.0</v>
      </c>
      <c r="W1105" s="107">
        <v>0.0</v>
      </c>
      <c r="X1105" s="107">
        <v>0.0</v>
      </c>
      <c r="Y1105" s="107">
        <v>0.0</v>
      </c>
      <c r="Z1105" s="80">
        <v>0.0</v>
      </c>
      <c r="AA1105" s="140">
        <v>82.0</v>
      </c>
      <c r="AB1105" s="109">
        <v>36.0</v>
      </c>
      <c r="AC1105" s="109">
        <v>0.0</v>
      </c>
      <c r="AD1105" s="141">
        <v>119.0</v>
      </c>
      <c r="AE1105" s="80">
        <v>237.0</v>
      </c>
      <c r="AF1105" s="140">
        <v>0.0</v>
      </c>
      <c r="AG1105" s="109">
        <v>0.0</v>
      </c>
      <c r="AH1105" s="109">
        <v>0.0</v>
      </c>
      <c r="AI1105" s="141">
        <v>139.0</v>
      </c>
      <c r="AJ1105" s="80">
        <v>139.0</v>
      </c>
      <c r="AK1105" s="140">
        <v>0.0</v>
      </c>
      <c r="AL1105" s="109">
        <v>0.0</v>
      </c>
      <c r="AM1105" s="141">
        <v>0.0</v>
      </c>
      <c r="AN1105" s="80">
        <v>0.0</v>
      </c>
      <c r="AO1105" s="140">
        <v>0.0</v>
      </c>
      <c r="AP1105" s="109">
        <v>0.0</v>
      </c>
      <c r="AQ1105" s="109">
        <v>167.0</v>
      </c>
      <c r="AR1105" s="80">
        <v>167.0</v>
      </c>
      <c r="AS1105" s="110">
        <v>0.0</v>
      </c>
      <c r="AT1105" s="110">
        <v>0.0</v>
      </c>
      <c r="AU1105" s="110">
        <v>15.0</v>
      </c>
      <c r="AV1105" s="142">
        <v>0.0</v>
      </c>
      <c r="AW1105" s="80">
        <v>15.0</v>
      </c>
      <c r="AX1105" s="113">
        <v>558.0</v>
      </c>
      <c r="AY1105" s="117">
        <v>376.0</v>
      </c>
      <c r="AZ1105" s="328">
        <v>182.0</v>
      </c>
      <c r="BA1105" s="315">
        <v>0.0</v>
      </c>
      <c r="BB1105" s="316">
        <v>558.0</v>
      </c>
      <c r="BC1105" s="132" t="s">
        <v>178</v>
      </c>
      <c r="BD1105" s="132" t="s">
        <v>178</v>
      </c>
      <c r="BE1105" s="132" t="s">
        <v>178</v>
      </c>
      <c r="BF1105" s="123"/>
      <c r="BG1105" s="83">
        <v>1176068.0</v>
      </c>
      <c r="BH1105" s="112">
        <v>9.0</v>
      </c>
      <c r="BI1105" s="98" t="s">
        <v>162</v>
      </c>
      <c r="BJ1105" s="98" t="str">
        <f t="shared" si="1"/>
        <v>INTEGRAL</v>
      </c>
      <c r="BK1105" s="98" t="str">
        <f t="shared" si="2"/>
        <v>PROFISSIONAL</v>
      </c>
    </row>
    <row r="1106" ht="15.75" customHeight="1">
      <c r="A1106" s="111" t="s">
        <v>1335</v>
      </c>
      <c r="B1106" s="83" t="s">
        <v>2050</v>
      </c>
      <c r="C1106" s="83" t="s">
        <v>68</v>
      </c>
      <c r="D1106" s="83">
        <v>1106491.0</v>
      </c>
      <c r="E1106" s="83"/>
      <c r="F1106" s="83">
        <v>2.9093554E7</v>
      </c>
      <c r="G1106" s="114" t="s">
        <v>5828</v>
      </c>
      <c r="H1106" s="91" t="s">
        <v>5829</v>
      </c>
      <c r="I1106" s="114" t="s">
        <v>4373</v>
      </c>
      <c r="J1106" s="83" t="s">
        <v>150</v>
      </c>
      <c r="K1106" s="83" t="s">
        <v>151</v>
      </c>
      <c r="L1106" s="83" t="s">
        <v>152</v>
      </c>
      <c r="M1106" s="82" t="s">
        <v>10504</v>
      </c>
      <c r="N1106" s="82" t="s">
        <v>10505</v>
      </c>
      <c r="O1106" s="82" t="s">
        <v>10506</v>
      </c>
      <c r="P1106" s="82" t="s">
        <v>10507</v>
      </c>
      <c r="Q1106" s="82"/>
      <c r="R1106" s="82"/>
      <c r="S1106" s="82" t="s">
        <v>10508</v>
      </c>
      <c r="T1106" s="138">
        <v>16.0</v>
      </c>
      <c r="U1106" s="406">
        <v>16.0</v>
      </c>
      <c r="V1106" s="106">
        <v>0.0</v>
      </c>
      <c r="W1106" s="107">
        <v>0.0</v>
      </c>
      <c r="X1106" s="107">
        <v>0.0</v>
      </c>
      <c r="Y1106" s="107">
        <v>0.0</v>
      </c>
      <c r="Z1106" s="80">
        <v>0.0</v>
      </c>
      <c r="AA1106" s="140">
        <v>0.0</v>
      </c>
      <c r="AB1106" s="109">
        <v>0.0</v>
      </c>
      <c r="AC1106" s="109">
        <v>0.0</v>
      </c>
      <c r="AD1106" s="141">
        <v>287.0</v>
      </c>
      <c r="AE1106" s="80">
        <v>287.0</v>
      </c>
      <c r="AF1106" s="140">
        <v>0.0</v>
      </c>
      <c r="AG1106" s="109">
        <v>0.0</v>
      </c>
      <c r="AH1106" s="109">
        <v>0.0</v>
      </c>
      <c r="AI1106" s="141">
        <v>209.0</v>
      </c>
      <c r="AJ1106" s="80">
        <v>209.0</v>
      </c>
      <c r="AK1106" s="140">
        <v>0.0</v>
      </c>
      <c r="AL1106" s="109">
        <v>0.0</v>
      </c>
      <c r="AM1106" s="141">
        <v>0.0</v>
      </c>
      <c r="AN1106" s="80">
        <v>0.0</v>
      </c>
      <c r="AO1106" s="140">
        <v>0.0</v>
      </c>
      <c r="AP1106" s="109">
        <v>0.0</v>
      </c>
      <c r="AQ1106" s="109">
        <v>0.0</v>
      </c>
      <c r="AR1106" s="80">
        <v>0.0</v>
      </c>
      <c r="AS1106" s="110">
        <v>0.0</v>
      </c>
      <c r="AT1106" s="110">
        <v>0.0</v>
      </c>
      <c r="AU1106" s="110">
        <v>0.0</v>
      </c>
      <c r="AV1106" s="142">
        <v>0.0</v>
      </c>
      <c r="AW1106" s="80">
        <v>0.0</v>
      </c>
      <c r="AX1106" s="113">
        <v>496.0</v>
      </c>
      <c r="AY1106" s="117">
        <v>496.0</v>
      </c>
      <c r="AZ1106" s="328">
        <v>0.0</v>
      </c>
      <c r="BA1106" s="315">
        <v>0.0</v>
      </c>
      <c r="BB1106" s="316">
        <v>496.0</v>
      </c>
      <c r="BC1106" s="132" t="s">
        <v>178</v>
      </c>
      <c r="BD1106" s="132" t="s">
        <v>178</v>
      </c>
      <c r="BE1106" s="132" t="s">
        <v>178</v>
      </c>
      <c r="BF1106" s="123"/>
      <c r="BG1106" s="83">
        <v>1106491.0</v>
      </c>
      <c r="BH1106" s="98">
        <v>16.0</v>
      </c>
      <c r="BI1106" s="98" t="s">
        <v>155</v>
      </c>
      <c r="BJ1106" s="98" t="str">
        <f t="shared" si="1"/>
        <v>INTEGRAL</v>
      </c>
      <c r="BK1106" s="98" t="str">
        <f t="shared" si="2"/>
        <v>NÃO</v>
      </c>
    </row>
    <row r="1107" ht="15.75" customHeight="1">
      <c r="A1107" s="111" t="s">
        <v>1335</v>
      </c>
      <c r="B1107" s="83" t="s">
        <v>2050</v>
      </c>
      <c r="C1107" s="83" t="s">
        <v>68</v>
      </c>
      <c r="D1107" s="83">
        <v>1106467.0</v>
      </c>
      <c r="E1107" s="83"/>
      <c r="F1107" s="83">
        <v>2.9093546E7</v>
      </c>
      <c r="G1107" s="114" t="s">
        <v>10509</v>
      </c>
      <c r="H1107" s="91" t="s">
        <v>10510</v>
      </c>
      <c r="I1107" s="114" t="s">
        <v>5917</v>
      </c>
      <c r="J1107" s="83" t="s">
        <v>150</v>
      </c>
      <c r="K1107" s="83" t="s">
        <v>151</v>
      </c>
      <c r="L1107" s="83" t="s">
        <v>152</v>
      </c>
      <c r="M1107" s="82" t="s">
        <v>10511</v>
      </c>
      <c r="N1107" s="82" t="s">
        <v>10512</v>
      </c>
      <c r="O1107" s="82" t="s">
        <v>10513</v>
      </c>
      <c r="P1107" s="82" t="s">
        <v>10514</v>
      </c>
      <c r="Q1107" s="82" t="s">
        <v>10515</v>
      </c>
      <c r="R1107" s="82" t="s">
        <v>10516</v>
      </c>
      <c r="S1107" s="82" t="s">
        <v>10517</v>
      </c>
      <c r="T1107" s="138">
        <v>19.0</v>
      </c>
      <c r="U1107" s="406">
        <v>19.0</v>
      </c>
      <c r="V1107" s="106">
        <v>0.0</v>
      </c>
      <c r="W1107" s="107">
        <v>0.0</v>
      </c>
      <c r="X1107" s="107">
        <v>0.0</v>
      </c>
      <c r="Y1107" s="107">
        <v>0.0</v>
      </c>
      <c r="Z1107" s="80">
        <v>0.0</v>
      </c>
      <c r="AA1107" s="140">
        <v>232.0</v>
      </c>
      <c r="AB1107" s="109">
        <v>334.0</v>
      </c>
      <c r="AC1107" s="109">
        <v>0.0</v>
      </c>
      <c r="AD1107" s="141">
        <v>0.0</v>
      </c>
      <c r="AE1107" s="80">
        <v>566.0</v>
      </c>
      <c r="AF1107" s="140">
        <v>205.0</v>
      </c>
      <c r="AG1107" s="109">
        <v>62.0</v>
      </c>
      <c r="AH1107" s="109">
        <v>0.0</v>
      </c>
      <c r="AI1107" s="141">
        <v>268.0</v>
      </c>
      <c r="AJ1107" s="80">
        <v>535.0</v>
      </c>
      <c r="AK1107" s="140">
        <v>0.0</v>
      </c>
      <c r="AL1107" s="109">
        <v>0.0</v>
      </c>
      <c r="AM1107" s="141">
        <v>0.0</v>
      </c>
      <c r="AN1107" s="80">
        <v>0.0</v>
      </c>
      <c r="AO1107" s="140">
        <v>0.0</v>
      </c>
      <c r="AP1107" s="109">
        <v>0.0</v>
      </c>
      <c r="AQ1107" s="109">
        <v>67.0</v>
      </c>
      <c r="AR1107" s="80">
        <v>67.0</v>
      </c>
      <c r="AS1107" s="110">
        <v>0.0</v>
      </c>
      <c r="AT1107" s="110">
        <v>0.0</v>
      </c>
      <c r="AU1107" s="110">
        <v>0.0</v>
      </c>
      <c r="AV1107" s="142">
        <v>0.0</v>
      </c>
      <c r="AW1107" s="80">
        <v>0.0</v>
      </c>
      <c r="AX1107" s="113">
        <v>1168.0</v>
      </c>
      <c r="AY1107" s="117">
        <v>1101.0</v>
      </c>
      <c r="AZ1107" s="328">
        <v>67.0</v>
      </c>
      <c r="BA1107" s="315">
        <v>0.0</v>
      </c>
      <c r="BB1107" s="316">
        <v>1168.0</v>
      </c>
      <c r="BC1107" s="132" t="s">
        <v>178</v>
      </c>
      <c r="BD1107" s="132" t="s">
        <v>178</v>
      </c>
      <c r="BE1107" s="132" t="s">
        <v>178</v>
      </c>
      <c r="BF1107" s="123"/>
      <c r="BG1107" s="83">
        <v>1106467.0</v>
      </c>
      <c r="BH1107" s="112">
        <v>19.0</v>
      </c>
      <c r="BI1107" s="98" t="s">
        <v>155</v>
      </c>
      <c r="BJ1107" s="98" t="str">
        <f t="shared" si="1"/>
        <v>INTEGRAL</v>
      </c>
      <c r="BK1107" s="98" t="str">
        <f t="shared" si="2"/>
        <v>NÃO</v>
      </c>
    </row>
    <row r="1108" ht="15.75" customHeight="1">
      <c r="A1108" s="111" t="s">
        <v>1335</v>
      </c>
      <c r="B1108" s="83" t="s">
        <v>2050</v>
      </c>
      <c r="C1108" s="83" t="s">
        <v>68</v>
      </c>
      <c r="D1108" s="83">
        <v>1106106.0</v>
      </c>
      <c r="E1108" s="83"/>
      <c r="F1108" s="83">
        <v>2.9097541E7</v>
      </c>
      <c r="G1108" s="187" t="s">
        <v>5833</v>
      </c>
      <c r="H1108" s="91" t="s">
        <v>5834</v>
      </c>
      <c r="I1108" s="114" t="s">
        <v>5835</v>
      </c>
      <c r="J1108" s="83" t="s">
        <v>5836</v>
      </c>
      <c r="K1108" s="83" t="s">
        <v>151</v>
      </c>
      <c r="L1108" s="83" t="s">
        <v>169</v>
      </c>
      <c r="M1108" s="82" t="s">
        <v>10518</v>
      </c>
      <c r="N1108" s="82" t="s">
        <v>10519</v>
      </c>
      <c r="O1108" s="82"/>
      <c r="P1108" s="82"/>
      <c r="Q1108" s="82"/>
      <c r="R1108" s="82"/>
      <c r="S1108" s="82"/>
      <c r="T1108" s="138">
        <v>6.0</v>
      </c>
      <c r="U1108" s="406">
        <v>6.0</v>
      </c>
      <c r="V1108" s="106">
        <v>0.0</v>
      </c>
      <c r="W1108" s="107">
        <v>0.0</v>
      </c>
      <c r="X1108" s="107">
        <v>0.0</v>
      </c>
      <c r="Y1108" s="107">
        <v>0.0</v>
      </c>
      <c r="Z1108" s="80">
        <v>0.0</v>
      </c>
      <c r="AA1108" s="140">
        <v>229.0</v>
      </c>
      <c r="AB1108" s="109">
        <v>77.0</v>
      </c>
      <c r="AC1108" s="109">
        <v>0.0</v>
      </c>
      <c r="AD1108" s="141">
        <v>0.0</v>
      </c>
      <c r="AE1108" s="80">
        <v>306.0</v>
      </c>
      <c r="AF1108" s="140">
        <v>0.0</v>
      </c>
      <c r="AG1108" s="109">
        <v>68.0</v>
      </c>
      <c r="AH1108" s="109">
        <v>0.0</v>
      </c>
      <c r="AI1108" s="141">
        <v>0.0</v>
      </c>
      <c r="AJ1108" s="80">
        <v>68.0</v>
      </c>
      <c r="AK1108" s="140">
        <v>0.0</v>
      </c>
      <c r="AL1108" s="109">
        <v>0.0</v>
      </c>
      <c r="AM1108" s="141">
        <v>48.0</v>
      </c>
      <c r="AN1108" s="80">
        <v>48.0</v>
      </c>
      <c r="AO1108" s="140">
        <v>0.0</v>
      </c>
      <c r="AP1108" s="109">
        <v>0.0</v>
      </c>
      <c r="AQ1108" s="109">
        <v>105.0</v>
      </c>
      <c r="AR1108" s="80">
        <v>105.0</v>
      </c>
      <c r="AS1108" s="110">
        <v>0.0</v>
      </c>
      <c r="AT1108" s="110">
        <v>0.0</v>
      </c>
      <c r="AU1108" s="110">
        <v>0.0</v>
      </c>
      <c r="AV1108" s="142">
        <v>0.0</v>
      </c>
      <c r="AW1108" s="80">
        <v>0.0</v>
      </c>
      <c r="AX1108" s="113">
        <v>527.0</v>
      </c>
      <c r="AY1108" s="117">
        <v>374.0</v>
      </c>
      <c r="AZ1108" s="328">
        <v>153.0</v>
      </c>
      <c r="BA1108" s="315">
        <v>0.0</v>
      </c>
      <c r="BB1108" s="316">
        <v>527.0</v>
      </c>
      <c r="BC1108" s="132" t="s">
        <v>373</v>
      </c>
      <c r="BD1108" s="132" t="s">
        <v>178</v>
      </c>
      <c r="BE1108" s="132" t="s">
        <v>178</v>
      </c>
      <c r="BF1108" s="156"/>
      <c r="BG1108" s="83">
        <v>1106106.0</v>
      </c>
      <c r="BH1108" s="98">
        <v>6.0</v>
      </c>
      <c r="BI1108" s="98" t="s">
        <v>155</v>
      </c>
      <c r="BJ1108" s="98" t="str">
        <f t="shared" si="1"/>
        <v>NÃO</v>
      </c>
      <c r="BK1108" s="98" t="str">
        <f t="shared" si="2"/>
        <v>NÃO</v>
      </c>
    </row>
    <row r="1109" ht="15.75" customHeight="1">
      <c r="A1109" s="111" t="s">
        <v>1335</v>
      </c>
      <c r="B1109" s="83" t="s">
        <v>2050</v>
      </c>
      <c r="C1109" s="83" t="s">
        <v>68</v>
      </c>
      <c r="D1109" s="83">
        <v>1106599.0</v>
      </c>
      <c r="E1109" s="83"/>
      <c r="F1109" s="83">
        <v>2.9095212E7</v>
      </c>
      <c r="G1109" s="114" t="s">
        <v>5838</v>
      </c>
      <c r="H1109" s="91" t="s">
        <v>5839</v>
      </c>
      <c r="I1109" s="114" t="s">
        <v>5840</v>
      </c>
      <c r="J1109" s="83" t="s">
        <v>150</v>
      </c>
      <c r="K1109" s="83" t="s">
        <v>5791</v>
      </c>
      <c r="L1109" s="83" t="s">
        <v>169</v>
      </c>
      <c r="M1109" s="82" t="s">
        <v>10521</v>
      </c>
      <c r="N1109" s="82" t="s">
        <v>10522</v>
      </c>
      <c r="O1109" s="82" t="s">
        <v>10523</v>
      </c>
      <c r="P1109" s="82" t="s">
        <v>10524</v>
      </c>
      <c r="Q1109" s="82"/>
      <c r="R1109" s="82"/>
      <c r="S1109" s="82" t="s">
        <v>10525</v>
      </c>
      <c r="T1109" s="138">
        <v>12.0</v>
      </c>
      <c r="U1109" s="406">
        <v>12.0</v>
      </c>
      <c r="V1109" s="106">
        <v>0.0</v>
      </c>
      <c r="W1109" s="107">
        <v>0.0</v>
      </c>
      <c r="X1109" s="107">
        <v>0.0</v>
      </c>
      <c r="Y1109" s="107">
        <v>0.0</v>
      </c>
      <c r="Z1109" s="80">
        <v>0.0</v>
      </c>
      <c r="AA1109" s="140">
        <v>101.0</v>
      </c>
      <c r="AB1109" s="109">
        <v>259.0</v>
      </c>
      <c r="AC1109" s="109">
        <v>0.0</v>
      </c>
      <c r="AD1109" s="141">
        <v>0.0</v>
      </c>
      <c r="AE1109" s="80">
        <v>360.0</v>
      </c>
      <c r="AF1109" s="140">
        <v>137.0</v>
      </c>
      <c r="AG1109" s="109">
        <v>9.0</v>
      </c>
      <c r="AH1109" s="109">
        <v>0.0</v>
      </c>
      <c r="AI1109" s="141">
        <v>0.0</v>
      </c>
      <c r="AJ1109" s="80">
        <v>146.0</v>
      </c>
      <c r="AK1109" s="140">
        <v>0.0</v>
      </c>
      <c r="AL1109" s="109">
        <v>0.0</v>
      </c>
      <c r="AM1109" s="141">
        <v>0.0</v>
      </c>
      <c r="AN1109" s="80">
        <v>0.0</v>
      </c>
      <c r="AO1109" s="140">
        <v>0.0</v>
      </c>
      <c r="AP1109" s="109">
        <v>0.0</v>
      </c>
      <c r="AQ1109" s="109">
        <v>0.0</v>
      </c>
      <c r="AR1109" s="80">
        <v>0.0</v>
      </c>
      <c r="AS1109" s="110">
        <v>0.0</v>
      </c>
      <c r="AT1109" s="110">
        <v>0.0</v>
      </c>
      <c r="AU1109" s="110">
        <v>0.0</v>
      </c>
      <c r="AV1109" s="142">
        <v>0.0</v>
      </c>
      <c r="AW1109" s="80">
        <v>0.0</v>
      </c>
      <c r="AX1109" s="113">
        <v>506.0</v>
      </c>
      <c r="AY1109" s="117">
        <v>506.0</v>
      </c>
      <c r="AZ1109" s="328">
        <v>0.0</v>
      </c>
      <c r="BA1109" s="315">
        <v>0.0</v>
      </c>
      <c r="BB1109" s="316">
        <v>506.0</v>
      </c>
      <c r="BC1109" s="132" t="s">
        <v>178</v>
      </c>
      <c r="BD1109" s="132" t="s">
        <v>178</v>
      </c>
      <c r="BE1109" s="132" t="s">
        <v>178</v>
      </c>
      <c r="BF1109" s="123"/>
      <c r="BG1109" s="83">
        <v>1106599.0</v>
      </c>
      <c r="BH1109" s="98">
        <v>12.0</v>
      </c>
      <c r="BI1109" s="98" t="s">
        <v>155</v>
      </c>
      <c r="BJ1109" s="98" t="str">
        <f t="shared" si="1"/>
        <v>NÃO</v>
      </c>
      <c r="BK1109" s="98" t="str">
        <f t="shared" si="2"/>
        <v>NÃO</v>
      </c>
    </row>
    <row r="1110" ht="15.75" customHeight="1">
      <c r="A1110" s="111" t="s">
        <v>1335</v>
      </c>
      <c r="B1110" s="83" t="s">
        <v>2050</v>
      </c>
      <c r="C1110" s="83" t="s">
        <v>68</v>
      </c>
      <c r="D1110" s="83">
        <v>1106297.0</v>
      </c>
      <c r="E1110" s="83"/>
      <c r="F1110" s="83">
        <v>2.9094151E7</v>
      </c>
      <c r="G1110" s="114" t="s">
        <v>2131</v>
      </c>
      <c r="H1110" s="91" t="s">
        <v>5843</v>
      </c>
      <c r="I1110" s="114" t="s">
        <v>5844</v>
      </c>
      <c r="J1110" s="83" t="s">
        <v>150</v>
      </c>
      <c r="K1110" s="83" t="s">
        <v>151</v>
      </c>
      <c r="L1110" s="83" t="s">
        <v>152</v>
      </c>
      <c r="M1110" s="82" t="s">
        <v>10526</v>
      </c>
      <c r="N1110" s="82" t="s">
        <v>10527</v>
      </c>
      <c r="O1110" s="82" t="s">
        <v>10528</v>
      </c>
      <c r="P1110" s="82" t="s">
        <v>10529</v>
      </c>
      <c r="Q1110" s="82" t="s">
        <v>10530</v>
      </c>
      <c r="R1110" s="82" t="s">
        <v>10531</v>
      </c>
      <c r="S1110" s="82" t="s">
        <v>10532</v>
      </c>
      <c r="T1110" s="138">
        <v>11.0</v>
      </c>
      <c r="U1110" s="406">
        <v>11.0</v>
      </c>
      <c r="V1110" s="106">
        <v>0.0</v>
      </c>
      <c r="W1110" s="107">
        <v>0.0</v>
      </c>
      <c r="X1110" s="107">
        <v>0.0</v>
      </c>
      <c r="Y1110" s="107">
        <v>0.0</v>
      </c>
      <c r="Z1110" s="80">
        <v>0.0</v>
      </c>
      <c r="AA1110" s="140">
        <v>0.0</v>
      </c>
      <c r="AB1110" s="109">
        <v>209.0</v>
      </c>
      <c r="AC1110" s="109">
        <v>0.0</v>
      </c>
      <c r="AD1110" s="141">
        <v>0.0</v>
      </c>
      <c r="AE1110" s="80">
        <v>209.0</v>
      </c>
      <c r="AF1110" s="140">
        <v>313.0</v>
      </c>
      <c r="AG1110" s="109">
        <v>106.0</v>
      </c>
      <c r="AH1110" s="109">
        <v>0.0</v>
      </c>
      <c r="AI1110" s="141">
        <v>0.0</v>
      </c>
      <c r="AJ1110" s="80">
        <v>419.0</v>
      </c>
      <c r="AK1110" s="140">
        <v>0.0</v>
      </c>
      <c r="AL1110" s="109">
        <v>0.0</v>
      </c>
      <c r="AM1110" s="141">
        <v>0.0</v>
      </c>
      <c r="AN1110" s="80">
        <v>0.0</v>
      </c>
      <c r="AO1110" s="140">
        <v>0.0</v>
      </c>
      <c r="AP1110" s="109">
        <v>0.0</v>
      </c>
      <c r="AQ1110" s="109">
        <v>133.0</v>
      </c>
      <c r="AR1110" s="80">
        <v>133.0</v>
      </c>
      <c r="AS1110" s="110">
        <v>0.0</v>
      </c>
      <c r="AT1110" s="110">
        <v>0.0</v>
      </c>
      <c r="AU1110" s="110">
        <v>0.0</v>
      </c>
      <c r="AV1110" s="142">
        <v>0.0</v>
      </c>
      <c r="AW1110" s="80">
        <v>0.0</v>
      </c>
      <c r="AX1110" s="113">
        <v>761.0</v>
      </c>
      <c r="AY1110" s="117">
        <v>628.0</v>
      </c>
      <c r="AZ1110" s="328">
        <v>133.0</v>
      </c>
      <c r="BA1110" s="315">
        <v>0.0</v>
      </c>
      <c r="BB1110" s="316">
        <v>761.0</v>
      </c>
      <c r="BC1110" s="132" t="s">
        <v>178</v>
      </c>
      <c r="BD1110" s="132" t="s">
        <v>178</v>
      </c>
      <c r="BE1110" s="132" t="s">
        <v>178</v>
      </c>
      <c r="BF1110" s="123"/>
      <c r="BG1110" s="83">
        <v>1106297.0</v>
      </c>
      <c r="BH1110" s="98">
        <v>11.0</v>
      </c>
      <c r="BI1110" s="98" t="s">
        <v>155</v>
      </c>
      <c r="BJ1110" s="98" t="str">
        <f t="shared" si="1"/>
        <v>NÃO</v>
      </c>
      <c r="BK1110" s="98" t="str">
        <f t="shared" si="2"/>
        <v>NÃO</v>
      </c>
    </row>
    <row r="1111" ht="15.75" customHeight="1">
      <c r="A1111" s="111" t="s">
        <v>1335</v>
      </c>
      <c r="B1111" s="83" t="s">
        <v>2050</v>
      </c>
      <c r="C1111" s="83" t="s">
        <v>68</v>
      </c>
      <c r="D1111" s="83">
        <v>1106270.0</v>
      </c>
      <c r="E1111" s="83"/>
      <c r="F1111" s="83">
        <v>2.909514E7</v>
      </c>
      <c r="G1111" s="114" t="s">
        <v>10533</v>
      </c>
      <c r="H1111" s="91" t="s">
        <v>5926</v>
      </c>
      <c r="I1111" s="114" t="s">
        <v>5772</v>
      </c>
      <c r="J1111" s="83" t="s">
        <v>150</v>
      </c>
      <c r="K1111" s="83" t="s">
        <v>151</v>
      </c>
      <c r="L1111" s="83" t="s">
        <v>76</v>
      </c>
      <c r="M1111" s="82" t="s">
        <v>2962</v>
      </c>
      <c r="N1111" s="82"/>
      <c r="O1111" s="82" t="s">
        <v>10534</v>
      </c>
      <c r="P1111" s="82" t="s">
        <v>10535</v>
      </c>
      <c r="Q1111" s="82" t="s">
        <v>10536</v>
      </c>
      <c r="R1111" s="82" t="s">
        <v>10537</v>
      </c>
      <c r="S1111" s="82" t="s">
        <v>10538</v>
      </c>
      <c r="T1111" s="138">
        <v>9.0</v>
      </c>
      <c r="U1111" s="406">
        <v>9.0</v>
      </c>
      <c r="V1111" s="106">
        <v>0.0</v>
      </c>
      <c r="W1111" s="107">
        <v>0.0</v>
      </c>
      <c r="X1111" s="107">
        <v>0.0</v>
      </c>
      <c r="Y1111" s="107">
        <v>0.0</v>
      </c>
      <c r="Z1111" s="80">
        <v>0.0</v>
      </c>
      <c r="AA1111" s="140">
        <v>233.0</v>
      </c>
      <c r="AB1111" s="109">
        <v>103.0</v>
      </c>
      <c r="AC1111" s="109">
        <v>0.0</v>
      </c>
      <c r="AD1111" s="141">
        <v>0.0</v>
      </c>
      <c r="AE1111" s="80">
        <v>336.0</v>
      </c>
      <c r="AF1111" s="140">
        <v>111.0</v>
      </c>
      <c r="AG1111" s="109">
        <v>180.0</v>
      </c>
      <c r="AH1111" s="109">
        <v>0.0</v>
      </c>
      <c r="AI1111" s="141">
        <v>0.0</v>
      </c>
      <c r="AJ1111" s="80">
        <v>291.0</v>
      </c>
      <c r="AK1111" s="140">
        <v>0.0</v>
      </c>
      <c r="AL1111" s="109">
        <v>0.0</v>
      </c>
      <c r="AM1111" s="141">
        <v>0.0</v>
      </c>
      <c r="AN1111" s="80">
        <v>0.0</v>
      </c>
      <c r="AO1111" s="140">
        <v>0.0</v>
      </c>
      <c r="AP1111" s="109">
        <v>0.0</v>
      </c>
      <c r="AQ1111" s="109">
        <v>0.0</v>
      </c>
      <c r="AR1111" s="80">
        <v>0.0</v>
      </c>
      <c r="AS1111" s="110">
        <v>0.0</v>
      </c>
      <c r="AT1111" s="110">
        <v>0.0</v>
      </c>
      <c r="AU1111" s="110">
        <v>0.0</v>
      </c>
      <c r="AV1111" s="142">
        <v>0.0</v>
      </c>
      <c r="AW1111" s="80">
        <v>0.0</v>
      </c>
      <c r="AX1111" s="113">
        <v>627.0</v>
      </c>
      <c r="AY1111" s="117">
        <v>627.0</v>
      </c>
      <c r="AZ1111" s="328">
        <v>0.0</v>
      </c>
      <c r="BA1111" s="315">
        <v>0.0</v>
      </c>
      <c r="BB1111" s="316">
        <v>627.0</v>
      </c>
      <c r="BC1111" s="132" t="s">
        <v>178</v>
      </c>
      <c r="BD1111" s="132" t="s">
        <v>178</v>
      </c>
      <c r="BE1111" s="132" t="s">
        <v>178</v>
      </c>
      <c r="BF1111" s="123"/>
      <c r="BG1111" s="83">
        <v>1106270.0</v>
      </c>
      <c r="BH1111" s="112">
        <v>9.0</v>
      </c>
      <c r="BI1111" s="98" t="s">
        <v>155</v>
      </c>
      <c r="BJ1111" s="98" t="str">
        <f t="shared" si="1"/>
        <v>NÃO</v>
      </c>
      <c r="BK1111" s="98" t="str">
        <f t="shared" si="2"/>
        <v>NÃO</v>
      </c>
    </row>
    <row r="1112" ht="15.75" customHeight="1">
      <c r="A1112" s="111" t="s">
        <v>1335</v>
      </c>
      <c r="B1112" s="83" t="s">
        <v>2050</v>
      </c>
      <c r="C1112" s="83" t="s">
        <v>68</v>
      </c>
      <c r="D1112" s="83">
        <v>1176448.0</v>
      </c>
      <c r="E1112" s="83"/>
      <c r="F1112" s="83">
        <v>2.9387728E7</v>
      </c>
      <c r="G1112" s="114" t="s">
        <v>5846</v>
      </c>
      <c r="H1112" s="91" t="s">
        <v>5847</v>
      </c>
      <c r="I1112" s="114" t="s">
        <v>5848</v>
      </c>
      <c r="J1112" s="83" t="s">
        <v>150</v>
      </c>
      <c r="K1112" s="83" t="s">
        <v>151</v>
      </c>
      <c r="L1112" s="83" t="s">
        <v>76</v>
      </c>
      <c r="M1112" s="82" t="s">
        <v>10539</v>
      </c>
      <c r="N1112" s="82" t="s">
        <v>10540</v>
      </c>
      <c r="O1112" s="82" t="s">
        <v>10541</v>
      </c>
      <c r="P1112" s="82" t="s">
        <v>10542</v>
      </c>
      <c r="Q1112" s="82"/>
      <c r="R1112" s="82"/>
      <c r="S1112" s="82" t="s">
        <v>10543</v>
      </c>
      <c r="T1112" s="138">
        <v>6.0</v>
      </c>
      <c r="U1112" s="406">
        <v>6.0</v>
      </c>
      <c r="V1112" s="106">
        <v>0.0</v>
      </c>
      <c r="W1112" s="107">
        <v>0.0</v>
      </c>
      <c r="X1112" s="107">
        <v>0.0</v>
      </c>
      <c r="Y1112" s="107">
        <v>0.0</v>
      </c>
      <c r="Z1112" s="80">
        <v>0.0</v>
      </c>
      <c r="AA1112" s="140">
        <v>0.0</v>
      </c>
      <c r="AB1112" s="109">
        <v>0.0</v>
      </c>
      <c r="AC1112" s="109">
        <v>0.0</v>
      </c>
      <c r="AD1112" s="141">
        <v>0.0</v>
      </c>
      <c r="AE1112" s="80">
        <v>0.0</v>
      </c>
      <c r="AF1112" s="140">
        <v>165.0</v>
      </c>
      <c r="AG1112" s="109">
        <v>136.0</v>
      </c>
      <c r="AH1112" s="109">
        <v>0.0</v>
      </c>
      <c r="AI1112" s="141">
        <v>0.0</v>
      </c>
      <c r="AJ1112" s="80">
        <v>301.0</v>
      </c>
      <c r="AK1112" s="140">
        <v>0.0</v>
      </c>
      <c r="AL1112" s="109">
        <v>0.0</v>
      </c>
      <c r="AM1112" s="141">
        <v>0.0</v>
      </c>
      <c r="AN1112" s="80">
        <v>0.0</v>
      </c>
      <c r="AO1112" s="140">
        <v>0.0</v>
      </c>
      <c r="AP1112" s="109">
        <v>0.0</v>
      </c>
      <c r="AQ1112" s="109">
        <v>59.0</v>
      </c>
      <c r="AR1112" s="80">
        <v>59.0</v>
      </c>
      <c r="AS1112" s="110">
        <v>0.0</v>
      </c>
      <c r="AT1112" s="110">
        <v>0.0</v>
      </c>
      <c r="AU1112" s="110">
        <v>0.0</v>
      </c>
      <c r="AV1112" s="142">
        <v>0.0</v>
      </c>
      <c r="AW1112" s="80">
        <v>0.0</v>
      </c>
      <c r="AX1112" s="113">
        <v>360.0</v>
      </c>
      <c r="AY1112" s="117">
        <v>301.0</v>
      </c>
      <c r="AZ1112" s="328">
        <v>59.0</v>
      </c>
      <c r="BA1112" s="315">
        <v>0.0</v>
      </c>
      <c r="BB1112" s="316">
        <v>360.0</v>
      </c>
      <c r="BC1112" s="132" t="s">
        <v>178</v>
      </c>
      <c r="BD1112" s="132" t="s">
        <v>178</v>
      </c>
      <c r="BE1112" s="132" t="s">
        <v>178</v>
      </c>
      <c r="BF1112" s="123"/>
      <c r="BG1112" s="83">
        <v>1176448.0</v>
      </c>
      <c r="BH1112" s="112">
        <v>6.0</v>
      </c>
      <c r="BI1112" s="98" t="s">
        <v>155</v>
      </c>
      <c r="BJ1112" s="98" t="str">
        <f t="shared" si="1"/>
        <v>NÃO</v>
      </c>
      <c r="BK1112" s="98" t="str">
        <f t="shared" si="2"/>
        <v>NÃO</v>
      </c>
    </row>
    <row r="1113" ht="15.75" customHeight="1">
      <c r="A1113" s="111" t="s">
        <v>1335</v>
      </c>
      <c r="B1113" s="83" t="s">
        <v>2050</v>
      </c>
      <c r="C1113" s="83" t="s">
        <v>68</v>
      </c>
      <c r="D1113" s="83">
        <v>1106742.0</v>
      </c>
      <c r="E1113" s="83"/>
      <c r="F1113" s="83">
        <v>2.9093279E7</v>
      </c>
      <c r="G1113" s="114" t="s">
        <v>2233</v>
      </c>
      <c r="H1113" s="91" t="s">
        <v>5850</v>
      </c>
      <c r="I1113" s="114" t="s">
        <v>1288</v>
      </c>
      <c r="J1113" s="83" t="s">
        <v>150</v>
      </c>
      <c r="K1113" s="83" t="s">
        <v>151</v>
      </c>
      <c r="L1113" s="83" t="s">
        <v>230</v>
      </c>
      <c r="M1113" s="82" t="s">
        <v>10545</v>
      </c>
      <c r="N1113" s="82" t="s">
        <v>10546</v>
      </c>
      <c r="O1113" s="82" t="s">
        <v>10547</v>
      </c>
      <c r="P1113" s="82" t="s">
        <v>10548</v>
      </c>
      <c r="Q1113" s="82" t="s">
        <v>10549</v>
      </c>
      <c r="R1113" s="82" t="s">
        <v>10550</v>
      </c>
      <c r="S1113" s="82" t="s">
        <v>10551</v>
      </c>
      <c r="T1113" s="138">
        <v>21.0</v>
      </c>
      <c r="U1113" s="406">
        <v>21.0</v>
      </c>
      <c r="V1113" s="106">
        <v>0.0</v>
      </c>
      <c r="W1113" s="107">
        <v>0.0</v>
      </c>
      <c r="X1113" s="107">
        <v>0.0</v>
      </c>
      <c r="Y1113" s="107">
        <v>0.0</v>
      </c>
      <c r="Z1113" s="80">
        <v>0.0</v>
      </c>
      <c r="AA1113" s="140">
        <v>236.0</v>
      </c>
      <c r="AB1113" s="109">
        <v>259.0</v>
      </c>
      <c r="AC1113" s="109">
        <v>0.0</v>
      </c>
      <c r="AD1113" s="141">
        <v>0.0</v>
      </c>
      <c r="AE1113" s="80">
        <v>495.0</v>
      </c>
      <c r="AF1113" s="140">
        <v>353.0</v>
      </c>
      <c r="AG1113" s="109">
        <v>125.0</v>
      </c>
      <c r="AH1113" s="109">
        <v>27.0</v>
      </c>
      <c r="AI1113" s="141">
        <v>225.0</v>
      </c>
      <c r="AJ1113" s="80">
        <v>730.0</v>
      </c>
      <c r="AK1113" s="140">
        <v>0.0</v>
      </c>
      <c r="AL1113" s="109">
        <v>63.0</v>
      </c>
      <c r="AM1113" s="141">
        <v>46.0</v>
      </c>
      <c r="AN1113" s="80">
        <v>109.0</v>
      </c>
      <c r="AO1113" s="140">
        <v>0.0</v>
      </c>
      <c r="AP1113" s="109">
        <v>21.0</v>
      </c>
      <c r="AQ1113" s="109">
        <v>102.0</v>
      </c>
      <c r="AR1113" s="80">
        <v>123.0</v>
      </c>
      <c r="AS1113" s="110">
        <v>0.0</v>
      </c>
      <c r="AT1113" s="110">
        <v>0.0</v>
      </c>
      <c r="AU1113" s="110">
        <v>0.0</v>
      </c>
      <c r="AV1113" s="142">
        <v>0.0</v>
      </c>
      <c r="AW1113" s="80">
        <v>0.0</v>
      </c>
      <c r="AX1113" s="113">
        <v>1457.0</v>
      </c>
      <c r="AY1113" s="117">
        <v>1282.0</v>
      </c>
      <c r="AZ1113" s="328">
        <v>175.0</v>
      </c>
      <c r="BA1113" s="315">
        <v>2.0</v>
      </c>
      <c r="BB1113" s="316">
        <v>1459.0</v>
      </c>
      <c r="BC1113" s="132" t="s">
        <v>178</v>
      </c>
      <c r="BD1113" s="132" t="s">
        <v>178</v>
      </c>
      <c r="BE1113" s="132" t="s">
        <v>178</v>
      </c>
      <c r="BF1113" s="123"/>
      <c r="BG1113" s="83">
        <v>1106742.0</v>
      </c>
      <c r="BH1113" s="112">
        <v>21.0</v>
      </c>
      <c r="BI1113" s="98" t="s">
        <v>155</v>
      </c>
      <c r="BJ1113" s="98" t="str">
        <f t="shared" si="1"/>
        <v>INTEGRAL</v>
      </c>
      <c r="BK1113" s="98" t="str">
        <f t="shared" si="2"/>
        <v>NÃO</v>
      </c>
    </row>
    <row r="1114" ht="15.75" customHeight="1">
      <c r="A1114" s="111" t="s">
        <v>1335</v>
      </c>
      <c r="B1114" s="83" t="s">
        <v>2050</v>
      </c>
      <c r="C1114" s="83" t="s">
        <v>68</v>
      </c>
      <c r="D1114" s="83">
        <v>1106190.0</v>
      </c>
      <c r="E1114" s="83"/>
      <c r="F1114" s="83">
        <v>2.9094143E7</v>
      </c>
      <c r="G1114" s="119" t="s">
        <v>5929</v>
      </c>
      <c r="H1114" s="91" t="s">
        <v>10552</v>
      </c>
      <c r="I1114" s="114" t="s">
        <v>5840</v>
      </c>
      <c r="J1114" s="83" t="s">
        <v>150</v>
      </c>
      <c r="K1114" s="83" t="s">
        <v>151</v>
      </c>
      <c r="L1114" s="83" t="s">
        <v>76</v>
      </c>
      <c r="M1114" s="82" t="s">
        <v>10553</v>
      </c>
      <c r="N1114" s="82" t="s">
        <v>10554</v>
      </c>
      <c r="O1114" s="82"/>
      <c r="P1114" s="82"/>
      <c r="Q1114" s="82"/>
      <c r="R1114" s="82"/>
      <c r="S1114" s="82" t="s">
        <v>10555</v>
      </c>
      <c r="T1114" s="138">
        <v>10.0</v>
      </c>
      <c r="U1114" s="406">
        <v>20.0</v>
      </c>
      <c r="V1114" s="106">
        <v>0.0</v>
      </c>
      <c r="W1114" s="107">
        <v>0.0</v>
      </c>
      <c r="X1114" s="107">
        <v>0.0</v>
      </c>
      <c r="Y1114" s="107">
        <v>0.0</v>
      </c>
      <c r="Z1114" s="80">
        <v>0.0</v>
      </c>
      <c r="AA1114" s="140">
        <v>194.0</v>
      </c>
      <c r="AB1114" s="109">
        <v>0.0</v>
      </c>
      <c r="AC1114" s="109">
        <v>0.0</v>
      </c>
      <c r="AD1114" s="141">
        <v>209.0</v>
      </c>
      <c r="AE1114" s="80">
        <v>403.0</v>
      </c>
      <c r="AF1114" s="140">
        <v>0.0</v>
      </c>
      <c r="AG1114" s="109">
        <v>0.0</v>
      </c>
      <c r="AH1114" s="109">
        <v>0.0</v>
      </c>
      <c r="AI1114" s="141">
        <v>182.0</v>
      </c>
      <c r="AJ1114" s="80">
        <v>182.0</v>
      </c>
      <c r="AK1114" s="140">
        <v>0.0</v>
      </c>
      <c r="AL1114" s="109">
        <v>0.0</v>
      </c>
      <c r="AM1114" s="141">
        <v>0.0</v>
      </c>
      <c r="AN1114" s="80">
        <v>0.0</v>
      </c>
      <c r="AO1114" s="140">
        <v>0.0</v>
      </c>
      <c r="AP1114" s="109">
        <v>0.0</v>
      </c>
      <c r="AQ1114" s="109">
        <v>36.0</v>
      </c>
      <c r="AR1114" s="80">
        <v>36.0</v>
      </c>
      <c r="AS1114" s="110">
        <v>37.0</v>
      </c>
      <c r="AT1114" s="110">
        <v>0.0</v>
      </c>
      <c r="AU1114" s="110">
        <v>38.0</v>
      </c>
      <c r="AV1114" s="142">
        <v>0.0</v>
      </c>
      <c r="AW1114" s="80">
        <v>75.0</v>
      </c>
      <c r="AX1114" s="113">
        <v>696.0</v>
      </c>
      <c r="AY1114" s="117">
        <v>622.0</v>
      </c>
      <c r="AZ1114" s="328">
        <v>74.0</v>
      </c>
      <c r="BA1114" s="315">
        <v>0.0</v>
      </c>
      <c r="BB1114" s="316">
        <v>696.0</v>
      </c>
      <c r="BC1114" s="132" t="s">
        <v>178</v>
      </c>
      <c r="BD1114" s="132" t="s">
        <v>178</v>
      </c>
      <c r="BE1114" s="132" t="s">
        <v>178</v>
      </c>
      <c r="BF1114" s="123"/>
      <c r="BG1114" s="83">
        <v>1106190.0</v>
      </c>
      <c r="BH1114" s="98">
        <v>10.0</v>
      </c>
      <c r="BI1114" s="98" t="s">
        <v>162</v>
      </c>
      <c r="BJ1114" s="98" t="str">
        <f t="shared" si="1"/>
        <v>INTEGRAL</v>
      </c>
      <c r="BK1114" s="98" t="str">
        <f t="shared" si="2"/>
        <v>PROFISSIONAL</v>
      </c>
    </row>
    <row r="1115" ht="15.75" customHeight="1">
      <c r="A1115" s="111" t="s">
        <v>1335</v>
      </c>
      <c r="B1115" s="83" t="s">
        <v>2050</v>
      </c>
      <c r="C1115" s="83" t="s">
        <v>68</v>
      </c>
      <c r="D1115" s="83">
        <v>1106530.0</v>
      </c>
      <c r="E1115" s="83"/>
      <c r="F1115" s="83">
        <v>2.9095026E7</v>
      </c>
      <c r="G1115" s="114" t="s">
        <v>2179</v>
      </c>
      <c r="H1115" s="91" t="s">
        <v>10556</v>
      </c>
      <c r="I1115" s="114" t="s">
        <v>10557</v>
      </c>
      <c r="J1115" s="83" t="s">
        <v>150</v>
      </c>
      <c r="K1115" s="83" t="s">
        <v>151</v>
      </c>
      <c r="L1115" s="83" t="s">
        <v>152</v>
      </c>
      <c r="M1115" s="82" t="s">
        <v>10558</v>
      </c>
      <c r="N1115" s="82" t="s">
        <v>10559</v>
      </c>
      <c r="O1115" s="82" t="s">
        <v>10560</v>
      </c>
      <c r="P1115" s="82" t="s">
        <v>10561</v>
      </c>
      <c r="Q1115" s="82"/>
      <c r="R1115" s="82"/>
      <c r="S1115" s="82" t="s">
        <v>10562</v>
      </c>
      <c r="T1115" s="138">
        <v>10.0</v>
      </c>
      <c r="U1115" s="406">
        <v>10.0</v>
      </c>
      <c r="V1115" s="106">
        <v>0.0</v>
      </c>
      <c r="W1115" s="107">
        <v>0.0</v>
      </c>
      <c r="X1115" s="107">
        <v>0.0</v>
      </c>
      <c r="Y1115" s="107">
        <v>0.0</v>
      </c>
      <c r="Z1115" s="80">
        <v>0.0</v>
      </c>
      <c r="AA1115" s="140">
        <v>245.0</v>
      </c>
      <c r="AB1115" s="109">
        <v>248.0</v>
      </c>
      <c r="AC1115" s="109">
        <v>0.0</v>
      </c>
      <c r="AD1115" s="141">
        <v>0.0</v>
      </c>
      <c r="AE1115" s="80">
        <v>493.0</v>
      </c>
      <c r="AF1115" s="140">
        <v>251.0</v>
      </c>
      <c r="AG1115" s="109">
        <v>54.0</v>
      </c>
      <c r="AH1115" s="109">
        <v>0.0</v>
      </c>
      <c r="AI1115" s="141">
        <v>152.0</v>
      </c>
      <c r="AJ1115" s="80">
        <v>457.0</v>
      </c>
      <c r="AK1115" s="140">
        <v>0.0</v>
      </c>
      <c r="AL1115" s="109">
        <v>0.0</v>
      </c>
      <c r="AM1115" s="141">
        <v>0.0</v>
      </c>
      <c r="AN1115" s="80">
        <v>0.0</v>
      </c>
      <c r="AO1115" s="140">
        <v>0.0</v>
      </c>
      <c r="AP1115" s="109">
        <v>0.0</v>
      </c>
      <c r="AQ1115" s="109">
        <v>0.0</v>
      </c>
      <c r="AR1115" s="80">
        <v>0.0</v>
      </c>
      <c r="AS1115" s="110">
        <v>0.0</v>
      </c>
      <c r="AT1115" s="110">
        <v>0.0</v>
      </c>
      <c r="AU1115" s="110">
        <v>0.0</v>
      </c>
      <c r="AV1115" s="142">
        <v>0.0</v>
      </c>
      <c r="AW1115" s="80">
        <v>0.0</v>
      </c>
      <c r="AX1115" s="113">
        <v>950.0</v>
      </c>
      <c r="AY1115" s="117">
        <v>950.0</v>
      </c>
      <c r="AZ1115" s="328">
        <v>0.0</v>
      </c>
      <c r="BA1115" s="315">
        <v>0.0</v>
      </c>
      <c r="BB1115" s="316">
        <v>950.0</v>
      </c>
      <c r="BC1115" s="132" t="s">
        <v>178</v>
      </c>
      <c r="BD1115" s="132" t="s">
        <v>178</v>
      </c>
      <c r="BE1115" s="132" t="s">
        <v>178</v>
      </c>
      <c r="BF1115" s="156"/>
      <c r="BG1115" s="83">
        <v>1106530.0</v>
      </c>
      <c r="BH1115" s="112">
        <v>10.0</v>
      </c>
      <c r="BI1115" s="98" t="s">
        <v>155</v>
      </c>
      <c r="BJ1115" s="98" t="str">
        <f t="shared" si="1"/>
        <v>INTEGRAL</v>
      </c>
      <c r="BK1115" s="98" t="str">
        <f t="shared" si="2"/>
        <v>NÃO</v>
      </c>
    </row>
    <row r="1116" ht="15.75" customHeight="1">
      <c r="A1116" s="111" t="s">
        <v>1335</v>
      </c>
      <c r="B1116" s="83" t="s">
        <v>2050</v>
      </c>
      <c r="C1116" s="83" t="s">
        <v>68</v>
      </c>
      <c r="D1116" s="83">
        <v>1106335.0</v>
      </c>
      <c r="E1116" s="83"/>
      <c r="F1116" s="83">
        <v>2.909326E7</v>
      </c>
      <c r="G1116" s="114" t="s">
        <v>10563</v>
      </c>
      <c r="H1116" s="91" t="s">
        <v>4514</v>
      </c>
      <c r="I1116" s="114" t="s">
        <v>149</v>
      </c>
      <c r="J1116" s="83" t="s">
        <v>150</v>
      </c>
      <c r="K1116" s="83" t="s">
        <v>151</v>
      </c>
      <c r="L1116" s="83" t="s">
        <v>76</v>
      </c>
      <c r="M1116" s="82" t="s">
        <v>10564</v>
      </c>
      <c r="N1116" s="82" t="s">
        <v>10565</v>
      </c>
      <c r="O1116" s="82" t="s">
        <v>10566</v>
      </c>
      <c r="P1116" s="82" t="s">
        <v>10567</v>
      </c>
      <c r="Q1116" s="82" t="s">
        <v>10568</v>
      </c>
      <c r="R1116" s="82" t="s">
        <v>10569</v>
      </c>
      <c r="S1116" s="82" t="s">
        <v>10570</v>
      </c>
      <c r="T1116" s="138">
        <v>15.0</v>
      </c>
      <c r="U1116" s="406">
        <v>15.0</v>
      </c>
      <c r="V1116" s="106">
        <v>0.0</v>
      </c>
      <c r="W1116" s="107">
        <v>0.0</v>
      </c>
      <c r="X1116" s="107">
        <v>0.0</v>
      </c>
      <c r="Y1116" s="107">
        <v>0.0</v>
      </c>
      <c r="Z1116" s="80">
        <v>0.0</v>
      </c>
      <c r="AA1116" s="140">
        <v>0.0</v>
      </c>
      <c r="AB1116" s="109">
        <v>0.0</v>
      </c>
      <c r="AC1116" s="109">
        <v>0.0</v>
      </c>
      <c r="AD1116" s="141">
        <v>0.0</v>
      </c>
      <c r="AE1116" s="80">
        <v>0.0</v>
      </c>
      <c r="AF1116" s="140">
        <v>130.0</v>
      </c>
      <c r="AG1116" s="109">
        <v>48.0</v>
      </c>
      <c r="AH1116" s="109">
        <v>11.0</v>
      </c>
      <c r="AI1116" s="141">
        <v>70.0</v>
      </c>
      <c r="AJ1116" s="80">
        <v>259.0</v>
      </c>
      <c r="AK1116" s="140">
        <v>0.0</v>
      </c>
      <c r="AL1116" s="109">
        <v>0.0</v>
      </c>
      <c r="AM1116" s="141">
        <v>0.0</v>
      </c>
      <c r="AN1116" s="80">
        <v>0.0</v>
      </c>
      <c r="AO1116" s="140">
        <v>0.0</v>
      </c>
      <c r="AP1116" s="109">
        <v>0.0</v>
      </c>
      <c r="AQ1116" s="109">
        <v>34.0</v>
      </c>
      <c r="AR1116" s="80">
        <v>34.0</v>
      </c>
      <c r="AS1116" s="110">
        <v>0.0</v>
      </c>
      <c r="AT1116" s="110">
        <v>0.0</v>
      </c>
      <c r="AU1116" s="110">
        <v>0.0</v>
      </c>
      <c r="AV1116" s="142">
        <v>0.0</v>
      </c>
      <c r="AW1116" s="80">
        <v>0.0</v>
      </c>
      <c r="AX1116" s="113">
        <v>293.0</v>
      </c>
      <c r="AY1116" s="117">
        <v>248.0</v>
      </c>
      <c r="AZ1116" s="328">
        <v>45.0</v>
      </c>
      <c r="BA1116" s="315">
        <v>0.0</v>
      </c>
      <c r="BB1116" s="316">
        <v>293.0</v>
      </c>
      <c r="BC1116" s="132" t="s">
        <v>178</v>
      </c>
      <c r="BD1116" s="132" t="s">
        <v>178</v>
      </c>
      <c r="BE1116" s="132" t="s">
        <v>178</v>
      </c>
      <c r="BF1116" s="123"/>
      <c r="BG1116" s="83">
        <v>1106335.0</v>
      </c>
      <c r="BH1116" s="98">
        <v>15.0</v>
      </c>
      <c r="BI1116" s="98" t="s">
        <v>155</v>
      </c>
      <c r="BJ1116" s="98" t="str">
        <f t="shared" si="1"/>
        <v>INTEGRAL</v>
      </c>
      <c r="BK1116" s="98" t="str">
        <f t="shared" si="2"/>
        <v>NÃO</v>
      </c>
    </row>
    <row r="1117" ht="15.75" customHeight="1">
      <c r="A1117" s="111" t="s">
        <v>1335</v>
      </c>
      <c r="B1117" s="83" t="s">
        <v>2050</v>
      </c>
      <c r="C1117" s="83" t="s">
        <v>68</v>
      </c>
      <c r="D1117" s="83">
        <v>1105940.0</v>
      </c>
      <c r="E1117" s="83"/>
      <c r="F1117" s="83">
        <v>2.9094194E7</v>
      </c>
      <c r="G1117" s="114" t="s">
        <v>5859</v>
      </c>
      <c r="H1117" s="91" t="s">
        <v>5860</v>
      </c>
      <c r="I1117" s="114" t="s">
        <v>149</v>
      </c>
      <c r="J1117" s="83" t="s">
        <v>150</v>
      </c>
      <c r="K1117" s="83" t="s">
        <v>151</v>
      </c>
      <c r="L1117" s="83" t="s">
        <v>152</v>
      </c>
      <c r="M1117" s="82" t="s">
        <v>10571</v>
      </c>
      <c r="N1117" s="82" t="s">
        <v>10572</v>
      </c>
      <c r="O1117" s="82" t="s">
        <v>10573</v>
      </c>
      <c r="P1117" s="82" t="s">
        <v>10574</v>
      </c>
      <c r="Q1117" s="82" t="s">
        <v>10575</v>
      </c>
      <c r="R1117" s="82" t="s">
        <v>10576</v>
      </c>
      <c r="S1117" s="82" t="s">
        <v>10577</v>
      </c>
      <c r="T1117" s="138">
        <v>16.0</v>
      </c>
      <c r="U1117" s="406">
        <v>16.0</v>
      </c>
      <c r="V1117" s="106">
        <v>0.0</v>
      </c>
      <c r="W1117" s="107">
        <v>0.0</v>
      </c>
      <c r="X1117" s="107">
        <v>0.0</v>
      </c>
      <c r="Y1117" s="107">
        <v>0.0</v>
      </c>
      <c r="Z1117" s="80">
        <v>0.0</v>
      </c>
      <c r="AA1117" s="140">
        <v>0.0</v>
      </c>
      <c r="AB1117" s="109">
        <v>0.0</v>
      </c>
      <c r="AC1117" s="109">
        <v>0.0</v>
      </c>
      <c r="AD1117" s="141">
        <v>0.0</v>
      </c>
      <c r="AE1117" s="80">
        <v>0.0</v>
      </c>
      <c r="AF1117" s="140">
        <v>402.0</v>
      </c>
      <c r="AG1117" s="109">
        <v>145.0</v>
      </c>
      <c r="AH1117" s="109">
        <v>40.0</v>
      </c>
      <c r="AI1117" s="141">
        <v>0.0</v>
      </c>
      <c r="AJ1117" s="80">
        <v>587.0</v>
      </c>
      <c r="AK1117" s="140">
        <v>0.0</v>
      </c>
      <c r="AL1117" s="109">
        <v>0.0</v>
      </c>
      <c r="AM1117" s="141">
        <v>0.0</v>
      </c>
      <c r="AN1117" s="80">
        <v>0.0</v>
      </c>
      <c r="AO1117" s="140">
        <v>0.0</v>
      </c>
      <c r="AP1117" s="109">
        <v>0.0</v>
      </c>
      <c r="AQ1117" s="109">
        <v>150.0</v>
      </c>
      <c r="AR1117" s="80">
        <v>150.0</v>
      </c>
      <c r="AS1117" s="110">
        <v>0.0</v>
      </c>
      <c r="AT1117" s="110">
        <v>0.0</v>
      </c>
      <c r="AU1117" s="110">
        <v>0.0</v>
      </c>
      <c r="AV1117" s="142">
        <v>0.0</v>
      </c>
      <c r="AW1117" s="80">
        <v>0.0</v>
      </c>
      <c r="AX1117" s="113">
        <v>737.0</v>
      </c>
      <c r="AY1117" s="117">
        <v>547.0</v>
      </c>
      <c r="AZ1117" s="328">
        <v>190.0</v>
      </c>
      <c r="BA1117" s="315">
        <v>3.0</v>
      </c>
      <c r="BB1117" s="316">
        <v>740.0</v>
      </c>
      <c r="BC1117" s="132" t="s">
        <v>178</v>
      </c>
      <c r="BD1117" s="132" t="s">
        <v>178</v>
      </c>
      <c r="BE1117" s="132" t="s">
        <v>178</v>
      </c>
      <c r="BF1117" s="123"/>
      <c r="BG1117" s="83">
        <v>1105940.0</v>
      </c>
      <c r="BH1117" s="112">
        <v>16.0</v>
      </c>
      <c r="BI1117" s="98" t="s">
        <v>155</v>
      </c>
      <c r="BJ1117" s="98" t="str">
        <f t="shared" si="1"/>
        <v>NÃO</v>
      </c>
      <c r="BK1117" s="98" t="str">
        <f t="shared" si="2"/>
        <v>NÃO</v>
      </c>
    </row>
    <row r="1118" ht="15.75" customHeight="1">
      <c r="A1118" s="111" t="s">
        <v>1335</v>
      </c>
      <c r="B1118" s="83" t="s">
        <v>2050</v>
      </c>
      <c r="C1118" s="83" t="s">
        <v>68</v>
      </c>
      <c r="D1118" s="83">
        <v>1105886.0</v>
      </c>
      <c r="E1118" s="83"/>
      <c r="F1118" s="83">
        <v>2.909366E7</v>
      </c>
      <c r="G1118" s="114" t="s">
        <v>5862</v>
      </c>
      <c r="H1118" s="91" t="s">
        <v>5863</v>
      </c>
      <c r="I1118" s="114" t="s">
        <v>5864</v>
      </c>
      <c r="J1118" s="83" t="s">
        <v>150</v>
      </c>
      <c r="K1118" s="83" t="s">
        <v>151</v>
      </c>
      <c r="L1118" s="83" t="s">
        <v>152</v>
      </c>
      <c r="M1118" s="82" t="s">
        <v>10579</v>
      </c>
      <c r="N1118" s="82" t="s">
        <v>10580</v>
      </c>
      <c r="O1118" s="82" t="s">
        <v>10581</v>
      </c>
      <c r="P1118" s="82" t="s">
        <v>10582</v>
      </c>
      <c r="Q1118" s="82" t="s">
        <v>10583</v>
      </c>
      <c r="R1118" s="82" t="s">
        <v>10584</v>
      </c>
      <c r="S1118" s="82" t="s">
        <v>10585</v>
      </c>
      <c r="T1118" s="138">
        <v>13.0</v>
      </c>
      <c r="U1118" s="406">
        <v>13.0</v>
      </c>
      <c r="V1118" s="106">
        <v>0.0</v>
      </c>
      <c r="W1118" s="107">
        <v>0.0</v>
      </c>
      <c r="X1118" s="107">
        <v>0.0</v>
      </c>
      <c r="Y1118" s="107">
        <v>0.0</v>
      </c>
      <c r="Z1118" s="80">
        <v>0.0</v>
      </c>
      <c r="AA1118" s="140">
        <v>201.0</v>
      </c>
      <c r="AB1118" s="109">
        <v>281.0</v>
      </c>
      <c r="AC1118" s="109">
        <v>0.0</v>
      </c>
      <c r="AD1118" s="141">
        <v>0.0</v>
      </c>
      <c r="AE1118" s="80">
        <v>482.0</v>
      </c>
      <c r="AF1118" s="140">
        <v>238.0</v>
      </c>
      <c r="AG1118" s="109">
        <v>88.0</v>
      </c>
      <c r="AH1118" s="109">
        <v>15.0</v>
      </c>
      <c r="AI1118" s="141">
        <v>0.0</v>
      </c>
      <c r="AJ1118" s="80">
        <v>341.0</v>
      </c>
      <c r="AK1118" s="140">
        <v>0.0</v>
      </c>
      <c r="AL1118" s="109">
        <v>0.0</v>
      </c>
      <c r="AM1118" s="141">
        <v>58.0</v>
      </c>
      <c r="AN1118" s="80">
        <v>58.0</v>
      </c>
      <c r="AO1118" s="140">
        <v>0.0</v>
      </c>
      <c r="AP1118" s="109">
        <v>0.0</v>
      </c>
      <c r="AQ1118" s="109">
        <v>83.0</v>
      </c>
      <c r="AR1118" s="80">
        <v>83.0</v>
      </c>
      <c r="AS1118" s="110">
        <v>0.0</v>
      </c>
      <c r="AT1118" s="110">
        <v>0.0</v>
      </c>
      <c r="AU1118" s="110">
        <v>0.0</v>
      </c>
      <c r="AV1118" s="142">
        <v>0.0</v>
      </c>
      <c r="AW1118" s="80">
        <v>0.0</v>
      </c>
      <c r="AX1118" s="113">
        <v>964.0</v>
      </c>
      <c r="AY1118" s="117">
        <v>808.0</v>
      </c>
      <c r="AZ1118" s="328">
        <v>156.0</v>
      </c>
      <c r="BA1118" s="315">
        <v>1.0</v>
      </c>
      <c r="BB1118" s="316">
        <v>965.0</v>
      </c>
      <c r="BC1118" s="132" t="s">
        <v>178</v>
      </c>
      <c r="BD1118" s="132" t="s">
        <v>178</v>
      </c>
      <c r="BE1118" s="132" t="s">
        <v>178</v>
      </c>
      <c r="BF1118" s="123"/>
      <c r="BG1118" s="83">
        <v>1105886.0</v>
      </c>
      <c r="BH1118" s="98">
        <v>13.0</v>
      </c>
      <c r="BI1118" s="98" t="s">
        <v>155</v>
      </c>
      <c r="BJ1118" s="98" t="str">
        <f t="shared" si="1"/>
        <v>NÃO</v>
      </c>
      <c r="BK1118" s="98" t="str">
        <f t="shared" si="2"/>
        <v>NÃO</v>
      </c>
    </row>
    <row r="1119" ht="15.75" customHeight="1">
      <c r="A1119" s="111" t="s">
        <v>1335</v>
      </c>
      <c r="B1119" s="83" t="s">
        <v>2050</v>
      </c>
      <c r="C1119" s="83" t="s">
        <v>68</v>
      </c>
      <c r="D1119" s="83">
        <v>1178219.0</v>
      </c>
      <c r="E1119" s="83"/>
      <c r="F1119" s="83">
        <v>2.9443768E7</v>
      </c>
      <c r="G1119" s="114" t="s">
        <v>5866</v>
      </c>
      <c r="H1119" s="91" t="s">
        <v>5867</v>
      </c>
      <c r="I1119" s="114" t="s">
        <v>5868</v>
      </c>
      <c r="J1119" s="83" t="s">
        <v>150</v>
      </c>
      <c r="K1119" s="83" t="s">
        <v>151</v>
      </c>
      <c r="L1119" s="83" t="s">
        <v>76</v>
      </c>
      <c r="M1119" s="82" t="s">
        <v>10586</v>
      </c>
      <c r="N1119" s="82" t="s">
        <v>10587</v>
      </c>
      <c r="O1119" s="82" t="s">
        <v>10588</v>
      </c>
      <c r="P1119" s="82" t="s">
        <v>10589</v>
      </c>
      <c r="Q1119" s="82"/>
      <c r="R1119" s="82"/>
      <c r="S1119" s="82" t="s">
        <v>10590</v>
      </c>
      <c r="T1119" s="138">
        <v>9.0</v>
      </c>
      <c r="U1119" s="406">
        <v>9.0</v>
      </c>
      <c r="V1119" s="106">
        <v>0.0</v>
      </c>
      <c r="W1119" s="107">
        <v>0.0</v>
      </c>
      <c r="X1119" s="107">
        <v>0.0</v>
      </c>
      <c r="Y1119" s="107">
        <v>0.0</v>
      </c>
      <c r="Z1119" s="80">
        <v>0.0</v>
      </c>
      <c r="AA1119" s="140">
        <v>0.0</v>
      </c>
      <c r="AB1119" s="109">
        <v>0.0</v>
      </c>
      <c r="AC1119" s="109">
        <v>0.0</v>
      </c>
      <c r="AD1119" s="141">
        <v>0.0</v>
      </c>
      <c r="AE1119" s="80">
        <v>0.0</v>
      </c>
      <c r="AF1119" s="140">
        <v>108.0</v>
      </c>
      <c r="AG1119" s="109">
        <v>65.0</v>
      </c>
      <c r="AH1119" s="109">
        <v>30.0</v>
      </c>
      <c r="AI1119" s="141">
        <v>73.0</v>
      </c>
      <c r="AJ1119" s="80">
        <v>276.0</v>
      </c>
      <c r="AK1119" s="140">
        <v>0.0</v>
      </c>
      <c r="AL1119" s="109">
        <v>0.0</v>
      </c>
      <c r="AM1119" s="141">
        <v>0.0</v>
      </c>
      <c r="AN1119" s="80">
        <v>0.0</v>
      </c>
      <c r="AO1119" s="140">
        <v>0.0</v>
      </c>
      <c r="AP1119" s="109">
        <v>0.0</v>
      </c>
      <c r="AQ1119" s="109">
        <v>110.0</v>
      </c>
      <c r="AR1119" s="80">
        <v>110.0</v>
      </c>
      <c r="AS1119" s="110">
        <v>0.0</v>
      </c>
      <c r="AT1119" s="110">
        <v>0.0</v>
      </c>
      <c r="AU1119" s="110">
        <v>0.0</v>
      </c>
      <c r="AV1119" s="142">
        <v>0.0</v>
      </c>
      <c r="AW1119" s="80">
        <v>0.0</v>
      </c>
      <c r="AX1119" s="113">
        <v>386.0</v>
      </c>
      <c r="AY1119" s="117">
        <v>246.0</v>
      </c>
      <c r="AZ1119" s="328">
        <v>140.0</v>
      </c>
      <c r="BA1119" s="315">
        <v>0.0</v>
      </c>
      <c r="BB1119" s="316">
        <v>386.0</v>
      </c>
      <c r="BC1119" s="132" t="s">
        <v>178</v>
      </c>
      <c r="BD1119" s="132" t="s">
        <v>178</v>
      </c>
      <c r="BE1119" s="132" t="s">
        <v>178</v>
      </c>
      <c r="BF1119" s="123"/>
      <c r="BG1119" s="83">
        <v>1178219.0</v>
      </c>
      <c r="BH1119" s="98">
        <v>9.0</v>
      </c>
      <c r="BI1119" s="98" t="s">
        <v>155</v>
      </c>
      <c r="BJ1119" s="98" t="str">
        <f t="shared" si="1"/>
        <v>INTEGRAL</v>
      </c>
      <c r="BK1119" s="98" t="str">
        <f t="shared" si="2"/>
        <v>NÃO</v>
      </c>
    </row>
    <row r="1120" ht="15.75" customHeight="1">
      <c r="A1120" s="111" t="s">
        <v>1335</v>
      </c>
      <c r="B1120" s="83" t="s">
        <v>2050</v>
      </c>
      <c r="C1120" s="83" t="s">
        <v>68</v>
      </c>
      <c r="D1120" s="83">
        <v>1106211.0</v>
      </c>
      <c r="E1120" s="83"/>
      <c r="F1120" s="83">
        <v>2.9096596E7</v>
      </c>
      <c r="G1120" s="114" t="s">
        <v>5876</v>
      </c>
      <c r="H1120" s="91" t="s">
        <v>5877</v>
      </c>
      <c r="I1120" s="114" t="s">
        <v>5878</v>
      </c>
      <c r="J1120" s="83" t="s">
        <v>2714</v>
      </c>
      <c r="K1120" s="83" t="s">
        <v>151</v>
      </c>
      <c r="L1120" s="83" t="s">
        <v>152</v>
      </c>
      <c r="M1120" s="82" t="s">
        <v>10591</v>
      </c>
      <c r="N1120" s="82" t="s">
        <v>10592</v>
      </c>
      <c r="O1120" s="82" t="s">
        <v>10593</v>
      </c>
      <c r="P1120" s="82" t="s">
        <v>10594</v>
      </c>
      <c r="Q1120" s="82" t="s">
        <v>10595</v>
      </c>
      <c r="R1120" s="82" t="s">
        <v>10596</v>
      </c>
      <c r="S1120" s="82" t="s">
        <v>10597</v>
      </c>
      <c r="T1120" s="138">
        <v>12.0</v>
      </c>
      <c r="U1120" s="406">
        <v>12.0</v>
      </c>
      <c r="V1120" s="106">
        <v>0.0</v>
      </c>
      <c r="W1120" s="107">
        <v>0.0</v>
      </c>
      <c r="X1120" s="107">
        <v>0.0</v>
      </c>
      <c r="Y1120" s="107">
        <v>0.0</v>
      </c>
      <c r="Z1120" s="80">
        <v>0.0</v>
      </c>
      <c r="AA1120" s="140">
        <v>34.0</v>
      </c>
      <c r="AB1120" s="109">
        <v>103.0</v>
      </c>
      <c r="AC1120" s="109">
        <v>0.0</v>
      </c>
      <c r="AD1120" s="141">
        <v>0.0</v>
      </c>
      <c r="AE1120" s="80">
        <v>137.0</v>
      </c>
      <c r="AF1120" s="140">
        <v>277.0</v>
      </c>
      <c r="AG1120" s="109">
        <v>94.0</v>
      </c>
      <c r="AH1120" s="109">
        <v>39.0</v>
      </c>
      <c r="AI1120" s="141">
        <v>0.0</v>
      </c>
      <c r="AJ1120" s="80">
        <v>410.0</v>
      </c>
      <c r="AK1120" s="140">
        <v>0.0</v>
      </c>
      <c r="AL1120" s="109">
        <v>0.0</v>
      </c>
      <c r="AM1120" s="141">
        <v>0.0</v>
      </c>
      <c r="AN1120" s="80">
        <v>0.0</v>
      </c>
      <c r="AO1120" s="140">
        <v>0.0</v>
      </c>
      <c r="AP1120" s="109">
        <v>0.0</v>
      </c>
      <c r="AQ1120" s="109">
        <v>144.0</v>
      </c>
      <c r="AR1120" s="80">
        <v>144.0</v>
      </c>
      <c r="AS1120" s="110">
        <v>66.0</v>
      </c>
      <c r="AT1120" s="110">
        <v>43.0</v>
      </c>
      <c r="AU1120" s="110">
        <v>0.0</v>
      </c>
      <c r="AV1120" s="142">
        <v>0.0</v>
      </c>
      <c r="AW1120" s="80">
        <v>109.0</v>
      </c>
      <c r="AX1120" s="113">
        <v>800.0</v>
      </c>
      <c r="AY1120" s="117">
        <v>617.0</v>
      </c>
      <c r="AZ1120" s="328">
        <v>183.0</v>
      </c>
      <c r="BA1120" s="315">
        <v>0.0</v>
      </c>
      <c r="BB1120" s="316">
        <v>800.0</v>
      </c>
      <c r="BC1120" s="132" t="s">
        <v>373</v>
      </c>
      <c r="BD1120" s="132" t="s">
        <v>178</v>
      </c>
      <c r="BE1120" s="132" t="s">
        <v>178</v>
      </c>
      <c r="BF1120" s="123"/>
      <c r="BG1120" s="83">
        <v>1106211.0</v>
      </c>
      <c r="BH1120" s="112">
        <v>12.0</v>
      </c>
      <c r="BI1120" s="98" t="s">
        <v>155</v>
      </c>
      <c r="BJ1120" s="98" t="str">
        <f t="shared" si="1"/>
        <v>NÃO</v>
      </c>
      <c r="BK1120" s="98" t="str">
        <f t="shared" si="2"/>
        <v>PROFISSIONAL</v>
      </c>
    </row>
    <row r="1121" ht="15.75" customHeight="1">
      <c r="A1121" s="111" t="s">
        <v>1335</v>
      </c>
      <c r="B1121" s="83" t="s">
        <v>2050</v>
      </c>
      <c r="C1121" s="83" t="s">
        <v>68</v>
      </c>
      <c r="D1121" s="83">
        <v>1106718.0</v>
      </c>
      <c r="E1121" s="83"/>
      <c r="F1121" s="83">
        <v>2.9097703E7</v>
      </c>
      <c r="G1121" s="114" t="s">
        <v>5880</v>
      </c>
      <c r="H1121" s="91" t="s">
        <v>5881</v>
      </c>
      <c r="I1121" s="114" t="s">
        <v>5882</v>
      </c>
      <c r="J1121" s="83" t="s">
        <v>1498</v>
      </c>
      <c r="K1121" s="83" t="s">
        <v>151</v>
      </c>
      <c r="L1121" s="83" t="s">
        <v>152</v>
      </c>
      <c r="M1121" s="82" t="s">
        <v>10598</v>
      </c>
      <c r="N1121" s="82" t="s">
        <v>10599</v>
      </c>
      <c r="O1121" s="82" t="s">
        <v>10600</v>
      </c>
      <c r="P1121" s="82" t="s">
        <v>10601</v>
      </c>
      <c r="Q1121" s="82" t="s">
        <v>10602</v>
      </c>
      <c r="R1121" s="82" t="s">
        <v>10603</v>
      </c>
      <c r="S1121" s="82" t="s">
        <v>10604</v>
      </c>
      <c r="T1121" s="138">
        <v>13.0</v>
      </c>
      <c r="U1121" s="406">
        <v>13.0</v>
      </c>
      <c r="V1121" s="106">
        <v>0.0</v>
      </c>
      <c r="W1121" s="107">
        <v>0.0</v>
      </c>
      <c r="X1121" s="107">
        <v>0.0</v>
      </c>
      <c r="Y1121" s="107">
        <v>0.0</v>
      </c>
      <c r="Z1121" s="80">
        <v>0.0</v>
      </c>
      <c r="AA1121" s="140">
        <v>157.0</v>
      </c>
      <c r="AB1121" s="109">
        <v>278.0</v>
      </c>
      <c r="AC1121" s="109">
        <v>0.0</v>
      </c>
      <c r="AD1121" s="141">
        <v>0.0</v>
      </c>
      <c r="AE1121" s="80">
        <v>435.0</v>
      </c>
      <c r="AF1121" s="140">
        <v>313.0</v>
      </c>
      <c r="AG1121" s="109">
        <v>138.0</v>
      </c>
      <c r="AH1121" s="109">
        <v>0.0</v>
      </c>
      <c r="AI1121" s="141">
        <v>0.0</v>
      </c>
      <c r="AJ1121" s="80">
        <v>451.0</v>
      </c>
      <c r="AK1121" s="140">
        <v>0.0</v>
      </c>
      <c r="AL1121" s="109">
        <v>0.0</v>
      </c>
      <c r="AM1121" s="141">
        <v>0.0</v>
      </c>
      <c r="AN1121" s="80">
        <v>0.0</v>
      </c>
      <c r="AO1121" s="140">
        <v>0.0</v>
      </c>
      <c r="AP1121" s="109">
        <v>0.0</v>
      </c>
      <c r="AQ1121" s="109">
        <v>211.0</v>
      </c>
      <c r="AR1121" s="80">
        <v>211.0</v>
      </c>
      <c r="AS1121" s="110">
        <v>0.0</v>
      </c>
      <c r="AT1121" s="110">
        <v>0.0</v>
      </c>
      <c r="AU1121" s="110">
        <v>0.0</v>
      </c>
      <c r="AV1121" s="142">
        <v>0.0</v>
      </c>
      <c r="AW1121" s="80">
        <v>0.0</v>
      </c>
      <c r="AX1121" s="113">
        <v>1097.0</v>
      </c>
      <c r="AY1121" s="117">
        <v>886.0</v>
      </c>
      <c r="AZ1121" s="328">
        <v>211.0</v>
      </c>
      <c r="BA1121" s="315">
        <v>0.0</v>
      </c>
      <c r="BB1121" s="316">
        <v>1097.0</v>
      </c>
      <c r="BC1121" s="132" t="s">
        <v>373</v>
      </c>
      <c r="BD1121" s="132" t="s">
        <v>178</v>
      </c>
      <c r="BE1121" s="132" t="s">
        <v>178</v>
      </c>
      <c r="BF1121" s="123"/>
      <c r="BG1121" s="83">
        <v>1106718.0</v>
      </c>
      <c r="BH1121" s="112">
        <v>13.0</v>
      </c>
      <c r="BI1121" s="98" t="s">
        <v>155</v>
      </c>
      <c r="BJ1121" s="98" t="str">
        <f t="shared" si="1"/>
        <v>NÃO</v>
      </c>
      <c r="BK1121" s="98" t="str">
        <f t="shared" si="2"/>
        <v>NÃO</v>
      </c>
    </row>
    <row r="1122" ht="15.75" customHeight="1">
      <c r="A1122" s="111" t="s">
        <v>1335</v>
      </c>
      <c r="B1122" s="83" t="s">
        <v>2050</v>
      </c>
      <c r="C1122" s="83" t="s">
        <v>68</v>
      </c>
      <c r="D1122" s="83">
        <v>1106394.0</v>
      </c>
      <c r="E1122" s="83"/>
      <c r="F1122" s="83">
        <v>2.9095239E7</v>
      </c>
      <c r="G1122" s="114" t="s">
        <v>5890</v>
      </c>
      <c r="H1122" s="91" t="s">
        <v>5891</v>
      </c>
      <c r="I1122" s="114" t="s">
        <v>5893</v>
      </c>
      <c r="J1122" s="83" t="s">
        <v>2668</v>
      </c>
      <c r="K1122" s="83" t="s">
        <v>151</v>
      </c>
      <c r="L1122" s="83" t="s">
        <v>169</v>
      </c>
      <c r="M1122" s="82" t="s">
        <v>10606</v>
      </c>
      <c r="N1122" s="82" t="s">
        <v>10607</v>
      </c>
      <c r="O1122" s="82" t="s">
        <v>10608</v>
      </c>
      <c r="P1122" s="82" t="s">
        <v>10609</v>
      </c>
      <c r="Q1122" s="82"/>
      <c r="R1122" s="82"/>
      <c r="S1122" s="82" t="s">
        <v>10610</v>
      </c>
      <c r="T1122" s="138">
        <v>8.0</v>
      </c>
      <c r="U1122" s="406">
        <v>8.0</v>
      </c>
      <c r="V1122" s="106">
        <v>0.0</v>
      </c>
      <c r="W1122" s="107">
        <v>0.0</v>
      </c>
      <c r="X1122" s="107">
        <v>0.0</v>
      </c>
      <c r="Y1122" s="107">
        <v>0.0</v>
      </c>
      <c r="Z1122" s="80">
        <v>0.0</v>
      </c>
      <c r="AA1122" s="140">
        <v>86.0</v>
      </c>
      <c r="AB1122" s="109">
        <v>83.0</v>
      </c>
      <c r="AC1122" s="109">
        <v>0.0</v>
      </c>
      <c r="AD1122" s="141">
        <v>0.0</v>
      </c>
      <c r="AE1122" s="80">
        <v>169.0</v>
      </c>
      <c r="AF1122" s="140">
        <v>32.0</v>
      </c>
      <c r="AG1122" s="109">
        <v>34.0</v>
      </c>
      <c r="AH1122" s="109">
        <v>8.0</v>
      </c>
      <c r="AI1122" s="141">
        <v>0.0</v>
      </c>
      <c r="AJ1122" s="80">
        <v>74.0</v>
      </c>
      <c r="AK1122" s="140">
        <v>0.0</v>
      </c>
      <c r="AL1122" s="109">
        <v>0.0</v>
      </c>
      <c r="AM1122" s="141">
        <v>26.0</v>
      </c>
      <c r="AN1122" s="80">
        <v>26.0</v>
      </c>
      <c r="AO1122" s="140">
        <v>0.0</v>
      </c>
      <c r="AP1122" s="109">
        <v>0.0</v>
      </c>
      <c r="AQ1122" s="109">
        <v>40.0</v>
      </c>
      <c r="AR1122" s="80">
        <v>40.0</v>
      </c>
      <c r="AS1122" s="110">
        <v>0.0</v>
      </c>
      <c r="AT1122" s="110">
        <v>5.0</v>
      </c>
      <c r="AU1122" s="110">
        <v>112.0</v>
      </c>
      <c r="AV1122" s="142">
        <v>0.0</v>
      </c>
      <c r="AW1122" s="80">
        <v>117.0</v>
      </c>
      <c r="AX1122" s="113">
        <v>426.0</v>
      </c>
      <c r="AY1122" s="117">
        <v>240.0</v>
      </c>
      <c r="AZ1122" s="328">
        <v>186.0</v>
      </c>
      <c r="BA1122" s="315">
        <v>0.0</v>
      </c>
      <c r="BB1122" s="316">
        <v>426.0</v>
      </c>
      <c r="BC1122" s="132" t="s">
        <v>373</v>
      </c>
      <c r="BD1122" s="132" t="s">
        <v>178</v>
      </c>
      <c r="BE1122" s="132" t="s">
        <v>178</v>
      </c>
      <c r="BF1122" s="123"/>
      <c r="BG1122" s="83">
        <v>1106394.0</v>
      </c>
      <c r="BH1122" s="112">
        <v>8.0</v>
      </c>
      <c r="BI1122" s="98" t="s">
        <v>155</v>
      </c>
      <c r="BJ1122" s="98" t="str">
        <f t="shared" si="1"/>
        <v>NÃO</v>
      </c>
      <c r="BK1122" s="98" t="str">
        <f t="shared" si="2"/>
        <v>PROFISSIONAL</v>
      </c>
    </row>
    <row r="1123" ht="15.75" customHeight="1">
      <c r="A1123" s="111" t="s">
        <v>1335</v>
      </c>
      <c r="B1123" s="83" t="s">
        <v>2050</v>
      </c>
      <c r="C1123" s="83" t="s">
        <v>68</v>
      </c>
      <c r="D1123" s="83">
        <v>1105932.0</v>
      </c>
      <c r="E1123" s="83"/>
      <c r="F1123" s="83">
        <v>2.9096847E7</v>
      </c>
      <c r="G1123" s="114" t="s">
        <v>5896</v>
      </c>
      <c r="H1123" s="91" t="s">
        <v>5897</v>
      </c>
      <c r="I1123" s="114" t="s">
        <v>5893</v>
      </c>
      <c r="J1123" s="83" t="s">
        <v>5898</v>
      </c>
      <c r="K1123" s="83" t="s">
        <v>151</v>
      </c>
      <c r="L1123" s="83" t="s">
        <v>169</v>
      </c>
      <c r="M1123" s="82" t="s">
        <v>10611</v>
      </c>
      <c r="N1123" s="82" t="s">
        <v>10612</v>
      </c>
      <c r="O1123" s="82" t="s">
        <v>10613</v>
      </c>
      <c r="P1123" s="82" t="s">
        <v>10614</v>
      </c>
      <c r="Q1123" s="82"/>
      <c r="R1123" s="82"/>
      <c r="S1123" s="82" t="s">
        <v>10615</v>
      </c>
      <c r="T1123" s="138">
        <v>6.0</v>
      </c>
      <c r="U1123" s="406">
        <v>6.0</v>
      </c>
      <c r="V1123" s="106">
        <v>0.0</v>
      </c>
      <c r="W1123" s="107">
        <v>0.0</v>
      </c>
      <c r="X1123" s="107">
        <v>0.0</v>
      </c>
      <c r="Y1123" s="107">
        <v>0.0</v>
      </c>
      <c r="Z1123" s="80">
        <v>0.0</v>
      </c>
      <c r="AA1123" s="140">
        <v>85.0</v>
      </c>
      <c r="AB1123" s="109">
        <v>38.0</v>
      </c>
      <c r="AC1123" s="109">
        <v>0.0</v>
      </c>
      <c r="AD1123" s="141">
        <v>0.0</v>
      </c>
      <c r="AE1123" s="80">
        <v>123.0</v>
      </c>
      <c r="AF1123" s="140">
        <v>0.0</v>
      </c>
      <c r="AG1123" s="109">
        <v>79.0</v>
      </c>
      <c r="AH1123" s="109">
        <v>0.0</v>
      </c>
      <c r="AI1123" s="141">
        <v>0.0</v>
      </c>
      <c r="AJ1123" s="80">
        <v>79.0</v>
      </c>
      <c r="AK1123" s="140">
        <v>0.0</v>
      </c>
      <c r="AL1123" s="109">
        <v>0.0</v>
      </c>
      <c r="AM1123" s="141">
        <v>0.0</v>
      </c>
      <c r="AN1123" s="80">
        <v>0.0</v>
      </c>
      <c r="AO1123" s="140">
        <v>0.0</v>
      </c>
      <c r="AP1123" s="109">
        <v>0.0</v>
      </c>
      <c r="AQ1123" s="109">
        <v>0.0</v>
      </c>
      <c r="AR1123" s="80">
        <v>0.0</v>
      </c>
      <c r="AS1123" s="110">
        <v>0.0</v>
      </c>
      <c r="AT1123" s="110">
        <v>0.0</v>
      </c>
      <c r="AU1123" s="110">
        <v>0.0</v>
      </c>
      <c r="AV1123" s="142">
        <v>0.0</v>
      </c>
      <c r="AW1123" s="80">
        <v>0.0</v>
      </c>
      <c r="AX1123" s="113">
        <v>202.0</v>
      </c>
      <c r="AY1123" s="117">
        <v>202.0</v>
      </c>
      <c r="AZ1123" s="328">
        <v>0.0</v>
      </c>
      <c r="BA1123" s="315">
        <v>0.0</v>
      </c>
      <c r="BB1123" s="316">
        <v>202.0</v>
      </c>
      <c r="BC1123" s="132" t="s">
        <v>373</v>
      </c>
      <c r="BD1123" s="132" t="s">
        <v>178</v>
      </c>
      <c r="BE1123" s="132" t="s">
        <v>178</v>
      </c>
      <c r="BF1123" s="123"/>
      <c r="BG1123" s="83">
        <v>1105932.0</v>
      </c>
      <c r="BH1123" s="98">
        <v>6.0</v>
      </c>
      <c r="BI1123" s="98" t="s">
        <v>155</v>
      </c>
      <c r="BJ1123" s="98" t="str">
        <f t="shared" si="1"/>
        <v>NÃO</v>
      </c>
      <c r="BK1123" s="98" t="str">
        <f t="shared" si="2"/>
        <v>NÃO</v>
      </c>
    </row>
    <row r="1124" ht="15.75" customHeight="1">
      <c r="A1124" s="111" t="s">
        <v>1335</v>
      </c>
      <c r="B1124" s="83" t="s">
        <v>2050</v>
      </c>
      <c r="C1124" s="83" t="s">
        <v>68</v>
      </c>
      <c r="D1124" s="83">
        <v>1178137.0</v>
      </c>
      <c r="E1124" s="83"/>
      <c r="F1124" s="83">
        <v>2.9441633E7</v>
      </c>
      <c r="G1124" s="114" t="s">
        <v>5903</v>
      </c>
      <c r="H1124" s="91" t="s">
        <v>5904</v>
      </c>
      <c r="I1124" s="241" t="s">
        <v>149</v>
      </c>
      <c r="J1124" s="83" t="s">
        <v>2668</v>
      </c>
      <c r="K1124" s="83" t="s">
        <v>1078</v>
      </c>
      <c r="L1124" s="83" t="s">
        <v>169</v>
      </c>
      <c r="M1124" s="82" t="s">
        <v>10616</v>
      </c>
      <c r="N1124" s="82" t="s">
        <v>10617</v>
      </c>
      <c r="O1124" s="82" t="s">
        <v>10618</v>
      </c>
      <c r="P1124" s="82" t="s">
        <v>10619</v>
      </c>
      <c r="Q1124" s="82"/>
      <c r="R1124" s="82"/>
      <c r="S1124" s="82" t="s">
        <v>10620</v>
      </c>
      <c r="T1124" s="138">
        <v>3.0</v>
      </c>
      <c r="U1124" s="406">
        <v>3.0</v>
      </c>
      <c r="V1124" s="106">
        <v>0.0</v>
      </c>
      <c r="W1124" s="107">
        <v>0.0</v>
      </c>
      <c r="X1124" s="107">
        <v>0.0</v>
      </c>
      <c r="Y1124" s="107">
        <v>0.0</v>
      </c>
      <c r="Z1124" s="80">
        <v>0.0</v>
      </c>
      <c r="AA1124" s="140">
        <v>0.0</v>
      </c>
      <c r="AB1124" s="109">
        <v>0.0</v>
      </c>
      <c r="AC1124" s="109">
        <v>0.0</v>
      </c>
      <c r="AD1124" s="141">
        <v>0.0</v>
      </c>
      <c r="AE1124" s="80">
        <v>0.0</v>
      </c>
      <c r="AF1124" s="140">
        <v>78.0</v>
      </c>
      <c r="AG1124" s="109">
        <v>36.0</v>
      </c>
      <c r="AH1124" s="109">
        <v>0.0</v>
      </c>
      <c r="AI1124" s="141">
        <v>0.0</v>
      </c>
      <c r="AJ1124" s="80">
        <v>114.0</v>
      </c>
      <c r="AK1124" s="140">
        <v>0.0</v>
      </c>
      <c r="AL1124" s="109">
        <v>0.0</v>
      </c>
      <c r="AM1124" s="141">
        <v>0.0</v>
      </c>
      <c r="AN1124" s="80">
        <v>0.0</v>
      </c>
      <c r="AO1124" s="140">
        <v>0.0</v>
      </c>
      <c r="AP1124" s="109">
        <v>0.0</v>
      </c>
      <c r="AQ1124" s="109">
        <v>39.0</v>
      </c>
      <c r="AR1124" s="80">
        <v>39.0</v>
      </c>
      <c r="AS1124" s="110">
        <v>0.0</v>
      </c>
      <c r="AT1124" s="110">
        <v>0.0</v>
      </c>
      <c r="AU1124" s="110">
        <v>0.0</v>
      </c>
      <c r="AV1124" s="142">
        <v>0.0</v>
      </c>
      <c r="AW1124" s="80">
        <v>0.0</v>
      </c>
      <c r="AX1124" s="113">
        <v>153.0</v>
      </c>
      <c r="AY1124" s="117">
        <v>114.0</v>
      </c>
      <c r="AZ1124" s="328">
        <v>39.0</v>
      </c>
      <c r="BA1124" s="315">
        <v>0.0</v>
      </c>
      <c r="BB1124" s="316">
        <v>153.0</v>
      </c>
      <c r="BC1124" s="132" t="s">
        <v>373</v>
      </c>
      <c r="BD1124" s="132" t="s">
        <v>178</v>
      </c>
      <c r="BE1124" s="132" t="s">
        <v>178</v>
      </c>
      <c r="BF1124" s="123"/>
      <c r="BG1124" s="83">
        <v>1178137.0</v>
      </c>
      <c r="BH1124" s="112">
        <v>3.0</v>
      </c>
      <c r="BI1124" s="98" t="s">
        <v>155</v>
      </c>
      <c r="BJ1124" s="98" t="str">
        <f t="shared" si="1"/>
        <v>NÃO</v>
      </c>
      <c r="BK1124" s="98" t="str">
        <f t="shared" si="2"/>
        <v>NÃO</v>
      </c>
    </row>
    <row r="1125" ht="15.75" customHeight="1">
      <c r="A1125" s="111" t="s">
        <v>1335</v>
      </c>
      <c r="B1125" s="83" t="s">
        <v>2050</v>
      </c>
      <c r="C1125" s="83" t="s">
        <v>68</v>
      </c>
      <c r="D1125" s="83">
        <v>1105916.0</v>
      </c>
      <c r="E1125" s="83"/>
      <c r="F1125" s="83">
        <v>2.9093511E7</v>
      </c>
      <c r="G1125" s="119" t="s">
        <v>5940</v>
      </c>
      <c r="H1125" s="91" t="s">
        <v>5941</v>
      </c>
      <c r="I1125" s="114" t="s">
        <v>149</v>
      </c>
      <c r="J1125" s="83" t="s">
        <v>150</v>
      </c>
      <c r="K1125" s="83" t="s">
        <v>151</v>
      </c>
      <c r="L1125" s="83" t="s">
        <v>230</v>
      </c>
      <c r="M1125" s="82" t="s">
        <v>10621</v>
      </c>
      <c r="N1125" s="82" t="s">
        <v>10622</v>
      </c>
      <c r="O1125" s="82" t="s">
        <v>10623</v>
      </c>
      <c r="P1125" s="82" t="s">
        <v>10624</v>
      </c>
      <c r="Q1125" s="82"/>
      <c r="R1125" s="82"/>
      <c r="S1125" s="82" t="s">
        <v>10625</v>
      </c>
      <c r="T1125" s="138">
        <v>20.0</v>
      </c>
      <c r="U1125" s="406">
        <v>20.0</v>
      </c>
      <c r="V1125" s="106">
        <v>0.0</v>
      </c>
      <c r="W1125" s="107">
        <v>0.0</v>
      </c>
      <c r="X1125" s="107">
        <v>0.0</v>
      </c>
      <c r="Y1125" s="107">
        <v>0.0</v>
      </c>
      <c r="Z1125" s="80">
        <v>0.0</v>
      </c>
      <c r="AA1125" s="140">
        <v>318.0</v>
      </c>
      <c r="AB1125" s="109">
        <v>618.0</v>
      </c>
      <c r="AC1125" s="109">
        <v>0.0</v>
      </c>
      <c r="AD1125" s="141">
        <v>244.0</v>
      </c>
      <c r="AE1125" s="80">
        <v>1180.0</v>
      </c>
      <c r="AF1125" s="140">
        <v>298.0</v>
      </c>
      <c r="AG1125" s="109">
        <v>0.0</v>
      </c>
      <c r="AH1125" s="109">
        <v>42.0</v>
      </c>
      <c r="AI1125" s="141">
        <v>187.0</v>
      </c>
      <c r="AJ1125" s="80">
        <v>527.0</v>
      </c>
      <c r="AK1125" s="140">
        <v>0.0</v>
      </c>
      <c r="AL1125" s="109">
        <v>0.0</v>
      </c>
      <c r="AM1125" s="141">
        <v>0.0</v>
      </c>
      <c r="AN1125" s="80">
        <v>0.0</v>
      </c>
      <c r="AO1125" s="140">
        <v>0.0</v>
      </c>
      <c r="AP1125" s="109">
        <v>0.0</v>
      </c>
      <c r="AQ1125" s="109">
        <v>195.0</v>
      </c>
      <c r="AR1125" s="80">
        <v>195.0</v>
      </c>
      <c r="AS1125" s="110">
        <v>0.0</v>
      </c>
      <c r="AT1125" s="110">
        <v>0.0</v>
      </c>
      <c r="AU1125" s="110">
        <v>0.0</v>
      </c>
      <c r="AV1125" s="142">
        <v>0.0</v>
      </c>
      <c r="AW1125" s="80">
        <v>0.0</v>
      </c>
      <c r="AX1125" s="113">
        <v>1902.0</v>
      </c>
      <c r="AY1125" s="117">
        <v>1665.0</v>
      </c>
      <c r="AZ1125" s="328">
        <v>237.0</v>
      </c>
      <c r="BA1125" s="315">
        <v>0.0</v>
      </c>
      <c r="BB1125" s="316">
        <v>1902.0</v>
      </c>
      <c r="BC1125" s="132" t="s">
        <v>178</v>
      </c>
      <c r="BD1125" s="132" t="s">
        <v>178</v>
      </c>
      <c r="BE1125" s="132" t="s">
        <v>178</v>
      </c>
      <c r="BF1125" s="123"/>
      <c r="BG1125" s="83">
        <v>1105916.0</v>
      </c>
      <c r="BH1125" s="98">
        <v>20.0</v>
      </c>
      <c r="BI1125" s="98" t="s">
        <v>155</v>
      </c>
      <c r="BJ1125" s="98" t="str">
        <f t="shared" si="1"/>
        <v>INTEGRAL</v>
      </c>
      <c r="BK1125" s="98" t="str">
        <f t="shared" si="2"/>
        <v>NÃO</v>
      </c>
    </row>
    <row r="1126" ht="15.75" customHeight="1">
      <c r="A1126" s="111" t="s">
        <v>1335</v>
      </c>
      <c r="B1126" s="83" t="s">
        <v>2050</v>
      </c>
      <c r="C1126" s="83" t="s">
        <v>68</v>
      </c>
      <c r="D1126" s="83">
        <v>1106386.0</v>
      </c>
      <c r="E1126" s="83"/>
      <c r="F1126" s="83">
        <v>2.90941E7</v>
      </c>
      <c r="G1126" s="119" t="s">
        <v>5945</v>
      </c>
      <c r="H1126" s="91" t="s">
        <v>5947</v>
      </c>
      <c r="I1126" s="114" t="s">
        <v>5948</v>
      </c>
      <c r="J1126" s="83" t="s">
        <v>150</v>
      </c>
      <c r="K1126" s="83" t="s">
        <v>151</v>
      </c>
      <c r="L1126" s="83" t="s">
        <v>230</v>
      </c>
      <c r="M1126" s="82" t="s">
        <v>10626</v>
      </c>
      <c r="N1126" s="82" t="s">
        <v>10627</v>
      </c>
      <c r="O1126" s="82" t="s">
        <v>10628</v>
      </c>
      <c r="P1126" s="82" t="s">
        <v>10629</v>
      </c>
      <c r="Q1126" s="82" t="s">
        <v>10630</v>
      </c>
      <c r="R1126" s="82" t="s">
        <v>10631</v>
      </c>
      <c r="S1126" s="82" t="s">
        <v>10632</v>
      </c>
      <c r="T1126" s="138">
        <v>17.0</v>
      </c>
      <c r="U1126" s="406">
        <v>24.0</v>
      </c>
      <c r="V1126" s="106">
        <v>0.0</v>
      </c>
      <c r="W1126" s="107">
        <v>0.0</v>
      </c>
      <c r="X1126" s="107">
        <v>0.0</v>
      </c>
      <c r="Y1126" s="107">
        <v>0.0</v>
      </c>
      <c r="Z1126" s="80">
        <v>0.0</v>
      </c>
      <c r="AA1126" s="140">
        <v>359.0</v>
      </c>
      <c r="AB1126" s="109">
        <v>168.0</v>
      </c>
      <c r="AC1126" s="109">
        <v>0.0</v>
      </c>
      <c r="AD1126" s="141">
        <v>138.0</v>
      </c>
      <c r="AE1126" s="80">
        <v>665.0</v>
      </c>
      <c r="AF1126" s="140">
        <v>0.0</v>
      </c>
      <c r="AG1126" s="109">
        <v>29.0</v>
      </c>
      <c r="AH1126" s="109">
        <v>37.0</v>
      </c>
      <c r="AI1126" s="141">
        <v>122.0</v>
      </c>
      <c r="AJ1126" s="80">
        <v>188.0</v>
      </c>
      <c r="AK1126" s="140">
        <v>0.0</v>
      </c>
      <c r="AL1126" s="109">
        <v>0.0</v>
      </c>
      <c r="AM1126" s="141">
        <v>106.0</v>
      </c>
      <c r="AN1126" s="80">
        <v>106.0</v>
      </c>
      <c r="AO1126" s="140">
        <v>0.0</v>
      </c>
      <c r="AP1126" s="109">
        <v>0.0</v>
      </c>
      <c r="AQ1126" s="109">
        <v>144.0</v>
      </c>
      <c r="AR1126" s="80">
        <v>144.0</v>
      </c>
      <c r="AS1126" s="110">
        <v>78.0</v>
      </c>
      <c r="AT1126" s="110">
        <v>52.0</v>
      </c>
      <c r="AU1126" s="110">
        <v>153.0</v>
      </c>
      <c r="AV1126" s="142">
        <v>0.0</v>
      </c>
      <c r="AW1126" s="80">
        <v>283.0</v>
      </c>
      <c r="AX1126" s="113">
        <v>1386.0</v>
      </c>
      <c r="AY1126" s="117">
        <v>946.0</v>
      </c>
      <c r="AZ1126" s="328">
        <v>440.0</v>
      </c>
      <c r="BA1126" s="315">
        <v>0.0</v>
      </c>
      <c r="BB1126" s="316">
        <v>1386.0</v>
      </c>
      <c r="BC1126" s="132" t="s">
        <v>178</v>
      </c>
      <c r="BD1126" s="132" t="s">
        <v>178</v>
      </c>
      <c r="BE1126" s="132" t="s">
        <v>178</v>
      </c>
      <c r="BF1126" s="123"/>
      <c r="BG1126" s="83">
        <v>1106386.0</v>
      </c>
      <c r="BH1126" s="98">
        <v>24.0</v>
      </c>
      <c r="BI1126" s="98" t="s">
        <v>162</v>
      </c>
      <c r="BJ1126" s="98" t="str">
        <f t="shared" si="1"/>
        <v>INTEGRAL</v>
      </c>
      <c r="BK1126" s="98" t="str">
        <f t="shared" si="2"/>
        <v>PROFISSIONAL</v>
      </c>
    </row>
    <row r="1127" ht="15.75" customHeight="1">
      <c r="A1127" s="111" t="s">
        <v>1335</v>
      </c>
      <c r="B1127" s="83" t="s">
        <v>2050</v>
      </c>
      <c r="C1127" s="83" t="s">
        <v>68</v>
      </c>
      <c r="D1127" s="83">
        <v>1106645.0</v>
      </c>
      <c r="E1127" s="83"/>
      <c r="F1127" s="83">
        <v>2.9095166E7</v>
      </c>
      <c r="G1127" s="240" t="s">
        <v>5953</v>
      </c>
      <c r="H1127" s="91" t="s">
        <v>5954</v>
      </c>
      <c r="I1127" s="114" t="s">
        <v>5766</v>
      </c>
      <c r="J1127" s="83" t="s">
        <v>150</v>
      </c>
      <c r="K1127" s="83" t="s">
        <v>151</v>
      </c>
      <c r="L1127" s="83" t="s">
        <v>230</v>
      </c>
      <c r="M1127" s="82" t="s">
        <v>10633</v>
      </c>
      <c r="N1127" s="82" t="s">
        <v>10634</v>
      </c>
      <c r="O1127" s="82" t="s">
        <v>10635</v>
      </c>
      <c r="P1127" s="82" t="s">
        <v>10636</v>
      </c>
      <c r="Q1127" s="82" t="s">
        <v>10637</v>
      </c>
      <c r="R1127" s="82" t="s">
        <v>10638</v>
      </c>
      <c r="S1127" s="82" t="s">
        <v>10639</v>
      </c>
      <c r="T1127" s="138">
        <v>19.0</v>
      </c>
      <c r="U1127" s="406">
        <v>19.0</v>
      </c>
      <c r="V1127" s="106">
        <v>0.0</v>
      </c>
      <c r="W1127" s="107">
        <v>0.0</v>
      </c>
      <c r="X1127" s="107">
        <v>0.0</v>
      </c>
      <c r="Y1127" s="107">
        <v>0.0</v>
      </c>
      <c r="Z1127" s="80">
        <v>0.0</v>
      </c>
      <c r="AA1127" s="140">
        <v>395.0</v>
      </c>
      <c r="AB1127" s="109">
        <v>480.0</v>
      </c>
      <c r="AC1127" s="109">
        <v>0.0</v>
      </c>
      <c r="AD1127" s="141">
        <v>119.0</v>
      </c>
      <c r="AE1127" s="80">
        <v>994.0</v>
      </c>
      <c r="AF1127" s="140">
        <v>265.0</v>
      </c>
      <c r="AG1127" s="109">
        <v>146.0</v>
      </c>
      <c r="AH1127" s="109">
        <v>0.0</v>
      </c>
      <c r="AI1127" s="141">
        <v>101.0</v>
      </c>
      <c r="AJ1127" s="80">
        <v>512.0</v>
      </c>
      <c r="AK1127" s="140">
        <v>0.0</v>
      </c>
      <c r="AL1127" s="109">
        <v>0.0</v>
      </c>
      <c r="AM1127" s="141">
        <v>102.0</v>
      </c>
      <c r="AN1127" s="80">
        <v>102.0</v>
      </c>
      <c r="AO1127" s="140">
        <v>0.0</v>
      </c>
      <c r="AP1127" s="109">
        <v>0.0</v>
      </c>
      <c r="AQ1127" s="109">
        <v>180.0</v>
      </c>
      <c r="AR1127" s="80">
        <v>180.0</v>
      </c>
      <c r="AS1127" s="110">
        <v>0.0</v>
      </c>
      <c r="AT1127" s="110">
        <v>0.0</v>
      </c>
      <c r="AU1127" s="110">
        <v>0.0</v>
      </c>
      <c r="AV1127" s="142">
        <v>0.0</v>
      </c>
      <c r="AW1127" s="80">
        <v>0.0</v>
      </c>
      <c r="AX1127" s="113">
        <v>1788.0</v>
      </c>
      <c r="AY1127" s="117">
        <v>1506.0</v>
      </c>
      <c r="AZ1127" s="328">
        <v>282.0</v>
      </c>
      <c r="BA1127" s="315">
        <v>0.0</v>
      </c>
      <c r="BB1127" s="316">
        <v>1788.0</v>
      </c>
      <c r="BC1127" s="132" t="s">
        <v>178</v>
      </c>
      <c r="BD1127" s="132" t="s">
        <v>178</v>
      </c>
      <c r="BE1127" s="132" t="s">
        <v>178</v>
      </c>
      <c r="BF1127" s="123"/>
      <c r="BG1127" s="83">
        <v>1106645.0</v>
      </c>
      <c r="BH1127" s="98">
        <v>19.0</v>
      </c>
      <c r="BI1127" s="98" t="s">
        <v>155</v>
      </c>
      <c r="BJ1127" s="98" t="str">
        <f t="shared" si="1"/>
        <v>INTEGRAL</v>
      </c>
      <c r="BK1127" s="98" t="str">
        <f t="shared" si="2"/>
        <v>NÃO</v>
      </c>
    </row>
    <row r="1128" ht="15.75" customHeight="1">
      <c r="A1128" s="111" t="s">
        <v>1335</v>
      </c>
      <c r="B1128" s="83" t="s">
        <v>2050</v>
      </c>
      <c r="C1128" s="83" t="s">
        <v>68</v>
      </c>
      <c r="D1128" s="83">
        <v>1176449.0</v>
      </c>
      <c r="E1128" s="83"/>
      <c r="F1128" s="83">
        <v>2.9387019E7</v>
      </c>
      <c r="G1128" s="114" t="s">
        <v>2249</v>
      </c>
      <c r="H1128" s="91" t="s">
        <v>10640</v>
      </c>
      <c r="I1128" s="114" t="s">
        <v>3366</v>
      </c>
      <c r="J1128" s="83" t="s">
        <v>150</v>
      </c>
      <c r="K1128" s="83" t="s">
        <v>151</v>
      </c>
      <c r="L1128" s="83" t="s">
        <v>152</v>
      </c>
      <c r="M1128" s="82" t="s">
        <v>10641</v>
      </c>
      <c r="N1128" s="82" t="s">
        <v>10642</v>
      </c>
      <c r="O1128" s="82" t="s">
        <v>10643</v>
      </c>
      <c r="P1128" s="82" t="s">
        <v>10644</v>
      </c>
      <c r="Q1128" s="82"/>
      <c r="R1128" s="82"/>
      <c r="S1128" s="82" t="s">
        <v>10645</v>
      </c>
      <c r="T1128" s="138">
        <v>15.0</v>
      </c>
      <c r="U1128" s="406">
        <v>15.0</v>
      </c>
      <c r="V1128" s="106">
        <v>0.0</v>
      </c>
      <c r="W1128" s="107">
        <v>0.0</v>
      </c>
      <c r="X1128" s="107">
        <v>0.0</v>
      </c>
      <c r="Y1128" s="107">
        <v>0.0</v>
      </c>
      <c r="Z1128" s="80">
        <v>0.0</v>
      </c>
      <c r="AA1128" s="140">
        <v>292.0</v>
      </c>
      <c r="AB1128" s="109">
        <v>86.0</v>
      </c>
      <c r="AC1128" s="109">
        <v>0.0</v>
      </c>
      <c r="AD1128" s="141">
        <v>0.0</v>
      </c>
      <c r="AE1128" s="80">
        <v>378.0</v>
      </c>
      <c r="AF1128" s="140">
        <v>317.0</v>
      </c>
      <c r="AG1128" s="109">
        <v>221.0</v>
      </c>
      <c r="AH1128" s="109">
        <v>0.0</v>
      </c>
      <c r="AI1128" s="141">
        <v>0.0</v>
      </c>
      <c r="AJ1128" s="80">
        <v>538.0</v>
      </c>
      <c r="AK1128" s="140">
        <v>0.0</v>
      </c>
      <c r="AL1128" s="109">
        <v>0.0</v>
      </c>
      <c r="AM1128" s="141">
        <v>0.0</v>
      </c>
      <c r="AN1128" s="80">
        <v>0.0</v>
      </c>
      <c r="AO1128" s="140">
        <v>0.0</v>
      </c>
      <c r="AP1128" s="109">
        <v>0.0</v>
      </c>
      <c r="AQ1128" s="109">
        <v>0.0</v>
      </c>
      <c r="AR1128" s="80">
        <v>0.0</v>
      </c>
      <c r="AS1128" s="110">
        <v>0.0</v>
      </c>
      <c r="AT1128" s="110">
        <v>0.0</v>
      </c>
      <c r="AU1128" s="110">
        <v>0.0</v>
      </c>
      <c r="AV1128" s="142">
        <v>0.0</v>
      </c>
      <c r="AW1128" s="80">
        <v>0.0</v>
      </c>
      <c r="AX1128" s="113">
        <v>916.0</v>
      </c>
      <c r="AY1128" s="117">
        <v>916.0</v>
      </c>
      <c r="AZ1128" s="328">
        <v>0.0</v>
      </c>
      <c r="BA1128" s="315">
        <v>0.0</v>
      </c>
      <c r="BB1128" s="316">
        <v>916.0</v>
      </c>
      <c r="BC1128" s="132" t="s">
        <v>178</v>
      </c>
      <c r="BD1128" s="132" t="s">
        <v>178</v>
      </c>
      <c r="BE1128" s="132" t="s">
        <v>178</v>
      </c>
      <c r="BF1128" s="123"/>
      <c r="BG1128" s="83">
        <v>1176449.0</v>
      </c>
      <c r="BH1128" s="98">
        <v>15.0</v>
      </c>
      <c r="BI1128" s="98" t="s">
        <v>155</v>
      </c>
      <c r="BJ1128" s="98" t="str">
        <f t="shared" si="1"/>
        <v>NÃO</v>
      </c>
      <c r="BK1128" s="98" t="str">
        <f t="shared" si="2"/>
        <v>NÃO</v>
      </c>
    </row>
    <row r="1129" ht="15.75" customHeight="1">
      <c r="A1129" s="111" t="s">
        <v>1335</v>
      </c>
      <c r="B1129" s="83" t="s">
        <v>2050</v>
      </c>
      <c r="C1129" s="83" t="s">
        <v>68</v>
      </c>
      <c r="D1129" s="83">
        <v>1105878.0</v>
      </c>
      <c r="E1129" s="83"/>
      <c r="F1129" s="83">
        <v>2.9093317E7</v>
      </c>
      <c r="G1129" s="219" t="s">
        <v>5969</v>
      </c>
      <c r="H1129" s="91" t="s">
        <v>5970</v>
      </c>
      <c r="I1129" s="114" t="s">
        <v>5917</v>
      </c>
      <c r="J1129" s="83" t="s">
        <v>150</v>
      </c>
      <c r="K1129" s="83" t="s">
        <v>151</v>
      </c>
      <c r="L1129" s="83" t="s">
        <v>152</v>
      </c>
      <c r="M1129" s="82" t="s">
        <v>10646</v>
      </c>
      <c r="N1129" s="82" t="s">
        <v>171</v>
      </c>
      <c r="O1129" s="82" t="s">
        <v>10647</v>
      </c>
      <c r="P1129" s="82" t="s">
        <v>10648</v>
      </c>
      <c r="Q1129" s="82" t="s">
        <v>10649</v>
      </c>
      <c r="R1129" s="82" t="s">
        <v>10650</v>
      </c>
      <c r="S1129" s="82" t="s">
        <v>10651</v>
      </c>
      <c r="T1129" s="138">
        <v>14.0</v>
      </c>
      <c r="U1129" s="406">
        <v>14.0</v>
      </c>
      <c r="V1129" s="106">
        <v>0.0</v>
      </c>
      <c r="W1129" s="107">
        <v>0.0</v>
      </c>
      <c r="X1129" s="107">
        <v>0.0</v>
      </c>
      <c r="Y1129" s="107">
        <v>0.0</v>
      </c>
      <c r="Z1129" s="80">
        <v>0.0</v>
      </c>
      <c r="AA1129" s="140">
        <v>49.0</v>
      </c>
      <c r="AB1129" s="109">
        <v>433.0</v>
      </c>
      <c r="AC1129" s="109">
        <v>0.0</v>
      </c>
      <c r="AD1129" s="141">
        <v>0.0</v>
      </c>
      <c r="AE1129" s="80">
        <v>482.0</v>
      </c>
      <c r="AF1129" s="140">
        <v>346.0</v>
      </c>
      <c r="AG1129" s="109">
        <v>0.0</v>
      </c>
      <c r="AH1129" s="109">
        <v>103.0</v>
      </c>
      <c r="AI1129" s="141">
        <v>0.0</v>
      </c>
      <c r="AJ1129" s="80">
        <v>449.0</v>
      </c>
      <c r="AK1129" s="140">
        <v>0.0</v>
      </c>
      <c r="AL1129" s="109">
        <v>0.0</v>
      </c>
      <c r="AM1129" s="141">
        <v>0.0</v>
      </c>
      <c r="AN1129" s="80">
        <v>0.0</v>
      </c>
      <c r="AO1129" s="140">
        <v>0.0</v>
      </c>
      <c r="AP1129" s="109">
        <v>0.0</v>
      </c>
      <c r="AQ1129" s="109">
        <v>100.0</v>
      </c>
      <c r="AR1129" s="80">
        <v>100.0</v>
      </c>
      <c r="AS1129" s="110">
        <v>0.0</v>
      </c>
      <c r="AT1129" s="110">
        <v>0.0</v>
      </c>
      <c r="AU1129" s="110">
        <v>0.0</v>
      </c>
      <c r="AV1129" s="142">
        <v>0.0</v>
      </c>
      <c r="AW1129" s="80">
        <v>0.0</v>
      </c>
      <c r="AX1129" s="113">
        <v>1031.0</v>
      </c>
      <c r="AY1129" s="117">
        <v>828.0</v>
      </c>
      <c r="AZ1129" s="328">
        <v>203.0</v>
      </c>
      <c r="BA1129" s="315">
        <v>0.0</v>
      </c>
      <c r="BB1129" s="316">
        <v>1031.0</v>
      </c>
      <c r="BC1129" s="143" t="s">
        <v>1014</v>
      </c>
      <c r="BD1129" s="132" t="s">
        <v>178</v>
      </c>
      <c r="BE1129" s="132" t="s">
        <v>178</v>
      </c>
      <c r="BF1129" s="123"/>
      <c r="BG1129" s="83">
        <v>1105878.0</v>
      </c>
      <c r="BH1129" s="112">
        <v>14.0</v>
      </c>
      <c r="BI1129" s="98" t="s">
        <v>155</v>
      </c>
      <c r="BJ1129" s="98" t="str">
        <f t="shared" si="1"/>
        <v>NÃO</v>
      </c>
      <c r="BK1129" s="98" t="str">
        <f t="shared" si="2"/>
        <v>NÃO</v>
      </c>
    </row>
    <row r="1130" ht="15.75" customHeight="1">
      <c r="A1130" s="111" t="s">
        <v>1335</v>
      </c>
      <c r="B1130" s="83" t="s">
        <v>2050</v>
      </c>
      <c r="C1130" s="83" t="s">
        <v>68</v>
      </c>
      <c r="D1130" s="83">
        <v>1163894.0</v>
      </c>
      <c r="E1130" s="83"/>
      <c r="F1130" s="83">
        <v>2.9097509E7</v>
      </c>
      <c r="G1130" s="114" t="s">
        <v>5972</v>
      </c>
      <c r="H1130" s="91" t="s">
        <v>5973</v>
      </c>
      <c r="I1130" s="114" t="s">
        <v>149</v>
      </c>
      <c r="J1130" s="83" t="s">
        <v>1173</v>
      </c>
      <c r="K1130" s="83" t="s">
        <v>151</v>
      </c>
      <c r="L1130" s="83" t="s">
        <v>230</v>
      </c>
      <c r="M1130" s="82" t="s">
        <v>10652</v>
      </c>
      <c r="N1130" s="82" t="s">
        <v>10653</v>
      </c>
      <c r="O1130" s="82" t="s">
        <v>10654</v>
      </c>
      <c r="P1130" s="82" t="s">
        <v>10655</v>
      </c>
      <c r="Q1130" s="82" t="s">
        <v>10656</v>
      </c>
      <c r="R1130" s="82" t="s">
        <v>10657</v>
      </c>
      <c r="S1130" s="82" t="s">
        <v>10658</v>
      </c>
      <c r="T1130" s="138">
        <v>15.0</v>
      </c>
      <c r="U1130" s="406">
        <v>15.0</v>
      </c>
      <c r="V1130" s="106">
        <v>0.0</v>
      </c>
      <c r="W1130" s="107">
        <v>0.0</v>
      </c>
      <c r="X1130" s="107">
        <v>0.0</v>
      </c>
      <c r="Y1130" s="107">
        <v>0.0</v>
      </c>
      <c r="Z1130" s="80">
        <v>0.0</v>
      </c>
      <c r="AA1130" s="140">
        <v>0.0</v>
      </c>
      <c r="AB1130" s="109">
        <v>0.0</v>
      </c>
      <c r="AC1130" s="109">
        <v>0.0</v>
      </c>
      <c r="AD1130" s="141">
        <v>0.0</v>
      </c>
      <c r="AE1130" s="80">
        <v>0.0</v>
      </c>
      <c r="AF1130" s="140">
        <v>0.0</v>
      </c>
      <c r="AG1130" s="109">
        <v>0.0</v>
      </c>
      <c r="AH1130" s="109">
        <v>0.0</v>
      </c>
      <c r="AI1130" s="141">
        <v>0.0</v>
      </c>
      <c r="AJ1130" s="80">
        <v>0.0</v>
      </c>
      <c r="AK1130" s="140">
        <v>0.0</v>
      </c>
      <c r="AL1130" s="109">
        <v>0.0</v>
      </c>
      <c r="AM1130" s="141">
        <v>0.0</v>
      </c>
      <c r="AN1130" s="80">
        <v>0.0</v>
      </c>
      <c r="AO1130" s="140">
        <v>0.0</v>
      </c>
      <c r="AP1130" s="109">
        <v>0.0</v>
      </c>
      <c r="AQ1130" s="109">
        <v>0.0</v>
      </c>
      <c r="AR1130" s="80">
        <v>0.0</v>
      </c>
      <c r="AS1130" s="110">
        <v>278.0</v>
      </c>
      <c r="AT1130" s="110">
        <v>201.0</v>
      </c>
      <c r="AU1130" s="110">
        <v>0.0</v>
      </c>
      <c r="AV1130" s="142">
        <v>0.0</v>
      </c>
      <c r="AW1130" s="80">
        <v>479.0</v>
      </c>
      <c r="AX1130" s="113">
        <v>479.0</v>
      </c>
      <c r="AY1130" s="117">
        <v>479.0</v>
      </c>
      <c r="AZ1130" s="328">
        <v>0.0</v>
      </c>
      <c r="BA1130" s="315">
        <v>0.0</v>
      </c>
      <c r="BB1130" s="316">
        <v>479.0</v>
      </c>
      <c r="BC1130" s="132" t="s">
        <v>178</v>
      </c>
      <c r="BD1130" s="132" t="s">
        <v>522</v>
      </c>
      <c r="BE1130" s="132" t="s">
        <v>178</v>
      </c>
      <c r="BF1130" s="123"/>
      <c r="BG1130" s="83">
        <v>1163894.0</v>
      </c>
      <c r="BH1130" s="98">
        <v>15.0</v>
      </c>
      <c r="BI1130" s="98" t="s">
        <v>155</v>
      </c>
      <c r="BJ1130" s="98" t="str">
        <f t="shared" si="1"/>
        <v>NÃO</v>
      </c>
      <c r="BK1130" s="98" t="str">
        <f t="shared" si="2"/>
        <v>PROFISSIONAL</v>
      </c>
    </row>
    <row r="1131" ht="15.75" customHeight="1">
      <c r="A1131" s="111" t="s">
        <v>1335</v>
      </c>
      <c r="B1131" s="83" t="s">
        <v>2050</v>
      </c>
      <c r="C1131" s="83" t="s">
        <v>68</v>
      </c>
      <c r="D1131" s="83">
        <v>1179657.0</v>
      </c>
      <c r="E1131" s="83"/>
      <c r="F1131" s="83">
        <v>2.9474264E7</v>
      </c>
      <c r="G1131" s="114" t="s">
        <v>5976</v>
      </c>
      <c r="H1131" s="91" t="s">
        <v>5977</v>
      </c>
      <c r="I1131" s="114" t="s">
        <v>5978</v>
      </c>
      <c r="J1131" s="83" t="s">
        <v>150</v>
      </c>
      <c r="K1131" s="83" t="s">
        <v>151</v>
      </c>
      <c r="L1131" s="83" t="s">
        <v>230</v>
      </c>
      <c r="M1131" s="82" t="s">
        <v>10659</v>
      </c>
      <c r="N1131" s="82" t="s">
        <v>10660</v>
      </c>
      <c r="O1131" s="82" t="s">
        <v>10661</v>
      </c>
      <c r="P1131" s="82" t="s">
        <v>10662</v>
      </c>
      <c r="Q1131" s="82" t="s">
        <v>10663</v>
      </c>
      <c r="R1131" s="82" t="s">
        <v>10664</v>
      </c>
      <c r="S1131" s="82" t="s">
        <v>10665</v>
      </c>
      <c r="T1131" s="138" t="s">
        <v>171</v>
      </c>
      <c r="U1131" s="406" t="s">
        <v>171</v>
      </c>
      <c r="V1131" s="106">
        <v>0.0</v>
      </c>
      <c r="W1131" s="107">
        <v>0.0</v>
      </c>
      <c r="X1131" s="107">
        <v>0.0</v>
      </c>
      <c r="Y1131" s="107">
        <v>0.0</v>
      </c>
      <c r="Z1131" s="80">
        <v>0.0</v>
      </c>
      <c r="AA1131" s="140">
        <v>0.0</v>
      </c>
      <c r="AB1131" s="109">
        <v>0.0</v>
      </c>
      <c r="AC1131" s="109">
        <v>0.0</v>
      </c>
      <c r="AD1131" s="141">
        <v>0.0</v>
      </c>
      <c r="AE1131" s="80">
        <v>0.0</v>
      </c>
      <c r="AF1131" s="140">
        <v>0.0</v>
      </c>
      <c r="AG1131" s="109">
        <v>0.0</v>
      </c>
      <c r="AH1131" s="109">
        <v>0.0</v>
      </c>
      <c r="AI1131" s="141">
        <v>0.0</v>
      </c>
      <c r="AJ1131" s="80">
        <v>0.0</v>
      </c>
      <c r="AK1131" s="140">
        <v>0.0</v>
      </c>
      <c r="AL1131" s="109">
        <v>0.0</v>
      </c>
      <c r="AM1131" s="141">
        <v>0.0</v>
      </c>
      <c r="AN1131" s="80">
        <v>0.0</v>
      </c>
      <c r="AO1131" s="140">
        <v>0.0</v>
      </c>
      <c r="AP1131" s="109">
        <v>0.0</v>
      </c>
      <c r="AQ1131" s="109">
        <v>0.0</v>
      </c>
      <c r="AR1131" s="80">
        <v>0.0</v>
      </c>
      <c r="AS1131" s="110">
        <v>0.0</v>
      </c>
      <c r="AT1131" s="110">
        <v>0.0</v>
      </c>
      <c r="AU1131" s="110">
        <v>0.0</v>
      </c>
      <c r="AV1131" s="142">
        <v>0.0</v>
      </c>
      <c r="AW1131" s="80">
        <v>0.0</v>
      </c>
      <c r="AX1131" s="346">
        <v>1860.0</v>
      </c>
      <c r="AY1131" s="347">
        <v>1250.0</v>
      </c>
      <c r="AZ1131" s="348">
        <v>610.0</v>
      </c>
      <c r="BA1131" s="349">
        <v>0.0</v>
      </c>
      <c r="BB1131" s="316">
        <v>1860.0</v>
      </c>
      <c r="BC1131" s="143" t="s">
        <v>547</v>
      </c>
      <c r="BD1131" s="132" t="s">
        <v>178</v>
      </c>
      <c r="BE1131" s="132" t="s">
        <v>178</v>
      </c>
      <c r="BF1131" s="156"/>
      <c r="BG1131" s="83">
        <v>1179657.0</v>
      </c>
      <c r="BH1131" s="98" t="s">
        <v>171</v>
      </c>
      <c r="BI1131" s="98" t="s">
        <v>155</v>
      </c>
      <c r="BJ1131" s="98" t="str">
        <f t="shared" si="1"/>
        <v>NÃO</v>
      </c>
      <c r="BK1131" s="98" t="str">
        <f t="shared" si="2"/>
        <v>NÃO</v>
      </c>
    </row>
    <row r="1132" ht="15.75" customHeight="1">
      <c r="A1132" s="111" t="s">
        <v>1335</v>
      </c>
      <c r="B1132" s="83" t="s">
        <v>2050</v>
      </c>
      <c r="C1132" s="83" t="s">
        <v>68</v>
      </c>
      <c r="D1132" s="83">
        <v>1105754.0</v>
      </c>
      <c r="E1132" s="83"/>
      <c r="F1132" s="83">
        <v>2.9093457E7</v>
      </c>
      <c r="G1132" s="119" t="s">
        <v>10666</v>
      </c>
      <c r="H1132" s="91" t="s">
        <v>5959</v>
      </c>
      <c r="I1132" s="114" t="s">
        <v>3366</v>
      </c>
      <c r="J1132" s="83" t="s">
        <v>150</v>
      </c>
      <c r="K1132" s="83" t="s">
        <v>151</v>
      </c>
      <c r="L1132" s="83" t="s">
        <v>230</v>
      </c>
      <c r="M1132" s="82" t="s">
        <v>10667</v>
      </c>
      <c r="N1132" s="82" t="s">
        <v>10668</v>
      </c>
      <c r="O1132" s="82" t="s">
        <v>10669</v>
      </c>
      <c r="P1132" s="82" t="s">
        <v>10670</v>
      </c>
      <c r="Q1132" s="82" t="s">
        <v>10671</v>
      </c>
      <c r="R1132" s="82" t="s">
        <v>10672</v>
      </c>
      <c r="S1132" s="82" t="s">
        <v>10673</v>
      </c>
      <c r="T1132" s="138">
        <v>37.0</v>
      </c>
      <c r="U1132" s="406">
        <v>37.0</v>
      </c>
      <c r="V1132" s="355">
        <v>0.0</v>
      </c>
      <c r="W1132" s="246">
        <v>0.0</v>
      </c>
      <c r="X1132" s="246">
        <v>0.0</v>
      </c>
      <c r="Y1132" s="246">
        <v>0.0</v>
      </c>
      <c r="Z1132" s="80">
        <v>0.0</v>
      </c>
      <c r="AA1132" s="140">
        <v>801.0</v>
      </c>
      <c r="AB1132" s="109">
        <v>676.0</v>
      </c>
      <c r="AC1132" s="109">
        <v>0.0</v>
      </c>
      <c r="AD1132" s="141">
        <v>38.0</v>
      </c>
      <c r="AE1132" s="80">
        <v>1515.0</v>
      </c>
      <c r="AF1132" s="140">
        <v>615.0</v>
      </c>
      <c r="AG1132" s="109">
        <v>590.0</v>
      </c>
      <c r="AH1132" s="109">
        <v>27.0</v>
      </c>
      <c r="AI1132" s="141">
        <v>41.0</v>
      </c>
      <c r="AJ1132" s="80">
        <v>1273.0</v>
      </c>
      <c r="AK1132" s="140">
        <v>0.0</v>
      </c>
      <c r="AL1132" s="109">
        <v>0.0</v>
      </c>
      <c r="AM1132" s="141">
        <v>37.0</v>
      </c>
      <c r="AN1132" s="80">
        <v>37.0</v>
      </c>
      <c r="AO1132" s="140">
        <v>0.0</v>
      </c>
      <c r="AP1132" s="109">
        <v>0.0</v>
      </c>
      <c r="AQ1132" s="109">
        <v>127.0</v>
      </c>
      <c r="AR1132" s="80">
        <v>127.0</v>
      </c>
      <c r="AS1132" s="110">
        <v>0.0</v>
      </c>
      <c r="AT1132" s="110">
        <v>0.0</v>
      </c>
      <c r="AU1132" s="110">
        <v>0.0</v>
      </c>
      <c r="AV1132" s="142">
        <v>0.0</v>
      </c>
      <c r="AW1132" s="80">
        <v>0.0</v>
      </c>
      <c r="AX1132" s="113">
        <v>2952.0</v>
      </c>
      <c r="AY1132" s="117">
        <v>2761.0</v>
      </c>
      <c r="AZ1132" s="328">
        <v>191.0</v>
      </c>
      <c r="BA1132" s="315">
        <v>0.0</v>
      </c>
      <c r="BB1132" s="316">
        <v>2952.0</v>
      </c>
      <c r="BC1132" s="132" t="s">
        <v>178</v>
      </c>
      <c r="BD1132" s="132" t="s">
        <v>178</v>
      </c>
      <c r="BE1132" s="132" t="s">
        <v>178</v>
      </c>
      <c r="BF1132" s="123"/>
      <c r="BG1132" s="83">
        <v>1105754.0</v>
      </c>
      <c r="BH1132" s="112">
        <v>37.0</v>
      </c>
      <c r="BI1132" s="98" t="s">
        <v>155</v>
      </c>
      <c r="BJ1132" s="98" t="str">
        <f t="shared" si="1"/>
        <v>INTEGRAL</v>
      </c>
      <c r="BK1132" s="98" t="str">
        <f t="shared" si="2"/>
        <v>NÃO</v>
      </c>
    </row>
    <row r="1133" ht="15.75" customHeight="1">
      <c r="A1133" s="111" t="s">
        <v>1335</v>
      </c>
      <c r="B1133" s="83" t="s">
        <v>2050</v>
      </c>
      <c r="C1133" s="83" t="s">
        <v>68</v>
      </c>
      <c r="D1133" s="83">
        <v>1105975.0</v>
      </c>
      <c r="E1133" s="83"/>
      <c r="F1133" s="83">
        <v>2.909352E7</v>
      </c>
      <c r="G1133" s="114" t="s">
        <v>5980</v>
      </c>
      <c r="H1133" s="91" t="s">
        <v>10674</v>
      </c>
      <c r="I1133" s="114" t="s">
        <v>149</v>
      </c>
      <c r="J1133" s="83" t="s">
        <v>150</v>
      </c>
      <c r="K1133" s="83" t="s">
        <v>151</v>
      </c>
      <c r="L1133" s="83" t="s">
        <v>230</v>
      </c>
      <c r="M1133" s="82" t="s">
        <v>10675</v>
      </c>
      <c r="N1133" s="82" t="s">
        <v>10676</v>
      </c>
      <c r="O1133" s="82" t="s">
        <v>10677</v>
      </c>
      <c r="P1133" s="82" t="s">
        <v>10678</v>
      </c>
      <c r="Q1133" s="82" t="s">
        <v>10679</v>
      </c>
      <c r="R1133" s="82" t="s">
        <v>10680</v>
      </c>
      <c r="S1133" s="82" t="s">
        <v>10681</v>
      </c>
      <c r="T1133" s="138">
        <v>25.0</v>
      </c>
      <c r="U1133" s="406">
        <v>25.0</v>
      </c>
      <c r="V1133" s="106">
        <v>0.0</v>
      </c>
      <c r="W1133" s="107">
        <v>0.0</v>
      </c>
      <c r="X1133" s="107">
        <v>0.0</v>
      </c>
      <c r="Y1133" s="107">
        <v>0.0</v>
      </c>
      <c r="Z1133" s="80">
        <v>0.0</v>
      </c>
      <c r="AA1133" s="140">
        <v>0.0</v>
      </c>
      <c r="AB1133" s="109">
        <v>0.0</v>
      </c>
      <c r="AC1133" s="109">
        <v>0.0</v>
      </c>
      <c r="AD1133" s="141">
        <v>0.0</v>
      </c>
      <c r="AE1133" s="80">
        <v>0.0</v>
      </c>
      <c r="AF1133" s="140">
        <v>0.0</v>
      </c>
      <c r="AG1133" s="109">
        <v>0.0</v>
      </c>
      <c r="AH1133" s="109">
        <v>0.0</v>
      </c>
      <c r="AI1133" s="141">
        <v>0.0</v>
      </c>
      <c r="AJ1133" s="80">
        <v>0.0</v>
      </c>
      <c r="AK1133" s="140">
        <v>0.0</v>
      </c>
      <c r="AL1133" s="109">
        <v>0.0</v>
      </c>
      <c r="AM1133" s="141">
        <v>0.0</v>
      </c>
      <c r="AN1133" s="80">
        <v>0.0</v>
      </c>
      <c r="AO1133" s="140">
        <v>0.0</v>
      </c>
      <c r="AP1133" s="109">
        <v>0.0</v>
      </c>
      <c r="AQ1133" s="109">
        <v>0.0</v>
      </c>
      <c r="AR1133" s="80">
        <v>0.0</v>
      </c>
      <c r="AS1133" s="110">
        <v>633.0</v>
      </c>
      <c r="AT1133" s="110">
        <v>512.0</v>
      </c>
      <c r="AU1133" s="110">
        <v>526.0</v>
      </c>
      <c r="AV1133" s="142">
        <v>0.0</v>
      </c>
      <c r="AW1133" s="80">
        <v>1671.0</v>
      </c>
      <c r="AX1133" s="113">
        <v>1671.0</v>
      </c>
      <c r="AY1133" s="117">
        <v>1145.0</v>
      </c>
      <c r="AZ1133" s="328">
        <v>526.0</v>
      </c>
      <c r="BA1133" s="315">
        <v>0.0</v>
      </c>
      <c r="BB1133" s="316">
        <v>1671.0</v>
      </c>
      <c r="BC1133" s="132" t="s">
        <v>178</v>
      </c>
      <c r="BD1133" s="132" t="s">
        <v>779</v>
      </c>
      <c r="BE1133" s="132" t="s">
        <v>178</v>
      </c>
      <c r="BF1133" s="156"/>
      <c r="BG1133" s="83">
        <v>1105975.0</v>
      </c>
      <c r="BH1133" s="98">
        <v>25.0</v>
      </c>
      <c r="BI1133" s="98" t="s">
        <v>155</v>
      </c>
      <c r="BJ1133" s="98" t="str">
        <f t="shared" si="1"/>
        <v>NÃO</v>
      </c>
      <c r="BK1133" s="98" t="str">
        <f t="shared" si="2"/>
        <v>PROFISSIONAL</v>
      </c>
    </row>
    <row r="1134" ht="15.75" customHeight="1">
      <c r="A1134" s="111" t="s">
        <v>1335</v>
      </c>
      <c r="B1134" s="83" t="s">
        <v>2050</v>
      </c>
      <c r="C1134" s="83" t="s">
        <v>68</v>
      </c>
      <c r="D1134" s="83">
        <v>1105797.0</v>
      </c>
      <c r="E1134" s="83"/>
      <c r="F1134" s="83">
        <v>2.943296E7</v>
      </c>
      <c r="G1134" s="114" t="s">
        <v>5984</v>
      </c>
      <c r="H1134" s="91" t="s">
        <v>5985</v>
      </c>
      <c r="I1134" s="114" t="s">
        <v>5986</v>
      </c>
      <c r="J1134" s="83" t="s">
        <v>150</v>
      </c>
      <c r="K1134" s="83" t="s">
        <v>151</v>
      </c>
      <c r="L1134" s="83" t="s">
        <v>230</v>
      </c>
      <c r="M1134" s="82" t="s">
        <v>10682</v>
      </c>
      <c r="N1134" s="82" t="s">
        <v>10683</v>
      </c>
      <c r="O1134" s="82" t="s">
        <v>10684</v>
      </c>
      <c r="P1134" s="82" t="s">
        <v>10685</v>
      </c>
      <c r="Q1134" s="82"/>
      <c r="R1134" s="82"/>
      <c r="S1134" s="82" t="s">
        <v>10686</v>
      </c>
      <c r="T1134" s="562">
        <v>35.0</v>
      </c>
      <c r="U1134" s="478">
        <v>35.0</v>
      </c>
      <c r="V1134" s="106">
        <v>0.0</v>
      </c>
      <c r="W1134" s="107">
        <v>0.0</v>
      </c>
      <c r="X1134" s="107">
        <v>0.0</v>
      </c>
      <c r="Y1134" s="107">
        <v>0.0</v>
      </c>
      <c r="Z1134" s="80">
        <v>0.0</v>
      </c>
      <c r="AA1134" s="140">
        <v>0.0</v>
      </c>
      <c r="AB1134" s="109">
        <v>0.0</v>
      </c>
      <c r="AC1134" s="109">
        <v>0.0</v>
      </c>
      <c r="AD1134" s="141">
        <v>0.0</v>
      </c>
      <c r="AE1134" s="80">
        <v>0.0</v>
      </c>
      <c r="AF1134" s="140">
        <v>0.0</v>
      </c>
      <c r="AG1134" s="109">
        <v>0.0</v>
      </c>
      <c r="AH1134" s="109">
        <v>0.0</v>
      </c>
      <c r="AI1134" s="141">
        <v>0.0</v>
      </c>
      <c r="AJ1134" s="80">
        <v>0.0</v>
      </c>
      <c r="AK1134" s="140">
        <v>0.0</v>
      </c>
      <c r="AL1134" s="109">
        <v>0.0</v>
      </c>
      <c r="AM1134" s="141">
        <v>0.0</v>
      </c>
      <c r="AN1134" s="80">
        <v>0.0</v>
      </c>
      <c r="AO1134" s="140">
        <v>0.0</v>
      </c>
      <c r="AP1134" s="109">
        <v>0.0</v>
      </c>
      <c r="AQ1134" s="109">
        <v>0.0</v>
      </c>
      <c r="AR1134" s="80">
        <v>0.0</v>
      </c>
      <c r="AS1134" s="110">
        <v>441.0</v>
      </c>
      <c r="AT1134" s="110">
        <v>175.0</v>
      </c>
      <c r="AU1134" s="110">
        <v>277.0</v>
      </c>
      <c r="AV1134" s="142">
        <v>0.0</v>
      </c>
      <c r="AW1134" s="80">
        <v>893.0</v>
      </c>
      <c r="AX1134" s="113">
        <v>893.0</v>
      </c>
      <c r="AY1134" s="117">
        <v>616.0</v>
      </c>
      <c r="AZ1134" s="328">
        <v>277.0</v>
      </c>
      <c r="BA1134" s="315">
        <v>0.0</v>
      </c>
      <c r="BB1134" s="316">
        <v>893.0</v>
      </c>
      <c r="BC1134" s="132" t="s">
        <v>178</v>
      </c>
      <c r="BD1134" s="132" t="s">
        <v>779</v>
      </c>
      <c r="BE1134" s="132" t="s">
        <v>178</v>
      </c>
      <c r="BF1134" s="156"/>
      <c r="BG1134" s="83">
        <v>1105797.0</v>
      </c>
      <c r="BH1134" s="98">
        <v>35.0</v>
      </c>
      <c r="BI1134" s="98" t="s">
        <v>155</v>
      </c>
      <c r="BJ1134" s="98" t="str">
        <f t="shared" si="1"/>
        <v>NÃO</v>
      </c>
      <c r="BK1134" s="98" t="str">
        <f t="shared" si="2"/>
        <v>PROFISSIONAL</v>
      </c>
    </row>
    <row r="1135" ht="15.75" customHeight="1">
      <c r="A1135" s="111" t="s">
        <v>1335</v>
      </c>
      <c r="B1135" s="83" t="s">
        <v>2050</v>
      </c>
      <c r="C1135" s="83" t="s">
        <v>68</v>
      </c>
      <c r="D1135" s="83">
        <v>1160607.0</v>
      </c>
      <c r="E1135" s="83"/>
      <c r="F1135" s="83">
        <v>2.9093341E7</v>
      </c>
      <c r="G1135" s="114" t="s">
        <v>5989</v>
      </c>
      <c r="H1135" s="91" t="s">
        <v>5990</v>
      </c>
      <c r="I1135" s="114" t="s">
        <v>5991</v>
      </c>
      <c r="J1135" s="83" t="s">
        <v>5992</v>
      </c>
      <c r="K1135" s="83" t="s">
        <v>151</v>
      </c>
      <c r="L1135" s="83" t="s">
        <v>169</v>
      </c>
      <c r="M1135" s="82" t="s">
        <v>10687</v>
      </c>
      <c r="N1135" s="82" t="s">
        <v>10688</v>
      </c>
      <c r="O1135" s="82" t="s">
        <v>10689</v>
      </c>
      <c r="P1135" s="82" t="s">
        <v>10690</v>
      </c>
      <c r="Q1135" s="82"/>
      <c r="R1135" s="82"/>
      <c r="S1135" s="82" t="s">
        <v>10691</v>
      </c>
      <c r="T1135" s="138">
        <v>8.0</v>
      </c>
      <c r="U1135" s="406">
        <v>8.0</v>
      </c>
      <c r="V1135" s="106">
        <v>0.0</v>
      </c>
      <c r="W1135" s="107">
        <v>0.0</v>
      </c>
      <c r="X1135" s="107">
        <v>0.0</v>
      </c>
      <c r="Y1135" s="107">
        <v>0.0</v>
      </c>
      <c r="Z1135" s="80">
        <v>0.0</v>
      </c>
      <c r="AA1135" s="140">
        <v>0.0</v>
      </c>
      <c r="AB1135" s="109">
        <v>0.0</v>
      </c>
      <c r="AC1135" s="109">
        <v>0.0</v>
      </c>
      <c r="AD1135" s="141">
        <v>0.0</v>
      </c>
      <c r="AE1135" s="80">
        <v>0.0</v>
      </c>
      <c r="AF1135" s="140">
        <v>61.0</v>
      </c>
      <c r="AG1135" s="109">
        <v>47.0</v>
      </c>
      <c r="AH1135" s="109">
        <v>0.0</v>
      </c>
      <c r="AI1135" s="141">
        <v>0.0</v>
      </c>
      <c r="AJ1135" s="80">
        <v>108.0</v>
      </c>
      <c r="AK1135" s="140">
        <v>0.0</v>
      </c>
      <c r="AL1135" s="109">
        <v>0.0</v>
      </c>
      <c r="AM1135" s="141">
        <v>46.0</v>
      </c>
      <c r="AN1135" s="80">
        <v>46.0</v>
      </c>
      <c r="AO1135" s="140">
        <v>0.0</v>
      </c>
      <c r="AP1135" s="109">
        <v>0.0</v>
      </c>
      <c r="AQ1135" s="109">
        <v>71.0</v>
      </c>
      <c r="AR1135" s="80">
        <v>71.0</v>
      </c>
      <c r="AS1135" s="110">
        <v>34.0</v>
      </c>
      <c r="AT1135" s="110">
        <v>13.0</v>
      </c>
      <c r="AU1135" s="110">
        <v>47.0</v>
      </c>
      <c r="AV1135" s="142">
        <v>0.0</v>
      </c>
      <c r="AW1135" s="80">
        <v>94.0</v>
      </c>
      <c r="AX1135" s="113">
        <v>319.0</v>
      </c>
      <c r="AY1135" s="117">
        <v>155.0</v>
      </c>
      <c r="AZ1135" s="328">
        <v>164.0</v>
      </c>
      <c r="BA1135" s="315">
        <v>0.0</v>
      </c>
      <c r="BB1135" s="316">
        <v>319.0</v>
      </c>
      <c r="BC1135" s="132" t="s">
        <v>373</v>
      </c>
      <c r="BD1135" s="132" t="s">
        <v>178</v>
      </c>
      <c r="BE1135" s="132" t="s">
        <v>178</v>
      </c>
      <c r="BF1135" s="123"/>
      <c r="BG1135" s="83">
        <v>1160607.0</v>
      </c>
      <c r="BH1135" s="98">
        <v>8.0</v>
      </c>
      <c r="BI1135" s="98" t="s">
        <v>155</v>
      </c>
      <c r="BJ1135" s="98" t="str">
        <f t="shared" si="1"/>
        <v>NÃO</v>
      </c>
      <c r="BK1135" s="98" t="str">
        <f t="shared" si="2"/>
        <v>PROFISSIONAL</v>
      </c>
    </row>
    <row r="1136" ht="15.75" customHeight="1">
      <c r="A1136" s="111" t="s">
        <v>1335</v>
      </c>
      <c r="B1136" s="83" t="s">
        <v>2050</v>
      </c>
      <c r="C1136" s="83" t="s">
        <v>68</v>
      </c>
      <c r="D1136" s="83">
        <v>1142994.0</v>
      </c>
      <c r="E1136" s="83"/>
      <c r="F1136" s="83">
        <v>2.9093295E7</v>
      </c>
      <c r="G1136" s="114" t="s">
        <v>2543</v>
      </c>
      <c r="H1136" s="91" t="s">
        <v>5994</v>
      </c>
      <c r="I1136" s="114" t="s">
        <v>5995</v>
      </c>
      <c r="J1136" s="83" t="s">
        <v>150</v>
      </c>
      <c r="K1136" s="83" t="s">
        <v>151</v>
      </c>
      <c r="L1136" s="83" t="s">
        <v>169</v>
      </c>
      <c r="M1136" s="82" t="s">
        <v>10692</v>
      </c>
      <c r="N1136" s="82" t="s">
        <v>10693</v>
      </c>
      <c r="O1136" s="82" t="s">
        <v>10694</v>
      </c>
      <c r="P1136" s="82" t="s">
        <v>10695</v>
      </c>
      <c r="Q1136" s="82"/>
      <c r="R1136" s="82"/>
      <c r="S1136" s="82" t="s">
        <v>10696</v>
      </c>
      <c r="T1136" s="138">
        <v>13.0</v>
      </c>
      <c r="U1136" s="406">
        <v>13.0</v>
      </c>
      <c r="V1136" s="106">
        <v>0.0</v>
      </c>
      <c r="W1136" s="107">
        <v>0.0</v>
      </c>
      <c r="X1136" s="107">
        <v>0.0</v>
      </c>
      <c r="Y1136" s="107">
        <v>0.0</v>
      </c>
      <c r="Z1136" s="80">
        <v>0.0</v>
      </c>
      <c r="AA1136" s="140">
        <v>65.0</v>
      </c>
      <c r="AB1136" s="109">
        <v>0.0</v>
      </c>
      <c r="AC1136" s="109">
        <v>0.0</v>
      </c>
      <c r="AD1136" s="141">
        <v>0.0</v>
      </c>
      <c r="AE1136" s="80">
        <v>65.0</v>
      </c>
      <c r="AF1136" s="140">
        <v>38.0</v>
      </c>
      <c r="AG1136" s="109">
        <v>0.0</v>
      </c>
      <c r="AH1136" s="109">
        <v>0.0</v>
      </c>
      <c r="AI1136" s="141">
        <v>51.0</v>
      </c>
      <c r="AJ1136" s="80">
        <v>89.0</v>
      </c>
      <c r="AK1136" s="140">
        <v>0.0</v>
      </c>
      <c r="AL1136" s="109">
        <v>0.0</v>
      </c>
      <c r="AM1136" s="141">
        <v>20.0</v>
      </c>
      <c r="AN1136" s="80">
        <v>20.0</v>
      </c>
      <c r="AO1136" s="140">
        <v>0.0</v>
      </c>
      <c r="AP1136" s="109">
        <v>0.0</v>
      </c>
      <c r="AQ1136" s="109">
        <v>65.0</v>
      </c>
      <c r="AR1136" s="80">
        <v>65.0</v>
      </c>
      <c r="AS1136" s="110">
        <v>0.0</v>
      </c>
      <c r="AT1136" s="110">
        <v>0.0</v>
      </c>
      <c r="AU1136" s="110">
        <v>0.0</v>
      </c>
      <c r="AV1136" s="142">
        <v>0.0</v>
      </c>
      <c r="AW1136" s="80">
        <v>0.0</v>
      </c>
      <c r="AX1136" s="113">
        <v>239.0</v>
      </c>
      <c r="AY1136" s="117">
        <v>154.0</v>
      </c>
      <c r="AZ1136" s="328">
        <v>85.0</v>
      </c>
      <c r="BA1136" s="315">
        <v>2.0</v>
      </c>
      <c r="BB1136" s="316">
        <v>241.0</v>
      </c>
      <c r="BC1136" s="132" t="s">
        <v>178</v>
      </c>
      <c r="BD1136" s="132" t="s">
        <v>178</v>
      </c>
      <c r="BE1136" s="132" t="s">
        <v>178</v>
      </c>
      <c r="BF1136" s="123"/>
      <c r="BG1136" s="83">
        <v>1142994.0</v>
      </c>
      <c r="BH1136" s="112">
        <v>13.0</v>
      </c>
      <c r="BI1136" s="98" t="s">
        <v>155</v>
      </c>
      <c r="BJ1136" s="98" t="str">
        <f t="shared" si="1"/>
        <v>INTEGRAL</v>
      </c>
      <c r="BK1136" s="98" t="str">
        <f t="shared" si="2"/>
        <v>NÃO</v>
      </c>
    </row>
    <row r="1137" ht="15.75" customHeight="1">
      <c r="A1137" s="111" t="s">
        <v>1335</v>
      </c>
      <c r="B1137" s="83" t="s">
        <v>2050</v>
      </c>
      <c r="C1137" s="83" t="s">
        <v>68</v>
      </c>
      <c r="D1137" s="83">
        <v>1178163.0</v>
      </c>
      <c r="E1137" s="83"/>
      <c r="F1137" s="83">
        <v>2.9380375E7</v>
      </c>
      <c r="G1137" s="114" t="s">
        <v>5996</v>
      </c>
      <c r="H1137" s="91" t="s">
        <v>5996</v>
      </c>
      <c r="I1137" s="114" t="s">
        <v>5986</v>
      </c>
      <c r="J1137" s="83" t="s">
        <v>150</v>
      </c>
      <c r="K1137" s="83" t="s">
        <v>5997</v>
      </c>
      <c r="L1137" s="83" t="s">
        <v>230</v>
      </c>
      <c r="M1137" s="82" t="s">
        <v>10697</v>
      </c>
      <c r="N1137" s="82" t="s">
        <v>10698</v>
      </c>
      <c r="O1137" s="82" t="s">
        <v>10699</v>
      </c>
      <c r="P1137" s="82" t="s">
        <v>10700</v>
      </c>
      <c r="Q1137" s="82"/>
      <c r="R1137" s="82"/>
      <c r="S1137" s="82" t="s">
        <v>10701</v>
      </c>
      <c r="T1137" s="138">
        <v>11.0</v>
      </c>
      <c r="U1137" s="406">
        <v>11.0</v>
      </c>
      <c r="V1137" s="106">
        <v>0.0</v>
      </c>
      <c r="W1137" s="107">
        <v>0.0</v>
      </c>
      <c r="X1137" s="107">
        <v>0.0</v>
      </c>
      <c r="Y1137" s="107">
        <v>0.0</v>
      </c>
      <c r="Z1137" s="80">
        <v>0.0</v>
      </c>
      <c r="AA1137" s="140">
        <v>0.0</v>
      </c>
      <c r="AB1137" s="109">
        <v>0.0</v>
      </c>
      <c r="AC1137" s="109">
        <v>0.0</v>
      </c>
      <c r="AD1137" s="141">
        <v>0.0</v>
      </c>
      <c r="AE1137" s="80">
        <v>0.0</v>
      </c>
      <c r="AF1137" s="140">
        <v>0.0</v>
      </c>
      <c r="AG1137" s="109">
        <v>0.0</v>
      </c>
      <c r="AH1137" s="109">
        <v>0.0</v>
      </c>
      <c r="AI1137" s="141">
        <v>0.0</v>
      </c>
      <c r="AJ1137" s="80">
        <v>0.0</v>
      </c>
      <c r="AK1137" s="140">
        <v>0.0</v>
      </c>
      <c r="AL1137" s="109">
        <v>0.0</v>
      </c>
      <c r="AM1137" s="141">
        <v>0.0</v>
      </c>
      <c r="AN1137" s="80">
        <v>0.0</v>
      </c>
      <c r="AO1137" s="140">
        <v>0.0</v>
      </c>
      <c r="AP1137" s="109">
        <v>0.0</v>
      </c>
      <c r="AQ1137" s="109">
        <v>0.0</v>
      </c>
      <c r="AR1137" s="80">
        <v>0.0</v>
      </c>
      <c r="AS1137" s="110">
        <v>0.0</v>
      </c>
      <c r="AT1137" s="110">
        <v>0.0</v>
      </c>
      <c r="AU1137" s="110">
        <v>0.0</v>
      </c>
      <c r="AV1137" s="142">
        <v>0.0</v>
      </c>
      <c r="AW1137" s="80">
        <v>0.0</v>
      </c>
      <c r="AX1137" s="346">
        <v>192.0</v>
      </c>
      <c r="AY1137" s="347">
        <v>192.0</v>
      </c>
      <c r="AZ1137" s="348">
        <v>0.0</v>
      </c>
      <c r="BA1137" s="349">
        <v>0.0</v>
      </c>
      <c r="BB1137" s="316">
        <v>192.0</v>
      </c>
      <c r="BC1137" s="132" t="s">
        <v>553</v>
      </c>
      <c r="BD1137" s="132" t="s">
        <v>178</v>
      </c>
      <c r="BE1137" s="132" t="s">
        <v>178</v>
      </c>
      <c r="BF1137" s="123"/>
      <c r="BG1137" s="83">
        <v>1178163.0</v>
      </c>
      <c r="BH1137" s="98">
        <v>11.0</v>
      </c>
      <c r="BI1137" s="98" t="s">
        <v>155</v>
      </c>
      <c r="BJ1137" s="98" t="str">
        <f t="shared" si="1"/>
        <v>NÃO</v>
      </c>
      <c r="BK1137" s="98" t="str">
        <f t="shared" si="2"/>
        <v>NÃO</v>
      </c>
    </row>
    <row r="1138" ht="15.75" customHeight="1">
      <c r="A1138" s="111" t="s">
        <v>1335</v>
      </c>
      <c r="B1138" s="83" t="s">
        <v>2050</v>
      </c>
      <c r="C1138" s="83" t="s">
        <v>68</v>
      </c>
      <c r="D1138" s="83">
        <v>1178101.0</v>
      </c>
      <c r="E1138" s="83"/>
      <c r="F1138" s="83">
        <v>2.9436842E7</v>
      </c>
      <c r="G1138" s="114" t="s">
        <v>5998</v>
      </c>
      <c r="H1138" s="91" t="s">
        <v>5999</v>
      </c>
      <c r="I1138" s="114" t="s">
        <v>149</v>
      </c>
      <c r="J1138" s="83" t="s">
        <v>150</v>
      </c>
      <c r="K1138" s="83" t="s">
        <v>151</v>
      </c>
      <c r="L1138" s="83" t="s">
        <v>230</v>
      </c>
      <c r="M1138" s="82" t="s">
        <v>10702</v>
      </c>
      <c r="N1138" s="82" t="s">
        <v>10703</v>
      </c>
      <c r="O1138" s="82" t="s">
        <v>10704</v>
      </c>
      <c r="P1138" s="82" t="s">
        <v>10705</v>
      </c>
      <c r="Q1138" s="82"/>
      <c r="R1138" s="82"/>
      <c r="S1138" s="82" t="s">
        <v>10706</v>
      </c>
      <c r="T1138" s="138">
        <v>9.0</v>
      </c>
      <c r="U1138" s="406">
        <v>9.0</v>
      </c>
      <c r="V1138" s="106">
        <v>0.0</v>
      </c>
      <c r="W1138" s="107">
        <v>0.0</v>
      </c>
      <c r="X1138" s="107">
        <v>0.0</v>
      </c>
      <c r="Y1138" s="107">
        <v>0.0</v>
      </c>
      <c r="Z1138" s="80">
        <v>0.0</v>
      </c>
      <c r="AA1138" s="140">
        <v>0.0</v>
      </c>
      <c r="AB1138" s="109">
        <v>0.0</v>
      </c>
      <c r="AC1138" s="109">
        <v>0.0</v>
      </c>
      <c r="AD1138" s="141">
        <v>0.0</v>
      </c>
      <c r="AE1138" s="80">
        <v>0.0</v>
      </c>
      <c r="AF1138" s="140">
        <v>0.0</v>
      </c>
      <c r="AG1138" s="109">
        <v>0.0</v>
      </c>
      <c r="AH1138" s="109">
        <v>0.0</v>
      </c>
      <c r="AI1138" s="141">
        <v>0.0</v>
      </c>
      <c r="AJ1138" s="80">
        <v>0.0</v>
      </c>
      <c r="AK1138" s="140">
        <v>0.0</v>
      </c>
      <c r="AL1138" s="109">
        <v>0.0</v>
      </c>
      <c r="AM1138" s="141">
        <v>0.0</v>
      </c>
      <c r="AN1138" s="80">
        <v>0.0</v>
      </c>
      <c r="AO1138" s="140">
        <v>0.0</v>
      </c>
      <c r="AP1138" s="109">
        <v>0.0</v>
      </c>
      <c r="AQ1138" s="109">
        <v>0.0</v>
      </c>
      <c r="AR1138" s="80">
        <v>0.0</v>
      </c>
      <c r="AS1138" s="110">
        <v>0.0</v>
      </c>
      <c r="AT1138" s="110">
        <v>0.0</v>
      </c>
      <c r="AU1138" s="110">
        <v>0.0</v>
      </c>
      <c r="AV1138" s="142">
        <v>0.0</v>
      </c>
      <c r="AW1138" s="80">
        <v>0.0</v>
      </c>
      <c r="AX1138" s="346">
        <v>494.0</v>
      </c>
      <c r="AY1138" s="347">
        <v>494.0</v>
      </c>
      <c r="AZ1138" s="348">
        <v>0.0</v>
      </c>
      <c r="BA1138" s="349">
        <v>0.0</v>
      </c>
      <c r="BB1138" s="316">
        <v>494.0</v>
      </c>
      <c r="BC1138" s="132" t="s">
        <v>553</v>
      </c>
      <c r="BD1138" s="132" t="s">
        <v>178</v>
      </c>
      <c r="BE1138" s="132" t="s">
        <v>178</v>
      </c>
      <c r="BF1138" s="156"/>
      <c r="BG1138" s="83">
        <v>1178101.0</v>
      </c>
      <c r="BH1138" s="98">
        <v>9.0</v>
      </c>
      <c r="BI1138" s="98" t="s">
        <v>155</v>
      </c>
      <c r="BJ1138" s="98" t="str">
        <f t="shared" si="1"/>
        <v>NÃO</v>
      </c>
      <c r="BK1138" s="98" t="str">
        <f t="shared" si="2"/>
        <v>NÃO</v>
      </c>
    </row>
    <row r="1139" ht="15.75" customHeight="1">
      <c r="A1139" s="111" t="s">
        <v>1335</v>
      </c>
      <c r="B1139" s="83" t="s">
        <v>2050</v>
      </c>
      <c r="C1139" s="83" t="s">
        <v>164</v>
      </c>
      <c r="D1139" s="83">
        <v>1106386.0</v>
      </c>
      <c r="E1139" s="83">
        <v>1178347.0</v>
      </c>
      <c r="F1139" s="83"/>
      <c r="G1139" s="119" t="s">
        <v>10707</v>
      </c>
      <c r="H1139" s="91" t="s">
        <v>6003</v>
      </c>
      <c r="I1139" s="114" t="s">
        <v>5948</v>
      </c>
      <c r="J1139" s="83" t="s">
        <v>6004</v>
      </c>
      <c r="K1139" s="83" t="s">
        <v>168</v>
      </c>
      <c r="L1139" s="83" t="s">
        <v>169</v>
      </c>
      <c r="M1139" s="82" t="s">
        <v>10626</v>
      </c>
      <c r="N1139" s="82" t="s">
        <v>10627</v>
      </c>
      <c r="O1139" s="82" t="s">
        <v>10628</v>
      </c>
      <c r="P1139" s="82" t="s">
        <v>10629</v>
      </c>
      <c r="Q1139" s="82" t="s">
        <v>10630</v>
      </c>
      <c r="R1139" s="82" t="s">
        <v>10631</v>
      </c>
      <c r="S1139" s="82" t="s">
        <v>10632</v>
      </c>
      <c r="T1139" s="138">
        <v>24.0</v>
      </c>
      <c r="U1139" s="406">
        <v>24.0</v>
      </c>
      <c r="V1139" s="106">
        <v>0.0</v>
      </c>
      <c r="W1139" s="107">
        <v>0.0</v>
      </c>
      <c r="X1139" s="107">
        <v>0.0</v>
      </c>
      <c r="Y1139" s="107">
        <v>0.0</v>
      </c>
      <c r="Z1139" s="80">
        <v>0.0</v>
      </c>
      <c r="AA1139" s="140">
        <v>0.0</v>
      </c>
      <c r="AB1139" s="109">
        <v>0.0</v>
      </c>
      <c r="AC1139" s="109">
        <v>0.0</v>
      </c>
      <c r="AD1139" s="141">
        <v>0.0</v>
      </c>
      <c r="AE1139" s="80">
        <v>0.0</v>
      </c>
      <c r="AF1139" s="140">
        <v>0.0</v>
      </c>
      <c r="AG1139" s="109">
        <v>0.0</v>
      </c>
      <c r="AH1139" s="109">
        <v>0.0</v>
      </c>
      <c r="AI1139" s="141">
        <v>0.0</v>
      </c>
      <c r="AJ1139" s="80">
        <v>0.0</v>
      </c>
      <c r="AK1139" s="140">
        <v>8.0</v>
      </c>
      <c r="AL1139" s="109">
        <v>7.0</v>
      </c>
      <c r="AM1139" s="141">
        <v>0.0</v>
      </c>
      <c r="AN1139" s="80">
        <v>15.0</v>
      </c>
      <c r="AO1139" s="140">
        <v>3.0</v>
      </c>
      <c r="AP1139" s="109">
        <v>4.0</v>
      </c>
      <c r="AQ1139" s="109">
        <v>0.0</v>
      </c>
      <c r="AR1139" s="80">
        <v>7.0</v>
      </c>
      <c r="AS1139" s="110">
        <v>0.0</v>
      </c>
      <c r="AT1139" s="110">
        <v>0.0</v>
      </c>
      <c r="AU1139" s="110">
        <v>0.0</v>
      </c>
      <c r="AV1139" s="142">
        <v>0.0</v>
      </c>
      <c r="AW1139" s="80">
        <v>0.0</v>
      </c>
      <c r="AX1139" s="113">
        <v>22.0</v>
      </c>
      <c r="AY1139" s="117">
        <v>22.0</v>
      </c>
      <c r="AZ1139" s="328">
        <v>0.0</v>
      </c>
      <c r="BA1139" s="349">
        <v>0.0</v>
      </c>
      <c r="BB1139" s="316">
        <v>22.0</v>
      </c>
      <c r="BC1139" s="132" t="s">
        <v>10138</v>
      </c>
      <c r="BD1139" s="132" t="s">
        <v>178</v>
      </c>
      <c r="BE1139" s="132" t="s">
        <v>178</v>
      </c>
      <c r="BF1139" s="156"/>
      <c r="BG1139" s="83">
        <v>1178347.0</v>
      </c>
      <c r="BH1139" s="98">
        <v>24.0</v>
      </c>
      <c r="BI1139" s="98" t="s">
        <v>155</v>
      </c>
      <c r="BJ1139" s="98" t="str">
        <f t="shared" si="1"/>
        <v>NÃO</v>
      </c>
      <c r="BK1139" s="98" t="str">
        <f t="shared" si="2"/>
        <v>NÃO</v>
      </c>
    </row>
    <row r="1140" ht="15.75" customHeight="1">
      <c r="A1140" s="111" t="s">
        <v>1335</v>
      </c>
      <c r="B1140" s="83" t="s">
        <v>2050</v>
      </c>
      <c r="C1140" s="83" t="s">
        <v>164</v>
      </c>
      <c r="D1140" s="83">
        <v>1106386.0</v>
      </c>
      <c r="E1140" s="83">
        <v>1178346.0</v>
      </c>
      <c r="F1140" s="83"/>
      <c r="G1140" s="119" t="s">
        <v>10708</v>
      </c>
      <c r="H1140" s="91" t="s">
        <v>6006</v>
      </c>
      <c r="I1140" s="114" t="s">
        <v>5948</v>
      </c>
      <c r="J1140" s="83" t="s">
        <v>6007</v>
      </c>
      <c r="K1140" s="83" t="s">
        <v>168</v>
      </c>
      <c r="L1140" s="83" t="s">
        <v>169</v>
      </c>
      <c r="M1140" s="82" t="s">
        <v>10626</v>
      </c>
      <c r="N1140" s="82" t="s">
        <v>10627</v>
      </c>
      <c r="O1140" s="82" t="s">
        <v>10628</v>
      </c>
      <c r="P1140" s="82" t="s">
        <v>10629</v>
      </c>
      <c r="Q1140" s="82" t="s">
        <v>10630</v>
      </c>
      <c r="R1140" s="82" t="s">
        <v>10631</v>
      </c>
      <c r="S1140" s="82" t="s">
        <v>10632</v>
      </c>
      <c r="T1140" s="138">
        <v>19.0</v>
      </c>
      <c r="U1140" s="406">
        <v>19.0</v>
      </c>
      <c r="V1140" s="106">
        <v>0.0</v>
      </c>
      <c r="W1140" s="107">
        <v>0.0</v>
      </c>
      <c r="X1140" s="107">
        <v>0.0</v>
      </c>
      <c r="Y1140" s="107">
        <v>0.0</v>
      </c>
      <c r="Z1140" s="80">
        <v>0.0</v>
      </c>
      <c r="AA1140" s="140">
        <v>0.0</v>
      </c>
      <c r="AB1140" s="109">
        <v>0.0</v>
      </c>
      <c r="AC1140" s="109">
        <v>0.0</v>
      </c>
      <c r="AD1140" s="141">
        <v>0.0</v>
      </c>
      <c r="AE1140" s="80">
        <v>0.0</v>
      </c>
      <c r="AF1140" s="140">
        <v>0.0</v>
      </c>
      <c r="AG1140" s="109">
        <v>0.0</v>
      </c>
      <c r="AH1140" s="109">
        <v>0.0</v>
      </c>
      <c r="AI1140" s="141">
        <v>0.0</v>
      </c>
      <c r="AJ1140" s="80">
        <v>0.0</v>
      </c>
      <c r="AK1140" s="140">
        <v>64.0</v>
      </c>
      <c r="AL1140" s="109">
        <v>17.0</v>
      </c>
      <c r="AM1140" s="141">
        <v>25.0</v>
      </c>
      <c r="AN1140" s="80">
        <v>106.0</v>
      </c>
      <c r="AO1140" s="140">
        <v>23.0</v>
      </c>
      <c r="AP1140" s="109">
        <v>7.0</v>
      </c>
      <c r="AQ1140" s="109">
        <v>10.0</v>
      </c>
      <c r="AR1140" s="80">
        <v>40.0</v>
      </c>
      <c r="AS1140" s="110">
        <v>4.0</v>
      </c>
      <c r="AT1140" s="110">
        <v>7.0</v>
      </c>
      <c r="AU1140" s="110">
        <v>2.0</v>
      </c>
      <c r="AV1140" s="142">
        <v>0.0</v>
      </c>
      <c r="AW1140" s="80">
        <v>13.0</v>
      </c>
      <c r="AX1140" s="113">
        <v>159.0</v>
      </c>
      <c r="AY1140" s="117">
        <v>122.0</v>
      </c>
      <c r="AZ1140" s="328">
        <v>37.0</v>
      </c>
      <c r="BA1140" s="315">
        <v>0.0</v>
      </c>
      <c r="BB1140" s="316">
        <v>159.0</v>
      </c>
      <c r="BC1140" s="132" t="s">
        <v>563</v>
      </c>
      <c r="BD1140" s="132" t="s">
        <v>178</v>
      </c>
      <c r="BE1140" s="132" t="s">
        <v>178</v>
      </c>
      <c r="BF1140" s="123"/>
      <c r="BG1140" s="83">
        <v>1178346.0</v>
      </c>
      <c r="BH1140" s="98">
        <v>19.0</v>
      </c>
      <c r="BI1140" s="98" t="s">
        <v>155</v>
      </c>
      <c r="BJ1140" s="98" t="str">
        <f t="shared" si="1"/>
        <v>NÃO</v>
      </c>
      <c r="BK1140" s="98" t="str">
        <f t="shared" si="2"/>
        <v>PROFISSIONAL</v>
      </c>
    </row>
    <row r="1141" ht="15.75" customHeight="1">
      <c r="A1141" s="111" t="s">
        <v>1335</v>
      </c>
      <c r="B1141" s="83" t="s">
        <v>2050</v>
      </c>
      <c r="C1141" s="83" t="s">
        <v>164</v>
      </c>
      <c r="D1141" s="83">
        <v>1106386.0</v>
      </c>
      <c r="E1141" s="83">
        <v>1179180.0</v>
      </c>
      <c r="F1141" s="83"/>
      <c r="G1141" s="119" t="s">
        <v>10709</v>
      </c>
      <c r="H1141" s="91" t="s">
        <v>6009</v>
      </c>
      <c r="I1141" s="114" t="s">
        <v>149</v>
      </c>
      <c r="J1141" s="83" t="s">
        <v>6004</v>
      </c>
      <c r="K1141" s="83" t="s">
        <v>168</v>
      </c>
      <c r="L1141" s="83" t="s">
        <v>169</v>
      </c>
      <c r="M1141" s="82" t="s">
        <v>10626</v>
      </c>
      <c r="N1141" s="82" t="s">
        <v>10627</v>
      </c>
      <c r="O1141" s="82" t="s">
        <v>10628</v>
      </c>
      <c r="P1141" s="82" t="s">
        <v>10629</v>
      </c>
      <c r="Q1141" s="82" t="s">
        <v>10630</v>
      </c>
      <c r="R1141" s="82" t="s">
        <v>10631</v>
      </c>
      <c r="S1141" s="82" t="s">
        <v>10632</v>
      </c>
      <c r="T1141" s="138">
        <v>24.0</v>
      </c>
      <c r="U1141" s="406">
        <v>24.0</v>
      </c>
      <c r="V1141" s="106">
        <v>0.0</v>
      </c>
      <c r="W1141" s="107">
        <v>0.0</v>
      </c>
      <c r="X1141" s="107">
        <v>0.0</v>
      </c>
      <c r="Y1141" s="107">
        <v>0.0</v>
      </c>
      <c r="Z1141" s="80">
        <v>0.0</v>
      </c>
      <c r="AA1141" s="140">
        <v>0.0</v>
      </c>
      <c r="AB1141" s="109">
        <v>0.0</v>
      </c>
      <c r="AC1141" s="109">
        <v>0.0</v>
      </c>
      <c r="AD1141" s="141">
        <v>0.0</v>
      </c>
      <c r="AE1141" s="80">
        <v>0.0</v>
      </c>
      <c r="AF1141" s="140">
        <v>0.0</v>
      </c>
      <c r="AG1141" s="109">
        <v>0.0</v>
      </c>
      <c r="AH1141" s="109">
        <v>0.0</v>
      </c>
      <c r="AI1141" s="141">
        <v>0.0</v>
      </c>
      <c r="AJ1141" s="80">
        <v>0.0</v>
      </c>
      <c r="AK1141" s="140">
        <v>8.0</v>
      </c>
      <c r="AL1141" s="109">
        <v>11.0</v>
      </c>
      <c r="AM1141" s="141">
        <v>0.0</v>
      </c>
      <c r="AN1141" s="80">
        <v>19.0</v>
      </c>
      <c r="AO1141" s="140">
        <v>7.0</v>
      </c>
      <c r="AP1141" s="109">
        <v>10.0</v>
      </c>
      <c r="AQ1141" s="109">
        <v>0.0</v>
      </c>
      <c r="AR1141" s="80">
        <v>17.0</v>
      </c>
      <c r="AS1141" s="110">
        <v>0.0</v>
      </c>
      <c r="AT1141" s="110">
        <v>0.0</v>
      </c>
      <c r="AU1141" s="110">
        <v>0.0</v>
      </c>
      <c r="AV1141" s="142">
        <v>0.0</v>
      </c>
      <c r="AW1141" s="80">
        <v>0.0</v>
      </c>
      <c r="AX1141" s="113">
        <v>36.0</v>
      </c>
      <c r="AY1141" s="117">
        <v>36.0</v>
      </c>
      <c r="AZ1141" s="328">
        <v>0.0</v>
      </c>
      <c r="BA1141" s="349">
        <v>0.0</v>
      </c>
      <c r="BB1141" s="316">
        <v>36.0</v>
      </c>
      <c r="BC1141" s="132" t="s">
        <v>10138</v>
      </c>
      <c r="BD1141" s="132" t="s">
        <v>178</v>
      </c>
      <c r="BE1141" s="132" t="s">
        <v>178</v>
      </c>
      <c r="BF1141" s="123"/>
      <c r="BG1141" s="83">
        <v>1179180.0</v>
      </c>
      <c r="BH1141" s="98">
        <v>24.0</v>
      </c>
      <c r="BI1141" s="98" t="s">
        <v>155</v>
      </c>
      <c r="BJ1141" s="98" t="str">
        <f t="shared" si="1"/>
        <v>NÃO</v>
      </c>
      <c r="BK1141" s="98" t="str">
        <f t="shared" si="2"/>
        <v>NÃO</v>
      </c>
    </row>
    <row r="1142" ht="15.75" customHeight="1">
      <c r="A1142" s="111" t="s">
        <v>1335</v>
      </c>
      <c r="B1142" s="83" t="s">
        <v>6010</v>
      </c>
      <c r="C1142" s="83" t="s">
        <v>68</v>
      </c>
      <c r="D1142" s="83">
        <v>1160380.0</v>
      </c>
      <c r="E1142" s="83"/>
      <c r="F1142" s="83">
        <v>2.9098165E7</v>
      </c>
      <c r="G1142" s="119" t="s">
        <v>6011</v>
      </c>
      <c r="H1142" s="91" t="s">
        <v>6012</v>
      </c>
      <c r="I1142" s="114" t="s">
        <v>149</v>
      </c>
      <c r="J1142" s="83" t="s">
        <v>150</v>
      </c>
      <c r="K1142" s="83" t="s">
        <v>151</v>
      </c>
      <c r="L1142" s="83" t="s">
        <v>76</v>
      </c>
      <c r="M1142" s="82" t="s">
        <v>10710</v>
      </c>
      <c r="N1142" s="82" t="s">
        <v>10711</v>
      </c>
      <c r="O1142" s="82" t="s">
        <v>10712</v>
      </c>
      <c r="P1142" s="82" t="s">
        <v>10713</v>
      </c>
      <c r="Q1142" s="82"/>
      <c r="R1142" s="82"/>
      <c r="S1142" s="82" t="s">
        <v>10714</v>
      </c>
      <c r="T1142" s="138">
        <v>12.0</v>
      </c>
      <c r="U1142" s="406">
        <v>12.0</v>
      </c>
      <c r="V1142" s="106">
        <v>0.0</v>
      </c>
      <c r="W1142" s="107">
        <v>0.0</v>
      </c>
      <c r="X1142" s="107">
        <v>0.0</v>
      </c>
      <c r="Y1142" s="107">
        <v>0.0</v>
      </c>
      <c r="Z1142" s="80">
        <v>0.0</v>
      </c>
      <c r="AA1142" s="140">
        <v>0.0</v>
      </c>
      <c r="AB1142" s="109">
        <v>0.0</v>
      </c>
      <c r="AC1142" s="109">
        <v>0.0</v>
      </c>
      <c r="AD1142" s="141">
        <v>0.0</v>
      </c>
      <c r="AE1142" s="80">
        <v>0.0</v>
      </c>
      <c r="AF1142" s="140">
        <v>130.0</v>
      </c>
      <c r="AG1142" s="109">
        <v>61.0</v>
      </c>
      <c r="AH1142" s="109">
        <v>0.0</v>
      </c>
      <c r="AI1142" s="141">
        <v>279.0</v>
      </c>
      <c r="AJ1142" s="80">
        <v>470.0</v>
      </c>
      <c r="AK1142" s="140">
        <v>0.0</v>
      </c>
      <c r="AL1142" s="109">
        <v>0.0</v>
      </c>
      <c r="AM1142" s="141">
        <v>0.0</v>
      </c>
      <c r="AN1142" s="80">
        <v>0.0</v>
      </c>
      <c r="AO1142" s="140">
        <v>0.0</v>
      </c>
      <c r="AP1142" s="109">
        <v>0.0</v>
      </c>
      <c r="AQ1142" s="109">
        <v>0.0</v>
      </c>
      <c r="AR1142" s="80">
        <v>0.0</v>
      </c>
      <c r="AS1142" s="110">
        <v>0.0</v>
      </c>
      <c r="AT1142" s="110">
        <v>0.0</v>
      </c>
      <c r="AU1142" s="110">
        <v>0.0</v>
      </c>
      <c r="AV1142" s="142">
        <v>0.0</v>
      </c>
      <c r="AW1142" s="80">
        <v>0.0</v>
      </c>
      <c r="AX1142" s="113">
        <v>470.0</v>
      </c>
      <c r="AY1142" s="117">
        <v>470.0</v>
      </c>
      <c r="AZ1142" s="328">
        <v>0.0</v>
      </c>
      <c r="BA1142" s="315">
        <v>0.0</v>
      </c>
      <c r="BB1142" s="316">
        <v>470.0</v>
      </c>
      <c r="BC1142" s="132" t="s">
        <v>178</v>
      </c>
      <c r="BD1142" s="132" t="s">
        <v>178</v>
      </c>
      <c r="BE1142" s="132" t="s">
        <v>178</v>
      </c>
      <c r="BF1142" s="123"/>
      <c r="BG1142" s="83">
        <v>1160380.0</v>
      </c>
      <c r="BH1142" s="112">
        <v>12.0</v>
      </c>
      <c r="BI1142" s="98" t="s">
        <v>162</v>
      </c>
      <c r="BJ1142" s="98" t="str">
        <f t="shared" si="1"/>
        <v>INTEGRAL</v>
      </c>
      <c r="BK1142" s="98" t="str">
        <f t="shared" si="2"/>
        <v>NÃO</v>
      </c>
    </row>
    <row r="1143" ht="15.75" customHeight="1">
      <c r="A1143" s="111" t="s">
        <v>1335</v>
      </c>
      <c r="B1143" s="83" t="s">
        <v>6023</v>
      </c>
      <c r="C1143" s="83" t="s">
        <v>45</v>
      </c>
      <c r="D1143" s="83">
        <v>1178418.0</v>
      </c>
      <c r="E1143" s="83"/>
      <c r="F1143" s="83">
        <v>2.9396158E7</v>
      </c>
      <c r="G1143" s="114" t="s">
        <v>6024</v>
      </c>
      <c r="H1143" s="91" t="s">
        <v>6025</v>
      </c>
      <c r="I1143" s="114" t="s">
        <v>6026</v>
      </c>
      <c r="J1143" s="98" t="s">
        <v>150</v>
      </c>
      <c r="K1143" s="83" t="s">
        <v>171</v>
      </c>
      <c r="L1143" s="83" t="s">
        <v>169</v>
      </c>
      <c r="M1143" s="82" t="s">
        <v>10715</v>
      </c>
      <c r="N1143" s="82" t="s">
        <v>10716</v>
      </c>
      <c r="O1143" s="82"/>
      <c r="P1143" s="82"/>
      <c r="Q1143" s="82"/>
      <c r="R1143" s="82"/>
      <c r="S1143" s="82"/>
      <c r="T1143" s="138">
        <v>5.0</v>
      </c>
      <c r="U1143" s="323" t="s">
        <v>171</v>
      </c>
      <c r="V1143" s="106">
        <v>0.0</v>
      </c>
      <c r="W1143" s="107">
        <v>0.0</v>
      </c>
      <c r="X1143" s="107">
        <v>0.0</v>
      </c>
      <c r="Y1143" s="107">
        <v>0.0</v>
      </c>
      <c r="Z1143" s="80">
        <v>0.0</v>
      </c>
      <c r="AA1143" s="140">
        <v>0.0</v>
      </c>
      <c r="AB1143" s="109">
        <v>0.0</v>
      </c>
      <c r="AC1143" s="109">
        <v>0.0</v>
      </c>
      <c r="AD1143" s="141">
        <v>49.0</v>
      </c>
      <c r="AE1143" s="80">
        <v>49.0</v>
      </c>
      <c r="AF1143" s="140">
        <v>0.0</v>
      </c>
      <c r="AG1143" s="109">
        <v>0.0</v>
      </c>
      <c r="AH1143" s="109">
        <v>0.0</v>
      </c>
      <c r="AI1143" s="141">
        <v>50.0</v>
      </c>
      <c r="AJ1143" s="80">
        <v>50.0</v>
      </c>
      <c r="AK1143" s="140">
        <v>0.0</v>
      </c>
      <c r="AL1143" s="109">
        <v>0.0</v>
      </c>
      <c r="AM1143" s="141">
        <v>0.0</v>
      </c>
      <c r="AN1143" s="80">
        <v>0.0</v>
      </c>
      <c r="AO1143" s="140">
        <v>0.0</v>
      </c>
      <c r="AP1143" s="109">
        <v>0.0</v>
      </c>
      <c r="AQ1143" s="109">
        <v>0.0</v>
      </c>
      <c r="AR1143" s="80">
        <v>0.0</v>
      </c>
      <c r="AS1143" s="110">
        <v>0.0</v>
      </c>
      <c r="AT1143" s="110">
        <v>0.0</v>
      </c>
      <c r="AU1143" s="110">
        <v>0.0</v>
      </c>
      <c r="AV1143" s="142">
        <v>0.0</v>
      </c>
      <c r="AW1143" s="80">
        <v>0.0</v>
      </c>
      <c r="AX1143" s="113">
        <v>99.0</v>
      </c>
      <c r="AY1143" s="117">
        <v>99.0</v>
      </c>
      <c r="AZ1143" s="328">
        <v>0.0</v>
      </c>
      <c r="BA1143" s="315">
        <v>0.0</v>
      </c>
      <c r="BB1143" s="316">
        <v>99.0</v>
      </c>
      <c r="BC1143" s="132" t="s">
        <v>178</v>
      </c>
      <c r="BD1143" s="132" t="s">
        <v>178</v>
      </c>
      <c r="BE1143" s="132" t="s">
        <v>178</v>
      </c>
      <c r="BF1143" s="123"/>
      <c r="BG1143" s="83">
        <v>1178418.0</v>
      </c>
      <c r="BH1143" s="112">
        <v>5.0</v>
      </c>
      <c r="BI1143" s="98" t="s">
        <v>155</v>
      </c>
      <c r="BJ1143" s="98" t="str">
        <f t="shared" si="1"/>
        <v>INTEGRAL</v>
      </c>
      <c r="BK1143" s="98" t="str">
        <f t="shared" si="2"/>
        <v>NÃO</v>
      </c>
    </row>
    <row r="1144" ht="15.75" customHeight="1">
      <c r="A1144" s="111" t="s">
        <v>1335</v>
      </c>
      <c r="B1144" s="83" t="s">
        <v>6023</v>
      </c>
      <c r="C1144" s="83" t="s">
        <v>68</v>
      </c>
      <c r="D1144" s="83">
        <v>1107129.0</v>
      </c>
      <c r="E1144" s="83"/>
      <c r="F1144" s="83">
        <v>2.910329E7</v>
      </c>
      <c r="G1144" s="119" t="s">
        <v>10717</v>
      </c>
      <c r="H1144" s="91" t="s">
        <v>10718</v>
      </c>
      <c r="I1144" s="114" t="s">
        <v>149</v>
      </c>
      <c r="J1144" s="83" t="s">
        <v>150</v>
      </c>
      <c r="K1144" s="83" t="s">
        <v>151</v>
      </c>
      <c r="L1144" s="83" t="s">
        <v>230</v>
      </c>
      <c r="M1144" s="82" t="s">
        <v>10719</v>
      </c>
      <c r="N1144" s="82" t="s">
        <v>10720</v>
      </c>
      <c r="O1144" s="82" t="s">
        <v>10721</v>
      </c>
      <c r="P1144" s="82" t="s">
        <v>10722</v>
      </c>
      <c r="Q1144" s="82" t="s">
        <v>10723</v>
      </c>
      <c r="R1144" s="82" t="s">
        <v>10724</v>
      </c>
      <c r="S1144" s="82" t="s">
        <v>10725</v>
      </c>
      <c r="T1144" s="138">
        <v>14.0</v>
      </c>
      <c r="U1144" s="401" t="s">
        <v>10726</v>
      </c>
      <c r="V1144" s="106">
        <v>0.0</v>
      </c>
      <c r="W1144" s="107">
        <v>0.0</v>
      </c>
      <c r="X1144" s="107">
        <v>0.0</v>
      </c>
      <c r="Y1144" s="107">
        <v>0.0</v>
      </c>
      <c r="Z1144" s="80">
        <v>0.0</v>
      </c>
      <c r="AA1144" s="140">
        <v>0.0</v>
      </c>
      <c r="AB1144" s="109">
        <v>0.0</v>
      </c>
      <c r="AC1144" s="109">
        <v>0.0</v>
      </c>
      <c r="AD1144" s="141">
        <v>0.0</v>
      </c>
      <c r="AE1144" s="80">
        <v>0.0</v>
      </c>
      <c r="AF1144" s="140">
        <v>279.0</v>
      </c>
      <c r="AG1144" s="109">
        <v>310.0</v>
      </c>
      <c r="AH1144" s="109">
        <v>26.0</v>
      </c>
      <c r="AI1144" s="141">
        <v>187.0</v>
      </c>
      <c r="AJ1144" s="80">
        <v>802.0</v>
      </c>
      <c r="AK1144" s="140">
        <v>0.0</v>
      </c>
      <c r="AL1144" s="109">
        <v>0.0</v>
      </c>
      <c r="AM1144" s="141">
        <v>0.0</v>
      </c>
      <c r="AN1144" s="80">
        <v>0.0</v>
      </c>
      <c r="AO1144" s="140">
        <v>0.0</v>
      </c>
      <c r="AP1144" s="109">
        <v>45.0</v>
      </c>
      <c r="AQ1144" s="109">
        <v>153.0</v>
      </c>
      <c r="AR1144" s="80">
        <v>198.0</v>
      </c>
      <c r="AS1144" s="110">
        <v>33.0</v>
      </c>
      <c r="AT1144" s="110">
        <v>0.0</v>
      </c>
      <c r="AU1144" s="110">
        <v>1.0</v>
      </c>
      <c r="AV1144" s="142">
        <v>0.0</v>
      </c>
      <c r="AW1144" s="80">
        <v>34.0</v>
      </c>
      <c r="AX1144" s="113">
        <v>1034.0</v>
      </c>
      <c r="AY1144" s="117">
        <v>854.0</v>
      </c>
      <c r="AZ1144" s="328">
        <v>180.0</v>
      </c>
      <c r="BA1144" s="315">
        <v>2.0</v>
      </c>
      <c r="BB1144" s="316">
        <v>1036.0</v>
      </c>
      <c r="BC1144" s="132" t="s">
        <v>178</v>
      </c>
      <c r="BD1144" s="132" t="s">
        <v>178</v>
      </c>
      <c r="BE1144" s="132" t="s">
        <v>178</v>
      </c>
      <c r="BF1144" s="123"/>
      <c r="BG1144" s="83">
        <v>1107129.0</v>
      </c>
      <c r="BH1144" s="112">
        <v>12.0</v>
      </c>
      <c r="BI1144" s="98" t="s">
        <v>155</v>
      </c>
      <c r="BJ1144" s="98" t="str">
        <f t="shared" si="1"/>
        <v>INTEGRAL</v>
      </c>
      <c r="BK1144" s="98" t="str">
        <f t="shared" si="2"/>
        <v>PROFISSIONAL</v>
      </c>
    </row>
    <row r="1145" ht="15.75" customHeight="1">
      <c r="A1145" s="111" t="s">
        <v>1335</v>
      </c>
      <c r="B1145" s="83" t="s">
        <v>6023</v>
      </c>
      <c r="C1145" s="83" t="s">
        <v>164</v>
      </c>
      <c r="D1145" s="83">
        <v>1107129.0</v>
      </c>
      <c r="E1145" s="83">
        <v>1179181.0</v>
      </c>
      <c r="F1145" s="83"/>
      <c r="G1145" s="220" t="s">
        <v>10727</v>
      </c>
      <c r="H1145" s="91" t="s">
        <v>6035</v>
      </c>
      <c r="I1145" s="187" t="s">
        <v>149</v>
      </c>
      <c r="J1145" s="83" t="s">
        <v>2704</v>
      </c>
      <c r="K1145" s="83" t="s">
        <v>168</v>
      </c>
      <c r="L1145" s="83" t="s">
        <v>169</v>
      </c>
      <c r="M1145" s="82" t="s">
        <v>10719</v>
      </c>
      <c r="N1145" s="82" t="s">
        <v>10720</v>
      </c>
      <c r="O1145" s="82" t="s">
        <v>10721</v>
      </c>
      <c r="P1145" s="82" t="s">
        <v>10722</v>
      </c>
      <c r="Q1145" s="82" t="s">
        <v>10723</v>
      </c>
      <c r="R1145" s="82" t="s">
        <v>10724</v>
      </c>
      <c r="S1145" s="82" t="s">
        <v>10725</v>
      </c>
      <c r="T1145" s="138">
        <v>2.0</v>
      </c>
      <c r="U1145" s="323" t="s">
        <v>10728</v>
      </c>
      <c r="V1145" s="106">
        <v>0.0</v>
      </c>
      <c r="W1145" s="107">
        <v>0.0</v>
      </c>
      <c r="X1145" s="107">
        <v>0.0</v>
      </c>
      <c r="Y1145" s="107">
        <v>0.0</v>
      </c>
      <c r="Z1145" s="80">
        <v>0.0</v>
      </c>
      <c r="AA1145" s="140">
        <v>0.0</v>
      </c>
      <c r="AB1145" s="109">
        <v>0.0</v>
      </c>
      <c r="AC1145" s="109">
        <v>0.0</v>
      </c>
      <c r="AD1145" s="141">
        <v>0.0</v>
      </c>
      <c r="AE1145" s="80">
        <v>0.0</v>
      </c>
      <c r="AF1145" s="140">
        <v>10.0</v>
      </c>
      <c r="AG1145" s="109">
        <v>0.0</v>
      </c>
      <c r="AH1145" s="109">
        <v>0.0</v>
      </c>
      <c r="AI1145" s="141">
        <v>0.0</v>
      </c>
      <c r="AJ1145" s="80">
        <v>10.0</v>
      </c>
      <c r="AK1145" s="140">
        <v>0.0</v>
      </c>
      <c r="AL1145" s="109">
        <v>0.0</v>
      </c>
      <c r="AM1145" s="141">
        <v>0.0</v>
      </c>
      <c r="AN1145" s="80">
        <v>0.0</v>
      </c>
      <c r="AO1145" s="140">
        <v>0.0</v>
      </c>
      <c r="AP1145" s="109">
        <v>0.0</v>
      </c>
      <c r="AQ1145" s="109">
        <v>0.0</v>
      </c>
      <c r="AR1145" s="80">
        <v>0.0</v>
      </c>
      <c r="AS1145" s="110">
        <v>0.0</v>
      </c>
      <c r="AT1145" s="110">
        <v>0.0</v>
      </c>
      <c r="AU1145" s="110">
        <v>0.0</v>
      </c>
      <c r="AV1145" s="142">
        <v>0.0</v>
      </c>
      <c r="AW1145" s="80">
        <v>0.0</v>
      </c>
      <c r="AX1145" s="113">
        <v>10.0</v>
      </c>
      <c r="AY1145" s="117">
        <v>10.0</v>
      </c>
      <c r="AZ1145" s="328">
        <v>0.0</v>
      </c>
      <c r="BA1145" s="315">
        <v>12.0</v>
      </c>
      <c r="BB1145" s="316">
        <v>22.0</v>
      </c>
      <c r="BC1145" s="132" t="s">
        <v>373</v>
      </c>
      <c r="BD1145" s="132" t="s">
        <v>178</v>
      </c>
      <c r="BE1145" s="132" t="s">
        <v>178</v>
      </c>
      <c r="BF1145" s="156"/>
      <c r="BG1145" s="83">
        <v>1179181.0</v>
      </c>
      <c r="BH1145" s="112">
        <v>2.0</v>
      </c>
      <c r="BI1145" s="98" t="s">
        <v>155</v>
      </c>
      <c r="BJ1145" s="98" t="str">
        <f t="shared" si="1"/>
        <v>NÃO</v>
      </c>
      <c r="BK1145" s="98" t="str">
        <f t="shared" si="2"/>
        <v>NÃO</v>
      </c>
    </row>
    <row r="1146" ht="15.75" customHeight="1">
      <c r="A1146" s="111" t="s">
        <v>1335</v>
      </c>
      <c r="B1146" s="83" t="s">
        <v>6023</v>
      </c>
      <c r="C1146" s="83" t="s">
        <v>164</v>
      </c>
      <c r="D1146" s="83">
        <v>1107129.0</v>
      </c>
      <c r="E1146" s="83">
        <v>1178457.0</v>
      </c>
      <c r="F1146" s="83"/>
      <c r="G1146" s="292" t="s">
        <v>6031</v>
      </c>
      <c r="H1146" s="91" t="s">
        <v>6032</v>
      </c>
      <c r="I1146" s="114" t="s">
        <v>149</v>
      </c>
      <c r="J1146" s="136" t="s">
        <v>6033</v>
      </c>
      <c r="K1146" s="83" t="s">
        <v>168</v>
      </c>
      <c r="L1146" s="83" t="s">
        <v>169</v>
      </c>
      <c r="M1146" s="82" t="s">
        <v>10719</v>
      </c>
      <c r="N1146" s="82" t="s">
        <v>10720</v>
      </c>
      <c r="O1146" s="82" t="s">
        <v>10721</v>
      </c>
      <c r="P1146" s="82" t="s">
        <v>10722</v>
      </c>
      <c r="Q1146" s="82" t="s">
        <v>10723</v>
      </c>
      <c r="R1146" s="82" t="s">
        <v>10724</v>
      </c>
      <c r="S1146" s="82" t="s">
        <v>10725</v>
      </c>
      <c r="T1146" s="138">
        <v>3.0</v>
      </c>
      <c r="U1146" s="364">
        <v>3.0</v>
      </c>
      <c r="V1146" s="106">
        <v>0.0</v>
      </c>
      <c r="W1146" s="107">
        <v>0.0</v>
      </c>
      <c r="X1146" s="107">
        <v>0.0</v>
      </c>
      <c r="Y1146" s="107">
        <v>0.0</v>
      </c>
      <c r="Z1146" s="80">
        <v>0.0</v>
      </c>
      <c r="AA1146" s="140">
        <v>0.0</v>
      </c>
      <c r="AB1146" s="109">
        <v>0.0</v>
      </c>
      <c r="AC1146" s="109">
        <v>0.0</v>
      </c>
      <c r="AD1146" s="141">
        <v>0.0</v>
      </c>
      <c r="AE1146" s="80">
        <v>0.0</v>
      </c>
      <c r="AF1146" s="246">
        <v>43.0</v>
      </c>
      <c r="AG1146" s="246">
        <v>29.0</v>
      </c>
      <c r="AH1146" s="246">
        <v>27.0</v>
      </c>
      <c r="AI1146" s="247">
        <v>0.0</v>
      </c>
      <c r="AJ1146" s="80">
        <v>99.0</v>
      </c>
      <c r="AK1146" s="140">
        <v>0.0</v>
      </c>
      <c r="AL1146" s="109">
        <v>0.0</v>
      </c>
      <c r="AM1146" s="141">
        <v>0.0</v>
      </c>
      <c r="AN1146" s="80">
        <v>0.0</v>
      </c>
      <c r="AO1146" s="246">
        <v>0.0</v>
      </c>
      <c r="AP1146" s="246">
        <v>0.0</v>
      </c>
      <c r="AQ1146" s="247">
        <v>0.0</v>
      </c>
      <c r="AR1146" s="80">
        <v>0.0</v>
      </c>
      <c r="AS1146" s="110">
        <v>0.0</v>
      </c>
      <c r="AT1146" s="110">
        <v>0.0</v>
      </c>
      <c r="AU1146" s="110">
        <v>0.0</v>
      </c>
      <c r="AV1146" s="142">
        <v>0.0</v>
      </c>
      <c r="AW1146" s="80">
        <v>0.0</v>
      </c>
      <c r="AX1146" s="113">
        <v>99.0</v>
      </c>
      <c r="AY1146" s="117">
        <v>72.0</v>
      </c>
      <c r="AZ1146" s="328">
        <v>27.0</v>
      </c>
      <c r="BA1146" s="315">
        <v>0.0</v>
      </c>
      <c r="BB1146" s="316">
        <v>99.0</v>
      </c>
      <c r="BC1146" s="132" t="s">
        <v>373</v>
      </c>
      <c r="BD1146" s="132" t="s">
        <v>178</v>
      </c>
      <c r="BE1146" s="132" t="s">
        <v>178</v>
      </c>
      <c r="BF1146" s="123"/>
      <c r="BG1146" s="83">
        <v>1178457.0</v>
      </c>
      <c r="BH1146" s="112">
        <v>3.0</v>
      </c>
      <c r="BI1146" s="98" t="s">
        <v>155</v>
      </c>
      <c r="BJ1146" s="98" t="str">
        <f t="shared" si="1"/>
        <v>NÃO</v>
      </c>
      <c r="BK1146" s="98" t="str">
        <f t="shared" si="2"/>
        <v>NÃO</v>
      </c>
    </row>
    <row r="1147" ht="15.75" customHeight="1">
      <c r="A1147" s="111" t="s">
        <v>1335</v>
      </c>
      <c r="B1147" s="83" t="s">
        <v>6036</v>
      </c>
      <c r="C1147" s="83" t="s">
        <v>68</v>
      </c>
      <c r="D1147" s="83">
        <v>1107404.0</v>
      </c>
      <c r="E1147" s="83"/>
      <c r="F1147" s="83">
        <v>2.910744E7</v>
      </c>
      <c r="G1147" s="185" t="s">
        <v>10729</v>
      </c>
      <c r="H1147" s="91" t="s">
        <v>6041</v>
      </c>
      <c r="I1147" s="114" t="s">
        <v>149</v>
      </c>
      <c r="J1147" s="83" t="s">
        <v>150</v>
      </c>
      <c r="K1147" s="83" t="s">
        <v>5791</v>
      </c>
      <c r="L1147" s="83" t="s">
        <v>152</v>
      </c>
      <c r="M1147" s="82" t="s">
        <v>10730</v>
      </c>
      <c r="N1147" s="82" t="s">
        <v>10731</v>
      </c>
      <c r="O1147" s="82" t="s">
        <v>10732</v>
      </c>
      <c r="P1147" s="82" t="s">
        <v>10733</v>
      </c>
      <c r="Q1147" s="82" t="s">
        <v>10734</v>
      </c>
      <c r="R1147" s="82" t="s">
        <v>10735</v>
      </c>
      <c r="S1147" s="82" t="s">
        <v>10736</v>
      </c>
      <c r="T1147" s="138">
        <v>20.0</v>
      </c>
      <c r="U1147" s="514" t="s">
        <v>10737</v>
      </c>
      <c r="V1147" s="106">
        <v>0.0</v>
      </c>
      <c r="W1147" s="107">
        <v>0.0</v>
      </c>
      <c r="X1147" s="107">
        <v>0.0</v>
      </c>
      <c r="Y1147" s="107">
        <v>0.0</v>
      </c>
      <c r="Z1147" s="80">
        <v>0.0</v>
      </c>
      <c r="AA1147" s="140">
        <v>0.0</v>
      </c>
      <c r="AB1147" s="109">
        <v>0.0</v>
      </c>
      <c r="AC1147" s="109">
        <v>0.0</v>
      </c>
      <c r="AD1147" s="141">
        <v>0.0</v>
      </c>
      <c r="AE1147" s="80">
        <v>0.0</v>
      </c>
      <c r="AF1147" s="140">
        <v>269.0</v>
      </c>
      <c r="AG1147" s="109">
        <v>180.0</v>
      </c>
      <c r="AH1147" s="109">
        <v>0.0</v>
      </c>
      <c r="AI1147" s="141">
        <v>0.0</v>
      </c>
      <c r="AJ1147" s="80">
        <v>449.0</v>
      </c>
      <c r="AK1147" s="140">
        <v>0.0</v>
      </c>
      <c r="AL1147" s="109">
        <v>0.0</v>
      </c>
      <c r="AM1147" s="141">
        <v>0.0</v>
      </c>
      <c r="AN1147" s="80">
        <v>0.0</v>
      </c>
      <c r="AO1147" s="140">
        <v>0.0</v>
      </c>
      <c r="AP1147" s="109">
        <v>0.0</v>
      </c>
      <c r="AQ1147" s="109">
        <v>140.0</v>
      </c>
      <c r="AR1147" s="80">
        <v>140.0</v>
      </c>
      <c r="AS1147" s="110">
        <v>0.0</v>
      </c>
      <c r="AT1147" s="110">
        <v>0.0</v>
      </c>
      <c r="AU1147" s="110">
        <v>0.0</v>
      </c>
      <c r="AV1147" s="142">
        <v>0.0</v>
      </c>
      <c r="AW1147" s="80">
        <v>0.0</v>
      </c>
      <c r="AX1147" s="113">
        <v>589.0</v>
      </c>
      <c r="AY1147" s="117">
        <v>449.0</v>
      </c>
      <c r="AZ1147" s="328">
        <v>140.0</v>
      </c>
      <c r="BA1147" s="315">
        <v>0.0</v>
      </c>
      <c r="BB1147" s="316">
        <v>589.0</v>
      </c>
      <c r="BC1147" s="132" t="s">
        <v>178</v>
      </c>
      <c r="BD1147" s="132" t="s">
        <v>178</v>
      </c>
      <c r="BE1147" s="132" t="s">
        <v>178</v>
      </c>
      <c r="BF1147" s="123"/>
      <c r="BG1147" s="83">
        <v>1107404.0</v>
      </c>
      <c r="BH1147" s="112">
        <v>12.0</v>
      </c>
      <c r="BI1147" s="98" t="s">
        <v>155</v>
      </c>
      <c r="BJ1147" s="98" t="str">
        <f t="shared" si="1"/>
        <v>NÃO</v>
      </c>
      <c r="BK1147" s="98" t="str">
        <f t="shared" si="2"/>
        <v>NÃO</v>
      </c>
    </row>
    <row r="1148" ht="15.75" customHeight="1">
      <c r="A1148" s="111" t="s">
        <v>1335</v>
      </c>
      <c r="B1148" s="83" t="s">
        <v>6036</v>
      </c>
      <c r="C1148" s="83" t="s">
        <v>68</v>
      </c>
      <c r="D1148" s="83">
        <v>1107382.0</v>
      </c>
      <c r="E1148" s="83"/>
      <c r="F1148" s="83">
        <v>2.9107466E7</v>
      </c>
      <c r="G1148" s="185" t="s">
        <v>6037</v>
      </c>
      <c r="H1148" s="91" t="s">
        <v>6038</v>
      </c>
      <c r="I1148" s="114" t="s">
        <v>149</v>
      </c>
      <c r="J1148" s="83" t="s">
        <v>150</v>
      </c>
      <c r="K1148" s="83" t="s">
        <v>151</v>
      </c>
      <c r="L1148" s="83" t="s">
        <v>152</v>
      </c>
      <c r="M1148" s="82" t="s">
        <v>10738</v>
      </c>
      <c r="N1148" s="82" t="s">
        <v>10739</v>
      </c>
      <c r="O1148" s="82" t="s">
        <v>10740</v>
      </c>
      <c r="P1148" s="82" t="s">
        <v>10741</v>
      </c>
      <c r="Q1148" s="82" t="s">
        <v>10742</v>
      </c>
      <c r="R1148" s="82" t="s">
        <v>10743</v>
      </c>
      <c r="S1148" s="82" t="s">
        <v>10744</v>
      </c>
      <c r="T1148" s="138">
        <v>11.0</v>
      </c>
      <c r="U1148" s="514">
        <v>12.0</v>
      </c>
      <c r="V1148" s="106">
        <v>0.0</v>
      </c>
      <c r="W1148" s="107">
        <v>0.0</v>
      </c>
      <c r="X1148" s="107">
        <v>0.0</v>
      </c>
      <c r="Y1148" s="107">
        <v>0.0</v>
      </c>
      <c r="Z1148" s="80">
        <v>0.0</v>
      </c>
      <c r="AA1148" s="140">
        <v>0.0</v>
      </c>
      <c r="AB1148" s="109">
        <v>0.0</v>
      </c>
      <c r="AC1148" s="109">
        <v>0.0</v>
      </c>
      <c r="AD1148" s="141">
        <v>0.0</v>
      </c>
      <c r="AE1148" s="80">
        <v>0.0</v>
      </c>
      <c r="AF1148" s="140">
        <v>98.0</v>
      </c>
      <c r="AG1148" s="109">
        <v>53.0</v>
      </c>
      <c r="AH1148" s="109">
        <v>0.0</v>
      </c>
      <c r="AI1148" s="141">
        <v>0.0</v>
      </c>
      <c r="AJ1148" s="80">
        <v>151.0</v>
      </c>
      <c r="AK1148" s="140">
        <v>0.0</v>
      </c>
      <c r="AL1148" s="109">
        <v>0.0</v>
      </c>
      <c r="AM1148" s="141">
        <v>0.0</v>
      </c>
      <c r="AN1148" s="80">
        <v>0.0</v>
      </c>
      <c r="AO1148" s="140">
        <v>0.0</v>
      </c>
      <c r="AP1148" s="109">
        <v>0.0</v>
      </c>
      <c r="AQ1148" s="109">
        <v>0.0</v>
      </c>
      <c r="AR1148" s="80">
        <v>0.0</v>
      </c>
      <c r="AS1148" s="110">
        <v>155.0</v>
      </c>
      <c r="AT1148" s="110">
        <v>67.0</v>
      </c>
      <c r="AU1148" s="110">
        <v>190.0</v>
      </c>
      <c r="AV1148" s="142">
        <v>0.0</v>
      </c>
      <c r="AW1148" s="80">
        <v>412.0</v>
      </c>
      <c r="AX1148" s="113">
        <v>563.0</v>
      </c>
      <c r="AY1148" s="117">
        <v>373.0</v>
      </c>
      <c r="AZ1148" s="328">
        <v>190.0</v>
      </c>
      <c r="BA1148" s="315">
        <v>0.0</v>
      </c>
      <c r="BB1148" s="316">
        <v>563.0</v>
      </c>
      <c r="BC1148" s="132" t="s">
        <v>178</v>
      </c>
      <c r="BD1148" s="132" t="s">
        <v>178</v>
      </c>
      <c r="BE1148" s="132" t="s">
        <v>178</v>
      </c>
      <c r="BF1148" s="123"/>
      <c r="BG1148" s="83">
        <v>1107382.0</v>
      </c>
      <c r="BH1148" s="112">
        <v>12.0</v>
      </c>
      <c r="BI1148" s="98" t="s">
        <v>155</v>
      </c>
      <c r="BJ1148" s="98" t="str">
        <f t="shared" si="1"/>
        <v>NÃO</v>
      </c>
      <c r="BK1148" s="98" t="str">
        <f t="shared" si="2"/>
        <v>PROFISSIONAL</v>
      </c>
    </row>
    <row r="1149" ht="15.75" customHeight="1">
      <c r="A1149" s="111" t="s">
        <v>1335</v>
      </c>
      <c r="B1149" s="83" t="s">
        <v>6043</v>
      </c>
      <c r="C1149" s="83" t="s">
        <v>68</v>
      </c>
      <c r="D1149" s="83">
        <v>1107420.0</v>
      </c>
      <c r="E1149" s="83"/>
      <c r="F1149" s="83">
        <v>2.9108047E7</v>
      </c>
      <c r="G1149" s="184" t="s">
        <v>10745</v>
      </c>
      <c r="H1149" s="91" t="s">
        <v>6045</v>
      </c>
      <c r="I1149" s="114" t="s">
        <v>149</v>
      </c>
      <c r="J1149" s="83" t="s">
        <v>150</v>
      </c>
      <c r="K1149" s="83" t="s">
        <v>151</v>
      </c>
      <c r="L1149" s="83" t="s">
        <v>76</v>
      </c>
      <c r="M1149" s="82" t="s">
        <v>10746</v>
      </c>
      <c r="N1149" s="82" t="s">
        <v>10747</v>
      </c>
      <c r="O1149" s="82" t="s">
        <v>10748</v>
      </c>
      <c r="P1149" s="82" t="s">
        <v>10749</v>
      </c>
      <c r="Q1149" s="82"/>
      <c r="R1149" s="82"/>
      <c r="S1149" s="82" t="s">
        <v>10750</v>
      </c>
      <c r="T1149" s="138">
        <v>7.0</v>
      </c>
      <c r="U1149" s="341" t="s">
        <v>10751</v>
      </c>
      <c r="V1149" s="106">
        <v>0.0</v>
      </c>
      <c r="W1149" s="107">
        <v>0.0</v>
      </c>
      <c r="X1149" s="107">
        <v>0.0</v>
      </c>
      <c r="Y1149" s="107">
        <v>0.0</v>
      </c>
      <c r="Z1149" s="80">
        <v>0.0</v>
      </c>
      <c r="AA1149" s="140">
        <v>0.0</v>
      </c>
      <c r="AB1149" s="109">
        <v>0.0</v>
      </c>
      <c r="AC1149" s="109">
        <v>0.0</v>
      </c>
      <c r="AD1149" s="141">
        <v>0.0</v>
      </c>
      <c r="AE1149" s="80">
        <v>0.0</v>
      </c>
      <c r="AF1149" s="140">
        <v>151.0</v>
      </c>
      <c r="AG1149" s="109">
        <v>135.0</v>
      </c>
      <c r="AH1149" s="109">
        <v>0.0</v>
      </c>
      <c r="AI1149" s="141">
        <v>57.0</v>
      </c>
      <c r="AJ1149" s="80">
        <v>343.0</v>
      </c>
      <c r="AK1149" s="140">
        <v>0.0</v>
      </c>
      <c r="AL1149" s="109">
        <v>0.0</v>
      </c>
      <c r="AM1149" s="141">
        <v>0.0</v>
      </c>
      <c r="AN1149" s="80">
        <v>0.0</v>
      </c>
      <c r="AO1149" s="140">
        <v>0.0</v>
      </c>
      <c r="AP1149" s="109">
        <v>0.0</v>
      </c>
      <c r="AQ1149" s="109">
        <v>67.0</v>
      </c>
      <c r="AR1149" s="80">
        <v>67.0</v>
      </c>
      <c r="AS1149" s="110">
        <v>0.0</v>
      </c>
      <c r="AT1149" s="110">
        <v>0.0</v>
      </c>
      <c r="AU1149" s="110">
        <v>0.0</v>
      </c>
      <c r="AV1149" s="142">
        <v>0.0</v>
      </c>
      <c r="AW1149" s="80">
        <v>0.0</v>
      </c>
      <c r="AX1149" s="113">
        <v>410.0</v>
      </c>
      <c r="AY1149" s="117">
        <v>343.0</v>
      </c>
      <c r="AZ1149" s="328">
        <v>67.0</v>
      </c>
      <c r="BA1149" s="315">
        <v>0.0</v>
      </c>
      <c r="BB1149" s="316">
        <v>410.0</v>
      </c>
      <c r="BC1149" s="132" t="s">
        <v>178</v>
      </c>
      <c r="BD1149" s="132" t="s">
        <v>178</v>
      </c>
      <c r="BE1149" s="132" t="s">
        <v>178</v>
      </c>
      <c r="BF1149" s="123"/>
      <c r="BG1149" s="83">
        <v>1107420.0</v>
      </c>
      <c r="BH1149" s="112">
        <v>6.0</v>
      </c>
      <c r="BI1149" s="98" t="s">
        <v>155</v>
      </c>
      <c r="BJ1149" s="98" t="str">
        <f t="shared" si="1"/>
        <v>INTEGRAL</v>
      </c>
      <c r="BK1149" s="98" t="str">
        <f t="shared" si="2"/>
        <v>NÃO</v>
      </c>
    </row>
    <row r="1150" ht="15.75" customHeight="1">
      <c r="A1150" s="111" t="s">
        <v>1335</v>
      </c>
      <c r="B1150" s="83" t="s">
        <v>6047</v>
      </c>
      <c r="C1150" s="83" t="s">
        <v>68</v>
      </c>
      <c r="D1150" s="83">
        <v>1107501.0</v>
      </c>
      <c r="E1150" s="83"/>
      <c r="F1150" s="83">
        <v>2.9109361E7</v>
      </c>
      <c r="G1150" s="114" t="s">
        <v>10752</v>
      </c>
      <c r="H1150" s="91" t="s">
        <v>10753</v>
      </c>
      <c r="I1150" s="114" t="s">
        <v>149</v>
      </c>
      <c r="J1150" s="83" t="s">
        <v>150</v>
      </c>
      <c r="K1150" s="83" t="s">
        <v>151</v>
      </c>
      <c r="L1150" s="83" t="s">
        <v>230</v>
      </c>
      <c r="M1150" s="82" t="s">
        <v>10754</v>
      </c>
      <c r="N1150" s="82" t="s">
        <v>10755</v>
      </c>
      <c r="O1150" s="82" t="s">
        <v>10756</v>
      </c>
      <c r="P1150" s="82" t="s">
        <v>10757</v>
      </c>
      <c r="Q1150" s="82" t="s">
        <v>10758</v>
      </c>
      <c r="R1150" s="82" t="s">
        <v>10759</v>
      </c>
      <c r="S1150" s="82" t="s">
        <v>10760</v>
      </c>
      <c r="T1150" s="138">
        <v>25.0</v>
      </c>
      <c r="U1150" s="389">
        <v>26.0</v>
      </c>
      <c r="V1150" s="106">
        <v>0.0</v>
      </c>
      <c r="W1150" s="107">
        <v>0.0</v>
      </c>
      <c r="X1150" s="107">
        <v>0.0</v>
      </c>
      <c r="Y1150" s="107">
        <v>0.0</v>
      </c>
      <c r="Z1150" s="80">
        <v>0.0</v>
      </c>
      <c r="AA1150" s="140">
        <v>0.0</v>
      </c>
      <c r="AB1150" s="109">
        <v>0.0</v>
      </c>
      <c r="AC1150" s="109">
        <v>0.0</v>
      </c>
      <c r="AD1150" s="141">
        <v>0.0</v>
      </c>
      <c r="AE1150" s="80">
        <v>0.0</v>
      </c>
      <c r="AF1150" s="140">
        <v>799.0</v>
      </c>
      <c r="AG1150" s="109">
        <v>587.0</v>
      </c>
      <c r="AH1150" s="109">
        <v>62.0</v>
      </c>
      <c r="AI1150" s="141">
        <v>158.0</v>
      </c>
      <c r="AJ1150" s="80">
        <v>1606.0</v>
      </c>
      <c r="AK1150" s="140">
        <v>0.0</v>
      </c>
      <c r="AL1150" s="109">
        <v>0.0</v>
      </c>
      <c r="AM1150" s="141">
        <v>0.0</v>
      </c>
      <c r="AN1150" s="80">
        <v>0.0</v>
      </c>
      <c r="AO1150" s="140">
        <v>0.0</v>
      </c>
      <c r="AP1150" s="109">
        <v>0.0</v>
      </c>
      <c r="AQ1150" s="109">
        <v>146.0</v>
      </c>
      <c r="AR1150" s="80">
        <v>146.0</v>
      </c>
      <c r="AS1150" s="110">
        <v>0.0</v>
      </c>
      <c r="AT1150" s="110">
        <v>0.0</v>
      </c>
      <c r="AU1150" s="110">
        <v>0.0</v>
      </c>
      <c r="AV1150" s="142">
        <v>0.0</v>
      </c>
      <c r="AW1150" s="80">
        <v>0.0</v>
      </c>
      <c r="AX1150" s="113">
        <v>1752.0</v>
      </c>
      <c r="AY1150" s="117">
        <v>1544.0</v>
      </c>
      <c r="AZ1150" s="328">
        <v>208.0</v>
      </c>
      <c r="BA1150" s="315">
        <v>0.0</v>
      </c>
      <c r="BB1150" s="316">
        <v>1752.0</v>
      </c>
      <c r="BC1150" s="132" t="s">
        <v>178</v>
      </c>
      <c r="BD1150" s="132" t="s">
        <v>178</v>
      </c>
      <c r="BE1150" s="132" t="s">
        <v>178</v>
      </c>
      <c r="BF1150" s="123"/>
      <c r="BG1150" s="83">
        <v>1107501.0</v>
      </c>
      <c r="BH1150" s="112">
        <v>26.0</v>
      </c>
      <c r="BI1150" s="98" t="s">
        <v>155</v>
      </c>
      <c r="BJ1150" s="98" t="str">
        <f t="shared" si="1"/>
        <v>INTEGRAL</v>
      </c>
      <c r="BK1150" s="98" t="str">
        <f t="shared" si="2"/>
        <v>NÃO</v>
      </c>
    </row>
    <row r="1151" ht="15.75" customHeight="1">
      <c r="A1151" s="111" t="s">
        <v>1335</v>
      </c>
      <c r="B1151" s="83" t="s">
        <v>6047</v>
      </c>
      <c r="C1151" s="136" t="s">
        <v>68</v>
      </c>
      <c r="D1151" s="136">
        <v>1107455.0</v>
      </c>
      <c r="E1151" s="136"/>
      <c r="F1151" s="136">
        <v>2.91089E7</v>
      </c>
      <c r="G1151" s="147" t="s">
        <v>6048</v>
      </c>
      <c r="H1151" s="91" t="s">
        <v>6049</v>
      </c>
      <c r="I1151" s="114" t="s">
        <v>149</v>
      </c>
      <c r="J1151" s="83" t="s">
        <v>150</v>
      </c>
      <c r="K1151" s="83" t="s">
        <v>151</v>
      </c>
      <c r="L1151" s="83" t="s">
        <v>230</v>
      </c>
      <c r="M1151" s="82" t="s">
        <v>10761</v>
      </c>
      <c r="N1151" s="82" t="s">
        <v>10762</v>
      </c>
      <c r="O1151" s="82" t="s">
        <v>10763</v>
      </c>
      <c r="P1151" s="82" t="s">
        <v>10764</v>
      </c>
      <c r="Q1151" s="82" t="s">
        <v>10765</v>
      </c>
      <c r="R1151" s="82" t="s">
        <v>10766</v>
      </c>
      <c r="S1151" s="82" t="s">
        <v>10767</v>
      </c>
      <c r="T1151" s="138">
        <v>14.0</v>
      </c>
      <c r="U1151" s="323">
        <v>13.0</v>
      </c>
      <c r="V1151" s="106">
        <v>0.0</v>
      </c>
      <c r="W1151" s="107">
        <v>0.0</v>
      </c>
      <c r="X1151" s="107">
        <v>0.0</v>
      </c>
      <c r="Y1151" s="107">
        <v>0.0</v>
      </c>
      <c r="Z1151" s="80">
        <v>0.0</v>
      </c>
      <c r="AA1151" s="140">
        <v>0.0</v>
      </c>
      <c r="AB1151" s="109">
        <v>0.0</v>
      </c>
      <c r="AC1151" s="109">
        <v>0.0</v>
      </c>
      <c r="AD1151" s="141">
        <v>0.0</v>
      </c>
      <c r="AE1151" s="80">
        <v>0.0</v>
      </c>
      <c r="AF1151" s="140">
        <v>0.0</v>
      </c>
      <c r="AG1151" s="109">
        <v>0.0</v>
      </c>
      <c r="AH1151" s="109">
        <v>0.0</v>
      </c>
      <c r="AI1151" s="141">
        <v>80.0</v>
      </c>
      <c r="AJ1151" s="80">
        <v>80.0</v>
      </c>
      <c r="AK1151" s="140">
        <v>0.0</v>
      </c>
      <c r="AL1151" s="109">
        <v>0.0</v>
      </c>
      <c r="AM1151" s="141">
        <v>0.0</v>
      </c>
      <c r="AN1151" s="80">
        <v>0.0</v>
      </c>
      <c r="AO1151" s="140">
        <v>0.0</v>
      </c>
      <c r="AP1151" s="109">
        <v>0.0</v>
      </c>
      <c r="AQ1151" s="109">
        <v>117.0</v>
      </c>
      <c r="AR1151" s="80">
        <v>117.0</v>
      </c>
      <c r="AS1151" s="110">
        <v>131.0</v>
      </c>
      <c r="AT1151" s="110">
        <v>0.0</v>
      </c>
      <c r="AU1151" s="110">
        <v>67.0</v>
      </c>
      <c r="AV1151" s="142">
        <v>0.0</v>
      </c>
      <c r="AW1151" s="80">
        <v>198.0</v>
      </c>
      <c r="AX1151" s="113">
        <v>395.0</v>
      </c>
      <c r="AY1151" s="117">
        <v>211.0</v>
      </c>
      <c r="AZ1151" s="328">
        <v>184.0</v>
      </c>
      <c r="BA1151" s="315">
        <v>0.0</v>
      </c>
      <c r="BB1151" s="316">
        <v>395.0</v>
      </c>
      <c r="BC1151" s="132" t="s">
        <v>178</v>
      </c>
      <c r="BD1151" s="132" t="s">
        <v>178</v>
      </c>
      <c r="BE1151" s="132" t="s">
        <v>178</v>
      </c>
      <c r="BF1151" s="123"/>
      <c r="BG1151" s="136">
        <v>1107455.0</v>
      </c>
      <c r="BH1151" s="112">
        <v>13.0</v>
      </c>
      <c r="BI1151" s="98" t="s">
        <v>155</v>
      </c>
      <c r="BJ1151" s="98" t="str">
        <f t="shared" si="1"/>
        <v>INTEGRAL</v>
      </c>
      <c r="BK1151" s="98" t="str">
        <f t="shared" si="2"/>
        <v>PROFISSIONAL</v>
      </c>
    </row>
    <row r="1152" ht="15.75" customHeight="1">
      <c r="A1152" s="111" t="s">
        <v>1335</v>
      </c>
      <c r="B1152" s="83" t="s">
        <v>6059</v>
      </c>
      <c r="C1152" s="83" t="s">
        <v>68</v>
      </c>
      <c r="D1152" s="83">
        <v>1107536.0</v>
      </c>
      <c r="E1152" s="83"/>
      <c r="F1152" s="83">
        <v>2.9110076E7</v>
      </c>
      <c r="G1152" s="114" t="s">
        <v>10768</v>
      </c>
      <c r="H1152" s="91" t="s">
        <v>6063</v>
      </c>
      <c r="I1152" s="114" t="s">
        <v>149</v>
      </c>
      <c r="J1152" s="83" t="s">
        <v>150</v>
      </c>
      <c r="K1152" s="83" t="s">
        <v>151</v>
      </c>
      <c r="L1152" s="83" t="s">
        <v>1326</v>
      </c>
      <c r="M1152" s="82" t="s">
        <v>10769</v>
      </c>
      <c r="N1152" s="82" t="s">
        <v>10770</v>
      </c>
      <c r="O1152" s="82" t="s">
        <v>10771</v>
      </c>
      <c r="P1152" s="82" t="s">
        <v>10772</v>
      </c>
      <c r="Q1152" s="82" t="s">
        <v>10773</v>
      </c>
      <c r="R1152" s="82" t="s">
        <v>10774</v>
      </c>
      <c r="S1152" s="82" t="s">
        <v>10775</v>
      </c>
      <c r="T1152" s="138">
        <v>15.0</v>
      </c>
      <c r="U1152" s="387">
        <v>15.0</v>
      </c>
      <c r="V1152" s="106">
        <v>0.0</v>
      </c>
      <c r="W1152" s="107">
        <v>0.0</v>
      </c>
      <c r="X1152" s="107">
        <v>0.0</v>
      </c>
      <c r="Y1152" s="107">
        <v>0.0</v>
      </c>
      <c r="Z1152" s="80">
        <v>0.0</v>
      </c>
      <c r="AA1152" s="140">
        <v>0.0</v>
      </c>
      <c r="AB1152" s="109">
        <v>0.0</v>
      </c>
      <c r="AC1152" s="109">
        <v>0.0</v>
      </c>
      <c r="AD1152" s="141">
        <v>0.0</v>
      </c>
      <c r="AE1152" s="80">
        <v>0.0</v>
      </c>
      <c r="AF1152" s="140">
        <v>514.0</v>
      </c>
      <c r="AG1152" s="109">
        <v>373.0</v>
      </c>
      <c r="AH1152" s="109">
        <v>0.0</v>
      </c>
      <c r="AI1152" s="141">
        <v>16.0</v>
      </c>
      <c r="AJ1152" s="80">
        <v>903.0</v>
      </c>
      <c r="AK1152" s="140">
        <v>0.0</v>
      </c>
      <c r="AL1152" s="109">
        <v>0.0</v>
      </c>
      <c r="AM1152" s="141">
        <v>0.0</v>
      </c>
      <c r="AN1152" s="80">
        <v>0.0</v>
      </c>
      <c r="AO1152" s="140">
        <v>0.0</v>
      </c>
      <c r="AP1152" s="109">
        <v>0.0</v>
      </c>
      <c r="AQ1152" s="109">
        <v>154.0</v>
      </c>
      <c r="AR1152" s="80">
        <v>154.0</v>
      </c>
      <c r="AS1152" s="110">
        <v>0.0</v>
      </c>
      <c r="AT1152" s="110">
        <v>7.0</v>
      </c>
      <c r="AU1152" s="110">
        <v>6.0</v>
      </c>
      <c r="AV1152" s="142">
        <v>0.0</v>
      </c>
      <c r="AW1152" s="80">
        <v>13.0</v>
      </c>
      <c r="AX1152" s="113">
        <v>1070.0</v>
      </c>
      <c r="AY1152" s="117">
        <v>910.0</v>
      </c>
      <c r="AZ1152" s="328">
        <v>160.0</v>
      </c>
      <c r="BA1152" s="315">
        <v>0.0</v>
      </c>
      <c r="BB1152" s="316">
        <v>1070.0</v>
      </c>
      <c r="BC1152" s="132" t="s">
        <v>178</v>
      </c>
      <c r="BD1152" s="132" t="s">
        <v>178</v>
      </c>
      <c r="BE1152" s="132" t="s">
        <v>178</v>
      </c>
      <c r="BF1152" s="123"/>
      <c r="BG1152" s="83">
        <v>1107536.0</v>
      </c>
      <c r="BH1152" s="112">
        <v>15.0</v>
      </c>
      <c r="BI1152" s="98" t="s">
        <v>10776</v>
      </c>
      <c r="BJ1152" s="98" t="str">
        <f t="shared" si="1"/>
        <v>INTEGRAL</v>
      </c>
      <c r="BK1152" s="98" t="str">
        <f t="shared" si="2"/>
        <v>PROFISSIONAL</v>
      </c>
    </row>
    <row r="1153" ht="15.75" customHeight="1">
      <c r="A1153" s="111" t="s">
        <v>1335</v>
      </c>
      <c r="B1153" s="83" t="s">
        <v>6068</v>
      </c>
      <c r="C1153" s="83" t="s">
        <v>68</v>
      </c>
      <c r="D1153" s="83">
        <v>1107706.0</v>
      </c>
      <c r="E1153" s="83"/>
      <c r="F1153" s="83">
        <v>2.911173E7</v>
      </c>
      <c r="G1153" s="114" t="s">
        <v>10777</v>
      </c>
      <c r="H1153" s="91" t="s">
        <v>10778</v>
      </c>
      <c r="I1153" s="114" t="s">
        <v>149</v>
      </c>
      <c r="J1153" s="83" t="s">
        <v>150</v>
      </c>
      <c r="K1153" s="83" t="s">
        <v>151</v>
      </c>
      <c r="L1153" s="83" t="s">
        <v>76</v>
      </c>
      <c r="M1153" s="82" t="s">
        <v>10779</v>
      </c>
      <c r="N1153" s="82" t="s">
        <v>10780</v>
      </c>
      <c r="O1153" s="82" t="s">
        <v>10781</v>
      </c>
      <c r="P1153" s="82" t="s">
        <v>10782</v>
      </c>
      <c r="Q1153" s="82"/>
      <c r="R1153" s="82"/>
      <c r="S1153" s="82" t="s">
        <v>10783</v>
      </c>
      <c r="T1153" s="138">
        <v>16.0</v>
      </c>
      <c r="U1153" s="341" t="s">
        <v>10784</v>
      </c>
      <c r="V1153" s="106">
        <v>0.0</v>
      </c>
      <c r="W1153" s="107">
        <v>0.0</v>
      </c>
      <c r="X1153" s="107">
        <v>0.0</v>
      </c>
      <c r="Y1153" s="107">
        <v>0.0</v>
      </c>
      <c r="Z1153" s="80">
        <v>0.0</v>
      </c>
      <c r="AA1153" s="140">
        <v>0.0</v>
      </c>
      <c r="AB1153" s="109">
        <v>0.0</v>
      </c>
      <c r="AC1153" s="109">
        <v>0.0</v>
      </c>
      <c r="AD1153" s="141">
        <v>0.0</v>
      </c>
      <c r="AE1153" s="80">
        <v>0.0</v>
      </c>
      <c r="AF1153" s="140">
        <v>109.0</v>
      </c>
      <c r="AG1153" s="109">
        <v>60.0</v>
      </c>
      <c r="AH1153" s="109">
        <v>0.0</v>
      </c>
      <c r="AI1153" s="141">
        <v>86.0</v>
      </c>
      <c r="AJ1153" s="80">
        <v>255.0</v>
      </c>
      <c r="AK1153" s="140">
        <v>0.0</v>
      </c>
      <c r="AL1153" s="109">
        <v>0.0</v>
      </c>
      <c r="AM1153" s="141">
        <v>0.0</v>
      </c>
      <c r="AN1153" s="80">
        <v>0.0</v>
      </c>
      <c r="AO1153" s="140">
        <v>0.0</v>
      </c>
      <c r="AP1153" s="109">
        <v>0.0</v>
      </c>
      <c r="AQ1153" s="109">
        <v>64.0</v>
      </c>
      <c r="AR1153" s="80">
        <v>64.0</v>
      </c>
      <c r="AS1153" s="110">
        <v>0.0</v>
      </c>
      <c r="AT1153" s="110">
        <v>0.0</v>
      </c>
      <c r="AU1153" s="110">
        <v>0.0</v>
      </c>
      <c r="AV1153" s="142">
        <v>0.0</v>
      </c>
      <c r="AW1153" s="80">
        <v>0.0</v>
      </c>
      <c r="AX1153" s="113">
        <v>319.0</v>
      </c>
      <c r="AY1153" s="117">
        <v>255.0</v>
      </c>
      <c r="AZ1153" s="328">
        <v>64.0</v>
      </c>
      <c r="BA1153" s="315">
        <v>0.0</v>
      </c>
      <c r="BB1153" s="316">
        <v>319.0</v>
      </c>
      <c r="BC1153" s="132" t="s">
        <v>178</v>
      </c>
      <c r="BD1153" s="132" t="s">
        <v>178</v>
      </c>
      <c r="BE1153" s="132" t="s">
        <v>178</v>
      </c>
      <c r="BF1153" s="123"/>
      <c r="BG1153" s="83">
        <v>1107706.0</v>
      </c>
      <c r="BH1153" s="112">
        <v>11.0</v>
      </c>
      <c r="BI1153" s="98" t="s">
        <v>155</v>
      </c>
      <c r="BJ1153" s="98" t="str">
        <f t="shared" si="1"/>
        <v>INTEGRAL</v>
      </c>
      <c r="BK1153" s="98" t="str">
        <f t="shared" si="2"/>
        <v>NÃO</v>
      </c>
    </row>
    <row r="1154" ht="15.75" customHeight="1">
      <c r="A1154" s="111" t="s">
        <v>1335</v>
      </c>
      <c r="B1154" s="83" t="s">
        <v>6077</v>
      </c>
      <c r="C1154" s="83" t="s">
        <v>68</v>
      </c>
      <c r="D1154" s="83">
        <v>1178202.0</v>
      </c>
      <c r="E1154" s="83"/>
      <c r="F1154" s="83">
        <v>2.9443288E7</v>
      </c>
      <c r="G1154" s="114" t="s">
        <v>6078</v>
      </c>
      <c r="H1154" s="91" t="s">
        <v>6079</v>
      </c>
      <c r="I1154" s="114" t="s">
        <v>149</v>
      </c>
      <c r="J1154" s="83" t="s">
        <v>150</v>
      </c>
      <c r="K1154" s="83" t="s">
        <v>151</v>
      </c>
      <c r="L1154" s="83" t="s">
        <v>169</v>
      </c>
      <c r="M1154" s="82" t="s">
        <v>10785</v>
      </c>
      <c r="N1154" s="82" t="s">
        <v>10786</v>
      </c>
      <c r="O1154" s="82"/>
      <c r="P1154" s="82"/>
      <c r="Q1154" s="82"/>
      <c r="R1154" s="82"/>
      <c r="S1154" s="82" t="s">
        <v>10787</v>
      </c>
      <c r="T1154" s="138">
        <v>9.0</v>
      </c>
      <c r="U1154" s="341" t="s">
        <v>10788</v>
      </c>
      <c r="V1154" s="106">
        <v>0.0</v>
      </c>
      <c r="W1154" s="107">
        <v>0.0</v>
      </c>
      <c r="X1154" s="107">
        <v>0.0</v>
      </c>
      <c r="Y1154" s="107">
        <v>0.0</v>
      </c>
      <c r="Z1154" s="80">
        <v>0.0</v>
      </c>
      <c r="AA1154" s="140">
        <v>0.0</v>
      </c>
      <c r="AB1154" s="109">
        <v>0.0</v>
      </c>
      <c r="AC1154" s="109">
        <v>0.0</v>
      </c>
      <c r="AD1154" s="141">
        <v>0.0</v>
      </c>
      <c r="AE1154" s="80">
        <v>0.0</v>
      </c>
      <c r="AF1154" s="140">
        <v>53.0</v>
      </c>
      <c r="AG1154" s="109">
        <v>0.0</v>
      </c>
      <c r="AH1154" s="109">
        <v>0.0</v>
      </c>
      <c r="AI1154" s="141">
        <v>0.0</v>
      </c>
      <c r="AJ1154" s="80">
        <v>53.0</v>
      </c>
      <c r="AK1154" s="140">
        <v>0.0</v>
      </c>
      <c r="AL1154" s="109">
        <v>0.0</v>
      </c>
      <c r="AM1154" s="141">
        <v>0.0</v>
      </c>
      <c r="AN1154" s="80">
        <v>0.0</v>
      </c>
      <c r="AO1154" s="140">
        <v>0.0</v>
      </c>
      <c r="AP1154" s="109">
        <v>0.0</v>
      </c>
      <c r="AQ1154" s="109">
        <v>27.0</v>
      </c>
      <c r="AR1154" s="80">
        <v>27.0</v>
      </c>
      <c r="AS1154" s="110">
        <v>123.0</v>
      </c>
      <c r="AT1154" s="110">
        <v>0.0</v>
      </c>
      <c r="AU1154" s="110">
        <v>0.0</v>
      </c>
      <c r="AV1154" s="142">
        <v>0.0</v>
      </c>
      <c r="AW1154" s="80">
        <v>123.0</v>
      </c>
      <c r="AX1154" s="113">
        <v>203.0</v>
      </c>
      <c r="AY1154" s="117">
        <v>176.0</v>
      </c>
      <c r="AZ1154" s="328">
        <v>27.0</v>
      </c>
      <c r="BA1154" s="315">
        <v>0.0</v>
      </c>
      <c r="BB1154" s="316">
        <v>203.0</v>
      </c>
      <c r="BC1154" s="132" t="s">
        <v>373</v>
      </c>
      <c r="BD1154" s="132" t="s">
        <v>178</v>
      </c>
      <c r="BE1154" s="132" t="s">
        <v>178</v>
      </c>
      <c r="BF1154" s="123"/>
      <c r="BG1154" s="83">
        <v>1178202.0</v>
      </c>
      <c r="BH1154" s="112">
        <v>6.0</v>
      </c>
      <c r="BI1154" s="98" t="s">
        <v>155</v>
      </c>
      <c r="BJ1154" s="98" t="str">
        <f t="shared" si="1"/>
        <v>NÃO</v>
      </c>
      <c r="BK1154" s="98" t="str">
        <f t="shared" si="2"/>
        <v>PROFISSIONAL</v>
      </c>
    </row>
    <row r="1155" ht="15.75" customHeight="1">
      <c r="A1155" s="111" t="s">
        <v>1335</v>
      </c>
      <c r="B1155" s="83" t="s">
        <v>6081</v>
      </c>
      <c r="C1155" s="83" t="s">
        <v>68</v>
      </c>
      <c r="D1155" s="83">
        <v>1178047.0</v>
      </c>
      <c r="E1155" s="83"/>
      <c r="F1155" s="83">
        <v>2.943251E7</v>
      </c>
      <c r="G1155" s="187" t="s">
        <v>6082</v>
      </c>
      <c r="H1155" s="91" t="s">
        <v>6083</v>
      </c>
      <c r="I1155" s="114" t="s">
        <v>149</v>
      </c>
      <c r="J1155" s="83" t="s">
        <v>150</v>
      </c>
      <c r="K1155" s="83" t="s">
        <v>151</v>
      </c>
      <c r="L1155" s="83" t="s">
        <v>76</v>
      </c>
      <c r="M1155" s="82" t="s">
        <v>10789</v>
      </c>
      <c r="N1155" s="82" t="s">
        <v>10790</v>
      </c>
      <c r="O1155" s="82" t="s">
        <v>10791</v>
      </c>
      <c r="P1155" s="82" t="s">
        <v>10792</v>
      </c>
      <c r="Q1155" s="82"/>
      <c r="R1155" s="82"/>
      <c r="S1155" s="82" t="s">
        <v>10793</v>
      </c>
      <c r="T1155" s="138">
        <v>7.0</v>
      </c>
      <c r="U1155" s="323" t="s">
        <v>10794</v>
      </c>
      <c r="V1155" s="106">
        <v>0.0</v>
      </c>
      <c r="W1155" s="107">
        <v>0.0</v>
      </c>
      <c r="X1155" s="107">
        <v>0.0</v>
      </c>
      <c r="Y1155" s="107">
        <v>0.0</v>
      </c>
      <c r="Z1155" s="80">
        <v>0.0</v>
      </c>
      <c r="AA1155" s="140">
        <v>0.0</v>
      </c>
      <c r="AB1155" s="109">
        <v>0.0</v>
      </c>
      <c r="AC1155" s="109">
        <v>0.0</v>
      </c>
      <c r="AD1155" s="141">
        <v>0.0</v>
      </c>
      <c r="AE1155" s="80">
        <v>0.0</v>
      </c>
      <c r="AF1155" s="140">
        <v>203.0</v>
      </c>
      <c r="AG1155" s="109">
        <v>81.0</v>
      </c>
      <c r="AH1155" s="109">
        <v>33.0</v>
      </c>
      <c r="AI1155" s="141">
        <v>0.0</v>
      </c>
      <c r="AJ1155" s="80">
        <v>317.0</v>
      </c>
      <c r="AK1155" s="140">
        <v>0.0</v>
      </c>
      <c r="AL1155" s="109">
        <v>0.0</v>
      </c>
      <c r="AM1155" s="141">
        <v>0.0</v>
      </c>
      <c r="AN1155" s="80">
        <v>0.0</v>
      </c>
      <c r="AO1155" s="140">
        <v>0.0</v>
      </c>
      <c r="AP1155" s="109">
        <v>0.0</v>
      </c>
      <c r="AQ1155" s="109">
        <v>68.0</v>
      </c>
      <c r="AR1155" s="80">
        <v>68.0</v>
      </c>
      <c r="AS1155" s="110">
        <v>0.0</v>
      </c>
      <c r="AT1155" s="110">
        <v>23.0</v>
      </c>
      <c r="AU1155" s="110">
        <v>21.0</v>
      </c>
      <c r="AV1155" s="142">
        <v>0.0</v>
      </c>
      <c r="AW1155" s="80">
        <v>44.0</v>
      </c>
      <c r="AX1155" s="113">
        <v>429.0</v>
      </c>
      <c r="AY1155" s="117">
        <v>307.0</v>
      </c>
      <c r="AZ1155" s="328">
        <v>122.0</v>
      </c>
      <c r="BA1155" s="315">
        <v>0.0</v>
      </c>
      <c r="BB1155" s="316">
        <v>429.0</v>
      </c>
      <c r="BC1155" s="132" t="s">
        <v>178</v>
      </c>
      <c r="BD1155" s="132" t="s">
        <v>178</v>
      </c>
      <c r="BE1155" s="132" t="s">
        <v>178</v>
      </c>
      <c r="BF1155" s="123"/>
      <c r="BG1155" s="83">
        <v>1178047.0</v>
      </c>
      <c r="BH1155" s="112">
        <v>6.0</v>
      </c>
      <c r="BI1155" s="98" t="s">
        <v>155</v>
      </c>
      <c r="BJ1155" s="98" t="str">
        <f t="shared" si="1"/>
        <v>NÃO</v>
      </c>
      <c r="BK1155" s="98" t="str">
        <f t="shared" si="2"/>
        <v>PROFISSIONAL</v>
      </c>
    </row>
    <row r="1156" ht="15.75" customHeight="1">
      <c r="A1156" s="111" t="s">
        <v>1393</v>
      </c>
      <c r="B1156" s="83" t="s">
        <v>6091</v>
      </c>
      <c r="C1156" s="83" t="s">
        <v>45</v>
      </c>
      <c r="D1156" s="83">
        <v>1178306.0</v>
      </c>
      <c r="E1156" s="83"/>
      <c r="F1156" s="83">
        <v>2.9448786E7</v>
      </c>
      <c r="G1156" s="114" t="s">
        <v>6094</v>
      </c>
      <c r="H1156" s="91" t="s">
        <v>6095</v>
      </c>
      <c r="I1156" s="114" t="s">
        <v>149</v>
      </c>
      <c r="J1156" s="115" t="s">
        <v>6096</v>
      </c>
      <c r="K1156" s="83">
        <v>0.0</v>
      </c>
      <c r="L1156" s="83" t="s">
        <v>76</v>
      </c>
      <c r="M1156" s="82" t="s">
        <v>10795</v>
      </c>
      <c r="N1156" s="82" t="s">
        <v>10796</v>
      </c>
      <c r="O1156" s="82"/>
      <c r="P1156" s="82"/>
      <c r="Q1156" s="82"/>
      <c r="R1156" s="82"/>
      <c r="S1156" s="82"/>
      <c r="T1156" s="138">
        <v>7.0</v>
      </c>
      <c r="U1156" s="387" t="s">
        <v>171</v>
      </c>
      <c r="V1156" s="106">
        <v>0.0</v>
      </c>
      <c r="W1156" s="107">
        <v>0.0</v>
      </c>
      <c r="X1156" s="107">
        <v>0.0</v>
      </c>
      <c r="Y1156" s="107">
        <v>0.0</v>
      </c>
      <c r="Z1156" s="80">
        <v>0.0</v>
      </c>
      <c r="AA1156" s="140">
        <v>0.0</v>
      </c>
      <c r="AB1156" s="109">
        <v>0.0</v>
      </c>
      <c r="AC1156" s="109">
        <v>0.0</v>
      </c>
      <c r="AD1156" s="141">
        <v>60.0</v>
      </c>
      <c r="AE1156" s="80">
        <v>60.0</v>
      </c>
      <c r="AF1156" s="140">
        <v>0.0</v>
      </c>
      <c r="AG1156" s="109">
        <v>0.0</v>
      </c>
      <c r="AH1156" s="109">
        <v>0.0</v>
      </c>
      <c r="AI1156" s="141">
        <v>69.0</v>
      </c>
      <c r="AJ1156" s="80">
        <v>69.0</v>
      </c>
      <c r="AK1156" s="140">
        <v>0.0</v>
      </c>
      <c r="AL1156" s="109">
        <v>0.0</v>
      </c>
      <c r="AM1156" s="141">
        <v>0.0</v>
      </c>
      <c r="AN1156" s="80">
        <v>0.0</v>
      </c>
      <c r="AO1156" s="140">
        <v>0.0</v>
      </c>
      <c r="AP1156" s="109">
        <v>0.0</v>
      </c>
      <c r="AQ1156" s="109">
        <v>0.0</v>
      </c>
      <c r="AR1156" s="80">
        <v>0.0</v>
      </c>
      <c r="AS1156" s="110">
        <v>0.0</v>
      </c>
      <c r="AT1156" s="110">
        <v>0.0</v>
      </c>
      <c r="AU1156" s="110">
        <v>0.0</v>
      </c>
      <c r="AV1156" s="142">
        <v>0.0</v>
      </c>
      <c r="AW1156" s="80">
        <v>0.0</v>
      </c>
      <c r="AX1156" s="113">
        <v>129.0</v>
      </c>
      <c r="AY1156" s="117">
        <v>129.0</v>
      </c>
      <c r="AZ1156" s="328">
        <v>0.0</v>
      </c>
      <c r="BA1156" s="315">
        <v>0.0</v>
      </c>
      <c r="BB1156" s="316">
        <v>129.0</v>
      </c>
      <c r="BC1156" s="132" t="s">
        <v>178</v>
      </c>
      <c r="BD1156" s="132" t="s">
        <v>178</v>
      </c>
      <c r="BE1156" s="132" t="s">
        <v>178</v>
      </c>
      <c r="BF1156" s="123"/>
      <c r="BG1156" s="83">
        <v>1178306.0</v>
      </c>
      <c r="BH1156" s="112">
        <v>7.0</v>
      </c>
      <c r="BI1156" s="98" t="s">
        <v>155</v>
      </c>
      <c r="BJ1156" s="98" t="str">
        <f t="shared" si="1"/>
        <v>INTEGRAL</v>
      </c>
      <c r="BK1156" s="98" t="str">
        <f t="shared" si="2"/>
        <v>NÃO</v>
      </c>
    </row>
    <row r="1157" ht="15.75" customHeight="1">
      <c r="A1157" s="111" t="s">
        <v>1393</v>
      </c>
      <c r="B1157" s="83" t="s">
        <v>6091</v>
      </c>
      <c r="C1157" s="83" t="s">
        <v>68</v>
      </c>
      <c r="D1157" s="83">
        <v>1178405.0</v>
      </c>
      <c r="E1157" s="83"/>
      <c r="F1157" s="83">
        <v>2.939595E7</v>
      </c>
      <c r="G1157" s="114" t="s">
        <v>10797</v>
      </c>
      <c r="H1157" s="91" t="s">
        <v>6100</v>
      </c>
      <c r="I1157" s="114" t="s">
        <v>149</v>
      </c>
      <c r="J1157" s="83" t="s">
        <v>3821</v>
      </c>
      <c r="K1157" s="83" t="s">
        <v>151</v>
      </c>
      <c r="L1157" s="83" t="s">
        <v>169</v>
      </c>
      <c r="M1157" s="82" t="s">
        <v>10798</v>
      </c>
      <c r="N1157" s="82" t="s">
        <v>10799</v>
      </c>
      <c r="O1157" s="82" t="s">
        <v>10800</v>
      </c>
      <c r="P1157" s="82" t="s">
        <v>10801</v>
      </c>
      <c r="Q1157" s="82"/>
      <c r="R1157" s="82"/>
      <c r="S1157" s="82" t="s">
        <v>10802</v>
      </c>
      <c r="T1157" s="138">
        <v>6.0</v>
      </c>
      <c r="U1157" s="387">
        <v>6.0</v>
      </c>
      <c r="V1157" s="106">
        <v>0.0</v>
      </c>
      <c r="W1157" s="107">
        <v>0.0</v>
      </c>
      <c r="X1157" s="107">
        <v>0.0</v>
      </c>
      <c r="Y1157" s="107">
        <v>0.0</v>
      </c>
      <c r="Z1157" s="80">
        <v>0.0</v>
      </c>
      <c r="AA1157" s="140">
        <v>0.0</v>
      </c>
      <c r="AB1157" s="109">
        <v>0.0</v>
      </c>
      <c r="AC1157" s="109">
        <v>0.0</v>
      </c>
      <c r="AD1157" s="141">
        <v>0.0</v>
      </c>
      <c r="AE1157" s="80">
        <v>0.0</v>
      </c>
      <c r="AF1157" s="140">
        <v>19.0</v>
      </c>
      <c r="AG1157" s="109">
        <v>20.0</v>
      </c>
      <c r="AH1157" s="109">
        <v>0.0</v>
      </c>
      <c r="AI1157" s="141">
        <v>94.0</v>
      </c>
      <c r="AJ1157" s="80">
        <v>133.0</v>
      </c>
      <c r="AK1157" s="140">
        <v>0.0</v>
      </c>
      <c r="AL1157" s="109">
        <v>0.0</v>
      </c>
      <c r="AM1157" s="141">
        <v>0.0</v>
      </c>
      <c r="AN1157" s="80">
        <v>0.0</v>
      </c>
      <c r="AO1157" s="140">
        <v>0.0</v>
      </c>
      <c r="AP1157" s="109">
        <v>0.0</v>
      </c>
      <c r="AQ1157" s="109">
        <v>0.0</v>
      </c>
      <c r="AR1157" s="80">
        <v>0.0</v>
      </c>
      <c r="AS1157" s="110">
        <v>0.0</v>
      </c>
      <c r="AT1157" s="110">
        <v>0.0</v>
      </c>
      <c r="AU1157" s="110">
        <v>0.0</v>
      </c>
      <c r="AV1157" s="142">
        <v>0.0</v>
      </c>
      <c r="AW1157" s="80">
        <v>0.0</v>
      </c>
      <c r="AX1157" s="113">
        <v>133.0</v>
      </c>
      <c r="AY1157" s="117">
        <v>133.0</v>
      </c>
      <c r="AZ1157" s="328">
        <v>0.0</v>
      </c>
      <c r="BA1157" s="315">
        <v>0.0</v>
      </c>
      <c r="BB1157" s="316">
        <v>133.0</v>
      </c>
      <c r="BC1157" s="132" t="s">
        <v>373</v>
      </c>
      <c r="BD1157" s="132" t="s">
        <v>178</v>
      </c>
      <c r="BE1157" s="132" t="s">
        <v>178</v>
      </c>
      <c r="BF1157" s="123"/>
      <c r="BG1157" s="83">
        <v>1178405.0</v>
      </c>
      <c r="BH1157" s="112">
        <v>6.0</v>
      </c>
      <c r="BI1157" s="98" t="s">
        <v>155</v>
      </c>
      <c r="BJ1157" s="98" t="str">
        <f t="shared" si="1"/>
        <v>INTEGRAL</v>
      </c>
      <c r="BK1157" s="98" t="str">
        <f t="shared" si="2"/>
        <v>NÃO</v>
      </c>
    </row>
    <row r="1158" ht="15.75" customHeight="1">
      <c r="A1158" s="111" t="s">
        <v>1393</v>
      </c>
      <c r="B1158" s="83" t="s">
        <v>6091</v>
      </c>
      <c r="C1158" s="83" t="s">
        <v>68</v>
      </c>
      <c r="D1158" s="83">
        <v>1124813.0</v>
      </c>
      <c r="E1158" s="83"/>
      <c r="F1158" s="83">
        <v>2.926742E7</v>
      </c>
      <c r="G1158" s="114" t="s">
        <v>10803</v>
      </c>
      <c r="H1158" s="91" t="s">
        <v>10804</v>
      </c>
      <c r="I1158" s="114" t="s">
        <v>149</v>
      </c>
      <c r="J1158" s="83" t="s">
        <v>150</v>
      </c>
      <c r="K1158" s="83" t="s">
        <v>151</v>
      </c>
      <c r="L1158" s="83" t="s">
        <v>76</v>
      </c>
      <c r="M1158" s="82" t="s">
        <v>10805</v>
      </c>
      <c r="N1158" s="82" t="s">
        <v>10806</v>
      </c>
      <c r="O1158" s="82" t="s">
        <v>10807</v>
      </c>
      <c r="P1158" s="82"/>
      <c r="Q1158" s="82" t="s">
        <v>10808</v>
      </c>
      <c r="R1158" s="82" t="s">
        <v>10809</v>
      </c>
      <c r="S1158" s="82" t="s">
        <v>10810</v>
      </c>
      <c r="T1158" s="138">
        <v>8.0</v>
      </c>
      <c r="U1158" s="387">
        <v>8.0</v>
      </c>
      <c r="V1158" s="106">
        <v>0.0</v>
      </c>
      <c r="W1158" s="107">
        <v>0.0</v>
      </c>
      <c r="X1158" s="107">
        <v>0.0</v>
      </c>
      <c r="Y1158" s="107">
        <v>0.0</v>
      </c>
      <c r="Z1158" s="80">
        <v>0.0</v>
      </c>
      <c r="AA1158" s="140">
        <v>0.0</v>
      </c>
      <c r="AB1158" s="109">
        <v>0.0</v>
      </c>
      <c r="AC1158" s="109">
        <v>0.0</v>
      </c>
      <c r="AD1158" s="141">
        <v>0.0</v>
      </c>
      <c r="AE1158" s="80">
        <v>0.0</v>
      </c>
      <c r="AF1158" s="140">
        <v>271.0</v>
      </c>
      <c r="AG1158" s="109">
        <v>194.0</v>
      </c>
      <c r="AH1158" s="109">
        <v>0.0</v>
      </c>
      <c r="AI1158" s="141">
        <v>39.0</v>
      </c>
      <c r="AJ1158" s="80">
        <v>504.0</v>
      </c>
      <c r="AK1158" s="140">
        <v>0.0</v>
      </c>
      <c r="AL1158" s="109">
        <v>0.0</v>
      </c>
      <c r="AM1158" s="141">
        <v>0.0</v>
      </c>
      <c r="AN1158" s="80">
        <v>0.0</v>
      </c>
      <c r="AO1158" s="140">
        <v>0.0</v>
      </c>
      <c r="AP1158" s="109">
        <v>0.0</v>
      </c>
      <c r="AQ1158" s="109">
        <v>80.0</v>
      </c>
      <c r="AR1158" s="80">
        <v>80.0</v>
      </c>
      <c r="AS1158" s="110">
        <v>0.0</v>
      </c>
      <c r="AT1158" s="110">
        <v>0.0</v>
      </c>
      <c r="AU1158" s="110">
        <v>0.0</v>
      </c>
      <c r="AV1158" s="142">
        <v>0.0</v>
      </c>
      <c r="AW1158" s="80">
        <v>0.0</v>
      </c>
      <c r="AX1158" s="113">
        <v>584.0</v>
      </c>
      <c r="AY1158" s="117">
        <v>504.0</v>
      </c>
      <c r="AZ1158" s="328">
        <v>80.0</v>
      </c>
      <c r="BA1158" s="315">
        <v>0.0</v>
      </c>
      <c r="BB1158" s="316">
        <v>584.0</v>
      </c>
      <c r="BC1158" s="132" t="s">
        <v>178</v>
      </c>
      <c r="BD1158" s="132" t="s">
        <v>178</v>
      </c>
      <c r="BE1158" s="132" t="s">
        <v>178</v>
      </c>
      <c r="BF1158" s="123"/>
      <c r="BG1158" s="83">
        <v>1124813.0</v>
      </c>
      <c r="BH1158" s="112">
        <v>8.0</v>
      </c>
      <c r="BI1158" s="98" t="s">
        <v>155</v>
      </c>
      <c r="BJ1158" s="98" t="str">
        <f t="shared" si="1"/>
        <v>INTEGRAL</v>
      </c>
      <c r="BK1158" s="98" t="str">
        <f t="shared" si="2"/>
        <v>NÃO</v>
      </c>
    </row>
    <row r="1159" ht="15.75" customHeight="1">
      <c r="A1159" s="111" t="s">
        <v>1393</v>
      </c>
      <c r="B1159" s="83" t="s">
        <v>6116</v>
      </c>
      <c r="C1159" s="83" t="s">
        <v>68</v>
      </c>
      <c r="D1159" s="431">
        <v>1123671.0</v>
      </c>
      <c r="E1159" s="146"/>
      <c r="F1159" s="83">
        <v>2.9255597E7</v>
      </c>
      <c r="G1159" s="119" t="s">
        <v>6117</v>
      </c>
      <c r="H1159" s="108" t="s">
        <v>10811</v>
      </c>
      <c r="I1159" s="187" t="s">
        <v>149</v>
      </c>
      <c r="J1159" s="136" t="s">
        <v>150</v>
      </c>
      <c r="K1159" s="136" t="s">
        <v>151</v>
      </c>
      <c r="L1159" s="83" t="s">
        <v>76</v>
      </c>
      <c r="M1159" s="82" t="s">
        <v>10812</v>
      </c>
      <c r="N1159" s="82" t="s">
        <v>10813</v>
      </c>
      <c r="O1159" s="82" t="s">
        <v>10814</v>
      </c>
      <c r="P1159" s="82" t="s">
        <v>10815</v>
      </c>
      <c r="Q1159" s="82"/>
      <c r="R1159" s="82"/>
      <c r="S1159" s="82" t="s">
        <v>10816</v>
      </c>
      <c r="T1159" s="138">
        <v>10.0</v>
      </c>
      <c r="U1159" s="391">
        <v>12.0</v>
      </c>
      <c r="V1159" s="106">
        <v>0.0</v>
      </c>
      <c r="W1159" s="107">
        <v>0.0</v>
      </c>
      <c r="X1159" s="107">
        <v>0.0</v>
      </c>
      <c r="Y1159" s="107">
        <v>0.0</v>
      </c>
      <c r="Z1159" s="80">
        <v>0.0</v>
      </c>
      <c r="AA1159" s="140">
        <v>0.0</v>
      </c>
      <c r="AB1159" s="109">
        <v>0.0</v>
      </c>
      <c r="AC1159" s="109">
        <v>0.0</v>
      </c>
      <c r="AD1159" s="141">
        <v>0.0</v>
      </c>
      <c r="AE1159" s="80">
        <v>0.0</v>
      </c>
      <c r="AF1159" s="246">
        <v>86.0</v>
      </c>
      <c r="AG1159" s="246">
        <v>149.0</v>
      </c>
      <c r="AH1159" s="246">
        <v>0.0</v>
      </c>
      <c r="AI1159" s="247">
        <v>163.0</v>
      </c>
      <c r="AJ1159" s="80">
        <v>398.0</v>
      </c>
      <c r="AK1159" s="140">
        <v>0.0</v>
      </c>
      <c r="AL1159" s="109">
        <v>0.0</v>
      </c>
      <c r="AM1159" s="141">
        <v>0.0</v>
      </c>
      <c r="AN1159" s="80">
        <v>0.0</v>
      </c>
      <c r="AO1159" s="246">
        <v>0.0</v>
      </c>
      <c r="AP1159" s="246">
        <v>0.0</v>
      </c>
      <c r="AQ1159" s="247">
        <v>26.0</v>
      </c>
      <c r="AR1159" s="80">
        <v>26.0</v>
      </c>
      <c r="AS1159" s="110">
        <v>0.0</v>
      </c>
      <c r="AT1159" s="110">
        <v>0.0</v>
      </c>
      <c r="AU1159" s="110">
        <v>0.0</v>
      </c>
      <c r="AV1159" s="142">
        <v>0.0</v>
      </c>
      <c r="AW1159" s="80">
        <v>0.0</v>
      </c>
      <c r="AX1159" s="113">
        <v>424.0</v>
      </c>
      <c r="AY1159" s="117">
        <v>398.0</v>
      </c>
      <c r="AZ1159" s="328">
        <v>26.0</v>
      </c>
      <c r="BA1159" s="315">
        <v>0.0</v>
      </c>
      <c r="BB1159" s="316">
        <v>424.0</v>
      </c>
      <c r="BC1159" s="132" t="s">
        <v>178</v>
      </c>
      <c r="BD1159" s="132" t="s">
        <v>178</v>
      </c>
      <c r="BE1159" s="132" t="s">
        <v>178</v>
      </c>
      <c r="BF1159" s="123"/>
      <c r="BG1159" s="83">
        <v>1123671.0</v>
      </c>
      <c r="BH1159" s="112">
        <v>12.0</v>
      </c>
      <c r="BI1159" s="98" t="s">
        <v>162</v>
      </c>
      <c r="BJ1159" s="98" t="str">
        <f t="shared" si="1"/>
        <v>INTEGRAL</v>
      </c>
      <c r="BK1159" s="98" t="str">
        <f t="shared" si="2"/>
        <v>NÃO</v>
      </c>
    </row>
    <row r="1160" ht="15.75" customHeight="1">
      <c r="A1160" s="111" t="s">
        <v>1393</v>
      </c>
      <c r="B1160" s="83" t="s">
        <v>6120</v>
      </c>
      <c r="C1160" s="83" t="s">
        <v>68</v>
      </c>
      <c r="D1160" s="83">
        <v>1178404.0</v>
      </c>
      <c r="E1160" s="83"/>
      <c r="F1160" s="83">
        <v>2.939586E7</v>
      </c>
      <c r="G1160" s="114" t="s">
        <v>10817</v>
      </c>
      <c r="H1160" s="91" t="s">
        <v>6128</v>
      </c>
      <c r="I1160" s="187" t="s">
        <v>6129</v>
      </c>
      <c r="J1160" s="136" t="s">
        <v>1347</v>
      </c>
      <c r="K1160" s="136" t="s">
        <v>151</v>
      </c>
      <c r="L1160" s="83" t="s">
        <v>169</v>
      </c>
      <c r="M1160" s="82" t="s">
        <v>10818</v>
      </c>
      <c r="N1160" s="82" t="s">
        <v>10819</v>
      </c>
      <c r="O1160" s="82" t="s">
        <v>10820</v>
      </c>
      <c r="P1160" s="82" t="s">
        <v>10821</v>
      </c>
      <c r="Q1160" s="82"/>
      <c r="R1160" s="82"/>
      <c r="S1160" s="82" t="s">
        <v>10822</v>
      </c>
      <c r="T1160" s="138">
        <v>6.0</v>
      </c>
      <c r="U1160" s="323">
        <v>6.0</v>
      </c>
      <c r="V1160" s="106">
        <v>0.0</v>
      </c>
      <c r="W1160" s="107">
        <v>0.0</v>
      </c>
      <c r="X1160" s="107">
        <v>0.0</v>
      </c>
      <c r="Y1160" s="107">
        <v>0.0</v>
      </c>
      <c r="Z1160" s="80">
        <v>0.0</v>
      </c>
      <c r="AA1160" s="140">
        <v>0.0</v>
      </c>
      <c r="AB1160" s="109">
        <v>0.0</v>
      </c>
      <c r="AC1160" s="109">
        <v>0.0</v>
      </c>
      <c r="AD1160" s="141">
        <v>0.0</v>
      </c>
      <c r="AE1160" s="80">
        <v>0.0</v>
      </c>
      <c r="AF1160" s="140">
        <v>0.0</v>
      </c>
      <c r="AG1160" s="109">
        <v>69.0</v>
      </c>
      <c r="AH1160" s="109">
        <v>38.0</v>
      </c>
      <c r="AI1160" s="141">
        <v>49.0</v>
      </c>
      <c r="AJ1160" s="80">
        <v>156.0</v>
      </c>
      <c r="AK1160" s="140">
        <v>0.0</v>
      </c>
      <c r="AL1160" s="109">
        <v>0.0</v>
      </c>
      <c r="AM1160" s="141">
        <v>0.0</v>
      </c>
      <c r="AN1160" s="80">
        <v>0.0</v>
      </c>
      <c r="AO1160" s="140">
        <v>0.0</v>
      </c>
      <c r="AP1160" s="109">
        <v>0.0</v>
      </c>
      <c r="AQ1160" s="109">
        <v>82.0</v>
      </c>
      <c r="AR1160" s="80">
        <v>82.0</v>
      </c>
      <c r="AS1160" s="110">
        <v>0.0</v>
      </c>
      <c r="AT1160" s="110">
        <v>0.0</v>
      </c>
      <c r="AU1160" s="110">
        <v>0.0</v>
      </c>
      <c r="AV1160" s="142">
        <v>0.0</v>
      </c>
      <c r="AW1160" s="80">
        <v>0.0</v>
      </c>
      <c r="AX1160" s="113">
        <v>238.0</v>
      </c>
      <c r="AY1160" s="117">
        <v>118.0</v>
      </c>
      <c r="AZ1160" s="328">
        <v>120.0</v>
      </c>
      <c r="BA1160" s="315">
        <v>0.0</v>
      </c>
      <c r="BB1160" s="316">
        <v>238.0</v>
      </c>
      <c r="BC1160" s="132" t="s">
        <v>373</v>
      </c>
      <c r="BD1160" s="132" t="s">
        <v>178</v>
      </c>
      <c r="BE1160" s="132" t="s">
        <v>178</v>
      </c>
      <c r="BF1160" s="123"/>
      <c r="BG1160" s="83">
        <v>1178404.0</v>
      </c>
      <c r="BH1160" s="112">
        <v>6.0</v>
      </c>
      <c r="BI1160" s="98" t="s">
        <v>155</v>
      </c>
      <c r="BJ1160" s="98" t="str">
        <f t="shared" si="1"/>
        <v>INTEGRAL</v>
      </c>
      <c r="BK1160" s="98" t="str">
        <f t="shared" si="2"/>
        <v>NÃO</v>
      </c>
    </row>
    <row r="1161" ht="15.75" customHeight="1">
      <c r="A1161" s="111" t="s">
        <v>1393</v>
      </c>
      <c r="B1161" s="83" t="s">
        <v>6120</v>
      </c>
      <c r="C1161" s="83" t="s">
        <v>68</v>
      </c>
      <c r="D1161" s="83">
        <v>1179113.0</v>
      </c>
      <c r="E1161" s="83"/>
      <c r="F1161" s="83">
        <v>2.9449332E7</v>
      </c>
      <c r="G1161" s="114" t="s">
        <v>10823</v>
      </c>
      <c r="H1161" s="91" t="s">
        <v>6122</v>
      </c>
      <c r="I1161" s="187" t="s">
        <v>6123</v>
      </c>
      <c r="J1161" s="136" t="s">
        <v>6124</v>
      </c>
      <c r="K1161" s="136" t="s">
        <v>151</v>
      </c>
      <c r="L1161" s="83" t="s">
        <v>169</v>
      </c>
      <c r="M1161" s="82" t="s">
        <v>10824</v>
      </c>
      <c r="N1161" s="82" t="s">
        <v>10825</v>
      </c>
      <c r="O1161" s="82"/>
      <c r="P1161" s="82"/>
      <c r="Q1161" s="82"/>
      <c r="R1161" s="82"/>
      <c r="S1161" s="82"/>
      <c r="T1161" s="138">
        <v>4.0</v>
      </c>
      <c r="U1161" s="406" t="s">
        <v>10826</v>
      </c>
      <c r="V1161" s="106">
        <v>0.0</v>
      </c>
      <c r="W1161" s="107">
        <v>0.0</v>
      </c>
      <c r="X1161" s="107">
        <v>0.0</v>
      </c>
      <c r="Y1161" s="107">
        <v>0.0</v>
      </c>
      <c r="Z1161" s="80">
        <v>0.0</v>
      </c>
      <c r="AA1161" s="140">
        <v>0.0</v>
      </c>
      <c r="AB1161" s="109">
        <v>0.0</v>
      </c>
      <c r="AC1161" s="109">
        <v>0.0</v>
      </c>
      <c r="AD1161" s="141">
        <v>0.0</v>
      </c>
      <c r="AE1161" s="80">
        <v>0.0</v>
      </c>
      <c r="AF1161" s="140">
        <v>0.0</v>
      </c>
      <c r="AG1161" s="109">
        <v>103.0</v>
      </c>
      <c r="AH1161" s="109">
        <v>0.0</v>
      </c>
      <c r="AI1161" s="141">
        <v>2.0</v>
      </c>
      <c r="AJ1161" s="80">
        <v>105.0</v>
      </c>
      <c r="AK1161" s="140">
        <v>0.0</v>
      </c>
      <c r="AL1161" s="109">
        <v>0.0</v>
      </c>
      <c r="AM1161" s="141">
        <v>0.0</v>
      </c>
      <c r="AN1161" s="80">
        <v>0.0</v>
      </c>
      <c r="AO1161" s="140">
        <v>0.0</v>
      </c>
      <c r="AP1161" s="109">
        <v>0.0</v>
      </c>
      <c r="AQ1161" s="109">
        <v>50.0</v>
      </c>
      <c r="AR1161" s="80">
        <v>50.0</v>
      </c>
      <c r="AS1161" s="110">
        <v>0.0</v>
      </c>
      <c r="AT1161" s="110">
        <v>0.0</v>
      </c>
      <c r="AU1161" s="110">
        <v>0.0</v>
      </c>
      <c r="AV1161" s="142">
        <v>0.0</v>
      </c>
      <c r="AW1161" s="80">
        <v>0.0</v>
      </c>
      <c r="AX1161" s="113">
        <v>155.0</v>
      </c>
      <c r="AY1161" s="117">
        <v>105.0</v>
      </c>
      <c r="AZ1161" s="328">
        <v>50.0</v>
      </c>
      <c r="BA1161" s="315">
        <v>0.0</v>
      </c>
      <c r="BB1161" s="316">
        <v>155.0</v>
      </c>
      <c r="BC1161" s="132" t="s">
        <v>631</v>
      </c>
      <c r="BD1161" s="132" t="s">
        <v>178</v>
      </c>
      <c r="BE1161" s="132" t="s">
        <v>178</v>
      </c>
      <c r="BF1161" s="123"/>
      <c r="BG1161" s="83">
        <v>1179113.0</v>
      </c>
      <c r="BH1161" s="112">
        <v>4.0</v>
      </c>
      <c r="BI1161" s="98" t="s">
        <v>155</v>
      </c>
      <c r="BJ1161" s="98" t="str">
        <f t="shared" si="1"/>
        <v>INTEGRAL</v>
      </c>
      <c r="BK1161" s="98" t="str">
        <f t="shared" si="2"/>
        <v>NÃO</v>
      </c>
    </row>
    <row r="1162" ht="15.75" customHeight="1">
      <c r="A1162" s="111" t="s">
        <v>1393</v>
      </c>
      <c r="B1162" s="83" t="s">
        <v>6120</v>
      </c>
      <c r="C1162" s="83" t="s">
        <v>68</v>
      </c>
      <c r="D1162" s="83">
        <v>1124856.0</v>
      </c>
      <c r="E1162" s="83"/>
      <c r="F1162" s="83">
        <v>2.926748E7</v>
      </c>
      <c r="G1162" s="153" t="s">
        <v>6131</v>
      </c>
      <c r="H1162" s="108" t="s">
        <v>6132</v>
      </c>
      <c r="I1162" s="187" t="s">
        <v>149</v>
      </c>
      <c r="J1162" s="136" t="s">
        <v>150</v>
      </c>
      <c r="K1162" s="136" t="s">
        <v>151</v>
      </c>
      <c r="L1162" s="83" t="s">
        <v>152</v>
      </c>
      <c r="M1162" s="82" t="s">
        <v>10827</v>
      </c>
      <c r="N1162" s="82" t="s">
        <v>10828</v>
      </c>
      <c r="O1162" s="82" t="s">
        <v>10829</v>
      </c>
      <c r="P1162" s="82" t="s">
        <v>10830</v>
      </c>
      <c r="Q1162" s="82"/>
      <c r="R1162" s="82"/>
      <c r="S1162" s="82" t="s">
        <v>10831</v>
      </c>
      <c r="T1162" s="138">
        <v>11.0</v>
      </c>
      <c r="U1162" s="331">
        <v>24.0</v>
      </c>
      <c r="V1162" s="106">
        <v>0.0</v>
      </c>
      <c r="W1162" s="107">
        <v>0.0</v>
      </c>
      <c r="X1162" s="107">
        <v>0.0</v>
      </c>
      <c r="Y1162" s="107">
        <v>0.0</v>
      </c>
      <c r="Z1162" s="80">
        <v>0.0</v>
      </c>
      <c r="AA1162" s="140">
        <v>0.0</v>
      </c>
      <c r="AB1162" s="109">
        <v>0.0</v>
      </c>
      <c r="AC1162" s="109">
        <v>0.0</v>
      </c>
      <c r="AD1162" s="141">
        <v>0.0</v>
      </c>
      <c r="AE1162" s="80">
        <v>0.0</v>
      </c>
      <c r="AF1162" s="140">
        <v>148.0</v>
      </c>
      <c r="AG1162" s="109">
        <v>36.0</v>
      </c>
      <c r="AH1162" s="109">
        <v>0.0</v>
      </c>
      <c r="AI1162" s="141">
        <v>472.0</v>
      </c>
      <c r="AJ1162" s="80">
        <v>656.0</v>
      </c>
      <c r="AK1162" s="140">
        <v>0.0</v>
      </c>
      <c r="AL1162" s="109">
        <v>0.0</v>
      </c>
      <c r="AM1162" s="141">
        <v>0.0</v>
      </c>
      <c r="AN1162" s="80">
        <v>0.0</v>
      </c>
      <c r="AO1162" s="140">
        <v>0.0</v>
      </c>
      <c r="AP1162" s="109">
        <v>0.0</v>
      </c>
      <c r="AQ1162" s="109">
        <v>327.0</v>
      </c>
      <c r="AR1162" s="80">
        <v>327.0</v>
      </c>
      <c r="AS1162" s="110">
        <v>0.0</v>
      </c>
      <c r="AT1162" s="110">
        <v>0.0</v>
      </c>
      <c r="AU1162" s="110">
        <v>0.0</v>
      </c>
      <c r="AV1162" s="142">
        <v>0.0</v>
      </c>
      <c r="AW1162" s="80">
        <v>0.0</v>
      </c>
      <c r="AX1162" s="113">
        <v>983.0</v>
      </c>
      <c r="AY1162" s="117">
        <v>656.0</v>
      </c>
      <c r="AZ1162" s="328">
        <v>327.0</v>
      </c>
      <c r="BA1162" s="315">
        <v>1.0</v>
      </c>
      <c r="BB1162" s="316">
        <v>984.0</v>
      </c>
      <c r="BC1162" s="132" t="s">
        <v>178</v>
      </c>
      <c r="BD1162" s="132" t="s">
        <v>178</v>
      </c>
      <c r="BE1162" s="132" t="s">
        <v>178</v>
      </c>
      <c r="BF1162" s="123"/>
      <c r="BG1162" s="83">
        <v>1124856.0</v>
      </c>
      <c r="BH1162" s="112">
        <v>24.0</v>
      </c>
      <c r="BI1162" s="98" t="s">
        <v>162</v>
      </c>
      <c r="BJ1162" s="98" t="str">
        <f t="shared" si="1"/>
        <v>INTEGRAL</v>
      </c>
      <c r="BK1162" s="98" t="str">
        <f t="shared" si="2"/>
        <v>NÃO</v>
      </c>
    </row>
    <row r="1163" ht="15.75" customHeight="1">
      <c r="A1163" s="111" t="s">
        <v>1393</v>
      </c>
      <c r="B1163" s="83" t="s">
        <v>6120</v>
      </c>
      <c r="C1163" s="83" t="s">
        <v>164</v>
      </c>
      <c r="D1163" s="83">
        <v>1179113.0</v>
      </c>
      <c r="E1163" s="83">
        <v>1179641.0</v>
      </c>
      <c r="F1163" s="83"/>
      <c r="G1163" s="114" t="s">
        <v>10832</v>
      </c>
      <c r="H1163" s="91" t="s">
        <v>6135</v>
      </c>
      <c r="I1163" s="114" t="s">
        <v>6136</v>
      </c>
      <c r="J1163" s="83" t="s">
        <v>2821</v>
      </c>
      <c r="K1163" s="83" t="s">
        <v>151</v>
      </c>
      <c r="L1163" s="83" t="s">
        <v>169</v>
      </c>
      <c r="M1163" s="82" t="s">
        <v>10824</v>
      </c>
      <c r="N1163" s="82" t="s">
        <v>10825</v>
      </c>
      <c r="O1163" s="82"/>
      <c r="P1163" s="82"/>
      <c r="Q1163" s="82"/>
      <c r="R1163" s="82"/>
      <c r="S1163" s="82"/>
      <c r="T1163" s="138">
        <v>4.0</v>
      </c>
      <c r="U1163" s="323">
        <v>2.0</v>
      </c>
      <c r="V1163" s="106">
        <v>0.0</v>
      </c>
      <c r="W1163" s="107">
        <v>0.0</v>
      </c>
      <c r="X1163" s="107">
        <v>0.0</v>
      </c>
      <c r="Y1163" s="107">
        <v>0.0</v>
      </c>
      <c r="Z1163" s="80">
        <v>0.0</v>
      </c>
      <c r="AA1163" s="140">
        <v>0.0</v>
      </c>
      <c r="AB1163" s="109">
        <v>0.0</v>
      </c>
      <c r="AC1163" s="109">
        <v>0.0</v>
      </c>
      <c r="AD1163" s="141">
        <v>0.0</v>
      </c>
      <c r="AE1163" s="80">
        <v>0.0</v>
      </c>
      <c r="AF1163" s="140">
        <v>0.0</v>
      </c>
      <c r="AG1163" s="109">
        <v>0.0</v>
      </c>
      <c r="AH1163" s="109">
        <v>0.0</v>
      </c>
      <c r="AI1163" s="141">
        <v>0.0</v>
      </c>
      <c r="AJ1163" s="80">
        <v>0.0</v>
      </c>
      <c r="AK1163" s="140">
        <v>0.0</v>
      </c>
      <c r="AL1163" s="109">
        <v>0.0</v>
      </c>
      <c r="AM1163" s="141">
        <v>0.0</v>
      </c>
      <c r="AN1163" s="80">
        <v>0.0</v>
      </c>
      <c r="AO1163" s="140">
        <v>0.0</v>
      </c>
      <c r="AP1163" s="109">
        <v>0.0</v>
      </c>
      <c r="AQ1163" s="109">
        <v>0.0</v>
      </c>
      <c r="AR1163" s="80">
        <v>0.0</v>
      </c>
      <c r="AS1163" s="110">
        <v>0.0</v>
      </c>
      <c r="AT1163" s="110">
        <v>0.0</v>
      </c>
      <c r="AU1163" s="110">
        <v>0.0</v>
      </c>
      <c r="AV1163" s="142">
        <v>44.0</v>
      </c>
      <c r="AW1163" s="80">
        <v>44.0</v>
      </c>
      <c r="AX1163" s="113">
        <v>44.0</v>
      </c>
      <c r="AY1163" s="117">
        <v>44.0</v>
      </c>
      <c r="AZ1163" s="328">
        <v>0.0</v>
      </c>
      <c r="BA1163" s="315">
        <v>0.0</v>
      </c>
      <c r="BB1163" s="316">
        <v>44.0</v>
      </c>
      <c r="BC1163" s="132" t="s">
        <v>631</v>
      </c>
      <c r="BD1163" s="132" t="s">
        <v>178</v>
      </c>
      <c r="BE1163" s="132" t="s">
        <v>178</v>
      </c>
      <c r="BF1163" s="123"/>
      <c r="BG1163" s="83">
        <v>1179641.0</v>
      </c>
      <c r="BH1163" s="112">
        <v>2.0</v>
      </c>
      <c r="BI1163" s="98" t="s">
        <v>155</v>
      </c>
      <c r="BJ1163" s="98" t="str">
        <f t="shared" si="1"/>
        <v>INTEGRAL</v>
      </c>
      <c r="BK1163" s="98" t="str">
        <f t="shared" si="2"/>
        <v>PROFISSIONAL</v>
      </c>
    </row>
    <row r="1164" ht="15.75" customHeight="1">
      <c r="A1164" s="111" t="s">
        <v>1393</v>
      </c>
      <c r="B1164" s="83" t="s">
        <v>6120</v>
      </c>
      <c r="C1164" s="83" t="s">
        <v>164</v>
      </c>
      <c r="D1164" s="83">
        <v>1179285.0</v>
      </c>
      <c r="E1164" s="83">
        <v>1179723.0</v>
      </c>
      <c r="F1164" s="83">
        <v>2.9461472E7</v>
      </c>
      <c r="G1164" s="114" t="s">
        <v>6145</v>
      </c>
      <c r="H1164" s="108" t="s">
        <v>6147</v>
      </c>
      <c r="I1164" s="119" t="s">
        <v>6148</v>
      </c>
      <c r="J1164" s="83" t="s">
        <v>2668</v>
      </c>
      <c r="K1164" s="83" t="s">
        <v>151</v>
      </c>
      <c r="L1164" s="83" t="s">
        <v>512</v>
      </c>
      <c r="M1164" s="82" t="s">
        <v>10833</v>
      </c>
      <c r="N1164" s="82" t="s">
        <v>10834</v>
      </c>
      <c r="O1164" s="82" t="s">
        <v>10835</v>
      </c>
      <c r="P1164" s="82" t="s">
        <v>10836</v>
      </c>
      <c r="Q1164" s="82"/>
      <c r="R1164" s="82"/>
      <c r="S1164" s="82" t="s">
        <v>10837</v>
      </c>
      <c r="T1164" s="138"/>
      <c r="U1164" s="339">
        <v>2.0</v>
      </c>
      <c r="V1164" s="106">
        <v>0.0</v>
      </c>
      <c r="W1164" s="107">
        <v>0.0</v>
      </c>
      <c r="X1164" s="107">
        <v>0.0</v>
      </c>
      <c r="Y1164" s="107">
        <v>0.0</v>
      </c>
      <c r="Z1164" s="80">
        <v>0.0</v>
      </c>
      <c r="AA1164" s="140">
        <v>0.0</v>
      </c>
      <c r="AB1164" s="109">
        <v>0.0</v>
      </c>
      <c r="AC1164" s="109">
        <v>0.0</v>
      </c>
      <c r="AD1164" s="141">
        <v>0.0</v>
      </c>
      <c r="AE1164" s="80">
        <v>0.0</v>
      </c>
      <c r="AF1164" s="140">
        <v>0.0</v>
      </c>
      <c r="AG1164" s="109">
        <v>0.0</v>
      </c>
      <c r="AH1164" s="109">
        <v>50.0</v>
      </c>
      <c r="AI1164" s="141">
        <v>0.0</v>
      </c>
      <c r="AJ1164" s="80">
        <v>50.0</v>
      </c>
      <c r="AK1164" s="140">
        <v>0.0</v>
      </c>
      <c r="AL1164" s="109">
        <v>0.0</v>
      </c>
      <c r="AM1164" s="141">
        <v>0.0</v>
      </c>
      <c r="AN1164" s="80">
        <v>0.0</v>
      </c>
      <c r="AO1164" s="140">
        <v>0.0</v>
      </c>
      <c r="AP1164" s="109">
        <v>0.0</v>
      </c>
      <c r="AQ1164" s="109">
        <v>0.0</v>
      </c>
      <c r="AR1164" s="80">
        <v>0.0</v>
      </c>
      <c r="AS1164" s="110">
        <v>0.0</v>
      </c>
      <c r="AT1164" s="110">
        <v>0.0</v>
      </c>
      <c r="AU1164" s="110">
        <v>0.0</v>
      </c>
      <c r="AV1164" s="142">
        <v>0.0</v>
      </c>
      <c r="AW1164" s="80">
        <v>0.0</v>
      </c>
      <c r="AX1164" s="113">
        <v>50.0</v>
      </c>
      <c r="AY1164" s="117">
        <v>0.0</v>
      </c>
      <c r="AZ1164" s="328">
        <v>50.0</v>
      </c>
      <c r="BA1164" s="315">
        <v>0.0</v>
      </c>
      <c r="BB1164" s="316">
        <v>50.0</v>
      </c>
      <c r="BC1164" s="132" t="s">
        <v>178</v>
      </c>
      <c r="BD1164" s="143" t="s">
        <v>227</v>
      </c>
      <c r="BE1164" s="132" t="s">
        <v>178</v>
      </c>
      <c r="BF1164" s="156"/>
      <c r="BG1164" s="83">
        <v>1179723.0</v>
      </c>
      <c r="BH1164" s="112">
        <v>2.0</v>
      </c>
      <c r="BI1164" s="98" t="s">
        <v>155</v>
      </c>
      <c r="BJ1164" s="98" t="str">
        <f t="shared" si="1"/>
        <v>NÃO</v>
      </c>
      <c r="BK1164" s="98" t="str">
        <f t="shared" si="2"/>
        <v>NÃO</v>
      </c>
    </row>
    <row r="1165" ht="15.75" customHeight="1">
      <c r="A1165" s="111" t="s">
        <v>1393</v>
      </c>
      <c r="B1165" s="83" t="s">
        <v>6149</v>
      </c>
      <c r="C1165" s="83" t="s">
        <v>68</v>
      </c>
      <c r="D1165" s="83">
        <v>1124872.0</v>
      </c>
      <c r="E1165" s="83"/>
      <c r="F1165" s="83">
        <v>2.9268168E7</v>
      </c>
      <c r="G1165" s="153" t="s">
        <v>10838</v>
      </c>
      <c r="H1165" s="91" t="s">
        <v>6151</v>
      </c>
      <c r="I1165" s="187" t="s">
        <v>149</v>
      </c>
      <c r="J1165" s="83" t="s">
        <v>150</v>
      </c>
      <c r="K1165" s="83" t="s">
        <v>151</v>
      </c>
      <c r="L1165" s="83" t="s">
        <v>76</v>
      </c>
      <c r="M1165" s="82" t="s">
        <v>10839</v>
      </c>
      <c r="N1165" s="82" t="s">
        <v>10840</v>
      </c>
      <c r="O1165" s="82" t="s">
        <v>10841</v>
      </c>
      <c r="P1165" s="82" t="s">
        <v>10842</v>
      </c>
      <c r="Q1165" s="82" t="s">
        <v>10843</v>
      </c>
      <c r="R1165" s="82" t="s">
        <v>10844</v>
      </c>
      <c r="S1165" s="82" t="s">
        <v>10845</v>
      </c>
      <c r="T1165" s="138">
        <v>10.0</v>
      </c>
      <c r="U1165" s="323">
        <v>11.0</v>
      </c>
      <c r="V1165" s="106">
        <v>0.0</v>
      </c>
      <c r="W1165" s="107">
        <v>0.0</v>
      </c>
      <c r="X1165" s="107">
        <v>0.0</v>
      </c>
      <c r="Y1165" s="107">
        <v>0.0</v>
      </c>
      <c r="Z1165" s="80">
        <v>0.0</v>
      </c>
      <c r="AA1165" s="140">
        <v>0.0</v>
      </c>
      <c r="AB1165" s="109">
        <v>0.0</v>
      </c>
      <c r="AC1165" s="109">
        <v>0.0</v>
      </c>
      <c r="AD1165" s="141">
        <v>0.0</v>
      </c>
      <c r="AE1165" s="80">
        <v>0.0</v>
      </c>
      <c r="AF1165" s="140">
        <v>216.0</v>
      </c>
      <c r="AG1165" s="109">
        <v>274.0</v>
      </c>
      <c r="AH1165" s="109">
        <v>0.0</v>
      </c>
      <c r="AI1165" s="141">
        <v>115.0</v>
      </c>
      <c r="AJ1165" s="80">
        <v>605.0</v>
      </c>
      <c r="AK1165" s="140">
        <v>0.0</v>
      </c>
      <c r="AL1165" s="109">
        <v>0.0</v>
      </c>
      <c r="AM1165" s="141">
        <v>0.0</v>
      </c>
      <c r="AN1165" s="80">
        <v>0.0</v>
      </c>
      <c r="AO1165" s="140">
        <v>0.0</v>
      </c>
      <c r="AP1165" s="109">
        <v>0.0</v>
      </c>
      <c r="AQ1165" s="109">
        <v>143.0</v>
      </c>
      <c r="AR1165" s="80">
        <v>143.0</v>
      </c>
      <c r="AS1165" s="110">
        <v>0.0</v>
      </c>
      <c r="AT1165" s="110">
        <v>0.0</v>
      </c>
      <c r="AU1165" s="110">
        <v>53.0</v>
      </c>
      <c r="AV1165" s="142">
        <v>0.0</v>
      </c>
      <c r="AW1165" s="80">
        <v>53.0</v>
      </c>
      <c r="AX1165" s="113">
        <v>801.0</v>
      </c>
      <c r="AY1165" s="117">
        <v>605.0</v>
      </c>
      <c r="AZ1165" s="328">
        <v>196.0</v>
      </c>
      <c r="BA1165" s="315">
        <v>0.0</v>
      </c>
      <c r="BB1165" s="316">
        <v>801.0</v>
      </c>
      <c r="BC1165" s="132" t="s">
        <v>178</v>
      </c>
      <c r="BD1165" s="132" t="s">
        <v>178</v>
      </c>
      <c r="BE1165" s="132" t="s">
        <v>178</v>
      </c>
      <c r="BF1165" s="123"/>
      <c r="BG1165" s="83">
        <v>1124872.0</v>
      </c>
      <c r="BH1165" s="112">
        <v>11.0</v>
      </c>
      <c r="BI1165" s="98" t="s">
        <v>155</v>
      </c>
      <c r="BJ1165" s="98" t="str">
        <f t="shared" si="1"/>
        <v>INTEGRAL</v>
      </c>
      <c r="BK1165" s="98" t="str">
        <f t="shared" si="2"/>
        <v>PROFISSIONAL</v>
      </c>
    </row>
    <row r="1166" ht="15.75" customHeight="1">
      <c r="A1166" s="111" t="s">
        <v>1393</v>
      </c>
      <c r="B1166" s="83" t="s">
        <v>6149</v>
      </c>
      <c r="C1166" s="83" t="s">
        <v>164</v>
      </c>
      <c r="D1166" s="83">
        <v>1124872.0</v>
      </c>
      <c r="E1166" s="83">
        <v>1178762.0</v>
      </c>
      <c r="F1166" s="83"/>
      <c r="G1166" s="114" t="s">
        <v>10847</v>
      </c>
      <c r="H1166" s="91" t="s">
        <v>6155</v>
      </c>
      <c r="I1166" s="114" t="s">
        <v>6156</v>
      </c>
      <c r="J1166" s="83" t="s">
        <v>2821</v>
      </c>
      <c r="K1166" s="83" t="s">
        <v>168</v>
      </c>
      <c r="L1166" s="83" t="s">
        <v>169</v>
      </c>
      <c r="M1166" s="82" t="s">
        <v>10839</v>
      </c>
      <c r="N1166" s="82" t="s">
        <v>10840</v>
      </c>
      <c r="O1166" s="82" t="s">
        <v>10841</v>
      </c>
      <c r="P1166" s="82" t="s">
        <v>10842</v>
      </c>
      <c r="Q1166" s="82" t="s">
        <v>10843</v>
      </c>
      <c r="R1166" s="82" t="s">
        <v>10844</v>
      </c>
      <c r="S1166" s="82" t="s">
        <v>10845</v>
      </c>
      <c r="T1166" s="138">
        <v>4.0</v>
      </c>
      <c r="U1166" s="323">
        <v>3.0</v>
      </c>
      <c r="V1166" s="106">
        <v>0.0</v>
      </c>
      <c r="W1166" s="107">
        <v>0.0</v>
      </c>
      <c r="X1166" s="107">
        <v>0.0</v>
      </c>
      <c r="Y1166" s="107">
        <v>0.0</v>
      </c>
      <c r="Z1166" s="80">
        <v>0.0</v>
      </c>
      <c r="AA1166" s="140">
        <v>0.0</v>
      </c>
      <c r="AB1166" s="109">
        <v>0.0</v>
      </c>
      <c r="AC1166" s="109">
        <v>0.0</v>
      </c>
      <c r="AD1166" s="141">
        <v>0.0</v>
      </c>
      <c r="AE1166" s="80">
        <v>0.0</v>
      </c>
      <c r="AF1166" s="140">
        <v>63.0</v>
      </c>
      <c r="AG1166" s="109">
        <v>0.0</v>
      </c>
      <c r="AH1166" s="109">
        <v>0.0</v>
      </c>
      <c r="AI1166" s="141">
        <v>0.0</v>
      </c>
      <c r="AJ1166" s="80">
        <v>63.0</v>
      </c>
      <c r="AK1166" s="140">
        <v>0.0</v>
      </c>
      <c r="AL1166" s="109">
        <v>0.0</v>
      </c>
      <c r="AM1166" s="141">
        <v>0.0</v>
      </c>
      <c r="AN1166" s="80">
        <v>0.0</v>
      </c>
      <c r="AO1166" s="140">
        <v>0.0</v>
      </c>
      <c r="AP1166" s="109">
        <v>0.0</v>
      </c>
      <c r="AQ1166" s="109">
        <v>0.0</v>
      </c>
      <c r="AR1166" s="80">
        <v>0.0</v>
      </c>
      <c r="AS1166" s="110">
        <v>0.0</v>
      </c>
      <c r="AT1166" s="110">
        <v>0.0</v>
      </c>
      <c r="AU1166" s="110">
        <v>0.0</v>
      </c>
      <c r="AV1166" s="142">
        <v>0.0</v>
      </c>
      <c r="AW1166" s="80">
        <v>0.0</v>
      </c>
      <c r="AX1166" s="113">
        <v>63.0</v>
      </c>
      <c r="AY1166" s="117">
        <v>63.0</v>
      </c>
      <c r="AZ1166" s="328">
        <v>0.0</v>
      </c>
      <c r="BA1166" s="315">
        <v>0.0</v>
      </c>
      <c r="BB1166" s="316">
        <v>63.0</v>
      </c>
      <c r="BC1166" s="132" t="s">
        <v>373</v>
      </c>
      <c r="BD1166" s="132" t="s">
        <v>178</v>
      </c>
      <c r="BE1166" s="132" t="s">
        <v>178</v>
      </c>
      <c r="BF1166" s="156"/>
      <c r="BG1166" s="83">
        <v>1178762.0</v>
      </c>
      <c r="BH1166" s="112">
        <v>3.0</v>
      </c>
      <c r="BI1166" s="98" t="s">
        <v>155</v>
      </c>
      <c r="BJ1166" s="98" t="str">
        <f t="shared" si="1"/>
        <v>NÃO</v>
      </c>
      <c r="BK1166" s="98" t="str">
        <f t="shared" si="2"/>
        <v>NÃO</v>
      </c>
    </row>
    <row r="1167" ht="15.75" customHeight="1">
      <c r="A1167" s="111" t="s">
        <v>1393</v>
      </c>
      <c r="B1167" s="83" t="s">
        <v>6157</v>
      </c>
      <c r="C1167" s="83" t="s">
        <v>68</v>
      </c>
      <c r="D1167" s="83">
        <v>1165706.0</v>
      </c>
      <c r="E1167" s="83"/>
      <c r="F1167" s="83">
        <v>2.9269806E7</v>
      </c>
      <c r="G1167" s="119" t="s">
        <v>6158</v>
      </c>
      <c r="H1167" s="91" t="s">
        <v>10849</v>
      </c>
      <c r="I1167" s="114" t="s">
        <v>149</v>
      </c>
      <c r="J1167" s="83" t="s">
        <v>150</v>
      </c>
      <c r="K1167" s="83" t="s">
        <v>151</v>
      </c>
      <c r="L1167" s="83" t="s">
        <v>76</v>
      </c>
      <c r="M1167" s="82" t="s">
        <v>10850</v>
      </c>
      <c r="N1167" s="82" t="s">
        <v>10851</v>
      </c>
      <c r="O1167" s="82"/>
      <c r="P1167" s="82"/>
      <c r="Q1167" s="82"/>
      <c r="R1167" s="82"/>
      <c r="S1167" s="82" t="s">
        <v>10852</v>
      </c>
      <c r="T1167" s="138">
        <v>6.0</v>
      </c>
      <c r="U1167" s="331">
        <v>12.0</v>
      </c>
      <c r="V1167" s="106">
        <v>0.0</v>
      </c>
      <c r="W1167" s="107">
        <v>0.0</v>
      </c>
      <c r="X1167" s="107">
        <v>0.0</v>
      </c>
      <c r="Y1167" s="107">
        <v>0.0</v>
      </c>
      <c r="Z1167" s="80">
        <v>0.0</v>
      </c>
      <c r="AA1167" s="140">
        <v>0.0</v>
      </c>
      <c r="AB1167" s="109">
        <v>0.0</v>
      </c>
      <c r="AC1167" s="109">
        <v>0.0</v>
      </c>
      <c r="AD1167" s="141">
        <v>0.0</v>
      </c>
      <c r="AE1167" s="80">
        <v>0.0</v>
      </c>
      <c r="AF1167" s="140">
        <v>91.0</v>
      </c>
      <c r="AG1167" s="109">
        <v>70.0</v>
      </c>
      <c r="AH1167" s="109">
        <v>0.0</v>
      </c>
      <c r="AI1167" s="141">
        <v>197.0</v>
      </c>
      <c r="AJ1167" s="80">
        <v>358.0</v>
      </c>
      <c r="AK1167" s="140">
        <v>0.0</v>
      </c>
      <c r="AL1167" s="109">
        <v>0.0</v>
      </c>
      <c r="AM1167" s="141">
        <v>0.0</v>
      </c>
      <c r="AN1167" s="80">
        <v>0.0</v>
      </c>
      <c r="AO1167" s="140">
        <v>0.0</v>
      </c>
      <c r="AP1167" s="109">
        <v>0.0</v>
      </c>
      <c r="AQ1167" s="109">
        <v>39.0</v>
      </c>
      <c r="AR1167" s="80">
        <v>39.0</v>
      </c>
      <c r="AS1167" s="110">
        <v>0.0</v>
      </c>
      <c r="AT1167" s="110">
        <v>10.0</v>
      </c>
      <c r="AU1167" s="110">
        <v>0.0</v>
      </c>
      <c r="AV1167" s="142">
        <v>0.0</v>
      </c>
      <c r="AW1167" s="80">
        <v>10.0</v>
      </c>
      <c r="AX1167" s="113">
        <v>407.0</v>
      </c>
      <c r="AY1167" s="117">
        <v>368.0</v>
      </c>
      <c r="AZ1167" s="328">
        <v>39.0</v>
      </c>
      <c r="BA1167" s="315">
        <v>0.0</v>
      </c>
      <c r="BB1167" s="316">
        <v>407.0</v>
      </c>
      <c r="BC1167" s="132" t="s">
        <v>178</v>
      </c>
      <c r="BD1167" s="132" t="s">
        <v>178</v>
      </c>
      <c r="BE1167" s="132" t="s">
        <v>178</v>
      </c>
      <c r="BF1167" s="156"/>
      <c r="BG1167" s="83">
        <v>1165706.0</v>
      </c>
      <c r="BH1167" s="98">
        <v>12.0</v>
      </c>
      <c r="BI1167" s="98" t="s">
        <v>162</v>
      </c>
      <c r="BJ1167" s="98" t="str">
        <f t="shared" si="1"/>
        <v>INTEGRAL</v>
      </c>
      <c r="BK1167" s="98" t="str">
        <f t="shared" si="2"/>
        <v>PROFISSIONAL</v>
      </c>
    </row>
    <row r="1168" ht="15.75" customHeight="1">
      <c r="A1168" s="111" t="s">
        <v>1393</v>
      </c>
      <c r="B1168" s="83" t="s">
        <v>6161</v>
      </c>
      <c r="C1168" s="83" t="s">
        <v>68</v>
      </c>
      <c r="D1168" s="83">
        <v>1165722.0</v>
      </c>
      <c r="E1168" s="83"/>
      <c r="F1168" s="83">
        <v>2.927057E7</v>
      </c>
      <c r="G1168" s="114" t="s">
        <v>10853</v>
      </c>
      <c r="H1168" s="91" t="s">
        <v>6163</v>
      </c>
      <c r="I1168" s="187" t="s">
        <v>149</v>
      </c>
      <c r="J1168" s="83" t="s">
        <v>150</v>
      </c>
      <c r="K1168" s="83" t="s">
        <v>151</v>
      </c>
      <c r="L1168" s="83" t="s">
        <v>152</v>
      </c>
      <c r="M1168" s="82" t="s">
        <v>10854</v>
      </c>
      <c r="N1168" s="82" t="s">
        <v>10855</v>
      </c>
      <c r="O1168" s="82" t="s">
        <v>10856</v>
      </c>
      <c r="P1168" s="82" t="s">
        <v>10857</v>
      </c>
      <c r="Q1168" s="82"/>
      <c r="R1168" s="82"/>
      <c r="S1168" s="82" t="s">
        <v>10858</v>
      </c>
      <c r="T1168" s="138">
        <v>8.0</v>
      </c>
      <c r="U1168" s="331" t="s">
        <v>10859</v>
      </c>
      <c r="V1168" s="106">
        <v>0.0</v>
      </c>
      <c r="W1168" s="107">
        <v>0.0</v>
      </c>
      <c r="X1168" s="107">
        <v>0.0</v>
      </c>
      <c r="Y1168" s="107">
        <v>0.0</v>
      </c>
      <c r="Z1168" s="80">
        <v>0.0</v>
      </c>
      <c r="AA1168" s="140">
        <v>0.0</v>
      </c>
      <c r="AB1168" s="109">
        <v>0.0</v>
      </c>
      <c r="AC1168" s="109">
        <v>0.0</v>
      </c>
      <c r="AD1168" s="141">
        <v>0.0</v>
      </c>
      <c r="AE1168" s="80">
        <v>0.0</v>
      </c>
      <c r="AF1168" s="140">
        <v>79.0</v>
      </c>
      <c r="AG1168" s="109">
        <v>108.0</v>
      </c>
      <c r="AH1168" s="109">
        <v>0.0</v>
      </c>
      <c r="AI1168" s="141">
        <v>160.0</v>
      </c>
      <c r="AJ1168" s="80">
        <v>347.0</v>
      </c>
      <c r="AK1168" s="140">
        <v>0.0</v>
      </c>
      <c r="AL1168" s="109">
        <v>0.0</v>
      </c>
      <c r="AM1168" s="141">
        <v>0.0</v>
      </c>
      <c r="AN1168" s="80">
        <v>0.0</v>
      </c>
      <c r="AO1168" s="140">
        <v>0.0</v>
      </c>
      <c r="AP1168" s="109">
        <v>0.0</v>
      </c>
      <c r="AQ1168" s="109">
        <v>52.0</v>
      </c>
      <c r="AR1168" s="80">
        <v>52.0</v>
      </c>
      <c r="AS1168" s="110">
        <v>0.0</v>
      </c>
      <c r="AT1168" s="110">
        <v>0.0</v>
      </c>
      <c r="AU1168" s="110">
        <v>0.0</v>
      </c>
      <c r="AV1168" s="142">
        <v>0.0</v>
      </c>
      <c r="AW1168" s="80">
        <v>0.0</v>
      </c>
      <c r="AX1168" s="113">
        <v>399.0</v>
      </c>
      <c r="AY1168" s="117">
        <v>347.0</v>
      </c>
      <c r="AZ1168" s="328">
        <v>52.0</v>
      </c>
      <c r="BA1168" s="315">
        <v>0.0</v>
      </c>
      <c r="BB1168" s="316">
        <v>399.0</v>
      </c>
      <c r="BC1168" s="132" t="s">
        <v>178</v>
      </c>
      <c r="BD1168" s="132" t="s">
        <v>178</v>
      </c>
      <c r="BE1168" s="132" t="s">
        <v>178</v>
      </c>
      <c r="BF1168" s="123"/>
      <c r="BG1168" s="83">
        <v>1165722.0</v>
      </c>
      <c r="BH1168" s="112">
        <v>8.0</v>
      </c>
      <c r="BI1168" s="98" t="s">
        <v>155</v>
      </c>
      <c r="BJ1168" s="98" t="str">
        <f t="shared" si="1"/>
        <v>INTEGRAL</v>
      </c>
      <c r="BK1168" s="98" t="str">
        <f t="shared" si="2"/>
        <v>NÃO</v>
      </c>
    </row>
    <row r="1169" ht="15.75" customHeight="1">
      <c r="A1169" s="111" t="s">
        <v>1393</v>
      </c>
      <c r="B1169" s="83" t="s">
        <v>6161</v>
      </c>
      <c r="C1169" s="83" t="s">
        <v>164</v>
      </c>
      <c r="D1169" s="83">
        <v>1165722.0</v>
      </c>
      <c r="E1169" s="83">
        <v>1178763.0</v>
      </c>
      <c r="F1169" s="83"/>
      <c r="G1169" s="114" t="s">
        <v>10860</v>
      </c>
      <c r="H1169" s="91" t="s">
        <v>6169</v>
      </c>
      <c r="I1169" s="187" t="s">
        <v>6170</v>
      </c>
      <c r="J1169" s="83" t="s">
        <v>6171</v>
      </c>
      <c r="K1169" s="83" t="s">
        <v>168</v>
      </c>
      <c r="L1169" s="83" t="s">
        <v>169</v>
      </c>
      <c r="M1169" s="82" t="s">
        <v>10854</v>
      </c>
      <c r="N1169" s="82" t="s">
        <v>10855</v>
      </c>
      <c r="O1169" s="82" t="s">
        <v>10856</v>
      </c>
      <c r="P1169" s="82" t="s">
        <v>10857</v>
      </c>
      <c r="Q1169" s="82"/>
      <c r="R1169" s="82"/>
      <c r="S1169" s="82" t="s">
        <v>10858</v>
      </c>
      <c r="T1169" s="138">
        <v>3.0</v>
      </c>
      <c r="U1169" s="323">
        <v>3.0</v>
      </c>
      <c r="V1169" s="106">
        <v>0.0</v>
      </c>
      <c r="W1169" s="107">
        <v>0.0</v>
      </c>
      <c r="X1169" s="107">
        <v>0.0</v>
      </c>
      <c r="Y1169" s="107">
        <v>0.0</v>
      </c>
      <c r="Z1169" s="80">
        <v>0.0</v>
      </c>
      <c r="AA1169" s="140">
        <v>0.0</v>
      </c>
      <c r="AB1169" s="109">
        <v>0.0</v>
      </c>
      <c r="AC1169" s="109">
        <v>0.0</v>
      </c>
      <c r="AD1169" s="141">
        <v>0.0</v>
      </c>
      <c r="AE1169" s="80">
        <v>0.0</v>
      </c>
      <c r="AF1169" s="140">
        <v>0.0</v>
      </c>
      <c r="AG1169" s="109">
        <v>58.0</v>
      </c>
      <c r="AH1169" s="109">
        <v>20.0</v>
      </c>
      <c r="AI1169" s="141">
        <v>0.0</v>
      </c>
      <c r="AJ1169" s="80">
        <v>78.0</v>
      </c>
      <c r="AK1169" s="140">
        <v>0.0</v>
      </c>
      <c r="AL1169" s="109">
        <v>0.0</v>
      </c>
      <c r="AM1169" s="141">
        <v>0.0</v>
      </c>
      <c r="AN1169" s="80">
        <v>0.0</v>
      </c>
      <c r="AO1169" s="140">
        <v>0.0</v>
      </c>
      <c r="AP1169" s="109">
        <v>0.0</v>
      </c>
      <c r="AQ1169" s="109">
        <v>7.0</v>
      </c>
      <c r="AR1169" s="80">
        <v>7.0</v>
      </c>
      <c r="AS1169" s="110">
        <v>0.0</v>
      </c>
      <c r="AT1169" s="110">
        <v>0.0</v>
      </c>
      <c r="AU1169" s="110">
        <v>0.0</v>
      </c>
      <c r="AV1169" s="142">
        <v>0.0</v>
      </c>
      <c r="AW1169" s="80">
        <v>0.0</v>
      </c>
      <c r="AX1169" s="113">
        <v>85.0</v>
      </c>
      <c r="AY1169" s="117">
        <v>58.0</v>
      </c>
      <c r="AZ1169" s="328">
        <v>27.0</v>
      </c>
      <c r="BA1169" s="315">
        <v>0.0</v>
      </c>
      <c r="BB1169" s="316">
        <v>85.0</v>
      </c>
      <c r="BC1169" s="132" t="s">
        <v>373</v>
      </c>
      <c r="BD1169" s="132" t="s">
        <v>178</v>
      </c>
      <c r="BE1169" s="132" t="s">
        <v>178</v>
      </c>
      <c r="BF1169" s="123"/>
      <c r="BG1169" s="83">
        <v>1178763.0</v>
      </c>
      <c r="BH1169" s="112">
        <v>3.0</v>
      </c>
      <c r="BI1169" s="98" t="s">
        <v>155</v>
      </c>
      <c r="BJ1169" s="98" t="str">
        <f t="shared" si="1"/>
        <v>NÃO</v>
      </c>
      <c r="BK1169" s="98" t="str">
        <f t="shared" si="2"/>
        <v>NÃO</v>
      </c>
    </row>
    <row r="1170" ht="15.75" customHeight="1">
      <c r="A1170" s="111" t="s">
        <v>1393</v>
      </c>
      <c r="B1170" s="136" t="s">
        <v>6178</v>
      </c>
      <c r="C1170" s="136" t="s">
        <v>68</v>
      </c>
      <c r="D1170" s="136">
        <v>1179136.0</v>
      </c>
      <c r="E1170" s="136"/>
      <c r="F1170" s="136">
        <v>2.9449545E7</v>
      </c>
      <c r="G1170" s="219" t="s">
        <v>10861</v>
      </c>
      <c r="H1170" s="91" t="s">
        <v>6180</v>
      </c>
      <c r="I1170" s="114" t="s">
        <v>149</v>
      </c>
      <c r="J1170" s="83" t="s">
        <v>331</v>
      </c>
      <c r="K1170" s="83" t="s">
        <v>151</v>
      </c>
      <c r="L1170" s="83" t="s">
        <v>169</v>
      </c>
      <c r="M1170" s="82" t="s">
        <v>10862</v>
      </c>
      <c r="N1170" s="82" t="s">
        <v>10863</v>
      </c>
      <c r="O1170" s="82"/>
      <c r="P1170" s="82"/>
      <c r="Q1170" s="82"/>
      <c r="R1170" s="82"/>
      <c r="S1170" s="82" t="s">
        <v>10864</v>
      </c>
      <c r="T1170" s="138">
        <v>6.0</v>
      </c>
      <c r="U1170" s="323">
        <v>3.0</v>
      </c>
      <c r="V1170" s="106">
        <v>0.0</v>
      </c>
      <c r="W1170" s="107">
        <v>0.0</v>
      </c>
      <c r="X1170" s="107">
        <v>0.0</v>
      </c>
      <c r="Y1170" s="107">
        <v>0.0</v>
      </c>
      <c r="Z1170" s="80">
        <v>0.0</v>
      </c>
      <c r="AA1170" s="140">
        <v>0.0</v>
      </c>
      <c r="AB1170" s="109">
        <v>0.0</v>
      </c>
      <c r="AC1170" s="109">
        <v>0.0</v>
      </c>
      <c r="AD1170" s="141">
        <v>0.0</v>
      </c>
      <c r="AE1170" s="80">
        <v>0.0</v>
      </c>
      <c r="AF1170" s="140">
        <v>0.0</v>
      </c>
      <c r="AG1170" s="109">
        <v>107.0</v>
      </c>
      <c r="AH1170" s="109">
        <v>0.0</v>
      </c>
      <c r="AI1170" s="141">
        <v>30.0</v>
      </c>
      <c r="AJ1170" s="80">
        <v>137.0</v>
      </c>
      <c r="AK1170" s="140">
        <v>0.0</v>
      </c>
      <c r="AL1170" s="109">
        <v>0.0</v>
      </c>
      <c r="AM1170" s="141">
        <v>0.0</v>
      </c>
      <c r="AN1170" s="80">
        <v>0.0</v>
      </c>
      <c r="AO1170" s="140">
        <v>0.0</v>
      </c>
      <c r="AP1170" s="109">
        <v>0.0</v>
      </c>
      <c r="AQ1170" s="109">
        <v>49.0</v>
      </c>
      <c r="AR1170" s="80">
        <v>49.0</v>
      </c>
      <c r="AS1170" s="110">
        <v>0.0</v>
      </c>
      <c r="AT1170" s="110">
        <v>0.0</v>
      </c>
      <c r="AU1170" s="110">
        <v>0.0</v>
      </c>
      <c r="AV1170" s="142">
        <v>0.0</v>
      </c>
      <c r="AW1170" s="80">
        <v>0.0</v>
      </c>
      <c r="AX1170" s="113">
        <v>186.0</v>
      </c>
      <c r="AY1170" s="117">
        <v>137.0</v>
      </c>
      <c r="AZ1170" s="328">
        <v>49.0</v>
      </c>
      <c r="BA1170" s="315">
        <v>0.0</v>
      </c>
      <c r="BB1170" s="316">
        <v>186.0</v>
      </c>
      <c r="BC1170" s="132" t="s">
        <v>373</v>
      </c>
      <c r="BD1170" s="132" t="s">
        <v>178</v>
      </c>
      <c r="BE1170" s="132" t="s">
        <v>178</v>
      </c>
      <c r="BF1170" s="156"/>
      <c r="BG1170" s="136">
        <v>1179136.0</v>
      </c>
      <c r="BH1170" s="112">
        <v>3.0</v>
      </c>
      <c r="BI1170" s="98" t="s">
        <v>155</v>
      </c>
      <c r="BJ1170" s="98" t="str">
        <f t="shared" si="1"/>
        <v>INTEGRAL</v>
      </c>
      <c r="BK1170" s="98" t="str">
        <f t="shared" si="2"/>
        <v>NÃO</v>
      </c>
    </row>
    <row r="1171" ht="15.75" customHeight="1">
      <c r="A1171" s="111" t="s">
        <v>1393</v>
      </c>
      <c r="B1171" s="83" t="s">
        <v>6178</v>
      </c>
      <c r="C1171" s="83" t="s">
        <v>68</v>
      </c>
      <c r="D1171" s="83">
        <v>1179137.0</v>
      </c>
      <c r="E1171" s="83"/>
      <c r="F1171" s="83">
        <v>2.9449456E7</v>
      </c>
      <c r="G1171" s="187" t="s">
        <v>10865</v>
      </c>
      <c r="H1171" s="91" t="s">
        <v>6184</v>
      </c>
      <c r="I1171" s="187" t="s">
        <v>6185</v>
      </c>
      <c r="J1171" s="83" t="s">
        <v>538</v>
      </c>
      <c r="K1171" s="83" t="s">
        <v>151</v>
      </c>
      <c r="L1171" s="83" t="s">
        <v>169</v>
      </c>
      <c r="M1171" s="82" t="s">
        <v>10866</v>
      </c>
      <c r="N1171" s="82" t="s">
        <v>10867</v>
      </c>
      <c r="O1171" s="82" t="s">
        <v>10868</v>
      </c>
      <c r="P1171" s="82" t="s">
        <v>10869</v>
      </c>
      <c r="Q1171" s="82"/>
      <c r="R1171" s="82"/>
      <c r="S1171" s="82" t="s">
        <v>10870</v>
      </c>
      <c r="T1171" s="138">
        <v>6.0</v>
      </c>
      <c r="U1171" s="389">
        <v>6.0</v>
      </c>
      <c r="V1171" s="106">
        <v>0.0</v>
      </c>
      <c r="W1171" s="107">
        <v>0.0</v>
      </c>
      <c r="X1171" s="107">
        <v>0.0</v>
      </c>
      <c r="Y1171" s="107">
        <v>0.0</v>
      </c>
      <c r="Z1171" s="80">
        <v>0.0</v>
      </c>
      <c r="AA1171" s="140">
        <v>0.0</v>
      </c>
      <c r="AB1171" s="109">
        <v>0.0</v>
      </c>
      <c r="AC1171" s="109">
        <v>0.0</v>
      </c>
      <c r="AD1171" s="141">
        <v>0.0</v>
      </c>
      <c r="AE1171" s="80">
        <v>0.0</v>
      </c>
      <c r="AF1171" s="140">
        <v>102.0</v>
      </c>
      <c r="AG1171" s="109">
        <v>0.0</v>
      </c>
      <c r="AH1171" s="109">
        <v>0.0</v>
      </c>
      <c r="AI1171" s="141">
        <v>33.0</v>
      </c>
      <c r="AJ1171" s="80">
        <v>135.0</v>
      </c>
      <c r="AK1171" s="140">
        <v>0.0</v>
      </c>
      <c r="AL1171" s="109">
        <v>0.0</v>
      </c>
      <c r="AM1171" s="141">
        <v>0.0</v>
      </c>
      <c r="AN1171" s="80">
        <v>0.0</v>
      </c>
      <c r="AO1171" s="140">
        <v>0.0</v>
      </c>
      <c r="AP1171" s="109">
        <v>0.0</v>
      </c>
      <c r="AQ1171" s="109">
        <v>38.0</v>
      </c>
      <c r="AR1171" s="80">
        <v>38.0</v>
      </c>
      <c r="AS1171" s="110">
        <v>0.0</v>
      </c>
      <c r="AT1171" s="110">
        <v>0.0</v>
      </c>
      <c r="AU1171" s="110">
        <v>0.0</v>
      </c>
      <c r="AV1171" s="142">
        <v>0.0</v>
      </c>
      <c r="AW1171" s="80">
        <v>0.0</v>
      </c>
      <c r="AX1171" s="113">
        <v>173.0</v>
      </c>
      <c r="AY1171" s="117">
        <v>135.0</v>
      </c>
      <c r="AZ1171" s="328">
        <v>38.0</v>
      </c>
      <c r="BA1171" s="315">
        <v>0.0</v>
      </c>
      <c r="BB1171" s="316">
        <v>173.0</v>
      </c>
      <c r="BC1171" s="132" t="s">
        <v>373</v>
      </c>
      <c r="BD1171" s="132" t="s">
        <v>178</v>
      </c>
      <c r="BE1171" s="132" t="s">
        <v>178</v>
      </c>
      <c r="BF1171" s="156"/>
      <c r="BG1171" s="83">
        <v>1179137.0</v>
      </c>
      <c r="BH1171" s="112">
        <v>6.0</v>
      </c>
      <c r="BI1171" s="98" t="s">
        <v>155</v>
      </c>
      <c r="BJ1171" s="98" t="str">
        <f t="shared" si="1"/>
        <v>INTEGRAL</v>
      </c>
      <c r="BK1171" s="98" t="str">
        <f t="shared" si="2"/>
        <v>NÃO</v>
      </c>
    </row>
    <row r="1172" ht="15.75" customHeight="1">
      <c r="A1172" s="111" t="s">
        <v>1393</v>
      </c>
      <c r="B1172" s="83" t="s">
        <v>6178</v>
      </c>
      <c r="C1172" s="83" t="s">
        <v>68</v>
      </c>
      <c r="D1172" s="83">
        <v>1178438.0</v>
      </c>
      <c r="E1172" s="83"/>
      <c r="F1172" s="83">
        <v>2.9434734E7</v>
      </c>
      <c r="G1172" s="114" t="s">
        <v>10871</v>
      </c>
      <c r="H1172" s="91" t="s">
        <v>6188</v>
      </c>
      <c r="I1172" s="187" t="s">
        <v>149</v>
      </c>
      <c r="J1172" s="83" t="s">
        <v>150</v>
      </c>
      <c r="K1172" s="83" t="s">
        <v>151</v>
      </c>
      <c r="L1172" s="83" t="s">
        <v>152</v>
      </c>
      <c r="M1172" s="82" t="s">
        <v>10872</v>
      </c>
      <c r="N1172" s="82" t="s">
        <v>10873</v>
      </c>
      <c r="O1172" s="82" t="s">
        <v>10874</v>
      </c>
      <c r="P1172" s="82" t="s">
        <v>10875</v>
      </c>
      <c r="Q1172" s="82"/>
      <c r="R1172" s="82"/>
      <c r="S1172" s="82" t="s">
        <v>10876</v>
      </c>
      <c r="T1172" s="138">
        <v>9.0</v>
      </c>
      <c r="U1172" s="401" t="s">
        <v>10877</v>
      </c>
      <c r="V1172" s="106">
        <v>0.0</v>
      </c>
      <c r="W1172" s="107">
        <v>0.0</v>
      </c>
      <c r="X1172" s="107">
        <v>0.0</v>
      </c>
      <c r="Y1172" s="107">
        <v>0.0</v>
      </c>
      <c r="Z1172" s="80">
        <v>0.0</v>
      </c>
      <c r="AA1172" s="140">
        <v>0.0</v>
      </c>
      <c r="AB1172" s="109">
        <v>0.0</v>
      </c>
      <c r="AC1172" s="109">
        <v>0.0</v>
      </c>
      <c r="AD1172" s="141">
        <v>0.0</v>
      </c>
      <c r="AE1172" s="80">
        <v>0.0</v>
      </c>
      <c r="AF1172" s="140">
        <v>195.0</v>
      </c>
      <c r="AG1172" s="109">
        <v>184.0</v>
      </c>
      <c r="AH1172" s="109">
        <v>0.0</v>
      </c>
      <c r="AI1172" s="141">
        <v>110.0</v>
      </c>
      <c r="AJ1172" s="80">
        <v>489.0</v>
      </c>
      <c r="AK1172" s="140">
        <v>0.0</v>
      </c>
      <c r="AL1172" s="109">
        <v>0.0</v>
      </c>
      <c r="AM1172" s="141">
        <v>0.0</v>
      </c>
      <c r="AN1172" s="80">
        <v>0.0</v>
      </c>
      <c r="AO1172" s="140">
        <v>0.0</v>
      </c>
      <c r="AP1172" s="109">
        <v>0.0</v>
      </c>
      <c r="AQ1172" s="109">
        <v>131.0</v>
      </c>
      <c r="AR1172" s="80">
        <v>131.0</v>
      </c>
      <c r="AS1172" s="110">
        <v>0.0</v>
      </c>
      <c r="AT1172" s="110">
        <v>0.0</v>
      </c>
      <c r="AU1172" s="110">
        <v>0.0</v>
      </c>
      <c r="AV1172" s="142">
        <v>0.0</v>
      </c>
      <c r="AW1172" s="80">
        <v>0.0</v>
      </c>
      <c r="AX1172" s="113">
        <v>620.0</v>
      </c>
      <c r="AY1172" s="117">
        <v>489.0</v>
      </c>
      <c r="AZ1172" s="328">
        <v>131.0</v>
      </c>
      <c r="BA1172" s="315">
        <v>1.0</v>
      </c>
      <c r="BB1172" s="316">
        <v>621.0</v>
      </c>
      <c r="BC1172" s="132" t="s">
        <v>178</v>
      </c>
      <c r="BD1172" s="132" t="s">
        <v>178</v>
      </c>
      <c r="BE1172" s="132" t="s">
        <v>178</v>
      </c>
      <c r="BF1172" s="123"/>
      <c r="BG1172" s="83">
        <v>1178438.0</v>
      </c>
      <c r="BH1172" s="112">
        <v>9.0</v>
      </c>
      <c r="BI1172" s="98" t="s">
        <v>155</v>
      </c>
      <c r="BJ1172" s="98" t="str">
        <f t="shared" si="1"/>
        <v>INTEGRAL</v>
      </c>
      <c r="BK1172" s="98" t="str">
        <f t="shared" si="2"/>
        <v>NÃO</v>
      </c>
    </row>
    <row r="1173" ht="15.75" customHeight="1">
      <c r="A1173" s="111" t="s">
        <v>1393</v>
      </c>
      <c r="B1173" s="83" t="s">
        <v>6178</v>
      </c>
      <c r="C1173" s="83" t="s">
        <v>164</v>
      </c>
      <c r="D1173" s="83">
        <v>1179285.0</v>
      </c>
      <c r="E1173" s="83">
        <v>1179490.0</v>
      </c>
      <c r="F1173" s="83"/>
      <c r="G1173" s="114" t="s">
        <v>6191</v>
      </c>
      <c r="H1173" s="91" t="s">
        <v>6192</v>
      </c>
      <c r="I1173" s="114" t="s">
        <v>6193</v>
      </c>
      <c r="J1173" s="83" t="s">
        <v>6194</v>
      </c>
      <c r="K1173" s="83" t="s">
        <v>168</v>
      </c>
      <c r="L1173" s="83" t="s">
        <v>169</v>
      </c>
      <c r="M1173" s="82" t="s">
        <v>10833</v>
      </c>
      <c r="N1173" s="82" t="s">
        <v>10834</v>
      </c>
      <c r="O1173" s="82" t="s">
        <v>10835</v>
      </c>
      <c r="P1173" s="82" t="s">
        <v>10836</v>
      </c>
      <c r="Q1173" s="82"/>
      <c r="R1173" s="82"/>
      <c r="S1173" s="82" t="s">
        <v>10837</v>
      </c>
      <c r="T1173" s="138">
        <v>3.0</v>
      </c>
      <c r="U1173" s="401">
        <v>3.0</v>
      </c>
      <c r="V1173" s="106">
        <v>0.0</v>
      </c>
      <c r="W1173" s="107">
        <v>0.0</v>
      </c>
      <c r="X1173" s="107">
        <v>0.0</v>
      </c>
      <c r="Y1173" s="107">
        <v>0.0</v>
      </c>
      <c r="Z1173" s="80">
        <v>0.0</v>
      </c>
      <c r="AA1173" s="140">
        <v>0.0</v>
      </c>
      <c r="AB1173" s="109">
        <v>0.0</v>
      </c>
      <c r="AC1173" s="109">
        <v>0.0</v>
      </c>
      <c r="AD1173" s="141">
        <v>0.0</v>
      </c>
      <c r="AE1173" s="80">
        <v>0.0</v>
      </c>
      <c r="AF1173" s="140">
        <v>0.0</v>
      </c>
      <c r="AG1173" s="109">
        <v>0.0</v>
      </c>
      <c r="AH1173" s="109">
        <v>10.0</v>
      </c>
      <c r="AI1173" s="141">
        <v>0.0</v>
      </c>
      <c r="AJ1173" s="80">
        <v>10.0</v>
      </c>
      <c r="AK1173" s="140">
        <v>0.0</v>
      </c>
      <c r="AL1173" s="109">
        <v>0.0</v>
      </c>
      <c r="AM1173" s="141">
        <v>0.0</v>
      </c>
      <c r="AN1173" s="80">
        <v>0.0</v>
      </c>
      <c r="AO1173" s="140">
        <v>0.0</v>
      </c>
      <c r="AP1173" s="109">
        <v>0.0</v>
      </c>
      <c r="AQ1173" s="109">
        <v>0.0</v>
      </c>
      <c r="AR1173" s="80">
        <v>0.0</v>
      </c>
      <c r="AS1173" s="110">
        <v>0.0</v>
      </c>
      <c r="AT1173" s="110">
        <v>0.0</v>
      </c>
      <c r="AU1173" s="110">
        <v>0.0</v>
      </c>
      <c r="AV1173" s="142">
        <v>0.0</v>
      </c>
      <c r="AW1173" s="80">
        <v>0.0</v>
      </c>
      <c r="AX1173" s="113">
        <v>10.0</v>
      </c>
      <c r="AY1173" s="117">
        <v>0.0</v>
      </c>
      <c r="AZ1173" s="328">
        <v>10.0</v>
      </c>
      <c r="BA1173" s="315">
        <v>0.0</v>
      </c>
      <c r="BB1173" s="316">
        <v>10.0</v>
      </c>
      <c r="BC1173" s="132" t="s">
        <v>373</v>
      </c>
      <c r="BD1173" s="143" t="s">
        <v>227</v>
      </c>
      <c r="BE1173" s="132" t="s">
        <v>178</v>
      </c>
      <c r="BF1173" s="123"/>
      <c r="BG1173" s="83">
        <v>1179490.0</v>
      </c>
      <c r="BH1173" s="112">
        <v>3.0</v>
      </c>
      <c r="BI1173" s="98" t="s">
        <v>155</v>
      </c>
      <c r="BJ1173" s="98" t="str">
        <f t="shared" si="1"/>
        <v>NÃO</v>
      </c>
      <c r="BK1173" s="98" t="str">
        <f t="shared" si="2"/>
        <v>NÃO</v>
      </c>
    </row>
    <row r="1174" ht="15.75" customHeight="1">
      <c r="A1174" s="111" t="s">
        <v>1393</v>
      </c>
      <c r="B1174" s="83" t="s">
        <v>6195</v>
      </c>
      <c r="C1174" s="83" t="s">
        <v>68</v>
      </c>
      <c r="D1174" s="83">
        <v>1177071.0</v>
      </c>
      <c r="E1174" s="83"/>
      <c r="F1174" s="83">
        <v>2.9409535E7</v>
      </c>
      <c r="G1174" s="114" t="s">
        <v>10878</v>
      </c>
      <c r="H1174" s="91" t="s">
        <v>6197</v>
      </c>
      <c r="I1174" s="187" t="s">
        <v>149</v>
      </c>
      <c r="J1174" s="83" t="s">
        <v>150</v>
      </c>
      <c r="K1174" s="83" t="s">
        <v>151</v>
      </c>
      <c r="L1174" s="83" t="s">
        <v>76</v>
      </c>
      <c r="M1174" s="82" t="s">
        <v>10879</v>
      </c>
      <c r="N1174" s="82" t="s">
        <v>10880</v>
      </c>
      <c r="O1174" s="82" t="s">
        <v>10881</v>
      </c>
      <c r="P1174" s="82" t="s">
        <v>10882</v>
      </c>
      <c r="Q1174" s="82"/>
      <c r="R1174" s="82"/>
      <c r="S1174" s="82" t="s">
        <v>10883</v>
      </c>
      <c r="T1174" s="138">
        <v>10.0</v>
      </c>
      <c r="U1174" s="401" t="s">
        <v>10884</v>
      </c>
      <c r="V1174" s="106">
        <v>0.0</v>
      </c>
      <c r="W1174" s="107">
        <v>0.0</v>
      </c>
      <c r="X1174" s="107">
        <v>0.0</v>
      </c>
      <c r="Y1174" s="107">
        <v>0.0</v>
      </c>
      <c r="Z1174" s="80">
        <v>0.0</v>
      </c>
      <c r="AA1174" s="140">
        <v>0.0</v>
      </c>
      <c r="AB1174" s="109">
        <v>0.0</v>
      </c>
      <c r="AC1174" s="109">
        <v>0.0</v>
      </c>
      <c r="AD1174" s="141">
        <v>0.0</v>
      </c>
      <c r="AE1174" s="80">
        <v>0.0</v>
      </c>
      <c r="AF1174" s="140">
        <v>0.0</v>
      </c>
      <c r="AG1174" s="109">
        <v>258.0</v>
      </c>
      <c r="AH1174" s="109">
        <v>0.0</v>
      </c>
      <c r="AI1174" s="141">
        <v>18.0</v>
      </c>
      <c r="AJ1174" s="80">
        <v>276.0</v>
      </c>
      <c r="AK1174" s="140">
        <v>0.0</v>
      </c>
      <c r="AL1174" s="109">
        <v>0.0</v>
      </c>
      <c r="AM1174" s="141">
        <v>0.0</v>
      </c>
      <c r="AN1174" s="80">
        <v>0.0</v>
      </c>
      <c r="AO1174" s="140">
        <v>0.0</v>
      </c>
      <c r="AP1174" s="109">
        <v>0.0</v>
      </c>
      <c r="AQ1174" s="109">
        <v>38.0</v>
      </c>
      <c r="AR1174" s="80">
        <v>38.0</v>
      </c>
      <c r="AS1174" s="110">
        <v>0.0</v>
      </c>
      <c r="AT1174" s="110">
        <v>0.0</v>
      </c>
      <c r="AU1174" s="110">
        <v>0.0</v>
      </c>
      <c r="AV1174" s="142">
        <v>0.0</v>
      </c>
      <c r="AW1174" s="80">
        <v>0.0</v>
      </c>
      <c r="AX1174" s="113">
        <v>314.0</v>
      </c>
      <c r="AY1174" s="117">
        <v>276.0</v>
      </c>
      <c r="AZ1174" s="328">
        <v>38.0</v>
      </c>
      <c r="BA1174" s="315">
        <v>0.0</v>
      </c>
      <c r="BB1174" s="316">
        <v>314.0</v>
      </c>
      <c r="BC1174" s="132" t="s">
        <v>178</v>
      </c>
      <c r="BD1174" s="132" t="s">
        <v>178</v>
      </c>
      <c r="BE1174" s="132" t="s">
        <v>178</v>
      </c>
      <c r="BF1174" s="123"/>
      <c r="BG1174" s="83">
        <v>1177071.0</v>
      </c>
      <c r="BH1174" s="112">
        <v>10.0</v>
      </c>
      <c r="BI1174" s="98" t="s">
        <v>155</v>
      </c>
      <c r="BJ1174" s="98" t="str">
        <f t="shared" si="1"/>
        <v>INTEGRAL</v>
      </c>
      <c r="BK1174" s="98" t="str">
        <f t="shared" si="2"/>
        <v>NÃO</v>
      </c>
    </row>
    <row r="1175" ht="15.75" customHeight="1">
      <c r="A1175" s="111" t="s">
        <v>1393</v>
      </c>
      <c r="B1175" s="83" t="s">
        <v>2349</v>
      </c>
      <c r="C1175" s="83" t="s">
        <v>68</v>
      </c>
      <c r="D1175" s="83">
        <v>1128878.0</v>
      </c>
      <c r="E1175" s="83"/>
      <c r="F1175" s="83">
        <v>2.9258324E7</v>
      </c>
      <c r="G1175" s="119" t="s">
        <v>6200</v>
      </c>
      <c r="H1175" s="91" t="s">
        <v>6201</v>
      </c>
      <c r="I1175" s="114" t="s">
        <v>149</v>
      </c>
      <c r="J1175" s="83" t="s">
        <v>150</v>
      </c>
      <c r="K1175" s="83" t="s">
        <v>151</v>
      </c>
      <c r="L1175" s="83" t="s">
        <v>152</v>
      </c>
      <c r="M1175" s="82" t="s">
        <v>10885</v>
      </c>
      <c r="N1175" s="82" t="s">
        <v>10886</v>
      </c>
      <c r="O1175" s="82" t="s">
        <v>10887</v>
      </c>
      <c r="P1175" s="82" t="s">
        <v>10888</v>
      </c>
      <c r="Q1175" s="82"/>
      <c r="R1175" s="82"/>
      <c r="S1175" s="82" t="s">
        <v>10889</v>
      </c>
      <c r="T1175" s="138">
        <v>10.0</v>
      </c>
      <c r="U1175" s="405" t="s">
        <v>10890</v>
      </c>
      <c r="V1175" s="106">
        <v>0.0</v>
      </c>
      <c r="W1175" s="107">
        <v>0.0</v>
      </c>
      <c r="X1175" s="107">
        <v>0.0</v>
      </c>
      <c r="Y1175" s="107">
        <v>0.0</v>
      </c>
      <c r="Z1175" s="80">
        <v>0.0</v>
      </c>
      <c r="AA1175" s="140">
        <v>0.0</v>
      </c>
      <c r="AB1175" s="109">
        <v>0.0</v>
      </c>
      <c r="AC1175" s="109">
        <v>0.0</v>
      </c>
      <c r="AD1175" s="141">
        <v>0.0</v>
      </c>
      <c r="AE1175" s="80">
        <v>0.0</v>
      </c>
      <c r="AF1175" s="140">
        <v>129.0</v>
      </c>
      <c r="AG1175" s="109">
        <v>112.0</v>
      </c>
      <c r="AH1175" s="109">
        <v>0.0</v>
      </c>
      <c r="AI1175" s="141">
        <v>186.0</v>
      </c>
      <c r="AJ1175" s="80">
        <v>427.0</v>
      </c>
      <c r="AK1175" s="140">
        <v>0.0</v>
      </c>
      <c r="AL1175" s="109">
        <v>0.0</v>
      </c>
      <c r="AM1175" s="141">
        <v>0.0</v>
      </c>
      <c r="AN1175" s="80">
        <v>0.0</v>
      </c>
      <c r="AO1175" s="140">
        <v>0.0</v>
      </c>
      <c r="AP1175" s="109">
        <v>0.0</v>
      </c>
      <c r="AQ1175" s="109">
        <v>38.0</v>
      </c>
      <c r="AR1175" s="80">
        <v>38.0</v>
      </c>
      <c r="AS1175" s="110">
        <v>0.0</v>
      </c>
      <c r="AT1175" s="110">
        <v>0.0</v>
      </c>
      <c r="AU1175" s="110">
        <v>0.0</v>
      </c>
      <c r="AV1175" s="142">
        <v>0.0</v>
      </c>
      <c r="AW1175" s="80">
        <v>0.0</v>
      </c>
      <c r="AX1175" s="113">
        <v>465.0</v>
      </c>
      <c r="AY1175" s="117">
        <v>427.0</v>
      </c>
      <c r="AZ1175" s="328">
        <v>38.0</v>
      </c>
      <c r="BA1175" s="315">
        <v>2.0</v>
      </c>
      <c r="BB1175" s="316">
        <v>467.0</v>
      </c>
      <c r="BC1175" s="132" t="s">
        <v>178</v>
      </c>
      <c r="BD1175" s="132" t="s">
        <v>178</v>
      </c>
      <c r="BE1175" s="132" t="s">
        <v>178</v>
      </c>
      <c r="BF1175" s="123"/>
      <c r="BG1175" s="83">
        <v>1128878.0</v>
      </c>
      <c r="BH1175" s="112">
        <v>8.0</v>
      </c>
      <c r="BI1175" s="98" t="s">
        <v>155</v>
      </c>
      <c r="BJ1175" s="98" t="str">
        <f t="shared" si="1"/>
        <v>INTEGRAL</v>
      </c>
      <c r="BK1175" s="98" t="str">
        <f t="shared" si="2"/>
        <v>NÃO</v>
      </c>
    </row>
    <row r="1176" ht="15.75" customHeight="1">
      <c r="A1176" s="111" t="s">
        <v>1393</v>
      </c>
      <c r="B1176" s="83" t="s">
        <v>2349</v>
      </c>
      <c r="C1176" s="83" t="s">
        <v>164</v>
      </c>
      <c r="D1176" s="83">
        <v>1128878.0</v>
      </c>
      <c r="E1176" s="83">
        <v>1178766.0</v>
      </c>
      <c r="F1176" s="83"/>
      <c r="G1176" s="114" t="s">
        <v>10891</v>
      </c>
      <c r="H1176" s="91" t="s">
        <v>10892</v>
      </c>
      <c r="I1176" s="187" t="s">
        <v>10893</v>
      </c>
      <c r="J1176" s="83" t="s">
        <v>4319</v>
      </c>
      <c r="K1176" s="83" t="s">
        <v>151</v>
      </c>
      <c r="L1176" s="83" t="s">
        <v>169</v>
      </c>
      <c r="M1176" s="82" t="s">
        <v>10885</v>
      </c>
      <c r="N1176" s="82" t="s">
        <v>10886</v>
      </c>
      <c r="O1176" s="82" t="s">
        <v>10887</v>
      </c>
      <c r="P1176" s="82" t="s">
        <v>10888</v>
      </c>
      <c r="Q1176" s="82"/>
      <c r="R1176" s="82"/>
      <c r="S1176" s="82" t="s">
        <v>10889</v>
      </c>
      <c r="T1176" s="138">
        <v>4.0</v>
      </c>
      <c r="U1176" s="323">
        <v>3.0</v>
      </c>
      <c r="V1176" s="106">
        <v>0.0</v>
      </c>
      <c r="W1176" s="107">
        <v>0.0</v>
      </c>
      <c r="X1176" s="107">
        <v>0.0</v>
      </c>
      <c r="Y1176" s="107">
        <v>0.0</v>
      </c>
      <c r="Z1176" s="80">
        <v>0.0</v>
      </c>
      <c r="AA1176" s="140">
        <v>0.0</v>
      </c>
      <c r="AB1176" s="109">
        <v>0.0</v>
      </c>
      <c r="AC1176" s="109">
        <v>0.0</v>
      </c>
      <c r="AD1176" s="141">
        <v>0.0</v>
      </c>
      <c r="AE1176" s="80">
        <v>0.0</v>
      </c>
      <c r="AF1176" s="140">
        <v>0.0</v>
      </c>
      <c r="AG1176" s="109">
        <v>0.0</v>
      </c>
      <c r="AH1176" s="109">
        <v>0.0</v>
      </c>
      <c r="AI1176" s="141">
        <v>0.0</v>
      </c>
      <c r="AJ1176" s="80">
        <v>0.0</v>
      </c>
      <c r="AK1176" s="140">
        <v>0.0</v>
      </c>
      <c r="AL1176" s="109">
        <v>0.0</v>
      </c>
      <c r="AM1176" s="141">
        <v>0.0</v>
      </c>
      <c r="AN1176" s="80">
        <v>0.0</v>
      </c>
      <c r="AO1176" s="140">
        <v>0.0</v>
      </c>
      <c r="AP1176" s="109">
        <v>0.0</v>
      </c>
      <c r="AQ1176" s="109">
        <v>51.0</v>
      </c>
      <c r="AR1176" s="80">
        <v>51.0</v>
      </c>
      <c r="AS1176" s="110">
        <v>0.0</v>
      </c>
      <c r="AT1176" s="110">
        <v>0.0</v>
      </c>
      <c r="AU1176" s="110">
        <v>0.0</v>
      </c>
      <c r="AV1176" s="142">
        <v>0.0</v>
      </c>
      <c r="AW1176" s="80">
        <v>0.0</v>
      </c>
      <c r="AX1176" s="113">
        <v>51.0</v>
      </c>
      <c r="AY1176" s="117">
        <v>0.0</v>
      </c>
      <c r="AZ1176" s="328">
        <v>51.0</v>
      </c>
      <c r="BA1176" s="315">
        <v>0.0</v>
      </c>
      <c r="BB1176" s="316">
        <v>51.0</v>
      </c>
      <c r="BC1176" s="132" t="s">
        <v>373</v>
      </c>
      <c r="BD1176" s="132" t="s">
        <v>178</v>
      </c>
      <c r="BE1176" s="132" t="s">
        <v>178</v>
      </c>
      <c r="BF1176" s="156"/>
      <c r="BG1176" s="83">
        <v>1178766.0</v>
      </c>
      <c r="BH1176" s="112">
        <v>3.0</v>
      </c>
      <c r="BI1176" s="98" t="s">
        <v>155</v>
      </c>
      <c r="BJ1176" s="98" t="str">
        <f t="shared" si="1"/>
        <v>NÃO</v>
      </c>
      <c r="BK1176" s="98" t="str">
        <f t="shared" si="2"/>
        <v>NÃO</v>
      </c>
    </row>
    <row r="1177" ht="15.75" customHeight="1">
      <c r="A1177" s="111" t="s">
        <v>1393</v>
      </c>
      <c r="B1177" s="83" t="s">
        <v>6206</v>
      </c>
      <c r="C1177" s="83" t="s">
        <v>68</v>
      </c>
      <c r="D1177" s="83">
        <v>1128924.0</v>
      </c>
      <c r="E1177" s="83"/>
      <c r="F1177" s="83">
        <v>2.925963E7</v>
      </c>
      <c r="G1177" s="114" t="s">
        <v>10894</v>
      </c>
      <c r="H1177" s="91" t="s">
        <v>6208</v>
      </c>
      <c r="I1177" s="187" t="s">
        <v>149</v>
      </c>
      <c r="J1177" s="83" t="s">
        <v>150</v>
      </c>
      <c r="K1177" s="83" t="s">
        <v>151</v>
      </c>
      <c r="L1177" s="83" t="s">
        <v>169</v>
      </c>
      <c r="M1177" s="82" t="s">
        <v>10895</v>
      </c>
      <c r="N1177" s="82" t="s">
        <v>10896</v>
      </c>
      <c r="O1177" s="82" t="s">
        <v>10897</v>
      </c>
      <c r="P1177" s="82" t="s">
        <v>10898</v>
      </c>
      <c r="Q1177" s="82"/>
      <c r="R1177" s="82"/>
      <c r="S1177" s="82" t="s">
        <v>10899</v>
      </c>
      <c r="T1177" s="138">
        <v>7.0</v>
      </c>
      <c r="U1177" s="510" t="s">
        <v>3035</v>
      </c>
      <c r="V1177" s="106">
        <v>0.0</v>
      </c>
      <c r="W1177" s="107">
        <v>0.0</v>
      </c>
      <c r="X1177" s="107">
        <v>0.0</v>
      </c>
      <c r="Y1177" s="107">
        <v>0.0</v>
      </c>
      <c r="Z1177" s="80">
        <v>0.0</v>
      </c>
      <c r="AA1177" s="140">
        <v>0.0</v>
      </c>
      <c r="AB1177" s="109">
        <v>0.0</v>
      </c>
      <c r="AC1177" s="109">
        <v>0.0</v>
      </c>
      <c r="AD1177" s="141">
        <v>0.0</v>
      </c>
      <c r="AE1177" s="80">
        <v>0.0</v>
      </c>
      <c r="AF1177" s="140">
        <v>130.0</v>
      </c>
      <c r="AG1177" s="109">
        <v>93.0</v>
      </c>
      <c r="AH1177" s="109">
        <v>0.0</v>
      </c>
      <c r="AI1177" s="141">
        <v>52.0</v>
      </c>
      <c r="AJ1177" s="80">
        <v>275.0</v>
      </c>
      <c r="AK1177" s="140">
        <v>0.0</v>
      </c>
      <c r="AL1177" s="109">
        <v>0.0</v>
      </c>
      <c r="AM1177" s="141">
        <v>0.0</v>
      </c>
      <c r="AN1177" s="80">
        <v>0.0</v>
      </c>
      <c r="AO1177" s="140">
        <v>0.0</v>
      </c>
      <c r="AP1177" s="109">
        <v>0.0</v>
      </c>
      <c r="AQ1177" s="109">
        <v>0.0</v>
      </c>
      <c r="AR1177" s="80">
        <v>0.0</v>
      </c>
      <c r="AS1177" s="110">
        <v>0.0</v>
      </c>
      <c r="AT1177" s="110">
        <v>0.0</v>
      </c>
      <c r="AU1177" s="110">
        <v>0.0</v>
      </c>
      <c r="AV1177" s="142">
        <v>0.0</v>
      </c>
      <c r="AW1177" s="80">
        <v>0.0</v>
      </c>
      <c r="AX1177" s="113">
        <v>275.0</v>
      </c>
      <c r="AY1177" s="117">
        <v>275.0</v>
      </c>
      <c r="AZ1177" s="328">
        <v>0.0</v>
      </c>
      <c r="BA1177" s="315">
        <v>1.0</v>
      </c>
      <c r="BB1177" s="316">
        <v>276.0</v>
      </c>
      <c r="BC1177" s="132" t="s">
        <v>178</v>
      </c>
      <c r="BD1177" s="132" t="s">
        <v>178</v>
      </c>
      <c r="BE1177" s="132" t="s">
        <v>178</v>
      </c>
      <c r="BF1177" s="156"/>
      <c r="BG1177" s="83">
        <v>1128924.0</v>
      </c>
      <c r="BH1177" s="112">
        <v>6.0</v>
      </c>
      <c r="BI1177" s="98" t="s">
        <v>155</v>
      </c>
      <c r="BJ1177" s="98" t="str">
        <f t="shared" si="1"/>
        <v>INTEGRAL</v>
      </c>
      <c r="BK1177" s="98" t="str">
        <f t="shared" si="2"/>
        <v>NÃO</v>
      </c>
    </row>
    <row r="1178" ht="15.75" customHeight="1">
      <c r="A1178" s="111" t="s">
        <v>1393</v>
      </c>
      <c r="B1178" s="83" t="s">
        <v>6214</v>
      </c>
      <c r="C1178" s="83" t="s">
        <v>68</v>
      </c>
      <c r="D1178" s="83">
        <v>1165277.0</v>
      </c>
      <c r="E1178" s="83"/>
      <c r="F1178" s="83">
        <v>2.9281261E7</v>
      </c>
      <c r="G1178" s="114" t="s">
        <v>10900</v>
      </c>
      <c r="H1178" s="91" t="s">
        <v>6223</v>
      </c>
      <c r="I1178" s="187" t="s">
        <v>149</v>
      </c>
      <c r="J1178" s="83" t="s">
        <v>150</v>
      </c>
      <c r="K1178" s="83" t="s">
        <v>151</v>
      </c>
      <c r="L1178" s="83" t="s">
        <v>3876</v>
      </c>
      <c r="M1178" s="82" t="s">
        <v>10901</v>
      </c>
      <c r="N1178" s="82" t="s">
        <v>10902</v>
      </c>
      <c r="O1178" s="82" t="s">
        <v>7026</v>
      </c>
      <c r="P1178" s="82" t="s">
        <v>10903</v>
      </c>
      <c r="Q1178" s="82"/>
      <c r="R1178" s="82"/>
      <c r="S1178" s="82" t="s">
        <v>10904</v>
      </c>
      <c r="T1178" s="138">
        <v>9.0</v>
      </c>
      <c r="U1178" s="405" t="s">
        <v>10905</v>
      </c>
      <c r="V1178" s="106">
        <v>0.0</v>
      </c>
      <c r="W1178" s="107">
        <v>0.0</v>
      </c>
      <c r="X1178" s="107">
        <v>0.0</v>
      </c>
      <c r="Y1178" s="107">
        <v>0.0</v>
      </c>
      <c r="Z1178" s="80">
        <v>0.0</v>
      </c>
      <c r="AA1178" s="140">
        <v>0.0</v>
      </c>
      <c r="AB1178" s="109">
        <v>0.0</v>
      </c>
      <c r="AC1178" s="109">
        <v>0.0</v>
      </c>
      <c r="AD1178" s="141">
        <v>0.0</v>
      </c>
      <c r="AE1178" s="80">
        <v>0.0</v>
      </c>
      <c r="AF1178" s="140">
        <v>0.0</v>
      </c>
      <c r="AG1178" s="109">
        <v>0.0</v>
      </c>
      <c r="AH1178" s="109">
        <v>0.0</v>
      </c>
      <c r="AI1178" s="141">
        <v>96.0</v>
      </c>
      <c r="AJ1178" s="80">
        <v>96.0</v>
      </c>
      <c r="AK1178" s="140">
        <v>0.0</v>
      </c>
      <c r="AL1178" s="109">
        <v>0.0</v>
      </c>
      <c r="AM1178" s="141">
        <v>0.0</v>
      </c>
      <c r="AN1178" s="80">
        <v>0.0</v>
      </c>
      <c r="AO1178" s="140">
        <v>0.0</v>
      </c>
      <c r="AP1178" s="109">
        <v>0.0</v>
      </c>
      <c r="AQ1178" s="109">
        <v>59.0</v>
      </c>
      <c r="AR1178" s="80">
        <v>59.0</v>
      </c>
      <c r="AS1178" s="110">
        <v>0.0</v>
      </c>
      <c r="AT1178" s="110">
        <v>0.0</v>
      </c>
      <c r="AU1178" s="110">
        <v>24.0</v>
      </c>
      <c r="AV1178" s="142">
        <v>89.0</v>
      </c>
      <c r="AW1178" s="80">
        <v>113.0</v>
      </c>
      <c r="AX1178" s="113">
        <v>268.0</v>
      </c>
      <c r="AY1178" s="117">
        <v>185.0</v>
      </c>
      <c r="AZ1178" s="328">
        <v>83.0</v>
      </c>
      <c r="BA1178" s="315">
        <v>1.0</v>
      </c>
      <c r="BB1178" s="316">
        <v>269.0</v>
      </c>
      <c r="BC1178" s="132" t="s">
        <v>178</v>
      </c>
      <c r="BD1178" s="132" t="s">
        <v>178</v>
      </c>
      <c r="BE1178" s="132" t="s">
        <v>178</v>
      </c>
      <c r="BF1178" s="123"/>
      <c r="BG1178" s="83">
        <v>1165277.0</v>
      </c>
      <c r="BH1178" s="112">
        <v>8.0</v>
      </c>
      <c r="BI1178" s="98" t="s">
        <v>155</v>
      </c>
      <c r="BJ1178" s="98" t="str">
        <f t="shared" si="1"/>
        <v>INTEGRAL</v>
      </c>
      <c r="BK1178" s="98" t="str">
        <f t="shared" si="2"/>
        <v>PROFISSIONAL</v>
      </c>
    </row>
    <row r="1179" ht="15.75" customHeight="1">
      <c r="A1179" s="111" t="s">
        <v>1393</v>
      </c>
      <c r="B1179" s="83" t="s">
        <v>6214</v>
      </c>
      <c r="C1179" s="83" t="s">
        <v>68</v>
      </c>
      <c r="D1179" s="83">
        <v>1179271.0</v>
      </c>
      <c r="E1179" s="83"/>
      <c r="F1179" s="83">
        <v>2.9459028E7</v>
      </c>
      <c r="G1179" s="114" t="s">
        <v>10906</v>
      </c>
      <c r="H1179" s="91" t="s">
        <v>6216</v>
      </c>
      <c r="I1179" s="187" t="s">
        <v>6217</v>
      </c>
      <c r="J1179" s="83" t="s">
        <v>167</v>
      </c>
      <c r="K1179" s="83" t="s">
        <v>151</v>
      </c>
      <c r="L1179" s="83" t="s">
        <v>169</v>
      </c>
      <c r="M1179" s="82" t="s">
        <v>10907</v>
      </c>
      <c r="N1179" s="82" t="s">
        <v>10908</v>
      </c>
      <c r="O1179" s="82" t="s">
        <v>10909</v>
      </c>
      <c r="P1179" s="82" t="s">
        <v>10910</v>
      </c>
      <c r="Q1179" s="82"/>
      <c r="R1179" s="82"/>
      <c r="S1179" s="82" t="s">
        <v>10911</v>
      </c>
      <c r="T1179" s="138">
        <v>5.0</v>
      </c>
      <c r="U1179" s="323" t="s">
        <v>10912</v>
      </c>
      <c r="V1179" s="106">
        <v>0.0</v>
      </c>
      <c r="W1179" s="107">
        <v>0.0</v>
      </c>
      <c r="X1179" s="107">
        <v>0.0</v>
      </c>
      <c r="Y1179" s="107">
        <v>0.0</v>
      </c>
      <c r="Z1179" s="80">
        <v>0.0</v>
      </c>
      <c r="AA1179" s="140">
        <v>0.0</v>
      </c>
      <c r="AB1179" s="109">
        <v>0.0</v>
      </c>
      <c r="AC1179" s="109">
        <v>0.0</v>
      </c>
      <c r="AD1179" s="141">
        <v>0.0</v>
      </c>
      <c r="AE1179" s="80">
        <v>0.0</v>
      </c>
      <c r="AF1179" s="140">
        <v>69.0</v>
      </c>
      <c r="AG1179" s="109">
        <v>123.0</v>
      </c>
      <c r="AH1179" s="109">
        <v>0.0</v>
      </c>
      <c r="AI1179" s="141">
        <v>0.0</v>
      </c>
      <c r="AJ1179" s="80">
        <v>192.0</v>
      </c>
      <c r="AK1179" s="140">
        <v>0.0</v>
      </c>
      <c r="AL1179" s="109">
        <v>0.0</v>
      </c>
      <c r="AM1179" s="141">
        <v>0.0</v>
      </c>
      <c r="AN1179" s="80">
        <v>0.0</v>
      </c>
      <c r="AO1179" s="140">
        <v>0.0</v>
      </c>
      <c r="AP1179" s="109">
        <v>0.0</v>
      </c>
      <c r="AQ1179" s="109">
        <v>84.0</v>
      </c>
      <c r="AR1179" s="80">
        <v>84.0</v>
      </c>
      <c r="AS1179" s="110">
        <v>0.0</v>
      </c>
      <c r="AT1179" s="110">
        <v>0.0</v>
      </c>
      <c r="AU1179" s="110">
        <v>0.0</v>
      </c>
      <c r="AV1179" s="142">
        <v>0.0</v>
      </c>
      <c r="AW1179" s="80">
        <v>0.0</v>
      </c>
      <c r="AX1179" s="113">
        <v>276.0</v>
      </c>
      <c r="AY1179" s="117">
        <v>192.0</v>
      </c>
      <c r="AZ1179" s="328">
        <v>84.0</v>
      </c>
      <c r="BA1179" s="315">
        <v>1.0</v>
      </c>
      <c r="BB1179" s="316">
        <v>277.0</v>
      </c>
      <c r="BC1179" s="132" t="s">
        <v>373</v>
      </c>
      <c r="BD1179" s="132" t="s">
        <v>178</v>
      </c>
      <c r="BE1179" s="132" t="s">
        <v>178</v>
      </c>
      <c r="BF1179" s="123"/>
      <c r="BG1179" s="83">
        <v>1179271.0</v>
      </c>
      <c r="BH1179" s="112">
        <v>5.0</v>
      </c>
      <c r="BI1179" s="98" t="s">
        <v>155</v>
      </c>
      <c r="BJ1179" s="98" t="str">
        <f t="shared" si="1"/>
        <v>NÃO</v>
      </c>
      <c r="BK1179" s="98" t="str">
        <f t="shared" si="2"/>
        <v>NÃO</v>
      </c>
    </row>
    <row r="1180" ht="15.75" customHeight="1">
      <c r="A1180" s="111" t="s">
        <v>1393</v>
      </c>
      <c r="B1180" s="83" t="s">
        <v>6225</v>
      </c>
      <c r="C1180" s="83" t="s">
        <v>68</v>
      </c>
      <c r="D1180" s="83">
        <v>1178271.0</v>
      </c>
      <c r="E1180" s="83"/>
      <c r="F1180" s="83">
        <v>2.9535816E7</v>
      </c>
      <c r="G1180" s="114" t="s">
        <v>5557</v>
      </c>
      <c r="H1180" s="91" t="s">
        <v>6226</v>
      </c>
      <c r="I1180" s="187" t="s">
        <v>149</v>
      </c>
      <c r="J1180" s="83" t="s">
        <v>150</v>
      </c>
      <c r="K1180" s="83" t="s">
        <v>151</v>
      </c>
      <c r="L1180" s="83" t="s">
        <v>169</v>
      </c>
      <c r="M1180" s="82" t="s">
        <v>10917</v>
      </c>
      <c r="N1180" s="82" t="s">
        <v>10918</v>
      </c>
      <c r="O1180" s="82"/>
      <c r="P1180" s="82"/>
      <c r="Q1180" s="82"/>
      <c r="R1180" s="82"/>
      <c r="S1180" s="82" t="s">
        <v>10919</v>
      </c>
      <c r="T1180" s="138">
        <v>6.0</v>
      </c>
      <c r="U1180" s="323" t="s">
        <v>10920</v>
      </c>
      <c r="V1180" s="106">
        <v>0.0</v>
      </c>
      <c r="W1180" s="107">
        <v>0.0</v>
      </c>
      <c r="X1180" s="107">
        <v>0.0</v>
      </c>
      <c r="Y1180" s="107">
        <v>0.0</v>
      </c>
      <c r="Z1180" s="80">
        <v>0.0</v>
      </c>
      <c r="AA1180" s="140">
        <v>0.0</v>
      </c>
      <c r="AB1180" s="109">
        <v>0.0</v>
      </c>
      <c r="AC1180" s="109">
        <v>0.0</v>
      </c>
      <c r="AD1180" s="141">
        <v>0.0</v>
      </c>
      <c r="AE1180" s="80">
        <v>0.0</v>
      </c>
      <c r="AF1180" s="140">
        <v>161.0</v>
      </c>
      <c r="AG1180" s="109">
        <v>76.0</v>
      </c>
      <c r="AH1180" s="109">
        <v>0.0</v>
      </c>
      <c r="AI1180" s="141">
        <v>32.0</v>
      </c>
      <c r="AJ1180" s="80">
        <v>269.0</v>
      </c>
      <c r="AK1180" s="140">
        <v>0.0</v>
      </c>
      <c r="AL1180" s="109">
        <v>0.0</v>
      </c>
      <c r="AM1180" s="141">
        <v>0.0</v>
      </c>
      <c r="AN1180" s="80">
        <v>0.0</v>
      </c>
      <c r="AO1180" s="140">
        <v>0.0</v>
      </c>
      <c r="AP1180" s="109">
        <v>0.0</v>
      </c>
      <c r="AQ1180" s="109">
        <v>28.0</v>
      </c>
      <c r="AR1180" s="80">
        <v>28.0</v>
      </c>
      <c r="AS1180" s="110">
        <v>0.0</v>
      </c>
      <c r="AT1180" s="110">
        <v>0.0</v>
      </c>
      <c r="AU1180" s="110">
        <v>0.0</v>
      </c>
      <c r="AV1180" s="142">
        <v>0.0</v>
      </c>
      <c r="AW1180" s="80">
        <v>0.0</v>
      </c>
      <c r="AX1180" s="113">
        <v>297.0</v>
      </c>
      <c r="AY1180" s="117">
        <v>269.0</v>
      </c>
      <c r="AZ1180" s="328">
        <v>28.0</v>
      </c>
      <c r="BA1180" s="315">
        <v>0.0</v>
      </c>
      <c r="BB1180" s="316">
        <v>297.0</v>
      </c>
      <c r="BC1180" s="132" t="s">
        <v>178</v>
      </c>
      <c r="BD1180" s="132" t="s">
        <v>178</v>
      </c>
      <c r="BE1180" s="132" t="s">
        <v>178</v>
      </c>
      <c r="BF1180" s="123"/>
      <c r="BG1180" s="83">
        <v>1178271.0</v>
      </c>
      <c r="BH1180" s="112">
        <v>6.0</v>
      </c>
      <c r="BI1180" s="98" t="s">
        <v>155</v>
      </c>
      <c r="BJ1180" s="98" t="str">
        <f t="shared" si="1"/>
        <v>INTEGRAL</v>
      </c>
      <c r="BK1180" s="98" t="str">
        <f t="shared" si="2"/>
        <v>NÃO</v>
      </c>
    </row>
    <row r="1181" ht="15.75" customHeight="1">
      <c r="A1181" s="111" t="s">
        <v>1393</v>
      </c>
      <c r="B1181" s="83" t="s">
        <v>6231</v>
      </c>
      <c r="C1181" s="83" t="s">
        <v>68</v>
      </c>
      <c r="D1181" s="83">
        <v>1176160.0</v>
      </c>
      <c r="E1181" s="83"/>
      <c r="F1181" s="83">
        <v>2.9335132E7</v>
      </c>
      <c r="G1181" s="114" t="s">
        <v>10924</v>
      </c>
      <c r="H1181" s="91" t="s">
        <v>6233</v>
      </c>
      <c r="I1181" s="187" t="s">
        <v>149</v>
      </c>
      <c r="J1181" s="83" t="s">
        <v>150</v>
      </c>
      <c r="K1181" s="83" t="s">
        <v>151</v>
      </c>
      <c r="L1181" s="83" t="s">
        <v>76</v>
      </c>
      <c r="M1181" s="82" t="s">
        <v>10926</v>
      </c>
      <c r="N1181" s="82" t="s">
        <v>10927</v>
      </c>
      <c r="O1181" s="82" t="s">
        <v>10928</v>
      </c>
      <c r="P1181" s="82" t="s">
        <v>10929</v>
      </c>
      <c r="Q1181" s="82"/>
      <c r="R1181" s="82"/>
      <c r="S1181" s="82" t="s">
        <v>10930</v>
      </c>
      <c r="T1181" s="138">
        <v>5.0</v>
      </c>
      <c r="U1181" s="387">
        <v>4.0</v>
      </c>
      <c r="V1181" s="106">
        <v>0.0</v>
      </c>
      <c r="W1181" s="107">
        <v>0.0</v>
      </c>
      <c r="X1181" s="107">
        <v>0.0</v>
      </c>
      <c r="Y1181" s="107">
        <v>0.0</v>
      </c>
      <c r="Z1181" s="80">
        <v>0.0</v>
      </c>
      <c r="AA1181" s="140">
        <v>0.0</v>
      </c>
      <c r="AB1181" s="109">
        <v>0.0</v>
      </c>
      <c r="AC1181" s="109">
        <v>0.0</v>
      </c>
      <c r="AD1181" s="141">
        <v>0.0</v>
      </c>
      <c r="AE1181" s="80">
        <v>0.0</v>
      </c>
      <c r="AF1181" s="140">
        <v>81.0</v>
      </c>
      <c r="AG1181" s="109">
        <v>63.0</v>
      </c>
      <c r="AH1181" s="109">
        <v>0.0</v>
      </c>
      <c r="AI1181" s="141">
        <v>50.0</v>
      </c>
      <c r="AJ1181" s="80">
        <v>194.0</v>
      </c>
      <c r="AK1181" s="140">
        <v>0.0</v>
      </c>
      <c r="AL1181" s="109">
        <v>0.0</v>
      </c>
      <c r="AM1181" s="141">
        <v>0.0</v>
      </c>
      <c r="AN1181" s="80">
        <v>0.0</v>
      </c>
      <c r="AO1181" s="140">
        <v>0.0</v>
      </c>
      <c r="AP1181" s="109">
        <v>0.0</v>
      </c>
      <c r="AQ1181" s="109">
        <v>0.0</v>
      </c>
      <c r="AR1181" s="80">
        <v>0.0</v>
      </c>
      <c r="AS1181" s="110">
        <v>0.0</v>
      </c>
      <c r="AT1181" s="110">
        <v>0.0</v>
      </c>
      <c r="AU1181" s="110">
        <v>0.0</v>
      </c>
      <c r="AV1181" s="142">
        <v>0.0</v>
      </c>
      <c r="AW1181" s="80">
        <v>0.0</v>
      </c>
      <c r="AX1181" s="113">
        <v>194.0</v>
      </c>
      <c r="AY1181" s="117">
        <v>194.0</v>
      </c>
      <c r="AZ1181" s="328">
        <v>0.0</v>
      </c>
      <c r="BA1181" s="315">
        <v>0.0</v>
      </c>
      <c r="BB1181" s="316">
        <v>194.0</v>
      </c>
      <c r="BC1181" s="132" t="s">
        <v>178</v>
      </c>
      <c r="BD1181" s="132" t="s">
        <v>178</v>
      </c>
      <c r="BE1181" s="132" t="s">
        <v>178</v>
      </c>
      <c r="BF1181" s="156"/>
      <c r="BG1181" s="83">
        <v>1176160.0</v>
      </c>
      <c r="BH1181" s="112">
        <v>4.0</v>
      </c>
      <c r="BI1181" s="98" t="s">
        <v>162</v>
      </c>
      <c r="BJ1181" s="98" t="str">
        <f t="shared" si="1"/>
        <v>INTEGRAL</v>
      </c>
      <c r="BK1181" s="98" t="str">
        <f t="shared" si="2"/>
        <v>NÃO</v>
      </c>
    </row>
    <row r="1182" ht="15.75" customHeight="1">
      <c r="A1182" s="111" t="s">
        <v>1393</v>
      </c>
      <c r="B1182" s="83" t="s">
        <v>6231</v>
      </c>
      <c r="C1182" s="83" t="s">
        <v>164</v>
      </c>
      <c r="D1182" s="83">
        <v>1176160.0</v>
      </c>
      <c r="E1182" s="83">
        <v>1179233.0</v>
      </c>
      <c r="F1182" s="83"/>
      <c r="G1182" s="114" t="s">
        <v>10936</v>
      </c>
      <c r="H1182" s="91" t="s">
        <v>6245</v>
      </c>
      <c r="I1182" s="187" t="s">
        <v>6246</v>
      </c>
      <c r="J1182" s="83" t="s">
        <v>6247</v>
      </c>
      <c r="K1182" s="83" t="s">
        <v>151</v>
      </c>
      <c r="L1182" s="83" t="s">
        <v>169</v>
      </c>
      <c r="M1182" s="82" t="s">
        <v>10926</v>
      </c>
      <c r="N1182" s="82" t="s">
        <v>10927</v>
      </c>
      <c r="O1182" s="82" t="s">
        <v>10928</v>
      </c>
      <c r="P1182" s="82" t="s">
        <v>10929</v>
      </c>
      <c r="Q1182" s="82"/>
      <c r="R1182" s="82"/>
      <c r="S1182" s="82" t="s">
        <v>10930</v>
      </c>
      <c r="T1182" s="138">
        <v>3.0</v>
      </c>
      <c r="U1182" s="341">
        <v>3.0</v>
      </c>
      <c r="V1182" s="106">
        <v>0.0</v>
      </c>
      <c r="W1182" s="107">
        <v>0.0</v>
      </c>
      <c r="X1182" s="107">
        <v>0.0</v>
      </c>
      <c r="Y1182" s="107">
        <v>0.0</v>
      </c>
      <c r="Z1182" s="80">
        <v>0.0</v>
      </c>
      <c r="AA1182" s="140">
        <v>0.0</v>
      </c>
      <c r="AB1182" s="109">
        <v>0.0</v>
      </c>
      <c r="AC1182" s="109">
        <v>0.0</v>
      </c>
      <c r="AD1182" s="141">
        <v>0.0</v>
      </c>
      <c r="AE1182" s="80">
        <v>0.0</v>
      </c>
      <c r="AF1182" s="140">
        <v>0.0</v>
      </c>
      <c r="AG1182" s="109">
        <v>30.0</v>
      </c>
      <c r="AH1182" s="109">
        <v>0.0</v>
      </c>
      <c r="AI1182" s="141">
        <v>0.0</v>
      </c>
      <c r="AJ1182" s="80">
        <v>30.0</v>
      </c>
      <c r="AK1182" s="140">
        <v>0.0</v>
      </c>
      <c r="AL1182" s="109">
        <v>0.0</v>
      </c>
      <c r="AM1182" s="141">
        <v>0.0</v>
      </c>
      <c r="AN1182" s="80">
        <v>0.0</v>
      </c>
      <c r="AO1182" s="140">
        <v>0.0</v>
      </c>
      <c r="AP1182" s="109">
        <v>0.0</v>
      </c>
      <c r="AQ1182" s="109">
        <v>0.0</v>
      </c>
      <c r="AR1182" s="80">
        <v>0.0</v>
      </c>
      <c r="AS1182" s="110">
        <v>0.0</v>
      </c>
      <c r="AT1182" s="110">
        <v>0.0</v>
      </c>
      <c r="AU1182" s="110">
        <v>0.0</v>
      </c>
      <c r="AV1182" s="142">
        <v>0.0</v>
      </c>
      <c r="AW1182" s="80">
        <v>0.0</v>
      </c>
      <c r="AX1182" s="113">
        <v>30.0</v>
      </c>
      <c r="AY1182" s="117">
        <v>30.0</v>
      </c>
      <c r="AZ1182" s="328">
        <v>0.0</v>
      </c>
      <c r="BA1182" s="315">
        <v>0.0</v>
      </c>
      <c r="BB1182" s="316">
        <v>30.0</v>
      </c>
      <c r="BC1182" s="132" t="s">
        <v>373</v>
      </c>
      <c r="BD1182" s="132" t="s">
        <v>178</v>
      </c>
      <c r="BE1182" s="132" t="s">
        <v>178</v>
      </c>
      <c r="BF1182" s="156"/>
      <c r="BG1182" s="83">
        <v>1179233.0</v>
      </c>
      <c r="BH1182" s="112">
        <v>3.0</v>
      </c>
      <c r="BI1182" s="98" t="s">
        <v>155</v>
      </c>
      <c r="BJ1182" s="98" t="str">
        <f t="shared" si="1"/>
        <v>NÃO</v>
      </c>
      <c r="BK1182" s="98" t="str">
        <f t="shared" si="2"/>
        <v>NÃO</v>
      </c>
    </row>
    <row r="1183" ht="15.75" customHeight="1">
      <c r="A1183" s="111" t="s">
        <v>1393</v>
      </c>
      <c r="B1183" s="83" t="s">
        <v>6231</v>
      </c>
      <c r="C1183" s="83" t="s">
        <v>164</v>
      </c>
      <c r="D1183" s="83">
        <v>1176160.0</v>
      </c>
      <c r="E1183" s="83">
        <v>1178863.0</v>
      </c>
      <c r="F1183" s="83"/>
      <c r="G1183" s="114" t="s">
        <v>10943</v>
      </c>
      <c r="H1183" s="91" t="s">
        <v>6250</v>
      </c>
      <c r="I1183" s="114" t="s">
        <v>6251</v>
      </c>
      <c r="J1183" s="83" t="s">
        <v>4353</v>
      </c>
      <c r="K1183" s="83" t="s">
        <v>168</v>
      </c>
      <c r="L1183" s="83" t="s">
        <v>169</v>
      </c>
      <c r="M1183" s="82" t="s">
        <v>10926</v>
      </c>
      <c r="N1183" s="82" t="s">
        <v>10927</v>
      </c>
      <c r="O1183" s="82" t="s">
        <v>10928</v>
      </c>
      <c r="P1183" s="82" t="s">
        <v>10929</v>
      </c>
      <c r="Q1183" s="82"/>
      <c r="R1183" s="82"/>
      <c r="S1183" s="82" t="s">
        <v>10930</v>
      </c>
      <c r="T1183" s="138">
        <v>3.0</v>
      </c>
      <c r="U1183" s="387">
        <v>3.0</v>
      </c>
      <c r="V1183" s="106">
        <v>0.0</v>
      </c>
      <c r="W1183" s="107">
        <v>0.0</v>
      </c>
      <c r="X1183" s="107">
        <v>0.0</v>
      </c>
      <c r="Y1183" s="107">
        <v>0.0</v>
      </c>
      <c r="Z1183" s="80">
        <v>0.0</v>
      </c>
      <c r="AA1183" s="140">
        <v>0.0</v>
      </c>
      <c r="AB1183" s="109">
        <v>0.0</v>
      </c>
      <c r="AC1183" s="109">
        <v>0.0</v>
      </c>
      <c r="AD1183" s="141">
        <v>0.0</v>
      </c>
      <c r="AE1183" s="80">
        <v>0.0</v>
      </c>
      <c r="AF1183" s="140">
        <v>0.0</v>
      </c>
      <c r="AG1183" s="109">
        <v>82.0</v>
      </c>
      <c r="AH1183" s="109">
        <v>0.0</v>
      </c>
      <c r="AI1183" s="141">
        <v>0.0</v>
      </c>
      <c r="AJ1183" s="80">
        <v>82.0</v>
      </c>
      <c r="AK1183" s="140">
        <v>0.0</v>
      </c>
      <c r="AL1183" s="109">
        <v>0.0</v>
      </c>
      <c r="AM1183" s="141">
        <v>0.0</v>
      </c>
      <c r="AN1183" s="80">
        <v>0.0</v>
      </c>
      <c r="AO1183" s="140">
        <v>0.0</v>
      </c>
      <c r="AP1183" s="109">
        <v>0.0</v>
      </c>
      <c r="AQ1183" s="109">
        <v>0.0</v>
      </c>
      <c r="AR1183" s="80">
        <v>0.0</v>
      </c>
      <c r="AS1183" s="110">
        <v>0.0</v>
      </c>
      <c r="AT1183" s="110">
        <v>0.0</v>
      </c>
      <c r="AU1183" s="110">
        <v>0.0</v>
      </c>
      <c r="AV1183" s="142">
        <v>0.0</v>
      </c>
      <c r="AW1183" s="80">
        <v>0.0</v>
      </c>
      <c r="AX1183" s="113">
        <v>82.0</v>
      </c>
      <c r="AY1183" s="117">
        <v>82.0</v>
      </c>
      <c r="AZ1183" s="328">
        <v>0.0</v>
      </c>
      <c r="BA1183" s="315">
        <v>0.0</v>
      </c>
      <c r="BB1183" s="316">
        <v>82.0</v>
      </c>
      <c r="BC1183" s="132" t="s">
        <v>373</v>
      </c>
      <c r="BD1183" s="132" t="s">
        <v>178</v>
      </c>
      <c r="BE1183" s="132" t="s">
        <v>178</v>
      </c>
      <c r="BF1183" s="123"/>
      <c r="BG1183" s="83">
        <v>1178863.0</v>
      </c>
      <c r="BH1183" s="112">
        <v>3.0</v>
      </c>
      <c r="BI1183" s="98" t="s">
        <v>155</v>
      </c>
      <c r="BJ1183" s="98" t="str">
        <f t="shared" si="1"/>
        <v>NÃO</v>
      </c>
      <c r="BK1183" s="98" t="str">
        <f t="shared" si="2"/>
        <v>NÃO</v>
      </c>
    </row>
    <row r="1184" ht="15.75" customHeight="1">
      <c r="A1184" s="111" t="s">
        <v>1393</v>
      </c>
      <c r="B1184" s="83" t="s">
        <v>6231</v>
      </c>
      <c r="C1184" s="83" t="s">
        <v>164</v>
      </c>
      <c r="D1184" s="83">
        <v>1176160.0</v>
      </c>
      <c r="E1184" s="83">
        <v>1178862.0</v>
      </c>
      <c r="F1184" s="83"/>
      <c r="G1184" s="114" t="s">
        <v>10945</v>
      </c>
      <c r="H1184" s="91" t="s">
        <v>6254</v>
      </c>
      <c r="I1184" s="298" t="s">
        <v>6255</v>
      </c>
      <c r="J1184" s="83" t="s">
        <v>183</v>
      </c>
      <c r="K1184" s="83" t="s">
        <v>168</v>
      </c>
      <c r="L1184" s="83" t="s">
        <v>169</v>
      </c>
      <c r="M1184" s="82" t="s">
        <v>10926</v>
      </c>
      <c r="N1184" s="82" t="s">
        <v>10927</v>
      </c>
      <c r="O1184" s="82" t="s">
        <v>10928</v>
      </c>
      <c r="P1184" s="82" t="s">
        <v>10929</v>
      </c>
      <c r="Q1184" s="82"/>
      <c r="R1184" s="82"/>
      <c r="S1184" s="82" t="s">
        <v>10930</v>
      </c>
      <c r="T1184" s="138">
        <v>3.0</v>
      </c>
      <c r="U1184" s="323">
        <v>3.0</v>
      </c>
      <c r="V1184" s="106">
        <v>0.0</v>
      </c>
      <c r="W1184" s="107">
        <v>0.0</v>
      </c>
      <c r="X1184" s="107">
        <v>0.0</v>
      </c>
      <c r="Y1184" s="107">
        <v>0.0</v>
      </c>
      <c r="Z1184" s="80">
        <v>0.0</v>
      </c>
      <c r="AA1184" s="140">
        <v>0.0</v>
      </c>
      <c r="AB1184" s="109">
        <v>0.0</v>
      </c>
      <c r="AC1184" s="109">
        <v>0.0</v>
      </c>
      <c r="AD1184" s="141">
        <v>0.0</v>
      </c>
      <c r="AE1184" s="80">
        <v>0.0</v>
      </c>
      <c r="AF1184" s="140">
        <v>0.0</v>
      </c>
      <c r="AG1184" s="109">
        <v>40.0</v>
      </c>
      <c r="AH1184" s="109">
        <v>0.0</v>
      </c>
      <c r="AI1184" s="141">
        <v>0.0</v>
      </c>
      <c r="AJ1184" s="80">
        <v>40.0</v>
      </c>
      <c r="AK1184" s="140">
        <v>0.0</v>
      </c>
      <c r="AL1184" s="109">
        <v>0.0</v>
      </c>
      <c r="AM1184" s="141">
        <v>0.0</v>
      </c>
      <c r="AN1184" s="80">
        <v>0.0</v>
      </c>
      <c r="AO1184" s="140">
        <v>0.0</v>
      </c>
      <c r="AP1184" s="109">
        <v>0.0</v>
      </c>
      <c r="AQ1184" s="109">
        <v>0.0</v>
      </c>
      <c r="AR1184" s="80">
        <v>0.0</v>
      </c>
      <c r="AS1184" s="110">
        <v>0.0</v>
      </c>
      <c r="AT1184" s="110">
        <v>0.0</v>
      </c>
      <c r="AU1184" s="110">
        <v>0.0</v>
      </c>
      <c r="AV1184" s="142">
        <v>0.0</v>
      </c>
      <c r="AW1184" s="80">
        <v>0.0</v>
      </c>
      <c r="AX1184" s="113">
        <v>40.0</v>
      </c>
      <c r="AY1184" s="117">
        <v>40.0</v>
      </c>
      <c r="AZ1184" s="328">
        <v>0.0</v>
      </c>
      <c r="BA1184" s="315">
        <v>0.0</v>
      </c>
      <c r="BB1184" s="316">
        <v>40.0</v>
      </c>
      <c r="BC1184" s="132" t="s">
        <v>373</v>
      </c>
      <c r="BD1184" s="132" t="s">
        <v>178</v>
      </c>
      <c r="BE1184" s="132" t="s">
        <v>178</v>
      </c>
      <c r="BF1184" s="156"/>
      <c r="BG1184" s="83">
        <v>1178862.0</v>
      </c>
      <c r="BH1184" s="112">
        <v>3.0</v>
      </c>
      <c r="BI1184" s="98" t="s">
        <v>155</v>
      </c>
      <c r="BJ1184" s="98" t="str">
        <f t="shared" si="1"/>
        <v>NÃO</v>
      </c>
      <c r="BK1184" s="98" t="str">
        <f t="shared" si="2"/>
        <v>NÃO</v>
      </c>
    </row>
    <row r="1185" ht="15.75" customHeight="1">
      <c r="A1185" s="111" t="s">
        <v>1393</v>
      </c>
      <c r="B1185" s="83" t="s">
        <v>6231</v>
      </c>
      <c r="C1185" s="83" t="s">
        <v>164</v>
      </c>
      <c r="D1185" s="83">
        <v>1176160.0</v>
      </c>
      <c r="E1185" s="83">
        <v>1178861.0</v>
      </c>
      <c r="F1185" s="83"/>
      <c r="G1185" s="114" t="s">
        <v>10946</v>
      </c>
      <c r="H1185" s="91" t="s">
        <v>6268</v>
      </c>
      <c r="I1185" s="114" t="s">
        <v>6269</v>
      </c>
      <c r="J1185" s="83" t="s">
        <v>6270</v>
      </c>
      <c r="K1185" s="83" t="s">
        <v>151</v>
      </c>
      <c r="L1185" s="83" t="s">
        <v>169</v>
      </c>
      <c r="M1185" s="82" t="s">
        <v>10926</v>
      </c>
      <c r="N1185" s="82" t="s">
        <v>10927</v>
      </c>
      <c r="O1185" s="82" t="s">
        <v>10928</v>
      </c>
      <c r="P1185" s="82" t="s">
        <v>10929</v>
      </c>
      <c r="Q1185" s="82"/>
      <c r="R1185" s="82"/>
      <c r="S1185" s="82" t="s">
        <v>10930</v>
      </c>
      <c r="T1185" s="138">
        <v>4.0</v>
      </c>
      <c r="U1185" s="323">
        <v>4.0</v>
      </c>
      <c r="V1185" s="106">
        <v>0.0</v>
      </c>
      <c r="W1185" s="107">
        <v>0.0</v>
      </c>
      <c r="X1185" s="107">
        <v>0.0</v>
      </c>
      <c r="Y1185" s="107">
        <v>0.0</v>
      </c>
      <c r="Z1185" s="80">
        <v>0.0</v>
      </c>
      <c r="AA1185" s="140">
        <v>0.0</v>
      </c>
      <c r="AB1185" s="109">
        <v>0.0</v>
      </c>
      <c r="AC1185" s="109">
        <v>0.0</v>
      </c>
      <c r="AD1185" s="141">
        <v>0.0</v>
      </c>
      <c r="AE1185" s="80">
        <v>0.0</v>
      </c>
      <c r="AF1185" s="140">
        <v>84.0</v>
      </c>
      <c r="AG1185" s="109">
        <v>35.0</v>
      </c>
      <c r="AH1185" s="109">
        <v>0.0</v>
      </c>
      <c r="AI1185" s="141">
        <v>0.0</v>
      </c>
      <c r="AJ1185" s="80">
        <v>119.0</v>
      </c>
      <c r="AK1185" s="140">
        <v>0.0</v>
      </c>
      <c r="AL1185" s="109">
        <v>0.0</v>
      </c>
      <c r="AM1185" s="141">
        <v>0.0</v>
      </c>
      <c r="AN1185" s="80">
        <v>0.0</v>
      </c>
      <c r="AO1185" s="140">
        <v>0.0</v>
      </c>
      <c r="AP1185" s="109">
        <v>0.0</v>
      </c>
      <c r="AQ1185" s="109">
        <v>0.0</v>
      </c>
      <c r="AR1185" s="80">
        <v>0.0</v>
      </c>
      <c r="AS1185" s="110">
        <v>0.0</v>
      </c>
      <c r="AT1185" s="110">
        <v>0.0</v>
      </c>
      <c r="AU1185" s="110">
        <v>0.0</v>
      </c>
      <c r="AV1185" s="142">
        <v>0.0</v>
      </c>
      <c r="AW1185" s="80">
        <v>0.0</v>
      </c>
      <c r="AX1185" s="113">
        <v>119.0</v>
      </c>
      <c r="AY1185" s="117">
        <v>119.0</v>
      </c>
      <c r="AZ1185" s="328">
        <v>0.0</v>
      </c>
      <c r="BA1185" s="315">
        <v>0.0</v>
      </c>
      <c r="BB1185" s="316">
        <v>119.0</v>
      </c>
      <c r="BC1185" s="132" t="s">
        <v>373</v>
      </c>
      <c r="BD1185" s="132" t="s">
        <v>178</v>
      </c>
      <c r="BE1185" s="132" t="s">
        <v>178</v>
      </c>
      <c r="BF1185" s="123"/>
      <c r="BG1185" s="83">
        <v>1178861.0</v>
      </c>
      <c r="BH1185" s="112">
        <v>4.0</v>
      </c>
      <c r="BI1185" s="98" t="s">
        <v>155</v>
      </c>
      <c r="BJ1185" s="98" t="str">
        <f t="shared" si="1"/>
        <v>NÃO</v>
      </c>
      <c r="BK1185" s="98" t="str">
        <f t="shared" si="2"/>
        <v>NÃO</v>
      </c>
    </row>
    <row r="1186" ht="15.75" customHeight="1">
      <c r="A1186" s="111" t="s">
        <v>1393</v>
      </c>
      <c r="B1186" s="83" t="s">
        <v>6282</v>
      </c>
      <c r="C1186" s="83" t="s">
        <v>45</v>
      </c>
      <c r="D1186" s="83">
        <v>1128479.0</v>
      </c>
      <c r="E1186" s="83"/>
      <c r="F1186" s="83">
        <v>2.9248663E7</v>
      </c>
      <c r="G1186" s="114" t="s">
        <v>6283</v>
      </c>
      <c r="H1186" s="91" t="s">
        <v>6284</v>
      </c>
      <c r="I1186" s="298" t="s">
        <v>149</v>
      </c>
      <c r="J1186" s="98" t="s">
        <v>6285</v>
      </c>
      <c r="K1186" s="83" t="s">
        <v>171</v>
      </c>
      <c r="L1186" s="83" t="s">
        <v>512</v>
      </c>
      <c r="M1186" s="82" t="s">
        <v>10948</v>
      </c>
      <c r="N1186" s="82" t="s">
        <v>10949</v>
      </c>
      <c r="O1186" s="82"/>
      <c r="P1186" s="82"/>
      <c r="Q1186" s="82"/>
      <c r="R1186" s="82"/>
      <c r="S1186" s="82"/>
      <c r="T1186" s="138">
        <v>6.0</v>
      </c>
      <c r="U1186" s="323" t="s">
        <v>171</v>
      </c>
      <c r="V1186" s="106">
        <v>0.0</v>
      </c>
      <c r="W1186" s="107">
        <v>0.0</v>
      </c>
      <c r="X1186" s="107">
        <v>0.0</v>
      </c>
      <c r="Y1186" s="107">
        <v>0.0</v>
      </c>
      <c r="Z1186" s="80">
        <v>0.0</v>
      </c>
      <c r="AA1186" s="140">
        <v>0.0</v>
      </c>
      <c r="AB1186" s="109">
        <v>0.0</v>
      </c>
      <c r="AC1186" s="109">
        <v>0.0</v>
      </c>
      <c r="AD1186" s="141">
        <v>28.0</v>
      </c>
      <c r="AE1186" s="80">
        <v>28.0</v>
      </c>
      <c r="AF1186" s="140">
        <v>0.0</v>
      </c>
      <c r="AG1186" s="109">
        <v>0.0</v>
      </c>
      <c r="AH1186" s="109">
        <v>0.0</v>
      </c>
      <c r="AI1186" s="141">
        <v>0.0</v>
      </c>
      <c r="AJ1186" s="80">
        <v>0.0</v>
      </c>
      <c r="AK1186" s="140">
        <v>0.0</v>
      </c>
      <c r="AL1186" s="109">
        <v>0.0</v>
      </c>
      <c r="AM1186" s="141">
        <v>0.0</v>
      </c>
      <c r="AN1186" s="80">
        <v>0.0</v>
      </c>
      <c r="AO1186" s="140">
        <v>0.0</v>
      </c>
      <c r="AP1186" s="109">
        <v>0.0</v>
      </c>
      <c r="AQ1186" s="109">
        <v>0.0</v>
      </c>
      <c r="AR1186" s="80">
        <v>0.0</v>
      </c>
      <c r="AS1186" s="110">
        <v>0.0</v>
      </c>
      <c r="AT1186" s="110">
        <v>0.0</v>
      </c>
      <c r="AU1186" s="110">
        <v>0.0</v>
      </c>
      <c r="AV1186" s="142">
        <v>0.0</v>
      </c>
      <c r="AW1186" s="80">
        <v>0.0</v>
      </c>
      <c r="AX1186" s="113">
        <v>28.0</v>
      </c>
      <c r="AY1186" s="117">
        <v>28.0</v>
      </c>
      <c r="AZ1186" s="328">
        <v>0.0</v>
      </c>
      <c r="BA1186" s="315">
        <v>0.0</v>
      </c>
      <c r="BB1186" s="316">
        <v>28.0</v>
      </c>
      <c r="BC1186" s="132" t="s">
        <v>178</v>
      </c>
      <c r="BD1186" s="132" t="s">
        <v>178</v>
      </c>
      <c r="BE1186" s="132" t="s">
        <v>178</v>
      </c>
      <c r="BF1186" s="123"/>
      <c r="BG1186" s="83">
        <v>1128479.0</v>
      </c>
      <c r="BH1186" s="112">
        <v>6.0</v>
      </c>
      <c r="BI1186" s="98" t="s">
        <v>155</v>
      </c>
      <c r="BJ1186" s="98" t="str">
        <f t="shared" si="1"/>
        <v>INTEGRAL</v>
      </c>
      <c r="BK1186" s="98" t="str">
        <f t="shared" si="2"/>
        <v>NÃO</v>
      </c>
    </row>
    <row r="1187" ht="15.75" customHeight="1">
      <c r="A1187" s="111" t="s">
        <v>1393</v>
      </c>
      <c r="B1187" s="83" t="s">
        <v>6282</v>
      </c>
      <c r="C1187" s="83" t="s">
        <v>68</v>
      </c>
      <c r="D1187" s="83">
        <v>1128460.0</v>
      </c>
      <c r="E1187" s="83"/>
      <c r="F1187" s="83">
        <v>2.9249104E7</v>
      </c>
      <c r="G1187" s="114" t="s">
        <v>10950</v>
      </c>
      <c r="H1187" s="91" t="s">
        <v>10951</v>
      </c>
      <c r="I1187" s="114" t="s">
        <v>6289</v>
      </c>
      <c r="J1187" s="83" t="s">
        <v>150</v>
      </c>
      <c r="K1187" s="83" t="s">
        <v>151</v>
      </c>
      <c r="L1187" s="83" t="s">
        <v>76</v>
      </c>
      <c r="M1187" s="82" t="s">
        <v>10952</v>
      </c>
      <c r="N1187" s="82" t="s">
        <v>10953</v>
      </c>
      <c r="O1187" s="82" t="s">
        <v>10954</v>
      </c>
      <c r="P1187" s="82" t="s">
        <v>10955</v>
      </c>
      <c r="Q1187" s="82"/>
      <c r="R1187" s="82"/>
      <c r="S1187" s="82" t="s">
        <v>10956</v>
      </c>
      <c r="T1187" s="138">
        <v>7.0</v>
      </c>
      <c r="U1187" s="323">
        <v>7.0</v>
      </c>
      <c r="V1187" s="106">
        <v>0.0</v>
      </c>
      <c r="W1187" s="107">
        <v>0.0</v>
      </c>
      <c r="X1187" s="107">
        <v>0.0</v>
      </c>
      <c r="Y1187" s="107">
        <v>0.0</v>
      </c>
      <c r="Z1187" s="80">
        <v>0.0</v>
      </c>
      <c r="AA1187" s="140">
        <v>0.0</v>
      </c>
      <c r="AB1187" s="109">
        <v>0.0</v>
      </c>
      <c r="AC1187" s="109">
        <v>0.0</v>
      </c>
      <c r="AD1187" s="141">
        <v>0.0</v>
      </c>
      <c r="AE1187" s="80">
        <v>0.0</v>
      </c>
      <c r="AF1187" s="140">
        <v>139.0</v>
      </c>
      <c r="AG1187" s="109">
        <v>49.0</v>
      </c>
      <c r="AH1187" s="109">
        <v>0.0</v>
      </c>
      <c r="AI1187" s="141">
        <v>68.0</v>
      </c>
      <c r="AJ1187" s="80">
        <v>256.0</v>
      </c>
      <c r="AK1187" s="140">
        <v>0.0</v>
      </c>
      <c r="AL1187" s="109">
        <v>0.0</v>
      </c>
      <c r="AM1187" s="141">
        <v>0.0</v>
      </c>
      <c r="AN1187" s="80">
        <v>0.0</v>
      </c>
      <c r="AO1187" s="140">
        <v>0.0</v>
      </c>
      <c r="AP1187" s="109">
        <v>0.0</v>
      </c>
      <c r="AQ1187" s="109">
        <v>40.0</v>
      </c>
      <c r="AR1187" s="80">
        <v>40.0</v>
      </c>
      <c r="AS1187" s="110">
        <v>0.0</v>
      </c>
      <c r="AT1187" s="110">
        <v>0.0</v>
      </c>
      <c r="AU1187" s="110">
        <v>0.0</v>
      </c>
      <c r="AV1187" s="142">
        <v>0.0</v>
      </c>
      <c r="AW1187" s="80">
        <v>0.0</v>
      </c>
      <c r="AX1187" s="113">
        <v>296.0</v>
      </c>
      <c r="AY1187" s="117">
        <v>256.0</v>
      </c>
      <c r="AZ1187" s="328">
        <v>40.0</v>
      </c>
      <c r="BA1187" s="315">
        <v>0.0</v>
      </c>
      <c r="BB1187" s="316">
        <v>296.0</v>
      </c>
      <c r="BC1187" s="132" t="s">
        <v>178</v>
      </c>
      <c r="BD1187" s="132" t="s">
        <v>178</v>
      </c>
      <c r="BE1187" s="132" t="s">
        <v>178</v>
      </c>
      <c r="BF1187" s="123"/>
      <c r="BG1187" s="83">
        <v>1128460.0</v>
      </c>
      <c r="BH1187" s="112">
        <v>7.0</v>
      </c>
      <c r="BI1187" s="98" t="s">
        <v>155</v>
      </c>
      <c r="BJ1187" s="98" t="str">
        <f t="shared" si="1"/>
        <v>INTEGRAL</v>
      </c>
      <c r="BK1187" s="98" t="str">
        <f t="shared" si="2"/>
        <v>NÃO</v>
      </c>
    </row>
    <row r="1188" ht="15.75" customHeight="1">
      <c r="A1188" s="111" t="s">
        <v>1393</v>
      </c>
      <c r="B1188" s="83" t="s">
        <v>6282</v>
      </c>
      <c r="C1188" s="83" t="s">
        <v>164</v>
      </c>
      <c r="D1188" s="83">
        <v>1128460.0</v>
      </c>
      <c r="E1188" s="83">
        <v>1178864.0</v>
      </c>
      <c r="F1188" s="83"/>
      <c r="G1188" s="114" t="s">
        <v>10957</v>
      </c>
      <c r="H1188" s="91" t="s">
        <v>6293</v>
      </c>
      <c r="I1188" s="114" t="s">
        <v>6294</v>
      </c>
      <c r="J1188" s="83" t="s">
        <v>2668</v>
      </c>
      <c r="K1188" s="83" t="s">
        <v>168</v>
      </c>
      <c r="L1188" s="83" t="s">
        <v>169</v>
      </c>
      <c r="M1188" s="82" t="s">
        <v>10952</v>
      </c>
      <c r="N1188" s="82" t="s">
        <v>10953</v>
      </c>
      <c r="O1188" s="82" t="s">
        <v>10954</v>
      </c>
      <c r="P1188" s="82" t="s">
        <v>10955</v>
      </c>
      <c r="Q1188" s="82"/>
      <c r="R1188" s="82"/>
      <c r="S1188" s="82" t="s">
        <v>10956</v>
      </c>
      <c r="T1188" s="138">
        <v>3.0</v>
      </c>
      <c r="U1188" s="323">
        <v>3.0</v>
      </c>
      <c r="V1188" s="106">
        <v>0.0</v>
      </c>
      <c r="W1188" s="107">
        <v>0.0</v>
      </c>
      <c r="X1188" s="107">
        <v>0.0</v>
      </c>
      <c r="Y1188" s="107">
        <v>0.0</v>
      </c>
      <c r="Z1188" s="80">
        <v>0.0</v>
      </c>
      <c r="AA1188" s="140">
        <v>0.0</v>
      </c>
      <c r="AB1188" s="109">
        <v>0.0</v>
      </c>
      <c r="AC1188" s="109">
        <v>0.0</v>
      </c>
      <c r="AD1188" s="141">
        <v>0.0</v>
      </c>
      <c r="AE1188" s="80">
        <v>0.0</v>
      </c>
      <c r="AF1188" s="140">
        <v>0.0</v>
      </c>
      <c r="AG1188" s="109">
        <v>76.0</v>
      </c>
      <c r="AH1188" s="109">
        <v>0.0</v>
      </c>
      <c r="AI1188" s="141">
        <v>0.0</v>
      </c>
      <c r="AJ1188" s="80">
        <v>76.0</v>
      </c>
      <c r="AK1188" s="140">
        <v>0.0</v>
      </c>
      <c r="AL1188" s="109">
        <v>0.0</v>
      </c>
      <c r="AM1188" s="141">
        <v>0.0</v>
      </c>
      <c r="AN1188" s="80">
        <v>0.0</v>
      </c>
      <c r="AO1188" s="140">
        <v>0.0</v>
      </c>
      <c r="AP1188" s="109">
        <v>0.0</v>
      </c>
      <c r="AQ1188" s="109">
        <v>0.0</v>
      </c>
      <c r="AR1188" s="80">
        <v>0.0</v>
      </c>
      <c r="AS1188" s="110">
        <v>0.0</v>
      </c>
      <c r="AT1188" s="110">
        <v>0.0</v>
      </c>
      <c r="AU1188" s="110">
        <v>0.0</v>
      </c>
      <c r="AV1188" s="142">
        <v>0.0</v>
      </c>
      <c r="AW1188" s="80">
        <v>0.0</v>
      </c>
      <c r="AX1188" s="113">
        <v>76.0</v>
      </c>
      <c r="AY1188" s="117">
        <v>76.0</v>
      </c>
      <c r="AZ1188" s="328">
        <v>0.0</v>
      </c>
      <c r="BA1188" s="315">
        <v>0.0</v>
      </c>
      <c r="BB1188" s="316">
        <v>76.0</v>
      </c>
      <c r="BC1188" s="132" t="s">
        <v>373</v>
      </c>
      <c r="BD1188" s="132" t="s">
        <v>178</v>
      </c>
      <c r="BE1188" s="132" t="s">
        <v>178</v>
      </c>
      <c r="BF1188" s="123"/>
      <c r="BG1188" s="83">
        <v>1178864.0</v>
      </c>
      <c r="BH1188" s="112">
        <v>3.0</v>
      </c>
      <c r="BI1188" s="98" t="s">
        <v>155</v>
      </c>
      <c r="BJ1188" s="98" t="str">
        <f t="shared" si="1"/>
        <v>NÃO</v>
      </c>
      <c r="BK1188" s="98" t="str">
        <f t="shared" si="2"/>
        <v>NÃO</v>
      </c>
    </row>
    <row r="1189" ht="15.75" customHeight="1">
      <c r="A1189" s="111" t="s">
        <v>1393</v>
      </c>
      <c r="B1189" s="83" t="s">
        <v>6282</v>
      </c>
      <c r="C1189" s="83" t="s">
        <v>164</v>
      </c>
      <c r="D1189" s="83">
        <v>1128460.0</v>
      </c>
      <c r="E1189" s="83">
        <v>1179647.0</v>
      </c>
      <c r="F1189" s="83"/>
      <c r="G1189" s="187" t="s">
        <v>10958</v>
      </c>
      <c r="H1189" s="91" t="s">
        <v>6296</v>
      </c>
      <c r="I1189" s="187" t="s">
        <v>149</v>
      </c>
      <c r="J1189" s="136" t="s">
        <v>1173</v>
      </c>
      <c r="K1189" s="83" t="s">
        <v>151</v>
      </c>
      <c r="L1189" s="83" t="s">
        <v>169</v>
      </c>
      <c r="M1189" s="82" t="s">
        <v>10952</v>
      </c>
      <c r="N1189" s="82" t="s">
        <v>10953</v>
      </c>
      <c r="O1189" s="82" t="s">
        <v>10954</v>
      </c>
      <c r="P1189" s="82" t="s">
        <v>10955</v>
      </c>
      <c r="Q1189" s="82"/>
      <c r="R1189" s="82"/>
      <c r="S1189" s="82" t="s">
        <v>10956</v>
      </c>
      <c r="T1189" s="138">
        <v>7.0</v>
      </c>
      <c r="U1189" s="391">
        <v>3.0</v>
      </c>
      <c r="V1189" s="106">
        <v>0.0</v>
      </c>
      <c r="W1189" s="107">
        <v>0.0</v>
      </c>
      <c r="X1189" s="107">
        <v>0.0</v>
      </c>
      <c r="Y1189" s="107">
        <v>0.0</v>
      </c>
      <c r="Z1189" s="80">
        <v>0.0</v>
      </c>
      <c r="AA1189" s="140">
        <v>0.0</v>
      </c>
      <c r="AB1189" s="109">
        <v>0.0</v>
      </c>
      <c r="AC1189" s="109">
        <v>0.0</v>
      </c>
      <c r="AD1189" s="141">
        <v>0.0</v>
      </c>
      <c r="AE1189" s="80">
        <v>0.0</v>
      </c>
      <c r="AF1189" s="225">
        <v>105.0</v>
      </c>
      <c r="AG1189" s="225">
        <v>0.0</v>
      </c>
      <c r="AH1189" s="225">
        <v>0.0</v>
      </c>
      <c r="AI1189" s="589">
        <v>0.0</v>
      </c>
      <c r="AJ1189" s="80">
        <v>105.0</v>
      </c>
      <c r="AK1189" s="140">
        <v>0.0</v>
      </c>
      <c r="AL1189" s="109">
        <v>0.0</v>
      </c>
      <c r="AM1189" s="141">
        <v>0.0</v>
      </c>
      <c r="AN1189" s="80">
        <v>0.0</v>
      </c>
      <c r="AO1189" s="225">
        <v>0.0</v>
      </c>
      <c r="AP1189" s="225">
        <v>0.0</v>
      </c>
      <c r="AQ1189" s="589">
        <v>0.0</v>
      </c>
      <c r="AR1189" s="80">
        <v>0.0</v>
      </c>
      <c r="AS1189" s="110">
        <v>0.0</v>
      </c>
      <c r="AT1189" s="110">
        <v>0.0</v>
      </c>
      <c r="AU1189" s="110">
        <v>0.0</v>
      </c>
      <c r="AV1189" s="142">
        <v>0.0</v>
      </c>
      <c r="AW1189" s="80">
        <v>0.0</v>
      </c>
      <c r="AX1189" s="113">
        <v>105.0</v>
      </c>
      <c r="AY1189" s="117">
        <v>105.0</v>
      </c>
      <c r="AZ1189" s="328">
        <v>0.0</v>
      </c>
      <c r="BA1189" s="315">
        <v>0.0</v>
      </c>
      <c r="BB1189" s="316">
        <v>105.0</v>
      </c>
      <c r="BC1189" s="132" t="s">
        <v>373</v>
      </c>
      <c r="BD1189" s="132" t="s">
        <v>178</v>
      </c>
      <c r="BE1189" s="132" t="s">
        <v>178</v>
      </c>
      <c r="BF1189" s="123"/>
      <c r="BG1189" s="83">
        <v>1179647.0</v>
      </c>
      <c r="BH1189" s="112">
        <v>3.0</v>
      </c>
      <c r="BI1189" s="98" t="s">
        <v>155</v>
      </c>
      <c r="BJ1189" s="98" t="str">
        <f t="shared" si="1"/>
        <v>NÃO</v>
      </c>
      <c r="BK1189" s="98" t="str">
        <f t="shared" si="2"/>
        <v>NÃO</v>
      </c>
    </row>
    <row r="1190" ht="15.75" customHeight="1">
      <c r="A1190" s="111" t="s">
        <v>1393</v>
      </c>
      <c r="B1190" s="83" t="s">
        <v>6297</v>
      </c>
      <c r="C1190" s="83" t="s">
        <v>68</v>
      </c>
      <c r="D1190" s="83">
        <v>1141815.0</v>
      </c>
      <c r="E1190" s="83"/>
      <c r="F1190" s="83">
        <v>2.9261481E7</v>
      </c>
      <c r="G1190" s="187" t="s">
        <v>10959</v>
      </c>
      <c r="H1190" s="91" t="s">
        <v>6299</v>
      </c>
      <c r="I1190" s="187" t="s">
        <v>149</v>
      </c>
      <c r="J1190" s="136" t="s">
        <v>150</v>
      </c>
      <c r="K1190" s="83" t="s">
        <v>151</v>
      </c>
      <c r="L1190" s="83" t="s">
        <v>76</v>
      </c>
      <c r="M1190" s="82" t="s">
        <v>10960</v>
      </c>
      <c r="N1190" s="82" t="s">
        <v>10961</v>
      </c>
      <c r="O1190" s="82" t="s">
        <v>10962</v>
      </c>
      <c r="P1190" s="82" t="s">
        <v>10963</v>
      </c>
      <c r="Q1190" s="82" t="s">
        <v>10964</v>
      </c>
      <c r="R1190" s="82"/>
      <c r="S1190" s="82" t="s">
        <v>10965</v>
      </c>
      <c r="T1190" s="138">
        <v>7.0</v>
      </c>
      <c r="U1190" s="331">
        <v>7.0</v>
      </c>
      <c r="V1190" s="106">
        <v>0.0</v>
      </c>
      <c r="W1190" s="107">
        <v>0.0</v>
      </c>
      <c r="X1190" s="107">
        <v>0.0</v>
      </c>
      <c r="Y1190" s="107">
        <v>0.0</v>
      </c>
      <c r="Z1190" s="80">
        <v>0.0</v>
      </c>
      <c r="AA1190" s="140">
        <v>0.0</v>
      </c>
      <c r="AB1190" s="109">
        <v>0.0</v>
      </c>
      <c r="AC1190" s="109">
        <v>0.0</v>
      </c>
      <c r="AD1190" s="141">
        <v>0.0</v>
      </c>
      <c r="AE1190" s="80">
        <v>0.0</v>
      </c>
      <c r="AF1190" s="140">
        <v>57.0</v>
      </c>
      <c r="AG1190" s="109">
        <v>69.0</v>
      </c>
      <c r="AH1190" s="109">
        <v>0.0</v>
      </c>
      <c r="AI1190" s="141">
        <v>16.0</v>
      </c>
      <c r="AJ1190" s="80">
        <v>142.0</v>
      </c>
      <c r="AK1190" s="140">
        <v>0.0</v>
      </c>
      <c r="AL1190" s="109">
        <v>0.0</v>
      </c>
      <c r="AM1190" s="141">
        <v>0.0</v>
      </c>
      <c r="AN1190" s="80">
        <v>0.0</v>
      </c>
      <c r="AO1190" s="140">
        <v>0.0</v>
      </c>
      <c r="AP1190" s="109">
        <v>0.0</v>
      </c>
      <c r="AQ1190" s="109">
        <v>18.0</v>
      </c>
      <c r="AR1190" s="80">
        <v>18.0</v>
      </c>
      <c r="AS1190" s="110">
        <v>74.0</v>
      </c>
      <c r="AT1190" s="110">
        <v>0.0</v>
      </c>
      <c r="AU1190" s="110">
        <v>0.0</v>
      </c>
      <c r="AV1190" s="142">
        <v>0.0</v>
      </c>
      <c r="AW1190" s="80">
        <v>74.0</v>
      </c>
      <c r="AX1190" s="113">
        <v>234.0</v>
      </c>
      <c r="AY1190" s="117">
        <v>216.0</v>
      </c>
      <c r="AZ1190" s="328">
        <v>18.0</v>
      </c>
      <c r="BA1190" s="315">
        <v>1.0</v>
      </c>
      <c r="BB1190" s="316">
        <v>235.0</v>
      </c>
      <c r="BC1190" s="132" t="s">
        <v>178</v>
      </c>
      <c r="BD1190" s="132" t="s">
        <v>178</v>
      </c>
      <c r="BE1190" s="132" t="s">
        <v>178</v>
      </c>
      <c r="BF1190" s="123"/>
      <c r="BG1190" s="83">
        <v>1141815.0</v>
      </c>
      <c r="BH1190" s="112">
        <v>7.0</v>
      </c>
      <c r="BI1190" s="98" t="s">
        <v>155</v>
      </c>
      <c r="BJ1190" s="98" t="str">
        <f t="shared" si="1"/>
        <v>INTEGRAL</v>
      </c>
      <c r="BK1190" s="98" t="str">
        <f t="shared" si="2"/>
        <v>PROFISSIONAL</v>
      </c>
    </row>
    <row r="1191" ht="15.75" customHeight="1">
      <c r="A1191" s="111" t="s">
        <v>1393</v>
      </c>
      <c r="B1191" s="83" t="s">
        <v>6301</v>
      </c>
      <c r="C1191" s="83" t="s">
        <v>68</v>
      </c>
      <c r="D1191" s="83">
        <v>1178113.0</v>
      </c>
      <c r="E1191" s="83"/>
      <c r="F1191" s="83">
        <v>2.9434726E7</v>
      </c>
      <c r="G1191" s="114" t="s">
        <v>10966</v>
      </c>
      <c r="H1191" s="91" t="s">
        <v>6303</v>
      </c>
      <c r="I1191" s="114" t="s">
        <v>149</v>
      </c>
      <c r="J1191" s="83" t="s">
        <v>150</v>
      </c>
      <c r="K1191" s="83" t="s">
        <v>151</v>
      </c>
      <c r="L1191" s="83" t="s">
        <v>76</v>
      </c>
      <c r="M1191" s="82" t="s">
        <v>10967</v>
      </c>
      <c r="N1191" s="82" t="s">
        <v>10968</v>
      </c>
      <c r="O1191" s="82"/>
      <c r="P1191" s="82"/>
      <c r="Q1191" s="82"/>
      <c r="R1191" s="82"/>
      <c r="S1191" s="82" t="s">
        <v>10969</v>
      </c>
      <c r="T1191" s="138">
        <v>6.0</v>
      </c>
      <c r="U1191" s="323">
        <v>6.0</v>
      </c>
      <c r="V1191" s="106">
        <v>0.0</v>
      </c>
      <c r="W1191" s="107">
        <v>0.0</v>
      </c>
      <c r="X1191" s="107">
        <v>0.0</v>
      </c>
      <c r="Y1191" s="107">
        <v>0.0</v>
      </c>
      <c r="Z1191" s="80">
        <v>0.0</v>
      </c>
      <c r="AA1191" s="140">
        <v>0.0</v>
      </c>
      <c r="AB1191" s="109">
        <v>0.0</v>
      </c>
      <c r="AC1191" s="109">
        <v>0.0</v>
      </c>
      <c r="AD1191" s="141">
        <v>0.0</v>
      </c>
      <c r="AE1191" s="80">
        <v>0.0</v>
      </c>
      <c r="AF1191" s="140">
        <v>0.0</v>
      </c>
      <c r="AG1191" s="109">
        <v>189.0</v>
      </c>
      <c r="AH1191" s="109">
        <v>0.0</v>
      </c>
      <c r="AI1191" s="141">
        <v>35.0</v>
      </c>
      <c r="AJ1191" s="80">
        <v>224.0</v>
      </c>
      <c r="AK1191" s="140">
        <v>0.0</v>
      </c>
      <c r="AL1191" s="109">
        <v>0.0</v>
      </c>
      <c r="AM1191" s="141">
        <v>0.0</v>
      </c>
      <c r="AN1191" s="80">
        <v>0.0</v>
      </c>
      <c r="AO1191" s="140">
        <v>0.0</v>
      </c>
      <c r="AP1191" s="109">
        <v>0.0</v>
      </c>
      <c r="AQ1191" s="109">
        <v>18.0</v>
      </c>
      <c r="AR1191" s="80">
        <v>18.0</v>
      </c>
      <c r="AS1191" s="110">
        <v>0.0</v>
      </c>
      <c r="AT1191" s="110">
        <v>0.0</v>
      </c>
      <c r="AU1191" s="110">
        <v>0.0</v>
      </c>
      <c r="AV1191" s="142">
        <v>0.0</v>
      </c>
      <c r="AW1191" s="80">
        <v>0.0</v>
      </c>
      <c r="AX1191" s="113">
        <v>242.0</v>
      </c>
      <c r="AY1191" s="117">
        <v>224.0</v>
      </c>
      <c r="AZ1191" s="328">
        <v>18.0</v>
      </c>
      <c r="BA1191" s="315">
        <v>0.0</v>
      </c>
      <c r="BB1191" s="316">
        <v>242.0</v>
      </c>
      <c r="BC1191" s="132" t="s">
        <v>178</v>
      </c>
      <c r="BD1191" s="132" t="s">
        <v>178</v>
      </c>
      <c r="BE1191" s="132" t="s">
        <v>178</v>
      </c>
      <c r="BF1191" s="123"/>
      <c r="BG1191" s="83">
        <v>1178113.0</v>
      </c>
      <c r="BH1191" s="112">
        <v>6.0</v>
      </c>
      <c r="BI1191" s="98" t="s">
        <v>155</v>
      </c>
      <c r="BJ1191" s="98" t="str">
        <f t="shared" si="1"/>
        <v>INTEGRAL</v>
      </c>
      <c r="BK1191" s="98" t="str">
        <f t="shared" si="2"/>
        <v>NÃO</v>
      </c>
    </row>
    <row r="1192" ht="15.75" customHeight="1">
      <c r="A1192" s="111" t="s">
        <v>1393</v>
      </c>
      <c r="B1192" s="83" t="s">
        <v>6305</v>
      </c>
      <c r="C1192" s="83" t="s">
        <v>68</v>
      </c>
      <c r="D1192" s="83">
        <v>1129181.0</v>
      </c>
      <c r="E1192" s="83"/>
      <c r="F1192" s="83">
        <v>2.9250285E7</v>
      </c>
      <c r="G1192" s="114" t="s">
        <v>10971</v>
      </c>
      <c r="H1192" s="91" t="s">
        <v>10972</v>
      </c>
      <c r="I1192" s="114" t="s">
        <v>149</v>
      </c>
      <c r="J1192" s="83" t="s">
        <v>150</v>
      </c>
      <c r="K1192" s="83" t="s">
        <v>151</v>
      </c>
      <c r="L1192" s="83" t="s">
        <v>152</v>
      </c>
      <c r="M1192" s="82" t="s">
        <v>10973</v>
      </c>
      <c r="N1192" s="82" t="s">
        <v>10974</v>
      </c>
      <c r="O1192" s="82" t="s">
        <v>10975</v>
      </c>
      <c r="P1192" s="82"/>
      <c r="Q1192" s="82"/>
      <c r="R1192" s="82"/>
      <c r="S1192" s="82" t="s">
        <v>10976</v>
      </c>
      <c r="T1192" s="138">
        <v>12.0</v>
      </c>
      <c r="U1192" s="323">
        <v>12.0</v>
      </c>
      <c r="V1192" s="106">
        <v>0.0</v>
      </c>
      <c r="W1192" s="107">
        <v>0.0</v>
      </c>
      <c r="X1192" s="107">
        <v>0.0</v>
      </c>
      <c r="Y1192" s="107">
        <v>0.0</v>
      </c>
      <c r="Z1192" s="80">
        <v>0.0</v>
      </c>
      <c r="AA1192" s="140">
        <v>0.0</v>
      </c>
      <c r="AB1192" s="109">
        <v>0.0</v>
      </c>
      <c r="AC1192" s="109">
        <v>0.0</v>
      </c>
      <c r="AD1192" s="141">
        <v>0.0</v>
      </c>
      <c r="AE1192" s="80">
        <v>0.0</v>
      </c>
      <c r="AF1192" s="140">
        <v>0.0</v>
      </c>
      <c r="AG1192" s="109">
        <v>0.0</v>
      </c>
      <c r="AH1192" s="109">
        <v>0.0</v>
      </c>
      <c r="AI1192" s="141">
        <v>371.0</v>
      </c>
      <c r="AJ1192" s="80">
        <v>371.0</v>
      </c>
      <c r="AK1192" s="140">
        <v>0.0</v>
      </c>
      <c r="AL1192" s="109">
        <v>0.0</v>
      </c>
      <c r="AM1192" s="141">
        <v>0.0</v>
      </c>
      <c r="AN1192" s="80">
        <v>0.0</v>
      </c>
      <c r="AO1192" s="140">
        <v>0.0</v>
      </c>
      <c r="AP1192" s="109">
        <v>0.0</v>
      </c>
      <c r="AQ1192" s="109">
        <v>79.0</v>
      </c>
      <c r="AR1192" s="80">
        <v>79.0</v>
      </c>
      <c r="AS1192" s="110">
        <v>0.0</v>
      </c>
      <c r="AT1192" s="110">
        <v>0.0</v>
      </c>
      <c r="AU1192" s="110">
        <v>0.0</v>
      </c>
      <c r="AV1192" s="142">
        <v>0.0</v>
      </c>
      <c r="AW1192" s="80">
        <v>0.0</v>
      </c>
      <c r="AX1192" s="113">
        <v>450.0</v>
      </c>
      <c r="AY1192" s="117">
        <v>371.0</v>
      </c>
      <c r="AZ1192" s="328">
        <v>79.0</v>
      </c>
      <c r="BA1192" s="315">
        <v>0.0</v>
      </c>
      <c r="BB1192" s="316">
        <v>450.0</v>
      </c>
      <c r="BC1192" s="132" t="s">
        <v>178</v>
      </c>
      <c r="BD1192" s="132" t="s">
        <v>178</v>
      </c>
      <c r="BE1192" s="132" t="s">
        <v>178</v>
      </c>
      <c r="BF1192" s="156"/>
      <c r="BG1192" s="83">
        <v>1129181.0</v>
      </c>
      <c r="BH1192" s="112">
        <v>12.0</v>
      </c>
      <c r="BI1192" s="98" t="s">
        <v>155</v>
      </c>
      <c r="BJ1192" s="98" t="str">
        <f t="shared" si="1"/>
        <v>INTEGRAL</v>
      </c>
      <c r="BK1192" s="98" t="str">
        <f t="shared" si="2"/>
        <v>NÃO</v>
      </c>
    </row>
    <row r="1193" ht="15.75" customHeight="1">
      <c r="A1193" s="111" t="s">
        <v>1393</v>
      </c>
      <c r="B1193" s="83" t="s">
        <v>6313</v>
      </c>
      <c r="C1193" s="83" t="s">
        <v>68</v>
      </c>
      <c r="D1193" s="83">
        <v>1156634.0</v>
      </c>
      <c r="E1193" s="83"/>
      <c r="F1193" s="83">
        <v>2.9261953E7</v>
      </c>
      <c r="G1193" s="114" t="s">
        <v>10977</v>
      </c>
      <c r="H1193" s="91" t="s">
        <v>6321</v>
      </c>
      <c r="I1193" s="114" t="s">
        <v>149</v>
      </c>
      <c r="J1193" s="83" t="s">
        <v>150</v>
      </c>
      <c r="K1193" s="83" t="s">
        <v>151</v>
      </c>
      <c r="L1193" s="83" t="s">
        <v>169</v>
      </c>
      <c r="M1193" s="82" t="s">
        <v>10978</v>
      </c>
      <c r="N1193" s="82" t="s">
        <v>10979</v>
      </c>
      <c r="O1193" s="82" t="s">
        <v>10980</v>
      </c>
      <c r="P1193" s="82" t="s">
        <v>10981</v>
      </c>
      <c r="Q1193" s="82"/>
      <c r="R1193" s="82"/>
      <c r="S1193" s="82" t="s">
        <v>10982</v>
      </c>
      <c r="T1193" s="138">
        <v>5.0</v>
      </c>
      <c r="U1193" s="331">
        <v>5.0</v>
      </c>
      <c r="V1193" s="106">
        <v>0.0</v>
      </c>
      <c r="W1193" s="107">
        <v>0.0</v>
      </c>
      <c r="X1193" s="107">
        <v>0.0</v>
      </c>
      <c r="Y1193" s="107">
        <v>0.0</v>
      </c>
      <c r="Z1193" s="80">
        <v>0.0</v>
      </c>
      <c r="AA1193" s="140">
        <v>0.0</v>
      </c>
      <c r="AB1193" s="109">
        <v>0.0</v>
      </c>
      <c r="AC1193" s="109">
        <v>0.0</v>
      </c>
      <c r="AD1193" s="141">
        <v>0.0</v>
      </c>
      <c r="AE1193" s="80">
        <v>0.0</v>
      </c>
      <c r="AF1193" s="140">
        <v>120.0</v>
      </c>
      <c r="AG1193" s="109">
        <v>130.0</v>
      </c>
      <c r="AH1193" s="109">
        <v>0.0</v>
      </c>
      <c r="AI1193" s="141">
        <v>30.0</v>
      </c>
      <c r="AJ1193" s="80">
        <v>280.0</v>
      </c>
      <c r="AK1193" s="140">
        <v>0.0</v>
      </c>
      <c r="AL1193" s="109">
        <v>0.0</v>
      </c>
      <c r="AM1193" s="141">
        <v>0.0</v>
      </c>
      <c r="AN1193" s="80">
        <v>0.0</v>
      </c>
      <c r="AO1193" s="140">
        <v>0.0</v>
      </c>
      <c r="AP1193" s="109">
        <v>0.0</v>
      </c>
      <c r="AQ1193" s="109">
        <v>82.0</v>
      </c>
      <c r="AR1193" s="80">
        <v>82.0</v>
      </c>
      <c r="AS1193" s="110">
        <v>0.0</v>
      </c>
      <c r="AT1193" s="110">
        <v>0.0</v>
      </c>
      <c r="AU1193" s="110">
        <v>0.0</v>
      </c>
      <c r="AV1193" s="142">
        <v>0.0</v>
      </c>
      <c r="AW1193" s="80">
        <v>0.0</v>
      </c>
      <c r="AX1193" s="113">
        <v>362.0</v>
      </c>
      <c r="AY1193" s="117">
        <v>280.0</v>
      </c>
      <c r="AZ1193" s="328">
        <v>82.0</v>
      </c>
      <c r="BA1193" s="315">
        <v>0.0</v>
      </c>
      <c r="BB1193" s="316">
        <v>362.0</v>
      </c>
      <c r="BC1193" s="132" t="s">
        <v>178</v>
      </c>
      <c r="BD1193" s="132" t="s">
        <v>178</v>
      </c>
      <c r="BE1193" s="132" t="s">
        <v>178</v>
      </c>
      <c r="BF1193" s="156"/>
      <c r="BG1193" s="83">
        <v>1156634.0</v>
      </c>
      <c r="BH1193" s="112">
        <v>5.0</v>
      </c>
      <c r="BI1193" s="98" t="s">
        <v>155</v>
      </c>
      <c r="BJ1193" s="98" t="str">
        <f t="shared" si="1"/>
        <v>INTEGRAL</v>
      </c>
      <c r="BK1193" s="98" t="str">
        <f t="shared" si="2"/>
        <v>NÃO</v>
      </c>
    </row>
    <row r="1194" ht="15.75" customHeight="1">
      <c r="A1194" s="111" t="s">
        <v>1393</v>
      </c>
      <c r="B1194" s="136" t="s">
        <v>6313</v>
      </c>
      <c r="C1194" s="83" t="s">
        <v>164</v>
      </c>
      <c r="D1194" s="83">
        <v>1179285.0</v>
      </c>
      <c r="E1194" s="83">
        <v>1178769.0</v>
      </c>
      <c r="F1194" s="83"/>
      <c r="G1194" s="187" t="s">
        <v>6324</v>
      </c>
      <c r="H1194" s="91" t="s">
        <v>6325</v>
      </c>
      <c r="I1194" s="187" t="s">
        <v>149</v>
      </c>
      <c r="J1194" s="136" t="s">
        <v>6326</v>
      </c>
      <c r="K1194" s="136" t="s">
        <v>168</v>
      </c>
      <c r="L1194" s="136" t="s">
        <v>169</v>
      </c>
      <c r="M1194" s="82" t="s">
        <v>10833</v>
      </c>
      <c r="N1194" s="82" t="s">
        <v>10834</v>
      </c>
      <c r="O1194" s="82" t="s">
        <v>10835</v>
      </c>
      <c r="P1194" s="82" t="s">
        <v>10836</v>
      </c>
      <c r="Q1194" s="82"/>
      <c r="R1194" s="82"/>
      <c r="S1194" s="82" t="s">
        <v>10837</v>
      </c>
      <c r="T1194" s="138">
        <v>3.0</v>
      </c>
      <c r="U1194" s="323">
        <v>3.0</v>
      </c>
      <c r="V1194" s="106">
        <v>0.0</v>
      </c>
      <c r="W1194" s="107">
        <v>0.0</v>
      </c>
      <c r="X1194" s="107">
        <v>0.0</v>
      </c>
      <c r="Y1194" s="107">
        <v>0.0</v>
      </c>
      <c r="Z1194" s="80">
        <v>0.0</v>
      </c>
      <c r="AA1194" s="140">
        <v>0.0</v>
      </c>
      <c r="AB1194" s="109">
        <v>0.0</v>
      </c>
      <c r="AC1194" s="109">
        <v>0.0</v>
      </c>
      <c r="AD1194" s="141">
        <v>0.0</v>
      </c>
      <c r="AE1194" s="80">
        <v>0.0</v>
      </c>
      <c r="AF1194" s="140">
        <v>0.0</v>
      </c>
      <c r="AG1194" s="109">
        <v>0.0</v>
      </c>
      <c r="AH1194" s="109">
        <v>6.0</v>
      </c>
      <c r="AI1194" s="141">
        <v>0.0</v>
      </c>
      <c r="AJ1194" s="80">
        <v>6.0</v>
      </c>
      <c r="AK1194" s="140">
        <v>0.0</v>
      </c>
      <c r="AL1194" s="109">
        <v>0.0</v>
      </c>
      <c r="AM1194" s="141">
        <v>0.0</v>
      </c>
      <c r="AN1194" s="80">
        <v>0.0</v>
      </c>
      <c r="AO1194" s="140">
        <v>0.0</v>
      </c>
      <c r="AP1194" s="109">
        <v>0.0</v>
      </c>
      <c r="AQ1194" s="109">
        <v>0.0</v>
      </c>
      <c r="AR1194" s="80">
        <v>0.0</v>
      </c>
      <c r="AS1194" s="110">
        <v>0.0</v>
      </c>
      <c r="AT1194" s="110">
        <v>0.0</v>
      </c>
      <c r="AU1194" s="110">
        <v>0.0</v>
      </c>
      <c r="AV1194" s="142">
        <v>0.0</v>
      </c>
      <c r="AW1194" s="80">
        <v>0.0</v>
      </c>
      <c r="AX1194" s="113">
        <v>6.0</v>
      </c>
      <c r="AY1194" s="117">
        <v>0.0</v>
      </c>
      <c r="AZ1194" s="328">
        <v>6.0</v>
      </c>
      <c r="BA1194" s="315">
        <v>0.0</v>
      </c>
      <c r="BB1194" s="316">
        <v>6.0</v>
      </c>
      <c r="BC1194" s="132" t="s">
        <v>373</v>
      </c>
      <c r="BD1194" s="143" t="s">
        <v>227</v>
      </c>
      <c r="BE1194" s="132" t="s">
        <v>178</v>
      </c>
      <c r="BF1194" s="123"/>
      <c r="BG1194" s="83">
        <v>1178769.0</v>
      </c>
      <c r="BH1194" s="112">
        <v>3.0</v>
      </c>
      <c r="BI1194" s="98" t="s">
        <v>155</v>
      </c>
      <c r="BJ1194" s="98" t="str">
        <f t="shared" si="1"/>
        <v>NÃO</v>
      </c>
      <c r="BK1194" s="98" t="str">
        <f t="shared" si="2"/>
        <v>NÃO</v>
      </c>
    </row>
    <row r="1195" ht="15.75" customHeight="1">
      <c r="A1195" s="111" t="s">
        <v>1393</v>
      </c>
      <c r="B1195" s="83" t="s">
        <v>2352</v>
      </c>
      <c r="C1195" s="83" t="s">
        <v>68</v>
      </c>
      <c r="D1195" s="83">
        <v>1124996.0</v>
      </c>
      <c r="E1195" s="83"/>
      <c r="F1195" s="83">
        <v>2.9275474E7</v>
      </c>
      <c r="G1195" s="119" t="s">
        <v>6327</v>
      </c>
      <c r="H1195" s="91" t="s">
        <v>6328</v>
      </c>
      <c r="I1195" s="114" t="s">
        <v>6329</v>
      </c>
      <c r="J1195" s="83" t="s">
        <v>150</v>
      </c>
      <c r="K1195" s="83" t="s">
        <v>151</v>
      </c>
      <c r="L1195" s="83" t="s">
        <v>152</v>
      </c>
      <c r="M1195" s="82" t="s">
        <v>10984</v>
      </c>
      <c r="N1195" s="82" t="s">
        <v>10985</v>
      </c>
      <c r="O1195" s="82" t="s">
        <v>10986</v>
      </c>
      <c r="P1195" s="82" t="s">
        <v>10987</v>
      </c>
      <c r="Q1195" s="82"/>
      <c r="R1195" s="82"/>
      <c r="S1195" s="82" t="s">
        <v>10988</v>
      </c>
      <c r="T1195" s="138">
        <v>11.0</v>
      </c>
      <c r="U1195" s="341" t="s">
        <v>10989</v>
      </c>
      <c r="V1195" s="106">
        <v>0.0</v>
      </c>
      <c r="W1195" s="107">
        <v>0.0</v>
      </c>
      <c r="X1195" s="107">
        <v>0.0</v>
      </c>
      <c r="Y1195" s="107">
        <v>0.0</v>
      </c>
      <c r="Z1195" s="80">
        <v>0.0</v>
      </c>
      <c r="AA1195" s="140">
        <v>0.0</v>
      </c>
      <c r="AB1195" s="109">
        <v>0.0</v>
      </c>
      <c r="AC1195" s="109">
        <v>0.0</v>
      </c>
      <c r="AD1195" s="141">
        <v>0.0</v>
      </c>
      <c r="AE1195" s="80">
        <v>0.0</v>
      </c>
      <c r="AF1195" s="140">
        <v>222.0</v>
      </c>
      <c r="AG1195" s="109">
        <v>229.0</v>
      </c>
      <c r="AH1195" s="109">
        <v>0.0</v>
      </c>
      <c r="AI1195" s="141">
        <v>269.0</v>
      </c>
      <c r="AJ1195" s="80">
        <v>720.0</v>
      </c>
      <c r="AK1195" s="140">
        <v>0.0</v>
      </c>
      <c r="AL1195" s="109">
        <v>0.0</v>
      </c>
      <c r="AM1195" s="141">
        <v>0.0</v>
      </c>
      <c r="AN1195" s="80">
        <v>0.0</v>
      </c>
      <c r="AO1195" s="140">
        <v>0.0</v>
      </c>
      <c r="AP1195" s="109">
        <v>0.0</v>
      </c>
      <c r="AQ1195" s="109">
        <v>107.0</v>
      </c>
      <c r="AR1195" s="80">
        <v>107.0</v>
      </c>
      <c r="AS1195" s="110">
        <v>0.0</v>
      </c>
      <c r="AT1195" s="110">
        <v>0.0</v>
      </c>
      <c r="AU1195" s="110">
        <v>0.0</v>
      </c>
      <c r="AV1195" s="142">
        <v>0.0</v>
      </c>
      <c r="AW1195" s="80">
        <v>0.0</v>
      </c>
      <c r="AX1195" s="113">
        <v>827.0</v>
      </c>
      <c r="AY1195" s="117">
        <v>720.0</v>
      </c>
      <c r="AZ1195" s="328">
        <v>107.0</v>
      </c>
      <c r="BA1195" s="315">
        <v>5.0</v>
      </c>
      <c r="BB1195" s="316">
        <v>832.0</v>
      </c>
      <c r="BC1195" s="132" t="s">
        <v>178</v>
      </c>
      <c r="BD1195" s="132" t="s">
        <v>178</v>
      </c>
      <c r="BE1195" s="132" t="s">
        <v>178</v>
      </c>
      <c r="BF1195" s="123"/>
      <c r="BG1195" s="83">
        <v>1124996.0</v>
      </c>
      <c r="BH1195" s="112">
        <v>9.0</v>
      </c>
      <c r="BI1195" s="98" t="s">
        <v>155</v>
      </c>
      <c r="BJ1195" s="98" t="str">
        <f t="shared" si="1"/>
        <v>INTEGRAL</v>
      </c>
      <c r="BK1195" s="98" t="str">
        <f t="shared" si="2"/>
        <v>NÃO</v>
      </c>
    </row>
    <row r="1196" ht="15.75" customHeight="1">
      <c r="A1196" s="111" t="s">
        <v>1393</v>
      </c>
      <c r="B1196" s="83" t="s">
        <v>2352</v>
      </c>
      <c r="C1196" s="83" t="s">
        <v>164</v>
      </c>
      <c r="D1196" s="83">
        <v>1124996.0</v>
      </c>
      <c r="E1196" s="83">
        <v>1179449.0</v>
      </c>
      <c r="F1196" s="83"/>
      <c r="G1196" s="114" t="s">
        <v>10990</v>
      </c>
      <c r="H1196" s="91" t="s">
        <v>10991</v>
      </c>
      <c r="I1196" s="114" t="s">
        <v>10992</v>
      </c>
      <c r="J1196" s="83" t="s">
        <v>694</v>
      </c>
      <c r="K1196" s="83" t="s">
        <v>168</v>
      </c>
      <c r="L1196" s="83" t="s">
        <v>169</v>
      </c>
      <c r="M1196" s="82" t="s">
        <v>10984</v>
      </c>
      <c r="N1196" s="82" t="s">
        <v>10985</v>
      </c>
      <c r="O1196" s="82" t="s">
        <v>10986</v>
      </c>
      <c r="P1196" s="82" t="s">
        <v>10987</v>
      </c>
      <c r="Q1196" s="82"/>
      <c r="R1196" s="82"/>
      <c r="S1196" s="82" t="s">
        <v>10988</v>
      </c>
      <c r="T1196" s="138">
        <v>4.0</v>
      </c>
      <c r="U1196" s="323">
        <v>3.0</v>
      </c>
      <c r="V1196" s="106">
        <v>0.0</v>
      </c>
      <c r="W1196" s="107">
        <v>0.0</v>
      </c>
      <c r="X1196" s="107">
        <v>0.0</v>
      </c>
      <c r="Y1196" s="107">
        <v>0.0</v>
      </c>
      <c r="Z1196" s="80">
        <v>0.0</v>
      </c>
      <c r="AA1196" s="140">
        <v>0.0</v>
      </c>
      <c r="AB1196" s="109">
        <v>0.0</v>
      </c>
      <c r="AC1196" s="109">
        <v>0.0</v>
      </c>
      <c r="AD1196" s="141">
        <v>0.0</v>
      </c>
      <c r="AE1196" s="80">
        <v>0.0</v>
      </c>
      <c r="AF1196" s="140">
        <v>0.0</v>
      </c>
      <c r="AG1196" s="109">
        <v>73.0</v>
      </c>
      <c r="AH1196" s="109">
        <v>0.0</v>
      </c>
      <c r="AI1196" s="141">
        <v>0.0</v>
      </c>
      <c r="AJ1196" s="80">
        <v>73.0</v>
      </c>
      <c r="AK1196" s="140">
        <v>0.0</v>
      </c>
      <c r="AL1196" s="109">
        <v>0.0</v>
      </c>
      <c r="AM1196" s="141">
        <v>0.0</v>
      </c>
      <c r="AN1196" s="80">
        <v>0.0</v>
      </c>
      <c r="AO1196" s="140">
        <v>0.0</v>
      </c>
      <c r="AP1196" s="109">
        <v>0.0</v>
      </c>
      <c r="AQ1196" s="109">
        <v>29.0</v>
      </c>
      <c r="AR1196" s="80">
        <v>29.0</v>
      </c>
      <c r="AS1196" s="110">
        <v>0.0</v>
      </c>
      <c r="AT1196" s="110">
        <v>0.0</v>
      </c>
      <c r="AU1196" s="110">
        <v>0.0</v>
      </c>
      <c r="AV1196" s="142">
        <v>0.0</v>
      </c>
      <c r="AW1196" s="80">
        <v>0.0</v>
      </c>
      <c r="AX1196" s="113">
        <v>102.0</v>
      </c>
      <c r="AY1196" s="117">
        <v>73.0</v>
      </c>
      <c r="AZ1196" s="328">
        <v>29.0</v>
      </c>
      <c r="BA1196" s="315">
        <v>0.0</v>
      </c>
      <c r="BB1196" s="316">
        <v>102.0</v>
      </c>
      <c r="BC1196" s="132" t="s">
        <v>373</v>
      </c>
      <c r="BD1196" s="132" t="s">
        <v>178</v>
      </c>
      <c r="BE1196" s="132" t="s">
        <v>178</v>
      </c>
      <c r="BF1196" s="156"/>
      <c r="BG1196" s="83">
        <v>1179449.0</v>
      </c>
      <c r="BH1196" s="112">
        <v>3.0</v>
      </c>
      <c r="BI1196" s="98" t="s">
        <v>155</v>
      </c>
      <c r="BJ1196" s="98" t="str">
        <f t="shared" si="1"/>
        <v>NÃO</v>
      </c>
      <c r="BK1196" s="98" t="str">
        <f t="shared" si="2"/>
        <v>NÃO</v>
      </c>
    </row>
    <row r="1197" ht="15.75" customHeight="1">
      <c r="A1197" s="111" t="s">
        <v>1393</v>
      </c>
      <c r="B1197" s="83" t="s">
        <v>2352</v>
      </c>
      <c r="C1197" s="83" t="s">
        <v>164</v>
      </c>
      <c r="D1197" s="83">
        <v>1124996.0</v>
      </c>
      <c r="E1197" s="83">
        <v>1179450.0</v>
      </c>
      <c r="F1197" s="83"/>
      <c r="G1197" s="114" t="s">
        <v>10993</v>
      </c>
      <c r="H1197" s="91" t="s">
        <v>6334</v>
      </c>
      <c r="I1197" s="114" t="s">
        <v>6335</v>
      </c>
      <c r="J1197" s="83" t="s">
        <v>6336</v>
      </c>
      <c r="K1197" s="83" t="s">
        <v>168</v>
      </c>
      <c r="L1197" s="83" t="s">
        <v>169</v>
      </c>
      <c r="M1197" s="82" t="s">
        <v>10984</v>
      </c>
      <c r="N1197" s="82" t="s">
        <v>10985</v>
      </c>
      <c r="O1197" s="82" t="s">
        <v>10986</v>
      </c>
      <c r="P1197" s="82" t="s">
        <v>10987</v>
      </c>
      <c r="Q1197" s="82"/>
      <c r="R1197" s="82"/>
      <c r="S1197" s="82" t="s">
        <v>10988</v>
      </c>
      <c r="T1197" s="138">
        <v>3.0</v>
      </c>
      <c r="U1197" s="323">
        <v>3.0</v>
      </c>
      <c r="V1197" s="106">
        <v>0.0</v>
      </c>
      <c r="W1197" s="107">
        <v>0.0</v>
      </c>
      <c r="X1197" s="107">
        <v>0.0</v>
      </c>
      <c r="Y1197" s="107">
        <v>0.0</v>
      </c>
      <c r="Z1197" s="80">
        <v>0.0</v>
      </c>
      <c r="AA1197" s="140">
        <v>0.0</v>
      </c>
      <c r="AB1197" s="109">
        <v>0.0</v>
      </c>
      <c r="AC1197" s="109">
        <v>0.0</v>
      </c>
      <c r="AD1197" s="141">
        <v>0.0</v>
      </c>
      <c r="AE1197" s="80">
        <v>0.0</v>
      </c>
      <c r="AF1197" s="140">
        <v>0.0</v>
      </c>
      <c r="AG1197" s="109">
        <v>66.0</v>
      </c>
      <c r="AH1197" s="109">
        <v>0.0</v>
      </c>
      <c r="AI1197" s="141">
        <v>0.0</v>
      </c>
      <c r="AJ1197" s="80">
        <v>66.0</v>
      </c>
      <c r="AK1197" s="140">
        <v>0.0</v>
      </c>
      <c r="AL1197" s="109">
        <v>0.0</v>
      </c>
      <c r="AM1197" s="141">
        <v>0.0</v>
      </c>
      <c r="AN1197" s="80">
        <v>0.0</v>
      </c>
      <c r="AO1197" s="140">
        <v>0.0</v>
      </c>
      <c r="AP1197" s="109">
        <v>0.0</v>
      </c>
      <c r="AQ1197" s="109">
        <v>24.0</v>
      </c>
      <c r="AR1197" s="80">
        <v>24.0</v>
      </c>
      <c r="AS1197" s="110">
        <v>0.0</v>
      </c>
      <c r="AT1197" s="110">
        <v>0.0</v>
      </c>
      <c r="AU1197" s="110">
        <v>0.0</v>
      </c>
      <c r="AV1197" s="142">
        <v>0.0</v>
      </c>
      <c r="AW1197" s="80">
        <v>0.0</v>
      </c>
      <c r="AX1197" s="113">
        <v>90.0</v>
      </c>
      <c r="AY1197" s="117">
        <v>66.0</v>
      </c>
      <c r="AZ1197" s="328">
        <v>24.0</v>
      </c>
      <c r="BA1197" s="315">
        <v>0.0</v>
      </c>
      <c r="BB1197" s="316">
        <v>90.0</v>
      </c>
      <c r="BC1197" s="132" t="s">
        <v>373</v>
      </c>
      <c r="BD1197" s="132" t="s">
        <v>178</v>
      </c>
      <c r="BE1197" s="132" t="s">
        <v>178</v>
      </c>
      <c r="BF1197" s="123"/>
      <c r="BG1197" s="83">
        <v>1179450.0</v>
      </c>
      <c r="BH1197" s="112">
        <v>3.0</v>
      </c>
      <c r="BI1197" s="98" t="s">
        <v>155</v>
      </c>
      <c r="BJ1197" s="98" t="str">
        <f t="shared" si="1"/>
        <v>NÃO</v>
      </c>
      <c r="BK1197" s="98" t="str">
        <f t="shared" si="2"/>
        <v>NÃO</v>
      </c>
    </row>
    <row r="1198" ht="15.75" customHeight="1">
      <c r="A1198" s="111" t="s">
        <v>1393</v>
      </c>
      <c r="B1198" s="83" t="s">
        <v>2245</v>
      </c>
      <c r="C1198" s="83" t="s">
        <v>68</v>
      </c>
      <c r="D1198" s="83">
        <v>1125062.0</v>
      </c>
      <c r="E1198" s="83"/>
      <c r="F1198" s="83">
        <v>2.927723E7</v>
      </c>
      <c r="G1198" s="185" t="s">
        <v>10994</v>
      </c>
      <c r="H1198" s="91" t="s">
        <v>6342</v>
      </c>
      <c r="I1198" s="298" t="s">
        <v>4065</v>
      </c>
      <c r="J1198" s="83" t="s">
        <v>150</v>
      </c>
      <c r="K1198" s="83" t="s">
        <v>151</v>
      </c>
      <c r="L1198" s="83" t="s">
        <v>152</v>
      </c>
      <c r="M1198" s="82" t="s">
        <v>10995</v>
      </c>
      <c r="N1198" s="82" t="s">
        <v>10996</v>
      </c>
      <c r="O1198" s="82" t="s">
        <v>10997</v>
      </c>
      <c r="P1198" s="82" t="s">
        <v>10998</v>
      </c>
      <c r="Q1198" s="82" t="s">
        <v>10999</v>
      </c>
      <c r="R1198" s="82" t="s">
        <v>11000</v>
      </c>
      <c r="S1198" s="82" t="s">
        <v>11001</v>
      </c>
      <c r="T1198" s="138">
        <v>7.0</v>
      </c>
      <c r="U1198" s="514">
        <v>7.0</v>
      </c>
      <c r="V1198" s="106">
        <v>0.0</v>
      </c>
      <c r="W1198" s="107">
        <v>0.0</v>
      </c>
      <c r="X1198" s="107">
        <v>0.0</v>
      </c>
      <c r="Y1198" s="107">
        <v>0.0</v>
      </c>
      <c r="Z1198" s="80">
        <v>0.0</v>
      </c>
      <c r="AA1198" s="140">
        <v>0.0</v>
      </c>
      <c r="AB1198" s="109">
        <v>0.0</v>
      </c>
      <c r="AC1198" s="109">
        <v>0.0</v>
      </c>
      <c r="AD1198" s="141">
        <v>0.0</v>
      </c>
      <c r="AE1198" s="80">
        <v>0.0</v>
      </c>
      <c r="AF1198" s="140">
        <v>80.0</v>
      </c>
      <c r="AG1198" s="109">
        <v>74.0</v>
      </c>
      <c r="AH1198" s="109">
        <v>0.0</v>
      </c>
      <c r="AI1198" s="141">
        <v>196.0</v>
      </c>
      <c r="AJ1198" s="80">
        <v>350.0</v>
      </c>
      <c r="AK1198" s="140">
        <v>0.0</v>
      </c>
      <c r="AL1198" s="109">
        <v>0.0</v>
      </c>
      <c r="AM1198" s="141">
        <v>0.0</v>
      </c>
      <c r="AN1198" s="80">
        <v>0.0</v>
      </c>
      <c r="AO1198" s="140">
        <v>0.0</v>
      </c>
      <c r="AP1198" s="109">
        <v>0.0</v>
      </c>
      <c r="AQ1198" s="109">
        <v>214.0</v>
      </c>
      <c r="AR1198" s="80">
        <v>214.0</v>
      </c>
      <c r="AS1198" s="110">
        <v>0.0</v>
      </c>
      <c r="AT1198" s="110">
        <v>0.0</v>
      </c>
      <c r="AU1198" s="110">
        <v>0.0</v>
      </c>
      <c r="AV1198" s="142">
        <v>0.0</v>
      </c>
      <c r="AW1198" s="80">
        <v>0.0</v>
      </c>
      <c r="AX1198" s="113">
        <v>564.0</v>
      </c>
      <c r="AY1198" s="117">
        <v>350.0</v>
      </c>
      <c r="AZ1198" s="328">
        <v>214.0</v>
      </c>
      <c r="BA1198" s="315">
        <v>0.0</v>
      </c>
      <c r="BB1198" s="316">
        <v>564.0</v>
      </c>
      <c r="BC1198" s="132" t="s">
        <v>178</v>
      </c>
      <c r="BD1198" s="132" t="s">
        <v>178</v>
      </c>
      <c r="BE1198" s="132" t="s">
        <v>178</v>
      </c>
      <c r="BF1198" s="123"/>
      <c r="BG1198" s="83">
        <v>1125062.0</v>
      </c>
      <c r="BH1198" s="112">
        <v>7.0</v>
      </c>
      <c r="BI1198" s="98" t="s">
        <v>155</v>
      </c>
      <c r="BJ1198" s="98" t="str">
        <f t="shared" si="1"/>
        <v>INTEGRAL</v>
      </c>
      <c r="BK1198" s="98" t="str">
        <f t="shared" si="2"/>
        <v>NÃO</v>
      </c>
    </row>
    <row r="1199" ht="15.75" customHeight="1">
      <c r="A1199" s="111" t="s">
        <v>1393</v>
      </c>
      <c r="B1199" s="83" t="s">
        <v>2245</v>
      </c>
      <c r="C1199" s="83" t="s">
        <v>68</v>
      </c>
      <c r="D1199" s="83">
        <v>1125186.0</v>
      </c>
      <c r="E1199" s="83"/>
      <c r="F1199" s="83">
        <v>2.9276411E7</v>
      </c>
      <c r="G1199" s="184" t="s">
        <v>11002</v>
      </c>
      <c r="H1199" s="91" t="s">
        <v>6338</v>
      </c>
      <c r="I1199" s="187" t="s">
        <v>6339</v>
      </c>
      <c r="J1199" s="136" t="s">
        <v>150</v>
      </c>
      <c r="K1199" s="136" t="s">
        <v>151</v>
      </c>
      <c r="L1199" s="83" t="s">
        <v>230</v>
      </c>
      <c r="M1199" s="82" t="s">
        <v>11003</v>
      </c>
      <c r="N1199" s="82" t="s">
        <v>11004</v>
      </c>
      <c r="O1199" s="82" t="s">
        <v>11005</v>
      </c>
      <c r="P1199" s="82" t="s">
        <v>11006</v>
      </c>
      <c r="Q1199" s="82"/>
      <c r="R1199" s="82"/>
      <c r="S1199" s="82" t="s">
        <v>11007</v>
      </c>
      <c r="T1199" s="138">
        <v>13.0</v>
      </c>
      <c r="U1199" s="352">
        <v>24.0</v>
      </c>
      <c r="V1199" s="106">
        <v>0.0</v>
      </c>
      <c r="W1199" s="107">
        <v>0.0</v>
      </c>
      <c r="X1199" s="107">
        <v>0.0</v>
      </c>
      <c r="Y1199" s="107">
        <v>0.0</v>
      </c>
      <c r="Z1199" s="80">
        <v>0.0</v>
      </c>
      <c r="AA1199" s="140">
        <v>0.0</v>
      </c>
      <c r="AB1199" s="109">
        <v>0.0</v>
      </c>
      <c r="AC1199" s="109">
        <v>0.0</v>
      </c>
      <c r="AD1199" s="141">
        <v>0.0</v>
      </c>
      <c r="AE1199" s="80">
        <v>0.0</v>
      </c>
      <c r="AF1199" s="140">
        <v>282.0</v>
      </c>
      <c r="AG1199" s="109">
        <v>233.0</v>
      </c>
      <c r="AH1199" s="109">
        <v>80.0</v>
      </c>
      <c r="AI1199" s="141">
        <v>611.0</v>
      </c>
      <c r="AJ1199" s="80">
        <v>1206.0</v>
      </c>
      <c r="AK1199" s="140">
        <v>0.0</v>
      </c>
      <c r="AL1199" s="109">
        <v>0.0</v>
      </c>
      <c r="AM1199" s="141">
        <v>0.0</v>
      </c>
      <c r="AN1199" s="80">
        <v>0.0</v>
      </c>
      <c r="AO1199" s="140">
        <v>0.0</v>
      </c>
      <c r="AP1199" s="109">
        <v>0.0</v>
      </c>
      <c r="AQ1199" s="109">
        <v>374.0</v>
      </c>
      <c r="AR1199" s="80">
        <v>374.0</v>
      </c>
      <c r="AS1199" s="110">
        <v>0.0</v>
      </c>
      <c r="AT1199" s="110">
        <v>0.0</v>
      </c>
      <c r="AU1199" s="110">
        <v>0.0</v>
      </c>
      <c r="AV1199" s="142">
        <v>0.0</v>
      </c>
      <c r="AW1199" s="80">
        <v>0.0</v>
      </c>
      <c r="AX1199" s="113">
        <v>1580.0</v>
      </c>
      <c r="AY1199" s="117">
        <v>1126.0</v>
      </c>
      <c r="AZ1199" s="328">
        <v>454.0</v>
      </c>
      <c r="BA1199" s="315">
        <v>0.0</v>
      </c>
      <c r="BB1199" s="316">
        <v>1580.0</v>
      </c>
      <c r="BC1199" s="132" t="s">
        <v>178</v>
      </c>
      <c r="BD1199" s="132" t="s">
        <v>178</v>
      </c>
      <c r="BE1199" s="132" t="s">
        <v>178</v>
      </c>
      <c r="BF1199" s="156"/>
      <c r="BG1199" s="83">
        <v>1125186.0</v>
      </c>
      <c r="BH1199" s="112">
        <v>13.0</v>
      </c>
      <c r="BI1199" s="98" t="s">
        <v>162</v>
      </c>
      <c r="BJ1199" s="98" t="str">
        <f t="shared" si="1"/>
        <v>INTEGRAL</v>
      </c>
      <c r="BK1199" s="98" t="str">
        <f t="shared" si="2"/>
        <v>NÃO</v>
      </c>
    </row>
    <row r="1200" ht="15.75" customHeight="1">
      <c r="A1200" s="111" t="s">
        <v>1393</v>
      </c>
      <c r="B1200" s="83" t="s">
        <v>2245</v>
      </c>
      <c r="C1200" s="83" t="s">
        <v>164</v>
      </c>
      <c r="D1200" s="83">
        <v>1179285.0</v>
      </c>
      <c r="E1200" s="83">
        <v>1179428.0</v>
      </c>
      <c r="F1200" s="83"/>
      <c r="G1200" s="185" t="s">
        <v>6344</v>
      </c>
      <c r="H1200" s="91" t="s">
        <v>6345</v>
      </c>
      <c r="I1200" s="298" t="s">
        <v>149</v>
      </c>
      <c r="J1200" s="83" t="s">
        <v>6346</v>
      </c>
      <c r="K1200" s="83" t="s">
        <v>168</v>
      </c>
      <c r="L1200" s="83" t="s">
        <v>169</v>
      </c>
      <c r="M1200" s="82" t="s">
        <v>10833</v>
      </c>
      <c r="N1200" s="82" t="s">
        <v>10834</v>
      </c>
      <c r="O1200" s="82" t="s">
        <v>10835</v>
      </c>
      <c r="P1200" s="82" t="s">
        <v>10836</v>
      </c>
      <c r="Q1200" s="82"/>
      <c r="R1200" s="82"/>
      <c r="S1200" s="82" t="s">
        <v>10837</v>
      </c>
      <c r="T1200" s="138">
        <v>3.0</v>
      </c>
      <c r="U1200" s="341">
        <v>3.0</v>
      </c>
      <c r="V1200" s="106">
        <v>0.0</v>
      </c>
      <c r="W1200" s="107">
        <v>0.0</v>
      </c>
      <c r="X1200" s="107">
        <v>0.0</v>
      </c>
      <c r="Y1200" s="107">
        <v>0.0</v>
      </c>
      <c r="Z1200" s="80">
        <v>0.0</v>
      </c>
      <c r="AA1200" s="140">
        <v>0.0</v>
      </c>
      <c r="AB1200" s="109">
        <v>0.0</v>
      </c>
      <c r="AC1200" s="109">
        <v>0.0</v>
      </c>
      <c r="AD1200" s="141">
        <v>0.0</v>
      </c>
      <c r="AE1200" s="80">
        <v>0.0</v>
      </c>
      <c r="AF1200" s="140">
        <v>0.0</v>
      </c>
      <c r="AG1200" s="109">
        <v>0.0</v>
      </c>
      <c r="AH1200" s="109">
        <v>28.0</v>
      </c>
      <c r="AI1200" s="141">
        <v>0.0</v>
      </c>
      <c r="AJ1200" s="80">
        <v>28.0</v>
      </c>
      <c r="AK1200" s="140">
        <v>0.0</v>
      </c>
      <c r="AL1200" s="109">
        <v>0.0</v>
      </c>
      <c r="AM1200" s="141">
        <v>0.0</v>
      </c>
      <c r="AN1200" s="80">
        <v>0.0</v>
      </c>
      <c r="AO1200" s="140">
        <v>0.0</v>
      </c>
      <c r="AP1200" s="109">
        <v>0.0</v>
      </c>
      <c r="AQ1200" s="109">
        <v>0.0</v>
      </c>
      <c r="AR1200" s="80">
        <v>0.0</v>
      </c>
      <c r="AS1200" s="110">
        <v>0.0</v>
      </c>
      <c r="AT1200" s="110">
        <v>0.0</v>
      </c>
      <c r="AU1200" s="110">
        <v>0.0</v>
      </c>
      <c r="AV1200" s="142">
        <v>0.0</v>
      </c>
      <c r="AW1200" s="80">
        <v>0.0</v>
      </c>
      <c r="AX1200" s="113">
        <v>28.0</v>
      </c>
      <c r="AY1200" s="117">
        <v>0.0</v>
      </c>
      <c r="AZ1200" s="328">
        <v>28.0</v>
      </c>
      <c r="BA1200" s="315">
        <v>0.0</v>
      </c>
      <c r="BB1200" s="316">
        <v>28.0</v>
      </c>
      <c r="BC1200" s="132" t="s">
        <v>178</v>
      </c>
      <c r="BD1200" s="143" t="s">
        <v>227</v>
      </c>
      <c r="BE1200" s="132" t="s">
        <v>178</v>
      </c>
      <c r="BF1200" s="156"/>
      <c r="BG1200" s="83">
        <v>1179428.0</v>
      </c>
      <c r="BH1200" s="112">
        <v>3.0</v>
      </c>
      <c r="BI1200" s="98" t="s">
        <v>155</v>
      </c>
      <c r="BJ1200" s="98" t="str">
        <f t="shared" si="1"/>
        <v>NÃO</v>
      </c>
      <c r="BK1200" s="98" t="str">
        <f t="shared" si="2"/>
        <v>NÃO</v>
      </c>
    </row>
    <row r="1201" ht="15.75" customHeight="1">
      <c r="A1201" s="111" t="s">
        <v>1393</v>
      </c>
      <c r="B1201" s="83" t="s">
        <v>2245</v>
      </c>
      <c r="C1201" s="83" t="s">
        <v>164</v>
      </c>
      <c r="D1201" s="83">
        <v>1179285.0</v>
      </c>
      <c r="E1201" s="83">
        <v>1179429.0</v>
      </c>
      <c r="F1201" s="83"/>
      <c r="G1201" s="185" t="s">
        <v>6347</v>
      </c>
      <c r="H1201" s="91" t="s">
        <v>6345</v>
      </c>
      <c r="I1201" s="187" t="s">
        <v>149</v>
      </c>
      <c r="J1201" s="136" t="s">
        <v>2752</v>
      </c>
      <c r="K1201" s="83" t="s">
        <v>168</v>
      </c>
      <c r="L1201" s="83" t="s">
        <v>169</v>
      </c>
      <c r="M1201" s="82" t="s">
        <v>10833</v>
      </c>
      <c r="N1201" s="82" t="s">
        <v>10834</v>
      </c>
      <c r="O1201" s="82" t="s">
        <v>10835</v>
      </c>
      <c r="P1201" s="82" t="s">
        <v>10836</v>
      </c>
      <c r="Q1201" s="82"/>
      <c r="R1201" s="82"/>
      <c r="S1201" s="82" t="s">
        <v>10837</v>
      </c>
      <c r="T1201" s="138">
        <v>3.0</v>
      </c>
      <c r="U1201" s="323">
        <v>3.0</v>
      </c>
      <c r="V1201" s="106">
        <v>0.0</v>
      </c>
      <c r="W1201" s="107">
        <v>0.0</v>
      </c>
      <c r="X1201" s="107">
        <v>0.0</v>
      </c>
      <c r="Y1201" s="107">
        <v>0.0</v>
      </c>
      <c r="Z1201" s="80">
        <v>0.0</v>
      </c>
      <c r="AA1201" s="140">
        <v>0.0</v>
      </c>
      <c r="AB1201" s="109">
        <v>0.0</v>
      </c>
      <c r="AC1201" s="109">
        <v>0.0</v>
      </c>
      <c r="AD1201" s="141">
        <v>0.0</v>
      </c>
      <c r="AE1201" s="80">
        <v>0.0</v>
      </c>
      <c r="AF1201" s="140">
        <v>0.0</v>
      </c>
      <c r="AG1201" s="109">
        <v>0.0</v>
      </c>
      <c r="AH1201" s="109">
        <v>42.0</v>
      </c>
      <c r="AI1201" s="141">
        <v>0.0</v>
      </c>
      <c r="AJ1201" s="80">
        <v>42.0</v>
      </c>
      <c r="AK1201" s="140">
        <v>0.0</v>
      </c>
      <c r="AL1201" s="109">
        <v>0.0</v>
      </c>
      <c r="AM1201" s="141">
        <v>0.0</v>
      </c>
      <c r="AN1201" s="80">
        <v>0.0</v>
      </c>
      <c r="AO1201" s="140">
        <v>0.0</v>
      </c>
      <c r="AP1201" s="109">
        <v>0.0</v>
      </c>
      <c r="AQ1201" s="109">
        <v>0.0</v>
      </c>
      <c r="AR1201" s="80">
        <v>0.0</v>
      </c>
      <c r="AS1201" s="110">
        <v>0.0</v>
      </c>
      <c r="AT1201" s="110">
        <v>0.0</v>
      </c>
      <c r="AU1201" s="110">
        <v>0.0</v>
      </c>
      <c r="AV1201" s="142">
        <v>0.0</v>
      </c>
      <c r="AW1201" s="80">
        <v>0.0</v>
      </c>
      <c r="AX1201" s="113">
        <v>42.0</v>
      </c>
      <c r="AY1201" s="117">
        <v>0.0</v>
      </c>
      <c r="AZ1201" s="328">
        <v>42.0</v>
      </c>
      <c r="BA1201" s="315">
        <v>0.0</v>
      </c>
      <c r="BB1201" s="316">
        <v>42.0</v>
      </c>
      <c r="BC1201" s="132" t="s">
        <v>178</v>
      </c>
      <c r="BD1201" s="143" t="s">
        <v>227</v>
      </c>
      <c r="BE1201" s="132" t="s">
        <v>178</v>
      </c>
      <c r="BF1201" s="123"/>
      <c r="BG1201" s="83">
        <v>1179429.0</v>
      </c>
      <c r="BH1201" s="112">
        <v>3.0</v>
      </c>
      <c r="BI1201" s="98" t="s">
        <v>155</v>
      </c>
      <c r="BJ1201" s="98" t="str">
        <f t="shared" si="1"/>
        <v>NÃO</v>
      </c>
      <c r="BK1201" s="98" t="str">
        <f t="shared" si="2"/>
        <v>NÃO</v>
      </c>
    </row>
    <row r="1202" ht="15.75" customHeight="1">
      <c r="A1202" s="111" t="s">
        <v>1393</v>
      </c>
      <c r="B1202" s="83" t="s">
        <v>2245</v>
      </c>
      <c r="C1202" s="83" t="s">
        <v>164</v>
      </c>
      <c r="D1202" s="83">
        <v>1179285.0</v>
      </c>
      <c r="E1202" s="83">
        <v>1178771.0</v>
      </c>
      <c r="F1202" s="83"/>
      <c r="G1202" s="185" t="s">
        <v>6348</v>
      </c>
      <c r="H1202" s="91" t="s">
        <v>6349</v>
      </c>
      <c r="I1202" s="187" t="s">
        <v>149</v>
      </c>
      <c r="J1202" s="136" t="s">
        <v>6350</v>
      </c>
      <c r="K1202" s="83" t="s">
        <v>168</v>
      </c>
      <c r="L1202" s="83" t="s">
        <v>169</v>
      </c>
      <c r="M1202" s="82" t="s">
        <v>10833</v>
      </c>
      <c r="N1202" s="82" t="s">
        <v>10834</v>
      </c>
      <c r="O1202" s="82" t="s">
        <v>10835</v>
      </c>
      <c r="P1202" s="82" t="s">
        <v>10836</v>
      </c>
      <c r="Q1202" s="82"/>
      <c r="R1202" s="82"/>
      <c r="S1202" s="82" t="s">
        <v>10837</v>
      </c>
      <c r="T1202" s="138">
        <v>3.0</v>
      </c>
      <c r="U1202" s="323">
        <v>3.0</v>
      </c>
      <c r="V1202" s="106">
        <v>0.0</v>
      </c>
      <c r="W1202" s="107">
        <v>0.0</v>
      </c>
      <c r="X1202" s="107">
        <v>0.0</v>
      </c>
      <c r="Y1202" s="107">
        <v>0.0</v>
      </c>
      <c r="Z1202" s="80">
        <v>0.0</v>
      </c>
      <c r="AA1202" s="140">
        <v>0.0</v>
      </c>
      <c r="AB1202" s="109">
        <v>0.0</v>
      </c>
      <c r="AC1202" s="109">
        <v>0.0</v>
      </c>
      <c r="AD1202" s="141">
        <v>0.0</v>
      </c>
      <c r="AE1202" s="80">
        <v>0.0</v>
      </c>
      <c r="AF1202" s="140">
        <v>0.0</v>
      </c>
      <c r="AG1202" s="109">
        <v>24.0</v>
      </c>
      <c r="AH1202" s="109">
        <v>0.0</v>
      </c>
      <c r="AI1202" s="141">
        <v>0.0</v>
      </c>
      <c r="AJ1202" s="80">
        <v>24.0</v>
      </c>
      <c r="AK1202" s="140">
        <v>0.0</v>
      </c>
      <c r="AL1202" s="109">
        <v>0.0</v>
      </c>
      <c r="AM1202" s="141">
        <v>0.0</v>
      </c>
      <c r="AN1202" s="80">
        <v>0.0</v>
      </c>
      <c r="AO1202" s="140">
        <v>0.0</v>
      </c>
      <c r="AP1202" s="109">
        <v>0.0</v>
      </c>
      <c r="AQ1202" s="109">
        <v>0.0</v>
      </c>
      <c r="AR1202" s="80">
        <v>0.0</v>
      </c>
      <c r="AS1202" s="110">
        <v>0.0</v>
      </c>
      <c r="AT1202" s="110">
        <v>0.0</v>
      </c>
      <c r="AU1202" s="110">
        <v>0.0</v>
      </c>
      <c r="AV1202" s="142">
        <v>0.0</v>
      </c>
      <c r="AW1202" s="80">
        <v>0.0</v>
      </c>
      <c r="AX1202" s="113">
        <v>24.0</v>
      </c>
      <c r="AY1202" s="117">
        <v>24.0</v>
      </c>
      <c r="AZ1202" s="328">
        <v>0.0</v>
      </c>
      <c r="BA1202" s="315">
        <v>0.0</v>
      </c>
      <c r="BB1202" s="316">
        <v>24.0</v>
      </c>
      <c r="BC1202" s="132" t="s">
        <v>178</v>
      </c>
      <c r="BD1202" s="143" t="s">
        <v>227</v>
      </c>
      <c r="BE1202" s="132" t="s">
        <v>178</v>
      </c>
      <c r="BF1202" s="123"/>
      <c r="BG1202" s="83">
        <v>1178771.0</v>
      </c>
      <c r="BH1202" s="112">
        <v>3.0</v>
      </c>
      <c r="BI1202" s="98" t="s">
        <v>155</v>
      </c>
      <c r="BJ1202" s="98" t="str">
        <f t="shared" si="1"/>
        <v>NÃO</v>
      </c>
      <c r="BK1202" s="98" t="str">
        <f t="shared" si="2"/>
        <v>NÃO</v>
      </c>
    </row>
    <row r="1203" ht="15.75" customHeight="1">
      <c r="A1203" s="111" t="s">
        <v>1393</v>
      </c>
      <c r="B1203" s="83" t="s">
        <v>6351</v>
      </c>
      <c r="C1203" s="83" t="s">
        <v>68</v>
      </c>
      <c r="D1203" s="83">
        <v>1178071.0</v>
      </c>
      <c r="E1203" s="83"/>
      <c r="F1203" s="83">
        <v>2.9428556E7</v>
      </c>
      <c r="G1203" s="185" t="s">
        <v>11008</v>
      </c>
      <c r="H1203" s="91" t="s">
        <v>6353</v>
      </c>
      <c r="I1203" s="187" t="s">
        <v>149</v>
      </c>
      <c r="J1203" s="136" t="s">
        <v>150</v>
      </c>
      <c r="K1203" s="83" t="s">
        <v>151</v>
      </c>
      <c r="L1203" s="83" t="s">
        <v>152</v>
      </c>
      <c r="M1203" s="82" t="s">
        <v>11009</v>
      </c>
      <c r="N1203" s="82" t="s">
        <v>11010</v>
      </c>
      <c r="O1203" s="82" t="s">
        <v>11011</v>
      </c>
      <c r="P1203" s="82" t="s">
        <v>11012</v>
      </c>
      <c r="Q1203" s="82"/>
      <c r="R1203" s="82"/>
      <c r="S1203" s="82" t="s">
        <v>11013</v>
      </c>
      <c r="T1203" s="138">
        <v>8.0</v>
      </c>
      <c r="U1203" s="331" t="s">
        <v>11014</v>
      </c>
      <c r="V1203" s="106">
        <v>0.0</v>
      </c>
      <c r="W1203" s="107">
        <v>0.0</v>
      </c>
      <c r="X1203" s="107">
        <v>0.0</v>
      </c>
      <c r="Y1203" s="107">
        <v>0.0</v>
      </c>
      <c r="Z1203" s="80">
        <v>0.0</v>
      </c>
      <c r="AA1203" s="140">
        <v>0.0</v>
      </c>
      <c r="AB1203" s="109">
        <v>0.0</v>
      </c>
      <c r="AC1203" s="109">
        <v>0.0</v>
      </c>
      <c r="AD1203" s="141">
        <v>0.0</v>
      </c>
      <c r="AE1203" s="80">
        <v>0.0</v>
      </c>
      <c r="AF1203" s="140">
        <v>0.0</v>
      </c>
      <c r="AG1203" s="109">
        <v>0.0</v>
      </c>
      <c r="AH1203" s="109">
        <v>31.0</v>
      </c>
      <c r="AI1203" s="141">
        <v>230.0</v>
      </c>
      <c r="AJ1203" s="80">
        <v>261.0</v>
      </c>
      <c r="AK1203" s="140">
        <v>0.0</v>
      </c>
      <c r="AL1203" s="109">
        <v>0.0</v>
      </c>
      <c r="AM1203" s="141">
        <v>0.0</v>
      </c>
      <c r="AN1203" s="80">
        <v>0.0</v>
      </c>
      <c r="AO1203" s="140">
        <v>0.0</v>
      </c>
      <c r="AP1203" s="109">
        <v>0.0</v>
      </c>
      <c r="AQ1203" s="109">
        <v>125.0</v>
      </c>
      <c r="AR1203" s="80">
        <v>125.0</v>
      </c>
      <c r="AS1203" s="110">
        <v>0.0</v>
      </c>
      <c r="AT1203" s="110">
        <v>0.0</v>
      </c>
      <c r="AU1203" s="110">
        <v>0.0</v>
      </c>
      <c r="AV1203" s="142">
        <v>0.0</v>
      </c>
      <c r="AW1203" s="80">
        <v>0.0</v>
      </c>
      <c r="AX1203" s="113">
        <v>386.0</v>
      </c>
      <c r="AY1203" s="117">
        <v>230.0</v>
      </c>
      <c r="AZ1203" s="328">
        <v>156.0</v>
      </c>
      <c r="BA1203" s="315">
        <v>0.0</v>
      </c>
      <c r="BB1203" s="316">
        <v>386.0</v>
      </c>
      <c r="BC1203" s="132" t="s">
        <v>373</v>
      </c>
      <c r="BD1203" s="132" t="s">
        <v>178</v>
      </c>
      <c r="BE1203" s="132" t="s">
        <v>178</v>
      </c>
      <c r="BF1203" s="123"/>
      <c r="BG1203" s="83">
        <v>1178071.0</v>
      </c>
      <c r="BH1203" s="112">
        <v>9.0</v>
      </c>
      <c r="BI1203" s="98" t="s">
        <v>155</v>
      </c>
      <c r="BJ1203" s="98" t="str">
        <f t="shared" si="1"/>
        <v>INTEGRAL</v>
      </c>
      <c r="BK1203" s="98" t="str">
        <f t="shared" si="2"/>
        <v>NÃO</v>
      </c>
    </row>
    <row r="1204" ht="15.75" customHeight="1">
      <c r="A1204" s="111" t="s">
        <v>1393</v>
      </c>
      <c r="B1204" s="83" t="s">
        <v>6361</v>
      </c>
      <c r="C1204" s="83" t="s">
        <v>68</v>
      </c>
      <c r="D1204" s="83">
        <v>1124929.0</v>
      </c>
      <c r="E1204" s="83"/>
      <c r="F1204" s="83">
        <v>2.9285291E7</v>
      </c>
      <c r="G1204" s="185" t="s">
        <v>11016</v>
      </c>
      <c r="H1204" s="91" t="s">
        <v>6363</v>
      </c>
      <c r="I1204" s="114" t="s">
        <v>149</v>
      </c>
      <c r="J1204" s="83" t="s">
        <v>150</v>
      </c>
      <c r="K1204" s="83" t="s">
        <v>151</v>
      </c>
      <c r="L1204" s="83" t="s">
        <v>76</v>
      </c>
      <c r="M1204" s="82" t="s">
        <v>11017</v>
      </c>
      <c r="N1204" s="82" t="s">
        <v>11018</v>
      </c>
      <c r="O1204" s="82" t="s">
        <v>11019</v>
      </c>
      <c r="P1204" s="82" t="s">
        <v>11020</v>
      </c>
      <c r="Q1204" s="82"/>
      <c r="R1204" s="82"/>
      <c r="S1204" s="82" t="s">
        <v>11021</v>
      </c>
      <c r="T1204" s="138">
        <v>6.0</v>
      </c>
      <c r="U1204" s="323" t="s">
        <v>11022</v>
      </c>
      <c r="V1204" s="106">
        <v>0.0</v>
      </c>
      <c r="W1204" s="107">
        <v>0.0</v>
      </c>
      <c r="X1204" s="107">
        <v>0.0</v>
      </c>
      <c r="Y1204" s="107">
        <v>0.0</v>
      </c>
      <c r="Z1204" s="80">
        <v>0.0</v>
      </c>
      <c r="AA1204" s="140">
        <v>0.0</v>
      </c>
      <c r="AB1204" s="109">
        <v>0.0</v>
      </c>
      <c r="AC1204" s="109">
        <v>0.0</v>
      </c>
      <c r="AD1204" s="141">
        <v>0.0</v>
      </c>
      <c r="AE1204" s="80">
        <v>0.0</v>
      </c>
      <c r="AF1204" s="140">
        <v>0.0</v>
      </c>
      <c r="AG1204" s="109">
        <v>0.0</v>
      </c>
      <c r="AH1204" s="109">
        <v>0.0</v>
      </c>
      <c r="AI1204" s="141">
        <v>124.0</v>
      </c>
      <c r="AJ1204" s="80">
        <v>124.0</v>
      </c>
      <c r="AK1204" s="140">
        <v>0.0</v>
      </c>
      <c r="AL1204" s="109">
        <v>0.0</v>
      </c>
      <c r="AM1204" s="141">
        <v>0.0</v>
      </c>
      <c r="AN1204" s="80">
        <v>0.0</v>
      </c>
      <c r="AO1204" s="140">
        <v>0.0</v>
      </c>
      <c r="AP1204" s="109">
        <v>0.0</v>
      </c>
      <c r="AQ1204" s="109">
        <v>43.0</v>
      </c>
      <c r="AR1204" s="80">
        <v>43.0</v>
      </c>
      <c r="AS1204" s="110">
        <v>0.0</v>
      </c>
      <c r="AT1204" s="110">
        <v>0.0</v>
      </c>
      <c r="AU1204" s="110">
        <v>0.0</v>
      </c>
      <c r="AV1204" s="142">
        <v>0.0</v>
      </c>
      <c r="AW1204" s="80">
        <v>0.0</v>
      </c>
      <c r="AX1204" s="113">
        <v>167.0</v>
      </c>
      <c r="AY1204" s="117">
        <v>124.0</v>
      </c>
      <c r="AZ1204" s="328">
        <v>43.0</v>
      </c>
      <c r="BA1204" s="315">
        <v>0.0</v>
      </c>
      <c r="BB1204" s="316">
        <v>167.0</v>
      </c>
      <c r="BC1204" s="132" t="s">
        <v>178</v>
      </c>
      <c r="BD1204" s="132" t="s">
        <v>178</v>
      </c>
      <c r="BE1204" s="132" t="s">
        <v>178</v>
      </c>
      <c r="BF1204" s="156"/>
      <c r="BG1204" s="83">
        <v>1124929.0</v>
      </c>
      <c r="BH1204" s="112">
        <v>5.0</v>
      </c>
      <c r="BI1204" s="98" t="s">
        <v>155</v>
      </c>
      <c r="BJ1204" s="98" t="str">
        <f t="shared" si="1"/>
        <v>INTEGRAL</v>
      </c>
      <c r="BK1204" s="98" t="str">
        <f t="shared" si="2"/>
        <v>NÃO</v>
      </c>
    </row>
    <row r="1205" ht="15.75" customHeight="1">
      <c r="A1205" s="111" t="s">
        <v>1393</v>
      </c>
      <c r="B1205" s="83" t="s">
        <v>6361</v>
      </c>
      <c r="C1205" s="83" t="s">
        <v>164</v>
      </c>
      <c r="D1205" s="83">
        <v>1124929.0</v>
      </c>
      <c r="E1205" s="83">
        <v>1178774.0</v>
      </c>
      <c r="F1205" s="83"/>
      <c r="G1205" s="185" t="s">
        <v>11023</v>
      </c>
      <c r="H1205" s="91" t="s">
        <v>6370</v>
      </c>
      <c r="I1205" s="187" t="s">
        <v>149</v>
      </c>
      <c r="J1205" s="136" t="s">
        <v>6371</v>
      </c>
      <c r="K1205" s="83" t="s">
        <v>151</v>
      </c>
      <c r="L1205" s="83" t="s">
        <v>169</v>
      </c>
      <c r="M1205" s="82" t="s">
        <v>11017</v>
      </c>
      <c r="N1205" s="82" t="s">
        <v>11018</v>
      </c>
      <c r="O1205" s="82" t="s">
        <v>11019</v>
      </c>
      <c r="P1205" s="82" t="s">
        <v>11020</v>
      </c>
      <c r="Q1205" s="82"/>
      <c r="R1205" s="82"/>
      <c r="S1205" s="82" t="s">
        <v>11021</v>
      </c>
      <c r="T1205" s="138">
        <v>6.0</v>
      </c>
      <c r="U1205" s="323" t="s">
        <v>11024</v>
      </c>
      <c r="V1205" s="106">
        <v>0.0</v>
      </c>
      <c r="W1205" s="107">
        <v>0.0</v>
      </c>
      <c r="X1205" s="107">
        <v>0.0</v>
      </c>
      <c r="Y1205" s="107">
        <v>0.0</v>
      </c>
      <c r="Z1205" s="80">
        <v>0.0</v>
      </c>
      <c r="AA1205" s="140">
        <v>0.0</v>
      </c>
      <c r="AB1205" s="109">
        <v>0.0</v>
      </c>
      <c r="AC1205" s="109">
        <v>0.0</v>
      </c>
      <c r="AD1205" s="141">
        <v>0.0</v>
      </c>
      <c r="AE1205" s="80">
        <v>0.0</v>
      </c>
      <c r="AF1205" s="140">
        <v>89.0</v>
      </c>
      <c r="AG1205" s="109">
        <v>0.0</v>
      </c>
      <c r="AH1205" s="109">
        <v>0.0</v>
      </c>
      <c r="AI1205" s="141">
        <v>0.0</v>
      </c>
      <c r="AJ1205" s="80">
        <v>89.0</v>
      </c>
      <c r="AK1205" s="140">
        <v>0.0</v>
      </c>
      <c r="AL1205" s="109">
        <v>0.0</v>
      </c>
      <c r="AM1205" s="141">
        <v>0.0</v>
      </c>
      <c r="AN1205" s="80">
        <v>0.0</v>
      </c>
      <c r="AO1205" s="140">
        <v>0.0</v>
      </c>
      <c r="AP1205" s="109">
        <v>0.0</v>
      </c>
      <c r="AQ1205" s="109">
        <v>13.0</v>
      </c>
      <c r="AR1205" s="80">
        <v>13.0</v>
      </c>
      <c r="AS1205" s="110">
        <v>0.0</v>
      </c>
      <c r="AT1205" s="110">
        <v>0.0</v>
      </c>
      <c r="AU1205" s="110">
        <v>0.0</v>
      </c>
      <c r="AV1205" s="142">
        <v>0.0</v>
      </c>
      <c r="AW1205" s="80">
        <v>0.0</v>
      </c>
      <c r="AX1205" s="113">
        <v>102.0</v>
      </c>
      <c r="AY1205" s="117">
        <v>89.0</v>
      </c>
      <c r="AZ1205" s="328">
        <v>13.0</v>
      </c>
      <c r="BA1205" s="315">
        <v>0.0</v>
      </c>
      <c r="BB1205" s="316">
        <v>102.0</v>
      </c>
      <c r="BC1205" s="132" t="s">
        <v>373</v>
      </c>
      <c r="BD1205" s="132" t="s">
        <v>178</v>
      </c>
      <c r="BE1205" s="132" t="s">
        <v>178</v>
      </c>
      <c r="BF1205" s="156"/>
      <c r="BG1205" s="83">
        <v>1178774.0</v>
      </c>
      <c r="BH1205" s="112">
        <v>5.0</v>
      </c>
      <c r="BI1205" s="98" t="s">
        <v>155</v>
      </c>
      <c r="BJ1205" s="98" t="str">
        <f t="shared" si="1"/>
        <v>NÃO</v>
      </c>
      <c r="BK1205" s="98" t="str">
        <f t="shared" si="2"/>
        <v>NÃO</v>
      </c>
    </row>
    <row r="1206" ht="15.75" customHeight="1">
      <c r="A1206" s="111" t="s">
        <v>1393</v>
      </c>
      <c r="B1206" s="83" t="s">
        <v>6361</v>
      </c>
      <c r="C1206" s="83" t="s">
        <v>164</v>
      </c>
      <c r="D1206" s="83">
        <v>1124929.0</v>
      </c>
      <c r="E1206" s="83">
        <v>1179164.0</v>
      </c>
      <c r="F1206" s="83"/>
      <c r="G1206" s="185" t="s">
        <v>11025</v>
      </c>
      <c r="H1206" s="91" t="s">
        <v>6367</v>
      </c>
      <c r="I1206" s="187" t="s">
        <v>149</v>
      </c>
      <c r="J1206" s="136" t="s">
        <v>6368</v>
      </c>
      <c r="K1206" s="83" t="s">
        <v>151</v>
      </c>
      <c r="L1206" s="83" t="s">
        <v>169</v>
      </c>
      <c r="M1206" s="82" t="s">
        <v>11017</v>
      </c>
      <c r="N1206" s="82" t="s">
        <v>11018</v>
      </c>
      <c r="O1206" s="82" t="s">
        <v>11019</v>
      </c>
      <c r="P1206" s="82" t="s">
        <v>11020</v>
      </c>
      <c r="Q1206" s="82"/>
      <c r="R1206" s="82"/>
      <c r="S1206" s="82" t="s">
        <v>11021</v>
      </c>
      <c r="T1206" s="138">
        <v>3.0</v>
      </c>
      <c r="U1206" s="323">
        <v>3.0</v>
      </c>
      <c r="V1206" s="106">
        <v>0.0</v>
      </c>
      <c r="W1206" s="107">
        <v>0.0</v>
      </c>
      <c r="X1206" s="107">
        <v>0.0</v>
      </c>
      <c r="Y1206" s="107">
        <v>0.0</v>
      </c>
      <c r="Z1206" s="80">
        <v>0.0</v>
      </c>
      <c r="AA1206" s="140">
        <v>0.0</v>
      </c>
      <c r="AB1206" s="109">
        <v>0.0</v>
      </c>
      <c r="AC1206" s="109">
        <v>0.0</v>
      </c>
      <c r="AD1206" s="141">
        <v>0.0</v>
      </c>
      <c r="AE1206" s="80">
        <v>0.0</v>
      </c>
      <c r="AF1206" s="140">
        <v>0.0</v>
      </c>
      <c r="AG1206" s="109">
        <v>0.0</v>
      </c>
      <c r="AH1206" s="109">
        <v>18.0</v>
      </c>
      <c r="AI1206" s="141">
        <v>0.0</v>
      </c>
      <c r="AJ1206" s="80">
        <v>18.0</v>
      </c>
      <c r="AK1206" s="140">
        <v>0.0</v>
      </c>
      <c r="AL1206" s="109">
        <v>0.0</v>
      </c>
      <c r="AM1206" s="141">
        <v>0.0</v>
      </c>
      <c r="AN1206" s="80">
        <v>0.0</v>
      </c>
      <c r="AO1206" s="140">
        <v>0.0</v>
      </c>
      <c r="AP1206" s="109">
        <v>0.0</v>
      </c>
      <c r="AQ1206" s="109">
        <v>18.0</v>
      </c>
      <c r="AR1206" s="80">
        <v>18.0</v>
      </c>
      <c r="AS1206" s="110">
        <v>0.0</v>
      </c>
      <c r="AT1206" s="110">
        <v>0.0</v>
      </c>
      <c r="AU1206" s="110">
        <v>0.0</v>
      </c>
      <c r="AV1206" s="142">
        <v>0.0</v>
      </c>
      <c r="AW1206" s="80">
        <v>0.0</v>
      </c>
      <c r="AX1206" s="113">
        <v>36.0</v>
      </c>
      <c r="AY1206" s="117">
        <v>0.0</v>
      </c>
      <c r="AZ1206" s="328">
        <v>36.0</v>
      </c>
      <c r="BA1206" s="315">
        <v>0.0</v>
      </c>
      <c r="BB1206" s="316">
        <v>36.0</v>
      </c>
      <c r="BC1206" s="132" t="s">
        <v>631</v>
      </c>
      <c r="BD1206" s="132" t="s">
        <v>178</v>
      </c>
      <c r="BE1206" s="132" t="s">
        <v>178</v>
      </c>
      <c r="BF1206" s="123"/>
      <c r="BG1206" s="83">
        <v>1179164.0</v>
      </c>
      <c r="BH1206" s="112">
        <v>3.0</v>
      </c>
      <c r="BI1206" s="98" t="s">
        <v>155</v>
      </c>
      <c r="BJ1206" s="98" t="str">
        <f t="shared" si="1"/>
        <v>NÃO</v>
      </c>
      <c r="BK1206" s="98" t="str">
        <f t="shared" si="2"/>
        <v>NÃO</v>
      </c>
    </row>
    <row r="1207" ht="15.75" customHeight="1">
      <c r="A1207" s="111" t="s">
        <v>1393</v>
      </c>
      <c r="B1207" s="83" t="s">
        <v>6361</v>
      </c>
      <c r="C1207" s="83" t="s">
        <v>164</v>
      </c>
      <c r="D1207" s="83">
        <v>1179285.0</v>
      </c>
      <c r="E1207" s="83">
        <v>1178775.0</v>
      </c>
      <c r="F1207" s="83"/>
      <c r="G1207" s="298" t="s">
        <v>6373</v>
      </c>
      <c r="H1207" s="91" t="s">
        <v>6374</v>
      </c>
      <c r="I1207" s="114" t="s">
        <v>149</v>
      </c>
      <c r="J1207" s="83" t="s">
        <v>3271</v>
      </c>
      <c r="K1207" s="83" t="s">
        <v>168</v>
      </c>
      <c r="L1207" s="83" t="s">
        <v>169</v>
      </c>
      <c r="M1207" s="82" t="s">
        <v>10833</v>
      </c>
      <c r="N1207" s="82" t="s">
        <v>10834</v>
      </c>
      <c r="O1207" s="82" t="s">
        <v>10835</v>
      </c>
      <c r="P1207" s="82" t="s">
        <v>10836</v>
      </c>
      <c r="Q1207" s="82"/>
      <c r="R1207" s="82"/>
      <c r="S1207" s="82" t="s">
        <v>10837</v>
      </c>
      <c r="T1207" s="138">
        <v>2.0</v>
      </c>
      <c r="U1207" s="323">
        <v>2.0</v>
      </c>
      <c r="V1207" s="106">
        <v>0.0</v>
      </c>
      <c r="W1207" s="107">
        <v>0.0</v>
      </c>
      <c r="X1207" s="107">
        <v>0.0</v>
      </c>
      <c r="Y1207" s="107">
        <v>0.0</v>
      </c>
      <c r="Z1207" s="80">
        <v>0.0</v>
      </c>
      <c r="AA1207" s="140">
        <v>0.0</v>
      </c>
      <c r="AB1207" s="109">
        <v>0.0</v>
      </c>
      <c r="AC1207" s="109">
        <v>0.0</v>
      </c>
      <c r="AD1207" s="141">
        <v>0.0</v>
      </c>
      <c r="AE1207" s="80">
        <v>0.0</v>
      </c>
      <c r="AF1207" s="140">
        <v>17.0</v>
      </c>
      <c r="AG1207" s="109">
        <v>0.0</v>
      </c>
      <c r="AH1207" s="109">
        <v>0.0</v>
      </c>
      <c r="AI1207" s="141">
        <v>0.0</v>
      </c>
      <c r="AJ1207" s="80">
        <v>17.0</v>
      </c>
      <c r="AK1207" s="140">
        <v>0.0</v>
      </c>
      <c r="AL1207" s="109">
        <v>0.0</v>
      </c>
      <c r="AM1207" s="141">
        <v>0.0</v>
      </c>
      <c r="AN1207" s="80">
        <v>0.0</v>
      </c>
      <c r="AO1207" s="140">
        <v>0.0</v>
      </c>
      <c r="AP1207" s="109">
        <v>0.0</v>
      </c>
      <c r="AQ1207" s="109">
        <v>0.0</v>
      </c>
      <c r="AR1207" s="80">
        <v>0.0</v>
      </c>
      <c r="AS1207" s="110">
        <v>0.0</v>
      </c>
      <c r="AT1207" s="110">
        <v>0.0</v>
      </c>
      <c r="AU1207" s="110">
        <v>0.0</v>
      </c>
      <c r="AV1207" s="142">
        <v>0.0</v>
      </c>
      <c r="AW1207" s="80">
        <v>0.0</v>
      </c>
      <c r="AX1207" s="113">
        <v>17.0</v>
      </c>
      <c r="AY1207" s="117">
        <v>17.0</v>
      </c>
      <c r="AZ1207" s="328">
        <v>0.0</v>
      </c>
      <c r="BA1207" s="315">
        <v>0.0</v>
      </c>
      <c r="BB1207" s="316">
        <v>17.0</v>
      </c>
      <c r="BC1207" s="132" t="s">
        <v>178</v>
      </c>
      <c r="BD1207" s="143" t="s">
        <v>227</v>
      </c>
      <c r="BE1207" s="132" t="s">
        <v>178</v>
      </c>
      <c r="BF1207" s="123"/>
      <c r="BG1207" s="83">
        <v>1178775.0</v>
      </c>
      <c r="BH1207" s="112">
        <v>2.0</v>
      </c>
      <c r="BI1207" s="98" t="s">
        <v>155</v>
      </c>
      <c r="BJ1207" s="98" t="str">
        <f t="shared" si="1"/>
        <v>NÃO</v>
      </c>
      <c r="BK1207" s="98" t="str">
        <f t="shared" si="2"/>
        <v>NÃO</v>
      </c>
    </row>
    <row r="1208" ht="15.75" customHeight="1">
      <c r="A1208" s="111" t="s">
        <v>1393</v>
      </c>
      <c r="B1208" s="83" t="s">
        <v>6375</v>
      </c>
      <c r="C1208" s="83" t="s">
        <v>68</v>
      </c>
      <c r="D1208" s="83">
        <v>1178248.0</v>
      </c>
      <c r="E1208" s="83"/>
      <c r="F1208" s="83">
        <v>2.9265932E7</v>
      </c>
      <c r="G1208" s="114" t="s">
        <v>11026</v>
      </c>
      <c r="H1208" s="91" t="s">
        <v>6378</v>
      </c>
      <c r="I1208" s="187" t="s">
        <v>149</v>
      </c>
      <c r="J1208" s="136" t="s">
        <v>150</v>
      </c>
      <c r="K1208" s="83" t="s">
        <v>151</v>
      </c>
      <c r="L1208" s="83" t="s">
        <v>76</v>
      </c>
      <c r="M1208" s="82" t="s">
        <v>11027</v>
      </c>
      <c r="N1208" s="82" t="s">
        <v>11028</v>
      </c>
      <c r="O1208" s="82" t="s">
        <v>11029</v>
      </c>
      <c r="P1208" s="82" t="s">
        <v>11030</v>
      </c>
      <c r="Q1208" s="82"/>
      <c r="R1208" s="82"/>
      <c r="S1208" s="82" t="s">
        <v>11031</v>
      </c>
      <c r="T1208" s="138">
        <v>8.0</v>
      </c>
      <c r="U1208" s="387" t="s">
        <v>11032</v>
      </c>
      <c r="V1208" s="106">
        <v>0.0</v>
      </c>
      <c r="W1208" s="107">
        <v>0.0</v>
      </c>
      <c r="X1208" s="107">
        <v>0.0</v>
      </c>
      <c r="Y1208" s="107">
        <v>0.0</v>
      </c>
      <c r="Z1208" s="80">
        <v>0.0</v>
      </c>
      <c r="AA1208" s="140">
        <v>0.0</v>
      </c>
      <c r="AB1208" s="109">
        <v>0.0</v>
      </c>
      <c r="AC1208" s="109">
        <v>0.0</v>
      </c>
      <c r="AD1208" s="141">
        <v>0.0</v>
      </c>
      <c r="AE1208" s="80">
        <v>0.0</v>
      </c>
      <c r="AF1208" s="140">
        <v>34.0</v>
      </c>
      <c r="AG1208" s="109">
        <v>157.0</v>
      </c>
      <c r="AH1208" s="109">
        <v>0.0</v>
      </c>
      <c r="AI1208" s="141">
        <v>120.0</v>
      </c>
      <c r="AJ1208" s="80">
        <v>311.0</v>
      </c>
      <c r="AK1208" s="140">
        <v>0.0</v>
      </c>
      <c r="AL1208" s="109">
        <v>0.0</v>
      </c>
      <c r="AM1208" s="141">
        <v>0.0</v>
      </c>
      <c r="AN1208" s="80">
        <v>0.0</v>
      </c>
      <c r="AO1208" s="140">
        <v>0.0</v>
      </c>
      <c r="AP1208" s="109">
        <v>0.0</v>
      </c>
      <c r="AQ1208" s="109">
        <v>39.0</v>
      </c>
      <c r="AR1208" s="80">
        <v>39.0</v>
      </c>
      <c r="AS1208" s="110">
        <v>0.0</v>
      </c>
      <c r="AT1208" s="110">
        <v>0.0</v>
      </c>
      <c r="AU1208" s="110">
        <v>19.0</v>
      </c>
      <c r="AV1208" s="142">
        <v>0.0</v>
      </c>
      <c r="AW1208" s="80">
        <v>19.0</v>
      </c>
      <c r="AX1208" s="113">
        <v>369.0</v>
      </c>
      <c r="AY1208" s="117">
        <v>311.0</v>
      </c>
      <c r="AZ1208" s="328">
        <v>58.0</v>
      </c>
      <c r="BA1208" s="315">
        <v>1.0</v>
      </c>
      <c r="BB1208" s="316">
        <v>370.0</v>
      </c>
      <c r="BC1208" s="132" t="s">
        <v>178</v>
      </c>
      <c r="BD1208" s="132" t="s">
        <v>178</v>
      </c>
      <c r="BE1208" s="132" t="s">
        <v>178</v>
      </c>
      <c r="BF1208" s="123"/>
      <c r="BG1208" s="83">
        <v>1178248.0</v>
      </c>
      <c r="BH1208" s="112">
        <v>6.0</v>
      </c>
      <c r="BI1208" s="98" t="s">
        <v>155</v>
      </c>
      <c r="BJ1208" s="98" t="str">
        <f t="shared" si="1"/>
        <v>INTEGRAL</v>
      </c>
      <c r="BK1208" s="98" t="str">
        <f t="shared" si="2"/>
        <v>PROFISSIONAL</v>
      </c>
    </row>
    <row r="1209" ht="15.75" customHeight="1">
      <c r="A1209" s="111" t="s">
        <v>1393</v>
      </c>
      <c r="B1209" s="83" t="s">
        <v>6375</v>
      </c>
      <c r="C1209" s="83" t="s">
        <v>164</v>
      </c>
      <c r="D1209" s="83">
        <v>1178248.0</v>
      </c>
      <c r="E1209" s="83">
        <v>1178776.0</v>
      </c>
      <c r="F1209" s="83"/>
      <c r="G1209" s="114" t="s">
        <v>11033</v>
      </c>
      <c r="H1209" s="91" t="s">
        <v>6381</v>
      </c>
      <c r="I1209" s="187" t="s">
        <v>6382</v>
      </c>
      <c r="J1209" s="136" t="s">
        <v>187</v>
      </c>
      <c r="K1209" s="83" t="s">
        <v>168</v>
      </c>
      <c r="L1209" s="83" t="s">
        <v>169</v>
      </c>
      <c r="M1209" s="82" t="s">
        <v>11027</v>
      </c>
      <c r="N1209" s="82" t="s">
        <v>11028</v>
      </c>
      <c r="O1209" s="82" t="s">
        <v>11029</v>
      </c>
      <c r="P1209" s="82" t="s">
        <v>11030</v>
      </c>
      <c r="Q1209" s="82"/>
      <c r="R1209" s="82"/>
      <c r="S1209" s="82" t="s">
        <v>11031</v>
      </c>
      <c r="T1209" s="138">
        <v>3.0</v>
      </c>
      <c r="U1209" s="387">
        <v>3.0</v>
      </c>
      <c r="V1209" s="106">
        <v>0.0</v>
      </c>
      <c r="W1209" s="107">
        <v>0.0</v>
      </c>
      <c r="X1209" s="107">
        <v>0.0</v>
      </c>
      <c r="Y1209" s="107">
        <v>0.0</v>
      </c>
      <c r="Z1209" s="80">
        <v>0.0</v>
      </c>
      <c r="AA1209" s="140">
        <v>0.0</v>
      </c>
      <c r="AB1209" s="109">
        <v>0.0</v>
      </c>
      <c r="AC1209" s="109">
        <v>0.0</v>
      </c>
      <c r="AD1209" s="141">
        <v>0.0</v>
      </c>
      <c r="AE1209" s="80">
        <v>0.0</v>
      </c>
      <c r="AF1209" s="140">
        <v>0.0</v>
      </c>
      <c r="AG1209" s="109">
        <v>0.0</v>
      </c>
      <c r="AH1209" s="109">
        <v>18.0</v>
      </c>
      <c r="AI1209" s="141">
        <v>0.0</v>
      </c>
      <c r="AJ1209" s="80">
        <v>18.0</v>
      </c>
      <c r="AK1209" s="140">
        <v>0.0</v>
      </c>
      <c r="AL1209" s="109">
        <v>0.0</v>
      </c>
      <c r="AM1209" s="141">
        <v>0.0</v>
      </c>
      <c r="AN1209" s="80">
        <v>0.0</v>
      </c>
      <c r="AO1209" s="140">
        <v>0.0</v>
      </c>
      <c r="AP1209" s="109">
        <v>0.0</v>
      </c>
      <c r="AQ1209" s="109">
        <v>33.0</v>
      </c>
      <c r="AR1209" s="80">
        <v>33.0</v>
      </c>
      <c r="AS1209" s="110">
        <v>0.0</v>
      </c>
      <c r="AT1209" s="110">
        <v>0.0</v>
      </c>
      <c r="AU1209" s="110">
        <v>0.0</v>
      </c>
      <c r="AV1209" s="142">
        <v>0.0</v>
      </c>
      <c r="AW1209" s="80">
        <v>0.0</v>
      </c>
      <c r="AX1209" s="113">
        <v>51.0</v>
      </c>
      <c r="AY1209" s="117">
        <v>0.0</v>
      </c>
      <c r="AZ1209" s="328">
        <v>51.0</v>
      </c>
      <c r="BA1209" s="315">
        <v>0.0</v>
      </c>
      <c r="BB1209" s="316">
        <v>51.0</v>
      </c>
      <c r="BC1209" s="132" t="s">
        <v>373</v>
      </c>
      <c r="BD1209" s="132" t="s">
        <v>178</v>
      </c>
      <c r="BE1209" s="132" t="s">
        <v>178</v>
      </c>
      <c r="BF1209" s="123"/>
      <c r="BG1209" s="83">
        <v>1178776.0</v>
      </c>
      <c r="BH1209" s="112">
        <v>3.0</v>
      </c>
      <c r="BI1209" s="98" t="s">
        <v>155</v>
      </c>
      <c r="BJ1209" s="98" t="str">
        <f t="shared" si="1"/>
        <v>NÃO</v>
      </c>
      <c r="BK1209" s="98" t="str">
        <f t="shared" si="2"/>
        <v>NÃO</v>
      </c>
    </row>
    <row r="1210" ht="15.75" customHeight="1">
      <c r="A1210" s="111" t="s">
        <v>1393</v>
      </c>
      <c r="B1210" s="83" t="s">
        <v>6375</v>
      </c>
      <c r="C1210" s="83" t="s">
        <v>164</v>
      </c>
      <c r="D1210" s="83">
        <v>1178248.0</v>
      </c>
      <c r="E1210" s="83">
        <v>1178777.0</v>
      </c>
      <c r="F1210" s="83"/>
      <c r="G1210" s="114" t="s">
        <v>6388</v>
      </c>
      <c r="H1210" s="91" t="s">
        <v>6389</v>
      </c>
      <c r="I1210" s="187" t="s">
        <v>6390</v>
      </c>
      <c r="J1210" s="136" t="s">
        <v>6391</v>
      </c>
      <c r="K1210" s="83" t="s">
        <v>168</v>
      </c>
      <c r="L1210" s="83" t="s">
        <v>169</v>
      </c>
      <c r="M1210" s="82" t="s">
        <v>11027</v>
      </c>
      <c r="N1210" s="82" t="s">
        <v>11028</v>
      </c>
      <c r="O1210" s="82" t="s">
        <v>11029</v>
      </c>
      <c r="P1210" s="82" t="s">
        <v>11030</v>
      </c>
      <c r="Q1210" s="82"/>
      <c r="R1210" s="82"/>
      <c r="S1210" s="82" t="s">
        <v>11031</v>
      </c>
      <c r="T1210" s="138">
        <v>5.0</v>
      </c>
      <c r="U1210" s="341">
        <v>4.0</v>
      </c>
      <c r="V1210" s="106">
        <v>0.0</v>
      </c>
      <c r="W1210" s="107">
        <v>0.0</v>
      </c>
      <c r="X1210" s="107">
        <v>0.0</v>
      </c>
      <c r="Y1210" s="107">
        <v>0.0</v>
      </c>
      <c r="Z1210" s="80">
        <v>0.0</v>
      </c>
      <c r="AA1210" s="140">
        <v>0.0</v>
      </c>
      <c r="AB1210" s="109">
        <v>0.0</v>
      </c>
      <c r="AC1210" s="109">
        <v>0.0</v>
      </c>
      <c r="AD1210" s="141">
        <v>0.0</v>
      </c>
      <c r="AE1210" s="80">
        <v>0.0</v>
      </c>
      <c r="AF1210" s="140">
        <v>0.0</v>
      </c>
      <c r="AG1210" s="109">
        <v>0.0</v>
      </c>
      <c r="AH1210" s="109">
        <v>35.0</v>
      </c>
      <c r="AI1210" s="141">
        <v>0.0</v>
      </c>
      <c r="AJ1210" s="80">
        <v>35.0</v>
      </c>
      <c r="AK1210" s="140">
        <v>0.0</v>
      </c>
      <c r="AL1210" s="109">
        <v>0.0</v>
      </c>
      <c r="AM1210" s="141">
        <v>0.0</v>
      </c>
      <c r="AN1210" s="80">
        <v>0.0</v>
      </c>
      <c r="AO1210" s="140">
        <v>0.0</v>
      </c>
      <c r="AP1210" s="109">
        <v>0.0</v>
      </c>
      <c r="AQ1210" s="109">
        <v>40.0</v>
      </c>
      <c r="AR1210" s="80">
        <v>40.0</v>
      </c>
      <c r="AS1210" s="110">
        <v>0.0</v>
      </c>
      <c r="AT1210" s="110">
        <v>0.0</v>
      </c>
      <c r="AU1210" s="110">
        <v>0.0</v>
      </c>
      <c r="AV1210" s="142">
        <v>0.0</v>
      </c>
      <c r="AW1210" s="80">
        <v>0.0</v>
      </c>
      <c r="AX1210" s="113">
        <v>75.0</v>
      </c>
      <c r="AY1210" s="117">
        <v>0.0</v>
      </c>
      <c r="AZ1210" s="328">
        <v>75.0</v>
      </c>
      <c r="BA1210" s="315">
        <v>0.0</v>
      </c>
      <c r="BB1210" s="316">
        <v>75.0</v>
      </c>
      <c r="BC1210" s="132" t="s">
        <v>373</v>
      </c>
      <c r="BD1210" s="132" t="s">
        <v>178</v>
      </c>
      <c r="BE1210" s="132" t="s">
        <v>178</v>
      </c>
      <c r="BF1210" s="123"/>
      <c r="BG1210" s="83">
        <v>1178777.0</v>
      </c>
      <c r="BH1210" s="112">
        <v>4.0</v>
      </c>
      <c r="BI1210" s="98" t="s">
        <v>155</v>
      </c>
      <c r="BJ1210" s="98" t="str">
        <f t="shared" si="1"/>
        <v>NÃO</v>
      </c>
      <c r="BK1210" s="98" t="str">
        <f t="shared" si="2"/>
        <v>NÃO</v>
      </c>
    </row>
    <row r="1211" ht="15.75" customHeight="1">
      <c r="A1211" s="111" t="s">
        <v>1393</v>
      </c>
      <c r="B1211" s="83" t="s">
        <v>2282</v>
      </c>
      <c r="C1211" s="83" t="s">
        <v>68</v>
      </c>
      <c r="D1211" s="83">
        <v>1125992.0</v>
      </c>
      <c r="E1211" s="83"/>
      <c r="F1211" s="83">
        <v>2.9279887E7</v>
      </c>
      <c r="G1211" s="114" t="s">
        <v>11034</v>
      </c>
      <c r="H1211" s="91" t="s">
        <v>6470</v>
      </c>
      <c r="I1211" s="187" t="s">
        <v>6471</v>
      </c>
      <c r="J1211" s="136" t="s">
        <v>150</v>
      </c>
      <c r="K1211" s="83" t="s">
        <v>151</v>
      </c>
      <c r="L1211" s="83" t="s">
        <v>230</v>
      </c>
      <c r="M1211" s="82" t="s">
        <v>11035</v>
      </c>
      <c r="N1211" s="82" t="s">
        <v>11036</v>
      </c>
      <c r="O1211" s="82" t="s">
        <v>11037</v>
      </c>
      <c r="P1211" s="82" t="s">
        <v>11038</v>
      </c>
      <c r="Q1211" s="82" t="s">
        <v>11039</v>
      </c>
      <c r="R1211" s="82" t="s">
        <v>11040</v>
      </c>
      <c r="S1211" s="82" t="s">
        <v>11041</v>
      </c>
      <c r="T1211" s="138">
        <v>33.0</v>
      </c>
      <c r="U1211" s="341">
        <v>22.0</v>
      </c>
      <c r="V1211" s="106">
        <v>0.0</v>
      </c>
      <c r="W1211" s="107">
        <v>0.0</v>
      </c>
      <c r="X1211" s="107">
        <v>0.0</v>
      </c>
      <c r="Y1211" s="107">
        <v>0.0</v>
      </c>
      <c r="Z1211" s="80">
        <v>0.0</v>
      </c>
      <c r="AA1211" s="140">
        <v>0.0</v>
      </c>
      <c r="AB1211" s="109">
        <v>0.0</v>
      </c>
      <c r="AC1211" s="109">
        <v>0.0</v>
      </c>
      <c r="AD1211" s="141">
        <v>0.0</v>
      </c>
      <c r="AE1211" s="80">
        <v>0.0</v>
      </c>
      <c r="AF1211" s="140">
        <v>0.0</v>
      </c>
      <c r="AG1211" s="109">
        <v>0.0</v>
      </c>
      <c r="AH1211" s="109">
        <v>0.0</v>
      </c>
      <c r="AI1211" s="141">
        <v>203.0</v>
      </c>
      <c r="AJ1211" s="80">
        <v>203.0</v>
      </c>
      <c r="AK1211" s="140">
        <v>0.0</v>
      </c>
      <c r="AL1211" s="109">
        <v>0.0</v>
      </c>
      <c r="AM1211" s="141">
        <v>0.0</v>
      </c>
      <c r="AN1211" s="80">
        <v>0.0</v>
      </c>
      <c r="AO1211" s="140">
        <v>0.0</v>
      </c>
      <c r="AP1211" s="109">
        <v>0.0</v>
      </c>
      <c r="AQ1211" s="109">
        <v>147.0</v>
      </c>
      <c r="AR1211" s="80">
        <v>147.0</v>
      </c>
      <c r="AS1211" s="110">
        <v>543.0</v>
      </c>
      <c r="AT1211" s="110">
        <v>160.0</v>
      </c>
      <c r="AU1211" s="110">
        <v>116.0</v>
      </c>
      <c r="AV1211" s="142">
        <v>0.0</v>
      </c>
      <c r="AW1211" s="80">
        <v>819.0</v>
      </c>
      <c r="AX1211" s="113">
        <v>1169.0</v>
      </c>
      <c r="AY1211" s="117">
        <v>906.0</v>
      </c>
      <c r="AZ1211" s="328">
        <v>263.0</v>
      </c>
      <c r="BA1211" s="315">
        <v>34.0</v>
      </c>
      <c r="BB1211" s="316">
        <v>1203.0</v>
      </c>
      <c r="BC1211" s="132" t="s">
        <v>178</v>
      </c>
      <c r="BD1211" s="132" t="s">
        <v>178</v>
      </c>
      <c r="BE1211" s="132" t="s">
        <v>178</v>
      </c>
      <c r="BF1211" s="123"/>
      <c r="BG1211" s="83">
        <v>1125992.0</v>
      </c>
      <c r="BH1211" s="112">
        <v>22.0</v>
      </c>
      <c r="BI1211" s="98" t="s">
        <v>155</v>
      </c>
      <c r="BJ1211" s="98" t="str">
        <f t="shared" si="1"/>
        <v>INTEGRAL</v>
      </c>
      <c r="BK1211" s="98" t="str">
        <f t="shared" si="2"/>
        <v>PROFISSIONAL</v>
      </c>
    </row>
    <row r="1212" ht="15.75" customHeight="1">
      <c r="A1212" s="111" t="s">
        <v>1393</v>
      </c>
      <c r="B1212" s="172" t="s">
        <v>2282</v>
      </c>
      <c r="C1212" s="83" t="s">
        <v>68</v>
      </c>
      <c r="D1212" s="83">
        <v>1125305.0</v>
      </c>
      <c r="E1212" s="83"/>
      <c r="F1212" s="83">
        <v>2.927964E7</v>
      </c>
      <c r="G1212" s="114" t="s">
        <v>6392</v>
      </c>
      <c r="H1212" s="91" t="s">
        <v>6393</v>
      </c>
      <c r="I1212" s="298" t="s">
        <v>6394</v>
      </c>
      <c r="J1212" s="83" t="s">
        <v>150</v>
      </c>
      <c r="K1212" s="83" t="s">
        <v>151</v>
      </c>
      <c r="L1212" s="83" t="s">
        <v>230</v>
      </c>
      <c r="M1212" s="82" t="s">
        <v>11042</v>
      </c>
      <c r="N1212" s="82" t="s">
        <v>11043</v>
      </c>
      <c r="O1212" s="82" t="s">
        <v>11044</v>
      </c>
      <c r="P1212" s="82" t="s">
        <v>11045</v>
      </c>
      <c r="Q1212" s="82" t="s">
        <v>11046</v>
      </c>
      <c r="R1212" s="82" t="s">
        <v>11047</v>
      </c>
      <c r="S1212" s="82" t="s">
        <v>11048</v>
      </c>
      <c r="T1212" s="138">
        <v>44.0</v>
      </c>
      <c r="U1212" s="514">
        <v>53.0</v>
      </c>
      <c r="V1212" s="106">
        <v>0.0</v>
      </c>
      <c r="W1212" s="107">
        <v>0.0</v>
      </c>
      <c r="X1212" s="107">
        <v>0.0</v>
      </c>
      <c r="Y1212" s="107">
        <v>0.0</v>
      </c>
      <c r="Z1212" s="80">
        <v>0.0</v>
      </c>
      <c r="AA1212" s="140">
        <v>0.0</v>
      </c>
      <c r="AB1212" s="109">
        <v>0.0</v>
      </c>
      <c r="AC1212" s="109">
        <v>0.0</v>
      </c>
      <c r="AD1212" s="141">
        <v>0.0</v>
      </c>
      <c r="AE1212" s="80">
        <v>0.0</v>
      </c>
      <c r="AF1212" s="140">
        <v>428.0</v>
      </c>
      <c r="AG1212" s="109">
        <v>0.0</v>
      </c>
      <c r="AH1212" s="109">
        <v>233.0</v>
      </c>
      <c r="AI1212" s="141">
        <v>1162.0</v>
      </c>
      <c r="AJ1212" s="80">
        <v>1823.0</v>
      </c>
      <c r="AK1212" s="140">
        <v>0.0</v>
      </c>
      <c r="AL1212" s="109">
        <v>0.0</v>
      </c>
      <c r="AM1212" s="141">
        <v>0.0</v>
      </c>
      <c r="AN1212" s="80">
        <v>0.0</v>
      </c>
      <c r="AO1212" s="140">
        <v>0.0</v>
      </c>
      <c r="AP1212" s="109">
        <v>0.0</v>
      </c>
      <c r="AQ1212" s="109">
        <v>385.0</v>
      </c>
      <c r="AR1212" s="80">
        <v>385.0</v>
      </c>
      <c r="AS1212" s="110">
        <v>0.0</v>
      </c>
      <c r="AT1212" s="110">
        <v>0.0</v>
      </c>
      <c r="AU1212" s="110">
        <v>0.0</v>
      </c>
      <c r="AV1212" s="142">
        <v>0.0</v>
      </c>
      <c r="AW1212" s="80">
        <v>0.0</v>
      </c>
      <c r="AX1212" s="113">
        <v>2208.0</v>
      </c>
      <c r="AY1212" s="117">
        <v>1590.0</v>
      </c>
      <c r="AZ1212" s="328">
        <v>618.0</v>
      </c>
      <c r="BA1212" s="315">
        <v>1.0</v>
      </c>
      <c r="BB1212" s="316">
        <v>2209.0</v>
      </c>
      <c r="BC1212" s="132" t="s">
        <v>178</v>
      </c>
      <c r="BD1212" s="132" t="s">
        <v>178</v>
      </c>
      <c r="BE1212" s="132" t="s">
        <v>178</v>
      </c>
      <c r="BF1212" s="123"/>
      <c r="BG1212" s="83">
        <v>1125305.0</v>
      </c>
      <c r="BH1212" s="98">
        <v>53.0</v>
      </c>
      <c r="BI1212" s="98" t="s">
        <v>6065</v>
      </c>
      <c r="BJ1212" s="98" t="str">
        <f t="shared" si="1"/>
        <v>INTEGRAL</v>
      </c>
      <c r="BK1212" s="98" t="str">
        <f t="shared" si="2"/>
        <v>NÃO</v>
      </c>
    </row>
    <row r="1213" ht="15.75" customHeight="1">
      <c r="A1213" s="111" t="s">
        <v>1393</v>
      </c>
      <c r="B1213" s="83" t="s">
        <v>2282</v>
      </c>
      <c r="C1213" s="83" t="s">
        <v>68</v>
      </c>
      <c r="D1213" s="98">
        <v>1125399.0</v>
      </c>
      <c r="E1213" s="83"/>
      <c r="F1213" s="98">
        <v>2.9277752E7</v>
      </c>
      <c r="G1213" s="119" t="s">
        <v>11049</v>
      </c>
      <c r="H1213" s="108" t="s">
        <v>11050</v>
      </c>
      <c r="I1213" s="296" t="s">
        <v>6427</v>
      </c>
      <c r="J1213" s="83" t="s">
        <v>150</v>
      </c>
      <c r="K1213" s="83" t="s">
        <v>151</v>
      </c>
      <c r="L1213" s="83" t="s">
        <v>230</v>
      </c>
      <c r="M1213" s="82" t="s">
        <v>2962</v>
      </c>
      <c r="N1213" s="82"/>
      <c r="O1213" s="82" t="s">
        <v>11051</v>
      </c>
      <c r="P1213" s="82" t="s">
        <v>11052</v>
      </c>
      <c r="Q1213" s="82"/>
      <c r="R1213" s="82"/>
      <c r="S1213" s="82"/>
      <c r="T1213" s="234">
        <v>23.0</v>
      </c>
      <c r="U1213" s="352">
        <v>24.0</v>
      </c>
      <c r="V1213" s="106">
        <v>0.0</v>
      </c>
      <c r="W1213" s="107">
        <v>0.0</v>
      </c>
      <c r="X1213" s="107">
        <v>0.0</v>
      </c>
      <c r="Y1213" s="107">
        <v>0.0</v>
      </c>
      <c r="Z1213" s="80">
        <v>0.0</v>
      </c>
      <c r="AA1213" s="140">
        <v>0.0</v>
      </c>
      <c r="AB1213" s="109">
        <v>0.0</v>
      </c>
      <c r="AC1213" s="109">
        <v>0.0</v>
      </c>
      <c r="AD1213" s="141">
        <v>0.0</v>
      </c>
      <c r="AE1213" s="80">
        <v>0.0</v>
      </c>
      <c r="AF1213" s="140">
        <v>0.0</v>
      </c>
      <c r="AG1213" s="109">
        <v>0.0</v>
      </c>
      <c r="AH1213" s="109">
        <v>0.0</v>
      </c>
      <c r="AI1213" s="141">
        <v>0.0</v>
      </c>
      <c r="AJ1213" s="591">
        <v>0.0</v>
      </c>
      <c r="AK1213" s="140">
        <v>0.0</v>
      </c>
      <c r="AL1213" s="109">
        <v>0.0</v>
      </c>
      <c r="AM1213" s="141">
        <v>0.0</v>
      </c>
      <c r="AN1213" s="591">
        <v>0.0</v>
      </c>
      <c r="AO1213" s="140">
        <v>0.0</v>
      </c>
      <c r="AP1213" s="109">
        <v>0.0</v>
      </c>
      <c r="AQ1213" s="109">
        <v>0.0</v>
      </c>
      <c r="AR1213" s="591">
        <v>0.0</v>
      </c>
      <c r="AS1213" s="110">
        <v>0.0</v>
      </c>
      <c r="AT1213" s="110">
        <v>0.0</v>
      </c>
      <c r="AU1213" s="110">
        <v>0.0</v>
      </c>
      <c r="AV1213" s="142">
        <v>0.0</v>
      </c>
      <c r="AW1213" s="591">
        <v>0.0</v>
      </c>
      <c r="AX1213" s="346">
        <v>0.0</v>
      </c>
      <c r="AY1213" s="347">
        <v>0.0</v>
      </c>
      <c r="AZ1213" s="348">
        <v>0.0</v>
      </c>
      <c r="BA1213" s="315">
        <v>0.0</v>
      </c>
      <c r="BB1213" s="316">
        <v>0.0</v>
      </c>
      <c r="BC1213" s="132" t="s">
        <v>178</v>
      </c>
      <c r="BD1213" s="132" t="s">
        <v>6503</v>
      </c>
      <c r="BE1213" s="132" t="s">
        <v>178</v>
      </c>
      <c r="BF1213" s="463" t="s">
        <v>11053</v>
      </c>
      <c r="BG1213" s="98">
        <v>1125399.0</v>
      </c>
      <c r="BH1213" s="98">
        <v>24.0</v>
      </c>
      <c r="BI1213" s="98" t="s">
        <v>155</v>
      </c>
      <c r="BJ1213" s="98" t="str">
        <f t="shared" si="1"/>
        <v>NÃO</v>
      </c>
      <c r="BK1213" s="98" t="str">
        <f t="shared" si="2"/>
        <v>NÃO</v>
      </c>
    </row>
    <row r="1214" ht="15.75" customHeight="1">
      <c r="A1214" s="111" t="s">
        <v>1393</v>
      </c>
      <c r="B1214" s="83" t="s">
        <v>2282</v>
      </c>
      <c r="C1214" s="83" t="s">
        <v>68</v>
      </c>
      <c r="D1214" s="83">
        <v>1176435.0</v>
      </c>
      <c r="E1214" s="83"/>
      <c r="F1214" s="83">
        <v>2.940283E7</v>
      </c>
      <c r="G1214" s="114" t="s">
        <v>11054</v>
      </c>
      <c r="H1214" s="91" t="s">
        <v>6402</v>
      </c>
      <c r="I1214" s="298" t="s">
        <v>6403</v>
      </c>
      <c r="J1214" s="83" t="s">
        <v>150</v>
      </c>
      <c r="K1214" s="83" t="s">
        <v>151</v>
      </c>
      <c r="L1214" s="83" t="s">
        <v>152</v>
      </c>
      <c r="M1214" s="82" t="s">
        <v>11055</v>
      </c>
      <c r="N1214" s="82" t="s">
        <v>11056</v>
      </c>
      <c r="O1214" s="82" t="s">
        <v>11057</v>
      </c>
      <c r="P1214" s="82" t="s">
        <v>11058</v>
      </c>
      <c r="Q1214" s="82"/>
      <c r="R1214" s="82"/>
      <c r="S1214" s="82" t="s">
        <v>11059</v>
      </c>
      <c r="T1214" s="138">
        <v>16.0</v>
      </c>
      <c r="U1214" s="352">
        <v>16.0</v>
      </c>
      <c r="V1214" s="106">
        <v>0.0</v>
      </c>
      <c r="W1214" s="107">
        <v>0.0</v>
      </c>
      <c r="X1214" s="107">
        <v>0.0</v>
      </c>
      <c r="Y1214" s="107">
        <v>0.0</v>
      </c>
      <c r="Z1214" s="80">
        <v>0.0</v>
      </c>
      <c r="AA1214" s="140">
        <v>0.0</v>
      </c>
      <c r="AB1214" s="109">
        <v>0.0</v>
      </c>
      <c r="AC1214" s="109">
        <v>0.0</v>
      </c>
      <c r="AD1214" s="141">
        <v>0.0</v>
      </c>
      <c r="AE1214" s="80">
        <v>0.0</v>
      </c>
      <c r="AF1214" s="140">
        <v>0.0</v>
      </c>
      <c r="AG1214" s="109">
        <v>0.0</v>
      </c>
      <c r="AH1214" s="109">
        <v>0.0</v>
      </c>
      <c r="AI1214" s="141">
        <v>629.0</v>
      </c>
      <c r="AJ1214" s="80">
        <v>629.0</v>
      </c>
      <c r="AK1214" s="140">
        <v>0.0</v>
      </c>
      <c r="AL1214" s="109">
        <v>0.0</v>
      </c>
      <c r="AM1214" s="141">
        <v>0.0</v>
      </c>
      <c r="AN1214" s="80">
        <v>0.0</v>
      </c>
      <c r="AO1214" s="140">
        <v>0.0</v>
      </c>
      <c r="AP1214" s="109">
        <v>0.0</v>
      </c>
      <c r="AQ1214" s="109">
        <v>0.0</v>
      </c>
      <c r="AR1214" s="80">
        <v>0.0</v>
      </c>
      <c r="AS1214" s="110">
        <v>0.0</v>
      </c>
      <c r="AT1214" s="110">
        <v>0.0</v>
      </c>
      <c r="AU1214" s="110">
        <v>0.0</v>
      </c>
      <c r="AV1214" s="142">
        <v>0.0</v>
      </c>
      <c r="AW1214" s="80">
        <v>0.0</v>
      </c>
      <c r="AX1214" s="113">
        <v>629.0</v>
      </c>
      <c r="AY1214" s="117">
        <v>629.0</v>
      </c>
      <c r="AZ1214" s="328">
        <v>0.0</v>
      </c>
      <c r="BA1214" s="315">
        <v>1.0</v>
      </c>
      <c r="BB1214" s="316">
        <v>630.0</v>
      </c>
      <c r="BC1214" s="132" t="s">
        <v>178</v>
      </c>
      <c r="BD1214" s="132" t="s">
        <v>178</v>
      </c>
      <c r="BE1214" s="132" t="s">
        <v>178</v>
      </c>
      <c r="BF1214" s="123"/>
      <c r="BG1214" s="83">
        <v>1176435.0</v>
      </c>
      <c r="BH1214" s="98">
        <v>16.0</v>
      </c>
      <c r="BI1214" s="98" t="s">
        <v>155</v>
      </c>
      <c r="BJ1214" s="98" t="str">
        <f t="shared" si="1"/>
        <v>INTEGRAL</v>
      </c>
      <c r="BK1214" s="98" t="str">
        <f t="shared" si="2"/>
        <v>NÃO</v>
      </c>
    </row>
    <row r="1215" ht="15.75" customHeight="1">
      <c r="A1215" s="111" t="s">
        <v>1393</v>
      </c>
      <c r="B1215" s="83" t="s">
        <v>2282</v>
      </c>
      <c r="C1215" s="83" t="s">
        <v>68</v>
      </c>
      <c r="D1215" s="83">
        <v>1165358.0</v>
      </c>
      <c r="E1215" s="83"/>
      <c r="F1215" s="83">
        <v>2.9279151E7</v>
      </c>
      <c r="G1215" s="114" t="s">
        <v>11060</v>
      </c>
      <c r="H1215" s="91" t="s">
        <v>6448</v>
      </c>
      <c r="I1215" s="298" t="s">
        <v>6449</v>
      </c>
      <c r="J1215" s="83" t="s">
        <v>150</v>
      </c>
      <c r="K1215" s="83" t="s">
        <v>151</v>
      </c>
      <c r="L1215" s="83" t="s">
        <v>152</v>
      </c>
      <c r="M1215" s="82" t="s">
        <v>11061</v>
      </c>
      <c r="N1215" s="82" t="s">
        <v>11062</v>
      </c>
      <c r="O1215" s="82" t="s">
        <v>11063</v>
      </c>
      <c r="P1215" s="82" t="s">
        <v>11064</v>
      </c>
      <c r="Q1215" s="82" t="s">
        <v>11065</v>
      </c>
      <c r="R1215" s="82" t="s">
        <v>11066</v>
      </c>
      <c r="S1215" s="82" t="s">
        <v>11067</v>
      </c>
      <c r="T1215" s="138">
        <v>14.0</v>
      </c>
      <c r="U1215" s="331" t="s">
        <v>11068</v>
      </c>
      <c r="V1215" s="106">
        <v>0.0</v>
      </c>
      <c r="W1215" s="107">
        <v>0.0</v>
      </c>
      <c r="X1215" s="107">
        <v>0.0</v>
      </c>
      <c r="Y1215" s="107">
        <v>0.0</v>
      </c>
      <c r="Z1215" s="80">
        <v>0.0</v>
      </c>
      <c r="AA1215" s="140">
        <v>0.0</v>
      </c>
      <c r="AB1215" s="109">
        <v>0.0</v>
      </c>
      <c r="AC1215" s="109">
        <v>0.0</v>
      </c>
      <c r="AD1215" s="141">
        <v>0.0</v>
      </c>
      <c r="AE1215" s="80">
        <v>0.0</v>
      </c>
      <c r="AF1215" s="140">
        <v>320.0</v>
      </c>
      <c r="AG1215" s="109">
        <v>246.0</v>
      </c>
      <c r="AH1215" s="109">
        <v>0.0</v>
      </c>
      <c r="AI1215" s="141">
        <v>379.0</v>
      </c>
      <c r="AJ1215" s="80">
        <v>945.0</v>
      </c>
      <c r="AK1215" s="140">
        <v>0.0</v>
      </c>
      <c r="AL1215" s="109">
        <v>0.0</v>
      </c>
      <c r="AM1215" s="141">
        <v>0.0</v>
      </c>
      <c r="AN1215" s="80">
        <v>0.0</v>
      </c>
      <c r="AO1215" s="140">
        <v>0.0</v>
      </c>
      <c r="AP1215" s="109">
        <v>0.0</v>
      </c>
      <c r="AQ1215" s="109">
        <v>321.0</v>
      </c>
      <c r="AR1215" s="80">
        <v>321.0</v>
      </c>
      <c r="AS1215" s="110">
        <v>0.0</v>
      </c>
      <c r="AT1215" s="110">
        <v>0.0</v>
      </c>
      <c r="AU1215" s="110">
        <v>0.0</v>
      </c>
      <c r="AV1215" s="142">
        <v>0.0</v>
      </c>
      <c r="AW1215" s="80">
        <v>0.0</v>
      </c>
      <c r="AX1215" s="113">
        <v>1266.0</v>
      </c>
      <c r="AY1215" s="117">
        <v>945.0</v>
      </c>
      <c r="AZ1215" s="328">
        <v>321.0</v>
      </c>
      <c r="BA1215" s="315">
        <v>1.0</v>
      </c>
      <c r="BB1215" s="316">
        <v>1267.0</v>
      </c>
      <c r="BC1215" s="132" t="s">
        <v>178</v>
      </c>
      <c r="BD1215" s="132" t="s">
        <v>178</v>
      </c>
      <c r="BE1215" s="132" t="s">
        <v>178</v>
      </c>
      <c r="BF1215" s="123"/>
      <c r="BG1215" s="83">
        <v>1165358.0</v>
      </c>
      <c r="BH1215" s="112">
        <v>13.0</v>
      </c>
      <c r="BI1215" s="98" t="s">
        <v>155</v>
      </c>
      <c r="BJ1215" s="98" t="str">
        <f t="shared" si="1"/>
        <v>INTEGRAL</v>
      </c>
      <c r="BK1215" s="98" t="str">
        <f t="shared" si="2"/>
        <v>NÃO</v>
      </c>
    </row>
    <row r="1216" ht="15.75" customHeight="1">
      <c r="A1216" s="111" t="s">
        <v>1393</v>
      </c>
      <c r="B1216" s="83" t="s">
        <v>2282</v>
      </c>
      <c r="C1216" s="83" t="s">
        <v>68</v>
      </c>
      <c r="D1216" s="83">
        <v>1125160.0</v>
      </c>
      <c r="E1216" s="83"/>
      <c r="F1216" s="83">
        <v>2.9277809E7</v>
      </c>
      <c r="G1216" s="114" t="s">
        <v>11069</v>
      </c>
      <c r="H1216" s="91" t="s">
        <v>6406</v>
      </c>
      <c r="I1216" s="114" t="s">
        <v>955</v>
      </c>
      <c r="J1216" s="83" t="s">
        <v>150</v>
      </c>
      <c r="K1216" s="83" t="s">
        <v>151</v>
      </c>
      <c r="L1216" s="83" t="s">
        <v>152</v>
      </c>
      <c r="M1216" s="82" t="s">
        <v>11070</v>
      </c>
      <c r="N1216" s="82" t="s">
        <v>11071</v>
      </c>
      <c r="O1216" s="82" t="s">
        <v>11072</v>
      </c>
      <c r="P1216" s="82" t="s">
        <v>11073</v>
      </c>
      <c r="Q1216" s="82" t="s">
        <v>11074</v>
      </c>
      <c r="R1216" s="82" t="s">
        <v>11075</v>
      </c>
      <c r="S1216" s="82" t="s">
        <v>11076</v>
      </c>
      <c r="T1216" s="138">
        <v>14.0</v>
      </c>
      <c r="U1216" s="331">
        <v>15.0</v>
      </c>
      <c r="V1216" s="106">
        <v>0.0</v>
      </c>
      <c r="W1216" s="107">
        <v>0.0</v>
      </c>
      <c r="X1216" s="107">
        <v>0.0</v>
      </c>
      <c r="Y1216" s="107">
        <v>0.0</v>
      </c>
      <c r="Z1216" s="80">
        <v>0.0</v>
      </c>
      <c r="AA1216" s="140">
        <v>0.0</v>
      </c>
      <c r="AB1216" s="109">
        <v>0.0</v>
      </c>
      <c r="AC1216" s="109">
        <v>0.0</v>
      </c>
      <c r="AD1216" s="141">
        <v>0.0</v>
      </c>
      <c r="AE1216" s="80">
        <v>0.0</v>
      </c>
      <c r="AF1216" s="140">
        <v>357.0</v>
      </c>
      <c r="AG1216" s="109">
        <v>0.0</v>
      </c>
      <c r="AH1216" s="109">
        <v>0.0</v>
      </c>
      <c r="AI1216" s="141">
        <v>242.0</v>
      </c>
      <c r="AJ1216" s="80">
        <v>599.0</v>
      </c>
      <c r="AK1216" s="140">
        <v>0.0</v>
      </c>
      <c r="AL1216" s="109">
        <v>0.0</v>
      </c>
      <c r="AM1216" s="141">
        <v>0.0</v>
      </c>
      <c r="AN1216" s="80">
        <v>0.0</v>
      </c>
      <c r="AO1216" s="140">
        <v>0.0</v>
      </c>
      <c r="AP1216" s="109">
        <v>0.0</v>
      </c>
      <c r="AQ1216" s="109">
        <v>177.0</v>
      </c>
      <c r="AR1216" s="80">
        <v>177.0</v>
      </c>
      <c r="AS1216" s="110">
        <v>0.0</v>
      </c>
      <c r="AT1216" s="110">
        <v>0.0</v>
      </c>
      <c r="AU1216" s="110">
        <v>0.0</v>
      </c>
      <c r="AV1216" s="142">
        <v>0.0</v>
      </c>
      <c r="AW1216" s="80">
        <v>0.0</v>
      </c>
      <c r="AX1216" s="113">
        <v>776.0</v>
      </c>
      <c r="AY1216" s="117">
        <v>599.0</v>
      </c>
      <c r="AZ1216" s="328">
        <v>177.0</v>
      </c>
      <c r="BA1216" s="315">
        <v>0.0</v>
      </c>
      <c r="BB1216" s="316">
        <v>776.0</v>
      </c>
      <c r="BC1216" s="132" t="s">
        <v>178</v>
      </c>
      <c r="BD1216" s="132" t="s">
        <v>178</v>
      </c>
      <c r="BE1216" s="132" t="s">
        <v>178</v>
      </c>
      <c r="BF1216" s="123"/>
      <c r="BG1216" s="83">
        <v>1125160.0</v>
      </c>
      <c r="BH1216" s="98">
        <v>15.0</v>
      </c>
      <c r="BI1216" s="98" t="s">
        <v>155</v>
      </c>
      <c r="BJ1216" s="98" t="str">
        <f t="shared" si="1"/>
        <v>INTEGRAL</v>
      </c>
      <c r="BK1216" s="98" t="str">
        <f t="shared" si="2"/>
        <v>NÃO</v>
      </c>
    </row>
    <row r="1217" ht="15.75" customHeight="1">
      <c r="A1217" s="111" t="s">
        <v>1393</v>
      </c>
      <c r="B1217" s="83" t="s">
        <v>2282</v>
      </c>
      <c r="C1217" s="83" t="s">
        <v>68</v>
      </c>
      <c r="D1217" s="83">
        <v>1178119.0</v>
      </c>
      <c r="E1217" s="83"/>
      <c r="F1217" s="83">
        <v>2.943341E7</v>
      </c>
      <c r="G1217" s="114" t="s">
        <v>11077</v>
      </c>
      <c r="H1217" s="91" t="s">
        <v>6458</v>
      </c>
      <c r="I1217" s="114" t="s">
        <v>6449</v>
      </c>
      <c r="J1217" s="83" t="s">
        <v>150</v>
      </c>
      <c r="K1217" s="83" t="s">
        <v>151</v>
      </c>
      <c r="L1217" s="83" t="s">
        <v>152</v>
      </c>
      <c r="M1217" s="82" t="s">
        <v>11078</v>
      </c>
      <c r="N1217" s="82" t="s">
        <v>11079</v>
      </c>
      <c r="O1217" s="82" t="s">
        <v>11080</v>
      </c>
      <c r="P1217" s="82" t="s">
        <v>11081</v>
      </c>
      <c r="Q1217" s="82"/>
      <c r="R1217" s="82"/>
      <c r="S1217" s="82" t="s">
        <v>11082</v>
      </c>
      <c r="T1217" s="138">
        <v>9.0</v>
      </c>
      <c r="U1217" s="331" t="s">
        <v>11083</v>
      </c>
      <c r="V1217" s="106">
        <v>0.0</v>
      </c>
      <c r="W1217" s="107">
        <v>0.0</v>
      </c>
      <c r="X1217" s="107">
        <v>0.0</v>
      </c>
      <c r="Y1217" s="107">
        <v>0.0</v>
      </c>
      <c r="Z1217" s="80">
        <v>0.0</v>
      </c>
      <c r="AA1217" s="140">
        <v>0.0</v>
      </c>
      <c r="AB1217" s="109">
        <v>0.0</v>
      </c>
      <c r="AC1217" s="109">
        <v>0.0</v>
      </c>
      <c r="AD1217" s="141">
        <v>0.0</v>
      </c>
      <c r="AE1217" s="80">
        <v>0.0</v>
      </c>
      <c r="AF1217" s="140">
        <v>0.0</v>
      </c>
      <c r="AG1217" s="109">
        <v>0.0</v>
      </c>
      <c r="AH1217" s="109">
        <v>0.0</v>
      </c>
      <c r="AI1217" s="141">
        <v>412.0</v>
      </c>
      <c r="AJ1217" s="80">
        <v>412.0</v>
      </c>
      <c r="AK1217" s="140">
        <v>0.0</v>
      </c>
      <c r="AL1217" s="109">
        <v>0.0</v>
      </c>
      <c r="AM1217" s="141">
        <v>0.0</v>
      </c>
      <c r="AN1217" s="80">
        <v>0.0</v>
      </c>
      <c r="AO1217" s="140">
        <v>0.0</v>
      </c>
      <c r="AP1217" s="109">
        <v>0.0</v>
      </c>
      <c r="AQ1217" s="109">
        <v>299.0</v>
      </c>
      <c r="AR1217" s="80">
        <v>299.0</v>
      </c>
      <c r="AS1217" s="110">
        <v>0.0</v>
      </c>
      <c r="AT1217" s="110">
        <v>0.0</v>
      </c>
      <c r="AU1217" s="110">
        <v>0.0</v>
      </c>
      <c r="AV1217" s="142">
        <v>0.0</v>
      </c>
      <c r="AW1217" s="80">
        <v>0.0</v>
      </c>
      <c r="AX1217" s="113">
        <v>711.0</v>
      </c>
      <c r="AY1217" s="117">
        <v>412.0</v>
      </c>
      <c r="AZ1217" s="328">
        <v>299.0</v>
      </c>
      <c r="BA1217" s="315">
        <v>1.0</v>
      </c>
      <c r="BB1217" s="316">
        <v>712.0</v>
      </c>
      <c r="BC1217" s="132" t="s">
        <v>178</v>
      </c>
      <c r="BD1217" s="132" t="s">
        <v>178</v>
      </c>
      <c r="BE1217" s="132" t="s">
        <v>178</v>
      </c>
      <c r="BF1217" s="114"/>
      <c r="BG1217" s="83">
        <v>1178119.0</v>
      </c>
      <c r="BH1217" s="98">
        <v>20.0</v>
      </c>
      <c r="BI1217" s="98" t="s">
        <v>284</v>
      </c>
      <c r="BJ1217" s="98" t="str">
        <f t="shared" si="1"/>
        <v>INTEGRAL</v>
      </c>
      <c r="BK1217" s="98" t="str">
        <f t="shared" si="2"/>
        <v>NÃO</v>
      </c>
    </row>
    <row r="1218" ht="15.75" customHeight="1">
      <c r="A1218" s="111" t="s">
        <v>1393</v>
      </c>
      <c r="B1218" s="83" t="s">
        <v>2282</v>
      </c>
      <c r="C1218" s="83" t="s">
        <v>68</v>
      </c>
      <c r="D1218" s="83">
        <v>1179224.0</v>
      </c>
      <c r="E1218" s="83"/>
      <c r="F1218" s="83">
        <v>2.9456487E7</v>
      </c>
      <c r="G1218" s="114" t="s">
        <v>11084</v>
      </c>
      <c r="H1218" s="91" t="s">
        <v>6410</v>
      </c>
      <c r="I1218" s="298" t="s">
        <v>6411</v>
      </c>
      <c r="J1218" s="83" t="s">
        <v>2025</v>
      </c>
      <c r="K1218" s="83" t="s">
        <v>151</v>
      </c>
      <c r="L1218" s="83" t="s">
        <v>152</v>
      </c>
      <c r="M1218" s="82" t="s">
        <v>11085</v>
      </c>
      <c r="N1218" s="82" t="s">
        <v>11086</v>
      </c>
      <c r="O1218" s="82" t="s">
        <v>11087</v>
      </c>
      <c r="P1218" s="82" t="s">
        <v>11088</v>
      </c>
      <c r="Q1218" s="82"/>
      <c r="R1218" s="82"/>
      <c r="S1218" s="82" t="s">
        <v>11089</v>
      </c>
      <c r="T1218" s="138">
        <v>6.0</v>
      </c>
      <c r="U1218" s="323">
        <v>6.0</v>
      </c>
      <c r="V1218" s="106">
        <v>0.0</v>
      </c>
      <c r="W1218" s="107">
        <v>0.0</v>
      </c>
      <c r="X1218" s="107">
        <v>0.0</v>
      </c>
      <c r="Y1218" s="107">
        <v>0.0</v>
      </c>
      <c r="Z1218" s="80">
        <v>0.0</v>
      </c>
      <c r="AA1218" s="140">
        <v>0.0</v>
      </c>
      <c r="AB1218" s="109">
        <v>0.0</v>
      </c>
      <c r="AC1218" s="109">
        <v>0.0</v>
      </c>
      <c r="AD1218" s="141">
        <v>0.0</v>
      </c>
      <c r="AE1218" s="80">
        <v>0.0</v>
      </c>
      <c r="AF1218" s="140">
        <v>0.0</v>
      </c>
      <c r="AG1218" s="109">
        <v>0.0</v>
      </c>
      <c r="AH1218" s="109">
        <v>0.0</v>
      </c>
      <c r="AI1218" s="141">
        <v>207.0</v>
      </c>
      <c r="AJ1218" s="80">
        <v>207.0</v>
      </c>
      <c r="AK1218" s="140">
        <v>0.0</v>
      </c>
      <c r="AL1218" s="109">
        <v>0.0</v>
      </c>
      <c r="AM1218" s="141">
        <v>0.0</v>
      </c>
      <c r="AN1218" s="80">
        <v>0.0</v>
      </c>
      <c r="AO1218" s="140">
        <v>0.0</v>
      </c>
      <c r="AP1218" s="109">
        <v>0.0</v>
      </c>
      <c r="AQ1218" s="109">
        <v>104.0</v>
      </c>
      <c r="AR1218" s="80">
        <v>104.0</v>
      </c>
      <c r="AS1218" s="110">
        <v>0.0</v>
      </c>
      <c r="AT1218" s="110">
        <v>0.0</v>
      </c>
      <c r="AU1218" s="110">
        <v>0.0</v>
      </c>
      <c r="AV1218" s="142">
        <v>0.0</v>
      </c>
      <c r="AW1218" s="80">
        <v>0.0</v>
      </c>
      <c r="AX1218" s="113">
        <v>311.0</v>
      </c>
      <c r="AY1218" s="117">
        <v>207.0</v>
      </c>
      <c r="AZ1218" s="328">
        <v>104.0</v>
      </c>
      <c r="BA1218" s="315">
        <v>0.0</v>
      </c>
      <c r="BB1218" s="316">
        <v>311.0</v>
      </c>
      <c r="BC1218" s="132" t="s">
        <v>373</v>
      </c>
      <c r="BD1218" s="132" t="s">
        <v>178</v>
      </c>
      <c r="BE1218" s="132" t="s">
        <v>178</v>
      </c>
      <c r="BF1218" s="156"/>
      <c r="BG1218" s="83">
        <v>1179224.0</v>
      </c>
      <c r="BH1218" s="112">
        <v>6.0</v>
      </c>
      <c r="BI1218" s="98" t="s">
        <v>155</v>
      </c>
      <c r="BJ1218" s="98" t="str">
        <f t="shared" si="1"/>
        <v>INTEGRAL</v>
      </c>
      <c r="BK1218" s="98" t="str">
        <f t="shared" si="2"/>
        <v>NÃO</v>
      </c>
    </row>
    <row r="1219" ht="15.75" customHeight="1">
      <c r="A1219" s="111" t="s">
        <v>1393</v>
      </c>
      <c r="B1219" s="83" t="s">
        <v>2282</v>
      </c>
      <c r="C1219" s="83" t="s">
        <v>68</v>
      </c>
      <c r="D1219" s="83">
        <v>1179223.0</v>
      </c>
      <c r="E1219" s="83"/>
      <c r="F1219" s="83">
        <v>2.9456479E7</v>
      </c>
      <c r="G1219" s="114" t="s">
        <v>11090</v>
      </c>
      <c r="H1219" s="91" t="s">
        <v>6482</v>
      </c>
      <c r="I1219" s="114" t="s">
        <v>6483</v>
      </c>
      <c r="J1219" s="83" t="s">
        <v>150</v>
      </c>
      <c r="K1219" s="83" t="s">
        <v>151</v>
      </c>
      <c r="L1219" s="83" t="s">
        <v>152</v>
      </c>
      <c r="M1219" s="82" t="s">
        <v>11091</v>
      </c>
      <c r="N1219" s="82" t="s">
        <v>11092</v>
      </c>
      <c r="O1219" s="82" t="s">
        <v>11093</v>
      </c>
      <c r="P1219" s="82" t="s">
        <v>11094</v>
      </c>
      <c r="Q1219" s="82" t="s">
        <v>11095</v>
      </c>
      <c r="R1219" s="82" t="s">
        <v>11096</v>
      </c>
      <c r="S1219" s="82" t="s">
        <v>11097</v>
      </c>
      <c r="T1219" s="138">
        <v>8.0</v>
      </c>
      <c r="U1219" s="339" t="s">
        <v>11098</v>
      </c>
      <c r="V1219" s="106">
        <v>0.0</v>
      </c>
      <c r="W1219" s="107">
        <v>0.0</v>
      </c>
      <c r="X1219" s="107">
        <v>0.0</v>
      </c>
      <c r="Y1219" s="107">
        <v>0.0</v>
      </c>
      <c r="Z1219" s="80">
        <v>0.0</v>
      </c>
      <c r="AA1219" s="140">
        <v>0.0</v>
      </c>
      <c r="AB1219" s="109">
        <v>0.0</v>
      </c>
      <c r="AC1219" s="109">
        <v>0.0</v>
      </c>
      <c r="AD1219" s="141">
        <v>0.0</v>
      </c>
      <c r="AE1219" s="80">
        <v>0.0</v>
      </c>
      <c r="AF1219" s="140">
        <v>252.0</v>
      </c>
      <c r="AG1219" s="109">
        <v>256.0</v>
      </c>
      <c r="AH1219" s="109">
        <v>0.0</v>
      </c>
      <c r="AI1219" s="141">
        <v>228.0</v>
      </c>
      <c r="AJ1219" s="80">
        <v>736.0</v>
      </c>
      <c r="AK1219" s="140">
        <v>0.0</v>
      </c>
      <c r="AL1219" s="109">
        <v>0.0</v>
      </c>
      <c r="AM1219" s="141">
        <v>0.0</v>
      </c>
      <c r="AN1219" s="80">
        <v>0.0</v>
      </c>
      <c r="AO1219" s="140">
        <v>0.0</v>
      </c>
      <c r="AP1219" s="109">
        <v>0.0</v>
      </c>
      <c r="AQ1219" s="109">
        <v>276.0</v>
      </c>
      <c r="AR1219" s="80">
        <v>276.0</v>
      </c>
      <c r="AS1219" s="110">
        <v>0.0</v>
      </c>
      <c r="AT1219" s="110">
        <v>0.0</v>
      </c>
      <c r="AU1219" s="110">
        <v>0.0</v>
      </c>
      <c r="AV1219" s="142">
        <v>0.0</v>
      </c>
      <c r="AW1219" s="80">
        <v>0.0</v>
      </c>
      <c r="AX1219" s="113">
        <v>1012.0</v>
      </c>
      <c r="AY1219" s="117">
        <v>736.0</v>
      </c>
      <c r="AZ1219" s="328">
        <v>276.0</v>
      </c>
      <c r="BA1219" s="315">
        <v>1.0</v>
      </c>
      <c r="BB1219" s="316">
        <v>1013.0</v>
      </c>
      <c r="BC1219" s="132" t="s">
        <v>178</v>
      </c>
      <c r="BD1219" s="132" t="s">
        <v>178</v>
      </c>
      <c r="BE1219" s="132" t="s">
        <v>178</v>
      </c>
      <c r="BF1219" s="156"/>
      <c r="BG1219" s="83">
        <v>1179223.0</v>
      </c>
      <c r="BH1219" s="98">
        <v>9.0</v>
      </c>
      <c r="BI1219" s="98" t="s">
        <v>155</v>
      </c>
      <c r="BJ1219" s="98" t="str">
        <f t="shared" si="1"/>
        <v>INTEGRAL</v>
      </c>
      <c r="BK1219" s="98" t="str">
        <f t="shared" si="2"/>
        <v>NÃO</v>
      </c>
    </row>
    <row r="1220" ht="15.75" customHeight="1">
      <c r="A1220" s="111" t="s">
        <v>1393</v>
      </c>
      <c r="B1220" s="83" t="s">
        <v>2282</v>
      </c>
      <c r="C1220" s="83" t="s">
        <v>68</v>
      </c>
      <c r="D1220" s="83">
        <v>1125496.0</v>
      </c>
      <c r="E1220" s="83"/>
      <c r="F1220" s="83">
        <v>2.927981E7</v>
      </c>
      <c r="G1220" s="114" t="s">
        <v>11099</v>
      </c>
      <c r="H1220" s="91" t="s">
        <v>6485</v>
      </c>
      <c r="I1220" s="298" t="s">
        <v>6486</v>
      </c>
      <c r="J1220" s="83" t="s">
        <v>150</v>
      </c>
      <c r="K1220" s="83" t="s">
        <v>151</v>
      </c>
      <c r="L1220" s="83" t="s">
        <v>152</v>
      </c>
      <c r="M1220" s="82" t="s">
        <v>11100</v>
      </c>
      <c r="N1220" s="82" t="s">
        <v>11101</v>
      </c>
      <c r="O1220" s="82" t="s">
        <v>11102</v>
      </c>
      <c r="P1220" s="82" t="s">
        <v>11103</v>
      </c>
      <c r="Q1220" s="82"/>
      <c r="R1220" s="82"/>
      <c r="S1220" s="82" t="s">
        <v>11104</v>
      </c>
      <c r="T1220" s="138">
        <v>14.0</v>
      </c>
      <c r="U1220" s="323">
        <v>14.0</v>
      </c>
      <c r="V1220" s="106">
        <v>0.0</v>
      </c>
      <c r="W1220" s="107">
        <v>0.0</v>
      </c>
      <c r="X1220" s="107">
        <v>0.0</v>
      </c>
      <c r="Y1220" s="107">
        <v>0.0</v>
      </c>
      <c r="Z1220" s="80">
        <v>0.0</v>
      </c>
      <c r="AA1220" s="140">
        <v>0.0</v>
      </c>
      <c r="AB1220" s="109">
        <v>0.0</v>
      </c>
      <c r="AC1220" s="109">
        <v>0.0</v>
      </c>
      <c r="AD1220" s="141">
        <v>0.0</v>
      </c>
      <c r="AE1220" s="80">
        <v>0.0</v>
      </c>
      <c r="AF1220" s="140">
        <v>312.0</v>
      </c>
      <c r="AG1220" s="109">
        <v>191.0</v>
      </c>
      <c r="AH1220" s="109">
        <v>0.0</v>
      </c>
      <c r="AI1220" s="141">
        <v>0.0</v>
      </c>
      <c r="AJ1220" s="80">
        <v>503.0</v>
      </c>
      <c r="AK1220" s="140">
        <v>0.0</v>
      </c>
      <c r="AL1220" s="109">
        <v>0.0</v>
      </c>
      <c r="AM1220" s="141">
        <v>0.0</v>
      </c>
      <c r="AN1220" s="80">
        <v>0.0</v>
      </c>
      <c r="AO1220" s="140">
        <v>0.0</v>
      </c>
      <c r="AP1220" s="109">
        <v>0.0</v>
      </c>
      <c r="AQ1220" s="109">
        <v>0.0</v>
      </c>
      <c r="AR1220" s="80">
        <v>0.0</v>
      </c>
      <c r="AS1220" s="110">
        <v>0.0</v>
      </c>
      <c r="AT1220" s="110">
        <v>0.0</v>
      </c>
      <c r="AU1220" s="110">
        <v>0.0</v>
      </c>
      <c r="AV1220" s="142">
        <v>0.0</v>
      </c>
      <c r="AW1220" s="80">
        <v>0.0</v>
      </c>
      <c r="AX1220" s="113">
        <v>503.0</v>
      </c>
      <c r="AY1220" s="117">
        <v>503.0</v>
      </c>
      <c r="AZ1220" s="328">
        <v>0.0</v>
      </c>
      <c r="BA1220" s="315">
        <v>14.0</v>
      </c>
      <c r="BB1220" s="316">
        <v>517.0</v>
      </c>
      <c r="BC1220" s="132" t="s">
        <v>178</v>
      </c>
      <c r="BD1220" s="132" t="s">
        <v>178</v>
      </c>
      <c r="BE1220" s="132" t="s">
        <v>178</v>
      </c>
      <c r="BF1220" s="123"/>
      <c r="BG1220" s="83">
        <v>1125496.0</v>
      </c>
      <c r="BH1220" s="112">
        <v>14.0</v>
      </c>
      <c r="BI1220" s="98" t="s">
        <v>155</v>
      </c>
      <c r="BJ1220" s="98" t="str">
        <f t="shared" si="1"/>
        <v>NÃO</v>
      </c>
      <c r="BK1220" s="98" t="str">
        <f t="shared" si="2"/>
        <v>NÃO</v>
      </c>
    </row>
    <row r="1221" ht="15.75" customHeight="1">
      <c r="A1221" s="111" t="s">
        <v>1393</v>
      </c>
      <c r="B1221" s="83" t="s">
        <v>2282</v>
      </c>
      <c r="C1221" s="83" t="s">
        <v>68</v>
      </c>
      <c r="D1221" s="83">
        <v>1125461.0</v>
      </c>
      <c r="E1221" s="83"/>
      <c r="F1221" s="83">
        <v>2.9279178E7</v>
      </c>
      <c r="G1221" s="114" t="s">
        <v>11105</v>
      </c>
      <c r="H1221" s="91" t="s">
        <v>11106</v>
      </c>
      <c r="I1221" s="114" t="s">
        <v>11107</v>
      </c>
      <c r="J1221" s="83" t="s">
        <v>150</v>
      </c>
      <c r="K1221" s="83" t="s">
        <v>151</v>
      </c>
      <c r="L1221" s="83" t="s">
        <v>152</v>
      </c>
      <c r="M1221" s="82" t="s">
        <v>11108</v>
      </c>
      <c r="N1221" s="82" t="s">
        <v>11109</v>
      </c>
      <c r="O1221" s="82" t="s">
        <v>11110</v>
      </c>
      <c r="P1221" s="82" t="s">
        <v>11111</v>
      </c>
      <c r="Q1221" s="82" t="s">
        <v>11112</v>
      </c>
      <c r="R1221" s="82" t="s">
        <v>11113</v>
      </c>
      <c r="S1221" s="82" t="s">
        <v>11114</v>
      </c>
      <c r="T1221" s="138">
        <v>10.0</v>
      </c>
      <c r="U1221" s="331" t="s">
        <v>6322</v>
      </c>
      <c r="V1221" s="106">
        <v>0.0</v>
      </c>
      <c r="W1221" s="107">
        <v>0.0</v>
      </c>
      <c r="X1221" s="107">
        <v>0.0</v>
      </c>
      <c r="Y1221" s="107">
        <v>0.0</v>
      </c>
      <c r="Z1221" s="80">
        <v>0.0</v>
      </c>
      <c r="AA1221" s="140">
        <v>0.0</v>
      </c>
      <c r="AB1221" s="109">
        <v>0.0</v>
      </c>
      <c r="AC1221" s="109">
        <v>0.0</v>
      </c>
      <c r="AD1221" s="141">
        <v>0.0</v>
      </c>
      <c r="AE1221" s="80">
        <v>0.0</v>
      </c>
      <c r="AF1221" s="140">
        <v>212.0</v>
      </c>
      <c r="AG1221" s="109">
        <v>101.0</v>
      </c>
      <c r="AH1221" s="109">
        <v>39.0</v>
      </c>
      <c r="AI1221" s="141">
        <v>234.0</v>
      </c>
      <c r="AJ1221" s="80">
        <v>586.0</v>
      </c>
      <c r="AK1221" s="140">
        <v>0.0</v>
      </c>
      <c r="AL1221" s="109">
        <v>0.0</v>
      </c>
      <c r="AM1221" s="141">
        <v>0.0</v>
      </c>
      <c r="AN1221" s="80">
        <v>0.0</v>
      </c>
      <c r="AO1221" s="140">
        <v>0.0</v>
      </c>
      <c r="AP1221" s="109">
        <v>0.0</v>
      </c>
      <c r="AQ1221" s="109">
        <v>211.0</v>
      </c>
      <c r="AR1221" s="80">
        <v>211.0</v>
      </c>
      <c r="AS1221" s="110">
        <v>0.0</v>
      </c>
      <c r="AT1221" s="110">
        <v>0.0</v>
      </c>
      <c r="AU1221" s="110">
        <v>0.0</v>
      </c>
      <c r="AV1221" s="142">
        <v>0.0</v>
      </c>
      <c r="AW1221" s="80">
        <v>0.0</v>
      </c>
      <c r="AX1221" s="113">
        <v>797.0</v>
      </c>
      <c r="AY1221" s="117">
        <v>547.0</v>
      </c>
      <c r="AZ1221" s="328">
        <v>250.0</v>
      </c>
      <c r="BA1221" s="315">
        <v>1.0</v>
      </c>
      <c r="BB1221" s="316">
        <v>798.0</v>
      </c>
      <c r="BC1221" s="132" t="s">
        <v>178</v>
      </c>
      <c r="BD1221" s="132" t="s">
        <v>178</v>
      </c>
      <c r="BE1221" s="132" t="s">
        <v>178</v>
      </c>
      <c r="BF1221" s="123"/>
      <c r="BG1221" s="83">
        <v>1125461.0</v>
      </c>
      <c r="BH1221" s="98">
        <v>11.0</v>
      </c>
      <c r="BI1221" s="98" t="s">
        <v>155</v>
      </c>
      <c r="BJ1221" s="98" t="str">
        <f t="shared" si="1"/>
        <v>INTEGRAL</v>
      </c>
      <c r="BK1221" s="98" t="str">
        <f t="shared" si="2"/>
        <v>NÃO</v>
      </c>
    </row>
    <row r="1222" ht="15.75" customHeight="1">
      <c r="A1222" s="111" t="s">
        <v>1393</v>
      </c>
      <c r="B1222" s="83" t="s">
        <v>2282</v>
      </c>
      <c r="C1222" s="83" t="s">
        <v>68</v>
      </c>
      <c r="D1222" s="83">
        <v>1125232.0</v>
      </c>
      <c r="E1222" s="83"/>
      <c r="F1222" s="83">
        <v>2.9277728E7</v>
      </c>
      <c r="G1222" s="114" t="s">
        <v>11115</v>
      </c>
      <c r="H1222" s="91" t="s">
        <v>11116</v>
      </c>
      <c r="I1222" s="298" t="s">
        <v>6403</v>
      </c>
      <c r="J1222" s="83" t="s">
        <v>150</v>
      </c>
      <c r="K1222" s="83" t="s">
        <v>151</v>
      </c>
      <c r="L1222" s="83" t="s">
        <v>152</v>
      </c>
      <c r="M1222" s="82" t="s">
        <v>11117</v>
      </c>
      <c r="N1222" s="82" t="s">
        <v>11118</v>
      </c>
      <c r="O1222" s="82" t="s">
        <v>10964</v>
      </c>
      <c r="P1222" s="82" t="s">
        <v>11119</v>
      </c>
      <c r="Q1222" s="82"/>
      <c r="R1222" s="82"/>
      <c r="S1222" s="82" t="s">
        <v>11120</v>
      </c>
      <c r="T1222" s="138">
        <v>20.0</v>
      </c>
      <c r="U1222" s="331" t="s">
        <v>11121</v>
      </c>
      <c r="V1222" s="106">
        <v>0.0</v>
      </c>
      <c r="W1222" s="107">
        <v>0.0</v>
      </c>
      <c r="X1222" s="107">
        <v>0.0</v>
      </c>
      <c r="Y1222" s="107">
        <v>0.0</v>
      </c>
      <c r="Z1222" s="80">
        <v>0.0</v>
      </c>
      <c r="AA1222" s="140">
        <v>0.0</v>
      </c>
      <c r="AB1222" s="109">
        <v>0.0</v>
      </c>
      <c r="AC1222" s="109">
        <v>0.0</v>
      </c>
      <c r="AD1222" s="141">
        <v>0.0</v>
      </c>
      <c r="AE1222" s="80">
        <v>0.0</v>
      </c>
      <c r="AF1222" s="140">
        <v>163.0</v>
      </c>
      <c r="AG1222" s="109">
        <v>24.0</v>
      </c>
      <c r="AH1222" s="109">
        <v>0.0</v>
      </c>
      <c r="AI1222" s="141">
        <v>0.0</v>
      </c>
      <c r="AJ1222" s="80">
        <v>187.0</v>
      </c>
      <c r="AK1222" s="140">
        <v>0.0</v>
      </c>
      <c r="AL1222" s="109">
        <v>0.0</v>
      </c>
      <c r="AM1222" s="141">
        <v>0.0</v>
      </c>
      <c r="AN1222" s="80">
        <v>0.0</v>
      </c>
      <c r="AO1222" s="140">
        <v>0.0</v>
      </c>
      <c r="AP1222" s="109">
        <v>52.0</v>
      </c>
      <c r="AQ1222" s="109">
        <v>0.0</v>
      </c>
      <c r="AR1222" s="80">
        <v>52.0</v>
      </c>
      <c r="AS1222" s="110">
        <v>0.0</v>
      </c>
      <c r="AT1222" s="110">
        <v>0.0</v>
      </c>
      <c r="AU1222" s="110">
        <v>0.0</v>
      </c>
      <c r="AV1222" s="142">
        <v>0.0</v>
      </c>
      <c r="AW1222" s="80">
        <v>0.0</v>
      </c>
      <c r="AX1222" s="113">
        <v>239.0</v>
      </c>
      <c r="AY1222" s="117">
        <v>239.0</v>
      </c>
      <c r="AZ1222" s="328">
        <v>0.0</v>
      </c>
      <c r="BA1222" s="315">
        <v>0.0</v>
      </c>
      <c r="BB1222" s="316">
        <v>239.0</v>
      </c>
      <c r="BC1222" s="132" t="s">
        <v>178</v>
      </c>
      <c r="BD1222" s="132" t="s">
        <v>178</v>
      </c>
      <c r="BE1222" s="132" t="s">
        <v>178</v>
      </c>
      <c r="BF1222" s="123"/>
      <c r="BG1222" s="83">
        <v>1125232.0</v>
      </c>
      <c r="BH1222" s="98">
        <v>17.0</v>
      </c>
      <c r="BI1222" s="98" t="s">
        <v>155</v>
      </c>
      <c r="BJ1222" s="98" t="str">
        <f t="shared" si="1"/>
        <v>NÃO</v>
      </c>
      <c r="BK1222" s="98" t="str">
        <f t="shared" si="2"/>
        <v>NÃO</v>
      </c>
    </row>
    <row r="1223" ht="15.75" customHeight="1">
      <c r="A1223" s="111" t="s">
        <v>1393</v>
      </c>
      <c r="B1223" s="83" t="s">
        <v>2282</v>
      </c>
      <c r="C1223" s="83" t="s">
        <v>68</v>
      </c>
      <c r="D1223" s="83">
        <v>1179246.0</v>
      </c>
      <c r="E1223" s="83"/>
      <c r="F1223" s="83">
        <v>2.9457491E7</v>
      </c>
      <c r="G1223" s="114" t="s">
        <v>11122</v>
      </c>
      <c r="H1223" s="91" t="s">
        <v>6442</v>
      </c>
      <c r="I1223" s="114" t="s">
        <v>6443</v>
      </c>
      <c r="J1223" s="83" t="s">
        <v>923</v>
      </c>
      <c r="K1223" s="83" t="s">
        <v>6444</v>
      </c>
      <c r="L1223" s="83" t="s">
        <v>169</v>
      </c>
      <c r="M1223" s="82" t="s">
        <v>11123</v>
      </c>
      <c r="N1223" s="82" t="s">
        <v>11124</v>
      </c>
      <c r="O1223" s="82"/>
      <c r="P1223" s="82"/>
      <c r="Q1223" s="82"/>
      <c r="R1223" s="82"/>
      <c r="S1223" s="82" t="s">
        <v>3059</v>
      </c>
      <c r="T1223" s="138">
        <v>6.0</v>
      </c>
      <c r="U1223" s="331">
        <v>4.0</v>
      </c>
      <c r="V1223" s="106">
        <v>0.0</v>
      </c>
      <c r="W1223" s="107">
        <v>0.0</v>
      </c>
      <c r="X1223" s="107">
        <v>0.0</v>
      </c>
      <c r="Y1223" s="107">
        <v>0.0</v>
      </c>
      <c r="Z1223" s="80">
        <v>0.0</v>
      </c>
      <c r="AA1223" s="140">
        <v>0.0</v>
      </c>
      <c r="AB1223" s="109">
        <v>0.0</v>
      </c>
      <c r="AC1223" s="109">
        <v>0.0</v>
      </c>
      <c r="AD1223" s="141">
        <v>0.0</v>
      </c>
      <c r="AE1223" s="80">
        <v>0.0</v>
      </c>
      <c r="AF1223" s="140">
        <v>0.0</v>
      </c>
      <c r="AG1223" s="109">
        <v>0.0</v>
      </c>
      <c r="AH1223" s="109">
        <v>0.0</v>
      </c>
      <c r="AI1223" s="141">
        <v>0.0</v>
      </c>
      <c r="AJ1223" s="80">
        <v>0.0</v>
      </c>
      <c r="AK1223" s="140">
        <v>0.0</v>
      </c>
      <c r="AL1223" s="109">
        <v>0.0</v>
      </c>
      <c r="AM1223" s="141">
        <v>0.0</v>
      </c>
      <c r="AN1223" s="80">
        <v>0.0</v>
      </c>
      <c r="AO1223" s="140">
        <v>0.0</v>
      </c>
      <c r="AP1223" s="109">
        <v>0.0</v>
      </c>
      <c r="AQ1223" s="109">
        <v>58.0</v>
      </c>
      <c r="AR1223" s="80">
        <v>58.0</v>
      </c>
      <c r="AS1223" s="110">
        <v>0.0</v>
      </c>
      <c r="AT1223" s="110">
        <v>0.0</v>
      </c>
      <c r="AU1223" s="110">
        <v>0.0</v>
      </c>
      <c r="AV1223" s="142">
        <v>0.0</v>
      </c>
      <c r="AW1223" s="80">
        <v>0.0</v>
      </c>
      <c r="AX1223" s="113">
        <v>58.0</v>
      </c>
      <c r="AY1223" s="117">
        <v>0.0</v>
      </c>
      <c r="AZ1223" s="328">
        <v>58.0</v>
      </c>
      <c r="BA1223" s="315">
        <v>0.0</v>
      </c>
      <c r="BB1223" s="316">
        <v>58.0</v>
      </c>
      <c r="BC1223" s="132" t="s">
        <v>373</v>
      </c>
      <c r="BD1223" s="132" t="s">
        <v>178</v>
      </c>
      <c r="BE1223" s="132" t="s">
        <v>178</v>
      </c>
      <c r="BF1223" s="123"/>
      <c r="BG1223" s="83">
        <v>1179246.0</v>
      </c>
      <c r="BH1223" s="112">
        <v>4.0</v>
      </c>
      <c r="BI1223" s="98" t="s">
        <v>155</v>
      </c>
      <c r="BJ1223" s="98" t="str">
        <f t="shared" si="1"/>
        <v>NÃO</v>
      </c>
      <c r="BK1223" s="98" t="str">
        <f t="shared" si="2"/>
        <v>NÃO</v>
      </c>
    </row>
    <row r="1224" ht="15.75" customHeight="1">
      <c r="A1224" s="111" t="s">
        <v>1393</v>
      </c>
      <c r="B1224" s="83" t="s">
        <v>2282</v>
      </c>
      <c r="C1224" s="83" t="s">
        <v>68</v>
      </c>
      <c r="D1224" s="83">
        <v>1125640.0</v>
      </c>
      <c r="E1224" s="83"/>
      <c r="F1224" s="83">
        <v>2.9277787E7</v>
      </c>
      <c r="G1224" s="114" t="s">
        <v>11125</v>
      </c>
      <c r="H1224" s="91" t="s">
        <v>6493</v>
      </c>
      <c r="I1224" s="298" t="s">
        <v>6494</v>
      </c>
      <c r="J1224" s="83" t="s">
        <v>150</v>
      </c>
      <c r="K1224" s="83" t="s">
        <v>151</v>
      </c>
      <c r="L1224" s="83" t="s">
        <v>152</v>
      </c>
      <c r="M1224" s="82" t="s">
        <v>11126</v>
      </c>
      <c r="N1224" s="82" t="s">
        <v>171</v>
      </c>
      <c r="O1224" s="82" t="s">
        <v>11127</v>
      </c>
      <c r="P1224" s="82" t="s">
        <v>11128</v>
      </c>
      <c r="Q1224" s="82" t="s">
        <v>11129</v>
      </c>
      <c r="R1224" s="82" t="s">
        <v>11130</v>
      </c>
      <c r="S1224" s="82" t="s">
        <v>11131</v>
      </c>
      <c r="T1224" s="138">
        <v>16.0</v>
      </c>
      <c r="U1224" s="331" t="s">
        <v>11132</v>
      </c>
      <c r="V1224" s="106">
        <v>0.0</v>
      </c>
      <c r="W1224" s="107">
        <v>0.0</v>
      </c>
      <c r="X1224" s="107">
        <v>0.0</v>
      </c>
      <c r="Y1224" s="107">
        <v>0.0</v>
      </c>
      <c r="Z1224" s="80">
        <v>0.0</v>
      </c>
      <c r="AA1224" s="140">
        <v>144.0</v>
      </c>
      <c r="AB1224" s="109">
        <v>407.0</v>
      </c>
      <c r="AC1224" s="109">
        <v>0.0</v>
      </c>
      <c r="AD1224" s="141">
        <v>0.0</v>
      </c>
      <c r="AE1224" s="80">
        <v>551.0</v>
      </c>
      <c r="AF1224" s="140">
        <v>340.0</v>
      </c>
      <c r="AG1224" s="109">
        <v>0.0</v>
      </c>
      <c r="AH1224" s="109">
        <v>212.0</v>
      </c>
      <c r="AI1224" s="141">
        <v>0.0</v>
      </c>
      <c r="AJ1224" s="80">
        <v>552.0</v>
      </c>
      <c r="AK1224" s="140">
        <v>0.0</v>
      </c>
      <c r="AL1224" s="109">
        <v>0.0</v>
      </c>
      <c r="AM1224" s="141">
        <v>0.0</v>
      </c>
      <c r="AN1224" s="80">
        <v>0.0</v>
      </c>
      <c r="AO1224" s="140">
        <v>0.0</v>
      </c>
      <c r="AP1224" s="109">
        <v>0.0</v>
      </c>
      <c r="AQ1224" s="109">
        <v>0.0</v>
      </c>
      <c r="AR1224" s="80">
        <v>0.0</v>
      </c>
      <c r="AS1224" s="110">
        <v>0.0</v>
      </c>
      <c r="AT1224" s="110">
        <v>0.0</v>
      </c>
      <c r="AU1224" s="110">
        <v>0.0</v>
      </c>
      <c r="AV1224" s="142">
        <v>0.0</v>
      </c>
      <c r="AW1224" s="80">
        <v>0.0</v>
      </c>
      <c r="AX1224" s="113">
        <v>1103.0</v>
      </c>
      <c r="AY1224" s="117">
        <v>891.0</v>
      </c>
      <c r="AZ1224" s="328">
        <v>212.0</v>
      </c>
      <c r="BA1224" s="315">
        <v>0.0</v>
      </c>
      <c r="BB1224" s="316">
        <v>1103.0</v>
      </c>
      <c r="BC1224" s="143" t="s">
        <v>1014</v>
      </c>
      <c r="BD1224" s="132" t="s">
        <v>178</v>
      </c>
      <c r="BE1224" s="132" t="s">
        <v>178</v>
      </c>
      <c r="BF1224" s="123"/>
      <c r="BG1224" s="83">
        <v>1125640.0</v>
      </c>
      <c r="BH1224" s="112">
        <v>16.0</v>
      </c>
      <c r="BI1224" s="98" t="s">
        <v>284</v>
      </c>
      <c r="BJ1224" s="98" t="str">
        <f t="shared" si="1"/>
        <v>NÃO</v>
      </c>
      <c r="BK1224" s="98" t="str">
        <f t="shared" si="2"/>
        <v>NÃO</v>
      </c>
    </row>
    <row r="1225" ht="15.75" customHeight="1">
      <c r="A1225" s="111" t="s">
        <v>1393</v>
      </c>
      <c r="B1225" s="83" t="s">
        <v>2282</v>
      </c>
      <c r="C1225" s="83" t="s">
        <v>68</v>
      </c>
      <c r="D1225" s="83">
        <v>1125224.0</v>
      </c>
      <c r="E1225" s="136"/>
      <c r="F1225" s="136">
        <v>2.9278112E7</v>
      </c>
      <c r="G1225" s="187" t="s">
        <v>6497</v>
      </c>
      <c r="H1225" s="91" t="s">
        <v>6498</v>
      </c>
      <c r="I1225" s="114" t="s">
        <v>6499</v>
      </c>
      <c r="J1225" s="83" t="s">
        <v>150</v>
      </c>
      <c r="K1225" s="83" t="s">
        <v>151</v>
      </c>
      <c r="L1225" s="83" t="s">
        <v>169</v>
      </c>
      <c r="M1225" s="82" t="s">
        <v>11133</v>
      </c>
      <c r="N1225" s="82" t="s">
        <v>11134</v>
      </c>
      <c r="O1225" s="82" t="s">
        <v>11135</v>
      </c>
      <c r="P1225" s="82" t="s">
        <v>11136</v>
      </c>
      <c r="Q1225" s="82"/>
      <c r="R1225" s="82"/>
      <c r="S1225" s="82" t="s">
        <v>11137</v>
      </c>
      <c r="T1225" s="138">
        <v>6.0</v>
      </c>
      <c r="U1225" s="323">
        <v>5.0</v>
      </c>
      <c r="V1225" s="106">
        <v>0.0</v>
      </c>
      <c r="W1225" s="107">
        <v>0.0</v>
      </c>
      <c r="X1225" s="107">
        <v>0.0</v>
      </c>
      <c r="Y1225" s="107">
        <v>0.0</v>
      </c>
      <c r="Z1225" s="80">
        <v>0.0</v>
      </c>
      <c r="AA1225" s="140">
        <v>0.0</v>
      </c>
      <c r="AB1225" s="109">
        <v>0.0</v>
      </c>
      <c r="AC1225" s="109">
        <v>0.0</v>
      </c>
      <c r="AD1225" s="141">
        <v>0.0</v>
      </c>
      <c r="AE1225" s="80">
        <v>0.0</v>
      </c>
      <c r="AF1225" s="140">
        <v>0.0</v>
      </c>
      <c r="AG1225" s="109">
        <v>0.0</v>
      </c>
      <c r="AH1225" s="109">
        <v>0.0</v>
      </c>
      <c r="AI1225" s="141">
        <v>0.0</v>
      </c>
      <c r="AJ1225" s="80">
        <v>0.0</v>
      </c>
      <c r="AK1225" s="140">
        <v>48.0</v>
      </c>
      <c r="AL1225" s="109">
        <v>53.0</v>
      </c>
      <c r="AM1225" s="141">
        <v>0.0</v>
      </c>
      <c r="AN1225" s="80">
        <v>101.0</v>
      </c>
      <c r="AO1225" s="140">
        <v>32.0</v>
      </c>
      <c r="AP1225" s="109">
        <v>45.0</v>
      </c>
      <c r="AQ1225" s="109">
        <v>0.0</v>
      </c>
      <c r="AR1225" s="80">
        <v>77.0</v>
      </c>
      <c r="AS1225" s="110">
        <v>0.0</v>
      </c>
      <c r="AT1225" s="110">
        <v>0.0</v>
      </c>
      <c r="AU1225" s="110">
        <v>0.0</v>
      </c>
      <c r="AV1225" s="142">
        <v>0.0</v>
      </c>
      <c r="AW1225" s="80">
        <v>0.0</v>
      </c>
      <c r="AX1225" s="113">
        <v>178.0</v>
      </c>
      <c r="AY1225" s="117">
        <v>178.0</v>
      </c>
      <c r="AZ1225" s="328">
        <v>0.0</v>
      </c>
      <c r="BA1225" s="315">
        <v>0.0</v>
      </c>
      <c r="BB1225" s="316">
        <v>178.0</v>
      </c>
      <c r="BC1225" s="143" t="s">
        <v>563</v>
      </c>
      <c r="BD1225" s="132" t="s">
        <v>178</v>
      </c>
      <c r="BE1225" s="132" t="s">
        <v>178</v>
      </c>
      <c r="BF1225" s="156"/>
      <c r="BG1225" s="83">
        <v>1125224.0</v>
      </c>
      <c r="BH1225" s="112">
        <v>5.0</v>
      </c>
      <c r="BI1225" s="98" t="s">
        <v>155</v>
      </c>
      <c r="BJ1225" s="98" t="str">
        <f t="shared" si="1"/>
        <v>NÃO</v>
      </c>
      <c r="BK1225" s="98" t="str">
        <f t="shared" si="2"/>
        <v>NÃO</v>
      </c>
    </row>
    <row r="1226" ht="15.75" customHeight="1">
      <c r="A1226" s="111" t="s">
        <v>1393</v>
      </c>
      <c r="B1226" s="83" t="s">
        <v>2282</v>
      </c>
      <c r="C1226" s="83" t="s">
        <v>68</v>
      </c>
      <c r="D1226" s="83">
        <v>1125429.0</v>
      </c>
      <c r="E1226" s="136"/>
      <c r="F1226" s="136">
        <v>2.927799E7</v>
      </c>
      <c r="G1226" s="187" t="s">
        <v>6501</v>
      </c>
      <c r="H1226" s="91" t="s">
        <v>6502</v>
      </c>
      <c r="I1226" s="298" t="s">
        <v>6403</v>
      </c>
      <c r="J1226" s="83" t="s">
        <v>150</v>
      </c>
      <c r="K1226" s="83" t="s">
        <v>151</v>
      </c>
      <c r="L1226" s="83" t="s">
        <v>230</v>
      </c>
      <c r="M1226" s="82" t="s">
        <v>11138</v>
      </c>
      <c r="N1226" s="82" t="s">
        <v>11139</v>
      </c>
      <c r="O1226" s="82" t="s">
        <v>11140</v>
      </c>
      <c r="P1226" s="82" t="s">
        <v>11141</v>
      </c>
      <c r="Q1226" s="82" t="s">
        <v>11142</v>
      </c>
      <c r="R1226" s="82" t="s">
        <v>11143</v>
      </c>
      <c r="S1226" s="82" t="s">
        <v>11144</v>
      </c>
      <c r="T1226" s="138">
        <v>26.0</v>
      </c>
      <c r="U1226" s="389">
        <v>17.0</v>
      </c>
      <c r="V1226" s="106">
        <v>0.0</v>
      </c>
      <c r="W1226" s="107">
        <v>0.0</v>
      </c>
      <c r="X1226" s="107">
        <v>0.0</v>
      </c>
      <c r="Y1226" s="107">
        <v>0.0</v>
      </c>
      <c r="Z1226" s="80">
        <v>0.0</v>
      </c>
      <c r="AA1226" s="140">
        <v>0.0</v>
      </c>
      <c r="AB1226" s="109">
        <v>0.0</v>
      </c>
      <c r="AC1226" s="109">
        <v>0.0</v>
      </c>
      <c r="AD1226" s="141">
        <v>0.0</v>
      </c>
      <c r="AE1226" s="80">
        <v>0.0</v>
      </c>
      <c r="AF1226" s="140">
        <v>0.0</v>
      </c>
      <c r="AG1226" s="109">
        <v>0.0</v>
      </c>
      <c r="AH1226" s="109">
        <v>0.0</v>
      </c>
      <c r="AI1226" s="141">
        <v>0.0</v>
      </c>
      <c r="AJ1226" s="80">
        <v>0.0</v>
      </c>
      <c r="AK1226" s="140">
        <v>0.0</v>
      </c>
      <c r="AL1226" s="109">
        <v>0.0</v>
      </c>
      <c r="AM1226" s="141">
        <v>0.0</v>
      </c>
      <c r="AN1226" s="80">
        <v>0.0</v>
      </c>
      <c r="AO1226" s="140">
        <v>0.0</v>
      </c>
      <c r="AP1226" s="109">
        <v>0.0</v>
      </c>
      <c r="AQ1226" s="109">
        <v>0.0</v>
      </c>
      <c r="AR1226" s="80">
        <v>0.0</v>
      </c>
      <c r="AS1226" s="110">
        <v>500.0</v>
      </c>
      <c r="AT1226" s="110">
        <v>492.0</v>
      </c>
      <c r="AU1226" s="110">
        <v>179.0</v>
      </c>
      <c r="AV1226" s="142">
        <v>0.0</v>
      </c>
      <c r="AW1226" s="80">
        <v>1171.0</v>
      </c>
      <c r="AX1226" s="113">
        <v>1171.0</v>
      </c>
      <c r="AY1226" s="117">
        <v>992.0</v>
      </c>
      <c r="AZ1226" s="328">
        <v>179.0</v>
      </c>
      <c r="BA1226" s="315">
        <v>0.0</v>
      </c>
      <c r="BB1226" s="316">
        <v>1171.0</v>
      </c>
      <c r="BC1226" s="132" t="s">
        <v>178</v>
      </c>
      <c r="BD1226" s="132" t="s">
        <v>522</v>
      </c>
      <c r="BE1226" s="132" t="s">
        <v>178</v>
      </c>
      <c r="BF1226" s="123"/>
      <c r="BG1226" s="83">
        <v>1125429.0</v>
      </c>
      <c r="BH1226" s="112">
        <v>17.0</v>
      </c>
      <c r="BI1226" s="98" t="s">
        <v>284</v>
      </c>
      <c r="BJ1226" s="98" t="str">
        <f t="shared" si="1"/>
        <v>NÃO</v>
      </c>
      <c r="BK1226" s="98" t="str">
        <f t="shared" si="2"/>
        <v>PROFISSIONAL</v>
      </c>
    </row>
    <row r="1227" ht="15.75" customHeight="1">
      <c r="A1227" s="111" t="s">
        <v>1393</v>
      </c>
      <c r="B1227" s="83" t="s">
        <v>2282</v>
      </c>
      <c r="C1227" s="83" t="s">
        <v>68</v>
      </c>
      <c r="D1227" s="83">
        <v>1179285.0</v>
      </c>
      <c r="E1227" s="83"/>
      <c r="F1227" s="83">
        <v>2.9461472E7</v>
      </c>
      <c r="G1227" s="114" t="s">
        <v>6513</v>
      </c>
      <c r="H1227" s="91" t="s">
        <v>11145</v>
      </c>
      <c r="I1227" s="114" t="s">
        <v>149</v>
      </c>
      <c r="J1227" s="83" t="s">
        <v>150</v>
      </c>
      <c r="K1227" s="83" t="s">
        <v>151</v>
      </c>
      <c r="L1227" s="83" t="s">
        <v>230</v>
      </c>
      <c r="M1227" s="82" t="s">
        <v>10833</v>
      </c>
      <c r="N1227" s="82" t="s">
        <v>10834</v>
      </c>
      <c r="O1227" s="82" t="s">
        <v>10835</v>
      </c>
      <c r="P1227" s="82" t="s">
        <v>10836</v>
      </c>
      <c r="Q1227" s="82"/>
      <c r="R1227" s="82"/>
      <c r="S1227" s="82" t="s">
        <v>10837</v>
      </c>
      <c r="T1227" s="138" t="s">
        <v>171</v>
      </c>
      <c r="U1227" s="331" t="s">
        <v>533</v>
      </c>
      <c r="V1227" s="106">
        <v>0.0</v>
      </c>
      <c r="W1227" s="107">
        <v>0.0</v>
      </c>
      <c r="X1227" s="107">
        <v>0.0</v>
      </c>
      <c r="Y1227" s="107">
        <v>0.0</v>
      </c>
      <c r="Z1227" s="80">
        <v>0.0</v>
      </c>
      <c r="AA1227" s="140">
        <v>0.0</v>
      </c>
      <c r="AB1227" s="109">
        <v>0.0</v>
      </c>
      <c r="AC1227" s="109">
        <v>0.0</v>
      </c>
      <c r="AD1227" s="141">
        <v>0.0</v>
      </c>
      <c r="AE1227" s="80">
        <v>0.0</v>
      </c>
      <c r="AF1227" s="140">
        <v>0.0</v>
      </c>
      <c r="AG1227" s="109">
        <v>0.0</v>
      </c>
      <c r="AH1227" s="109">
        <v>0.0</v>
      </c>
      <c r="AI1227" s="141">
        <v>0.0</v>
      </c>
      <c r="AJ1227" s="80">
        <v>0.0</v>
      </c>
      <c r="AK1227" s="140">
        <v>0.0</v>
      </c>
      <c r="AL1227" s="109">
        <v>0.0</v>
      </c>
      <c r="AM1227" s="141">
        <v>0.0</v>
      </c>
      <c r="AN1227" s="80">
        <v>0.0</v>
      </c>
      <c r="AO1227" s="140">
        <v>0.0</v>
      </c>
      <c r="AP1227" s="109">
        <v>0.0</v>
      </c>
      <c r="AQ1227" s="109">
        <v>0.0</v>
      </c>
      <c r="AR1227" s="80">
        <v>0.0</v>
      </c>
      <c r="AS1227" s="110">
        <v>0.0</v>
      </c>
      <c r="AT1227" s="110">
        <v>0.0</v>
      </c>
      <c r="AU1227" s="110">
        <v>0.0</v>
      </c>
      <c r="AV1227" s="142">
        <v>0.0</v>
      </c>
      <c r="AW1227" s="80">
        <v>0.0</v>
      </c>
      <c r="AX1227" s="113">
        <v>0.0</v>
      </c>
      <c r="AY1227" s="117">
        <v>0.0</v>
      </c>
      <c r="AZ1227" s="328">
        <v>0.0</v>
      </c>
      <c r="BA1227" s="315">
        <v>0.0</v>
      </c>
      <c r="BB1227" s="316">
        <v>0.0</v>
      </c>
      <c r="BC1227" s="132" t="s">
        <v>178</v>
      </c>
      <c r="BD1227" s="143" t="s">
        <v>227</v>
      </c>
      <c r="BE1227" s="132" t="s">
        <v>178</v>
      </c>
      <c r="BF1227" s="156" t="s">
        <v>534</v>
      </c>
      <c r="BG1227" s="83">
        <v>1179285.0</v>
      </c>
      <c r="BH1227" s="112">
        <v>0.0</v>
      </c>
      <c r="BI1227" s="98" t="s">
        <v>155</v>
      </c>
      <c r="BJ1227" s="98" t="str">
        <f t="shared" si="1"/>
        <v>NÃO</v>
      </c>
      <c r="BK1227" s="98" t="str">
        <f t="shared" si="2"/>
        <v>NÃO</v>
      </c>
    </row>
    <row r="1228" ht="15.75" customHeight="1">
      <c r="A1228" s="111" t="s">
        <v>1393</v>
      </c>
      <c r="B1228" s="83" t="s">
        <v>2282</v>
      </c>
      <c r="C1228" s="83" t="s">
        <v>68</v>
      </c>
      <c r="D1228" s="83">
        <v>1179448.0</v>
      </c>
      <c r="E1228" s="136"/>
      <c r="F1228" s="136">
        <v>2.9467861E7</v>
      </c>
      <c r="G1228" s="187" t="s">
        <v>6518</v>
      </c>
      <c r="H1228" s="91" t="s">
        <v>6519</v>
      </c>
      <c r="I1228" s="298" t="s">
        <v>6427</v>
      </c>
      <c r="J1228" s="83" t="s">
        <v>150</v>
      </c>
      <c r="K1228" s="83" t="s">
        <v>151</v>
      </c>
      <c r="L1228" s="83" t="s">
        <v>230</v>
      </c>
      <c r="M1228" s="82" t="s">
        <v>11146</v>
      </c>
      <c r="N1228" s="82" t="s">
        <v>11147</v>
      </c>
      <c r="O1228" s="82" t="s">
        <v>11148</v>
      </c>
      <c r="P1228" s="82" t="s">
        <v>11149</v>
      </c>
      <c r="Q1228" s="82" t="s">
        <v>11150</v>
      </c>
      <c r="R1228" s="82" t="s">
        <v>11151</v>
      </c>
      <c r="S1228" s="82" t="s">
        <v>11152</v>
      </c>
      <c r="T1228" s="138" t="s">
        <v>171</v>
      </c>
      <c r="U1228" s="389">
        <v>7.0</v>
      </c>
      <c r="V1228" s="355">
        <v>0.0</v>
      </c>
      <c r="W1228" s="246">
        <v>0.0</v>
      </c>
      <c r="X1228" s="246">
        <v>0.0</v>
      </c>
      <c r="Y1228" s="246">
        <v>0.0</v>
      </c>
      <c r="Z1228" s="80">
        <v>0.0</v>
      </c>
      <c r="AA1228" s="140">
        <v>0.0</v>
      </c>
      <c r="AB1228" s="109">
        <v>0.0</v>
      </c>
      <c r="AC1228" s="109">
        <v>0.0</v>
      </c>
      <c r="AD1228" s="141">
        <v>0.0</v>
      </c>
      <c r="AE1228" s="80">
        <v>0.0</v>
      </c>
      <c r="AF1228" s="140">
        <v>0.0</v>
      </c>
      <c r="AG1228" s="109">
        <v>0.0</v>
      </c>
      <c r="AH1228" s="109">
        <v>0.0</v>
      </c>
      <c r="AI1228" s="141">
        <v>0.0</v>
      </c>
      <c r="AJ1228" s="80">
        <v>0.0</v>
      </c>
      <c r="AK1228" s="140">
        <v>0.0</v>
      </c>
      <c r="AL1228" s="109">
        <v>0.0</v>
      </c>
      <c r="AM1228" s="141">
        <v>0.0</v>
      </c>
      <c r="AN1228" s="80">
        <v>0.0</v>
      </c>
      <c r="AO1228" s="140">
        <v>0.0</v>
      </c>
      <c r="AP1228" s="109">
        <v>0.0</v>
      </c>
      <c r="AQ1228" s="109">
        <v>0.0</v>
      </c>
      <c r="AR1228" s="80">
        <v>0.0</v>
      </c>
      <c r="AS1228" s="110">
        <v>0.0</v>
      </c>
      <c r="AT1228" s="110">
        <v>0.0</v>
      </c>
      <c r="AU1228" s="110">
        <v>0.0</v>
      </c>
      <c r="AV1228" s="142">
        <v>0.0</v>
      </c>
      <c r="AW1228" s="80">
        <v>0.0</v>
      </c>
      <c r="AX1228" s="346">
        <v>1839.0</v>
      </c>
      <c r="AY1228" s="347">
        <v>1465.0</v>
      </c>
      <c r="AZ1228" s="348">
        <v>374.0</v>
      </c>
      <c r="BA1228" s="349">
        <v>0.0</v>
      </c>
      <c r="BB1228" s="316">
        <v>1839.0</v>
      </c>
      <c r="BC1228" s="143" t="s">
        <v>547</v>
      </c>
      <c r="BD1228" s="132" t="s">
        <v>178</v>
      </c>
      <c r="BE1228" s="132" t="s">
        <v>178</v>
      </c>
      <c r="BF1228" s="123"/>
      <c r="BG1228" s="83">
        <v>1179448.0</v>
      </c>
      <c r="BH1228" s="112">
        <v>7.0</v>
      </c>
      <c r="BI1228" s="98" t="s">
        <v>155</v>
      </c>
      <c r="BJ1228" s="98" t="str">
        <f t="shared" si="1"/>
        <v>NÃO</v>
      </c>
      <c r="BK1228" s="98" t="str">
        <f t="shared" si="2"/>
        <v>NÃO</v>
      </c>
    </row>
    <row r="1229" ht="15.75" customHeight="1">
      <c r="A1229" s="111" t="s">
        <v>1393</v>
      </c>
      <c r="B1229" s="83" t="s">
        <v>2282</v>
      </c>
      <c r="C1229" s="83" t="s">
        <v>164</v>
      </c>
      <c r="D1229" s="83">
        <v>1165358.0</v>
      </c>
      <c r="E1229" s="136">
        <v>1177015.0</v>
      </c>
      <c r="F1229" s="136"/>
      <c r="G1229" s="187" t="s">
        <v>11153</v>
      </c>
      <c r="H1229" s="91" t="s">
        <v>6533</v>
      </c>
      <c r="I1229" s="298" t="s">
        <v>149</v>
      </c>
      <c r="J1229" s="83" t="s">
        <v>2142</v>
      </c>
      <c r="K1229" s="83" t="s">
        <v>168</v>
      </c>
      <c r="L1229" s="83" t="s">
        <v>169</v>
      </c>
      <c r="M1229" s="82" t="s">
        <v>11061</v>
      </c>
      <c r="N1229" s="82" t="s">
        <v>11062</v>
      </c>
      <c r="O1229" s="82" t="s">
        <v>11063</v>
      </c>
      <c r="P1229" s="82" t="s">
        <v>11064</v>
      </c>
      <c r="Q1229" s="82" t="s">
        <v>11065</v>
      </c>
      <c r="R1229" s="82" t="s">
        <v>11066</v>
      </c>
      <c r="S1229" s="82" t="s">
        <v>11067</v>
      </c>
      <c r="T1229" s="138">
        <v>7.0</v>
      </c>
      <c r="U1229" s="323">
        <v>7.0</v>
      </c>
      <c r="V1229" s="106">
        <v>0.0</v>
      </c>
      <c r="W1229" s="107">
        <v>0.0</v>
      </c>
      <c r="X1229" s="107">
        <v>0.0</v>
      </c>
      <c r="Y1229" s="107">
        <v>0.0</v>
      </c>
      <c r="Z1229" s="80">
        <v>0.0</v>
      </c>
      <c r="AA1229" s="140">
        <v>0.0</v>
      </c>
      <c r="AB1229" s="109">
        <v>0.0</v>
      </c>
      <c r="AC1229" s="109">
        <v>0.0</v>
      </c>
      <c r="AD1229" s="141">
        <v>0.0</v>
      </c>
      <c r="AE1229" s="80">
        <v>0.0</v>
      </c>
      <c r="AF1229" s="140">
        <v>0.0</v>
      </c>
      <c r="AG1229" s="109">
        <v>0.0</v>
      </c>
      <c r="AH1229" s="109">
        <v>0.0</v>
      </c>
      <c r="AI1229" s="141">
        <v>0.0</v>
      </c>
      <c r="AJ1229" s="80">
        <v>0.0</v>
      </c>
      <c r="AK1229" s="140">
        <v>0.0</v>
      </c>
      <c r="AL1229" s="109">
        <v>0.0</v>
      </c>
      <c r="AM1229" s="141">
        <v>0.0</v>
      </c>
      <c r="AN1229" s="80">
        <v>0.0</v>
      </c>
      <c r="AO1229" s="140">
        <v>0.0</v>
      </c>
      <c r="AP1229" s="109">
        <v>0.0</v>
      </c>
      <c r="AQ1229" s="109">
        <v>131.0</v>
      </c>
      <c r="AR1229" s="80">
        <v>131.0</v>
      </c>
      <c r="AS1229" s="110">
        <v>0.0</v>
      </c>
      <c r="AT1229" s="110">
        <v>0.0</v>
      </c>
      <c r="AU1229" s="110">
        <v>0.0</v>
      </c>
      <c r="AV1229" s="142">
        <v>0.0</v>
      </c>
      <c r="AW1229" s="80">
        <v>0.0</v>
      </c>
      <c r="AX1229" s="113">
        <v>131.0</v>
      </c>
      <c r="AY1229" s="117">
        <v>0.0</v>
      </c>
      <c r="AZ1229" s="328">
        <v>131.0</v>
      </c>
      <c r="BA1229" s="315">
        <v>0.0</v>
      </c>
      <c r="BB1229" s="316">
        <v>131.0</v>
      </c>
      <c r="BC1229" s="132" t="s">
        <v>373</v>
      </c>
      <c r="BD1229" s="132" t="s">
        <v>178</v>
      </c>
      <c r="BE1229" s="132" t="s">
        <v>178</v>
      </c>
      <c r="BF1229" s="123"/>
      <c r="BG1229" s="83">
        <v>1177015.0</v>
      </c>
      <c r="BH1229" s="112">
        <v>7.0</v>
      </c>
      <c r="BI1229" s="98" t="s">
        <v>155</v>
      </c>
      <c r="BJ1229" s="98" t="str">
        <f t="shared" si="1"/>
        <v>NÃO</v>
      </c>
      <c r="BK1229" s="98" t="str">
        <f t="shared" si="2"/>
        <v>NÃO</v>
      </c>
    </row>
    <row r="1230" ht="15.75" customHeight="1">
      <c r="A1230" s="111" t="s">
        <v>1393</v>
      </c>
      <c r="B1230" s="83" t="s">
        <v>2282</v>
      </c>
      <c r="C1230" s="83" t="s">
        <v>164</v>
      </c>
      <c r="D1230" s="83">
        <v>1125160.0</v>
      </c>
      <c r="E1230" s="136">
        <v>1178183.0</v>
      </c>
      <c r="F1230" s="136"/>
      <c r="G1230" s="187" t="s">
        <v>11154</v>
      </c>
      <c r="H1230" s="91" t="s">
        <v>6537</v>
      </c>
      <c r="I1230" s="298" t="s">
        <v>6538</v>
      </c>
      <c r="J1230" s="83" t="s">
        <v>6539</v>
      </c>
      <c r="K1230" s="83" t="s">
        <v>168</v>
      </c>
      <c r="L1230" s="83" t="s">
        <v>169</v>
      </c>
      <c r="M1230" s="82" t="s">
        <v>11070</v>
      </c>
      <c r="N1230" s="82" t="s">
        <v>11071</v>
      </c>
      <c r="O1230" s="82" t="s">
        <v>11072</v>
      </c>
      <c r="P1230" s="82" t="s">
        <v>11073</v>
      </c>
      <c r="Q1230" s="82" t="s">
        <v>11074</v>
      </c>
      <c r="R1230" s="82" t="s">
        <v>11075</v>
      </c>
      <c r="S1230" s="82" t="s">
        <v>11076</v>
      </c>
      <c r="T1230" s="138">
        <v>3.0</v>
      </c>
      <c r="U1230" s="323">
        <v>3.0</v>
      </c>
      <c r="V1230" s="106">
        <v>0.0</v>
      </c>
      <c r="W1230" s="107">
        <v>0.0</v>
      </c>
      <c r="X1230" s="107">
        <v>0.0</v>
      </c>
      <c r="Y1230" s="107">
        <v>0.0</v>
      </c>
      <c r="Z1230" s="80">
        <v>0.0</v>
      </c>
      <c r="AA1230" s="140">
        <v>0.0</v>
      </c>
      <c r="AB1230" s="109">
        <v>0.0</v>
      </c>
      <c r="AC1230" s="109">
        <v>0.0</v>
      </c>
      <c r="AD1230" s="141">
        <v>0.0</v>
      </c>
      <c r="AE1230" s="80">
        <v>0.0</v>
      </c>
      <c r="AF1230" s="140">
        <v>0.0</v>
      </c>
      <c r="AG1230" s="109">
        <v>0.0</v>
      </c>
      <c r="AH1230" s="109">
        <v>15.0</v>
      </c>
      <c r="AI1230" s="141">
        <v>0.0</v>
      </c>
      <c r="AJ1230" s="80">
        <v>15.0</v>
      </c>
      <c r="AK1230" s="140">
        <v>0.0</v>
      </c>
      <c r="AL1230" s="109">
        <v>0.0</v>
      </c>
      <c r="AM1230" s="141">
        <v>0.0</v>
      </c>
      <c r="AN1230" s="80">
        <v>0.0</v>
      </c>
      <c r="AO1230" s="140">
        <v>0.0</v>
      </c>
      <c r="AP1230" s="109">
        <v>0.0</v>
      </c>
      <c r="AQ1230" s="109">
        <v>28.0</v>
      </c>
      <c r="AR1230" s="80">
        <v>28.0</v>
      </c>
      <c r="AS1230" s="110">
        <v>0.0</v>
      </c>
      <c r="AT1230" s="110">
        <v>0.0</v>
      </c>
      <c r="AU1230" s="110">
        <v>0.0</v>
      </c>
      <c r="AV1230" s="142">
        <v>0.0</v>
      </c>
      <c r="AW1230" s="80">
        <v>0.0</v>
      </c>
      <c r="AX1230" s="113">
        <v>43.0</v>
      </c>
      <c r="AY1230" s="117">
        <v>0.0</v>
      </c>
      <c r="AZ1230" s="328">
        <v>43.0</v>
      </c>
      <c r="BA1230" s="315">
        <v>0.0</v>
      </c>
      <c r="BB1230" s="316">
        <v>43.0</v>
      </c>
      <c r="BC1230" s="132" t="s">
        <v>373</v>
      </c>
      <c r="BD1230" s="132" t="s">
        <v>178</v>
      </c>
      <c r="BE1230" s="132" t="s">
        <v>178</v>
      </c>
      <c r="BF1230" s="156"/>
      <c r="BG1230" s="83">
        <v>1178183.0</v>
      </c>
      <c r="BH1230" s="112">
        <v>3.0</v>
      </c>
      <c r="BI1230" s="98" t="s">
        <v>155</v>
      </c>
      <c r="BJ1230" s="98" t="str">
        <f t="shared" si="1"/>
        <v>NÃO</v>
      </c>
      <c r="BK1230" s="98" t="str">
        <f t="shared" si="2"/>
        <v>NÃO</v>
      </c>
    </row>
    <row r="1231" ht="15.75" customHeight="1">
      <c r="A1231" s="111" t="s">
        <v>1393</v>
      </c>
      <c r="B1231" s="83" t="s">
        <v>2282</v>
      </c>
      <c r="C1231" s="83" t="s">
        <v>164</v>
      </c>
      <c r="D1231" s="83">
        <v>1125399.0</v>
      </c>
      <c r="E1231" s="136">
        <v>1178784.0</v>
      </c>
      <c r="F1231" s="136"/>
      <c r="G1231" s="187" t="s">
        <v>11155</v>
      </c>
      <c r="H1231" s="91" t="s">
        <v>11156</v>
      </c>
      <c r="I1231" s="298" t="s">
        <v>6427</v>
      </c>
      <c r="J1231" s="83" t="s">
        <v>1498</v>
      </c>
      <c r="K1231" s="83" t="s">
        <v>11157</v>
      </c>
      <c r="L1231" s="83" t="s">
        <v>169</v>
      </c>
      <c r="M1231" s="82" t="s">
        <v>2962</v>
      </c>
      <c r="N1231" s="82"/>
      <c r="O1231" s="82" t="s">
        <v>11051</v>
      </c>
      <c r="P1231" s="82" t="s">
        <v>11052</v>
      </c>
      <c r="Q1231" s="82"/>
      <c r="R1231" s="82"/>
      <c r="S1231" s="82" t="s">
        <v>11158</v>
      </c>
      <c r="T1231" s="138">
        <v>4.0</v>
      </c>
      <c r="U1231" s="393">
        <v>4.0</v>
      </c>
      <c r="V1231" s="106">
        <v>0.0</v>
      </c>
      <c r="W1231" s="107">
        <v>0.0</v>
      </c>
      <c r="X1231" s="107">
        <v>0.0</v>
      </c>
      <c r="Y1231" s="107">
        <v>0.0</v>
      </c>
      <c r="Z1231" s="80">
        <v>0.0</v>
      </c>
      <c r="AA1231" s="140">
        <v>0.0</v>
      </c>
      <c r="AB1231" s="109">
        <v>0.0</v>
      </c>
      <c r="AC1231" s="109">
        <v>0.0</v>
      </c>
      <c r="AD1231" s="141">
        <v>0.0</v>
      </c>
      <c r="AE1231" s="80">
        <v>0.0</v>
      </c>
      <c r="AF1231" s="140">
        <v>0.0</v>
      </c>
      <c r="AG1231" s="109">
        <v>47.0</v>
      </c>
      <c r="AH1231" s="109">
        <v>60.0</v>
      </c>
      <c r="AI1231" s="141">
        <v>0.0</v>
      </c>
      <c r="AJ1231" s="80">
        <v>107.0</v>
      </c>
      <c r="AK1231" s="140">
        <v>0.0</v>
      </c>
      <c r="AL1231" s="109">
        <v>0.0</v>
      </c>
      <c r="AM1231" s="141">
        <v>0.0</v>
      </c>
      <c r="AN1231" s="80">
        <v>0.0</v>
      </c>
      <c r="AO1231" s="140">
        <v>0.0</v>
      </c>
      <c r="AP1231" s="109">
        <v>24.0</v>
      </c>
      <c r="AQ1231" s="109">
        <v>85.0</v>
      </c>
      <c r="AR1231" s="80">
        <v>109.0</v>
      </c>
      <c r="AS1231" s="110">
        <v>0.0</v>
      </c>
      <c r="AT1231" s="110">
        <v>0.0</v>
      </c>
      <c r="AU1231" s="110">
        <v>0.0</v>
      </c>
      <c r="AV1231" s="142">
        <v>0.0</v>
      </c>
      <c r="AW1231" s="80">
        <v>0.0</v>
      </c>
      <c r="AX1231" s="113">
        <v>216.0</v>
      </c>
      <c r="AY1231" s="117">
        <v>71.0</v>
      </c>
      <c r="AZ1231" s="328">
        <v>145.0</v>
      </c>
      <c r="BA1231" s="315">
        <v>3.0</v>
      </c>
      <c r="BB1231" s="316">
        <v>219.0</v>
      </c>
      <c r="BC1231" s="132" t="s">
        <v>373</v>
      </c>
      <c r="BD1231" s="132" t="s">
        <v>178</v>
      </c>
      <c r="BE1231" s="132" t="s">
        <v>178</v>
      </c>
      <c r="BF1231" s="156"/>
      <c r="BG1231" s="83">
        <v>1178784.0</v>
      </c>
      <c r="BH1231" s="112">
        <v>4.0</v>
      </c>
      <c r="BI1231" s="98" t="s">
        <v>155</v>
      </c>
      <c r="BJ1231" s="98" t="str">
        <f t="shared" si="1"/>
        <v>NÃO</v>
      </c>
      <c r="BK1231" s="98" t="str">
        <f t="shared" si="2"/>
        <v>NÃO</v>
      </c>
    </row>
    <row r="1232" ht="15.75" customHeight="1">
      <c r="A1232" s="111" t="s">
        <v>1393</v>
      </c>
      <c r="B1232" s="83" t="s">
        <v>2282</v>
      </c>
      <c r="C1232" s="83" t="s">
        <v>164</v>
      </c>
      <c r="D1232" s="83">
        <v>1125224.0</v>
      </c>
      <c r="E1232" s="83">
        <v>1179700.0</v>
      </c>
      <c r="F1232" s="83"/>
      <c r="G1232" s="114" t="s">
        <v>11159</v>
      </c>
      <c r="H1232" s="91" t="s">
        <v>6527</v>
      </c>
      <c r="I1232" s="298" t="s">
        <v>6403</v>
      </c>
      <c r="J1232" s="83" t="s">
        <v>150</v>
      </c>
      <c r="K1232" s="83" t="s">
        <v>168</v>
      </c>
      <c r="L1232" s="83" t="s">
        <v>512</v>
      </c>
      <c r="M1232" s="82" t="s">
        <v>11133</v>
      </c>
      <c r="N1232" s="82" t="s">
        <v>11134</v>
      </c>
      <c r="O1232" s="82" t="s">
        <v>11135</v>
      </c>
      <c r="P1232" s="82" t="s">
        <v>11136</v>
      </c>
      <c r="Q1232" s="82"/>
      <c r="R1232" s="82"/>
      <c r="S1232" s="82" t="s">
        <v>11137</v>
      </c>
      <c r="T1232" s="138">
        <v>4.0</v>
      </c>
      <c r="U1232" s="323" t="s">
        <v>171</v>
      </c>
      <c r="V1232" s="106">
        <v>0.0</v>
      </c>
      <c r="W1232" s="107">
        <v>0.0</v>
      </c>
      <c r="X1232" s="107">
        <v>0.0</v>
      </c>
      <c r="Y1232" s="107">
        <v>0.0</v>
      </c>
      <c r="Z1232" s="80">
        <v>0.0</v>
      </c>
      <c r="AA1232" s="140">
        <v>0.0</v>
      </c>
      <c r="AB1232" s="109">
        <v>0.0</v>
      </c>
      <c r="AC1232" s="109">
        <v>0.0</v>
      </c>
      <c r="AD1232" s="141">
        <v>0.0</v>
      </c>
      <c r="AE1232" s="80">
        <v>0.0</v>
      </c>
      <c r="AF1232" s="140">
        <v>0.0</v>
      </c>
      <c r="AG1232" s="109">
        <v>0.0</v>
      </c>
      <c r="AH1232" s="109">
        <v>0.0</v>
      </c>
      <c r="AI1232" s="141">
        <v>0.0</v>
      </c>
      <c r="AJ1232" s="80">
        <v>0.0</v>
      </c>
      <c r="AK1232" s="140">
        <v>15.0</v>
      </c>
      <c r="AL1232" s="109">
        <v>0.0</v>
      </c>
      <c r="AM1232" s="141">
        <v>0.0</v>
      </c>
      <c r="AN1232" s="80">
        <v>15.0</v>
      </c>
      <c r="AO1232" s="140">
        <v>13.0</v>
      </c>
      <c r="AP1232" s="109">
        <v>0.0</v>
      </c>
      <c r="AQ1232" s="109">
        <v>0.0</v>
      </c>
      <c r="AR1232" s="80">
        <v>13.0</v>
      </c>
      <c r="AS1232" s="110">
        <v>0.0</v>
      </c>
      <c r="AT1232" s="110">
        <v>0.0</v>
      </c>
      <c r="AU1232" s="110">
        <v>0.0</v>
      </c>
      <c r="AV1232" s="142">
        <v>0.0</v>
      </c>
      <c r="AW1232" s="80">
        <v>0.0</v>
      </c>
      <c r="AX1232" s="113">
        <v>28.0</v>
      </c>
      <c r="AY1232" s="117">
        <v>28.0</v>
      </c>
      <c r="AZ1232" s="328">
        <v>0.0</v>
      </c>
      <c r="BA1232" s="349">
        <v>0.0</v>
      </c>
      <c r="BB1232" s="316">
        <v>28.0</v>
      </c>
      <c r="BC1232" s="132" t="s">
        <v>10138</v>
      </c>
      <c r="BD1232" s="132" t="s">
        <v>178</v>
      </c>
      <c r="BE1232" s="132" t="s">
        <v>178</v>
      </c>
      <c r="BF1232" s="156"/>
      <c r="BG1232" s="83">
        <v>1179700.0</v>
      </c>
      <c r="BH1232" s="98">
        <v>4.0</v>
      </c>
      <c r="BI1232" s="98" t="s">
        <v>155</v>
      </c>
      <c r="BJ1232" s="98" t="str">
        <f t="shared" si="1"/>
        <v>NÃO</v>
      </c>
      <c r="BK1232" s="98" t="str">
        <f t="shared" si="2"/>
        <v>NÃO</v>
      </c>
    </row>
    <row r="1233" ht="15.75" customHeight="1">
      <c r="A1233" s="111" t="s">
        <v>1393</v>
      </c>
      <c r="B1233" s="83" t="s">
        <v>2282</v>
      </c>
      <c r="C1233" s="83" t="s">
        <v>164</v>
      </c>
      <c r="D1233" s="83">
        <v>1125160.0</v>
      </c>
      <c r="E1233" s="83">
        <v>1179474.0</v>
      </c>
      <c r="F1233" s="291"/>
      <c r="G1233" s="241" t="s">
        <v>2356</v>
      </c>
      <c r="H1233" s="91" t="s">
        <v>11160</v>
      </c>
      <c r="I1233" s="187" t="s">
        <v>11161</v>
      </c>
      <c r="J1233" s="83" t="s">
        <v>11162</v>
      </c>
      <c r="K1233" s="83" t="s">
        <v>168</v>
      </c>
      <c r="L1233" s="83" t="s">
        <v>169</v>
      </c>
      <c r="M1233" s="82" t="s">
        <v>11070</v>
      </c>
      <c r="N1233" s="82" t="s">
        <v>11071</v>
      </c>
      <c r="O1233" s="82" t="s">
        <v>11072</v>
      </c>
      <c r="P1233" s="82" t="s">
        <v>11073</v>
      </c>
      <c r="Q1233" s="82" t="s">
        <v>11074</v>
      </c>
      <c r="R1233" s="82" t="s">
        <v>11075</v>
      </c>
      <c r="S1233" s="82" t="s">
        <v>11076</v>
      </c>
      <c r="T1233" s="138">
        <v>4.0</v>
      </c>
      <c r="U1233" s="323">
        <v>4.0</v>
      </c>
      <c r="V1233" s="106">
        <v>0.0</v>
      </c>
      <c r="W1233" s="107">
        <v>0.0</v>
      </c>
      <c r="X1233" s="107">
        <v>0.0</v>
      </c>
      <c r="Y1233" s="107">
        <v>0.0</v>
      </c>
      <c r="Z1233" s="80">
        <v>0.0</v>
      </c>
      <c r="AA1233" s="140">
        <v>0.0</v>
      </c>
      <c r="AB1233" s="109">
        <v>0.0</v>
      </c>
      <c r="AC1233" s="109">
        <v>0.0</v>
      </c>
      <c r="AD1233" s="141">
        <v>0.0</v>
      </c>
      <c r="AE1233" s="80">
        <v>0.0</v>
      </c>
      <c r="AF1233" s="140">
        <v>0.0</v>
      </c>
      <c r="AG1233" s="109">
        <v>0.0</v>
      </c>
      <c r="AH1233" s="109">
        <v>0.0</v>
      </c>
      <c r="AI1233" s="141">
        <v>0.0</v>
      </c>
      <c r="AJ1233" s="80">
        <v>0.0</v>
      </c>
      <c r="AK1233" s="140">
        <v>0.0</v>
      </c>
      <c r="AL1233" s="109">
        <v>0.0</v>
      </c>
      <c r="AM1233" s="141">
        <v>0.0</v>
      </c>
      <c r="AN1233" s="80">
        <v>0.0</v>
      </c>
      <c r="AO1233" s="140">
        <v>0.0</v>
      </c>
      <c r="AP1233" s="109">
        <v>0.0</v>
      </c>
      <c r="AQ1233" s="109">
        <v>39.0</v>
      </c>
      <c r="AR1233" s="80">
        <v>39.0</v>
      </c>
      <c r="AS1233" s="110">
        <v>0.0</v>
      </c>
      <c r="AT1233" s="110">
        <v>0.0</v>
      </c>
      <c r="AU1233" s="110">
        <v>0.0</v>
      </c>
      <c r="AV1233" s="142">
        <v>0.0</v>
      </c>
      <c r="AW1233" s="80">
        <v>0.0</v>
      </c>
      <c r="AX1233" s="113">
        <v>39.0</v>
      </c>
      <c r="AY1233" s="117">
        <v>0.0</v>
      </c>
      <c r="AZ1233" s="328">
        <v>39.0</v>
      </c>
      <c r="BA1233" s="315">
        <v>0.0</v>
      </c>
      <c r="BB1233" s="316">
        <v>39.0</v>
      </c>
      <c r="BC1233" s="132" t="s">
        <v>373</v>
      </c>
      <c r="BD1233" s="132" t="s">
        <v>178</v>
      </c>
      <c r="BE1233" s="132" t="s">
        <v>178</v>
      </c>
      <c r="BF1233" s="417"/>
      <c r="BG1233" s="83">
        <v>1179474.0</v>
      </c>
      <c r="BH1233" s="112">
        <v>4.0</v>
      </c>
      <c r="BI1233" s="98" t="s">
        <v>155</v>
      </c>
      <c r="BJ1233" s="98" t="str">
        <f t="shared" si="1"/>
        <v>NÃO</v>
      </c>
      <c r="BK1233" s="98" t="str">
        <f t="shared" si="2"/>
        <v>NÃO</v>
      </c>
    </row>
    <row r="1234" ht="15.75" customHeight="1">
      <c r="A1234" s="111" t="s">
        <v>1393</v>
      </c>
      <c r="B1234" s="83" t="s">
        <v>2282</v>
      </c>
      <c r="C1234" s="83" t="s">
        <v>164</v>
      </c>
      <c r="D1234" s="83">
        <v>1125160.0</v>
      </c>
      <c r="E1234" s="83">
        <v>1179095.0</v>
      </c>
      <c r="F1234" s="291"/>
      <c r="G1234" s="241" t="s">
        <v>11163</v>
      </c>
      <c r="H1234" s="91" t="s">
        <v>11164</v>
      </c>
      <c r="I1234" s="187" t="s">
        <v>11165</v>
      </c>
      <c r="J1234" s="83" t="s">
        <v>3811</v>
      </c>
      <c r="K1234" s="83" t="s">
        <v>11166</v>
      </c>
      <c r="L1234" s="83" t="s">
        <v>169</v>
      </c>
      <c r="M1234" s="82" t="s">
        <v>11070</v>
      </c>
      <c r="N1234" s="82" t="s">
        <v>11071</v>
      </c>
      <c r="O1234" s="82" t="s">
        <v>11072</v>
      </c>
      <c r="P1234" s="82" t="s">
        <v>11073</v>
      </c>
      <c r="Q1234" s="82" t="s">
        <v>11074</v>
      </c>
      <c r="R1234" s="82" t="s">
        <v>11075</v>
      </c>
      <c r="S1234" s="82" t="s">
        <v>11076</v>
      </c>
      <c r="T1234" s="138">
        <v>11.0</v>
      </c>
      <c r="U1234" s="323">
        <v>6.0</v>
      </c>
      <c r="V1234" s="106">
        <v>0.0</v>
      </c>
      <c r="W1234" s="107">
        <v>0.0</v>
      </c>
      <c r="X1234" s="107">
        <v>0.0</v>
      </c>
      <c r="Y1234" s="107">
        <v>0.0</v>
      </c>
      <c r="Z1234" s="80">
        <v>0.0</v>
      </c>
      <c r="AA1234" s="140">
        <v>0.0</v>
      </c>
      <c r="AB1234" s="109">
        <v>0.0</v>
      </c>
      <c r="AC1234" s="109">
        <v>0.0</v>
      </c>
      <c r="AD1234" s="141">
        <v>0.0</v>
      </c>
      <c r="AE1234" s="80">
        <v>0.0</v>
      </c>
      <c r="AF1234" s="140">
        <v>0.0</v>
      </c>
      <c r="AG1234" s="109">
        <v>98.0</v>
      </c>
      <c r="AH1234" s="109">
        <v>0.0</v>
      </c>
      <c r="AI1234" s="141">
        <v>0.0</v>
      </c>
      <c r="AJ1234" s="80">
        <v>98.0</v>
      </c>
      <c r="AK1234" s="140">
        <v>0.0</v>
      </c>
      <c r="AL1234" s="109">
        <v>0.0</v>
      </c>
      <c r="AM1234" s="141">
        <v>0.0</v>
      </c>
      <c r="AN1234" s="80">
        <v>0.0</v>
      </c>
      <c r="AO1234" s="140">
        <v>0.0</v>
      </c>
      <c r="AP1234" s="109">
        <v>0.0</v>
      </c>
      <c r="AQ1234" s="109">
        <v>113.0</v>
      </c>
      <c r="AR1234" s="80">
        <v>113.0</v>
      </c>
      <c r="AS1234" s="110">
        <v>0.0</v>
      </c>
      <c r="AT1234" s="110">
        <v>0.0</v>
      </c>
      <c r="AU1234" s="110">
        <v>0.0</v>
      </c>
      <c r="AV1234" s="142">
        <v>0.0</v>
      </c>
      <c r="AW1234" s="80">
        <v>0.0</v>
      </c>
      <c r="AX1234" s="113">
        <v>211.0</v>
      </c>
      <c r="AY1234" s="117">
        <v>98.0</v>
      </c>
      <c r="AZ1234" s="328">
        <v>113.0</v>
      </c>
      <c r="BA1234" s="315">
        <v>0.0</v>
      </c>
      <c r="BB1234" s="316">
        <v>211.0</v>
      </c>
      <c r="BC1234" s="132" t="s">
        <v>373</v>
      </c>
      <c r="BD1234" s="132" t="s">
        <v>178</v>
      </c>
      <c r="BE1234" s="132" t="s">
        <v>178</v>
      </c>
      <c r="BF1234" s="123"/>
      <c r="BG1234" s="83">
        <v>1179095.0</v>
      </c>
      <c r="BH1234" s="112">
        <v>6.0</v>
      </c>
      <c r="BI1234" s="98" t="s">
        <v>155</v>
      </c>
      <c r="BJ1234" s="98" t="str">
        <f t="shared" si="1"/>
        <v>NÃO</v>
      </c>
      <c r="BK1234" s="98" t="str">
        <f t="shared" si="2"/>
        <v>NÃO</v>
      </c>
    </row>
    <row r="1235" ht="15.75" customHeight="1">
      <c r="A1235" s="111" t="s">
        <v>1393</v>
      </c>
      <c r="B1235" s="83" t="s">
        <v>2282</v>
      </c>
      <c r="C1235" s="83" t="s">
        <v>164</v>
      </c>
      <c r="D1235" s="83">
        <v>1125160.0</v>
      </c>
      <c r="E1235" s="83">
        <v>1178180.0</v>
      </c>
      <c r="F1235" s="291"/>
      <c r="G1235" s="241" t="s">
        <v>11167</v>
      </c>
      <c r="H1235" s="91" t="s">
        <v>11168</v>
      </c>
      <c r="I1235" s="187" t="s">
        <v>11169</v>
      </c>
      <c r="J1235" s="83" t="s">
        <v>519</v>
      </c>
      <c r="K1235" s="98" t="s">
        <v>168</v>
      </c>
      <c r="L1235" s="83" t="s">
        <v>169</v>
      </c>
      <c r="M1235" s="82" t="s">
        <v>11070</v>
      </c>
      <c r="N1235" s="82" t="s">
        <v>11071</v>
      </c>
      <c r="O1235" s="82" t="s">
        <v>11072</v>
      </c>
      <c r="P1235" s="82" t="s">
        <v>11073</v>
      </c>
      <c r="Q1235" s="82" t="s">
        <v>11074</v>
      </c>
      <c r="R1235" s="82" t="s">
        <v>11075</v>
      </c>
      <c r="S1235" s="82" t="s">
        <v>11076</v>
      </c>
      <c r="T1235" s="138">
        <v>5.0</v>
      </c>
      <c r="U1235" s="323" t="s">
        <v>171</v>
      </c>
      <c r="V1235" s="106">
        <v>0.0</v>
      </c>
      <c r="W1235" s="107">
        <v>0.0</v>
      </c>
      <c r="X1235" s="107">
        <v>0.0</v>
      </c>
      <c r="Y1235" s="107">
        <v>0.0</v>
      </c>
      <c r="Z1235" s="80">
        <v>0.0</v>
      </c>
      <c r="AA1235" s="140">
        <v>0.0</v>
      </c>
      <c r="AB1235" s="109">
        <v>0.0</v>
      </c>
      <c r="AC1235" s="109">
        <v>0.0</v>
      </c>
      <c r="AD1235" s="141">
        <v>0.0</v>
      </c>
      <c r="AE1235" s="80">
        <v>0.0</v>
      </c>
      <c r="AF1235" s="140">
        <v>0.0</v>
      </c>
      <c r="AG1235" s="109">
        <v>0.0</v>
      </c>
      <c r="AH1235" s="109">
        <v>0.0</v>
      </c>
      <c r="AI1235" s="141">
        <v>0.0</v>
      </c>
      <c r="AJ1235" s="80">
        <v>0.0</v>
      </c>
      <c r="AK1235" s="140">
        <v>0.0</v>
      </c>
      <c r="AL1235" s="109">
        <v>0.0</v>
      </c>
      <c r="AM1235" s="141">
        <v>0.0</v>
      </c>
      <c r="AN1235" s="80">
        <v>0.0</v>
      </c>
      <c r="AO1235" s="140">
        <v>0.0</v>
      </c>
      <c r="AP1235" s="109">
        <v>0.0</v>
      </c>
      <c r="AQ1235" s="109">
        <v>90.0</v>
      </c>
      <c r="AR1235" s="80">
        <v>90.0</v>
      </c>
      <c r="AS1235" s="110">
        <v>0.0</v>
      </c>
      <c r="AT1235" s="110">
        <v>0.0</v>
      </c>
      <c r="AU1235" s="110">
        <v>0.0</v>
      </c>
      <c r="AV1235" s="142">
        <v>0.0</v>
      </c>
      <c r="AW1235" s="80">
        <v>0.0</v>
      </c>
      <c r="AX1235" s="113">
        <v>90.0</v>
      </c>
      <c r="AY1235" s="117">
        <v>0.0</v>
      </c>
      <c r="AZ1235" s="328">
        <v>90.0</v>
      </c>
      <c r="BA1235" s="315">
        <v>0.0</v>
      </c>
      <c r="BB1235" s="316">
        <v>90.0</v>
      </c>
      <c r="BC1235" s="132" t="s">
        <v>373</v>
      </c>
      <c r="BD1235" s="132" t="s">
        <v>178</v>
      </c>
      <c r="BE1235" s="132" t="s">
        <v>178</v>
      </c>
      <c r="BF1235" s="179"/>
      <c r="BG1235" s="83">
        <v>1178180.0</v>
      </c>
      <c r="BH1235" s="112">
        <v>5.0</v>
      </c>
      <c r="BI1235" s="98" t="s">
        <v>155</v>
      </c>
      <c r="BJ1235" s="98" t="str">
        <f t="shared" si="1"/>
        <v>NÃO</v>
      </c>
      <c r="BK1235" s="98" t="str">
        <f t="shared" si="2"/>
        <v>NÃO</v>
      </c>
    </row>
    <row r="1236" ht="15.75" customHeight="1">
      <c r="A1236" s="111" t="s">
        <v>1393</v>
      </c>
      <c r="B1236" s="83" t="s">
        <v>2282</v>
      </c>
      <c r="C1236" s="83" t="s">
        <v>164</v>
      </c>
      <c r="D1236" s="83">
        <v>1125160.0</v>
      </c>
      <c r="E1236" s="83">
        <v>1179165.0</v>
      </c>
      <c r="F1236" s="291"/>
      <c r="G1236" s="241" t="s">
        <v>11170</v>
      </c>
      <c r="H1236" s="91" t="s">
        <v>6531</v>
      </c>
      <c r="I1236" s="187" t="s">
        <v>149</v>
      </c>
      <c r="J1236" s="83" t="s">
        <v>6124</v>
      </c>
      <c r="K1236" s="83" t="s">
        <v>168</v>
      </c>
      <c r="L1236" s="83" t="s">
        <v>169</v>
      </c>
      <c r="M1236" s="82" t="s">
        <v>11070</v>
      </c>
      <c r="N1236" s="82" t="s">
        <v>11071</v>
      </c>
      <c r="O1236" s="82" t="s">
        <v>11072</v>
      </c>
      <c r="P1236" s="82" t="s">
        <v>11073</v>
      </c>
      <c r="Q1236" s="82" t="s">
        <v>11074</v>
      </c>
      <c r="R1236" s="82" t="s">
        <v>11075</v>
      </c>
      <c r="S1236" s="82" t="s">
        <v>11076</v>
      </c>
      <c r="T1236" s="138">
        <v>3.0</v>
      </c>
      <c r="U1236" s="364">
        <v>3.0</v>
      </c>
      <c r="V1236" s="106">
        <v>0.0</v>
      </c>
      <c r="W1236" s="107">
        <v>0.0</v>
      </c>
      <c r="X1236" s="107">
        <v>0.0</v>
      </c>
      <c r="Y1236" s="107">
        <v>0.0</v>
      </c>
      <c r="Z1236" s="80">
        <v>0.0</v>
      </c>
      <c r="AA1236" s="140">
        <v>0.0</v>
      </c>
      <c r="AB1236" s="109">
        <v>0.0</v>
      </c>
      <c r="AC1236" s="109">
        <v>0.0</v>
      </c>
      <c r="AD1236" s="141">
        <v>0.0</v>
      </c>
      <c r="AE1236" s="80">
        <v>0.0</v>
      </c>
      <c r="AF1236" s="140">
        <v>0.0</v>
      </c>
      <c r="AG1236" s="109">
        <v>0.0</v>
      </c>
      <c r="AH1236" s="109">
        <v>10.0</v>
      </c>
      <c r="AI1236" s="141">
        <v>0.0</v>
      </c>
      <c r="AJ1236" s="80">
        <v>10.0</v>
      </c>
      <c r="AK1236" s="140">
        <v>0.0</v>
      </c>
      <c r="AL1236" s="109">
        <v>0.0</v>
      </c>
      <c r="AM1236" s="141">
        <v>0.0</v>
      </c>
      <c r="AN1236" s="80">
        <v>0.0</v>
      </c>
      <c r="AO1236" s="140">
        <v>0.0</v>
      </c>
      <c r="AP1236" s="109">
        <v>0.0</v>
      </c>
      <c r="AQ1236" s="109">
        <v>20.0</v>
      </c>
      <c r="AR1236" s="80">
        <v>20.0</v>
      </c>
      <c r="AS1236" s="110">
        <v>0.0</v>
      </c>
      <c r="AT1236" s="110">
        <v>0.0</v>
      </c>
      <c r="AU1236" s="110">
        <v>0.0</v>
      </c>
      <c r="AV1236" s="142">
        <v>0.0</v>
      </c>
      <c r="AW1236" s="80">
        <v>0.0</v>
      </c>
      <c r="AX1236" s="113">
        <v>30.0</v>
      </c>
      <c r="AY1236" s="117">
        <v>0.0</v>
      </c>
      <c r="AZ1236" s="328">
        <v>30.0</v>
      </c>
      <c r="BA1236" s="315">
        <v>0.0</v>
      </c>
      <c r="BB1236" s="316">
        <v>30.0</v>
      </c>
      <c r="BC1236" s="132" t="s">
        <v>631</v>
      </c>
      <c r="BD1236" s="132" t="s">
        <v>178</v>
      </c>
      <c r="BE1236" s="132" t="s">
        <v>178</v>
      </c>
      <c r="BF1236" s="156"/>
      <c r="BG1236" s="83">
        <v>1179165.0</v>
      </c>
      <c r="BH1236" s="112">
        <v>3.0</v>
      </c>
      <c r="BI1236" s="98" t="s">
        <v>155</v>
      </c>
      <c r="BJ1236" s="98" t="str">
        <f t="shared" si="1"/>
        <v>NÃO</v>
      </c>
      <c r="BK1236" s="98" t="str">
        <f t="shared" si="2"/>
        <v>NÃO</v>
      </c>
    </row>
    <row r="1237" ht="15.75" customHeight="1">
      <c r="A1237" s="111" t="s">
        <v>1393</v>
      </c>
      <c r="B1237" s="83" t="s">
        <v>2282</v>
      </c>
      <c r="C1237" s="83" t="s">
        <v>164</v>
      </c>
      <c r="D1237" s="83">
        <v>1179246.0</v>
      </c>
      <c r="E1237" s="83">
        <v>1179475.0</v>
      </c>
      <c r="F1237" s="291"/>
      <c r="G1237" s="241" t="s">
        <v>11171</v>
      </c>
      <c r="H1237" s="91" t="s">
        <v>6535</v>
      </c>
      <c r="I1237" s="187" t="s">
        <v>6443</v>
      </c>
      <c r="J1237" s="83" t="s">
        <v>2704</v>
      </c>
      <c r="K1237" s="83" t="s">
        <v>168</v>
      </c>
      <c r="L1237" s="83" t="s">
        <v>169</v>
      </c>
      <c r="M1237" s="82" t="s">
        <v>11123</v>
      </c>
      <c r="N1237" s="82" t="s">
        <v>11124</v>
      </c>
      <c r="O1237" s="82"/>
      <c r="P1237" s="82"/>
      <c r="Q1237" s="82"/>
      <c r="R1237" s="82"/>
      <c r="S1237" s="82" t="s">
        <v>3059</v>
      </c>
      <c r="T1237" s="138">
        <v>5.0</v>
      </c>
      <c r="U1237" s="323">
        <v>4.0</v>
      </c>
      <c r="V1237" s="106">
        <v>0.0</v>
      </c>
      <c r="W1237" s="107">
        <v>0.0</v>
      </c>
      <c r="X1237" s="107">
        <v>0.0</v>
      </c>
      <c r="Y1237" s="107">
        <v>0.0</v>
      </c>
      <c r="Z1237" s="80">
        <v>0.0</v>
      </c>
      <c r="AA1237" s="140">
        <v>0.0</v>
      </c>
      <c r="AB1237" s="109">
        <v>0.0</v>
      </c>
      <c r="AC1237" s="109">
        <v>0.0</v>
      </c>
      <c r="AD1237" s="141">
        <v>0.0</v>
      </c>
      <c r="AE1237" s="80">
        <v>0.0</v>
      </c>
      <c r="AF1237" s="140">
        <v>0.0</v>
      </c>
      <c r="AG1237" s="109">
        <v>0.0</v>
      </c>
      <c r="AH1237" s="109">
        <v>0.0</v>
      </c>
      <c r="AI1237" s="141">
        <v>64.0</v>
      </c>
      <c r="AJ1237" s="80">
        <v>64.0</v>
      </c>
      <c r="AK1237" s="140">
        <v>0.0</v>
      </c>
      <c r="AL1237" s="109">
        <v>0.0</v>
      </c>
      <c r="AM1237" s="141">
        <v>0.0</v>
      </c>
      <c r="AN1237" s="80">
        <v>0.0</v>
      </c>
      <c r="AO1237" s="140">
        <v>0.0</v>
      </c>
      <c r="AP1237" s="109">
        <v>0.0</v>
      </c>
      <c r="AQ1237" s="109">
        <v>50.0</v>
      </c>
      <c r="AR1237" s="80">
        <v>50.0</v>
      </c>
      <c r="AS1237" s="110">
        <v>0.0</v>
      </c>
      <c r="AT1237" s="110">
        <v>0.0</v>
      </c>
      <c r="AU1237" s="110">
        <v>0.0</v>
      </c>
      <c r="AV1237" s="142">
        <v>0.0</v>
      </c>
      <c r="AW1237" s="80">
        <v>0.0</v>
      </c>
      <c r="AX1237" s="113">
        <v>114.0</v>
      </c>
      <c r="AY1237" s="117">
        <v>64.0</v>
      </c>
      <c r="AZ1237" s="328">
        <v>50.0</v>
      </c>
      <c r="BA1237" s="315">
        <v>0.0</v>
      </c>
      <c r="BB1237" s="316">
        <v>114.0</v>
      </c>
      <c r="BC1237" s="132" t="s">
        <v>373</v>
      </c>
      <c r="BD1237" s="132" t="s">
        <v>178</v>
      </c>
      <c r="BE1237" s="132" t="s">
        <v>178</v>
      </c>
      <c r="BF1237" s="156"/>
      <c r="BG1237" s="83">
        <v>1179475.0</v>
      </c>
      <c r="BH1237" s="112">
        <v>4.0</v>
      </c>
      <c r="BI1237" s="98" t="s">
        <v>155</v>
      </c>
      <c r="BJ1237" s="98" t="str">
        <f t="shared" si="1"/>
        <v>INTEGRAL</v>
      </c>
      <c r="BK1237" s="98" t="str">
        <f t="shared" si="2"/>
        <v>NÃO</v>
      </c>
    </row>
    <row r="1238" ht="15.75" customHeight="1">
      <c r="A1238" s="111" t="s">
        <v>1393</v>
      </c>
      <c r="B1238" s="83" t="s">
        <v>2282</v>
      </c>
      <c r="C1238" s="83" t="s">
        <v>164</v>
      </c>
      <c r="D1238" s="83">
        <v>1125232.0</v>
      </c>
      <c r="E1238" s="83">
        <v>1178779.0</v>
      </c>
      <c r="F1238" s="291"/>
      <c r="G1238" s="241" t="s">
        <v>11172</v>
      </c>
      <c r="H1238" s="91" t="s">
        <v>11173</v>
      </c>
      <c r="I1238" s="187" t="s">
        <v>11174</v>
      </c>
      <c r="J1238" s="83" t="s">
        <v>1498</v>
      </c>
      <c r="K1238" s="83" t="s">
        <v>11175</v>
      </c>
      <c r="L1238" s="83" t="s">
        <v>169</v>
      </c>
      <c r="M1238" s="82" t="s">
        <v>11117</v>
      </c>
      <c r="N1238" s="82" t="s">
        <v>11118</v>
      </c>
      <c r="O1238" s="82" t="s">
        <v>10964</v>
      </c>
      <c r="P1238" s="82" t="s">
        <v>11119</v>
      </c>
      <c r="Q1238" s="82"/>
      <c r="R1238" s="82"/>
      <c r="S1238" s="82" t="s">
        <v>11120</v>
      </c>
      <c r="T1238" s="138">
        <v>5.0</v>
      </c>
      <c r="U1238" s="323">
        <v>5.0</v>
      </c>
      <c r="V1238" s="106">
        <v>0.0</v>
      </c>
      <c r="W1238" s="107">
        <v>0.0</v>
      </c>
      <c r="X1238" s="107">
        <v>0.0</v>
      </c>
      <c r="Y1238" s="107">
        <v>0.0</v>
      </c>
      <c r="Z1238" s="80">
        <v>0.0</v>
      </c>
      <c r="AA1238" s="140">
        <v>0.0</v>
      </c>
      <c r="AB1238" s="109">
        <v>0.0</v>
      </c>
      <c r="AC1238" s="109">
        <v>0.0</v>
      </c>
      <c r="AD1238" s="141">
        <v>0.0</v>
      </c>
      <c r="AE1238" s="80">
        <v>0.0</v>
      </c>
      <c r="AF1238" s="140">
        <v>0.0</v>
      </c>
      <c r="AG1238" s="109">
        <v>0.0</v>
      </c>
      <c r="AH1238" s="109">
        <v>0.0</v>
      </c>
      <c r="AI1238" s="141">
        <v>0.0</v>
      </c>
      <c r="AJ1238" s="80">
        <v>0.0</v>
      </c>
      <c r="AK1238" s="140">
        <v>0.0</v>
      </c>
      <c r="AL1238" s="109">
        <v>0.0</v>
      </c>
      <c r="AM1238" s="141">
        <v>0.0</v>
      </c>
      <c r="AN1238" s="80">
        <v>0.0</v>
      </c>
      <c r="AO1238" s="140">
        <v>0.0</v>
      </c>
      <c r="AP1238" s="109">
        <v>0.0</v>
      </c>
      <c r="AQ1238" s="109">
        <v>158.0</v>
      </c>
      <c r="AR1238" s="80">
        <v>158.0</v>
      </c>
      <c r="AS1238" s="110">
        <v>0.0</v>
      </c>
      <c r="AT1238" s="110">
        <v>0.0</v>
      </c>
      <c r="AU1238" s="110">
        <v>0.0</v>
      </c>
      <c r="AV1238" s="142">
        <v>0.0</v>
      </c>
      <c r="AW1238" s="80">
        <v>0.0</v>
      </c>
      <c r="AX1238" s="113">
        <v>158.0</v>
      </c>
      <c r="AY1238" s="117">
        <v>0.0</v>
      </c>
      <c r="AZ1238" s="328">
        <v>158.0</v>
      </c>
      <c r="BA1238" s="315">
        <v>0.0</v>
      </c>
      <c r="BB1238" s="316">
        <v>158.0</v>
      </c>
      <c r="BC1238" s="132" t="s">
        <v>373</v>
      </c>
      <c r="BD1238" s="132" t="s">
        <v>178</v>
      </c>
      <c r="BE1238" s="132" t="s">
        <v>178</v>
      </c>
      <c r="BF1238" s="156"/>
      <c r="BG1238" s="83">
        <v>1178779.0</v>
      </c>
      <c r="BH1238" s="112">
        <v>5.0</v>
      </c>
      <c r="BI1238" s="98" t="s">
        <v>155</v>
      </c>
      <c r="BJ1238" s="98" t="str">
        <f t="shared" si="1"/>
        <v>NÃO</v>
      </c>
      <c r="BK1238" s="98" t="str">
        <f t="shared" si="2"/>
        <v>NÃO</v>
      </c>
    </row>
    <row r="1239" ht="15.75" customHeight="1">
      <c r="A1239" s="111" t="s">
        <v>1393</v>
      </c>
      <c r="B1239" s="83" t="s">
        <v>2282</v>
      </c>
      <c r="C1239" s="83" t="s">
        <v>164</v>
      </c>
      <c r="D1239" s="83">
        <v>1125496.0</v>
      </c>
      <c r="E1239" s="83">
        <v>1178780.0</v>
      </c>
      <c r="F1239" s="291"/>
      <c r="G1239" s="241" t="s">
        <v>2424</v>
      </c>
      <c r="H1239" s="91" t="s">
        <v>6485</v>
      </c>
      <c r="I1239" s="187" t="s">
        <v>6427</v>
      </c>
      <c r="J1239" s="83" t="s">
        <v>5836</v>
      </c>
      <c r="K1239" s="83" t="s">
        <v>168</v>
      </c>
      <c r="L1239" s="83" t="s">
        <v>169</v>
      </c>
      <c r="M1239" s="82" t="s">
        <v>11100</v>
      </c>
      <c r="N1239" s="82" t="s">
        <v>11101</v>
      </c>
      <c r="O1239" s="82" t="s">
        <v>11102</v>
      </c>
      <c r="P1239" s="82" t="s">
        <v>11103</v>
      </c>
      <c r="Q1239" s="82"/>
      <c r="R1239" s="82"/>
      <c r="S1239" s="82" t="s">
        <v>11104</v>
      </c>
      <c r="T1239" s="138">
        <v>4.0</v>
      </c>
      <c r="U1239" s="364">
        <v>2.0</v>
      </c>
      <c r="V1239" s="106">
        <v>0.0</v>
      </c>
      <c r="W1239" s="107">
        <v>0.0</v>
      </c>
      <c r="X1239" s="107">
        <v>0.0</v>
      </c>
      <c r="Y1239" s="107">
        <v>0.0</v>
      </c>
      <c r="Z1239" s="80">
        <v>0.0</v>
      </c>
      <c r="AA1239" s="140">
        <v>0.0</v>
      </c>
      <c r="AB1239" s="109">
        <v>0.0</v>
      </c>
      <c r="AC1239" s="109">
        <v>0.0</v>
      </c>
      <c r="AD1239" s="141">
        <v>0.0</v>
      </c>
      <c r="AE1239" s="80">
        <v>0.0</v>
      </c>
      <c r="AF1239" s="140">
        <v>0.0</v>
      </c>
      <c r="AG1239" s="109">
        <v>0.0</v>
      </c>
      <c r="AH1239" s="109">
        <v>0.0</v>
      </c>
      <c r="AI1239" s="141">
        <v>0.0</v>
      </c>
      <c r="AJ1239" s="80">
        <v>0.0</v>
      </c>
      <c r="AK1239" s="140">
        <v>0.0</v>
      </c>
      <c r="AL1239" s="109">
        <v>0.0</v>
      </c>
      <c r="AM1239" s="141">
        <v>0.0</v>
      </c>
      <c r="AN1239" s="80">
        <v>0.0</v>
      </c>
      <c r="AO1239" s="140">
        <v>0.0</v>
      </c>
      <c r="AP1239" s="109">
        <v>0.0</v>
      </c>
      <c r="AQ1239" s="109">
        <v>44.0</v>
      </c>
      <c r="AR1239" s="80">
        <v>44.0</v>
      </c>
      <c r="AS1239" s="110">
        <v>0.0</v>
      </c>
      <c r="AT1239" s="110">
        <v>0.0</v>
      </c>
      <c r="AU1239" s="110">
        <v>0.0</v>
      </c>
      <c r="AV1239" s="142">
        <v>0.0</v>
      </c>
      <c r="AW1239" s="80">
        <v>0.0</v>
      </c>
      <c r="AX1239" s="113">
        <v>44.0</v>
      </c>
      <c r="AY1239" s="117">
        <v>0.0</v>
      </c>
      <c r="AZ1239" s="328">
        <v>44.0</v>
      </c>
      <c r="BA1239" s="315">
        <v>0.0</v>
      </c>
      <c r="BB1239" s="316">
        <v>44.0</v>
      </c>
      <c r="BC1239" s="132" t="s">
        <v>373</v>
      </c>
      <c r="BD1239" s="132" t="s">
        <v>178</v>
      </c>
      <c r="BE1239" s="132" t="s">
        <v>178</v>
      </c>
      <c r="BF1239" s="123"/>
      <c r="BG1239" s="83">
        <v>1178780.0</v>
      </c>
      <c r="BH1239" s="112">
        <v>2.0</v>
      </c>
      <c r="BI1239" s="98" t="s">
        <v>155</v>
      </c>
      <c r="BJ1239" s="98" t="str">
        <f t="shared" si="1"/>
        <v>NÃO</v>
      </c>
      <c r="BK1239" s="98" t="str">
        <f t="shared" si="2"/>
        <v>NÃO</v>
      </c>
    </row>
    <row r="1240" ht="15.75" customHeight="1">
      <c r="A1240" s="111" t="s">
        <v>1463</v>
      </c>
      <c r="B1240" s="83" t="s">
        <v>6541</v>
      </c>
      <c r="C1240" s="83" t="s">
        <v>68</v>
      </c>
      <c r="D1240" s="83">
        <v>1178152.0</v>
      </c>
      <c r="E1240" s="83"/>
      <c r="F1240" s="291">
        <v>2.9440173E7</v>
      </c>
      <c r="G1240" s="241" t="s">
        <v>6547</v>
      </c>
      <c r="H1240" s="91" t="s">
        <v>6548</v>
      </c>
      <c r="I1240" s="187" t="s">
        <v>149</v>
      </c>
      <c r="J1240" s="83" t="s">
        <v>150</v>
      </c>
      <c r="K1240" s="83" t="s">
        <v>151</v>
      </c>
      <c r="L1240" s="83" t="s">
        <v>152</v>
      </c>
      <c r="M1240" s="82" t="s">
        <v>11176</v>
      </c>
      <c r="N1240" s="82" t="s">
        <v>11177</v>
      </c>
      <c r="O1240" s="82" t="s">
        <v>11178</v>
      </c>
      <c r="P1240" s="82" t="s">
        <v>11179</v>
      </c>
      <c r="Q1240" s="82" t="s">
        <v>11180</v>
      </c>
      <c r="R1240" s="82" t="s">
        <v>11181</v>
      </c>
      <c r="S1240" s="82" t="s">
        <v>11182</v>
      </c>
      <c r="T1240" s="138">
        <v>8.0</v>
      </c>
      <c r="U1240" s="323">
        <v>8.0</v>
      </c>
      <c r="V1240" s="106">
        <v>0.0</v>
      </c>
      <c r="W1240" s="107">
        <v>0.0</v>
      </c>
      <c r="X1240" s="107">
        <v>0.0</v>
      </c>
      <c r="Y1240" s="107">
        <v>0.0</v>
      </c>
      <c r="Z1240" s="80">
        <v>0.0</v>
      </c>
      <c r="AA1240" s="140">
        <v>0.0</v>
      </c>
      <c r="AB1240" s="109">
        <v>0.0</v>
      </c>
      <c r="AC1240" s="109">
        <v>0.0</v>
      </c>
      <c r="AD1240" s="141">
        <v>0.0</v>
      </c>
      <c r="AE1240" s="80">
        <v>0.0</v>
      </c>
      <c r="AF1240" s="140">
        <v>283.0</v>
      </c>
      <c r="AG1240" s="109">
        <v>206.0</v>
      </c>
      <c r="AH1240" s="109">
        <v>0.0</v>
      </c>
      <c r="AI1240" s="141">
        <v>0.0</v>
      </c>
      <c r="AJ1240" s="80">
        <v>489.0</v>
      </c>
      <c r="AK1240" s="140">
        <v>0.0</v>
      </c>
      <c r="AL1240" s="109">
        <v>0.0</v>
      </c>
      <c r="AM1240" s="141">
        <v>0.0</v>
      </c>
      <c r="AN1240" s="80">
        <v>0.0</v>
      </c>
      <c r="AO1240" s="140">
        <v>0.0</v>
      </c>
      <c r="AP1240" s="109">
        <v>0.0</v>
      </c>
      <c r="AQ1240" s="109">
        <v>109.0</v>
      </c>
      <c r="AR1240" s="80">
        <v>109.0</v>
      </c>
      <c r="AS1240" s="110">
        <v>0.0</v>
      </c>
      <c r="AT1240" s="110">
        <v>0.0</v>
      </c>
      <c r="AU1240" s="110">
        <v>0.0</v>
      </c>
      <c r="AV1240" s="142">
        <v>0.0</v>
      </c>
      <c r="AW1240" s="80">
        <v>0.0</v>
      </c>
      <c r="AX1240" s="113">
        <v>598.0</v>
      </c>
      <c r="AY1240" s="117">
        <v>489.0</v>
      </c>
      <c r="AZ1240" s="328">
        <v>109.0</v>
      </c>
      <c r="BA1240" s="315">
        <v>0.0</v>
      </c>
      <c r="BB1240" s="316">
        <v>598.0</v>
      </c>
      <c r="BC1240" s="132" t="s">
        <v>178</v>
      </c>
      <c r="BD1240" s="132" t="s">
        <v>178</v>
      </c>
      <c r="BE1240" s="132" t="s">
        <v>178</v>
      </c>
      <c r="BF1240" s="123"/>
      <c r="BG1240" s="83">
        <v>1178152.0</v>
      </c>
      <c r="BH1240" s="112">
        <v>8.0</v>
      </c>
      <c r="BI1240" s="98" t="s">
        <v>155</v>
      </c>
      <c r="BJ1240" s="98" t="str">
        <f t="shared" si="1"/>
        <v>NÃO</v>
      </c>
      <c r="BK1240" s="98" t="str">
        <f t="shared" si="2"/>
        <v>NÃO</v>
      </c>
    </row>
    <row r="1241" ht="15.75" customHeight="1">
      <c r="A1241" s="111" t="s">
        <v>1463</v>
      </c>
      <c r="B1241" s="83" t="s">
        <v>6541</v>
      </c>
      <c r="C1241" s="83" t="s">
        <v>164</v>
      </c>
      <c r="D1241" s="83">
        <v>1178152.0</v>
      </c>
      <c r="E1241" s="83">
        <v>1179028.0</v>
      </c>
      <c r="F1241" s="291"/>
      <c r="G1241" s="241" t="s">
        <v>6550</v>
      </c>
      <c r="H1241" s="91" t="s">
        <v>6551</v>
      </c>
      <c r="I1241" s="187" t="s">
        <v>6552</v>
      </c>
      <c r="J1241" s="83" t="s">
        <v>310</v>
      </c>
      <c r="K1241" s="83" t="s">
        <v>168</v>
      </c>
      <c r="L1241" s="83" t="s">
        <v>169</v>
      </c>
      <c r="M1241" s="82" t="s">
        <v>11176</v>
      </c>
      <c r="N1241" s="82" t="s">
        <v>11177</v>
      </c>
      <c r="O1241" s="82" t="s">
        <v>11178</v>
      </c>
      <c r="P1241" s="82" t="s">
        <v>11179</v>
      </c>
      <c r="Q1241" s="82" t="s">
        <v>11180</v>
      </c>
      <c r="R1241" s="82" t="s">
        <v>11181</v>
      </c>
      <c r="S1241" s="82" t="s">
        <v>11182</v>
      </c>
      <c r="T1241" s="138">
        <v>3.0</v>
      </c>
      <c r="U1241" s="323">
        <v>3.0</v>
      </c>
      <c r="V1241" s="106">
        <v>0.0</v>
      </c>
      <c r="W1241" s="107">
        <v>0.0</v>
      </c>
      <c r="X1241" s="107">
        <v>0.0</v>
      </c>
      <c r="Y1241" s="107">
        <v>0.0</v>
      </c>
      <c r="Z1241" s="80">
        <v>0.0</v>
      </c>
      <c r="AA1241" s="140">
        <v>0.0</v>
      </c>
      <c r="AB1241" s="109">
        <v>0.0</v>
      </c>
      <c r="AC1241" s="109">
        <v>0.0</v>
      </c>
      <c r="AD1241" s="141">
        <v>0.0</v>
      </c>
      <c r="AE1241" s="80">
        <v>0.0</v>
      </c>
      <c r="AF1241" s="140">
        <v>0.0</v>
      </c>
      <c r="AG1241" s="109">
        <v>44.0</v>
      </c>
      <c r="AH1241" s="109">
        <v>0.0</v>
      </c>
      <c r="AI1241" s="141">
        <v>0.0</v>
      </c>
      <c r="AJ1241" s="80">
        <v>44.0</v>
      </c>
      <c r="AK1241" s="140">
        <v>0.0</v>
      </c>
      <c r="AL1241" s="109">
        <v>0.0</v>
      </c>
      <c r="AM1241" s="141">
        <v>0.0</v>
      </c>
      <c r="AN1241" s="80">
        <v>0.0</v>
      </c>
      <c r="AO1241" s="140">
        <v>0.0</v>
      </c>
      <c r="AP1241" s="109">
        <v>0.0</v>
      </c>
      <c r="AQ1241" s="109">
        <v>0.0</v>
      </c>
      <c r="AR1241" s="80">
        <v>0.0</v>
      </c>
      <c r="AS1241" s="110">
        <v>0.0</v>
      </c>
      <c r="AT1241" s="110">
        <v>0.0</v>
      </c>
      <c r="AU1241" s="110">
        <v>0.0</v>
      </c>
      <c r="AV1241" s="142">
        <v>0.0</v>
      </c>
      <c r="AW1241" s="80">
        <v>0.0</v>
      </c>
      <c r="AX1241" s="113">
        <v>44.0</v>
      </c>
      <c r="AY1241" s="117">
        <v>44.0</v>
      </c>
      <c r="AZ1241" s="328">
        <v>0.0</v>
      </c>
      <c r="BA1241" s="315">
        <v>2.0</v>
      </c>
      <c r="BB1241" s="316">
        <v>46.0</v>
      </c>
      <c r="BC1241" s="132" t="s">
        <v>373</v>
      </c>
      <c r="BD1241" s="132" t="s">
        <v>178</v>
      </c>
      <c r="BE1241" s="132" t="s">
        <v>178</v>
      </c>
      <c r="BF1241" s="156"/>
      <c r="BG1241" s="83">
        <v>1179028.0</v>
      </c>
      <c r="BH1241" s="112">
        <v>3.0</v>
      </c>
      <c r="BI1241" s="98" t="s">
        <v>155</v>
      </c>
      <c r="BJ1241" s="98" t="str">
        <f t="shared" si="1"/>
        <v>NÃO</v>
      </c>
      <c r="BK1241" s="98" t="str">
        <f t="shared" si="2"/>
        <v>NÃO</v>
      </c>
    </row>
    <row r="1242" ht="15.75" customHeight="1">
      <c r="A1242" s="111" t="s">
        <v>1463</v>
      </c>
      <c r="B1242" s="83" t="s">
        <v>6541</v>
      </c>
      <c r="C1242" s="83" t="s">
        <v>164</v>
      </c>
      <c r="D1242" s="83">
        <v>1178152.0</v>
      </c>
      <c r="E1242" s="83">
        <v>1179027.0</v>
      </c>
      <c r="F1242" s="291"/>
      <c r="G1242" s="185" t="s">
        <v>6553</v>
      </c>
      <c r="H1242" s="91" t="s">
        <v>6554</v>
      </c>
      <c r="I1242" s="298" t="s">
        <v>6555</v>
      </c>
      <c r="J1242" s="83" t="s">
        <v>1645</v>
      </c>
      <c r="K1242" s="83" t="s">
        <v>168</v>
      </c>
      <c r="L1242" s="83" t="s">
        <v>169</v>
      </c>
      <c r="M1242" s="82" t="s">
        <v>11176</v>
      </c>
      <c r="N1242" s="82" t="s">
        <v>11177</v>
      </c>
      <c r="O1242" s="82" t="s">
        <v>11178</v>
      </c>
      <c r="P1242" s="82" t="s">
        <v>11179</v>
      </c>
      <c r="Q1242" s="82" t="s">
        <v>11180</v>
      </c>
      <c r="R1242" s="82" t="s">
        <v>11181</v>
      </c>
      <c r="S1242" s="82" t="s">
        <v>11182</v>
      </c>
      <c r="T1242" s="138">
        <v>3.0</v>
      </c>
      <c r="U1242" s="323">
        <v>3.0</v>
      </c>
      <c r="V1242" s="106">
        <v>0.0</v>
      </c>
      <c r="W1242" s="107">
        <v>0.0</v>
      </c>
      <c r="X1242" s="107">
        <v>0.0</v>
      </c>
      <c r="Y1242" s="107">
        <v>0.0</v>
      </c>
      <c r="Z1242" s="80">
        <v>0.0</v>
      </c>
      <c r="AA1242" s="140">
        <v>0.0</v>
      </c>
      <c r="AB1242" s="109">
        <v>0.0</v>
      </c>
      <c r="AC1242" s="109">
        <v>0.0</v>
      </c>
      <c r="AD1242" s="141">
        <v>0.0</v>
      </c>
      <c r="AE1242" s="80">
        <v>0.0</v>
      </c>
      <c r="AF1242" s="140">
        <v>73.0</v>
      </c>
      <c r="AG1242" s="109">
        <v>56.0</v>
      </c>
      <c r="AH1242" s="109">
        <v>0.0</v>
      </c>
      <c r="AI1242" s="141">
        <v>0.0</v>
      </c>
      <c r="AJ1242" s="80">
        <v>129.0</v>
      </c>
      <c r="AK1242" s="140">
        <v>0.0</v>
      </c>
      <c r="AL1242" s="109">
        <v>0.0</v>
      </c>
      <c r="AM1242" s="141">
        <v>0.0</v>
      </c>
      <c r="AN1242" s="80">
        <v>0.0</v>
      </c>
      <c r="AO1242" s="140">
        <v>0.0</v>
      </c>
      <c r="AP1242" s="109">
        <v>0.0</v>
      </c>
      <c r="AQ1242" s="109">
        <v>38.0</v>
      </c>
      <c r="AR1242" s="80">
        <v>38.0</v>
      </c>
      <c r="AS1242" s="110">
        <v>0.0</v>
      </c>
      <c r="AT1242" s="110">
        <v>0.0</v>
      </c>
      <c r="AU1242" s="110">
        <v>0.0</v>
      </c>
      <c r="AV1242" s="142">
        <v>0.0</v>
      </c>
      <c r="AW1242" s="80">
        <v>0.0</v>
      </c>
      <c r="AX1242" s="113">
        <v>167.0</v>
      </c>
      <c r="AY1242" s="117">
        <v>129.0</v>
      </c>
      <c r="AZ1242" s="328">
        <v>38.0</v>
      </c>
      <c r="BA1242" s="315">
        <v>4.0</v>
      </c>
      <c r="BB1242" s="316">
        <v>171.0</v>
      </c>
      <c r="BC1242" s="132" t="s">
        <v>373</v>
      </c>
      <c r="BD1242" s="132" t="s">
        <v>178</v>
      </c>
      <c r="BE1242" s="132" t="s">
        <v>178</v>
      </c>
      <c r="BF1242" s="123"/>
      <c r="BG1242" s="83">
        <v>1179027.0</v>
      </c>
      <c r="BH1242" s="112">
        <v>3.0</v>
      </c>
      <c r="BI1242" s="98" t="s">
        <v>155</v>
      </c>
      <c r="BJ1242" s="98" t="str">
        <f t="shared" si="1"/>
        <v>NÃO</v>
      </c>
      <c r="BK1242" s="98" t="str">
        <f t="shared" si="2"/>
        <v>NÃO</v>
      </c>
    </row>
    <row r="1243" ht="15.75" customHeight="1">
      <c r="A1243" s="111" t="s">
        <v>1463</v>
      </c>
      <c r="B1243" s="83" t="s">
        <v>6556</v>
      </c>
      <c r="C1243" s="83" t="s">
        <v>68</v>
      </c>
      <c r="D1243" s="83">
        <v>1135394.0</v>
      </c>
      <c r="E1243" s="83"/>
      <c r="F1243" s="291">
        <v>2.9163234E7</v>
      </c>
      <c r="G1243" s="184" t="s">
        <v>11183</v>
      </c>
      <c r="H1243" s="91" t="s">
        <v>6558</v>
      </c>
      <c r="I1243" s="298" t="s">
        <v>6559</v>
      </c>
      <c r="J1243" s="83" t="s">
        <v>751</v>
      </c>
      <c r="K1243" s="83" t="s">
        <v>151</v>
      </c>
      <c r="L1243" s="83" t="s">
        <v>169</v>
      </c>
      <c r="M1243" s="82" t="s">
        <v>11184</v>
      </c>
      <c r="N1243" s="82" t="s">
        <v>11185</v>
      </c>
      <c r="O1243" s="82" t="s">
        <v>11186</v>
      </c>
      <c r="P1243" s="82" t="s">
        <v>11187</v>
      </c>
      <c r="Q1243" s="82"/>
      <c r="R1243" s="82"/>
      <c r="S1243" s="82" t="s">
        <v>11188</v>
      </c>
      <c r="T1243" s="138">
        <v>6.0</v>
      </c>
      <c r="U1243" s="323">
        <v>6.0</v>
      </c>
      <c r="V1243" s="106">
        <v>0.0</v>
      </c>
      <c r="W1243" s="107">
        <v>0.0</v>
      </c>
      <c r="X1243" s="107">
        <v>0.0</v>
      </c>
      <c r="Y1243" s="107">
        <v>0.0</v>
      </c>
      <c r="Z1243" s="80">
        <v>0.0</v>
      </c>
      <c r="AA1243" s="140">
        <v>0.0</v>
      </c>
      <c r="AB1243" s="109">
        <v>0.0</v>
      </c>
      <c r="AC1243" s="109">
        <v>0.0</v>
      </c>
      <c r="AD1243" s="141">
        <v>0.0</v>
      </c>
      <c r="AE1243" s="80">
        <v>0.0</v>
      </c>
      <c r="AF1243" s="140">
        <v>63.0</v>
      </c>
      <c r="AG1243" s="109">
        <v>58.0</v>
      </c>
      <c r="AH1243" s="109">
        <v>0.0</v>
      </c>
      <c r="AI1243" s="141">
        <v>74.0</v>
      </c>
      <c r="AJ1243" s="80">
        <v>195.0</v>
      </c>
      <c r="AK1243" s="140">
        <v>0.0</v>
      </c>
      <c r="AL1243" s="109">
        <v>0.0</v>
      </c>
      <c r="AM1243" s="141">
        <v>0.0</v>
      </c>
      <c r="AN1243" s="80">
        <v>0.0</v>
      </c>
      <c r="AO1243" s="140">
        <v>0.0</v>
      </c>
      <c r="AP1243" s="109">
        <v>0.0</v>
      </c>
      <c r="AQ1243" s="109">
        <v>0.0</v>
      </c>
      <c r="AR1243" s="80">
        <v>0.0</v>
      </c>
      <c r="AS1243" s="110">
        <v>0.0</v>
      </c>
      <c r="AT1243" s="110">
        <v>0.0</v>
      </c>
      <c r="AU1243" s="110">
        <v>0.0</v>
      </c>
      <c r="AV1243" s="142">
        <v>0.0</v>
      </c>
      <c r="AW1243" s="80">
        <v>0.0</v>
      </c>
      <c r="AX1243" s="113">
        <v>195.0</v>
      </c>
      <c r="AY1243" s="117">
        <v>195.0</v>
      </c>
      <c r="AZ1243" s="328">
        <v>0.0</v>
      </c>
      <c r="BA1243" s="315">
        <v>0.0</v>
      </c>
      <c r="BB1243" s="316">
        <v>195.0</v>
      </c>
      <c r="BC1243" s="132" t="s">
        <v>265</v>
      </c>
      <c r="BD1243" s="132" t="s">
        <v>178</v>
      </c>
      <c r="BE1243" s="132" t="s">
        <v>178</v>
      </c>
      <c r="BF1243" s="123"/>
      <c r="BG1243" s="83">
        <v>1135394.0</v>
      </c>
      <c r="BH1243" s="112">
        <v>6.0</v>
      </c>
      <c r="BI1243" s="98" t="s">
        <v>284</v>
      </c>
      <c r="BJ1243" s="98" t="str">
        <f t="shared" si="1"/>
        <v>INTEGRAL</v>
      </c>
      <c r="BK1243" s="98" t="str">
        <f t="shared" si="2"/>
        <v>NÃO</v>
      </c>
    </row>
    <row r="1244" ht="15.75" customHeight="1">
      <c r="A1244" s="111" t="s">
        <v>1463</v>
      </c>
      <c r="B1244" s="83" t="s">
        <v>6556</v>
      </c>
      <c r="C1244" s="83" t="s">
        <v>68</v>
      </c>
      <c r="D1244" s="83">
        <v>1133715.0</v>
      </c>
      <c r="E1244" s="83"/>
      <c r="F1244" s="83">
        <v>2.916261E7</v>
      </c>
      <c r="G1244" s="114" t="s">
        <v>6561</v>
      </c>
      <c r="H1244" s="91" t="s">
        <v>6562</v>
      </c>
      <c r="I1244" s="114" t="s">
        <v>149</v>
      </c>
      <c r="J1244" s="83" t="s">
        <v>150</v>
      </c>
      <c r="K1244" s="83" t="s">
        <v>151</v>
      </c>
      <c r="L1244" s="83" t="s">
        <v>152</v>
      </c>
      <c r="M1244" s="82" t="s">
        <v>11189</v>
      </c>
      <c r="N1244" s="82" t="s">
        <v>11190</v>
      </c>
      <c r="O1244" s="82" t="s">
        <v>11191</v>
      </c>
      <c r="P1244" s="82" t="s">
        <v>11192</v>
      </c>
      <c r="Q1244" s="82" t="s">
        <v>11193</v>
      </c>
      <c r="R1244" s="82" t="s">
        <v>11194</v>
      </c>
      <c r="S1244" s="82" t="s">
        <v>11195</v>
      </c>
      <c r="T1244" s="138">
        <v>24.0</v>
      </c>
      <c r="U1244" s="352" t="s">
        <v>11196</v>
      </c>
      <c r="V1244" s="106">
        <v>0.0</v>
      </c>
      <c r="W1244" s="107">
        <v>0.0</v>
      </c>
      <c r="X1244" s="107">
        <v>0.0</v>
      </c>
      <c r="Y1244" s="107">
        <v>0.0</v>
      </c>
      <c r="Z1244" s="80">
        <v>0.0</v>
      </c>
      <c r="AA1244" s="140">
        <v>0.0</v>
      </c>
      <c r="AB1244" s="109">
        <v>0.0</v>
      </c>
      <c r="AC1244" s="109">
        <v>0.0</v>
      </c>
      <c r="AD1244" s="141">
        <v>0.0</v>
      </c>
      <c r="AE1244" s="80">
        <v>0.0</v>
      </c>
      <c r="AF1244" s="140">
        <v>346.0</v>
      </c>
      <c r="AG1244" s="109">
        <v>225.0</v>
      </c>
      <c r="AH1244" s="109">
        <v>20.0</v>
      </c>
      <c r="AI1244" s="141">
        <v>118.0</v>
      </c>
      <c r="AJ1244" s="80">
        <v>709.0</v>
      </c>
      <c r="AK1244" s="140">
        <v>0.0</v>
      </c>
      <c r="AL1244" s="109">
        <v>0.0</v>
      </c>
      <c r="AM1244" s="141">
        <v>0.0</v>
      </c>
      <c r="AN1244" s="80">
        <v>0.0</v>
      </c>
      <c r="AO1244" s="140">
        <v>0.0</v>
      </c>
      <c r="AP1244" s="109">
        <v>0.0</v>
      </c>
      <c r="AQ1244" s="109">
        <v>89.0</v>
      </c>
      <c r="AR1244" s="80">
        <v>89.0</v>
      </c>
      <c r="AS1244" s="110">
        <v>0.0</v>
      </c>
      <c r="AT1244" s="110">
        <v>0.0</v>
      </c>
      <c r="AU1244" s="110">
        <v>0.0</v>
      </c>
      <c r="AV1244" s="142">
        <v>0.0</v>
      </c>
      <c r="AW1244" s="80">
        <v>0.0</v>
      </c>
      <c r="AX1244" s="113">
        <v>798.0</v>
      </c>
      <c r="AY1244" s="117">
        <v>689.0</v>
      </c>
      <c r="AZ1244" s="328">
        <v>109.0</v>
      </c>
      <c r="BA1244" s="315">
        <v>3.0</v>
      </c>
      <c r="BB1244" s="316">
        <v>801.0</v>
      </c>
      <c r="BC1244" s="132" t="s">
        <v>178</v>
      </c>
      <c r="BD1244" s="132" t="s">
        <v>178</v>
      </c>
      <c r="BE1244" s="132" t="s">
        <v>178</v>
      </c>
      <c r="BF1244" s="123"/>
      <c r="BG1244" s="83">
        <v>1133715.0</v>
      </c>
      <c r="BH1244" s="98">
        <v>9.0</v>
      </c>
      <c r="BI1244" s="98" t="s">
        <v>155</v>
      </c>
      <c r="BJ1244" s="98" t="str">
        <f t="shared" si="1"/>
        <v>INTEGRAL</v>
      </c>
      <c r="BK1244" s="98" t="str">
        <f t="shared" si="2"/>
        <v>NÃO</v>
      </c>
    </row>
    <row r="1245" ht="15.75" customHeight="1">
      <c r="A1245" s="111" t="s">
        <v>1463</v>
      </c>
      <c r="B1245" s="83" t="s">
        <v>6564</v>
      </c>
      <c r="C1245" s="83" t="s">
        <v>68</v>
      </c>
      <c r="D1245" s="83">
        <v>1109059.0</v>
      </c>
      <c r="E1245" s="83"/>
      <c r="F1245" s="83">
        <v>2.9163374E7</v>
      </c>
      <c r="G1245" s="119" t="s">
        <v>11197</v>
      </c>
      <c r="H1245" s="91" t="s">
        <v>6566</v>
      </c>
      <c r="I1245" s="187" t="s">
        <v>149</v>
      </c>
      <c r="J1245" s="83" t="s">
        <v>150</v>
      </c>
      <c r="K1245" s="83" t="s">
        <v>151</v>
      </c>
      <c r="L1245" s="83" t="s">
        <v>230</v>
      </c>
      <c r="M1245" s="82" t="s">
        <v>11198</v>
      </c>
      <c r="N1245" s="82" t="s">
        <v>11199</v>
      </c>
      <c r="O1245" s="82" t="s">
        <v>11200</v>
      </c>
      <c r="P1245" s="82" t="s">
        <v>11201</v>
      </c>
      <c r="Q1245" s="82" t="s">
        <v>11202</v>
      </c>
      <c r="R1245" s="82" t="s">
        <v>11203</v>
      </c>
      <c r="S1245" s="82" t="s">
        <v>11204</v>
      </c>
      <c r="T1245" s="138">
        <v>16.0</v>
      </c>
      <c r="U1245" s="341">
        <v>16.0</v>
      </c>
      <c r="V1245" s="106">
        <v>0.0</v>
      </c>
      <c r="W1245" s="107">
        <v>0.0</v>
      </c>
      <c r="X1245" s="107">
        <v>0.0</v>
      </c>
      <c r="Y1245" s="107">
        <v>0.0</v>
      </c>
      <c r="Z1245" s="80">
        <v>0.0</v>
      </c>
      <c r="AA1245" s="140">
        <v>0.0</v>
      </c>
      <c r="AB1245" s="109">
        <v>0.0</v>
      </c>
      <c r="AC1245" s="109">
        <v>0.0</v>
      </c>
      <c r="AD1245" s="141">
        <v>0.0</v>
      </c>
      <c r="AE1245" s="80">
        <v>0.0</v>
      </c>
      <c r="AF1245" s="140">
        <v>383.0</v>
      </c>
      <c r="AG1245" s="109">
        <v>132.0</v>
      </c>
      <c r="AH1245" s="109">
        <v>19.0</v>
      </c>
      <c r="AI1245" s="141">
        <v>209.0</v>
      </c>
      <c r="AJ1245" s="80">
        <v>743.0</v>
      </c>
      <c r="AK1245" s="140">
        <v>0.0</v>
      </c>
      <c r="AL1245" s="109">
        <v>0.0</v>
      </c>
      <c r="AM1245" s="141">
        <v>0.0</v>
      </c>
      <c r="AN1245" s="80">
        <v>0.0</v>
      </c>
      <c r="AO1245" s="140">
        <v>0.0</v>
      </c>
      <c r="AP1245" s="109">
        <v>0.0</v>
      </c>
      <c r="AQ1245" s="109">
        <v>137.0</v>
      </c>
      <c r="AR1245" s="80">
        <v>137.0</v>
      </c>
      <c r="AS1245" s="110">
        <v>0.0</v>
      </c>
      <c r="AT1245" s="110">
        <v>0.0</v>
      </c>
      <c r="AU1245" s="110">
        <v>9.0</v>
      </c>
      <c r="AV1245" s="142">
        <v>0.0</v>
      </c>
      <c r="AW1245" s="80">
        <v>9.0</v>
      </c>
      <c r="AX1245" s="113">
        <v>889.0</v>
      </c>
      <c r="AY1245" s="117">
        <v>724.0</v>
      </c>
      <c r="AZ1245" s="328">
        <v>165.0</v>
      </c>
      <c r="BA1245" s="315">
        <v>49.0</v>
      </c>
      <c r="BB1245" s="316">
        <v>938.0</v>
      </c>
      <c r="BC1245" s="132" t="s">
        <v>373</v>
      </c>
      <c r="BD1245" s="132" t="s">
        <v>178</v>
      </c>
      <c r="BE1245" s="132" t="s">
        <v>178</v>
      </c>
      <c r="BF1245" s="123"/>
      <c r="BG1245" s="83">
        <v>1109059.0</v>
      </c>
      <c r="BH1245" s="112">
        <v>16.0</v>
      </c>
      <c r="BI1245" s="98" t="s">
        <v>155</v>
      </c>
      <c r="BJ1245" s="98" t="str">
        <f t="shared" si="1"/>
        <v>INTEGRAL</v>
      </c>
      <c r="BK1245" s="98" t="str">
        <f t="shared" si="2"/>
        <v>PROFISSIONAL</v>
      </c>
    </row>
    <row r="1246" ht="15.75" customHeight="1">
      <c r="A1246" s="111" t="s">
        <v>1463</v>
      </c>
      <c r="B1246" s="83" t="s">
        <v>6569</v>
      </c>
      <c r="C1246" s="83" t="s">
        <v>68</v>
      </c>
      <c r="D1246" s="83">
        <v>1108893.0</v>
      </c>
      <c r="E1246" s="83"/>
      <c r="F1246" s="83">
        <v>2.9164826E7</v>
      </c>
      <c r="G1246" s="114" t="s">
        <v>11205</v>
      </c>
      <c r="H1246" s="91" t="s">
        <v>6571</v>
      </c>
      <c r="I1246" s="187" t="s">
        <v>149</v>
      </c>
      <c r="J1246" s="83" t="s">
        <v>150</v>
      </c>
      <c r="K1246" s="83" t="s">
        <v>151</v>
      </c>
      <c r="L1246" s="83" t="s">
        <v>152</v>
      </c>
      <c r="M1246" s="82" t="s">
        <v>11206</v>
      </c>
      <c r="N1246" s="82" t="s">
        <v>11207</v>
      </c>
      <c r="O1246" s="82" t="s">
        <v>11208</v>
      </c>
      <c r="P1246" s="82" t="s">
        <v>11209</v>
      </c>
      <c r="Q1246" s="82" t="s">
        <v>11210</v>
      </c>
      <c r="R1246" s="82" t="s">
        <v>11211</v>
      </c>
      <c r="S1246" s="82" t="s">
        <v>11212</v>
      </c>
      <c r="T1246" s="138">
        <v>15.0</v>
      </c>
      <c r="U1246" s="510">
        <v>12.0</v>
      </c>
      <c r="V1246" s="106">
        <v>0.0</v>
      </c>
      <c r="W1246" s="107">
        <v>0.0</v>
      </c>
      <c r="X1246" s="107">
        <v>0.0</v>
      </c>
      <c r="Y1246" s="107">
        <v>0.0</v>
      </c>
      <c r="Z1246" s="80">
        <v>0.0</v>
      </c>
      <c r="AA1246" s="140">
        <v>0.0</v>
      </c>
      <c r="AB1246" s="109">
        <v>0.0</v>
      </c>
      <c r="AC1246" s="109">
        <v>0.0</v>
      </c>
      <c r="AD1246" s="141">
        <v>0.0</v>
      </c>
      <c r="AE1246" s="80">
        <v>0.0</v>
      </c>
      <c r="AF1246" s="140">
        <v>135.0</v>
      </c>
      <c r="AG1246" s="109">
        <v>0.0</v>
      </c>
      <c r="AH1246" s="109">
        <v>8.0</v>
      </c>
      <c r="AI1246" s="141">
        <v>53.0</v>
      </c>
      <c r="AJ1246" s="80">
        <v>196.0</v>
      </c>
      <c r="AK1246" s="140">
        <v>0.0</v>
      </c>
      <c r="AL1246" s="109">
        <v>0.0</v>
      </c>
      <c r="AM1246" s="141">
        <v>0.0</v>
      </c>
      <c r="AN1246" s="80">
        <v>0.0</v>
      </c>
      <c r="AO1246" s="140">
        <v>0.0</v>
      </c>
      <c r="AP1246" s="109">
        <v>0.0</v>
      </c>
      <c r="AQ1246" s="109">
        <v>45.0</v>
      </c>
      <c r="AR1246" s="80">
        <v>45.0</v>
      </c>
      <c r="AS1246" s="110">
        <v>0.0</v>
      </c>
      <c r="AT1246" s="110">
        <v>0.0</v>
      </c>
      <c r="AU1246" s="110">
        <v>134.0</v>
      </c>
      <c r="AV1246" s="142">
        <v>164.0</v>
      </c>
      <c r="AW1246" s="80">
        <v>298.0</v>
      </c>
      <c r="AX1246" s="113">
        <v>539.0</v>
      </c>
      <c r="AY1246" s="117">
        <v>352.0</v>
      </c>
      <c r="AZ1246" s="328">
        <v>187.0</v>
      </c>
      <c r="BA1246" s="315">
        <v>18.0</v>
      </c>
      <c r="BB1246" s="316">
        <v>557.0</v>
      </c>
      <c r="BC1246" s="132" t="s">
        <v>178</v>
      </c>
      <c r="BD1246" s="132" t="s">
        <v>178</v>
      </c>
      <c r="BE1246" s="132" t="s">
        <v>178</v>
      </c>
      <c r="BF1246" s="123"/>
      <c r="BG1246" s="83">
        <v>1108893.0</v>
      </c>
      <c r="BH1246" s="112">
        <v>12.0</v>
      </c>
      <c r="BI1246" s="98" t="s">
        <v>155</v>
      </c>
      <c r="BJ1246" s="98" t="str">
        <f t="shared" si="1"/>
        <v>INTEGRAL</v>
      </c>
      <c r="BK1246" s="98" t="str">
        <f t="shared" si="2"/>
        <v>PROFISSIONAL</v>
      </c>
    </row>
    <row r="1247" ht="15.75" customHeight="1">
      <c r="A1247" s="111" t="s">
        <v>1463</v>
      </c>
      <c r="B1247" s="83" t="s">
        <v>6573</v>
      </c>
      <c r="C1247" s="83" t="s">
        <v>68</v>
      </c>
      <c r="D1247" s="83">
        <v>1176464.0</v>
      </c>
      <c r="E1247" s="83"/>
      <c r="F1247" s="83">
        <v>2.9391466E7</v>
      </c>
      <c r="G1247" s="114" t="s">
        <v>6574</v>
      </c>
      <c r="H1247" s="91" t="s">
        <v>6575</v>
      </c>
      <c r="I1247" s="114" t="s">
        <v>6576</v>
      </c>
      <c r="J1247" s="83" t="s">
        <v>150</v>
      </c>
      <c r="K1247" s="83" t="s">
        <v>151</v>
      </c>
      <c r="L1247" s="83" t="s">
        <v>152</v>
      </c>
      <c r="M1247" s="82" t="s">
        <v>11213</v>
      </c>
      <c r="N1247" s="82" t="s">
        <v>11214</v>
      </c>
      <c r="O1247" s="82" t="s">
        <v>11215</v>
      </c>
      <c r="P1247" s="82" t="s">
        <v>11216</v>
      </c>
      <c r="Q1247" s="82"/>
      <c r="R1247" s="82"/>
      <c r="S1247" s="82" t="s">
        <v>11217</v>
      </c>
      <c r="T1247" s="138">
        <v>10.0</v>
      </c>
      <c r="U1247" s="401">
        <v>10.0</v>
      </c>
      <c r="V1247" s="106">
        <v>0.0</v>
      </c>
      <c r="W1247" s="107">
        <v>0.0</v>
      </c>
      <c r="X1247" s="107">
        <v>0.0</v>
      </c>
      <c r="Y1247" s="107">
        <v>0.0</v>
      </c>
      <c r="Z1247" s="80">
        <v>0.0</v>
      </c>
      <c r="AA1247" s="140">
        <v>0.0</v>
      </c>
      <c r="AB1247" s="109">
        <v>0.0</v>
      </c>
      <c r="AC1247" s="109">
        <v>0.0</v>
      </c>
      <c r="AD1247" s="141">
        <v>0.0</v>
      </c>
      <c r="AE1247" s="80">
        <v>0.0</v>
      </c>
      <c r="AF1247" s="140">
        <v>373.0</v>
      </c>
      <c r="AG1247" s="109">
        <v>333.0</v>
      </c>
      <c r="AH1247" s="109">
        <v>0.0</v>
      </c>
      <c r="AI1247" s="141">
        <v>0.0</v>
      </c>
      <c r="AJ1247" s="80">
        <v>706.0</v>
      </c>
      <c r="AK1247" s="140">
        <v>0.0</v>
      </c>
      <c r="AL1247" s="109">
        <v>0.0</v>
      </c>
      <c r="AM1247" s="141">
        <v>0.0</v>
      </c>
      <c r="AN1247" s="80">
        <v>0.0</v>
      </c>
      <c r="AO1247" s="140">
        <v>0.0</v>
      </c>
      <c r="AP1247" s="109">
        <v>0.0</v>
      </c>
      <c r="AQ1247" s="109">
        <v>0.0</v>
      </c>
      <c r="AR1247" s="80">
        <v>0.0</v>
      </c>
      <c r="AS1247" s="110">
        <v>0.0</v>
      </c>
      <c r="AT1247" s="110">
        <v>0.0</v>
      </c>
      <c r="AU1247" s="110">
        <v>0.0</v>
      </c>
      <c r="AV1247" s="142">
        <v>0.0</v>
      </c>
      <c r="AW1247" s="80">
        <v>0.0</v>
      </c>
      <c r="AX1247" s="113">
        <v>706.0</v>
      </c>
      <c r="AY1247" s="117">
        <v>706.0</v>
      </c>
      <c r="AZ1247" s="328">
        <v>0.0</v>
      </c>
      <c r="BA1247" s="315">
        <v>0.0</v>
      </c>
      <c r="BB1247" s="316">
        <v>706.0</v>
      </c>
      <c r="BC1247" s="132" t="s">
        <v>178</v>
      </c>
      <c r="BD1247" s="132" t="s">
        <v>178</v>
      </c>
      <c r="BE1247" s="132" t="s">
        <v>178</v>
      </c>
      <c r="BF1247" s="156"/>
      <c r="BG1247" s="83">
        <v>1176464.0</v>
      </c>
      <c r="BH1247" s="112">
        <v>10.0</v>
      </c>
      <c r="BI1247" s="98" t="s">
        <v>155</v>
      </c>
      <c r="BJ1247" s="98" t="str">
        <f t="shared" si="1"/>
        <v>NÃO</v>
      </c>
      <c r="BK1247" s="98" t="str">
        <f t="shared" si="2"/>
        <v>NÃO</v>
      </c>
    </row>
    <row r="1248" ht="15.75" customHeight="1">
      <c r="A1248" s="111" t="s">
        <v>1463</v>
      </c>
      <c r="B1248" s="83" t="s">
        <v>6573</v>
      </c>
      <c r="C1248" s="83" t="s">
        <v>68</v>
      </c>
      <c r="D1248" s="83">
        <v>1133502.0</v>
      </c>
      <c r="E1248" s="83"/>
      <c r="F1248" s="83">
        <v>2.9165555E7</v>
      </c>
      <c r="G1248" s="114" t="s">
        <v>6579</v>
      </c>
      <c r="H1248" s="91" t="s">
        <v>6580</v>
      </c>
      <c r="I1248" s="187" t="s">
        <v>6576</v>
      </c>
      <c r="J1248" s="136" t="s">
        <v>150</v>
      </c>
      <c r="K1248" s="136" t="s">
        <v>151</v>
      </c>
      <c r="L1248" s="136" t="s">
        <v>152</v>
      </c>
      <c r="M1248" s="82" t="s">
        <v>11218</v>
      </c>
      <c r="N1248" s="82" t="s">
        <v>11219</v>
      </c>
      <c r="O1248" s="82" t="s">
        <v>11220</v>
      </c>
      <c r="P1248" s="82" t="s">
        <v>11221</v>
      </c>
      <c r="Q1248" s="82" t="s">
        <v>11222</v>
      </c>
      <c r="R1248" s="82" t="s">
        <v>11223</v>
      </c>
      <c r="S1248" s="82" t="s">
        <v>11224</v>
      </c>
      <c r="T1248" s="138">
        <v>10.0</v>
      </c>
      <c r="U1248" s="511" t="s">
        <v>11225</v>
      </c>
      <c r="V1248" s="106">
        <v>0.0</v>
      </c>
      <c r="W1248" s="107">
        <v>0.0</v>
      </c>
      <c r="X1248" s="107">
        <v>0.0</v>
      </c>
      <c r="Y1248" s="107">
        <v>0.0</v>
      </c>
      <c r="Z1248" s="80">
        <v>0.0</v>
      </c>
      <c r="AA1248" s="140">
        <v>0.0</v>
      </c>
      <c r="AB1248" s="109">
        <v>0.0</v>
      </c>
      <c r="AC1248" s="109">
        <v>0.0</v>
      </c>
      <c r="AD1248" s="141">
        <v>0.0</v>
      </c>
      <c r="AE1248" s="80">
        <v>0.0</v>
      </c>
      <c r="AF1248" s="140">
        <v>215.0</v>
      </c>
      <c r="AG1248" s="109">
        <v>107.0</v>
      </c>
      <c r="AH1248" s="109">
        <v>0.0</v>
      </c>
      <c r="AI1248" s="141">
        <v>53.0</v>
      </c>
      <c r="AJ1248" s="80">
        <v>375.0</v>
      </c>
      <c r="AK1248" s="140">
        <v>0.0</v>
      </c>
      <c r="AL1248" s="109">
        <v>0.0</v>
      </c>
      <c r="AM1248" s="141">
        <v>0.0</v>
      </c>
      <c r="AN1248" s="80">
        <v>0.0</v>
      </c>
      <c r="AO1248" s="140">
        <v>0.0</v>
      </c>
      <c r="AP1248" s="109">
        <v>0.0</v>
      </c>
      <c r="AQ1248" s="109">
        <v>299.0</v>
      </c>
      <c r="AR1248" s="80">
        <v>299.0</v>
      </c>
      <c r="AS1248" s="110">
        <v>0.0</v>
      </c>
      <c r="AT1248" s="110">
        <v>0.0</v>
      </c>
      <c r="AU1248" s="110">
        <v>0.0</v>
      </c>
      <c r="AV1248" s="142">
        <v>0.0</v>
      </c>
      <c r="AW1248" s="80">
        <v>0.0</v>
      </c>
      <c r="AX1248" s="113">
        <v>674.0</v>
      </c>
      <c r="AY1248" s="117">
        <v>375.0</v>
      </c>
      <c r="AZ1248" s="328">
        <v>299.0</v>
      </c>
      <c r="BA1248" s="315">
        <v>0.0</v>
      </c>
      <c r="BB1248" s="316">
        <v>674.0</v>
      </c>
      <c r="BC1248" s="132" t="s">
        <v>178</v>
      </c>
      <c r="BD1248" s="132" t="s">
        <v>178</v>
      </c>
      <c r="BE1248" s="132" t="s">
        <v>178</v>
      </c>
      <c r="BF1248" s="417"/>
      <c r="BG1248" s="83">
        <v>1133502.0</v>
      </c>
      <c r="BH1248" s="112">
        <v>9.0</v>
      </c>
      <c r="BI1248" s="98" t="s">
        <v>155</v>
      </c>
      <c r="BJ1248" s="98" t="str">
        <f t="shared" si="1"/>
        <v>INTEGRAL</v>
      </c>
      <c r="BK1248" s="98" t="str">
        <f t="shared" si="2"/>
        <v>NÃO</v>
      </c>
    </row>
    <row r="1249" ht="15.75" customHeight="1">
      <c r="A1249" s="111" t="s">
        <v>1463</v>
      </c>
      <c r="B1249" s="83" t="s">
        <v>6573</v>
      </c>
      <c r="C1249" s="83" t="s">
        <v>68</v>
      </c>
      <c r="D1249" s="83">
        <v>1133405.0</v>
      </c>
      <c r="E1249" s="83"/>
      <c r="F1249" s="83">
        <v>2.9165407E7</v>
      </c>
      <c r="G1249" s="114" t="s">
        <v>6588</v>
      </c>
      <c r="H1249" s="91" t="s">
        <v>6589</v>
      </c>
      <c r="I1249" s="187" t="s">
        <v>5636</v>
      </c>
      <c r="J1249" s="83" t="s">
        <v>150</v>
      </c>
      <c r="K1249" s="83" t="s">
        <v>151</v>
      </c>
      <c r="L1249" s="83" t="s">
        <v>76</v>
      </c>
      <c r="M1249" s="82" t="s">
        <v>11226</v>
      </c>
      <c r="N1249" s="82" t="s">
        <v>11227</v>
      </c>
      <c r="O1249" s="82" t="s">
        <v>11228</v>
      </c>
      <c r="P1249" s="82" t="s">
        <v>11229</v>
      </c>
      <c r="Q1249" s="82"/>
      <c r="R1249" s="82"/>
      <c r="S1249" s="82" t="s">
        <v>11230</v>
      </c>
      <c r="T1249" s="138">
        <v>7.0</v>
      </c>
      <c r="U1249" s="331" t="s">
        <v>11231</v>
      </c>
      <c r="V1249" s="106">
        <v>0.0</v>
      </c>
      <c r="W1249" s="107">
        <v>0.0</v>
      </c>
      <c r="X1249" s="107">
        <v>0.0</v>
      </c>
      <c r="Y1249" s="107">
        <v>0.0</v>
      </c>
      <c r="Z1249" s="80">
        <v>0.0</v>
      </c>
      <c r="AA1249" s="140">
        <v>0.0</v>
      </c>
      <c r="AB1249" s="109">
        <v>0.0</v>
      </c>
      <c r="AC1249" s="109">
        <v>0.0</v>
      </c>
      <c r="AD1249" s="141">
        <v>0.0</v>
      </c>
      <c r="AE1249" s="80">
        <v>0.0</v>
      </c>
      <c r="AF1249" s="140">
        <v>251.0</v>
      </c>
      <c r="AG1249" s="109">
        <v>129.0</v>
      </c>
      <c r="AH1249" s="109">
        <v>0.0</v>
      </c>
      <c r="AI1249" s="141">
        <v>0.0</v>
      </c>
      <c r="AJ1249" s="80">
        <v>380.0</v>
      </c>
      <c r="AK1249" s="140">
        <v>0.0</v>
      </c>
      <c r="AL1249" s="109">
        <v>0.0</v>
      </c>
      <c r="AM1249" s="141">
        <v>0.0</v>
      </c>
      <c r="AN1249" s="80">
        <v>0.0</v>
      </c>
      <c r="AO1249" s="140">
        <v>0.0</v>
      </c>
      <c r="AP1249" s="109">
        <v>0.0</v>
      </c>
      <c r="AQ1249" s="109">
        <v>151.0</v>
      </c>
      <c r="AR1249" s="80">
        <v>151.0</v>
      </c>
      <c r="AS1249" s="110">
        <v>0.0</v>
      </c>
      <c r="AT1249" s="110">
        <v>0.0</v>
      </c>
      <c r="AU1249" s="110">
        <v>0.0</v>
      </c>
      <c r="AV1249" s="142">
        <v>0.0</v>
      </c>
      <c r="AW1249" s="80">
        <v>0.0</v>
      </c>
      <c r="AX1249" s="113">
        <v>531.0</v>
      </c>
      <c r="AY1249" s="117">
        <v>380.0</v>
      </c>
      <c r="AZ1249" s="328">
        <v>151.0</v>
      </c>
      <c r="BA1249" s="315">
        <v>0.0</v>
      </c>
      <c r="BB1249" s="316">
        <v>531.0</v>
      </c>
      <c r="BC1249" s="132" t="s">
        <v>178</v>
      </c>
      <c r="BD1249" s="132" t="s">
        <v>178</v>
      </c>
      <c r="BE1249" s="132" t="s">
        <v>178</v>
      </c>
      <c r="BF1249" s="123"/>
      <c r="BG1249" s="83">
        <v>1133405.0</v>
      </c>
      <c r="BH1249" s="112">
        <v>7.0</v>
      </c>
      <c r="BI1249" s="98" t="s">
        <v>155</v>
      </c>
      <c r="BJ1249" s="98" t="str">
        <f t="shared" si="1"/>
        <v>NÃO</v>
      </c>
      <c r="BK1249" s="98" t="str">
        <f t="shared" si="2"/>
        <v>NÃO</v>
      </c>
    </row>
    <row r="1250" ht="15.75" customHeight="1">
      <c r="A1250" s="111" t="s">
        <v>1463</v>
      </c>
      <c r="B1250" s="83" t="s">
        <v>6573</v>
      </c>
      <c r="C1250" s="83" t="s">
        <v>68</v>
      </c>
      <c r="D1250" s="83">
        <v>1133618.0</v>
      </c>
      <c r="E1250" s="83"/>
      <c r="F1250" s="83">
        <v>2.9165253E7</v>
      </c>
      <c r="G1250" s="114" t="s">
        <v>6598</v>
      </c>
      <c r="H1250" s="91" t="s">
        <v>6599</v>
      </c>
      <c r="I1250" s="187" t="s">
        <v>149</v>
      </c>
      <c r="J1250" s="83" t="s">
        <v>150</v>
      </c>
      <c r="K1250" s="83" t="s">
        <v>151</v>
      </c>
      <c r="L1250" s="83" t="s">
        <v>230</v>
      </c>
      <c r="M1250" s="82" t="s">
        <v>11232</v>
      </c>
      <c r="N1250" s="82" t="s">
        <v>11233</v>
      </c>
      <c r="O1250" s="82" t="s">
        <v>11234</v>
      </c>
      <c r="P1250" s="82" t="s">
        <v>11235</v>
      </c>
      <c r="Q1250" s="82" t="s">
        <v>11236</v>
      </c>
      <c r="R1250" s="82" t="s">
        <v>11237</v>
      </c>
      <c r="S1250" s="82" t="s">
        <v>11238</v>
      </c>
      <c r="T1250" s="138">
        <v>32.0</v>
      </c>
      <c r="U1250" s="401">
        <v>32.0</v>
      </c>
      <c r="V1250" s="106">
        <v>0.0</v>
      </c>
      <c r="W1250" s="107">
        <v>0.0</v>
      </c>
      <c r="X1250" s="107">
        <v>0.0</v>
      </c>
      <c r="Y1250" s="107">
        <v>0.0</v>
      </c>
      <c r="Z1250" s="80">
        <v>0.0</v>
      </c>
      <c r="AA1250" s="140">
        <v>0.0</v>
      </c>
      <c r="AB1250" s="109">
        <v>0.0</v>
      </c>
      <c r="AC1250" s="109">
        <v>0.0</v>
      </c>
      <c r="AD1250" s="141">
        <v>0.0</v>
      </c>
      <c r="AE1250" s="80">
        <v>0.0</v>
      </c>
      <c r="AF1250" s="140">
        <v>0.0</v>
      </c>
      <c r="AG1250" s="109">
        <v>0.0</v>
      </c>
      <c r="AH1250" s="109">
        <v>0.0</v>
      </c>
      <c r="AI1250" s="141">
        <v>0.0</v>
      </c>
      <c r="AJ1250" s="80">
        <v>0.0</v>
      </c>
      <c r="AK1250" s="140">
        <v>0.0</v>
      </c>
      <c r="AL1250" s="109">
        <v>0.0</v>
      </c>
      <c r="AM1250" s="141">
        <v>0.0</v>
      </c>
      <c r="AN1250" s="80">
        <v>0.0</v>
      </c>
      <c r="AO1250" s="140">
        <v>0.0</v>
      </c>
      <c r="AP1250" s="109">
        <v>0.0</v>
      </c>
      <c r="AQ1250" s="109">
        <v>0.0</v>
      </c>
      <c r="AR1250" s="80">
        <v>0.0</v>
      </c>
      <c r="AS1250" s="110">
        <v>411.0</v>
      </c>
      <c r="AT1250" s="110">
        <v>289.0</v>
      </c>
      <c r="AU1250" s="110">
        <v>917.0</v>
      </c>
      <c r="AV1250" s="142">
        <v>0.0</v>
      </c>
      <c r="AW1250" s="80">
        <v>1617.0</v>
      </c>
      <c r="AX1250" s="113">
        <v>1617.0</v>
      </c>
      <c r="AY1250" s="117">
        <v>700.0</v>
      </c>
      <c r="AZ1250" s="328">
        <v>917.0</v>
      </c>
      <c r="BA1250" s="315">
        <v>0.0</v>
      </c>
      <c r="BB1250" s="316">
        <v>1617.0</v>
      </c>
      <c r="BC1250" s="132" t="s">
        <v>178</v>
      </c>
      <c r="BD1250" s="132" t="s">
        <v>522</v>
      </c>
      <c r="BE1250" s="132" t="s">
        <v>178</v>
      </c>
      <c r="BF1250" s="123"/>
      <c r="BG1250" s="83">
        <v>1133618.0</v>
      </c>
      <c r="BH1250" s="112">
        <v>32.0</v>
      </c>
      <c r="BI1250" s="98" t="s">
        <v>155</v>
      </c>
      <c r="BJ1250" s="98" t="str">
        <f t="shared" si="1"/>
        <v>NÃO</v>
      </c>
      <c r="BK1250" s="98" t="str">
        <f t="shared" si="2"/>
        <v>PROFISSIONAL</v>
      </c>
    </row>
    <row r="1251" ht="15.75" customHeight="1">
      <c r="A1251" s="111" t="s">
        <v>1463</v>
      </c>
      <c r="B1251" s="83" t="s">
        <v>6611</v>
      </c>
      <c r="C1251" s="83" t="s">
        <v>68</v>
      </c>
      <c r="D1251" s="83">
        <v>1109164.0</v>
      </c>
      <c r="E1251" s="83"/>
      <c r="F1251" s="83">
        <v>2.9166063E7</v>
      </c>
      <c r="G1251" s="114" t="s">
        <v>11239</v>
      </c>
      <c r="H1251" s="91" t="s">
        <v>6617</v>
      </c>
      <c r="I1251" s="187" t="s">
        <v>149</v>
      </c>
      <c r="J1251" s="83" t="s">
        <v>150</v>
      </c>
      <c r="K1251" s="83" t="s">
        <v>151</v>
      </c>
      <c r="L1251" s="83" t="s">
        <v>169</v>
      </c>
      <c r="M1251" s="82" t="s">
        <v>11240</v>
      </c>
      <c r="N1251" s="82" t="s">
        <v>11241</v>
      </c>
      <c r="O1251" s="82" t="s">
        <v>11242</v>
      </c>
      <c r="P1251" s="82" t="s">
        <v>11243</v>
      </c>
      <c r="Q1251" s="82"/>
      <c r="R1251" s="82"/>
      <c r="S1251" s="82" t="s">
        <v>11244</v>
      </c>
      <c r="T1251" s="138">
        <v>7.0</v>
      </c>
      <c r="U1251" s="406" t="s">
        <v>11245</v>
      </c>
      <c r="V1251" s="106">
        <v>0.0</v>
      </c>
      <c r="W1251" s="107">
        <v>0.0</v>
      </c>
      <c r="X1251" s="107">
        <v>0.0</v>
      </c>
      <c r="Y1251" s="107">
        <v>0.0</v>
      </c>
      <c r="Z1251" s="80">
        <v>0.0</v>
      </c>
      <c r="AA1251" s="140">
        <v>0.0</v>
      </c>
      <c r="AB1251" s="109">
        <v>0.0</v>
      </c>
      <c r="AC1251" s="109">
        <v>0.0</v>
      </c>
      <c r="AD1251" s="141">
        <v>0.0</v>
      </c>
      <c r="AE1251" s="80">
        <v>0.0</v>
      </c>
      <c r="AF1251" s="140">
        <v>0.0</v>
      </c>
      <c r="AG1251" s="109">
        <v>158.0</v>
      </c>
      <c r="AH1251" s="109">
        <v>0.0</v>
      </c>
      <c r="AI1251" s="141">
        <v>30.0</v>
      </c>
      <c r="AJ1251" s="80">
        <v>188.0</v>
      </c>
      <c r="AK1251" s="140">
        <v>0.0</v>
      </c>
      <c r="AL1251" s="109">
        <v>0.0</v>
      </c>
      <c r="AM1251" s="141">
        <v>0.0</v>
      </c>
      <c r="AN1251" s="80">
        <v>0.0</v>
      </c>
      <c r="AO1251" s="140">
        <v>0.0</v>
      </c>
      <c r="AP1251" s="109">
        <v>0.0</v>
      </c>
      <c r="AQ1251" s="109">
        <v>19.0</v>
      </c>
      <c r="AR1251" s="80">
        <v>19.0</v>
      </c>
      <c r="AS1251" s="110">
        <v>0.0</v>
      </c>
      <c r="AT1251" s="110">
        <v>0.0</v>
      </c>
      <c r="AU1251" s="110">
        <v>0.0</v>
      </c>
      <c r="AV1251" s="142">
        <v>0.0</v>
      </c>
      <c r="AW1251" s="80">
        <v>0.0</v>
      </c>
      <c r="AX1251" s="113">
        <v>207.0</v>
      </c>
      <c r="AY1251" s="117">
        <v>188.0</v>
      </c>
      <c r="AZ1251" s="328">
        <v>19.0</v>
      </c>
      <c r="BA1251" s="315">
        <v>1.0</v>
      </c>
      <c r="BB1251" s="316">
        <v>208.0</v>
      </c>
      <c r="BC1251" s="132" t="s">
        <v>178</v>
      </c>
      <c r="BD1251" s="132" t="s">
        <v>178</v>
      </c>
      <c r="BE1251" s="132" t="s">
        <v>178</v>
      </c>
      <c r="BF1251" s="156"/>
      <c r="BG1251" s="83">
        <v>1109164.0</v>
      </c>
      <c r="BH1251" s="112">
        <v>6.0</v>
      </c>
      <c r="BI1251" s="98" t="s">
        <v>155</v>
      </c>
      <c r="BJ1251" s="98" t="str">
        <f t="shared" si="1"/>
        <v>INTEGRAL</v>
      </c>
      <c r="BK1251" s="98" t="str">
        <f t="shared" si="2"/>
        <v>NÃO</v>
      </c>
    </row>
    <row r="1252" ht="15.75" customHeight="1">
      <c r="A1252" s="111" t="s">
        <v>1463</v>
      </c>
      <c r="B1252" s="83" t="s">
        <v>6619</v>
      </c>
      <c r="C1252" s="83" t="s">
        <v>68</v>
      </c>
      <c r="D1252" s="83">
        <v>1134029.0</v>
      </c>
      <c r="E1252" s="83"/>
      <c r="F1252" s="83">
        <v>2.9166314E7</v>
      </c>
      <c r="G1252" s="114" t="s">
        <v>6620</v>
      </c>
      <c r="H1252" s="91" t="s">
        <v>6621</v>
      </c>
      <c r="I1252" s="187" t="s">
        <v>149</v>
      </c>
      <c r="J1252" s="83" t="s">
        <v>150</v>
      </c>
      <c r="K1252" s="83" t="s">
        <v>151</v>
      </c>
      <c r="L1252" s="83" t="s">
        <v>152</v>
      </c>
      <c r="M1252" s="82" t="s">
        <v>11246</v>
      </c>
      <c r="N1252" s="82" t="s">
        <v>11247</v>
      </c>
      <c r="O1252" s="82" t="s">
        <v>11248</v>
      </c>
      <c r="P1252" s="82" t="s">
        <v>11249</v>
      </c>
      <c r="Q1252" s="82" t="s">
        <v>11250</v>
      </c>
      <c r="R1252" s="82" t="s">
        <v>11251</v>
      </c>
      <c r="S1252" s="82" t="s">
        <v>11252</v>
      </c>
      <c r="T1252" s="138">
        <v>15.0</v>
      </c>
      <c r="U1252" s="592">
        <v>14.0</v>
      </c>
      <c r="V1252" s="106">
        <v>0.0</v>
      </c>
      <c r="W1252" s="107">
        <v>0.0</v>
      </c>
      <c r="X1252" s="107">
        <v>0.0</v>
      </c>
      <c r="Y1252" s="107">
        <v>0.0</v>
      </c>
      <c r="Z1252" s="80">
        <v>0.0</v>
      </c>
      <c r="AA1252" s="140">
        <v>0.0</v>
      </c>
      <c r="AB1252" s="109">
        <v>0.0</v>
      </c>
      <c r="AC1252" s="109">
        <v>0.0</v>
      </c>
      <c r="AD1252" s="141">
        <v>0.0</v>
      </c>
      <c r="AE1252" s="80">
        <v>0.0</v>
      </c>
      <c r="AF1252" s="140">
        <v>454.0</v>
      </c>
      <c r="AG1252" s="109">
        <v>173.0</v>
      </c>
      <c r="AH1252" s="109">
        <v>0.0</v>
      </c>
      <c r="AI1252" s="141">
        <v>28.0</v>
      </c>
      <c r="AJ1252" s="80">
        <v>655.0</v>
      </c>
      <c r="AK1252" s="140">
        <v>0.0</v>
      </c>
      <c r="AL1252" s="109">
        <v>0.0</v>
      </c>
      <c r="AM1252" s="141">
        <v>0.0</v>
      </c>
      <c r="AN1252" s="80">
        <v>0.0</v>
      </c>
      <c r="AO1252" s="140">
        <v>0.0</v>
      </c>
      <c r="AP1252" s="109">
        <v>0.0</v>
      </c>
      <c r="AQ1252" s="109">
        <v>93.0</v>
      </c>
      <c r="AR1252" s="80">
        <v>93.0</v>
      </c>
      <c r="AS1252" s="110">
        <v>0.0</v>
      </c>
      <c r="AT1252" s="110">
        <v>0.0</v>
      </c>
      <c r="AU1252" s="110">
        <v>9.0</v>
      </c>
      <c r="AV1252" s="142">
        <v>0.0</v>
      </c>
      <c r="AW1252" s="80">
        <v>9.0</v>
      </c>
      <c r="AX1252" s="113">
        <v>757.0</v>
      </c>
      <c r="AY1252" s="117">
        <v>655.0</v>
      </c>
      <c r="AZ1252" s="328">
        <v>102.0</v>
      </c>
      <c r="BA1252" s="315">
        <v>0.0</v>
      </c>
      <c r="BB1252" s="316">
        <v>757.0</v>
      </c>
      <c r="BC1252" s="132" t="s">
        <v>178</v>
      </c>
      <c r="BD1252" s="132" t="s">
        <v>178</v>
      </c>
      <c r="BE1252" s="132" t="s">
        <v>178</v>
      </c>
      <c r="BF1252" s="156"/>
      <c r="BG1252" s="83">
        <v>1134029.0</v>
      </c>
      <c r="BH1252" s="112">
        <v>14.0</v>
      </c>
      <c r="BI1252" s="98" t="s">
        <v>155</v>
      </c>
      <c r="BJ1252" s="98" t="str">
        <f t="shared" si="1"/>
        <v>INTEGRAL</v>
      </c>
      <c r="BK1252" s="98" t="str">
        <f t="shared" si="2"/>
        <v>PROFISSIONAL</v>
      </c>
    </row>
    <row r="1253" ht="15.75" customHeight="1">
      <c r="A1253" s="111" t="s">
        <v>1463</v>
      </c>
      <c r="B1253" s="83" t="s">
        <v>6619</v>
      </c>
      <c r="C1253" s="83" t="s">
        <v>164</v>
      </c>
      <c r="D1253" s="83">
        <v>1134029.0</v>
      </c>
      <c r="E1253" s="83">
        <v>1179029.0</v>
      </c>
      <c r="F1253" s="83"/>
      <c r="G1253" s="114" t="s">
        <v>6627</v>
      </c>
      <c r="H1253" s="91" t="s">
        <v>6628</v>
      </c>
      <c r="I1253" s="187" t="s">
        <v>6629</v>
      </c>
      <c r="J1253" s="83" t="s">
        <v>5099</v>
      </c>
      <c r="K1253" s="83" t="s">
        <v>168</v>
      </c>
      <c r="L1253" s="83" t="s">
        <v>169</v>
      </c>
      <c r="M1253" s="82" t="s">
        <v>11246</v>
      </c>
      <c r="N1253" s="82" t="s">
        <v>11247</v>
      </c>
      <c r="O1253" s="82" t="s">
        <v>11248</v>
      </c>
      <c r="P1253" s="82" t="s">
        <v>11249</v>
      </c>
      <c r="Q1253" s="82" t="s">
        <v>11250</v>
      </c>
      <c r="R1253" s="82" t="s">
        <v>11251</v>
      </c>
      <c r="S1253" s="82" t="s">
        <v>11252</v>
      </c>
      <c r="T1253" s="138">
        <v>3.0</v>
      </c>
      <c r="U1253" s="592">
        <v>3.0</v>
      </c>
      <c r="V1253" s="106">
        <v>0.0</v>
      </c>
      <c r="W1253" s="107">
        <v>0.0</v>
      </c>
      <c r="X1253" s="107">
        <v>0.0</v>
      </c>
      <c r="Y1253" s="107">
        <v>0.0</v>
      </c>
      <c r="Z1253" s="80">
        <v>0.0</v>
      </c>
      <c r="AA1253" s="140">
        <v>0.0</v>
      </c>
      <c r="AB1253" s="109">
        <v>0.0</v>
      </c>
      <c r="AC1253" s="109">
        <v>0.0</v>
      </c>
      <c r="AD1253" s="141">
        <v>0.0</v>
      </c>
      <c r="AE1253" s="80">
        <v>0.0</v>
      </c>
      <c r="AF1253" s="140">
        <v>0.0</v>
      </c>
      <c r="AG1253" s="109">
        <v>0.0</v>
      </c>
      <c r="AH1253" s="109">
        <v>0.0</v>
      </c>
      <c r="AI1253" s="141">
        <v>0.0</v>
      </c>
      <c r="AJ1253" s="80">
        <v>0.0</v>
      </c>
      <c r="AK1253" s="140">
        <v>0.0</v>
      </c>
      <c r="AL1253" s="109">
        <v>0.0</v>
      </c>
      <c r="AM1253" s="141">
        <v>0.0</v>
      </c>
      <c r="AN1253" s="80">
        <v>0.0</v>
      </c>
      <c r="AO1253" s="140">
        <v>0.0</v>
      </c>
      <c r="AP1253" s="109">
        <v>0.0</v>
      </c>
      <c r="AQ1253" s="109">
        <v>37.0</v>
      </c>
      <c r="AR1253" s="80">
        <v>37.0</v>
      </c>
      <c r="AS1253" s="110">
        <v>0.0</v>
      </c>
      <c r="AT1253" s="110">
        <v>0.0</v>
      </c>
      <c r="AU1253" s="110">
        <v>0.0</v>
      </c>
      <c r="AV1253" s="142">
        <v>0.0</v>
      </c>
      <c r="AW1253" s="80">
        <v>0.0</v>
      </c>
      <c r="AX1253" s="113">
        <v>37.0</v>
      </c>
      <c r="AY1253" s="117">
        <v>0.0</v>
      </c>
      <c r="AZ1253" s="328">
        <v>37.0</v>
      </c>
      <c r="BA1253" s="315">
        <v>0.0</v>
      </c>
      <c r="BB1253" s="316">
        <v>37.0</v>
      </c>
      <c r="BC1253" s="132" t="s">
        <v>373</v>
      </c>
      <c r="BD1253" s="132" t="s">
        <v>178</v>
      </c>
      <c r="BE1253" s="132" t="s">
        <v>178</v>
      </c>
      <c r="BF1253" s="156"/>
      <c r="BG1253" s="83">
        <v>1179029.0</v>
      </c>
      <c r="BH1253" s="112">
        <v>3.0</v>
      </c>
      <c r="BI1253" s="98" t="s">
        <v>155</v>
      </c>
      <c r="BJ1253" s="98" t="str">
        <f t="shared" si="1"/>
        <v>NÃO</v>
      </c>
      <c r="BK1253" s="98" t="str">
        <f t="shared" si="2"/>
        <v>NÃO</v>
      </c>
    </row>
    <row r="1254" ht="15.75" customHeight="1">
      <c r="A1254" s="111" t="s">
        <v>1463</v>
      </c>
      <c r="B1254" s="83" t="s">
        <v>6630</v>
      </c>
      <c r="C1254" s="83" t="s">
        <v>68</v>
      </c>
      <c r="D1254" s="83">
        <v>1133863.0</v>
      </c>
      <c r="E1254" s="83"/>
      <c r="F1254" s="83">
        <v>2.9167388E7</v>
      </c>
      <c r="G1254" s="119" t="s">
        <v>11253</v>
      </c>
      <c r="H1254" s="91" t="s">
        <v>6646</v>
      </c>
      <c r="I1254" s="187" t="s">
        <v>6647</v>
      </c>
      <c r="J1254" s="83" t="s">
        <v>150</v>
      </c>
      <c r="K1254" s="83" t="s">
        <v>151</v>
      </c>
      <c r="L1254" s="83" t="s">
        <v>152</v>
      </c>
      <c r="M1254" s="82" t="s">
        <v>11254</v>
      </c>
      <c r="N1254" s="82" t="s">
        <v>11255</v>
      </c>
      <c r="O1254" s="82" t="s">
        <v>11256</v>
      </c>
      <c r="P1254" s="82" t="s">
        <v>11257</v>
      </c>
      <c r="Q1254" s="82"/>
      <c r="R1254" s="82"/>
      <c r="S1254" s="82" t="s">
        <v>11258</v>
      </c>
      <c r="T1254" s="138">
        <v>15.0</v>
      </c>
      <c r="U1254" s="331" t="s">
        <v>11259</v>
      </c>
      <c r="V1254" s="106">
        <v>0.0</v>
      </c>
      <c r="W1254" s="107">
        <v>0.0</v>
      </c>
      <c r="X1254" s="107">
        <v>0.0</v>
      </c>
      <c r="Y1254" s="107">
        <v>0.0</v>
      </c>
      <c r="Z1254" s="80">
        <v>0.0</v>
      </c>
      <c r="AA1254" s="140">
        <v>0.0</v>
      </c>
      <c r="AB1254" s="109">
        <v>0.0</v>
      </c>
      <c r="AC1254" s="109">
        <v>0.0</v>
      </c>
      <c r="AD1254" s="141">
        <v>0.0</v>
      </c>
      <c r="AE1254" s="80">
        <v>0.0</v>
      </c>
      <c r="AF1254" s="140">
        <v>396.0</v>
      </c>
      <c r="AG1254" s="109">
        <v>193.0</v>
      </c>
      <c r="AH1254" s="109">
        <v>16.0</v>
      </c>
      <c r="AI1254" s="141">
        <v>0.0</v>
      </c>
      <c r="AJ1254" s="80">
        <v>605.0</v>
      </c>
      <c r="AK1254" s="140">
        <v>0.0</v>
      </c>
      <c r="AL1254" s="109">
        <v>0.0</v>
      </c>
      <c r="AM1254" s="141">
        <v>0.0</v>
      </c>
      <c r="AN1254" s="80">
        <v>0.0</v>
      </c>
      <c r="AO1254" s="140">
        <v>0.0</v>
      </c>
      <c r="AP1254" s="109">
        <v>0.0</v>
      </c>
      <c r="AQ1254" s="109">
        <v>61.0</v>
      </c>
      <c r="AR1254" s="80">
        <v>61.0</v>
      </c>
      <c r="AS1254" s="110">
        <v>0.0</v>
      </c>
      <c r="AT1254" s="110">
        <v>0.0</v>
      </c>
      <c r="AU1254" s="110">
        <v>0.0</v>
      </c>
      <c r="AV1254" s="142">
        <v>0.0</v>
      </c>
      <c r="AW1254" s="80">
        <v>0.0</v>
      </c>
      <c r="AX1254" s="113">
        <v>666.0</v>
      </c>
      <c r="AY1254" s="117">
        <v>589.0</v>
      </c>
      <c r="AZ1254" s="328">
        <v>77.0</v>
      </c>
      <c r="BA1254" s="315">
        <v>22.0</v>
      </c>
      <c r="BB1254" s="316">
        <v>688.0</v>
      </c>
      <c r="BC1254" s="132" t="s">
        <v>178</v>
      </c>
      <c r="BD1254" s="132" t="s">
        <v>178</v>
      </c>
      <c r="BE1254" s="132" t="s">
        <v>178</v>
      </c>
      <c r="BF1254" s="156"/>
      <c r="BG1254" s="83">
        <v>1133863.0</v>
      </c>
      <c r="BH1254" s="112">
        <v>12.0</v>
      </c>
      <c r="BI1254" s="98" t="s">
        <v>284</v>
      </c>
      <c r="BJ1254" s="98" t="str">
        <f t="shared" si="1"/>
        <v>NÃO</v>
      </c>
      <c r="BK1254" s="98" t="str">
        <f t="shared" si="2"/>
        <v>NÃO</v>
      </c>
    </row>
    <row r="1255" ht="15.75" customHeight="1">
      <c r="A1255" s="111" t="s">
        <v>1463</v>
      </c>
      <c r="B1255" s="83" t="s">
        <v>6630</v>
      </c>
      <c r="C1255" s="83" t="s">
        <v>68</v>
      </c>
      <c r="D1255" s="83">
        <v>1178153.0</v>
      </c>
      <c r="E1255" s="83"/>
      <c r="F1255" s="83">
        <v>2.9444896E7</v>
      </c>
      <c r="G1255" s="114" t="s">
        <v>11260</v>
      </c>
      <c r="H1255" s="91" t="s">
        <v>6642</v>
      </c>
      <c r="I1255" s="187" t="s">
        <v>149</v>
      </c>
      <c r="J1255" s="83" t="s">
        <v>1321</v>
      </c>
      <c r="K1255" s="83" t="s">
        <v>151</v>
      </c>
      <c r="L1255" s="83" t="s">
        <v>76</v>
      </c>
      <c r="M1255" s="82" t="s">
        <v>11261</v>
      </c>
      <c r="N1255" s="82" t="s">
        <v>11262</v>
      </c>
      <c r="O1255" s="82"/>
      <c r="P1255" s="82"/>
      <c r="Q1255" s="82"/>
      <c r="R1255" s="82"/>
      <c r="S1255" s="82" t="s">
        <v>11263</v>
      </c>
      <c r="T1255" s="138">
        <v>6.0</v>
      </c>
      <c r="U1255" s="339" t="s">
        <v>699</v>
      </c>
      <c r="V1255" s="106">
        <v>0.0</v>
      </c>
      <c r="W1255" s="107">
        <v>0.0</v>
      </c>
      <c r="X1255" s="107">
        <v>0.0</v>
      </c>
      <c r="Y1255" s="107">
        <v>0.0</v>
      </c>
      <c r="Z1255" s="80">
        <v>0.0</v>
      </c>
      <c r="AA1255" s="140">
        <v>0.0</v>
      </c>
      <c r="AB1255" s="109">
        <v>0.0</v>
      </c>
      <c r="AC1255" s="109">
        <v>0.0</v>
      </c>
      <c r="AD1255" s="141">
        <v>0.0</v>
      </c>
      <c r="AE1255" s="80">
        <v>0.0</v>
      </c>
      <c r="AF1255" s="140">
        <v>0.0</v>
      </c>
      <c r="AG1255" s="109">
        <v>0.0</v>
      </c>
      <c r="AH1255" s="109">
        <v>0.0</v>
      </c>
      <c r="AI1255" s="141">
        <v>182.0</v>
      </c>
      <c r="AJ1255" s="80">
        <v>182.0</v>
      </c>
      <c r="AK1255" s="140">
        <v>0.0</v>
      </c>
      <c r="AL1255" s="109">
        <v>0.0</v>
      </c>
      <c r="AM1255" s="141">
        <v>0.0</v>
      </c>
      <c r="AN1255" s="80">
        <v>0.0</v>
      </c>
      <c r="AO1255" s="140">
        <v>0.0</v>
      </c>
      <c r="AP1255" s="109">
        <v>0.0</v>
      </c>
      <c r="AQ1255" s="109">
        <v>47.0</v>
      </c>
      <c r="AR1255" s="80">
        <v>47.0</v>
      </c>
      <c r="AS1255" s="110">
        <v>0.0</v>
      </c>
      <c r="AT1255" s="110">
        <v>0.0</v>
      </c>
      <c r="AU1255" s="110">
        <v>0.0</v>
      </c>
      <c r="AV1255" s="142">
        <v>0.0</v>
      </c>
      <c r="AW1255" s="80">
        <v>0.0</v>
      </c>
      <c r="AX1255" s="113">
        <v>229.0</v>
      </c>
      <c r="AY1255" s="117">
        <v>182.0</v>
      </c>
      <c r="AZ1255" s="328">
        <v>47.0</v>
      </c>
      <c r="BA1255" s="315">
        <v>0.0</v>
      </c>
      <c r="BB1255" s="316">
        <v>229.0</v>
      </c>
      <c r="BC1255" s="132" t="s">
        <v>373</v>
      </c>
      <c r="BD1255" s="132" t="s">
        <v>178</v>
      </c>
      <c r="BE1255" s="132" t="s">
        <v>178</v>
      </c>
      <c r="BF1255" s="123"/>
      <c r="BG1255" s="83">
        <v>1178153.0</v>
      </c>
      <c r="BH1255" s="98">
        <v>8.0</v>
      </c>
      <c r="BI1255" s="98" t="s">
        <v>155</v>
      </c>
      <c r="BJ1255" s="98" t="str">
        <f t="shared" si="1"/>
        <v>INTEGRAL</v>
      </c>
      <c r="BK1255" s="98" t="str">
        <f t="shared" si="2"/>
        <v>NÃO</v>
      </c>
    </row>
    <row r="1256" ht="15.75" customHeight="1">
      <c r="A1256" s="111" t="s">
        <v>1463</v>
      </c>
      <c r="B1256" s="83" t="s">
        <v>6630</v>
      </c>
      <c r="C1256" s="83" t="s">
        <v>68</v>
      </c>
      <c r="D1256" s="83">
        <v>1166222.0</v>
      </c>
      <c r="E1256" s="83"/>
      <c r="F1256" s="83">
        <v>2.9168775E7</v>
      </c>
      <c r="G1256" s="114" t="s">
        <v>6631</v>
      </c>
      <c r="H1256" s="91" t="s">
        <v>6632</v>
      </c>
      <c r="I1256" s="114" t="s">
        <v>149</v>
      </c>
      <c r="J1256" s="83" t="s">
        <v>187</v>
      </c>
      <c r="K1256" s="83" t="s">
        <v>151</v>
      </c>
      <c r="L1256" s="83" t="s">
        <v>169</v>
      </c>
      <c r="M1256" s="82" t="s">
        <v>11264</v>
      </c>
      <c r="N1256" s="82" t="s">
        <v>11265</v>
      </c>
      <c r="O1256" s="82" t="s">
        <v>11266</v>
      </c>
      <c r="P1256" s="82" t="s">
        <v>11267</v>
      </c>
      <c r="Q1256" s="82"/>
      <c r="R1256" s="82"/>
      <c r="S1256" s="82" t="s">
        <v>11268</v>
      </c>
      <c r="T1256" s="138">
        <v>9.0</v>
      </c>
      <c r="U1256" s="352" t="s">
        <v>11269</v>
      </c>
      <c r="V1256" s="106">
        <v>0.0</v>
      </c>
      <c r="W1256" s="107">
        <v>0.0</v>
      </c>
      <c r="X1256" s="107">
        <v>0.0</v>
      </c>
      <c r="Y1256" s="107">
        <v>0.0</v>
      </c>
      <c r="Z1256" s="80">
        <v>0.0</v>
      </c>
      <c r="AA1256" s="140">
        <v>0.0</v>
      </c>
      <c r="AB1256" s="109">
        <v>0.0</v>
      </c>
      <c r="AC1256" s="109">
        <v>0.0</v>
      </c>
      <c r="AD1256" s="141">
        <v>0.0</v>
      </c>
      <c r="AE1256" s="80">
        <v>0.0</v>
      </c>
      <c r="AF1256" s="140">
        <v>86.0</v>
      </c>
      <c r="AG1256" s="109">
        <v>75.0</v>
      </c>
      <c r="AH1256" s="109">
        <v>0.0</v>
      </c>
      <c r="AI1256" s="141">
        <v>0.0</v>
      </c>
      <c r="AJ1256" s="80">
        <v>161.0</v>
      </c>
      <c r="AK1256" s="140">
        <v>0.0</v>
      </c>
      <c r="AL1256" s="109">
        <v>0.0</v>
      </c>
      <c r="AM1256" s="141">
        <v>0.0</v>
      </c>
      <c r="AN1256" s="80">
        <v>0.0</v>
      </c>
      <c r="AO1256" s="140">
        <v>0.0</v>
      </c>
      <c r="AP1256" s="109">
        <v>0.0</v>
      </c>
      <c r="AQ1256" s="109">
        <v>53.0</v>
      </c>
      <c r="AR1256" s="80">
        <v>53.0</v>
      </c>
      <c r="AS1256" s="110">
        <v>0.0</v>
      </c>
      <c r="AT1256" s="110">
        <v>0.0</v>
      </c>
      <c r="AU1256" s="110">
        <v>0.0</v>
      </c>
      <c r="AV1256" s="142">
        <v>0.0</v>
      </c>
      <c r="AW1256" s="80">
        <v>0.0</v>
      </c>
      <c r="AX1256" s="113">
        <v>214.0</v>
      </c>
      <c r="AY1256" s="117">
        <v>161.0</v>
      </c>
      <c r="AZ1256" s="328">
        <v>53.0</v>
      </c>
      <c r="BA1256" s="315">
        <v>0.0</v>
      </c>
      <c r="BB1256" s="316">
        <v>214.0</v>
      </c>
      <c r="BC1256" s="132" t="s">
        <v>373</v>
      </c>
      <c r="BD1256" s="132" t="s">
        <v>178</v>
      </c>
      <c r="BE1256" s="132" t="s">
        <v>178</v>
      </c>
      <c r="BF1256" s="156"/>
      <c r="BG1256" s="83">
        <v>1166222.0</v>
      </c>
      <c r="BH1256" s="98">
        <v>3.0</v>
      </c>
      <c r="BI1256" s="98" t="s">
        <v>155</v>
      </c>
      <c r="BJ1256" s="98" t="str">
        <f t="shared" si="1"/>
        <v>NÃO</v>
      </c>
      <c r="BK1256" s="98" t="str">
        <f t="shared" si="2"/>
        <v>NÃO</v>
      </c>
    </row>
    <row r="1257" ht="15.75" customHeight="1">
      <c r="A1257" s="111" t="s">
        <v>1463</v>
      </c>
      <c r="B1257" s="83" t="s">
        <v>6630</v>
      </c>
      <c r="C1257" s="83" t="s">
        <v>68</v>
      </c>
      <c r="D1257" s="83">
        <v>1176201.0</v>
      </c>
      <c r="E1257" s="83"/>
      <c r="F1257" s="83">
        <v>2.9375983E7</v>
      </c>
      <c r="G1257" s="114" t="s">
        <v>6650</v>
      </c>
      <c r="H1257" s="91" t="s">
        <v>6651</v>
      </c>
      <c r="I1257" s="187" t="s">
        <v>4215</v>
      </c>
      <c r="J1257" s="83" t="s">
        <v>4299</v>
      </c>
      <c r="K1257" s="83" t="s">
        <v>151</v>
      </c>
      <c r="L1257" s="83" t="s">
        <v>230</v>
      </c>
      <c r="M1257" s="82" t="s">
        <v>11270</v>
      </c>
      <c r="N1257" s="82" t="s">
        <v>11271</v>
      </c>
      <c r="O1257" s="82" t="s">
        <v>11272</v>
      </c>
      <c r="P1257" s="82" t="s">
        <v>11273</v>
      </c>
      <c r="Q1257" s="82"/>
      <c r="R1257" s="82"/>
      <c r="S1257" s="82" t="s">
        <v>4561</v>
      </c>
      <c r="T1257" s="138">
        <v>26.0</v>
      </c>
      <c r="U1257" s="352" t="s">
        <v>11274</v>
      </c>
      <c r="V1257" s="106">
        <v>0.0</v>
      </c>
      <c r="W1257" s="107">
        <v>0.0</v>
      </c>
      <c r="X1257" s="107">
        <v>0.0</v>
      </c>
      <c r="Y1257" s="107">
        <v>0.0</v>
      </c>
      <c r="Z1257" s="80">
        <v>0.0</v>
      </c>
      <c r="AA1257" s="140">
        <v>0.0</v>
      </c>
      <c r="AB1257" s="109">
        <v>0.0</v>
      </c>
      <c r="AC1257" s="109">
        <v>0.0</v>
      </c>
      <c r="AD1257" s="141">
        <v>0.0</v>
      </c>
      <c r="AE1257" s="80">
        <v>0.0</v>
      </c>
      <c r="AF1257" s="140">
        <v>0.0</v>
      </c>
      <c r="AG1257" s="109">
        <v>0.0</v>
      </c>
      <c r="AH1257" s="109">
        <v>0.0</v>
      </c>
      <c r="AI1257" s="141">
        <v>0.0</v>
      </c>
      <c r="AJ1257" s="80">
        <v>0.0</v>
      </c>
      <c r="AK1257" s="140">
        <v>0.0</v>
      </c>
      <c r="AL1257" s="109">
        <v>0.0</v>
      </c>
      <c r="AM1257" s="141">
        <v>0.0</v>
      </c>
      <c r="AN1257" s="80">
        <v>0.0</v>
      </c>
      <c r="AO1257" s="140">
        <v>0.0</v>
      </c>
      <c r="AP1257" s="109">
        <v>0.0</v>
      </c>
      <c r="AQ1257" s="109">
        <v>0.0</v>
      </c>
      <c r="AR1257" s="80">
        <v>0.0</v>
      </c>
      <c r="AS1257" s="110">
        <v>189.0</v>
      </c>
      <c r="AT1257" s="110">
        <v>59.0</v>
      </c>
      <c r="AU1257" s="110">
        <v>66.0</v>
      </c>
      <c r="AV1257" s="142">
        <v>0.0</v>
      </c>
      <c r="AW1257" s="80">
        <v>314.0</v>
      </c>
      <c r="AX1257" s="113">
        <v>314.0</v>
      </c>
      <c r="AY1257" s="117">
        <v>248.0</v>
      </c>
      <c r="AZ1257" s="328">
        <v>66.0</v>
      </c>
      <c r="BA1257" s="315">
        <v>0.0</v>
      </c>
      <c r="BB1257" s="316">
        <v>314.0</v>
      </c>
      <c r="BC1257" s="132" t="s">
        <v>265</v>
      </c>
      <c r="BD1257" s="132" t="s">
        <v>779</v>
      </c>
      <c r="BE1257" s="132" t="s">
        <v>178</v>
      </c>
      <c r="BF1257" s="123"/>
      <c r="BG1257" s="83">
        <v>1176201.0</v>
      </c>
      <c r="BH1257" s="98">
        <v>16.0</v>
      </c>
      <c r="BI1257" s="98" t="s">
        <v>155</v>
      </c>
      <c r="BJ1257" s="98" t="str">
        <f t="shared" si="1"/>
        <v>NÃO</v>
      </c>
      <c r="BK1257" s="98" t="str">
        <f t="shared" si="2"/>
        <v>PROFISSIONAL</v>
      </c>
    </row>
    <row r="1258" ht="15.75" customHeight="1">
      <c r="A1258" s="111" t="s">
        <v>1463</v>
      </c>
      <c r="B1258" s="83" t="s">
        <v>6654</v>
      </c>
      <c r="C1258" s="83" t="s">
        <v>68</v>
      </c>
      <c r="D1258" s="83">
        <v>1178143.0</v>
      </c>
      <c r="E1258" s="83"/>
      <c r="F1258" s="83">
        <v>2.9441641E7</v>
      </c>
      <c r="G1258" s="114" t="s">
        <v>11275</v>
      </c>
      <c r="H1258" s="91" t="s">
        <v>6656</v>
      </c>
      <c r="I1258" s="114" t="s">
        <v>149</v>
      </c>
      <c r="J1258" s="83" t="s">
        <v>150</v>
      </c>
      <c r="K1258" s="83" t="s">
        <v>151</v>
      </c>
      <c r="L1258" s="83" t="s">
        <v>169</v>
      </c>
      <c r="M1258" s="82" t="s">
        <v>11276</v>
      </c>
      <c r="N1258" s="82" t="s">
        <v>11277</v>
      </c>
      <c r="O1258" s="82" t="s">
        <v>11278</v>
      </c>
      <c r="P1258" s="82" t="s">
        <v>11279</v>
      </c>
      <c r="Q1258" s="82"/>
      <c r="R1258" s="82"/>
      <c r="S1258" s="82" t="s">
        <v>11280</v>
      </c>
      <c r="T1258" s="138">
        <v>6.0</v>
      </c>
      <c r="U1258" s="389" t="s">
        <v>11281</v>
      </c>
      <c r="V1258" s="106">
        <v>0.0</v>
      </c>
      <c r="W1258" s="107">
        <v>0.0</v>
      </c>
      <c r="X1258" s="107">
        <v>0.0</v>
      </c>
      <c r="Y1258" s="107">
        <v>0.0</v>
      </c>
      <c r="Z1258" s="80">
        <v>0.0</v>
      </c>
      <c r="AA1258" s="140">
        <v>0.0</v>
      </c>
      <c r="AB1258" s="109">
        <v>0.0</v>
      </c>
      <c r="AC1258" s="109">
        <v>0.0</v>
      </c>
      <c r="AD1258" s="141">
        <v>0.0</v>
      </c>
      <c r="AE1258" s="80">
        <v>0.0</v>
      </c>
      <c r="AF1258" s="140">
        <v>89.0</v>
      </c>
      <c r="AG1258" s="109">
        <v>67.0</v>
      </c>
      <c r="AH1258" s="109">
        <v>0.0</v>
      </c>
      <c r="AI1258" s="141">
        <v>0.0</v>
      </c>
      <c r="AJ1258" s="80">
        <v>156.0</v>
      </c>
      <c r="AK1258" s="140">
        <v>0.0</v>
      </c>
      <c r="AL1258" s="109">
        <v>0.0</v>
      </c>
      <c r="AM1258" s="141">
        <v>0.0</v>
      </c>
      <c r="AN1258" s="80">
        <v>0.0</v>
      </c>
      <c r="AO1258" s="140">
        <v>0.0</v>
      </c>
      <c r="AP1258" s="109">
        <v>0.0</v>
      </c>
      <c r="AQ1258" s="109">
        <v>26.0</v>
      </c>
      <c r="AR1258" s="80">
        <v>26.0</v>
      </c>
      <c r="AS1258" s="110">
        <v>95.0</v>
      </c>
      <c r="AT1258" s="110">
        <v>0.0</v>
      </c>
      <c r="AU1258" s="110">
        <v>0.0</v>
      </c>
      <c r="AV1258" s="142">
        <v>0.0</v>
      </c>
      <c r="AW1258" s="80">
        <v>95.0</v>
      </c>
      <c r="AX1258" s="113">
        <v>277.0</v>
      </c>
      <c r="AY1258" s="117">
        <v>251.0</v>
      </c>
      <c r="AZ1258" s="328">
        <v>26.0</v>
      </c>
      <c r="BA1258" s="315">
        <v>11.0</v>
      </c>
      <c r="BB1258" s="316">
        <v>288.0</v>
      </c>
      <c r="BC1258" s="132" t="s">
        <v>178</v>
      </c>
      <c r="BD1258" s="132" t="s">
        <v>178</v>
      </c>
      <c r="BE1258" s="132" t="s">
        <v>178</v>
      </c>
      <c r="BF1258" s="156"/>
      <c r="BG1258" s="83">
        <v>1178143.0</v>
      </c>
      <c r="BH1258" s="112">
        <v>5.0</v>
      </c>
      <c r="BI1258" s="98" t="s">
        <v>155</v>
      </c>
      <c r="BJ1258" s="98" t="str">
        <f t="shared" si="1"/>
        <v>NÃO</v>
      </c>
      <c r="BK1258" s="98" t="str">
        <f t="shared" si="2"/>
        <v>PROFISSIONAL</v>
      </c>
    </row>
    <row r="1259" ht="15.75" customHeight="1">
      <c r="A1259" s="111" t="s">
        <v>1463</v>
      </c>
      <c r="B1259" s="83" t="s">
        <v>2709</v>
      </c>
      <c r="C1259" s="83" t="s">
        <v>68</v>
      </c>
      <c r="D1259" s="83">
        <v>1178001.0</v>
      </c>
      <c r="E1259" s="83"/>
      <c r="F1259" s="83">
        <v>2.9417287E7</v>
      </c>
      <c r="G1259" s="114" t="s">
        <v>11282</v>
      </c>
      <c r="H1259" s="91" t="s">
        <v>6663</v>
      </c>
      <c r="I1259" s="114" t="s">
        <v>149</v>
      </c>
      <c r="J1259" s="136" t="s">
        <v>209</v>
      </c>
      <c r="K1259" s="83" t="s">
        <v>151</v>
      </c>
      <c r="L1259" s="83" t="s">
        <v>76</v>
      </c>
      <c r="M1259" s="82" t="s">
        <v>11283</v>
      </c>
      <c r="N1259" s="82" t="s">
        <v>11284</v>
      </c>
      <c r="O1259" s="82" t="s">
        <v>11285</v>
      </c>
      <c r="P1259" s="82" t="s">
        <v>11286</v>
      </c>
      <c r="Q1259" s="82"/>
      <c r="R1259" s="82"/>
      <c r="S1259" s="82" t="s">
        <v>11287</v>
      </c>
      <c r="T1259" s="138">
        <v>7.0</v>
      </c>
      <c r="U1259" s="323">
        <v>10.0</v>
      </c>
      <c r="V1259" s="106">
        <v>0.0</v>
      </c>
      <c r="W1259" s="107">
        <v>0.0</v>
      </c>
      <c r="X1259" s="107">
        <v>0.0</v>
      </c>
      <c r="Y1259" s="107">
        <v>0.0</v>
      </c>
      <c r="Z1259" s="80">
        <v>0.0</v>
      </c>
      <c r="AA1259" s="140">
        <v>0.0</v>
      </c>
      <c r="AB1259" s="109">
        <v>0.0</v>
      </c>
      <c r="AC1259" s="109">
        <v>0.0</v>
      </c>
      <c r="AD1259" s="141">
        <v>0.0</v>
      </c>
      <c r="AE1259" s="80">
        <v>0.0</v>
      </c>
      <c r="AF1259" s="140">
        <v>224.0</v>
      </c>
      <c r="AG1259" s="109">
        <v>120.0</v>
      </c>
      <c r="AH1259" s="109">
        <v>0.0</v>
      </c>
      <c r="AI1259" s="141">
        <v>0.0</v>
      </c>
      <c r="AJ1259" s="80">
        <v>344.0</v>
      </c>
      <c r="AK1259" s="140">
        <v>0.0</v>
      </c>
      <c r="AL1259" s="109">
        <v>0.0</v>
      </c>
      <c r="AM1259" s="141">
        <v>0.0</v>
      </c>
      <c r="AN1259" s="80">
        <v>0.0</v>
      </c>
      <c r="AO1259" s="140">
        <v>0.0</v>
      </c>
      <c r="AP1259" s="109">
        <v>0.0</v>
      </c>
      <c r="AQ1259" s="109">
        <v>65.0</v>
      </c>
      <c r="AR1259" s="80">
        <v>65.0</v>
      </c>
      <c r="AS1259" s="110">
        <v>0.0</v>
      </c>
      <c r="AT1259" s="110">
        <v>0.0</v>
      </c>
      <c r="AU1259" s="110">
        <v>0.0</v>
      </c>
      <c r="AV1259" s="142">
        <v>0.0</v>
      </c>
      <c r="AW1259" s="80">
        <v>0.0</v>
      </c>
      <c r="AX1259" s="113">
        <v>409.0</v>
      </c>
      <c r="AY1259" s="117">
        <v>344.0</v>
      </c>
      <c r="AZ1259" s="328">
        <v>65.0</v>
      </c>
      <c r="BA1259" s="315">
        <v>1.0</v>
      </c>
      <c r="BB1259" s="316">
        <v>410.0</v>
      </c>
      <c r="BC1259" s="132" t="s">
        <v>373</v>
      </c>
      <c r="BD1259" s="132" t="s">
        <v>178</v>
      </c>
      <c r="BE1259" s="132" t="s">
        <v>178</v>
      </c>
      <c r="BF1259" s="123"/>
      <c r="BG1259" s="83">
        <v>1178001.0</v>
      </c>
      <c r="BH1259" s="112">
        <v>10.0</v>
      </c>
      <c r="BI1259" s="98" t="s">
        <v>155</v>
      </c>
      <c r="BJ1259" s="98" t="str">
        <f t="shared" si="1"/>
        <v>NÃO</v>
      </c>
      <c r="BK1259" s="98" t="str">
        <f t="shared" si="2"/>
        <v>NÃO</v>
      </c>
    </row>
    <row r="1260" ht="15.75" customHeight="1">
      <c r="A1260" s="111" t="s">
        <v>1463</v>
      </c>
      <c r="B1260" s="83" t="s">
        <v>2709</v>
      </c>
      <c r="C1260" s="83" t="s">
        <v>68</v>
      </c>
      <c r="D1260" s="83">
        <v>1135610.0</v>
      </c>
      <c r="E1260" s="83"/>
      <c r="F1260" s="83">
        <v>2.916916E7</v>
      </c>
      <c r="G1260" s="114" t="s">
        <v>6658</v>
      </c>
      <c r="H1260" s="91" t="s">
        <v>6659</v>
      </c>
      <c r="I1260" s="114" t="s">
        <v>149</v>
      </c>
      <c r="J1260" s="83" t="s">
        <v>150</v>
      </c>
      <c r="K1260" s="83" t="s">
        <v>151</v>
      </c>
      <c r="L1260" s="83" t="s">
        <v>76</v>
      </c>
      <c r="M1260" s="82" t="s">
        <v>11288</v>
      </c>
      <c r="N1260" s="82" t="s">
        <v>11289</v>
      </c>
      <c r="O1260" s="82" t="s">
        <v>11290</v>
      </c>
      <c r="P1260" s="82" t="s">
        <v>11291</v>
      </c>
      <c r="Q1260" s="82"/>
      <c r="R1260" s="82"/>
      <c r="S1260" s="82" t="s">
        <v>11292</v>
      </c>
      <c r="T1260" s="138">
        <v>24.0</v>
      </c>
      <c r="U1260" s="389">
        <v>11.0</v>
      </c>
      <c r="V1260" s="106">
        <v>0.0</v>
      </c>
      <c r="W1260" s="107">
        <v>0.0</v>
      </c>
      <c r="X1260" s="107">
        <v>0.0</v>
      </c>
      <c r="Y1260" s="107">
        <v>0.0</v>
      </c>
      <c r="Z1260" s="80">
        <v>0.0</v>
      </c>
      <c r="AA1260" s="140">
        <v>0.0</v>
      </c>
      <c r="AB1260" s="109">
        <v>0.0</v>
      </c>
      <c r="AC1260" s="109">
        <v>0.0</v>
      </c>
      <c r="AD1260" s="141">
        <v>0.0</v>
      </c>
      <c r="AE1260" s="80">
        <v>0.0</v>
      </c>
      <c r="AF1260" s="140">
        <v>205.0</v>
      </c>
      <c r="AG1260" s="109">
        <v>140.0</v>
      </c>
      <c r="AH1260" s="109">
        <v>0.0</v>
      </c>
      <c r="AI1260" s="141">
        <v>0.0</v>
      </c>
      <c r="AJ1260" s="80">
        <v>345.0</v>
      </c>
      <c r="AK1260" s="140">
        <v>0.0</v>
      </c>
      <c r="AL1260" s="109">
        <v>0.0</v>
      </c>
      <c r="AM1260" s="141">
        <v>0.0</v>
      </c>
      <c r="AN1260" s="80">
        <v>0.0</v>
      </c>
      <c r="AO1260" s="140">
        <v>0.0</v>
      </c>
      <c r="AP1260" s="109">
        <v>0.0</v>
      </c>
      <c r="AQ1260" s="109">
        <v>83.0</v>
      </c>
      <c r="AR1260" s="80">
        <v>83.0</v>
      </c>
      <c r="AS1260" s="110">
        <v>0.0</v>
      </c>
      <c r="AT1260" s="110">
        <v>0.0</v>
      </c>
      <c r="AU1260" s="110">
        <v>0.0</v>
      </c>
      <c r="AV1260" s="142">
        <v>0.0</v>
      </c>
      <c r="AW1260" s="80">
        <v>0.0</v>
      </c>
      <c r="AX1260" s="113">
        <v>428.0</v>
      </c>
      <c r="AY1260" s="117">
        <v>345.0</v>
      </c>
      <c r="AZ1260" s="328">
        <v>83.0</v>
      </c>
      <c r="BA1260" s="315">
        <v>0.0</v>
      </c>
      <c r="BB1260" s="316">
        <v>428.0</v>
      </c>
      <c r="BC1260" s="132" t="s">
        <v>178</v>
      </c>
      <c r="BD1260" s="132" t="s">
        <v>178</v>
      </c>
      <c r="BE1260" s="132" t="s">
        <v>178</v>
      </c>
      <c r="BF1260" s="156"/>
      <c r="BG1260" s="83">
        <v>1135610.0</v>
      </c>
      <c r="BH1260" s="112">
        <v>11.0</v>
      </c>
      <c r="BI1260" s="98" t="s">
        <v>284</v>
      </c>
      <c r="BJ1260" s="98" t="str">
        <f t="shared" si="1"/>
        <v>NÃO</v>
      </c>
      <c r="BK1260" s="98" t="str">
        <f t="shared" si="2"/>
        <v>NÃO</v>
      </c>
    </row>
    <row r="1261" ht="15.75" customHeight="1">
      <c r="A1261" s="111" t="s">
        <v>1463</v>
      </c>
      <c r="B1261" s="83" t="s">
        <v>4828</v>
      </c>
      <c r="C1261" s="83" t="s">
        <v>68</v>
      </c>
      <c r="D1261" s="83">
        <v>1109326.0</v>
      </c>
      <c r="E1261" s="83"/>
      <c r="F1261" s="83">
        <v>2.9169615E7</v>
      </c>
      <c r="G1261" s="114" t="s">
        <v>6668</v>
      </c>
      <c r="H1261" s="91" t="s">
        <v>6669</v>
      </c>
      <c r="I1261" s="114" t="s">
        <v>2709</v>
      </c>
      <c r="J1261" s="83" t="s">
        <v>150</v>
      </c>
      <c r="K1261" s="83" t="s">
        <v>151</v>
      </c>
      <c r="L1261" s="83" t="s">
        <v>59</v>
      </c>
      <c r="M1261" s="82" t="s">
        <v>11293</v>
      </c>
      <c r="N1261" s="82" t="s">
        <v>11294</v>
      </c>
      <c r="O1261" s="82" t="s">
        <v>11295</v>
      </c>
      <c r="P1261" s="82" t="s">
        <v>11296</v>
      </c>
      <c r="Q1261" s="82" t="s">
        <v>11297</v>
      </c>
      <c r="R1261" s="82" t="s">
        <v>11298</v>
      </c>
      <c r="S1261" s="82" t="s">
        <v>11299</v>
      </c>
      <c r="T1261" s="138">
        <v>21.0</v>
      </c>
      <c r="U1261" s="389">
        <v>21.0</v>
      </c>
      <c r="V1261" s="106">
        <v>0.0</v>
      </c>
      <c r="W1261" s="107">
        <v>0.0</v>
      </c>
      <c r="X1261" s="107">
        <v>0.0</v>
      </c>
      <c r="Y1261" s="107">
        <v>0.0</v>
      </c>
      <c r="Z1261" s="80">
        <v>0.0</v>
      </c>
      <c r="AA1261" s="140">
        <v>0.0</v>
      </c>
      <c r="AB1261" s="109">
        <v>0.0</v>
      </c>
      <c r="AC1261" s="109">
        <v>0.0</v>
      </c>
      <c r="AD1261" s="141">
        <v>0.0</v>
      </c>
      <c r="AE1261" s="80">
        <v>0.0</v>
      </c>
      <c r="AF1261" s="140">
        <v>76.0</v>
      </c>
      <c r="AG1261" s="109">
        <v>42.0</v>
      </c>
      <c r="AH1261" s="109">
        <v>0.0</v>
      </c>
      <c r="AI1261" s="141">
        <v>14.0</v>
      </c>
      <c r="AJ1261" s="80">
        <v>132.0</v>
      </c>
      <c r="AK1261" s="140">
        <v>0.0</v>
      </c>
      <c r="AL1261" s="109">
        <v>0.0</v>
      </c>
      <c r="AM1261" s="141">
        <v>0.0</v>
      </c>
      <c r="AN1261" s="80">
        <v>0.0</v>
      </c>
      <c r="AO1261" s="140">
        <v>0.0</v>
      </c>
      <c r="AP1261" s="109">
        <v>0.0</v>
      </c>
      <c r="AQ1261" s="109">
        <v>0.0</v>
      </c>
      <c r="AR1261" s="80">
        <v>0.0</v>
      </c>
      <c r="AS1261" s="110">
        <v>110.0</v>
      </c>
      <c r="AT1261" s="110">
        <v>45.0</v>
      </c>
      <c r="AU1261" s="110">
        <v>101.0</v>
      </c>
      <c r="AV1261" s="142">
        <v>0.0</v>
      </c>
      <c r="AW1261" s="80">
        <v>256.0</v>
      </c>
      <c r="AX1261" s="113">
        <v>388.0</v>
      </c>
      <c r="AY1261" s="117">
        <v>287.0</v>
      </c>
      <c r="AZ1261" s="328">
        <v>101.0</v>
      </c>
      <c r="BA1261" s="315">
        <v>1.0</v>
      </c>
      <c r="BB1261" s="316">
        <v>389.0</v>
      </c>
      <c r="BC1261" s="132" t="s">
        <v>178</v>
      </c>
      <c r="BD1261" s="132" t="s">
        <v>178</v>
      </c>
      <c r="BE1261" s="132" t="s">
        <v>178</v>
      </c>
      <c r="BF1261" s="156"/>
      <c r="BG1261" s="83">
        <v>1109326.0</v>
      </c>
      <c r="BH1261" s="112">
        <v>21.0</v>
      </c>
      <c r="BI1261" s="98" t="s">
        <v>155</v>
      </c>
      <c r="BJ1261" s="98" t="str">
        <f t="shared" si="1"/>
        <v>INTEGRAL</v>
      </c>
      <c r="BK1261" s="98" t="str">
        <f t="shared" si="2"/>
        <v>PROFISSIONAL</v>
      </c>
    </row>
    <row r="1262" ht="15.75" customHeight="1">
      <c r="A1262" s="111" t="s">
        <v>1463</v>
      </c>
      <c r="B1262" s="83" t="s">
        <v>4828</v>
      </c>
      <c r="C1262" s="83" t="s">
        <v>68</v>
      </c>
      <c r="D1262" s="83">
        <v>1145691.0</v>
      </c>
      <c r="E1262" s="83"/>
      <c r="F1262" s="83">
        <v>2.9169607E7</v>
      </c>
      <c r="G1262" s="365" t="s">
        <v>6675</v>
      </c>
      <c r="H1262" s="91" t="s">
        <v>6676</v>
      </c>
      <c r="I1262" s="114" t="s">
        <v>6677</v>
      </c>
      <c r="J1262" s="136" t="s">
        <v>150</v>
      </c>
      <c r="K1262" s="136" t="s">
        <v>151</v>
      </c>
      <c r="L1262" s="83" t="s">
        <v>152</v>
      </c>
      <c r="M1262" s="82" t="s">
        <v>11300</v>
      </c>
      <c r="N1262" s="82" t="s">
        <v>11301</v>
      </c>
      <c r="O1262" s="82" t="s">
        <v>11302</v>
      </c>
      <c r="P1262" s="82" t="s">
        <v>11303</v>
      </c>
      <c r="Q1262" s="82" t="s">
        <v>11304</v>
      </c>
      <c r="R1262" s="82" t="s">
        <v>11305</v>
      </c>
      <c r="S1262" s="82" t="s">
        <v>11299</v>
      </c>
      <c r="T1262" s="138">
        <v>20.0</v>
      </c>
      <c r="U1262" s="387">
        <v>20.0</v>
      </c>
      <c r="V1262" s="106">
        <v>0.0</v>
      </c>
      <c r="W1262" s="107">
        <v>0.0</v>
      </c>
      <c r="X1262" s="107">
        <v>0.0</v>
      </c>
      <c r="Y1262" s="107">
        <v>0.0</v>
      </c>
      <c r="Z1262" s="80">
        <v>0.0</v>
      </c>
      <c r="AA1262" s="140">
        <v>0.0</v>
      </c>
      <c r="AB1262" s="109">
        <v>0.0</v>
      </c>
      <c r="AC1262" s="109">
        <v>0.0</v>
      </c>
      <c r="AD1262" s="141">
        <v>0.0</v>
      </c>
      <c r="AE1262" s="80">
        <v>0.0</v>
      </c>
      <c r="AF1262" s="140">
        <v>126.0</v>
      </c>
      <c r="AG1262" s="109">
        <v>88.0</v>
      </c>
      <c r="AH1262" s="109">
        <v>19.0</v>
      </c>
      <c r="AI1262" s="141">
        <v>0.0</v>
      </c>
      <c r="AJ1262" s="80">
        <v>233.0</v>
      </c>
      <c r="AK1262" s="140">
        <v>0.0</v>
      </c>
      <c r="AL1262" s="109">
        <v>0.0</v>
      </c>
      <c r="AM1262" s="141">
        <v>0.0</v>
      </c>
      <c r="AN1262" s="80">
        <v>0.0</v>
      </c>
      <c r="AO1262" s="140">
        <v>0.0</v>
      </c>
      <c r="AP1262" s="109">
        <v>0.0</v>
      </c>
      <c r="AQ1262" s="109">
        <v>63.0</v>
      </c>
      <c r="AR1262" s="80">
        <v>63.0</v>
      </c>
      <c r="AS1262" s="110">
        <v>451.0</v>
      </c>
      <c r="AT1262" s="110">
        <v>142.0</v>
      </c>
      <c r="AU1262" s="110">
        <v>78.0</v>
      </c>
      <c r="AV1262" s="142">
        <v>0.0</v>
      </c>
      <c r="AW1262" s="80">
        <v>671.0</v>
      </c>
      <c r="AX1262" s="113">
        <v>967.0</v>
      </c>
      <c r="AY1262" s="117">
        <v>807.0</v>
      </c>
      <c r="AZ1262" s="328">
        <v>160.0</v>
      </c>
      <c r="BA1262" s="315">
        <v>0.0</v>
      </c>
      <c r="BB1262" s="316">
        <v>967.0</v>
      </c>
      <c r="BC1262" s="132" t="s">
        <v>178</v>
      </c>
      <c r="BD1262" s="132" t="s">
        <v>178</v>
      </c>
      <c r="BE1262" s="132" t="s">
        <v>178</v>
      </c>
      <c r="BF1262" s="123"/>
      <c r="BG1262" s="83">
        <v>1145691.0</v>
      </c>
      <c r="BH1262" s="112">
        <v>20.0</v>
      </c>
      <c r="BI1262" s="98" t="s">
        <v>155</v>
      </c>
      <c r="BJ1262" s="98" t="str">
        <f t="shared" si="1"/>
        <v>NÃO</v>
      </c>
      <c r="BK1262" s="98" t="str">
        <f t="shared" si="2"/>
        <v>PROFISSIONAL</v>
      </c>
    </row>
    <row r="1263" ht="15.75" customHeight="1">
      <c r="A1263" s="111" t="s">
        <v>1463</v>
      </c>
      <c r="B1263" s="83" t="s">
        <v>6679</v>
      </c>
      <c r="C1263" s="83" t="s">
        <v>68</v>
      </c>
      <c r="D1263" s="83">
        <v>1176467.0</v>
      </c>
      <c r="E1263" s="83"/>
      <c r="F1263" s="83">
        <v>2.940022E7</v>
      </c>
      <c r="G1263" s="114" t="s">
        <v>11306</v>
      </c>
      <c r="H1263" s="91" t="s">
        <v>6681</v>
      </c>
      <c r="I1263" s="114" t="s">
        <v>149</v>
      </c>
      <c r="J1263" s="83" t="s">
        <v>150</v>
      </c>
      <c r="K1263" s="83" t="s">
        <v>151</v>
      </c>
      <c r="L1263" s="83" t="s">
        <v>152</v>
      </c>
      <c r="M1263" s="82" t="s">
        <v>11307</v>
      </c>
      <c r="N1263" s="82" t="s">
        <v>11308</v>
      </c>
      <c r="O1263" s="82" t="s">
        <v>11309</v>
      </c>
      <c r="P1263" s="82" t="s">
        <v>11310</v>
      </c>
      <c r="Q1263" s="82" t="s">
        <v>11311</v>
      </c>
      <c r="R1263" s="82" t="s">
        <v>11312</v>
      </c>
      <c r="S1263" s="82" t="s">
        <v>11313</v>
      </c>
      <c r="T1263" s="138">
        <v>8.0</v>
      </c>
      <c r="U1263" s="341">
        <v>8.0</v>
      </c>
      <c r="V1263" s="106">
        <v>0.0</v>
      </c>
      <c r="W1263" s="107">
        <v>0.0</v>
      </c>
      <c r="X1263" s="107">
        <v>0.0</v>
      </c>
      <c r="Y1263" s="107">
        <v>0.0</v>
      </c>
      <c r="Z1263" s="80">
        <v>0.0</v>
      </c>
      <c r="AA1263" s="140">
        <v>0.0</v>
      </c>
      <c r="AB1263" s="109">
        <v>0.0</v>
      </c>
      <c r="AC1263" s="109">
        <v>0.0</v>
      </c>
      <c r="AD1263" s="141">
        <v>0.0</v>
      </c>
      <c r="AE1263" s="80">
        <v>0.0</v>
      </c>
      <c r="AF1263" s="140">
        <v>232.0</v>
      </c>
      <c r="AG1263" s="109">
        <v>153.0</v>
      </c>
      <c r="AH1263" s="109">
        <v>62.0</v>
      </c>
      <c r="AI1263" s="141">
        <v>137.0</v>
      </c>
      <c r="AJ1263" s="80">
        <v>584.0</v>
      </c>
      <c r="AK1263" s="140">
        <v>0.0</v>
      </c>
      <c r="AL1263" s="109">
        <v>0.0</v>
      </c>
      <c r="AM1263" s="141">
        <v>0.0</v>
      </c>
      <c r="AN1263" s="80">
        <v>0.0</v>
      </c>
      <c r="AO1263" s="140">
        <v>0.0</v>
      </c>
      <c r="AP1263" s="109">
        <v>0.0</v>
      </c>
      <c r="AQ1263" s="109">
        <v>94.0</v>
      </c>
      <c r="AR1263" s="80">
        <v>94.0</v>
      </c>
      <c r="AS1263" s="110">
        <v>0.0</v>
      </c>
      <c r="AT1263" s="110">
        <v>11.0</v>
      </c>
      <c r="AU1263" s="110">
        <v>1.0</v>
      </c>
      <c r="AV1263" s="142">
        <v>0.0</v>
      </c>
      <c r="AW1263" s="80">
        <v>12.0</v>
      </c>
      <c r="AX1263" s="113">
        <v>690.0</v>
      </c>
      <c r="AY1263" s="117">
        <v>533.0</v>
      </c>
      <c r="AZ1263" s="328">
        <v>157.0</v>
      </c>
      <c r="BA1263" s="315">
        <v>0.0</v>
      </c>
      <c r="BB1263" s="316">
        <v>690.0</v>
      </c>
      <c r="BC1263" s="132" t="s">
        <v>178</v>
      </c>
      <c r="BD1263" s="132" t="s">
        <v>178</v>
      </c>
      <c r="BE1263" s="132" t="s">
        <v>178</v>
      </c>
      <c r="BF1263" s="156"/>
      <c r="BG1263" s="83">
        <v>1176467.0</v>
      </c>
      <c r="BH1263" s="112">
        <v>8.0</v>
      </c>
      <c r="BI1263" s="98" t="s">
        <v>155</v>
      </c>
      <c r="BJ1263" s="98" t="str">
        <f t="shared" si="1"/>
        <v>INTEGRAL</v>
      </c>
      <c r="BK1263" s="98" t="str">
        <f t="shared" si="2"/>
        <v>PROFISSIONAL</v>
      </c>
    </row>
    <row r="1264" ht="15.75" customHeight="1">
      <c r="A1264" s="111" t="s">
        <v>1463</v>
      </c>
      <c r="B1264" s="83" t="s">
        <v>6690</v>
      </c>
      <c r="C1264" s="83" t="s">
        <v>68</v>
      </c>
      <c r="D1264" s="83">
        <v>1134568.0</v>
      </c>
      <c r="E1264" s="83"/>
      <c r="F1264" s="83">
        <v>2.9170583E7</v>
      </c>
      <c r="G1264" s="119" t="s">
        <v>6691</v>
      </c>
      <c r="H1264" s="91" t="s">
        <v>11314</v>
      </c>
      <c r="I1264" s="114" t="s">
        <v>149</v>
      </c>
      <c r="J1264" s="83" t="s">
        <v>150</v>
      </c>
      <c r="K1264" s="83" t="s">
        <v>151</v>
      </c>
      <c r="L1264" s="83" t="s">
        <v>230</v>
      </c>
      <c r="M1264" s="82" t="s">
        <v>11315</v>
      </c>
      <c r="N1264" s="82" t="s">
        <v>11316</v>
      </c>
      <c r="O1264" s="82" t="s">
        <v>11317</v>
      </c>
      <c r="P1264" s="82" t="s">
        <v>11318</v>
      </c>
      <c r="Q1264" s="82" t="s">
        <v>11319</v>
      </c>
      <c r="R1264" s="82" t="s">
        <v>11320</v>
      </c>
      <c r="S1264" s="82" t="s">
        <v>11321</v>
      </c>
      <c r="T1264" s="138">
        <v>22.0</v>
      </c>
      <c r="U1264" s="352">
        <v>24.0</v>
      </c>
      <c r="V1264" s="106">
        <v>0.0</v>
      </c>
      <c r="W1264" s="107">
        <v>0.0</v>
      </c>
      <c r="X1264" s="107">
        <v>0.0</v>
      </c>
      <c r="Y1264" s="107">
        <v>0.0</v>
      </c>
      <c r="Z1264" s="80">
        <v>0.0</v>
      </c>
      <c r="AA1264" s="140">
        <v>0.0</v>
      </c>
      <c r="AB1264" s="109">
        <v>0.0</v>
      </c>
      <c r="AC1264" s="109">
        <v>0.0</v>
      </c>
      <c r="AD1264" s="141">
        <v>0.0</v>
      </c>
      <c r="AE1264" s="80">
        <v>0.0</v>
      </c>
      <c r="AF1264" s="140">
        <v>60.0</v>
      </c>
      <c r="AG1264" s="109">
        <v>0.0</v>
      </c>
      <c r="AH1264" s="109">
        <v>31.0</v>
      </c>
      <c r="AI1264" s="141">
        <v>625.0</v>
      </c>
      <c r="AJ1264" s="80">
        <v>716.0</v>
      </c>
      <c r="AK1264" s="140">
        <v>0.0</v>
      </c>
      <c r="AL1264" s="109">
        <v>0.0</v>
      </c>
      <c r="AM1264" s="141">
        <v>0.0</v>
      </c>
      <c r="AN1264" s="80">
        <v>0.0</v>
      </c>
      <c r="AO1264" s="140">
        <v>0.0</v>
      </c>
      <c r="AP1264" s="109">
        <v>0.0</v>
      </c>
      <c r="AQ1264" s="109">
        <v>77.0</v>
      </c>
      <c r="AR1264" s="80">
        <v>77.0</v>
      </c>
      <c r="AS1264" s="110">
        <v>0.0</v>
      </c>
      <c r="AT1264" s="110">
        <v>0.0</v>
      </c>
      <c r="AU1264" s="110">
        <v>18.0</v>
      </c>
      <c r="AV1264" s="142">
        <v>32.0</v>
      </c>
      <c r="AW1264" s="80">
        <v>50.0</v>
      </c>
      <c r="AX1264" s="113">
        <v>843.0</v>
      </c>
      <c r="AY1264" s="117">
        <v>717.0</v>
      </c>
      <c r="AZ1264" s="328">
        <v>126.0</v>
      </c>
      <c r="BA1264" s="315">
        <v>1.0</v>
      </c>
      <c r="BB1264" s="316">
        <v>844.0</v>
      </c>
      <c r="BC1264" s="132" t="s">
        <v>178</v>
      </c>
      <c r="BD1264" s="132" t="s">
        <v>178</v>
      </c>
      <c r="BE1264" s="132" t="s">
        <v>178</v>
      </c>
      <c r="BF1264" s="156"/>
      <c r="BG1264" s="83">
        <v>1134568.0</v>
      </c>
      <c r="BH1264" s="112">
        <v>22.0</v>
      </c>
      <c r="BI1264" s="98" t="s">
        <v>162</v>
      </c>
      <c r="BJ1264" s="98" t="str">
        <f t="shared" si="1"/>
        <v>INTEGRAL</v>
      </c>
      <c r="BK1264" s="98" t="str">
        <f t="shared" si="2"/>
        <v>PROFISSIONAL</v>
      </c>
    </row>
    <row r="1265" ht="15.75" customHeight="1">
      <c r="A1265" s="111" t="s">
        <v>1463</v>
      </c>
      <c r="B1265" s="83" t="s">
        <v>6690</v>
      </c>
      <c r="C1265" s="83" t="s">
        <v>68</v>
      </c>
      <c r="D1265" s="83">
        <v>1178052.0</v>
      </c>
      <c r="E1265" s="83"/>
      <c r="F1265" s="83">
        <v>2.9426383E7</v>
      </c>
      <c r="G1265" s="114" t="s">
        <v>6702</v>
      </c>
      <c r="H1265" s="91" t="s">
        <v>6703</v>
      </c>
      <c r="I1265" s="298" t="s">
        <v>149</v>
      </c>
      <c r="J1265" s="83" t="s">
        <v>240</v>
      </c>
      <c r="K1265" s="83" t="s">
        <v>151</v>
      </c>
      <c r="L1265" s="83" t="s">
        <v>169</v>
      </c>
      <c r="M1265" s="82" t="s">
        <v>11322</v>
      </c>
      <c r="N1265" s="82" t="s">
        <v>11323</v>
      </c>
      <c r="O1265" s="82" t="s">
        <v>11324</v>
      </c>
      <c r="P1265" s="82" t="s">
        <v>11325</v>
      </c>
      <c r="Q1265" s="82"/>
      <c r="R1265" s="82"/>
      <c r="S1265" s="82" t="s">
        <v>11326</v>
      </c>
      <c r="T1265" s="138">
        <v>7.0</v>
      </c>
      <c r="U1265" s="352" t="s">
        <v>11327</v>
      </c>
      <c r="V1265" s="106">
        <v>0.0</v>
      </c>
      <c r="W1265" s="107">
        <v>0.0</v>
      </c>
      <c r="X1265" s="107">
        <v>0.0</v>
      </c>
      <c r="Y1265" s="107">
        <v>0.0</v>
      </c>
      <c r="Z1265" s="80">
        <v>0.0</v>
      </c>
      <c r="AA1265" s="140">
        <v>0.0</v>
      </c>
      <c r="AB1265" s="109">
        <v>0.0</v>
      </c>
      <c r="AC1265" s="109">
        <v>0.0</v>
      </c>
      <c r="AD1265" s="141">
        <v>0.0</v>
      </c>
      <c r="AE1265" s="80">
        <v>0.0</v>
      </c>
      <c r="AF1265" s="140">
        <v>199.0</v>
      </c>
      <c r="AG1265" s="109">
        <v>0.0</v>
      </c>
      <c r="AH1265" s="109">
        <v>0.0</v>
      </c>
      <c r="AI1265" s="141">
        <v>0.0</v>
      </c>
      <c r="AJ1265" s="80">
        <v>199.0</v>
      </c>
      <c r="AK1265" s="140">
        <v>0.0</v>
      </c>
      <c r="AL1265" s="109">
        <v>0.0</v>
      </c>
      <c r="AM1265" s="141">
        <v>0.0</v>
      </c>
      <c r="AN1265" s="80">
        <v>0.0</v>
      </c>
      <c r="AO1265" s="140">
        <v>0.0</v>
      </c>
      <c r="AP1265" s="109">
        <v>0.0</v>
      </c>
      <c r="AQ1265" s="109">
        <v>58.0</v>
      </c>
      <c r="AR1265" s="80">
        <v>58.0</v>
      </c>
      <c r="AS1265" s="110">
        <v>0.0</v>
      </c>
      <c r="AT1265" s="110">
        <v>0.0</v>
      </c>
      <c r="AU1265" s="110">
        <v>0.0</v>
      </c>
      <c r="AV1265" s="142">
        <v>0.0</v>
      </c>
      <c r="AW1265" s="80">
        <v>0.0</v>
      </c>
      <c r="AX1265" s="113">
        <v>257.0</v>
      </c>
      <c r="AY1265" s="117">
        <v>199.0</v>
      </c>
      <c r="AZ1265" s="328">
        <v>58.0</v>
      </c>
      <c r="BA1265" s="315">
        <v>2.0</v>
      </c>
      <c r="BB1265" s="316">
        <v>259.0</v>
      </c>
      <c r="BC1265" s="132" t="s">
        <v>373</v>
      </c>
      <c r="BD1265" s="132" t="s">
        <v>178</v>
      </c>
      <c r="BE1265" s="132" t="s">
        <v>178</v>
      </c>
      <c r="BF1265" s="123"/>
      <c r="BG1265" s="83">
        <v>1178052.0</v>
      </c>
      <c r="BH1265" s="112">
        <v>6.0</v>
      </c>
      <c r="BI1265" s="98" t="s">
        <v>155</v>
      </c>
      <c r="BJ1265" s="98" t="str">
        <f t="shared" si="1"/>
        <v>NÃO</v>
      </c>
      <c r="BK1265" s="98" t="str">
        <f t="shared" si="2"/>
        <v>NÃO</v>
      </c>
    </row>
    <row r="1266" ht="15.75" customHeight="1">
      <c r="A1266" s="111" t="s">
        <v>1463</v>
      </c>
      <c r="B1266" s="83" t="s">
        <v>6690</v>
      </c>
      <c r="C1266" s="83" t="s">
        <v>68</v>
      </c>
      <c r="D1266" s="83">
        <v>1178262.0</v>
      </c>
      <c r="E1266" s="83"/>
      <c r="F1266" s="83">
        <v>2.9432537E7</v>
      </c>
      <c r="G1266" s="114" t="s">
        <v>6712</v>
      </c>
      <c r="H1266" s="91" t="s">
        <v>6713</v>
      </c>
      <c r="I1266" s="114" t="s">
        <v>149</v>
      </c>
      <c r="J1266" s="83" t="s">
        <v>4299</v>
      </c>
      <c r="K1266" s="83" t="s">
        <v>151</v>
      </c>
      <c r="L1266" s="83" t="s">
        <v>169</v>
      </c>
      <c r="M1266" s="82" t="s">
        <v>11328</v>
      </c>
      <c r="N1266" s="82" t="s">
        <v>11329</v>
      </c>
      <c r="O1266" s="82" t="s">
        <v>11330</v>
      </c>
      <c r="P1266" s="82" t="s">
        <v>11331</v>
      </c>
      <c r="Q1266" s="82"/>
      <c r="R1266" s="82"/>
      <c r="S1266" s="82" t="s">
        <v>11332</v>
      </c>
      <c r="T1266" s="138">
        <v>6.0</v>
      </c>
      <c r="U1266" s="341">
        <v>6.0</v>
      </c>
      <c r="V1266" s="106">
        <v>0.0</v>
      </c>
      <c r="W1266" s="107">
        <v>0.0</v>
      </c>
      <c r="X1266" s="107">
        <v>0.0</v>
      </c>
      <c r="Y1266" s="107">
        <v>0.0</v>
      </c>
      <c r="Z1266" s="80">
        <v>0.0</v>
      </c>
      <c r="AA1266" s="140">
        <v>0.0</v>
      </c>
      <c r="AB1266" s="109">
        <v>0.0</v>
      </c>
      <c r="AC1266" s="109">
        <v>0.0</v>
      </c>
      <c r="AD1266" s="141">
        <v>0.0</v>
      </c>
      <c r="AE1266" s="80">
        <v>0.0</v>
      </c>
      <c r="AF1266" s="140">
        <v>0.0</v>
      </c>
      <c r="AG1266" s="109">
        <v>81.0</v>
      </c>
      <c r="AH1266" s="109">
        <v>0.0</v>
      </c>
      <c r="AI1266" s="141">
        <v>0.0</v>
      </c>
      <c r="AJ1266" s="80">
        <v>81.0</v>
      </c>
      <c r="AK1266" s="140">
        <v>0.0</v>
      </c>
      <c r="AL1266" s="109">
        <v>0.0</v>
      </c>
      <c r="AM1266" s="141">
        <v>0.0</v>
      </c>
      <c r="AN1266" s="80">
        <v>0.0</v>
      </c>
      <c r="AO1266" s="140">
        <v>0.0</v>
      </c>
      <c r="AP1266" s="109">
        <v>0.0</v>
      </c>
      <c r="AQ1266" s="109">
        <v>30.0</v>
      </c>
      <c r="AR1266" s="80">
        <v>30.0</v>
      </c>
      <c r="AS1266" s="110">
        <v>0.0</v>
      </c>
      <c r="AT1266" s="110">
        <v>0.0</v>
      </c>
      <c r="AU1266" s="110">
        <v>0.0</v>
      </c>
      <c r="AV1266" s="142">
        <v>0.0</v>
      </c>
      <c r="AW1266" s="80">
        <v>0.0</v>
      </c>
      <c r="AX1266" s="113">
        <v>111.0</v>
      </c>
      <c r="AY1266" s="117">
        <v>81.0</v>
      </c>
      <c r="AZ1266" s="328">
        <v>30.0</v>
      </c>
      <c r="BA1266" s="315">
        <v>0.0</v>
      </c>
      <c r="BB1266" s="316">
        <v>111.0</v>
      </c>
      <c r="BC1266" s="132" t="s">
        <v>178</v>
      </c>
      <c r="BD1266" s="132" t="s">
        <v>178</v>
      </c>
      <c r="BE1266" s="132" t="s">
        <v>178</v>
      </c>
      <c r="BF1266" s="156"/>
      <c r="BG1266" s="83">
        <v>1178262.0</v>
      </c>
      <c r="BH1266" s="112">
        <v>6.0</v>
      </c>
      <c r="BI1266" s="98" t="s">
        <v>155</v>
      </c>
      <c r="BJ1266" s="98" t="str">
        <f t="shared" si="1"/>
        <v>NÃO</v>
      </c>
      <c r="BK1266" s="98" t="str">
        <f t="shared" si="2"/>
        <v>NÃO</v>
      </c>
    </row>
    <row r="1267" ht="15.75" customHeight="1">
      <c r="A1267" s="111" t="s">
        <v>1463</v>
      </c>
      <c r="B1267" s="83" t="s">
        <v>6690</v>
      </c>
      <c r="C1267" s="83" t="s">
        <v>68</v>
      </c>
      <c r="D1267" s="83">
        <v>1134665.0</v>
      </c>
      <c r="E1267" s="83"/>
      <c r="F1267" s="83">
        <v>2.9170877E7</v>
      </c>
      <c r="G1267" s="114" t="s">
        <v>6715</v>
      </c>
      <c r="H1267" s="91" t="s">
        <v>6716</v>
      </c>
      <c r="I1267" s="187" t="s">
        <v>149</v>
      </c>
      <c r="J1267" s="136" t="s">
        <v>150</v>
      </c>
      <c r="K1267" s="83" t="s">
        <v>151</v>
      </c>
      <c r="L1267" s="83" t="s">
        <v>230</v>
      </c>
      <c r="M1267" s="82" t="s">
        <v>11333</v>
      </c>
      <c r="N1267" s="82" t="s">
        <v>11334</v>
      </c>
      <c r="O1267" s="82" t="s">
        <v>11335</v>
      </c>
      <c r="P1267" s="82" t="s">
        <v>11336</v>
      </c>
      <c r="Q1267" s="82"/>
      <c r="R1267" s="82"/>
      <c r="S1267" s="82" t="s">
        <v>11337</v>
      </c>
      <c r="T1267" s="138">
        <v>20.0</v>
      </c>
      <c r="U1267" s="331">
        <v>20.0</v>
      </c>
      <c r="V1267" s="106">
        <v>0.0</v>
      </c>
      <c r="W1267" s="107">
        <v>0.0</v>
      </c>
      <c r="X1267" s="107">
        <v>0.0</v>
      </c>
      <c r="Y1267" s="107">
        <v>0.0</v>
      </c>
      <c r="Z1267" s="80">
        <v>0.0</v>
      </c>
      <c r="AA1267" s="140">
        <v>0.0</v>
      </c>
      <c r="AB1267" s="109">
        <v>0.0</v>
      </c>
      <c r="AC1267" s="109">
        <v>0.0</v>
      </c>
      <c r="AD1267" s="141">
        <v>0.0</v>
      </c>
      <c r="AE1267" s="80">
        <v>0.0</v>
      </c>
      <c r="AF1267" s="140">
        <v>0.0</v>
      </c>
      <c r="AG1267" s="109">
        <v>0.0</v>
      </c>
      <c r="AH1267" s="109">
        <v>0.0</v>
      </c>
      <c r="AI1267" s="141">
        <v>0.0</v>
      </c>
      <c r="AJ1267" s="80">
        <v>0.0</v>
      </c>
      <c r="AK1267" s="140">
        <v>0.0</v>
      </c>
      <c r="AL1267" s="109">
        <v>0.0</v>
      </c>
      <c r="AM1267" s="141">
        <v>0.0</v>
      </c>
      <c r="AN1267" s="80">
        <v>0.0</v>
      </c>
      <c r="AO1267" s="140">
        <v>0.0</v>
      </c>
      <c r="AP1267" s="109">
        <v>0.0</v>
      </c>
      <c r="AQ1267" s="109">
        <v>0.0</v>
      </c>
      <c r="AR1267" s="80">
        <v>0.0</v>
      </c>
      <c r="AS1267" s="110">
        <v>390.0</v>
      </c>
      <c r="AT1267" s="110">
        <v>184.0</v>
      </c>
      <c r="AU1267" s="110">
        <v>22.0</v>
      </c>
      <c r="AV1267" s="142">
        <v>0.0</v>
      </c>
      <c r="AW1267" s="80">
        <v>596.0</v>
      </c>
      <c r="AX1267" s="113">
        <v>596.0</v>
      </c>
      <c r="AY1267" s="117">
        <v>574.0</v>
      </c>
      <c r="AZ1267" s="328">
        <v>22.0</v>
      </c>
      <c r="BA1267" s="315">
        <v>0.0</v>
      </c>
      <c r="BB1267" s="316">
        <v>596.0</v>
      </c>
      <c r="BC1267" s="132" t="s">
        <v>178</v>
      </c>
      <c r="BD1267" s="132" t="s">
        <v>779</v>
      </c>
      <c r="BE1267" s="132" t="s">
        <v>178</v>
      </c>
      <c r="BF1267" s="156"/>
      <c r="BG1267" s="83">
        <v>1134665.0</v>
      </c>
      <c r="BH1267" s="112">
        <v>20.0</v>
      </c>
      <c r="BI1267" s="98" t="s">
        <v>155</v>
      </c>
      <c r="BJ1267" s="98" t="str">
        <f t="shared" si="1"/>
        <v>NÃO</v>
      </c>
      <c r="BK1267" s="98" t="str">
        <f t="shared" si="2"/>
        <v>PROFISSIONAL</v>
      </c>
    </row>
    <row r="1268" ht="15.75" customHeight="1">
      <c r="A1268" s="111" t="s">
        <v>1463</v>
      </c>
      <c r="B1268" s="83" t="s">
        <v>6727</v>
      </c>
      <c r="C1268" s="83" t="s">
        <v>68</v>
      </c>
      <c r="D1268" s="83">
        <v>1109652.0</v>
      </c>
      <c r="E1268" s="83"/>
      <c r="F1268" s="83">
        <v>2.9171601E7</v>
      </c>
      <c r="G1268" s="114" t="s">
        <v>6729</v>
      </c>
      <c r="H1268" s="91" t="s">
        <v>6730</v>
      </c>
      <c r="I1268" s="114" t="s">
        <v>6731</v>
      </c>
      <c r="J1268" s="83" t="s">
        <v>150</v>
      </c>
      <c r="K1268" s="83" t="s">
        <v>151</v>
      </c>
      <c r="L1268" s="83" t="s">
        <v>230</v>
      </c>
      <c r="M1268" s="82" t="s">
        <v>11338</v>
      </c>
      <c r="N1268" s="82" t="s">
        <v>11339</v>
      </c>
      <c r="O1268" s="82" t="s">
        <v>11340</v>
      </c>
      <c r="P1268" s="82" t="s">
        <v>11341</v>
      </c>
      <c r="Q1268" s="82" t="s">
        <v>11342</v>
      </c>
      <c r="R1268" s="82" t="s">
        <v>11343</v>
      </c>
      <c r="S1268" s="82" t="s">
        <v>11344</v>
      </c>
      <c r="T1268" s="138">
        <v>31.0</v>
      </c>
      <c r="U1268" s="323">
        <v>30.0</v>
      </c>
      <c r="V1268" s="106">
        <v>0.0</v>
      </c>
      <c r="W1268" s="107">
        <v>0.0</v>
      </c>
      <c r="X1268" s="107">
        <v>0.0</v>
      </c>
      <c r="Y1268" s="107">
        <v>0.0</v>
      </c>
      <c r="Z1268" s="80">
        <v>0.0</v>
      </c>
      <c r="AA1268" s="140">
        <v>0.0</v>
      </c>
      <c r="AB1268" s="109">
        <v>0.0</v>
      </c>
      <c r="AC1268" s="109">
        <v>0.0</v>
      </c>
      <c r="AD1268" s="141">
        <v>0.0</v>
      </c>
      <c r="AE1268" s="80">
        <v>0.0</v>
      </c>
      <c r="AF1268" s="140">
        <v>676.0</v>
      </c>
      <c r="AG1268" s="109">
        <v>181.0</v>
      </c>
      <c r="AH1268" s="109">
        <v>59.0</v>
      </c>
      <c r="AI1268" s="141">
        <v>0.0</v>
      </c>
      <c r="AJ1268" s="80">
        <v>916.0</v>
      </c>
      <c r="AK1268" s="140">
        <v>0.0</v>
      </c>
      <c r="AL1268" s="109">
        <v>0.0</v>
      </c>
      <c r="AM1268" s="141">
        <v>0.0</v>
      </c>
      <c r="AN1268" s="80">
        <v>0.0</v>
      </c>
      <c r="AO1268" s="140">
        <v>0.0</v>
      </c>
      <c r="AP1268" s="109">
        <v>0.0</v>
      </c>
      <c r="AQ1268" s="109">
        <v>194.0</v>
      </c>
      <c r="AR1268" s="80">
        <v>194.0</v>
      </c>
      <c r="AS1268" s="110">
        <v>333.0</v>
      </c>
      <c r="AT1268" s="110">
        <v>126.0</v>
      </c>
      <c r="AU1268" s="110">
        <v>77.0</v>
      </c>
      <c r="AV1268" s="142">
        <v>0.0</v>
      </c>
      <c r="AW1268" s="80">
        <v>536.0</v>
      </c>
      <c r="AX1268" s="113">
        <v>1646.0</v>
      </c>
      <c r="AY1268" s="117">
        <v>1316.0</v>
      </c>
      <c r="AZ1268" s="328">
        <v>330.0</v>
      </c>
      <c r="BA1268" s="315">
        <v>10.0</v>
      </c>
      <c r="BB1268" s="316">
        <v>1656.0</v>
      </c>
      <c r="BC1268" s="132" t="s">
        <v>178</v>
      </c>
      <c r="BD1268" s="132" t="s">
        <v>178</v>
      </c>
      <c r="BE1268" s="132" t="s">
        <v>178</v>
      </c>
      <c r="BF1268" s="156"/>
      <c r="BG1268" s="83">
        <v>1109652.0</v>
      </c>
      <c r="BH1268" s="112">
        <v>30.0</v>
      </c>
      <c r="BI1268" s="98" t="s">
        <v>155</v>
      </c>
      <c r="BJ1268" s="98" t="str">
        <f t="shared" si="1"/>
        <v>NÃO</v>
      </c>
      <c r="BK1268" s="98" t="str">
        <f t="shared" si="2"/>
        <v>PROFISSIONAL</v>
      </c>
    </row>
    <row r="1269" ht="15.75" customHeight="1">
      <c r="A1269" s="111" t="s">
        <v>1463</v>
      </c>
      <c r="B1269" s="83" t="s">
        <v>6727</v>
      </c>
      <c r="C1269" s="83" t="s">
        <v>68</v>
      </c>
      <c r="D1269" s="83">
        <v>1164564.0</v>
      </c>
      <c r="E1269" s="83"/>
      <c r="F1269" s="83">
        <v>2.917161E7</v>
      </c>
      <c r="G1269" s="114" t="s">
        <v>11345</v>
      </c>
      <c r="H1269" s="91" t="s">
        <v>11346</v>
      </c>
      <c r="I1269" s="114" t="s">
        <v>11347</v>
      </c>
      <c r="J1269" s="83" t="s">
        <v>150</v>
      </c>
      <c r="K1269" s="83" t="s">
        <v>168</v>
      </c>
      <c r="L1269" s="83" t="s">
        <v>152</v>
      </c>
      <c r="M1269" s="82" t="s">
        <v>11348</v>
      </c>
      <c r="N1269" s="82" t="s">
        <v>11349</v>
      </c>
      <c r="O1269" s="82" t="s">
        <v>11350</v>
      </c>
      <c r="P1269" s="82" t="s">
        <v>11351</v>
      </c>
      <c r="Q1269" s="82" t="s">
        <v>11352</v>
      </c>
      <c r="R1269" s="82" t="s">
        <v>11353</v>
      </c>
      <c r="S1269" s="82" t="s">
        <v>11354</v>
      </c>
      <c r="T1269" s="138">
        <v>20.0</v>
      </c>
      <c r="U1269" s="389">
        <v>10.0</v>
      </c>
      <c r="V1269" s="106">
        <v>0.0</v>
      </c>
      <c r="W1269" s="107">
        <v>0.0</v>
      </c>
      <c r="X1269" s="107">
        <v>0.0</v>
      </c>
      <c r="Y1269" s="107">
        <v>0.0</v>
      </c>
      <c r="Z1269" s="80">
        <v>0.0</v>
      </c>
      <c r="AA1269" s="140">
        <v>0.0</v>
      </c>
      <c r="AB1269" s="109">
        <v>0.0</v>
      </c>
      <c r="AC1269" s="109">
        <v>0.0</v>
      </c>
      <c r="AD1269" s="141">
        <v>0.0</v>
      </c>
      <c r="AE1269" s="80">
        <v>0.0</v>
      </c>
      <c r="AF1269" s="140">
        <v>642.0</v>
      </c>
      <c r="AG1269" s="109">
        <v>226.0</v>
      </c>
      <c r="AH1269" s="109">
        <v>16.0</v>
      </c>
      <c r="AI1269" s="141">
        <v>0.0</v>
      </c>
      <c r="AJ1269" s="80">
        <v>884.0</v>
      </c>
      <c r="AK1269" s="140">
        <v>0.0</v>
      </c>
      <c r="AL1269" s="109">
        <v>0.0</v>
      </c>
      <c r="AM1269" s="141">
        <v>0.0</v>
      </c>
      <c r="AN1269" s="80">
        <v>0.0</v>
      </c>
      <c r="AO1269" s="140">
        <v>0.0</v>
      </c>
      <c r="AP1269" s="109">
        <v>0.0</v>
      </c>
      <c r="AQ1269" s="109">
        <v>114.0</v>
      </c>
      <c r="AR1269" s="80">
        <v>114.0</v>
      </c>
      <c r="AS1269" s="110">
        <v>0.0</v>
      </c>
      <c r="AT1269" s="110">
        <v>0.0</v>
      </c>
      <c r="AU1269" s="110">
        <v>0.0</v>
      </c>
      <c r="AV1269" s="142">
        <v>0.0</v>
      </c>
      <c r="AW1269" s="80">
        <v>0.0</v>
      </c>
      <c r="AX1269" s="113">
        <v>998.0</v>
      </c>
      <c r="AY1269" s="117">
        <v>868.0</v>
      </c>
      <c r="AZ1269" s="328">
        <v>130.0</v>
      </c>
      <c r="BA1269" s="315">
        <v>4.0</v>
      </c>
      <c r="BB1269" s="316">
        <v>1002.0</v>
      </c>
      <c r="BC1269" s="132" t="s">
        <v>178</v>
      </c>
      <c r="BD1269" s="132" t="s">
        <v>178</v>
      </c>
      <c r="BE1269" s="132" t="s">
        <v>178</v>
      </c>
      <c r="BF1269" s="123"/>
      <c r="BG1269" s="83">
        <v>1164564.0</v>
      </c>
      <c r="BH1269" s="112">
        <v>10.0</v>
      </c>
      <c r="BI1269" s="98" t="s">
        <v>155</v>
      </c>
      <c r="BJ1269" s="98" t="str">
        <f t="shared" si="1"/>
        <v>NÃO</v>
      </c>
      <c r="BK1269" s="98" t="str">
        <f t="shared" si="2"/>
        <v>NÃO</v>
      </c>
    </row>
    <row r="1270" ht="15.75" customHeight="1">
      <c r="A1270" s="111" t="s">
        <v>1463</v>
      </c>
      <c r="B1270" s="83" t="s">
        <v>6727</v>
      </c>
      <c r="C1270" s="83" t="s">
        <v>68</v>
      </c>
      <c r="D1270" s="83">
        <v>1178087.0</v>
      </c>
      <c r="E1270" s="83"/>
      <c r="F1270" s="83">
        <v>2.9432626E7</v>
      </c>
      <c r="G1270" s="114" t="s">
        <v>6744</v>
      </c>
      <c r="H1270" s="91" t="s">
        <v>6745</v>
      </c>
      <c r="I1270" s="114" t="s">
        <v>6746</v>
      </c>
      <c r="J1270" s="83" t="s">
        <v>150</v>
      </c>
      <c r="K1270" s="83" t="s">
        <v>151</v>
      </c>
      <c r="L1270" s="83" t="s">
        <v>230</v>
      </c>
      <c r="M1270" s="82" t="s">
        <v>11355</v>
      </c>
      <c r="N1270" s="82" t="s">
        <v>11356</v>
      </c>
      <c r="O1270" s="82" t="s">
        <v>11357</v>
      </c>
      <c r="P1270" s="82" t="s">
        <v>11358</v>
      </c>
      <c r="Q1270" s="82"/>
      <c r="R1270" s="82"/>
      <c r="S1270" s="82" t="s">
        <v>11359</v>
      </c>
      <c r="T1270" s="138">
        <v>22.0</v>
      </c>
      <c r="U1270" s="323">
        <v>17.0</v>
      </c>
      <c r="V1270" s="106">
        <v>0.0</v>
      </c>
      <c r="W1270" s="107">
        <v>0.0</v>
      </c>
      <c r="X1270" s="107">
        <v>0.0</v>
      </c>
      <c r="Y1270" s="107">
        <v>0.0</v>
      </c>
      <c r="Z1270" s="80">
        <v>0.0</v>
      </c>
      <c r="AA1270" s="140">
        <v>0.0</v>
      </c>
      <c r="AB1270" s="109">
        <v>0.0</v>
      </c>
      <c r="AC1270" s="109">
        <v>0.0</v>
      </c>
      <c r="AD1270" s="141">
        <v>0.0</v>
      </c>
      <c r="AE1270" s="80">
        <v>0.0</v>
      </c>
      <c r="AF1270" s="140">
        <v>0.0</v>
      </c>
      <c r="AG1270" s="109">
        <v>0.0</v>
      </c>
      <c r="AH1270" s="109">
        <v>0.0</v>
      </c>
      <c r="AI1270" s="141">
        <v>0.0</v>
      </c>
      <c r="AJ1270" s="80">
        <v>0.0</v>
      </c>
      <c r="AK1270" s="140">
        <v>0.0</v>
      </c>
      <c r="AL1270" s="109">
        <v>0.0</v>
      </c>
      <c r="AM1270" s="141">
        <v>0.0</v>
      </c>
      <c r="AN1270" s="80">
        <v>0.0</v>
      </c>
      <c r="AO1270" s="140">
        <v>0.0</v>
      </c>
      <c r="AP1270" s="109">
        <v>0.0</v>
      </c>
      <c r="AQ1270" s="109">
        <v>0.0</v>
      </c>
      <c r="AR1270" s="80">
        <v>0.0</v>
      </c>
      <c r="AS1270" s="110">
        <v>635.0</v>
      </c>
      <c r="AT1270" s="110">
        <v>517.0</v>
      </c>
      <c r="AU1270" s="110">
        <v>166.0</v>
      </c>
      <c r="AV1270" s="142">
        <v>0.0</v>
      </c>
      <c r="AW1270" s="80">
        <v>1318.0</v>
      </c>
      <c r="AX1270" s="113">
        <v>1318.0</v>
      </c>
      <c r="AY1270" s="117">
        <v>1152.0</v>
      </c>
      <c r="AZ1270" s="328">
        <v>166.0</v>
      </c>
      <c r="BA1270" s="315">
        <v>0.0</v>
      </c>
      <c r="BB1270" s="316">
        <v>1318.0</v>
      </c>
      <c r="BC1270" s="132" t="s">
        <v>178</v>
      </c>
      <c r="BD1270" s="132" t="s">
        <v>522</v>
      </c>
      <c r="BE1270" s="132" t="s">
        <v>178</v>
      </c>
      <c r="BF1270" s="123"/>
      <c r="BG1270" s="83">
        <v>1178087.0</v>
      </c>
      <c r="BH1270" s="112">
        <v>17.0</v>
      </c>
      <c r="BI1270" s="98" t="s">
        <v>155</v>
      </c>
      <c r="BJ1270" s="98" t="str">
        <f t="shared" si="1"/>
        <v>NÃO</v>
      </c>
      <c r="BK1270" s="98" t="str">
        <f t="shared" si="2"/>
        <v>PROFISSIONAL</v>
      </c>
    </row>
    <row r="1271" ht="15.75" customHeight="1">
      <c r="A1271" s="111" t="s">
        <v>1463</v>
      </c>
      <c r="B1271" s="83" t="s">
        <v>6727</v>
      </c>
      <c r="C1271" s="83" t="s">
        <v>68</v>
      </c>
      <c r="D1271" s="83">
        <v>1176152.0</v>
      </c>
      <c r="E1271" s="83"/>
      <c r="F1271" s="83">
        <v>2.9337534E7</v>
      </c>
      <c r="G1271" s="114" t="s">
        <v>6750</v>
      </c>
      <c r="H1271" s="91" t="s">
        <v>6751</v>
      </c>
      <c r="I1271" s="114" t="s">
        <v>6752</v>
      </c>
      <c r="J1271" s="83" t="s">
        <v>150</v>
      </c>
      <c r="K1271" s="83" t="s">
        <v>151</v>
      </c>
      <c r="L1271" s="83" t="s">
        <v>230</v>
      </c>
      <c r="M1271" s="82" t="s">
        <v>11360</v>
      </c>
      <c r="N1271" s="82" t="s">
        <v>11361</v>
      </c>
      <c r="O1271" s="82" t="s">
        <v>11362</v>
      </c>
      <c r="P1271" s="82" t="s">
        <v>11363</v>
      </c>
      <c r="Q1271" s="82"/>
      <c r="R1271" s="82"/>
      <c r="S1271" s="82" t="s">
        <v>11364</v>
      </c>
      <c r="T1271" s="138">
        <v>20.0</v>
      </c>
      <c r="U1271" s="406" t="s">
        <v>11365</v>
      </c>
      <c r="V1271" s="106">
        <v>0.0</v>
      </c>
      <c r="W1271" s="107">
        <v>0.0</v>
      </c>
      <c r="X1271" s="107">
        <v>0.0</v>
      </c>
      <c r="Y1271" s="107">
        <v>0.0</v>
      </c>
      <c r="Z1271" s="80">
        <v>0.0</v>
      </c>
      <c r="AA1271" s="140">
        <v>0.0</v>
      </c>
      <c r="AB1271" s="109">
        <v>0.0</v>
      </c>
      <c r="AC1271" s="109">
        <v>0.0</v>
      </c>
      <c r="AD1271" s="141">
        <v>0.0</v>
      </c>
      <c r="AE1271" s="80">
        <v>0.0</v>
      </c>
      <c r="AF1271" s="140">
        <v>0.0</v>
      </c>
      <c r="AG1271" s="109">
        <v>0.0</v>
      </c>
      <c r="AH1271" s="109">
        <v>0.0</v>
      </c>
      <c r="AI1271" s="141">
        <v>0.0</v>
      </c>
      <c r="AJ1271" s="80">
        <v>0.0</v>
      </c>
      <c r="AK1271" s="140">
        <v>0.0</v>
      </c>
      <c r="AL1271" s="109">
        <v>0.0</v>
      </c>
      <c r="AM1271" s="141">
        <v>0.0</v>
      </c>
      <c r="AN1271" s="80">
        <v>0.0</v>
      </c>
      <c r="AO1271" s="140">
        <v>0.0</v>
      </c>
      <c r="AP1271" s="109">
        <v>0.0</v>
      </c>
      <c r="AQ1271" s="109">
        <v>0.0</v>
      </c>
      <c r="AR1271" s="80">
        <v>0.0</v>
      </c>
      <c r="AS1271" s="110">
        <v>0.0</v>
      </c>
      <c r="AT1271" s="110">
        <v>0.0</v>
      </c>
      <c r="AU1271" s="110">
        <v>0.0</v>
      </c>
      <c r="AV1271" s="142">
        <v>0.0</v>
      </c>
      <c r="AW1271" s="80">
        <v>0.0</v>
      </c>
      <c r="AX1271" s="346">
        <v>242.0</v>
      </c>
      <c r="AY1271" s="347">
        <v>242.0</v>
      </c>
      <c r="AZ1271" s="348">
        <v>0.0</v>
      </c>
      <c r="BA1271" s="349">
        <v>1.0</v>
      </c>
      <c r="BB1271" s="316">
        <v>243.0</v>
      </c>
      <c r="BC1271" s="132" t="s">
        <v>553</v>
      </c>
      <c r="BD1271" s="132" t="s">
        <v>178</v>
      </c>
      <c r="BE1271" s="132" t="s">
        <v>178</v>
      </c>
      <c r="BF1271" s="156"/>
      <c r="BG1271" s="83">
        <v>1176152.0</v>
      </c>
      <c r="BH1271" s="98">
        <v>16.0</v>
      </c>
      <c r="BI1271" s="98" t="s">
        <v>155</v>
      </c>
      <c r="BJ1271" s="98" t="str">
        <f t="shared" si="1"/>
        <v>NÃO</v>
      </c>
      <c r="BK1271" s="98" t="str">
        <f t="shared" si="2"/>
        <v>NÃO</v>
      </c>
    </row>
    <row r="1272" ht="15.75" customHeight="1">
      <c r="A1272" s="111" t="s">
        <v>1463</v>
      </c>
      <c r="B1272" s="83" t="s">
        <v>6754</v>
      </c>
      <c r="C1272" s="83" t="s">
        <v>68</v>
      </c>
      <c r="D1272" s="83">
        <v>1134509.0</v>
      </c>
      <c r="E1272" s="83"/>
      <c r="F1272" s="83">
        <v>2.9173531E7</v>
      </c>
      <c r="G1272" s="114" t="s">
        <v>11366</v>
      </c>
      <c r="H1272" s="91" t="s">
        <v>6756</v>
      </c>
      <c r="I1272" s="114" t="s">
        <v>149</v>
      </c>
      <c r="J1272" s="83" t="s">
        <v>150</v>
      </c>
      <c r="K1272" s="83" t="s">
        <v>151</v>
      </c>
      <c r="L1272" s="83" t="s">
        <v>152</v>
      </c>
      <c r="M1272" s="82" t="s">
        <v>11367</v>
      </c>
      <c r="N1272" s="82" t="s">
        <v>11368</v>
      </c>
      <c r="O1272" s="82" t="s">
        <v>11369</v>
      </c>
      <c r="P1272" s="82" t="s">
        <v>11370</v>
      </c>
      <c r="Q1272" s="82" t="s">
        <v>11371</v>
      </c>
      <c r="R1272" s="82" t="s">
        <v>11372</v>
      </c>
      <c r="S1272" s="82" t="s">
        <v>11373</v>
      </c>
      <c r="T1272" s="138">
        <v>19.0</v>
      </c>
      <c r="U1272" s="401">
        <v>13.0</v>
      </c>
      <c r="V1272" s="106">
        <v>0.0</v>
      </c>
      <c r="W1272" s="107">
        <v>0.0</v>
      </c>
      <c r="X1272" s="107">
        <v>0.0</v>
      </c>
      <c r="Y1272" s="107">
        <v>0.0</v>
      </c>
      <c r="Z1272" s="80">
        <v>0.0</v>
      </c>
      <c r="AA1272" s="140">
        <v>0.0</v>
      </c>
      <c r="AB1272" s="109">
        <v>0.0</v>
      </c>
      <c r="AC1272" s="109">
        <v>0.0</v>
      </c>
      <c r="AD1272" s="141">
        <v>0.0</v>
      </c>
      <c r="AE1272" s="80">
        <v>0.0</v>
      </c>
      <c r="AF1272" s="140">
        <v>420.0</v>
      </c>
      <c r="AG1272" s="109">
        <v>319.0</v>
      </c>
      <c r="AH1272" s="109">
        <v>34.0</v>
      </c>
      <c r="AI1272" s="141">
        <v>0.0</v>
      </c>
      <c r="AJ1272" s="80">
        <v>773.0</v>
      </c>
      <c r="AK1272" s="140">
        <v>0.0</v>
      </c>
      <c r="AL1272" s="109">
        <v>0.0</v>
      </c>
      <c r="AM1272" s="141">
        <v>0.0</v>
      </c>
      <c r="AN1272" s="80">
        <v>0.0</v>
      </c>
      <c r="AO1272" s="140">
        <v>0.0</v>
      </c>
      <c r="AP1272" s="109">
        <v>0.0</v>
      </c>
      <c r="AQ1272" s="109">
        <v>154.0</v>
      </c>
      <c r="AR1272" s="80">
        <v>154.0</v>
      </c>
      <c r="AS1272" s="110">
        <v>0.0</v>
      </c>
      <c r="AT1272" s="110">
        <v>72.0</v>
      </c>
      <c r="AU1272" s="110">
        <v>40.0</v>
      </c>
      <c r="AV1272" s="142">
        <v>0.0</v>
      </c>
      <c r="AW1272" s="80">
        <v>112.0</v>
      </c>
      <c r="AX1272" s="113">
        <v>1039.0</v>
      </c>
      <c r="AY1272" s="117">
        <v>811.0</v>
      </c>
      <c r="AZ1272" s="328">
        <v>228.0</v>
      </c>
      <c r="BA1272" s="315">
        <v>0.0</v>
      </c>
      <c r="BB1272" s="316">
        <v>1039.0</v>
      </c>
      <c r="BC1272" s="132" t="s">
        <v>178</v>
      </c>
      <c r="BD1272" s="132" t="s">
        <v>178</v>
      </c>
      <c r="BE1272" s="132" t="s">
        <v>178</v>
      </c>
      <c r="BF1272" s="123"/>
      <c r="BG1272" s="83">
        <v>1134509.0</v>
      </c>
      <c r="BH1272" s="112">
        <v>13.0</v>
      </c>
      <c r="BI1272" s="98" t="s">
        <v>155</v>
      </c>
      <c r="BJ1272" s="98" t="str">
        <f t="shared" si="1"/>
        <v>NÃO</v>
      </c>
      <c r="BK1272" s="98" t="str">
        <f t="shared" si="2"/>
        <v>PROFISSIONAL</v>
      </c>
    </row>
    <row r="1273" ht="15.75" customHeight="1">
      <c r="A1273" s="111" t="s">
        <v>1463</v>
      </c>
      <c r="B1273" s="83" t="s">
        <v>6758</v>
      </c>
      <c r="C1273" s="83" t="s">
        <v>68</v>
      </c>
      <c r="D1273" s="83">
        <v>1134657.0</v>
      </c>
      <c r="E1273" s="83"/>
      <c r="F1273" s="83">
        <v>2.917287E7</v>
      </c>
      <c r="G1273" s="298" t="s">
        <v>6759</v>
      </c>
      <c r="H1273" s="91" t="s">
        <v>6760</v>
      </c>
      <c r="I1273" s="298" t="s">
        <v>149</v>
      </c>
      <c r="J1273" s="172" t="s">
        <v>150</v>
      </c>
      <c r="K1273" s="172" t="s">
        <v>151</v>
      </c>
      <c r="L1273" s="172" t="s">
        <v>152</v>
      </c>
      <c r="M1273" s="82" t="s">
        <v>11375</v>
      </c>
      <c r="N1273" s="82" t="s">
        <v>11376</v>
      </c>
      <c r="O1273" s="82" t="s">
        <v>11377</v>
      </c>
      <c r="P1273" s="82" t="s">
        <v>11378</v>
      </c>
      <c r="Q1273" s="82" t="s">
        <v>11379</v>
      </c>
      <c r="R1273" s="82" t="s">
        <v>11380</v>
      </c>
      <c r="S1273" s="82" t="s">
        <v>11381</v>
      </c>
      <c r="T1273" s="138">
        <v>15.0</v>
      </c>
      <c r="U1273" s="401">
        <v>8.0</v>
      </c>
      <c r="V1273" s="106">
        <v>0.0</v>
      </c>
      <c r="W1273" s="107">
        <v>0.0</v>
      </c>
      <c r="X1273" s="107">
        <v>0.0</v>
      </c>
      <c r="Y1273" s="107">
        <v>0.0</v>
      </c>
      <c r="Z1273" s="80">
        <v>0.0</v>
      </c>
      <c r="AA1273" s="140">
        <v>0.0</v>
      </c>
      <c r="AB1273" s="109">
        <v>0.0</v>
      </c>
      <c r="AC1273" s="109">
        <v>0.0</v>
      </c>
      <c r="AD1273" s="141">
        <v>0.0</v>
      </c>
      <c r="AE1273" s="80">
        <v>0.0</v>
      </c>
      <c r="AF1273" s="140">
        <v>85.0</v>
      </c>
      <c r="AG1273" s="109">
        <v>0.0</v>
      </c>
      <c r="AH1273" s="109">
        <v>6.0</v>
      </c>
      <c r="AI1273" s="141">
        <v>84.0</v>
      </c>
      <c r="AJ1273" s="80">
        <v>175.0</v>
      </c>
      <c r="AK1273" s="140">
        <v>0.0</v>
      </c>
      <c r="AL1273" s="109">
        <v>0.0</v>
      </c>
      <c r="AM1273" s="141">
        <v>0.0</v>
      </c>
      <c r="AN1273" s="80">
        <v>0.0</v>
      </c>
      <c r="AO1273" s="140">
        <v>0.0</v>
      </c>
      <c r="AP1273" s="109">
        <v>0.0</v>
      </c>
      <c r="AQ1273" s="109">
        <v>29.0</v>
      </c>
      <c r="AR1273" s="80">
        <v>29.0</v>
      </c>
      <c r="AS1273" s="110">
        <v>0.0</v>
      </c>
      <c r="AT1273" s="110">
        <v>0.0</v>
      </c>
      <c r="AU1273" s="110">
        <v>0.0</v>
      </c>
      <c r="AV1273" s="142">
        <v>51.0</v>
      </c>
      <c r="AW1273" s="80">
        <v>51.0</v>
      </c>
      <c r="AX1273" s="113">
        <v>255.0</v>
      </c>
      <c r="AY1273" s="117">
        <v>220.0</v>
      </c>
      <c r="AZ1273" s="328">
        <v>35.0</v>
      </c>
      <c r="BA1273" s="315">
        <v>0.0</v>
      </c>
      <c r="BB1273" s="316">
        <v>255.0</v>
      </c>
      <c r="BC1273" s="132" t="s">
        <v>178</v>
      </c>
      <c r="BD1273" s="132" t="s">
        <v>178</v>
      </c>
      <c r="BE1273" s="132" t="s">
        <v>178</v>
      </c>
      <c r="BF1273" s="156"/>
      <c r="BG1273" s="83">
        <v>1134657.0</v>
      </c>
      <c r="BH1273" s="112">
        <v>8.0</v>
      </c>
      <c r="BI1273" s="98" t="s">
        <v>155</v>
      </c>
      <c r="BJ1273" s="98" t="str">
        <f t="shared" si="1"/>
        <v>INTEGRAL</v>
      </c>
      <c r="BK1273" s="98" t="str">
        <f t="shared" si="2"/>
        <v>PROFISSIONAL</v>
      </c>
    </row>
    <row r="1274" ht="15.75" customHeight="1">
      <c r="A1274" s="111" t="s">
        <v>1463</v>
      </c>
      <c r="B1274" s="83" t="s">
        <v>6758</v>
      </c>
      <c r="C1274" s="83" t="s">
        <v>164</v>
      </c>
      <c r="D1274" s="83">
        <v>1134657.0</v>
      </c>
      <c r="E1274" s="83">
        <v>1178229.0</v>
      </c>
      <c r="F1274" s="83"/>
      <c r="G1274" s="114" t="s">
        <v>6762</v>
      </c>
      <c r="H1274" s="91" t="s">
        <v>6763</v>
      </c>
      <c r="I1274" s="114" t="s">
        <v>576</v>
      </c>
      <c r="J1274" s="83" t="s">
        <v>694</v>
      </c>
      <c r="K1274" s="83" t="s">
        <v>168</v>
      </c>
      <c r="L1274" s="83" t="s">
        <v>169</v>
      </c>
      <c r="M1274" s="82" t="s">
        <v>11375</v>
      </c>
      <c r="N1274" s="82" t="s">
        <v>11376</v>
      </c>
      <c r="O1274" s="82" t="s">
        <v>11377</v>
      </c>
      <c r="P1274" s="82" t="s">
        <v>11378</v>
      </c>
      <c r="Q1274" s="82" t="s">
        <v>11379</v>
      </c>
      <c r="R1274" s="82" t="s">
        <v>11380</v>
      </c>
      <c r="S1274" s="82" t="s">
        <v>11381</v>
      </c>
      <c r="T1274" s="138">
        <v>4.0</v>
      </c>
      <c r="U1274" s="401">
        <v>4.0</v>
      </c>
      <c r="V1274" s="106">
        <v>0.0</v>
      </c>
      <c r="W1274" s="107">
        <v>0.0</v>
      </c>
      <c r="X1274" s="107">
        <v>0.0</v>
      </c>
      <c r="Y1274" s="107">
        <v>0.0</v>
      </c>
      <c r="Z1274" s="80">
        <v>0.0</v>
      </c>
      <c r="AA1274" s="140">
        <v>0.0</v>
      </c>
      <c r="AB1274" s="109">
        <v>0.0</v>
      </c>
      <c r="AC1274" s="109">
        <v>0.0</v>
      </c>
      <c r="AD1274" s="141">
        <v>0.0</v>
      </c>
      <c r="AE1274" s="80">
        <v>0.0</v>
      </c>
      <c r="AF1274" s="140">
        <v>0.0</v>
      </c>
      <c r="AG1274" s="109">
        <v>93.0</v>
      </c>
      <c r="AH1274" s="109">
        <v>0.0</v>
      </c>
      <c r="AI1274" s="141">
        <v>0.0</v>
      </c>
      <c r="AJ1274" s="80">
        <v>93.0</v>
      </c>
      <c r="AK1274" s="140">
        <v>0.0</v>
      </c>
      <c r="AL1274" s="109">
        <v>0.0</v>
      </c>
      <c r="AM1274" s="141">
        <v>0.0</v>
      </c>
      <c r="AN1274" s="80">
        <v>0.0</v>
      </c>
      <c r="AO1274" s="140">
        <v>0.0</v>
      </c>
      <c r="AP1274" s="109">
        <v>0.0</v>
      </c>
      <c r="AQ1274" s="109">
        <v>0.0</v>
      </c>
      <c r="AR1274" s="80">
        <v>0.0</v>
      </c>
      <c r="AS1274" s="110">
        <v>0.0</v>
      </c>
      <c r="AT1274" s="110">
        <v>0.0</v>
      </c>
      <c r="AU1274" s="110">
        <v>0.0</v>
      </c>
      <c r="AV1274" s="142">
        <v>0.0</v>
      </c>
      <c r="AW1274" s="80">
        <v>0.0</v>
      </c>
      <c r="AX1274" s="113">
        <v>93.0</v>
      </c>
      <c r="AY1274" s="117">
        <v>93.0</v>
      </c>
      <c r="AZ1274" s="328">
        <v>0.0</v>
      </c>
      <c r="BA1274" s="315">
        <v>0.0</v>
      </c>
      <c r="BB1274" s="316">
        <v>93.0</v>
      </c>
      <c r="BC1274" s="132" t="s">
        <v>373</v>
      </c>
      <c r="BD1274" s="132" t="s">
        <v>178</v>
      </c>
      <c r="BE1274" s="132" t="s">
        <v>178</v>
      </c>
      <c r="BF1274" s="123"/>
      <c r="BG1274" s="83">
        <v>1178229.0</v>
      </c>
      <c r="BH1274" s="112">
        <v>4.0</v>
      </c>
      <c r="BI1274" s="98" t="s">
        <v>155</v>
      </c>
      <c r="BJ1274" s="98" t="str">
        <f t="shared" si="1"/>
        <v>NÃO</v>
      </c>
      <c r="BK1274" s="98" t="str">
        <f t="shared" si="2"/>
        <v>NÃO</v>
      </c>
    </row>
    <row r="1275" ht="15.75" customHeight="1">
      <c r="A1275" s="111" t="s">
        <v>1463</v>
      </c>
      <c r="B1275" s="83" t="s">
        <v>6770</v>
      </c>
      <c r="C1275" s="83" t="s">
        <v>68</v>
      </c>
      <c r="D1275" s="83">
        <v>1138954.0</v>
      </c>
      <c r="E1275" s="83"/>
      <c r="F1275" s="83">
        <v>2.9174546E7</v>
      </c>
      <c r="G1275" s="114" t="s">
        <v>6771</v>
      </c>
      <c r="H1275" s="91" t="s">
        <v>6772</v>
      </c>
      <c r="I1275" s="114" t="s">
        <v>149</v>
      </c>
      <c r="J1275" s="83" t="s">
        <v>150</v>
      </c>
      <c r="K1275" s="83" t="s">
        <v>151</v>
      </c>
      <c r="L1275" s="83" t="s">
        <v>152</v>
      </c>
      <c r="M1275" s="82" t="s">
        <v>11382</v>
      </c>
      <c r="N1275" s="82" t="s">
        <v>11383</v>
      </c>
      <c r="O1275" s="82" t="s">
        <v>11384</v>
      </c>
      <c r="P1275" s="82" t="s">
        <v>11385</v>
      </c>
      <c r="Q1275" s="82" t="s">
        <v>11386</v>
      </c>
      <c r="R1275" s="82" t="s">
        <v>11387</v>
      </c>
      <c r="S1275" s="82" t="s">
        <v>11388</v>
      </c>
      <c r="T1275" s="138">
        <v>12.0</v>
      </c>
      <c r="U1275" s="323">
        <v>12.0</v>
      </c>
      <c r="V1275" s="106">
        <v>0.0</v>
      </c>
      <c r="W1275" s="107">
        <v>0.0</v>
      </c>
      <c r="X1275" s="107">
        <v>0.0</v>
      </c>
      <c r="Y1275" s="107">
        <v>0.0</v>
      </c>
      <c r="Z1275" s="80">
        <v>0.0</v>
      </c>
      <c r="AA1275" s="140">
        <v>0.0</v>
      </c>
      <c r="AB1275" s="109">
        <v>0.0</v>
      </c>
      <c r="AC1275" s="109">
        <v>0.0</v>
      </c>
      <c r="AD1275" s="141">
        <v>0.0</v>
      </c>
      <c r="AE1275" s="80">
        <v>0.0</v>
      </c>
      <c r="AF1275" s="140">
        <v>321.0</v>
      </c>
      <c r="AG1275" s="109">
        <v>158.0</v>
      </c>
      <c r="AH1275" s="109">
        <v>0.0</v>
      </c>
      <c r="AI1275" s="141">
        <v>58.0</v>
      </c>
      <c r="AJ1275" s="80">
        <v>537.0</v>
      </c>
      <c r="AK1275" s="140">
        <v>0.0</v>
      </c>
      <c r="AL1275" s="109">
        <v>0.0</v>
      </c>
      <c r="AM1275" s="141">
        <v>0.0</v>
      </c>
      <c r="AN1275" s="80">
        <v>0.0</v>
      </c>
      <c r="AO1275" s="140">
        <v>0.0</v>
      </c>
      <c r="AP1275" s="109">
        <v>0.0</v>
      </c>
      <c r="AQ1275" s="109">
        <v>111.0</v>
      </c>
      <c r="AR1275" s="80">
        <v>111.0</v>
      </c>
      <c r="AS1275" s="110">
        <v>0.0</v>
      </c>
      <c r="AT1275" s="110">
        <v>0.0</v>
      </c>
      <c r="AU1275" s="110">
        <v>0.0</v>
      </c>
      <c r="AV1275" s="142">
        <v>0.0</v>
      </c>
      <c r="AW1275" s="80">
        <v>0.0</v>
      </c>
      <c r="AX1275" s="113">
        <v>648.0</v>
      </c>
      <c r="AY1275" s="117">
        <v>537.0</v>
      </c>
      <c r="AZ1275" s="328">
        <v>111.0</v>
      </c>
      <c r="BA1275" s="315">
        <v>0.0</v>
      </c>
      <c r="BB1275" s="316">
        <v>648.0</v>
      </c>
      <c r="BC1275" s="132" t="s">
        <v>178</v>
      </c>
      <c r="BD1275" s="132" t="s">
        <v>178</v>
      </c>
      <c r="BE1275" s="132" t="s">
        <v>178</v>
      </c>
      <c r="BF1275" s="156"/>
      <c r="BG1275" s="83">
        <v>1138954.0</v>
      </c>
      <c r="BH1275" s="112">
        <v>12.0</v>
      </c>
      <c r="BI1275" s="98" t="s">
        <v>155</v>
      </c>
      <c r="BJ1275" s="98" t="str">
        <f t="shared" si="1"/>
        <v>INTEGRAL</v>
      </c>
      <c r="BK1275" s="98" t="str">
        <f t="shared" si="2"/>
        <v>NÃO</v>
      </c>
    </row>
    <row r="1276" ht="15.75" customHeight="1">
      <c r="A1276" s="111" t="s">
        <v>1463</v>
      </c>
      <c r="B1276" s="83" t="s">
        <v>6770</v>
      </c>
      <c r="C1276" s="83" t="s">
        <v>68</v>
      </c>
      <c r="D1276" s="83">
        <v>1178265.0</v>
      </c>
      <c r="E1276" s="83"/>
      <c r="F1276" s="83">
        <v>2.998176E7</v>
      </c>
      <c r="G1276" s="114" t="s">
        <v>6775</v>
      </c>
      <c r="H1276" s="91" t="s">
        <v>6776</v>
      </c>
      <c r="I1276" s="114" t="s">
        <v>149</v>
      </c>
      <c r="J1276" s="83" t="s">
        <v>5099</v>
      </c>
      <c r="K1276" s="83" t="s">
        <v>151</v>
      </c>
      <c r="L1276" s="83" t="s">
        <v>169</v>
      </c>
      <c r="M1276" s="82" t="s">
        <v>11389</v>
      </c>
      <c r="N1276" s="82" t="s">
        <v>11390</v>
      </c>
      <c r="O1276" s="82"/>
      <c r="P1276" s="82"/>
      <c r="Q1276" s="82"/>
      <c r="R1276" s="82"/>
      <c r="S1276" s="82" t="s">
        <v>11391</v>
      </c>
      <c r="T1276" s="138">
        <v>7.0</v>
      </c>
      <c r="U1276" s="341">
        <v>7.0</v>
      </c>
      <c r="V1276" s="106">
        <v>0.0</v>
      </c>
      <c r="W1276" s="107">
        <v>0.0</v>
      </c>
      <c r="X1276" s="107">
        <v>0.0</v>
      </c>
      <c r="Y1276" s="107">
        <v>0.0</v>
      </c>
      <c r="Z1276" s="80">
        <v>0.0</v>
      </c>
      <c r="AA1276" s="140">
        <v>0.0</v>
      </c>
      <c r="AB1276" s="109">
        <v>0.0</v>
      </c>
      <c r="AC1276" s="109">
        <v>0.0</v>
      </c>
      <c r="AD1276" s="141">
        <v>0.0</v>
      </c>
      <c r="AE1276" s="80">
        <v>0.0</v>
      </c>
      <c r="AF1276" s="140">
        <v>79.0</v>
      </c>
      <c r="AG1276" s="109">
        <v>43.0</v>
      </c>
      <c r="AH1276" s="109">
        <v>0.0</v>
      </c>
      <c r="AI1276" s="141">
        <v>0.0</v>
      </c>
      <c r="AJ1276" s="80">
        <v>122.0</v>
      </c>
      <c r="AK1276" s="140">
        <v>0.0</v>
      </c>
      <c r="AL1276" s="109">
        <v>0.0</v>
      </c>
      <c r="AM1276" s="141">
        <v>0.0</v>
      </c>
      <c r="AN1276" s="80">
        <v>0.0</v>
      </c>
      <c r="AO1276" s="140">
        <v>0.0</v>
      </c>
      <c r="AP1276" s="109">
        <v>0.0</v>
      </c>
      <c r="AQ1276" s="109">
        <v>0.0</v>
      </c>
      <c r="AR1276" s="80">
        <v>0.0</v>
      </c>
      <c r="AS1276" s="110">
        <v>0.0</v>
      </c>
      <c r="AT1276" s="110">
        <v>0.0</v>
      </c>
      <c r="AU1276" s="110">
        <v>0.0</v>
      </c>
      <c r="AV1276" s="142">
        <v>0.0</v>
      </c>
      <c r="AW1276" s="80">
        <v>0.0</v>
      </c>
      <c r="AX1276" s="113">
        <v>122.0</v>
      </c>
      <c r="AY1276" s="117">
        <v>122.0</v>
      </c>
      <c r="AZ1276" s="328">
        <v>0.0</v>
      </c>
      <c r="BA1276" s="315">
        <v>0.0</v>
      </c>
      <c r="BB1276" s="316">
        <v>122.0</v>
      </c>
      <c r="BC1276" s="132" t="s">
        <v>373</v>
      </c>
      <c r="BD1276" s="132" t="s">
        <v>178</v>
      </c>
      <c r="BE1276" s="132" t="s">
        <v>178</v>
      </c>
      <c r="BF1276" s="156"/>
      <c r="BG1276" s="83">
        <v>1178265.0</v>
      </c>
      <c r="BH1276" s="112">
        <v>7.0</v>
      </c>
      <c r="BI1276" s="98" t="s">
        <v>155</v>
      </c>
      <c r="BJ1276" s="98" t="str">
        <f t="shared" si="1"/>
        <v>NÃO</v>
      </c>
      <c r="BK1276" s="98" t="str">
        <f t="shared" si="2"/>
        <v>NÃO</v>
      </c>
    </row>
    <row r="1277" ht="15.75" customHeight="1">
      <c r="A1277" s="111" t="s">
        <v>1463</v>
      </c>
      <c r="B1277" s="83" t="s">
        <v>6770</v>
      </c>
      <c r="C1277" s="83" t="s">
        <v>68</v>
      </c>
      <c r="D1277" s="83">
        <v>1134932.0</v>
      </c>
      <c r="E1277" s="83"/>
      <c r="F1277" s="83">
        <v>2.917418E7</v>
      </c>
      <c r="G1277" s="114" t="s">
        <v>6786</v>
      </c>
      <c r="H1277" s="91" t="s">
        <v>6787</v>
      </c>
      <c r="I1277" s="114" t="s">
        <v>149</v>
      </c>
      <c r="J1277" s="83" t="s">
        <v>150</v>
      </c>
      <c r="K1277" s="83" t="s">
        <v>151</v>
      </c>
      <c r="L1277" s="83" t="s">
        <v>230</v>
      </c>
      <c r="M1277" s="82" t="s">
        <v>11393</v>
      </c>
      <c r="N1277" s="82" t="s">
        <v>11394</v>
      </c>
      <c r="O1277" s="82" t="s">
        <v>11395</v>
      </c>
      <c r="P1277" s="82" t="s">
        <v>11396</v>
      </c>
      <c r="Q1277" s="82" t="s">
        <v>11397</v>
      </c>
      <c r="R1277" s="82" t="s">
        <v>11398</v>
      </c>
      <c r="S1277" s="82" t="s">
        <v>11399</v>
      </c>
      <c r="T1277" s="138">
        <v>15.0</v>
      </c>
      <c r="U1277" s="341">
        <v>10.0</v>
      </c>
      <c r="V1277" s="106">
        <v>0.0</v>
      </c>
      <c r="W1277" s="107">
        <v>0.0</v>
      </c>
      <c r="X1277" s="107">
        <v>0.0</v>
      </c>
      <c r="Y1277" s="107">
        <v>0.0</v>
      </c>
      <c r="Z1277" s="80">
        <v>0.0</v>
      </c>
      <c r="AA1277" s="140">
        <v>0.0</v>
      </c>
      <c r="AB1277" s="109">
        <v>0.0</v>
      </c>
      <c r="AC1277" s="109">
        <v>0.0</v>
      </c>
      <c r="AD1277" s="141">
        <v>0.0</v>
      </c>
      <c r="AE1277" s="80">
        <v>0.0</v>
      </c>
      <c r="AF1277" s="140">
        <v>0.0</v>
      </c>
      <c r="AG1277" s="109">
        <v>0.0</v>
      </c>
      <c r="AH1277" s="109">
        <v>0.0</v>
      </c>
      <c r="AI1277" s="141">
        <v>0.0</v>
      </c>
      <c r="AJ1277" s="80">
        <v>0.0</v>
      </c>
      <c r="AK1277" s="140">
        <v>0.0</v>
      </c>
      <c r="AL1277" s="109">
        <v>0.0</v>
      </c>
      <c r="AM1277" s="141">
        <v>0.0</v>
      </c>
      <c r="AN1277" s="80">
        <v>0.0</v>
      </c>
      <c r="AO1277" s="140">
        <v>0.0</v>
      </c>
      <c r="AP1277" s="109">
        <v>0.0</v>
      </c>
      <c r="AQ1277" s="109">
        <v>0.0</v>
      </c>
      <c r="AR1277" s="80">
        <v>0.0</v>
      </c>
      <c r="AS1277" s="110">
        <v>192.0</v>
      </c>
      <c r="AT1277" s="110">
        <v>47.0</v>
      </c>
      <c r="AU1277" s="110">
        <v>172.0</v>
      </c>
      <c r="AV1277" s="142">
        <v>0.0</v>
      </c>
      <c r="AW1277" s="80">
        <v>411.0</v>
      </c>
      <c r="AX1277" s="113">
        <v>411.0</v>
      </c>
      <c r="AY1277" s="117">
        <v>239.0</v>
      </c>
      <c r="AZ1277" s="328">
        <v>172.0</v>
      </c>
      <c r="BA1277" s="315">
        <v>0.0</v>
      </c>
      <c r="BB1277" s="316">
        <v>411.0</v>
      </c>
      <c r="BC1277" s="132" t="s">
        <v>178</v>
      </c>
      <c r="BD1277" s="132" t="s">
        <v>522</v>
      </c>
      <c r="BE1277" s="132" t="s">
        <v>178</v>
      </c>
      <c r="BF1277" s="156"/>
      <c r="BG1277" s="83">
        <v>1134932.0</v>
      </c>
      <c r="BH1277" s="112">
        <v>10.0</v>
      </c>
      <c r="BI1277" s="98" t="s">
        <v>155</v>
      </c>
      <c r="BJ1277" s="98" t="str">
        <f t="shared" si="1"/>
        <v>NÃO</v>
      </c>
      <c r="BK1277" s="98" t="str">
        <f t="shared" si="2"/>
        <v>PROFISSIONAL</v>
      </c>
    </row>
    <row r="1278" ht="15.75" customHeight="1">
      <c r="A1278" s="111" t="s">
        <v>1463</v>
      </c>
      <c r="B1278" s="83" t="s">
        <v>6789</v>
      </c>
      <c r="C1278" s="83" t="s">
        <v>68</v>
      </c>
      <c r="D1278" s="83">
        <v>1178053.0</v>
      </c>
      <c r="E1278" s="83"/>
      <c r="F1278" s="83">
        <v>2.9432529E7</v>
      </c>
      <c r="G1278" s="114" t="s">
        <v>11400</v>
      </c>
      <c r="H1278" s="91" t="s">
        <v>6796</v>
      </c>
      <c r="I1278" s="114" t="s">
        <v>149</v>
      </c>
      <c r="J1278" s="83" t="s">
        <v>150</v>
      </c>
      <c r="K1278" s="83" t="s">
        <v>151</v>
      </c>
      <c r="L1278" s="83" t="s">
        <v>152</v>
      </c>
      <c r="M1278" s="82" t="s">
        <v>11401</v>
      </c>
      <c r="N1278" s="82" t="s">
        <v>11402</v>
      </c>
      <c r="O1278" s="82" t="s">
        <v>11403</v>
      </c>
      <c r="P1278" s="82" t="s">
        <v>11404</v>
      </c>
      <c r="Q1278" s="82"/>
      <c r="R1278" s="82"/>
      <c r="S1278" s="82" t="s">
        <v>11405</v>
      </c>
      <c r="T1278" s="138">
        <v>9.0</v>
      </c>
      <c r="U1278" s="341">
        <v>10.0</v>
      </c>
      <c r="V1278" s="106">
        <v>0.0</v>
      </c>
      <c r="W1278" s="107">
        <v>0.0</v>
      </c>
      <c r="X1278" s="107">
        <v>0.0</v>
      </c>
      <c r="Y1278" s="107">
        <v>0.0</v>
      </c>
      <c r="Z1278" s="80">
        <v>0.0</v>
      </c>
      <c r="AA1278" s="140">
        <v>0.0</v>
      </c>
      <c r="AB1278" s="109">
        <v>0.0</v>
      </c>
      <c r="AC1278" s="109">
        <v>0.0</v>
      </c>
      <c r="AD1278" s="141">
        <v>0.0</v>
      </c>
      <c r="AE1278" s="80">
        <v>0.0</v>
      </c>
      <c r="AF1278" s="140">
        <v>0.0</v>
      </c>
      <c r="AG1278" s="109">
        <v>0.0</v>
      </c>
      <c r="AH1278" s="109">
        <v>0.0</v>
      </c>
      <c r="AI1278" s="141">
        <v>216.0</v>
      </c>
      <c r="AJ1278" s="80">
        <v>216.0</v>
      </c>
      <c r="AK1278" s="140">
        <v>0.0</v>
      </c>
      <c r="AL1278" s="109">
        <v>0.0</v>
      </c>
      <c r="AM1278" s="141">
        <v>0.0</v>
      </c>
      <c r="AN1278" s="80">
        <v>0.0</v>
      </c>
      <c r="AO1278" s="140">
        <v>0.0</v>
      </c>
      <c r="AP1278" s="109">
        <v>0.0</v>
      </c>
      <c r="AQ1278" s="109">
        <v>46.0</v>
      </c>
      <c r="AR1278" s="80">
        <v>46.0</v>
      </c>
      <c r="AS1278" s="110">
        <v>29.0</v>
      </c>
      <c r="AT1278" s="110">
        <v>94.0</v>
      </c>
      <c r="AU1278" s="110">
        <v>20.0</v>
      </c>
      <c r="AV1278" s="142">
        <v>0.0</v>
      </c>
      <c r="AW1278" s="80">
        <v>143.0</v>
      </c>
      <c r="AX1278" s="113">
        <v>405.0</v>
      </c>
      <c r="AY1278" s="117">
        <v>339.0</v>
      </c>
      <c r="AZ1278" s="328">
        <v>66.0</v>
      </c>
      <c r="BA1278" s="315">
        <v>0.0</v>
      </c>
      <c r="BB1278" s="316">
        <v>405.0</v>
      </c>
      <c r="BC1278" s="132" t="s">
        <v>178</v>
      </c>
      <c r="BD1278" s="132" t="s">
        <v>178</v>
      </c>
      <c r="BE1278" s="132" t="s">
        <v>178</v>
      </c>
      <c r="BF1278" s="123"/>
      <c r="BG1278" s="83">
        <v>1178053.0</v>
      </c>
      <c r="BH1278" s="112">
        <v>10.0</v>
      </c>
      <c r="BI1278" s="98" t="s">
        <v>155</v>
      </c>
      <c r="BJ1278" s="98" t="str">
        <f t="shared" si="1"/>
        <v>INTEGRAL</v>
      </c>
      <c r="BK1278" s="98" t="str">
        <f t="shared" si="2"/>
        <v>PROFISSIONAL</v>
      </c>
    </row>
    <row r="1279" ht="15.75" customHeight="1">
      <c r="A1279" s="111" t="s">
        <v>1463</v>
      </c>
      <c r="B1279" s="83" t="s">
        <v>6802</v>
      </c>
      <c r="C1279" s="83" t="s">
        <v>68</v>
      </c>
      <c r="D1279" s="83">
        <v>1178030.0</v>
      </c>
      <c r="E1279" s="83"/>
      <c r="F1279" s="83">
        <v>2.9174805E7</v>
      </c>
      <c r="G1279" s="114" t="s">
        <v>6803</v>
      </c>
      <c r="H1279" s="91" t="s">
        <v>6804</v>
      </c>
      <c r="I1279" s="114" t="s">
        <v>6805</v>
      </c>
      <c r="J1279" s="83" t="s">
        <v>150</v>
      </c>
      <c r="K1279" s="83" t="s">
        <v>151</v>
      </c>
      <c r="L1279" s="83" t="s">
        <v>76</v>
      </c>
      <c r="M1279" s="82" t="s">
        <v>11407</v>
      </c>
      <c r="N1279" s="82" t="s">
        <v>11408</v>
      </c>
      <c r="O1279" s="82" t="s">
        <v>11409</v>
      </c>
      <c r="P1279" s="82" t="s">
        <v>11410</v>
      </c>
      <c r="Q1279" s="82"/>
      <c r="R1279" s="82"/>
      <c r="S1279" s="82" t="s">
        <v>11411</v>
      </c>
      <c r="T1279" s="138">
        <v>7.0</v>
      </c>
      <c r="U1279" s="352">
        <v>6.0</v>
      </c>
      <c r="V1279" s="106">
        <v>0.0</v>
      </c>
      <c r="W1279" s="107">
        <v>0.0</v>
      </c>
      <c r="X1279" s="107">
        <v>0.0</v>
      </c>
      <c r="Y1279" s="107">
        <v>0.0</v>
      </c>
      <c r="Z1279" s="80">
        <v>0.0</v>
      </c>
      <c r="AA1279" s="140">
        <v>0.0</v>
      </c>
      <c r="AB1279" s="109">
        <v>0.0</v>
      </c>
      <c r="AC1279" s="109">
        <v>0.0</v>
      </c>
      <c r="AD1279" s="141">
        <v>0.0</v>
      </c>
      <c r="AE1279" s="80">
        <v>0.0</v>
      </c>
      <c r="AF1279" s="140">
        <v>180.0</v>
      </c>
      <c r="AG1279" s="109">
        <v>139.0</v>
      </c>
      <c r="AH1279" s="109">
        <v>0.0</v>
      </c>
      <c r="AI1279" s="141">
        <v>0.0</v>
      </c>
      <c r="AJ1279" s="80">
        <v>319.0</v>
      </c>
      <c r="AK1279" s="140">
        <v>0.0</v>
      </c>
      <c r="AL1279" s="109">
        <v>0.0</v>
      </c>
      <c r="AM1279" s="141">
        <v>0.0</v>
      </c>
      <c r="AN1279" s="80">
        <v>0.0</v>
      </c>
      <c r="AO1279" s="140">
        <v>0.0</v>
      </c>
      <c r="AP1279" s="109">
        <v>0.0</v>
      </c>
      <c r="AQ1279" s="109">
        <v>55.0</v>
      </c>
      <c r="AR1279" s="80">
        <v>55.0</v>
      </c>
      <c r="AS1279" s="110">
        <v>0.0</v>
      </c>
      <c r="AT1279" s="110">
        <v>0.0</v>
      </c>
      <c r="AU1279" s="110">
        <v>54.0</v>
      </c>
      <c r="AV1279" s="142">
        <v>0.0</v>
      </c>
      <c r="AW1279" s="80">
        <v>54.0</v>
      </c>
      <c r="AX1279" s="113">
        <v>428.0</v>
      </c>
      <c r="AY1279" s="117">
        <v>319.0</v>
      </c>
      <c r="AZ1279" s="328">
        <v>109.0</v>
      </c>
      <c r="BA1279" s="315">
        <v>4.0</v>
      </c>
      <c r="BB1279" s="316">
        <v>432.0</v>
      </c>
      <c r="BC1279" s="132" t="s">
        <v>178</v>
      </c>
      <c r="BD1279" s="132" t="s">
        <v>178</v>
      </c>
      <c r="BE1279" s="132" t="s">
        <v>178</v>
      </c>
      <c r="BF1279" s="156"/>
      <c r="BG1279" s="83">
        <v>1178030.0</v>
      </c>
      <c r="BH1279" s="112">
        <v>6.0</v>
      </c>
      <c r="BI1279" s="98" t="s">
        <v>155</v>
      </c>
      <c r="BJ1279" s="98" t="str">
        <f t="shared" si="1"/>
        <v>NÃO</v>
      </c>
      <c r="BK1279" s="98" t="str">
        <f t="shared" si="2"/>
        <v>PROFISSIONAL</v>
      </c>
    </row>
    <row r="1280" ht="15.75" customHeight="1">
      <c r="A1280" s="111" t="s">
        <v>1535</v>
      </c>
      <c r="B1280" s="83" t="s">
        <v>6809</v>
      </c>
      <c r="C1280" s="83" t="s">
        <v>68</v>
      </c>
      <c r="D1280" s="83">
        <v>1178051.0</v>
      </c>
      <c r="E1280" s="83"/>
      <c r="F1280" s="83">
        <v>2.9425417E7</v>
      </c>
      <c r="G1280" s="114" t="s">
        <v>11412</v>
      </c>
      <c r="H1280" s="91" t="s">
        <v>6811</v>
      </c>
      <c r="I1280" s="114" t="s">
        <v>149</v>
      </c>
      <c r="J1280" s="83" t="s">
        <v>150</v>
      </c>
      <c r="K1280" s="83" t="s">
        <v>151</v>
      </c>
      <c r="L1280" s="83" t="s">
        <v>169</v>
      </c>
      <c r="M1280" s="82" t="s">
        <v>11413</v>
      </c>
      <c r="N1280" s="82" t="s">
        <v>11414</v>
      </c>
      <c r="O1280" s="82" t="s">
        <v>11415</v>
      </c>
      <c r="P1280" s="82" t="s">
        <v>11416</v>
      </c>
      <c r="Q1280" s="82"/>
      <c r="R1280" s="82"/>
      <c r="S1280" s="82" t="s">
        <v>11417</v>
      </c>
      <c r="T1280" s="138">
        <v>5.0</v>
      </c>
      <c r="U1280" s="341">
        <v>5.0</v>
      </c>
      <c r="V1280" s="106">
        <v>0.0</v>
      </c>
      <c r="W1280" s="107">
        <v>0.0</v>
      </c>
      <c r="X1280" s="107">
        <v>0.0</v>
      </c>
      <c r="Y1280" s="107">
        <v>0.0</v>
      </c>
      <c r="Z1280" s="80">
        <v>0.0</v>
      </c>
      <c r="AA1280" s="140">
        <v>0.0</v>
      </c>
      <c r="AB1280" s="109">
        <v>0.0</v>
      </c>
      <c r="AC1280" s="109">
        <v>0.0</v>
      </c>
      <c r="AD1280" s="141">
        <v>0.0</v>
      </c>
      <c r="AE1280" s="80">
        <v>0.0</v>
      </c>
      <c r="AF1280" s="140">
        <v>0.0</v>
      </c>
      <c r="AG1280" s="109">
        <v>0.0</v>
      </c>
      <c r="AH1280" s="109">
        <v>0.0</v>
      </c>
      <c r="AI1280" s="141">
        <v>120.0</v>
      </c>
      <c r="AJ1280" s="80">
        <v>120.0</v>
      </c>
      <c r="AK1280" s="140">
        <v>0.0</v>
      </c>
      <c r="AL1280" s="109">
        <v>0.0</v>
      </c>
      <c r="AM1280" s="141">
        <v>0.0</v>
      </c>
      <c r="AN1280" s="80">
        <v>0.0</v>
      </c>
      <c r="AO1280" s="140">
        <v>0.0</v>
      </c>
      <c r="AP1280" s="109">
        <v>0.0</v>
      </c>
      <c r="AQ1280" s="109">
        <v>32.0</v>
      </c>
      <c r="AR1280" s="80">
        <v>32.0</v>
      </c>
      <c r="AS1280" s="110">
        <v>0.0</v>
      </c>
      <c r="AT1280" s="110">
        <v>0.0</v>
      </c>
      <c r="AU1280" s="110">
        <v>8.0</v>
      </c>
      <c r="AV1280" s="142">
        <v>0.0</v>
      </c>
      <c r="AW1280" s="80">
        <v>8.0</v>
      </c>
      <c r="AX1280" s="113">
        <v>160.0</v>
      </c>
      <c r="AY1280" s="117">
        <v>120.0</v>
      </c>
      <c r="AZ1280" s="328">
        <v>40.0</v>
      </c>
      <c r="BA1280" s="315">
        <v>2.0</v>
      </c>
      <c r="BB1280" s="316">
        <v>162.0</v>
      </c>
      <c r="BC1280" s="132" t="s">
        <v>178</v>
      </c>
      <c r="BD1280" s="132" t="s">
        <v>178</v>
      </c>
      <c r="BE1280" s="132" t="s">
        <v>178</v>
      </c>
      <c r="BF1280" s="123"/>
      <c r="BG1280" s="83">
        <v>1178051.0</v>
      </c>
      <c r="BH1280" s="112">
        <v>5.0</v>
      </c>
      <c r="BI1280" s="98" t="s">
        <v>155</v>
      </c>
      <c r="BJ1280" s="98" t="str">
        <f t="shared" si="1"/>
        <v>INTEGRAL</v>
      </c>
      <c r="BK1280" s="98" t="str">
        <f t="shared" si="2"/>
        <v>PROFISSIONAL</v>
      </c>
    </row>
    <row r="1281" ht="15.75" customHeight="1">
      <c r="A1281" s="111" t="s">
        <v>1535</v>
      </c>
      <c r="B1281" s="83" t="s">
        <v>6821</v>
      </c>
      <c r="C1281" s="83" t="s">
        <v>68</v>
      </c>
      <c r="D1281" s="83">
        <v>1110758.0</v>
      </c>
      <c r="E1281" s="83"/>
      <c r="F1281" s="83">
        <v>2.9223652E7</v>
      </c>
      <c r="G1281" s="114" t="s">
        <v>11418</v>
      </c>
      <c r="H1281" s="91" t="s">
        <v>11419</v>
      </c>
      <c r="I1281" s="114" t="s">
        <v>149</v>
      </c>
      <c r="J1281" s="83" t="s">
        <v>150</v>
      </c>
      <c r="K1281" s="83" t="s">
        <v>151</v>
      </c>
      <c r="L1281" s="83" t="s">
        <v>76</v>
      </c>
      <c r="M1281" s="82" t="s">
        <v>11420</v>
      </c>
      <c r="N1281" s="82" t="s">
        <v>11421</v>
      </c>
      <c r="O1281" s="82" t="s">
        <v>11422</v>
      </c>
      <c r="P1281" s="82" t="s">
        <v>11423</v>
      </c>
      <c r="Q1281" s="82"/>
      <c r="R1281" s="82"/>
      <c r="S1281" s="82" t="s">
        <v>11424</v>
      </c>
      <c r="T1281" s="138">
        <v>5.0</v>
      </c>
      <c r="U1281" s="341">
        <v>5.0</v>
      </c>
      <c r="V1281" s="106">
        <v>0.0</v>
      </c>
      <c r="W1281" s="107">
        <v>0.0</v>
      </c>
      <c r="X1281" s="107">
        <v>0.0</v>
      </c>
      <c r="Y1281" s="107">
        <v>0.0</v>
      </c>
      <c r="Z1281" s="80">
        <v>0.0</v>
      </c>
      <c r="AA1281" s="140">
        <v>0.0</v>
      </c>
      <c r="AB1281" s="109">
        <v>0.0</v>
      </c>
      <c r="AC1281" s="109">
        <v>0.0</v>
      </c>
      <c r="AD1281" s="141">
        <v>0.0</v>
      </c>
      <c r="AE1281" s="80">
        <v>0.0</v>
      </c>
      <c r="AF1281" s="140">
        <v>0.0</v>
      </c>
      <c r="AG1281" s="109">
        <v>0.0</v>
      </c>
      <c r="AH1281" s="109">
        <v>28.0</v>
      </c>
      <c r="AI1281" s="141">
        <v>85.0</v>
      </c>
      <c r="AJ1281" s="80">
        <v>113.0</v>
      </c>
      <c r="AK1281" s="140">
        <v>0.0</v>
      </c>
      <c r="AL1281" s="109">
        <v>0.0</v>
      </c>
      <c r="AM1281" s="141">
        <v>0.0</v>
      </c>
      <c r="AN1281" s="80">
        <v>0.0</v>
      </c>
      <c r="AO1281" s="140">
        <v>0.0</v>
      </c>
      <c r="AP1281" s="109">
        <v>0.0</v>
      </c>
      <c r="AQ1281" s="109">
        <v>72.0</v>
      </c>
      <c r="AR1281" s="80">
        <v>72.0</v>
      </c>
      <c r="AS1281" s="110">
        <v>0.0</v>
      </c>
      <c r="AT1281" s="110">
        <v>0.0</v>
      </c>
      <c r="AU1281" s="110">
        <v>0.0</v>
      </c>
      <c r="AV1281" s="142">
        <v>0.0</v>
      </c>
      <c r="AW1281" s="80">
        <v>0.0</v>
      </c>
      <c r="AX1281" s="113">
        <v>185.0</v>
      </c>
      <c r="AY1281" s="117">
        <v>85.0</v>
      </c>
      <c r="AZ1281" s="328">
        <v>100.0</v>
      </c>
      <c r="BA1281" s="315">
        <v>0.0</v>
      </c>
      <c r="BB1281" s="316">
        <v>185.0</v>
      </c>
      <c r="BC1281" s="132" t="s">
        <v>178</v>
      </c>
      <c r="BD1281" s="132" t="s">
        <v>178</v>
      </c>
      <c r="BE1281" s="132" t="s">
        <v>178</v>
      </c>
      <c r="BF1281" s="156"/>
      <c r="BG1281" s="83">
        <v>1110758.0</v>
      </c>
      <c r="BH1281" s="112">
        <v>5.0</v>
      </c>
      <c r="BI1281" s="98" t="s">
        <v>155</v>
      </c>
      <c r="BJ1281" s="98" t="str">
        <f t="shared" si="1"/>
        <v>INTEGRAL</v>
      </c>
      <c r="BK1281" s="98" t="str">
        <f t="shared" si="2"/>
        <v>NÃO</v>
      </c>
    </row>
    <row r="1282" ht="15.75" customHeight="1">
      <c r="A1282" s="111" t="s">
        <v>1535</v>
      </c>
      <c r="B1282" s="83" t="s">
        <v>6833</v>
      </c>
      <c r="C1282" s="83" t="s">
        <v>68</v>
      </c>
      <c r="D1282" s="83">
        <v>1117310.0</v>
      </c>
      <c r="E1282" s="83"/>
      <c r="F1282" s="83">
        <v>2.9293707E7</v>
      </c>
      <c r="G1282" s="114" t="s">
        <v>6834</v>
      </c>
      <c r="H1282" s="91" t="s">
        <v>6835</v>
      </c>
      <c r="I1282" s="114" t="s">
        <v>149</v>
      </c>
      <c r="J1282" s="83" t="s">
        <v>150</v>
      </c>
      <c r="K1282" s="83" t="s">
        <v>151</v>
      </c>
      <c r="L1282" s="83" t="s">
        <v>76</v>
      </c>
      <c r="M1282" s="82" t="s">
        <v>11425</v>
      </c>
      <c r="N1282" s="82" t="s">
        <v>11426</v>
      </c>
      <c r="O1282" s="82" t="s">
        <v>11427</v>
      </c>
      <c r="P1282" s="82" t="s">
        <v>11428</v>
      </c>
      <c r="Q1282" s="82"/>
      <c r="R1282" s="82"/>
      <c r="S1282" s="82" t="s">
        <v>11429</v>
      </c>
      <c r="T1282" s="138">
        <v>6.0</v>
      </c>
      <c r="U1282" s="331" t="s">
        <v>11430</v>
      </c>
      <c r="V1282" s="106">
        <v>0.0</v>
      </c>
      <c r="W1282" s="107">
        <v>0.0</v>
      </c>
      <c r="X1282" s="107">
        <v>0.0</v>
      </c>
      <c r="Y1282" s="107">
        <v>0.0</v>
      </c>
      <c r="Z1282" s="80">
        <v>0.0</v>
      </c>
      <c r="AA1282" s="140">
        <v>0.0</v>
      </c>
      <c r="AB1282" s="109">
        <v>0.0</v>
      </c>
      <c r="AC1282" s="109">
        <v>0.0</v>
      </c>
      <c r="AD1282" s="141">
        <v>0.0</v>
      </c>
      <c r="AE1282" s="80">
        <v>0.0</v>
      </c>
      <c r="AF1282" s="140">
        <v>0.0</v>
      </c>
      <c r="AG1282" s="109">
        <v>0.0</v>
      </c>
      <c r="AH1282" s="109">
        <v>34.0</v>
      </c>
      <c r="AI1282" s="141">
        <v>132.0</v>
      </c>
      <c r="AJ1282" s="80">
        <v>166.0</v>
      </c>
      <c r="AK1282" s="140">
        <v>0.0</v>
      </c>
      <c r="AL1282" s="109">
        <v>0.0</v>
      </c>
      <c r="AM1282" s="141">
        <v>0.0</v>
      </c>
      <c r="AN1282" s="80">
        <v>0.0</v>
      </c>
      <c r="AO1282" s="140">
        <v>0.0</v>
      </c>
      <c r="AP1282" s="109">
        <v>0.0</v>
      </c>
      <c r="AQ1282" s="109">
        <v>84.0</v>
      </c>
      <c r="AR1282" s="80">
        <v>84.0</v>
      </c>
      <c r="AS1282" s="110">
        <v>0.0</v>
      </c>
      <c r="AT1282" s="110">
        <v>0.0</v>
      </c>
      <c r="AU1282" s="110">
        <v>0.0</v>
      </c>
      <c r="AV1282" s="142">
        <v>0.0</v>
      </c>
      <c r="AW1282" s="80">
        <v>0.0</v>
      </c>
      <c r="AX1282" s="113">
        <v>250.0</v>
      </c>
      <c r="AY1282" s="117">
        <v>132.0</v>
      </c>
      <c r="AZ1282" s="328">
        <v>118.0</v>
      </c>
      <c r="BA1282" s="315">
        <v>0.0</v>
      </c>
      <c r="BB1282" s="316">
        <v>250.0</v>
      </c>
      <c r="BC1282" s="132" t="s">
        <v>178</v>
      </c>
      <c r="BD1282" s="132" t="s">
        <v>178</v>
      </c>
      <c r="BE1282" s="132" t="s">
        <v>178</v>
      </c>
      <c r="BF1282" s="123"/>
      <c r="BG1282" s="83">
        <v>1117310.0</v>
      </c>
      <c r="BH1282" s="112">
        <v>6.0</v>
      </c>
      <c r="BI1282" s="98" t="s">
        <v>155</v>
      </c>
      <c r="BJ1282" s="98" t="str">
        <f t="shared" si="1"/>
        <v>INTEGRAL</v>
      </c>
      <c r="BK1282" s="98" t="str">
        <f t="shared" si="2"/>
        <v>NÃO</v>
      </c>
    </row>
    <row r="1283" ht="15.75" customHeight="1">
      <c r="A1283" s="111" t="s">
        <v>1535</v>
      </c>
      <c r="B1283" s="83" t="s">
        <v>2366</v>
      </c>
      <c r="C1283" s="83" t="s">
        <v>68</v>
      </c>
      <c r="D1283" s="83">
        <v>1117221.0</v>
      </c>
      <c r="E1283" s="83"/>
      <c r="F1283" s="83">
        <v>2.9268524E7</v>
      </c>
      <c r="G1283" s="114" t="s">
        <v>6838</v>
      </c>
      <c r="H1283" s="91" t="s">
        <v>6839</v>
      </c>
      <c r="I1283" s="114" t="s">
        <v>149</v>
      </c>
      <c r="J1283" s="83" t="s">
        <v>150</v>
      </c>
      <c r="K1283" s="83" t="s">
        <v>151</v>
      </c>
      <c r="L1283" s="83" t="s">
        <v>152</v>
      </c>
      <c r="M1283" s="82" t="s">
        <v>11432</v>
      </c>
      <c r="N1283" s="82" t="s">
        <v>11433</v>
      </c>
      <c r="O1283" s="82" t="s">
        <v>11434</v>
      </c>
      <c r="P1283" s="82" t="s">
        <v>11435</v>
      </c>
      <c r="Q1283" s="82" t="s">
        <v>11436</v>
      </c>
      <c r="R1283" s="82" t="s">
        <v>11437</v>
      </c>
      <c r="S1283" s="196" t="s">
        <v>11438</v>
      </c>
      <c r="T1283" s="138">
        <v>8.0</v>
      </c>
      <c r="U1283" s="340">
        <v>8.0</v>
      </c>
      <c r="V1283" s="106">
        <v>0.0</v>
      </c>
      <c r="W1283" s="107">
        <v>0.0</v>
      </c>
      <c r="X1283" s="107">
        <v>0.0</v>
      </c>
      <c r="Y1283" s="107">
        <v>0.0</v>
      </c>
      <c r="Z1283" s="80">
        <v>0.0</v>
      </c>
      <c r="AA1283" s="140">
        <v>0.0</v>
      </c>
      <c r="AB1283" s="109">
        <v>0.0</v>
      </c>
      <c r="AC1283" s="109">
        <v>0.0</v>
      </c>
      <c r="AD1283" s="141">
        <v>0.0</v>
      </c>
      <c r="AE1283" s="80">
        <v>0.0</v>
      </c>
      <c r="AF1283" s="140">
        <v>162.0</v>
      </c>
      <c r="AG1283" s="109">
        <v>103.0</v>
      </c>
      <c r="AH1283" s="109">
        <v>23.0</v>
      </c>
      <c r="AI1283" s="141">
        <v>96.0</v>
      </c>
      <c r="AJ1283" s="80">
        <v>384.0</v>
      </c>
      <c r="AK1283" s="140">
        <v>0.0</v>
      </c>
      <c r="AL1283" s="109">
        <v>0.0</v>
      </c>
      <c r="AM1283" s="141">
        <v>0.0</v>
      </c>
      <c r="AN1283" s="80">
        <v>0.0</v>
      </c>
      <c r="AO1283" s="140">
        <v>0.0</v>
      </c>
      <c r="AP1283" s="109">
        <v>0.0</v>
      </c>
      <c r="AQ1283" s="109">
        <v>80.0</v>
      </c>
      <c r="AR1283" s="80">
        <v>80.0</v>
      </c>
      <c r="AS1283" s="110">
        <v>0.0</v>
      </c>
      <c r="AT1283" s="110">
        <v>0.0</v>
      </c>
      <c r="AU1283" s="110">
        <v>0.0</v>
      </c>
      <c r="AV1283" s="142">
        <v>0.0</v>
      </c>
      <c r="AW1283" s="80">
        <v>0.0</v>
      </c>
      <c r="AX1283" s="113">
        <v>464.0</v>
      </c>
      <c r="AY1283" s="117">
        <v>361.0</v>
      </c>
      <c r="AZ1283" s="328">
        <v>103.0</v>
      </c>
      <c r="BA1283" s="315">
        <v>0.0</v>
      </c>
      <c r="BB1283" s="316">
        <v>464.0</v>
      </c>
      <c r="BC1283" s="132" t="s">
        <v>178</v>
      </c>
      <c r="BD1283" s="132" t="s">
        <v>178</v>
      </c>
      <c r="BE1283" s="132" t="s">
        <v>178</v>
      </c>
      <c r="BF1283" s="123"/>
      <c r="BG1283" s="83">
        <v>1117221.0</v>
      </c>
      <c r="BH1283" s="112">
        <v>8.0</v>
      </c>
      <c r="BI1283" s="98" t="s">
        <v>155</v>
      </c>
      <c r="BJ1283" s="98" t="str">
        <f t="shared" si="1"/>
        <v>INTEGRAL</v>
      </c>
      <c r="BK1283" s="98" t="str">
        <f t="shared" si="2"/>
        <v>NÃO</v>
      </c>
    </row>
    <row r="1284" ht="15.75" customHeight="1">
      <c r="A1284" s="111" t="s">
        <v>1535</v>
      </c>
      <c r="B1284" s="83" t="s">
        <v>2366</v>
      </c>
      <c r="C1284" s="83" t="s">
        <v>164</v>
      </c>
      <c r="D1284" s="83">
        <v>1179277.0</v>
      </c>
      <c r="E1284" s="83">
        <v>1178615.0</v>
      </c>
      <c r="F1284" s="83"/>
      <c r="G1284" s="114" t="s">
        <v>6864</v>
      </c>
      <c r="H1284" s="91" t="s">
        <v>6865</v>
      </c>
      <c r="I1284" s="298" t="s">
        <v>149</v>
      </c>
      <c r="J1284" s="83" t="s">
        <v>315</v>
      </c>
      <c r="K1284" s="83" t="s">
        <v>151</v>
      </c>
      <c r="L1284" s="83" t="s">
        <v>169</v>
      </c>
      <c r="M1284" s="82" t="s">
        <v>11439</v>
      </c>
      <c r="N1284" s="82" t="s">
        <v>11440</v>
      </c>
      <c r="O1284" s="82" t="s">
        <v>11441</v>
      </c>
      <c r="P1284" s="82" t="s">
        <v>11442</v>
      </c>
      <c r="Q1284" s="82" t="s">
        <v>11443</v>
      </c>
      <c r="R1284" s="82" t="s">
        <v>11444</v>
      </c>
      <c r="S1284" s="82" t="s">
        <v>11445</v>
      </c>
      <c r="T1284" s="138">
        <v>3.0</v>
      </c>
      <c r="U1284" s="341">
        <v>3.0</v>
      </c>
      <c r="V1284" s="106">
        <v>0.0</v>
      </c>
      <c r="W1284" s="107">
        <v>0.0</v>
      </c>
      <c r="X1284" s="107">
        <v>0.0</v>
      </c>
      <c r="Y1284" s="107">
        <v>0.0</v>
      </c>
      <c r="Z1284" s="80">
        <v>0.0</v>
      </c>
      <c r="AA1284" s="140">
        <v>0.0</v>
      </c>
      <c r="AB1284" s="109">
        <v>0.0</v>
      </c>
      <c r="AC1284" s="109">
        <v>0.0</v>
      </c>
      <c r="AD1284" s="141">
        <v>0.0</v>
      </c>
      <c r="AE1284" s="80">
        <v>0.0</v>
      </c>
      <c r="AF1284" s="140">
        <v>0.0</v>
      </c>
      <c r="AG1284" s="109">
        <v>0.0</v>
      </c>
      <c r="AH1284" s="109">
        <v>25.0</v>
      </c>
      <c r="AI1284" s="141">
        <v>0.0</v>
      </c>
      <c r="AJ1284" s="80">
        <v>25.0</v>
      </c>
      <c r="AK1284" s="140">
        <v>0.0</v>
      </c>
      <c r="AL1284" s="109">
        <v>0.0</v>
      </c>
      <c r="AM1284" s="141">
        <v>0.0</v>
      </c>
      <c r="AN1284" s="80">
        <v>0.0</v>
      </c>
      <c r="AO1284" s="140">
        <v>0.0</v>
      </c>
      <c r="AP1284" s="109">
        <v>0.0</v>
      </c>
      <c r="AQ1284" s="109">
        <v>0.0</v>
      </c>
      <c r="AR1284" s="80">
        <v>0.0</v>
      </c>
      <c r="AS1284" s="110">
        <v>0.0</v>
      </c>
      <c r="AT1284" s="110">
        <v>0.0</v>
      </c>
      <c r="AU1284" s="110">
        <v>0.0</v>
      </c>
      <c r="AV1284" s="142">
        <v>0.0</v>
      </c>
      <c r="AW1284" s="80">
        <v>0.0</v>
      </c>
      <c r="AX1284" s="113">
        <v>25.0</v>
      </c>
      <c r="AY1284" s="117">
        <v>0.0</v>
      </c>
      <c r="AZ1284" s="328">
        <v>25.0</v>
      </c>
      <c r="BA1284" s="315">
        <v>0.0</v>
      </c>
      <c r="BB1284" s="316">
        <v>25.0</v>
      </c>
      <c r="BC1284" s="132" t="s">
        <v>178</v>
      </c>
      <c r="BD1284" s="143" t="s">
        <v>227</v>
      </c>
      <c r="BE1284" s="132" t="s">
        <v>178</v>
      </c>
      <c r="BF1284" s="123"/>
      <c r="BG1284" s="83">
        <v>1178615.0</v>
      </c>
      <c r="BH1284" s="112">
        <v>3.0</v>
      </c>
      <c r="BI1284" s="98" t="s">
        <v>155</v>
      </c>
      <c r="BJ1284" s="98" t="str">
        <f t="shared" si="1"/>
        <v>NÃO</v>
      </c>
      <c r="BK1284" s="98" t="str">
        <f t="shared" si="2"/>
        <v>NÃO</v>
      </c>
    </row>
    <row r="1285" ht="15.75" customHeight="1">
      <c r="A1285" s="111" t="s">
        <v>1535</v>
      </c>
      <c r="B1285" s="83" t="s">
        <v>6870</v>
      </c>
      <c r="C1285" s="83" t="s">
        <v>68</v>
      </c>
      <c r="D1285" s="83">
        <v>1116950.0</v>
      </c>
      <c r="E1285" s="83"/>
      <c r="F1285" s="83">
        <v>2.9271967E7</v>
      </c>
      <c r="G1285" s="187" t="s">
        <v>11446</v>
      </c>
      <c r="H1285" s="91" t="s">
        <v>11447</v>
      </c>
      <c r="I1285" s="187" t="s">
        <v>149</v>
      </c>
      <c r="J1285" s="83" t="s">
        <v>150</v>
      </c>
      <c r="K1285" s="83" t="s">
        <v>151</v>
      </c>
      <c r="L1285" s="83" t="s">
        <v>76</v>
      </c>
      <c r="M1285" s="82" t="s">
        <v>11448</v>
      </c>
      <c r="N1285" s="82" t="s">
        <v>11449</v>
      </c>
      <c r="O1285" s="82" t="s">
        <v>11450</v>
      </c>
      <c r="P1285" s="82" t="s">
        <v>11451</v>
      </c>
      <c r="Q1285" s="82"/>
      <c r="R1285" s="82"/>
      <c r="S1285" s="82" t="s">
        <v>11452</v>
      </c>
      <c r="T1285" s="138">
        <v>6.0</v>
      </c>
      <c r="U1285" s="323">
        <v>6.0</v>
      </c>
      <c r="V1285" s="106">
        <v>0.0</v>
      </c>
      <c r="W1285" s="107">
        <v>0.0</v>
      </c>
      <c r="X1285" s="107">
        <v>0.0</v>
      </c>
      <c r="Y1285" s="107">
        <v>0.0</v>
      </c>
      <c r="Z1285" s="80">
        <v>0.0</v>
      </c>
      <c r="AA1285" s="140">
        <v>0.0</v>
      </c>
      <c r="AB1285" s="109">
        <v>0.0</v>
      </c>
      <c r="AC1285" s="109">
        <v>0.0</v>
      </c>
      <c r="AD1285" s="141">
        <v>0.0</v>
      </c>
      <c r="AE1285" s="80">
        <v>0.0</v>
      </c>
      <c r="AF1285" s="140">
        <v>164.0</v>
      </c>
      <c r="AG1285" s="109">
        <v>86.0</v>
      </c>
      <c r="AH1285" s="109">
        <v>0.0</v>
      </c>
      <c r="AI1285" s="141">
        <v>68.0</v>
      </c>
      <c r="AJ1285" s="80">
        <v>318.0</v>
      </c>
      <c r="AK1285" s="140">
        <v>0.0</v>
      </c>
      <c r="AL1285" s="109">
        <v>0.0</v>
      </c>
      <c r="AM1285" s="141">
        <v>0.0</v>
      </c>
      <c r="AN1285" s="80">
        <v>0.0</v>
      </c>
      <c r="AO1285" s="140">
        <v>0.0</v>
      </c>
      <c r="AP1285" s="109">
        <v>0.0</v>
      </c>
      <c r="AQ1285" s="109">
        <v>70.0</v>
      </c>
      <c r="AR1285" s="80">
        <v>70.0</v>
      </c>
      <c r="AS1285" s="110">
        <v>0.0</v>
      </c>
      <c r="AT1285" s="110">
        <v>0.0</v>
      </c>
      <c r="AU1285" s="110">
        <v>0.0</v>
      </c>
      <c r="AV1285" s="142">
        <v>0.0</v>
      </c>
      <c r="AW1285" s="80">
        <v>0.0</v>
      </c>
      <c r="AX1285" s="113">
        <v>388.0</v>
      </c>
      <c r="AY1285" s="117">
        <v>318.0</v>
      </c>
      <c r="AZ1285" s="328">
        <v>70.0</v>
      </c>
      <c r="BA1285" s="315">
        <v>0.0</v>
      </c>
      <c r="BB1285" s="316">
        <v>388.0</v>
      </c>
      <c r="BC1285" s="132" t="s">
        <v>178</v>
      </c>
      <c r="BD1285" s="132" t="s">
        <v>178</v>
      </c>
      <c r="BE1285" s="132" t="s">
        <v>178</v>
      </c>
      <c r="BF1285" s="123"/>
      <c r="BG1285" s="83">
        <v>1116950.0</v>
      </c>
      <c r="BH1285" s="112">
        <v>6.0</v>
      </c>
      <c r="BI1285" s="98" t="s">
        <v>155</v>
      </c>
      <c r="BJ1285" s="98" t="str">
        <f t="shared" si="1"/>
        <v>INTEGRAL</v>
      </c>
      <c r="BK1285" s="98" t="str">
        <f t="shared" si="2"/>
        <v>NÃO</v>
      </c>
    </row>
    <row r="1286" ht="15.75" customHeight="1">
      <c r="A1286" s="111" t="s">
        <v>1535</v>
      </c>
      <c r="B1286" s="83" t="s">
        <v>6870</v>
      </c>
      <c r="C1286" s="83" t="s">
        <v>164</v>
      </c>
      <c r="D1286" s="83">
        <v>1179277.0</v>
      </c>
      <c r="E1286" s="83">
        <v>1178617.0</v>
      </c>
      <c r="F1286" s="83"/>
      <c r="G1286" s="114" t="s">
        <v>6879</v>
      </c>
      <c r="H1286" s="91" t="s">
        <v>6881</v>
      </c>
      <c r="I1286" s="187" t="s">
        <v>6882</v>
      </c>
      <c r="J1286" s="83" t="s">
        <v>467</v>
      </c>
      <c r="K1286" s="83" t="s">
        <v>168</v>
      </c>
      <c r="L1286" s="83" t="s">
        <v>169</v>
      </c>
      <c r="M1286" s="82" t="s">
        <v>11439</v>
      </c>
      <c r="N1286" s="82" t="s">
        <v>11440</v>
      </c>
      <c r="O1286" s="82" t="s">
        <v>11441</v>
      </c>
      <c r="P1286" s="82" t="s">
        <v>11442</v>
      </c>
      <c r="Q1286" s="82" t="s">
        <v>11443</v>
      </c>
      <c r="R1286" s="82" t="s">
        <v>11444</v>
      </c>
      <c r="S1286" s="82" t="s">
        <v>11445</v>
      </c>
      <c r="T1286" s="138">
        <v>3.0</v>
      </c>
      <c r="U1286" s="389">
        <v>3.0</v>
      </c>
      <c r="V1286" s="106">
        <v>0.0</v>
      </c>
      <c r="W1286" s="107">
        <v>0.0</v>
      </c>
      <c r="X1286" s="107">
        <v>0.0</v>
      </c>
      <c r="Y1286" s="107">
        <v>0.0</v>
      </c>
      <c r="Z1286" s="80">
        <v>0.0</v>
      </c>
      <c r="AA1286" s="140">
        <v>0.0</v>
      </c>
      <c r="AB1286" s="109">
        <v>0.0</v>
      </c>
      <c r="AC1286" s="109">
        <v>0.0</v>
      </c>
      <c r="AD1286" s="141">
        <v>0.0</v>
      </c>
      <c r="AE1286" s="80">
        <v>0.0</v>
      </c>
      <c r="AF1286" s="140">
        <v>0.0</v>
      </c>
      <c r="AG1286" s="109">
        <v>0.0</v>
      </c>
      <c r="AH1286" s="109">
        <v>32.0</v>
      </c>
      <c r="AI1286" s="141">
        <v>0.0</v>
      </c>
      <c r="AJ1286" s="80">
        <v>32.0</v>
      </c>
      <c r="AK1286" s="140">
        <v>0.0</v>
      </c>
      <c r="AL1286" s="109">
        <v>0.0</v>
      </c>
      <c r="AM1286" s="141">
        <v>0.0</v>
      </c>
      <c r="AN1286" s="80">
        <v>0.0</v>
      </c>
      <c r="AO1286" s="140">
        <v>0.0</v>
      </c>
      <c r="AP1286" s="109">
        <v>0.0</v>
      </c>
      <c r="AQ1286" s="109">
        <v>0.0</v>
      </c>
      <c r="AR1286" s="80">
        <v>0.0</v>
      </c>
      <c r="AS1286" s="110">
        <v>0.0</v>
      </c>
      <c r="AT1286" s="110">
        <v>0.0</v>
      </c>
      <c r="AU1286" s="110">
        <v>0.0</v>
      </c>
      <c r="AV1286" s="142">
        <v>0.0</v>
      </c>
      <c r="AW1286" s="80">
        <v>0.0</v>
      </c>
      <c r="AX1286" s="113">
        <v>32.0</v>
      </c>
      <c r="AY1286" s="117">
        <v>0.0</v>
      </c>
      <c r="AZ1286" s="328">
        <v>32.0</v>
      </c>
      <c r="BA1286" s="315">
        <v>0.0</v>
      </c>
      <c r="BB1286" s="316">
        <v>32.0</v>
      </c>
      <c r="BC1286" s="132" t="s">
        <v>178</v>
      </c>
      <c r="BD1286" s="143" t="s">
        <v>227</v>
      </c>
      <c r="BE1286" s="132" t="s">
        <v>178</v>
      </c>
      <c r="BF1286" s="123"/>
      <c r="BG1286" s="83">
        <v>1178617.0</v>
      </c>
      <c r="BH1286" s="112">
        <v>3.0</v>
      </c>
      <c r="BI1286" s="98" t="s">
        <v>155</v>
      </c>
      <c r="BJ1286" s="98" t="str">
        <f t="shared" si="1"/>
        <v>NÃO</v>
      </c>
      <c r="BK1286" s="98" t="str">
        <f t="shared" si="2"/>
        <v>NÃO</v>
      </c>
    </row>
    <row r="1287" ht="15.75" customHeight="1">
      <c r="A1287" s="111" t="s">
        <v>1535</v>
      </c>
      <c r="B1287" s="83" t="s">
        <v>6870</v>
      </c>
      <c r="C1287" s="83" t="s">
        <v>164</v>
      </c>
      <c r="D1287" s="83">
        <v>1179277.0</v>
      </c>
      <c r="E1287" s="83">
        <v>1178618.0</v>
      </c>
      <c r="F1287" s="83"/>
      <c r="G1287" s="114" t="s">
        <v>6883</v>
      </c>
      <c r="H1287" s="91" t="s">
        <v>6884</v>
      </c>
      <c r="I1287" s="187" t="s">
        <v>149</v>
      </c>
      <c r="J1287" s="83" t="s">
        <v>1502</v>
      </c>
      <c r="K1287" s="83" t="s">
        <v>168</v>
      </c>
      <c r="L1287" s="83" t="s">
        <v>169</v>
      </c>
      <c r="M1287" s="82" t="s">
        <v>11439</v>
      </c>
      <c r="N1287" s="82" t="s">
        <v>11440</v>
      </c>
      <c r="O1287" s="82" t="s">
        <v>11441</v>
      </c>
      <c r="P1287" s="82" t="s">
        <v>11442</v>
      </c>
      <c r="Q1287" s="82" t="s">
        <v>11443</v>
      </c>
      <c r="R1287" s="82" t="s">
        <v>11444</v>
      </c>
      <c r="S1287" s="82" t="s">
        <v>11445</v>
      </c>
      <c r="T1287" s="138">
        <v>4.0</v>
      </c>
      <c r="U1287" s="341">
        <v>4.0</v>
      </c>
      <c r="V1287" s="106">
        <v>0.0</v>
      </c>
      <c r="W1287" s="107">
        <v>0.0</v>
      </c>
      <c r="X1287" s="107">
        <v>0.0</v>
      </c>
      <c r="Y1287" s="107">
        <v>0.0</v>
      </c>
      <c r="Z1287" s="80">
        <v>0.0</v>
      </c>
      <c r="AA1287" s="140">
        <v>0.0</v>
      </c>
      <c r="AB1287" s="109">
        <v>0.0</v>
      </c>
      <c r="AC1287" s="109">
        <v>0.0</v>
      </c>
      <c r="AD1287" s="141">
        <v>0.0</v>
      </c>
      <c r="AE1287" s="80">
        <v>0.0</v>
      </c>
      <c r="AF1287" s="140">
        <v>0.0</v>
      </c>
      <c r="AG1287" s="109">
        <v>0.0</v>
      </c>
      <c r="AH1287" s="109">
        <v>72.0</v>
      </c>
      <c r="AI1287" s="141">
        <v>0.0</v>
      </c>
      <c r="AJ1287" s="80">
        <v>72.0</v>
      </c>
      <c r="AK1287" s="140">
        <v>0.0</v>
      </c>
      <c r="AL1287" s="109">
        <v>0.0</v>
      </c>
      <c r="AM1287" s="141">
        <v>0.0</v>
      </c>
      <c r="AN1287" s="80">
        <v>0.0</v>
      </c>
      <c r="AO1287" s="140">
        <v>0.0</v>
      </c>
      <c r="AP1287" s="109">
        <v>0.0</v>
      </c>
      <c r="AQ1287" s="109">
        <v>0.0</v>
      </c>
      <c r="AR1287" s="80">
        <v>0.0</v>
      </c>
      <c r="AS1287" s="110">
        <v>0.0</v>
      </c>
      <c r="AT1287" s="110">
        <v>0.0</v>
      </c>
      <c r="AU1287" s="110">
        <v>0.0</v>
      </c>
      <c r="AV1287" s="142">
        <v>0.0</v>
      </c>
      <c r="AW1287" s="80">
        <v>0.0</v>
      </c>
      <c r="AX1287" s="113">
        <v>72.0</v>
      </c>
      <c r="AY1287" s="117">
        <v>0.0</v>
      </c>
      <c r="AZ1287" s="328">
        <v>72.0</v>
      </c>
      <c r="BA1287" s="315">
        <v>0.0</v>
      </c>
      <c r="BB1287" s="316">
        <v>72.0</v>
      </c>
      <c r="BC1287" s="132" t="s">
        <v>178</v>
      </c>
      <c r="BD1287" s="143" t="s">
        <v>227</v>
      </c>
      <c r="BE1287" s="132" t="s">
        <v>178</v>
      </c>
      <c r="BF1287" s="123"/>
      <c r="BG1287" s="83">
        <v>1178618.0</v>
      </c>
      <c r="BH1287" s="112">
        <v>4.0</v>
      </c>
      <c r="BI1287" s="98" t="s">
        <v>155</v>
      </c>
      <c r="BJ1287" s="98" t="str">
        <f t="shared" si="1"/>
        <v>NÃO</v>
      </c>
      <c r="BK1287" s="98" t="str">
        <f t="shared" si="2"/>
        <v>NÃO</v>
      </c>
    </row>
    <row r="1288" ht="15.75" customHeight="1">
      <c r="A1288" s="111" t="s">
        <v>1535</v>
      </c>
      <c r="B1288" s="83" t="s">
        <v>6892</v>
      </c>
      <c r="C1288" s="83" t="s">
        <v>68</v>
      </c>
      <c r="D1288" s="83">
        <v>1158882.0</v>
      </c>
      <c r="E1288" s="83"/>
      <c r="F1288" s="83">
        <v>2.9299268E7</v>
      </c>
      <c r="G1288" s="114" t="s">
        <v>6893</v>
      </c>
      <c r="H1288" s="91" t="s">
        <v>6894</v>
      </c>
      <c r="I1288" s="114" t="s">
        <v>149</v>
      </c>
      <c r="J1288" s="83" t="s">
        <v>150</v>
      </c>
      <c r="K1288" s="83" t="s">
        <v>151</v>
      </c>
      <c r="L1288" s="83" t="s">
        <v>76</v>
      </c>
      <c r="M1288" s="82" t="s">
        <v>11453</v>
      </c>
      <c r="N1288" s="82" t="s">
        <v>11454</v>
      </c>
      <c r="O1288" s="82" t="s">
        <v>11455</v>
      </c>
      <c r="P1288" s="82" t="s">
        <v>11456</v>
      </c>
      <c r="Q1288" s="82"/>
      <c r="R1288" s="82"/>
      <c r="S1288" s="82" t="s">
        <v>11457</v>
      </c>
      <c r="T1288" s="138">
        <v>6.0</v>
      </c>
      <c r="U1288" s="341">
        <v>6.0</v>
      </c>
      <c r="V1288" s="106">
        <v>0.0</v>
      </c>
      <c r="W1288" s="107">
        <v>0.0</v>
      </c>
      <c r="X1288" s="107">
        <v>0.0</v>
      </c>
      <c r="Y1288" s="107">
        <v>0.0</v>
      </c>
      <c r="Z1288" s="80">
        <v>0.0</v>
      </c>
      <c r="AA1288" s="140">
        <v>0.0</v>
      </c>
      <c r="AB1288" s="109">
        <v>0.0</v>
      </c>
      <c r="AC1288" s="109">
        <v>0.0</v>
      </c>
      <c r="AD1288" s="141">
        <v>0.0</v>
      </c>
      <c r="AE1288" s="80">
        <v>0.0</v>
      </c>
      <c r="AF1288" s="140">
        <v>0.0</v>
      </c>
      <c r="AG1288" s="109">
        <v>0.0</v>
      </c>
      <c r="AH1288" s="109">
        <v>23.0</v>
      </c>
      <c r="AI1288" s="141">
        <v>106.0</v>
      </c>
      <c r="AJ1288" s="80">
        <v>129.0</v>
      </c>
      <c r="AK1288" s="140">
        <v>0.0</v>
      </c>
      <c r="AL1288" s="109">
        <v>0.0</v>
      </c>
      <c r="AM1288" s="141">
        <v>0.0</v>
      </c>
      <c r="AN1288" s="80">
        <v>0.0</v>
      </c>
      <c r="AO1288" s="140">
        <v>0.0</v>
      </c>
      <c r="AP1288" s="109">
        <v>0.0</v>
      </c>
      <c r="AQ1288" s="109">
        <v>73.0</v>
      </c>
      <c r="AR1288" s="80">
        <v>73.0</v>
      </c>
      <c r="AS1288" s="110">
        <v>0.0</v>
      </c>
      <c r="AT1288" s="110">
        <v>0.0</v>
      </c>
      <c r="AU1288" s="110">
        <v>0.0</v>
      </c>
      <c r="AV1288" s="142">
        <v>0.0</v>
      </c>
      <c r="AW1288" s="80">
        <v>0.0</v>
      </c>
      <c r="AX1288" s="113">
        <v>202.0</v>
      </c>
      <c r="AY1288" s="117">
        <v>106.0</v>
      </c>
      <c r="AZ1288" s="328">
        <v>96.0</v>
      </c>
      <c r="BA1288" s="315">
        <v>1.0</v>
      </c>
      <c r="BB1288" s="316">
        <v>203.0</v>
      </c>
      <c r="BC1288" s="132" t="s">
        <v>178</v>
      </c>
      <c r="BD1288" s="132" t="s">
        <v>178</v>
      </c>
      <c r="BE1288" s="132" t="s">
        <v>178</v>
      </c>
      <c r="BF1288" s="123"/>
      <c r="BG1288" s="83">
        <v>1158882.0</v>
      </c>
      <c r="BH1288" s="112">
        <v>6.0</v>
      </c>
      <c r="BI1288" s="98" t="s">
        <v>155</v>
      </c>
      <c r="BJ1288" s="98" t="str">
        <f t="shared" si="1"/>
        <v>INTEGRAL</v>
      </c>
      <c r="BK1288" s="98" t="str">
        <f t="shared" si="2"/>
        <v>NÃO</v>
      </c>
    </row>
    <row r="1289" ht="15.75" customHeight="1">
      <c r="A1289" s="111" t="s">
        <v>1535</v>
      </c>
      <c r="B1289" s="83" t="s">
        <v>6892</v>
      </c>
      <c r="C1289" s="83" t="s">
        <v>164</v>
      </c>
      <c r="D1289" s="83">
        <v>1158882.0</v>
      </c>
      <c r="E1289" s="83">
        <v>1178502.0</v>
      </c>
      <c r="F1289" s="83"/>
      <c r="G1289" s="114" t="s">
        <v>6898</v>
      </c>
      <c r="H1289" s="91" t="s">
        <v>6899</v>
      </c>
      <c r="I1289" s="187" t="s">
        <v>6900</v>
      </c>
      <c r="J1289" s="83" t="s">
        <v>240</v>
      </c>
      <c r="K1289" s="83" t="s">
        <v>168</v>
      </c>
      <c r="L1289" s="83" t="s">
        <v>169</v>
      </c>
      <c r="M1289" s="82" t="s">
        <v>11453</v>
      </c>
      <c r="N1289" s="82" t="s">
        <v>11454</v>
      </c>
      <c r="O1289" s="82" t="s">
        <v>11455</v>
      </c>
      <c r="P1289" s="82" t="s">
        <v>11456</v>
      </c>
      <c r="Q1289" s="82"/>
      <c r="R1289" s="82"/>
      <c r="S1289" s="82" t="s">
        <v>11457</v>
      </c>
      <c r="T1289" s="138">
        <v>3.0</v>
      </c>
      <c r="U1289" s="341">
        <v>3.0</v>
      </c>
      <c r="V1289" s="106">
        <v>0.0</v>
      </c>
      <c r="W1289" s="107">
        <v>0.0</v>
      </c>
      <c r="X1289" s="107">
        <v>0.0</v>
      </c>
      <c r="Y1289" s="107">
        <v>0.0</v>
      </c>
      <c r="Z1289" s="80">
        <v>0.0</v>
      </c>
      <c r="AA1289" s="140">
        <v>0.0</v>
      </c>
      <c r="AB1289" s="109">
        <v>0.0</v>
      </c>
      <c r="AC1289" s="109">
        <v>0.0</v>
      </c>
      <c r="AD1289" s="141">
        <v>0.0</v>
      </c>
      <c r="AE1289" s="80">
        <v>0.0</v>
      </c>
      <c r="AF1289" s="140">
        <v>0.0</v>
      </c>
      <c r="AG1289" s="109">
        <v>0.0</v>
      </c>
      <c r="AH1289" s="109">
        <v>10.0</v>
      </c>
      <c r="AI1289" s="141">
        <v>0.0</v>
      </c>
      <c r="AJ1289" s="80">
        <v>10.0</v>
      </c>
      <c r="AK1289" s="140">
        <v>0.0</v>
      </c>
      <c r="AL1289" s="109">
        <v>0.0</v>
      </c>
      <c r="AM1289" s="141">
        <v>0.0</v>
      </c>
      <c r="AN1289" s="80">
        <v>0.0</v>
      </c>
      <c r="AO1289" s="140">
        <v>0.0</v>
      </c>
      <c r="AP1289" s="109">
        <v>0.0</v>
      </c>
      <c r="AQ1289" s="109">
        <v>22.0</v>
      </c>
      <c r="AR1289" s="80">
        <v>22.0</v>
      </c>
      <c r="AS1289" s="110">
        <v>0.0</v>
      </c>
      <c r="AT1289" s="110">
        <v>0.0</v>
      </c>
      <c r="AU1289" s="110">
        <v>0.0</v>
      </c>
      <c r="AV1289" s="142">
        <v>0.0</v>
      </c>
      <c r="AW1289" s="80">
        <v>0.0</v>
      </c>
      <c r="AX1289" s="113">
        <v>32.0</v>
      </c>
      <c r="AY1289" s="117">
        <v>0.0</v>
      </c>
      <c r="AZ1289" s="328">
        <v>32.0</v>
      </c>
      <c r="BA1289" s="315">
        <v>0.0</v>
      </c>
      <c r="BB1289" s="316">
        <v>32.0</v>
      </c>
      <c r="BC1289" s="132" t="s">
        <v>373</v>
      </c>
      <c r="BD1289" s="132" t="s">
        <v>178</v>
      </c>
      <c r="BE1289" s="132" t="s">
        <v>178</v>
      </c>
      <c r="BF1289" s="123"/>
      <c r="BG1289" s="83">
        <v>1178502.0</v>
      </c>
      <c r="BH1289" s="112">
        <v>3.0</v>
      </c>
      <c r="BI1289" s="98" t="s">
        <v>155</v>
      </c>
      <c r="BJ1289" s="98" t="str">
        <f t="shared" si="1"/>
        <v>NÃO</v>
      </c>
      <c r="BK1289" s="98" t="str">
        <f t="shared" si="2"/>
        <v>NÃO</v>
      </c>
    </row>
    <row r="1290" ht="15.75" customHeight="1">
      <c r="A1290" s="111" t="s">
        <v>1535</v>
      </c>
      <c r="B1290" s="83" t="s">
        <v>6892</v>
      </c>
      <c r="C1290" s="83" t="s">
        <v>164</v>
      </c>
      <c r="D1290" s="83">
        <v>1179277.0</v>
      </c>
      <c r="E1290" s="83">
        <v>1178503.0</v>
      </c>
      <c r="F1290" s="83"/>
      <c r="G1290" s="114" t="s">
        <v>6903</v>
      </c>
      <c r="H1290" s="91" t="s">
        <v>6905</v>
      </c>
      <c r="I1290" s="187" t="s">
        <v>6906</v>
      </c>
      <c r="J1290" s="83" t="s">
        <v>6907</v>
      </c>
      <c r="K1290" s="83" t="s">
        <v>168</v>
      </c>
      <c r="L1290" s="83" t="s">
        <v>169</v>
      </c>
      <c r="M1290" s="82" t="s">
        <v>11439</v>
      </c>
      <c r="N1290" s="82" t="s">
        <v>11440</v>
      </c>
      <c r="O1290" s="82" t="s">
        <v>11441</v>
      </c>
      <c r="P1290" s="82" t="s">
        <v>11442</v>
      </c>
      <c r="Q1290" s="82" t="s">
        <v>11443</v>
      </c>
      <c r="R1290" s="82" t="s">
        <v>11444</v>
      </c>
      <c r="S1290" s="82" t="s">
        <v>11445</v>
      </c>
      <c r="T1290" s="138">
        <v>3.0</v>
      </c>
      <c r="U1290" s="341">
        <v>3.0</v>
      </c>
      <c r="V1290" s="106">
        <v>0.0</v>
      </c>
      <c r="W1290" s="107">
        <v>0.0</v>
      </c>
      <c r="X1290" s="107">
        <v>0.0</v>
      </c>
      <c r="Y1290" s="107">
        <v>0.0</v>
      </c>
      <c r="Z1290" s="80">
        <v>0.0</v>
      </c>
      <c r="AA1290" s="140">
        <v>0.0</v>
      </c>
      <c r="AB1290" s="109">
        <v>0.0</v>
      </c>
      <c r="AC1290" s="109">
        <v>0.0</v>
      </c>
      <c r="AD1290" s="141">
        <v>0.0</v>
      </c>
      <c r="AE1290" s="80">
        <v>0.0</v>
      </c>
      <c r="AF1290" s="140">
        <v>0.0</v>
      </c>
      <c r="AG1290" s="109">
        <v>0.0</v>
      </c>
      <c r="AH1290" s="109">
        <v>6.0</v>
      </c>
      <c r="AI1290" s="141">
        <v>0.0</v>
      </c>
      <c r="AJ1290" s="80">
        <v>6.0</v>
      </c>
      <c r="AK1290" s="140">
        <v>0.0</v>
      </c>
      <c r="AL1290" s="109">
        <v>0.0</v>
      </c>
      <c r="AM1290" s="141">
        <v>0.0</v>
      </c>
      <c r="AN1290" s="80">
        <v>0.0</v>
      </c>
      <c r="AO1290" s="140">
        <v>0.0</v>
      </c>
      <c r="AP1290" s="109">
        <v>0.0</v>
      </c>
      <c r="AQ1290" s="109">
        <v>0.0</v>
      </c>
      <c r="AR1290" s="80">
        <v>0.0</v>
      </c>
      <c r="AS1290" s="110">
        <v>0.0</v>
      </c>
      <c r="AT1290" s="110">
        <v>0.0</v>
      </c>
      <c r="AU1290" s="110">
        <v>0.0</v>
      </c>
      <c r="AV1290" s="142">
        <v>0.0</v>
      </c>
      <c r="AW1290" s="80">
        <v>0.0</v>
      </c>
      <c r="AX1290" s="113">
        <v>6.0</v>
      </c>
      <c r="AY1290" s="117">
        <v>0.0</v>
      </c>
      <c r="AZ1290" s="328">
        <v>6.0</v>
      </c>
      <c r="BA1290" s="315">
        <v>0.0</v>
      </c>
      <c r="BB1290" s="316">
        <v>6.0</v>
      </c>
      <c r="BC1290" s="132" t="s">
        <v>178</v>
      </c>
      <c r="BD1290" s="143" t="s">
        <v>227</v>
      </c>
      <c r="BE1290" s="132" t="s">
        <v>178</v>
      </c>
      <c r="BF1290" s="123"/>
      <c r="BG1290" s="83">
        <v>1178503.0</v>
      </c>
      <c r="BH1290" s="112">
        <v>3.0</v>
      </c>
      <c r="BI1290" s="98" t="s">
        <v>155</v>
      </c>
      <c r="BJ1290" s="98" t="str">
        <f t="shared" si="1"/>
        <v>NÃO</v>
      </c>
      <c r="BK1290" s="98" t="str">
        <f t="shared" si="2"/>
        <v>NÃO</v>
      </c>
    </row>
    <row r="1291" ht="15.75" customHeight="1">
      <c r="A1291" s="111" t="s">
        <v>1535</v>
      </c>
      <c r="B1291" s="83" t="s">
        <v>6910</v>
      </c>
      <c r="C1291" s="83" t="s">
        <v>68</v>
      </c>
      <c r="D1291" s="83">
        <v>1178097.0</v>
      </c>
      <c r="E1291" s="83"/>
      <c r="F1291" s="83">
        <v>2.9429781E7</v>
      </c>
      <c r="G1291" s="114" t="s">
        <v>6911</v>
      </c>
      <c r="H1291" s="91" t="s">
        <v>6912</v>
      </c>
      <c r="I1291" s="187" t="s">
        <v>6913</v>
      </c>
      <c r="J1291" s="83" t="s">
        <v>1347</v>
      </c>
      <c r="K1291" s="83" t="s">
        <v>151</v>
      </c>
      <c r="L1291" s="83" t="s">
        <v>169</v>
      </c>
      <c r="M1291" s="82" t="s">
        <v>11458</v>
      </c>
      <c r="N1291" s="82" t="s">
        <v>11459</v>
      </c>
      <c r="O1291" s="82"/>
      <c r="P1291" s="82"/>
      <c r="Q1291" s="82"/>
      <c r="R1291" s="82"/>
      <c r="S1291" s="82" t="s">
        <v>11460</v>
      </c>
      <c r="T1291" s="138">
        <v>4.0</v>
      </c>
      <c r="U1291" s="341">
        <v>5.0</v>
      </c>
      <c r="V1291" s="106">
        <v>0.0</v>
      </c>
      <c r="W1291" s="107">
        <v>0.0</v>
      </c>
      <c r="X1291" s="107">
        <v>0.0</v>
      </c>
      <c r="Y1291" s="107">
        <v>0.0</v>
      </c>
      <c r="Z1291" s="80">
        <v>0.0</v>
      </c>
      <c r="AA1291" s="140">
        <v>0.0</v>
      </c>
      <c r="AB1291" s="109">
        <v>0.0</v>
      </c>
      <c r="AC1291" s="109">
        <v>0.0</v>
      </c>
      <c r="AD1291" s="141">
        <v>0.0</v>
      </c>
      <c r="AE1291" s="80">
        <v>0.0</v>
      </c>
      <c r="AF1291" s="140">
        <v>0.0</v>
      </c>
      <c r="AG1291" s="109">
        <v>47.0</v>
      </c>
      <c r="AH1291" s="109">
        <v>0.0</v>
      </c>
      <c r="AI1291" s="141">
        <v>26.0</v>
      </c>
      <c r="AJ1291" s="80">
        <v>73.0</v>
      </c>
      <c r="AK1291" s="140">
        <v>0.0</v>
      </c>
      <c r="AL1291" s="109">
        <v>0.0</v>
      </c>
      <c r="AM1291" s="141">
        <v>0.0</v>
      </c>
      <c r="AN1291" s="80">
        <v>0.0</v>
      </c>
      <c r="AO1291" s="140">
        <v>0.0</v>
      </c>
      <c r="AP1291" s="109">
        <v>0.0</v>
      </c>
      <c r="AQ1291" s="109">
        <v>23.0</v>
      </c>
      <c r="AR1291" s="80">
        <v>23.0</v>
      </c>
      <c r="AS1291" s="110">
        <v>0.0</v>
      </c>
      <c r="AT1291" s="110">
        <v>0.0</v>
      </c>
      <c r="AU1291" s="110">
        <v>0.0</v>
      </c>
      <c r="AV1291" s="142">
        <v>0.0</v>
      </c>
      <c r="AW1291" s="80">
        <v>0.0</v>
      </c>
      <c r="AX1291" s="113">
        <v>96.0</v>
      </c>
      <c r="AY1291" s="117">
        <v>73.0</v>
      </c>
      <c r="AZ1291" s="328">
        <v>23.0</v>
      </c>
      <c r="BA1291" s="315">
        <v>0.0</v>
      </c>
      <c r="BB1291" s="316">
        <v>96.0</v>
      </c>
      <c r="BC1291" s="132" t="s">
        <v>373</v>
      </c>
      <c r="BD1291" s="132" t="s">
        <v>178</v>
      </c>
      <c r="BE1291" s="132" t="s">
        <v>178</v>
      </c>
      <c r="BF1291" s="123"/>
      <c r="BG1291" s="83">
        <v>1178097.0</v>
      </c>
      <c r="BH1291" s="112">
        <v>5.0</v>
      </c>
      <c r="BI1291" s="98" t="s">
        <v>155</v>
      </c>
      <c r="BJ1291" s="98" t="str">
        <f t="shared" si="1"/>
        <v>INTEGRAL</v>
      </c>
      <c r="BK1291" s="98" t="str">
        <f t="shared" si="2"/>
        <v>NÃO</v>
      </c>
    </row>
    <row r="1292" ht="15.75" customHeight="1">
      <c r="A1292" s="111" t="s">
        <v>1535</v>
      </c>
      <c r="B1292" s="172" t="s">
        <v>6910</v>
      </c>
      <c r="C1292" s="83" t="s">
        <v>68</v>
      </c>
      <c r="D1292" s="83">
        <v>1117108.0</v>
      </c>
      <c r="E1292" s="83"/>
      <c r="F1292" s="83">
        <v>2.9300762E7</v>
      </c>
      <c r="G1292" s="114" t="s">
        <v>6934</v>
      </c>
      <c r="H1292" s="91" t="s">
        <v>6935</v>
      </c>
      <c r="I1292" s="187" t="s">
        <v>149</v>
      </c>
      <c r="J1292" s="83" t="s">
        <v>150</v>
      </c>
      <c r="K1292" s="83" t="s">
        <v>151</v>
      </c>
      <c r="L1292" s="83" t="s">
        <v>230</v>
      </c>
      <c r="M1292" s="82" t="s">
        <v>11461</v>
      </c>
      <c r="N1292" s="82" t="s">
        <v>11462</v>
      </c>
      <c r="O1292" s="82" t="s">
        <v>11463</v>
      </c>
      <c r="P1292" s="82" t="s">
        <v>11464</v>
      </c>
      <c r="Q1292" s="82" t="s">
        <v>11465</v>
      </c>
      <c r="R1292" s="82" t="s">
        <v>11466</v>
      </c>
      <c r="S1292" s="82" t="s">
        <v>11467</v>
      </c>
      <c r="T1292" s="138">
        <v>11.0</v>
      </c>
      <c r="U1292" s="341">
        <v>12.0</v>
      </c>
      <c r="V1292" s="106">
        <v>0.0</v>
      </c>
      <c r="W1292" s="107">
        <v>0.0</v>
      </c>
      <c r="X1292" s="107">
        <v>0.0</v>
      </c>
      <c r="Y1292" s="107">
        <v>0.0</v>
      </c>
      <c r="Z1292" s="80">
        <v>0.0</v>
      </c>
      <c r="AA1292" s="140">
        <v>0.0</v>
      </c>
      <c r="AB1292" s="109">
        <v>0.0</v>
      </c>
      <c r="AC1292" s="109">
        <v>0.0</v>
      </c>
      <c r="AD1292" s="141">
        <v>0.0</v>
      </c>
      <c r="AE1292" s="80">
        <v>0.0</v>
      </c>
      <c r="AF1292" s="140">
        <v>0.0</v>
      </c>
      <c r="AG1292" s="109">
        <v>0.0</v>
      </c>
      <c r="AH1292" s="109">
        <v>25.0</v>
      </c>
      <c r="AI1292" s="141">
        <v>415.0</v>
      </c>
      <c r="AJ1292" s="80">
        <v>440.0</v>
      </c>
      <c r="AK1292" s="140">
        <v>0.0</v>
      </c>
      <c r="AL1292" s="109">
        <v>0.0</v>
      </c>
      <c r="AM1292" s="141">
        <v>0.0</v>
      </c>
      <c r="AN1292" s="80">
        <v>0.0</v>
      </c>
      <c r="AO1292" s="140">
        <v>0.0</v>
      </c>
      <c r="AP1292" s="109">
        <v>0.0</v>
      </c>
      <c r="AQ1292" s="109">
        <v>94.0</v>
      </c>
      <c r="AR1292" s="80">
        <v>94.0</v>
      </c>
      <c r="AS1292" s="110">
        <v>0.0</v>
      </c>
      <c r="AT1292" s="110">
        <v>0.0</v>
      </c>
      <c r="AU1292" s="110">
        <v>0.0</v>
      </c>
      <c r="AV1292" s="142">
        <v>0.0</v>
      </c>
      <c r="AW1292" s="80">
        <v>0.0</v>
      </c>
      <c r="AX1292" s="113">
        <v>534.0</v>
      </c>
      <c r="AY1292" s="117">
        <v>415.0</v>
      </c>
      <c r="AZ1292" s="328">
        <v>119.0</v>
      </c>
      <c r="BA1292" s="315">
        <v>3.0</v>
      </c>
      <c r="BB1292" s="316">
        <v>537.0</v>
      </c>
      <c r="BC1292" s="132" t="s">
        <v>178</v>
      </c>
      <c r="BD1292" s="132" t="s">
        <v>178</v>
      </c>
      <c r="BE1292" s="132" t="s">
        <v>178</v>
      </c>
      <c r="BF1292" s="156"/>
      <c r="BG1292" s="83">
        <v>1117108.0</v>
      </c>
      <c r="BH1292" s="112">
        <v>12.0</v>
      </c>
      <c r="BI1292" s="98" t="s">
        <v>155</v>
      </c>
      <c r="BJ1292" s="98" t="str">
        <f t="shared" si="1"/>
        <v>INTEGRAL</v>
      </c>
      <c r="BK1292" s="98" t="str">
        <f t="shared" si="2"/>
        <v>NÃO</v>
      </c>
    </row>
    <row r="1293" ht="15.75" customHeight="1">
      <c r="A1293" s="111" t="s">
        <v>1535</v>
      </c>
      <c r="B1293" s="172" t="s">
        <v>6943</v>
      </c>
      <c r="C1293" s="83" t="s">
        <v>68</v>
      </c>
      <c r="D1293" s="83">
        <v>1176433.0</v>
      </c>
      <c r="E1293" s="83"/>
      <c r="F1293" s="83">
        <v>2.9390532E7</v>
      </c>
      <c r="G1293" s="114" t="s">
        <v>11468</v>
      </c>
      <c r="H1293" s="91" t="s">
        <v>6945</v>
      </c>
      <c r="I1293" s="187" t="s">
        <v>6946</v>
      </c>
      <c r="J1293" s="83" t="s">
        <v>150</v>
      </c>
      <c r="K1293" s="83" t="s">
        <v>151</v>
      </c>
      <c r="L1293" s="83" t="s">
        <v>230</v>
      </c>
      <c r="M1293" s="82" t="s">
        <v>11469</v>
      </c>
      <c r="N1293" s="82" t="s">
        <v>11470</v>
      </c>
      <c r="O1293" s="82" t="s">
        <v>11471</v>
      </c>
      <c r="P1293" s="82" t="s">
        <v>11472</v>
      </c>
      <c r="Q1293" s="82" t="s">
        <v>11473</v>
      </c>
      <c r="R1293" s="82" t="s">
        <v>11474</v>
      </c>
      <c r="S1293" s="82" t="s">
        <v>11475</v>
      </c>
      <c r="T1293" s="138">
        <v>20.0</v>
      </c>
      <c r="U1293" s="352" t="s">
        <v>11476</v>
      </c>
      <c r="V1293" s="106">
        <v>0.0</v>
      </c>
      <c r="W1293" s="107">
        <v>0.0</v>
      </c>
      <c r="X1293" s="107">
        <v>0.0</v>
      </c>
      <c r="Y1293" s="107">
        <v>0.0</v>
      </c>
      <c r="Z1293" s="80">
        <v>0.0</v>
      </c>
      <c r="AA1293" s="140">
        <v>0.0</v>
      </c>
      <c r="AB1293" s="109">
        <v>0.0</v>
      </c>
      <c r="AC1293" s="109">
        <v>0.0</v>
      </c>
      <c r="AD1293" s="141">
        <v>0.0</v>
      </c>
      <c r="AE1293" s="80">
        <v>0.0</v>
      </c>
      <c r="AF1293" s="140">
        <v>0.0</v>
      </c>
      <c r="AG1293" s="109">
        <v>0.0</v>
      </c>
      <c r="AH1293" s="109">
        <v>0.0</v>
      </c>
      <c r="AI1293" s="141">
        <v>297.0</v>
      </c>
      <c r="AJ1293" s="80">
        <v>297.0</v>
      </c>
      <c r="AK1293" s="140">
        <v>0.0</v>
      </c>
      <c r="AL1293" s="109">
        <v>0.0</v>
      </c>
      <c r="AM1293" s="141">
        <v>0.0</v>
      </c>
      <c r="AN1293" s="80">
        <v>0.0</v>
      </c>
      <c r="AO1293" s="140">
        <v>0.0</v>
      </c>
      <c r="AP1293" s="109">
        <v>0.0</v>
      </c>
      <c r="AQ1293" s="109">
        <v>0.0</v>
      </c>
      <c r="AR1293" s="80">
        <v>0.0</v>
      </c>
      <c r="AS1293" s="110">
        <v>0.0</v>
      </c>
      <c r="AT1293" s="110">
        <v>0.0</v>
      </c>
      <c r="AU1293" s="110">
        <v>173.0</v>
      </c>
      <c r="AV1293" s="142">
        <v>251.0</v>
      </c>
      <c r="AW1293" s="80">
        <v>424.0</v>
      </c>
      <c r="AX1293" s="113">
        <v>721.0</v>
      </c>
      <c r="AY1293" s="117">
        <v>548.0</v>
      </c>
      <c r="AZ1293" s="328">
        <v>173.0</v>
      </c>
      <c r="BA1293" s="315">
        <v>0.0</v>
      </c>
      <c r="BB1293" s="316">
        <v>721.0</v>
      </c>
      <c r="BC1293" s="132" t="s">
        <v>178</v>
      </c>
      <c r="BD1293" s="132" t="s">
        <v>178</v>
      </c>
      <c r="BE1293" s="132" t="s">
        <v>178</v>
      </c>
      <c r="BF1293" s="123"/>
      <c r="BG1293" s="83">
        <v>1176433.0</v>
      </c>
      <c r="BH1293" s="112">
        <v>18.0</v>
      </c>
      <c r="BI1293" s="98" t="s">
        <v>155</v>
      </c>
      <c r="BJ1293" s="98" t="str">
        <f t="shared" si="1"/>
        <v>INTEGRAL</v>
      </c>
      <c r="BK1293" s="98" t="str">
        <f t="shared" si="2"/>
        <v>PROFISSIONAL</v>
      </c>
    </row>
    <row r="1294" ht="15.75" customHeight="1">
      <c r="A1294" s="111" t="s">
        <v>1535</v>
      </c>
      <c r="B1294" s="172" t="s">
        <v>6943</v>
      </c>
      <c r="C1294" s="83" t="s">
        <v>68</v>
      </c>
      <c r="D1294" s="83">
        <v>1117035.0</v>
      </c>
      <c r="E1294" s="83"/>
      <c r="F1294" s="83">
        <v>2.9303354E7</v>
      </c>
      <c r="G1294" s="119" t="s">
        <v>6953</v>
      </c>
      <c r="H1294" s="91" t="s">
        <v>6954</v>
      </c>
      <c r="I1294" s="187" t="s">
        <v>6955</v>
      </c>
      <c r="J1294" s="83" t="s">
        <v>150</v>
      </c>
      <c r="K1294" s="83" t="s">
        <v>151</v>
      </c>
      <c r="L1294" s="83" t="s">
        <v>152</v>
      </c>
      <c r="M1294" s="82" t="s">
        <v>11477</v>
      </c>
      <c r="N1294" s="82" t="s">
        <v>11478</v>
      </c>
      <c r="O1294" s="82" t="s">
        <v>11479</v>
      </c>
      <c r="P1294" s="82" t="s">
        <v>11480</v>
      </c>
      <c r="Q1294" s="82" t="s">
        <v>11481</v>
      </c>
      <c r="R1294" s="82" t="s">
        <v>11482</v>
      </c>
      <c r="S1294" s="82" t="s">
        <v>11483</v>
      </c>
      <c r="T1294" s="138">
        <v>21.0</v>
      </c>
      <c r="U1294" s="341">
        <v>21.0</v>
      </c>
      <c r="V1294" s="106">
        <v>0.0</v>
      </c>
      <c r="W1294" s="107">
        <v>0.0</v>
      </c>
      <c r="X1294" s="107">
        <v>0.0</v>
      </c>
      <c r="Y1294" s="107">
        <v>0.0</v>
      </c>
      <c r="Z1294" s="80">
        <v>0.0</v>
      </c>
      <c r="AA1294" s="140">
        <v>0.0</v>
      </c>
      <c r="AB1294" s="109">
        <v>0.0</v>
      </c>
      <c r="AC1294" s="109">
        <v>0.0</v>
      </c>
      <c r="AD1294" s="141">
        <v>0.0</v>
      </c>
      <c r="AE1294" s="80">
        <v>0.0</v>
      </c>
      <c r="AF1294" s="140">
        <v>287.0</v>
      </c>
      <c r="AG1294" s="109">
        <v>136.0</v>
      </c>
      <c r="AH1294" s="109">
        <v>47.0</v>
      </c>
      <c r="AI1294" s="141">
        <v>0.0</v>
      </c>
      <c r="AJ1294" s="80">
        <v>470.0</v>
      </c>
      <c r="AK1294" s="140">
        <v>0.0</v>
      </c>
      <c r="AL1294" s="109">
        <v>0.0</v>
      </c>
      <c r="AM1294" s="141">
        <v>0.0</v>
      </c>
      <c r="AN1294" s="80">
        <v>0.0</v>
      </c>
      <c r="AO1294" s="140">
        <v>0.0</v>
      </c>
      <c r="AP1294" s="109">
        <v>0.0</v>
      </c>
      <c r="AQ1294" s="109">
        <v>314.0</v>
      </c>
      <c r="AR1294" s="80">
        <v>314.0</v>
      </c>
      <c r="AS1294" s="110">
        <v>0.0</v>
      </c>
      <c r="AT1294" s="110">
        <v>0.0</v>
      </c>
      <c r="AU1294" s="110">
        <v>0.0</v>
      </c>
      <c r="AV1294" s="142">
        <v>0.0</v>
      </c>
      <c r="AW1294" s="80">
        <v>0.0</v>
      </c>
      <c r="AX1294" s="113">
        <v>784.0</v>
      </c>
      <c r="AY1294" s="117">
        <v>423.0</v>
      </c>
      <c r="AZ1294" s="328">
        <v>361.0</v>
      </c>
      <c r="BA1294" s="315">
        <v>1.0</v>
      </c>
      <c r="BB1294" s="316">
        <v>785.0</v>
      </c>
      <c r="BC1294" s="132" t="s">
        <v>178</v>
      </c>
      <c r="BD1294" s="132" t="s">
        <v>178</v>
      </c>
      <c r="BE1294" s="132" t="s">
        <v>178</v>
      </c>
      <c r="BF1294" s="123"/>
      <c r="BG1294" s="83">
        <v>1117035.0</v>
      </c>
      <c r="BH1294" s="112">
        <v>21.0</v>
      </c>
      <c r="BI1294" s="98" t="s">
        <v>155</v>
      </c>
      <c r="BJ1294" s="98" t="str">
        <f t="shared" si="1"/>
        <v>NÃO</v>
      </c>
      <c r="BK1294" s="98" t="str">
        <f t="shared" si="2"/>
        <v>NÃO</v>
      </c>
    </row>
    <row r="1295" ht="15.75" customHeight="1">
      <c r="A1295" s="111" t="s">
        <v>1535</v>
      </c>
      <c r="B1295" s="172" t="s">
        <v>6943</v>
      </c>
      <c r="C1295" s="83" t="s">
        <v>68</v>
      </c>
      <c r="D1295" s="83">
        <v>1166621.0</v>
      </c>
      <c r="E1295" s="83"/>
      <c r="F1295" s="83">
        <v>2.9303702E7</v>
      </c>
      <c r="G1295" s="114" t="s">
        <v>6958</v>
      </c>
      <c r="H1295" s="91" t="s">
        <v>6959</v>
      </c>
      <c r="I1295" s="187" t="s">
        <v>149</v>
      </c>
      <c r="J1295" s="83" t="s">
        <v>150</v>
      </c>
      <c r="K1295" s="83" t="s">
        <v>151</v>
      </c>
      <c r="L1295" s="83" t="s">
        <v>230</v>
      </c>
      <c r="M1295" s="82" t="s">
        <v>11484</v>
      </c>
      <c r="N1295" s="82" t="s">
        <v>11485</v>
      </c>
      <c r="O1295" s="82" t="s">
        <v>11486</v>
      </c>
      <c r="P1295" s="82" t="s">
        <v>11487</v>
      </c>
      <c r="Q1295" s="82" t="s">
        <v>11488</v>
      </c>
      <c r="R1295" s="82" t="s">
        <v>11489</v>
      </c>
      <c r="S1295" s="82" t="s">
        <v>11490</v>
      </c>
      <c r="T1295" s="138">
        <v>13.0</v>
      </c>
      <c r="U1295" s="323">
        <v>10.0</v>
      </c>
      <c r="V1295" s="106">
        <v>0.0</v>
      </c>
      <c r="W1295" s="107">
        <v>0.0</v>
      </c>
      <c r="X1295" s="107">
        <v>0.0</v>
      </c>
      <c r="Y1295" s="107">
        <v>0.0</v>
      </c>
      <c r="Z1295" s="80">
        <v>0.0</v>
      </c>
      <c r="AA1295" s="140">
        <v>0.0</v>
      </c>
      <c r="AB1295" s="109">
        <v>0.0</v>
      </c>
      <c r="AC1295" s="109">
        <v>0.0</v>
      </c>
      <c r="AD1295" s="141">
        <v>0.0</v>
      </c>
      <c r="AE1295" s="80">
        <v>0.0</v>
      </c>
      <c r="AF1295" s="140">
        <v>0.0</v>
      </c>
      <c r="AG1295" s="109">
        <v>0.0</v>
      </c>
      <c r="AH1295" s="109">
        <v>0.0</v>
      </c>
      <c r="AI1295" s="141">
        <v>0.0</v>
      </c>
      <c r="AJ1295" s="80">
        <v>0.0</v>
      </c>
      <c r="AK1295" s="140">
        <v>0.0</v>
      </c>
      <c r="AL1295" s="109">
        <v>0.0</v>
      </c>
      <c r="AM1295" s="141">
        <v>0.0</v>
      </c>
      <c r="AN1295" s="80">
        <v>0.0</v>
      </c>
      <c r="AO1295" s="140">
        <v>0.0</v>
      </c>
      <c r="AP1295" s="109">
        <v>0.0</v>
      </c>
      <c r="AQ1295" s="109">
        <v>0.0</v>
      </c>
      <c r="AR1295" s="80">
        <v>0.0</v>
      </c>
      <c r="AS1295" s="110">
        <v>256.0</v>
      </c>
      <c r="AT1295" s="110">
        <v>199.0</v>
      </c>
      <c r="AU1295" s="110">
        <v>198.0</v>
      </c>
      <c r="AV1295" s="142">
        <v>9.0</v>
      </c>
      <c r="AW1295" s="80">
        <v>662.0</v>
      </c>
      <c r="AX1295" s="113">
        <v>662.0</v>
      </c>
      <c r="AY1295" s="117">
        <v>464.0</v>
      </c>
      <c r="AZ1295" s="328">
        <v>198.0</v>
      </c>
      <c r="BA1295" s="315">
        <v>0.0</v>
      </c>
      <c r="BB1295" s="316">
        <v>662.0</v>
      </c>
      <c r="BC1295" s="132" t="s">
        <v>178</v>
      </c>
      <c r="BD1295" s="132" t="s">
        <v>522</v>
      </c>
      <c r="BE1295" s="132" t="s">
        <v>178</v>
      </c>
      <c r="BF1295" s="123"/>
      <c r="BG1295" s="83">
        <v>1166621.0</v>
      </c>
      <c r="BH1295" s="112">
        <v>10.0</v>
      </c>
      <c r="BI1295" s="98" t="s">
        <v>155</v>
      </c>
      <c r="BJ1295" s="98" t="str">
        <f t="shared" si="1"/>
        <v>INTEGRAL</v>
      </c>
      <c r="BK1295" s="98" t="str">
        <f t="shared" si="2"/>
        <v>PROFISSIONAL</v>
      </c>
    </row>
    <row r="1296" ht="15.75" customHeight="1">
      <c r="A1296" s="111" t="s">
        <v>1535</v>
      </c>
      <c r="B1296" s="172" t="s">
        <v>6943</v>
      </c>
      <c r="C1296" s="83" t="s">
        <v>68</v>
      </c>
      <c r="D1296" s="83">
        <v>1178377.0</v>
      </c>
      <c r="E1296" s="83"/>
      <c r="F1296" s="83">
        <v>2.9848792E7</v>
      </c>
      <c r="G1296" s="114" t="s">
        <v>6967</v>
      </c>
      <c r="H1296" s="91" t="s">
        <v>6968</v>
      </c>
      <c r="I1296" s="187" t="s">
        <v>149</v>
      </c>
      <c r="J1296" s="83" t="s">
        <v>150</v>
      </c>
      <c r="K1296" s="83" t="s">
        <v>151</v>
      </c>
      <c r="L1296" s="83" t="s">
        <v>230</v>
      </c>
      <c r="M1296" s="82" t="s">
        <v>11491</v>
      </c>
      <c r="N1296" s="82" t="s">
        <v>11492</v>
      </c>
      <c r="O1296" s="82" t="s">
        <v>11493</v>
      </c>
      <c r="P1296" s="82" t="s">
        <v>11494</v>
      </c>
      <c r="Q1296" s="82" t="s">
        <v>11495</v>
      </c>
      <c r="R1296" s="82" t="s">
        <v>11496</v>
      </c>
      <c r="S1296" s="82" t="s">
        <v>11497</v>
      </c>
      <c r="T1296" s="138">
        <v>22.0</v>
      </c>
      <c r="U1296" s="323">
        <v>21.0</v>
      </c>
      <c r="V1296" s="106">
        <v>0.0</v>
      </c>
      <c r="W1296" s="107">
        <v>0.0</v>
      </c>
      <c r="X1296" s="107">
        <v>0.0</v>
      </c>
      <c r="Y1296" s="107">
        <v>0.0</v>
      </c>
      <c r="Z1296" s="80">
        <v>0.0</v>
      </c>
      <c r="AA1296" s="140">
        <v>0.0</v>
      </c>
      <c r="AB1296" s="109">
        <v>0.0</v>
      </c>
      <c r="AC1296" s="109">
        <v>0.0</v>
      </c>
      <c r="AD1296" s="141">
        <v>0.0</v>
      </c>
      <c r="AE1296" s="80">
        <v>0.0</v>
      </c>
      <c r="AF1296" s="140">
        <v>0.0</v>
      </c>
      <c r="AG1296" s="109">
        <v>0.0</v>
      </c>
      <c r="AH1296" s="109">
        <v>0.0</v>
      </c>
      <c r="AI1296" s="141">
        <v>0.0</v>
      </c>
      <c r="AJ1296" s="80">
        <v>0.0</v>
      </c>
      <c r="AK1296" s="140">
        <v>0.0</v>
      </c>
      <c r="AL1296" s="109">
        <v>0.0</v>
      </c>
      <c r="AM1296" s="141">
        <v>0.0</v>
      </c>
      <c r="AN1296" s="80">
        <v>0.0</v>
      </c>
      <c r="AO1296" s="140">
        <v>0.0</v>
      </c>
      <c r="AP1296" s="109">
        <v>0.0</v>
      </c>
      <c r="AQ1296" s="109">
        <v>0.0</v>
      </c>
      <c r="AR1296" s="80">
        <v>0.0</v>
      </c>
      <c r="AS1296" s="110">
        <v>0.0</v>
      </c>
      <c r="AT1296" s="110">
        <v>0.0</v>
      </c>
      <c r="AU1296" s="110">
        <v>0.0</v>
      </c>
      <c r="AV1296" s="142">
        <v>0.0</v>
      </c>
      <c r="AW1296" s="80">
        <v>0.0</v>
      </c>
      <c r="AX1296" s="346">
        <v>228.0</v>
      </c>
      <c r="AY1296" s="347">
        <v>228.0</v>
      </c>
      <c r="AZ1296" s="348">
        <v>9.0</v>
      </c>
      <c r="BA1296" s="349">
        <v>0.0</v>
      </c>
      <c r="BB1296" s="316">
        <v>228.0</v>
      </c>
      <c r="BC1296" s="132" t="s">
        <v>553</v>
      </c>
      <c r="BD1296" s="132" t="s">
        <v>178</v>
      </c>
      <c r="BE1296" s="132" t="s">
        <v>178</v>
      </c>
      <c r="BF1296" s="123"/>
      <c r="BG1296" s="83">
        <v>1178377.0</v>
      </c>
      <c r="BH1296" s="112">
        <v>21.0</v>
      </c>
      <c r="BI1296" s="98" t="s">
        <v>155</v>
      </c>
      <c r="BJ1296" s="98" t="str">
        <f t="shared" si="1"/>
        <v>NÃO</v>
      </c>
      <c r="BK1296" s="98" t="str">
        <f t="shared" si="2"/>
        <v>NÃO</v>
      </c>
    </row>
    <row r="1297" ht="15.75" customHeight="1">
      <c r="A1297" s="111" t="s">
        <v>1535</v>
      </c>
      <c r="B1297" s="172" t="s">
        <v>6943</v>
      </c>
      <c r="C1297" s="83" t="s">
        <v>164</v>
      </c>
      <c r="D1297" s="83">
        <v>1179277.0</v>
      </c>
      <c r="E1297" s="83">
        <v>1179256.0</v>
      </c>
      <c r="F1297" s="83"/>
      <c r="G1297" s="185" t="s">
        <v>6978</v>
      </c>
      <c r="H1297" s="91" t="s">
        <v>6979</v>
      </c>
      <c r="I1297" s="114" t="s">
        <v>149</v>
      </c>
      <c r="J1297" s="83" t="s">
        <v>183</v>
      </c>
      <c r="K1297" s="83" t="s">
        <v>168</v>
      </c>
      <c r="L1297" s="83" t="s">
        <v>169</v>
      </c>
      <c r="M1297" s="82" t="s">
        <v>11439</v>
      </c>
      <c r="N1297" s="82" t="s">
        <v>11440</v>
      </c>
      <c r="O1297" s="82" t="s">
        <v>11441</v>
      </c>
      <c r="P1297" s="82" t="s">
        <v>11442</v>
      </c>
      <c r="Q1297" s="82" t="s">
        <v>11443</v>
      </c>
      <c r="R1297" s="82" t="s">
        <v>11444</v>
      </c>
      <c r="S1297" s="82" t="s">
        <v>11445</v>
      </c>
      <c r="T1297" s="138">
        <v>3.0</v>
      </c>
      <c r="U1297" s="323">
        <v>3.0</v>
      </c>
      <c r="V1297" s="106">
        <v>0.0</v>
      </c>
      <c r="W1297" s="107">
        <v>0.0</v>
      </c>
      <c r="X1297" s="107">
        <v>0.0</v>
      </c>
      <c r="Y1297" s="107">
        <v>0.0</v>
      </c>
      <c r="Z1297" s="80">
        <v>0.0</v>
      </c>
      <c r="AA1297" s="140">
        <v>0.0</v>
      </c>
      <c r="AB1297" s="109">
        <v>0.0</v>
      </c>
      <c r="AC1297" s="109">
        <v>0.0</v>
      </c>
      <c r="AD1297" s="141">
        <v>0.0</v>
      </c>
      <c r="AE1297" s="80">
        <v>0.0</v>
      </c>
      <c r="AF1297" s="140">
        <v>0.0</v>
      </c>
      <c r="AG1297" s="109">
        <v>0.0</v>
      </c>
      <c r="AH1297" s="109">
        <v>28.0</v>
      </c>
      <c r="AI1297" s="141">
        <v>0.0</v>
      </c>
      <c r="AJ1297" s="80">
        <v>28.0</v>
      </c>
      <c r="AK1297" s="140">
        <v>0.0</v>
      </c>
      <c r="AL1297" s="109">
        <v>0.0</v>
      </c>
      <c r="AM1297" s="141">
        <v>0.0</v>
      </c>
      <c r="AN1297" s="80">
        <v>0.0</v>
      </c>
      <c r="AO1297" s="140">
        <v>0.0</v>
      </c>
      <c r="AP1297" s="109">
        <v>0.0</v>
      </c>
      <c r="AQ1297" s="109">
        <v>0.0</v>
      </c>
      <c r="AR1297" s="80">
        <v>0.0</v>
      </c>
      <c r="AS1297" s="110">
        <v>0.0</v>
      </c>
      <c r="AT1297" s="110">
        <v>0.0</v>
      </c>
      <c r="AU1297" s="110">
        <v>0.0</v>
      </c>
      <c r="AV1297" s="142">
        <v>0.0</v>
      </c>
      <c r="AW1297" s="80">
        <v>0.0</v>
      </c>
      <c r="AX1297" s="113">
        <v>28.0</v>
      </c>
      <c r="AY1297" s="117">
        <v>0.0</v>
      </c>
      <c r="AZ1297" s="328">
        <v>28.0</v>
      </c>
      <c r="BA1297" s="315">
        <v>0.0</v>
      </c>
      <c r="BB1297" s="316">
        <v>28.0</v>
      </c>
      <c r="BC1297" s="132" t="s">
        <v>178</v>
      </c>
      <c r="BD1297" s="143" t="s">
        <v>227</v>
      </c>
      <c r="BE1297" s="132" t="s">
        <v>178</v>
      </c>
      <c r="BF1297" s="156"/>
      <c r="BG1297" s="83">
        <v>1179256.0</v>
      </c>
      <c r="BH1297" s="112">
        <v>3.0</v>
      </c>
      <c r="BI1297" s="98" t="s">
        <v>155</v>
      </c>
      <c r="BJ1297" s="98" t="str">
        <f t="shared" si="1"/>
        <v>NÃO</v>
      </c>
      <c r="BK1297" s="98" t="str">
        <f t="shared" si="2"/>
        <v>NÃO</v>
      </c>
    </row>
    <row r="1298" ht="15.75" customHeight="1">
      <c r="A1298" s="111" t="s">
        <v>1535</v>
      </c>
      <c r="B1298" s="83" t="s">
        <v>6980</v>
      </c>
      <c r="C1298" s="83" t="s">
        <v>68</v>
      </c>
      <c r="D1298" s="83">
        <v>1178015.0</v>
      </c>
      <c r="E1298" s="83"/>
      <c r="F1298" s="83">
        <v>2.9429005E7</v>
      </c>
      <c r="G1298" s="185" t="s">
        <v>6981</v>
      </c>
      <c r="H1298" s="91" t="s">
        <v>6982</v>
      </c>
      <c r="I1298" s="298" t="s">
        <v>149</v>
      </c>
      <c r="J1298" s="83" t="s">
        <v>150</v>
      </c>
      <c r="K1298" s="83" t="s">
        <v>151</v>
      </c>
      <c r="L1298" s="83" t="s">
        <v>76</v>
      </c>
      <c r="M1298" s="82" t="s">
        <v>11498</v>
      </c>
      <c r="N1298" s="82" t="s">
        <v>11499</v>
      </c>
      <c r="O1298" s="82" t="s">
        <v>11500</v>
      </c>
      <c r="P1298" s="82" t="s">
        <v>11501</v>
      </c>
      <c r="Q1298" s="82"/>
      <c r="R1298" s="82"/>
      <c r="S1298" s="82" t="s">
        <v>11502</v>
      </c>
      <c r="T1298" s="138">
        <v>9.0</v>
      </c>
      <c r="U1298" s="323" t="s">
        <v>11503</v>
      </c>
      <c r="V1298" s="106">
        <v>0.0</v>
      </c>
      <c r="W1298" s="107">
        <v>0.0</v>
      </c>
      <c r="X1298" s="107">
        <v>0.0</v>
      </c>
      <c r="Y1298" s="107">
        <v>0.0</v>
      </c>
      <c r="Z1298" s="80">
        <v>0.0</v>
      </c>
      <c r="AA1298" s="140">
        <v>0.0</v>
      </c>
      <c r="AB1298" s="109">
        <v>0.0</v>
      </c>
      <c r="AC1298" s="109">
        <v>0.0</v>
      </c>
      <c r="AD1298" s="141">
        <v>0.0</v>
      </c>
      <c r="AE1298" s="80">
        <v>0.0</v>
      </c>
      <c r="AF1298" s="140">
        <v>175.0</v>
      </c>
      <c r="AG1298" s="109">
        <v>95.0</v>
      </c>
      <c r="AH1298" s="109">
        <v>43.0</v>
      </c>
      <c r="AI1298" s="141">
        <v>79.0</v>
      </c>
      <c r="AJ1298" s="80">
        <v>392.0</v>
      </c>
      <c r="AK1298" s="140">
        <v>0.0</v>
      </c>
      <c r="AL1298" s="109">
        <v>0.0</v>
      </c>
      <c r="AM1298" s="141">
        <v>0.0</v>
      </c>
      <c r="AN1298" s="80">
        <v>0.0</v>
      </c>
      <c r="AO1298" s="140">
        <v>0.0</v>
      </c>
      <c r="AP1298" s="109">
        <v>0.0</v>
      </c>
      <c r="AQ1298" s="109">
        <v>161.0</v>
      </c>
      <c r="AR1298" s="80">
        <v>161.0</v>
      </c>
      <c r="AS1298" s="110">
        <v>0.0</v>
      </c>
      <c r="AT1298" s="110">
        <v>0.0</v>
      </c>
      <c r="AU1298" s="110">
        <v>0.0</v>
      </c>
      <c r="AV1298" s="142">
        <v>0.0</v>
      </c>
      <c r="AW1298" s="80">
        <v>0.0</v>
      </c>
      <c r="AX1298" s="113">
        <v>553.0</v>
      </c>
      <c r="AY1298" s="117">
        <v>349.0</v>
      </c>
      <c r="AZ1298" s="328">
        <v>204.0</v>
      </c>
      <c r="BA1298" s="315">
        <v>3.0</v>
      </c>
      <c r="BB1298" s="316">
        <v>556.0</v>
      </c>
      <c r="BC1298" s="132" t="s">
        <v>178</v>
      </c>
      <c r="BD1298" s="132" t="s">
        <v>178</v>
      </c>
      <c r="BE1298" s="132" t="s">
        <v>178</v>
      </c>
      <c r="BF1298" s="123"/>
      <c r="BG1298" s="83">
        <v>1178015.0</v>
      </c>
      <c r="BH1298" s="112">
        <v>8.0</v>
      </c>
      <c r="BI1298" s="98" t="s">
        <v>155</v>
      </c>
      <c r="BJ1298" s="98" t="str">
        <f t="shared" si="1"/>
        <v>INTEGRAL</v>
      </c>
      <c r="BK1298" s="98" t="str">
        <f t="shared" si="2"/>
        <v>NÃO</v>
      </c>
    </row>
    <row r="1299" ht="15.75" customHeight="1">
      <c r="A1299" s="111" t="s">
        <v>1535</v>
      </c>
      <c r="B1299" s="83" t="s">
        <v>6986</v>
      </c>
      <c r="C1299" s="83" t="s">
        <v>68</v>
      </c>
      <c r="D1299" s="83">
        <v>1117434.0</v>
      </c>
      <c r="E1299" s="83"/>
      <c r="F1299" s="83">
        <v>2.9307759E7</v>
      </c>
      <c r="G1299" s="185" t="s">
        <v>11504</v>
      </c>
      <c r="H1299" s="91" t="s">
        <v>6988</v>
      </c>
      <c r="I1299" s="114" t="s">
        <v>149</v>
      </c>
      <c r="J1299" s="83" t="s">
        <v>150</v>
      </c>
      <c r="K1299" s="83" t="s">
        <v>151</v>
      </c>
      <c r="L1299" s="83" t="s">
        <v>152</v>
      </c>
      <c r="M1299" s="82" t="s">
        <v>11505</v>
      </c>
      <c r="N1299" s="82" t="s">
        <v>11506</v>
      </c>
      <c r="O1299" s="82" t="s">
        <v>11507</v>
      </c>
      <c r="P1299" s="82" t="s">
        <v>11508</v>
      </c>
      <c r="Q1299" s="82"/>
      <c r="R1299" s="82"/>
      <c r="S1299" s="82" t="s">
        <v>11509</v>
      </c>
      <c r="T1299" s="138">
        <v>8.0</v>
      </c>
      <c r="U1299" s="323" t="s">
        <v>11510</v>
      </c>
      <c r="V1299" s="106">
        <v>0.0</v>
      </c>
      <c r="W1299" s="107">
        <v>0.0</v>
      </c>
      <c r="X1299" s="107">
        <v>0.0</v>
      </c>
      <c r="Y1299" s="107">
        <v>0.0</v>
      </c>
      <c r="Z1299" s="80">
        <v>0.0</v>
      </c>
      <c r="AA1299" s="140">
        <v>0.0</v>
      </c>
      <c r="AB1299" s="109">
        <v>0.0</v>
      </c>
      <c r="AC1299" s="109">
        <v>0.0</v>
      </c>
      <c r="AD1299" s="141">
        <v>0.0</v>
      </c>
      <c r="AE1299" s="80">
        <v>0.0</v>
      </c>
      <c r="AF1299" s="140">
        <v>0.0</v>
      </c>
      <c r="AG1299" s="109">
        <v>29.0</v>
      </c>
      <c r="AH1299" s="109">
        <v>0.0</v>
      </c>
      <c r="AI1299" s="141">
        <v>267.0</v>
      </c>
      <c r="AJ1299" s="80">
        <v>296.0</v>
      </c>
      <c r="AK1299" s="140">
        <v>0.0</v>
      </c>
      <c r="AL1299" s="109">
        <v>0.0</v>
      </c>
      <c r="AM1299" s="141">
        <v>0.0</v>
      </c>
      <c r="AN1299" s="80">
        <v>0.0</v>
      </c>
      <c r="AO1299" s="140">
        <v>0.0</v>
      </c>
      <c r="AP1299" s="109">
        <v>0.0</v>
      </c>
      <c r="AQ1299" s="109">
        <v>113.0</v>
      </c>
      <c r="AR1299" s="80">
        <v>113.0</v>
      </c>
      <c r="AS1299" s="110">
        <v>0.0</v>
      </c>
      <c r="AT1299" s="110">
        <v>0.0</v>
      </c>
      <c r="AU1299" s="110">
        <v>5.0</v>
      </c>
      <c r="AV1299" s="142">
        <v>0.0</v>
      </c>
      <c r="AW1299" s="80">
        <v>5.0</v>
      </c>
      <c r="AX1299" s="113">
        <v>414.0</v>
      </c>
      <c r="AY1299" s="117">
        <v>296.0</v>
      </c>
      <c r="AZ1299" s="328">
        <v>118.0</v>
      </c>
      <c r="BA1299" s="315">
        <v>0.0</v>
      </c>
      <c r="BB1299" s="316">
        <v>414.0</v>
      </c>
      <c r="BC1299" s="132" t="s">
        <v>178</v>
      </c>
      <c r="BD1299" s="132" t="s">
        <v>178</v>
      </c>
      <c r="BE1299" s="132" t="s">
        <v>178</v>
      </c>
      <c r="BF1299" s="156"/>
      <c r="BG1299" s="83">
        <v>1117434.0</v>
      </c>
      <c r="BH1299" s="112">
        <v>7.0</v>
      </c>
      <c r="BI1299" s="98" t="s">
        <v>155</v>
      </c>
      <c r="BJ1299" s="98" t="str">
        <f t="shared" si="1"/>
        <v>INTEGRAL</v>
      </c>
      <c r="BK1299" s="98" t="str">
        <f t="shared" si="2"/>
        <v>PROFISSIONAL</v>
      </c>
    </row>
    <row r="1300" ht="15.75" customHeight="1">
      <c r="A1300" s="111" t="s">
        <v>1535</v>
      </c>
      <c r="B1300" s="83" t="s">
        <v>6986</v>
      </c>
      <c r="C1300" s="83" t="s">
        <v>164</v>
      </c>
      <c r="D1300" s="83">
        <v>1179277.0</v>
      </c>
      <c r="E1300" s="83">
        <v>1178627.0</v>
      </c>
      <c r="F1300" s="83"/>
      <c r="G1300" s="185" t="s">
        <v>7002</v>
      </c>
      <c r="H1300" s="91" t="s">
        <v>7004</v>
      </c>
      <c r="I1300" s="114" t="s">
        <v>149</v>
      </c>
      <c r="J1300" s="83" t="s">
        <v>1347</v>
      </c>
      <c r="K1300" s="83" t="s">
        <v>151</v>
      </c>
      <c r="L1300" s="83" t="s">
        <v>169</v>
      </c>
      <c r="M1300" s="82" t="s">
        <v>11439</v>
      </c>
      <c r="N1300" s="82" t="s">
        <v>11440</v>
      </c>
      <c r="O1300" s="82" t="s">
        <v>11441</v>
      </c>
      <c r="P1300" s="82" t="s">
        <v>11442</v>
      </c>
      <c r="Q1300" s="82" t="s">
        <v>11443</v>
      </c>
      <c r="R1300" s="82" t="s">
        <v>11444</v>
      </c>
      <c r="S1300" s="82" t="s">
        <v>11445</v>
      </c>
      <c r="T1300" s="138">
        <v>2.0</v>
      </c>
      <c r="U1300" s="323">
        <v>2.0</v>
      </c>
      <c r="V1300" s="106">
        <v>0.0</v>
      </c>
      <c r="W1300" s="107">
        <v>0.0</v>
      </c>
      <c r="X1300" s="107">
        <v>0.0</v>
      </c>
      <c r="Y1300" s="107">
        <v>0.0</v>
      </c>
      <c r="Z1300" s="80">
        <v>0.0</v>
      </c>
      <c r="AA1300" s="140">
        <v>0.0</v>
      </c>
      <c r="AB1300" s="109">
        <v>0.0</v>
      </c>
      <c r="AC1300" s="109">
        <v>0.0</v>
      </c>
      <c r="AD1300" s="141">
        <v>0.0</v>
      </c>
      <c r="AE1300" s="80">
        <v>0.0</v>
      </c>
      <c r="AF1300" s="140">
        <v>0.0</v>
      </c>
      <c r="AG1300" s="109">
        <v>0.0</v>
      </c>
      <c r="AH1300" s="109">
        <v>12.0</v>
      </c>
      <c r="AI1300" s="141">
        <v>0.0</v>
      </c>
      <c r="AJ1300" s="80">
        <v>12.0</v>
      </c>
      <c r="AK1300" s="140">
        <v>0.0</v>
      </c>
      <c r="AL1300" s="109">
        <v>0.0</v>
      </c>
      <c r="AM1300" s="141">
        <v>0.0</v>
      </c>
      <c r="AN1300" s="80">
        <v>0.0</v>
      </c>
      <c r="AO1300" s="140">
        <v>0.0</v>
      </c>
      <c r="AP1300" s="109">
        <v>0.0</v>
      </c>
      <c r="AQ1300" s="109">
        <v>0.0</v>
      </c>
      <c r="AR1300" s="80">
        <v>0.0</v>
      </c>
      <c r="AS1300" s="110">
        <v>0.0</v>
      </c>
      <c r="AT1300" s="110">
        <v>0.0</v>
      </c>
      <c r="AU1300" s="110">
        <v>0.0</v>
      </c>
      <c r="AV1300" s="142">
        <v>0.0</v>
      </c>
      <c r="AW1300" s="80">
        <v>0.0</v>
      </c>
      <c r="AX1300" s="113">
        <v>12.0</v>
      </c>
      <c r="AY1300" s="117">
        <v>0.0</v>
      </c>
      <c r="AZ1300" s="328">
        <v>12.0</v>
      </c>
      <c r="BA1300" s="315">
        <v>0.0</v>
      </c>
      <c r="BB1300" s="316">
        <v>12.0</v>
      </c>
      <c r="BC1300" s="132" t="s">
        <v>178</v>
      </c>
      <c r="BD1300" s="143" t="s">
        <v>227</v>
      </c>
      <c r="BE1300" s="132" t="s">
        <v>178</v>
      </c>
      <c r="BF1300" s="123"/>
      <c r="BG1300" s="83">
        <v>1178627.0</v>
      </c>
      <c r="BH1300" s="112">
        <v>2.0</v>
      </c>
      <c r="BI1300" s="98" t="s">
        <v>155</v>
      </c>
      <c r="BJ1300" s="98" t="str">
        <f t="shared" si="1"/>
        <v>NÃO</v>
      </c>
      <c r="BK1300" s="98" t="str">
        <f t="shared" si="2"/>
        <v>NÃO</v>
      </c>
    </row>
    <row r="1301" ht="15.75" customHeight="1">
      <c r="A1301" s="111" t="s">
        <v>1535</v>
      </c>
      <c r="B1301" s="83" t="s">
        <v>7005</v>
      </c>
      <c r="C1301" s="83" t="s">
        <v>68</v>
      </c>
      <c r="D1301" s="83">
        <v>1110294.0</v>
      </c>
      <c r="E1301" s="83"/>
      <c r="F1301" s="83">
        <v>2.9309034E7</v>
      </c>
      <c r="G1301" s="114" t="s">
        <v>11511</v>
      </c>
      <c r="H1301" s="91" t="s">
        <v>7010</v>
      </c>
      <c r="I1301" s="187" t="s">
        <v>149</v>
      </c>
      <c r="J1301" s="83" t="s">
        <v>150</v>
      </c>
      <c r="K1301" s="83" t="s">
        <v>151</v>
      </c>
      <c r="L1301" s="83" t="s">
        <v>76</v>
      </c>
      <c r="M1301" s="82" t="s">
        <v>11512</v>
      </c>
      <c r="N1301" s="82" t="s">
        <v>11513</v>
      </c>
      <c r="O1301" s="82" t="s">
        <v>11514</v>
      </c>
      <c r="P1301" s="82" t="s">
        <v>11515</v>
      </c>
      <c r="Q1301" s="82"/>
      <c r="R1301" s="82"/>
      <c r="S1301" s="82" t="s">
        <v>11509</v>
      </c>
      <c r="T1301" s="138">
        <v>8.0</v>
      </c>
      <c r="U1301" s="323">
        <v>8.0</v>
      </c>
      <c r="V1301" s="106">
        <v>0.0</v>
      </c>
      <c r="W1301" s="107">
        <v>0.0</v>
      </c>
      <c r="X1301" s="107">
        <v>0.0</v>
      </c>
      <c r="Y1301" s="107">
        <v>0.0</v>
      </c>
      <c r="Z1301" s="80">
        <v>0.0</v>
      </c>
      <c r="AA1301" s="140">
        <v>0.0</v>
      </c>
      <c r="AB1301" s="109">
        <v>0.0</v>
      </c>
      <c r="AC1301" s="109">
        <v>0.0</v>
      </c>
      <c r="AD1301" s="141">
        <v>0.0</v>
      </c>
      <c r="AE1301" s="80">
        <v>0.0</v>
      </c>
      <c r="AF1301" s="140">
        <v>0.0</v>
      </c>
      <c r="AG1301" s="109">
        <v>0.0</v>
      </c>
      <c r="AH1301" s="109">
        <v>0.0</v>
      </c>
      <c r="AI1301" s="141">
        <v>73.0</v>
      </c>
      <c r="AJ1301" s="80">
        <v>73.0</v>
      </c>
      <c r="AK1301" s="140">
        <v>0.0</v>
      </c>
      <c r="AL1301" s="109">
        <v>0.0</v>
      </c>
      <c r="AM1301" s="141">
        <v>0.0</v>
      </c>
      <c r="AN1301" s="80">
        <v>0.0</v>
      </c>
      <c r="AO1301" s="140">
        <v>0.0</v>
      </c>
      <c r="AP1301" s="109">
        <v>0.0</v>
      </c>
      <c r="AQ1301" s="109">
        <v>92.0</v>
      </c>
      <c r="AR1301" s="80">
        <v>92.0</v>
      </c>
      <c r="AS1301" s="110">
        <v>119.0</v>
      </c>
      <c r="AT1301" s="110">
        <v>21.0</v>
      </c>
      <c r="AU1301" s="110">
        <v>0.0</v>
      </c>
      <c r="AV1301" s="142">
        <v>0.0</v>
      </c>
      <c r="AW1301" s="80">
        <v>140.0</v>
      </c>
      <c r="AX1301" s="113">
        <v>305.0</v>
      </c>
      <c r="AY1301" s="117">
        <v>213.0</v>
      </c>
      <c r="AZ1301" s="328">
        <v>92.0</v>
      </c>
      <c r="BA1301" s="315">
        <v>0.0</v>
      </c>
      <c r="BB1301" s="316">
        <v>305.0</v>
      </c>
      <c r="BC1301" s="132" t="s">
        <v>178</v>
      </c>
      <c r="BD1301" s="132" t="s">
        <v>178</v>
      </c>
      <c r="BE1301" s="132" t="s">
        <v>178</v>
      </c>
      <c r="BF1301" s="156"/>
      <c r="BG1301" s="83">
        <v>1110294.0</v>
      </c>
      <c r="BH1301" s="112">
        <v>8.0</v>
      </c>
      <c r="BI1301" s="98" t="s">
        <v>155</v>
      </c>
      <c r="BJ1301" s="98" t="str">
        <f t="shared" si="1"/>
        <v>INTEGRAL</v>
      </c>
      <c r="BK1301" s="98" t="str">
        <f t="shared" si="2"/>
        <v>PROFISSIONAL</v>
      </c>
    </row>
    <row r="1302" ht="15.75" customHeight="1">
      <c r="A1302" s="111" t="s">
        <v>1535</v>
      </c>
      <c r="B1302" s="83" t="s">
        <v>7016</v>
      </c>
      <c r="C1302" s="83" t="s">
        <v>68</v>
      </c>
      <c r="D1302" s="83">
        <v>1117868.0</v>
      </c>
      <c r="E1302" s="83"/>
      <c r="F1302" s="83">
        <v>2.9227658E7</v>
      </c>
      <c r="G1302" s="114" t="s">
        <v>7017</v>
      </c>
      <c r="H1302" s="91" t="s">
        <v>7018</v>
      </c>
      <c r="I1302" s="114" t="s">
        <v>7019</v>
      </c>
      <c r="J1302" s="83" t="s">
        <v>150</v>
      </c>
      <c r="K1302" s="83" t="s">
        <v>151</v>
      </c>
      <c r="L1302" s="83" t="s">
        <v>230</v>
      </c>
      <c r="M1302" s="82" t="s">
        <v>11516</v>
      </c>
      <c r="N1302" s="82" t="s">
        <v>11517</v>
      </c>
      <c r="O1302" s="82" t="s">
        <v>11518</v>
      </c>
      <c r="P1302" s="82" t="s">
        <v>11519</v>
      </c>
      <c r="Q1302" s="82" t="s">
        <v>11520</v>
      </c>
      <c r="R1302" s="82" t="s">
        <v>11521</v>
      </c>
      <c r="S1302" s="82" t="s">
        <v>11522</v>
      </c>
      <c r="T1302" s="138">
        <v>12.0</v>
      </c>
      <c r="U1302" s="387">
        <v>13.0</v>
      </c>
      <c r="V1302" s="106">
        <v>0.0</v>
      </c>
      <c r="W1302" s="107">
        <v>0.0</v>
      </c>
      <c r="X1302" s="107">
        <v>0.0</v>
      </c>
      <c r="Y1302" s="107">
        <v>0.0</v>
      </c>
      <c r="Z1302" s="80">
        <v>0.0</v>
      </c>
      <c r="AA1302" s="140">
        <v>0.0</v>
      </c>
      <c r="AB1302" s="109">
        <v>0.0</v>
      </c>
      <c r="AC1302" s="109">
        <v>0.0</v>
      </c>
      <c r="AD1302" s="141">
        <v>105.0</v>
      </c>
      <c r="AE1302" s="80">
        <v>105.0</v>
      </c>
      <c r="AF1302" s="140">
        <v>0.0</v>
      </c>
      <c r="AG1302" s="109">
        <v>0.0</v>
      </c>
      <c r="AH1302" s="109">
        <v>0.0</v>
      </c>
      <c r="AI1302" s="141">
        <v>180.0</v>
      </c>
      <c r="AJ1302" s="80">
        <v>180.0</v>
      </c>
      <c r="AK1302" s="140">
        <v>0.0</v>
      </c>
      <c r="AL1302" s="109">
        <v>0.0</v>
      </c>
      <c r="AM1302" s="141">
        <v>0.0</v>
      </c>
      <c r="AN1302" s="80">
        <v>0.0</v>
      </c>
      <c r="AO1302" s="140">
        <v>0.0</v>
      </c>
      <c r="AP1302" s="109">
        <v>0.0</v>
      </c>
      <c r="AQ1302" s="109">
        <v>37.0</v>
      </c>
      <c r="AR1302" s="80">
        <v>37.0</v>
      </c>
      <c r="AS1302" s="110">
        <v>0.0</v>
      </c>
      <c r="AT1302" s="110">
        <v>0.0</v>
      </c>
      <c r="AU1302" s="110">
        <v>0.0</v>
      </c>
      <c r="AV1302" s="142">
        <v>0.0</v>
      </c>
      <c r="AW1302" s="80">
        <v>0.0</v>
      </c>
      <c r="AX1302" s="113">
        <v>322.0</v>
      </c>
      <c r="AY1302" s="117">
        <v>285.0</v>
      </c>
      <c r="AZ1302" s="328">
        <v>37.0</v>
      </c>
      <c r="BA1302" s="315">
        <v>5.0</v>
      </c>
      <c r="BB1302" s="316">
        <v>327.0</v>
      </c>
      <c r="BC1302" s="132" t="s">
        <v>178</v>
      </c>
      <c r="BD1302" s="132" t="s">
        <v>178</v>
      </c>
      <c r="BE1302" s="132" t="s">
        <v>178</v>
      </c>
      <c r="BF1302" s="123"/>
      <c r="BG1302" s="83">
        <v>1117868.0</v>
      </c>
      <c r="BH1302" s="112">
        <v>13.0</v>
      </c>
      <c r="BI1302" s="98" t="s">
        <v>155</v>
      </c>
      <c r="BJ1302" s="98" t="str">
        <f t="shared" si="1"/>
        <v>INTEGRAL</v>
      </c>
      <c r="BK1302" s="98" t="str">
        <f t="shared" si="2"/>
        <v>NÃO</v>
      </c>
    </row>
    <row r="1303" ht="15.75" customHeight="1">
      <c r="A1303" s="111" t="s">
        <v>1535</v>
      </c>
      <c r="B1303" s="83" t="s">
        <v>7016</v>
      </c>
      <c r="C1303" s="83" t="s">
        <v>68</v>
      </c>
      <c r="D1303" s="83">
        <v>1117701.0</v>
      </c>
      <c r="E1303" s="83"/>
      <c r="F1303" s="83">
        <v>2.9229324E7</v>
      </c>
      <c r="G1303" s="114" t="s">
        <v>11523</v>
      </c>
      <c r="H1303" s="91" t="s">
        <v>7071</v>
      </c>
      <c r="I1303" s="114" t="s">
        <v>7072</v>
      </c>
      <c r="J1303" s="83" t="s">
        <v>150</v>
      </c>
      <c r="K1303" s="83" t="s">
        <v>151</v>
      </c>
      <c r="L1303" s="83" t="s">
        <v>152</v>
      </c>
      <c r="M1303" s="82" t="s">
        <v>11524</v>
      </c>
      <c r="N1303" s="82" t="s">
        <v>11525</v>
      </c>
      <c r="O1303" s="82" t="s">
        <v>11526</v>
      </c>
      <c r="P1303" s="82"/>
      <c r="Q1303" s="82"/>
      <c r="R1303" s="82"/>
      <c r="S1303" s="82" t="s">
        <v>11527</v>
      </c>
      <c r="T1303" s="138">
        <v>9.0</v>
      </c>
      <c r="U1303" s="387">
        <v>9.0</v>
      </c>
      <c r="V1303" s="106">
        <v>0.0</v>
      </c>
      <c r="W1303" s="107">
        <v>0.0</v>
      </c>
      <c r="X1303" s="107">
        <v>0.0</v>
      </c>
      <c r="Y1303" s="107">
        <v>0.0</v>
      </c>
      <c r="Z1303" s="80">
        <v>0.0</v>
      </c>
      <c r="AA1303" s="140">
        <v>0.0</v>
      </c>
      <c r="AB1303" s="109">
        <v>0.0</v>
      </c>
      <c r="AC1303" s="109">
        <v>0.0</v>
      </c>
      <c r="AD1303" s="141">
        <v>0.0</v>
      </c>
      <c r="AE1303" s="80">
        <v>0.0</v>
      </c>
      <c r="AF1303" s="140">
        <v>83.0</v>
      </c>
      <c r="AG1303" s="109">
        <v>45.0</v>
      </c>
      <c r="AH1303" s="109">
        <v>0.0</v>
      </c>
      <c r="AI1303" s="141">
        <v>77.0</v>
      </c>
      <c r="AJ1303" s="80">
        <v>205.0</v>
      </c>
      <c r="AK1303" s="140">
        <v>0.0</v>
      </c>
      <c r="AL1303" s="109">
        <v>0.0</v>
      </c>
      <c r="AM1303" s="141">
        <v>0.0</v>
      </c>
      <c r="AN1303" s="80">
        <v>0.0</v>
      </c>
      <c r="AO1303" s="140">
        <v>0.0</v>
      </c>
      <c r="AP1303" s="109">
        <v>0.0</v>
      </c>
      <c r="AQ1303" s="109">
        <v>0.0</v>
      </c>
      <c r="AR1303" s="80">
        <v>0.0</v>
      </c>
      <c r="AS1303" s="110">
        <v>0.0</v>
      </c>
      <c r="AT1303" s="110">
        <v>0.0</v>
      </c>
      <c r="AU1303" s="110">
        <v>0.0</v>
      </c>
      <c r="AV1303" s="142">
        <v>0.0</v>
      </c>
      <c r="AW1303" s="80">
        <v>0.0</v>
      </c>
      <c r="AX1303" s="113">
        <v>205.0</v>
      </c>
      <c r="AY1303" s="117">
        <v>205.0</v>
      </c>
      <c r="AZ1303" s="328">
        <v>0.0</v>
      </c>
      <c r="BA1303" s="315">
        <v>0.0</v>
      </c>
      <c r="BB1303" s="316">
        <v>205.0</v>
      </c>
      <c r="BC1303" s="132" t="s">
        <v>178</v>
      </c>
      <c r="BD1303" s="132" t="s">
        <v>178</v>
      </c>
      <c r="BE1303" s="132" t="s">
        <v>178</v>
      </c>
      <c r="BF1303" s="123"/>
      <c r="BG1303" s="83">
        <v>1117701.0</v>
      </c>
      <c r="BH1303" s="112">
        <v>9.0</v>
      </c>
      <c r="BI1303" s="98" t="s">
        <v>155</v>
      </c>
      <c r="BJ1303" s="98" t="str">
        <f t="shared" si="1"/>
        <v>INTEGRAL</v>
      </c>
      <c r="BK1303" s="98" t="str">
        <f t="shared" si="2"/>
        <v>NÃO</v>
      </c>
    </row>
    <row r="1304" ht="15.75" customHeight="1">
      <c r="A1304" s="111" t="s">
        <v>1535</v>
      </c>
      <c r="B1304" s="83" t="s">
        <v>7016</v>
      </c>
      <c r="C1304" s="83" t="s">
        <v>68</v>
      </c>
      <c r="D1304" s="83">
        <v>1117736.0</v>
      </c>
      <c r="E1304" s="83"/>
      <c r="F1304" s="83">
        <v>2.9229464E7</v>
      </c>
      <c r="G1304" s="114" t="s">
        <v>7037</v>
      </c>
      <c r="H1304" s="91" t="s">
        <v>7038</v>
      </c>
      <c r="I1304" s="187" t="s">
        <v>7039</v>
      </c>
      <c r="J1304" s="83" t="s">
        <v>150</v>
      </c>
      <c r="K1304" s="83" t="s">
        <v>151</v>
      </c>
      <c r="L1304" s="83" t="s">
        <v>230</v>
      </c>
      <c r="M1304" s="82" t="s">
        <v>11528</v>
      </c>
      <c r="N1304" s="82" t="s">
        <v>11529</v>
      </c>
      <c r="O1304" s="82" t="s">
        <v>11530</v>
      </c>
      <c r="P1304" s="82" t="s">
        <v>11531</v>
      </c>
      <c r="Q1304" s="82" t="s">
        <v>11532</v>
      </c>
      <c r="R1304" s="82" t="s">
        <v>11533</v>
      </c>
      <c r="S1304" s="82" t="s">
        <v>11534</v>
      </c>
      <c r="T1304" s="138">
        <v>13.0</v>
      </c>
      <c r="U1304" s="341">
        <v>16.0</v>
      </c>
      <c r="V1304" s="106">
        <v>0.0</v>
      </c>
      <c r="W1304" s="107">
        <v>0.0</v>
      </c>
      <c r="X1304" s="107">
        <v>0.0</v>
      </c>
      <c r="Y1304" s="107">
        <v>0.0</v>
      </c>
      <c r="Z1304" s="80">
        <v>0.0</v>
      </c>
      <c r="AA1304" s="140">
        <v>0.0</v>
      </c>
      <c r="AB1304" s="109">
        <v>0.0</v>
      </c>
      <c r="AC1304" s="109">
        <v>0.0</v>
      </c>
      <c r="AD1304" s="141">
        <v>0.0</v>
      </c>
      <c r="AE1304" s="80">
        <v>0.0</v>
      </c>
      <c r="AF1304" s="140">
        <v>28.0</v>
      </c>
      <c r="AG1304" s="109">
        <v>0.0</v>
      </c>
      <c r="AH1304" s="109">
        <v>35.0</v>
      </c>
      <c r="AI1304" s="141">
        <v>201.0</v>
      </c>
      <c r="AJ1304" s="80">
        <v>264.0</v>
      </c>
      <c r="AK1304" s="140">
        <v>0.0</v>
      </c>
      <c r="AL1304" s="109">
        <v>0.0</v>
      </c>
      <c r="AM1304" s="141">
        <v>0.0</v>
      </c>
      <c r="AN1304" s="80">
        <v>0.0</v>
      </c>
      <c r="AO1304" s="140">
        <v>0.0</v>
      </c>
      <c r="AP1304" s="109">
        <v>0.0</v>
      </c>
      <c r="AQ1304" s="109">
        <v>166.0</v>
      </c>
      <c r="AR1304" s="80">
        <v>166.0</v>
      </c>
      <c r="AS1304" s="110">
        <v>0.0</v>
      </c>
      <c r="AT1304" s="110">
        <v>0.0</v>
      </c>
      <c r="AU1304" s="110">
        <v>0.0</v>
      </c>
      <c r="AV1304" s="142">
        <v>0.0</v>
      </c>
      <c r="AW1304" s="80">
        <v>0.0</v>
      </c>
      <c r="AX1304" s="113">
        <v>430.0</v>
      </c>
      <c r="AY1304" s="117">
        <v>229.0</v>
      </c>
      <c r="AZ1304" s="328">
        <v>201.0</v>
      </c>
      <c r="BA1304" s="315">
        <v>9.0</v>
      </c>
      <c r="BB1304" s="316">
        <v>439.0</v>
      </c>
      <c r="BC1304" s="132" t="s">
        <v>178</v>
      </c>
      <c r="BD1304" s="132" t="s">
        <v>178</v>
      </c>
      <c r="BE1304" s="132" t="s">
        <v>178</v>
      </c>
      <c r="BF1304" s="123"/>
      <c r="BG1304" s="83">
        <v>1117736.0</v>
      </c>
      <c r="BH1304" s="112">
        <v>16.0</v>
      </c>
      <c r="BI1304" s="98" t="s">
        <v>155</v>
      </c>
      <c r="BJ1304" s="98" t="str">
        <f t="shared" si="1"/>
        <v>INTEGRAL</v>
      </c>
      <c r="BK1304" s="98" t="str">
        <f t="shared" si="2"/>
        <v>NÃO</v>
      </c>
    </row>
    <row r="1305" ht="15.75" customHeight="1">
      <c r="A1305" s="111" t="s">
        <v>1535</v>
      </c>
      <c r="B1305" s="83" t="s">
        <v>7016</v>
      </c>
      <c r="C1305" s="83" t="s">
        <v>68</v>
      </c>
      <c r="D1305" s="83">
        <v>1177092.0</v>
      </c>
      <c r="E1305" s="83"/>
      <c r="F1305" s="83">
        <v>2.9416604E7</v>
      </c>
      <c r="G1305" s="114" t="s">
        <v>2098</v>
      </c>
      <c r="H1305" s="91" t="s">
        <v>7048</v>
      </c>
      <c r="I1305" s="114" t="s">
        <v>7019</v>
      </c>
      <c r="J1305" s="83" t="s">
        <v>150</v>
      </c>
      <c r="K1305" s="83" t="s">
        <v>151</v>
      </c>
      <c r="L1305" s="83" t="s">
        <v>152</v>
      </c>
      <c r="M1305" s="82" t="s">
        <v>11535</v>
      </c>
      <c r="N1305" s="82" t="s">
        <v>11536</v>
      </c>
      <c r="O1305" s="82" t="s">
        <v>11537</v>
      </c>
      <c r="P1305" s="82" t="s">
        <v>11538</v>
      </c>
      <c r="Q1305" s="82"/>
      <c r="R1305" s="82"/>
      <c r="S1305" s="82" t="s">
        <v>11539</v>
      </c>
      <c r="T1305" s="138">
        <v>13.0</v>
      </c>
      <c r="U1305" s="341">
        <v>13.0</v>
      </c>
      <c r="V1305" s="106">
        <v>0.0</v>
      </c>
      <c r="W1305" s="107">
        <v>0.0</v>
      </c>
      <c r="X1305" s="107">
        <v>0.0</v>
      </c>
      <c r="Y1305" s="107">
        <v>0.0</v>
      </c>
      <c r="Z1305" s="80">
        <v>0.0</v>
      </c>
      <c r="AA1305" s="140">
        <v>0.0</v>
      </c>
      <c r="AB1305" s="109">
        <v>0.0</v>
      </c>
      <c r="AC1305" s="109">
        <v>0.0</v>
      </c>
      <c r="AD1305" s="141">
        <v>0.0</v>
      </c>
      <c r="AE1305" s="80">
        <v>0.0</v>
      </c>
      <c r="AF1305" s="140">
        <v>517.0</v>
      </c>
      <c r="AG1305" s="109">
        <v>403.0</v>
      </c>
      <c r="AH1305" s="109">
        <v>0.0</v>
      </c>
      <c r="AI1305" s="141">
        <v>0.0</v>
      </c>
      <c r="AJ1305" s="80">
        <v>920.0</v>
      </c>
      <c r="AK1305" s="140">
        <v>0.0</v>
      </c>
      <c r="AL1305" s="109">
        <v>0.0</v>
      </c>
      <c r="AM1305" s="141">
        <v>0.0</v>
      </c>
      <c r="AN1305" s="80">
        <v>0.0</v>
      </c>
      <c r="AO1305" s="140">
        <v>0.0</v>
      </c>
      <c r="AP1305" s="109">
        <v>0.0</v>
      </c>
      <c r="AQ1305" s="109">
        <v>0.0</v>
      </c>
      <c r="AR1305" s="80">
        <v>0.0</v>
      </c>
      <c r="AS1305" s="110">
        <v>0.0</v>
      </c>
      <c r="AT1305" s="110">
        <v>0.0</v>
      </c>
      <c r="AU1305" s="110">
        <v>0.0</v>
      </c>
      <c r="AV1305" s="142">
        <v>0.0</v>
      </c>
      <c r="AW1305" s="80">
        <v>0.0</v>
      </c>
      <c r="AX1305" s="113">
        <v>920.0</v>
      </c>
      <c r="AY1305" s="117">
        <v>920.0</v>
      </c>
      <c r="AZ1305" s="328">
        <v>0.0</v>
      </c>
      <c r="BA1305" s="315">
        <v>0.0</v>
      </c>
      <c r="BB1305" s="316">
        <v>920.0</v>
      </c>
      <c r="BC1305" s="132" t="s">
        <v>178</v>
      </c>
      <c r="BD1305" s="132" t="s">
        <v>178</v>
      </c>
      <c r="BE1305" s="132" t="s">
        <v>178</v>
      </c>
      <c r="BF1305" s="123"/>
      <c r="BG1305" s="83">
        <v>1177092.0</v>
      </c>
      <c r="BH1305" s="112">
        <v>13.0</v>
      </c>
      <c r="BI1305" s="98" t="s">
        <v>155</v>
      </c>
      <c r="BJ1305" s="98" t="str">
        <f t="shared" si="1"/>
        <v>NÃO</v>
      </c>
      <c r="BK1305" s="98" t="str">
        <f t="shared" si="2"/>
        <v>NÃO</v>
      </c>
    </row>
    <row r="1306" ht="15.75" customHeight="1">
      <c r="A1306" s="111" t="s">
        <v>1535</v>
      </c>
      <c r="B1306" s="83" t="s">
        <v>7016</v>
      </c>
      <c r="C1306" s="83" t="s">
        <v>68</v>
      </c>
      <c r="D1306" s="83">
        <v>1117850.0</v>
      </c>
      <c r="E1306" s="83"/>
      <c r="F1306" s="83">
        <v>2.9229421E7</v>
      </c>
      <c r="G1306" s="114" t="s">
        <v>11540</v>
      </c>
      <c r="H1306" s="91" t="s">
        <v>7081</v>
      </c>
      <c r="I1306" s="114" t="s">
        <v>7083</v>
      </c>
      <c r="J1306" s="83" t="s">
        <v>150</v>
      </c>
      <c r="K1306" s="83" t="s">
        <v>151</v>
      </c>
      <c r="L1306" s="83" t="s">
        <v>152</v>
      </c>
      <c r="M1306" s="82" t="s">
        <v>11541</v>
      </c>
      <c r="N1306" s="82" t="s">
        <v>11542</v>
      </c>
      <c r="O1306" s="82" t="s">
        <v>11543</v>
      </c>
      <c r="P1306" s="82" t="s">
        <v>11544</v>
      </c>
      <c r="Q1306" s="82" t="s">
        <v>11545</v>
      </c>
      <c r="R1306" s="82" t="s">
        <v>11546</v>
      </c>
      <c r="S1306" s="82" t="s">
        <v>11547</v>
      </c>
      <c r="T1306" s="138">
        <v>8.0</v>
      </c>
      <c r="U1306" s="323">
        <v>8.0</v>
      </c>
      <c r="V1306" s="106">
        <v>0.0</v>
      </c>
      <c r="W1306" s="107">
        <v>0.0</v>
      </c>
      <c r="X1306" s="107">
        <v>0.0</v>
      </c>
      <c r="Y1306" s="107">
        <v>0.0</v>
      </c>
      <c r="Z1306" s="80">
        <v>0.0</v>
      </c>
      <c r="AA1306" s="140">
        <v>0.0</v>
      </c>
      <c r="AB1306" s="109">
        <v>0.0</v>
      </c>
      <c r="AC1306" s="109">
        <v>0.0</v>
      </c>
      <c r="AD1306" s="141">
        <v>0.0</v>
      </c>
      <c r="AE1306" s="80">
        <v>0.0</v>
      </c>
      <c r="AF1306" s="140">
        <v>73.0</v>
      </c>
      <c r="AG1306" s="109">
        <v>38.0</v>
      </c>
      <c r="AH1306" s="109">
        <v>32.0</v>
      </c>
      <c r="AI1306" s="141">
        <v>148.0</v>
      </c>
      <c r="AJ1306" s="80">
        <v>291.0</v>
      </c>
      <c r="AK1306" s="140">
        <v>0.0</v>
      </c>
      <c r="AL1306" s="109">
        <v>0.0</v>
      </c>
      <c r="AM1306" s="141">
        <v>0.0</v>
      </c>
      <c r="AN1306" s="80">
        <v>0.0</v>
      </c>
      <c r="AO1306" s="140">
        <v>0.0</v>
      </c>
      <c r="AP1306" s="109">
        <v>0.0</v>
      </c>
      <c r="AQ1306" s="109">
        <v>67.0</v>
      </c>
      <c r="AR1306" s="80">
        <v>67.0</v>
      </c>
      <c r="AS1306" s="110">
        <v>0.0</v>
      </c>
      <c r="AT1306" s="110">
        <v>0.0</v>
      </c>
      <c r="AU1306" s="110">
        <v>0.0</v>
      </c>
      <c r="AV1306" s="142">
        <v>0.0</v>
      </c>
      <c r="AW1306" s="80">
        <v>0.0</v>
      </c>
      <c r="AX1306" s="113">
        <v>358.0</v>
      </c>
      <c r="AY1306" s="117">
        <v>259.0</v>
      </c>
      <c r="AZ1306" s="328">
        <v>99.0</v>
      </c>
      <c r="BA1306" s="315">
        <v>3.0</v>
      </c>
      <c r="BB1306" s="316">
        <v>361.0</v>
      </c>
      <c r="BC1306" s="132" t="s">
        <v>178</v>
      </c>
      <c r="BD1306" s="132" t="s">
        <v>178</v>
      </c>
      <c r="BE1306" s="132" t="s">
        <v>178</v>
      </c>
      <c r="BF1306" s="123"/>
      <c r="BG1306" s="83">
        <v>1117850.0</v>
      </c>
      <c r="BH1306" s="112">
        <v>8.0</v>
      </c>
      <c r="BI1306" s="98" t="s">
        <v>155</v>
      </c>
      <c r="BJ1306" s="98" t="str">
        <f t="shared" si="1"/>
        <v>INTEGRAL</v>
      </c>
      <c r="BK1306" s="98" t="str">
        <f t="shared" si="2"/>
        <v>NÃO</v>
      </c>
    </row>
    <row r="1307" ht="15.75" customHeight="1">
      <c r="A1307" s="111" t="s">
        <v>1535</v>
      </c>
      <c r="B1307" s="83" t="s">
        <v>7016</v>
      </c>
      <c r="C1307" s="83" t="s">
        <v>68</v>
      </c>
      <c r="D1307" s="83">
        <v>1176664.0</v>
      </c>
      <c r="E1307" s="83"/>
      <c r="F1307" s="83">
        <v>2.9408172E7</v>
      </c>
      <c r="G1307" s="114" t="s">
        <v>11548</v>
      </c>
      <c r="H1307" s="91" t="s">
        <v>7099</v>
      </c>
      <c r="I1307" s="114" t="s">
        <v>7100</v>
      </c>
      <c r="J1307" s="83" t="s">
        <v>150</v>
      </c>
      <c r="K1307" s="83" t="s">
        <v>151</v>
      </c>
      <c r="L1307" s="83" t="s">
        <v>152</v>
      </c>
      <c r="M1307" s="82" t="s">
        <v>11549</v>
      </c>
      <c r="N1307" s="82" t="s">
        <v>11550</v>
      </c>
      <c r="O1307" s="82" t="s">
        <v>11551</v>
      </c>
      <c r="P1307" s="82" t="s">
        <v>11552</v>
      </c>
      <c r="Q1307" s="82" t="s">
        <v>11553</v>
      </c>
      <c r="R1307" s="82"/>
      <c r="S1307" s="82" t="s">
        <v>11554</v>
      </c>
      <c r="T1307" s="138">
        <v>10.0</v>
      </c>
      <c r="U1307" s="323">
        <v>10.0</v>
      </c>
      <c r="V1307" s="106">
        <v>0.0</v>
      </c>
      <c r="W1307" s="107">
        <v>0.0</v>
      </c>
      <c r="X1307" s="107">
        <v>0.0</v>
      </c>
      <c r="Y1307" s="107">
        <v>0.0</v>
      </c>
      <c r="Z1307" s="80">
        <v>0.0</v>
      </c>
      <c r="AA1307" s="140">
        <v>0.0</v>
      </c>
      <c r="AB1307" s="109">
        <v>0.0</v>
      </c>
      <c r="AC1307" s="109">
        <v>0.0</v>
      </c>
      <c r="AD1307" s="141">
        <v>0.0</v>
      </c>
      <c r="AE1307" s="80">
        <v>0.0</v>
      </c>
      <c r="AF1307" s="140">
        <v>0.0</v>
      </c>
      <c r="AG1307" s="109">
        <v>0.0</v>
      </c>
      <c r="AH1307" s="109">
        <v>75.0</v>
      </c>
      <c r="AI1307" s="141">
        <v>227.0</v>
      </c>
      <c r="AJ1307" s="80">
        <v>302.0</v>
      </c>
      <c r="AK1307" s="140">
        <v>0.0</v>
      </c>
      <c r="AL1307" s="109">
        <v>0.0</v>
      </c>
      <c r="AM1307" s="141">
        <v>0.0</v>
      </c>
      <c r="AN1307" s="80">
        <v>0.0</v>
      </c>
      <c r="AO1307" s="140">
        <v>0.0</v>
      </c>
      <c r="AP1307" s="109">
        <v>0.0</v>
      </c>
      <c r="AQ1307" s="109">
        <v>142.0</v>
      </c>
      <c r="AR1307" s="80">
        <v>142.0</v>
      </c>
      <c r="AS1307" s="110">
        <v>0.0</v>
      </c>
      <c r="AT1307" s="110">
        <v>0.0</v>
      </c>
      <c r="AU1307" s="110">
        <v>0.0</v>
      </c>
      <c r="AV1307" s="142">
        <v>0.0</v>
      </c>
      <c r="AW1307" s="80">
        <v>0.0</v>
      </c>
      <c r="AX1307" s="113">
        <v>444.0</v>
      </c>
      <c r="AY1307" s="117">
        <v>227.0</v>
      </c>
      <c r="AZ1307" s="328">
        <v>217.0</v>
      </c>
      <c r="BA1307" s="315">
        <v>0.0</v>
      </c>
      <c r="BB1307" s="316">
        <v>444.0</v>
      </c>
      <c r="BC1307" s="132" t="s">
        <v>178</v>
      </c>
      <c r="BD1307" s="132" t="s">
        <v>178</v>
      </c>
      <c r="BE1307" s="132" t="s">
        <v>178</v>
      </c>
      <c r="BF1307" s="123"/>
      <c r="BG1307" s="83">
        <v>1176664.0</v>
      </c>
      <c r="BH1307" s="112">
        <v>10.0</v>
      </c>
      <c r="BI1307" s="98" t="s">
        <v>155</v>
      </c>
      <c r="BJ1307" s="98" t="str">
        <f t="shared" si="1"/>
        <v>INTEGRAL</v>
      </c>
      <c r="BK1307" s="98" t="str">
        <f t="shared" si="2"/>
        <v>NÃO</v>
      </c>
    </row>
    <row r="1308" ht="15.75" customHeight="1">
      <c r="A1308" s="111" t="s">
        <v>1535</v>
      </c>
      <c r="B1308" s="83" t="s">
        <v>7016</v>
      </c>
      <c r="C1308" s="83" t="s">
        <v>68</v>
      </c>
      <c r="D1308" s="83">
        <v>1117663.0</v>
      </c>
      <c r="E1308" s="83"/>
      <c r="F1308" s="83">
        <v>2.9229294E7</v>
      </c>
      <c r="G1308" s="114" t="s">
        <v>11555</v>
      </c>
      <c r="H1308" s="91" t="s">
        <v>7067</v>
      </c>
      <c r="I1308" s="114" t="s">
        <v>1366</v>
      </c>
      <c r="J1308" s="83" t="s">
        <v>150</v>
      </c>
      <c r="K1308" s="83" t="s">
        <v>151</v>
      </c>
      <c r="L1308" s="83" t="s">
        <v>76</v>
      </c>
      <c r="M1308" s="82" t="s">
        <v>11556</v>
      </c>
      <c r="N1308" s="82" t="s">
        <v>11557</v>
      </c>
      <c r="O1308" s="82" t="s">
        <v>11558</v>
      </c>
      <c r="P1308" s="82" t="s">
        <v>11559</v>
      </c>
      <c r="Q1308" s="82"/>
      <c r="R1308" s="82"/>
      <c r="S1308" s="82" t="s">
        <v>11560</v>
      </c>
      <c r="T1308" s="138">
        <v>12.0</v>
      </c>
      <c r="U1308" s="323">
        <v>9.0</v>
      </c>
      <c r="V1308" s="106">
        <v>0.0</v>
      </c>
      <c r="W1308" s="107">
        <v>0.0</v>
      </c>
      <c r="X1308" s="107">
        <v>0.0</v>
      </c>
      <c r="Y1308" s="107">
        <v>0.0</v>
      </c>
      <c r="Z1308" s="80">
        <v>0.0</v>
      </c>
      <c r="AA1308" s="140">
        <v>0.0</v>
      </c>
      <c r="AB1308" s="109">
        <v>244.0</v>
      </c>
      <c r="AC1308" s="109">
        <v>0.0</v>
      </c>
      <c r="AD1308" s="141">
        <v>0.0</v>
      </c>
      <c r="AE1308" s="80">
        <v>244.0</v>
      </c>
      <c r="AF1308" s="140">
        <v>306.0</v>
      </c>
      <c r="AG1308" s="109">
        <v>0.0</v>
      </c>
      <c r="AH1308" s="109">
        <v>32.0</v>
      </c>
      <c r="AI1308" s="141">
        <v>0.0</v>
      </c>
      <c r="AJ1308" s="80">
        <v>338.0</v>
      </c>
      <c r="AK1308" s="140">
        <v>0.0</v>
      </c>
      <c r="AL1308" s="109">
        <v>0.0</v>
      </c>
      <c r="AM1308" s="141">
        <v>0.0</v>
      </c>
      <c r="AN1308" s="80">
        <v>0.0</v>
      </c>
      <c r="AO1308" s="140">
        <v>0.0</v>
      </c>
      <c r="AP1308" s="109">
        <v>0.0</v>
      </c>
      <c r="AQ1308" s="109">
        <v>84.0</v>
      </c>
      <c r="AR1308" s="80">
        <v>84.0</v>
      </c>
      <c r="AS1308" s="110">
        <v>0.0</v>
      </c>
      <c r="AT1308" s="110">
        <v>0.0</v>
      </c>
      <c r="AU1308" s="110">
        <v>0.0</v>
      </c>
      <c r="AV1308" s="142">
        <v>0.0</v>
      </c>
      <c r="AW1308" s="80">
        <v>0.0</v>
      </c>
      <c r="AX1308" s="113">
        <v>666.0</v>
      </c>
      <c r="AY1308" s="117">
        <v>550.0</v>
      </c>
      <c r="AZ1308" s="328">
        <v>116.0</v>
      </c>
      <c r="BA1308" s="315">
        <v>1.0</v>
      </c>
      <c r="BB1308" s="316">
        <v>667.0</v>
      </c>
      <c r="BC1308" s="132" t="s">
        <v>265</v>
      </c>
      <c r="BD1308" s="132" t="s">
        <v>178</v>
      </c>
      <c r="BE1308" s="132" t="s">
        <v>178</v>
      </c>
      <c r="BF1308" s="123"/>
      <c r="BG1308" s="83">
        <v>1117663.0</v>
      </c>
      <c r="BH1308" s="112">
        <v>9.0</v>
      </c>
      <c r="BI1308" s="98" t="s">
        <v>155</v>
      </c>
      <c r="BJ1308" s="98" t="str">
        <f t="shared" si="1"/>
        <v>NÃO</v>
      </c>
      <c r="BK1308" s="98" t="str">
        <f t="shared" si="2"/>
        <v>NÃO</v>
      </c>
    </row>
    <row r="1309" ht="15.75" customHeight="1">
      <c r="A1309" s="111" t="s">
        <v>1535</v>
      </c>
      <c r="B1309" s="83" t="s">
        <v>7016</v>
      </c>
      <c r="C1309" s="83" t="s">
        <v>68</v>
      </c>
      <c r="D1309" s="83">
        <v>1117698.0</v>
      </c>
      <c r="E1309" s="83"/>
      <c r="F1309" s="83">
        <v>2.9228549E7</v>
      </c>
      <c r="G1309" s="114" t="s">
        <v>11561</v>
      </c>
      <c r="H1309" s="91" t="s">
        <v>7108</v>
      </c>
      <c r="I1309" s="114" t="s">
        <v>7019</v>
      </c>
      <c r="J1309" s="83" t="s">
        <v>150</v>
      </c>
      <c r="K1309" s="83" t="s">
        <v>151</v>
      </c>
      <c r="L1309" s="83" t="s">
        <v>230</v>
      </c>
      <c r="M1309" s="82" t="s">
        <v>11562</v>
      </c>
      <c r="N1309" s="82" t="s">
        <v>11563</v>
      </c>
      <c r="O1309" s="82" t="s">
        <v>11564</v>
      </c>
      <c r="P1309" s="82" t="s">
        <v>11565</v>
      </c>
      <c r="Q1309" s="82" t="s">
        <v>11566</v>
      </c>
      <c r="R1309" s="82" t="s">
        <v>11567</v>
      </c>
      <c r="S1309" s="82" t="s">
        <v>11568</v>
      </c>
      <c r="T1309" s="138">
        <v>31.0</v>
      </c>
      <c r="U1309" s="323">
        <v>18.0</v>
      </c>
      <c r="V1309" s="106">
        <v>0.0</v>
      </c>
      <c r="W1309" s="107">
        <v>0.0</v>
      </c>
      <c r="X1309" s="107">
        <v>0.0</v>
      </c>
      <c r="Y1309" s="107">
        <v>0.0</v>
      </c>
      <c r="Z1309" s="80">
        <v>0.0</v>
      </c>
      <c r="AA1309" s="140">
        <v>0.0</v>
      </c>
      <c r="AB1309" s="109">
        <v>0.0</v>
      </c>
      <c r="AC1309" s="109">
        <v>0.0</v>
      </c>
      <c r="AD1309" s="141">
        <v>0.0</v>
      </c>
      <c r="AE1309" s="80">
        <v>0.0</v>
      </c>
      <c r="AF1309" s="140">
        <v>538.0</v>
      </c>
      <c r="AG1309" s="109">
        <v>96.0</v>
      </c>
      <c r="AH1309" s="109">
        <v>46.0</v>
      </c>
      <c r="AI1309" s="141">
        <v>34.0</v>
      </c>
      <c r="AJ1309" s="80">
        <v>714.0</v>
      </c>
      <c r="AK1309" s="140">
        <v>0.0</v>
      </c>
      <c r="AL1309" s="109">
        <v>0.0</v>
      </c>
      <c r="AM1309" s="141">
        <v>0.0</v>
      </c>
      <c r="AN1309" s="80">
        <v>0.0</v>
      </c>
      <c r="AO1309" s="140">
        <v>0.0</v>
      </c>
      <c r="AP1309" s="109">
        <v>0.0</v>
      </c>
      <c r="AQ1309" s="109">
        <v>152.0</v>
      </c>
      <c r="AR1309" s="80">
        <v>152.0</v>
      </c>
      <c r="AS1309" s="110">
        <v>196.0</v>
      </c>
      <c r="AT1309" s="110">
        <v>217.0</v>
      </c>
      <c r="AU1309" s="110">
        <v>368.0</v>
      </c>
      <c r="AV1309" s="142">
        <v>0.0</v>
      </c>
      <c r="AW1309" s="80">
        <v>781.0</v>
      </c>
      <c r="AX1309" s="113">
        <v>1647.0</v>
      </c>
      <c r="AY1309" s="117">
        <v>1081.0</v>
      </c>
      <c r="AZ1309" s="328">
        <v>566.0</v>
      </c>
      <c r="BA1309" s="315">
        <v>5.0</v>
      </c>
      <c r="BB1309" s="316">
        <v>1652.0</v>
      </c>
      <c r="BC1309" s="132" t="s">
        <v>178</v>
      </c>
      <c r="BD1309" s="132" t="s">
        <v>178</v>
      </c>
      <c r="BE1309" s="132" t="s">
        <v>178</v>
      </c>
      <c r="BF1309" s="156"/>
      <c r="BG1309" s="83">
        <v>1117698.0</v>
      </c>
      <c r="BH1309" s="112">
        <v>18.0</v>
      </c>
      <c r="BI1309" s="98" t="s">
        <v>155</v>
      </c>
      <c r="BJ1309" s="98" t="str">
        <f t="shared" si="1"/>
        <v>INTEGRAL</v>
      </c>
      <c r="BK1309" s="98" t="str">
        <f t="shared" si="2"/>
        <v>PROFISSIONAL</v>
      </c>
    </row>
    <row r="1310" ht="15.75" customHeight="1">
      <c r="A1310" s="111" t="s">
        <v>1535</v>
      </c>
      <c r="B1310" s="83" t="s">
        <v>7016</v>
      </c>
      <c r="C1310" s="83" t="s">
        <v>68</v>
      </c>
      <c r="D1310" s="83">
        <v>1176093.0</v>
      </c>
      <c r="E1310" s="83"/>
      <c r="F1310" s="83">
        <v>2.922769E7</v>
      </c>
      <c r="G1310" s="114" t="s">
        <v>7118</v>
      </c>
      <c r="H1310" s="91" t="s">
        <v>7119</v>
      </c>
      <c r="I1310" s="114" t="s">
        <v>7019</v>
      </c>
      <c r="J1310" s="83" t="s">
        <v>150</v>
      </c>
      <c r="K1310" s="83" t="s">
        <v>151</v>
      </c>
      <c r="L1310" s="83" t="s">
        <v>152</v>
      </c>
      <c r="M1310" s="82" t="s">
        <v>11569</v>
      </c>
      <c r="N1310" s="82" t="s">
        <v>171</v>
      </c>
      <c r="O1310" s="82" t="s">
        <v>11570</v>
      </c>
      <c r="P1310" s="82" t="s">
        <v>11571</v>
      </c>
      <c r="Q1310" s="82"/>
      <c r="R1310" s="82"/>
      <c r="S1310" s="82" t="s">
        <v>11572</v>
      </c>
      <c r="T1310" s="138">
        <v>17.0</v>
      </c>
      <c r="U1310" s="323">
        <v>15.0</v>
      </c>
      <c r="V1310" s="106">
        <v>0.0</v>
      </c>
      <c r="W1310" s="107">
        <v>0.0</v>
      </c>
      <c r="X1310" s="107">
        <v>0.0</v>
      </c>
      <c r="Y1310" s="107">
        <v>0.0</v>
      </c>
      <c r="Z1310" s="80">
        <v>0.0</v>
      </c>
      <c r="AA1310" s="140">
        <v>162.0</v>
      </c>
      <c r="AB1310" s="109">
        <v>510.0</v>
      </c>
      <c r="AC1310" s="109">
        <v>0.0</v>
      </c>
      <c r="AD1310" s="141">
        <v>0.0</v>
      </c>
      <c r="AE1310" s="80">
        <v>672.0</v>
      </c>
      <c r="AF1310" s="140">
        <v>371.0</v>
      </c>
      <c r="AG1310" s="109">
        <v>0.0</v>
      </c>
      <c r="AH1310" s="109">
        <v>0.0</v>
      </c>
      <c r="AI1310" s="141">
        <v>0.0</v>
      </c>
      <c r="AJ1310" s="80">
        <v>371.0</v>
      </c>
      <c r="AK1310" s="140">
        <v>0.0</v>
      </c>
      <c r="AL1310" s="109">
        <v>0.0</v>
      </c>
      <c r="AM1310" s="141">
        <v>0.0</v>
      </c>
      <c r="AN1310" s="80">
        <v>0.0</v>
      </c>
      <c r="AO1310" s="140">
        <v>0.0</v>
      </c>
      <c r="AP1310" s="109">
        <v>0.0</v>
      </c>
      <c r="AQ1310" s="109">
        <v>0.0</v>
      </c>
      <c r="AR1310" s="80">
        <v>0.0</v>
      </c>
      <c r="AS1310" s="110">
        <v>0.0</v>
      </c>
      <c r="AT1310" s="110">
        <v>0.0</v>
      </c>
      <c r="AU1310" s="110">
        <v>0.0</v>
      </c>
      <c r="AV1310" s="142">
        <v>0.0</v>
      </c>
      <c r="AW1310" s="80">
        <v>0.0</v>
      </c>
      <c r="AX1310" s="113">
        <v>1043.0</v>
      </c>
      <c r="AY1310" s="117">
        <v>1043.0</v>
      </c>
      <c r="AZ1310" s="328">
        <v>0.0</v>
      </c>
      <c r="BA1310" s="315">
        <v>0.0</v>
      </c>
      <c r="BB1310" s="316">
        <v>1043.0</v>
      </c>
      <c r="BC1310" s="143" t="s">
        <v>1014</v>
      </c>
      <c r="BD1310" s="132" t="s">
        <v>178</v>
      </c>
      <c r="BE1310" s="132" t="s">
        <v>178</v>
      </c>
      <c r="BF1310" s="123"/>
      <c r="BG1310" s="83">
        <v>1176093.0</v>
      </c>
      <c r="BH1310" s="112">
        <v>15.0</v>
      </c>
      <c r="BI1310" s="98" t="s">
        <v>162</v>
      </c>
      <c r="BJ1310" s="98" t="str">
        <f t="shared" si="1"/>
        <v>NÃO</v>
      </c>
      <c r="BK1310" s="98" t="str">
        <f t="shared" si="2"/>
        <v>NÃO</v>
      </c>
    </row>
    <row r="1311" ht="15.75" customHeight="1">
      <c r="A1311" s="111" t="s">
        <v>1535</v>
      </c>
      <c r="B1311" s="83" t="s">
        <v>7016</v>
      </c>
      <c r="C1311" s="83" t="s">
        <v>68</v>
      </c>
      <c r="D1311" s="83">
        <v>1179277.0</v>
      </c>
      <c r="E1311" s="83"/>
      <c r="F1311" s="83">
        <v>2.9458994E7</v>
      </c>
      <c r="G1311" s="114" t="s">
        <v>7136</v>
      </c>
      <c r="H1311" s="91" t="s">
        <v>7137</v>
      </c>
      <c r="I1311" s="114" t="s">
        <v>7138</v>
      </c>
      <c r="J1311" s="83" t="s">
        <v>150</v>
      </c>
      <c r="K1311" s="83" t="s">
        <v>151</v>
      </c>
      <c r="L1311" s="83" t="s">
        <v>230</v>
      </c>
      <c r="M1311" s="82" t="s">
        <v>11439</v>
      </c>
      <c r="N1311" s="82" t="s">
        <v>11440</v>
      </c>
      <c r="O1311" s="82" t="s">
        <v>11441</v>
      </c>
      <c r="P1311" s="82" t="s">
        <v>11442</v>
      </c>
      <c r="Q1311" s="82" t="s">
        <v>11443</v>
      </c>
      <c r="R1311" s="82" t="s">
        <v>11444</v>
      </c>
      <c r="S1311" s="82" t="s">
        <v>11445</v>
      </c>
      <c r="T1311" s="138" t="s">
        <v>171</v>
      </c>
      <c r="U1311" s="331" t="s">
        <v>533</v>
      </c>
      <c r="V1311" s="106">
        <v>0.0</v>
      </c>
      <c r="W1311" s="107">
        <v>0.0</v>
      </c>
      <c r="X1311" s="107">
        <v>0.0</v>
      </c>
      <c r="Y1311" s="107">
        <v>0.0</v>
      </c>
      <c r="Z1311" s="80">
        <v>0.0</v>
      </c>
      <c r="AA1311" s="140">
        <v>0.0</v>
      </c>
      <c r="AB1311" s="109">
        <v>0.0</v>
      </c>
      <c r="AC1311" s="109">
        <v>0.0</v>
      </c>
      <c r="AD1311" s="141">
        <v>0.0</v>
      </c>
      <c r="AE1311" s="80">
        <v>0.0</v>
      </c>
      <c r="AF1311" s="140">
        <v>0.0</v>
      </c>
      <c r="AG1311" s="109">
        <v>0.0</v>
      </c>
      <c r="AH1311" s="109">
        <v>0.0</v>
      </c>
      <c r="AI1311" s="141">
        <v>0.0</v>
      </c>
      <c r="AJ1311" s="80">
        <v>0.0</v>
      </c>
      <c r="AK1311" s="140">
        <v>0.0</v>
      </c>
      <c r="AL1311" s="109">
        <v>0.0</v>
      </c>
      <c r="AM1311" s="141">
        <v>0.0</v>
      </c>
      <c r="AN1311" s="80">
        <v>0.0</v>
      </c>
      <c r="AO1311" s="140">
        <v>0.0</v>
      </c>
      <c r="AP1311" s="109">
        <v>0.0</v>
      </c>
      <c r="AQ1311" s="109">
        <v>0.0</v>
      </c>
      <c r="AR1311" s="80">
        <v>0.0</v>
      </c>
      <c r="AS1311" s="110">
        <v>0.0</v>
      </c>
      <c r="AT1311" s="110">
        <v>0.0</v>
      </c>
      <c r="AU1311" s="110">
        <v>0.0</v>
      </c>
      <c r="AV1311" s="142">
        <v>0.0</v>
      </c>
      <c r="AW1311" s="80">
        <v>0.0</v>
      </c>
      <c r="AX1311" s="113">
        <v>0.0</v>
      </c>
      <c r="AY1311" s="117">
        <v>0.0</v>
      </c>
      <c r="AZ1311" s="328">
        <v>0.0</v>
      </c>
      <c r="BA1311" s="315">
        <v>0.0</v>
      </c>
      <c r="BB1311" s="316">
        <v>0.0</v>
      </c>
      <c r="BC1311" s="132" t="s">
        <v>178</v>
      </c>
      <c r="BD1311" s="132" t="s">
        <v>178</v>
      </c>
      <c r="BE1311" s="132" t="s">
        <v>178</v>
      </c>
      <c r="BF1311" s="156" t="s">
        <v>534</v>
      </c>
      <c r="BG1311" s="83">
        <v>1179277.0</v>
      </c>
      <c r="BH1311" s="112">
        <v>0.0</v>
      </c>
      <c r="BI1311" s="98" t="s">
        <v>155</v>
      </c>
      <c r="BJ1311" s="98" t="str">
        <f t="shared" si="1"/>
        <v>NÃO</v>
      </c>
      <c r="BK1311" s="98" t="str">
        <f t="shared" si="2"/>
        <v>NÃO</v>
      </c>
    </row>
    <row r="1312" ht="15.75" customHeight="1">
      <c r="A1312" s="111" t="s">
        <v>1535</v>
      </c>
      <c r="B1312" s="83" t="s">
        <v>7016</v>
      </c>
      <c r="C1312" s="83" t="s">
        <v>68</v>
      </c>
      <c r="D1312" s="83">
        <v>1179659.0</v>
      </c>
      <c r="E1312" s="83"/>
      <c r="F1312" s="83">
        <v>2.94739E7</v>
      </c>
      <c r="G1312" s="114" t="s">
        <v>7141</v>
      </c>
      <c r="H1312" s="91" t="s">
        <v>7142</v>
      </c>
      <c r="I1312" s="114" t="s">
        <v>7138</v>
      </c>
      <c r="J1312" s="83" t="s">
        <v>150</v>
      </c>
      <c r="K1312" s="83" t="s">
        <v>151</v>
      </c>
      <c r="L1312" s="83" t="s">
        <v>230</v>
      </c>
      <c r="M1312" s="82" t="s">
        <v>11573</v>
      </c>
      <c r="N1312" s="82" t="s">
        <v>11574</v>
      </c>
      <c r="O1312" s="82" t="s">
        <v>11575</v>
      </c>
      <c r="P1312" s="82" t="s">
        <v>11576</v>
      </c>
      <c r="Q1312" s="82" t="s">
        <v>11577</v>
      </c>
      <c r="R1312" s="82" t="s">
        <v>11578</v>
      </c>
      <c r="S1312" s="82" t="s">
        <v>11579</v>
      </c>
      <c r="T1312" s="138" t="s">
        <v>171</v>
      </c>
      <c r="U1312" s="323">
        <v>4.0</v>
      </c>
      <c r="V1312" s="106">
        <v>0.0</v>
      </c>
      <c r="W1312" s="107">
        <v>0.0</v>
      </c>
      <c r="X1312" s="107">
        <v>0.0</v>
      </c>
      <c r="Y1312" s="107">
        <v>0.0</v>
      </c>
      <c r="Z1312" s="80">
        <v>0.0</v>
      </c>
      <c r="AA1312" s="140">
        <v>0.0</v>
      </c>
      <c r="AB1312" s="109">
        <v>0.0</v>
      </c>
      <c r="AC1312" s="109">
        <v>0.0</v>
      </c>
      <c r="AD1312" s="141">
        <v>0.0</v>
      </c>
      <c r="AE1312" s="80">
        <v>0.0</v>
      </c>
      <c r="AF1312" s="140">
        <v>0.0</v>
      </c>
      <c r="AG1312" s="109">
        <v>0.0</v>
      </c>
      <c r="AH1312" s="109">
        <v>0.0</v>
      </c>
      <c r="AI1312" s="141">
        <v>0.0</v>
      </c>
      <c r="AJ1312" s="80">
        <v>0.0</v>
      </c>
      <c r="AK1312" s="140">
        <v>0.0</v>
      </c>
      <c r="AL1312" s="109">
        <v>0.0</v>
      </c>
      <c r="AM1312" s="141">
        <v>0.0</v>
      </c>
      <c r="AN1312" s="80">
        <v>0.0</v>
      </c>
      <c r="AO1312" s="140">
        <v>0.0</v>
      </c>
      <c r="AP1312" s="109">
        <v>0.0</v>
      </c>
      <c r="AQ1312" s="109">
        <v>0.0</v>
      </c>
      <c r="AR1312" s="80">
        <v>0.0</v>
      </c>
      <c r="AS1312" s="110">
        <v>0.0</v>
      </c>
      <c r="AT1312" s="110">
        <v>0.0</v>
      </c>
      <c r="AU1312" s="110">
        <v>0.0</v>
      </c>
      <c r="AV1312" s="142">
        <v>0.0</v>
      </c>
      <c r="AW1312" s="80">
        <v>0.0</v>
      </c>
      <c r="AX1312" s="346">
        <v>704.0</v>
      </c>
      <c r="AY1312" s="347">
        <v>456.0</v>
      </c>
      <c r="AZ1312" s="348">
        <v>248.0</v>
      </c>
      <c r="BA1312" s="349">
        <v>0.0</v>
      </c>
      <c r="BB1312" s="316">
        <v>704.0</v>
      </c>
      <c r="BC1312" s="143" t="s">
        <v>547</v>
      </c>
      <c r="BD1312" s="132" t="s">
        <v>178</v>
      </c>
      <c r="BE1312" s="132" t="s">
        <v>178</v>
      </c>
      <c r="BF1312" s="123"/>
      <c r="BG1312" s="83">
        <v>1179659.0</v>
      </c>
      <c r="BH1312" s="112">
        <v>4.0</v>
      </c>
      <c r="BI1312" s="98" t="s">
        <v>155</v>
      </c>
      <c r="BJ1312" s="98" t="str">
        <f t="shared" si="1"/>
        <v>NÃO</v>
      </c>
      <c r="BK1312" s="98" t="str">
        <f t="shared" si="2"/>
        <v>NÃO</v>
      </c>
    </row>
    <row r="1313" ht="15.75" customHeight="1">
      <c r="A1313" s="111" t="s">
        <v>1535</v>
      </c>
      <c r="B1313" s="83" t="s">
        <v>7016</v>
      </c>
      <c r="C1313" s="83" t="s">
        <v>68</v>
      </c>
      <c r="D1313" s="83">
        <v>1117892.0</v>
      </c>
      <c r="E1313" s="83"/>
      <c r="F1313" s="83">
        <v>2.9229529E7</v>
      </c>
      <c r="G1313" s="114" t="s">
        <v>7153</v>
      </c>
      <c r="H1313" s="91" t="s">
        <v>7154</v>
      </c>
      <c r="I1313" s="114" t="s">
        <v>7155</v>
      </c>
      <c r="J1313" s="83" t="s">
        <v>150</v>
      </c>
      <c r="K1313" s="83" t="s">
        <v>151</v>
      </c>
      <c r="L1313" s="83" t="s">
        <v>230</v>
      </c>
      <c r="M1313" s="82" t="s">
        <v>11580</v>
      </c>
      <c r="N1313" s="82" t="s">
        <v>11581</v>
      </c>
      <c r="O1313" s="82" t="s">
        <v>11582</v>
      </c>
      <c r="P1313" s="82" t="s">
        <v>11583</v>
      </c>
      <c r="Q1313" s="82" t="s">
        <v>11584</v>
      </c>
      <c r="R1313" s="82" t="s">
        <v>11585</v>
      </c>
      <c r="S1313" s="82" t="s">
        <v>11586</v>
      </c>
      <c r="T1313" s="138">
        <v>38.0</v>
      </c>
      <c r="U1313" s="323">
        <v>34.0</v>
      </c>
      <c r="V1313" s="106">
        <v>0.0</v>
      </c>
      <c r="W1313" s="107">
        <v>0.0</v>
      </c>
      <c r="X1313" s="107">
        <v>0.0</v>
      </c>
      <c r="Y1313" s="107">
        <v>0.0</v>
      </c>
      <c r="Z1313" s="80">
        <v>0.0</v>
      </c>
      <c r="AA1313" s="140">
        <v>0.0</v>
      </c>
      <c r="AB1313" s="109">
        <v>0.0</v>
      </c>
      <c r="AC1313" s="109">
        <v>0.0</v>
      </c>
      <c r="AD1313" s="141">
        <v>0.0</v>
      </c>
      <c r="AE1313" s="80">
        <v>0.0</v>
      </c>
      <c r="AF1313" s="140">
        <v>0.0</v>
      </c>
      <c r="AG1313" s="109">
        <v>0.0</v>
      </c>
      <c r="AH1313" s="109">
        <v>0.0</v>
      </c>
      <c r="AI1313" s="141">
        <v>0.0</v>
      </c>
      <c r="AJ1313" s="80">
        <v>0.0</v>
      </c>
      <c r="AK1313" s="140">
        <v>0.0</v>
      </c>
      <c r="AL1313" s="109">
        <v>0.0</v>
      </c>
      <c r="AM1313" s="141">
        <v>0.0</v>
      </c>
      <c r="AN1313" s="80">
        <v>0.0</v>
      </c>
      <c r="AO1313" s="140">
        <v>0.0</v>
      </c>
      <c r="AP1313" s="109">
        <v>0.0</v>
      </c>
      <c r="AQ1313" s="109">
        <v>0.0</v>
      </c>
      <c r="AR1313" s="80">
        <v>0.0</v>
      </c>
      <c r="AS1313" s="110">
        <v>714.0</v>
      </c>
      <c r="AT1313" s="110">
        <v>65.0</v>
      </c>
      <c r="AU1313" s="110">
        <v>484.0</v>
      </c>
      <c r="AV1313" s="142">
        <v>0.0</v>
      </c>
      <c r="AW1313" s="80">
        <v>1263.0</v>
      </c>
      <c r="AX1313" s="113">
        <v>1263.0</v>
      </c>
      <c r="AY1313" s="117">
        <v>779.0</v>
      </c>
      <c r="AZ1313" s="328">
        <v>484.0</v>
      </c>
      <c r="BA1313" s="315">
        <v>1.0</v>
      </c>
      <c r="BB1313" s="316">
        <v>1264.0</v>
      </c>
      <c r="BC1313" s="132" t="s">
        <v>178</v>
      </c>
      <c r="BD1313" s="132" t="s">
        <v>779</v>
      </c>
      <c r="BE1313" s="132" t="s">
        <v>178</v>
      </c>
      <c r="BF1313" s="123"/>
      <c r="BG1313" s="83">
        <v>1117892.0</v>
      </c>
      <c r="BH1313" s="112">
        <v>34.0</v>
      </c>
      <c r="BI1313" s="98" t="s">
        <v>155</v>
      </c>
      <c r="BJ1313" s="98" t="str">
        <f t="shared" si="1"/>
        <v>NÃO</v>
      </c>
      <c r="BK1313" s="98" t="str">
        <f t="shared" si="2"/>
        <v>PROFISSIONAL</v>
      </c>
    </row>
    <row r="1314" ht="15.75" customHeight="1">
      <c r="A1314" s="111" t="s">
        <v>1535</v>
      </c>
      <c r="B1314" s="83" t="s">
        <v>7016</v>
      </c>
      <c r="C1314" s="83" t="s">
        <v>68</v>
      </c>
      <c r="D1314" s="83">
        <v>1178421.0</v>
      </c>
      <c r="E1314" s="83"/>
      <c r="F1314" s="83">
        <v>2.9397324E7</v>
      </c>
      <c r="G1314" s="187" t="s">
        <v>7176</v>
      </c>
      <c r="H1314" s="91" t="s">
        <v>7177</v>
      </c>
      <c r="I1314" s="114" t="s">
        <v>7178</v>
      </c>
      <c r="J1314" s="83" t="s">
        <v>150</v>
      </c>
      <c r="K1314" s="83" t="s">
        <v>151</v>
      </c>
      <c r="L1314" s="83" t="s">
        <v>230</v>
      </c>
      <c r="M1314" s="82" t="s">
        <v>11587</v>
      </c>
      <c r="N1314" s="82" t="s">
        <v>11588</v>
      </c>
      <c r="O1314" s="82" t="s">
        <v>11589</v>
      </c>
      <c r="P1314" s="82" t="s">
        <v>11590</v>
      </c>
      <c r="Q1314" s="82" t="s">
        <v>11591</v>
      </c>
      <c r="R1314" s="82" t="s">
        <v>11592</v>
      </c>
      <c r="S1314" s="82" t="s">
        <v>11593</v>
      </c>
      <c r="T1314" s="138">
        <v>16.0</v>
      </c>
      <c r="U1314" s="323">
        <v>16.0</v>
      </c>
      <c r="V1314" s="355">
        <v>0.0</v>
      </c>
      <c r="W1314" s="246">
        <v>0.0</v>
      </c>
      <c r="X1314" s="246">
        <v>0.0</v>
      </c>
      <c r="Y1314" s="246">
        <v>0.0</v>
      </c>
      <c r="Z1314" s="80">
        <v>0.0</v>
      </c>
      <c r="AA1314" s="140">
        <v>0.0</v>
      </c>
      <c r="AB1314" s="109">
        <v>0.0</v>
      </c>
      <c r="AC1314" s="109">
        <v>0.0</v>
      </c>
      <c r="AD1314" s="141">
        <v>0.0</v>
      </c>
      <c r="AE1314" s="80">
        <v>0.0</v>
      </c>
      <c r="AF1314" s="140">
        <v>0.0</v>
      </c>
      <c r="AG1314" s="109">
        <v>0.0</v>
      </c>
      <c r="AH1314" s="109">
        <v>0.0</v>
      </c>
      <c r="AI1314" s="141">
        <v>0.0</v>
      </c>
      <c r="AJ1314" s="80">
        <v>0.0</v>
      </c>
      <c r="AK1314" s="140">
        <v>0.0</v>
      </c>
      <c r="AL1314" s="109">
        <v>0.0</v>
      </c>
      <c r="AM1314" s="141">
        <v>0.0</v>
      </c>
      <c r="AN1314" s="80">
        <v>0.0</v>
      </c>
      <c r="AO1314" s="140">
        <v>0.0</v>
      </c>
      <c r="AP1314" s="109">
        <v>0.0</v>
      </c>
      <c r="AQ1314" s="109">
        <v>0.0</v>
      </c>
      <c r="AR1314" s="80">
        <v>0.0</v>
      </c>
      <c r="AS1314" s="110">
        <v>0.0</v>
      </c>
      <c r="AT1314" s="110">
        <v>0.0</v>
      </c>
      <c r="AU1314" s="110">
        <v>0.0</v>
      </c>
      <c r="AV1314" s="142">
        <v>0.0</v>
      </c>
      <c r="AW1314" s="80">
        <v>0.0</v>
      </c>
      <c r="AX1314" s="346">
        <v>238.0</v>
      </c>
      <c r="AY1314" s="347">
        <v>238.0</v>
      </c>
      <c r="AZ1314" s="348">
        <v>22.0</v>
      </c>
      <c r="BA1314" s="349">
        <v>0.0</v>
      </c>
      <c r="BB1314" s="316">
        <v>238.0</v>
      </c>
      <c r="BC1314" s="132" t="s">
        <v>553</v>
      </c>
      <c r="BD1314" s="132" t="s">
        <v>178</v>
      </c>
      <c r="BE1314" s="132" t="s">
        <v>178</v>
      </c>
      <c r="BF1314" s="156"/>
      <c r="BG1314" s="83">
        <v>1178421.0</v>
      </c>
      <c r="BH1314" s="112">
        <v>16.0</v>
      </c>
      <c r="BI1314" s="98" t="s">
        <v>155</v>
      </c>
      <c r="BJ1314" s="98" t="str">
        <f t="shared" si="1"/>
        <v>NÃO</v>
      </c>
      <c r="BK1314" s="98" t="str">
        <f t="shared" si="2"/>
        <v>NÃO</v>
      </c>
    </row>
    <row r="1315" ht="15.75" customHeight="1">
      <c r="A1315" s="111" t="s">
        <v>1535</v>
      </c>
      <c r="B1315" s="83" t="s">
        <v>7016</v>
      </c>
      <c r="C1315" s="83" t="s">
        <v>164</v>
      </c>
      <c r="D1315" s="83">
        <v>1117850.0</v>
      </c>
      <c r="E1315" s="83">
        <v>1178630.0</v>
      </c>
      <c r="F1315" s="83"/>
      <c r="G1315" s="114" t="s">
        <v>7195</v>
      </c>
      <c r="H1315" s="91" t="s">
        <v>7196</v>
      </c>
      <c r="I1315" s="187" t="s">
        <v>7197</v>
      </c>
      <c r="J1315" s="83" t="s">
        <v>1301</v>
      </c>
      <c r="K1315" s="83" t="s">
        <v>168</v>
      </c>
      <c r="L1315" s="83" t="s">
        <v>169</v>
      </c>
      <c r="M1315" s="82" t="s">
        <v>11541</v>
      </c>
      <c r="N1315" s="82" t="s">
        <v>11542</v>
      </c>
      <c r="O1315" s="82" t="s">
        <v>11543</v>
      </c>
      <c r="P1315" s="82" t="s">
        <v>11544</v>
      </c>
      <c r="Q1315" s="82" t="s">
        <v>11545</v>
      </c>
      <c r="R1315" s="82" t="s">
        <v>11546</v>
      </c>
      <c r="S1315" s="82" t="s">
        <v>11547</v>
      </c>
      <c r="T1315" s="138">
        <v>9.0</v>
      </c>
      <c r="U1315" s="393">
        <v>5.0</v>
      </c>
      <c r="V1315" s="106">
        <v>0.0</v>
      </c>
      <c r="W1315" s="107">
        <v>0.0</v>
      </c>
      <c r="X1315" s="107">
        <v>0.0</v>
      </c>
      <c r="Y1315" s="107">
        <v>0.0</v>
      </c>
      <c r="Z1315" s="80">
        <v>0.0</v>
      </c>
      <c r="AA1315" s="140">
        <v>0.0</v>
      </c>
      <c r="AB1315" s="109">
        <v>0.0</v>
      </c>
      <c r="AC1315" s="109">
        <v>0.0</v>
      </c>
      <c r="AD1315" s="141">
        <v>0.0</v>
      </c>
      <c r="AE1315" s="80">
        <v>0.0</v>
      </c>
      <c r="AF1315" s="140">
        <v>0.0</v>
      </c>
      <c r="AG1315" s="109">
        <v>0.0</v>
      </c>
      <c r="AH1315" s="109">
        <v>0.0</v>
      </c>
      <c r="AI1315" s="141">
        <v>0.0</v>
      </c>
      <c r="AJ1315" s="80">
        <v>0.0</v>
      </c>
      <c r="AK1315" s="140">
        <v>87.0</v>
      </c>
      <c r="AL1315" s="109">
        <v>86.0</v>
      </c>
      <c r="AM1315" s="141">
        <v>0.0</v>
      </c>
      <c r="AN1315" s="80">
        <v>173.0</v>
      </c>
      <c r="AO1315" s="140">
        <v>27.0</v>
      </c>
      <c r="AP1315" s="109">
        <v>43.0</v>
      </c>
      <c r="AQ1315" s="109">
        <v>0.0</v>
      </c>
      <c r="AR1315" s="80">
        <v>70.0</v>
      </c>
      <c r="AS1315" s="110">
        <v>0.0</v>
      </c>
      <c r="AT1315" s="110">
        <v>0.0</v>
      </c>
      <c r="AU1315" s="110">
        <v>0.0</v>
      </c>
      <c r="AV1315" s="142">
        <v>0.0</v>
      </c>
      <c r="AW1315" s="80">
        <v>0.0</v>
      </c>
      <c r="AX1315" s="113">
        <v>243.0</v>
      </c>
      <c r="AY1315" s="117">
        <v>243.0</v>
      </c>
      <c r="AZ1315" s="328">
        <v>0.0</v>
      </c>
      <c r="BA1315" s="315">
        <v>0.0</v>
      </c>
      <c r="BB1315" s="316">
        <v>243.0</v>
      </c>
      <c r="BC1315" s="132" t="s">
        <v>563</v>
      </c>
      <c r="BD1315" s="132" t="s">
        <v>178</v>
      </c>
      <c r="BE1315" s="132" t="s">
        <v>178</v>
      </c>
      <c r="BF1315" s="156"/>
      <c r="BG1315" s="83">
        <v>1178630.0</v>
      </c>
      <c r="BH1315" s="112">
        <v>5.0</v>
      </c>
      <c r="BI1315" s="98" t="s">
        <v>155</v>
      </c>
      <c r="BJ1315" s="98" t="str">
        <f t="shared" si="1"/>
        <v>NÃO</v>
      </c>
      <c r="BK1315" s="98" t="str">
        <f t="shared" si="2"/>
        <v>NÃO</v>
      </c>
    </row>
    <row r="1316" ht="15.75" customHeight="1">
      <c r="A1316" s="111" t="s">
        <v>1535</v>
      </c>
      <c r="B1316" s="83" t="s">
        <v>7016</v>
      </c>
      <c r="C1316" s="83" t="s">
        <v>164</v>
      </c>
      <c r="D1316" s="83">
        <v>1117850.0</v>
      </c>
      <c r="E1316" s="83">
        <v>1178253.0</v>
      </c>
      <c r="F1316" s="83"/>
      <c r="G1316" s="114" t="s">
        <v>7198</v>
      </c>
      <c r="H1316" s="91" t="s">
        <v>7199</v>
      </c>
      <c r="I1316" s="114" t="s">
        <v>7200</v>
      </c>
      <c r="J1316" s="83" t="s">
        <v>839</v>
      </c>
      <c r="K1316" s="83" t="s">
        <v>168</v>
      </c>
      <c r="L1316" s="83" t="s">
        <v>169</v>
      </c>
      <c r="M1316" s="82" t="s">
        <v>11541</v>
      </c>
      <c r="N1316" s="82" t="s">
        <v>11542</v>
      </c>
      <c r="O1316" s="82" t="s">
        <v>11543</v>
      </c>
      <c r="P1316" s="82" t="s">
        <v>11544</v>
      </c>
      <c r="Q1316" s="82" t="s">
        <v>11545</v>
      </c>
      <c r="R1316" s="82" t="s">
        <v>11546</v>
      </c>
      <c r="S1316" s="82" t="s">
        <v>11547</v>
      </c>
      <c r="T1316" s="138">
        <v>3.0</v>
      </c>
      <c r="U1316" s="323">
        <v>4.0</v>
      </c>
      <c r="V1316" s="106">
        <v>0.0</v>
      </c>
      <c r="W1316" s="107">
        <v>0.0</v>
      </c>
      <c r="X1316" s="107">
        <v>0.0</v>
      </c>
      <c r="Y1316" s="107">
        <v>0.0</v>
      </c>
      <c r="Z1316" s="80">
        <v>0.0</v>
      </c>
      <c r="AA1316" s="140">
        <v>0.0</v>
      </c>
      <c r="AB1316" s="109">
        <v>0.0</v>
      </c>
      <c r="AC1316" s="109">
        <v>0.0</v>
      </c>
      <c r="AD1316" s="141">
        <v>0.0</v>
      </c>
      <c r="AE1316" s="80">
        <v>0.0</v>
      </c>
      <c r="AF1316" s="140">
        <v>0.0</v>
      </c>
      <c r="AG1316" s="109">
        <v>0.0</v>
      </c>
      <c r="AH1316" s="109">
        <v>18.0</v>
      </c>
      <c r="AI1316" s="141">
        <v>0.0</v>
      </c>
      <c r="AJ1316" s="80">
        <v>18.0</v>
      </c>
      <c r="AK1316" s="140">
        <v>0.0</v>
      </c>
      <c r="AL1316" s="109">
        <v>0.0</v>
      </c>
      <c r="AM1316" s="141">
        <v>0.0</v>
      </c>
      <c r="AN1316" s="80">
        <v>0.0</v>
      </c>
      <c r="AO1316" s="140">
        <v>0.0</v>
      </c>
      <c r="AP1316" s="109">
        <v>0.0</v>
      </c>
      <c r="AQ1316" s="109">
        <v>22.0</v>
      </c>
      <c r="AR1316" s="80">
        <v>22.0</v>
      </c>
      <c r="AS1316" s="110">
        <v>0.0</v>
      </c>
      <c r="AT1316" s="110">
        <v>0.0</v>
      </c>
      <c r="AU1316" s="110">
        <v>0.0</v>
      </c>
      <c r="AV1316" s="142">
        <v>0.0</v>
      </c>
      <c r="AW1316" s="80">
        <v>0.0</v>
      </c>
      <c r="AX1316" s="113">
        <v>40.0</v>
      </c>
      <c r="AY1316" s="117">
        <v>0.0</v>
      </c>
      <c r="AZ1316" s="328">
        <v>40.0</v>
      </c>
      <c r="BA1316" s="315">
        <v>0.0</v>
      </c>
      <c r="BB1316" s="316">
        <v>40.0</v>
      </c>
      <c r="BC1316" s="132" t="s">
        <v>373</v>
      </c>
      <c r="BD1316" s="132" t="s">
        <v>178</v>
      </c>
      <c r="BE1316" s="132" t="s">
        <v>178</v>
      </c>
      <c r="BF1316" s="156"/>
      <c r="BG1316" s="83">
        <v>1178253.0</v>
      </c>
      <c r="BH1316" s="112">
        <v>4.0</v>
      </c>
      <c r="BI1316" s="98" t="s">
        <v>155</v>
      </c>
      <c r="BJ1316" s="98" t="str">
        <f t="shared" si="1"/>
        <v>NÃO</v>
      </c>
      <c r="BK1316" s="98" t="str">
        <f t="shared" si="2"/>
        <v>NÃO</v>
      </c>
    </row>
    <row r="1317" ht="15.75" customHeight="1">
      <c r="A1317" s="111" t="s">
        <v>1535</v>
      </c>
      <c r="B1317" s="83" t="s">
        <v>7016</v>
      </c>
      <c r="C1317" s="83" t="s">
        <v>164</v>
      </c>
      <c r="D1317" s="83">
        <v>1117850.0</v>
      </c>
      <c r="E1317" s="83">
        <v>1178252.0</v>
      </c>
      <c r="F1317" s="83"/>
      <c r="G1317" s="114" t="s">
        <v>7203</v>
      </c>
      <c r="H1317" s="91" t="s">
        <v>7204</v>
      </c>
      <c r="I1317" s="187" t="s">
        <v>7205</v>
      </c>
      <c r="J1317" s="83" t="s">
        <v>1765</v>
      </c>
      <c r="K1317" s="83" t="s">
        <v>168</v>
      </c>
      <c r="L1317" s="83" t="s">
        <v>169</v>
      </c>
      <c r="M1317" s="82" t="s">
        <v>11541</v>
      </c>
      <c r="N1317" s="82" t="s">
        <v>11542</v>
      </c>
      <c r="O1317" s="82" t="s">
        <v>11543</v>
      </c>
      <c r="P1317" s="82" t="s">
        <v>11544</v>
      </c>
      <c r="Q1317" s="82" t="s">
        <v>11545</v>
      </c>
      <c r="R1317" s="82" t="s">
        <v>11546</v>
      </c>
      <c r="S1317" s="82" t="s">
        <v>11547</v>
      </c>
      <c r="T1317" s="138">
        <v>4.0</v>
      </c>
      <c r="U1317" s="323">
        <v>3.0</v>
      </c>
      <c r="V1317" s="106">
        <v>0.0</v>
      </c>
      <c r="W1317" s="107">
        <v>0.0</v>
      </c>
      <c r="X1317" s="107">
        <v>0.0</v>
      </c>
      <c r="Y1317" s="107">
        <v>0.0</v>
      </c>
      <c r="Z1317" s="80">
        <v>0.0</v>
      </c>
      <c r="AA1317" s="140">
        <v>0.0</v>
      </c>
      <c r="AB1317" s="109">
        <v>0.0</v>
      </c>
      <c r="AC1317" s="109">
        <v>0.0</v>
      </c>
      <c r="AD1317" s="141">
        <v>0.0</v>
      </c>
      <c r="AE1317" s="80">
        <v>0.0</v>
      </c>
      <c r="AF1317" s="140">
        <v>0.0</v>
      </c>
      <c r="AG1317" s="109">
        <v>74.0</v>
      </c>
      <c r="AH1317" s="109">
        <v>13.0</v>
      </c>
      <c r="AI1317" s="141">
        <v>0.0</v>
      </c>
      <c r="AJ1317" s="80">
        <v>87.0</v>
      </c>
      <c r="AK1317" s="140">
        <v>0.0</v>
      </c>
      <c r="AL1317" s="109">
        <v>0.0</v>
      </c>
      <c r="AM1317" s="141">
        <v>0.0</v>
      </c>
      <c r="AN1317" s="80">
        <v>0.0</v>
      </c>
      <c r="AO1317" s="140">
        <v>0.0</v>
      </c>
      <c r="AP1317" s="109">
        <v>0.0</v>
      </c>
      <c r="AQ1317" s="109">
        <v>23.0</v>
      </c>
      <c r="AR1317" s="80">
        <v>23.0</v>
      </c>
      <c r="AS1317" s="110">
        <v>0.0</v>
      </c>
      <c r="AT1317" s="110">
        <v>0.0</v>
      </c>
      <c r="AU1317" s="110">
        <v>0.0</v>
      </c>
      <c r="AV1317" s="142">
        <v>0.0</v>
      </c>
      <c r="AW1317" s="80">
        <v>0.0</v>
      </c>
      <c r="AX1317" s="113">
        <v>110.0</v>
      </c>
      <c r="AY1317" s="117">
        <v>74.0</v>
      </c>
      <c r="AZ1317" s="328">
        <v>36.0</v>
      </c>
      <c r="BA1317" s="315">
        <v>0.0</v>
      </c>
      <c r="BB1317" s="316">
        <v>110.0</v>
      </c>
      <c r="BC1317" s="132" t="s">
        <v>373</v>
      </c>
      <c r="BD1317" s="132" t="s">
        <v>178</v>
      </c>
      <c r="BE1317" s="132" t="s">
        <v>178</v>
      </c>
      <c r="BF1317" s="123"/>
      <c r="BG1317" s="83">
        <v>1178252.0</v>
      </c>
      <c r="BH1317" s="112">
        <v>3.0</v>
      </c>
      <c r="BI1317" s="98" t="s">
        <v>155</v>
      </c>
      <c r="BJ1317" s="98" t="str">
        <f t="shared" si="1"/>
        <v>NÃO</v>
      </c>
      <c r="BK1317" s="98" t="str">
        <f t="shared" si="2"/>
        <v>NÃO</v>
      </c>
    </row>
    <row r="1318" ht="15.75" customHeight="1">
      <c r="A1318" s="111" t="s">
        <v>1535</v>
      </c>
      <c r="B1318" s="83" t="s">
        <v>7016</v>
      </c>
      <c r="C1318" s="83" t="s">
        <v>164</v>
      </c>
      <c r="D1318" s="83">
        <v>1179277.0</v>
      </c>
      <c r="E1318" s="83">
        <v>1178633.0</v>
      </c>
      <c r="F1318" s="83"/>
      <c r="G1318" s="114" t="s">
        <v>7214</v>
      </c>
      <c r="H1318" s="91" t="s">
        <v>7216</v>
      </c>
      <c r="I1318" s="114" t="s">
        <v>149</v>
      </c>
      <c r="J1318" s="83" t="s">
        <v>315</v>
      </c>
      <c r="K1318" s="83" t="s">
        <v>168</v>
      </c>
      <c r="L1318" s="83" t="s">
        <v>169</v>
      </c>
      <c r="M1318" s="82" t="s">
        <v>11439</v>
      </c>
      <c r="N1318" s="82" t="s">
        <v>11440</v>
      </c>
      <c r="O1318" s="82" t="s">
        <v>11441</v>
      </c>
      <c r="P1318" s="82" t="s">
        <v>11442</v>
      </c>
      <c r="Q1318" s="82" t="s">
        <v>11443</v>
      </c>
      <c r="R1318" s="82" t="s">
        <v>11444</v>
      </c>
      <c r="S1318" s="82" t="s">
        <v>11445</v>
      </c>
      <c r="T1318" s="138">
        <v>3.0</v>
      </c>
      <c r="U1318" s="323">
        <v>3.0</v>
      </c>
      <c r="V1318" s="106">
        <v>0.0</v>
      </c>
      <c r="W1318" s="107">
        <v>0.0</v>
      </c>
      <c r="X1318" s="107">
        <v>0.0</v>
      </c>
      <c r="Y1318" s="107">
        <v>0.0</v>
      </c>
      <c r="Z1318" s="80">
        <v>0.0</v>
      </c>
      <c r="AA1318" s="140">
        <v>0.0</v>
      </c>
      <c r="AB1318" s="109">
        <v>0.0</v>
      </c>
      <c r="AC1318" s="109">
        <v>0.0</v>
      </c>
      <c r="AD1318" s="141">
        <v>0.0</v>
      </c>
      <c r="AE1318" s="80">
        <v>0.0</v>
      </c>
      <c r="AF1318" s="140">
        <v>0.0</v>
      </c>
      <c r="AG1318" s="109">
        <v>25.0</v>
      </c>
      <c r="AH1318" s="109">
        <v>0.0</v>
      </c>
      <c r="AI1318" s="141">
        <v>0.0</v>
      </c>
      <c r="AJ1318" s="80">
        <v>25.0</v>
      </c>
      <c r="AK1318" s="140">
        <v>0.0</v>
      </c>
      <c r="AL1318" s="109">
        <v>0.0</v>
      </c>
      <c r="AM1318" s="141">
        <v>0.0</v>
      </c>
      <c r="AN1318" s="80">
        <v>0.0</v>
      </c>
      <c r="AO1318" s="140">
        <v>0.0</v>
      </c>
      <c r="AP1318" s="109">
        <v>0.0</v>
      </c>
      <c r="AQ1318" s="109">
        <v>0.0</v>
      </c>
      <c r="AR1318" s="80">
        <v>0.0</v>
      </c>
      <c r="AS1318" s="110">
        <v>0.0</v>
      </c>
      <c r="AT1318" s="110">
        <v>0.0</v>
      </c>
      <c r="AU1318" s="110">
        <v>0.0</v>
      </c>
      <c r="AV1318" s="142">
        <v>0.0</v>
      </c>
      <c r="AW1318" s="80">
        <v>0.0</v>
      </c>
      <c r="AX1318" s="113">
        <v>25.0</v>
      </c>
      <c r="AY1318" s="117">
        <v>25.0</v>
      </c>
      <c r="AZ1318" s="328">
        <v>0.0</v>
      </c>
      <c r="BA1318" s="315">
        <v>0.0</v>
      </c>
      <c r="BB1318" s="316">
        <v>25.0</v>
      </c>
      <c r="BC1318" s="132" t="s">
        <v>178</v>
      </c>
      <c r="BD1318" s="143" t="s">
        <v>227</v>
      </c>
      <c r="BE1318" s="132" t="s">
        <v>178</v>
      </c>
      <c r="BF1318" s="123"/>
      <c r="BG1318" s="83">
        <v>1178633.0</v>
      </c>
      <c r="BH1318" s="112">
        <v>3.0</v>
      </c>
      <c r="BI1318" s="98" t="s">
        <v>155</v>
      </c>
      <c r="BJ1318" s="98" t="str">
        <f t="shared" si="1"/>
        <v>NÃO</v>
      </c>
      <c r="BK1318" s="98" t="str">
        <f t="shared" si="2"/>
        <v>NÃO</v>
      </c>
    </row>
    <row r="1319" ht="15.75" customHeight="1">
      <c r="A1319" s="111" t="s">
        <v>1535</v>
      </c>
      <c r="B1319" s="83" t="s">
        <v>7222</v>
      </c>
      <c r="C1319" s="83" t="s">
        <v>68</v>
      </c>
      <c r="D1319" s="83">
        <v>1178260.0</v>
      </c>
      <c r="E1319" s="83"/>
      <c r="F1319" s="83">
        <v>2.9457602E7</v>
      </c>
      <c r="G1319" s="114" t="s">
        <v>11594</v>
      </c>
      <c r="H1319" s="91" t="s">
        <v>7224</v>
      </c>
      <c r="I1319" s="187" t="s">
        <v>149</v>
      </c>
      <c r="J1319" s="83" t="s">
        <v>150</v>
      </c>
      <c r="K1319" s="83" t="s">
        <v>151</v>
      </c>
      <c r="L1319" s="83" t="s">
        <v>230</v>
      </c>
      <c r="M1319" s="82" t="s">
        <v>11595</v>
      </c>
      <c r="N1319" s="82" t="s">
        <v>11596</v>
      </c>
      <c r="O1319" s="82" t="s">
        <v>11597</v>
      </c>
      <c r="P1319" s="82" t="s">
        <v>11598</v>
      </c>
      <c r="Q1319" s="82" t="s">
        <v>11599</v>
      </c>
      <c r="R1319" s="82" t="s">
        <v>11600</v>
      </c>
      <c r="S1319" s="82" t="s">
        <v>11601</v>
      </c>
      <c r="T1319" s="138">
        <v>10.0</v>
      </c>
      <c r="U1319" s="323" t="s">
        <v>11602</v>
      </c>
      <c r="V1319" s="106">
        <v>0.0</v>
      </c>
      <c r="W1319" s="107">
        <v>0.0</v>
      </c>
      <c r="X1319" s="107">
        <v>0.0</v>
      </c>
      <c r="Y1319" s="107">
        <v>0.0</v>
      </c>
      <c r="Z1319" s="80">
        <v>0.0</v>
      </c>
      <c r="AA1319" s="140">
        <v>0.0</v>
      </c>
      <c r="AB1319" s="109">
        <v>0.0</v>
      </c>
      <c r="AC1319" s="109">
        <v>0.0</v>
      </c>
      <c r="AD1319" s="141">
        <v>0.0</v>
      </c>
      <c r="AE1319" s="80">
        <v>0.0</v>
      </c>
      <c r="AF1319" s="140">
        <v>77.0</v>
      </c>
      <c r="AG1319" s="109">
        <v>26.0</v>
      </c>
      <c r="AH1319" s="109">
        <v>35.0</v>
      </c>
      <c r="AI1319" s="141">
        <v>310.0</v>
      </c>
      <c r="AJ1319" s="80">
        <v>448.0</v>
      </c>
      <c r="AK1319" s="140">
        <v>0.0</v>
      </c>
      <c r="AL1319" s="109">
        <v>0.0</v>
      </c>
      <c r="AM1319" s="141">
        <v>0.0</v>
      </c>
      <c r="AN1319" s="80">
        <v>0.0</v>
      </c>
      <c r="AO1319" s="140">
        <v>0.0</v>
      </c>
      <c r="AP1319" s="109">
        <v>0.0</v>
      </c>
      <c r="AQ1319" s="109">
        <v>116.0</v>
      </c>
      <c r="AR1319" s="80">
        <v>116.0</v>
      </c>
      <c r="AS1319" s="110">
        <v>0.0</v>
      </c>
      <c r="AT1319" s="110">
        <v>0.0</v>
      </c>
      <c r="AU1319" s="110">
        <v>65.0</v>
      </c>
      <c r="AV1319" s="142">
        <v>0.0</v>
      </c>
      <c r="AW1319" s="80">
        <v>65.0</v>
      </c>
      <c r="AX1319" s="113">
        <v>629.0</v>
      </c>
      <c r="AY1319" s="117">
        <v>413.0</v>
      </c>
      <c r="AZ1319" s="328">
        <v>216.0</v>
      </c>
      <c r="BA1319" s="315">
        <v>2.0</v>
      </c>
      <c r="BB1319" s="316">
        <v>631.0</v>
      </c>
      <c r="BC1319" s="132" t="s">
        <v>178</v>
      </c>
      <c r="BD1319" s="132" t="s">
        <v>178</v>
      </c>
      <c r="BE1319" s="132" t="s">
        <v>178</v>
      </c>
      <c r="BF1319" s="123"/>
      <c r="BG1319" s="83">
        <v>1178260.0</v>
      </c>
      <c r="BH1319" s="112">
        <v>10.0</v>
      </c>
      <c r="BI1319" s="98" t="s">
        <v>155</v>
      </c>
      <c r="BJ1319" s="98" t="str">
        <f t="shared" si="1"/>
        <v>INTEGRAL</v>
      </c>
      <c r="BK1319" s="98" t="str">
        <f t="shared" si="2"/>
        <v>PROFISSIONAL</v>
      </c>
    </row>
    <row r="1320" ht="15.75" customHeight="1">
      <c r="A1320" s="111" t="s">
        <v>1535</v>
      </c>
      <c r="B1320" s="83" t="s">
        <v>7233</v>
      </c>
      <c r="C1320" s="83" t="s">
        <v>68</v>
      </c>
      <c r="D1320" s="83">
        <v>1118147.0</v>
      </c>
      <c r="E1320" s="83"/>
      <c r="F1320" s="83">
        <v>2.927379E7</v>
      </c>
      <c r="G1320" s="114" t="s">
        <v>7236</v>
      </c>
      <c r="H1320" s="91" t="s">
        <v>7237</v>
      </c>
      <c r="I1320" s="187" t="s">
        <v>149</v>
      </c>
      <c r="J1320" s="83" t="s">
        <v>150</v>
      </c>
      <c r="K1320" s="83" t="s">
        <v>151</v>
      </c>
      <c r="L1320" s="83" t="s">
        <v>152</v>
      </c>
      <c r="M1320" s="82" t="s">
        <v>11603</v>
      </c>
      <c r="N1320" s="82" t="s">
        <v>11604</v>
      </c>
      <c r="O1320" s="82" t="s">
        <v>11605</v>
      </c>
      <c r="P1320" s="82" t="s">
        <v>11606</v>
      </c>
      <c r="Q1320" s="82"/>
      <c r="R1320" s="82"/>
      <c r="S1320" s="82" t="s">
        <v>11607</v>
      </c>
      <c r="T1320" s="138">
        <v>7.0</v>
      </c>
      <c r="U1320" s="323" t="s">
        <v>11608</v>
      </c>
      <c r="V1320" s="106">
        <v>0.0</v>
      </c>
      <c r="W1320" s="107">
        <v>0.0</v>
      </c>
      <c r="X1320" s="107">
        <v>0.0</v>
      </c>
      <c r="Y1320" s="107">
        <v>0.0</v>
      </c>
      <c r="Z1320" s="80">
        <v>0.0</v>
      </c>
      <c r="AA1320" s="140">
        <v>0.0</v>
      </c>
      <c r="AB1320" s="109">
        <v>0.0</v>
      </c>
      <c r="AC1320" s="109">
        <v>0.0</v>
      </c>
      <c r="AD1320" s="141">
        <v>0.0</v>
      </c>
      <c r="AE1320" s="80">
        <v>0.0</v>
      </c>
      <c r="AF1320" s="140">
        <v>0.0</v>
      </c>
      <c r="AG1320" s="109">
        <v>0.0</v>
      </c>
      <c r="AH1320" s="109">
        <v>0.0</v>
      </c>
      <c r="AI1320" s="141">
        <v>231.0</v>
      </c>
      <c r="AJ1320" s="80">
        <v>231.0</v>
      </c>
      <c r="AK1320" s="140">
        <v>0.0</v>
      </c>
      <c r="AL1320" s="109">
        <v>0.0</v>
      </c>
      <c r="AM1320" s="141">
        <v>0.0</v>
      </c>
      <c r="AN1320" s="80">
        <v>0.0</v>
      </c>
      <c r="AO1320" s="140">
        <v>0.0</v>
      </c>
      <c r="AP1320" s="109">
        <v>0.0</v>
      </c>
      <c r="AQ1320" s="109">
        <v>51.0</v>
      </c>
      <c r="AR1320" s="80">
        <v>51.0</v>
      </c>
      <c r="AS1320" s="110">
        <v>0.0</v>
      </c>
      <c r="AT1320" s="110">
        <v>0.0</v>
      </c>
      <c r="AU1320" s="110">
        <v>0.0</v>
      </c>
      <c r="AV1320" s="142">
        <v>0.0</v>
      </c>
      <c r="AW1320" s="80">
        <v>0.0</v>
      </c>
      <c r="AX1320" s="113">
        <v>282.0</v>
      </c>
      <c r="AY1320" s="117">
        <v>231.0</v>
      </c>
      <c r="AZ1320" s="328">
        <v>51.0</v>
      </c>
      <c r="BA1320" s="315">
        <v>0.0</v>
      </c>
      <c r="BB1320" s="316">
        <v>282.0</v>
      </c>
      <c r="BC1320" s="132" t="s">
        <v>178</v>
      </c>
      <c r="BD1320" s="132" t="s">
        <v>178</v>
      </c>
      <c r="BE1320" s="132" t="s">
        <v>178</v>
      </c>
      <c r="BF1320" s="123"/>
      <c r="BG1320" s="83">
        <v>1118147.0</v>
      </c>
      <c r="BH1320" s="112">
        <v>6.0</v>
      </c>
      <c r="BI1320" s="98" t="s">
        <v>155</v>
      </c>
      <c r="BJ1320" s="98" t="str">
        <f t="shared" si="1"/>
        <v>INTEGRAL</v>
      </c>
      <c r="BK1320" s="98" t="str">
        <f t="shared" si="2"/>
        <v>NÃO</v>
      </c>
    </row>
    <row r="1321" ht="15.75" customHeight="1">
      <c r="A1321" s="111" t="s">
        <v>1535</v>
      </c>
      <c r="B1321" s="83" t="s">
        <v>7233</v>
      </c>
      <c r="C1321" s="83" t="s">
        <v>164</v>
      </c>
      <c r="D1321" s="83">
        <v>1179277.0</v>
      </c>
      <c r="E1321" s="83">
        <v>1179075.0</v>
      </c>
      <c r="F1321" s="83"/>
      <c r="G1321" s="114" t="s">
        <v>7251</v>
      </c>
      <c r="H1321" s="91" t="s">
        <v>7252</v>
      </c>
      <c r="I1321" s="187" t="s">
        <v>149</v>
      </c>
      <c r="J1321" s="83" t="s">
        <v>7253</v>
      </c>
      <c r="K1321" s="83" t="s">
        <v>168</v>
      </c>
      <c r="L1321" s="83" t="s">
        <v>169</v>
      </c>
      <c r="M1321" s="82" t="s">
        <v>11439</v>
      </c>
      <c r="N1321" s="82" t="s">
        <v>11440</v>
      </c>
      <c r="O1321" s="82" t="s">
        <v>11441</v>
      </c>
      <c r="P1321" s="82" t="s">
        <v>11442</v>
      </c>
      <c r="Q1321" s="82" t="s">
        <v>11443</v>
      </c>
      <c r="R1321" s="82" t="s">
        <v>11444</v>
      </c>
      <c r="S1321" s="82" t="s">
        <v>11445</v>
      </c>
      <c r="T1321" s="138">
        <v>3.0</v>
      </c>
      <c r="U1321" s="323">
        <v>3.0</v>
      </c>
      <c r="V1321" s="106">
        <v>0.0</v>
      </c>
      <c r="W1321" s="107">
        <v>0.0</v>
      </c>
      <c r="X1321" s="107">
        <v>0.0</v>
      </c>
      <c r="Y1321" s="107">
        <v>0.0</v>
      </c>
      <c r="Z1321" s="80">
        <v>0.0</v>
      </c>
      <c r="AA1321" s="140">
        <v>0.0</v>
      </c>
      <c r="AB1321" s="109">
        <v>0.0</v>
      </c>
      <c r="AC1321" s="109">
        <v>0.0</v>
      </c>
      <c r="AD1321" s="141">
        <v>0.0</v>
      </c>
      <c r="AE1321" s="80">
        <v>0.0</v>
      </c>
      <c r="AF1321" s="140">
        <v>0.0</v>
      </c>
      <c r="AG1321" s="109">
        <v>0.0</v>
      </c>
      <c r="AH1321" s="109">
        <v>36.0</v>
      </c>
      <c r="AI1321" s="141">
        <v>0.0</v>
      </c>
      <c r="AJ1321" s="80">
        <v>36.0</v>
      </c>
      <c r="AK1321" s="140">
        <v>0.0</v>
      </c>
      <c r="AL1321" s="109">
        <v>0.0</v>
      </c>
      <c r="AM1321" s="141">
        <v>0.0</v>
      </c>
      <c r="AN1321" s="80">
        <v>0.0</v>
      </c>
      <c r="AO1321" s="140">
        <v>0.0</v>
      </c>
      <c r="AP1321" s="109">
        <v>0.0</v>
      </c>
      <c r="AQ1321" s="109">
        <v>0.0</v>
      </c>
      <c r="AR1321" s="80">
        <v>0.0</v>
      </c>
      <c r="AS1321" s="110">
        <v>0.0</v>
      </c>
      <c r="AT1321" s="110">
        <v>0.0</v>
      </c>
      <c r="AU1321" s="110">
        <v>0.0</v>
      </c>
      <c r="AV1321" s="142">
        <v>0.0</v>
      </c>
      <c r="AW1321" s="80">
        <v>0.0</v>
      </c>
      <c r="AX1321" s="113">
        <v>36.0</v>
      </c>
      <c r="AY1321" s="117">
        <v>0.0</v>
      </c>
      <c r="AZ1321" s="328">
        <v>36.0</v>
      </c>
      <c r="BA1321" s="315">
        <v>0.0</v>
      </c>
      <c r="BB1321" s="316">
        <v>36.0</v>
      </c>
      <c r="BC1321" s="132" t="s">
        <v>178</v>
      </c>
      <c r="BD1321" s="143" t="s">
        <v>227</v>
      </c>
      <c r="BE1321" s="132" t="s">
        <v>178</v>
      </c>
      <c r="BF1321" s="179"/>
      <c r="BG1321" s="83">
        <v>1179075.0</v>
      </c>
      <c r="BH1321" s="112">
        <v>3.0</v>
      </c>
      <c r="BI1321" s="98" t="s">
        <v>155</v>
      </c>
      <c r="BJ1321" s="98" t="str">
        <f t="shared" si="1"/>
        <v>NÃO</v>
      </c>
      <c r="BK1321" s="98" t="str">
        <f t="shared" si="2"/>
        <v>NÃO</v>
      </c>
    </row>
    <row r="1322" ht="15.75" customHeight="1">
      <c r="A1322" s="111" t="s">
        <v>1535</v>
      </c>
      <c r="B1322" s="83" t="s">
        <v>7254</v>
      </c>
      <c r="C1322" s="83" t="s">
        <v>68</v>
      </c>
      <c r="D1322" s="83">
        <v>1178083.0</v>
      </c>
      <c r="E1322" s="83"/>
      <c r="F1322" s="83">
        <v>2.9429498E7</v>
      </c>
      <c r="G1322" s="114" t="s">
        <v>7255</v>
      </c>
      <c r="H1322" s="91" t="s">
        <v>7258</v>
      </c>
      <c r="I1322" s="187" t="s">
        <v>149</v>
      </c>
      <c r="J1322" s="83" t="s">
        <v>150</v>
      </c>
      <c r="K1322" s="83" t="s">
        <v>151</v>
      </c>
      <c r="L1322" s="83" t="s">
        <v>76</v>
      </c>
      <c r="M1322" s="82" t="s">
        <v>11609</v>
      </c>
      <c r="N1322" s="82" t="s">
        <v>11610</v>
      </c>
      <c r="O1322" s="82" t="s">
        <v>11611</v>
      </c>
      <c r="P1322" s="82" t="s">
        <v>11612</v>
      </c>
      <c r="Q1322" s="82"/>
      <c r="R1322" s="82"/>
      <c r="S1322" s="82" t="s">
        <v>11613</v>
      </c>
      <c r="T1322" s="138">
        <v>6.0</v>
      </c>
      <c r="U1322" s="331" t="s">
        <v>11614</v>
      </c>
      <c r="V1322" s="106">
        <v>0.0</v>
      </c>
      <c r="W1322" s="107">
        <v>0.0</v>
      </c>
      <c r="X1322" s="107">
        <v>0.0</v>
      </c>
      <c r="Y1322" s="107">
        <v>0.0</v>
      </c>
      <c r="Z1322" s="80">
        <v>0.0</v>
      </c>
      <c r="AA1322" s="140">
        <v>0.0</v>
      </c>
      <c r="AB1322" s="109">
        <v>0.0</v>
      </c>
      <c r="AC1322" s="109">
        <v>0.0</v>
      </c>
      <c r="AD1322" s="141">
        <v>0.0</v>
      </c>
      <c r="AE1322" s="80">
        <v>0.0</v>
      </c>
      <c r="AF1322" s="140">
        <v>0.0</v>
      </c>
      <c r="AG1322" s="109">
        <v>0.0</v>
      </c>
      <c r="AH1322" s="109">
        <v>0.0</v>
      </c>
      <c r="AI1322" s="141">
        <v>48.0</v>
      </c>
      <c r="AJ1322" s="80">
        <v>48.0</v>
      </c>
      <c r="AK1322" s="140">
        <v>0.0</v>
      </c>
      <c r="AL1322" s="109">
        <v>0.0</v>
      </c>
      <c r="AM1322" s="141">
        <v>0.0</v>
      </c>
      <c r="AN1322" s="80">
        <v>0.0</v>
      </c>
      <c r="AO1322" s="140">
        <v>0.0</v>
      </c>
      <c r="AP1322" s="109">
        <v>0.0</v>
      </c>
      <c r="AQ1322" s="109">
        <v>64.0</v>
      </c>
      <c r="AR1322" s="80">
        <v>64.0</v>
      </c>
      <c r="AS1322" s="110">
        <v>34.0</v>
      </c>
      <c r="AT1322" s="110">
        <v>0.0</v>
      </c>
      <c r="AU1322" s="110">
        <v>54.0</v>
      </c>
      <c r="AV1322" s="142">
        <v>46.0</v>
      </c>
      <c r="AW1322" s="80">
        <v>134.0</v>
      </c>
      <c r="AX1322" s="113">
        <v>246.0</v>
      </c>
      <c r="AY1322" s="117">
        <v>128.0</v>
      </c>
      <c r="AZ1322" s="328">
        <v>118.0</v>
      </c>
      <c r="BA1322" s="315">
        <v>4.0</v>
      </c>
      <c r="BB1322" s="316">
        <v>250.0</v>
      </c>
      <c r="BC1322" s="132" t="s">
        <v>178</v>
      </c>
      <c r="BD1322" s="132" t="s">
        <v>178</v>
      </c>
      <c r="BE1322" s="132" t="s">
        <v>178</v>
      </c>
      <c r="BF1322" s="123"/>
      <c r="BG1322" s="83">
        <v>1178083.0</v>
      </c>
      <c r="BH1322" s="112">
        <v>9.0</v>
      </c>
      <c r="BI1322" s="98" t="s">
        <v>155</v>
      </c>
      <c r="BJ1322" s="98" t="str">
        <f t="shared" si="1"/>
        <v>INTEGRAL</v>
      </c>
      <c r="BK1322" s="98" t="str">
        <f t="shared" si="2"/>
        <v>PROFISSIONAL</v>
      </c>
    </row>
    <row r="1323" ht="15.75" customHeight="1">
      <c r="A1323" s="111" t="s">
        <v>1535</v>
      </c>
      <c r="B1323" s="83" t="s">
        <v>7266</v>
      </c>
      <c r="C1323" s="83" t="s">
        <v>68</v>
      </c>
      <c r="D1323" s="83">
        <v>1118406.0</v>
      </c>
      <c r="E1323" s="83"/>
      <c r="F1323" s="83">
        <v>2.9314348E7</v>
      </c>
      <c r="G1323" s="119" t="s">
        <v>7268</v>
      </c>
      <c r="H1323" s="91" t="s">
        <v>7269</v>
      </c>
      <c r="I1323" s="114" t="s">
        <v>149</v>
      </c>
      <c r="J1323" s="83" t="s">
        <v>150</v>
      </c>
      <c r="K1323" s="83" t="s">
        <v>151</v>
      </c>
      <c r="L1323" s="83" t="s">
        <v>230</v>
      </c>
      <c r="M1323" s="82" t="s">
        <v>11615</v>
      </c>
      <c r="N1323" s="82" t="s">
        <v>11616</v>
      </c>
      <c r="O1323" s="82" t="s">
        <v>11617</v>
      </c>
      <c r="P1323" s="82" t="s">
        <v>11618</v>
      </c>
      <c r="Q1323" s="82" t="s">
        <v>11619</v>
      </c>
      <c r="R1323" s="82" t="s">
        <v>11620</v>
      </c>
      <c r="S1323" s="82" t="s">
        <v>11621</v>
      </c>
      <c r="T1323" s="138">
        <v>16.0</v>
      </c>
      <c r="U1323" s="341" t="s">
        <v>11622</v>
      </c>
      <c r="V1323" s="106">
        <v>0.0</v>
      </c>
      <c r="W1323" s="107">
        <v>0.0</v>
      </c>
      <c r="X1323" s="107">
        <v>0.0</v>
      </c>
      <c r="Y1323" s="107">
        <v>0.0</v>
      </c>
      <c r="Z1323" s="80">
        <v>0.0</v>
      </c>
      <c r="AA1323" s="140">
        <v>0.0</v>
      </c>
      <c r="AB1323" s="109">
        <v>0.0</v>
      </c>
      <c r="AC1323" s="109">
        <v>0.0</v>
      </c>
      <c r="AD1323" s="141">
        <v>0.0</v>
      </c>
      <c r="AE1323" s="80">
        <v>0.0</v>
      </c>
      <c r="AF1323" s="140">
        <v>0.0</v>
      </c>
      <c r="AG1323" s="109">
        <v>0.0</v>
      </c>
      <c r="AH1323" s="109">
        <v>36.0</v>
      </c>
      <c r="AI1323" s="141">
        <v>350.0</v>
      </c>
      <c r="AJ1323" s="80">
        <v>386.0</v>
      </c>
      <c r="AK1323" s="140">
        <v>0.0</v>
      </c>
      <c r="AL1323" s="109">
        <v>0.0</v>
      </c>
      <c r="AM1323" s="141">
        <v>0.0</v>
      </c>
      <c r="AN1323" s="80">
        <v>0.0</v>
      </c>
      <c r="AO1323" s="140">
        <v>0.0</v>
      </c>
      <c r="AP1323" s="109">
        <v>0.0</v>
      </c>
      <c r="AQ1323" s="109">
        <v>147.0</v>
      </c>
      <c r="AR1323" s="80">
        <v>147.0</v>
      </c>
      <c r="AS1323" s="110">
        <v>0.0</v>
      </c>
      <c r="AT1323" s="110">
        <v>0.0</v>
      </c>
      <c r="AU1323" s="110">
        <v>0.0</v>
      </c>
      <c r="AV1323" s="142">
        <v>0.0</v>
      </c>
      <c r="AW1323" s="80">
        <v>0.0</v>
      </c>
      <c r="AX1323" s="113">
        <v>533.0</v>
      </c>
      <c r="AY1323" s="117">
        <v>350.0</v>
      </c>
      <c r="AZ1323" s="328">
        <v>183.0</v>
      </c>
      <c r="BA1323" s="315">
        <v>1.0</v>
      </c>
      <c r="BB1323" s="316">
        <v>534.0</v>
      </c>
      <c r="BC1323" s="132" t="s">
        <v>178</v>
      </c>
      <c r="BD1323" s="132" t="s">
        <v>178</v>
      </c>
      <c r="BE1323" s="132" t="s">
        <v>178</v>
      </c>
      <c r="BF1323" s="123"/>
      <c r="BG1323" s="83">
        <v>1118406.0</v>
      </c>
      <c r="BH1323" s="112">
        <v>14.0</v>
      </c>
      <c r="BI1323" s="98" t="s">
        <v>155</v>
      </c>
      <c r="BJ1323" s="98" t="str">
        <f t="shared" si="1"/>
        <v>INTEGRAL</v>
      </c>
      <c r="BK1323" s="98" t="str">
        <f t="shared" si="2"/>
        <v>NÃO</v>
      </c>
    </row>
    <row r="1324" ht="15.75" customHeight="1">
      <c r="A1324" s="111" t="s">
        <v>1573</v>
      </c>
      <c r="B1324" s="83" t="s">
        <v>2426</v>
      </c>
      <c r="C1324" s="83" t="s">
        <v>45</v>
      </c>
      <c r="D1324" s="83">
        <v>1178388.0</v>
      </c>
      <c r="E1324" s="83"/>
      <c r="F1324" s="83">
        <v>2.9529409E7</v>
      </c>
      <c r="G1324" s="187" t="s">
        <v>7274</v>
      </c>
      <c r="H1324" s="91" t="s">
        <v>7275</v>
      </c>
      <c r="I1324" s="298" t="s">
        <v>149</v>
      </c>
      <c r="J1324" s="98" t="s">
        <v>222</v>
      </c>
      <c r="K1324" s="83" t="s">
        <v>171</v>
      </c>
      <c r="L1324" s="83" t="s">
        <v>512</v>
      </c>
      <c r="M1324" s="82" t="s">
        <v>11623</v>
      </c>
      <c r="N1324" s="82" t="s">
        <v>11624</v>
      </c>
      <c r="O1324" s="82"/>
      <c r="P1324" s="82"/>
      <c r="Q1324" s="82"/>
      <c r="R1324" s="82"/>
      <c r="S1324" s="82"/>
      <c r="T1324" s="138">
        <v>4.0</v>
      </c>
      <c r="U1324" s="387" t="s">
        <v>171</v>
      </c>
      <c r="V1324" s="106">
        <v>0.0</v>
      </c>
      <c r="W1324" s="107">
        <v>0.0</v>
      </c>
      <c r="X1324" s="107">
        <v>0.0</v>
      </c>
      <c r="Y1324" s="107">
        <v>0.0</v>
      </c>
      <c r="Z1324" s="80">
        <v>0.0</v>
      </c>
      <c r="AA1324" s="140">
        <v>0.0</v>
      </c>
      <c r="AB1324" s="109">
        <v>0.0</v>
      </c>
      <c r="AC1324" s="109">
        <v>0.0</v>
      </c>
      <c r="AD1324" s="141">
        <v>0.0</v>
      </c>
      <c r="AE1324" s="80">
        <v>0.0</v>
      </c>
      <c r="AF1324" s="140">
        <v>0.0</v>
      </c>
      <c r="AG1324" s="109">
        <v>0.0</v>
      </c>
      <c r="AH1324" s="109">
        <v>0.0</v>
      </c>
      <c r="AI1324" s="141">
        <v>0.0</v>
      </c>
      <c r="AJ1324" s="80">
        <v>0.0</v>
      </c>
      <c r="AK1324" s="140">
        <v>0.0</v>
      </c>
      <c r="AL1324" s="109">
        <v>0.0</v>
      </c>
      <c r="AM1324" s="141">
        <v>0.0</v>
      </c>
      <c r="AN1324" s="80">
        <v>0.0</v>
      </c>
      <c r="AO1324" s="140">
        <v>0.0</v>
      </c>
      <c r="AP1324" s="109">
        <v>0.0</v>
      </c>
      <c r="AQ1324" s="109">
        <v>0.0</v>
      </c>
      <c r="AR1324" s="80">
        <v>0.0</v>
      </c>
      <c r="AS1324" s="110">
        <v>0.0</v>
      </c>
      <c r="AT1324" s="110">
        <v>0.0</v>
      </c>
      <c r="AU1324" s="110">
        <v>0.0</v>
      </c>
      <c r="AV1324" s="142">
        <v>0.0</v>
      </c>
      <c r="AW1324" s="80">
        <v>0.0</v>
      </c>
      <c r="AX1324" s="113">
        <v>0.0</v>
      </c>
      <c r="AY1324" s="117">
        <v>0.0</v>
      </c>
      <c r="AZ1324" s="328">
        <v>0.0</v>
      </c>
      <c r="BA1324" s="315">
        <v>72.0</v>
      </c>
      <c r="BB1324" s="316">
        <v>72.0</v>
      </c>
      <c r="BC1324" s="132" t="s">
        <v>178</v>
      </c>
      <c r="BD1324" s="132" t="s">
        <v>178</v>
      </c>
      <c r="BE1324" s="132" t="s">
        <v>178</v>
      </c>
      <c r="BF1324" s="123"/>
      <c r="BG1324" s="83">
        <v>1178388.0</v>
      </c>
      <c r="BH1324" s="112">
        <v>4.0</v>
      </c>
      <c r="BI1324" s="98" t="s">
        <v>155</v>
      </c>
      <c r="BJ1324" s="98" t="str">
        <f t="shared" si="1"/>
        <v>NÃO</v>
      </c>
      <c r="BK1324" s="98" t="str">
        <f t="shared" si="2"/>
        <v>NÃO</v>
      </c>
    </row>
    <row r="1325" ht="15.75" customHeight="1">
      <c r="A1325" s="111" t="s">
        <v>1573</v>
      </c>
      <c r="B1325" s="83" t="s">
        <v>2426</v>
      </c>
      <c r="C1325" s="83" t="s">
        <v>68</v>
      </c>
      <c r="D1325" s="83">
        <v>1178048.0</v>
      </c>
      <c r="E1325" s="83"/>
      <c r="F1325" s="83">
        <v>2.9427541E7</v>
      </c>
      <c r="G1325" s="114" t="s">
        <v>9439</v>
      </c>
      <c r="H1325" s="91" t="s">
        <v>7279</v>
      </c>
      <c r="I1325" s="187" t="s">
        <v>149</v>
      </c>
      <c r="J1325" s="83" t="s">
        <v>150</v>
      </c>
      <c r="K1325" s="83" t="s">
        <v>151</v>
      </c>
      <c r="L1325" s="83" t="s">
        <v>169</v>
      </c>
      <c r="M1325" s="82" t="s">
        <v>11625</v>
      </c>
      <c r="N1325" s="82" t="s">
        <v>11626</v>
      </c>
      <c r="O1325" s="82"/>
      <c r="P1325" s="82"/>
      <c r="Q1325" s="82"/>
      <c r="R1325" s="82"/>
      <c r="S1325" s="82"/>
      <c r="T1325" s="138">
        <v>4.0</v>
      </c>
      <c r="U1325" s="352" t="s">
        <v>11627</v>
      </c>
      <c r="V1325" s="106">
        <v>0.0</v>
      </c>
      <c r="W1325" s="107">
        <v>0.0</v>
      </c>
      <c r="X1325" s="107">
        <v>0.0</v>
      </c>
      <c r="Y1325" s="107">
        <v>0.0</v>
      </c>
      <c r="Z1325" s="80">
        <v>0.0</v>
      </c>
      <c r="AA1325" s="140">
        <v>0.0</v>
      </c>
      <c r="AB1325" s="109">
        <v>0.0</v>
      </c>
      <c r="AC1325" s="109">
        <v>0.0</v>
      </c>
      <c r="AD1325" s="141">
        <v>0.0</v>
      </c>
      <c r="AE1325" s="80">
        <v>0.0</v>
      </c>
      <c r="AF1325" s="140">
        <v>99.0</v>
      </c>
      <c r="AG1325" s="109">
        <v>88.0</v>
      </c>
      <c r="AH1325" s="109">
        <v>0.0</v>
      </c>
      <c r="AI1325" s="141">
        <v>0.0</v>
      </c>
      <c r="AJ1325" s="80">
        <v>187.0</v>
      </c>
      <c r="AK1325" s="140">
        <v>0.0</v>
      </c>
      <c r="AL1325" s="109">
        <v>0.0</v>
      </c>
      <c r="AM1325" s="141">
        <v>0.0</v>
      </c>
      <c r="AN1325" s="80">
        <v>0.0</v>
      </c>
      <c r="AO1325" s="140">
        <v>0.0</v>
      </c>
      <c r="AP1325" s="109">
        <v>0.0</v>
      </c>
      <c r="AQ1325" s="109">
        <v>0.0</v>
      </c>
      <c r="AR1325" s="80">
        <v>0.0</v>
      </c>
      <c r="AS1325" s="110">
        <v>0.0</v>
      </c>
      <c r="AT1325" s="110">
        <v>0.0</v>
      </c>
      <c r="AU1325" s="110">
        <v>0.0</v>
      </c>
      <c r="AV1325" s="142">
        <v>0.0</v>
      </c>
      <c r="AW1325" s="80">
        <v>0.0</v>
      </c>
      <c r="AX1325" s="113">
        <v>187.0</v>
      </c>
      <c r="AY1325" s="117">
        <v>187.0</v>
      </c>
      <c r="AZ1325" s="328">
        <v>0.0</v>
      </c>
      <c r="BA1325" s="315">
        <v>0.0</v>
      </c>
      <c r="BB1325" s="316">
        <v>187.0</v>
      </c>
      <c r="BC1325" s="132" t="s">
        <v>178</v>
      </c>
      <c r="BD1325" s="132" t="s">
        <v>178</v>
      </c>
      <c r="BE1325" s="132" t="s">
        <v>178</v>
      </c>
      <c r="BF1325" s="123"/>
      <c r="BG1325" s="83">
        <v>1178048.0</v>
      </c>
      <c r="BH1325" s="112">
        <v>4.0</v>
      </c>
      <c r="BI1325" s="98" t="s">
        <v>155</v>
      </c>
      <c r="BJ1325" s="98" t="str">
        <f t="shared" si="1"/>
        <v>NÃO</v>
      </c>
      <c r="BK1325" s="98" t="str">
        <f t="shared" si="2"/>
        <v>NÃO</v>
      </c>
    </row>
    <row r="1326" ht="15.75" customHeight="1">
      <c r="A1326" s="111" t="s">
        <v>1573</v>
      </c>
      <c r="B1326" s="83" t="s">
        <v>2426</v>
      </c>
      <c r="C1326" s="83" t="s">
        <v>164</v>
      </c>
      <c r="D1326" s="83">
        <v>1178048.0</v>
      </c>
      <c r="E1326" s="83">
        <v>1178873.0</v>
      </c>
      <c r="F1326" s="83"/>
      <c r="G1326" s="187" t="s">
        <v>11628</v>
      </c>
      <c r="H1326" s="91" t="s">
        <v>7283</v>
      </c>
      <c r="I1326" s="187" t="s">
        <v>7284</v>
      </c>
      <c r="J1326" s="136" t="s">
        <v>1074</v>
      </c>
      <c r="K1326" s="136" t="s">
        <v>168</v>
      </c>
      <c r="L1326" s="83" t="s">
        <v>169</v>
      </c>
      <c r="M1326" s="82" t="s">
        <v>11625</v>
      </c>
      <c r="N1326" s="82" t="s">
        <v>11626</v>
      </c>
      <c r="O1326" s="82"/>
      <c r="P1326" s="82"/>
      <c r="Q1326" s="82"/>
      <c r="R1326" s="82"/>
      <c r="S1326" s="82"/>
      <c r="T1326" s="138">
        <v>3.0</v>
      </c>
      <c r="U1326" s="389">
        <v>3.0</v>
      </c>
      <c r="V1326" s="106">
        <v>0.0</v>
      </c>
      <c r="W1326" s="107">
        <v>0.0</v>
      </c>
      <c r="X1326" s="107">
        <v>0.0</v>
      </c>
      <c r="Y1326" s="107">
        <v>0.0</v>
      </c>
      <c r="Z1326" s="80">
        <v>0.0</v>
      </c>
      <c r="AA1326" s="140">
        <v>0.0</v>
      </c>
      <c r="AB1326" s="109">
        <v>0.0</v>
      </c>
      <c r="AC1326" s="109">
        <v>0.0</v>
      </c>
      <c r="AD1326" s="141">
        <v>0.0</v>
      </c>
      <c r="AE1326" s="80">
        <v>0.0</v>
      </c>
      <c r="AF1326" s="140">
        <v>0.0</v>
      </c>
      <c r="AG1326" s="109">
        <v>0.0</v>
      </c>
      <c r="AH1326" s="109">
        <v>18.0</v>
      </c>
      <c r="AI1326" s="141">
        <v>0.0</v>
      </c>
      <c r="AJ1326" s="80">
        <v>18.0</v>
      </c>
      <c r="AK1326" s="140">
        <v>0.0</v>
      </c>
      <c r="AL1326" s="109">
        <v>0.0</v>
      </c>
      <c r="AM1326" s="141">
        <v>0.0</v>
      </c>
      <c r="AN1326" s="80">
        <v>0.0</v>
      </c>
      <c r="AO1326" s="140">
        <v>0.0</v>
      </c>
      <c r="AP1326" s="109">
        <v>0.0</v>
      </c>
      <c r="AQ1326" s="109">
        <v>22.0</v>
      </c>
      <c r="AR1326" s="80">
        <v>22.0</v>
      </c>
      <c r="AS1326" s="110">
        <v>0.0</v>
      </c>
      <c r="AT1326" s="110">
        <v>0.0</v>
      </c>
      <c r="AU1326" s="110">
        <v>0.0</v>
      </c>
      <c r="AV1326" s="142">
        <v>0.0</v>
      </c>
      <c r="AW1326" s="80">
        <v>0.0</v>
      </c>
      <c r="AX1326" s="113">
        <v>40.0</v>
      </c>
      <c r="AY1326" s="117">
        <v>0.0</v>
      </c>
      <c r="AZ1326" s="328">
        <v>40.0</v>
      </c>
      <c r="BA1326" s="315">
        <v>0.0</v>
      </c>
      <c r="BB1326" s="316">
        <v>40.0</v>
      </c>
      <c r="BC1326" s="132" t="s">
        <v>373</v>
      </c>
      <c r="BD1326" s="132" t="s">
        <v>178</v>
      </c>
      <c r="BE1326" s="132" t="s">
        <v>178</v>
      </c>
      <c r="BF1326" s="123"/>
      <c r="BG1326" s="83">
        <v>1178873.0</v>
      </c>
      <c r="BH1326" s="112">
        <v>3.0</v>
      </c>
      <c r="BI1326" s="98" t="s">
        <v>155</v>
      </c>
      <c r="BJ1326" s="98" t="str">
        <f t="shared" si="1"/>
        <v>NÃO</v>
      </c>
      <c r="BK1326" s="98" t="str">
        <f t="shared" si="2"/>
        <v>NÃO</v>
      </c>
    </row>
    <row r="1327" ht="15.75" customHeight="1">
      <c r="A1327" s="111" t="s">
        <v>1573</v>
      </c>
      <c r="B1327" s="83" t="s">
        <v>2426</v>
      </c>
      <c r="C1327" s="83" t="s">
        <v>164</v>
      </c>
      <c r="D1327" s="83">
        <v>1178048.0</v>
      </c>
      <c r="E1327" s="83">
        <v>1178874.0</v>
      </c>
      <c r="F1327" s="83"/>
      <c r="G1327" s="114" t="s">
        <v>11629</v>
      </c>
      <c r="H1327" s="91" t="s">
        <v>7286</v>
      </c>
      <c r="I1327" s="298" t="s">
        <v>7287</v>
      </c>
      <c r="J1327" s="83" t="s">
        <v>839</v>
      </c>
      <c r="K1327" s="83" t="s">
        <v>168</v>
      </c>
      <c r="L1327" s="83" t="s">
        <v>169</v>
      </c>
      <c r="M1327" s="82" t="s">
        <v>11625</v>
      </c>
      <c r="N1327" s="82" t="s">
        <v>11626</v>
      </c>
      <c r="O1327" s="82"/>
      <c r="P1327" s="82"/>
      <c r="Q1327" s="82"/>
      <c r="R1327" s="82"/>
      <c r="S1327" s="82"/>
      <c r="T1327" s="138">
        <v>3.0</v>
      </c>
      <c r="U1327" s="387">
        <v>3.0</v>
      </c>
      <c r="V1327" s="106">
        <v>0.0</v>
      </c>
      <c r="W1327" s="107">
        <v>0.0</v>
      </c>
      <c r="X1327" s="107">
        <v>0.0</v>
      </c>
      <c r="Y1327" s="107">
        <v>0.0</v>
      </c>
      <c r="Z1327" s="80">
        <v>0.0</v>
      </c>
      <c r="AA1327" s="140">
        <v>0.0</v>
      </c>
      <c r="AB1327" s="109">
        <v>0.0</v>
      </c>
      <c r="AC1327" s="109">
        <v>0.0</v>
      </c>
      <c r="AD1327" s="141">
        <v>0.0</v>
      </c>
      <c r="AE1327" s="80">
        <v>0.0</v>
      </c>
      <c r="AF1327" s="140">
        <v>0.0</v>
      </c>
      <c r="AG1327" s="109">
        <v>0.0</v>
      </c>
      <c r="AH1327" s="109">
        <v>0.0</v>
      </c>
      <c r="AI1327" s="141">
        <v>0.0</v>
      </c>
      <c r="AJ1327" s="80">
        <v>0.0</v>
      </c>
      <c r="AK1327" s="140">
        <v>0.0</v>
      </c>
      <c r="AL1327" s="109">
        <v>0.0</v>
      </c>
      <c r="AM1327" s="141">
        <v>0.0</v>
      </c>
      <c r="AN1327" s="80">
        <v>0.0</v>
      </c>
      <c r="AO1327" s="140">
        <v>0.0</v>
      </c>
      <c r="AP1327" s="109">
        <v>0.0</v>
      </c>
      <c r="AQ1327" s="109">
        <v>76.0</v>
      </c>
      <c r="AR1327" s="80">
        <v>76.0</v>
      </c>
      <c r="AS1327" s="110">
        <v>0.0</v>
      </c>
      <c r="AT1327" s="110">
        <v>0.0</v>
      </c>
      <c r="AU1327" s="110">
        <v>0.0</v>
      </c>
      <c r="AV1327" s="142">
        <v>0.0</v>
      </c>
      <c r="AW1327" s="80">
        <v>0.0</v>
      </c>
      <c r="AX1327" s="113">
        <v>76.0</v>
      </c>
      <c r="AY1327" s="117">
        <v>0.0</v>
      </c>
      <c r="AZ1327" s="328">
        <v>76.0</v>
      </c>
      <c r="BA1327" s="315">
        <v>0.0</v>
      </c>
      <c r="BB1327" s="316">
        <v>76.0</v>
      </c>
      <c r="BC1327" s="132" t="s">
        <v>373</v>
      </c>
      <c r="BD1327" s="132" t="s">
        <v>178</v>
      </c>
      <c r="BE1327" s="132" t="s">
        <v>178</v>
      </c>
      <c r="BF1327" s="123"/>
      <c r="BG1327" s="83">
        <v>1178874.0</v>
      </c>
      <c r="BH1327" s="112">
        <v>3.0</v>
      </c>
      <c r="BI1327" s="98" t="s">
        <v>155</v>
      </c>
      <c r="BJ1327" s="98" t="str">
        <f t="shared" si="1"/>
        <v>NÃO</v>
      </c>
      <c r="BK1327" s="98" t="str">
        <f t="shared" si="2"/>
        <v>NÃO</v>
      </c>
    </row>
    <row r="1328" ht="15.75" customHeight="1">
      <c r="A1328" s="111" t="s">
        <v>1573</v>
      </c>
      <c r="B1328" s="83" t="s">
        <v>2426</v>
      </c>
      <c r="C1328" s="83" t="s">
        <v>164</v>
      </c>
      <c r="D1328" s="83">
        <v>1178048.0</v>
      </c>
      <c r="E1328" s="83">
        <v>1178872.0</v>
      </c>
      <c r="F1328" s="83"/>
      <c r="G1328" s="114" t="s">
        <v>11630</v>
      </c>
      <c r="H1328" s="91" t="s">
        <v>11631</v>
      </c>
      <c r="I1328" s="114" t="s">
        <v>11632</v>
      </c>
      <c r="J1328" s="136" t="s">
        <v>464</v>
      </c>
      <c r="K1328" s="83" t="s">
        <v>168</v>
      </c>
      <c r="L1328" s="83" t="s">
        <v>169</v>
      </c>
      <c r="M1328" s="82" t="s">
        <v>11625</v>
      </c>
      <c r="N1328" s="82" t="s">
        <v>11626</v>
      </c>
      <c r="O1328" s="82"/>
      <c r="P1328" s="82"/>
      <c r="Q1328" s="82"/>
      <c r="R1328" s="82"/>
      <c r="S1328" s="82"/>
      <c r="T1328" s="138">
        <v>3.0</v>
      </c>
      <c r="U1328" s="364">
        <v>3.0</v>
      </c>
      <c r="V1328" s="106">
        <v>0.0</v>
      </c>
      <c r="W1328" s="107">
        <v>0.0</v>
      </c>
      <c r="X1328" s="107">
        <v>0.0</v>
      </c>
      <c r="Y1328" s="107">
        <v>0.0</v>
      </c>
      <c r="Z1328" s="80">
        <v>0.0</v>
      </c>
      <c r="AA1328" s="140">
        <v>0.0</v>
      </c>
      <c r="AB1328" s="109">
        <v>0.0</v>
      </c>
      <c r="AC1328" s="109">
        <v>0.0</v>
      </c>
      <c r="AD1328" s="141">
        <v>0.0</v>
      </c>
      <c r="AE1328" s="80">
        <v>0.0</v>
      </c>
      <c r="AF1328" s="246">
        <v>0.0</v>
      </c>
      <c r="AG1328" s="246">
        <v>0.0</v>
      </c>
      <c r="AH1328" s="246">
        <v>12.0</v>
      </c>
      <c r="AI1328" s="247">
        <v>0.0</v>
      </c>
      <c r="AJ1328" s="80">
        <v>12.0</v>
      </c>
      <c r="AK1328" s="140">
        <v>0.0</v>
      </c>
      <c r="AL1328" s="109">
        <v>0.0</v>
      </c>
      <c r="AM1328" s="141">
        <v>0.0</v>
      </c>
      <c r="AN1328" s="80">
        <v>0.0</v>
      </c>
      <c r="AO1328" s="246">
        <v>0.0</v>
      </c>
      <c r="AP1328" s="246">
        <v>0.0</v>
      </c>
      <c r="AQ1328" s="247">
        <v>22.0</v>
      </c>
      <c r="AR1328" s="80">
        <v>22.0</v>
      </c>
      <c r="AS1328" s="110">
        <v>0.0</v>
      </c>
      <c r="AT1328" s="110">
        <v>0.0</v>
      </c>
      <c r="AU1328" s="110">
        <v>0.0</v>
      </c>
      <c r="AV1328" s="142">
        <v>0.0</v>
      </c>
      <c r="AW1328" s="80">
        <v>0.0</v>
      </c>
      <c r="AX1328" s="113">
        <v>34.0</v>
      </c>
      <c r="AY1328" s="117">
        <v>0.0</v>
      </c>
      <c r="AZ1328" s="328">
        <v>34.0</v>
      </c>
      <c r="BA1328" s="315">
        <v>0.0</v>
      </c>
      <c r="BB1328" s="316">
        <v>34.0</v>
      </c>
      <c r="BC1328" s="132" t="s">
        <v>373</v>
      </c>
      <c r="BD1328" s="132" t="s">
        <v>178</v>
      </c>
      <c r="BE1328" s="132" t="s">
        <v>178</v>
      </c>
      <c r="BF1328" s="123"/>
      <c r="BG1328" s="83">
        <v>1178872.0</v>
      </c>
      <c r="BH1328" s="112">
        <v>3.0</v>
      </c>
      <c r="BI1328" s="98" t="s">
        <v>155</v>
      </c>
      <c r="BJ1328" s="98" t="str">
        <f t="shared" si="1"/>
        <v>NÃO</v>
      </c>
      <c r="BK1328" s="98" t="str">
        <f t="shared" si="2"/>
        <v>NÃO</v>
      </c>
    </row>
    <row r="1329" ht="15.75" customHeight="1">
      <c r="A1329" s="111" t="s">
        <v>1573</v>
      </c>
      <c r="B1329" s="83" t="s">
        <v>7288</v>
      </c>
      <c r="C1329" s="83" t="s">
        <v>68</v>
      </c>
      <c r="D1329" s="83">
        <v>1131674.0</v>
      </c>
      <c r="E1329" s="83"/>
      <c r="F1329" s="83">
        <v>2.9011507E7</v>
      </c>
      <c r="G1329" s="365" t="s">
        <v>11633</v>
      </c>
      <c r="H1329" s="91" t="s">
        <v>11634</v>
      </c>
      <c r="I1329" s="114" t="s">
        <v>149</v>
      </c>
      <c r="J1329" s="83" t="s">
        <v>150</v>
      </c>
      <c r="K1329" s="83" t="s">
        <v>151</v>
      </c>
      <c r="L1329" s="83" t="s">
        <v>76</v>
      </c>
      <c r="M1329" s="82" t="s">
        <v>11635</v>
      </c>
      <c r="N1329" s="82" t="s">
        <v>11636</v>
      </c>
      <c r="O1329" s="82" t="s">
        <v>11637</v>
      </c>
      <c r="P1329" s="82" t="s">
        <v>11638</v>
      </c>
      <c r="Q1329" s="82"/>
      <c r="R1329" s="82"/>
      <c r="S1329" s="82"/>
      <c r="T1329" s="138">
        <v>6.0</v>
      </c>
      <c r="U1329" s="339">
        <v>6.0</v>
      </c>
      <c r="V1329" s="106">
        <v>0.0</v>
      </c>
      <c r="W1329" s="107">
        <v>0.0</v>
      </c>
      <c r="X1329" s="107">
        <v>0.0</v>
      </c>
      <c r="Y1329" s="107">
        <v>0.0</v>
      </c>
      <c r="Z1329" s="80">
        <v>0.0</v>
      </c>
      <c r="AA1329" s="140">
        <v>0.0</v>
      </c>
      <c r="AB1329" s="109">
        <v>0.0</v>
      </c>
      <c r="AC1329" s="109">
        <v>0.0</v>
      </c>
      <c r="AD1329" s="141">
        <v>0.0</v>
      </c>
      <c r="AE1329" s="80">
        <v>0.0</v>
      </c>
      <c r="AF1329" s="140">
        <v>113.0</v>
      </c>
      <c r="AG1329" s="109">
        <v>108.0</v>
      </c>
      <c r="AH1329" s="109">
        <v>11.0</v>
      </c>
      <c r="AI1329" s="141">
        <v>0.0</v>
      </c>
      <c r="AJ1329" s="80">
        <v>232.0</v>
      </c>
      <c r="AK1329" s="140">
        <v>0.0</v>
      </c>
      <c r="AL1329" s="109">
        <v>0.0</v>
      </c>
      <c r="AM1329" s="141">
        <v>0.0</v>
      </c>
      <c r="AN1329" s="80">
        <v>0.0</v>
      </c>
      <c r="AO1329" s="140">
        <v>0.0</v>
      </c>
      <c r="AP1329" s="109">
        <v>0.0</v>
      </c>
      <c r="AQ1329" s="109">
        <v>21.0</v>
      </c>
      <c r="AR1329" s="80">
        <v>21.0</v>
      </c>
      <c r="AS1329" s="110">
        <v>101.0</v>
      </c>
      <c r="AT1329" s="110">
        <v>98.0</v>
      </c>
      <c r="AU1329" s="110">
        <v>0.0</v>
      </c>
      <c r="AV1329" s="142">
        <v>0.0</v>
      </c>
      <c r="AW1329" s="80">
        <v>199.0</v>
      </c>
      <c r="AX1329" s="113">
        <v>452.0</v>
      </c>
      <c r="AY1329" s="117">
        <v>420.0</v>
      </c>
      <c r="AZ1329" s="328">
        <v>32.0</v>
      </c>
      <c r="BA1329" s="315">
        <v>1.0</v>
      </c>
      <c r="BB1329" s="316">
        <v>453.0</v>
      </c>
      <c r="BC1329" s="132" t="s">
        <v>178</v>
      </c>
      <c r="BD1329" s="132" t="s">
        <v>178</v>
      </c>
      <c r="BE1329" s="132" t="s">
        <v>178</v>
      </c>
      <c r="BF1329" s="123"/>
      <c r="BG1329" s="83">
        <v>1131674.0</v>
      </c>
      <c r="BH1329" s="112">
        <v>6.0</v>
      </c>
      <c r="BI1329" s="98" t="s">
        <v>155</v>
      </c>
      <c r="BJ1329" s="98" t="str">
        <f t="shared" si="1"/>
        <v>NÃO</v>
      </c>
      <c r="BK1329" s="98" t="str">
        <f t="shared" si="2"/>
        <v>PROFISSIONAL</v>
      </c>
    </row>
    <row r="1330" ht="15.75" customHeight="1">
      <c r="A1330" s="111" t="s">
        <v>1573</v>
      </c>
      <c r="B1330" s="83" t="s">
        <v>7291</v>
      </c>
      <c r="C1330" s="83" t="s">
        <v>68</v>
      </c>
      <c r="D1330" s="83">
        <v>1131607.0</v>
      </c>
      <c r="E1330" s="83"/>
      <c r="F1330" s="83">
        <v>2.9011604E7</v>
      </c>
      <c r="G1330" s="119" t="s">
        <v>7292</v>
      </c>
      <c r="H1330" s="91" t="s">
        <v>7293</v>
      </c>
      <c r="I1330" s="114" t="s">
        <v>149</v>
      </c>
      <c r="J1330" s="83" t="s">
        <v>150</v>
      </c>
      <c r="K1330" s="83" t="s">
        <v>151</v>
      </c>
      <c r="L1330" s="83" t="s">
        <v>230</v>
      </c>
      <c r="M1330" s="82" t="s">
        <v>11639</v>
      </c>
      <c r="N1330" s="82" t="s">
        <v>11641</v>
      </c>
      <c r="O1330" s="82" t="s">
        <v>11642</v>
      </c>
      <c r="P1330" s="82" t="s">
        <v>11643</v>
      </c>
      <c r="Q1330" s="82" t="s">
        <v>11644</v>
      </c>
      <c r="R1330" s="82" t="s">
        <v>11645</v>
      </c>
      <c r="S1330" s="82"/>
      <c r="T1330" s="138">
        <v>14.0</v>
      </c>
      <c r="U1330" s="323">
        <v>11.0</v>
      </c>
      <c r="V1330" s="106">
        <v>0.0</v>
      </c>
      <c r="W1330" s="107">
        <v>0.0</v>
      </c>
      <c r="X1330" s="107">
        <v>0.0</v>
      </c>
      <c r="Y1330" s="107">
        <v>0.0</v>
      </c>
      <c r="Z1330" s="80">
        <v>0.0</v>
      </c>
      <c r="AA1330" s="140">
        <v>0.0</v>
      </c>
      <c r="AB1330" s="109">
        <v>0.0</v>
      </c>
      <c r="AC1330" s="109">
        <v>0.0</v>
      </c>
      <c r="AD1330" s="141">
        <v>0.0</v>
      </c>
      <c r="AE1330" s="80">
        <v>0.0</v>
      </c>
      <c r="AF1330" s="140">
        <v>235.0</v>
      </c>
      <c r="AG1330" s="109">
        <v>232.0</v>
      </c>
      <c r="AH1330" s="109">
        <v>15.0</v>
      </c>
      <c r="AI1330" s="141">
        <v>84.0</v>
      </c>
      <c r="AJ1330" s="80">
        <v>566.0</v>
      </c>
      <c r="AK1330" s="140">
        <v>0.0</v>
      </c>
      <c r="AL1330" s="109">
        <v>0.0</v>
      </c>
      <c r="AM1330" s="141">
        <v>0.0</v>
      </c>
      <c r="AN1330" s="80">
        <v>0.0</v>
      </c>
      <c r="AO1330" s="140">
        <v>0.0</v>
      </c>
      <c r="AP1330" s="109">
        <v>0.0</v>
      </c>
      <c r="AQ1330" s="109">
        <v>48.0</v>
      </c>
      <c r="AR1330" s="80">
        <v>48.0</v>
      </c>
      <c r="AS1330" s="110">
        <v>39.0</v>
      </c>
      <c r="AT1330" s="110">
        <v>0.0</v>
      </c>
      <c r="AU1330" s="110">
        <v>0.0</v>
      </c>
      <c r="AV1330" s="142">
        <v>0.0</v>
      </c>
      <c r="AW1330" s="80">
        <v>39.0</v>
      </c>
      <c r="AX1330" s="113">
        <v>653.0</v>
      </c>
      <c r="AY1330" s="117">
        <v>590.0</v>
      </c>
      <c r="AZ1330" s="328">
        <v>63.0</v>
      </c>
      <c r="BA1330" s="315">
        <v>5.0</v>
      </c>
      <c r="BB1330" s="316">
        <v>658.0</v>
      </c>
      <c r="BC1330" s="132" t="s">
        <v>178</v>
      </c>
      <c r="BD1330" s="132" t="s">
        <v>178</v>
      </c>
      <c r="BE1330" s="132" t="s">
        <v>178</v>
      </c>
      <c r="BF1330" s="123"/>
      <c r="BG1330" s="83">
        <v>1131607.0</v>
      </c>
      <c r="BH1330" s="112">
        <v>11.0</v>
      </c>
      <c r="BI1330" s="98" t="s">
        <v>155</v>
      </c>
      <c r="BJ1330" s="98" t="str">
        <f t="shared" si="1"/>
        <v>INTEGRAL</v>
      </c>
      <c r="BK1330" s="98" t="str">
        <f t="shared" si="2"/>
        <v>PROFISSIONAL</v>
      </c>
    </row>
    <row r="1331" ht="15.75" customHeight="1">
      <c r="A1331" s="111" t="s">
        <v>1573</v>
      </c>
      <c r="B1331" s="83" t="s">
        <v>7291</v>
      </c>
      <c r="C1331" s="83" t="s">
        <v>164</v>
      </c>
      <c r="D1331" s="83">
        <v>1131607.0</v>
      </c>
      <c r="E1331" s="83">
        <v>1179610.0</v>
      </c>
      <c r="F1331" s="83"/>
      <c r="G1331" s="114" t="s">
        <v>11646</v>
      </c>
      <c r="H1331" s="91" t="s">
        <v>7297</v>
      </c>
      <c r="I1331" s="114" t="s">
        <v>149</v>
      </c>
      <c r="J1331" s="83" t="s">
        <v>461</v>
      </c>
      <c r="K1331" s="83" t="s">
        <v>168</v>
      </c>
      <c r="L1331" s="83" t="s">
        <v>169</v>
      </c>
      <c r="M1331" s="82" t="s">
        <v>11639</v>
      </c>
      <c r="N1331" s="82" t="s">
        <v>11641</v>
      </c>
      <c r="O1331" s="82" t="s">
        <v>11642</v>
      </c>
      <c r="P1331" s="82" t="s">
        <v>11643</v>
      </c>
      <c r="Q1331" s="82" t="s">
        <v>11644</v>
      </c>
      <c r="R1331" s="82" t="s">
        <v>11645</v>
      </c>
      <c r="S1331" s="82"/>
      <c r="T1331" s="138">
        <v>2.0</v>
      </c>
      <c r="U1331" s="323">
        <v>3.0</v>
      </c>
      <c r="V1331" s="106">
        <v>0.0</v>
      </c>
      <c r="W1331" s="107">
        <v>0.0</v>
      </c>
      <c r="X1331" s="107">
        <v>0.0</v>
      </c>
      <c r="Y1331" s="107">
        <v>0.0</v>
      </c>
      <c r="Z1331" s="80">
        <v>0.0</v>
      </c>
      <c r="AA1331" s="140">
        <v>0.0</v>
      </c>
      <c r="AB1331" s="109">
        <v>0.0</v>
      </c>
      <c r="AC1331" s="109">
        <v>0.0</v>
      </c>
      <c r="AD1331" s="141">
        <v>0.0</v>
      </c>
      <c r="AE1331" s="80">
        <v>0.0</v>
      </c>
      <c r="AF1331" s="140">
        <v>0.0</v>
      </c>
      <c r="AG1331" s="109">
        <v>20.0</v>
      </c>
      <c r="AH1331" s="109">
        <v>0.0</v>
      </c>
      <c r="AI1331" s="141">
        <v>0.0</v>
      </c>
      <c r="AJ1331" s="80">
        <v>20.0</v>
      </c>
      <c r="AK1331" s="140">
        <v>0.0</v>
      </c>
      <c r="AL1331" s="109">
        <v>0.0</v>
      </c>
      <c r="AM1331" s="141">
        <v>0.0</v>
      </c>
      <c r="AN1331" s="80">
        <v>0.0</v>
      </c>
      <c r="AO1331" s="140">
        <v>0.0</v>
      </c>
      <c r="AP1331" s="109">
        <v>0.0</v>
      </c>
      <c r="AQ1331" s="109">
        <v>0.0</v>
      </c>
      <c r="AR1331" s="80">
        <v>0.0</v>
      </c>
      <c r="AS1331" s="110">
        <v>0.0</v>
      </c>
      <c r="AT1331" s="110">
        <v>0.0</v>
      </c>
      <c r="AU1331" s="110">
        <v>0.0</v>
      </c>
      <c r="AV1331" s="142">
        <v>0.0</v>
      </c>
      <c r="AW1331" s="80">
        <v>0.0</v>
      </c>
      <c r="AX1331" s="113">
        <v>20.0</v>
      </c>
      <c r="AY1331" s="117">
        <v>20.0</v>
      </c>
      <c r="AZ1331" s="328">
        <v>0.0</v>
      </c>
      <c r="BA1331" s="315">
        <v>0.0</v>
      </c>
      <c r="BB1331" s="316">
        <v>20.0</v>
      </c>
      <c r="BC1331" s="132" t="s">
        <v>265</v>
      </c>
      <c r="BD1331" s="132" t="s">
        <v>178</v>
      </c>
      <c r="BE1331" s="132" t="s">
        <v>178</v>
      </c>
      <c r="BF1331" s="123"/>
      <c r="BG1331" s="83">
        <v>1179610.0</v>
      </c>
      <c r="BH1331" s="112">
        <v>3.0</v>
      </c>
      <c r="BI1331" s="98" t="s">
        <v>155</v>
      </c>
      <c r="BJ1331" s="98" t="str">
        <f t="shared" si="1"/>
        <v>NÃO</v>
      </c>
      <c r="BK1331" s="98" t="str">
        <f t="shared" si="2"/>
        <v>NÃO</v>
      </c>
    </row>
    <row r="1332" ht="15.75" customHeight="1">
      <c r="A1332" s="111" t="s">
        <v>1573</v>
      </c>
      <c r="B1332" s="83" t="s">
        <v>7291</v>
      </c>
      <c r="C1332" s="83" t="s">
        <v>164</v>
      </c>
      <c r="D1332" s="83">
        <v>1131607.0</v>
      </c>
      <c r="E1332" s="83">
        <v>1179609.0</v>
      </c>
      <c r="F1332" s="83"/>
      <c r="G1332" s="114" t="s">
        <v>11647</v>
      </c>
      <c r="H1332" s="91" t="s">
        <v>7299</v>
      </c>
      <c r="I1332" s="114" t="s">
        <v>149</v>
      </c>
      <c r="J1332" s="83" t="s">
        <v>7300</v>
      </c>
      <c r="K1332" s="83" t="s">
        <v>168</v>
      </c>
      <c r="L1332" s="83" t="s">
        <v>169</v>
      </c>
      <c r="M1332" s="82" t="s">
        <v>11639</v>
      </c>
      <c r="N1332" s="82" t="s">
        <v>11641</v>
      </c>
      <c r="O1332" s="82" t="s">
        <v>11642</v>
      </c>
      <c r="P1332" s="82" t="s">
        <v>11643</v>
      </c>
      <c r="Q1332" s="82" t="s">
        <v>11644</v>
      </c>
      <c r="R1332" s="82" t="s">
        <v>11645</v>
      </c>
      <c r="S1332" s="82"/>
      <c r="T1332" s="138">
        <v>3.0</v>
      </c>
      <c r="U1332" s="323">
        <v>1.0</v>
      </c>
      <c r="V1332" s="106">
        <v>0.0</v>
      </c>
      <c r="W1332" s="107">
        <v>0.0</v>
      </c>
      <c r="X1332" s="107">
        <v>0.0</v>
      </c>
      <c r="Y1332" s="107">
        <v>0.0</v>
      </c>
      <c r="Z1332" s="80">
        <v>0.0</v>
      </c>
      <c r="AA1332" s="140">
        <v>0.0</v>
      </c>
      <c r="AB1332" s="109">
        <v>0.0</v>
      </c>
      <c r="AC1332" s="109">
        <v>0.0</v>
      </c>
      <c r="AD1332" s="141">
        <v>0.0</v>
      </c>
      <c r="AE1332" s="80">
        <v>0.0</v>
      </c>
      <c r="AF1332" s="140">
        <v>22.0</v>
      </c>
      <c r="AG1332" s="109">
        <v>0.0</v>
      </c>
      <c r="AH1332" s="109">
        <v>0.0</v>
      </c>
      <c r="AI1332" s="141">
        <v>0.0</v>
      </c>
      <c r="AJ1332" s="80">
        <v>22.0</v>
      </c>
      <c r="AK1332" s="140">
        <v>0.0</v>
      </c>
      <c r="AL1332" s="109">
        <v>0.0</v>
      </c>
      <c r="AM1332" s="141">
        <v>0.0</v>
      </c>
      <c r="AN1332" s="80">
        <v>0.0</v>
      </c>
      <c r="AO1332" s="140">
        <v>0.0</v>
      </c>
      <c r="AP1332" s="109">
        <v>0.0</v>
      </c>
      <c r="AQ1332" s="109">
        <v>0.0</v>
      </c>
      <c r="AR1332" s="80">
        <v>0.0</v>
      </c>
      <c r="AS1332" s="110">
        <v>0.0</v>
      </c>
      <c r="AT1332" s="110">
        <v>0.0</v>
      </c>
      <c r="AU1332" s="110">
        <v>0.0</v>
      </c>
      <c r="AV1332" s="142">
        <v>0.0</v>
      </c>
      <c r="AW1332" s="80">
        <v>0.0</v>
      </c>
      <c r="AX1332" s="113">
        <v>22.0</v>
      </c>
      <c r="AY1332" s="117">
        <v>22.0</v>
      </c>
      <c r="AZ1332" s="328">
        <v>0.0</v>
      </c>
      <c r="BA1332" s="315">
        <v>0.0</v>
      </c>
      <c r="BB1332" s="316">
        <v>22.0</v>
      </c>
      <c r="BC1332" s="143" t="s">
        <v>1294</v>
      </c>
      <c r="BD1332" s="132" t="s">
        <v>178</v>
      </c>
      <c r="BE1332" s="132" t="s">
        <v>178</v>
      </c>
      <c r="BF1332" s="123"/>
      <c r="BG1332" s="83">
        <v>1179609.0</v>
      </c>
      <c r="BH1332" s="112">
        <v>1.0</v>
      </c>
      <c r="BI1332" s="98" t="s">
        <v>155</v>
      </c>
      <c r="BJ1332" s="98" t="str">
        <f t="shared" si="1"/>
        <v>NÃO</v>
      </c>
      <c r="BK1332" s="98" t="str">
        <f t="shared" si="2"/>
        <v>NÃO</v>
      </c>
    </row>
    <row r="1333" ht="15.75" customHeight="1">
      <c r="A1333" s="111" t="s">
        <v>1573</v>
      </c>
      <c r="B1333" s="83" t="s">
        <v>7306</v>
      </c>
      <c r="C1333" s="83" t="s">
        <v>68</v>
      </c>
      <c r="D1333" s="83">
        <v>1131534.0</v>
      </c>
      <c r="E1333" s="83"/>
      <c r="F1333" s="83">
        <v>2.9012465E7</v>
      </c>
      <c r="G1333" s="114" t="s">
        <v>11648</v>
      </c>
      <c r="H1333" s="91" t="s">
        <v>7308</v>
      </c>
      <c r="I1333" s="187" t="s">
        <v>149</v>
      </c>
      <c r="J1333" s="83" t="s">
        <v>150</v>
      </c>
      <c r="K1333" s="83" t="s">
        <v>151</v>
      </c>
      <c r="L1333" s="83" t="s">
        <v>76</v>
      </c>
      <c r="M1333" s="82" t="s">
        <v>11649</v>
      </c>
      <c r="N1333" s="82" t="s">
        <v>11650</v>
      </c>
      <c r="O1333" s="82" t="s">
        <v>11651</v>
      </c>
      <c r="P1333" s="82" t="s">
        <v>11652</v>
      </c>
      <c r="Q1333" s="82"/>
      <c r="R1333" s="82"/>
      <c r="S1333" s="82"/>
      <c r="T1333" s="138">
        <v>10.0</v>
      </c>
      <c r="U1333" s="323" t="s">
        <v>11653</v>
      </c>
      <c r="V1333" s="106">
        <v>0.0</v>
      </c>
      <c r="W1333" s="107">
        <v>0.0</v>
      </c>
      <c r="X1333" s="107">
        <v>0.0</v>
      </c>
      <c r="Y1333" s="107">
        <v>0.0</v>
      </c>
      <c r="Z1333" s="80">
        <v>0.0</v>
      </c>
      <c r="AA1333" s="140">
        <v>0.0</v>
      </c>
      <c r="AB1333" s="109">
        <v>0.0</v>
      </c>
      <c r="AC1333" s="109">
        <v>0.0</v>
      </c>
      <c r="AD1333" s="141">
        <v>0.0</v>
      </c>
      <c r="AE1333" s="80">
        <v>0.0</v>
      </c>
      <c r="AF1333" s="140">
        <v>238.0</v>
      </c>
      <c r="AG1333" s="109">
        <v>176.0</v>
      </c>
      <c r="AH1333" s="109">
        <v>0.0</v>
      </c>
      <c r="AI1333" s="141">
        <v>16.0</v>
      </c>
      <c r="AJ1333" s="80">
        <v>430.0</v>
      </c>
      <c r="AK1333" s="140">
        <v>0.0</v>
      </c>
      <c r="AL1333" s="109">
        <v>0.0</v>
      </c>
      <c r="AM1333" s="141">
        <v>0.0</v>
      </c>
      <c r="AN1333" s="80">
        <v>0.0</v>
      </c>
      <c r="AO1333" s="140">
        <v>0.0</v>
      </c>
      <c r="AP1333" s="109">
        <v>0.0</v>
      </c>
      <c r="AQ1333" s="109">
        <v>32.0</v>
      </c>
      <c r="AR1333" s="80">
        <v>32.0</v>
      </c>
      <c r="AS1333" s="110">
        <v>0.0</v>
      </c>
      <c r="AT1333" s="110">
        <v>0.0</v>
      </c>
      <c r="AU1333" s="110">
        <v>0.0</v>
      </c>
      <c r="AV1333" s="142">
        <v>0.0</v>
      </c>
      <c r="AW1333" s="80">
        <v>0.0</v>
      </c>
      <c r="AX1333" s="113">
        <v>462.0</v>
      </c>
      <c r="AY1333" s="117">
        <v>430.0</v>
      </c>
      <c r="AZ1333" s="328">
        <v>32.0</v>
      </c>
      <c r="BA1333" s="315">
        <v>0.0</v>
      </c>
      <c r="BB1333" s="316">
        <v>462.0</v>
      </c>
      <c r="BC1333" s="132" t="s">
        <v>178</v>
      </c>
      <c r="BD1333" s="132" t="s">
        <v>178</v>
      </c>
      <c r="BE1333" s="132" t="s">
        <v>178</v>
      </c>
      <c r="BF1333" s="123"/>
      <c r="BG1333" s="83">
        <v>1131534.0</v>
      </c>
      <c r="BH1333" s="112">
        <v>12.0</v>
      </c>
      <c r="BI1333" s="98" t="s">
        <v>155</v>
      </c>
      <c r="BJ1333" s="98" t="str">
        <f t="shared" si="1"/>
        <v>INTEGRAL</v>
      </c>
      <c r="BK1333" s="98" t="str">
        <f t="shared" si="2"/>
        <v>NÃO</v>
      </c>
    </row>
    <row r="1334" ht="15.75" customHeight="1">
      <c r="A1334" s="111" t="s">
        <v>1573</v>
      </c>
      <c r="B1334" s="83" t="s">
        <v>7306</v>
      </c>
      <c r="C1334" s="83" t="s">
        <v>164</v>
      </c>
      <c r="D1334" s="83">
        <v>1131534.0</v>
      </c>
      <c r="E1334" s="83">
        <v>1178227.0</v>
      </c>
      <c r="F1334" s="83"/>
      <c r="G1334" s="114" t="s">
        <v>11654</v>
      </c>
      <c r="H1334" s="91" t="s">
        <v>7311</v>
      </c>
      <c r="I1334" s="114" t="s">
        <v>7312</v>
      </c>
      <c r="J1334" s="83" t="s">
        <v>244</v>
      </c>
      <c r="K1334" s="83" t="s">
        <v>168</v>
      </c>
      <c r="L1334" s="83" t="s">
        <v>169</v>
      </c>
      <c r="M1334" s="82" t="s">
        <v>11649</v>
      </c>
      <c r="N1334" s="82" t="s">
        <v>11650</v>
      </c>
      <c r="O1334" s="82" t="s">
        <v>11651</v>
      </c>
      <c r="P1334" s="82" t="s">
        <v>11652</v>
      </c>
      <c r="Q1334" s="82"/>
      <c r="R1334" s="82"/>
      <c r="S1334" s="82"/>
      <c r="T1334" s="138">
        <v>3.0</v>
      </c>
      <c r="U1334" s="323">
        <v>3.0</v>
      </c>
      <c r="V1334" s="106">
        <v>0.0</v>
      </c>
      <c r="W1334" s="107">
        <v>0.0</v>
      </c>
      <c r="X1334" s="107">
        <v>0.0</v>
      </c>
      <c r="Y1334" s="107">
        <v>0.0</v>
      </c>
      <c r="Z1334" s="80">
        <v>0.0</v>
      </c>
      <c r="AA1334" s="140">
        <v>0.0</v>
      </c>
      <c r="AB1334" s="109">
        <v>0.0</v>
      </c>
      <c r="AC1334" s="109">
        <v>0.0</v>
      </c>
      <c r="AD1334" s="141">
        <v>0.0</v>
      </c>
      <c r="AE1334" s="80">
        <v>0.0</v>
      </c>
      <c r="AF1334" s="140">
        <v>0.0</v>
      </c>
      <c r="AG1334" s="109">
        <v>76.0</v>
      </c>
      <c r="AH1334" s="109">
        <v>0.0</v>
      </c>
      <c r="AI1334" s="141">
        <v>0.0</v>
      </c>
      <c r="AJ1334" s="80">
        <v>76.0</v>
      </c>
      <c r="AK1334" s="140">
        <v>0.0</v>
      </c>
      <c r="AL1334" s="109">
        <v>0.0</v>
      </c>
      <c r="AM1334" s="141">
        <v>0.0</v>
      </c>
      <c r="AN1334" s="80">
        <v>0.0</v>
      </c>
      <c r="AO1334" s="140">
        <v>0.0</v>
      </c>
      <c r="AP1334" s="109">
        <v>0.0</v>
      </c>
      <c r="AQ1334" s="109">
        <v>0.0</v>
      </c>
      <c r="AR1334" s="80">
        <v>0.0</v>
      </c>
      <c r="AS1334" s="110">
        <v>0.0</v>
      </c>
      <c r="AT1334" s="110">
        <v>0.0</v>
      </c>
      <c r="AU1334" s="110">
        <v>0.0</v>
      </c>
      <c r="AV1334" s="142">
        <v>0.0</v>
      </c>
      <c r="AW1334" s="80">
        <v>0.0</v>
      </c>
      <c r="AX1334" s="113">
        <v>76.0</v>
      </c>
      <c r="AY1334" s="117">
        <v>76.0</v>
      </c>
      <c r="AZ1334" s="328">
        <v>0.0</v>
      </c>
      <c r="BA1334" s="315">
        <v>0.0</v>
      </c>
      <c r="BB1334" s="316">
        <v>76.0</v>
      </c>
      <c r="BC1334" s="132" t="s">
        <v>373</v>
      </c>
      <c r="BD1334" s="132" t="s">
        <v>178</v>
      </c>
      <c r="BE1334" s="132" t="s">
        <v>178</v>
      </c>
      <c r="BF1334" s="123"/>
      <c r="BG1334" s="83">
        <v>1178227.0</v>
      </c>
      <c r="BH1334" s="112">
        <v>3.0</v>
      </c>
      <c r="BI1334" s="98" t="s">
        <v>155</v>
      </c>
      <c r="BJ1334" s="98" t="str">
        <f t="shared" si="1"/>
        <v>NÃO</v>
      </c>
      <c r="BK1334" s="98" t="str">
        <f t="shared" si="2"/>
        <v>NÃO</v>
      </c>
    </row>
    <row r="1335" ht="15.75" customHeight="1">
      <c r="A1335" s="111" t="s">
        <v>1573</v>
      </c>
      <c r="B1335" s="83" t="s">
        <v>7306</v>
      </c>
      <c r="C1335" s="83" t="s">
        <v>164</v>
      </c>
      <c r="D1335" s="83">
        <v>1131534.0</v>
      </c>
      <c r="E1335" s="83">
        <v>1178916.0</v>
      </c>
      <c r="F1335" s="83"/>
      <c r="G1335" s="114" t="s">
        <v>11655</v>
      </c>
      <c r="H1335" s="91" t="s">
        <v>7319</v>
      </c>
      <c r="I1335" s="114" t="s">
        <v>7320</v>
      </c>
      <c r="J1335" s="83" t="s">
        <v>467</v>
      </c>
      <c r="K1335" s="83" t="s">
        <v>168</v>
      </c>
      <c r="L1335" s="83" t="s">
        <v>169</v>
      </c>
      <c r="M1335" s="82" t="s">
        <v>11649</v>
      </c>
      <c r="N1335" s="82" t="s">
        <v>11650</v>
      </c>
      <c r="O1335" s="82" t="s">
        <v>11651</v>
      </c>
      <c r="P1335" s="82" t="s">
        <v>11652</v>
      </c>
      <c r="Q1335" s="82"/>
      <c r="R1335" s="82"/>
      <c r="S1335" s="82"/>
      <c r="T1335" s="138">
        <v>3.0</v>
      </c>
      <c r="U1335" s="323">
        <v>3.0</v>
      </c>
      <c r="V1335" s="106">
        <v>0.0</v>
      </c>
      <c r="W1335" s="107">
        <v>0.0</v>
      </c>
      <c r="X1335" s="107">
        <v>0.0</v>
      </c>
      <c r="Y1335" s="107">
        <v>0.0</v>
      </c>
      <c r="Z1335" s="80">
        <v>0.0</v>
      </c>
      <c r="AA1335" s="140">
        <v>0.0</v>
      </c>
      <c r="AB1335" s="109">
        <v>0.0</v>
      </c>
      <c r="AC1335" s="109">
        <v>0.0</v>
      </c>
      <c r="AD1335" s="141">
        <v>0.0</v>
      </c>
      <c r="AE1335" s="80">
        <v>0.0</v>
      </c>
      <c r="AF1335" s="140">
        <v>0.0</v>
      </c>
      <c r="AG1335" s="109">
        <v>59.0</v>
      </c>
      <c r="AH1335" s="109">
        <v>0.0</v>
      </c>
      <c r="AI1335" s="141">
        <v>0.0</v>
      </c>
      <c r="AJ1335" s="80">
        <v>59.0</v>
      </c>
      <c r="AK1335" s="140">
        <v>0.0</v>
      </c>
      <c r="AL1335" s="109">
        <v>0.0</v>
      </c>
      <c r="AM1335" s="141">
        <v>0.0</v>
      </c>
      <c r="AN1335" s="80">
        <v>0.0</v>
      </c>
      <c r="AO1335" s="140">
        <v>0.0</v>
      </c>
      <c r="AP1335" s="109">
        <v>0.0</v>
      </c>
      <c r="AQ1335" s="109">
        <v>0.0</v>
      </c>
      <c r="AR1335" s="80">
        <v>0.0</v>
      </c>
      <c r="AS1335" s="110">
        <v>0.0</v>
      </c>
      <c r="AT1335" s="110">
        <v>0.0</v>
      </c>
      <c r="AU1335" s="110">
        <v>0.0</v>
      </c>
      <c r="AV1335" s="142">
        <v>0.0</v>
      </c>
      <c r="AW1335" s="80">
        <v>0.0</v>
      </c>
      <c r="AX1335" s="113">
        <v>59.0</v>
      </c>
      <c r="AY1335" s="117">
        <v>59.0</v>
      </c>
      <c r="AZ1335" s="328">
        <v>0.0</v>
      </c>
      <c r="BA1335" s="315">
        <v>0.0</v>
      </c>
      <c r="BB1335" s="316">
        <v>59.0</v>
      </c>
      <c r="BC1335" s="132" t="s">
        <v>373</v>
      </c>
      <c r="BD1335" s="132" t="s">
        <v>178</v>
      </c>
      <c r="BE1335" s="132" t="s">
        <v>178</v>
      </c>
      <c r="BF1335" s="156"/>
      <c r="BG1335" s="83">
        <v>1178916.0</v>
      </c>
      <c r="BH1335" s="112">
        <v>3.0</v>
      </c>
      <c r="BI1335" s="98" t="s">
        <v>155</v>
      </c>
      <c r="BJ1335" s="98" t="str">
        <f t="shared" si="1"/>
        <v>NÃO</v>
      </c>
      <c r="BK1335" s="98" t="str">
        <f t="shared" si="2"/>
        <v>NÃO</v>
      </c>
    </row>
    <row r="1336" ht="15.75" customHeight="1">
      <c r="A1336" s="111" t="s">
        <v>1573</v>
      </c>
      <c r="B1336" s="83" t="s">
        <v>2297</v>
      </c>
      <c r="C1336" s="83" t="s">
        <v>45</v>
      </c>
      <c r="D1336" s="83">
        <v>1178379.0</v>
      </c>
      <c r="E1336" s="83"/>
      <c r="F1336" s="83">
        <v>2.937751E7</v>
      </c>
      <c r="G1336" s="114" t="s">
        <v>7321</v>
      </c>
      <c r="H1336" s="91" t="s">
        <v>7322</v>
      </c>
      <c r="I1336" s="114" t="s">
        <v>149</v>
      </c>
      <c r="J1336" s="98" t="s">
        <v>1498</v>
      </c>
      <c r="K1336" s="83" t="s">
        <v>171</v>
      </c>
      <c r="L1336" s="83" t="s">
        <v>76</v>
      </c>
      <c r="M1336" s="82" t="s">
        <v>11656</v>
      </c>
      <c r="N1336" s="82" t="s">
        <v>11657</v>
      </c>
      <c r="O1336" s="82"/>
      <c r="P1336" s="82"/>
      <c r="Q1336" s="82"/>
      <c r="R1336" s="82"/>
      <c r="S1336" s="82"/>
      <c r="T1336" s="138">
        <v>4.0</v>
      </c>
      <c r="U1336" s="331">
        <v>4.0</v>
      </c>
      <c r="V1336" s="106">
        <v>0.0</v>
      </c>
      <c r="W1336" s="107">
        <v>0.0</v>
      </c>
      <c r="X1336" s="107">
        <v>0.0</v>
      </c>
      <c r="Y1336" s="107">
        <v>0.0</v>
      </c>
      <c r="Z1336" s="80">
        <v>0.0</v>
      </c>
      <c r="AA1336" s="140">
        <v>0.0</v>
      </c>
      <c r="AB1336" s="109">
        <v>0.0</v>
      </c>
      <c r="AC1336" s="109">
        <v>0.0</v>
      </c>
      <c r="AD1336" s="141">
        <v>0.0</v>
      </c>
      <c r="AE1336" s="80">
        <v>0.0</v>
      </c>
      <c r="AF1336" s="140">
        <v>0.0</v>
      </c>
      <c r="AG1336" s="109">
        <v>0.0</v>
      </c>
      <c r="AH1336" s="109">
        <v>0.0</v>
      </c>
      <c r="AI1336" s="141">
        <v>110.0</v>
      </c>
      <c r="AJ1336" s="80">
        <v>110.0</v>
      </c>
      <c r="AK1336" s="140">
        <v>0.0</v>
      </c>
      <c r="AL1336" s="109">
        <v>0.0</v>
      </c>
      <c r="AM1336" s="141">
        <v>0.0</v>
      </c>
      <c r="AN1336" s="80">
        <v>0.0</v>
      </c>
      <c r="AO1336" s="140">
        <v>0.0</v>
      </c>
      <c r="AP1336" s="109">
        <v>0.0</v>
      </c>
      <c r="AQ1336" s="109">
        <v>0.0</v>
      </c>
      <c r="AR1336" s="80">
        <v>0.0</v>
      </c>
      <c r="AS1336" s="110">
        <v>0.0</v>
      </c>
      <c r="AT1336" s="110">
        <v>0.0</v>
      </c>
      <c r="AU1336" s="110">
        <v>0.0</v>
      </c>
      <c r="AV1336" s="142">
        <v>0.0</v>
      </c>
      <c r="AW1336" s="80">
        <v>0.0</v>
      </c>
      <c r="AX1336" s="113">
        <v>110.0</v>
      </c>
      <c r="AY1336" s="117">
        <v>110.0</v>
      </c>
      <c r="AZ1336" s="328">
        <v>0.0</v>
      </c>
      <c r="BA1336" s="315">
        <v>0.0</v>
      </c>
      <c r="BB1336" s="316">
        <v>110.0</v>
      </c>
      <c r="BC1336" s="132" t="s">
        <v>178</v>
      </c>
      <c r="BD1336" s="132" t="s">
        <v>178</v>
      </c>
      <c r="BE1336" s="132" t="s">
        <v>178</v>
      </c>
      <c r="BF1336" s="156"/>
      <c r="BG1336" s="83">
        <v>1178379.0</v>
      </c>
      <c r="BH1336" s="112">
        <v>4.0</v>
      </c>
      <c r="BI1336" s="98" t="s">
        <v>155</v>
      </c>
      <c r="BJ1336" s="98" t="str">
        <f t="shared" si="1"/>
        <v>INTEGRAL</v>
      </c>
      <c r="BK1336" s="98" t="str">
        <f t="shared" si="2"/>
        <v>NÃO</v>
      </c>
    </row>
    <row r="1337" ht="15.75" customHeight="1">
      <c r="A1337" s="111" t="s">
        <v>1573</v>
      </c>
      <c r="B1337" s="83" t="s">
        <v>2297</v>
      </c>
      <c r="C1337" s="83" t="s">
        <v>68</v>
      </c>
      <c r="D1337" s="83">
        <v>1131453.0</v>
      </c>
      <c r="E1337" s="83"/>
      <c r="F1337" s="83">
        <v>2.9013275E7</v>
      </c>
      <c r="G1337" s="114" t="s">
        <v>10950</v>
      </c>
      <c r="H1337" s="91" t="s">
        <v>7328</v>
      </c>
      <c r="I1337" s="187" t="s">
        <v>149</v>
      </c>
      <c r="J1337" s="83" t="s">
        <v>150</v>
      </c>
      <c r="K1337" s="83" t="s">
        <v>151</v>
      </c>
      <c r="L1337" s="83" t="s">
        <v>152</v>
      </c>
      <c r="M1337" s="82" t="s">
        <v>11659</v>
      </c>
      <c r="N1337" s="82" t="s">
        <v>11660</v>
      </c>
      <c r="O1337" s="82" t="s">
        <v>11661</v>
      </c>
      <c r="P1337" s="82" t="s">
        <v>11662</v>
      </c>
      <c r="Q1337" s="82" t="s">
        <v>11663</v>
      </c>
      <c r="R1337" s="82" t="s">
        <v>11664</v>
      </c>
      <c r="S1337" s="82" t="s">
        <v>11665</v>
      </c>
      <c r="T1337" s="138">
        <v>13.0</v>
      </c>
      <c r="U1337" s="387">
        <v>12.0</v>
      </c>
      <c r="V1337" s="106">
        <v>0.0</v>
      </c>
      <c r="W1337" s="107">
        <v>0.0</v>
      </c>
      <c r="X1337" s="107">
        <v>0.0</v>
      </c>
      <c r="Y1337" s="107">
        <v>0.0</v>
      </c>
      <c r="Z1337" s="80">
        <v>0.0</v>
      </c>
      <c r="AA1337" s="140">
        <v>0.0</v>
      </c>
      <c r="AB1337" s="109">
        <v>0.0</v>
      </c>
      <c r="AC1337" s="109">
        <v>0.0</v>
      </c>
      <c r="AD1337" s="141">
        <v>0.0</v>
      </c>
      <c r="AE1337" s="80">
        <v>0.0</v>
      </c>
      <c r="AF1337" s="140">
        <v>416.0</v>
      </c>
      <c r="AG1337" s="109">
        <v>336.0</v>
      </c>
      <c r="AH1337" s="109">
        <v>31.0</v>
      </c>
      <c r="AI1337" s="141">
        <v>24.0</v>
      </c>
      <c r="AJ1337" s="80">
        <v>807.0</v>
      </c>
      <c r="AK1337" s="140">
        <v>0.0</v>
      </c>
      <c r="AL1337" s="109">
        <v>0.0</v>
      </c>
      <c r="AM1337" s="141">
        <v>0.0</v>
      </c>
      <c r="AN1337" s="80">
        <v>0.0</v>
      </c>
      <c r="AO1337" s="140">
        <v>0.0</v>
      </c>
      <c r="AP1337" s="109">
        <v>0.0</v>
      </c>
      <c r="AQ1337" s="109">
        <v>54.0</v>
      </c>
      <c r="AR1337" s="80">
        <v>54.0</v>
      </c>
      <c r="AS1337" s="110">
        <v>0.0</v>
      </c>
      <c r="AT1337" s="110">
        <v>0.0</v>
      </c>
      <c r="AU1337" s="110">
        <v>0.0</v>
      </c>
      <c r="AV1337" s="142">
        <v>0.0</v>
      </c>
      <c r="AW1337" s="80">
        <v>0.0</v>
      </c>
      <c r="AX1337" s="113">
        <v>861.0</v>
      </c>
      <c r="AY1337" s="117">
        <v>776.0</v>
      </c>
      <c r="AZ1337" s="328">
        <v>85.0</v>
      </c>
      <c r="BA1337" s="315">
        <v>2.0</v>
      </c>
      <c r="BB1337" s="316">
        <v>863.0</v>
      </c>
      <c r="BC1337" s="132" t="s">
        <v>178</v>
      </c>
      <c r="BD1337" s="132" t="s">
        <v>178</v>
      </c>
      <c r="BE1337" s="132" t="s">
        <v>178</v>
      </c>
      <c r="BF1337" s="123"/>
      <c r="BG1337" s="83">
        <v>1131453.0</v>
      </c>
      <c r="BH1337" s="112">
        <v>12.0</v>
      </c>
      <c r="BI1337" s="98" t="s">
        <v>155</v>
      </c>
      <c r="BJ1337" s="98" t="str">
        <f t="shared" si="1"/>
        <v>INTEGRAL</v>
      </c>
      <c r="BK1337" s="98" t="str">
        <f t="shared" si="2"/>
        <v>NÃO</v>
      </c>
    </row>
    <row r="1338" ht="15.75" customHeight="1">
      <c r="A1338" s="111" t="s">
        <v>1573</v>
      </c>
      <c r="B1338" s="83" t="s">
        <v>2297</v>
      </c>
      <c r="C1338" s="83" t="s">
        <v>68</v>
      </c>
      <c r="D1338" s="83">
        <v>1131550.0</v>
      </c>
      <c r="E1338" s="83"/>
      <c r="F1338" s="83">
        <v>2.9013259E7</v>
      </c>
      <c r="G1338" s="119" t="s">
        <v>2305</v>
      </c>
      <c r="H1338" s="91" t="s">
        <v>11666</v>
      </c>
      <c r="I1338" s="187" t="s">
        <v>149</v>
      </c>
      <c r="J1338" s="83" t="s">
        <v>150</v>
      </c>
      <c r="K1338" s="83" t="s">
        <v>11667</v>
      </c>
      <c r="L1338" s="83" t="s">
        <v>169</v>
      </c>
      <c r="M1338" s="82" t="s">
        <v>11668</v>
      </c>
      <c r="N1338" s="82" t="s">
        <v>11669</v>
      </c>
      <c r="O1338" s="82" t="s">
        <v>11670</v>
      </c>
      <c r="P1338" s="82" t="s">
        <v>11671</v>
      </c>
      <c r="Q1338" s="82"/>
      <c r="R1338" s="82"/>
      <c r="S1338" s="82"/>
      <c r="T1338" s="138">
        <v>22.0</v>
      </c>
      <c r="U1338" s="352" t="s">
        <v>11672</v>
      </c>
      <c r="V1338" s="106">
        <v>0.0</v>
      </c>
      <c r="W1338" s="107">
        <v>0.0</v>
      </c>
      <c r="X1338" s="107">
        <v>0.0</v>
      </c>
      <c r="Y1338" s="107">
        <v>0.0</v>
      </c>
      <c r="Z1338" s="80">
        <v>0.0</v>
      </c>
      <c r="AA1338" s="140">
        <v>0.0</v>
      </c>
      <c r="AB1338" s="109">
        <v>0.0</v>
      </c>
      <c r="AC1338" s="109">
        <v>0.0</v>
      </c>
      <c r="AD1338" s="141">
        <v>0.0</v>
      </c>
      <c r="AE1338" s="80">
        <v>0.0</v>
      </c>
      <c r="AF1338" s="140">
        <v>143.0</v>
      </c>
      <c r="AG1338" s="109">
        <v>0.0</v>
      </c>
      <c r="AH1338" s="109">
        <v>0.0</v>
      </c>
      <c r="AI1338" s="141">
        <v>15.0</v>
      </c>
      <c r="AJ1338" s="80">
        <v>158.0</v>
      </c>
      <c r="AK1338" s="140">
        <v>0.0</v>
      </c>
      <c r="AL1338" s="109">
        <v>0.0</v>
      </c>
      <c r="AM1338" s="141">
        <v>0.0</v>
      </c>
      <c r="AN1338" s="80">
        <v>0.0</v>
      </c>
      <c r="AO1338" s="140">
        <v>0.0</v>
      </c>
      <c r="AP1338" s="109">
        <v>0.0</v>
      </c>
      <c r="AQ1338" s="109">
        <v>0.0</v>
      </c>
      <c r="AR1338" s="80">
        <v>0.0</v>
      </c>
      <c r="AS1338" s="110">
        <v>0.0</v>
      </c>
      <c r="AT1338" s="110">
        <v>51.0</v>
      </c>
      <c r="AU1338" s="110">
        <v>0.0</v>
      </c>
      <c r="AV1338" s="142">
        <v>0.0</v>
      </c>
      <c r="AW1338" s="80">
        <v>51.0</v>
      </c>
      <c r="AX1338" s="113">
        <v>209.0</v>
      </c>
      <c r="AY1338" s="117">
        <v>209.0</v>
      </c>
      <c r="AZ1338" s="328">
        <v>0.0</v>
      </c>
      <c r="BA1338" s="315">
        <v>0.0</v>
      </c>
      <c r="BB1338" s="316">
        <v>209.0</v>
      </c>
      <c r="BC1338" s="132" t="s">
        <v>178</v>
      </c>
      <c r="BD1338" s="132" t="s">
        <v>178</v>
      </c>
      <c r="BE1338" s="132" t="s">
        <v>178</v>
      </c>
      <c r="BF1338" s="123"/>
      <c r="BG1338" s="83">
        <v>1131550.0</v>
      </c>
      <c r="BH1338" s="112">
        <v>16.0</v>
      </c>
      <c r="BI1338" s="98" t="s">
        <v>155</v>
      </c>
      <c r="BJ1338" s="98" t="str">
        <f t="shared" si="1"/>
        <v>INTEGRAL</v>
      </c>
      <c r="BK1338" s="98" t="str">
        <f t="shared" si="2"/>
        <v>PROFISSIONAL</v>
      </c>
    </row>
    <row r="1339" ht="15.75" customHeight="1">
      <c r="A1339" s="111" t="s">
        <v>1573</v>
      </c>
      <c r="B1339" s="83" t="s">
        <v>2297</v>
      </c>
      <c r="C1339" s="83" t="s">
        <v>164</v>
      </c>
      <c r="D1339" s="83">
        <v>1131453.0</v>
      </c>
      <c r="E1339" s="83">
        <v>1178917.0</v>
      </c>
      <c r="F1339" s="83"/>
      <c r="G1339" s="114" t="s">
        <v>11673</v>
      </c>
      <c r="H1339" s="91" t="s">
        <v>7342</v>
      </c>
      <c r="I1339" s="187" t="s">
        <v>7343</v>
      </c>
      <c r="J1339" s="83" t="s">
        <v>664</v>
      </c>
      <c r="K1339" s="83" t="s">
        <v>168</v>
      </c>
      <c r="L1339" s="83" t="s">
        <v>169</v>
      </c>
      <c r="M1339" s="82" t="s">
        <v>11659</v>
      </c>
      <c r="N1339" s="82" t="s">
        <v>11660</v>
      </c>
      <c r="O1339" s="82" t="s">
        <v>11661</v>
      </c>
      <c r="P1339" s="82" t="s">
        <v>11662</v>
      </c>
      <c r="Q1339" s="82" t="s">
        <v>11663</v>
      </c>
      <c r="R1339" s="82" t="s">
        <v>11664</v>
      </c>
      <c r="S1339" s="82" t="s">
        <v>11665</v>
      </c>
      <c r="T1339" s="138">
        <v>3.0</v>
      </c>
      <c r="U1339" s="341">
        <v>3.0</v>
      </c>
      <c r="V1339" s="106">
        <v>0.0</v>
      </c>
      <c r="W1339" s="107">
        <v>0.0</v>
      </c>
      <c r="X1339" s="107">
        <v>0.0</v>
      </c>
      <c r="Y1339" s="107">
        <v>0.0</v>
      </c>
      <c r="Z1339" s="80">
        <v>0.0</v>
      </c>
      <c r="AA1339" s="140">
        <v>0.0</v>
      </c>
      <c r="AB1339" s="109">
        <v>0.0</v>
      </c>
      <c r="AC1339" s="109">
        <v>0.0</v>
      </c>
      <c r="AD1339" s="141">
        <v>0.0</v>
      </c>
      <c r="AE1339" s="80">
        <v>0.0</v>
      </c>
      <c r="AF1339" s="140">
        <v>0.0</v>
      </c>
      <c r="AG1339" s="109">
        <v>54.0</v>
      </c>
      <c r="AH1339" s="109">
        <v>0.0</v>
      </c>
      <c r="AI1339" s="141">
        <v>0.0</v>
      </c>
      <c r="AJ1339" s="80">
        <v>54.0</v>
      </c>
      <c r="AK1339" s="140">
        <v>0.0</v>
      </c>
      <c r="AL1339" s="109">
        <v>0.0</v>
      </c>
      <c r="AM1339" s="141">
        <v>0.0</v>
      </c>
      <c r="AN1339" s="80">
        <v>0.0</v>
      </c>
      <c r="AO1339" s="140">
        <v>0.0</v>
      </c>
      <c r="AP1339" s="109">
        <v>0.0</v>
      </c>
      <c r="AQ1339" s="109">
        <v>0.0</v>
      </c>
      <c r="AR1339" s="80">
        <v>0.0</v>
      </c>
      <c r="AS1339" s="110">
        <v>0.0</v>
      </c>
      <c r="AT1339" s="110">
        <v>0.0</v>
      </c>
      <c r="AU1339" s="110">
        <v>0.0</v>
      </c>
      <c r="AV1339" s="142">
        <v>0.0</v>
      </c>
      <c r="AW1339" s="80">
        <v>0.0</v>
      </c>
      <c r="AX1339" s="113">
        <v>54.0</v>
      </c>
      <c r="AY1339" s="117">
        <v>54.0</v>
      </c>
      <c r="AZ1339" s="328">
        <v>0.0</v>
      </c>
      <c r="BA1339" s="315">
        <v>0.0</v>
      </c>
      <c r="BB1339" s="316">
        <v>54.0</v>
      </c>
      <c r="BC1339" s="132" t="s">
        <v>373</v>
      </c>
      <c r="BD1339" s="132" t="s">
        <v>178</v>
      </c>
      <c r="BE1339" s="132" t="s">
        <v>178</v>
      </c>
      <c r="BF1339" s="156"/>
      <c r="BG1339" s="83">
        <v>1178917.0</v>
      </c>
      <c r="BH1339" s="112">
        <v>3.0</v>
      </c>
      <c r="BI1339" s="98" t="s">
        <v>155</v>
      </c>
      <c r="BJ1339" s="98" t="str">
        <f t="shared" si="1"/>
        <v>NÃO</v>
      </c>
      <c r="BK1339" s="98" t="str">
        <f t="shared" si="2"/>
        <v>NÃO</v>
      </c>
    </row>
    <row r="1340" ht="15.75" customHeight="1">
      <c r="A1340" s="111" t="s">
        <v>1573</v>
      </c>
      <c r="B1340" s="83" t="s">
        <v>2297</v>
      </c>
      <c r="C1340" s="83" t="s">
        <v>164</v>
      </c>
      <c r="D1340" s="83">
        <v>1131453.0</v>
      </c>
      <c r="E1340" s="83">
        <v>1179299.0</v>
      </c>
      <c r="F1340" s="83"/>
      <c r="G1340" s="114" t="s">
        <v>11674</v>
      </c>
      <c r="H1340" s="91" t="s">
        <v>11675</v>
      </c>
      <c r="I1340" s="187" t="s">
        <v>11676</v>
      </c>
      <c r="J1340" s="136" t="s">
        <v>694</v>
      </c>
      <c r="K1340" s="83" t="s">
        <v>151</v>
      </c>
      <c r="L1340" s="83" t="s">
        <v>169</v>
      </c>
      <c r="M1340" s="82" t="s">
        <v>11659</v>
      </c>
      <c r="N1340" s="82" t="s">
        <v>11660</v>
      </c>
      <c r="O1340" s="82" t="s">
        <v>11661</v>
      </c>
      <c r="P1340" s="82" t="s">
        <v>11662</v>
      </c>
      <c r="Q1340" s="82" t="s">
        <v>11663</v>
      </c>
      <c r="R1340" s="82" t="s">
        <v>11664</v>
      </c>
      <c r="S1340" s="82" t="s">
        <v>11665</v>
      </c>
      <c r="T1340" s="138">
        <v>3.0</v>
      </c>
      <c r="U1340" s="323">
        <v>3.0</v>
      </c>
      <c r="V1340" s="106">
        <v>0.0</v>
      </c>
      <c r="W1340" s="107">
        <v>0.0</v>
      </c>
      <c r="X1340" s="107">
        <v>0.0</v>
      </c>
      <c r="Y1340" s="107">
        <v>0.0</v>
      </c>
      <c r="Z1340" s="80">
        <v>0.0</v>
      </c>
      <c r="AA1340" s="140">
        <v>0.0</v>
      </c>
      <c r="AB1340" s="109">
        <v>0.0</v>
      </c>
      <c r="AC1340" s="109">
        <v>0.0</v>
      </c>
      <c r="AD1340" s="141">
        <v>0.0</v>
      </c>
      <c r="AE1340" s="80">
        <v>0.0</v>
      </c>
      <c r="AF1340" s="246">
        <v>0.0</v>
      </c>
      <c r="AG1340" s="246">
        <v>40.0</v>
      </c>
      <c r="AH1340" s="246">
        <v>0.0</v>
      </c>
      <c r="AI1340" s="247">
        <v>0.0</v>
      </c>
      <c r="AJ1340" s="80">
        <v>40.0</v>
      </c>
      <c r="AK1340" s="140">
        <v>0.0</v>
      </c>
      <c r="AL1340" s="109">
        <v>0.0</v>
      </c>
      <c r="AM1340" s="141">
        <v>0.0</v>
      </c>
      <c r="AN1340" s="80">
        <v>0.0</v>
      </c>
      <c r="AO1340" s="246">
        <v>0.0</v>
      </c>
      <c r="AP1340" s="246">
        <v>0.0</v>
      </c>
      <c r="AQ1340" s="247">
        <v>0.0</v>
      </c>
      <c r="AR1340" s="80">
        <v>0.0</v>
      </c>
      <c r="AS1340" s="110">
        <v>0.0</v>
      </c>
      <c r="AT1340" s="110">
        <v>0.0</v>
      </c>
      <c r="AU1340" s="110">
        <v>0.0</v>
      </c>
      <c r="AV1340" s="142">
        <v>0.0</v>
      </c>
      <c r="AW1340" s="80">
        <v>0.0</v>
      </c>
      <c r="AX1340" s="113">
        <v>40.0</v>
      </c>
      <c r="AY1340" s="117">
        <v>40.0</v>
      </c>
      <c r="AZ1340" s="328">
        <v>0.0</v>
      </c>
      <c r="BA1340" s="315">
        <v>0.0</v>
      </c>
      <c r="BB1340" s="316">
        <v>40.0</v>
      </c>
      <c r="BC1340" s="132" t="s">
        <v>373</v>
      </c>
      <c r="BD1340" s="132" t="s">
        <v>178</v>
      </c>
      <c r="BE1340" s="132" t="s">
        <v>178</v>
      </c>
      <c r="BF1340" s="123"/>
      <c r="BG1340" s="83">
        <v>1179299.0</v>
      </c>
      <c r="BH1340" s="112">
        <v>3.0</v>
      </c>
      <c r="BI1340" s="98" t="s">
        <v>155</v>
      </c>
      <c r="BJ1340" s="98" t="str">
        <f t="shared" si="1"/>
        <v>NÃO</v>
      </c>
      <c r="BK1340" s="98" t="str">
        <f t="shared" si="2"/>
        <v>NÃO</v>
      </c>
    </row>
    <row r="1341" ht="15.75" customHeight="1">
      <c r="A1341" s="111" t="s">
        <v>1573</v>
      </c>
      <c r="B1341" s="83" t="s">
        <v>2297</v>
      </c>
      <c r="C1341" s="83" t="s">
        <v>164</v>
      </c>
      <c r="D1341" s="83">
        <v>1131453.0</v>
      </c>
      <c r="E1341" s="83">
        <v>1178168.0</v>
      </c>
      <c r="F1341" s="83"/>
      <c r="G1341" s="114" t="s">
        <v>11677</v>
      </c>
      <c r="H1341" s="91" t="s">
        <v>11678</v>
      </c>
      <c r="I1341" s="187" t="s">
        <v>11679</v>
      </c>
      <c r="J1341" s="136" t="s">
        <v>11680</v>
      </c>
      <c r="K1341" s="83" t="s">
        <v>168</v>
      </c>
      <c r="L1341" s="83" t="s">
        <v>169</v>
      </c>
      <c r="M1341" s="82" t="s">
        <v>11659</v>
      </c>
      <c r="N1341" s="82" t="s">
        <v>11660</v>
      </c>
      <c r="O1341" s="82" t="s">
        <v>11661</v>
      </c>
      <c r="P1341" s="82" t="s">
        <v>11662</v>
      </c>
      <c r="Q1341" s="82" t="s">
        <v>11663</v>
      </c>
      <c r="R1341" s="82" t="s">
        <v>11664</v>
      </c>
      <c r="S1341" s="82" t="s">
        <v>11665</v>
      </c>
      <c r="T1341" s="138">
        <v>5.0</v>
      </c>
      <c r="U1341" s="323">
        <v>4.0</v>
      </c>
      <c r="V1341" s="106">
        <v>0.0</v>
      </c>
      <c r="W1341" s="107">
        <v>0.0</v>
      </c>
      <c r="X1341" s="107">
        <v>0.0</v>
      </c>
      <c r="Y1341" s="107">
        <v>0.0</v>
      </c>
      <c r="Z1341" s="80">
        <v>0.0</v>
      </c>
      <c r="AA1341" s="140">
        <v>0.0</v>
      </c>
      <c r="AB1341" s="109">
        <v>0.0</v>
      </c>
      <c r="AC1341" s="109">
        <v>0.0</v>
      </c>
      <c r="AD1341" s="141">
        <v>0.0</v>
      </c>
      <c r="AE1341" s="80">
        <v>0.0</v>
      </c>
      <c r="AF1341" s="140">
        <v>0.0</v>
      </c>
      <c r="AG1341" s="109">
        <v>0.0</v>
      </c>
      <c r="AH1341" s="109">
        <v>24.0</v>
      </c>
      <c r="AI1341" s="141">
        <v>0.0</v>
      </c>
      <c r="AJ1341" s="80">
        <v>24.0</v>
      </c>
      <c r="AK1341" s="140">
        <v>0.0</v>
      </c>
      <c r="AL1341" s="109">
        <v>0.0</v>
      </c>
      <c r="AM1341" s="141">
        <v>0.0</v>
      </c>
      <c r="AN1341" s="80">
        <v>0.0</v>
      </c>
      <c r="AO1341" s="140">
        <v>0.0</v>
      </c>
      <c r="AP1341" s="109">
        <v>0.0</v>
      </c>
      <c r="AQ1341" s="109">
        <v>20.0</v>
      </c>
      <c r="AR1341" s="80">
        <v>20.0</v>
      </c>
      <c r="AS1341" s="110">
        <v>0.0</v>
      </c>
      <c r="AT1341" s="110">
        <v>0.0</v>
      </c>
      <c r="AU1341" s="110">
        <v>0.0</v>
      </c>
      <c r="AV1341" s="142">
        <v>0.0</v>
      </c>
      <c r="AW1341" s="80">
        <v>0.0</v>
      </c>
      <c r="AX1341" s="113">
        <v>44.0</v>
      </c>
      <c r="AY1341" s="117">
        <v>0.0</v>
      </c>
      <c r="AZ1341" s="328">
        <v>44.0</v>
      </c>
      <c r="BA1341" s="315">
        <v>0.0</v>
      </c>
      <c r="BB1341" s="316">
        <v>44.0</v>
      </c>
      <c r="BC1341" s="132" t="s">
        <v>373</v>
      </c>
      <c r="BD1341" s="132" t="s">
        <v>178</v>
      </c>
      <c r="BE1341" s="132" t="s">
        <v>178</v>
      </c>
      <c r="BF1341" s="123"/>
      <c r="BG1341" s="83">
        <v>1178168.0</v>
      </c>
      <c r="BH1341" s="112">
        <v>4.0</v>
      </c>
      <c r="BI1341" s="98" t="s">
        <v>155</v>
      </c>
      <c r="BJ1341" s="98" t="str">
        <f t="shared" si="1"/>
        <v>NÃO</v>
      </c>
      <c r="BK1341" s="98" t="str">
        <f t="shared" si="2"/>
        <v>NÃO</v>
      </c>
    </row>
    <row r="1342" ht="15.75" customHeight="1">
      <c r="A1342" s="111" t="s">
        <v>1573</v>
      </c>
      <c r="B1342" s="83" t="s">
        <v>7345</v>
      </c>
      <c r="C1342" s="83" t="s">
        <v>68</v>
      </c>
      <c r="D1342" s="83">
        <v>1141726.0</v>
      </c>
      <c r="E1342" s="83"/>
      <c r="F1342" s="83">
        <v>2.9013887E7</v>
      </c>
      <c r="G1342" s="114" t="s">
        <v>11681</v>
      </c>
      <c r="H1342" s="91" t="s">
        <v>7347</v>
      </c>
      <c r="I1342" s="187" t="s">
        <v>149</v>
      </c>
      <c r="J1342" s="136" t="s">
        <v>150</v>
      </c>
      <c r="K1342" s="83" t="s">
        <v>168</v>
      </c>
      <c r="L1342" s="83" t="s">
        <v>76</v>
      </c>
      <c r="M1342" s="82" t="s">
        <v>11682</v>
      </c>
      <c r="N1342" s="82" t="s">
        <v>11683</v>
      </c>
      <c r="O1342" s="82" t="s">
        <v>11684</v>
      </c>
      <c r="P1342" s="82" t="s">
        <v>11685</v>
      </c>
      <c r="Q1342" s="82"/>
      <c r="R1342" s="82"/>
      <c r="S1342" s="82"/>
      <c r="T1342" s="138">
        <v>10.0</v>
      </c>
      <c r="U1342" s="389" t="s">
        <v>11686</v>
      </c>
      <c r="V1342" s="106">
        <v>0.0</v>
      </c>
      <c r="W1342" s="107">
        <v>0.0</v>
      </c>
      <c r="X1342" s="107">
        <v>0.0</v>
      </c>
      <c r="Y1342" s="107">
        <v>0.0</v>
      </c>
      <c r="Z1342" s="80">
        <v>0.0</v>
      </c>
      <c r="AA1342" s="140">
        <v>0.0</v>
      </c>
      <c r="AB1342" s="109">
        <v>0.0</v>
      </c>
      <c r="AC1342" s="109">
        <v>0.0</v>
      </c>
      <c r="AD1342" s="141">
        <v>0.0</v>
      </c>
      <c r="AE1342" s="80">
        <v>0.0</v>
      </c>
      <c r="AF1342" s="140">
        <v>185.0</v>
      </c>
      <c r="AG1342" s="109">
        <v>121.0</v>
      </c>
      <c r="AH1342" s="109">
        <v>0.0</v>
      </c>
      <c r="AI1342" s="141">
        <v>10.0</v>
      </c>
      <c r="AJ1342" s="80">
        <v>316.0</v>
      </c>
      <c r="AK1342" s="140">
        <v>0.0</v>
      </c>
      <c r="AL1342" s="109">
        <v>0.0</v>
      </c>
      <c r="AM1342" s="141">
        <v>0.0</v>
      </c>
      <c r="AN1342" s="80">
        <v>0.0</v>
      </c>
      <c r="AO1342" s="140">
        <v>0.0</v>
      </c>
      <c r="AP1342" s="109">
        <v>0.0</v>
      </c>
      <c r="AQ1342" s="109">
        <v>1.0</v>
      </c>
      <c r="AR1342" s="80">
        <v>1.0</v>
      </c>
      <c r="AS1342" s="110">
        <v>0.0</v>
      </c>
      <c r="AT1342" s="110">
        <v>0.0</v>
      </c>
      <c r="AU1342" s="110">
        <v>0.0</v>
      </c>
      <c r="AV1342" s="142">
        <v>0.0</v>
      </c>
      <c r="AW1342" s="80">
        <v>0.0</v>
      </c>
      <c r="AX1342" s="113">
        <v>317.0</v>
      </c>
      <c r="AY1342" s="117">
        <v>316.0</v>
      </c>
      <c r="AZ1342" s="328">
        <v>1.0</v>
      </c>
      <c r="BA1342" s="315">
        <v>0.0</v>
      </c>
      <c r="BB1342" s="316">
        <v>317.0</v>
      </c>
      <c r="BC1342" s="132" t="s">
        <v>178</v>
      </c>
      <c r="BD1342" s="132" t="s">
        <v>178</v>
      </c>
      <c r="BE1342" s="132" t="s">
        <v>178</v>
      </c>
      <c r="BF1342" s="123"/>
      <c r="BG1342" s="83">
        <v>1141726.0</v>
      </c>
      <c r="BH1342" s="112">
        <v>8.0</v>
      </c>
      <c r="BI1342" s="98" t="s">
        <v>155</v>
      </c>
      <c r="BJ1342" s="98" t="str">
        <f t="shared" si="1"/>
        <v>INTEGRAL</v>
      </c>
      <c r="BK1342" s="98" t="str">
        <f t="shared" si="2"/>
        <v>NÃO</v>
      </c>
    </row>
    <row r="1343" ht="15.75" customHeight="1">
      <c r="A1343" s="111" t="s">
        <v>1573</v>
      </c>
      <c r="B1343" s="83" t="s">
        <v>7345</v>
      </c>
      <c r="C1343" s="83" t="s">
        <v>164</v>
      </c>
      <c r="D1343" s="83">
        <v>1141726.0</v>
      </c>
      <c r="E1343" s="83">
        <v>1178919.0</v>
      </c>
      <c r="F1343" s="83"/>
      <c r="G1343" s="114" t="s">
        <v>11687</v>
      </c>
      <c r="H1343" s="91" t="s">
        <v>7352</v>
      </c>
      <c r="I1343" s="187" t="s">
        <v>149</v>
      </c>
      <c r="J1343" s="83" t="s">
        <v>939</v>
      </c>
      <c r="K1343" s="83" t="s">
        <v>168</v>
      </c>
      <c r="L1343" s="83" t="s">
        <v>169</v>
      </c>
      <c r="M1343" s="82" t="s">
        <v>11682</v>
      </c>
      <c r="N1343" s="82" t="s">
        <v>11683</v>
      </c>
      <c r="O1343" s="82" t="s">
        <v>11684</v>
      </c>
      <c r="P1343" s="82" t="s">
        <v>11685</v>
      </c>
      <c r="Q1343" s="82"/>
      <c r="R1343" s="82"/>
      <c r="S1343" s="82"/>
      <c r="T1343" s="138">
        <v>1.0</v>
      </c>
      <c r="U1343" s="323">
        <v>1.0</v>
      </c>
      <c r="V1343" s="106">
        <v>0.0</v>
      </c>
      <c r="W1343" s="107">
        <v>0.0</v>
      </c>
      <c r="X1343" s="107">
        <v>0.0</v>
      </c>
      <c r="Y1343" s="107">
        <v>0.0</v>
      </c>
      <c r="Z1343" s="80">
        <v>0.0</v>
      </c>
      <c r="AA1343" s="140">
        <v>0.0</v>
      </c>
      <c r="AB1343" s="109">
        <v>0.0</v>
      </c>
      <c r="AC1343" s="109">
        <v>0.0</v>
      </c>
      <c r="AD1343" s="141">
        <v>0.0</v>
      </c>
      <c r="AE1343" s="80">
        <v>0.0</v>
      </c>
      <c r="AF1343" s="140">
        <v>10.0</v>
      </c>
      <c r="AG1343" s="109">
        <v>0.0</v>
      </c>
      <c r="AH1343" s="109">
        <v>0.0</v>
      </c>
      <c r="AI1343" s="141">
        <v>0.0</v>
      </c>
      <c r="AJ1343" s="80">
        <v>10.0</v>
      </c>
      <c r="AK1343" s="140">
        <v>0.0</v>
      </c>
      <c r="AL1343" s="109">
        <v>0.0</v>
      </c>
      <c r="AM1343" s="141">
        <v>0.0</v>
      </c>
      <c r="AN1343" s="80">
        <v>0.0</v>
      </c>
      <c r="AO1343" s="140">
        <v>0.0</v>
      </c>
      <c r="AP1343" s="109">
        <v>0.0</v>
      </c>
      <c r="AQ1343" s="109">
        <v>0.0</v>
      </c>
      <c r="AR1343" s="80">
        <v>0.0</v>
      </c>
      <c r="AS1343" s="110">
        <v>0.0</v>
      </c>
      <c r="AT1343" s="110">
        <v>0.0</v>
      </c>
      <c r="AU1343" s="110">
        <v>0.0</v>
      </c>
      <c r="AV1343" s="142">
        <v>0.0</v>
      </c>
      <c r="AW1343" s="80">
        <v>0.0</v>
      </c>
      <c r="AX1343" s="113">
        <v>10.0</v>
      </c>
      <c r="AY1343" s="117">
        <v>10.0</v>
      </c>
      <c r="AZ1343" s="328">
        <v>0.0</v>
      </c>
      <c r="BA1343" s="315">
        <v>0.0</v>
      </c>
      <c r="BB1343" s="316">
        <v>10.0</v>
      </c>
      <c r="BC1343" s="132" t="s">
        <v>373</v>
      </c>
      <c r="BD1343" s="132" t="s">
        <v>178</v>
      </c>
      <c r="BE1343" s="132" t="s">
        <v>178</v>
      </c>
      <c r="BF1343" s="156"/>
      <c r="BG1343" s="83">
        <v>1178919.0</v>
      </c>
      <c r="BH1343" s="112">
        <v>1.0</v>
      </c>
      <c r="BI1343" s="98" t="s">
        <v>155</v>
      </c>
      <c r="BJ1343" s="98" t="str">
        <f t="shared" si="1"/>
        <v>NÃO</v>
      </c>
      <c r="BK1343" s="98" t="str">
        <f t="shared" si="2"/>
        <v>NÃO</v>
      </c>
    </row>
    <row r="1344" ht="15.75" customHeight="1">
      <c r="A1344" s="111" t="s">
        <v>1573</v>
      </c>
      <c r="B1344" s="83" t="s">
        <v>7353</v>
      </c>
      <c r="C1344" s="83" t="s">
        <v>68</v>
      </c>
      <c r="D1344" s="83">
        <v>1131860.0</v>
      </c>
      <c r="E1344" s="83"/>
      <c r="F1344" s="83">
        <v>2.9015227E7</v>
      </c>
      <c r="G1344" s="114" t="s">
        <v>11688</v>
      </c>
      <c r="H1344" s="91" t="s">
        <v>7356</v>
      </c>
      <c r="I1344" s="187" t="s">
        <v>149</v>
      </c>
      <c r="J1344" s="136" t="s">
        <v>150</v>
      </c>
      <c r="K1344" s="83" t="s">
        <v>151</v>
      </c>
      <c r="L1344" s="83" t="s">
        <v>152</v>
      </c>
      <c r="M1344" s="82" t="s">
        <v>11689</v>
      </c>
      <c r="N1344" s="82" t="s">
        <v>11690</v>
      </c>
      <c r="O1344" s="82" t="s">
        <v>11691</v>
      </c>
      <c r="P1344" s="82" t="s">
        <v>11692</v>
      </c>
      <c r="Q1344" s="82" t="s">
        <v>11693</v>
      </c>
      <c r="R1344" s="82" t="s">
        <v>11694</v>
      </c>
      <c r="S1344" s="82" t="s">
        <v>11695</v>
      </c>
      <c r="T1344" s="138">
        <v>10.0</v>
      </c>
      <c r="U1344" s="331" t="s">
        <v>11696</v>
      </c>
      <c r="V1344" s="106">
        <v>0.0</v>
      </c>
      <c r="W1344" s="107">
        <v>0.0</v>
      </c>
      <c r="X1344" s="107">
        <v>0.0</v>
      </c>
      <c r="Y1344" s="107">
        <v>0.0</v>
      </c>
      <c r="Z1344" s="80">
        <v>0.0</v>
      </c>
      <c r="AA1344" s="140">
        <v>0.0</v>
      </c>
      <c r="AB1344" s="109">
        <v>0.0</v>
      </c>
      <c r="AC1344" s="109">
        <v>0.0</v>
      </c>
      <c r="AD1344" s="141">
        <v>0.0</v>
      </c>
      <c r="AE1344" s="80">
        <v>0.0</v>
      </c>
      <c r="AF1344" s="140">
        <v>395.0</v>
      </c>
      <c r="AG1344" s="109">
        <v>213.0</v>
      </c>
      <c r="AH1344" s="109">
        <v>32.0</v>
      </c>
      <c r="AI1344" s="141">
        <v>0.0</v>
      </c>
      <c r="AJ1344" s="80">
        <v>640.0</v>
      </c>
      <c r="AK1344" s="140">
        <v>0.0</v>
      </c>
      <c r="AL1344" s="109">
        <v>0.0</v>
      </c>
      <c r="AM1344" s="141">
        <v>0.0</v>
      </c>
      <c r="AN1344" s="80">
        <v>0.0</v>
      </c>
      <c r="AO1344" s="140">
        <v>0.0</v>
      </c>
      <c r="AP1344" s="109">
        <v>0.0</v>
      </c>
      <c r="AQ1344" s="109">
        <v>125.0</v>
      </c>
      <c r="AR1344" s="80">
        <v>125.0</v>
      </c>
      <c r="AS1344" s="110">
        <v>0.0</v>
      </c>
      <c r="AT1344" s="110">
        <v>0.0</v>
      </c>
      <c r="AU1344" s="110">
        <v>0.0</v>
      </c>
      <c r="AV1344" s="142">
        <v>0.0</v>
      </c>
      <c r="AW1344" s="80">
        <v>0.0</v>
      </c>
      <c r="AX1344" s="113">
        <v>765.0</v>
      </c>
      <c r="AY1344" s="117">
        <v>608.0</v>
      </c>
      <c r="AZ1344" s="328">
        <v>157.0</v>
      </c>
      <c r="BA1344" s="315">
        <v>3.0</v>
      </c>
      <c r="BB1344" s="316">
        <v>768.0</v>
      </c>
      <c r="BC1344" s="132" t="s">
        <v>178</v>
      </c>
      <c r="BD1344" s="132" t="s">
        <v>178</v>
      </c>
      <c r="BE1344" s="132" t="s">
        <v>178</v>
      </c>
      <c r="BF1344" s="83"/>
      <c r="BG1344" s="83">
        <v>1131860.0</v>
      </c>
      <c r="BH1344" s="112">
        <v>10.0</v>
      </c>
      <c r="BI1344" s="98" t="s">
        <v>155</v>
      </c>
      <c r="BJ1344" s="98" t="str">
        <f t="shared" si="1"/>
        <v>NÃO</v>
      </c>
      <c r="BK1344" s="98" t="str">
        <f t="shared" si="2"/>
        <v>NÃO</v>
      </c>
    </row>
    <row r="1345" ht="15.75" customHeight="1">
      <c r="A1345" s="111" t="s">
        <v>1573</v>
      </c>
      <c r="B1345" s="83" t="s">
        <v>7353</v>
      </c>
      <c r="C1345" s="83" t="s">
        <v>68</v>
      </c>
      <c r="D1345" s="83">
        <v>1132000.0</v>
      </c>
      <c r="E1345" s="83"/>
      <c r="F1345" s="83">
        <v>2.9014433E7</v>
      </c>
      <c r="G1345" s="114" t="s">
        <v>7359</v>
      </c>
      <c r="H1345" s="91" t="s">
        <v>11698</v>
      </c>
      <c r="I1345" s="187" t="s">
        <v>149</v>
      </c>
      <c r="J1345" s="136" t="s">
        <v>150</v>
      </c>
      <c r="K1345" s="83" t="s">
        <v>151</v>
      </c>
      <c r="L1345" s="83" t="s">
        <v>230</v>
      </c>
      <c r="M1345" s="82" t="s">
        <v>2962</v>
      </c>
      <c r="N1345" s="82"/>
      <c r="O1345" s="82" t="s">
        <v>11699</v>
      </c>
      <c r="P1345" s="82" t="s">
        <v>11700</v>
      </c>
      <c r="Q1345" s="82" t="s">
        <v>11701</v>
      </c>
      <c r="R1345" s="82" t="s">
        <v>11702</v>
      </c>
      <c r="S1345" s="82"/>
      <c r="T1345" s="138">
        <v>16.0</v>
      </c>
      <c r="U1345" s="323">
        <v>14.0</v>
      </c>
      <c r="V1345" s="106">
        <v>0.0</v>
      </c>
      <c r="W1345" s="107">
        <v>0.0</v>
      </c>
      <c r="X1345" s="107">
        <v>0.0</v>
      </c>
      <c r="Y1345" s="107">
        <v>0.0</v>
      </c>
      <c r="Z1345" s="80">
        <v>0.0</v>
      </c>
      <c r="AA1345" s="140">
        <v>0.0</v>
      </c>
      <c r="AB1345" s="109">
        <v>0.0</v>
      </c>
      <c r="AC1345" s="109">
        <v>0.0</v>
      </c>
      <c r="AD1345" s="141">
        <v>0.0</v>
      </c>
      <c r="AE1345" s="80">
        <v>0.0</v>
      </c>
      <c r="AF1345" s="140">
        <v>135.0</v>
      </c>
      <c r="AG1345" s="109">
        <v>15.0</v>
      </c>
      <c r="AH1345" s="109">
        <v>0.0</v>
      </c>
      <c r="AI1345" s="141">
        <v>0.0</v>
      </c>
      <c r="AJ1345" s="80">
        <v>150.0</v>
      </c>
      <c r="AK1345" s="140">
        <v>0.0</v>
      </c>
      <c r="AL1345" s="109">
        <v>0.0</v>
      </c>
      <c r="AM1345" s="141">
        <v>0.0</v>
      </c>
      <c r="AN1345" s="80">
        <v>0.0</v>
      </c>
      <c r="AO1345" s="140">
        <v>0.0</v>
      </c>
      <c r="AP1345" s="109">
        <v>0.0</v>
      </c>
      <c r="AQ1345" s="109">
        <v>39.0</v>
      </c>
      <c r="AR1345" s="80">
        <v>39.0</v>
      </c>
      <c r="AS1345" s="110">
        <v>218.0</v>
      </c>
      <c r="AT1345" s="110">
        <v>193.0</v>
      </c>
      <c r="AU1345" s="110">
        <v>66.0</v>
      </c>
      <c r="AV1345" s="142">
        <v>0.0</v>
      </c>
      <c r="AW1345" s="80">
        <v>477.0</v>
      </c>
      <c r="AX1345" s="113">
        <v>666.0</v>
      </c>
      <c r="AY1345" s="117">
        <v>561.0</v>
      </c>
      <c r="AZ1345" s="328">
        <v>105.0</v>
      </c>
      <c r="BA1345" s="315">
        <v>0.0</v>
      </c>
      <c r="BB1345" s="316">
        <v>666.0</v>
      </c>
      <c r="BC1345" s="132" t="s">
        <v>178</v>
      </c>
      <c r="BD1345" s="132" t="s">
        <v>522</v>
      </c>
      <c r="BE1345" s="132" t="s">
        <v>178</v>
      </c>
      <c r="BF1345" s="123"/>
      <c r="BG1345" s="83">
        <v>1132000.0</v>
      </c>
      <c r="BH1345" s="112">
        <v>14.0</v>
      </c>
      <c r="BI1345" s="98" t="s">
        <v>155</v>
      </c>
      <c r="BJ1345" s="98" t="str">
        <f t="shared" si="1"/>
        <v>NÃO</v>
      </c>
      <c r="BK1345" s="98" t="str">
        <f t="shared" si="2"/>
        <v>PROFISSIONAL</v>
      </c>
    </row>
    <row r="1346" ht="15.75" customHeight="1">
      <c r="A1346" s="111" t="s">
        <v>1573</v>
      </c>
      <c r="B1346" s="83" t="s">
        <v>7353</v>
      </c>
      <c r="C1346" s="83" t="s">
        <v>164</v>
      </c>
      <c r="D1346" s="83">
        <v>1131860.0</v>
      </c>
      <c r="E1346" s="83">
        <v>1179604.0</v>
      </c>
      <c r="F1346" s="83"/>
      <c r="G1346" s="114" t="s">
        <v>11703</v>
      </c>
      <c r="H1346" s="91" t="s">
        <v>7382</v>
      </c>
      <c r="I1346" s="298" t="s">
        <v>149</v>
      </c>
      <c r="J1346" s="83" t="s">
        <v>727</v>
      </c>
      <c r="K1346" s="83" t="s">
        <v>168</v>
      </c>
      <c r="L1346" s="83" t="s">
        <v>169</v>
      </c>
      <c r="M1346" s="82" t="s">
        <v>11689</v>
      </c>
      <c r="N1346" s="82" t="s">
        <v>11690</v>
      </c>
      <c r="O1346" s="82" t="s">
        <v>11691</v>
      </c>
      <c r="P1346" s="82" t="s">
        <v>11692</v>
      </c>
      <c r="Q1346" s="82" t="s">
        <v>11693</v>
      </c>
      <c r="R1346" s="82" t="s">
        <v>11694</v>
      </c>
      <c r="S1346" s="82" t="s">
        <v>11695</v>
      </c>
      <c r="T1346" s="138">
        <v>5.0</v>
      </c>
      <c r="U1346" s="387">
        <v>3.0</v>
      </c>
      <c r="V1346" s="106">
        <v>0.0</v>
      </c>
      <c r="W1346" s="107">
        <v>0.0</v>
      </c>
      <c r="X1346" s="107">
        <v>0.0</v>
      </c>
      <c r="Y1346" s="107">
        <v>0.0</v>
      </c>
      <c r="Z1346" s="80">
        <v>0.0</v>
      </c>
      <c r="AA1346" s="140">
        <v>0.0</v>
      </c>
      <c r="AB1346" s="109">
        <v>0.0</v>
      </c>
      <c r="AC1346" s="109">
        <v>0.0</v>
      </c>
      <c r="AD1346" s="141">
        <v>0.0</v>
      </c>
      <c r="AE1346" s="80">
        <v>0.0</v>
      </c>
      <c r="AF1346" s="140">
        <v>0.0</v>
      </c>
      <c r="AG1346" s="109">
        <v>0.0</v>
      </c>
      <c r="AH1346" s="109">
        <v>20.0</v>
      </c>
      <c r="AI1346" s="141">
        <v>0.0</v>
      </c>
      <c r="AJ1346" s="80">
        <v>20.0</v>
      </c>
      <c r="AK1346" s="140">
        <v>0.0</v>
      </c>
      <c r="AL1346" s="109">
        <v>0.0</v>
      </c>
      <c r="AM1346" s="141">
        <v>0.0</v>
      </c>
      <c r="AN1346" s="80">
        <v>0.0</v>
      </c>
      <c r="AO1346" s="140">
        <v>0.0</v>
      </c>
      <c r="AP1346" s="109">
        <v>0.0</v>
      </c>
      <c r="AQ1346" s="109">
        <v>57.0</v>
      </c>
      <c r="AR1346" s="80">
        <v>57.0</v>
      </c>
      <c r="AS1346" s="110">
        <v>0.0</v>
      </c>
      <c r="AT1346" s="110">
        <v>0.0</v>
      </c>
      <c r="AU1346" s="110">
        <v>0.0</v>
      </c>
      <c r="AV1346" s="142">
        <v>0.0</v>
      </c>
      <c r="AW1346" s="80">
        <v>0.0</v>
      </c>
      <c r="AX1346" s="113">
        <v>77.0</v>
      </c>
      <c r="AY1346" s="117">
        <v>0.0</v>
      </c>
      <c r="AZ1346" s="328">
        <v>77.0</v>
      </c>
      <c r="BA1346" s="315">
        <v>0.0</v>
      </c>
      <c r="BB1346" s="316">
        <v>77.0</v>
      </c>
      <c r="BC1346" s="132" t="s">
        <v>373</v>
      </c>
      <c r="BD1346" s="132" t="s">
        <v>178</v>
      </c>
      <c r="BE1346" s="132" t="s">
        <v>178</v>
      </c>
      <c r="BF1346" s="156"/>
      <c r="BG1346" s="83">
        <v>1179604.0</v>
      </c>
      <c r="BH1346" s="112">
        <v>3.0</v>
      </c>
      <c r="BI1346" s="98" t="s">
        <v>155</v>
      </c>
      <c r="BJ1346" s="98" t="str">
        <f t="shared" si="1"/>
        <v>NÃO</v>
      </c>
      <c r="BK1346" s="98" t="str">
        <f t="shared" si="2"/>
        <v>NÃO</v>
      </c>
    </row>
    <row r="1347" ht="15.75" customHeight="1">
      <c r="A1347" s="111" t="s">
        <v>1573</v>
      </c>
      <c r="B1347" s="83" t="s">
        <v>7353</v>
      </c>
      <c r="C1347" s="83" t="s">
        <v>164</v>
      </c>
      <c r="D1347" s="83">
        <v>1131860.0</v>
      </c>
      <c r="E1347" s="83">
        <v>1178424.0</v>
      </c>
      <c r="F1347" s="83"/>
      <c r="G1347" s="114" t="s">
        <v>11704</v>
      </c>
      <c r="H1347" s="91" t="s">
        <v>7387</v>
      </c>
      <c r="I1347" s="298" t="s">
        <v>7388</v>
      </c>
      <c r="J1347" s="83" t="s">
        <v>1904</v>
      </c>
      <c r="K1347" s="83" t="s">
        <v>168</v>
      </c>
      <c r="L1347" s="83" t="s">
        <v>169</v>
      </c>
      <c r="M1347" s="82" t="s">
        <v>11689</v>
      </c>
      <c r="N1347" s="82" t="s">
        <v>11690</v>
      </c>
      <c r="O1347" s="82" t="s">
        <v>11691</v>
      </c>
      <c r="P1347" s="82" t="s">
        <v>11692</v>
      </c>
      <c r="Q1347" s="82" t="s">
        <v>11693</v>
      </c>
      <c r="R1347" s="82" t="s">
        <v>11694</v>
      </c>
      <c r="S1347" s="82" t="s">
        <v>11695</v>
      </c>
      <c r="T1347" s="138">
        <v>6.0</v>
      </c>
      <c r="U1347" s="341">
        <v>3.0</v>
      </c>
      <c r="V1347" s="106">
        <v>0.0</v>
      </c>
      <c r="W1347" s="107">
        <v>0.0</v>
      </c>
      <c r="X1347" s="107">
        <v>0.0</v>
      </c>
      <c r="Y1347" s="107">
        <v>0.0</v>
      </c>
      <c r="Z1347" s="80">
        <v>0.0</v>
      </c>
      <c r="AA1347" s="140">
        <v>0.0</v>
      </c>
      <c r="AB1347" s="109">
        <v>0.0</v>
      </c>
      <c r="AC1347" s="109">
        <v>0.0</v>
      </c>
      <c r="AD1347" s="141">
        <v>0.0</v>
      </c>
      <c r="AE1347" s="80">
        <v>0.0</v>
      </c>
      <c r="AF1347" s="140">
        <v>0.0</v>
      </c>
      <c r="AG1347" s="109">
        <v>0.0</v>
      </c>
      <c r="AH1347" s="109">
        <v>39.0</v>
      </c>
      <c r="AI1347" s="141">
        <v>0.0</v>
      </c>
      <c r="AJ1347" s="80">
        <v>39.0</v>
      </c>
      <c r="AK1347" s="140">
        <v>0.0</v>
      </c>
      <c r="AL1347" s="109">
        <v>0.0</v>
      </c>
      <c r="AM1347" s="141">
        <v>0.0</v>
      </c>
      <c r="AN1347" s="80">
        <v>0.0</v>
      </c>
      <c r="AO1347" s="140">
        <v>0.0</v>
      </c>
      <c r="AP1347" s="109">
        <v>0.0</v>
      </c>
      <c r="AQ1347" s="109">
        <v>99.0</v>
      </c>
      <c r="AR1347" s="80">
        <v>99.0</v>
      </c>
      <c r="AS1347" s="110">
        <v>0.0</v>
      </c>
      <c r="AT1347" s="110">
        <v>0.0</v>
      </c>
      <c r="AU1347" s="110">
        <v>0.0</v>
      </c>
      <c r="AV1347" s="142">
        <v>0.0</v>
      </c>
      <c r="AW1347" s="80">
        <v>0.0</v>
      </c>
      <c r="AX1347" s="113">
        <v>138.0</v>
      </c>
      <c r="AY1347" s="117">
        <v>0.0</v>
      </c>
      <c r="AZ1347" s="328">
        <v>138.0</v>
      </c>
      <c r="BA1347" s="315">
        <v>0.0</v>
      </c>
      <c r="BB1347" s="316">
        <v>138.0</v>
      </c>
      <c r="BC1347" s="132" t="s">
        <v>373</v>
      </c>
      <c r="BD1347" s="132" t="s">
        <v>178</v>
      </c>
      <c r="BE1347" s="132" t="s">
        <v>178</v>
      </c>
      <c r="BF1347" s="156"/>
      <c r="BG1347" s="83">
        <v>1178424.0</v>
      </c>
      <c r="BH1347" s="112">
        <v>3.0</v>
      </c>
      <c r="BI1347" s="98" t="s">
        <v>155</v>
      </c>
      <c r="BJ1347" s="98" t="str">
        <f t="shared" si="1"/>
        <v>NÃO</v>
      </c>
      <c r="BK1347" s="98" t="str">
        <f t="shared" si="2"/>
        <v>NÃO</v>
      </c>
    </row>
    <row r="1348" ht="15.75" customHeight="1">
      <c r="A1348" s="111" t="s">
        <v>1573</v>
      </c>
      <c r="B1348" s="83" t="s">
        <v>7353</v>
      </c>
      <c r="C1348" s="83" t="s">
        <v>164</v>
      </c>
      <c r="D1348" s="83">
        <v>1131860.0</v>
      </c>
      <c r="E1348" s="146">
        <v>1178423.0</v>
      </c>
      <c r="F1348" s="431"/>
      <c r="G1348" s="114" t="s">
        <v>11705</v>
      </c>
      <c r="H1348" s="91" t="s">
        <v>7391</v>
      </c>
      <c r="I1348" s="298" t="s">
        <v>7392</v>
      </c>
      <c r="J1348" s="83" t="s">
        <v>868</v>
      </c>
      <c r="K1348" s="83" t="s">
        <v>168</v>
      </c>
      <c r="L1348" s="83" t="s">
        <v>169</v>
      </c>
      <c r="M1348" s="82" t="s">
        <v>11689</v>
      </c>
      <c r="N1348" s="82" t="s">
        <v>11690</v>
      </c>
      <c r="O1348" s="82" t="s">
        <v>11691</v>
      </c>
      <c r="P1348" s="82" t="s">
        <v>11692</v>
      </c>
      <c r="Q1348" s="82" t="s">
        <v>11693</v>
      </c>
      <c r="R1348" s="82" t="s">
        <v>11694</v>
      </c>
      <c r="S1348" s="82" t="s">
        <v>11695</v>
      </c>
      <c r="T1348" s="138">
        <v>5.0</v>
      </c>
      <c r="U1348" s="323">
        <v>4.0</v>
      </c>
      <c r="V1348" s="106">
        <v>0.0</v>
      </c>
      <c r="W1348" s="107">
        <v>0.0</v>
      </c>
      <c r="X1348" s="107">
        <v>0.0</v>
      </c>
      <c r="Y1348" s="107">
        <v>0.0</v>
      </c>
      <c r="Z1348" s="80">
        <v>0.0</v>
      </c>
      <c r="AA1348" s="140">
        <v>0.0</v>
      </c>
      <c r="AB1348" s="109">
        <v>0.0</v>
      </c>
      <c r="AC1348" s="109">
        <v>0.0</v>
      </c>
      <c r="AD1348" s="141">
        <v>0.0</v>
      </c>
      <c r="AE1348" s="80">
        <v>0.0</v>
      </c>
      <c r="AF1348" s="140">
        <v>0.0</v>
      </c>
      <c r="AG1348" s="109">
        <v>121.0</v>
      </c>
      <c r="AH1348" s="109">
        <v>0.0</v>
      </c>
      <c r="AI1348" s="141">
        <v>0.0</v>
      </c>
      <c r="AJ1348" s="80">
        <v>121.0</v>
      </c>
      <c r="AK1348" s="140">
        <v>0.0</v>
      </c>
      <c r="AL1348" s="109">
        <v>0.0</v>
      </c>
      <c r="AM1348" s="141">
        <v>0.0</v>
      </c>
      <c r="AN1348" s="80">
        <v>0.0</v>
      </c>
      <c r="AO1348" s="140">
        <v>0.0</v>
      </c>
      <c r="AP1348" s="109">
        <v>0.0</v>
      </c>
      <c r="AQ1348" s="109">
        <v>0.0</v>
      </c>
      <c r="AR1348" s="80">
        <v>0.0</v>
      </c>
      <c r="AS1348" s="110">
        <v>0.0</v>
      </c>
      <c r="AT1348" s="110">
        <v>0.0</v>
      </c>
      <c r="AU1348" s="110">
        <v>0.0</v>
      </c>
      <c r="AV1348" s="142">
        <v>0.0</v>
      </c>
      <c r="AW1348" s="80">
        <v>0.0</v>
      </c>
      <c r="AX1348" s="113">
        <v>121.0</v>
      </c>
      <c r="AY1348" s="117">
        <v>121.0</v>
      </c>
      <c r="AZ1348" s="328">
        <v>0.0</v>
      </c>
      <c r="BA1348" s="315">
        <v>0.0</v>
      </c>
      <c r="BB1348" s="316">
        <v>121.0</v>
      </c>
      <c r="BC1348" s="132" t="s">
        <v>373</v>
      </c>
      <c r="BD1348" s="132" t="s">
        <v>178</v>
      </c>
      <c r="BE1348" s="132" t="s">
        <v>178</v>
      </c>
      <c r="BF1348" s="156"/>
      <c r="BG1348" s="83">
        <v>1178423.0</v>
      </c>
      <c r="BH1348" s="112">
        <v>4.0</v>
      </c>
      <c r="BI1348" s="98" t="s">
        <v>155</v>
      </c>
      <c r="BJ1348" s="98" t="str">
        <f t="shared" si="1"/>
        <v>NÃO</v>
      </c>
      <c r="BK1348" s="98" t="str">
        <f t="shared" si="2"/>
        <v>NÃO</v>
      </c>
    </row>
    <row r="1349" ht="15.75" customHeight="1">
      <c r="A1349" s="111" t="s">
        <v>1573</v>
      </c>
      <c r="B1349" s="83" t="s">
        <v>7353</v>
      </c>
      <c r="C1349" s="83" t="s">
        <v>164</v>
      </c>
      <c r="D1349" s="83">
        <v>1131860.0</v>
      </c>
      <c r="E1349" s="83">
        <v>1178927.0</v>
      </c>
      <c r="F1349" s="83"/>
      <c r="G1349" s="114" t="s">
        <v>11706</v>
      </c>
      <c r="H1349" s="91"/>
      <c r="I1349" s="298" t="s">
        <v>7394</v>
      </c>
      <c r="J1349" s="83" t="s">
        <v>187</v>
      </c>
      <c r="K1349" s="83" t="s">
        <v>168</v>
      </c>
      <c r="L1349" s="83" t="s">
        <v>169</v>
      </c>
      <c r="M1349" s="82" t="s">
        <v>11689</v>
      </c>
      <c r="N1349" s="82" t="s">
        <v>11690</v>
      </c>
      <c r="O1349" s="82" t="s">
        <v>11691</v>
      </c>
      <c r="P1349" s="82" t="s">
        <v>11692</v>
      </c>
      <c r="Q1349" s="82" t="s">
        <v>11693</v>
      </c>
      <c r="R1349" s="82" t="s">
        <v>11694</v>
      </c>
      <c r="S1349" s="82" t="s">
        <v>11695</v>
      </c>
      <c r="T1349" s="138">
        <v>5.0</v>
      </c>
      <c r="U1349" s="323">
        <v>3.0</v>
      </c>
      <c r="V1349" s="106">
        <v>0.0</v>
      </c>
      <c r="W1349" s="107">
        <v>0.0</v>
      </c>
      <c r="X1349" s="107">
        <v>0.0</v>
      </c>
      <c r="Y1349" s="107">
        <v>0.0</v>
      </c>
      <c r="Z1349" s="80">
        <v>0.0</v>
      </c>
      <c r="AA1349" s="140">
        <v>0.0</v>
      </c>
      <c r="AB1349" s="109">
        <v>0.0</v>
      </c>
      <c r="AC1349" s="109">
        <v>0.0</v>
      </c>
      <c r="AD1349" s="141">
        <v>0.0</v>
      </c>
      <c r="AE1349" s="80">
        <v>0.0</v>
      </c>
      <c r="AF1349" s="140">
        <v>0.0</v>
      </c>
      <c r="AG1349" s="109">
        <v>0.0</v>
      </c>
      <c r="AH1349" s="109">
        <v>28.0</v>
      </c>
      <c r="AI1349" s="141">
        <v>0.0</v>
      </c>
      <c r="AJ1349" s="80">
        <v>28.0</v>
      </c>
      <c r="AK1349" s="140">
        <v>0.0</v>
      </c>
      <c r="AL1349" s="109">
        <v>0.0</v>
      </c>
      <c r="AM1349" s="141">
        <v>0.0</v>
      </c>
      <c r="AN1349" s="80">
        <v>0.0</v>
      </c>
      <c r="AO1349" s="140">
        <v>0.0</v>
      </c>
      <c r="AP1349" s="109">
        <v>0.0</v>
      </c>
      <c r="AQ1349" s="109">
        <v>62.0</v>
      </c>
      <c r="AR1349" s="80">
        <v>62.0</v>
      </c>
      <c r="AS1349" s="110">
        <v>0.0</v>
      </c>
      <c r="AT1349" s="110">
        <v>0.0</v>
      </c>
      <c r="AU1349" s="110">
        <v>0.0</v>
      </c>
      <c r="AV1349" s="142">
        <v>0.0</v>
      </c>
      <c r="AW1349" s="80">
        <v>0.0</v>
      </c>
      <c r="AX1349" s="113">
        <v>90.0</v>
      </c>
      <c r="AY1349" s="117">
        <v>0.0</v>
      </c>
      <c r="AZ1349" s="328">
        <v>90.0</v>
      </c>
      <c r="BA1349" s="315">
        <v>0.0</v>
      </c>
      <c r="BB1349" s="316">
        <v>90.0</v>
      </c>
      <c r="BC1349" s="132" t="s">
        <v>373</v>
      </c>
      <c r="BD1349" s="132" t="s">
        <v>178</v>
      </c>
      <c r="BE1349" s="132" t="s">
        <v>178</v>
      </c>
      <c r="BF1349" s="156"/>
      <c r="BG1349" s="83">
        <v>1178927.0</v>
      </c>
      <c r="BH1349" s="112">
        <v>3.0</v>
      </c>
      <c r="BI1349" s="98" t="s">
        <v>155</v>
      </c>
      <c r="BJ1349" s="98" t="str">
        <f t="shared" si="1"/>
        <v>NÃO</v>
      </c>
      <c r="BK1349" s="98" t="str">
        <f t="shared" si="2"/>
        <v>NÃO</v>
      </c>
    </row>
    <row r="1350" ht="15.75" customHeight="1">
      <c r="A1350" s="111" t="s">
        <v>1573</v>
      </c>
      <c r="B1350" s="83" t="s">
        <v>7353</v>
      </c>
      <c r="C1350" s="83" t="s">
        <v>164</v>
      </c>
      <c r="D1350" s="83">
        <v>1131860.0</v>
      </c>
      <c r="E1350" s="83">
        <v>1178925.0</v>
      </c>
      <c r="F1350" s="83"/>
      <c r="G1350" s="114" t="s">
        <v>11707</v>
      </c>
      <c r="H1350" s="91" t="s">
        <v>7396</v>
      </c>
      <c r="I1350" s="298" t="s">
        <v>7397</v>
      </c>
      <c r="J1350" s="83" t="s">
        <v>464</v>
      </c>
      <c r="K1350" s="83" t="s">
        <v>168</v>
      </c>
      <c r="L1350" s="83" t="s">
        <v>169</v>
      </c>
      <c r="M1350" s="82" t="s">
        <v>11689</v>
      </c>
      <c r="N1350" s="82" t="s">
        <v>11690</v>
      </c>
      <c r="O1350" s="82" t="s">
        <v>11691</v>
      </c>
      <c r="P1350" s="82" t="s">
        <v>11692</v>
      </c>
      <c r="Q1350" s="82" t="s">
        <v>11693</v>
      </c>
      <c r="R1350" s="82" t="s">
        <v>11694</v>
      </c>
      <c r="S1350" s="82" t="s">
        <v>11695</v>
      </c>
      <c r="T1350" s="138">
        <v>3.0</v>
      </c>
      <c r="U1350" s="323">
        <v>3.0</v>
      </c>
      <c r="V1350" s="106">
        <v>0.0</v>
      </c>
      <c r="W1350" s="107">
        <v>0.0</v>
      </c>
      <c r="X1350" s="107">
        <v>0.0</v>
      </c>
      <c r="Y1350" s="107">
        <v>0.0</v>
      </c>
      <c r="Z1350" s="80">
        <v>0.0</v>
      </c>
      <c r="AA1350" s="140">
        <v>0.0</v>
      </c>
      <c r="AB1350" s="109">
        <v>0.0</v>
      </c>
      <c r="AC1350" s="109">
        <v>0.0</v>
      </c>
      <c r="AD1350" s="141">
        <v>0.0</v>
      </c>
      <c r="AE1350" s="80">
        <v>0.0</v>
      </c>
      <c r="AF1350" s="140">
        <v>0.0</v>
      </c>
      <c r="AG1350" s="109">
        <v>0.0</v>
      </c>
      <c r="AH1350" s="109">
        <v>64.0</v>
      </c>
      <c r="AI1350" s="141">
        <v>0.0</v>
      </c>
      <c r="AJ1350" s="80">
        <v>64.0</v>
      </c>
      <c r="AK1350" s="140">
        <v>0.0</v>
      </c>
      <c r="AL1350" s="109">
        <v>0.0</v>
      </c>
      <c r="AM1350" s="141">
        <v>0.0</v>
      </c>
      <c r="AN1350" s="80">
        <v>0.0</v>
      </c>
      <c r="AO1350" s="140">
        <v>0.0</v>
      </c>
      <c r="AP1350" s="109">
        <v>0.0</v>
      </c>
      <c r="AQ1350" s="109">
        <v>0.0</v>
      </c>
      <c r="AR1350" s="80">
        <v>0.0</v>
      </c>
      <c r="AS1350" s="110">
        <v>0.0</v>
      </c>
      <c r="AT1350" s="110">
        <v>0.0</v>
      </c>
      <c r="AU1350" s="110">
        <v>0.0</v>
      </c>
      <c r="AV1350" s="142">
        <v>0.0</v>
      </c>
      <c r="AW1350" s="80">
        <v>0.0</v>
      </c>
      <c r="AX1350" s="113">
        <v>64.0</v>
      </c>
      <c r="AY1350" s="117">
        <v>0.0</v>
      </c>
      <c r="AZ1350" s="328">
        <v>64.0</v>
      </c>
      <c r="BA1350" s="315">
        <v>0.0</v>
      </c>
      <c r="BB1350" s="316">
        <v>64.0</v>
      </c>
      <c r="BC1350" s="132" t="s">
        <v>373</v>
      </c>
      <c r="BD1350" s="132" t="s">
        <v>178</v>
      </c>
      <c r="BE1350" s="132" t="s">
        <v>178</v>
      </c>
      <c r="BF1350" s="156"/>
      <c r="BG1350" s="83">
        <v>1178925.0</v>
      </c>
      <c r="BH1350" s="112">
        <v>3.0</v>
      </c>
      <c r="BI1350" s="98" t="s">
        <v>155</v>
      </c>
      <c r="BJ1350" s="98" t="str">
        <f t="shared" si="1"/>
        <v>NÃO</v>
      </c>
      <c r="BK1350" s="98" t="str">
        <f t="shared" si="2"/>
        <v>NÃO</v>
      </c>
    </row>
    <row r="1351" ht="15.75" customHeight="1">
      <c r="A1351" s="111" t="s">
        <v>1573</v>
      </c>
      <c r="B1351" s="83" t="s">
        <v>6946</v>
      </c>
      <c r="C1351" s="83" t="s">
        <v>45</v>
      </c>
      <c r="D1351" s="83">
        <v>1178386.0</v>
      </c>
      <c r="E1351" s="83"/>
      <c r="F1351" s="83">
        <v>2.9527201E7</v>
      </c>
      <c r="G1351" s="114" t="s">
        <v>7398</v>
      </c>
      <c r="H1351" s="91" t="s">
        <v>7399</v>
      </c>
      <c r="I1351" s="298" t="s">
        <v>149</v>
      </c>
      <c r="J1351" s="98" t="s">
        <v>4299</v>
      </c>
      <c r="K1351" s="83" t="s">
        <v>171</v>
      </c>
      <c r="L1351" s="83" t="s">
        <v>169</v>
      </c>
      <c r="M1351" s="82" t="s">
        <v>11708</v>
      </c>
      <c r="N1351" s="82" t="s">
        <v>11709</v>
      </c>
      <c r="O1351" s="82"/>
      <c r="P1351" s="82"/>
      <c r="Q1351" s="82"/>
      <c r="R1351" s="82"/>
      <c r="S1351" s="82"/>
      <c r="T1351" s="138">
        <v>4.0</v>
      </c>
      <c r="U1351" s="323" t="s">
        <v>171</v>
      </c>
      <c r="V1351" s="106">
        <v>0.0</v>
      </c>
      <c r="W1351" s="107">
        <v>0.0</v>
      </c>
      <c r="X1351" s="107">
        <v>0.0</v>
      </c>
      <c r="Y1351" s="107">
        <v>0.0</v>
      </c>
      <c r="Z1351" s="80">
        <v>0.0</v>
      </c>
      <c r="AA1351" s="140">
        <v>0.0</v>
      </c>
      <c r="AB1351" s="109">
        <v>0.0</v>
      </c>
      <c r="AC1351" s="109">
        <v>0.0</v>
      </c>
      <c r="AD1351" s="141">
        <v>0.0</v>
      </c>
      <c r="AE1351" s="80">
        <v>0.0</v>
      </c>
      <c r="AF1351" s="140">
        <v>0.0</v>
      </c>
      <c r="AG1351" s="109">
        <v>0.0</v>
      </c>
      <c r="AH1351" s="109">
        <v>0.0</v>
      </c>
      <c r="AI1351" s="141">
        <v>159.0</v>
      </c>
      <c r="AJ1351" s="80">
        <v>159.0</v>
      </c>
      <c r="AK1351" s="140">
        <v>0.0</v>
      </c>
      <c r="AL1351" s="109">
        <v>0.0</v>
      </c>
      <c r="AM1351" s="141">
        <v>0.0</v>
      </c>
      <c r="AN1351" s="80">
        <v>0.0</v>
      </c>
      <c r="AO1351" s="140">
        <v>0.0</v>
      </c>
      <c r="AP1351" s="109">
        <v>0.0</v>
      </c>
      <c r="AQ1351" s="109">
        <v>0.0</v>
      </c>
      <c r="AR1351" s="80">
        <v>0.0</v>
      </c>
      <c r="AS1351" s="110">
        <v>0.0</v>
      </c>
      <c r="AT1351" s="110">
        <v>0.0</v>
      </c>
      <c r="AU1351" s="110">
        <v>0.0</v>
      </c>
      <c r="AV1351" s="142">
        <v>0.0</v>
      </c>
      <c r="AW1351" s="80">
        <v>0.0</v>
      </c>
      <c r="AX1351" s="113">
        <v>159.0</v>
      </c>
      <c r="AY1351" s="117">
        <v>159.0</v>
      </c>
      <c r="AZ1351" s="328">
        <v>0.0</v>
      </c>
      <c r="BA1351" s="315">
        <v>0.0</v>
      </c>
      <c r="BB1351" s="316">
        <v>159.0</v>
      </c>
      <c r="BC1351" s="132" t="s">
        <v>178</v>
      </c>
      <c r="BD1351" s="132" t="s">
        <v>178</v>
      </c>
      <c r="BE1351" s="132" t="s">
        <v>178</v>
      </c>
      <c r="BF1351" s="123"/>
      <c r="BG1351" s="83">
        <v>1178386.0</v>
      </c>
      <c r="BH1351" s="112">
        <v>4.0</v>
      </c>
      <c r="BI1351" s="98" t="s">
        <v>155</v>
      </c>
      <c r="BJ1351" s="98" t="str">
        <f t="shared" si="1"/>
        <v>INTEGRAL</v>
      </c>
      <c r="BK1351" s="98" t="str">
        <f t="shared" si="2"/>
        <v>NÃO</v>
      </c>
    </row>
    <row r="1352" ht="15.75" customHeight="1">
      <c r="A1352" s="111" t="s">
        <v>1573</v>
      </c>
      <c r="B1352" s="83" t="s">
        <v>6946</v>
      </c>
      <c r="C1352" s="83" t="s">
        <v>68</v>
      </c>
      <c r="D1352" s="83">
        <v>1132158.0</v>
      </c>
      <c r="E1352" s="83"/>
      <c r="F1352" s="83">
        <v>2.9015413E7</v>
      </c>
      <c r="G1352" s="114" t="s">
        <v>11710</v>
      </c>
      <c r="H1352" s="91" t="s">
        <v>7401</v>
      </c>
      <c r="I1352" s="298" t="s">
        <v>149</v>
      </c>
      <c r="J1352" s="83" t="s">
        <v>150</v>
      </c>
      <c r="K1352" s="83" t="s">
        <v>151</v>
      </c>
      <c r="L1352" s="83" t="s">
        <v>152</v>
      </c>
      <c r="M1352" s="82" t="s">
        <v>11711</v>
      </c>
      <c r="N1352" s="82" t="s">
        <v>11712</v>
      </c>
      <c r="O1352" s="82" t="s">
        <v>11713</v>
      </c>
      <c r="P1352" s="82" t="s">
        <v>11714</v>
      </c>
      <c r="Q1352" s="82" t="s">
        <v>11715</v>
      </c>
      <c r="R1352" s="82" t="s">
        <v>11716</v>
      </c>
      <c r="S1352" s="82"/>
      <c r="T1352" s="138">
        <v>24.0</v>
      </c>
      <c r="U1352" s="331" t="s">
        <v>11717</v>
      </c>
      <c r="V1352" s="106">
        <v>0.0</v>
      </c>
      <c r="W1352" s="107">
        <v>0.0</v>
      </c>
      <c r="X1352" s="107">
        <v>0.0</v>
      </c>
      <c r="Y1352" s="107">
        <v>0.0</v>
      </c>
      <c r="Z1352" s="80">
        <v>0.0</v>
      </c>
      <c r="AA1352" s="140">
        <v>0.0</v>
      </c>
      <c r="AB1352" s="109">
        <v>0.0</v>
      </c>
      <c r="AC1352" s="109">
        <v>0.0</v>
      </c>
      <c r="AD1352" s="141">
        <v>0.0</v>
      </c>
      <c r="AE1352" s="80">
        <v>0.0</v>
      </c>
      <c r="AF1352" s="140">
        <v>365.0</v>
      </c>
      <c r="AG1352" s="109">
        <v>222.0</v>
      </c>
      <c r="AH1352" s="109">
        <v>29.0</v>
      </c>
      <c r="AI1352" s="141">
        <v>234.0</v>
      </c>
      <c r="AJ1352" s="80">
        <v>850.0</v>
      </c>
      <c r="AK1352" s="140">
        <v>0.0</v>
      </c>
      <c r="AL1352" s="109">
        <v>0.0</v>
      </c>
      <c r="AM1352" s="141">
        <v>0.0</v>
      </c>
      <c r="AN1352" s="80">
        <v>0.0</v>
      </c>
      <c r="AO1352" s="140">
        <v>0.0</v>
      </c>
      <c r="AP1352" s="109">
        <v>0.0</v>
      </c>
      <c r="AQ1352" s="109">
        <v>61.0</v>
      </c>
      <c r="AR1352" s="80">
        <v>61.0</v>
      </c>
      <c r="AS1352" s="110">
        <v>48.0</v>
      </c>
      <c r="AT1352" s="110">
        <v>44.0</v>
      </c>
      <c r="AU1352" s="110">
        <v>0.0</v>
      </c>
      <c r="AV1352" s="142">
        <v>0.0</v>
      </c>
      <c r="AW1352" s="80">
        <v>92.0</v>
      </c>
      <c r="AX1352" s="113">
        <v>1003.0</v>
      </c>
      <c r="AY1352" s="117">
        <v>913.0</v>
      </c>
      <c r="AZ1352" s="328">
        <v>90.0</v>
      </c>
      <c r="BA1352" s="315">
        <v>0.0</v>
      </c>
      <c r="BB1352" s="316">
        <v>1003.0</v>
      </c>
      <c r="BC1352" s="132" t="s">
        <v>178</v>
      </c>
      <c r="BD1352" s="132" t="s">
        <v>178</v>
      </c>
      <c r="BE1352" s="132" t="s">
        <v>178</v>
      </c>
      <c r="BF1352" s="123"/>
      <c r="BG1352" s="83">
        <v>1132158.0</v>
      </c>
      <c r="BH1352" s="112">
        <v>20.0</v>
      </c>
      <c r="BI1352" s="98" t="s">
        <v>162</v>
      </c>
      <c r="BJ1352" s="98" t="str">
        <f t="shared" si="1"/>
        <v>INTEGRAL</v>
      </c>
      <c r="BK1352" s="98" t="str">
        <f t="shared" si="2"/>
        <v>PROFISSIONAL</v>
      </c>
    </row>
    <row r="1353" ht="15.75" customHeight="1">
      <c r="A1353" s="111" t="s">
        <v>1573</v>
      </c>
      <c r="B1353" s="83" t="s">
        <v>6946</v>
      </c>
      <c r="C1353" s="83" t="s">
        <v>164</v>
      </c>
      <c r="D1353" s="83">
        <v>1132158.0</v>
      </c>
      <c r="E1353" s="83">
        <v>1178928.0</v>
      </c>
      <c r="F1353" s="83"/>
      <c r="G1353" s="114" t="s">
        <v>11718</v>
      </c>
      <c r="H1353" s="91" t="s">
        <v>7405</v>
      </c>
      <c r="I1353" s="298" t="s">
        <v>7406</v>
      </c>
      <c r="J1353" s="83" t="s">
        <v>331</v>
      </c>
      <c r="K1353" s="83" t="s">
        <v>151</v>
      </c>
      <c r="L1353" s="83" t="s">
        <v>169</v>
      </c>
      <c r="M1353" s="82" t="s">
        <v>11711</v>
      </c>
      <c r="N1353" s="82" t="s">
        <v>11712</v>
      </c>
      <c r="O1353" s="82" t="s">
        <v>11713</v>
      </c>
      <c r="P1353" s="82" t="s">
        <v>11714</v>
      </c>
      <c r="Q1353" s="82" t="s">
        <v>11715</v>
      </c>
      <c r="R1353" s="82" t="s">
        <v>11716</v>
      </c>
      <c r="S1353" s="82"/>
      <c r="T1353" s="138">
        <v>3.0</v>
      </c>
      <c r="U1353" s="323">
        <v>3.0</v>
      </c>
      <c r="V1353" s="106">
        <v>0.0</v>
      </c>
      <c r="W1353" s="107">
        <v>0.0</v>
      </c>
      <c r="X1353" s="107">
        <v>0.0</v>
      </c>
      <c r="Y1353" s="107">
        <v>0.0</v>
      </c>
      <c r="Z1353" s="80">
        <v>0.0</v>
      </c>
      <c r="AA1353" s="140">
        <v>0.0</v>
      </c>
      <c r="AB1353" s="109">
        <v>0.0</v>
      </c>
      <c r="AC1353" s="109">
        <v>0.0</v>
      </c>
      <c r="AD1353" s="141">
        <v>0.0</v>
      </c>
      <c r="AE1353" s="80">
        <v>0.0</v>
      </c>
      <c r="AF1353" s="140">
        <v>0.0</v>
      </c>
      <c r="AG1353" s="109">
        <v>0.0</v>
      </c>
      <c r="AH1353" s="109">
        <v>12.0</v>
      </c>
      <c r="AI1353" s="141">
        <v>0.0</v>
      </c>
      <c r="AJ1353" s="80">
        <v>12.0</v>
      </c>
      <c r="AK1353" s="140">
        <v>0.0</v>
      </c>
      <c r="AL1353" s="109">
        <v>0.0</v>
      </c>
      <c r="AM1353" s="141">
        <v>0.0</v>
      </c>
      <c r="AN1353" s="80">
        <v>0.0</v>
      </c>
      <c r="AO1353" s="140">
        <v>0.0</v>
      </c>
      <c r="AP1353" s="109">
        <v>0.0</v>
      </c>
      <c r="AQ1353" s="109">
        <v>33.0</v>
      </c>
      <c r="AR1353" s="80">
        <v>33.0</v>
      </c>
      <c r="AS1353" s="110">
        <v>0.0</v>
      </c>
      <c r="AT1353" s="110">
        <v>0.0</v>
      </c>
      <c r="AU1353" s="110">
        <v>0.0</v>
      </c>
      <c r="AV1353" s="142">
        <v>0.0</v>
      </c>
      <c r="AW1353" s="80">
        <v>0.0</v>
      </c>
      <c r="AX1353" s="113">
        <v>45.0</v>
      </c>
      <c r="AY1353" s="117">
        <v>0.0</v>
      </c>
      <c r="AZ1353" s="328">
        <v>45.0</v>
      </c>
      <c r="BA1353" s="315">
        <v>0.0</v>
      </c>
      <c r="BB1353" s="316">
        <v>45.0</v>
      </c>
      <c r="BC1353" s="132" t="s">
        <v>373</v>
      </c>
      <c r="BD1353" s="132" t="s">
        <v>178</v>
      </c>
      <c r="BE1353" s="132" t="s">
        <v>178</v>
      </c>
      <c r="BF1353" s="156"/>
      <c r="BG1353" s="83">
        <v>1178928.0</v>
      </c>
      <c r="BH1353" s="112">
        <v>3.0</v>
      </c>
      <c r="BI1353" s="98" t="s">
        <v>155</v>
      </c>
      <c r="BJ1353" s="98" t="str">
        <f t="shared" si="1"/>
        <v>NÃO</v>
      </c>
      <c r="BK1353" s="98" t="str">
        <f t="shared" si="2"/>
        <v>NÃO</v>
      </c>
    </row>
    <row r="1354" ht="15.75" customHeight="1">
      <c r="A1354" s="111" t="s">
        <v>1573</v>
      </c>
      <c r="B1354" s="83" t="s">
        <v>7414</v>
      </c>
      <c r="C1354" s="83" t="s">
        <v>68</v>
      </c>
      <c r="D1354" s="83">
        <v>1167741.0</v>
      </c>
      <c r="E1354" s="83"/>
      <c r="F1354" s="83">
        <v>2.9016339E7</v>
      </c>
      <c r="G1354" s="119" t="s">
        <v>7415</v>
      </c>
      <c r="H1354" s="91" t="s">
        <v>7416</v>
      </c>
      <c r="I1354" s="298" t="s">
        <v>149</v>
      </c>
      <c r="J1354" s="83" t="s">
        <v>150</v>
      </c>
      <c r="K1354" s="83" t="s">
        <v>151</v>
      </c>
      <c r="L1354" s="83" t="s">
        <v>152</v>
      </c>
      <c r="M1354" s="82" t="s">
        <v>11720</v>
      </c>
      <c r="N1354" s="82" t="s">
        <v>11721</v>
      </c>
      <c r="O1354" s="82" t="s">
        <v>11722</v>
      </c>
      <c r="P1354" s="82"/>
      <c r="Q1354" s="82"/>
      <c r="R1354" s="82"/>
      <c r="S1354" s="82"/>
      <c r="T1354" s="138">
        <v>8.0</v>
      </c>
      <c r="U1354" s="323">
        <v>6.0</v>
      </c>
      <c r="V1354" s="106">
        <v>0.0</v>
      </c>
      <c r="W1354" s="107">
        <v>0.0</v>
      </c>
      <c r="X1354" s="107">
        <v>0.0</v>
      </c>
      <c r="Y1354" s="107">
        <v>0.0</v>
      </c>
      <c r="Z1354" s="80">
        <v>0.0</v>
      </c>
      <c r="AA1354" s="140">
        <v>0.0</v>
      </c>
      <c r="AB1354" s="109">
        <v>0.0</v>
      </c>
      <c r="AC1354" s="109">
        <v>0.0</v>
      </c>
      <c r="AD1354" s="141">
        <v>0.0</v>
      </c>
      <c r="AE1354" s="80">
        <v>0.0</v>
      </c>
      <c r="AF1354" s="140">
        <v>74.0</v>
      </c>
      <c r="AG1354" s="109">
        <v>64.0</v>
      </c>
      <c r="AH1354" s="109">
        <v>40.0</v>
      </c>
      <c r="AI1354" s="141">
        <v>57.0</v>
      </c>
      <c r="AJ1354" s="80">
        <v>235.0</v>
      </c>
      <c r="AK1354" s="140">
        <v>0.0</v>
      </c>
      <c r="AL1354" s="109">
        <v>0.0</v>
      </c>
      <c r="AM1354" s="141">
        <v>0.0</v>
      </c>
      <c r="AN1354" s="80">
        <v>0.0</v>
      </c>
      <c r="AO1354" s="140">
        <v>0.0</v>
      </c>
      <c r="AP1354" s="109">
        <v>0.0</v>
      </c>
      <c r="AQ1354" s="109">
        <v>137.0</v>
      </c>
      <c r="AR1354" s="80">
        <v>137.0</v>
      </c>
      <c r="AS1354" s="110">
        <v>99.0</v>
      </c>
      <c r="AT1354" s="110">
        <v>110.0</v>
      </c>
      <c r="AU1354" s="110">
        <v>5.0</v>
      </c>
      <c r="AV1354" s="142">
        <v>0.0</v>
      </c>
      <c r="AW1354" s="80">
        <v>214.0</v>
      </c>
      <c r="AX1354" s="113">
        <v>586.0</v>
      </c>
      <c r="AY1354" s="117">
        <v>404.0</v>
      </c>
      <c r="AZ1354" s="328">
        <v>182.0</v>
      </c>
      <c r="BA1354" s="315">
        <v>2.0</v>
      </c>
      <c r="BB1354" s="316">
        <v>588.0</v>
      </c>
      <c r="BC1354" s="132" t="s">
        <v>178</v>
      </c>
      <c r="BD1354" s="132" t="s">
        <v>178</v>
      </c>
      <c r="BE1354" s="132" t="s">
        <v>178</v>
      </c>
      <c r="BF1354" s="156"/>
      <c r="BG1354" s="83">
        <v>1167741.0</v>
      </c>
      <c r="BH1354" s="112">
        <v>6.0</v>
      </c>
      <c r="BI1354" s="98" t="s">
        <v>155</v>
      </c>
      <c r="BJ1354" s="98" t="str">
        <f t="shared" si="1"/>
        <v>INTEGRAL</v>
      </c>
      <c r="BK1354" s="98" t="str">
        <f t="shared" si="2"/>
        <v>PROFISSIONAL</v>
      </c>
    </row>
    <row r="1355" ht="15.75" customHeight="1">
      <c r="A1355" s="111" t="s">
        <v>1573</v>
      </c>
      <c r="B1355" s="83" t="s">
        <v>7414</v>
      </c>
      <c r="C1355" s="83" t="s">
        <v>164</v>
      </c>
      <c r="D1355" s="83">
        <v>1167741.0</v>
      </c>
      <c r="E1355" s="83">
        <v>1179371.0</v>
      </c>
      <c r="F1355" s="83"/>
      <c r="G1355" s="114" t="s">
        <v>11723</v>
      </c>
      <c r="H1355" s="91" t="s">
        <v>7432</v>
      </c>
      <c r="I1355" s="114" t="s">
        <v>149</v>
      </c>
      <c r="J1355" s="172" t="s">
        <v>3645</v>
      </c>
      <c r="K1355" s="83" t="s">
        <v>168</v>
      </c>
      <c r="L1355" s="83" t="s">
        <v>169</v>
      </c>
      <c r="M1355" s="82" t="s">
        <v>11720</v>
      </c>
      <c r="N1355" s="82" t="s">
        <v>11721</v>
      </c>
      <c r="O1355" s="82" t="s">
        <v>11722</v>
      </c>
      <c r="P1355" s="82"/>
      <c r="Q1355" s="82"/>
      <c r="R1355" s="82"/>
      <c r="S1355" s="82"/>
      <c r="T1355" s="138">
        <v>3.0</v>
      </c>
      <c r="U1355" s="364">
        <v>2.0</v>
      </c>
      <c r="V1355" s="106">
        <v>0.0</v>
      </c>
      <c r="W1355" s="107">
        <v>0.0</v>
      </c>
      <c r="X1355" s="107">
        <v>0.0</v>
      </c>
      <c r="Y1355" s="107">
        <v>0.0</v>
      </c>
      <c r="Z1355" s="80">
        <v>0.0</v>
      </c>
      <c r="AA1355" s="140">
        <v>0.0</v>
      </c>
      <c r="AB1355" s="109">
        <v>0.0</v>
      </c>
      <c r="AC1355" s="109">
        <v>0.0</v>
      </c>
      <c r="AD1355" s="141">
        <v>0.0</v>
      </c>
      <c r="AE1355" s="80">
        <v>0.0</v>
      </c>
      <c r="AF1355" s="246">
        <v>0.0</v>
      </c>
      <c r="AG1355" s="246">
        <v>0.0</v>
      </c>
      <c r="AH1355" s="246">
        <v>9.0</v>
      </c>
      <c r="AI1355" s="247">
        <v>0.0</v>
      </c>
      <c r="AJ1355" s="80">
        <v>9.0</v>
      </c>
      <c r="AK1355" s="140">
        <v>0.0</v>
      </c>
      <c r="AL1355" s="109">
        <v>0.0</v>
      </c>
      <c r="AM1355" s="141">
        <v>0.0</v>
      </c>
      <c r="AN1355" s="80">
        <v>0.0</v>
      </c>
      <c r="AO1355" s="246">
        <v>0.0</v>
      </c>
      <c r="AP1355" s="246">
        <v>0.0</v>
      </c>
      <c r="AQ1355" s="247">
        <v>0.0</v>
      </c>
      <c r="AR1355" s="80">
        <v>0.0</v>
      </c>
      <c r="AS1355" s="110">
        <v>0.0</v>
      </c>
      <c r="AT1355" s="110">
        <v>0.0</v>
      </c>
      <c r="AU1355" s="110">
        <v>0.0</v>
      </c>
      <c r="AV1355" s="142">
        <v>0.0</v>
      </c>
      <c r="AW1355" s="80">
        <v>0.0</v>
      </c>
      <c r="AX1355" s="113">
        <v>9.0</v>
      </c>
      <c r="AY1355" s="117">
        <v>0.0</v>
      </c>
      <c r="AZ1355" s="328">
        <v>9.0</v>
      </c>
      <c r="BA1355" s="315">
        <v>0.0</v>
      </c>
      <c r="BB1355" s="316">
        <v>9.0</v>
      </c>
      <c r="BC1355" s="132" t="s">
        <v>373</v>
      </c>
      <c r="BD1355" s="132" t="s">
        <v>178</v>
      </c>
      <c r="BE1355" s="132" t="s">
        <v>178</v>
      </c>
      <c r="BF1355" s="123"/>
      <c r="BG1355" s="83">
        <v>1179371.0</v>
      </c>
      <c r="BH1355" s="112">
        <v>2.0</v>
      </c>
      <c r="BI1355" s="98" t="s">
        <v>155</v>
      </c>
      <c r="BJ1355" s="98" t="str">
        <f t="shared" si="1"/>
        <v>NÃO</v>
      </c>
      <c r="BK1355" s="98" t="str">
        <f t="shared" si="2"/>
        <v>NÃO</v>
      </c>
    </row>
    <row r="1356" ht="15.75" customHeight="1">
      <c r="A1356" s="111" t="s">
        <v>1573</v>
      </c>
      <c r="B1356" s="83" t="s">
        <v>7414</v>
      </c>
      <c r="C1356" s="83" t="s">
        <v>164</v>
      </c>
      <c r="D1356" s="83">
        <v>1167741.0</v>
      </c>
      <c r="E1356" s="83">
        <v>1178930.0</v>
      </c>
      <c r="F1356" s="83"/>
      <c r="G1356" s="384" t="s">
        <v>11724</v>
      </c>
      <c r="H1356" s="91" t="s">
        <v>7436</v>
      </c>
      <c r="I1356" s="298" t="s">
        <v>149</v>
      </c>
      <c r="J1356" s="146" t="s">
        <v>3227</v>
      </c>
      <c r="K1356" s="83" t="s">
        <v>168</v>
      </c>
      <c r="L1356" s="83" t="s">
        <v>169</v>
      </c>
      <c r="M1356" s="82" t="s">
        <v>11720</v>
      </c>
      <c r="N1356" s="82" t="s">
        <v>11721</v>
      </c>
      <c r="O1356" s="82" t="s">
        <v>11722</v>
      </c>
      <c r="P1356" s="82"/>
      <c r="Q1356" s="82"/>
      <c r="R1356" s="82"/>
      <c r="S1356" s="82"/>
      <c r="T1356" s="138">
        <v>3.0</v>
      </c>
      <c r="U1356" s="389">
        <v>3.0</v>
      </c>
      <c r="V1356" s="106">
        <v>0.0</v>
      </c>
      <c r="W1356" s="107">
        <v>0.0</v>
      </c>
      <c r="X1356" s="107">
        <v>0.0</v>
      </c>
      <c r="Y1356" s="107">
        <v>0.0</v>
      </c>
      <c r="Z1356" s="80">
        <v>0.0</v>
      </c>
      <c r="AA1356" s="140">
        <v>0.0</v>
      </c>
      <c r="AB1356" s="109">
        <v>0.0</v>
      </c>
      <c r="AC1356" s="109">
        <v>0.0</v>
      </c>
      <c r="AD1356" s="141">
        <v>0.0</v>
      </c>
      <c r="AE1356" s="80">
        <v>0.0</v>
      </c>
      <c r="AF1356" s="140">
        <v>0.0</v>
      </c>
      <c r="AG1356" s="109">
        <v>0.0</v>
      </c>
      <c r="AH1356" s="109">
        <v>29.0</v>
      </c>
      <c r="AI1356" s="141">
        <v>0.0</v>
      </c>
      <c r="AJ1356" s="80">
        <v>29.0</v>
      </c>
      <c r="AK1356" s="140">
        <v>0.0</v>
      </c>
      <c r="AL1356" s="109">
        <v>0.0</v>
      </c>
      <c r="AM1356" s="141">
        <v>0.0</v>
      </c>
      <c r="AN1356" s="80">
        <v>0.0</v>
      </c>
      <c r="AO1356" s="140">
        <v>0.0</v>
      </c>
      <c r="AP1356" s="109">
        <v>0.0</v>
      </c>
      <c r="AQ1356" s="109">
        <v>0.0</v>
      </c>
      <c r="AR1356" s="80">
        <v>0.0</v>
      </c>
      <c r="AS1356" s="110">
        <v>0.0</v>
      </c>
      <c r="AT1356" s="110">
        <v>0.0</v>
      </c>
      <c r="AU1356" s="110">
        <v>0.0</v>
      </c>
      <c r="AV1356" s="142">
        <v>0.0</v>
      </c>
      <c r="AW1356" s="80">
        <v>0.0</v>
      </c>
      <c r="AX1356" s="113">
        <v>29.0</v>
      </c>
      <c r="AY1356" s="117">
        <v>0.0</v>
      </c>
      <c r="AZ1356" s="328">
        <v>29.0</v>
      </c>
      <c r="BA1356" s="315">
        <v>0.0</v>
      </c>
      <c r="BB1356" s="316">
        <v>29.0</v>
      </c>
      <c r="BC1356" s="132" t="s">
        <v>373</v>
      </c>
      <c r="BD1356" s="132" t="s">
        <v>178</v>
      </c>
      <c r="BE1356" s="132" t="s">
        <v>178</v>
      </c>
      <c r="BF1356" s="156"/>
      <c r="BG1356" s="83">
        <v>1178930.0</v>
      </c>
      <c r="BH1356" s="112">
        <v>3.0</v>
      </c>
      <c r="BI1356" s="98" t="s">
        <v>155</v>
      </c>
      <c r="BJ1356" s="98" t="str">
        <f t="shared" si="1"/>
        <v>NÃO</v>
      </c>
      <c r="BK1356" s="98" t="str">
        <f t="shared" si="2"/>
        <v>NÃO</v>
      </c>
    </row>
    <row r="1357" ht="15.75" customHeight="1">
      <c r="A1357" s="111" t="s">
        <v>1573</v>
      </c>
      <c r="B1357" s="83" t="s">
        <v>7440</v>
      </c>
      <c r="C1357" s="83" t="s">
        <v>68</v>
      </c>
      <c r="D1357" s="83">
        <v>1131798.0</v>
      </c>
      <c r="E1357" s="83"/>
      <c r="F1357" s="83">
        <v>2.9016916E7</v>
      </c>
      <c r="G1357" s="114" t="s">
        <v>11725</v>
      </c>
      <c r="H1357" s="91" t="s">
        <v>7442</v>
      </c>
      <c r="I1357" s="298" t="s">
        <v>149</v>
      </c>
      <c r="J1357" s="83" t="s">
        <v>150</v>
      </c>
      <c r="K1357" s="83" t="s">
        <v>151</v>
      </c>
      <c r="L1357" s="83" t="s">
        <v>76</v>
      </c>
      <c r="M1357" s="82" t="s">
        <v>11726</v>
      </c>
      <c r="N1357" s="82" t="s">
        <v>11727</v>
      </c>
      <c r="O1357" s="82" t="s">
        <v>11728</v>
      </c>
      <c r="P1357" s="82" t="s">
        <v>11729</v>
      </c>
      <c r="Q1357" s="82"/>
      <c r="R1357" s="82"/>
      <c r="S1357" s="82"/>
      <c r="T1357" s="138">
        <v>8.0</v>
      </c>
      <c r="U1357" s="331" t="s">
        <v>11730</v>
      </c>
      <c r="V1357" s="106">
        <v>0.0</v>
      </c>
      <c r="W1357" s="107">
        <v>0.0</v>
      </c>
      <c r="X1357" s="107">
        <v>0.0</v>
      </c>
      <c r="Y1357" s="107">
        <v>0.0</v>
      </c>
      <c r="Z1357" s="80">
        <v>0.0</v>
      </c>
      <c r="AA1357" s="140">
        <v>0.0</v>
      </c>
      <c r="AB1357" s="109">
        <v>0.0</v>
      </c>
      <c r="AC1357" s="109">
        <v>0.0</v>
      </c>
      <c r="AD1357" s="141">
        <v>0.0</v>
      </c>
      <c r="AE1357" s="80">
        <v>0.0</v>
      </c>
      <c r="AF1357" s="140">
        <v>286.0</v>
      </c>
      <c r="AG1357" s="109">
        <v>231.0</v>
      </c>
      <c r="AH1357" s="109">
        <v>23.0</v>
      </c>
      <c r="AI1357" s="141">
        <v>0.0</v>
      </c>
      <c r="AJ1357" s="80">
        <v>540.0</v>
      </c>
      <c r="AK1357" s="140">
        <v>0.0</v>
      </c>
      <c r="AL1357" s="109">
        <v>0.0</v>
      </c>
      <c r="AM1357" s="141">
        <v>0.0</v>
      </c>
      <c r="AN1357" s="80">
        <v>0.0</v>
      </c>
      <c r="AO1357" s="140">
        <v>0.0</v>
      </c>
      <c r="AP1357" s="109">
        <v>0.0</v>
      </c>
      <c r="AQ1357" s="109">
        <v>38.0</v>
      </c>
      <c r="AR1357" s="80">
        <v>38.0</v>
      </c>
      <c r="AS1357" s="110">
        <v>0.0</v>
      </c>
      <c r="AT1357" s="110">
        <v>0.0</v>
      </c>
      <c r="AU1357" s="110">
        <v>0.0</v>
      </c>
      <c r="AV1357" s="142">
        <v>0.0</v>
      </c>
      <c r="AW1357" s="80">
        <v>0.0</v>
      </c>
      <c r="AX1357" s="113">
        <v>578.0</v>
      </c>
      <c r="AY1357" s="117">
        <v>517.0</v>
      </c>
      <c r="AZ1357" s="328">
        <v>61.0</v>
      </c>
      <c r="BA1357" s="315">
        <v>0.0</v>
      </c>
      <c r="BB1357" s="316">
        <v>578.0</v>
      </c>
      <c r="BC1357" s="132" t="s">
        <v>178</v>
      </c>
      <c r="BD1357" s="132" t="s">
        <v>178</v>
      </c>
      <c r="BE1357" s="132" t="s">
        <v>178</v>
      </c>
      <c r="BF1357" s="156"/>
      <c r="BG1357" s="83">
        <v>1131798.0</v>
      </c>
      <c r="BH1357" s="112">
        <v>6.0</v>
      </c>
      <c r="BI1357" s="98" t="s">
        <v>155</v>
      </c>
      <c r="BJ1357" s="98" t="str">
        <f t="shared" si="1"/>
        <v>NÃO</v>
      </c>
      <c r="BK1357" s="98" t="str">
        <f t="shared" si="2"/>
        <v>NÃO</v>
      </c>
    </row>
    <row r="1358" ht="15.75" customHeight="1">
      <c r="A1358" s="111" t="s">
        <v>1573</v>
      </c>
      <c r="B1358" s="83" t="s">
        <v>7440</v>
      </c>
      <c r="C1358" s="83" t="s">
        <v>164</v>
      </c>
      <c r="D1358" s="83">
        <v>1131798.0</v>
      </c>
      <c r="E1358" s="83">
        <v>1178952.0</v>
      </c>
      <c r="F1358" s="83"/>
      <c r="G1358" s="187" t="s">
        <v>11731</v>
      </c>
      <c r="H1358" s="91" t="s">
        <v>7452</v>
      </c>
      <c r="I1358" s="298" t="s">
        <v>7453</v>
      </c>
      <c r="J1358" s="83" t="s">
        <v>334</v>
      </c>
      <c r="K1358" s="83" t="s">
        <v>168</v>
      </c>
      <c r="L1358" s="83" t="s">
        <v>169</v>
      </c>
      <c r="M1358" s="82" t="s">
        <v>11726</v>
      </c>
      <c r="N1358" s="82" t="s">
        <v>11727</v>
      </c>
      <c r="O1358" s="82" t="s">
        <v>11728</v>
      </c>
      <c r="P1358" s="82" t="s">
        <v>11729</v>
      </c>
      <c r="Q1358" s="82"/>
      <c r="R1358" s="82"/>
      <c r="S1358" s="82"/>
      <c r="T1358" s="138">
        <v>3.0</v>
      </c>
      <c r="U1358" s="341">
        <v>3.0</v>
      </c>
      <c r="V1358" s="106">
        <v>0.0</v>
      </c>
      <c r="W1358" s="107">
        <v>0.0</v>
      </c>
      <c r="X1358" s="107">
        <v>0.0</v>
      </c>
      <c r="Y1358" s="107">
        <v>0.0</v>
      </c>
      <c r="Z1358" s="80">
        <v>0.0</v>
      </c>
      <c r="AA1358" s="140">
        <v>0.0</v>
      </c>
      <c r="AB1358" s="109">
        <v>0.0</v>
      </c>
      <c r="AC1358" s="109">
        <v>0.0</v>
      </c>
      <c r="AD1358" s="141">
        <v>0.0</v>
      </c>
      <c r="AE1358" s="80">
        <v>0.0</v>
      </c>
      <c r="AF1358" s="140">
        <v>0.0</v>
      </c>
      <c r="AG1358" s="109">
        <v>89.0</v>
      </c>
      <c r="AH1358" s="109">
        <v>0.0</v>
      </c>
      <c r="AI1358" s="141">
        <v>0.0</v>
      </c>
      <c r="AJ1358" s="80">
        <v>89.0</v>
      </c>
      <c r="AK1358" s="140">
        <v>0.0</v>
      </c>
      <c r="AL1358" s="109">
        <v>0.0</v>
      </c>
      <c r="AM1358" s="141">
        <v>0.0</v>
      </c>
      <c r="AN1358" s="80">
        <v>0.0</v>
      </c>
      <c r="AO1358" s="140">
        <v>0.0</v>
      </c>
      <c r="AP1358" s="109">
        <v>0.0</v>
      </c>
      <c r="AQ1358" s="109">
        <v>16.0</v>
      </c>
      <c r="AR1358" s="80">
        <v>16.0</v>
      </c>
      <c r="AS1358" s="110">
        <v>0.0</v>
      </c>
      <c r="AT1358" s="110">
        <v>0.0</v>
      </c>
      <c r="AU1358" s="110">
        <v>0.0</v>
      </c>
      <c r="AV1358" s="142">
        <v>0.0</v>
      </c>
      <c r="AW1358" s="80">
        <v>0.0</v>
      </c>
      <c r="AX1358" s="113">
        <v>105.0</v>
      </c>
      <c r="AY1358" s="117">
        <v>89.0</v>
      </c>
      <c r="AZ1358" s="328">
        <v>16.0</v>
      </c>
      <c r="BA1358" s="315">
        <v>0.0</v>
      </c>
      <c r="BB1358" s="316">
        <v>105.0</v>
      </c>
      <c r="BC1358" s="132" t="s">
        <v>373</v>
      </c>
      <c r="BD1358" s="132" t="s">
        <v>178</v>
      </c>
      <c r="BE1358" s="132" t="s">
        <v>178</v>
      </c>
      <c r="BF1358" s="156"/>
      <c r="BG1358" s="83">
        <v>1178952.0</v>
      </c>
      <c r="BH1358" s="112">
        <v>3.0</v>
      </c>
      <c r="BI1358" s="98" t="s">
        <v>155</v>
      </c>
      <c r="BJ1358" s="98" t="str">
        <f t="shared" si="1"/>
        <v>NÃO</v>
      </c>
      <c r="BK1358" s="98" t="str">
        <f t="shared" si="2"/>
        <v>NÃO</v>
      </c>
    </row>
    <row r="1359" ht="15.75" customHeight="1">
      <c r="A1359" s="111" t="s">
        <v>1573</v>
      </c>
      <c r="B1359" s="83" t="s">
        <v>2437</v>
      </c>
      <c r="C1359" s="83" t="s">
        <v>68</v>
      </c>
      <c r="D1359" s="83">
        <v>1131739.0</v>
      </c>
      <c r="E1359" s="83"/>
      <c r="F1359" s="83">
        <v>2.900988E7</v>
      </c>
      <c r="G1359" s="187" t="s">
        <v>11732</v>
      </c>
      <c r="H1359" s="91" t="s">
        <v>7459</v>
      </c>
      <c r="I1359" s="114" t="s">
        <v>149</v>
      </c>
      <c r="J1359" s="83" t="s">
        <v>150</v>
      </c>
      <c r="K1359" s="83" t="s">
        <v>151</v>
      </c>
      <c r="L1359" s="83" t="s">
        <v>76</v>
      </c>
      <c r="M1359" s="82" t="s">
        <v>11733</v>
      </c>
      <c r="N1359" s="82" t="s">
        <v>11734</v>
      </c>
      <c r="O1359" s="82" t="s">
        <v>11735</v>
      </c>
      <c r="P1359" s="82" t="s">
        <v>11736</v>
      </c>
      <c r="Q1359" s="82"/>
      <c r="R1359" s="82"/>
      <c r="S1359" s="82"/>
      <c r="T1359" s="138">
        <v>6.0</v>
      </c>
      <c r="U1359" s="341">
        <v>6.0</v>
      </c>
      <c r="V1359" s="106">
        <v>0.0</v>
      </c>
      <c r="W1359" s="107">
        <v>0.0</v>
      </c>
      <c r="X1359" s="107">
        <v>0.0</v>
      </c>
      <c r="Y1359" s="107">
        <v>0.0</v>
      </c>
      <c r="Z1359" s="80">
        <v>0.0</v>
      </c>
      <c r="AA1359" s="140">
        <v>0.0</v>
      </c>
      <c r="AB1359" s="109">
        <v>0.0</v>
      </c>
      <c r="AC1359" s="109">
        <v>0.0</v>
      </c>
      <c r="AD1359" s="141">
        <v>0.0</v>
      </c>
      <c r="AE1359" s="80">
        <v>0.0</v>
      </c>
      <c r="AF1359" s="140">
        <v>198.0</v>
      </c>
      <c r="AG1359" s="109">
        <v>157.0</v>
      </c>
      <c r="AH1359" s="109">
        <v>10.0</v>
      </c>
      <c r="AI1359" s="141">
        <v>0.0</v>
      </c>
      <c r="AJ1359" s="80">
        <v>365.0</v>
      </c>
      <c r="AK1359" s="140">
        <v>0.0</v>
      </c>
      <c r="AL1359" s="109">
        <v>0.0</v>
      </c>
      <c r="AM1359" s="141">
        <v>0.0</v>
      </c>
      <c r="AN1359" s="80">
        <v>0.0</v>
      </c>
      <c r="AO1359" s="140">
        <v>0.0</v>
      </c>
      <c r="AP1359" s="109">
        <v>0.0</v>
      </c>
      <c r="AQ1359" s="109">
        <v>28.0</v>
      </c>
      <c r="AR1359" s="80">
        <v>28.0</v>
      </c>
      <c r="AS1359" s="110">
        <v>0.0</v>
      </c>
      <c r="AT1359" s="110">
        <v>0.0</v>
      </c>
      <c r="AU1359" s="110">
        <v>0.0</v>
      </c>
      <c r="AV1359" s="142">
        <v>0.0</v>
      </c>
      <c r="AW1359" s="80">
        <v>0.0</v>
      </c>
      <c r="AX1359" s="113">
        <v>393.0</v>
      </c>
      <c r="AY1359" s="117">
        <v>355.0</v>
      </c>
      <c r="AZ1359" s="328">
        <v>38.0</v>
      </c>
      <c r="BA1359" s="315">
        <v>0.0</v>
      </c>
      <c r="BB1359" s="316">
        <v>393.0</v>
      </c>
      <c r="BC1359" s="132" t="s">
        <v>178</v>
      </c>
      <c r="BD1359" s="132" t="s">
        <v>178</v>
      </c>
      <c r="BE1359" s="132" t="s">
        <v>178</v>
      </c>
      <c r="BF1359" s="156"/>
      <c r="BG1359" s="83">
        <v>1131739.0</v>
      </c>
      <c r="BH1359" s="112">
        <v>6.0</v>
      </c>
      <c r="BI1359" s="98" t="s">
        <v>155</v>
      </c>
      <c r="BJ1359" s="98" t="str">
        <f t="shared" si="1"/>
        <v>NÃO</v>
      </c>
      <c r="BK1359" s="98" t="str">
        <f t="shared" si="2"/>
        <v>NÃO</v>
      </c>
    </row>
    <row r="1360" ht="15.75" customHeight="1">
      <c r="A1360" s="111" t="s">
        <v>1573</v>
      </c>
      <c r="B1360" s="83" t="s">
        <v>2437</v>
      </c>
      <c r="C1360" s="83" t="s">
        <v>164</v>
      </c>
      <c r="D1360" s="83">
        <v>1131739.0</v>
      </c>
      <c r="E1360" s="83">
        <v>1179173.0</v>
      </c>
      <c r="F1360" s="83"/>
      <c r="G1360" s="187" t="s">
        <v>11738</v>
      </c>
      <c r="H1360" s="91" t="s">
        <v>7463</v>
      </c>
      <c r="I1360" s="114" t="s">
        <v>149</v>
      </c>
      <c r="J1360" s="83" t="s">
        <v>767</v>
      </c>
      <c r="K1360" s="83" t="s">
        <v>168</v>
      </c>
      <c r="L1360" s="83" t="s">
        <v>169</v>
      </c>
      <c r="M1360" s="82" t="s">
        <v>11733</v>
      </c>
      <c r="N1360" s="82" t="s">
        <v>11734</v>
      </c>
      <c r="O1360" s="82" t="s">
        <v>11735</v>
      </c>
      <c r="P1360" s="82" t="s">
        <v>11736</v>
      </c>
      <c r="Q1360" s="82"/>
      <c r="R1360" s="82"/>
      <c r="S1360" s="82"/>
      <c r="T1360" s="138">
        <v>2.0</v>
      </c>
      <c r="U1360" s="341">
        <v>2.0</v>
      </c>
      <c r="V1360" s="106">
        <v>0.0</v>
      </c>
      <c r="W1360" s="107">
        <v>0.0</v>
      </c>
      <c r="X1360" s="107">
        <v>0.0</v>
      </c>
      <c r="Y1360" s="107">
        <v>0.0</v>
      </c>
      <c r="Z1360" s="80">
        <v>0.0</v>
      </c>
      <c r="AA1360" s="140">
        <v>0.0</v>
      </c>
      <c r="AB1360" s="109">
        <v>0.0</v>
      </c>
      <c r="AC1360" s="109">
        <v>0.0</v>
      </c>
      <c r="AD1360" s="141">
        <v>0.0</v>
      </c>
      <c r="AE1360" s="80">
        <v>0.0</v>
      </c>
      <c r="AF1360" s="140">
        <v>18.0</v>
      </c>
      <c r="AG1360" s="109">
        <v>13.0</v>
      </c>
      <c r="AH1360" s="109">
        <v>0.0</v>
      </c>
      <c r="AI1360" s="141">
        <v>0.0</v>
      </c>
      <c r="AJ1360" s="80">
        <v>31.0</v>
      </c>
      <c r="AK1360" s="140">
        <v>0.0</v>
      </c>
      <c r="AL1360" s="109">
        <v>0.0</v>
      </c>
      <c r="AM1360" s="141">
        <v>0.0</v>
      </c>
      <c r="AN1360" s="80">
        <v>0.0</v>
      </c>
      <c r="AO1360" s="140">
        <v>0.0</v>
      </c>
      <c r="AP1360" s="109">
        <v>0.0</v>
      </c>
      <c r="AQ1360" s="109">
        <v>0.0</v>
      </c>
      <c r="AR1360" s="80">
        <v>0.0</v>
      </c>
      <c r="AS1360" s="110">
        <v>0.0</v>
      </c>
      <c r="AT1360" s="110">
        <v>0.0</v>
      </c>
      <c r="AU1360" s="110">
        <v>0.0</v>
      </c>
      <c r="AV1360" s="142">
        <v>0.0</v>
      </c>
      <c r="AW1360" s="80">
        <v>0.0</v>
      </c>
      <c r="AX1360" s="113">
        <v>31.0</v>
      </c>
      <c r="AY1360" s="117">
        <v>31.0</v>
      </c>
      <c r="AZ1360" s="328">
        <v>0.0</v>
      </c>
      <c r="BA1360" s="315">
        <v>0.0</v>
      </c>
      <c r="BB1360" s="316">
        <v>31.0</v>
      </c>
      <c r="BC1360" s="132" t="s">
        <v>373</v>
      </c>
      <c r="BD1360" s="132" t="s">
        <v>178</v>
      </c>
      <c r="BE1360" s="132" t="s">
        <v>178</v>
      </c>
      <c r="BF1360" s="156"/>
      <c r="BG1360" s="83">
        <v>1179173.0</v>
      </c>
      <c r="BH1360" s="112">
        <v>2.0</v>
      </c>
      <c r="BI1360" s="98" t="s">
        <v>155</v>
      </c>
      <c r="BJ1360" s="98" t="str">
        <f t="shared" si="1"/>
        <v>NÃO</v>
      </c>
      <c r="BK1360" s="98" t="str">
        <f t="shared" si="2"/>
        <v>NÃO</v>
      </c>
    </row>
    <row r="1361" ht="15.75" customHeight="1">
      <c r="A1361" s="111" t="s">
        <v>1573</v>
      </c>
      <c r="B1361" s="83" t="s">
        <v>2437</v>
      </c>
      <c r="C1361" s="83" t="s">
        <v>164</v>
      </c>
      <c r="D1361" s="83">
        <v>1131739.0</v>
      </c>
      <c r="E1361" s="83">
        <v>1178903.0</v>
      </c>
      <c r="F1361" s="83"/>
      <c r="G1361" s="114" t="s">
        <v>11739</v>
      </c>
      <c r="H1361" s="91" t="s">
        <v>11740</v>
      </c>
      <c r="I1361" s="298" t="s">
        <v>149</v>
      </c>
      <c r="J1361" s="83" t="s">
        <v>641</v>
      </c>
      <c r="K1361" s="83" t="s">
        <v>168</v>
      </c>
      <c r="L1361" s="83" t="s">
        <v>169</v>
      </c>
      <c r="M1361" s="82" t="s">
        <v>11733</v>
      </c>
      <c r="N1361" s="82" t="s">
        <v>11734</v>
      </c>
      <c r="O1361" s="82" t="s">
        <v>11735</v>
      </c>
      <c r="P1361" s="82" t="s">
        <v>11736</v>
      </c>
      <c r="Q1361" s="82"/>
      <c r="R1361" s="82"/>
      <c r="S1361" s="82"/>
      <c r="T1361" s="138">
        <v>2.0</v>
      </c>
      <c r="U1361" s="389">
        <v>2.0</v>
      </c>
      <c r="V1361" s="106">
        <v>0.0</v>
      </c>
      <c r="W1361" s="107">
        <v>0.0</v>
      </c>
      <c r="X1361" s="107">
        <v>0.0</v>
      </c>
      <c r="Y1361" s="107">
        <v>0.0</v>
      </c>
      <c r="Z1361" s="80">
        <v>0.0</v>
      </c>
      <c r="AA1361" s="140">
        <v>0.0</v>
      </c>
      <c r="AB1361" s="109">
        <v>0.0</v>
      </c>
      <c r="AC1361" s="109">
        <v>0.0</v>
      </c>
      <c r="AD1361" s="141">
        <v>0.0</v>
      </c>
      <c r="AE1361" s="80">
        <v>0.0</v>
      </c>
      <c r="AF1361" s="140">
        <v>6.0</v>
      </c>
      <c r="AG1361" s="109">
        <v>8.0</v>
      </c>
      <c r="AH1361" s="109">
        <v>1.0</v>
      </c>
      <c r="AI1361" s="141">
        <v>0.0</v>
      </c>
      <c r="AJ1361" s="80">
        <v>15.0</v>
      </c>
      <c r="AK1361" s="140">
        <v>0.0</v>
      </c>
      <c r="AL1361" s="109">
        <v>0.0</v>
      </c>
      <c r="AM1361" s="141">
        <v>0.0</v>
      </c>
      <c r="AN1361" s="80">
        <v>0.0</v>
      </c>
      <c r="AO1361" s="140">
        <v>0.0</v>
      </c>
      <c r="AP1361" s="109">
        <v>0.0</v>
      </c>
      <c r="AQ1361" s="109">
        <v>0.0</v>
      </c>
      <c r="AR1361" s="80">
        <v>0.0</v>
      </c>
      <c r="AS1361" s="110">
        <v>0.0</v>
      </c>
      <c r="AT1361" s="110">
        <v>0.0</v>
      </c>
      <c r="AU1361" s="110">
        <v>0.0</v>
      </c>
      <c r="AV1361" s="142">
        <v>0.0</v>
      </c>
      <c r="AW1361" s="80">
        <v>0.0</v>
      </c>
      <c r="AX1361" s="113">
        <v>15.0</v>
      </c>
      <c r="AY1361" s="117">
        <v>14.0</v>
      </c>
      <c r="AZ1361" s="328">
        <v>1.0</v>
      </c>
      <c r="BA1361" s="315">
        <v>0.0</v>
      </c>
      <c r="BB1361" s="316">
        <v>15.0</v>
      </c>
      <c r="BC1361" s="132" t="s">
        <v>373</v>
      </c>
      <c r="BD1361" s="132" t="s">
        <v>178</v>
      </c>
      <c r="BE1361" s="132" t="s">
        <v>178</v>
      </c>
      <c r="BF1361" s="156"/>
      <c r="BG1361" s="83">
        <v>1178903.0</v>
      </c>
      <c r="BH1361" s="112">
        <v>2.0</v>
      </c>
      <c r="BI1361" s="98" t="s">
        <v>155</v>
      </c>
      <c r="BJ1361" s="98" t="str">
        <f t="shared" si="1"/>
        <v>NÃO</v>
      </c>
      <c r="BK1361" s="98" t="str">
        <f t="shared" si="2"/>
        <v>NÃO</v>
      </c>
    </row>
    <row r="1362" ht="15.75" customHeight="1">
      <c r="A1362" s="111" t="s">
        <v>1573</v>
      </c>
      <c r="B1362" s="83" t="s">
        <v>2437</v>
      </c>
      <c r="C1362" s="83" t="s">
        <v>164</v>
      </c>
      <c r="D1362" s="83">
        <v>1131739.0</v>
      </c>
      <c r="E1362" s="83">
        <v>1178904.0</v>
      </c>
      <c r="F1362" s="83"/>
      <c r="G1362" s="114" t="s">
        <v>11741</v>
      </c>
      <c r="H1362" s="91" t="s">
        <v>7470</v>
      </c>
      <c r="I1362" s="298" t="s">
        <v>149</v>
      </c>
      <c r="J1362" s="83" t="s">
        <v>252</v>
      </c>
      <c r="K1362" s="83" t="s">
        <v>168</v>
      </c>
      <c r="L1362" s="83" t="s">
        <v>169</v>
      </c>
      <c r="M1362" s="82" t="s">
        <v>11733</v>
      </c>
      <c r="N1362" s="82" t="s">
        <v>11734</v>
      </c>
      <c r="O1362" s="82" t="s">
        <v>11735</v>
      </c>
      <c r="P1362" s="82" t="s">
        <v>11736</v>
      </c>
      <c r="Q1362" s="82"/>
      <c r="R1362" s="82"/>
      <c r="S1362" s="82"/>
      <c r="T1362" s="138">
        <v>1.0</v>
      </c>
      <c r="U1362" s="323">
        <v>1.0</v>
      </c>
      <c r="V1362" s="106">
        <v>0.0</v>
      </c>
      <c r="W1362" s="107">
        <v>0.0</v>
      </c>
      <c r="X1362" s="107">
        <v>0.0</v>
      </c>
      <c r="Y1362" s="107">
        <v>0.0</v>
      </c>
      <c r="Z1362" s="80">
        <v>0.0</v>
      </c>
      <c r="AA1362" s="140">
        <v>0.0</v>
      </c>
      <c r="AB1362" s="109">
        <v>0.0</v>
      </c>
      <c r="AC1362" s="109">
        <v>0.0</v>
      </c>
      <c r="AD1362" s="141">
        <v>0.0</v>
      </c>
      <c r="AE1362" s="80">
        <v>0.0</v>
      </c>
      <c r="AF1362" s="140">
        <v>16.0</v>
      </c>
      <c r="AG1362" s="109">
        <v>25.0</v>
      </c>
      <c r="AH1362" s="109">
        <v>29.0</v>
      </c>
      <c r="AI1362" s="141">
        <v>0.0</v>
      </c>
      <c r="AJ1362" s="80">
        <v>70.0</v>
      </c>
      <c r="AK1362" s="140">
        <v>0.0</v>
      </c>
      <c r="AL1362" s="109">
        <v>0.0</v>
      </c>
      <c r="AM1362" s="141">
        <v>0.0</v>
      </c>
      <c r="AN1362" s="80">
        <v>0.0</v>
      </c>
      <c r="AO1362" s="140">
        <v>0.0</v>
      </c>
      <c r="AP1362" s="109">
        <v>0.0</v>
      </c>
      <c r="AQ1362" s="109">
        <v>0.0</v>
      </c>
      <c r="AR1362" s="80">
        <v>0.0</v>
      </c>
      <c r="AS1362" s="110">
        <v>0.0</v>
      </c>
      <c r="AT1362" s="110">
        <v>0.0</v>
      </c>
      <c r="AU1362" s="110">
        <v>0.0</v>
      </c>
      <c r="AV1362" s="142">
        <v>0.0</v>
      </c>
      <c r="AW1362" s="80">
        <v>0.0</v>
      </c>
      <c r="AX1362" s="113">
        <v>70.0</v>
      </c>
      <c r="AY1362" s="117">
        <v>41.0</v>
      </c>
      <c r="AZ1362" s="328">
        <v>29.0</v>
      </c>
      <c r="BA1362" s="315">
        <v>0.0</v>
      </c>
      <c r="BB1362" s="316">
        <v>70.0</v>
      </c>
      <c r="BC1362" s="132" t="s">
        <v>373</v>
      </c>
      <c r="BD1362" s="132" t="s">
        <v>178</v>
      </c>
      <c r="BE1362" s="132" t="s">
        <v>178</v>
      </c>
      <c r="BF1362" s="156"/>
      <c r="BG1362" s="83">
        <v>1178904.0</v>
      </c>
      <c r="BH1362" s="112">
        <v>1.0</v>
      </c>
      <c r="BI1362" s="98" t="s">
        <v>155</v>
      </c>
      <c r="BJ1362" s="98" t="str">
        <f t="shared" si="1"/>
        <v>NÃO</v>
      </c>
      <c r="BK1362" s="98" t="str">
        <f t="shared" si="2"/>
        <v>NÃO</v>
      </c>
    </row>
    <row r="1363" ht="15.75" customHeight="1">
      <c r="A1363" s="111" t="s">
        <v>1573</v>
      </c>
      <c r="B1363" s="83" t="s">
        <v>2437</v>
      </c>
      <c r="C1363" s="83" t="s">
        <v>164</v>
      </c>
      <c r="D1363" s="83">
        <v>1131739.0</v>
      </c>
      <c r="E1363" s="83">
        <v>1178902.0</v>
      </c>
      <c r="F1363" s="83"/>
      <c r="G1363" s="114" t="s">
        <v>11742</v>
      </c>
      <c r="H1363" s="91" t="s">
        <v>11743</v>
      </c>
      <c r="I1363" s="114" t="s">
        <v>149</v>
      </c>
      <c r="J1363" s="83" t="s">
        <v>705</v>
      </c>
      <c r="K1363" s="83" t="s">
        <v>168</v>
      </c>
      <c r="L1363" s="83" t="s">
        <v>169</v>
      </c>
      <c r="M1363" s="82" t="s">
        <v>11733</v>
      </c>
      <c r="N1363" s="82" t="s">
        <v>11734</v>
      </c>
      <c r="O1363" s="82" t="s">
        <v>11735</v>
      </c>
      <c r="P1363" s="82" t="s">
        <v>11736</v>
      </c>
      <c r="Q1363" s="82"/>
      <c r="R1363" s="82"/>
      <c r="S1363" s="82"/>
      <c r="T1363" s="138">
        <v>1.0</v>
      </c>
      <c r="U1363" s="341">
        <v>1.0</v>
      </c>
      <c r="V1363" s="106">
        <v>0.0</v>
      </c>
      <c r="W1363" s="107">
        <v>0.0</v>
      </c>
      <c r="X1363" s="107">
        <v>0.0</v>
      </c>
      <c r="Y1363" s="107">
        <v>0.0</v>
      </c>
      <c r="Z1363" s="80">
        <v>0.0</v>
      </c>
      <c r="AA1363" s="140">
        <v>0.0</v>
      </c>
      <c r="AB1363" s="109">
        <v>0.0</v>
      </c>
      <c r="AC1363" s="109">
        <v>0.0</v>
      </c>
      <c r="AD1363" s="141">
        <v>0.0</v>
      </c>
      <c r="AE1363" s="80">
        <v>0.0</v>
      </c>
      <c r="AF1363" s="140">
        <v>10.0</v>
      </c>
      <c r="AG1363" s="109">
        <v>27.0</v>
      </c>
      <c r="AH1363" s="109">
        <v>12.0</v>
      </c>
      <c r="AI1363" s="141">
        <v>0.0</v>
      </c>
      <c r="AJ1363" s="80">
        <v>49.0</v>
      </c>
      <c r="AK1363" s="140">
        <v>0.0</v>
      </c>
      <c r="AL1363" s="109">
        <v>0.0</v>
      </c>
      <c r="AM1363" s="141">
        <v>0.0</v>
      </c>
      <c r="AN1363" s="80">
        <v>0.0</v>
      </c>
      <c r="AO1363" s="140">
        <v>0.0</v>
      </c>
      <c r="AP1363" s="109">
        <v>0.0</v>
      </c>
      <c r="AQ1363" s="109">
        <v>0.0</v>
      </c>
      <c r="AR1363" s="80">
        <v>0.0</v>
      </c>
      <c r="AS1363" s="110">
        <v>0.0</v>
      </c>
      <c r="AT1363" s="110">
        <v>0.0</v>
      </c>
      <c r="AU1363" s="110">
        <v>0.0</v>
      </c>
      <c r="AV1363" s="142">
        <v>0.0</v>
      </c>
      <c r="AW1363" s="80">
        <v>0.0</v>
      </c>
      <c r="AX1363" s="113">
        <v>49.0</v>
      </c>
      <c r="AY1363" s="117">
        <v>37.0</v>
      </c>
      <c r="AZ1363" s="328">
        <v>12.0</v>
      </c>
      <c r="BA1363" s="315">
        <v>0.0</v>
      </c>
      <c r="BB1363" s="316">
        <v>49.0</v>
      </c>
      <c r="BC1363" s="132" t="s">
        <v>373</v>
      </c>
      <c r="BD1363" s="132" t="s">
        <v>178</v>
      </c>
      <c r="BE1363" s="132" t="s">
        <v>178</v>
      </c>
      <c r="BF1363" s="123"/>
      <c r="BG1363" s="83">
        <v>1178902.0</v>
      </c>
      <c r="BH1363" s="112">
        <v>1.0</v>
      </c>
      <c r="BI1363" s="98" t="s">
        <v>155</v>
      </c>
      <c r="BJ1363" s="98" t="str">
        <f t="shared" si="1"/>
        <v>NÃO</v>
      </c>
      <c r="BK1363" s="98" t="str">
        <f t="shared" si="2"/>
        <v>NÃO</v>
      </c>
    </row>
    <row r="1364" ht="15.75" customHeight="1">
      <c r="A1364" s="111" t="s">
        <v>1629</v>
      </c>
      <c r="B1364" s="83" t="s">
        <v>7471</v>
      </c>
      <c r="C1364" s="83" t="s">
        <v>68</v>
      </c>
      <c r="D1364" s="83">
        <v>1179245.0</v>
      </c>
      <c r="E1364" s="83"/>
      <c r="F1364" s="83">
        <v>2.9456886E7</v>
      </c>
      <c r="G1364" s="114" t="s">
        <v>11744</v>
      </c>
      <c r="H1364" s="91" t="s">
        <v>7475</v>
      </c>
      <c r="I1364" s="114" t="s">
        <v>7477</v>
      </c>
      <c r="J1364" s="83" t="s">
        <v>464</v>
      </c>
      <c r="K1364" s="83" t="s">
        <v>168</v>
      </c>
      <c r="L1364" s="83" t="s">
        <v>169</v>
      </c>
      <c r="M1364" s="82" t="s">
        <v>11745</v>
      </c>
      <c r="N1364" s="82" t="s">
        <v>11746</v>
      </c>
      <c r="O1364" s="82" t="s">
        <v>11747</v>
      </c>
      <c r="P1364" s="82" t="s">
        <v>11748</v>
      </c>
      <c r="Q1364" s="82"/>
      <c r="R1364" s="82"/>
      <c r="S1364" s="82" t="s">
        <v>11749</v>
      </c>
      <c r="T1364" s="138">
        <v>3.0</v>
      </c>
      <c r="U1364" s="341">
        <v>3.0</v>
      </c>
      <c r="V1364" s="106">
        <v>0.0</v>
      </c>
      <c r="W1364" s="107">
        <v>0.0</v>
      </c>
      <c r="X1364" s="107">
        <v>0.0</v>
      </c>
      <c r="Y1364" s="107">
        <v>0.0</v>
      </c>
      <c r="Z1364" s="80">
        <v>0.0</v>
      </c>
      <c r="AA1364" s="140">
        <v>0.0</v>
      </c>
      <c r="AB1364" s="109">
        <v>0.0</v>
      </c>
      <c r="AC1364" s="109">
        <v>0.0</v>
      </c>
      <c r="AD1364" s="141">
        <v>0.0</v>
      </c>
      <c r="AE1364" s="80">
        <v>0.0</v>
      </c>
      <c r="AF1364" s="140">
        <v>0.0</v>
      </c>
      <c r="AG1364" s="109">
        <v>56.0</v>
      </c>
      <c r="AH1364" s="109">
        <v>14.0</v>
      </c>
      <c r="AI1364" s="141">
        <v>0.0</v>
      </c>
      <c r="AJ1364" s="80">
        <v>70.0</v>
      </c>
      <c r="AK1364" s="140">
        <v>0.0</v>
      </c>
      <c r="AL1364" s="109">
        <v>0.0</v>
      </c>
      <c r="AM1364" s="141">
        <v>0.0</v>
      </c>
      <c r="AN1364" s="80">
        <v>0.0</v>
      </c>
      <c r="AO1364" s="140">
        <v>0.0</v>
      </c>
      <c r="AP1364" s="109">
        <v>0.0</v>
      </c>
      <c r="AQ1364" s="109">
        <v>0.0</v>
      </c>
      <c r="AR1364" s="80">
        <v>0.0</v>
      </c>
      <c r="AS1364" s="110">
        <v>0.0</v>
      </c>
      <c r="AT1364" s="110">
        <v>0.0</v>
      </c>
      <c r="AU1364" s="110">
        <v>0.0</v>
      </c>
      <c r="AV1364" s="142">
        <v>0.0</v>
      </c>
      <c r="AW1364" s="80">
        <v>0.0</v>
      </c>
      <c r="AX1364" s="113">
        <v>70.0</v>
      </c>
      <c r="AY1364" s="117">
        <v>56.0</v>
      </c>
      <c r="AZ1364" s="328">
        <v>14.0</v>
      </c>
      <c r="BA1364" s="315">
        <v>4.0</v>
      </c>
      <c r="BB1364" s="316">
        <v>74.0</v>
      </c>
      <c r="BC1364" s="143" t="s">
        <v>1294</v>
      </c>
      <c r="BD1364" s="132" t="s">
        <v>178</v>
      </c>
      <c r="BE1364" s="132" t="s">
        <v>178</v>
      </c>
      <c r="BF1364" s="123"/>
      <c r="BG1364" s="83">
        <v>1179245.0</v>
      </c>
      <c r="BH1364" s="112">
        <v>3.0</v>
      </c>
      <c r="BI1364" s="98" t="s">
        <v>155</v>
      </c>
      <c r="BJ1364" s="98" t="str">
        <f t="shared" si="1"/>
        <v>NÃO</v>
      </c>
      <c r="BK1364" s="98" t="str">
        <f t="shared" si="2"/>
        <v>NÃO</v>
      </c>
    </row>
    <row r="1365" ht="15.75" customHeight="1">
      <c r="A1365" s="111" t="s">
        <v>1629</v>
      </c>
      <c r="B1365" s="83" t="s">
        <v>7471</v>
      </c>
      <c r="C1365" s="83" t="s">
        <v>68</v>
      </c>
      <c r="D1365" s="83">
        <v>1113927.0</v>
      </c>
      <c r="E1365" s="83"/>
      <c r="F1365" s="83">
        <v>2.9033047E7</v>
      </c>
      <c r="G1365" s="114" t="s">
        <v>7487</v>
      </c>
      <c r="H1365" s="91" t="s">
        <v>7488</v>
      </c>
      <c r="I1365" s="114" t="s">
        <v>7489</v>
      </c>
      <c r="J1365" s="83" t="s">
        <v>923</v>
      </c>
      <c r="K1365" s="83" t="s">
        <v>168</v>
      </c>
      <c r="L1365" s="83" t="s">
        <v>169</v>
      </c>
      <c r="M1365" s="82" t="s">
        <v>11750</v>
      </c>
      <c r="N1365" s="82" t="s">
        <v>11751</v>
      </c>
      <c r="O1365" s="82" t="s">
        <v>11752</v>
      </c>
      <c r="P1365" s="82" t="s">
        <v>11753</v>
      </c>
      <c r="Q1365" s="82"/>
      <c r="R1365" s="82"/>
      <c r="S1365" s="82" t="s">
        <v>11754</v>
      </c>
      <c r="T1365" s="138">
        <v>5.0</v>
      </c>
      <c r="U1365" s="352">
        <v>5.0</v>
      </c>
      <c r="V1365" s="106">
        <v>0.0</v>
      </c>
      <c r="W1365" s="107">
        <v>0.0</v>
      </c>
      <c r="X1365" s="107">
        <v>0.0</v>
      </c>
      <c r="Y1365" s="107">
        <v>0.0</v>
      </c>
      <c r="Z1365" s="80">
        <v>0.0</v>
      </c>
      <c r="AA1365" s="140">
        <v>0.0</v>
      </c>
      <c r="AB1365" s="109">
        <v>0.0</v>
      </c>
      <c r="AC1365" s="109">
        <v>0.0</v>
      </c>
      <c r="AD1365" s="141">
        <v>0.0</v>
      </c>
      <c r="AE1365" s="80">
        <v>0.0</v>
      </c>
      <c r="AF1365" s="140">
        <v>89.0</v>
      </c>
      <c r="AG1365" s="109">
        <v>138.0</v>
      </c>
      <c r="AH1365" s="109">
        <v>0.0</v>
      </c>
      <c r="AI1365" s="141">
        <v>0.0</v>
      </c>
      <c r="AJ1365" s="80">
        <v>227.0</v>
      </c>
      <c r="AK1365" s="140">
        <v>0.0</v>
      </c>
      <c r="AL1365" s="109">
        <v>0.0</v>
      </c>
      <c r="AM1365" s="141">
        <v>0.0</v>
      </c>
      <c r="AN1365" s="80">
        <v>0.0</v>
      </c>
      <c r="AO1365" s="140">
        <v>0.0</v>
      </c>
      <c r="AP1365" s="109">
        <v>0.0</v>
      </c>
      <c r="AQ1365" s="109">
        <v>20.0</v>
      </c>
      <c r="AR1365" s="80">
        <v>20.0</v>
      </c>
      <c r="AS1365" s="110">
        <v>0.0</v>
      </c>
      <c r="AT1365" s="110">
        <v>0.0</v>
      </c>
      <c r="AU1365" s="110">
        <v>0.0</v>
      </c>
      <c r="AV1365" s="142">
        <v>0.0</v>
      </c>
      <c r="AW1365" s="80">
        <v>0.0</v>
      </c>
      <c r="AX1365" s="113">
        <v>247.0</v>
      </c>
      <c r="AY1365" s="117">
        <v>227.0</v>
      </c>
      <c r="AZ1365" s="328">
        <v>20.0</v>
      </c>
      <c r="BA1365" s="315">
        <v>2.0</v>
      </c>
      <c r="BB1365" s="316">
        <v>249.0</v>
      </c>
      <c r="BC1365" s="132" t="s">
        <v>373</v>
      </c>
      <c r="BD1365" s="132" t="s">
        <v>178</v>
      </c>
      <c r="BE1365" s="132" t="s">
        <v>178</v>
      </c>
      <c r="BF1365" s="123"/>
      <c r="BG1365" s="83">
        <v>1113927.0</v>
      </c>
      <c r="BH1365" s="112">
        <v>5.0</v>
      </c>
      <c r="BI1365" s="98" t="s">
        <v>155</v>
      </c>
      <c r="BJ1365" s="98" t="str">
        <f t="shared" si="1"/>
        <v>NÃO</v>
      </c>
      <c r="BK1365" s="98" t="str">
        <f t="shared" si="2"/>
        <v>NÃO</v>
      </c>
    </row>
    <row r="1366" ht="15.75" customHeight="1">
      <c r="A1366" s="111" t="s">
        <v>1629</v>
      </c>
      <c r="B1366" s="83" t="s">
        <v>7471</v>
      </c>
      <c r="C1366" s="83" t="s">
        <v>68</v>
      </c>
      <c r="D1366" s="83">
        <v>1113960.0</v>
      </c>
      <c r="E1366" s="83"/>
      <c r="F1366" s="83">
        <v>2.9032539E7</v>
      </c>
      <c r="G1366" s="119" t="s">
        <v>11755</v>
      </c>
      <c r="H1366" s="91" t="s">
        <v>11756</v>
      </c>
      <c r="I1366" s="114" t="s">
        <v>149</v>
      </c>
      <c r="J1366" s="83" t="s">
        <v>150</v>
      </c>
      <c r="K1366" s="83" t="s">
        <v>151</v>
      </c>
      <c r="L1366" s="83" t="s">
        <v>76</v>
      </c>
      <c r="M1366" s="82" t="s">
        <v>11757</v>
      </c>
      <c r="N1366" s="82" t="s">
        <v>11758</v>
      </c>
      <c r="O1366" s="82" t="s">
        <v>11759</v>
      </c>
      <c r="P1366" s="82" t="s">
        <v>11760</v>
      </c>
      <c r="Q1366" s="82"/>
      <c r="R1366" s="82"/>
      <c r="S1366" s="82" t="s">
        <v>11761</v>
      </c>
      <c r="T1366" s="138">
        <v>10.0</v>
      </c>
      <c r="U1366" s="352" t="s">
        <v>9933</v>
      </c>
      <c r="V1366" s="106">
        <v>0.0</v>
      </c>
      <c r="W1366" s="107">
        <v>0.0</v>
      </c>
      <c r="X1366" s="107">
        <v>0.0</v>
      </c>
      <c r="Y1366" s="107">
        <v>0.0</v>
      </c>
      <c r="Z1366" s="80">
        <v>0.0</v>
      </c>
      <c r="AA1366" s="140">
        <v>0.0</v>
      </c>
      <c r="AB1366" s="109">
        <v>0.0</v>
      </c>
      <c r="AC1366" s="109">
        <v>0.0</v>
      </c>
      <c r="AD1366" s="141">
        <v>0.0</v>
      </c>
      <c r="AE1366" s="80">
        <v>0.0</v>
      </c>
      <c r="AF1366" s="140">
        <v>0.0</v>
      </c>
      <c r="AG1366" s="109">
        <v>154.0</v>
      </c>
      <c r="AH1366" s="109">
        <v>0.0</v>
      </c>
      <c r="AI1366" s="141">
        <v>248.0</v>
      </c>
      <c r="AJ1366" s="80">
        <v>402.0</v>
      </c>
      <c r="AK1366" s="140">
        <v>0.0</v>
      </c>
      <c r="AL1366" s="109">
        <v>0.0</v>
      </c>
      <c r="AM1366" s="141">
        <v>0.0</v>
      </c>
      <c r="AN1366" s="80">
        <v>0.0</v>
      </c>
      <c r="AO1366" s="140">
        <v>0.0</v>
      </c>
      <c r="AP1366" s="109">
        <v>0.0</v>
      </c>
      <c r="AQ1366" s="109">
        <v>79.0</v>
      </c>
      <c r="AR1366" s="80">
        <v>79.0</v>
      </c>
      <c r="AS1366" s="110">
        <v>0.0</v>
      </c>
      <c r="AT1366" s="110">
        <v>0.0</v>
      </c>
      <c r="AU1366" s="110">
        <v>0.0</v>
      </c>
      <c r="AV1366" s="142">
        <v>0.0</v>
      </c>
      <c r="AW1366" s="80">
        <v>0.0</v>
      </c>
      <c r="AX1366" s="113">
        <v>481.0</v>
      </c>
      <c r="AY1366" s="117">
        <v>402.0</v>
      </c>
      <c r="AZ1366" s="328">
        <v>79.0</v>
      </c>
      <c r="BA1366" s="315">
        <v>0.0</v>
      </c>
      <c r="BB1366" s="316">
        <v>481.0</v>
      </c>
      <c r="BC1366" s="132" t="s">
        <v>178</v>
      </c>
      <c r="BD1366" s="132" t="s">
        <v>178</v>
      </c>
      <c r="BE1366" s="132" t="s">
        <v>178</v>
      </c>
      <c r="BF1366" s="123"/>
      <c r="BG1366" s="83">
        <v>1113960.0</v>
      </c>
      <c r="BH1366" s="112">
        <v>10.0</v>
      </c>
      <c r="BI1366" s="98" t="s">
        <v>155</v>
      </c>
      <c r="BJ1366" s="98" t="str">
        <f t="shared" si="1"/>
        <v>INTEGRAL</v>
      </c>
      <c r="BK1366" s="98" t="str">
        <f t="shared" si="2"/>
        <v>NÃO</v>
      </c>
    </row>
    <row r="1367" ht="15.75" customHeight="1">
      <c r="A1367" s="111" t="s">
        <v>1629</v>
      </c>
      <c r="B1367" s="83" t="s">
        <v>7471</v>
      </c>
      <c r="C1367" s="83" t="s">
        <v>164</v>
      </c>
      <c r="D1367" s="83">
        <v>1113960.0</v>
      </c>
      <c r="E1367" s="83">
        <v>1178576.0</v>
      </c>
      <c r="F1367" s="83"/>
      <c r="G1367" s="119" t="s">
        <v>7516</v>
      </c>
      <c r="H1367" s="91" t="s">
        <v>7518</v>
      </c>
      <c r="I1367" s="114" t="s">
        <v>7520</v>
      </c>
      <c r="J1367" s="83" t="s">
        <v>252</v>
      </c>
      <c r="K1367" s="83" t="s">
        <v>168</v>
      </c>
      <c r="L1367" s="83" t="s">
        <v>169</v>
      </c>
      <c r="M1367" s="82" t="s">
        <v>11757</v>
      </c>
      <c r="N1367" s="82" t="s">
        <v>11758</v>
      </c>
      <c r="O1367" s="82" t="s">
        <v>11759</v>
      </c>
      <c r="P1367" s="82" t="s">
        <v>11760</v>
      </c>
      <c r="Q1367" s="82"/>
      <c r="R1367" s="82"/>
      <c r="S1367" s="82" t="s">
        <v>11761</v>
      </c>
      <c r="T1367" s="138">
        <v>2.0</v>
      </c>
      <c r="U1367" s="352">
        <v>2.0</v>
      </c>
      <c r="V1367" s="106">
        <v>0.0</v>
      </c>
      <c r="W1367" s="107">
        <v>0.0</v>
      </c>
      <c r="X1367" s="107">
        <v>0.0</v>
      </c>
      <c r="Y1367" s="107">
        <v>0.0</v>
      </c>
      <c r="Z1367" s="80">
        <v>0.0</v>
      </c>
      <c r="AA1367" s="140">
        <v>0.0</v>
      </c>
      <c r="AB1367" s="109">
        <v>0.0</v>
      </c>
      <c r="AC1367" s="109">
        <v>0.0</v>
      </c>
      <c r="AD1367" s="141">
        <v>0.0</v>
      </c>
      <c r="AE1367" s="80">
        <v>0.0</v>
      </c>
      <c r="AF1367" s="140">
        <v>0.0</v>
      </c>
      <c r="AG1367" s="109">
        <v>28.0</v>
      </c>
      <c r="AH1367" s="109">
        <v>9.0</v>
      </c>
      <c r="AI1367" s="141">
        <v>0.0</v>
      </c>
      <c r="AJ1367" s="80">
        <v>37.0</v>
      </c>
      <c r="AK1367" s="140">
        <v>0.0</v>
      </c>
      <c r="AL1367" s="109">
        <v>0.0</v>
      </c>
      <c r="AM1367" s="141">
        <v>0.0</v>
      </c>
      <c r="AN1367" s="80">
        <v>0.0</v>
      </c>
      <c r="AO1367" s="140">
        <v>0.0</v>
      </c>
      <c r="AP1367" s="109">
        <v>0.0</v>
      </c>
      <c r="AQ1367" s="109">
        <v>0.0</v>
      </c>
      <c r="AR1367" s="80">
        <v>0.0</v>
      </c>
      <c r="AS1367" s="110">
        <v>0.0</v>
      </c>
      <c r="AT1367" s="110">
        <v>0.0</v>
      </c>
      <c r="AU1367" s="110">
        <v>0.0</v>
      </c>
      <c r="AV1367" s="142">
        <v>0.0</v>
      </c>
      <c r="AW1367" s="80">
        <v>0.0</v>
      </c>
      <c r="AX1367" s="113">
        <v>37.0</v>
      </c>
      <c r="AY1367" s="117">
        <v>28.0</v>
      </c>
      <c r="AZ1367" s="328">
        <v>9.0</v>
      </c>
      <c r="BA1367" s="315">
        <v>0.0</v>
      </c>
      <c r="BB1367" s="316">
        <v>37.0</v>
      </c>
      <c r="BC1367" s="132" t="s">
        <v>373</v>
      </c>
      <c r="BD1367" s="132" t="s">
        <v>178</v>
      </c>
      <c r="BE1367" s="132" t="s">
        <v>178</v>
      </c>
      <c r="BF1367" s="123"/>
      <c r="BG1367" s="83">
        <v>1178576.0</v>
      </c>
      <c r="BH1367" s="112">
        <v>2.0</v>
      </c>
      <c r="BI1367" s="98" t="s">
        <v>155</v>
      </c>
      <c r="BJ1367" s="98" t="str">
        <f t="shared" si="1"/>
        <v>NÃO</v>
      </c>
      <c r="BK1367" s="98" t="str">
        <f t="shared" si="2"/>
        <v>NÃO</v>
      </c>
    </row>
    <row r="1368" ht="15.75" customHeight="1">
      <c r="A1368" s="111" t="s">
        <v>1629</v>
      </c>
      <c r="B1368" s="136" t="s">
        <v>7471</v>
      </c>
      <c r="C1368" s="83" t="s">
        <v>164</v>
      </c>
      <c r="D1368" s="83">
        <v>1113960.0</v>
      </c>
      <c r="E1368" s="136">
        <v>1178575.0</v>
      </c>
      <c r="F1368" s="136"/>
      <c r="G1368" s="147" t="s">
        <v>7526</v>
      </c>
      <c r="H1368" s="91" t="s">
        <v>7527</v>
      </c>
      <c r="I1368" s="187" t="s">
        <v>7528</v>
      </c>
      <c r="J1368" s="83" t="s">
        <v>7529</v>
      </c>
      <c r="K1368" s="83" t="s">
        <v>168</v>
      </c>
      <c r="L1368" s="83" t="s">
        <v>169</v>
      </c>
      <c r="M1368" s="82" t="s">
        <v>11757</v>
      </c>
      <c r="N1368" s="82" t="s">
        <v>11758</v>
      </c>
      <c r="O1368" s="82" t="s">
        <v>11759</v>
      </c>
      <c r="P1368" s="82" t="s">
        <v>11760</v>
      </c>
      <c r="Q1368" s="82"/>
      <c r="R1368" s="82"/>
      <c r="S1368" s="82" t="s">
        <v>11761</v>
      </c>
      <c r="T1368" s="138">
        <v>3.0</v>
      </c>
      <c r="U1368" s="323">
        <v>3.0</v>
      </c>
      <c r="V1368" s="106">
        <v>0.0</v>
      </c>
      <c r="W1368" s="107">
        <v>0.0</v>
      </c>
      <c r="X1368" s="107">
        <v>0.0</v>
      </c>
      <c r="Y1368" s="107">
        <v>0.0</v>
      </c>
      <c r="Z1368" s="80">
        <v>0.0</v>
      </c>
      <c r="AA1368" s="140">
        <v>0.0</v>
      </c>
      <c r="AB1368" s="109">
        <v>0.0</v>
      </c>
      <c r="AC1368" s="109">
        <v>0.0</v>
      </c>
      <c r="AD1368" s="141">
        <v>0.0</v>
      </c>
      <c r="AE1368" s="80">
        <v>0.0</v>
      </c>
      <c r="AF1368" s="140">
        <v>0.0</v>
      </c>
      <c r="AG1368" s="109">
        <v>65.0</v>
      </c>
      <c r="AH1368" s="109">
        <v>0.0</v>
      </c>
      <c r="AI1368" s="141">
        <v>0.0</v>
      </c>
      <c r="AJ1368" s="80">
        <v>65.0</v>
      </c>
      <c r="AK1368" s="140">
        <v>0.0</v>
      </c>
      <c r="AL1368" s="109">
        <v>0.0</v>
      </c>
      <c r="AM1368" s="141">
        <v>0.0</v>
      </c>
      <c r="AN1368" s="80">
        <v>0.0</v>
      </c>
      <c r="AO1368" s="140">
        <v>0.0</v>
      </c>
      <c r="AP1368" s="109">
        <v>0.0</v>
      </c>
      <c r="AQ1368" s="109">
        <v>0.0</v>
      </c>
      <c r="AR1368" s="80">
        <v>0.0</v>
      </c>
      <c r="AS1368" s="110">
        <v>0.0</v>
      </c>
      <c r="AT1368" s="110">
        <v>0.0</v>
      </c>
      <c r="AU1368" s="110">
        <v>0.0</v>
      </c>
      <c r="AV1368" s="142">
        <v>0.0</v>
      </c>
      <c r="AW1368" s="80">
        <v>0.0</v>
      </c>
      <c r="AX1368" s="113">
        <v>65.0</v>
      </c>
      <c r="AY1368" s="117">
        <v>65.0</v>
      </c>
      <c r="AZ1368" s="328">
        <v>0.0</v>
      </c>
      <c r="BA1368" s="315">
        <v>0.0</v>
      </c>
      <c r="BB1368" s="316">
        <v>65.0</v>
      </c>
      <c r="BC1368" s="132" t="s">
        <v>373</v>
      </c>
      <c r="BD1368" s="132" t="s">
        <v>178</v>
      </c>
      <c r="BE1368" s="132" t="s">
        <v>178</v>
      </c>
      <c r="BF1368" s="123"/>
      <c r="BG1368" s="83">
        <v>1178575.0</v>
      </c>
      <c r="BH1368" s="112">
        <v>3.0</v>
      </c>
      <c r="BI1368" s="98" t="s">
        <v>155</v>
      </c>
      <c r="BJ1368" s="98" t="str">
        <f t="shared" si="1"/>
        <v>NÃO</v>
      </c>
      <c r="BK1368" s="98" t="str">
        <f t="shared" si="2"/>
        <v>NÃO</v>
      </c>
    </row>
    <row r="1369" ht="15.75" customHeight="1">
      <c r="A1369" s="111" t="s">
        <v>1629</v>
      </c>
      <c r="B1369" s="136" t="s">
        <v>2190</v>
      </c>
      <c r="C1369" s="83" t="s">
        <v>68</v>
      </c>
      <c r="D1369" s="83">
        <v>1113994.0</v>
      </c>
      <c r="E1369" s="136"/>
      <c r="F1369" s="136">
        <v>2.9033187E7</v>
      </c>
      <c r="G1369" s="187" t="s">
        <v>11763</v>
      </c>
      <c r="H1369" s="91" t="s">
        <v>7538</v>
      </c>
      <c r="I1369" s="114" t="s">
        <v>7539</v>
      </c>
      <c r="J1369" s="83" t="s">
        <v>1074</v>
      </c>
      <c r="K1369" s="83" t="s">
        <v>168</v>
      </c>
      <c r="L1369" s="83" t="s">
        <v>169</v>
      </c>
      <c r="M1369" s="82" t="s">
        <v>11765</v>
      </c>
      <c r="N1369" s="82" t="s">
        <v>11766</v>
      </c>
      <c r="O1369" s="82" t="s">
        <v>11767</v>
      </c>
      <c r="P1369" s="82" t="s">
        <v>11768</v>
      </c>
      <c r="Q1369" s="82"/>
      <c r="R1369" s="82"/>
      <c r="S1369" s="82" t="s">
        <v>11769</v>
      </c>
      <c r="T1369" s="138">
        <v>6.0</v>
      </c>
      <c r="U1369" s="323">
        <v>6.0</v>
      </c>
      <c r="V1369" s="106">
        <v>0.0</v>
      </c>
      <c r="W1369" s="107">
        <v>0.0</v>
      </c>
      <c r="X1369" s="107">
        <v>0.0</v>
      </c>
      <c r="Y1369" s="107">
        <v>0.0</v>
      </c>
      <c r="Z1369" s="80">
        <v>0.0</v>
      </c>
      <c r="AA1369" s="140">
        <v>0.0</v>
      </c>
      <c r="AB1369" s="109">
        <v>0.0</v>
      </c>
      <c r="AC1369" s="109">
        <v>0.0</v>
      </c>
      <c r="AD1369" s="141">
        <v>0.0</v>
      </c>
      <c r="AE1369" s="80">
        <v>0.0</v>
      </c>
      <c r="AF1369" s="140">
        <v>117.0</v>
      </c>
      <c r="AG1369" s="109">
        <v>0.0</v>
      </c>
      <c r="AH1369" s="109">
        <v>0.0</v>
      </c>
      <c r="AI1369" s="141">
        <v>0.0</v>
      </c>
      <c r="AJ1369" s="80">
        <v>117.0</v>
      </c>
      <c r="AK1369" s="140">
        <v>0.0</v>
      </c>
      <c r="AL1369" s="109">
        <v>0.0</v>
      </c>
      <c r="AM1369" s="141">
        <v>0.0</v>
      </c>
      <c r="AN1369" s="80">
        <v>0.0</v>
      </c>
      <c r="AO1369" s="140">
        <v>0.0</v>
      </c>
      <c r="AP1369" s="109">
        <v>0.0</v>
      </c>
      <c r="AQ1369" s="109">
        <v>24.0</v>
      </c>
      <c r="AR1369" s="80">
        <v>24.0</v>
      </c>
      <c r="AS1369" s="110">
        <v>0.0</v>
      </c>
      <c r="AT1369" s="110">
        <v>0.0</v>
      </c>
      <c r="AU1369" s="110">
        <v>0.0</v>
      </c>
      <c r="AV1369" s="142">
        <v>0.0</v>
      </c>
      <c r="AW1369" s="80">
        <v>0.0</v>
      </c>
      <c r="AX1369" s="113">
        <v>141.0</v>
      </c>
      <c r="AY1369" s="117">
        <v>117.0</v>
      </c>
      <c r="AZ1369" s="328">
        <v>24.0</v>
      </c>
      <c r="BA1369" s="315">
        <v>0.0</v>
      </c>
      <c r="BB1369" s="316">
        <v>141.0</v>
      </c>
      <c r="BC1369" s="132" t="s">
        <v>373</v>
      </c>
      <c r="BD1369" s="132" t="s">
        <v>178</v>
      </c>
      <c r="BE1369" s="132" t="s">
        <v>178</v>
      </c>
      <c r="BF1369" s="156"/>
      <c r="BG1369" s="83">
        <v>1113994.0</v>
      </c>
      <c r="BH1369" s="112">
        <v>6.0</v>
      </c>
      <c r="BI1369" s="98" t="s">
        <v>155</v>
      </c>
      <c r="BJ1369" s="98" t="str">
        <f t="shared" si="1"/>
        <v>NÃO</v>
      </c>
      <c r="BK1369" s="98" t="str">
        <f t="shared" si="2"/>
        <v>NÃO</v>
      </c>
    </row>
    <row r="1370" ht="15.75" customHeight="1">
      <c r="A1370" s="111" t="s">
        <v>1629</v>
      </c>
      <c r="B1370" s="136" t="s">
        <v>2190</v>
      </c>
      <c r="C1370" s="83" t="s">
        <v>68</v>
      </c>
      <c r="D1370" s="83">
        <v>1178070.0</v>
      </c>
      <c r="E1370" s="136"/>
      <c r="F1370" s="136">
        <v>2.9424526E7</v>
      </c>
      <c r="G1370" s="147" t="s">
        <v>6040</v>
      </c>
      <c r="H1370" s="91" t="s">
        <v>7559</v>
      </c>
      <c r="I1370" s="187" t="s">
        <v>149</v>
      </c>
      <c r="J1370" s="83" t="s">
        <v>150</v>
      </c>
      <c r="K1370" s="83" t="s">
        <v>151</v>
      </c>
      <c r="L1370" s="83" t="s">
        <v>169</v>
      </c>
      <c r="M1370" s="82" t="s">
        <v>11770</v>
      </c>
      <c r="N1370" s="82" t="s">
        <v>11771</v>
      </c>
      <c r="O1370" s="82"/>
      <c r="P1370" s="82"/>
      <c r="Q1370" s="82"/>
      <c r="R1370" s="82"/>
      <c r="S1370" s="82" t="s">
        <v>11772</v>
      </c>
      <c r="T1370" s="138">
        <v>7.0</v>
      </c>
      <c r="U1370" s="323">
        <v>4.0</v>
      </c>
      <c r="V1370" s="106">
        <v>0.0</v>
      </c>
      <c r="W1370" s="107">
        <v>0.0</v>
      </c>
      <c r="X1370" s="107">
        <v>0.0</v>
      </c>
      <c r="Y1370" s="107">
        <v>0.0</v>
      </c>
      <c r="Z1370" s="80">
        <v>0.0</v>
      </c>
      <c r="AA1370" s="140">
        <v>0.0</v>
      </c>
      <c r="AB1370" s="109">
        <v>0.0</v>
      </c>
      <c r="AC1370" s="109">
        <v>0.0</v>
      </c>
      <c r="AD1370" s="141">
        <v>0.0</v>
      </c>
      <c r="AE1370" s="80">
        <v>0.0</v>
      </c>
      <c r="AF1370" s="140">
        <v>0.0</v>
      </c>
      <c r="AG1370" s="109">
        <v>74.0</v>
      </c>
      <c r="AH1370" s="109">
        <v>0.0</v>
      </c>
      <c r="AI1370" s="141">
        <v>86.0</v>
      </c>
      <c r="AJ1370" s="80">
        <v>160.0</v>
      </c>
      <c r="AK1370" s="140">
        <v>0.0</v>
      </c>
      <c r="AL1370" s="109">
        <v>0.0</v>
      </c>
      <c r="AM1370" s="141">
        <v>0.0</v>
      </c>
      <c r="AN1370" s="80">
        <v>0.0</v>
      </c>
      <c r="AO1370" s="140">
        <v>0.0</v>
      </c>
      <c r="AP1370" s="109">
        <v>0.0</v>
      </c>
      <c r="AQ1370" s="109">
        <v>0.0</v>
      </c>
      <c r="AR1370" s="80">
        <v>0.0</v>
      </c>
      <c r="AS1370" s="110">
        <v>0.0</v>
      </c>
      <c r="AT1370" s="110">
        <v>0.0</v>
      </c>
      <c r="AU1370" s="110">
        <v>0.0</v>
      </c>
      <c r="AV1370" s="142">
        <v>0.0</v>
      </c>
      <c r="AW1370" s="80">
        <v>0.0</v>
      </c>
      <c r="AX1370" s="113">
        <v>160.0</v>
      </c>
      <c r="AY1370" s="117">
        <v>160.0</v>
      </c>
      <c r="AZ1370" s="328">
        <v>0.0</v>
      </c>
      <c r="BA1370" s="315">
        <v>0.0</v>
      </c>
      <c r="BB1370" s="316">
        <v>160.0</v>
      </c>
      <c r="BC1370" s="132" t="s">
        <v>178</v>
      </c>
      <c r="BD1370" s="132" t="s">
        <v>178</v>
      </c>
      <c r="BE1370" s="132" t="s">
        <v>178</v>
      </c>
      <c r="BF1370" s="123"/>
      <c r="BG1370" s="83">
        <v>1178070.0</v>
      </c>
      <c r="BH1370" s="112">
        <v>4.0</v>
      </c>
      <c r="BI1370" s="98" t="s">
        <v>155</v>
      </c>
      <c r="BJ1370" s="98" t="str">
        <f t="shared" si="1"/>
        <v>INTEGRAL</v>
      </c>
      <c r="BK1370" s="98" t="str">
        <f t="shared" si="2"/>
        <v>NÃO</v>
      </c>
    </row>
    <row r="1371" ht="15.75" customHeight="1">
      <c r="A1371" s="111" t="s">
        <v>1629</v>
      </c>
      <c r="B1371" s="83" t="s">
        <v>2190</v>
      </c>
      <c r="C1371" s="83" t="s">
        <v>164</v>
      </c>
      <c r="D1371" s="83">
        <v>1178070.0</v>
      </c>
      <c r="E1371" s="83">
        <v>1179527.0</v>
      </c>
      <c r="F1371" s="83"/>
      <c r="G1371" s="114" t="s">
        <v>11773</v>
      </c>
      <c r="H1371" s="91" t="s">
        <v>11774</v>
      </c>
      <c r="I1371" s="187" t="s">
        <v>11775</v>
      </c>
      <c r="J1371" s="83" t="s">
        <v>822</v>
      </c>
      <c r="K1371" s="83" t="s">
        <v>151</v>
      </c>
      <c r="L1371" s="83" t="s">
        <v>169</v>
      </c>
      <c r="M1371" s="82" t="s">
        <v>11770</v>
      </c>
      <c r="N1371" s="82" t="s">
        <v>11771</v>
      </c>
      <c r="O1371" s="82"/>
      <c r="P1371" s="82"/>
      <c r="Q1371" s="82"/>
      <c r="R1371" s="82"/>
      <c r="S1371" s="82" t="s">
        <v>11772</v>
      </c>
      <c r="T1371" s="138">
        <v>3.0</v>
      </c>
      <c r="U1371" s="323">
        <v>3.0</v>
      </c>
      <c r="V1371" s="106">
        <v>0.0</v>
      </c>
      <c r="W1371" s="107">
        <v>0.0</v>
      </c>
      <c r="X1371" s="107">
        <v>0.0</v>
      </c>
      <c r="Y1371" s="107">
        <v>0.0</v>
      </c>
      <c r="Z1371" s="80">
        <v>0.0</v>
      </c>
      <c r="AA1371" s="140">
        <v>0.0</v>
      </c>
      <c r="AB1371" s="109">
        <v>0.0</v>
      </c>
      <c r="AC1371" s="109">
        <v>0.0</v>
      </c>
      <c r="AD1371" s="141">
        <v>0.0</v>
      </c>
      <c r="AE1371" s="80">
        <v>0.0</v>
      </c>
      <c r="AF1371" s="140">
        <v>0.0</v>
      </c>
      <c r="AG1371" s="109">
        <v>40.0</v>
      </c>
      <c r="AH1371" s="109">
        <v>0.0</v>
      </c>
      <c r="AI1371" s="141">
        <v>0.0</v>
      </c>
      <c r="AJ1371" s="80">
        <v>40.0</v>
      </c>
      <c r="AK1371" s="140">
        <v>0.0</v>
      </c>
      <c r="AL1371" s="109">
        <v>0.0</v>
      </c>
      <c r="AM1371" s="141">
        <v>0.0</v>
      </c>
      <c r="AN1371" s="80">
        <v>0.0</v>
      </c>
      <c r="AO1371" s="140">
        <v>0.0</v>
      </c>
      <c r="AP1371" s="109">
        <v>0.0</v>
      </c>
      <c r="AQ1371" s="109">
        <v>0.0</v>
      </c>
      <c r="AR1371" s="80">
        <v>0.0</v>
      </c>
      <c r="AS1371" s="110">
        <v>0.0</v>
      </c>
      <c r="AT1371" s="110">
        <v>0.0</v>
      </c>
      <c r="AU1371" s="110">
        <v>0.0</v>
      </c>
      <c r="AV1371" s="142">
        <v>0.0</v>
      </c>
      <c r="AW1371" s="80">
        <v>0.0</v>
      </c>
      <c r="AX1371" s="113">
        <v>40.0</v>
      </c>
      <c r="AY1371" s="117">
        <v>40.0</v>
      </c>
      <c r="AZ1371" s="328">
        <v>0.0</v>
      </c>
      <c r="BA1371" s="315">
        <v>0.0</v>
      </c>
      <c r="BB1371" s="316">
        <v>40.0</v>
      </c>
      <c r="BC1371" s="132" t="s">
        <v>373</v>
      </c>
      <c r="BD1371" s="132" t="s">
        <v>178</v>
      </c>
      <c r="BE1371" s="132" t="s">
        <v>178</v>
      </c>
      <c r="BF1371" s="123"/>
      <c r="BG1371" s="83">
        <v>1179527.0</v>
      </c>
      <c r="BH1371" s="112">
        <v>3.0</v>
      </c>
      <c r="BI1371" s="98" t="s">
        <v>155</v>
      </c>
      <c r="BJ1371" s="98" t="str">
        <f t="shared" si="1"/>
        <v>NÃO</v>
      </c>
      <c r="BK1371" s="98" t="str">
        <f t="shared" si="2"/>
        <v>NÃO</v>
      </c>
    </row>
    <row r="1372" ht="15.75" customHeight="1">
      <c r="A1372" s="111" t="s">
        <v>1629</v>
      </c>
      <c r="B1372" s="83" t="s">
        <v>2190</v>
      </c>
      <c r="C1372" s="83" t="s">
        <v>164</v>
      </c>
      <c r="D1372" s="83">
        <v>1178070.0</v>
      </c>
      <c r="E1372" s="83">
        <v>1179528.0</v>
      </c>
      <c r="F1372" s="83"/>
      <c r="G1372" s="114" t="s">
        <v>7568</v>
      </c>
      <c r="H1372" s="91" t="s">
        <v>7569</v>
      </c>
      <c r="I1372" s="187" t="s">
        <v>7570</v>
      </c>
      <c r="J1372" s="83" t="s">
        <v>2461</v>
      </c>
      <c r="K1372" s="83" t="s">
        <v>151</v>
      </c>
      <c r="L1372" s="83" t="s">
        <v>169</v>
      </c>
      <c r="M1372" s="82" t="s">
        <v>11770</v>
      </c>
      <c r="N1372" s="82" t="s">
        <v>11771</v>
      </c>
      <c r="O1372" s="82"/>
      <c r="P1372" s="82"/>
      <c r="Q1372" s="82"/>
      <c r="R1372" s="82"/>
      <c r="S1372" s="82" t="s">
        <v>11772</v>
      </c>
      <c r="T1372" s="138">
        <v>5.0</v>
      </c>
      <c r="U1372" s="331">
        <v>5.0</v>
      </c>
      <c r="V1372" s="106">
        <v>0.0</v>
      </c>
      <c r="W1372" s="107">
        <v>0.0</v>
      </c>
      <c r="X1372" s="107">
        <v>0.0</v>
      </c>
      <c r="Y1372" s="107">
        <v>0.0</v>
      </c>
      <c r="Z1372" s="80">
        <v>0.0</v>
      </c>
      <c r="AA1372" s="140">
        <v>0.0</v>
      </c>
      <c r="AB1372" s="109">
        <v>0.0</v>
      </c>
      <c r="AC1372" s="109">
        <v>0.0</v>
      </c>
      <c r="AD1372" s="141">
        <v>0.0</v>
      </c>
      <c r="AE1372" s="80">
        <v>0.0</v>
      </c>
      <c r="AF1372" s="140">
        <v>0.0</v>
      </c>
      <c r="AG1372" s="109">
        <v>48.0</v>
      </c>
      <c r="AH1372" s="109">
        <v>0.0</v>
      </c>
      <c r="AI1372" s="141">
        <v>0.0</v>
      </c>
      <c r="AJ1372" s="80">
        <v>48.0</v>
      </c>
      <c r="AK1372" s="140">
        <v>0.0</v>
      </c>
      <c r="AL1372" s="109">
        <v>0.0</v>
      </c>
      <c r="AM1372" s="141">
        <v>0.0</v>
      </c>
      <c r="AN1372" s="80">
        <v>0.0</v>
      </c>
      <c r="AO1372" s="140">
        <v>0.0</v>
      </c>
      <c r="AP1372" s="109">
        <v>0.0</v>
      </c>
      <c r="AQ1372" s="109">
        <v>0.0</v>
      </c>
      <c r="AR1372" s="80">
        <v>0.0</v>
      </c>
      <c r="AS1372" s="110">
        <v>0.0</v>
      </c>
      <c r="AT1372" s="110">
        <v>0.0</v>
      </c>
      <c r="AU1372" s="110">
        <v>0.0</v>
      </c>
      <c r="AV1372" s="142">
        <v>0.0</v>
      </c>
      <c r="AW1372" s="80">
        <v>0.0</v>
      </c>
      <c r="AX1372" s="113">
        <v>48.0</v>
      </c>
      <c r="AY1372" s="117">
        <v>48.0</v>
      </c>
      <c r="AZ1372" s="328">
        <v>0.0</v>
      </c>
      <c r="BA1372" s="315">
        <v>0.0</v>
      </c>
      <c r="BB1372" s="316">
        <v>48.0</v>
      </c>
      <c r="BC1372" s="132" t="s">
        <v>373</v>
      </c>
      <c r="BD1372" s="132" t="s">
        <v>178</v>
      </c>
      <c r="BE1372" s="132" t="s">
        <v>178</v>
      </c>
      <c r="BF1372" s="123"/>
      <c r="BG1372" s="83">
        <v>1179528.0</v>
      </c>
      <c r="BH1372" s="112">
        <v>3.0</v>
      </c>
      <c r="BI1372" s="98" t="s">
        <v>155</v>
      </c>
      <c r="BJ1372" s="98" t="str">
        <f t="shared" si="1"/>
        <v>NÃO</v>
      </c>
      <c r="BK1372" s="98" t="str">
        <f t="shared" si="2"/>
        <v>NÃO</v>
      </c>
    </row>
    <row r="1373" ht="15.75" customHeight="1">
      <c r="A1373" s="111" t="s">
        <v>1629</v>
      </c>
      <c r="B1373" s="83" t="s">
        <v>2381</v>
      </c>
      <c r="C1373" s="83" t="s">
        <v>68</v>
      </c>
      <c r="D1373" s="83">
        <v>1179203.0</v>
      </c>
      <c r="E1373" s="83"/>
      <c r="F1373" s="83">
        <v>2.9373018E7</v>
      </c>
      <c r="G1373" s="114" t="s">
        <v>7571</v>
      </c>
      <c r="H1373" s="91" t="s">
        <v>7572</v>
      </c>
      <c r="I1373" s="187" t="s">
        <v>7573</v>
      </c>
      <c r="J1373" s="83" t="s">
        <v>464</v>
      </c>
      <c r="K1373" s="83" t="s">
        <v>151</v>
      </c>
      <c r="L1373" s="83" t="s">
        <v>169</v>
      </c>
      <c r="M1373" s="82" t="s">
        <v>11777</v>
      </c>
      <c r="N1373" s="82" t="s">
        <v>11778</v>
      </c>
      <c r="O1373" s="82"/>
      <c r="P1373" s="82"/>
      <c r="Q1373" s="82"/>
      <c r="R1373" s="82"/>
      <c r="S1373" s="82"/>
      <c r="T1373" s="138">
        <v>2.0</v>
      </c>
      <c r="U1373" s="323">
        <v>2.0</v>
      </c>
      <c r="V1373" s="106">
        <v>3.0</v>
      </c>
      <c r="W1373" s="107">
        <v>0.0</v>
      </c>
      <c r="X1373" s="107">
        <v>0.0</v>
      </c>
      <c r="Y1373" s="107">
        <v>0.0</v>
      </c>
      <c r="Z1373" s="80">
        <v>3.0</v>
      </c>
      <c r="AA1373" s="140">
        <v>8.0</v>
      </c>
      <c r="AB1373" s="109">
        <v>11.0</v>
      </c>
      <c r="AC1373" s="109">
        <v>0.0</v>
      </c>
      <c r="AD1373" s="141">
        <v>0.0</v>
      </c>
      <c r="AE1373" s="80">
        <v>19.0</v>
      </c>
      <c r="AF1373" s="140">
        <v>0.0</v>
      </c>
      <c r="AG1373" s="109">
        <v>0.0</v>
      </c>
      <c r="AH1373" s="109">
        <v>0.0</v>
      </c>
      <c r="AI1373" s="141">
        <v>0.0</v>
      </c>
      <c r="AJ1373" s="80">
        <v>0.0</v>
      </c>
      <c r="AK1373" s="140">
        <v>0.0</v>
      </c>
      <c r="AL1373" s="109">
        <v>0.0</v>
      </c>
      <c r="AM1373" s="141">
        <v>0.0</v>
      </c>
      <c r="AN1373" s="80">
        <v>0.0</v>
      </c>
      <c r="AO1373" s="140">
        <v>0.0</v>
      </c>
      <c r="AP1373" s="109">
        <v>0.0</v>
      </c>
      <c r="AQ1373" s="109">
        <v>0.0</v>
      </c>
      <c r="AR1373" s="80">
        <v>0.0</v>
      </c>
      <c r="AS1373" s="110">
        <v>0.0</v>
      </c>
      <c r="AT1373" s="110">
        <v>0.0</v>
      </c>
      <c r="AU1373" s="110">
        <v>0.0</v>
      </c>
      <c r="AV1373" s="142">
        <v>0.0</v>
      </c>
      <c r="AW1373" s="80">
        <v>0.0</v>
      </c>
      <c r="AX1373" s="113">
        <v>22.0</v>
      </c>
      <c r="AY1373" s="117">
        <v>22.0</v>
      </c>
      <c r="AZ1373" s="328">
        <v>0.0</v>
      </c>
      <c r="BA1373" s="315">
        <v>0.0</v>
      </c>
      <c r="BB1373" s="316">
        <v>22.0</v>
      </c>
      <c r="BC1373" s="143" t="s">
        <v>1294</v>
      </c>
      <c r="BD1373" s="132" t="s">
        <v>178</v>
      </c>
      <c r="BE1373" s="132" t="s">
        <v>178</v>
      </c>
      <c r="BF1373" s="123"/>
      <c r="BG1373" s="83">
        <v>1179203.0</v>
      </c>
      <c r="BH1373" s="112">
        <v>2.0</v>
      </c>
      <c r="BI1373" s="98" t="s">
        <v>155</v>
      </c>
      <c r="BJ1373" s="98" t="str">
        <f t="shared" si="1"/>
        <v>NÃO</v>
      </c>
      <c r="BK1373" s="98" t="str">
        <f t="shared" si="2"/>
        <v>NÃO</v>
      </c>
    </row>
    <row r="1374" ht="15.75" customHeight="1">
      <c r="A1374" s="111" t="s">
        <v>1629</v>
      </c>
      <c r="B1374" s="83" t="s">
        <v>2381</v>
      </c>
      <c r="C1374" s="83" t="s">
        <v>68</v>
      </c>
      <c r="D1374" s="83">
        <v>1179479.0</v>
      </c>
      <c r="E1374" s="83"/>
      <c r="F1374" s="83">
        <v>2.9739624E7</v>
      </c>
      <c r="G1374" s="114" t="s">
        <v>7582</v>
      </c>
      <c r="H1374" s="91" t="s">
        <v>7583</v>
      </c>
      <c r="I1374" s="187" t="s">
        <v>7584</v>
      </c>
      <c r="J1374" s="83" t="s">
        <v>464</v>
      </c>
      <c r="K1374" s="83" t="s">
        <v>151</v>
      </c>
      <c r="L1374" s="83" t="s">
        <v>169</v>
      </c>
      <c r="M1374" s="82" t="s">
        <v>11779</v>
      </c>
      <c r="N1374" s="82" t="s">
        <v>11780</v>
      </c>
      <c r="O1374" s="82"/>
      <c r="P1374" s="82"/>
      <c r="Q1374" s="82"/>
      <c r="R1374" s="82"/>
      <c r="S1374" s="82"/>
      <c r="T1374" s="138">
        <v>2.0</v>
      </c>
      <c r="U1374" s="323">
        <v>3.0</v>
      </c>
      <c r="V1374" s="106">
        <v>8.0</v>
      </c>
      <c r="W1374" s="107">
        <v>0.0</v>
      </c>
      <c r="X1374" s="107">
        <v>0.0</v>
      </c>
      <c r="Y1374" s="107">
        <v>0.0</v>
      </c>
      <c r="Z1374" s="80">
        <v>8.0</v>
      </c>
      <c r="AA1374" s="140">
        <v>13.0</v>
      </c>
      <c r="AB1374" s="109">
        <v>20.0</v>
      </c>
      <c r="AC1374" s="109">
        <v>0.0</v>
      </c>
      <c r="AD1374" s="141">
        <v>0.0</v>
      </c>
      <c r="AE1374" s="80">
        <v>33.0</v>
      </c>
      <c r="AF1374" s="140">
        <v>0.0</v>
      </c>
      <c r="AG1374" s="109">
        <v>0.0</v>
      </c>
      <c r="AH1374" s="109">
        <v>0.0</v>
      </c>
      <c r="AI1374" s="141">
        <v>0.0</v>
      </c>
      <c r="AJ1374" s="80">
        <v>0.0</v>
      </c>
      <c r="AK1374" s="140">
        <v>0.0</v>
      </c>
      <c r="AL1374" s="109">
        <v>0.0</v>
      </c>
      <c r="AM1374" s="141">
        <v>0.0</v>
      </c>
      <c r="AN1374" s="80">
        <v>0.0</v>
      </c>
      <c r="AO1374" s="140">
        <v>0.0</v>
      </c>
      <c r="AP1374" s="109">
        <v>0.0</v>
      </c>
      <c r="AQ1374" s="109">
        <v>0.0</v>
      </c>
      <c r="AR1374" s="80">
        <v>0.0</v>
      </c>
      <c r="AS1374" s="110">
        <v>0.0</v>
      </c>
      <c r="AT1374" s="110">
        <v>0.0</v>
      </c>
      <c r="AU1374" s="110">
        <v>0.0</v>
      </c>
      <c r="AV1374" s="142">
        <v>0.0</v>
      </c>
      <c r="AW1374" s="80">
        <v>0.0</v>
      </c>
      <c r="AX1374" s="113">
        <v>41.0</v>
      </c>
      <c r="AY1374" s="117">
        <v>41.0</v>
      </c>
      <c r="AZ1374" s="328">
        <v>0.0</v>
      </c>
      <c r="BA1374" s="315">
        <v>0.0</v>
      </c>
      <c r="BB1374" s="316">
        <v>41.0</v>
      </c>
      <c r="BC1374" s="143" t="s">
        <v>1294</v>
      </c>
      <c r="BD1374" s="132" t="s">
        <v>178</v>
      </c>
      <c r="BE1374" s="132" t="s">
        <v>178</v>
      </c>
      <c r="BF1374" s="123"/>
      <c r="BG1374" s="83">
        <v>1179479.0</v>
      </c>
      <c r="BH1374" s="112">
        <v>3.0</v>
      </c>
      <c r="BI1374" s="98" t="s">
        <v>155</v>
      </c>
      <c r="BJ1374" s="98" t="str">
        <f t="shared" si="1"/>
        <v>NÃO</v>
      </c>
      <c r="BK1374" s="98" t="str">
        <f t="shared" si="2"/>
        <v>NÃO</v>
      </c>
    </row>
    <row r="1375" ht="15.75" customHeight="1">
      <c r="A1375" s="111" t="s">
        <v>1629</v>
      </c>
      <c r="B1375" s="83" t="s">
        <v>2381</v>
      </c>
      <c r="C1375" s="83" t="s">
        <v>68</v>
      </c>
      <c r="D1375" s="83">
        <v>1138504.0</v>
      </c>
      <c r="E1375" s="83"/>
      <c r="F1375" s="83">
        <v>2.9034205E7</v>
      </c>
      <c r="G1375" s="114" t="s">
        <v>11781</v>
      </c>
      <c r="H1375" s="91" t="s">
        <v>7603</v>
      </c>
      <c r="I1375" s="187" t="s">
        <v>149</v>
      </c>
      <c r="J1375" s="83" t="s">
        <v>150</v>
      </c>
      <c r="K1375" s="83" t="s">
        <v>151</v>
      </c>
      <c r="L1375" s="83" t="s">
        <v>152</v>
      </c>
      <c r="M1375" s="82" t="s">
        <v>11782</v>
      </c>
      <c r="N1375" s="82" t="s">
        <v>11783</v>
      </c>
      <c r="O1375" s="82" t="s">
        <v>11784</v>
      </c>
      <c r="P1375" s="82" t="s">
        <v>11785</v>
      </c>
      <c r="Q1375" s="82" t="s">
        <v>11786</v>
      </c>
      <c r="R1375" s="82" t="s">
        <v>11787</v>
      </c>
      <c r="S1375" s="82" t="s">
        <v>11788</v>
      </c>
      <c r="T1375" s="138">
        <v>9.0</v>
      </c>
      <c r="U1375" s="323">
        <v>8.0</v>
      </c>
      <c r="V1375" s="106">
        <v>0.0</v>
      </c>
      <c r="W1375" s="107">
        <v>0.0</v>
      </c>
      <c r="X1375" s="107">
        <v>0.0</v>
      </c>
      <c r="Y1375" s="107">
        <v>0.0</v>
      </c>
      <c r="Z1375" s="80">
        <v>0.0</v>
      </c>
      <c r="AA1375" s="140">
        <v>0.0</v>
      </c>
      <c r="AB1375" s="109">
        <v>0.0</v>
      </c>
      <c r="AC1375" s="109">
        <v>0.0</v>
      </c>
      <c r="AD1375" s="141">
        <v>0.0</v>
      </c>
      <c r="AE1375" s="80">
        <v>0.0</v>
      </c>
      <c r="AF1375" s="140">
        <v>191.0</v>
      </c>
      <c r="AG1375" s="109">
        <v>306.0</v>
      </c>
      <c r="AH1375" s="109">
        <v>0.0</v>
      </c>
      <c r="AI1375" s="141">
        <v>96.0</v>
      </c>
      <c r="AJ1375" s="80">
        <v>593.0</v>
      </c>
      <c r="AK1375" s="140">
        <v>0.0</v>
      </c>
      <c r="AL1375" s="109">
        <v>0.0</v>
      </c>
      <c r="AM1375" s="141">
        <v>0.0</v>
      </c>
      <c r="AN1375" s="80">
        <v>0.0</v>
      </c>
      <c r="AO1375" s="140">
        <v>0.0</v>
      </c>
      <c r="AP1375" s="109">
        <v>0.0</v>
      </c>
      <c r="AQ1375" s="109">
        <v>50.0</v>
      </c>
      <c r="AR1375" s="80">
        <v>50.0</v>
      </c>
      <c r="AS1375" s="110">
        <v>0.0</v>
      </c>
      <c r="AT1375" s="110">
        <v>0.0</v>
      </c>
      <c r="AU1375" s="110">
        <v>0.0</v>
      </c>
      <c r="AV1375" s="142">
        <v>0.0</v>
      </c>
      <c r="AW1375" s="80">
        <v>0.0</v>
      </c>
      <c r="AX1375" s="113">
        <v>643.0</v>
      </c>
      <c r="AY1375" s="117">
        <v>593.0</v>
      </c>
      <c r="AZ1375" s="328">
        <v>50.0</v>
      </c>
      <c r="BA1375" s="315">
        <v>2.0</v>
      </c>
      <c r="BB1375" s="316">
        <v>645.0</v>
      </c>
      <c r="BC1375" s="132" t="s">
        <v>178</v>
      </c>
      <c r="BD1375" s="132" t="s">
        <v>178</v>
      </c>
      <c r="BE1375" s="132" t="s">
        <v>178</v>
      </c>
      <c r="BF1375" s="156"/>
      <c r="BG1375" s="83">
        <v>1138504.0</v>
      </c>
      <c r="BH1375" s="112">
        <v>8.0</v>
      </c>
      <c r="BI1375" s="98" t="s">
        <v>155</v>
      </c>
      <c r="BJ1375" s="98" t="str">
        <f t="shared" si="1"/>
        <v>INTEGRAL</v>
      </c>
      <c r="BK1375" s="98" t="str">
        <f t="shared" si="2"/>
        <v>NÃO</v>
      </c>
    </row>
    <row r="1376" ht="15.75" customHeight="1">
      <c r="A1376" s="111" t="s">
        <v>1629</v>
      </c>
      <c r="B1376" s="83" t="s">
        <v>2381</v>
      </c>
      <c r="C1376" s="83" t="s">
        <v>68</v>
      </c>
      <c r="D1376" s="83">
        <v>1179204.0</v>
      </c>
      <c r="E1376" s="83"/>
      <c r="F1376" s="83">
        <v>2.9366739E7</v>
      </c>
      <c r="G1376" s="114" t="s">
        <v>11789</v>
      </c>
      <c r="H1376" s="91" t="s">
        <v>7587</v>
      </c>
      <c r="I1376" s="187" t="s">
        <v>7588</v>
      </c>
      <c r="J1376" s="83" t="s">
        <v>923</v>
      </c>
      <c r="K1376" s="83" t="s">
        <v>151</v>
      </c>
      <c r="L1376" s="83" t="s">
        <v>169</v>
      </c>
      <c r="M1376" s="82" t="s">
        <v>11745</v>
      </c>
      <c r="N1376" s="82" t="s">
        <v>11746</v>
      </c>
      <c r="O1376" s="82"/>
      <c r="P1376" s="82"/>
      <c r="Q1376" s="82"/>
      <c r="R1376" s="82"/>
      <c r="S1376" s="82"/>
      <c r="T1376" s="138">
        <v>4.0</v>
      </c>
      <c r="U1376" s="323">
        <v>4.0</v>
      </c>
      <c r="V1376" s="106">
        <v>6.0</v>
      </c>
      <c r="W1376" s="107">
        <v>7.0</v>
      </c>
      <c r="X1376" s="107">
        <v>0.0</v>
      </c>
      <c r="Y1376" s="107">
        <v>0.0</v>
      </c>
      <c r="Z1376" s="80">
        <v>13.0</v>
      </c>
      <c r="AA1376" s="140">
        <v>24.0</v>
      </c>
      <c r="AB1376" s="109">
        <v>24.0</v>
      </c>
      <c r="AC1376" s="109">
        <v>0.0</v>
      </c>
      <c r="AD1376" s="141">
        <v>0.0</v>
      </c>
      <c r="AE1376" s="80">
        <v>48.0</v>
      </c>
      <c r="AF1376" s="140">
        <v>0.0</v>
      </c>
      <c r="AG1376" s="109">
        <v>0.0</v>
      </c>
      <c r="AH1376" s="109">
        <v>0.0</v>
      </c>
      <c r="AI1376" s="141">
        <v>0.0</v>
      </c>
      <c r="AJ1376" s="80">
        <v>0.0</v>
      </c>
      <c r="AK1376" s="140">
        <v>0.0</v>
      </c>
      <c r="AL1376" s="109">
        <v>0.0</v>
      </c>
      <c r="AM1376" s="141">
        <v>14.0</v>
      </c>
      <c r="AN1376" s="80">
        <v>14.0</v>
      </c>
      <c r="AO1376" s="140">
        <v>0.0</v>
      </c>
      <c r="AP1376" s="109">
        <v>0.0</v>
      </c>
      <c r="AQ1376" s="109">
        <v>2.0</v>
      </c>
      <c r="AR1376" s="80">
        <v>2.0</v>
      </c>
      <c r="AS1376" s="110">
        <v>0.0</v>
      </c>
      <c r="AT1376" s="110">
        <v>0.0</v>
      </c>
      <c r="AU1376" s="110">
        <v>0.0</v>
      </c>
      <c r="AV1376" s="142">
        <v>0.0</v>
      </c>
      <c r="AW1376" s="80">
        <v>0.0</v>
      </c>
      <c r="AX1376" s="113">
        <v>77.0</v>
      </c>
      <c r="AY1376" s="117">
        <v>61.0</v>
      </c>
      <c r="AZ1376" s="328">
        <v>16.0</v>
      </c>
      <c r="BA1376" s="315">
        <v>0.0</v>
      </c>
      <c r="BB1376" s="316">
        <v>77.0</v>
      </c>
      <c r="BC1376" s="143" t="s">
        <v>1294</v>
      </c>
      <c r="BD1376" s="132" t="s">
        <v>178</v>
      </c>
      <c r="BE1376" s="132" t="s">
        <v>178</v>
      </c>
      <c r="BF1376" s="156"/>
      <c r="BG1376" s="83">
        <v>1179204.0</v>
      </c>
      <c r="BH1376" s="112">
        <v>4.0</v>
      </c>
      <c r="BI1376" s="98" t="s">
        <v>155</v>
      </c>
      <c r="BJ1376" s="98" t="str">
        <f t="shared" si="1"/>
        <v>NÃO</v>
      </c>
      <c r="BK1376" s="98" t="str">
        <f t="shared" si="2"/>
        <v>NÃO</v>
      </c>
    </row>
    <row r="1377" ht="15.75" customHeight="1">
      <c r="A1377" s="111" t="s">
        <v>1629</v>
      </c>
      <c r="B1377" s="83" t="s">
        <v>2381</v>
      </c>
      <c r="C1377" s="83" t="s">
        <v>68</v>
      </c>
      <c r="D1377" s="83">
        <v>1179202.0</v>
      </c>
      <c r="E1377" s="83"/>
      <c r="F1377" s="83">
        <v>2.903395E7</v>
      </c>
      <c r="G1377" s="114" t="s">
        <v>11790</v>
      </c>
      <c r="H1377" s="91" t="s">
        <v>7592</v>
      </c>
      <c r="I1377" s="187" t="s">
        <v>7593</v>
      </c>
      <c r="J1377" s="83" t="s">
        <v>641</v>
      </c>
      <c r="K1377" s="83" t="s">
        <v>151</v>
      </c>
      <c r="L1377" s="83" t="s">
        <v>169</v>
      </c>
      <c r="M1377" s="82" t="s">
        <v>11791</v>
      </c>
      <c r="N1377" s="82" t="s">
        <v>11792</v>
      </c>
      <c r="O1377" s="82"/>
      <c r="P1377" s="82"/>
      <c r="Q1377" s="82"/>
      <c r="R1377" s="82"/>
      <c r="S1377" s="82"/>
      <c r="T1377" s="138">
        <v>3.0</v>
      </c>
      <c r="U1377" s="341">
        <v>3.0</v>
      </c>
      <c r="V1377" s="106">
        <v>10.0</v>
      </c>
      <c r="W1377" s="107">
        <v>0.0</v>
      </c>
      <c r="X1377" s="107">
        <v>0.0</v>
      </c>
      <c r="Y1377" s="107">
        <v>0.0</v>
      </c>
      <c r="Z1377" s="80">
        <v>10.0</v>
      </c>
      <c r="AA1377" s="140">
        <v>26.0</v>
      </c>
      <c r="AB1377" s="109">
        <v>12.0</v>
      </c>
      <c r="AC1377" s="109">
        <v>0.0</v>
      </c>
      <c r="AD1377" s="141">
        <v>0.0</v>
      </c>
      <c r="AE1377" s="80">
        <v>38.0</v>
      </c>
      <c r="AF1377" s="140">
        <v>0.0</v>
      </c>
      <c r="AG1377" s="109">
        <v>0.0</v>
      </c>
      <c r="AH1377" s="109">
        <v>0.0</v>
      </c>
      <c r="AI1377" s="141">
        <v>0.0</v>
      </c>
      <c r="AJ1377" s="80">
        <v>0.0</v>
      </c>
      <c r="AK1377" s="140">
        <v>0.0</v>
      </c>
      <c r="AL1377" s="109">
        <v>0.0</v>
      </c>
      <c r="AM1377" s="141">
        <v>0.0</v>
      </c>
      <c r="AN1377" s="80">
        <v>0.0</v>
      </c>
      <c r="AO1377" s="140">
        <v>0.0</v>
      </c>
      <c r="AP1377" s="109">
        <v>0.0</v>
      </c>
      <c r="AQ1377" s="109">
        <v>0.0</v>
      </c>
      <c r="AR1377" s="80">
        <v>0.0</v>
      </c>
      <c r="AS1377" s="110">
        <v>0.0</v>
      </c>
      <c r="AT1377" s="110">
        <v>0.0</v>
      </c>
      <c r="AU1377" s="110">
        <v>0.0</v>
      </c>
      <c r="AV1377" s="142">
        <v>0.0</v>
      </c>
      <c r="AW1377" s="80">
        <v>0.0</v>
      </c>
      <c r="AX1377" s="113">
        <v>48.0</v>
      </c>
      <c r="AY1377" s="117">
        <v>48.0</v>
      </c>
      <c r="AZ1377" s="328">
        <v>0.0</v>
      </c>
      <c r="BA1377" s="315">
        <v>0.0</v>
      </c>
      <c r="BB1377" s="316">
        <v>48.0</v>
      </c>
      <c r="BC1377" s="143" t="s">
        <v>1294</v>
      </c>
      <c r="BD1377" s="132" t="s">
        <v>178</v>
      </c>
      <c r="BE1377" s="132" t="s">
        <v>178</v>
      </c>
      <c r="BF1377" s="123"/>
      <c r="BG1377" s="83">
        <v>1179202.0</v>
      </c>
      <c r="BH1377" s="112">
        <v>3.0</v>
      </c>
      <c r="BI1377" s="98" t="s">
        <v>155</v>
      </c>
      <c r="BJ1377" s="98" t="str">
        <f t="shared" si="1"/>
        <v>NÃO</v>
      </c>
      <c r="BK1377" s="98" t="str">
        <f t="shared" si="2"/>
        <v>NÃO</v>
      </c>
    </row>
    <row r="1378" ht="15.75" customHeight="1">
      <c r="A1378" s="111" t="s">
        <v>1629</v>
      </c>
      <c r="B1378" s="83" t="s">
        <v>2381</v>
      </c>
      <c r="C1378" s="83" t="s">
        <v>68</v>
      </c>
      <c r="D1378" s="83">
        <v>1179123.0</v>
      </c>
      <c r="E1378" s="83"/>
      <c r="F1378" s="83">
        <v>2.9354536E7</v>
      </c>
      <c r="G1378" s="114" t="s">
        <v>11793</v>
      </c>
      <c r="H1378" s="91" t="s">
        <v>7597</v>
      </c>
      <c r="I1378" s="114" t="s">
        <v>7598</v>
      </c>
      <c r="J1378" s="83" t="s">
        <v>150</v>
      </c>
      <c r="K1378" s="83" t="s">
        <v>151</v>
      </c>
      <c r="L1378" s="83" t="s">
        <v>169</v>
      </c>
      <c r="M1378" s="82" t="s">
        <v>11794</v>
      </c>
      <c r="N1378" s="82" t="s">
        <v>11795</v>
      </c>
      <c r="O1378" s="82" t="s">
        <v>11796</v>
      </c>
      <c r="P1378" s="82" t="s">
        <v>11797</v>
      </c>
      <c r="Q1378" s="82"/>
      <c r="R1378" s="82"/>
      <c r="S1378" s="82"/>
      <c r="T1378" s="138">
        <v>7.0</v>
      </c>
      <c r="U1378" s="341">
        <v>7.0</v>
      </c>
      <c r="V1378" s="106">
        <v>35.0</v>
      </c>
      <c r="W1378" s="107">
        <v>0.0</v>
      </c>
      <c r="X1378" s="107">
        <v>0.0</v>
      </c>
      <c r="Y1378" s="107">
        <v>0.0</v>
      </c>
      <c r="Z1378" s="80">
        <v>35.0</v>
      </c>
      <c r="AA1378" s="140">
        <v>47.0</v>
      </c>
      <c r="AB1378" s="109">
        <v>109.0</v>
      </c>
      <c r="AC1378" s="109">
        <v>0.0</v>
      </c>
      <c r="AD1378" s="141">
        <v>0.0</v>
      </c>
      <c r="AE1378" s="80">
        <v>156.0</v>
      </c>
      <c r="AF1378" s="140">
        <v>0.0</v>
      </c>
      <c r="AG1378" s="109">
        <v>6.0</v>
      </c>
      <c r="AH1378" s="109">
        <v>7.0</v>
      </c>
      <c r="AI1378" s="141">
        <v>0.0</v>
      </c>
      <c r="AJ1378" s="80">
        <v>13.0</v>
      </c>
      <c r="AK1378" s="140">
        <v>0.0</v>
      </c>
      <c r="AL1378" s="109">
        <v>0.0</v>
      </c>
      <c r="AM1378" s="141">
        <v>23.0</v>
      </c>
      <c r="AN1378" s="80">
        <v>23.0</v>
      </c>
      <c r="AO1378" s="140">
        <v>0.0</v>
      </c>
      <c r="AP1378" s="109">
        <v>0.0</v>
      </c>
      <c r="AQ1378" s="109">
        <v>17.0</v>
      </c>
      <c r="AR1378" s="80">
        <v>17.0</v>
      </c>
      <c r="AS1378" s="110">
        <v>0.0</v>
      </c>
      <c r="AT1378" s="110">
        <v>0.0</v>
      </c>
      <c r="AU1378" s="110">
        <v>0.0</v>
      </c>
      <c r="AV1378" s="142">
        <v>0.0</v>
      </c>
      <c r="AW1378" s="80">
        <v>0.0</v>
      </c>
      <c r="AX1378" s="113">
        <v>244.0</v>
      </c>
      <c r="AY1378" s="117">
        <v>197.0</v>
      </c>
      <c r="AZ1378" s="328">
        <v>47.0</v>
      </c>
      <c r="BA1378" s="315">
        <v>0.0</v>
      </c>
      <c r="BB1378" s="316">
        <v>244.0</v>
      </c>
      <c r="BC1378" s="143" t="s">
        <v>1294</v>
      </c>
      <c r="BD1378" s="132" t="s">
        <v>178</v>
      </c>
      <c r="BE1378" s="132" t="s">
        <v>178</v>
      </c>
      <c r="BF1378" s="156"/>
      <c r="BG1378" s="83">
        <v>1179123.0</v>
      </c>
      <c r="BH1378" s="112">
        <v>7.0</v>
      </c>
      <c r="BI1378" s="98" t="s">
        <v>155</v>
      </c>
      <c r="BJ1378" s="98" t="str">
        <f t="shared" si="1"/>
        <v>NÃO</v>
      </c>
      <c r="BK1378" s="98" t="str">
        <f t="shared" si="2"/>
        <v>NÃO</v>
      </c>
    </row>
    <row r="1379" ht="15.75" customHeight="1">
      <c r="A1379" s="111" t="s">
        <v>1629</v>
      </c>
      <c r="B1379" s="83" t="s">
        <v>2381</v>
      </c>
      <c r="C1379" s="83" t="s">
        <v>164</v>
      </c>
      <c r="D1379" s="83">
        <v>1179203.0</v>
      </c>
      <c r="E1379" s="83">
        <v>1179593.0</v>
      </c>
      <c r="F1379" s="83"/>
      <c r="G1379" s="114" t="s">
        <v>2382</v>
      </c>
      <c r="H1379" s="91" t="s">
        <v>11798</v>
      </c>
      <c r="I1379" s="187" t="s">
        <v>11799</v>
      </c>
      <c r="J1379" s="83" t="s">
        <v>774</v>
      </c>
      <c r="K1379" s="83" t="s">
        <v>151</v>
      </c>
      <c r="L1379" s="83" t="s">
        <v>169</v>
      </c>
      <c r="M1379" s="82" t="s">
        <v>11777</v>
      </c>
      <c r="N1379" s="82" t="s">
        <v>11778</v>
      </c>
      <c r="O1379" s="82"/>
      <c r="P1379" s="82"/>
      <c r="Q1379" s="82"/>
      <c r="R1379" s="82"/>
      <c r="S1379" s="82"/>
      <c r="T1379" s="138">
        <v>3.0</v>
      </c>
      <c r="U1379" s="341">
        <v>2.0</v>
      </c>
      <c r="V1379" s="106">
        <v>7.0</v>
      </c>
      <c r="W1379" s="107">
        <v>0.0</v>
      </c>
      <c r="X1379" s="107">
        <v>0.0</v>
      </c>
      <c r="Y1379" s="107">
        <v>0.0</v>
      </c>
      <c r="Z1379" s="80">
        <v>7.0</v>
      </c>
      <c r="AA1379" s="140">
        <v>4.0</v>
      </c>
      <c r="AB1379" s="109">
        <v>2.0</v>
      </c>
      <c r="AC1379" s="109">
        <v>0.0</v>
      </c>
      <c r="AD1379" s="141">
        <v>0.0</v>
      </c>
      <c r="AE1379" s="80">
        <v>6.0</v>
      </c>
      <c r="AF1379" s="140">
        <v>0.0</v>
      </c>
      <c r="AG1379" s="109">
        <v>0.0</v>
      </c>
      <c r="AH1379" s="109">
        <v>0.0</v>
      </c>
      <c r="AI1379" s="141">
        <v>0.0</v>
      </c>
      <c r="AJ1379" s="80">
        <v>0.0</v>
      </c>
      <c r="AK1379" s="140">
        <v>0.0</v>
      </c>
      <c r="AL1379" s="109">
        <v>0.0</v>
      </c>
      <c r="AM1379" s="141">
        <v>2.0</v>
      </c>
      <c r="AN1379" s="80">
        <v>2.0</v>
      </c>
      <c r="AO1379" s="140">
        <v>0.0</v>
      </c>
      <c r="AP1379" s="109">
        <v>0.0</v>
      </c>
      <c r="AQ1379" s="109">
        <v>7.0</v>
      </c>
      <c r="AR1379" s="80">
        <v>7.0</v>
      </c>
      <c r="AS1379" s="110">
        <v>0.0</v>
      </c>
      <c r="AT1379" s="110">
        <v>0.0</v>
      </c>
      <c r="AU1379" s="110">
        <v>0.0</v>
      </c>
      <c r="AV1379" s="142">
        <v>0.0</v>
      </c>
      <c r="AW1379" s="80">
        <v>0.0</v>
      </c>
      <c r="AX1379" s="113">
        <v>22.0</v>
      </c>
      <c r="AY1379" s="117">
        <v>13.0</v>
      </c>
      <c r="AZ1379" s="328">
        <v>9.0</v>
      </c>
      <c r="BA1379" s="315">
        <v>0.0</v>
      </c>
      <c r="BB1379" s="316">
        <v>22.0</v>
      </c>
      <c r="BC1379" s="143" t="s">
        <v>1294</v>
      </c>
      <c r="BD1379" s="132" t="s">
        <v>178</v>
      </c>
      <c r="BE1379" s="132" t="s">
        <v>178</v>
      </c>
      <c r="BF1379" s="156"/>
      <c r="BG1379" s="83">
        <v>1179593.0</v>
      </c>
      <c r="BH1379" s="112">
        <v>2.0</v>
      </c>
      <c r="BI1379" s="98" t="s">
        <v>155</v>
      </c>
      <c r="BJ1379" s="98" t="str">
        <f t="shared" si="1"/>
        <v>NÃO</v>
      </c>
      <c r="BK1379" s="98" t="str">
        <f t="shared" si="2"/>
        <v>NÃO</v>
      </c>
    </row>
    <row r="1380" ht="15.75" customHeight="1">
      <c r="A1380" s="111" t="s">
        <v>1629</v>
      </c>
      <c r="B1380" s="83" t="s">
        <v>2381</v>
      </c>
      <c r="C1380" s="83" t="s">
        <v>164</v>
      </c>
      <c r="D1380" s="83">
        <v>1179123.0</v>
      </c>
      <c r="E1380" s="83">
        <v>1179125.0</v>
      </c>
      <c r="F1380" s="83"/>
      <c r="G1380" s="114" t="s">
        <v>7605</v>
      </c>
      <c r="H1380" s="91" t="s">
        <v>7606</v>
      </c>
      <c r="I1380" s="114" t="s">
        <v>7607</v>
      </c>
      <c r="J1380" s="83" t="s">
        <v>865</v>
      </c>
      <c r="K1380" s="83" t="s">
        <v>151</v>
      </c>
      <c r="L1380" s="83" t="s">
        <v>169</v>
      </c>
      <c r="M1380" s="82" t="s">
        <v>11794</v>
      </c>
      <c r="N1380" s="82" t="s">
        <v>11795</v>
      </c>
      <c r="O1380" s="82" t="s">
        <v>11796</v>
      </c>
      <c r="P1380" s="82" t="s">
        <v>11797</v>
      </c>
      <c r="Q1380" s="82"/>
      <c r="R1380" s="82"/>
      <c r="S1380" s="82"/>
      <c r="T1380" s="138">
        <v>3.0</v>
      </c>
      <c r="U1380" s="341">
        <v>2.0</v>
      </c>
      <c r="V1380" s="106">
        <v>6.0</v>
      </c>
      <c r="W1380" s="107">
        <v>0.0</v>
      </c>
      <c r="X1380" s="107">
        <v>0.0</v>
      </c>
      <c r="Y1380" s="107">
        <v>0.0</v>
      </c>
      <c r="Z1380" s="80">
        <v>6.0</v>
      </c>
      <c r="AA1380" s="140">
        <v>18.0</v>
      </c>
      <c r="AB1380" s="109">
        <v>13.0</v>
      </c>
      <c r="AC1380" s="109">
        <v>0.0</v>
      </c>
      <c r="AD1380" s="141">
        <v>0.0</v>
      </c>
      <c r="AE1380" s="80">
        <v>31.0</v>
      </c>
      <c r="AF1380" s="140">
        <v>0.0</v>
      </c>
      <c r="AG1380" s="109">
        <v>0.0</v>
      </c>
      <c r="AH1380" s="109">
        <v>0.0</v>
      </c>
      <c r="AI1380" s="141">
        <v>0.0</v>
      </c>
      <c r="AJ1380" s="80">
        <v>0.0</v>
      </c>
      <c r="AK1380" s="140">
        <v>0.0</v>
      </c>
      <c r="AL1380" s="109">
        <v>0.0</v>
      </c>
      <c r="AM1380" s="141">
        <v>0.0</v>
      </c>
      <c r="AN1380" s="80">
        <v>0.0</v>
      </c>
      <c r="AO1380" s="140">
        <v>0.0</v>
      </c>
      <c r="AP1380" s="109">
        <v>0.0</v>
      </c>
      <c r="AQ1380" s="109">
        <v>0.0</v>
      </c>
      <c r="AR1380" s="80">
        <v>0.0</v>
      </c>
      <c r="AS1380" s="110">
        <v>0.0</v>
      </c>
      <c r="AT1380" s="110">
        <v>0.0</v>
      </c>
      <c r="AU1380" s="110">
        <v>0.0</v>
      </c>
      <c r="AV1380" s="142">
        <v>0.0</v>
      </c>
      <c r="AW1380" s="80">
        <v>0.0</v>
      </c>
      <c r="AX1380" s="113">
        <v>37.0</v>
      </c>
      <c r="AY1380" s="117">
        <v>37.0</v>
      </c>
      <c r="AZ1380" s="328">
        <v>0.0</v>
      </c>
      <c r="BA1380" s="315">
        <v>0.0</v>
      </c>
      <c r="BB1380" s="316">
        <v>37.0</v>
      </c>
      <c r="BC1380" s="143" t="s">
        <v>1294</v>
      </c>
      <c r="BD1380" s="132" t="s">
        <v>178</v>
      </c>
      <c r="BE1380" s="132" t="s">
        <v>178</v>
      </c>
      <c r="BF1380" s="123"/>
      <c r="BG1380" s="83">
        <v>1179125.0</v>
      </c>
      <c r="BH1380" s="112">
        <v>2.0</v>
      </c>
      <c r="BI1380" s="98" t="s">
        <v>155</v>
      </c>
      <c r="BJ1380" s="98" t="str">
        <f t="shared" si="1"/>
        <v>NÃO</v>
      </c>
      <c r="BK1380" s="98" t="str">
        <f t="shared" si="2"/>
        <v>NÃO</v>
      </c>
    </row>
    <row r="1381" ht="15.75" customHeight="1">
      <c r="A1381" s="111" t="s">
        <v>1629</v>
      </c>
      <c r="B1381" s="83" t="s">
        <v>2381</v>
      </c>
      <c r="C1381" s="83" t="s">
        <v>164</v>
      </c>
      <c r="D1381" s="83">
        <v>1179123.0</v>
      </c>
      <c r="E1381" s="83">
        <v>1179124.0</v>
      </c>
      <c r="F1381" s="83"/>
      <c r="G1381" s="114" t="s">
        <v>7608</v>
      </c>
      <c r="H1381" s="91" t="s">
        <v>7609</v>
      </c>
      <c r="I1381" s="114" t="s">
        <v>7610</v>
      </c>
      <c r="J1381" s="83" t="s">
        <v>865</v>
      </c>
      <c r="K1381" s="83" t="s">
        <v>151</v>
      </c>
      <c r="L1381" s="83" t="s">
        <v>169</v>
      </c>
      <c r="M1381" s="82" t="s">
        <v>11794</v>
      </c>
      <c r="N1381" s="82" t="s">
        <v>11795</v>
      </c>
      <c r="O1381" s="82" t="s">
        <v>11796</v>
      </c>
      <c r="P1381" s="82" t="s">
        <v>11797</v>
      </c>
      <c r="Q1381" s="82"/>
      <c r="R1381" s="82"/>
      <c r="S1381" s="82"/>
      <c r="T1381" s="138">
        <v>1.0</v>
      </c>
      <c r="U1381" s="341">
        <v>1.0</v>
      </c>
      <c r="V1381" s="106">
        <v>5.0</v>
      </c>
      <c r="W1381" s="107">
        <v>0.0</v>
      </c>
      <c r="X1381" s="107">
        <v>0.0</v>
      </c>
      <c r="Y1381" s="107">
        <v>0.0</v>
      </c>
      <c r="Z1381" s="80">
        <v>5.0</v>
      </c>
      <c r="AA1381" s="140">
        <v>4.0</v>
      </c>
      <c r="AB1381" s="109">
        <v>0.0</v>
      </c>
      <c r="AC1381" s="109">
        <v>0.0</v>
      </c>
      <c r="AD1381" s="141">
        <v>0.0</v>
      </c>
      <c r="AE1381" s="80">
        <v>4.0</v>
      </c>
      <c r="AF1381" s="140">
        <v>0.0</v>
      </c>
      <c r="AG1381" s="109">
        <v>0.0</v>
      </c>
      <c r="AH1381" s="109">
        <v>0.0</v>
      </c>
      <c r="AI1381" s="141">
        <v>0.0</v>
      </c>
      <c r="AJ1381" s="80">
        <v>0.0</v>
      </c>
      <c r="AK1381" s="140">
        <v>0.0</v>
      </c>
      <c r="AL1381" s="109">
        <v>0.0</v>
      </c>
      <c r="AM1381" s="141">
        <v>0.0</v>
      </c>
      <c r="AN1381" s="80">
        <v>0.0</v>
      </c>
      <c r="AO1381" s="140">
        <v>0.0</v>
      </c>
      <c r="AP1381" s="109">
        <v>0.0</v>
      </c>
      <c r="AQ1381" s="109">
        <v>0.0</v>
      </c>
      <c r="AR1381" s="80">
        <v>0.0</v>
      </c>
      <c r="AS1381" s="110">
        <v>0.0</v>
      </c>
      <c r="AT1381" s="110">
        <v>0.0</v>
      </c>
      <c r="AU1381" s="110">
        <v>0.0</v>
      </c>
      <c r="AV1381" s="142">
        <v>0.0</v>
      </c>
      <c r="AW1381" s="80">
        <v>0.0</v>
      </c>
      <c r="AX1381" s="113">
        <v>9.0</v>
      </c>
      <c r="AY1381" s="117">
        <v>9.0</v>
      </c>
      <c r="AZ1381" s="328">
        <v>0.0</v>
      </c>
      <c r="BA1381" s="315">
        <v>0.0</v>
      </c>
      <c r="BB1381" s="316">
        <v>9.0</v>
      </c>
      <c r="BC1381" s="143" t="s">
        <v>1294</v>
      </c>
      <c r="BD1381" s="132" t="s">
        <v>178</v>
      </c>
      <c r="BE1381" s="132" t="s">
        <v>178</v>
      </c>
      <c r="BF1381" s="123"/>
      <c r="BG1381" s="83">
        <v>1179124.0</v>
      </c>
      <c r="BH1381" s="112">
        <v>1.0</v>
      </c>
      <c r="BI1381" s="98" t="s">
        <v>155</v>
      </c>
      <c r="BJ1381" s="98" t="str">
        <f t="shared" si="1"/>
        <v>NÃO</v>
      </c>
      <c r="BK1381" s="98" t="str">
        <f t="shared" si="2"/>
        <v>NÃO</v>
      </c>
    </row>
    <row r="1382" ht="15.75" customHeight="1">
      <c r="A1382" s="111" t="s">
        <v>1629</v>
      </c>
      <c r="B1382" s="83" t="s">
        <v>7612</v>
      </c>
      <c r="C1382" s="83" t="s">
        <v>68</v>
      </c>
      <c r="D1382" s="83">
        <v>1114265.0</v>
      </c>
      <c r="E1382" s="83"/>
      <c r="F1382" s="83">
        <v>2.903428E7</v>
      </c>
      <c r="G1382" s="114" t="s">
        <v>11801</v>
      </c>
      <c r="H1382" s="91" t="s">
        <v>11802</v>
      </c>
      <c r="I1382" s="187" t="s">
        <v>149</v>
      </c>
      <c r="J1382" s="83" t="s">
        <v>150</v>
      </c>
      <c r="K1382" s="83" t="s">
        <v>151</v>
      </c>
      <c r="L1382" s="83" t="s">
        <v>169</v>
      </c>
      <c r="M1382" s="82" t="s">
        <v>11803</v>
      </c>
      <c r="N1382" s="82" t="s">
        <v>11804</v>
      </c>
      <c r="O1382" s="82" t="s">
        <v>11805</v>
      </c>
      <c r="P1382" s="82" t="s">
        <v>11806</v>
      </c>
      <c r="Q1382" s="82"/>
      <c r="R1382" s="82"/>
      <c r="S1382" s="82" t="s">
        <v>11807</v>
      </c>
      <c r="T1382" s="138">
        <v>6.0</v>
      </c>
      <c r="U1382" s="341">
        <v>6.0</v>
      </c>
      <c r="V1382" s="106">
        <v>0.0</v>
      </c>
      <c r="W1382" s="107">
        <v>0.0</v>
      </c>
      <c r="X1382" s="107">
        <v>0.0</v>
      </c>
      <c r="Y1382" s="107">
        <v>0.0</v>
      </c>
      <c r="Z1382" s="80">
        <v>0.0</v>
      </c>
      <c r="AA1382" s="140">
        <v>0.0</v>
      </c>
      <c r="AB1382" s="109">
        <v>0.0</v>
      </c>
      <c r="AC1382" s="109">
        <v>0.0</v>
      </c>
      <c r="AD1382" s="141">
        <v>0.0</v>
      </c>
      <c r="AE1382" s="80">
        <v>0.0</v>
      </c>
      <c r="AF1382" s="140">
        <v>53.0</v>
      </c>
      <c r="AG1382" s="109">
        <v>24.0</v>
      </c>
      <c r="AH1382" s="109">
        <v>0.0</v>
      </c>
      <c r="AI1382" s="141">
        <v>87.0</v>
      </c>
      <c r="AJ1382" s="80">
        <v>164.0</v>
      </c>
      <c r="AK1382" s="140">
        <v>0.0</v>
      </c>
      <c r="AL1382" s="109">
        <v>0.0</v>
      </c>
      <c r="AM1382" s="141">
        <v>0.0</v>
      </c>
      <c r="AN1382" s="80">
        <v>0.0</v>
      </c>
      <c r="AO1382" s="140">
        <v>0.0</v>
      </c>
      <c r="AP1382" s="109">
        <v>0.0</v>
      </c>
      <c r="AQ1382" s="109">
        <v>27.0</v>
      </c>
      <c r="AR1382" s="80">
        <v>27.0</v>
      </c>
      <c r="AS1382" s="110">
        <v>0.0</v>
      </c>
      <c r="AT1382" s="110">
        <v>0.0</v>
      </c>
      <c r="AU1382" s="110">
        <v>0.0</v>
      </c>
      <c r="AV1382" s="142">
        <v>0.0</v>
      </c>
      <c r="AW1382" s="80">
        <v>0.0</v>
      </c>
      <c r="AX1382" s="113">
        <v>191.0</v>
      </c>
      <c r="AY1382" s="117">
        <v>164.0</v>
      </c>
      <c r="AZ1382" s="328">
        <v>27.0</v>
      </c>
      <c r="BA1382" s="315">
        <v>2.0</v>
      </c>
      <c r="BB1382" s="316">
        <v>193.0</v>
      </c>
      <c r="BC1382" s="132" t="s">
        <v>178</v>
      </c>
      <c r="BD1382" s="132" t="s">
        <v>178</v>
      </c>
      <c r="BE1382" s="132" t="s">
        <v>178</v>
      </c>
      <c r="BF1382" s="123"/>
      <c r="BG1382" s="83">
        <v>1114265.0</v>
      </c>
      <c r="BH1382" s="112">
        <v>6.0</v>
      </c>
      <c r="BI1382" s="98" t="s">
        <v>155</v>
      </c>
      <c r="BJ1382" s="98" t="str">
        <f t="shared" si="1"/>
        <v>INTEGRAL</v>
      </c>
      <c r="BK1382" s="98" t="str">
        <f t="shared" si="2"/>
        <v>NÃO</v>
      </c>
    </row>
    <row r="1383" ht="15.75" customHeight="1">
      <c r="A1383" s="111" t="s">
        <v>1629</v>
      </c>
      <c r="B1383" s="83" t="s">
        <v>7612</v>
      </c>
      <c r="C1383" s="83" t="s">
        <v>164</v>
      </c>
      <c r="D1383" s="83">
        <v>1114265.0</v>
      </c>
      <c r="E1383" s="83">
        <v>1178582.0</v>
      </c>
      <c r="F1383" s="83"/>
      <c r="G1383" s="114" t="s">
        <v>11808</v>
      </c>
      <c r="H1383" s="91" t="s">
        <v>7618</v>
      </c>
      <c r="I1383" s="114" t="s">
        <v>149</v>
      </c>
      <c r="J1383" s="83" t="s">
        <v>865</v>
      </c>
      <c r="K1383" s="83" t="s">
        <v>168</v>
      </c>
      <c r="L1383" s="83" t="s">
        <v>169</v>
      </c>
      <c r="M1383" s="82" t="s">
        <v>11803</v>
      </c>
      <c r="N1383" s="82" t="s">
        <v>11804</v>
      </c>
      <c r="O1383" s="82" t="s">
        <v>11805</v>
      </c>
      <c r="P1383" s="82" t="s">
        <v>11806</v>
      </c>
      <c r="Q1383" s="82"/>
      <c r="R1383" s="82"/>
      <c r="S1383" s="82" t="s">
        <v>11807</v>
      </c>
      <c r="T1383" s="138">
        <v>3.0</v>
      </c>
      <c r="U1383" s="341">
        <v>3.0</v>
      </c>
      <c r="V1383" s="106">
        <v>0.0</v>
      </c>
      <c r="W1383" s="107">
        <v>0.0</v>
      </c>
      <c r="X1383" s="107">
        <v>0.0</v>
      </c>
      <c r="Y1383" s="107">
        <v>0.0</v>
      </c>
      <c r="Z1383" s="80">
        <v>0.0</v>
      </c>
      <c r="AA1383" s="140">
        <v>0.0</v>
      </c>
      <c r="AB1383" s="109">
        <v>0.0</v>
      </c>
      <c r="AC1383" s="109">
        <v>0.0</v>
      </c>
      <c r="AD1383" s="141">
        <v>0.0</v>
      </c>
      <c r="AE1383" s="80">
        <v>0.0</v>
      </c>
      <c r="AF1383" s="140">
        <v>0.0</v>
      </c>
      <c r="AG1383" s="109">
        <v>29.0</v>
      </c>
      <c r="AH1383" s="109">
        <v>0.0</v>
      </c>
      <c r="AI1383" s="141">
        <v>0.0</v>
      </c>
      <c r="AJ1383" s="80">
        <v>29.0</v>
      </c>
      <c r="AK1383" s="140">
        <v>0.0</v>
      </c>
      <c r="AL1383" s="109">
        <v>0.0</v>
      </c>
      <c r="AM1383" s="141">
        <v>0.0</v>
      </c>
      <c r="AN1383" s="80">
        <v>0.0</v>
      </c>
      <c r="AO1383" s="140">
        <v>0.0</v>
      </c>
      <c r="AP1383" s="109">
        <v>0.0</v>
      </c>
      <c r="AQ1383" s="109">
        <v>0.0</v>
      </c>
      <c r="AR1383" s="80">
        <v>0.0</v>
      </c>
      <c r="AS1383" s="110">
        <v>0.0</v>
      </c>
      <c r="AT1383" s="110">
        <v>0.0</v>
      </c>
      <c r="AU1383" s="110">
        <v>0.0</v>
      </c>
      <c r="AV1383" s="142">
        <v>0.0</v>
      </c>
      <c r="AW1383" s="80">
        <v>0.0</v>
      </c>
      <c r="AX1383" s="113">
        <v>29.0</v>
      </c>
      <c r="AY1383" s="117">
        <v>29.0</v>
      </c>
      <c r="AZ1383" s="328">
        <v>0.0</v>
      </c>
      <c r="BA1383" s="315">
        <v>0.0</v>
      </c>
      <c r="BB1383" s="316">
        <v>29.0</v>
      </c>
      <c r="BC1383" s="132" t="s">
        <v>373</v>
      </c>
      <c r="BD1383" s="132" t="s">
        <v>178</v>
      </c>
      <c r="BE1383" s="132" t="s">
        <v>178</v>
      </c>
      <c r="BF1383" s="156"/>
      <c r="BG1383" s="83">
        <v>1178582.0</v>
      </c>
      <c r="BH1383" s="112">
        <v>3.0</v>
      </c>
      <c r="BI1383" s="98" t="s">
        <v>155</v>
      </c>
      <c r="BJ1383" s="98" t="str">
        <f t="shared" si="1"/>
        <v>NÃO</v>
      </c>
      <c r="BK1383" s="98" t="str">
        <f t="shared" si="2"/>
        <v>NÃO</v>
      </c>
    </row>
    <row r="1384" ht="15.75" customHeight="1">
      <c r="A1384" s="111" t="s">
        <v>1629</v>
      </c>
      <c r="B1384" s="83" t="s">
        <v>7612</v>
      </c>
      <c r="C1384" s="83" t="s">
        <v>164</v>
      </c>
      <c r="D1384" s="83">
        <v>1114265.0</v>
      </c>
      <c r="E1384" s="83">
        <v>1179213.0</v>
      </c>
      <c r="F1384" s="83"/>
      <c r="G1384" s="114" t="s">
        <v>11810</v>
      </c>
      <c r="H1384" s="91" t="s">
        <v>7620</v>
      </c>
      <c r="I1384" s="187" t="s">
        <v>149</v>
      </c>
      <c r="J1384" s="83" t="s">
        <v>183</v>
      </c>
      <c r="K1384" s="83" t="s">
        <v>168</v>
      </c>
      <c r="L1384" s="83" t="s">
        <v>169</v>
      </c>
      <c r="M1384" s="82" t="s">
        <v>11803</v>
      </c>
      <c r="N1384" s="82" t="s">
        <v>11804</v>
      </c>
      <c r="O1384" s="82" t="s">
        <v>11805</v>
      </c>
      <c r="P1384" s="82" t="s">
        <v>11806</v>
      </c>
      <c r="Q1384" s="82"/>
      <c r="R1384" s="82"/>
      <c r="S1384" s="82" t="s">
        <v>11807</v>
      </c>
      <c r="T1384" s="138">
        <v>3.0</v>
      </c>
      <c r="U1384" s="341">
        <v>3.0</v>
      </c>
      <c r="V1384" s="106">
        <v>0.0</v>
      </c>
      <c r="W1384" s="107">
        <v>0.0</v>
      </c>
      <c r="X1384" s="107">
        <v>0.0</v>
      </c>
      <c r="Y1384" s="107">
        <v>0.0</v>
      </c>
      <c r="Z1384" s="80">
        <v>0.0</v>
      </c>
      <c r="AA1384" s="140">
        <v>0.0</v>
      </c>
      <c r="AB1384" s="109">
        <v>0.0</v>
      </c>
      <c r="AC1384" s="109">
        <v>0.0</v>
      </c>
      <c r="AD1384" s="141">
        <v>0.0</v>
      </c>
      <c r="AE1384" s="80">
        <v>0.0</v>
      </c>
      <c r="AF1384" s="140">
        <v>0.0</v>
      </c>
      <c r="AG1384" s="109">
        <v>53.0</v>
      </c>
      <c r="AH1384" s="109">
        <v>0.0</v>
      </c>
      <c r="AI1384" s="141">
        <v>0.0</v>
      </c>
      <c r="AJ1384" s="80">
        <v>53.0</v>
      </c>
      <c r="AK1384" s="140">
        <v>0.0</v>
      </c>
      <c r="AL1384" s="109">
        <v>0.0</v>
      </c>
      <c r="AM1384" s="141">
        <v>0.0</v>
      </c>
      <c r="AN1384" s="80">
        <v>0.0</v>
      </c>
      <c r="AO1384" s="140">
        <v>0.0</v>
      </c>
      <c r="AP1384" s="109">
        <v>0.0</v>
      </c>
      <c r="AQ1384" s="109">
        <v>0.0</v>
      </c>
      <c r="AR1384" s="80">
        <v>0.0</v>
      </c>
      <c r="AS1384" s="110">
        <v>0.0</v>
      </c>
      <c r="AT1384" s="110">
        <v>0.0</v>
      </c>
      <c r="AU1384" s="110">
        <v>0.0</v>
      </c>
      <c r="AV1384" s="142">
        <v>0.0</v>
      </c>
      <c r="AW1384" s="80">
        <v>0.0</v>
      </c>
      <c r="AX1384" s="113">
        <v>53.0</v>
      </c>
      <c r="AY1384" s="117">
        <v>53.0</v>
      </c>
      <c r="AZ1384" s="328">
        <v>0.0</v>
      </c>
      <c r="BA1384" s="315">
        <v>0.0</v>
      </c>
      <c r="BB1384" s="316">
        <v>53.0</v>
      </c>
      <c r="BC1384" s="132" t="s">
        <v>373</v>
      </c>
      <c r="BD1384" s="132" t="s">
        <v>178</v>
      </c>
      <c r="BE1384" s="132" t="s">
        <v>178</v>
      </c>
      <c r="BF1384" s="123"/>
      <c r="BG1384" s="83">
        <v>1179213.0</v>
      </c>
      <c r="BH1384" s="112">
        <v>3.0</v>
      </c>
      <c r="BI1384" s="98" t="s">
        <v>155</v>
      </c>
      <c r="BJ1384" s="98" t="str">
        <f t="shared" si="1"/>
        <v>NÃO</v>
      </c>
      <c r="BK1384" s="98" t="str">
        <f t="shared" si="2"/>
        <v>NÃO</v>
      </c>
    </row>
    <row r="1385" ht="15.75" customHeight="1">
      <c r="A1385" s="111" t="s">
        <v>1629</v>
      </c>
      <c r="B1385" s="83" t="s">
        <v>7612</v>
      </c>
      <c r="C1385" s="83" t="s">
        <v>164</v>
      </c>
      <c r="D1385" s="83">
        <v>1114265.0</v>
      </c>
      <c r="E1385" s="83">
        <v>1178584.0</v>
      </c>
      <c r="F1385" s="83"/>
      <c r="G1385" s="114" t="s">
        <v>11811</v>
      </c>
      <c r="H1385" s="91" t="s">
        <v>1778</v>
      </c>
      <c r="I1385" s="114" t="s">
        <v>149</v>
      </c>
      <c r="J1385" s="83" t="s">
        <v>865</v>
      </c>
      <c r="K1385" s="83" t="s">
        <v>168</v>
      </c>
      <c r="L1385" s="83" t="s">
        <v>169</v>
      </c>
      <c r="M1385" s="82" t="s">
        <v>11803</v>
      </c>
      <c r="N1385" s="82" t="s">
        <v>11804</v>
      </c>
      <c r="O1385" s="82" t="s">
        <v>11805</v>
      </c>
      <c r="P1385" s="82" t="s">
        <v>11806</v>
      </c>
      <c r="Q1385" s="82"/>
      <c r="R1385" s="82"/>
      <c r="S1385" s="82" t="s">
        <v>11807</v>
      </c>
      <c r="T1385" s="138">
        <v>3.0</v>
      </c>
      <c r="U1385" s="341">
        <v>3.0</v>
      </c>
      <c r="V1385" s="106">
        <v>0.0</v>
      </c>
      <c r="W1385" s="107">
        <v>0.0</v>
      </c>
      <c r="X1385" s="107">
        <v>0.0</v>
      </c>
      <c r="Y1385" s="107">
        <v>0.0</v>
      </c>
      <c r="Z1385" s="80">
        <v>0.0</v>
      </c>
      <c r="AA1385" s="140">
        <v>0.0</v>
      </c>
      <c r="AB1385" s="109">
        <v>0.0</v>
      </c>
      <c r="AC1385" s="109">
        <v>0.0</v>
      </c>
      <c r="AD1385" s="141">
        <v>0.0</v>
      </c>
      <c r="AE1385" s="80">
        <v>0.0</v>
      </c>
      <c r="AF1385" s="140">
        <v>0.0</v>
      </c>
      <c r="AG1385" s="109">
        <v>37.0</v>
      </c>
      <c r="AH1385" s="109">
        <v>0.0</v>
      </c>
      <c r="AI1385" s="141">
        <v>0.0</v>
      </c>
      <c r="AJ1385" s="80">
        <v>37.0</v>
      </c>
      <c r="AK1385" s="140">
        <v>0.0</v>
      </c>
      <c r="AL1385" s="109">
        <v>0.0</v>
      </c>
      <c r="AM1385" s="141">
        <v>0.0</v>
      </c>
      <c r="AN1385" s="80">
        <v>0.0</v>
      </c>
      <c r="AO1385" s="140">
        <v>0.0</v>
      </c>
      <c r="AP1385" s="109">
        <v>0.0</v>
      </c>
      <c r="AQ1385" s="109">
        <v>0.0</v>
      </c>
      <c r="AR1385" s="80">
        <v>0.0</v>
      </c>
      <c r="AS1385" s="110">
        <v>0.0</v>
      </c>
      <c r="AT1385" s="110">
        <v>0.0</v>
      </c>
      <c r="AU1385" s="110">
        <v>0.0</v>
      </c>
      <c r="AV1385" s="142">
        <v>0.0</v>
      </c>
      <c r="AW1385" s="80">
        <v>0.0</v>
      </c>
      <c r="AX1385" s="113">
        <v>37.0</v>
      </c>
      <c r="AY1385" s="117">
        <v>37.0</v>
      </c>
      <c r="AZ1385" s="328">
        <v>0.0</v>
      </c>
      <c r="BA1385" s="315">
        <v>0.0</v>
      </c>
      <c r="BB1385" s="316">
        <v>37.0</v>
      </c>
      <c r="BC1385" s="132" t="s">
        <v>373</v>
      </c>
      <c r="BD1385" s="132" t="s">
        <v>178</v>
      </c>
      <c r="BE1385" s="132" t="s">
        <v>178</v>
      </c>
      <c r="BF1385" s="123"/>
      <c r="BG1385" s="83">
        <v>1178584.0</v>
      </c>
      <c r="BH1385" s="112">
        <v>3.0</v>
      </c>
      <c r="BI1385" s="98" t="s">
        <v>155</v>
      </c>
      <c r="BJ1385" s="98" t="str">
        <f t="shared" si="1"/>
        <v>NÃO</v>
      </c>
      <c r="BK1385" s="98" t="str">
        <f t="shared" si="2"/>
        <v>NÃO</v>
      </c>
    </row>
    <row r="1386" ht="15.75" customHeight="1">
      <c r="A1386" s="111" t="s">
        <v>1629</v>
      </c>
      <c r="B1386" s="136" t="s">
        <v>7612</v>
      </c>
      <c r="C1386" s="136" t="s">
        <v>164</v>
      </c>
      <c r="D1386" s="136">
        <v>1114265.0</v>
      </c>
      <c r="E1386" s="136">
        <v>1178583.0</v>
      </c>
      <c r="F1386" s="136"/>
      <c r="G1386" s="241" t="s">
        <v>11812</v>
      </c>
      <c r="H1386" s="91" t="s">
        <v>7624</v>
      </c>
      <c r="I1386" s="114" t="s">
        <v>149</v>
      </c>
      <c r="J1386" s="83" t="s">
        <v>865</v>
      </c>
      <c r="K1386" s="83" t="s">
        <v>168</v>
      </c>
      <c r="L1386" s="83" t="s">
        <v>169</v>
      </c>
      <c r="M1386" s="82" t="s">
        <v>11803</v>
      </c>
      <c r="N1386" s="82" t="s">
        <v>11804</v>
      </c>
      <c r="O1386" s="82" t="s">
        <v>11805</v>
      </c>
      <c r="P1386" s="82" t="s">
        <v>11806</v>
      </c>
      <c r="Q1386" s="82"/>
      <c r="R1386" s="82"/>
      <c r="S1386" s="82" t="s">
        <v>11807</v>
      </c>
      <c r="T1386" s="138">
        <v>3.0</v>
      </c>
      <c r="U1386" s="341">
        <v>3.0</v>
      </c>
      <c r="V1386" s="106">
        <v>0.0</v>
      </c>
      <c r="W1386" s="107">
        <v>0.0</v>
      </c>
      <c r="X1386" s="107">
        <v>0.0</v>
      </c>
      <c r="Y1386" s="107">
        <v>0.0</v>
      </c>
      <c r="Z1386" s="80">
        <v>0.0</v>
      </c>
      <c r="AA1386" s="140">
        <v>0.0</v>
      </c>
      <c r="AB1386" s="109">
        <v>0.0</v>
      </c>
      <c r="AC1386" s="109">
        <v>0.0</v>
      </c>
      <c r="AD1386" s="141">
        <v>0.0</v>
      </c>
      <c r="AE1386" s="80">
        <v>0.0</v>
      </c>
      <c r="AF1386" s="140">
        <v>0.0</v>
      </c>
      <c r="AG1386" s="109">
        <v>37.0</v>
      </c>
      <c r="AH1386" s="109">
        <v>0.0</v>
      </c>
      <c r="AI1386" s="141">
        <v>0.0</v>
      </c>
      <c r="AJ1386" s="80">
        <v>37.0</v>
      </c>
      <c r="AK1386" s="140">
        <v>0.0</v>
      </c>
      <c r="AL1386" s="109">
        <v>0.0</v>
      </c>
      <c r="AM1386" s="141">
        <v>0.0</v>
      </c>
      <c r="AN1386" s="80">
        <v>0.0</v>
      </c>
      <c r="AO1386" s="140">
        <v>0.0</v>
      </c>
      <c r="AP1386" s="109">
        <v>0.0</v>
      </c>
      <c r="AQ1386" s="109">
        <v>0.0</v>
      </c>
      <c r="AR1386" s="80">
        <v>0.0</v>
      </c>
      <c r="AS1386" s="110">
        <v>0.0</v>
      </c>
      <c r="AT1386" s="110">
        <v>0.0</v>
      </c>
      <c r="AU1386" s="110">
        <v>0.0</v>
      </c>
      <c r="AV1386" s="142">
        <v>0.0</v>
      </c>
      <c r="AW1386" s="80">
        <v>0.0</v>
      </c>
      <c r="AX1386" s="113">
        <v>37.0</v>
      </c>
      <c r="AY1386" s="117">
        <v>37.0</v>
      </c>
      <c r="AZ1386" s="328">
        <v>0.0</v>
      </c>
      <c r="BA1386" s="315">
        <v>0.0</v>
      </c>
      <c r="BB1386" s="316">
        <v>37.0</v>
      </c>
      <c r="BC1386" s="132" t="s">
        <v>373</v>
      </c>
      <c r="BD1386" s="132" t="s">
        <v>178</v>
      </c>
      <c r="BE1386" s="132" t="s">
        <v>178</v>
      </c>
      <c r="BF1386" s="123"/>
      <c r="BG1386" s="136">
        <v>1178583.0</v>
      </c>
      <c r="BH1386" s="112">
        <v>3.0</v>
      </c>
      <c r="BI1386" s="98" t="s">
        <v>155</v>
      </c>
      <c r="BJ1386" s="98" t="str">
        <f t="shared" si="1"/>
        <v>NÃO</v>
      </c>
      <c r="BK1386" s="98" t="str">
        <f t="shared" si="2"/>
        <v>NÃO</v>
      </c>
    </row>
    <row r="1387" ht="15.75" customHeight="1">
      <c r="A1387" s="111" t="s">
        <v>1629</v>
      </c>
      <c r="B1387" s="136" t="s">
        <v>7625</v>
      </c>
      <c r="C1387" s="136" t="s">
        <v>68</v>
      </c>
      <c r="D1387" s="136">
        <v>1176426.0</v>
      </c>
      <c r="E1387" s="136"/>
      <c r="F1387" s="136">
        <v>2.9389976E7</v>
      </c>
      <c r="G1387" s="241" t="s">
        <v>6774</v>
      </c>
      <c r="H1387" s="91" t="s">
        <v>7627</v>
      </c>
      <c r="I1387" s="114" t="s">
        <v>149</v>
      </c>
      <c r="J1387" s="83" t="s">
        <v>150</v>
      </c>
      <c r="K1387" s="83" t="s">
        <v>151</v>
      </c>
      <c r="L1387" s="83" t="s">
        <v>152</v>
      </c>
      <c r="M1387" s="82" t="s">
        <v>11813</v>
      </c>
      <c r="N1387" s="82" t="s">
        <v>11814</v>
      </c>
      <c r="O1387" s="82" t="s">
        <v>11815</v>
      </c>
      <c r="P1387" s="82" t="s">
        <v>11816</v>
      </c>
      <c r="Q1387" s="82" t="s">
        <v>11817</v>
      </c>
      <c r="R1387" s="82" t="s">
        <v>11818</v>
      </c>
      <c r="S1387" s="82" t="s">
        <v>11819</v>
      </c>
      <c r="T1387" s="138">
        <v>15.0</v>
      </c>
      <c r="U1387" s="352" t="s">
        <v>11820</v>
      </c>
      <c r="V1387" s="106">
        <v>0.0</v>
      </c>
      <c r="W1387" s="107">
        <v>0.0</v>
      </c>
      <c r="X1387" s="107">
        <v>0.0</v>
      </c>
      <c r="Y1387" s="107">
        <v>0.0</v>
      </c>
      <c r="Z1387" s="80">
        <v>0.0</v>
      </c>
      <c r="AA1387" s="140">
        <v>0.0</v>
      </c>
      <c r="AB1387" s="109">
        <v>0.0</v>
      </c>
      <c r="AC1387" s="109">
        <v>0.0</v>
      </c>
      <c r="AD1387" s="141">
        <v>0.0</v>
      </c>
      <c r="AE1387" s="80">
        <v>0.0</v>
      </c>
      <c r="AF1387" s="140">
        <v>135.0</v>
      </c>
      <c r="AG1387" s="109">
        <v>196.0</v>
      </c>
      <c r="AH1387" s="109">
        <v>0.0</v>
      </c>
      <c r="AI1387" s="141">
        <v>0.0</v>
      </c>
      <c r="AJ1387" s="80">
        <v>331.0</v>
      </c>
      <c r="AK1387" s="140">
        <v>0.0</v>
      </c>
      <c r="AL1387" s="109">
        <v>0.0</v>
      </c>
      <c r="AM1387" s="141">
        <v>0.0</v>
      </c>
      <c r="AN1387" s="80">
        <v>0.0</v>
      </c>
      <c r="AO1387" s="140">
        <v>0.0</v>
      </c>
      <c r="AP1387" s="109">
        <v>0.0</v>
      </c>
      <c r="AQ1387" s="109">
        <v>0.0</v>
      </c>
      <c r="AR1387" s="80">
        <v>0.0</v>
      </c>
      <c r="AS1387" s="110">
        <v>220.0</v>
      </c>
      <c r="AT1387" s="110">
        <v>150.0</v>
      </c>
      <c r="AU1387" s="110">
        <v>185.0</v>
      </c>
      <c r="AV1387" s="142">
        <v>0.0</v>
      </c>
      <c r="AW1387" s="80">
        <v>555.0</v>
      </c>
      <c r="AX1387" s="113">
        <v>886.0</v>
      </c>
      <c r="AY1387" s="117">
        <v>701.0</v>
      </c>
      <c r="AZ1387" s="328">
        <v>185.0</v>
      </c>
      <c r="BA1387" s="315">
        <v>0.0</v>
      </c>
      <c r="BB1387" s="316">
        <v>886.0</v>
      </c>
      <c r="BC1387" s="132" t="s">
        <v>178</v>
      </c>
      <c r="BD1387" s="132" t="s">
        <v>178</v>
      </c>
      <c r="BE1387" s="132" t="s">
        <v>178</v>
      </c>
      <c r="BF1387" s="123"/>
      <c r="BG1387" s="136">
        <v>1176426.0</v>
      </c>
      <c r="BH1387" s="112">
        <v>15.0</v>
      </c>
      <c r="BI1387" s="98" t="s">
        <v>155</v>
      </c>
      <c r="BJ1387" s="98" t="str">
        <f t="shared" si="1"/>
        <v>NÃO</v>
      </c>
      <c r="BK1387" s="98" t="str">
        <f t="shared" si="2"/>
        <v>PROFISSIONAL</v>
      </c>
    </row>
    <row r="1388" ht="15.75" customHeight="1">
      <c r="A1388" s="111" t="s">
        <v>1629</v>
      </c>
      <c r="B1388" s="136" t="s">
        <v>7625</v>
      </c>
      <c r="C1388" s="136" t="s">
        <v>68</v>
      </c>
      <c r="D1388" s="136">
        <v>1117779.0</v>
      </c>
      <c r="E1388" s="136"/>
      <c r="F1388" s="136">
        <v>2.9035007E7</v>
      </c>
      <c r="G1388" s="241" t="s">
        <v>11821</v>
      </c>
      <c r="H1388" s="91" t="s">
        <v>7630</v>
      </c>
      <c r="I1388" s="114" t="s">
        <v>149</v>
      </c>
      <c r="J1388" s="83" t="s">
        <v>150</v>
      </c>
      <c r="K1388" s="83" t="s">
        <v>151</v>
      </c>
      <c r="L1388" s="83" t="s">
        <v>152</v>
      </c>
      <c r="M1388" s="82" t="s">
        <v>11822</v>
      </c>
      <c r="N1388" s="82" t="s">
        <v>11823</v>
      </c>
      <c r="O1388" s="82" t="s">
        <v>11824</v>
      </c>
      <c r="P1388" s="82" t="s">
        <v>11825</v>
      </c>
      <c r="Q1388" s="82" t="s">
        <v>11826</v>
      </c>
      <c r="R1388" s="82" t="s">
        <v>11827</v>
      </c>
      <c r="S1388" s="82" t="s">
        <v>11828</v>
      </c>
      <c r="T1388" s="138">
        <v>14.0</v>
      </c>
      <c r="U1388" s="352" t="s">
        <v>11829</v>
      </c>
      <c r="V1388" s="106">
        <v>0.0</v>
      </c>
      <c r="W1388" s="107">
        <v>0.0</v>
      </c>
      <c r="X1388" s="107">
        <v>0.0</v>
      </c>
      <c r="Y1388" s="107">
        <v>0.0</v>
      </c>
      <c r="Z1388" s="80">
        <v>0.0</v>
      </c>
      <c r="AA1388" s="140">
        <v>0.0</v>
      </c>
      <c r="AB1388" s="109">
        <v>0.0</v>
      </c>
      <c r="AC1388" s="109">
        <v>0.0</v>
      </c>
      <c r="AD1388" s="141">
        <v>0.0</v>
      </c>
      <c r="AE1388" s="80">
        <v>0.0</v>
      </c>
      <c r="AF1388" s="140">
        <v>185.0</v>
      </c>
      <c r="AG1388" s="109">
        <v>110.0</v>
      </c>
      <c r="AH1388" s="109">
        <v>17.0</v>
      </c>
      <c r="AI1388" s="141">
        <v>182.0</v>
      </c>
      <c r="AJ1388" s="80">
        <v>494.0</v>
      </c>
      <c r="AK1388" s="140">
        <v>0.0</v>
      </c>
      <c r="AL1388" s="109">
        <v>0.0</v>
      </c>
      <c r="AM1388" s="141">
        <v>0.0</v>
      </c>
      <c r="AN1388" s="80">
        <v>0.0</v>
      </c>
      <c r="AO1388" s="140">
        <v>0.0</v>
      </c>
      <c r="AP1388" s="109">
        <v>0.0</v>
      </c>
      <c r="AQ1388" s="109">
        <v>65.0</v>
      </c>
      <c r="AR1388" s="80">
        <v>65.0</v>
      </c>
      <c r="AS1388" s="110">
        <v>0.0</v>
      </c>
      <c r="AT1388" s="110">
        <v>0.0</v>
      </c>
      <c r="AU1388" s="110">
        <v>0.0</v>
      </c>
      <c r="AV1388" s="142">
        <v>0.0</v>
      </c>
      <c r="AW1388" s="80">
        <v>0.0</v>
      </c>
      <c r="AX1388" s="113">
        <v>559.0</v>
      </c>
      <c r="AY1388" s="117">
        <v>477.0</v>
      </c>
      <c r="AZ1388" s="328">
        <v>82.0</v>
      </c>
      <c r="BA1388" s="315">
        <v>2.0</v>
      </c>
      <c r="BB1388" s="316">
        <v>561.0</v>
      </c>
      <c r="BC1388" s="132" t="s">
        <v>178</v>
      </c>
      <c r="BD1388" s="132" t="s">
        <v>178</v>
      </c>
      <c r="BE1388" s="132" t="s">
        <v>178</v>
      </c>
      <c r="BF1388" s="123"/>
      <c r="BG1388" s="136">
        <v>1117779.0</v>
      </c>
      <c r="BH1388" s="112">
        <v>15.0</v>
      </c>
      <c r="BI1388" s="98" t="s">
        <v>155</v>
      </c>
      <c r="BJ1388" s="98" t="str">
        <f t="shared" si="1"/>
        <v>INTEGRAL</v>
      </c>
      <c r="BK1388" s="98" t="str">
        <f t="shared" si="2"/>
        <v>NÃO</v>
      </c>
    </row>
    <row r="1389" ht="15.75" customHeight="1">
      <c r="A1389" s="111" t="s">
        <v>1629</v>
      </c>
      <c r="B1389" s="136" t="s">
        <v>7625</v>
      </c>
      <c r="C1389" s="136" t="s">
        <v>68</v>
      </c>
      <c r="D1389" s="136">
        <v>1118040.0</v>
      </c>
      <c r="E1389" s="136"/>
      <c r="F1389" s="136">
        <v>2.903499E7</v>
      </c>
      <c r="G1389" s="292" t="s">
        <v>7632</v>
      </c>
      <c r="H1389" s="91" t="s">
        <v>7633</v>
      </c>
      <c r="I1389" s="114" t="s">
        <v>7634</v>
      </c>
      <c r="J1389" s="83" t="s">
        <v>150</v>
      </c>
      <c r="K1389" s="83" t="s">
        <v>151</v>
      </c>
      <c r="L1389" s="83" t="s">
        <v>152</v>
      </c>
      <c r="M1389" s="82" t="s">
        <v>11830</v>
      </c>
      <c r="N1389" s="82" t="s">
        <v>11831</v>
      </c>
      <c r="O1389" s="82" t="s">
        <v>11832</v>
      </c>
      <c r="P1389" s="82" t="s">
        <v>11833</v>
      </c>
      <c r="Q1389" s="82"/>
      <c r="R1389" s="82"/>
      <c r="S1389" s="82" t="s">
        <v>11834</v>
      </c>
      <c r="T1389" s="138">
        <v>10.0</v>
      </c>
      <c r="U1389" s="352" t="s">
        <v>11835</v>
      </c>
      <c r="V1389" s="106">
        <v>0.0</v>
      </c>
      <c r="W1389" s="107">
        <v>0.0</v>
      </c>
      <c r="X1389" s="107">
        <v>0.0</v>
      </c>
      <c r="Y1389" s="107">
        <v>0.0</v>
      </c>
      <c r="Z1389" s="80">
        <v>0.0</v>
      </c>
      <c r="AA1389" s="140">
        <v>0.0</v>
      </c>
      <c r="AB1389" s="109">
        <v>0.0</v>
      </c>
      <c r="AC1389" s="109">
        <v>0.0</v>
      </c>
      <c r="AD1389" s="141">
        <v>0.0</v>
      </c>
      <c r="AE1389" s="80">
        <v>0.0</v>
      </c>
      <c r="AF1389" s="140">
        <v>0.0</v>
      </c>
      <c r="AG1389" s="109">
        <v>0.0</v>
      </c>
      <c r="AH1389" s="109">
        <v>0.0</v>
      </c>
      <c r="AI1389" s="141">
        <v>46.0</v>
      </c>
      <c r="AJ1389" s="80">
        <v>46.0</v>
      </c>
      <c r="AK1389" s="140">
        <v>0.0</v>
      </c>
      <c r="AL1389" s="109">
        <v>0.0</v>
      </c>
      <c r="AM1389" s="141">
        <v>0.0</v>
      </c>
      <c r="AN1389" s="80">
        <v>0.0</v>
      </c>
      <c r="AO1389" s="140">
        <v>0.0</v>
      </c>
      <c r="AP1389" s="109">
        <v>0.0</v>
      </c>
      <c r="AQ1389" s="109">
        <v>37.0</v>
      </c>
      <c r="AR1389" s="80">
        <v>37.0</v>
      </c>
      <c r="AS1389" s="110">
        <v>163.0</v>
      </c>
      <c r="AT1389" s="110">
        <v>97.0</v>
      </c>
      <c r="AU1389" s="110">
        <v>73.0</v>
      </c>
      <c r="AV1389" s="142">
        <v>138.0</v>
      </c>
      <c r="AW1389" s="80">
        <v>471.0</v>
      </c>
      <c r="AX1389" s="113">
        <v>554.0</v>
      </c>
      <c r="AY1389" s="117">
        <v>444.0</v>
      </c>
      <c r="AZ1389" s="328">
        <v>110.0</v>
      </c>
      <c r="BA1389" s="315">
        <v>3.0</v>
      </c>
      <c r="BB1389" s="316">
        <v>557.0</v>
      </c>
      <c r="BC1389" s="132" t="s">
        <v>178</v>
      </c>
      <c r="BD1389" s="132" t="s">
        <v>178</v>
      </c>
      <c r="BE1389" s="132" t="s">
        <v>178</v>
      </c>
      <c r="BF1389" s="123"/>
      <c r="BG1389" s="136">
        <v>1118040.0</v>
      </c>
      <c r="BH1389" s="112">
        <v>9.0</v>
      </c>
      <c r="BI1389" s="98" t="s">
        <v>284</v>
      </c>
      <c r="BJ1389" s="98" t="str">
        <f t="shared" si="1"/>
        <v>INTEGRAL</v>
      </c>
      <c r="BK1389" s="98" t="str">
        <f t="shared" si="2"/>
        <v>PROFISSIONAL</v>
      </c>
    </row>
    <row r="1390" ht="15.75" customHeight="1">
      <c r="A1390" s="111" t="s">
        <v>1629</v>
      </c>
      <c r="B1390" s="172" t="s">
        <v>7625</v>
      </c>
      <c r="C1390" s="172" t="s">
        <v>68</v>
      </c>
      <c r="D1390" s="136">
        <v>1174292.0</v>
      </c>
      <c r="E1390" s="172"/>
      <c r="F1390" s="172">
        <v>2.9034965E7</v>
      </c>
      <c r="G1390" s="535" t="s">
        <v>11836</v>
      </c>
      <c r="H1390" s="91" t="s">
        <v>7637</v>
      </c>
      <c r="I1390" s="114" t="s">
        <v>7638</v>
      </c>
      <c r="J1390" s="83" t="s">
        <v>150</v>
      </c>
      <c r="K1390" s="83" t="s">
        <v>151</v>
      </c>
      <c r="L1390" s="83" t="s">
        <v>230</v>
      </c>
      <c r="M1390" s="82" t="s">
        <v>11837</v>
      </c>
      <c r="N1390" s="82" t="s">
        <v>11838</v>
      </c>
      <c r="O1390" s="82" t="s">
        <v>11839</v>
      </c>
      <c r="P1390" s="82" t="s">
        <v>11840</v>
      </c>
      <c r="Q1390" s="82" t="s">
        <v>11841</v>
      </c>
      <c r="R1390" s="82" t="s">
        <v>11842</v>
      </c>
      <c r="S1390" s="82" t="s">
        <v>11843</v>
      </c>
      <c r="T1390" s="138">
        <v>19.0</v>
      </c>
      <c r="U1390" s="352" t="s">
        <v>11844</v>
      </c>
      <c r="V1390" s="106">
        <v>0.0</v>
      </c>
      <c r="W1390" s="107">
        <v>0.0</v>
      </c>
      <c r="X1390" s="107">
        <v>0.0</v>
      </c>
      <c r="Y1390" s="107">
        <v>0.0</v>
      </c>
      <c r="Z1390" s="80">
        <v>0.0</v>
      </c>
      <c r="AA1390" s="140">
        <v>0.0</v>
      </c>
      <c r="AB1390" s="109">
        <v>0.0</v>
      </c>
      <c r="AC1390" s="109">
        <v>0.0</v>
      </c>
      <c r="AD1390" s="141">
        <v>0.0</v>
      </c>
      <c r="AE1390" s="80">
        <v>0.0</v>
      </c>
      <c r="AF1390" s="140">
        <v>169.0</v>
      </c>
      <c r="AG1390" s="109">
        <v>103.0</v>
      </c>
      <c r="AH1390" s="109">
        <v>18.0</v>
      </c>
      <c r="AI1390" s="141">
        <v>0.0</v>
      </c>
      <c r="AJ1390" s="80">
        <v>290.0</v>
      </c>
      <c r="AK1390" s="140">
        <v>0.0</v>
      </c>
      <c r="AL1390" s="109">
        <v>0.0</v>
      </c>
      <c r="AM1390" s="141">
        <v>0.0</v>
      </c>
      <c r="AN1390" s="80">
        <v>0.0</v>
      </c>
      <c r="AO1390" s="140">
        <v>0.0</v>
      </c>
      <c r="AP1390" s="109">
        <v>0.0</v>
      </c>
      <c r="AQ1390" s="109">
        <v>44.0</v>
      </c>
      <c r="AR1390" s="80">
        <v>44.0</v>
      </c>
      <c r="AS1390" s="110">
        <v>314.0</v>
      </c>
      <c r="AT1390" s="110">
        <v>109.0</v>
      </c>
      <c r="AU1390" s="110">
        <v>167.0</v>
      </c>
      <c r="AV1390" s="142">
        <v>0.0</v>
      </c>
      <c r="AW1390" s="80">
        <v>590.0</v>
      </c>
      <c r="AX1390" s="113">
        <v>924.0</v>
      </c>
      <c r="AY1390" s="117">
        <v>695.0</v>
      </c>
      <c r="AZ1390" s="328">
        <v>229.0</v>
      </c>
      <c r="BA1390" s="315">
        <v>4.0</v>
      </c>
      <c r="BB1390" s="316">
        <v>928.0</v>
      </c>
      <c r="BC1390" s="132" t="s">
        <v>178</v>
      </c>
      <c r="BD1390" s="132" t="s">
        <v>178</v>
      </c>
      <c r="BE1390" s="132" t="s">
        <v>178</v>
      </c>
      <c r="BF1390" s="123"/>
      <c r="BG1390" s="172">
        <v>1174292.0</v>
      </c>
      <c r="BH1390" s="112">
        <v>9.0</v>
      </c>
      <c r="BI1390" s="98" t="s">
        <v>155</v>
      </c>
      <c r="BJ1390" s="98" t="str">
        <f t="shared" si="1"/>
        <v>NÃO</v>
      </c>
      <c r="BK1390" s="98" t="str">
        <f t="shared" si="2"/>
        <v>PROFISSIONAL</v>
      </c>
    </row>
    <row r="1391" ht="15.75" customHeight="1">
      <c r="A1391" s="111" t="s">
        <v>1629</v>
      </c>
      <c r="B1391" s="83" t="s">
        <v>7625</v>
      </c>
      <c r="C1391" s="83" t="s">
        <v>68</v>
      </c>
      <c r="D1391" s="83">
        <v>1176143.0</v>
      </c>
      <c r="E1391" s="136"/>
      <c r="F1391" s="136">
        <v>2.933223E7</v>
      </c>
      <c r="G1391" s="231" t="s">
        <v>7640</v>
      </c>
      <c r="H1391" s="91" t="s">
        <v>7641</v>
      </c>
      <c r="I1391" s="187" t="s">
        <v>7642</v>
      </c>
      <c r="J1391" s="136" t="s">
        <v>150</v>
      </c>
      <c r="K1391" s="136" t="s">
        <v>151</v>
      </c>
      <c r="L1391" s="136" t="s">
        <v>230</v>
      </c>
      <c r="M1391" s="82" t="s">
        <v>11845</v>
      </c>
      <c r="N1391" s="82" t="s">
        <v>11846</v>
      </c>
      <c r="O1391" s="82" t="s">
        <v>11847</v>
      </c>
      <c r="P1391" s="82" t="s">
        <v>11848</v>
      </c>
      <c r="Q1391" s="82" t="s">
        <v>11849</v>
      </c>
      <c r="R1391" s="82" t="s">
        <v>11850</v>
      </c>
      <c r="S1391" s="82" t="s">
        <v>11851</v>
      </c>
      <c r="T1391" s="138">
        <v>17.0</v>
      </c>
      <c r="U1391" s="389">
        <v>13.0</v>
      </c>
      <c r="V1391" s="106">
        <v>0.0</v>
      </c>
      <c r="W1391" s="107">
        <v>0.0</v>
      </c>
      <c r="X1391" s="107">
        <v>0.0</v>
      </c>
      <c r="Y1391" s="107">
        <v>0.0</v>
      </c>
      <c r="Z1391" s="80">
        <v>0.0</v>
      </c>
      <c r="AA1391" s="140">
        <v>0.0</v>
      </c>
      <c r="AB1391" s="109">
        <v>0.0</v>
      </c>
      <c r="AC1391" s="109">
        <v>0.0</v>
      </c>
      <c r="AD1391" s="141">
        <v>0.0</v>
      </c>
      <c r="AE1391" s="80">
        <v>0.0</v>
      </c>
      <c r="AF1391" s="140">
        <v>0.0</v>
      </c>
      <c r="AG1391" s="109">
        <v>0.0</v>
      </c>
      <c r="AH1391" s="109">
        <v>0.0</v>
      </c>
      <c r="AI1391" s="141">
        <v>0.0</v>
      </c>
      <c r="AJ1391" s="80">
        <v>0.0</v>
      </c>
      <c r="AK1391" s="140">
        <v>0.0</v>
      </c>
      <c r="AL1391" s="109">
        <v>0.0</v>
      </c>
      <c r="AM1391" s="141">
        <v>0.0</v>
      </c>
      <c r="AN1391" s="80">
        <v>0.0</v>
      </c>
      <c r="AO1391" s="140">
        <v>0.0</v>
      </c>
      <c r="AP1391" s="109">
        <v>0.0</v>
      </c>
      <c r="AQ1391" s="109">
        <v>0.0</v>
      </c>
      <c r="AR1391" s="80">
        <v>0.0</v>
      </c>
      <c r="AS1391" s="110">
        <v>472.0</v>
      </c>
      <c r="AT1391" s="110">
        <v>403.0</v>
      </c>
      <c r="AU1391" s="110">
        <v>135.0</v>
      </c>
      <c r="AV1391" s="142">
        <v>0.0</v>
      </c>
      <c r="AW1391" s="80">
        <v>1010.0</v>
      </c>
      <c r="AX1391" s="113">
        <v>1010.0</v>
      </c>
      <c r="AY1391" s="117">
        <v>875.0</v>
      </c>
      <c r="AZ1391" s="328">
        <v>135.0</v>
      </c>
      <c r="BA1391" s="315">
        <v>0.0</v>
      </c>
      <c r="BB1391" s="316">
        <v>1010.0</v>
      </c>
      <c r="BC1391" s="132" t="s">
        <v>178</v>
      </c>
      <c r="BD1391" s="132" t="s">
        <v>522</v>
      </c>
      <c r="BE1391" s="132" t="s">
        <v>178</v>
      </c>
      <c r="BF1391" s="156"/>
      <c r="BG1391" s="83">
        <v>1176143.0</v>
      </c>
      <c r="BH1391" s="112">
        <v>13.0</v>
      </c>
      <c r="BI1391" s="98" t="s">
        <v>155</v>
      </c>
      <c r="BJ1391" s="98" t="str">
        <f t="shared" si="1"/>
        <v>NÃO</v>
      </c>
      <c r="BK1391" s="98" t="str">
        <f t="shared" si="2"/>
        <v>PROFISSIONAL</v>
      </c>
    </row>
    <row r="1392" ht="15.75" customHeight="1">
      <c r="A1392" s="111" t="s">
        <v>1629</v>
      </c>
      <c r="B1392" s="83" t="s">
        <v>7625</v>
      </c>
      <c r="C1392" s="83" t="s">
        <v>68</v>
      </c>
      <c r="D1392" s="83">
        <v>1114257.0</v>
      </c>
      <c r="E1392" s="136"/>
      <c r="F1392" s="136">
        <v>2.9034922E7</v>
      </c>
      <c r="G1392" s="241" t="s">
        <v>7644</v>
      </c>
      <c r="H1392" s="91" t="s">
        <v>7645</v>
      </c>
      <c r="I1392" s="187" t="s">
        <v>7646</v>
      </c>
      <c r="J1392" s="136" t="s">
        <v>150</v>
      </c>
      <c r="K1392" s="136" t="s">
        <v>151</v>
      </c>
      <c r="L1392" s="136" t="s">
        <v>230</v>
      </c>
      <c r="M1392" s="82" t="s">
        <v>11852</v>
      </c>
      <c r="N1392" s="82" t="s">
        <v>11853</v>
      </c>
      <c r="O1392" s="82" t="s">
        <v>11854</v>
      </c>
      <c r="P1392" s="82" t="s">
        <v>11855</v>
      </c>
      <c r="Q1392" s="82" t="s">
        <v>11856</v>
      </c>
      <c r="R1392" s="82" t="s">
        <v>11857</v>
      </c>
      <c r="S1392" s="82" t="s">
        <v>11858</v>
      </c>
      <c r="T1392" s="138">
        <v>21.0</v>
      </c>
      <c r="U1392" s="389">
        <v>19.0</v>
      </c>
      <c r="V1392" s="106">
        <v>0.0</v>
      </c>
      <c r="W1392" s="107">
        <v>0.0</v>
      </c>
      <c r="X1392" s="107">
        <v>0.0</v>
      </c>
      <c r="Y1392" s="107">
        <v>0.0</v>
      </c>
      <c r="Z1392" s="80">
        <v>0.0</v>
      </c>
      <c r="AA1392" s="140">
        <v>0.0</v>
      </c>
      <c r="AB1392" s="109">
        <v>0.0</v>
      </c>
      <c r="AC1392" s="109">
        <v>0.0</v>
      </c>
      <c r="AD1392" s="141">
        <v>0.0</v>
      </c>
      <c r="AE1392" s="80">
        <v>0.0</v>
      </c>
      <c r="AF1392" s="140">
        <v>0.0</v>
      </c>
      <c r="AG1392" s="109">
        <v>0.0</v>
      </c>
      <c r="AH1392" s="109">
        <v>0.0</v>
      </c>
      <c r="AI1392" s="141">
        <v>0.0</v>
      </c>
      <c r="AJ1392" s="80">
        <v>0.0</v>
      </c>
      <c r="AK1392" s="140">
        <v>0.0</v>
      </c>
      <c r="AL1392" s="109">
        <v>0.0</v>
      </c>
      <c r="AM1392" s="141">
        <v>0.0</v>
      </c>
      <c r="AN1392" s="80">
        <v>0.0</v>
      </c>
      <c r="AO1392" s="140">
        <v>0.0</v>
      </c>
      <c r="AP1392" s="109">
        <v>0.0</v>
      </c>
      <c r="AQ1392" s="109">
        <v>0.0</v>
      </c>
      <c r="AR1392" s="80">
        <v>0.0</v>
      </c>
      <c r="AS1392" s="110">
        <v>357.0</v>
      </c>
      <c r="AT1392" s="110">
        <v>210.0</v>
      </c>
      <c r="AU1392" s="110">
        <v>240.0</v>
      </c>
      <c r="AV1392" s="142">
        <v>0.0</v>
      </c>
      <c r="AW1392" s="80">
        <v>807.0</v>
      </c>
      <c r="AX1392" s="113">
        <v>807.0</v>
      </c>
      <c r="AY1392" s="117">
        <v>567.0</v>
      </c>
      <c r="AZ1392" s="328">
        <v>240.0</v>
      </c>
      <c r="BA1392" s="315">
        <v>0.0</v>
      </c>
      <c r="BB1392" s="316">
        <v>807.0</v>
      </c>
      <c r="BC1392" s="132" t="s">
        <v>178</v>
      </c>
      <c r="BD1392" s="132" t="s">
        <v>522</v>
      </c>
      <c r="BE1392" s="132" t="s">
        <v>178</v>
      </c>
      <c r="BF1392" s="123"/>
      <c r="BG1392" s="83">
        <v>1114257.0</v>
      </c>
      <c r="BH1392" s="112">
        <v>19.0</v>
      </c>
      <c r="BI1392" s="98" t="s">
        <v>155</v>
      </c>
      <c r="BJ1392" s="98" t="str">
        <f t="shared" si="1"/>
        <v>NÃO</v>
      </c>
      <c r="BK1392" s="98" t="str">
        <f t="shared" si="2"/>
        <v>PROFISSIONAL</v>
      </c>
    </row>
    <row r="1393" ht="15.75" customHeight="1">
      <c r="A1393" s="111" t="s">
        <v>1629</v>
      </c>
      <c r="B1393" s="83" t="s">
        <v>7625</v>
      </c>
      <c r="C1393" s="83" t="s">
        <v>164</v>
      </c>
      <c r="D1393" s="83">
        <v>1179204.0</v>
      </c>
      <c r="E1393" s="136">
        <v>1179290.0</v>
      </c>
      <c r="F1393" s="136"/>
      <c r="G1393" s="241" t="s">
        <v>11859</v>
      </c>
      <c r="H1393" s="91" t="s">
        <v>7650</v>
      </c>
      <c r="I1393" s="187" t="s">
        <v>149</v>
      </c>
      <c r="J1393" s="136" t="s">
        <v>923</v>
      </c>
      <c r="K1393" s="136" t="s">
        <v>1078</v>
      </c>
      <c r="L1393" s="136" t="s">
        <v>169</v>
      </c>
      <c r="M1393" s="82" t="s">
        <v>11745</v>
      </c>
      <c r="N1393" s="82" t="s">
        <v>11746</v>
      </c>
      <c r="O1393" s="82"/>
      <c r="P1393" s="82"/>
      <c r="Q1393" s="82"/>
      <c r="R1393" s="82"/>
      <c r="S1393" s="82"/>
      <c r="T1393" s="138">
        <v>3.0</v>
      </c>
      <c r="U1393" s="389">
        <v>3.0</v>
      </c>
      <c r="V1393" s="106">
        <v>5.0</v>
      </c>
      <c r="W1393" s="107">
        <v>0.0</v>
      </c>
      <c r="X1393" s="107">
        <v>0.0</v>
      </c>
      <c r="Y1393" s="107">
        <v>0.0</v>
      </c>
      <c r="Z1393" s="80">
        <v>5.0</v>
      </c>
      <c r="AA1393" s="140">
        <v>5.0</v>
      </c>
      <c r="AB1393" s="109">
        <v>20.0</v>
      </c>
      <c r="AC1393" s="109">
        <v>0.0</v>
      </c>
      <c r="AD1393" s="141">
        <v>0.0</v>
      </c>
      <c r="AE1393" s="80">
        <v>25.0</v>
      </c>
      <c r="AF1393" s="140">
        <v>0.0</v>
      </c>
      <c r="AG1393" s="109">
        <v>0.0</v>
      </c>
      <c r="AH1393" s="109">
        <v>0.0</v>
      </c>
      <c r="AI1393" s="141">
        <v>0.0</v>
      </c>
      <c r="AJ1393" s="80">
        <v>0.0</v>
      </c>
      <c r="AK1393" s="140">
        <v>0.0</v>
      </c>
      <c r="AL1393" s="109">
        <v>0.0</v>
      </c>
      <c r="AM1393" s="141">
        <v>0.0</v>
      </c>
      <c r="AN1393" s="80">
        <v>0.0</v>
      </c>
      <c r="AO1393" s="140">
        <v>0.0</v>
      </c>
      <c r="AP1393" s="109">
        <v>0.0</v>
      </c>
      <c r="AQ1393" s="109">
        <v>0.0</v>
      </c>
      <c r="AR1393" s="80">
        <v>0.0</v>
      </c>
      <c r="AS1393" s="110">
        <v>0.0</v>
      </c>
      <c r="AT1393" s="110">
        <v>0.0</v>
      </c>
      <c r="AU1393" s="110">
        <v>0.0</v>
      </c>
      <c r="AV1393" s="142">
        <v>0.0</v>
      </c>
      <c r="AW1393" s="80">
        <v>0.0</v>
      </c>
      <c r="AX1393" s="113">
        <v>30.0</v>
      </c>
      <c r="AY1393" s="117">
        <v>30.0</v>
      </c>
      <c r="AZ1393" s="328">
        <v>0.0</v>
      </c>
      <c r="BA1393" s="315">
        <v>2.0</v>
      </c>
      <c r="BB1393" s="316">
        <v>32.0</v>
      </c>
      <c r="BC1393" s="143" t="s">
        <v>1294</v>
      </c>
      <c r="BD1393" s="132" t="s">
        <v>178</v>
      </c>
      <c r="BE1393" s="132" t="s">
        <v>178</v>
      </c>
      <c r="BF1393" s="123"/>
      <c r="BG1393" s="83">
        <v>1179290.0</v>
      </c>
      <c r="BH1393" s="112">
        <v>3.0</v>
      </c>
      <c r="BI1393" s="98" t="s">
        <v>155</v>
      </c>
      <c r="BJ1393" s="98" t="str">
        <f t="shared" si="1"/>
        <v>NÃO</v>
      </c>
      <c r="BK1393" s="98" t="str">
        <f t="shared" si="2"/>
        <v>NÃO</v>
      </c>
    </row>
    <row r="1394" ht="15.75" customHeight="1">
      <c r="A1394" s="111" t="s">
        <v>1629</v>
      </c>
      <c r="B1394" s="172" t="s">
        <v>7625</v>
      </c>
      <c r="C1394" s="83" t="s">
        <v>164</v>
      </c>
      <c r="D1394" s="83">
        <v>1118040.0</v>
      </c>
      <c r="E1394" s="136">
        <v>1179617.0</v>
      </c>
      <c r="F1394" s="136"/>
      <c r="G1394" s="241" t="s">
        <v>7651</v>
      </c>
      <c r="H1394" s="91" t="s">
        <v>7652</v>
      </c>
      <c r="I1394" s="187" t="s">
        <v>7653</v>
      </c>
      <c r="J1394" s="136" t="s">
        <v>150</v>
      </c>
      <c r="K1394" s="136" t="s">
        <v>168</v>
      </c>
      <c r="L1394" s="136" t="s">
        <v>169</v>
      </c>
      <c r="M1394" s="82" t="s">
        <v>11830</v>
      </c>
      <c r="N1394" s="82" t="s">
        <v>11831</v>
      </c>
      <c r="O1394" s="82" t="s">
        <v>11832</v>
      </c>
      <c r="P1394" s="82" t="s">
        <v>11833</v>
      </c>
      <c r="Q1394" s="82"/>
      <c r="R1394" s="82"/>
      <c r="S1394" s="82" t="s">
        <v>11834</v>
      </c>
      <c r="T1394" s="138">
        <v>3.0</v>
      </c>
      <c r="U1394" s="323">
        <v>2.0</v>
      </c>
      <c r="V1394" s="106">
        <v>0.0</v>
      </c>
      <c r="W1394" s="107">
        <v>0.0</v>
      </c>
      <c r="X1394" s="107">
        <v>0.0</v>
      </c>
      <c r="Y1394" s="107">
        <v>0.0</v>
      </c>
      <c r="Z1394" s="80">
        <v>0.0</v>
      </c>
      <c r="AA1394" s="140">
        <v>0.0</v>
      </c>
      <c r="AB1394" s="109">
        <v>0.0</v>
      </c>
      <c r="AC1394" s="109">
        <v>0.0</v>
      </c>
      <c r="AD1394" s="141">
        <v>0.0</v>
      </c>
      <c r="AE1394" s="80">
        <v>0.0</v>
      </c>
      <c r="AF1394" s="140">
        <v>0.0</v>
      </c>
      <c r="AG1394" s="109">
        <v>0.0</v>
      </c>
      <c r="AH1394" s="109">
        <v>0.0</v>
      </c>
      <c r="AI1394" s="141">
        <v>0.0</v>
      </c>
      <c r="AJ1394" s="80">
        <v>0.0</v>
      </c>
      <c r="AK1394" s="140">
        <v>16.0</v>
      </c>
      <c r="AL1394" s="109">
        <v>8.0</v>
      </c>
      <c r="AM1394" s="141">
        <v>0.0</v>
      </c>
      <c r="AN1394" s="80">
        <v>24.0</v>
      </c>
      <c r="AO1394" s="140">
        <v>0.0</v>
      </c>
      <c r="AP1394" s="109">
        <v>0.0</v>
      </c>
      <c r="AQ1394" s="109">
        <v>0.0</v>
      </c>
      <c r="AR1394" s="80">
        <v>0.0</v>
      </c>
      <c r="AS1394" s="110">
        <v>0.0</v>
      </c>
      <c r="AT1394" s="110">
        <v>0.0</v>
      </c>
      <c r="AU1394" s="110">
        <v>0.0</v>
      </c>
      <c r="AV1394" s="142">
        <v>0.0</v>
      </c>
      <c r="AW1394" s="80">
        <v>0.0</v>
      </c>
      <c r="AX1394" s="113">
        <v>24.0</v>
      </c>
      <c r="AY1394" s="117">
        <v>24.0</v>
      </c>
      <c r="AZ1394" s="328">
        <v>0.0</v>
      </c>
      <c r="BA1394" s="315">
        <v>0.0</v>
      </c>
      <c r="BB1394" s="316">
        <v>24.0</v>
      </c>
      <c r="BC1394" s="132" t="s">
        <v>563</v>
      </c>
      <c r="BD1394" s="132" t="s">
        <v>178</v>
      </c>
      <c r="BE1394" s="132" t="s">
        <v>178</v>
      </c>
      <c r="BF1394" s="156"/>
      <c r="BG1394" s="83">
        <v>1179617.0</v>
      </c>
      <c r="BH1394" s="112">
        <v>2.0</v>
      </c>
      <c r="BI1394" s="98" t="s">
        <v>155</v>
      </c>
      <c r="BJ1394" s="98" t="str">
        <f t="shared" si="1"/>
        <v>NÃO</v>
      </c>
      <c r="BK1394" s="98" t="str">
        <f t="shared" si="2"/>
        <v>NÃO</v>
      </c>
    </row>
    <row r="1395" ht="15.75" customHeight="1">
      <c r="A1395" s="111" t="s">
        <v>1629</v>
      </c>
      <c r="B1395" s="83" t="s">
        <v>7654</v>
      </c>
      <c r="C1395" s="83" t="s">
        <v>68</v>
      </c>
      <c r="D1395" s="83">
        <v>1178006.0</v>
      </c>
      <c r="E1395" s="136"/>
      <c r="F1395" s="136">
        <v>2.9423708E7</v>
      </c>
      <c r="G1395" s="241" t="s">
        <v>11860</v>
      </c>
      <c r="H1395" s="91" t="s">
        <v>7656</v>
      </c>
      <c r="I1395" s="114" t="s">
        <v>149</v>
      </c>
      <c r="J1395" s="83" t="s">
        <v>150</v>
      </c>
      <c r="K1395" s="83" t="s">
        <v>151</v>
      </c>
      <c r="L1395" s="83" t="s">
        <v>169</v>
      </c>
      <c r="M1395" s="82" t="s">
        <v>11861</v>
      </c>
      <c r="N1395" s="82" t="s">
        <v>11862</v>
      </c>
      <c r="O1395" s="82" t="s">
        <v>11863</v>
      </c>
      <c r="P1395" s="82" t="s">
        <v>11864</v>
      </c>
      <c r="Q1395" s="82"/>
      <c r="R1395" s="82"/>
      <c r="S1395" s="82"/>
      <c r="T1395" s="138">
        <v>8.0</v>
      </c>
      <c r="U1395" s="323" t="s">
        <v>11865</v>
      </c>
      <c r="V1395" s="106">
        <v>20.0</v>
      </c>
      <c r="W1395" s="107">
        <v>17.0</v>
      </c>
      <c r="X1395" s="107">
        <v>0.0</v>
      </c>
      <c r="Y1395" s="107">
        <v>0.0</v>
      </c>
      <c r="Z1395" s="80">
        <v>37.0</v>
      </c>
      <c r="AA1395" s="140">
        <v>77.0</v>
      </c>
      <c r="AB1395" s="109">
        <v>91.0</v>
      </c>
      <c r="AC1395" s="109">
        <v>0.0</v>
      </c>
      <c r="AD1395" s="141">
        <v>0.0</v>
      </c>
      <c r="AE1395" s="80">
        <v>168.0</v>
      </c>
      <c r="AF1395" s="140">
        <v>0.0</v>
      </c>
      <c r="AG1395" s="109">
        <v>0.0</v>
      </c>
      <c r="AH1395" s="109">
        <v>16.0</v>
      </c>
      <c r="AI1395" s="141">
        <v>0.0</v>
      </c>
      <c r="AJ1395" s="80">
        <v>16.0</v>
      </c>
      <c r="AK1395" s="140">
        <v>0.0</v>
      </c>
      <c r="AL1395" s="109">
        <v>0.0</v>
      </c>
      <c r="AM1395" s="141">
        <v>0.0</v>
      </c>
      <c r="AN1395" s="80">
        <v>0.0</v>
      </c>
      <c r="AO1395" s="140">
        <v>0.0</v>
      </c>
      <c r="AP1395" s="109">
        <v>0.0</v>
      </c>
      <c r="AQ1395" s="109">
        <v>0.0</v>
      </c>
      <c r="AR1395" s="80">
        <v>0.0</v>
      </c>
      <c r="AS1395" s="110">
        <v>0.0</v>
      </c>
      <c r="AT1395" s="110">
        <v>0.0</v>
      </c>
      <c r="AU1395" s="110">
        <v>0.0</v>
      </c>
      <c r="AV1395" s="142">
        <v>0.0</v>
      </c>
      <c r="AW1395" s="80">
        <v>0.0</v>
      </c>
      <c r="AX1395" s="113">
        <v>221.0</v>
      </c>
      <c r="AY1395" s="117">
        <v>205.0</v>
      </c>
      <c r="AZ1395" s="328">
        <v>16.0</v>
      </c>
      <c r="BA1395" s="315">
        <v>0.0</v>
      </c>
      <c r="BB1395" s="316">
        <v>221.0</v>
      </c>
      <c r="BC1395" s="132" t="s">
        <v>1294</v>
      </c>
      <c r="BD1395" s="132" t="s">
        <v>178</v>
      </c>
      <c r="BE1395" s="132" t="s">
        <v>178</v>
      </c>
      <c r="BF1395" s="156"/>
      <c r="BG1395" s="83">
        <v>1178006.0</v>
      </c>
      <c r="BH1395" s="112">
        <v>5.0</v>
      </c>
      <c r="BI1395" s="98" t="s">
        <v>155</v>
      </c>
      <c r="BJ1395" s="98" t="str">
        <f t="shared" si="1"/>
        <v>NÃO</v>
      </c>
      <c r="BK1395" s="98" t="str">
        <f t="shared" si="2"/>
        <v>NÃO</v>
      </c>
    </row>
    <row r="1396" ht="15.75" customHeight="1">
      <c r="A1396" s="111" t="s">
        <v>1629</v>
      </c>
      <c r="B1396" s="83" t="s">
        <v>7654</v>
      </c>
      <c r="C1396" s="83" t="s">
        <v>68</v>
      </c>
      <c r="D1396" s="83">
        <v>1114133.0</v>
      </c>
      <c r="E1396" s="83"/>
      <c r="F1396" s="83">
        <v>2.9036046E7</v>
      </c>
      <c r="G1396" s="185" t="s">
        <v>11866</v>
      </c>
      <c r="H1396" s="91" t="s">
        <v>7660</v>
      </c>
      <c r="I1396" s="298" t="s">
        <v>149</v>
      </c>
      <c r="J1396" s="83" t="s">
        <v>150</v>
      </c>
      <c r="K1396" s="83" t="s">
        <v>151</v>
      </c>
      <c r="L1396" s="83" t="s">
        <v>76</v>
      </c>
      <c r="M1396" s="82" t="s">
        <v>11867</v>
      </c>
      <c r="N1396" s="82" t="s">
        <v>11868</v>
      </c>
      <c r="O1396" s="82" t="s">
        <v>11869</v>
      </c>
      <c r="P1396" s="82" t="s">
        <v>11870</v>
      </c>
      <c r="Q1396" s="82"/>
      <c r="R1396" s="82"/>
      <c r="S1396" s="82"/>
      <c r="T1396" s="138">
        <v>7.0</v>
      </c>
      <c r="U1396" s="323" t="s">
        <v>11871</v>
      </c>
      <c r="V1396" s="106">
        <v>0.0</v>
      </c>
      <c r="W1396" s="107">
        <v>0.0</v>
      </c>
      <c r="X1396" s="107">
        <v>0.0</v>
      </c>
      <c r="Y1396" s="107">
        <v>0.0</v>
      </c>
      <c r="Z1396" s="80">
        <v>0.0</v>
      </c>
      <c r="AA1396" s="140">
        <v>0.0</v>
      </c>
      <c r="AB1396" s="109">
        <v>0.0</v>
      </c>
      <c r="AC1396" s="109">
        <v>0.0</v>
      </c>
      <c r="AD1396" s="141">
        <v>0.0</v>
      </c>
      <c r="AE1396" s="80">
        <v>0.0</v>
      </c>
      <c r="AF1396" s="140">
        <v>177.0</v>
      </c>
      <c r="AG1396" s="109">
        <v>114.0</v>
      </c>
      <c r="AH1396" s="109">
        <v>0.0</v>
      </c>
      <c r="AI1396" s="141">
        <v>0.0</v>
      </c>
      <c r="AJ1396" s="80">
        <v>291.0</v>
      </c>
      <c r="AK1396" s="140">
        <v>0.0</v>
      </c>
      <c r="AL1396" s="109">
        <v>0.0</v>
      </c>
      <c r="AM1396" s="141">
        <v>0.0</v>
      </c>
      <c r="AN1396" s="80">
        <v>0.0</v>
      </c>
      <c r="AO1396" s="140">
        <v>0.0</v>
      </c>
      <c r="AP1396" s="109">
        <v>0.0</v>
      </c>
      <c r="AQ1396" s="109">
        <v>61.0</v>
      </c>
      <c r="AR1396" s="80">
        <v>61.0</v>
      </c>
      <c r="AS1396" s="110">
        <v>0.0</v>
      </c>
      <c r="AT1396" s="110">
        <v>35.0</v>
      </c>
      <c r="AU1396" s="110">
        <v>0.0</v>
      </c>
      <c r="AV1396" s="142">
        <v>0.0</v>
      </c>
      <c r="AW1396" s="80">
        <v>35.0</v>
      </c>
      <c r="AX1396" s="113">
        <v>387.0</v>
      </c>
      <c r="AY1396" s="117">
        <v>326.0</v>
      </c>
      <c r="AZ1396" s="328">
        <v>61.0</v>
      </c>
      <c r="BA1396" s="315">
        <v>0.0</v>
      </c>
      <c r="BB1396" s="316">
        <v>387.0</v>
      </c>
      <c r="BC1396" s="132" t="s">
        <v>178</v>
      </c>
      <c r="BD1396" s="132" t="s">
        <v>178</v>
      </c>
      <c r="BE1396" s="132" t="s">
        <v>178</v>
      </c>
      <c r="BF1396" s="123"/>
      <c r="BG1396" s="83">
        <v>1114133.0</v>
      </c>
      <c r="BH1396" s="112">
        <v>6.0</v>
      </c>
      <c r="BI1396" s="98" t="s">
        <v>155</v>
      </c>
      <c r="BJ1396" s="98" t="str">
        <f t="shared" si="1"/>
        <v>NÃO</v>
      </c>
      <c r="BK1396" s="98" t="str">
        <f t="shared" si="2"/>
        <v>PROFISSIONAL</v>
      </c>
    </row>
    <row r="1397" ht="15.75" customHeight="1">
      <c r="A1397" s="111" t="s">
        <v>1707</v>
      </c>
      <c r="B1397" s="83" t="s">
        <v>2110</v>
      </c>
      <c r="C1397" s="83" t="s">
        <v>68</v>
      </c>
      <c r="D1397" s="83">
        <v>1164998.0</v>
      </c>
      <c r="E1397" s="83"/>
      <c r="F1397" s="136">
        <v>2.9047501E7</v>
      </c>
      <c r="G1397" s="292" t="s">
        <v>7662</v>
      </c>
      <c r="H1397" s="91" t="s">
        <v>7663</v>
      </c>
      <c r="I1397" s="187" t="s">
        <v>149</v>
      </c>
      <c r="J1397" s="136" t="s">
        <v>150</v>
      </c>
      <c r="K1397" s="136" t="s">
        <v>151</v>
      </c>
      <c r="L1397" s="136" t="s">
        <v>76</v>
      </c>
      <c r="M1397" s="82" t="s">
        <v>11872</v>
      </c>
      <c r="N1397" s="82" t="s">
        <v>11873</v>
      </c>
      <c r="O1397" s="82" t="s">
        <v>11874</v>
      </c>
      <c r="P1397" s="82" t="s">
        <v>11875</v>
      </c>
      <c r="Q1397" s="82"/>
      <c r="R1397" s="82"/>
      <c r="S1397" s="82" t="s">
        <v>11876</v>
      </c>
      <c r="T1397" s="138">
        <v>8.0</v>
      </c>
      <c r="U1397" s="323">
        <v>7.0</v>
      </c>
      <c r="V1397" s="106">
        <v>0.0</v>
      </c>
      <c r="W1397" s="107">
        <v>0.0</v>
      </c>
      <c r="X1397" s="107">
        <v>0.0</v>
      </c>
      <c r="Y1397" s="107">
        <v>0.0</v>
      </c>
      <c r="Z1397" s="80">
        <v>0.0</v>
      </c>
      <c r="AA1397" s="140">
        <v>0.0</v>
      </c>
      <c r="AB1397" s="109">
        <v>0.0</v>
      </c>
      <c r="AC1397" s="109">
        <v>0.0</v>
      </c>
      <c r="AD1397" s="141">
        <v>0.0</v>
      </c>
      <c r="AE1397" s="80">
        <v>0.0</v>
      </c>
      <c r="AF1397" s="140">
        <v>89.0</v>
      </c>
      <c r="AG1397" s="109">
        <v>0.0</v>
      </c>
      <c r="AH1397" s="109">
        <v>27.0</v>
      </c>
      <c r="AI1397" s="141">
        <v>252.0</v>
      </c>
      <c r="AJ1397" s="80">
        <v>368.0</v>
      </c>
      <c r="AK1397" s="140">
        <v>0.0</v>
      </c>
      <c r="AL1397" s="109">
        <v>0.0</v>
      </c>
      <c r="AM1397" s="141">
        <v>0.0</v>
      </c>
      <c r="AN1397" s="80">
        <v>0.0</v>
      </c>
      <c r="AO1397" s="140">
        <v>0.0</v>
      </c>
      <c r="AP1397" s="109">
        <v>0.0</v>
      </c>
      <c r="AQ1397" s="109">
        <v>95.0</v>
      </c>
      <c r="AR1397" s="80">
        <v>95.0</v>
      </c>
      <c r="AS1397" s="110">
        <v>0.0</v>
      </c>
      <c r="AT1397" s="110">
        <v>0.0</v>
      </c>
      <c r="AU1397" s="110">
        <v>0.0</v>
      </c>
      <c r="AV1397" s="142">
        <v>0.0</v>
      </c>
      <c r="AW1397" s="80">
        <v>0.0</v>
      </c>
      <c r="AX1397" s="113">
        <v>463.0</v>
      </c>
      <c r="AY1397" s="117">
        <v>341.0</v>
      </c>
      <c r="AZ1397" s="328">
        <v>122.0</v>
      </c>
      <c r="BA1397" s="315">
        <v>1.0</v>
      </c>
      <c r="BB1397" s="316">
        <v>464.0</v>
      </c>
      <c r="BC1397" s="132" t="s">
        <v>373</v>
      </c>
      <c r="BD1397" s="132" t="s">
        <v>178</v>
      </c>
      <c r="BE1397" s="132" t="s">
        <v>178</v>
      </c>
      <c r="BF1397" s="156"/>
      <c r="BG1397" s="83">
        <v>1164998.0</v>
      </c>
      <c r="BH1397" s="112">
        <v>7.0</v>
      </c>
      <c r="BI1397" s="98" t="s">
        <v>155</v>
      </c>
      <c r="BJ1397" s="98" t="str">
        <f t="shared" si="1"/>
        <v>INTEGRAL</v>
      </c>
      <c r="BK1397" s="98" t="str">
        <f t="shared" si="2"/>
        <v>NÃO</v>
      </c>
    </row>
    <row r="1398" ht="15.75" customHeight="1">
      <c r="A1398" s="111" t="s">
        <v>1707</v>
      </c>
      <c r="B1398" s="83" t="s">
        <v>2110</v>
      </c>
      <c r="C1398" s="83" t="s">
        <v>164</v>
      </c>
      <c r="D1398" s="83">
        <v>1178039.0</v>
      </c>
      <c r="E1398" s="83">
        <v>1179135.0</v>
      </c>
      <c r="F1398" s="136"/>
      <c r="G1398" s="241" t="s">
        <v>11878</v>
      </c>
      <c r="H1398" s="91" t="s">
        <v>7667</v>
      </c>
      <c r="I1398" s="187" t="s">
        <v>149</v>
      </c>
      <c r="J1398" s="136" t="s">
        <v>3227</v>
      </c>
      <c r="K1398" s="136" t="s">
        <v>168</v>
      </c>
      <c r="L1398" s="136" t="s">
        <v>76</v>
      </c>
      <c r="M1398" s="82"/>
      <c r="N1398" s="82"/>
      <c r="O1398" s="82"/>
      <c r="P1398" s="82"/>
      <c r="Q1398" s="82"/>
      <c r="R1398" s="82"/>
      <c r="S1398" s="82" t="s">
        <v>11879</v>
      </c>
      <c r="T1398" s="138">
        <v>3.0</v>
      </c>
      <c r="U1398" s="323">
        <v>3.0</v>
      </c>
      <c r="V1398" s="106">
        <v>0.0</v>
      </c>
      <c r="W1398" s="107">
        <v>0.0</v>
      </c>
      <c r="X1398" s="107">
        <v>0.0</v>
      </c>
      <c r="Y1398" s="107">
        <v>0.0</v>
      </c>
      <c r="Z1398" s="80">
        <v>0.0</v>
      </c>
      <c r="AA1398" s="140">
        <v>0.0</v>
      </c>
      <c r="AB1398" s="109">
        <v>0.0</v>
      </c>
      <c r="AC1398" s="109">
        <v>0.0</v>
      </c>
      <c r="AD1398" s="141">
        <v>0.0</v>
      </c>
      <c r="AE1398" s="80">
        <v>0.0</v>
      </c>
      <c r="AF1398" s="140">
        <v>0.0</v>
      </c>
      <c r="AG1398" s="109">
        <v>0.0</v>
      </c>
      <c r="AH1398" s="109">
        <v>11.0</v>
      </c>
      <c r="AI1398" s="141">
        <v>0.0</v>
      </c>
      <c r="AJ1398" s="80">
        <v>11.0</v>
      </c>
      <c r="AK1398" s="140">
        <v>0.0</v>
      </c>
      <c r="AL1398" s="109">
        <v>0.0</v>
      </c>
      <c r="AM1398" s="141">
        <v>0.0</v>
      </c>
      <c r="AN1398" s="80">
        <v>0.0</v>
      </c>
      <c r="AO1398" s="140">
        <v>0.0</v>
      </c>
      <c r="AP1398" s="109">
        <v>0.0</v>
      </c>
      <c r="AQ1398" s="109">
        <v>32.0</v>
      </c>
      <c r="AR1398" s="80">
        <v>32.0</v>
      </c>
      <c r="AS1398" s="110">
        <v>0.0</v>
      </c>
      <c r="AT1398" s="110">
        <v>0.0</v>
      </c>
      <c r="AU1398" s="110">
        <v>0.0</v>
      </c>
      <c r="AV1398" s="142">
        <v>0.0</v>
      </c>
      <c r="AW1398" s="80">
        <v>0.0</v>
      </c>
      <c r="AX1398" s="113">
        <v>43.0</v>
      </c>
      <c r="AY1398" s="117">
        <v>0.0</v>
      </c>
      <c r="AZ1398" s="328">
        <v>43.0</v>
      </c>
      <c r="BA1398" s="315">
        <v>0.0</v>
      </c>
      <c r="BB1398" s="316">
        <v>43.0</v>
      </c>
      <c r="BC1398" s="132" t="s">
        <v>373</v>
      </c>
      <c r="BD1398" s="132" t="s">
        <v>178</v>
      </c>
      <c r="BE1398" s="132" t="s">
        <v>178</v>
      </c>
      <c r="BF1398" s="156"/>
      <c r="BG1398" s="83">
        <v>1179135.0</v>
      </c>
      <c r="BH1398" s="112">
        <v>3.0</v>
      </c>
      <c r="BI1398" s="98" t="s">
        <v>155</v>
      </c>
      <c r="BJ1398" s="98" t="str">
        <f t="shared" si="1"/>
        <v>NÃO</v>
      </c>
      <c r="BK1398" s="98" t="str">
        <f t="shared" si="2"/>
        <v>NÃO</v>
      </c>
    </row>
    <row r="1399" ht="15.75" customHeight="1">
      <c r="A1399" s="111" t="s">
        <v>1707</v>
      </c>
      <c r="B1399" s="83" t="s">
        <v>2110</v>
      </c>
      <c r="C1399" s="98" t="s">
        <v>164</v>
      </c>
      <c r="D1399" s="83">
        <v>1164998.0</v>
      </c>
      <c r="E1399" s="98">
        <v>1179764.0</v>
      </c>
      <c r="F1399" s="83"/>
      <c r="G1399" s="119" t="s">
        <v>7668</v>
      </c>
      <c r="H1399" s="108" t="s">
        <v>7669</v>
      </c>
      <c r="I1399" s="187"/>
      <c r="J1399" s="136"/>
      <c r="K1399" s="83" t="s">
        <v>151</v>
      </c>
      <c r="L1399" s="83" t="s">
        <v>169</v>
      </c>
      <c r="M1399" s="82" t="s">
        <v>11872</v>
      </c>
      <c r="N1399" s="82" t="s">
        <v>11873</v>
      </c>
      <c r="O1399" s="82" t="s">
        <v>11874</v>
      </c>
      <c r="P1399" s="82" t="s">
        <v>11875</v>
      </c>
      <c r="Q1399" s="82"/>
      <c r="R1399" s="82"/>
      <c r="S1399" s="82" t="s">
        <v>11876</v>
      </c>
      <c r="T1399" s="138"/>
      <c r="U1399" s="341"/>
      <c r="V1399" s="106">
        <v>0.0</v>
      </c>
      <c r="W1399" s="107">
        <v>0.0</v>
      </c>
      <c r="X1399" s="107">
        <v>0.0</v>
      </c>
      <c r="Y1399" s="107">
        <v>0.0</v>
      </c>
      <c r="Z1399" s="80">
        <v>0.0</v>
      </c>
      <c r="AA1399" s="140">
        <v>0.0</v>
      </c>
      <c r="AB1399" s="109">
        <v>0.0</v>
      </c>
      <c r="AC1399" s="109">
        <v>0.0</v>
      </c>
      <c r="AD1399" s="141">
        <v>0.0</v>
      </c>
      <c r="AE1399" s="80">
        <v>0.0</v>
      </c>
      <c r="AF1399" s="140">
        <v>45.0</v>
      </c>
      <c r="AG1399" s="109">
        <v>0.0</v>
      </c>
      <c r="AH1399" s="109">
        <v>0.0</v>
      </c>
      <c r="AI1399" s="141">
        <v>0.0</v>
      </c>
      <c r="AJ1399" s="80">
        <v>45.0</v>
      </c>
      <c r="AK1399" s="140">
        <v>0.0</v>
      </c>
      <c r="AL1399" s="109">
        <v>0.0</v>
      </c>
      <c r="AM1399" s="141">
        <v>0.0</v>
      </c>
      <c r="AN1399" s="80">
        <v>0.0</v>
      </c>
      <c r="AO1399" s="140">
        <v>0.0</v>
      </c>
      <c r="AP1399" s="109">
        <v>0.0</v>
      </c>
      <c r="AQ1399" s="109">
        <v>0.0</v>
      </c>
      <c r="AR1399" s="80">
        <v>0.0</v>
      </c>
      <c r="AS1399" s="110">
        <v>0.0</v>
      </c>
      <c r="AT1399" s="110">
        <v>0.0</v>
      </c>
      <c r="AU1399" s="110">
        <v>23.0</v>
      </c>
      <c r="AV1399" s="142">
        <v>0.0</v>
      </c>
      <c r="AW1399" s="80">
        <v>23.0</v>
      </c>
      <c r="AX1399" s="113">
        <v>68.0</v>
      </c>
      <c r="AY1399" s="117">
        <v>45.0</v>
      </c>
      <c r="AZ1399" s="328">
        <v>23.0</v>
      </c>
      <c r="BA1399" s="315">
        <v>0.0</v>
      </c>
      <c r="BB1399" s="316">
        <v>68.0</v>
      </c>
      <c r="BC1399" s="132" t="s">
        <v>178</v>
      </c>
      <c r="BD1399" s="132" t="s">
        <v>178</v>
      </c>
      <c r="BE1399" s="132" t="s">
        <v>178</v>
      </c>
      <c r="BF1399" s="156"/>
      <c r="BG1399" s="98">
        <v>1179764.0</v>
      </c>
      <c r="BH1399" s="98">
        <v>0.0</v>
      </c>
      <c r="BI1399" s="98" t="s">
        <v>155</v>
      </c>
      <c r="BJ1399" s="98" t="str">
        <f t="shared" si="1"/>
        <v>NÃO</v>
      </c>
      <c r="BK1399" s="98" t="str">
        <f t="shared" si="2"/>
        <v>PROFISSIONAL</v>
      </c>
    </row>
    <row r="1400" ht="15.75" customHeight="1">
      <c r="A1400" s="111" t="s">
        <v>1707</v>
      </c>
      <c r="B1400" s="83" t="s">
        <v>7670</v>
      </c>
      <c r="C1400" s="83" t="s">
        <v>45</v>
      </c>
      <c r="D1400" s="83">
        <v>1172397.0</v>
      </c>
      <c r="E1400" s="83"/>
      <c r="F1400" s="83">
        <v>2.9522803E7</v>
      </c>
      <c r="G1400" s="114" t="s">
        <v>7671</v>
      </c>
      <c r="H1400" s="91" t="s">
        <v>7672</v>
      </c>
      <c r="I1400" s="187" t="s">
        <v>7673</v>
      </c>
      <c r="J1400" s="115" t="s">
        <v>1321</v>
      </c>
      <c r="K1400" s="83" t="s">
        <v>171</v>
      </c>
      <c r="L1400" s="83" t="s">
        <v>76</v>
      </c>
      <c r="M1400" s="82" t="s">
        <v>11880</v>
      </c>
      <c r="N1400" s="82" t="s">
        <v>11881</v>
      </c>
      <c r="O1400" s="82"/>
      <c r="P1400" s="82"/>
      <c r="Q1400" s="82"/>
      <c r="R1400" s="82"/>
      <c r="S1400" s="82"/>
      <c r="T1400" s="138">
        <v>8.0</v>
      </c>
      <c r="U1400" s="387" t="s">
        <v>171</v>
      </c>
      <c r="V1400" s="106">
        <v>0.0</v>
      </c>
      <c r="W1400" s="107">
        <v>0.0</v>
      </c>
      <c r="X1400" s="107">
        <v>0.0</v>
      </c>
      <c r="Y1400" s="107">
        <v>0.0</v>
      </c>
      <c r="Z1400" s="80">
        <v>0.0</v>
      </c>
      <c r="AA1400" s="140">
        <v>0.0</v>
      </c>
      <c r="AB1400" s="109">
        <v>0.0</v>
      </c>
      <c r="AC1400" s="109">
        <v>0.0</v>
      </c>
      <c r="AD1400" s="141">
        <v>44.0</v>
      </c>
      <c r="AE1400" s="80">
        <v>44.0</v>
      </c>
      <c r="AF1400" s="140">
        <v>0.0</v>
      </c>
      <c r="AG1400" s="109">
        <v>0.0</v>
      </c>
      <c r="AH1400" s="109">
        <v>0.0</v>
      </c>
      <c r="AI1400" s="141">
        <v>33.0</v>
      </c>
      <c r="AJ1400" s="80">
        <v>33.0</v>
      </c>
      <c r="AK1400" s="140">
        <v>0.0</v>
      </c>
      <c r="AL1400" s="109">
        <v>0.0</v>
      </c>
      <c r="AM1400" s="141">
        <v>0.0</v>
      </c>
      <c r="AN1400" s="80">
        <v>0.0</v>
      </c>
      <c r="AO1400" s="140">
        <v>0.0</v>
      </c>
      <c r="AP1400" s="109">
        <v>0.0</v>
      </c>
      <c r="AQ1400" s="109">
        <v>0.0</v>
      </c>
      <c r="AR1400" s="80">
        <v>0.0</v>
      </c>
      <c r="AS1400" s="110">
        <v>0.0</v>
      </c>
      <c r="AT1400" s="110">
        <v>0.0</v>
      </c>
      <c r="AU1400" s="110">
        <v>0.0</v>
      </c>
      <c r="AV1400" s="142">
        <v>0.0</v>
      </c>
      <c r="AW1400" s="80">
        <v>0.0</v>
      </c>
      <c r="AX1400" s="113">
        <v>77.0</v>
      </c>
      <c r="AY1400" s="117">
        <v>77.0</v>
      </c>
      <c r="AZ1400" s="328">
        <v>0.0</v>
      </c>
      <c r="BA1400" s="315">
        <v>0.0</v>
      </c>
      <c r="BB1400" s="316">
        <v>77.0</v>
      </c>
      <c r="BC1400" s="132" t="s">
        <v>178</v>
      </c>
      <c r="BD1400" s="132" t="s">
        <v>178</v>
      </c>
      <c r="BE1400" s="132" t="s">
        <v>178</v>
      </c>
      <c r="BF1400" s="123"/>
      <c r="BG1400" s="83">
        <v>1172397.0</v>
      </c>
      <c r="BH1400" s="98" t="s">
        <v>171</v>
      </c>
      <c r="BI1400" s="98" t="s">
        <v>155</v>
      </c>
      <c r="BJ1400" s="98" t="str">
        <f t="shared" si="1"/>
        <v>INTEGRAL</v>
      </c>
      <c r="BK1400" s="98" t="str">
        <f t="shared" si="2"/>
        <v>NÃO</v>
      </c>
    </row>
    <row r="1401" ht="15.75" customHeight="1">
      <c r="A1401" s="111" t="s">
        <v>1707</v>
      </c>
      <c r="B1401" s="83" t="s">
        <v>7670</v>
      </c>
      <c r="C1401" s="83" t="s">
        <v>68</v>
      </c>
      <c r="D1401" s="83">
        <v>1119577.0</v>
      </c>
      <c r="E1401" s="83"/>
      <c r="F1401" s="83">
        <v>2.9048184E7</v>
      </c>
      <c r="G1401" s="119" t="s">
        <v>7675</v>
      </c>
      <c r="H1401" s="108" t="s">
        <v>11882</v>
      </c>
      <c r="I1401" s="114" t="s">
        <v>149</v>
      </c>
      <c r="J1401" s="136" t="s">
        <v>150</v>
      </c>
      <c r="K1401" s="83" t="s">
        <v>151</v>
      </c>
      <c r="L1401" s="83" t="s">
        <v>169</v>
      </c>
      <c r="M1401" s="82" t="s">
        <v>11883</v>
      </c>
      <c r="N1401" s="82" t="s">
        <v>11884</v>
      </c>
      <c r="O1401" s="82" t="s">
        <v>11885</v>
      </c>
      <c r="P1401" s="82" t="s">
        <v>11886</v>
      </c>
      <c r="Q1401" s="82"/>
      <c r="R1401" s="82"/>
      <c r="S1401" s="82" t="s">
        <v>11887</v>
      </c>
      <c r="T1401" s="234">
        <v>12.0</v>
      </c>
      <c r="U1401" s="341">
        <v>12.0</v>
      </c>
      <c r="V1401" s="106">
        <v>0.0</v>
      </c>
      <c r="W1401" s="107">
        <v>0.0</v>
      </c>
      <c r="X1401" s="107">
        <v>0.0</v>
      </c>
      <c r="Y1401" s="107">
        <v>0.0</v>
      </c>
      <c r="Z1401" s="80">
        <v>0.0</v>
      </c>
      <c r="AA1401" s="140">
        <v>0.0</v>
      </c>
      <c r="AB1401" s="109">
        <v>0.0</v>
      </c>
      <c r="AC1401" s="109">
        <v>0.0</v>
      </c>
      <c r="AD1401" s="141">
        <v>0.0</v>
      </c>
      <c r="AE1401" s="80">
        <v>0.0</v>
      </c>
      <c r="AF1401" s="140">
        <v>0.0</v>
      </c>
      <c r="AG1401" s="109">
        <v>0.0</v>
      </c>
      <c r="AH1401" s="109">
        <v>0.0</v>
      </c>
      <c r="AI1401" s="141">
        <v>342.0</v>
      </c>
      <c r="AJ1401" s="80">
        <v>342.0</v>
      </c>
      <c r="AK1401" s="140">
        <v>0.0</v>
      </c>
      <c r="AL1401" s="109">
        <v>0.0</v>
      </c>
      <c r="AM1401" s="141">
        <v>0.0</v>
      </c>
      <c r="AN1401" s="80">
        <v>0.0</v>
      </c>
      <c r="AO1401" s="140">
        <v>0.0</v>
      </c>
      <c r="AP1401" s="109">
        <v>0.0</v>
      </c>
      <c r="AQ1401" s="109">
        <v>34.0</v>
      </c>
      <c r="AR1401" s="80">
        <v>34.0</v>
      </c>
      <c r="AS1401" s="110">
        <v>0.0</v>
      </c>
      <c r="AT1401" s="110">
        <v>0.0</v>
      </c>
      <c r="AU1401" s="110">
        <v>0.0</v>
      </c>
      <c r="AV1401" s="142">
        <v>0.0</v>
      </c>
      <c r="AW1401" s="80">
        <v>0.0</v>
      </c>
      <c r="AX1401" s="113">
        <v>376.0</v>
      </c>
      <c r="AY1401" s="117">
        <v>342.0</v>
      </c>
      <c r="AZ1401" s="328">
        <v>34.0</v>
      </c>
      <c r="BA1401" s="315">
        <v>0.0</v>
      </c>
      <c r="BB1401" s="316">
        <v>376.0</v>
      </c>
      <c r="BC1401" s="132" t="s">
        <v>178</v>
      </c>
      <c r="BD1401" s="132" t="s">
        <v>178</v>
      </c>
      <c r="BE1401" s="132" t="s">
        <v>178</v>
      </c>
      <c r="BF1401" s="156"/>
      <c r="BG1401" s="83">
        <v>1119577.0</v>
      </c>
      <c r="BH1401" s="98">
        <v>12.0</v>
      </c>
      <c r="BI1401" s="98" t="s">
        <v>162</v>
      </c>
      <c r="BJ1401" s="98" t="str">
        <f t="shared" si="1"/>
        <v>INTEGRAL</v>
      </c>
      <c r="BK1401" s="98" t="str">
        <f t="shared" si="2"/>
        <v>NÃO</v>
      </c>
    </row>
    <row r="1402" ht="15.75" customHeight="1">
      <c r="A1402" s="111" t="s">
        <v>1707</v>
      </c>
      <c r="B1402" s="83" t="s">
        <v>7678</v>
      </c>
      <c r="C1402" s="83" t="s">
        <v>68</v>
      </c>
      <c r="D1402" s="83">
        <v>1122020.0</v>
      </c>
      <c r="E1402" s="83"/>
      <c r="F1402" s="83">
        <v>2.9069106E7</v>
      </c>
      <c r="G1402" s="114" t="s">
        <v>11888</v>
      </c>
      <c r="H1402" s="91" t="s">
        <v>7680</v>
      </c>
      <c r="I1402" s="114" t="s">
        <v>149</v>
      </c>
      <c r="J1402" s="83" t="s">
        <v>150</v>
      </c>
      <c r="K1402" s="83" t="s">
        <v>151</v>
      </c>
      <c r="L1402" s="83" t="s">
        <v>152</v>
      </c>
      <c r="M1402" s="82" t="s">
        <v>11889</v>
      </c>
      <c r="N1402" s="82" t="s">
        <v>11890</v>
      </c>
      <c r="O1402" s="82"/>
      <c r="P1402" s="82"/>
      <c r="Q1402" s="82"/>
      <c r="R1402" s="82"/>
      <c r="S1402" s="82" t="s">
        <v>11891</v>
      </c>
      <c r="T1402" s="138">
        <v>11.0</v>
      </c>
      <c r="U1402" s="341">
        <v>7.0</v>
      </c>
      <c r="V1402" s="106">
        <v>0.0</v>
      </c>
      <c r="W1402" s="107">
        <v>0.0</v>
      </c>
      <c r="X1402" s="107">
        <v>0.0</v>
      </c>
      <c r="Y1402" s="107">
        <v>0.0</v>
      </c>
      <c r="Z1402" s="80">
        <v>0.0</v>
      </c>
      <c r="AA1402" s="140">
        <v>0.0</v>
      </c>
      <c r="AB1402" s="109">
        <v>0.0</v>
      </c>
      <c r="AC1402" s="109">
        <v>0.0</v>
      </c>
      <c r="AD1402" s="141">
        <v>0.0</v>
      </c>
      <c r="AE1402" s="80">
        <v>0.0</v>
      </c>
      <c r="AF1402" s="140">
        <v>258.0</v>
      </c>
      <c r="AG1402" s="109">
        <v>185.0</v>
      </c>
      <c r="AH1402" s="109">
        <v>0.0</v>
      </c>
      <c r="AI1402" s="141">
        <v>10.0</v>
      </c>
      <c r="AJ1402" s="80">
        <v>453.0</v>
      </c>
      <c r="AK1402" s="140">
        <v>0.0</v>
      </c>
      <c r="AL1402" s="109">
        <v>0.0</v>
      </c>
      <c r="AM1402" s="141">
        <v>0.0</v>
      </c>
      <c r="AN1402" s="80">
        <v>0.0</v>
      </c>
      <c r="AO1402" s="140">
        <v>0.0</v>
      </c>
      <c r="AP1402" s="109">
        <v>0.0</v>
      </c>
      <c r="AQ1402" s="109">
        <v>57.0</v>
      </c>
      <c r="AR1402" s="80">
        <v>57.0</v>
      </c>
      <c r="AS1402" s="110">
        <v>29.0</v>
      </c>
      <c r="AT1402" s="110">
        <v>70.0</v>
      </c>
      <c r="AU1402" s="110">
        <v>0.0</v>
      </c>
      <c r="AV1402" s="142">
        <v>0.0</v>
      </c>
      <c r="AW1402" s="80">
        <v>99.0</v>
      </c>
      <c r="AX1402" s="113">
        <v>609.0</v>
      </c>
      <c r="AY1402" s="117">
        <v>552.0</v>
      </c>
      <c r="AZ1402" s="328">
        <v>57.0</v>
      </c>
      <c r="BA1402" s="315">
        <v>4.0</v>
      </c>
      <c r="BB1402" s="316">
        <v>613.0</v>
      </c>
      <c r="BC1402" s="132" t="s">
        <v>178</v>
      </c>
      <c r="BD1402" s="132" t="s">
        <v>178</v>
      </c>
      <c r="BE1402" s="132" t="s">
        <v>178</v>
      </c>
      <c r="BF1402" s="123"/>
      <c r="BG1402" s="83">
        <v>1122020.0</v>
      </c>
      <c r="BH1402" s="112">
        <v>7.0</v>
      </c>
      <c r="BI1402" s="98" t="s">
        <v>155</v>
      </c>
      <c r="BJ1402" s="98" t="str">
        <f t="shared" si="1"/>
        <v>INTEGRAL</v>
      </c>
      <c r="BK1402" s="98" t="str">
        <f t="shared" si="2"/>
        <v>PROFISSIONAL</v>
      </c>
    </row>
    <row r="1403" ht="15.75" customHeight="1">
      <c r="A1403" s="111" t="s">
        <v>1707</v>
      </c>
      <c r="B1403" s="83" t="s">
        <v>7682</v>
      </c>
      <c r="C1403" s="83" t="s">
        <v>68</v>
      </c>
      <c r="D1403" s="83">
        <v>1179606.0</v>
      </c>
      <c r="E1403" s="83"/>
      <c r="F1403" s="83">
        <v>2.9470579E7</v>
      </c>
      <c r="G1403" s="114" t="s">
        <v>11892</v>
      </c>
      <c r="H1403" s="91" t="s">
        <v>7684</v>
      </c>
      <c r="I1403" s="114" t="s">
        <v>7685</v>
      </c>
      <c r="J1403" s="136" t="s">
        <v>1806</v>
      </c>
      <c r="K1403" s="83" t="s">
        <v>151</v>
      </c>
      <c r="L1403" s="83" t="s">
        <v>152</v>
      </c>
      <c r="M1403" s="82" t="s">
        <v>11893</v>
      </c>
      <c r="N1403" s="82" t="s">
        <v>11894</v>
      </c>
      <c r="O1403" s="82"/>
      <c r="P1403" s="82"/>
      <c r="Q1403" s="82"/>
      <c r="R1403" s="82"/>
      <c r="S1403" s="82" t="s">
        <v>11895</v>
      </c>
      <c r="T1403" s="138">
        <v>9.0</v>
      </c>
      <c r="U1403" s="352" t="s">
        <v>11014</v>
      </c>
      <c r="V1403" s="106">
        <v>0.0</v>
      </c>
      <c r="W1403" s="107">
        <v>0.0</v>
      </c>
      <c r="X1403" s="107">
        <v>0.0</v>
      </c>
      <c r="Y1403" s="107">
        <v>0.0</v>
      </c>
      <c r="Z1403" s="80">
        <v>0.0</v>
      </c>
      <c r="AA1403" s="140">
        <v>0.0</v>
      </c>
      <c r="AB1403" s="109">
        <v>0.0</v>
      </c>
      <c r="AC1403" s="109">
        <v>0.0</v>
      </c>
      <c r="AD1403" s="141">
        <v>0.0</v>
      </c>
      <c r="AE1403" s="80">
        <v>0.0</v>
      </c>
      <c r="AF1403" s="140">
        <v>214.0</v>
      </c>
      <c r="AG1403" s="109">
        <v>155.0</v>
      </c>
      <c r="AH1403" s="109">
        <v>26.0</v>
      </c>
      <c r="AI1403" s="141">
        <v>0.0</v>
      </c>
      <c r="AJ1403" s="80">
        <v>395.0</v>
      </c>
      <c r="AK1403" s="140">
        <v>0.0</v>
      </c>
      <c r="AL1403" s="109">
        <v>0.0</v>
      </c>
      <c r="AM1403" s="141">
        <v>0.0</v>
      </c>
      <c r="AN1403" s="80">
        <v>0.0</v>
      </c>
      <c r="AO1403" s="140">
        <v>0.0</v>
      </c>
      <c r="AP1403" s="109">
        <v>0.0</v>
      </c>
      <c r="AQ1403" s="109">
        <v>68.0</v>
      </c>
      <c r="AR1403" s="80">
        <v>68.0</v>
      </c>
      <c r="AS1403" s="110">
        <v>0.0</v>
      </c>
      <c r="AT1403" s="110">
        <v>0.0</v>
      </c>
      <c r="AU1403" s="110">
        <v>0.0</v>
      </c>
      <c r="AV1403" s="142">
        <v>87.0</v>
      </c>
      <c r="AW1403" s="80">
        <v>87.0</v>
      </c>
      <c r="AX1403" s="113">
        <v>550.0</v>
      </c>
      <c r="AY1403" s="117">
        <v>456.0</v>
      </c>
      <c r="AZ1403" s="328">
        <v>94.0</v>
      </c>
      <c r="BA1403" s="315">
        <v>1.0</v>
      </c>
      <c r="BB1403" s="316">
        <v>551.0</v>
      </c>
      <c r="BC1403" s="132" t="s">
        <v>265</v>
      </c>
      <c r="BD1403" s="132" t="s">
        <v>178</v>
      </c>
      <c r="BE1403" s="132" t="s">
        <v>178</v>
      </c>
      <c r="BF1403" s="123"/>
      <c r="BG1403" s="83">
        <v>1179606.0</v>
      </c>
      <c r="BH1403" s="98">
        <v>9.0</v>
      </c>
      <c r="BI1403" s="98" t="s">
        <v>162</v>
      </c>
      <c r="BJ1403" s="98" t="str">
        <f t="shared" si="1"/>
        <v>INTEGRAL</v>
      </c>
      <c r="BK1403" s="98" t="str">
        <f t="shared" si="2"/>
        <v>PROFISSIONAL</v>
      </c>
    </row>
    <row r="1404" ht="15.75" customHeight="1">
      <c r="A1404" s="111" t="s">
        <v>1707</v>
      </c>
      <c r="B1404" s="83" t="s">
        <v>7682</v>
      </c>
      <c r="C1404" s="83" t="s">
        <v>68</v>
      </c>
      <c r="D1404" s="83">
        <v>1179314.0</v>
      </c>
      <c r="E1404" s="83"/>
      <c r="F1404" s="83">
        <v>2.946151E7</v>
      </c>
      <c r="G1404" s="114" t="s">
        <v>11896</v>
      </c>
      <c r="H1404" s="91" t="s">
        <v>7689</v>
      </c>
      <c r="I1404" s="114" t="s">
        <v>7690</v>
      </c>
      <c r="J1404" s="136" t="s">
        <v>774</v>
      </c>
      <c r="K1404" s="83" t="s">
        <v>151</v>
      </c>
      <c r="L1404" s="83" t="s">
        <v>169</v>
      </c>
      <c r="M1404" s="82" t="s">
        <v>11897</v>
      </c>
      <c r="N1404" s="82" t="s">
        <v>11898</v>
      </c>
      <c r="O1404" s="82"/>
      <c r="P1404" s="82"/>
      <c r="Q1404" s="82"/>
      <c r="R1404" s="82"/>
      <c r="S1404" s="82" t="s">
        <v>11899</v>
      </c>
      <c r="T1404" s="138">
        <v>4.0</v>
      </c>
      <c r="U1404" s="391">
        <v>4.0</v>
      </c>
      <c r="V1404" s="106">
        <v>0.0</v>
      </c>
      <c r="W1404" s="107">
        <v>0.0</v>
      </c>
      <c r="X1404" s="107">
        <v>0.0</v>
      </c>
      <c r="Y1404" s="107">
        <v>0.0</v>
      </c>
      <c r="Z1404" s="80">
        <v>0.0</v>
      </c>
      <c r="AA1404" s="140">
        <v>0.0</v>
      </c>
      <c r="AB1404" s="109">
        <v>0.0</v>
      </c>
      <c r="AC1404" s="109">
        <v>0.0</v>
      </c>
      <c r="AD1404" s="141">
        <v>0.0</v>
      </c>
      <c r="AE1404" s="80">
        <v>0.0</v>
      </c>
      <c r="AF1404" s="246">
        <v>0.0</v>
      </c>
      <c r="AG1404" s="246">
        <v>64.0</v>
      </c>
      <c r="AH1404" s="246">
        <v>14.0</v>
      </c>
      <c r="AI1404" s="247">
        <v>38.0</v>
      </c>
      <c r="AJ1404" s="80">
        <v>116.0</v>
      </c>
      <c r="AK1404" s="140">
        <v>0.0</v>
      </c>
      <c r="AL1404" s="109">
        <v>0.0</v>
      </c>
      <c r="AM1404" s="141">
        <v>0.0</v>
      </c>
      <c r="AN1404" s="80">
        <v>0.0</v>
      </c>
      <c r="AO1404" s="246">
        <v>0.0</v>
      </c>
      <c r="AP1404" s="246">
        <v>0.0</v>
      </c>
      <c r="AQ1404" s="247">
        <v>29.0</v>
      </c>
      <c r="AR1404" s="80">
        <v>29.0</v>
      </c>
      <c r="AS1404" s="110">
        <v>0.0</v>
      </c>
      <c r="AT1404" s="110">
        <v>0.0</v>
      </c>
      <c r="AU1404" s="110">
        <v>0.0</v>
      </c>
      <c r="AV1404" s="142">
        <v>0.0</v>
      </c>
      <c r="AW1404" s="80">
        <v>0.0</v>
      </c>
      <c r="AX1404" s="113">
        <v>145.0</v>
      </c>
      <c r="AY1404" s="117">
        <v>102.0</v>
      </c>
      <c r="AZ1404" s="328">
        <v>43.0</v>
      </c>
      <c r="BA1404" s="315">
        <v>0.0</v>
      </c>
      <c r="BB1404" s="316">
        <v>145.0</v>
      </c>
      <c r="BC1404" s="132" t="s">
        <v>265</v>
      </c>
      <c r="BD1404" s="132" t="s">
        <v>178</v>
      </c>
      <c r="BE1404" s="132" t="s">
        <v>178</v>
      </c>
      <c r="BF1404" s="156"/>
      <c r="BG1404" s="83">
        <v>1179314.0</v>
      </c>
      <c r="BH1404" s="112">
        <v>4.0</v>
      </c>
      <c r="BI1404" s="98" t="s">
        <v>155</v>
      </c>
      <c r="BJ1404" s="98" t="str">
        <f t="shared" si="1"/>
        <v>INTEGRAL</v>
      </c>
      <c r="BK1404" s="98" t="str">
        <f t="shared" si="2"/>
        <v>NÃO</v>
      </c>
    </row>
    <row r="1405" ht="15.75" customHeight="1">
      <c r="A1405" s="111" t="s">
        <v>1707</v>
      </c>
      <c r="B1405" s="83" t="s">
        <v>7682</v>
      </c>
      <c r="C1405" s="83" t="s">
        <v>68</v>
      </c>
      <c r="D1405" s="83">
        <v>1119828.0</v>
      </c>
      <c r="E1405" s="83"/>
      <c r="F1405" s="83">
        <v>2.9050057E7</v>
      </c>
      <c r="G1405" s="153" t="s">
        <v>11900</v>
      </c>
      <c r="H1405" s="91" t="s">
        <v>7693</v>
      </c>
      <c r="I1405" s="298" t="s">
        <v>149</v>
      </c>
      <c r="J1405" s="136" t="s">
        <v>150</v>
      </c>
      <c r="K1405" s="83" t="s">
        <v>151</v>
      </c>
      <c r="L1405" s="83" t="s">
        <v>230</v>
      </c>
      <c r="M1405" s="82" t="s">
        <v>11901</v>
      </c>
      <c r="N1405" s="82" t="s">
        <v>11902</v>
      </c>
      <c r="O1405" s="82" t="s">
        <v>11903</v>
      </c>
      <c r="P1405" s="82" t="s">
        <v>11904</v>
      </c>
      <c r="Q1405" s="82" t="s">
        <v>11905</v>
      </c>
      <c r="R1405" s="82" t="s">
        <v>11906</v>
      </c>
      <c r="S1405" s="82" t="s">
        <v>11907</v>
      </c>
      <c r="T1405" s="138">
        <v>22.0</v>
      </c>
      <c r="U1405" s="323">
        <v>22.0</v>
      </c>
      <c r="V1405" s="106">
        <v>0.0</v>
      </c>
      <c r="W1405" s="107">
        <v>0.0</v>
      </c>
      <c r="X1405" s="107">
        <v>0.0</v>
      </c>
      <c r="Y1405" s="107">
        <v>0.0</v>
      </c>
      <c r="Z1405" s="80">
        <v>0.0</v>
      </c>
      <c r="AA1405" s="140">
        <v>0.0</v>
      </c>
      <c r="AB1405" s="109">
        <v>0.0</v>
      </c>
      <c r="AC1405" s="109">
        <v>0.0</v>
      </c>
      <c r="AD1405" s="141">
        <v>0.0</v>
      </c>
      <c r="AE1405" s="80">
        <v>0.0</v>
      </c>
      <c r="AF1405" s="140">
        <v>629.0</v>
      </c>
      <c r="AG1405" s="109">
        <v>356.0</v>
      </c>
      <c r="AH1405" s="109">
        <v>39.0</v>
      </c>
      <c r="AI1405" s="141">
        <v>163.0</v>
      </c>
      <c r="AJ1405" s="80">
        <v>1187.0</v>
      </c>
      <c r="AK1405" s="140">
        <v>0.0</v>
      </c>
      <c r="AL1405" s="109">
        <v>0.0</v>
      </c>
      <c r="AM1405" s="141">
        <v>0.0</v>
      </c>
      <c r="AN1405" s="80">
        <v>0.0</v>
      </c>
      <c r="AO1405" s="140">
        <v>0.0</v>
      </c>
      <c r="AP1405" s="109">
        <v>0.0</v>
      </c>
      <c r="AQ1405" s="109">
        <v>94.0</v>
      </c>
      <c r="AR1405" s="80">
        <v>94.0</v>
      </c>
      <c r="AS1405" s="110">
        <v>0.0</v>
      </c>
      <c r="AT1405" s="110">
        <v>0.0</v>
      </c>
      <c r="AU1405" s="110">
        <v>0.0</v>
      </c>
      <c r="AV1405" s="142">
        <v>0.0</v>
      </c>
      <c r="AW1405" s="80">
        <v>0.0</v>
      </c>
      <c r="AX1405" s="113">
        <v>1281.0</v>
      </c>
      <c r="AY1405" s="117">
        <v>1148.0</v>
      </c>
      <c r="AZ1405" s="328">
        <v>133.0</v>
      </c>
      <c r="BA1405" s="315">
        <v>7.0</v>
      </c>
      <c r="BB1405" s="316">
        <v>1288.0</v>
      </c>
      <c r="BC1405" s="132" t="s">
        <v>178</v>
      </c>
      <c r="BD1405" s="132" t="s">
        <v>178</v>
      </c>
      <c r="BE1405" s="132" t="s">
        <v>178</v>
      </c>
      <c r="BF1405" s="123"/>
      <c r="BG1405" s="83">
        <v>1119828.0</v>
      </c>
      <c r="BH1405" s="112">
        <v>22.0</v>
      </c>
      <c r="BI1405" s="98" t="s">
        <v>155</v>
      </c>
      <c r="BJ1405" s="98" t="str">
        <f t="shared" si="1"/>
        <v>INTEGRAL</v>
      </c>
      <c r="BK1405" s="98" t="str">
        <f t="shared" si="2"/>
        <v>NÃO</v>
      </c>
    </row>
    <row r="1406" ht="15.75" customHeight="1">
      <c r="A1406" s="111" t="s">
        <v>1707</v>
      </c>
      <c r="B1406" s="172" t="s">
        <v>7682</v>
      </c>
      <c r="C1406" s="136" t="s">
        <v>164</v>
      </c>
      <c r="D1406" s="136">
        <v>1119828.0</v>
      </c>
      <c r="E1406" s="136">
        <v>1179039.0</v>
      </c>
      <c r="F1406" s="136"/>
      <c r="G1406" s="187" t="s">
        <v>11908</v>
      </c>
      <c r="H1406" s="91" t="s">
        <v>7717</v>
      </c>
      <c r="I1406" s="187" t="s">
        <v>7718</v>
      </c>
      <c r="J1406" s="83" t="s">
        <v>767</v>
      </c>
      <c r="K1406" s="83" t="s">
        <v>168</v>
      </c>
      <c r="L1406" s="83" t="s">
        <v>230</v>
      </c>
      <c r="M1406" s="82" t="s">
        <v>11901</v>
      </c>
      <c r="N1406" s="82" t="s">
        <v>11902</v>
      </c>
      <c r="O1406" s="82" t="s">
        <v>11903</v>
      </c>
      <c r="P1406" s="82" t="s">
        <v>11904</v>
      </c>
      <c r="Q1406" s="82" t="s">
        <v>11905</v>
      </c>
      <c r="R1406" s="82" t="s">
        <v>11906</v>
      </c>
      <c r="S1406" s="82" t="s">
        <v>11907</v>
      </c>
      <c r="T1406" s="138">
        <v>6.0</v>
      </c>
      <c r="U1406" s="352">
        <v>6.0</v>
      </c>
      <c r="V1406" s="106">
        <v>0.0</v>
      </c>
      <c r="W1406" s="107">
        <v>0.0</v>
      </c>
      <c r="X1406" s="107">
        <v>0.0</v>
      </c>
      <c r="Y1406" s="107">
        <v>0.0</v>
      </c>
      <c r="Z1406" s="80">
        <v>0.0</v>
      </c>
      <c r="AA1406" s="140">
        <v>0.0</v>
      </c>
      <c r="AB1406" s="109">
        <v>0.0</v>
      </c>
      <c r="AC1406" s="109">
        <v>0.0</v>
      </c>
      <c r="AD1406" s="141">
        <v>0.0</v>
      </c>
      <c r="AE1406" s="80">
        <v>0.0</v>
      </c>
      <c r="AF1406" s="140">
        <v>0.0</v>
      </c>
      <c r="AG1406" s="109">
        <v>49.0</v>
      </c>
      <c r="AH1406" s="109">
        <v>0.0</v>
      </c>
      <c r="AI1406" s="141">
        <v>0.0</v>
      </c>
      <c r="AJ1406" s="80">
        <v>49.0</v>
      </c>
      <c r="AK1406" s="140">
        <v>0.0</v>
      </c>
      <c r="AL1406" s="109">
        <v>0.0</v>
      </c>
      <c r="AM1406" s="141">
        <v>0.0</v>
      </c>
      <c r="AN1406" s="80">
        <v>0.0</v>
      </c>
      <c r="AO1406" s="140">
        <v>0.0</v>
      </c>
      <c r="AP1406" s="109">
        <v>0.0</v>
      </c>
      <c r="AQ1406" s="109">
        <v>0.0</v>
      </c>
      <c r="AR1406" s="80">
        <v>0.0</v>
      </c>
      <c r="AS1406" s="110">
        <v>0.0</v>
      </c>
      <c r="AT1406" s="110">
        <v>0.0</v>
      </c>
      <c r="AU1406" s="110">
        <v>0.0</v>
      </c>
      <c r="AV1406" s="142">
        <v>0.0</v>
      </c>
      <c r="AW1406" s="80">
        <v>0.0</v>
      </c>
      <c r="AX1406" s="113">
        <v>49.0</v>
      </c>
      <c r="AY1406" s="117">
        <v>49.0</v>
      </c>
      <c r="AZ1406" s="328">
        <v>0.0</v>
      </c>
      <c r="BA1406" s="315">
        <v>0.0</v>
      </c>
      <c r="BB1406" s="316">
        <v>49.0</v>
      </c>
      <c r="BC1406" s="132" t="s">
        <v>373</v>
      </c>
      <c r="BD1406" s="132" t="s">
        <v>178</v>
      </c>
      <c r="BE1406" s="132" t="s">
        <v>178</v>
      </c>
      <c r="BF1406" s="123"/>
      <c r="BG1406" s="136">
        <v>1179039.0</v>
      </c>
      <c r="BH1406" s="98">
        <v>6.0</v>
      </c>
      <c r="BI1406" s="98" t="s">
        <v>155</v>
      </c>
      <c r="BJ1406" s="98" t="str">
        <f t="shared" si="1"/>
        <v>NÃO</v>
      </c>
      <c r="BK1406" s="98" t="str">
        <f t="shared" si="2"/>
        <v>NÃO</v>
      </c>
    </row>
    <row r="1407" ht="15.75" customHeight="1">
      <c r="A1407" s="111" t="s">
        <v>1707</v>
      </c>
      <c r="B1407" s="83" t="s">
        <v>7682</v>
      </c>
      <c r="C1407" s="83" t="s">
        <v>164</v>
      </c>
      <c r="D1407" s="83">
        <v>1119828.0</v>
      </c>
      <c r="E1407" s="83">
        <v>1178984.0</v>
      </c>
      <c r="F1407" s="83"/>
      <c r="G1407" s="114" t="s">
        <v>11909</v>
      </c>
      <c r="H1407" s="91" t="s">
        <v>7708</v>
      </c>
      <c r="I1407" s="187" t="s">
        <v>7709</v>
      </c>
      <c r="J1407" s="83" t="s">
        <v>7710</v>
      </c>
      <c r="K1407" s="83" t="s">
        <v>168</v>
      </c>
      <c r="L1407" s="83" t="s">
        <v>230</v>
      </c>
      <c r="M1407" s="82" t="s">
        <v>11901</v>
      </c>
      <c r="N1407" s="82" t="s">
        <v>11902</v>
      </c>
      <c r="O1407" s="82" t="s">
        <v>11903</v>
      </c>
      <c r="P1407" s="82" t="s">
        <v>11904</v>
      </c>
      <c r="Q1407" s="82" t="s">
        <v>11905</v>
      </c>
      <c r="R1407" s="82" t="s">
        <v>11906</v>
      </c>
      <c r="S1407" s="82" t="s">
        <v>11907</v>
      </c>
      <c r="T1407" s="138">
        <v>3.0</v>
      </c>
      <c r="U1407" s="331">
        <v>3.0</v>
      </c>
      <c r="V1407" s="106">
        <v>0.0</v>
      </c>
      <c r="W1407" s="107">
        <v>0.0</v>
      </c>
      <c r="X1407" s="107">
        <v>0.0</v>
      </c>
      <c r="Y1407" s="107">
        <v>0.0</v>
      </c>
      <c r="Z1407" s="80">
        <v>0.0</v>
      </c>
      <c r="AA1407" s="140">
        <v>0.0</v>
      </c>
      <c r="AB1407" s="109">
        <v>0.0</v>
      </c>
      <c r="AC1407" s="109">
        <v>0.0</v>
      </c>
      <c r="AD1407" s="141">
        <v>0.0</v>
      </c>
      <c r="AE1407" s="80">
        <v>0.0</v>
      </c>
      <c r="AF1407" s="140">
        <v>0.0</v>
      </c>
      <c r="AG1407" s="109">
        <v>0.0</v>
      </c>
      <c r="AH1407" s="109">
        <v>12.0</v>
      </c>
      <c r="AI1407" s="141">
        <v>0.0</v>
      </c>
      <c r="AJ1407" s="80">
        <v>12.0</v>
      </c>
      <c r="AK1407" s="140">
        <v>0.0</v>
      </c>
      <c r="AL1407" s="109">
        <v>0.0</v>
      </c>
      <c r="AM1407" s="141">
        <v>0.0</v>
      </c>
      <c r="AN1407" s="80">
        <v>0.0</v>
      </c>
      <c r="AO1407" s="140">
        <v>0.0</v>
      </c>
      <c r="AP1407" s="109">
        <v>0.0</v>
      </c>
      <c r="AQ1407" s="109">
        <v>21.0</v>
      </c>
      <c r="AR1407" s="80">
        <v>21.0</v>
      </c>
      <c r="AS1407" s="110">
        <v>0.0</v>
      </c>
      <c r="AT1407" s="110">
        <v>0.0</v>
      </c>
      <c r="AU1407" s="110">
        <v>0.0</v>
      </c>
      <c r="AV1407" s="142">
        <v>0.0</v>
      </c>
      <c r="AW1407" s="80">
        <v>0.0</v>
      </c>
      <c r="AX1407" s="113">
        <v>33.0</v>
      </c>
      <c r="AY1407" s="117">
        <v>0.0</v>
      </c>
      <c r="AZ1407" s="328">
        <v>33.0</v>
      </c>
      <c r="BA1407" s="315">
        <v>0.0</v>
      </c>
      <c r="BB1407" s="316">
        <v>33.0</v>
      </c>
      <c r="BC1407" s="132" t="s">
        <v>373</v>
      </c>
      <c r="BD1407" s="132" t="s">
        <v>178</v>
      </c>
      <c r="BE1407" s="132" t="s">
        <v>178</v>
      </c>
      <c r="BF1407" s="156"/>
      <c r="BG1407" s="83">
        <v>1178984.0</v>
      </c>
      <c r="BH1407" s="112">
        <v>3.0</v>
      </c>
      <c r="BI1407" s="98" t="s">
        <v>155</v>
      </c>
      <c r="BJ1407" s="98" t="str">
        <f t="shared" si="1"/>
        <v>NÃO</v>
      </c>
      <c r="BK1407" s="98" t="str">
        <f t="shared" si="2"/>
        <v>NÃO</v>
      </c>
    </row>
    <row r="1408" ht="15.75" customHeight="1">
      <c r="A1408" s="111" t="s">
        <v>1707</v>
      </c>
      <c r="B1408" s="83" t="s">
        <v>7682</v>
      </c>
      <c r="C1408" s="83" t="s">
        <v>164</v>
      </c>
      <c r="D1408" s="83">
        <v>1119828.0</v>
      </c>
      <c r="E1408" s="83">
        <v>1178977.0</v>
      </c>
      <c r="F1408" s="83"/>
      <c r="G1408" s="114" t="s">
        <v>11910</v>
      </c>
      <c r="H1408" s="91" t="s">
        <v>7721</v>
      </c>
      <c r="I1408" s="114" t="s">
        <v>7722</v>
      </c>
      <c r="J1408" s="83" t="s">
        <v>705</v>
      </c>
      <c r="K1408" s="83" t="s">
        <v>168</v>
      </c>
      <c r="L1408" s="83" t="s">
        <v>230</v>
      </c>
      <c r="M1408" s="82" t="s">
        <v>11901</v>
      </c>
      <c r="N1408" s="82" t="s">
        <v>11902</v>
      </c>
      <c r="O1408" s="82" t="s">
        <v>11903</v>
      </c>
      <c r="P1408" s="82" t="s">
        <v>11904</v>
      </c>
      <c r="Q1408" s="82" t="s">
        <v>11905</v>
      </c>
      <c r="R1408" s="82" t="s">
        <v>11906</v>
      </c>
      <c r="S1408" s="82" t="s">
        <v>11907</v>
      </c>
      <c r="T1408" s="138">
        <v>3.0</v>
      </c>
      <c r="U1408" s="323">
        <v>3.0</v>
      </c>
      <c r="V1408" s="106">
        <v>0.0</v>
      </c>
      <c r="W1408" s="107">
        <v>0.0</v>
      </c>
      <c r="X1408" s="107">
        <v>0.0</v>
      </c>
      <c r="Y1408" s="107">
        <v>0.0</v>
      </c>
      <c r="Z1408" s="80">
        <v>0.0</v>
      </c>
      <c r="AA1408" s="140">
        <v>0.0</v>
      </c>
      <c r="AB1408" s="109">
        <v>0.0</v>
      </c>
      <c r="AC1408" s="109">
        <v>0.0</v>
      </c>
      <c r="AD1408" s="141">
        <v>0.0</v>
      </c>
      <c r="AE1408" s="80">
        <v>0.0</v>
      </c>
      <c r="AF1408" s="140">
        <v>0.0</v>
      </c>
      <c r="AG1408" s="109">
        <v>0.0</v>
      </c>
      <c r="AH1408" s="109">
        <v>23.0</v>
      </c>
      <c r="AI1408" s="141">
        <v>0.0</v>
      </c>
      <c r="AJ1408" s="80">
        <v>23.0</v>
      </c>
      <c r="AK1408" s="140">
        <v>0.0</v>
      </c>
      <c r="AL1408" s="109">
        <v>0.0</v>
      </c>
      <c r="AM1408" s="141">
        <v>0.0</v>
      </c>
      <c r="AN1408" s="80">
        <v>0.0</v>
      </c>
      <c r="AO1408" s="140">
        <v>0.0</v>
      </c>
      <c r="AP1408" s="109">
        <v>0.0</v>
      </c>
      <c r="AQ1408" s="109">
        <v>24.0</v>
      </c>
      <c r="AR1408" s="80">
        <v>24.0</v>
      </c>
      <c r="AS1408" s="110">
        <v>0.0</v>
      </c>
      <c r="AT1408" s="110">
        <v>0.0</v>
      </c>
      <c r="AU1408" s="110">
        <v>0.0</v>
      </c>
      <c r="AV1408" s="142">
        <v>0.0</v>
      </c>
      <c r="AW1408" s="80">
        <v>0.0</v>
      </c>
      <c r="AX1408" s="113">
        <v>47.0</v>
      </c>
      <c r="AY1408" s="117">
        <v>0.0</v>
      </c>
      <c r="AZ1408" s="328">
        <v>47.0</v>
      </c>
      <c r="BA1408" s="315">
        <v>0.0</v>
      </c>
      <c r="BB1408" s="316">
        <v>47.0</v>
      </c>
      <c r="BC1408" s="132" t="s">
        <v>373</v>
      </c>
      <c r="BD1408" s="132" t="s">
        <v>178</v>
      </c>
      <c r="BE1408" s="132" t="s">
        <v>178</v>
      </c>
      <c r="BF1408" s="156"/>
      <c r="BG1408" s="83">
        <v>1178977.0</v>
      </c>
      <c r="BH1408" s="112">
        <v>3.0</v>
      </c>
      <c r="BI1408" s="98" t="s">
        <v>155</v>
      </c>
      <c r="BJ1408" s="98" t="str">
        <f t="shared" si="1"/>
        <v>NÃO</v>
      </c>
      <c r="BK1408" s="98" t="str">
        <f t="shared" si="2"/>
        <v>NÃO</v>
      </c>
    </row>
    <row r="1409" ht="15.75" customHeight="1">
      <c r="A1409" s="111" t="s">
        <v>1707</v>
      </c>
      <c r="B1409" s="83" t="s">
        <v>7682</v>
      </c>
      <c r="C1409" s="83" t="s">
        <v>164</v>
      </c>
      <c r="D1409" s="83">
        <v>1119828.0</v>
      </c>
      <c r="E1409" s="83">
        <v>1178981.0</v>
      </c>
      <c r="F1409" s="83"/>
      <c r="G1409" s="114" t="s">
        <v>11911</v>
      </c>
      <c r="H1409" s="91" t="s">
        <v>7705</v>
      </c>
      <c r="I1409" s="187" t="s">
        <v>7706</v>
      </c>
      <c r="J1409" s="83" t="s">
        <v>461</v>
      </c>
      <c r="K1409" s="83" t="s">
        <v>168</v>
      </c>
      <c r="L1409" s="83" t="s">
        <v>230</v>
      </c>
      <c r="M1409" s="82" t="s">
        <v>11901</v>
      </c>
      <c r="N1409" s="82" t="s">
        <v>11902</v>
      </c>
      <c r="O1409" s="82" t="s">
        <v>11903</v>
      </c>
      <c r="P1409" s="82" t="s">
        <v>11904</v>
      </c>
      <c r="Q1409" s="82" t="s">
        <v>11905</v>
      </c>
      <c r="R1409" s="82" t="s">
        <v>11906</v>
      </c>
      <c r="S1409" s="82" t="s">
        <v>11907</v>
      </c>
      <c r="T1409" s="138">
        <v>3.0</v>
      </c>
      <c r="U1409" s="331">
        <v>3.0</v>
      </c>
      <c r="V1409" s="106">
        <v>0.0</v>
      </c>
      <c r="W1409" s="107">
        <v>0.0</v>
      </c>
      <c r="X1409" s="107">
        <v>0.0</v>
      </c>
      <c r="Y1409" s="107">
        <v>0.0</v>
      </c>
      <c r="Z1409" s="80">
        <v>0.0</v>
      </c>
      <c r="AA1409" s="140">
        <v>0.0</v>
      </c>
      <c r="AB1409" s="109">
        <v>0.0</v>
      </c>
      <c r="AC1409" s="109">
        <v>0.0</v>
      </c>
      <c r="AD1409" s="141">
        <v>0.0</v>
      </c>
      <c r="AE1409" s="80">
        <v>0.0</v>
      </c>
      <c r="AF1409" s="140">
        <v>0.0</v>
      </c>
      <c r="AG1409" s="109">
        <v>0.0</v>
      </c>
      <c r="AH1409" s="109">
        <v>20.0</v>
      </c>
      <c r="AI1409" s="141">
        <v>0.0</v>
      </c>
      <c r="AJ1409" s="80">
        <v>20.0</v>
      </c>
      <c r="AK1409" s="140">
        <v>0.0</v>
      </c>
      <c r="AL1409" s="109">
        <v>0.0</v>
      </c>
      <c r="AM1409" s="141">
        <v>0.0</v>
      </c>
      <c r="AN1409" s="80">
        <v>0.0</v>
      </c>
      <c r="AO1409" s="140">
        <v>0.0</v>
      </c>
      <c r="AP1409" s="109">
        <v>0.0</v>
      </c>
      <c r="AQ1409" s="109">
        <v>39.0</v>
      </c>
      <c r="AR1409" s="80">
        <v>39.0</v>
      </c>
      <c r="AS1409" s="110">
        <v>0.0</v>
      </c>
      <c r="AT1409" s="110">
        <v>0.0</v>
      </c>
      <c r="AU1409" s="110">
        <v>0.0</v>
      </c>
      <c r="AV1409" s="142">
        <v>0.0</v>
      </c>
      <c r="AW1409" s="80">
        <v>0.0</v>
      </c>
      <c r="AX1409" s="113">
        <v>59.0</v>
      </c>
      <c r="AY1409" s="117">
        <v>0.0</v>
      </c>
      <c r="AZ1409" s="328">
        <v>59.0</v>
      </c>
      <c r="BA1409" s="315">
        <v>0.0</v>
      </c>
      <c r="BB1409" s="316">
        <v>59.0</v>
      </c>
      <c r="BC1409" s="132" t="s">
        <v>373</v>
      </c>
      <c r="BD1409" s="132" t="s">
        <v>178</v>
      </c>
      <c r="BE1409" s="132" t="s">
        <v>178</v>
      </c>
      <c r="BF1409" s="123"/>
      <c r="BG1409" s="83">
        <v>1178981.0</v>
      </c>
      <c r="BH1409" s="98">
        <v>3.0</v>
      </c>
      <c r="BI1409" s="98" t="s">
        <v>155</v>
      </c>
      <c r="BJ1409" s="98" t="str">
        <f t="shared" si="1"/>
        <v>NÃO</v>
      </c>
      <c r="BK1409" s="98" t="str">
        <f t="shared" si="2"/>
        <v>NÃO</v>
      </c>
    </row>
    <row r="1410" ht="15.75" customHeight="1">
      <c r="A1410" s="111" t="s">
        <v>1707</v>
      </c>
      <c r="B1410" s="83" t="s">
        <v>7682</v>
      </c>
      <c r="C1410" s="83" t="s">
        <v>164</v>
      </c>
      <c r="D1410" s="83">
        <v>1119828.0</v>
      </c>
      <c r="E1410" s="83">
        <v>1178980.0</v>
      </c>
      <c r="F1410" s="83"/>
      <c r="G1410" s="114" t="s">
        <v>11912</v>
      </c>
      <c r="H1410" s="91" t="s">
        <v>7725</v>
      </c>
      <c r="I1410" s="187" t="s">
        <v>7726</v>
      </c>
      <c r="J1410" s="83" t="s">
        <v>471</v>
      </c>
      <c r="K1410" s="83" t="s">
        <v>168</v>
      </c>
      <c r="L1410" s="83" t="s">
        <v>230</v>
      </c>
      <c r="M1410" s="82" t="s">
        <v>11901</v>
      </c>
      <c r="N1410" s="82" t="s">
        <v>11902</v>
      </c>
      <c r="O1410" s="82" t="s">
        <v>11903</v>
      </c>
      <c r="P1410" s="82" t="s">
        <v>11904</v>
      </c>
      <c r="Q1410" s="82" t="s">
        <v>11905</v>
      </c>
      <c r="R1410" s="82" t="s">
        <v>11906</v>
      </c>
      <c r="S1410" s="82" t="s">
        <v>11907</v>
      </c>
      <c r="T1410" s="138">
        <v>4.0</v>
      </c>
      <c r="U1410" s="331">
        <v>4.0</v>
      </c>
      <c r="V1410" s="106">
        <v>0.0</v>
      </c>
      <c r="W1410" s="107">
        <v>0.0</v>
      </c>
      <c r="X1410" s="107">
        <v>0.0</v>
      </c>
      <c r="Y1410" s="107">
        <v>0.0</v>
      </c>
      <c r="Z1410" s="80">
        <v>0.0</v>
      </c>
      <c r="AA1410" s="140">
        <v>0.0</v>
      </c>
      <c r="AB1410" s="109">
        <v>0.0</v>
      </c>
      <c r="AC1410" s="109">
        <v>0.0</v>
      </c>
      <c r="AD1410" s="141">
        <v>0.0</v>
      </c>
      <c r="AE1410" s="80">
        <v>0.0</v>
      </c>
      <c r="AF1410" s="140">
        <v>78.0</v>
      </c>
      <c r="AG1410" s="109">
        <v>111.0</v>
      </c>
      <c r="AH1410" s="109">
        <v>25.0</v>
      </c>
      <c r="AI1410" s="141">
        <v>0.0</v>
      </c>
      <c r="AJ1410" s="80">
        <v>214.0</v>
      </c>
      <c r="AK1410" s="140">
        <v>0.0</v>
      </c>
      <c r="AL1410" s="109">
        <v>0.0</v>
      </c>
      <c r="AM1410" s="141">
        <v>0.0</v>
      </c>
      <c r="AN1410" s="80">
        <v>0.0</v>
      </c>
      <c r="AO1410" s="140">
        <v>0.0</v>
      </c>
      <c r="AP1410" s="109">
        <v>0.0</v>
      </c>
      <c r="AQ1410" s="109">
        <v>33.0</v>
      </c>
      <c r="AR1410" s="80">
        <v>33.0</v>
      </c>
      <c r="AS1410" s="110">
        <v>0.0</v>
      </c>
      <c r="AT1410" s="110">
        <v>0.0</v>
      </c>
      <c r="AU1410" s="110">
        <v>0.0</v>
      </c>
      <c r="AV1410" s="142">
        <v>0.0</v>
      </c>
      <c r="AW1410" s="80">
        <v>0.0</v>
      </c>
      <c r="AX1410" s="113">
        <v>247.0</v>
      </c>
      <c r="AY1410" s="117">
        <v>189.0</v>
      </c>
      <c r="AZ1410" s="328">
        <v>58.0</v>
      </c>
      <c r="BA1410" s="315">
        <v>0.0</v>
      </c>
      <c r="BB1410" s="316">
        <v>247.0</v>
      </c>
      <c r="BC1410" s="132" t="s">
        <v>373</v>
      </c>
      <c r="BD1410" s="132" t="s">
        <v>178</v>
      </c>
      <c r="BE1410" s="132" t="s">
        <v>178</v>
      </c>
      <c r="BF1410" s="123"/>
      <c r="BG1410" s="83">
        <v>1178980.0</v>
      </c>
      <c r="BH1410" s="112">
        <v>4.0</v>
      </c>
      <c r="BI1410" s="98" t="s">
        <v>155</v>
      </c>
      <c r="BJ1410" s="98" t="str">
        <f t="shared" si="1"/>
        <v>NÃO</v>
      </c>
      <c r="BK1410" s="98" t="str">
        <f t="shared" si="2"/>
        <v>NÃO</v>
      </c>
    </row>
    <row r="1411" ht="15.75" customHeight="1">
      <c r="A1411" s="111" t="s">
        <v>1707</v>
      </c>
      <c r="B1411" s="83" t="s">
        <v>7682</v>
      </c>
      <c r="C1411" s="83" t="s">
        <v>164</v>
      </c>
      <c r="D1411" s="83">
        <v>1119828.0</v>
      </c>
      <c r="E1411" s="83">
        <v>1178986.0</v>
      </c>
      <c r="F1411" s="83"/>
      <c r="G1411" s="114" t="s">
        <v>11913</v>
      </c>
      <c r="H1411" s="91" t="s">
        <v>7713</v>
      </c>
      <c r="I1411" s="187" t="s">
        <v>7714</v>
      </c>
      <c r="J1411" s="83" t="s">
        <v>508</v>
      </c>
      <c r="K1411" s="83" t="s">
        <v>168</v>
      </c>
      <c r="L1411" s="83" t="s">
        <v>230</v>
      </c>
      <c r="M1411" s="82" t="s">
        <v>11901</v>
      </c>
      <c r="N1411" s="82" t="s">
        <v>11902</v>
      </c>
      <c r="O1411" s="82" t="s">
        <v>11903</v>
      </c>
      <c r="P1411" s="82" t="s">
        <v>11904</v>
      </c>
      <c r="Q1411" s="82" t="s">
        <v>11905</v>
      </c>
      <c r="R1411" s="82" t="s">
        <v>11906</v>
      </c>
      <c r="S1411" s="82" t="s">
        <v>11907</v>
      </c>
      <c r="T1411" s="138">
        <v>4.0</v>
      </c>
      <c r="U1411" s="323">
        <v>4.0</v>
      </c>
      <c r="V1411" s="106">
        <v>0.0</v>
      </c>
      <c r="W1411" s="107">
        <v>0.0</v>
      </c>
      <c r="X1411" s="107">
        <v>0.0</v>
      </c>
      <c r="Y1411" s="107">
        <v>0.0</v>
      </c>
      <c r="Z1411" s="80">
        <v>0.0</v>
      </c>
      <c r="AA1411" s="140">
        <v>0.0</v>
      </c>
      <c r="AB1411" s="109">
        <v>0.0</v>
      </c>
      <c r="AC1411" s="109">
        <v>0.0</v>
      </c>
      <c r="AD1411" s="141">
        <v>0.0</v>
      </c>
      <c r="AE1411" s="80">
        <v>0.0</v>
      </c>
      <c r="AF1411" s="140">
        <v>57.0</v>
      </c>
      <c r="AG1411" s="109">
        <v>0.0</v>
      </c>
      <c r="AH1411" s="109">
        <v>0.0</v>
      </c>
      <c r="AI1411" s="141">
        <v>0.0</v>
      </c>
      <c r="AJ1411" s="80">
        <v>57.0</v>
      </c>
      <c r="AK1411" s="140">
        <v>0.0</v>
      </c>
      <c r="AL1411" s="109">
        <v>0.0</v>
      </c>
      <c r="AM1411" s="141">
        <v>0.0</v>
      </c>
      <c r="AN1411" s="80">
        <v>0.0</v>
      </c>
      <c r="AO1411" s="140">
        <v>0.0</v>
      </c>
      <c r="AP1411" s="109">
        <v>0.0</v>
      </c>
      <c r="AQ1411" s="109">
        <v>23.0</v>
      </c>
      <c r="AR1411" s="80">
        <v>23.0</v>
      </c>
      <c r="AS1411" s="110">
        <v>0.0</v>
      </c>
      <c r="AT1411" s="110">
        <v>0.0</v>
      </c>
      <c r="AU1411" s="110">
        <v>0.0</v>
      </c>
      <c r="AV1411" s="142">
        <v>0.0</v>
      </c>
      <c r="AW1411" s="80">
        <v>0.0</v>
      </c>
      <c r="AX1411" s="113">
        <v>80.0</v>
      </c>
      <c r="AY1411" s="117">
        <v>57.0</v>
      </c>
      <c r="AZ1411" s="328">
        <v>23.0</v>
      </c>
      <c r="BA1411" s="315">
        <v>0.0</v>
      </c>
      <c r="BB1411" s="316">
        <v>80.0</v>
      </c>
      <c r="BC1411" s="132" t="s">
        <v>373</v>
      </c>
      <c r="BD1411" s="132" t="s">
        <v>178</v>
      </c>
      <c r="BE1411" s="132" t="s">
        <v>178</v>
      </c>
      <c r="BF1411" s="123"/>
      <c r="BG1411" s="83">
        <v>1178986.0</v>
      </c>
      <c r="BH1411" s="112">
        <v>4.0</v>
      </c>
      <c r="BI1411" s="98" t="s">
        <v>155</v>
      </c>
      <c r="BJ1411" s="98" t="str">
        <f t="shared" si="1"/>
        <v>NÃO</v>
      </c>
      <c r="BK1411" s="98" t="str">
        <f t="shared" si="2"/>
        <v>NÃO</v>
      </c>
    </row>
    <row r="1412" ht="15.75" customHeight="1">
      <c r="A1412" s="111" t="s">
        <v>1707</v>
      </c>
      <c r="B1412" s="83" t="s">
        <v>7682</v>
      </c>
      <c r="C1412" s="83" t="s">
        <v>164</v>
      </c>
      <c r="D1412" s="83">
        <v>1179286.0</v>
      </c>
      <c r="E1412" s="83">
        <v>1178985.0</v>
      </c>
      <c r="F1412" s="83"/>
      <c r="G1412" s="114" t="s">
        <v>7728</v>
      </c>
      <c r="H1412" s="91" t="s">
        <v>7729</v>
      </c>
      <c r="I1412" s="187" t="s">
        <v>7730</v>
      </c>
      <c r="J1412" s="83" t="s">
        <v>244</v>
      </c>
      <c r="K1412" s="83" t="s">
        <v>168</v>
      </c>
      <c r="L1412" s="83" t="s">
        <v>169</v>
      </c>
      <c r="M1412" s="82" t="s">
        <v>11915</v>
      </c>
      <c r="N1412" s="82" t="s">
        <v>11916</v>
      </c>
      <c r="O1412" s="82" t="s">
        <v>11917</v>
      </c>
      <c r="P1412" s="82" t="s">
        <v>11918</v>
      </c>
      <c r="Q1412" s="82"/>
      <c r="R1412" s="82"/>
      <c r="S1412" s="82" t="s">
        <v>11919</v>
      </c>
      <c r="T1412" s="138">
        <v>3.0</v>
      </c>
      <c r="U1412" s="323">
        <v>3.0</v>
      </c>
      <c r="V1412" s="106">
        <v>0.0</v>
      </c>
      <c r="W1412" s="107">
        <v>0.0</v>
      </c>
      <c r="X1412" s="107">
        <v>0.0</v>
      </c>
      <c r="Y1412" s="107">
        <v>0.0</v>
      </c>
      <c r="Z1412" s="80">
        <v>0.0</v>
      </c>
      <c r="AA1412" s="140">
        <v>0.0</v>
      </c>
      <c r="AB1412" s="109">
        <v>0.0</v>
      </c>
      <c r="AC1412" s="109">
        <v>0.0</v>
      </c>
      <c r="AD1412" s="141">
        <v>0.0</v>
      </c>
      <c r="AE1412" s="80">
        <v>0.0</v>
      </c>
      <c r="AF1412" s="140">
        <v>0.0</v>
      </c>
      <c r="AG1412" s="109">
        <v>0.0</v>
      </c>
      <c r="AH1412" s="109">
        <v>23.0</v>
      </c>
      <c r="AI1412" s="141">
        <v>0.0</v>
      </c>
      <c r="AJ1412" s="80">
        <v>23.0</v>
      </c>
      <c r="AK1412" s="140">
        <v>0.0</v>
      </c>
      <c r="AL1412" s="109">
        <v>0.0</v>
      </c>
      <c r="AM1412" s="141">
        <v>0.0</v>
      </c>
      <c r="AN1412" s="80">
        <v>0.0</v>
      </c>
      <c r="AO1412" s="140">
        <v>0.0</v>
      </c>
      <c r="AP1412" s="109">
        <v>0.0</v>
      </c>
      <c r="AQ1412" s="109">
        <v>0.0</v>
      </c>
      <c r="AR1412" s="80">
        <v>0.0</v>
      </c>
      <c r="AS1412" s="110">
        <v>0.0</v>
      </c>
      <c r="AT1412" s="110">
        <v>0.0</v>
      </c>
      <c r="AU1412" s="110">
        <v>0.0</v>
      </c>
      <c r="AV1412" s="142">
        <v>0.0</v>
      </c>
      <c r="AW1412" s="80">
        <v>0.0</v>
      </c>
      <c r="AX1412" s="113">
        <v>23.0</v>
      </c>
      <c r="AY1412" s="117">
        <v>0.0</v>
      </c>
      <c r="AZ1412" s="328">
        <v>23.0</v>
      </c>
      <c r="BA1412" s="315">
        <v>0.0</v>
      </c>
      <c r="BB1412" s="316">
        <v>23.0</v>
      </c>
      <c r="BC1412" s="132" t="s">
        <v>178</v>
      </c>
      <c r="BD1412" s="143" t="s">
        <v>227</v>
      </c>
      <c r="BE1412" s="132" t="s">
        <v>178</v>
      </c>
      <c r="BF1412" s="123"/>
      <c r="BG1412" s="83">
        <v>1178985.0</v>
      </c>
      <c r="BH1412" s="112">
        <v>3.0</v>
      </c>
      <c r="BI1412" s="98" t="s">
        <v>155</v>
      </c>
      <c r="BJ1412" s="98" t="str">
        <f t="shared" si="1"/>
        <v>NÃO</v>
      </c>
      <c r="BK1412" s="98" t="str">
        <f t="shared" si="2"/>
        <v>NÃO</v>
      </c>
    </row>
    <row r="1413" ht="15.75" customHeight="1">
      <c r="A1413" s="111" t="s">
        <v>1707</v>
      </c>
      <c r="B1413" s="83" t="s">
        <v>7682</v>
      </c>
      <c r="C1413" s="83" t="s">
        <v>164</v>
      </c>
      <c r="D1413" s="83">
        <v>1179286.0</v>
      </c>
      <c r="E1413" s="83">
        <v>1178983.0</v>
      </c>
      <c r="F1413" s="83"/>
      <c r="G1413" s="114" t="s">
        <v>7731</v>
      </c>
      <c r="H1413" s="91" t="s">
        <v>7732</v>
      </c>
      <c r="I1413" s="187" t="s">
        <v>7733</v>
      </c>
      <c r="J1413" s="83" t="s">
        <v>315</v>
      </c>
      <c r="K1413" s="83" t="s">
        <v>168</v>
      </c>
      <c r="L1413" s="83" t="s">
        <v>169</v>
      </c>
      <c r="M1413" s="82" t="s">
        <v>11915</v>
      </c>
      <c r="N1413" s="82" t="s">
        <v>11916</v>
      </c>
      <c r="O1413" s="82" t="s">
        <v>11917</v>
      </c>
      <c r="P1413" s="82" t="s">
        <v>11918</v>
      </c>
      <c r="Q1413" s="82"/>
      <c r="R1413" s="82"/>
      <c r="S1413" s="82" t="s">
        <v>11919</v>
      </c>
      <c r="T1413" s="138">
        <v>3.0</v>
      </c>
      <c r="U1413" s="323">
        <v>3.0</v>
      </c>
      <c r="V1413" s="106">
        <v>0.0</v>
      </c>
      <c r="W1413" s="107">
        <v>0.0</v>
      </c>
      <c r="X1413" s="107">
        <v>0.0</v>
      </c>
      <c r="Y1413" s="107">
        <v>0.0</v>
      </c>
      <c r="Z1413" s="80">
        <v>0.0</v>
      </c>
      <c r="AA1413" s="140">
        <v>0.0</v>
      </c>
      <c r="AB1413" s="109">
        <v>0.0</v>
      </c>
      <c r="AC1413" s="109">
        <v>0.0</v>
      </c>
      <c r="AD1413" s="141">
        <v>0.0</v>
      </c>
      <c r="AE1413" s="80">
        <v>0.0</v>
      </c>
      <c r="AF1413" s="140">
        <v>0.0</v>
      </c>
      <c r="AG1413" s="109">
        <v>0.0</v>
      </c>
      <c r="AH1413" s="109">
        <v>37.0</v>
      </c>
      <c r="AI1413" s="141">
        <v>0.0</v>
      </c>
      <c r="AJ1413" s="80">
        <v>37.0</v>
      </c>
      <c r="AK1413" s="140">
        <v>0.0</v>
      </c>
      <c r="AL1413" s="109">
        <v>0.0</v>
      </c>
      <c r="AM1413" s="141">
        <v>0.0</v>
      </c>
      <c r="AN1413" s="80">
        <v>0.0</v>
      </c>
      <c r="AO1413" s="140">
        <v>0.0</v>
      </c>
      <c r="AP1413" s="109">
        <v>0.0</v>
      </c>
      <c r="AQ1413" s="109">
        <v>0.0</v>
      </c>
      <c r="AR1413" s="80">
        <v>0.0</v>
      </c>
      <c r="AS1413" s="110">
        <v>0.0</v>
      </c>
      <c r="AT1413" s="110">
        <v>0.0</v>
      </c>
      <c r="AU1413" s="110">
        <v>0.0</v>
      </c>
      <c r="AV1413" s="142">
        <v>0.0</v>
      </c>
      <c r="AW1413" s="80">
        <v>0.0</v>
      </c>
      <c r="AX1413" s="113">
        <v>37.0</v>
      </c>
      <c r="AY1413" s="117">
        <v>0.0</v>
      </c>
      <c r="AZ1413" s="328">
        <v>37.0</v>
      </c>
      <c r="BA1413" s="315">
        <v>0.0</v>
      </c>
      <c r="BB1413" s="316">
        <v>37.0</v>
      </c>
      <c r="BC1413" s="132" t="s">
        <v>178</v>
      </c>
      <c r="BD1413" s="143" t="s">
        <v>227</v>
      </c>
      <c r="BE1413" s="132" t="s">
        <v>178</v>
      </c>
      <c r="BF1413" s="123"/>
      <c r="BG1413" s="83">
        <v>1178983.0</v>
      </c>
      <c r="BH1413" s="112">
        <v>3.0</v>
      </c>
      <c r="BI1413" s="98" t="s">
        <v>155</v>
      </c>
      <c r="BJ1413" s="98" t="str">
        <f t="shared" si="1"/>
        <v>NÃO</v>
      </c>
      <c r="BK1413" s="98" t="str">
        <f t="shared" si="2"/>
        <v>NÃO</v>
      </c>
    </row>
    <row r="1414" ht="15.75" customHeight="1">
      <c r="A1414" s="111" t="s">
        <v>1707</v>
      </c>
      <c r="B1414" s="83" t="s">
        <v>7735</v>
      </c>
      <c r="C1414" s="83" t="s">
        <v>68</v>
      </c>
      <c r="D1414" s="83">
        <v>1121172.0</v>
      </c>
      <c r="E1414" s="83"/>
      <c r="F1414" s="83">
        <v>2.905091E7</v>
      </c>
      <c r="G1414" s="114" t="s">
        <v>11920</v>
      </c>
      <c r="H1414" s="91" t="s">
        <v>7737</v>
      </c>
      <c r="I1414" s="187" t="s">
        <v>149</v>
      </c>
      <c r="J1414" s="83" t="s">
        <v>150</v>
      </c>
      <c r="K1414" s="83" t="s">
        <v>151</v>
      </c>
      <c r="L1414" s="83" t="s">
        <v>76</v>
      </c>
      <c r="M1414" s="82" t="s">
        <v>11921</v>
      </c>
      <c r="N1414" s="82" t="s">
        <v>11922</v>
      </c>
      <c r="O1414" s="82" t="s">
        <v>11923</v>
      </c>
      <c r="P1414" s="82" t="s">
        <v>11924</v>
      </c>
      <c r="Q1414" s="82" t="s">
        <v>11925</v>
      </c>
      <c r="R1414" s="82"/>
      <c r="S1414" s="82" t="s">
        <v>11926</v>
      </c>
      <c r="T1414" s="138">
        <v>11.0</v>
      </c>
      <c r="U1414" s="323" t="s">
        <v>11927</v>
      </c>
      <c r="V1414" s="106">
        <v>0.0</v>
      </c>
      <c r="W1414" s="107">
        <v>0.0</v>
      </c>
      <c r="X1414" s="107">
        <v>0.0</v>
      </c>
      <c r="Y1414" s="107">
        <v>0.0</v>
      </c>
      <c r="Z1414" s="80">
        <v>0.0</v>
      </c>
      <c r="AA1414" s="140">
        <v>0.0</v>
      </c>
      <c r="AB1414" s="109">
        <v>0.0</v>
      </c>
      <c r="AC1414" s="109">
        <v>0.0</v>
      </c>
      <c r="AD1414" s="141">
        <v>0.0</v>
      </c>
      <c r="AE1414" s="80">
        <v>0.0</v>
      </c>
      <c r="AF1414" s="140">
        <v>193.0</v>
      </c>
      <c r="AG1414" s="109">
        <v>275.0</v>
      </c>
      <c r="AH1414" s="109">
        <v>25.0</v>
      </c>
      <c r="AI1414" s="141">
        <v>123.0</v>
      </c>
      <c r="AJ1414" s="80">
        <v>616.0</v>
      </c>
      <c r="AK1414" s="140">
        <v>0.0</v>
      </c>
      <c r="AL1414" s="109">
        <v>0.0</v>
      </c>
      <c r="AM1414" s="141">
        <v>0.0</v>
      </c>
      <c r="AN1414" s="80">
        <v>0.0</v>
      </c>
      <c r="AO1414" s="140">
        <v>0.0</v>
      </c>
      <c r="AP1414" s="109">
        <v>0.0</v>
      </c>
      <c r="AQ1414" s="109">
        <v>74.0</v>
      </c>
      <c r="AR1414" s="80">
        <v>74.0</v>
      </c>
      <c r="AS1414" s="110">
        <v>0.0</v>
      </c>
      <c r="AT1414" s="110">
        <v>0.0</v>
      </c>
      <c r="AU1414" s="110">
        <v>0.0</v>
      </c>
      <c r="AV1414" s="142">
        <v>0.0</v>
      </c>
      <c r="AW1414" s="80">
        <v>0.0</v>
      </c>
      <c r="AX1414" s="113">
        <v>690.0</v>
      </c>
      <c r="AY1414" s="117">
        <v>591.0</v>
      </c>
      <c r="AZ1414" s="328">
        <v>99.0</v>
      </c>
      <c r="BA1414" s="315">
        <v>4.0</v>
      </c>
      <c r="BB1414" s="316">
        <v>694.0</v>
      </c>
      <c r="BC1414" s="132" t="s">
        <v>178</v>
      </c>
      <c r="BD1414" s="132" t="s">
        <v>178</v>
      </c>
      <c r="BE1414" s="132" t="s">
        <v>178</v>
      </c>
      <c r="BF1414" s="123"/>
      <c r="BG1414" s="83">
        <v>1121172.0</v>
      </c>
      <c r="BH1414" s="112">
        <v>9.0</v>
      </c>
      <c r="BI1414" s="98" t="s">
        <v>155</v>
      </c>
      <c r="BJ1414" s="98" t="str">
        <f t="shared" si="1"/>
        <v>INTEGRAL</v>
      </c>
      <c r="BK1414" s="98" t="str">
        <f t="shared" si="2"/>
        <v>NÃO</v>
      </c>
    </row>
    <row r="1415" ht="15.75" customHeight="1">
      <c r="A1415" s="111" t="s">
        <v>1707</v>
      </c>
      <c r="B1415" s="83" t="s">
        <v>7739</v>
      </c>
      <c r="C1415" s="83" t="s">
        <v>68</v>
      </c>
      <c r="D1415" s="83">
        <v>1120257.0</v>
      </c>
      <c r="E1415" s="83"/>
      <c r="F1415" s="83">
        <v>2.9053544E7</v>
      </c>
      <c r="G1415" s="114" t="s">
        <v>11928</v>
      </c>
      <c r="H1415" s="91" t="s">
        <v>7742</v>
      </c>
      <c r="I1415" s="187" t="s">
        <v>7743</v>
      </c>
      <c r="J1415" s="83" t="s">
        <v>3345</v>
      </c>
      <c r="K1415" s="83" t="s">
        <v>151</v>
      </c>
      <c r="L1415" s="83" t="s">
        <v>76</v>
      </c>
      <c r="M1415" s="82" t="s">
        <v>11929</v>
      </c>
      <c r="N1415" s="82" t="s">
        <v>11930</v>
      </c>
      <c r="O1415" s="82" t="s">
        <v>11931</v>
      </c>
      <c r="P1415" s="82" t="s">
        <v>11932</v>
      </c>
      <c r="Q1415" s="82"/>
      <c r="R1415" s="82"/>
      <c r="S1415" s="82" t="s">
        <v>11933</v>
      </c>
      <c r="T1415" s="138">
        <v>12.0</v>
      </c>
      <c r="U1415" s="323">
        <v>12.0</v>
      </c>
      <c r="V1415" s="106">
        <v>0.0</v>
      </c>
      <c r="W1415" s="107">
        <v>0.0</v>
      </c>
      <c r="X1415" s="107">
        <v>0.0</v>
      </c>
      <c r="Y1415" s="107">
        <v>0.0</v>
      </c>
      <c r="Z1415" s="80">
        <v>0.0</v>
      </c>
      <c r="AA1415" s="140">
        <v>0.0</v>
      </c>
      <c r="AB1415" s="109">
        <v>0.0</v>
      </c>
      <c r="AC1415" s="109">
        <v>0.0</v>
      </c>
      <c r="AD1415" s="141">
        <v>0.0</v>
      </c>
      <c r="AE1415" s="80">
        <v>0.0</v>
      </c>
      <c r="AF1415" s="140">
        <v>54.0</v>
      </c>
      <c r="AG1415" s="109">
        <v>40.0</v>
      </c>
      <c r="AH1415" s="109">
        <v>0.0</v>
      </c>
      <c r="AI1415" s="141">
        <v>267.0</v>
      </c>
      <c r="AJ1415" s="80">
        <v>361.0</v>
      </c>
      <c r="AK1415" s="140">
        <v>0.0</v>
      </c>
      <c r="AL1415" s="109">
        <v>0.0</v>
      </c>
      <c r="AM1415" s="141">
        <v>0.0</v>
      </c>
      <c r="AN1415" s="80">
        <v>0.0</v>
      </c>
      <c r="AO1415" s="140">
        <v>0.0</v>
      </c>
      <c r="AP1415" s="109">
        <v>0.0</v>
      </c>
      <c r="AQ1415" s="109">
        <v>0.0</v>
      </c>
      <c r="AR1415" s="80">
        <v>0.0</v>
      </c>
      <c r="AS1415" s="110">
        <v>0.0</v>
      </c>
      <c r="AT1415" s="110">
        <v>0.0</v>
      </c>
      <c r="AU1415" s="110">
        <v>0.0</v>
      </c>
      <c r="AV1415" s="142">
        <v>0.0</v>
      </c>
      <c r="AW1415" s="80">
        <v>0.0</v>
      </c>
      <c r="AX1415" s="113">
        <v>361.0</v>
      </c>
      <c r="AY1415" s="117">
        <v>361.0</v>
      </c>
      <c r="AZ1415" s="328">
        <v>0.0</v>
      </c>
      <c r="BA1415" s="315">
        <v>0.0</v>
      </c>
      <c r="BB1415" s="316">
        <v>361.0</v>
      </c>
      <c r="BC1415" s="132" t="s">
        <v>373</v>
      </c>
      <c r="BD1415" s="132" t="s">
        <v>178</v>
      </c>
      <c r="BE1415" s="132" t="s">
        <v>178</v>
      </c>
      <c r="BF1415" s="123"/>
      <c r="BG1415" s="83">
        <v>1120257.0</v>
      </c>
      <c r="BH1415" s="112">
        <v>12.0</v>
      </c>
      <c r="BI1415" s="98" t="s">
        <v>155</v>
      </c>
      <c r="BJ1415" s="98" t="str">
        <f t="shared" si="1"/>
        <v>INTEGRAL</v>
      </c>
      <c r="BK1415" s="98" t="str">
        <f t="shared" si="2"/>
        <v>NÃO</v>
      </c>
    </row>
    <row r="1416" ht="15.75" customHeight="1">
      <c r="A1416" s="111" t="s">
        <v>1707</v>
      </c>
      <c r="B1416" s="83" t="s">
        <v>7739</v>
      </c>
      <c r="C1416" s="83" t="s">
        <v>68</v>
      </c>
      <c r="D1416" s="83">
        <v>1176700.0</v>
      </c>
      <c r="E1416" s="83"/>
      <c r="F1416" s="83">
        <v>2.9419468E7</v>
      </c>
      <c r="G1416" s="114" t="s">
        <v>7746</v>
      </c>
      <c r="H1416" s="91" t="s">
        <v>7747</v>
      </c>
      <c r="I1416" s="187" t="s">
        <v>149</v>
      </c>
      <c r="J1416" s="83" t="s">
        <v>150</v>
      </c>
      <c r="K1416" s="83" t="s">
        <v>151</v>
      </c>
      <c r="L1416" s="83" t="s">
        <v>230</v>
      </c>
      <c r="M1416" s="82" t="s">
        <v>11934</v>
      </c>
      <c r="N1416" s="82" t="s">
        <v>11935</v>
      </c>
      <c r="O1416" s="82" t="s">
        <v>11936</v>
      </c>
      <c r="P1416" s="82" t="s">
        <v>11937</v>
      </c>
      <c r="Q1416" s="82" t="s">
        <v>11938</v>
      </c>
      <c r="R1416" s="82" t="s">
        <v>11939</v>
      </c>
      <c r="S1416" s="82" t="s">
        <v>11940</v>
      </c>
      <c r="T1416" s="138">
        <v>13.0</v>
      </c>
      <c r="U1416" s="331">
        <v>24.0</v>
      </c>
      <c r="V1416" s="106">
        <v>0.0</v>
      </c>
      <c r="W1416" s="107">
        <v>0.0</v>
      </c>
      <c r="X1416" s="107">
        <v>0.0</v>
      </c>
      <c r="Y1416" s="107">
        <v>0.0</v>
      </c>
      <c r="Z1416" s="80">
        <v>0.0</v>
      </c>
      <c r="AA1416" s="140">
        <v>0.0</v>
      </c>
      <c r="AB1416" s="109">
        <v>0.0</v>
      </c>
      <c r="AC1416" s="109">
        <v>0.0</v>
      </c>
      <c r="AD1416" s="141">
        <v>0.0</v>
      </c>
      <c r="AE1416" s="80">
        <v>0.0</v>
      </c>
      <c r="AF1416" s="140">
        <v>54.0</v>
      </c>
      <c r="AG1416" s="109">
        <v>14.0</v>
      </c>
      <c r="AH1416" s="109">
        <v>0.0</v>
      </c>
      <c r="AI1416" s="141">
        <v>49.0</v>
      </c>
      <c r="AJ1416" s="80">
        <v>117.0</v>
      </c>
      <c r="AK1416" s="140">
        <v>0.0</v>
      </c>
      <c r="AL1416" s="109">
        <v>0.0</v>
      </c>
      <c r="AM1416" s="141">
        <v>0.0</v>
      </c>
      <c r="AN1416" s="80">
        <v>0.0</v>
      </c>
      <c r="AO1416" s="140">
        <v>0.0</v>
      </c>
      <c r="AP1416" s="109">
        <v>0.0</v>
      </c>
      <c r="AQ1416" s="109">
        <v>75.0</v>
      </c>
      <c r="AR1416" s="80">
        <v>75.0</v>
      </c>
      <c r="AS1416" s="110">
        <v>445.0</v>
      </c>
      <c r="AT1416" s="110">
        <v>112.0</v>
      </c>
      <c r="AU1416" s="110">
        <v>116.0</v>
      </c>
      <c r="AV1416" s="142">
        <v>0.0</v>
      </c>
      <c r="AW1416" s="80">
        <v>673.0</v>
      </c>
      <c r="AX1416" s="113">
        <v>865.0</v>
      </c>
      <c r="AY1416" s="117">
        <v>674.0</v>
      </c>
      <c r="AZ1416" s="328">
        <v>191.0</v>
      </c>
      <c r="BA1416" s="315">
        <v>1.0</v>
      </c>
      <c r="BB1416" s="316">
        <v>866.0</v>
      </c>
      <c r="BC1416" s="132" t="s">
        <v>178</v>
      </c>
      <c r="BD1416" s="132" t="s">
        <v>522</v>
      </c>
      <c r="BE1416" s="132" t="s">
        <v>178</v>
      </c>
      <c r="BF1416" s="123"/>
      <c r="BG1416" s="83">
        <v>1176700.0</v>
      </c>
      <c r="BH1416" s="112">
        <v>24.0</v>
      </c>
      <c r="BI1416" s="98" t="s">
        <v>162</v>
      </c>
      <c r="BJ1416" s="98" t="str">
        <f t="shared" si="1"/>
        <v>INTEGRAL</v>
      </c>
      <c r="BK1416" s="98" t="str">
        <f t="shared" si="2"/>
        <v>PROFISSIONAL</v>
      </c>
    </row>
    <row r="1417" ht="15.75" customHeight="1">
      <c r="A1417" s="111" t="s">
        <v>1707</v>
      </c>
      <c r="B1417" s="83" t="s">
        <v>7739</v>
      </c>
      <c r="C1417" s="83" t="s">
        <v>164</v>
      </c>
      <c r="D1417" s="83">
        <v>1179286.0</v>
      </c>
      <c r="E1417" s="83">
        <v>1179000.0</v>
      </c>
      <c r="F1417" s="83"/>
      <c r="G1417" s="114" t="s">
        <v>7750</v>
      </c>
      <c r="H1417" s="91" t="s">
        <v>7751</v>
      </c>
      <c r="I1417" s="187" t="s">
        <v>7752</v>
      </c>
      <c r="J1417" s="83" t="s">
        <v>568</v>
      </c>
      <c r="K1417" s="83" t="s">
        <v>168</v>
      </c>
      <c r="L1417" s="83" t="s">
        <v>169</v>
      </c>
      <c r="M1417" s="82" t="s">
        <v>11915</v>
      </c>
      <c r="N1417" s="82" t="s">
        <v>11916</v>
      </c>
      <c r="O1417" s="82" t="s">
        <v>11917</v>
      </c>
      <c r="P1417" s="82" t="s">
        <v>11918</v>
      </c>
      <c r="Q1417" s="82"/>
      <c r="R1417" s="82"/>
      <c r="S1417" s="82" t="s">
        <v>11919</v>
      </c>
      <c r="T1417" s="138">
        <v>3.0</v>
      </c>
      <c r="U1417" s="323">
        <v>3.0</v>
      </c>
      <c r="V1417" s="106">
        <v>0.0</v>
      </c>
      <c r="W1417" s="107">
        <v>0.0</v>
      </c>
      <c r="X1417" s="107">
        <v>0.0</v>
      </c>
      <c r="Y1417" s="107">
        <v>0.0</v>
      </c>
      <c r="Z1417" s="80">
        <v>0.0</v>
      </c>
      <c r="AA1417" s="140">
        <v>0.0</v>
      </c>
      <c r="AB1417" s="109">
        <v>0.0</v>
      </c>
      <c r="AC1417" s="109">
        <v>0.0</v>
      </c>
      <c r="AD1417" s="141">
        <v>0.0</v>
      </c>
      <c r="AE1417" s="80">
        <v>0.0</v>
      </c>
      <c r="AF1417" s="140">
        <v>0.0</v>
      </c>
      <c r="AG1417" s="109">
        <v>0.0</v>
      </c>
      <c r="AH1417" s="109">
        <v>26.0</v>
      </c>
      <c r="AI1417" s="141">
        <v>0.0</v>
      </c>
      <c r="AJ1417" s="80">
        <v>26.0</v>
      </c>
      <c r="AK1417" s="140">
        <v>0.0</v>
      </c>
      <c r="AL1417" s="109">
        <v>0.0</v>
      </c>
      <c r="AM1417" s="141">
        <v>0.0</v>
      </c>
      <c r="AN1417" s="80">
        <v>0.0</v>
      </c>
      <c r="AO1417" s="140">
        <v>0.0</v>
      </c>
      <c r="AP1417" s="109">
        <v>0.0</v>
      </c>
      <c r="AQ1417" s="109">
        <v>0.0</v>
      </c>
      <c r="AR1417" s="80">
        <v>0.0</v>
      </c>
      <c r="AS1417" s="110">
        <v>0.0</v>
      </c>
      <c r="AT1417" s="110">
        <v>0.0</v>
      </c>
      <c r="AU1417" s="110">
        <v>0.0</v>
      </c>
      <c r="AV1417" s="142">
        <v>0.0</v>
      </c>
      <c r="AW1417" s="80">
        <v>0.0</v>
      </c>
      <c r="AX1417" s="113">
        <v>26.0</v>
      </c>
      <c r="AY1417" s="117">
        <v>0.0</v>
      </c>
      <c r="AZ1417" s="328">
        <v>26.0</v>
      </c>
      <c r="BA1417" s="315">
        <v>0.0</v>
      </c>
      <c r="BB1417" s="316">
        <v>26.0</v>
      </c>
      <c r="BC1417" s="132" t="s">
        <v>178</v>
      </c>
      <c r="BD1417" s="143" t="s">
        <v>227</v>
      </c>
      <c r="BE1417" s="132" t="s">
        <v>178</v>
      </c>
      <c r="BF1417" s="123"/>
      <c r="BG1417" s="83">
        <v>1179000.0</v>
      </c>
      <c r="BH1417" s="112">
        <v>3.0</v>
      </c>
      <c r="BI1417" s="98" t="s">
        <v>155</v>
      </c>
      <c r="BJ1417" s="98" t="str">
        <f t="shared" si="1"/>
        <v>NÃO</v>
      </c>
      <c r="BK1417" s="98" t="str">
        <f t="shared" si="2"/>
        <v>NÃO</v>
      </c>
    </row>
    <row r="1418" ht="15.75" customHeight="1">
      <c r="A1418" s="111" t="s">
        <v>1707</v>
      </c>
      <c r="B1418" s="83" t="s">
        <v>7739</v>
      </c>
      <c r="C1418" s="83" t="s">
        <v>164</v>
      </c>
      <c r="D1418" s="83">
        <v>1179286.0</v>
      </c>
      <c r="E1418" s="83">
        <v>1178998.0</v>
      </c>
      <c r="F1418" s="83"/>
      <c r="G1418" s="114" t="s">
        <v>7753</v>
      </c>
      <c r="H1418" s="91" t="s">
        <v>7754</v>
      </c>
      <c r="I1418" s="114" t="s">
        <v>7755</v>
      </c>
      <c r="J1418" s="83" t="s">
        <v>315</v>
      </c>
      <c r="K1418" s="83" t="s">
        <v>168</v>
      </c>
      <c r="L1418" s="83" t="s">
        <v>169</v>
      </c>
      <c r="M1418" s="82" t="s">
        <v>11915</v>
      </c>
      <c r="N1418" s="82" t="s">
        <v>11916</v>
      </c>
      <c r="O1418" s="82" t="s">
        <v>11917</v>
      </c>
      <c r="P1418" s="82" t="s">
        <v>11918</v>
      </c>
      <c r="Q1418" s="82"/>
      <c r="R1418" s="82"/>
      <c r="S1418" s="82" t="s">
        <v>11919</v>
      </c>
      <c r="T1418" s="138">
        <v>3.0</v>
      </c>
      <c r="U1418" s="387">
        <v>3.0</v>
      </c>
      <c r="V1418" s="106">
        <v>0.0</v>
      </c>
      <c r="W1418" s="107">
        <v>0.0</v>
      </c>
      <c r="X1418" s="107">
        <v>0.0</v>
      </c>
      <c r="Y1418" s="107">
        <v>0.0</v>
      </c>
      <c r="Z1418" s="80">
        <v>0.0</v>
      </c>
      <c r="AA1418" s="140">
        <v>0.0</v>
      </c>
      <c r="AB1418" s="109">
        <v>0.0</v>
      </c>
      <c r="AC1418" s="109">
        <v>0.0</v>
      </c>
      <c r="AD1418" s="141">
        <v>0.0</v>
      </c>
      <c r="AE1418" s="80">
        <v>0.0</v>
      </c>
      <c r="AF1418" s="140">
        <v>0.0</v>
      </c>
      <c r="AG1418" s="109">
        <v>0.0</v>
      </c>
      <c r="AH1418" s="109">
        <v>30.0</v>
      </c>
      <c r="AI1418" s="141">
        <v>0.0</v>
      </c>
      <c r="AJ1418" s="80">
        <v>30.0</v>
      </c>
      <c r="AK1418" s="140">
        <v>0.0</v>
      </c>
      <c r="AL1418" s="109">
        <v>0.0</v>
      </c>
      <c r="AM1418" s="141">
        <v>0.0</v>
      </c>
      <c r="AN1418" s="80">
        <v>0.0</v>
      </c>
      <c r="AO1418" s="140">
        <v>0.0</v>
      </c>
      <c r="AP1418" s="109">
        <v>0.0</v>
      </c>
      <c r="AQ1418" s="109">
        <v>0.0</v>
      </c>
      <c r="AR1418" s="80">
        <v>0.0</v>
      </c>
      <c r="AS1418" s="110">
        <v>0.0</v>
      </c>
      <c r="AT1418" s="110">
        <v>0.0</v>
      </c>
      <c r="AU1418" s="110">
        <v>0.0</v>
      </c>
      <c r="AV1418" s="142">
        <v>0.0</v>
      </c>
      <c r="AW1418" s="80">
        <v>0.0</v>
      </c>
      <c r="AX1418" s="113">
        <v>30.0</v>
      </c>
      <c r="AY1418" s="117">
        <v>0.0</v>
      </c>
      <c r="AZ1418" s="328">
        <v>30.0</v>
      </c>
      <c r="BA1418" s="315">
        <v>0.0</v>
      </c>
      <c r="BB1418" s="316">
        <v>30.0</v>
      </c>
      <c r="BC1418" s="132" t="s">
        <v>178</v>
      </c>
      <c r="BD1418" s="143" t="s">
        <v>227</v>
      </c>
      <c r="BE1418" s="132" t="s">
        <v>178</v>
      </c>
      <c r="BF1418" s="123"/>
      <c r="BG1418" s="83">
        <v>1178998.0</v>
      </c>
      <c r="BH1418" s="112">
        <v>3.0</v>
      </c>
      <c r="BI1418" s="98" t="s">
        <v>155</v>
      </c>
      <c r="BJ1418" s="98" t="str">
        <f t="shared" si="1"/>
        <v>NÃO</v>
      </c>
      <c r="BK1418" s="98" t="str">
        <f t="shared" si="2"/>
        <v>NÃO</v>
      </c>
    </row>
    <row r="1419" ht="15.75" customHeight="1">
      <c r="A1419" s="111" t="s">
        <v>1707</v>
      </c>
      <c r="B1419" s="83" t="s">
        <v>7757</v>
      </c>
      <c r="C1419" s="83" t="s">
        <v>68</v>
      </c>
      <c r="D1419" s="83">
        <v>1140452.0</v>
      </c>
      <c r="E1419" s="83"/>
      <c r="F1419" s="83">
        <v>2.9055075E7</v>
      </c>
      <c r="G1419" s="185" t="s">
        <v>11941</v>
      </c>
      <c r="H1419" s="91" t="s">
        <v>7759</v>
      </c>
      <c r="I1419" s="114" t="s">
        <v>149</v>
      </c>
      <c r="J1419" s="83" t="s">
        <v>240</v>
      </c>
      <c r="K1419" s="83" t="s">
        <v>151</v>
      </c>
      <c r="L1419" s="83" t="s">
        <v>169</v>
      </c>
      <c r="M1419" s="82" t="s">
        <v>11942</v>
      </c>
      <c r="N1419" s="82" t="s">
        <v>11943</v>
      </c>
      <c r="O1419" s="82" t="s">
        <v>11944</v>
      </c>
      <c r="P1419" s="82" t="s">
        <v>11945</v>
      </c>
      <c r="Q1419" s="82"/>
      <c r="R1419" s="82"/>
      <c r="S1419" s="82" t="s">
        <v>11946</v>
      </c>
      <c r="T1419" s="138">
        <v>8.0</v>
      </c>
      <c r="U1419" s="331" t="s">
        <v>11947</v>
      </c>
      <c r="V1419" s="106">
        <v>0.0</v>
      </c>
      <c r="W1419" s="107">
        <v>0.0</v>
      </c>
      <c r="X1419" s="107">
        <v>0.0</v>
      </c>
      <c r="Y1419" s="107">
        <v>0.0</v>
      </c>
      <c r="Z1419" s="80">
        <v>0.0</v>
      </c>
      <c r="AA1419" s="140">
        <v>0.0</v>
      </c>
      <c r="AB1419" s="109">
        <v>0.0</v>
      </c>
      <c r="AC1419" s="109">
        <v>0.0</v>
      </c>
      <c r="AD1419" s="141">
        <v>0.0</v>
      </c>
      <c r="AE1419" s="80">
        <v>0.0</v>
      </c>
      <c r="AF1419" s="140">
        <v>42.0</v>
      </c>
      <c r="AG1419" s="109">
        <v>68.0</v>
      </c>
      <c r="AH1419" s="109">
        <v>0.0</v>
      </c>
      <c r="AI1419" s="141">
        <v>30.0</v>
      </c>
      <c r="AJ1419" s="80">
        <v>140.0</v>
      </c>
      <c r="AK1419" s="140">
        <v>0.0</v>
      </c>
      <c r="AL1419" s="109">
        <v>0.0</v>
      </c>
      <c r="AM1419" s="141">
        <v>0.0</v>
      </c>
      <c r="AN1419" s="80">
        <v>0.0</v>
      </c>
      <c r="AO1419" s="140">
        <v>0.0</v>
      </c>
      <c r="AP1419" s="109">
        <v>0.0</v>
      </c>
      <c r="AQ1419" s="109">
        <v>61.0</v>
      </c>
      <c r="AR1419" s="80">
        <v>61.0</v>
      </c>
      <c r="AS1419" s="110">
        <v>88.0</v>
      </c>
      <c r="AT1419" s="110">
        <v>40.0</v>
      </c>
      <c r="AU1419" s="110">
        <v>0.0</v>
      </c>
      <c r="AV1419" s="142">
        <v>0.0</v>
      </c>
      <c r="AW1419" s="80">
        <v>128.0</v>
      </c>
      <c r="AX1419" s="113">
        <v>329.0</v>
      </c>
      <c r="AY1419" s="117">
        <v>268.0</v>
      </c>
      <c r="AZ1419" s="328">
        <v>61.0</v>
      </c>
      <c r="BA1419" s="315">
        <v>0.0</v>
      </c>
      <c r="BB1419" s="316">
        <v>329.0</v>
      </c>
      <c r="BC1419" s="132" t="s">
        <v>373</v>
      </c>
      <c r="BD1419" s="132" t="s">
        <v>178</v>
      </c>
      <c r="BE1419" s="132" t="s">
        <v>178</v>
      </c>
      <c r="BF1419" s="123"/>
      <c r="BG1419" s="83">
        <v>1140452.0</v>
      </c>
      <c r="BH1419" s="112">
        <v>5.0</v>
      </c>
      <c r="BI1419" s="98" t="s">
        <v>155</v>
      </c>
      <c r="BJ1419" s="98" t="str">
        <f t="shared" si="1"/>
        <v>INTEGRAL</v>
      </c>
      <c r="BK1419" s="98" t="str">
        <f t="shared" si="2"/>
        <v>PROFISSIONAL</v>
      </c>
    </row>
    <row r="1420" ht="15.75" customHeight="1">
      <c r="A1420" s="111" t="s">
        <v>1707</v>
      </c>
      <c r="B1420" s="83" t="s">
        <v>7757</v>
      </c>
      <c r="C1420" s="83" t="s">
        <v>68</v>
      </c>
      <c r="D1420" s="83">
        <v>1144032.0</v>
      </c>
      <c r="E1420" s="83"/>
      <c r="F1420" s="83">
        <v>2.9055067E7</v>
      </c>
      <c r="G1420" s="513" t="s">
        <v>11948</v>
      </c>
      <c r="H1420" s="91" t="s">
        <v>7764</v>
      </c>
      <c r="I1420" s="114" t="s">
        <v>149</v>
      </c>
      <c r="J1420" s="83" t="s">
        <v>150</v>
      </c>
      <c r="K1420" s="83" t="s">
        <v>151</v>
      </c>
      <c r="L1420" s="83" t="s">
        <v>152</v>
      </c>
      <c r="M1420" s="82" t="s">
        <v>11949</v>
      </c>
      <c r="N1420" s="82" t="s">
        <v>11950</v>
      </c>
      <c r="O1420" s="82"/>
      <c r="P1420" s="82"/>
      <c r="Q1420" s="82"/>
      <c r="R1420" s="82"/>
      <c r="S1420" s="82" t="s">
        <v>11951</v>
      </c>
      <c r="T1420" s="138">
        <v>8.0</v>
      </c>
      <c r="U1420" s="323">
        <v>7.0</v>
      </c>
      <c r="V1420" s="106">
        <v>0.0</v>
      </c>
      <c r="W1420" s="107">
        <v>0.0</v>
      </c>
      <c r="X1420" s="107">
        <v>0.0</v>
      </c>
      <c r="Y1420" s="107">
        <v>0.0</v>
      </c>
      <c r="Z1420" s="80">
        <v>0.0</v>
      </c>
      <c r="AA1420" s="140">
        <v>0.0</v>
      </c>
      <c r="AB1420" s="109">
        <v>0.0</v>
      </c>
      <c r="AC1420" s="109">
        <v>0.0</v>
      </c>
      <c r="AD1420" s="141">
        <v>0.0</v>
      </c>
      <c r="AE1420" s="80">
        <v>0.0</v>
      </c>
      <c r="AF1420" s="140">
        <v>141.0</v>
      </c>
      <c r="AG1420" s="109">
        <v>143.0</v>
      </c>
      <c r="AH1420" s="109">
        <v>0.0</v>
      </c>
      <c r="AI1420" s="141">
        <v>75.0</v>
      </c>
      <c r="AJ1420" s="80">
        <v>359.0</v>
      </c>
      <c r="AK1420" s="140">
        <v>0.0</v>
      </c>
      <c r="AL1420" s="109">
        <v>0.0</v>
      </c>
      <c r="AM1420" s="141">
        <v>0.0</v>
      </c>
      <c r="AN1420" s="80">
        <v>0.0</v>
      </c>
      <c r="AO1420" s="140">
        <v>0.0</v>
      </c>
      <c r="AP1420" s="109">
        <v>0.0</v>
      </c>
      <c r="AQ1420" s="109">
        <v>72.0</v>
      </c>
      <c r="AR1420" s="80">
        <v>72.0</v>
      </c>
      <c r="AS1420" s="110">
        <v>0.0</v>
      </c>
      <c r="AT1420" s="110">
        <v>0.0</v>
      </c>
      <c r="AU1420" s="110">
        <v>0.0</v>
      </c>
      <c r="AV1420" s="142">
        <v>0.0</v>
      </c>
      <c r="AW1420" s="80">
        <v>0.0</v>
      </c>
      <c r="AX1420" s="113">
        <v>431.0</v>
      </c>
      <c r="AY1420" s="117">
        <v>359.0</v>
      </c>
      <c r="AZ1420" s="328">
        <v>72.0</v>
      </c>
      <c r="BA1420" s="315">
        <v>1.0</v>
      </c>
      <c r="BB1420" s="316">
        <v>432.0</v>
      </c>
      <c r="BC1420" s="132" t="s">
        <v>178</v>
      </c>
      <c r="BD1420" s="132" t="s">
        <v>178</v>
      </c>
      <c r="BE1420" s="132" t="s">
        <v>178</v>
      </c>
      <c r="BF1420" s="156"/>
      <c r="BG1420" s="83">
        <v>1144032.0</v>
      </c>
      <c r="BH1420" s="112">
        <v>7.0</v>
      </c>
      <c r="BI1420" s="98" t="s">
        <v>155</v>
      </c>
      <c r="BJ1420" s="98" t="str">
        <f t="shared" si="1"/>
        <v>INTEGRAL</v>
      </c>
      <c r="BK1420" s="98" t="str">
        <f t="shared" si="2"/>
        <v>NÃO</v>
      </c>
    </row>
    <row r="1421" ht="15.75" customHeight="1">
      <c r="A1421" s="111" t="s">
        <v>1707</v>
      </c>
      <c r="B1421" s="83" t="s">
        <v>7757</v>
      </c>
      <c r="C1421" s="83" t="s">
        <v>164</v>
      </c>
      <c r="D1421" s="83">
        <v>1179286.0</v>
      </c>
      <c r="E1421" s="83">
        <v>1179467.0</v>
      </c>
      <c r="F1421" s="83"/>
      <c r="G1421" s="114" t="s">
        <v>7769</v>
      </c>
      <c r="H1421" s="91" t="s">
        <v>7770</v>
      </c>
      <c r="I1421" s="187" t="s">
        <v>149</v>
      </c>
      <c r="J1421" s="83" t="s">
        <v>641</v>
      </c>
      <c r="K1421" s="83" t="s">
        <v>168</v>
      </c>
      <c r="L1421" s="83" t="s">
        <v>169</v>
      </c>
      <c r="M1421" s="82" t="s">
        <v>11915</v>
      </c>
      <c r="N1421" s="82" t="s">
        <v>11916</v>
      </c>
      <c r="O1421" s="82" t="s">
        <v>11917</v>
      </c>
      <c r="P1421" s="82" t="s">
        <v>11918</v>
      </c>
      <c r="Q1421" s="82"/>
      <c r="R1421" s="82"/>
      <c r="S1421" s="82" t="s">
        <v>11919</v>
      </c>
      <c r="T1421" s="138">
        <v>2.0</v>
      </c>
      <c r="U1421" s="323">
        <v>2.0</v>
      </c>
      <c r="V1421" s="106">
        <v>0.0</v>
      </c>
      <c r="W1421" s="107">
        <v>0.0</v>
      </c>
      <c r="X1421" s="107">
        <v>0.0</v>
      </c>
      <c r="Y1421" s="107">
        <v>0.0</v>
      </c>
      <c r="Z1421" s="80">
        <v>0.0</v>
      </c>
      <c r="AA1421" s="140">
        <v>0.0</v>
      </c>
      <c r="AB1421" s="109">
        <v>0.0</v>
      </c>
      <c r="AC1421" s="109">
        <v>0.0</v>
      </c>
      <c r="AD1421" s="141">
        <v>0.0</v>
      </c>
      <c r="AE1421" s="80">
        <v>0.0</v>
      </c>
      <c r="AF1421" s="140">
        <v>0.0</v>
      </c>
      <c r="AG1421" s="109">
        <v>0.0</v>
      </c>
      <c r="AH1421" s="109">
        <v>22.0</v>
      </c>
      <c r="AI1421" s="141">
        <v>0.0</v>
      </c>
      <c r="AJ1421" s="80">
        <v>22.0</v>
      </c>
      <c r="AK1421" s="140">
        <v>0.0</v>
      </c>
      <c r="AL1421" s="109">
        <v>0.0</v>
      </c>
      <c r="AM1421" s="141">
        <v>0.0</v>
      </c>
      <c r="AN1421" s="80">
        <v>0.0</v>
      </c>
      <c r="AO1421" s="140">
        <v>0.0</v>
      </c>
      <c r="AP1421" s="109">
        <v>0.0</v>
      </c>
      <c r="AQ1421" s="109">
        <v>0.0</v>
      </c>
      <c r="AR1421" s="80">
        <v>0.0</v>
      </c>
      <c r="AS1421" s="110">
        <v>0.0</v>
      </c>
      <c r="AT1421" s="110">
        <v>0.0</v>
      </c>
      <c r="AU1421" s="110">
        <v>0.0</v>
      </c>
      <c r="AV1421" s="142">
        <v>0.0</v>
      </c>
      <c r="AW1421" s="80">
        <v>0.0</v>
      </c>
      <c r="AX1421" s="113">
        <v>22.0</v>
      </c>
      <c r="AY1421" s="117">
        <v>0.0</v>
      </c>
      <c r="AZ1421" s="328">
        <v>22.0</v>
      </c>
      <c r="BA1421" s="315">
        <v>0.0</v>
      </c>
      <c r="BB1421" s="316">
        <v>22.0</v>
      </c>
      <c r="BC1421" s="132" t="s">
        <v>265</v>
      </c>
      <c r="BD1421" s="143" t="s">
        <v>227</v>
      </c>
      <c r="BE1421" s="132" t="s">
        <v>178</v>
      </c>
      <c r="BF1421" s="123"/>
      <c r="BG1421" s="83">
        <v>1179467.0</v>
      </c>
      <c r="BH1421" s="112">
        <v>2.0</v>
      </c>
      <c r="BI1421" s="98" t="s">
        <v>155</v>
      </c>
      <c r="BJ1421" s="98" t="str">
        <f t="shared" si="1"/>
        <v>NÃO</v>
      </c>
      <c r="BK1421" s="98" t="str">
        <f t="shared" si="2"/>
        <v>NÃO</v>
      </c>
    </row>
    <row r="1422" ht="15.75" customHeight="1">
      <c r="A1422" s="111" t="s">
        <v>1707</v>
      </c>
      <c r="B1422" s="83" t="s">
        <v>7757</v>
      </c>
      <c r="C1422" s="83" t="s">
        <v>164</v>
      </c>
      <c r="D1422" s="83">
        <v>1179286.0</v>
      </c>
      <c r="E1422" s="83">
        <v>1179469.0</v>
      </c>
      <c r="F1422" s="83"/>
      <c r="G1422" s="114" t="s">
        <v>7772</v>
      </c>
      <c r="H1422" s="91" t="s">
        <v>7773</v>
      </c>
      <c r="I1422" s="187" t="s">
        <v>149</v>
      </c>
      <c r="J1422" s="83" t="s">
        <v>1074</v>
      </c>
      <c r="K1422" s="83" t="s">
        <v>168</v>
      </c>
      <c r="L1422" s="83" t="s">
        <v>169</v>
      </c>
      <c r="M1422" s="82" t="s">
        <v>11915</v>
      </c>
      <c r="N1422" s="82" t="s">
        <v>11916</v>
      </c>
      <c r="O1422" s="82" t="s">
        <v>11917</v>
      </c>
      <c r="P1422" s="82" t="s">
        <v>11918</v>
      </c>
      <c r="Q1422" s="82"/>
      <c r="R1422" s="82"/>
      <c r="S1422" s="82" t="s">
        <v>11919</v>
      </c>
      <c r="T1422" s="138">
        <v>2.0</v>
      </c>
      <c r="U1422" s="323">
        <v>2.0</v>
      </c>
      <c r="V1422" s="106">
        <v>0.0</v>
      </c>
      <c r="W1422" s="107">
        <v>0.0</v>
      </c>
      <c r="X1422" s="107">
        <v>0.0</v>
      </c>
      <c r="Y1422" s="107">
        <v>0.0</v>
      </c>
      <c r="Z1422" s="80">
        <v>0.0</v>
      </c>
      <c r="AA1422" s="140">
        <v>0.0</v>
      </c>
      <c r="AB1422" s="109">
        <v>0.0</v>
      </c>
      <c r="AC1422" s="109">
        <v>0.0</v>
      </c>
      <c r="AD1422" s="141">
        <v>0.0</v>
      </c>
      <c r="AE1422" s="80">
        <v>0.0</v>
      </c>
      <c r="AF1422" s="140">
        <v>0.0</v>
      </c>
      <c r="AG1422" s="109">
        <v>0.0</v>
      </c>
      <c r="AH1422" s="109">
        <v>18.0</v>
      </c>
      <c r="AI1422" s="141">
        <v>0.0</v>
      </c>
      <c r="AJ1422" s="80">
        <v>18.0</v>
      </c>
      <c r="AK1422" s="140">
        <v>0.0</v>
      </c>
      <c r="AL1422" s="109">
        <v>0.0</v>
      </c>
      <c r="AM1422" s="141">
        <v>0.0</v>
      </c>
      <c r="AN1422" s="80">
        <v>0.0</v>
      </c>
      <c r="AO1422" s="140">
        <v>0.0</v>
      </c>
      <c r="AP1422" s="109">
        <v>0.0</v>
      </c>
      <c r="AQ1422" s="109">
        <v>0.0</v>
      </c>
      <c r="AR1422" s="80">
        <v>0.0</v>
      </c>
      <c r="AS1422" s="110">
        <v>0.0</v>
      </c>
      <c r="AT1422" s="110">
        <v>0.0</v>
      </c>
      <c r="AU1422" s="110">
        <v>0.0</v>
      </c>
      <c r="AV1422" s="142">
        <v>0.0</v>
      </c>
      <c r="AW1422" s="80">
        <v>0.0</v>
      </c>
      <c r="AX1422" s="113">
        <v>18.0</v>
      </c>
      <c r="AY1422" s="117">
        <v>0.0</v>
      </c>
      <c r="AZ1422" s="328">
        <v>18.0</v>
      </c>
      <c r="BA1422" s="315">
        <v>0.0</v>
      </c>
      <c r="BB1422" s="316">
        <v>18.0</v>
      </c>
      <c r="BC1422" s="132" t="s">
        <v>265</v>
      </c>
      <c r="BD1422" s="143" t="s">
        <v>227</v>
      </c>
      <c r="BE1422" s="132" t="s">
        <v>178</v>
      </c>
      <c r="BF1422" s="123"/>
      <c r="BG1422" s="83">
        <v>1179469.0</v>
      </c>
      <c r="BH1422" s="112">
        <v>2.0</v>
      </c>
      <c r="BI1422" s="98" t="s">
        <v>155</v>
      </c>
      <c r="BJ1422" s="98" t="str">
        <f t="shared" si="1"/>
        <v>NÃO</v>
      </c>
      <c r="BK1422" s="98" t="str">
        <f t="shared" si="2"/>
        <v>NÃO</v>
      </c>
    </row>
    <row r="1423" ht="15.75" customHeight="1">
      <c r="A1423" s="111" t="s">
        <v>1707</v>
      </c>
      <c r="B1423" s="83" t="s">
        <v>7774</v>
      </c>
      <c r="C1423" s="83" t="s">
        <v>68</v>
      </c>
      <c r="D1423" s="83">
        <v>1164947.0</v>
      </c>
      <c r="E1423" s="83"/>
      <c r="F1423" s="83">
        <v>2.9076846E7</v>
      </c>
      <c r="G1423" s="184" t="s">
        <v>7775</v>
      </c>
      <c r="H1423" s="91" t="s">
        <v>7776</v>
      </c>
      <c r="I1423" s="114" t="s">
        <v>149</v>
      </c>
      <c r="J1423" s="83" t="s">
        <v>150</v>
      </c>
      <c r="K1423" s="83" t="s">
        <v>151</v>
      </c>
      <c r="L1423" s="83" t="s">
        <v>152</v>
      </c>
      <c r="M1423" s="82" t="s">
        <v>11952</v>
      </c>
      <c r="N1423" s="82" t="s">
        <v>11953</v>
      </c>
      <c r="O1423" s="82" t="s">
        <v>11954</v>
      </c>
      <c r="P1423" s="82" t="s">
        <v>11955</v>
      </c>
      <c r="Q1423" s="82"/>
      <c r="R1423" s="82"/>
      <c r="S1423" s="82" t="s">
        <v>11956</v>
      </c>
      <c r="T1423" s="138">
        <v>13.0</v>
      </c>
      <c r="U1423" s="389">
        <v>8.0</v>
      </c>
      <c r="V1423" s="106">
        <v>0.0</v>
      </c>
      <c r="W1423" s="107">
        <v>0.0</v>
      </c>
      <c r="X1423" s="107">
        <v>0.0</v>
      </c>
      <c r="Y1423" s="107">
        <v>0.0</v>
      </c>
      <c r="Z1423" s="80">
        <v>0.0</v>
      </c>
      <c r="AA1423" s="140">
        <v>0.0</v>
      </c>
      <c r="AB1423" s="109">
        <v>0.0</v>
      </c>
      <c r="AC1423" s="109">
        <v>0.0</v>
      </c>
      <c r="AD1423" s="141">
        <v>0.0</v>
      </c>
      <c r="AE1423" s="80">
        <v>0.0</v>
      </c>
      <c r="AF1423" s="140">
        <v>0.0</v>
      </c>
      <c r="AG1423" s="109">
        <v>160.0</v>
      </c>
      <c r="AH1423" s="109">
        <v>45.0</v>
      </c>
      <c r="AI1423" s="141">
        <v>241.0</v>
      </c>
      <c r="AJ1423" s="80">
        <v>446.0</v>
      </c>
      <c r="AK1423" s="140">
        <v>0.0</v>
      </c>
      <c r="AL1423" s="109">
        <v>0.0</v>
      </c>
      <c r="AM1423" s="141">
        <v>0.0</v>
      </c>
      <c r="AN1423" s="80">
        <v>0.0</v>
      </c>
      <c r="AO1423" s="140">
        <v>0.0</v>
      </c>
      <c r="AP1423" s="109">
        <v>0.0</v>
      </c>
      <c r="AQ1423" s="109">
        <v>99.0</v>
      </c>
      <c r="AR1423" s="80">
        <v>99.0</v>
      </c>
      <c r="AS1423" s="110">
        <v>0.0</v>
      </c>
      <c r="AT1423" s="110">
        <v>0.0</v>
      </c>
      <c r="AU1423" s="110">
        <v>0.0</v>
      </c>
      <c r="AV1423" s="142">
        <v>0.0</v>
      </c>
      <c r="AW1423" s="80">
        <v>0.0</v>
      </c>
      <c r="AX1423" s="113">
        <v>545.0</v>
      </c>
      <c r="AY1423" s="117">
        <v>401.0</v>
      </c>
      <c r="AZ1423" s="328">
        <v>144.0</v>
      </c>
      <c r="BA1423" s="315">
        <v>6.0</v>
      </c>
      <c r="BB1423" s="316">
        <v>551.0</v>
      </c>
      <c r="BC1423" s="132" t="s">
        <v>178</v>
      </c>
      <c r="BD1423" s="132" t="s">
        <v>178</v>
      </c>
      <c r="BE1423" s="132" t="s">
        <v>178</v>
      </c>
      <c r="BF1423" s="156"/>
      <c r="BG1423" s="83">
        <v>1164947.0</v>
      </c>
      <c r="BH1423" s="112">
        <v>8.0</v>
      </c>
      <c r="BI1423" s="98" t="s">
        <v>155</v>
      </c>
      <c r="BJ1423" s="98" t="str">
        <f t="shared" si="1"/>
        <v>INTEGRAL</v>
      </c>
      <c r="BK1423" s="98" t="str">
        <f t="shared" si="2"/>
        <v>NÃO</v>
      </c>
    </row>
    <row r="1424" ht="15.75" customHeight="1">
      <c r="A1424" s="111" t="s">
        <v>1707</v>
      </c>
      <c r="B1424" s="83" t="s">
        <v>7774</v>
      </c>
      <c r="C1424" s="83" t="s">
        <v>164</v>
      </c>
      <c r="D1424" s="83">
        <v>1164947.0</v>
      </c>
      <c r="E1424" s="83">
        <v>1179001.0</v>
      </c>
      <c r="F1424" s="83"/>
      <c r="G1424" s="185" t="s">
        <v>11957</v>
      </c>
      <c r="H1424" s="91" t="s">
        <v>7791</v>
      </c>
      <c r="I1424" s="114" t="s">
        <v>149</v>
      </c>
      <c r="J1424" s="83" t="s">
        <v>5099</v>
      </c>
      <c r="K1424" s="83" t="s">
        <v>168</v>
      </c>
      <c r="L1424" s="83" t="s">
        <v>169</v>
      </c>
      <c r="M1424" s="82" t="s">
        <v>11952</v>
      </c>
      <c r="N1424" s="82" t="s">
        <v>11953</v>
      </c>
      <c r="O1424" s="82" t="s">
        <v>11954</v>
      </c>
      <c r="P1424" s="82" t="s">
        <v>11955</v>
      </c>
      <c r="Q1424" s="82"/>
      <c r="R1424" s="82"/>
      <c r="S1424" s="82" t="s">
        <v>11956</v>
      </c>
      <c r="T1424" s="138">
        <v>3.0</v>
      </c>
      <c r="U1424" s="323">
        <v>6.0</v>
      </c>
      <c r="V1424" s="106">
        <v>0.0</v>
      </c>
      <c r="W1424" s="107">
        <v>0.0</v>
      </c>
      <c r="X1424" s="107">
        <v>0.0</v>
      </c>
      <c r="Y1424" s="107">
        <v>0.0</v>
      </c>
      <c r="Z1424" s="80">
        <v>0.0</v>
      </c>
      <c r="AA1424" s="140">
        <v>0.0</v>
      </c>
      <c r="AB1424" s="109">
        <v>0.0</v>
      </c>
      <c r="AC1424" s="109">
        <v>0.0</v>
      </c>
      <c r="AD1424" s="141">
        <v>0.0</v>
      </c>
      <c r="AE1424" s="80">
        <v>0.0</v>
      </c>
      <c r="AF1424" s="140">
        <v>93.0</v>
      </c>
      <c r="AG1424" s="109">
        <v>0.0</v>
      </c>
      <c r="AH1424" s="109">
        <v>0.0</v>
      </c>
      <c r="AI1424" s="141">
        <v>0.0</v>
      </c>
      <c r="AJ1424" s="80">
        <v>93.0</v>
      </c>
      <c r="AK1424" s="140">
        <v>0.0</v>
      </c>
      <c r="AL1424" s="109">
        <v>0.0</v>
      </c>
      <c r="AM1424" s="141">
        <v>0.0</v>
      </c>
      <c r="AN1424" s="80">
        <v>0.0</v>
      </c>
      <c r="AO1424" s="140">
        <v>0.0</v>
      </c>
      <c r="AP1424" s="109">
        <v>0.0</v>
      </c>
      <c r="AQ1424" s="109">
        <v>0.0</v>
      </c>
      <c r="AR1424" s="80">
        <v>0.0</v>
      </c>
      <c r="AS1424" s="110">
        <v>0.0</v>
      </c>
      <c r="AT1424" s="110">
        <v>0.0</v>
      </c>
      <c r="AU1424" s="110">
        <v>0.0</v>
      </c>
      <c r="AV1424" s="142">
        <v>0.0</v>
      </c>
      <c r="AW1424" s="80">
        <v>0.0</v>
      </c>
      <c r="AX1424" s="113">
        <v>93.0</v>
      </c>
      <c r="AY1424" s="117">
        <v>93.0</v>
      </c>
      <c r="AZ1424" s="328">
        <v>0.0</v>
      </c>
      <c r="BA1424" s="315">
        <v>0.0</v>
      </c>
      <c r="BB1424" s="316">
        <v>93.0</v>
      </c>
      <c r="BC1424" s="132" t="s">
        <v>178</v>
      </c>
      <c r="BD1424" s="132" t="s">
        <v>178</v>
      </c>
      <c r="BE1424" s="132" t="s">
        <v>178</v>
      </c>
      <c r="BF1424" s="156"/>
      <c r="BG1424" s="83">
        <v>1179001.0</v>
      </c>
      <c r="BH1424" s="112">
        <v>6.0</v>
      </c>
      <c r="BI1424" s="98" t="s">
        <v>155</v>
      </c>
      <c r="BJ1424" s="98" t="str">
        <f t="shared" si="1"/>
        <v>NÃO</v>
      </c>
      <c r="BK1424" s="98" t="str">
        <f t="shared" si="2"/>
        <v>NÃO</v>
      </c>
    </row>
    <row r="1425" ht="15.75" customHeight="1">
      <c r="A1425" s="111" t="s">
        <v>1707</v>
      </c>
      <c r="B1425" s="83" t="s">
        <v>7792</v>
      </c>
      <c r="C1425" s="83" t="s">
        <v>68</v>
      </c>
      <c r="D1425" s="83">
        <v>1144261.0</v>
      </c>
      <c r="E1425" s="83"/>
      <c r="F1425" s="83">
        <v>2.9056616E7</v>
      </c>
      <c r="G1425" s="185" t="s">
        <v>11958</v>
      </c>
      <c r="H1425" s="91" t="s">
        <v>7835</v>
      </c>
      <c r="I1425" s="114" t="s">
        <v>149</v>
      </c>
      <c r="J1425" s="83" t="s">
        <v>150</v>
      </c>
      <c r="K1425" s="83" t="s">
        <v>168</v>
      </c>
      <c r="L1425" s="83" t="s">
        <v>230</v>
      </c>
      <c r="M1425" s="82" t="s">
        <v>11959</v>
      </c>
      <c r="N1425" s="82" t="s">
        <v>11960</v>
      </c>
      <c r="O1425" s="82" t="s">
        <v>11961</v>
      </c>
      <c r="P1425" s="82" t="s">
        <v>11962</v>
      </c>
      <c r="Q1425" s="82"/>
      <c r="R1425" s="82"/>
      <c r="S1425" s="82" t="s">
        <v>11963</v>
      </c>
      <c r="T1425" s="138">
        <v>12.0</v>
      </c>
      <c r="U1425" s="323" t="s">
        <v>171</v>
      </c>
      <c r="V1425" s="106">
        <v>0.0</v>
      </c>
      <c r="W1425" s="107">
        <v>0.0</v>
      </c>
      <c r="X1425" s="107">
        <v>0.0</v>
      </c>
      <c r="Y1425" s="107">
        <v>0.0</v>
      </c>
      <c r="Z1425" s="80">
        <v>0.0</v>
      </c>
      <c r="AA1425" s="140">
        <v>0.0</v>
      </c>
      <c r="AB1425" s="109">
        <v>0.0</v>
      </c>
      <c r="AC1425" s="109">
        <v>0.0</v>
      </c>
      <c r="AD1425" s="141">
        <v>0.0</v>
      </c>
      <c r="AE1425" s="80">
        <v>0.0</v>
      </c>
      <c r="AF1425" s="140">
        <v>0.0</v>
      </c>
      <c r="AG1425" s="109">
        <v>0.0</v>
      </c>
      <c r="AH1425" s="109">
        <v>0.0</v>
      </c>
      <c r="AI1425" s="141">
        <v>0.0</v>
      </c>
      <c r="AJ1425" s="80">
        <v>0.0</v>
      </c>
      <c r="AK1425" s="140">
        <v>0.0</v>
      </c>
      <c r="AL1425" s="109">
        <v>0.0</v>
      </c>
      <c r="AM1425" s="141">
        <v>0.0</v>
      </c>
      <c r="AN1425" s="80">
        <v>0.0</v>
      </c>
      <c r="AO1425" s="140">
        <v>0.0</v>
      </c>
      <c r="AP1425" s="109">
        <v>0.0</v>
      </c>
      <c r="AQ1425" s="109">
        <v>0.0</v>
      </c>
      <c r="AR1425" s="80">
        <v>0.0</v>
      </c>
      <c r="AS1425" s="110">
        <v>0.0</v>
      </c>
      <c r="AT1425" s="110">
        <v>0.0</v>
      </c>
      <c r="AU1425" s="110">
        <v>0.0</v>
      </c>
      <c r="AV1425" s="142">
        <v>0.0</v>
      </c>
      <c r="AW1425" s="80">
        <v>0.0</v>
      </c>
      <c r="AX1425" s="113">
        <v>0.0</v>
      </c>
      <c r="AY1425" s="117">
        <v>0.0</v>
      </c>
      <c r="AZ1425" s="328">
        <v>0.0</v>
      </c>
      <c r="BA1425" s="349">
        <v>0.0</v>
      </c>
      <c r="BB1425" s="316">
        <v>0.0</v>
      </c>
      <c r="BC1425" s="132" t="s">
        <v>553</v>
      </c>
      <c r="BD1425" s="356" t="s">
        <v>178</v>
      </c>
      <c r="BE1425" s="132" t="s">
        <v>178</v>
      </c>
      <c r="BF1425" s="156"/>
      <c r="BG1425" s="83">
        <v>1144261.0</v>
      </c>
      <c r="BH1425" s="112">
        <v>12.0</v>
      </c>
      <c r="BI1425" s="98" t="s">
        <v>155</v>
      </c>
      <c r="BJ1425" s="98" t="str">
        <f t="shared" si="1"/>
        <v>NÃO</v>
      </c>
      <c r="BK1425" s="98" t="str">
        <f t="shared" si="2"/>
        <v>NÃO</v>
      </c>
    </row>
    <row r="1426" ht="15.75" customHeight="1">
      <c r="A1426" s="111" t="s">
        <v>1707</v>
      </c>
      <c r="B1426" s="83" t="s">
        <v>7792</v>
      </c>
      <c r="C1426" s="83" t="s">
        <v>68</v>
      </c>
      <c r="D1426" s="83">
        <v>1178104.0</v>
      </c>
      <c r="E1426" s="83"/>
      <c r="F1426" s="83">
        <v>2.9433517E7</v>
      </c>
      <c r="G1426" s="185" t="s">
        <v>4944</v>
      </c>
      <c r="H1426" s="91" t="s">
        <v>7793</v>
      </c>
      <c r="I1426" s="114" t="s">
        <v>7794</v>
      </c>
      <c r="J1426" s="83" t="s">
        <v>150</v>
      </c>
      <c r="K1426" s="83" t="s">
        <v>151</v>
      </c>
      <c r="L1426" s="83" t="s">
        <v>152</v>
      </c>
      <c r="M1426" s="82" t="s">
        <v>2962</v>
      </c>
      <c r="N1426" s="82"/>
      <c r="O1426" s="82" t="s">
        <v>11964</v>
      </c>
      <c r="P1426" s="82" t="s">
        <v>11965</v>
      </c>
      <c r="Q1426" s="82"/>
      <c r="R1426" s="82"/>
      <c r="S1426" s="82" t="s">
        <v>11966</v>
      </c>
      <c r="T1426" s="138">
        <v>15.0</v>
      </c>
      <c r="U1426" s="323">
        <v>15.0</v>
      </c>
      <c r="V1426" s="106">
        <v>0.0</v>
      </c>
      <c r="W1426" s="107">
        <v>0.0</v>
      </c>
      <c r="X1426" s="107">
        <v>0.0</v>
      </c>
      <c r="Y1426" s="107">
        <v>0.0</v>
      </c>
      <c r="Z1426" s="80">
        <v>0.0</v>
      </c>
      <c r="AA1426" s="140">
        <v>0.0</v>
      </c>
      <c r="AB1426" s="109">
        <v>0.0</v>
      </c>
      <c r="AC1426" s="109">
        <v>0.0</v>
      </c>
      <c r="AD1426" s="141">
        <v>0.0</v>
      </c>
      <c r="AE1426" s="80">
        <v>0.0</v>
      </c>
      <c r="AF1426" s="140">
        <v>0.0</v>
      </c>
      <c r="AG1426" s="109">
        <v>0.0</v>
      </c>
      <c r="AH1426" s="109">
        <v>0.0</v>
      </c>
      <c r="AI1426" s="141">
        <v>514.0</v>
      </c>
      <c r="AJ1426" s="80">
        <v>514.0</v>
      </c>
      <c r="AK1426" s="140">
        <v>0.0</v>
      </c>
      <c r="AL1426" s="109">
        <v>0.0</v>
      </c>
      <c r="AM1426" s="141">
        <v>0.0</v>
      </c>
      <c r="AN1426" s="80">
        <v>0.0</v>
      </c>
      <c r="AO1426" s="140">
        <v>0.0</v>
      </c>
      <c r="AP1426" s="109">
        <v>0.0</v>
      </c>
      <c r="AQ1426" s="109">
        <v>0.0</v>
      </c>
      <c r="AR1426" s="80">
        <v>0.0</v>
      </c>
      <c r="AS1426" s="110">
        <v>0.0</v>
      </c>
      <c r="AT1426" s="110">
        <v>0.0</v>
      </c>
      <c r="AU1426" s="110">
        <v>0.0</v>
      </c>
      <c r="AV1426" s="142">
        <v>0.0</v>
      </c>
      <c r="AW1426" s="80">
        <v>0.0</v>
      </c>
      <c r="AX1426" s="113">
        <v>514.0</v>
      </c>
      <c r="AY1426" s="117">
        <v>514.0</v>
      </c>
      <c r="AZ1426" s="328">
        <v>0.0</v>
      </c>
      <c r="BA1426" s="315">
        <v>0.0</v>
      </c>
      <c r="BB1426" s="316">
        <v>514.0</v>
      </c>
      <c r="BC1426" s="132" t="s">
        <v>178</v>
      </c>
      <c r="BD1426" s="356" t="s">
        <v>178</v>
      </c>
      <c r="BE1426" s="132" t="s">
        <v>178</v>
      </c>
      <c r="BF1426" s="156"/>
      <c r="BG1426" s="83">
        <v>1178104.0</v>
      </c>
      <c r="BH1426" s="112">
        <v>15.0</v>
      </c>
      <c r="BI1426" s="98" t="s">
        <v>284</v>
      </c>
      <c r="BJ1426" s="98" t="str">
        <f t="shared" si="1"/>
        <v>INTEGRAL</v>
      </c>
      <c r="BK1426" s="98" t="str">
        <f t="shared" si="2"/>
        <v>NÃO</v>
      </c>
    </row>
    <row r="1427" ht="15.75" customHeight="1">
      <c r="A1427" s="111" t="s">
        <v>1707</v>
      </c>
      <c r="B1427" s="83" t="s">
        <v>7792</v>
      </c>
      <c r="C1427" s="83" t="s">
        <v>68</v>
      </c>
      <c r="D1427" s="83">
        <v>1120923.0</v>
      </c>
      <c r="E1427" s="83"/>
      <c r="F1427" s="83">
        <v>2.9056144E7</v>
      </c>
      <c r="G1427" s="114" t="s">
        <v>11967</v>
      </c>
      <c r="H1427" s="91" t="s">
        <v>7798</v>
      </c>
      <c r="I1427" s="187" t="s">
        <v>149</v>
      </c>
      <c r="J1427" s="136" t="s">
        <v>150</v>
      </c>
      <c r="K1427" s="83" t="s">
        <v>151</v>
      </c>
      <c r="L1427" s="83" t="s">
        <v>230</v>
      </c>
      <c r="M1427" s="82" t="s">
        <v>11968</v>
      </c>
      <c r="N1427" s="82" t="s">
        <v>11969</v>
      </c>
      <c r="O1427" s="82" t="s">
        <v>11970</v>
      </c>
      <c r="P1427" s="82" t="s">
        <v>11971</v>
      </c>
      <c r="Q1427" s="82" t="s">
        <v>11972</v>
      </c>
      <c r="R1427" s="82" t="s">
        <v>11973</v>
      </c>
      <c r="S1427" s="82" t="s">
        <v>11974</v>
      </c>
      <c r="T1427" s="138">
        <v>10.0</v>
      </c>
      <c r="U1427" s="341">
        <v>10.0</v>
      </c>
      <c r="V1427" s="106">
        <v>0.0</v>
      </c>
      <c r="W1427" s="107">
        <v>0.0</v>
      </c>
      <c r="X1427" s="107">
        <v>0.0</v>
      </c>
      <c r="Y1427" s="107">
        <v>0.0</v>
      </c>
      <c r="Z1427" s="80">
        <v>0.0</v>
      </c>
      <c r="AA1427" s="140">
        <v>0.0</v>
      </c>
      <c r="AB1427" s="109">
        <v>0.0</v>
      </c>
      <c r="AC1427" s="109">
        <v>0.0</v>
      </c>
      <c r="AD1427" s="141">
        <v>0.0</v>
      </c>
      <c r="AE1427" s="80">
        <v>0.0</v>
      </c>
      <c r="AF1427" s="140">
        <v>0.0</v>
      </c>
      <c r="AG1427" s="109">
        <v>0.0</v>
      </c>
      <c r="AH1427" s="109">
        <v>0.0</v>
      </c>
      <c r="AI1427" s="141">
        <v>190.0</v>
      </c>
      <c r="AJ1427" s="80">
        <v>190.0</v>
      </c>
      <c r="AK1427" s="140">
        <v>0.0</v>
      </c>
      <c r="AL1427" s="109">
        <v>0.0</v>
      </c>
      <c r="AM1427" s="141">
        <v>0.0</v>
      </c>
      <c r="AN1427" s="80">
        <v>0.0</v>
      </c>
      <c r="AO1427" s="140">
        <v>0.0</v>
      </c>
      <c r="AP1427" s="109">
        <v>0.0</v>
      </c>
      <c r="AQ1427" s="109">
        <v>136.0</v>
      </c>
      <c r="AR1427" s="80">
        <v>136.0</v>
      </c>
      <c r="AS1427" s="110">
        <v>0.0</v>
      </c>
      <c r="AT1427" s="110">
        <v>0.0</v>
      </c>
      <c r="AU1427" s="110">
        <v>0.0</v>
      </c>
      <c r="AV1427" s="142">
        <v>0.0</v>
      </c>
      <c r="AW1427" s="80">
        <v>0.0</v>
      </c>
      <c r="AX1427" s="113">
        <v>326.0</v>
      </c>
      <c r="AY1427" s="117">
        <v>190.0</v>
      </c>
      <c r="AZ1427" s="328">
        <v>136.0</v>
      </c>
      <c r="BA1427" s="315">
        <v>15.0</v>
      </c>
      <c r="BB1427" s="316">
        <v>341.0</v>
      </c>
      <c r="BC1427" s="132" t="s">
        <v>178</v>
      </c>
      <c r="BD1427" s="132" t="s">
        <v>178</v>
      </c>
      <c r="BE1427" s="132" t="s">
        <v>178</v>
      </c>
      <c r="BF1427" s="156"/>
      <c r="BG1427" s="83">
        <v>1120923.0</v>
      </c>
      <c r="BH1427" s="112">
        <v>10.0</v>
      </c>
      <c r="BI1427" s="98" t="s">
        <v>155</v>
      </c>
      <c r="BJ1427" s="98" t="str">
        <f t="shared" si="1"/>
        <v>INTEGRAL</v>
      </c>
      <c r="BK1427" s="98" t="str">
        <f t="shared" si="2"/>
        <v>NÃO</v>
      </c>
    </row>
    <row r="1428" ht="15.75" customHeight="1">
      <c r="A1428" s="111" t="s">
        <v>1707</v>
      </c>
      <c r="B1428" s="83" t="s">
        <v>7792</v>
      </c>
      <c r="C1428" s="83" t="s">
        <v>68</v>
      </c>
      <c r="D1428" s="83">
        <v>1121156.0</v>
      </c>
      <c r="E1428" s="83"/>
      <c r="F1428" s="83">
        <v>2.905678E7</v>
      </c>
      <c r="G1428" s="114" t="s">
        <v>11975</v>
      </c>
      <c r="H1428" s="91" t="s">
        <v>7803</v>
      </c>
      <c r="I1428" s="187" t="s">
        <v>149</v>
      </c>
      <c r="J1428" s="136" t="s">
        <v>822</v>
      </c>
      <c r="K1428" s="83" t="s">
        <v>151</v>
      </c>
      <c r="L1428" s="83" t="s">
        <v>169</v>
      </c>
      <c r="M1428" s="82" t="s">
        <v>2962</v>
      </c>
      <c r="N1428" s="82" t="s">
        <v>171</v>
      </c>
      <c r="O1428" s="82" t="s">
        <v>11977</v>
      </c>
      <c r="P1428" s="82" t="s">
        <v>11978</v>
      </c>
      <c r="Q1428" s="82" t="s">
        <v>11979</v>
      </c>
      <c r="R1428" s="82" t="s">
        <v>11980</v>
      </c>
      <c r="S1428" s="82" t="s">
        <v>11981</v>
      </c>
      <c r="T1428" s="138">
        <v>8.0</v>
      </c>
      <c r="U1428" s="341">
        <v>7.0</v>
      </c>
      <c r="V1428" s="106">
        <v>0.0</v>
      </c>
      <c r="W1428" s="107">
        <v>0.0</v>
      </c>
      <c r="X1428" s="107">
        <v>0.0</v>
      </c>
      <c r="Y1428" s="107">
        <v>0.0</v>
      </c>
      <c r="Z1428" s="80">
        <v>0.0</v>
      </c>
      <c r="AA1428" s="140">
        <v>0.0</v>
      </c>
      <c r="AB1428" s="109">
        <v>0.0</v>
      </c>
      <c r="AC1428" s="109">
        <v>0.0</v>
      </c>
      <c r="AD1428" s="141">
        <v>0.0</v>
      </c>
      <c r="AE1428" s="80">
        <v>0.0</v>
      </c>
      <c r="AF1428" s="140">
        <v>84.0</v>
      </c>
      <c r="AG1428" s="109">
        <v>46.0</v>
      </c>
      <c r="AH1428" s="109">
        <v>0.0</v>
      </c>
      <c r="AI1428" s="141">
        <v>52.0</v>
      </c>
      <c r="AJ1428" s="80">
        <v>182.0</v>
      </c>
      <c r="AK1428" s="140">
        <v>0.0</v>
      </c>
      <c r="AL1428" s="109">
        <v>0.0</v>
      </c>
      <c r="AM1428" s="141">
        <v>0.0</v>
      </c>
      <c r="AN1428" s="80">
        <v>0.0</v>
      </c>
      <c r="AO1428" s="140">
        <v>0.0</v>
      </c>
      <c r="AP1428" s="109">
        <v>0.0</v>
      </c>
      <c r="AQ1428" s="109">
        <v>60.0</v>
      </c>
      <c r="AR1428" s="80">
        <v>60.0</v>
      </c>
      <c r="AS1428" s="110">
        <v>0.0</v>
      </c>
      <c r="AT1428" s="110">
        <v>0.0</v>
      </c>
      <c r="AU1428" s="110">
        <v>0.0</v>
      </c>
      <c r="AV1428" s="142">
        <v>0.0</v>
      </c>
      <c r="AW1428" s="80">
        <v>0.0</v>
      </c>
      <c r="AX1428" s="113">
        <v>242.0</v>
      </c>
      <c r="AY1428" s="117">
        <v>182.0</v>
      </c>
      <c r="AZ1428" s="328">
        <v>60.0</v>
      </c>
      <c r="BA1428" s="315">
        <v>0.0</v>
      </c>
      <c r="BB1428" s="316">
        <v>242.0</v>
      </c>
      <c r="BC1428" s="132" t="s">
        <v>178</v>
      </c>
      <c r="BD1428" s="132" t="s">
        <v>178</v>
      </c>
      <c r="BE1428" s="132" t="s">
        <v>178</v>
      </c>
      <c r="BF1428" s="123"/>
      <c r="BG1428" s="83">
        <v>1121156.0</v>
      </c>
      <c r="BH1428" s="112">
        <v>7.0</v>
      </c>
      <c r="BI1428" s="98" t="s">
        <v>155</v>
      </c>
      <c r="BJ1428" s="98" t="str">
        <f t="shared" si="1"/>
        <v>INTEGRAL</v>
      </c>
      <c r="BK1428" s="98" t="str">
        <f t="shared" si="2"/>
        <v>NÃO</v>
      </c>
    </row>
    <row r="1429" ht="15.75" customHeight="1">
      <c r="A1429" s="111" t="s">
        <v>1707</v>
      </c>
      <c r="B1429" s="172" t="s">
        <v>7792</v>
      </c>
      <c r="C1429" s="136" t="s">
        <v>68</v>
      </c>
      <c r="D1429" s="136">
        <v>1121261.0</v>
      </c>
      <c r="E1429" s="136"/>
      <c r="F1429" s="136">
        <v>2.9055393E7</v>
      </c>
      <c r="G1429" s="292" t="s">
        <v>7807</v>
      </c>
      <c r="H1429" s="91" t="s">
        <v>7808</v>
      </c>
      <c r="I1429" s="114" t="s">
        <v>149</v>
      </c>
      <c r="J1429" s="83" t="s">
        <v>150</v>
      </c>
      <c r="K1429" s="83" t="s">
        <v>151</v>
      </c>
      <c r="L1429" s="83" t="s">
        <v>230</v>
      </c>
      <c r="M1429" s="82" t="s">
        <v>11982</v>
      </c>
      <c r="N1429" s="82" t="s">
        <v>11983</v>
      </c>
      <c r="O1429" s="82" t="s">
        <v>11984</v>
      </c>
      <c r="P1429" s="82" t="s">
        <v>11985</v>
      </c>
      <c r="Q1429" s="82" t="s">
        <v>11986</v>
      </c>
      <c r="R1429" s="82" t="s">
        <v>11987</v>
      </c>
      <c r="S1429" s="82" t="s">
        <v>11988</v>
      </c>
      <c r="T1429" s="138">
        <v>20.0</v>
      </c>
      <c r="U1429" s="410">
        <v>16.0</v>
      </c>
      <c r="V1429" s="106">
        <v>0.0</v>
      </c>
      <c r="W1429" s="107">
        <v>0.0</v>
      </c>
      <c r="X1429" s="107">
        <v>0.0</v>
      </c>
      <c r="Y1429" s="107">
        <v>0.0</v>
      </c>
      <c r="Z1429" s="80">
        <v>0.0</v>
      </c>
      <c r="AA1429" s="140">
        <v>0.0</v>
      </c>
      <c r="AB1429" s="109">
        <v>0.0</v>
      </c>
      <c r="AC1429" s="109">
        <v>0.0</v>
      </c>
      <c r="AD1429" s="141">
        <v>0.0</v>
      </c>
      <c r="AE1429" s="80">
        <v>0.0</v>
      </c>
      <c r="AF1429" s="140">
        <v>0.0</v>
      </c>
      <c r="AG1429" s="109">
        <v>0.0</v>
      </c>
      <c r="AH1429" s="109">
        <v>0.0</v>
      </c>
      <c r="AI1429" s="141">
        <v>349.0</v>
      </c>
      <c r="AJ1429" s="80">
        <v>349.0</v>
      </c>
      <c r="AK1429" s="140">
        <v>0.0</v>
      </c>
      <c r="AL1429" s="109">
        <v>0.0</v>
      </c>
      <c r="AM1429" s="141">
        <v>0.0</v>
      </c>
      <c r="AN1429" s="80">
        <v>0.0</v>
      </c>
      <c r="AO1429" s="140">
        <v>0.0</v>
      </c>
      <c r="AP1429" s="109">
        <v>0.0</v>
      </c>
      <c r="AQ1429" s="109">
        <v>157.0</v>
      </c>
      <c r="AR1429" s="80">
        <v>157.0</v>
      </c>
      <c r="AS1429" s="110">
        <v>0.0</v>
      </c>
      <c r="AT1429" s="110">
        <v>0.0</v>
      </c>
      <c r="AU1429" s="110">
        <v>0.0</v>
      </c>
      <c r="AV1429" s="142">
        <v>0.0</v>
      </c>
      <c r="AW1429" s="80">
        <v>0.0</v>
      </c>
      <c r="AX1429" s="113">
        <v>506.0</v>
      </c>
      <c r="AY1429" s="117">
        <v>349.0</v>
      </c>
      <c r="AZ1429" s="328">
        <v>157.0</v>
      </c>
      <c r="BA1429" s="315">
        <v>4.0</v>
      </c>
      <c r="BB1429" s="316">
        <v>510.0</v>
      </c>
      <c r="BC1429" s="132" t="s">
        <v>178</v>
      </c>
      <c r="BD1429" s="132" t="s">
        <v>178</v>
      </c>
      <c r="BE1429" s="132" t="s">
        <v>178</v>
      </c>
      <c r="BF1429" s="156"/>
      <c r="BG1429" s="136">
        <v>1121261.0</v>
      </c>
      <c r="BH1429" s="112">
        <v>16.0</v>
      </c>
      <c r="BI1429" s="98" t="s">
        <v>284</v>
      </c>
      <c r="BJ1429" s="98" t="str">
        <f t="shared" si="1"/>
        <v>INTEGRAL</v>
      </c>
      <c r="BK1429" s="98" t="str">
        <f t="shared" si="2"/>
        <v>NÃO</v>
      </c>
    </row>
    <row r="1430" ht="15.75" customHeight="1">
      <c r="A1430" s="111" t="s">
        <v>1707</v>
      </c>
      <c r="B1430" s="83" t="s">
        <v>7792</v>
      </c>
      <c r="C1430" s="83" t="s">
        <v>68</v>
      </c>
      <c r="D1430" s="83">
        <v>1179286.0</v>
      </c>
      <c r="E1430" s="83"/>
      <c r="F1430" s="83">
        <v>2.9461529E7</v>
      </c>
      <c r="G1430" s="231" t="s">
        <v>7811</v>
      </c>
      <c r="H1430" s="91" t="s">
        <v>7812</v>
      </c>
      <c r="I1430" s="298" t="s">
        <v>7813</v>
      </c>
      <c r="J1430" s="83" t="s">
        <v>150</v>
      </c>
      <c r="K1430" s="83" t="s">
        <v>151</v>
      </c>
      <c r="L1430" s="83" t="s">
        <v>230</v>
      </c>
      <c r="M1430" s="82" t="s">
        <v>11915</v>
      </c>
      <c r="N1430" s="82" t="s">
        <v>11916</v>
      </c>
      <c r="O1430" s="82" t="s">
        <v>11917</v>
      </c>
      <c r="P1430" s="82" t="s">
        <v>11918</v>
      </c>
      <c r="Q1430" s="82"/>
      <c r="R1430" s="82"/>
      <c r="S1430" s="82" t="s">
        <v>11919</v>
      </c>
      <c r="T1430" s="138" t="s">
        <v>171</v>
      </c>
      <c r="U1430" s="406" t="s">
        <v>533</v>
      </c>
      <c r="V1430" s="106">
        <v>0.0</v>
      </c>
      <c r="W1430" s="107">
        <v>0.0</v>
      </c>
      <c r="X1430" s="107">
        <v>0.0</v>
      </c>
      <c r="Y1430" s="107">
        <v>0.0</v>
      </c>
      <c r="Z1430" s="80">
        <v>0.0</v>
      </c>
      <c r="AA1430" s="140">
        <v>0.0</v>
      </c>
      <c r="AB1430" s="109">
        <v>0.0</v>
      </c>
      <c r="AC1430" s="109">
        <v>0.0</v>
      </c>
      <c r="AD1430" s="141">
        <v>0.0</v>
      </c>
      <c r="AE1430" s="80">
        <v>0.0</v>
      </c>
      <c r="AF1430" s="140">
        <v>0.0</v>
      </c>
      <c r="AG1430" s="109">
        <v>0.0</v>
      </c>
      <c r="AH1430" s="109">
        <v>0.0</v>
      </c>
      <c r="AI1430" s="141">
        <v>0.0</v>
      </c>
      <c r="AJ1430" s="80">
        <v>0.0</v>
      </c>
      <c r="AK1430" s="140">
        <v>0.0</v>
      </c>
      <c r="AL1430" s="109">
        <v>0.0</v>
      </c>
      <c r="AM1430" s="141">
        <v>0.0</v>
      </c>
      <c r="AN1430" s="80">
        <v>0.0</v>
      </c>
      <c r="AO1430" s="140">
        <v>0.0</v>
      </c>
      <c r="AP1430" s="109">
        <v>0.0</v>
      </c>
      <c r="AQ1430" s="109">
        <v>0.0</v>
      </c>
      <c r="AR1430" s="80">
        <v>0.0</v>
      </c>
      <c r="AS1430" s="110">
        <v>0.0</v>
      </c>
      <c r="AT1430" s="110">
        <v>0.0</v>
      </c>
      <c r="AU1430" s="110">
        <v>0.0</v>
      </c>
      <c r="AV1430" s="142">
        <v>0.0</v>
      </c>
      <c r="AW1430" s="80">
        <v>0.0</v>
      </c>
      <c r="AX1430" s="113">
        <v>0.0</v>
      </c>
      <c r="AY1430" s="117">
        <v>0.0</v>
      </c>
      <c r="AZ1430" s="328">
        <v>0.0</v>
      </c>
      <c r="BA1430" s="315">
        <v>0.0</v>
      </c>
      <c r="BB1430" s="316">
        <v>0.0</v>
      </c>
      <c r="BC1430" s="132" t="s">
        <v>178</v>
      </c>
      <c r="BD1430" s="143" t="s">
        <v>227</v>
      </c>
      <c r="BE1430" s="132" t="s">
        <v>178</v>
      </c>
      <c r="BF1430" s="123" t="s">
        <v>534</v>
      </c>
      <c r="BG1430" s="83">
        <v>1179286.0</v>
      </c>
      <c r="BH1430" s="112">
        <v>0.0</v>
      </c>
      <c r="BI1430" s="98" t="s">
        <v>155</v>
      </c>
      <c r="BJ1430" s="98" t="str">
        <f t="shared" si="1"/>
        <v>NÃO</v>
      </c>
      <c r="BK1430" s="98" t="str">
        <f t="shared" si="2"/>
        <v>NÃO</v>
      </c>
    </row>
    <row r="1431" ht="15.75" customHeight="1">
      <c r="A1431" s="111" t="s">
        <v>1707</v>
      </c>
      <c r="B1431" s="83" t="s">
        <v>7792</v>
      </c>
      <c r="C1431" s="83" t="s">
        <v>68</v>
      </c>
      <c r="D1431" s="83">
        <v>1179287.0</v>
      </c>
      <c r="E1431" s="83"/>
      <c r="F1431" s="83">
        <v>2.9461871E7</v>
      </c>
      <c r="G1431" s="185" t="s">
        <v>7815</v>
      </c>
      <c r="H1431" s="91" t="s">
        <v>7816</v>
      </c>
      <c r="I1431" s="114" t="s">
        <v>7817</v>
      </c>
      <c r="J1431" s="83" t="s">
        <v>150</v>
      </c>
      <c r="K1431" s="83" t="s">
        <v>151</v>
      </c>
      <c r="L1431" s="83" t="s">
        <v>230</v>
      </c>
      <c r="M1431" s="82" t="s">
        <v>11990</v>
      </c>
      <c r="N1431" s="82" t="s">
        <v>11991</v>
      </c>
      <c r="O1431" s="82" t="s">
        <v>11992</v>
      </c>
      <c r="P1431" s="82" t="s">
        <v>11993</v>
      </c>
      <c r="Q1431" s="82" t="s">
        <v>11994</v>
      </c>
      <c r="R1431" s="82"/>
      <c r="S1431" s="82" t="s">
        <v>11995</v>
      </c>
      <c r="T1431" s="138" t="s">
        <v>171</v>
      </c>
      <c r="U1431" s="401" t="s">
        <v>171</v>
      </c>
      <c r="V1431" s="106">
        <v>0.0</v>
      </c>
      <c r="W1431" s="107">
        <v>0.0</v>
      </c>
      <c r="X1431" s="107">
        <v>0.0</v>
      </c>
      <c r="Y1431" s="107">
        <v>0.0</v>
      </c>
      <c r="Z1431" s="80">
        <v>0.0</v>
      </c>
      <c r="AA1431" s="140">
        <v>0.0</v>
      </c>
      <c r="AB1431" s="109">
        <v>0.0</v>
      </c>
      <c r="AC1431" s="109">
        <v>0.0</v>
      </c>
      <c r="AD1431" s="141">
        <v>0.0</v>
      </c>
      <c r="AE1431" s="80">
        <v>0.0</v>
      </c>
      <c r="AF1431" s="140">
        <v>0.0</v>
      </c>
      <c r="AG1431" s="109">
        <v>0.0</v>
      </c>
      <c r="AH1431" s="109">
        <v>0.0</v>
      </c>
      <c r="AI1431" s="141">
        <v>0.0</v>
      </c>
      <c r="AJ1431" s="80">
        <v>0.0</v>
      </c>
      <c r="AK1431" s="140">
        <v>0.0</v>
      </c>
      <c r="AL1431" s="109">
        <v>0.0</v>
      </c>
      <c r="AM1431" s="141">
        <v>0.0</v>
      </c>
      <c r="AN1431" s="80">
        <v>0.0</v>
      </c>
      <c r="AO1431" s="140">
        <v>0.0</v>
      </c>
      <c r="AP1431" s="109">
        <v>0.0</v>
      </c>
      <c r="AQ1431" s="109">
        <v>0.0</v>
      </c>
      <c r="AR1431" s="80">
        <v>0.0</v>
      </c>
      <c r="AS1431" s="110">
        <v>0.0</v>
      </c>
      <c r="AT1431" s="110">
        <v>0.0</v>
      </c>
      <c r="AU1431" s="110">
        <v>0.0</v>
      </c>
      <c r="AV1431" s="142">
        <v>0.0</v>
      </c>
      <c r="AW1431" s="80">
        <v>0.0</v>
      </c>
      <c r="AX1431" s="346">
        <v>892.0</v>
      </c>
      <c r="AY1431" s="347">
        <v>734.0</v>
      </c>
      <c r="AZ1431" s="348">
        <v>158.0</v>
      </c>
      <c r="BA1431" s="349">
        <v>0.0</v>
      </c>
      <c r="BB1431" s="316">
        <v>892.0</v>
      </c>
      <c r="BC1431" s="143" t="s">
        <v>547</v>
      </c>
      <c r="BD1431" s="132" t="s">
        <v>178</v>
      </c>
      <c r="BE1431" s="132" t="s">
        <v>178</v>
      </c>
      <c r="BF1431" s="123"/>
      <c r="BG1431" s="83">
        <v>1179287.0</v>
      </c>
      <c r="BH1431" s="112">
        <v>0.0</v>
      </c>
      <c r="BI1431" s="98" t="s">
        <v>155</v>
      </c>
      <c r="BJ1431" s="98" t="str">
        <f t="shared" si="1"/>
        <v>NÃO</v>
      </c>
      <c r="BK1431" s="98" t="str">
        <f t="shared" si="2"/>
        <v>NÃO</v>
      </c>
    </row>
    <row r="1432" ht="15.75" customHeight="1">
      <c r="A1432" s="111" t="s">
        <v>1707</v>
      </c>
      <c r="B1432" s="83" t="s">
        <v>7792</v>
      </c>
      <c r="C1432" s="136" t="s">
        <v>68</v>
      </c>
      <c r="D1432" s="136">
        <v>1164602.0</v>
      </c>
      <c r="E1432" s="136"/>
      <c r="F1432" s="136">
        <v>2.9055385E7</v>
      </c>
      <c r="G1432" s="241" t="s">
        <v>7826</v>
      </c>
      <c r="H1432" s="91" t="s">
        <v>7827</v>
      </c>
      <c r="I1432" s="114" t="s">
        <v>149</v>
      </c>
      <c r="J1432" s="83" t="s">
        <v>150</v>
      </c>
      <c r="K1432" s="83" t="s">
        <v>151</v>
      </c>
      <c r="L1432" s="83" t="s">
        <v>230</v>
      </c>
      <c r="M1432" s="82" t="s">
        <v>11996</v>
      </c>
      <c r="N1432" s="82" t="s">
        <v>11997</v>
      </c>
      <c r="O1432" s="82" t="s">
        <v>11998</v>
      </c>
      <c r="P1432" s="82" t="s">
        <v>11999</v>
      </c>
      <c r="Q1432" s="82" t="s">
        <v>12000</v>
      </c>
      <c r="R1432" s="82" t="s">
        <v>12001</v>
      </c>
      <c r="S1432" s="82" t="s">
        <v>12002</v>
      </c>
      <c r="T1432" s="138">
        <v>21.0</v>
      </c>
      <c r="U1432" s="401">
        <v>24.0</v>
      </c>
      <c r="V1432" s="106">
        <v>0.0</v>
      </c>
      <c r="W1432" s="107">
        <v>0.0</v>
      </c>
      <c r="X1432" s="107">
        <v>0.0</v>
      </c>
      <c r="Y1432" s="107">
        <v>0.0</v>
      </c>
      <c r="Z1432" s="80">
        <v>0.0</v>
      </c>
      <c r="AA1432" s="140">
        <v>0.0</v>
      </c>
      <c r="AB1432" s="109">
        <v>0.0</v>
      </c>
      <c r="AC1432" s="109">
        <v>0.0</v>
      </c>
      <c r="AD1432" s="141">
        <v>0.0</v>
      </c>
      <c r="AE1432" s="80">
        <v>0.0</v>
      </c>
      <c r="AF1432" s="140">
        <v>0.0</v>
      </c>
      <c r="AG1432" s="109">
        <v>0.0</v>
      </c>
      <c r="AH1432" s="109">
        <v>0.0</v>
      </c>
      <c r="AI1432" s="141">
        <v>0.0</v>
      </c>
      <c r="AJ1432" s="80">
        <v>0.0</v>
      </c>
      <c r="AK1432" s="140">
        <v>0.0</v>
      </c>
      <c r="AL1432" s="109">
        <v>0.0</v>
      </c>
      <c r="AM1432" s="141">
        <v>0.0</v>
      </c>
      <c r="AN1432" s="80">
        <v>0.0</v>
      </c>
      <c r="AO1432" s="140">
        <v>0.0</v>
      </c>
      <c r="AP1432" s="109">
        <v>0.0</v>
      </c>
      <c r="AQ1432" s="109">
        <v>0.0</v>
      </c>
      <c r="AR1432" s="80">
        <v>0.0</v>
      </c>
      <c r="AS1432" s="110">
        <v>609.0</v>
      </c>
      <c r="AT1432" s="110">
        <v>451.0</v>
      </c>
      <c r="AU1432" s="110">
        <v>425.0</v>
      </c>
      <c r="AV1432" s="142">
        <v>0.0</v>
      </c>
      <c r="AW1432" s="80">
        <v>1485.0</v>
      </c>
      <c r="AX1432" s="113">
        <v>1485.0</v>
      </c>
      <c r="AY1432" s="117">
        <v>1060.0</v>
      </c>
      <c r="AZ1432" s="328">
        <v>425.0</v>
      </c>
      <c r="BA1432" s="315">
        <v>0.0</v>
      </c>
      <c r="BB1432" s="316">
        <v>1485.0</v>
      </c>
      <c r="BC1432" s="132" t="s">
        <v>178</v>
      </c>
      <c r="BD1432" s="132" t="s">
        <v>779</v>
      </c>
      <c r="BE1432" s="132" t="s">
        <v>178</v>
      </c>
      <c r="BF1432" s="123"/>
      <c r="BG1432" s="136">
        <v>1164602.0</v>
      </c>
      <c r="BH1432" s="112">
        <v>24.0</v>
      </c>
      <c r="BI1432" s="98" t="s">
        <v>162</v>
      </c>
      <c r="BJ1432" s="98" t="str">
        <f t="shared" si="1"/>
        <v>NÃO</v>
      </c>
      <c r="BK1432" s="98" t="str">
        <f t="shared" si="2"/>
        <v>PROFISSIONAL</v>
      </c>
    </row>
    <row r="1433" ht="15.75" customHeight="1">
      <c r="A1433" s="111" t="s">
        <v>1707</v>
      </c>
      <c r="B1433" s="83" t="s">
        <v>7792</v>
      </c>
      <c r="C1433" s="83" t="s">
        <v>164</v>
      </c>
      <c r="D1433" s="83">
        <v>1179286.0</v>
      </c>
      <c r="E1433" s="83">
        <v>1179003.0</v>
      </c>
      <c r="F1433" s="83"/>
      <c r="G1433" s="185" t="s">
        <v>7840</v>
      </c>
      <c r="H1433" s="91" t="s">
        <v>7841</v>
      </c>
      <c r="I1433" s="114" t="s">
        <v>7842</v>
      </c>
      <c r="J1433" s="83" t="s">
        <v>5099</v>
      </c>
      <c r="K1433" s="83" t="s">
        <v>168</v>
      </c>
      <c r="L1433" s="83" t="s">
        <v>169</v>
      </c>
      <c r="M1433" s="82" t="s">
        <v>11915</v>
      </c>
      <c r="N1433" s="82" t="s">
        <v>11916</v>
      </c>
      <c r="O1433" s="82" t="s">
        <v>11917</v>
      </c>
      <c r="P1433" s="82" t="s">
        <v>11918</v>
      </c>
      <c r="Q1433" s="82"/>
      <c r="R1433" s="82"/>
      <c r="S1433" s="82" t="s">
        <v>11919</v>
      </c>
      <c r="T1433" s="138">
        <v>3.0</v>
      </c>
      <c r="U1433" s="401">
        <v>3.0</v>
      </c>
      <c r="V1433" s="106">
        <v>0.0</v>
      </c>
      <c r="W1433" s="107">
        <v>0.0</v>
      </c>
      <c r="X1433" s="107">
        <v>0.0</v>
      </c>
      <c r="Y1433" s="107">
        <v>0.0</v>
      </c>
      <c r="Z1433" s="80">
        <v>0.0</v>
      </c>
      <c r="AA1433" s="140">
        <v>0.0</v>
      </c>
      <c r="AB1433" s="109">
        <v>0.0</v>
      </c>
      <c r="AC1433" s="109">
        <v>0.0</v>
      </c>
      <c r="AD1433" s="141">
        <v>0.0</v>
      </c>
      <c r="AE1433" s="80">
        <v>0.0</v>
      </c>
      <c r="AF1433" s="140">
        <v>0.0</v>
      </c>
      <c r="AG1433" s="109">
        <v>0.0</v>
      </c>
      <c r="AH1433" s="109">
        <v>24.0</v>
      </c>
      <c r="AI1433" s="141">
        <v>0.0</v>
      </c>
      <c r="AJ1433" s="80">
        <v>24.0</v>
      </c>
      <c r="AK1433" s="140">
        <v>0.0</v>
      </c>
      <c r="AL1433" s="109">
        <v>0.0</v>
      </c>
      <c r="AM1433" s="141">
        <v>0.0</v>
      </c>
      <c r="AN1433" s="80">
        <v>0.0</v>
      </c>
      <c r="AO1433" s="140">
        <v>0.0</v>
      </c>
      <c r="AP1433" s="109">
        <v>0.0</v>
      </c>
      <c r="AQ1433" s="109">
        <v>0.0</v>
      </c>
      <c r="AR1433" s="80">
        <v>0.0</v>
      </c>
      <c r="AS1433" s="110">
        <v>0.0</v>
      </c>
      <c r="AT1433" s="110">
        <v>0.0</v>
      </c>
      <c r="AU1433" s="110">
        <v>0.0</v>
      </c>
      <c r="AV1433" s="142">
        <v>0.0</v>
      </c>
      <c r="AW1433" s="80">
        <v>0.0</v>
      </c>
      <c r="AX1433" s="113">
        <v>24.0</v>
      </c>
      <c r="AY1433" s="117">
        <v>0.0</v>
      </c>
      <c r="AZ1433" s="328">
        <v>24.0</v>
      </c>
      <c r="BA1433" s="315">
        <v>0.0</v>
      </c>
      <c r="BB1433" s="316">
        <v>24.0</v>
      </c>
      <c r="BC1433" s="132" t="s">
        <v>265</v>
      </c>
      <c r="BD1433" s="143" t="s">
        <v>227</v>
      </c>
      <c r="BE1433" s="132" t="s">
        <v>178</v>
      </c>
      <c r="BF1433" s="123"/>
      <c r="BG1433" s="83">
        <v>1179003.0</v>
      </c>
      <c r="BH1433" s="112">
        <v>3.0</v>
      </c>
      <c r="BI1433" s="98" t="s">
        <v>155</v>
      </c>
      <c r="BJ1433" s="98" t="str">
        <f t="shared" si="1"/>
        <v>NÃO</v>
      </c>
      <c r="BK1433" s="98" t="str">
        <f t="shared" si="2"/>
        <v>NÃO</v>
      </c>
    </row>
    <row r="1434" ht="15.75" customHeight="1">
      <c r="A1434" s="111" t="s">
        <v>1707</v>
      </c>
      <c r="B1434" s="172" t="s">
        <v>7792</v>
      </c>
      <c r="C1434" s="83" t="s">
        <v>164</v>
      </c>
      <c r="D1434" s="83">
        <v>1179286.0</v>
      </c>
      <c r="E1434" s="83">
        <v>1179366.0</v>
      </c>
      <c r="F1434" s="83"/>
      <c r="G1434" s="241" t="s">
        <v>7844</v>
      </c>
      <c r="H1434" s="91" t="s">
        <v>7845</v>
      </c>
      <c r="I1434" s="298" t="s">
        <v>4215</v>
      </c>
      <c r="J1434" s="83" t="s">
        <v>1386</v>
      </c>
      <c r="K1434" s="83" t="s">
        <v>168</v>
      </c>
      <c r="L1434" s="83" t="s">
        <v>169</v>
      </c>
      <c r="M1434" s="82" t="s">
        <v>11915</v>
      </c>
      <c r="N1434" s="82" t="s">
        <v>11916</v>
      </c>
      <c r="O1434" s="82" t="s">
        <v>11917</v>
      </c>
      <c r="P1434" s="82" t="s">
        <v>11918</v>
      </c>
      <c r="Q1434" s="82"/>
      <c r="R1434" s="82"/>
      <c r="S1434" s="82" t="s">
        <v>11919</v>
      </c>
      <c r="T1434" s="138">
        <v>2.0</v>
      </c>
      <c r="U1434" s="409">
        <v>2.0</v>
      </c>
      <c r="V1434" s="106">
        <v>0.0</v>
      </c>
      <c r="W1434" s="107">
        <v>0.0</v>
      </c>
      <c r="X1434" s="107">
        <v>0.0</v>
      </c>
      <c r="Y1434" s="107">
        <v>0.0</v>
      </c>
      <c r="Z1434" s="80">
        <v>0.0</v>
      </c>
      <c r="AA1434" s="140">
        <v>0.0</v>
      </c>
      <c r="AB1434" s="109">
        <v>0.0</v>
      </c>
      <c r="AC1434" s="109">
        <v>0.0</v>
      </c>
      <c r="AD1434" s="141">
        <v>0.0</v>
      </c>
      <c r="AE1434" s="80">
        <v>0.0</v>
      </c>
      <c r="AF1434" s="140">
        <v>0.0</v>
      </c>
      <c r="AG1434" s="109">
        <v>0.0</v>
      </c>
      <c r="AH1434" s="109">
        <v>20.0</v>
      </c>
      <c r="AI1434" s="141">
        <v>0.0</v>
      </c>
      <c r="AJ1434" s="80">
        <v>20.0</v>
      </c>
      <c r="AK1434" s="140">
        <v>0.0</v>
      </c>
      <c r="AL1434" s="109">
        <v>0.0</v>
      </c>
      <c r="AM1434" s="141">
        <v>0.0</v>
      </c>
      <c r="AN1434" s="80">
        <v>0.0</v>
      </c>
      <c r="AO1434" s="140">
        <v>0.0</v>
      </c>
      <c r="AP1434" s="109">
        <v>0.0</v>
      </c>
      <c r="AQ1434" s="109">
        <v>0.0</v>
      </c>
      <c r="AR1434" s="80">
        <v>0.0</v>
      </c>
      <c r="AS1434" s="110">
        <v>0.0</v>
      </c>
      <c r="AT1434" s="110">
        <v>0.0</v>
      </c>
      <c r="AU1434" s="110">
        <v>0.0</v>
      </c>
      <c r="AV1434" s="142">
        <v>0.0</v>
      </c>
      <c r="AW1434" s="80">
        <v>0.0</v>
      </c>
      <c r="AX1434" s="113">
        <v>20.0</v>
      </c>
      <c r="AY1434" s="117">
        <v>0.0</v>
      </c>
      <c r="AZ1434" s="328">
        <v>20.0</v>
      </c>
      <c r="BA1434" s="315">
        <v>0.0</v>
      </c>
      <c r="BB1434" s="316">
        <v>20.0</v>
      </c>
      <c r="BC1434" s="132" t="s">
        <v>265</v>
      </c>
      <c r="BD1434" s="143" t="s">
        <v>227</v>
      </c>
      <c r="BE1434" s="132" t="s">
        <v>178</v>
      </c>
      <c r="BF1434" s="156"/>
      <c r="BG1434" s="83">
        <v>1179366.0</v>
      </c>
      <c r="BH1434" s="112">
        <v>2.0</v>
      </c>
      <c r="BI1434" s="98" t="s">
        <v>155</v>
      </c>
      <c r="BJ1434" s="98" t="str">
        <f t="shared" si="1"/>
        <v>NÃO</v>
      </c>
      <c r="BK1434" s="98" t="str">
        <f t="shared" si="2"/>
        <v>NÃO</v>
      </c>
    </row>
    <row r="1435" ht="15.75" customHeight="1">
      <c r="A1435" s="111" t="s">
        <v>1707</v>
      </c>
      <c r="B1435" s="172" t="s">
        <v>7792</v>
      </c>
      <c r="C1435" s="83" t="s">
        <v>164</v>
      </c>
      <c r="D1435" s="83">
        <v>1120923.0</v>
      </c>
      <c r="E1435" s="83">
        <v>1179004.0</v>
      </c>
      <c r="F1435" s="83"/>
      <c r="G1435" s="241" t="s">
        <v>12003</v>
      </c>
      <c r="H1435" s="91" t="s">
        <v>7853</v>
      </c>
      <c r="I1435" s="298" t="s">
        <v>7854</v>
      </c>
      <c r="J1435" s="83" t="s">
        <v>767</v>
      </c>
      <c r="K1435" s="83" t="s">
        <v>168</v>
      </c>
      <c r="L1435" s="83" t="s">
        <v>169</v>
      </c>
      <c r="M1435" s="82" t="s">
        <v>11968</v>
      </c>
      <c r="N1435" s="82" t="s">
        <v>11969</v>
      </c>
      <c r="O1435" s="82" t="s">
        <v>11970</v>
      </c>
      <c r="P1435" s="82" t="s">
        <v>11971</v>
      </c>
      <c r="Q1435" s="82" t="s">
        <v>11972</v>
      </c>
      <c r="R1435" s="82" t="s">
        <v>11973</v>
      </c>
      <c r="S1435" s="82" t="s">
        <v>11974</v>
      </c>
      <c r="T1435" s="138">
        <v>6.0</v>
      </c>
      <c r="U1435" s="364">
        <v>3.0</v>
      </c>
      <c r="V1435" s="106">
        <v>0.0</v>
      </c>
      <c r="W1435" s="107">
        <v>0.0</v>
      </c>
      <c r="X1435" s="107">
        <v>0.0</v>
      </c>
      <c r="Y1435" s="107">
        <v>0.0</v>
      </c>
      <c r="Z1435" s="80">
        <v>0.0</v>
      </c>
      <c r="AA1435" s="140">
        <v>0.0</v>
      </c>
      <c r="AB1435" s="109">
        <v>0.0</v>
      </c>
      <c r="AC1435" s="109">
        <v>0.0</v>
      </c>
      <c r="AD1435" s="141">
        <v>0.0</v>
      </c>
      <c r="AE1435" s="80">
        <v>0.0</v>
      </c>
      <c r="AF1435" s="140">
        <v>0.0</v>
      </c>
      <c r="AG1435" s="109">
        <v>0.0</v>
      </c>
      <c r="AH1435" s="109">
        <v>10.0</v>
      </c>
      <c r="AI1435" s="141">
        <v>0.0</v>
      </c>
      <c r="AJ1435" s="80">
        <v>10.0</v>
      </c>
      <c r="AK1435" s="140">
        <v>0.0</v>
      </c>
      <c r="AL1435" s="109">
        <v>0.0</v>
      </c>
      <c r="AM1435" s="141">
        <v>0.0</v>
      </c>
      <c r="AN1435" s="80">
        <v>0.0</v>
      </c>
      <c r="AO1435" s="140">
        <v>0.0</v>
      </c>
      <c r="AP1435" s="109">
        <v>0.0</v>
      </c>
      <c r="AQ1435" s="109">
        <v>33.0</v>
      </c>
      <c r="AR1435" s="80">
        <v>33.0</v>
      </c>
      <c r="AS1435" s="110">
        <v>0.0</v>
      </c>
      <c r="AT1435" s="110">
        <v>0.0</v>
      </c>
      <c r="AU1435" s="110">
        <v>0.0</v>
      </c>
      <c r="AV1435" s="142">
        <v>0.0</v>
      </c>
      <c r="AW1435" s="80">
        <v>0.0</v>
      </c>
      <c r="AX1435" s="113">
        <v>43.0</v>
      </c>
      <c r="AY1435" s="117">
        <v>0.0</v>
      </c>
      <c r="AZ1435" s="328">
        <v>43.0</v>
      </c>
      <c r="BA1435" s="315">
        <v>0.0</v>
      </c>
      <c r="BB1435" s="316">
        <v>43.0</v>
      </c>
      <c r="BC1435" s="132" t="s">
        <v>178</v>
      </c>
      <c r="BD1435" s="132" t="s">
        <v>178</v>
      </c>
      <c r="BE1435" s="132" t="s">
        <v>178</v>
      </c>
      <c r="BF1435" s="156"/>
      <c r="BG1435" s="83">
        <v>1179004.0</v>
      </c>
      <c r="BH1435" s="112">
        <v>3.0</v>
      </c>
      <c r="BI1435" s="98" t="s">
        <v>155</v>
      </c>
      <c r="BJ1435" s="98" t="str">
        <f t="shared" si="1"/>
        <v>NÃO</v>
      </c>
      <c r="BK1435" s="98" t="str">
        <f t="shared" si="2"/>
        <v>NÃO</v>
      </c>
    </row>
    <row r="1436" ht="15.75" customHeight="1">
      <c r="A1436" s="111" t="s">
        <v>1707</v>
      </c>
      <c r="B1436" s="83" t="s">
        <v>7792</v>
      </c>
      <c r="C1436" s="83" t="s">
        <v>164</v>
      </c>
      <c r="D1436" s="83">
        <v>1120923.0</v>
      </c>
      <c r="E1436" s="83">
        <v>1179629.0</v>
      </c>
      <c r="F1436" s="83"/>
      <c r="G1436" s="430" t="s">
        <v>12004</v>
      </c>
      <c r="H1436" s="91" t="s">
        <v>7847</v>
      </c>
      <c r="I1436" s="114" t="s">
        <v>7848</v>
      </c>
      <c r="J1436" s="83" t="s">
        <v>5099</v>
      </c>
      <c r="K1436" s="83" t="s">
        <v>151</v>
      </c>
      <c r="L1436" s="83" t="s">
        <v>169</v>
      </c>
      <c r="M1436" s="82" t="s">
        <v>11968</v>
      </c>
      <c r="N1436" s="82" t="s">
        <v>11969</v>
      </c>
      <c r="O1436" s="82" t="s">
        <v>11970</v>
      </c>
      <c r="P1436" s="82" t="s">
        <v>11971</v>
      </c>
      <c r="Q1436" s="82" t="s">
        <v>11972</v>
      </c>
      <c r="R1436" s="82" t="s">
        <v>11973</v>
      </c>
      <c r="S1436" s="82" t="s">
        <v>11974</v>
      </c>
      <c r="T1436" s="138">
        <v>5.0</v>
      </c>
      <c r="U1436" s="401">
        <v>3.0</v>
      </c>
      <c r="V1436" s="106">
        <v>0.0</v>
      </c>
      <c r="W1436" s="107">
        <v>0.0</v>
      </c>
      <c r="X1436" s="107">
        <v>0.0</v>
      </c>
      <c r="Y1436" s="107">
        <v>0.0</v>
      </c>
      <c r="Z1436" s="80">
        <v>0.0</v>
      </c>
      <c r="AA1436" s="140">
        <v>0.0</v>
      </c>
      <c r="AB1436" s="109">
        <v>0.0</v>
      </c>
      <c r="AC1436" s="109">
        <v>0.0</v>
      </c>
      <c r="AD1436" s="141">
        <v>0.0</v>
      </c>
      <c r="AE1436" s="80">
        <v>0.0</v>
      </c>
      <c r="AF1436" s="140">
        <v>38.0</v>
      </c>
      <c r="AG1436" s="109">
        <v>0.0</v>
      </c>
      <c r="AH1436" s="109">
        <v>0.0</v>
      </c>
      <c r="AI1436" s="141">
        <v>0.0</v>
      </c>
      <c r="AJ1436" s="80">
        <v>38.0</v>
      </c>
      <c r="AK1436" s="140">
        <v>0.0</v>
      </c>
      <c r="AL1436" s="109">
        <v>0.0</v>
      </c>
      <c r="AM1436" s="141">
        <v>0.0</v>
      </c>
      <c r="AN1436" s="80">
        <v>0.0</v>
      </c>
      <c r="AO1436" s="140">
        <v>0.0</v>
      </c>
      <c r="AP1436" s="109">
        <v>0.0</v>
      </c>
      <c r="AQ1436" s="109">
        <v>30.0</v>
      </c>
      <c r="AR1436" s="80">
        <v>30.0</v>
      </c>
      <c r="AS1436" s="110">
        <v>0.0</v>
      </c>
      <c r="AT1436" s="110">
        <v>0.0</v>
      </c>
      <c r="AU1436" s="110">
        <v>0.0</v>
      </c>
      <c r="AV1436" s="142">
        <v>0.0</v>
      </c>
      <c r="AW1436" s="80">
        <v>0.0</v>
      </c>
      <c r="AX1436" s="113">
        <v>68.0</v>
      </c>
      <c r="AY1436" s="117">
        <v>38.0</v>
      </c>
      <c r="AZ1436" s="328">
        <v>30.0</v>
      </c>
      <c r="BA1436" s="315">
        <v>0.0</v>
      </c>
      <c r="BB1436" s="316">
        <v>68.0</v>
      </c>
      <c r="BC1436" s="132" t="s">
        <v>178</v>
      </c>
      <c r="BD1436" s="132" t="s">
        <v>178</v>
      </c>
      <c r="BE1436" s="132" t="s">
        <v>178</v>
      </c>
      <c r="BF1436" s="156"/>
      <c r="BG1436" s="83">
        <v>1179629.0</v>
      </c>
      <c r="BH1436" s="112">
        <v>3.0</v>
      </c>
      <c r="BI1436" s="98" t="s">
        <v>155</v>
      </c>
      <c r="BJ1436" s="98" t="str">
        <f t="shared" si="1"/>
        <v>NÃO</v>
      </c>
      <c r="BK1436" s="98" t="str">
        <f t="shared" si="2"/>
        <v>NÃO</v>
      </c>
    </row>
    <row r="1437" ht="15.75" customHeight="1">
      <c r="A1437" s="111" t="s">
        <v>1707</v>
      </c>
      <c r="B1437" s="83" t="s">
        <v>7792</v>
      </c>
      <c r="C1437" s="136" t="s">
        <v>164</v>
      </c>
      <c r="D1437" s="83">
        <v>1120923.0</v>
      </c>
      <c r="E1437" s="136">
        <v>1179605.0</v>
      </c>
      <c r="F1437" s="136"/>
      <c r="G1437" s="241" t="s">
        <v>12005</v>
      </c>
      <c r="H1437" s="91" t="s">
        <v>7856</v>
      </c>
      <c r="I1437" s="187" t="s">
        <v>7857</v>
      </c>
      <c r="J1437" s="83" t="s">
        <v>1386</v>
      </c>
      <c r="K1437" s="83" t="s">
        <v>151</v>
      </c>
      <c r="L1437" s="83" t="s">
        <v>169</v>
      </c>
      <c r="M1437" s="82" t="s">
        <v>11968</v>
      </c>
      <c r="N1437" s="82" t="s">
        <v>11969</v>
      </c>
      <c r="O1437" s="82" t="s">
        <v>11970</v>
      </c>
      <c r="P1437" s="82" t="s">
        <v>11971</v>
      </c>
      <c r="Q1437" s="82" t="s">
        <v>11972</v>
      </c>
      <c r="R1437" s="82" t="s">
        <v>11973</v>
      </c>
      <c r="S1437" s="82" t="s">
        <v>11974</v>
      </c>
      <c r="T1437" s="138">
        <v>4.0</v>
      </c>
      <c r="U1437" s="401">
        <v>3.0</v>
      </c>
      <c r="V1437" s="106">
        <v>0.0</v>
      </c>
      <c r="W1437" s="107">
        <v>0.0</v>
      </c>
      <c r="X1437" s="107">
        <v>0.0</v>
      </c>
      <c r="Y1437" s="107">
        <v>0.0</v>
      </c>
      <c r="Z1437" s="80">
        <v>0.0</v>
      </c>
      <c r="AA1437" s="140">
        <v>0.0</v>
      </c>
      <c r="AB1437" s="109">
        <v>0.0</v>
      </c>
      <c r="AC1437" s="109">
        <v>0.0</v>
      </c>
      <c r="AD1437" s="141">
        <v>0.0</v>
      </c>
      <c r="AE1437" s="80">
        <v>0.0</v>
      </c>
      <c r="AF1437" s="140">
        <v>40.0</v>
      </c>
      <c r="AG1437" s="109">
        <v>0.0</v>
      </c>
      <c r="AH1437" s="109">
        <v>0.0</v>
      </c>
      <c r="AI1437" s="141">
        <v>0.0</v>
      </c>
      <c r="AJ1437" s="80">
        <v>40.0</v>
      </c>
      <c r="AK1437" s="140">
        <v>0.0</v>
      </c>
      <c r="AL1437" s="109">
        <v>0.0</v>
      </c>
      <c r="AM1437" s="141">
        <v>0.0</v>
      </c>
      <c r="AN1437" s="80">
        <v>0.0</v>
      </c>
      <c r="AO1437" s="140">
        <v>0.0</v>
      </c>
      <c r="AP1437" s="109">
        <v>0.0</v>
      </c>
      <c r="AQ1437" s="109">
        <v>11.0</v>
      </c>
      <c r="AR1437" s="80">
        <v>11.0</v>
      </c>
      <c r="AS1437" s="110">
        <v>0.0</v>
      </c>
      <c r="AT1437" s="110">
        <v>0.0</v>
      </c>
      <c r="AU1437" s="110">
        <v>0.0</v>
      </c>
      <c r="AV1437" s="142">
        <v>0.0</v>
      </c>
      <c r="AW1437" s="80">
        <v>0.0</v>
      </c>
      <c r="AX1437" s="113">
        <v>51.0</v>
      </c>
      <c r="AY1437" s="117">
        <v>40.0</v>
      </c>
      <c r="AZ1437" s="328">
        <v>11.0</v>
      </c>
      <c r="BA1437" s="315">
        <v>0.0</v>
      </c>
      <c r="BB1437" s="316">
        <v>51.0</v>
      </c>
      <c r="BC1437" s="132" t="s">
        <v>178</v>
      </c>
      <c r="BD1437" s="356" t="s">
        <v>178</v>
      </c>
      <c r="BE1437" s="132" t="s">
        <v>178</v>
      </c>
      <c r="BF1437" s="123"/>
      <c r="BG1437" s="136">
        <v>1179605.0</v>
      </c>
      <c r="BH1437" s="112">
        <v>3.0</v>
      </c>
      <c r="BI1437" s="98" t="s">
        <v>155</v>
      </c>
      <c r="BJ1437" s="98" t="str">
        <f t="shared" si="1"/>
        <v>NÃO</v>
      </c>
      <c r="BK1437" s="98" t="str">
        <f t="shared" si="2"/>
        <v>NÃO</v>
      </c>
    </row>
    <row r="1438" ht="15.75" customHeight="1">
      <c r="A1438" s="111" t="s">
        <v>1707</v>
      </c>
      <c r="B1438" s="83" t="s">
        <v>7792</v>
      </c>
      <c r="C1438" s="136" t="s">
        <v>164</v>
      </c>
      <c r="D1438" s="83">
        <v>1120923.0</v>
      </c>
      <c r="E1438" s="136">
        <v>1179002.0</v>
      </c>
      <c r="F1438" s="136"/>
      <c r="G1438" s="241" t="s">
        <v>12006</v>
      </c>
      <c r="H1438" s="91" t="s">
        <v>7850</v>
      </c>
      <c r="I1438" s="187" t="s">
        <v>4215</v>
      </c>
      <c r="J1438" s="83" t="s">
        <v>694</v>
      </c>
      <c r="K1438" s="83" t="s">
        <v>168</v>
      </c>
      <c r="L1438" s="83" t="s">
        <v>169</v>
      </c>
      <c r="M1438" s="82" t="s">
        <v>11968</v>
      </c>
      <c r="N1438" s="82" t="s">
        <v>11969</v>
      </c>
      <c r="O1438" s="82" t="s">
        <v>11970</v>
      </c>
      <c r="P1438" s="82" t="s">
        <v>11971</v>
      </c>
      <c r="Q1438" s="82" t="s">
        <v>11972</v>
      </c>
      <c r="R1438" s="82" t="s">
        <v>11973</v>
      </c>
      <c r="S1438" s="82" t="s">
        <v>11974</v>
      </c>
      <c r="T1438" s="138">
        <v>5.0</v>
      </c>
      <c r="U1438" s="401">
        <v>3.0</v>
      </c>
      <c r="V1438" s="106">
        <v>0.0</v>
      </c>
      <c r="W1438" s="107">
        <v>0.0</v>
      </c>
      <c r="X1438" s="107">
        <v>0.0</v>
      </c>
      <c r="Y1438" s="107">
        <v>0.0</v>
      </c>
      <c r="Z1438" s="80">
        <v>0.0</v>
      </c>
      <c r="AA1438" s="140">
        <v>0.0</v>
      </c>
      <c r="AB1438" s="109">
        <v>0.0</v>
      </c>
      <c r="AC1438" s="109">
        <v>0.0</v>
      </c>
      <c r="AD1438" s="141">
        <v>0.0</v>
      </c>
      <c r="AE1438" s="80">
        <v>0.0</v>
      </c>
      <c r="AF1438" s="140">
        <v>0.0</v>
      </c>
      <c r="AG1438" s="109">
        <v>65.0</v>
      </c>
      <c r="AH1438" s="109">
        <v>19.0</v>
      </c>
      <c r="AI1438" s="141">
        <v>0.0</v>
      </c>
      <c r="AJ1438" s="80">
        <v>84.0</v>
      </c>
      <c r="AK1438" s="140">
        <v>0.0</v>
      </c>
      <c r="AL1438" s="109">
        <v>0.0</v>
      </c>
      <c r="AM1438" s="141">
        <v>0.0</v>
      </c>
      <c r="AN1438" s="80">
        <v>0.0</v>
      </c>
      <c r="AO1438" s="140">
        <v>0.0</v>
      </c>
      <c r="AP1438" s="109">
        <v>0.0</v>
      </c>
      <c r="AQ1438" s="109">
        <v>48.0</v>
      </c>
      <c r="AR1438" s="80">
        <v>48.0</v>
      </c>
      <c r="AS1438" s="110">
        <v>0.0</v>
      </c>
      <c r="AT1438" s="110">
        <v>0.0</v>
      </c>
      <c r="AU1438" s="110">
        <v>0.0</v>
      </c>
      <c r="AV1438" s="142">
        <v>0.0</v>
      </c>
      <c r="AW1438" s="80">
        <v>0.0</v>
      </c>
      <c r="AX1438" s="113">
        <v>132.0</v>
      </c>
      <c r="AY1438" s="117">
        <v>65.0</v>
      </c>
      <c r="AZ1438" s="328">
        <v>67.0</v>
      </c>
      <c r="BA1438" s="315">
        <v>0.0</v>
      </c>
      <c r="BB1438" s="316">
        <v>132.0</v>
      </c>
      <c r="BC1438" s="132" t="s">
        <v>265</v>
      </c>
      <c r="BD1438" s="356" t="s">
        <v>178</v>
      </c>
      <c r="BE1438" s="132" t="s">
        <v>178</v>
      </c>
      <c r="BF1438" s="156"/>
      <c r="BG1438" s="136">
        <v>1179002.0</v>
      </c>
      <c r="BH1438" s="112">
        <v>3.0</v>
      </c>
      <c r="BI1438" s="98" t="s">
        <v>155</v>
      </c>
      <c r="BJ1438" s="98" t="str">
        <f t="shared" si="1"/>
        <v>NÃO</v>
      </c>
      <c r="BK1438" s="98" t="str">
        <f t="shared" si="2"/>
        <v>NÃO</v>
      </c>
    </row>
    <row r="1439" ht="15.75" customHeight="1">
      <c r="A1439" s="111" t="s">
        <v>1785</v>
      </c>
      <c r="B1439" s="83" t="s">
        <v>2197</v>
      </c>
      <c r="C1439" s="136" t="s">
        <v>68</v>
      </c>
      <c r="D1439" s="83">
        <v>1177090.0</v>
      </c>
      <c r="E1439" s="136"/>
      <c r="F1439" s="136">
        <v>2.941368E7</v>
      </c>
      <c r="G1439" s="241" t="s">
        <v>6774</v>
      </c>
      <c r="H1439" s="91" t="s">
        <v>7913</v>
      </c>
      <c r="I1439" s="187" t="s">
        <v>149</v>
      </c>
      <c r="J1439" s="83" t="s">
        <v>150</v>
      </c>
      <c r="K1439" s="83" t="s">
        <v>151</v>
      </c>
      <c r="L1439" s="83" t="s">
        <v>230</v>
      </c>
      <c r="M1439" s="82" t="s">
        <v>12007</v>
      </c>
      <c r="N1439" s="82" t="s">
        <v>12008</v>
      </c>
      <c r="O1439" s="82" t="s">
        <v>12009</v>
      </c>
      <c r="P1439" s="82" t="s">
        <v>12010</v>
      </c>
      <c r="Q1439" s="82" t="s">
        <v>12011</v>
      </c>
      <c r="R1439" s="82" t="s">
        <v>12012</v>
      </c>
      <c r="S1439" s="82" t="s">
        <v>12013</v>
      </c>
      <c r="T1439" s="138">
        <v>18.0</v>
      </c>
      <c r="U1439" s="401">
        <v>18.0</v>
      </c>
      <c r="V1439" s="106">
        <v>0.0</v>
      </c>
      <c r="W1439" s="107">
        <v>0.0</v>
      </c>
      <c r="X1439" s="107">
        <v>0.0</v>
      </c>
      <c r="Y1439" s="107">
        <v>0.0</v>
      </c>
      <c r="Z1439" s="80">
        <v>0.0</v>
      </c>
      <c r="AA1439" s="140">
        <v>0.0</v>
      </c>
      <c r="AB1439" s="109">
        <v>0.0</v>
      </c>
      <c r="AC1439" s="109">
        <v>0.0</v>
      </c>
      <c r="AD1439" s="141">
        <v>0.0</v>
      </c>
      <c r="AE1439" s="80">
        <v>0.0</v>
      </c>
      <c r="AF1439" s="140">
        <v>752.0</v>
      </c>
      <c r="AG1439" s="109">
        <v>681.0</v>
      </c>
      <c r="AH1439" s="109">
        <v>129.0</v>
      </c>
      <c r="AI1439" s="141">
        <v>0.0</v>
      </c>
      <c r="AJ1439" s="80">
        <v>1562.0</v>
      </c>
      <c r="AK1439" s="140">
        <v>0.0</v>
      </c>
      <c r="AL1439" s="109">
        <v>0.0</v>
      </c>
      <c r="AM1439" s="141">
        <v>0.0</v>
      </c>
      <c r="AN1439" s="80">
        <v>0.0</v>
      </c>
      <c r="AO1439" s="140">
        <v>0.0</v>
      </c>
      <c r="AP1439" s="109">
        <v>0.0</v>
      </c>
      <c r="AQ1439" s="109">
        <v>268.0</v>
      </c>
      <c r="AR1439" s="80">
        <v>268.0</v>
      </c>
      <c r="AS1439" s="110">
        <v>0.0</v>
      </c>
      <c r="AT1439" s="110">
        <v>0.0</v>
      </c>
      <c r="AU1439" s="110">
        <v>0.0</v>
      </c>
      <c r="AV1439" s="142">
        <v>0.0</v>
      </c>
      <c r="AW1439" s="80">
        <v>0.0</v>
      </c>
      <c r="AX1439" s="113">
        <v>1830.0</v>
      </c>
      <c r="AY1439" s="117">
        <v>1433.0</v>
      </c>
      <c r="AZ1439" s="328">
        <v>397.0</v>
      </c>
      <c r="BA1439" s="315">
        <v>0.0</v>
      </c>
      <c r="BB1439" s="316">
        <v>1830.0</v>
      </c>
      <c r="BC1439" s="132" t="s">
        <v>178</v>
      </c>
      <c r="BD1439" s="132" t="s">
        <v>178</v>
      </c>
      <c r="BE1439" s="132" t="s">
        <v>178</v>
      </c>
      <c r="BF1439" s="123"/>
      <c r="BG1439" s="136">
        <v>1177090.0</v>
      </c>
      <c r="BH1439" s="112">
        <v>18.0</v>
      </c>
      <c r="BI1439" s="98" t="s">
        <v>155</v>
      </c>
      <c r="BJ1439" s="98" t="str">
        <f t="shared" si="1"/>
        <v>NÃO</v>
      </c>
      <c r="BK1439" s="98" t="str">
        <f t="shared" si="2"/>
        <v>NÃO</v>
      </c>
    </row>
    <row r="1440" ht="15.75" customHeight="1">
      <c r="A1440" s="111" t="s">
        <v>1785</v>
      </c>
      <c r="B1440" s="83" t="s">
        <v>2197</v>
      </c>
      <c r="C1440" s="136" t="s">
        <v>68</v>
      </c>
      <c r="D1440" s="83">
        <v>1178420.0</v>
      </c>
      <c r="E1440" s="136"/>
      <c r="F1440" s="136">
        <v>2.9397863E7</v>
      </c>
      <c r="G1440" s="241" t="s">
        <v>12014</v>
      </c>
      <c r="H1440" s="91" t="s">
        <v>7859</v>
      </c>
      <c r="I1440" s="114" t="s">
        <v>7860</v>
      </c>
      <c r="J1440" s="83" t="s">
        <v>7861</v>
      </c>
      <c r="K1440" s="83" t="s">
        <v>151</v>
      </c>
      <c r="L1440" s="83" t="s">
        <v>230</v>
      </c>
      <c r="M1440" s="82" t="s">
        <v>12015</v>
      </c>
      <c r="N1440" s="82" t="s">
        <v>12016</v>
      </c>
      <c r="O1440" s="82" t="s">
        <v>12017</v>
      </c>
      <c r="P1440" s="82" t="s">
        <v>12018</v>
      </c>
      <c r="Q1440" s="82"/>
      <c r="R1440" s="82"/>
      <c r="S1440" s="82" t="s">
        <v>12019</v>
      </c>
      <c r="T1440" s="138">
        <v>18.0</v>
      </c>
      <c r="U1440" s="401">
        <v>17.0</v>
      </c>
      <c r="V1440" s="106">
        <v>0.0</v>
      </c>
      <c r="W1440" s="107">
        <v>0.0</v>
      </c>
      <c r="X1440" s="107">
        <v>0.0</v>
      </c>
      <c r="Y1440" s="107">
        <v>0.0</v>
      </c>
      <c r="Z1440" s="80">
        <v>0.0</v>
      </c>
      <c r="AA1440" s="140">
        <v>0.0</v>
      </c>
      <c r="AB1440" s="109">
        <v>0.0</v>
      </c>
      <c r="AC1440" s="109">
        <v>0.0</v>
      </c>
      <c r="AD1440" s="141">
        <v>0.0</v>
      </c>
      <c r="AE1440" s="80">
        <v>0.0</v>
      </c>
      <c r="AF1440" s="140">
        <v>174.0</v>
      </c>
      <c r="AG1440" s="109">
        <v>224.0</v>
      </c>
      <c r="AH1440" s="109">
        <v>41.0</v>
      </c>
      <c r="AI1440" s="141">
        <v>117.0</v>
      </c>
      <c r="AJ1440" s="80">
        <v>556.0</v>
      </c>
      <c r="AK1440" s="140">
        <v>0.0</v>
      </c>
      <c r="AL1440" s="109">
        <v>0.0</v>
      </c>
      <c r="AM1440" s="141">
        <v>0.0</v>
      </c>
      <c r="AN1440" s="80">
        <v>0.0</v>
      </c>
      <c r="AO1440" s="140">
        <v>0.0</v>
      </c>
      <c r="AP1440" s="109">
        <v>0.0</v>
      </c>
      <c r="AQ1440" s="109">
        <v>173.0</v>
      </c>
      <c r="AR1440" s="80">
        <v>173.0</v>
      </c>
      <c r="AS1440" s="110">
        <v>78.0</v>
      </c>
      <c r="AT1440" s="110">
        <v>98.0</v>
      </c>
      <c r="AU1440" s="110">
        <v>0.0</v>
      </c>
      <c r="AV1440" s="142">
        <v>0.0</v>
      </c>
      <c r="AW1440" s="80">
        <v>176.0</v>
      </c>
      <c r="AX1440" s="113">
        <v>905.0</v>
      </c>
      <c r="AY1440" s="117">
        <v>691.0</v>
      </c>
      <c r="AZ1440" s="328">
        <v>214.0</v>
      </c>
      <c r="BA1440" s="315">
        <v>0.0</v>
      </c>
      <c r="BB1440" s="316">
        <v>905.0</v>
      </c>
      <c r="BC1440" s="132" t="s">
        <v>178</v>
      </c>
      <c r="BD1440" s="132" t="s">
        <v>178</v>
      </c>
      <c r="BE1440" s="132" t="s">
        <v>178</v>
      </c>
      <c r="BF1440" s="156"/>
      <c r="BG1440" s="136">
        <v>1178420.0</v>
      </c>
      <c r="BH1440" s="112">
        <v>17.0</v>
      </c>
      <c r="BI1440" s="98" t="s">
        <v>162</v>
      </c>
      <c r="BJ1440" s="98" t="str">
        <f t="shared" si="1"/>
        <v>INTEGRAL</v>
      </c>
      <c r="BK1440" s="98" t="str">
        <f t="shared" si="2"/>
        <v>PROFISSIONAL</v>
      </c>
    </row>
    <row r="1441" ht="15.75" customHeight="1">
      <c r="A1441" s="111" t="s">
        <v>1785</v>
      </c>
      <c r="B1441" s="83" t="s">
        <v>2197</v>
      </c>
      <c r="C1441" s="136" t="s">
        <v>68</v>
      </c>
      <c r="D1441" s="83">
        <v>1104707.0</v>
      </c>
      <c r="E1441" s="601"/>
      <c r="F1441" s="136">
        <v>2.917595E7</v>
      </c>
      <c r="G1441" s="602" t="s">
        <v>12020</v>
      </c>
      <c r="H1441" s="91" t="s">
        <v>7864</v>
      </c>
      <c r="I1441" s="298" t="s">
        <v>149</v>
      </c>
      <c r="J1441" s="83" t="s">
        <v>150</v>
      </c>
      <c r="K1441" s="83" t="s">
        <v>151</v>
      </c>
      <c r="L1441" s="83" t="s">
        <v>230</v>
      </c>
      <c r="M1441" s="82" t="s">
        <v>12021</v>
      </c>
      <c r="N1441" s="82" t="s">
        <v>12022</v>
      </c>
      <c r="O1441" s="82" t="s">
        <v>12023</v>
      </c>
      <c r="P1441" s="82" t="s">
        <v>12024</v>
      </c>
      <c r="Q1441" s="82" t="s">
        <v>12025</v>
      </c>
      <c r="R1441" s="82" t="s">
        <v>12026</v>
      </c>
      <c r="S1441" s="82" t="s">
        <v>12027</v>
      </c>
      <c r="T1441" s="138">
        <v>20.0</v>
      </c>
      <c r="U1441" s="401">
        <v>20.0</v>
      </c>
      <c r="V1441" s="106">
        <v>0.0</v>
      </c>
      <c r="W1441" s="107">
        <v>0.0</v>
      </c>
      <c r="X1441" s="107">
        <v>0.0</v>
      </c>
      <c r="Y1441" s="107">
        <v>0.0</v>
      </c>
      <c r="Z1441" s="80">
        <v>0.0</v>
      </c>
      <c r="AA1441" s="140">
        <v>0.0</v>
      </c>
      <c r="AB1441" s="109">
        <v>0.0</v>
      </c>
      <c r="AC1441" s="109">
        <v>0.0</v>
      </c>
      <c r="AD1441" s="141">
        <v>0.0</v>
      </c>
      <c r="AE1441" s="80">
        <v>0.0</v>
      </c>
      <c r="AF1441" s="140">
        <v>860.0</v>
      </c>
      <c r="AG1441" s="109">
        <v>688.0</v>
      </c>
      <c r="AH1441" s="109">
        <v>0.0</v>
      </c>
      <c r="AI1441" s="141">
        <v>0.0</v>
      </c>
      <c r="AJ1441" s="80">
        <v>1548.0</v>
      </c>
      <c r="AK1441" s="140">
        <v>0.0</v>
      </c>
      <c r="AL1441" s="109">
        <v>0.0</v>
      </c>
      <c r="AM1441" s="141">
        <v>0.0</v>
      </c>
      <c r="AN1441" s="80">
        <v>0.0</v>
      </c>
      <c r="AO1441" s="140">
        <v>0.0</v>
      </c>
      <c r="AP1441" s="109">
        <v>0.0</v>
      </c>
      <c r="AQ1441" s="109">
        <v>133.0</v>
      </c>
      <c r="AR1441" s="80">
        <v>133.0</v>
      </c>
      <c r="AS1441" s="110">
        <v>0.0</v>
      </c>
      <c r="AT1441" s="110">
        <v>0.0</v>
      </c>
      <c r="AU1441" s="110">
        <v>0.0</v>
      </c>
      <c r="AV1441" s="142">
        <v>0.0</v>
      </c>
      <c r="AW1441" s="80">
        <v>0.0</v>
      </c>
      <c r="AX1441" s="113">
        <v>1681.0</v>
      </c>
      <c r="AY1441" s="117">
        <v>1548.0</v>
      </c>
      <c r="AZ1441" s="328">
        <v>133.0</v>
      </c>
      <c r="BA1441" s="315">
        <v>3.0</v>
      </c>
      <c r="BB1441" s="316">
        <v>1684.0</v>
      </c>
      <c r="BC1441" s="132" t="s">
        <v>178</v>
      </c>
      <c r="BD1441" s="132" t="s">
        <v>178</v>
      </c>
      <c r="BE1441" s="132" t="s">
        <v>178</v>
      </c>
      <c r="BF1441" s="156"/>
      <c r="BG1441" s="136">
        <v>1104707.0</v>
      </c>
      <c r="BH1441" s="112">
        <v>20.0</v>
      </c>
      <c r="BI1441" s="98" t="s">
        <v>155</v>
      </c>
      <c r="BJ1441" s="98" t="str">
        <f t="shared" si="1"/>
        <v>NÃO</v>
      </c>
      <c r="BK1441" s="98" t="str">
        <f t="shared" si="2"/>
        <v>NÃO</v>
      </c>
    </row>
    <row r="1442" ht="15.75" customHeight="1">
      <c r="A1442" s="111" t="s">
        <v>1785</v>
      </c>
      <c r="B1442" s="83" t="s">
        <v>2197</v>
      </c>
      <c r="C1442" s="603" t="s">
        <v>68</v>
      </c>
      <c r="D1442" s="83">
        <v>1102259.0</v>
      </c>
      <c r="E1442" s="136"/>
      <c r="F1442" s="604">
        <v>2.9175518E7</v>
      </c>
      <c r="G1442" s="292" t="s">
        <v>12028</v>
      </c>
      <c r="H1442" s="91" t="s">
        <v>7869</v>
      </c>
      <c r="I1442" s="498" t="s">
        <v>7870</v>
      </c>
      <c r="J1442" s="83" t="s">
        <v>150</v>
      </c>
      <c r="K1442" s="83" t="s">
        <v>151</v>
      </c>
      <c r="L1442" s="83" t="s">
        <v>230</v>
      </c>
      <c r="M1442" s="82" t="s">
        <v>12029</v>
      </c>
      <c r="N1442" s="82" t="s">
        <v>12030</v>
      </c>
      <c r="O1442" s="82" t="s">
        <v>12031</v>
      </c>
      <c r="P1442" s="82" t="s">
        <v>12032</v>
      </c>
      <c r="Q1442" s="82" t="s">
        <v>12033</v>
      </c>
      <c r="R1442" s="82" t="s">
        <v>12034</v>
      </c>
      <c r="S1442" s="82" t="s">
        <v>12035</v>
      </c>
      <c r="T1442" s="138">
        <v>27.0</v>
      </c>
      <c r="U1442" s="401">
        <v>28.0</v>
      </c>
      <c r="V1442" s="106">
        <v>0.0</v>
      </c>
      <c r="W1442" s="107">
        <v>0.0</v>
      </c>
      <c r="X1442" s="107">
        <v>0.0</v>
      </c>
      <c r="Y1442" s="107">
        <v>0.0</v>
      </c>
      <c r="Z1442" s="80">
        <v>0.0</v>
      </c>
      <c r="AA1442" s="140">
        <v>0.0</v>
      </c>
      <c r="AB1442" s="109">
        <v>0.0</v>
      </c>
      <c r="AC1442" s="109">
        <v>0.0</v>
      </c>
      <c r="AD1442" s="141">
        <v>0.0</v>
      </c>
      <c r="AE1442" s="80">
        <v>0.0</v>
      </c>
      <c r="AF1442" s="140">
        <v>566.0</v>
      </c>
      <c r="AG1442" s="109">
        <v>306.0</v>
      </c>
      <c r="AH1442" s="109">
        <v>88.0</v>
      </c>
      <c r="AI1442" s="141">
        <v>211.0</v>
      </c>
      <c r="AJ1442" s="80">
        <v>1171.0</v>
      </c>
      <c r="AK1442" s="140">
        <v>0.0</v>
      </c>
      <c r="AL1442" s="109">
        <v>0.0</v>
      </c>
      <c r="AM1442" s="141">
        <v>0.0</v>
      </c>
      <c r="AN1442" s="80">
        <v>0.0</v>
      </c>
      <c r="AO1442" s="140">
        <v>0.0</v>
      </c>
      <c r="AP1442" s="109">
        <v>0.0</v>
      </c>
      <c r="AQ1442" s="109">
        <v>264.0</v>
      </c>
      <c r="AR1442" s="80">
        <v>264.0</v>
      </c>
      <c r="AS1442" s="110">
        <v>715.0</v>
      </c>
      <c r="AT1442" s="110">
        <v>324.0</v>
      </c>
      <c r="AU1442" s="110">
        <v>161.0</v>
      </c>
      <c r="AV1442" s="142">
        <v>0.0</v>
      </c>
      <c r="AW1442" s="80">
        <v>1200.0</v>
      </c>
      <c r="AX1442" s="113">
        <v>2635.0</v>
      </c>
      <c r="AY1442" s="117">
        <v>2122.0</v>
      </c>
      <c r="AZ1442" s="328">
        <v>513.0</v>
      </c>
      <c r="BA1442" s="315">
        <v>0.0</v>
      </c>
      <c r="BB1442" s="316">
        <v>2635.0</v>
      </c>
      <c r="BC1442" s="132" t="s">
        <v>178</v>
      </c>
      <c r="BD1442" s="132" t="s">
        <v>178</v>
      </c>
      <c r="BE1442" s="132" t="s">
        <v>178</v>
      </c>
      <c r="BF1442" s="123"/>
      <c r="BG1442" s="136">
        <v>1102259.0</v>
      </c>
      <c r="BH1442" s="112">
        <v>28.0</v>
      </c>
      <c r="BI1442" s="98" t="s">
        <v>155</v>
      </c>
      <c r="BJ1442" s="98" t="str">
        <f t="shared" si="1"/>
        <v>INTEGRAL</v>
      </c>
      <c r="BK1442" s="98" t="str">
        <f t="shared" si="2"/>
        <v>PROFISSIONAL</v>
      </c>
    </row>
    <row r="1443" ht="15.75" customHeight="1">
      <c r="A1443" s="111" t="s">
        <v>1785</v>
      </c>
      <c r="B1443" s="83" t="s">
        <v>2197</v>
      </c>
      <c r="C1443" s="83" t="s">
        <v>68</v>
      </c>
      <c r="D1443" s="82">
        <v>1101961.0</v>
      </c>
      <c r="E1443" s="82"/>
      <c r="F1443" s="83">
        <v>2.9175771E7</v>
      </c>
      <c r="G1443" s="400" t="s">
        <v>12037</v>
      </c>
      <c r="H1443" s="91" t="s">
        <v>7876</v>
      </c>
      <c r="I1443" s="114" t="s">
        <v>7877</v>
      </c>
      <c r="J1443" s="83" t="s">
        <v>150</v>
      </c>
      <c r="K1443" s="83" t="s">
        <v>151</v>
      </c>
      <c r="L1443" s="83" t="s">
        <v>152</v>
      </c>
      <c r="M1443" s="82" t="s">
        <v>12038</v>
      </c>
      <c r="N1443" s="82" t="s">
        <v>12039</v>
      </c>
      <c r="O1443" s="82" t="s">
        <v>12040</v>
      </c>
      <c r="P1443" s="82" t="s">
        <v>12041</v>
      </c>
      <c r="Q1443" s="82" t="s">
        <v>12042</v>
      </c>
      <c r="R1443" s="82" t="s">
        <v>12043</v>
      </c>
      <c r="S1443" s="82" t="s">
        <v>12044</v>
      </c>
      <c r="T1443" s="138">
        <v>11.0</v>
      </c>
      <c r="U1443" s="401" t="s">
        <v>12045</v>
      </c>
      <c r="V1443" s="106">
        <v>0.0</v>
      </c>
      <c r="W1443" s="107">
        <v>0.0</v>
      </c>
      <c r="X1443" s="107">
        <v>0.0</v>
      </c>
      <c r="Y1443" s="107">
        <v>0.0</v>
      </c>
      <c r="Z1443" s="80">
        <v>0.0</v>
      </c>
      <c r="AA1443" s="140">
        <v>0.0</v>
      </c>
      <c r="AB1443" s="109">
        <v>0.0</v>
      </c>
      <c r="AC1443" s="109">
        <v>0.0</v>
      </c>
      <c r="AD1443" s="141">
        <v>0.0</v>
      </c>
      <c r="AE1443" s="80">
        <v>0.0</v>
      </c>
      <c r="AF1443" s="140">
        <v>391.0</v>
      </c>
      <c r="AG1443" s="109">
        <v>296.0</v>
      </c>
      <c r="AH1443" s="109">
        <v>40.0</v>
      </c>
      <c r="AI1443" s="141">
        <v>0.0</v>
      </c>
      <c r="AJ1443" s="80">
        <v>727.0</v>
      </c>
      <c r="AK1443" s="140">
        <v>0.0</v>
      </c>
      <c r="AL1443" s="109">
        <v>0.0</v>
      </c>
      <c r="AM1443" s="141">
        <v>0.0</v>
      </c>
      <c r="AN1443" s="80">
        <v>0.0</v>
      </c>
      <c r="AO1443" s="140">
        <v>0.0</v>
      </c>
      <c r="AP1443" s="109">
        <v>28.0</v>
      </c>
      <c r="AQ1443" s="109">
        <v>123.0</v>
      </c>
      <c r="AR1443" s="80">
        <v>151.0</v>
      </c>
      <c r="AS1443" s="110">
        <v>0.0</v>
      </c>
      <c r="AT1443" s="110">
        <v>0.0</v>
      </c>
      <c r="AU1443" s="110">
        <v>0.0</v>
      </c>
      <c r="AV1443" s="142">
        <v>0.0</v>
      </c>
      <c r="AW1443" s="80">
        <v>0.0</v>
      </c>
      <c r="AX1443" s="113">
        <v>878.0</v>
      </c>
      <c r="AY1443" s="117">
        <v>715.0</v>
      </c>
      <c r="AZ1443" s="328">
        <v>163.0</v>
      </c>
      <c r="BA1443" s="315">
        <v>0.0</v>
      </c>
      <c r="BB1443" s="316">
        <v>878.0</v>
      </c>
      <c r="BC1443" s="132" t="s">
        <v>178</v>
      </c>
      <c r="BD1443" s="132" t="s">
        <v>178</v>
      </c>
      <c r="BE1443" s="132" t="s">
        <v>178</v>
      </c>
      <c r="BF1443" s="361"/>
      <c r="BG1443" s="83">
        <v>1101961.0</v>
      </c>
      <c r="BH1443" s="112">
        <v>11.0</v>
      </c>
      <c r="BI1443" s="98" t="s">
        <v>155</v>
      </c>
      <c r="BJ1443" s="98" t="str">
        <f t="shared" si="1"/>
        <v>NÃO</v>
      </c>
      <c r="BK1443" s="98" t="str">
        <f t="shared" si="2"/>
        <v>NÃO</v>
      </c>
    </row>
    <row r="1444" ht="15.75" customHeight="1">
      <c r="A1444" s="111" t="s">
        <v>1785</v>
      </c>
      <c r="B1444" s="83" t="s">
        <v>2197</v>
      </c>
      <c r="C1444" s="83" t="s">
        <v>68</v>
      </c>
      <c r="D1444" s="83">
        <v>1179484.0</v>
      </c>
      <c r="E1444" s="83"/>
      <c r="F1444" s="83">
        <v>2.9467888E7</v>
      </c>
      <c r="G1444" s="114" t="s">
        <v>12046</v>
      </c>
      <c r="H1444" s="91" t="s">
        <v>12047</v>
      </c>
      <c r="I1444" s="114" t="s">
        <v>12048</v>
      </c>
      <c r="J1444" s="83" t="s">
        <v>150</v>
      </c>
      <c r="K1444" s="83" t="s">
        <v>168</v>
      </c>
      <c r="L1444" s="83" t="s">
        <v>169</v>
      </c>
      <c r="M1444" s="82" t="s">
        <v>12050</v>
      </c>
      <c r="N1444" s="82" t="s">
        <v>12051</v>
      </c>
      <c r="O1444" s="82" t="s">
        <v>12052</v>
      </c>
      <c r="P1444" s="82" t="s">
        <v>12053</v>
      </c>
      <c r="Q1444" s="82"/>
      <c r="R1444" s="82"/>
      <c r="S1444" s="82" t="s">
        <v>12054</v>
      </c>
      <c r="T1444" s="138">
        <v>3.0</v>
      </c>
      <c r="U1444" s="401">
        <v>3.0</v>
      </c>
      <c r="V1444" s="106">
        <v>0.0</v>
      </c>
      <c r="W1444" s="107">
        <v>0.0</v>
      </c>
      <c r="X1444" s="107">
        <v>0.0</v>
      </c>
      <c r="Y1444" s="107">
        <v>0.0</v>
      </c>
      <c r="Z1444" s="80">
        <v>0.0</v>
      </c>
      <c r="AA1444" s="140">
        <v>0.0</v>
      </c>
      <c r="AB1444" s="109">
        <v>0.0</v>
      </c>
      <c r="AC1444" s="109">
        <v>0.0</v>
      </c>
      <c r="AD1444" s="141">
        <v>0.0</v>
      </c>
      <c r="AE1444" s="80">
        <v>0.0</v>
      </c>
      <c r="AF1444" s="140">
        <v>116.0</v>
      </c>
      <c r="AG1444" s="109">
        <v>97.0</v>
      </c>
      <c r="AH1444" s="109">
        <v>0.0</v>
      </c>
      <c r="AI1444" s="141">
        <v>0.0</v>
      </c>
      <c r="AJ1444" s="80">
        <v>213.0</v>
      </c>
      <c r="AK1444" s="140">
        <v>0.0</v>
      </c>
      <c r="AL1444" s="109">
        <v>0.0</v>
      </c>
      <c r="AM1444" s="141">
        <v>0.0</v>
      </c>
      <c r="AN1444" s="80">
        <v>0.0</v>
      </c>
      <c r="AO1444" s="140">
        <v>0.0</v>
      </c>
      <c r="AP1444" s="109">
        <v>0.0</v>
      </c>
      <c r="AQ1444" s="109">
        <v>79.0</v>
      </c>
      <c r="AR1444" s="80">
        <v>79.0</v>
      </c>
      <c r="AS1444" s="110">
        <v>0.0</v>
      </c>
      <c r="AT1444" s="110">
        <v>0.0</v>
      </c>
      <c r="AU1444" s="110">
        <v>0.0</v>
      </c>
      <c r="AV1444" s="142">
        <v>0.0</v>
      </c>
      <c r="AW1444" s="80">
        <v>0.0</v>
      </c>
      <c r="AX1444" s="113">
        <v>292.0</v>
      </c>
      <c r="AY1444" s="117">
        <v>213.0</v>
      </c>
      <c r="AZ1444" s="328">
        <v>79.0</v>
      </c>
      <c r="BA1444" s="315">
        <v>0.0</v>
      </c>
      <c r="BB1444" s="316">
        <v>292.0</v>
      </c>
      <c r="BC1444" s="132" t="s">
        <v>178</v>
      </c>
      <c r="BD1444" s="132" t="s">
        <v>178</v>
      </c>
      <c r="BE1444" s="132" t="s">
        <v>178</v>
      </c>
      <c r="BF1444" s="123"/>
      <c r="BG1444" s="83">
        <v>1179484.0</v>
      </c>
      <c r="BH1444" s="112">
        <v>3.0</v>
      </c>
      <c r="BI1444" s="98" t="s">
        <v>155</v>
      </c>
      <c r="BJ1444" s="98" t="str">
        <f t="shared" si="1"/>
        <v>NÃO</v>
      </c>
      <c r="BK1444" s="98" t="str">
        <f t="shared" si="2"/>
        <v>NÃO</v>
      </c>
    </row>
    <row r="1445" ht="15.75" customHeight="1">
      <c r="A1445" s="111" t="s">
        <v>1785</v>
      </c>
      <c r="B1445" s="83" t="s">
        <v>2197</v>
      </c>
      <c r="C1445" s="83" t="s">
        <v>68</v>
      </c>
      <c r="D1445" s="83">
        <v>1178400.0</v>
      </c>
      <c r="E1445" s="83"/>
      <c r="F1445" s="83">
        <v>2.9982758E7</v>
      </c>
      <c r="G1445" s="114" t="s">
        <v>12056</v>
      </c>
      <c r="H1445" s="91" t="s">
        <v>7888</v>
      </c>
      <c r="I1445" s="114" t="s">
        <v>7889</v>
      </c>
      <c r="J1445" s="83" t="s">
        <v>7890</v>
      </c>
      <c r="K1445" s="83" t="s">
        <v>5997</v>
      </c>
      <c r="L1445" s="83" t="s">
        <v>230</v>
      </c>
      <c r="M1445" s="82" t="s">
        <v>12057</v>
      </c>
      <c r="N1445" s="82" t="s">
        <v>12058</v>
      </c>
      <c r="O1445" s="82" t="s">
        <v>12059</v>
      </c>
      <c r="P1445" s="82" t="s">
        <v>12060</v>
      </c>
      <c r="Q1445" s="82"/>
      <c r="R1445" s="82"/>
      <c r="S1445" s="82" t="s">
        <v>12061</v>
      </c>
      <c r="T1445" s="138">
        <v>15.0</v>
      </c>
      <c r="U1445" s="401">
        <v>15.0</v>
      </c>
      <c r="V1445" s="106">
        <v>0.0</v>
      </c>
      <c r="W1445" s="107">
        <v>0.0</v>
      </c>
      <c r="X1445" s="107">
        <v>0.0</v>
      </c>
      <c r="Y1445" s="107">
        <v>0.0</v>
      </c>
      <c r="Z1445" s="80">
        <v>0.0</v>
      </c>
      <c r="AA1445" s="140">
        <v>0.0</v>
      </c>
      <c r="AB1445" s="109">
        <v>0.0</v>
      </c>
      <c r="AC1445" s="109">
        <v>0.0</v>
      </c>
      <c r="AD1445" s="141">
        <v>0.0</v>
      </c>
      <c r="AE1445" s="80">
        <v>0.0</v>
      </c>
      <c r="AF1445" s="140">
        <v>402.0</v>
      </c>
      <c r="AG1445" s="109">
        <v>315.0</v>
      </c>
      <c r="AH1445" s="109">
        <v>39.0</v>
      </c>
      <c r="AI1445" s="141">
        <v>521.0</v>
      </c>
      <c r="AJ1445" s="80">
        <v>1277.0</v>
      </c>
      <c r="AK1445" s="140">
        <v>0.0</v>
      </c>
      <c r="AL1445" s="109">
        <v>0.0</v>
      </c>
      <c r="AM1445" s="141">
        <v>0.0</v>
      </c>
      <c r="AN1445" s="80">
        <v>0.0</v>
      </c>
      <c r="AO1445" s="140">
        <v>0.0</v>
      </c>
      <c r="AP1445" s="109">
        <v>0.0</v>
      </c>
      <c r="AQ1445" s="109">
        <v>223.0</v>
      </c>
      <c r="AR1445" s="80">
        <v>223.0</v>
      </c>
      <c r="AS1445" s="110">
        <v>0.0</v>
      </c>
      <c r="AT1445" s="110">
        <v>0.0</v>
      </c>
      <c r="AU1445" s="110">
        <v>46.0</v>
      </c>
      <c r="AV1445" s="142">
        <v>0.0</v>
      </c>
      <c r="AW1445" s="80">
        <v>46.0</v>
      </c>
      <c r="AX1445" s="113">
        <v>1546.0</v>
      </c>
      <c r="AY1445" s="117">
        <v>1238.0</v>
      </c>
      <c r="AZ1445" s="328">
        <v>308.0</v>
      </c>
      <c r="BA1445" s="315">
        <v>0.0</v>
      </c>
      <c r="BB1445" s="316">
        <v>1546.0</v>
      </c>
      <c r="BC1445" s="132" t="s">
        <v>178</v>
      </c>
      <c r="BD1445" s="132" t="s">
        <v>178</v>
      </c>
      <c r="BE1445" s="132" t="s">
        <v>178</v>
      </c>
      <c r="BF1445" s="123"/>
      <c r="BG1445" s="83">
        <v>1178400.0</v>
      </c>
      <c r="BH1445" s="112">
        <v>15.0</v>
      </c>
      <c r="BI1445" s="98" t="s">
        <v>155</v>
      </c>
      <c r="BJ1445" s="98" t="str">
        <f t="shared" si="1"/>
        <v>INTEGRAL</v>
      </c>
      <c r="BK1445" s="98" t="str">
        <f t="shared" si="2"/>
        <v>PROFISSIONAL</v>
      </c>
    </row>
    <row r="1446" ht="15.75" customHeight="1">
      <c r="A1446" s="111" t="s">
        <v>1785</v>
      </c>
      <c r="B1446" s="83" t="s">
        <v>2197</v>
      </c>
      <c r="C1446" s="83" t="s">
        <v>68</v>
      </c>
      <c r="D1446" s="83">
        <v>1178399.0</v>
      </c>
      <c r="E1446" s="83"/>
      <c r="F1446" s="83">
        <v>2.9362016E7</v>
      </c>
      <c r="G1446" s="114" t="s">
        <v>12062</v>
      </c>
      <c r="H1446" s="91" t="s">
        <v>7901</v>
      </c>
      <c r="I1446" s="114" t="s">
        <v>7902</v>
      </c>
      <c r="J1446" s="83" t="s">
        <v>7903</v>
      </c>
      <c r="K1446" s="83" t="s">
        <v>151</v>
      </c>
      <c r="L1446" s="83" t="s">
        <v>152</v>
      </c>
      <c r="M1446" s="82" t="s">
        <v>12063</v>
      </c>
      <c r="N1446" s="82" t="s">
        <v>12064</v>
      </c>
      <c r="O1446" s="82" t="s">
        <v>12065</v>
      </c>
      <c r="P1446" s="82" t="s">
        <v>12066</v>
      </c>
      <c r="Q1446" s="82"/>
      <c r="R1446" s="82"/>
      <c r="S1446" s="82" t="s">
        <v>12067</v>
      </c>
      <c r="T1446" s="138">
        <v>9.0</v>
      </c>
      <c r="U1446" s="406" t="s">
        <v>12068</v>
      </c>
      <c r="V1446" s="106">
        <v>0.0</v>
      </c>
      <c r="W1446" s="107">
        <v>0.0</v>
      </c>
      <c r="X1446" s="107">
        <v>0.0</v>
      </c>
      <c r="Y1446" s="107">
        <v>0.0</v>
      </c>
      <c r="Z1446" s="80">
        <v>0.0</v>
      </c>
      <c r="AA1446" s="140">
        <v>0.0</v>
      </c>
      <c r="AB1446" s="109">
        <v>0.0</v>
      </c>
      <c r="AC1446" s="109">
        <v>0.0</v>
      </c>
      <c r="AD1446" s="141">
        <v>0.0</v>
      </c>
      <c r="AE1446" s="80">
        <v>0.0</v>
      </c>
      <c r="AF1446" s="140">
        <v>362.0</v>
      </c>
      <c r="AG1446" s="109">
        <v>372.0</v>
      </c>
      <c r="AH1446" s="109">
        <v>81.0</v>
      </c>
      <c r="AI1446" s="141">
        <v>0.0</v>
      </c>
      <c r="AJ1446" s="80">
        <v>815.0</v>
      </c>
      <c r="AK1446" s="140">
        <v>0.0</v>
      </c>
      <c r="AL1446" s="109">
        <v>0.0</v>
      </c>
      <c r="AM1446" s="141">
        <v>0.0</v>
      </c>
      <c r="AN1446" s="80">
        <v>0.0</v>
      </c>
      <c r="AO1446" s="140">
        <v>0.0</v>
      </c>
      <c r="AP1446" s="109">
        <v>0.0</v>
      </c>
      <c r="AQ1446" s="109">
        <v>172.0</v>
      </c>
      <c r="AR1446" s="80">
        <v>172.0</v>
      </c>
      <c r="AS1446" s="110">
        <v>0.0</v>
      </c>
      <c r="AT1446" s="110">
        <v>0.0</v>
      </c>
      <c r="AU1446" s="110">
        <v>0.0</v>
      </c>
      <c r="AV1446" s="142">
        <v>0.0</v>
      </c>
      <c r="AW1446" s="80">
        <v>0.0</v>
      </c>
      <c r="AX1446" s="113">
        <v>987.0</v>
      </c>
      <c r="AY1446" s="117">
        <v>734.0</v>
      </c>
      <c r="AZ1446" s="328">
        <v>253.0</v>
      </c>
      <c r="BA1446" s="315">
        <v>0.0</v>
      </c>
      <c r="BB1446" s="316">
        <v>987.0</v>
      </c>
      <c r="BC1446" s="132" t="s">
        <v>178</v>
      </c>
      <c r="BD1446" s="132" t="s">
        <v>178</v>
      </c>
      <c r="BE1446" s="132" t="s">
        <v>178</v>
      </c>
      <c r="BF1446" s="123"/>
      <c r="BG1446" s="83">
        <v>1178399.0</v>
      </c>
      <c r="BH1446" s="98">
        <v>9.0</v>
      </c>
      <c r="BI1446" s="98" t="s">
        <v>162</v>
      </c>
      <c r="BJ1446" s="98" t="str">
        <f t="shared" si="1"/>
        <v>NÃO</v>
      </c>
      <c r="BK1446" s="98" t="str">
        <f t="shared" si="2"/>
        <v>NÃO</v>
      </c>
    </row>
    <row r="1447" ht="15.75" customHeight="1">
      <c r="A1447" s="111" t="s">
        <v>1785</v>
      </c>
      <c r="B1447" s="83" t="s">
        <v>2197</v>
      </c>
      <c r="C1447" s="83" t="s">
        <v>68</v>
      </c>
      <c r="D1447" s="83">
        <v>1178445.0</v>
      </c>
      <c r="E1447" s="83"/>
      <c r="F1447" s="83">
        <v>2.9448018E7</v>
      </c>
      <c r="G1447" s="114" t="s">
        <v>12069</v>
      </c>
      <c r="H1447" s="91" t="s">
        <v>7926</v>
      </c>
      <c r="I1447" s="114" t="s">
        <v>149</v>
      </c>
      <c r="J1447" s="83" t="s">
        <v>7927</v>
      </c>
      <c r="K1447" s="83" t="s">
        <v>151</v>
      </c>
      <c r="L1447" s="83" t="s">
        <v>230</v>
      </c>
      <c r="M1447" s="82" t="s">
        <v>12070</v>
      </c>
      <c r="N1447" s="82" t="s">
        <v>12071</v>
      </c>
      <c r="O1447" s="82" t="s">
        <v>12072</v>
      </c>
      <c r="P1447" s="82" t="s">
        <v>12073</v>
      </c>
      <c r="Q1447" s="82" t="s">
        <v>12074</v>
      </c>
      <c r="R1447" s="82" t="s">
        <v>12075</v>
      </c>
      <c r="S1447" s="82" t="s">
        <v>12076</v>
      </c>
      <c r="T1447" s="138">
        <v>11.0</v>
      </c>
      <c r="U1447" s="405">
        <v>9.0</v>
      </c>
      <c r="V1447" s="106">
        <v>0.0</v>
      </c>
      <c r="W1447" s="107">
        <v>0.0</v>
      </c>
      <c r="X1447" s="107">
        <v>0.0</v>
      </c>
      <c r="Y1447" s="107">
        <v>0.0</v>
      </c>
      <c r="Z1447" s="80">
        <v>0.0</v>
      </c>
      <c r="AA1447" s="140">
        <v>0.0</v>
      </c>
      <c r="AB1447" s="109">
        <v>0.0</v>
      </c>
      <c r="AC1447" s="109">
        <v>0.0</v>
      </c>
      <c r="AD1447" s="141">
        <v>0.0</v>
      </c>
      <c r="AE1447" s="80">
        <v>0.0</v>
      </c>
      <c r="AF1447" s="140">
        <v>137.0</v>
      </c>
      <c r="AG1447" s="109">
        <v>106.0</v>
      </c>
      <c r="AH1447" s="109">
        <v>37.0</v>
      </c>
      <c r="AI1447" s="141">
        <v>221.0</v>
      </c>
      <c r="AJ1447" s="80">
        <v>501.0</v>
      </c>
      <c r="AK1447" s="140">
        <v>0.0</v>
      </c>
      <c r="AL1447" s="109">
        <v>0.0</v>
      </c>
      <c r="AM1447" s="141">
        <v>0.0</v>
      </c>
      <c r="AN1447" s="80">
        <v>0.0</v>
      </c>
      <c r="AO1447" s="140">
        <v>0.0</v>
      </c>
      <c r="AP1447" s="109">
        <v>0.0</v>
      </c>
      <c r="AQ1447" s="109">
        <v>104.0</v>
      </c>
      <c r="AR1447" s="80">
        <v>104.0</v>
      </c>
      <c r="AS1447" s="110">
        <v>40.0</v>
      </c>
      <c r="AT1447" s="110">
        <v>26.0</v>
      </c>
      <c r="AU1447" s="110">
        <v>13.0</v>
      </c>
      <c r="AV1447" s="142">
        <v>37.0</v>
      </c>
      <c r="AW1447" s="80">
        <v>116.0</v>
      </c>
      <c r="AX1447" s="113">
        <v>721.0</v>
      </c>
      <c r="AY1447" s="117">
        <v>567.0</v>
      </c>
      <c r="AZ1447" s="328">
        <v>154.0</v>
      </c>
      <c r="BA1447" s="315">
        <v>0.0</v>
      </c>
      <c r="BB1447" s="316">
        <v>721.0</v>
      </c>
      <c r="BC1447" s="132" t="s">
        <v>178</v>
      </c>
      <c r="BD1447" s="132" t="s">
        <v>178</v>
      </c>
      <c r="BE1447" s="132" t="s">
        <v>178</v>
      </c>
      <c r="BF1447" s="123"/>
      <c r="BG1447" s="83">
        <v>1178445.0</v>
      </c>
      <c r="BH1447" s="112">
        <v>9.0</v>
      </c>
      <c r="BI1447" s="98" t="s">
        <v>162</v>
      </c>
      <c r="BJ1447" s="98" t="str">
        <f t="shared" si="1"/>
        <v>INTEGRAL</v>
      </c>
      <c r="BK1447" s="98" t="str">
        <f t="shared" si="2"/>
        <v>PROFISSIONAL</v>
      </c>
    </row>
    <row r="1448" ht="15.75" customHeight="1">
      <c r="A1448" s="111" t="s">
        <v>1785</v>
      </c>
      <c r="B1448" s="83" t="s">
        <v>2197</v>
      </c>
      <c r="C1448" s="83" t="s">
        <v>68</v>
      </c>
      <c r="D1448" s="83">
        <v>1179594.0</v>
      </c>
      <c r="E1448" s="83"/>
      <c r="F1448" s="83">
        <v>2.9470471E7</v>
      </c>
      <c r="G1448" s="114" t="s">
        <v>12077</v>
      </c>
      <c r="H1448" s="91" t="s">
        <v>12078</v>
      </c>
      <c r="I1448" s="114" t="s">
        <v>12079</v>
      </c>
      <c r="J1448" s="83" t="s">
        <v>150</v>
      </c>
      <c r="K1448" s="83" t="s">
        <v>168</v>
      </c>
      <c r="L1448" s="83" t="s">
        <v>169</v>
      </c>
      <c r="M1448" s="82" t="s">
        <v>12080</v>
      </c>
      <c r="N1448" s="82" t="s">
        <v>12081</v>
      </c>
      <c r="O1448" s="82" t="s">
        <v>12082</v>
      </c>
      <c r="P1448" s="82" t="s">
        <v>12083</v>
      </c>
      <c r="Q1448" s="82"/>
      <c r="R1448" s="82"/>
      <c r="S1448" s="82" t="s">
        <v>12084</v>
      </c>
      <c r="T1448" s="138">
        <v>9.0</v>
      </c>
      <c r="U1448" s="401">
        <v>9.0</v>
      </c>
      <c r="V1448" s="106">
        <v>0.0</v>
      </c>
      <c r="W1448" s="107">
        <v>0.0</v>
      </c>
      <c r="X1448" s="107">
        <v>0.0</v>
      </c>
      <c r="Y1448" s="107">
        <v>0.0</v>
      </c>
      <c r="Z1448" s="80">
        <v>0.0</v>
      </c>
      <c r="AA1448" s="140">
        <v>0.0</v>
      </c>
      <c r="AB1448" s="109">
        <v>0.0</v>
      </c>
      <c r="AC1448" s="109">
        <v>0.0</v>
      </c>
      <c r="AD1448" s="141">
        <v>0.0</v>
      </c>
      <c r="AE1448" s="80">
        <v>0.0</v>
      </c>
      <c r="AF1448" s="140">
        <v>0.0</v>
      </c>
      <c r="AG1448" s="109">
        <v>0.0</v>
      </c>
      <c r="AH1448" s="109">
        <v>33.0</v>
      </c>
      <c r="AI1448" s="141">
        <v>0.0</v>
      </c>
      <c r="AJ1448" s="80">
        <v>33.0</v>
      </c>
      <c r="AK1448" s="140">
        <v>0.0</v>
      </c>
      <c r="AL1448" s="109">
        <v>0.0</v>
      </c>
      <c r="AM1448" s="141">
        <v>0.0</v>
      </c>
      <c r="AN1448" s="80">
        <v>0.0</v>
      </c>
      <c r="AO1448" s="140">
        <v>0.0</v>
      </c>
      <c r="AP1448" s="109">
        <v>0.0</v>
      </c>
      <c r="AQ1448" s="109">
        <v>170.0</v>
      </c>
      <c r="AR1448" s="80">
        <v>170.0</v>
      </c>
      <c r="AS1448" s="110">
        <v>0.0</v>
      </c>
      <c r="AT1448" s="110">
        <v>0.0</v>
      </c>
      <c r="AU1448" s="110">
        <v>0.0</v>
      </c>
      <c r="AV1448" s="142">
        <v>0.0</v>
      </c>
      <c r="AW1448" s="80">
        <v>0.0</v>
      </c>
      <c r="AX1448" s="113">
        <v>203.0</v>
      </c>
      <c r="AY1448" s="117">
        <v>0.0</v>
      </c>
      <c r="AZ1448" s="328">
        <v>203.0</v>
      </c>
      <c r="BA1448" s="315">
        <v>0.0</v>
      </c>
      <c r="BB1448" s="316">
        <v>203.0</v>
      </c>
      <c r="BC1448" s="132" t="s">
        <v>178</v>
      </c>
      <c r="BD1448" s="132" t="s">
        <v>178</v>
      </c>
      <c r="BE1448" s="132" t="s">
        <v>178</v>
      </c>
      <c r="BF1448" s="156"/>
      <c r="BG1448" s="83">
        <v>1179594.0</v>
      </c>
      <c r="BH1448" s="112">
        <v>9.0</v>
      </c>
      <c r="BI1448" s="98" t="s">
        <v>155</v>
      </c>
      <c r="BJ1448" s="98" t="str">
        <f t="shared" si="1"/>
        <v>NÃO</v>
      </c>
      <c r="BK1448" s="98" t="str">
        <f t="shared" si="2"/>
        <v>NÃO</v>
      </c>
    </row>
    <row r="1449" ht="15.75" customHeight="1">
      <c r="A1449" s="111" t="s">
        <v>1785</v>
      </c>
      <c r="B1449" s="83" t="s">
        <v>2197</v>
      </c>
      <c r="C1449" s="83" t="s">
        <v>68</v>
      </c>
      <c r="D1449" s="83">
        <v>1176611.0</v>
      </c>
      <c r="E1449" s="83"/>
      <c r="F1449" s="83">
        <v>2.9447348E7</v>
      </c>
      <c r="G1449" s="114" t="s">
        <v>7936</v>
      </c>
      <c r="H1449" s="91" t="s">
        <v>7937</v>
      </c>
      <c r="I1449" s="114" t="s">
        <v>149</v>
      </c>
      <c r="J1449" s="83" t="s">
        <v>150</v>
      </c>
      <c r="K1449" s="83" t="s">
        <v>151</v>
      </c>
      <c r="L1449" s="83" t="s">
        <v>230</v>
      </c>
      <c r="M1449" s="82" t="s">
        <v>12085</v>
      </c>
      <c r="N1449" s="82" t="s">
        <v>12086</v>
      </c>
      <c r="O1449" s="82" t="s">
        <v>12087</v>
      </c>
      <c r="P1449" s="82" t="s">
        <v>12088</v>
      </c>
      <c r="Q1449" s="82" t="s">
        <v>12089</v>
      </c>
      <c r="R1449" s="82" t="s">
        <v>12090</v>
      </c>
      <c r="S1449" s="82" t="s">
        <v>12091</v>
      </c>
      <c r="T1449" s="138">
        <v>15.0</v>
      </c>
      <c r="U1449" s="401" t="s">
        <v>12093</v>
      </c>
      <c r="V1449" s="106">
        <v>0.0</v>
      </c>
      <c r="W1449" s="107">
        <v>0.0</v>
      </c>
      <c r="X1449" s="107">
        <v>0.0</v>
      </c>
      <c r="Y1449" s="107">
        <v>0.0</v>
      </c>
      <c r="Z1449" s="80">
        <v>0.0</v>
      </c>
      <c r="AA1449" s="140">
        <v>0.0</v>
      </c>
      <c r="AB1449" s="109">
        <v>0.0</v>
      </c>
      <c r="AC1449" s="109">
        <v>0.0</v>
      </c>
      <c r="AD1449" s="141">
        <v>0.0</v>
      </c>
      <c r="AE1449" s="80">
        <v>0.0</v>
      </c>
      <c r="AF1449" s="140">
        <v>0.0</v>
      </c>
      <c r="AG1449" s="109">
        <v>0.0</v>
      </c>
      <c r="AH1449" s="109">
        <v>0.0</v>
      </c>
      <c r="AI1449" s="141">
        <v>0.0</v>
      </c>
      <c r="AJ1449" s="80">
        <v>0.0</v>
      </c>
      <c r="AK1449" s="140">
        <v>0.0</v>
      </c>
      <c r="AL1449" s="109">
        <v>0.0</v>
      </c>
      <c r="AM1449" s="141">
        <v>0.0</v>
      </c>
      <c r="AN1449" s="80">
        <v>0.0</v>
      </c>
      <c r="AO1449" s="140">
        <v>0.0</v>
      </c>
      <c r="AP1449" s="109">
        <v>0.0</v>
      </c>
      <c r="AQ1449" s="109">
        <v>0.0</v>
      </c>
      <c r="AR1449" s="80">
        <v>0.0</v>
      </c>
      <c r="AS1449" s="110">
        <v>527.0</v>
      </c>
      <c r="AT1449" s="110">
        <v>468.0</v>
      </c>
      <c r="AU1449" s="110">
        <v>230.0</v>
      </c>
      <c r="AV1449" s="142">
        <v>0.0</v>
      </c>
      <c r="AW1449" s="80">
        <v>1225.0</v>
      </c>
      <c r="AX1449" s="113">
        <v>1225.0</v>
      </c>
      <c r="AY1449" s="117">
        <v>995.0</v>
      </c>
      <c r="AZ1449" s="328">
        <v>230.0</v>
      </c>
      <c r="BA1449" s="315">
        <v>1.0</v>
      </c>
      <c r="BB1449" s="316">
        <v>1226.0</v>
      </c>
      <c r="BC1449" s="132" t="s">
        <v>178</v>
      </c>
      <c r="BD1449" s="132" t="s">
        <v>522</v>
      </c>
      <c r="BE1449" s="132" t="s">
        <v>178</v>
      </c>
      <c r="BF1449" s="123"/>
      <c r="BG1449" s="83">
        <v>1176611.0</v>
      </c>
      <c r="BH1449" s="112">
        <v>13.0</v>
      </c>
      <c r="BI1449" s="98" t="s">
        <v>155</v>
      </c>
      <c r="BJ1449" s="98" t="str">
        <f t="shared" si="1"/>
        <v>NÃO</v>
      </c>
      <c r="BK1449" s="98" t="str">
        <f t="shared" si="2"/>
        <v>PROFISSIONAL</v>
      </c>
    </row>
    <row r="1450" ht="15.75" customHeight="1">
      <c r="A1450" s="111" t="s">
        <v>1785</v>
      </c>
      <c r="B1450" s="83" t="s">
        <v>2197</v>
      </c>
      <c r="C1450" s="83" t="s">
        <v>164</v>
      </c>
      <c r="D1450" s="83">
        <v>1102259.0</v>
      </c>
      <c r="E1450" s="83">
        <v>1179297.0</v>
      </c>
      <c r="F1450" s="83"/>
      <c r="G1450" s="119" t="s">
        <v>12094</v>
      </c>
      <c r="H1450" s="91" t="s">
        <v>7942</v>
      </c>
      <c r="I1450" s="114" t="s">
        <v>7943</v>
      </c>
      <c r="J1450" s="83" t="s">
        <v>7944</v>
      </c>
      <c r="K1450" s="83" t="s">
        <v>168</v>
      </c>
      <c r="L1450" s="83" t="s">
        <v>169</v>
      </c>
      <c r="M1450" s="82" t="s">
        <v>12029</v>
      </c>
      <c r="N1450" s="82" t="s">
        <v>12030</v>
      </c>
      <c r="O1450" s="82" t="s">
        <v>12031</v>
      </c>
      <c r="P1450" s="82" t="s">
        <v>12032</v>
      </c>
      <c r="Q1450" s="82" t="s">
        <v>12033</v>
      </c>
      <c r="R1450" s="82" t="s">
        <v>12034</v>
      </c>
      <c r="S1450" s="82" t="s">
        <v>12035</v>
      </c>
      <c r="T1450" s="138">
        <v>2.0</v>
      </c>
      <c r="U1450" s="401">
        <v>2.0</v>
      </c>
      <c r="V1450" s="106">
        <v>0.0</v>
      </c>
      <c r="W1450" s="107">
        <v>0.0</v>
      </c>
      <c r="X1450" s="107">
        <v>0.0</v>
      </c>
      <c r="Y1450" s="107">
        <v>0.0</v>
      </c>
      <c r="Z1450" s="80">
        <v>0.0</v>
      </c>
      <c r="AA1450" s="140">
        <v>0.0</v>
      </c>
      <c r="AB1450" s="109">
        <v>0.0</v>
      </c>
      <c r="AC1450" s="109">
        <v>0.0</v>
      </c>
      <c r="AD1450" s="141">
        <v>0.0</v>
      </c>
      <c r="AE1450" s="80">
        <v>0.0</v>
      </c>
      <c r="AF1450" s="140">
        <v>0.0</v>
      </c>
      <c r="AG1450" s="109">
        <v>0.0</v>
      </c>
      <c r="AH1450" s="109">
        <v>0.0</v>
      </c>
      <c r="AI1450" s="141">
        <v>0.0</v>
      </c>
      <c r="AJ1450" s="80">
        <v>0.0</v>
      </c>
      <c r="AK1450" s="140">
        <v>0.0</v>
      </c>
      <c r="AL1450" s="109">
        <v>0.0</v>
      </c>
      <c r="AM1450" s="141">
        <v>0.0</v>
      </c>
      <c r="AN1450" s="80">
        <v>0.0</v>
      </c>
      <c r="AO1450" s="140">
        <v>5.0</v>
      </c>
      <c r="AP1450" s="109">
        <v>6.0</v>
      </c>
      <c r="AQ1450" s="109">
        <v>0.0</v>
      </c>
      <c r="AR1450" s="80">
        <v>11.0</v>
      </c>
      <c r="AS1450" s="110">
        <v>0.0</v>
      </c>
      <c r="AT1450" s="110">
        <v>0.0</v>
      </c>
      <c r="AU1450" s="110">
        <v>0.0</v>
      </c>
      <c r="AV1450" s="142">
        <v>0.0</v>
      </c>
      <c r="AW1450" s="80">
        <v>0.0</v>
      </c>
      <c r="AX1450" s="113">
        <v>11.0</v>
      </c>
      <c r="AY1450" s="117">
        <v>11.0</v>
      </c>
      <c r="AZ1450" s="328">
        <v>0.0</v>
      </c>
      <c r="BA1450" s="349">
        <v>0.0</v>
      </c>
      <c r="BB1450" s="316">
        <v>11.0</v>
      </c>
      <c r="BC1450" s="132" t="s">
        <v>10138</v>
      </c>
      <c r="BD1450" s="132" t="s">
        <v>178</v>
      </c>
      <c r="BE1450" s="132" t="s">
        <v>178</v>
      </c>
      <c r="BF1450" s="123"/>
      <c r="BG1450" s="83">
        <v>1179297.0</v>
      </c>
      <c r="BH1450" s="112">
        <v>2.0</v>
      </c>
      <c r="BI1450" s="98" t="s">
        <v>155</v>
      </c>
      <c r="BJ1450" s="98" t="str">
        <f t="shared" si="1"/>
        <v>NÃO</v>
      </c>
      <c r="BK1450" s="98" t="str">
        <f t="shared" si="2"/>
        <v>NÃO</v>
      </c>
    </row>
    <row r="1451" ht="15.75" customHeight="1">
      <c r="A1451" s="111" t="s">
        <v>1785</v>
      </c>
      <c r="B1451" s="83" t="s">
        <v>2197</v>
      </c>
      <c r="C1451" s="83" t="s">
        <v>164</v>
      </c>
      <c r="D1451" s="83">
        <v>1178420.0</v>
      </c>
      <c r="E1451" s="83">
        <v>1178569.0</v>
      </c>
      <c r="F1451" s="83"/>
      <c r="G1451" s="114" t="s">
        <v>12095</v>
      </c>
      <c r="H1451" s="91" t="s">
        <v>7948</v>
      </c>
      <c r="I1451" s="114" t="s">
        <v>171</v>
      </c>
      <c r="J1451" s="98" t="s">
        <v>7949</v>
      </c>
      <c r="K1451" s="83" t="s">
        <v>168</v>
      </c>
      <c r="L1451" s="83" t="s">
        <v>512</v>
      </c>
      <c r="M1451" s="82" t="s">
        <v>12015</v>
      </c>
      <c r="N1451" s="82" t="s">
        <v>12016</v>
      </c>
      <c r="O1451" s="82" t="s">
        <v>12017</v>
      </c>
      <c r="P1451" s="82" t="s">
        <v>12018</v>
      </c>
      <c r="Q1451" s="82"/>
      <c r="R1451" s="82"/>
      <c r="S1451" s="82" t="s">
        <v>12019</v>
      </c>
      <c r="T1451" s="138" t="s">
        <v>171</v>
      </c>
      <c r="U1451" s="401" t="s">
        <v>171</v>
      </c>
      <c r="V1451" s="106">
        <v>0.0</v>
      </c>
      <c r="W1451" s="107">
        <v>0.0</v>
      </c>
      <c r="X1451" s="107">
        <v>0.0</v>
      </c>
      <c r="Y1451" s="107">
        <v>0.0</v>
      </c>
      <c r="Z1451" s="80">
        <v>0.0</v>
      </c>
      <c r="AA1451" s="140">
        <v>0.0</v>
      </c>
      <c r="AB1451" s="109">
        <v>0.0</v>
      </c>
      <c r="AC1451" s="109">
        <v>0.0</v>
      </c>
      <c r="AD1451" s="141">
        <v>0.0</v>
      </c>
      <c r="AE1451" s="80">
        <v>0.0</v>
      </c>
      <c r="AF1451" s="140">
        <v>0.0</v>
      </c>
      <c r="AG1451" s="109">
        <v>0.0</v>
      </c>
      <c r="AH1451" s="109">
        <v>0.0</v>
      </c>
      <c r="AI1451" s="141">
        <v>0.0</v>
      </c>
      <c r="AJ1451" s="80">
        <v>0.0</v>
      </c>
      <c r="AK1451" s="140">
        <v>0.0</v>
      </c>
      <c r="AL1451" s="109">
        <v>0.0</v>
      </c>
      <c r="AM1451" s="141">
        <v>0.0</v>
      </c>
      <c r="AN1451" s="80">
        <v>0.0</v>
      </c>
      <c r="AO1451" s="140">
        <v>0.0</v>
      </c>
      <c r="AP1451" s="109">
        <v>0.0</v>
      </c>
      <c r="AQ1451" s="109">
        <v>53.0</v>
      </c>
      <c r="AR1451" s="80">
        <v>53.0</v>
      </c>
      <c r="AS1451" s="110">
        <v>0.0</v>
      </c>
      <c r="AT1451" s="110">
        <v>0.0</v>
      </c>
      <c r="AU1451" s="110">
        <v>0.0</v>
      </c>
      <c r="AV1451" s="142">
        <v>0.0</v>
      </c>
      <c r="AW1451" s="80">
        <v>0.0</v>
      </c>
      <c r="AX1451" s="113">
        <v>53.0</v>
      </c>
      <c r="AY1451" s="117">
        <v>0.0</v>
      </c>
      <c r="AZ1451" s="328">
        <v>53.0</v>
      </c>
      <c r="BA1451" s="315">
        <v>0.0</v>
      </c>
      <c r="BB1451" s="316">
        <v>53.0</v>
      </c>
      <c r="BC1451" s="132" t="s">
        <v>178</v>
      </c>
      <c r="BD1451" s="132" t="s">
        <v>178</v>
      </c>
      <c r="BE1451" s="132" t="s">
        <v>178</v>
      </c>
      <c r="BF1451" s="123"/>
      <c r="BG1451" s="83">
        <v>1178569.0</v>
      </c>
      <c r="BH1451" s="112">
        <v>0.0</v>
      </c>
      <c r="BI1451" s="98" t="s">
        <v>155</v>
      </c>
      <c r="BJ1451" s="98" t="str">
        <f t="shared" si="1"/>
        <v>NÃO</v>
      </c>
      <c r="BK1451" s="98" t="str">
        <f t="shared" si="2"/>
        <v>NÃO</v>
      </c>
    </row>
    <row r="1452" ht="15.75" customHeight="1">
      <c r="A1452" s="111" t="s">
        <v>1785</v>
      </c>
      <c r="B1452" s="83" t="s">
        <v>2197</v>
      </c>
      <c r="C1452" s="83" t="s">
        <v>164</v>
      </c>
      <c r="D1452" s="83">
        <v>1178400.0</v>
      </c>
      <c r="E1452" s="83">
        <v>1178541.0</v>
      </c>
      <c r="F1452" s="83"/>
      <c r="G1452" s="187" t="s">
        <v>12096</v>
      </c>
      <c r="H1452" s="91" t="s">
        <v>12097</v>
      </c>
      <c r="I1452" s="114" t="s">
        <v>149</v>
      </c>
      <c r="J1452" s="83" t="s">
        <v>12098</v>
      </c>
      <c r="K1452" s="83" t="s">
        <v>168</v>
      </c>
      <c r="L1452" s="83" t="s">
        <v>169</v>
      </c>
      <c r="M1452" s="82" t="s">
        <v>12057</v>
      </c>
      <c r="N1452" s="82" t="s">
        <v>12058</v>
      </c>
      <c r="O1452" s="82" t="s">
        <v>12059</v>
      </c>
      <c r="P1452" s="82" t="s">
        <v>12060</v>
      </c>
      <c r="Q1452" s="82"/>
      <c r="R1452" s="82"/>
      <c r="S1452" s="82" t="s">
        <v>12061</v>
      </c>
      <c r="T1452" s="138">
        <v>4.0</v>
      </c>
      <c r="U1452" s="401">
        <v>4.0</v>
      </c>
      <c r="V1452" s="106">
        <v>0.0</v>
      </c>
      <c r="W1452" s="107">
        <v>0.0</v>
      </c>
      <c r="X1452" s="107">
        <v>0.0</v>
      </c>
      <c r="Y1452" s="107">
        <v>0.0</v>
      </c>
      <c r="Z1452" s="80">
        <v>0.0</v>
      </c>
      <c r="AA1452" s="140">
        <v>0.0</v>
      </c>
      <c r="AB1452" s="109">
        <v>0.0</v>
      </c>
      <c r="AC1452" s="109">
        <v>0.0</v>
      </c>
      <c r="AD1452" s="141">
        <v>0.0</v>
      </c>
      <c r="AE1452" s="80">
        <v>0.0</v>
      </c>
      <c r="AF1452" s="140">
        <v>0.0</v>
      </c>
      <c r="AG1452" s="109">
        <v>109.0</v>
      </c>
      <c r="AH1452" s="109">
        <v>22.0</v>
      </c>
      <c r="AI1452" s="141">
        <v>39.0</v>
      </c>
      <c r="AJ1452" s="80">
        <v>170.0</v>
      </c>
      <c r="AK1452" s="140">
        <v>0.0</v>
      </c>
      <c r="AL1452" s="109">
        <v>0.0</v>
      </c>
      <c r="AM1452" s="141">
        <v>0.0</v>
      </c>
      <c r="AN1452" s="80">
        <v>0.0</v>
      </c>
      <c r="AO1452" s="140">
        <v>0.0</v>
      </c>
      <c r="AP1452" s="109">
        <v>0.0</v>
      </c>
      <c r="AQ1452" s="109">
        <v>25.0</v>
      </c>
      <c r="AR1452" s="80">
        <v>25.0</v>
      </c>
      <c r="AS1452" s="110">
        <v>0.0</v>
      </c>
      <c r="AT1452" s="110">
        <v>0.0</v>
      </c>
      <c r="AU1452" s="110">
        <v>0.0</v>
      </c>
      <c r="AV1452" s="142">
        <v>0.0</v>
      </c>
      <c r="AW1452" s="80">
        <v>0.0</v>
      </c>
      <c r="AX1452" s="113">
        <v>195.0</v>
      </c>
      <c r="AY1452" s="117">
        <v>148.0</v>
      </c>
      <c r="AZ1452" s="328">
        <v>47.0</v>
      </c>
      <c r="BA1452" s="315">
        <v>0.0</v>
      </c>
      <c r="BB1452" s="316">
        <v>195.0</v>
      </c>
      <c r="BC1452" s="132" t="s">
        <v>373</v>
      </c>
      <c r="BD1452" s="132" t="s">
        <v>178</v>
      </c>
      <c r="BE1452" s="132" t="s">
        <v>178</v>
      </c>
      <c r="BF1452" s="156"/>
      <c r="BG1452" s="83">
        <v>1178541.0</v>
      </c>
      <c r="BH1452" s="112">
        <v>4.0</v>
      </c>
      <c r="BI1452" s="98" t="s">
        <v>155</v>
      </c>
      <c r="BJ1452" s="98" t="str">
        <f t="shared" si="1"/>
        <v>INTEGRAL</v>
      </c>
      <c r="BK1452" s="98" t="str">
        <f t="shared" si="2"/>
        <v>NÃO</v>
      </c>
    </row>
    <row r="1453" ht="15.75" customHeight="1">
      <c r="A1453" s="111" t="s">
        <v>1785</v>
      </c>
      <c r="B1453" s="83" t="s">
        <v>6403</v>
      </c>
      <c r="C1453" s="83" t="s">
        <v>68</v>
      </c>
      <c r="D1453" s="83">
        <v>1104669.0</v>
      </c>
      <c r="E1453" s="83"/>
      <c r="F1453" s="83">
        <v>2.9176409E7</v>
      </c>
      <c r="G1453" s="187" t="s">
        <v>12099</v>
      </c>
      <c r="H1453" s="91" t="s">
        <v>7976</v>
      </c>
      <c r="I1453" s="114" t="s">
        <v>7977</v>
      </c>
      <c r="J1453" s="83" t="s">
        <v>150</v>
      </c>
      <c r="K1453" s="83" t="s">
        <v>151</v>
      </c>
      <c r="L1453" s="83" t="s">
        <v>152</v>
      </c>
      <c r="M1453" s="82" t="s">
        <v>12100</v>
      </c>
      <c r="N1453" s="82" t="s">
        <v>12101</v>
      </c>
      <c r="O1453" s="82" t="s">
        <v>12102</v>
      </c>
      <c r="P1453" s="82" t="s">
        <v>12103</v>
      </c>
      <c r="Q1453" s="82"/>
      <c r="R1453" s="82"/>
      <c r="S1453" s="82" t="s">
        <v>12104</v>
      </c>
      <c r="T1453" s="138">
        <v>21.0</v>
      </c>
      <c r="U1453" s="406" t="s">
        <v>12105</v>
      </c>
      <c r="V1453" s="106">
        <v>0.0</v>
      </c>
      <c r="W1453" s="107">
        <v>0.0</v>
      </c>
      <c r="X1453" s="107">
        <v>0.0</v>
      </c>
      <c r="Y1453" s="107">
        <v>0.0</v>
      </c>
      <c r="Z1453" s="80">
        <v>0.0</v>
      </c>
      <c r="AA1453" s="140">
        <v>0.0</v>
      </c>
      <c r="AB1453" s="109">
        <v>0.0</v>
      </c>
      <c r="AC1453" s="109">
        <v>0.0</v>
      </c>
      <c r="AD1453" s="141">
        <v>0.0</v>
      </c>
      <c r="AE1453" s="80">
        <v>0.0</v>
      </c>
      <c r="AF1453" s="140">
        <v>116.0</v>
      </c>
      <c r="AG1453" s="109">
        <v>22.0</v>
      </c>
      <c r="AH1453" s="109">
        <v>0.0</v>
      </c>
      <c r="AI1453" s="141">
        <v>40.0</v>
      </c>
      <c r="AJ1453" s="80">
        <v>178.0</v>
      </c>
      <c r="AK1453" s="140">
        <v>0.0</v>
      </c>
      <c r="AL1453" s="109">
        <v>0.0</v>
      </c>
      <c r="AM1453" s="141">
        <v>0.0</v>
      </c>
      <c r="AN1453" s="80">
        <v>0.0</v>
      </c>
      <c r="AO1453" s="140">
        <v>0.0</v>
      </c>
      <c r="AP1453" s="109">
        <v>0.0</v>
      </c>
      <c r="AQ1453" s="109">
        <v>77.0</v>
      </c>
      <c r="AR1453" s="80">
        <v>77.0</v>
      </c>
      <c r="AS1453" s="110">
        <v>159.0</v>
      </c>
      <c r="AT1453" s="110">
        <v>101.0</v>
      </c>
      <c r="AU1453" s="110">
        <v>81.0</v>
      </c>
      <c r="AV1453" s="142">
        <v>0.0</v>
      </c>
      <c r="AW1453" s="80">
        <v>341.0</v>
      </c>
      <c r="AX1453" s="113">
        <v>596.0</v>
      </c>
      <c r="AY1453" s="117">
        <v>438.0</v>
      </c>
      <c r="AZ1453" s="328">
        <v>158.0</v>
      </c>
      <c r="BA1453" s="315">
        <v>2.0</v>
      </c>
      <c r="BB1453" s="316">
        <v>598.0</v>
      </c>
      <c r="BC1453" s="132" t="s">
        <v>178</v>
      </c>
      <c r="BD1453" s="132" t="s">
        <v>178</v>
      </c>
      <c r="BE1453" s="132" t="s">
        <v>178</v>
      </c>
      <c r="BF1453" s="156"/>
      <c r="BG1453" s="83">
        <v>1104669.0</v>
      </c>
      <c r="BH1453" s="112">
        <v>15.0</v>
      </c>
      <c r="BI1453" s="98" t="s">
        <v>155</v>
      </c>
      <c r="BJ1453" s="98" t="str">
        <f t="shared" si="1"/>
        <v>INTEGRAL</v>
      </c>
      <c r="BK1453" s="98" t="str">
        <f t="shared" si="2"/>
        <v>PROFISSIONAL</v>
      </c>
    </row>
    <row r="1454" ht="15.75" customHeight="1">
      <c r="A1454" s="111" t="s">
        <v>1785</v>
      </c>
      <c r="B1454" s="83" t="s">
        <v>6403</v>
      </c>
      <c r="C1454" s="83" t="s">
        <v>68</v>
      </c>
      <c r="D1454" s="83">
        <v>1103719.0</v>
      </c>
      <c r="E1454" s="83"/>
      <c r="F1454" s="83">
        <v>2.917709E7</v>
      </c>
      <c r="G1454" s="114" t="s">
        <v>12106</v>
      </c>
      <c r="H1454" s="91" t="s">
        <v>7957</v>
      </c>
      <c r="I1454" s="114" t="s">
        <v>149</v>
      </c>
      <c r="J1454" s="83" t="s">
        <v>150</v>
      </c>
      <c r="K1454" s="83" t="s">
        <v>151</v>
      </c>
      <c r="L1454" s="83" t="s">
        <v>152</v>
      </c>
      <c r="M1454" s="82" t="s">
        <v>12107</v>
      </c>
      <c r="N1454" s="82" t="s">
        <v>12108</v>
      </c>
      <c r="O1454" s="82" t="s">
        <v>12109</v>
      </c>
      <c r="P1454" s="82" t="s">
        <v>12110</v>
      </c>
      <c r="Q1454" s="82" t="s">
        <v>12111</v>
      </c>
      <c r="R1454" s="82" t="s">
        <v>12112</v>
      </c>
      <c r="S1454" s="82" t="s">
        <v>12113</v>
      </c>
      <c r="T1454" s="138">
        <v>8.0</v>
      </c>
      <c r="U1454" s="401">
        <v>7.0</v>
      </c>
      <c r="V1454" s="106">
        <v>0.0</v>
      </c>
      <c r="W1454" s="107">
        <v>0.0</v>
      </c>
      <c r="X1454" s="107">
        <v>0.0</v>
      </c>
      <c r="Y1454" s="107">
        <v>0.0</v>
      </c>
      <c r="Z1454" s="80">
        <v>0.0</v>
      </c>
      <c r="AA1454" s="140">
        <v>0.0</v>
      </c>
      <c r="AB1454" s="109">
        <v>0.0</v>
      </c>
      <c r="AC1454" s="109">
        <v>0.0</v>
      </c>
      <c r="AD1454" s="141">
        <v>0.0</v>
      </c>
      <c r="AE1454" s="80">
        <v>0.0</v>
      </c>
      <c r="AF1454" s="140">
        <v>298.0</v>
      </c>
      <c r="AG1454" s="109">
        <v>261.0</v>
      </c>
      <c r="AH1454" s="109">
        <v>0.0</v>
      </c>
      <c r="AI1454" s="141">
        <v>0.0</v>
      </c>
      <c r="AJ1454" s="80">
        <v>559.0</v>
      </c>
      <c r="AK1454" s="140">
        <v>0.0</v>
      </c>
      <c r="AL1454" s="109">
        <v>0.0</v>
      </c>
      <c r="AM1454" s="141">
        <v>0.0</v>
      </c>
      <c r="AN1454" s="80">
        <v>0.0</v>
      </c>
      <c r="AO1454" s="140">
        <v>0.0</v>
      </c>
      <c r="AP1454" s="109">
        <v>0.0</v>
      </c>
      <c r="AQ1454" s="109">
        <v>46.0</v>
      </c>
      <c r="AR1454" s="80">
        <v>46.0</v>
      </c>
      <c r="AS1454" s="110">
        <v>0.0</v>
      </c>
      <c r="AT1454" s="110">
        <v>0.0</v>
      </c>
      <c r="AU1454" s="110">
        <v>0.0</v>
      </c>
      <c r="AV1454" s="142">
        <v>0.0</v>
      </c>
      <c r="AW1454" s="80">
        <v>0.0</v>
      </c>
      <c r="AX1454" s="113">
        <v>605.0</v>
      </c>
      <c r="AY1454" s="117">
        <v>559.0</v>
      </c>
      <c r="AZ1454" s="328">
        <v>46.0</v>
      </c>
      <c r="BA1454" s="315">
        <v>0.0</v>
      </c>
      <c r="BB1454" s="316">
        <v>605.0</v>
      </c>
      <c r="BC1454" s="132" t="s">
        <v>178</v>
      </c>
      <c r="BD1454" s="132" t="s">
        <v>178</v>
      </c>
      <c r="BE1454" s="132" t="s">
        <v>178</v>
      </c>
      <c r="BF1454" s="83"/>
      <c r="BG1454" s="83">
        <v>1103719.0</v>
      </c>
      <c r="BH1454" s="112">
        <v>7.0</v>
      </c>
      <c r="BI1454" s="98" t="s">
        <v>155</v>
      </c>
      <c r="BJ1454" s="98" t="str">
        <f t="shared" si="1"/>
        <v>NÃO</v>
      </c>
      <c r="BK1454" s="98" t="str">
        <f t="shared" si="2"/>
        <v>NÃO</v>
      </c>
    </row>
    <row r="1455" ht="15.75" customHeight="1">
      <c r="A1455" s="111" t="s">
        <v>1785</v>
      </c>
      <c r="B1455" s="83" t="s">
        <v>6403</v>
      </c>
      <c r="C1455" s="136" t="s">
        <v>68</v>
      </c>
      <c r="D1455" s="83">
        <v>1104863.0</v>
      </c>
      <c r="E1455" s="83"/>
      <c r="F1455" s="83">
        <v>2.9176808E7</v>
      </c>
      <c r="G1455" s="298" t="s">
        <v>12114</v>
      </c>
      <c r="H1455" s="91" t="s">
        <v>7960</v>
      </c>
      <c r="I1455" s="365" t="s">
        <v>7961</v>
      </c>
      <c r="J1455" s="83" t="s">
        <v>150</v>
      </c>
      <c r="K1455" s="83" t="s">
        <v>151</v>
      </c>
      <c r="L1455" s="83" t="s">
        <v>152</v>
      </c>
      <c r="M1455" s="82" t="s">
        <v>12115</v>
      </c>
      <c r="N1455" s="82" t="s">
        <v>12116</v>
      </c>
      <c r="O1455" s="82" t="s">
        <v>12117</v>
      </c>
      <c r="P1455" s="82" t="s">
        <v>12118</v>
      </c>
      <c r="Q1455" s="82" t="s">
        <v>12119</v>
      </c>
      <c r="R1455" s="82" t="s">
        <v>12120</v>
      </c>
      <c r="S1455" s="82" t="s">
        <v>12121</v>
      </c>
      <c r="T1455" s="138">
        <v>5.0</v>
      </c>
      <c r="U1455" s="478" t="s">
        <v>12122</v>
      </c>
      <c r="V1455" s="106">
        <v>0.0</v>
      </c>
      <c r="W1455" s="107">
        <v>0.0</v>
      </c>
      <c r="X1455" s="107">
        <v>0.0</v>
      </c>
      <c r="Y1455" s="107">
        <v>0.0</v>
      </c>
      <c r="Z1455" s="80">
        <v>0.0</v>
      </c>
      <c r="AA1455" s="140">
        <v>0.0</v>
      </c>
      <c r="AB1455" s="109">
        <v>0.0</v>
      </c>
      <c r="AC1455" s="109">
        <v>0.0</v>
      </c>
      <c r="AD1455" s="141">
        <v>0.0</v>
      </c>
      <c r="AE1455" s="80">
        <v>0.0</v>
      </c>
      <c r="AF1455" s="140">
        <v>234.0</v>
      </c>
      <c r="AG1455" s="109">
        <v>211.0</v>
      </c>
      <c r="AH1455" s="109">
        <v>0.0</v>
      </c>
      <c r="AI1455" s="141">
        <v>0.0</v>
      </c>
      <c r="AJ1455" s="80">
        <v>445.0</v>
      </c>
      <c r="AK1455" s="140">
        <v>0.0</v>
      </c>
      <c r="AL1455" s="109">
        <v>0.0</v>
      </c>
      <c r="AM1455" s="141">
        <v>0.0</v>
      </c>
      <c r="AN1455" s="80">
        <v>0.0</v>
      </c>
      <c r="AO1455" s="140">
        <v>0.0</v>
      </c>
      <c r="AP1455" s="109">
        <v>0.0</v>
      </c>
      <c r="AQ1455" s="109">
        <v>126.0</v>
      </c>
      <c r="AR1455" s="80">
        <v>126.0</v>
      </c>
      <c r="AS1455" s="110">
        <v>0.0</v>
      </c>
      <c r="AT1455" s="110">
        <v>0.0</v>
      </c>
      <c r="AU1455" s="110">
        <v>62.0</v>
      </c>
      <c r="AV1455" s="142">
        <v>0.0</v>
      </c>
      <c r="AW1455" s="80">
        <v>62.0</v>
      </c>
      <c r="AX1455" s="113">
        <v>633.0</v>
      </c>
      <c r="AY1455" s="117">
        <v>445.0</v>
      </c>
      <c r="AZ1455" s="328">
        <v>188.0</v>
      </c>
      <c r="BA1455" s="315">
        <v>2.0</v>
      </c>
      <c r="BB1455" s="316">
        <v>635.0</v>
      </c>
      <c r="BC1455" s="132" t="s">
        <v>178</v>
      </c>
      <c r="BD1455" s="132" t="s">
        <v>178</v>
      </c>
      <c r="BE1455" s="132" t="s">
        <v>178</v>
      </c>
      <c r="BF1455" s="123"/>
      <c r="BG1455" s="83">
        <v>1104863.0</v>
      </c>
      <c r="BH1455" s="112">
        <v>12.0</v>
      </c>
      <c r="BI1455" s="98" t="s">
        <v>155</v>
      </c>
      <c r="BJ1455" s="98" t="str">
        <f t="shared" si="1"/>
        <v>NÃO</v>
      </c>
      <c r="BK1455" s="98" t="str">
        <f t="shared" si="2"/>
        <v>PROFISSIONAL</v>
      </c>
    </row>
    <row r="1456" ht="15.75" customHeight="1">
      <c r="A1456" s="111" t="s">
        <v>1785</v>
      </c>
      <c r="B1456" s="83" t="s">
        <v>6403</v>
      </c>
      <c r="C1456" s="83" t="s">
        <v>68</v>
      </c>
      <c r="D1456" s="83">
        <v>1177099.0</v>
      </c>
      <c r="E1456" s="83"/>
      <c r="F1456" s="83">
        <v>2.9415969E7</v>
      </c>
      <c r="G1456" s="114" t="s">
        <v>12123</v>
      </c>
      <c r="H1456" s="91" t="s">
        <v>7960</v>
      </c>
      <c r="I1456" s="114" t="s">
        <v>7961</v>
      </c>
      <c r="J1456" s="83" t="s">
        <v>150</v>
      </c>
      <c r="K1456" s="83" t="s">
        <v>168</v>
      </c>
      <c r="L1456" s="83" t="s">
        <v>76</v>
      </c>
      <c r="M1456" s="82" t="s">
        <v>12125</v>
      </c>
      <c r="N1456" s="82" t="s">
        <v>12126</v>
      </c>
      <c r="O1456" s="82" t="s">
        <v>12127</v>
      </c>
      <c r="P1456" s="82" t="s">
        <v>12128</v>
      </c>
      <c r="Q1456" s="82"/>
      <c r="R1456" s="82"/>
      <c r="S1456" s="82" t="s">
        <v>12129</v>
      </c>
      <c r="T1456" s="138">
        <v>7.0</v>
      </c>
      <c r="U1456" s="401" t="s">
        <v>12130</v>
      </c>
      <c r="V1456" s="106">
        <v>0.0</v>
      </c>
      <c r="W1456" s="107">
        <v>0.0</v>
      </c>
      <c r="X1456" s="107">
        <v>0.0</v>
      </c>
      <c r="Y1456" s="107">
        <v>0.0</v>
      </c>
      <c r="Z1456" s="80">
        <v>0.0</v>
      </c>
      <c r="AA1456" s="140">
        <v>0.0</v>
      </c>
      <c r="AB1456" s="109">
        <v>0.0</v>
      </c>
      <c r="AC1456" s="109">
        <v>0.0</v>
      </c>
      <c r="AD1456" s="141">
        <v>0.0</v>
      </c>
      <c r="AE1456" s="80">
        <v>0.0</v>
      </c>
      <c r="AF1456" s="140">
        <v>302.0</v>
      </c>
      <c r="AG1456" s="109">
        <v>265.0</v>
      </c>
      <c r="AH1456" s="109">
        <v>27.0</v>
      </c>
      <c r="AI1456" s="141">
        <v>0.0</v>
      </c>
      <c r="AJ1456" s="80">
        <v>594.0</v>
      </c>
      <c r="AK1456" s="140">
        <v>0.0</v>
      </c>
      <c r="AL1456" s="109">
        <v>0.0</v>
      </c>
      <c r="AM1456" s="141">
        <v>0.0</v>
      </c>
      <c r="AN1456" s="80">
        <v>0.0</v>
      </c>
      <c r="AO1456" s="140">
        <v>0.0</v>
      </c>
      <c r="AP1456" s="109">
        <v>0.0</v>
      </c>
      <c r="AQ1456" s="109">
        <v>94.0</v>
      </c>
      <c r="AR1456" s="80">
        <v>94.0</v>
      </c>
      <c r="AS1456" s="110">
        <v>0.0</v>
      </c>
      <c r="AT1456" s="110">
        <v>0.0</v>
      </c>
      <c r="AU1456" s="110">
        <v>0.0</v>
      </c>
      <c r="AV1456" s="142">
        <v>0.0</v>
      </c>
      <c r="AW1456" s="80">
        <v>0.0</v>
      </c>
      <c r="AX1456" s="113">
        <v>688.0</v>
      </c>
      <c r="AY1456" s="117">
        <v>567.0</v>
      </c>
      <c r="AZ1456" s="328">
        <v>121.0</v>
      </c>
      <c r="BA1456" s="315">
        <v>2.0</v>
      </c>
      <c r="BB1456" s="316">
        <v>690.0</v>
      </c>
      <c r="BC1456" s="132" t="s">
        <v>178</v>
      </c>
      <c r="BD1456" s="132" t="s">
        <v>178</v>
      </c>
      <c r="BE1456" s="132" t="s">
        <v>178</v>
      </c>
      <c r="BF1456" s="123"/>
      <c r="BG1456" s="83">
        <v>1177099.0</v>
      </c>
      <c r="BH1456" s="112">
        <v>7.0</v>
      </c>
      <c r="BI1456" s="98" t="s">
        <v>155</v>
      </c>
      <c r="BJ1456" s="98" t="str">
        <f t="shared" si="1"/>
        <v>NÃO</v>
      </c>
      <c r="BK1456" s="98" t="str">
        <f t="shared" si="2"/>
        <v>NÃO</v>
      </c>
    </row>
    <row r="1457" ht="15.75" customHeight="1">
      <c r="A1457" s="111" t="s">
        <v>1785</v>
      </c>
      <c r="B1457" s="83" t="s">
        <v>6403</v>
      </c>
      <c r="C1457" s="83" t="s">
        <v>68</v>
      </c>
      <c r="D1457" s="83">
        <v>1176410.0</v>
      </c>
      <c r="E1457" s="83"/>
      <c r="F1457" s="83">
        <v>2.9383234E7</v>
      </c>
      <c r="G1457" s="114" t="s">
        <v>12131</v>
      </c>
      <c r="H1457" s="91" t="s">
        <v>7967</v>
      </c>
      <c r="I1457" s="114" t="s">
        <v>149</v>
      </c>
      <c r="J1457" s="83" t="s">
        <v>150</v>
      </c>
      <c r="K1457" s="83" t="s">
        <v>151</v>
      </c>
      <c r="L1457" s="83" t="s">
        <v>76</v>
      </c>
      <c r="M1457" s="82" t="s">
        <v>12132</v>
      </c>
      <c r="N1457" s="82" t="s">
        <v>171</v>
      </c>
      <c r="O1457" s="82" t="s">
        <v>12133</v>
      </c>
      <c r="P1457" s="82" t="s">
        <v>12134</v>
      </c>
      <c r="Q1457" s="82" t="s">
        <v>12135</v>
      </c>
      <c r="R1457" s="82" t="s">
        <v>12136</v>
      </c>
      <c r="S1457" s="82" t="s">
        <v>12137</v>
      </c>
      <c r="T1457" s="138">
        <v>12.0</v>
      </c>
      <c r="U1457" s="339">
        <v>24.0</v>
      </c>
      <c r="V1457" s="106">
        <v>0.0</v>
      </c>
      <c r="W1457" s="107">
        <v>0.0</v>
      </c>
      <c r="X1457" s="107">
        <v>0.0</v>
      </c>
      <c r="Y1457" s="107">
        <v>0.0</v>
      </c>
      <c r="Z1457" s="80">
        <v>0.0</v>
      </c>
      <c r="AA1457" s="140">
        <v>0.0</v>
      </c>
      <c r="AB1457" s="109">
        <v>374.0</v>
      </c>
      <c r="AC1457" s="109">
        <v>0.0</v>
      </c>
      <c r="AD1457" s="141">
        <v>0.0</v>
      </c>
      <c r="AE1457" s="80">
        <v>374.0</v>
      </c>
      <c r="AF1457" s="140">
        <v>376.0</v>
      </c>
      <c r="AG1457" s="109">
        <v>0.0</v>
      </c>
      <c r="AH1457" s="109">
        <v>0.0</v>
      </c>
      <c r="AI1457" s="141">
        <v>0.0</v>
      </c>
      <c r="AJ1457" s="80">
        <v>376.0</v>
      </c>
      <c r="AK1457" s="140">
        <v>0.0</v>
      </c>
      <c r="AL1457" s="109">
        <v>0.0</v>
      </c>
      <c r="AM1457" s="141">
        <v>0.0</v>
      </c>
      <c r="AN1457" s="80">
        <v>0.0</v>
      </c>
      <c r="AO1457" s="140">
        <v>0.0</v>
      </c>
      <c r="AP1457" s="109">
        <v>0.0</v>
      </c>
      <c r="AQ1457" s="109">
        <v>0.0</v>
      </c>
      <c r="AR1457" s="80">
        <v>0.0</v>
      </c>
      <c r="AS1457" s="110">
        <v>0.0</v>
      </c>
      <c r="AT1457" s="110">
        <v>0.0</v>
      </c>
      <c r="AU1457" s="110">
        <v>0.0</v>
      </c>
      <c r="AV1457" s="142">
        <v>0.0</v>
      </c>
      <c r="AW1457" s="80">
        <v>0.0</v>
      </c>
      <c r="AX1457" s="113">
        <v>750.0</v>
      </c>
      <c r="AY1457" s="117">
        <v>750.0</v>
      </c>
      <c r="AZ1457" s="328">
        <v>0.0</v>
      </c>
      <c r="BA1457" s="315">
        <v>0.0</v>
      </c>
      <c r="BB1457" s="316">
        <v>750.0</v>
      </c>
      <c r="BC1457" s="143" t="s">
        <v>1014</v>
      </c>
      <c r="BD1457" s="132" t="s">
        <v>178</v>
      </c>
      <c r="BE1457" s="132" t="s">
        <v>178</v>
      </c>
      <c r="BF1457" s="123"/>
      <c r="BG1457" s="83">
        <v>1176410.0</v>
      </c>
      <c r="BH1457" s="112">
        <v>12.0</v>
      </c>
      <c r="BI1457" s="98" t="s">
        <v>162</v>
      </c>
      <c r="BJ1457" s="98" t="str">
        <f t="shared" si="1"/>
        <v>NÃO</v>
      </c>
      <c r="BK1457" s="98" t="str">
        <f t="shared" si="2"/>
        <v>NÃO</v>
      </c>
    </row>
    <row r="1458" ht="15.75" customHeight="1">
      <c r="A1458" s="111" t="s">
        <v>1785</v>
      </c>
      <c r="B1458" s="83" t="s">
        <v>6403</v>
      </c>
      <c r="C1458" s="83" t="s">
        <v>164</v>
      </c>
      <c r="D1458" s="83">
        <v>1104669.0</v>
      </c>
      <c r="E1458" s="83">
        <v>1176940.0</v>
      </c>
      <c r="F1458" s="83"/>
      <c r="G1458" s="114" t="s">
        <v>12138</v>
      </c>
      <c r="H1458" s="91" t="s">
        <v>7981</v>
      </c>
      <c r="I1458" s="114" t="s">
        <v>7983</v>
      </c>
      <c r="J1458" s="83" t="s">
        <v>694</v>
      </c>
      <c r="K1458" s="83" t="s">
        <v>168</v>
      </c>
      <c r="L1458" s="83" t="s">
        <v>169</v>
      </c>
      <c r="M1458" s="82" t="s">
        <v>12100</v>
      </c>
      <c r="N1458" s="82" t="s">
        <v>12101</v>
      </c>
      <c r="O1458" s="82" t="s">
        <v>12102</v>
      </c>
      <c r="P1458" s="82" t="s">
        <v>12103</v>
      </c>
      <c r="Q1458" s="82"/>
      <c r="R1458" s="82"/>
      <c r="S1458" s="82" t="s">
        <v>12104</v>
      </c>
      <c r="T1458" s="138">
        <v>3.0</v>
      </c>
      <c r="U1458" s="323">
        <v>3.0</v>
      </c>
      <c r="V1458" s="106">
        <v>0.0</v>
      </c>
      <c r="W1458" s="107">
        <v>0.0</v>
      </c>
      <c r="X1458" s="107">
        <v>0.0</v>
      </c>
      <c r="Y1458" s="107">
        <v>0.0</v>
      </c>
      <c r="Z1458" s="80">
        <v>0.0</v>
      </c>
      <c r="AA1458" s="140">
        <v>0.0</v>
      </c>
      <c r="AB1458" s="109">
        <v>0.0</v>
      </c>
      <c r="AC1458" s="109">
        <v>0.0</v>
      </c>
      <c r="AD1458" s="141">
        <v>0.0</v>
      </c>
      <c r="AE1458" s="80">
        <v>0.0</v>
      </c>
      <c r="AF1458" s="140">
        <v>0.0</v>
      </c>
      <c r="AG1458" s="109">
        <v>0.0</v>
      </c>
      <c r="AH1458" s="109">
        <v>22.0</v>
      </c>
      <c r="AI1458" s="141">
        <v>0.0</v>
      </c>
      <c r="AJ1458" s="80">
        <v>22.0</v>
      </c>
      <c r="AK1458" s="140">
        <v>0.0</v>
      </c>
      <c r="AL1458" s="109">
        <v>0.0</v>
      </c>
      <c r="AM1458" s="141">
        <v>0.0</v>
      </c>
      <c r="AN1458" s="80">
        <v>0.0</v>
      </c>
      <c r="AO1458" s="140">
        <v>0.0</v>
      </c>
      <c r="AP1458" s="109">
        <v>0.0</v>
      </c>
      <c r="AQ1458" s="109">
        <v>0.0</v>
      </c>
      <c r="AR1458" s="80">
        <v>0.0</v>
      </c>
      <c r="AS1458" s="110">
        <v>0.0</v>
      </c>
      <c r="AT1458" s="110">
        <v>0.0</v>
      </c>
      <c r="AU1458" s="110">
        <v>0.0</v>
      </c>
      <c r="AV1458" s="142">
        <v>0.0</v>
      </c>
      <c r="AW1458" s="80">
        <v>0.0</v>
      </c>
      <c r="AX1458" s="113">
        <v>22.0</v>
      </c>
      <c r="AY1458" s="117">
        <v>0.0</v>
      </c>
      <c r="AZ1458" s="328">
        <v>22.0</v>
      </c>
      <c r="BA1458" s="315">
        <v>0.0</v>
      </c>
      <c r="BB1458" s="316">
        <v>22.0</v>
      </c>
      <c r="BC1458" s="132" t="s">
        <v>373</v>
      </c>
      <c r="BD1458" s="132" t="s">
        <v>178</v>
      </c>
      <c r="BE1458" s="132" t="s">
        <v>178</v>
      </c>
      <c r="BF1458" s="123"/>
      <c r="BG1458" s="83">
        <v>1176940.0</v>
      </c>
      <c r="BH1458" s="112">
        <v>3.0</v>
      </c>
      <c r="BI1458" s="98" t="s">
        <v>155</v>
      </c>
      <c r="BJ1458" s="98" t="str">
        <f t="shared" si="1"/>
        <v>NÃO</v>
      </c>
      <c r="BK1458" s="98" t="str">
        <f t="shared" si="2"/>
        <v>NÃO</v>
      </c>
    </row>
    <row r="1459" ht="15.75" customHeight="1">
      <c r="A1459" s="111" t="s">
        <v>1785</v>
      </c>
      <c r="B1459" s="83" t="s">
        <v>6403</v>
      </c>
      <c r="C1459" s="83" t="s">
        <v>164</v>
      </c>
      <c r="D1459" s="83">
        <v>1104863.0</v>
      </c>
      <c r="E1459" s="83">
        <v>1179293.0</v>
      </c>
      <c r="F1459" s="83"/>
      <c r="G1459" s="114" t="s">
        <v>12139</v>
      </c>
      <c r="H1459" s="91" t="s">
        <v>7987</v>
      </c>
      <c r="I1459" s="114" t="s">
        <v>7988</v>
      </c>
      <c r="J1459" s="83" t="s">
        <v>1012</v>
      </c>
      <c r="K1459" s="83" t="s">
        <v>151</v>
      </c>
      <c r="L1459" s="83" t="s">
        <v>169</v>
      </c>
      <c r="M1459" s="82" t="s">
        <v>12115</v>
      </c>
      <c r="N1459" s="82" t="s">
        <v>12116</v>
      </c>
      <c r="O1459" s="82" t="s">
        <v>12117</v>
      </c>
      <c r="P1459" s="82" t="s">
        <v>12118</v>
      </c>
      <c r="Q1459" s="82" t="s">
        <v>12119</v>
      </c>
      <c r="R1459" s="82" t="s">
        <v>12120</v>
      </c>
      <c r="S1459" s="82" t="s">
        <v>12121</v>
      </c>
      <c r="T1459" s="138">
        <v>6.0</v>
      </c>
      <c r="U1459" s="389">
        <v>4.0</v>
      </c>
      <c r="V1459" s="106">
        <v>0.0</v>
      </c>
      <c r="W1459" s="107">
        <v>0.0</v>
      </c>
      <c r="X1459" s="107">
        <v>0.0</v>
      </c>
      <c r="Y1459" s="107">
        <v>0.0</v>
      </c>
      <c r="Z1459" s="80">
        <v>0.0</v>
      </c>
      <c r="AA1459" s="140">
        <v>0.0</v>
      </c>
      <c r="AB1459" s="109">
        <v>0.0</v>
      </c>
      <c r="AC1459" s="109">
        <v>0.0</v>
      </c>
      <c r="AD1459" s="141">
        <v>0.0</v>
      </c>
      <c r="AE1459" s="80">
        <v>0.0</v>
      </c>
      <c r="AF1459" s="140">
        <v>0.0</v>
      </c>
      <c r="AG1459" s="109">
        <v>0.0</v>
      </c>
      <c r="AH1459" s="109">
        <v>0.0</v>
      </c>
      <c r="AI1459" s="141">
        <v>0.0</v>
      </c>
      <c r="AJ1459" s="80">
        <v>0.0</v>
      </c>
      <c r="AK1459" s="140">
        <v>0.0</v>
      </c>
      <c r="AL1459" s="109">
        <v>0.0</v>
      </c>
      <c r="AM1459" s="141">
        <v>0.0</v>
      </c>
      <c r="AN1459" s="80">
        <v>0.0</v>
      </c>
      <c r="AO1459" s="140">
        <v>0.0</v>
      </c>
      <c r="AP1459" s="109">
        <v>0.0</v>
      </c>
      <c r="AQ1459" s="109">
        <v>0.0</v>
      </c>
      <c r="AR1459" s="80">
        <v>0.0</v>
      </c>
      <c r="AS1459" s="110">
        <v>92.0</v>
      </c>
      <c r="AT1459" s="110">
        <v>131.0</v>
      </c>
      <c r="AU1459" s="110">
        <v>0.0</v>
      </c>
      <c r="AV1459" s="142">
        <v>0.0</v>
      </c>
      <c r="AW1459" s="80">
        <v>223.0</v>
      </c>
      <c r="AX1459" s="113">
        <v>223.0</v>
      </c>
      <c r="AY1459" s="117">
        <v>223.0</v>
      </c>
      <c r="AZ1459" s="328">
        <v>0.0</v>
      </c>
      <c r="BA1459" s="315">
        <v>0.0</v>
      </c>
      <c r="BB1459" s="316">
        <v>223.0</v>
      </c>
      <c r="BC1459" s="132" t="s">
        <v>373</v>
      </c>
      <c r="BD1459" s="132" t="s">
        <v>178</v>
      </c>
      <c r="BE1459" s="132" t="s">
        <v>178</v>
      </c>
      <c r="BF1459" s="123"/>
      <c r="BG1459" s="83">
        <v>1179293.0</v>
      </c>
      <c r="BH1459" s="112">
        <v>4.0</v>
      </c>
      <c r="BI1459" s="98" t="s">
        <v>155</v>
      </c>
      <c r="BJ1459" s="98" t="str">
        <f t="shared" si="1"/>
        <v>NÃO</v>
      </c>
      <c r="BK1459" s="98" t="str">
        <f t="shared" si="2"/>
        <v>PROFISSIONAL</v>
      </c>
    </row>
    <row r="1460" ht="15.75" customHeight="1">
      <c r="A1460" s="111" t="s">
        <v>1785</v>
      </c>
      <c r="B1460" s="83" t="s">
        <v>7989</v>
      </c>
      <c r="C1460" s="83" t="s">
        <v>68</v>
      </c>
      <c r="D1460" s="83">
        <v>1178035.0</v>
      </c>
      <c r="E1460" s="83"/>
      <c r="F1460" s="83">
        <v>2.9427959E7</v>
      </c>
      <c r="G1460" s="114" t="s">
        <v>12140</v>
      </c>
      <c r="H1460" s="91" t="s">
        <v>7991</v>
      </c>
      <c r="I1460" s="114" t="s">
        <v>149</v>
      </c>
      <c r="J1460" s="83" t="s">
        <v>150</v>
      </c>
      <c r="K1460" s="83" t="s">
        <v>151</v>
      </c>
      <c r="L1460" s="83" t="s">
        <v>230</v>
      </c>
      <c r="M1460" s="82" t="s">
        <v>12141</v>
      </c>
      <c r="N1460" s="82" t="s">
        <v>12142</v>
      </c>
      <c r="O1460" s="82" t="s">
        <v>12143</v>
      </c>
      <c r="P1460" s="82" t="s">
        <v>12144</v>
      </c>
      <c r="Q1460" s="82" t="s">
        <v>12145</v>
      </c>
      <c r="R1460" s="82" t="s">
        <v>12146</v>
      </c>
      <c r="S1460" s="82" t="s">
        <v>12147</v>
      </c>
      <c r="T1460" s="138">
        <v>16.0</v>
      </c>
      <c r="U1460" s="389">
        <v>14.0</v>
      </c>
      <c r="V1460" s="106">
        <v>0.0</v>
      </c>
      <c r="W1460" s="107">
        <v>0.0</v>
      </c>
      <c r="X1460" s="107">
        <v>0.0</v>
      </c>
      <c r="Y1460" s="107">
        <v>0.0</v>
      </c>
      <c r="Z1460" s="80">
        <v>0.0</v>
      </c>
      <c r="AA1460" s="140">
        <v>0.0</v>
      </c>
      <c r="AB1460" s="109">
        <v>0.0</v>
      </c>
      <c r="AC1460" s="109">
        <v>0.0</v>
      </c>
      <c r="AD1460" s="141">
        <v>0.0</v>
      </c>
      <c r="AE1460" s="80">
        <v>0.0</v>
      </c>
      <c r="AF1460" s="140">
        <v>553.0</v>
      </c>
      <c r="AG1460" s="109">
        <v>367.0</v>
      </c>
      <c r="AH1460" s="109">
        <v>61.0</v>
      </c>
      <c r="AI1460" s="141">
        <v>0.0</v>
      </c>
      <c r="AJ1460" s="80">
        <v>981.0</v>
      </c>
      <c r="AK1460" s="140">
        <v>0.0</v>
      </c>
      <c r="AL1460" s="109">
        <v>0.0</v>
      </c>
      <c r="AM1460" s="141">
        <v>0.0</v>
      </c>
      <c r="AN1460" s="80">
        <v>0.0</v>
      </c>
      <c r="AO1460" s="140">
        <v>0.0</v>
      </c>
      <c r="AP1460" s="109">
        <v>0.0</v>
      </c>
      <c r="AQ1460" s="109">
        <v>155.0</v>
      </c>
      <c r="AR1460" s="80">
        <v>155.0</v>
      </c>
      <c r="AS1460" s="110">
        <v>0.0</v>
      </c>
      <c r="AT1460" s="110">
        <v>0.0</v>
      </c>
      <c r="AU1460" s="110">
        <v>0.0</v>
      </c>
      <c r="AV1460" s="142">
        <v>0.0</v>
      </c>
      <c r="AW1460" s="80">
        <v>0.0</v>
      </c>
      <c r="AX1460" s="113">
        <v>1136.0</v>
      </c>
      <c r="AY1460" s="117">
        <v>920.0</v>
      </c>
      <c r="AZ1460" s="328">
        <v>216.0</v>
      </c>
      <c r="BA1460" s="315">
        <v>0.0</v>
      </c>
      <c r="BB1460" s="316">
        <v>1136.0</v>
      </c>
      <c r="BC1460" s="132" t="s">
        <v>178</v>
      </c>
      <c r="BD1460" s="132" t="s">
        <v>178</v>
      </c>
      <c r="BE1460" s="132" t="s">
        <v>178</v>
      </c>
      <c r="BF1460" s="156"/>
      <c r="BG1460" s="83">
        <v>1178035.0</v>
      </c>
      <c r="BH1460" s="112">
        <v>14.0</v>
      </c>
      <c r="BI1460" s="98" t="s">
        <v>155</v>
      </c>
      <c r="BJ1460" s="98" t="str">
        <f t="shared" si="1"/>
        <v>NÃO</v>
      </c>
      <c r="BK1460" s="98" t="str">
        <f t="shared" si="2"/>
        <v>NÃO</v>
      </c>
    </row>
    <row r="1461" ht="15.75" customHeight="1">
      <c r="A1461" s="111" t="s">
        <v>1785</v>
      </c>
      <c r="B1461" s="83" t="s">
        <v>7989</v>
      </c>
      <c r="C1461" s="83" t="s">
        <v>68</v>
      </c>
      <c r="D1461" s="83">
        <v>1179670.0</v>
      </c>
      <c r="E1461" s="98">
        <v>1179724.0</v>
      </c>
      <c r="F1461" s="83">
        <v>2.9475082E7</v>
      </c>
      <c r="G1461" s="119" t="s">
        <v>8001</v>
      </c>
      <c r="H1461" s="91" t="s">
        <v>12149</v>
      </c>
      <c r="I1461" s="114" t="s">
        <v>149</v>
      </c>
      <c r="J1461" s="83" t="s">
        <v>150</v>
      </c>
      <c r="K1461" s="83" t="s">
        <v>168</v>
      </c>
      <c r="L1461" s="83" t="s">
        <v>230</v>
      </c>
      <c r="M1461" s="82" t="s">
        <v>12150</v>
      </c>
      <c r="N1461" s="82" t="s">
        <v>12151</v>
      </c>
      <c r="O1461" s="82" t="s">
        <v>12152</v>
      </c>
      <c r="P1461" s="82" t="s">
        <v>12153</v>
      </c>
      <c r="Q1461" s="82" t="s">
        <v>12154</v>
      </c>
      <c r="R1461" s="82" t="s">
        <v>12155</v>
      </c>
      <c r="S1461" s="82" t="s">
        <v>12156</v>
      </c>
      <c r="T1461" s="138">
        <v>13.0</v>
      </c>
      <c r="U1461" s="323">
        <v>9.0</v>
      </c>
      <c r="V1461" s="355">
        <v>0.0</v>
      </c>
      <c r="W1461" s="246">
        <v>0.0</v>
      </c>
      <c r="X1461" s="246">
        <v>0.0</v>
      </c>
      <c r="Y1461" s="246">
        <v>0.0</v>
      </c>
      <c r="Z1461" s="80">
        <v>0.0</v>
      </c>
      <c r="AA1461" s="140">
        <v>0.0</v>
      </c>
      <c r="AB1461" s="109">
        <v>0.0</v>
      </c>
      <c r="AC1461" s="109">
        <v>0.0</v>
      </c>
      <c r="AD1461" s="141">
        <v>0.0</v>
      </c>
      <c r="AE1461" s="80">
        <v>0.0</v>
      </c>
      <c r="AF1461" s="140">
        <v>56.0</v>
      </c>
      <c r="AG1461" s="109">
        <v>24.0</v>
      </c>
      <c r="AH1461" s="109">
        <v>7.0</v>
      </c>
      <c r="AI1461" s="141">
        <v>13.0</v>
      </c>
      <c r="AJ1461" s="80">
        <v>100.0</v>
      </c>
      <c r="AK1461" s="140">
        <v>0.0</v>
      </c>
      <c r="AL1461" s="109">
        <v>0.0</v>
      </c>
      <c r="AM1461" s="141">
        <v>0.0</v>
      </c>
      <c r="AN1461" s="80">
        <v>0.0</v>
      </c>
      <c r="AO1461" s="140">
        <v>0.0</v>
      </c>
      <c r="AP1461" s="109">
        <v>0.0</v>
      </c>
      <c r="AQ1461" s="109">
        <v>21.0</v>
      </c>
      <c r="AR1461" s="80">
        <v>21.0</v>
      </c>
      <c r="AS1461" s="110">
        <v>703.0</v>
      </c>
      <c r="AT1461" s="110">
        <v>643.0</v>
      </c>
      <c r="AU1461" s="110">
        <v>287.0</v>
      </c>
      <c r="AV1461" s="142">
        <v>0.0</v>
      </c>
      <c r="AW1461" s="80">
        <v>1633.0</v>
      </c>
      <c r="AX1461" s="113">
        <v>1754.0</v>
      </c>
      <c r="AY1461" s="117">
        <v>1439.0</v>
      </c>
      <c r="AZ1461" s="328">
        <v>315.0</v>
      </c>
      <c r="BA1461" s="315">
        <v>1.0</v>
      </c>
      <c r="BB1461" s="316">
        <v>1755.0</v>
      </c>
      <c r="BC1461" s="132" t="s">
        <v>178</v>
      </c>
      <c r="BD1461" s="132" t="s">
        <v>178</v>
      </c>
      <c r="BE1461" s="132" t="s">
        <v>178</v>
      </c>
      <c r="BF1461" s="156"/>
      <c r="BG1461" s="83">
        <v>1179670.0</v>
      </c>
      <c r="BH1461" s="112">
        <v>9.0</v>
      </c>
      <c r="BI1461" s="98" t="s">
        <v>155</v>
      </c>
      <c r="BJ1461" s="98" t="str">
        <f t="shared" si="1"/>
        <v>INTEGRAL</v>
      </c>
      <c r="BK1461" s="98" t="str">
        <f t="shared" si="2"/>
        <v>PROFISSIONAL</v>
      </c>
    </row>
    <row r="1462" ht="15.75" customHeight="1">
      <c r="A1462" s="111" t="s">
        <v>1785</v>
      </c>
      <c r="B1462" s="83" t="s">
        <v>7989</v>
      </c>
      <c r="C1462" s="83" t="s">
        <v>68</v>
      </c>
      <c r="D1462" s="83">
        <v>1179670.0</v>
      </c>
      <c r="E1462" s="83">
        <v>1178204.0</v>
      </c>
      <c r="F1462" s="83"/>
      <c r="G1462" s="119" t="s">
        <v>8017</v>
      </c>
      <c r="H1462" s="91"/>
      <c r="I1462" s="187"/>
      <c r="J1462" s="83"/>
      <c r="K1462" s="83"/>
      <c r="L1462" s="83"/>
      <c r="M1462" s="82" t="s">
        <v>12150</v>
      </c>
      <c r="N1462" s="82" t="s">
        <v>12151</v>
      </c>
      <c r="O1462" s="82" t="s">
        <v>12152</v>
      </c>
      <c r="P1462" s="82" t="s">
        <v>12153</v>
      </c>
      <c r="Q1462" s="82" t="s">
        <v>12154</v>
      </c>
      <c r="R1462" s="82" t="s">
        <v>12155</v>
      </c>
      <c r="S1462" s="82" t="s">
        <v>12156</v>
      </c>
      <c r="T1462" s="138"/>
      <c r="U1462" s="323"/>
      <c r="V1462" s="106">
        <v>0.0</v>
      </c>
      <c r="W1462" s="107">
        <v>0.0</v>
      </c>
      <c r="X1462" s="107">
        <v>0.0</v>
      </c>
      <c r="Y1462" s="107">
        <v>0.0</v>
      </c>
      <c r="Z1462" s="80">
        <v>0.0</v>
      </c>
      <c r="AA1462" s="140">
        <v>0.0</v>
      </c>
      <c r="AB1462" s="109">
        <v>0.0</v>
      </c>
      <c r="AC1462" s="109">
        <v>0.0</v>
      </c>
      <c r="AD1462" s="141">
        <v>0.0</v>
      </c>
      <c r="AE1462" s="80">
        <v>0.0</v>
      </c>
      <c r="AF1462" s="140">
        <v>0.0</v>
      </c>
      <c r="AG1462" s="109">
        <v>0.0</v>
      </c>
      <c r="AH1462" s="109">
        <v>23.0</v>
      </c>
      <c r="AI1462" s="141">
        <v>0.0</v>
      </c>
      <c r="AJ1462" s="80">
        <v>23.0</v>
      </c>
      <c r="AK1462" s="140">
        <v>0.0</v>
      </c>
      <c r="AL1462" s="109">
        <v>0.0</v>
      </c>
      <c r="AM1462" s="141">
        <v>0.0</v>
      </c>
      <c r="AN1462" s="80">
        <v>0.0</v>
      </c>
      <c r="AO1462" s="140">
        <v>0.0</v>
      </c>
      <c r="AP1462" s="109">
        <v>0.0</v>
      </c>
      <c r="AQ1462" s="109">
        <v>34.0</v>
      </c>
      <c r="AR1462" s="80">
        <v>34.0</v>
      </c>
      <c r="AS1462" s="110">
        <v>0.0</v>
      </c>
      <c r="AT1462" s="110">
        <v>0.0</v>
      </c>
      <c r="AU1462" s="110">
        <v>0.0</v>
      </c>
      <c r="AV1462" s="142">
        <v>0.0</v>
      </c>
      <c r="AW1462" s="80">
        <v>0.0</v>
      </c>
      <c r="AX1462" s="113">
        <v>57.0</v>
      </c>
      <c r="AY1462" s="117">
        <v>0.0</v>
      </c>
      <c r="AZ1462" s="328">
        <v>57.0</v>
      </c>
      <c r="BA1462" s="315">
        <v>0.0</v>
      </c>
      <c r="BB1462" s="316">
        <v>57.0</v>
      </c>
      <c r="BC1462" s="132"/>
      <c r="BD1462" s="132"/>
      <c r="BE1462" s="132"/>
      <c r="BF1462" s="156"/>
      <c r="BG1462" s="98">
        <v>1178204.0</v>
      </c>
      <c r="BH1462" s="112"/>
      <c r="BI1462" s="98"/>
      <c r="BJ1462" s="98" t="str">
        <f t="shared" si="1"/>
        <v>NÃO</v>
      </c>
      <c r="BK1462" s="98" t="str">
        <f t="shared" si="2"/>
        <v>NÃO</v>
      </c>
    </row>
    <row r="1463" ht="15.75" customHeight="1">
      <c r="A1463" s="111" t="s">
        <v>1785</v>
      </c>
      <c r="B1463" s="83" t="s">
        <v>2135</v>
      </c>
      <c r="C1463" s="83" t="s">
        <v>68</v>
      </c>
      <c r="D1463" s="83">
        <v>1102453.0</v>
      </c>
      <c r="E1463" s="83"/>
      <c r="F1463" s="83">
        <v>2.9177812E7</v>
      </c>
      <c r="G1463" s="119" t="s">
        <v>4961</v>
      </c>
      <c r="H1463" s="91" t="s">
        <v>12159</v>
      </c>
      <c r="I1463" s="114" t="s">
        <v>149</v>
      </c>
      <c r="J1463" s="83" t="s">
        <v>150</v>
      </c>
      <c r="K1463" s="83" t="s">
        <v>151</v>
      </c>
      <c r="L1463" s="83" t="s">
        <v>152</v>
      </c>
      <c r="M1463" s="82" t="s">
        <v>12160</v>
      </c>
      <c r="N1463" s="82" t="s">
        <v>12161</v>
      </c>
      <c r="O1463" s="82" t="s">
        <v>12162</v>
      </c>
      <c r="P1463" s="82" t="s">
        <v>12163</v>
      </c>
      <c r="Q1463" s="82" t="s">
        <v>12164</v>
      </c>
      <c r="R1463" s="82" t="s">
        <v>12165</v>
      </c>
      <c r="S1463" s="82" t="s">
        <v>12166</v>
      </c>
      <c r="T1463" s="138">
        <v>9.0</v>
      </c>
      <c r="U1463" s="331">
        <v>34.0</v>
      </c>
      <c r="V1463" s="106">
        <v>0.0</v>
      </c>
      <c r="W1463" s="107">
        <v>0.0</v>
      </c>
      <c r="X1463" s="107">
        <v>0.0</v>
      </c>
      <c r="Y1463" s="107">
        <v>0.0</v>
      </c>
      <c r="Z1463" s="80">
        <v>0.0</v>
      </c>
      <c r="AA1463" s="140">
        <v>0.0</v>
      </c>
      <c r="AB1463" s="109">
        <v>0.0</v>
      </c>
      <c r="AC1463" s="109">
        <v>0.0</v>
      </c>
      <c r="AD1463" s="141">
        <v>0.0</v>
      </c>
      <c r="AE1463" s="80">
        <v>0.0</v>
      </c>
      <c r="AF1463" s="140">
        <v>319.0</v>
      </c>
      <c r="AG1463" s="109">
        <v>252.0</v>
      </c>
      <c r="AH1463" s="109">
        <v>15.0</v>
      </c>
      <c r="AI1463" s="141">
        <v>270.0</v>
      </c>
      <c r="AJ1463" s="80">
        <v>856.0</v>
      </c>
      <c r="AK1463" s="140">
        <v>0.0</v>
      </c>
      <c r="AL1463" s="109">
        <v>0.0</v>
      </c>
      <c r="AM1463" s="141">
        <v>0.0</v>
      </c>
      <c r="AN1463" s="80">
        <v>0.0</v>
      </c>
      <c r="AO1463" s="140">
        <v>0.0</v>
      </c>
      <c r="AP1463" s="109">
        <v>0.0</v>
      </c>
      <c r="AQ1463" s="109">
        <v>218.0</v>
      </c>
      <c r="AR1463" s="80">
        <v>218.0</v>
      </c>
      <c r="AS1463" s="110">
        <v>0.0</v>
      </c>
      <c r="AT1463" s="110">
        <v>0.0</v>
      </c>
      <c r="AU1463" s="110">
        <v>0.0</v>
      </c>
      <c r="AV1463" s="142">
        <v>0.0</v>
      </c>
      <c r="AW1463" s="80">
        <v>0.0</v>
      </c>
      <c r="AX1463" s="113">
        <v>1074.0</v>
      </c>
      <c r="AY1463" s="117">
        <v>841.0</v>
      </c>
      <c r="AZ1463" s="328">
        <v>233.0</v>
      </c>
      <c r="BA1463" s="315">
        <v>1.0</v>
      </c>
      <c r="BB1463" s="316">
        <v>1075.0</v>
      </c>
      <c r="BC1463" s="132" t="s">
        <v>178</v>
      </c>
      <c r="BD1463" s="132" t="s">
        <v>178</v>
      </c>
      <c r="BE1463" s="132" t="s">
        <v>178</v>
      </c>
      <c r="BF1463" s="83"/>
      <c r="BG1463" s="83">
        <v>1102453.0</v>
      </c>
      <c r="BH1463" s="112">
        <v>9.0</v>
      </c>
      <c r="BI1463" s="98" t="s">
        <v>162</v>
      </c>
      <c r="BJ1463" s="98" t="str">
        <f t="shared" si="1"/>
        <v>INTEGRAL</v>
      </c>
      <c r="BK1463" s="98" t="str">
        <f t="shared" si="2"/>
        <v>NÃO</v>
      </c>
    </row>
    <row r="1464" ht="15.75" customHeight="1">
      <c r="A1464" s="111" t="s">
        <v>1785</v>
      </c>
      <c r="B1464" s="83" t="s">
        <v>2021</v>
      </c>
      <c r="C1464" s="83" t="s">
        <v>68</v>
      </c>
      <c r="D1464" s="83">
        <v>1176364.0</v>
      </c>
      <c r="E1464" s="83"/>
      <c r="F1464" s="83">
        <v>2.9359635E7</v>
      </c>
      <c r="G1464" s="114" t="s">
        <v>12167</v>
      </c>
      <c r="H1464" s="91" t="s">
        <v>8030</v>
      </c>
      <c r="I1464" s="114" t="s">
        <v>149</v>
      </c>
      <c r="J1464" s="83" t="s">
        <v>150</v>
      </c>
      <c r="K1464" s="83" t="s">
        <v>151</v>
      </c>
      <c r="L1464" s="83" t="s">
        <v>230</v>
      </c>
      <c r="M1464" s="82" t="s">
        <v>12168</v>
      </c>
      <c r="N1464" s="82" t="s">
        <v>12169</v>
      </c>
      <c r="O1464" s="82" t="s">
        <v>12170</v>
      </c>
      <c r="P1464" s="82" t="s">
        <v>12171</v>
      </c>
      <c r="Q1464" s="82" t="s">
        <v>12172</v>
      </c>
      <c r="R1464" s="82" t="s">
        <v>12173</v>
      </c>
      <c r="S1464" s="82" t="s">
        <v>12174</v>
      </c>
      <c r="T1464" s="138">
        <v>14.0</v>
      </c>
      <c r="U1464" s="341">
        <v>14.0</v>
      </c>
      <c r="V1464" s="106">
        <v>0.0</v>
      </c>
      <c r="W1464" s="107">
        <v>0.0</v>
      </c>
      <c r="X1464" s="107">
        <v>0.0</v>
      </c>
      <c r="Y1464" s="107">
        <v>0.0</v>
      </c>
      <c r="Z1464" s="80">
        <v>0.0</v>
      </c>
      <c r="AA1464" s="140">
        <v>0.0</v>
      </c>
      <c r="AB1464" s="109">
        <v>0.0</v>
      </c>
      <c r="AC1464" s="109">
        <v>0.0</v>
      </c>
      <c r="AD1464" s="141">
        <v>0.0</v>
      </c>
      <c r="AE1464" s="80">
        <v>0.0</v>
      </c>
      <c r="AF1464" s="140">
        <v>580.0</v>
      </c>
      <c r="AG1464" s="109">
        <v>446.0</v>
      </c>
      <c r="AH1464" s="109">
        <v>0.0</v>
      </c>
      <c r="AI1464" s="141">
        <v>0.0</v>
      </c>
      <c r="AJ1464" s="80">
        <v>1026.0</v>
      </c>
      <c r="AK1464" s="140">
        <v>0.0</v>
      </c>
      <c r="AL1464" s="109">
        <v>0.0</v>
      </c>
      <c r="AM1464" s="141">
        <v>0.0</v>
      </c>
      <c r="AN1464" s="80">
        <v>0.0</v>
      </c>
      <c r="AO1464" s="140">
        <v>0.0</v>
      </c>
      <c r="AP1464" s="109">
        <v>0.0</v>
      </c>
      <c r="AQ1464" s="109">
        <v>337.0</v>
      </c>
      <c r="AR1464" s="80">
        <v>337.0</v>
      </c>
      <c r="AS1464" s="110">
        <v>0.0</v>
      </c>
      <c r="AT1464" s="110">
        <v>0.0</v>
      </c>
      <c r="AU1464" s="110">
        <v>0.0</v>
      </c>
      <c r="AV1464" s="142">
        <v>0.0</v>
      </c>
      <c r="AW1464" s="80">
        <v>0.0</v>
      </c>
      <c r="AX1464" s="113">
        <v>1363.0</v>
      </c>
      <c r="AY1464" s="117">
        <v>1026.0</v>
      </c>
      <c r="AZ1464" s="328">
        <v>337.0</v>
      </c>
      <c r="BA1464" s="315">
        <v>0.0</v>
      </c>
      <c r="BB1464" s="316">
        <v>1363.0</v>
      </c>
      <c r="BC1464" s="132" t="s">
        <v>178</v>
      </c>
      <c r="BD1464" s="132" t="s">
        <v>178</v>
      </c>
      <c r="BE1464" s="132" t="s">
        <v>178</v>
      </c>
      <c r="BF1464" s="123"/>
      <c r="BG1464" s="83">
        <v>1176364.0</v>
      </c>
      <c r="BH1464" s="112">
        <v>14.0</v>
      </c>
      <c r="BI1464" s="98" t="s">
        <v>155</v>
      </c>
      <c r="BJ1464" s="98" t="str">
        <f t="shared" si="1"/>
        <v>NÃO</v>
      </c>
      <c r="BK1464" s="98" t="str">
        <f t="shared" si="2"/>
        <v>NÃO</v>
      </c>
    </row>
    <row r="1465" ht="15.75" customHeight="1">
      <c r="A1465" s="111" t="s">
        <v>1785</v>
      </c>
      <c r="B1465" s="83" t="s">
        <v>2021</v>
      </c>
      <c r="C1465" s="83" t="s">
        <v>68</v>
      </c>
      <c r="D1465" s="83">
        <v>1110081.0</v>
      </c>
      <c r="E1465" s="606"/>
      <c r="F1465" s="83">
        <v>2.9178584E7</v>
      </c>
      <c r="G1465" s="114" t="s">
        <v>12176</v>
      </c>
      <c r="H1465" s="91" t="s">
        <v>8037</v>
      </c>
      <c r="I1465" s="114" t="s">
        <v>8039</v>
      </c>
      <c r="J1465" s="83" t="s">
        <v>150</v>
      </c>
      <c r="K1465" s="83" t="s">
        <v>151</v>
      </c>
      <c r="L1465" s="83" t="s">
        <v>152</v>
      </c>
      <c r="M1465" s="82" t="s">
        <v>12177</v>
      </c>
      <c r="N1465" s="82" t="s">
        <v>12178</v>
      </c>
      <c r="O1465" s="82" t="s">
        <v>12179</v>
      </c>
      <c r="P1465" s="82" t="s">
        <v>12180</v>
      </c>
      <c r="Q1465" s="82" t="s">
        <v>12181</v>
      </c>
      <c r="R1465" s="82" t="s">
        <v>12182</v>
      </c>
      <c r="S1465" s="82" t="s">
        <v>12183</v>
      </c>
      <c r="T1465" s="138">
        <v>7.0</v>
      </c>
      <c r="U1465" s="340">
        <v>7.0</v>
      </c>
      <c r="V1465" s="106">
        <v>0.0</v>
      </c>
      <c r="W1465" s="107">
        <v>0.0</v>
      </c>
      <c r="X1465" s="107">
        <v>0.0</v>
      </c>
      <c r="Y1465" s="107">
        <v>0.0</v>
      </c>
      <c r="Z1465" s="80">
        <v>0.0</v>
      </c>
      <c r="AA1465" s="140">
        <v>0.0</v>
      </c>
      <c r="AB1465" s="109">
        <v>0.0</v>
      </c>
      <c r="AC1465" s="109">
        <v>0.0</v>
      </c>
      <c r="AD1465" s="141">
        <v>0.0</v>
      </c>
      <c r="AE1465" s="80">
        <v>0.0</v>
      </c>
      <c r="AF1465" s="140">
        <v>240.0</v>
      </c>
      <c r="AG1465" s="109">
        <v>233.0</v>
      </c>
      <c r="AH1465" s="109">
        <v>0.0</v>
      </c>
      <c r="AI1465" s="141">
        <v>0.0</v>
      </c>
      <c r="AJ1465" s="80">
        <v>473.0</v>
      </c>
      <c r="AK1465" s="140">
        <v>0.0</v>
      </c>
      <c r="AL1465" s="109">
        <v>0.0</v>
      </c>
      <c r="AM1465" s="141">
        <v>0.0</v>
      </c>
      <c r="AN1465" s="80">
        <v>0.0</v>
      </c>
      <c r="AO1465" s="140">
        <v>0.0</v>
      </c>
      <c r="AP1465" s="109">
        <v>0.0</v>
      </c>
      <c r="AQ1465" s="109">
        <v>264.0</v>
      </c>
      <c r="AR1465" s="80">
        <v>264.0</v>
      </c>
      <c r="AS1465" s="110">
        <v>0.0</v>
      </c>
      <c r="AT1465" s="110">
        <v>0.0</v>
      </c>
      <c r="AU1465" s="110">
        <v>0.0</v>
      </c>
      <c r="AV1465" s="142">
        <v>0.0</v>
      </c>
      <c r="AW1465" s="80">
        <v>0.0</v>
      </c>
      <c r="AX1465" s="113">
        <v>737.0</v>
      </c>
      <c r="AY1465" s="117">
        <v>473.0</v>
      </c>
      <c r="AZ1465" s="328">
        <v>264.0</v>
      </c>
      <c r="BA1465" s="315">
        <v>63.0</v>
      </c>
      <c r="BB1465" s="316">
        <v>800.0</v>
      </c>
      <c r="BC1465" s="132" t="s">
        <v>178</v>
      </c>
      <c r="BD1465" s="132" t="s">
        <v>178</v>
      </c>
      <c r="BE1465" s="132" t="s">
        <v>178</v>
      </c>
      <c r="BF1465" s="156"/>
      <c r="BG1465" s="83">
        <v>1110081.0</v>
      </c>
      <c r="BH1465" s="112">
        <v>7.0</v>
      </c>
      <c r="BI1465" s="98" t="s">
        <v>155</v>
      </c>
      <c r="BJ1465" s="98" t="str">
        <f t="shared" si="1"/>
        <v>NÃO</v>
      </c>
      <c r="BK1465" s="98" t="str">
        <f t="shared" si="2"/>
        <v>NÃO</v>
      </c>
    </row>
    <row r="1466" ht="15.75" customHeight="1">
      <c r="A1466" s="111" t="s">
        <v>1785</v>
      </c>
      <c r="B1466" s="136" t="s">
        <v>2021</v>
      </c>
      <c r="C1466" s="136" t="s">
        <v>68</v>
      </c>
      <c r="D1466" s="136">
        <v>1102470.0</v>
      </c>
      <c r="E1466" s="136"/>
      <c r="F1466" s="136">
        <v>2.917855E7</v>
      </c>
      <c r="G1466" s="147" t="s">
        <v>8043</v>
      </c>
      <c r="H1466" s="160" t="s">
        <v>12184</v>
      </c>
      <c r="I1466" s="187" t="s">
        <v>8045</v>
      </c>
      <c r="J1466" s="136" t="s">
        <v>150</v>
      </c>
      <c r="K1466" s="136" t="s">
        <v>151</v>
      </c>
      <c r="L1466" s="136" t="s">
        <v>152</v>
      </c>
      <c r="M1466" s="196" t="s">
        <v>12185</v>
      </c>
      <c r="N1466" s="196" t="s">
        <v>12186</v>
      </c>
      <c r="O1466" s="196" t="s">
        <v>12187</v>
      </c>
      <c r="P1466" s="196" t="s">
        <v>12188</v>
      </c>
      <c r="Q1466" s="196" t="s">
        <v>12189</v>
      </c>
      <c r="R1466" s="196" t="s">
        <v>12190</v>
      </c>
      <c r="S1466" s="196" t="s">
        <v>12191</v>
      </c>
      <c r="T1466" s="607">
        <v>8.0</v>
      </c>
      <c r="U1466" s="343" t="s">
        <v>12192</v>
      </c>
      <c r="V1466" s="106">
        <v>0.0</v>
      </c>
      <c r="W1466" s="107">
        <v>0.0</v>
      </c>
      <c r="X1466" s="107">
        <v>0.0</v>
      </c>
      <c r="Y1466" s="107">
        <v>0.0</v>
      </c>
      <c r="Z1466" s="80">
        <v>0.0</v>
      </c>
      <c r="AA1466" s="200">
        <v>0.0</v>
      </c>
      <c r="AB1466" s="201">
        <v>0.0</v>
      </c>
      <c r="AC1466" s="201">
        <v>0.0</v>
      </c>
      <c r="AD1466" s="202">
        <v>0.0</v>
      </c>
      <c r="AE1466" s="80">
        <v>0.0</v>
      </c>
      <c r="AF1466" s="200">
        <v>255.0</v>
      </c>
      <c r="AG1466" s="201">
        <v>98.0</v>
      </c>
      <c r="AH1466" s="201">
        <v>36.0</v>
      </c>
      <c r="AI1466" s="202">
        <v>260.0</v>
      </c>
      <c r="AJ1466" s="80">
        <v>649.0</v>
      </c>
      <c r="AK1466" s="200">
        <v>0.0</v>
      </c>
      <c r="AL1466" s="201">
        <v>0.0</v>
      </c>
      <c r="AM1466" s="202">
        <v>0.0</v>
      </c>
      <c r="AN1466" s="80">
        <v>0.0</v>
      </c>
      <c r="AO1466" s="200">
        <v>0.0</v>
      </c>
      <c r="AP1466" s="201">
        <v>0.0</v>
      </c>
      <c r="AQ1466" s="201">
        <v>147.0</v>
      </c>
      <c r="AR1466" s="80">
        <v>147.0</v>
      </c>
      <c r="AS1466" s="201">
        <v>0.0</v>
      </c>
      <c r="AT1466" s="201">
        <v>0.0</v>
      </c>
      <c r="AU1466" s="201">
        <v>0.0</v>
      </c>
      <c r="AV1466" s="203">
        <v>0.0</v>
      </c>
      <c r="AW1466" s="80">
        <v>0.0</v>
      </c>
      <c r="AX1466" s="113">
        <v>796.0</v>
      </c>
      <c r="AY1466" s="117">
        <v>613.0</v>
      </c>
      <c r="AZ1466" s="328">
        <v>183.0</v>
      </c>
      <c r="BA1466" s="315">
        <v>0.0</v>
      </c>
      <c r="BB1466" s="316">
        <v>796.0</v>
      </c>
      <c r="BC1466" s="205" t="s">
        <v>178</v>
      </c>
      <c r="BD1466" s="205" t="s">
        <v>178</v>
      </c>
      <c r="BE1466" s="205" t="s">
        <v>178</v>
      </c>
      <c r="BF1466" s="608" t="s">
        <v>12193</v>
      </c>
      <c r="BG1466" s="136">
        <v>1102470.0</v>
      </c>
      <c r="BH1466" s="195">
        <v>7.0</v>
      </c>
      <c r="BI1466" s="115" t="s">
        <v>162</v>
      </c>
      <c r="BJ1466" s="98" t="str">
        <f t="shared" si="1"/>
        <v>INTEGRAL</v>
      </c>
      <c r="BK1466" s="98" t="str">
        <f t="shared" si="2"/>
        <v>NÃO</v>
      </c>
    </row>
    <row r="1467" ht="15.75" customHeight="1">
      <c r="A1467" s="111" t="s">
        <v>1785</v>
      </c>
      <c r="B1467" s="83" t="s">
        <v>2021</v>
      </c>
      <c r="C1467" s="83" t="s">
        <v>68</v>
      </c>
      <c r="D1467" s="83">
        <v>1100809.0</v>
      </c>
      <c r="E1467" s="83"/>
      <c r="F1467" s="83">
        <v>2.9178231E7</v>
      </c>
      <c r="G1467" s="185" t="s">
        <v>12194</v>
      </c>
      <c r="H1467" s="91" t="s">
        <v>8056</v>
      </c>
      <c r="I1467" s="114" t="s">
        <v>149</v>
      </c>
      <c r="J1467" s="83" t="s">
        <v>150</v>
      </c>
      <c r="K1467" s="83" t="s">
        <v>151</v>
      </c>
      <c r="L1467" s="83" t="s">
        <v>230</v>
      </c>
      <c r="M1467" s="82" t="s">
        <v>12195</v>
      </c>
      <c r="N1467" s="82" t="s">
        <v>12196</v>
      </c>
      <c r="O1467" s="82" t="s">
        <v>12197</v>
      </c>
      <c r="P1467" s="82" t="s">
        <v>12198</v>
      </c>
      <c r="Q1467" s="82"/>
      <c r="R1467" s="82"/>
      <c r="S1467" s="82" t="s">
        <v>12199</v>
      </c>
      <c r="T1467" s="138">
        <v>19.0</v>
      </c>
      <c r="U1467" s="341">
        <v>17.0</v>
      </c>
      <c r="V1467" s="106">
        <v>0.0</v>
      </c>
      <c r="W1467" s="107">
        <v>0.0</v>
      </c>
      <c r="X1467" s="107">
        <v>0.0</v>
      </c>
      <c r="Y1467" s="107">
        <v>0.0</v>
      </c>
      <c r="Z1467" s="80">
        <v>0.0</v>
      </c>
      <c r="AA1467" s="140">
        <v>0.0</v>
      </c>
      <c r="AB1467" s="109">
        <v>0.0</v>
      </c>
      <c r="AC1467" s="109">
        <v>0.0</v>
      </c>
      <c r="AD1467" s="141">
        <v>0.0</v>
      </c>
      <c r="AE1467" s="80">
        <v>0.0</v>
      </c>
      <c r="AF1467" s="140">
        <v>521.0</v>
      </c>
      <c r="AG1467" s="109">
        <v>265.0</v>
      </c>
      <c r="AH1467" s="109">
        <v>0.0</v>
      </c>
      <c r="AI1467" s="141">
        <v>9.0</v>
      </c>
      <c r="AJ1467" s="80">
        <v>795.0</v>
      </c>
      <c r="AK1467" s="140">
        <v>0.0</v>
      </c>
      <c r="AL1467" s="109">
        <v>0.0</v>
      </c>
      <c r="AM1467" s="141">
        <v>0.0</v>
      </c>
      <c r="AN1467" s="80">
        <v>0.0</v>
      </c>
      <c r="AO1467" s="140">
        <v>0.0</v>
      </c>
      <c r="AP1467" s="109">
        <v>0.0</v>
      </c>
      <c r="AQ1467" s="109">
        <v>134.0</v>
      </c>
      <c r="AR1467" s="80">
        <v>134.0</v>
      </c>
      <c r="AS1467" s="110">
        <v>0.0</v>
      </c>
      <c r="AT1467" s="110">
        <v>0.0</v>
      </c>
      <c r="AU1467" s="110">
        <v>0.0</v>
      </c>
      <c r="AV1467" s="142">
        <v>0.0</v>
      </c>
      <c r="AW1467" s="80">
        <v>0.0</v>
      </c>
      <c r="AX1467" s="113">
        <v>929.0</v>
      </c>
      <c r="AY1467" s="117">
        <v>795.0</v>
      </c>
      <c r="AZ1467" s="328">
        <v>134.0</v>
      </c>
      <c r="BA1467" s="315">
        <v>0.0</v>
      </c>
      <c r="BB1467" s="316">
        <v>929.0</v>
      </c>
      <c r="BC1467" s="132" t="s">
        <v>178</v>
      </c>
      <c r="BD1467" s="132" t="s">
        <v>178</v>
      </c>
      <c r="BE1467" s="132" t="s">
        <v>178</v>
      </c>
      <c r="BF1467" s="156"/>
      <c r="BG1467" s="83">
        <v>1100809.0</v>
      </c>
      <c r="BH1467" s="112">
        <v>17.0</v>
      </c>
      <c r="BI1467" s="98" t="s">
        <v>155</v>
      </c>
      <c r="BJ1467" s="98" t="str">
        <f t="shared" si="1"/>
        <v>INTEGRAL</v>
      </c>
      <c r="BK1467" s="98" t="str">
        <f t="shared" si="2"/>
        <v>NÃO</v>
      </c>
    </row>
    <row r="1468" ht="15.75" customHeight="1">
      <c r="A1468" s="111" t="s">
        <v>1785</v>
      </c>
      <c r="B1468" s="83" t="s">
        <v>2021</v>
      </c>
      <c r="C1468" s="83" t="s">
        <v>68</v>
      </c>
      <c r="D1468" s="83">
        <v>1100477.0</v>
      </c>
      <c r="E1468" s="83"/>
      <c r="F1468" s="83">
        <v>2.9178487E7</v>
      </c>
      <c r="G1468" s="185" t="s">
        <v>12200</v>
      </c>
      <c r="H1468" s="91" t="s">
        <v>8059</v>
      </c>
      <c r="I1468" s="114" t="s">
        <v>149</v>
      </c>
      <c r="J1468" s="83" t="s">
        <v>150</v>
      </c>
      <c r="K1468" s="83" t="s">
        <v>151</v>
      </c>
      <c r="L1468" s="82" t="s">
        <v>230</v>
      </c>
      <c r="M1468" s="82" t="s">
        <v>12201</v>
      </c>
      <c r="N1468" s="82" t="s">
        <v>12202</v>
      </c>
      <c r="O1468" s="82" t="s">
        <v>12203</v>
      </c>
      <c r="P1468" s="82" t="s">
        <v>12204</v>
      </c>
      <c r="Q1468" s="82" t="s">
        <v>12205</v>
      </c>
      <c r="R1468" s="82" t="s">
        <v>12206</v>
      </c>
      <c r="S1468" s="82" t="s">
        <v>12207</v>
      </c>
      <c r="T1468" s="138">
        <v>14.0</v>
      </c>
      <c r="U1468" s="352" t="s">
        <v>12208</v>
      </c>
      <c r="V1468" s="106">
        <v>0.0</v>
      </c>
      <c r="W1468" s="107">
        <v>0.0</v>
      </c>
      <c r="X1468" s="107">
        <v>0.0</v>
      </c>
      <c r="Y1468" s="107">
        <v>0.0</v>
      </c>
      <c r="Z1468" s="80">
        <v>0.0</v>
      </c>
      <c r="AA1468" s="140">
        <v>0.0</v>
      </c>
      <c r="AB1468" s="109">
        <v>0.0</v>
      </c>
      <c r="AC1468" s="109">
        <v>0.0</v>
      </c>
      <c r="AD1468" s="141">
        <v>0.0</v>
      </c>
      <c r="AE1468" s="80">
        <v>0.0</v>
      </c>
      <c r="AF1468" s="140">
        <v>486.0</v>
      </c>
      <c r="AG1468" s="109">
        <v>144.0</v>
      </c>
      <c r="AH1468" s="109">
        <v>46.0</v>
      </c>
      <c r="AI1468" s="141">
        <v>0.0</v>
      </c>
      <c r="AJ1468" s="80">
        <v>676.0</v>
      </c>
      <c r="AK1468" s="140">
        <v>0.0</v>
      </c>
      <c r="AL1468" s="109">
        <v>0.0</v>
      </c>
      <c r="AM1468" s="141">
        <v>0.0</v>
      </c>
      <c r="AN1468" s="80">
        <v>0.0</v>
      </c>
      <c r="AO1468" s="140">
        <v>0.0</v>
      </c>
      <c r="AP1468" s="109">
        <v>0.0</v>
      </c>
      <c r="AQ1468" s="109">
        <v>129.0</v>
      </c>
      <c r="AR1468" s="80">
        <v>129.0</v>
      </c>
      <c r="AS1468" s="110">
        <v>0.0</v>
      </c>
      <c r="AT1468" s="110">
        <v>0.0</v>
      </c>
      <c r="AU1468" s="110">
        <v>0.0</v>
      </c>
      <c r="AV1468" s="142">
        <v>0.0</v>
      </c>
      <c r="AW1468" s="80">
        <v>0.0</v>
      </c>
      <c r="AX1468" s="113">
        <v>805.0</v>
      </c>
      <c r="AY1468" s="117">
        <v>630.0</v>
      </c>
      <c r="AZ1468" s="328">
        <v>175.0</v>
      </c>
      <c r="BA1468" s="315">
        <v>6.0</v>
      </c>
      <c r="BB1468" s="316">
        <v>811.0</v>
      </c>
      <c r="BC1468" s="132" t="s">
        <v>178</v>
      </c>
      <c r="BD1468" s="132" t="s">
        <v>178</v>
      </c>
      <c r="BE1468" s="132" t="s">
        <v>178</v>
      </c>
      <c r="BF1468" s="123"/>
      <c r="BG1468" s="83">
        <v>1100477.0</v>
      </c>
      <c r="BH1468" s="98">
        <v>13.0</v>
      </c>
      <c r="BI1468" s="98" t="s">
        <v>155</v>
      </c>
      <c r="BJ1468" s="98" t="str">
        <f t="shared" si="1"/>
        <v>NÃO</v>
      </c>
      <c r="BK1468" s="98" t="str">
        <f t="shared" si="2"/>
        <v>NÃO</v>
      </c>
    </row>
    <row r="1469" ht="15.75" customHeight="1">
      <c r="A1469" s="111" t="s">
        <v>1785</v>
      </c>
      <c r="B1469" s="83" t="s">
        <v>2021</v>
      </c>
      <c r="C1469" s="83" t="s">
        <v>68</v>
      </c>
      <c r="D1469" s="83">
        <v>1100256.0</v>
      </c>
      <c r="E1469" s="83"/>
      <c r="F1469" s="83">
        <v>2.917832E7</v>
      </c>
      <c r="G1469" s="185" t="s">
        <v>12209</v>
      </c>
      <c r="H1469" s="91" t="s">
        <v>8069</v>
      </c>
      <c r="I1469" s="114" t="s">
        <v>8039</v>
      </c>
      <c r="J1469" s="83" t="s">
        <v>150</v>
      </c>
      <c r="K1469" s="83" t="s">
        <v>151</v>
      </c>
      <c r="L1469" s="83" t="s">
        <v>230</v>
      </c>
      <c r="M1469" s="82" t="s">
        <v>12210</v>
      </c>
      <c r="N1469" s="82" t="s">
        <v>12211</v>
      </c>
      <c r="O1469" s="82" t="s">
        <v>12212</v>
      </c>
      <c r="P1469" s="82" t="s">
        <v>12213</v>
      </c>
      <c r="Q1469" s="82" t="s">
        <v>12214</v>
      </c>
      <c r="R1469" s="82" t="s">
        <v>12215</v>
      </c>
      <c r="S1469" s="82" t="s">
        <v>12216</v>
      </c>
      <c r="T1469" s="138">
        <v>16.0</v>
      </c>
      <c r="U1469" s="331" t="s">
        <v>12217</v>
      </c>
      <c r="V1469" s="106">
        <v>0.0</v>
      </c>
      <c r="W1469" s="107">
        <v>0.0</v>
      </c>
      <c r="X1469" s="107">
        <v>0.0</v>
      </c>
      <c r="Y1469" s="107">
        <v>0.0</v>
      </c>
      <c r="Z1469" s="80">
        <v>0.0</v>
      </c>
      <c r="AA1469" s="140">
        <v>0.0</v>
      </c>
      <c r="AB1469" s="109">
        <v>0.0</v>
      </c>
      <c r="AC1469" s="109">
        <v>0.0</v>
      </c>
      <c r="AD1469" s="141">
        <v>0.0</v>
      </c>
      <c r="AE1469" s="80">
        <v>0.0</v>
      </c>
      <c r="AF1469" s="140">
        <v>622.0</v>
      </c>
      <c r="AG1469" s="109">
        <v>591.0</v>
      </c>
      <c r="AH1469" s="109">
        <v>44.0</v>
      </c>
      <c r="AI1469" s="141">
        <v>0.0</v>
      </c>
      <c r="AJ1469" s="80">
        <v>1257.0</v>
      </c>
      <c r="AK1469" s="140">
        <v>0.0</v>
      </c>
      <c r="AL1469" s="109">
        <v>0.0</v>
      </c>
      <c r="AM1469" s="141">
        <v>0.0</v>
      </c>
      <c r="AN1469" s="80">
        <v>0.0</v>
      </c>
      <c r="AO1469" s="140">
        <v>0.0</v>
      </c>
      <c r="AP1469" s="109">
        <v>0.0</v>
      </c>
      <c r="AQ1469" s="109">
        <v>312.0</v>
      </c>
      <c r="AR1469" s="80">
        <v>312.0</v>
      </c>
      <c r="AS1469" s="110">
        <v>0.0</v>
      </c>
      <c r="AT1469" s="110">
        <v>0.0</v>
      </c>
      <c r="AU1469" s="110">
        <v>0.0</v>
      </c>
      <c r="AV1469" s="142">
        <v>0.0</v>
      </c>
      <c r="AW1469" s="80">
        <v>0.0</v>
      </c>
      <c r="AX1469" s="113">
        <v>1569.0</v>
      </c>
      <c r="AY1469" s="117">
        <v>1213.0</v>
      </c>
      <c r="AZ1469" s="328">
        <v>356.0</v>
      </c>
      <c r="BA1469" s="315">
        <v>0.0</v>
      </c>
      <c r="BB1469" s="316">
        <v>1569.0</v>
      </c>
      <c r="BC1469" s="132" t="s">
        <v>178</v>
      </c>
      <c r="BD1469" s="132" t="s">
        <v>178</v>
      </c>
      <c r="BE1469" s="132" t="s">
        <v>178</v>
      </c>
      <c r="BF1469" s="156"/>
      <c r="BG1469" s="83">
        <v>1100256.0</v>
      </c>
      <c r="BH1469" s="112">
        <v>15.0</v>
      </c>
      <c r="BI1469" s="98" t="s">
        <v>155</v>
      </c>
      <c r="BJ1469" s="98" t="str">
        <f t="shared" si="1"/>
        <v>NÃO</v>
      </c>
      <c r="BK1469" s="98" t="str">
        <f t="shared" si="2"/>
        <v>NÃO</v>
      </c>
    </row>
    <row r="1470" ht="15.75" customHeight="1">
      <c r="A1470" s="111" t="s">
        <v>1785</v>
      </c>
      <c r="B1470" s="83" t="s">
        <v>2021</v>
      </c>
      <c r="C1470" s="83" t="s">
        <v>68</v>
      </c>
      <c r="D1470" s="83">
        <v>1178431.0</v>
      </c>
      <c r="E1470" s="83"/>
      <c r="F1470" s="83">
        <v>2.9398673E7</v>
      </c>
      <c r="G1470" s="185" t="s">
        <v>8074</v>
      </c>
      <c r="H1470" s="91" t="s">
        <v>8076</v>
      </c>
      <c r="I1470" s="114" t="s">
        <v>149</v>
      </c>
      <c r="J1470" s="83" t="s">
        <v>150</v>
      </c>
      <c r="K1470" s="83" t="s">
        <v>151</v>
      </c>
      <c r="L1470" s="83" t="s">
        <v>230</v>
      </c>
      <c r="M1470" s="82" t="s">
        <v>12218</v>
      </c>
      <c r="N1470" s="82" t="s">
        <v>12219</v>
      </c>
      <c r="O1470" s="82" t="s">
        <v>12220</v>
      </c>
      <c r="P1470" s="82" t="s">
        <v>12221</v>
      </c>
      <c r="Q1470" s="82" t="s">
        <v>12222</v>
      </c>
      <c r="R1470" s="82" t="s">
        <v>12223</v>
      </c>
      <c r="S1470" s="82" t="s">
        <v>12224</v>
      </c>
      <c r="T1470" s="138">
        <v>14.0</v>
      </c>
      <c r="U1470" s="331">
        <v>24.0</v>
      </c>
      <c r="V1470" s="106">
        <v>0.0</v>
      </c>
      <c r="W1470" s="107">
        <v>0.0</v>
      </c>
      <c r="X1470" s="107">
        <v>0.0</v>
      </c>
      <c r="Y1470" s="107">
        <v>0.0</v>
      </c>
      <c r="Z1470" s="80">
        <v>0.0</v>
      </c>
      <c r="AA1470" s="140">
        <v>0.0</v>
      </c>
      <c r="AB1470" s="109">
        <v>0.0</v>
      </c>
      <c r="AC1470" s="109">
        <v>0.0</v>
      </c>
      <c r="AD1470" s="141">
        <v>0.0</v>
      </c>
      <c r="AE1470" s="80">
        <v>0.0</v>
      </c>
      <c r="AF1470" s="140">
        <v>0.0</v>
      </c>
      <c r="AG1470" s="109">
        <v>0.0</v>
      </c>
      <c r="AH1470" s="109">
        <v>0.0</v>
      </c>
      <c r="AI1470" s="141">
        <v>0.0</v>
      </c>
      <c r="AJ1470" s="80">
        <v>0.0</v>
      </c>
      <c r="AK1470" s="140">
        <v>0.0</v>
      </c>
      <c r="AL1470" s="109">
        <v>0.0</v>
      </c>
      <c r="AM1470" s="141">
        <v>0.0</v>
      </c>
      <c r="AN1470" s="80">
        <v>0.0</v>
      </c>
      <c r="AO1470" s="140">
        <v>0.0</v>
      </c>
      <c r="AP1470" s="109">
        <v>0.0</v>
      </c>
      <c r="AQ1470" s="109">
        <v>0.0</v>
      </c>
      <c r="AR1470" s="80">
        <v>0.0</v>
      </c>
      <c r="AS1470" s="110">
        <v>735.0</v>
      </c>
      <c r="AT1470" s="110">
        <v>724.0</v>
      </c>
      <c r="AU1470" s="110">
        <v>170.0</v>
      </c>
      <c r="AV1470" s="142">
        <v>0.0</v>
      </c>
      <c r="AW1470" s="80">
        <v>1629.0</v>
      </c>
      <c r="AX1470" s="113">
        <v>1629.0</v>
      </c>
      <c r="AY1470" s="117">
        <v>1459.0</v>
      </c>
      <c r="AZ1470" s="328">
        <v>170.0</v>
      </c>
      <c r="BA1470" s="315">
        <v>0.0</v>
      </c>
      <c r="BB1470" s="316">
        <v>1629.0</v>
      </c>
      <c r="BC1470" s="132" t="s">
        <v>178</v>
      </c>
      <c r="BD1470" s="132" t="s">
        <v>779</v>
      </c>
      <c r="BE1470" s="132" t="s">
        <v>178</v>
      </c>
      <c r="BF1470" s="123"/>
      <c r="BG1470" s="83">
        <v>1178431.0</v>
      </c>
      <c r="BH1470" s="112">
        <v>24.0</v>
      </c>
      <c r="BI1470" s="98" t="s">
        <v>162</v>
      </c>
      <c r="BJ1470" s="98" t="str">
        <f t="shared" si="1"/>
        <v>NÃO</v>
      </c>
      <c r="BK1470" s="98" t="str">
        <f t="shared" si="2"/>
        <v>PROFISSIONAL</v>
      </c>
    </row>
    <row r="1471" ht="15.75" customHeight="1">
      <c r="A1471" s="111" t="s">
        <v>1785</v>
      </c>
      <c r="B1471" s="83" t="s">
        <v>2021</v>
      </c>
      <c r="C1471" s="83" t="s">
        <v>164</v>
      </c>
      <c r="D1471" s="83">
        <v>1100477.0</v>
      </c>
      <c r="E1471" s="83">
        <v>1178599.0</v>
      </c>
      <c r="F1471" s="83"/>
      <c r="G1471" s="513" t="s">
        <v>8079</v>
      </c>
      <c r="H1471" s="91" t="s">
        <v>8080</v>
      </c>
      <c r="I1471" s="187" t="s">
        <v>149</v>
      </c>
      <c r="J1471" s="136" t="s">
        <v>150</v>
      </c>
      <c r="K1471" s="83" t="s">
        <v>151</v>
      </c>
      <c r="L1471" s="83" t="s">
        <v>169</v>
      </c>
      <c r="M1471" s="82" t="s">
        <v>12201</v>
      </c>
      <c r="N1471" s="82" t="s">
        <v>12202</v>
      </c>
      <c r="O1471" s="82" t="s">
        <v>12203</v>
      </c>
      <c r="P1471" s="82" t="s">
        <v>12204</v>
      </c>
      <c r="Q1471" s="82" t="s">
        <v>12205</v>
      </c>
      <c r="R1471" s="82" t="s">
        <v>12206</v>
      </c>
      <c r="S1471" s="82" t="s">
        <v>12207</v>
      </c>
      <c r="T1471" s="138">
        <v>3.0</v>
      </c>
      <c r="U1471" s="389">
        <v>1.0</v>
      </c>
      <c r="V1471" s="106">
        <v>0.0</v>
      </c>
      <c r="W1471" s="107">
        <v>0.0</v>
      </c>
      <c r="X1471" s="107">
        <v>0.0</v>
      </c>
      <c r="Y1471" s="107">
        <v>0.0</v>
      </c>
      <c r="Z1471" s="80">
        <v>0.0</v>
      </c>
      <c r="AA1471" s="140">
        <v>0.0</v>
      </c>
      <c r="AB1471" s="109">
        <v>0.0</v>
      </c>
      <c r="AC1471" s="109">
        <v>0.0</v>
      </c>
      <c r="AD1471" s="141">
        <v>0.0</v>
      </c>
      <c r="AE1471" s="80">
        <v>0.0</v>
      </c>
      <c r="AF1471" s="140">
        <v>0.0</v>
      </c>
      <c r="AG1471" s="109">
        <v>0.0</v>
      </c>
      <c r="AH1471" s="109">
        <v>0.0</v>
      </c>
      <c r="AI1471" s="141">
        <v>0.0</v>
      </c>
      <c r="AJ1471" s="80">
        <v>0.0</v>
      </c>
      <c r="AK1471" s="140">
        <v>4.0</v>
      </c>
      <c r="AL1471" s="109">
        <v>3.0</v>
      </c>
      <c r="AM1471" s="141">
        <v>0.0</v>
      </c>
      <c r="AN1471" s="80">
        <v>7.0</v>
      </c>
      <c r="AO1471" s="140">
        <v>0.0</v>
      </c>
      <c r="AP1471" s="109">
        <v>0.0</v>
      </c>
      <c r="AQ1471" s="109">
        <v>0.0</v>
      </c>
      <c r="AR1471" s="80">
        <v>0.0</v>
      </c>
      <c r="AS1471" s="110">
        <v>0.0</v>
      </c>
      <c r="AT1471" s="110">
        <v>0.0</v>
      </c>
      <c r="AU1471" s="110">
        <v>0.0</v>
      </c>
      <c r="AV1471" s="142">
        <v>0.0</v>
      </c>
      <c r="AW1471" s="80">
        <v>0.0</v>
      </c>
      <c r="AX1471" s="113">
        <v>7.0</v>
      </c>
      <c r="AY1471" s="117">
        <v>7.0</v>
      </c>
      <c r="AZ1471" s="328">
        <v>0.0</v>
      </c>
      <c r="BA1471" s="315">
        <v>0.0</v>
      </c>
      <c r="BB1471" s="316">
        <v>7.0</v>
      </c>
      <c r="BC1471" s="132" t="s">
        <v>563</v>
      </c>
      <c r="BD1471" s="132" t="s">
        <v>178</v>
      </c>
      <c r="BE1471" s="132" t="s">
        <v>178</v>
      </c>
      <c r="BF1471" s="156"/>
      <c r="BG1471" s="83">
        <v>1178599.0</v>
      </c>
      <c r="BH1471" s="112">
        <v>1.0</v>
      </c>
      <c r="BI1471" s="98" t="s">
        <v>155</v>
      </c>
      <c r="BJ1471" s="98" t="str">
        <f t="shared" si="1"/>
        <v>NÃO</v>
      </c>
      <c r="BK1471" s="98" t="str">
        <f t="shared" si="2"/>
        <v>NÃO</v>
      </c>
    </row>
    <row r="1472" ht="15.75" customHeight="1">
      <c r="A1472" s="111" t="s">
        <v>1785</v>
      </c>
      <c r="B1472" s="83" t="s">
        <v>8086</v>
      </c>
      <c r="C1472" s="83" t="s">
        <v>68</v>
      </c>
      <c r="D1472" s="83">
        <v>1101147.0</v>
      </c>
      <c r="E1472" s="83"/>
      <c r="F1472" s="83">
        <v>2.917922E7</v>
      </c>
      <c r="G1472" s="241" t="s">
        <v>8089</v>
      </c>
      <c r="H1472" s="91" t="s">
        <v>8090</v>
      </c>
      <c r="I1472" s="187" t="s">
        <v>149</v>
      </c>
      <c r="J1472" s="136" t="s">
        <v>150</v>
      </c>
      <c r="K1472" s="83" t="s">
        <v>151</v>
      </c>
      <c r="L1472" s="83" t="s">
        <v>230</v>
      </c>
      <c r="M1472" s="82" t="s">
        <v>12226</v>
      </c>
      <c r="N1472" s="82" t="s">
        <v>12227</v>
      </c>
      <c r="O1472" s="82" t="s">
        <v>12228</v>
      </c>
      <c r="P1472" s="82" t="s">
        <v>12229</v>
      </c>
      <c r="Q1472" s="82"/>
      <c r="R1472" s="82"/>
      <c r="S1472" s="82" t="s">
        <v>12230</v>
      </c>
      <c r="T1472" s="138">
        <v>11.0</v>
      </c>
      <c r="U1472" s="331" t="s">
        <v>6322</v>
      </c>
      <c r="V1472" s="106">
        <v>0.0</v>
      </c>
      <c r="W1472" s="107">
        <v>0.0</v>
      </c>
      <c r="X1472" s="107">
        <v>0.0</v>
      </c>
      <c r="Y1472" s="107">
        <v>0.0</v>
      </c>
      <c r="Z1472" s="80">
        <v>0.0</v>
      </c>
      <c r="AA1472" s="140">
        <v>0.0</v>
      </c>
      <c r="AB1472" s="109">
        <v>0.0</v>
      </c>
      <c r="AC1472" s="109">
        <v>0.0</v>
      </c>
      <c r="AD1472" s="141">
        <v>0.0</v>
      </c>
      <c r="AE1472" s="80">
        <v>0.0</v>
      </c>
      <c r="AF1472" s="140">
        <v>144.0</v>
      </c>
      <c r="AG1472" s="109">
        <v>173.0</v>
      </c>
      <c r="AH1472" s="109">
        <v>0.0</v>
      </c>
      <c r="AI1472" s="141">
        <v>97.0</v>
      </c>
      <c r="AJ1472" s="80">
        <v>414.0</v>
      </c>
      <c r="AK1472" s="140">
        <v>0.0</v>
      </c>
      <c r="AL1472" s="109">
        <v>0.0</v>
      </c>
      <c r="AM1472" s="141">
        <v>0.0</v>
      </c>
      <c r="AN1472" s="80">
        <v>0.0</v>
      </c>
      <c r="AO1472" s="140">
        <v>0.0</v>
      </c>
      <c r="AP1472" s="109">
        <v>0.0</v>
      </c>
      <c r="AQ1472" s="109">
        <v>144.0</v>
      </c>
      <c r="AR1472" s="80">
        <v>144.0</v>
      </c>
      <c r="AS1472" s="110">
        <v>108.0</v>
      </c>
      <c r="AT1472" s="110">
        <v>89.0</v>
      </c>
      <c r="AU1472" s="110">
        <v>0.0</v>
      </c>
      <c r="AV1472" s="142">
        <v>0.0</v>
      </c>
      <c r="AW1472" s="80">
        <v>197.0</v>
      </c>
      <c r="AX1472" s="113">
        <v>755.0</v>
      </c>
      <c r="AY1472" s="117">
        <v>611.0</v>
      </c>
      <c r="AZ1472" s="328">
        <v>144.0</v>
      </c>
      <c r="BA1472" s="315">
        <v>3.0</v>
      </c>
      <c r="BB1472" s="316">
        <v>758.0</v>
      </c>
      <c r="BC1472" s="132" t="s">
        <v>178</v>
      </c>
      <c r="BD1472" s="132" t="s">
        <v>178</v>
      </c>
      <c r="BE1472" s="132" t="s">
        <v>178</v>
      </c>
      <c r="BF1472" s="123"/>
      <c r="BG1472" s="83">
        <v>1101147.0</v>
      </c>
      <c r="BH1472" s="112">
        <v>11.0</v>
      </c>
      <c r="BI1472" s="98" t="s">
        <v>155</v>
      </c>
      <c r="BJ1472" s="98" t="str">
        <f t="shared" si="1"/>
        <v>INTEGRAL</v>
      </c>
      <c r="BK1472" s="98" t="str">
        <f t="shared" si="2"/>
        <v>PROFISSIONAL</v>
      </c>
    </row>
    <row r="1473" ht="15.75" customHeight="1">
      <c r="A1473" s="111" t="s">
        <v>1785</v>
      </c>
      <c r="B1473" s="83" t="s">
        <v>2378</v>
      </c>
      <c r="C1473" s="83" t="s">
        <v>68</v>
      </c>
      <c r="D1473" s="83">
        <v>1134177.0</v>
      </c>
      <c r="E1473" s="83"/>
      <c r="F1473" s="83">
        <v>2.9159644E7</v>
      </c>
      <c r="G1473" s="185" t="s">
        <v>2379</v>
      </c>
      <c r="H1473" s="91" t="s">
        <v>12231</v>
      </c>
      <c r="I1473" s="114" t="s">
        <v>149</v>
      </c>
      <c r="J1473" s="83" t="s">
        <v>150</v>
      </c>
      <c r="K1473" s="83" t="s">
        <v>151</v>
      </c>
      <c r="L1473" s="83" t="s">
        <v>152</v>
      </c>
      <c r="M1473" s="82" t="s">
        <v>12232</v>
      </c>
      <c r="N1473" s="82" t="s">
        <v>12233</v>
      </c>
      <c r="O1473" s="82" t="s">
        <v>12234</v>
      </c>
      <c r="P1473" s="82" t="s">
        <v>12235</v>
      </c>
      <c r="Q1473" s="82"/>
      <c r="R1473" s="82"/>
      <c r="S1473" s="82"/>
      <c r="T1473" s="138">
        <v>6.0</v>
      </c>
      <c r="U1473" s="389">
        <v>6.0</v>
      </c>
      <c r="V1473" s="106">
        <v>0.0</v>
      </c>
      <c r="W1473" s="107">
        <v>0.0</v>
      </c>
      <c r="X1473" s="107">
        <v>0.0</v>
      </c>
      <c r="Y1473" s="107">
        <v>0.0</v>
      </c>
      <c r="Z1473" s="80">
        <v>0.0</v>
      </c>
      <c r="AA1473" s="140">
        <v>0.0</v>
      </c>
      <c r="AB1473" s="109">
        <v>0.0</v>
      </c>
      <c r="AC1473" s="109">
        <v>0.0</v>
      </c>
      <c r="AD1473" s="141">
        <v>0.0</v>
      </c>
      <c r="AE1473" s="80">
        <v>0.0</v>
      </c>
      <c r="AF1473" s="140">
        <v>261.0</v>
      </c>
      <c r="AG1473" s="109">
        <v>213.0</v>
      </c>
      <c r="AH1473" s="109">
        <v>46.0</v>
      </c>
      <c r="AI1473" s="141">
        <v>0.0</v>
      </c>
      <c r="AJ1473" s="80">
        <v>520.0</v>
      </c>
      <c r="AK1473" s="140">
        <v>0.0</v>
      </c>
      <c r="AL1473" s="109">
        <v>0.0</v>
      </c>
      <c r="AM1473" s="141">
        <v>0.0</v>
      </c>
      <c r="AN1473" s="80">
        <v>0.0</v>
      </c>
      <c r="AO1473" s="140">
        <v>0.0</v>
      </c>
      <c r="AP1473" s="109">
        <v>0.0</v>
      </c>
      <c r="AQ1473" s="109">
        <v>65.0</v>
      </c>
      <c r="AR1473" s="80">
        <v>65.0</v>
      </c>
      <c r="AS1473" s="110">
        <v>0.0</v>
      </c>
      <c r="AT1473" s="110">
        <v>0.0</v>
      </c>
      <c r="AU1473" s="110">
        <v>0.0</v>
      </c>
      <c r="AV1473" s="142">
        <v>0.0</v>
      </c>
      <c r="AW1473" s="80">
        <v>0.0</v>
      </c>
      <c r="AX1473" s="113">
        <v>585.0</v>
      </c>
      <c r="AY1473" s="117">
        <v>474.0</v>
      </c>
      <c r="AZ1473" s="328">
        <v>111.0</v>
      </c>
      <c r="BA1473" s="315">
        <v>0.0</v>
      </c>
      <c r="BB1473" s="316">
        <v>585.0</v>
      </c>
      <c r="BC1473" s="132" t="s">
        <v>178</v>
      </c>
      <c r="BD1473" s="132" t="s">
        <v>178</v>
      </c>
      <c r="BE1473" s="132" t="s">
        <v>178</v>
      </c>
      <c r="BF1473" s="123"/>
      <c r="BG1473" s="83">
        <v>1134177.0</v>
      </c>
      <c r="BH1473" s="112">
        <v>6.0</v>
      </c>
      <c r="BI1473" s="98" t="s">
        <v>155</v>
      </c>
      <c r="BJ1473" s="98" t="str">
        <f t="shared" si="1"/>
        <v>NÃO</v>
      </c>
      <c r="BK1473" s="98" t="str">
        <f t="shared" si="2"/>
        <v>NÃO</v>
      </c>
    </row>
    <row r="1474" ht="15.75" customHeight="1">
      <c r="A1474" s="111" t="s">
        <v>1785</v>
      </c>
      <c r="B1474" s="83" t="s">
        <v>2378</v>
      </c>
      <c r="C1474" s="83" t="s">
        <v>68</v>
      </c>
      <c r="D1474" s="83">
        <v>1134134.0</v>
      </c>
      <c r="E1474" s="83"/>
      <c r="F1474" s="83">
        <v>2.9159539E7</v>
      </c>
      <c r="G1474" s="185" t="s">
        <v>12236</v>
      </c>
      <c r="H1474" s="91" t="s">
        <v>8094</v>
      </c>
      <c r="I1474" s="114" t="s">
        <v>149</v>
      </c>
      <c r="J1474" s="83" t="s">
        <v>150</v>
      </c>
      <c r="K1474" s="83" t="s">
        <v>151</v>
      </c>
      <c r="L1474" s="83" t="s">
        <v>152</v>
      </c>
      <c r="M1474" s="82" t="s">
        <v>12237</v>
      </c>
      <c r="N1474" s="82" t="s">
        <v>12238</v>
      </c>
      <c r="O1474" s="82" t="s">
        <v>12239</v>
      </c>
      <c r="P1474" s="82" t="s">
        <v>12240</v>
      </c>
      <c r="Q1474" s="82"/>
      <c r="R1474" s="82"/>
      <c r="S1474" s="82" t="s">
        <v>12241</v>
      </c>
      <c r="T1474" s="138">
        <v>9.0</v>
      </c>
      <c r="U1474" s="323" t="s">
        <v>12242</v>
      </c>
      <c r="V1474" s="106">
        <v>0.0</v>
      </c>
      <c r="W1474" s="107">
        <v>0.0</v>
      </c>
      <c r="X1474" s="107">
        <v>0.0</v>
      </c>
      <c r="Y1474" s="107">
        <v>0.0</v>
      </c>
      <c r="Z1474" s="80">
        <v>0.0</v>
      </c>
      <c r="AA1474" s="140">
        <v>0.0</v>
      </c>
      <c r="AB1474" s="109">
        <v>0.0</v>
      </c>
      <c r="AC1474" s="109">
        <v>0.0</v>
      </c>
      <c r="AD1474" s="141">
        <v>0.0</v>
      </c>
      <c r="AE1474" s="80">
        <v>0.0</v>
      </c>
      <c r="AF1474" s="140">
        <v>323.0</v>
      </c>
      <c r="AG1474" s="109">
        <v>280.0</v>
      </c>
      <c r="AH1474" s="109">
        <v>10.0</v>
      </c>
      <c r="AI1474" s="141">
        <v>0.0</v>
      </c>
      <c r="AJ1474" s="80">
        <v>613.0</v>
      </c>
      <c r="AK1474" s="140">
        <v>0.0</v>
      </c>
      <c r="AL1474" s="109">
        <v>0.0</v>
      </c>
      <c r="AM1474" s="141">
        <v>0.0</v>
      </c>
      <c r="AN1474" s="80">
        <v>0.0</v>
      </c>
      <c r="AO1474" s="140">
        <v>0.0</v>
      </c>
      <c r="AP1474" s="109">
        <v>0.0</v>
      </c>
      <c r="AQ1474" s="109">
        <v>41.0</v>
      </c>
      <c r="AR1474" s="80">
        <v>41.0</v>
      </c>
      <c r="AS1474" s="110">
        <v>0.0</v>
      </c>
      <c r="AT1474" s="110">
        <v>0.0</v>
      </c>
      <c r="AU1474" s="110">
        <v>0.0</v>
      </c>
      <c r="AV1474" s="142">
        <v>0.0</v>
      </c>
      <c r="AW1474" s="80">
        <v>0.0</v>
      </c>
      <c r="AX1474" s="113">
        <v>654.0</v>
      </c>
      <c r="AY1474" s="117">
        <v>603.0</v>
      </c>
      <c r="AZ1474" s="328">
        <v>51.0</v>
      </c>
      <c r="BA1474" s="315">
        <v>0.0</v>
      </c>
      <c r="BB1474" s="316">
        <v>654.0</v>
      </c>
      <c r="BC1474" s="132" t="s">
        <v>178</v>
      </c>
      <c r="BD1474" s="132" t="s">
        <v>178</v>
      </c>
      <c r="BE1474" s="132" t="s">
        <v>178</v>
      </c>
      <c r="BF1474" s="123"/>
      <c r="BG1474" s="83">
        <v>1134134.0</v>
      </c>
      <c r="BH1474" s="112">
        <v>9.0</v>
      </c>
      <c r="BI1474" s="98" t="s">
        <v>155</v>
      </c>
      <c r="BJ1474" s="98" t="str">
        <f t="shared" si="1"/>
        <v>NÃO</v>
      </c>
      <c r="BK1474" s="98" t="str">
        <f t="shared" si="2"/>
        <v>NÃO</v>
      </c>
    </row>
    <row r="1475" ht="15.75" customHeight="1">
      <c r="A1475" s="111" t="s">
        <v>1785</v>
      </c>
      <c r="B1475" s="83" t="s">
        <v>2378</v>
      </c>
      <c r="C1475" s="83" t="s">
        <v>68</v>
      </c>
      <c r="D1475" s="83">
        <v>1176073.0</v>
      </c>
      <c r="E1475" s="83"/>
      <c r="F1475" s="83">
        <v>2.9160227E7</v>
      </c>
      <c r="G1475" s="513" t="s">
        <v>8107</v>
      </c>
      <c r="H1475" s="91" t="s">
        <v>8108</v>
      </c>
      <c r="I1475" s="114" t="s">
        <v>149</v>
      </c>
      <c r="J1475" s="83" t="s">
        <v>183</v>
      </c>
      <c r="K1475" s="83" t="s">
        <v>151</v>
      </c>
      <c r="L1475" s="83" t="s">
        <v>230</v>
      </c>
      <c r="M1475" s="82" t="s">
        <v>12243</v>
      </c>
      <c r="N1475" s="82" t="s">
        <v>12244</v>
      </c>
      <c r="O1475" s="82" t="s">
        <v>12245</v>
      </c>
      <c r="P1475" s="82" t="s">
        <v>12246</v>
      </c>
      <c r="Q1475" s="82" t="s">
        <v>12247</v>
      </c>
      <c r="R1475" s="82" t="s">
        <v>12248</v>
      </c>
      <c r="S1475" s="82" t="s">
        <v>12249</v>
      </c>
      <c r="T1475" s="138">
        <v>13.0</v>
      </c>
      <c r="U1475" s="323">
        <v>13.0</v>
      </c>
      <c r="V1475" s="106">
        <v>0.0</v>
      </c>
      <c r="W1475" s="107">
        <v>0.0</v>
      </c>
      <c r="X1475" s="107">
        <v>0.0</v>
      </c>
      <c r="Y1475" s="107">
        <v>0.0</v>
      </c>
      <c r="Z1475" s="80">
        <v>0.0</v>
      </c>
      <c r="AA1475" s="140">
        <v>0.0</v>
      </c>
      <c r="AB1475" s="109">
        <v>0.0</v>
      </c>
      <c r="AC1475" s="109">
        <v>0.0</v>
      </c>
      <c r="AD1475" s="141">
        <v>0.0</v>
      </c>
      <c r="AE1475" s="80">
        <v>0.0</v>
      </c>
      <c r="AF1475" s="140">
        <v>195.0</v>
      </c>
      <c r="AG1475" s="109">
        <v>141.0</v>
      </c>
      <c r="AH1475" s="109">
        <v>76.0</v>
      </c>
      <c r="AI1475" s="141">
        <v>291.0</v>
      </c>
      <c r="AJ1475" s="80">
        <v>703.0</v>
      </c>
      <c r="AK1475" s="140">
        <v>0.0</v>
      </c>
      <c r="AL1475" s="109">
        <v>0.0</v>
      </c>
      <c r="AM1475" s="141">
        <v>0.0</v>
      </c>
      <c r="AN1475" s="80">
        <v>0.0</v>
      </c>
      <c r="AO1475" s="140">
        <v>0.0</v>
      </c>
      <c r="AP1475" s="109">
        <v>0.0</v>
      </c>
      <c r="AQ1475" s="109">
        <v>152.0</v>
      </c>
      <c r="AR1475" s="80">
        <v>152.0</v>
      </c>
      <c r="AS1475" s="110">
        <v>0.0</v>
      </c>
      <c r="AT1475" s="110">
        <v>0.0</v>
      </c>
      <c r="AU1475" s="110">
        <v>0.0</v>
      </c>
      <c r="AV1475" s="142">
        <v>0.0</v>
      </c>
      <c r="AW1475" s="80">
        <v>0.0</v>
      </c>
      <c r="AX1475" s="113">
        <v>855.0</v>
      </c>
      <c r="AY1475" s="117">
        <v>627.0</v>
      </c>
      <c r="AZ1475" s="328">
        <v>228.0</v>
      </c>
      <c r="BA1475" s="315">
        <v>0.0</v>
      </c>
      <c r="BB1475" s="316">
        <v>855.0</v>
      </c>
      <c r="BC1475" s="132" t="s">
        <v>178</v>
      </c>
      <c r="BD1475" s="132" t="s">
        <v>178</v>
      </c>
      <c r="BE1475" s="132" t="s">
        <v>178</v>
      </c>
      <c r="BF1475" s="123"/>
      <c r="BG1475" s="83">
        <v>1176073.0</v>
      </c>
      <c r="BH1475" s="112">
        <v>13.0</v>
      </c>
      <c r="BI1475" s="98" t="s">
        <v>155</v>
      </c>
      <c r="BJ1475" s="98" t="str">
        <f t="shared" si="1"/>
        <v>INTEGRAL</v>
      </c>
      <c r="BK1475" s="98" t="str">
        <f t="shared" si="2"/>
        <v>NÃO</v>
      </c>
    </row>
    <row r="1476" ht="15.75" customHeight="1">
      <c r="A1476" s="111" t="s">
        <v>1785</v>
      </c>
      <c r="B1476" s="83" t="s">
        <v>8111</v>
      </c>
      <c r="C1476" s="83" t="s">
        <v>45</v>
      </c>
      <c r="D1476" s="98">
        <v>2.9477697E7</v>
      </c>
      <c r="E1476" s="98"/>
      <c r="F1476" s="98">
        <v>2.9477697E7</v>
      </c>
      <c r="G1476" s="184" t="s">
        <v>8112</v>
      </c>
      <c r="H1476" s="91" t="s">
        <v>8113</v>
      </c>
      <c r="I1476" s="119" t="s">
        <v>8114</v>
      </c>
      <c r="J1476" s="98" t="s">
        <v>150</v>
      </c>
      <c r="K1476" s="83" t="s">
        <v>151</v>
      </c>
      <c r="L1476" s="83" t="s">
        <v>169</v>
      </c>
      <c r="M1476" s="82" t="s">
        <v>12250</v>
      </c>
      <c r="N1476" s="82" t="s">
        <v>12251</v>
      </c>
      <c r="O1476" s="82" t="s">
        <v>12252</v>
      </c>
      <c r="P1476" s="82" t="s">
        <v>12253</v>
      </c>
      <c r="Q1476" s="82"/>
      <c r="R1476" s="82"/>
      <c r="S1476" s="82"/>
      <c r="T1476" s="138">
        <v>9.0</v>
      </c>
      <c r="U1476" s="323" t="s">
        <v>171</v>
      </c>
      <c r="V1476" s="106">
        <v>0.0</v>
      </c>
      <c r="W1476" s="107">
        <v>0.0</v>
      </c>
      <c r="X1476" s="107">
        <v>0.0</v>
      </c>
      <c r="Y1476" s="107">
        <v>0.0</v>
      </c>
      <c r="Z1476" s="80">
        <v>0.0</v>
      </c>
      <c r="AA1476" s="140">
        <v>0.0</v>
      </c>
      <c r="AB1476" s="109">
        <v>0.0</v>
      </c>
      <c r="AC1476" s="109">
        <v>0.0</v>
      </c>
      <c r="AD1476" s="141">
        <v>0.0</v>
      </c>
      <c r="AE1476" s="80">
        <v>0.0</v>
      </c>
      <c r="AF1476" s="140">
        <v>0.0</v>
      </c>
      <c r="AG1476" s="109">
        <v>0.0</v>
      </c>
      <c r="AH1476" s="109">
        <v>0.0</v>
      </c>
      <c r="AI1476" s="141">
        <v>120.0</v>
      </c>
      <c r="AJ1476" s="80">
        <v>120.0</v>
      </c>
      <c r="AK1476" s="140">
        <v>0.0</v>
      </c>
      <c r="AL1476" s="109">
        <v>0.0</v>
      </c>
      <c r="AM1476" s="141">
        <v>0.0</v>
      </c>
      <c r="AN1476" s="80">
        <v>0.0</v>
      </c>
      <c r="AO1476" s="140">
        <v>0.0</v>
      </c>
      <c r="AP1476" s="109">
        <v>0.0</v>
      </c>
      <c r="AQ1476" s="109">
        <v>0.0</v>
      </c>
      <c r="AR1476" s="80">
        <v>0.0</v>
      </c>
      <c r="AS1476" s="110">
        <v>0.0</v>
      </c>
      <c r="AT1476" s="110">
        <v>0.0</v>
      </c>
      <c r="AU1476" s="110">
        <v>0.0</v>
      </c>
      <c r="AV1476" s="142">
        <v>0.0</v>
      </c>
      <c r="AW1476" s="80">
        <v>0.0</v>
      </c>
      <c r="AX1476" s="113">
        <v>120.0</v>
      </c>
      <c r="AY1476" s="117">
        <v>120.0</v>
      </c>
      <c r="AZ1476" s="328">
        <v>0.0</v>
      </c>
      <c r="BA1476" s="315">
        <v>0.0</v>
      </c>
      <c r="BB1476" s="316">
        <v>120.0</v>
      </c>
      <c r="BC1476" s="132" t="s">
        <v>178</v>
      </c>
      <c r="BD1476" s="132" t="s">
        <v>178</v>
      </c>
      <c r="BE1476" s="132" t="s">
        <v>178</v>
      </c>
      <c r="BF1476" s="123"/>
      <c r="BG1476" s="98">
        <v>2.9477697E7</v>
      </c>
      <c r="BH1476" s="112">
        <v>9.0</v>
      </c>
      <c r="BI1476" s="98" t="s">
        <v>155</v>
      </c>
      <c r="BJ1476" s="98" t="str">
        <f t="shared" si="1"/>
        <v>INTEGRAL</v>
      </c>
      <c r="BK1476" s="98" t="str">
        <f t="shared" si="2"/>
        <v>NÃO</v>
      </c>
    </row>
    <row r="1477" ht="15.75" customHeight="1">
      <c r="A1477" s="111" t="s">
        <v>1785</v>
      </c>
      <c r="B1477" s="83" t="s">
        <v>8111</v>
      </c>
      <c r="C1477" s="83" t="s">
        <v>68</v>
      </c>
      <c r="D1477" s="83">
        <v>1166354.0</v>
      </c>
      <c r="E1477" s="83"/>
      <c r="F1477" s="83">
        <v>2.9160502E7</v>
      </c>
      <c r="G1477" s="114" t="s">
        <v>8116</v>
      </c>
      <c r="H1477" s="91" t="s">
        <v>8117</v>
      </c>
      <c r="I1477" s="114" t="s">
        <v>149</v>
      </c>
      <c r="J1477" s="83" t="s">
        <v>150</v>
      </c>
      <c r="K1477" s="83" t="s">
        <v>151</v>
      </c>
      <c r="L1477" s="83" t="s">
        <v>152</v>
      </c>
      <c r="M1477" s="82" t="s">
        <v>12254</v>
      </c>
      <c r="N1477" s="82" t="s">
        <v>12255</v>
      </c>
      <c r="O1477" s="82" t="s">
        <v>12256</v>
      </c>
      <c r="P1477" s="82" t="s">
        <v>12257</v>
      </c>
      <c r="Q1477" s="82" t="s">
        <v>12258</v>
      </c>
      <c r="R1477" s="82" t="s">
        <v>12259</v>
      </c>
      <c r="S1477" s="82" t="s">
        <v>12260</v>
      </c>
      <c r="T1477" s="138">
        <v>10.0</v>
      </c>
      <c r="U1477" s="323">
        <v>9.0</v>
      </c>
      <c r="V1477" s="106">
        <v>0.0</v>
      </c>
      <c r="W1477" s="107">
        <v>0.0</v>
      </c>
      <c r="X1477" s="107">
        <v>0.0</v>
      </c>
      <c r="Y1477" s="107">
        <v>0.0</v>
      </c>
      <c r="Z1477" s="80">
        <v>0.0</v>
      </c>
      <c r="AA1477" s="140">
        <v>0.0</v>
      </c>
      <c r="AB1477" s="109">
        <v>0.0</v>
      </c>
      <c r="AC1477" s="109">
        <v>0.0</v>
      </c>
      <c r="AD1477" s="141">
        <v>0.0</v>
      </c>
      <c r="AE1477" s="80">
        <v>0.0</v>
      </c>
      <c r="AF1477" s="140">
        <v>355.0</v>
      </c>
      <c r="AG1477" s="109">
        <v>294.0</v>
      </c>
      <c r="AH1477" s="109">
        <v>0.0</v>
      </c>
      <c r="AI1477" s="141">
        <v>0.0</v>
      </c>
      <c r="AJ1477" s="80">
        <v>649.0</v>
      </c>
      <c r="AK1477" s="140">
        <v>0.0</v>
      </c>
      <c r="AL1477" s="109">
        <v>0.0</v>
      </c>
      <c r="AM1477" s="141">
        <v>0.0</v>
      </c>
      <c r="AN1477" s="80">
        <v>0.0</v>
      </c>
      <c r="AO1477" s="140">
        <v>0.0</v>
      </c>
      <c r="AP1477" s="109">
        <v>0.0</v>
      </c>
      <c r="AQ1477" s="109">
        <v>190.0</v>
      </c>
      <c r="AR1477" s="80">
        <v>190.0</v>
      </c>
      <c r="AS1477" s="110">
        <v>0.0</v>
      </c>
      <c r="AT1477" s="110">
        <v>0.0</v>
      </c>
      <c r="AU1477" s="110">
        <v>0.0</v>
      </c>
      <c r="AV1477" s="142">
        <v>0.0</v>
      </c>
      <c r="AW1477" s="80">
        <v>0.0</v>
      </c>
      <c r="AX1477" s="113">
        <v>839.0</v>
      </c>
      <c r="AY1477" s="117">
        <v>649.0</v>
      </c>
      <c r="AZ1477" s="328">
        <v>190.0</v>
      </c>
      <c r="BA1477" s="315">
        <v>1.0</v>
      </c>
      <c r="BB1477" s="316">
        <v>840.0</v>
      </c>
      <c r="BC1477" s="132" t="s">
        <v>178</v>
      </c>
      <c r="BD1477" s="132" t="s">
        <v>178</v>
      </c>
      <c r="BE1477" s="132" t="s">
        <v>178</v>
      </c>
      <c r="BF1477" s="123"/>
      <c r="BG1477" s="83">
        <v>1166354.0</v>
      </c>
      <c r="BH1477" s="112">
        <v>9.0</v>
      </c>
      <c r="BI1477" s="98" t="s">
        <v>155</v>
      </c>
      <c r="BJ1477" s="98" t="str">
        <f t="shared" si="1"/>
        <v>NÃO</v>
      </c>
      <c r="BK1477" s="98" t="str">
        <f t="shared" si="2"/>
        <v>NÃO</v>
      </c>
    </row>
    <row r="1478" ht="15.75" customHeight="1">
      <c r="A1478" s="111" t="s">
        <v>1785</v>
      </c>
      <c r="B1478" s="83" t="s">
        <v>8111</v>
      </c>
      <c r="C1478" s="83" t="s">
        <v>68</v>
      </c>
      <c r="D1478" s="83">
        <v>1176461.0</v>
      </c>
      <c r="E1478" s="83"/>
      <c r="F1478" s="83">
        <v>2.9391253E7</v>
      </c>
      <c r="G1478" s="114" t="s">
        <v>8120</v>
      </c>
      <c r="H1478" s="91" t="s">
        <v>8121</v>
      </c>
      <c r="I1478" s="114" t="s">
        <v>149</v>
      </c>
      <c r="J1478" s="83" t="s">
        <v>150</v>
      </c>
      <c r="K1478" s="83" t="s">
        <v>151</v>
      </c>
      <c r="L1478" s="83" t="s">
        <v>152</v>
      </c>
      <c r="M1478" s="82" t="s">
        <v>12261</v>
      </c>
      <c r="N1478" s="82" t="s">
        <v>12262</v>
      </c>
      <c r="O1478" s="82" t="s">
        <v>12263</v>
      </c>
      <c r="P1478" s="82" t="s">
        <v>12264</v>
      </c>
      <c r="Q1478" s="82"/>
      <c r="R1478" s="82"/>
      <c r="S1478" s="82" t="s">
        <v>12265</v>
      </c>
      <c r="T1478" s="138">
        <v>16.0</v>
      </c>
      <c r="U1478" s="341">
        <v>12.0</v>
      </c>
      <c r="V1478" s="106">
        <v>0.0</v>
      </c>
      <c r="W1478" s="107">
        <v>0.0</v>
      </c>
      <c r="X1478" s="107">
        <v>0.0</v>
      </c>
      <c r="Y1478" s="107">
        <v>0.0</v>
      </c>
      <c r="Z1478" s="80">
        <v>0.0</v>
      </c>
      <c r="AA1478" s="140">
        <v>0.0</v>
      </c>
      <c r="AB1478" s="109">
        <v>0.0</v>
      </c>
      <c r="AC1478" s="109">
        <v>0.0</v>
      </c>
      <c r="AD1478" s="141">
        <v>0.0</v>
      </c>
      <c r="AE1478" s="80">
        <v>0.0</v>
      </c>
      <c r="AF1478" s="140">
        <v>0.0</v>
      </c>
      <c r="AG1478" s="109">
        <v>0.0</v>
      </c>
      <c r="AH1478" s="109">
        <v>30.0</v>
      </c>
      <c r="AI1478" s="141">
        <v>283.0</v>
      </c>
      <c r="AJ1478" s="80">
        <v>313.0</v>
      </c>
      <c r="AK1478" s="140">
        <v>0.0</v>
      </c>
      <c r="AL1478" s="109">
        <v>0.0</v>
      </c>
      <c r="AM1478" s="141">
        <v>0.0</v>
      </c>
      <c r="AN1478" s="80">
        <v>0.0</v>
      </c>
      <c r="AO1478" s="140">
        <v>0.0</v>
      </c>
      <c r="AP1478" s="109">
        <v>0.0</v>
      </c>
      <c r="AQ1478" s="109">
        <v>86.0</v>
      </c>
      <c r="AR1478" s="80">
        <v>86.0</v>
      </c>
      <c r="AS1478" s="110">
        <v>0.0</v>
      </c>
      <c r="AT1478" s="110">
        <v>0.0</v>
      </c>
      <c r="AU1478" s="110">
        <v>0.0</v>
      </c>
      <c r="AV1478" s="142">
        <v>0.0</v>
      </c>
      <c r="AW1478" s="80">
        <v>0.0</v>
      </c>
      <c r="AX1478" s="113">
        <v>399.0</v>
      </c>
      <c r="AY1478" s="117">
        <v>283.0</v>
      </c>
      <c r="AZ1478" s="328">
        <v>116.0</v>
      </c>
      <c r="BA1478" s="315">
        <v>2.0</v>
      </c>
      <c r="BB1478" s="316">
        <v>401.0</v>
      </c>
      <c r="BC1478" s="132" t="s">
        <v>178</v>
      </c>
      <c r="BD1478" s="132" t="s">
        <v>178</v>
      </c>
      <c r="BE1478" s="132" t="s">
        <v>178</v>
      </c>
      <c r="BF1478" s="156"/>
      <c r="BG1478" s="83">
        <v>1176461.0</v>
      </c>
      <c r="BH1478" s="112">
        <v>12.0</v>
      </c>
      <c r="BI1478" s="98" t="s">
        <v>155</v>
      </c>
      <c r="BJ1478" s="98" t="str">
        <f t="shared" si="1"/>
        <v>INTEGRAL</v>
      </c>
      <c r="BK1478" s="98" t="str">
        <f t="shared" si="2"/>
        <v>NÃO</v>
      </c>
    </row>
    <row r="1479" ht="15.75" customHeight="1">
      <c r="A1479" s="111" t="s">
        <v>1785</v>
      </c>
      <c r="B1479" s="83" t="s">
        <v>1994</v>
      </c>
      <c r="C1479" s="83" t="s">
        <v>68</v>
      </c>
      <c r="D1479" s="83">
        <v>1103492.0</v>
      </c>
      <c r="E1479" s="83"/>
      <c r="F1479" s="83">
        <v>2.9188695E7</v>
      </c>
      <c r="G1479" s="187" t="s">
        <v>8127</v>
      </c>
      <c r="H1479" s="91" t="s">
        <v>8131</v>
      </c>
      <c r="I1479" s="187" t="s">
        <v>8133</v>
      </c>
      <c r="J1479" s="136" t="s">
        <v>150</v>
      </c>
      <c r="K1479" s="136" t="s">
        <v>168</v>
      </c>
      <c r="L1479" s="136" t="s">
        <v>152</v>
      </c>
      <c r="M1479" s="82" t="s">
        <v>12266</v>
      </c>
      <c r="N1479" s="82" t="s">
        <v>12267</v>
      </c>
      <c r="O1479" s="82" t="s">
        <v>12268</v>
      </c>
      <c r="P1479" s="82" t="s">
        <v>12269</v>
      </c>
      <c r="Q1479" s="82"/>
      <c r="R1479" s="82"/>
      <c r="S1479" s="82" t="s">
        <v>12270</v>
      </c>
      <c r="T1479" s="138">
        <v>14.0</v>
      </c>
      <c r="U1479" s="387">
        <v>14.0</v>
      </c>
      <c r="V1479" s="106">
        <v>0.0</v>
      </c>
      <c r="W1479" s="107">
        <v>0.0</v>
      </c>
      <c r="X1479" s="107">
        <v>0.0</v>
      </c>
      <c r="Y1479" s="107">
        <v>0.0</v>
      </c>
      <c r="Z1479" s="80">
        <v>0.0</v>
      </c>
      <c r="AA1479" s="140">
        <v>413.0</v>
      </c>
      <c r="AB1479" s="109">
        <v>278.0</v>
      </c>
      <c r="AC1479" s="109">
        <v>0.0</v>
      </c>
      <c r="AD1479" s="141">
        <v>0.0</v>
      </c>
      <c r="AE1479" s="80">
        <v>691.0</v>
      </c>
      <c r="AF1479" s="140">
        <v>0.0</v>
      </c>
      <c r="AG1479" s="109">
        <v>0.0</v>
      </c>
      <c r="AH1479" s="109">
        <v>0.0</v>
      </c>
      <c r="AI1479" s="141">
        <v>0.0</v>
      </c>
      <c r="AJ1479" s="80">
        <v>0.0</v>
      </c>
      <c r="AK1479" s="140">
        <v>0.0</v>
      </c>
      <c r="AL1479" s="109">
        <v>0.0</v>
      </c>
      <c r="AM1479" s="141">
        <v>0.0</v>
      </c>
      <c r="AN1479" s="80">
        <v>0.0</v>
      </c>
      <c r="AO1479" s="140">
        <v>0.0</v>
      </c>
      <c r="AP1479" s="109">
        <v>0.0</v>
      </c>
      <c r="AQ1479" s="109">
        <v>0.0</v>
      </c>
      <c r="AR1479" s="80">
        <v>0.0</v>
      </c>
      <c r="AS1479" s="110">
        <v>0.0</v>
      </c>
      <c r="AT1479" s="110">
        <v>0.0</v>
      </c>
      <c r="AU1479" s="110">
        <v>0.0</v>
      </c>
      <c r="AV1479" s="142">
        <v>0.0</v>
      </c>
      <c r="AW1479" s="80">
        <v>0.0</v>
      </c>
      <c r="AX1479" s="113">
        <v>691.0</v>
      </c>
      <c r="AY1479" s="117">
        <v>691.0</v>
      </c>
      <c r="AZ1479" s="328">
        <v>0.0</v>
      </c>
      <c r="BA1479" s="315">
        <v>0.0</v>
      </c>
      <c r="BB1479" s="316">
        <v>691.0</v>
      </c>
      <c r="BC1479" s="132" t="s">
        <v>178</v>
      </c>
      <c r="BD1479" s="132" t="s">
        <v>178</v>
      </c>
      <c r="BE1479" s="132" t="s">
        <v>178</v>
      </c>
      <c r="BF1479" s="156"/>
      <c r="BG1479" s="83">
        <v>1103492.0</v>
      </c>
      <c r="BH1479" s="112">
        <v>14.0</v>
      </c>
      <c r="BI1479" s="98" t="s">
        <v>155</v>
      </c>
      <c r="BJ1479" s="98" t="str">
        <f t="shared" si="1"/>
        <v>NÃO</v>
      </c>
      <c r="BK1479" s="98" t="str">
        <f t="shared" si="2"/>
        <v>NÃO</v>
      </c>
    </row>
    <row r="1480" ht="15.75" customHeight="1">
      <c r="A1480" s="111" t="s">
        <v>1785</v>
      </c>
      <c r="B1480" s="83" t="s">
        <v>1994</v>
      </c>
      <c r="C1480" s="83" t="s">
        <v>68</v>
      </c>
      <c r="D1480" s="83">
        <v>1101090.0</v>
      </c>
      <c r="E1480" s="83"/>
      <c r="F1480" s="83">
        <v>2.9191106E7</v>
      </c>
      <c r="G1480" s="114" t="s">
        <v>2479</v>
      </c>
      <c r="H1480" s="91" t="s">
        <v>12271</v>
      </c>
      <c r="I1480" s="114" t="s">
        <v>8482</v>
      </c>
      <c r="J1480" s="83" t="s">
        <v>150</v>
      </c>
      <c r="K1480" s="83" t="s">
        <v>151</v>
      </c>
      <c r="L1480" s="83" t="s">
        <v>152</v>
      </c>
      <c r="M1480" s="82" t="s">
        <v>12272</v>
      </c>
      <c r="N1480" s="82" t="s">
        <v>12273</v>
      </c>
      <c r="O1480" s="82" t="s">
        <v>12274</v>
      </c>
      <c r="P1480" s="82" t="s">
        <v>12275</v>
      </c>
      <c r="Q1480" s="82"/>
      <c r="R1480" s="82"/>
      <c r="S1480" s="82" t="s">
        <v>12276</v>
      </c>
      <c r="T1480" s="138">
        <v>13.0</v>
      </c>
      <c r="U1480" s="341" t="s">
        <v>12277</v>
      </c>
      <c r="V1480" s="106">
        <v>0.0</v>
      </c>
      <c r="W1480" s="107">
        <v>0.0</v>
      </c>
      <c r="X1480" s="107">
        <v>0.0</v>
      </c>
      <c r="Y1480" s="107">
        <v>0.0</v>
      </c>
      <c r="Z1480" s="80">
        <v>0.0</v>
      </c>
      <c r="AA1480" s="140">
        <v>0.0</v>
      </c>
      <c r="AB1480" s="109">
        <v>0.0</v>
      </c>
      <c r="AC1480" s="109">
        <v>0.0</v>
      </c>
      <c r="AD1480" s="141">
        <v>322.0</v>
      </c>
      <c r="AE1480" s="80">
        <v>322.0</v>
      </c>
      <c r="AF1480" s="140">
        <v>0.0</v>
      </c>
      <c r="AG1480" s="109">
        <v>0.0</v>
      </c>
      <c r="AH1480" s="109">
        <v>0.0</v>
      </c>
      <c r="AI1480" s="141">
        <v>0.0</v>
      </c>
      <c r="AJ1480" s="80">
        <v>0.0</v>
      </c>
      <c r="AK1480" s="140">
        <v>0.0</v>
      </c>
      <c r="AL1480" s="109">
        <v>0.0</v>
      </c>
      <c r="AM1480" s="141">
        <v>0.0</v>
      </c>
      <c r="AN1480" s="80">
        <v>0.0</v>
      </c>
      <c r="AO1480" s="140">
        <v>0.0</v>
      </c>
      <c r="AP1480" s="109">
        <v>0.0</v>
      </c>
      <c r="AQ1480" s="109">
        <v>0.0</v>
      </c>
      <c r="AR1480" s="80">
        <v>0.0</v>
      </c>
      <c r="AS1480" s="110">
        <v>0.0</v>
      </c>
      <c r="AT1480" s="110">
        <v>0.0</v>
      </c>
      <c r="AU1480" s="110">
        <v>0.0</v>
      </c>
      <c r="AV1480" s="142">
        <v>0.0</v>
      </c>
      <c r="AW1480" s="80">
        <v>0.0</v>
      </c>
      <c r="AX1480" s="113">
        <v>322.0</v>
      </c>
      <c r="AY1480" s="117">
        <v>322.0</v>
      </c>
      <c r="AZ1480" s="328">
        <v>0.0</v>
      </c>
      <c r="BA1480" s="315">
        <v>0.0</v>
      </c>
      <c r="BB1480" s="316">
        <v>322.0</v>
      </c>
      <c r="BC1480" s="132" t="s">
        <v>178</v>
      </c>
      <c r="BD1480" s="132" t="s">
        <v>178</v>
      </c>
      <c r="BE1480" s="132" t="s">
        <v>178</v>
      </c>
      <c r="BF1480" s="156"/>
      <c r="BG1480" s="83">
        <v>1101090.0</v>
      </c>
      <c r="BH1480" s="112">
        <v>11.0</v>
      </c>
      <c r="BI1480" s="98" t="s">
        <v>155</v>
      </c>
      <c r="BJ1480" s="98" t="str">
        <f t="shared" si="1"/>
        <v>INTEGRAL</v>
      </c>
      <c r="BK1480" s="98" t="str">
        <f t="shared" si="2"/>
        <v>NÃO</v>
      </c>
    </row>
    <row r="1481" ht="15.75" customHeight="1">
      <c r="A1481" s="111" t="s">
        <v>1785</v>
      </c>
      <c r="B1481" s="83" t="s">
        <v>1994</v>
      </c>
      <c r="C1481" s="83" t="s">
        <v>68</v>
      </c>
      <c r="D1481" s="83">
        <v>1103506.0</v>
      </c>
      <c r="E1481" s="83"/>
      <c r="F1481" s="83">
        <v>2.9187346E7</v>
      </c>
      <c r="G1481" s="241" t="s">
        <v>8138</v>
      </c>
      <c r="H1481" s="91" t="s">
        <v>8139</v>
      </c>
      <c r="I1481" s="187" t="s">
        <v>3098</v>
      </c>
      <c r="J1481" s="136" t="s">
        <v>150</v>
      </c>
      <c r="K1481" s="83" t="s">
        <v>151</v>
      </c>
      <c r="L1481" s="83" t="s">
        <v>152</v>
      </c>
      <c r="M1481" s="82" t="s">
        <v>12278</v>
      </c>
      <c r="N1481" s="82" t="s">
        <v>12279</v>
      </c>
      <c r="O1481" s="82" t="s">
        <v>12280</v>
      </c>
      <c r="P1481" s="82" t="s">
        <v>12281</v>
      </c>
      <c r="Q1481" s="82"/>
      <c r="R1481" s="82"/>
      <c r="S1481" s="82" t="s">
        <v>12282</v>
      </c>
      <c r="T1481" s="138">
        <v>8.0</v>
      </c>
      <c r="U1481" s="364">
        <v>8.0</v>
      </c>
      <c r="V1481" s="106">
        <v>0.0</v>
      </c>
      <c r="W1481" s="107">
        <v>0.0</v>
      </c>
      <c r="X1481" s="107">
        <v>0.0</v>
      </c>
      <c r="Y1481" s="107">
        <v>0.0</v>
      </c>
      <c r="Z1481" s="80">
        <v>0.0</v>
      </c>
      <c r="AA1481" s="140">
        <v>209.0</v>
      </c>
      <c r="AB1481" s="109">
        <v>113.0</v>
      </c>
      <c r="AC1481" s="109">
        <v>0.0</v>
      </c>
      <c r="AD1481" s="141">
        <v>0.0</v>
      </c>
      <c r="AE1481" s="80">
        <v>322.0</v>
      </c>
      <c r="AF1481" s="246">
        <v>0.0</v>
      </c>
      <c r="AG1481" s="246">
        <v>0.0</v>
      </c>
      <c r="AH1481" s="246">
        <v>0.0</v>
      </c>
      <c r="AI1481" s="247">
        <v>0.0</v>
      </c>
      <c r="AJ1481" s="80">
        <v>0.0</v>
      </c>
      <c r="AK1481" s="140">
        <v>0.0</v>
      </c>
      <c r="AL1481" s="109">
        <v>0.0</v>
      </c>
      <c r="AM1481" s="141">
        <v>66.0</v>
      </c>
      <c r="AN1481" s="80">
        <v>66.0</v>
      </c>
      <c r="AO1481" s="246">
        <v>0.0</v>
      </c>
      <c r="AP1481" s="246">
        <v>0.0</v>
      </c>
      <c r="AQ1481" s="247">
        <v>0.0</v>
      </c>
      <c r="AR1481" s="80">
        <v>0.0</v>
      </c>
      <c r="AS1481" s="110">
        <v>0.0</v>
      </c>
      <c r="AT1481" s="110">
        <v>0.0</v>
      </c>
      <c r="AU1481" s="110">
        <v>0.0</v>
      </c>
      <c r="AV1481" s="142">
        <v>0.0</v>
      </c>
      <c r="AW1481" s="80">
        <v>0.0</v>
      </c>
      <c r="AX1481" s="113">
        <v>388.0</v>
      </c>
      <c r="AY1481" s="117">
        <v>322.0</v>
      </c>
      <c r="AZ1481" s="328">
        <v>66.0</v>
      </c>
      <c r="BA1481" s="315">
        <v>0.0</v>
      </c>
      <c r="BB1481" s="316">
        <v>388.0</v>
      </c>
      <c r="BC1481" s="132" t="s">
        <v>178</v>
      </c>
      <c r="BD1481" s="132" t="s">
        <v>178</v>
      </c>
      <c r="BE1481" s="132" t="s">
        <v>178</v>
      </c>
      <c r="BF1481" s="156"/>
      <c r="BG1481" s="83">
        <v>1103506.0</v>
      </c>
      <c r="BH1481" s="112">
        <v>8.0</v>
      </c>
      <c r="BI1481" s="98" t="s">
        <v>155</v>
      </c>
      <c r="BJ1481" s="98" t="str">
        <f t="shared" si="1"/>
        <v>NÃO</v>
      </c>
      <c r="BK1481" s="98" t="str">
        <f t="shared" si="2"/>
        <v>NÃO</v>
      </c>
    </row>
    <row r="1482" ht="15.75" customHeight="1">
      <c r="A1482" s="111" t="s">
        <v>1785</v>
      </c>
      <c r="B1482" s="83" t="s">
        <v>1994</v>
      </c>
      <c r="C1482" s="83" t="s">
        <v>68</v>
      </c>
      <c r="D1482" s="83">
        <v>1104022.0</v>
      </c>
      <c r="E1482" s="83"/>
      <c r="F1482" s="83">
        <v>2.9188431E7</v>
      </c>
      <c r="G1482" s="185" t="s">
        <v>8141</v>
      </c>
      <c r="H1482" s="91" t="s">
        <v>8142</v>
      </c>
      <c r="I1482" s="187" t="s">
        <v>8143</v>
      </c>
      <c r="J1482" s="136" t="s">
        <v>150</v>
      </c>
      <c r="K1482" s="83" t="s">
        <v>151</v>
      </c>
      <c r="L1482" s="83" t="s">
        <v>152</v>
      </c>
      <c r="M1482" s="82" t="s">
        <v>12283</v>
      </c>
      <c r="N1482" s="82" t="s">
        <v>12284</v>
      </c>
      <c r="O1482" s="82" t="s">
        <v>12285</v>
      </c>
      <c r="P1482" s="82"/>
      <c r="Q1482" s="82" t="s">
        <v>12286</v>
      </c>
      <c r="R1482" s="82" t="s">
        <v>12240</v>
      </c>
      <c r="S1482" s="82"/>
      <c r="T1482" s="138">
        <v>13.0</v>
      </c>
      <c r="U1482" s="341">
        <v>12.0</v>
      </c>
      <c r="V1482" s="106">
        <v>0.0</v>
      </c>
      <c r="W1482" s="107">
        <v>0.0</v>
      </c>
      <c r="X1482" s="107">
        <v>0.0</v>
      </c>
      <c r="Y1482" s="107">
        <v>0.0</v>
      </c>
      <c r="Z1482" s="80">
        <v>0.0</v>
      </c>
      <c r="AA1482" s="140">
        <v>344.0</v>
      </c>
      <c r="AB1482" s="109">
        <v>334.0</v>
      </c>
      <c r="AC1482" s="109">
        <v>0.0</v>
      </c>
      <c r="AD1482" s="141">
        <v>0.0</v>
      </c>
      <c r="AE1482" s="80">
        <v>678.0</v>
      </c>
      <c r="AF1482" s="140">
        <v>0.0</v>
      </c>
      <c r="AG1482" s="109">
        <v>0.0</v>
      </c>
      <c r="AH1482" s="109">
        <v>0.0</v>
      </c>
      <c r="AI1482" s="141">
        <v>0.0</v>
      </c>
      <c r="AJ1482" s="80">
        <v>0.0</v>
      </c>
      <c r="AK1482" s="140">
        <v>0.0</v>
      </c>
      <c r="AL1482" s="109">
        <v>0.0</v>
      </c>
      <c r="AM1482" s="141">
        <v>146.0</v>
      </c>
      <c r="AN1482" s="80">
        <v>146.0</v>
      </c>
      <c r="AO1482" s="140">
        <v>0.0</v>
      </c>
      <c r="AP1482" s="109">
        <v>0.0</v>
      </c>
      <c r="AQ1482" s="109">
        <v>0.0</v>
      </c>
      <c r="AR1482" s="80">
        <v>0.0</v>
      </c>
      <c r="AS1482" s="110">
        <v>0.0</v>
      </c>
      <c r="AT1482" s="110">
        <v>0.0</v>
      </c>
      <c r="AU1482" s="110">
        <v>0.0</v>
      </c>
      <c r="AV1482" s="142">
        <v>0.0</v>
      </c>
      <c r="AW1482" s="80">
        <v>0.0</v>
      </c>
      <c r="AX1482" s="113">
        <v>824.0</v>
      </c>
      <c r="AY1482" s="117">
        <v>678.0</v>
      </c>
      <c r="AZ1482" s="328">
        <v>146.0</v>
      </c>
      <c r="BA1482" s="315">
        <v>0.0</v>
      </c>
      <c r="BB1482" s="316">
        <v>824.0</v>
      </c>
      <c r="BC1482" s="132" t="s">
        <v>178</v>
      </c>
      <c r="BD1482" s="132" t="s">
        <v>178</v>
      </c>
      <c r="BE1482" s="132" t="s">
        <v>178</v>
      </c>
      <c r="BF1482" s="156"/>
      <c r="BG1482" s="83">
        <v>1104022.0</v>
      </c>
      <c r="BH1482" s="112">
        <v>12.0</v>
      </c>
      <c r="BI1482" s="98" t="s">
        <v>155</v>
      </c>
      <c r="BJ1482" s="98" t="str">
        <f t="shared" si="1"/>
        <v>NÃO</v>
      </c>
      <c r="BK1482" s="98" t="str">
        <f t="shared" si="2"/>
        <v>NÃO</v>
      </c>
    </row>
    <row r="1483" ht="15.75" customHeight="1">
      <c r="A1483" s="111" t="s">
        <v>1785</v>
      </c>
      <c r="B1483" s="83" t="s">
        <v>1994</v>
      </c>
      <c r="C1483" s="83" t="s">
        <v>68</v>
      </c>
      <c r="D1483" s="83">
        <v>1176392.0</v>
      </c>
      <c r="E1483" s="83"/>
      <c r="F1483" s="83">
        <v>2.9374677E7</v>
      </c>
      <c r="G1483" s="231" t="s">
        <v>8145</v>
      </c>
      <c r="H1483" s="91" t="s">
        <v>8146</v>
      </c>
      <c r="I1483" s="187" t="s">
        <v>4828</v>
      </c>
      <c r="J1483" s="136" t="s">
        <v>150</v>
      </c>
      <c r="K1483" s="83" t="s">
        <v>151</v>
      </c>
      <c r="L1483" s="83" t="s">
        <v>152</v>
      </c>
      <c r="M1483" s="82" t="s">
        <v>12288</v>
      </c>
      <c r="N1483" s="82" t="s">
        <v>12289</v>
      </c>
      <c r="O1483" s="82" t="s">
        <v>12290</v>
      </c>
      <c r="P1483" s="82" t="s">
        <v>12291</v>
      </c>
      <c r="Q1483" s="82"/>
      <c r="R1483" s="82"/>
      <c r="S1483" s="82" t="s">
        <v>12292</v>
      </c>
      <c r="T1483" s="138">
        <v>19.0</v>
      </c>
      <c r="U1483" s="341">
        <v>17.0</v>
      </c>
      <c r="V1483" s="106">
        <v>0.0</v>
      </c>
      <c r="W1483" s="107">
        <v>0.0</v>
      </c>
      <c r="X1483" s="107">
        <v>0.0</v>
      </c>
      <c r="Y1483" s="107">
        <v>0.0</v>
      </c>
      <c r="Z1483" s="80">
        <v>0.0</v>
      </c>
      <c r="AA1483" s="140">
        <v>0.0</v>
      </c>
      <c r="AB1483" s="109">
        <v>0.0</v>
      </c>
      <c r="AC1483" s="109">
        <v>0.0</v>
      </c>
      <c r="AD1483" s="141">
        <v>384.0</v>
      </c>
      <c r="AE1483" s="80">
        <v>384.0</v>
      </c>
      <c r="AF1483" s="140">
        <v>0.0</v>
      </c>
      <c r="AG1483" s="109">
        <v>0.0</v>
      </c>
      <c r="AH1483" s="109">
        <v>0.0</v>
      </c>
      <c r="AI1483" s="141">
        <v>0.0</v>
      </c>
      <c r="AJ1483" s="80">
        <v>0.0</v>
      </c>
      <c r="AK1483" s="140">
        <v>0.0</v>
      </c>
      <c r="AL1483" s="109">
        <v>0.0</v>
      </c>
      <c r="AM1483" s="141">
        <v>0.0</v>
      </c>
      <c r="AN1483" s="80">
        <v>0.0</v>
      </c>
      <c r="AO1483" s="140">
        <v>0.0</v>
      </c>
      <c r="AP1483" s="109">
        <v>0.0</v>
      </c>
      <c r="AQ1483" s="109">
        <v>0.0</v>
      </c>
      <c r="AR1483" s="80">
        <v>0.0</v>
      </c>
      <c r="AS1483" s="110">
        <v>0.0</v>
      </c>
      <c r="AT1483" s="110">
        <v>0.0</v>
      </c>
      <c r="AU1483" s="110">
        <v>0.0</v>
      </c>
      <c r="AV1483" s="142">
        <v>0.0</v>
      </c>
      <c r="AW1483" s="80">
        <v>0.0</v>
      </c>
      <c r="AX1483" s="113">
        <v>384.0</v>
      </c>
      <c r="AY1483" s="117">
        <v>384.0</v>
      </c>
      <c r="AZ1483" s="328">
        <v>0.0</v>
      </c>
      <c r="BA1483" s="315">
        <v>0.0</v>
      </c>
      <c r="BB1483" s="316">
        <v>384.0</v>
      </c>
      <c r="BC1483" s="132" t="s">
        <v>178</v>
      </c>
      <c r="BD1483" s="132" t="s">
        <v>178</v>
      </c>
      <c r="BE1483" s="132" t="s">
        <v>178</v>
      </c>
      <c r="BF1483" s="156"/>
      <c r="BG1483" s="83">
        <v>1176392.0</v>
      </c>
      <c r="BH1483" s="112">
        <v>17.0</v>
      </c>
      <c r="BI1483" s="98" t="s">
        <v>155</v>
      </c>
      <c r="BJ1483" s="98" t="str">
        <f t="shared" si="1"/>
        <v>INTEGRAL</v>
      </c>
      <c r="BK1483" s="98" t="str">
        <f t="shared" si="2"/>
        <v>NÃO</v>
      </c>
    </row>
    <row r="1484" ht="15.75" customHeight="1">
      <c r="A1484" s="111" t="s">
        <v>1785</v>
      </c>
      <c r="B1484" s="83" t="s">
        <v>1994</v>
      </c>
      <c r="C1484" s="83" t="s">
        <v>68</v>
      </c>
      <c r="D1484" s="83">
        <v>1141998.0</v>
      </c>
      <c r="E1484" s="83"/>
      <c r="F1484" s="83">
        <v>2.9192218E7</v>
      </c>
      <c r="G1484" s="114" t="s">
        <v>8148</v>
      </c>
      <c r="H1484" s="91" t="s">
        <v>8149</v>
      </c>
      <c r="I1484" s="187" t="s">
        <v>8150</v>
      </c>
      <c r="J1484" s="136" t="s">
        <v>150</v>
      </c>
      <c r="K1484" s="83" t="s">
        <v>151</v>
      </c>
      <c r="L1484" s="83" t="s">
        <v>152</v>
      </c>
      <c r="M1484" s="82" t="s">
        <v>12293</v>
      </c>
      <c r="N1484" s="82"/>
      <c r="O1484" s="82"/>
      <c r="P1484" s="82"/>
      <c r="Q1484" s="82"/>
      <c r="R1484" s="82"/>
      <c r="S1484" s="82" t="s">
        <v>12294</v>
      </c>
      <c r="T1484" s="138">
        <v>16.0</v>
      </c>
      <c r="U1484" s="341">
        <v>11.0</v>
      </c>
      <c r="V1484" s="106">
        <v>0.0</v>
      </c>
      <c r="W1484" s="107">
        <v>0.0</v>
      </c>
      <c r="X1484" s="107">
        <v>0.0</v>
      </c>
      <c r="Y1484" s="107">
        <v>0.0</v>
      </c>
      <c r="Z1484" s="80">
        <v>0.0</v>
      </c>
      <c r="AA1484" s="140">
        <v>384.0</v>
      </c>
      <c r="AB1484" s="109">
        <v>314.0</v>
      </c>
      <c r="AC1484" s="109">
        <v>0.0</v>
      </c>
      <c r="AD1484" s="141">
        <v>0.0</v>
      </c>
      <c r="AE1484" s="80">
        <v>698.0</v>
      </c>
      <c r="AF1484" s="140">
        <v>0.0</v>
      </c>
      <c r="AG1484" s="109">
        <v>0.0</v>
      </c>
      <c r="AH1484" s="109">
        <v>0.0</v>
      </c>
      <c r="AI1484" s="141">
        <v>0.0</v>
      </c>
      <c r="AJ1484" s="80">
        <v>0.0</v>
      </c>
      <c r="AK1484" s="140">
        <v>0.0</v>
      </c>
      <c r="AL1484" s="109">
        <v>29.0</v>
      </c>
      <c r="AM1484" s="141">
        <v>0.0</v>
      </c>
      <c r="AN1484" s="80">
        <v>29.0</v>
      </c>
      <c r="AO1484" s="140">
        <v>0.0</v>
      </c>
      <c r="AP1484" s="109">
        <v>0.0</v>
      </c>
      <c r="AQ1484" s="109">
        <v>0.0</v>
      </c>
      <c r="AR1484" s="80">
        <v>0.0</v>
      </c>
      <c r="AS1484" s="110">
        <v>0.0</v>
      </c>
      <c r="AT1484" s="110">
        <v>0.0</v>
      </c>
      <c r="AU1484" s="110">
        <v>0.0</v>
      </c>
      <c r="AV1484" s="142">
        <v>0.0</v>
      </c>
      <c r="AW1484" s="80">
        <v>0.0</v>
      </c>
      <c r="AX1484" s="113">
        <v>727.0</v>
      </c>
      <c r="AY1484" s="117">
        <v>727.0</v>
      </c>
      <c r="AZ1484" s="328">
        <v>0.0</v>
      </c>
      <c r="BA1484" s="315">
        <v>0.0</v>
      </c>
      <c r="BB1484" s="316">
        <v>727.0</v>
      </c>
      <c r="BC1484" s="132" t="s">
        <v>178</v>
      </c>
      <c r="BD1484" s="132" t="s">
        <v>178</v>
      </c>
      <c r="BE1484" s="132" t="s">
        <v>178</v>
      </c>
      <c r="BF1484" s="123"/>
      <c r="BG1484" s="83">
        <v>1141998.0</v>
      </c>
      <c r="BH1484" s="112">
        <v>11.0</v>
      </c>
      <c r="BI1484" s="98" t="s">
        <v>155</v>
      </c>
      <c r="BJ1484" s="98" t="str">
        <f t="shared" si="1"/>
        <v>NÃO</v>
      </c>
      <c r="BK1484" s="98" t="str">
        <f t="shared" si="2"/>
        <v>NÃO</v>
      </c>
    </row>
    <row r="1485" ht="15.75" customHeight="1">
      <c r="A1485" s="111" t="s">
        <v>1785</v>
      </c>
      <c r="B1485" s="83" t="s">
        <v>1994</v>
      </c>
      <c r="C1485" s="83" t="s">
        <v>68</v>
      </c>
      <c r="D1485" s="83">
        <v>1102917.0</v>
      </c>
      <c r="E1485" s="83"/>
      <c r="F1485" s="83">
        <v>2.9186552E7</v>
      </c>
      <c r="G1485" s="114" t="s">
        <v>8152</v>
      </c>
      <c r="H1485" s="91" t="s">
        <v>8153</v>
      </c>
      <c r="I1485" s="187" t="s">
        <v>8154</v>
      </c>
      <c r="J1485" s="136" t="s">
        <v>150</v>
      </c>
      <c r="K1485" s="83" t="s">
        <v>151</v>
      </c>
      <c r="L1485" s="83" t="s">
        <v>169</v>
      </c>
      <c r="M1485" s="82" t="s">
        <v>12295</v>
      </c>
      <c r="N1485" s="82" t="s">
        <v>12296</v>
      </c>
      <c r="O1485" s="82"/>
      <c r="P1485" s="82"/>
      <c r="Q1485" s="82"/>
      <c r="R1485" s="82"/>
      <c r="S1485" s="82" t="s">
        <v>12297</v>
      </c>
      <c r="T1485" s="138">
        <v>7.0</v>
      </c>
      <c r="U1485" s="341">
        <v>7.0</v>
      </c>
      <c r="V1485" s="106">
        <v>0.0</v>
      </c>
      <c r="W1485" s="107">
        <v>0.0</v>
      </c>
      <c r="X1485" s="107">
        <v>0.0</v>
      </c>
      <c r="Y1485" s="107">
        <v>0.0</v>
      </c>
      <c r="Z1485" s="80">
        <v>0.0</v>
      </c>
      <c r="AA1485" s="140">
        <v>36.0</v>
      </c>
      <c r="AB1485" s="109">
        <v>30.0</v>
      </c>
      <c r="AC1485" s="109">
        <v>0.0</v>
      </c>
      <c r="AD1485" s="141">
        <v>192.0</v>
      </c>
      <c r="AE1485" s="80">
        <v>258.0</v>
      </c>
      <c r="AF1485" s="140">
        <v>0.0</v>
      </c>
      <c r="AG1485" s="109">
        <v>0.0</v>
      </c>
      <c r="AH1485" s="109">
        <v>0.0</v>
      </c>
      <c r="AI1485" s="141">
        <v>0.0</v>
      </c>
      <c r="AJ1485" s="80">
        <v>0.0</v>
      </c>
      <c r="AK1485" s="140">
        <v>0.0</v>
      </c>
      <c r="AL1485" s="109">
        <v>0.0</v>
      </c>
      <c r="AM1485" s="141">
        <v>0.0</v>
      </c>
      <c r="AN1485" s="80">
        <v>0.0</v>
      </c>
      <c r="AO1485" s="140">
        <v>0.0</v>
      </c>
      <c r="AP1485" s="109">
        <v>0.0</v>
      </c>
      <c r="AQ1485" s="109">
        <v>0.0</v>
      </c>
      <c r="AR1485" s="80">
        <v>0.0</v>
      </c>
      <c r="AS1485" s="110">
        <v>0.0</v>
      </c>
      <c r="AT1485" s="110">
        <v>0.0</v>
      </c>
      <c r="AU1485" s="110">
        <v>0.0</v>
      </c>
      <c r="AV1485" s="142">
        <v>0.0</v>
      </c>
      <c r="AW1485" s="80">
        <v>0.0</v>
      </c>
      <c r="AX1485" s="113">
        <v>258.0</v>
      </c>
      <c r="AY1485" s="117">
        <v>258.0</v>
      </c>
      <c r="AZ1485" s="328">
        <v>0.0</v>
      </c>
      <c r="BA1485" s="315">
        <v>0.0</v>
      </c>
      <c r="BB1485" s="316">
        <v>258.0</v>
      </c>
      <c r="BC1485" s="132" t="s">
        <v>178</v>
      </c>
      <c r="BD1485" s="132" t="s">
        <v>178</v>
      </c>
      <c r="BE1485" s="132" t="s">
        <v>178</v>
      </c>
      <c r="BF1485" s="123"/>
      <c r="BG1485" s="83">
        <v>1102917.0</v>
      </c>
      <c r="BH1485" s="112">
        <v>7.0</v>
      </c>
      <c r="BI1485" s="98" t="s">
        <v>155</v>
      </c>
      <c r="BJ1485" s="98" t="str">
        <f t="shared" si="1"/>
        <v>INTEGRAL</v>
      </c>
      <c r="BK1485" s="98" t="str">
        <f t="shared" si="2"/>
        <v>NÃO</v>
      </c>
    </row>
    <row r="1486" ht="15.75" customHeight="1">
      <c r="A1486" s="111" t="s">
        <v>1785</v>
      </c>
      <c r="B1486" s="83" t="s">
        <v>1994</v>
      </c>
      <c r="C1486" s="83" t="s">
        <v>68</v>
      </c>
      <c r="D1486" s="83">
        <v>1176074.0</v>
      </c>
      <c r="E1486" s="83"/>
      <c r="F1486" s="83">
        <v>2.9185408E7</v>
      </c>
      <c r="G1486" s="114" t="s">
        <v>8156</v>
      </c>
      <c r="H1486" s="91" t="s">
        <v>8157</v>
      </c>
      <c r="I1486" s="187" t="s">
        <v>8158</v>
      </c>
      <c r="J1486" s="136" t="s">
        <v>150</v>
      </c>
      <c r="K1486" s="83" t="s">
        <v>151</v>
      </c>
      <c r="L1486" s="83" t="s">
        <v>152</v>
      </c>
      <c r="M1486" s="82" t="s">
        <v>12298</v>
      </c>
      <c r="N1486" s="82" t="s">
        <v>12299</v>
      </c>
      <c r="O1486" s="82" t="s">
        <v>12300</v>
      </c>
      <c r="P1486" s="82" t="s">
        <v>12301</v>
      </c>
      <c r="Q1486" s="82"/>
      <c r="R1486" s="82"/>
      <c r="S1486" s="82" t="s">
        <v>12302</v>
      </c>
      <c r="T1486" s="138">
        <v>16.0</v>
      </c>
      <c r="U1486" s="341">
        <v>16.0</v>
      </c>
      <c r="V1486" s="106">
        <v>0.0</v>
      </c>
      <c r="W1486" s="107">
        <v>0.0</v>
      </c>
      <c r="X1486" s="107">
        <v>0.0</v>
      </c>
      <c r="Y1486" s="107">
        <v>0.0</v>
      </c>
      <c r="Z1486" s="80">
        <v>0.0</v>
      </c>
      <c r="AA1486" s="140">
        <v>150.0</v>
      </c>
      <c r="AB1486" s="109">
        <v>100.0</v>
      </c>
      <c r="AC1486" s="109">
        <v>0.0</v>
      </c>
      <c r="AD1486" s="141">
        <v>320.0</v>
      </c>
      <c r="AE1486" s="80">
        <v>570.0</v>
      </c>
      <c r="AF1486" s="140">
        <v>0.0</v>
      </c>
      <c r="AG1486" s="109">
        <v>0.0</v>
      </c>
      <c r="AH1486" s="109">
        <v>0.0</v>
      </c>
      <c r="AI1486" s="141">
        <v>0.0</v>
      </c>
      <c r="AJ1486" s="80">
        <v>0.0</v>
      </c>
      <c r="AK1486" s="140">
        <v>0.0</v>
      </c>
      <c r="AL1486" s="109">
        <v>0.0</v>
      </c>
      <c r="AM1486" s="141">
        <v>143.0</v>
      </c>
      <c r="AN1486" s="80">
        <v>143.0</v>
      </c>
      <c r="AO1486" s="140">
        <v>0.0</v>
      </c>
      <c r="AP1486" s="109">
        <v>0.0</v>
      </c>
      <c r="AQ1486" s="109">
        <v>0.0</v>
      </c>
      <c r="AR1486" s="80">
        <v>0.0</v>
      </c>
      <c r="AS1486" s="110">
        <v>0.0</v>
      </c>
      <c r="AT1486" s="110">
        <v>0.0</v>
      </c>
      <c r="AU1486" s="110">
        <v>0.0</v>
      </c>
      <c r="AV1486" s="142">
        <v>0.0</v>
      </c>
      <c r="AW1486" s="80">
        <v>0.0</v>
      </c>
      <c r="AX1486" s="113">
        <v>713.0</v>
      </c>
      <c r="AY1486" s="117">
        <v>570.0</v>
      </c>
      <c r="AZ1486" s="328">
        <v>143.0</v>
      </c>
      <c r="BA1486" s="315">
        <v>5.0</v>
      </c>
      <c r="BB1486" s="316">
        <v>718.0</v>
      </c>
      <c r="BC1486" s="132" t="s">
        <v>178</v>
      </c>
      <c r="BD1486" s="132" t="s">
        <v>178</v>
      </c>
      <c r="BE1486" s="132" t="s">
        <v>178</v>
      </c>
      <c r="BF1486" s="123"/>
      <c r="BG1486" s="83">
        <v>1176074.0</v>
      </c>
      <c r="BH1486" s="112">
        <v>16.0</v>
      </c>
      <c r="BI1486" s="98" t="s">
        <v>155</v>
      </c>
      <c r="BJ1486" s="98" t="str">
        <f t="shared" si="1"/>
        <v>INTEGRAL</v>
      </c>
      <c r="BK1486" s="98" t="str">
        <f t="shared" si="2"/>
        <v>NÃO</v>
      </c>
    </row>
    <row r="1487" ht="15.75" customHeight="1">
      <c r="A1487" s="111" t="s">
        <v>1785</v>
      </c>
      <c r="B1487" s="83" t="s">
        <v>1994</v>
      </c>
      <c r="C1487" s="83" t="s">
        <v>68</v>
      </c>
      <c r="D1487" s="83">
        <v>1104375.0</v>
      </c>
      <c r="E1487" s="83"/>
      <c r="F1487" s="83">
        <v>2.9183839E7</v>
      </c>
      <c r="G1487" s="114" t="s">
        <v>8160</v>
      </c>
      <c r="H1487" s="91" t="s">
        <v>8161</v>
      </c>
      <c r="I1487" s="187" t="s">
        <v>8162</v>
      </c>
      <c r="J1487" s="136" t="s">
        <v>150</v>
      </c>
      <c r="K1487" s="83" t="s">
        <v>8163</v>
      </c>
      <c r="L1487" s="83" t="s">
        <v>152</v>
      </c>
      <c r="M1487" s="82" t="s">
        <v>12303</v>
      </c>
      <c r="N1487" s="82" t="s">
        <v>12304</v>
      </c>
      <c r="O1487" s="82" t="s">
        <v>12305</v>
      </c>
      <c r="P1487" s="82" t="s">
        <v>12306</v>
      </c>
      <c r="Q1487" s="82"/>
      <c r="R1487" s="82"/>
      <c r="S1487" s="82" t="s">
        <v>12307</v>
      </c>
      <c r="T1487" s="138">
        <v>15.0</v>
      </c>
      <c r="U1487" s="341">
        <v>15.0</v>
      </c>
      <c r="V1487" s="106">
        <v>0.0</v>
      </c>
      <c r="W1487" s="107">
        <v>0.0</v>
      </c>
      <c r="X1487" s="107">
        <v>0.0</v>
      </c>
      <c r="Y1487" s="107">
        <v>0.0</v>
      </c>
      <c r="Z1487" s="80">
        <v>0.0</v>
      </c>
      <c r="AA1487" s="140">
        <v>332.0</v>
      </c>
      <c r="AB1487" s="109">
        <v>313.0</v>
      </c>
      <c r="AC1487" s="109">
        <v>0.0</v>
      </c>
      <c r="AD1487" s="141">
        <v>0.0</v>
      </c>
      <c r="AE1487" s="80">
        <v>645.0</v>
      </c>
      <c r="AF1487" s="140">
        <v>0.0</v>
      </c>
      <c r="AG1487" s="109">
        <v>0.0</v>
      </c>
      <c r="AH1487" s="109">
        <v>0.0</v>
      </c>
      <c r="AI1487" s="141">
        <v>0.0</v>
      </c>
      <c r="AJ1487" s="80">
        <v>0.0</v>
      </c>
      <c r="AK1487" s="140">
        <v>0.0</v>
      </c>
      <c r="AL1487" s="109">
        <v>0.0</v>
      </c>
      <c r="AM1487" s="141">
        <v>0.0</v>
      </c>
      <c r="AN1487" s="80">
        <v>0.0</v>
      </c>
      <c r="AO1487" s="140">
        <v>0.0</v>
      </c>
      <c r="AP1487" s="109">
        <v>0.0</v>
      </c>
      <c r="AQ1487" s="109">
        <v>0.0</v>
      </c>
      <c r="AR1487" s="80">
        <v>0.0</v>
      </c>
      <c r="AS1487" s="110">
        <v>0.0</v>
      </c>
      <c r="AT1487" s="110">
        <v>0.0</v>
      </c>
      <c r="AU1487" s="110">
        <v>0.0</v>
      </c>
      <c r="AV1487" s="142">
        <v>0.0</v>
      </c>
      <c r="AW1487" s="80">
        <v>0.0</v>
      </c>
      <c r="AX1487" s="113">
        <v>645.0</v>
      </c>
      <c r="AY1487" s="117">
        <v>645.0</v>
      </c>
      <c r="AZ1487" s="328">
        <v>0.0</v>
      </c>
      <c r="BA1487" s="315">
        <v>0.0</v>
      </c>
      <c r="BB1487" s="316">
        <v>645.0</v>
      </c>
      <c r="BC1487" s="132" t="s">
        <v>178</v>
      </c>
      <c r="BD1487" s="132" t="s">
        <v>178</v>
      </c>
      <c r="BE1487" s="132" t="s">
        <v>178</v>
      </c>
      <c r="BF1487" s="123"/>
      <c r="BG1487" s="83">
        <v>1104375.0</v>
      </c>
      <c r="BH1487" s="112">
        <v>15.0</v>
      </c>
      <c r="BI1487" s="98" t="s">
        <v>155</v>
      </c>
      <c r="BJ1487" s="98" t="str">
        <f t="shared" si="1"/>
        <v>NÃO</v>
      </c>
      <c r="BK1487" s="98" t="str">
        <f t="shared" si="2"/>
        <v>NÃO</v>
      </c>
    </row>
    <row r="1488" ht="15.75" customHeight="1">
      <c r="A1488" s="111" t="s">
        <v>1785</v>
      </c>
      <c r="B1488" s="83" t="s">
        <v>1994</v>
      </c>
      <c r="C1488" s="83" t="s">
        <v>68</v>
      </c>
      <c r="D1488" s="83">
        <v>1176800.0</v>
      </c>
      <c r="E1488" s="83"/>
      <c r="F1488" s="83">
        <v>2.9404312E7</v>
      </c>
      <c r="G1488" s="114" t="s">
        <v>8165</v>
      </c>
      <c r="H1488" s="91" t="s">
        <v>8166</v>
      </c>
      <c r="I1488" s="187" t="s">
        <v>8167</v>
      </c>
      <c r="J1488" s="136" t="s">
        <v>150</v>
      </c>
      <c r="K1488" s="83" t="s">
        <v>151</v>
      </c>
      <c r="L1488" s="83" t="s">
        <v>76</v>
      </c>
      <c r="M1488" s="82" t="s">
        <v>12308</v>
      </c>
      <c r="N1488" s="82" t="s">
        <v>12309</v>
      </c>
      <c r="O1488" s="82" t="s">
        <v>12310</v>
      </c>
      <c r="P1488" s="82" t="s">
        <v>12311</v>
      </c>
      <c r="Q1488" s="82"/>
      <c r="R1488" s="82"/>
      <c r="S1488" s="82" t="s">
        <v>12312</v>
      </c>
      <c r="T1488" s="138">
        <v>7.0</v>
      </c>
      <c r="U1488" s="341">
        <v>7.0</v>
      </c>
      <c r="V1488" s="106">
        <v>0.0</v>
      </c>
      <c r="W1488" s="107">
        <v>0.0</v>
      </c>
      <c r="X1488" s="107">
        <v>0.0</v>
      </c>
      <c r="Y1488" s="107">
        <v>0.0</v>
      </c>
      <c r="Z1488" s="80">
        <v>0.0</v>
      </c>
      <c r="AA1488" s="140">
        <v>190.0</v>
      </c>
      <c r="AB1488" s="109">
        <v>183.0</v>
      </c>
      <c r="AC1488" s="109">
        <v>0.0</v>
      </c>
      <c r="AD1488" s="141">
        <v>0.0</v>
      </c>
      <c r="AE1488" s="80">
        <v>373.0</v>
      </c>
      <c r="AF1488" s="140">
        <v>0.0</v>
      </c>
      <c r="AG1488" s="109">
        <v>0.0</v>
      </c>
      <c r="AH1488" s="109">
        <v>0.0</v>
      </c>
      <c r="AI1488" s="141">
        <v>0.0</v>
      </c>
      <c r="AJ1488" s="80">
        <v>0.0</v>
      </c>
      <c r="AK1488" s="140">
        <v>0.0</v>
      </c>
      <c r="AL1488" s="109">
        <v>0.0</v>
      </c>
      <c r="AM1488" s="141">
        <v>0.0</v>
      </c>
      <c r="AN1488" s="80">
        <v>0.0</v>
      </c>
      <c r="AO1488" s="140">
        <v>0.0</v>
      </c>
      <c r="AP1488" s="109">
        <v>0.0</v>
      </c>
      <c r="AQ1488" s="109">
        <v>0.0</v>
      </c>
      <c r="AR1488" s="80">
        <v>0.0</v>
      </c>
      <c r="AS1488" s="110">
        <v>0.0</v>
      </c>
      <c r="AT1488" s="110">
        <v>0.0</v>
      </c>
      <c r="AU1488" s="110">
        <v>0.0</v>
      </c>
      <c r="AV1488" s="142">
        <v>0.0</v>
      </c>
      <c r="AW1488" s="80">
        <v>0.0</v>
      </c>
      <c r="AX1488" s="113">
        <v>373.0</v>
      </c>
      <c r="AY1488" s="117">
        <v>373.0</v>
      </c>
      <c r="AZ1488" s="328">
        <v>0.0</v>
      </c>
      <c r="BA1488" s="315">
        <v>0.0</v>
      </c>
      <c r="BB1488" s="316">
        <v>373.0</v>
      </c>
      <c r="BC1488" s="132" t="s">
        <v>178</v>
      </c>
      <c r="BD1488" s="132" t="s">
        <v>178</v>
      </c>
      <c r="BE1488" s="132" t="s">
        <v>178</v>
      </c>
      <c r="BF1488" s="156"/>
      <c r="BG1488" s="83">
        <v>1176800.0</v>
      </c>
      <c r="BH1488" s="112">
        <v>7.0</v>
      </c>
      <c r="BI1488" s="98" t="s">
        <v>155</v>
      </c>
      <c r="BJ1488" s="98" t="str">
        <f t="shared" si="1"/>
        <v>NÃO</v>
      </c>
      <c r="BK1488" s="98" t="str">
        <f t="shared" si="2"/>
        <v>NÃO</v>
      </c>
    </row>
    <row r="1489" ht="15.75" customHeight="1">
      <c r="A1489" s="111" t="s">
        <v>1785</v>
      </c>
      <c r="B1489" s="83" t="s">
        <v>1994</v>
      </c>
      <c r="C1489" s="83" t="s">
        <v>68</v>
      </c>
      <c r="D1489" s="83">
        <v>1104715.0</v>
      </c>
      <c r="E1489" s="83"/>
      <c r="F1489" s="83">
        <v>2.9187079E7</v>
      </c>
      <c r="G1489" s="114" t="s">
        <v>8169</v>
      </c>
      <c r="H1489" s="91" t="s">
        <v>8170</v>
      </c>
      <c r="I1489" s="187" t="s">
        <v>8171</v>
      </c>
      <c r="J1489" s="136" t="s">
        <v>150</v>
      </c>
      <c r="K1489" s="83" t="s">
        <v>151</v>
      </c>
      <c r="L1489" s="83" t="s">
        <v>152</v>
      </c>
      <c r="M1489" s="82" t="s">
        <v>12313</v>
      </c>
      <c r="N1489" s="82" t="s">
        <v>12314</v>
      </c>
      <c r="O1489" s="82" t="s">
        <v>12315</v>
      </c>
      <c r="P1489" s="82" t="s">
        <v>12316</v>
      </c>
      <c r="Q1489" s="82" t="s">
        <v>12317</v>
      </c>
      <c r="R1489" s="82" t="s">
        <v>12318</v>
      </c>
      <c r="S1489" s="82" t="s">
        <v>12319</v>
      </c>
      <c r="T1489" s="138">
        <v>15.0</v>
      </c>
      <c r="U1489" s="341" t="s">
        <v>12320</v>
      </c>
      <c r="V1489" s="106">
        <v>0.0</v>
      </c>
      <c r="W1489" s="107">
        <v>0.0</v>
      </c>
      <c r="X1489" s="107">
        <v>0.0</v>
      </c>
      <c r="Y1489" s="107">
        <v>0.0</v>
      </c>
      <c r="Z1489" s="80">
        <v>0.0</v>
      </c>
      <c r="AA1489" s="140">
        <v>415.0</v>
      </c>
      <c r="AB1489" s="109">
        <v>271.0</v>
      </c>
      <c r="AC1489" s="109">
        <v>0.0</v>
      </c>
      <c r="AD1489" s="141">
        <v>30.0</v>
      </c>
      <c r="AE1489" s="80">
        <v>716.0</v>
      </c>
      <c r="AF1489" s="140">
        <v>0.0</v>
      </c>
      <c r="AG1489" s="109">
        <v>0.0</v>
      </c>
      <c r="AH1489" s="109">
        <v>0.0</v>
      </c>
      <c r="AI1489" s="141">
        <v>0.0</v>
      </c>
      <c r="AJ1489" s="80">
        <v>0.0</v>
      </c>
      <c r="AK1489" s="140">
        <v>0.0</v>
      </c>
      <c r="AL1489" s="109">
        <v>0.0</v>
      </c>
      <c r="AM1489" s="141">
        <v>52.0</v>
      </c>
      <c r="AN1489" s="80">
        <v>52.0</v>
      </c>
      <c r="AO1489" s="140">
        <v>0.0</v>
      </c>
      <c r="AP1489" s="109">
        <v>0.0</v>
      </c>
      <c r="AQ1489" s="109">
        <v>0.0</v>
      </c>
      <c r="AR1489" s="80">
        <v>0.0</v>
      </c>
      <c r="AS1489" s="110">
        <v>0.0</v>
      </c>
      <c r="AT1489" s="110">
        <v>0.0</v>
      </c>
      <c r="AU1489" s="110">
        <v>0.0</v>
      </c>
      <c r="AV1489" s="142">
        <v>0.0</v>
      </c>
      <c r="AW1489" s="80">
        <v>0.0</v>
      </c>
      <c r="AX1489" s="113">
        <v>768.0</v>
      </c>
      <c r="AY1489" s="117">
        <v>716.0</v>
      </c>
      <c r="AZ1489" s="328">
        <v>52.0</v>
      </c>
      <c r="BA1489" s="315">
        <v>0.0</v>
      </c>
      <c r="BB1489" s="316">
        <v>768.0</v>
      </c>
      <c r="BC1489" s="132" t="s">
        <v>178</v>
      </c>
      <c r="BD1489" s="132" t="s">
        <v>178</v>
      </c>
      <c r="BE1489" s="132" t="s">
        <v>178</v>
      </c>
      <c r="BF1489" s="156"/>
      <c r="BG1489" s="83">
        <v>1104715.0</v>
      </c>
      <c r="BH1489" s="112">
        <v>15.0</v>
      </c>
      <c r="BI1489" s="98" t="s">
        <v>155</v>
      </c>
      <c r="BJ1489" s="98" t="str">
        <f t="shared" si="1"/>
        <v>INTEGRAL</v>
      </c>
      <c r="BK1489" s="98" t="str">
        <f t="shared" si="2"/>
        <v>NÃO</v>
      </c>
    </row>
    <row r="1490" ht="15.75" customHeight="1">
      <c r="A1490" s="111" t="s">
        <v>1785</v>
      </c>
      <c r="B1490" s="83" t="s">
        <v>1994</v>
      </c>
      <c r="C1490" s="83" t="s">
        <v>68</v>
      </c>
      <c r="D1490" s="83">
        <v>1101759.0</v>
      </c>
      <c r="E1490" s="83"/>
      <c r="F1490" s="83">
        <v>2.9187877E7</v>
      </c>
      <c r="G1490" s="114" t="s">
        <v>8173</v>
      </c>
      <c r="H1490" s="91" t="s">
        <v>8174</v>
      </c>
      <c r="I1490" s="187" t="s">
        <v>8175</v>
      </c>
      <c r="J1490" s="136" t="s">
        <v>150</v>
      </c>
      <c r="K1490" s="83" t="s">
        <v>151</v>
      </c>
      <c r="L1490" s="83" t="s">
        <v>152</v>
      </c>
      <c r="M1490" s="82" t="s">
        <v>12321</v>
      </c>
      <c r="N1490" s="82" t="s">
        <v>12322</v>
      </c>
      <c r="O1490" s="82" t="s">
        <v>12323</v>
      </c>
      <c r="P1490" s="82" t="s">
        <v>12324</v>
      </c>
      <c r="Q1490" s="82"/>
      <c r="R1490" s="82"/>
      <c r="S1490" s="82" t="s">
        <v>12325</v>
      </c>
      <c r="T1490" s="138">
        <v>8.0</v>
      </c>
      <c r="U1490" s="341">
        <v>8.0</v>
      </c>
      <c r="V1490" s="106">
        <v>0.0</v>
      </c>
      <c r="W1490" s="107">
        <v>0.0</v>
      </c>
      <c r="X1490" s="107">
        <v>0.0</v>
      </c>
      <c r="Y1490" s="107">
        <v>0.0</v>
      </c>
      <c r="Z1490" s="80">
        <v>0.0</v>
      </c>
      <c r="AA1490" s="140">
        <v>276.0</v>
      </c>
      <c r="AB1490" s="109">
        <v>250.0</v>
      </c>
      <c r="AC1490" s="109">
        <v>0.0</v>
      </c>
      <c r="AD1490" s="141">
        <v>0.0</v>
      </c>
      <c r="AE1490" s="80">
        <v>526.0</v>
      </c>
      <c r="AF1490" s="140">
        <v>0.0</v>
      </c>
      <c r="AG1490" s="109">
        <v>0.0</v>
      </c>
      <c r="AH1490" s="109">
        <v>0.0</v>
      </c>
      <c r="AI1490" s="141">
        <v>0.0</v>
      </c>
      <c r="AJ1490" s="80">
        <v>0.0</v>
      </c>
      <c r="AK1490" s="140">
        <v>0.0</v>
      </c>
      <c r="AL1490" s="109">
        <v>0.0</v>
      </c>
      <c r="AM1490" s="141">
        <v>0.0</v>
      </c>
      <c r="AN1490" s="80">
        <v>0.0</v>
      </c>
      <c r="AO1490" s="140">
        <v>0.0</v>
      </c>
      <c r="AP1490" s="109">
        <v>0.0</v>
      </c>
      <c r="AQ1490" s="109">
        <v>0.0</v>
      </c>
      <c r="AR1490" s="80">
        <v>0.0</v>
      </c>
      <c r="AS1490" s="110">
        <v>0.0</v>
      </c>
      <c r="AT1490" s="110">
        <v>0.0</v>
      </c>
      <c r="AU1490" s="110">
        <v>0.0</v>
      </c>
      <c r="AV1490" s="142">
        <v>0.0</v>
      </c>
      <c r="AW1490" s="80">
        <v>0.0</v>
      </c>
      <c r="AX1490" s="113">
        <v>526.0</v>
      </c>
      <c r="AY1490" s="117">
        <v>526.0</v>
      </c>
      <c r="AZ1490" s="328">
        <v>0.0</v>
      </c>
      <c r="BA1490" s="315">
        <v>0.0</v>
      </c>
      <c r="BB1490" s="316">
        <v>526.0</v>
      </c>
      <c r="BC1490" s="132" t="s">
        <v>178</v>
      </c>
      <c r="BD1490" s="132" t="s">
        <v>178</v>
      </c>
      <c r="BE1490" s="132" t="s">
        <v>178</v>
      </c>
      <c r="BF1490" s="123"/>
      <c r="BG1490" s="83">
        <v>1101759.0</v>
      </c>
      <c r="BH1490" s="112">
        <v>8.0</v>
      </c>
      <c r="BI1490" s="98" t="s">
        <v>155</v>
      </c>
      <c r="BJ1490" s="98" t="str">
        <f t="shared" si="1"/>
        <v>NÃO</v>
      </c>
      <c r="BK1490" s="98" t="str">
        <f t="shared" si="2"/>
        <v>NÃO</v>
      </c>
    </row>
    <row r="1491" ht="15.75" customHeight="1">
      <c r="A1491" s="111" t="s">
        <v>1785</v>
      </c>
      <c r="B1491" s="83" t="s">
        <v>1994</v>
      </c>
      <c r="C1491" s="83" t="s">
        <v>68</v>
      </c>
      <c r="D1491" s="83">
        <v>1103557.0</v>
      </c>
      <c r="E1491" s="83"/>
      <c r="F1491" s="83">
        <v>2.9186749E7</v>
      </c>
      <c r="G1491" s="114" t="s">
        <v>8177</v>
      </c>
      <c r="H1491" s="91" t="s">
        <v>8178</v>
      </c>
      <c r="I1491" s="187" t="s">
        <v>8179</v>
      </c>
      <c r="J1491" s="136" t="s">
        <v>150</v>
      </c>
      <c r="K1491" s="83" t="s">
        <v>151</v>
      </c>
      <c r="L1491" s="83" t="s">
        <v>152</v>
      </c>
      <c r="M1491" s="82" t="s">
        <v>12326</v>
      </c>
      <c r="N1491" s="82" t="s">
        <v>12327</v>
      </c>
      <c r="O1491" s="82" t="s">
        <v>12328</v>
      </c>
      <c r="P1491" s="82" t="s">
        <v>12329</v>
      </c>
      <c r="Q1491" s="82"/>
      <c r="R1491" s="82"/>
      <c r="S1491" s="82" t="s">
        <v>12330</v>
      </c>
      <c r="T1491" s="138">
        <v>12.0</v>
      </c>
      <c r="U1491" s="341">
        <v>12.0</v>
      </c>
      <c r="V1491" s="106">
        <v>0.0</v>
      </c>
      <c r="W1491" s="107">
        <v>0.0</v>
      </c>
      <c r="X1491" s="107">
        <v>0.0</v>
      </c>
      <c r="Y1491" s="107">
        <v>0.0</v>
      </c>
      <c r="Z1491" s="80">
        <v>0.0</v>
      </c>
      <c r="AA1491" s="140">
        <v>239.0</v>
      </c>
      <c r="AB1491" s="109">
        <v>160.0</v>
      </c>
      <c r="AC1491" s="109">
        <v>0.0</v>
      </c>
      <c r="AD1491" s="141">
        <v>32.0</v>
      </c>
      <c r="AE1491" s="80">
        <v>431.0</v>
      </c>
      <c r="AF1491" s="140">
        <v>0.0</v>
      </c>
      <c r="AG1491" s="109">
        <v>0.0</v>
      </c>
      <c r="AH1491" s="109">
        <v>0.0</v>
      </c>
      <c r="AI1491" s="141">
        <v>0.0</v>
      </c>
      <c r="AJ1491" s="80">
        <v>0.0</v>
      </c>
      <c r="AK1491" s="140">
        <v>0.0</v>
      </c>
      <c r="AL1491" s="109">
        <v>0.0</v>
      </c>
      <c r="AM1491" s="141">
        <v>0.0</v>
      </c>
      <c r="AN1491" s="80">
        <v>0.0</v>
      </c>
      <c r="AO1491" s="140">
        <v>0.0</v>
      </c>
      <c r="AP1491" s="109">
        <v>0.0</v>
      </c>
      <c r="AQ1491" s="109">
        <v>0.0</v>
      </c>
      <c r="AR1491" s="80">
        <v>0.0</v>
      </c>
      <c r="AS1491" s="110">
        <v>0.0</v>
      </c>
      <c r="AT1491" s="110">
        <v>0.0</v>
      </c>
      <c r="AU1491" s="110">
        <v>0.0</v>
      </c>
      <c r="AV1491" s="142">
        <v>0.0</v>
      </c>
      <c r="AW1491" s="80">
        <v>0.0</v>
      </c>
      <c r="AX1491" s="113">
        <v>431.0</v>
      </c>
      <c r="AY1491" s="117">
        <v>431.0</v>
      </c>
      <c r="AZ1491" s="328">
        <v>0.0</v>
      </c>
      <c r="BA1491" s="315">
        <v>0.0</v>
      </c>
      <c r="BB1491" s="316">
        <v>431.0</v>
      </c>
      <c r="BC1491" s="132" t="s">
        <v>178</v>
      </c>
      <c r="BD1491" s="132" t="s">
        <v>178</v>
      </c>
      <c r="BE1491" s="132" t="s">
        <v>178</v>
      </c>
      <c r="BF1491" s="156"/>
      <c r="BG1491" s="83">
        <v>1103557.0</v>
      </c>
      <c r="BH1491" s="112">
        <v>12.0</v>
      </c>
      <c r="BI1491" s="98" t="s">
        <v>155</v>
      </c>
      <c r="BJ1491" s="98" t="str">
        <f t="shared" si="1"/>
        <v>INTEGRAL</v>
      </c>
      <c r="BK1491" s="98" t="str">
        <f t="shared" si="2"/>
        <v>NÃO</v>
      </c>
    </row>
    <row r="1492" ht="15.75" customHeight="1">
      <c r="A1492" s="111" t="s">
        <v>1785</v>
      </c>
      <c r="B1492" s="83" t="s">
        <v>1994</v>
      </c>
      <c r="C1492" s="83" t="s">
        <v>68</v>
      </c>
      <c r="D1492" s="83">
        <v>1102836.0</v>
      </c>
      <c r="E1492" s="83"/>
      <c r="F1492" s="83">
        <v>2.9193656E7</v>
      </c>
      <c r="G1492" s="114" t="s">
        <v>8181</v>
      </c>
      <c r="H1492" s="91" t="s">
        <v>8182</v>
      </c>
      <c r="I1492" s="187" t="s">
        <v>8183</v>
      </c>
      <c r="J1492" s="136" t="s">
        <v>150</v>
      </c>
      <c r="K1492" s="83" t="s">
        <v>151</v>
      </c>
      <c r="L1492" s="83" t="s">
        <v>76</v>
      </c>
      <c r="M1492" s="82" t="s">
        <v>12332</v>
      </c>
      <c r="N1492" s="82" t="s">
        <v>12333</v>
      </c>
      <c r="O1492" s="82" t="s">
        <v>12334</v>
      </c>
      <c r="P1492" s="82" t="s">
        <v>12335</v>
      </c>
      <c r="Q1492" s="82"/>
      <c r="R1492" s="82"/>
      <c r="S1492" s="82" t="s">
        <v>12336</v>
      </c>
      <c r="T1492" s="138">
        <v>8.0</v>
      </c>
      <c r="U1492" s="341">
        <v>8.0</v>
      </c>
      <c r="V1492" s="106">
        <v>0.0</v>
      </c>
      <c r="W1492" s="107">
        <v>0.0</v>
      </c>
      <c r="X1492" s="107">
        <v>0.0</v>
      </c>
      <c r="Y1492" s="107">
        <v>0.0</v>
      </c>
      <c r="Z1492" s="80">
        <v>0.0</v>
      </c>
      <c r="AA1492" s="140">
        <v>215.0</v>
      </c>
      <c r="AB1492" s="109">
        <v>126.0</v>
      </c>
      <c r="AC1492" s="109">
        <v>0.0</v>
      </c>
      <c r="AD1492" s="141">
        <v>0.0</v>
      </c>
      <c r="AE1492" s="80">
        <v>341.0</v>
      </c>
      <c r="AF1492" s="140">
        <v>0.0</v>
      </c>
      <c r="AG1492" s="109">
        <v>0.0</v>
      </c>
      <c r="AH1492" s="109">
        <v>0.0</v>
      </c>
      <c r="AI1492" s="141">
        <v>0.0</v>
      </c>
      <c r="AJ1492" s="80">
        <v>0.0</v>
      </c>
      <c r="AK1492" s="140">
        <v>0.0</v>
      </c>
      <c r="AL1492" s="109">
        <v>0.0</v>
      </c>
      <c r="AM1492" s="141">
        <v>106.0</v>
      </c>
      <c r="AN1492" s="80">
        <v>106.0</v>
      </c>
      <c r="AO1492" s="140">
        <v>0.0</v>
      </c>
      <c r="AP1492" s="109">
        <v>0.0</v>
      </c>
      <c r="AQ1492" s="109">
        <v>0.0</v>
      </c>
      <c r="AR1492" s="80">
        <v>0.0</v>
      </c>
      <c r="AS1492" s="110">
        <v>0.0</v>
      </c>
      <c r="AT1492" s="110">
        <v>0.0</v>
      </c>
      <c r="AU1492" s="110">
        <v>0.0</v>
      </c>
      <c r="AV1492" s="142">
        <v>0.0</v>
      </c>
      <c r="AW1492" s="80">
        <v>0.0</v>
      </c>
      <c r="AX1492" s="113">
        <v>447.0</v>
      </c>
      <c r="AY1492" s="117">
        <v>341.0</v>
      </c>
      <c r="AZ1492" s="328">
        <v>106.0</v>
      </c>
      <c r="BA1492" s="315">
        <v>2.0</v>
      </c>
      <c r="BB1492" s="316">
        <v>449.0</v>
      </c>
      <c r="BC1492" s="132" t="s">
        <v>178</v>
      </c>
      <c r="BD1492" s="132" t="s">
        <v>178</v>
      </c>
      <c r="BE1492" s="132" t="s">
        <v>178</v>
      </c>
      <c r="BF1492" s="179"/>
      <c r="BG1492" s="83">
        <v>1102836.0</v>
      </c>
      <c r="BH1492" s="112">
        <v>8.0</v>
      </c>
      <c r="BI1492" s="98" t="s">
        <v>155</v>
      </c>
      <c r="BJ1492" s="98" t="str">
        <f t="shared" si="1"/>
        <v>NÃO</v>
      </c>
      <c r="BK1492" s="98" t="str">
        <f t="shared" si="2"/>
        <v>NÃO</v>
      </c>
    </row>
    <row r="1493" ht="15.75" customHeight="1">
      <c r="A1493" s="111" t="s">
        <v>1785</v>
      </c>
      <c r="B1493" s="83" t="s">
        <v>1994</v>
      </c>
      <c r="C1493" s="83" t="s">
        <v>68</v>
      </c>
      <c r="D1493" s="83">
        <v>1176202.0</v>
      </c>
      <c r="E1493" s="83"/>
      <c r="F1493" s="83">
        <v>2.9357624E7</v>
      </c>
      <c r="G1493" s="114" t="s">
        <v>8185</v>
      </c>
      <c r="H1493" s="91" t="s">
        <v>8186</v>
      </c>
      <c r="I1493" s="114" t="s">
        <v>8187</v>
      </c>
      <c r="J1493" s="83" t="s">
        <v>150</v>
      </c>
      <c r="K1493" s="83" t="s">
        <v>151</v>
      </c>
      <c r="L1493" s="83" t="s">
        <v>76</v>
      </c>
      <c r="M1493" s="82" t="s">
        <v>12337</v>
      </c>
      <c r="N1493" s="82" t="s">
        <v>12338</v>
      </c>
      <c r="O1493" s="82" t="s">
        <v>12339</v>
      </c>
      <c r="P1493" s="82" t="s">
        <v>12340</v>
      </c>
      <c r="Q1493" s="82"/>
      <c r="R1493" s="82"/>
      <c r="S1493" s="82" t="s">
        <v>12341</v>
      </c>
      <c r="T1493" s="138">
        <v>7.0</v>
      </c>
      <c r="U1493" s="341">
        <v>7.0</v>
      </c>
      <c r="V1493" s="106">
        <v>0.0</v>
      </c>
      <c r="W1493" s="107">
        <v>0.0</v>
      </c>
      <c r="X1493" s="107">
        <v>0.0</v>
      </c>
      <c r="Y1493" s="107">
        <v>0.0</v>
      </c>
      <c r="Z1493" s="80">
        <v>0.0</v>
      </c>
      <c r="AA1493" s="140">
        <v>0.0</v>
      </c>
      <c r="AB1493" s="109">
        <v>0.0</v>
      </c>
      <c r="AC1493" s="109">
        <v>0.0</v>
      </c>
      <c r="AD1493" s="141">
        <v>232.0</v>
      </c>
      <c r="AE1493" s="80">
        <v>232.0</v>
      </c>
      <c r="AF1493" s="140">
        <v>0.0</v>
      </c>
      <c r="AG1493" s="109">
        <v>0.0</v>
      </c>
      <c r="AH1493" s="109">
        <v>0.0</v>
      </c>
      <c r="AI1493" s="141">
        <v>0.0</v>
      </c>
      <c r="AJ1493" s="80">
        <v>0.0</v>
      </c>
      <c r="AK1493" s="140">
        <v>0.0</v>
      </c>
      <c r="AL1493" s="109">
        <v>0.0</v>
      </c>
      <c r="AM1493" s="141">
        <v>0.0</v>
      </c>
      <c r="AN1493" s="80">
        <v>0.0</v>
      </c>
      <c r="AO1493" s="140">
        <v>0.0</v>
      </c>
      <c r="AP1493" s="109">
        <v>0.0</v>
      </c>
      <c r="AQ1493" s="109">
        <v>0.0</v>
      </c>
      <c r="AR1493" s="80">
        <v>0.0</v>
      </c>
      <c r="AS1493" s="110">
        <v>0.0</v>
      </c>
      <c r="AT1493" s="110">
        <v>0.0</v>
      </c>
      <c r="AU1493" s="110">
        <v>0.0</v>
      </c>
      <c r="AV1493" s="142">
        <v>0.0</v>
      </c>
      <c r="AW1493" s="80">
        <v>0.0</v>
      </c>
      <c r="AX1493" s="113">
        <v>232.0</v>
      </c>
      <c r="AY1493" s="117">
        <v>232.0</v>
      </c>
      <c r="AZ1493" s="328">
        <v>0.0</v>
      </c>
      <c r="BA1493" s="315">
        <v>0.0</v>
      </c>
      <c r="BB1493" s="316">
        <v>232.0</v>
      </c>
      <c r="BC1493" s="132" t="s">
        <v>178</v>
      </c>
      <c r="BD1493" s="132" t="s">
        <v>178</v>
      </c>
      <c r="BE1493" s="132" t="s">
        <v>178</v>
      </c>
      <c r="BF1493" s="156"/>
      <c r="BG1493" s="83">
        <v>1176202.0</v>
      </c>
      <c r="BH1493" s="112">
        <v>7.0</v>
      </c>
      <c r="BI1493" s="98" t="s">
        <v>155</v>
      </c>
      <c r="BJ1493" s="98" t="str">
        <f t="shared" si="1"/>
        <v>INTEGRAL</v>
      </c>
      <c r="BK1493" s="98" t="str">
        <f t="shared" si="2"/>
        <v>NÃO</v>
      </c>
    </row>
    <row r="1494" ht="15.75" customHeight="1">
      <c r="A1494" s="111" t="s">
        <v>1785</v>
      </c>
      <c r="B1494" s="83" t="s">
        <v>1994</v>
      </c>
      <c r="C1494" s="83" t="s">
        <v>68</v>
      </c>
      <c r="D1494" s="83">
        <v>1102909.0</v>
      </c>
      <c r="E1494" s="83"/>
      <c r="F1494" s="83">
        <v>2.9188784E7</v>
      </c>
      <c r="G1494" s="114" t="s">
        <v>8189</v>
      </c>
      <c r="H1494" s="91" t="s">
        <v>8190</v>
      </c>
      <c r="I1494" s="114" t="s">
        <v>8191</v>
      </c>
      <c r="J1494" s="83" t="s">
        <v>150</v>
      </c>
      <c r="K1494" s="83" t="s">
        <v>151</v>
      </c>
      <c r="L1494" s="83" t="s">
        <v>76</v>
      </c>
      <c r="M1494" s="82" t="s">
        <v>12343</v>
      </c>
      <c r="N1494" s="82" t="s">
        <v>12344</v>
      </c>
      <c r="O1494" s="82"/>
      <c r="P1494" s="82"/>
      <c r="Q1494" s="82"/>
      <c r="R1494" s="82"/>
      <c r="S1494" s="82" t="s">
        <v>12345</v>
      </c>
      <c r="T1494" s="138">
        <v>8.0</v>
      </c>
      <c r="U1494" s="387" t="s">
        <v>12346</v>
      </c>
      <c r="V1494" s="106">
        <v>0.0</v>
      </c>
      <c r="W1494" s="107">
        <v>0.0</v>
      </c>
      <c r="X1494" s="107">
        <v>0.0</v>
      </c>
      <c r="Y1494" s="107">
        <v>0.0</v>
      </c>
      <c r="Z1494" s="80">
        <v>0.0</v>
      </c>
      <c r="AA1494" s="140">
        <v>0.0</v>
      </c>
      <c r="AB1494" s="109">
        <v>0.0</v>
      </c>
      <c r="AC1494" s="109">
        <v>0.0</v>
      </c>
      <c r="AD1494" s="141">
        <v>265.0</v>
      </c>
      <c r="AE1494" s="80">
        <v>265.0</v>
      </c>
      <c r="AF1494" s="140">
        <v>0.0</v>
      </c>
      <c r="AG1494" s="109">
        <v>0.0</v>
      </c>
      <c r="AH1494" s="109">
        <v>0.0</v>
      </c>
      <c r="AI1494" s="141">
        <v>0.0</v>
      </c>
      <c r="AJ1494" s="80">
        <v>0.0</v>
      </c>
      <c r="AK1494" s="140">
        <v>0.0</v>
      </c>
      <c r="AL1494" s="109">
        <v>0.0</v>
      </c>
      <c r="AM1494" s="141">
        <v>0.0</v>
      </c>
      <c r="AN1494" s="80">
        <v>0.0</v>
      </c>
      <c r="AO1494" s="140">
        <v>0.0</v>
      </c>
      <c r="AP1494" s="109">
        <v>0.0</v>
      </c>
      <c r="AQ1494" s="109">
        <v>0.0</v>
      </c>
      <c r="AR1494" s="80">
        <v>0.0</v>
      </c>
      <c r="AS1494" s="110">
        <v>0.0</v>
      </c>
      <c r="AT1494" s="110">
        <v>0.0</v>
      </c>
      <c r="AU1494" s="110">
        <v>0.0</v>
      </c>
      <c r="AV1494" s="142">
        <v>0.0</v>
      </c>
      <c r="AW1494" s="80">
        <v>0.0</v>
      </c>
      <c r="AX1494" s="113">
        <v>265.0</v>
      </c>
      <c r="AY1494" s="117">
        <v>265.0</v>
      </c>
      <c r="AZ1494" s="328">
        <v>0.0</v>
      </c>
      <c r="BA1494" s="315">
        <v>0.0</v>
      </c>
      <c r="BB1494" s="316">
        <v>265.0</v>
      </c>
      <c r="BC1494" s="132" t="s">
        <v>178</v>
      </c>
      <c r="BD1494" s="132" t="s">
        <v>178</v>
      </c>
      <c r="BE1494" s="132" t="s">
        <v>178</v>
      </c>
      <c r="BF1494" s="123"/>
      <c r="BG1494" s="83">
        <v>1102909.0</v>
      </c>
      <c r="BH1494" s="112">
        <v>7.0</v>
      </c>
      <c r="BI1494" s="98" t="s">
        <v>155</v>
      </c>
      <c r="BJ1494" s="98" t="str">
        <f t="shared" si="1"/>
        <v>INTEGRAL</v>
      </c>
      <c r="BK1494" s="98" t="str">
        <f t="shared" si="2"/>
        <v>NÃO</v>
      </c>
    </row>
    <row r="1495" ht="15.75" customHeight="1">
      <c r="A1495" s="111" t="s">
        <v>1785</v>
      </c>
      <c r="B1495" s="83" t="s">
        <v>1994</v>
      </c>
      <c r="C1495" s="83" t="s">
        <v>68</v>
      </c>
      <c r="D1495" s="83">
        <v>1101546.0</v>
      </c>
      <c r="E1495" s="83"/>
      <c r="F1495" s="83">
        <v>2.918995E7</v>
      </c>
      <c r="G1495" s="114" t="s">
        <v>8193</v>
      </c>
      <c r="H1495" s="91" t="s">
        <v>8194</v>
      </c>
      <c r="I1495" s="114" t="s">
        <v>8195</v>
      </c>
      <c r="J1495" s="83" t="s">
        <v>150</v>
      </c>
      <c r="K1495" s="83" t="s">
        <v>151</v>
      </c>
      <c r="L1495" s="83" t="s">
        <v>76</v>
      </c>
      <c r="M1495" s="82" t="s">
        <v>12347</v>
      </c>
      <c r="N1495" s="82" t="s">
        <v>12348</v>
      </c>
      <c r="O1495" s="82" t="s">
        <v>12349</v>
      </c>
      <c r="P1495" s="82" t="s">
        <v>12350</v>
      </c>
      <c r="Q1495" s="82"/>
      <c r="R1495" s="82"/>
      <c r="S1495" s="82" t="s">
        <v>12351</v>
      </c>
      <c r="T1495" s="138">
        <v>13.0</v>
      </c>
      <c r="U1495" s="341">
        <v>13.0</v>
      </c>
      <c r="V1495" s="106">
        <v>0.0</v>
      </c>
      <c r="W1495" s="107">
        <v>0.0</v>
      </c>
      <c r="X1495" s="107">
        <v>0.0</v>
      </c>
      <c r="Y1495" s="107">
        <v>0.0</v>
      </c>
      <c r="Z1495" s="80">
        <v>0.0</v>
      </c>
      <c r="AA1495" s="140">
        <v>225.0</v>
      </c>
      <c r="AB1495" s="109">
        <v>127.0</v>
      </c>
      <c r="AC1495" s="109">
        <v>0.0</v>
      </c>
      <c r="AD1495" s="141">
        <v>0.0</v>
      </c>
      <c r="AE1495" s="80">
        <v>352.0</v>
      </c>
      <c r="AF1495" s="140">
        <v>0.0</v>
      </c>
      <c r="AG1495" s="109">
        <v>0.0</v>
      </c>
      <c r="AH1495" s="109">
        <v>0.0</v>
      </c>
      <c r="AI1495" s="141">
        <v>0.0</v>
      </c>
      <c r="AJ1495" s="80">
        <v>0.0</v>
      </c>
      <c r="AK1495" s="140">
        <v>0.0</v>
      </c>
      <c r="AL1495" s="109">
        <v>0.0</v>
      </c>
      <c r="AM1495" s="141">
        <v>0.0</v>
      </c>
      <c r="AN1495" s="80">
        <v>0.0</v>
      </c>
      <c r="AO1495" s="140">
        <v>0.0</v>
      </c>
      <c r="AP1495" s="109">
        <v>0.0</v>
      </c>
      <c r="AQ1495" s="109">
        <v>0.0</v>
      </c>
      <c r="AR1495" s="80">
        <v>0.0</v>
      </c>
      <c r="AS1495" s="110">
        <v>0.0</v>
      </c>
      <c r="AT1495" s="110">
        <v>0.0</v>
      </c>
      <c r="AU1495" s="110">
        <v>0.0</v>
      </c>
      <c r="AV1495" s="142">
        <v>0.0</v>
      </c>
      <c r="AW1495" s="80">
        <v>0.0</v>
      </c>
      <c r="AX1495" s="113">
        <v>352.0</v>
      </c>
      <c r="AY1495" s="117">
        <v>352.0</v>
      </c>
      <c r="AZ1495" s="328">
        <v>0.0</v>
      </c>
      <c r="BA1495" s="315">
        <v>0.0</v>
      </c>
      <c r="BB1495" s="316">
        <v>352.0</v>
      </c>
      <c r="BC1495" s="132" t="s">
        <v>178</v>
      </c>
      <c r="BD1495" s="132" t="s">
        <v>178</v>
      </c>
      <c r="BE1495" s="132" t="s">
        <v>178</v>
      </c>
      <c r="BF1495" s="123"/>
      <c r="BG1495" s="83">
        <v>1101546.0</v>
      </c>
      <c r="BH1495" s="112">
        <v>13.0</v>
      </c>
      <c r="BI1495" s="98" t="s">
        <v>155</v>
      </c>
      <c r="BJ1495" s="98" t="str">
        <f t="shared" si="1"/>
        <v>NÃO</v>
      </c>
      <c r="BK1495" s="98" t="str">
        <f t="shared" si="2"/>
        <v>NÃO</v>
      </c>
    </row>
    <row r="1496" ht="15.75" customHeight="1">
      <c r="A1496" s="111" t="s">
        <v>1785</v>
      </c>
      <c r="B1496" s="83" t="s">
        <v>1994</v>
      </c>
      <c r="C1496" s="83" t="s">
        <v>68</v>
      </c>
      <c r="D1496" s="83">
        <v>1176390.0</v>
      </c>
      <c r="E1496" s="83"/>
      <c r="F1496" s="83">
        <v>2.935814E7</v>
      </c>
      <c r="G1496" s="114" t="s">
        <v>8206</v>
      </c>
      <c r="H1496" s="91" t="s">
        <v>8207</v>
      </c>
      <c r="I1496" s="114" t="s">
        <v>8208</v>
      </c>
      <c r="J1496" s="83" t="s">
        <v>150</v>
      </c>
      <c r="K1496" s="83" t="s">
        <v>151</v>
      </c>
      <c r="L1496" s="83" t="s">
        <v>152</v>
      </c>
      <c r="M1496" s="82" t="s">
        <v>12352</v>
      </c>
      <c r="N1496" s="82" t="s">
        <v>12353</v>
      </c>
      <c r="O1496" s="82"/>
      <c r="P1496" s="82"/>
      <c r="Q1496" s="82"/>
      <c r="R1496" s="82"/>
      <c r="S1496" s="82" t="s">
        <v>12354</v>
      </c>
      <c r="T1496" s="138">
        <v>22.0</v>
      </c>
      <c r="U1496" s="341">
        <v>16.0</v>
      </c>
      <c r="V1496" s="106">
        <v>0.0</v>
      </c>
      <c r="W1496" s="107">
        <v>0.0</v>
      </c>
      <c r="X1496" s="107">
        <v>0.0</v>
      </c>
      <c r="Y1496" s="107">
        <v>0.0</v>
      </c>
      <c r="Z1496" s="80">
        <v>0.0</v>
      </c>
      <c r="AA1496" s="140">
        <v>5.0</v>
      </c>
      <c r="AB1496" s="109">
        <v>0.0</v>
      </c>
      <c r="AC1496" s="109">
        <v>0.0</v>
      </c>
      <c r="AD1496" s="141">
        <v>411.0</v>
      </c>
      <c r="AE1496" s="80">
        <v>416.0</v>
      </c>
      <c r="AF1496" s="140">
        <v>0.0</v>
      </c>
      <c r="AG1496" s="109">
        <v>0.0</v>
      </c>
      <c r="AH1496" s="109">
        <v>0.0</v>
      </c>
      <c r="AI1496" s="141">
        <v>0.0</v>
      </c>
      <c r="AJ1496" s="80">
        <v>0.0</v>
      </c>
      <c r="AK1496" s="140">
        <v>0.0</v>
      </c>
      <c r="AL1496" s="109">
        <v>0.0</v>
      </c>
      <c r="AM1496" s="141">
        <v>0.0</v>
      </c>
      <c r="AN1496" s="80">
        <v>0.0</v>
      </c>
      <c r="AO1496" s="140">
        <v>0.0</v>
      </c>
      <c r="AP1496" s="109">
        <v>0.0</v>
      </c>
      <c r="AQ1496" s="109">
        <v>0.0</v>
      </c>
      <c r="AR1496" s="80">
        <v>0.0</v>
      </c>
      <c r="AS1496" s="110">
        <v>0.0</v>
      </c>
      <c r="AT1496" s="110">
        <v>0.0</v>
      </c>
      <c r="AU1496" s="110">
        <v>0.0</v>
      </c>
      <c r="AV1496" s="142">
        <v>0.0</v>
      </c>
      <c r="AW1496" s="80">
        <v>0.0</v>
      </c>
      <c r="AX1496" s="113">
        <v>416.0</v>
      </c>
      <c r="AY1496" s="117">
        <v>416.0</v>
      </c>
      <c r="AZ1496" s="328">
        <v>0.0</v>
      </c>
      <c r="BA1496" s="315">
        <v>0.0</v>
      </c>
      <c r="BB1496" s="316">
        <v>416.0</v>
      </c>
      <c r="BC1496" s="132" t="s">
        <v>178</v>
      </c>
      <c r="BD1496" s="132" t="s">
        <v>178</v>
      </c>
      <c r="BE1496" s="132" t="s">
        <v>178</v>
      </c>
      <c r="BF1496" s="123"/>
      <c r="BG1496" s="83">
        <v>1176390.0</v>
      </c>
      <c r="BH1496" s="112">
        <v>16.0</v>
      </c>
      <c r="BI1496" s="98" t="s">
        <v>155</v>
      </c>
      <c r="BJ1496" s="98" t="str">
        <f t="shared" si="1"/>
        <v>INTEGRAL</v>
      </c>
      <c r="BK1496" s="98" t="str">
        <f t="shared" si="2"/>
        <v>NÃO</v>
      </c>
    </row>
    <row r="1497" ht="15.75" customHeight="1">
      <c r="A1497" s="111" t="s">
        <v>1785</v>
      </c>
      <c r="B1497" s="83" t="s">
        <v>1994</v>
      </c>
      <c r="C1497" s="83" t="s">
        <v>68</v>
      </c>
      <c r="D1497" s="83">
        <v>1101791.0</v>
      </c>
      <c r="E1497" s="83"/>
      <c r="F1497" s="83">
        <v>2.9191637E7</v>
      </c>
      <c r="G1497" s="114" t="s">
        <v>8217</v>
      </c>
      <c r="H1497" s="91" t="s">
        <v>8218</v>
      </c>
      <c r="I1497" s="114" t="s">
        <v>8219</v>
      </c>
      <c r="J1497" s="83" t="s">
        <v>150</v>
      </c>
      <c r="K1497" s="83" t="s">
        <v>151</v>
      </c>
      <c r="L1497" s="83" t="s">
        <v>152</v>
      </c>
      <c r="M1497" s="82" t="s">
        <v>12355</v>
      </c>
      <c r="N1497" s="82" t="s">
        <v>12356</v>
      </c>
      <c r="O1497" s="82" t="s">
        <v>12357</v>
      </c>
      <c r="P1497" s="82" t="s">
        <v>12358</v>
      </c>
      <c r="Q1497" s="82"/>
      <c r="R1497" s="82"/>
      <c r="S1497" s="82" t="s">
        <v>12359</v>
      </c>
      <c r="T1497" s="138">
        <v>9.0</v>
      </c>
      <c r="U1497" s="341">
        <v>9.0</v>
      </c>
      <c r="V1497" s="106">
        <v>0.0</v>
      </c>
      <c r="W1497" s="107">
        <v>0.0</v>
      </c>
      <c r="X1497" s="107">
        <v>0.0</v>
      </c>
      <c r="Y1497" s="107">
        <v>0.0</v>
      </c>
      <c r="Z1497" s="80">
        <v>0.0</v>
      </c>
      <c r="AA1497" s="140">
        <v>316.0</v>
      </c>
      <c r="AB1497" s="109">
        <v>278.0</v>
      </c>
      <c r="AC1497" s="109">
        <v>0.0</v>
      </c>
      <c r="AD1497" s="141">
        <v>0.0</v>
      </c>
      <c r="AE1497" s="80">
        <v>594.0</v>
      </c>
      <c r="AF1497" s="140">
        <v>0.0</v>
      </c>
      <c r="AG1497" s="109">
        <v>0.0</v>
      </c>
      <c r="AH1497" s="109">
        <v>0.0</v>
      </c>
      <c r="AI1497" s="141">
        <v>0.0</v>
      </c>
      <c r="AJ1497" s="80">
        <v>0.0</v>
      </c>
      <c r="AK1497" s="140">
        <v>0.0</v>
      </c>
      <c r="AL1497" s="109">
        <v>0.0</v>
      </c>
      <c r="AM1497" s="141">
        <v>0.0</v>
      </c>
      <c r="AN1497" s="80">
        <v>0.0</v>
      </c>
      <c r="AO1497" s="140">
        <v>0.0</v>
      </c>
      <c r="AP1497" s="109">
        <v>0.0</v>
      </c>
      <c r="AQ1497" s="109">
        <v>0.0</v>
      </c>
      <c r="AR1497" s="80">
        <v>0.0</v>
      </c>
      <c r="AS1497" s="110">
        <v>0.0</v>
      </c>
      <c r="AT1497" s="110">
        <v>0.0</v>
      </c>
      <c r="AU1497" s="110">
        <v>0.0</v>
      </c>
      <c r="AV1497" s="142">
        <v>0.0</v>
      </c>
      <c r="AW1497" s="80">
        <v>0.0</v>
      </c>
      <c r="AX1497" s="113">
        <v>594.0</v>
      </c>
      <c r="AY1497" s="117">
        <v>594.0</v>
      </c>
      <c r="AZ1497" s="328">
        <v>0.0</v>
      </c>
      <c r="BA1497" s="315">
        <v>0.0</v>
      </c>
      <c r="BB1497" s="316">
        <v>594.0</v>
      </c>
      <c r="BC1497" s="132" t="s">
        <v>178</v>
      </c>
      <c r="BD1497" s="132" t="s">
        <v>178</v>
      </c>
      <c r="BE1497" s="132" t="s">
        <v>178</v>
      </c>
      <c r="BF1497" s="123"/>
      <c r="BG1497" s="83">
        <v>1101791.0</v>
      </c>
      <c r="BH1497" s="112">
        <v>9.0</v>
      </c>
      <c r="BI1497" s="98" t="s">
        <v>155</v>
      </c>
      <c r="BJ1497" s="98" t="str">
        <f t="shared" si="1"/>
        <v>NÃO</v>
      </c>
      <c r="BK1497" s="98" t="str">
        <f t="shared" si="2"/>
        <v>NÃO</v>
      </c>
    </row>
    <row r="1498" ht="15.75" customHeight="1">
      <c r="A1498" s="111" t="s">
        <v>1785</v>
      </c>
      <c r="B1498" s="83" t="s">
        <v>1994</v>
      </c>
      <c r="C1498" s="83" t="s">
        <v>68</v>
      </c>
      <c r="D1498" s="83">
        <v>1176422.0</v>
      </c>
      <c r="E1498" s="83"/>
      <c r="F1498" s="83">
        <v>2.9392861E7</v>
      </c>
      <c r="G1498" s="114" t="s">
        <v>3069</v>
      </c>
      <c r="H1498" s="91" t="s">
        <v>8707</v>
      </c>
      <c r="I1498" s="114" t="s">
        <v>8154</v>
      </c>
      <c r="J1498" s="83" t="s">
        <v>150</v>
      </c>
      <c r="K1498" s="83" t="s">
        <v>151</v>
      </c>
      <c r="L1498" s="83" t="s">
        <v>152</v>
      </c>
      <c r="M1498" s="82" t="s">
        <v>12360</v>
      </c>
      <c r="N1498" s="82" t="s">
        <v>12361</v>
      </c>
      <c r="O1498" s="82" t="s">
        <v>12362</v>
      </c>
      <c r="P1498" s="82" t="s">
        <v>12363</v>
      </c>
      <c r="Q1498" s="82" t="s">
        <v>12364</v>
      </c>
      <c r="R1498" s="82" t="s">
        <v>12365</v>
      </c>
      <c r="S1498" s="82" t="s">
        <v>12366</v>
      </c>
      <c r="T1498" s="138">
        <v>21.0</v>
      </c>
      <c r="U1498" s="341">
        <v>21.0</v>
      </c>
      <c r="V1498" s="106">
        <v>0.0</v>
      </c>
      <c r="W1498" s="107">
        <v>0.0</v>
      </c>
      <c r="X1498" s="107">
        <v>0.0</v>
      </c>
      <c r="Y1498" s="107">
        <v>0.0</v>
      </c>
      <c r="Z1498" s="80">
        <v>0.0</v>
      </c>
      <c r="AA1498" s="140">
        <v>0.0</v>
      </c>
      <c r="AB1498" s="109">
        <v>0.0</v>
      </c>
      <c r="AC1498" s="109">
        <v>0.0</v>
      </c>
      <c r="AD1498" s="141">
        <v>0.0</v>
      </c>
      <c r="AE1498" s="80">
        <v>0.0</v>
      </c>
      <c r="AF1498" s="140">
        <v>568.0</v>
      </c>
      <c r="AG1498" s="109">
        <v>297.0</v>
      </c>
      <c r="AH1498" s="109">
        <v>0.0</v>
      </c>
      <c r="AI1498" s="141">
        <v>0.0</v>
      </c>
      <c r="AJ1498" s="80">
        <v>865.0</v>
      </c>
      <c r="AK1498" s="140">
        <v>0.0</v>
      </c>
      <c r="AL1498" s="109">
        <v>0.0</v>
      </c>
      <c r="AM1498" s="141">
        <v>0.0</v>
      </c>
      <c r="AN1498" s="80">
        <v>0.0</v>
      </c>
      <c r="AO1498" s="140">
        <v>0.0</v>
      </c>
      <c r="AP1498" s="109">
        <v>0.0</v>
      </c>
      <c r="AQ1498" s="109">
        <v>132.0</v>
      </c>
      <c r="AR1498" s="80">
        <v>132.0</v>
      </c>
      <c r="AS1498" s="110">
        <v>0.0</v>
      </c>
      <c r="AT1498" s="110">
        <v>0.0</v>
      </c>
      <c r="AU1498" s="110">
        <v>0.0</v>
      </c>
      <c r="AV1498" s="142">
        <v>0.0</v>
      </c>
      <c r="AW1498" s="80">
        <v>0.0</v>
      </c>
      <c r="AX1498" s="113">
        <v>997.0</v>
      </c>
      <c r="AY1498" s="117">
        <v>865.0</v>
      </c>
      <c r="AZ1498" s="328">
        <v>132.0</v>
      </c>
      <c r="BA1498" s="315">
        <v>0.0</v>
      </c>
      <c r="BB1498" s="316">
        <v>997.0</v>
      </c>
      <c r="BC1498" s="132" t="s">
        <v>178</v>
      </c>
      <c r="BD1498" s="132" t="s">
        <v>178</v>
      </c>
      <c r="BE1498" s="132" t="s">
        <v>178</v>
      </c>
      <c r="BF1498" s="156"/>
      <c r="BG1498" s="83">
        <v>1176422.0</v>
      </c>
      <c r="BH1498" s="112">
        <v>21.0</v>
      </c>
      <c r="BI1498" s="98" t="s">
        <v>155</v>
      </c>
      <c r="BJ1498" s="98" t="str">
        <f t="shared" si="1"/>
        <v>NÃO</v>
      </c>
      <c r="BK1498" s="98" t="str">
        <f t="shared" si="2"/>
        <v>NÃO</v>
      </c>
    </row>
    <row r="1499" ht="15.75" customHeight="1">
      <c r="A1499" s="111" t="s">
        <v>1785</v>
      </c>
      <c r="B1499" s="83" t="s">
        <v>1994</v>
      </c>
      <c r="C1499" s="83" t="s">
        <v>68</v>
      </c>
      <c r="D1499" s="83">
        <v>1168837.0</v>
      </c>
      <c r="E1499" s="83"/>
      <c r="F1499" s="83">
        <v>2.9182182E7</v>
      </c>
      <c r="G1499" s="114" t="s">
        <v>12368</v>
      </c>
      <c r="H1499" s="91" t="s">
        <v>8223</v>
      </c>
      <c r="I1499" s="114" t="s">
        <v>8224</v>
      </c>
      <c r="J1499" s="83" t="s">
        <v>150</v>
      </c>
      <c r="K1499" s="83" t="s">
        <v>151</v>
      </c>
      <c r="L1499" s="83" t="s">
        <v>169</v>
      </c>
      <c r="M1499" s="82" t="s">
        <v>12369</v>
      </c>
      <c r="N1499" s="82" t="s">
        <v>12370</v>
      </c>
      <c r="O1499" s="82" t="s">
        <v>12371</v>
      </c>
      <c r="P1499" s="82" t="s">
        <v>12372</v>
      </c>
      <c r="Q1499" s="82"/>
      <c r="R1499" s="82"/>
      <c r="S1499" s="82" t="s">
        <v>12373</v>
      </c>
      <c r="T1499" s="138">
        <v>17.0</v>
      </c>
      <c r="U1499" s="387">
        <v>14.0</v>
      </c>
      <c r="V1499" s="106">
        <v>0.0</v>
      </c>
      <c r="W1499" s="107">
        <v>0.0</v>
      </c>
      <c r="X1499" s="107">
        <v>0.0</v>
      </c>
      <c r="Y1499" s="107">
        <v>0.0</v>
      </c>
      <c r="Z1499" s="80">
        <v>0.0</v>
      </c>
      <c r="AA1499" s="140">
        <v>0.0</v>
      </c>
      <c r="AB1499" s="109">
        <v>0.0</v>
      </c>
      <c r="AC1499" s="109">
        <v>0.0</v>
      </c>
      <c r="AD1499" s="141">
        <v>68.0</v>
      </c>
      <c r="AE1499" s="80">
        <v>68.0</v>
      </c>
      <c r="AF1499" s="140">
        <v>0.0</v>
      </c>
      <c r="AG1499" s="109">
        <v>0.0</v>
      </c>
      <c r="AH1499" s="109">
        <v>0.0</v>
      </c>
      <c r="AI1499" s="141">
        <v>55.0</v>
      </c>
      <c r="AJ1499" s="80">
        <v>55.0</v>
      </c>
      <c r="AK1499" s="140">
        <v>0.0</v>
      </c>
      <c r="AL1499" s="109">
        <v>0.0</v>
      </c>
      <c r="AM1499" s="141">
        <v>0.0</v>
      </c>
      <c r="AN1499" s="80">
        <v>0.0</v>
      </c>
      <c r="AO1499" s="140">
        <v>0.0</v>
      </c>
      <c r="AP1499" s="109">
        <v>0.0</v>
      </c>
      <c r="AQ1499" s="109">
        <v>0.0</v>
      </c>
      <c r="AR1499" s="80">
        <v>0.0</v>
      </c>
      <c r="AS1499" s="110">
        <v>0.0</v>
      </c>
      <c r="AT1499" s="110">
        <v>0.0</v>
      </c>
      <c r="AU1499" s="110">
        <v>0.0</v>
      </c>
      <c r="AV1499" s="142">
        <v>0.0</v>
      </c>
      <c r="AW1499" s="80">
        <v>0.0</v>
      </c>
      <c r="AX1499" s="113">
        <v>123.0</v>
      </c>
      <c r="AY1499" s="117">
        <v>123.0</v>
      </c>
      <c r="AZ1499" s="328">
        <v>0.0</v>
      </c>
      <c r="BA1499" s="315">
        <v>0.0</v>
      </c>
      <c r="BB1499" s="316">
        <v>123.0</v>
      </c>
      <c r="BC1499" s="132" t="s">
        <v>178</v>
      </c>
      <c r="BD1499" s="132" t="s">
        <v>178</v>
      </c>
      <c r="BE1499" s="132" t="s">
        <v>178</v>
      </c>
      <c r="BF1499" s="123"/>
      <c r="BG1499" s="83">
        <v>1168837.0</v>
      </c>
      <c r="BH1499" s="112">
        <v>14.0</v>
      </c>
      <c r="BI1499" s="98" t="s">
        <v>155</v>
      </c>
      <c r="BJ1499" s="98" t="str">
        <f t="shared" si="1"/>
        <v>INTEGRAL</v>
      </c>
      <c r="BK1499" s="98" t="str">
        <f t="shared" si="2"/>
        <v>NÃO</v>
      </c>
    </row>
    <row r="1500" ht="15.75" customHeight="1">
      <c r="A1500" s="111" t="s">
        <v>1785</v>
      </c>
      <c r="B1500" s="83" t="s">
        <v>1994</v>
      </c>
      <c r="C1500" s="83" t="s">
        <v>68</v>
      </c>
      <c r="D1500" s="83">
        <v>1135998.0</v>
      </c>
      <c r="E1500" s="83"/>
      <c r="F1500" s="83">
        <v>2.9191173E7</v>
      </c>
      <c r="G1500" s="114" t="s">
        <v>12374</v>
      </c>
      <c r="H1500" s="91" t="s">
        <v>8227</v>
      </c>
      <c r="I1500" s="114" t="s">
        <v>8219</v>
      </c>
      <c r="J1500" s="83" t="s">
        <v>150</v>
      </c>
      <c r="K1500" s="83" t="s">
        <v>151</v>
      </c>
      <c r="L1500" s="83" t="s">
        <v>152</v>
      </c>
      <c r="M1500" s="82" t="s">
        <v>12375</v>
      </c>
      <c r="N1500" s="82"/>
      <c r="O1500" s="82" t="s">
        <v>12376</v>
      </c>
      <c r="P1500" s="82" t="s">
        <v>12377</v>
      </c>
      <c r="Q1500" s="82" t="s">
        <v>12378</v>
      </c>
      <c r="R1500" s="82" t="s">
        <v>12379</v>
      </c>
      <c r="S1500" s="82"/>
      <c r="T1500" s="138">
        <v>7.0</v>
      </c>
      <c r="U1500" s="341">
        <v>7.0</v>
      </c>
      <c r="V1500" s="106">
        <v>0.0</v>
      </c>
      <c r="W1500" s="107">
        <v>0.0</v>
      </c>
      <c r="X1500" s="107">
        <v>0.0</v>
      </c>
      <c r="Y1500" s="107">
        <v>0.0</v>
      </c>
      <c r="Z1500" s="80">
        <v>0.0</v>
      </c>
      <c r="AA1500" s="140">
        <v>0.0</v>
      </c>
      <c r="AB1500" s="109">
        <v>0.0</v>
      </c>
      <c r="AC1500" s="109">
        <v>0.0</v>
      </c>
      <c r="AD1500" s="141">
        <v>0.0</v>
      </c>
      <c r="AE1500" s="80">
        <v>0.0</v>
      </c>
      <c r="AF1500" s="140">
        <v>0.0</v>
      </c>
      <c r="AG1500" s="109">
        <v>0.0</v>
      </c>
      <c r="AH1500" s="109">
        <v>0.0</v>
      </c>
      <c r="AI1500" s="141">
        <v>194.0</v>
      </c>
      <c r="AJ1500" s="80">
        <v>194.0</v>
      </c>
      <c r="AK1500" s="140">
        <v>0.0</v>
      </c>
      <c r="AL1500" s="109">
        <v>0.0</v>
      </c>
      <c r="AM1500" s="141">
        <v>0.0</v>
      </c>
      <c r="AN1500" s="80">
        <v>0.0</v>
      </c>
      <c r="AO1500" s="140">
        <v>0.0</v>
      </c>
      <c r="AP1500" s="109">
        <v>0.0</v>
      </c>
      <c r="AQ1500" s="109">
        <v>97.0</v>
      </c>
      <c r="AR1500" s="80">
        <v>97.0</v>
      </c>
      <c r="AS1500" s="110">
        <v>0.0</v>
      </c>
      <c r="AT1500" s="110">
        <v>0.0</v>
      </c>
      <c r="AU1500" s="110">
        <v>0.0</v>
      </c>
      <c r="AV1500" s="142">
        <v>0.0</v>
      </c>
      <c r="AW1500" s="80">
        <v>0.0</v>
      </c>
      <c r="AX1500" s="113">
        <v>291.0</v>
      </c>
      <c r="AY1500" s="117">
        <v>194.0</v>
      </c>
      <c r="AZ1500" s="328">
        <v>97.0</v>
      </c>
      <c r="BA1500" s="315">
        <v>3.0</v>
      </c>
      <c r="BB1500" s="316">
        <v>294.0</v>
      </c>
      <c r="BC1500" s="132" t="s">
        <v>178</v>
      </c>
      <c r="BD1500" s="132" t="s">
        <v>178</v>
      </c>
      <c r="BE1500" s="132" t="s">
        <v>178</v>
      </c>
      <c r="BF1500" s="123"/>
      <c r="BG1500" s="83">
        <v>1135998.0</v>
      </c>
      <c r="BH1500" s="112">
        <v>7.0</v>
      </c>
      <c r="BI1500" s="98" t="s">
        <v>155</v>
      </c>
      <c r="BJ1500" s="98" t="str">
        <f t="shared" si="1"/>
        <v>INTEGRAL</v>
      </c>
      <c r="BK1500" s="98" t="str">
        <f t="shared" si="2"/>
        <v>NÃO</v>
      </c>
    </row>
    <row r="1501" ht="15.75" customHeight="1">
      <c r="A1501" s="111" t="s">
        <v>1785</v>
      </c>
      <c r="B1501" s="83" t="s">
        <v>1994</v>
      </c>
      <c r="C1501" s="83" t="s">
        <v>68</v>
      </c>
      <c r="D1501" s="83">
        <v>1104340.0</v>
      </c>
      <c r="E1501" s="83"/>
      <c r="F1501" s="83">
        <v>2.9188601E7</v>
      </c>
      <c r="G1501" s="114" t="s">
        <v>2310</v>
      </c>
      <c r="H1501" s="91" t="s">
        <v>12380</v>
      </c>
      <c r="I1501" s="114" t="s">
        <v>12381</v>
      </c>
      <c r="J1501" s="83" t="s">
        <v>150</v>
      </c>
      <c r="K1501" s="83" t="s">
        <v>151</v>
      </c>
      <c r="L1501" s="83" t="s">
        <v>152</v>
      </c>
      <c r="M1501" s="82" t="s">
        <v>12382</v>
      </c>
      <c r="N1501" s="82" t="s">
        <v>12383</v>
      </c>
      <c r="O1501" s="82" t="s">
        <v>12384</v>
      </c>
      <c r="P1501" s="82" t="s">
        <v>12385</v>
      </c>
      <c r="Q1501" s="82"/>
      <c r="R1501" s="82"/>
      <c r="S1501" s="82" t="s">
        <v>12386</v>
      </c>
      <c r="T1501" s="138">
        <v>25.0</v>
      </c>
      <c r="U1501" s="341">
        <v>28.0</v>
      </c>
      <c r="V1501" s="106">
        <v>0.0</v>
      </c>
      <c r="W1501" s="107">
        <v>0.0</v>
      </c>
      <c r="X1501" s="107">
        <v>0.0</v>
      </c>
      <c r="Y1501" s="107">
        <v>0.0</v>
      </c>
      <c r="Z1501" s="80">
        <v>0.0</v>
      </c>
      <c r="AA1501" s="140">
        <v>0.0</v>
      </c>
      <c r="AB1501" s="109">
        <v>0.0</v>
      </c>
      <c r="AC1501" s="109">
        <v>0.0</v>
      </c>
      <c r="AD1501" s="141">
        <v>0.0</v>
      </c>
      <c r="AE1501" s="80">
        <v>0.0</v>
      </c>
      <c r="AF1501" s="140">
        <v>0.0</v>
      </c>
      <c r="AG1501" s="109">
        <v>0.0</v>
      </c>
      <c r="AH1501" s="109">
        <v>0.0</v>
      </c>
      <c r="AI1501" s="141">
        <v>0.0</v>
      </c>
      <c r="AJ1501" s="80">
        <v>0.0</v>
      </c>
      <c r="AK1501" s="140">
        <v>0.0</v>
      </c>
      <c r="AL1501" s="109">
        <v>0.0</v>
      </c>
      <c r="AM1501" s="141">
        <v>0.0</v>
      </c>
      <c r="AN1501" s="80">
        <v>0.0</v>
      </c>
      <c r="AO1501" s="140">
        <v>0.0</v>
      </c>
      <c r="AP1501" s="109">
        <v>0.0</v>
      </c>
      <c r="AQ1501" s="109">
        <v>0.0</v>
      </c>
      <c r="AR1501" s="80">
        <v>0.0</v>
      </c>
      <c r="AS1501" s="110">
        <v>0.0</v>
      </c>
      <c r="AT1501" s="110">
        <v>0.0</v>
      </c>
      <c r="AU1501" s="110">
        <v>0.0</v>
      </c>
      <c r="AV1501" s="142">
        <v>0.0</v>
      </c>
      <c r="AW1501" s="80">
        <v>0.0</v>
      </c>
      <c r="AX1501" s="113">
        <v>0.0</v>
      </c>
      <c r="AY1501" s="117">
        <v>0.0</v>
      </c>
      <c r="AZ1501" s="328">
        <v>0.0</v>
      </c>
      <c r="BA1501" s="349">
        <v>2.0</v>
      </c>
      <c r="BB1501" s="316">
        <v>2.0</v>
      </c>
      <c r="BC1501" s="132" t="s">
        <v>553</v>
      </c>
      <c r="BD1501" s="132" t="s">
        <v>178</v>
      </c>
      <c r="BE1501" s="132" t="s">
        <v>178</v>
      </c>
      <c r="BF1501" s="156"/>
      <c r="BG1501" s="83">
        <v>1104340.0</v>
      </c>
      <c r="BH1501" s="112">
        <v>28.0</v>
      </c>
      <c r="BI1501" s="98" t="s">
        <v>155</v>
      </c>
      <c r="BJ1501" s="98" t="str">
        <f t="shared" si="1"/>
        <v>NÃO</v>
      </c>
      <c r="BK1501" s="98" t="str">
        <f t="shared" si="2"/>
        <v>NÃO</v>
      </c>
    </row>
    <row r="1502" ht="15.75" customHeight="1">
      <c r="A1502" s="111" t="s">
        <v>1785</v>
      </c>
      <c r="B1502" s="83" t="s">
        <v>1994</v>
      </c>
      <c r="C1502" s="83" t="s">
        <v>68</v>
      </c>
      <c r="D1502" s="83">
        <v>1103085.0</v>
      </c>
      <c r="E1502" s="83"/>
      <c r="F1502" s="83">
        <v>2.9191165E7</v>
      </c>
      <c r="G1502" s="114" t="s">
        <v>12387</v>
      </c>
      <c r="H1502" s="91" t="s">
        <v>8232</v>
      </c>
      <c r="I1502" s="114" t="s">
        <v>8233</v>
      </c>
      <c r="J1502" s="83" t="s">
        <v>150</v>
      </c>
      <c r="K1502" s="83" t="s">
        <v>151</v>
      </c>
      <c r="L1502" s="83" t="s">
        <v>76</v>
      </c>
      <c r="M1502" s="82" t="s">
        <v>12388</v>
      </c>
      <c r="N1502" s="82" t="s">
        <v>12389</v>
      </c>
      <c r="O1502" s="82" t="s">
        <v>12390</v>
      </c>
      <c r="P1502" s="82" t="s">
        <v>12391</v>
      </c>
      <c r="Q1502" s="82"/>
      <c r="R1502" s="82"/>
      <c r="S1502" s="82"/>
      <c r="T1502" s="138">
        <v>8.0</v>
      </c>
      <c r="U1502" s="341">
        <v>8.0</v>
      </c>
      <c r="V1502" s="106">
        <v>0.0</v>
      </c>
      <c r="W1502" s="107">
        <v>0.0</v>
      </c>
      <c r="X1502" s="107">
        <v>0.0</v>
      </c>
      <c r="Y1502" s="107">
        <v>0.0</v>
      </c>
      <c r="Z1502" s="80">
        <v>0.0</v>
      </c>
      <c r="AA1502" s="140">
        <v>465.0</v>
      </c>
      <c r="AB1502" s="109">
        <v>360.0</v>
      </c>
      <c r="AC1502" s="109">
        <v>0.0</v>
      </c>
      <c r="AD1502" s="141">
        <v>0.0</v>
      </c>
      <c r="AE1502" s="80">
        <v>825.0</v>
      </c>
      <c r="AF1502" s="140">
        <v>0.0</v>
      </c>
      <c r="AG1502" s="109">
        <v>0.0</v>
      </c>
      <c r="AH1502" s="109">
        <v>0.0</v>
      </c>
      <c r="AI1502" s="141">
        <v>0.0</v>
      </c>
      <c r="AJ1502" s="80">
        <v>0.0</v>
      </c>
      <c r="AK1502" s="140">
        <v>0.0</v>
      </c>
      <c r="AL1502" s="109">
        <v>0.0</v>
      </c>
      <c r="AM1502" s="141">
        <v>0.0</v>
      </c>
      <c r="AN1502" s="80">
        <v>0.0</v>
      </c>
      <c r="AO1502" s="140">
        <v>0.0</v>
      </c>
      <c r="AP1502" s="109">
        <v>0.0</v>
      </c>
      <c r="AQ1502" s="109">
        <v>0.0</v>
      </c>
      <c r="AR1502" s="80">
        <v>0.0</v>
      </c>
      <c r="AS1502" s="110">
        <v>0.0</v>
      </c>
      <c r="AT1502" s="110">
        <v>0.0</v>
      </c>
      <c r="AU1502" s="110">
        <v>0.0</v>
      </c>
      <c r="AV1502" s="142">
        <v>0.0</v>
      </c>
      <c r="AW1502" s="80">
        <v>0.0</v>
      </c>
      <c r="AX1502" s="113">
        <v>825.0</v>
      </c>
      <c r="AY1502" s="117">
        <v>825.0</v>
      </c>
      <c r="AZ1502" s="328">
        <v>0.0</v>
      </c>
      <c r="BA1502" s="315">
        <v>0.0</v>
      </c>
      <c r="BB1502" s="316">
        <v>825.0</v>
      </c>
      <c r="BC1502" s="132" t="s">
        <v>178</v>
      </c>
      <c r="BD1502" s="132" t="s">
        <v>178</v>
      </c>
      <c r="BE1502" s="132" t="s">
        <v>178</v>
      </c>
      <c r="BF1502" s="123"/>
      <c r="BG1502" s="83">
        <v>1103085.0</v>
      </c>
      <c r="BH1502" s="112">
        <v>8.0</v>
      </c>
      <c r="BI1502" s="98" t="s">
        <v>155</v>
      </c>
      <c r="BJ1502" s="98" t="str">
        <f t="shared" si="1"/>
        <v>NÃO</v>
      </c>
      <c r="BK1502" s="98" t="str">
        <f t="shared" si="2"/>
        <v>NÃO</v>
      </c>
    </row>
    <row r="1503" ht="15.75" customHeight="1">
      <c r="A1503" s="111" t="s">
        <v>1785</v>
      </c>
      <c r="B1503" s="83" t="s">
        <v>1994</v>
      </c>
      <c r="C1503" s="83" t="s">
        <v>68</v>
      </c>
      <c r="D1503" s="83">
        <v>1176760.0</v>
      </c>
      <c r="E1503" s="83"/>
      <c r="F1503" s="83">
        <v>2.9404304E7</v>
      </c>
      <c r="G1503" s="289" t="s">
        <v>8236</v>
      </c>
      <c r="H1503" s="91" t="s">
        <v>8237</v>
      </c>
      <c r="I1503" s="114" t="s">
        <v>8238</v>
      </c>
      <c r="J1503" s="83" t="s">
        <v>150</v>
      </c>
      <c r="K1503" s="83" t="s">
        <v>151</v>
      </c>
      <c r="L1503" s="83" t="s">
        <v>152</v>
      </c>
      <c r="M1503" s="82" t="s">
        <v>12392</v>
      </c>
      <c r="N1503" s="82" t="s">
        <v>12393</v>
      </c>
      <c r="O1503" s="82" t="s">
        <v>12394</v>
      </c>
      <c r="P1503" s="82" t="s">
        <v>12395</v>
      </c>
      <c r="Q1503" s="82" t="s">
        <v>12396</v>
      </c>
      <c r="R1503" s="82" t="s">
        <v>12397</v>
      </c>
      <c r="S1503" s="82" t="s">
        <v>12398</v>
      </c>
      <c r="T1503" s="138">
        <v>39.0</v>
      </c>
      <c r="U1503" s="341">
        <v>35.0</v>
      </c>
      <c r="V1503" s="106">
        <v>0.0</v>
      </c>
      <c r="W1503" s="107">
        <v>0.0</v>
      </c>
      <c r="X1503" s="107">
        <v>0.0</v>
      </c>
      <c r="Y1503" s="107">
        <v>0.0</v>
      </c>
      <c r="Z1503" s="80">
        <v>0.0</v>
      </c>
      <c r="AA1503" s="140">
        <v>0.0</v>
      </c>
      <c r="AB1503" s="109">
        <v>0.0</v>
      </c>
      <c r="AC1503" s="109">
        <v>0.0</v>
      </c>
      <c r="AD1503" s="141">
        <v>582.0</v>
      </c>
      <c r="AE1503" s="80">
        <v>582.0</v>
      </c>
      <c r="AF1503" s="140">
        <v>158.0</v>
      </c>
      <c r="AG1503" s="109">
        <v>73.0</v>
      </c>
      <c r="AH1503" s="109">
        <v>63.0</v>
      </c>
      <c r="AI1503" s="141">
        <v>474.0</v>
      </c>
      <c r="AJ1503" s="80">
        <v>768.0</v>
      </c>
      <c r="AK1503" s="140">
        <v>0.0</v>
      </c>
      <c r="AL1503" s="109">
        <v>0.0</v>
      </c>
      <c r="AM1503" s="141">
        <v>45.0</v>
      </c>
      <c r="AN1503" s="80">
        <v>45.0</v>
      </c>
      <c r="AO1503" s="140">
        <v>0.0</v>
      </c>
      <c r="AP1503" s="109">
        <v>0.0</v>
      </c>
      <c r="AQ1503" s="109">
        <v>169.0</v>
      </c>
      <c r="AR1503" s="80">
        <v>169.0</v>
      </c>
      <c r="AS1503" s="110">
        <v>0.0</v>
      </c>
      <c r="AT1503" s="110">
        <v>0.0</v>
      </c>
      <c r="AU1503" s="110">
        <v>0.0</v>
      </c>
      <c r="AV1503" s="142">
        <v>0.0</v>
      </c>
      <c r="AW1503" s="80">
        <v>0.0</v>
      </c>
      <c r="AX1503" s="113">
        <v>1564.0</v>
      </c>
      <c r="AY1503" s="117">
        <v>1287.0</v>
      </c>
      <c r="AZ1503" s="328">
        <v>277.0</v>
      </c>
      <c r="BA1503" s="315">
        <v>0.0</v>
      </c>
      <c r="BB1503" s="316">
        <v>1564.0</v>
      </c>
      <c r="BC1503" s="132" t="s">
        <v>178</v>
      </c>
      <c r="BD1503" s="132" t="s">
        <v>178</v>
      </c>
      <c r="BE1503" s="132" t="s">
        <v>178</v>
      </c>
      <c r="BF1503" s="156"/>
      <c r="BG1503" s="83">
        <v>1176760.0</v>
      </c>
      <c r="BH1503" s="112">
        <v>35.0</v>
      </c>
      <c r="BI1503" s="98" t="s">
        <v>162</v>
      </c>
      <c r="BJ1503" s="98" t="str">
        <f t="shared" si="1"/>
        <v>INTEGRAL</v>
      </c>
      <c r="BK1503" s="98" t="str">
        <f t="shared" si="2"/>
        <v>NÃO</v>
      </c>
    </row>
    <row r="1504" ht="15.75" customHeight="1">
      <c r="A1504" s="111" t="s">
        <v>1785</v>
      </c>
      <c r="B1504" s="83" t="s">
        <v>1994</v>
      </c>
      <c r="C1504" s="83" t="s">
        <v>68</v>
      </c>
      <c r="D1504" s="83">
        <v>1104243.0</v>
      </c>
      <c r="E1504" s="83"/>
      <c r="F1504" s="83">
        <v>2.9191157E7</v>
      </c>
      <c r="G1504" s="114" t="s">
        <v>12399</v>
      </c>
      <c r="H1504" s="91" t="s">
        <v>8241</v>
      </c>
      <c r="I1504" s="114" t="s">
        <v>8242</v>
      </c>
      <c r="J1504" s="83" t="s">
        <v>150</v>
      </c>
      <c r="K1504" s="83" t="s">
        <v>8243</v>
      </c>
      <c r="L1504" s="83" t="s">
        <v>152</v>
      </c>
      <c r="M1504" s="82" t="s">
        <v>12400</v>
      </c>
      <c r="N1504" s="82" t="s">
        <v>12401</v>
      </c>
      <c r="O1504" s="82" t="s">
        <v>12402</v>
      </c>
      <c r="P1504" s="82" t="s">
        <v>12403</v>
      </c>
      <c r="Q1504" s="82" t="s">
        <v>12404</v>
      </c>
      <c r="R1504" s="82" t="s">
        <v>12405</v>
      </c>
      <c r="S1504" s="82" t="s">
        <v>12406</v>
      </c>
      <c r="T1504" s="138">
        <v>12.0</v>
      </c>
      <c r="U1504" s="341">
        <v>12.0</v>
      </c>
      <c r="V1504" s="106">
        <v>0.0</v>
      </c>
      <c r="W1504" s="107">
        <v>0.0</v>
      </c>
      <c r="X1504" s="107">
        <v>0.0</v>
      </c>
      <c r="Y1504" s="107">
        <v>0.0</v>
      </c>
      <c r="Z1504" s="80">
        <v>0.0</v>
      </c>
      <c r="AA1504" s="140">
        <v>247.0</v>
      </c>
      <c r="AB1504" s="109">
        <v>236.0</v>
      </c>
      <c r="AC1504" s="109">
        <v>0.0</v>
      </c>
      <c r="AD1504" s="141">
        <v>0.0</v>
      </c>
      <c r="AE1504" s="80">
        <v>483.0</v>
      </c>
      <c r="AF1504" s="140">
        <v>188.0</v>
      </c>
      <c r="AG1504" s="109">
        <v>133.0</v>
      </c>
      <c r="AH1504" s="109">
        <v>41.0</v>
      </c>
      <c r="AI1504" s="141">
        <v>0.0</v>
      </c>
      <c r="AJ1504" s="80">
        <v>362.0</v>
      </c>
      <c r="AK1504" s="140">
        <v>0.0</v>
      </c>
      <c r="AL1504" s="109">
        <v>0.0</v>
      </c>
      <c r="AM1504" s="141">
        <v>82.0</v>
      </c>
      <c r="AN1504" s="80">
        <v>82.0</v>
      </c>
      <c r="AO1504" s="140">
        <v>0.0</v>
      </c>
      <c r="AP1504" s="109">
        <v>0.0</v>
      </c>
      <c r="AQ1504" s="109">
        <v>198.0</v>
      </c>
      <c r="AR1504" s="80">
        <v>198.0</v>
      </c>
      <c r="AS1504" s="110">
        <v>0.0</v>
      </c>
      <c r="AT1504" s="110">
        <v>0.0</v>
      </c>
      <c r="AU1504" s="110">
        <v>0.0</v>
      </c>
      <c r="AV1504" s="142">
        <v>0.0</v>
      </c>
      <c r="AW1504" s="80">
        <v>0.0</v>
      </c>
      <c r="AX1504" s="113">
        <v>1125.0</v>
      </c>
      <c r="AY1504" s="117">
        <v>804.0</v>
      </c>
      <c r="AZ1504" s="328">
        <v>321.0</v>
      </c>
      <c r="BA1504" s="315">
        <v>3.0</v>
      </c>
      <c r="BB1504" s="316">
        <v>1128.0</v>
      </c>
      <c r="BC1504" s="132" t="s">
        <v>178</v>
      </c>
      <c r="BD1504" s="132" t="s">
        <v>178</v>
      </c>
      <c r="BE1504" s="132" t="s">
        <v>178</v>
      </c>
      <c r="BF1504" s="156"/>
      <c r="BG1504" s="83">
        <v>1104243.0</v>
      </c>
      <c r="BH1504" s="112">
        <v>12.0</v>
      </c>
      <c r="BI1504" s="98" t="s">
        <v>155</v>
      </c>
      <c r="BJ1504" s="98" t="str">
        <f t="shared" si="1"/>
        <v>NÃO</v>
      </c>
      <c r="BK1504" s="98" t="str">
        <f t="shared" si="2"/>
        <v>NÃO</v>
      </c>
    </row>
    <row r="1505" ht="15.75" customHeight="1">
      <c r="A1505" s="111" t="s">
        <v>1785</v>
      </c>
      <c r="B1505" s="83" t="s">
        <v>1994</v>
      </c>
      <c r="C1505" s="83" t="s">
        <v>68</v>
      </c>
      <c r="D1505" s="83">
        <v>1136072.0</v>
      </c>
      <c r="E1505" s="83"/>
      <c r="F1505" s="83">
        <v>2.9192226E7</v>
      </c>
      <c r="G1505" s="114" t="s">
        <v>12407</v>
      </c>
      <c r="H1505" s="91" t="s">
        <v>8246</v>
      </c>
      <c r="I1505" s="114" t="s">
        <v>8247</v>
      </c>
      <c r="J1505" s="83" t="s">
        <v>150</v>
      </c>
      <c r="K1505" s="83" t="s">
        <v>151</v>
      </c>
      <c r="L1505" s="83" t="s">
        <v>152</v>
      </c>
      <c r="M1505" s="82" t="s">
        <v>12408</v>
      </c>
      <c r="N1505" s="82" t="s">
        <v>12409</v>
      </c>
      <c r="O1505" s="82" t="s">
        <v>12410</v>
      </c>
      <c r="P1505" s="82" t="s">
        <v>12411</v>
      </c>
      <c r="Q1505" s="82" t="s">
        <v>12412</v>
      </c>
      <c r="R1505" s="82" t="s">
        <v>12413</v>
      </c>
      <c r="S1505" s="82" t="s">
        <v>12414</v>
      </c>
      <c r="T1505" s="138">
        <v>22.0</v>
      </c>
      <c r="U1505" s="341">
        <v>21.0</v>
      </c>
      <c r="V1505" s="106">
        <v>0.0</v>
      </c>
      <c r="W1505" s="107">
        <v>0.0</v>
      </c>
      <c r="X1505" s="107">
        <v>0.0</v>
      </c>
      <c r="Y1505" s="107">
        <v>0.0</v>
      </c>
      <c r="Z1505" s="80">
        <v>0.0</v>
      </c>
      <c r="AA1505" s="140">
        <v>464.0</v>
      </c>
      <c r="AB1505" s="109">
        <v>317.0</v>
      </c>
      <c r="AC1505" s="109">
        <v>0.0</v>
      </c>
      <c r="AD1505" s="141">
        <v>0.0</v>
      </c>
      <c r="AE1505" s="80">
        <v>781.0</v>
      </c>
      <c r="AF1505" s="140">
        <v>245.0</v>
      </c>
      <c r="AG1505" s="109">
        <v>56.0</v>
      </c>
      <c r="AH1505" s="109">
        <v>0.0</v>
      </c>
      <c r="AI1505" s="141">
        <v>0.0</v>
      </c>
      <c r="AJ1505" s="80">
        <v>301.0</v>
      </c>
      <c r="AK1505" s="140">
        <v>0.0</v>
      </c>
      <c r="AL1505" s="109">
        <v>0.0</v>
      </c>
      <c r="AM1505" s="141">
        <v>0.0</v>
      </c>
      <c r="AN1505" s="80">
        <v>0.0</v>
      </c>
      <c r="AO1505" s="140">
        <v>0.0</v>
      </c>
      <c r="AP1505" s="109">
        <v>0.0</v>
      </c>
      <c r="AQ1505" s="109">
        <v>143.0</v>
      </c>
      <c r="AR1505" s="80">
        <v>143.0</v>
      </c>
      <c r="AS1505" s="110">
        <v>0.0</v>
      </c>
      <c r="AT1505" s="110">
        <v>0.0</v>
      </c>
      <c r="AU1505" s="110">
        <v>0.0</v>
      </c>
      <c r="AV1505" s="142">
        <v>0.0</v>
      </c>
      <c r="AW1505" s="80">
        <v>0.0</v>
      </c>
      <c r="AX1505" s="113">
        <v>1225.0</v>
      </c>
      <c r="AY1505" s="117">
        <v>1082.0</v>
      </c>
      <c r="AZ1505" s="328">
        <v>143.0</v>
      </c>
      <c r="BA1505" s="315">
        <v>2.0</v>
      </c>
      <c r="BB1505" s="316">
        <v>1227.0</v>
      </c>
      <c r="BC1505" s="132" t="s">
        <v>178</v>
      </c>
      <c r="BD1505" s="132" t="s">
        <v>178</v>
      </c>
      <c r="BE1505" s="132" t="s">
        <v>178</v>
      </c>
      <c r="BF1505" s="156"/>
      <c r="BG1505" s="83">
        <v>1136072.0</v>
      </c>
      <c r="BH1505" s="112">
        <v>21.0</v>
      </c>
      <c r="BI1505" s="98" t="s">
        <v>155</v>
      </c>
      <c r="BJ1505" s="98" t="str">
        <f t="shared" si="1"/>
        <v>NÃO</v>
      </c>
      <c r="BK1505" s="98" t="str">
        <f t="shared" si="2"/>
        <v>NÃO</v>
      </c>
    </row>
    <row r="1506" ht="15.75" customHeight="1">
      <c r="A1506" s="111" t="s">
        <v>1785</v>
      </c>
      <c r="B1506" s="83" t="s">
        <v>1994</v>
      </c>
      <c r="C1506" s="83" t="s">
        <v>68</v>
      </c>
      <c r="D1506" s="83">
        <v>1103751.0</v>
      </c>
      <c r="E1506" s="83"/>
      <c r="F1506" s="83">
        <v>2.918228E7</v>
      </c>
      <c r="G1506" s="114" t="s">
        <v>12415</v>
      </c>
      <c r="H1506" s="91" t="s">
        <v>8250</v>
      </c>
      <c r="I1506" s="114" t="s">
        <v>8251</v>
      </c>
      <c r="J1506" s="83" t="s">
        <v>150</v>
      </c>
      <c r="K1506" s="83" t="s">
        <v>151</v>
      </c>
      <c r="L1506" s="83" t="s">
        <v>152</v>
      </c>
      <c r="M1506" s="82" t="s">
        <v>12416</v>
      </c>
      <c r="N1506" s="82" t="s">
        <v>12417</v>
      </c>
      <c r="O1506" s="82" t="s">
        <v>12418</v>
      </c>
      <c r="P1506" s="82" t="s">
        <v>12419</v>
      </c>
      <c r="Q1506" s="82"/>
      <c r="R1506" s="82"/>
      <c r="S1506" s="82" t="s">
        <v>12420</v>
      </c>
      <c r="T1506" s="138">
        <v>12.0</v>
      </c>
      <c r="U1506" s="341">
        <v>15.0</v>
      </c>
      <c r="V1506" s="106">
        <v>0.0</v>
      </c>
      <c r="W1506" s="107">
        <v>0.0</v>
      </c>
      <c r="X1506" s="107">
        <v>0.0</v>
      </c>
      <c r="Y1506" s="107">
        <v>0.0</v>
      </c>
      <c r="Z1506" s="80">
        <v>0.0</v>
      </c>
      <c r="AA1506" s="140">
        <v>251.0</v>
      </c>
      <c r="AB1506" s="109">
        <v>135.0</v>
      </c>
      <c r="AC1506" s="109">
        <v>0.0</v>
      </c>
      <c r="AD1506" s="141">
        <v>0.0</v>
      </c>
      <c r="AE1506" s="80">
        <v>386.0</v>
      </c>
      <c r="AF1506" s="140">
        <v>0.0</v>
      </c>
      <c r="AG1506" s="109">
        <v>0.0</v>
      </c>
      <c r="AH1506" s="109">
        <v>0.0</v>
      </c>
      <c r="AI1506" s="141">
        <v>0.0</v>
      </c>
      <c r="AJ1506" s="80">
        <v>0.0</v>
      </c>
      <c r="AK1506" s="140">
        <v>0.0</v>
      </c>
      <c r="AL1506" s="109">
        <v>0.0</v>
      </c>
      <c r="AM1506" s="141">
        <v>0.0</v>
      </c>
      <c r="AN1506" s="80">
        <v>0.0</v>
      </c>
      <c r="AO1506" s="140">
        <v>0.0</v>
      </c>
      <c r="AP1506" s="109">
        <v>0.0</v>
      </c>
      <c r="AQ1506" s="109">
        <v>0.0</v>
      </c>
      <c r="AR1506" s="80">
        <v>0.0</v>
      </c>
      <c r="AS1506" s="110">
        <v>0.0</v>
      </c>
      <c r="AT1506" s="110">
        <v>0.0</v>
      </c>
      <c r="AU1506" s="110">
        <v>0.0</v>
      </c>
      <c r="AV1506" s="142">
        <v>0.0</v>
      </c>
      <c r="AW1506" s="80">
        <v>0.0</v>
      </c>
      <c r="AX1506" s="113">
        <v>386.0</v>
      </c>
      <c r="AY1506" s="117">
        <v>386.0</v>
      </c>
      <c r="AZ1506" s="328">
        <v>0.0</v>
      </c>
      <c r="BA1506" s="315">
        <v>0.0</v>
      </c>
      <c r="BB1506" s="316">
        <v>386.0</v>
      </c>
      <c r="BC1506" s="132" t="s">
        <v>178</v>
      </c>
      <c r="BD1506" s="132" t="s">
        <v>178</v>
      </c>
      <c r="BE1506" s="132" t="s">
        <v>178</v>
      </c>
      <c r="BF1506" s="123"/>
      <c r="BG1506" s="83">
        <v>1103751.0</v>
      </c>
      <c r="BH1506" s="112">
        <v>15.0</v>
      </c>
      <c r="BI1506" s="98" t="s">
        <v>155</v>
      </c>
      <c r="BJ1506" s="98" t="str">
        <f t="shared" si="1"/>
        <v>NÃO</v>
      </c>
      <c r="BK1506" s="98" t="str">
        <f t="shared" si="2"/>
        <v>NÃO</v>
      </c>
    </row>
    <row r="1507" ht="15.75" customHeight="1">
      <c r="A1507" s="111" t="s">
        <v>1785</v>
      </c>
      <c r="B1507" s="83" t="s">
        <v>1994</v>
      </c>
      <c r="C1507" s="83" t="s">
        <v>68</v>
      </c>
      <c r="D1507" s="83">
        <v>1176377.0</v>
      </c>
      <c r="E1507" s="83"/>
      <c r="F1507" s="83">
        <v>2.9357861E7</v>
      </c>
      <c r="G1507" s="114" t="s">
        <v>12421</v>
      </c>
      <c r="H1507" s="91" t="s">
        <v>8254</v>
      </c>
      <c r="I1507" s="114" t="s">
        <v>8255</v>
      </c>
      <c r="J1507" s="83" t="s">
        <v>150</v>
      </c>
      <c r="K1507" s="83" t="s">
        <v>151</v>
      </c>
      <c r="L1507" s="83" t="s">
        <v>152</v>
      </c>
      <c r="M1507" s="82" t="s">
        <v>12422</v>
      </c>
      <c r="N1507" s="82" t="s">
        <v>12423</v>
      </c>
      <c r="O1507" s="82" t="s">
        <v>12424</v>
      </c>
      <c r="P1507" s="82" t="s">
        <v>12425</v>
      </c>
      <c r="Q1507" s="82" t="s">
        <v>12426</v>
      </c>
      <c r="R1507" s="82" t="s">
        <v>12427</v>
      </c>
      <c r="S1507" s="82" t="s">
        <v>12428</v>
      </c>
      <c r="T1507" s="138">
        <v>27.0</v>
      </c>
      <c r="U1507" s="341" t="s">
        <v>12429</v>
      </c>
      <c r="V1507" s="106">
        <v>0.0</v>
      </c>
      <c r="W1507" s="107">
        <v>0.0</v>
      </c>
      <c r="X1507" s="107">
        <v>0.0</v>
      </c>
      <c r="Y1507" s="107">
        <v>0.0</v>
      </c>
      <c r="Z1507" s="80">
        <v>0.0</v>
      </c>
      <c r="AA1507" s="140">
        <v>0.0</v>
      </c>
      <c r="AB1507" s="109">
        <v>0.0</v>
      </c>
      <c r="AC1507" s="109">
        <v>0.0</v>
      </c>
      <c r="AD1507" s="141">
        <v>0.0</v>
      </c>
      <c r="AE1507" s="80">
        <v>0.0</v>
      </c>
      <c r="AF1507" s="140">
        <v>642.0</v>
      </c>
      <c r="AG1507" s="109">
        <v>33.0</v>
      </c>
      <c r="AH1507" s="109">
        <v>0.0</v>
      </c>
      <c r="AI1507" s="141">
        <v>0.0</v>
      </c>
      <c r="AJ1507" s="80">
        <v>675.0</v>
      </c>
      <c r="AK1507" s="140">
        <v>0.0</v>
      </c>
      <c r="AL1507" s="109">
        <v>0.0</v>
      </c>
      <c r="AM1507" s="141">
        <v>0.0</v>
      </c>
      <c r="AN1507" s="80">
        <v>0.0</v>
      </c>
      <c r="AO1507" s="140">
        <v>0.0</v>
      </c>
      <c r="AP1507" s="109">
        <v>0.0</v>
      </c>
      <c r="AQ1507" s="109">
        <v>28.0</v>
      </c>
      <c r="AR1507" s="80">
        <v>28.0</v>
      </c>
      <c r="AS1507" s="110">
        <v>0.0</v>
      </c>
      <c r="AT1507" s="110">
        <v>309.0</v>
      </c>
      <c r="AU1507" s="110">
        <v>458.0</v>
      </c>
      <c r="AV1507" s="142">
        <v>0.0</v>
      </c>
      <c r="AW1507" s="80">
        <v>767.0</v>
      </c>
      <c r="AX1507" s="113">
        <v>1470.0</v>
      </c>
      <c r="AY1507" s="117">
        <v>984.0</v>
      </c>
      <c r="AZ1507" s="328">
        <v>486.0</v>
      </c>
      <c r="BA1507" s="315">
        <v>1.0</v>
      </c>
      <c r="BB1507" s="316">
        <v>1471.0</v>
      </c>
      <c r="BC1507" s="132" t="s">
        <v>178</v>
      </c>
      <c r="BD1507" s="132" t="s">
        <v>178</v>
      </c>
      <c r="BE1507" s="132" t="s">
        <v>178</v>
      </c>
      <c r="BF1507" s="123"/>
      <c r="BG1507" s="83">
        <v>1176377.0</v>
      </c>
      <c r="BH1507" s="112">
        <v>20.0</v>
      </c>
      <c r="BI1507" s="98" t="s">
        <v>284</v>
      </c>
      <c r="BJ1507" s="98" t="str">
        <f t="shared" si="1"/>
        <v>NÃO</v>
      </c>
      <c r="BK1507" s="98" t="str">
        <f t="shared" si="2"/>
        <v>PROFISSIONAL</v>
      </c>
    </row>
    <row r="1508" ht="15.75" customHeight="1">
      <c r="A1508" s="111" t="s">
        <v>1785</v>
      </c>
      <c r="B1508" s="83" t="s">
        <v>1994</v>
      </c>
      <c r="C1508" s="83" t="s">
        <v>68</v>
      </c>
      <c r="D1508" s="83">
        <v>1103654.0</v>
      </c>
      <c r="E1508" s="83"/>
      <c r="F1508" s="83">
        <v>2.9188458E7</v>
      </c>
      <c r="G1508" s="384" t="s">
        <v>8257</v>
      </c>
      <c r="H1508" s="91" t="s">
        <v>8258</v>
      </c>
      <c r="I1508" s="114" t="s">
        <v>8259</v>
      </c>
      <c r="J1508" s="83" t="s">
        <v>150</v>
      </c>
      <c r="K1508" s="83" t="s">
        <v>151</v>
      </c>
      <c r="L1508" s="83" t="s">
        <v>152</v>
      </c>
      <c r="M1508" s="82" t="s">
        <v>12430</v>
      </c>
      <c r="N1508" s="82" t="s">
        <v>12431</v>
      </c>
      <c r="O1508" s="82" t="s">
        <v>12432</v>
      </c>
      <c r="P1508" s="82" t="s">
        <v>12433</v>
      </c>
      <c r="Q1508" s="82"/>
      <c r="R1508" s="82"/>
      <c r="S1508" s="82"/>
      <c r="T1508" s="138">
        <v>11.0</v>
      </c>
      <c r="U1508" s="323">
        <v>10.0</v>
      </c>
      <c r="V1508" s="106">
        <v>0.0</v>
      </c>
      <c r="W1508" s="107">
        <v>0.0</v>
      </c>
      <c r="X1508" s="107">
        <v>0.0</v>
      </c>
      <c r="Y1508" s="107">
        <v>0.0</v>
      </c>
      <c r="Z1508" s="80">
        <v>0.0</v>
      </c>
      <c r="AA1508" s="140">
        <v>255.0</v>
      </c>
      <c r="AB1508" s="109">
        <v>0.0</v>
      </c>
      <c r="AC1508" s="109">
        <v>0.0</v>
      </c>
      <c r="AD1508" s="141">
        <v>0.0</v>
      </c>
      <c r="AE1508" s="80">
        <v>255.0</v>
      </c>
      <c r="AF1508" s="140">
        <v>0.0</v>
      </c>
      <c r="AG1508" s="109">
        <v>0.0</v>
      </c>
      <c r="AH1508" s="109">
        <v>0.0</v>
      </c>
      <c r="AI1508" s="141">
        <v>0.0</v>
      </c>
      <c r="AJ1508" s="80">
        <v>0.0</v>
      </c>
      <c r="AK1508" s="140">
        <v>0.0</v>
      </c>
      <c r="AL1508" s="109">
        <v>0.0</v>
      </c>
      <c r="AM1508" s="141">
        <v>82.0</v>
      </c>
      <c r="AN1508" s="80">
        <v>82.0</v>
      </c>
      <c r="AO1508" s="140">
        <v>0.0</v>
      </c>
      <c r="AP1508" s="109">
        <v>0.0</v>
      </c>
      <c r="AQ1508" s="109">
        <v>195.0</v>
      </c>
      <c r="AR1508" s="80">
        <v>195.0</v>
      </c>
      <c r="AS1508" s="110">
        <v>0.0</v>
      </c>
      <c r="AT1508" s="110">
        <v>0.0</v>
      </c>
      <c r="AU1508" s="110">
        <v>0.0</v>
      </c>
      <c r="AV1508" s="142">
        <v>0.0</v>
      </c>
      <c r="AW1508" s="80">
        <v>0.0</v>
      </c>
      <c r="AX1508" s="113">
        <v>532.0</v>
      </c>
      <c r="AY1508" s="117">
        <v>255.0</v>
      </c>
      <c r="AZ1508" s="328">
        <v>277.0</v>
      </c>
      <c r="BA1508" s="315">
        <v>0.0</v>
      </c>
      <c r="BB1508" s="316">
        <v>532.0</v>
      </c>
      <c r="BC1508" s="132" t="s">
        <v>178</v>
      </c>
      <c r="BD1508" s="132" t="s">
        <v>178</v>
      </c>
      <c r="BE1508" s="132" t="s">
        <v>178</v>
      </c>
      <c r="BF1508" s="156"/>
      <c r="BG1508" s="83">
        <v>1103654.0</v>
      </c>
      <c r="BH1508" s="112">
        <v>10.0</v>
      </c>
      <c r="BI1508" s="98" t="s">
        <v>155</v>
      </c>
      <c r="BJ1508" s="98" t="str">
        <f t="shared" si="1"/>
        <v>NÃO</v>
      </c>
      <c r="BK1508" s="98" t="str">
        <f t="shared" si="2"/>
        <v>NÃO</v>
      </c>
    </row>
    <row r="1509" ht="15.75" customHeight="1">
      <c r="A1509" s="111" t="s">
        <v>1785</v>
      </c>
      <c r="B1509" s="83" t="s">
        <v>1994</v>
      </c>
      <c r="C1509" s="83" t="s">
        <v>68</v>
      </c>
      <c r="D1509" s="83">
        <v>1104820.0</v>
      </c>
      <c r="E1509" s="83"/>
      <c r="F1509" s="83">
        <v>2.918205E7</v>
      </c>
      <c r="G1509" s="114" t="s">
        <v>8262</v>
      </c>
      <c r="H1509" s="91" t="s">
        <v>8263</v>
      </c>
      <c r="I1509" s="114" t="s">
        <v>8175</v>
      </c>
      <c r="J1509" s="83" t="s">
        <v>150</v>
      </c>
      <c r="K1509" s="83" t="s">
        <v>151</v>
      </c>
      <c r="L1509" s="83" t="s">
        <v>152</v>
      </c>
      <c r="M1509" s="82" t="s">
        <v>12434</v>
      </c>
      <c r="N1509" s="82" t="s">
        <v>12435</v>
      </c>
      <c r="O1509" s="82" t="s">
        <v>12436</v>
      </c>
      <c r="P1509" s="82" t="s">
        <v>12437</v>
      </c>
      <c r="Q1509" s="82"/>
      <c r="R1509" s="82"/>
      <c r="S1509" s="82" t="s">
        <v>12438</v>
      </c>
      <c r="T1509" s="138">
        <v>18.0</v>
      </c>
      <c r="U1509" s="341">
        <v>17.0</v>
      </c>
      <c r="V1509" s="106">
        <v>0.0</v>
      </c>
      <c r="W1509" s="107">
        <v>0.0</v>
      </c>
      <c r="X1509" s="107">
        <v>0.0</v>
      </c>
      <c r="Y1509" s="107">
        <v>0.0</v>
      </c>
      <c r="Z1509" s="80">
        <v>0.0</v>
      </c>
      <c r="AA1509" s="140">
        <v>397.0</v>
      </c>
      <c r="AB1509" s="109">
        <v>46.0</v>
      </c>
      <c r="AC1509" s="109">
        <v>0.0</v>
      </c>
      <c r="AD1509" s="141">
        <v>0.0</v>
      </c>
      <c r="AE1509" s="80">
        <v>443.0</v>
      </c>
      <c r="AF1509" s="140">
        <v>0.0</v>
      </c>
      <c r="AG1509" s="109">
        <v>286.0</v>
      </c>
      <c r="AH1509" s="109">
        <v>0.0</v>
      </c>
      <c r="AI1509" s="141">
        <v>0.0</v>
      </c>
      <c r="AJ1509" s="80">
        <v>286.0</v>
      </c>
      <c r="AK1509" s="140">
        <v>0.0</v>
      </c>
      <c r="AL1509" s="109">
        <v>0.0</v>
      </c>
      <c r="AM1509" s="141">
        <v>0.0</v>
      </c>
      <c r="AN1509" s="80">
        <v>0.0</v>
      </c>
      <c r="AO1509" s="140">
        <v>0.0</v>
      </c>
      <c r="AP1509" s="109">
        <v>0.0</v>
      </c>
      <c r="AQ1509" s="109">
        <v>0.0</v>
      </c>
      <c r="AR1509" s="80">
        <v>0.0</v>
      </c>
      <c r="AS1509" s="110">
        <v>0.0</v>
      </c>
      <c r="AT1509" s="110">
        <v>0.0</v>
      </c>
      <c r="AU1509" s="110">
        <v>0.0</v>
      </c>
      <c r="AV1509" s="142">
        <v>0.0</v>
      </c>
      <c r="AW1509" s="80">
        <v>0.0</v>
      </c>
      <c r="AX1509" s="113">
        <v>729.0</v>
      </c>
      <c r="AY1509" s="117">
        <v>729.0</v>
      </c>
      <c r="AZ1509" s="328">
        <v>0.0</v>
      </c>
      <c r="BA1509" s="315">
        <v>0.0</v>
      </c>
      <c r="BB1509" s="316">
        <v>729.0</v>
      </c>
      <c r="BC1509" s="132" t="s">
        <v>178</v>
      </c>
      <c r="BD1509" s="132" t="s">
        <v>178</v>
      </c>
      <c r="BE1509" s="132" t="s">
        <v>178</v>
      </c>
      <c r="BF1509" s="123"/>
      <c r="BG1509" s="83">
        <v>1104820.0</v>
      </c>
      <c r="BH1509" s="112">
        <v>17.0</v>
      </c>
      <c r="BI1509" s="98" t="s">
        <v>155</v>
      </c>
      <c r="BJ1509" s="98" t="str">
        <f t="shared" si="1"/>
        <v>NÃO</v>
      </c>
      <c r="BK1509" s="98" t="str">
        <f t="shared" si="2"/>
        <v>NÃO</v>
      </c>
    </row>
    <row r="1510" ht="15.75" customHeight="1">
      <c r="A1510" s="111" t="s">
        <v>1785</v>
      </c>
      <c r="B1510" s="83" t="s">
        <v>1994</v>
      </c>
      <c r="C1510" s="83" t="s">
        <v>68</v>
      </c>
      <c r="D1510" s="83">
        <v>1104537.0</v>
      </c>
      <c r="E1510" s="83"/>
      <c r="F1510" s="83">
        <v>2.9191149E7</v>
      </c>
      <c r="G1510" s="114" t="s">
        <v>8270</v>
      </c>
      <c r="H1510" s="91" t="s">
        <v>8271</v>
      </c>
      <c r="I1510" s="114" t="s">
        <v>8272</v>
      </c>
      <c r="J1510" s="83" t="s">
        <v>150</v>
      </c>
      <c r="K1510" s="83" t="s">
        <v>151</v>
      </c>
      <c r="L1510" s="83" t="s">
        <v>230</v>
      </c>
      <c r="M1510" s="82" t="s">
        <v>12439</v>
      </c>
      <c r="N1510" s="82" t="s">
        <v>12440</v>
      </c>
      <c r="O1510" s="82"/>
      <c r="P1510" s="82"/>
      <c r="Q1510" s="82"/>
      <c r="R1510" s="82"/>
      <c r="S1510" s="82" t="s">
        <v>12441</v>
      </c>
      <c r="T1510" s="138">
        <v>20.0</v>
      </c>
      <c r="U1510" s="341" t="s">
        <v>12442</v>
      </c>
      <c r="V1510" s="106">
        <v>0.0</v>
      </c>
      <c r="W1510" s="107">
        <v>0.0</v>
      </c>
      <c r="X1510" s="107">
        <v>0.0</v>
      </c>
      <c r="Y1510" s="107">
        <v>0.0</v>
      </c>
      <c r="Z1510" s="80">
        <v>0.0</v>
      </c>
      <c r="AA1510" s="140">
        <v>0.0</v>
      </c>
      <c r="AB1510" s="109">
        <v>0.0</v>
      </c>
      <c r="AC1510" s="109">
        <v>0.0</v>
      </c>
      <c r="AD1510" s="141">
        <v>0.0</v>
      </c>
      <c r="AE1510" s="80">
        <v>0.0</v>
      </c>
      <c r="AF1510" s="140">
        <v>410.0</v>
      </c>
      <c r="AG1510" s="109">
        <v>0.0</v>
      </c>
      <c r="AH1510" s="109">
        <v>0.0</v>
      </c>
      <c r="AI1510" s="141">
        <v>75.0</v>
      </c>
      <c r="AJ1510" s="80">
        <v>485.0</v>
      </c>
      <c r="AK1510" s="140">
        <v>0.0</v>
      </c>
      <c r="AL1510" s="109">
        <v>0.0</v>
      </c>
      <c r="AM1510" s="141">
        <v>0.0</v>
      </c>
      <c r="AN1510" s="80">
        <v>0.0</v>
      </c>
      <c r="AO1510" s="140">
        <v>0.0</v>
      </c>
      <c r="AP1510" s="109">
        <v>0.0</v>
      </c>
      <c r="AQ1510" s="109">
        <v>231.0</v>
      </c>
      <c r="AR1510" s="80">
        <v>231.0</v>
      </c>
      <c r="AS1510" s="110">
        <v>0.0</v>
      </c>
      <c r="AT1510" s="110">
        <v>0.0</v>
      </c>
      <c r="AU1510" s="110">
        <v>0.0</v>
      </c>
      <c r="AV1510" s="142">
        <v>0.0</v>
      </c>
      <c r="AW1510" s="80">
        <v>0.0</v>
      </c>
      <c r="AX1510" s="113">
        <v>716.0</v>
      </c>
      <c r="AY1510" s="117">
        <v>485.0</v>
      </c>
      <c r="AZ1510" s="328">
        <v>231.0</v>
      </c>
      <c r="BA1510" s="315">
        <v>10.0</v>
      </c>
      <c r="BB1510" s="316">
        <v>726.0</v>
      </c>
      <c r="BC1510" s="132" t="s">
        <v>178</v>
      </c>
      <c r="BD1510" s="132" t="s">
        <v>178</v>
      </c>
      <c r="BE1510" s="132" t="s">
        <v>178</v>
      </c>
      <c r="BF1510" s="156"/>
      <c r="BG1510" s="83">
        <v>1104537.0</v>
      </c>
      <c r="BH1510" s="112">
        <v>13.0</v>
      </c>
      <c r="BI1510" s="98" t="s">
        <v>155</v>
      </c>
      <c r="BJ1510" s="98" t="str">
        <f t="shared" si="1"/>
        <v>INTEGRAL</v>
      </c>
      <c r="BK1510" s="98" t="str">
        <f t="shared" si="2"/>
        <v>NÃO</v>
      </c>
    </row>
    <row r="1511" ht="15.75" customHeight="1">
      <c r="A1511" s="111" t="s">
        <v>1785</v>
      </c>
      <c r="B1511" s="83" t="s">
        <v>1994</v>
      </c>
      <c r="C1511" s="83" t="s">
        <v>68</v>
      </c>
      <c r="D1511" s="83">
        <v>1176610.0</v>
      </c>
      <c r="E1511" s="83"/>
      <c r="F1511" s="83">
        <v>2.9404266E7</v>
      </c>
      <c r="G1511" s="114" t="s">
        <v>12443</v>
      </c>
      <c r="H1511" s="91" t="s">
        <v>8276</v>
      </c>
      <c r="I1511" s="298" t="s">
        <v>8278</v>
      </c>
      <c r="J1511" s="83" t="s">
        <v>150</v>
      </c>
      <c r="K1511" s="83" t="s">
        <v>8280</v>
      </c>
      <c r="L1511" s="83" t="s">
        <v>152</v>
      </c>
      <c r="M1511" s="82" t="s">
        <v>12444</v>
      </c>
      <c r="N1511" s="82" t="s">
        <v>12445</v>
      </c>
      <c r="O1511" s="82"/>
      <c r="P1511" s="82"/>
      <c r="Q1511" s="82"/>
      <c r="R1511" s="82"/>
      <c r="S1511" s="82" t="s">
        <v>12446</v>
      </c>
      <c r="T1511" s="138">
        <v>11.0</v>
      </c>
      <c r="U1511" s="341">
        <v>10.0</v>
      </c>
      <c r="V1511" s="106">
        <v>0.0</v>
      </c>
      <c r="W1511" s="107">
        <v>0.0</v>
      </c>
      <c r="X1511" s="107">
        <v>0.0</v>
      </c>
      <c r="Y1511" s="107">
        <v>0.0</v>
      </c>
      <c r="Z1511" s="80">
        <v>0.0</v>
      </c>
      <c r="AA1511" s="140">
        <v>77.0</v>
      </c>
      <c r="AB1511" s="109">
        <v>300.0</v>
      </c>
      <c r="AC1511" s="109">
        <v>0.0</v>
      </c>
      <c r="AD1511" s="141">
        <v>0.0</v>
      </c>
      <c r="AE1511" s="80">
        <v>377.0</v>
      </c>
      <c r="AF1511" s="140">
        <v>270.0</v>
      </c>
      <c r="AG1511" s="109">
        <v>0.0</v>
      </c>
      <c r="AH1511" s="109">
        <v>0.0</v>
      </c>
      <c r="AI1511" s="141">
        <v>0.0</v>
      </c>
      <c r="AJ1511" s="80">
        <v>270.0</v>
      </c>
      <c r="AK1511" s="140">
        <v>0.0</v>
      </c>
      <c r="AL1511" s="109">
        <v>0.0</v>
      </c>
      <c r="AM1511" s="141">
        <v>0.0</v>
      </c>
      <c r="AN1511" s="80">
        <v>0.0</v>
      </c>
      <c r="AO1511" s="140">
        <v>0.0</v>
      </c>
      <c r="AP1511" s="109">
        <v>0.0</v>
      </c>
      <c r="AQ1511" s="109">
        <v>33.0</v>
      </c>
      <c r="AR1511" s="80">
        <v>33.0</v>
      </c>
      <c r="AS1511" s="110">
        <v>0.0</v>
      </c>
      <c r="AT1511" s="110">
        <v>0.0</v>
      </c>
      <c r="AU1511" s="110">
        <v>0.0</v>
      </c>
      <c r="AV1511" s="142">
        <v>0.0</v>
      </c>
      <c r="AW1511" s="80">
        <v>0.0</v>
      </c>
      <c r="AX1511" s="113">
        <v>680.0</v>
      </c>
      <c r="AY1511" s="117">
        <v>647.0</v>
      </c>
      <c r="AZ1511" s="328">
        <v>33.0</v>
      </c>
      <c r="BA1511" s="315">
        <v>0.0</v>
      </c>
      <c r="BB1511" s="316">
        <v>680.0</v>
      </c>
      <c r="BC1511" s="132" t="s">
        <v>178</v>
      </c>
      <c r="BD1511" s="132" t="s">
        <v>178</v>
      </c>
      <c r="BE1511" s="132" t="s">
        <v>178</v>
      </c>
      <c r="BF1511" s="123"/>
      <c r="BG1511" s="83">
        <v>1176610.0</v>
      </c>
      <c r="BH1511" s="112">
        <v>10.0</v>
      </c>
      <c r="BI1511" s="98" t="s">
        <v>155</v>
      </c>
      <c r="BJ1511" s="98" t="str">
        <f t="shared" si="1"/>
        <v>NÃO</v>
      </c>
      <c r="BK1511" s="98" t="str">
        <f t="shared" si="2"/>
        <v>NÃO</v>
      </c>
    </row>
    <row r="1512" ht="15.75" customHeight="1">
      <c r="A1512" s="111" t="s">
        <v>1785</v>
      </c>
      <c r="B1512" s="83" t="s">
        <v>1994</v>
      </c>
      <c r="C1512" s="83" t="s">
        <v>68</v>
      </c>
      <c r="D1512" s="83">
        <v>1103387.0</v>
      </c>
      <c r="E1512" s="83"/>
      <c r="F1512" s="83">
        <v>2.918155E7</v>
      </c>
      <c r="G1512" s="114" t="s">
        <v>12447</v>
      </c>
      <c r="H1512" s="91" t="s">
        <v>8282</v>
      </c>
      <c r="I1512" s="114" t="s">
        <v>8283</v>
      </c>
      <c r="J1512" s="83" t="s">
        <v>150</v>
      </c>
      <c r="K1512" s="83" t="s">
        <v>151</v>
      </c>
      <c r="L1512" s="83" t="s">
        <v>152</v>
      </c>
      <c r="M1512" s="82" t="s">
        <v>12448</v>
      </c>
      <c r="N1512" s="82" t="s">
        <v>12449</v>
      </c>
      <c r="O1512" s="82" t="s">
        <v>12450</v>
      </c>
      <c r="P1512" s="82" t="s">
        <v>12451</v>
      </c>
      <c r="Q1512" s="82"/>
      <c r="R1512" s="82"/>
      <c r="S1512" s="82" t="s">
        <v>12452</v>
      </c>
      <c r="T1512" s="138">
        <v>19.0</v>
      </c>
      <c r="U1512" s="387">
        <v>19.0</v>
      </c>
      <c r="V1512" s="106">
        <v>0.0</v>
      </c>
      <c r="W1512" s="107">
        <v>0.0</v>
      </c>
      <c r="X1512" s="107">
        <v>0.0</v>
      </c>
      <c r="Y1512" s="107">
        <v>0.0</v>
      </c>
      <c r="Z1512" s="80">
        <v>0.0</v>
      </c>
      <c r="AA1512" s="140">
        <v>0.0</v>
      </c>
      <c r="AB1512" s="109">
        <v>0.0</v>
      </c>
      <c r="AC1512" s="109">
        <v>0.0</v>
      </c>
      <c r="AD1512" s="141">
        <v>0.0</v>
      </c>
      <c r="AE1512" s="80">
        <v>0.0</v>
      </c>
      <c r="AF1512" s="140">
        <v>465.0</v>
      </c>
      <c r="AG1512" s="109">
        <v>84.0</v>
      </c>
      <c r="AH1512" s="109">
        <v>0.0</v>
      </c>
      <c r="AI1512" s="141">
        <v>0.0</v>
      </c>
      <c r="AJ1512" s="80">
        <v>549.0</v>
      </c>
      <c r="AK1512" s="140">
        <v>0.0</v>
      </c>
      <c r="AL1512" s="109">
        <v>0.0</v>
      </c>
      <c r="AM1512" s="141">
        <v>0.0</v>
      </c>
      <c r="AN1512" s="80">
        <v>0.0</v>
      </c>
      <c r="AO1512" s="140">
        <v>0.0</v>
      </c>
      <c r="AP1512" s="109">
        <v>0.0</v>
      </c>
      <c r="AQ1512" s="109">
        <v>0.0</v>
      </c>
      <c r="AR1512" s="80">
        <v>0.0</v>
      </c>
      <c r="AS1512" s="110">
        <v>0.0</v>
      </c>
      <c r="AT1512" s="110">
        <v>0.0</v>
      </c>
      <c r="AU1512" s="110">
        <v>0.0</v>
      </c>
      <c r="AV1512" s="142">
        <v>0.0</v>
      </c>
      <c r="AW1512" s="80">
        <v>0.0</v>
      </c>
      <c r="AX1512" s="113">
        <v>549.0</v>
      </c>
      <c r="AY1512" s="117">
        <v>549.0</v>
      </c>
      <c r="AZ1512" s="328">
        <v>0.0</v>
      </c>
      <c r="BA1512" s="315">
        <v>1.0</v>
      </c>
      <c r="BB1512" s="316">
        <v>550.0</v>
      </c>
      <c r="BC1512" s="132" t="s">
        <v>178</v>
      </c>
      <c r="BD1512" s="132" t="s">
        <v>178</v>
      </c>
      <c r="BE1512" s="132" t="s">
        <v>178</v>
      </c>
      <c r="BF1512" s="156"/>
      <c r="BG1512" s="83">
        <v>1103387.0</v>
      </c>
      <c r="BH1512" s="112">
        <v>19.0</v>
      </c>
      <c r="BI1512" s="98" t="s">
        <v>155</v>
      </c>
      <c r="BJ1512" s="98" t="str">
        <f t="shared" si="1"/>
        <v>NÃO</v>
      </c>
      <c r="BK1512" s="98" t="str">
        <f t="shared" si="2"/>
        <v>NÃO</v>
      </c>
    </row>
    <row r="1513" ht="15.75" customHeight="1">
      <c r="A1513" s="111" t="s">
        <v>1785</v>
      </c>
      <c r="B1513" s="83" t="s">
        <v>1994</v>
      </c>
      <c r="C1513" s="83" t="s">
        <v>68</v>
      </c>
      <c r="D1513" s="83">
        <v>1103239.0</v>
      </c>
      <c r="E1513" s="83"/>
      <c r="F1513" s="83">
        <v>2.919113E7</v>
      </c>
      <c r="G1513" s="114" t="s">
        <v>12453</v>
      </c>
      <c r="H1513" s="91" t="s">
        <v>8293</v>
      </c>
      <c r="I1513" s="114" t="s">
        <v>8294</v>
      </c>
      <c r="J1513" s="83" t="s">
        <v>150</v>
      </c>
      <c r="K1513" s="83" t="s">
        <v>151</v>
      </c>
      <c r="L1513" s="83" t="s">
        <v>152</v>
      </c>
      <c r="M1513" s="82" t="s">
        <v>12454</v>
      </c>
      <c r="N1513" s="82" t="s">
        <v>12455</v>
      </c>
      <c r="O1513" s="82" t="s">
        <v>12456</v>
      </c>
      <c r="P1513" s="82" t="s">
        <v>12457</v>
      </c>
      <c r="Q1513" s="82" t="s">
        <v>12458</v>
      </c>
      <c r="R1513" s="82" t="s">
        <v>12459</v>
      </c>
      <c r="S1513" s="82" t="s">
        <v>12460</v>
      </c>
      <c r="T1513" s="138">
        <v>14.0</v>
      </c>
      <c r="U1513" s="341">
        <v>14.0</v>
      </c>
      <c r="V1513" s="106">
        <v>0.0</v>
      </c>
      <c r="W1513" s="107">
        <v>0.0</v>
      </c>
      <c r="X1513" s="107">
        <v>0.0</v>
      </c>
      <c r="Y1513" s="107">
        <v>0.0</v>
      </c>
      <c r="Z1513" s="80">
        <v>0.0</v>
      </c>
      <c r="AA1513" s="140">
        <v>445.0</v>
      </c>
      <c r="AB1513" s="109">
        <v>63.0</v>
      </c>
      <c r="AC1513" s="109">
        <v>0.0</v>
      </c>
      <c r="AD1513" s="141">
        <v>0.0</v>
      </c>
      <c r="AE1513" s="80">
        <v>508.0</v>
      </c>
      <c r="AF1513" s="140">
        <v>0.0</v>
      </c>
      <c r="AG1513" s="109">
        <v>0.0</v>
      </c>
      <c r="AH1513" s="109">
        <v>0.0</v>
      </c>
      <c r="AI1513" s="141">
        <v>0.0</v>
      </c>
      <c r="AJ1513" s="80">
        <v>0.0</v>
      </c>
      <c r="AK1513" s="140">
        <v>0.0</v>
      </c>
      <c r="AL1513" s="109">
        <v>29.0</v>
      </c>
      <c r="AM1513" s="141">
        <v>61.0</v>
      </c>
      <c r="AN1513" s="80">
        <v>90.0</v>
      </c>
      <c r="AO1513" s="140">
        <v>0.0</v>
      </c>
      <c r="AP1513" s="109">
        <v>0.0</v>
      </c>
      <c r="AQ1513" s="109">
        <v>106.0</v>
      </c>
      <c r="AR1513" s="80">
        <v>106.0</v>
      </c>
      <c r="AS1513" s="110">
        <v>0.0</v>
      </c>
      <c r="AT1513" s="110">
        <v>0.0</v>
      </c>
      <c r="AU1513" s="110">
        <v>0.0</v>
      </c>
      <c r="AV1513" s="142">
        <v>0.0</v>
      </c>
      <c r="AW1513" s="80">
        <v>0.0</v>
      </c>
      <c r="AX1513" s="113">
        <v>704.0</v>
      </c>
      <c r="AY1513" s="117">
        <v>537.0</v>
      </c>
      <c r="AZ1513" s="328">
        <v>167.0</v>
      </c>
      <c r="BA1513" s="315">
        <v>0.0</v>
      </c>
      <c r="BB1513" s="316">
        <v>704.0</v>
      </c>
      <c r="BC1513" s="132" t="s">
        <v>178</v>
      </c>
      <c r="BD1513" s="132" t="s">
        <v>178</v>
      </c>
      <c r="BE1513" s="132" t="s">
        <v>178</v>
      </c>
      <c r="BF1513" s="123"/>
      <c r="BG1513" s="83">
        <v>1103239.0</v>
      </c>
      <c r="BH1513" s="112">
        <v>14.0</v>
      </c>
      <c r="BI1513" s="98" t="s">
        <v>155</v>
      </c>
      <c r="BJ1513" s="98" t="str">
        <f t="shared" si="1"/>
        <v>NÃO</v>
      </c>
      <c r="BK1513" s="98" t="str">
        <f t="shared" si="2"/>
        <v>NÃO</v>
      </c>
    </row>
    <row r="1514" ht="15.75" customHeight="1">
      <c r="A1514" s="111" t="s">
        <v>1785</v>
      </c>
      <c r="B1514" s="83" t="s">
        <v>1994</v>
      </c>
      <c r="C1514" s="83" t="s">
        <v>68</v>
      </c>
      <c r="D1514" s="83">
        <v>1103212.0</v>
      </c>
      <c r="E1514" s="83"/>
      <c r="F1514" s="83">
        <v>2.9200075E7</v>
      </c>
      <c r="G1514" s="114" t="s">
        <v>8296</v>
      </c>
      <c r="H1514" s="91" t="s">
        <v>8297</v>
      </c>
      <c r="I1514" s="298" t="s">
        <v>8298</v>
      </c>
      <c r="J1514" s="83" t="s">
        <v>150</v>
      </c>
      <c r="K1514" s="83" t="s">
        <v>151</v>
      </c>
      <c r="L1514" s="83" t="s">
        <v>152</v>
      </c>
      <c r="M1514" s="82" t="s">
        <v>12461</v>
      </c>
      <c r="N1514" s="82" t="s">
        <v>12462</v>
      </c>
      <c r="O1514" s="82" t="s">
        <v>12463</v>
      </c>
      <c r="P1514" s="82" t="s">
        <v>12464</v>
      </c>
      <c r="Q1514" s="82" t="s">
        <v>12465</v>
      </c>
      <c r="R1514" s="82" t="s">
        <v>12466</v>
      </c>
      <c r="S1514" s="82" t="s">
        <v>12467</v>
      </c>
      <c r="T1514" s="138">
        <v>13.0</v>
      </c>
      <c r="U1514" s="341">
        <v>12.0</v>
      </c>
      <c r="V1514" s="106">
        <v>0.0</v>
      </c>
      <c r="W1514" s="107">
        <v>0.0</v>
      </c>
      <c r="X1514" s="107">
        <v>0.0</v>
      </c>
      <c r="Y1514" s="107">
        <v>0.0</v>
      </c>
      <c r="Z1514" s="80">
        <v>0.0</v>
      </c>
      <c r="AA1514" s="140">
        <v>398.0</v>
      </c>
      <c r="AB1514" s="109">
        <v>148.0</v>
      </c>
      <c r="AC1514" s="109">
        <v>0.0</v>
      </c>
      <c r="AD1514" s="141">
        <v>0.0</v>
      </c>
      <c r="AE1514" s="80">
        <v>546.0</v>
      </c>
      <c r="AF1514" s="140">
        <v>0.0</v>
      </c>
      <c r="AG1514" s="109">
        <v>311.0</v>
      </c>
      <c r="AH1514" s="109">
        <v>0.0</v>
      </c>
      <c r="AI1514" s="141">
        <v>0.0</v>
      </c>
      <c r="AJ1514" s="80">
        <v>311.0</v>
      </c>
      <c r="AK1514" s="140">
        <v>0.0</v>
      </c>
      <c r="AL1514" s="109">
        <v>0.0</v>
      </c>
      <c r="AM1514" s="141">
        <v>124.0</v>
      </c>
      <c r="AN1514" s="80">
        <v>124.0</v>
      </c>
      <c r="AO1514" s="140">
        <v>0.0</v>
      </c>
      <c r="AP1514" s="109">
        <v>0.0</v>
      </c>
      <c r="AQ1514" s="109">
        <v>307.0</v>
      </c>
      <c r="AR1514" s="80">
        <v>307.0</v>
      </c>
      <c r="AS1514" s="110">
        <v>0.0</v>
      </c>
      <c r="AT1514" s="110">
        <v>0.0</v>
      </c>
      <c r="AU1514" s="110">
        <v>0.0</v>
      </c>
      <c r="AV1514" s="142">
        <v>0.0</v>
      </c>
      <c r="AW1514" s="80">
        <v>0.0</v>
      </c>
      <c r="AX1514" s="113">
        <v>1288.0</v>
      </c>
      <c r="AY1514" s="117">
        <v>857.0</v>
      </c>
      <c r="AZ1514" s="328">
        <v>431.0</v>
      </c>
      <c r="BA1514" s="315">
        <v>0.0</v>
      </c>
      <c r="BB1514" s="316">
        <v>1288.0</v>
      </c>
      <c r="BC1514" s="132" t="s">
        <v>178</v>
      </c>
      <c r="BD1514" s="132" t="s">
        <v>178</v>
      </c>
      <c r="BE1514" s="132" t="s">
        <v>178</v>
      </c>
      <c r="BF1514" s="123"/>
      <c r="BG1514" s="83">
        <v>1103212.0</v>
      </c>
      <c r="BH1514" s="112">
        <v>12.0</v>
      </c>
      <c r="BI1514" s="98" t="s">
        <v>155</v>
      </c>
      <c r="BJ1514" s="98" t="str">
        <f t="shared" si="1"/>
        <v>NÃO</v>
      </c>
      <c r="BK1514" s="98" t="str">
        <f t="shared" si="2"/>
        <v>NÃO</v>
      </c>
    </row>
    <row r="1515" ht="15.75" customHeight="1">
      <c r="A1515" s="111" t="s">
        <v>1785</v>
      </c>
      <c r="B1515" s="83" t="s">
        <v>1994</v>
      </c>
      <c r="C1515" s="83" t="s">
        <v>68</v>
      </c>
      <c r="D1515" s="83">
        <v>1101520.0</v>
      </c>
      <c r="E1515" s="83"/>
      <c r="F1515" s="83">
        <v>2.918827E7</v>
      </c>
      <c r="G1515" s="114" t="s">
        <v>8305</v>
      </c>
      <c r="H1515" s="91" t="s">
        <v>8306</v>
      </c>
      <c r="I1515" s="114" t="s">
        <v>8307</v>
      </c>
      <c r="J1515" s="83" t="s">
        <v>150</v>
      </c>
      <c r="K1515" s="83" t="s">
        <v>151</v>
      </c>
      <c r="L1515" s="83" t="s">
        <v>152</v>
      </c>
      <c r="M1515" s="82" t="s">
        <v>12468</v>
      </c>
      <c r="N1515" s="82" t="s">
        <v>12469</v>
      </c>
      <c r="O1515" s="82" t="s">
        <v>12470</v>
      </c>
      <c r="P1515" s="82" t="s">
        <v>12471</v>
      </c>
      <c r="Q1515" s="82" t="s">
        <v>12472</v>
      </c>
      <c r="R1515" s="82" t="s">
        <v>12473</v>
      </c>
      <c r="S1515" s="82" t="s">
        <v>12474</v>
      </c>
      <c r="T1515" s="138">
        <v>10.0</v>
      </c>
      <c r="U1515" s="387">
        <v>10.0</v>
      </c>
      <c r="V1515" s="106">
        <v>0.0</v>
      </c>
      <c r="W1515" s="107">
        <v>0.0</v>
      </c>
      <c r="X1515" s="107">
        <v>0.0</v>
      </c>
      <c r="Y1515" s="107">
        <v>0.0</v>
      </c>
      <c r="Z1515" s="80">
        <v>0.0</v>
      </c>
      <c r="AA1515" s="140">
        <v>70.0</v>
      </c>
      <c r="AB1515" s="109">
        <v>300.0</v>
      </c>
      <c r="AC1515" s="109">
        <v>0.0</v>
      </c>
      <c r="AD1515" s="141">
        <v>0.0</v>
      </c>
      <c r="AE1515" s="80">
        <v>370.0</v>
      </c>
      <c r="AF1515" s="140">
        <v>239.0</v>
      </c>
      <c r="AG1515" s="109">
        <v>0.0</v>
      </c>
      <c r="AH1515" s="109">
        <v>0.0</v>
      </c>
      <c r="AI1515" s="141">
        <v>0.0</v>
      </c>
      <c r="AJ1515" s="80">
        <v>239.0</v>
      </c>
      <c r="AK1515" s="140">
        <v>0.0</v>
      </c>
      <c r="AL1515" s="109">
        <v>0.0</v>
      </c>
      <c r="AM1515" s="141">
        <v>34.0</v>
      </c>
      <c r="AN1515" s="80">
        <v>34.0</v>
      </c>
      <c r="AO1515" s="140">
        <v>0.0</v>
      </c>
      <c r="AP1515" s="109">
        <v>0.0</v>
      </c>
      <c r="AQ1515" s="109">
        <v>83.0</v>
      </c>
      <c r="AR1515" s="80">
        <v>83.0</v>
      </c>
      <c r="AS1515" s="110">
        <v>0.0</v>
      </c>
      <c r="AT1515" s="110">
        <v>0.0</v>
      </c>
      <c r="AU1515" s="110">
        <v>0.0</v>
      </c>
      <c r="AV1515" s="142">
        <v>0.0</v>
      </c>
      <c r="AW1515" s="80">
        <v>0.0</v>
      </c>
      <c r="AX1515" s="113">
        <v>726.0</v>
      </c>
      <c r="AY1515" s="117">
        <v>609.0</v>
      </c>
      <c r="AZ1515" s="328">
        <v>117.0</v>
      </c>
      <c r="BA1515" s="315">
        <v>0.0</v>
      </c>
      <c r="BB1515" s="316">
        <v>726.0</v>
      </c>
      <c r="BC1515" s="132" t="s">
        <v>178</v>
      </c>
      <c r="BD1515" s="132" t="s">
        <v>178</v>
      </c>
      <c r="BE1515" s="132" t="s">
        <v>178</v>
      </c>
      <c r="BF1515" s="123"/>
      <c r="BG1515" s="83">
        <v>1101520.0</v>
      </c>
      <c r="BH1515" s="112">
        <v>10.0</v>
      </c>
      <c r="BI1515" s="98" t="s">
        <v>155</v>
      </c>
      <c r="BJ1515" s="98" t="str">
        <f t="shared" si="1"/>
        <v>NÃO</v>
      </c>
      <c r="BK1515" s="98" t="str">
        <f t="shared" si="2"/>
        <v>NÃO</v>
      </c>
    </row>
    <row r="1516" ht="15.75" customHeight="1">
      <c r="A1516" s="111" t="s">
        <v>1785</v>
      </c>
      <c r="B1516" s="83" t="s">
        <v>1994</v>
      </c>
      <c r="C1516" s="83" t="s">
        <v>68</v>
      </c>
      <c r="D1516" s="83">
        <v>1103972.0</v>
      </c>
      <c r="E1516" s="83"/>
      <c r="F1516" s="83">
        <v>2.9191114E7</v>
      </c>
      <c r="G1516" s="114" t="s">
        <v>12475</v>
      </c>
      <c r="H1516" s="91" t="s">
        <v>8312</v>
      </c>
      <c r="I1516" s="114" t="s">
        <v>8313</v>
      </c>
      <c r="J1516" s="83" t="s">
        <v>150</v>
      </c>
      <c r="K1516" s="83" t="s">
        <v>151</v>
      </c>
      <c r="L1516" s="83" t="s">
        <v>152</v>
      </c>
      <c r="M1516" s="82" t="s">
        <v>12476</v>
      </c>
      <c r="N1516" s="82" t="s">
        <v>12477</v>
      </c>
      <c r="O1516" s="82" t="s">
        <v>12478</v>
      </c>
      <c r="P1516" s="82" t="s">
        <v>12479</v>
      </c>
      <c r="Q1516" s="82" t="s">
        <v>12480</v>
      </c>
      <c r="R1516" s="82" t="s">
        <v>12481</v>
      </c>
      <c r="S1516" s="82" t="s">
        <v>12482</v>
      </c>
      <c r="T1516" s="138">
        <v>12.0</v>
      </c>
      <c r="U1516" s="341">
        <v>12.0</v>
      </c>
      <c r="V1516" s="106">
        <v>0.0</v>
      </c>
      <c r="W1516" s="107">
        <v>0.0</v>
      </c>
      <c r="X1516" s="107">
        <v>0.0</v>
      </c>
      <c r="Y1516" s="107">
        <v>0.0</v>
      </c>
      <c r="Z1516" s="80">
        <v>0.0</v>
      </c>
      <c r="AA1516" s="140">
        <v>436.0</v>
      </c>
      <c r="AB1516" s="109">
        <v>431.0</v>
      </c>
      <c r="AC1516" s="109">
        <v>0.0</v>
      </c>
      <c r="AD1516" s="141">
        <v>0.0</v>
      </c>
      <c r="AE1516" s="80">
        <v>867.0</v>
      </c>
      <c r="AF1516" s="140">
        <v>0.0</v>
      </c>
      <c r="AG1516" s="109">
        <v>0.0</v>
      </c>
      <c r="AH1516" s="109">
        <v>0.0</v>
      </c>
      <c r="AI1516" s="141">
        <v>0.0</v>
      </c>
      <c r="AJ1516" s="80">
        <v>0.0</v>
      </c>
      <c r="AK1516" s="140">
        <v>0.0</v>
      </c>
      <c r="AL1516" s="109">
        <v>0.0</v>
      </c>
      <c r="AM1516" s="141">
        <v>69.0</v>
      </c>
      <c r="AN1516" s="80">
        <v>69.0</v>
      </c>
      <c r="AO1516" s="140">
        <v>0.0</v>
      </c>
      <c r="AP1516" s="109">
        <v>0.0</v>
      </c>
      <c r="AQ1516" s="109">
        <v>53.0</v>
      </c>
      <c r="AR1516" s="80">
        <v>53.0</v>
      </c>
      <c r="AS1516" s="110">
        <v>0.0</v>
      </c>
      <c r="AT1516" s="110">
        <v>0.0</v>
      </c>
      <c r="AU1516" s="110">
        <v>0.0</v>
      </c>
      <c r="AV1516" s="142">
        <v>0.0</v>
      </c>
      <c r="AW1516" s="80">
        <v>0.0</v>
      </c>
      <c r="AX1516" s="113">
        <v>989.0</v>
      </c>
      <c r="AY1516" s="117">
        <v>867.0</v>
      </c>
      <c r="AZ1516" s="328">
        <v>122.0</v>
      </c>
      <c r="BA1516" s="315">
        <v>0.0</v>
      </c>
      <c r="BB1516" s="316">
        <v>989.0</v>
      </c>
      <c r="BC1516" s="132" t="s">
        <v>178</v>
      </c>
      <c r="BD1516" s="132" t="s">
        <v>178</v>
      </c>
      <c r="BE1516" s="132" t="s">
        <v>178</v>
      </c>
      <c r="BF1516" s="156"/>
      <c r="BG1516" s="83">
        <v>1103972.0</v>
      </c>
      <c r="BH1516" s="112">
        <v>12.0</v>
      </c>
      <c r="BI1516" s="98" t="s">
        <v>155</v>
      </c>
      <c r="BJ1516" s="98" t="str">
        <f t="shared" si="1"/>
        <v>NÃO</v>
      </c>
      <c r="BK1516" s="98" t="str">
        <f t="shared" si="2"/>
        <v>NÃO</v>
      </c>
    </row>
    <row r="1517" ht="15.75" customHeight="1">
      <c r="A1517" s="111" t="s">
        <v>1785</v>
      </c>
      <c r="B1517" s="83" t="s">
        <v>1994</v>
      </c>
      <c r="C1517" s="83" t="s">
        <v>68</v>
      </c>
      <c r="D1517" s="83">
        <v>1103905.0</v>
      </c>
      <c r="E1517" s="83"/>
      <c r="F1517" s="83">
        <v>2.9182735E7</v>
      </c>
      <c r="G1517" s="114" t="s">
        <v>8321</v>
      </c>
      <c r="H1517" s="91" t="s">
        <v>8322</v>
      </c>
      <c r="I1517" s="114" t="s">
        <v>5746</v>
      </c>
      <c r="J1517" s="83" t="s">
        <v>150</v>
      </c>
      <c r="K1517" s="83" t="s">
        <v>151</v>
      </c>
      <c r="L1517" s="83" t="s">
        <v>152</v>
      </c>
      <c r="M1517" s="82" t="s">
        <v>12483</v>
      </c>
      <c r="N1517" s="82" t="s">
        <v>12484</v>
      </c>
      <c r="O1517" s="82" t="s">
        <v>12485</v>
      </c>
      <c r="P1517" s="82" t="s">
        <v>12486</v>
      </c>
      <c r="Q1517" s="82" t="s">
        <v>12487</v>
      </c>
      <c r="R1517" s="82" t="s">
        <v>12488</v>
      </c>
      <c r="S1517" s="82" t="s">
        <v>12489</v>
      </c>
      <c r="T1517" s="138">
        <v>18.0</v>
      </c>
      <c r="U1517" s="341">
        <v>15.0</v>
      </c>
      <c r="V1517" s="106">
        <v>0.0</v>
      </c>
      <c r="W1517" s="107">
        <v>0.0</v>
      </c>
      <c r="X1517" s="107">
        <v>0.0</v>
      </c>
      <c r="Y1517" s="107">
        <v>0.0</v>
      </c>
      <c r="Z1517" s="80">
        <v>0.0</v>
      </c>
      <c r="AA1517" s="140">
        <v>0.0</v>
      </c>
      <c r="AB1517" s="109">
        <v>312.0</v>
      </c>
      <c r="AC1517" s="109">
        <v>0.0</v>
      </c>
      <c r="AD1517" s="141">
        <v>65.0</v>
      </c>
      <c r="AE1517" s="80">
        <v>377.0</v>
      </c>
      <c r="AF1517" s="140">
        <v>154.0</v>
      </c>
      <c r="AG1517" s="109">
        <v>0.0</v>
      </c>
      <c r="AH1517" s="109">
        <v>0.0</v>
      </c>
      <c r="AI1517" s="141">
        <v>0.0</v>
      </c>
      <c r="AJ1517" s="80">
        <v>154.0</v>
      </c>
      <c r="AK1517" s="140">
        <v>0.0</v>
      </c>
      <c r="AL1517" s="109">
        <v>0.0</v>
      </c>
      <c r="AM1517" s="141">
        <v>45.0</v>
      </c>
      <c r="AN1517" s="80">
        <v>45.0</v>
      </c>
      <c r="AO1517" s="140">
        <v>0.0</v>
      </c>
      <c r="AP1517" s="109">
        <v>0.0</v>
      </c>
      <c r="AQ1517" s="109">
        <v>110.0</v>
      </c>
      <c r="AR1517" s="80">
        <v>110.0</v>
      </c>
      <c r="AS1517" s="110">
        <v>107.0</v>
      </c>
      <c r="AT1517" s="110">
        <v>0.0</v>
      </c>
      <c r="AU1517" s="110">
        <v>158.0</v>
      </c>
      <c r="AV1517" s="142">
        <v>0.0</v>
      </c>
      <c r="AW1517" s="80">
        <v>265.0</v>
      </c>
      <c r="AX1517" s="113">
        <v>951.0</v>
      </c>
      <c r="AY1517" s="117">
        <v>638.0</v>
      </c>
      <c r="AZ1517" s="328">
        <v>313.0</v>
      </c>
      <c r="BA1517" s="315">
        <v>5.0</v>
      </c>
      <c r="BB1517" s="316">
        <v>956.0</v>
      </c>
      <c r="BC1517" s="132" t="s">
        <v>178</v>
      </c>
      <c r="BD1517" s="132" t="s">
        <v>178</v>
      </c>
      <c r="BE1517" s="132" t="s">
        <v>178</v>
      </c>
      <c r="BF1517" s="123"/>
      <c r="BG1517" s="83">
        <v>1103905.0</v>
      </c>
      <c r="BH1517" s="112">
        <v>15.0</v>
      </c>
      <c r="BI1517" s="98" t="s">
        <v>155</v>
      </c>
      <c r="BJ1517" s="98" t="str">
        <f t="shared" si="1"/>
        <v>INTEGRAL</v>
      </c>
      <c r="BK1517" s="98" t="str">
        <f t="shared" si="2"/>
        <v>PROFISSIONAL</v>
      </c>
    </row>
    <row r="1518" ht="15.75" customHeight="1">
      <c r="A1518" s="111" t="s">
        <v>1785</v>
      </c>
      <c r="B1518" s="83" t="s">
        <v>1994</v>
      </c>
      <c r="C1518" s="83" t="s">
        <v>68</v>
      </c>
      <c r="D1518" s="83">
        <v>1103859.0</v>
      </c>
      <c r="E1518" s="83"/>
      <c r="F1518" s="83">
        <v>2.9182565E7</v>
      </c>
      <c r="G1518" s="114" t="s">
        <v>12490</v>
      </c>
      <c r="H1518" s="91" t="s">
        <v>8651</v>
      </c>
      <c r="I1518" s="114" t="s">
        <v>8219</v>
      </c>
      <c r="J1518" s="83" t="s">
        <v>150</v>
      </c>
      <c r="K1518" s="83" t="s">
        <v>168</v>
      </c>
      <c r="L1518" s="83" t="s">
        <v>230</v>
      </c>
      <c r="M1518" s="82" t="s">
        <v>12491</v>
      </c>
      <c r="N1518" s="82" t="s">
        <v>12492</v>
      </c>
      <c r="O1518" s="82" t="s">
        <v>12493</v>
      </c>
      <c r="P1518" s="82" t="s">
        <v>12494</v>
      </c>
      <c r="Q1518" s="82" t="s">
        <v>12495</v>
      </c>
      <c r="R1518" s="82" t="s">
        <v>12496</v>
      </c>
      <c r="S1518" s="82"/>
      <c r="T1518" s="138">
        <v>35.0</v>
      </c>
      <c r="U1518" s="341">
        <v>26.0</v>
      </c>
      <c r="V1518" s="106">
        <v>0.0</v>
      </c>
      <c r="W1518" s="107">
        <v>0.0</v>
      </c>
      <c r="X1518" s="107">
        <v>0.0</v>
      </c>
      <c r="Y1518" s="107">
        <v>0.0</v>
      </c>
      <c r="Z1518" s="80">
        <v>0.0</v>
      </c>
      <c r="AA1518" s="140">
        <v>369.0</v>
      </c>
      <c r="AB1518" s="109">
        <v>322.0</v>
      </c>
      <c r="AC1518" s="109">
        <v>0.0</v>
      </c>
      <c r="AD1518" s="141">
        <v>0.0</v>
      </c>
      <c r="AE1518" s="80">
        <v>691.0</v>
      </c>
      <c r="AF1518" s="140">
        <v>597.0</v>
      </c>
      <c r="AG1518" s="109">
        <v>420.0</v>
      </c>
      <c r="AH1518" s="109">
        <v>34.0</v>
      </c>
      <c r="AI1518" s="141">
        <v>0.0</v>
      </c>
      <c r="AJ1518" s="80">
        <v>1051.0</v>
      </c>
      <c r="AK1518" s="140">
        <v>0.0</v>
      </c>
      <c r="AL1518" s="109">
        <v>0.0</v>
      </c>
      <c r="AM1518" s="141">
        <v>102.0</v>
      </c>
      <c r="AN1518" s="80">
        <v>102.0</v>
      </c>
      <c r="AO1518" s="140">
        <v>0.0</v>
      </c>
      <c r="AP1518" s="109">
        <v>0.0</v>
      </c>
      <c r="AQ1518" s="109">
        <v>227.0</v>
      </c>
      <c r="AR1518" s="80">
        <v>227.0</v>
      </c>
      <c r="AS1518" s="110">
        <v>140.0</v>
      </c>
      <c r="AT1518" s="110">
        <v>0.0</v>
      </c>
      <c r="AU1518" s="110">
        <v>0.0</v>
      </c>
      <c r="AV1518" s="142">
        <v>0.0</v>
      </c>
      <c r="AW1518" s="80">
        <v>140.0</v>
      </c>
      <c r="AX1518" s="113">
        <v>2211.0</v>
      </c>
      <c r="AY1518" s="117">
        <v>1848.0</v>
      </c>
      <c r="AZ1518" s="328">
        <v>363.0</v>
      </c>
      <c r="BA1518" s="315">
        <v>1.0</v>
      </c>
      <c r="BB1518" s="316">
        <v>2212.0</v>
      </c>
      <c r="BC1518" s="132" t="s">
        <v>178</v>
      </c>
      <c r="BD1518" s="132" t="s">
        <v>178</v>
      </c>
      <c r="BE1518" s="132" t="s">
        <v>178</v>
      </c>
      <c r="BF1518" s="123"/>
      <c r="BG1518" s="83">
        <v>1103859.0</v>
      </c>
      <c r="BH1518" s="112">
        <v>26.0</v>
      </c>
      <c r="BI1518" s="98" t="s">
        <v>155</v>
      </c>
      <c r="BJ1518" s="98" t="str">
        <f t="shared" si="1"/>
        <v>NÃO</v>
      </c>
      <c r="BK1518" s="98" t="str">
        <f t="shared" si="2"/>
        <v>PROFISSIONAL</v>
      </c>
    </row>
    <row r="1519" ht="15.75" customHeight="1">
      <c r="A1519" s="111" t="s">
        <v>1785</v>
      </c>
      <c r="B1519" s="83" t="s">
        <v>1994</v>
      </c>
      <c r="C1519" s="83" t="s">
        <v>68</v>
      </c>
      <c r="D1519" s="83">
        <v>1176210.0</v>
      </c>
      <c r="E1519" s="83"/>
      <c r="F1519" s="83">
        <v>2.936096E7</v>
      </c>
      <c r="G1519" s="114" t="s">
        <v>8325</v>
      </c>
      <c r="H1519" s="91" t="s">
        <v>8326</v>
      </c>
      <c r="I1519" s="114" t="s">
        <v>8327</v>
      </c>
      <c r="J1519" s="83" t="s">
        <v>150</v>
      </c>
      <c r="K1519" s="83" t="s">
        <v>5791</v>
      </c>
      <c r="L1519" s="83" t="s">
        <v>76</v>
      </c>
      <c r="M1519" s="82" t="s">
        <v>12497</v>
      </c>
      <c r="N1519" s="82" t="s">
        <v>12498</v>
      </c>
      <c r="O1519" s="82" t="s">
        <v>12499</v>
      </c>
      <c r="P1519" s="82" t="s">
        <v>12500</v>
      </c>
      <c r="Q1519" s="82"/>
      <c r="R1519" s="82"/>
      <c r="S1519" s="82" t="s">
        <v>12501</v>
      </c>
      <c r="T1519" s="138">
        <v>18.0</v>
      </c>
      <c r="U1519" s="341">
        <v>16.0</v>
      </c>
      <c r="V1519" s="106">
        <v>0.0</v>
      </c>
      <c r="W1519" s="107">
        <v>0.0</v>
      </c>
      <c r="X1519" s="107">
        <v>0.0</v>
      </c>
      <c r="Y1519" s="107">
        <v>0.0</v>
      </c>
      <c r="Z1519" s="80">
        <v>0.0</v>
      </c>
      <c r="AA1519" s="140">
        <v>0.0</v>
      </c>
      <c r="AB1519" s="109">
        <v>0.0</v>
      </c>
      <c r="AC1519" s="109">
        <v>0.0</v>
      </c>
      <c r="AD1519" s="141">
        <v>0.0</v>
      </c>
      <c r="AE1519" s="80">
        <v>0.0</v>
      </c>
      <c r="AF1519" s="140">
        <v>37.0</v>
      </c>
      <c r="AG1519" s="109">
        <v>0.0</v>
      </c>
      <c r="AH1519" s="109">
        <v>0.0</v>
      </c>
      <c r="AI1519" s="141">
        <v>0.0</v>
      </c>
      <c r="AJ1519" s="80">
        <v>37.0</v>
      </c>
      <c r="AK1519" s="140">
        <v>0.0</v>
      </c>
      <c r="AL1519" s="109">
        <v>0.0</v>
      </c>
      <c r="AM1519" s="141">
        <v>0.0</v>
      </c>
      <c r="AN1519" s="80">
        <v>0.0</v>
      </c>
      <c r="AO1519" s="140">
        <v>0.0</v>
      </c>
      <c r="AP1519" s="109">
        <v>0.0</v>
      </c>
      <c r="AQ1519" s="109">
        <v>0.0</v>
      </c>
      <c r="AR1519" s="80">
        <v>0.0</v>
      </c>
      <c r="AS1519" s="110">
        <v>73.0</v>
      </c>
      <c r="AT1519" s="110">
        <v>0.0</v>
      </c>
      <c r="AU1519" s="110">
        <v>328.0</v>
      </c>
      <c r="AV1519" s="142">
        <v>0.0</v>
      </c>
      <c r="AW1519" s="80">
        <v>401.0</v>
      </c>
      <c r="AX1519" s="113">
        <v>438.0</v>
      </c>
      <c r="AY1519" s="117">
        <v>110.0</v>
      </c>
      <c r="AZ1519" s="328">
        <v>328.0</v>
      </c>
      <c r="BA1519" s="315">
        <v>0.0</v>
      </c>
      <c r="BB1519" s="316">
        <v>438.0</v>
      </c>
      <c r="BC1519" s="132" t="s">
        <v>178</v>
      </c>
      <c r="BD1519" s="132" t="s">
        <v>178</v>
      </c>
      <c r="BE1519" s="132" t="s">
        <v>178</v>
      </c>
      <c r="BF1519" s="123"/>
      <c r="BG1519" s="83">
        <v>1176210.0</v>
      </c>
      <c r="BH1519" s="112">
        <v>16.0</v>
      </c>
      <c r="BI1519" s="98" t="s">
        <v>155</v>
      </c>
      <c r="BJ1519" s="98" t="str">
        <f t="shared" si="1"/>
        <v>NÃO</v>
      </c>
      <c r="BK1519" s="98" t="str">
        <f t="shared" si="2"/>
        <v>PROFISSIONAL</v>
      </c>
    </row>
    <row r="1520" ht="15.75" customHeight="1">
      <c r="A1520" s="111" t="s">
        <v>1785</v>
      </c>
      <c r="B1520" s="83" t="s">
        <v>1994</v>
      </c>
      <c r="C1520" s="83" t="s">
        <v>68</v>
      </c>
      <c r="D1520" s="83">
        <v>1103344.0</v>
      </c>
      <c r="E1520" s="83"/>
      <c r="F1520" s="83">
        <v>2.9200024E7</v>
      </c>
      <c r="G1520" s="114" t="s">
        <v>8336</v>
      </c>
      <c r="H1520" s="91" t="s">
        <v>8337</v>
      </c>
      <c r="I1520" s="114" t="s">
        <v>3098</v>
      </c>
      <c r="J1520" s="83" t="s">
        <v>150</v>
      </c>
      <c r="K1520" s="83" t="s">
        <v>151</v>
      </c>
      <c r="L1520" s="83" t="s">
        <v>230</v>
      </c>
      <c r="M1520" s="82" t="s">
        <v>12502</v>
      </c>
      <c r="N1520" s="82" t="s">
        <v>12503</v>
      </c>
      <c r="O1520" s="82" t="s">
        <v>12504</v>
      </c>
      <c r="P1520" s="82" t="s">
        <v>12505</v>
      </c>
      <c r="Q1520" s="82" t="s">
        <v>12506</v>
      </c>
      <c r="R1520" s="82" t="s">
        <v>12507</v>
      </c>
      <c r="S1520" s="82" t="s">
        <v>12508</v>
      </c>
      <c r="T1520" s="138">
        <v>24.0</v>
      </c>
      <c r="U1520" s="341">
        <v>22.0</v>
      </c>
      <c r="V1520" s="106">
        <v>0.0</v>
      </c>
      <c r="W1520" s="107">
        <v>0.0</v>
      </c>
      <c r="X1520" s="107">
        <v>0.0</v>
      </c>
      <c r="Y1520" s="107">
        <v>0.0</v>
      </c>
      <c r="Z1520" s="80">
        <v>0.0</v>
      </c>
      <c r="AA1520" s="140">
        <v>322.0</v>
      </c>
      <c r="AB1520" s="109">
        <v>248.0</v>
      </c>
      <c r="AC1520" s="109">
        <v>0.0</v>
      </c>
      <c r="AD1520" s="141">
        <v>0.0</v>
      </c>
      <c r="AE1520" s="80">
        <v>570.0</v>
      </c>
      <c r="AF1520" s="140">
        <v>409.0</v>
      </c>
      <c r="AG1520" s="109">
        <v>234.0</v>
      </c>
      <c r="AH1520" s="109">
        <v>95.0</v>
      </c>
      <c r="AI1520" s="141">
        <v>0.0</v>
      </c>
      <c r="AJ1520" s="80">
        <v>738.0</v>
      </c>
      <c r="AK1520" s="140">
        <v>0.0</v>
      </c>
      <c r="AL1520" s="109">
        <v>0.0</v>
      </c>
      <c r="AM1520" s="141">
        <v>0.0</v>
      </c>
      <c r="AN1520" s="80">
        <v>0.0</v>
      </c>
      <c r="AO1520" s="140">
        <v>0.0</v>
      </c>
      <c r="AP1520" s="109">
        <v>0.0</v>
      </c>
      <c r="AQ1520" s="109">
        <v>196.0</v>
      </c>
      <c r="AR1520" s="80">
        <v>196.0</v>
      </c>
      <c r="AS1520" s="110">
        <v>0.0</v>
      </c>
      <c r="AT1520" s="110">
        <v>0.0</v>
      </c>
      <c r="AU1520" s="110">
        <v>0.0</v>
      </c>
      <c r="AV1520" s="142">
        <v>0.0</v>
      </c>
      <c r="AW1520" s="80">
        <v>0.0</v>
      </c>
      <c r="AX1520" s="113">
        <v>1504.0</v>
      </c>
      <c r="AY1520" s="117">
        <v>1213.0</v>
      </c>
      <c r="AZ1520" s="328">
        <v>291.0</v>
      </c>
      <c r="BA1520" s="315">
        <v>1.0</v>
      </c>
      <c r="BB1520" s="316">
        <v>1505.0</v>
      </c>
      <c r="BC1520" s="132" t="s">
        <v>178</v>
      </c>
      <c r="BD1520" s="132" t="s">
        <v>178</v>
      </c>
      <c r="BE1520" s="132" t="s">
        <v>178</v>
      </c>
      <c r="BF1520" s="123"/>
      <c r="BG1520" s="83">
        <v>1103344.0</v>
      </c>
      <c r="BH1520" s="112">
        <v>22.0</v>
      </c>
      <c r="BI1520" s="98" t="s">
        <v>155</v>
      </c>
      <c r="BJ1520" s="98" t="str">
        <f t="shared" si="1"/>
        <v>NÃO</v>
      </c>
      <c r="BK1520" s="98" t="str">
        <f t="shared" si="2"/>
        <v>NÃO</v>
      </c>
    </row>
    <row r="1521" ht="15.75" customHeight="1">
      <c r="A1521" s="111" t="s">
        <v>1785</v>
      </c>
      <c r="B1521" s="83" t="s">
        <v>1994</v>
      </c>
      <c r="C1521" s="83" t="s">
        <v>68</v>
      </c>
      <c r="D1521" s="83">
        <v>1103336.0</v>
      </c>
      <c r="E1521" s="83"/>
      <c r="F1521" s="83">
        <v>2.9182271E7</v>
      </c>
      <c r="G1521" s="114" t="s">
        <v>12509</v>
      </c>
      <c r="H1521" s="91" t="s">
        <v>8657</v>
      </c>
      <c r="I1521" s="114" t="s">
        <v>8294</v>
      </c>
      <c r="J1521" s="83" t="s">
        <v>150</v>
      </c>
      <c r="K1521" s="83" t="s">
        <v>151</v>
      </c>
      <c r="L1521" s="83" t="s">
        <v>230</v>
      </c>
      <c r="M1521" s="82" t="s">
        <v>12510</v>
      </c>
      <c r="N1521" s="82" t="s">
        <v>12511</v>
      </c>
      <c r="O1521" s="82" t="s">
        <v>12512</v>
      </c>
      <c r="P1521" s="82" t="s">
        <v>12513</v>
      </c>
      <c r="Q1521" s="82" t="s">
        <v>12514</v>
      </c>
      <c r="R1521" s="82" t="s">
        <v>12515</v>
      </c>
      <c r="S1521" s="82" t="s">
        <v>12516</v>
      </c>
      <c r="T1521" s="138">
        <v>24.0</v>
      </c>
      <c r="U1521" s="341">
        <v>24.0</v>
      </c>
      <c r="V1521" s="106">
        <v>0.0</v>
      </c>
      <c r="W1521" s="107">
        <v>0.0</v>
      </c>
      <c r="X1521" s="107">
        <v>0.0</v>
      </c>
      <c r="Y1521" s="107">
        <v>0.0</v>
      </c>
      <c r="Z1521" s="80">
        <v>0.0</v>
      </c>
      <c r="AA1521" s="140">
        <v>560.0</v>
      </c>
      <c r="AB1521" s="109">
        <v>58.0</v>
      </c>
      <c r="AC1521" s="109">
        <v>0.0</v>
      </c>
      <c r="AD1521" s="141">
        <v>0.0</v>
      </c>
      <c r="AE1521" s="80">
        <v>618.0</v>
      </c>
      <c r="AF1521" s="140">
        <v>444.0</v>
      </c>
      <c r="AG1521" s="109">
        <v>324.0</v>
      </c>
      <c r="AH1521" s="109">
        <v>0.0</v>
      </c>
      <c r="AI1521" s="141">
        <v>0.0</v>
      </c>
      <c r="AJ1521" s="80">
        <v>768.0</v>
      </c>
      <c r="AK1521" s="140">
        <v>0.0</v>
      </c>
      <c r="AL1521" s="109">
        <v>0.0</v>
      </c>
      <c r="AM1521" s="141">
        <v>0.0</v>
      </c>
      <c r="AN1521" s="80">
        <v>0.0</v>
      </c>
      <c r="AO1521" s="140">
        <v>0.0</v>
      </c>
      <c r="AP1521" s="109">
        <v>0.0</v>
      </c>
      <c r="AQ1521" s="109">
        <v>0.0</v>
      </c>
      <c r="AR1521" s="80">
        <v>0.0</v>
      </c>
      <c r="AS1521" s="110">
        <v>0.0</v>
      </c>
      <c r="AT1521" s="110">
        <v>0.0</v>
      </c>
      <c r="AU1521" s="110">
        <v>0.0</v>
      </c>
      <c r="AV1521" s="142">
        <v>0.0</v>
      </c>
      <c r="AW1521" s="80">
        <v>0.0</v>
      </c>
      <c r="AX1521" s="113">
        <v>1386.0</v>
      </c>
      <c r="AY1521" s="117">
        <v>1386.0</v>
      </c>
      <c r="AZ1521" s="328">
        <v>0.0</v>
      </c>
      <c r="BA1521" s="315">
        <v>1.0</v>
      </c>
      <c r="BB1521" s="316">
        <v>1387.0</v>
      </c>
      <c r="BC1521" s="132" t="s">
        <v>178</v>
      </c>
      <c r="BD1521" s="132" t="s">
        <v>178</v>
      </c>
      <c r="BE1521" s="132" t="s">
        <v>178</v>
      </c>
      <c r="BF1521" s="123"/>
      <c r="BG1521" s="83">
        <v>1103336.0</v>
      </c>
      <c r="BH1521" s="112">
        <v>24.0</v>
      </c>
      <c r="BI1521" s="98" t="s">
        <v>155</v>
      </c>
      <c r="BJ1521" s="98" t="str">
        <f t="shared" si="1"/>
        <v>NÃO</v>
      </c>
      <c r="BK1521" s="98" t="str">
        <f t="shared" si="2"/>
        <v>NÃO</v>
      </c>
    </row>
    <row r="1522" ht="15.75" customHeight="1">
      <c r="A1522" s="111" t="s">
        <v>1785</v>
      </c>
      <c r="B1522" s="83" t="s">
        <v>1994</v>
      </c>
      <c r="C1522" s="83" t="s">
        <v>68</v>
      </c>
      <c r="D1522" s="83">
        <v>1103301.0</v>
      </c>
      <c r="E1522" s="83"/>
      <c r="F1522" s="83">
        <v>2.9185173E7</v>
      </c>
      <c r="G1522" s="114" t="s">
        <v>8341</v>
      </c>
      <c r="H1522" s="91" t="s">
        <v>8342</v>
      </c>
      <c r="I1522" s="114" t="s">
        <v>8343</v>
      </c>
      <c r="J1522" s="83" t="s">
        <v>150</v>
      </c>
      <c r="K1522" s="83" t="s">
        <v>151</v>
      </c>
      <c r="L1522" s="83" t="s">
        <v>152</v>
      </c>
      <c r="M1522" s="82" t="s">
        <v>2962</v>
      </c>
      <c r="N1522" s="82"/>
      <c r="O1522" s="82" t="s">
        <v>12517</v>
      </c>
      <c r="P1522" s="82" t="s">
        <v>12518</v>
      </c>
      <c r="Q1522" s="82" t="s">
        <v>12519</v>
      </c>
      <c r="R1522" s="82" t="s">
        <v>12520</v>
      </c>
      <c r="S1522" s="82"/>
      <c r="T1522" s="138">
        <v>11.0</v>
      </c>
      <c r="U1522" s="341">
        <v>11.0</v>
      </c>
      <c r="V1522" s="106">
        <v>0.0</v>
      </c>
      <c r="W1522" s="107">
        <v>0.0</v>
      </c>
      <c r="X1522" s="107">
        <v>0.0</v>
      </c>
      <c r="Y1522" s="107">
        <v>0.0</v>
      </c>
      <c r="Z1522" s="80">
        <v>0.0</v>
      </c>
      <c r="AA1522" s="140">
        <v>0.0</v>
      </c>
      <c r="AB1522" s="109">
        <v>87.0</v>
      </c>
      <c r="AC1522" s="109">
        <v>0.0</v>
      </c>
      <c r="AD1522" s="141">
        <v>0.0</v>
      </c>
      <c r="AE1522" s="80">
        <v>87.0</v>
      </c>
      <c r="AF1522" s="140">
        <v>350.0</v>
      </c>
      <c r="AG1522" s="109">
        <v>127.0</v>
      </c>
      <c r="AH1522" s="109">
        <v>0.0</v>
      </c>
      <c r="AI1522" s="141">
        <v>0.0</v>
      </c>
      <c r="AJ1522" s="80">
        <v>477.0</v>
      </c>
      <c r="AK1522" s="140">
        <v>0.0</v>
      </c>
      <c r="AL1522" s="109">
        <v>0.0</v>
      </c>
      <c r="AM1522" s="141">
        <v>0.0</v>
      </c>
      <c r="AN1522" s="80">
        <v>0.0</v>
      </c>
      <c r="AO1522" s="140">
        <v>0.0</v>
      </c>
      <c r="AP1522" s="109">
        <v>0.0</v>
      </c>
      <c r="AQ1522" s="109">
        <v>190.0</v>
      </c>
      <c r="AR1522" s="80">
        <v>190.0</v>
      </c>
      <c r="AS1522" s="110">
        <v>0.0</v>
      </c>
      <c r="AT1522" s="110">
        <v>0.0</v>
      </c>
      <c r="AU1522" s="110">
        <v>0.0</v>
      </c>
      <c r="AV1522" s="142">
        <v>0.0</v>
      </c>
      <c r="AW1522" s="80">
        <v>0.0</v>
      </c>
      <c r="AX1522" s="113">
        <v>754.0</v>
      </c>
      <c r="AY1522" s="117">
        <v>564.0</v>
      </c>
      <c r="AZ1522" s="328">
        <v>190.0</v>
      </c>
      <c r="BA1522" s="315">
        <v>0.0</v>
      </c>
      <c r="BB1522" s="316">
        <v>754.0</v>
      </c>
      <c r="BC1522" s="132" t="s">
        <v>178</v>
      </c>
      <c r="BD1522" s="132" t="s">
        <v>178</v>
      </c>
      <c r="BE1522" s="132" t="s">
        <v>178</v>
      </c>
      <c r="BF1522" s="123"/>
      <c r="BG1522" s="83">
        <v>1103301.0</v>
      </c>
      <c r="BH1522" s="112">
        <v>11.0</v>
      </c>
      <c r="BI1522" s="98" t="s">
        <v>155</v>
      </c>
      <c r="BJ1522" s="98" t="str">
        <f t="shared" si="1"/>
        <v>NÃO</v>
      </c>
      <c r="BK1522" s="98" t="str">
        <f t="shared" si="2"/>
        <v>NÃO</v>
      </c>
    </row>
    <row r="1523" ht="15.75" customHeight="1">
      <c r="A1523" s="111" t="s">
        <v>1785</v>
      </c>
      <c r="B1523" s="83" t="s">
        <v>1994</v>
      </c>
      <c r="C1523" s="83" t="s">
        <v>68</v>
      </c>
      <c r="D1523" s="83">
        <v>1176071.0</v>
      </c>
      <c r="E1523" s="83"/>
      <c r="F1523" s="83">
        <v>2.9192331E7</v>
      </c>
      <c r="G1523" s="114" t="s">
        <v>8345</v>
      </c>
      <c r="H1523" s="91" t="s">
        <v>8346</v>
      </c>
      <c r="I1523" s="114" t="s">
        <v>8347</v>
      </c>
      <c r="J1523" s="83" t="s">
        <v>150</v>
      </c>
      <c r="K1523" s="83" t="s">
        <v>151</v>
      </c>
      <c r="L1523" s="83" t="s">
        <v>152</v>
      </c>
      <c r="M1523" s="82" t="s">
        <v>12521</v>
      </c>
      <c r="N1523" s="82" t="s">
        <v>12522</v>
      </c>
      <c r="O1523" s="82" t="s">
        <v>12523</v>
      </c>
      <c r="P1523" s="82" t="s">
        <v>12524</v>
      </c>
      <c r="Q1523" s="82" t="s">
        <v>12525</v>
      </c>
      <c r="R1523" s="82" t="s">
        <v>12526</v>
      </c>
      <c r="S1523" s="82" t="s">
        <v>12527</v>
      </c>
      <c r="T1523" s="138">
        <v>11.0</v>
      </c>
      <c r="U1523" s="341">
        <v>11.0</v>
      </c>
      <c r="V1523" s="106">
        <v>0.0</v>
      </c>
      <c r="W1523" s="107">
        <v>0.0</v>
      </c>
      <c r="X1523" s="107">
        <v>0.0</v>
      </c>
      <c r="Y1523" s="107">
        <v>0.0</v>
      </c>
      <c r="Z1523" s="80">
        <v>0.0</v>
      </c>
      <c r="AA1523" s="140">
        <v>0.0</v>
      </c>
      <c r="AB1523" s="109">
        <v>302.0</v>
      </c>
      <c r="AC1523" s="109">
        <v>0.0</v>
      </c>
      <c r="AD1523" s="141">
        <v>0.0</v>
      </c>
      <c r="AE1523" s="80">
        <v>302.0</v>
      </c>
      <c r="AF1523" s="140">
        <v>414.0</v>
      </c>
      <c r="AG1523" s="109">
        <v>58.0</v>
      </c>
      <c r="AH1523" s="109">
        <v>42.0</v>
      </c>
      <c r="AI1523" s="141">
        <v>0.0</v>
      </c>
      <c r="AJ1523" s="80">
        <v>514.0</v>
      </c>
      <c r="AK1523" s="140">
        <v>0.0</v>
      </c>
      <c r="AL1523" s="109">
        <v>0.0</v>
      </c>
      <c r="AM1523" s="141">
        <v>0.0</v>
      </c>
      <c r="AN1523" s="80">
        <v>0.0</v>
      </c>
      <c r="AO1523" s="140">
        <v>0.0</v>
      </c>
      <c r="AP1523" s="109">
        <v>0.0</v>
      </c>
      <c r="AQ1523" s="109">
        <v>107.0</v>
      </c>
      <c r="AR1523" s="80">
        <v>107.0</v>
      </c>
      <c r="AS1523" s="110">
        <v>0.0</v>
      </c>
      <c r="AT1523" s="110">
        <v>0.0</v>
      </c>
      <c r="AU1523" s="110">
        <v>0.0</v>
      </c>
      <c r="AV1523" s="142">
        <v>0.0</v>
      </c>
      <c r="AW1523" s="80">
        <v>0.0</v>
      </c>
      <c r="AX1523" s="113">
        <v>923.0</v>
      </c>
      <c r="AY1523" s="117">
        <v>774.0</v>
      </c>
      <c r="AZ1523" s="328">
        <v>149.0</v>
      </c>
      <c r="BA1523" s="315">
        <v>0.0</v>
      </c>
      <c r="BB1523" s="316">
        <v>923.0</v>
      </c>
      <c r="BC1523" s="132" t="s">
        <v>178</v>
      </c>
      <c r="BD1523" s="132" t="s">
        <v>178</v>
      </c>
      <c r="BE1523" s="132" t="s">
        <v>178</v>
      </c>
      <c r="BF1523" s="123"/>
      <c r="BG1523" s="83">
        <v>1176071.0</v>
      </c>
      <c r="BH1523" s="112">
        <v>11.0</v>
      </c>
      <c r="BI1523" s="98" t="s">
        <v>155</v>
      </c>
      <c r="BJ1523" s="98" t="str">
        <f t="shared" si="1"/>
        <v>NÃO</v>
      </c>
      <c r="BK1523" s="98" t="str">
        <f t="shared" si="2"/>
        <v>NÃO</v>
      </c>
    </row>
    <row r="1524" ht="15.75" customHeight="1">
      <c r="A1524" s="111" t="s">
        <v>1785</v>
      </c>
      <c r="B1524" s="83" t="s">
        <v>1994</v>
      </c>
      <c r="C1524" s="83" t="s">
        <v>68</v>
      </c>
      <c r="D1524" s="83">
        <v>1176765.0</v>
      </c>
      <c r="E1524" s="83"/>
      <c r="F1524" s="83">
        <v>2.940424E7</v>
      </c>
      <c r="G1524" s="114" t="s">
        <v>12528</v>
      </c>
      <c r="H1524" s="91" t="s">
        <v>8350</v>
      </c>
      <c r="I1524" s="114" t="s">
        <v>8278</v>
      </c>
      <c r="J1524" s="83" t="s">
        <v>150</v>
      </c>
      <c r="K1524" s="83" t="s">
        <v>8351</v>
      </c>
      <c r="L1524" s="83" t="s">
        <v>152</v>
      </c>
      <c r="M1524" s="82" t="s">
        <v>12529</v>
      </c>
      <c r="N1524" s="82" t="s">
        <v>12530</v>
      </c>
      <c r="O1524" s="82" t="s">
        <v>12531</v>
      </c>
      <c r="P1524" s="82" t="s">
        <v>12532</v>
      </c>
      <c r="Q1524" s="82" t="s">
        <v>12533</v>
      </c>
      <c r="R1524" s="82" t="s">
        <v>12534</v>
      </c>
      <c r="S1524" s="82"/>
      <c r="T1524" s="138">
        <v>12.0</v>
      </c>
      <c r="U1524" s="341">
        <v>12.0</v>
      </c>
      <c r="V1524" s="106">
        <v>0.0</v>
      </c>
      <c r="W1524" s="107">
        <v>0.0</v>
      </c>
      <c r="X1524" s="107">
        <v>0.0</v>
      </c>
      <c r="Y1524" s="107">
        <v>0.0</v>
      </c>
      <c r="Z1524" s="80">
        <v>0.0</v>
      </c>
      <c r="AA1524" s="140">
        <v>389.0</v>
      </c>
      <c r="AB1524" s="109">
        <v>228.0</v>
      </c>
      <c r="AC1524" s="109">
        <v>0.0</v>
      </c>
      <c r="AD1524" s="141">
        <v>0.0</v>
      </c>
      <c r="AE1524" s="80">
        <v>617.0</v>
      </c>
      <c r="AF1524" s="140">
        <v>0.0</v>
      </c>
      <c r="AG1524" s="109">
        <v>0.0</v>
      </c>
      <c r="AH1524" s="109">
        <v>30.0</v>
      </c>
      <c r="AI1524" s="141">
        <v>0.0</v>
      </c>
      <c r="AJ1524" s="80">
        <v>30.0</v>
      </c>
      <c r="AK1524" s="140">
        <v>0.0</v>
      </c>
      <c r="AL1524" s="109">
        <v>0.0</v>
      </c>
      <c r="AM1524" s="141">
        <v>0.0</v>
      </c>
      <c r="AN1524" s="80">
        <v>0.0</v>
      </c>
      <c r="AO1524" s="140">
        <v>0.0</v>
      </c>
      <c r="AP1524" s="109">
        <v>0.0</v>
      </c>
      <c r="AQ1524" s="109">
        <v>86.0</v>
      </c>
      <c r="AR1524" s="80">
        <v>86.0</v>
      </c>
      <c r="AS1524" s="110">
        <v>0.0</v>
      </c>
      <c r="AT1524" s="110">
        <v>0.0</v>
      </c>
      <c r="AU1524" s="110">
        <v>0.0</v>
      </c>
      <c r="AV1524" s="142">
        <v>0.0</v>
      </c>
      <c r="AW1524" s="80">
        <v>0.0</v>
      </c>
      <c r="AX1524" s="113">
        <v>733.0</v>
      </c>
      <c r="AY1524" s="117">
        <v>617.0</v>
      </c>
      <c r="AZ1524" s="328">
        <v>116.0</v>
      </c>
      <c r="BA1524" s="315">
        <v>0.0</v>
      </c>
      <c r="BB1524" s="316">
        <v>733.0</v>
      </c>
      <c r="BC1524" s="132" t="s">
        <v>178</v>
      </c>
      <c r="BD1524" s="132" t="s">
        <v>178</v>
      </c>
      <c r="BE1524" s="132" t="s">
        <v>178</v>
      </c>
      <c r="BF1524" s="156"/>
      <c r="BG1524" s="83">
        <v>1176765.0</v>
      </c>
      <c r="BH1524" s="112">
        <v>12.0</v>
      </c>
      <c r="BI1524" s="98" t="s">
        <v>155</v>
      </c>
      <c r="BJ1524" s="98" t="str">
        <f t="shared" si="1"/>
        <v>NÃO</v>
      </c>
      <c r="BK1524" s="98" t="str">
        <f t="shared" si="2"/>
        <v>NÃO</v>
      </c>
    </row>
    <row r="1525" ht="15.75" customHeight="1">
      <c r="A1525" s="111" t="s">
        <v>1785</v>
      </c>
      <c r="B1525" s="83" t="s">
        <v>1994</v>
      </c>
      <c r="C1525" s="83" t="s">
        <v>68</v>
      </c>
      <c r="D1525" s="83">
        <v>1176880.0</v>
      </c>
      <c r="E1525" s="83"/>
      <c r="F1525" s="83">
        <v>2.9404339E7</v>
      </c>
      <c r="G1525" s="114" t="s">
        <v>8353</v>
      </c>
      <c r="H1525" s="91" t="s">
        <v>8354</v>
      </c>
      <c r="I1525" s="298" t="s">
        <v>8162</v>
      </c>
      <c r="J1525" s="83" t="s">
        <v>150</v>
      </c>
      <c r="K1525" s="83" t="s">
        <v>8355</v>
      </c>
      <c r="L1525" s="83" t="s">
        <v>152</v>
      </c>
      <c r="M1525" s="82" t="s">
        <v>12535</v>
      </c>
      <c r="N1525" s="82" t="s">
        <v>12536</v>
      </c>
      <c r="O1525" s="82" t="s">
        <v>12537</v>
      </c>
      <c r="P1525" s="82" t="s">
        <v>12538</v>
      </c>
      <c r="Q1525" s="82" t="s">
        <v>12539</v>
      </c>
      <c r="R1525" s="82"/>
      <c r="S1525" s="82" t="s">
        <v>12540</v>
      </c>
      <c r="T1525" s="138">
        <v>11.0</v>
      </c>
      <c r="U1525" s="341">
        <v>10.0</v>
      </c>
      <c r="V1525" s="106">
        <v>0.0</v>
      </c>
      <c r="W1525" s="107">
        <v>0.0</v>
      </c>
      <c r="X1525" s="107">
        <v>0.0</v>
      </c>
      <c r="Y1525" s="107">
        <v>0.0</v>
      </c>
      <c r="Z1525" s="80">
        <v>0.0</v>
      </c>
      <c r="AA1525" s="140">
        <v>0.0</v>
      </c>
      <c r="AB1525" s="109">
        <v>88.0</v>
      </c>
      <c r="AC1525" s="109">
        <v>0.0</v>
      </c>
      <c r="AD1525" s="141">
        <v>0.0</v>
      </c>
      <c r="AE1525" s="80">
        <v>88.0</v>
      </c>
      <c r="AF1525" s="140">
        <v>407.0</v>
      </c>
      <c r="AG1525" s="109">
        <v>240.0</v>
      </c>
      <c r="AH1525" s="109">
        <v>0.0</v>
      </c>
      <c r="AI1525" s="141">
        <v>0.0</v>
      </c>
      <c r="AJ1525" s="80">
        <v>647.0</v>
      </c>
      <c r="AK1525" s="140">
        <v>0.0</v>
      </c>
      <c r="AL1525" s="109">
        <v>0.0</v>
      </c>
      <c r="AM1525" s="141">
        <v>0.0</v>
      </c>
      <c r="AN1525" s="80">
        <v>0.0</v>
      </c>
      <c r="AO1525" s="140">
        <v>0.0</v>
      </c>
      <c r="AP1525" s="109">
        <v>0.0</v>
      </c>
      <c r="AQ1525" s="109">
        <v>105.0</v>
      </c>
      <c r="AR1525" s="80">
        <v>105.0</v>
      </c>
      <c r="AS1525" s="110">
        <v>0.0</v>
      </c>
      <c r="AT1525" s="110">
        <v>0.0</v>
      </c>
      <c r="AU1525" s="110">
        <v>68.0</v>
      </c>
      <c r="AV1525" s="142">
        <v>0.0</v>
      </c>
      <c r="AW1525" s="80">
        <v>68.0</v>
      </c>
      <c r="AX1525" s="113">
        <v>908.0</v>
      </c>
      <c r="AY1525" s="117">
        <v>735.0</v>
      </c>
      <c r="AZ1525" s="328">
        <v>173.0</v>
      </c>
      <c r="BA1525" s="315">
        <v>3.0</v>
      </c>
      <c r="BB1525" s="316">
        <v>911.0</v>
      </c>
      <c r="BC1525" s="132" t="s">
        <v>178</v>
      </c>
      <c r="BD1525" s="132" t="s">
        <v>178</v>
      </c>
      <c r="BE1525" s="132" t="s">
        <v>178</v>
      </c>
      <c r="BF1525" s="123"/>
      <c r="BG1525" s="83">
        <v>1176880.0</v>
      </c>
      <c r="BH1525" s="112">
        <v>10.0</v>
      </c>
      <c r="BI1525" s="98" t="s">
        <v>155</v>
      </c>
      <c r="BJ1525" s="98" t="str">
        <f t="shared" si="1"/>
        <v>NÃO</v>
      </c>
      <c r="BK1525" s="98" t="str">
        <f t="shared" si="2"/>
        <v>PROFISSIONAL</v>
      </c>
    </row>
    <row r="1526" ht="15.75" customHeight="1">
      <c r="A1526" s="111" t="s">
        <v>1785</v>
      </c>
      <c r="B1526" s="83" t="s">
        <v>1994</v>
      </c>
      <c r="C1526" s="83" t="s">
        <v>68</v>
      </c>
      <c r="D1526" s="83">
        <v>1176810.0</v>
      </c>
      <c r="E1526" s="83"/>
      <c r="F1526" s="83">
        <v>2.9411491E7</v>
      </c>
      <c r="G1526" s="114" t="s">
        <v>12541</v>
      </c>
      <c r="H1526" s="91" t="s">
        <v>8358</v>
      </c>
      <c r="I1526" s="114" t="s">
        <v>8133</v>
      </c>
      <c r="J1526" s="83" t="s">
        <v>150</v>
      </c>
      <c r="K1526" s="83" t="s">
        <v>8359</v>
      </c>
      <c r="L1526" s="83" t="s">
        <v>230</v>
      </c>
      <c r="M1526" s="82" t="s">
        <v>12542</v>
      </c>
      <c r="N1526" s="82" t="s">
        <v>12543</v>
      </c>
      <c r="O1526" s="82" t="s">
        <v>12544</v>
      </c>
      <c r="P1526" s="82" t="s">
        <v>12545</v>
      </c>
      <c r="Q1526" s="82" t="s">
        <v>12546</v>
      </c>
      <c r="R1526" s="82" t="s">
        <v>12547</v>
      </c>
      <c r="S1526" s="82" t="s">
        <v>12548</v>
      </c>
      <c r="T1526" s="138">
        <v>8.0</v>
      </c>
      <c r="U1526" s="341">
        <v>7.0</v>
      </c>
      <c r="V1526" s="106">
        <v>0.0</v>
      </c>
      <c r="W1526" s="107">
        <v>0.0</v>
      </c>
      <c r="X1526" s="107">
        <v>0.0</v>
      </c>
      <c r="Y1526" s="107">
        <v>0.0</v>
      </c>
      <c r="Z1526" s="80">
        <v>0.0</v>
      </c>
      <c r="AA1526" s="140">
        <v>0.0</v>
      </c>
      <c r="AB1526" s="109">
        <v>101.0</v>
      </c>
      <c r="AC1526" s="109">
        <v>0.0</v>
      </c>
      <c r="AD1526" s="141">
        <v>0.0</v>
      </c>
      <c r="AE1526" s="80">
        <v>101.0</v>
      </c>
      <c r="AF1526" s="140">
        <v>253.0</v>
      </c>
      <c r="AG1526" s="109">
        <v>148.0</v>
      </c>
      <c r="AH1526" s="109">
        <v>0.0</v>
      </c>
      <c r="AI1526" s="141">
        <v>0.0</v>
      </c>
      <c r="AJ1526" s="80">
        <v>401.0</v>
      </c>
      <c r="AK1526" s="140">
        <v>0.0</v>
      </c>
      <c r="AL1526" s="109">
        <v>0.0</v>
      </c>
      <c r="AM1526" s="141">
        <v>88.0</v>
      </c>
      <c r="AN1526" s="80">
        <v>88.0</v>
      </c>
      <c r="AO1526" s="140">
        <v>0.0</v>
      </c>
      <c r="AP1526" s="109">
        <v>0.0</v>
      </c>
      <c r="AQ1526" s="109">
        <v>0.0</v>
      </c>
      <c r="AR1526" s="80">
        <v>0.0</v>
      </c>
      <c r="AS1526" s="110">
        <v>0.0</v>
      </c>
      <c r="AT1526" s="110">
        <v>0.0</v>
      </c>
      <c r="AU1526" s="110">
        <v>0.0</v>
      </c>
      <c r="AV1526" s="142">
        <v>0.0</v>
      </c>
      <c r="AW1526" s="80">
        <v>0.0</v>
      </c>
      <c r="AX1526" s="113">
        <v>590.0</v>
      </c>
      <c r="AY1526" s="117">
        <v>502.0</v>
      </c>
      <c r="AZ1526" s="328">
        <v>88.0</v>
      </c>
      <c r="BA1526" s="315">
        <v>1.0</v>
      </c>
      <c r="BB1526" s="316">
        <v>591.0</v>
      </c>
      <c r="BC1526" s="132" t="s">
        <v>178</v>
      </c>
      <c r="BD1526" s="132" t="s">
        <v>178</v>
      </c>
      <c r="BE1526" s="132" t="s">
        <v>178</v>
      </c>
      <c r="BF1526" s="123"/>
      <c r="BG1526" s="83">
        <v>1176810.0</v>
      </c>
      <c r="BH1526" s="112">
        <v>7.0</v>
      </c>
      <c r="BI1526" s="98" t="s">
        <v>155</v>
      </c>
      <c r="BJ1526" s="98" t="str">
        <f t="shared" si="1"/>
        <v>NÃO</v>
      </c>
      <c r="BK1526" s="98" t="str">
        <f t="shared" si="2"/>
        <v>NÃO</v>
      </c>
    </row>
    <row r="1527" ht="15.75" customHeight="1">
      <c r="A1527" s="111" t="s">
        <v>1785</v>
      </c>
      <c r="B1527" s="83" t="s">
        <v>1994</v>
      </c>
      <c r="C1527" s="83" t="s">
        <v>68</v>
      </c>
      <c r="D1527" s="83">
        <v>1174772.0</v>
      </c>
      <c r="E1527" s="83"/>
      <c r="F1527" s="83">
        <v>2.919208E7</v>
      </c>
      <c r="G1527" s="114" t="s">
        <v>12550</v>
      </c>
      <c r="H1527" s="91" t="s">
        <v>8362</v>
      </c>
      <c r="I1527" s="114" t="s">
        <v>8363</v>
      </c>
      <c r="J1527" s="83" t="s">
        <v>150</v>
      </c>
      <c r="K1527" s="83" t="s">
        <v>151</v>
      </c>
      <c r="L1527" s="83" t="s">
        <v>152</v>
      </c>
      <c r="M1527" s="82" t="s">
        <v>12551</v>
      </c>
      <c r="N1527" s="82" t="s">
        <v>12552</v>
      </c>
      <c r="O1527" s="82" t="s">
        <v>12553</v>
      </c>
      <c r="P1527" s="82" t="s">
        <v>12554</v>
      </c>
      <c r="Q1527" s="82" t="s">
        <v>12555</v>
      </c>
      <c r="R1527" s="82" t="s">
        <v>12556</v>
      </c>
      <c r="S1527" s="82" t="s">
        <v>12557</v>
      </c>
      <c r="T1527" s="138">
        <v>12.0</v>
      </c>
      <c r="U1527" s="341">
        <v>12.0</v>
      </c>
      <c r="V1527" s="106">
        <v>0.0</v>
      </c>
      <c r="W1527" s="107">
        <v>0.0</v>
      </c>
      <c r="X1527" s="107">
        <v>0.0</v>
      </c>
      <c r="Y1527" s="107">
        <v>0.0</v>
      </c>
      <c r="Z1527" s="80">
        <v>0.0</v>
      </c>
      <c r="AA1527" s="140">
        <v>0.0</v>
      </c>
      <c r="AB1527" s="109">
        <v>397.0</v>
      </c>
      <c r="AC1527" s="109">
        <v>0.0</v>
      </c>
      <c r="AD1527" s="141">
        <v>0.0</v>
      </c>
      <c r="AE1527" s="80">
        <v>397.0</v>
      </c>
      <c r="AF1527" s="140">
        <v>348.0</v>
      </c>
      <c r="AG1527" s="109">
        <v>0.0</v>
      </c>
      <c r="AH1527" s="109">
        <v>0.0</v>
      </c>
      <c r="AI1527" s="141">
        <v>0.0</v>
      </c>
      <c r="AJ1527" s="80">
        <v>348.0</v>
      </c>
      <c r="AK1527" s="140">
        <v>0.0</v>
      </c>
      <c r="AL1527" s="109">
        <v>0.0</v>
      </c>
      <c r="AM1527" s="141">
        <v>68.0</v>
      </c>
      <c r="AN1527" s="80">
        <v>68.0</v>
      </c>
      <c r="AO1527" s="140">
        <v>0.0</v>
      </c>
      <c r="AP1527" s="109">
        <v>0.0</v>
      </c>
      <c r="AQ1527" s="109">
        <v>187.0</v>
      </c>
      <c r="AR1527" s="80">
        <v>187.0</v>
      </c>
      <c r="AS1527" s="110">
        <v>0.0</v>
      </c>
      <c r="AT1527" s="110">
        <v>0.0</v>
      </c>
      <c r="AU1527" s="110">
        <v>0.0</v>
      </c>
      <c r="AV1527" s="142">
        <v>0.0</v>
      </c>
      <c r="AW1527" s="80">
        <v>0.0</v>
      </c>
      <c r="AX1527" s="113">
        <v>1000.0</v>
      </c>
      <c r="AY1527" s="117">
        <v>745.0</v>
      </c>
      <c r="AZ1527" s="328">
        <v>255.0</v>
      </c>
      <c r="BA1527" s="315">
        <v>7.0</v>
      </c>
      <c r="BB1527" s="316">
        <v>1007.0</v>
      </c>
      <c r="BC1527" s="132" t="s">
        <v>178</v>
      </c>
      <c r="BD1527" s="132" t="s">
        <v>178</v>
      </c>
      <c r="BE1527" s="132" t="s">
        <v>178</v>
      </c>
      <c r="BF1527" s="123"/>
      <c r="BG1527" s="83">
        <v>1174772.0</v>
      </c>
      <c r="BH1527" s="112">
        <v>12.0</v>
      </c>
      <c r="BI1527" s="98" t="s">
        <v>155</v>
      </c>
      <c r="BJ1527" s="98" t="str">
        <f t="shared" si="1"/>
        <v>NÃO</v>
      </c>
      <c r="BK1527" s="98" t="str">
        <f t="shared" si="2"/>
        <v>NÃO</v>
      </c>
    </row>
    <row r="1528" ht="15.75" customHeight="1">
      <c r="A1528" s="111" t="s">
        <v>1785</v>
      </c>
      <c r="B1528" s="83" t="s">
        <v>1994</v>
      </c>
      <c r="C1528" s="83" t="s">
        <v>68</v>
      </c>
      <c r="D1528" s="83">
        <v>1100884.0</v>
      </c>
      <c r="E1528" s="83"/>
      <c r="F1528" s="83">
        <v>2.9184983E7</v>
      </c>
      <c r="G1528" s="114" t="s">
        <v>12558</v>
      </c>
      <c r="H1528" s="91" t="s">
        <v>8369</v>
      </c>
      <c r="I1528" s="114" t="s">
        <v>8150</v>
      </c>
      <c r="J1528" s="83" t="s">
        <v>150</v>
      </c>
      <c r="K1528" s="83" t="s">
        <v>151</v>
      </c>
      <c r="L1528" s="83" t="s">
        <v>169</v>
      </c>
      <c r="M1528" s="82" t="s">
        <v>12559</v>
      </c>
      <c r="N1528" s="82" t="s">
        <v>12560</v>
      </c>
      <c r="O1528" s="82" t="s">
        <v>12561</v>
      </c>
      <c r="P1528" s="82" t="s">
        <v>12562</v>
      </c>
      <c r="Q1528" s="82"/>
      <c r="R1528" s="82"/>
      <c r="S1528" s="82" t="s">
        <v>12563</v>
      </c>
      <c r="T1528" s="138">
        <v>10.0</v>
      </c>
      <c r="U1528" s="341">
        <v>10.0</v>
      </c>
      <c r="V1528" s="106">
        <v>0.0</v>
      </c>
      <c r="W1528" s="107">
        <v>0.0</v>
      </c>
      <c r="X1528" s="107">
        <v>0.0</v>
      </c>
      <c r="Y1528" s="107">
        <v>0.0</v>
      </c>
      <c r="Z1528" s="80">
        <v>0.0</v>
      </c>
      <c r="AA1528" s="140">
        <v>322.0</v>
      </c>
      <c r="AB1528" s="109">
        <v>0.0</v>
      </c>
      <c r="AC1528" s="109">
        <v>0.0</v>
      </c>
      <c r="AD1528" s="141">
        <v>0.0</v>
      </c>
      <c r="AE1528" s="80">
        <v>322.0</v>
      </c>
      <c r="AF1528" s="140">
        <v>0.0</v>
      </c>
      <c r="AG1528" s="109">
        <v>0.0</v>
      </c>
      <c r="AH1528" s="109">
        <v>0.0</v>
      </c>
      <c r="AI1528" s="141">
        <v>0.0</v>
      </c>
      <c r="AJ1528" s="80">
        <v>0.0</v>
      </c>
      <c r="AK1528" s="140">
        <v>0.0</v>
      </c>
      <c r="AL1528" s="109">
        <v>0.0</v>
      </c>
      <c r="AM1528" s="141">
        <v>0.0</v>
      </c>
      <c r="AN1528" s="80">
        <v>0.0</v>
      </c>
      <c r="AO1528" s="140">
        <v>0.0</v>
      </c>
      <c r="AP1528" s="109">
        <v>0.0</v>
      </c>
      <c r="AQ1528" s="109">
        <v>0.0</v>
      </c>
      <c r="AR1528" s="80">
        <v>0.0</v>
      </c>
      <c r="AS1528" s="110">
        <v>0.0</v>
      </c>
      <c r="AT1528" s="110">
        <v>0.0</v>
      </c>
      <c r="AU1528" s="110">
        <v>0.0</v>
      </c>
      <c r="AV1528" s="142">
        <v>0.0</v>
      </c>
      <c r="AW1528" s="80">
        <v>0.0</v>
      </c>
      <c r="AX1528" s="113">
        <v>322.0</v>
      </c>
      <c r="AY1528" s="117">
        <v>322.0</v>
      </c>
      <c r="AZ1528" s="328">
        <v>0.0</v>
      </c>
      <c r="BA1528" s="315">
        <v>0.0</v>
      </c>
      <c r="BB1528" s="316">
        <v>322.0</v>
      </c>
      <c r="BC1528" s="132" t="s">
        <v>178</v>
      </c>
      <c r="BD1528" s="132" t="s">
        <v>178</v>
      </c>
      <c r="BE1528" s="132" t="s">
        <v>178</v>
      </c>
      <c r="BF1528" s="156"/>
      <c r="BG1528" s="83">
        <v>1100884.0</v>
      </c>
      <c r="BH1528" s="112">
        <v>10.0</v>
      </c>
      <c r="BI1528" s="98" t="s">
        <v>155</v>
      </c>
      <c r="BJ1528" s="98" t="str">
        <f t="shared" si="1"/>
        <v>NÃO</v>
      </c>
      <c r="BK1528" s="98" t="str">
        <f t="shared" si="2"/>
        <v>NÃO</v>
      </c>
    </row>
    <row r="1529" ht="15.75" customHeight="1">
      <c r="A1529" s="111" t="s">
        <v>1785</v>
      </c>
      <c r="B1529" s="83" t="s">
        <v>1994</v>
      </c>
      <c r="C1529" s="83" t="s">
        <v>68</v>
      </c>
      <c r="D1529" s="83">
        <v>1101619.0</v>
      </c>
      <c r="E1529" s="83"/>
      <c r="F1529" s="83">
        <v>2.919265E7</v>
      </c>
      <c r="G1529" s="114" t="s">
        <v>12564</v>
      </c>
      <c r="H1529" s="91" t="s">
        <v>8376</v>
      </c>
      <c r="I1529" s="114" t="s">
        <v>8377</v>
      </c>
      <c r="J1529" s="83" t="s">
        <v>150</v>
      </c>
      <c r="K1529" s="83" t="s">
        <v>151</v>
      </c>
      <c r="L1529" s="83" t="s">
        <v>76</v>
      </c>
      <c r="M1529" s="82" t="s">
        <v>12565</v>
      </c>
      <c r="N1529" s="82" t="s">
        <v>12566</v>
      </c>
      <c r="O1529" s="82" t="s">
        <v>12567</v>
      </c>
      <c r="P1529" s="82" t="s">
        <v>12568</v>
      </c>
      <c r="Q1529" s="82"/>
      <c r="R1529" s="82"/>
      <c r="S1529" s="82" t="s">
        <v>12569</v>
      </c>
      <c r="T1529" s="138">
        <v>12.0</v>
      </c>
      <c r="U1529" s="341">
        <v>12.0</v>
      </c>
      <c r="V1529" s="106">
        <v>0.0</v>
      </c>
      <c r="W1529" s="107">
        <v>0.0</v>
      </c>
      <c r="X1529" s="107">
        <v>0.0</v>
      </c>
      <c r="Y1529" s="107">
        <v>0.0</v>
      </c>
      <c r="Z1529" s="80">
        <v>0.0</v>
      </c>
      <c r="AA1529" s="140">
        <v>213.0</v>
      </c>
      <c r="AB1529" s="109">
        <v>0.0</v>
      </c>
      <c r="AC1529" s="109">
        <v>0.0</v>
      </c>
      <c r="AD1529" s="141">
        <v>0.0</v>
      </c>
      <c r="AE1529" s="80">
        <v>213.0</v>
      </c>
      <c r="AF1529" s="140">
        <v>114.0</v>
      </c>
      <c r="AG1529" s="109">
        <v>0.0</v>
      </c>
      <c r="AH1529" s="109">
        <v>0.0</v>
      </c>
      <c r="AI1529" s="141">
        <v>0.0</v>
      </c>
      <c r="AJ1529" s="80">
        <v>114.0</v>
      </c>
      <c r="AK1529" s="140">
        <v>0.0</v>
      </c>
      <c r="AL1529" s="109">
        <v>0.0</v>
      </c>
      <c r="AM1529" s="141">
        <v>0.0</v>
      </c>
      <c r="AN1529" s="80">
        <v>0.0</v>
      </c>
      <c r="AO1529" s="140">
        <v>0.0</v>
      </c>
      <c r="AP1529" s="109">
        <v>0.0</v>
      </c>
      <c r="AQ1529" s="109">
        <v>104.0</v>
      </c>
      <c r="AR1529" s="80">
        <v>104.0</v>
      </c>
      <c r="AS1529" s="110">
        <v>0.0</v>
      </c>
      <c r="AT1529" s="110">
        <v>0.0</v>
      </c>
      <c r="AU1529" s="110">
        <v>0.0</v>
      </c>
      <c r="AV1529" s="142">
        <v>0.0</v>
      </c>
      <c r="AW1529" s="80">
        <v>0.0</v>
      </c>
      <c r="AX1529" s="113">
        <v>431.0</v>
      </c>
      <c r="AY1529" s="117">
        <v>327.0</v>
      </c>
      <c r="AZ1529" s="328">
        <v>104.0</v>
      </c>
      <c r="BA1529" s="315">
        <v>0.0</v>
      </c>
      <c r="BB1529" s="316">
        <v>431.0</v>
      </c>
      <c r="BC1529" s="132" t="s">
        <v>178</v>
      </c>
      <c r="BD1529" s="132" t="s">
        <v>178</v>
      </c>
      <c r="BE1529" s="132" t="s">
        <v>178</v>
      </c>
      <c r="BF1529" s="156"/>
      <c r="BG1529" s="83">
        <v>1101619.0</v>
      </c>
      <c r="BH1529" s="112">
        <v>12.0</v>
      </c>
      <c r="BI1529" s="98" t="s">
        <v>155</v>
      </c>
      <c r="BJ1529" s="98" t="str">
        <f t="shared" si="1"/>
        <v>NÃO</v>
      </c>
      <c r="BK1529" s="98" t="str">
        <f t="shared" si="2"/>
        <v>NÃO</v>
      </c>
    </row>
    <row r="1530" ht="15.75" customHeight="1">
      <c r="A1530" s="111" t="s">
        <v>1785</v>
      </c>
      <c r="B1530" s="83" t="s">
        <v>1994</v>
      </c>
      <c r="C1530" s="83" t="s">
        <v>68</v>
      </c>
      <c r="D1530" s="83">
        <v>1101120.0</v>
      </c>
      <c r="E1530" s="83"/>
      <c r="F1530" s="83">
        <v>2.9187419E7</v>
      </c>
      <c r="G1530" s="114" t="s">
        <v>12571</v>
      </c>
      <c r="H1530" s="91" t="s">
        <v>8381</v>
      </c>
      <c r="I1530" s="114" t="s">
        <v>8382</v>
      </c>
      <c r="J1530" s="83" t="s">
        <v>150</v>
      </c>
      <c r="K1530" s="83" t="s">
        <v>151</v>
      </c>
      <c r="L1530" s="83" t="s">
        <v>152</v>
      </c>
      <c r="M1530" s="82" t="s">
        <v>12572</v>
      </c>
      <c r="N1530" s="82" t="s">
        <v>12573</v>
      </c>
      <c r="O1530" s="82" t="s">
        <v>12574</v>
      </c>
      <c r="P1530" s="82" t="s">
        <v>12575</v>
      </c>
      <c r="Q1530" s="82" t="s">
        <v>12576</v>
      </c>
      <c r="R1530" s="82" t="s">
        <v>12577</v>
      </c>
      <c r="S1530" s="82" t="s">
        <v>12578</v>
      </c>
      <c r="T1530" s="138">
        <v>11.0</v>
      </c>
      <c r="U1530" s="341">
        <v>11.0</v>
      </c>
      <c r="V1530" s="106">
        <v>0.0</v>
      </c>
      <c r="W1530" s="107">
        <v>0.0</v>
      </c>
      <c r="X1530" s="107">
        <v>0.0</v>
      </c>
      <c r="Y1530" s="107">
        <v>0.0</v>
      </c>
      <c r="Z1530" s="80">
        <v>0.0</v>
      </c>
      <c r="AA1530" s="140">
        <v>312.0</v>
      </c>
      <c r="AB1530" s="109">
        <v>216.0</v>
      </c>
      <c r="AC1530" s="109">
        <v>0.0</v>
      </c>
      <c r="AD1530" s="141">
        <v>0.0</v>
      </c>
      <c r="AE1530" s="80">
        <v>528.0</v>
      </c>
      <c r="AF1530" s="140">
        <v>0.0</v>
      </c>
      <c r="AG1530" s="109">
        <v>0.0</v>
      </c>
      <c r="AH1530" s="109">
        <v>0.0</v>
      </c>
      <c r="AI1530" s="141">
        <v>0.0</v>
      </c>
      <c r="AJ1530" s="80">
        <v>0.0</v>
      </c>
      <c r="AK1530" s="140">
        <v>0.0</v>
      </c>
      <c r="AL1530" s="109">
        <v>0.0</v>
      </c>
      <c r="AM1530" s="141">
        <v>64.0</v>
      </c>
      <c r="AN1530" s="80">
        <v>64.0</v>
      </c>
      <c r="AO1530" s="140">
        <v>0.0</v>
      </c>
      <c r="AP1530" s="109">
        <v>0.0</v>
      </c>
      <c r="AQ1530" s="109">
        <v>0.0</v>
      </c>
      <c r="AR1530" s="80">
        <v>0.0</v>
      </c>
      <c r="AS1530" s="110">
        <v>0.0</v>
      </c>
      <c r="AT1530" s="110">
        <v>0.0</v>
      </c>
      <c r="AU1530" s="110">
        <v>0.0</v>
      </c>
      <c r="AV1530" s="142">
        <v>0.0</v>
      </c>
      <c r="AW1530" s="80">
        <v>0.0</v>
      </c>
      <c r="AX1530" s="113">
        <v>592.0</v>
      </c>
      <c r="AY1530" s="117">
        <v>528.0</v>
      </c>
      <c r="AZ1530" s="328">
        <v>64.0</v>
      </c>
      <c r="BA1530" s="315">
        <v>0.0</v>
      </c>
      <c r="BB1530" s="316">
        <v>592.0</v>
      </c>
      <c r="BC1530" s="132" t="s">
        <v>178</v>
      </c>
      <c r="BD1530" s="132" t="s">
        <v>178</v>
      </c>
      <c r="BE1530" s="132" t="s">
        <v>178</v>
      </c>
      <c r="BF1530" s="156"/>
      <c r="BG1530" s="83">
        <v>1101120.0</v>
      </c>
      <c r="BH1530" s="112">
        <v>11.0</v>
      </c>
      <c r="BI1530" s="98" t="s">
        <v>155</v>
      </c>
      <c r="BJ1530" s="98" t="str">
        <f t="shared" si="1"/>
        <v>NÃO</v>
      </c>
      <c r="BK1530" s="98" t="str">
        <f t="shared" si="2"/>
        <v>NÃO</v>
      </c>
    </row>
    <row r="1531" ht="15.75" customHeight="1">
      <c r="A1531" s="111" t="s">
        <v>1785</v>
      </c>
      <c r="B1531" s="83" t="s">
        <v>1994</v>
      </c>
      <c r="C1531" s="83" t="s">
        <v>68</v>
      </c>
      <c r="D1531" s="83">
        <v>1146094.0</v>
      </c>
      <c r="E1531" s="83"/>
      <c r="F1531" s="83">
        <v>2.9191343E7</v>
      </c>
      <c r="G1531" s="114" t="s">
        <v>12579</v>
      </c>
      <c r="H1531" s="91" t="s">
        <v>8385</v>
      </c>
      <c r="I1531" s="114" t="s">
        <v>8386</v>
      </c>
      <c r="J1531" s="83" t="s">
        <v>150</v>
      </c>
      <c r="K1531" s="83" t="s">
        <v>151</v>
      </c>
      <c r="L1531" s="83" t="s">
        <v>230</v>
      </c>
      <c r="M1531" s="82" t="s">
        <v>12580</v>
      </c>
      <c r="N1531" s="82" t="s">
        <v>12581</v>
      </c>
      <c r="O1531" s="82" t="s">
        <v>12582</v>
      </c>
      <c r="P1531" s="82" t="s">
        <v>12583</v>
      </c>
      <c r="Q1531" s="82" t="s">
        <v>12584</v>
      </c>
      <c r="R1531" s="82" t="s">
        <v>12585</v>
      </c>
      <c r="S1531" s="82" t="s">
        <v>12586</v>
      </c>
      <c r="T1531" s="138">
        <v>20.0</v>
      </c>
      <c r="U1531" s="341">
        <v>24.0</v>
      </c>
      <c r="V1531" s="106">
        <v>0.0</v>
      </c>
      <c r="W1531" s="107">
        <v>0.0</v>
      </c>
      <c r="X1531" s="107">
        <v>0.0</v>
      </c>
      <c r="Y1531" s="107">
        <v>0.0</v>
      </c>
      <c r="Z1531" s="80">
        <v>0.0</v>
      </c>
      <c r="AA1531" s="140">
        <v>0.0</v>
      </c>
      <c r="AB1531" s="109">
        <v>0.0</v>
      </c>
      <c r="AC1531" s="109">
        <v>0.0</v>
      </c>
      <c r="AD1531" s="141">
        <v>0.0</v>
      </c>
      <c r="AE1531" s="80">
        <v>0.0</v>
      </c>
      <c r="AF1531" s="140">
        <v>223.0</v>
      </c>
      <c r="AG1531" s="109">
        <v>243.0</v>
      </c>
      <c r="AH1531" s="109">
        <v>0.0</v>
      </c>
      <c r="AI1531" s="141">
        <v>578.0</v>
      </c>
      <c r="AJ1531" s="80">
        <v>1044.0</v>
      </c>
      <c r="AK1531" s="140">
        <v>0.0</v>
      </c>
      <c r="AL1531" s="109">
        <v>0.0</v>
      </c>
      <c r="AM1531" s="141">
        <v>0.0</v>
      </c>
      <c r="AN1531" s="80">
        <v>0.0</v>
      </c>
      <c r="AO1531" s="140">
        <v>0.0</v>
      </c>
      <c r="AP1531" s="109">
        <v>0.0</v>
      </c>
      <c r="AQ1531" s="109">
        <v>270.0</v>
      </c>
      <c r="AR1531" s="80">
        <v>270.0</v>
      </c>
      <c r="AS1531" s="110">
        <v>119.0</v>
      </c>
      <c r="AT1531" s="110">
        <v>49.0</v>
      </c>
      <c r="AU1531" s="110">
        <v>83.0</v>
      </c>
      <c r="AV1531" s="142">
        <v>0.0</v>
      </c>
      <c r="AW1531" s="80">
        <v>251.0</v>
      </c>
      <c r="AX1531" s="113">
        <v>1565.0</v>
      </c>
      <c r="AY1531" s="117">
        <v>1212.0</v>
      </c>
      <c r="AZ1531" s="328">
        <v>353.0</v>
      </c>
      <c r="BA1531" s="315">
        <v>1.0</v>
      </c>
      <c r="BB1531" s="316">
        <v>1566.0</v>
      </c>
      <c r="BC1531" s="132" t="s">
        <v>178</v>
      </c>
      <c r="BD1531" s="132" t="s">
        <v>178</v>
      </c>
      <c r="BE1531" s="132" t="s">
        <v>178</v>
      </c>
      <c r="BF1531" s="156"/>
      <c r="BG1531" s="83">
        <v>1146094.0</v>
      </c>
      <c r="BH1531" s="112">
        <v>24.0</v>
      </c>
      <c r="BI1531" s="98" t="s">
        <v>162</v>
      </c>
      <c r="BJ1531" s="98" t="str">
        <f t="shared" si="1"/>
        <v>INTEGRAL</v>
      </c>
      <c r="BK1531" s="98" t="str">
        <f t="shared" si="2"/>
        <v>PROFISSIONAL</v>
      </c>
    </row>
    <row r="1532" ht="15.75" customHeight="1">
      <c r="A1532" s="111" t="s">
        <v>1785</v>
      </c>
      <c r="B1532" s="83" t="s">
        <v>1994</v>
      </c>
      <c r="C1532" s="83" t="s">
        <v>68</v>
      </c>
      <c r="D1532" s="83">
        <v>1174721.0</v>
      </c>
      <c r="E1532" s="83"/>
      <c r="F1532" s="83">
        <v>2.9195462E7</v>
      </c>
      <c r="G1532" s="114" t="s">
        <v>12588</v>
      </c>
      <c r="H1532" s="108" t="s">
        <v>8681</v>
      </c>
      <c r="I1532" s="114" t="s">
        <v>8294</v>
      </c>
      <c r="J1532" s="83" t="s">
        <v>150</v>
      </c>
      <c r="K1532" s="83" t="s">
        <v>151</v>
      </c>
      <c r="L1532" s="83" t="s">
        <v>76</v>
      </c>
      <c r="M1532" s="82" t="s">
        <v>12589</v>
      </c>
      <c r="N1532" s="82" t="s">
        <v>12590</v>
      </c>
      <c r="O1532" s="82" t="s">
        <v>12591</v>
      </c>
      <c r="P1532" s="82" t="s">
        <v>12592</v>
      </c>
      <c r="Q1532" s="82"/>
      <c r="R1532" s="82"/>
      <c r="S1532" s="82" t="s">
        <v>12593</v>
      </c>
      <c r="T1532" s="138">
        <v>12.0</v>
      </c>
      <c r="U1532" s="341">
        <v>12.0</v>
      </c>
      <c r="V1532" s="106">
        <v>0.0</v>
      </c>
      <c r="W1532" s="107">
        <v>0.0</v>
      </c>
      <c r="X1532" s="107">
        <v>0.0</v>
      </c>
      <c r="Y1532" s="107">
        <v>0.0</v>
      </c>
      <c r="Z1532" s="80">
        <v>0.0</v>
      </c>
      <c r="AA1532" s="140">
        <v>0.0</v>
      </c>
      <c r="AB1532" s="109">
        <v>0.0</v>
      </c>
      <c r="AC1532" s="109">
        <v>0.0</v>
      </c>
      <c r="AD1532" s="141">
        <v>188.0</v>
      </c>
      <c r="AE1532" s="80">
        <v>188.0</v>
      </c>
      <c r="AF1532" s="140">
        <v>0.0</v>
      </c>
      <c r="AG1532" s="109">
        <v>0.0</v>
      </c>
      <c r="AH1532" s="109">
        <v>0.0</v>
      </c>
      <c r="AI1532" s="141">
        <v>0.0</v>
      </c>
      <c r="AJ1532" s="80">
        <v>0.0</v>
      </c>
      <c r="AK1532" s="140">
        <v>0.0</v>
      </c>
      <c r="AL1532" s="109">
        <v>0.0</v>
      </c>
      <c r="AM1532" s="141">
        <v>0.0</v>
      </c>
      <c r="AN1532" s="80">
        <v>0.0</v>
      </c>
      <c r="AO1532" s="140">
        <v>0.0</v>
      </c>
      <c r="AP1532" s="109">
        <v>0.0</v>
      </c>
      <c r="AQ1532" s="109">
        <v>0.0</v>
      </c>
      <c r="AR1532" s="80">
        <v>0.0</v>
      </c>
      <c r="AS1532" s="110">
        <v>0.0</v>
      </c>
      <c r="AT1532" s="110">
        <v>0.0</v>
      </c>
      <c r="AU1532" s="110">
        <v>0.0</v>
      </c>
      <c r="AV1532" s="142">
        <v>0.0</v>
      </c>
      <c r="AW1532" s="80">
        <v>0.0</v>
      </c>
      <c r="AX1532" s="113">
        <v>188.0</v>
      </c>
      <c r="AY1532" s="117">
        <v>188.0</v>
      </c>
      <c r="AZ1532" s="328">
        <v>0.0</v>
      </c>
      <c r="BA1532" s="315">
        <v>0.0</v>
      </c>
      <c r="BB1532" s="316">
        <v>188.0</v>
      </c>
      <c r="BC1532" s="132" t="s">
        <v>178</v>
      </c>
      <c r="BD1532" s="132" t="s">
        <v>178</v>
      </c>
      <c r="BE1532" s="132" t="s">
        <v>178</v>
      </c>
      <c r="BF1532" s="156"/>
      <c r="BG1532" s="83">
        <v>1174721.0</v>
      </c>
      <c r="BH1532" s="112">
        <v>12.0</v>
      </c>
      <c r="BI1532" s="98" t="s">
        <v>155</v>
      </c>
      <c r="BJ1532" s="98" t="str">
        <f t="shared" si="1"/>
        <v>INTEGRAL</v>
      </c>
      <c r="BK1532" s="98" t="str">
        <f t="shared" si="2"/>
        <v>NÃO</v>
      </c>
    </row>
    <row r="1533" ht="15.75" customHeight="1">
      <c r="A1533" s="111" t="s">
        <v>1785</v>
      </c>
      <c r="B1533" s="83" t="s">
        <v>1994</v>
      </c>
      <c r="C1533" s="83" t="s">
        <v>68</v>
      </c>
      <c r="D1533" s="83">
        <v>1102925.0</v>
      </c>
      <c r="E1533" s="83"/>
      <c r="F1533" s="83">
        <v>2.9192153E7</v>
      </c>
      <c r="G1533" s="114" t="s">
        <v>12594</v>
      </c>
      <c r="H1533" s="91" t="s">
        <v>8689</v>
      </c>
      <c r="I1533" s="114" t="s">
        <v>8690</v>
      </c>
      <c r="J1533" s="83" t="s">
        <v>150</v>
      </c>
      <c r="K1533" s="83" t="s">
        <v>151</v>
      </c>
      <c r="L1533" s="83" t="s">
        <v>152</v>
      </c>
      <c r="M1533" s="82" t="s">
        <v>12595</v>
      </c>
      <c r="N1533" s="82" t="s">
        <v>12596</v>
      </c>
      <c r="O1533" s="82" t="s">
        <v>12597</v>
      </c>
      <c r="P1533" s="82" t="s">
        <v>12598</v>
      </c>
      <c r="Q1533" s="82" t="s">
        <v>12599</v>
      </c>
      <c r="R1533" s="82" t="s">
        <v>12600</v>
      </c>
      <c r="S1533" s="82" t="s">
        <v>12601</v>
      </c>
      <c r="T1533" s="138">
        <v>11.0</v>
      </c>
      <c r="U1533" s="341">
        <v>11.0</v>
      </c>
      <c r="V1533" s="106">
        <v>0.0</v>
      </c>
      <c r="W1533" s="107">
        <v>0.0</v>
      </c>
      <c r="X1533" s="107">
        <v>0.0</v>
      </c>
      <c r="Y1533" s="107">
        <v>0.0</v>
      </c>
      <c r="Z1533" s="80">
        <v>0.0</v>
      </c>
      <c r="AA1533" s="140">
        <v>232.0</v>
      </c>
      <c r="AB1533" s="109">
        <v>209.0</v>
      </c>
      <c r="AC1533" s="109">
        <v>0.0</v>
      </c>
      <c r="AD1533" s="141">
        <v>0.0</v>
      </c>
      <c r="AE1533" s="80">
        <v>441.0</v>
      </c>
      <c r="AF1533" s="140">
        <v>181.0</v>
      </c>
      <c r="AG1533" s="109">
        <v>154.0</v>
      </c>
      <c r="AH1533" s="109">
        <v>0.0</v>
      </c>
      <c r="AI1533" s="141">
        <v>0.0</v>
      </c>
      <c r="AJ1533" s="80">
        <v>335.0</v>
      </c>
      <c r="AK1533" s="140">
        <v>0.0</v>
      </c>
      <c r="AL1533" s="109">
        <v>0.0</v>
      </c>
      <c r="AM1533" s="141">
        <v>82.0</v>
      </c>
      <c r="AN1533" s="80">
        <v>82.0</v>
      </c>
      <c r="AO1533" s="140">
        <v>0.0</v>
      </c>
      <c r="AP1533" s="109">
        <v>0.0</v>
      </c>
      <c r="AQ1533" s="109">
        <v>243.0</v>
      </c>
      <c r="AR1533" s="80">
        <v>243.0</v>
      </c>
      <c r="AS1533" s="110">
        <v>0.0</v>
      </c>
      <c r="AT1533" s="110">
        <v>0.0</v>
      </c>
      <c r="AU1533" s="110">
        <v>0.0</v>
      </c>
      <c r="AV1533" s="142">
        <v>0.0</v>
      </c>
      <c r="AW1533" s="80">
        <v>0.0</v>
      </c>
      <c r="AX1533" s="113">
        <v>1101.0</v>
      </c>
      <c r="AY1533" s="117">
        <v>776.0</v>
      </c>
      <c r="AZ1533" s="328">
        <v>325.0</v>
      </c>
      <c r="BA1533" s="315">
        <v>2.0</v>
      </c>
      <c r="BB1533" s="316">
        <v>1103.0</v>
      </c>
      <c r="BC1533" s="132" t="s">
        <v>178</v>
      </c>
      <c r="BD1533" s="132" t="s">
        <v>178</v>
      </c>
      <c r="BE1533" s="132" t="s">
        <v>178</v>
      </c>
      <c r="BF1533" s="181"/>
      <c r="BG1533" s="83">
        <v>1102925.0</v>
      </c>
      <c r="BH1533" s="112">
        <v>11.0</v>
      </c>
      <c r="BI1533" s="98" t="s">
        <v>155</v>
      </c>
      <c r="BJ1533" s="98" t="str">
        <f t="shared" si="1"/>
        <v>NÃO</v>
      </c>
      <c r="BK1533" s="98" t="str">
        <f t="shared" si="2"/>
        <v>NÃO</v>
      </c>
    </row>
    <row r="1534" ht="15.75" customHeight="1">
      <c r="A1534" s="111" t="s">
        <v>1785</v>
      </c>
      <c r="B1534" s="83" t="s">
        <v>1994</v>
      </c>
      <c r="C1534" s="83" t="s">
        <v>68</v>
      </c>
      <c r="D1534" s="83">
        <v>1176661.0</v>
      </c>
      <c r="E1534" s="83"/>
      <c r="F1534" s="83">
        <v>2.940429E7</v>
      </c>
      <c r="G1534" s="114" t="s">
        <v>12602</v>
      </c>
      <c r="H1534" s="91" t="s">
        <v>8390</v>
      </c>
      <c r="I1534" s="114" t="s">
        <v>8391</v>
      </c>
      <c r="J1534" s="83" t="s">
        <v>150</v>
      </c>
      <c r="K1534" s="83" t="s">
        <v>151</v>
      </c>
      <c r="L1534" s="83" t="s">
        <v>152</v>
      </c>
      <c r="M1534" s="82" t="s">
        <v>12603</v>
      </c>
      <c r="N1534" s="82" t="s">
        <v>12604</v>
      </c>
      <c r="O1534" s="82" t="s">
        <v>12605</v>
      </c>
      <c r="P1534" s="82" t="s">
        <v>12607</v>
      </c>
      <c r="Q1534" s="82" t="s">
        <v>12608</v>
      </c>
      <c r="R1534" s="82" t="s">
        <v>12609</v>
      </c>
      <c r="S1534" s="82" t="s">
        <v>12610</v>
      </c>
      <c r="T1534" s="138">
        <v>14.0</v>
      </c>
      <c r="U1534" s="341">
        <v>9.0</v>
      </c>
      <c r="V1534" s="106">
        <v>0.0</v>
      </c>
      <c r="W1534" s="107">
        <v>0.0</v>
      </c>
      <c r="X1534" s="107">
        <v>0.0</v>
      </c>
      <c r="Y1534" s="107">
        <v>0.0</v>
      </c>
      <c r="Z1534" s="80">
        <v>0.0</v>
      </c>
      <c r="AA1534" s="140">
        <v>0.0</v>
      </c>
      <c r="AB1534" s="109">
        <v>126.0</v>
      </c>
      <c r="AC1534" s="109">
        <v>0.0</v>
      </c>
      <c r="AD1534" s="141">
        <v>0.0</v>
      </c>
      <c r="AE1534" s="80">
        <v>126.0</v>
      </c>
      <c r="AF1534" s="140">
        <v>167.0</v>
      </c>
      <c r="AG1534" s="109">
        <v>0.0</v>
      </c>
      <c r="AH1534" s="109">
        <v>29.0</v>
      </c>
      <c r="AI1534" s="141">
        <v>26.0</v>
      </c>
      <c r="AJ1534" s="80">
        <v>222.0</v>
      </c>
      <c r="AK1534" s="140">
        <v>0.0</v>
      </c>
      <c r="AL1534" s="109">
        <v>0.0</v>
      </c>
      <c r="AM1534" s="141">
        <v>0.0</v>
      </c>
      <c r="AN1534" s="80">
        <v>0.0</v>
      </c>
      <c r="AO1534" s="140">
        <v>0.0</v>
      </c>
      <c r="AP1534" s="109">
        <v>0.0</v>
      </c>
      <c r="AQ1534" s="109">
        <v>67.0</v>
      </c>
      <c r="AR1534" s="80">
        <v>67.0</v>
      </c>
      <c r="AS1534" s="110">
        <v>0.0</v>
      </c>
      <c r="AT1534" s="110">
        <v>0.0</v>
      </c>
      <c r="AU1534" s="110">
        <v>0.0</v>
      </c>
      <c r="AV1534" s="142">
        <v>0.0</v>
      </c>
      <c r="AW1534" s="80">
        <v>0.0</v>
      </c>
      <c r="AX1534" s="113">
        <v>415.0</v>
      </c>
      <c r="AY1534" s="117">
        <v>319.0</v>
      </c>
      <c r="AZ1534" s="328">
        <v>96.0</v>
      </c>
      <c r="BA1534" s="315">
        <v>0.0</v>
      </c>
      <c r="BB1534" s="316">
        <v>415.0</v>
      </c>
      <c r="BC1534" s="132" t="s">
        <v>178</v>
      </c>
      <c r="BD1534" s="132" t="s">
        <v>178</v>
      </c>
      <c r="BE1534" s="132" t="s">
        <v>178</v>
      </c>
      <c r="BF1534" s="123"/>
      <c r="BG1534" s="83">
        <v>1176661.0</v>
      </c>
      <c r="BH1534" s="112">
        <v>9.0</v>
      </c>
      <c r="BI1534" s="98" t="s">
        <v>155</v>
      </c>
      <c r="BJ1534" s="98" t="str">
        <f t="shared" si="1"/>
        <v>INTEGRAL</v>
      </c>
      <c r="BK1534" s="98" t="str">
        <f t="shared" si="2"/>
        <v>NÃO</v>
      </c>
    </row>
    <row r="1535" ht="15.75" customHeight="1">
      <c r="A1535" s="111" t="s">
        <v>1785</v>
      </c>
      <c r="B1535" s="83" t="s">
        <v>1994</v>
      </c>
      <c r="C1535" s="83" t="s">
        <v>68</v>
      </c>
      <c r="D1535" s="83">
        <v>1176189.0</v>
      </c>
      <c r="E1535" s="83"/>
      <c r="F1535" s="83">
        <v>2.91853E7</v>
      </c>
      <c r="G1535" s="119" t="s">
        <v>12611</v>
      </c>
      <c r="H1535" s="91" t="s">
        <v>8396</v>
      </c>
      <c r="I1535" s="114" t="s">
        <v>8347</v>
      </c>
      <c r="J1535" s="83" t="s">
        <v>150</v>
      </c>
      <c r="K1535" s="83" t="s">
        <v>8397</v>
      </c>
      <c r="L1535" s="83" t="s">
        <v>152</v>
      </c>
      <c r="M1535" s="82" t="s">
        <v>12612</v>
      </c>
      <c r="N1535" s="82" t="s">
        <v>12613</v>
      </c>
      <c r="O1535" s="82" t="s">
        <v>12614</v>
      </c>
      <c r="P1535" s="82" t="s">
        <v>12615</v>
      </c>
      <c r="Q1535" s="82" t="s">
        <v>12616</v>
      </c>
      <c r="R1535" s="82" t="s">
        <v>12617</v>
      </c>
      <c r="S1535" s="82" t="s">
        <v>12618</v>
      </c>
      <c r="T1535" s="138">
        <v>35.0</v>
      </c>
      <c r="U1535" s="341">
        <v>38.0</v>
      </c>
      <c r="V1535" s="106">
        <v>0.0</v>
      </c>
      <c r="W1535" s="107">
        <v>0.0</v>
      </c>
      <c r="X1535" s="107">
        <v>0.0</v>
      </c>
      <c r="Y1535" s="107">
        <v>0.0</v>
      </c>
      <c r="Z1535" s="80">
        <v>0.0</v>
      </c>
      <c r="AA1535" s="140">
        <v>0.0</v>
      </c>
      <c r="AB1535" s="109">
        <v>0.0</v>
      </c>
      <c r="AC1535" s="109">
        <v>0.0</v>
      </c>
      <c r="AD1535" s="141">
        <v>0.0</v>
      </c>
      <c r="AE1535" s="80">
        <v>0.0</v>
      </c>
      <c r="AF1535" s="140">
        <v>0.0</v>
      </c>
      <c r="AG1535" s="109">
        <v>0.0</v>
      </c>
      <c r="AH1535" s="109">
        <v>0.0</v>
      </c>
      <c r="AI1535" s="141">
        <v>0.0</v>
      </c>
      <c r="AJ1535" s="80">
        <v>0.0</v>
      </c>
      <c r="AK1535" s="140">
        <v>157.0</v>
      </c>
      <c r="AL1535" s="109">
        <v>80.0</v>
      </c>
      <c r="AM1535" s="141">
        <v>109.0</v>
      </c>
      <c r="AN1535" s="80">
        <v>346.0</v>
      </c>
      <c r="AO1535" s="140">
        <v>0.0</v>
      </c>
      <c r="AP1535" s="109">
        <v>63.0</v>
      </c>
      <c r="AQ1535" s="109">
        <v>29.0</v>
      </c>
      <c r="AR1535" s="80">
        <v>92.0</v>
      </c>
      <c r="AS1535" s="110">
        <v>0.0</v>
      </c>
      <c r="AT1535" s="110">
        <v>0.0</v>
      </c>
      <c r="AU1535" s="110">
        <v>0.0</v>
      </c>
      <c r="AV1535" s="142">
        <v>0.0</v>
      </c>
      <c r="AW1535" s="80">
        <v>0.0</v>
      </c>
      <c r="AX1535" s="113">
        <v>438.0</v>
      </c>
      <c r="AY1535" s="117">
        <v>300.0</v>
      </c>
      <c r="AZ1535" s="328">
        <v>138.0</v>
      </c>
      <c r="BA1535" s="315">
        <v>0.0</v>
      </c>
      <c r="BB1535" s="316">
        <v>438.0</v>
      </c>
      <c r="BC1535" s="132" t="s">
        <v>178</v>
      </c>
      <c r="BD1535" s="132" t="s">
        <v>178</v>
      </c>
      <c r="BE1535" s="132" t="s">
        <v>178</v>
      </c>
      <c r="BF1535" s="123"/>
      <c r="BG1535" s="83">
        <v>1176189.0</v>
      </c>
      <c r="BH1535" s="112">
        <v>38.0</v>
      </c>
      <c r="BI1535" s="98" t="s">
        <v>155</v>
      </c>
      <c r="BJ1535" s="98" t="str">
        <f t="shared" si="1"/>
        <v>NÃO</v>
      </c>
      <c r="BK1535" s="98" t="str">
        <f t="shared" si="2"/>
        <v>NÃO</v>
      </c>
    </row>
    <row r="1536" ht="15.75" customHeight="1">
      <c r="A1536" s="111" t="s">
        <v>1785</v>
      </c>
      <c r="B1536" s="83" t="s">
        <v>1994</v>
      </c>
      <c r="C1536" s="83" t="s">
        <v>68</v>
      </c>
      <c r="D1536" s="83">
        <v>1100833.0</v>
      </c>
      <c r="E1536" s="83"/>
      <c r="F1536" s="83">
        <v>2.9184932E7</v>
      </c>
      <c r="G1536" s="384" t="s">
        <v>12619</v>
      </c>
      <c r="H1536" s="91" t="s">
        <v>8400</v>
      </c>
      <c r="I1536" s="114" t="s">
        <v>8391</v>
      </c>
      <c r="J1536" s="83" t="s">
        <v>150</v>
      </c>
      <c r="K1536" s="83" t="s">
        <v>151</v>
      </c>
      <c r="L1536" s="83" t="s">
        <v>152</v>
      </c>
      <c r="M1536" s="82" t="s">
        <v>12620</v>
      </c>
      <c r="N1536" s="82" t="s">
        <v>12621</v>
      </c>
      <c r="O1536" s="82" t="s">
        <v>12622</v>
      </c>
      <c r="P1536" s="82" t="s">
        <v>12623</v>
      </c>
      <c r="Q1536" s="82" t="s">
        <v>12624</v>
      </c>
      <c r="R1536" s="82" t="s">
        <v>12625</v>
      </c>
      <c r="S1536" s="82" t="s">
        <v>12626</v>
      </c>
      <c r="T1536" s="138">
        <v>14.0</v>
      </c>
      <c r="U1536" s="323">
        <v>13.0</v>
      </c>
      <c r="V1536" s="106">
        <v>0.0</v>
      </c>
      <c r="W1536" s="107">
        <v>0.0</v>
      </c>
      <c r="X1536" s="107">
        <v>0.0</v>
      </c>
      <c r="Y1536" s="107">
        <v>0.0</v>
      </c>
      <c r="Z1536" s="80">
        <v>0.0</v>
      </c>
      <c r="AA1536" s="140">
        <v>214.0</v>
      </c>
      <c r="AB1536" s="109">
        <v>173.0</v>
      </c>
      <c r="AC1536" s="109">
        <v>0.0</v>
      </c>
      <c r="AD1536" s="141">
        <v>0.0</v>
      </c>
      <c r="AE1536" s="80">
        <v>387.0</v>
      </c>
      <c r="AF1536" s="140">
        <v>264.0</v>
      </c>
      <c r="AG1536" s="109">
        <v>199.0</v>
      </c>
      <c r="AH1536" s="109">
        <v>42.0</v>
      </c>
      <c r="AI1536" s="141">
        <v>0.0</v>
      </c>
      <c r="AJ1536" s="80">
        <v>505.0</v>
      </c>
      <c r="AK1536" s="140">
        <v>0.0</v>
      </c>
      <c r="AL1536" s="109">
        <v>0.0</v>
      </c>
      <c r="AM1536" s="141">
        <v>43.0</v>
      </c>
      <c r="AN1536" s="80">
        <v>43.0</v>
      </c>
      <c r="AO1536" s="140">
        <v>0.0</v>
      </c>
      <c r="AP1536" s="109">
        <v>0.0</v>
      </c>
      <c r="AQ1536" s="109">
        <v>90.0</v>
      </c>
      <c r="AR1536" s="80">
        <v>90.0</v>
      </c>
      <c r="AS1536" s="110">
        <v>0.0</v>
      </c>
      <c r="AT1536" s="110">
        <v>0.0</v>
      </c>
      <c r="AU1536" s="110">
        <v>0.0</v>
      </c>
      <c r="AV1536" s="142">
        <v>0.0</v>
      </c>
      <c r="AW1536" s="80">
        <v>0.0</v>
      </c>
      <c r="AX1536" s="113">
        <v>1025.0</v>
      </c>
      <c r="AY1536" s="117">
        <v>850.0</v>
      </c>
      <c r="AZ1536" s="328">
        <v>175.0</v>
      </c>
      <c r="BA1536" s="315">
        <v>0.0</v>
      </c>
      <c r="BB1536" s="316">
        <v>1025.0</v>
      </c>
      <c r="BC1536" s="132" t="s">
        <v>178</v>
      </c>
      <c r="BD1536" s="132" t="s">
        <v>178</v>
      </c>
      <c r="BE1536" s="132" t="s">
        <v>178</v>
      </c>
      <c r="BF1536" s="156"/>
      <c r="BG1536" s="83">
        <v>1100833.0</v>
      </c>
      <c r="BH1536" s="112">
        <v>13.0</v>
      </c>
      <c r="BI1536" s="98" t="s">
        <v>155</v>
      </c>
      <c r="BJ1536" s="98" t="str">
        <f t="shared" si="1"/>
        <v>NÃO</v>
      </c>
      <c r="BK1536" s="98" t="str">
        <f t="shared" si="2"/>
        <v>NÃO</v>
      </c>
    </row>
    <row r="1537" ht="15.75" customHeight="1">
      <c r="A1537" s="111" t="s">
        <v>1785</v>
      </c>
      <c r="B1537" s="83" t="s">
        <v>1994</v>
      </c>
      <c r="C1537" s="83" t="s">
        <v>68</v>
      </c>
      <c r="D1537" s="83">
        <v>1100558.0</v>
      </c>
      <c r="E1537" s="83"/>
      <c r="F1537" s="83">
        <v>2.919878E7</v>
      </c>
      <c r="G1537" s="114" t="s">
        <v>2499</v>
      </c>
      <c r="H1537" s="91" t="s">
        <v>12627</v>
      </c>
      <c r="I1537" s="114" t="s">
        <v>8347</v>
      </c>
      <c r="J1537" s="83" t="s">
        <v>150</v>
      </c>
      <c r="K1537" s="83" t="s">
        <v>151</v>
      </c>
      <c r="L1537" s="83" t="s">
        <v>76</v>
      </c>
      <c r="M1537" s="82" t="s">
        <v>12628</v>
      </c>
      <c r="N1537" s="82" t="s">
        <v>12629</v>
      </c>
      <c r="O1537" s="82" t="s">
        <v>12630</v>
      </c>
      <c r="P1537" s="82" t="s">
        <v>12631</v>
      </c>
      <c r="Q1537" s="82"/>
      <c r="R1537" s="82"/>
      <c r="S1537" s="82" t="s">
        <v>12632</v>
      </c>
      <c r="T1537" s="138">
        <v>7.0</v>
      </c>
      <c r="U1537" s="341">
        <v>6.0</v>
      </c>
      <c r="V1537" s="106">
        <v>0.0</v>
      </c>
      <c r="W1537" s="107">
        <v>0.0</v>
      </c>
      <c r="X1537" s="107">
        <v>0.0</v>
      </c>
      <c r="Y1537" s="107">
        <v>0.0</v>
      </c>
      <c r="Z1537" s="80">
        <v>0.0</v>
      </c>
      <c r="AA1537" s="140">
        <v>0.0</v>
      </c>
      <c r="AB1537" s="109">
        <v>0.0</v>
      </c>
      <c r="AC1537" s="109">
        <v>0.0</v>
      </c>
      <c r="AD1537" s="141">
        <v>0.0</v>
      </c>
      <c r="AE1537" s="80">
        <v>0.0</v>
      </c>
      <c r="AF1537" s="140">
        <v>0.0</v>
      </c>
      <c r="AG1537" s="109">
        <v>0.0</v>
      </c>
      <c r="AH1537" s="109">
        <v>0.0</v>
      </c>
      <c r="AI1537" s="141">
        <v>47.0</v>
      </c>
      <c r="AJ1537" s="80">
        <v>47.0</v>
      </c>
      <c r="AK1537" s="140">
        <v>0.0</v>
      </c>
      <c r="AL1537" s="109">
        <v>0.0</v>
      </c>
      <c r="AM1537" s="141">
        <v>0.0</v>
      </c>
      <c r="AN1537" s="80">
        <v>0.0</v>
      </c>
      <c r="AO1537" s="140">
        <v>0.0</v>
      </c>
      <c r="AP1537" s="109">
        <v>0.0</v>
      </c>
      <c r="AQ1537" s="109">
        <v>54.0</v>
      </c>
      <c r="AR1537" s="80">
        <v>54.0</v>
      </c>
      <c r="AS1537" s="110">
        <v>0.0</v>
      </c>
      <c r="AT1537" s="110">
        <v>0.0</v>
      </c>
      <c r="AU1537" s="110">
        <v>0.0</v>
      </c>
      <c r="AV1537" s="142">
        <v>0.0</v>
      </c>
      <c r="AW1537" s="80">
        <v>0.0</v>
      </c>
      <c r="AX1537" s="113">
        <v>101.0</v>
      </c>
      <c r="AY1537" s="117">
        <v>47.0</v>
      </c>
      <c r="AZ1537" s="328">
        <v>54.0</v>
      </c>
      <c r="BA1537" s="315">
        <v>0.0</v>
      </c>
      <c r="BB1537" s="316">
        <v>101.0</v>
      </c>
      <c r="BC1537" s="132" t="s">
        <v>178</v>
      </c>
      <c r="BD1537" s="132" t="s">
        <v>178</v>
      </c>
      <c r="BE1537" s="132" t="s">
        <v>178</v>
      </c>
      <c r="BF1537" s="156"/>
      <c r="BG1537" s="83">
        <v>1100558.0</v>
      </c>
      <c r="BH1537" s="112">
        <v>6.0</v>
      </c>
      <c r="BI1537" s="98" t="s">
        <v>155</v>
      </c>
      <c r="BJ1537" s="98" t="str">
        <f t="shared" si="1"/>
        <v>INTEGRAL</v>
      </c>
      <c r="BK1537" s="98" t="str">
        <f t="shared" si="2"/>
        <v>NÃO</v>
      </c>
    </row>
    <row r="1538" ht="15.75" customHeight="1">
      <c r="A1538" s="111" t="s">
        <v>1785</v>
      </c>
      <c r="B1538" s="83" t="s">
        <v>1994</v>
      </c>
      <c r="C1538" s="83" t="s">
        <v>68</v>
      </c>
      <c r="D1538" s="83">
        <v>1102216.0</v>
      </c>
      <c r="E1538" s="83"/>
      <c r="F1538" s="83">
        <v>2.9191084E7</v>
      </c>
      <c r="G1538" s="114" t="s">
        <v>2529</v>
      </c>
      <c r="H1538" s="91" t="s">
        <v>12633</v>
      </c>
      <c r="I1538" s="114" t="s">
        <v>12634</v>
      </c>
      <c r="J1538" s="83" t="s">
        <v>150</v>
      </c>
      <c r="K1538" s="83" t="s">
        <v>151</v>
      </c>
      <c r="L1538" s="83" t="s">
        <v>152</v>
      </c>
      <c r="M1538" s="82" t="s">
        <v>12635</v>
      </c>
      <c r="N1538" s="82" t="s">
        <v>12636</v>
      </c>
      <c r="O1538" s="82" t="s">
        <v>12637</v>
      </c>
      <c r="P1538" s="82" t="s">
        <v>12638</v>
      </c>
      <c r="Q1538" s="82" t="s">
        <v>12639</v>
      </c>
      <c r="R1538" s="82" t="s">
        <v>12640</v>
      </c>
      <c r="S1538" s="82" t="s">
        <v>12641</v>
      </c>
      <c r="T1538" s="138">
        <v>13.0</v>
      </c>
      <c r="U1538" s="341">
        <v>11.0</v>
      </c>
      <c r="V1538" s="106">
        <v>0.0</v>
      </c>
      <c r="W1538" s="107">
        <v>0.0</v>
      </c>
      <c r="X1538" s="107">
        <v>0.0</v>
      </c>
      <c r="Y1538" s="107">
        <v>0.0</v>
      </c>
      <c r="Z1538" s="80">
        <v>0.0</v>
      </c>
      <c r="AA1538" s="140">
        <v>0.0</v>
      </c>
      <c r="AB1538" s="109">
        <v>0.0</v>
      </c>
      <c r="AC1538" s="109">
        <v>0.0</v>
      </c>
      <c r="AD1538" s="141">
        <v>223.0</v>
      </c>
      <c r="AE1538" s="80">
        <v>223.0</v>
      </c>
      <c r="AF1538" s="140">
        <v>0.0</v>
      </c>
      <c r="AG1538" s="109">
        <v>0.0</v>
      </c>
      <c r="AH1538" s="109">
        <v>0.0</v>
      </c>
      <c r="AI1538" s="141">
        <v>0.0</v>
      </c>
      <c r="AJ1538" s="80">
        <v>0.0</v>
      </c>
      <c r="AK1538" s="140">
        <v>0.0</v>
      </c>
      <c r="AL1538" s="109">
        <v>0.0</v>
      </c>
      <c r="AM1538" s="141">
        <v>52.0</v>
      </c>
      <c r="AN1538" s="80">
        <v>52.0</v>
      </c>
      <c r="AO1538" s="140">
        <v>0.0</v>
      </c>
      <c r="AP1538" s="109">
        <v>0.0</v>
      </c>
      <c r="AQ1538" s="109">
        <v>0.0</v>
      </c>
      <c r="AR1538" s="80">
        <v>0.0</v>
      </c>
      <c r="AS1538" s="110">
        <v>0.0</v>
      </c>
      <c r="AT1538" s="110">
        <v>0.0</v>
      </c>
      <c r="AU1538" s="110">
        <v>0.0</v>
      </c>
      <c r="AV1538" s="142">
        <v>0.0</v>
      </c>
      <c r="AW1538" s="80">
        <v>0.0</v>
      </c>
      <c r="AX1538" s="113">
        <v>275.0</v>
      </c>
      <c r="AY1538" s="117">
        <v>223.0</v>
      </c>
      <c r="AZ1538" s="328">
        <v>52.0</v>
      </c>
      <c r="BA1538" s="315">
        <v>0.0</v>
      </c>
      <c r="BB1538" s="316">
        <v>275.0</v>
      </c>
      <c r="BC1538" s="132" t="s">
        <v>178</v>
      </c>
      <c r="BD1538" s="132" t="s">
        <v>178</v>
      </c>
      <c r="BE1538" s="132" t="s">
        <v>178</v>
      </c>
      <c r="BF1538" s="123"/>
      <c r="BG1538" s="83">
        <v>1102216.0</v>
      </c>
      <c r="BH1538" s="112">
        <v>11.0</v>
      </c>
      <c r="BI1538" s="98" t="s">
        <v>155</v>
      </c>
      <c r="BJ1538" s="98" t="str">
        <f t="shared" si="1"/>
        <v>INTEGRAL</v>
      </c>
      <c r="BK1538" s="98" t="str">
        <f t="shared" si="2"/>
        <v>NÃO</v>
      </c>
    </row>
    <row r="1539" ht="15.75" customHeight="1">
      <c r="A1539" s="111" t="s">
        <v>1785</v>
      </c>
      <c r="B1539" s="83" t="s">
        <v>1994</v>
      </c>
      <c r="C1539" s="83" t="s">
        <v>68</v>
      </c>
      <c r="D1539" s="83">
        <v>1176109.0</v>
      </c>
      <c r="E1539" s="83"/>
      <c r="F1539" s="83">
        <v>2.934316E7</v>
      </c>
      <c r="G1539" s="114" t="s">
        <v>12642</v>
      </c>
      <c r="H1539" s="91" t="s">
        <v>8403</v>
      </c>
      <c r="I1539" s="114" t="s">
        <v>8278</v>
      </c>
      <c r="J1539" s="83" t="s">
        <v>150</v>
      </c>
      <c r="K1539" s="83" t="s">
        <v>151</v>
      </c>
      <c r="L1539" s="83" t="s">
        <v>152</v>
      </c>
      <c r="M1539" s="82" t="s">
        <v>12643</v>
      </c>
      <c r="N1539" s="82" t="s">
        <v>12644</v>
      </c>
      <c r="O1539" s="82" t="s">
        <v>12645</v>
      </c>
      <c r="P1539" s="82" t="s">
        <v>12646</v>
      </c>
      <c r="Q1539" s="82" t="s">
        <v>12647</v>
      </c>
      <c r="R1539" s="82" t="s">
        <v>12648</v>
      </c>
      <c r="S1539" s="82" t="s">
        <v>12649</v>
      </c>
      <c r="T1539" s="138">
        <v>12.0</v>
      </c>
      <c r="U1539" s="341">
        <v>12.0</v>
      </c>
      <c r="V1539" s="106">
        <v>0.0</v>
      </c>
      <c r="W1539" s="107">
        <v>0.0</v>
      </c>
      <c r="X1539" s="107">
        <v>0.0</v>
      </c>
      <c r="Y1539" s="107">
        <v>0.0</v>
      </c>
      <c r="Z1539" s="80">
        <v>0.0</v>
      </c>
      <c r="AA1539" s="140">
        <v>0.0</v>
      </c>
      <c r="AB1539" s="109">
        <v>45.0</v>
      </c>
      <c r="AC1539" s="109">
        <v>0.0</v>
      </c>
      <c r="AD1539" s="141">
        <v>0.0</v>
      </c>
      <c r="AE1539" s="80">
        <v>45.0</v>
      </c>
      <c r="AF1539" s="140">
        <v>403.0</v>
      </c>
      <c r="AG1539" s="109">
        <v>161.0</v>
      </c>
      <c r="AH1539" s="109">
        <v>47.0</v>
      </c>
      <c r="AI1539" s="141">
        <v>0.0</v>
      </c>
      <c r="AJ1539" s="80">
        <v>611.0</v>
      </c>
      <c r="AK1539" s="140">
        <v>0.0</v>
      </c>
      <c r="AL1539" s="109">
        <v>0.0</v>
      </c>
      <c r="AM1539" s="141">
        <v>0.0</v>
      </c>
      <c r="AN1539" s="80">
        <v>0.0</v>
      </c>
      <c r="AO1539" s="140">
        <v>0.0</v>
      </c>
      <c r="AP1539" s="109">
        <v>0.0</v>
      </c>
      <c r="AQ1539" s="109">
        <v>102.0</v>
      </c>
      <c r="AR1539" s="80">
        <v>102.0</v>
      </c>
      <c r="AS1539" s="110">
        <v>0.0</v>
      </c>
      <c r="AT1539" s="110">
        <v>0.0</v>
      </c>
      <c r="AU1539" s="110">
        <v>0.0</v>
      </c>
      <c r="AV1539" s="142">
        <v>0.0</v>
      </c>
      <c r="AW1539" s="80">
        <v>0.0</v>
      </c>
      <c r="AX1539" s="113">
        <v>758.0</v>
      </c>
      <c r="AY1539" s="117">
        <v>609.0</v>
      </c>
      <c r="AZ1539" s="328">
        <v>149.0</v>
      </c>
      <c r="BA1539" s="315">
        <v>5.0</v>
      </c>
      <c r="BB1539" s="316">
        <v>763.0</v>
      </c>
      <c r="BC1539" s="132" t="s">
        <v>178</v>
      </c>
      <c r="BD1539" s="132" t="s">
        <v>178</v>
      </c>
      <c r="BE1539" s="132" t="s">
        <v>178</v>
      </c>
      <c r="BF1539" s="156"/>
      <c r="BG1539" s="83">
        <v>1176109.0</v>
      </c>
      <c r="BH1539" s="112">
        <v>12.0</v>
      </c>
      <c r="BI1539" s="98" t="s">
        <v>155</v>
      </c>
      <c r="BJ1539" s="98" t="str">
        <f t="shared" si="1"/>
        <v>NÃO</v>
      </c>
      <c r="BK1539" s="98" t="str">
        <f t="shared" si="2"/>
        <v>NÃO</v>
      </c>
    </row>
    <row r="1540" ht="15.75" customHeight="1">
      <c r="A1540" s="111" t="s">
        <v>1785</v>
      </c>
      <c r="B1540" s="83" t="s">
        <v>1994</v>
      </c>
      <c r="C1540" s="83" t="s">
        <v>68</v>
      </c>
      <c r="D1540" s="83">
        <v>1176095.0</v>
      </c>
      <c r="E1540" s="83"/>
      <c r="F1540" s="83">
        <v>2.9336473E7</v>
      </c>
      <c r="G1540" s="114" t="s">
        <v>12650</v>
      </c>
      <c r="H1540" s="91" t="s">
        <v>8406</v>
      </c>
      <c r="I1540" s="114" t="s">
        <v>8391</v>
      </c>
      <c r="J1540" s="83" t="s">
        <v>150</v>
      </c>
      <c r="K1540" s="83" t="s">
        <v>151</v>
      </c>
      <c r="L1540" s="83" t="s">
        <v>152</v>
      </c>
      <c r="M1540" s="82" t="s">
        <v>12651</v>
      </c>
      <c r="N1540" s="82" t="s">
        <v>12652</v>
      </c>
      <c r="O1540" s="82" t="s">
        <v>12653</v>
      </c>
      <c r="P1540" s="82" t="s">
        <v>12654</v>
      </c>
      <c r="Q1540" s="82" t="s">
        <v>12655</v>
      </c>
      <c r="R1540" s="82" t="s">
        <v>12656</v>
      </c>
      <c r="S1540" s="82" t="s">
        <v>12657</v>
      </c>
      <c r="T1540" s="138">
        <v>12.0</v>
      </c>
      <c r="U1540" s="341">
        <v>12.0</v>
      </c>
      <c r="V1540" s="106">
        <v>0.0</v>
      </c>
      <c r="W1540" s="107">
        <v>0.0</v>
      </c>
      <c r="X1540" s="107">
        <v>0.0</v>
      </c>
      <c r="Y1540" s="107">
        <v>0.0</v>
      </c>
      <c r="Z1540" s="80">
        <v>0.0</v>
      </c>
      <c r="AA1540" s="140">
        <v>265.0</v>
      </c>
      <c r="AB1540" s="109">
        <v>227.0</v>
      </c>
      <c r="AC1540" s="109">
        <v>0.0</v>
      </c>
      <c r="AD1540" s="141">
        <v>0.0</v>
      </c>
      <c r="AE1540" s="80">
        <v>492.0</v>
      </c>
      <c r="AF1540" s="140">
        <v>198.0</v>
      </c>
      <c r="AG1540" s="109">
        <v>182.0</v>
      </c>
      <c r="AH1540" s="109">
        <v>26.0</v>
      </c>
      <c r="AI1540" s="141">
        <v>0.0</v>
      </c>
      <c r="AJ1540" s="80">
        <v>406.0</v>
      </c>
      <c r="AK1540" s="140">
        <v>0.0</v>
      </c>
      <c r="AL1540" s="109">
        <v>0.0</v>
      </c>
      <c r="AM1540" s="141">
        <v>0.0</v>
      </c>
      <c r="AN1540" s="80">
        <v>0.0</v>
      </c>
      <c r="AO1540" s="140">
        <v>0.0</v>
      </c>
      <c r="AP1540" s="109">
        <v>0.0</v>
      </c>
      <c r="AQ1540" s="109">
        <v>54.0</v>
      </c>
      <c r="AR1540" s="80">
        <v>54.0</v>
      </c>
      <c r="AS1540" s="110">
        <v>0.0</v>
      </c>
      <c r="AT1540" s="110">
        <v>0.0</v>
      </c>
      <c r="AU1540" s="110">
        <v>0.0</v>
      </c>
      <c r="AV1540" s="142">
        <v>0.0</v>
      </c>
      <c r="AW1540" s="80">
        <v>0.0</v>
      </c>
      <c r="AX1540" s="113">
        <v>952.0</v>
      </c>
      <c r="AY1540" s="117">
        <v>872.0</v>
      </c>
      <c r="AZ1540" s="328">
        <v>80.0</v>
      </c>
      <c r="BA1540" s="315">
        <v>0.0</v>
      </c>
      <c r="BB1540" s="316">
        <v>952.0</v>
      </c>
      <c r="BC1540" s="132" t="s">
        <v>178</v>
      </c>
      <c r="BD1540" s="132" t="s">
        <v>178</v>
      </c>
      <c r="BE1540" s="132" t="s">
        <v>178</v>
      </c>
      <c r="BF1540" s="156"/>
      <c r="BG1540" s="83">
        <v>1176095.0</v>
      </c>
      <c r="BH1540" s="112">
        <v>12.0</v>
      </c>
      <c r="BI1540" s="98" t="s">
        <v>155</v>
      </c>
      <c r="BJ1540" s="98" t="str">
        <f t="shared" si="1"/>
        <v>NÃO</v>
      </c>
      <c r="BK1540" s="98" t="str">
        <f t="shared" si="2"/>
        <v>NÃO</v>
      </c>
    </row>
    <row r="1541" ht="15.75" customHeight="1">
      <c r="A1541" s="111" t="s">
        <v>1785</v>
      </c>
      <c r="B1541" s="83" t="s">
        <v>1994</v>
      </c>
      <c r="C1541" s="83" t="s">
        <v>68</v>
      </c>
      <c r="D1541" s="83">
        <v>1176720.0</v>
      </c>
      <c r="E1541" s="83"/>
      <c r="F1541" s="83">
        <v>2.9404371E7</v>
      </c>
      <c r="G1541" s="114" t="s">
        <v>8415</v>
      </c>
      <c r="H1541" s="91" t="s">
        <v>8416</v>
      </c>
      <c r="I1541" s="114" t="s">
        <v>8417</v>
      </c>
      <c r="J1541" s="83" t="s">
        <v>150</v>
      </c>
      <c r="K1541" s="83" t="s">
        <v>151</v>
      </c>
      <c r="L1541" s="83" t="s">
        <v>76</v>
      </c>
      <c r="M1541" s="82" t="s">
        <v>12658</v>
      </c>
      <c r="N1541" s="82" t="s">
        <v>12659</v>
      </c>
      <c r="O1541" s="82" t="s">
        <v>12660</v>
      </c>
      <c r="P1541" s="82" t="s">
        <v>12661</v>
      </c>
      <c r="Q1541" s="82"/>
      <c r="R1541" s="82"/>
      <c r="S1541" s="82" t="s">
        <v>12662</v>
      </c>
      <c r="T1541" s="138">
        <v>10.0</v>
      </c>
      <c r="U1541" s="340">
        <v>9.0</v>
      </c>
      <c r="V1541" s="106">
        <v>0.0</v>
      </c>
      <c r="W1541" s="107">
        <v>0.0</v>
      </c>
      <c r="X1541" s="107">
        <v>0.0</v>
      </c>
      <c r="Y1541" s="107">
        <v>0.0</v>
      </c>
      <c r="Z1541" s="80">
        <v>0.0</v>
      </c>
      <c r="AA1541" s="140">
        <v>0.0</v>
      </c>
      <c r="AB1541" s="109">
        <v>0.0</v>
      </c>
      <c r="AC1541" s="109">
        <v>0.0</v>
      </c>
      <c r="AD1541" s="141">
        <v>0.0</v>
      </c>
      <c r="AE1541" s="80">
        <v>0.0</v>
      </c>
      <c r="AF1541" s="140">
        <v>292.0</v>
      </c>
      <c r="AG1541" s="109">
        <v>133.0</v>
      </c>
      <c r="AH1541" s="109">
        <v>0.0</v>
      </c>
      <c r="AI1541" s="141">
        <v>0.0</v>
      </c>
      <c r="AJ1541" s="80">
        <v>425.0</v>
      </c>
      <c r="AK1541" s="140">
        <v>0.0</v>
      </c>
      <c r="AL1541" s="109">
        <v>0.0</v>
      </c>
      <c r="AM1541" s="141">
        <v>0.0</v>
      </c>
      <c r="AN1541" s="80">
        <v>0.0</v>
      </c>
      <c r="AO1541" s="140">
        <v>0.0</v>
      </c>
      <c r="AP1541" s="109">
        <v>0.0</v>
      </c>
      <c r="AQ1541" s="109">
        <v>0.0</v>
      </c>
      <c r="AR1541" s="80">
        <v>0.0</v>
      </c>
      <c r="AS1541" s="110">
        <v>0.0</v>
      </c>
      <c r="AT1541" s="110">
        <v>0.0</v>
      </c>
      <c r="AU1541" s="110">
        <v>0.0</v>
      </c>
      <c r="AV1541" s="142">
        <v>0.0</v>
      </c>
      <c r="AW1541" s="80">
        <v>0.0</v>
      </c>
      <c r="AX1541" s="113">
        <v>425.0</v>
      </c>
      <c r="AY1541" s="117">
        <v>425.0</v>
      </c>
      <c r="AZ1541" s="328">
        <v>0.0</v>
      </c>
      <c r="BA1541" s="315">
        <v>0.0</v>
      </c>
      <c r="BB1541" s="316">
        <v>425.0</v>
      </c>
      <c r="BC1541" s="132" t="s">
        <v>178</v>
      </c>
      <c r="BD1541" s="132" t="s">
        <v>178</v>
      </c>
      <c r="BE1541" s="132" t="s">
        <v>178</v>
      </c>
      <c r="BF1541" s="123"/>
      <c r="BG1541" s="83">
        <v>1176720.0</v>
      </c>
      <c r="BH1541" s="112">
        <v>9.0</v>
      </c>
      <c r="BI1541" s="98" t="s">
        <v>155</v>
      </c>
      <c r="BJ1541" s="98" t="str">
        <f t="shared" si="1"/>
        <v>NÃO</v>
      </c>
      <c r="BK1541" s="98" t="str">
        <f t="shared" si="2"/>
        <v>NÃO</v>
      </c>
    </row>
    <row r="1542" ht="15.75" customHeight="1">
      <c r="A1542" s="111" t="s">
        <v>1785</v>
      </c>
      <c r="B1542" s="83" t="s">
        <v>1994</v>
      </c>
      <c r="C1542" s="83" t="s">
        <v>68</v>
      </c>
      <c r="D1542" s="83">
        <v>1104219.0</v>
      </c>
      <c r="E1542" s="83"/>
      <c r="F1542" s="83">
        <v>2.9187095E7</v>
      </c>
      <c r="G1542" s="114" t="s">
        <v>8419</v>
      </c>
      <c r="H1542" s="91" t="s">
        <v>8420</v>
      </c>
      <c r="I1542" s="114" t="s">
        <v>1288</v>
      </c>
      <c r="J1542" s="83" t="s">
        <v>150</v>
      </c>
      <c r="K1542" s="83" t="s">
        <v>151</v>
      </c>
      <c r="L1542" s="83" t="s">
        <v>76</v>
      </c>
      <c r="M1542" s="82" t="s">
        <v>12664</v>
      </c>
      <c r="N1542" s="82" t="s">
        <v>12665</v>
      </c>
      <c r="O1542" s="82" t="s">
        <v>12666</v>
      </c>
      <c r="P1542" s="82"/>
      <c r="Q1542" s="82"/>
      <c r="R1542" s="82"/>
      <c r="S1542" s="82" t="s">
        <v>12667</v>
      </c>
      <c r="T1542" s="138">
        <v>12.0</v>
      </c>
      <c r="U1542" s="341">
        <v>12.0</v>
      </c>
      <c r="V1542" s="106">
        <v>0.0</v>
      </c>
      <c r="W1542" s="107">
        <v>0.0</v>
      </c>
      <c r="X1542" s="107">
        <v>0.0</v>
      </c>
      <c r="Y1542" s="107">
        <v>0.0</v>
      </c>
      <c r="Z1542" s="80">
        <v>0.0</v>
      </c>
      <c r="AA1542" s="140">
        <v>109.0</v>
      </c>
      <c r="AB1542" s="109">
        <v>0.0</v>
      </c>
      <c r="AC1542" s="109">
        <v>0.0</v>
      </c>
      <c r="AD1542" s="141">
        <v>0.0</v>
      </c>
      <c r="AE1542" s="80">
        <v>109.0</v>
      </c>
      <c r="AF1542" s="140">
        <v>0.0</v>
      </c>
      <c r="AG1542" s="109">
        <v>0.0</v>
      </c>
      <c r="AH1542" s="109">
        <v>0.0</v>
      </c>
      <c r="AI1542" s="141">
        <v>0.0</v>
      </c>
      <c r="AJ1542" s="80">
        <v>0.0</v>
      </c>
      <c r="AK1542" s="140">
        <v>0.0</v>
      </c>
      <c r="AL1542" s="109">
        <v>0.0</v>
      </c>
      <c r="AM1542" s="141">
        <v>47.0</v>
      </c>
      <c r="AN1542" s="80">
        <v>47.0</v>
      </c>
      <c r="AO1542" s="140">
        <v>0.0</v>
      </c>
      <c r="AP1542" s="109">
        <v>0.0</v>
      </c>
      <c r="AQ1542" s="109">
        <v>93.0</v>
      </c>
      <c r="AR1542" s="80">
        <v>93.0</v>
      </c>
      <c r="AS1542" s="110">
        <v>0.0</v>
      </c>
      <c r="AT1542" s="110">
        <v>0.0</v>
      </c>
      <c r="AU1542" s="110">
        <v>0.0</v>
      </c>
      <c r="AV1542" s="142">
        <v>0.0</v>
      </c>
      <c r="AW1542" s="80">
        <v>0.0</v>
      </c>
      <c r="AX1542" s="113">
        <v>249.0</v>
      </c>
      <c r="AY1542" s="117">
        <v>109.0</v>
      </c>
      <c r="AZ1542" s="328">
        <v>140.0</v>
      </c>
      <c r="BA1542" s="315">
        <v>0.0</v>
      </c>
      <c r="BB1542" s="316">
        <v>249.0</v>
      </c>
      <c r="BC1542" s="132" t="s">
        <v>178</v>
      </c>
      <c r="BD1542" s="132" t="s">
        <v>178</v>
      </c>
      <c r="BE1542" s="132" t="s">
        <v>178</v>
      </c>
      <c r="BF1542" s="123"/>
      <c r="BG1542" s="83">
        <v>1104219.0</v>
      </c>
      <c r="BH1542" s="112">
        <v>12.0</v>
      </c>
      <c r="BI1542" s="98" t="s">
        <v>155</v>
      </c>
      <c r="BJ1542" s="98" t="str">
        <f t="shared" si="1"/>
        <v>NÃO</v>
      </c>
      <c r="BK1542" s="98" t="str">
        <f t="shared" si="2"/>
        <v>NÃO</v>
      </c>
    </row>
    <row r="1543" ht="15.75" customHeight="1">
      <c r="A1543" s="111" t="s">
        <v>1785</v>
      </c>
      <c r="B1543" s="83" t="s">
        <v>1994</v>
      </c>
      <c r="C1543" s="83" t="s">
        <v>68</v>
      </c>
      <c r="D1543" s="83">
        <v>1102232.0</v>
      </c>
      <c r="E1543" s="83"/>
      <c r="F1543" s="83">
        <v>2.9181526E7</v>
      </c>
      <c r="G1543" s="114" t="s">
        <v>12668</v>
      </c>
      <c r="H1543" s="91" t="s">
        <v>9132</v>
      </c>
      <c r="I1543" s="114" t="s">
        <v>8171</v>
      </c>
      <c r="J1543" s="83" t="s">
        <v>150</v>
      </c>
      <c r="K1543" s="83" t="s">
        <v>151</v>
      </c>
      <c r="L1543" s="83" t="s">
        <v>230</v>
      </c>
      <c r="M1543" s="82" t="s">
        <v>12669</v>
      </c>
      <c r="N1543" s="82" t="s">
        <v>12670</v>
      </c>
      <c r="O1543" s="82" t="s">
        <v>12671</v>
      </c>
      <c r="P1543" s="82" t="s">
        <v>12672</v>
      </c>
      <c r="Q1543" s="82" t="s">
        <v>12673</v>
      </c>
      <c r="R1543" s="82" t="s">
        <v>12674</v>
      </c>
      <c r="S1543" s="82" t="s">
        <v>12675</v>
      </c>
      <c r="T1543" s="138">
        <v>26.0</v>
      </c>
      <c r="U1543" s="341" t="s">
        <v>12676</v>
      </c>
      <c r="V1543" s="106">
        <v>0.0</v>
      </c>
      <c r="W1543" s="107">
        <v>0.0</v>
      </c>
      <c r="X1543" s="107">
        <v>0.0</v>
      </c>
      <c r="Y1543" s="107">
        <v>0.0</v>
      </c>
      <c r="Z1543" s="80">
        <v>0.0</v>
      </c>
      <c r="AA1543" s="140">
        <v>0.0</v>
      </c>
      <c r="AB1543" s="109">
        <v>0.0</v>
      </c>
      <c r="AC1543" s="109">
        <v>0.0</v>
      </c>
      <c r="AD1543" s="141">
        <v>0.0</v>
      </c>
      <c r="AE1543" s="80">
        <v>0.0</v>
      </c>
      <c r="AF1543" s="140">
        <v>950.0</v>
      </c>
      <c r="AG1543" s="109">
        <v>317.0</v>
      </c>
      <c r="AH1543" s="109">
        <v>52.0</v>
      </c>
      <c r="AI1543" s="141">
        <v>38.0</v>
      </c>
      <c r="AJ1543" s="80">
        <v>1357.0</v>
      </c>
      <c r="AK1543" s="140">
        <v>0.0</v>
      </c>
      <c r="AL1543" s="109">
        <v>0.0</v>
      </c>
      <c r="AM1543" s="141">
        <v>0.0</v>
      </c>
      <c r="AN1543" s="80">
        <v>0.0</v>
      </c>
      <c r="AO1543" s="140">
        <v>0.0</v>
      </c>
      <c r="AP1543" s="109">
        <v>0.0</v>
      </c>
      <c r="AQ1543" s="109">
        <v>139.0</v>
      </c>
      <c r="AR1543" s="80">
        <v>139.0</v>
      </c>
      <c r="AS1543" s="110">
        <v>0.0</v>
      </c>
      <c r="AT1543" s="110">
        <v>184.0</v>
      </c>
      <c r="AU1543" s="110">
        <v>110.0</v>
      </c>
      <c r="AV1543" s="142">
        <v>0.0</v>
      </c>
      <c r="AW1543" s="80">
        <v>294.0</v>
      </c>
      <c r="AX1543" s="113">
        <v>1790.0</v>
      </c>
      <c r="AY1543" s="117">
        <v>1489.0</v>
      </c>
      <c r="AZ1543" s="328">
        <v>301.0</v>
      </c>
      <c r="BA1543" s="315">
        <v>0.0</v>
      </c>
      <c r="BB1543" s="316">
        <v>1790.0</v>
      </c>
      <c r="BC1543" s="132" t="s">
        <v>178</v>
      </c>
      <c r="BD1543" s="132" t="s">
        <v>178</v>
      </c>
      <c r="BE1543" s="132" t="s">
        <v>178</v>
      </c>
      <c r="BF1543" s="123"/>
      <c r="BG1543" s="83">
        <v>1102232.0</v>
      </c>
      <c r="BH1543" s="112">
        <v>23.0</v>
      </c>
      <c r="BI1543" s="98" t="s">
        <v>155</v>
      </c>
      <c r="BJ1543" s="98" t="str">
        <f t="shared" si="1"/>
        <v>INTEGRAL</v>
      </c>
      <c r="BK1543" s="98" t="str">
        <f t="shared" si="2"/>
        <v>PROFISSIONAL</v>
      </c>
    </row>
    <row r="1544" ht="15.75" customHeight="1">
      <c r="A1544" s="111" t="s">
        <v>1785</v>
      </c>
      <c r="B1544" s="83" t="s">
        <v>1994</v>
      </c>
      <c r="C1544" s="83" t="s">
        <v>68</v>
      </c>
      <c r="D1544" s="83">
        <v>1104677.0</v>
      </c>
      <c r="E1544" s="83"/>
      <c r="F1544" s="83">
        <v>2.918701E7</v>
      </c>
      <c r="G1544" s="114" t="s">
        <v>8425</v>
      </c>
      <c r="H1544" s="91" t="s">
        <v>8426</v>
      </c>
      <c r="I1544" s="114" t="s">
        <v>8272</v>
      </c>
      <c r="J1544" s="83" t="s">
        <v>150</v>
      </c>
      <c r="K1544" s="83" t="s">
        <v>151</v>
      </c>
      <c r="L1544" s="83" t="s">
        <v>152</v>
      </c>
      <c r="M1544" s="82" t="s">
        <v>12678</v>
      </c>
      <c r="N1544" s="82" t="s">
        <v>12679</v>
      </c>
      <c r="O1544" s="82" t="s">
        <v>12680</v>
      </c>
      <c r="P1544" s="82" t="s">
        <v>12681</v>
      </c>
      <c r="Q1544" s="82"/>
      <c r="R1544" s="82"/>
      <c r="S1544" s="82" t="s">
        <v>12682</v>
      </c>
      <c r="T1544" s="138">
        <v>13.0</v>
      </c>
      <c r="U1544" s="341" t="s">
        <v>12683</v>
      </c>
      <c r="V1544" s="106">
        <v>0.0</v>
      </c>
      <c r="W1544" s="107">
        <v>0.0</v>
      </c>
      <c r="X1544" s="107">
        <v>0.0</v>
      </c>
      <c r="Y1544" s="107">
        <v>0.0</v>
      </c>
      <c r="Z1544" s="80">
        <v>0.0</v>
      </c>
      <c r="AA1544" s="140">
        <v>140.0</v>
      </c>
      <c r="AB1544" s="109">
        <v>77.0</v>
      </c>
      <c r="AC1544" s="109">
        <v>0.0</v>
      </c>
      <c r="AD1544" s="141">
        <v>0.0</v>
      </c>
      <c r="AE1544" s="80">
        <v>217.0</v>
      </c>
      <c r="AF1544" s="140">
        <v>0.0</v>
      </c>
      <c r="AG1544" s="109">
        <v>0.0</v>
      </c>
      <c r="AH1544" s="109">
        <v>0.0</v>
      </c>
      <c r="AI1544" s="141">
        <v>0.0</v>
      </c>
      <c r="AJ1544" s="80">
        <v>0.0</v>
      </c>
      <c r="AK1544" s="140">
        <v>8.0</v>
      </c>
      <c r="AL1544" s="109">
        <v>0.0</v>
      </c>
      <c r="AM1544" s="141">
        <v>0.0</v>
      </c>
      <c r="AN1544" s="80">
        <v>8.0</v>
      </c>
      <c r="AO1544" s="140">
        <v>0.0</v>
      </c>
      <c r="AP1544" s="109">
        <v>0.0</v>
      </c>
      <c r="AQ1544" s="109">
        <v>0.0</v>
      </c>
      <c r="AR1544" s="80">
        <v>0.0</v>
      </c>
      <c r="AS1544" s="110">
        <v>0.0</v>
      </c>
      <c r="AT1544" s="110">
        <v>0.0</v>
      </c>
      <c r="AU1544" s="110">
        <v>0.0</v>
      </c>
      <c r="AV1544" s="142">
        <v>0.0</v>
      </c>
      <c r="AW1544" s="80">
        <v>0.0</v>
      </c>
      <c r="AX1544" s="113">
        <v>225.0</v>
      </c>
      <c r="AY1544" s="117">
        <v>225.0</v>
      </c>
      <c r="AZ1544" s="328">
        <v>0.0</v>
      </c>
      <c r="BA1544" s="315">
        <v>0.0</v>
      </c>
      <c r="BB1544" s="316">
        <v>225.0</v>
      </c>
      <c r="BC1544" s="132" t="s">
        <v>178</v>
      </c>
      <c r="BD1544" s="132" t="s">
        <v>178</v>
      </c>
      <c r="BE1544" s="132" t="s">
        <v>178</v>
      </c>
      <c r="BF1544" s="156"/>
      <c r="BG1544" s="83">
        <v>1104677.0</v>
      </c>
      <c r="BH1544" s="112">
        <v>13.0</v>
      </c>
      <c r="BI1544" s="98" t="s">
        <v>155</v>
      </c>
      <c r="BJ1544" s="98" t="str">
        <f t="shared" si="1"/>
        <v>NÃO</v>
      </c>
      <c r="BK1544" s="98" t="str">
        <f t="shared" si="2"/>
        <v>NÃO</v>
      </c>
    </row>
    <row r="1545" ht="15.75" customHeight="1">
      <c r="A1545" s="111" t="s">
        <v>1785</v>
      </c>
      <c r="B1545" s="83" t="s">
        <v>1994</v>
      </c>
      <c r="C1545" s="83" t="s">
        <v>68</v>
      </c>
      <c r="D1545" s="83">
        <v>1104731.0</v>
      </c>
      <c r="E1545" s="83"/>
      <c r="F1545" s="83">
        <v>2.9187001E7</v>
      </c>
      <c r="G1545" s="114" t="s">
        <v>8428</v>
      </c>
      <c r="H1545" s="91" t="s">
        <v>8429</v>
      </c>
      <c r="I1545" s="114" t="s">
        <v>8294</v>
      </c>
      <c r="J1545" s="83" t="s">
        <v>150</v>
      </c>
      <c r="K1545" s="83" t="s">
        <v>151</v>
      </c>
      <c r="L1545" s="83" t="s">
        <v>152</v>
      </c>
      <c r="M1545" s="82" t="s">
        <v>12684</v>
      </c>
      <c r="N1545" s="82" t="s">
        <v>12685</v>
      </c>
      <c r="O1545" s="82" t="s">
        <v>12686</v>
      </c>
      <c r="P1545" s="82" t="s">
        <v>12687</v>
      </c>
      <c r="Q1545" s="82"/>
      <c r="R1545" s="82"/>
      <c r="S1545" s="82" t="s">
        <v>12688</v>
      </c>
      <c r="T1545" s="138">
        <v>12.0</v>
      </c>
      <c r="U1545" s="341">
        <v>12.0</v>
      </c>
      <c r="V1545" s="106">
        <v>0.0</v>
      </c>
      <c r="W1545" s="107">
        <v>0.0</v>
      </c>
      <c r="X1545" s="107">
        <v>0.0</v>
      </c>
      <c r="Y1545" s="107">
        <v>0.0</v>
      </c>
      <c r="Z1545" s="80">
        <v>0.0</v>
      </c>
      <c r="AA1545" s="140">
        <v>0.0</v>
      </c>
      <c r="AB1545" s="109">
        <v>0.0</v>
      </c>
      <c r="AC1545" s="109">
        <v>0.0</v>
      </c>
      <c r="AD1545" s="141">
        <v>0.0</v>
      </c>
      <c r="AE1545" s="80">
        <v>0.0</v>
      </c>
      <c r="AF1545" s="140">
        <v>379.0</v>
      </c>
      <c r="AG1545" s="109">
        <v>0.0</v>
      </c>
      <c r="AH1545" s="109">
        <v>0.0</v>
      </c>
      <c r="AI1545" s="141">
        <v>39.0</v>
      </c>
      <c r="AJ1545" s="80">
        <v>418.0</v>
      </c>
      <c r="AK1545" s="140">
        <v>0.0</v>
      </c>
      <c r="AL1545" s="109">
        <v>0.0</v>
      </c>
      <c r="AM1545" s="141">
        <v>0.0</v>
      </c>
      <c r="AN1545" s="80">
        <v>0.0</v>
      </c>
      <c r="AO1545" s="140">
        <v>0.0</v>
      </c>
      <c r="AP1545" s="109">
        <v>0.0</v>
      </c>
      <c r="AQ1545" s="109">
        <v>237.0</v>
      </c>
      <c r="AR1545" s="80">
        <v>237.0</v>
      </c>
      <c r="AS1545" s="110">
        <v>0.0</v>
      </c>
      <c r="AT1545" s="110">
        <v>0.0</v>
      </c>
      <c r="AU1545" s="110">
        <v>0.0</v>
      </c>
      <c r="AV1545" s="142">
        <v>0.0</v>
      </c>
      <c r="AW1545" s="80">
        <v>0.0</v>
      </c>
      <c r="AX1545" s="113">
        <v>655.0</v>
      </c>
      <c r="AY1545" s="117">
        <v>418.0</v>
      </c>
      <c r="AZ1545" s="328">
        <v>237.0</v>
      </c>
      <c r="BA1545" s="315">
        <v>21.0</v>
      </c>
      <c r="BB1545" s="316">
        <v>676.0</v>
      </c>
      <c r="BC1545" s="132" t="s">
        <v>178</v>
      </c>
      <c r="BD1545" s="132" t="s">
        <v>178</v>
      </c>
      <c r="BE1545" s="132" t="s">
        <v>178</v>
      </c>
      <c r="BF1545" s="156"/>
      <c r="BG1545" s="83">
        <v>1104731.0</v>
      </c>
      <c r="BH1545" s="112">
        <v>12.0</v>
      </c>
      <c r="BI1545" s="98" t="s">
        <v>155</v>
      </c>
      <c r="BJ1545" s="98" t="str">
        <f t="shared" si="1"/>
        <v>INTEGRAL</v>
      </c>
      <c r="BK1545" s="98" t="str">
        <f t="shared" si="2"/>
        <v>NÃO</v>
      </c>
    </row>
    <row r="1546" ht="15.75" customHeight="1">
      <c r="A1546" s="111" t="s">
        <v>1785</v>
      </c>
      <c r="B1546" s="83" t="s">
        <v>1994</v>
      </c>
      <c r="C1546" s="83" t="s">
        <v>68</v>
      </c>
      <c r="D1546" s="83">
        <v>1103662.0</v>
      </c>
      <c r="E1546" s="83"/>
      <c r="F1546" s="83">
        <v>2.9182239E7</v>
      </c>
      <c r="G1546" s="114" t="s">
        <v>12689</v>
      </c>
      <c r="H1546" s="91" t="s">
        <v>8702</v>
      </c>
      <c r="I1546" s="114" t="s">
        <v>8703</v>
      </c>
      <c r="J1546" s="83" t="s">
        <v>150</v>
      </c>
      <c r="K1546" s="83" t="s">
        <v>151</v>
      </c>
      <c r="L1546" s="83" t="s">
        <v>76</v>
      </c>
      <c r="M1546" s="82" t="s">
        <v>12690</v>
      </c>
      <c r="N1546" s="82" t="s">
        <v>12691</v>
      </c>
      <c r="O1546" s="82" t="s">
        <v>12692</v>
      </c>
      <c r="P1546" s="82" t="s">
        <v>12693</v>
      </c>
      <c r="Q1546" s="82"/>
      <c r="R1546" s="82"/>
      <c r="S1546" s="82" t="s">
        <v>12694</v>
      </c>
      <c r="T1546" s="138">
        <v>24.0</v>
      </c>
      <c r="U1546" s="341">
        <v>29.0</v>
      </c>
      <c r="V1546" s="106">
        <v>0.0</v>
      </c>
      <c r="W1546" s="107">
        <v>0.0</v>
      </c>
      <c r="X1546" s="107">
        <v>0.0</v>
      </c>
      <c r="Y1546" s="107">
        <v>0.0</v>
      </c>
      <c r="Z1546" s="80">
        <v>0.0</v>
      </c>
      <c r="AA1546" s="140">
        <v>52.0</v>
      </c>
      <c r="AB1546" s="109">
        <v>0.0</v>
      </c>
      <c r="AC1546" s="109">
        <v>0.0</v>
      </c>
      <c r="AD1546" s="141">
        <v>0.0</v>
      </c>
      <c r="AE1546" s="80">
        <v>52.0</v>
      </c>
      <c r="AF1546" s="140">
        <v>161.0</v>
      </c>
      <c r="AG1546" s="109">
        <v>0.0</v>
      </c>
      <c r="AH1546" s="109">
        <v>0.0</v>
      </c>
      <c r="AI1546" s="141">
        <v>0.0</v>
      </c>
      <c r="AJ1546" s="80">
        <v>161.0</v>
      </c>
      <c r="AK1546" s="140">
        <v>0.0</v>
      </c>
      <c r="AL1546" s="109">
        <v>0.0</v>
      </c>
      <c r="AM1546" s="141">
        <v>0.0</v>
      </c>
      <c r="AN1546" s="80">
        <v>0.0</v>
      </c>
      <c r="AO1546" s="140">
        <v>0.0</v>
      </c>
      <c r="AP1546" s="109">
        <v>0.0</v>
      </c>
      <c r="AQ1546" s="109">
        <v>68.0</v>
      </c>
      <c r="AR1546" s="80">
        <v>68.0</v>
      </c>
      <c r="AS1546" s="110">
        <v>17.0</v>
      </c>
      <c r="AT1546" s="110">
        <v>0.0</v>
      </c>
      <c r="AU1546" s="110">
        <v>124.0</v>
      </c>
      <c r="AV1546" s="142">
        <v>0.0</v>
      </c>
      <c r="AW1546" s="80">
        <v>141.0</v>
      </c>
      <c r="AX1546" s="113">
        <v>422.0</v>
      </c>
      <c r="AY1546" s="117">
        <v>230.0</v>
      </c>
      <c r="AZ1546" s="328">
        <v>192.0</v>
      </c>
      <c r="BA1546" s="315">
        <v>0.0</v>
      </c>
      <c r="BB1546" s="316">
        <v>422.0</v>
      </c>
      <c r="BC1546" s="132" t="s">
        <v>178</v>
      </c>
      <c r="BD1546" s="132" t="s">
        <v>178</v>
      </c>
      <c r="BE1546" s="132" t="s">
        <v>178</v>
      </c>
      <c r="BF1546" s="156"/>
      <c r="BG1546" s="83">
        <v>1103662.0</v>
      </c>
      <c r="BH1546" s="112">
        <v>29.0</v>
      </c>
      <c r="BI1546" s="98" t="s">
        <v>155</v>
      </c>
      <c r="BJ1546" s="98" t="str">
        <f t="shared" si="1"/>
        <v>NÃO</v>
      </c>
      <c r="BK1546" s="98" t="str">
        <f t="shared" si="2"/>
        <v>PROFISSIONAL</v>
      </c>
    </row>
    <row r="1547" ht="15.75" customHeight="1">
      <c r="A1547" s="111" t="s">
        <v>1785</v>
      </c>
      <c r="B1547" s="83" t="s">
        <v>1994</v>
      </c>
      <c r="C1547" s="83" t="s">
        <v>68</v>
      </c>
      <c r="D1547" s="83">
        <v>1104626.0</v>
      </c>
      <c r="E1547" s="83"/>
      <c r="F1547" s="83">
        <v>2.9199026E7</v>
      </c>
      <c r="G1547" s="114" t="s">
        <v>8431</v>
      </c>
      <c r="H1547" s="91" t="s">
        <v>8432</v>
      </c>
      <c r="I1547" s="114" t="s">
        <v>8433</v>
      </c>
      <c r="J1547" s="83" t="s">
        <v>150</v>
      </c>
      <c r="K1547" s="83" t="s">
        <v>151</v>
      </c>
      <c r="L1547" s="83" t="s">
        <v>152</v>
      </c>
      <c r="M1547" s="82" t="s">
        <v>12695</v>
      </c>
      <c r="N1547" s="82" t="s">
        <v>12696</v>
      </c>
      <c r="O1547" s="82" t="s">
        <v>12697</v>
      </c>
      <c r="P1547" s="82" t="s">
        <v>12698</v>
      </c>
      <c r="Q1547" s="82"/>
      <c r="R1547" s="82"/>
      <c r="S1547" s="82" t="s">
        <v>12699</v>
      </c>
      <c r="T1547" s="138">
        <v>22.0</v>
      </c>
      <c r="U1547" s="341">
        <v>23.0</v>
      </c>
      <c r="V1547" s="106">
        <v>0.0</v>
      </c>
      <c r="W1547" s="107">
        <v>0.0</v>
      </c>
      <c r="X1547" s="107">
        <v>0.0</v>
      </c>
      <c r="Y1547" s="107">
        <v>0.0</v>
      </c>
      <c r="Z1547" s="80">
        <v>0.0</v>
      </c>
      <c r="AA1547" s="140">
        <v>0.0</v>
      </c>
      <c r="AB1547" s="109">
        <v>0.0</v>
      </c>
      <c r="AC1547" s="109">
        <v>0.0</v>
      </c>
      <c r="AD1547" s="141">
        <v>0.0</v>
      </c>
      <c r="AE1547" s="80">
        <v>0.0</v>
      </c>
      <c r="AF1547" s="140">
        <v>253.0</v>
      </c>
      <c r="AG1547" s="109">
        <v>51.0</v>
      </c>
      <c r="AH1547" s="109">
        <v>0.0</v>
      </c>
      <c r="AI1547" s="141">
        <v>0.0</v>
      </c>
      <c r="AJ1547" s="80">
        <v>304.0</v>
      </c>
      <c r="AK1547" s="140">
        <v>0.0</v>
      </c>
      <c r="AL1547" s="109">
        <v>0.0</v>
      </c>
      <c r="AM1547" s="141">
        <v>0.0</v>
      </c>
      <c r="AN1547" s="80">
        <v>0.0</v>
      </c>
      <c r="AO1547" s="140">
        <v>0.0</v>
      </c>
      <c r="AP1547" s="109">
        <v>0.0</v>
      </c>
      <c r="AQ1547" s="109">
        <v>108.0</v>
      </c>
      <c r="AR1547" s="80">
        <v>108.0</v>
      </c>
      <c r="AS1547" s="110">
        <v>0.0</v>
      </c>
      <c r="AT1547" s="110">
        <v>0.0</v>
      </c>
      <c r="AU1547" s="110">
        <v>0.0</v>
      </c>
      <c r="AV1547" s="142">
        <v>0.0</v>
      </c>
      <c r="AW1547" s="80">
        <v>0.0</v>
      </c>
      <c r="AX1547" s="113">
        <v>412.0</v>
      </c>
      <c r="AY1547" s="117">
        <v>304.0</v>
      </c>
      <c r="AZ1547" s="328">
        <v>108.0</v>
      </c>
      <c r="BA1547" s="315">
        <v>5.0</v>
      </c>
      <c r="BB1547" s="316">
        <v>417.0</v>
      </c>
      <c r="BC1547" s="132" t="s">
        <v>178</v>
      </c>
      <c r="BD1547" s="132" t="s">
        <v>178</v>
      </c>
      <c r="BE1547" s="132" t="s">
        <v>178</v>
      </c>
      <c r="BF1547" s="123"/>
      <c r="BG1547" s="83">
        <v>1104626.0</v>
      </c>
      <c r="BH1547" s="112">
        <v>23.0</v>
      </c>
      <c r="BI1547" s="98" t="s">
        <v>155</v>
      </c>
      <c r="BJ1547" s="98" t="str">
        <f t="shared" si="1"/>
        <v>NÃO</v>
      </c>
      <c r="BK1547" s="98" t="str">
        <f t="shared" si="2"/>
        <v>NÃO</v>
      </c>
    </row>
    <row r="1548" ht="15.75" customHeight="1">
      <c r="A1548" s="111" t="s">
        <v>1785</v>
      </c>
      <c r="B1548" s="83" t="s">
        <v>1994</v>
      </c>
      <c r="C1548" s="83" t="s">
        <v>68</v>
      </c>
      <c r="D1548" s="83">
        <v>1103565.0</v>
      </c>
      <c r="E1548" s="83"/>
      <c r="F1548" s="83">
        <v>2.9191041E7</v>
      </c>
      <c r="G1548" s="114" t="s">
        <v>12701</v>
      </c>
      <c r="H1548" s="91" t="s">
        <v>12702</v>
      </c>
      <c r="I1548" s="114" t="s">
        <v>8150</v>
      </c>
      <c r="J1548" s="83" t="s">
        <v>150</v>
      </c>
      <c r="K1548" s="83" t="s">
        <v>151</v>
      </c>
      <c r="L1548" s="83" t="s">
        <v>152</v>
      </c>
      <c r="M1548" s="82" t="s">
        <v>12703</v>
      </c>
      <c r="N1548" s="82" t="s">
        <v>12704</v>
      </c>
      <c r="O1548" s="82" t="s">
        <v>12705</v>
      </c>
      <c r="P1548" s="82" t="s">
        <v>12706</v>
      </c>
      <c r="Q1548" s="82" t="s">
        <v>12707</v>
      </c>
      <c r="R1548" s="82" t="s">
        <v>12708</v>
      </c>
      <c r="S1548" s="82" t="s">
        <v>12709</v>
      </c>
      <c r="T1548" s="138">
        <v>14.0</v>
      </c>
      <c r="U1548" s="387">
        <v>13.0</v>
      </c>
      <c r="V1548" s="106">
        <v>0.0</v>
      </c>
      <c r="W1548" s="107">
        <v>0.0</v>
      </c>
      <c r="X1548" s="107">
        <v>0.0</v>
      </c>
      <c r="Y1548" s="107">
        <v>0.0</v>
      </c>
      <c r="Z1548" s="80">
        <v>0.0</v>
      </c>
      <c r="AA1548" s="140">
        <v>0.0</v>
      </c>
      <c r="AB1548" s="109">
        <v>0.0</v>
      </c>
      <c r="AC1548" s="109">
        <v>0.0</v>
      </c>
      <c r="AD1548" s="141">
        <v>0.0</v>
      </c>
      <c r="AE1548" s="80">
        <v>0.0</v>
      </c>
      <c r="AF1548" s="140">
        <v>269.0</v>
      </c>
      <c r="AG1548" s="109">
        <v>72.0</v>
      </c>
      <c r="AH1548" s="109">
        <v>0.0</v>
      </c>
      <c r="AI1548" s="141">
        <v>0.0</v>
      </c>
      <c r="AJ1548" s="80">
        <v>341.0</v>
      </c>
      <c r="AK1548" s="140">
        <v>0.0</v>
      </c>
      <c r="AL1548" s="109">
        <v>0.0</v>
      </c>
      <c r="AM1548" s="141">
        <v>62.0</v>
      </c>
      <c r="AN1548" s="80">
        <v>62.0</v>
      </c>
      <c r="AO1548" s="140">
        <v>0.0</v>
      </c>
      <c r="AP1548" s="109">
        <v>0.0</v>
      </c>
      <c r="AQ1548" s="109">
        <v>75.0</v>
      </c>
      <c r="AR1548" s="80">
        <v>75.0</v>
      </c>
      <c r="AS1548" s="110">
        <v>0.0</v>
      </c>
      <c r="AT1548" s="110">
        <v>0.0</v>
      </c>
      <c r="AU1548" s="110">
        <v>0.0</v>
      </c>
      <c r="AV1548" s="142">
        <v>0.0</v>
      </c>
      <c r="AW1548" s="80">
        <v>0.0</v>
      </c>
      <c r="AX1548" s="113">
        <v>478.0</v>
      </c>
      <c r="AY1548" s="117">
        <v>341.0</v>
      </c>
      <c r="AZ1548" s="328">
        <v>137.0</v>
      </c>
      <c r="BA1548" s="315">
        <v>0.0</v>
      </c>
      <c r="BB1548" s="316">
        <v>478.0</v>
      </c>
      <c r="BC1548" s="132" t="s">
        <v>178</v>
      </c>
      <c r="BD1548" s="132" t="s">
        <v>178</v>
      </c>
      <c r="BE1548" s="132" t="s">
        <v>178</v>
      </c>
      <c r="BF1548" s="123"/>
      <c r="BG1548" s="83">
        <v>1103565.0</v>
      </c>
      <c r="BH1548" s="112">
        <v>13.0</v>
      </c>
      <c r="BI1548" s="98" t="s">
        <v>155</v>
      </c>
      <c r="BJ1548" s="98" t="str">
        <f t="shared" si="1"/>
        <v>NÃO</v>
      </c>
      <c r="BK1548" s="98" t="str">
        <f t="shared" si="2"/>
        <v>NÃO</v>
      </c>
    </row>
    <row r="1549" ht="15.75" customHeight="1">
      <c r="A1549" s="111" t="s">
        <v>1785</v>
      </c>
      <c r="B1549" s="83" t="s">
        <v>1994</v>
      </c>
      <c r="C1549" s="83" t="s">
        <v>68</v>
      </c>
      <c r="D1549" s="83">
        <v>1102348.0</v>
      </c>
      <c r="E1549" s="83"/>
      <c r="F1549" s="83">
        <v>2.9186935E7</v>
      </c>
      <c r="G1549" s="187" t="s">
        <v>12710</v>
      </c>
      <c r="H1549" s="91" t="s">
        <v>8437</v>
      </c>
      <c r="I1549" s="114" t="s">
        <v>8438</v>
      </c>
      <c r="J1549" s="83" t="s">
        <v>150</v>
      </c>
      <c r="K1549" s="83" t="s">
        <v>151</v>
      </c>
      <c r="L1549" s="83" t="s">
        <v>152</v>
      </c>
      <c r="M1549" s="82" t="s">
        <v>12711</v>
      </c>
      <c r="N1549" s="82" t="s">
        <v>12712</v>
      </c>
      <c r="O1549" s="82" t="s">
        <v>12713</v>
      </c>
      <c r="P1549" s="82" t="s">
        <v>12714</v>
      </c>
      <c r="Q1549" s="82" t="s">
        <v>12715</v>
      </c>
      <c r="R1549" s="82" t="s">
        <v>12716</v>
      </c>
      <c r="S1549" s="82" t="s">
        <v>12717</v>
      </c>
      <c r="T1549" s="138">
        <v>10.0</v>
      </c>
      <c r="U1549" s="387">
        <v>10.0</v>
      </c>
      <c r="V1549" s="106">
        <v>0.0</v>
      </c>
      <c r="W1549" s="107">
        <v>0.0</v>
      </c>
      <c r="X1549" s="107">
        <v>0.0</v>
      </c>
      <c r="Y1549" s="107">
        <v>0.0</v>
      </c>
      <c r="Z1549" s="80">
        <v>0.0</v>
      </c>
      <c r="AA1549" s="140">
        <v>216.0</v>
      </c>
      <c r="AB1549" s="109">
        <v>222.0</v>
      </c>
      <c r="AC1549" s="109">
        <v>0.0</v>
      </c>
      <c r="AD1549" s="141">
        <v>0.0</v>
      </c>
      <c r="AE1549" s="80">
        <v>438.0</v>
      </c>
      <c r="AF1549" s="140">
        <v>204.0</v>
      </c>
      <c r="AG1549" s="109">
        <v>106.0</v>
      </c>
      <c r="AH1549" s="109">
        <v>39.0</v>
      </c>
      <c r="AI1549" s="141">
        <v>0.0</v>
      </c>
      <c r="AJ1549" s="80">
        <v>349.0</v>
      </c>
      <c r="AK1549" s="140">
        <v>0.0</v>
      </c>
      <c r="AL1549" s="109">
        <v>0.0</v>
      </c>
      <c r="AM1549" s="141">
        <v>43.0</v>
      </c>
      <c r="AN1549" s="80">
        <v>43.0</v>
      </c>
      <c r="AO1549" s="140">
        <v>0.0</v>
      </c>
      <c r="AP1549" s="109">
        <v>0.0</v>
      </c>
      <c r="AQ1549" s="109">
        <v>100.0</v>
      </c>
      <c r="AR1549" s="80">
        <v>100.0</v>
      </c>
      <c r="AS1549" s="110">
        <v>0.0</v>
      </c>
      <c r="AT1549" s="110">
        <v>0.0</v>
      </c>
      <c r="AU1549" s="110">
        <v>0.0</v>
      </c>
      <c r="AV1549" s="142">
        <v>0.0</v>
      </c>
      <c r="AW1549" s="80">
        <v>0.0</v>
      </c>
      <c r="AX1549" s="113">
        <v>930.0</v>
      </c>
      <c r="AY1549" s="117">
        <v>748.0</v>
      </c>
      <c r="AZ1549" s="328">
        <v>182.0</v>
      </c>
      <c r="BA1549" s="315">
        <v>2.0</v>
      </c>
      <c r="BB1549" s="316">
        <v>932.0</v>
      </c>
      <c r="BC1549" s="132" t="s">
        <v>178</v>
      </c>
      <c r="BD1549" s="132" t="s">
        <v>178</v>
      </c>
      <c r="BE1549" s="132" t="s">
        <v>178</v>
      </c>
      <c r="BF1549" s="123"/>
      <c r="BG1549" s="83">
        <v>1102348.0</v>
      </c>
      <c r="BH1549" s="112">
        <v>10.0</v>
      </c>
      <c r="BI1549" s="98" t="s">
        <v>155</v>
      </c>
      <c r="BJ1549" s="98" t="str">
        <f t="shared" si="1"/>
        <v>NÃO</v>
      </c>
      <c r="BK1549" s="98" t="str">
        <f t="shared" si="2"/>
        <v>NÃO</v>
      </c>
    </row>
    <row r="1550" ht="15.75" customHeight="1">
      <c r="A1550" s="111" t="s">
        <v>1785</v>
      </c>
      <c r="B1550" s="83" t="s">
        <v>1994</v>
      </c>
      <c r="C1550" s="83" t="s">
        <v>68</v>
      </c>
      <c r="D1550" s="83">
        <v>1176387.0</v>
      </c>
      <c r="E1550" s="83"/>
      <c r="F1550" s="83">
        <v>2.9382017E7</v>
      </c>
      <c r="G1550" s="114" t="s">
        <v>12718</v>
      </c>
      <c r="H1550" s="91" t="s">
        <v>8441</v>
      </c>
      <c r="I1550" s="114" t="s">
        <v>8442</v>
      </c>
      <c r="J1550" s="83" t="s">
        <v>150</v>
      </c>
      <c r="K1550" s="83" t="s">
        <v>151</v>
      </c>
      <c r="L1550" s="83" t="s">
        <v>152</v>
      </c>
      <c r="M1550" s="82" t="s">
        <v>12719</v>
      </c>
      <c r="N1550" s="82" t="s">
        <v>12720</v>
      </c>
      <c r="O1550" s="82" t="s">
        <v>12721</v>
      </c>
      <c r="P1550" s="82" t="s">
        <v>12722</v>
      </c>
      <c r="Q1550" s="82"/>
      <c r="R1550" s="82"/>
      <c r="S1550" s="82" t="s">
        <v>12723</v>
      </c>
      <c r="T1550" s="138">
        <v>12.0</v>
      </c>
      <c r="U1550" s="341">
        <v>12.0</v>
      </c>
      <c r="V1550" s="106">
        <v>0.0</v>
      </c>
      <c r="W1550" s="107">
        <v>0.0</v>
      </c>
      <c r="X1550" s="107">
        <v>0.0</v>
      </c>
      <c r="Y1550" s="107">
        <v>0.0</v>
      </c>
      <c r="Z1550" s="80">
        <v>0.0</v>
      </c>
      <c r="AA1550" s="140">
        <v>210.0</v>
      </c>
      <c r="AB1550" s="109">
        <v>195.0</v>
      </c>
      <c r="AC1550" s="109">
        <v>0.0</v>
      </c>
      <c r="AD1550" s="141">
        <v>0.0</v>
      </c>
      <c r="AE1550" s="80">
        <v>405.0</v>
      </c>
      <c r="AF1550" s="140">
        <v>0.0</v>
      </c>
      <c r="AG1550" s="109">
        <v>0.0</v>
      </c>
      <c r="AH1550" s="109">
        <v>0.0</v>
      </c>
      <c r="AI1550" s="141">
        <v>150.0</v>
      </c>
      <c r="AJ1550" s="80">
        <v>150.0</v>
      </c>
      <c r="AK1550" s="140">
        <v>0.0</v>
      </c>
      <c r="AL1550" s="109">
        <v>0.0</v>
      </c>
      <c r="AM1550" s="141">
        <v>0.0</v>
      </c>
      <c r="AN1550" s="80">
        <v>0.0</v>
      </c>
      <c r="AO1550" s="140">
        <v>0.0</v>
      </c>
      <c r="AP1550" s="109">
        <v>0.0</v>
      </c>
      <c r="AQ1550" s="109">
        <v>57.0</v>
      </c>
      <c r="AR1550" s="80">
        <v>57.0</v>
      </c>
      <c r="AS1550" s="110">
        <v>0.0</v>
      </c>
      <c r="AT1550" s="110">
        <v>0.0</v>
      </c>
      <c r="AU1550" s="110">
        <v>0.0</v>
      </c>
      <c r="AV1550" s="142">
        <v>0.0</v>
      </c>
      <c r="AW1550" s="80">
        <v>0.0</v>
      </c>
      <c r="AX1550" s="113">
        <v>612.0</v>
      </c>
      <c r="AY1550" s="117">
        <v>555.0</v>
      </c>
      <c r="AZ1550" s="328">
        <v>57.0</v>
      </c>
      <c r="BA1550" s="315">
        <v>0.0</v>
      </c>
      <c r="BB1550" s="316">
        <v>612.0</v>
      </c>
      <c r="BC1550" s="132" t="s">
        <v>178</v>
      </c>
      <c r="BD1550" s="132" t="s">
        <v>178</v>
      </c>
      <c r="BE1550" s="132" t="s">
        <v>178</v>
      </c>
      <c r="BF1550" s="123"/>
      <c r="BG1550" s="83">
        <v>1176387.0</v>
      </c>
      <c r="BH1550" s="112">
        <v>12.0</v>
      </c>
      <c r="BI1550" s="98" t="s">
        <v>155</v>
      </c>
      <c r="BJ1550" s="98" t="str">
        <f t="shared" si="1"/>
        <v>INTEGRAL</v>
      </c>
      <c r="BK1550" s="98" t="str">
        <f t="shared" si="2"/>
        <v>NÃO</v>
      </c>
    </row>
    <row r="1551" ht="15.75" customHeight="1">
      <c r="A1551" s="111" t="s">
        <v>1785</v>
      </c>
      <c r="B1551" s="83" t="s">
        <v>1994</v>
      </c>
      <c r="C1551" s="83" t="s">
        <v>68</v>
      </c>
      <c r="D1551" s="83">
        <v>1104103.0</v>
      </c>
      <c r="E1551" s="83"/>
      <c r="F1551" s="83">
        <v>2.9194776E7</v>
      </c>
      <c r="G1551" s="114" t="s">
        <v>8444</v>
      </c>
      <c r="H1551" s="91" t="s">
        <v>8445</v>
      </c>
      <c r="I1551" s="114" t="s">
        <v>8446</v>
      </c>
      <c r="J1551" s="83" t="s">
        <v>150</v>
      </c>
      <c r="K1551" s="83" t="s">
        <v>8447</v>
      </c>
      <c r="L1551" s="83" t="s">
        <v>152</v>
      </c>
      <c r="M1551" s="82" t="s">
        <v>12724</v>
      </c>
      <c r="N1551" s="82" t="s">
        <v>12725</v>
      </c>
      <c r="O1551" s="82" t="s">
        <v>12726</v>
      </c>
      <c r="P1551" s="82" t="s">
        <v>12727</v>
      </c>
      <c r="Q1551" s="82" t="s">
        <v>12728</v>
      </c>
      <c r="R1551" s="82" t="s">
        <v>12729</v>
      </c>
      <c r="S1551" s="82" t="s">
        <v>12730</v>
      </c>
      <c r="T1551" s="138">
        <v>16.0</v>
      </c>
      <c r="U1551" s="341">
        <v>13.0</v>
      </c>
      <c r="V1551" s="106">
        <v>0.0</v>
      </c>
      <c r="W1551" s="107">
        <v>0.0</v>
      </c>
      <c r="X1551" s="107">
        <v>0.0</v>
      </c>
      <c r="Y1551" s="107">
        <v>0.0</v>
      </c>
      <c r="Z1551" s="80">
        <v>0.0</v>
      </c>
      <c r="AA1551" s="140">
        <v>122.0</v>
      </c>
      <c r="AB1551" s="109">
        <v>84.0</v>
      </c>
      <c r="AC1551" s="109">
        <v>0.0</v>
      </c>
      <c r="AD1551" s="141">
        <v>20.0</v>
      </c>
      <c r="AE1551" s="80">
        <v>226.0</v>
      </c>
      <c r="AF1551" s="140">
        <v>0.0</v>
      </c>
      <c r="AG1551" s="109">
        <v>0.0</v>
      </c>
      <c r="AH1551" s="109">
        <v>0.0</v>
      </c>
      <c r="AI1551" s="141">
        <v>0.0</v>
      </c>
      <c r="AJ1551" s="80">
        <v>0.0</v>
      </c>
      <c r="AK1551" s="140">
        <v>0.0</v>
      </c>
      <c r="AL1551" s="109">
        <v>0.0</v>
      </c>
      <c r="AM1551" s="141">
        <v>24.0</v>
      </c>
      <c r="AN1551" s="80">
        <v>24.0</v>
      </c>
      <c r="AO1551" s="140">
        <v>0.0</v>
      </c>
      <c r="AP1551" s="109">
        <v>0.0</v>
      </c>
      <c r="AQ1551" s="109">
        <v>0.0</v>
      </c>
      <c r="AR1551" s="80">
        <v>0.0</v>
      </c>
      <c r="AS1551" s="110">
        <v>0.0</v>
      </c>
      <c r="AT1551" s="110">
        <v>0.0</v>
      </c>
      <c r="AU1551" s="110">
        <v>0.0</v>
      </c>
      <c r="AV1551" s="142">
        <v>0.0</v>
      </c>
      <c r="AW1551" s="80">
        <v>0.0</v>
      </c>
      <c r="AX1551" s="113">
        <v>250.0</v>
      </c>
      <c r="AY1551" s="117">
        <v>226.0</v>
      </c>
      <c r="AZ1551" s="328">
        <v>24.0</v>
      </c>
      <c r="BA1551" s="315">
        <v>0.0</v>
      </c>
      <c r="BB1551" s="316">
        <v>250.0</v>
      </c>
      <c r="BC1551" s="132" t="s">
        <v>178</v>
      </c>
      <c r="BD1551" s="132" t="s">
        <v>178</v>
      </c>
      <c r="BE1551" s="132" t="s">
        <v>178</v>
      </c>
      <c r="BF1551" s="123"/>
      <c r="BG1551" s="83">
        <v>1104103.0</v>
      </c>
      <c r="BH1551" s="112">
        <v>13.0</v>
      </c>
      <c r="BI1551" s="98" t="s">
        <v>155</v>
      </c>
      <c r="BJ1551" s="98" t="str">
        <f t="shared" si="1"/>
        <v>INTEGRAL</v>
      </c>
      <c r="BK1551" s="98" t="str">
        <f t="shared" si="2"/>
        <v>NÃO</v>
      </c>
    </row>
    <row r="1552" ht="15.75" customHeight="1">
      <c r="A1552" s="111" t="s">
        <v>1785</v>
      </c>
      <c r="B1552" s="83" t="s">
        <v>1994</v>
      </c>
      <c r="C1552" s="83" t="s">
        <v>68</v>
      </c>
      <c r="D1552" s="83">
        <v>1104111.0</v>
      </c>
      <c r="E1552" s="83"/>
      <c r="F1552" s="83">
        <v>2.919475E7</v>
      </c>
      <c r="G1552" s="187" t="s">
        <v>12731</v>
      </c>
      <c r="H1552" s="91" t="s">
        <v>8451</v>
      </c>
      <c r="I1552" s="114" t="s">
        <v>8363</v>
      </c>
      <c r="J1552" s="83" t="s">
        <v>150</v>
      </c>
      <c r="K1552" s="83" t="s">
        <v>151</v>
      </c>
      <c r="L1552" s="83" t="s">
        <v>152</v>
      </c>
      <c r="M1552" s="82" t="s">
        <v>12732</v>
      </c>
      <c r="N1552" s="82" t="s">
        <v>12733</v>
      </c>
      <c r="O1552" s="82" t="s">
        <v>12734</v>
      </c>
      <c r="P1552" s="82" t="s">
        <v>12735</v>
      </c>
      <c r="Q1552" s="82"/>
      <c r="R1552" s="82"/>
      <c r="S1552" s="82" t="s">
        <v>12736</v>
      </c>
      <c r="T1552" s="138">
        <v>9.0</v>
      </c>
      <c r="U1552" s="341">
        <v>9.0</v>
      </c>
      <c r="V1552" s="106">
        <v>0.0</v>
      </c>
      <c r="W1552" s="107">
        <v>0.0</v>
      </c>
      <c r="X1552" s="107">
        <v>0.0</v>
      </c>
      <c r="Y1552" s="107">
        <v>0.0</v>
      </c>
      <c r="Z1552" s="80">
        <v>0.0</v>
      </c>
      <c r="AA1552" s="140">
        <v>0.0</v>
      </c>
      <c r="AB1552" s="109">
        <v>261.0</v>
      </c>
      <c r="AC1552" s="109">
        <v>0.0</v>
      </c>
      <c r="AD1552" s="141">
        <v>0.0</v>
      </c>
      <c r="AE1552" s="80">
        <v>261.0</v>
      </c>
      <c r="AF1552" s="140">
        <v>223.0</v>
      </c>
      <c r="AG1552" s="109">
        <v>0.0</v>
      </c>
      <c r="AH1552" s="109">
        <v>0.0</v>
      </c>
      <c r="AI1552" s="141">
        <v>0.0</v>
      </c>
      <c r="AJ1552" s="80">
        <v>223.0</v>
      </c>
      <c r="AK1552" s="140">
        <v>0.0</v>
      </c>
      <c r="AL1552" s="109">
        <v>0.0</v>
      </c>
      <c r="AM1552" s="141">
        <v>0.0</v>
      </c>
      <c r="AN1552" s="80">
        <v>0.0</v>
      </c>
      <c r="AO1552" s="140">
        <v>0.0</v>
      </c>
      <c r="AP1552" s="109">
        <v>0.0</v>
      </c>
      <c r="AQ1552" s="109">
        <v>118.0</v>
      </c>
      <c r="AR1552" s="80">
        <v>118.0</v>
      </c>
      <c r="AS1552" s="110">
        <v>0.0</v>
      </c>
      <c r="AT1552" s="110">
        <v>0.0</v>
      </c>
      <c r="AU1552" s="110">
        <v>0.0</v>
      </c>
      <c r="AV1552" s="142">
        <v>0.0</v>
      </c>
      <c r="AW1552" s="80">
        <v>0.0</v>
      </c>
      <c r="AX1552" s="113">
        <v>602.0</v>
      </c>
      <c r="AY1552" s="117">
        <v>484.0</v>
      </c>
      <c r="AZ1552" s="328">
        <v>118.0</v>
      </c>
      <c r="BA1552" s="315">
        <v>0.0</v>
      </c>
      <c r="BB1552" s="316">
        <v>602.0</v>
      </c>
      <c r="BC1552" s="132" t="s">
        <v>178</v>
      </c>
      <c r="BD1552" s="132" t="s">
        <v>178</v>
      </c>
      <c r="BE1552" s="132" t="s">
        <v>178</v>
      </c>
      <c r="BF1552" s="123"/>
      <c r="BG1552" s="83">
        <v>1104111.0</v>
      </c>
      <c r="BH1552" s="112">
        <v>9.0</v>
      </c>
      <c r="BI1552" s="98" t="s">
        <v>155</v>
      </c>
      <c r="BJ1552" s="98" t="str">
        <f t="shared" si="1"/>
        <v>NÃO</v>
      </c>
      <c r="BK1552" s="98" t="str">
        <f t="shared" si="2"/>
        <v>NÃO</v>
      </c>
    </row>
    <row r="1553" ht="15.75" customHeight="1">
      <c r="A1553" s="111" t="s">
        <v>1785</v>
      </c>
      <c r="B1553" s="83" t="s">
        <v>1994</v>
      </c>
      <c r="C1553" s="83" t="s">
        <v>68</v>
      </c>
      <c r="D1553" s="83">
        <v>1100701.0</v>
      </c>
      <c r="E1553" s="83"/>
      <c r="F1553" s="83">
        <v>2.919217E7</v>
      </c>
      <c r="G1553" s="114" t="s">
        <v>12738</v>
      </c>
      <c r="H1553" s="91" t="s">
        <v>8460</v>
      </c>
      <c r="I1553" s="114" t="s">
        <v>8461</v>
      </c>
      <c r="J1553" s="83" t="s">
        <v>150</v>
      </c>
      <c r="K1553" s="83" t="s">
        <v>151</v>
      </c>
      <c r="L1553" s="83" t="s">
        <v>76</v>
      </c>
      <c r="M1553" s="82" t="s">
        <v>12739</v>
      </c>
      <c r="N1553" s="82" t="s">
        <v>12740</v>
      </c>
      <c r="O1553" s="82" t="s">
        <v>12741</v>
      </c>
      <c r="P1553" s="82" t="s">
        <v>12742</v>
      </c>
      <c r="Q1553" s="82"/>
      <c r="R1553" s="82"/>
      <c r="S1553" s="82" t="s">
        <v>12743</v>
      </c>
      <c r="T1553" s="138">
        <v>10.0</v>
      </c>
      <c r="U1553" s="341">
        <v>10.0</v>
      </c>
      <c r="V1553" s="106">
        <v>0.0</v>
      </c>
      <c r="W1553" s="107">
        <v>0.0</v>
      </c>
      <c r="X1553" s="107">
        <v>0.0</v>
      </c>
      <c r="Y1553" s="107">
        <v>0.0</v>
      </c>
      <c r="Z1553" s="80">
        <v>0.0</v>
      </c>
      <c r="AA1553" s="140">
        <v>165.0</v>
      </c>
      <c r="AB1553" s="109">
        <v>0.0</v>
      </c>
      <c r="AC1553" s="109">
        <v>0.0</v>
      </c>
      <c r="AD1553" s="141">
        <v>67.0</v>
      </c>
      <c r="AE1553" s="80">
        <v>232.0</v>
      </c>
      <c r="AF1553" s="140">
        <v>0.0</v>
      </c>
      <c r="AG1553" s="109">
        <v>0.0</v>
      </c>
      <c r="AH1553" s="109">
        <v>0.0</v>
      </c>
      <c r="AI1553" s="141">
        <v>97.0</v>
      </c>
      <c r="AJ1553" s="80">
        <v>97.0</v>
      </c>
      <c r="AK1553" s="140">
        <v>0.0</v>
      </c>
      <c r="AL1553" s="109">
        <v>0.0</v>
      </c>
      <c r="AM1553" s="141">
        <v>0.0</v>
      </c>
      <c r="AN1553" s="80">
        <v>0.0</v>
      </c>
      <c r="AO1553" s="140">
        <v>0.0</v>
      </c>
      <c r="AP1553" s="109">
        <v>0.0</v>
      </c>
      <c r="AQ1553" s="109">
        <v>0.0</v>
      </c>
      <c r="AR1553" s="80">
        <v>0.0</v>
      </c>
      <c r="AS1553" s="110">
        <v>0.0</v>
      </c>
      <c r="AT1553" s="110">
        <v>0.0</v>
      </c>
      <c r="AU1553" s="110">
        <v>0.0</v>
      </c>
      <c r="AV1553" s="142">
        <v>0.0</v>
      </c>
      <c r="AW1553" s="80">
        <v>0.0</v>
      </c>
      <c r="AX1553" s="113">
        <v>329.0</v>
      </c>
      <c r="AY1553" s="117">
        <v>329.0</v>
      </c>
      <c r="AZ1553" s="328">
        <v>0.0</v>
      </c>
      <c r="BA1553" s="315">
        <v>1.0</v>
      </c>
      <c r="BB1553" s="316">
        <v>330.0</v>
      </c>
      <c r="BC1553" s="132" t="s">
        <v>178</v>
      </c>
      <c r="BD1553" s="132" t="s">
        <v>178</v>
      </c>
      <c r="BE1553" s="132" t="s">
        <v>178</v>
      </c>
      <c r="BF1553" s="123"/>
      <c r="BG1553" s="83">
        <v>1100701.0</v>
      </c>
      <c r="BH1553" s="112">
        <v>10.0</v>
      </c>
      <c r="BI1553" s="98" t="s">
        <v>155</v>
      </c>
      <c r="BJ1553" s="98" t="str">
        <f t="shared" si="1"/>
        <v>INTEGRAL</v>
      </c>
      <c r="BK1553" s="98" t="str">
        <f t="shared" si="2"/>
        <v>NÃO</v>
      </c>
    </row>
    <row r="1554" ht="15.75" customHeight="1">
      <c r="A1554" s="111" t="s">
        <v>1785</v>
      </c>
      <c r="B1554" s="83" t="s">
        <v>1994</v>
      </c>
      <c r="C1554" s="83" t="s">
        <v>68</v>
      </c>
      <c r="D1554" s="83">
        <v>1104596.0</v>
      </c>
      <c r="E1554" s="83"/>
      <c r="F1554" s="83">
        <v>2.9181534E7</v>
      </c>
      <c r="G1554" s="114" t="s">
        <v>12744</v>
      </c>
      <c r="H1554" s="91" t="s">
        <v>8711</v>
      </c>
      <c r="I1554" s="114" t="s">
        <v>8363</v>
      </c>
      <c r="J1554" s="83" t="s">
        <v>150</v>
      </c>
      <c r="K1554" s="83" t="s">
        <v>151</v>
      </c>
      <c r="L1554" s="83" t="s">
        <v>230</v>
      </c>
      <c r="M1554" s="82" t="s">
        <v>12745</v>
      </c>
      <c r="N1554" s="82" t="s">
        <v>12746</v>
      </c>
      <c r="O1554" s="82" t="s">
        <v>12747</v>
      </c>
      <c r="P1554" s="82" t="s">
        <v>12748</v>
      </c>
      <c r="Q1554" s="82" t="s">
        <v>12749</v>
      </c>
      <c r="R1554" s="82" t="s">
        <v>12750</v>
      </c>
      <c r="S1554" s="82" t="s">
        <v>12751</v>
      </c>
      <c r="T1554" s="138">
        <v>24.0</v>
      </c>
      <c r="U1554" s="341">
        <v>27.0</v>
      </c>
      <c r="V1554" s="106">
        <v>0.0</v>
      </c>
      <c r="W1554" s="107">
        <v>0.0</v>
      </c>
      <c r="X1554" s="107">
        <v>0.0</v>
      </c>
      <c r="Y1554" s="107">
        <v>0.0</v>
      </c>
      <c r="Z1554" s="80">
        <v>0.0</v>
      </c>
      <c r="AA1554" s="140">
        <v>0.0</v>
      </c>
      <c r="AB1554" s="109">
        <v>667.0</v>
      </c>
      <c r="AC1554" s="109">
        <v>0.0</v>
      </c>
      <c r="AD1554" s="141">
        <v>0.0</v>
      </c>
      <c r="AE1554" s="80">
        <v>667.0</v>
      </c>
      <c r="AF1554" s="140">
        <v>647.0</v>
      </c>
      <c r="AG1554" s="109">
        <v>0.0</v>
      </c>
      <c r="AH1554" s="109">
        <v>0.0</v>
      </c>
      <c r="AI1554" s="141">
        <v>65.0</v>
      </c>
      <c r="AJ1554" s="80">
        <v>712.0</v>
      </c>
      <c r="AK1554" s="140">
        <v>0.0</v>
      </c>
      <c r="AL1554" s="109">
        <v>39.0</v>
      </c>
      <c r="AM1554" s="141">
        <v>101.0</v>
      </c>
      <c r="AN1554" s="80">
        <v>140.0</v>
      </c>
      <c r="AO1554" s="140">
        <v>0.0</v>
      </c>
      <c r="AP1554" s="109">
        <v>0.0</v>
      </c>
      <c r="AQ1554" s="109">
        <v>183.0</v>
      </c>
      <c r="AR1554" s="80">
        <v>183.0</v>
      </c>
      <c r="AS1554" s="110">
        <v>77.0</v>
      </c>
      <c r="AT1554" s="110">
        <v>0.0</v>
      </c>
      <c r="AU1554" s="110">
        <v>0.0</v>
      </c>
      <c r="AV1554" s="142">
        <v>0.0</v>
      </c>
      <c r="AW1554" s="80">
        <v>77.0</v>
      </c>
      <c r="AX1554" s="113">
        <v>1779.0</v>
      </c>
      <c r="AY1554" s="117">
        <v>1495.0</v>
      </c>
      <c r="AZ1554" s="328">
        <v>284.0</v>
      </c>
      <c r="BA1554" s="315">
        <v>0.0</v>
      </c>
      <c r="BB1554" s="316">
        <v>1779.0</v>
      </c>
      <c r="BC1554" s="132" t="s">
        <v>178</v>
      </c>
      <c r="BD1554" s="132" t="s">
        <v>178</v>
      </c>
      <c r="BE1554" s="132" t="s">
        <v>178</v>
      </c>
      <c r="BF1554" s="123"/>
      <c r="BG1554" s="83">
        <v>1104596.0</v>
      </c>
      <c r="BH1554" s="112">
        <v>27.0</v>
      </c>
      <c r="BI1554" s="98" t="s">
        <v>155</v>
      </c>
      <c r="BJ1554" s="98" t="str">
        <f t="shared" si="1"/>
        <v>INTEGRAL</v>
      </c>
      <c r="BK1554" s="98" t="str">
        <f t="shared" si="2"/>
        <v>PROFISSIONAL</v>
      </c>
    </row>
    <row r="1555" ht="15.75" customHeight="1">
      <c r="A1555" s="111" t="s">
        <v>1785</v>
      </c>
      <c r="B1555" s="83" t="s">
        <v>1994</v>
      </c>
      <c r="C1555" s="83" t="s">
        <v>68</v>
      </c>
      <c r="D1555" s="83">
        <v>1146140.0</v>
      </c>
      <c r="E1555" s="83"/>
      <c r="F1555" s="83">
        <v>2.919993E7</v>
      </c>
      <c r="G1555" s="114" t="s">
        <v>12752</v>
      </c>
      <c r="H1555" s="91" t="s">
        <v>8464</v>
      </c>
      <c r="I1555" s="114" t="s">
        <v>8465</v>
      </c>
      <c r="J1555" s="83" t="s">
        <v>150</v>
      </c>
      <c r="K1555" s="83" t="s">
        <v>151</v>
      </c>
      <c r="L1555" s="83" t="s">
        <v>152</v>
      </c>
      <c r="M1555" s="82" t="s">
        <v>12753</v>
      </c>
      <c r="N1555" s="82" t="s">
        <v>12754</v>
      </c>
      <c r="O1555" s="82" t="s">
        <v>12755</v>
      </c>
      <c r="P1555" s="82" t="s">
        <v>12756</v>
      </c>
      <c r="Q1555" s="82" t="s">
        <v>12757</v>
      </c>
      <c r="R1555" s="82" t="s">
        <v>12758</v>
      </c>
      <c r="S1555" s="82" t="s">
        <v>12759</v>
      </c>
      <c r="T1555" s="138">
        <v>13.0</v>
      </c>
      <c r="U1555" s="341">
        <v>13.0</v>
      </c>
      <c r="V1555" s="106">
        <v>0.0</v>
      </c>
      <c r="W1555" s="107">
        <v>0.0</v>
      </c>
      <c r="X1555" s="107">
        <v>0.0</v>
      </c>
      <c r="Y1555" s="107">
        <v>0.0</v>
      </c>
      <c r="Z1555" s="80">
        <v>0.0</v>
      </c>
      <c r="AA1555" s="140">
        <v>0.0</v>
      </c>
      <c r="AB1555" s="109">
        <v>474.0</v>
      </c>
      <c r="AC1555" s="109">
        <v>0.0</v>
      </c>
      <c r="AD1555" s="141">
        <v>0.0</v>
      </c>
      <c r="AE1555" s="80">
        <v>474.0</v>
      </c>
      <c r="AF1555" s="140">
        <v>413.0</v>
      </c>
      <c r="AG1555" s="109">
        <v>0.0</v>
      </c>
      <c r="AH1555" s="109">
        <v>0.0</v>
      </c>
      <c r="AI1555" s="141">
        <v>0.0</v>
      </c>
      <c r="AJ1555" s="80">
        <v>413.0</v>
      </c>
      <c r="AK1555" s="140">
        <v>0.0</v>
      </c>
      <c r="AL1555" s="109">
        <v>0.0</v>
      </c>
      <c r="AM1555" s="141">
        <v>32.0</v>
      </c>
      <c r="AN1555" s="80">
        <v>32.0</v>
      </c>
      <c r="AO1555" s="140">
        <v>0.0</v>
      </c>
      <c r="AP1555" s="109">
        <v>0.0</v>
      </c>
      <c r="AQ1555" s="109">
        <v>140.0</v>
      </c>
      <c r="AR1555" s="80">
        <v>140.0</v>
      </c>
      <c r="AS1555" s="110">
        <v>0.0</v>
      </c>
      <c r="AT1555" s="110">
        <v>0.0</v>
      </c>
      <c r="AU1555" s="110">
        <v>0.0</v>
      </c>
      <c r="AV1555" s="142">
        <v>0.0</v>
      </c>
      <c r="AW1555" s="80">
        <v>0.0</v>
      </c>
      <c r="AX1555" s="113">
        <v>1059.0</v>
      </c>
      <c r="AY1555" s="117">
        <v>887.0</v>
      </c>
      <c r="AZ1555" s="328">
        <v>172.0</v>
      </c>
      <c r="BA1555" s="315">
        <v>0.0</v>
      </c>
      <c r="BB1555" s="316">
        <v>1059.0</v>
      </c>
      <c r="BC1555" s="132" t="s">
        <v>178</v>
      </c>
      <c r="BD1555" s="132" t="s">
        <v>178</v>
      </c>
      <c r="BE1555" s="132" t="s">
        <v>178</v>
      </c>
      <c r="BF1555" s="156"/>
      <c r="BG1555" s="83">
        <v>1146140.0</v>
      </c>
      <c r="BH1555" s="112">
        <v>13.0</v>
      </c>
      <c r="BI1555" s="98" t="s">
        <v>155</v>
      </c>
      <c r="BJ1555" s="98" t="str">
        <f t="shared" si="1"/>
        <v>NÃO</v>
      </c>
      <c r="BK1555" s="98" t="str">
        <f t="shared" si="2"/>
        <v>NÃO</v>
      </c>
    </row>
    <row r="1556" ht="15.75" customHeight="1">
      <c r="A1556" s="111" t="s">
        <v>1785</v>
      </c>
      <c r="B1556" s="83" t="s">
        <v>1994</v>
      </c>
      <c r="C1556" s="83" t="s">
        <v>68</v>
      </c>
      <c r="D1556" s="83">
        <v>1102640.0</v>
      </c>
      <c r="E1556" s="83"/>
      <c r="F1556" s="83">
        <v>2.9193966E7</v>
      </c>
      <c r="G1556" s="114" t="s">
        <v>12760</v>
      </c>
      <c r="H1556" s="91" t="s">
        <v>12761</v>
      </c>
      <c r="I1556" s="114" t="s">
        <v>8386</v>
      </c>
      <c r="J1556" s="83" t="s">
        <v>150</v>
      </c>
      <c r="K1556" s="83" t="s">
        <v>151</v>
      </c>
      <c r="L1556" s="83" t="s">
        <v>152</v>
      </c>
      <c r="M1556" s="82" t="s">
        <v>12762</v>
      </c>
      <c r="N1556" s="82" t="s">
        <v>12763</v>
      </c>
      <c r="O1556" s="82" t="s">
        <v>12764</v>
      </c>
      <c r="P1556" s="82" t="s">
        <v>12765</v>
      </c>
      <c r="Q1556" s="82" t="s">
        <v>12766</v>
      </c>
      <c r="R1556" s="82" t="s">
        <v>12767</v>
      </c>
      <c r="S1556" s="82" t="s">
        <v>12768</v>
      </c>
      <c r="T1556" s="138">
        <v>15.0</v>
      </c>
      <c r="U1556" s="341">
        <v>15.0</v>
      </c>
      <c r="V1556" s="106">
        <v>0.0</v>
      </c>
      <c r="W1556" s="107">
        <v>0.0</v>
      </c>
      <c r="X1556" s="107">
        <v>0.0</v>
      </c>
      <c r="Y1556" s="107">
        <v>0.0</v>
      </c>
      <c r="Z1556" s="80">
        <v>0.0</v>
      </c>
      <c r="AA1556" s="140">
        <v>362.0</v>
      </c>
      <c r="AB1556" s="109">
        <v>238.0</v>
      </c>
      <c r="AC1556" s="109">
        <v>0.0</v>
      </c>
      <c r="AD1556" s="141">
        <v>0.0</v>
      </c>
      <c r="AE1556" s="80">
        <v>600.0</v>
      </c>
      <c r="AF1556" s="140">
        <v>177.0</v>
      </c>
      <c r="AG1556" s="109">
        <v>117.0</v>
      </c>
      <c r="AH1556" s="109">
        <v>0.0</v>
      </c>
      <c r="AI1556" s="141">
        <v>0.0</v>
      </c>
      <c r="AJ1556" s="80">
        <v>294.0</v>
      </c>
      <c r="AK1556" s="140">
        <v>0.0</v>
      </c>
      <c r="AL1556" s="109">
        <v>0.0</v>
      </c>
      <c r="AM1556" s="141">
        <v>0.0</v>
      </c>
      <c r="AN1556" s="80">
        <v>0.0</v>
      </c>
      <c r="AO1556" s="140">
        <v>0.0</v>
      </c>
      <c r="AP1556" s="109">
        <v>0.0</v>
      </c>
      <c r="AQ1556" s="109">
        <v>0.0</v>
      </c>
      <c r="AR1556" s="80">
        <v>0.0</v>
      </c>
      <c r="AS1556" s="110">
        <v>0.0</v>
      </c>
      <c r="AT1556" s="110">
        <v>0.0</v>
      </c>
      <c r="AU1556" s="110">
        <v>0.0</v>
      </c>
      <c r="AV1556" s="142">
        <v>0.0</v>
      </c>
      <c r="AW1556" s="80">
        <v>0.0</v>
      </c>
      <c r="AX1556" s="113">
        <v>894.0</v>
      </c>
      <c r="AY1556" s="117">
        <v>894.0</v>
      </c>
      <c r="AZ1556" s="328">
        <v>0.0</v>
      </c>
      <c r="BA1556" s="315">
        <v>0.0</v>
      </c>
      <c r="BB1556" s="316">
        <v>894.0</v>
      </c>
      <c r="BC1556" s="132" t="s">
        <v>178</v>
      </c>
      <c r="BD1556" s="132" t="s">
        <v>178</v>
      </c>
      <c r="BE1556" s="132" t="s">
        <v>178</v>
      </c>
      <c r="BF1556" s="123"/>
      <c r="BG1556" s="83">
        <v>1102640.0</v>
      </c>
      <c r="BH1556" s="112">
        <v>15.0</v>
      </c>
      <c r="BI1556" s="98" t="s">
        <v>155</v>
      </c>
      <c r="BJ1556" s="98" t="str">
        <f t="shared" si="1"/>
        <v>NÃO</v>
      </c>
      <c r="BK1556" s="98" t="str">
        <f t="shared" si="2"/>
        <v>NÃO</v>
      </c>
    </row>
    <row r="1557" ht="15.75" customHeight="1">
      <c r="A1557" s="111" t="s">
        <v>1785</v>
      </c>
      <c r="B1557" s="83" t="s">
        <v>1994</v>
      </c>
      <c r="C1557" s="83" t="s">
        <v>68</v>
      </c>
      <c r="D1557" s="83">
        <v>1100426.0</v>
      </c>
      <c r="E1557" s="83"/>
      <c r="F1557" s="83">
        <v>2.919203E7</v>
      </c>
      <c r="G1557" s="114" t="s">
        <v>12769</v>
      </c>
      <c r="H1557" s="91" t="s">
        <v>8721</v>
      </c>
      <c r="I1557" s="114" t="s">
        <v>8158</v>
      </c>
      <c r="J1557" s="83" t="s">
        <v>150</v>
      </c>
      <c r="K1557" s="83" t="s">
        <v>151</v>
      </c>
      <c r="L1557" s="83" t="s">
        <v>152</v>
      </c>
      <c r="M1557" s="82" t="s">
        <v>12770</v>
      </c>
      <c r="N1557" s="82" t="s">
        <v>12771</v>
      </c>
      <c r="O1557" s="82" t="s">
        <v>12772</v>
      </c>
      <c r="P1557" s="82" t="s">
        <v>12773</v>
      </c>
      <c r="Q1557" s="82" t="s">
        <v>12774</v>
      </c>
      <c r="R1557" s="82" t="s">
        <v>12775</v>
      </c>
      <c r="S1557" s="82" t="s">
        <v>12776</v>
      </c>
      <c r="T1557" s="138">
        <v>25.0</v>
      </c>
      <c r="U1557" s="352" t="s">
        <v>12777</v>
      </c>
      <c r="V1557" s="106">
        <v>0.0</v>
      </c>
      <c r="W1557" s="107">
        <v>0.0</v>
      </c>
      <c r="X1557" s="107">
        <v>0.0</v>
      </c>
      <c r="Y1557" s="107">
        <v>0.0</v>
      </c>
      <c r="Z1557" s="80">
        <v>0.0</v>
      </c>
      <c r="AA1557" s="140">
        <v>0.0</v>
      </c>
      <c r="AB1557" s="109">
        <v>0.0</v>
      </c>
      <c r="AC1557" s="109">
        <v>0.0</v>
      </c>
      <c r="AD1557" s="141">
        <v>0.0</v>
      </c>
      <c r="AE1557" s="80">
        <v>0.0</v>
      </c>
      <c r="AF1557" s="140">
        <v>471.0</v>
      </c>
      <c r="AG1557" s="109">
        <v>0.0</v>
      </c>
      <c r="AH1557" s="109">
        <v>39.0</v>
      </c>
      <c r="AI1557" s="141">
        <v>53.0</v>
      </c>
      <c r="AJ1557" s="80">
        <v>563.0</v>
      </c>
      <c r="AK1557" s="140">
        <v>0.0</v>
      </c>
      <c r="AL1557" s="109">
        <v>0.0</v>
      </c>
      <c r="AM1557" s="141">
        <v>0.0</v>
      </c>
      <c r="AN1557" s="80">
        <v>0.0</v>
      </c>
      <c r="AO1557" s="140">
        <v>0.0</v>
      </c>
      <c r="AP1557" s="109">
        <v>0.0</v>
      </c>
      <c r="AQ1557" s="109">
        <v>157.0</v>
      </c>
      <c r="AR1557" s="80">
        <v>157.0</v>
      </c>
      <c r="AS1557" s="110">
        <v>0.0</v>
      </c>
      <c r="AT1557" s="110">
        <v>0.0</v>
      </c>
      <c r="AU1557" s="110">
        <v>0.0</v>
      </c>
      <c r="AV1557" s="142">
        <v>0.0</v>
      </c>
      <c r="AW1557" s="80">
        <v>0.0</v>
      </c>
      <c r="AX1557" s="113">
        <v>720.0</v>
      </c>
      <c r="AY1557" s="117">
        <v>524.0</v>
      </c>
      <c r="AZ1557" s="328">
        <v>196.0</v>
      </c>
      <c r="BA1557" s="315">
        <v>0.0</v>
      </c>
      <c r="BB1557" s="316">
        <v>720.0</v>
      </c>
      <c r="BC1557" s="132" t="s">
        <v>178</v>
      </c>
      <c r="BD1557" s="132" t="s">
        <v>178</v>
      </c>
      <c r="BE1557" s="132" t="s">
        <v>178</v>
      </c>
      <c r="BF1557" s="123"/>
      <c r="BG1557" s="83">
        <v>1100426.0</v>
      </c>
      <c r="BH1557" s="112">
        <v>23.0</v>
      </c>
      <c r="BI1557" s="98" t="s">
        <v>155</v>
      </c>
      <c r="BJ1557" s="98" t="str">
        <f t="shared" si="1"/>
        <v>INTEGRAL</v>
      </c>
      <c r="BK1557" s="98" t="str">
        <f t="shared" si="2"/>
        <v>NÃO</v>
      </c>
    </row>
    <row r="1558" ht="15.75" customHeight="1">
      <c r="A1558" s="111" t="s">
        <v>1785</v>
      </c>
      <c r="B1558" s="83" t="s">
        <v>1994</v>
      </c>
      <c r="C1558" s="83" t="s">
        <v>68</v>
      </c>
      <c r="D1558" s="83">
        <v>1172320.0</v>
      </c>
      <c r="E1558" s="83"/>
      <c r="F1558" s="83">
        <v>2.9192242E7</v>
      </c>
      <c r="G1558" s="114" t="s">
        <v>8475</v>
      </c>
      <c r="H1558" s="91" t="s">
        <v>8476</v>
      </c>
      <c r="I1558" s="114" t="s">
        <v>8477</v>
      </c>
      <c r="J1558" s="83" t="s">
        <v>150</v>
      </c>
      <c r="K1558" s="83" t="s">
        <v>151</v>
      </c>
      <c r="L1558" s="83" t="s">
        <v>169</v>
      </c>
      <c r="M1558" s="82" t="s">
        <v>12778</v>
      </c>
      <c r="N1558" s="82" t="s">
        <v>12779</v>
      </c>
      <c r="O1558" s="82"/>
      <c r="P1558" s="82"/>
      <c r="Q1558" s="82"/>
      <c r="R1558" s="82"/>
      <c r="S1558" s="82" t="s">
        <v>12780</v>
      </c>
      <c r="T1558" s="138">
        <v>12.0</v>
      </c>
      <c r="U1558" s="341">
        <v>12.0</v>
      </c>
      <c r="V1558" s="106">
        <v>0.0</v>
      </c>
      <c r="W1558" s="107">
        <v>0.0</v>
      </c>
      <c r="X1558" s="107">
        <v>0.0</v>
      </c>
      <c r="Y1558" s="107">
        <v>0.0</v>
      </c>
      <c r="Z1558" s="80">
        <v>0.0</v>
      </c>
      <c r="AA1558" s="140">
        <v>31.0</v>
      </c>
      <c r="AB1558" s="109">
        <v>0.0</v>
      </c>
      <c r="AC1558" s="109">
        <v>0.0</v>
      </c>
      <c r="AD1558" s="141">
        <v>31.0</v>
      </c>
      <c r="AE1558" s="80">
        <v>62.0</v>
      </c>
      <c r="AF1558" s="140">
        <v>0.0</v>
      </c>
      <c r="AG1558" s="109">
        <v>0.0</v>
      </c>
      <c r="AH1558" s="109">
        <v>0.0</v>
      </c>
      <c r="AI1558" s="141">
        <v>0.0</v>
      </c>
      <c r="AJ1558" s="80">
        <v>0.0</v>
      </c>
      <c r="AK1558" s="140">
        <v>0.0</v>
      </c>
      <c r="AL1558" s="109">
        <v>0.0</v>
      </c>
      <c r="AM1558" s="141">
        <v>12.0</v>
      </c>
      <c r="AN1558" s="80">
        <v>12.0</v>
      </c>
      <c r="AO1558" s="140">
        <v>0.0</v>
      </c>
      <c r="AP1558" s="109">
        <v>0.0</v>
      </c>
      <c r="AQ1558" s="109">
        <v>74.0</v>
      </c>
      <c r="AR1558" s="80">
        <v>74.0</v>
      </c>
      <c r="AS1558" s="110">
        <v>0.0</v>
      </c>
      <c r="AT1558" s="110">
        <v>0.0</v>
      </c>
      <c r="AU1558" s="110">
        <v>0.0</v>
      </c>
      <c r="AV1558" s="142">
        <v>0.0</v>
      </c>
      <c r="AW1558" s="80">
        <v>0.0</v>
      </c>
      <c r="AX1558" s="113">
        <v>148.0</v>
      </c>
      <c r="AY1558" s="117">
        <v>62.0</v>
      </c>
      <c r="AZ1558" s="328">
        <v>86.0</v>
      </c>
      <c r="BA1558" s="315">
        <v>0.0</v>
      </c>
      <c r="BB1558" s="316">
        <v>148.0</v>
      </c>
      <c r="BC1558" s="132" t="s">
        <v>178</v>
      </c>
      <c r="BD1558" s="132" t="s">
        <v>178</v>
      </c>
      <c r="BE1558" s="132" t="s">
        <v>178</v>
      </c>
      <c r="BF1558" s="123"/>
      <c r="BG1558" s="83">
        <v>1172320.0</v>
      </c>
      <c r="BH1558" s="112">
        <v>12.0</v>
      </c>
      <c r="BI1558" s="98" t="s">
        <v>155</v>
      </c>
      <c r="BJ1558" s="98" t="str">
        <f t="shared" si="1"/>
        <v>INTEGRAL</v>
      </c>
      <c r="BK1558" s="98" t="str">
        <f t="shared" si="2"/>
        <v>NÃO</v>
      </c>
    </row>
    <row r="1559" ht="15.75" customHeight="1">
      <c r="A1559" s="111" t="s">
        <v>1785</v>
      </c>
      <c r="B1559" s="83" t="s">
        <v>1994</v>
      </c>
      <c r="C1559" s="83" t="s">
        <v>68</v>
      </c>
      <c r="D1559" s="83">
        <v>1102852.0</v>
      </c>
      <c r="E1559" s="83"/>
      <c r="F1559" s="83">
        <v>2.9182204E7</v>
      </c>
      <c r="G1559" s="114" t="s">
        <v>8480</v>
      </c>
      <c r="H1559" s="91" t="s">
        <v>8481</v>
      </c>
      <c r="I1559" s="114" t="s">
        <v>8482</v>
      </c>
      <c r="J1559" s="83" t="s">
        <v>150</v>
      </c>
      <c r="K1559" s="83" t="s">
        <v>151</v>
      </c>
      <c r="L1559" s="83" t="s">
        <v>169</v>
      </c>
      <c r="M1559" s="82" t="s">
        <v>12781</v>
      </c>
      <c r="N1559" s="82" t="s">
        <v>12782</v>
      </c>
      <c r="O1559" s="82" t="s">
        <v>12783</v>
      </c>
      <c r="P1559" s="82" t="s">
        <v>12784</v>
      </c>
      <c r="Q1559" s="82"/>
      <c r="R1559" s="82"/>
      <c r="S1559" s="82" t="s">
        <v>12785</v>
      </c>
      <c r="T1559" s="138">
        <v>13.0</v>
      </c>
      <c r="U1559" s="341">
        <v>15.0</v>
      </c>
      <c r="V1559" s="106">
        <v>0.0</v>
      </c>
      <c r="W1559" s="107">
        <v>0.0</v>
      </c>
      <c r="X1559" s="107">
        <v>0.0</v>
      </c>
      <c r="Y1559" s="107">
        <v>0.0</v>
      </c>
      <c r="Z1559" s="80">
        <v>0.0</v>
      </c>
      <c r="AA1559" s="140">
        <v>0.0</v>
      </c>
      <c r="AB1559" s="109">
        <v>0.0</v>
      </c>
      <c r="AC1559" s="109">
        <v>0.0</v>
      </c>
      <c r="AD1559" s="141">
        <v>0.0</v>
      </c>
      <c r="AE1559" s="80">
        <v>0.0</v>
      </c>
      <c r="AF1559" s="140">
        <v>0.0</v>
      </c>
      <c r="AG1559" s="109">
        <v>0.0</v>
      </c>
      <c r="AH1559" s="109">
        <v>0.0</v>
      </c>
      <c r="AI1559" s="141">
        <v>104.0</v>
      </c>
      <c r="AJ1559" s="80">
        <v>104.0</v>
      </c>
      <c r="AK1559" s="140">
        <v>0.0</v>
      </c>
      <c r="AL1559" s="109">
        <v>0.0</v>
      </c>
      <c r="AM1559" s="141">
        <v>0.0</v>
      </c>
      <c r="AN1559" s="80">
        <v>0.0</v>
      </c>
      <c r="AO1559" s="140">
        <v>0.0</v>
      </c>
      <c r="AP1559" s="109">
        <v>0.0</v>
      </c>
      <c r="AQ1559" s="109">
        <v>0.0</v>
      </c>
      <c r="AR1559" s="80">
        <v>0.0</v>
      </c>
      <c r="AS1559" s="110">
        <v>0.0</v>
      </c>
      <c r="AT1559" s="110">
        <v>0.0</v>
      </c>
      <c r="AU1559" s="110">
        <v>0.0</v>
      </c>
      <c r="AV1559" s="142">
        <v>0.0</v>
      </c>
      <c r="AW1559" s="80">
        <v>0.0</v>
      </c>
      <c r="AX1559" s="113">
        <v>104.0</v>
      </c>
      <c r="AY1559" s="117">
        <v>104.0</v>
      </c>
      <c r="AZ1559" s="328">
        <v>0.0</v>
      </c>
      <c r="BA1559" s="315">
        <v>0.0</v>
      </c>
      <c r="BB1559" s="316">
        <v>104.0</v>
      </c>
      <c r="BC1559" s="132" t="s">
        <v>178</v>
      </c>
      <c r="BD1559" s="132" t="s">
        <v>178</v>
      </c>
      <c r="BE1559" s="132" t="s">
        <v>178</v>
      </c>
      <c r="BF1559" s="123"/>
      <c r="BG1559" s="83">
        <v>1102852.0</v>
      </c>
      <c r="BH1559" s="112">
        <v>15.0</v>
      </c>
      <c r="BI1559" s="98" t="s">
        <v>155</v>
      </c>
      <c r="BJ1559" s="98" t="str">
        <f t="shared" si="1"/>
        <v>INTEGRAL</v>
      </c>
      <c r="BK1559" s="98" t="str">
        <f t="shared" si="2"/>
        <v>NÃO</v>
      </c>
    </row>
    <row r="1560" ht="15.75" customHeight="1">
      <c r="A1560" s="111" t="s">
        <v>1785</v>
      </c>
      <c r="B1560" s="83" t="s">
        <v>1994</v>
      </c>
      <c r="C1560" s="83" t="s">
        <v>68</v>
      </c>
      <c r="D1560" s="83">
        <v>1102984.0</v>
      </c>
      <c r="E1560" s="83"/>
      <c r="F1560" s="83">
        <v>2.9193699E7</v>
      </c>
      <c r="G1560" s="114" t="s">
        <v>12786</v>
      </c>
      <c r="H1560" s="91" t="s">
        <v>8728</v>
      </c>
      <c r="I1560" s="114" t="s">
        <v>8545</v>
      </c>
      <c r="J1560" s="83" t="s">
        <v>150</v>
      </c>
      <c r="K1560" s="83" t="s">
        <v>151</v>
      </c>
      <c r="L1560" s="83" t="s">
        <v>76</v>
      </c>
      <c r="M1560" s="82" t="s">
        <v>12787</v>
      </c>
      <c r="N1560" s="82" t="s">
        <v>12788</v>
      </c>
      <c r="O1560" s="82" t="s">
        <v>12789</v>
      </c>
      <c r="P1560" s="82" t="s">
        <v>12790</v>
      </c>
      <c r="Q1560" s="82"/>
      <c r="R1560" s="82"/>
      <c r="S1560" s="82" t="s">
        <v>12791</v>
      </c>
      <c r="T1560" s="138">
        <v>8.0</v>
      </c>
      <c r="U1560" s="341">
        <v>9.0</v>
      </c>
      <c r="V1560" s="106">
        <v>0.0</v>
      </c>
      <c r="W1560" s="107">
        <v>0.0</v>
      </c>
      <c r="X1560" s="107">
        <v>0.0</v>
      </c>
      <c r="Y1560" s="107">
        <v>0.0</v>
      </c>
      <c r="Z1560" s="80">
        <v>0.0</v>
      </c>
      <c r="AA1560" s="140">
        <v>182.0</v>
      </c>
      <c r="AB1560" s="109">
        <v>60.0</v>
      </c>
      <c r="AC1560" s="109">
        <v>0.0</v>
      </c>
      <c r="AD1560" s="141">
        <v>0.0</v>
      </c>
      <c r="AE1560" s="80">
        <v>242.0</v>
      </c>
      <c r="AF1560" s="140">
        <v>82.0</v>
      </c>
      <c r="AG1560" s="109">
        <v>27.0</v>
      </c>
      <c r="AH1560" s="109">
        <v>0.0</v>
      </c>
      <c r="AI1560" s="141">
        <v>0.0</v>
      </c>
      <c r="AJ1560" s="80">
        <v>109.0</v>
      </c>
      <c r="AK1560" s="140">
        <v>0.0</v>
      </c>
      <c r="AL1560" s="109">
        <v>0.0</v>
      </c>
      <c r="AM1560" s="141">
        <v>73.0</v>
      </c>
      <c r="AN1560" s="80">
        <v>73.0</v>
      </c>
      <c r="AO1560" s="140">
        <v>0.0</v>
      </c>
      <c r="AP1560" s="109">
        <v>0.0</v>
      </c>
      <c r="AQ1560" s="109">
        <v>176.0</v>
      </c>
      <c r="AR1560" s="80">
        <v>176.0</v>
      </c>
      <c r="AS1560" s="110">
        <v>0.0</v>
      </c>
      <c r="AT1560" s="110">
        <v>0.0</v>
      </c>
      <c r="AU1560" s="110">
        <v>0.0</v>
      </c>
      <c r="AV1560" s="142">
        <v>0.0</v>
      </c>
      <c r="AW1560" s="80">
        <v>0.0</v>
      </c>
      <c r="AX1560" s="113">
        <v>600.0</v>
      </c>
      <c r="AY1560" s="117">
        <v>351.0</v>
      </c>
      <c r="AZ1560" s="328">
        <v>249.0</v>
      </c>
      <c r="BA1560" s="315">
        <v>0.0</v>
      </c>
      <c r="BB1560" s="316">
        <v>600.0</v>
      </c>
      <c r="BC1560" s="132" t="s">
        <v>178</v>
      </c>
      <c r="BD1560" s="132" t="s">
        <v>178</v>
      </c>
      <c r="BE1560" s="132" t="s">
        <v>178</v>
      </c>
      <c r="BF1560" s="156"/>
      <c r="BG1560" s="83">
        <v>1102984.0</v>
      </c>
      <c r="BH1560" s="112">
        <v>9.0</v>
      </c>
      <c r="BI1560" s="98" t="s">
        <v>155</v>
      </c>
      <c r="BJ1560" s="98" t="str">
        <f t="shared" si="1"/>
        <v>NÃO</v>
      </c>
      <c r="BK1560" s="98" t="str">
        <f t="shared" si="2"/>
        <v>NÃO</v>
      </c>
    </row>
    <row r="1561" ht="15.75" customHeight="1">
      <c r="A1561" s="111" t="s">
        <v>1785</v>
      </c>
      <c r="B1561" s="83" t="s">
        <v>1994</v>
      </c>
      <c r="C1561" s="83" t="s">
        <v>68</v>
      </c>
      <c r="D1561" s="83">
        <v>1102844.0</v>
      </c>
      <c r="E1561" s="83"/>
      <c r="F1561" s="83">
        <v>2.9185394E7</v>
      </c>
      <c r="G1561" s="114" t="s">
        <v>12793</v>
      </c>
      <c r="H1561" s="91" t="s">
        <v>8492</v>
      </c>
      <c r="I1561" s="114" t="s">
        <v>4828</v>
      </c>
      <c r="J1561" s="83" t="s">
        <v>150</v>
      </c>
      <c r="K1561" s="83" t="s">
        <v>151</v>
      </c>
      <c r="L1561" s="83" t="s">
        <v>152</v>
      </c>
      <c r="M1561" s="82" t="s">
        <v>12794</v>
      </c>
      <c r="N1561" s="82" t="s">
        <v>12795</v>
      </c>
      <c r="O1561" s="82" t="s">
        <v>12796</v>
      </c>
      <c r="P1561" s="82" t="s">
        <v>12797</v>
      </c>
      <c r="Q1561" s="82"/>
      <c r="R1561" s="82"/>
      <c r="S1561" s="82" t="s">
        <v>12798</v>
      </c>
      <c r="T1561" s="138">
        <v>25.0</v>
      </c>
      <c r="U1561" s="341">
        <v>24.0</v>
      </c>
      <c r="V1561" s="106">
        <v>0.0</v>
      </c>
      <c r="W1561" s="107">
        <v>0.0</v>
      </c>
      <c r="X1561" s="107">
        <v>0.0</v>
      </c>
      <c r="Y1561" s="107">
        <v>0.0</v>
      </c>
      <c r="Z1561" s="80">
        <v>0.0</v>
      </c>
      <c r="AA1561" s="140">
        <v>0.0</v>
      </c>
      <c r="AB1561" s="109">
        <v>0.0</v>
      </c>
      <c r="AC1561" s="109">
        <v>0.0</v>
      </c>
      <c r="AD1561" s="141">
        <v>0.0</v>
      </c>
      <c r="AE1561" s="80">
        <v>0.0</v>
      </c>
      <c r="AF1561" s="140">
        <v>737.0</v>
      </c>
      <c r="AG1561" s="109">
        <v>126.0</v>
      </c>
      <c r="AH1561" s="109">
        <v>0.0</v>
      </c>
      <c r="AI1561" s="141">
        <v>17.0</v>
      </c>
      <c r="AJ1561" s="80">
        <v>880.0</v>
      </c>
      <c r="AK1561" s="140">
        <v>0.0</v>
      </c>
      <c r="AL1561" s="109">
        <v>0.0</v>
      </c>
      <c r="AM1561" s="141">
        <v>0.0</v>
      </c>
      <c r="AN1561" s="80">
        <v>0.0</v>
      </c>
      <c r="AO1561" s="140">
        <v>0.0</v>
      </c>
      <c r="AP1561" s="109">
        <v>0.0</v>
      </c>
      <c r="AQ1561" s="109">
        <v>0.0</v>
      </c>
      <c r="AR1561" s="80">
        <v>0.0</v>
      </c>
      <c r="AS1561" s="110">
        <v>0.0</v>
      </c>
      <c r="AT1561" s="110">
        <v>0.0</v>
      </c>
      <c r="AU1561" s="110">
        <v>0.0</v>
      </c>
      <c r="AV1561" s="142">
        <v>0.0</v>
      </c>
      <c r="AW1561" s="80">
        <v>0.0</v>
      </c>
      <c r="AX1561" s="113">
        <v>880.0</v>
      </c>
      <c r="AY1561" s="117">
        <v>880.0</v>
      </c>
      <c r="AZ1561" s="328">
        <v>0.0</v>
      </c>
      <c r="BA1561" s="315">
        <v>1.0</v>
      </c>
      <c r="BB1561" s="316">
        <v>881.0</v>
      </c>
      <c r="BC1561" s="132" t="s">
        <v>178</v>
      </c>
      <c r="BD1561" s="132" t="s">
        <v>178</v>
      </c>
      <c r="BE1561" s="132" t="s">
        <v>178</v>
      </c>
      <c r="BF1561" s="123"/>
      <c r="BG1561" s="83">
        <v>1102844.0</v>
      </c>
      <c r="BH1561" s="112">
        <v>24.0</v>
      </c>
      <c r="BI1561" s="98" t="s">
        <v>155</v>
      </c>
      <c r="BJ1561" s="98" t="str">
        <f t="shared" si="1"/>
        <v>INTEGRAL</v>
      </c>
      <c r="BK1561" s="98" t="str">
        <f t="shared" si="2"/>
        <v>NÃO</v>
      </c>
    </row>
    <row r="1562" ht="15.75" customHeight="1">
      <c r="A1562" s="111" t="s">
        <v>1785</v>
      </c>
      <c r="B1562" s="83" t="s">
        <v>1994</v>
      </c>
      <c r="C1562" s="83" t="s">
        <v>68</v>
      </c>
      <c r="D1562" s="83">
        <v>1102747.0</v>
      </c>
      <c r="E1562" s="83"/>
      <c r="F1562" s="83">
        <v>2.9193567E7</v>
      </c>
      <c r="G1562" s="114" t="s">
        <v>12799</v>
      </c>
      <c r="H1562" s="91" t="s">
        <v>8495</v>
      </c>
      <c r="I1562" s="114" t="s">
        <v>8247</v>
      </c>
      <c r="J1562" s="83" t="s">
        <v>150</v>
      </c>
      <c r="K1562" s="83" t="s">
        <v>151</v>
      </c>
      <c r="L1562" s="83" t="s">
        <v>152</v>
      </c>
      <c r="M1562" s="82" t="s">
        <v>12800</v>
      </c>
      <c r="N1562" s="82" t="s">
        <v>12801</v>
      </c>
      <c r="O1562" s="82" t="s">
        <v>12802</v>
      </c>
      <c r="P1562" s="82" t="s">
        <v>12803</v>
      </c>
      <c r="Q1562" s="82" t="s">
        <v>12804</v>
      </c>
      <c r="R1562" s="82" t="s">
        <v>12805</v>
      </c>
      <c r="S1562" s="82" t="s">
        <v>12806</v>
      </c>
      <c r="T1562" s="138">
        <v>10.0</v>
      </c>
      <c r="U1562" s="612">
        <v>9.0</v>
      </c>
      <c r="V1562" s="106">
        <v>0.0</v>
      </c>
      <c r="W1562" s="107">
        <v>0.0</v>
      </c>
      <c r="X1562" s="107">
        <v>0.0</v>
      </c>
      <c r="Y1562" s="107">
        <v>0.0</v>
      </c>
      <c r="Z1562" s="80">
        <v>0.0</v>
      </c>
      <c r="AA1562" s="140">
        <v>77.0</v>
      </c>
      <c r="AB1562" s="109">
        <v>163.0</v>
      </c>
      <c r="AC1562" s="109">
        <v>0.0</v>
      </c>
      <c r="AD1562" s="141">
        <v>0.0</v>
      </c>
      <c r="AE1562" s="80">
        <v>240.0</v>
      </c>
      <c r="AF1562" s="140">
        <v>209.0</v>
      </c>
      <c r="AG1562" s="109">
        <v>0.0</v>
      </c>
      <c r="AH1562" s="109">
        <v>0.0</v>
      </c>
      <c r="AI1562" s="141">
        <v>0.0</v>
      </c>
      <c r="AJ1562" s="80">
        <v>209.0</v>
      </c>
      <c r="AK1562" s="140">
        <v>0.0</v>
      </c>
      <c r="AL1562" s="109">
        <v>0.0</v>
      </c>
      <c r="AM1562" s="141">
        <v>61.0</v>
      </c>
      <c r="AN1562" s="80">
        <v>61.0</v>
      </c>
      <c r="AO1562" s="140">
        <v>0.0</v>
      </c>
      <c r="AP1562" s="109">
        <v>0.0</v>
      </c>
      <c r="AQ1562" s="109">
        <v>194.0</v>
      </c>
      <c r="AR1562" s="80">
        <v>194.0</v>
      </c>
      <c r="AS1562" s="110">
        <v>0.0</v>
      </c>
      <c r="AT1562" s="110">
        <v>0.0</v>
      </c>
      <c r="AU1562" s="110">
        <v>0.0</v>
      </c>
      <c r="AV1562" s="142">
        <v>0.0</v>
      </c>
      <c r="AW1562" s="80">
        <v>0.0</v>
      </c>
      <c r="AX1562" s="113">
        <v>704.0</v>
      </c>
      <c r="AY1562" s="117">
        <v>449.0</v>
      </c>
      <c r="AZ1562" s="328">
        <v>255.0</v>
      </c>
      <c r="BA1562" s="315">
        <v>0.0</v>
      </c>
      <c r="BB1562" s="316">
        <v>704.0</v>
      </c>
      <c r="BC1562" s="132" t="s">
        <v>178</v>
      </c>
      <c r="BD1562" s="132" t="s">
        <v>178</v>
      </c>
      <c r="BE1562" s="132" t="s">
        <v>178</v>
      </c>
      <c r="BF1562" s="123"/>
      <c r="BG1562" s="83">
        <v>1102747.0</v>
      </c>
      <c r="BH1562" s="112">
        <v>9.0</v>
      </c>
      <c r="BI1562" s="98" t="s">
        <v>155</v>
      </c>
      <c r="BJ1562" s="98" t="str">
        <f t="shared" si="1"/>
        <v>NÃO</v>
      </c>
      <c r="BK1562" s="98" t="str">
        <f t="shared" si="2"/>
        <v>NÃO</v>
      </c>
    </row>
    <row r="1563" ht="15.75" customHeight="1">
      <c r="A1563" s="111" t="s">
        <v>1785</v>
      </c>
      <c r="B1563" s="83" t="s">
        <v>1994</v>
      </c>
      <c r="C1563" s="83" t="s">
        <v>68</v>
      </c>
      <c r="D1563" s="83">
        <v>1103107.0</v>
      </c>
      <c r="E1563" s="83"/>
      <c r="F1563" s="83">
        <v>2.9193532E7</v>
      </c>
      <c r="G1563" s="114" t="s">
        <v>12807</v>
      </c>
      <c r="H1563" s="91" t="s">
        <v>8498</v>
      </c>
      <c r="I1563" s="114" t="s">
        <v>8219</v>
      </c>
      <c r="J1563" s="83" t="s">
        <v>150</v>
      </c>
      <c r="K1563" s="83" t="s">
        <v>151</v>
      </c>
      <c r="L1563" s="83" t="s">
        <v>152</v>
      </c>
      <c r="M1563" s="82" t="s">
        <v>12808</v>
      </c>
      <c r="N1563" s="82" t="s">
        <v>12809</v>
      </c>
      <c r="O1563" s="82" t="s">
        <v>12810</v>
      </c>
      <c r="P1563" s="82" t="s">
        <v>12811</v>
      </c>
      <c r="Q1563" s="82"/>
      <c r="R1563" s="82"/>
      <c r="S1563" s="82" t="s">
        <v>12812</v>
      </c>
      <c r="T1563" s="138">
        <v>14.0</v>
      </c>
      <c r="U1563" s="341">
        <v>14.0</v>
      </c>
      <c r="V1563" s="106">
        <v>0.0</v>
      </c>
      <c r="W1563" s="107">
        <v>0.0</v>
      </c>
      <c r="X1563" s="107">
        <v>0.0</v>
      </c>
      <c r="Y1563" s="107">
        <v>0.0</v>
      </c>
      <c r="Z1563" s="80">
        <v>0.0</v>
      </c>
      <c r="AA1563" s="140">
        <v>383.0</v>
      </c>
      <c r="AB1563" s="109">
        <v>412.0</v>
      </c>
      <c r="AC1563" s="109">
        <v>0.0</v>
      </c>
      <c r="AD1563" s="141">
        <v>0.0</v>
      </c>
      <c r="AE1563" s="80">
        <v>795.0</v>
      </c>
      <c r="AF1563" s="140">
        <v>0.0</v>
      </c>
      <c r="AG1563" s="109">
        <v>0.0</v>
      </c>
      <c r="AH1563" s="109">
        <v>0.0</v>
      </c>
      <c r="AI1563" s="141">
        <v>0.0</v>
      </c>
      <c r="AJ1563" s="80">
        <v>0.0</v>
      </c>
      <c r="AK1563" s="140">
        <v>0.0</v>
      </c>
      <c r="AL1563" s="109">
        <v>0.0</v>
      </c>
      <c r="AM1563" s="141">
        <v>0.0</v>
      </c>
      <c r="AN1563" s="80">
        <v>0.0</v>
      </c>
      <c r="AO1563" s="140">
        <v>0.0</v>
      </c>
      <c r="AP1563" s="109">
        <v>0.0</v>
      </c>
      <c r="AQ1563" s="109">
        <v>0.0</v>
      </c>
      <c r="AR1563" s="80">
        <v>0.0</v>
      </c>
      <c r="AS1563" s="110">
        <v>0.0</v>
      </c>
      <c r="AT1563" s="110">
        <v>0.0</v>
      </c>
      <c r="AU1563" s="110">
        <v>0.0</v>
      </c>
      <c r="AV1563" s="142">
        <v>0.0</v>
      </c>
      <c r="AW1563" s="80">
        <v>0.0</v>
      </c>
      <c r="AX1563" s="113">
        <v>795.0</v>
      </c>
      <c r="AY1563" s="117">
        <v>795.0</v>
      </c>
      <c r="AZ1563" s="328">
        <v>0.0</v>
      </c>
      <c r="BA1563" s="315">
        <v>0.0</v>
      </c>
      <c r="BB1563" s="316">
        <v>795.0</v>
      </c>
      <c r="BC1563" s="132" t="s">
        <v>178</v>
      </c>
      <c r="BD1563" s="132" t="s">
        <v>178</v>
      </c>
      <c r="BE1563" s="132" t="s">
        <v>178</v>
      </c>
      <c r="BF1563" s="156"/>
      <c r="BG1563" s="83">
        <v>1103107.0</v>
      </c>
      <c r="BH1563" s="112">
        <v>14.0</v>
      </c>
      <c r="BI1563" s="98" t="s">
        <v>155</v>
      </c>
      <c r="BJ1563" s="98" t="str">
        <f t="shared" si="1"/>
        <v>NÃO</v>
      </c>
      <c r="BK1563" s="98" t="str">
        <f t="shared" si="2"/>
        <v>NÃO</v>
      </c>
    </row>
    <row r="1564" ht="15.75" customHeight="1">
      <c r="A1564" s="111" t="s">
        <v>1785</v>
      </c>
      <c r="B1564" s="83" t="s">
        <v>1994</v>
      </c>
      <c r="C1564" s="83" t="s">
        <v>68</v>
      </c>
      <c r="D1564" s="83">
        <v>1102704.0</v>
      </c>
      <c r="E1564" s="83"/>
      <c r="F1564" s="83">
        <v>2.9183987E7</v>
      </c>
      <c r="G1564" s="114" t="s">
        <v>12813</v>
      </c>
      <c r="H1564" s="91" t="s">
        <v>8501</v>
      </c>
      <c r="I1564" s="114" t="s">
        <v>8502</v>
      </c>
      <c r="J1564" s="83" t="s">
        <v>150</v>
      </c>
      <c r="K1564" s="83" t="s">
        <v>168</v>
      </c>
      <c r="L1564" s="83" t="s">
        <v>152</v>
      </c>
      <c r="M1564" s="82" t="s">
        <v>12814</v>
      </c>
      <c r="N1564" s="82" t="s">
        <v>12815</v>
      </c>
      <c r="O1564" s="82" t="s">
        <v>12816</v>
      </c>
      <c r="P1564" s="82" t="s">
        <v>12817</v>
      </c>
      <c r="Q1564" s="82"/>
      <c r="R1564" s="82"/>
      <c r="S1564" s="82" t="s">
        <v>12818</v>
      </c>
      <c r="T1564" s="138">
        <v>14.0</v>
      </c>
      <c r="U1564" s="341">
        <v>12.0</v>
      </c>
      <c r="V1564" s="106">
        <v>0.0</v>
      </c>
      <c r="W1564" s="107">
        <v>0.0</v>
      </c>
      <c r="X1564" s="107">
        <v>0.0</v>
      </c>
      <c r="Y1564" s="107">
        <v>0.0</v>
      </c>
      <c r="Z1564" s="80">
        <v>0.0</v>
      </c>
      <c r="AA1564" s="140">
        <v>113.0</v>
      </c>
      <c r="AB1564" s="109">
        <v>0.0</v>
      </c>
      <c r="AC1564" s="109">
        <v>0.0</v>
      </c>
      <c r="AD1564" s="141">
        <v>0.0</v>
      </c>
      <c r="AE1564" s="80">
        <v>113.0</v>
      </c>
      <c r="AF1564" s="140">
        <v>0.0</v>
      </c>
      <c r="AG1564" s="109">
        <v>0.0</v>
      </c>
      <c r="AH1564" s="109">
        <v>13.0</v>
      </c>
      <c r="AI1564" s="141">
        <v>157.0</v>
      </c>
      <c r="AJ1564" s="80">
        <v>170.0</v>
      </c>
      <c r="AK1564" s="140">
        <v>0.0</v>
      </c>
      <c r="AL1564" s="109">
        <v>0.0</v>
      </c>
      <c r="AM1564" s="141">
        <v>0.0</v>
      </c>
      <c r="AN1564" s="80">
        <v>0.0</v>
      </c>
      <c r="AO1564" s="140">
        <v>0.0</v>
      </c>
      <c r="AP1564" s="109">
        <v>0.0</v>
      </c>
      <c r="AQ1564" s="109">
        <v>34.0</v>
      </c>
      <c r="AR1564" s="80">
        <v>34.0</v>
      </c>
      <c r="AS1564" s="110">
        <v>0.0</v>
      </c>
      <c r="AT1564" s="110">
        <v>0.0</v>
      </c>
      <c r="AU1564" s="110">
        <v>0.0</v>
      </c>
      <c r="AV1564" s="142">
        <v>0.0</v>
      </c>
      <c r="AW1564" s="80">
        <v>0.0</v>
      </c>
      <c r="AX1564" s="113">
        <v>317.0</v>
      </c>
      <c r="AY1564" s="117">
        <v>270.0</v>
      </c>
      <c r="AZ1564" s="328">
        <v>47.0</v>
      </c>
      <c r="BA1564" s="315">
        <v>0.0</v>
      </c>
      <c r="BB1564" s="316">
        <v>317.0</v>
      </c>
      <c r="BC1564" s="132" t="s">
        <v>178</v>
      </c>
      <c r="BD1564" s="132" t="s">
        <v>178</v>
      </c>
      <c r="BE1564" s="132" t="s">
        <v>178</v>
      </c>
      <c r="BF1564" s="123"/>
      <c r="BG1564" s="83">
        <v>1102704.0</v>
      </c>
      <c r="BH1564" s="112">
        <v>12.0</v>
      </c>
      <c r="BI1564" s="98" t="s">
        <v>155</v>
      </c>
      <c r="BJ1564" s="98" t="str">
        <f t="shared" si="1"/>
        <v>INTEGRAL</v>
      </c>
      <c r="BK1564" s="98" t="str">
        <f t="shared" si="2"/>
        <v>NÃO</v>
      </c>
    </row>
    <row r="1565" ht="15.75" customHeight="1">
      <c r="A1565" s="111" t="s">
        <v>1785</v>
      </c>
      <c r="B1565" s="83" t="s">
        <v>1994</v>
      </c>
      <c r="C1565" s="83" t="s">
        <v>68</v>
      </c>
      <c r="D1565" s="83">
        <v>1102666.0</v>
      </c>
      <c r="E1565" s="83"/>
      <c r="F1565" s="83">
        <v>2.91815E7</v>
      </c>
      <c r="G1565" s="114" t="s">
        <v>12819</v>
      </c>
      <c r="H1565" s="91" t="s">
        <v>8731</v>
      </c>
      <c r="I1565" s="114" t="s">
        <v>8579</v>
      </c>
      <c r="J1565" s="83" t="s">
        <v>150</v>
      </c>
      <c r="K1565" s="83" t="s">
        <v>151</v>
      </c>
      <c r="L1565" s="83" t="s">
        <v>230</v>
      </c>
      <c r="M1565" s="82" t="s">
        <v>12820</v>
      </c>
      <c r="N1565" s="82" t="s">
        <v>12821</v>
      </c>
      <c r="O1565" s="82" t="s">
        <v>12822</v>
      </c>
      <c r="P1565" s="82" t="s">
        <v>12823</v>
      </c>
      <c r="Q1565" s="82"/>
      <c r="R1565" s="82"/>
      <c r="S1565" s="82" t="s">
        <v>12824</v>
      </c>
      <c r="T1565" s="138">
        <v>26.0</v>
      </c>
      <c r="U1565" s="341">
        <v>24.0</v>
      </c>
      <c r="V1565" s="106">
        <v>0.0</v>
      </c>
      <c r="W1565" s="107">
        <v>0.0</v>
      </c>
      <c r="X1565" s="107">
        <v>0.0</v>
      </c>
      <c r="Y1565" s="107">
        <v>0.0</v>
      </c>
      <c r="Z1565" s="80">
        <v>0.0</v>
      </c>
      <c r="AA1565" s="140">
        <v>0.0</v>
      </c>
      <c r="AB1565" s="109">
        <v>0.0</v>
      </c>
      <c r="AC1565" s="109">
        <v>0.0</v>
      </c>
      <c r="AD1565" s="141">
        <v>0.0</v>
      </c>
      <c r="AE1565" s="80">
        <v>0.0</v>
      </c>
      <c r="AF1565" s="140">
        <v>848.0</v>
      </c>
      <c r="AG1565" s="109">
        <v>335.0</v>
      </c>
      <c r="AH1565" s="109">
        <v>75.0</v>
      </c>
      <c r="AI1565" s="141">
        <v>0.0</v>
      </c>
      <c r="AJ1565" s="80">
        <v>1258.0</v>
      </c>
      <c r="AK1565" s="140">
        <v>0.0</v>
      </c>
      <c r="AL1565" s="109">
        <v>0.0</v>
      </c>
      <c r="AM1565" s="141">
        <v>0.0</v>
      </c>
      <c r="AN1565" s="80">
        <v>0.0</v>
      </c>
      <c r="AO1565" s="140">
        <v>0.0</v>
      </c>
      <c r="AP1565" s="109">
        <v>0.0</v>
      </c>
      <c r="AQ1565" s="109">
        <v>174.0</v>
      </c>
      <c r="AR1565" s="80">
        <v>174.0</v>
      </c>
      <c r="AS1565" s="110">
        <v>0.0</v>
      </c>
      <c r="AT1565" s="110">
        <v>0.0</v>
      </c>
      <c r="AU1565" s="110">
        <v>0.0</v>
      </c>
      <c r="AV1565" s="142">
        <v>0.0</v>
      </c>
      <c r="AW1565" s="80">
        <v>0.0</v>
      </c>
      <c r="AX1565" s="113">
        <v>1432.0</v>
      </c>
      <c r="AY1565" s="117">
        <v>1183.0</v>
      </c>
      <c r="AZ1565" s="328">
        <v>249.0</v>
      </c>
      <c r="BA1565" s="315">
        <v>0.0</v>
      </c>
      <c r="BB1565" s="316">
        <v>1432.0</v>
      </c>
      <c r="BC1565" s="132" t="s">
        <v>178</v>
      </c>
      <c r="BD1565" s="132" t="s">
        <v>178</v>
      </c>
      <c r="BE1565" s="132" t="s">
        <v>178</v>
      </c>
      <c r="BF1565" s="123"/>
      <c r="BG1565" s="83">
        <v>1102666.0</v>
      </c>
      <c r="BH1565" s="112">
        <v>24.0</v>
      </c>
      <c r="BI1565" s="98" t="s">
        <v>155</v>
      </c>
      <c r="BJ1565" s="98" t="str">
        <f t="shared" si="1"/>
        <v>NÃO</v>
      </c>
      <c r="BK1565" s="98" t="str">
        <f t="shared" si="2"/>
        <v>NÃO</v>
      </c>
    </row>
    <row r="1566" ht="15.75" customHeight="1">
      <c r="A1566" s="111" t="s">
        <v>1785</v>
      </c>
      <c r="B1566" s="83" t="s">
        <v>1994</v>
      </c>
      <c r="C1566" s="83" t="s">
        <v>68</v>
      </c>
      <c r="D1566" s="83">
        <v>1104898.0</v>
      </c>
      <c r="E1566" s="83"/>
      <c r="F1566" s="83">
        <v>2.9192021E7</v>
      </c>
      <c r="G1566" s="114" t="s">
        <v>8504</v>
      </c>
      <c r="H1566" s="91" t="s">
        <v>8505</v>
      </c>
      <c r="I1566" s="114" t="s">
        <v>8506</v>
      </c>
      <c r="J1566" s="83" t="s">
        <v>150</v>
      </c>
      <c r="K1566" s="83" t="s">
        <v>151</v>
      </c>
      <c r="L1566" s="83" t="s">
        <v>152</v>
      </c>
      <c r="M1566" s="82" t="s">
        <v>12825</v>
      </c>
      <c r="N1566" s="82" t="s">
        <v>12826</v>
      </c>
      <c r="O1566" s="82" t="s">
        <v>12827</v>
      </c>
      <c r="P1566" s="82" t="s">
        <v>12828</v>
      </c>
      <c r="Q1566" s="82" t="s">
        <v>12829</v>
      </c>
      <c r="R1566" s="82" t="s">
        <v>12830</v>
      </c>
      <c r="S1566" s="82" t="s">
        <v>12831</v>
      </c>
      <c r="T1566" s="138">
        <v>10.0</v>
      </c>
      <c r="U1566" s="341">
        <v>10.0</v>
      </c>
      <c r="V1566" s="106">
        <v>0.0</v>
      </c>
      <c r="W1566" s="107">
        <v>0.0</v>
      </c>
      <c r="X1566" s="107">
        <v>0.0</v>
      </c>
      <c r="Y1566" s="107">
        <v>0.0</v>
      </c>
      <c r="Z1566" s="80">
        <v>0.0</v>
      </c>
      <c r="AA1566" s="140">
        <v>0.0</v>
      </c>
      <c r="AB1566" s="109">
        <v>287.0</v>
      </c>
      <c r="AC1566" s="109">
        <v>0.0</v>
      </c>
      <c r="AD1566" s="141">
        <v>0.0</v>
      </c>
      <c r="AE1566" s="80">
        <v>287.0</v>
      </c>
      <c r="AF1566" s="140">
        <v>296.0</v>
      </c>
      <c r="AG1566" s="109">
        <v>0.0</v>
      </c>
      <c r="AH1566" s="109">
        <v>0.0</v>
      </c>
      <c r="AI1566" s="141">
        <v>0.0</v>
      </c>
      <c r="AJ1566" s="80">
        <v>296.0</v>
      </c>
      <c r="AK1566" s="140">
        <v>0.0</v>
      </c>
      <c r="AL1566" s="109">
        <v>0.0</v>
      </c>
      <c r="AM1566" s="141">
        <v>59.0</v>
      </c>
      <c r="AN1566" s="80">
        <v>59.0</v>
      </c>
      <c r="AO1566" s="140">
        <v>0.0</v>
      </c>
      <c r="AP1566" s="109">
        <v>0.0</v>
      </c>
      <c r="AQ1566" s="109">
        <v>83.0</v>
      </c>
      <c r="AR1566" s="80">
        <v>83.0</v>
      </c>
      <c r="AS1566" s="110">
        <v>0.0</v>
      </c>
      <c r="AT1566" s="110">
        <v>0.0</v>
      </c>
      <c r="AU1566" s="110">
        <v>22.0</v>
      </c>
      <c r="AV1566" s="142">
        <v>0.0</v>
      </c>
      <c r="AW1566" s="80">
        <v>22.0</v>
      </c>
      <c r="AX1566" s="113">
        <v>747.0</v>
      </c>
      <c r="AY1566" s="117">
        <v>583.0</v>
      </c>
      <c r="AZ1566" s="328">
        <v>164.0</v>
      </c>
      <c r="BA1566" s="315">
        <v>0.0</v>
      </c>
      <c r="BB1566" s="316">
        <v>747.0</v>
      </c>
      <c r="BC1566" s="132" t="s">
        <v>178</v>
      </c>
      <c r="BD1566" s="132" t="s">
        <v>178</v>
      </c>
      <c r="BE1566" s="132" t="s">
        <v>178</v>
      </c>
      <c r="BF1566" s="123"/>
      <c r="BG1566" s="83">
        <v>1104898.0</v>
      </c>
      <c r="BH1566" s="112">
        <v>10.0</v>
      </c>
      <c r="BI1566" s="98" t="s">
        <v>155</v>
      </c>
      <c r="BJ1566" s="98" t="str">
        <f t="shared" si="1"/>
        <v>NÃO</v>
      </c>
      <c r="BK1566" s="98" t="str">
        <f t="shared" si="2"/>
        <v>PROFISSIONAL</v>
      </c>
    </row>
    <row r="1567" ht="15.75" customHeight="1">
      <c r="A1567" s="111" t="s">
        <v>1785</v>
      </c>
      <c r="B1567" s="83" t="s">
        <v>1994</v>
      </c>
      <c r="C1567" s="83" t="s">
        <v>68</v>
      </c>
      <c r="D1567" s="83">
        <v>1104880.0</v>
      </c>
      <c r="E1567" s="83"/>
      <c r="F1567" s="83">
        <v>2.9187303E7</v>
      </c>
      <c r="G1567" s="114" t="s">
        <v>8508</v>
      </c>
      <c r="H1567" s="91" t="s">
        <v>8509</v>
      </c>
      <c r="I1567" s="114" t="s">
        <v>8510</v>
      </c>
      <c r="J1567" s="83" t="s">
        <v>150</v>
      </c>
      <c r="K1567" s="83" t="s">
        <v>151</v>
      </c>
      <c r="L1567" s="83" t="s">
        <v>152</v>
      </c>
      <c r="M1567" s="82" t="s">
        <v>12832</v>
      </c>
      <c r="N1567" s="82" t="s">
        <v>12833</v>
      </c>
      <c r="O1567" s="82" t="s">
        <v>12834</v>
      </c>
      <c r="P1567" s="82" t="s">
        <v>12835</v>
      </c>
      <c r="Q1567" s="82" t="s">
        <v>12836</v>
      </c>
      <c r="R1567" s="82" t="s">
        <v>12837</v>
      </c>
      <c r="S1567" s="82" t="s">
        <v>12838</v>
      </c>
      <c r="T1567" s="138">
        <v>8.0</v>
      </c>
      <c r="U1567" s="341">
        <v>8.0</v>
      </c>
      <c r="V1567" s="106">
        <v>0.0</v>
      </c>
      <c r="W1567" s="107">
        <v>0.0</v>
      </c>
      <c r="X1567" s="107">
        <v>0.0</v>
      </c>
      <c r="Y1567" s="107">
        <v>0.0</v>
      </c>
      <c r="Z1567" s="80">
        <v>0.0</v>
      </c>
      <c r="AA1567" s="140">
        <v>0.0</v>
      </c>
      <c r="AB1567" s="109">
        <v>0.0</v>
      </c>
      <c r="AC1567" s="109">
        <v>0.0</v>
      </c>
      <c r="AD1567" s="141">
        <v>306.0</v>
      </c>
      <c r="AE1567" s="80">
        <v>306.0</v>
      </c>
      <c r="AF1567" s="140">
        <v>0.0</v>
      </c>
      <c r="AG1567" s="109">
        <v>0.0</v>
      </c>
      <c r="AH1567" s="109">
        <v>35.0</v>
      </c>
      <c r="AI1567" s="141">
        <v>0.0</v>
      </c>
      <c r="AJ1567" s="80">
        <v>35.0</v>
      </c>
      <c r="AK1567" s="140">
        <v>0.0</v>
      </c>
      <c r="AL1567" s="109">
        <v>0.0</v>
      </c>
      <c r="AM1567" s="141">
        <v>0.0</v>
      </c>
      <c r="AN1567" s="80">
        <v>0.0</v>
      </c>
      <c r="AO1567" s="140">
        <v>0.0</v>
      </c>
      <c r="AP1567" s="109">
        <v>0.0</v>
      </c>
      <c r="AQ1567" s="109">
        <v>39.0</v>
      </c>
      <c r="AR1567" s="80">
        <v>39.0</v>
      </c>
      <c r="AS1567" s="110">
        <v>0.0</v>
      </c>
      <c r="AT1567" s="110">
        <v>0.0</v>
      </c>
      <c r="AU1567" s="110">
        <v>0.0</v>
      </c>
      <c r="AV1567" s="142">
        <v>0.0</v>
      </c>
      <c r="AW1567" s="80">
        <v>0.0</v>
      </c>
      <c r="AX1567" s="113">
        <v>380.0</v>
      </c>
      <c r="AY1567" s="117">
        <v>306.0</v>
      </c>
      <c r="AZ1567" s="328">
        <v>74.0</v>
      </c>
      <c r="BA1567" s="315">
        <v>0.0</v>
      </c>
      <c r="BB1567" s="316">
        <v>380.0</v>
      </c>
      <c r="BC1567" s="132" t="s">
        <v>178</v>
      </c>
      <c r="BD1567" s="132" t="s">
        <v>178</v>
      </c>
      <c r="BE1567" s="132" t="s">
        <v>178</v>
      </c>
      <c r="BF1567" s="123"/>
      <c r="BG1567" s="83">
        <v>1104880.0</v>
      </c>
      <c r="BH1567" s="112">
        <v>8.0</v>
      </c>
      <c r="BI1567" s="98" t="s">
        <v>155</v>
      </c>
      <c r="BJ1567" s="98" t="str">
        <f t="shared" si="1"/>
        <v>INTEGRAL</v>
      </c>
      <c r="BK1567" s="98" t="str">
        <f t="shared" si="2"/>
        <v>NÃO</v>
      </c>
    </row>
    <row r="1568" ht="15.75" customHeight="1">
      <c r="A1568" s="111" t="s">
        <v>1785</v>
      </c>
      <c r="B1568" s="83" t="s">
        <v>1994</v>
      </c>
      <c r="C1568" s="83" t="s">
        <v>68</v>
      </c>
      <c r="D1568" s="83">
        <v>1102542.0</v>
      </c>
      <c r="E1568" s="83"/>
      <c r="F1568" s="83">
        <v>2.9190908E7</v>
      </c>
      <c r="G1568" s="114" t="s">
        <v>8512</v>
      </c>
      <c r="H1568" s="91" t="s">
        <v>8513</v>
      </c>
      <c r="I1568" s="114" t="s">
        <v>8417</v>
      </c>
      <c r="J1568" s="83" t="s">
        <v>150</v>
      </c>
      <c r="K1568" s="83" t="s">
        <v>151</v>
      </c>
      <c r="L1568" s="83" t="s">
        <v>76</v>
      </c>
      <c r="M1568" s="82" t="s">
        <v>12839</v>
      </c>
      <c r="N1568" s="82" t="s">
        <v>12840</v>
      </c>
      <c r="O1568" s="82" t="s">
        <v>12841</v>
      </c>
      <c r="P1568" s="82" t="s">
        <v>12842</v>
      </c>
      <c r="Q1568" s="82"/>
      <c r="R1568" s="82"/>
      <c r="S1568" s="82" t="s">
        <v>12843</v>
      </c>
      <c r="T1568" s="138">
        <v>9.0</v>
      </c>
      <c r="U1568" s="352" t="s">
        <v>12844</v>
      </c>
      <c r="V1568" s="106">
        <v>0.0</v>
      </c>
      <c r="W1568" s="107">
        <v>0.0</v>
      </c>
      <c r="X1568" s="107">
        <v>0.0</v>
      </c>
      <c r="Y1568" s="107">
        <v>0.0</v>
      </c>
      <c r="Z1568" s="80">
        <v>0.0</v>
      </c>
      <c r="AA1568" s="140">
        <v>0.0</v>
      </c>
      <c r="AB1568" s="109">
        <v>0.0</v>
      </c>
      <c r="AC1568" s="109">
        <v>0.0</v>
      </c>
      <c r="AD1568" s="141">
        <v>0.0</v>
      </c>
      <c r="AE1568" s="80">
        <v>0.0</v>
      </c>
      <c r="AF1568" s="140">
        <v>332.0</v>
      </c>
      <c r="AG1568" s="109">
        <v>80.0</v>
      </c>
      <c r="AH1568" s="109">
        <v>0.0</v>
      </c>
      <c r="AI1568" s="141">
        <v>0.0</v>
      </c>
      <c r="AJ1568" s="80">
        <v>412.0</v>
      </c>
      <c r="AK1568" s="140">
        <v>0.0</v>
      </c>
      <c r="AL1568" s="109">
        <v>0.0</v>
      </c>
      <c r="AM1568" s="141">
        <v>0.0</v>
      </c>
      <c r="AN1568" s="80">
        <v>0.0</v>
      </c>
      <c r="AO1568" s="140">
        <v>0.0</v>
      </c>
      <c r="AP1568" s="109">
        <v>0.0</v>
      </c>
      <c r="AQ1568" s="109">
        <v>69.0</v>
      </c>
      <c r="AR1568" s="80">
        <v>69.0</v>
      </c>
      <c r="AS1568" s="110">
        <v>0.0</v>
      </c>
      <c r="AT1568" s="110">
        <v>0.0</v>
      </c>
      <c r="AU1568" s="110">
        <v>0.0</v>
      </c>
      <c r="AV1568" s="142">
        <v>0.0</v>
      </c>
      <c r="AW1568" s="80">
        <v>0.0</v>
      </c>
      <c r="AX1568" s="113">
        <v>481.0</v>
      </c>
      <c r="AY1568" s="117">
        <v>412.0</v>
      </c>
      <c r="AZ1568" s="328">
        <v>69.0</v>
      </c>
      <c r="BA1568" s="315">
        <v>0.0</v>
      </c>
      <c r="BB1568" s="316">
        <v>481.0</v>
      </c>
      <c r="BC1568" s="132" t="s">
        <v>178</v>
      </c>
      <c r="BD1568" s="132" t="s">
        <v>178</v>
      </c>
      <c r="BE1568" s="132" t="s">
        <v>178</v>
      </c>
      <c r="BF1568" s="123"/>
      <c r="BG1568" s="83">
        <v>1102542.0</v>
      </c>
      <c r="BH1568" s="112">
        <v>9.0</v>
      </c>
      <c r="BI1568" s="98" t="s">
        <v>155</v>
      </c>
      <c r="BJ1568" s="98" t="str">
        <f t="shared" si="1"/>
        <v>NÃO</v>
      </c>
      <c r="BK1568" s="98" t="str">
        <f t="shared" si="2"/>
        <v>NÃO</v>
      </c>
    </row>
    <row r="1569" ht="15.75" customHeight="1">
      <c r="A1569" s="111" t="s">
        <v>1785</v>
      </c>
      <c r="B1569" s="83" t="s">
        <v>1994</v>
      </c>
      <c r="C1569" s="83" t="s">
        <v>68</v>
      </c>
      <c r="D1569" s="83">
        <v>1176446.0</v>
      </c>
      <c r="E1569" s="83"/>
      <c r="F1569" s="83">
        <v>2.9386535E7</v>
      </c>
      <c r="G1569" s="114" t="s">
        <v>12845</v>
      </c>
      <c r="H1569" s="91" t="s">
        <v>8516</v>
      </c>
      <c r="I1569" s="114" t="s">
        <v>8517</v>
      </c>
      <c r="J1569" s="83" t="s">
        <v>150</v>
      </c>
      <c r="K1569" s="83" t="s">
        <v>151</v>
      </c>
      <c r="L1569" s="83" t="s">
        <v>169</v>
      </c>
      <c r="M1569" s="82" t="s">
        <v>12846</v>
      </c>
      <c r="N1569" s="82" t="s">
        <v>12847</v>
      </c>
      <c r="O1569" s="82" t="s">
        <v>12848</v>
      </c>
      <c r="P1569" s="82" t="s">
        <v>12849</v>
      </c>
      <c r="Q1569" s="82"/>
      <c r="R1569" s="82"/>
      <c r="S1569" s="82" t="s">
        <v>12850</v>
      </c>
      <c r="T1569" s="138">
        <v>11.0</v>
      </c>
      <c r="U1569" s="352" t="s">
        <v>12851</v>
      </c>
      <c r="V1569" s="106">
        <v>0.0</v>
      </c>
      <c r="W1569" s="107">
        <v>0.0</v>
      </c>
      <c r="X1569" s="107">
        <v>0.0</v>
      </c>
      <c r="Y1569" s="107">
        <v>0.0</v>
      </c>
      <c r="Z1569" s="80">
        <v>0.0</v>
      </c>
      <c r="AA1569" s="140">
        <v>132.0</v>
      </c>
      <c r="AB1569" s="109">
        <v>93.0</v>
      </c>
      <c r="AC1569" s="109">
        <v>0.0</v>
      </c>
      <c r="AD1569" s="141">
        <v>0.0</v>
      </c>
      <c r="AE1569" s="80">
        <v>225.0</v>
      </c>
      <c r="AF1569" s="140">
        <v>0.0</v>
      </c>
      <c r="AG1569" s="109">
        <v>0.0</v>
      </c>
      <c r="AH1569" s="109">
        <v>0.0</v>
      </c>
      <c r="AI1569" s="141">
        <v>0.0</v>
      </c>
      <c r="AJ1569" s="80">
        <v>0.0</v>
      </c>
      <c r="AK1569" s="140">
        <v>0.0</v>
      </c>
      <c r="AL1569" s="109">
        <v>0.0</v>
      </c>
      <c r="AM1569" s="141">
        <v>0.0</v>
      </c>
      <c r="AN1569" s="80">
        <v>0.0</v>
      </c>
      <c r="AO1569" s="140">
        <v>0.0</v>
      </c>
      <c r="AP1569" s="109">
        <v>0.0</v>
      </c>
      <c r="AQ1569" s="109">
        <v>0.0</v>
      </c>
      <c r="AR1569" s="80">
        <v>0.0</v>
      </c>
      <c r="AS1569" s="110">
        <v>0.0</v>
      </c>
      <c r="AT1569" s="110">
        <v>0.0</v>
      </c>
      <c r="AU1569" s="110">
        <v>0.0</v>
      </c>
      <c r="AV1569" s="142">
        <v>0.0</v>
      </c>
      <c r="AW1569" s="80">
        <v>0.0</v>
      </c>
      <c r="AX1569" s="113">
        <v>225.0</v>
      </c>
      <c r="AY1569" s="117">
        <v>225.0</v>
      </c>
      <c r="AZ1569" s="328">
        <v>0.0</v>
      </c>
      <c r="BA1569" s="315">
        <v>0.0</v>
      </c>
      <c r="BB1569" s="316">
        <v>225.0</v>
      </c>
      <c r="BC1569" s="132" t="s">
        <v>178</v>
      </c>
      <c r="BD1569" s="132" t="s">
        <v>178</v>
      </c>
      <c r="BE1569" s="132" t="s">
        <v>178</v>
      </c>
      <c r="BF1569" s="123"/>
      <c r="BG1569" s="83">
        <v>1176446.0</v>
      </c>
      <c r="BH1569" s="112">
        <v>11.0</v>
      </c>
      <c r="BI1569" s="98" t="s">
        <v>155</v>
      </c>
      <c r="BJ1569" s="98" t="str">
        <f t="shared" si="1"/>
        <v>NÃO</v>
      </c>
      <c r="BK1569" s="98" t="str">
        <f t="shared" si="2"/>
        <v>NÃO</v>
      </c>
    </row>
    <row r="1570" ht="15.75" customHeight="1">
      <c r="A1570" s="111" t="s">
        <v>1785</v>
      </c>
      <c r="B1570" s="83" t="s">
        <v>1994</v>
      </c>
      <c r="C1570" s="83" t="s">
        <v>68</v>
      </c>
      <c r="D1570" s="83">
        <v>1101333.0</v>
      </c>
      <c r="E1570" s="83"/>
      <c r="F1570" s="83">
        <v>2.9185351E7</v>
      </c>
      <c r="G1570" s="114" t="s">
        <v>8519</v>
      </c>
      <c r="H1570" s="91" t="s">
        <v>8520</v>
      </c>
      <c r="I1570" s="114" t="s">
        <v>8183</v>
      </c>
      <c r="J1570" s="83" t="s">
        <v>150</v>
      </c>
      <c r="K1570" s="83" t="s">
        <v>151</v>
      </c>
      <c r="L1570" s="83" t="s">
        <v>76</v>
      </c>
      <c r="M1570" s="82" t="s">
        <v>12852</v>
      </c>
      <c r="N1570" s="82" t="s">
        <v>12853</v>
      </c>
      <c r="O1570" s="82"/>
      <c r="P1570" s="82"/>
      <c r="Q1570" s="82"/>
      <c r="R1570" s="82"/>
      <c r="S1570" s="82" t="s">
        <v>12854</v>
      </c>
      <c r="T1570" s="138">
        <v>12.0</v>
      </c>
      <c r="U1570" s="352" t="s">
        <v>12855</v>
      </c>
      <c r="V1570" s="106">
        <v>0.0</v>
      </c>
      <c r="W1570" s="107">
        <v>0.0</v>
      </c>
      <c r="X1570" s="107">
        <v>0.0</v>
      </c>
      <c r="Y1570" s="107">
        <v>0.0</v>
      </c>
      <c r="Z1570" s="80">
        <v>0.0</v>
      </c>
      <c r="AA1570" s="140">
        <v>0.0</v>
      </c>
      <c r="AB1570" s="109">
        <v>0.0</v>
      </c>
      <c r="AC1570" s="109">
        <v>0.0</v>
      </c>
      <c r="AD1570" s="141">
        <v>191.0</v>
      </c>
      <c r="AE1570" s="80">
        <v>191.0</v>
      </c>
      <c r="AF1570" s="140">
        <v>0.0</v>
      </c>
      <c r="AG1570" s="109">
        <v>0.0</v>
      </c>
      <c r="AH1570" s="109">
        <v>0.0</v>
      </c>
      <c r="AI1570" s="141">
        <v>0.0</v>
      </c>
      <c r="AJ1570" s="80">
        <v>0.0</v>
      </c>
      <c r="AK1570" s="140">
        <v>17.0</v>
      </c>
      <c r="AL1570" s="109">
        <v>0.0</v>
      </c>
      <c r="AM1570" s="141">
        <v>0.0</v>
      </c>
      <c r="AN1570" s="80">
        <v>17.0</v>
      </c>
      <c r="AO1570" s="140">
        <v>0.0</v>
      </c>
      <c r="AP1570" s="109">
        <v>0.0</v>
      </c>
      <c r="AQ1570" s="109">
        <v>0.0</v>
      </c>
      <c r="AR1570" s="80">
        <v>0.0</v>
      </c>
      <c r="AS1570" s="110">
        <v>0.0</v>
      </c>
      <c r="AT1570" s="110">
        <v>0.0</v>
      </c>
      <c r="AU1570" s="110">
        <v>0.0</v>
      </c>
      <c r="AV1570" s="142">
        <v>0.0</v>
      </c>
      <c r="AW1570" s="80">
        <v>0.0</v>
      </c>
      <c r="AX1570" s="113">
        <v>208.0</v>
      </c>
      <c r="AY1570" s="117">
        <v>208.0</v>
      </c>
      <c r="AZ1570" s="328">
        <v>0.0</v>
      </c>
      <c r="BA1570" s="315">
        <v>0.0</v>
      </c>
      <c r="BB1570" s="316">
        <v>208.0</v>
      </c>
      <c r="BC1570" s="132" t="s">
        <v>178</v>
      </c>
      <c r="BD1570" s="132" t="s">
        <v>178</v>
      </c>
      <c r="BE1570" s="132" t="s">
        <v>178</v>
      </c>
      <c r="BF1570" s="123"/>
      <c r="BG1570" s="83">
        <v>1101333.0</v>
      </c>
      <c r="BH1570" s="112">
        <v>11.0</v>
      </c>
      <c r="BI1570" s="98" t="s">
        <v>155</v>
      </c>
      <c r="BJ1570" s="98" t="str">
        <f t="shared" si="1"/>
        <v>INTEGRAL</v>
      </c>
      <c r="BK1570" s="98" t="str">
        <f t="shared" si="2"/>
        <v>NÃO</v>
      </c>
    </row>
    <row r="1571" ht="39.75" customHeight="1">
      <c r="A1571" s="111" t="s">
        <v>1785</v>
      </c>
      <c r="B1571" s="83" t="s">
        <v>1994</v>
      </c>
      <c r="C1571" s="83" t="s">
        <v>68</v>
      </c>
      <c r="D1571" s="83">
        <v>1102445.0</v>
      </c>
      <c r="E1571" s="136"/>
      <c r="F1571" s="136">
        <v>2.9191009E7</v>
      </c>
      <c r="G1571" s="187" t="s">
        <v>8523</v>
      </c>
      <c r="H1571" s="91" t="s">
        <v>8524</v>
      </c>
      <c r="I1571" s="114" t="s">
        <v>8158</v>
      </c>
      <c r="J1571" s="83" t="s">
        <v>150</v>
      </c>
      <c r="K1571" s="83" t="s">
        <v>151</v>
      </c>
      <c r="L1571" s="83" t="s">
        <v>152</v>
      </c>
      <c r="M1571" s="82" t="s">
        <v>12857</v>
      </c>
      <c r="N1571" s="82" t="s">
        <v>12858</v>
      </c>
      <c r="O1571" s="82" t="s">
        <v>12859</v>
      </c>
      <c r="P1571" s="82" t="s">
        <v>12860</v>
      </c>
      <c r="Q1571" s="82" t="s">
        <v>12861</v>
      </c>
      <c r="R1571" s="82" t="s">
        <v>12862</v>
      </c>
      <c r="S1571" s="82" t="s">
        <v>12863</v>
      </c>
      <c r="T1571" s="138">
        <v>12.0</v>
      </c>
      <c r="U1571" s="341">
        <v>12.0</v>
      </c>
      <c r="V1571" s="106">
        <v>0.0</v>
      </c>
      <c r="W1571" s="107">
        <v>0.0</v>
      </c>
      <c r="X1571" s="107">
        <v>0.0</v>
      </c>
      <c r="Y1571" s="107">
        <v>0.0</v>
      </c>
      <c r="Z1571" s="80">
        <v>0.0</v>
      </c>
      <c r="AA1571" s="140">
        <v>0.0</v>
      </c>
      <c r="AB1571" s="109">
        <v>0.0</v>
      </c>
      <c r="AC1571" s="109">
        <v>0.0</v>
      </c>
      <c r="AD1571" s="141">
        <v>0.0</v>
      </c>
      <c r="AE1571" s="80">
        <v>0.0</v>
      </c>
      <c r="AF1571" s="140">
        <v>0.0</v>
      </c>
      <c r="AG1571" s="109">
        <v>0.0</v>
      </c>
      <c r="AH1571" s="109">
        <v>73.0</v>
      </c>
      <c r="AI1571" s="141">
        <v>189.0</v>
      </c>
      <c r="AJ1571" s="80">
        <v>262.0</v>
      </c>
      <c r="AK1571" s="140">
        <v>0.0</v>
      </c>
      <c r="AL1571" s="109">
        <v>0.0</v>
      </c>
      <c r="AM1571" s="141">
        <v>0.0</v>
      </c>
      <c r="AN1571" s="80">
        <v>0.0</v>
      </c>
      <c r="AO1571" s="140">
        <v>0.0</v>
      </c>
      <c r="AP1571" s="109">
        <v>0.0</v>
      </c>
      <c r="AQ1571" s="109">
        <v>172.0</v>
      </c>
      <c r="AR1571" s="80">
        <v>172.0</v>
      </c>
      <c r="AS1571" s="110">
        <v>0.0</v>
      </c>
      <c r="AT1571" s="110">
        <v>0.0</v>
      </c>
      <c r="AU1571" s="110">
        <v>0.0</v>
      </c>
      <c r="AV1571" s="142">
        <v>0.0</v>
      </c>
      <c r="AW1571" s="80">
        <v>0.0</v>
      </c>
      <c r="AX1571" s="113">
        <v>434.0</v>
      </c>
      <c r="AY1571" s="117">
        <v>189.0</v>
      </c>
      <c r="AZ1571" s="328">
        <v>245.0</v>
      </c>
      <c r="BA1571" s="315">
        <v>0.0</v>
      </c>
      <c r="BB1571" s="316">
        <v>434.0</v>
      </c>
      <c r="BC1571" s="132" t="s">
        <v>178</v>
      </c>
      <c r="BD1571" s="132" t="s">
        <v>178</v>
      </c>
      <c r="BE1571" s="132" t="s">
        <v>178</v>
      </c>
      <c r="BF1571" s="123"/>
      <c r="BG1571" s="83">
        <v>1102445.0</v>
      </c>
      <c r="BH1571" s="112">
        <v>12.0</v>
      </c>
      <c r="BI1571" s="98" t="s">
        <v>155</v>
      </c>
      <c r="BJ1571" s="98" t="str">
        <f t="shared" si="1"/>
        <v>INTEGRAL</v>
      </c>
      <c r="BK1571" s="98" t="str">
        <f t="shared" si="2"/>
        <v>NÃO</v>
      </c>
    </row>
    <row r="1572" ht="15.75" customHeight="1">
      <c r="A1572" s="111" t="s">
        <v>1785</v>
      </c>
      <c r="B1572" s="83" t="s">
        <v>1994</v>
      </c>
      <c r="C1572" s="83" t="s">
        <v>68</v>
      </c>
      <c r="D1572" s="83">
        <v>1102364.0</v>
      </c>
      <c r="E1572" s="136"/>
      <c r="F1572" s="136">
        <v>2.9188768E7</v>
      </c>
      <c r="G1572" s="187" t="s">
        <v>8526</v>
      </c>
      <c r="H1572" s="91" t="s">
        <v>8527</v>
      </c>
      <c r="I1572" s="114" t="s">
        <v>8417</v>
      </c>
      <c r="J1572" s="83" t="s">
        <v>150</v>
      </c>
      <c r="K1572" s="83" t="s">
        <v>151</v>
      </c>
      <c r="L1572" s="83" t="s">
        <v>152</v>
      </c>
      <c r="M1572" s="82" t="s">
        <v>12864</v>
      </c>
      <c r="N1572" s="82" t="s">
        <v>12865</v>
      </c>
      <c r="O1572" s="82" t="s">
        <v>12866</v>
      </c>
      <c r="P1572" s="82" t="s">
        <v>12867</v>
      </c>
      <c r="Q1572" s="82" t="s">
        <v>12868</v>
      </c>
      <c r="R1572" s="82" t="s">
        <v>12869</v>
      </c>
      <c r="S1572" s="82" t="s">
        <v>12870</v>
      </c>
      <c r="T1572" s="138">
        <v>8.0</v>
      </c>
      <c r="U1572" s="352" t="s">
        <v>12871</v>
      </c>
      <c r="V1572" s="106">
        <v>0.0</v>
      </c>
      <c r="W1572" s="107">
        <v>0.0</v>
      </c>
      <c r="X1572" s="107">
        <v>0.0</v>
      </c>
      <c r="Y1572" s="107">
        <v>0.0</v>
      </c>
      <c r="Z1572" s="80">
        <v>0.0</v>
      </c>
      <c r="AA1572" s="140">
        <v>290.0</v>
      </c>
      <c r="AB1572" s="109">
        <v>219.0</v>
      </c>
      <c r="AC1572" s="109">
        <v>0.0</v>
      </c>
      <c r="AD1572" s="141">
        <v>0.0</v>
      </c>
      <c r="AE1572" s="80">
        <v>509.0</v>
      </c>
      <c r="AF1572" s="140">
        <v>0.0</v>
      </c>
      <c r="AG1572" s="109">
        <v>0.0</v>
      </c>
      <c r="AH1572" s="109">
        <v>0.0</v>
      </c>
      <c r="AI1572" s="141">
        <v>0.0</v>
      </c>
      <c r="AJ1572" s="80">
        <v>0.0</v>
      </c>
      <c r="AK1572" s="140">
        <v>0.0</v>
      </c>
      <c r="AL1572" s="109">
        <v>0.0</v>
      </c>
      <c r="AM1572" s="141">
        <v>22.0</v>
      </c>
      <c r="AN1572" s="80">
        <v>22.0</v>
      </c>
      <c r="AO1572" s="140">
        <v>0.0</v>
      </c>
      <c r="AP1572" s="109">
        <v>0.0</v>
      </c>
      <c r="AQ1572" s="109">
        <v>0.0</v>
      </c>
      <c r="AR1572" s="80">
        <v>0.0</v>
      </c>
      <c r="AS1572" s="110">
        <v>0.0</v>
      </c>
      <c r="AT1572" s="110">
        <v>0.0</v>
      </c>
      <c r="AU1572" s="110">
        <v>0.0</v>
      </c>
      <c r="AV1572" s="142">
        <v>0.0</v>
      </c>
      <c r="AW1572" s="80">
        <v>0.0</v>
      </c>
      <c r="AX1572" s="113">
        <v>531.0</v>
      </c>
      <c r="AY1572" s="117">
        <v>509.0</v>
      </c>
      <c r="AZ1572" s="328">
        <v>22.0</v>
      </c>
      <c r="BA1572" s="315">
        <v>0.0</v>
      </c>
      <c r="BB1572" s="316">
        <v>531.0</v>
      </c>
      <c r="BC1572" s="132" t="s">
        <v>178</v>
      </c>
      <c r="BD1572" s="132" t="s">
        <v>178</v>
      </c>
      <c r="BE1572" s="132" t="s">
        <v>178</v>
      </c>
      <c r="BF1572" s="123"/>
      <c r="BG1572" s="83">
        <v>1102364.0</v>
      </c>
      <c r="BH1572" s="112">
        <v>8.0</v>
      </c>
      <c r="BI1572" s="98" t="s">
        <v>155</v>
      </c>
      <c r="BJ1572" s="98" t="str">
        <f t="shared" si="1"/>
        <v>NÃO</v>
      </c>
      <c r="BK1572" s="98" t="str">
        <f t="shared" si="2"/>
        <v>NÃO</v>
      </c>
    </row>
    <row r="1573" ht="15.75" customHeight="1">
      <c r="A1573" s="111" t="s">
        <v>1785</v>
      </c>
      <c r="B1573" s="83" t="s">
        <v>1994</v>
      </c>
      <c r="C1573" s="83" t="s">
        <v>68</v>
      </c>
      <c r="D1573" s="83">
        <v>1176445.0</v>
      </c>
      <c r="E1573" s="136"/>
      <c r="F1573" s="136">
        <v>2.9386543E7</v>
      </c>
      <c r="G1573" s="187" t="s">
        <v>12873</v>
      </c>
      <c r="H1573" s="91" t="s">
        <v>8663</v>
      </c>
      <c r="I1573" s="114" t="s">
        <v>8233</v>
      </c>
      <c r="J1573" s="83" t="s">
        <v>150</v>
      </c>
      <c r="K1573" s="83" t="s">
        <v>151</v>
      </c>
      <c r="L1573" s="83" t="s">
        <v>152</v>
      </c>
      <c r="M1573" s="82" t="s">
        <v>12874</v>
      </c>
      <c r="N1573" s="82" t="s">
        <v>12875</v>
      </c>
      <c r="O1573" s="82" t="s">
        <v>12876</v>
      </c>
      <c r="P1573" s="82" t="s">
        <v>12877</v>
      </c>
      <c r="Q1573" s="82" t="s">
        <v>12878</v>
      </c>
      <c r="R1573" s="82" t="s">
        <v>12879</v>
      </c>
      <c r="S1573" s="82" t="s">
        <v>12880</v>
      </c>
      <c r="T1573" s="138">
        <v>16.0</v>
      </c>
      <c r="U1573" s="496">
        <v>15.0</v>
      </c>
      <c r="V1573" s="106">
        <v>0.0</v>
      </c>
      <c r="W1573" s="107">
        <v>0.0</v>
      </c>
      <c r="X1573" s="107">
        <v>0.0</v>
      </c>
      <c r="Y1573" s="107">
        <v>0.0</v>
      </c>
      <c r="Z1573" s="80">
        <v>0.0</v>
      </c>
      <c r="AA1573" s="140">
        <v>578.0</v>
      </c>
      <c r="AB1573" s="109">
        <v>237.0</v>
      </c>
      <c r="AC1573" s="109">
        <v>0.0</v>
      </c>
      <c r="AD1573" s="141">
        <v>0.0</v>
      </c>
      <c r="AE1573" s="80">
        <v>815.0</v>
      </c>
      <c r="AF1573" s="140">
        <v>0.0</v>
      </c>
      <c r="AG1573" s="109">
        <v>303.0</v>
      </c>
      <c r="AH1573" s="109">
        <v>28.0</v>
      </c>
      <c r="AI1573" s="141">
        <v>0.0</v>
      </c>
      <c r="AJ1573" s="80">
        <v>331.0</v>
      </c>
      <c r="AK1573" s="140">
        <v>0.0</v>
      </c>
      <c r="AL1573" s="109">
        <v>0.0</v>
      </c>
      <c r="AM1573" s="141">
        <v>0.0</v>
      </c>
      <c r="AN1573" s="80">
        <v>0.0</v>
      </c>
      <c r="AO1573" s="140">
        <v>0.0</v>
      </c>
      <c r="AP1573" s="109">
        <v>0.0</v>
      </c>
      <c r="AQ1573" s="109">
        <v>139.0</v>
      </c>
      <c r="AR1573" s="80">
        <v>139.0</v>
      </c>
      <c r="AS1573" s="110">
        <v>0.0</v>
      </c>
      <c r="AT1573" s="110">
        <v>0.0</v>
      </c>
      <c r="AU1573" s="110">
        <v>0.0</v>
      </c>
      <c r="AV1573" s="142">
        <v>0.0</v>
      </c>
      <c r="AW1573" s="80">
        <v>0.0</v>
      </c>
      <c r="AX1573" s="113">
        <v>1285.0</v>
      </c>
      <c r="AY1573" s="117">
        <v>1118.0</v>
      </c>
      <c r="AZ1573" s="328">
        <v>167.0</v>
      </c>
      <c r="BA1573" s="315">
        <v>1.0</v>
      </c>
      <c r="BB1573" s="316">
        <v>1286.0</v>
      </c>
      <c r="BC1573" s="132" t="s">
        <v>178</v>
      </c>
      <c r="BD1573" s="132" t="s">
        <v>178</v>
      </c>
      <c r="BE1573" s="132" t="s">
        <v>178</v>
      </c>
      <c r="BF1573" s="123"/>
      <c r="BG1573" s="83">
        <v>1176445.0</v>
      </c>
      <c r="BH1573" s="112">
        <v>15.0</v>
      </c>
      <c r="BI1573" s="98" t="s">
        <v>155</v>
      </c>
      <c r="BJ1573" s="98" t="str">
        <f t="shared" si="1"/>
        <v>NÃO</v>
      </c>
      <c r="BK1573" s="98" t="str">
        <f t="shared" si="2"/>
        <v>NÃO</v>
      </c>
    </row>
    <row r="1574" ht="15.75" customHeight="1">
      <c r="A1574" s="111" t="s">
        <v>1785</v>
      </c>
      <c r="B1574" s="83" t="s">
        <v>1994</v>
      </c>
      <c r="C1574" s="83" t="s">
        <v>68</v>
      </c>
      <c r="D1574" s="83">
        <v>1101988.0</v>
      </c>
      <c r="E1574" s="136"/>
      <c r="F1574" s="136">
        <v>2.9190991E7</v>
      </c>
      <c r="G1574" s="187" t="s">
        <v>8529</v>
      </c>
      <c r="H1574" s="91" t="s">
        <v>8530</v>
      </c>
      <c r="I1574" s="114" t="s">
        <v>426</v>
      </c>
      <c r="J1574" s="83" t="s">
        <v>150</v>
      </c>
      <c r="K1574" s="83" t="s">
        <v>151</v>
      </c>
      <c r="L1574" s="83" t="s">
        <v>76</v>
      </c>
      <c r="M1574" s="82" t="s">
        <v>12881</v>
      </c>
      <c r="N1574" s="82" t="s">
        <v>12882</v>
      </c>
      <c r="O1574" s="82" t="s">
        <v>12883</v>
      </c>
      <c r="P1574" s="82" t="s">
        <v>12884</v>
      </c>
      <c r="Q1574" s="82"/>
      <c r="R1574" s="82"/>
      <c r="S1574" s="82"/>
      <c r="T1574" s="138">
        <v>10.0</v>
      </c>
      <c r="U1574" s="496">
        <v>9.0</v>
      </c>
      <c r="V1574" s="106">
        <v>0.0</v>
      </c>
      <c r="W1574" s="107">
        <v>0.0</v>
      </c>
      <c r="X1574" s="107">
        <v>0.0</v>
      </c>
      <c r="Y1574" s="107">
        <v>0.0</v>
      </c>
      <c r="Z1574" s="80">
        <v>0.0</v>
      </c>
      <c r="AA1574" s="140">
        <v>30.0</v>
      </c>
      <c r="AB1574" s="109">
        <v>196.0</v>
      </c>
      <c r="AC1574" s="109">
        <v>0.0</v>
      </c>
      <c r="AD1574" s="141">
        <v>0.0</v>
      </c>
      <c r="AE1574" s="80">
        <v>226.0</v>
      </c>
      <c r="AF1574" s="140">
        <v>192.0</v>
      </c>
      <c r="AG1574" s="109">
        <v>0.0</v>
      </c>
      <c r="AH1574" s="109">
        <v>0.0</v>
      </c>
      <c r="AI1574" s="141">
        <v>0.0</v>
      </c>
      <c r="AJ1574" s="80">
        <v>192.0</v>
      </c>
      <c r="AK1574" s="140">
        <v>0.0</v>
      </c>
      <c r="AL1574" s="109">
        <v>0.0</v>
      </c>
      <c r="AM1574" s="141">
        <v>0.0</v>
      </c>
      <c r="AN1574" s="80">
        <v>0.0</v>
      </c>
      <c r="AO1574" s="140">
        <v>0.0</v>
      </c>
      <c r="AP1574" s="109">
        <v>0.0</v>
      </c>
      <c r="AQ1574" s="109">
        <v>57.0</v>
      </c>
      <c r="AR1574" s="80">
        <v>57.0</v>
      </c>
      <c r="AS1574" s="110">
        <v>0.0</v>
      </c>
      <c r="AT1574" s="110">
        <v>0.0</v>
      </c>
      <c r="AU1574" s="110">
        <v>0.0</v>
      </c>
      <c r="AV1574" s="142">
        <v>0.0</v>
      </c>
      <c r="AW1574" s="80">
        <v>0.0</v>
      </c>
      <c r="AX1574" s="113">
        <v>475.0</v>
      </c>
      <c r="AY1574" s="117">
        <v>418.0</v>
      </c>
      <c r="AZ1574" s="328">
        <v>57.0</v>
      </c>
      <c r="BA1574" s="315">
        <v>0.0</v>
      </c>
      <c r="BB1574" s="316">
        <v>475.0</v>
      </c>
      <c r="BC1574" s="132" t="s">
        <v>178</v>
      </c>
      <c r="BD1574" s="132" t="s">
        <v>178</v>
      </c>
      <c r="BE1574" s="132" t="s">
        <v>178</v>
      </c>
      <c r="BF1574" s="156"/>
      <c r="BG1574" s="83">
        <v>1101988.0</v>
      </c>
      <c r="BH1574" s="112">
        <v>9.0</v>
      </c>
      <c r="BI1574" s="98" t="s">
        <v>155</v>
      </c>
      <c r="BJ1574" s="98" t="str">
        <f t="shared" si="1"/>
        <v>NÃO</v>
      </c>
      <c r="BK1574" s="98" t="str">
        <f t="shared" si="2"/>
        <v>NÃO</v>
      </c>
    </row>
    <row r="1575" ht="15.75" customHeight="1">
      <c r="A1575" s="111" t="s">
        <v>1785</v>
      </c>
      <c r="B1575" s="83" t="s">
        <v>1994</v>
      </c>
      <c r="C1575" s="83" t="s">
        <v>68</v>
      </c>
      <c r="D1575" s="83">
        <v>1101953.0</v>
      </c>
      <c r="E1575" s="136"/>
      <c r="F1575" s="136">
        <v>2.9193095E7</v>
      </c>
      <c r="G1575" s="187" t="s">
        <v>12885</v>
      </c>
      <c r="H1575" s="91" t="s">
        <v>8540</v>
      </c>
      <c r="I1575" s="114" t="s">
        <v>8502</v>
      </c>
      <c r="J1575" s="83" t="s">
        <v>150</v>
      </c>
      <c r="K1575" s="83" t="s">
        <v>151</v>
      </c>
      <c r="L1575" s="83" t="s">
        <v>76</v>
      </c>
      <c r="M1575" s="82" t="s">
        <v>12886</v>
      </c>
      <c r="N1575" s="82" t="s">
        <v>12887</v>
      </c>
      <c r="O1575" s="82" t="s">
        <v>12888</v>
      </c>
      <c r="P1575" s="82" t="s">
        <v>12889</v>
      </c>
      <c r="Q1575" s="82"/>
      <c r="R1575" s="82"/>
      <c r="S1575" s="82" t="s">
        <v>12890</v>
      </c>
      <c r="T1575" s="138">
        <v>9.0</v>
      </c>
      <c r="U1575" s="496">
        <v>9.0</v>
      </c>
      <c r="V1575" s="106">
        <v>0.0</v>
      </c>
      <c r="W1575" s="107">
        <v>0.0</v>
      </c>
      <c r="X1575" s="107">
        <v>0.0</v>
      </c>
      <c r="Y1575" s="107">
        <v>0.0</v>
      </c>
      <c r="Z1575" s="80">
        <v>0.0</v>
      </c>
      <c r="AA1575" s="140">
        <v>196.0</v>
      </c>
      <c r="AB1575" s="109">
        <v>158.0</v>
      </c>
      <c r="AC1575" s="109">
        <v>0.0</v>
      </c>
      <c r="AD1575" s="141">
        <v>0.0</v>
      </c>
      <c r="AE1575" s="80">
        <v>354.0</v>
      </c>
      <c r="AF1575" s="140">
        <v>117.0</v>
      </c>
      <c r="AG1575" s="109">
        <v>78.0</v>
      </c>
      <c r="AH1575" s="109">
        <v>0.0</v>
      </c>
      <c r="AI1575" s="141">
        <v>0.0</v>
      </c>
      <c r="AJ1575" s="80">
        <v>195.0</v>
      </c>
      <c r="AK1575" s="140">
        <v>0.0</v>
      </c>
      <c r="AL1575" s="109">
        <v>0.0</v>
      </c>
      <c r="AM1575" s="141">
        <v>0.0</v>
      </c>
      <c r="AN1575" s="80">
        <v>0.0</v>
      </c>
      <c r="AO1575" s="140">
        <v>0.0</v>
      </c>
      <c r="AP1575" s="109">
        <v>0.0</v>
      </c>
      <c r="AQ1575" s="109">
        <v>47.0</v>
      </c>
      <c r="AR1575" s="80">
        <v>47.0</v>
      </c>
      <c r="AS1575" s="110">
        <v>0.0</v>
      </c>
      <c r="AT1575" s="110">
        <v>0.0</v>
      </c>
      <c r="AU1575" s="110">
        <v>0.0</v>
      </c>
      <c r="AV1575" s="142">
        <v>0.0</v>
      </c>
      <c r="AW1575" s="80">
        <v>0.0</v>
      </c>
      <c r="AX1575" s="113">
        <v>596.0</v>
      </c>
      <c r="AY1575" s="117">
        <v>549.0</v>
      </c>
      <c r="AZ1575" s="328">
        <v>47.0</v>
      </c>
      <c r="BA1575" s="315">
        <v>0.0</v>
      </c>
      <c r="BB1575" s="316">
        <v>596.0</v>
      </c>
      <c r="BC1575" s="132" t="s">
        <v>178</v>
      </c>
      <c r="BD1575" s="132" t="s">
        <v>178</v>
      </c>
      <c r="BE1575" s="132" t="s">
        <v>178</v>
      </c>
      <c r="BF1575" s="123"/>
      <c r="BG1575" s="83">
        <v>1101953.0</v>
      </c>
      <c r="BH1575" s="112">
        <v>9.0</v>
      </c>
      <c r="BI1575" s="98" t="s">
        <v>155</v>
      </c>
      <c r="BJ1575" s="98" t="str">
        <f t="shared" si="1"/>
        <v>NÃO</v>
      </c>
      <c r="BK1575" s="98" t="str">
        <f t="shared" si="2"/>
        <v>NÃO</v>
      </c>
    </row>
    <row r="1576" ht="15.75" customHeight="1">
      <c r="A1576" s="111" t="s">
        <v>1785</v>
      </c>
      <c r="B1576" s="83" t="s">
        <v>1994</v>
      </c>
      <c r="C1576" s="83" t="s">
        <v>68</v>
      </c>
      <c r="D1576" s="83">
        <v>1104413.0</v>
      </c>
      <c r="E1576" s="83"/>
      <c r="F1576" s="83">
        <v>2.919279E7</v>
      </c>
      <c r="G1576" s="114" t="s">
        <v>12891</v>
      </c>
      <c r="H1576" s="91" t="s">
        <v>8544</v>
      </c>
      <c r="I1576" s="114" t="s">
        <v>8545</v>
      </c>
      <c r="J1576" s="83" t="s">
        <v>150</v>
      </c>
      <c r="K1576" s="83" t="s">
        <v>151</v>
      </c>
      <c r="L1576" s="83" t="s">
        <v>76</v>
      </c>
      <c r="M1576" s="82" t="s">
        <v>12892</v>
      </c>
      <c r="N1576" s="82" t="s">
        <v>12893</v>
      </c>
      <c r="O1576" s="82" t="s">
        <v>12894</v>
      </c>
      <c r="P1576" s="82" t="s">
        <v>12895</v>
      </c>
      <c r="Q1576" s="82"/>
      <c r="R1576" s="82"/>
      <c r="S1576" s="82" t="s">
        <v>12896</v>
      </c>
      <c r="T1576" s="138">
        <v>14.0</v>
      </c>
      <c r="U1576" s="340">
        <v>14.0</v>
      </c>
      <c r="V1576" s="106">
        <v>0.0</v>
      </c>
      <c r="W1576" s="107">
        <v>0.0</v>
      </c>
      <c r="X1576" s="107">
        <v>0.0</v>
      </c>
      <c r="Y1576" s="107">
        <v>0.0</v>
      </c>
      <c r="Z1576" s="80">
        <v>0.0</v>
      </c>
      <c r="AA1576" s="140">
        <v>155.0</v>
      </c>
      <c r="AB1576" s="109">
        <v>0.0</v>
      </c>
      <c r="AC1576" s="109">
        <v>0.0</v>
      </c>
      <c r="AD1576" s="141">
        <v>0.0</v>
      </c>
      <c r="AE1576" s="80">
        <v>155.0</v>
      </c>
      <c r="AF1576" s="140">
        <v>182.0</v>
      </c>
      <c r="AG1576" s="109">
        <v>0.0</v>
      </c>
      <c r="AH1576" s="109">
        <v>0.0</v>
      </c>
      <c r="AI1576" s="141">
        <v>0.0</v>
      </c>
      <c r="AJ1576" s="80">
        <v>182.0</v>
      </c>
      <c r="AK1576" s="140">
        <v>0.0</v>
      </c>
      <c r="AL1576" s="109">
        <v>0.0</v>
      </c>
      <c r="AM1576" s="141">
        <v>0.0</v>
      </c>
      <c r="AN1576" s="80">
        <v>0.0</v>
      </c>
      <c r="AO1576" s="140">
        <v>0.0</v>
      </c>
      <c r="AP1576" s="109">
        <v>0.0</v>
      </c>
      <c r="AQ1576" s="109">
        <v>228.0</v>
      </c>
      <c r="AR1576" s="80">
        <v>228.0</v>
      </c>
      <c r="AS1576" s="110">
        <v>0.0</v>
      </c>
      <c r="AT1576" s="110">
        <v>0.0</v>
      </c>
      <c r="AU1576" s="110">
        <v>0.0</v>
      </c>
      <c r="AV1576" s="142">
        <v>0.0</v>
      </c>
      <c r="AW1576" s="80">
        <v>0.0</v>
      </c>
      <c r="AX1576" s="113">
        <v>565.0</v>
      </c>
      <c r="AY1576" s="117">
        <v>337.0</v>
      </c>
      <c r="AZ1576" s="328">
        <v>228.0</v>
      </c>
      <c r="BA1576" s="315">
        <v>0.0</v>
      </c>
      <c r="BB1576" s="316">
        <v>565.0</v>
      </c>
      <c r="BC1576" s="132" t="s">
        <v>178</v>
      </c>
      <c r="BD1576" s="132" t="s">
        <v>178</v>
      </c>
      <c r="BE1576" s="132" t="s">
        <v>178</v>
      </c>
      <c r="BF1576" s="123"/>
      <c r="BG1576" s="83">
        <v>1104413.0</v>
      </c>
      <c r="BH1576" s="112">
        <v>14.0</v>
      </c>
      <c r="BI1576" s="98" t="s">
        <v>155</v>
      </c>
      <c r="BJ1576" s="98" t="str">
        <f t="shared" si="1"/>
        <v>NÃO</v>
      </c>
      <c r="BK1576" s="98" t="str">
        <f t="shared" si="2"/>
        <v>NÃO</v>
      </c>
    </row>
    <row r="1577" ht="15.75" customHeight="1">
      <c r="A1577" s="111" t="s">
        <v>1785</v>
      </c>
      <c r="B1577" s="83" t="s">
        <v>1994</v>
      </c>
      <c r="C1577" s="83" t="s">
        <v>68</v>
      </c>
      <c r="D1577" s="83">
        <v>1175280.0</v>
      </c>
      <c r="E1577" s="83"/>
      <c r="F1577" s="83">
        <v>2.9192307E7</v>
      </c>
      <c r="G1577" s="114" t="s">
        <v>12898</v>
      </c>
      <c r="H1577" s="91" t="s">
        <v>8738</v>
      </c>
      <c r="I1577" s="114" t="s">
        <v>8461</v>
      </c>
      <c r="J1577" s="83" t="s">
        <v>150</v>
      </c>
      <c r="K1577" s="83" t="s">
        <v>151</v>
      </c>
      <c r="L1577" s="83" t="s">
        <v>152</v>
      </c>
      <c r="M1577" s="82" t="s">
        <v>12899</v>
      </c>
      <c r="N1577" s="82" t="s">
        <v>12900</v>
      </c>
      <c r="O1577" s="82" t="s">
        <v>12901</v>
      </c>
      <c r="P1577" s="82" t="s">
        <v>12902</v>
      </c>
      <c r="Q1577" s="82"/>
      <c r="R1577" s="82"/>
      <c r="S1577" s="82" t="s">
        <v>12903</v>
      </c>
      <c r="T1577" s="138">
        <v>13.0</v>
      </c>
      <c r="U1577" s="496">
        <v>13.0</v>
      </c>
      <c r="V1577" s="106">
        <v>0.0</v>
      </c>
      <c r="W1577" s="107">
        <v>0.0</v>
      </c>
      <c r="X1577" s="107">
        <v>0.0</v>
      </c>
      <c r="Y1577" s="107">
        <v>0.0</v>
      </c>
      <c r="Z1577" s="80">
        <v>0.0</v>
      </c>
      <c r="AA1577" s="140">
        <v>0.0</v>
      </c>
      <c r="AB1577" s="109">
        <v>0.0</v>
      </c>
      <c r="AC1577" s="109">
        <v>0.0</v>
      </c>
      <c r="AD1577" s="141">
        <v>0.0</v>
      </c>
      <c r="AE1577" s="80">
        <v>0.0</v>
      </c>
      <c r="AF1577" s="140">
        <v>354.0</v>
      </c>
      <c r="AG1577" s="109">
        <v>82.0</v>
      </c>
      <c r="AH1577" s="109">
        <v>0.0</v>
      </c>
      <c r="AI1577" s="141">
        <v>46.0</v>
      </c>
      <c r="AJ1577" s="80">
        <v>482.0</v>
      </c>
      <c r="AK1577" s="140">
        <v>0.0</v>
      </c>
      <c r="AL1577" s="109">
        <v>0.0</v>
      </c>
      <c r="AM1577" s="141">
        <v>0.0</v>
      </c>
      <c r="AN1577" s="80">
        <v>0.0</v>
      </c>
      <c r="AO1577" s="140">
        <v>0.0</v>
      </c>
      <c r="AP1577" s="109">
        <v>0.0</v>
      </c>
      <c r="AQ1577" s="109">
        <v>119.0</v>
      </c>
      <c r="AR1577" s="80">
        <v>119.0</v>
      </c>
      <c r="AS1577" s="110">
        <v>0.0</v>
      </c>
      <c r="AT1577" s="110">
        <v>0.0</v>
      </c>
      <c r="AU1577" s="110">
        <v>0.0</v>
      </c>
      <c r="AV1577" s="142">
        <v>0.0</v>
      </c>
      <c r="AW1577" s="80">
        <v>0.0</v>
      </c>
      <c r="AX1577" s="113">
        <v>601.0</v>
      </c>
      <c r="AY1577" s="117">
        <v>482.0</v>
      </c>
      <c r="AZ1577" s="328">
        <v>119.0</v>
      </c>
      <c r="BA1577" s="315">
        <v>0.0</v>
      </c>
      <c r="BB1577" s="316">
        <v>601.0</v>
      </c>
      <c r="BC1577" s="132" t="s">
        <v>178</v>
      </c>
      <c r="BD1577" s="132" t="s">
        <v>178</v>
      </c>
      <c r="BE1577" s="132" t="s">
        <v>178</v>
      </c>
      <c r="BF1577" s="123"/>
      <c r="BG1577" s="83">
        <v>1175280.0</v>
      </c>
      <c r="BH1577" s="112">
        <v>13.0</v>
      </c>
      <c r="BI1577" s="98" t="s">
        <v>155</v>
      </c>
      <c r="BJ1577" s="98" t="str">
        <f t="shared" si="1"/>
        <v>INTEGRAL</v>
      </c>
      <c r="BK1577" s="98" t="str">
        <f t="shared" si="2"/>
        <v>NÃO</v>
      </c>
    </row>
    <row r="1578" ht="15.75" customHeight="1">
      <c r="A1578" s="111" t="s">
        <v>1785</v>
      </c>
      <c r="B1578" s="83" t="s">
        <v>1994</v>
      </c>
      <c r="C1578" s="83" t="s">
        <v>68</v>
      </c>
      <c r="D1578" s="83">
        <v>1103220.0</v>
      </c>
      <c r="E1578" s="83"/>
      <c r="F1578" s="83">
        <v>2.9182042E7</v>
      </c>
      <c r="G1578" s="114" t="s">
        <v>8551</v>
      </c>
      <c r="H1578" s="91" t="s">
        <v>8552</v>
      </c>
      <c r="I1578" s="114" t="s">
        <v>8553</v>
      </c>
      <c r="J1578" s="83" t="s">
        <v>150</v>
      </c>
      <c r="K1578" s="83" t="s">
        <v>151</v>
      </c>
      <c r="L1578" s="83" t="s">
        <v>152</v>
      </c>
      <c r="M1578" s="82" t="s">
        <v>12904</v>
      </c>
      <c r="N1578" s="82" t="s">
        <v>12905</v>
      </c>
      <c r="O1578" s="82"/>
      <c r="P1578" s="82"/>
      <c r="Q1578" s="82"/>
      <c r="R1578" s="82"/>
      <c r="S1578" s="82" t="s">
        <v>12906</v>
      </c>
      <c r="T1578" s="138">
        <v>11.0</v>
      </c>
      <c r="U1578" s="341">
        <v>11.0</v>
      </c>
      <c r="V1578" s="106">
        <v>0.0</v>
      </c>
      <c r="W1578" s="107">
        <v>0.0</v>
      </c>
      <c r="X1578" s="107">
        <v>0.0</v>
      </c>
      <c r="Y1578" s="107">
        <v>0.0</v>
      </c>
      <c r="Z1578" s="80">
        <v>0.0</v>
      </c>
      <c r="AA1578" s="140">
        <v>0.0</v>
      </c>
      <c r="AB1578" s="109">
        <v>0.0</v>
      </c>
      <c r="AC1578" s="109">
        <v>0.0</v>
      </c>
      <c r="AD1578" s="141">
        <v>184.0</v>
      </c>
      <c r="AE1578" s="80">
        <v>184.0</v>
      </c>
      <c r="AF1578" s="140">
        <v>0.0</v>
      </c>
      <c r="AG1578" s="109">
        <v>0.0</v>
      </c>
      <c r="AH1578" s="109">
        <v>0.0</v>
      </c>
      <c r="AI1578" s="141">
        <v>67.0</v>
      </c>
      <c r="AJ1578" s="80">
        <v>67.0</v>
      </c>
      <c r="AK1578" s="140">
        <v>0.0</v>
      </c>
      <c r="AL1578" s="109">
        <v>0.0</v>
      </c>
      <c r="AM1578" s="141">
        <v>0.0</v>
      </c>
      <c r="AN1578" s="80">
        <v>0.0</v>
      </c>
      <c r="AO1578" s="140">
        <v>0.0</v>
      </c>
      <c r="AP1578" s="109">
        <v>0.0</v>
      </c>
      <c r="AQ1578" s="109">
        <v>116.0</v>
      </c>
      <c r="AR1578" s="80">
        <v>116.0</v>
      </c>
      <c r="AS1578" s="110">
        <v>0.0</v>
      </c>
      <c r="AT1578" s="110">
        <v>0.0</v>
      </c>
      <c r="AU1578" s="110">
        <v>0.0</v>
      </c>
      <c r="AV1578" s="142">
        <v>0.0</v>
      </c>
      <c r="AW1578" s="80">
        <v>0.0</v>
      </c>
      <c r="AX1578" s="113">
        <v>367.0</v>
      </c>
      <c r="AY1578" s="117">
        <v>251.0</v>
      </c>
      <c r="AZ1578" s="328">
        <v>116.0</v>
      </c>
      <c r="BA1578" s="315">
        <v>0.0</v>
      </c>
      <c r="BB1578" s="316">
        <v>367.0</v>
      </c>
      <c r="BC1578" s="132" t="s">
        <v>178</v>
      </c>
      <c r="BD1578" s="132" t="s">
        <v>178</v>
      </c>
      <c r="BE1578" s="132" t="s">
        <v>178</v>
      </c>
      <c r="BF1578" s="156"/>
      <c r="BG1578" s="83">
        <v>1103220.0</v>
      </c>
      <c r="BH1578" s="112">
        <v>11.0</v>
      </c>
      <c r="BI1578" s="98" t="s">
        <v>155</v>
      </c>
      <c r="BJ1578" s="98" t="str">
        <f t="shared" si="1"/>
        <v>INTEGRAL</v>
      </c>
      <c r="BK1578" s="98" t="str">
        <f t="shared" si="2"/>
        <v>NÃO</v>
      </c>
    </row>
    <row r="1579" ht="15.75" customHeight="1">
      <c r="A1579" s="111" t="s">
        <v>1785</v>
      </c>
      <c r="B1579" s="83" t="s">
        <v>1994</v>
      </c>
      <c r="C1579" s="83" t="s">
        <v>68</v>
      </c>
      <c r="D1579" s="83">
        <v>1141939.0</v>
      </c>
      <c r="E1579" s="83"/>
      <c r="F1579" s="83">
        <v>2.9192293E7</v>
      </c>
      <c r="G1579" s="114" t="s">
        <v>12907</v>
      </c>
      <c r="H1579" s="91" t="s">
        <v>8741</v>
      </c>
      <c r="I1579" s="114" t="s">
        <v>8382</v>
      </c>
      <c r="J1579" s="83" t="s">
        <v>150</v>
      </c>
      <c r="K1579" s="83" t="s">
        <v>151</v>
      </c>
      <c r="L1579" s="83" t="s">
        <v>152</v>
      </c>
      <c r="M1579" s="82" t="s">
        <v>12908</v>
      </c>
      <c r="N1579" s="82" t="s">
        <v>12909</v>
      </c>
      <c r="O1579" s="82" t="s">
        <v>12910</v>
      </c>
      <c r="P1579" s="82" t="s">
        <v>12911</v>
      </c>
      <c r="Q1579" s="82" t="s">
        <v>12912</v>
      </c>
      <c r="R1579" s="82" t="s">
        <v>12913</v>
      </c>
      <c r="S1579" s="82" t="s">
        <v>12914</v>
      </c>
      <c r="T1579" s="138">
        <v>17.0</v>
      </c>
      <c r="U1579" s="341">
        <v>17.0</v>
      </c>
      <c r="V1579" s="106">
        <v>0.0</v>
      </c>
      <c r="W1579" s="107">
        <v>0.0</v>
      </c>
      <c r="X1579" s="107">
        <v>0.0</v>
      </c>
      <c r="Y1579" s="107">
        <v>0.0</v>
      </c>
      <c r="Z1579" s="80">
        <v>0.0</v>
      </c>
      <c r="AA1579" s="140">
        <v>235.0</v>
      </c>
      <c r="AB1579" s="109">
        <v>257.0</v>
      </c>
      <c r="AC1579" s="109">
        <v>0.0</v>
      </c>
      <c r="AD1579" s="141">
        <v>0.0</v>
      </c>
      <c r="AE1579" s="80">
        <v>492.0</v>
      </c>
      <c r="AF1579" s="140">
        <v>318.0</v>
      </c>
      <c r="AG1579" s="109">
        <v>131.0</v>
      </c>
      <c r="AH1579" s="109">
        <v>0.0</v>
      </c>
      <c r="AI1579" s="141">
        <v>0.0</v>
      </c>
      <c r="AJ1579" s="80">
        <v>449.0</v>
      </c>
      <c r="AK1579" s="140">
        <v>0.0</v>
      </c>
      <c r="AL1579" s="109">
        <v>0.0</v>
      </c>
      <c r="AM1579" s="141">
        <v>0.0</v>
      </c>
      <c r="AN1579" s="80">
        <v>0.0</v>
      </c>
      <c r="AO1579" s="140">
        <v>0.0</v>
      </c>
      <c r="AP1579" s="109">
        <v>0.0</v>
      </c>
      <c r="AQ1579" s="109">
        <v>146.0</v>
      </c>
      <c r="AR1579" s="80">
        <v>146.0</v>
      </c>
      <c r="AS1579" s="110">
        <v>0.0</v>
      </c>
      <c r="AT1579" s="110">
        <v>0.0</v>
      </c>
      <c r="AU1579" s="110">
        <v>0.0</v>
      </c>
      <c r="AV1579" s="142">
        <v>0.0</v>
      </c>
      <c r="AW1579" s="80">
        <v>0.0</v>
      </c>
      <c r="AX1579" s="113">
        <v>1087.0</v>
      </c>
      <c r="AY1579" s="117">
        <v>941.0</v>
      </c>
      <c r="AZ1579" s="328">
        <v>146.0</v>
      </c>
      <c r="BA1579" s="315">
        <v>0.0</v>
      </c>
      <c r="BB1579" s="316">
        <v>1087.0</v>
      </c>
      <c r="BC1579" s="132" t="s">
        <v>178</v>
      </c>
      <c r="BD1579" s="132" t="s">
        <v>178</v>
      </c>
      <c r="BE1579" s="132" t="s">
        <v>178</v>
      </c>
      <c r="BF1579" s="123"/>
      <c r="BG1579" s="83">
        <v>1141939.0</v>
      </c>
      <c r="BH1579" s="112">
        <v>17.0</v>
      </c>
      <c r="BI1579" s="98" t="s">
        <v>155</v>
      </c>
      <c r="BJ1579" s="98" t="str">
        <f t="shared" si="1"/>
        <v>NÃO</v>
      </c>
      <c r="BK1579" s="98" t="str">
        <f t="shared" si="2"/>
        <v>NÃO</v>
      </c>
    </row>
    <row r="1580" ht="15.75" customHeight="1">
      <c r="A1580" s="111" t="s">
        <v>1785</v>
      </c>
      <c r="B1580" s="83" t="s">
        <v>1994</v>
      </c>
      <c r="C1580" s="83" t="s">
        <v>68</v>
      </c>
      <c r="D1580" s="83">
        <v>1103786.0</v>
      </c>
      <c r="E1580" s="83"/>
      <c r="F1580" s="83">
        <v>2.9181496E7</v>
      </c>
      <c r="G1580" s="114" t="s">
        <v>12915</v>
      </c>
      <c r="H1580" s="91" t="s">
        <v>8744</v>
      </c>
      <c r="I1580" s="114" t="s">
        <v>8133</v>
      </c>
      <c r="J1580" s="83" t="s">
        <v>150</v>
      </c>
      <c r="K1580" s="83" t="s">
        <v>151</v>
      </c>
      <c r="L1580" s="83" t="s">
        <v>230</v>
      </c>
      <c r="M1580" s="82" t="s">
        <v>12916</v>
      </c>
      <c r="N1580" s="82" t="s">
        <v>12917</v>
      </c>
      <c r="O1580" s="82" t="s">
        <v>12918</v>
      </c>
      <c r="P1580" s="82" t="s">
        <v>12919</v>
      </c>
      <c r="Q1580" s="82" t="s">
        <v>12920</v>
      </c>
      <c r="R1580" s="82" t="s">
        <v>12921</v>
      </c>
      <c r="S1580" s="82" t="s">
        <v>12922</v>
      </c>
      <c r="T1580" s="138">
        <v>24.0</v>
      </c>
      <c r="U1580" s="340">
        <v>28.0</v>
      </c>
      <c r="V1580" s="106">
        <v>0.0</v>
      </c>
      <c r="W1580" s="107">
        <v>0.0</v>
      </c>
      <c r="X1580" s="107">
        <v>0.0</v>
      </c>
      <c r="Y1580" s="107">
        <v>0.0</v>
      </c>
      <c r="Z1580" s="80">
        <v>0.0</v>
      </c>
      <c r="AA1580" s="140">
        <v>0.0</v>
      </c>
      <c r="AB1580" s="109">
        <v>0.0</v>
      </c>
      <c r="AC1580" s="109">
        <v>0.0</v>
      </c>
      <c r="AD1580" s="141">
        <v>0.0</v>
      </c>
      <c r="AE1580" s="80">
        <v>0.0</v>
      </c>
      <c r="AF1580" s="140">
        <v>666.0</v>
      </c>
      <c r="AG1580" s="109">
        <v>247.0</v>
      </c>
      <c r="AH1580" s="109">
        <v>40.0</v>
      </c>
      <c r="AI1580" s="141">
        <v>0.0</v>
      </c>
      <c r="AJ1580" s="80">
        <v>953.0</v>
      </c>
      <c r="AK1580" s="140">
        <v>0.0</v>
      </c>
      <c r="AL1580" s="109">
        <v>0.0</v>
      </c>
      <c r="AM1580" s="141">
        <v>0.0</v>
      </c>
      <c r="AN1580" s="80">
        <v>0.0</v>
      </c>
      <c r="AO1580" s="140">
        <v>0.0</v>
      </c>
      <c r="AP1580" s="109">
        <v>0.0</v>
      </c>
      <c r="AQ1580" s="109">
        <v>187.0</v>
      </c>
      <c r="AR1580" s="80">
        <v>187.0</v>
      </c>
      <c r="AS1580" s="110">
        <v>150.0</v>
      </c>
      <c r="AT1580" s="110">
        <v>0.0</v>
      </c>
      <c r="AU1580" s="110">
        <v>103.0</v>
      </c>
      <c r="AV1580" s="142">
        <v>0.0</v>
      </c>
      <c r="AW1580" s="80">
        <v>253.0</v>
      </c>
      <c r="AX1580" s="113">
        <v>1393.0</v>
      </c>
      <c r="AY1580" s="117">
        <v>1063.0</v>
      </c>
      <c r="AZ1580" s="328">
        <v>330.0</v>
      </c>
      <c r="BA1580" s="315">
        <v>10.0</v>
      </c>
      <c r="BB1580" s="316">
        <v>1403.0</v>
      </c>
      <c r="BC1580" s="132" t="s">
        <v>178</v>
      </c>
      <c r="BD1580" s="132" t="s">
        <v>178</v>
      </c>
      <c r="BE1580" s="132" t="s">
        <v>178</v>
      </c>
      <c r="BF1580" s="123"/>
      <c r="BG1580" s="83">
        <v>1103786.0</v>
      </c>
      <c r="BH1580" s="112">
        <v>28.0</v>
      </c>
      <c r="BI1580" s="98" t="s">
        <v>155</v>
      </c>
      <c r="BJ1580" s="98" t="str">
        <f t="shared" si="1"/>
        <v>NÃO</v>
      </c>
      <c r="BK1580" s="98" t="str">
        <f t="shared" si="2"/>
        <v>PROFISSIONAL</v>
      </c>
    </row>
    <row r="1581" ht="15.75" customHeight="1">
      <c r="A1581" s="111" t="s">
        <v>1785</v>
      </c>
      <c r="B1581" s="83" t="s">
        <v>1994</v>
      </c>
      <c r="C1581" s="83" t="s">
        <v>68</v>
      </c>
      <c r="D1581" s="83">
        <v>1136498.0</v>
      </c>
      <c r="E1581" s="83"/>
      <c r="F1581" s="83">
        <v>2.9190967E7</v>
      </c>
      <c r="G1581" s="114" t="s">
        <v>12923</v>
      </c>
      <c r="H1581" s="91" t="s">
        <v>8560</v>
      </c>
      <c r="I1581" s="114" t="s">
        <v>8561</v>
      </c>
      <c r="J1581" s="83" t="s">
        <v>150</v>
      </c>
      <c r="K1581" s="83" t="s">
        <v>151</v>
      </c>
      <c r="L1581" s="83" t="s">
        <v>152</v>
      </c>
      <c r="M1581" s="82" t="s">
        <v>12924</v>
      </c>
      <c r="N1581" s="82" t="s">
        <v>12925</v>
      </c>
      <c r="O1581" s="82" t="s">
        <v>12926</v>
      </c>
      <c r="P1581" s="82" t="s">
        <v>12927</v>
      </c>
      <c r="Q1581" s="82"/>
      <c r="R1581" s="82"/>
      <c r="S1581" s="82" t="s">
        <v>12928</v>
      </c>
      <c r="T1581" s="138">
        <v>15.0</v>
      </c>
      <c r="U1581" s="341">
        <v>17.0</v>
      </c>
      <c r="V1581" s="106">
        <v>0.0</v>
      </c>
      <c r="W1581" s="107">
        <v>0.0</v>
      </c>
      <c r="X1581" s="107">
        <v>0.0</v>
      </c>
      <c r="Y1581" s="107">
        <v>0.0</v>
      </c>
      <c r="Z1581" s="80">
        <v>0.0</v>
      </c>
      <c r="AA1581" s="140">
        <v>326.0</v>
      </c>
      <c r="AB1581" s="109">
        <v>144.0</v>
      </c>
      <c r="AC1581" s="109">
        <v>0.0</v>
      </c>
      <c r="AD1581" s="141">
        <v>0.0</v>
      </c>
      <c r="AE1581" s="80">
        <v>470.0</v>
      </c>
      <c r="AF1581" s="140">
        <v>0.0</v>
      </c>
      <c r="AG1581" s="109">
        <v>0.0</v>
      </c>
      <c r="AH1581" s="109">
        <v>0.0</v>
      </c>
      <c r="AI1581" s="141">
        <v>0.0</v>
      </c>
      <c r="AJ1581" s="80">
        <v>0.0</v>
      </c>
      <c r="AK1581" s="140">
        <v>0.0</v>
      </c>
      <c r="AL1581" s="109">
        <v>0.0</v>
      </c>
      <c r="AM1581" s="141">
        <v>0.0</v>
      </c>
      <c r="AN1581" s="80">
        <v>0.0</v>
      </c>
      <c r="AO1581" s="140">
        <v>0.0</v>
      </c>
      <c r="AP1581" s="109">
        <v>0.0</v>
      </c>
      <c r="AQ1581" s="109">
        <v>0.0</v>
      </c>
      <c r="AR1581" s="80">
        <v>0.0</v>
      </c>
      <c r="AS1581" s="110">
        <v>0.0</v>
      </c>
      <c r="AT1581" s="110">
        <v>0.0</v>
      </c>
      <c r="AU1581" s="110">
        <v>0.0</v>
      </c>
      <c r="AV1581" s="142">
        <v>0.0</v>
      </c>
      <c r="AW1581" s="80">
        <v>0.0</v>
      </c>
      <c r="AX1581" s="113">
        <v>470.0</v>
      </c>
      <c r="AY1581" s="117">
        <v>470.0</v>
      </c>
      <c r="AZ1581" s="328">
        <v>0.0</v>
      </c>
      <c r="BA1581" s="315">
        <v>0.0</v>
      </c>
      <c r="BB1581" s="316">
        <v>470.0</v>
      </c>
      <c r="BC1581" s="132" t="s">
        <v>178</v>
      </c>
      <c r="BD1581" s="132" t="s">
        <v>178</v>
      </c>
      <c r="BE1581" s="132" t="s">
        <v>178</v>
      </c>
      <c r="BF1581" s="123"/>
      <c r="BG1581" s="83">
        <v>1136498.0</v>
      </c>
      <c r="BH1581" s="112">
        <v>17.0</v>
      </c>
      <c r="BI1581" s="98" t="s">
        <v>155</v>
      </c>
      <c r="BJ1581" s="98" t="str">
        <f t="shared" si="1"/>
        <v>NÃO</v>
      </c>
      <c r="BK1581" s="98" t="str">
        <f t="shared" si="2"/>
        <v>NÃO</v>
      </c>
    </row>
    <row r="1582" ht="15.75" customHeight="1">
      <c r="A1582" s="111" t="s">
        <v>1785</v>
      </c>
      <c r="B1582" s="83" t="s">
        <v>1994</v>
      </c>
      <c r="C1582" s="83" t="s">
        <v>68</v>
      </c>
      <c r="D1582" s="83">
        <v>1101899.0</v>
      </c>
      <c r="E1582" s="83"/>
      <c r="F1582" s="83">
        <v>2.9181488E7</v>
      </c>
      <c r="G1582" s="114" t="s">
        <v>12929</v>
      </c>
      <c r="H1582" s="91" t="s">
        <v>8566</v>
      </c>
      <c r="I1582" s="114" t="s">
        <v>8219</v>
      </c>
      <c r="J1582" s="83" t="s">
        <v>150</v>
      </c>
      <c r="K1582" s="83" t="s">
        <v>151</v>
      </c>
      <c r="L1582" s="83" t="s">
        <v>152</v>
      </c>
      <c r="M1582" s="82" t="s">
        <v>12930</v>
      </c>
      <c r="N1582" s="82" t="s">
        <v>12931</v>
      </c>
      <c r="O1582" s="82" t="s">
        <v>12932</v>
      </c>
      <c r="P1582" s="82" t="s">
        <v>12933</v>
      </c>
      <c r="Q1582" s="82"/>
      <c r="R1582" s="82"/>
      <c r="S1582" s="82" t="s">
        <v>12934</v>
      </c>
      <c r="T1582" s="138">
        <v>19.0</v>
      </c>
      <c r="U1582" s="341">
        <v>26.0</v>
      </c>
      <c r="V1582" s="106">
        <v>0.0</v>
      </c>
      <c r="W1582" s="107">
        <v>0.0</v>
      </c>
      <c r="X1582" s="107">
        <v>0.0</v>
      </c>
      <c r="Y1582" s="107">
        <v>0.0</v>
      </c>
      <c r="Z1582" s="80">
        <v>0.0</v>
      </c>
      <c r="AA1582" s="140">
        <v>0.0</v>
      </c>
      <c r="AB1582" s="109">
        <v>0.0</v>
      </c>
      <c r="AC1582" s="109">
        <v>0.0</v>
      </c>
      <c r="AD1582" s="141">
        <v>0.0</v>
      </c>
      <c r="AE1582" s="80">
        <v>0.0</v>
      </c>
      <c r="AF1582" s="140">
        <v>0.0</v>
      </c>
      <c r="AG1582" s="109">
        <v>0.0</v>
      </c>
      <c r="AH1582" s="109">
        <v>0.0</v>
      </c>
      <c r="AI1582" s="141">
        <v>571.0</v>
      </c>
      <c r="AJ1582" s="80">
        <v>571.0</v>
      </c>
      <c r="AK1582" s="140">
        <v>0.0</v>
      </c>
      <c r="AL1582" s="109">
        <v>0.0</v>
      </c>
      <c r="AM1582" s="141">
        <v>0.0</v>
      </c>
      <c r="AN1582" s="80">
        <v>0.0</v>
      </c>
      <c r="AO1582" s="140">
        <v>0.0</v>
      </c>
      <c r="AP1582" s="109">
        <v>0.0</v>
      </c>
      <c r="AQ1582" s="109">
        <v>0.0</v>
      </c>
      <c r="AR1582" s="80">
        <v>0.0</v>
      </c>
      <c r="AS1582" s="110">
        <v>0.0</v>
      </c>
      <c r="AT1582" s="110">
        <v>0.0</v>
      </c>
      <c r="AU1582" s="110">
        <v>0.0</v>
      </c>
      <c r="AV1582" s="142">
        <v>0.0</v>
      </c>
      <c r="AW1582" s="80">
        <v>0.0</v>
      </c>
      <c r="AX1582" s="113">
        <v>571.0</v>
      </c>
      <c r="AY1582" s="117">
        <v>571.0</v>
      </c>
      <c r="AZ1582" s="328">
        <v>0.0</v>
      </c>
      <c r="BA1582" s="315">
        <v>0.0</v>
      </c>
      <c r="BB1582" s="316">
        <v>571.0</v>
      </c>
      <c r="BC1582" s="132" t="s">
        <v>178</v>
      </c>
      <c r="BD1582" s="132" t="s">
        <v>178</v>
      </c>
      <c r="BE1582" s="132" t="s">
        <v>178</v>
      </c>
      <c r="BF1582" s="156"/>
      <c r="BG1582" s="83">
        <v>1101899.0</v>
      </c>
      <c r="BH1582" s="112">
        <v>26.0</v>
      </c>
      <c r="BI1582" s="98" t="s">
        <v>284</v>
      </c>
      <c r="BJ1582" s="98" t="str">
        <f t="shared" si="1"/>
        <v>INTEGRAL</v>
      </c>
      <c r="BK1582" s="98" t="str">
        <f t="shared" si="2"/>
        <v>NÃO</v>
      </c>
    </row>
    <row r="1583" ht="15.75" customHeight="1">
      <c r="A1583" s="111" t="s">
        <v>1785</v>
      </c>
      <c r="B1583" s="83" t="s">
        <v>1994</v>
      </c>
      <c r="C1583" s="83" t="s">
        <v>68</v>
      </c>
      <c r="D1583" s="83">
        <v>1101872.0</v>
      </c>
      <c r="E1583" s="83"/>
      <c r="F1583" s="83">
        <v>2.9182166E7</v>
      </c>
      <c r="G1583" s="114" t="s">
        <v>8568</v>
      </c>
      <c r="H1583" s="91" t="s">
        <v>8569</v>
      </c>
      <c r="I1583" s="114" t="s">
        <v>8570</v>
      </c>
      <c r="J1583" s="83" t="s">
        <v>150</v>
      </c>
      <c r="K1583" s="83" t="s">
        <v>151</v>
      </c>
      <c r="L1583" s="83" t="s">
        <v>152</v>
      </c>
      <c r="M1583" s="82" t="s">
        <v>12935</v>
      </c>
      <c r="N1583" s="82" t="s">
        <v>12936</v>
      </c>
      <c r="O1583" s="82" t="s">
        <v>12937</v>
      </c>
      <c r="P1583" s="82" t="s">
        <v>12938</v>
      </c>
      <c r="Q1583" s="82" t="s">
        <v>12939</v>
      </c>
      <c r="R1583" s="82" t="s">
        <v>12940</v>
      </c>
      <c r="S1583" s="82" t="s">
        <v>12941</v>
      </c>
      <c r="T1583" s="138">
        <v>18.0</v>
      </c>
      <c r="U1583" s="341">
        <v>18.0</v>
      </c>
      <c r="V1583" s="106">
        <v>0.0</v>
      </c>
      <c r="W1583" s="107">
        <v>0.0</v>
      </c>
      <c r="X1583" s="107">
        <v>0.0</v>
      </c>
      <c r="Y1583" s="107">
        <v>0.0</v>
      </c>
      <c r="Z1583" s="80">
        <v>0.0</v>
      </c>
      <c r="AA1583" s="140">
        <v>0.0</v>
      </c>
      <c r="AB1583" s="109">
        <v>0.0</v>
      </c>
      <c r="AC1583" s="109">
        <v>0.0</v>
      </c>
      <c r="AD1583" s="141">
        <v>0.0</v>
      </c>
      <c r="AE1583" s="80">
        <v>0.0</v>
      </c>
      <c r="AF1583" s="140">
        <v>0.0</v>
      </c>
      <c r="AG1583" s="109">
        <v>128.0</v>
      </c>
      <c r="AH1583" s="109">
        <v>0.0</v>
      </c>
      <c r="AI1583" s="141">
        <v>28.0</v>
      </c>
      <c r="AJ1583" s="80">
        <v>156.0</v>
      </c>
      <c r="AK1583" s="140">
        <v>0.0</v>
      </c>
      <c r="AL1583" s="109">
        <v>0.0</v>
      </c>
      <c r="AM1583" s="141">
        <v>0.0</v>
      </c>
      <c r="AN1583" s="80">
        <v>0.0</v>
      </c>
      <c r="AO1583" s="140">
        <v>0.0</v>
      </c>
      <c r="AP1583" s="109">
        <v>0.0</v>
      </c>
      <c r="AQ1583" s="109">
        <v>91.0</v>
      </c>
      <c r="AR1583" s="80">
        <v>91.0</v>
      </c>
      <c r="AS1583" s="110">
        <v>477.0</v>
      </c>
      <c r="AT1583" s="110">
        <v>27.0</v>
      </c>
      <c r="AU1583" s="110">
        <v>75.0</v>
      </c>
      <c r="AV1583" s="142">
        <v>0.0</v>
      </c>
      <c r="AW1583" s="80">
        <v>579.0</v>
      </c>
      <c r="AX1583" s="113">
        <v>826.0</v>
      </c>
      <c r="AY1583" s="117">
        <v>660.0</v>
      </c>
      <c r="AZ1583" s="328">
        <v>166.0</v>
      </c>
      <c r="BA1583" s="315">
        <v>0.0</v>
      </c>
      <c r="BB1583" s="316">
        <v>826.0</v>
      </c>
      <c r="BC1583" s="132" t="s">
        <v>178</v>
      </c>
      <c r="BD1583" s="132" t="s">
        <v>178</v>
      </c>
      <c r="BE1583" s="132" t="s">
        <v>178</v>
      </c>
      <c r="BF1583" s="123"/>
      <c r="BG1583" s="83">
        <v>1101872.0</v>
      </c>
      <c r="BH1583" s="112">
        <v>18.0</v>
      </c>
      <c r="BI1583" s="98" t="s">
        <v>155</v>
      </c>
      <c r="BJ1583" s="98" t="str">
        <f t="shared" si="1"/>
        <v>INTEGRAL</v>
      </c>
      <c r="BK1583" s="98" t="str">
        <f t="shared" si="2"/>
        <v>PROFISSIONAL</v>
      </c>
    </row>
    <row r="1584" ht="15.75" customHeight="1">
      <c r="A1584" s="111" t="s">
        <v>1785</v>
      </c>
      <c r="B1584" s="83" t="s">
        <v>1994</v>
      </c>
      <c r="C1584" s="83" t="s">
        <v>68</v>
      </c>
      <c r="D1584" s="83">
        <v>1100817.0</v>
      </c>
      <c r="E1584" s="83"/>
      <c r="F1584" s="83">
        <v>2.9192617E7</v>
      </c>
      <c r="G1584" s="114" t="s">
        <v>12942</v>
      </c>
      <c r="H1584" s="91" t="s">
        <v>8668</v>
      </c>
      <c r="I1584" s="114" t="s">
        <v>8669</v>
      </c>
      <c r="J1584" s="83" t="s">
        <v>150</v>
      </c>
      <c r="K1584" s="83" t="s">
        <v>151</v>
      </c>
      <c r="L1584" s="83" t="s">
        <v>169</v>
      </c>
      <c r="M1584" s="82" t="s">
        <v>12943</v>
      </c>
      <c r="N1584" s="82" t="s">
        <v>12944</v>
      </c>
      <c r="O1584" s="82" t="s">
        <v>12945</v>
      </c>
      <c r="P1584" s="82" t="s">
        <v>12946</v>
      </c>
      <c r="Q1584" s="82"/>
      <c r="R1584" s="82"/>
      <c r="S1584" s="82" t="s">
        <v>12947</v>
      </c>
      <c r="T1584" s="138">
        <v>13.0</v>
      </c>
      <c r="U1584" s="341">
        <v>13.0</v>
      </c>
      <c r="V1584" s="106">
        <v>0.0</v>
      </c>
      <c r="W1584" s="107">
        <v>0.0</v>
      </c>
      <c r="X1584" s="107">
        <v>0.0</v>
      </c>
      <c r="Y1584" s="107">
        <v>0.0</v>
      </c>
      <c r="Z1584" s="80">
        <v>0.0</v>
      </c>
      <c r="AA1584" s="140">
        <v>36.0</v>
      </c>
      <c r="AB1584" s="109">
        <v>0.0</v>
      </c>
      <c r="AC1584" s="109">
        <v>0.0</v>
      </c>
      <c r="AD1584" s="141">
        <v>94.0</v>
      </c>
      <c r="AE1584" s="80">
        <v>130.0</v>
      </c>
      <c r="AF1584" s="140">
        <v>44.0</v>
      </c>
      <c r="AG1584" s="109">
        <v>0.0</v>
      </c>
      <c r="AH1584" s="109">
        <v>0.0</v>
      </c>
      <c r="AI1584" s="141">
        <v>23.0</v>
      </c>
      <c r="AJ1584" s="80">
        <v>67.0</v>
      </c>
      <c r="AK1584" s="140">
        <v>0.0</v>
      </c>
      <c r="AL1584" s="109">
        <v>0.0</v>
      </c>
      <c r="AM1584" s="141">
        <v>0.0</v>
      </c>
      <c r="AN1584" s="80">
        <v>0.0</v>
      </c>
      <c r="AO1584" s="140">
        <v>0.0</v>
      </c>
      <c r="AP1584" s="109">
        <v>0.0</v>
      </c>
      <c r="AQ1584" s="109">
        <v>0.0</v>
      </c>
      <c r="AR1584" s="80">
        <v>0.0</v>
      </c>
      <c r="AS1584" s="110">
        <v>0.0</v>
      </c>
      <c r="AT1584" s="110">
        <v>0.0</v>
      </c>
      <c r="AU1584" s="110">
        <v>0.0</v>
      </c>
      <c r="AV1584" s="142">
        <v>0.0</v>
      </c>
      <c r="AW1584" s="80">
        <v>0.0</v>
      </c>
      <c r="AX1584" s="113">
        <v>197.0</v>
      </c>
      <c r="AY1584" s="117">
        <v>197.0</v>
      </c>
      <c r="AZ1584" s="328">
        <v>0.0</v>
      </c>
      <c r="BA1584" s="315">
        <v>0.0</v>
      </c>
      <c r="BB1584" s="316">
        <v>197.0</v>
      </c>
      <c r="BC1584" s="132" t="s">
        <v>178</v>
      </c>
      <c r="BD1584" s="132" t="s">
        <v>178</v>
      </c>
      <c r="BE1584" s="132" t="s">
        <v>178</v>
      </c>
      <c r="BF1584" s="156"/>
      <c r="BG1584" s="83">
        <v>1100817.0</v>
      </c>
      <c r="BH1584" s="112">
        <v>13.0</v>
      </c>
      <c r="BI1584" s="98" t="s">
        <v>155</v>
      </c>
      <c r="BJ1584" s="98" t="str">
        <f t="shared" si="1"/>
        <v>INTEGRAL</v>
      </c>
      <c r="BK1584" s="98" t="str">
        <f t="shared" si="2"/>
        <v>NÃO</v>
      </c>
    </row>
    <row r="1585" ht="15.75" customHeight="1">
      <c r="A1585" s="111" t="s">
        <v>1785</v>
      </c>
      <c r="B1585" s="83" t="s">
        <v>1994</v>
      </c>
      <c r="C1585" s="83" t="s">
        <v>68</v>
      </c>
      <c r="D1585" s="83">
        <v>1103174.0</v>
      </c>
      <c r="E1585" s="83"/>
      <c r="F1585" s="83">
        <v>2.9182719E7</v>
      </c>
      <c r="G1585" s="114" t="s">
        <v>12948</v>
      </c>
      <c r="H1585" s="91" t="s">
        <v>9129</v>
      </c>
      <c r="I1585" s="114" t="s">
        <v>8868</v>
      </c>
      <c r="J1585" s="83" t="s">
        <v>150</v>
      </c>
      <c r="K1585" s="83" t="s">
        <v>151</v>
      </c>
      <c r="L1585" s="83" t="s">
        <v>76</v>
      </c>
      <c r="M1585" s="82" t="s">
        <v>12949</v>
      </c>
      <c r="N1585" s="82" t="s">
        <v>12950</v>
      </c>
      <c r="O1585" s="82" t="s">
        <v>12951</v>
      </c>
      <c r="P1585" s="82" t="s">
        <v>12952</v>
      </c>
      <c r="Q1585" s="82"/>
      <c r="R1585" s="82"/>
      <c r="S1585" s="82" t="s">
        <v>12953</v>
      </c>
      <c r="T1585" s="138">
        <v>13.0</v>
      </c>
      <c r="U1585" s="341">
        <v>13.0</v>
      </c>
      <c r="V1585" s="106">
        <v>0.0</v>
      </c>
      <c r="W1585" s="107">
        <v>0.0</v>
      </c>
      <c r="X1585" s="107">
        <v>0.0</v>
      </c>
      <c r="Y1585" s="107">
        <v>0.0</v>
      </c>
      <c r="Z1585" s="80">
        <v>0.0</v>
      </c>
      <c r="AA1585" s="140">
        <v>264.0</v>
      </c>
      <c r="AB1585" s="109">
        <v>41.0</v>
      </c>
      <c r="AC1585" s="109">
        <v>0.0</v>
      </c>
      <c r="AD1585" s="141">
        <v>0.0</v>
      </c>
      <c r="AE1585" s="80">
        <v>305.0</v>
      </c>
      <c r="AF1585" s="140">
        <v>211.0</v>
      </c>
      <c r="AG1585" s="109">
        <v>33.0</v>
      </c>
      <c r="AH1585" s="109">
        <v>0.0</v>
      </c>
      <c r="AI1585" s="141">
        <v>0.0</v>
      </c>
      <c r="AJ1585" s="80">
        <v>244.0</v>
      </c>
      <c r="AK1585" s="140">
        <v>0.0</v>
      </c>
      <c r="AL1585" s="109">
        <v>0.0</v>
      </c>
      <c r="AM1585" s="141">
        <v>0.0</v>
      </c>
      <c r="AN1585" s="80">
        <v>0.0</v>
      </c>
      <c r="AO1585" s="140">
        <v>0.0</v>
      </c>
      <c r="AP1585" s="109">
        <v>0.0</v>
      </c>
      <c r="AQ1585" s="109">
        <v>0.0</v>
      </c>
      <c r="AR1585" s="80">
        <v>0.0</v>
      </c>
      <c r="AS1585" s="110">
        <v>0.0</v>
      </c>
      <c r="AT1585" s="110">
        <v>0.0</v>
      </c>
      <c r="AU1585" s="110">
        <v>0.0</v>
      </c>
      <c r="AV1585" s="142">
        <v>0.0</v>
      </c>
      <c r="AW1585" s="80">
        <v>0.0</v>
      </c>
      <c r="AX1585" s="113">
        <v>549.0</v>
      </c>
      <c r="AY1585" s="117">
        <v>549.0</v>
      </c>
      <c r="AZ1585" s="328">
        <v>0.0</v>
      </c>
      <c r="BA1585" s="315">
        <v>2.0</v>
      </c>
      <c r="BB1585" s="316">
        <v>551.0</v>
      </c>
      <c r="BC1585" s="132" t="s">
        <v>178</v>
      </c>
      <c r="BD1585" s="132" t="s">
        <v>178</v>
      </c>
      <c r="BE1585" s="132" t="s">
        <v>178</v>
      </c>
      <c r="BF1585" s="123"/>
      <c r="BG1585" s="83">
        <v>1103174.0</v>
      </c>
      <c r="BH1585" s="112">
        <v>13.0</v>
      </c>
      <c r="BI1585" s="98" t="s">
        <v>155</v>
      </c>
      <c r="BJ1585" s="98" t="str">
        <f t="shared" si="1"/>
        <v>NÃO</v>
      </c>
      <c r="BK1585" s="98" t="str">
        <f t="shared" si="2"/>
        <v>NÃO</v>
      </c>
    </row>
    <row r="1586" ht="15.75" customHeight="1">
      <c r="A1586" s="111" t="s">
        <v>1785</v>
      </c>
      <c r="B1586" s="83" t="s">
        <v>1994</v>
      </c>
      <c r="C1586" s="83" t="s">
        <v>68</v>
      </c>
      <c r="D1586" s="83">
        <v>1176205.0</v>
      </c>
      <c r="E1586" s="83"/>
      <c r="F1586" s="83">
        <v>2.9359597E7</v>
      </c>
      <c r="G1586" s="114" t="s">
        <v>12954</v>
      </c>
      <c r="H1586" s="91" t="s">
        <v>8575</v>
      </c>
      <c r="I1586" s="114" t="s">
        <v>8133</v>
      </c>
      <c r="J1586" s="83" t="s">
        <v>150</v>
      </c>
      <c r="K1586" s="83" t="s">
        <v>151</v>
      </c>
      <c r="L1586" s="83" t="s">
        <v>152</v>
      </c>
      <c r="M1586" s="82" t="s">
        <v>12955</v>
      </c>
      <c r="N1586" s="82" t="s">
        <v>12956</v>
      </c>
      <c r="O1586" s="82" t="s">
        <v>12957</v>
      </c>
      <c r="P1586" s="82" t="s">
        <v>12958</v>
      </c>
      <c r="Q1586" s="82"/>
      <c r="R1586" s="82"/>
      <c r="S1586" s="82" t="s">
        <v>12959</v>
      </c>
      <c r="T1586" s="138">
        <v>14.0</v>
      </c>
      <c r="U1586" s="341">
        <v>14.0</v>
      </c>
      <c r="V1586" s="106">
        <v>0.0</v>
      </c>
      <c r="W1586" s="107">
        <v>0.0</v>
      </c>
      <c r="X1586" s="107">
        <v>0.0</v>
      </c>
      <c r="Y1586" s="107">
        <v>0.0</v>
      </c>
      <c r="Z1586" s="80">
        <v>0.0</v>
      </c>
      <c r="AA1586" s="140">
        <v>279.0</v>
      </c>
      <c r="AB1586" s="109">
        <v>210.0</v>
      </c>
      <c r="AC1586" s="109">
        <v>0.0</v>
      </c>
      <c r="AD1586" s="141">
        <v>0.0</v>
      </c>
      <c r="AE1586" s="80">
        <v>489.0</v>
      </c>
      <c r="AF1586" s="140">
        <v>0.0</v>
      </c>
      <c r="AG1586" s="109">
        <v>0.0</v>
      </c>
      <c r="AH1586" s="109">
        <v>0.0</v>
      </c>
      <c r="AI1586" s="141">
        <v>0.0</v>
      </c>
      <c r="AJ1586" s="80">
        <v>0.0</v>
      </c>
      <c r="AK1586" s="140">
        <v>0.0</v>
      </c>
      <c r="AL1586" s="109">
        <v>0.0</v>
      </c>
      <c r="AM1586" s="141">
        <v>0.0</v>
      </c>
      <c r="AN1586" s="80">
        <v>0.0</v>
      </c>
      <c r="AO1586" s="140">
        <v>0.0</v>
      </c>
      <c r="AP1586" s="109">
        <v>0.0</v>
      </c>
      <c r="AQ1586" s="109">
        <v>0.0</v>
      </c>
      <c r="AR1586" s="80">
        <v>0.0</v>
      </c>
      <c r="AS1586" s="110">
        <v>0.0</v>
      </c>
      <c r="AT1586" s="110">
        <v>0.0</v>
      </c>
      <c r="AU1586" s="110">
        <v>0.0</v>
      </c>
      <c r="AV1586" s="142">
        <v>0.0</v>
      </c>
      <c r="AW1586" s="80">
        <v>0.0</v>
      </c>
      <c r="AX1586" s="113">
        <v>489.0</v>
      </c>
      <c r="AY1586" s="117">
        <v>489.0</v>
      </c>
      <c r="AZ1586" s="328">
        <v>0.0</v>
      </c>
      <c r="BA1586" s="315">
        <v>0.0</v>
      </c>
      <c r="BB1586" s="316">
        <v>489.0</v>
      </c>
      <c r="BC1586" s="132" t="s">
        <v>178</v>
      </c>
      <c r="BD1586" s="132" t="s">
        <v>178</v>
      </c>
      <c r="BE1586" s="132" t="s">
        <v>178</v>
      </c>
      <c r="BF1586" s="156"/>
      <c r="BG1586" s="83">
        <v>1176205.0</v>
      </c>
      <c r="BH1586" s="112">
        <v>14.0</v>
      </c>
      <c r="BI1586" s="98" t="s">
        <v>155</v>
      </c>
      <c r="BJ1586" s="98" t="str">
        <f t="shared" si="1"/>
        <v>NÃO</v>
      </c>
      <c r="BK1586" s="98" t="str">
        <f t="shared" si="2"/>
        <v>NÃO</v>
      </c>
    </row>
    <row r="1587" ht="15.75" customHeight="1">
      <c r="A1587" s="111" t="s">
        <v>1785</v>
      </c>
      <c r="B1587" s="83" t="s">
        <v>1994</v>
      </c>
      <c r="C1587" s="83" t="s">
        <v>68</v>
      </c>
      <c r="D1587" s="83">
        <v>1102992.0</v>
      </c>
      <c r="E1587" s="83"/>
      <c r="F1587" s="83">
        <v>2.9182158E7</v>
      </c>
      <c r="G1587" s="114" t="s">
        <v>12960</v>
      </c>
      <c r="H1587" s="91" t="s">
        <v>8747</v>
      </c>
      <c r="I1587" s="114" t="s">
        <v>8204</v>
      </c>
      <c r="J1587" s="83" t="s">
        <v>150</v>
      </c>
      <c r="K1587" s="83" t="s">
        <v>151</v>
      </c>
      <c r="L1587" s="83" t="s">
        <v>152</v>
      </c>
      <c r="M1587" s="82" t="s">
        <v>12961</v>
      </c>
      <c r="N1587" s="82" t="s">
        <v>12962</v>
      </c>
      <c r="O1587" s="82" t="s">
        <v>12963</v>
      </c>
      <c r="P1587" s="82" t="s">
        <v>12964</v>
      </c>
      <c r="Q1587" s="82" t="s">
        <v>12965</v>
      </c>
      <c r="R1587" s="82" t="s">
        <v>12966</v>
      </c>
      <c r="S1587" s="82" t="s">
        <v>12967</v>
      </c>
      <c r="T1587" s="138">
        <v>16.0</v>
      </c>
      <c r="U1587" s="341">
        <v>11.0</v>
      </c>
      <c r="V1587" s="106">
        <v>0.0</v>
      </c>
      <c r="W1587" s="107">
        <v>0.0</v>
      </c>
      <c r="X1587" s="107">
        <v>0.0</v>
      </c>
      <c r="Y1587" s="107">
        <v>0.0</v>
      </c>
      <c r="Z1587" s="80">
        <v>0.0</v>
      </c>
      <c r="AA1587" s="140">
        <v>0.0</v>
      </c>
      <c r="AB1587" s="109">
        <v>0.0</v>
      </c>
      <c r="AC1587" s="109">
        <v>0.0</v>
      </c>
      <c r="AD1587" s="141">
        <v>176.0</v>
      </c>
      <c r="AE1587" s="80">
        <v>176.0</v>
      </c>
      <c r="AF1587" s="140">
        <v>0.0</v>
      </c>
      <c r="AG1587" s="109">
        <v>0.0</v>
      </c>
      <c r="AH1587" s="109">
        <v>32.0</v>
      </c>
      <c r="AI1587" s="141">
        <v>72.0</v>
      </c>
      <c r="AJ1587" s="80">
        <v>104.0</v>
      </c>
      <c r="AK1587" s="140">
        <v>0.0</v>
      </c>
      <c r="AL1587" s="109">
        <v>0.0</v>
      </c>
      <c r="AM1587" s="141">
        <v>0.0</v>
      </c>
      <c r="AN1587" s="80">
        <v>0.0</v>
      </c>
      <c r="AO1587" s="140">
        <v>0.0</v>
      </c>
      <c r="AP1587" s="109">
        <v>0.0</v>
      </c>
      <c r="AQ1587" s="109">
        <v>42.0</v>
      </c>
      <c r="AR1587" s="80">
        <v>42.0</v>
      </c>
      <c r="AS1587" s="110">
        <v>0.0</v>
      </c>
      <c r="AT1587" s="110">
        <v>0.0</v>
      </c>
      <c r="AU1587" s="110">
        <v>0.0</v>
      </c>
      <c r="AV1587" s="142">
        <v>0.0</v>
      </c>
      <c r="AW1587" s="80">
        <v>0.0</v>
      </c>
      <c r="AX1587" s="113">
        <v>322.0</v>
      </c>
      <c r="AY1587" s="117">
        <v>248.0</v>
      </c>
      <c r="AZ1587" s="328">
        <v>74.0</v>
      </c>
      <c r="BA1587" s="315">
        <v>0.0</v>
      </c>
      <c r="BB1587" s="316">
        <v>322.0</v>
      </c>
      <c r="BC1587" s="132" t="s">
        <v>178</v>
      </c>
      <c r="BD1587" s="132" t="s">
        <v>178</v>
      </c>
      <c r="BE1587" s="132" t="s">
        <v>178</v>
      </c>
      <c r="BF1587" s="123"/>
      <c r="BG1587" s="83">
        <v>1102992.0</v>
      </c>
      <c r="BH1587" s="112">
        <v>11.0</v>
      </c>
      <c r="BI1587" s="98" t="s">
        <v>155</v>
      </c>
      <c r="BJ1587" s="98" t="str">
        <f t="shared" si="1"/>
        <v>INTEGRAL</v>
      </c>
      <c r="BK1587" s="98" t="str">
        <f t="shared" si="2"/>
        <v>NÃO</v>
      </c>
    </row>
    <row r="1588" ht="15.75" customHeight="1">
      <c r="A1588" s="111" t="s">
        <v>1785</v>
      </c>
      <c r="B1588" s="83" t="s">
        <v>1994</v>
      </c>
      <c r="C1588" s="83" t="s">
        <v>68</v>
      </c>
      <c r="D1588" s="83">
        <v>1102976.0</v>
      </c>
      <c r="E1588" s="83"/>
      <c r="F1588" s="83">
        <v>2.9190932E7</v>
      </c>
      <c r="G1588" s="114" t="s">
        <v>8577</v>
      </c>
      <c r="H1588" s="91" t="s">
        <v>8578</v>
      </c>
      <c r="I1588" s="114" t="s">
        <v>8579</v>
      </c>
      <c r="J1588" s="83" t="s">
        <v>150</v>
      </c>
      <c r="K1588" s="83" t="s">
        <v>151</v>
      </c>
      <c r="L1588" s="83" t="s">
        <v>152</v>
      </c>
      <c r="M1588" s="82" t="s">
        <v>12968</v>
      </c>
      <c r="N1588" s="82" t="s">
        <v>12969</v>
      </c>
      <c r="O1588" s="82" t="s">
        <v>12970</v>
      </c>
      <c r="P1588" s="82" t="s">
        <v>12971</v>
      </c>
      <c r="Q1588" s="82"/>
      <c r="R1588" s="82"/>
      <c r="S1588" s="82" t="s">
        <v>12972</v>
      </c>
      <c r="T1588" s="138">
        <v>14.0</v>
      </c>
      <c r="U1588" s="341">
        <v>14.0</v>
      </c>
      <c r="V1588" s="106">
        <v>0.0</v>
      </c>
      <c r="W1588" s="107">
        <v>0.0</v>
      </c>
      <c r="X1588" s="107">
        <v>0.0</v>
      </c>
      <c r="Y1588" s="107">
        <v>0.0</v>
      </c>
      <c r="Z1588" s="80">
        <v>0.0</v>
      </c>
      <c r="AA1588" s="140">
        <v>456.0</v>
      </c>
      <c r="AB1588" s="109">
        <v>302.0</v>
      </c>
      <c r="AC1588" s="109">
        <v>0.0</v>
      </c>
      <c r="AD1588" s="141">
        <v>33.0</v>
      </c>
      <c r="AE1588" s="80">
        <v>791.0</v>
      </c>
      <c r="AF1588" s="140">
        <v>0.0</v>
      </c>
      <c r="AG1588" s="109">
        <v>0.0</v>
      </c>
      <c r="AH1588" s="109">
        <v>0.0</v>
      </c>
      <c r="AI1588" s="141">
        <v>0.0</v>
      </c>
      <c r="AJ1588" s="80">
        <v>0.0</v>
      </c>
      <c r="AK1588" s="140">
        <v>0.0</v>
      </c>
      <c r="AL1588" s="109">
        <v>0.0</v>
      </c>
      <c r="AM1588" s="141">
        <v>76.0</v>
      </c>
      <c r="AN1588" s="80">
        <v>76.0</v>
      </c>
      <c r="AO1588" s="140">
        <v>0.0</v>
      </c>
      <c r="AP1588" s="109">
        <v>0.0</v>
      </c>
      <c r="AQ1588" s="109">
        <v>0.0</v>
      </c>
      <c r="AR1588" s="80">
        <v>0.0</v>
      </c>
      <c r="AS1588" s="110">
        <v>0.0</v>
      </c>
      <c r="AT1588" s="110">
        <v>0.0</v>
      </c>
      <c r="AU1588" s="110">
        <v>0.0</v>
      </c>
      <c r="AV1588" s="142">
        <v>0.0</v>
      </c>
      <c r="AW1588" s="80">
        <v>0.0</v>
      </c>
      <c r="AX1588" s="113">
        <v>867.0</v>
      </c>
      <c r="AY1588" s="117">
        <v>791.0</v>
      </c>
      <c r="AZ1588" s="328">
        <v>76.0</v>
      </c>
      <c r="BA1588" s="315">
        <v>0.0</v>
      </c>
      <c r="BB1588" s="316">
        <v>867.0</v>
      </c>
      <c r="BC1588" s="132" t="s">
        <v>178</v>
      </c>
      <c r="BD1588" s="132" t="s">
        <v>178</v>
      </c>
      <c r="BE1588" s="132" t="s">
        <v>178</v>
      </c>
      <c r="BF1588" s="123"/>
      <c r="BG1588" s="83">
        <v>1102976.0</v>
      </c>
      <c r="BH1588" s="112">
        <v>14.0</v>
      </c>
      <c r="BI1588" s="98" t="s">
        <v>155</v>
      </c>
      <c r="BJ1588" s="98" t="str">
        <f t="shared" si="1"/>
        <v>INTEGRAL</v>
      </c>
      <c r="BK1588" s="98" t="str">
        <f t="shared" si="2"/>
        <v>NÃO</v>
      </c>
    </row>
    <row r="1589" ht="15.75" customHeight="1">
      <c r="A1589" s="111" t="s">
        <v>1785</v>
      </c>
      <c r="B1589" s="83" t="s">
        <v>1994</v>
      </c>
      <c r="C1589" s="83" t="s">
        <v>68</v>
      </c>
      <c r="D1589" s="83">
        <v>1101449.0</v>
      </c>
      <c r="E1589" s="83"/>
      <c r="F1589" s="83">
        <v>2.919192E7</v>
      </c>
      <c r="G1589" s="114" t="s">
        <v>8582</v>
      </c>
      <c r="H1589" s="91" t="s">
        <v>8583</v>
      </c>
      <c r="I1589" s="114" t="s">
        <v>8584</v>
      </c>
      <c r="J1589" s="83" t="s">
        <v>150</v>
      </c>
      <c r="K1589" s="83" t="s">
        <v>151</v>
      </c>
      <c r="L1589" s="83" t="s">
        <v>152</v>
      </c>
      <c r="M1589" s="82" t="s">
        <v>12973</v>
      </c>
      <c r="N1589" s="82" t="s">
        <v>12974</v>
      </c>
      <c r="O1589" s="82" t="s">
        <v>12975</v>
      </c>
      <c r="P1589" s="82" t="s">
        <v>12976</v>
      </c>
      <c r="Q1589" s="82" t="s">
        <v>12977</v>
      </c>
      <c r="R1589" s="82" t="s">
        <v>12978</v>
      </c>
      <c r="S1589" s="82" t="s">
        <v>12979</v>
      </c>
      <c r="T1589" s="138">
        <v>16.0</v>
      </c>
      <c r="U1589" s="341">
        <v>14.0</v>
      </c>
      <c r="V1589" s="106">
        <v>0.0</v>
      </c>
      <c r="W1589" s="107">
        <v>0.0</v>
      </c>
      <c r="X1589" s="107">
        <v>0.0</v>
      </c>
      <c r="Y1589" s="107">
        <v>0.0</v>
      </c>
      <c r="Z1589" s="80">
        <v>0.0</v>
      </c>
      <c r="AA1589" s="140">
        <v>485.0</v>
      </c>
      <c r="AB1589" s="109">
        <v>159.0</v>
      </c>
      <c r="AC1589" s="109">
        <v>0.0</v>
      </c>
      <c r="AD1589" s="141">
        <v>0.0</v>
      </c>
      <c r="AE1589" s="80">
        <v>644.0</v>
      </c>
      <c r="AF1589" s="140">
        <v>0.0</v>
      </c>
      <c r="AG1589" s="109">
        <v>314.0</v>
      </c>
      <c r="AH1589" s="109">
        <v>49.0</v>
      </c>
      <c r="AI1589" s="141">
        <v>0.0</v>
      </c>
      <c r="AJ1589" s="80">
        <v>363.0</v>
      </c>
      <c r="AK1589" s="140">
        <v>0.0</v>
      </c>
      <c r="AL1589" s="109">
        <v>0.0</v>
      </c>
      <c r="AM1589" s="141">
        <v>0.0</v>
      </c>
      <c r="AN1589" s="80">
        <v>0.0</v>
      </c>
      <c r="AO1589" s="140">
        <v>0.0</v>
      </c>
      <c r="AP1589" s="109">
        <v>0.0</v>
      </c>
      <c r="AQ1589" s="109">
        <v>111.0</v>
      </c>
      <c r="AR1589" s="80">
        <v>111.0</v>
      </c>
      <c r="AS1589" s="110">
        <v>0.0</v>
      </c>
      <c r="AT1589" s="110">
        <v>0.0</v>
      </c>
      <c r="AU1589" s="110">
        <v>0.0</v>
      </c>
      <c r="AV1589" s="142">
        <v>0.0</v>
      </c>
      <c r="AW1589" s="80">
        <v>0.0</v>
      </c>
      <c r="AX1589" s="113">
        <v>1118.0</v>
      </c>
      <c r="AY1589" s="117">
        <v>958.0</v>
      </c>
      <c r="AZ1589" s="328">
        <v>160.0</v>
      </c>
      <c r="BA1589" s="315">
        <v>1.0</v>
      </c>
      <c r="BB1589" s="316">
        <v>1119.0</v>
      </c>
      <c r="BC1589" s="132" t="s">
        <v>178</v>
      </c>
      <c r="BD1589" s="132" t="s">
        <v>178</v>
      </c>
      <c r="BE1589" s="132" t="s">
        <v>178</v>
      </c>
      <c r="BF1589" s="123"/>
      <c r="BG1589" s="83">
        <v>1101449.0</v>
      </c>
      <c r="BH1589" s="112">
        <v>14.0</v>
      </c>
      <c r="BI1589" s="98" t="s">
        <v>155</v>
      </c>
      <c r="BJ1589" s="98" t="str">
        <f t="shared" si="1"/>
        <v>NÃO</v>
      </c>
      <c r="BK1589" s="98" t="str">
        <f t="shared" si="2"/>
        <v>NÃO</v>
      </c>
    </row>
    <row r="1590" ht="15.75" customHeight="1">
      <c r="A1590" s="111" t="s">
        <v>1785</v>
      </c>
      <c r="B1590" s="83" t="s">
        <v>1994</v>
      </c>
      <c r="C1590" s="83" t="s">
        <v>68</v>
      </c>
      <c r="D1590" s="83">
        <v>1104588.0</v>
      </c>
      <c r="E1590" s="83"/>
      <c r="F1590" s="83">
        <v>2.919184E7</v>
      </c>
      <c r="G1590" s="114" t="s">
        <v>12981</v>
      </c>
      <c r="H1590" s="91" t="s">
        <v>8750</v>
      </c>
      <c r="I1590" s="114" t="s">
        <v>8751</v>
      </c>
      <c r="J1590" s="83" t="s">
        <v>150</v>
      </c>
      <c r="K1590" s="83" t="s">
        <v>151</v>
      </c>
      <c r="L1590" s="83" t="s">
        <v>230</v>
      </c>
      <c r="M1590" s="82" t="s">
        <v>12982</v>
      </c>
      <c r="N1590" s="82" t="s">
        <v>12983</v>
      </c>
      <c r="O1590" s="82" t="s">
        <v>12984</v>
      </c>
      <c r="P1590" s="82" t="s">
        <v>12985</v>
      </c>
      <c r="Q1590" s="82" t="s">
        <v>12986</v>
      </c>
      <c r="R1590" s="82" t="s">
        <v>12987</v>
      </c>
      <c r="S1590" s="82" t="s">
        <v>12988</v>
      </c>
      <c r="T1590" s="138">
        <v>25.0</v>
      </c>
      <c r="U1590" s="341">
        <v>25.0</v>
      </c>
      <c r="V1590" s="106">
        <v>0.0</v>
      </c>
      <c r="W1590" s="107">
        <v>0.0</v>
      </c>
      <c r="X1590" s="107">
        <v>0.0</v>
      </c>
      <c r="Y1590" s="107">
        <v>0.0</v>
      </c>
      <c r="Z1590" s="80">
        <v>0.0</v>
      </c>
      <c r="AA1590" s="140">
        <v>0.0</v>
      </c>
      <c r="AB1590" s="109">
        <v>0.0</v>
      </c>
      <c r="AC1590" s="109">
        <v>0.0</v>
      </c>
      <c r="AD1590" s="141">
        <v>0.0</v>
      </c>
      <c r="AE1590" s="80">
        <v>0.0</v>
      </c>
      <c r="AF1590" s="140">
        <v>542.0</v>
      </c>
      <c r="AG1590" s="109">
        <v>216.0</v>
      </c>
      <c r="AH1590" s="109">
        <v>21.0</v>
      </c>
      <c r="AI1590" s="141">
        <v>122.0</v>
      </c>
      <c r="AJ1590" s="80">
        <v>901.0</v>
      </c>
      <c r="AK1590" s="140">
        <v>0.0</v>
      </c>
      <c r="AL1590" s="109">
        <v>0.0</v>
      </c>
      <c r="AM1590" s="141">
        <v>0.0</v>
      </c>
      <c r="AN1590" s="80">
        <v>0.0</v>
      </c>
      <c r="AO1590" s="140">
        <v>0.0</v>
      </c>
      <c r="AP1590" s="109">
        <v>0.0</v>
      </c>
      <c r="AQ1590" s="109">
        <v>141.0</v>
      </c>
      <c r="AR1590" s="80">
        <v>141.0</v>
      </c>
      <c r="AS1590" s="110">
        <v>66.0</v>
      </c>
      <c r="AT1590" s="110">
        <v>223.0</v>
      </c>
      <c r="AU1590" s="110">
        <v>22.0</v>
      </c>
      <c r="AV1590" s="142">
        <v>0.0</v>
      </c>
      <c r="AW1590" s="80">
        <v>311.0</v>
      </c>
      <c r="AX1590" s="113">
        <v>1353.0</v>
      </c>
      <c r="AY1590" s="117">
        <v>1169.0</v>
      </c>
      <c r="AZ1590" s="328">
        <v>184.0</v>
      </c>
      <c r="BA1590" s="315">
        <v>0.0</v>
      </c>
      <c r="BB1590" s="316">
        <v>1353.0</v>
      </c>
      <c r="BC1590" s="132" t="s">
        <v>178</v>
      </c>
      <c r="BD1590" s="132" t="s">
        <v>178</v>
      </c>
      <c r="BE1590" s="132" t="s">
        <v>178</v>
      </c>
      <c r="BF1590" s="123"/>
      <c r="BG1590" s="83">
        <v>1104588.0</v>
      </c>
      <c r="BH1590" s="112">
        <v>25.0</v>
      </c>
      <c r="BI1590" s="98" t="s">
        <v>155</v>
      </c>
      <c r="BJ1590" s="98" t="str">
        <f t="shared" si="1"/>
        <v>INTEGRAL</v>
      </c>
      <c r="BK1590" s="98" t="str">
        <f t="shared" si="2"/>
        <v>PROFISSIONAL</v>
      </c>
    </row>
    <row r="1591" ht="15.75" customHeight="1">
      <c r="A1591" s="111" t="s">
        <v>1785</v>
      </c>
      <c r="B1591" s="83" t="s">
        <v>1994</v>
      </c>
      <c r="C1591" s="83" t="s">
        <v>68</v>
      </c>
      <c r="D1591" s="83">
        <v>1176096.0</v>
      </c>
      <c r="E1591" s="83"/>
      <c r="F1591" s="83">
        <v>2.9336708E7</v>
      </c>
      <c r="G1591" s="114" t="s">
        <v>12989</v>
      </c>
      <c r="H1591" s="91" t="s">
        <v>8754</v>
      </c>
      <c r="I1591" s="114" t="s">
        <v>8755</v>
      </c>
      <c r="J1591" s="83" t="s">
        <v>150</v>
      </c>
      <c r="K1591" s="83" t="s">
        <v>151</v>
      </c>
      <c r="L1591" s="83" t="s">
        <v>230</v>
      </c>
      <c r="M1591" s="82" t="s">
        <v>12990</v>
      </c>
      <c r="N1591" s="82" t="s">
        <v>12991</v>
      </c>
      <c r="O1591" s="82" t="s">
        <v>12992</v>
      </c>
      <c r="P1591" s="82" t="s">
        <v>12993</v>
      </c>
      <c r="Q1591" s="82" t="s">
        <v>12994</v>
      </c>
      <c r="R1591" s="82" t="s">
        <v>12995</v>
      </c>
      <c r="S1591" s="82" t="s">
        <v>12996</v>
      </c>
      <c r="T1591" s="138">
        <v>21.0</v>
      </c>
      <c r="U1591" s="341">
        <v>21.0</v>
      </c>
      <c r="V1591" s="106">
        <v>0.0</v>
      </c>
      <c r="W1591" s="107">
        <v>0.0</v>
      </c>
      <c r="X1591" s="107">
        <v>0.0</v>
      </c>
      <c r="Y1591" s="107">
        <v>0.0</v>
      </c>
      <c r="Z1591" s="80">
        <v>0.0</v>
      </c>
      <c r="AA1591" s="140">
        <v>78.0</v>
      </c>
      <c r="AB1591" s="109">
        <v>695.0</v>
      </c>
      <c r="AC1591" s="109">
        <v>0.0</v>
      </c>
      <c r="AD1591" s="141">
        <v>0.0</v>
      </c>
      <c r="AE1591" s="80">
        <v>773.0</v>
      </c>
      <c r="AF1591" s="140">
        <v>725.0</v>
      </c>
      <c r="AG1591" s="109">
        <v>0.0</v>
      </c>
      <c r="AH1591" s="109">
        <v>38.0</v>
      </c>
      <c r="AI1591" s="141">
        <v>0.0</v>
      </c>
      <c r="AJ1591" s="80">
        <v>763.0</v>
      </c>
      <c r="AK1591" s="140">
        <v>0.0</v>
      </c>
      <c r="AL1591" s="109">
        <v>35.0</v>
      </c>
      <c r="AM1591" s="141">
        <v>67.0</v>
      </c>
      <c r="AN1591" s="80">
        <v>102.0</v>
      </c>
      <c r="AO1591" s="140">
        <v>0.0</v>
      </c>
      <c r="AP1591" s="109">
        <v>0.0</v>
      </c>
      <c r="AQ1591" s="109">
        <v>142.0</v>
      </c>
      <c r="AR1591" s="80">
        <v>142.0</v>
      </c>
      <c r="AS1591" s="110">
        <v>0.0</v>
      </c>
      <c r="AT1591" s="110">
        <v>0.0</v>
      </c>
      <c r="AU1591" s="110">
        <v>0.0</v>
      </c>
      <c r="AV1591" s="142">
        <v>0.0</v>
      </c>
      <c r="AW1591" s="80">
        <v>0.0</v>
      </c>
      <c r="AX1591" s="113">
        <v>1780.0</v>
      </c>
      <c r="AY1591" s="117">
        <v>1533.0</v>
      </c>
      <c r="AZ1591" s="328">
        <v>247.0</v>
      </c>
      <c r="BA1591" s="315">
        <v>0.0</v>
      </c>
      <c r="BB1591" s="316">
        <v>1780.0</v>
      </c>
      <c r="BC1591" s="132" t="s">
        <v>178</v>
      </c>
      <c r="BD1591" s="132" t="s">
        <v>178</v>
      </c>
      <c r="BE1591" s="132" t="s">
        <v>178</v>
      </c>
      <c r="BF1591" s="156"/>
      <c r="BG1591" s="83">
        <v>1176096.0</v>
      </c>
      <c r="BH1591" s="112">
        <v>21.0</v>
      </c>
      <c r="BI1591" s="98" t="s">
        <v>155</v>
      </c>
      <c r="BJ1591" s="98" t="str">
        <f t="shared" si="1"/>
        <v>NÃO</v>
      </c>
      <c r="BK1591" s="98" t="str">
        <f t="shared" si="2"/>
        <v>NÃO</v>
      </c>
    </row>
    <row r="1592" ht="15.75" customHeight="1">
      <c r="A1592" s="111" t="s">
        <v>1785</v>
      </c>
      <c r="B1592" s="83" t="s">
        <v>1994</v>
      </c>
      <c r="C1592" s="83" t="s">
        <v>68</v>
      </c>
      <c r="D1592" s="83">
        <v>1100914.0</v>
      </c>
      <c r="E1592" s="83"/>
      <c r="F1592" s="83">
        <v>2.9192064E7</v>
      </c>
      <c r="G1592" s="114" t="s">
        <v>12998</v>
      </c>
      <c r="H1592" s="91" t="s">
        <v>12999</v>
      </c>
      <c r="I1592" s="114" t="s">
        <v>8278</v>
      </c>
      <c r="J1592" s="83" t="s">
        <v>150</v>
      </c>
      <c r="K1592" s="83" t="s">
        <v>151</v>
      </c>
      <c r="L1592" s="83" t="s">
        <v>152</v>
      </c>
      <c r="M1592" s="82" t="s">
        <v>13000</v>
      </c>
      <c r="N1592" s="82" t="s">
        <v>13001</v>
      </c>
      <c r="O1592" s="82" t="s">
        <v>13002</v>
      </c>
      <c r="P1592" s="82" t="s">
        <v>13003</v>
      </c>
      <c r="Q1592" s="82" t="s">
        <v>13004</v>
      </c>
      <c r="R1592" s="82"/>
      <c r="S1592" s="82" t="s">
        <v>13005</v>
      </c>
      <c r="T1592" s="138">
        <v>17.0</v>
      </c>
      <c r="U1592" s="341">
        <v>17.0</v>
      </c>
      <c r="V1592" s="106">
        <v>0.0</v>
      </c>
      <c r="W1592" s="107">
        <v>0.0</v>
      </c>
      <c r="X1592" s="107">
        <v>0.0</v>
      </c>
      <c r="Y1592" s="107">
        <v>0.0</v>
      </c>
      <c r="Z1592" s="80">
        <v>0.0</v>
      </c>
      <c r="AA1592" s="140">
        <v>286.0</v>
      </c>
      <c r="AB1592" s="109">
        <v>382.0</v>
      </c>
      <c r="AC1592" s="109">
        <v>0.0</v>
      </c>
      <c r="AD1592" s="141">
        <v>0.0</v>
      </c>
      <c r="AE1592" s="80">
        <v>668.0</v>
      </c>
      <c r="AF1592" s="140">
        <v>280.0</v>
      </c>
      <c r="AG1592" s="109">
        <v>219.0</v>
      </c>
      <c r="AH1592" s="109">
        <v>0.0</v>
      </c>
      <c r="AI1592" s="141">
        <v>0.0</v>
      </c>
      <c r="AJ1592" s="80">
        <v>499.0</v>
      </c>
      <c r="AK1592" s="140">
        <v>0.0</v>
      </c>
      <c r="AL1592" s="109">
        <v>0.0</v>
      </c>
      <c r="AM1592" s="141">
        <v>0.0</v>
      </c>
      <c r="AN1592" s="80">
        <v>0.0</v>
      </c>
      <c r="AO1592" s="140">
        <v>0.0</v>
      </c>
      <c r="AP1592" s="109">
        <v>0.0</v>
      </c>
      <c r="AQ1592" s="109">
        <v>49.0</v>
      </c>
      <c r="AR1592" s="80">
        <v>49.0</v>
      </c>
      <c r="AS1592" s="110">
        <v>0.0</v>
      </c>
      <c r="AT1592" s="110">
        <v>0.0</v>
      </c>
      <c r="AU1592" s="110">
        <v>0.0</v>
      </c>
      <c r="AV1592" s="142">
        <v>0.0</v>
      </c>
      <c r="AW1592" s="80">
        <v>0.0</v>
      </c>
      <c r="AX1592" s="113">
        <v>1216.0</v>
      </c>
      <c r="AY1592" s="117">
        <v>1167.0</v>
      </c>
      <c r="AZ1592" s="328">
        <v>49.0</v>
      </c>
      <c r="BA1592" s="315">
        <v>0.0</v>
      </c>
      <c r="BB1592" s="316">
        <v>1216.0</v>
      </c>
      <c r="BC1592" s="132" t="s">
        <v>178</v>
      </c>
      <c r="BD1592" s="132" t="s">
        <v>178</v>
      </c>
      <c r="BE1592" s="132" t="s">
        <v>178</v>
      </c>
      <c r="BF1592" s="123"/>
      <c r="BG1592" s="83">
        <v>1100914.0</v>
      </c>
      <c r="BH1592" s="112">
        <v>17.0</v>
      </c>
      <c r="BI1592" s="98" t="s">
        <v>155</v>
      </c>
      <c r="BJ1592" s="98" t="str">
        <f t="shared" si="1"/>
        <v>NÃO</v>
      </c>
      <c r="BK1592" s="98" t="str">
        <f t="shared" si="2"/>
        <v>NÃO</v>
      </c>
    </row>
    <row r="1593" ht="15.75" customHeight="1">
      <c r="A1593" s="111" t="s">
        <v>1785</v>
      </c>
      <c r="B1593" s="83" t="s">
        <v>1994</v>
      </c>
      <c r="C1593" s="83" t="s">
        <v>68</v>
      </c>
      <c r="D1593" s="83">
        <v>1100957.0</v>
      </c>
      <c r="E1593" s="83"/>
      <c r="F1593" s="83">
        <v>2.9190916E7</v>
      </c>
      <c r="G1593" s="114" t="s">
        <v>13006</v>
      </c>
      <c r="H1593" s="91" t="s">
        <v>8587</v>
      </c>
      <c r="I1593" s="114" t="s">
        <v>8588</v>
      </c>
      <c r="J1593" s="83" t="s">
        <v>150</v>
      </c>
      <c r="K1593" s="83" t="s">
        <v>151</v>
      </c>
      <c r="L1593" s="83" t="s">
        <v>76</v>
      </c>
      <c r="M1593" s="82" t="s">
        <v>13007</v>
      </c>
      <c r="N1593" s="82" t="s">
        <v>13008</v>
      </c>
      <c r="O1593" s="82" t="s">
        <v>13009</v>
      </c>
      <c r="P1593" s="82" t="s">
        <v>13010</v>
      </c>
      <c r="Q1593" s="82"/>
      <c r="R1593" s="82"/>
      <c r="S1593" s="82" t="s">
        <v>13011</v>
      </c>
      <c r="T1593" s="138">
        <v>8.0</v>
      </c>
      <c r="U1593" s="341">
        <v>8.0</v>
      </c>
      <c r="V1593" s="106">
        <v>0.0</v>
      </c>
      <c r="W1593" s="107">
        <v>0.0</v>
      </c>
      <c r="X1593" s="107">
        <v>0.0</v>
      </c>
      <c r="Y1593" s="107">
        <v>0.0</v>
      </c>
      <c r="Z1593" s="80">
        <v>0.0</v>
      </c>
      <c r="AA1593" s="140">
        <v>273.0</v>
      </c>
      <c r="AB1593" s="109">
        <v>250.0</v>
      </c>
      <c r="AC1593" s="109">
        <v>0.0</v>
      </c>
      <c r="AD1593" s="141">
        <v>0.0</v>
      </c>
      <c r="AE1593" s="80">
        <v>523.0</v>
      </c>
      <c r="AF1593" s="140">
        <v>0.0</v>
      </c>
      <c r="AG1593" s="109">
        <v>0.0</v>
      </c>
      <c r="AH1593" s="109">
        <v>0.0</v>
      </c>
      <c r="AI1593" s="141">
        <v>0.0</v>
      </c>
      <c r="AJ1593" s="80">
        <v>0.0</v>
      </c>
      <c r="AK1593" s="140">
        <v>0.0</v>
      </c>
      <c r="AL1593" s="109">
        <v>0.0</v>
      </c>
      <c r="AM1593" s="141">
        <v>0.0</v>
      </c>
      <c r="AN1593" s="80">
        <v>0.0</v>
      </c>
      <c r="AO1593" s="140">
        <v>0.0</v>
      </c>
      <c r="AP1593" s="109">
        <v>0.0</v>
      </c>
      <c r="AQ1593" s="109">
        <v>0.0</v>
      </c>
      <c r="AR1593" s="80">
        <v>0.0</v>
      </c>
      <c r="AS1593" s="110">
        <v>0.0</v>
      </c>
      <c r="AT1593" s="110">
        <v>0.0</v>
      </c>
      <c r="AU1593" s="110">
        <v>0.0</v>
      </c>
      <c r="AV1593" s="142">
        <v>0.0</v>
      </c>
      <c r="AW1593" s="80">
        <v>0.0</v>
      </c>
      <c r="AX1593" s="113">
        <v>523.0</v>
      </c>
      <c r="AY1593" s="117">
        <v>523.0</v>
      </c>
      <c r="AZ1593" s="328">
        <v>0.0</v>
      </c>
      <c r="BA1593" s="315">
        <v>0.0</v>
      </c>
      <c r="BB1593" s="316">
        <v>523.0</v>
      </c>
      <c r="BC1593" s="132" t="s">
        <v>178</v>
      </c>
      <c r="BD1593" s="132" t="s">
        <v>178</v>
      </c>
      <c r="BE1593" s="132" t="s">
        <v>178</v>
      </c>
      <c r="BF1593" s="123"/>
      <c r="BG1593" s="83">
        <v>1100957.0</v>
      </c>
      <c r="BH1593" s="112">
        <v>8.0</v>
      </c>
      <c r="BI1593" s="98" t="s">
        <v>155</v>
      </c>
      <c r="BJ1593" s="98" t="str">
        <f t="shared" si="1"/>
        <v>NÃO</v>
      </c>
      <c r="BK1593" s="98" t="str">
        <f t="shared" si="2"/>
        <v>NÃO</v>
      </c>
    </row>
    <row r="1594" ht="15.75" customHeight="1">
      <c r="A1594" s="111" t="s">
        <v>1785</v>
      </c>
      <c r="B1594" s="83" t="s">
        <v>1994</v>
      </c>
      <c r="C1594" s="83" t="s">
        <v>68</v>
      </c>
      <c r="D1594" s="83">
        <v>1101856.0</v>
      </c>
      <c r="E1594" s="83"/>
      <c r="F1594" s="83">
        <v>2.918147E7</v>
      </c>
      <c r="G1594" s="114" t="s">
        <v>3512</v>
      </c>
      <c r="H1594" s="91" t="s">
        <v>8761</v>
      </c>
      <c r="I1594" s="114" t="s">
        <v>8175</v>
      </c>
      <c r="J1594" s="83" t="s">
        <v>150</v>
      </c>
      <c r="K1594" s="83" t="s">
        <v>151</v>
      </c>
      <c r="L1594" s="83" t="s">
        <v>230</v>
      </c>
      <c r="M1594" s="82" t="s">
        <v>13013</v>
      </c>
      <c r="N1594" s="82" t="s">
        <v>13014</v>
      </c>
      <c r="O1594" s="82" t="s">
        <v>13015</v>
      </c>
      <c r="P1594" s="82" t="s">
        <v>13016</v>
      </c>
      <c r="Q1594" s="82" t="s">
        <v>13017</v>
      </c>
      <c r="R1594" s="82" t="s">
        <v>13018</v>
      </c>
      <c r="S1594" s="82" t="s">
        <v>13019</v>
      </c>
      <c r="T1594" s="138">
        <v>32.0</v>
      </c>
      <c r="U1594" s="341">
        <v>29.0</v>
      </c>
      <c r="V1594" s="106">
        <v>0.0</v>
      </c>
      <c r="W1594" s="107">
        <v>0.0</v>
      </c>
      <c r="X1594" s="107">
        <v>0.0</v>
      </c>
      <c r="Y1594" s="107">
        <v>0.0</v>
      </c>
      <c r="Z1594" s="80">
        <v>0.0</v>
      </c>
      <c r="AA1594" s="140">
        <v>0.0</v>
      </c>
      <c r="AB1594" s="109">
        <v>496.0</v>
      </c>
      <c r="AC1594" s="109">
        <v>0.0</v>
      </c>
      <c r="AD1594" s="141">
        <v>0.0</v>
      </c>
      <c r="AE1594" s="80">
        <v>496.0</v>
      </c>
      <c r="AF1594" s="140">
        <v>738.0</v>
      </c>
      <c r="AG1594" s="109">
        <v>244.0</v>
      </c>
      <c r="AH1594" s="109">
        <v>64.0</v>
      </c>
      <c r="AI1594" s="141">
        <v>0.0</v>
      </c>
      <c r="AJ1594" s="80">
        <v>1046.0</v>
      </c>
      <c r="AK1594" s="140">
        <v>0.0</v>
      </c>
      <c r="AL1594" s="109">
        <v>0.0</v>
      </c>
      <c r="AM1594" s="141">
        <v>58.0</v>
      </c>
      <c r="AN1594" s="80">
        <v>58.0</v>
      </c>
      <c r="AO1594" s="140">
        <v>0.0</v>
      </c>
      <c r="AP1594" s="109">
        <v>0.0</v>
      </c>
      <c r="AQ1594" s="109">
        <v>155.0</v>
      </c>
      <c r="AR1594" s="80">
        <v>155.0</v>
      </c>
      <c r="AS1594" s="110">
        <v>0.0</v>
      </c>
      <c r="AT1594" s="110">
        <v>13.0</v>
      </c>
      <c r="AU1594" s="110">
        <v>9.0</v>
      </c>
      <c r="AV1594" s="142">
        <v>0.0</v>
      </c>
      <c r="AW1594" s="80">
        <v>22.0</v>
      </c>
      <c r="AX1594" s="113">
        <v>1777.0</v>
      </c>
      <c r="AY1594" s="117">
        <v>1491.0</v>
      </c>
      <c r="AZ1594" s="328">
        <v>286.0</v>
      </c>
      <c r="BA1594" s="315">
        <v>118.0</v>
      </c>
      <c r="BB1594" s="316">
        <v>1895.0</v>
      </c>
      <c r="BC1594" s="132" t="s">
        <v>178</v>
      </c>
      <c r="BD1594" s="132" t="s">
        <v>178</v>
      </c>
      <c r="BE1594" s="132" t="s">
        <v>178</v>
      </c>
      <c r="BF1594" s="123"/>
      <c r="BG1594" s="83">
        <v>1101856.0</v>
      </c>
      <c r="BH1594" s="112">
        <v>29.0</v>
      </c>
      <c r="BI1594" s="98" t="s">
        <v>155</v>
      </c>
      <c r="BJ1594" s="98" t="str">
        <f t="shared" si="1"/>
        <v>NÃO</v>
      </c>
      <c r="BK1594" s="98" t="str">
        <f t="shared" si="2"/>
        <v>PROFISSIONAL</v>
      </c>
    </row>
    <row r="1595" ht="15.75" customHeight="1">
      <c r="A1595" s="111" t="s">
        <v>1785</v>
      </c>
      <c r="B1595" s="83" t="s">
        <v>1994</v>
      </c>
      <c r="C1595" s="83" t="s">
        <v>68</v>
      </c>
      <c r="D1595" s="83">
        <v>1102160.0</v>
      </c>
      <c r="E1595" s="83"/>
      <c r="F1595" s="83">
        <v>2.9190754E7</v>
      </c>
      <c r="G1595" s="114" t="s">
        <v>8591</v>
      </c>
      <c r="H1595" s="91" t="s">
        <v>8592</v>
      </c>
      <c r="I1595" s="114" t="s">
        <v>8593</v>
      </c>
      <c r="J1595" s="83" t="s">
        <v>150</v>
      </c>
      <c r="K1595" s="83" t="s">
        <v>151</v>
      </c>
      <c r="L1595" s="83" t="s">
        <v>152</v>
      </c>
      <c r="M1595" s="82" t="s">
        <v>13020</v>
      </c>
      <c r="N1595" s="82" t="s">
        <v>13021</v>
      </c>
      <c r="O1595" s="82" t="s">
        <v>13022</v>
      </c>
      <c r="P1595" s="82" t="s">
        <v>13023</v>
      </c>
      <c r="Q1595" s="82" t="s">
        <v>13024</v>
      </c>
      <c r="R1595" s="82" t="s">
        <v>13025</v>
      </c>
      <c r="S1595" s="82" t="s">
        <v>13026</v>
      </c>
      <c r="T1595" s="138">
        <v>22.0</v>
      </c>
      <c r="U1595" s="341">
        <v>22.0</v>
      </c>
      <c r="V1595" s="106">
        <v>0.0</v>
      </c>
      <c r="W1595" s="107">
        <v>0.0</v>
      </c>
      <c r="X1595" s="107">
        <v>0.0</v>
      </c>
      <c r="Y1595" s="107">
        <v>0.0</v>
      </c>
      <c r="Z1595" s="80">
        <v>0.0</v>
      </c>
      <c r="AA1595" s="140">
        <v>148.0</v>
      </c>
      <c r="AB1595" s="109">
        <v>291.0</v>
      </c>
      <c r="AC1595" s="109">
        <v>0.0</v>
      </c>
      <c r="AD1595" s="141">
        <v>35.0</v>
      </c>
      <c r="AE1595" s="80">
        <v>474.0</v>
      </c>
      <c r="AF1595" s="140">
        <v>181.0</v>
      </c>
      <c r="AG1595" s="109">
        <v>108.0</v>
      </c>
      <c r="AH1595" s="109">
        <v>45.0</v>
      </c>
      <c r="AI1595" s="141">
        <v>22.0</v>
      </c>
      <c r="AJ1595" s="80">
        <v>356.0</v>
      </c>
      <c r="AK1595" s="140">
        <v>0.0</v>
      </c>
      <c r="AL1595" s="109">
        <v>29.0</v>
      </c>
      <c r="AM1595" s="141">
        <v>0.0</v>
      </c>
      <c r="AN1595" s="80">
        <v>29.0</v>
      </c>
      <c r="AO1595" s="140">
        <v>0.0</v>
      </c>
      <c r="AP1595" s="109">
        <v>0.0</v>
      </c>
      <c r="AQ1595" s="109">
        <v>107.0</v>
      </c>
      <c r="AR1595" s="80">
        <v>107.0</v>
      </c>
      <c r="AS1595" s="110">
        <v>0.0</v>
      </c>
      <c r="AT1595" s="110">
        <v>0.0</v>
      </c>
      <c r="AU1595" s="110">
        <v>0.0</v>
      </c>
      <c r="AV1595" s="142">
        <v>0.0</v>
      </c>
      <c r="AW1595" s="80">
        <v>0.0</v>
      </c>
      <c r="AX1595" s="113">
        <v>966.0</v>
      </c>
      <c r="AY1595" s="117">
        <v>814.0</v>
      </c>
      <c r="AZ1595" s="328">
        <v>152.0</v>
      </c>
      <c r="BA1595" s="315">
        <v>0.0</v>
      </c>
      <c r="BB1595" s="316">
        <v>966.0</v>
      </c>
      <c r="BC1595" s="132" t="s">
        <v>178</v>
      </c>
      <c r="BD1595" s="132" t="s">
        <v>178</v>
      </c>
      <c r="BE1595" s="132" t="s">
        <v>178</v>
      </c>
      <c r="BF1595" s="123"/>
      <c r="BG1595" s="83">
        <v>1102160.0</v>
      </c>
      <c r="BH1595" s="112">
        <v>22.0</v>
      </c>
      <c r="BI1595" s="98" t="s">
        <v>155</v>
      </c>
      <c r="BJ1595" s="98" t="str">
        <f t="shared" si="1"/>
        <v>INTEGRAL</v>
      </c>
      <c r="BK1595" s="98" t="str">
        <f t="shared" si="2"/>
        <v>NÃO</v>
      </c>
    </row>
    <row r="1596" ht="15.75" customHeight="1">
      <c r="A1596" s="111" t="s">
        <v>1785</v>
      </c>
      <c r="B1596" s="83" t="s">
        <v>1994</v>
      </c>
      <c r="C1596" s="83" t="s">
        <v>68</v>
      </c>
      <c r="D1596" s="83">
        <v>1100337.0</v>
      </c>
      <c r="E1596" s="83"/>
      <c r="F1596" s="83">
        <v>2.9189012E7</v>
      </c>
      <c r="G1596" s="114" t="s">
        <v>13027</v>
      </c>
      <c r="H1596" s="91" t="s">
        <v>8597</v>
      </c>
      <c r="I1596" s="114" t="s">
        <v>8327</v>
      </c>
      <c r="J1596" s="83" t="s">
        <v>150</v>
      </c>
      <c r="K1596" s="83" t="s">
        <v>151</v>
      </c>
      <c r="L1596" s="83" t="s">
        <v>152</v>
      </c>
      <c r="M1596" s="82" t="s">
        <v>13028</v>
      </c>
      <c r="N1596" s="82" t="s">
        <v>13029</v>
      </c>
      <c r="O1596" s="82" t="s">
        <v>13030</v>
      </c>
      <c r="P1596" s="82" t="s">
        <v>13031</v>
      </c>
      <c r="Q1596" s="82" t="s">
        <v>13032</v>
      </c>
      <c r="R1596" s="82" t="s">
        <v>13033</v>
      </c>
      <c r="S1596" s="82" t="s">
        <v>13034</v>
      </c>
      <c r="T1596" s="138">
        <v>14.0</v>
      </c>
      <c r="U1596" s="341">
        <v>13.0</v>
      </c>
      <c r="V1596" s="106">
        <v>0.0</v>
      </c>
      <c r="W1596" s="107">
        <v>0.0</v>
      </c>
      <c r="X1596" s="107">
        <v>0.0</v>
      </c>
      <c r="Y1596" s="107">
        <v>0.0</v>
      </c>
      <c r="Z1596" s="80">
        <v>0.0</v>
      </c>
      <c r="AA1596" s="140">
        <v>0.0</v>
      </c>
      <c r="AB1596" s="109">
        <v>0.0</v>
      </c>
      <c r="AC1596" s="109">
        <v>0.0</v>
      </c>
      <c r="AD1596" s="141">
        <v>0.0</v>
      </c>
      <c r="AE1596" s="80">
        <v>0.0</v>
      </c>
      <c r="AF1596" s="140">
        <v>272.0</v>
      </c>
      <c r="AG1596" s="109">
        <v>22.0</v>
      </c>
      <c r="AH1596" s="109">
        <v>52.0</v>
      </c>
      <c r="AI1596" s="141">
        <v>0.0</v>
      </c>
      <c r="AJ1596" s="80">
        <v>346.0</v>
      </c>
      <c r="AK1596" s="140">
        <v>0.0</v>
      </c>
      <c r="AL1596" s="109">
        <v>0.0</v>
      </c>
      <c r="AM1596" s="141">
        <v>0.0</v>
      </c>
      <c r="AN1596" s="80">
        <v>0.0</v>
      </c>
      <c r="AO1596" s="140">
        <v>0.0</v>
      </c>
      <c r="AP1596" s="109">
        <v>0.0</v>
      </c>
      <c r="AQ1596" s="109">
        <v>103.0</v>
      </c>
      <c r="AR1596" s="80">
        <v>103.0</v>
      </c>
      <c r="AS1596" s="110">
        <v>182.0</v>
      </c>
      <c r="AT1596" s="110">
        <v>10.0</v>
      </c>
      <c r="AU1596" s="110">
        <v>173.0</v>
      </c>
      <c r="AV1596" s="142">
        <v>0.0</v>
      </c>
      <c r="AW1596" s="80">
        <v>365.0</v>
      </c>
      <c r="AX1596" s="113">
        <v>814.0</v>
      </c>
      <c r="AY1596" s="117">
        <v>486.0</v>
      </c>
      <c r="AZ1596" s="328">
        <v>328.0</v>
      </c>
      <c r="BA1596" s="315">
        <v>1.0</v>
      </c>
      <c r="BB1596" s="316">
        <v>815.0</v>
      </c>
      <c r="BC1596" s="132" t="s">
        <v>178</v>
      </c>
      <c r="BD1596" s="132" t="s">
        <v>178</v>
      </c>
      <c r="BE1596" s="132" t="s">
        <v>178</v>
      </c>
      <c r="BF1596" s="156"/>
      <c r="BG1596" s="83">
        <v>1100337.0</v>
      </c>
      <c r="BH1596" s="112">
        <v>13.0</v>
      </c>
      <c r="BI1596" s="98" t="s">
        <v>155</v>
      </c>
      <c r="BJ1596" s="98" t="str">
        <f t="shared" si="1"/>
        <v>NÃO</v>
      </c>
      <c r="BK1596" s="98" t="str">
        <f t="shared" si="2"/>
        <v>PROFISSIONAL</v>
      </c>
    </row>
    <row r="1597" ht="15.75" customHeight="1">
      <c r="A1597" s="111" t="s">
        <v>1785</v>
      </c>
      <c r="B1597" s="83" t="s">
        <v>1994</v>
      </c>
      <c r="C1597" s="83" t="s">
        <v>68</v>
      </c>
      <c r="D1597" s="83">
        <v>1163924.0</v>
      </c>
      <c r="E1597" s="83"/>
      <c r="F1597" s="83">
        <v>2.9192277E7</v>
      </c>
      <c r="G1597" s="114" t="s">
        <v>13035</v>
      </c>
      <c r="H1597" s="91" t="s">
        <v>8600</v>
      </c>
      <c r="I1597" s="114" t="s">
        <v>8601</v>
      </c>
      <c r="J1597" s="83" t="s">
        <v>150</v>
      </c>
      <c r="K1597" s="83" t="s">
        <v>151</v>
      </c>
      <c r="L1597" s="83" t="s">
        <v>230</v>
      </c>
      <c r="M1597" s="82" t="s">
        <v>13036</v>
      </c>
      <c r="N1597" s="82" t="s">
        <v>13037</v>
      </c>
      <c r="O1597" s="82" t="s">
        <v>13038</v>
      </c>
      <c r="P1597" s="82" t="s">
        <v>13039</v>
      </c>
      <c r="Q1597" s="82" t="s">
        <v>13040</v>
      </c>
      <c r="R1597" s="82" t="s">
        <v>13041</v>
      </c>
      <c r="S1597" s="82" t="s">
        <v>13042</v>
      </c>
      <c r="T1597" s="138">
        <v>14.0</v>
      </c>
      <c r="U1597" s="341">
        <v>14.0</v>
      </c>
      <c r="V1597" s="106">
        <v>0.0</v>
      </c>
      <c r="W1597" s="107">
        <v>0.0</v>
      </c>
      <c r="X1597" s="107">
        <v>0.0</v>
      </c>
      <c r="Y1597" s="107">
        <v>0.0</v>
      </c>
      <c r="Z1597" s="80">
        <v>0.0</v>
      </c>
      <c r="AA1597" s="140">
        <v>275.0</v>
      </c>
      <c r="AB1597" s="109">
        <v>286.0</v>
      </c>
      <c r="AC1597" s="109">
        <v>0.0</v>
      </c>
      <c r="AD1597" s="141">
        <v>0.0</v>
      </c>
      <c r="AE1597" s="80">
        <v>561.0</v>
      </c>
      <c r="AF1597" s="140">
        <v>199.0</v>
      </c>
      <c r="AG1597" s="109">
        <v>126.0</v>
      </c>
      <c r="AH1597" s="109">
        <v>59.0</v>
      </c>
      <c r="AI1597" s="141">
        <v>0.0</v>
      </c>
      <c r="AJ1597" s="80">
        <v>384.0</v>
      </c>
      <c r="AK1597" s="140">
        <v>0.0</v>
      </c>
      <c r="AL1597" s="109">
        <v>0.0</v>
      </c>
      <c r="AM1597" s="141">
        <v>95.0</v>
      </c>
      <c r="AN1597" s="80">
        <v>95.0</v>
      </c>
      <c r="AO1597" s="140">
        <v>0.0</v>
      </c>
      <c r="AP1597" s="109">
        <v>0.0</v>
      </c>
      <c r="AQ1597" s="109">
        <v>190.0</v>
      </c>
      <c r="AR1597" s="80">
        <v>190.0</v>
      </c>
      <c r="AS1597" s="110">
        <v>0.0</v>
      </c>
      <c r="AT1597" s="110">
        <v>0.0</v>
      </c>
      <c r="AU1597" s="110">
        <v>0.0</v>
      </c>
      <c r="AV1597" s="142">
        <v>0.0</v>
      </c>
      <c r="AW1597" s="80">
        <v>0.0</v>
      </c>
      <c r="AX1597" s="113">
        <v>1230.0</v>
      </c>
      <c r="AY1597" s="117">
        <v>886.0</v>
      </c>
      <c r="AZ1597" s="328">
        <v>344.0</v>
      </c>
      <c r="BA1597" s="315">
        <v>0.0</v>
      </c>
      <c r="BB1597" s="316">
        <v>1230.0</v>
      </c>
      <c r="BC1597" s="132" t="s">
        <v>178</v>
      </c>
      <c r="BD1597" s="132" t="s">
        <v>178</v>
      </c>
      <c r="BE1597" s="132" t="s">
        <v>178</v>
      </c>
      <c r="BF1597" s="123"/>
      <c r="BG1597" s="83">
        <v>1163924.0</v>
      </c>
      <c r="BH1597" s="112">
        <v>14.0</v>
      </c>
      <c r="BI1597" s="98" t="s">
        <v>155</v>
      </c>
      <c r="BJ1597" s="98" t="str">
        <f t="shared" si="1"/>
        <v>NÃO</v>
      </c>
      <c r="BK1597" s="98" t="str">
        <f t="shared" si="2"/>
        <v>NÃO</v>
      </c>
    </row>
    <row r="1598" ht="15.75" customHeight="1">
      <c r="A1598" s="111" t="s">
        <v>1785</v>
      </c>
      <c r="B1598" s="83" t="s">
        <v>1994</v>
      </c>
      <c r="C1598" s="83" t="s">
        <v>68</v>
      </c>
      <c r="D1598" s="83">
        <v>1100949.0</v>
      </c>
      <c r="E1598" s="83"/>
      <c r="F1598" s="83">
        <v>2.9192889E7</v>
      </c>
      <c r="G1598" s="114" t="s">
        <v>8607</v>
      </c>
      <c r="H1598" s="91" t="s">
        <v>8608</v>
      </c>
      <c r="I1598" s="114" t="s">
        <v>8609</v>
      </c>
      <c r="J1598" s="136" t="s">
        <v>150</v>
      </c>
      <c r="K1598" s="83" t="s">
        <v>151</v>
      </c>
      <c r="L1598" s="83" t="s">
        <v>152</v>
      </c>
      <c r="M1598" s="82" t="s">
        <v>13043</v>
      </c>
      <c r="N1598" s="82" t="s">
        <v>13044</v>
      </c>
      <c r="O1598" s="82" t="s">
        <v>13045</v>
      </c>
      <c r="P1598" s="82" t="s">
        <v>13046</v>
      </c>
      <c r="Q1598" s="82" t="s">
        <v>13047</v>
      </c>
      <c r="R1598" s="82" t="s">
        <v>13048</v>
      </c>
      <c r="S1598" s="82" t="s">
        <v>13049</v>
      </c>
      <c r="T1598" s="138">
        <v>14.0</v>
      </c>
      <c r="U1598" s="341">
        <v>13.0</v>
      </c>
      <c r="V1598" s="106">
        <v>0.0</v>
      </c>
      <c r="W1598" s="107">
        <v>0.0</v>
      </c>
      <c r="X1598" s="107">
        <v>0.0</v>
      </c>
      <c r="Y1598" s="107">
        <v>0.0</v>
      </c>
      <c r="Z1598" s="80">
        <v>0.0</v>
      </c>
      <c r="AA1598" s="140">
        <v>35.0</v>
      </c>
      <c r="AB1598" s="109">
        <v>341.0</v>
      </c>
      <c r="AC1598" s="109">
        <v>0.0</v>
      </c>
      <c r="AD1598" s="141">
        <v>0.0</v>
      </c>
      <c r="AE1598" s="80">
        <v>376.0</v>
      </c>
      <c r="AF1598" s="140">
        <v>418.0</v>
      </c>
      <c r="AG1598" s="109">
        <v>0.0</v>
      </c>
      <c r="AH1598" s="109">
        <v>37.0</v>
      </c>
      <c r="AI1598" s="141">
        <v>0.0</v>
      </c>
      <c r="AJ1598" s="80">
        <v>455.0</v>
      </c>
      <c r="AK1598" s="140">
        <v>0.0</v>
      </c>
      <c r="AL1598" s="109">
        <v>30.0</v>
      </c>
      <c r="AM1598" s="141">
        <v>0.0</v>
      </c>
      <c r="AN1598" s="80">
        <v>30.0</v>
      </c>
      <c r="AO1598" s="140">
        <v>0.0</v>
      </c>
      <c r="AP1598" s="109">
        <v>0.0</v>
      </c>
      <c r="AQ1598" s="109">
        <v>176.0</v>
      </c>
      <c r="AR1598" s="80">
        <v>176.0</v>
      </c>
      <c r="AS1598" s="110">
        <v>0.0</v>
      </c>
      <c r="AT1598" s="110">
        <v>0.0</v>
      </c>
      <c r="AU1598" s="110">
        <v>0.0</v>
      </c>
      <c r="AV1598" s="142">
        <v>0.0</v>
      </c>
      <c r="AW1598" s="80">
        <v>0.0</v>
      </c>
      <c r="AX1598" s="113">
        <v>1037.0</v>
      </c>
      <c r="AY1598" s="117">
        <v>824.0</v>
      </c>
      <c r="AZ1598" s="328">
        <v>213.0</v>
      </c>
      <c r="BA1598" s="315">
        <v>0.0</v>
      </c>
      <c r="BB1598" s="316">
        <v>1037.0</v>
      </c>
      <c r="BC1598" s="132" t="s">
        <v>178</v>
      </c>
      <c r="BD1598" s="132" t="s">
        <v>178</v>
      </c>
      <c r="BE1598" s="132" t="s">
        <v>178</v>
      </c>
      <c r="BF1598" s="123"/>
      <c r="BG1598" s="83">
        <v>1100949.0</v>
      </c>
      <c r="BH1598" s="112">
        <v>13.0</v>
      </c>
      <c r="BI1598" s="98" t="s">
        <v>155</v>
      </c>
      <c r="BJ1598" s="98" t="str">
        <f t="shared" si="1"/>
        <v>NÃO</v>
      </c>
      <c r="BK1598" s="98" t="str">
        <f t="shared" si="2"/>
        <v>NÃO</v>
      </c>
    </row>
    <row r="1599" ht="15.75" customHeight="1">
      <c r="A1599" s="111" t="s">
        <v>1785</v>
      </c>
      <c r="B1599" s="83" t="s">
        <v>1994</v>
      </c>
      <c r="C1599" s="83" t="s">
        <v>68</v>
      </c>
      <c r="D1599" s="83">
        <v>1101376.0</v>
      </c>
      <c r="E1599" s="83"/>
      <c r="F1599" s="83">
        <v>2.9182247E7</v>
      </c>
      <c r="G1599" s="187" t="s">
        <v>13050</v>
      </c>
      <c r="H1599" s="91" t="s">
        <v>8612</v>
      </c>
      <c r="I1599" s="114" t="s">
        <v>8588</v>
      </c>
      <c r="J1599" s="136" t="s">
        <v>150</v>
      </c>
      <c r="K1599" s="83" t="s">
        <v>151</v>
      </c>
      <c r="L1599" s="83" t="s">
        <v>152</v>
      </c>
      <c r="M1599" s="82" t="s">
        <v>13051</v>
      </c>
      <c r="N1599" s="82" t="s">
        <v>13052</v>
      </c>
      <c r="O1599" s="82" t="s">
        <v>13053</v>
      </c>
      <c r="P1599" s="82" t="s">
        <v>13054</v>
      </c>
      <c r="Q1599" s="82" t="s">
        <v>13055</v>
      </c>
      <c r="R1599" s="82" t="s">
        <v>13056</v>
      </c>
      <c r="S1599" s="82" t="s">
        <v>13057</v>
      </c>
      <c r="T1599" s="138">
        <v>13.0</v>
      </c>
      <c r="U1599" s="341">
        <v>12.0</v>
      </c>
      <c r="V1599" s="106">
        <v>0.0</v>
      </c>
      <c r="W1599" s="107">
        <v>0.0</v>
      </c>
      <c r="X1599" s="107">
        <v>0.0</v>
      </c>
      <c r="Y1599" s="107">
        <v>0.0</v>
      </c>
      <c r="Z1599" s="80">
        <v>0.0</v>
      </c>
      <c r="AA1599" s="140">
        <v>0.0</v>
      </c>
      <c r="AB1599" s="109">
        <v>0.0</v>
      </c>
      <c r="AC1599" s="109">
        <v>0.0</v>
      </c>
      <c r="AD1599" s="141">
        <v>0.0</v>
      </c>
      <c r="AE1599" s="80">
        <v>0.0</v>
      </c>
      <c r="AF1599" s="140">
        <v>144.0</v>
      </c>
      <c r="AG1599" s="109">
        <v>43.0</v>
      </c>
      <c r="AH1599" s="109">
        <v>0.0</v>
      </c>
      <c r="AI1599" s="141">
        <v>14.0</v>
      </c>
      <c r="AJ1599" s="80">
        <v>201.0</v>
      </c>
      <c r="AK1599" s="140">
        <v>0.0</v>
      </c>
      <c r="AL1599" s="109">
        <v>0.0</v>
      </c>
      <c r="AM1599" s="141">
        <v>0.0</v>
      </c>
      <c r="AN1599" s="80">
        <v>0.0</v>
      </c>
      <c r="AO1599" s="140">
        <v>0.0</v>
      </c>
      <c r="AP1599" s="109">
        <v>0.0</v>
      </c>
      <c r="AQ1599" s="109">
        <v>10.0</v>
      </c>
      <c r="AR1599" s="80">
        <v>10.0</v>
      </c>
      <c r="AS1599" s="110">
        <v>106.0</v>
      </c>
      <c r="AT1599" s="110">
        <v>28.0</v>
      </c>
      <c r="AU1599" s="110">
        <v>49.0</v>
      </c>
      <c r="AV1599" s="142">
        <v>0.0</v>
      </c>
      <c r="AW1599" s="80">
        <v>183.0</v>
      </c>
      <c r="AX1599" s="113">
        <v>394.0</v>
      </c>
      <c r="AY1599" s="117">
        <v>335.0</v>
      </c>
      <c r="AZ1599" s="328">
        <v>59.0</v>
      </c>
      <c r="BA1599" s="315">
        <v>5.0</v>
      </c>
      <c r="BB1599" s="316">
        <v>399.0</v>
      </c>
      <c r="BC1599" s="132" t="s">
        <v>178</v>
      </c>
      <c r="BD1599" s="132" t="s">
        <v>178</v>
      </c>
      <c r="BE1599" s="132" t="s">
        <v>178</v>
      </c>
      <c r="BF1599" s="123"/>
      <c r="BG1599" s="83">
        <v>1101376.0</v>
      </c>
      <c r="BH1599" s="112">
        <v>12.0</v>
      </c>
      <c r="BI1599" s="98" t="s">
        <v>155</v>
      </c>
      <c r="BJ1599" s="98" t="str">
        <f t="shared" si="1"/>
        <v>INTEGRAL</v>
      </c>
      <c r="BK1599" s="98" t="str">
        <f t="shared" si="2"/>
        <v>PROFISSIONAL</v>
      </c>
    </row>
    <row r="1600" ht="15.75" customHeight="1">
      <c r="A1600" s="111" t="s">
        <v>1785</v>
      </c>
      <c r="B1600" s="83" t="s">
        <v>1994</v>
      </c>
      <c r="C1600" s="83" t="s">
        <v>68</v>
      </c>
      <c r="D1600" s="83">
        <v>1163967.0</v>
      </c>
      <c r="E1600" s="83"/>
      <c r="F1600" s="83">
        <v>2.9192137E7</v>
      </c>
      <c r="G1600" s="114" t="s">
        <v>13058</v>
      </c>
      <c r="H1600" s="91" t="s">
        <v>8769</v>
      </c>
      <c r="I1600" s="114" t="s">
        <v>8446</v>
      </c>
      <c r="J1600" s="136" t="s">
        <v>150</v>
      </c>
      <c r="K1600" s="83" t="s">
        <v>151</v>
      </c>
      <c r="L1600" s="83" t="s">
        <v>76</v>
      </c>
      <c r="M1600" s="82" t="s">
        <v>13059</v>
      </c>
      <c r="N1600" s="82" t="s">
        <v>13060</v>
      </c>
      <c r="O1600" s="82" t="s">
        <v>13061</v>
      </c>
      <c r="P1600" s="82" t="s">
        <v>13062</v>
      </c>
      <c r="Q1600" s="82"/>
      <c r="R1600" s="82"/>
      <c r="S1600" s="82" t="s">
        <v>13063</v>
      </c>
      <c r="T1600" s="138">
        <v>10.0</v>
      </c>
      <c r="U1600" s="341">
        <v>10.0</v>
      </c>
      <c r="V1600" s="106">
        <v>0.0</v>
      </c>
      <c r="W1600" s="107">
        <v>0.0</v>
      </c>
      <c r="X1600" s="107">
        <v>0.0</v>
      </c>
      <c r="Y1600" s="107">
        <v>0.0</v>
      </c>
      <c r="Z1600" s="80">
        <v>0.0</v>
      </c>
      <c r="AA1600" s="140">
        <v>0.0</v>
      </c>
      <c r="AB1600" s="109">
        <v>81.0</v>
      </c>
      <c r="AC1600" s="109">
        <v>0.0</v>
      </c>
      <c r="AD1600" s="141">
        <v>0.0</v>
      </c>
      <c r="AE1600" s="80">
        <v>81.0</v>
      </c>
      <c r="AF1600" s="140">
        <v>190.0</v>
      </c>
      <c r="AG1600" s="109">
        <v>29.0</v>
      </c>
      <c r="AH1600" s="109">
        <v>0.0</v>
      </c>
      <c r="AI1600" s="141">
        <v>0.0</v>
      </c>
      <c r="AJ1600" s="80">
        <v>219.0</v>
      </c>
      <c r="AK1600" s="140">
        <v>0.0</v>
      </c>
      <c r="AL1600" s="109">
        <v>0.0</v>
      </c>
      <c r="AM1600" s="141">
        <v>0.0</v>
      </c>
      <c r="AN1600" s="80">
        <v>0.0</v>
      </c>
      <c r="AO1600" s="140">
        <v>0.0</v>
      </c>
      <c r="AP1600" s="109">
        <v>0.0</v>
      </c>
      <c r="AQ1600" s="109">
        <v>39.0</v>
      </c>
      <c r="AR1600" s="80">
        <v>39.0</v>
      </c>
      <c r="AS1600" s="110">
        <v>0.0</v>
      </c>
      <c r="AT1600" s="110">
        <v>52.0</v>
      </c>
      <c r="AU1600" s="110">
        <v>27.0</v>
      </c>
      <c r="AV1600" s="142">
        <v>0.0</v>
      </c>
      <c r="AW1600" s="80">
        <v>79.0</v>
      </c>
      <c r="AX1600" s="113">
        <v>418.0</v>
      </c>
      <c r="AY1600" s="117">
        <v>352.0</v>
      </c>
      <c r="AZ1600" s="328">
        <v>66.0</v>
      </c>
      <c r="BA1600" s="315">
        <v>0.0</v>
      </c>
      <c r="BB1600" s="316">
        <v>418.0</v>
      </c>
      <c r="BC1600" s="132" t="s">
        <v>178</v>
      </c>
      <c r="BD1600" s="132" t="s">
        <v>178</v>
      </c>
      <c r="BE1600" s="132" t="s">
        <v>178</v>
      </c>
      <c r="BF1600" s="123"/>
      <c r="BG1600" s="83">
        <v>1163967.0</v>
      </c>
      <c r="BH1600" s="112">
        <v>10.0</v>
      </c>
      <c r="BI1600" s="98" t="s">
        <v>155</v>
      </c>
      <c r="BJ1600" s="98" t="str">
        <f t="shared" si="1"/>
        <v>NÃO</v>
      </c>
      <c r="BK1600" s="98" t="str">
        <f t="shared" si="2"/>
        <v>PROFISSIONAL</v>
      </c>
    </row>
    <row r="1601" ht="15.75" customHeight="1">
      <c r="A1601" s="111" t="s">
        <v>1785</v>
      </c>
      <c r="B1601" s="83" t="s">
        <v>1994</v>
      </c>
      <c r="C1601" s="83" t="s">
        <v>68</v>
      </c>
      <c r="D1601" s="83">
        <v>1104642.0</v>
      </c>
      <c r="E1601" s="83"/>
      <c r="F1601" s="83">
        <v>2.9184916E7</v>
      </c>
      <c r="G1601" s="114" t="s">
        <v>13064</v>
      </c>
      <c r="H1601" s="91" t="s">
        <v>8615</v>
      </c>
      <c r="I1601" s="114" t="s">
        <v>8391</v>
      </c>
      <c r="J1601" s="136" t="s">
        <v>150</v>
      </c>
      <c r="K1601" s="83" t="s">
        <v>151</v>
      </c>
      <c r="L1601" s="83" t="s">
        <v>152</v>
      </c>
      <c r="M1601" s="82" t="s">
        <v>13065</v>
      </c>
      <c r="N1601" s="82" t="s">
        <v>13066</v>
      </c>
      <c r="O1601" s="82" t="s">
        <v>13067</v>
      </c>
      <c r="P1601" s="82" t="s">
        <v>13068</v>
      </c>
      <c r="Q1601" s="82" t="s">
        <v>13069</v>
      </c>
      <c r="R1601" s="82" t="s">
        <v>13070</v>
      </c>
      <c r="S1601" s="82" t="s">
        <v>13071</v>
      </c>
      <c r="T1601" s="138">
        <v>12.0</v>
      </c>
      <c r="U1601" s="341">
        <v>12.0</v>
      </c>
      <c r="V1601" s="106">
        <v>0.0</v>
      </c>
      <c r="W1601" s="107">
        <v>0.0</v>
      </c>
      <c r="X1601" s="107">
        <v>0.0</v>
      </c>
      <c r="Y1601" s="107">
        <v>0.0</v>
      </c>
      <c r="Z1601" s="80">
        <v>0.0</v>
      </c>
      <c r="AA1601" s="140">
        <v>407.0</v>
      </c>
      <c r="AB1601" s="109">
        <v>156.0</v>
      </c>
      <c r="AC1601" s="109">
        <v>0.0</v>
      </c>
      <c r="AD1601" s="141">
        <v>0.0</v>
      </c>
      <c r="AE1601" s="80">
        <v>563.0</v>
      </c>
      <c r="AF1601" s="140">
        <v>0.0</v>
      </c>
      <c r="AG1601" s="109">
        <v>295.0</v>
      </c>
      <c r="AH1601" s="109">
        <v>39.0</v>
      </c>
      <c r="AI1601" s="141">
        <v>0.0</v>
      </c>
      <c r="AJ1601" s="80">
        <v>334.0</v>
      </c>
      <c r="AK1601" s="140">
        <v>0.0</v>
      </c>
      <c r="AL1601" s="109">
        <v>0.0</v>
      </c>
      <c r="AM1601" s="141">
        <v>103.0</v>
      </c>
      <c r="AN1601" s="80">
        <v>103.0</v>
      </c>
      <c r="AO1601" s="140">
        <v>0.0</v>
      </c>
      <c r="AP1601" s="109">
        <v>0.0</v>
      </c>
      <c r="AQ1601" s="109">
        <v>204.0</v>
      </c>
      <c r="AR1601" s="80">
        <v>204.0</v>
      </c>
      <c r="AS1601" s="110">
        <v>0.0</v>
      </c>
      <c r="AT1601" s="110">
        <v>0.0</v>
      </c>
      <c r="AU1601" s="110">
        <v>0.0</v>
      </c>
      <c r="AV1601" s="142">
        <v>0.0</v>
      </c>
      <c r="AW1601" s="80">
        <v>0.0</v>
      </c>
      <c r="AX1601" s="113">
        <v>1204.0</v>
      </c>
      <c r="AY1601" s="117">
        <v>858.0</v>
      </c>
      <c r="AZ1601" s="328">
        <v>346.0</v>
      </c>
      <c r="BA1601" s="315">
        <v>0.0</v>
      </c>
      <c r="BB1601" s="316">
        <v>1204.0</v>
      </c>
      <c r="BC1601" s="132" t="s">
        <v>178</v>
      </c>
      <c r="BD1601" s="132" t="s">
        <v>178</v>
      </c>
      <c r="BE1601" s="132" t="s">
        <v>178</v>
      </c>
      <c r="BF1601" s="123"/>
      <c r="BG1601" s="83">
        <v>1104642.0</v>
      </c>
      <c r="BH1601" s="112">
        <v>12.0</v>
      </c>
      <c r="BI1601" s="98" t="s">
        <v>155</v>
      </c>
      <c r="BJ1601" s="98" t="str">
        <f t="shared" si="1"/>
        <v>NÃO</v>
      </c>
      <c r="BK1601" s="98" t="str">
        <f t="shared" si="2"/>
        <v>NÃO</v>
      </c>
    </row>
    <row r="1602" ht="15.75" customHeight="1">
      <c r="A1602" s="111" t="s">
        <v>1785</v>
      </c>
      <c r="B1602" s="83" t="s">
        <v>1994</v>
      </c>
      <c r="C1602" s="83" t="s">
        <v>68</v>
      </c>
      <c r="D1602" s="83">
        <v>1173946.0</v>
      </c>
      <c r="E1602" s="83"/>
      <c r="F1602" s="83">
        <v>2.9182131E7</v>
      </c>
      <c r="G1602" s="114" t="s">
        <v>13072</v>
      </c>
      <c r="H1602" s="91" t="s">
        <v>8618</v>
      </c>
      <c r="I1602" s="114" t="s">
        <v>8619</v>
      </c>
      <c r="J1602" s="136" t="s">
        <v>150</v>
      </c>
      <c r="K1602" s="83" t="s">
        <v>151</v>
      </c>
      <c r="L1602" s="83" t="s">
        <v>230</v>
      </c>
      <c r="M1602" s="82" t="s">
        <v>13073</v>
      </c>
      <c r="N1602" s="82" t="s">
        <v>13074</v>
      </c>
      <c r="O1602" s="82" t="s">
        <v>13075</v>
      </c>
      <c r="P1602" s="82" t="s">
        <v>13076</v>
      </c>
      <c r="Q1602" s="82" t="s">
        <v>13077</v>
      </c>
      <c r="R1602" s="82" t="s">
        <v>13078</v>
      </c>
      <c r="S1602" s="82" t="s">
        <v>13079</v>
      </c>
      <c r="T1602" s="138">
        <v>31.0</v>
      </c>
      <c r="U1602" s="341">
        <v>31.0</v>
      </c>
      <c r="V1602" s="106">
        <v>0.0</v>
      </c>
      <c r="W1602" s="107">
        <v>0.0</v>
      </c>
      <c r="X1602" s="107">
        <v>0.0</v>
      </c>
      <c r="Y1602" s="107">
        <v>0.0</v>
      </c>
      <c r="Z1602" s="80">
        <v>0.0</v>
      </c>
      <c r="AA1602" s="140">
        <v>0.0</v>
      </c>
      <c r="AB1602" s="109">
        <v>0.0</v>
      </c>
      <c r="AC1602" s="109">
        <v>0.0</v>
      </c>
      <c r="AD1602" s="141">
        <v>0.0</v>
      </c>
      <c r="AE1602" s="80">
        <v>0.0</v>
      </c>
      <c r="AF1602" s="140">
        <v>359.0</v>
      </c>
      <c r="AG1602" s="109">
        <v>42.0</v>
      </c>
      <c r="AH1602" s="109">
        <v>0.0</v>
      </c>
      <c r="AI1602" s="141">
        <v>0.0</v>
      </c>
      <c r="AJ1602" s="80">
        <v>401.0</v>
      </c>
      <c r="AK1602" s="140">
        <v>0.0</v>
      </c>
      <c r="AL1602" s="109">
        <v>0.0</v>
      </c>
      <c r="AM1602" s="141">
        <v>0.0</v>
      </c>
      <c r="AN1602" s="80">
        <v>0.0</v>
      </c>
      <c r="AO1602" s="140">
        <v>0.0</v>
      </c>
      <c r="AP1602" s="109">
        <v>0.0</v>
      </c>
      <c r="AQ1602" s="109">
        <v>60.0</v>
      </c>
      <c r="AR1602" s="80">
        <v>60.0</v>
      </c>
      <c r="AS1602" s="110">
        <v>27.0</v>
      </c>
      <c r="AT1602" s="110">
        <v>0.0</v>
      </c>
      <c r="AU1602" s="110">
        <v>71.0</v>
      </c>
      <c r="AV1602" s="142">
        <v>0.0</v>
      </c>
      <c r="AW1602" s="80">
        <v>98.0</v>
      </c>
      <c r="AX1602" s="113">
        <v>559.0</v>
      </c>
      <c r="AY1602" s="117">
        <v>428.0</v>
      </c>
      <c r="AZ1602" s="328">
        <v>131.0</v>
      </c>
      <c r="BA1602" s="315">
        <v>0.0</v>
      </c>
      <c r="BB1602" s="316">
        <v>559.0</v>
      </c>
      <c r="BC1602" s="132" t="s">
        <v>178</v>
      </c>
      <c r="BD1602" s="132" t="s">
        <v>178</v>
      </c>
      <c r="BE1602" s="132" t="s">
        <v>178</v>
      </c>
      <c r="BF1602" s="156"/>
      <c r="BG1602" s="83">
        <v>1173946.0</v>
      </c>
      <c r="BH1602" s="112">
        <v>31.0</v>
      </c>
      <c r="BI1602" s="98" t="s">
        <v>155</v>
      </c>
      <c r="BJ1602" s="98" t="str">
        <f t="shared" si="1"/>
        <v>NÃO</v>
      </c>
      <c r="BK1602" s="98" t="str">
        <f t="shared" si="2"/>
        <v>PROFISSIONAL</v>
      </c>
    </row>
    <row r="1603" ht="15.75" customHeight="1">
      <c r="A1603" s="111" t="s">
        <v>1785</v>
      </c>
      <c r="B1603" s="83" t="s">
        <v>1994</v>
      </c>
      <c r="C1603" s="83" t="s">
        <v>68</v>
      </c>
      <c r="D1603" s="83">
        <v>1102534.0</v>
      </c>
      <c r="E1603" s="83"/>
      <c r="F1603" s="83">
        <v>2.9191378E7</v>
      </c>
      <c r="G1603" s="114" t="s">
        <v>10087</v>
      </c>
      <c r="H1603" s="91" t="s">
        <v>8844</v>
      </c>
      <c r="I1603" s="114" t="s">
        <v>8845</v>
      </c>
      <c r="J1603" s="83" t="s">
        <v>150</v>
      </c>
      <c r="K1603" s="83" t="s">
        <v>151</v>
      </c>
      <c r="L1603" s="83" t="s">
        <v>152</v>
      </c>
      <c r="M1603" s="82" t="s">
        <v>13081</v>
      </c>
      <c r="N1603" s="82"/>
      <c r="O1603" s="82" t="s">
        <v>13082</v>
      </c>
      <c r="P1603" s="82" t="s">
        <v>13083</v>
      </c>
      <c r="Q1603" s="82"/>
      <c r="R1603" s="82"/>
      <c r="S1603" s="82" t="s">
        <v>13084</v>
      </c>
      <c r="T1603" s="138">
        <v>17.0</v>
      </c>
      <c r="U1603" s="341">
        <v>16.0</v>
      </c>
      <c r="V1603" s="106">
        <v>0.0</v>
      </c>
      <c r="W1603" s="107">
        <v>0.0</v>
      </c>
      <c r="X1603" s="107">
        <v>0.0</v>
      </c>
      <c r="Y1603" s="107">
        <v>0.0</v>
      </c>
      <c r="Z1603" s="80">
        <v>0.0</v>
      </c>
      <c r="AA1603" s="140">
        <v>287.0</v>
      </c>
      <c r="AB1603" s="109">
        <v>121.0</v>
      </c>
      <c r="AC1603" s="109">
        <v>0.0</v>
      </c>
      <c r="AD1603" s="141">
        <v>0.0</v>
      </c>
      <c r="AE1603" s="80">
        <v>408.0</v>
      </c>
      <c r="AF1603" s="140">
        <v>112.0</v>
      </c>
      <c r="AG1603" s="109">
        <v>45.0</v>
      </c>
      <c r="AH1603" s="109">
        <v>0.0</v>
      </c>
      <c r="AI1603" s="141">
        <v>0.0</v>
      </c>
      <c r="AJ1603" s="80">
        <v>157.0</v>
      </c>
      <c r="AK1603" s="140">
        <v>0.0</v>
      </c>
      <c r="AL1603" s="109">
        <v>0.0</v>
      </c>
      <c r="AM1603" s="141">
        <v>74.0</v>
      </c>
      <c r="AN1603" s="80">
        <v>74.0</v>
      </c>
      <c r="AO1603" s="140">
        <v>0.0</v>
      </c>
      <c r="AP1603" s="109">
        <v>0.0</v>
      </c>
      <c r="AQ1603" s="109">
        <v>134.0</v>
      </c>
      <c r="AR1603" s="80">
        <v>134.0</v>
      </c>
      <c r="AS1603" s="110">
        <v>0.0</v>
      </c>
      <c r="AT1603" s="110">
        <v>30.0</v>
      </c>
      <c r="AU1603" s="110">
        <v>36.0</v>
      </c>
      <c r="AV1603" s="142">
        <v>0.0</v>
      </c>
      <c r="AW1603" s="80">
        <v>66.0</v>
      </c>
      <c r="AX1603" s="113">
        <v>839.0</v>
      </c>
      <c r="AY1603" s="117">
        <v>595.0</v>
      </c>
      <c r="AZ1603" s="328">
        <v>244.0</v>
      </c>
      <c r="BA1603" s="315">
        <v>1.0</v>
      </c>
      <c r="BB1603" s="316">
        <v>840.0</v>
      </c>
      <c r="BC1603" s="132" t="s">
        <v>178</v>
      </c>
      <c r="BD1603" s="132" t="s">
        <v>178</v>
      </c>
      <c r="BE1603" s="132" t="s">
        <v>178</v>
      </c>
      <c r="BF1603" s="123"/>
      <c r="BG1603" s="83">
        <v>1102534.0</v>
      </c>
      <c r="BH1603" s="112">
        <v>16.0</v>
      </c>
      <c r="BI1603" s="98" t="s">
        <v>155</v>
      </c>
      <c r="BJ1603" s="98" t="str">
        <f t="shared" si="1"/>
        <v>NÃO</v>
      </c>
      <c r="BK1603" s="98" t="str">
        <f t="shared" si="2"/>
        <v>PROFISSIONAL</v>
      </c>
    </row>
    <row r="1604" ht="15.75" customHeight="1">
      <c r="A1604" s="111" t="s">
        <v>1785</v>
      </c>
      <c r="B1604" s="83" t="s">
        <v>1994</v>
      </c>
      <c r="C1604" s="83" t="s">
        <v>68</v>
      </c>
      <c r="D1604" s="83">
        <v>1104570.0</v>
      </c>
      <c r="E1604" s="83"/>
      <c r="F1604" s="83">
        <v>2.919136E7</v>
      </c>
      <c r="G1604" s="114" t="s">
        <v>8621</v>
      </c>
      <c r="H1604" s="91" t="s">
        <v>8622</v>
      </c>
      <c r="I1604" s="114" t="s">
        <v>8570</v>
      </c>
      <c r="J1604" s="83" t="s">
        <v>150</v>
      </c>
      <c r="K1604" s="83" t="s">
        <v>151</v>
      </c>
      <c r="L1604" s="83" t="s">
        <v>76</v>
      </c>
      <c r="M1604" s="82" t="s">
        <v>13085</v>
      </c>
      <c r="N1604" s="82" t="s">
        <v>13086</v>
      </c>
      <c r="O1604" s="82" t="s">
        <v>13087</v>
      </c>
      <c r="P1604" s="82" t="s">
        <v>13088</v>
      </c>
      <c r="Q1604" s="82"/>
      <c r="R1604" s="82"/>
      <c r="S1604" s="82" t="s">
        <v>13089</v>
      </c>
      <c r="T1604" s="138">
        <v>8.0</v>
      </c>
      <c r="U1604" s="341">
        <v>8.0</v>
      </c>
      <c r="V1604" s="106">
        <v>0.0</v>
      </c>
      <c r="W1604" s="107">
        <v>0.0</v>
      </c>
      <c r="X1604" s="107">
        <v>0.0</v>
      </c>
      <c r="Y1604" s="107">
        <v>0.0</v>
      </c>
      <c r="Z1604" s="80">
        <v>0.0</v>
      </c>
      <c r="AA1604" s="140">
        <v>0.0</v>
      </c>
      <c r="AB1604" s="109">
        <v>0.0</v>
      </c>
      <c r="AC1604" s="109">
        <v>0.0</v>
      </c>
      <c r="AD1604" s="141">
        <v>192.0</v>
      </c>
      <c r="AE1604" s="80">
        <v>192.0</v>
      </c>
      <c r="AF1604" s="140">
        <v>0.0</v>
      </c>
      <c r="AG1604" s="109">
        <v>0.0</v>
      </c>
      <c r="AH1604" s="109">
        <v>0.0</v>
      </c>
      <c r="AI1604" s="141">
        <v>0.0</v>
      </c>
      <c r="AJ1604" s="80">
        <v>0.0</v>
      </c>
      <c r="AK1604" s="140">
        <v>0.0</v>
      </c>
      <c r="AL1604" s="109">
        <v>0.0</v>
      </c>
      <c r="AM1604" s="141">
        <v>0.0</v>
      </c>
      <c r="AN1604" s="80">
        <v>0.0</v>
      </c>
      <c r="AO1604" s="140">
        <v>0.0</v>
      </c>
      <c r="AP1604" s="109">
        <v>0.0</v>
      </c>
      <c r="AQ1604" s="109">
        <v>0.0</v>
      </c>
      <c r="AR1604" s="80">
        <v>0.0</v>
      </c>
      <c r="AS1604" s="110">
        <v>0.0</v>
      </c>
      <c r="AT1604" s="110">
        <v>0.0</v>
      </c>
      <c r="AU1604" s="110">
        <v>0.0</v>
      </c>
      <c r="AV1604" s="142">
        <v>0.0</v>
      </c>
      <c r="AW1604" s="80">
        <v>0.0</v>
      </c>
      <c r="AX1604" s="113">
        <v>192.0</v>
      </c>
      <c r="AY1604" s="117">
        <v>192.0</v>
      </c>
      <c r="AZ1604" s="328">
        <v>0.0</v>
      </c>
      <c r="BA1604" s="315">
        <v>0.0</v>
      </c>
      <c r="BB1604" s="316">
        <v>192.0</v>
      </c>
      <c r="BC1604" s="132" t="s">
        <v>178</v>
      </c>
      <c r="BD1604" s="132" t="s">
        <v>178</v>
      </c>
      <c r="BE1604" s="132" t="s">
        <v>178</v>
      </c>
      <c r="BF1604" s="123"/>
      <c r="BG1604" s="83">
        <v>1104570.0</v>
      </c>
      <c r="BH1604" s="112">
        <v>8.0</v>
      </c>
      <c r="BI1604" s="98" t="s">
        <v>155</v>
      </c>
      <c r="BJ1604" s="98" t="str">
        <f t="shared" si="1"/>
        <v>INTEGRAL</v>
      </c>
      <c r="BK1604" s="98" t="str">
        <f t="shared" si="2"/>
        <v>NÃO</v>
      </c>
    </row>
    <row r="1605" ht="15.75" customHeight="1">
      <c r="A1605" s="111" t="s">
        <v>1785</v>
      </c>
      <c r="B1605" s="83" t="s">
        <v>1994</v>
      </c>
      <c r="C1605" s="83" t="s">
        <v>68</v>
      </c>
      <c r="D1605" s="83">
        <v>1100981.0</v>
      </c>
      <c r="E1605" s="83"/>
      <c r="F1605" s="83">
        <v>2.918446E7</v>
      </c>
      <c r="G1605" s="114" t="s">
        <v>8626</v>
      </c>
      <c r="H1605" s="91" t="s">
        <v>8627</v>
      </c>
      <c r="I1605" s="114" t="s">
        <v>8417</v>
      </c>
      <c r="J1605" s="83" t="s">
        <v>150</v>
      </c>
      <c r="K1605" s="83" t="s">
        <v>151</v>
      </c>
      <c r="L1605" s="83" t="s">
        <v>230</v>
      </c>
      <c r="M1605" s="82" t="s">
        <v>13090</v>
      </c>
      <c r="N1605" s="82" t="s">
        <v>13091</v>
      </c>
      <c r="O1605" s="82" t="s">
        <v>13092</v>
      </c>
      <c r="P1605" s="82" t="s">
        <v>13093</v>
      </c>
      <c r="Q1605" s="82" t="s">
        <v>13094</v>
      </c>
      <c r="R1605" s="82" t="s">
        <v>13095</v>
      </c>
      <c r="S1605" s="82" t="s">
        <v>13096</v>
      </c>
      <c r="T1605" s="138">
        <v>21.0</v>
      </c>
      <c r="U1605" s="352" t="s">
        <v>13097</v>
      </c>
      <c r="V1605" s="106">
        <v>0.0</v>
      </c>
      <c r="W1605" s="107">
        <v>0.0</v>
      </c>
      <c r="X1605" s="107">
        <v>0.0</v>
      </c>
      <c r="Y1605" s="107">
        <v>0.0</v>
      </c>
      <c r="Z1605" s="80">
        <v>0.0</v>
      </c>
      <c r="AA1605" s="140">
        <v>0.0</v>
      </c>
      <c r="AB1605" s="109">
        <v>540.0</v>
      </c>
      <c r="AC1605" s="109">
        <v>0.0</v>
      </c>
      <c r="AD1605" s="141">
        <v>0.0</v>
      </c>
      <c r="AE1605" s="80">
        <v>540.0</v>
      </c>
      <c r="AF1605" s="140">
        <v>612.0</v>
      </c>
      <c r="AG1605" s="109">
        <v>0.0</v>
      </c>
      <c r="AH1605" s="109">
        <v>0.0</v>
      </c>
      <c r="AI1605" s="141">
        <v>0.0</v>
      </c>
      <c r="AJ1605" s="80">
        <v>612.0</v>
      </c>
      <c r="AK1605" s="140">
        <v>0.0</v>
      </c>
      <c r="AL1605" s="109">
        <v>0.0</v>
      </c>
      <c r="AM1605" s="141">
        <v>0.0</v>
      </c>
      <c r="AN1605" s="80">
        <v>0.0</v>
      </c>
      <c r="AO1605" s="140">
        <v>0.0</v>
      </c>
      <c r="AP1605" s="109">
        <v>0.0</v>
      </c>
      <c r="AQ1605" s="109">
        <v>156.0</v>
      </c>
      <c r="AR1605" s="80">
        <v>156.0</v>
      </c>
      <c r="AS1605" s="110">
        <v>76.0</v>
      </c>
      <c r="AT1605" s="110">
        <v>0.0</v>
      </c>
      <c r="AU1605" s="110">
        <v>57.0</v>
      </c>
      <c r="AV1605" s="142">
        <v>0.0</v>
      </c>
      <c r="AW1605" s="80">
        <v>133.0</v>
      </c>
      <c r="AX1605" s="113">
        <v>1441.0</v>
      </c>
      <c r="AY1605" s="117">
        <v>1228.0</v>
      </c>
      <c r="AZ1605" s="328">
        <v>213.0</v>
      </c>
      <c r="BA1605" s="315">
        <v>0.0</v>
      </c>
      <c r="BB1605" s="316">
        <v>1441.0</v>
      </c>
      <c r="BC1605" s="132" t="s">
        <v>178</v>
      </c>
      <c r="BD1605" s="132" t="s">
        <v>178</v>
      </c>
      <c r="BE1605" s="132" t="s">
        <v>178</v>
      </c>
      <c r="BF1605" s="156"/>
      <c r="BG1605" s="83">
        <v>1100981.0</v>
      </c>
      <c r="BH1605" s="112">
        <v>18.0</v>
      </c>
      <c r="BI1605" s="98" t="s">
        <v>155</v>
      </c>
      <c r="BJ1605" s="98" t="str">
        <f t="shared" si="1"/>
        <v>NÃO</v>
      </c>
      <c r="BK1605" s="98" t="str">
        <f t="shared" si="2"/>
        <v>PROFISSIONAL</v>
      </c>
    </row>
    <row r="1606" ht="15.75" customHeight="1">
      <c r="A1606" s="111" t="s">
        <v>1785</v>
      </c>
      <c r="B1606" s="83" t="s">
        <v>1994</v>
      </c>
      <c r="C1606" s="83" t="s">
        <v>68</v>
      </c>
      <c r="D1606" s="83">
        <v>1100973.0</v>
      </c>
      <c r="E1606" s="83"/>
      <c r="F1606" s="83">
        <v>2.9191092E7</v>
      </c>
      <c r="G1606" s="119" t="s">
        <v>8629</v>
      </c>
      <c r="H1606" s="91" t="s">
        <v>8630</v>
      </c>
      <c r="I1606" s="114" t="s">
        <v>8461</v>
      </c>
      <c r="J1606" s="83" t="s">
        <v>150</v>
      </c>
      <c r="K1606" s="83" t="s">
        <v>151</v>
      </c>
      <c r="L1606" s="83" t="s">
        <v>230</v>
      </c>
      <c r="M1606" s="82" t="s">
        <v>13098</v>
      </c>
      <c r="N1606" s="82" t="s">
        <v>13099</v>
      </c>
      <c r="O1606" s="82" t="s">
        <v>13100</v>
      </c>
      <c r="P1606" s="82" t="s">
        <v>13101</v>
      </c>
      <c r="Q1606" s="82" t="s">
        <v>13102</v>
      </c>
      <c r="R1606" s="82" t="s">
        <v>13103</v>
      </c>
      <c r="S1606" s="82" t="s">
        <v>13104</v>
      </c>
      <c r="T1606" s="138">
        <v>14.0</v>
      </c>
      <c r="U1606" s="341">
        <v>10.0</v>
      </c>
      <c r="V1606" s="106">
        <v>0.0</v>
      </c>
      <c r="W1606" s="107">
        <v>0.0</v>
      </c>
      <c r="X1606" s="107">
        <v>0.0</v>
      </c>
      <c r="Y1606" s="107">
        <v>0.0</v>
      </c>
      <c r="Z1606" s="80">
        <v>0.0</v>
      </c>
      <c r="AA1606" s="140">
        <v>355.0</v>
      </c>
      <c r="AB1606" s="109">
        <v>319.0</v>
      </c>
      <c r="AC1606" s="109">
        <v>0.0</v>
      </c>
      <c r="AD1606" s="141">
        <v>0.0</v>
      </c>
      <c r="AE1606" s="80">
        <v>674.0</v>
      </c>
      <c r="AF1606" s="140">
        <v>0.0</v>
      </c>
      <c r="AG1606" s="109">
        <v>0.0</v>
      </c>
      <c r="AH1606" s="109">
        <v>0.0</v>
      </c>
      <c r="AI1606" s="141">
        <v>79.0</v>
      </c>
      <c r="AJ1606" s="80">
        <v>79.0</v>
      </c>
      <c r="AK1606" s="140">
        <v>0.0</v>
      </c>
      <c r="AL1606" s="109">
        <v>0.0</v>
      </c>
      <c r="AM1606" s="141">
        <v>64.0</v>
      </c>
      <c r="AN1606" s="80">
        <v>64.0</v>
      </c>
      <c r="AO1606" s="140">
        <v>0.0</v>
      </c>
      <c r="AP1606" s="109">
        <v>0.0</v>
      </c>
      <c r="AQ1606" s="109">
        <v>159.0</v>
      </c>
      <c r="AR1606" s="80">
        <v>159.0</v>
      </c>
      <c r="AS1606" s="110">
        <v>88.0</v>
      </c>
      <c r="AT1606" s="110">
        <v>52.0</v>
      </c>
      <c r="AU1606" s="110">
        <v>0.0</v>
      </c>
      <c r="AV1606" s="142">
        <v>0.0</v>
      </c>
      <c r="AW1606" s="80">
        <v>140.0</v>
      </c>
      <c r="AX1606" s="113">
        <v>1116.0</v>
      </c>
      <c r="AY1606" s="117">
        <v>893.0</v>
      </c>
      <c r="AZ1606" s="328">
        <v>223.0</v>
      </c>
      <c r="BA1606" s="315">
        <v>0.0</v>
      </c>
      <c r="BB1606" s="316">
        <v>1116.0</v>
      </c>
      <c r="BC1606" s="132" t="s">
        <v>178</v>
      </c>
      <c r="BD1606" s="132" t="s">
        <v>178</v>
      </c>
      <c r="BE1606" s="132" t="s">
        <v>178</v>
      </c>
      <c r="BF1606" s="123"/>
      <c r="BG1606" s="83">
        <v>1100973.0</v>
      </c>
      <c r="BH1606" s="112">
        <v>10.0</v>
      </c>
      <c r="BI1606" s="98" t="s">
        <v>155</v>
      </c>
      <c r="BJ1606" s="98" t="str">
        <f t="shared" si="1"/>
        <v>INTEGRAL</v>
      </c>
      <c r="BK1606" s="98" t="str">
        <f t="shared" si="2"/>
        <v>PROFISSIONAL</v>
      </c>
    </row>
    <row r="1607" ht="15.75" customHeight="1">
      <c r="A1607" s="111" t="s">
        <v>1785</v>
      </c>
      <c r="B1607" s="83" t="s">
        <v>1994</v>
      </c>
      <c r="C1607" s="83" t="s">
        <v>68</v>
      </c>
      <c r="D1607" s="83">
        <v>1178076.0</v>
      </c>
      <c r="E1607" s="83"/>
      <c r="F1607" s="83">
        <v>2.9436877E7</v>
      </c>
      <c r="G1607" s="119" t="s">
        <v>8640</v>
      </c>
      <c r="H1607" s="91" t="s">
        <v>8641</v>
      </c>
      <c r="I1607" s="114" t="s">
        <v>8642</v>
      </c>
      <c r="J1607" s="83" t="s">
        <v>150</v>
      </c>
      <c r="K1607" s="83" t="s">
        <v>5791</v>
      </c>
      <c r="L1607" s="83" t="s">
        <v>76</v>
      </c>
      <c r="M1607" s="82" t="s">
        <v>13105</v>
      </c>
      <c r="N1607" s="82" t="s">
        <v>13106</v>
      </c>
      <c r="O1607" s="82" t="s">
        <v>13107</v>
      </c>
      <c r="P1607" s="82" t="s">
        <v>13108</v>
      </c>
      <c r="Q1607" s="82"/>
      <c r="R1607" s="82"/>
      <c r="S1607" s="82" t="s">
        <v>13109</v>
      </c>
      <c r="T1607" s="138">
        <v>13.0</v>
      </c>
      <c r="U1607" s="341">
        <v>10.0</v>
      </c>
      <c r="V1607" s="106">
        <v>0.0</v>
      </c>
      <c r="W1607" s="107">
        <v>0.0</v>
      </c>
      <c r="X1607" s="107">
        <v>0.0</v>
      </c>
      <c r="Y1607" s="107">
        <v>0.0</v>
      </c>
      <c r="Z1607" s="80">
        <v>0.0</v>
      </c>
      <c r="AA1607" s="140">
        <v>142.0</v>
      </c>
      <c r="AB1607" s="109">
        <v>277.0</v>
      </c>
      <c r="AC1607" s="109">
        <v>0.0</v>
      </c>
      <c r="AD1607" s="141">
        <v>0.0</v>
      </c>
      <c r="AE1607" s="80">
        <v>419.0</v>
      </c>
      <c r="AF1607" s="140">
        <v>193.0</v>
      </c>
      <c r="AG1607" s="109">
        <v>0.0</v>
      </c>
      <c r="AH1607" s="109">
        <v>0.0</v>
      </c>
      <c r="AI1607" s="141">
        <v>0.0</v>
      </c>
      <c r="AJ1607" s="80">
        <v>193.0</v>
      </c>
      <c r="AK1607" s="140">
        <v>0.0</v>
      </c>
      <c r="AL1607" s="109">
        <v>0.0</v>
      </c>
      <c r="AM1607" s="141">
        <v>0.0</v>
      </c>
      <c r="AN1607" s="80">
        <v>0.0</v>
      </c>
      <c r="AO1607" s="140">
        <v>0.0</v>
      </c>
      <c r="AP1607" s="109">
        <v>0.0</v>
      </c>
      <c r="AQ1607" s="109">
        <v>0.0</v>
      </c>
      <c r="AR1607" s="80">
        <v>0.0</v>
      </c>
      <c r="AS1607" s="110">
        <v>0.0</v>
      </c>
      <c r="AT1607" s="110">
        <v>0.0</v>
      </c>
      <c r="AU1607" s="110">
        <v>0.0</v>
      </c>
      <c r="AV1607" s="142">
        <v>0.0</v>
      </c>
      <c r="AW1607" s="80">
        <v>0.0</v>
      </c>
      <c r="AX1607" s="113">
        <v>612.0</v>
      </c>
      <c r="AY1607" s="117">
        <v>612.0</v>
      </c>
      <c r="AZ1607" s="328">
        <v>0.0</v>
      </c>
      <c r="BA1607" s="315">
        <v>9.0</v>
      </c>
      <c r="BB1607" s="316">
        <v>621.0</v>
      </c>
      <c r="BC1607" s="132" t="s">
        <v>178</v>
      </c>
      <c r="BD1607" s="132" t="s">
        <v>178</v>
      </c>
      <c r="BE1607" s="132" t="s">
        <v>178</v>
      </c>
      <c r="BF1607" s="156"/>
      <c r="BG1607" s="83">
        <v>1178076.0</v>
      </c>
      <c r="BH1607" s="112">
        <v>10.0</v>
      </c>
      <c r="BI1607" s="98" t="s">
        <v>155</v>
      </c>
      <c r="BJ1607" s="98" t="str">
        <f t="shared" si="1"/>
        <v>NÃO</v>
      </c>
      <c r="BK1607" s="98" t="str">
        <f t="shared" si="2"/>
        <v>NÃO</v>
      </c>
    </row>
    <row r="1608" ht="15.75" customHeight="1">
      <c r="A1608" s="111" t="s">
        <v>1785</v>
      </c>
      <c r="B1608" s="83" t="s">
        <v>1994</v>
      </c>
      <c r="C1608" s="83" t="s">
        <v>68</v>
      </c>
      <c r="D1608" s="83">
        <v>1178325.0</v>
      </c>
      <c r="E1608" s="83"/>
      <c r="F1608" s="83">
        <v>2.9842727E7</v>
      </c>
      <c r="G1608" s="365" t="s">
        <v>8644</v>
      </c>
      <c r="H1608" s="91" t="s">
        <v>8645</v>
      </c>
      <c r="I1608" s="114" t="s">
        <v>8646</v>
      </c>
      <c r="J1608" s="83" t="s">
        <v>150</v>
      </c>
      <c r="K1608" s="83" t="s">
        <v>151</v>
      </c>
      <c r="L1608" s="83" t="s">
        <v>152</v>
      </c>
      <c r="M1608" s="82" t="s">
        <v>13110</v>
      </c>
      <c r="N1608" s="82" t="s">
        <v>13111</v>
      </c>
      <c r="O1608" s="82" t="s">
        <v>13112</v>
      </c>
      <c r="P1608" s="82" t="s">
        <v>13113</v>
      </c>
      <c r="Q1608" s="82" t="s">
        <v>13114</v>
      </c>
      <c r="R1608" s="82" t="s">
        <v>13115</v>
      </c>
      <c r="S1608" s="82" t="s">
        <v>13116</v>
      </c>
      <c r="T1608" s="138">
        <v>9.0</v>
      </c>
      <c r="U1608" s="352">
        <v>35.0</v>
      </c>
      <c r="V1608" s="106">
        <v>0.0</v>
      </c>
      <c r="W1608" s="107">
        <v>0.0</v>
      </c>
      <c r="X1608" s="107">
        <v>0.0</v>
      </c>
      <c r="Y1608" s="107">
        <v>0.0</v>
      </c>
      <c r="Z1608" s="80">
        <v>0.0</v>
      </c>
      <c r="AA1608" s="140">
        <v>299.0</v>
      </c>
      <c r="AB1608" s="109">
        <v>288.0</v>
      </c>
      <c r="AC1608" s="109">
        <v>0.0</v>
      </c>
      <c r="AD1608" s="141">
        <v>0.0</v>
      </c>
      <c r="AE1608" s="80">
        <v>587.0</v>
      </c>
      <c r="AF1608" s="140">
        <v>410.0</v>
      </c>
      <c r="AG1608" s="109">
        <v>208.0</v>
      </c>
      <c r="AH1608" s="109">
        <v>0.0</v>
      </c>
      <c r="AI1608" s="141">
        <v>654.0</v>
      </c>
      <c r="AJ1608" s="80">
        <v>1272.0</v>
      </c>
      <c r="AK1608" s="140">
        <v>0.0</v>
      </c>
      <c r="AL1608" s="109">
        <v>0.0</v>
      </c>
      <c r="AM1608" s="141">
        <v>37.0</v>
      </c>
      <c r="AN1608" s="80">
        <v>37.0</v>
      </c>
      <c r="AO1608" s="140">
        <v>0.0</v>
      </c>
      <c r="AP1608" s="109">
        <v>0.0</v>
      </c>
      <c r="AQ1608" s="109">
        <v>361.0</v>
      </c>
      <c r="AR1608" s="80">
        <v>361.0</v>
      </c>
      <c r="AS1608" s="110">
        <v>0.0</v>
      </c>
      <c r="AT1608" s="110">
        <v>0.0</v>
      </c>
      <c r="AU1608" s="110">
        <v>0.0</v>
      </c>
      <c r="AV1608" s="142">
        <v>0.0</v>
      </c>
      <c r="AW1608" s="80">
        <v>0.0</v>
      </c>
      <c r="AX1608" s="113">
        <v>2257.0</v>
      </c>
      <c r="AY1608" s="117">
        <v>1859.0</v>
      </c>
      <c r="AZ1608" s="328">
        <v>398.0</v>
      </c>
      <c r="BA1608" s="315">
        <v>1.0</v>
      </c>
      <c r="BB1608" s="316">
        <v>2258.0</v>
      </c>
      <c r="BC1608" s="132" t="s">
        <v>178</v>
      </c>
      <c r="BD1608" s="132" t="s">
        <v>178</v>
      </c>
      <c r="BE1608" s="132" t="s">
        <v>178</v>
      </c>
      <c r="BF1608" s="123"/>
      <c r="BG1608" s="83">
        <v>1178325.0</v>
      </c>
      <c r="BH1608" s="112">
        <v>35.0</v>
      </c>
      <c r="BI1608" s="98" t="s">
        <v>162</v>
      </c>
      <c r="BJ1608" s="98" t="str">
        <f t="shared" si="1"/>
        <v>INTEGRAL</v>
      </c>
      <c r="BK1608" s="98" t="str">
        <f t="shared" si="2"/>
        <v>NÃO</v>
      </c>
    </row>
    <row r="1609" ht="15.75" customHeight="1">
      <c r="A1609" s="111" t="s">
        <v>1785</v>
      </c>
      <c r="B1609" s="83" t="s">
        <v>1994</v>
      </c>
      <c r="C1609" s="83" t="s">
        <v>68</v>
      </c>
      <c r="D1609" s="83">
        <v>1103417.0</v>
      </c>
      <c r="E1609" s="83"/>
      <c r="F1609" s="83">
        <v>2.9187583E7</v>
      </c>
      <c r="G1609" s="119" t="s">
        <v>8653</v>
      </c>
      <c r="H1609" s="91" t="s">
        <v>8654</v>
      </c>
      <c r="I1609" s="187" t="s">
        <v>8307</v>
      </c>
      <c r="J1609" s="83" t="s">
        <v>150</v>
      </c>
      <c r="K1609" s="83" t="s">
        <v>151</v>
      </c>
      <c r="L1609" s="83" t="s">
        <v>152</v>
      </c>
      <c r="M1609" s="82" t="s">
        <v>13117</v>
      </c>
      <c r="N1609" s="82" t="s">
        <v>13118</v>
      </c>
      <c r="O1609" s="82" t="s">
        <v>13119</v>
      </c>
      <c r="P1609" s="82" t="s">
        <v>13120</v>
      </c>
      <c r="Q1609" s="82" t="s">
        <v>13121</v>
      </c>
      <c r="R1609" s="82" t="s">
        <v>13122</v>
      </c>
      <c r="S1609" s="82" t="s">
        <v>13123</v>
      </c>
      <c r="T1609" s="138">
        <v>14.0</v>
      </c>
      <c r="U1609" s="341">
        <v>13.0</v>
      </c>
      <c r="V1609" s="106">
        <v>0.0</v>
      </c>
      <c r="W1609" s="107">
        <v>0.0</v>
      </c>
      <c r="X1609" s="107">
        <v>0.0</v>
      </c>
      <c r="Y1609" s="107">
        <v>0.0</v>
      </c>
      <c r="Z1609" s="80">
        <v>0.0</v>
      </c>
      <c r="AA1609" s="140">
        <v>96.0</v>
      </c>
      <c r="AB1609" s="109">
        <v>323.0</v>
      </c>
      <c r="AC1609" s="109">
        <v>0.0</v>
      </c>
      <c r="AD1609" s="141">
        <v>0.0</v>
      </c>
      <c r="AE1609" s="80">
        <v>419.0</v>
      </c>
      <c r="AF1609" s="140">
        <v>226.0</v>
      </c>
      <c r="AG1609" s="109">
        <v>0.0</v>
      </c>
      <c r="AH1609" s="109">
        <v>0.0</v>
      </c>
      <c r="AI1609" s="141">
        <v>0.0</v>
      </c>
      <c r="AJ1609" s="80">
        <v>226.0</v>
      </c>
      <c r="AK1609" s="140">
        <v>0.0</v>
      </c>
      <c r="AL1609" s="109">
        <v>0.0</v>
      </c>
      <c r="AM1609" s="141">
        <v>0.0</v>
      </c>
      <c r="AN1609" s="80">
        <v>0.0</v>
      </c>
      <c r="AO1609" s="140">
        <v>0.0</v>
      </c>
      <c r="AP1609" s="109">
        <v>0.0</v>
      </c>
      <c r="AQ1609" s="109">
        <v>204.0</v>
      </c>
      <c r="AR1609" s="80">
        <v>204.0</v>
      </c>
      <c r="AS1609" s="110">
        <v>0.0</v>
      </c>
      <c r="AT1609" s="110">
        <v>0.0</v>
      </c>
      <c r="AU1609" s="110">
        <v>0.0</v>
      </c>
      <c r="AV1609" s="142">
        <v>0.0</v>
      </c>
      <c r="AW1609" s="80">
        <v>0.0</v>
      </c>
      <c r="AX1609" s="113">
        <v>849.0</v>
      </c>
      <c r="AY1609" s="117">
        <v>645.0</v>
      </c>
      <c r="AZ1609" s="328">
        <v>204.0</v>
      </c>
      <c r="BA1609" s="315">
        <v>1.0</v>
      </c>
      <c r="BB1609" s="316">
        <v>850.0</v>
      </c>
      <c r="BC1609" s="132" t="s">
        <v>178</v>
      </c>
      <c r="BD1609" s="132" t="s">
        <v>178</v>
      </c>
      <c r="BE1609" s="132" t="s">
        <v>178</v>
      </c>
      <c r="BF1609" s="123"/>
      <c r="BG1609" s="83">
        <v>1103417.0</v>
      </c>
      <c r="BH1609" s="112">
        <v>13.0</v>
      </c>
      <c r="BI1609" s="98" t="s">
        <v>155</v>
      </c>
      <c r="BJ1609" s="98" t="str">
        <f t="shared" si="1"/>
        <v>NÃO</v>
      </c>
      <c r="BK1609" s="98" t="str">
        <f t="shared" si="2"/>
        <v>NÃO</v>
      </c>
    </row>
    <row r="1610" ht="15.75" customHeight="1">
      <c r="A1610" s="111" t="s">
        <v>1785</v>
      </c>
      <c r="B1610" s="83" t="s">
        <v>1994</v>
      </c>
      <c r="C1610" s="83" t="s">
        <v>68</v>
      </c>
      <c r="D1610" s="83">
        <v>1176660.0</v>
      </c>
      <c r="E1610" s="83"/>
      <c r="F1610" s="83">
        <v>2.9404274E7</v>
      </c>
      <c r="G1610" s="147" t="s">
        <v>8659</v>
      </c>
      <c r="H1610" s="91" t="s">
        <v>8660</v>
      </c>
      <c r="I1610" s="187" t="s">
        <v>8446</v>
      </c>
      <c r="J1610" s="83" t="s">
        <v>150</v>
      </c>
      <c r="K1610" s="83" t="s">
        <v>151</v>
      </c>
      <c r="L1610" s="83" t="s">
        <v>230</v>
      </c>
      <c r="M1610" s="82" t="s">
        <v>13124</v>
      </c>
      <c r="N1610" s="82" t="s">
        <v>13125</v>
      </c>
      <c r="O1610" s="82" t="s">
        <v>13126</v>
      </c>
      <c r="P1610" s="82" t="s">
        <v>13127</v>
      </c>
      <c r="Q1610" s="82" t="s">
        <v>13128</v>
      </c>
      <c r="R1610" s="82" t="s">
        <v>13129</v>
      </c>
      <c r="S1610" s="82" t="s">
        <v>13130</v>
      </c>
      <c r="T1610" s="138">
        <v>24.0</v>
      </c>
      <c r="U1610" s="496">
        <v>23.0</v>
      </c>
      <c r="V1610" s="106">
        <v>0.0</v>
      </c>
      <c r="W1610" s="107">
        <v>0.0</v>
      </c>
      <c r="X1610" s="107">
        <v>0.0</v>
      </c>
      <c r="Y1610" s="107">
        <v>0.0</v>
      </c>
      <c r="Z1610" s="80">
        <v>0.0</v>
      </c>
      <c r="AA1610" s="140">
        <v>251.0</v>
      </c>
      <c r="AB1610" s="109">
        <v>30.0</v>
      </c>
      <c r="AC1610" s="109">
        <v>0.0</v>
      </c>
      <c r="AD1610" s="141">
        <v>353.0</v>
      </c>
      <c r="AE1610" s="80">
        <v>634.0</v>
      </c>
      <c r="AF1610" s="140">
        <v>206.0</v>
      </c>
      <c r="AG1610" s="109">
        <v>0.0</v>
      </c>
      <c r="AH1610" s="109">
        <v>44.0</v>
      </c>
      <c r="AI1610" s="141">
        <v>67.0</v>
      </c>
      <c r="AJ1610" s="80">
        <v>317.0</v>
      </c>
      <c r="AK1610" s="140">
        <v>0.0</v>
      </c>
      <c r="AL1610" s="109">
        <v>0.0</v>
      </c>
      <c r="AM1610" s="141">
        <v>33.0</v>
      </c>
      <c r="AN1610" s="80">
        <v>33.0</v>
      </c>
      <c r="AO1610" s="140">
        <v>0.0</v>
      </c>
      <c r="AP1610" s="109">
        <v>0.0</v>
      </c>
      <c r="AQ1610" s="109">
        <v>164.0</v>
      </c>
      <c r="AR1610" s="80">
        <v>164.0</v>
      </c>
      <c r="AS1610" s="110">
        <v>0.0</v>
      </c>
      <c r="AT1610" s="110">
        <v>520.0</v>
      </c>
      <c r="AU1610" s="110">
        <v>191.0</v>
      </c>
      <c r="AV1610" s="142">
        <v>0.0</v>
      </c>
      <c r="AW1610" s="80">
        <v>711.0</v>
      </c>
      <c r="AX1610" s="113">
        <v>1859.0</v>
      </c>
      <c r="AY1610" s="117">
        <v>1427.0</v>
      </c>
      <c r="AZ1610" s="328">
        <v>432.0</v>
      </c>
      <c r="BA1610" s="315">
        <v>40.0</v>
      </c>
      <c r="BB1610" s="316">
        <v>1899.0</v>
      </c>
      <c r="BC1610" s="132" t="s">
        <v>178</v>
      </c>
      <c r="BD1610" s="132" t="s">
        <v>178</v>
      </c>
      <c r="BE1610" s="132" t="s">
        <v>178</v>
      </c>
      <c r="BF1610" s="123"/>
      <c r="BG1610" s="83">
        <v>1176660.0</v>
      </c>
      <c r="BH1610" s="112">
        <v>23.0</v>
      </c>
      <c r="BI1610" s="98" t="s">
        <v>155</v>
      </c>
      <c r="BJ1610" s="98" t="str">
        <f t="shared" si="1"/>
        <v>INTEGRAL</v>
      </c>
      <c r="BK1610" s="98" t="str">
        <f t="shared" si="2"/>
        <v>PROFISSIONAL</v>
      </c>
    </row>
    <row r="1611" ht="15.75" customHeight="1">
      <c r="A1611" s="111" t="s">
        <v>1785</v>
      </c>
      <c r="B1611" s="83" t="s">
        <v>1994</v>
      </c>
      <c r="C1611" s="83" t="s">
        <v>68</v>
      </c>
      <c r="D1611" s="83">
        <v>1104600.0</v>
      </c>
      <c r="E1611" s="83"/>
      <c r="F1611" s="83">
        <v>2.9182174E7</v>
      </c>
      <c r="G1611" s="119" t="s">
        <v>13131</v>
      </c>
      <c r="H1611" s="91" t="s">
        <v>8678</v>
      </c>
      <c r="I1611" s="114" t="s">
        <v>8233</v>
      </c>
      <c r="J1611" s="83" t="s">
        <v>150</v>
      </c>
      <c r="K1611" s="83" t="s">
        <v>151</v>
      </c>
      <c r="L1611" s="83" t="s">
        <v>152</v>
      </c>
      <c r="M1611" s="82" t="s">
        <v>13133</v>
      </c>
      <c r="N1611" s="82" t="s">
        <v>13134</v>
      </c>
      <c r="O1611" s="82" t="s">
        <v>13135</v>
      </c>
      <c r="P1611" s="82" t="s">
        <v>13136</v>
      </c>
      <c r="Q1611" s="82" t="s">
        <v>13137</v>
      </c>
      <c r="R1611" s="82" t="s">
        <v>13138</v>
      </c>
      <c r="S1611" s="82" t="s">
        <v>13139</v>
      </c>
      <c r="T1611" s="138">
        <v>16.0</v>
      </c>
      <c r="U1611" s="352" t="s">
        <v>13140</v>
      </c>
      <c r="V1611" s="106">
        <v>0.0</v>
      </c>
      <c r="W1611" s="107">
        <v>0.0</v>
      </c>
      <c r="X1611" s="107">
        <v>0.0</v>
      </c>
      <c r="Y1611" s="107">
        <v>0.0</v>
      </c>
      <c r="Z1611" s="80">
        <v>0.0</v>
      </c>
      <c r="AA1611" s="140">
        <v>0.0</v>
      </c>
      <c r="AB1611" s="109">
        <v>144.0</v>
      </c>
      <c r="AC1611" s="109">
        <v>0.0</v>
      </c>
      <c r="AD1611" s="141">
        <v>0.0</v>
      </c>
      <c r="AE1611" s="80">
        <v>144.0</v>
      </c>
      <c r="AF1611" s="140">
        <v>507.0</v>
      </c>
      <c r="AG1611" s="109">
        <v>191.0</v>
      </c>
      <c r="AH1611" s="109">
        <v>36.0</v>
      </c>
      <c r="AI1611" s="141">
        <v>316.0</v>
      </c>
      <c r="AJ1611" s="80">
        <v>1050.0</v>
      </c>
      <c r="AK1611" s="140">
        <v>0.0</v>
      </c>
      <c r="AL1611" s="109">
        <v>0.0</v>
      </c>
      <c r="AM1611" s="141">
        <v>0.0</v>
      </c>
      <c r="AN1611" s="80">
        <v>0.0</v>
      </c>
      <c r="AO1611" s="140">
        <v>0.0</v>
      </c>
      <c r="AP1611" s="109">
        <v>0.0</v>
      </c>
      <c r="AQ1611" s="109">
        <v>202.0</v>
      </c>
      <c r="AR1611" s="80">
        <v>202.0</v>
      </c>
      <c r="AS1611" s="110">
        <v>128.0</v>
      </c>
      <c r="AT1611" s="110">
        <v>60.0</v>
      </c>
      <c r="AU1611" s="110">
        <v>41.0</v>
      </c>
      <c r="AV1611" s="142">
        <v>107.0</v>
      </c>
      <c r="AW1611" s="80">
        <v>336.0</v>
      </c>
      <c r="AX1611" s="113">
        <v>1732.0</v>
      </c>
      <c r="AY1611" s="117">
        <v>1453.0</v>
      </c>
      <c r="AZ1611" s="328">
        <v>279.0</v>
      </c>
      <c r="BA1611" s="315">
        <v>0.0</v>
      </c>
      <c r="BB1611" s="316">
        <v>1732.0</v>
      </c>
      <c r="BC1611" s="132" t="s">
        <v>178</v>
      </c>
      <c r="BD1611" s="132" t="s">
        <v>178</v>
      </c>
      <c r="BE1611" s="132" t="s">
        <v>178</v>
      </c>
      <c r="BF1611" s="123"/>
      <c r="BG1611" s="83">
        <v>1104600.0</v>
      </c>
      <c r="BH1611" s="112">
        <v>30.0</v>
      </c>
      <c r="BI1611" s="98" t="s">
        <v>162</v>
      </c>
      <c r="BJ1611" s="98" t="str">
        <f t="shared" si="1"/>
        <v>INTEGRAL</v>
      </c>
      <c r="BK1611" s="98" t="str">
        <f t="shared" si="2"/>
        <v>PROFISSIONAL</v>
      </c>
    </row>
    <row r="1612" ht="15.75" customHeight="1">
      <c r="A1612" s="111" t="s">
        <v>1785</v>
      </c>
      <c r="B1612" s="83" t="s">
        <v>1994</v>
      </c>
      <c r="C1612" s="83" t="s">
        <v>68</v>
      </c>
      <c r="D1612" s="83">
        <v>1104057.0</v>
      </c>
      <c r="E1612" s="83"/>
      <c r="F1612" s="83">
        <v>2.9191068E7</v>
      </c>
      <c r="G1612" s="119" t="s">
        <v>8697</v>
      </c>
      <c r="H1612" s="91" t="s">
        <v>8699</v>
      </c>
      <c r="I1612" s="114" t="s">
        <v>8150</v>
      </c>
      <c r="J1612" s="83" t="s">
        <v>150</v>
      </c>
      <c r="K1612" s="83" t="s">
        <v>151</v>
      </c>
      <c r="L1612" s="83" t="s">
        <v>152</v>
      </c>
      <c r="M1612" s="82" t="s">
        <v>13141</v>
      </c>
      <c r="N1612" s="82"/>
      <c r="O1612" s="82" t="s">
        <v>13142</v>
      </c>
      <c r="P1612" s="82" t="s">
        <v>13144</v>
      </c>
      <c r="Q1612" s="82"/>
      <c r="R1612" s="82"/>
      <c r="S1612" s="82" t="s">
        <v>13145</v>
      </c>
      <c r="T1612" s="138">
        <v>15.0</v>
      </c>
      <c r="U1612" s="341">
        <v>15.0</v>
      </c>
      <c r="V1612" s="106">
        <v>0.0</v>
      </c>
      <c r="W1612" s="107">
        <v>0.0</v>
      </c>
      <c r="X1612" s="107">
        <v>0.0</v>
      </c>
      <c r="Y1612" s="107">
        <v>0.0</v>
      </c>
      <c r="Z1612" s="80">
        <v>0.0</v>
      </c>
      <c r="AA1612" s="140">
        <v>0.0</v>
      </c>
      <c r="AB1612" s="109">
        <v>0.0</v>
      </c>
      <c r="AC1612" s="109">
        <v>0.0</v>
      </c>
      <c r="AD1612" s="141">
        <v>0.0</v>
      </c>
      <c r="AE1612" s="80">
        <v>0.0</v>
      </c>
      <c r="AF1612" s="140">
        <v>0.0</v>
      </c>
      <c r="AG1612" s="109">
        <v>0.0</v>
      </c>
      <c r="AH1612" s="109">
        <v>32.0</v>
      </c>
      <c r="AI1612" s="141">
        <v>92.0</v>
      </c>
      <c r="AJ1612" s="80">
        <v>124.0</v>
      </c>
      <c r="AK1612" s="140">
        <v>0.0</v>
      </c>
      <c r="AL1612" s="109">
        <v>0.0</v>
      </c>
      <c r="AM1612" s="141">
        <v>0.0</v>
      </c>
      <c r="AN1612" s="80">
        <v>0.0</v>
      </c>
      <c r="AO1612" s="140">
        <v>0.0</v>
      </c>
      <c r="AP1612" s="109">
        <v>0.0</v>
      </c>
      <c r="AQ1612" s="109">
        <v>154.0</v>
      </c>
      <c r="AR1612" s="80">
        <v>154.0</v>
      </c>
      <c r="AS1612" s="110">
        <v>0.0</v>
      </c>
      <c r="AT1612" s="110">
        <v>0.0</v>
      </c>
      <c r="AU1612" s="110">
        <v>0.0</v>
      </c>
      <c r="AV1612" s="142">
        <v>0.0</v>
      </c>
      <c r="AW1612" s="80">
        <v>0.0</v>
      </c>
      <c r="AX1612" s="113">
        <v>278.0</v>
      </c>
      <c r="AY1612" s="117">
        <v>92.0</v>
      </c>
      <c r="AZ1612" s="328">
        <v>186.0</v>
      </c>
      <c r="BA1612" s="315">
        <v>0.0</v>
      </c>
      <c r="BB1612" s="316">
        <v>278.0</v>
      </c>
      <c r="BC1612" s="132" t="s">
        <v>178</v>
      </c>
      <c r="BD1612" s="132" t="s">
        <v>178</v>
      </c>
      <c r="BE1612" s="132" t="s">
        <v>178</v>
      </c>
      <c r="BF1612" s="123"/>
      <c r="BG1612" s="83">
        <v>1104057.0</v>
      </c>
      <c r="BH1612" s="112">
        <v>15.0</v>
      </c>
      <c r="BI1612" s="98" t="s">
        <v>155</v>
      </c>
      <c r="BJ1612" s="98" t="str">
        <f t="shared" si="1"/>
        <v>INTEGRAL</v>
      </c>
      <c r="BK1612" s="98" t="str">
        <f t="shared" si="2"/>
        <v>NÃO</v>
      </c>
    </row>
    <row r="1613" ht="15.75" customHeight="1">
      <c r="A1613" s="111" t="s">
        <v>1785</v>
      </c>
      <c r="B1613" s="83" t="s">
        <v>1994</v>
      </c>
      <c r="C1613" s="83" t="s">
        <v>68</v>
      </c>
      <c r="D1613" s="83">
        <v>1178138.0</v>
      </c>
      <c r="E1613" s="83"/>
      <c r="F1613" s="83">
        <v>2.9438934E7</v>
      </c>
      <c r="G1613" s="220" t="s">
        <v>8723</v>
      </c>
      <c r="H1613" s="91" t="s">
        <v>8724</v>
      </c>
      <c r="I1613" s="187" t="s">
        <v>8725</v>
      </c>
      <c r="J1613" s="83" t="s">
        <v>150</v>
      </c>
      <c r="K1613" s="83" t="s">
        <v>151</v>
      </c>
      <c r="L1613" s="83" t="s">
        <v>152</v>
      </c>
      <c r="M1613" s="82" t="s">
        <v>13146</v>
      </c>
      <c r="N1613" s="82" t="s">
        <v>13148</v>
      </c>
      <c r="O1613" s="82" t="s">
        <v>13149</v>
      </c>
      <c r="P1613" s="82" t="s">
        <v>13150</v>
      </c>
      <c r="Q1613" s="82" t="s">
        <v>13151</v>
      </c>
      <c r="R1613" s="82" t="s">
        <v>13152</v>
      </c>
      <c r="S1613" s="82" t="s">
        <v>13153</v>
      </c>
      <c r="T1613" s="138">
        <v>13.0</v>
      </c>
      <c r="U1613" s="323">
        <v>13.0</v>
      </c>
      <c r="V1613" s="106">
        <v>0.0</v>
      </c>
      <c r="W1613" s="107">
        <v>0.0</v>
      </c>
      <c r="X1613" s="107">
        <v>0.0</v>
      </c>
      <c r="Y1613" s="107">
        <v>0.0</v>
      </c>
      <c r="Z1613" s="80">
        <v>0.0</v>
      </c>
      <c r="AA1613" s="140">
        <v>0.0</v>
      </c>
      <c r="AB1613" s="109">
        <v>254.0</v>
      </c>
      <c r="AC1613" s="109">
        <v>0.0</v>
      </c>
      <c r="AD1613" s="141">
        <v>0.0</v>
      </c>
      <c r="AE1613" s="80">
        <v>254.0</v>
      </c>
      <c r="AF1613" s="140">
        <v>435.0</v>
      </c>
      <c r="AG1613" s="109">
        <v>193.0</v>
      </c>
      <c r="AH1613" s="109">
        <v>69.0</v>
      </c>
      <c r="AI1613" s="141">
        <v>0.0</v>
      </c>
      <c r="AJ1613" s="80">
        <v>697.0</v>
      </c>
      <c r="AK1613" s="140">
        <v>0.0</v>
      </c>
      <c r="AL1613" s="109">
        <v>0.0</v>
      </c>
      <c r="AM1613" s="141">
        <v>0.0</v>
      </c>
      <c r="AN1613" s="80">
        <v>0.0</v>
      </c>
      <c r="AO1613" s="140">
        <v>0.0</v>
      </c>
      <c r="AP1613" s="109">
        <v>0.0</v>
      </c>
      <c r="AQ1613" s="109">
        <v>216.0</v>
      </c>
      <c r="AR1613" s="80">
        <v>216.0</v>
      </c>
      <c r="AS1613" s="110">
        <v>104.0</v>
      </c>
      <c r="AT1613" s="110">
        <v>0.0</v>
      </c>
      <c r="AU1613" s="110">
        <v>43.0</v>
      </c>
      <c r="AV1613" s="142">
        <v>0.0</v>
      </c>
      <c r="AW1613" s="80">
        <v>147.0</v>
      </c>
      <c r="AX1613" s="113">
        <v>1314.0</v>
      </c>
      <c r="AY1613" s="117">
        <v>986.0</v>
      </c>
      <c r="AZ1613" s="328">
        <v>328.0</v>
      </c>
      <c r="BA1613" s="315">
        <v>1.0</v>
      </c>
      <c r="BB1613" s="316">
        <v>1315.0</v>
      </c>
      <c r="BC1613" s="132" t="s">
        <v>178</v>
      </c>
      <c r="BD1613" s="132" t="s">
        <v>178</v>
      </c>
      <c r="BE1613" s="132" t="s">
        <v>178</v>
      </c>
      <c r="BF1613" s="123"/>
      <c r="BG1613" s="83">
        <v>1178138.0</v>
      </c>
      <c r="BH1613" s="112">
        <v>13.0</v>
      </c>
      <c r="BI1613" s="98" t="s">
        <v>155</v>
      </c>
      <c r="BJ1613" s="98" t="str">
        <f t="shared" si="1"/>
        <v>NÃO</v>
      </c>
      <c r="BK1613" s="98" t="str">
        <f t="shared" si="2"/>
        <v>PROFISSIONAL</v>
      </c>
    </row>
    <row r="1614" ht="15.75" customHeight="1">
      <c r="A1614" s="111" t="s">
        <v>1785</v>
      </c>
      <c r="B1614" s="83" t="s">
        <v>1994</v>
      </c>
      <c r="C1614" s="83" t="s">
        <v>68</v>
      </c>
      <c r="D1614" s="83">
        <v>1103816.0</v>
      </c>
      <c r="E1614" s="83"/>
      <c r="F1614" s="83">
        <v>2.9190894E7</v>
      </c>
      <c r="G1614" s="119" t="s">
        <v>8733</v>
      </c>
      <c r="H1614" s="91" t="s">
        <v>13154</v>
      </c>
      <c r="I1614" s="114" t="s">
        <v>8735</v>
      </c>
      <c r="J1614" s="83" t="s">
        <v>150</v>
      </c>
      <c r="K1614" s="83" t="s">
        <v>151</v>
      </c>
      <c r="L1614" s="83" t="s">
        <v>152</v>
      </c>
      <c r="M1614" s="82" t="s">
        <v>13155</v>
      </c>
      <c r="N1614" s="82" t="s">
        <v>13156</v>
      </c>
      <c r="O1614" s="82" t="s">
        <v>13157</v>
      </c>
      <c r="P1614" s="82" t="s">
        <v>13158</v>
      </c>
      <c r="Q1614" s="82" t="s">
        <v>13159</v>
      </c>
      <c r="R1614" s="82" t="s">
        <v>13160</v>
      </c>
      <c r="S1614" s="82" t="s">
        <v>13161</v>
      </c>
      <c r="T1614" s="138">
        <v>18.0</v>
      </c>
      <c r="U1614" s="341">
        <v>14.0</v>
      </c>
      <c r="V1614" s="106">
        <v>0.0</v>
      </c>
      <c r="W1614" s="107">
        <v>0.0</v>
      </c>
      <c r="X1614" s="107">
        <v>0.0</v>
      </c>
      <c r="Y1614" s="107">
        <v>0.0</v>
      </c>
      <c r="Z1614" s="80">
        <v>0.0</v>
      </c>
      <c r="AA1614" s="140">
        <v>0.0</v>
      </c>
      <c r="AB1614" s="109">
        <v>0.0</v>
      </c>
      <c r="AC1614" s="109">
        <v>0.0</v>
      </c>
      <c r="AD1614" s="141">
        <v>483.0</v>
      </c>
      <c r="AE1614" s="80">
        <v>483.0</v>
      </c>
      <c r="AF1614" s="140">
        <v>62.0</v>
      </c>
      <c r="AG1614" s="109">
        <v>0.0</v>
      </c>
      <c r="AH1614" s="109">
        <v>0.0</v>
      </c>
      <c r="AI1614" s="141">
        <v>71.0</v>
      </c>
      <c r="AJ1614" s="80">
        <v>133.0</v>
      </c>
      <c r="AK1614" s="140">
        <v>0.0</v>
      </c>
      <c r="AL1614" s="109">
        <v>0.0</v>
      </c>
      <c r="AM1614" s="141">
        <v>0.0</v>
      </c>
      <c r="AN1614" s="80">
        <v>0.0</v>
      </c>
      <c r="AO1614" s="140">
        <v>0.0</v>
      </c>
      <c r="AP1614" s="109">
        <v>0.0</v>
      </c>
      <c r="AQ1614" s="109">
        <v>39.0</v>
      </c>
      <c r="AR1614" s="80">
        <v>39.0</v>
      </c>
      <c r="AS1614" s="110">
        <v>0.0</v>
      </c>
      <c r="AT1614" s="110">
        <v>0.0</v>
      </c>
      <c r="AU1614" s="110">
        <v>51.0</v>
      </c>
      <c r="AV1614" s="142">
        <v>126.0</v>
      </c>
      <c r="AW1614" s="80">
        <v>177.0</v>
      </c>
      <c r="AX1614" s="113">
        <v>832.0</v>
      </c>
      <c r="AY1614" s="117">
        <v>742.0</v>
      </c>
      <c r="AZ1614" s="328">
        <v>90.0</v>
      </c>
      <c r="BA1614" s="315">
        <v>0.0</v>
      </c>
      <c r="BB1614" s="316">
        <v>832.0</v>
      </c>
      <c r="BC1614" s="132" t="s">
        <v>178</v>
      </c>
      <c r="BD1614" s="132" t="s">
        <v>178</v>
      </c>
      <c r="BE1614" s="132" t="s">
        <v>178</v>
      </c>
      <c r="BF1614" s="123"/>
      <c r="BG1614" s="83">
        <v>1103816.0</v>
      </c>
      <c r="BH1614" s="112">
        <v>14.0</v>
      </c>
      <c r="BI1614" s="98" t="s">
        <v>162</v>
      </c>
      <c r="BJ1614" s="98" t="str">
        <f t="shared" si="1"/>
        <v>INTEGRAL</v>
      </c>
      <c r="BK1614" s="98" t="str">
        <f t="shared" si="2"/>
        <v>PROFISSIONAL</v>
      </c>
    </row>
    <row r="1615" ht="15.75" customHeight="1">
      <c r="A1615" s="111" t="s">
        <v>1785</v>
      </c>
      <c r="B1615" s="83" t="s">
        <v>1994</v>
      </c>
      <c r="C1615" s="83" t="s">
        <v>68</v>
      </c>
      <c r="D1615" s="83">
        <v>1100868.0</v>
      </c>
      <c r="E1615" s="83"/>
      <c r="F1615" s="83">
        <v>2.9191572E7</v>
      </c>
      <c r="G1615" s="119" t="s">
        <v>8763</v>
      </c>
      <c r="H1615" s="91" t="s">
        <v>8764</v>
      </c>
      <c r="I1615" s="114" t="s">
        <v>8609</v>
      </c>
      <c r="J1615" s="83" t="s">
        <v>150</v>
      </c>
      <c r="K1615" s="83" t="s">
        <v>151</v>
      </c>
      <c r="L1615" s="83" t="s">
        <v>152</v>
      </c>
      <c r="M1615" s="82" t="s">
        <v>13162</v>
      </c>
      <c r="N1615" s="82" t="s">
        <v>13163</v>
      </c>
      <c r="O1615" s="82" t="s">
        <v>13164</v>
      </c>
      <c r="P1615" s="82" t="s">
        <v>13165</v>
      </c>
      <c r="Q1615" s="82" t="s">
        <v>13166</v>
      </c>
      <c r="R1615" s="82" t="s">
        <v>13167</v>
      </c>
      <c r="S1615" s="82" t="s">
        <v>13168</v>
      </c>
      <c r="T1615" s="138">
        <v>9.0</v>
      </c>
      <c r="U1615" s="341">
        <v>8.0</v>
      </c>
      <c r="V1615" s="106">
        <v>0.0</v>
      </c>
      <c r="W1615" s="107">
        <v>0.0</v>
      </c>
      <c r="X1615" s="107">
        <v>0.0</v>
      </c>
      <c r="Y1615" s="107">
        <v>0.0</v>
      </c>
      <c r="Z1615" s="80">
        <v>0.0</v>
      </c>
      <c r="AA1615" s="140">
        <v>223.0</v>
      </c>
      <c r="AB1615" s="109">
        <v>165.0</v>
      </c>
      <c r="AC1615" s="109">
        <v>0.0</v>
      </c>
      <c r="AD1615" s="141">
        <v>0.0</v>
      </c>
      <c r="AE1615" s="80">
        <v>388.0</v>
      </c>
      <c r="AF1615" s="140">
        <v>0.0</v>
      </c>
      <c r="AG1615" s="109">
        <v>0.0</v>
      </c>
      <c r="AH1615" s="109">
        <v>0.0</v>
      </c>
      <c r="AI1615" s="141">
        <v>0.0</v>
      </c>
      <c r="AJ1615" s="80">
        <v>0.0</v>
      </c>
      <c r="AK1615" s="140">
        <v>0.0</v>
      </c>
      <c r="AL1615" s="109">
        <v>0.0</v>
      </c>
      <c r="AM1615" s="141">
        <v>103.0</v>
      </c>
      <c r="AN1615" s="80">
        <v>103.0</v>
      </c>
      <c r="AO1615" s="140">
        <v>0.0</v>
      </c>
      <c r="AP1615" s="109">
        <v>0.0</v>
      </c>
      <c r="AQ1615" s="109">
        <v>0.0</v>
      </c>
      <c r="AR1615" s="80">
        <v>0.0</v>
      </c>
      <c r="AS1615" s="110">
        <v>0.0</v>
      </c>
      <c r="AT1615" s="110">
        <v>0.0</v>
      </c>
      <c r="AU1615" s="110">
        <v>0.0</v>
      </c>
      <c r="AV1615" s="142">
        <v>0.0</v>
      </c>
      <c r="AW1615" s="80">
        <v>0.0</v>
      </c>
      <c r="AX1615" s="113">
        <v>491.0</v>
      </c>
      <c r="AY1615" s="117">
        <v>388.0</v>
      </c>
      <c r="AZ1615" s="328">
        <v>103.0</v>
      </c>
      <c r="BA1615" s="315">
        <v>0.0</v>
      </c>
      <c r="BB1615" s="316">
        <v>491.0</v>
      </c>
      <c r="BC1615" s="132" t="s">
        <v>178</v>
      </c>
      <c r="BD1615" s="132" t="s">
        <v>178</v>
      </c>
      <c r="BE1615" s="132" t="s">
        <v>178</v>
      </c>
      <c r="BF1615" s="156"/>
      <c r="BG1615" s="83">
        <v>1100868.0</v>
      </c>
      <c r="BH1615" s="112">
        <v>8.0</v>
      </c>
      <c r="BI1615" s="98" t="s">
        <v>155</v>
      </c>
      <c r="BJ1615" s="98" t="str">
        <f t="shared" si="1"/>
        <v>NÃO</v>
      </c>
      <c r="BK1615" s="98" t="str">
        <f t="shared" si="2"/>
        <v>NÃO</v>
      </c>
    </row>
    <row r="1616" ht="15.75" customHeight="1">
      <c r="A1616" s="111" t="s">
        <v>1785</v>
      </c>
      <c r="B1616" s="83" t="s">
        <v>1994</v>
      </c>
      <c r="C1616" s="83" t="s">
        <v>68</v>
      </c>
      <c r="D1616" s="83">
        <v>1100370.0</v>
      </c>
      <c r="E1616" s="83"/>
      <c r="F1616" s="83">
        <v>2.9191661E7</v>
      </c>
      <c r="G1616" s="384" t="s">
        <v>13169</v>
      </c>
      <c r="H1616" s="91" t="s">
        <v>8782</v>
      </c>
      <c r="I1616" s="114" t="s">
        <v>8278</v>
      </c>
      <c r="J1616" s="83" t="s">
        <v>150</v>
      </c>
      <c r="K1616" s="83" t="s">
        <v>151</v>
      </c>
      <c r="L1616" s="83" t="s">
        <v>152</v>
      </c>
      <c r="M1616" s="82" t="s">
        <v>13170</v>
      </c>
      <c r="N1616" s="82" t="s">
        <v>13171</v>
      </c>
      <c r="O1616" s="82" t="s">
        <v>13172</v>
      </c>
      <c r="P1616" s="82" t="s">
        <v>13173</v>
      </c>
      <c r="Q1616" s="82"/>
      <c r="R1616" s="82"/>
      <c r="S1616" s="82" t="s">
        <v>13174</v>
      </c>
      <c r="T1616" s="138">
        <v>29.0</v>
      </c>
      <c r="U1616" s="339" t="s">
        <v>13175</v>
      </c>
      <c r="V1616" s="106">
        <v>0.0</v>
      </c>
      <c r="W1616" s="107">
        <v>0.0</v>
      </c>
      <c r="X1616" s="107">
        <v>0.0</v>
      </c>
      <c r="Y1616" s="107">
        <v>0.0</v>
      </c>
      <c r="Z1616" s="80">
        <v>0.0</v>
      </c>
      <c r="AA1616" s="140">
        <v>0.0</v>
      </c>
      <c r="AB1616" s="109">
        <v>0.0</v>
      </c>
      <c r="AC1616" s="109">
        <v>0.0</v>
      </c>
      <c r="AD1616" s="141">
        <v>0.0</v>
      </c>
      <c r="AE1616" s="80">
        <v>0.0</v>
      </c>
      <c r="AF1616" s="140">
        <v>406.0</v>
      </c>
      <c r="AG1616" s="109">
        <v>395.0</v>
      </c>
      <c r="AH1616" s="109">
        <v>39.0</v>
      </c>
      <c r="AI1616" s="141">
        <v>209.0</v>
      </c>
      <c r="AJ1616" s="80">
        <v>1049.0</v>
      </c>
      <c r="AK1616" s="140">
        <v>0.0</v>
      </c>
      <c r="AL1616" s="109">
        <v>0.0</v>
      </c>
      <c r="AM1616" s="141">
        <v>0.0</v>
      </c>
      <c r="AN1616" s="80">
        <v>0.0</v>
      </c>
      <c r="AO1616" s="140">
        <v>0.0</v>
      </c>
      <c r="AP1616" s="109">
        <v>0.0</v>
      </c>
      <c r="AQ1616" s="109">
        <v>100.0</v>
      </c>
      <c r="AR1616" s="80">
        <v>100.0</v>
      </c>
      <c r="AS1616" s="110">
        <v>34.0</v>
      </c>
      <c r="AT1616" s="110">
        <v>0.0</v>
      </c>
      <c r="AU1616" s="110">
        <v>12.0</v>
      </c>
      <c r="AV1616" s="142">
        <v>0.0</v>
      </c>
      <c r="AW1616" s="80">
        <v>46.0</v>
      </c>
      <c r="AX1616" s="113">
        <v>1195.0</v>
      </c>
      <c r="AY1616" s="117">
        <v>1044.0</v>
      </c>
      <c r="AZ1616" s="328">
        <v>151.0</v>
      </c>
      <c r="BA1616" s="315">
        <v>0.0</v>
      </c>
      <c r="BB1616" s="316">
        <v>1195.0</v>
      </c>
      <c r="BC1616" s="132" t="s">
        <v>178</v>
      </c>
      <c r="BD1616" s="132" t="s">
        <v>178</v>
      </c>
      <c r="BE1616" s="132" t="s">
        <v>178</v>
      </c>
      <c r="BF1616" s="123"/>
      <c r="BG1616" s="83">
        <v>1100370.0</v>
      </c>
      <c r="BH1616" s="112">
        <v>25.0</v>
      </c>
      <c r="BI1616" s="98" t="s">
        <v>162</v>
      </c>
      <c r="BJ1616" s="98" t="str">
        <f t="shared" si="1"/>
        <v>INTEGRAL</v>
      </c>
      <c r="BK1616" s="98" t="str">
        <f t="shared" si="2"/>
        <v>PROFISSIONAL</v>
      </c>
    </row>
    <row r="1617" ht="15.75" customHeight="1">
      <c r="A1617" s="111" t="s">
        <v>1785</v>
      </c>
      <c r="B1617" s="83" t="s">
        <v>1994</v>
      </c>
      <c r="C1617" s="83" t="s">
        <v>68</v>
      </c>
      <c r="D1617" s="83">
        <v>1102879.0</v>
      </c>
      <c r="E1617" s="83"/>
      <c r="F1617" s="83">
        <v>2.9181143E7</v>
      </c>
      <c r="G1617" s="119" t="s">
        <v>8791</v>
      </c>
      <c r="H1617" s="91" t="s">
        <v>8792</v>
      </c>
      <c r="I1617" s="114" t="s">
        <v>8570</v>
      </c>
      <c r="J1617" s="83" t="s">
        <v>150</v>
      </c>
      <c r="K1617" s="83" t="s">
        <v>151</v>
      </c>
      <c r="L1617" s="83" t="s">
        <v>152</v>
      </c>
      <c r="M1617" s="82" t="s">
        <v>13176</v>
      </c>
      <c r="N1617" s="82" t="s">
        <v>13177</v>
      </c>
      <c r="O1617" s="82" t="s">
        <v>13178</v>
      </c>
      <c r="P1617" s="82" t="s">
        <v>13179</v>
      </c>
      <c r="Q1617" s="82" t="s">
        <v>13180</v>
      </c>
      <c r="R1617" s="82" t="s">
        <v>13181</v>
      </c>
      <c r="S1617" s="82"/>
      <c r="T1617" s="138">
        <v>57.0</v>
      </c>
      <c r="U1617" s="341">
        <v>33.0</v>
      </c>
      <c r="V1617" s="106">
        <v>0.0</v>
      </c>
      <c r="W1617" s="107">
        <v>0.0</v>
      </c>
      <c r="X1617" s="107">
        <v>0.0</v>
      </c>
      <c r="Y1617" s="107">
        <v>0.0</v>
      </c>
      <c r="Z1617" s="80">
        <v>0.0</v>
      </c>
      <c r="AA1617" s="140">
        <v>0.0</v>
      </c>
      <c r="AB1617" s="109">
        <v>0.0</v>
      </c>
      <c r="AC1617" s="109">
        <v>0.0</v>
      </c>
      <c r="AD1617" s="141">
        <v>179.0</v>
      </c>
      <c r="AE1617" s="80">
        <v>179.0</v>
      </c>
      <c r="AF1617" s="140">
        <v>450.0</v>
      </c>
      <c r="AG1617" s="109">
        <v>0.0</v>
      </c>
      <c r="AH1617" s="109">
        <v>0.0</v>
      </c>
      <c r="AI1617" s="141">
        <v>23.0</v>
      </c>
      <c r="AJ1617" s="80">
        <v>473.0</v>
      </c>
      <c r="AK1617" s="140">
        <v>0.0</v>
      </c>
      <c r="AL1617" s="109">
        <v>0.0</v>
      </c>
      <c r="AM1617" s="141">
        <v>0.0</v>
      </c>
      <c r="AN1617" s="80">
        <v>0.0</v>
      </c>
      <c r="AO1617" s="140">
        <v>0.0</v>
      </c>
      <c r="AP1617" s="109">
        <v>0.0</v>
      </c>
      <c r="AQ1617" s="109">
        <v>170.0</v>
      </c>
      <c r="AR1617" s="80">
        <v>170.0</v>
      </c>
      <c r="AS1617" s="110">
        <v>98.0</v>
      </c>
      <c r="AT1617" s="110">
        <v>0.0</v>
      </c>
      <c r="AU1617" s="110">
        <v>382.0</v>
      </c>
      <c r="AV1617" s="142">
        <v>0.0</v>
      </c>
      <c r="AW1617" s="80">
        <v>480.0</v>
      </c>
      <c r="AX1617" s="113">
        <v>1302.0</v>
      </c>
      <c r="AY1617" s="117">
        <v>750.0</v>
      </c>
      <c r="AZ1617" s="328">
        <v>552.0</v>
      </c>
      <c r="BA1617" s="315">
        <v>0.0</v>
      </c>
      <c r="BB1617" s="316">
        <v>1302.0</v>
      </c>
      <c r="BC1617" s="132" t="s">
        <v>178</v>
      </c>
      <c r="BD1617" s="132" t="s">
        <v>178</v>
      </c>
      <c r="BE1617" s="132" t="s">
        <v>178</v>
      </c>
      <c r="BF1617" s="123"/>
      <c r="BG1617" s="83">
        <v>1102879.0</v>
      </c>
      <c r="BH1617" s="112">
        <v>33.0</v>
      </c>
      <c r="BI1617" s="98" t="s">
        <v>155</v>
      </c>
      <c r="BJ1617" s="98" t="str">
        <f t="shared" si="1"/>
        <v>INTEGRAL</v>
      </c>
      <c r="BK1617" s="98" t="str">
        <f t="shared" si="2"/>
        <v>PROFISSIONAL</v>
      </c>
    </row>
    <row r="1618" ht="15.75" customHeight="1">
      <c r="A1618" s="111" t="s">
        <v>1785</v>
      </c>
      <c r="B1618" s="83" t="s">
        <v>1994</v>
      </c>
      <c r="C1618" s="83" t="s">
        <v>68</v>
      </c>
      <c r="D1618" s="83">
        <v>1176795.0</v>
      </c>
      <c r="E1618" s="83"/>
      <c r="F1618" s="83">
        <v>2.9404282E7</v>
      </c>
      <c r="G1618" s="114" t="s">
        <v>13182</v>
      </c>
      <c r="H1618" s="91" t="s">
        <v>8772</v>
      </c>
      <c r="I1618" s="114" t="s">
        <v>8363</v>
      </c>
      <c r="J1618" s="83" t="s">
        <v>150</v>
      </c>
      <c r="K1618" s="83" t="s">
        <v>151</v>
      </c>
      <c r="L1618" s="83" t="s">
        <v>152</v>
      </c>
      <c r="M1618" s="82" t="s">
        <v>13183</v>
      </c>
      <c r="N1618" s="82" t="s">
        <v>13184</v>
      </c>
      <c r="O1618" s="82" t="s">
        <v>13185</v>
      </c>
      <c r="P1618" s="82" t="s">
        <v>13186</v>
      </c>
      <c r="Q1618" s="82" t="s">
        <v>13187</v>
      </c>
      <c r="R1618" s="82" t="s">
        <v>13188</v>
      </c>
      <c r="S1618" s="82"/>
      <c r="T1618" s="138">
        <v>24.0</v>
      </c>
      <c r="U1618" s="341">
        <v>24.0</v>
      </c>
      <c r="V1618" s="106">
        <v>0.0</v>
      </c>
      <c r="W1618" s="107">
        <v>0.0</v>
      </c>
      <c r="X1618" s="107">
        <v>0.0</v>
      </c>
      <c r="Y1618" s="107">
        <v>0.0</v>
      </c>
      <c r="Z1618" s="80">
        <v>0.0</v>
      </c>
      <c r="AA1618" s="140">
        <v>413.0</v>
      </c>
      <c r="AB1618" s="109">
        <v>177.0</v>
      </c>
      <c r="AC1618" s="109">
        <v>0.0</v>
      </c>
      <c r="AD1618" s="141">
        <v>0.0</v>
      </c>
      <c r="AE1618" s="80">
        <v>590.0</v>
      </c>
      <c r="AF1618" s="140">
        <v>428.0</v>
      </c>
      <c r="AG1618" s="109">
        <v>327.0</v>
      </c>
      <c r="AH1618" s="109">
        <v>0.0</v>
      </c>
      <c r="AI1618" s="141">
        <v>0.0</v>
      </c>
      <c r="AJ1618" s="80">
        <v>755.0</v>
      </c>
      <c r="AK1618" s="140">
        <v>0.0</v>
      </c>
      <c r="AL1618" s="109">
        <v>0.0</v>
      </c>
      <c r="AM1618" s="141">
        <v>0.0</v>
      </c>
      <c r="AN1618" s="80">
        <v>0.0</v>
      </c>
      <c r="AO1618" s="140">
        <v>0.0</v>
      </c>
      <c r="AP1618" s="109">
        <v>0.0</v>
      </c>
      <c r="AQ1618" s="109">
        <v>119.0</v>
      </c>
      <c r="AR1618" s="80">
        <v>119.0</v>
      </c>
      <c r="AS1618" s="110">
        <v>0.0</v>
      </c>
      <c r="AT1618" s="110">
        <v>0.0</v>
      </c>
      <c r="AU1618" s="110">
        <v>0.0</v>
      </c>
      <c r="AV1618" s="142">
        <v>0.0</v>
      </c>
      <c r="AW1618" s="80">
        <v>0.0</v>
      </c>
      <c r="AX1618" s="113">
        <v>1464.0</v>
      </c>
      <c r="AY1618" s="117">
        <v>1345.0</v>
      </c>
      <c r="AZ1618" s="328">
        <v>119.0</v>
      </c>
      <c r="BA1618" s="315">
        <v>1.0</v>
      </c>
      <c r="BB1618" s="316">
        <v>1465.0</v>
      </c>
      <c r="BC1618" s="132" t="s">
        <v>178</v>
      </c>
      <c r="BD1618" s="132" t="s">
        <v>178</v>
      </c>
      <c r="BE1618" s="132" t="s">
        <v>178</v>
      </c>
      <c r="BF1618" s="123"/>
      <c r="BG1618" s="83">
        <v>1176795.0</v>
      </c>
      <c r="BH1618" s="112">
        <v>24.0</v>
      </c>
      <c r="BI1618" s="98" t="s">
        <v>155</v>
      </c>
      <c r="BJ1618" s="98" t="str">
        <f t="shared" si="1"/>
        <v>NÃO</v>
      </c>
      <c r="BK1618" s="98" t="str">
        <f t="shared" si="2"/>
        <v>NÃO</v>
      </c>
    </row>
    <row r="1619" ht="15.75" customHeight="1">
      <c r="A1619" s="111" t="s">
        <v>1785</v>
      </c>
      <c r="B1619" s="83" t="s">
        <v>1994</v>
      </c>
      <c r="C1619" s="83" t="s">
        <v>68</v>
      </c>
      <c r="D1619" s="83">
        <v>1177094.0</v>
      </c>
      <c r="E1619" s="83"/>
      <c r="F1619" s="83">
        <v>2.9414903E7</v>
      </c>
      <c r="G1619" s="219" t="s">
        <v>13189</v>
      </c>
      <c r="H1619" s="91" t="s">
        <v>8795</v>
      </c>
      <c r="I1619" s="114" t="s">
        <v>8417</v>
      </c>
      <c r="J1619" s="83" t="s">
        <v>150</v>
      </c>
      <c r="K1619" s="83" t="s">
        <v>13190</v>
      </c>
      <c r="L1619" s="83" t="s">
        <v>76</v>
      </c>
      <c r="M1619" s="82" t="s">
        <v>13191</v>
      </c>
      <c r="N1619" s="82" t="s">
        <v>13192</v>
      </c>
      <c r="O1619" s="82" t="s">
        <v>13193</v>
      </c>
      <c r="P1619" s="82" t="s">
        <v>13194</v>
      </c>
      <c r="Q1619" s="82" t="s">
        <v>13195</v>
      </c>
      <c r="R1619" s="82" t="s">
        <v>13196</v>
      </c>
      <c r="S1619" s="82"/>
      <c r="T1619" s="138">
        <v>11.0</v>
      </c>
      <c r="U1619" s="323">
        <v>10.0</v>
      </c>
      <c r="V1619" s="106">
        <v>0.0</v>
      </c>
      <c r="W1619" s="107">
        <v>0.0</v>
      </c>
      <c r="X1619" s="107">
        <v>0.0</v>
      </c>
      <c r="Y1619" s="107">
        <v>0.0</v>
      </c>
      <c r="Z1619" s="80">
        <v>0.0</v>
      </c>
      <c r="AA1619" s="140">
        <v>194.0</v>
      </c>
      <c r="AB1619" s="109">
        <v>146.0</v>
      </c>
      <c r="AC1619" s="109">
        <v>0.0</v>
      </c>
      <c r="AD1619" s="141">
        <v>0.0</v>
      </c>
      <c r="AE1619" s="80">
        <v>340.0</v>
      </c>
      <c r="AF1619" s="140">
        <v>0.0</v>
      </c>
      <c r="AG1619" s="109">
        <v>0.0</v>
      </c>
      <c r="AH1619" s="109">
        <v>0.0</v>
      </c>
      <c r="AI1619" s="141">
        <v>0.0</v>
      </c>
      <c r="AJ1619" s="80">
        <v>0.0</v>
      </c>
      <c r="AK1619" s="140">
        <v>0.0</v>
      </c>
      <c r="AL1619" s="109">
        <v>0.0</v>
      </c>
      <c r="AM1619" s="141">
        <v>0.0</v>
      </c>
      <c r="AN1619" s="80">
        <v>0.0</v>
      </c>
      <c r="AO1619" s="140">
        <v>0.0</v>
      </c>
      <c r="AP1619" s="109">
        <v>0.0</v>
      </c>
      <c r="AQ1619" s="109">
        <v>0.0</v>
      </c>
      <c r="AR1619" s="80">
        <v>0.0</v>
      </c>
      <c r="AS1619" s="110">
        <v>0.0</v>
      </c>
      <c r="AT1619" s="110">
        <v>0.0</v>
      </c>
      <c r="AU1619" s="110">
        <v>0.0</v>
      </c>
      <c r="AV1619" s="142">
        <v>0.0</v>
      </c>
      <c r="AW1619" s="80">
        <v>0.0</v>
      </c>
      <c r="AX1619" s="113">
        <v>340.0</v>
      </c>
      <c r="AY1619" s="117">
        <v>340.0</v>
      </c>
      <c r="AZ1619" s="328">
        <v>0.0</v>
      </c>
      <c r="BA1619" s="315">
        <v>0.0</v>
      </c>
      <c r="BB1619" s="316">
        <v>340.0</v>
      </c>
      <c r="BC1619" s="132" t="s">
        <v>178</v>
      </c>
      <c r="BD1619" s="132" t="s">
        <v>178</v>
      </c>
      <c r="BE1619" s="132" t="s">
        <v>178</v>
      </c>
      <c r="BF1619" s="123"/>
      <c r="BG1619" s="83">
        <v>1177094.0</v>
      </c>
      <c r="BH1619" s="112">
        <v>10.0</v>
      </c>
      <c r="BI1619" s="98" t="s">
        <v>155</v>
      </c>
      <c r="BJ1619" s="98" t="str">
        <f t="shared" si="1"/>
        <v>NÃO</v>
      </c>
      <c r="BK1619" s="98" t="str">
        <f t="shared" si="2"/>
        <v>NÃO</v>
      </c>
    </row>
    <row r="1620" ht="15.75" customHeight="1">
      <c r="A1620" s="111" t="s">
        <v>1785</v>
      </c>
      <c r="B1620" s="83" t="s">
        <v>1994</v>
      </c>
      <c r="C1620" s="83" t="s">
        <v>68</v>
      </c>
      <c r="D1620" s="83">
        <v>1179485.0</v>
      </c>
      <c r="E1620" s="83"/>
      <c r="F1620" s="83">
        <v>2.9467934E7</v>
      </c>
      <c r="G1620" s="114" t="s">
        <v>13197</v>
      </c>
      <c r="H1620" s="91" t="s">
        <v>8798</v>
      </c>
      <c r="I1620" s="114" t="s">
        <v>8799</v>
      </c>
      <c r="J1620" s="83" t="s">
        <v>150</v>
      </c>
      <c r="K1620" s="83" t="s">
        <v>168</v>
      </c>
      <c r="L1620" s="83" t="s">
        <v>76</v>
      </c>
      <c r="M1620" s="82" t="s">
        <v>13198</v>
      </c>
      <c r="N1620" s="82" t="s">
        <v>13199</v>
      </c>
      <c r="O1620" s="82" t="s">
        <v>13200</v>
      </c>
      <c r="P1620" s="82" t="s">
        <v>13201</v>
      </c>
      <c r="Q1620" s="82"/>
      <c r="R1620" s="82"/>
      <c r="S1620" s="82"/>
      <c r="T1620" s="138">
        <v>7.0</v>
      </c>
      <c r="U1620" s="341">
        <v>8.0</v>
      </c>
      <c r="V1620" s="106">
        <v>0.0</v>
      </c>
      <c r="W1620" s="107">
        <v>0.0</v>
      </c>
      <c r="X1620" s="107">
        <v>0.0</v>
      </c>
      <c r="Y1620" s="107">
        <v>0.0</v>
      </c>
      <c r="Z1620" s="80">
        <v>0.0</v>
      </c>
      <c r="AA1620" s="140">
        <v>166.0</v>
      </c>
      <c r="AB1620" s="109">
        <v>144.0</v>
      </c>
      <c r="AC1620" s="109">
        <v>0.0</v>
      </c>
      <c r="AD1620" s="141">
        <v>0.0</v>
      </c>
      <c r="AE1620" s="80">
        <v>310.0</v>
      </c>
      <c r="AF1620" s="140">
        <v>276.0</v>
      </c>
      <c r="AG1620" s="109">
        <v>236.0</v>
      </c>
      <c r="AH1620" s="109">
        <v>0.0</v>
      </c>
      <c r="AI1620" s="141">
        <v>0.0</v>
      </c>
      <c r="AJ1620" s="80">
        <v>512.0</v>
      </c>
      <c r="AK1620" s="140">
        <v>0.0</v>
      </c>
      <c r="AL1620" s="109">
        <v>0.0</v>
      </c>
      <c r="AM1620" s="141">
        <v>0.0</v>
      </c>
      <c r="AN1620" s="80">
        <v>0.0</v>
      </c>
      <c r="AO1620" s="140">
        <v>0.0</v>
      </c>
      <c r="AP1620" s="109">
        <v>0.0</v>
      </c>
      <c r="AQ1620" s="109">
        <v>0.0</v>
      </c>
      <c r="AR1620" s="80">
        <v>0.0</v>
      </c>
      <c r="AS1620" s="110">
        <v>0.0</v>
      </c>
      <c r="AT1620" s="110">
        <v>0.0</v>
      </c>
      <c r="AU1620" s="110">
        <v>0.0</v>
      </c>
      <c r="AV1620" s="142">
        <v>0.0</v>
      </c>
      <c r="AW1620" s="80">
        <v>0.0</v>
      </c>
      <c r="AX1620" s="113">
        <v>822.0</v>
      </c>
      <c r="AY1620" s="117">
        <v>822.0</v>
      </c>
      <c r="AZ1620" s="328">
        <v>0.0</v>
      </c>
      <c r="BA1620" s="315">
        <v>2.0</v>
      </c>
      <c r="BB1620" s="316">
        <v>824.0</v>
      </c>
      <c r="BC1620" s="132" t="s">
        <v>178</v>
      </c>
      <c r="BD1620" s="132" t="s">
        <v>178</v>
      </c>
      <c r="BE1620" s="132" t="s">
        <v>178</v>
      </c>
      <c r="BF1620" s="123"/>
      <c r="BG1620" s="83">
        <v>1179485.0</v>
      </c>
      <c r="BH1620" s="112">
        <v>8.0</v>
      </c>
      <c r="BI1620" s="98" t="s">
        <v>155</v>
      </c>
      <c r="BJ1620" s="98" t="str">
        <f t="shared" si="1"/>
        <v>NÃO</v>
      </c>
      <c r="BK1620" s="98" t="str">
        <f t="shared" si="2"/>
        <v>NÃO</v>
      </c>
    </row>
    <row r="1621" ht="15.75" customHeight="1">
      <c r="A1621" s="111" t="s">
        <v>1785</v>
      </c>
      <c r="B1621" s="172" t="s">
        <v>1994</v>
      </c>
      <c r="C1621" s="83" t="s">
        <v>68</v>
      </c>
      <c r="D1621" s="136">
        <v>1174713.0</v>
      </c>
      <c r="E1621" s="83"/>
      <c r="F1621" s="83">
        <v>2.9191211E7</v>
      </c>
      <c r="G1621" s="384" t="s">
        <v>13202</v>
      </c>
      <c r="H1621" s="91" t="s">
        <v>8802</v>
      </c>
      <c r="I1621" s="114" t="s">
        <v>8803</v>
      </c>
      <c r="J1621" s="83" t="s">
        <v>150</v>
      </c>
      <c r="K1621" s="83" t="s">
        <v>151</v>
      </c>
      <c r="L1621" s="83" t="s">
        <v>1326</v>
      </c>
      <c r="M1621" s="82" t="s">
        <v>13203</v>
      </c>
      <c r="N1621" s="82" t="s">
        <v>13204</v>
      </c>
      <c r="O1621" s="82" t="s">
        <v>13205</v>
      </c>
      <c r="P1621" s="82" t="s">
        <v>13206</v>
      </c>
      <c r="Q1621" s="82" t="s">
        <v>13207</v>
      </c>
      <c r="R1621" s="82" t="s">
        <v>13208</v>
      </c>
      <c r="S1621" s="82" t="s">
        <v>13209</v>
      </c>
      <c r="T1621" s="138">
        <v>18.0</v>
      </c>
      <c r="U1621" s="614">
        <v>18.0</v>
      </c>
      <c r="V1621" s="106">
        <v>0.0</v>
      </c>
      <c r="W1621" s="107">
        <v>0.0</v>
      </c>
      <c r="X1621" s="107">
        <v>0.0</v>
      </c>
      <c r="Y1621" s="107">
        <v>0.0</v>
      </c>
      <c r="Z1621" s="80">
        <v>0.0</v>
      </c>
      <c r="AA1621" s="140">
        <v>0.0</v>
      </c>
      <c r="AB1621" s="109">
        <v>0.0</v>
      </c>
      <c r="AC1621" s="109">
        <v>0.0</v>
      </c>
      <c r="AD1621" s="141">
        <v>0.0</v>
      </c>
      <c r="AE1621" s="80">
        <v>0.0</v>
      </c>
      <c r="AF1621" s="140">
        <v>464.0</v>
      </c>
      <c r="AG1621" s="109">
        <v>197.0</v>
      </c>
      <c r="AH1621" s="109">
        <v>0.0</v>
      </c>
      <c r="AI1621" s="141">
        <v>0.0</v>
      </c>
      <c r="AJ1621" s="80">
        <v>661.0</v>
      </c>
      <c r="AK1621" s="140">
        <v>0.0</v>
      </c>
      <c r="AL1621" s="109">
        <v>0.0</v>
      </c>
      <c r="AM1621" s="141">
        <v>0.0</v>
      </c>
      <c r="AN1621" s="80">
        <v>0.0</v>
      </c>
      <c r="AO1621" s="140">
        <v>0.0</v>
      </c>
      <c r="AP1621" s="109">
        <v>0.0</v>
      </c>
      <c r="AQ1621" s="109">
        <v>0.0</v>
      </c>
      <c r="AR1621" s="80">
        <v>0.0</v>
      </c>
      <c r="AS1621" s="110">
        <v>224.0</v>
      </c>
      <c r="AT1621" s="110">
        <v>151.0</v>
      </c>
      <c r="AU1621" s="110">
        <v>0.0</v>
      </c>
      <c r="AV1621" s="142">
        <v>0.0</v>
      </c>
      <c r="AW1621" s="80">
        <v>375.0</v>
      </c>
      <c r="AX1621" s="113">
        <v>1036.0</v>
      </c>
      <c r="AY1621" s="117">
        <v>1036.0</v>
      </c>
      <c r="AZ1621" s="328">
        <v>0.0</v>
      </c>
      <c r="BA1621" s="315">
        <v>1.0</v>
      </c>
      <c r="BB1621" s="316">
        <v>1037.0</v>
      </c>
      <c r="BC1621" s="132" t="s">
        <v>178</v>
      </c>
      <c r="BD1621" s="132" t="s">
        <v>178</v>
      </c>
      <c r="BE1621" s="132" t="s">
        <v>178</v>
      </c>
      <c r="BF1621" s="123"/>
      <c r="BG1621" s="136">
        <v>1174713.0</v>
      </c>
      <c r="BH1621" s="112">
        <v>18.0</v>
      </c>
      <c r="BI1621" s="98" t="s">
        <v>155</v>
      </c>
      <c r="BJ1621" s="98" t="str">
        <f t="shared" si="1"/>
        <v>NÃO</v>
      </c>
      <c r="BK1621" s="98" t="str">
        <f t="shared" si="2"/>
        <v>PROFISSIONAL</v>
      </c>
    </row>
    <row r="1622" ht="15.75" customHeight="1">
      <c r="A1622" s="111" t="s">
        <v>1785</v>
      </c>
      <c r="B1622" s="172" t="s">
        <v>1994</v>
      </c>
      <c r="C1622" s="83" t="s">
        <v>68</v>
      </c>
      <c r="D1622" s="83">
        <v>1176094.0</v>
      </c>
      <c r="E1622" s="136"/>
      <c r="F1622" s="136">
        <v>2.9336627E7</v>
      </c>
      <c r="G1622" s="187" t="s">
        <v>13210</v>
      </c>
      <c r="H1622" s="114" t="s">
        <v>8806</v>
      </c>
      <c r="I1622" s="114" t="s">
        <v>8162</v>
      </c>
      <c r="J1622" s="83" t="s">
        <v>150</v>
      </c>
      <c r="K1622" s="83" t="s">
        <v>151</v>
      </c>
      <c r="L1622" s="83" t="s">
        <v>230</v>
      </c>
      <c r="M1622" s="82" t="s">
        <v>13211</v>
      </c>
      <c r="N1622" s="82" t="s">
        <v>13212</v>
      </c>
      <c r="O1622" s="82" t="s">
        <v>13213</v>
      </c>
      <c r="P1622" s="82" t="s">
        <v>13214</v>
      </c>
      <c r="Q1622" s="82" t="s">
        <v>13215</v>
      </c>
      <c r="R1622" s="82" t="s">
        <v>13216</v>
      </c>
      <c r="S1622" s="82" t="s">
        <v>13217</v>
      </c>
      <c r="T1622" s="138">
        <v>24.0</v>
      </c>
      <c r="U1622" s="341">
        <v>24.0</v>
      </c>
      <c r="V1622" s="106">
        <v>0.0</v>
      </c>
      <c r="W1622" s="107">
        <v>0.0</v>
      </c>
      <c r="X1622" s="107">
        <v>0.0</v>
      </c>
      <c r="Y1622" s="107">
        <v>0.0</v>
      </c>
      <c r="Z1622" s="80">
        <v>0.0</v>
      </c>
      <c r="AA1622" s="140">
        <v>0.0</v>
      </c>
      <c r="AB1622" s="109">
        <v>0.0</v>
      </c>
      <c r="AC1622" s="109">
        <v>0.0</v>
      </c>
      <c r="AD1622" s="141">
        <v>0.0</v>
      </c>
      <c r="AE1622" s="80">
        <v>0.0</v>
      </c>
      <c r="AF1622" s="140">
        <v>818.0</v>
      </c>
      <c r="AG1622" s="109">
        <v>317.0</v>
      </c>
      <c r="AH1622" s="109">
        <v>66.0</v>
      </c>
      <c r="AI1622" s="141">
        <v>0.0</v>
      </c>
      <c r="AJ1622" s="80">
        <v>1201.0</v>
      </c>
      <c r="AK1622" s="140">
        <v>0.0</v>
      </c>
      <c r="AL1622" s="109">
        <v>0.0</v>
      </c>
      <c r="AM1622" s="141">
        <v>0.0</v>
      </c>
      <c r="AN1622" s="80">
        <v>0.0</v>
      </c>
      <c r="AO1622" s="140">
        <v>0.0</v>
      </c>
      <c r="AP1622" s="109">
        <v>0.0</v>
      </c>
      <c r="AQ1622" s="109">
        <v>100.0</v>
      </c>
      <c r="AR1622" s="80">
        <v>100.0</v>
      </c>
      <c r="AS1622" s="110">
        <v>0.0</v>
      </c>
      <c r="AT1622" s="110">
        <v>0.0</v>
      </c>
      <c r="AU1622" s="110">
        <v>0.0</v>
      </c>
      <c r="AV1622" s="142">
        <v>0.0</v>
      </c>
      <c r="AW1622" s="80">
        <v>0.0</v>
      </c>
      <c r="AX1622" s="113">
        <v>1301.0</v>
      </c>
      <c r="AY1622" s="117">
        <v>1135.0</v>
      </c>
      <c r="AZ1622" s="328">
        <v>166.0</v>
      </c>
      <c r="BA1622" s="315">
        <v>1.0</v>
      </c>
      <c r="BB1622" s="316">
        <v>1302.0</v>
      </c>
      <c r="BC1622" s="132" t="s">
        <v>178</v>
      </c>
      <c r="BD1622" s="132" t="s">
        <v>178</v>
      </c>
      <c r="BE1622" s="132" t="s">
        <v>178</v>
      </c>
      <c r="BF1622" s="123"/>
      <c r="BG1622" s="83">
        <v>1176094.0</v>
      </c>
      <c r="BH1622" s="112">
        <v>24.0</v>
      </c>
      <c r="BI1622" s="98" t="s">
        <v>155</v>
      </c>
      <c r="BJ1622" s="98" t="str">
        <f t="shared" si="1"/>
        <v>NÃO</v>
      </c>
      <c r="BK1622" s="98" t="str">
        <f t="shared" si="2"/>
        <v>NÃO</v>
      </c>
    </row>
    <row r="1623" ht="15.75" customHeight="1">
      <c r="A1623" s="111" t="s">
        <v>1785</v>
      </c>
      <c r="B1623" s="83" t="s">
        <v>1994</v>
      </c>
      <c r="C1623" s="83" t="s">
        <v>68</v>
      </c>
      <c r="D1623" s="83">
        <v>1100523.0</v>
      </c>
      <c r="E1623" s="83"/>
      <c r="F1623" s="83">
        <v>2.9190738E7</v>
      </c>
      <c r="G1623" s="114" t="s">
        <v>8807</v>
      </c>
      <c r="H1623" s="114" t="s">
        <v>8808</v>
      </c>
      <c r="I1623" s="187" t="s">
        <v>8809</v>
      </c>
      <c r="J1623" s="83" t="s">
        <v>150</v>
      </c>
      <c r="K1623" s="83" t="s">
        <v>151</v>
      </c>
      <c r="L1623" s="83" t="s">
        <v>76</v>
      </c>
      <c r="M1623" s="82" t="s">
        <v>13218</v>
      </c>
      <c r="N1623" s="82" t="s">
        <v>13219</v>
      </c>
      <c r="O1623" s="82"/>
      <c r="P1623" s="82"/>
      <c r="Q1623" s="82"/>
      <c r="R1623" s="82"/>
      <c r="S1623" s="82" t="s">
        <v>13220</v>
      </c>
      <c r="T1623" s="138">
        <v>7.0</v>
      </c>
      <c r="U1623" s="341">
        <v>7.0</v>
      </c>
      <c r="V1623" s="106">
        <v>0.0</v>
      </c>
      <c r="W1623" s="107">
        <v>0.0</v>
      </c>
      <c r="X1623" s="107">
        <v>0.0</v>
      </c>
      <c r="Y1623" s="107">
        <v>0.0</v>
      </c>
      <c r="Z1623" s="80">
        <v>0.0</v>
      </c>
      <c r="AA1623" s="140">
        <v>29.0</v>
      </c>
      <c r="AB1623" s="109">
        <v>191.0</v>
      </c>
      <c r="AC1623" s="109">
        <v>0.0</v>
      </c>
      <c r="AD1623" s="141">
        <v>0.0</v>
      </c>
      <c r="AE1623" s="80">
        <v>220.0</v>
      </c>
      <c r="AF1623" s="140">
        <v>180.0</v>
      </c>
      <c r="AG1623" s="109">
        <v>0.0</v>
      </c>
      <c r="AH1623" s="109">
        <v>0.0</v>
      </c>
      <c r="AI1623" s="141">
        <v>0.0</v>
      </c>
      <c r="AJ1623" s="80">
        <v>180.0</v>
      </c>
      <c r="AK1623" s="140">
        <v>0.0</v>
      </c>
      <c r="AL1623" s="109">
        <v>0.0</v>
      </c>
      <c r="AM1623" s="141">
        <v>0.0</v>
      </c>
      <c r="AN1623" s="80">
        <v>0.0</v>
      </c>
      <c r="AO1623" s="140">
        <v>0.0</v>
      </c>
      <c r="AP1623" s="109">
        <v>0.0</v>
      </c>
      <c r="AQ1623" s="109">
        <v>0.0</v>
      </c>
      <c r="AR1623" s="80">
        <v>0.0</v>
      </c>
      <c r="AS1623" s="110">
        <v>0.0</v>
      </c>
      <c r="AT1623" s="110">
        <v>0.0</v>
      </c>
      <c r="AU1623" s="110">
        <v>0.0</v>
      </c>
      <c r="AV1623" s="142">
        <v>0.0</v>
      </c>
      <c r="AW1623" s="80">
        <v>0.0</v>
      </c>
      <c r="AX1623" s="113">
        <v>400.0</v>
      </c>
      <c r="AY1623" s="117">
        <v>400.0</v>
      </c>
      <c r="AZ1623" s="328">
        <v>0.0</v>
      </c>
      <c r="BA1623" s="315">
        <v>0.0</v>
      </c>
      <c r="BB1623" s="316">
        <v>400.0</v>
      </c>
      <c r="BC1623" s="132" t="s">
        <v>178</v>
      </c>
      <c r="BD1623" s="132" t="s">
        <v>178</v>
      </c>
      <c r="BE1623" s="132" t="s">
        <v>178</v>
      </c>
      <c r="BF1623" s="156"/>
      <c r="BG1623" s="83">
        <v>1100523.0</v>
      </c>
      <c r="BH1623" s="112">
        <v>7.0</v>
      </c>
      <c r="BI1623" s="98" t="s">
        <v>155</v>
      </c>
      <c r="BJ1623" s="98" t="str">
        <f t="shared" si="1"/>
        <v>NÃO</v>
      </c>
      <c r="BK1623" s="98" t="str">
        <f t="shared" si="2"/>
        <v>NÃO</v>
      </c>
    </row>
    <row r="1624" ht="15.75" customHeight="1">
      <c r="A1624" s="111" t="s">
        <v>1785</v>
      </c>
      <c r="B1624" s="83" t="s">
        <v>1994</v>
      </c>
      <c r="C1624" s="83" t="s">
        <v>68</v>
      </c>
      <c r="D1624" s="83">
        <v>1100493.0</v>
      </c>
      <c r="E1624" s="83"/>
      <c r="F1624" s="83">
        <v>2.919072E7</v>
      </c>
      <c r="G1624" s="114" t="s">
        <v>8811</v>
      </c>
      <c r="H1624" s="91" t="s">
        <v>8812</v>
      </c>
      <c r="I1624" s="187" t="s">
        <v>8162</v>
      </c>
      <c r="J1624" s="83" t="s">
        <v>150</v>
      </c>
      <c r="K1624" s="83" t="s">
        <v>8813</v>
      </c>
      <c r="L1624" s="83" t="s">
        <v>152</v>
      </c>
      <c r="M1624" s="82" t="s">
        <v>13221</v>
      </c>
      <c r="N1624" s="82" t="s">
        <v>13222</v>
      </c>
      <c r="O1624" s="82" t="s">
        <v>13223</v>
      </c>
      <c r="P1624" s="82" t="s">
        <v>13224</v>
      </c>
      <c r="Q1624" s="82" t="s">
        <v>13225</v>
      </c>
      <c r="R1624" s="82" t="s">
        <v>13226</v>
      </c>
      <c r="S1624" s="82" t="s">
        <v>13227</v>
      </c>
      <c r="T1624" s="138">
        <v>9.0</v>
      </c>
      <c r="U1624" s="341">
        <v>9.0</v>
      </c>
      <c r="V1624" s="106">
        <v>0.0</v>
      </c>
      <c r="W1624" s="107">
        <v>0.0</v>
      </c>
      <c r="X1624" s="107">
        <v>0.0</v>
      </c>
      <c r="Y1624" s="107">
        <v>0.0</v>
      </c>
      <c r="Z1624" s="80">
        <v>0.0</v>
      </c>
      <c r="AA1624" s="140">
        <v>242.0</v>
      </c>
      <c r="AB1624" s="109">
        <v>242.0</v>
      </c>
      <c r="AC1624" s="109">
        <v>0.0</v>
      </c>
      <c r="AD1624" s="141">
        <v>0.0</v>
      </c>
      <c r="AE1624" s="80">
        <v>484.0</v>
      </c>
      <c r="AF1624" s="140">
        <v>0.0</v>
      </c>
      <c r="AG1624" s="109">
        <v>0.0</v>
      </c>
      <c r="AH1624" s="109">
        <v>0.0</v>
      </c>
      <c r="AI1624" s="141">
        <v>0.0</v>
      </c>
      <c r="AJ1624" s="80">
        <v>0.0</v>
      </c>
      <c r="AK1624" s="140">
        <v>0.0</v>
      </c>
      <c r="AL1624" s="109">
        <v>0.0</v>
      </c>
      <c r="AM1624" s="141">
        <v>74.0</v>
      </c>
      <c r="AN1624" s="80">
        <v>74.0</v>
      </c>
      <c r="AO1624" s="140">
        <v>0.0</v>
      </c>
      <c r="AP1624" s="109">
        <v>0.0</v>
      </c>
      <c r="AQ1624" s="109">
        <v>115.0</v>
      </c>
      <c r="AR1624" s="80">
        <v>115.0</v>
      </c>
      <c r="AS1624" s="110">
        <v>0.0</v>
      </c>
      <c r="AT1624" s="110">
        <v>0.0</v>
      </c>
      <c r="AU1624" s="110">
        <v>0.0</v>
      </c>
      <c r="AV1624" s="142">
        <v>0.0</v>
      </c>
      <c r="AW1624" s="80">
        <v>0.0</v>
      </c>
      <c r="AX1624" s="113">
        <v>673.0</v>
      </c>
      <c r="AY1624" s="117">
        <v>484.0</v>
      </c>
      <c r="AZ1624" s="328">
        <v>189.0</v>
      </c>
      <c r="BA1624" s="315">
        <v>0.0</v>
      </c>
      <c r="BB1624" s="316">
        <v>673.0</v>
      </c>
      <c r="BC1624" s="132" t="s">
        <v>178</v>
      </c>
      <c r="BD1624" s="132" t="s">
        <v>178</v>
      </c>
      <c r="BE1624" s="132" t="s">
        <v>178</v>
      </c>
      <c r="BF1624" s="156"/>
      <c r="BG1624" s="83">
        <v>1100493.0</v>
      </c>
      <c r="BH1624" s="112">
        <v>9.0</v>
      </c>
      <c r="BI1624" s="98" t="s">
        <v>155</v>
      </c>
      <c r="BJ1624" s="98" t="str">
        <f t="shared" si="1"/>
        <v>NÃO</v>
      </c>
      <c r="BK1624" s="98" t="str">
        <f t="shared" si="2"/>
        <v>NÃO</v>
      </c>
    </row>
    <row r="1625" ht="15.75" customHeight="1">
      <c r="A1625" s="111" t="s">
        <v>1785</v>
      </c>
      <c r="B1625" s="83" t="s">
        <v>1994</v>
      </c>
      <c r="C1625" s="83" t="s">
        <v>68</v>
      </c>
      <c r="D1625" s="83">
        <v>1176206.0</v>
      </c>
      <c r="E1625" s="83"/>
      <c r="F1625" s="83">
        <v>2.9357829E7</v>
      </c>
      <c r="G1625" s="114" t="s">
        <v>13228</v>
      </c>
      <c r="H1625" s="91" t="s">
        <v>8816</v>
      </c>
      <c r="I1625" s="114" t="s">
        <v>8517</v>
      </c>
      <c r="J1625" s="83" t="s">
        <v>150</v>
      </c>
      <c r="K1625" s="83" t="s">
        <v>151</v>
      </c>
      <c r="L1625" s="83" t="s">
        <v>152</v>
      </c>
      <c r="M1625" s="82" t="s">
        <v>13229</v>
      </c>
      <c r="N1625" s="82" t="s">
        <v>13230</v>
      </c>
      <c r="O1625" s="82" t="s">
        <v>13231</v>
      </c>
      <c r="P1625" s="82" t="s">
        <v>13232</v>
      </c>
      <c r="Q1625" s="82"/>
      <c r="R1625" s="82"/>
      <c r="S1625" s="82" t="s">
        <v>13233</v>
      </c>
      <c r="T1625" s="138">
        <v>15.0</v>
      </c>
      <c r="U1625" s="341">
        <v>15.0</v>
      </c>
      <c r="V1625" s="106">
        <v>0.0</v>
      </c>
      <c r="W1625" s="107">
        <v>0.0</v>
      </c>
      <c r="X1625" s="107">
        <v>0.0</v>
      </c>
      <c r="Y1625" s="107">
        <v>0.0</v>
      </c>
      <c r="Z1625" s="80">
        <v>0.0</v>
      </c>
      <c r="AA1625" s="140">
        <v>0.0</v>
      </c>
      <c r="AB1625" s="109">
        <v>0.0</v>
      </c>
      <c r="AC1625" s="109">
        <v>0.0</v>
      </c>
      <c r="AD1625" s="141">
        <v>248.0</v>
      </c>
      <c r="AE1625" s="80">
        <v>248.0</v>
      </c>
      <c r="AF1625" s="140">
        <v>0.0</v>
      </c>
      <c r="AG1625" s="109">
        <v>0.0</v>
      </c>
      <c r="AH1625" s="109">
        <v>0.0</v>
      </c>
      <c r="AI1625" s="141">
        <v>0.0</v>
      </c>
      <c r="AJ1625" s="80">
        <v>0.0</v>
      </c>
      <c r="AK1625" s="140">
        <v>0.0</v>
      </c>
      <c r="AL1625" s="109">
        <v>0.0</v>
      </c>
      <c r="AM1625" s="141">
        <v>0.0</v>
      </c>
      <c r="AN1625" s="80">
        <v>0.0</v>
      </c>
      <c r="AO1625" s="140">
        <v>0.0</v>
      </c>
      <c r="AP1625" s="109">
        <v>0.0</v>
      </c>
      <c r="AQ1625" s="109">
        <v>0.0</v>
      </c>
      <c r="AR1625" s="80">
        <v>0.0</v>
      </c>
      <c r="AS1625" s="110">
        <v>0.0</v>
      </c>
      <c r="AT1625" s="110">
        <v>0.0</v>
      </c>
      <c r="AU1625" s="110">
        <v>0.0</v>
      </c>
      <c r="AV1625" s="142">
        <v>0.0</v>
      </c>
      <c r="AW1625" s="80">
        <v>0.0</v>
      </c>
      <c r="AX1625" s="113">
        <v>248.0</v>
      </c>
      <c r="AY1625" s="117">
        <v>248.0</v>
      </c>
      <c r="AZ1625" s="328">
        <v>0.0</v>
      </c>
      <c r="BA1625" s="315">
        <v>0.0</v>
      </c>
      <c r="BB1625" s="316">
        <v>248.0</v>
      </c>
      <c r="BC1625" s="132" t="s">
        <v>178</v>
      </c>
      <c r="BD1625" s="132" t="s">
        <v>178</v>
      </c>
      <c r="BE1625" s="132" t="s">
        <v>178</v>
      </c>
      <c r="BF1625" s="156"/>
      <c r="BG1625" s="83">
        <v>1176206.0</v>
      </c>
      <c r="BH1625" s="112">
        <v>15.0</v>
      </c>
      <c r="BI1625" s="98" t="s">
        <v>155</v>
      </c>
      <c r="BJ1625" s="98" t="str">
        <f t="shared" si="1"/>
        <v>INTEGRAL</v>
      </c>
      <c r="BK1625" s="98" t="str">
        <f t="shared" si="2"/>
        <v>NÃO</v>
      </c>
    </row>
    <row r="1626" ht="15.75" customHeight="1">
      <c r="A1626" s="111" t="s">
        <v>1785</v>
      </c>
      <c r="B1626" s="83" t="s">
        <v>1994</v>
      </c>
      <c r="C1626" s="83" t="s">
        <v>68</v>
      </c>
      <c r="D1626" s="83">
        <v>1100345.0</v>
      </c>
      <c r="E1626" s="83"/>
      <c r="F1626" s="83">
        <v>2.9182123E7</v>
      </c>
      <c r="G1626" s="114" t="s">
        <v>13234</v>
      </c>
      <c r="H1626" s="91" t="s">
        <v>8819</v>
      </c>
      <c r="I1626" s="114" t="s">
        <v>8820</v>
      </c>
      <c r="J1626" s="83" t="s">
        <v>150</v>
      </c>
      <c r="K1626" s="83" t="s">
        <v>151</v>
      </c>
      <c r="L1626" s="83" t="s">
        <v>230</v>
      </c>
      <c r="M1626" s="82" t="s">
        <v>13235</v>
      </c>
      <c r="N1626" s="82" t="s">
        <v>13236</v>
      </c>
      <c r="O1626" s="82" t="s">
        <v>13237</v>
      </c>
      <c r="P1626" s="82" t="s">
        <v>13238</v>
      </c>
      <c r="Q1626" s="82" t="s">
        <v>13239</v>
      </c>
      <c r="R1626" s="82" t="s">
        <v>13240</v>
      </c>
      <c r="S1626" s="82" t="s">
        <v>13241</v>
      </c>
      <c r="T1626" s="138">
        <v>25.0</v>
      </c>
      <c r="U1626" s="341">
        <v>24.0</v>
      </c>
      <c r="V1626" s="106">
        <v>0.0</v>
      </c>
      <c r="W1626" s="107">
        <v>0.0</v>
      </c>
      <c r="X1626" s="107">
        <v>0.0</v>
      </c>
      <c r="Y1626" s="107">
        <v>0.0</v>
      </c>
      <c r="Z1626" s="80">
        <v>0.0</v>
      </c>
      <c r="AA1626" s="140">
        <v>0.0</v>
      </c>
      <c r="AB1626" s="109">
        <v>0.0</v>
      </c>
      <c r="AC1626" s="109">
        <v>0.0</v>
      </c>
      <c r="AD1626" s="141">
        <v>0.0</v>
      </c>
      <c r="AE1626" s="80">
        <v>0.0</v>
      </c>
      <c r="AF1626" s="140">
        <v>573.0</v>
      </c>
      <c r="AG1626" s="109">
        <v>8.0</v>
      </c>
      <c r="AH1626" s="109">
        <v>0.0</v>
      </c>
      <c r="AI1626" s="141">
        <v>0.0</v>
      </c>
      <c r="AJ1626" s="80">
        <v>581.0</v>
      </c>
      <c r="AK1626" s="140">
        <v>0.0</v>
      </c>
      <c r="AL1626" s="109">
        <v>0.0</v>
      </c>
      <c r="AM1626" s="141">
        <v>0.0</v>
      </c>
      <c r="AN1626" s="80">
        <v>0.0</v>
      </c>
      <c r="AO1626" s="140">
        <v>0.0</v>
      </c>
      <c r="AP1626" s="109">
        <v>0.0</v>
      </c>
      <c r="AQ1626" s="109">
        <v>61.0</v>
      </c>
      <c r="AR1626" s="80">
        <v>61.0</v>
      </c>
      <c r="AS1626" s="110">
        <v>124.0</v>
      </c>
      <c r="AT1626" s="110">
        <v>30.0</v>
      </c>
      <c r="AU1626" s="110">
        <v>53.0</v>
      </c>
      <c r="AV1626" s="142">
        <v>0.0</v>
      </c>
      <c r="AW1626" s="80">
        <v>207.0</v>
      </c>
      <c r="AX1626" s="113">
        <v>849.0</v>
      </c>
      <c r="AY1626" s="117">
        <v>735.0</v>
      </c>
      <c r="AZ1626" s="328">
        <v>114.0</v>
      </c>
      <c r="BA1626" s="315">
        <v>0.0</v>
      </c>
      <c r="BB1626" s="316">
        <v>849.0</v>
      </c>
      <c r="BC1626" s="132" t="s">
        <v>178</v>
      </c>
      <c r="BD1626" s="132" t="s">
        <v>178</v>
      </c>
      <c r="BE1626" s="132" t="s">
        <v>178</v>
      </c>
      <c r="BF1626" s="156"/>
      <c r="BG1626" s="83">
        <v>1100345.0</v>
      </c>
      <c r="BH1626" s="112">
        <v>24.0</v>
      </c>
      <c r="BI1626" s="98" t="s">
        <v>155</v>
      </c>
      <c r="BJ1626" s="98" t="str">
        <f t="shared" si="1"/>
        <v>NÃO</v>
      </c>
      <c r="BK1626" s="98" t="str">
        <f t="shared" si="2"/>
        <v>PROFISSIONAL</v>
      </c>
    </row>
    <row r="1627" ht="15.75" customHeight="1">
      <c r="A1627" s="111" t="s">
        <v>1785</v>
      </c>
      <c r="B1627" s="83" t="s">
        <v>1994</v>
      </c>
      <c r="C1627" s="83" t="s">
        <v>68</v>
      </c>
      <c r="D1627" s="83">
        <v>1102097.0</v>
      </c>
      <c r="E1627" s="83"/>
      <c r="F1627" s="83">
        <v>2.9190878E7</v>
      </c>
      <c r="G1627" s="114" t="s">
        <v>8824</v>
      </c>
      <c r="H1627" s="91" t="s">
        <v>8825</v>
      </c>
      <c r="I1627" s="114" t="s">
        <v>8826</v>
      </c>
      <c r="J1627" s="83" t="s">
        <v>150</v>
      </c>
      <c r="K1627" s="83" t="s">
        <v>151</v>
      </c>
      <c r="L1627" s="83" t="s">
        <v>152</v>
      </c>
      <c r="M1627" s="82" t="s">
        <v>13242</v>
      </c>
      <c r="N1627" s="82" t="s">
        <v>13243</v>
      </c>
      <c r="O1627" s="82"/>
      <c r="P1627" s="82"/>
      <c r="Q1627" s="82"/>
      <c r="R1627" s="82"/>
      <c r="S1627" s="82" t="s">
        <v>13244</v>
      </c>
      <c r="T1627" s="138">
        <v>13.0</v>
      </c>
      <c r="U1627" s="341">
        <v>13.0</v>
      </c>
      <c r="V1627" s="106">
        <v>0.0</v>
      </c>
      <c r="W1627" s="107">
        <v>0.0</v>
      </c>
      <c r="X1627" s="107">
        <v>0.0</v>
      </c>
      <c r="Y1627" s="107">
        <v>0.0</v>
      </c>
      <c r="Z1627" s="80">
        <v>0.0</v>
      </c>
      <c r="AA1627" s="140">
        <v>222.0</v>
      </c>
      <c r="AB1627" s="109">
        <v>301.0</v>
      </c>
      <c r="AC1627" s="109">
        <v>0.0</v>
      </c>
      <c r="AD1627" s="141">
        <v>0.0</v>
      </c>
      <c r="AE1627" s="80">
        <v>523.0</v>
      </c>
      <c r="AF1627" s="140">
        <v>179.0</v>
      </c>
      <c r="AG1627" s="109">
        <v>126.0</v>
      </c>
      <c r="AH1627" s="109">
        <v>0.0</v>
      </c>
      <c r="AI1627" s="141">
        <v>0.0</v>
      </c>
      <c r="AJ1627" s="80">
        <v>305.0</v>
      </c>
      <c r="AK1627" s="140">
        <v>0.0</v>
      </c>
      <c r="AL1627" s="109">
        <v>0.0</v>
      </c>
      <c r="AM1627" s="141">
        <v>79.0</v>
      </c>
      <c r="AN1627" s="80">
        <v>79.0</v>
      </c>
      <c r="AO1627" s="140">
        <v>0.0</v>
      </c>
      <c r="AP1627" s="109">
        <v>0.0</v>
      </c>
      <c r="AQ1627" s="109">
        <v>251.0</v>
      </c>
      <c r="AR1627" s="80">
        <v>251.0</v>
      </c>
      <c r="AS1627" s="110">
        <v>25.0</v>
      </c>
      <c r="AT1627" s="110">
        <v>0.0</v>
      </c>
      <c r="AU1627" s="110">
        <v>31.0</v>
      </c>
      <c r="AV1627" s="142">
        <v>0.0</v>
      </c>
      <c r="AW1627" s="80">
        <v>56.0</v>
      </c>
      <c r="AX1627" s="113">
        <v>1214.0</v>
      </c>
      <c r="AY1627" s="117">
        <v>853.0</v>
      </c>
      <c r="AZ1627" s="328">
        <v>361.0</v>
      </c>
      <c r="BA1627" s="315">
        <v>0.0</v>
      </c>
      <c r="BB1627" s="316">
        <v>1214.0</v>
      </c>
      <c r="BC1627" s="132" t="s">
        <v>178</v>
      </c>
      <c r="BD1627" s="132" t="s">
        <v>178</v>
      </c>
      <c r="BE1627" s="132" t="s">
        <v>178</v>
      </c>
      <c r="BF1627" s="156"/>
      <c r="BG1627" s="83">
        <v>1102097.0</v>
      </c>
      <c r="BH1627" s="112">
        <v>13.0</v>
      </c>
      <c r="BI1627" s="98" t="s">
        <v>155</v>
      </c>
      <c r="BJ1627" s="98" t="str">
        <f t="shared" si="1"/>
        <v>NÃO</v>
      </c>
      <c r="BK1627" s="98" t="str">
        <f t="shared" si="2"/>
        <v>PROFISSIONAL</v>
      </c>
    </row>
    <row r="1628" ht="15.75" customHeight="1">
      <c r="A1628" s="111" t="s">
        <v>1785</v>
      </c>
      <c r="B1628" s="83" t="s">
        <v>1994</v>
      </c>
      <c r="C1628" s="83" t="s">
        <v>68</v>
      </c>
      <c r="D1628" s="83">
        <v>1104260.0</v>
      </c>
      <c r="E1628" s="83"/>
      <c r="F1628" s="83">
        <v>2.9190363E7</v>
      </c>
      <c r="G1628" s="114" t="s">
        <v>13245</v>
      </c>
      <c r="H1628" s="91" t="s">
        <v>8830</v>
      </c>
      <c r="I1628" s="187" t="s">
        <v>8831</v>
      </c>
      <c r="J1628" s="83" t="s">
        <v>150</v>
      </c>
      <c r="K1628" s="83" t="s">
        <v>151</v>
      </c>
      <c r="L1628" s="83" t="s">
        <v>152</v>
      </c>
      <c r="M1628" s="82" t="s">
        <v>13246</v>
      </c>
      <c r="N1628" s="82" t="s">
        <v>13247</v>
      </c>
      <c r="O1628" s="82" t="s">
        <v>13248</v>
      </c>
      <c r="P1628" s="82" t="s">
        <v>13249</v>
      </c>
      <c r="Q1628" s="82" t="s">
        <v>13250</v>
      </c>
      <c r="R1628" s="82" t="s">
        <v>13251</v>
      </c>
      <c r="S1628" s="82" t="s">
        <v>13252</v>
      </c>
      <c r="T1628" s="138">
        <v>10.0</v>
      </c>
      <c r="U1628" s="341">
        <v>10.0</v>
      </c>
      <c r="V1628" s="106">
        <v>0.0</v>
      </c>
      <c r="W1628" s="107">
        <v>0.0</v>
      </c>
      <c r="X1628" s="107">
        <v>0.0</v>
      </c>
      <c r="Y1628" s="107">
        <v>0.0</v>
      </c>
      <c r="Z1628" s="80">
        <v>0.0</v>
      </c>
      <c r="AA1628" s="140">
        <v>115.0</v>
      </c>
      <c r="AB1628" s="109">
        <v>46.0</v>
      </c>
      <c r="AC1628" s="109">
        <v>0.0</v>
      </c>
      <c r="AD1628" s="141">
        <v>59.0</v>
      </c>
      <c r="AE1628" s="80">
        <v>220.0</v>
      </c>
      <c r="AF1628" s="140">
        <v>0.0</v>
      </c>
      <c r="AG1628" s="109">
        <v>0.0</v>
      </c>
      <c r="AH1628" s="109">
        <v>0.0</v>
      </c>
      <c r="AI1628" s="141">
        <v>105.0</v>
      </c>
      <c r="AJ1628" s="80">
        <v>105.0</v>
      </c>
      <c r="AK1628" s="140">
        <v>0.0</v>
      </c>
      <c r="AL1628" s="109">
        <v>0.0</v>
      </c>
      <c r="AM1628" s="141">
        <v>0.0</v>
      </c>
      <c r="AN1628" s="80">
        <v>0.0</v>
      </c>
      <c r="AO1628" s="140">
        <v>0.0</v>
      </c>
      <c r="AP1628" s="109">
        <v>0.0</v>
      </c>
      <c r="AQ1628" s="109">
        <v>65.0</v>
      </c>
      <c r="AR1628" s="80">
        <v>65.0</v>
      </c>
      <c r="AS1628" s="110">
        <v>0.0</v>
      </c>
      <c r="AT1628" s="110">
        <v>0.0</v>
      </c>
      <c r="AU1628" s="110">
        <v>0.0</v>
      </c>
      <c r="AV1628" s="142">
        <v>0.0</v>
      </c>
      <c r="AW1628" s="80">
        <v>0.0</v>
      </c>
      <c r="AX1628" s="113">
        <v>390.0</v>
      </c>
      <c r="AY1628" s="117">
        <v>325.0</v>
      </c>
      <c r="AZ1628" s="328">
        <v>65.0</v>
      </c>
      <c r="BA1628" s="315">
        <v>0.0</v>
      </c>
      <c r="BB1628" s="316">
        <v>390.0</v>
      </c>
      <c r="BC1628" s="132" t="s">
        <v>178</v>
      </c>
      <c r="BD1628" s="132" t="s">
        <v>178</v>
      </c>
      <c r="BE1628" s="132" t="s">
        <v>178</v>
      </c>
      <c r="BF1628" s="123"/>
      <c r="BG1628" s="83">
        <v>1104260.0</v>
      </c>
      <c r="BH1628" s="112">
        <v>10.0</v>
      </c>
      <c r="BI1628" s="98" t="s">
        <v>155</v>
      </c>
      <c r="BJ1628" s="98" t="str">
        <f t="shared" si="1"/>
        <v>INTEGRAL</v>
      </c>
      <c r="BK1628" s="98" t="str">
        <f t="shared" si="2"/>
        <v>NÃO</v>
      </c>
    </row>
    <row r="1629" ht="15.75" customHeight="1">
      <c r="A1629" s="111" t="s">
        <v>1785</v>
      </c>
      <c r="B1629" s="83" t="s">
        <v>1994</v>
      </c>
      <c r="C1629" s="83" t="s">
        <v>68</v>
      </c>
      <c r="D1629" s="83">
        <v>1102151.0</v>
      </c>
      <c r="E1629" s="83"/>
      <c r="F1629" s="83">
        <v>2.9182697E7</v>
      </c>
      <c r="G1629" s="114" t="s">
        <v>8838</v>
      </c>
      <c r="H1629" s="91" t="s">
        <v>8839</v>
      </c>
      <c r="I1629" s="187" t="s">
        <v>8840</v>
      </c>
      <c r="J1629" s="83" t="s">
        <v>150</v>
      </c>
      <c r="K1629" s="83" t="s">
        <v>151</v>
      </c>
      <c r="L1629" s="83" t="s">
        <v>230</v>
      </c>
      <c r="M1629" s="82" t="s">
        <v>13253</v>
      </c>
      <c r="N1629" s="82" t="s">
        <v>13254</v>
      </c>
      <c r="O1629" s="82" t="s">
        <v>13255</v>
      </c>
      <c r="P1629" s="82" t="s">
        <v>13256</v>
      </c>
      <c r="Q1629" s="82" t="s">
        <v>13257</v>
      </c>
      <c r="R1629" s="82" t="s">
        <v>13258</v>
      </c>
      <c r="S1629" s="82" t="s">
        <v>13259</v>
      </c>
      <c r="T1629" s="138">
        <v>20.0</v>
      </c>
      <c r="U1629" s="341">
        <v>20.0</v>
      </c>
      <c r="V1629" s="106">
        <v>0.0</v>
      </c>
      <c r="W1629" s="107">
        <v>0.0</v>
      </c>
      <c r="X1629" s="107">
        <v>0.0</v>
      </c>
      <c r="Y1629" s="107">
        <v>0.0</v>
      </c>
      <c r="Z1629" s="80">
        <v>0.0</v>
      </c>
      <c r="AA1629" s="140">
        <v>0.0</v>
      </c>
      <c r="AB1629" s="109">
        <v>495.0</v>
      </c>
      <c r="AC1629" s="109">
        <v>0.0</v>
      </c>
      <c r="AD1629" s="141">
        <v>0.0</v>
      </c>
      <c r="AE1629" s="80">
        <v>495.0</v>
      </c>
      <c r="AF1629" s="140">
        <v>687.0</v>
      </c>
      <c r="AG1629" s="109">
        <v>0.0</v>
      </c>
      <c r="AH1629" s="109">
        <v>18.0</v>
      </c>
      <c r="AI1629" s="141">
        <v>0.0</v>
      </c>
      <c r="AJ1629" s="80">
        <v>705.0</v>
      </c>
      <c r="AK1629" s="140">
        <v>0.0</v>
      </c>
      <c r="AL1629" s="109">
        <v>0.0</v>
      </c>
      <c r="AM1629" s="141">
        <v>50.0</v>
      </c>
      <c r="AN1629" s="80">
        <v>50.0</v>
      </c>
      <c r="AO1629" s="140">
        <v>0.0</v>
      </c>
      <c r="AP1629" s="109">
        <v>0.0</v>
      </c>
      <c r="AQ1629" s="109">
        <v>146.0</v>
      </c>
      <c r="AR1629" s="80">
        <v>146.0</v>
      </c>
      <c r="AS1629" s="110">
        <v>54.0</v>
      </c>
      <c r="AT1629" s="110">
        <v>0.0</v>
      </c>
      <c r="AU1629" s="110">
        <v>41.0</v>
      </c>
      <c r="AV1629" s="142">
        <v>0.0</v>
      </c>
      <c r="AW1629" s="80">
        <v>95.0</v>
      </c>
      <c r="AX1629" s="113">
        <v>1491.0</v>
      </c>
      <c r="AY1629" s="117">
        <v>1236.0</v>
      </c>
      <c r="AZ1629" s="328">
        <v>255.0</v>
      </c>
      <c r="BA1629" s="315">
        <v>0.0</v>
      </c>
      <c r="BB1629" s="316">
        <v>1491.0</v>
      </c>
      <c r="BC1629" s="132" t="s">
        <v>178</v>
      </c>
      <c r="BD1629" s="132" t="s">
        <v>178</v>
      </c>
      <c r="BE1629" s="132" t="s">
        <v>178</v>
      </c>
      <c r="BF1629" s="123"/>
      <c r="BG1629" s="83">
        <v>1102151.0</v>
      </c>
      <c r="BH1629" s="112">
        <v>20.0</v>
      </c>
      <c r="BI1629" s="98" t="s">
        <v>155</v>
      </c>
      <c r="BJ1629" s="98" t="str">
        <f t="shared" si="1"/>
        <v>NÃO</v>
      </c>
      <c r="BK1629" s="98" t="str">
        <f t="shared" si="2"/>
        <v>PROFISSIONAL</v>
      </c>
    </row>
    <row r="1630" ht="15.75" customHeight="1">
      <c r="A1630" s="111" t="s">
        <v>1785</v>
      </c>
      <c r="B1630" s="83" t="s">
        <v>1994</v>
      </c>
      <c r="C1630" s="83" t="s">
        <v>68</v>
      </c>
      <c r="D1630" s="83">
        <v>1102011.0</v>
      </c>
      <c r="E1630" s="83"/>
      <c r="F1630" s="83">
        <v>2.919086E7</v>
      </c>
      <c r="G1630" s="114" t="s">
        <v>8847</v>
      </c>
      <c r="H1630" s="91" t="s">
        <v>8848</v>
      </c>
      <c r="I1630" s="187" t="s">
        <v>8183</v>
      </c>
      <c r="J1630" s="83" t="s">
        <v>150</v>
      </c>
      <c r="K1630" s="83" t="s">
        <v>151</v>
      </c>
      <c r="L1630" s="83" t="s">
        <v>76</v>
      </c>
      <c r="M1630" s="82" t="s">
        <v>13260</v>
      </c>
      <c r="N1630" s="82" t="s">
        <v>13261</v>
      </c>
      <c r="O1630" s="82" t="s">
        <v>13262</v>
      </c>
      <c r="P1630" s="82" t="s">
        <v>13263</v>
      </c>
      <c r="Q1630" s="82"/>
      <c r="R1630" s="82"/>
      <c r="S1630" s="82" t="s">
        <v>13264</v>
      </c>
      <c r="T1630" s="138">
        <v>15.0</v>
      </c>
      <c r="U1630" s="341">
        <v>17.0</v>
      </c>
      <c r="V1630" s="106">
        <v>0.0</v>
      </c>
      <c r="W1630" s="107">
        <v>0.0</v>
      </c>
      <c r="X1630" s="107">
        <v>0.0</v>
      </c>
      <c r="Y1630" s="107">
        <v>0.0</v>
      </c>
      <c r="Z1630" s="80">
        <v>0.0</v>
      </c>
      <c r="AA1630" s="140">
        <v>0.0</v>
      </c>
      <c r="AB1630" s="109">
        <v>0.0</v>
      </c>
      <c r="AC1630" s="109">
        <v>0.0</v>
      </c>
      <c r="AD1630" s="141">
        <v>0.0</v>
      </c>
      <c r="AE1630" s="80">
        <v>0.0</v>
      </c>
      <c r="AF1630" s="140">
        <v>330.0</v>
      </c>
      <c r="AG1630" s="109">
        <v>0.0</v>
      </c>
      <c r="AH1630" s="109">
        <v>13.0</v>
      </c>
      <c r="AI1630" s="141">
        <v>0.0</v>
      </c>
      <c r="AJ1630" s="80">
        <v>343.0</v>
      </c>
      <c r="AK1630" s="140">
        <v>0.0</v>
      </c>
      <c r="AL1630" s="109">
        <v>0.0</v>
      </c>
      <c r="AM1630" s="141">
        <v>0.0</v>
      </c>
      <c r="AN1630" s="80">
        <v>0.0</v>
      </c>
      <c r="AO1630" s="140">
        <v>0.0</v>
      </c>
      <c r="AP1630" s="109">
        <v>0.0</v>
      </c>
      <c r="AQ1630" s="109">
        <v>70.0</v>
      </c>
      <c r="AR1630" s="80">
        <v>70.0</v>
      </c>
      <c r="AS1630" s="110">
        <v>0.0</v>
      </c>
      <c r="AT1630" s="110">
        <v>4.0</v>
      </c>
      <c r="AU1630" s="110">
        <v>38.0</v>
      </c>
      <c r="AV1630" s="142">
        <v>0.0</v>
      </c>
      <c r="AW1630" s="80">
        <v>42.0</v>
      </c>
      <c r="AX1630" s="113">
        <v>455.0</v>
      </c>
      <c r="AY1630" s="117">
        <v>334.0</v>
      </c>
      <c r="AZ1630" s="328">
        <v>121.0</v>
      </c>
      <c r="BA1630" s="315">
        <v>2.0</v>
      </c>
      <c r="BB1630" s="316">
        <v>457.0</v>
      </c>
      <c r="BC1630" s="132" t="s">
        <v>178</v>
      </c>
      <c r="BD1630" s="132" t="s">
        <v>178</v>
      </c>
      <c r="BE1630" s="132" t="s">
        <v>178</v>
      </c>
      <c r="BF1630" s="156"/>
      <c r="BG1630" s="83">
        <v>1102011.0</v>
      </c>
      <c r="BH1630" s="112">
        <v>17.0</v>
      </c>
      <c r="BI1630" s="98" t="s">
        <v>155</v>
      </c>
      <c r="BJ1630" s="98" t="str">
        <f t="shared" si="1"/>
        <v>NÃO</v>
      </c>
      <c r="BK1630" s="98" t="str">
        <f t="shared" si="2"/>
        <v>PROFISSIONAL</v>
      </c>
    </row>
    <row r="1631" ht="15.75" customHeight="1">
      <c r="A1631" s="111" t="s">
        <v>1785</v>
      </c>
      <c r="B1631" s="83" t="s">
        <v>1994</v>
      </c>
      <c r="C1631" s="83" t="s">
        <v>68</v>
      </c>
      <c r="D1631" s="83">
        <v>1101937.0</v>
      </c>
      <c r="E1631" s="83"/>
      <c r="F1631" s="83">
        <v>2.9190851E7</v>
      </c>
      <c r="G1631" s="114" t="s">
        <v>13265</v>
      </c>
      <c r="H1631" s="91" t="s">
        <v>8857</v>
      </c>
      <c r="I1631" s="187" t="s">
        <v>8143</v>
      </c>
      <c r="J1631" s="83" t="s">
        <v>150</v>
      </c>
      <c r="K1631" s="83" t="s">
        <v>151</v>
      </c>
      <c r="L1631" s="83" t="s">
        <v>152</v>
      </c>
      <c r="M1631" s="82" t="s">
        <v>13266</v>
      </c>
      <c r="N1631" s="82" t="s">
        <v>13267</v>
      </c>
      <c r="O1631" s="82" t="s">
        <v>13268</v>
      </c>
      <c r="P1631" s="82" t="s">
        <v>13269</v>
      </c>
      <c r="Q1631" s="82" t="s">
        <v>13270</v>
      </c>
      <c r="R1631" s="82" t="s">
        <v>13271</v>
      </c>
      <c r="S1631" s="82" t="s">
        <v>13272</v>
      </c>
      <c r="T1631" s="138">
        <v>14.0</v>
      </c>
      <c r="U1631" s="340">
        <v>14.0</v>
      </c>
      <c r="V1631" s="106">
        <v>0.0</v>
      </c>
      <c r="W1631" s="107">
        <v>0.0</v>
      </c>
      <c r="X1631" s="107">
        <v>0.0</v>
      </c>
      <c r="Y1631" s="107">
        <v>0.0</v>
      </c>
      <c r="Z1631" s="80">
        <v>0.0</v>
      </c>
      <c r="AA1631" s="140">
        <v>0.0</v>
      </c>
      <c r="AB1631" s="109">
        <v>0.0</v>
      </c>
      <c r="AC1631" s="109">
        <v>0.0</v>
      </c>
      <c r="AD1631" s="141">
        <v>0.0</v>
      </c>
      <c r="AE1631" s="80">
        <v>0.0</v>
      </c>
      <c r="AF1631" s="140">
        <v>190.0</v>
      </c>
      <c r="AG1631" s="109">
        <v>29.0</v>
      </c>
      <c r="AH1631" s="109">
        <v>0.0</v>
      </c>
      <c r="AI1631" s="141">
        <v>24.0</v>
      </c>
      <c r="AJ1631" s="80">
        <v>243.0</v>
      </c>
      <c r="AK1631" s="140">
        <v>0.0</v>
      </c>
      <c r="AL1631" s="109">
        <v>0.0</v>
      </c>
      <c r="AM1631" s="141">
        <v>0.0</v>
      </c>
      <c r="AN1631" s="80">
        <v>0.0</v>
      </c>
      <c r="AO1631" s="140">
        <v>0.0</v>
      </c>
      <c r="AP1631" s="109">
        <v>0.0</v>
      </c>
      <c r="AQ1631" s="109">
        <v>45.0</v>
      </c>
      <c r="AR1631" s="80">
        <v>45.0</v>
      </c>
      <c r="AS1631" s="110">
        <v>0.0</v>
      </c>
      <c r="AT1631" s="110">
        <v>0.0</v>
      </c>
      <c r="AU1631" s="110">
        <v>0.0</v>
      </c>
      <c r="AV1631" s="142">
        <v>0.0</v>
      </c>
      <c r="AW1631" s="80">
        <v>0.0</v>
      </c>
      <c r="AX1631" s="113">
        <v>288.0</v>
      </c>
      <c r="AY1631" s="117">
        <v>243.0</v>
      </c>
      <c r="AZ1631" s="328">
        <v>45.0</v>
      </c>
      <c r="BA1631" s="315">
        <v>0.0</v>
      </c>
      <c r="BB1631" s="316">
        <v>288.0</v>
      </c>
      <c r="BC1631" s="132" t="s">
        <v>178</v>
      </c>
      <c r="BD1631" s="132" t="s">
        <v>178</v>
      </c>
      <c r="BE1631" s="132" t="s">
        <v>178</v>
      </c>
      <c r="BF1631" s="123"/>
      <c r="BG1631" s="83">
        <v>1101937.0</v>
      </c>
      <c r="BH1631" s="112">
        <v>14.0</v>
      </c>
      <c r="BI1631" s="98" t="s">
        <v>155</v>
      </c>
      <c r="BJ1631" s="98" t="str">
        <f t="shared" si="1"/>
        <v>INTEGRAL</v>
      </c>
      <c r="BK1631" s="98" t="str">
        <f t="shared" si="2"/>
        <v>NÃO</v>
      </c>
    </row>
    <row r="1632" ht="15.75" customHeight="1">
      <c r="A1632" s="111" t="s">
        <v>1785</v>
      </c>
      <c r="B1632" s="83" t="s">
        <v>1994</v>
      </c>
      <c r="C1632" s="83" t="s">
        <v>68</v>
      </c>
      <c r="D1632" s="83">
        <v>1176079.0</v>
      </c>
      <c r="E1632" s="83"/>
      <c r="F1632" s="83">
        <v>2.9192188E7</v>
      </c>
      <c r="G1632" s="114" t="s">
        <v>8859</v>
      </c>
      <c r="H1632" s="91" t="s">
        <v>8860</v>
      </c>
      <c r="I1632" s="187" t="s">
        <v>8347</v>
      </c>
      <c r="J1632" s="83" t="s">
        <v>150</v>
      </c>
      <c r="K1632" s="83" t="s">
        <v>151</v>
      </c>
      <c r="L1632" s="83" t="s">
        <v>76</v>
      </c>
      <c r="M1632" s="82" t="s">
        <v>13273</v>
      </c>
      <c r="N1632" s="82" t="s">
        <v>13274</v>
      </c>
      <c r="O1632" s="82" t="s">
        <v>13275</v>
      </c>
      <c r="P1632" s="82" t="s">
        <v>13276</v>
      </c>
      <c r="Q1632" s="82"/>
      <c r="R1632" s="82"/>
      <c r="S1632" s="82" t="s">
        <v>13277</v>
      </c>
      <c r="T1632" s="138">
        <v>7.0</v>
      </c>
      <c r="U1632" s="341">
        <v>7.0</v>
      </c>
      <c r="V1632" s="106">
        <v>0.0</v>
      </c>
      <c r="W1632" s="107">
        <v>0.0</v>
      </c>
      <c r="X1632" s="107">
        <v>0.0</v>
      </c>
      <c r="Y1632" s="107">
        <v>0.0</v>
      </c>
      <c r="Z1632" s="80">
        <v>0.0</v>
      </c>
      <c r="AA1632" s="140">
        <v>0.0</v>
      </c>
      <c r="AB1632" s="109">
        <v>0.0</v>
      </c>
      <c r="AC1632" s="109">
        <v>0.0</v>
      </c>
      <c r="AD1632" s="141">
        <v>0.0</v>
      </c>
      <c r="AE1632" s="80">
        <v>0.0</v>
      </c>
      <c r="AF1632" s="140">
        <v>109.0</v>
      </c>
      <c r="AG1632" s="109">
        <v>98.0</v>
      </c>
      <c r="AH1632" s="109">
        <v>0.0</v>
      </c>
      <c r="AI1632" s="141">
        <v>27.0</v>
      </c>
      <c r="AJ1632" s="80">
        <v>234.0</v>
      </c>
      <c r="AK1632" s="140">
        <v>0.0</v>
      </c>
      <c r="AL1632" s="109">
        <v>0.0</v>
      </c>
      <c r="AM1632" s="141">
        <v>0.0</v>
      </c>
      <c r="AN1632" s="80">
        <v>0.0</v>
      </c>
      <c r="AO1632" s="140">
        <v>0.0</v>
      </c>
      <c r="AP1632" s="109">
        <v>0.0</v>
      </c>
      <c r="AQ1632" s="109">
        <v>67.0</v>
      </c>
      <c r="AR1632" s="80">
        <v>67.0</v>
      </c>
      <c r="AS1632" s="110">
        <v>0.0</v>
      </c>
      <c r="AT1632" s="110">
        <v>0.0</v>
      </c>
      <c r="AU1632" s="110">
        <v>0.0</v>
      </c>
      <c r="AV1632" s="142">
        <v>0.0</v>
      </c>
      <c r="AW1632" s="80">
        <v>0.0</v>
      </c>
      <c r="AX1632" s="113">
        <v>301.0</v>
      </c>
      <c r="AY1632" s="117">
        <v>234.0</v>
      </c>
      <c r="AZ1632" s="328">
        <v>67.0</v>
      </c>
      <c r="BA1632" s="315">
        <v>0.0</v>
      </c>
      <c r="BB1632" s="316">
        <v>301.0</v>
      </c>
      <c r="BC1632" s="132" t="s">
        <v>178</v>
      </c>
      <c r="BD1632" s="132" t="s">
        <v>178</v>
      </c>
      <c r="BE1632" s="132" t="s">
        <v>178</v>
      </c>
      <c r="BF1632" s="123"/>
      <c r="BG1632" s="83">
        <v>1176079.0</v>
      </c>
      <c r="BH1632" s="112">
        <v>7.0</v>
      </c>
      <c r="BI1632" s="98" t="s">
        <v>155</v>
      </c>
      <c r="BJ1632" s="98" t="str">
        <f t="shared" si="1"/>
        <v>INTEGRAL</v>
      </c>
      <c r="BK1632" s="98" t="str">
        <f t="shared" si="2"/>
        <v>NÃO</v>
      </c>
    </row>
    <row r="1633" ht="15.75" customHeight="1">
      <c r="A1633" s="111" t="s">
        <v>1785</v>
      </c>
      <c r="B1633" s="83" t="s">
        <v>1994</v>
      </c>
      <c r="C1633" s="83" t="s">
        <v>68</v>
      </c>
      <c r="D1633" s="83">
        <v>1101074.0</v>
      </c>
      <c r="E1633" s="83"/>
      <c r="F1633" s="83">
        <v>2.9190835E7</v>
      </c>
      <c r="G1633" s="114" t="s">
        <v>8865</v>
      </c>
      <c r="H1633" s="91" t="s">
        <v>8867</v>
      </c>
      <c r="I1633" s="114" t="s">
        <v>8868</v>
      </c>
      <c r="J1633" s="83" t="s">
        <v>150</v>
      </c>
      <c r="K1633" s="83" t="s">
        <v>151</v>
      </c>
      <c r="L1633" s="83" t="s">
        <v>152</v>
      </c>
      <c r="M1633" s="82" t="s">
        <v>13278</v>
      </c>
      <c r="N1633" s="82" t="s">
        <v>13279</v>
      </c>
      <c r="O1633" s="82"/>
      <c r="P1633" s="82"/>
      <c r="Q1633" s="82"/>
      <c r="R1633" s="82"/>
      <c r="S1633" s="82" t="s">
        <v>13280</v>
      </c>
      <c r="T1633" s="138">
        <v>13.0</v>
      </c>
      <c r="U1633" s="341">
        <v>14.0</v>
      </c>
      <c r="V1633" s="106">
        <v>0.0</v>
      </c>
      <c r="W1633" s="107">
        <v>0.0</v>
      </c>
      <c r="X1633" s="107">
        <v>0.0</v>
      </c>
      <c r="Y1633" s="107">
        <v>0.0</v>
      </c>
      <c r="Z1633" s="80">
        <v>0.0</v>
      </c>
      <c r="AA1633" s="140">
        <v>70.0</v>
      </c>
      <c r="AB1633" s="109">
        <v>212.0</v>
      </c>
      <c r="AC1633" s="109">
        <v>0.0</v>
      </c>
      <c r="AD1633" s="141">
        <v>0.0</v>
      </c>
      <c r="AE1633" s="80">
        <v>282.0</v>
      </c>
      <c r="AF1633" s="140">
        <v>321.0</v>
      </c>
      <c r="AG1633" s="109">
        <v>92.0</v>
      </c>
      <c r="AH1633" s="109">
        <v>0.0</v>
      </c>
      <c r="AI1633" s="141">
        <v>0.0</v>
      </c>
      <c r="AJ1633" s="80">
        <v>413.0</v>
      </c>
      <c r="AK1633" s="140">
        <v>0.0</v>
      </c>
      <c r="AL1633" s="109">
        <v>0.0</v>
      </c>
      <c r="AM1633" s="141">
        <v>7.0</v>
      </c>
      <c r="AN1633" s="80">
        <v>7.0</v>
      </c>
      <c r="AO1633" s="140">
        <v>0.0</v>
      </c>
      <c r="AP1633" s="109">
        <v>0.0</v>
      </c>
      <c r="AQ1633" s="109">
        <v>95.0</v>
      </c>
      <c r="AR1633" s="80">
        <v>95.0</v>
      </c>
      <c r="AS1633" s="110">
        <v>0.0</v>
      </c>
      <c r="AT1633" s="110">
        <v>0.0</v>
      </c>
      <c r="AU1633" s="110">
        <v>0.0</v>
      </c>
      <c r="AV1633" s="142">
        <v>0.0</v>
      </c>
      <c r="AW1633" s="80">
        <v>0.0</v>
      </c>
      <c r="AX1633" s="113">
        <v>797.0</v>
      </c>
      <c r="AY1633" s="117">
        <v>695.0</v>
      </c>
      <c r="AZ1633" s="328">
        <v>102.0</v>
      </c>
      <c r="BA1633" s="315">
        <v>0.0</v>
      </c>
      <c r="BB1633" s="316">
        <v>797.0</v>
      </c>
      <c r="BC1633" s="132" t="s">
        <v>178</v>
      </c>
      <c r="BD1633" s="132" t="s">
        <v>178</v>
      </c>
      <c r="BE1633" s="132" t="s">
        <v>178</v>
      </c>
      <c r="BF1633" s="123"/>
      <c r="BG1633" s="83">
        <v>1101074.0</v>
      </c>
      <c r="BH1633" s="112">
        <v>14.0</v>
      </c>
      <c r="BI1633" s="98" t="s">
        <v>155</v>
      </c>
      <c r="BJ1633" s="98" t="str">
        <f t="shared" si="1"/>
        <v>NÃO</v>
      </c>
      <c r="BK1633" s="98" t="str">
        <f t="shared" si="2"/>
        <v>NÃO</v>
      </c>
    </row>
    <row r="1634" ht="15.75" customHeight="1">
      <c r="A1634" s="111" t="s">
        <v>1785</v>
      </c>
      <c r="B1634" s="83" t="s">
        <v>1994</v>
      </c>
      <c r="C1634" s="83" t="s">
        <v>68</v>
      </c>
      <c r="D1634" s="83">
        <v>1145829.0</v>
      </c>
      <c r="E1634" s="83"/>
      <c r="F1634" s="83">
        <v>2.919127E7</v>
      </c>
      <c r="G1634" s="114" t="s">
        <v>8871</v>
      </c>
      <c r="H1634" s="91" t="s">
        <v>8872</v>
      </c>
      <c r="I1634" s="114" t="s">
        <v>8609</v>
      </c>
      <c r="J1634" s="83" t="s">
        <v>150</v>
      </c>
      <c r="K1634" s="83" t="s">
        <v>151</v>
      </c>
      <c r="L1634" s="83" t="s">
        <v>152</v>
      </c>
      <c r="M1634" s="82" t="s">
        <v>13282</v>
      </c>
      <c r="N1634" s="82" t="s">
        <v>13283</v>
      </c>
      <c r="O1634" s="82" t="s">
        <v>13284</v>
      </c>
      <c r="P1634" s="82" t="s">
        <v>13285</v>
      </c>
      <c r="Q1634" s="82"/>
      <c r="R1634" s="82"/>
      <c r="S1634" s="82" t="s">
        <v>13286</v>
      </c>
      <c r="T1634" s="138">
        <v>13.0</v>
      </c>
      <c r="U1634" s="341" t="s">
        <v>13287</v>
      </c>
      <c r="V1634" s="106">
        <v>0.0</v>
      </c>
      <c r="W1634" s="107">
        <v>0.0</v>
      </c>
      <c r="X1634" s="107">
        <v>0.0</v>
      </c>
      <c r="Y1634" s="107">
        <v>0.0</v>
      </c>
      <c r="Z1634" s="80">
        <v>0.0</v>
      </c>
      <c r="AA1634" s="140">
        <v>364.0</v>
      </c>
      <c r="AB1634" s="109">
        <v>362.0</v>
      </c>
      <c r="AC1634" s="109">
        <v>0.0</v>
      </c>
      <c r="AD1634" s="141">
        <v>0.0</v>
      </c>
      <c r="AE1634" s="80">
        <v>726.0</v>
      </c>
      <c r="AF1634" s="140">
        <v>0.0</v>
      </c>
      <c r="AG1634" s="109">
        <v>0.0</v>
      </c>
      <c r="AH1634" s="109">
        <v>30.0</v>
      </c>
      <c r="AI1634" s="141">
        <v>0.0</v>
      </c>
      <c r="AJ1634" s="80">
        <v>30.0</v>
      </c>
      <c r="AK1634" s="140">
        <v>0.0</v>
      </c>
      <c r="AL1634" s="109">
        <v>0.0</v>
      </c>
      <c r="AM1634" s="141">
        <v>0.0</v>
      </c>
      <c r="AN1634" s="80">
        <v>0.0</v>
      </c>
      <c r="AO1634" s="140">
        <v>0.0</v>
      </c>
      <c r="AP1634" s="109">
        <v>0.0</v>
      </c>
      <c r="AQ1634" s="109">
        <v>63.0</v>
      </c>
      <c r="AR1634" s="80">
        <v>63.0</v>
      </c>
      <c r="AS1634" s="110">
        <v>0.0</v>
      </c>
      <c r="AT1634" s="110">
        <v>0.0</v>
      </c>
      <c r="AU1634" s="110">
        <v>0.0</v>
      </c>
      <c r="AV1634" s="142">
        <v>0.0</v>
      </c>
      <c r="AW1634" s="80">
        <v>0.0</v>
      </c>
      <c r="AX1634" s="113">
        <v>819.0</v>
      </c>
      <c r="AY1634" s="117">
        <v>726.0</v>
      </c>
      <c r="AZ1634" s="328">
        <v>93.0</v>
      </c>
      <c r="BA1634" s="315">
        <v>0.0</v>
      </c>
      <c r="BB1634" s="316">
        <v>819.0</v>
      </c>
      <c r="BC1634" s="132" t="s">
        <v>178</v>
      </c>
      <c r="BD1634" s="132" t="s">
        <v>178</v>
      </c>
      <c r="BE1634" s="132" t="s">
        <v>178</v>
      </c>
      <c r="BF1634" s="123"/>
      <c r="BG1634" s="83">
        <v>1145829.0</v>
      </c>
      <c r="BH1634" s="112">
        <v>13.0</v>
      </c>
      <c r="BI1634" s="98" t="s">
        <v>155</v>
      </c>
      <c r="BJ1634" s="98" t="str">
        <f t="shared" si="1"/>
        <v>NÃO</v>
      </c>
      <c r="BK1634" s="98" t="str">
        <f t="shared" si="2"/>
        <v>NÃO</v>
      </c>
    </row>
    <row r="1635" ht="15.75" customHeight="1">
      <c r="A1635" s="111" t="s">
        <v>1785</v>
      </c>
      <c r="B1635" s="83" t="s">
        <v>1994</v>
      </c>
      <c r="C1635" s="83" t="s">
        <v>68</v>
      </c>
      <c r="D1635" s="83">
        <v>1142463.0</v>
      </c>
      <c r="E1635" s="83"/>
      <c r="F1635" s="83">
        <v>2.9191335E7</v>
      </c>
      <c r="G1635" s="114" t="s">
        <v>13288</v>
      </c>
      <c r="H1635" s="91" t="s">
        <v>8779</v>
      </c>
      <c r="I1635" s="114" t="s">
        <v>8191</v>
      </c>
      <c r="J1635" s="83" t="s">
        <v>150</v>
      </c>
      <c r="K1635" s="83" t="s">
        <v>151</v>
      </c>
      <c r="L1635" s="83" t="s">
        <v>76</v>
      </c>
      <c r="M1635" s="82" t="s">
        <v>13289</v>
      </c>
      <c r="N1635" s="82" t="s">
        <v>13290</v>
      </c>
      <c r="O1635" s="82" t="s">
        <v>13291</v>
      </c>
      <c r="P1635" s="82" t="s">
        <v>13292</v>
      </c>
      <c r="Q1635" s="82"/>
      <c r="R1635" s="82"/>
      <c r="S1635" s="82" t="s">
        <v>13293</v>
      </c>
      <c r="T1635" s="138">
        <v>9.0</v>
      </c>
      <c r="U1635" s="341">
        <v>9.0</v>
      </c>
      <c r="V1635" s="106">
        <v>0.0</v>
      </c>
      <c r="W1635" s="107">
        <v>0.0</v>
      </c>
      <c r="X1635" s="107">
        <v>0.0</v>
      </c>
      <c r="Y1635" s="107">
        <v>0.0</v>
      </c>
      <c r="Z1635" s="80">
        <v>0.0</v>
      </c>
      <c r="AA1635" s="140">
        <v>136.0</v>
      </c>
      <c r="AB1635" s="109">
        <v>101.0</v>
      </c>
      <c r="AC1635" s="109">
        <v>0.0</v>
      </c>
      <c r="AD1635" s="141">
        <v>116.0</v>
      </c>
      <c r="AE1635" s="80">
        <v>353.0</v>
      </c>
      <c r="AF1635" s="140">
        <v>0.0</v>
      </c>
      <c r="AG1635" s="109">
        <v>0.0</v>
      </c>
      <c r="AH1635" s="109">
        <v>0.0</v>
      </c>
      <c r="AI1635" s="141">
        <v>0.0</v>
      </c>
      <c r="AJ1635" s="80">
        <v>0.0</v>
      </c>
      <c r="AK1635" s="140">
        <v>0.0</v>
      </c>
      <c r="AL1635" s="109">
        <v>0.0</v>
      </c>
      <c r="AM1635" s="141">
        <v>0.0</v>
      </c>
      <c r="AN1635" s="80">
        <v>0.0</v>
      </c>
      <c r="AO1635" s="140">
        <v>0.0</v>
      </c>
      <c r="AP1635" s="109">
        <v>0.0</v>
      </c>
      <c r="AQ1635" s="109">
        <v>0.0</v>
      </c>
      <c r="AR1635" s="80">
        <v>0.0</v>
      </c>
      <c r="AS1635" s="110">
        <v>0.0</v>
      </c>
      <c r="AT1635" s="110">
        <v>0.0</v>
      </c>
      <c r="AU1635" s="110">
        <v>0.0</v>
      </c>
      <c r="AV1635" s="142">
        <v>0.0</v>
      </c>
      <c r="AW1635" s="80">
        <v>0.0</v>
      </c>
      <c r="AX1635" s="113">
        <v>353.0</v>
      </c>
      <c r="AY1635" s="117">
        <v>353.0</v>
      </c>
      <c r="AZ1635" s="328">
        <v>0.0</v>
      </c>
      <c r="BA1635" s="315">
        <v>0.0</v>
      </c>
      <c r="BB1635" s="316">
        <v>353.0</v>
      </c>
      <c r="BC1635" s="132" t="s">
        <v>178</v>
      </c>
      <c r="BD1635" s="132" t="s">
        <v>178</v>
      </c>
      <c r="BE1635" s="132" t="s">
        <v>178</v>
      </c>
      <c r="BF1635" s="123"/>
      <c r="BG1635" s="83">
        <v>1142463.0</v>
      </c>
      <c r="BH1635" s="112">
        <v>9.0</v>
      </c>
      <c r="BI1635" s="98" t="s">
        <v>155</v>
      </c>
      <c r="BJ1635" s="98" t="str">
        <f t="shared" si="1"/>
        <v>INTEGRAL</v>
      </c>
      <c r="BK1635" s="98" t="str">
        <f t="shared" si="2"/>
        <v>NÃO</v>
      </c>
    </row>
    <row r="1636" ht="15.75" customHeight="1">
      <c r="A1636" s="111" t="s">
        <v>1785</v>
      </c>
      <c r="B1636" s="83" t="s">
        <v>1994</v>
      </c>
      <c r="C1636" s="83" t="s">
        <v>68</v>
      </c>
      <c r="D1636" s="83">
        <v>1101031.0</v>
      </c>
      <c r="E1636" s="83"/>
      <c r="F1636" s="83">
        <v>2.9182093E7</v>
      </c>
      <c r="G1636" s="114" t="s">
        <v>13294</v>
      </c>
      <c r="H1636" s="91" t="s">
        <v>8875</v>
      </c>
      <c r="I1636" s="114" t="s">
        <v>8876</v>
      </c>
      <c r="J1636" s="83" t="s">
        <v>150</v>
      </c>
      <c r="K1636" s="83" t="s">
        <v>151</v>
      </c>
      <c r="L1636" s="83" t="s">
        <v>76</v>
      </c>
      <c r="M1636" s="82" t="s">
        <v>13295</v>
      </c>
      <c r="N1636" s="82" t="s">
        <v>13296</v>
      </c>
      <c r="O1636" s="82" t="s">
        <v>13297</v>
      </c>
      <c r="P1636" s="82" t="s">
        <v>13298</v>
      </c>
      <c r="Q1636" s="82"/>
      <c r="R1636" s="82"/>
      <c r="S1636" s="82" t="s">
        <v>13299</v>
      </c>
      <c r="T1636" s="138">
        <v>9.0</v>
      </c>
      <c r="U1636" s="341">
        <v>24.0</v>
      </c>
      <c r="V1636" s="106">
        <v>0.0</v>
      </c>
      <c r="W1636" s="107">
        <v>0.0</v>
      </c>
      <c r="X1636" s="107">
        <v>0.0</v>
      </c>
      <c r="Y1636" s="107">
        <v>0.0</v>
      </c>
      <c r="Z1636" s="80">
        <v>0.0</v>
      </c>
      <c r="AA1636" s="140">
        <v>74.0</v>
      </c>
      <c r="AB1636" s="109">
        <v>52.0</v>
      </c>
      <c r="AC1636" s="109">
        <v>0.0</v>
      </c>
      <c r="AD1636" s="141">
        <v>0.0</v>
      </c>
      <c r="AE1636" s="80">
        <v>126.0</v>
      </c>
      <c r="AF1636" s="140">
        <v>0.0</v>
      </c>
      <c r="AG1636" s="109">
        <v>0.0</v>
      </c>
      <c r="AH1636" s="109">
        <v>0.0</v>
      </c>
      <c r="AI1636" s="141">
        <v>0.0</v>
      </c>
      <c r="AJ1636" s="80">
        <v>0.0</v>
      </c>
      <c r="AK1636" s="140">
        <v>0.0</v>
      </c>
      <c r="AL1636" s="109">
        <v>0.0</v>
      </c>
      <c r="AM1636" s="141">
        <v>32.0</v>
      </c>
      <c r="AN1636" s="80">
        <v>32.0</v>
      </c>
      <c r="AO1636" s="140">
        <v>0.0</v>
      </c>
      <c r="AP1636" s="109">
        <v>0.0</v>
      </c>
      <c r="AQ1636" s="109">
        <v>0.0</v>
      </c>
      <c r="AR1636" s="80">
        <v>0.0</v>
      </c>
      <c r="AS1636" s="110">
        <v>0.0</v>
      </c>
      <c r="AT1636" s="110">
        <v>0.0</v>
      </c>
      <c r="AU1636" s="110">
        <v>51.0</v>
      </c>
      <c r="AV1636" s="142">
        <v>0.0</v>
      </c>
      <c r="AW1636" s="80">
        <v>51.0</v>
      </c>
      <c r="AX1636" s="113">
        <v>209.0</v>
      </c>
      <c r="AY1636" s="117">
        <v>126.0</v>
      </c>
      <c r="AZ1636" s="328">
        <v>83.0</v>
      </c>
      <c r="BA1636" s="315">
        <v>0.0</v>
      </c>
      <c r="BB1636" s="316">
        <v>209.0</v>
      </c>
      <c r="BC1636" s="132" t="s">
        <v>178</v>
      </c>
      <c r="BD1636" s="132" t="s">
        <v>178</v>
      </c>
      <c r="BE1636" s="132" t="s">
        <v>178</v>
      </c>
      <c r="BF1636" s="123"/>
      <c r="BG1636" s="83">
        <v>1101031.0</v>
      </c>
      <c r="BH1636" s="112">
        <v>24.0</v>
      </c>
      <c r="BI1636" s="98" t="s">
        <v>155</v>
      </c>
      <c r="BJ1636" s="98" t="str">
        <f t="shared" si="1"/>
        <v>NÃO</v>
      </c>
      <c r="BK1636" s="98" t="str">
        <f t="shared" si="2"/>
        <v>PROFISSIONAL</v>
      </c>
    </row>
    <row r="1637" ht="15.75" customHeight="1">
      <c r="A1637" s="111" t="s">
        <v>1785</v>
      </c>
      <c r="B1637" s="83" t="s">
        <v>1994</v>
      </c>
      <c r="C1637" s="83" t="s">
        <v>68</v>
      </c>
      <c r="D1637" s="83">
        <v>1100388.0</v>
      </c>
      <c r="E1637" s="83"/>
      <c r="F1637" s="83">
        <v>2.9189454E7</v>
      </c>
      <c r="G1637" s="114" t="s">
        <v>13301</v>
      </c>
      <c r="H1637" s="91" t="s">
        <v>8879</v>
      </c>
      <c r="I1637" s="114" t="s">
        <v>8391</v>
      </c>
      <c r="J1637" s="83" t="s">
        <v>150</v>
      </c>
      <c r="K1637" s="83" t="s">
        <v>151</v>
      </c>
      <c r="L1637" s="83" t="s">
        <v>152</v>
      </c>
      <c r="M1637" s="82" t="s">
        <v>13302</v>
      </c>
      <c r="N1637" s="82" t="s">
        <v>13303</v>
      </c>
      <c r="O1637" s="82" t="s">
        <v>13304</v>
      </c>
      <c r="P1637" s="82" t="s">
        <v>13305</v>
      </c>
      <c r="Q1637" s="82" t="s">
        <v>13306</v>
      </c>
      <c r="R1637" s="82" t="s">
        <v>13307</v>
      </c>
      <c r="S1637" s="82"/>
      <c r="T1637" s="138">
        <v>14.0</v>
      </c>
      <c r="U1637" s="341">
        <v>12.0</v>
      </c>
      <c r="V1637" s="106">
        <v>0.0</v>
      </c>
      <c r="W1637" s="107">
        <v>0.0</v>
      </c>
      <c r="X1637" s="107">
        <v>0.0</v>
      </c>
      <c r="Y1637" s="107">
        <v>0.0</v>
      </c>
      <c r="Z1637" s="80">
        <v>0.0</v>
      </c>
      <c r="AA1637" s="140">
        <v>16.0</v>
      </c>
      <c r="AB1637" s="109">
        <v>283.0</v>
      </c>
      <c r="AC1637" s="109">
        <v>0.0</v>
      </c>
      <c r="AD1637" s="141">
        <v>0.0</v>
      </c>
      <c r="AE1637" s="80">
        <v>299.0</v>
      </c>
      <c r="AF1637" s="140">
        <v>262.0</v>
      </c>
      <c r="AG1637" s="109">
        <v>29.0</v>
      </c>
      <c r="AH1637" s="109">
        <v>22.0</v>
      </c>
      <c r="AI1637" s="141">
        <v>0.0</v>
      </c>
      <c r="AJ1637" s="80">
        <v>313.0</v>
      </c>
      <c r="AK1637" s="140">
        <v>0.0</v>
      </c>
      <c r="AL1637" s="109">
        <v>0.0</v>
      </c>
      <c r="AM1637" s="141">
        <v>0.0</v>
      </c>
      <c r="AN1637" s="80">
        <v>0.0</v>
      </c>
      <c r="AO1637" s="140">
        <v>0.0</v>
      </c>
      <c r="AP1637" s="109">
        <v>0.0</v>
      </c>
      <c r="AQ1637" s="109">
        <v>80.0</v>
      </c>
      <c r="AR1637" s="80">
        <v>80.0</v>
      </c>
      <c r="AS1637" s="110">
        <v>0.0</v>
      </c>
      <c r="AT1637" s="110">
        <v>0.0</v>
      </c>
      <c r="AU1637" s="110">
        <v>0.0</v>
      </c>
      <c r="AV1637" s="142">
        <v>0.0</v>
      </c>
      <c r="AW1637" s="80">
        <v>0.0</v>
      </c>
      <c r="AX1637" s="113">
        <v>692.0</v>
      </c>
      <c r="AY1637" s="117">
        <v>590.0</v>
      </c>
      <c r="AZ1637" s="328">
        <v>102.0</v>
      </c>
      <c r="BA1637" s="315">
        <v>1.0</v>
      </c>
      <c r="BB1637" s="316">
        <v>693.0</v>
      </c>
      <c r="BC1637" s="132" t="s">
        <v>178</v>
      </c>
      <c r="BD1637" s="132" t="s">
        <v>178</v>
      </c>
      <c r="BE1637" s="132" t="s">
        <v>178</v>
      </c>
      <c r="BF1637" s="156"/>
      <c r="BG1637" s="83">
        <v>1100388.0</v>
      </c>
      <c r="BH1637" s="112">
        <v>12.0</v>
      </c>
      <c r="BI1637" s="98" t="s">
        <v>155</v>
      </c>
      <c r="BJ1637" s="98" t="str">
        <f t="shared" si="1"/>
        <v>NÃO</v>
      </c>
      <c r="BK1637" s="98" t="str">
        <f t="shared" si="2"/>
        <v>NÃO</v>
      </c>
    </row>
    <row r="1638" ht="15.75" customHeight="1">
      <c r="A1638" s="111" t="s">
        <v>1785</v>
      </c>
      <c r="B1638" s="83" t="s">
        <v>1994</v>
      </c>
      <c r="C1638" s="83" t="s">
        <v>68</v>
      </c>
      <c r="D1638" s="83">
        <v>1102372.0</v>
      </c>
      <c r="E1638" s="83"/>
      <c r="F1638" s="83">
        <v>2.9188792E7</v>
      </c>
      <c r="G1638" s="114" t="s">
        <v>13308</v>
      </c>
      <c r="H1638" s="91" t="s">
        <v>8882</v>
      </c>
      <c r="I1638" s="114" t="s">
        <v>8883</v>
      </c>
      <c r="J1638" s="83" t="s">
        <v>150</v>
      </c>
      <c r="K1638" s="83" t="s">
        <v>151</v>
      </c>
      <c r="L1638" s="83" t="s">
        <v>152</v>
      </c>
      <c r="M1638" s="82" t="s">
        <v>13309</v>
      </c>
      <c r="N1638" s="82" t="s">
        <v>13310</v>
      </c>
      <c r="O1638" s="82" t="s">
        <v>13311</v>
      </c>
      <c r="P1638" s="82" t="s">
        <v>13312</v>
      </c>
      <c r="Q1638" s="82"/>
      <c r="R1638" s="82"/>
      <c r="S1638" s="82"/>
      <c r="T1638" s="138">
        <v>13.0</v>
      </c>
      <c r="U1638" s="341">
        <v>12.0</v>
      </c>
      <c r="V1638" s="106">
        <v>0.0</v>
      </c>
      <c r="W1638" s="107">
        <v>0.0</v>
      </c>
      <c r="X1638" s="107">
        <v>0.0</v>
      </c>
      <c r="Y1638" s="107">
        <v>0.0</v>
      </c>
      <c r="Z1638" s="80">
        <v>0.0</v>
      </c>
      <c r="AA1638" s="140">
        <v>0.0</v>
      </c>
      <c r="AB1638" s="109">
        <v>0.0</v>
      </c>
      <c r="AC1638" s="109">
        <v>0.0</v>
      </c>
      <c r="AD1638" s="141">
        <v>0.0</v>
      </c>
      <c r="AE1638" s="80">
        <v>0.0</v>
      </c>
      <c r="AF1638" s="140">
        <v>417.0</v>
      </c>
      <c r="AG1638" s="109">
        <v>342.0</v>
      </c>
      <c r="AH1638" s="109">
        <v>40.0</v>
      </c>
      <c r="AI1638" s="141">
        <v>0.0</v>
      </c>
      <c r="AJ1638" s="80">
        <v>799.0</v>
      </c>
      <c r="AK1638" s="140">
        <v>0.0</v>
      </c>
      <c r="AL1638" s="109">
        <v>0.0</v>
      </c>
      <c r="AM1638" s="141">
        <v>0.0</v>
      </c>
      <c r="AN1638" s="80">
        <v>0.0</v>
      </c>
      <c r="AO1638" s="140">
        <v>0.0</v>
      </c>
      <c r="AP1638" s="109">
        <v>0.0</v>
      </c>
      <c r="AQ1638" s="109">
        <v>386.0</v>
      </c>
      <c r="AR1638" s="80">
        <v>386.0</v>
      </c>
      <c r="AS1638" s="110">
        <v>0.0</v>
      </c>
      <c r="AT1638" s="110">
        <v>0.0</v>
      </c>
      <c r="AU1638" s="110">
        <v>0.0</v>
      </c>
      <c r="AV1638" s="142">
        <v>0.0</v>
      </c>
      <c r="AW1638" s="80">
        <v>0.0</v>
      </c>
      <c r="AX1638" s="113">
        <v>1185.0</v>
      </c>
      <c r="AY1638" s="117">
        <v>759.0</v>
      </c>
      <c r="AZ1638" s="328">
        <v>426.0</v>
      </c>
      <c r="BA1638" s="315">
        <v>0.0</v>
      </c>
      <c r="BB1638" s="316">
        <v>1185.0</v>
      </c>
      <c r="BC1638" s="132" t="s">
        <v>178</v>
      </c>
      <c r="BD1638" s="132" t="s">
        <v>178</v>
      </c>
      <c r="BE1638" s="132" t="s">
        <v>178</v>
      </c>
      <c r="BF1638" s="123"/>
      <c r="BG1638" s="83">
        <v>1102372.0</v>
      </c>
      <c r="BH1638" s="112">
        <v>12.0</v>
      </c>
      <c r="BI1638" s="98" t="s">
        <v>155</v>
      </c>
      <c r="BJ1638" s="98" t="str">
        <f t="shared" si="1"/>
        <v>NÃO</v>
      </c>
      <c r="BK1638" s="98" t="str">
        <f t="shared" si="2"/>
        <v>NÃO</v>
      </c>
    </row>
    <row r="1639" ht="15.75" customHeight="1">
      <c r="A1639" s="111" t="s">
        <v>1785</v>
      </c>
      <c r="B1639" s="83" t="s">
        <v>1994</v>
      </c>
      <c r="C1639" s="83" t="s">
        <v>68</v>
      </c>
      <c r="D1639" s="83">
        <v>1100612.0</v>
      </c>
      <c r="E1639" s="83"/>
      <c r="F1639" s="83">
        <v>2.9182034E7</v>
      </c>
      <c r="G1639" s="114" t="s">
        <v>8885</v>
      </c>
      <c r="H1639" s="91" t="s">
        <v>8886</v>
      </c>
      <c r="I1639" s="114" t="s">
        <v>8888</v>
      </c>
      <c r="J1639" s="83" t="s">
        <v>150</v>
      </c>
      <c r="K1639" s="83" t="s">
        <v>151</v>
      </c>
      <c r="L1639" s="83" t="s">
        <v>152</v>
      </c>
      <c r="M1639" s="82" t="s">
        <v>13313</v>
      </c>
      <c r="N1639" s="82" t="s">
        <v>13314</v>
      </c>
      <c r="O1639" s="82" t="s">
        <v>13315</v>
      </c>
      <c r="P1639" s="82" t="s">
        <v>13316</v>
      </c>
      <c r="Q1639" s="82" t="s">
        <v>13317</v>
      </c>
      <c r="R1639" s="82" t="s">
        <v>13318</v>
      </c>
      <c r="S1639" s="82" t="s">
        <v>13319</v>
      </c>
      <c r="T1639" s="138">
        <v>25.0</v>
      </c>
      <c r="U1639" s="387">
        <v>18.0</v>
      </c>
      <c r="V1639" s="106">
        <v>0.0</v>
      </c>
      <c r="W1639" s="107">
        <v>0.0</v>
      </c>
      <c r="X1639" s="107">
        <v>0.0</v>
      </c>
      <c r="Y1639" s="107">
        <v>0.0</v>
      </c>
      <c r="Z1639" s="80">
        <v>0.0</v>
      </c>
      <c r="AA1639" s="140">
        <v>234.0</v>
      </c>
      <c r="AB1639" s="109">
        <v>97.0</v>
      </c>
      <c r="AC1639" s="109">
        <v>0.0</v>
      </c>
      <c r="AD1639" s="141">
        <v>0.0</v>
      </c>
      <c r="AE1639" s="80">
        <v>331.0</v>
      </c>
      <c r="AF1639" s="140">
        <v>205.0</v>
      </c>
      <c r="AG1639" s="109">
        <v>0.0</v>
      </c>
      <c r="AH1639" s="109">
        <v>27.0</v>
      </c>
      <c r="AI1639" s="141">
        <v>0.0</v>
      </c>
      <c r="AJ1639" s="80">
        <v>232.0</v>
      </c>
      <c r="AK1639" s="140">
        <v>0.0</v>
      </c>
      <c r="AL1639" s="109">
        <v>0.0</v>
      </c>
      <c r="AM1639" s="141">
        <v>0.0</v>
      </c>
      <c r="AN1639" s="80">
        <v>0.0</v>
      </c>
      <c r="AO1639" s="140">
        <v>0.0</v>
      </c>
      <c r="AP1639" s="109">
        <v>0.0</v>
      </c>
      <c r="AQ1639" s="109">
        <v>87.0</v>
      </c>
      <c r="AR1639" s="80">
        <v>87.0</v>
      </c>
      <c r="AS1639" s="110">
        <v>0.0</v>
      </c>
      <c r="AT1639" s="110">
        <v>0.0</v>
      </c>
      <c r="AU1639" s="110">
        <v>0.0</v>
      </c>
      <c r="AV1639" s="142">
        <v>0.0</v>
      </c>
      <c r="AW1639" s="80">
        <v>0.0</v>
      </c>
      <c r="AX1639" s="113">
        <v>650.0</v>
      </c>
      <c r="AY1639" s="117">
        <v>536.0</v>
      </c>
      <c r="AZ1639" s="328">
        <v>114.0</v>
      </c>
      <c r="BA1639" s="315">
        <v>0.0</v>
      </c>
      <c r="BB1639" s="316">
        <v>650.0</v>
      </c>
      <c r="BC1639" s="132" t="s">
        <v>178</v>
      </c>
      <c r="BD1639" s="132" t="s">
        <v>178</v>
      </c>
      <c r="BE1639" s="132" t="s">
        <v>178</v>
      </c>
      <c r="BF1639" s="156"/>
      <c r="BG1639" s="83">
        <v>1100612.0</v>
      </c>
      <c r="BH1639" s="112">
        <v>18.0</v>
      </c>
      <c r="BI1639" s="98" t="s">
        <v>155</v>
      </c>
      <c r="BJ1639" s="98" t="str">
        <f t="shared" si="1"/>
        <v>NÃO</v>
      </c>
      <c r="BK1639" s="98" t="str">
        <f t="shared" si="2"/>
        <v>NÃO</v>
      </c>
    </row>
    <row r="1640" ht="15.75" customHeight="1">
      <c r="A1640" s="111" t="s">
        <v>1785</v>
      </c>
      <c r="B1640" s="83" t="s">
        <v>1994</v>
      </c>
      <c r="C1640" s="83" t="s">
        <v>68</v>
      </c>
      <c r="D1640" s="83">
        <v>1100540.0</v>
      </c>
      <c r="E1640" s="83"/>
      <c r="F1640" s="83">
        <v>2.9189241E7</v>
      </c>
      <c r="G1640" s="114" t="s">
        <v>13320</v>
      </c>
      <c r="H1640" s="91" t="s">
        <v>8899</v>
      </c>
      <c r="I1640" s="114" t="s">
        <v>8465</v>
      </c>
      <c r="J1640" s="83" t="s">
        <v>150</v>
      </c>
      <c r="K1640" s="83" t="s">
        <v>151</v>
      </c>
      <c r="L1640" s="83" t="s">
        <v>152</v>
      </c>
      <c r="M1640" s="82" t="s">
        <v>13321</v>
      </c>
      <c r="N1640" s="82" t="s">
        <v>13322</v>
      </c>
      <c r="O1640" s="82" t="s">
        <v>13323</v>
      </c>
      <c r="P1640" s="82" t="s">
        <v>13324</v>
      </c>
      <c r="Q1640" s="82"/>
      <c r="R1640" s="82"/>
      <c r="S1640" s="82" t="s">
        <v>13325</v>
      </c>
      <c r="T1640" s="138">
        <v>14.0</v>
      </c>
      <c r="U1640" s="341">
        <v>14.0</v>
      </c>
      <c r="V1640" s="106">
        <v>0.0</v>
      </c>
      <c r="W1640" s="107">
        <v>0.0</v>
      </c>
      <c r="X1640" s="107">
        <v>0.0</v>
      </c>
      <c r="Y1640" s="107">
        <v>0.0</v>
      </c>
      <c r="Z1640" s="80">
        <v>0.0</v>
      </c>
      <c r="AA1640" s="140">
        <v>203.0</v>
      </c>
      <c r="AB1640" s="109">
        <v>124.0</v>
      </c>
      <c r="AC1640" s="109">
        <v>0.0</v>
      </c>
      <c r="AD1640" s="141">
        <v>0.0</v>
      </c>
      <c r="AE1640" s="80">
        <v>327.0</v>
      </c>
      <c r="AF1640" s="140">
        <v>0.0</v>
      </c>
      <c r="AG1640" s="109">
        <v>0.0</v>
      </c>
      <c r="AH1640" s="109">
        <v>0.0</v>
      </c>
      <c r="AI1640" s="141">
        <v>261.0</v>
      </c>
      <c r="AJ1640" s="80">
        <v>261.0</v>
      </c>
      <c r="AK1640" s="140">
        <v>0.0</v>
      </c>
      <c r="AL1640" s="109">
        <v>0.0</v>
      </c>
      <c r="AM1640" s="141">
        <v>0.0</v>
      </c>
      <c r="AN1640" s="80">
        <v>0.0</v>
      </c>
      <c r="AO1640" s="140">
        <v>0.0</v>
      </c>
      <c r="AP1640" s="109">
        <v>0.0</v>
      </c>
      <c r="AQ1640" s="109">
        <v>0.0</v>
      </c>
      <c r="AR1640" s="80">
        <v>0.0</v>
      </c>
      <c r="AS1640" s="110">
        <v>0.0</v>
      </c>
      <c r="AT1640" s="110">
        <v>0.0</v>
      </c>
      <c r="AU1640" s="110">
        <v>0.0</v>
      </c>
      <c r="AV1640" s="142">
        <v>0.0</v>
      </c>
      <c r="AW1640" s="80">
        <v>0.0</v>
      </c>
      <c r="AX1640" s="113">
        <v>588.0</v>
      </c>
      <c r="AY1640" s="117">
        <v>588.0</v>
      </c>
      <c r="AZ1640" s="328">
        <v>0.0</v>
      </c>
      <c r="BA1640" s="315">
        <v>0.0</v>
      </c>
      <c r="BB1640" s="316">
        <v>588.0</v>
      </c>
      <c r="BC1640" s="132" t="s">
        <v>178</v>
      </c>
      <c r="BD1640" s="132" t="s">
        <v>178</v>
      </c>
      <c r="BE1640" s="132" t="s">
        <v>178</v>
      </c>
      <c r="BF1640" s="156"/>
      <c r="BG1640" s="83">
        <v>1100540.0</v>
      </c>
      <c r="BH1640" s="112">
        <v>14.0</v>
      </c>
      <c r="BI1640" s="98" t="s">
        <v>155</v>
      </c>
      <c r="BJ1640" s="98" t="str">
        <f t="shared" si="1"/>
        <v>INTEGRAL</v>
      </c>
      <c r="BK1640" s="98" t="str">
        <f t="shared" si="2"/>
        <v>NÃO</v>
      </c>
    </row>
    <row r="1641" ht="15.75" customHeight="1">
      <c r="A1641" s="111" t="s">
        <v>1785</v>
      </c>
      <c r="B1641" s="83" t="s">
        <v>1994</v>
      </c>
      <c r="C1641" s="83" t="s">
        <v>68</v>
      </c>
      <c r="D1641" s="83">
        <v>1178157.0</v>
      </c>
      <c r="E1641" s="83"/>
      <c r="F1641" s="83">
        <v>2.9444667E7</v>
      </c>
      <c r="G1641" s="114" t="s">
        <v>13326</v>
      </c>
      <c r="H1641" s="91" t="s">
        <v>8910</v>
      </c>
      <c r="I1641" s="114" t="s">
        <v>8465</v>
      </c>
      <c r="J1641" s="83" t="s">
        <v>150</v>
      </c>
      <c r="K1641" s="83" t="s">
        <v>151</v>
      </c>
      <c r="L1641" s="83" t="s">
        <v>152</v>
      </c>
      <c r="M1641" s="82" t="s">
        <v>13327</v>
      </c>
      <c r="N1641" s="82" t="s">
        <v>13328</v>
      </c>
      <c r="O1641" s="82" t="s">
        <v>13329</v>
      </c>
      <c r="P1641" s="82" t="s">
        <v>13330</v>
      </c>
      <c r="Q1641" s="82" t="s">
        <v>13331</v>
      </c>
      <c r="R1641" s="82" t="s">
        <v>13332</v>
      </c>
      <c r="S1641" s="82" t="s">
        <v>13333</v>
      </c>
      <c r="T1641" s="138">
        <v>11.0</v>
      </c>
      <c r="U1641" s="341">
        <v>10.0</v>
      </c>
      <c r="V1641" s="106">
        <v>0.0</v>
      </c>
      <c r="W1641" s="107">
        <v>0.0</v>
      </c>
      <c r="X1641" s="107">
        <v>0.0</v>
      </c>
      <c r="Y1641" s="107">
        <v>0.0</v>
      </c>
      <c r="Z1641" s="80">
        <v>0.0</v>
      </c>
      <c r="AA1641" s="140">
        <v>74.0</v>
      </c>
      <c r="AB1641" s="109">
        <v>313.0</v>
      </c>
      <c r="AC1641" s="109">
        <v>0.0</v>
      </c>
      <c r="AD1641" s="141">
        <v>0.0</v>
      </c>
      <c r="AE1641" s="80">
        <v>387.0</v>
      </c>
      <c r="AF1641" s="140">
        <v>251.0</v>
      </c>
      <c r="AG1641" s="109">
        <v>0.0</v>
      </c>
      <c r="AH1641" s="109">
        <v>35.0</v>
      </c>
      <c r="AI1641" s="141">
        <v>0.0</v>
      </c>
      <c r="AJ1641" s="80">
        <v>286.0</v>
      </c>
      <c r="AK1641" s="140">
        <v>0.0</v>
      </c>
      <c r="AL1641" s="109">
        <v>0.0</v>
      </c>
      <c r="AM1641" s="141">
        <v>0.0</v>
      </c>
      <c r="AN1641" s="80">
        <v>0.0</v>
      </c>
      <c r="AO1641" s="140">
        <v>0.0</v>
      </c>
      <c r="AP1641" s="109">
        <v>0.0</v>
      </c>
      <c r="AQ1641" s="109">
        <v>83.0</v>
      </c>
      <c r="AR1641" s="80">
        <v>83.0</v>
      </c>
      <c r="AS1641" s="110">
        <v>0.0</v>
      </c>
      <c r="AT1641" s="110">
        <v>0.0</v>
      </c>
      <c r="AU1641" s="110">
        <v>0.0</v>
      </c>
      <c r="AV1641" s="142">
        <v>0.0</v>
      </c>
      <c r="AW1641" s="80">
        <v>0.0</v>
      </c>
      <c r="AX1641" s="113">
        <v>756.0</v>
      </c>
      <c r="AY1641" s="117">
        <v>638.0</v>
      </c>
      <c r="AZ1641" s="328">
        <v>118.0</v>
      </c>
      <c r="BA1641" s="315">
        <v>0.0</v>
      </c>
      <c r="BB1641" s="316">
        <v>756.0</v>
      </c>
      <c r="BC1641" s="132" t="s">
        <v>178</v>
      </c>
      <c r="BD1641" s="132" t="s">
        <v>178</v>
      </c>
      <c r="BE1641" s="132" t="s">
        <v>178</v>
      </c>
      <c r="BF1641" s="123"/>
      <c r="BG1641" s="83">
        <v>1178157.0</v>
      </c>
      <c r="BH1641" s="112">
        <v>10.0</v>
      </c>
      <c r="BI1641" s="98" t="s">
        <v>155</v>
      </c>
      <c r="BJ1641" s="98" t="str">
        <f t="shared" si="1"/>
        <v>NÃO</v>
      </c>
      <c r="BK1641" s="98" t="str">
        <f t="shared" si="2"/>
        <v>NÃO</v>
      </c>
    </row>
    <row r="1642" ht="15.75" customHeight="1">
      <c r="A1642" s="111" t="s">
        <v>1785</v>
      </c>
      <c r="B1642" s="83" t="s">
        <v>1994</v>
      </c>
      <c r="C1642" s="83" t="s">
        <v>68</v>
      </c>
      <c r="D1642" s="83">
        <v>1100485.0</v>
      </c>
      <c r="E1642" s="83"/>
      <c r="F1642" s="83">
        <v>2.9192013E7</v>
      </c>
      <c r="G1642" s="114" t="s">
        <v>8912</v>
      </c>
      <c r="H1642" s="91" t="s">
        <v>8914</v>
      </c>
      <c r="I1642" s="114" t="s">
        <v>8442</v>
      </c>
      <c r="J1642" s="83" t="s">
        <v>150</v>
      </c>
      <c r="K1642" s="83" t="s">
        <v>151</v>
      </c>
      <c r="L1642" s="83" t="s">
        <v>152</v>
      </c>
      <c r="M1642" s="82" t="s">
        <v>13334</v>
      </c>
      <c r="N1642" s="82" t="s">
        <v>13335</v>
      </c>
      <c r="O1642" s="82" t="s">
        <v>13336</v>
      </c>
      <c r="P1642" s="82" t="s">
        <v>13337</v>
      </c>
      <c r="Q1642" s="82" t="s">
        <v>13338</v>
      </c>
      <c r="R1642" s="82" t="s">
        <v>13339</v>
      </c>
      <c r="S1642" s="82" t="s">
        <v>13340</v>
      </c>
      <c r="T1642" s="138">
        <v>13.0</v>
      </c>
      <c r="U1642" s="341">
        <v>12.0</v>
      </c>
      <c r="V1642" s="106">
        <v>0.0</v>
      </c>
      <c r="W1642" s="107">
        <v>0.0</v>
      </c>
      <c r="X1642" s="107">
        <v>0.0</v>
      </c>
      <c r="Y1642" s="107">
        <v>0.0</v>
      </c>
      <c r="Z1642" s="80">
        <v>0.0</v>
      </c>
      <c r="AA1642" s="140">
        <v>495.0</v>
      </c>
      <c r="AB1642" s="109">
        <v>79.0</v>
      </c>
      <c r="AC1642" s="109">
        <v>0.0</v>
      </c>
      <c r="AD1642" s="141">
        <v>0.0</v>
      </c>
      <c r="AE1642" s="80">
        <v>574.0</v>
      </c>
      <c r="AF1642" s="140">
        <v>0.0</v>
      </c>
      <c r="AG1642" s="109">
        <v>439.0</v>
      </c>
      <c r="AH1642" s="109">
        <v>41.0</v>
      </c>
      <c r="AI1642" s="141">
        <v>0.0</v>
      </c>
      <c r="AJ1642" s="80">
        <v>480.0</v>
      </c>
      <c r="AK1642" s="140">
        <v>0.0</v>
      </c>
      <c r="AL1642" s="109">
        <v>0.0</v>
      </c>
      <c r="AM1642" s="141">
        <v>0.0</v>
      </c>
      <c r="AN1642" s="80">
        <v>0.0</v>
      </c>
      <c r="AO1642" s="140">
        <v>0.0</v>
      </c>
      <c r="AP1642" s="109">
        <v>0.0</v>
      </c>
      <c r="AQ1642" s="109">
        <v>147.0</v>
      </c>
      <c r="AR1642" s="80">
        <v>147.0</v>
      </c>
      <c r="AS1642" s="110">
        <v>0.0</v>
      </c>
      <c r="AT1642" s="110">
        <v>0.0</v>
      </c>
      <c r="AU1642" s="110">
        <v>0.0</v>
      </c>
      <c r="AV1642" s="142">
        <v>0.0</v>
      </c>
      <c r="AW1642" s="80">
        <v>0.0</v>
      </c>
      <c r="AX1642" s="113">
        <v>1201.0</v>
      </c>
      <c r="AY1642" s="117">
        <v>1013.0</v>
      </c>
      <c r="AZ1642" s="328">
        <v>188.0</v>
      </c>
      <c r="BA1642" s="315">
        <v>0.0</v>
      </c>
      <c r="BB1642" s="316">
        <v>1201.0</v>
      </c>
      <c r="BC1642" s="132" t="s">
        <v>178</v>
      </c>
      <c r="BD1642" s="132" t="s">
        <v>178</v>
      </c>
      <c r="BE1642" s="132" t="s">
        <v>178</v>
      </c>
      <c r="BF1642" s="123"/>
      <c r="BG1642" s="83">
        <v>1100485.0</v>
      </c>
      <c r="BH1642" s="112">
        <v>12.0</v>
      </c>
      <c r="BI1642" s="98" t="s">
        <v>284</v>
      </c>
      <c r="BJ1642" s="98" t="str">
        <f t="shared" si="1"/>
        <v>NÃO</v>
      </c>
      <c r="BK1642" s="98" t="str">
        <f t="shared" si="2"/>
        <v>NÃO</v>
      </c>
    </row>
    <row r="1643" ht="15.75" customHeight="1">
      <c r="A1643" s="111" t="s">
        <v>1785</v>
      </c>
      <c r="B1643" s="83" t="s">
        <v>1994</v>
      </c>
      <c r="C1643" s="83" t="s">
        <v>68</v>
      </c>
      <c r="D1643" s="83">
        <v>1100400.0</v>
      </c>
      <c r="E1643" s="83"/>
      <c r="F1643" s="83">
        <v>2.9182689E7</v>
      </c>
      <c r="G1643" s="114" t="s">
        <v>13341</v>
      </c>
      <c r="H1643" s="91" t="s">
        <v>8920</v>
      </c>
      <c r="I1643" s="114" t="s">
        <v>8278</v>
      </c>
      <c r="J1643" s="83" t="s">
        <v>150</v>
      </c>
      <c r="K1643" s="83" t="s">
        <v>151</v>
      </c>
      <c r="L1643" s="83" t="s">
        <v>230</v>
      </c>
      <c r="M1643" s="82" t="s">
        <v>13342</v>
      </c>
      <c r="N1643" s="82" t="s">
        <v>13343</v>
      </c>
      <c r="O1643" s="82" t="s">
        <v>13344</v>
      </c>
      <c r="P1643" s="82" t="s">
        <v>13345</v>
      </c>
      <c r="Q1643" s="82" t="s">
        <v>13346</v>
      </c>
      <c r="R1643" s="82" t="s">
        <v>13347</v>
      </c>
      <c r="S1643" s="82" t="s">
        <v>13348</v>
      </c>
      <c r="T1643" s="138">
        <v>21.0</v>
      </c>
      <c r="U1643" s="341">
        <v>20.0</v>
      </c>
      <c r="V1643" s="106">
        <v>0.0</v>
      </c>
      <c r="W1643" s="107">
        <v>0.0</v>
      </c>
      <c r="X1643" s="107">
        <v>0.0</v>
      </c>
      <c r="Y1643" s="107">
        <v>0.0</v>
      </c>
      <c r="Z1643" s="80">
        <v>0.0</v>
      </c>
      <c r="AA1643" s="140">
        <v>430.0</v>
      </c>
      <c r="AB1643" s="109">
        <v>412.0</v>
      </c>
      <c r="AC1643" s="109">
        <v>0.0</v>
      </c>
      <c r="AD1643" s="141">
        <v>0.0</v>
      </c>
      <c r="AE1643" s="80">
        <v>842.0</v>
      </c>
      <c r="AF1643" s="140">
        <v>383.0</v>
      </c>
      <c r="AG1643" s="109">
        <v>295.0</v>
      </c>
      <c r="AH1643" s="109">
        <v>0.0</v>
      </c>
      <c r="AI1643" s="141">
        <v>0.0</v>
      </c>
      <c r="AJ1643" s="80">
        <v>678.0</v>
      </c>
      <c r="AK1643" s="140">
        <v>0.0</v>
      </c>
      <c r="AL1643" s="109">
        <v>0.0</v>
      </c>
      <c r="AM1643" s="141">
        <v>220.0</v>
      </c>
      <c r="AN1643" s="80">
        <v>220.0</v>
      </c>
      <c r="AO1643" s="140">
        <v>0.0</v>
      </c>
      <c r="AP1643" s="109">
        <v>0.0</v>
      </c>
      <c r="AQ1643" s="109">
        <v>554.0</v>
      </c>
      <c r="AR1643" s="80">
        <v>554.0</v>
      </c>
      <c r="AS1643" s="110">
        <v>0.0</v>
      </c>
      <c r="AT1643" s="110">
        <v>0.0</v>
      </c>
      <c r="AU1643" s="110">
        <v>0.0</v>
      </c>
      <c r="AV1643" s="142">
        <v>0.0</v>
      </c>
      <c r="AW1643" s="80">
        <v>0.0</v>
      </c>
      <c r="AX1643" s="113">
        <v>2294.0</v>
      </c>
      <c r="AY1643" s="117">
        <v>1520.0</v>
      </c>
      <c r="AZ1643" s="328">
        <v>774.0</v>
      </c>
      <c r="BA1643" s="315">
        <v>3.0</v>
      </c>
      <c r="BB1643" s="316">
        <v>2297.0</v>
      </c>
      <c r="BC1643" s="132" t="s">
        <v>178</v>
      </c>
      <c r="BD1643" s="132" t="s">
        <v>178</v>
      </c>
      <c r="BE1643" s="132" t="s">
        <v>178</v>
      </c>
      <c r="BF1643" s="123"/>
      <c r="BG1643" s="83">
        <v>1100400.0</v>
      </c>
      <c r="BH1643" s="112">
        <v>20.0</v>
      </c>
      <c r="BI1643" s="98" t="s">
        <v>155</v>
      </c>
      <c r="BJ1643" s="98" t="str">
        <f t="shared" si="1"/>
        <v>NÃO</v>
      </c>
      <c r="BK1643" s="98" t="str">
        <f t="shared" si="2"/>
        <v>NÃO</v>
      </c>
    </row>
    <row r="1644" ht="15.75" customHeight="1">
      <c r="A1644" s="111" t="s">
        <v>1785</v>
      </c>
      <c r="B1644" s="83" t="s">
        <v>1994</v>
      </c>
      <c r="C1644" s="83" t="s">
        <v>68</v>
      </c>
      <c r="D1644" s="83">
        <v>1100434.0</v>
      </c>
      <c r="E1644" s="83"/>
      <c r="F1644" s="83">
        <v>2.9182077E7</v>
      </c>
      <c r="G1644" s="365" t="s">
        <v>8928</v>
      </c>
      <c r="H1644" s="91" t="s">
        <v>8929</v>
      </c>
      <c r="I1644" s="114" t="s">
        <v>8433</v>
      </c>
      <c r="J1644" s="83" t="s">
        <v>150</v>
      </c>
      <c r="K1644" s="83" t="s">
        <v>151</v>
      </c>
      <c r="L1644" s="83" t="s">
        <v>152</v>
      </c>
      <c r="M1644" s="82" t="s">
        <v>13349</v>
      </c>
      <c r="N1644" s="82" t="s">
        <v>13350</v>
      </c>
      <c r="O1644" s="82" t="s">
        <v>13351</v>
      </c>
      <c r="P1644" s="82" t="s">
        <v>13352</v>
      </c>
      <c r="Q1644" s="82"/>
      <c r="R1644" s="82"/>
      <c r="S1644" s="82" t="s">
        <v>13353</v>
      </c>
      <c r="T1644" s="138">
        <v>18.0</v>
      </c>
      <c r="U1644" s="341">
        <v>19.0</v>
      </c>
      <c r="V1644" s="106">
        <v>0.0</v>
      </c>
      <c r="W1644" s="107">
        <v>0.0</v>
      </c>
      <c r="X1644" s="107">
        <v>0.0</v>
      </c>
      <c r="Y1644" s="107">
        <v>0.0</v>
      </c>
      <c r="Z1644" s="80">
        <v>0.0</v>
      </c>
      <c r="AA1644" s="140">
        <v>0.0</v>
      </c>
      <c r="AB1644" s="109">
        <v>0.0</v>
      </c>
      <c r="AC1644" s="109">
        <v>0.0</v>
      </c>
      <c r="AD1644" s="141">
        <v>0.0</v>
      </c>
      <c r="AE1644" s="80">
        <v>0.0</v>
      </c>
      <c r="AF1644" s="140">
        <v>630.0</v>
      </c>
      <c r="AG1644" s="109">
        <v>27.0</v>
      </c>
      <c r="AH1644" s="109">
        <v>0.0</v>
      </c>
      <c r="AI1644" s="141">
        <v>0.0</v>
      </c>
      <c r="AJ1644" s="80">
        <v>657.0</v>
      </c>
      <c r="AK1644" s="140">
        <v>0.0</v>
      </c>
      <c r="AL1644" s="109">
        <v>0.0</v>
      </c>
      <c r="AM1644" s="141">
        <v>0.0</v>
      </c>
      <c r="AN1644" s="80">
        <v>0.0</v>
      </c>
      <c r="AO1644" s="140">
        <v>0.0</v>
      </c>
      <c r="AP1644" s="109">
        <v>0.0</v>
      </c>
      <c r="AQ1644" s="109">
        <v>27.0</v>
      </c>
      <c r="AR1644" s="80">
        <v>27.0</v>
      </c>
      <c r="AS1644" s="110">
        <v>0.0</v>
      </c>
      <c r="AT1644" s="110">
        <v>309.0</v>
      </c>
      <c r="AU1644" s="110">
        <v>410.0</v>
      </c>
      <c r="AV1644" s="142">
        <v>0.0</v>
      </c>
      <c r="AW1644" s="80">
        <v>719.0</v>
      </c>
      <c r="AX1644" s="113">
        <v>1403.0</v>
      </c>
      <c r="AY1644" s="117">
        <v>966.0</v>
      </c>
      <c r="AZ1644" s="328">
        <v>437.0</v>
      </c>
      <c r="BA1644" s="315">
        <v>2.0</v>
      </c>
      <c r="BB1644" s="316">
        <v>1405.0</v>
      </c>
      <c r="BC1644" s="132" t="s">
        <v>178</v>
      </c>
      <c r="BD1644" s="132" t="s">
        <v>178</v>
      </c>
      <c r="BE1644" s="132" t="s">
        <v>178</v>
      </c>
      <c r="BF1644" s="123"/>
      <c r="BG1644" s="83">
        <v>1100434.0</v>
      </c>
      <c r="BH1644" s="112">
        <v>19.0</v>
      </c>
      <c r="BI1644" s="98" t="s">
        <v>155</v>
      </c>
      <c r="BJ1644" s="98" t="str">
        <f t="shared" si="1"/>
        <v>NÃO</v>
      </c>
      <c r="BK1644" s="98" t="str">
        <f t="shared" si="2"/>
        <v>PROFISSIONAL</v>
      </c>
    </row>
    <row r="1645" ht="15.75" customHeight="1">
      <c r="A1645" s="111" t="s">
        <v>1785</v>
      </c>
      <c r="B1645" s="83" t="s">
        <v>1994</v>
      </c>
      <c r="C1645" s="83" t="s">
        <v>68</v>
      </c>
      <c r="D1645" s="83">
        <v>1100418.0</v>
      </c>
      <c r="E1645" s="83"/>
      <c r="F1645" s="83">
        <v>2.918908E7</v>
      </c>
      <c r="G1645" s="114" t="s">
        <v>13355</v>
      </c>
      <c r="H1645" s="91" t="s">
        <v>8932</v>
      </c>
      <c r="I1645" s="114" t="s">
        <v>8579</v>
      </c>
      <c r="J1645" s="83" t="s">
        <v>150</v>
      </c>
      <c r="K1645" s="83" t="s">
        <v>151</v>
      </c>
      <c r="L1645" s="83" t="s">
        <v>76</v>
      </c>
      <c r="M1645" s="82" t="s">
        <v>13356</v>
      </c>
      <c r="N1645" s="82" t="s">
        <v>13357</v>
      </c>
      <c r="O1645" s="82" t="s">
        <v>13358</v>
      </c>
      <c r="P1645" s="82" t="s">
        <v>13359</v>
      </c>
      <c r="Q1645" s="82"/>
      <c r="R1645" s="82"/>
      <c r="S1645" s="82" t="s">
        <v>13360</v>
      </c>
      <c r="T1645" s="138">
        <v>11.0</v>
      </c>
      <c r="U1645" s="341">
        <v>13.0</v>
      </c>
      <c r="V1645" s="106">
        <v>0.0</v>
      </c>
      <c r="W1645" s="107">
        <v>0.0</v>
      </c>
      <c r="X1645" s="107">
        <v>0.0</v>
      </c>
      <c r="Y1645" s="107">
        <v>0.0</v>
      </c>
      <c r="Z1645" s="80">
        <v>0.0</v>
      </c>
      <c r="AA1645" s="140">
        <v>0.0</v>
      </c>
      <c r="AB1645" s="109">
        <v>0.0</v>
      </c>
      <c r="AC1645" s="109">
        <v>0.0</v>
      </c>
      <c r="AD1645" s="141">
        <v>261.0</v>
      </c>
      <c r="AE1645" s="80">
        <v>261.0</v>
      </c>
      <c r="AF1645" s="140">
        <v>0.0</v>
      </c>
      <c r="AG1645" s="109">
        <v>0.0</v>
      </c>
      <c r="AH1645" s="109">
        <v>0.0</v>
      </c>
      <c r="AI1645" s="141">
        <v>0.0</v>
      </c>
      <c r="AJ1645" s="80">
        <v>0.0</v>
      </c>
      <c r="AK1645" s="140">
        <v>0.0</v>
      </c>
      <c r="AL1645" s="109">
        <v>0.0</v>
      </c>
      <c r="AM1645" s="141">
        <v>0.0</v>
      </c>
      <c r="AN1645" s="80">
        <v>0.0</v>
      </c>
      <c r="AO1645" s="140">
        <v>0.0</v>
      </c>
      <c r="AP1645" s="109">
        <v>0.0</v>
      </c>
      <c r="AQ1645" s="109">
        <v>0.0</v>
      </c>
      <c r="AR1645" s="80">
        <v>0.0</v>
      </c>
      <c r="AS1645" s="110">
        <v>0.0</v>
      </c>
      <c r="AT1645" s="110">
        <v>0.0</v>
      </c>
      <c r="AU1645" s="110">
        <v>0.0</v>
      </c>
      <c r="AV1645" s="142">
        <v>0.0</v>
      </c>
      <c r="AW1645" s="80">
        <v>0.0</v>
      </c>
      <c r="AX1645" s="113">
        <v>261.0</v>
      </c>
      <c r="AY1645" s="117">
        <v>261.0</v>
      </c>
      <c r="AZ1645" s="328">
        <v>0.0</v>
      </c>
      <c r="BA1645" s="315">
        <v>0.0</v>
      </c>
      <c r="BB1645" s="316">
        <v>261.0</v>
      </c>
      <c r="BC1645" s="132" t="s">
        <v>178</v>
      </c>
      <c r="BD1645" s="132" t="s">
        <v>178</v>
      </c>
      <c r="BE1645" s="132" t="s">
        <v>178</v>
      </c>
      <c r="BF1645" s="123"/>
      <c r="BG1645" s="83">
        <v>1100418.0</v>
      </c>
      <c r="BH1645" s="112">
        <v>13.0</v>
      </c>
      <c r="BI1645" s="98" t="s">
        <v>155</v>
      </c>
      <c r="BJ1645" s="98" t="str">
        <f t="shared" si="1"/>
        <v>INTEGRAL</v>
      </c>
      <c r="BK1645" s="98" t="str">
        <f t="shared" si="2"/>
        <v>NÃO</v>
      </c>
    </row>
    <row r="1646" ht="15.75" customHeight="1">
      <c r="A1646" s="111" t="s">
        <v>1785</v>
      </c>
      <c r="B1646" s="83" t="s">
        <v>1994</v>
      </c>
      <c r="C1646" s="83" t="s">
        <v>68</v>
      </c>
      <c r="D1646" s="83">
        <v>1100221.0</v>
      </c>
      <c r="E1646" s="83"/>
      <c r="F1646" s="83">
        <v>2.9189047E7</v>
      </c>
      <c r="G1646" s="114" t="s">
        <v>13361</v>
      </c>
      <c r="H1646" s="91" t="s">
        <v>8936</v>
      </c>
      <c r="I1646" s="114" t="s">
        <v>8937</v>
      </c>
      <c r="J1646" s="83" t="s">
        <v>150</v>
      </c>
      <c r="K1646" s="83" t="s">
        <v>151</v>
      </c>
      <c r="L1646" s="83" t="s">
        <v>230</v>
      </c>
      <c r="M1646" s="82" t="s">
        <v>13362</v>
      </c>
      <c r="N1646" s="82" t="s">
        <v>13363</v>
      </c>
      <c r="O1646" s="82" t="s">
        <v>13364</v>
      </c>
      <c r="P1646" s="82" t="s">
        <v>13365</v>
      </c>
      <c r="Q1646" s="82"/>
      <c r="R1646" s="82"/>
      <c r="S1646" s="82" t="s">
        <v>13366</v>
      </c>
      <c r="T1646" s="138">
        <v>12.0</v>
      </c>
      <c r="U1646" s="341">
        <v>12.0</v>
      </c>
      <c r="V1646" s="106">
        <v>0.0</v>
      </c>
      <c r="W1646" s="107">
        <v>0.0</v>
      </c>
      <c r="X1646" s="107">
        <v>0.0</v>
      </c>
      <c r="Y1646" s="107">
        <v>0.0</v>
      </c>
      <c r="Z1646" s="80">
        <v>0.0</v>
      </c>
      <c r="AA1646" s="140">
        <v>218.0</v>
      </c>
      <c r="AB1646" s="109">
        <v>151.0</v>
      </c>
      <c r="AC1646" s="109">
        <v>0.0</v>
      </c>
      <c r="AD1646" s="141">
        <v>0.0</v>
      </c>
      <c r="AE1646" s="80">
        <v>369.0</v>
      </c>
      <c r="AF1646" s="140">
        <v>0.0</v>
      </c>
      <c r="AG1646" s="109">
        <v>0.0</v>
      </c>
      <c r="AH1646" s="109">
        <v>0.0</v>
      </c>
      <c r="AI1646" s="141">
        <v>147.0</v>
      </c>
      <c r="AJ1646" s="80">
        <v>147.0</v>
      </c>
      <c r="AK1646" s="140">
        <v>0.0</v>
      </c>
      <c r="AL1646" s="109">
        <v>0.0</v>
      </c>
      <c r="AM1646" s="141">
        <v>0.0</v>
      </c>
      <c r="AN1646" s="80">
        <v>0.0</v>
      </c>
      <c r="AO1646" s="140">
        <v>0.0</v>
      </c>
      <c r="AP1646" s="109">
        <v>0.0</v>
      </c>
      <c r="AQ1646" s="109">
        <v>90.0</v>
      </c>
      <c r="AR1646" s="80">
        <v>90.0</v>
      </c>
      <c r="AS1646" s="110">
        <v>0.0</v>
      </c>
      <c r="AT1646" s="110">
        <v>0.0</v>
      </c>
      <c r="AU1646" s="110">
        <v>0.0</v>
      </c>
      <c r="AV1646" s="142">
        <v>0.0</v>
      </c>
      <c r="AW1646" s="80">
        <v>0.0</v>
      </c>
      <c r="AX1646" s="113">
        <v>606.0</v>
      </c>
      <c r="AY1646" s="117">
        <v>516.0</v>
      </c>
      <c r="AZ1646" s="328">
        <v>90.0</v>
      </c>
      <c r="BA1646" s="315">
        <v>0.0</v>
      </c>
      <c r="BB1646" s="316">
        <v>606.0</v>
      </c>
      <c r="BC1646" s="132" t="s">
        <v>178</v>
      </c>
      <c r="BD1646" s="132" t="s">
        <v>178</v>
      </c>
      <c r="BE1646" s="132" t="s">
        <v>178</v>
      </c>
      <c r="BF1646" s="123"/>
      <c r="BG1646" s="83">
        <v>1100221.0</v>
      </c>
      <c r="BH1646" s="112">
        <v>12.0</v>
      </c>
      <c r="BI1646" s="98" t="s">
        <v>155</v>
      </c>
      <c r="BJ1646" s="98" t="str">
        <f t="shared" si="1"/>
        <v>INTEGRAL</v>
      </c>
      <c r="BK1646" s="98" t="str">
        <f t="shared" si="2"/>
        <v>NÃO</v>
      </c>
    </row>
    <row r="1647" ht="15.75" customHeight="1">
      <c r="A1647" s="111" t="s">
        <v>1785</v>
      </c>
      <c r="B1647" s="83" t="s">
        <v>1994</v>
      </c>
      <c r="C1647" s="83" t="s">
        <v>68</v>
      </c>
      <c r="D1647" s="83">
        <v>1101651.0</v>
      </c>
      <c r="E1647" s="83"/>
      <c r="F1647" s="83">
        <v>2.919077E7</v>
      </c>
      <c r="G1647" s="114" t="s">
        <v>13367</v>
      </c>
      <c r="H1647" s="91" t="s">
        <v>8941</v>
      </c>
      <c r="I1647" s="114" t="s">
        <v>8143</v>
      </c>
      <c r="J1647" s="83" t="s">
        <v>150</v>
      </c>
      <c r="K1647" s="83" t="s">
        <v>151</v>
      </c>
      <c r="L1647" s="83" t="s">
        <v>152</v>
      </c>
      <c r="M1647" s="82" t="s">
        <v>13368</v>
      </c>
      <c r="N1647" s="82" t="s">
        <v>13369</v>
      </c>
      <c r="O1647" s="82" t="s">
        <v>13370</v>
      </c>
      <c r="P1647" s="82" t="s">
        <v>13371</v>
      </c>
      <c r="Q1647" s="82" t="s">
        <v>13372</v>
      </c>
      <c r="R1647" s="82" t="s">
        <v>13373</v>
      </c>
      <c r="S1647" s="82" t="s">
        <v>13374</v>
      </c>
      <c r="T1647" s="138">
        <v>14.0</v>
      </c>
      <c r="U1647" s="341">
        <v>14.0</v>
      </c>
      <c r="V1647" s="106">
        <v>0.0</v>
      </c>
      <c r="W1647" s="107">
        <v>0.0</v>
      </c>
      <c r="X1647" s="107">
        <v>0.0</v>
      </c>
      <c r="Y1647" s="107">
        <v>0.0</v>
      </c>
      <c r="Z1647" s="80">
        <v>0.0</v>
      </c>
      <c r="AA1647" s="140">
        <v>0.0</v>
      </c>
      <c r="AB1647" s="109">
        <v>0.0</v>
      </c>
      <c r="AC1647" s="109">
        <v>0.0</v>
      </c>
      <c r="AD1647" s="141">
        <v>0.0</v>
      </c>
      <c r="AE1647" s="80">
        <v>0.0</v>
      </c>
      <c r="AF1647" s="140">
        <v>312.0</v>
      </c>
      <c r="AG1647" s="109">
        <v>220.0</v>
      </c>
      <c r="AH1647" s="109">
        <v>59.0</v>
      </c>
      <c r="AI1647" s="141">
        <v>0.0</v>
      </c>
      <c r="AJ1647" s="80">
        <v>591.0</v>
      </c>
      <c r="AK1647" s="140">
        <v>0.0</v>
      </c>
      <c r="AL1647" s="109">
        <v>0.0</v>
      </c>
      <c r="AM1647" s="141">
        <v>0.0</v>
      </c>
      <c r="AN1647" s="80">
        <v>0.0</v>
      </c>
      <c r="AO1647" s="140">
        <v>0.0</v>
      </c>
      <c r="AP1647" s="109">
        <v>0.0</v>
      </c>
      <c r="AQ1647" s="109">
        <v>172.0</v>
      </c>
      <c r="AR1647" s="80">
        <v>172.0</v>
      </c>
      <c r="AS1647" s="110">
        <v>35.0</v>
      </c>
      <c r="AT1647" s="110">
        <v>35.0</v>
      </c>
      <c r="AU1647" s="110">
        <v>24.0</v>
      </c>
      <c r="AV1647" s="142">
        <v>0.0</v>
      </c>
      <c r="AW1647" s="80">
        <v>94.0</v>
      </c>
      <c r="AX1647" s="113">
        <v>857.0</v>
      </c>
      <c r="AY1647" s="117">
        <v>602.0</v>
      </c>
      <c r="AZ1647" s="328">
        <v>255.0</v>
      </c>
      <c r="BA1647" s="315">
        <v>55.0</v>
      </c>
      <c r="BB1647" s="316">
        <v>912.0</v>
      </c>
      <c r="BC1647" s="132" t="s">
        <v>178</v>
      </c>
      <c r="BD1647" s="132" t="s">
        <v>178</v>
      </c>
      <c r="BE1647" s="132" t="s">
        <v>178</v>
      </c>
      <c r="BF1647" s="123"/>
      <c r="BG1647" s="83">
        <v>1101651.0</v>
      </c>
      <c r="BH1647" s="112">
        <v>14.0</v>
      </c>
      <c r="BI1647" s="98" t="s">
        <v>155</v>
      </c>
      <c r="BJ1647" s="98" t="str">
        <f t="shared" si="1"/>
        <v>NÃO</v>
      </c>
      <c r="BK1647" s="98" t="str">
        <f t="shared" si="2"/>
        <v>PROFISSIONAL</v>
      </c>
    </row>
    <row r="1648" ht="15.75" customHeight="1">
      <c r="A1648" s="111" t="s">
        <v>1785</v>
      </c>
      <c r="B1648" s="83" t="s">
        <v>1994</v>
      </c>
      <c r="C1648" s="83" t="s">
        <v>68</v>
      </c>
      <c r="D1648" s="83">
        <v>1100167.0</v>
      </c>
      <c r="E1648" s="83"/>
      <c r="F1648" s="83">
        <v>2.9188903E7</v>
      </c>
      <c r="G1648" s="114" t="s">
        <v>2493</v>
      </c>
      <c r="H1648" s="91" t="s">
        <v>13375</v>
      </c>
      <c r="I1648" s="114" t="s">
        <v>13376</v>
      </c>
      <c r="J1648" s="83" t="s">
        <v>150</v>
      </c>
      <c r="K1648" s="83" t="s">
        <v>151</v>
      </c>
      <c r="L1648" s="98" t="s">
        <v>152</v>
      </c>
      <c r="M1648" s="82" t="s">
        <v>13377</v>
      </c>
      <c r="N1648" s="82" t="s">
        <v>13378</v>
      </c>
      <c r="O1648" s="82" t="s">
        <v>13379</v>
      </c>
      <c r="P1648" s="82" t="s">
        <v>13380</v>
      </c>
      <c r="Q1648" s="82"/>
      <c r="R1648" s="82"/>
      <c r="S1648" s="82" t="s">
        <v>13381</v>
      </c>
      <c r="T1648" s="138">
        <v>16.0</v>
      </c>
      <c r="U1648" s="341" t="s">
        <v>13382</v>
      </c>
      <c r="V1648" s="106">
        <v>0.0</v>
      </c>
      <c r="W1648" s="107">
        <v>0.0</v>
      </c>
      <c r="X1648" s="107">
        <v>0.0</v>
      </c>
      <c r="Y1648" s="107">
        <v>0.0</v>
      </c>
      <c r="Z1648" s="80">
        <v>0.0</v>
      </c>
      <c r="AA1648" s="140">
        <v>0.0</v>
      </c>
      <c r="AB1648" s="109">
        <v>0.0</v>
      </c>
      <c r="AC1648" s="109">
        <v>0.0</v>
      </c>
      <c r="AD1648" s="141">
        <v>355.0</v>
      </c>
      <c r="AE1648" s="80">
        <v>355.0</v>
      </c>
      <c r="AF1648" s="140">
        <v>0.0</v>
      </c>
      <c r="AG1648" s="109">
        <v>0.0</v>
      </c>
      <c r="AH1648" s="109">
        <v>0.0</v>
      </c>
      <c r="AI1648" s="141">
        <v>0.0</v>
      </c>
      <c r="AJ1648" s="80">
        <v>0.0</v>
      </c>
      <c r="AK1648" s="140">
        <v>0.0</v>
      </c>
      <c r="AL1648" s="109">
        <v>0.0</v>
      </c>
      <c r="AM1648" s="141">
        <v>0.0</v>
      </c>
      <c r="AN1648" s="80">
        <v>0.0</v>
      </c>
      <c r="AO1648" s="140">
        <v>0.0</v>
      </c>
      <c r="AP1648" s="109">
        <v>0.0</v>
      </c>
      <c r="AQ1648" s="109">
        <v>0.0</v>
      </c>
      <c r="AR1648" s="80">
        <v>0.0</v>
      </c>
      <c r="AS1648" s="615">
        <v>0.0</v>
      </c>
      <c r="AT1648" s="110">
        <v>0.0</v>
      </c>
      <c r="AU1648" s="110">
        <v>0.0</v>
      </c>
      <c r="AV1648" s="142">
        <v>0.0</v>
      </c>
      <c r="AW1648" s="80">
        <v>0.0</v>
      </c>
      <c r="AX1648" s="113">
        <v>355.0</v>
      </c>
      <c r="AY1648" s="117">
        <v>355.0</v>
      </c>
      <c r="AZ1648" s="328">
        <v>0.0</v>
      </c>
      <c r="BA1648" s="315">
        <v>0.0</v>
      </c>
      <c r="BB1648" s="316">
        <v>355.0</v>
      </c>
      <c r="BC1648" s="132" t="s">
        <v>178</v>
      </c>
      <c r="BD1648" s="132" t="s">
        <v>178</v>
      </c>
      <c r="BE1648" s="132" t="s">
        <v>178</v>
      </c>
      <c r="BF1648" s="123"/>
      <c r="BG1648" s="83">
        <v>1100167.0</v>
      </c>
      <c r="BH1648" s="112">
        <v>14.0</v>
      </c>
      <c r="BI1648" s="98" t="s">
        <v>155</v>
      </c>
      <c r="BJ1648" s="98" t="str">
        <f t="shared" si="1"/>
        <v>INTEGRAL</v>
      </c>
      <c r="BK1648" s="98" t="str">
        <f t="shared" si="2"/>
        <v>NÃO</v>
      </c>
    </row>
    <row r="1649" ht="15.75" customHeight="1">
      <c r="A1649" s="111" t="s">
        <v>1785</v>
      </c>
      <c r="B1649" s="83" t="s">
        <v>1994</v>
      </c>
      <c r="C1649" s="83" t="s">
        <v>68</v>
      </c>
      <c r="D1649" s="83">
        <v>1104650.0</v>
      </c>
      <c r="E1649" s="83"/>
      <c r="F1649" s="83">
        <v>2.9181429E7</v>
      </c>
      <c r="G1649" s="114" t="s">
        <v>13384</v>
      </c>
      <c r="H1649" s="91" t="s">
        <v>8977</v>
      </c>
      <c r="I1649" s="114" t="s">
        <v>8433</v>
      </c>
      <c r="J1649" s="83" t="s">
        <v>150</v>
      </c>
      <c r="K1649" s="83" t="s">
        <v>151</v>
      </c>
      <c r="L1649" s="83" t="s">
        <v>230</v>
      </c>
      <c r="M1649" s="82" t="s">
        <v>13385</v>
      </c>
      <c r="N1649" s="82" t="s">
        <v>171</v>
      </c>
      <c r="O1649" s="82" t="s">
        <v>13386</v>
      </c>
      <c r="P1649" s="82" t="s">
        <v>13387</v>
      </c>
      <c r="Q1649" s="82"/>
      <c r="R1649" s="82"/>
      <c r="S1649" s="82" t="s">
        <v>13388</v>
      </c>
      <c r="T1649" s="138">
        <v>50.0</v>
      </c>
      <c r="U1649" s="341">
        <v>53.0</v>
      </c>
      <c r="V1649" s="106">
        <v>0.0</v>
      </c>
      <c r="W1649" s="107">
        <v>0.0</v>
      </c>
      <c r="X1649" s="107">
        <v>0.0</v>
      </c>
      <c r="Y1649" s="107">
        <v>0.0</v>
      </c>
      <c r="Z1649" s="80">
        <v>0.0</v>
      </c>
      <c r="AA1649" s="140">
        <v>192.0</v>
      </c>
      <c r="AB1649" s="109">
        <v>690.0</v>
      </c>
      <c r="AC1649" s="109">
        <v>0.0</v>
      </c>
      <c r="AD1649" s="141">
        <v>0.0</v>
      </c>
      <c r="AE1649" s="80">
        <v>882.0</v>
      </c>
      <c r="AF1649" s="140">
        <v>544.0</v>
      </c>
      <c r="AG1649" s="109">
        <v>0.0</v>
      </c>
      <c r="AH1649" s="109">
        <v>0.0</v>
      </c>
      <c r="AI1649" s="141">
        <v>85.0</v>
      </c>
      <c r="AJ1649" s="80">
        <v>629.0</v>
      </c>
      <c r="AK1649" s="140">
        <v>0.0</v>
      </c>
      <c r="AL1649" s="109">
        <v>0.0</v>
      </c>
      <c r="AM1649" s="141">
        <v>0.0</v>
      </c>
      <c r="AN1649" s="80">
        <v>0.0</v>
      </c>
      <c r="AO1649" s="140">
        <v>0.0</v>
      </c>
      <c r="AP1649" s="109">
        <v>0.0</v>
      </c>
      <c r="AQ1649" s="109">
        <v>0.0</v>
      </c>
      <c r="AR1649" s="80">
        <v>0.0</v>
      </c>
      <c r="AS1649" s="110">
        <v>0.0</v>
      </c>
      <c r="AT1649" s="110">
        <v>0.0</v>
      </c>
      <c r="AU1649" s="110">
        <v>0.0</v>
      </c>
      <c r="AV1649" s="142">
        <v>0.0</v>
      </c>
      <c r="AW1649" s="80">
        <v>0.0</v>
      </c>
      <c r="AX1649" s="113">
        <v>1511.0</v>
      </c>
      <c r="AY1649" s="117">
        <v>1511.0</v>
      </c>
      <c r="AZ1649" s="328">
        <v>0.0</v>
      </c>
      <c r="BA1649" s="315">
        <v>2.0</v>
      </c>
      <c r="BB1649" s="316">
        <v>1513.0</v>
      </c>
      <c r="BC1649" s="143" t="s">
        <v>1014</v>
      </c>
      <c r="BD1649" s="132" t="s">
        <v>178</v>
      </c>
      <c r="BE1649" s="132" t="s">
        <v>178</v>
      </c>
      <c r="BF1649" s="123"/>
      <c r="BG1649" s="83">
        <v>1104650.0</v>
      </c>
      <c r="BH1649" s="112">
        <v>53.0</v>
      </c>
      <c r="BI1649" s="98" t="s">
        <v>155</v>
      </c>
      <c r="BJ1649" s="98" t="str">
        <f t="shared" si="1"/>
        <v>INTEGRAL</v>
      </c>
      <c r="BK1649" s="98" t="str">
        <f t="shared" si="2"/>
        <v>NÃO</v>
      </c>
    </row>
    <row r="1650" ht="81.75" customHeight="1">
      <c r="A1650" s="111" t="s">
        <v>1785</v>
      </c>
      <c r="B1650" s="83" t="s">
        <v>1994</v>
      </c>
      <c r="C1650" s="83" t="s">
        <v>68</v>
      </c>
      <c r="D1650" s="83">
        <v>1176391.0</v>
      </c>
      <c r="E1650" s="83"/>
      <c r="F1650" s="83">
        <v>2.9357896E7</v>
      </c>
      <c r="G1650" s="114" t="s">
        <v>13389</v>
      </c>
      <c r="H1650" s="91" t="s">
        <v>8949</v>
      </c>
      <c r="I1650" s="114" t="s">
        <v>8950</v>
      </c>
      <c r="J1650" s="83" t="s">
        <v>150</v>
      </c>
      <c r="K1650" s="83" t="s">
        <v>151</v>
      </c>
      <c r="L1650" s="83" t="s">
        <v>152</v>
      </c>
      <c r="M1650" s="82" t="s">
        <v>13390</v>
      </c>
      <c r="N1650" s="82" t="s">
        <v>171</v>
      </c>
      <c r="O1650" s="82" t="s">
        <v>13391</v>
      </c>
      <c r="P1650" s="82" t="s">
        <v>13392</v>
      </c>
      <c r="Q1650" s="82"/>
      <c r="R1650" s="82"/>
      <c r="S1650" s="82" t="s">
        <v>13393</v>
      </c>
      <c r="T1650" s="138">
        <v>18.0</v>
      </c>
      <c r="U1650" s="341">
        <v>16.0</v>
      </c>
      <c r="V1650" s="106">
        <v>0.0</v>
      </c>
      <c r="W1650" s="107">
        <v>0.0</v>
      </c>
      <c r="X1650" s="107">
        <v>0.0</v>
      </c>
      <c r="Y1650" s="107">
        <v>0.0</v>
      </c>
      <c r="Z1650" s="80">
        <v>0.0</v>
      </c>
      <c r="AA1650" s="140">
        <v>113.0</v>
      </c>
      <c r="AB1650" s="109">
        <v>419.0</v>
      </c>
      <c r="AC1650" s="109">
        <v>0.0</v>
      </c>
      <c r="AD1650" s="141">
        <v>0.0</v>
      </c>
      <c r="AE1650" s="80">
        <v>532.0</v>
      </c>
      <c r="AF1650" s="140">
        <v>298.0</v>
      </c>
      <c r="AG1650" s="109">
        <v>0.0</v>
      </c>
      <c r="AH1650" s="109">
        <v>0.0</v>
      </c>
      <c r="AI1650" s="141">
        <v>0.0</v>
      </c>
      <c r="AJ1650" s="80">
        <v>298.0</v>
      </c>
      <c r="AK1650" s="140">
        <v>0.0</v>
      </c>
      <c r="AL1650" s="109">
        <v>0.0</v>
      </c>
      <c r="AM1650" s="141">
        <v>0.0</v>
      </c>
      <c r="AN1650" s="80">
        <v>0.0</v>
      </c>
      <c r="AO1650" s="140">
        <v>0.0</v>
      </c>
      <c r="AP1650" s="109">
        <v>0.0</v>
      </c>
      <c r="AQ1650" s="109">
        <v>0.0</v>
      </c>
      <c r="AR1650" s="80">
        <v>0.0</v>
      </c>
      <c r="AS1650" s="110">
        <v>0.0</v>
      </c>
      <c r="AT1650" s="110">
        <v>0.0</v>
      </c>
      <c r="AU1650" s="110">
        <v>0.0</v>
      </c>
      <c r="AV1650" s="142">
        <v>0.0</v>
      </c>
      <c r="AW1650" s="80">
        <v>0.0</v>
      </c>
      <c r="AX1650" s="113">
        <v>830.0</v>
      </c>
      <c r="AY1650" s="117">
        <v>830.0</v>
      </c>
      <c r="AZ1650" s="328">
        <v>0.0</v>
      </c>
      <c r="BA1650" s="315">
        <v>0.0</v>
      </c>
      <c r="BB1650" s="316">
        <v>830.0</v>
      </c>
      <c r="BC1650" s="143" t="s">
        <v>1014</v>
      </c>
      <c r="BD1650" s="132" t="s">
        <v>178</v>
      </c>
      <c r="BE1650" s="132" t="s">
        <v>178</v>
      </c>
      <c r="BF1650" s="123"/>
      <c r="BG1650" s="83">
        <v>1176391.0</v>
      </c>
      <c r="BH1650" s="112">
        <v>16.0</v>
      </c>
      <c r="BI1650" s="98" t="s">
        <v>155</v>
      </c>
      <c r="BJ1650" s="98" t="str">
        <f t="shared" si="1"/>
        <v>NÃO</v>
      </c>
      <c r="BK1650" s="98" t="str">
        <f t="shared" si="2"/>
        <v>NÃO</v>
      </c>
    </row>
    <row r="1651" ht="39.75" customHeight="1">
      <c r="A1651" s="111" t="s">
        <v>1785</v>
      </c>
      <c r="B1651" s="83" t="s">
        <v>1994</v>
      </c>
      <c r="C1651" s="83" t="s">
        <v>68</v>
      </c>
      <c r="D1651" s="83">
        <v>1176389.0</v>
      </c>
      <c r="E1651" s="83"/>
      <c r="F1651" s="83">
        <v>2.9437377E7</v>
      </c>
      <c r="G1651" s="119" t="s">
        <v>8957</v>
      </c>
      <c r="H1651" s="91" t="s">
        <v>8959</v>
      </c>
      <c r="I1651" s="114" t="s">
        <v>8327</v>
      </c>
      <c r="J1651" s="83" t="s">
        <v>150</v>
      </c>
      <c r="K1651" s="98" t="s">
        <v>3467</v>
      </c>
      <c r="L1651" s="83" t="s">
        <v>152</v>
      </c>
      <c r="M1651" s="82" t="s">
        <v>13394</v>
      </c>
      <c r="N1651" s="82" t="s">
        <v>171</v>
      </c>
      <c r="O1651" s="82" t="s">
        <v>13395</v>
      </c>
      <c r="P1651" s="82" t="s">
        <v>13396</v>
      </c>
      <c r="Q1651" s="82"/>
      <c r="R1651" s="82"/>
      <c r="S1651" s="82" t="s">
        <v>13397</v>
      </c>
      <c r="T1651" s="138">
        <v>24.0</v>
      </c>
      <c r="U1651" s="341">
        <v>24.0</v>
      </c>
      <c r="V1651" s="106">
        <v>0.0</v>
      </c>
      <c r="W1651" s="107">
        <v>0.0</v>
      </c>
      <c r="X1651" s="107">
        <v>0.0</v>
      </c>
      <c r="Y1651" s="107">
        <v>0.0</v>
      </c>
      <c r="Z1651" s="80">
        <v>0.0</v>
      </c>
      <c r="AA1651" s="140">
        <v>0.0</v>
      </c>
      <c r="AB1651" s="109">
        <v>552.0</v>
      </c>
      <c r="AC1651" s="109">
        <v>0.0</v>
      </c>
      <c r="AD1651" s="141">
        <v>0.0</v>
      </c>
      <c r="AE1651" s="80">
        <v>552.0</v>
      </c>
      <c r="AF1651" s="140">
        <v>514.0</v>
      </c>
      <c r="AG1651" s="109">
        <v>0.0</v>
      </c>
      <c r="AH1651" s="109">
        <v>0.0</v>
      </c>
      <c r="AI1651" s="141">
        <v>0.0</v>
      </c>
      <c r="AJ1651" s="80">
        <v>514.0</v>
      </c>
      <c r="AK1651" s="140">
        <v>0.0</v>
      </c>
      <c r="AL1651" s="109">
        <v>0.0</v>
      </c>
      <c r="AM1651" s="141">
        <v>0.0</v>
      </c>
      <c r="AN1651" s="80">
        <v>0.0</v>
      </c>
      <c r="AO1651" s="140">
        <v>0.0</v>
      </c>
      <c r="AP1651" s="109">
        <v>0.0</v>
      </c>
      <c r="AQ1651" s="109">
        <v>0.0</v>
      </c>
      <c r="AR1651" s="80">
        <v>0.0</v>
      </c>
      <c r="AS1651" s="110">
        <v>0.0</v>
      </c>
      <c r="AT1651" s="110">
        <v>0.0</v>
      </c>
      <c r="AU1651" s="110">
        <v>0.0</v>
      </c>
      <c r="AV1651" s="142">
        <v>0.0</v>
      </c>
      <c r="AW1651" s="80">
        <v>0.0</v>
      </c>
      <c r="AX1651" s="113">
        <v>1066.0</v>
      </c>
      <c r="AY1651" s="117">
        <v>1066.0</v>
      </c>
      <c r="AZ1651" s="328">
        <v>0.0</v>
      </c>
      <c r="BA1651" s="315">
        <v>0.0</v>
      </c>
      <c r="BB1651" s="316">
        <v>1066.0</v>
      </c>
      <c r="BC1651" s="143" t="s">
        <v>1014</v>
      </c>
      <c r="BD1651" s="132" t="s">
        <v>178</v>
      </c>
      <c r="BE1651" s="132" t="s">
        <v>178</v>
      </c>
      <c r="BF1651" s="123"/>
      <c r="BG1651" s="83">
        <v>1176389.0</v>
      </c>
      <c r="BH1651" s="112">
        <v>24.0</v>
      </c>
      <c r="BI1651" s="98" t="s">
        <v>162</v>
      </c>
      <c r="BJ1651" s="98" t="str">
        <f t="shared" si="1"/>
        <v>NÃO</v>
      </c>
      <c r="BK1651" s="98" t="str">
        <f t="shared" si="2"/>
        <v>NÃO</v>
      </c>
    </row>
    <row r="1652" ht="15.75" customHeight="1">
      <c r="A1652" s="111" t="s">
        <v>1785</v>
      </c>
      <c r="B1652" s="83" t="s">
        <v>1994</v>
      </c>
      <c r="C1652" s="83" t="s">
        <v>68</v>
      </c>
      <c r="D1652" s="83">
        <v>1102046.0</v>
      </c>
      <c r="E1652" s="83"/>
      <c r="F1652" s="83">
        <v>2.918219E7</v>
      </c>
      <c r="G1652" s="114" t="s">
        <v>8963</v>
      </c>
      <c r="H1652" s="91" t="s">
        <v>8964</v>
      </c>
      <c r="I1652" s="114" t="s">
        <v>8171</v>
      </c>
      <c r="J1652" s="83" t="s">
        <v>150</v>
      </c>
      <c r="K1652" s="83" t="s">
        <v>151</v>
      </c>
      <c r="L1652" s="83" t="s">
        <v>152</v>
      </c>
      <c r="M1652" s="82" t="s">
        <v>13398</v>
      </c>
      <c r="N1652" s="82" t="s">
        <v>171</v>
      </c>
      <c r="O1652" s="82"/>
      <c r="P1652" s="82"/>
      <c r="Q1652" s="82"/>
      <c r="R1652" s="82"/>
      <c r="S1652" s="82" t="s">
        <v>13399</v>
      </c>
      <c r="T1652" s="138">
        <v>16.0</v>
      </c>
      <c r="U1652" s="341">
        <v>16.0</v>
      </c>
      <c r="V1652" s="106">
        <v>0.0</v>
      </c>
      <c r="W1652" s="107">
        <v>0.0</v>
      </c>
      <c r="X1652" s="107">
        <v>0.0</v>
      </c>
      <c r="Y1652" s="107">
        <v>0.0</v>
      </c>
      <c r="Z1652" s="80">
        <v>0.0</v>
      </c>
      <c r="AA1652" s="140">
        <v>0.0</v>
      </c>
      <c r="AB1652" s="109">
        <v>484.0</v>
      </c>
      <c r="AC1652" s="109">
        <v>0.0</v>
      </c>
      <c r="AD1652" s="141">
        <v>0.0</v>
      </c>
      <c r="AE1652" s="80">
        <v>484.0</v>
      </c>
      <c r="AF1652" s="140">
        <v>383.0</v>
      </c>
      <c r="AG1652" s="109">
        <v>0.0</v>
      </c>
      <c r="AH1652" s="109">
        <v>0.0</v>
      </c>
      <c r="AI1652" s="141">
        <v>0.0</v>
      </c>
      <c r="AJ1652" s="80">
        <v>383.0</v>
      </c>
      <c r="AK1652" s="140">
        <v>0.0</v>
      </c>
      <c r="AL1652" s="109">
        <v>0.0</v>
      </c>
      <c r="AM1652" s="141">
        <v>0.0</v>
      </c>
      <c r="AN1652" s="80">
        <v>0.0</v>
      </c>
      <c r="AO1652" s="140">
        <v>0.0</v>
      </c>
      <c r="AP1652" s="109">
        <v>0.0</v>
      </c>
      <c r="AQ1652" s="109">
        <v>0.0</v>
      </c>
      <c r="AR1652" s="80">
        <v>0.0</v>
      </c>
      <c r="AS1652" s="110">
        <v>0.0</v>
      </c>
      <c r="AT1652" s="110">
        <v>0.0</v>
      </c>
      <c r="AU1652" s="110">
        <v>0.0</v>
      </c>
      <c r="AV1652" s="142">
        <v>0.0</v>
      </c>
      <c r="AW1652" s="80">
        <v>0.0</v>
      </c>
      <c r="AX1652" s="113">
        <v>867.0</v>
      </c>
      <c r="AY1652" s="117">
        <v>867.0</v>
      </c>
      <c r="AZ1652" s="328">
        <v>0.0</v>
      </c>
      <c r="BA1652" s="315">
        <v>0.0</v>
      </c>
      <c r="BB1652" s="316">
        <v>867.0</v>
      </c>
      <c r="BC1652" s="143" t="s">
        <v>1014</v>
      </c>
      <c r="BD1652" s="132" t="s">
        <v>178</v>
      </c>
      <c r="BE1652" s="132" t="s">
        <v>178</v>
      </c>
      <c r="BF1652" s="123"/>
      <c r="BG1652" s="83">
        <v>1102046.0</v>
      </c>
      <c r="BH1652" s="112">
        <v>16.0</v>
      </c>
      <c r="BI1652" s="98" t="s">
        <v>155</v>
      </c>
      <c r="BJ1652" s="98" t="str">
        <f t="shared" si="1"/>
        <v>NÃO</v>
      </c>
      <c r="BK1652" s="98" t="str">
        <f t="shared" si="2"/>
        <v>NÃO</v>
      </c>
    </row>
    <row r="1653" ht="15.75" customHeight="1">
      <c r="A1653" s="111" t="s">
        <v>1785</v>
      </c>
      <c r="B1653" s="83" t="s">
        <v>1994</v>
      </c>
      <c r="C1653" s="83" t="s">
        <v>68</v>
      </c>
      <c r="D1653" s="83">
        <v>1176080.0</v>
      </c>
      <c r="E1653" s="83"/>
      <c r="F1653" s="83">
        <v>2.9182115E7</v>
      </c>
      <c r="G1653" s="298" t="s">
        <v>13400</v>
      </c>
      <c r="H1653" s="91" t="s">
        <v>8973</v>
      </c>
      <c r="I1653" s="187" t="s">
        <v>8601</v>
      </c>
      <c r="J1653" s="136" t="s">
        <v>150</v>
      </c>
      <c r="K1653" s="83" t="s">
        <v>151</v>
      </c>
      <c r="L1653" s="83" t="s">
        <v>152</v>
      </c>
      <c r="M1653" s="82" t="s">
        <v>13401</v>
      </c>
      <c r="N1653" s="82" t="s">
        <v>171</v>
      </c>
      <c r="O1653" s="82" t="s">
        <v>13402</v>
      </c>
      <c r="P1653" s="82" t="s">
        <v>13403</v>
      </c>
      <c r="Q1653" s="82"/>
      <c r="R1653" s="82"/>
      <c r="S1653" s="82" t="s">
        <v>13404</v>
      </c>
      <c r="T1653" s="138">
        <v>15.0</v>
      </c>
      <c r="U1653" s="387">
        <v>13.0</v>
      </c>
      <c r="V1653" s="106">
        <v>0.0</v>
      </c>
      <c r="W1653" s="107">
        <v>0.0</v>
      </c>
      <c r="X1653" s="107">
        <v>0.0</v>
      </c>
      <c r="Y1653" s="107">
        <v>0.0</v>
      </c>
      <c r="Z1653" s="80">
        <v>0.0</v>
      </c>
      <c r="AA1653" s="140">
        <v>29.0</v>
      </c>
      <c r="AB1653" s="109">
        <v>351.0</v>
      </c>
      <c r="AC1653" s="109">
        <v>0.0</v>
      </c>
      <c r="AD1653" s="141">
        <v>0.0</v>
      </c>
      <c r="AE1653" s="80">
        <v>380.0</v>
      </c>
      <c r="AF1653" s="140">
        <v>304.0</v>
      </c>
      <c r="AG1653" s="109">
        <v>0.0</v>
      </c>
      <c r="AH1653" s="109">
        <v>0.0</v>
      </c>
      <c r="AI1653" s="141">
        <v>0.0</v>
      </c>
      <c r="AJ1653" s="80">
        <v>304.0</v>
      </c>
      <c r="AK1653" s="140">
        <v>0.0</v>
      </c>
      <c r="AL1653" s="109">
        <v>0.0</v>
      </c>
      <c r="AM1653" s="141">
        <v>0.0</v>
      </c>
      <c r="AN1653" s="80">
        <v>0.0</v>
      </c>
      <c r="AO1653" s="140">
        <v>0.0</v>
      </c>
      <c r="AP1653" s="109">
        <v>0.0</v>
      </c>
      <c r="AQ1653" s="109">
        <v>0.0</v>
      </c>
      <c r="AR1653" s="80">
        <v>0.0</v>
      </c>
      <c r="AS1653" s="110">
        <v>0.0</v>
      </c>
      <c r="AT1653" s="110">
        <v>0.0</v>
      </c>
      <c r="AU1653" s="110">
        <v>0.0</v>
      </c>
      <c r="AV1653" s="142">
        <v>0.0</v>
      </c>
      <c r="AW1653" s="80">
        <v>0.0</v>
      </c>
      <c r="AX1653" s="113">
        <v>684.0</v>
      </c>
      <c r="AY1653" s="117">
        <v>684.0</v>
      </c>
      <c r="AZ1653" s="328">
        <v>0.0</v>
      </c>
      <c r="BA1653" s="315">
        <v>0.0</v>
      </c>
      <c r="BB1653" s="316">
        <v>684.0</v>
      </c>
      <c r="BC1653" s="143" t="s">
        <v>1014</v>
      </c>
      <c r="BD1653" s="132" t="s">
        <v>178</v>
      </c>
      <c r="BE1653" s="132" t="s">
        <v>178</v>
      </c>
      <c r="BF1653" s="123"/>
      <c r="BG1653" s="83">
        <v>1176080.0</v>
      </c>
      <c r="BH1653" s="112">
        <v>13.0</v>
      </c>
      <c r="BI1653" s="98" t="s">
        <v>155</v>
      </c>
      <c r="BJ1653" s="98" t="str">
        <f t="shared" si="1"/>
        <v>NÃO</v>
      </c>
      <c r="BK1653" s="98" t="str">
        <f t="shared" si="2"/>
        <v>NÃO</v>
      </c>
    </row>
    <row r="1654" ht="15.75" customHeight="1">
      <c r="A1654" s="111" t="s">
        <v>1785</v>
      </c>
      <c r="B1654" s="83" t="s">
        <v>1994</v>
      </c>
      <c r="C1654" s="83" t="s">
        <v>68</v>
      </c>
      <c r="D1654" s="83">
        <v>1179208.0</v>
      </c>
      <c r="E1654" s="83"/>
      <c r="F1654" s="83">
        <v>2.9460026E7</v>
      </c>
      <c r="G1654" s="114" t="s">
        <v>8986</v>
      </c>
      <c r="H1654" s="91" t="s">
        <v>8987</v>
      </c>
      <c r="I1654" s="114" t="s">
        <v>8820</v>
      </c>
      <c r="J1654" s="146" t="s">
        <v>150</v>
      </c>
      <c r="K1654" s="83" t="s">
        <v>151</v>
      </c>
      <c r="L1654" s="83" t="s">
        <v>230</v>
      </c>
      <c r="M1654" s="82" t="s">
        <v>13405</v>
      </c>
      <c r="N1654" s="82" t="s">
        <v>13406</v>
      </c>
      <c r="O1654" s="82" t="s">
        <v>13407</v>
      </c>
      <c r="P1654" s="82" t="s">
        <v>13408</v>
      </c>
      <c r="Q1654" s="82" t="s">
        <v>13409</v>
      </c>
      <c r="R1654" s="82" t="s">
        <v>13410</v>
      </c>
      <c r="S1654" s="82" t="s">
        <v>13411</v>
      </c>
      <c r="T1654" s="138" t="s">
        <v>171</v>
      </c>
      <c r="U1654" s="341" t="s">
        <v>171</v>
      </c>
      <c r="V1654" s="355">
        <v>0.0</v>
      </c>
      <c r="W1654" s="246">
        <v>0.0</v>
      </c>
      <c r="X1654" s="246">
        <v>0.0</v>
      </c>
      <c r="Y1654" s="246">
        <v>0.0</v>
      </c>
      <c r="Z1654" s="80">
        <v>0.0</v>
      </c>
      <c r="AA1654" s="140">
        <v>0.0</v>
      </c>
      <c r="AB1654" s="109">
        <v>0.0</v>
      </c>
      <c r="AC1654" s="109">
        <v>0.0</v>
      </c>
      <c r="AD1654" s="141">
        <v>0.0</v>
      </c>
      <c r="AE1654" s="80">
        <v>0.0</v>
      </c>
      <c r="AF1654" s="140">
        <v>0.0</v>
      </c>
      <c r="AG1654" s="109">
        <v>0.0</v>
      </c>
      <c r="AH1654" s="109">
        <v>0.0</v>
      </c>
      <c r="AI1654" s="141">
        <v>0.0</v>
      </c>
      <c r="AJ1654" s="80">
        <v>0.0</v>
      </c>
      <c r="AK1654" s="140">
        <v>0.0</v>
      </c>
      <c r="AL1654" s="109">
        <v>0.0</v>
      </c>
      <c r="AM1654" s="141">
        <v>0.0</v>
      </c>
      <c r="AN1654" s="80">
        <v>0.0</v>
      </c>
      <c r="AO1654" s="140">
        <v>0.0</v>
      </c>
      <c r="AP1654" s="109">
        <v>0.0</v>
      </c>
      <c r="AQ1654" s="109">
        <v>0.0</v>
      </c>
      <c r="AR1654" s="80">
        <v>0.0</v>
      </c>
      <c r="AS1654" s="110">
        <v>0.0</v>
      </c>
      <c r="AT1654" s="110">
        <v>0.0</v>
      </c>
      <c r="AU1654" s="110">
        <v>0.0</v>
      </c>
      <c r="AV1654" s="142">
        <v>0.0</v>
      </c>
      <c r="AW1654" s="80">
        <v>0.0</v>
      </c>
      <c r="AX1654" s="346">
        <v>1208.0</v>
      </c>
      <c r="AY1654" s="347">
        <v>1208.0</v>
      </c>
      <c r="AZ1654" s="348">
        <v>0.0</v>
      </c>
      <c r="BA1654" s="349">
        <v>0.0</v>
      </c>
      <c r="BB1654" s="316">
        <v>1208.0</v>
      </c>
      <c r="BC1654" s="143" t="s">
        <v>547</v>
      </c>
      <c r="BD1654" s="132" t="s">
        <v>178</v>
      </c>
      <c r="BE1654" s="132" t="s">
        <v>178</v>
      </c>
      <c r="BF1654" s="123"/>
      <c r="BG1654" s="83">
        <v>1179208.0</v>
      </c>
      <c r="BH1654" s="112">
        <v>0.0</v>
      </c>
      <c r="BI1654" s="98" t="s">
        <v>155</v>
      </c>
      <c r="BJ1654" s="98" t="str">
        <f t="shared" si="1"/>
        <v>NÃO</v>
      </c>
      <c r="BK1654" s="98" t="str">
        <f t="shared" si="2"/>
        <v>NÃO</v>
      </c>
    </row>
    <row r="1655" ht="15.75" customHeight="1">
      <c r="A1655" s="111" t="s">
        <v>1785</v>
      </c>
      <c r="B1655" s="83" t="s">
        <v>1994</v>
      </c>
      <c r="C1655" s="83" t="s">
        <v>68</v>
      </c>
      <c r="D1655" s="83">
        <v>1104693.0</v>
      </c>
      <c r="E1655" s="83"/>
      <c r="F1655" s="83">
        <v>2.9181631E7</v>
      </c>
      <c r="G1655" s="114" t="s">
        <v>8989</v>
      </c>
      <c r="H1655" s="91" t="s">
        <v>8990</v>
      </c>
      <c r="I1655" s="114" t="s">
        <v>8133</v>
      </c>
      <c r="J1655" s="83" t="s">
        <v>150</v>
      </c>
      <c r="K1655" s="83" t="s">
        <v>151</v>
      </c>
      <c r="L1655" s="136" t="s">
        <v>76</v>
      </c>
      <c r="M1655" s="82" t="s">
        <v>13412</v>
      </c>
      <c r="N1655" s="82" t="s">
        <v>13413</v>
      </c>
      <c r="O1655" s="82" t="s">
        <v>13414</v>
      </c>
      <c r="P1655" s="82" t="s">
        <v>13415</v>
      </c>
      <c r="Q1655" s="82"/>
      <c r="R1655" s="82"/>
      <c r="S1655" s="82" t="s">
        <v>13416</v>
      </c>
      <c r="T1655" s="138">
        <v>17.0</v>
      </c>
      <c r="U1655" s="352">
        <v>42.0</v>
      </c>
      <c r="V1655" s="355">
        <v>0.0</v>
      </c>
      <c r="W1655" s="246">
        <v>0.0</v>
      </c>
      <c r="X1655" s="246">
        <v>0.0</v>
      </c>
      <c r="Y1655" s="246">
        <v>0.0</v>
      </c>
      <c r="Z1655" s="80">
        <v>0.0</v>
      </c>
      <c r="AA1655" s="140">
        <v>0.0</v>
      </c>
      <c r="AB1655" s="109">
        <v>0.0</v>
      </c>
      <c r="AC1655" s="109">
        <v>0.0</v>
      </c>
      <c r="AD1655" s="141">
        <v>0.0</v>
      </c>
      <c r="AE1655" s="80">
        <v>0.0</v>
      </c>
      <c r="AF1655" s="140">
        <v>164.0</v>
      </c>
      <c r="AG1655" s="109">
        <v>79.0</v>
      </c>
      <c r="AH1655" s="109">
        <v>0.0</v>
      </c>
      <c r="AI1655" s="141">
        <v>613.0</v>
      </c>
      <c r="AJ1655" s="80">
        <v>856.0</v>
      </c>
      <c r="AK1655" s="140">
        <v>0.0</v>
      </c>
      <c r="AL1655" s="109">
        <v>0.0</v>
      </c>
      <c r="AM1655" s="141">
        <v>0.0</v>
      </c>
      <c r="AN1655" s="80">
        <v>0.0</v>
      </c>
      <c r="AO1655" s="140">
        <v>0.0</v>
      </c>
      <c r="AP1655" s="109">
        <v>0.0</v>
      </c>
      <c r="AQ1655" s="109">
        <v>0.0</v>
      </c>
      <c r="AR1655" s="80">
        <v>0.0</v>
      </c>
      <c r="AS1655" s="110">
        <v>438.0</v>
      </c>
      <c r="AT1655" s="110">
        <v>261.0</v>
      </c>
      <c r="AU1655" s="110">
        <v>589.0</v>
      </c>
      <c r="AV1655" s="142">
        <v>37.0</v>
      </c>
      <c r="AW1655" s="80">
        <v>1325.0</v>
      </c>
      <c r="AX1655" s="113">
        <v>2181.0</v>
      </c>
      <c r="AY1655" s="117">
        <v>1592.0</v>
      </c>
      <c r="AZ1655" s="328">
        <v>589.0</v>
      </c>
      <c r="BA1655" s="315">
        <v>0.0</v>
      </c>
      <c r="BB1655" s="316">
        <v>2181.0</v>
      </c>
      <c r="BC1655" s="132" t="s">
        <v>178</v>
      </c>
      <c r="BD1655" s="132" t="s">
        <v>13417</v>
      </c>
      <c r="BE1655" s="132" t="s">
        <v>178</v>
      </c>
      <c r="BF1655" s="156"/>
      <c r="BG1655" s="83">
        <v>1104693.0</v>
      </c>
      <c r="BH1655" s="112">
        <v>42.0</v>
      </c>
      <c r="BI1655" s="98" t="s">
        <v>162</v>
      </c>
      <c r="BJ1655" s="98" t="str">
        <f t="shared" si="1"/>
        <v>INTEGRAL</v>
      </c>
      <c r="BK1655" s="98" t="str">
        <f t="shared" si="2"/>
        <v>PROFISSIONAL</v>
      </c>
    </row>
    <row r="1656" ht="15.75" customHeight="1">
      <c r="A1656" s="111" t="s">
        <v>1785</v>
      </c>
      <c r="B1656" s="83" t="s">
        <v>1994</v>
      </c>
      <c r="C1656" s="83" t="s">
        <v>68</v>
      </c>
      <c r="D1656" s="83">
        <v>1103778.0</v>
      </c>
      <c r="E1656" s="83"/>
      <c r="F1656" s="83">
        <v>2.9199387E7</v>
      </c>
      <c r="G1656" s="219" t="s">
        <v>8997</v>
      </c>
      <c r="H1656" s="91" t="s">
        <v>8999</v>
      </c>
      <c r="I1656" s="114" t="s">
        <v>9000</v>
      </c>
      <c r="J1656" s="83" t="s">
        <v>150</v>
      </c>
      <c r="K1656" s="83" t="s">
        <v>151</v>
      </c>
      <c r="L1656" s="83" t="s">
        <v>230</v>
      </c>
      <c r="M1656" s="82" t="s">
        <v>13418</v>
      </c>
      <c r="N1656" s="82" t="s">
        <v>13419</v>
      </c>
      <c r="O1656" s="82" t="s">
        <v>13420</v>
      </c>
      <c r="P1656" s="82" t="s">
        <v>13421</v>
      </c>
      <c r="Q1656" s="82" t="s">
        <v>13422</v>
      </c>
      <c r="R1656" s="82" t="s">
        <v>13423</v>
      </c>
      <c r="S1656" s="82" t="s">
        <v>13424</v>
      </c>
      <c r="T1656" s="138">
        <v>45.0</v>
      </c>
      <c r="U1656" s="323">
        <v>29.0</v>
      </c>
      <c r="V1656" s="355">
        <v>0.0</v>
      </c>
      <c r="W1656" s="246">
        <v>0.0</v>
      </c>
      <c r="X1656" s="246">
        <v>0.0</v>
      </c>
      <c r="Y1656" s="246">
        <v>0.0</v>
      </c>
      <c r="Z1656" s="80">
        <v>0.0</v>
      </c>
      <c r="AA1656" s="140">
        <v>0.0</v>
      </c>
      <c r="AB1656" s="109">
        <v>0.0</v>
      </c>
      <c r="AC1656" s="109">
        <v>0.0</v>
      </c>
      <c r="AD1656" s="141">
        <v>0.0</v>
      </c>
      <c r="AE1656" s="80">
        <v>0.0</v>
      </c>
      <c r="AF1656" s="140">
        <v>0.0</v>
      </c>
      <c r="AG1656" s="109">
        <v>0.0</v>
      </c>
      <c r="AH1656" s="109">
        <v>0.0</v>
      </c>
      <c r="AI1656" s="141">
        <v>0.0</v>
      </c>
      <c r="AJ1656" s="80">
        <v>0.0</v>
      </c>
      <c r="AK1656" s="140">
        <v>0.0</v>
      </c>
      <c r="AL1656" s="109">
        <v>0.0</v>
      </c>
      <c r="AM1656" s="141">
        <v>0.0</v>
      </c>
      <c r="AN1656" s="80">
        <v>0.0</v>
      </c>
      <c r="AO1656" s="140">
        <v>0.0</v>
      </c>
      <c r="AP1656" s="109">
        <v>0.0</v>
      </c>
      <c r="AQ1656" s="109">
        <v>0.0</v>
      </c>
      <c r="AR1656" s="80">
        <v>0.0</v>
      </c>
      <c r="AS1656" s="110">
        <v>627.0</v>
      </c>
      <c r="AT1656" s="110">
        <v>429.0</v>
      </c>
      <c r="AU1656" s="110">
        <v>576.0</v>
      </c>
      <c r="AV1656" s="142">
        <v>0.0</v>
      </c>
      <c r="AW1656" s="80">
        <v>1632.0</v>
      </c>
      <c r="AX1656" s="113">
        <v>1632.0</v>
      </c>
      <c r="AY1656" s="117">
        <v>1056.0</v>
      </c>
      <c r="AZ1656" s="328">
        <v>576.0</v>
      </c>
      <c r="BA1656" s="315">
        <v>0.0</v>
      </c>
      <c r="BB1656" s="316">
        <v>1632.0</v>
      </c>
      <c r="BC1656" s="132" t="s">
        <v>178</v>
      </c>
      <c r="BD1656" s="132" t="s">
        <v>779</v>
      </c>
      <c r="BE1656" s="132" t="s">
        <v>178</v>
      </c>
      <c r="BF1656" s="156"/>
      <c r="BG1656" s="83">
        <v>1103778.0</v>
      </c>
      <c r="BH1656" s="112">
        <v>29.0</v>
      </c>
      <c r="BI1656" s="98" t="s">
        <v>155</v>
      </c>
      <c r="BJ1656" s="98" t="str">
        <f t="shared" si="1"/>
        <v>NÃO</v>
      </c>
      <c r="BK1656" s="98" t="str">
        <f t="shared" si="2"/>
        <v>PROFISSIONAL</v>
      </c>
    </row>
    <row r="1657" ht="15.75" customHeight="1">
      <c r="A1657" s="111" t="s">
        <v>1785</v>
      </c>
      <c r="B1657" s="83" t="s">
        <v>1994</v>
      </c>
      <c r="C1657" s="83" t="s">
        <v>68</v>
      </c>
      <c r="D1657" s="83">
        <v>1178323.0</v>
      </c>
      <c r="E1657" s="83"/>
      <c r="F1657" s="83">
        <v>2.9882729E7</v>
      </c>
      <c r="G1657" s="114" t="s">
        <v>9003</v>
      </c>
      <c r="H1657" s="91" t="s">
        <v>9004</v>
      </c>
      <c r="I1657" s="114" t="s">
        <v>9005</v>
      </c>
      <c r="J1657" s="83" t="s">
        <v>150</v>
      </c>
      <c r="K1657" s="83" t="s">
        <v>168</v>
      </c>
      <c r="L1657" s="136" t="s">
        <v>230</v>
      </c>
      <c r="M1657" s="82" t="s">
        <v>13425</v>
      </c>
      <c r="N1657" s="82" t="s">
        <v>13426</v>
      </c>
      <c r="O1657" s="82" t="s">
        <v>13427</v>
      </c>
      <c r="P1657" s="82" t="s">
        <v>13428</v>
      </c>
      <c r="Q1657" s="82" t="s">
        <v>13429</v>
      </c>
      <c r="R1657" s="82" t="s">
        <v>13430</v>
      </c>
      <c r="S1657" s="82"/>
      <c r="T1657" s="138">
        <v>30.0</v>
      </c>
      <c r="U1657" s="341">
        <v>20.0</v>
      </c>
      <c r="V1657" s="355">
        <v>0.0</v>
      </c>
      <c r="W1657" s="246">
        <v>0.0</v>
      </c>
      <c r="X1657" s="246">
        <v>0.0</v>
      </c>
      <c r="Y1657" s="246">
        <v>0.0</v>
      </c>
      <c r="Z1657" s="80">
        <v>0.0</v>
      </c>
      <c r="AA1657" s="140">
        <v>0.0</v>
      </c>
      <c r="AB1657" s="109">
        <v>0.0</v>
      </c>
      <c r="AC1657" s="109">
        <v>0.0</v>
      </c>
      <c r="AD1657" s="141">
        <v>0.0</v>
      </c>
      <c r="AE1657" s="80">
        <v>0.0</v>
      </c>
      <c r="AF1657" s="140">
        <v>0.0</v>
      </c>
      <c r="AG1657" s="109">
        <v>0.0</v>
      </c>
      <c r="AH1657" s="109">
        <v>0.0</v>
      </c>
      <c r="AI1657" s="141">
        <v>0.0</v>
      </c>
      <c r="AJ1657" s="80">
        <v>0.0</v>
      </c>
      <c r="AK1657" s="140">
        <v>0.0</v>
      </c>
      <c r="AL1657" s="109">
        <v>0.0</v>
      </c>
      <c r="AM1657" s="141">
        <v>0.0</v>
      </c>
      <c r="AN1657" s="80">
        <v>0.0</v>
      </c>
      <c r="AO1657" s="140">
        <v>0.0</v>
      </c>
      <c r="AP1657" s="109">
        <v>0.0</v>
      </c>
      <c r="AQ1657" s="109">
        <v>0.0</v>
      </c>
      <c r="AR1657" s="80">
        <v>0.0</v>
      </c>
      <c r="AS1657" s="110">
        <v>36.0</v>
      </c>
      <c r="AT1657" s="110">
        <v>367.0</v>
      </c>
      <c r="AU1657" s="110">
        <v>363.0</v>
      </c>
      <c r="AV1657" s="142">
        <v>0.0</v>
      </c>
      <c r="AW1657" s="80">
        <v>766.0</v>
      </c>
      <c r="AX1657" s="113">
        <v>766.0</v>
      </c>
      <c r="AY1657" s="117">
        <v>403.0</v>
      </c>
      <c r="AZ1657" s="328">
        <v>363.0</v>
      </c>
      <c r="BA1657" s="315">
        <v>0.0</v>
      </c>
      <c r="BB1657" s="316">
        <v>766.0</v>
      </c>
      <c r="BC1657" s="132" t="s">
        <v>178</v>
      </c>
      <c r="BD1657" s="132" t="s">
        <v>779</v>
      </c>
      <c r="BE1657" s="132" t="s">
        <v>178</v>
      </c>
      <c r="BF1657" s="123"/>
      <c r="BG1657" s="83">
        <v>1178323.0</v>
      </c>
      <c r="BH1657" s="112">
        <v>20.0</v>
      </c>
      <c r="BI1657" s="98" t="s">
        <v>155</v>
      </c>
      <c r="BJ1657" s="98" t="str">
        <f t="shared" si="1"/>
        <v>NÃO</v>
      </c>
      <c r="BK1657" s="98" t="str">
        <f t="shared" si="2"/>
        <v>PROFISSIONAL</v>
      </c>
    </row>
    <row r="1658" ht="15.75" customHeight="1">
      <c r="A1658" s="111" t="s">
        <v>1785</v>
      </c>
      <c r="B1658" s="83" t="s">
        <v>1994</v>
      </c>
      <c r="C1658" s="83" t="s">
        <v>68</v>
      </c>
      <c r="D1658" s="83">
        <v>1100736.0</v>
      </c>
      <c r="E1658" s="83"/>
      <c r="F1658" s="83">
        <v>2.9181151E7</v>
      </c>
      <c r="G1658" s="114" t="s">
        <v>9019</v>
      </c>
      <c r="H1658" s="91" t="s">
        <v>8207</v>
      </c>
      <c r="I1658" s="114" t="s">
        <v>8208</v>
      </c>
      <c r="J1658" s="83" t="s">
        <v>150</v>
      </c>
      <c r="K1658" s="83" t="s">
        <v>151</v>
      </c>
      <c r="L1658" s="136" t="s">
        <v>230</v>
      </c>
      <c r="M1658" s="82" t="s">
        <v>13431</v>
      </c>
      <c r="N1658" s="82" t="s">
        <v>13432</v>
      </c>
      <c r="O1658" s="82" t="s">
        <v>13433</v>
      </c>
      <c r="P1658" s="82" t="s">
        <v>13434</v>
      </c>
      <c r="Q1658" s="82" t="s">
        <v>13435</v>
      </c>
      <c r="R1658" s="82" t="s">
        <v>13436</v>
      </c>
      <c r="S1658" s="82" t="s">
        <v>13437</v>
      </c>
      <c r="T1658" s="138">
        <v>33.0</v>
      </c>
      <c r="U1658" s="341">
        <v>36.0</v>
      </c>
      <c r="V1658" s="355">
        <v>0.0</v>
      </c>
      <c r="W1658" s="246">
        <v>0.0</v>
      </c>
      <c r="X1658" s="246">
        <v>0.0</v>
      </c>
      <c r="Y1658" s="246">
        <v>0.0</v>
      </c>
      <c r="Z1658" s="80">
        <v>0.0</v>
      </c>
      <c r="AA1658" s="140">
        <v>0.0</v>
      </c>
      <c r="AB1658" s="109">
        <v>0.0</v>
      </c>
      <c r="AC1658" s="109">
        <v>0.0</v>
      </c>
      <c r="AD1658" s="141">
        <v>0.0</v>
      </c>
      <c r="AE1658" s="80">
        <v>0.0</v>
      </c>
      <c r="AF1658" s="140">
        <v>0.0</v>
      </c>
      <c r="AG1658" s="109">
        <v>0.0</v>
      </c>
      <c r="AH1658" s="109">
        <v>0.0</v>
      </c>
      <c r="AI1658" s="141">
        <v>0.0</v>
      </c>
      <c r="AJ1658" s="80">
        <v>0.0</v>
      </c>
      <c r="AK1658" s="140">
        <v>0.0</v>
      </c>
      <c r="AL1658" s="109">
        <v>0.0</v>
      </c>
      <c r="AM1658" s="141">
        <v>0.0</v>
      </c>
      <c r="AN1658" s="80">
        <v>0.0</v>
      </c>
      <c r="AO1658" s="140">
        <v>0.0</v>
      </c>
      <c r="AP1658" s="109">
        <v>0.0</v>
      </c>
      <c r="AQ1658" s="109">
        <v>0.0</v>
      </c>
      <c r="AR1658" s="80">
        <v>0.0</v>
      </c>
      <c r="AS1658" s="110">
        <v>433.0</v>
      </c>
      <c r="AT1658" s="110">
        <v>252.0</v>
      </c>
      <c r="AU1658" s="110">
        <v>491.0</v>
      </c>
      <c r="AV1658" s="142">
        <v>0.0</v>
      </c>
      <c r="AW1658" s="80">
        <v>1176.0</v>
      </c>
      <c r="AX1658" s="113">
        <v>1176.0</v>
      </c>
      <c r="AY1658" s="117">
        <v>685.0</v>
      </c>
      <c r="AZ1658" s="328">
        <v>491.0</v>
      </c>
      <c r="BA1658" s="315">
        <v>0.0</v>
      </c>
      <c r="BB1658" s="316">
        <v>1176.0</v>
      </c>
      <c r="BC1658" s="132" t="s">
        <v>178</v>
      </c>
      <c r="BD1658" s="132" t="s">
        <v>779</v>
      </c>
      <c r="BE1658" s="132" t="s">
        <v>178</v>
      </c>
      <c r="BF1658" s="156"/>
      <c r="BG1658" s="83">
        <v>1100736.0</v>
      </c>
      <c r="BH1658" s="112">
        <v>36.0</v>
      </c>
      <c r="BI1658" s="98" t="s">
        <v>155</v>
      </c>
      <c r="BJ1658" s="98" t="str">
        <f t="shared" si="1"/>
        <v>NÃO</v>
      </c>
      <c r="BK1658" s="98" t="str">
        <f t="shared" si="2"/>
        <v>PROFISSIONAL</v>
      </c>
    </row>
    <row r="1659" ht="15.75" customHeight="1">
      <c r="A1659" s="111" t="s">
        <v>1785</v>
      </c>
      <c r="B1659" s="83" t="s">
        <v>1994</v>
      </c>
      <c r="C1659" s="83" t="s">
        <v>68</v>
      </c>
      <c r="D1659" s="83">
        <v>1178175.0</v>
      </c>
      <c r="E1659" s="83"/>
      <c r="F1659" s="83">
        <v>2.9447151E7</v>
      </c>
      <c r="G1659" s="114" t="s">
        <v>9021</v>
      </c>
      <c r="H1659" s="91" t="s">
        <v>13438</v>
      </c>
      <c r="I1659" s="187" t="s">
        <v>8553</v>
      </c>
      <c r="J1659" s="83" t="s">
        <v>150</v>
      </c>
      <c r="K1659" s="83" t="s">
        <v>151</v>
      </c>
      <c r="L1659" s="136" t="s">
        <v>230</v>
      </c>
      <c r="M1659" s="82" t="s">
        <v>13439</v>
      </c>
      <c r="N1659" s="82" t="s">
        <v>13440</v>
      </c>
      <c r="O1659" s="82" t="s">
        <v>13441</v>
      </c>
      <c r="P1659" s="82" t="s">
        <v>13442</v>
      </c>
      <c r="Q1659" s="82"/>
      <c r="R1659" s="82"/>
      <c r="S1659" s="82" t="s">
        <v>13443</v>
      </c>
      <c r="T1659" s="138">
        <v>21.0</v>
      </c>
      <c r="U1659" s="364">
        <v>12.0</v>
      </c>
      <c r="V1659" s="106">
        <v>0.0</v>
      </c>
      <c r="W1659" s="107">
        <v>0.0</v>
      </c>
      <c r="X1659" s="107">
        <v>0.0</v>
      </c>
      <c r="Y1659" s="107">
        <v>0.0</v>
      </c>
      <c r="Z1659" s="80">
        <v>0.0</v>
      </c>
      <c r="AA1659" s="140">
        <v>0.0</v>
      </c>
      <c r="AB1659" s="109">
        <v>0.0</v>
      </c>
      <c r="AC1659" s="109">
        <v>0.0</v>
      </c>
      <c r="AD1659" s="141">
        <v>0.0</v>
      </c>
      <c r="AE1659" s="80">
        <v>0.0</v>
      </c>
      <c r="AF1659" s="140">
        <v>0.0</v>
      </c>
      <c r="AG1659" s="109">
        <v>0.0</v>
      </c>
      <c r="AH1659" s="109">
        <v>0.0</v>
      </c>
      <c r="AI1659" s="141">
        <v>0.0</v>
      </c>
      <c r="AJ1659" s="80">
        <v>0.0</v>
      </c>
      <c r="AK1659" s="140">
        <v>0.0</v>
      </c>
      <c r="AL1659" s="109">
        <v>0.0</v>
      </c>
      <c r="AM1659" s="141">
        <v>0.0</v>
      </c>
      <c r="AN1659" s="80">
        <v>0.0</v>
      </c>
      <c r="AO1659" s="140">
        <v>0.0</v>
      </c>
      <c r="AP1659" s="109">
        <v>0.0</v>
      </c>
      <c r="AQ1659" s="109">
        <v>0.0</v>
      </c>
      <c r="AR1659" s="80">
        <v>0.0</v>
      </c>
      <c r="AS1659" s="110">
        <v>0.0</v>
      </c>
      <c r="AT1659" s="110">
        <v>46.0</v>
      </c>
      <c r="AU1659" s="110">
        <v>33.0</v>
      </c>
      <c r="AV1659" s="142">
        <v>0.0</v>
      </c>
      <c r="AW1659" s="80">
        <v>79.0</v>
      </c>
      <c r="AX1659" s="113">
        <v>79.0</v>
      </c>
      <c r="AY1659" s="117">
        <v>46.0</v>
      </c>
      <c r="AZ1659" s="328">
        <v>33.0</v>
      </c>
      <c r="BA1659" s="315">
        <v>0.0</v>
      </c>
      <c r="BB1659" s="316">
        <v>79.0</v>
      </c>
      <c r="BC1659" s="132" t="s">
        <v>178</v>
      </c>
      <c r="BD1659" s="132" t="s">
        <v>779</v>
      </c>
      <c r="BE1659" s="132" t="s">
        <v>178</v>
      </c>
      <c r="BF1659" s="123"/>
      <c r="BG1659" s="83">
        <v>1178175.0</v>
      </c>
      <c r="BH1659" s="112">
        <v>12.0</v>
      </c>
      <c r="BI1659" s="98" t="s">
        <v>155</v>
      </c>
      <c r="BJ1659" s="98" t="str">
        <f t="shared" si="1"/>
        <v>NÃO</v>
      </c>
      <c r="BK1659" s="98" t="str">
        <f t="shared" si="2"/>
        <v>PROFISSIONAL</v>
      </c>
    </row>
    <row r="1660" ht="15.75" customHeight="1">
      <c r="A1660" s="111" t="s">
        <v>1785</v>
      </c>
      <c r="B1660" s="172" t="s">
        <v>1994</v>
      </c>
      <c r="C1660" s="83" t="s">
        <v>68</v>
      </c>
      <c r="D1660" s="83">
        <v>1102550.0</v>
      </c>
      <c r="E1660" s="83"/>
      <c r="F1660" s="83">
        <v>2.9180104E7</v>
      </c>
      <c r="G1660" s="384" t="s">
        <v>9029</v>
      </c>
      <c r="H1660" s="91" t="s">
        <v>9030</v>
      </c>
      <c r="I1660" s="114" t="s">
        <v>8391</v>
      </c>
      <c r="J1660" s="83" t="s">
        <v>150</v>
      </c>
      <c r="K1660" s="83" t="s">
        <v>151</v>
      </c>
      <c r="L1660" s="83" t="s">
        <v>230</v>
      </c>
      <c r="M1660" s="82" t="s">
        <v>13444</v>
      </c>
      <c r="N1660" s="82" t="s">
        <v>13445</v>
      </c>
      <c r="O1660" s="82" t="s">
        <v>13446</v>
      </c>
      <c r="P1660" s="82" t="s">
        <v>13447</v>
      </c>
      <c r="Q1660" s="82" t="s">
        <v>13448</v>
      </c>
      <c r="R1660" s="82" t="s">
        <v>13449</v>
      </c>
      <c r="S1660" s="82" t="s">
        <v>13450</v>
      </c>
      <c r="T1660" s="138">
        <v>22.0</v>
      </c>
      <c r="U1660" s="323">
        <v>25.0</v>
      </c>
      <c r="V1660" s="106">
        <v>0.0</v>
      </c>
      <c r="W1660" s="107">
        <v>0.0</v>
      </c>
      <c r="X1660" s="107">
        <v>0.0</v>
      </c>
      <c r="Y1660" s="107">
        <v>0.0</v>
      </c>
      <c r="Z1660" s="80">
        <v>0.0</v>
      </c>
      <c r="AA1660" s="140">
        <v>0.0</v>
      </c>
      <c r="AB1660" s="109">
        <v>0.0</v>
      </c>
      <c r="AC1660" s="109">
        <v>0.0</v>
      </c>
      <c r="AD1660" s="141">
        <v>0.0</v>
      </c>
      <c r="AE1660" s="80">
        <v>0.0</v>
      </c>
      <c r="AF1660" s="140">
        <v>0.0</v>
      </c>
      <c r="AG1660" s="109">
        <v>0.0</v>
      </c>
      <c r="AH1660" s="109">
        <v>0.0</v>
      </c>
      <c r="AI1660" s="141">
        <v>0.0</v>
      </c>
      <c r="AJ1660" s="80">
        <v>0.0</v>
      </c>
      <c r="AK1660" s="140">
        <v>0.0</v>
      </c>
      <c r="AL1660" s="109">
        <v>0.0</v>
      </c>
      <c r="AM1660" s="141">
        <v>0.0</v>
      </c>
      <c r="AN1660" s="80">
        <v>0.0</v>
      </c>
      <c r="AO1660" s="140">
        <v>0.0</v>
      </c>
      <c r="AP1660" s="109">
        <v>0.0</v>
      </c>
      <c r="AQ1660" s="109">
        <v>0.0</v>
      </c>
      <c r="AR1660" s="80">
        <v>0.0</v>
      </c>
      <c r="AS1660" s="110">
        <v>667.0</v>
      </c>
      <c r="AT1660" s="110">
        <v>441.0</v>
      </c>
      <c r="AU1660" s="110">
        <v>379.0</v>
      </c>
      <c r="AV1660" s="142">
        <v>0.0</v>
      </c>
      <c r="AW1660" s="80">
        <v>1487.0</v>
      </c>
      <c r="AX1660" s="113">
        <v>1487.0</v>
      </c>
      <c r="AY1660" s="117">
        <v>1108.0</v>
      </c>
      <c r="AZ1660" s="328">
        <v>379.0</v>
      </c>
      <c r="BA1660" s="315">
        <v>0.0</v>
      </c>
      <c r="BB1660" s="316">
        <v>1487.0</v>
      </c>
      <c r="BC1660" s="132" t="s">
        <v>178</v>
      </c>
      <c r="BD1660" s="132" t="s">
        <v>779</v>
      </c>
      <c r="BE1660" s="132" t="s">
        <v>178</v>
      </c>
      <c r="BF1660" s="123"/>
      <c r="BG1660" s="83">
        <v>1102550.0</v>
      </c>
      <c r="BH1660" s="112">
        <v>25.0</v>
      </c>
      <c r="BI1660" s="98" t="s">
        <v>155</v>
      </c>
      <c r="BJ1660" s="98" t="str">
        <f t="shared" si="1"/>
        <v>NÃO</v>
      </c>
      <c r="BK1660" s="98" t="str">
        <f t="shared" si="2"/>
        <v>PROFISSIONAL</v>
      </c>
    </row>
    <row r="1661" ht="15.75" customHeight="1">
      <c r="A1661" s="111" t="s">
        <v>1785</v>
      </c>
      <c r="B1661" s="83" t="s">
        <v>1994</v>
      </c>
      <c r="C1661" s="83" t="s">
        <v>68</v>
      </c>
      <c r="D1661" s="83">
        <v>1103514.0</v>
      </c>
      <c r="E1661" s="83"/>
      <c r="F1661" s="83">
        <v>2.9181542E7</v>
      </c>
      <c r="G1661" s="114" t="s">
        <v>9034</v>
      </c>
      <c r="H1661" s="91" t="s">
        <v>9035</v>
      </c>
      <c r="I1661" s="114" t="s">
        <v>8820</v>
      </c>
      <c r="J1661" s="83" t="s">
        <v>150</v>
      </c>
      <c r="K1661" s="83" t="s">
        <v>151</v>
      </c>
      <c r="L1661" s="136" t="s">
        <v>230</v>
      </c>
      <c r="M1661" s="82" t="s">
        <v>13452</v>
      </c>
      <c r="N1661" s="82" t="s">
        <v>13453</v>
      </c>
      <c r="O1661" s="82" t="s">
        <v>13454</v>
      </c>
      <c r="P1661" s="82" t="s">
        <v>13455</v>
      </c>
      <c r="Q1661" s="82"/>
      <c r="R1661" s="82"/>
      <c r="S1661" s="82" t="s">
        <v>13456</v>
      </c>
      <c r="T1661" s="138">
        <v>31.0</v>
      </c>
      <c r="U1661" s="341">
        <v>31.0</v>
      </c>
      <c r="V1661" s="106">
        <v>0.0</v>
      </c>
      <c r="W1661" s="107">
        <v>0.0</v>
      </c>
      <c r="X1661" s="107">
        <v>0.0</v>
      </c>
      <c r="Y1661" s="107">
        <v>0.0</v>
      </c>
      <c r="Z1661" s="80">
        <v>0.0</v>
      </c>
      <c r="AA1661" s="140">
        <v>0.0</v>
      </c>
      <c r="AB1661" s="109">
        <v>0.0</v>
      </c>
      <c r="AC1661" s="109">
        <v>0.0</v>
      </c>
      <c r="AD1661" s="141">
        <v>0.0</v>
      </c>
      <c r="AE1661" s="80">
        <v>0.0</v>
      </c>
      <c r="AF1661" s="140">
        <v>0.0</v>
      </c>
      <c r="AG1661" s="109">
        <v>0.0</v>
      </c>
      <c r="AH1661" s="109">
        <v>0.0</v>
      </c>
      <c r="AI1661" s="141">
        <v>0.0</v>
      </c>
      <c r="AJ1661" s="80">
        <v>0.0</v>
      </c>
      <c r="AK1661" s="140">
        <v>0.0</v>
      </c>
      <c r="AL1661" s="109">
        <v>0.0</v>
      </c>
      <c r="AM1661" s="141">
        <v>0.0</v>
      </c>
      <c r="AN1661" s="80">
        <v>0.0</v>
      </c>
      <c r="AO1661" s="140">
        <v>0.0</v>
      </c>
      <c r="AP1661" s="109">
        <v>0.0</v>
      </c>
      <c r="AQ1661" s="109">
        <v>0.0</v>
      </c>
      <c r="AR1661" s="80">
        <v>0.0</v>
      </c>
      <c r="AS1661" s="110">
        <v>652.0</v>
      </c>
      <c r="AT1661" s="110">
        <v>318.0</v>
      </c>
      <c r="AU1661" s="110">
        <v>353.0</v>
      </c>
      <c r="AV1661" s="142">
        <v>0.0</v>
      </c>
      <c r="AW1661" s="80">
        <v>1323.0</v>
      </c>
      <c r="AX1661" s="113">
        <v>1323.0</v>
      </c>
      <c r="AY1661" s="117">
        <v>970.0</v>
      </c>
      <c r="AZ1661" s="328">
        <v>353.0</v>
      </c>
      <c r="BA1661" s="315">
        <v>0.0</v>
      </c>
      <c r="BB1661" s="316">
        <v>1323.0</v>
      </c>
      <c r="BC1661" s="132" t="s">
        <v>178</v>
      </c>
      <c r="BD1661" s="132" t="s">
        <v>779</v>
      </c>
      <c r="BE1661" s="132" t="s">
        <v>178</v>
      </c>
      <c r="BF1661" s="123"/>
      <c r="BG1661" s="83">
        <v>1103514.0</v>
      </c>
      <c r="BH1661" s="112">
        <v>31.0</v>
      </c>
      <c r="BI1661" s="98" t="s">
        <v>155</v>
      </c>
      <c r="BJ1661" s="98" t="str">
        <f t="shared" si="1"/>
        <v>NÃO</v>
      </c>
      <c r="BK1661" s="98" t="str">
        <f t="shared" si="2"/>
        <v>PROFISSIONAL</v>
      </c>
    </row>
    <row r="1662" ht="15.75" customHeight="1">
      <c r="A1662" s="111" t="s">
        <v>1785</v>
      </c>
      <c r="B1662" s="83" t="s">
        <v>1994</v>
      </c>
      <c r="C1662" s="83" t="s">
        <v>68</v>
      </c>
      <c r="D1662" s="83">
        <v>1104936.0</v>
      </c>
      <c r="E1662" s="83"/>
      <c r="F1662" s="83">
        <v>2.918732E7</v>
      </c>
      <c r="G1662" s="114" t="s">
        <v>9042</v>
      </c>
      <c r="H1662" s="91" t="s">
        <v>9043</v>
      </c>
      <c r="I1662" s="114" t="s">
        <v>9044</v>
      </c>
      <c r="J1662" s="83" t="s">
        <v>150</v>
      </c>
      <c r="K1662" s="83" t="s">
        <v>151</v>
      </c>
      <c r="L1662" s="136" t="s">
        <v>230</v>
      </c>
      <c r="M1662" s="82" t="s">
        <v>13457</v>
      </c>
      <c r="N1662" s="82" t="s">
        <v>13458</v>
      </c>
      <c r="O1662" s="82" t="s">
        <v>13459</v>
      </c>
      <c r="P1662" s="82" t="s">
        <v>13460</v>
      </c>
      <c r="Q1662" s="82" t="s">
        <v>13461</v>
      </c>
      <c r="R1662" s="82" t="s">
        <v>13462</v>
      </c>
      <c r="S1662" s="82" t="s">
        <v>13463</v>
      </c>
      <c r="T1662" s="138">
        <v>36.0</v>
      </c>
      <c r="U1662" s="341">
        <v>32.0</v>
      </c>
      <c r="V1662" s="106">
        <v>0.0</v>
      </c>
      <c r="W1662" s="107">
        <v>0.0</v>
      </c>
      <c r="X1662" s="107">
        <v>0.0</v>
      </c>
      <c r="Y1662" s="107">
        <v>0.0</v>
      </c>
      <c r="Z1662" s="80">
        <v>0.0</v>
      </c>
      <c r="AA1662" s="140">
        <v>0.0</v>
      </c>
      <c r="AB1662" s="109">
        <v>0.0</v>
      </c>
      <c r="AC1662" s="109">
        <v>0.0</v>
      </c>
      <c r="AD1662" s="141">
        <v>0.0</v>
      </c>
      <c r="AE1662" s="80">
        <v>0.0</v>
      </c>
      <c r="AF1662" s="140">
        <v>0.0</v>
      </c>
      <c r="AG1662" s="109">
        <v>0.0</v>
      </c>
      <c r="AH1662" s="109">
        <v>0.0</v>
      </c>
      <c r="AI1662" s="141">
        <v>0.0</v>
      </c>
      <c r="AJ1662" s="80">
        <v>0.0</v>
      </c>
      <c r="AK1662" s="140">
        <v>0.0</v>
      </c>
      <c r="AL1662" s="109">
        <v>0.0</v>
      </c>
      <c r="AM1662" s="141">
        <v>0.0</v>
      </c>
      <c r="AN1662" s="80">
        <v>0.0</v>
      </c>
      <c r="AO1662" s="140">
        <v>0.0</v>
      </c>
      <c r="AP1662" s="109">
        <v>0.0</v>
      </c>
      <c r="AQ1662" s="109">
        <v>0.0</v>
      </c>
      <c r="AR1662" s="80">
        <v>0.0</v>
      </c>
      <c r="AS1662" s="110">
        <v>259.0</v>
      </c>
      <c r="AT1662" s="110">
        <v>118.0</v>
      </c>
      <c r="AU1662" s="110">
        <v>264.0</v>
      </c>
      <c r="AV1662" s="142">
        <v>0.0</v>
      </c>
      <c r="AW1662" s="80">
        <v>641.0</v>
      </c>
      <c r="AX1662" s="113">
        <v>641.0</v>
      </c>
      <c r="AY1662" s="117">
        <v>377.0</v>
      </c>
      <c r="AZ1662" s="328">
        <v>264.0</v>
      </c>
      <c r="BA1662" s="315">
        <v>0.0</v>
      </c>
      <c r="BB1662" s="316">
        <v>641.0</v>
      </c>
      <c r="BC1662" s="132" t="s">
        <v>178</v>
      </c>
      <c r="BD1662" s="132" t="s">
        <v>779</v>
      </c>
      <c r="BE1662" s="132" t="s">
        <v>178</v>
      </c>
      <c r="BF1662" s="123"/>
      <c r="BG1662" s="83">
        <v>1104936.0</v>
      </c>
      <c r="BH1662" s="112">
        <v>32.0</v>
      </c>
      <c r="BI1662" s="98" t="s">
        <v>284</v>
      </c>
      <c r="BJ1662" s="98" t="str">
        <f t="shared" si="1"/>
        <v>NÃO</v>
      </c>
      <c r="BK1662" s="98" t="str">
        <f t="shared" si="2"/>
        <v>PROFISSIONAL</v>
      </c>
    </row>
    <row r="1663" ht="15.75" customHeight="1">
      <c r="A1663" s="111" t="s">
        <v>1785</v>
      </c>
      <c r="B1663" s="83" t="s">
        <v>1994</v>
      </c>
      <c r="C1663" s="83" t="s">
        <v>68</v>
      </c>
      <c r="D1663" s="83">
        <v>1102941.0</v>
      </c>
      <c r="E1663" s="83"/>
      <c r="F1663" s="83">
        <v>2.9196434E7</v>
      </c>
      <c r="G1663" s="114" t="s">
        <v>9046</v>
      </c>
      <c r="H1663" s="91" t="s">
        <v>9047</v>
      </c>
      <c r="I1663" s="114" t="s">
        <v>8150</v>
      </c>
      <c r="J1663" s="83" t="s">
        <v>150</v>
      </c>
      <c r="K1663" s="83" t="s">
        <v>151</v>
      </c>
      <c r="L1663" s="83" t="s">
        <v>230</v>
      </c>
      <c r="M1663" s="82" t="s">
        <v>13464</v>
      </c>
      <c r="N1663" s="82" t="s">
        <v>13465</v>
      </c>
      <c r="O1663" s="82" t="s">
        <v>13466</v>
      </c>
      <c r="P1663" s="82" t="s">
        <v>13467</v>
      </c>
      <c r="Q1663" s="82" t="s">
        <v>13468</v>
      </c>
      <c r="R1663" s="82" t="s">
        <v>13469</v>
      </c>
      <c r="S1663" s="82" t="s">
        <v>13470</v>
      </c>
      <c r="T1663" s="138">
        <v>23.0</v>
      </c>
      <c r="U1663" s="341">
        <v>20.0</v>
      </c>
      <c r="V1663" s="106">
        <v>0.0</v>
      </c>
      <c r="W1663" s="107">
        <v>0.0</v>
      </c>
      <c r="X1663" s="107">
        <v>0.0</v>
      </c>
      <c r="Y1663" s="107">
        <v>0.0</v>
      </c>
      <c r="Z1663" s="80">
        <v>0.0</v>
      </c>
      <c r="AA1663" s="140">
        <v>0.0</v>
      </c>
      <c r="AB1663" s="109">
        <v>0.0</v>
      </c>
      <c r="AC1663" s="109">
        <v>0.0</v>
      </c>
      <c r="AD1663" s="141">
        <v>0.0</v>
      </c>
      <c r="AE1663" s="80">
        <v>0.0</v>
      </c>
      <c r="AF1663" s="140">
        <v>0.0</v>
      </c>
      <c r="AG1663" s="109">
        <v>0.0</v>
      </c>
      <c r="AH1663" s="109">
        <v>0.0</v>
      </c>
      <c r="AI1663" s="141">
        <v>0.0</v>
      </c>
      <c r="AJ1663" s="80">
        <v>0.0</v>
      </c>
      <c r="AK1663" s="140">
        <v>0.0</v>
      </c>
      <c r="AL1663" s="109">
        <v>0.0</v>
      </c>
      <c r="AM1663" s="141">
        <v>0.0</v>
      </c>
      <c r="AN1663" s="80">
        <v>0.0</v>
      </c>
      <c r="AO1663" s="140">
        <v>0.0</v>
      </c>
      <c r="AP1663" s="109">
        <v>0.0</v>
      </c>
      <c r="AQ1663" s="109">
        <v>0.0</v>
      </c>
      <c r="AR1663" s="80">
        <v>0.0</v>
      </c>
      <c r="AS1663" s="110">
        <v>702.0</v>
      </c>
      <c r="AT1663" s="110">
        <v>271.0</v>
      </c>
      <c r="AU1663" s="110">
        <v>282.0</v>
      </c>
      <c r="AV1663" s="142">
        <v>0.0</v>
      </c>
      <c r="AW1663" s="80">
        <v>1255.0</v>
      </c>
      <c r="AX1663" s="113">
        <v>1255.0</v>
      </c>
      <c r="AY1663" s="117">
        <v>973.0</v>
      </c>
      <c r="AZ1663" s="328">
        <v>282.0</v>
      </c>
      <c r="BA1663" s="315">
        <v>0.0</v>
      </c>
      <c r="BB1663" s="316">
        <v>1255.0</v>
      </c>
      <c r="BC1663" s="132" t="s">
        <v>178</v>
      </c>
      <c r="BD1663" s="132" t="s">
        <v>779</v>
      </c>
      <c r="BE1663" s="132" t="s">
        <v>178</v>
      </c>
      <c r="BF1663" s="123"/>
      <c r="BG1663" s="83">
        <v>1102941.0</v>
      </c>
      <c r="BH1663" s="112">
        <v>20.0</v>
      </c>
      <c r="BI1663" s="98" t="s">
        <v>155</v>
      </c>
      <c r="BJ1663" s="98" t="str">
        <f t="shared" si="1"/>
        <v>NÃO</v>
      </c>
      <c r="BK1663" s="98" t="str">
        <f t="shared" si="2"/>
        <v>PROFISSIONAL</v>
      </c>
    </row>
    <row r="1664" ht="15.75" customHeight="1">
      <c r="A1664" s="111" t="s">
        <v>1785</v>
      </c>
      <c r="B1664" s="83" t="s">
        <v>1994</v>
      </c>
      <c r="C1664" s="83" t="s">
        <v>68</v>
      </c>
      <c r="D1664" s="83">
        <v>1104049.0</v>
      </c>
      <c r="E1664" s="83"/>
      <c r="F1664" s="83">
        <v>2.9200342E7</v>
      </c>
      <c r="G1664" s="114" t="s">
        <v>9053</v>
      </c>
      <c r="H1664" s="91" t="s">
        <v>9054</v>
      </c>
      <c r="I1664" s="114" t="s">
        <v>8204</v>
      </c>
      <c r="J1664" s="83" t="s">
        <v>150</v>
      </c>
      <c r="K1664" s="83" t="s">
        <v>151</v>
      </c>
      <c r="L1664" s="83" t="s">
        <v>230</v>
      </c>
      <c r="M1664" s="82" t="s">
        <v>13471</v>
      </c>
      <c r="N1664" s="82" t="s">
        <v>13472</v>
      </c>
      <c r="O1664" s="82" t="s">
        <v>13473</v>
      </c>
      <c r="P1664" s="82" t="s">
        <v>13474</v>
      </c>
      <c r="Q1664" s="82"/>
      <c r="R1664" s="82"/>
      <c r="S1664" s="82" t="s">
        <v>13475</v>
      </c>
      <c r="T1664" s="138">
        <v>48.0</v>
      </c>
      <c r="U1664" s="341">
        <v>24.0</v>
      </c>
      <c r="V1664" s="106">
        <v>0.0</v>
      </c>
      <c r="W1664" s="107">
        <v>0.0</v>
      </c>
      <c r="X1664" s="107">
        <v>0.0</v>
      </c>
      <c r="Y1664" s="107">
        <v>0.0</v>
      </c>
      <c r="Z1664" s="80">
        <v>0.0</v>
      </c>
      <c r="AA1664" s="140">
        <v>0.0</v>
      </c>
      <c r="AB1664" s="109">
        <v>0.0</v>
      </c>
      <c r="AC1664" s="109">
        <v>0.0</v>
      </c>
      <c r="AD1664" s="141">
        <v>0.0</v>
      </c>
      <c r="AE1664" s="80">
        <v>0.0</v>
      </c>
      <c r="AF1664" s="140">
        <v>0.0</v>
      </c>
      <c r="AG1664" s="109">
        <v>0.0</v>
      </c>
      <c r="AH1664" s="109">
        <v>0.0</v>
      </c>
      <c r="AI1664" s="141">
        <v>0.0</v>
      </c>
      <c r="AJ1664" s="80">
        <v>0.0</v>
      </c>
      <c r="AK1664" s="140">
        <v>0.0</v>
      </c>
      <c r="AL1664" s="109">
        <v>0.0</v>
      </c>
      <c r="AM1664" s="141">
        <v>0.0</v>
      </c>
      <c r="AN1664" s="80">
        <v>0.0</v>
      </c>
      <c r="AO1664" s="140">
        <v>0.0</v>
      </c>
      <c r="AP1664" s="109">
        <v>0.0</v>
      </c>
      <c r="AQ1664" s="109">
        <v>0.0</v>
      </c>
      <c r="AR1664" s="80">
        <v>0.0</v>
      </c>
      <c r="AS1664" s="110">
        <v>0.0</v>
      </c>
      <c r="AT1664" s="110">
        <v>0.0</v>
      </c>
      <c r="AU1664" s="110">
        <v>0.0</v>
      </c>
      <c r="AV1664" s="142">
        <v>0.0</v>
      </c>
      <c r="AW1664" s="80">
        <v>0.0</v>
      </c>
      <c r="AX1664" s="113">
        <v>0.0</v>
      </c>
      <c r="AY1664" s="117">
        <v>0.0</v>
      </c>
      <c r="AZ1664" s="328">
        <v>0.0</v>
      </c>
      <c r="BA1664" s="349">
        <v>0.0</v>
      </c>
      <c r="BB1664" s="316">
        <v>0.0</v>
      </c>
      <c r="BC1664" s="132" t="s">
        <v>553</v>
      </c>
      <c r="BD1664" s="132" t="s">
        <v>178</v>
      </c>
      <c r="BE1664" s="132" t="s">
        <v>178</v>
      </c>
      <c r="BF1664" s="123"/>
      <c r="BG1664" s="83">
        <v>1104049.0</v>
      </c>
      <c r="BH1664" s="112">
        <v>24.0</v>
      </c>
      <c r="BI1664" s="98" t="s">
        <v>155</v>
      </c>
      <c r="BJ1664" s="98" t="str">
        <f t="shared" si="1"/>
        <v>NÃO</v>
      </c>
      <c r="BK1664" s="98" t="str">
        <f t="shared" si="2"/>
        <v>NÃO</v>
      </c>
    </row>
    <row r="1665" ht="15.75" customHeight="1">
      <c r="A1665" s="111" t="s">
        <v>1785</v>
      </c>
      <c r="B1665" s="83" t="s">
        <v>1994</v>
      </c>
      <c r="C1665" s="83" t="s">
        <v>68</v>
      </c>
      <c r="D1665" s="83">
        <v>1102186.0</v>
      </c>
      <c r="E1665" s="83"/>
      <c r="F1665" s="83">
        <v>2.919119E7</v>
      </c>
      <c r="G1665" s="114" t="s">
        <v>13476</v>
      </c>
      <c r="H1665" s="91" t="s">
        <v>9007</v>
      </c>
      <c r="I1665" s="114" t="s">
        <v>9008</v>
      </c>
      <c r="J1665" s="83" t="s">
        <v>150</v>
      </c>
      <c r="K1665" s="83" t="s">
        <v>151</v>
      </c>
      <c r="L1665" s="83" t="s">
        <v>230</v>
      </c>
      <c r="M1665" s="82" t="s">
        <v>13477</v>
      </c>
      <c r="N1665" s="82" t="s">
        <v>12638</v>
      </c>
      <c r="O1665" s="82" t="s">
        <v>13478</v>
      </c>
      <c r="P1665" s="82" t="s">
        <v>13479</v>
      </c>
      <c r="Q1665" s="82" t="s">
        <v>13480</v>
      </c>
      <c r="R1665" s="82" t="s">
        <v>13481</v>
      </c>
      <c r="S1665" s="82" t="s">
        <v>12641</v>
      </c>
      <c r="T1665" s="138">
        <v>21.0</v>
      </c>
      <c r="U1665" s="341">
        <v>20.0</v>
      </c>
      <c r="V1665" s="106">
        <v>0.0</v>
      </c>
      <c r="W1665" s="107">
        <v>0.0</v>
      </c>
      <c r="X1665" s="107">
        <v>0.0</v>
      </c>
      <c r="Y1665" s="107">
        <v>0.0</v>
      </c>
      <c r="Z1665" s="80">
        <v>0.0</v>
      </c>
      <c r="AA1665" s="140">
        <v>0.0</v>
      </c>
      <c r="AB1665" s="109">
        <v>0.0</v>
      </c>
      <c r="AC1665" s="109">
        <v>0.0</v>
      </c>
      <c r="AD1665" s="141">
        <v>0.0</v>
      </c>
      <c r="AE1665" s="80">
        <v>0.0</v>
      </c>
      <c r="AF1665" s="140">
        <v>0.0</v>
      </c>
      <c r="AG1665" s="109">
        <v>0.0</v>
      </c>
      <c r="AH1665" s="109">
        <v>0.0</v>
      </c>
      <c r="AI1665" s="141">
        <v>0.0</v>
      </c>
      <c r="AJ1665" s="80">
        <v>0.0</v>
      </c>
      <c r="AK1665" s="140">
        <v>0.0</v>
      </c>
      <c r="AL1665" s="109">
        <v>0.0</v>
      </c>
      <c r="AM1665" s="141">
        <v>0.0</v>
      </c>
      <c r="AN1665" s="80">
        <v>0.0</v>
      </c>
      <c r="AO1665" s="140">
        <v>0.0</v>
      </c>
      <c r="AP1665" s="109">
        <v>0.0</v>
      </c>
      <c r="AQ1665" s="109">
        <v>0.0</v>
      </c>
      <c r="AR1665" s="80">
        <v>0.0</v>
      </c>
      <c r="AS1665" s="110">
        <v>156.0</v>
      </c>
      <c r="AT1665" s="110">
        <v>219.0</v>
      </c>
      <c r="AU1665" s="110">
        <v>336.0</v>
      </c>
      <c r="AV1665" s="142">
        <v>0.0</v>
      </c>
      <c r="AW1665" s="80">
        <v>711.0</v>
      </c>
      <c r="AX1665" s="113">
        <v>711.0</v>
      </c>
      <c r="AY1665" s="117">
        <v>375.0</v>
      </c>
      <c r="AZ1665" s="328">
        <v>336.0</v>
      </c>
      <c r="BA1665" s="315">
        <v>0.0</v>
      </c>
      <c r="BB1665" s="316">
        <v>711.0</v>
      </c>
      <c r="BC1665" s="132" t="s">
        <v>178</v>
      </c>
      <c r="BD1665" s="132" t="s">
        <v>779</v>
      </c>
      <c r="BE1665" s="132" t="s">
        <v>178</v>
      </c>
      <c r="BF1665" s="123"/>
      <c r="BG1665" s="83">
        <v>1102186.0</v>
      </c>
      <c r="BH1665" s="112">
        <v>20.0</v>
      </c>
      <c r="BI1665" s="98" t="s">
        <v>155</v>
      </c>
      <c r="BJ1665" s="98" t="str">
        <f t="shared" si="1"/>
        <v>NÃO</v>
      </c>
      <c r="BK1665" s="98" t="str">
        <f t="shared" si="2"/>
        <v>PROFISSIONAL</v>
      </c>
    </row>
    <row r="1666" ht="15.75" customHeight="1">
      <c r="A1666" s="111" t="s">
        <v>1785</v>
      </c>
      <c r="B1666" s="83" t="s">
        <v>1994</v>
      </c>
      <c r="C1666" s="83" t="s">
        <v>68</v>
      </c>
      <c r="D1666" s="83">
        <v>1101163.0</v>
      </c>
      <c r="E1666" s="83"/>
      <c r="F1666" s="83">
        <v>2.918049E7</v>
      </c>
      <c r="G1666" s="114" t="s">
        <v>13482</v>
      </c>
      <c r="H1666" s="91" t="s">
        <v>8758</v>
      </c>
      <c r="I1666" s="114" t="s">
        <v>8759</v>
      </c>
      <c r="J1666" s="83" t="s">
        <v>150</v>
      </c>
      <c r="K1666" s="83" t="s">
        <v>151</v>
      </c>
      <c r="L1666" s="83" t="s">
        <v>152</v>
      </c>
      <c r="M1666" s="82" t="s">
        <v>13483</v>
      </c>
      <c r="N1666" s="82" t="s">
        <v>13484</v>
      </c>
      <c r="O1666" s="82" t="s">
        <v>13485</v>
      </c>
      <c r="P1666" s="82" t="s">
        <v>13486</v>
      </c>
      <c r="Q1666" s="82" t="s">
        <v>13487</v>
      </c>
      <c r="R1666" s="82" t="s">
        <v>13488</v>
      </c>
      <c r="S1666" s="82" t="s">
        <v>13489</v>
      </c>
      <c r="T1666" s="138">
        <v>21.0</v>
      </c>
      <c r="U1666" s="341">
        <v>21.0</v>
      </c>
      <c r="V1666" s="106">
        <v>0.0</v>
      </c>
      <c r="W1666" s="107">
        <v>0.0</v>
      </c>
      <c r="X1666" s="107">
        <v>0.0</v>
      </c>
      <c r="Y1666" s="107">
        <v>0.0</v>
      </c>
      <c r="Z1666" s="80">
        <v>0.0</v>
      </c>
      <c r="AA1666" s="140">
        <v>0.0</v>
      </c>
      <c r="AB1666" s="109">
        <v>0.0</v>
      </c>
      <c r="AC1666" s="109">
        <v>0.0</v>
      </c>
      <c r="AD1666" s="141">
        <v>0.0</v>
      </c>
      <c r="AE1666" s="80">
        <v>0.0</v>
      </c>
      <c r="AF1666" s="140">
        <v>276.0</v>
      </c>
      <c r="AG1666" s="109">
        <v>0.0</v>
      </c>
      <c r="AH1666" s="109">
        <v>0.0</v>
      </c>
      <c r="AI1666" s="141">
        <v>9.0</v>
      </c>
      <c r="AJ1666" s="80">
        <v>285.0</v>
      </c>
      <c r="AK1666" s="140">
        <v>0.0</v>
      </c>
      <c r="AL1666" s="109">
        <v>0.0</v>
      </c>
      <c r="AM1666" s="141">
        <v>0.0</v>
      </c>
      <c r="AN1666" s="80">
        <v>0.0</v>
      </c>
      <c r="AO1666" s="140">
        <v>45.0</v>
      </c>
      <c r="AP1666" s="109">
        <v>0.0</v>
      </c>
      <c r="AQ1666" s="109">
        <v>70.0</v>
      </c>
      <c r="AR1666" s="80">
        <v>115.0</v>
      </c>
      <c r="AS1666" s="110">
        <v>0.0</v>
      </c>
      <c r="AT1666" s="110">
        <v>20.0</v>
      </c>
      <c r="AU1666" s="110">
        <v>180.0</v>
      </c>
      <c r="AV1666" s="142">
        <v>0.0</v>
      </c>
      <c r="AW1666" s="80">
        <v>200.0</v>
      </c>
      <c r="AX1666" s="113">
        <v>600.0</v>
      </c>
      <c r="AY1666" s="117">
        <v>350.0</v>
      </c>
      <c r="AZ1666" s="328">
        <v>250.0</v>
      </c>
      <c r="BA1666" s="315">
        <v>2.0</v>
      </c>
      <c r="BB1666" s="316">
        <v>602.0</v>
      </c>
      <c r="BC1666" s="132" t="s">
        <v>178</v>
      </c>
      <c r="BD1666" s="132" t="s">
        <v>178</v>
      </c>
      <c r="BE1666" s="132" t="s">
        <v>178</v>
      </c>
      <c r="BF1666" s="123"/>
      <c r="BG1666" s="83">
        <v>1101163.0</v>
      </c>
      <c r="BH1666" s="112">
        <v>21.0</v>
      </c>
      <c r="BI1666" s="98" t="s">
        <v>155</v>
      </c>
      <c r="BJ1666" s="98" t="str">
        <f t="shared" si="1"/>
        <v>INTEGRAL</v>
      </c>
      <c r="BK1666" s="98" t="str">
        <f t="shared" si="2"/>
        <v>PROFISSIONAL</v>
      </c>
    </row>
    <row r="1667" ht="15.75" customHeight="1">
      <c r="A1667" s="111" t="s">
        <v>1785</v>
      </c>
      <c r="B1667" s="83" t="s">
        <v>1994</v>
      </c>
      <c r="C1667" s="83" t="s">
        <v>68</v>
      </c>
      <c r="D1667" s="83">
        <v>1101511.0</v>
      </c>
      <c r="E1667" s="83"/>
      <c r="F1667" s="83">
        <v>2.998372E7</v>
      </c>
      <c r="G1667" s="114" t="s">
        <v>9065</v>
      </c>
      <c r="H1667" s="91" t="s">
        <v>9066</v>
      </c>
      <c r="I1667" s="187" t="s">
        <v>8208</v>
      </c>
      <c r="J1667" s="83" t="s">
        <v>150</v>
      </c>
      <c r="K1667" s="83" t="s">
        <v>151</v>
      </c>
      <c r="L1667" s="83" t="s">
        <v>1326</v>
      </c>
      <c r="M1667" s="82" t="s">
        <v>13490</v>
      </c>
      <c r="N1667" s="82" t="s">
        <v>13491</v>
      </c>
      <c r="O1667" s="82" t="s">
        <v>13492</v>
      </c>
      <c r="P1667" s="82" t="s">
        <v>13493</v>
      </c>
      <c r="Q1667" s="82" t="s">
        <v>13494</v>
      </c>
      <c r="R1667" s="82" t="s">
        <v>13495</v>
      </c>
      <c r="S1667" s="82" t="s">
        <v>13496</v>
      </c>
      <c r="T1667" s="138" t="s">
        <v>171</v>
      </c>
      <c r="U1667" s="341">
        <v>12.0</v>
      </c>
      <c r="V1667" s="106">
        <v>0.0</v>
      </c>
      <c r="W1667" s="107">
        <v>0.0</v>
      </c>
      <c r="X1667" s="107">
        <v>0.0</v>
      </c>
      <c r="Y1667" s="107">
        <v>0.0</v>
      </c>
      <c r="Z1667" s="80">
        <v>0.0</v>
      </c>
      <c r="AA1667" s="140">
        <v>0.0</v>
      </c>
      <c r="AB1667" s="109">
        <v>0.0</v>
      </c>
      <c r="AC1667" s="109">
        <v>0.0</v>
      </c>
      <c r="AD1667" s="141">
        <v>0.0</v>
      </c>
      <c r="AE1667" s="80">
        <v>0.0</v>
      </c>
      <c r="AF1667" s="140">
        <v>0.0</v>
      </c>
      <c r="AG1667" s="109">
        <v>0.0</v>
      </c>
      <c r="AH1667" s="109">
        <v>0.0</v>
      </c>
      <c r="AI1667" s="141">
        <v>0.0</v>
      </c>
      <c r="AJ1667" s="80">
        <v>0.0</v>
      </c>
      <c r="AK1667" s="140">
        <v>0.0</v>
      </c>
      <c r="AL1667" s="109">
        <v>0.0</v>
      </c>
      <c r="AM1667" s="141">
        <v>0.0</v>
      </c>
      <c r="AN1667" s="80">
        <v>0.0</v>
      </c>
      <c r="AO1667" s="140">
        <v>0.0</v>
      </c>
      <c r="AP1667" s="109">
        <v>0.0</v>
      </c>
      <c r="AQ1667" s="109">
        <v>0.0</v>
      </c>
      <c r="AR1667" s="80">
        <v>0.0</v>
      </c>
      <c r="AS1667" s="110">
        <v>0.0</v>
      </c>
      <c r="AT1667" s="110">
        <v>0.0</v>
      </c>
      <c r="AU1667" s="110">
        <v>0.0</v>
      </c>
      <c r="AV1667" s="142">
        <v>0.0</v>
      </c>
      <c r="AW1667" s="80">
        <v>0.0</v>
      </c>
      <c r="AX1667" s="113">
        <v>0.0</v>
      </c>
      <c r="AY1667" s="117">
        <v>0.0</v>
      </c>
      <c r="AZ1667" s="328">
        <v>0.0</v>
      </c>
      <c r="BA1667" s="315">
        <v>0.0</v>
      </c>
      <c r="BB1667" s="316">
        <v>0.0</v>
      </c>
      <c r="BC1667" s="132" t="s">
        <v>178</v>
      </c>
      <c r="BD1667" s="132" t="s">
        <v>178</v>
      </c>
      <c r="BE1667" s="132" t="s">
        <v>178</v>
      </c>
      <c r="BF1667" s="123"/>
      <c r="BG1667" s="83">
        <v>1101511.0</v>
      </c>
      <c r="BH1667" s="112">
        <v>12.0</v>
      </c>
      <c r="BI1667" s="98" t="s">
        <v>155</v>
      </c>
      <c r="BJ1667" s="98" t="str">
        <f t="shared" si="1"/>
        <v>NÃO</v>
      </c>
      <c r="BK1667" s="98" t="str">
        <f t="shared" si="2"/>
        <v>NÃO</v>
      </c>
    </row>
    <row r="1668" ht="15.75" customHeight="1">
      <c r="A1668" s="111" t="s">
        <v>1785</v>
      </c>
      <c r="B1668" s="83" t="s">
        <v>1994</v>
      </c>
      <c r="C1668" s="83" t="s">
        <v>68</v>
      </c>
      <c r="D1668" s="83">
        <v>1101490.0</v>
      </c>
      <c r="E1668" s="83"/>
      <c r="F1668" s="83">
        <v>2.9179491E7</v>
      </c>
      <c r="G1668" s="114" t="s">
        <v>9069</v>
      </c>
      <c r="H1668" s="91" t="s">
        <v>9070</v>
      </c>
      <c r="I1668" s="114" t="s">
        <v>8208</v>
      </c>
      <c r="J1668" s="83" t="s">
        <v>150</v>
      </c>
      <c r="K1668" s="83" t="s">
        <v>151</v>
      </c>
      <c r="L1668" s="83" t="s">
        <v>76</v>
      </c>
      <c r="M1668" s="82" t="s">
        <v>13497</v>
      </c>
      <c r="N1668" s="82" t="s">
        <v>13498</v>
      </c>
      <c r="O1668" s="82" t="s">
        <v>13499</v>
      </c>
      <c r="P1668" s="82" t="s">
        <v>13500</v>
      </c>
      <c r="Q1668" s="82"/>
      <c r="R1668" s="82"/>
      <c r="S1668" s="82" t="s">
        <v>13502</v>
      </c>
      <c r="T1668" s="138">
        <v>12.0</v>
      </c>
      <c r="U1668" s="341">
        <v>12.0</v>
      </c>
      <c r="V1668" s="106">
        <v>0.0</v>
      </c>
      <c r="W1668" s="107">
        <v>0.0</v>
      </c>
      <c r="X1668" s="107">
        <v>0.0</v>
      </c>
      <c r="Y1668" s="107">
        <v>0.0</v>
      </c>
      <c r="Z1668" s="80">
        <v>0.0</v>
      </c>
      <c r="AA1668" s="140">
        <v>0.0</v>
      </c>
      <c r="AB1668" s="109">
        <v>0.0</v>
      </c>
      <c r="AC1668" s="109">
        <v>0.0</v>
      </c>
      <c r="AD1668" s="141">
        <v>0.0</v>
      </c>
      <c r="AE1668" s="80">
        <v>0.0</v>
      </c>
      <c r="AF1668" s="140">
        <v>296.0</v>
      </c>
      <c r="AG1668" s="109">
        <v>118.0</v>
      </c>
      <c r="AH1668" s="109">
        <v>37.0</v>
      </c>
      <c r="AI1668" s="141">
        <v>0.0</v>
      </c>
      <c r="AJ1668" s="80">
        <v>451.0</v>
      </c>
      <c r="AK1668" s="140">
        <v>0.0</v>
      </c>
      <c r="AL1668" s="109">
        <v>0.0</v>
      </c>
      <c r="AM1668" s="141">
        <v>0.0</v>
      </c>
      <c r="AN1668" s="80">
        <v>0.0</v>
      </c>
      <c r="AO1668" s="140">
        <v>0.0</v>
      </c>
      <c r="AP1668" s="109">
        <v>0.0</v>
      </c>
      <c r="AQ1668" s="109">
        <v>148.0</v>
      </c>
      <c r="AR1668" s="80">
        <v>148.0</v>
      </c>
      <c r="AS1668" s="110">
        <v>0.0</v>
      </c>
      <c r="AT1668" s="110">
        <v>0.0</v>
      </c>
      <c r="AU1668" s="110">
        <v>0.0</v>
      </c>
      <c r="AV1668" s="142">
        <v>0.0</v>
      </c>
      <c r="AW1668" s="80">
        <v>0.0</v>
      </c>
      <c r="AX1668" s="113">
        <v>599.0</v>
      </c>
      <c r="AY1668" s="117">
        <v>414.0</v>
      </c>
      <c r="AZ1668" s="328">
        <v>185.0</v>
      </c>
      <c r="BA1668" s="315">
        <v>4.0</v>
      </c>
      <c r="BB1668" s="316">
        <v>603.0</v>
      </c>
      <c r="BC1668" s="132" t="s">
        <v>178</v>
      </c>
      <c r="BD1668" s="132" t="s">
        <v>178</v>
      </c>
      <c r="BE1668" s="132" t="s">
        <v>178</v>
      </c>
      <c r="BF1668" s="123"/>
      <c r="BG1668" s="83">
        <v>1101490.0</v>
      </c>
      <c r="BH1668" s="112">
        <v>12.0</v>
      </c>
      <c r="BI1668" s="98" t="s">
        <v>155</v>
      </c>
      <c r="BJ1668" s="98" t="str">
        <f t="shared" si="1"/>
        <v>NÃO</v>
      </c>
      <c r="BK1668" s="98" t="str">
        <f t="shared" si="2"/>
        <v>NÃO</v>
      </c>
    </row>
    <row r="1669" ht="15.75" customHeight="1">
      <c r="A1669" s="111" t="s">
        <v>1785</v>
      </c>
      <c r="B1669" s="83" t="s">
        <v>1994</v>
      </c>
      <c r="C1669" s="83" t="s">
        <v>68</v>
      </c>
      <c r="D1669" s="83">
        <v>1101430.0</v>
      </c>
      <c r="E1669" s="83"/>
      <c r="F1669" s="83">
        <v>2.9179629E7</v>
      </c>
      <c r="G1669" s="114" t="s">
        <v>9078</v>
      </c>
      <c r="H1669" s="91" t="s">
        <v>9079</v>
      </c>
      <c r="I1669" s="114" t="s">
        <v>8482</v>
      </c>
      <c r="J1669" s="83" t="s">
        <v>150</v>
      </c>
      <c r="K1669" s="83" t="s">
        <v>151</v>
      </c>
      <c r="L1669" s="83" t="s">
        <v>152</v>
      </c>
      <c r="M1669" s="82" t="s">
        <v>13503</v>
      </c>
      <c r="N1669" s="82" t="s">
        <v>13504</v>
      </c>
      <c r="O1669" s="82" t="s">
        <v>13505</v>
      </c>
      <c r="P1669" s="82" t="s">
        <v>13506</v>
      </c>
      <c r="Q1669" s="82" t="s">
        <v>13507</v>
      </c>
      <c r="R1669" s="82" t="s">
        <v>13508</v>
      </c>
      <c r="S1669" s="82" t="s">
        <v>13509</v>
      </c>
      <c r="T1669" s="138">
        <v>16.0</v>
      </c>
      <c r="U1669" s="341">
        <v>18.0</v>
      </c>
      <c r="V1669" s="106">
        <v>0.0</v>
      </c>
      <c r="W1669" s="107">
        <v>0.0</v>
      </c>
      <c r="X1669" s="107">
        <v>0.0</v>
      </c>
      <c r="Y1669" s="107">
        <v>0.0</v>
      </c>
      <c r="Z1669" s="80">
        <v>0.0</v>
      </c>
      <c r="AA1669" s="140">
        <v>230.0</v>
      </c>
      <c r="AB1669" s="109">
        <v>195.0</v>
      </c>
      <c r="AC1669" s="109">
        <v>0.0</v>
      </c>
      <c r="AD1669" s="141">
        <v>0.0</v>
      </c>
      <c r="AE1669" s="80">
        <v>425.0</v>
      </c>
      <c r="AF1669" s="140">
        <v>0.0</v>
      </c>
      <c r="AG1669" s="109">
        <v>0.0</v>
      </c>
      <c r="AH1669" s="109">
        <v>0.0</v>
      </c>
      <c r="AI1669" s="141">
        <v>0.0</v>
      </c>
      <c r="AJ1669" s="80">
        <v>0.0</v>
      </c>
      <c r="AK1669" s="140">
        <v>0.0</v>
      </c>
      <c r="AL1669" s="109">
        <v>0.0</v>
      </c>
      <c r="AM1669" s="141">
        <v>60.0</v>
      </c>
      <c r="AN1669" s="80">
        <v>60.0</v>
      </c>
      <c r="AO1669" s="140">
        <v>0.0</v>
      </c>
      <c r="AP1669" s="109">
        <v>0.0</v>
      </c>
      <c r="AQ1669" s="109">
        <v>199.0</v>
      </c>
      <c r="AR1669" s="80">
        <v>199.0</v>
      </c>
      <c r="AS1669" s="110">
        <v>0.0</v>
      </c>
      <c r="AT1669" s="110">
        <v>0.0</v>
      </c>
      <c r="AU1669" s="110">
        <v>0.0</v>
      </c>
      <c r="AV1669" s="142">
        <v>0.0</v>
      </c>
      <c r="AW1669" s="80">
        <v>0.0</v>
      </c>
      <c r="AX1669" s="113">
        <v>684.0</v>
      </c>
      <c r="AY1669" s="117">
        <v>425.0</v>
      </c>
      <c r="AZ1669" s="328">
        <v>259.0</v>
      </c>
      <c r="BA1669" s="315">
        <v>0.0</v>
      </c>
      <c r="BB1669" s="316">
        <v>684.0</v>
      </c>
      <c r="BC1669" s="132" t="s">
        <v>178</v>
      </c>
      <c r="BD1669" s="132" t="s">
        <v>178</v>
      </c>
      <c r="BE1669" s="132" t="s">
        <v>178</v>
      </c>
      <c r="BF1669" s="123"/>
      <c r="BG1669" s="83">
        <v>1101430.0</v>
      </c>
      <c r="BH1669" s="112">
        <v>18.0</v>
      </c>
      <c r="BI1669" s="98" t="s">
        <v>155</v>
      </c>
      <c r="BJ1669" s="98" t="str">
        <f t="shared" si="1"/>
        <v>NÃO</v>
      </c>
      <c r="BK1669" s="98" t="str">
        <f t="shared" si="2"/>
        <v>NÃO</v>
      </c>
    </row>
    <row r="1670" ht="15.75" customHeight="1">
      <c r="A1670" s="111" t="s">
        <v>1785</v>
      </c>
      <c r="B1670" s="83" t="s">
        <v>1994</v>
      </c>
      <c r="C1670" s="83" t="s">
        <v>68</v>
      </c>
      <c r="D1670" s="83">
        <v>1101368.0</v>
      </c>
      <c r="E1670" s="83"/>
      <c r="F1670" s="83">
        <v>2.9179394E7</v>
      </c>
      <c r="G1670" s="114" t="s">
        <v>9085</v>
      </c>
      <c r="H1670" s="91" t="s">
        <v>9087</v>
      </c>
      <c r="I1670" s="114" t="s">
        <v>9089</v>
      </c>
      <c r="J1670" s="83" t="s">
        <v>150</v>
      </c>
      <c r="K1670" s="83" t="s">
        <v>151</v>
      </c>
      <c r="L1670" s="83" t="s">
        <v>152</v>
      </c>
      <c r="M1670" s="82" t="s">
        <v>13510</v>
      </c>
      <c r="N1670" s="82" t="s">
        <v>13511</v>
      </c>
      <c r="O1670" s="82" t="s">
        <v>13512</v>
      </c>
      <c r="P1670" s="82" t="s">
        <v>13181</v>
      </c>
      <c r="Q1670" s="82"/>
      <c r="R1670" s="82"/>
      <c r="S1670" s="82" t="s">
        <v>13513</v>
      </c>
      <c r="T1670" s="138">
        <v>20.0</v>
      </c>
      <c r="U1670" s="341">
        <v>26.0</v>
      </c>
      <c r="V1670" s="106">
        <v>0.0</v>
      </c>
      <c r="W1670" s="107">
        <v>0.0</v>
      </c>
      <c r="X1670" s="107">
        <v>0.0</v>
      </c>
      <c r="Y1670" s="107">
        <v>0.0</v>
      </c>
      <c r="Z1670" s="80">
        <v>0.0</v>
      </c>
      <c r="AA1670" s="140">
        <v>416.0</v>
      </c>
      <c r="AB1670" s="109">
        <v>0.0</v>
      </c>
      <c r="AC1670" s="109">
        <v>0.0</v>
      </c>
      <c r="AD1670" s="141">
        <v>0.0</v>
      </c>
      <c r="AE1670" s="80">
        <v>416.0</v>
      </c>
      <c r="AF1670" s="140">
        <v>151.0</v>
      </c>
      <c r="AG1670" s="109">
        <v>0.0</v>
      </c>
      <c r="AH1670" s="109">
        <v>0.0</v>
      </c>
      <c r="AI1670" s="141">
        <v>0.0</v>
      </c>
      <c r="AJ1670" s="80">
        <v>151.0</v>
      </c>
      <c r="AK1670" s="140">
        <v>0.0</v>
      </c>
      <c r="AL1670" s="109">
        <v>0.0</v>
      </c>
      <c r="AM1670" s="141">
        <v>0.0</v>
      </c>
      <c r="AN1670" s="80">
        <v>0.0</v>
      </c>
      <c r="AO1670" s="140">
        <v>0.0</v>
      </c>
      <c r="AP1670" s="109">
        <v>0.0</v>
      </c>
      <c r="AQ1670" s="109">
        <v>0.0</v>
      </c>
      <c r="AR1670" s="80">
        <v>0.0</v>
      </c>
      <c r="AS1670" s="110">
        <v>0.0</v>
      </c>
      <c r="AT1670" s="110">
        <v>0.0</v>
      </c>
      <c r="AU1670" s="110">
        <v>0.0</v>
      </c>
      <c r="AV1670" s="142">
        <v>0.0</v>
      </c>
      <c r="AW1670" s="80">
        <v>0.0</v>
      </c>
      <c r="AX1670" s="113">
        <v>567.0</v>
      </c>
      <c r="AY1670" s="117">
        <v>567.0</v>
      </c>
      <c r="AZ1670" s="328">
        <v>0.0</v>
      </c>
      <c r="BA1670" s="315">
        <v>0.0</v>
      </c>
      <c r="BB1670" s="316">
        <v>567.0</v>
      </c>
      <c r="BC1670" s="132" t="s">
        <v>178</v>
      </c>
      <c r="BD1670" s="132" t="s">
        <v>178</v>
      </c>
      <c r="BE1670" s="132" t="s">
        <v>178</v>
      </c>
      <c r="BF1670" s="123"/>
      <c r="BG1670" s="83">
        <v>1101368.0</v>
      </c>
      <c r="BH1670" s="112">
        <v>26.0</v>
      </c>
      <c r="BI1670" s="98" t="s">
        <v>155</v>
      </c>
      <c r="BJ1670" s="98" t="str">
        <f t="shared" si="1"/>
        <v>NÃO</v>
      </c>
      <c r="BK1670" s="98" t="str">
        <f t="shared" si="2"/>
        <v>NÃO</v>
      </c>
    </row>
    <row r="1671" ht="15.75" customHeight="1">
      <c r="A1671" s="111" t="s">
        <v>1785</v>
      </c>
      <c r="B1671" s="83" t="s">
        <v>1994</v>
      </c>
      <c r="C1671" s="83" t="s">
        <v>68</v>
      </c>
      <c r="D1671" s="83">
        <v>1101309.0</v>
      </c>
      <c r="E1671" s="83"/>
      <c r="F1671" s="83">
        <v>2.9179548E7</v>
      </c>
      <c r="G1671" s="114" t="s">
        <v>9093</v>
      </c>
      <c r="H1671" s="91" t="s">
        <v>9094</v>
      </c>
      <c r="I1671" s="114" t="s">
        <v>9089</v>
      </c>
      <c r="J1671" s="83" t="s">
        <v>150</v>
      </c>
      <c r="K1671" s="83" t="s">
        <v>151</v>
      </c>
      <c r="L1671" s="83" t="s">
        <v>152</v>
      </c>
      <c r="M1671" s="82" t="s">
        <v>13514</v>
      </c>
      <c r="N1671" s="82" t="s">
        <v>13515</v>
      </c>
      <c r="O1671" s="82" t="s">
        <v>13516</v>
      </c>
      <c r="P1671" s="82" t="s">
        <v>13517</v>
      </c>
      <c r="Q1671" s="82" t="s">
        <v>13518</v>
      </c>
      <c r="R1671" s="82" t="s">
        <v>13519</v>
      </c>
      <c r="S1671" s="82" t="s">
        <v>13520</v>
      </c>
      <c r="T1671" s="138">
        <v>14.0</v>
      </c>
      <c r="U1671" s="341" t="s">
        <v>13521</v>
      </c>
      <c r="V1671" s="106">
        <v>0.0</v>
      </c>
      <c r="W1671" s="107">
        <v>0.0</v>
      </c>
      <c r="X1671" s="107">
        <v>0.0</v>
      </c>
      <c r="Y1671" s="107">
        <v>0.0</v>
      </c>
      <c r="Z1671" s="80">
        <v>0.0</v>
      </c>
      <c r="AA1671" s="140">
        <v>332.0</v>
      </c>
      <c r="AB1671" s="109">
        <v>0.0</v>
      </c>
      <c r="AC1671" s="109">
        <v>0.0</v>
      </c>
      <c r="AD1671" s="141">
        <v>0.0</v>
      </c>
      <c r="AE1671" s="80">
        <v>332.0</v>
      </c>
      <c r="AF1671" s="140">
        <v>0.0</v>
      </c>
      <c r="AG1671" s="109">
        <v>0.0</v>
      </c>
      <c r="AH1671" s="109">
        <v>0.0</v>
      </c>
      <c r="AI1671" s="141">
        <v>0.0</v>
      </c>
      <c r="AJ1671" s="80">
        <v>0.0</v>
      </c>
      <c r="AK1671" s="140">
        <v>0.0</v>
      </c>
      <c r="AL1671" s="109">
        <v>0.0</v>
      </c>
      <c r="AM1671" s="141">
        <v>67.0</v>
      </c>
      <c r="AN1671" s="80">
        <v>67.0</v>
      </c>
      <c r="AO1671" s="140">
        <v>0.0</v>
      </c>
      <c r="AP1671" s="109">
        <v>0.0</v>
      </c>
      <c r="AQ1671" s="109">
        <v>0.0</v>
      </c>
      <c r="AR1671" s="80">
        <v>0.0</v>
      </c>
      <c r="AS1671" s="110">
        <v>0.0</v>
      </c>
      <c r="AT1671" s="110">
        <v>0.0</v>
      </c>
      <c r="AU1671" s="110">
        <v>0.0</v>
      </c>
      <c r="AV1671" s="142">
        <v>0.0</v>
      </c>
      <c r="AW1671" s="80">
        <v>0.0</v>
      </c>
      <c r="AX1671" s="113">
        <v>399.0</v>
      </c>
      <c r="AY1671" s="117">
        <v>332.0</v>
      </c>
      <c r="AZ1671" s="328">
        <v>67.0</v>
      </c>
      <c r="BA1671" s="315">
        <v>0.0</v>
      </c>
      <c r="BB1671" s="316">
        <v>399.0</v>
      </c>
      <c r="BC1671" s="132" t="s">
        <v>178</v>
      </c>
      <c r="BD1671" s="132" t="s">
        <v>178</v>
      </c>
      <c r="BE1671" s="132" t="s">
        <v>178</v>
      </c>
      <c r="BF1671" s="123"/>
      <c r="BG1671" s="83">
        <v>1101309.0</v>
      </c>
      <c r="BH1671" s="112">
        <v>14.0</v>
      </c>
      <c r="BI1671" s="98" t="s">
        <v>155</v>
      </c>
      <c r="BJ1671" s="98" t="str">
        <f t="shared" si="1"/>
        <v>NÃO</v>
      </c>
      <c r="BK1671" s="98" t="str">
        <f t="shared" si="2"/>
        <v>NÃO</v>
      </c>
    </row>
    <row r="1672" ht="15.75" customHeight="1">
      <c r="A1672" s="111" t="s">
        <v>1785</v>
      </c>
      <c r="B1672" s="172" t="s">
        <v>1994</v>
      </c>
      <c r="C1672" s="83" t="s">
        <v>68</v>
      </c>
      <c r="D1672" s="83">
        <v>1174500.0</v>
      </c>
      <c r="E1672" s="83"/>
      <c r="F1672" s="83">
        <v>2.9179815E7</v>
      </c>
      <c r="G1672" s="114" t="s">
        <v>9101</v>
      </c>
      <c r="H1672" s="91" t="s">
        <v>9103</v>
      </c>
      <c r="I1672" s="114" t="s">
        <v>8204</v>
      </c>
      <c r="J1672" s="83" t="s">
        <v>150</v>
      </c>
      <c r="K1672" s="83" t="s">
        <v>151</v>
      </c>
      <c r="L1672" s="136" t="s">
        <v>230</v>
      </c>
      <c r="M1672" s="82" t="s">
        <v>13522</v>
      </c>
      <c r="N1672" s="82" t="s">
        <v>13523</v>
      </c>
      <c r="O1672" s="82" t="s">
        <v>13524</v>
      </c>
      <c r="P1672" s="82" t="s">
        <v>13525</v>
      </c>
      <c r="Q1672" s="82"/>
      <c r="R1672" s="82"/>
      <c r="S1672" s="82" t="s">
        <v>13526</v>
      </c>
      <c r="T1672" s="138">
        <v>37.0</v>
      </c>
      <c r="U1672" s="341">
        <v>24.0</v>
      </c>
      <c r="V1672" s="106">
        <v>0.0</v>
      </c>
      <c r="W1672" s="107">
        <v>0.0</v>
      </c>
      <c r="X1672" s="107">
        <v>0.0</v>
      </c>
      <c r="Y1672" s="107">
        <v>0.0</v>
      </c>
      <c r="Z1672" s="80">
        <v>0.0</v>
      </c>
      <c r="AA1672" s="140">
        <v>0.0</v>
      </c>
      <c r="AB1672" s="109">
        <v>0.0</v>
      </c>
      <c r="AC1672" s="109">
        <v>0.0</v>
      </c>
      <c r="AD1672" s="141">
        <v>0.0</v>
      </c>
      <c r="AE1672" s="80">
        <v>0.0</v>
      </c>
      <c r="AF1672" s="140">
        <v>0.0</v>
      </c>
      <c r="AG1672" s="109">
        <v>0.0</v>
      </c>
      <c r="AH1672" s="109">
        <v>0.0</v>
      </c>
      <c r="AI1672" s="141">
        <v>0.0</v>
      </c>
      <c r="AJ1672" s="80">
        <v>0.0</v>
      </c>
      <c r="AK1672" s="140">
        <v>0.0</v>
      </c>
      <c r="AL1672" s="109">
        <v>0.0</v>
      </c>
      <c r="AM1672" s="141">
        <v>0.0</v>
      </c>
      <c r="AN1672" s="80">
        <v>0.0</v>
      </c>
      <c r="AO1672" s="140">
        <v>0.0</v>
      </c>
      <c r="AP1672" s="109">
        <v>0.0</v>
      </c>
      <c r="AQ1672" s="109">
        <v>0.0</v>
      </c>
      <c r="AR1672" s="80">
        <v>0.0</v>
      </c>
      <c r="AS1672" s="110">
        <v>0.0</v>
      </c>
      <c r="AT1672" s="110">
        <v>0.0</v>
      </c>
      <c r="AU1672" s="110">
        <v>0.0</v>
      </c>
      <c r="AV1672" s="142">
        <v>0.0</v>
      </c>
      <c r="AW1672" s="80">
        <v>0.0</v>
      </c>
      <c r="AX1672" s="113">
        <v>0.0</v>
      </c>
      <c r="AY1672" s="117">
        <v>0.0</v>
      </c>
      <c r="AZ1672" s="328">
        <v>0.0</v>
      </c>
      <c r="BA1672" s="349">
        <v>0.0</v>
      </c>
      <c r="BB1672" s="316">
        <v>0.0</v>
      </c>
      <c r="BC1672" s="132" t="s">
        <v>553</v>
      </c>
      <c r="BD1672" s="132" t="s">
        <v>178</v>
      </c>
      <c r="BE1672" s="132" t="s">
        <v>178</v>
      </c>
      <c r="BF1672" s="123"/>
      <c r="BG1672" s="83">
        <v>1174500.0</v>
      </c>
      <c r="BH1672" s="112">
        <v>24.0</v>
      </c>
      <c r="BI1672" s="98" t="s">
        <v>155</v>
      </c>
      <c r="BJ1672" s="98" t="str">
        <f t="shared" si="1"/>
        <v>NÃO</v>
      </c>
      <c r="BK1672" s="98" t="str">
        <f t="shared" si="2"/>
        <v>NÃO</v>
      </c>
    </row>
    <row r="1673" ht="15.75" customHeight="1">
      <c r="A1673" s="111" t="s">
        <v>1785</v>
      </c>
      <c r="B1673" s="83" t="s">
        <v>1994</v>
      </c>
      <c r="C1673" s="83" t="s">
        <v>68</v>
      </c>
      <c r="D1673" s="83">
        <v>1104367.0</v>
      </c>
      <c r="E1673" s="83"/>
      <c r="F1673" s="83">
        <v>2.9200296E7</v>
      </c>
      <c r="G1673" s="187" t="s">
        <v>13527</v>
      </c>
      <c r="H1673" s="91" t="s">
        <v>8202</v>
      </c>
      <c r="I1673" s="114" t="s">
        <v>8204</v>
      </c>
      <c r="J1673" s="83" t="s">
        <v>150</v>
      </c>
      <c r="K1673" s="83" t="s">
        <v>151</v>
      </c>
      <c r="L1673" s="83" t="s">
        <v>230</v>
      </c>
      <c r="M1673" s="82" t="s">
        <v>13528</v>
      </c>
      <c r="N1673" s="82" t="s">
        <v>13529</v>
      </c>
      <c r="O1673" s="82" t="s">
        <v>13530</v>
      </c>
      <c r="P1673" s="82" t="s">
        <v>13531</v>
      </c>
      <c r="Q1673" s="82"/>
      <c r="R1673" s="82"/>
      <c r="S1673" s="82" t="s">
        <v>13532</v>
      </c>
      <c r="T1673" s="138">
        <v>13.0</v>
      </c>
      <c r="U1673" s="341">
        <v>10.0</v>
      </c>
      <c r="V1673" s="106">
        <v>0.0</v>
      </c>
      <c r="W1673" s="107">
        <v>0.0</v>
      </c>
      <c r="X1673" s="107">
        <v>0.0</v>
      </c>
      <c r="Y1673" s="107">
        <v>0.0</v>
      </c>
      <c r="Z1673" s="80">
        <v>0.0</v>
      </c>
      <c r="AA1673" s="140">
        <v>11.0</v>
      </c>
      <c r="AB1673" s="109">
        <v>10.0</v>
      </c>
      <c r="AC1673" s="109">
        <v>0.0</v>
      </c>
      <c r="AD1673" s="141">
        <v>0.0</v>
      </c>
      <c r="AE1673" s="80">
        <v>21.0</v>
      </c>
      <c r="AF1673" s="140">
        <v>0.0</v>
      </c>
      <c r="AG1673" s="109">
        <v>0.0</v>
      </c>
      <c r="AH1673" s="109">
        <v>0.0</v>
      </c>
      <c r="AI1673" s="141">
        <v>0.0</v>
      </c>
      <c r="AJ1673" s="80">
        <v>0.0</v>
      </c>
      <c r="AK1673" s="140">
        <v>1.0</v>
      </c>
      <c r="AL1673" s="109">
        <v>10.0</v>
      </c>
      <c r="AM1673" s="141">
        <v>0.0</v>
      </c>
      <c r="AN1673" s="80">
        <v>11.0</v>
      </c>
      <c r="AO1673" s="140">
        <v>0.0</v>
      </c>
      <c r="AP1673" s="109">
        <v>0.0</v>
      </c>
      <c r="AQ1673" s="109">
        <v>0.0</v>
      </c>
      <c r="AR1673" s="80">
        <v>0.0</v>
      </c>
      <c r="AS1673" s="110">
        <v>0.0</v>
      </c>
      <c r="AT1673" s="110">
        <v>0.0</v>
      </c>
      <c r="AU1673" s="110">
        <v>0.0</v>
      </c>
      <c r="AV1673" s="142">
        <v>0.0</v>
      </c>
      <c r="AW1673" s="80">
        <v>0.0</v>
      </c>
      <c r="AX1673" s="113">
        <v>32.0</v>
      </c>
      <c r="AY1673" s="117">
        <v>32.0</v>
      </c>
      <c r="AZ1673" s="328">
        <v>0.0</v>
      </c>
      <c r="BA1673" s="349">
        <v>0.0</v>
      </c>
      <c r="BB1673" s="316">
        <v>32.0</v>
      </c>
      <c r="BC1673" s="132" t="s">
        <v>553</v>
      </c>
      <c r="BD1673" s="132" t="s">
        <v>178</v>
      </c>
      <c r="BE1673" s="132" t="s">
        <v>178</v>
      </c>
      <c r="BF1673" s="123"/>
      <c r="BG1673" s="83">
        <v>1104367.0</v>
      </c>
      <c r="BH1673" s="112">
        <v>10.0</v>
      </c>
      <c r="BI1673" s="98" t="s">
        <v>155</v>
      </c>
      <c r="BJ1673" s="98" t="str">
        <f t="shared" si="1"/>
        <v>NÃO</v>
      </c>
      <c r="BK1673" s="98" t="str">
        <f t="shared" si="2"/>
        <v>NÃO</v>
      </c>
    </row>
    <row r="1674" ht="15.75" customHeight="1">
      <c r="A1674" s="111" t="s">
        <v>1785</v>
      </c>
      <c r="B1674" s="83" t="s">
        <v>1994</v>
      </c>
      <c r="C1674" s="83" t="s">
        <v>68</v>
      </c>
      <c r="D1674" s="83">
        <v>1103441.0</v>
      </c>
      <c r="E1674" s="83"/>
      <c r="F1674" s="83">
        <v>2.9199182E7</v>
      </c>
      <c r="G1674" s="187" t="s">
        <v>9105</v>
      </c>
      <c r="H1674" s="91" t="s">
        <v>13533</v>
      </c>
      <c r="I1674" s="114" t="s">
        <v>9000</v>
      </c>
      <c r="J1674" s="83" t="s">
        <v>150</v>
      </c>
      <c r="K1674" s="83" t="s">
        <v>5791</v>
      </c>
      <c r="L1674" s="83" t="s">
        <v>76</v>
      </c>
      <c r="M1674" s="82" t="s">
        <v>13534</v>
      </c>
      <c r="N1674" s="82" t="s">
        <v>13535</v>
      </c>
      <c r="O1674" s="82" t="s">
        <v>13536</v>
      </c>
      <c r="P1674" s="82" t="s">
        <v>13537</v>
      </c>
      <c r="Q1674" s="82"/>
      <c r="R1674" s="82"/>
      <c r="S1674" s="82" t="s">
        <v>13538</v>
      </c>
      <c r="T1674" s="138">
        <v>22.0</v>
      </c>
      <c r="U1674" s="341">
        <v>26.0</v>
      </c>
      <c r="V1674" s="106">
        <v>0.0</v>
      </c>
      <c r="W1674" s="107">
        <v>0.0</v>
      </c>
      <c r="X1674" s="107">
        <v>0.0</v>
      </c>
      <c r="Y1674" s="107">
        <v>0.0</v>
      </c>
      <c r="Z1674" s="80">
        <v>0.0</v>
      </c>
      <c r="AA1674" s="140">
        <v>0.0</v>
      </c>
      <c r="AB1674" s="109">
        <v>0.0</v>
      </c>
      <c r="AC1674" s="109">
        <v>0.0</v>
      </c>
      <c r="AD1674" s="141">
        <v>0.0</v>
      </c>
      <c r="AE1674" s="80">
        <v>0.0</v>
      </c>
      <c r="AF1674" s="140">
        <v>0.0</v>
      </c>
      <c r="AG1674" s="109">
        <v>0.0</v>
      </c>
      <c r="AH1674" s="109">
        <v>0.0</v>
      </c>
      <c r="AI1674" s="141">
        <v>0.0</v>
      </c>
      <c r="AJ1674" s="80">
        <v>0.0</v>
      </c>
      <c r="AK1674" s="140">
        <v>0.0</v>
      </c>
      <c r="AL1674" s="109">
        <v>0.0</v>
      </c>
      <c r="AM1674" s="141">
        <v>0.0</v>
      </c>
      <c r="AN1674" s="80">
        <v>0.0</v>
      </c>
      <c r="AO1674" s="140">
        <v>0.0</v>
      </c>
      <c r="AP1674" s="109">
        <v>0.0</v>
      </c>
      <c r="AQ1674" s="109">
        <v>0.0</v>
      </c>
      <c r="AR1674" s="80">
        <v>0.0</v>
      </c>
      <c r="AS1674" s="110">
        <v>0.0</v>
      </c>
      <c r="AT1674" s="110">
        <v>0.0</v>
      </c>
      <c r="AU1674" s="110">
        <v>0.0</v>
      </c>
      <c r="AV1674" s="142">
        <v>0.0</v>
      </c>
      <c r="AW1674" s="80">
        <v>0.0</v>
      </c>
      <c r="AX1674" s="113">
        <v>0.0</v>
      </c>
      <c r="AY1674" s="117">
        <v>0.0</v>
      </c>
      <c r="AZ1674" s="328">
        <v>0.0</v>
      </c>
      <c r="BA1674" s="349">
        <v>1.0</v>
      </c>
      <c r="BB1674" s="316">
        <v>1.0</v>
      </c>
      <c r="BC1674" s="132" t="s">
        <v>553</v>
      </c>
      <c r="BD1674" s="132" t="s">
        <v>178</v>
      </c>
      <c r="BE1674" s="132" t="s">
        <v>178</v>
      </c>
      <c r="BF1674" s="123"/>
      <c r="BG1674" s="83">
        <v>1103441.0</v>
      </c>
      <c r="BH1674" s="112">
        <v>26.0</v>
      </c>
      <c r="BI1674" s="98" t="s">
        <v>155</v>
      </c>
      <c r="BJ1674" s="98" t="str">
        <f t="shared" si="1"/>
        <v>NÃO</v>
      </c>
      <c r="BK1674" s="98" t="str">
        <f t="shared" si="2"/>
        <v>NÃO</v>
      </c>
    </row>
    <row r="1675" ht="15.75" customHeight="1">
      <c r="A1675" s="111" t="s">
        <v>1785</v>
      </c>
      <c r="B1675" s="83" t="s">
        <v>1994</v>
      </c>
      <c r="C1675" s="83" t="s">
        <v>68</v>
      </c>
      <c r="D1675" s="83">
        <v>1176420.0</v>
      </c>
      <c r="E1675" s="83"/>
      <c r="F1675" s="83">
        <v>2.9386632E7</v>
      </c>
      <c r="G1675" s="187" t="s">
        <v>9110</v>
      </c>
      <c r="H1675" s="91" t="s">
        <v>9112</v>
      </c>
      <c r="I1675" s="114" t="s">
        <v>9113</v>
      </c>
      <c r="J1675" s="83" t="s">
        <v>150</v>
      </c>
      <c r="K1675" s="83" t="s">
        <v>151</v>
      </c>
      <c r="L1675" s="83" t="s">
        <v>230</v>
      </c>
      <c r="M1675" s="82" t="s">
        <v>13539</v>
      </c>
      <c r="N1675" s="82" t="s">
        <v>13540</v>
      </c>
      <c r="O1675" s="82" t="s">
        <v>13541</v>
      </c>
      <c r="P1675" s="82" t="s">
        <v>13542</v>
      </c>
      <c r="Q1675" s="82"/>
      <c r="R1675" s="82"/>
      <c r="S1675" s="82" t="s">
        <v>13543</v>
      </c>
      <c r="T1675" s="138">
        <v>26.0</v>
      </c>
      <c r="U1675" s="341">
        <v>10.0</v>
      </c>
      <c r="V1675" s="106">
        <v>0.0</v>
      </c>
      <c r="W1675" s="107">
        <v>0.0</v>
      </c>
      <c r="X1675" s="107">
        <v>0.0</v>
      </c>
      <c r="Y1675" s="107">
        <v>0.0</v>
      </c>
      <c r="Z1675" s="80">
        <v>0.0</v>
      </c>
      <c r="AA1675" s="140">
        <v>0.0</v>
      </c>
      <c r="AB1675" s="109">
        <v>0.0</v>
      </c>
      <c r="AC1675" s="109">
        <v>0.0</v>
      </c>
      <c r="AD1675" s="141">
        <v>0.0</v>
      </c>
      <c r="AE1675" s="80">
        <v>0.0</v>
      </c>
      <c r="AF1675" s="140">
        <v>0.0</v>
      </c>
      <c r="AG1675" s="109">
        <v>0.0</v>
      </c>
      <c r="AH1675" s="109">
        <v>0.0</v>
      </c>
      <c r="AI1675" s="141">
        <v>0.0</v>
      </c>
      <c r="AJ1675" s="80">
        <v>0.0</v>
      </c>
      <c r="AK1675" s="140">
        <v>0.0</v>
      </c>
      <c r="AL1675" s="109">
        <v>0.0</v>
      </c>
      <c r="AM1675" s="141">
        <v>0.0</v>
      </c>
      <c r="AN1675" s="80">
        <v>0.0</v>
      </c>
      <c r="AO1675" s="140">
        <v>0.0</v>
      </c>
      <c r="AP1675" s="109">
        <v>0.0</v>
      </c>
      <c r="AQ1675" s="109">
        <v>0.0</v>
      </c>
      <c r="AR1675" s="80">
        <v>0.0</v>
      </c>
      <c r="AS1675" s="110">
        <v>0.0</v>
      </c>
      <c r="AT1675" s="110">
        <v>0.0</v>
      </c>
      <c r="AU1675" s="110">
        <v>0.0</v>
      </c>
      <c r="AV1675" s="142">
        <v>0.0</v>
      </c>
      <c r="AW1675" s="80">
        <v>0.0</v>
      </c>
      <c r="AX1675" s="346">
        <v>374.0</v>
      </c>
      <c r="AY1675" s="347">
        <v>374.0</v>
      </c>
      <c r="AZ1675" s="348">
        <v>62.0</v>
      </c>
      <c r="BA1675" s="349">
        <v>0.0</v>
      </c>
      <c r="BB1675" s="316">
        <v>374.0</v>
      </c>
      <c r="BC1675" s="132" t="s">
        <v>553</v>
      </c>
      <c r="BD1675" s="132" t="s">
        <v>178</v>
      </c>
      <c r="BE1675" s="132" t="s">
        <v>178</v>
      </c>
      <c r="BF1675" s="123"/>
      <c r="BG1675" s="83">
        <v>1176420.0</v>
      </c>
      <c r="BH1675" s="112">
        <v>10.0</v>
      </c>
      <c r="BI1675" s="98" t="s">
        <v>155</v>
      </c>
      <c r="BJ1675" s="98" t="str">
        <f t="shared" si="1"/>
        <v>NÃO</v>
      </c>
      <c r="BK1675" s="98" t="str">
        <f t="shared" si="2"/>
        <v>NÃO</v>
      </c>
    </row>
    <row r="1676" ht="15.75" customHeight="1">
      <c r="A1676" s="111" t="s">
        <v>1785</v>
      </c>
      <c r="B1676" s="83" t="s">
        <v>1994</v>
      </c>
      <c r="C1676" s="83" t="s">
        <v>68</v>
      </c>
      <c r="D1676" s="83">
        <v>1179480.0</v>
      </c>
      <c r="E1676" s="83"/>
      <c r="F1676" s="83" t="s">
        <v>13544</v>
      </c>
      <c r="G1676" s="187" t="s">
        <v>9118</v>
      </c>
      <c r="H1676" s="91" t="s">
        <v>13545</v>
      </c>
      <c r="I1676" s="114" t="s">
        <v>8247</v>
      </c>
      <c r="J1676" s="98" t="s">
        <v>150</v>
      </c>
      <c r="K1676" s="83">
        <v>0.0</v>
      </c>
      <c r="L1676" s="83" t="s">
        <v>230</v>
      </c>
      <c r="M1676" s="82" t="s">
        <v>13546</v>
      </c>
      <c r="N1676" s="82" t="s">
        <v>13547</v>
      </c>
      <c r="O1676" s="82" t="s">
        <v>13548</v>
      </c>
      <c r="P1676" s="82" t="s">
        <v>13549</v>
      </c>
      <c r="Q1676" s="82" t="s">
        <v>13550</v>
      </c>
      <c r="R1676" s="82" t="s">
        <v>13551</v>
      </c>
      <c r="S1676" s="82"/>
      <c r="T1676" s="138" t="s">
        <v>171</v>
      </c>
      <c r="U1676" s="341" t="s">
        <v>171</v>
      </c>
      <c r="V1676" s="106">
        <v>0.0</v>
      </c>
      <c r="W1676" s="107">
        <v>0.0</v>
      </c>
      <c r="X1676" s="107">
        <v>0.0</v>
      </c>
      <c r="Y1676" s="107">
        <v>0.0</v>
      </c>
      <c r="Z1676" s="80">
        <v>0.0</v>
      </c>
      <c r="AA1676" s="140">
        <v>0.0</v>
      </c>
      <c r="AB1676" s="109">
        <v>0.0</v>
      </c>
      <c r="AC1676" s="109">
        <v>0.0</v>
      </c>
      <c r="AD1676" s="141">
        <v>0.0</v>
      </c>
      <c r="AE1676" s="80">
        <v>0.0</v>
      </c>
      <c r="AF1676" s="140">
        <v>0.0</v>
      </c>
      <c r="AG1676" s="109">
        <v>0.0</v>
      </c>
      <c r="AH1676" s="109">
        <v>0.0</v>
      </c>
      <c r="AI1676" s="141">
        <v>0.0</v>
      </c>
      <c r="AJ1676" s="80">
        <v>0.0</v>
      </c>
      <c r="AK1676" s="140">
        <v>0.0</v>
      </c>
      <c r="AL1676" s="109">
        <v>0.0</v>
      </c>
      <c r="AM1676" s="141">
        <v>0.0</v>
      </c>
      <c r="AN1676" s="80">
        <v>0.0</v>
      </c>
      <c r="AO1676" s="140">
        <v>0.0</v>
      </c>
      <c r="AP1676" s="109">
        <v>0.0</v>
      </c>
      <c r="AQ1676" s="109">
        <v>0.0</v>
      </c>
      <c r="AR1676" s="80">
        <v>0.0</v>
      </c>
      <c r="AS1676" s="110">
        <v>0.0</v>
      </c>
      <c r="AT1676" s="110">
        <v>0.0</v>
      </c>
      <c r="AU1676" s="110">
        <v>0.0</v>
      </c>
      <c r="AV1676" s="142">
        <v>0.0</v>
      </c>
      <c r="AW1676" s="80">
        <v>0.0</v>
      </c>
      <c r="AX1676" s="113">
        <v>0.0</v>
      </c>
      <c r="AY1676" s="117">
        <v>0.0</v>
      </c>
      <c r="AZ1676" s="328">
        <v>0.0</v>
      </c>
      <c r="BA1676" s="315">
        <v>0.0</v>
      </c>
      <c r="BB1676" s="316">
        <v>0.0</v>
      </c>
      <c r="BC1676" s="132" t="s">
        <v>178</v>
      </c>
      <c r="BD1676" s="143" t="s">
        <v>227</v>
      </c>
      <c r="BE1676" s="132" t="s">
        <v>178</v>
      </c>
      <c r="BF1676" s="123" t="s">
        <v>534</v>
      </c>
      <c r="BG1676" s="83">
        <v>1179480.0</v>
      </c>
      <c r="BH1676" s="112">
        <v>0.0</v>
      </c>
      <c r="BI1676" s="98" t="s">
        <v>155</v>
      </c>
      <c r="BJ1676" s="98" t="str">
        <f t="shared" si="1"/>
        <v>NÃO</v>
      </c>
      <c r="BK1676" s="98" t="str">
        <f t="shared" si="2"/>
        <v>NÃO</v>
      </c>
    </row>
    <row r="1677" ht="15.75" customHeight="1">
      <c r="A1677" s="111" t="s">
        <v>1785</v>
      </c>
      <c r="B1677" s="83" t="s">
        <v>1994</v>
      </c>
      <c r="C1677" s="83" t="s">
        <v>164</v>
      </c>
      <c r="D1677" s="83">
        <v>1103786.0</v>
      </c>
      <c r="E1677" s="83">
        <v>1178635.0</v>
      </c>
      <c r="F1677" s="83"/>
      <c r="G1677" s="187" t="s">
        <v>13552</v>
      </c>
      <c r="H1677" s="91" t="s">
        <v>13553</v>
      </c>
      <c r="I1677" s="114" t="s">
        <v>8461</v>
      </c>
      <c r="J1677" s="83" t="s">
        <v>150</v>
      </c>
      <c r="K1677" s="83" t="s">
        <v>151</v>
      </c>
      <c r="L1677" s="83" t="s">
        <v>169</v>
      </c>
      <c r="M1677" s="82" t="s">
        <v>12916</v>
      </c>
      <c r="N1677" s="82" t="s">
        <v>12917</v>
      </c>
      <c r="O1677" s="82" t="s">
        <v>12918</v>
      </c>
      <c r="P1677" s="82" t="s">
        <v>12919</v>
      </c>
      <c r="Q1677" s="82" t="s">
        <v>12920</v>
      </c>
      <c r="R1677" s="82" t="s">
        <v>12921</v>
      </c>
      <c r="S1677" s="82" t="s">
        <v>12922</v>
      </c>
      <c r="T1677" s="138">
        <v>9.0</v>
      </c>
      <c r="U1677" s="341">
        <v>10.0</v>
      </c>
      <c r="V1677" s="106">
        <v>0.0</v>
      </c>
      <c r="W1677" s="107">
        <v>0.0</v>
      </c>
      <c r="X1677" s="107">
        <v>0.0</v>
      </c>
      <c r="Y1677" s="107">
        <v>0.0</v>
      </c>
      <c r="Z1677" s="80">
        <v>0.0</v>
      </c>
      <c r="AA1677" s="140">
        <v>0.0</v>
      </c>
      <c r="AB1677" s="109">
        <v>0.0</v>
      </c>
      <c r="AC1677" s="109">
        <v>0.0</v>
      </c>
      <c r="AD1677" s="141">
        <v>0.0</v>
      </c>
      <c r="AE1677" s="80">
        <v>0.0</v>
      </c>
      <c r="AF1677" s="140">
        <v>0.0</v>
      </c>
      <c r="AG1677" s="109">
        <v>0.0</v>
      </c>
      <c r="AH1677" s="109">
        <v>0.0</v>
      </c>
      <c r="AI1677" s="141">
        <v>0.0</v>
      </c>
      <c r="AJ1677" s="80">
        <v>0.0</v>
      </c>
      <c r="AK1677" s="140">
        <v>13.0</v>
      </c>
      <c r="AL1677" s="109">
        <v>9.0</v>
      </c>
      <c r="AM1677" s="141">
        <v>0.0</v>
      </c>
      <c r="AN1677" s="80">
        <v>22.0</v>
      </c>
      <c r="AO1677" s="140">
        <v>3.0</v>
      </c>
      <c r="AP1677" s="109">
        <v>3.0</v>
      </c>
      <c r="AQ1677" s="109">
        <v>0.0</v>
      </c>
      <c r="AR1677" s="80">
        <v>6.0</v>
      </c>
      <c r="AS1677" s="110">
        <v>0.0</v>
      </c>
      <c r="AT1677" s="110">
        <v>0.0</v>
      </c>
      <c r="AU1677" s="110">
        <v>0.0</v>
      </c>
      <c r="AV1677" s="142">
        <v>0.0</v>
      </c>
      <c r="AW1677" s="80">
        <v>0.0</v>
      </c>
      <c r="AX1677" s="113">
        <v>28.0</v>
      </c>
      <c r="AY1677" s="117">
        <v>28.0</v>
      </c>
      <c r="AZ1677" s="328">
        <v>0.0</v>
      </c>
      <c r="BA1677" s="349">
        <v>0.0</v>
      </c>
      <c r="BB1677" s="316">
        <v>28.0</v>
      </c>
      <c r="BC1677" s="143" t="s">
        <v>10138</v>
      </c>
      <c r="BD1677" s="132" t="s">
        <v>178</v>
      </c>
      <c r="BE1677" s="132" t="s">
        <v>178</v>
      </c>
      <c r="BF1677" s="156"/>
      <c r="BG1677" s="83">
        <v>1178635.0</v>
      </c>
      <c r="BH1677" s="112">
        <v>10.0</v>
      </c>
      <c r="BI1677" s="98" t="s">
        <v>155</v>
      </c>
      <c r="BJ1677" s="98" t="str">
        <f t="shared" si="1"/>
        <v>NÃO</v>
      </c>
      <c r="BK1677" s="98" t="str">
        <f t="shared" si="2"/>
        <v>NÃO</v>
      </c>
    </row>
    <row r="1678" ht="15.75" customHeight="1">
      <c r="A1678" s="111" t="s">
        <v>1785</v>
      </c>
      <c r="B1678" s="83" t="s">
        <v>1994</v>
      </c>
      <c r="C1678" s="83" t="s">
        <v>164</v>
      </c>
      <c r="D1678" s="83">
        <v>1176880.0</v>
      </c>
      <c r="E1678" s="83">
        <v>1178415.0</v>
      </c>
      <c r="F1678" s="83"/>
      <c r="G1678" s="187" t="s">
        <v>9122</v>
      </c>
      <c r="H1678" s="91" t="s">
        <v>9123</v>
      </c>
      <c r="I1678" s="114" t="s">
        <v>8247</v>
      </c>
      <c r="J1678" s="83" t="s">
        <v>150</v>
      </c>
      <c r="K1678" s="83" t="s">
        <v>9124</v>
      </c>
      <c r="L1678" s="83" t="s">
        <v>169</v>
      </c>
      <c r="M1678" s="82" t="s">
        <v>12535</v>
      </c>
      <c r="N1678" s="82" t="s">
        <v>12536</v>
      </c>
      <c r="O1678" s="82" t="s">
        <v>12537</v>
      </c>
      <c r="P1678" s="82" t="s">
        <v>12538</v>
      </c>
      <c r="Q1678" s="82" t="s">
        <v>12539</v>
      </c>
      <c r="R1678" s="82"/>
      <c r="S1678" s="82" t="s">
        <v>12540</v>
      </c>
      <c r="T1678" s="138">
        <v>5.0</v>
      </c>
      <c r="U1678" s="341">
        <v>5.0</v>
      </c>
      <c r="V1678" s="106">
        <v>0.0</v>
      </c>
      <c r="W1678" s="107">
        <v>0.0</v>
      </c>
      <c r="X1678" s="107">
        <v>0.0</v>
      </c>
      <c r="Y1678" s="107">
        <v>0.0</v>
      </c>
      <c r="Z1678" s="80">
        <v>0.0</v>
      </c>
      <c r="AA1678" s="140">
        <v>190.0</v>
      </c>
      <c r="AB1678" s="109">
        <v>159.0</v>
      </c>
      <c r="AC1678" s="109">
        <v>0.0</v>
      </c>
      <c r="AD1678" s="141">
        <v>0.0</v>
      </c>
      <c r="AE1678" s="80">
        <v>349.0</v>
      </c>
      <c r="AF1678" s="140">
        <v>0.0</v>
      </c>
      <c r="AG1678" s="109">
        <v>0.0</v>
      </c>
      <c r="AH1678" s="109">
        <v>0.0</v>
      </c>
      <c r="AI1678" s="141">
        <v>0.0</v>
      </c>
      <c r="AJ1678" s="80">
        <v>0.0</v>
      </c>
      <c r="AK1678" s="140">
        <v>0.0</v>
      </c>
      <c r="AL1678" s="109">
        <v>0.0</v>
      </c>
      <c r="AM1678" s="141">
        <v>0.0</v>
      </c>
      <c r="AN1678" s="80">
        <v>0.0</v>
      </c>
      <c r="AO1678" s="140">
        <v>0.0</v>
      </c>
      <c r="AP1678" s="109">
        <v>0.0</v>
      </c>
      <c r="AQ1678" s="109">
        <v>0.0</v>
      </c>
      <c r="AR1678" s="80">
        <v>0.0</v>
      </c>
      <c r="AS1678" s="110">
        <v>0.0</v>
      </c>
      <c r="AT1678" s="110">
        <v>0.0</v>
      </c>
      <c r="AU1678" s="110">
        <v>0.0</v>
      </c>
      <c r="AV1678" s="142">
        <v>0.0</v>
      </c>
      <c r="AW1678" s="80">
        <v>0.0</v>
      </c>
      <c r="AX1678" s="113">
        <v>349.0</v>
      </c>
      <c r="AY1678" s="117">
        <v>349.0</v>
      </c>
      <c r="AZ1678" s="328">
        <v>0.0</v>
      </c>
      <c r="BA1678" s="315">
        <v>0.0</v>
      </c>
      <c r="BB1678" s="316">
        <v>349.0</v>
      </c>
      <c r="BC1678" s="132" t="s">
        <v>178</v>
      </c>
      <c r="BD1678" s="132" t="s">
        <v>178</v>
      </c>
      <c r="BE1678" s="132" t="s">
        <v>178</v>
      </c>
      <c r="BF1678" s="123"/>
      <c r="BG1678" s="83">
        <v>1178415.0</v>
      </c>
      <c r="BH1678" s="112">
        <v>5.0</v>
      </c>
      <c r="BI1678" s="98" t="s">
        <v>155</v>
      </c>
      <c r="BJ1678" s="98" t="str">
        <f t="shared" si="1"/>
        <v>NÃO</v>
      </c>
      <c r="BK1678" s="98" t="str">
        <f t="shared" si="2"/>
        <v>NÃO</v>
      </c>
    </row>
    <row r="1679" ht="15.75" customHeight="1">
      <c r="A1679" s="111" t="s">
        <v>1785</v>
      </c>
      <c r="B1679" s="83" t="s">
        <v>1994</v>
      </c>
      <c r="C1679" s="83" t="s">
        <v>164</v>
      </c>
      <c r="D1679" s="83">
        <v>1176810.0</v>
      </c>
      <c r="E1679" s="83">
        <v>1178567.0</v>
      </c>
      <c r="F1679" s="83"/>
      <c r="G1679" s="187" t="s">
        <v>13557</v>
      </c>
      <c r="H1679" s="91" t="s">
        <v>9126</v>
      </c>
      <c r="I1679" s="114" t="s">
        <v>8133</v>
      </c>
      <c r="J1679" s="83" t="s">
        <v>150</v>
      </c>
      <c r="K1679" s="83" t="s">
        <v>1078</v>
      </c>
      <c r="L1679" s="83" t="s">
        <v>169</v>
      </c>
      <c r="M1679" s="82" t="s">
        <v>12542</v>
      </c>
      <c r="N1679" s="82" t="s">
        <v>12543</v>
      </c>
      <c r="O1679" s="82" t="s">
        <v>12544</v>
      </c>
      <c r="P1679" s="82" t="s">
        <v>12545</v>
      </c>
      <c r="Q1679" s="82" t="s">
        <v>12546</v>
      </c>
      <c r="R1679" s="82" t="s">
        <v>12547</v>
      </c>
      <c r="S1679" s="82" t="s">
        <v>12548</v>
      </c>
      <c r="T1679" s="138">
        <v>9.0</v>
      </c>
      <c r="U1679" s="341">
        <v>9.0</v>
      </c>
      <c r="V1679" s="106">
        <v>0.0</v>
      </c>
      <c r="W1679" s="107">
        <v>0.0</v>
      </c>
      <c r="X1679" s="107">
        <v>0.0</v>
      </c>
      <c r="Y1679" s="107">
        <v>0.0</v>
      </c>
      <c r="Z1679" s="80">
        <v>0.0</v>
      </c>
      <c r="AA1679" s="140">
        <v>364.0</v>
      </c>
      <c r="AB1679" s="109">
        <v>322.0</v>
      </c>
      <c r="AC1679" s="109">
        <v>0.0</v>
      </c>
      <c r="AD1679" s="141">
        <v>0.0</v>
      </c>
      <c r="AE1679" s="80">
        <v>686.0</v>
      </c>
      <c r="AF1679" s="140">
        <v>0.0</v>
      </c>
      <c r="AG1679" s="109">
        <v>0.0</v>
      </c>
      <c r="AH1679" s="109">
        <v>35.0</v>
      </c>
      <c r="AI1679" s="141">
        <v>0.0</v>
      </c>
      <c r="AJ1679" s="80">
        <v>35.0</v>
      </c>
      <c r="AK1679" s="140">
        <v>0.0</v>
      </c>
      <c r="AL1679" s="109">
        <v>0.0</v>
      </c>
      <c r="AM1679" s="141">
        <v>0.0</v>
      </c>
      <c r="AN1679" s="80">
        <v>0.0</v>
      </c>
      <c r="AO1679" s="140">
        <v>0.0</v>
      </c>
      <c r="AP1679" s="109">
        <v>0.0</v>
      </c>
      <c r="AQ1679" s="109">
        <v>166.0</v>
      </c>
      <c r="AR1679" s="80">
        <v>166.0</v>
      </c>
      <c r="AS1679" s="110">
        <v>0.0</v>
      </c>
      <c r="AT1679" s="110">
        <v>0.0</v>
      </c>
      <c r="AU1679" s="110">
        <v>0.0</v>
      </c>
      <c r="AV1679" s="142">
        <v>0.0</v>
      </c>
      <c r="AW1679" s="80">
        <v>0.0</v>
      </c>
      <c r="AX1679" s="113">
        <v>887.0</v>
      </c>
      <c r="AY1679" s="117">
        <v>686.0</v>
      </c>
      <c r="AZ1679" s="328">
        <v>201.0</v>
      </c>
      <c r="BA1679" s="315">
        <v>9.0</v>
      </c>
      <c r="BB1679" s="316">
        <v>896.0</v>
      </c>
      <c r="BC1679" s="132" t="s">
        <v>178</v>
      </c>
      <c r="BD1679" s="132" t="s">
        <v>178</v>
      </c>
      <c r="BE1679" s="132" t="s">
        <v>178</v>
      </c>
      <c r="BF1679" s="123"/>
      <c r="BG1679" s="83">
        <v>1178567.0</v>
      </c>
      <c r="BH1679" s="112">
        <v>9.0</v>
      </c>
      <c r="BI1679" s="98" t="s">
        <v>155</v>
      </c>
      <c r="BJ1679" s="98" t="str">
        <f t="shared" si="1"/>
        <v>NÃO</v>
      </c>
      <c r="BK1679" s="98" t="str">
        <f t="shared" si="2"/>
        <v>NÃO</v>
      </c>
    </row>
    <row r="1680" ht="15.75" customHeight="1">
      <c r="A1680" s="111" t="s">
        <v>1785</v>
      </c>
      <c r="B1680" s="83" t="s">
        <v>9135</v>
      </c>
      <c r="C1680" s="83" t="s">
        <v>68</v>
      </c>
      <c r="D1680" s="83">
        <v>1134851.0</v>
      </c>
      <c r="E1680" s="83"/>
      <c r="F1680" s="83">
        <v>2.9200482E7</v>
      </c>
      <c r="G1680" s="187" t="s">
        <v>13559</v>
      </c>
      <c r="H1680" s="91" t="s">
        <v>9137</v>
      </c>
      <c r="I1680" s="187" t="s">
        <v>149</v>
      </c>
      <c r="J1680" s="83" t="s">
        <v>150</v>
      </c>
      <c r="K1680" s="83" t="s">
        <v>151</v>
      </c>
      <c r="L1680" s="83" t="s">
        <v>76</v>
      </c>
      <c r="M1680" s="82" t="s">
        <v>13560</v>
      </c>
      <c r="N1680" s="82" t="s">
        <v>13561</v>
      </c>
      <c r="O1680" s="82" t="s">
        <v>13562</v>
      </c>
      <c r="P1680" s="82" t="s">
        <v>13563</v>
      </c>
      <c r="Q1680" s="82"/>
      <c r="R1680" s="82"/>
      <c r="S1680" s="82" t="s">
        <v>13564</v>
      </c>
      <c r="T1680" s="138">
        <v>12.0</v>
      </c>
      <c r="U1680" s="352" t="s">
        <v>13565</v>
      </c>
      <c r="V1680" s="106">
        <v>0.0</v>
      </c>
      <c r="W1680" s="107">
        <v>0.0</v>
      </c>
      <c r="X1680" s="107">
        <v>0.0</v>
      </c>
      <c r="Y1680" s="107">
        <v>0.0</v>
      </c>
      <c r="Z1680" s="80">
        <v>0.0</v>
      </c>
      <c r="AA1680" s="140">
        <v>0.0</v>
      </c>
      <c r="AB1680" s="109">
        <v>0.0</v>
      </c>
      <c r="AC1680" s="109">
        <v>0.0</v>
      </c>
      <c r="AD1680" s="141">
        <v>0.0</v>
      </c>
      <c r="AE1680" s="80">
        <v>0.0</v>
      </c>
      <c r="AF1680" s="140">
        <v>207.0</v>
      </c>
      <c r="AG1680" s="109">
        <v>175.0</v>
      </c>
      <c r="AH1680" s="109">
        <v>0.0</v>
      </c>
      <c r="AI1680" s="141">
        <v>358.0</v>
      </c>
      <c r="AJ1680" s="80">
        <v>740.0</v>
      </c>
      <c r="AK1680" s="140">
        <v>0.0</v>
      </c>
      <c r="AL1680" s="109">
        <v>0.0</v>
      </c>
      <c r="AM1680" s="141">
        <v>0.0</v>
      </c>
      <c r="AN1680" s="80">
        <v>0.0</v>
      </c>
      <c r="AO1680" s="140">
        <v>0.0</v>
      </c>
      <c r="AP1680" s="109">
        <v>0.0</v>
      </c>
      <c r="AQ1680" s="109">
        <v>237.0</v>
      </c>
      <c r="AR1680" s="80">
        <v>237.0</v>
      </c>
      <c r="AS1680" s="110">
        <v>50.0</v>
      </c>
      <c r="AT1680" s="110">
        <v>25.0</v>
      </c>
      <c r="AU1680" s="110">
        <v>0.0</v>
      </c>
      <c r="AV1680" s="142">
        <v>0.0</v>
      </c>
      <c r="AW1680" s="80">
        <v>75.0</v>
      </c>
      <c r="AX1680" s="113">
        <v>1052.0</v>
      </c>
      <c r="AY1680" s="117">
        <v>815.0</v>
      </c>
      <c r="AZ1680" s="328">
        <v>237.0</v>
      </c>
      <c r="BA1680" s="315">
        <v>0.0</v>
      </c>
      <c r="BB1680" s="316">
        <v>1052.0</v>
      </c>
      <c r="BC1680" s="132" t="s">
        <v>178</v>
      </c>
      <c r="BD1680" s="132" t="s">
        <v>178</v>
      </c>
      <c r="BE1680" s="132" t="s">
        <v>178</v>
      </c>
      <c r="BF1680" s="156"/>
      <c r="BG1680" s="83">
        <v>1134851.0</v>
      </c>
      <c r="BH1680" s="112">
        <v>12.0</v>
      </c>
      <c r="BI1680" s="98" t="s">
        <v>155</v>
      </c>
      <c r="BJ1680" s="98" t="str">
        <f t="shared" si="1"/>
        <v>INTEGRAL</v>
      </c>
      <c r="BK1680" s="98" t="str">
        <f t="shared" si="2"/>
        <v>PROFISSIONAL</v>
      </c>
    </row>
    <row r="1681" ht="15.75" customHeight="1">
      <c r="A1681" s="111" t="s">
        <v>1785</v>
      </c>
      <c r="B1681" s="83" t="s">
        <v>9135</v>
      </c>
      <c r="C1681" s="83" t="s">
        <v>68</v>
      </c>
      <c r="D1681" s="83">
        <v>1176408.0</v>
      </c>
      <c r="E1681" s="83"/>
      <c r="F1681" s="83">
        <v>2.9383528E7</v>
      </c>
      <c r="G1681" s="114" t="s">
        <v>13566</v>
      </c>
      <c r="H1681" s="91" t="s">
        <v>13567</v>
      </c>
      <c r="I1681" s="187" t="s">
        <v>9141</v>
      </c>
      <c r="J1681" s="83" t="s">
        <v>9142</v>
      </c>
      <c r="K1681" s="193" t="s">
        <v>151</v>
      </c>
      <c r="L1681" s="83" t="s">
        <v>76</v>
      </c>
      <c r="M1681" s="82" t="s">
        <v>13568</v>
      </c>
      <c r="N1681" s="82" t="s">
        <v>13569</v>
      </c>
      <c r="O1681" s="82" t="s">
        <v>13570</v>
      </c>
      <c r="P1681" s="82" t="s">
        <v>13571</v>
      </c>
      <c r="Q1681" s="82"/>
      <c r="R1681" s="82"/>
      <c r="S1681" s="82" t="s">
        <v>13572</v>
      </c>
      <c r="T1681" s="138">
        <v>6.0</v>
      </c>
      <c r="U1681" s="364">
        <v>6.0</v>
      </c>
      <c r="V1681" s="106">
        <v>0.0</v>
      </c>
      <c r="W1681" s="107">
        <v>0.0</v>
      </c>
      <c r="X1681" s="107">
        <v>0.0</v>
      </c>
      <c r="Y1681" s="107">
        <v>0.0</v>
      </c>
      <c r="Z1681" s="80">
        <v>0.0</v>
      </c>
      <c r="AA1681" s="140">
        <v>0.0</v>
      </c>
      <c r="AB1681" s="109">
        <v>0.0</v>
      </c>
      <c r="AC1681" s="109">
        <v>0.0</v>
      </c>
      <c r="AD1681" s="141">
        <v>0.0</v>
      </c>
      <c r="AE1681" s="80">
        <v>0.0</v>
      </c>
      <c r="AF1681" s="140">
        <v>186.0</v>
      </c>
      <c r="AG1681" s="109">
        <v>106.0</v>
      </c>
      <c r="AH1681" s="109">
        <v>0.0</v>
      </c>
      <c r="AI1681" s="141">
        <v>79.0</v>
      </c>
      <c r="AJ1681" s="80">
        <v>371.0</v>
      </c>
      <c r="AK1681" s="140">
        <v>0.0</v>
      </c>
      <c r="AL1681" s="109">
        <v>0.0</v>
      </c>
      <c r="AM1681" s="141">
        <v>0.0</v>
      </c>
      <c r="AN1681" s="80">
        <v>0.0</v>
      </c>
      <c r="AO1681" s="140">
        <v>0.0</v>
      </c>
      <c r="AP1681" s="109">
        <v>0.0</v>
      </c>
      <c r="AQ1681" s="109">
        <v>161.0</v>
      </c>
      <c r="AR1681" s="80">
        <v>161.0</v>
      </c>
      <c r="AS1681" s="110">
        <v>61.0</v>
      </c>
      <c r="AT1681" s="110">
        <v>60.0</v>
      </c>
      <c r="AU1681" s="110">
        <v>0.0</v>
      </c>
      <c r="AV1681" s="142">
        <v>0.0</v>
      </c>
      <c r="AW1681" s="80">
        <v>121.0</v>
      </c>
      <c r="AX1681" s="113">
        <v>653.0</v>
      </c>
      <c r="AY1681" s="117">
        <v>492.0</v>
      </c>
      <c r="AZ1681" s="328">
        <v>161.0</v>
      </c>
      <c r="BA1681" s="315">
        <v>0.0</v>
      </c>
      <c r="BB1681" s="316">
        <v>653.0</v>
      </c>
      <c r="BC1681" s="132" t="s">
        <v>373</v>
      </c>
      <c r="BD1681" s="132" t="s">
        <v>178</v>
      </c>
      <c r="BE1681" s="132" t="s">
        <v>178</v>
      </c>
      <c r="BF1681" s="156"/>
      <c r="BG1681" s="83">
        <v>1176408.0</v>
      </c>
      <c r="BH1681" s="112">
        <v>6.0</v>
      </c>
      <c r="BI1681" s="98" t="s">
        <v>155</v>
      </c>
      <c r="BJ1681" s="98" t="str">
        <f t="shared" si="1"/>
        <v>INTEGRAL</v>
      </c>
      <c r="BK1681" s="98" t="str">
        <f t="shared" si="2"/>
        <v>PROFISSIONAL</v>
      </c>
    </row>
    <row r="1682" ht="15.75" customHeight="1">
      <c r="A1682" s="111" t="s">
        <v>1785</v>
      </c>
      <c r="B1682" s="83" t="s">
        <v>9148</v>
      </c>
      <c r="C1682" s="83" t="s">
        <v>68</v>
      </c>
      <c r="D1682" s="83">
        <v>1135190.0</v>
      </c>
      <c r="E1682" s="83"/>
      <c r="F1682" s="83">
        <v>2.9160774E7</v>
      </c>
      <c r="G1682" s="114" t="s">
        <v>13573</v>
      </c>
      <c r="H1682" s="91" t="s">
        <v>9151</v>
      </c>
      <c r="I1682" s="617" t="s">
        <v>149</v>
      </c>
      <c r="J1682" s="136" t="s">
        <v>150</v>
      </c>
      <c r="K1682" s="83" t="s">
        <v>151</v>
      </c>
      <c r="L1682" s="83" t="s">
        <v>152</v>
      </c>
      <c r="M1682" s="82" t="s">
        <v>13574</v>
      </c>
      <c r="N1682" s="82" t="s">
        <v>13575</v>
      </c>
      <c r="O1682" s="82" t="s">
        <v>13576</v>
      </c>
      <c r="P1682" s="82" t="s">
        <v>13577</v>
      </c>
      <c r="Q1682" s="82" t="s">
        <v>13578</v>
      </c>
      <c r="R1682" s="82" t="s">
        <v>13579</v>
      </c>
      <c r="S1682" s="82" t="s">
        <v>13580</v>
      </c>
      <c r="T1682" s="138">
        <v>16.0</v>
      </c>
      <c r="U1682" s="341">
        <v>16.0</v>
      </c>
      <c r="V1682" s="106">
        <v>0.0</v>
      </c>
      <c r="W1682" s="107">
        <v>0.0</v>
      </c>
      <c r="X1682" s="107">
        <v>0.0</v>
      </c>
      <c r="Y1682" s="107">
        <v>0.0</v>
      </c>
      <c r="Z1682" s="80">
        <v>0.0</v>
      </c>
      <c r="AA1682" s="140">
        <v>0.0</v>
      </c>
      <c r="AB1682" s="109">
        <v>0.0</v>
      </c>
      <c r="AC1682" s="109">
        <v>0.0</v>
      </c>
      <c r="AD1682" s="141">
        <v>0.0</v>
      </c>
      <c r="AE1682" s="80">
        <v>0.0</v>
      </c>
      <c r="AF1682" s="140">
        <v>484.0</v>
      </c>
      <c r="AG1682" s="109">
        <v>141.0</v>
      </c>
      <c r="AH1682" s="109">
        <v>0.0</v>
      </c>
      <c r="AI1682" s="141">
        <v>72.0</v>
      </c>
      <c r="AJ1682" s="80">
        <v>697.0</v>
      </c>
      <c r="AK1682" s="140">
        <v>0.0</v>
      </c>
      <c r="AL1682" s="109">
        <v>0.0</v>
      </c>
      <c r="AM1682" s="141">
        <v>0.0</v>
      </c>
      <c r="AN1682" s="80">
        <v>0.0</v>
      </c>
      <c r="AO1682" s="140">
        <v>0.0</v>
      </c>
      <c r="AP1682" s="109">
        <v>0.0</v>
      </c>
      <c r="AQ1682" s="109">
        <v>43.0</v>
      </c>
      <c r="AR1682" s="80">
        <v>43.0</v>
      </c>
      <c r="AS1682" s="110">
        <v>0.0</v>
      </c>
      <c r="AT1682" s="110">
        <v>0.0</v>
      </c>
      <c r="AU1682" s="110">
        <v>0.0</v>
      </c>
      <c r="AV1682" s="142">
        <v>0.0</v>
      </c>
      <c r="AW1682" s="80">
        <v>0.0</v>
      </c>
      <c r="AX1682" s="113">
        <v>740.0</v>
      </c>
      <c r="AY1682" s="117">
        <v>697.0</v>
      </c>
      <c r="AZ1682" s="328">
        <v>43.0</v>
      </c>
      <c r="BA1682" s="315">
        <v>2.0</v>
      </c>
      <c r="BB1682" s="316">
        <v>742.0</v>
      </c>
      <c r="BC1682" s="132" t="s">
        <v>178</v>
      </c>
      <c r="BD1682" s="132" t="s">
        <v>178</v>
      </c>
      <c r="BE1682" s="132" t="s">
        <v>178</v>
      </c>
      <c r="BF1682" s="123"/>
      <c r="BG1682" s="83">
        <v>1135190.0</v>
      </c>
      <c r="BH1682" s="112">
        <v>16.0</v>
      </c>
      <c r="BI1682" s="98" t="s">
        <v>155</v>
      </c>
      <c r="BJ1682" s="98" t="str">
        <f t="shared" si="1"/>
        <v>INTEGRAL</v>
      </c>
      <c r="BK1682" s="98" t="str">
        <f t="shared" si="2"/>
        <v>NÃO</v>
      </c>
    </row>
    <row r="1683" ht="15.75" customHeight="1">
      <c r="A1683" s="111" t="s">
        <v>1785</v>
      </c>
      <c r="B1683" s="83" t="s">
        <v>9148</v>
      </c>
      <c r="C1683" s="83" t="s">
        <v>68</v>
      </c>
      <c r="D1683" s="83">
        <v>1176915.0</v>
      </c>
      <c r="E1683" s="83"/>
      <c r="F1683" s="83">
        <v>2.9410835E7</v>
      </c>
      <c r="G1683" s="114" t="s">
        <v>10087</v>
      </c>
      <c r="H1683" s="91" t="s">
        <v>9158</v>
      </c>
      <c r="I1683" s="187" t="s">
        <v>149</v>
      </c>
      <c r="J1683" s="136" t="s">
        <v>150</v>
      </c>
      <c r="K1683" s="83" t="s">
        <v>151</v>
      </c>
      <c r="L1683" s="83" t="s">
        <v>152</v>
      </c>
      <c r="M1683" s="82" t="s">
        <v>13581</v>
      </c>
      <c r="N1683" s="82" t="s">
        <v>13582</v>
      </c>
      <c r="O1683" s="82" t="s">
        <v>13583</v>
      </c>
      <c r="P1683" s="82" t="s">
        <v>13584</v>
      </c>
      <c r="Q1683" s="82"/>
      <c r="R1683" s="82"/>
      <c r="S1683" s="82" t="s">
        <v>13585</v>
      </c>
      <c r="T1683" s="138">
        <v>12.0</v>
      </c>
      <c r="U1683" s="341" t="s">
        <v>13586</v>
      </c>
      <c r="V1683" s="106">
        <v>0.0</v>
      </c>
      <c r="W1683" s="107">
        <v>0.0</v>
      </c>
      <c r="X1683" s="107">
        <v>0.0</v>
      </c>
      <c r="Y1683" s="107">
        <v>0.0</v>
      </c>
      <c r="Z1683" s="80">
        <v>0.0</v>
      </c>
      <c r="AA1683" s="140">
        <v>0.0</v>
      </c>
      <c r="AB1683" s="109">
        <v>0.0</v>
      </c>
      <c r="AC1683" s="109">
        <v>0.0</v>
      </c>
      <c r="AD1683" s="141">
        <v>0.0</v>
      </c>
      <c r="AE1683" s="80">
        <v>0.0</v>
      </c>
      <c r="AF1683" s="140">
        <v>315.0</v>
      </c>
      <c r="AG1683" s="109">
        <v>0.0</v>
      </c>
      <c r="AH1683" s="109">
        <v>0.0</v>
      </c>
      <c r="AI1683" s="141">
        <v>11.0</v>
      </c>
      <c r="AJ1683" s="80">
        <v>326.0</v>
      </c>
      <c r="AK1683" s="140">
        <v>0.0</v>
      </c>
      <c r="AL1683" s="109">
        <v>0.0</v>
      </c>
      <c r="AM1683" s="141">
        <v>0.0</v>
      </c>
      <c r="AN1683" s="80">
        <v>0.0</v>
      </c>
      <c r="AO1683" s="140">
        <v>0.0</v>
      </c>
      <c r="AP1683" s="109">
        <v>0.0</v>
      </c>
      <c r="AQ1683" s="109">
        <v>122.0</v>
      </c>
      <c r="AR1683" s="80">
        <v>122.0</v>
      </c>
      <c r="AS1683" s="110">
        <v>0.0</v>
      </c>
      <c r="AT1683" s="110">
        <v>0.0</v>
      </c>
      <c r="AU1683" s="110">
        <v>44.0</v>
      </c>
      <c r="AV1683" s="142">
        <v>0.0</v>
      </c>
      <c r="AW1683" s="80">
        <v>44.0</v>
      </c>
      <c r="AX1683" s="113">
        <v>492.0</v>
      </c>
      <c r="AY1683" s="117">
        <v>326.0</v>
      </c>
      <c r="AZ1683" s="328">
        <v>166.0</v>
      </c>
      <c r="BA1683" s="315">
        <v>0.0</v>
      </c>
      <c r="BB1683" s="316">
        <v>492.0</v>
      </c>
      <c r="BC1683" s="132" t="s">
        <v>178</v>
      </c>
      <c r="BD1683" s="132" t="s">
        <v>178</v>
      </c>
      <c r="BE1683" s="132" t="s">
        <v>178</v>
      </c>
      <c r="BF1683" s="123"/>
      <c r="BG1683" s="83">
        <v>1176915.0</v>
      </c>
      <c r="BH1683" s="112">
        <v>11.0</v>
      </c>
      <c r="BI1683" s="98" t="s">
        <v>155</v>
      </c>
      <c r="BJ1683" s="98" t="str">
        <f t="shared" si="1"/>
        <v>INTEGRAL</v>
      </c>
      <c r="BK1683" s="98" t="str">
        <f t="shared" si="2"/>
        <v>PROFISSIONAL</v>
      </c>
    </row>
    <row r="1684" ht="15.75" customHeight="1">
      <c r="A1684" s="111" t="s">
        <v>1785</v>
      </c>
      <c r="B1684" s="83" t="s">
        <v>9148</v>
      </c>
      <c r="C1684" s="83" t="s">
        <v>164</v>
      </c>
      <c r="D1684" s="83">
        <v>1176915.0</v>
      </c>
      <c r="E1684" s="83">
        <v>1179024.0</v>
      </c>
      <c r="F1684" s="83"/>
      <c r="G1684" s="114" t="s">
        <v>13587</v>
      </c>
      <c r="H1684" s="91" t="s">
        <v>9164</v>
      </c>
      <c r="I1684" s="187" t="s">
        <v>9165</v>
      </c>
      <c r="J1684" s="136" t="s">
        <v>2025</v>
      </c>
      <c r="K1684" s="83" t="s">
        <v>168</v>
      </c>
      <c r="L1684" s="83" t="s">
        <v>169</v>
      </c>
      <c r="M1684" s="82" t="s">
        <v>13581</v>
      </c>
      <c r="N1684" s="82" t="s">
        <v>13582</v>
      </c>
      <c r="O1684" s="82" t="s">
        <v>13583</v>
      </c>
      <c r="P1684" s="82" t="s">
        <v>13584</v>
      </c>
      <c r="Q1684" s="82"/>
      <c r="R1684" s="82"/>
      <c r="S1684" s="82" t="s">
        <v>13585</v>
      </c>
      <c r="T1684" s="138">
        <v>5.0</v>
      </c>
      <c r="U1684" s="341">
        <v>9.0</v>
      </c>
      <c r="V1684" s="106">
        <v>0.0</v>
      </c>
      <c r="W1684" s="107">
        <v>0.0</v>
      </c>
      <c r="X1684" s="107">
        <v>0.0</v>
      </c>
      <c r="Y1684" s="107">
        <v>0.0</v>
      </c>
      <c r="Z1684" s="80">
        <v>0.0</v>
      </c>
      <c r="AA1684" s="140">
        <v>0.0</v>
      </c>
      <c r="AB1684" s="109">
        <v>0.0</v>
      </c>
      <c r="AC1684" s="109">
        <v>0.0</v>
      </c>
      <c r="AD1684" s="141">
        <v>0.0</v>
      </c>
      <c r="AE1684" s="80">
        <v>0.0</v>
      </c>
      <c r="AF1684" s="140">
        <v>56.0</v>
      </c>
      <c r="AG1684" s="109">
        <v>0.0</v>
      </c>
      <c r="AH1684" s="109">
        <v>10.0</v>
      </c>
      <c r="AI1684" s="141">
        <v>0.0</v>
      </c>
      <c r="AJ1684" s="80">
        <v>66.0</v>
      </c>
      <c r="AK1684" s="140">
        <v>0.0</v>
      </c>
      <c r="AL1684" s="109">
        <v>0.0</v>
      </c>
      <c r="AM1684" s="141">
        <v>0.0</v>
      </c>
      <c r="AN1684" s="80">
        <v>0.0</v>
      </c>
      <c r="AO1684" s="140">
        <v>0.0</v>
      </c>
      <c r="AP1684" s="109">
        <v>0.0</v>
      </c>
      <c r="AQ1684" s="109">
        <v>23.0</v>
      </c>
      <c r="AR1684" s="80">
        <v>23.0</v>
      </c>
      <c r="AS1684" s="110">
        <v>0.0</v>
      </c>
      <c r="AT1684" s="110">
        <v>0.0</v>
      </c>
      <c r="AU1684" s="110">
        <v>0.0</v>
      </c>
      <c r="AV1684" s="142">
        <v>0.0</v>
      </c>
      <c r="AW1684" s="80">
        <v>0.0</v>
      </c>
      <c r="AX1684" s="113">
        <v>89.0</v>
      </c>
      <c r="AY1684" s="117">
        <v>56.0</v>
      </c>
      <c r="AZ1684" s="328">
        <v>33.0</v>
      </c>
      <c r="BA1684" s="315">
        <v>0.0</v>
      </c>
      <c r="BB1684" s="316">
        <v>89.0</v>
      </c>
      <c r="BC1684" s="132" t="s">
        <v>373</v>
      </c>
      <c r="BD1684" s="132" t="s">
        <v>178</v>
      </c>
      <c r="BE1684" s="132" t="s">
        <v>178</v>
      </c>
      <c r="BF1684" s="123"/>
      <c r="BG1684" s="83">
        <v>1179024.0</v>
      </c>
      <c r="BH1684" s="112">
        <v>9.0</v>
      </c>
      <c r="BI1684" s="98" t="s">
        <v>155</v>
      </c>
      <c r="BJ1684" s="98" t="str">
        <f t="shared" si="1"/>
        <v>NÃO</v>
      </c>
      <c r="BK1684" s="98" t="str">
        <f t="shared" si="2"/>
        <v>NÃO</v>
      </c>
    </row>
    <row r="1685" ht="15.75" customHeight="1">
      <c r="A1685" s="111" t="s">
        <v>1785</v>
      </c>
      <c r="B1685" s="172" t="s">
        <v>2361</v>
      </c>
      <c r="C1685" s="83" t="s">
        <v>68</v>
      </c>
      <c r="D1685" s="83">
        <v>1103000.0</v>
      </c>
      <c r="E1685" s="83"/>
      <c r="F1685" s="83">
        <v>2.9201063E7</v>
      </c>
      <c r="G1685" s="187" t="s">
        <v>13588</v>
      </c>
      <c r="H1685" s="91" t="s">
        <v>9191</v>
      </c>
      <c r="I1685" s="114" t="s">
        <v>9188</v>
      </c>
      <c r="J1685" s="83" t="s">
        <v>150</v>
      </c>
      <c r="K1685" s="83" t="s">
        <v>151</v>
      </c>
      <c r="L1685" s="83" t="s">
        <v>230</v>
      </c>
      <c r="M1685" s="82" t="s">
        <v>13589</v>
      </c>
      <c r="N1685" s="82" t="s">
        <v>13590</v>
      </c>
      <c r="O1685" s="82" t="s">
        <v>13591</v>
      </c>
      <c r="P1685" s="82" t="s">
        <v>13592</v>
      </c>
      <c r="Q1685" s="82" t="s">
        <v>13593</v>
      </c>
      <c r="R1685" s="82" t="s">
        <v>13594</v>
      </c>
      <c r="S1685" s="82" t="s">
        <v>13595</v>
      </c>
      <c r="T1685" s="138">
        <v>17.0</v>
      </c>
      <c r="U1685" s="323">
        <v>17.0</v>
      </c>
      <c r="V1685" s="106">
        <v>0.0</v>
      </c>
      <c r="W1685" s="107">
        <v>0.0</v>
      </c>
      <c r="X1685" s="107">
        <v>0.0</v>
      </c>
      <c r="Y1685" s="107">
        <v>0.0</v>
      </c>
      <c r="Z1685" s="80">
        <v>0.0</v>
      </c>
      <c r="AA1685" s="140">
        <v>0.0</v>
      </c>
      <c r="AB1685" s="109">
        <v>0.0</v>
      </c>
      <c r="AC1685" s="109">
        <v>0.0</v>
      </c>
      <c r="AD1685" s="141">
        <v>0.0</v>
      </c>
      <c r="AE1685" s="80">
        <v>0.0</v>
      </c>
      <c r="AF1685" s="140">
        <v>218.0</v>
      </c>
      <c r="AG1685" s="109">
        <v>90.0</v>
      </c>
      <c r="AH1685" s="109">
        <v>0.0</v>
      </c>
      <c r="AI1685" s="141">
        <v>0.0</v>
      </c>
      <c r="AJ1685" s="80">
        <v>308.0</v>
      </c>
      <c r="AK1685" s="140">
        <v>0.0</v>
      </c>
      <c r="AL1685" s="109">
        <v>0.0</v>
      </c>
      <c r="AM1685" s="141">
        <v>0.0</v>
      </c>
      <c r="AN1685" s="80">
        <v>0.0</v>
      </c>
      <c r="AO1685" s="140">
        <v>0.0</v>
      </c>
      <c r="AP1685" s="109">
        <v>0.0</v>
      </c>
      <c r="AQ1685" s="109">
        <v>44.0</v>
      </c>
      <c r="AR1685" s="80">
        <v>44.0</v>
      </c>
      <c r="AS1685" s="110">
        <v>300.0</v>
      </c>
      <c r="AT1685" s="110">
        <v>195.0</v>
      </c>
      <c r="AU1685" s="110">
        <v>334.0</v>
      </c>
      <c r="AV1685" s="142">
        <v>0.0</v>
      </c>
      <c r="AW1685" s="80">
        <v>829.0</v>
      </c>
      <c r="AX1685" s="113">
        <v>1181.0</v>
      </c>
      <c r="AY1685" s="117">
        <v>803.0</v>
      </c>
      <c r="AZ1685" s="328">
        <v>378.0</v>
      </c>
      <c r="BA1685" s="315">
        <v>0.0</v>
      </c>
      <c r="BB1685" s="316">
        <v>1181.0</v>
      </c>
      <c r="BC1685" s="132" t="s">
        <v>178</v>
      </c>
      <c r="BD1685" s="132" t="s">
        <v>178</v>
      </c>
      <c r="BE1685" s="132" t="s">
        <v>178</v>
      </c>
      <c r="BF1685" s="156"/>
      <c r="BG1685" s="83">
        <v>1103000.0</v>
      </c>
      <c r="BH1685" s="112">
        <v>17.0</v>
      </c>
      <c r="BI1685" s="98" t="s">
        <v>155</v>
      </c>
      <c r="BJ1685" s="98" t="str">
        <f t="shared" si="1"/>
        <v>NÃO</v>
      </c>
      <c r="BK1685" s="98" t="str">
        <f t="shared" si="2"/>
        <v>PROFISSIONAL</v>
      </c>
    </row>
    <row r="1686" ht="15.75" customHeight="1">
      <c r="A1686" s="111" t="s">
        <v>1785</v>
      </c>
      <c r="B1686" s="83" t="s">
        <v>2361</v>
      </c>
      <c r="C1686" s="83" t="s">
        <v>68</v>
      </c>
      <c r="D1686" s="83">
        <v>1103395.0</v>
      </c>
      <c r="E1686" s="83"/>
      <c r="F1686" s="83">
        <v>2.9201853E7</v>
      </c>
      <c r="G1686" s="187" t="s">
        <v>13596</v>
      </c>
      <c r="H1686" s="91" t="s">
        <v>9174</v>
      </c>
      <c r="I1686" s="114" t="s">
        <v>149</v>
      </c>
      <c r="J1686" s="83" t="s">
        <v>150</v>
      </c>
      <c r="K1686" s="83" t="s">
        <v>151</v>
      </c>
      <c r="L1686" s="83" t="s">
        <v>152</v>
      </c>
      <c r="M1686" s="82" t="s">
        <v>13597</v>
      </c>
      <c r="N1686" s="82" t="s">
        <v>13598</v>
      </c>
      <c r="O1686" s="82" t="s">
        <v>13599</v>
      </c>
      <c r="P1686" s="82" t="s">
        <v>13600</v>
      </c>
      <c r="Q1686" s="82" t="s">
        <v>13602</v>
      </c>
      <c r="R1686" s="82" t="s">
        <v>13603</v>
      </c>
      <c r="S1686" s="82" t="s">
        <v>13604</v>
      </c>
      <c r="T1686" s="138">
        <v>7.0</v>
      </c>
      <c r="U1686" s="323">
        <v>7.0</v>
      </c>
      <c r="V1686" s="106">
        <v>0.0</v>
      </c>
      <c r="W1686" s="107">
        <v>0.0</v>
      </c>
      <c r="X1686" s="107">
        <v>0.0</v>
      </c>
      <c r="Y1686" s="107">
        <v>0.0</v>
      </c>
      <c r="Z1686" s="80">
        <v>0.0</v>
      </c>
      <c r="AA1686" s="140">
        <v>0.0</v>
      </c>
      <c r="AB1686" s="109">
        <v>254.0</v>
      </c>
      <c r="AC1686" s="109">
        <v>0.0</v>
      </c>
      <c r="AD1686" s="141">
        <v>0.0</v>
      </c>
      <c r="AE1686" s="80">
        <v>254.0</v>
      </c>
      <c r="AF1686" s="140">
        <v>230.0</v>
      </c>
      <c r="AG1686" s="109">
        <v>0.0</v>
      </c>
      <c r="AH1686" s="109">
        <v>39.0</v>
      </c>
      <c r="AI1686" s="141">
        <v>0.0</v>
      </c>
      <c r="AJ1686" s="80">
        <v>269.0</v>
      </c>
      <c r="AK1686" s="140">
        <v>0.0</v>
      </c>
      <c r="AL1686" s="109">
        <v>0.0</v>
      </c>
      <c r="AM1686" s="141">
        <v>0.0</v>
      </c>
      <c r="AN1686" s="80">
        <v>0.0</v>
      </c>
      <c r="AO1686" s="140">
        <v>0.0</v>
      </c>
      <c r="AP1686" s="109">
        <v>0.0</v>
      </c>
      <c r="AQ1686" s="109">
        <v>108.0</v>
      </c>
      <c r="AR1686" s="80">
        <v>108.0</v>
      </c>
      <c r="AS1686" s="110">
        <v>0.0</v>
      </c>
      <c r="AT1686" s="110">
        <v>0.0</v>
      </c>
      <c r="AU1686" s="110">
        <v>0.0</v>
      </c>
      <c r="AV1686" s="142">
        <v>0.0</v>
      </c>
      <c r="AW1686" s="80">
        <v>0.0</v>
      </c>
      <c r="AX1686" s="113">
        <v>631.0</v>
      </c>
      <c r="AY1686" s="117">
        <v>484.0</v>
      </c>
      <c r="AZ1686" s="328">
        <v>147.0</v>
      </c>
      <c r="BA1686" s="315">
        <v>0.0</v>
      </c>
      <c r="BB1686" s="316">
        <v>631.0</v>
      </c>
      <c r="BC1686" s="132" t="s">
        <v>178</v>
      </c>
      <c r="BD1686" s="132" t="s">
        <v>178</v>
      </c>
      <c r="BE1686" s="132" t="s">
        <v>178</v>
      </c>
      <c r="BF1686" s="156"/>
      <c r="BG1686" s="83">
        <v>1103395.0</v>
      </c>
      <c r="BH1686" s="112">
        <v>7.0</v>
      </c>
      <c r="BI1686" s="98" t="s">
        <v>155</v>
      </c>
      <c r="BJ1686" s="98" t="str">
        <f t="shared" si="1"/>
        <v>NÃO</v>
      </c>
      <c r="BK1686" s="98" t="str">
        <f t="shared" si="2"/>
        <v>NÃO</v>
      </c>
    </row>
    <row r="1687" ht="15.75" customHeight="1">
      <c r="A1687" s="111" t="s">
        <v>1785</v>
      </c>
      <c r="B1687" s="83" t="s">
        <v>2361</v>
      </c>
      <c r="C1687" s="83" t="s">
        <v>68</v>
      </c>
      <c r="D1687" s="83">
        <v>1104723.0</v>
      </c>
      <c r="E1687" s="83"/>
      <c r="F1687" s="83">
        <v>2.9201373E7</v>
      </c>
      <c r="G1687" s="114" t="s">
        <v>13605</v>
      </c>
      <c r="H1687" s="91" t="s">
        <v>9195</v>
      </c>
      <c r="I1687" s="114" t="s">
        <v>9196</v>
      </c>
      <c r="J1687" s="83" t="s">
        <v>150</v>
      </c>
      <c r="K1687" s="83" t="s">
        <v>1022</v>
      </c>
      <c r="L1687" s="83" t="s">
        <v>152</v>
      </c>
      <c r="M1687" s="82" t="s">
        <v>13606</v>
      </c>
      <c r="N1687" s="82" t="s">
        <v>13607</v>
      </c>
      <c r="O1687" s="82" t="s">
        <v>13608</v>
      </c>
      <c r="P1687" s="82" t="s">
        <v>13609</v>
      </c>
      <c r="Q1687" s="82" t="s">
        <v>13610</v>
      </c>
      <c r="R1687" s="82" t="s">
        <v>13611</v>
      </c>
      <c r="S1687" s="82" t="s">
        <v>13612</v>
      </c>
      <c r="T1687" s="138">
        <v>15.0</v>
      </c>
      <c r="U1687" s="341">
        <v>13.0</v>
      </c>
      <c r="V1687" s="106">
        <v>0.0</v>
      </c>
      <c r="W1687" s="107">
        <v>0.0</v>
      </c>
      <c r="X1687" s="107">
        <v>0.0</v>
      </c>
      <c r="Y1687" s="107">
        <v>0.0</v>
      </c>
      <c r="Z1687" s="80">
        <v>0.0</v>
      </c>
      <c r="AA1687" s="140">
        <v>250.0</v>
      </c>
      <c r="AB1687" s="109">
        <v>206.0</v>
      </c>
      <c r="AC1687" s="109">
        <v>0.0</v>
      </c>
      <c r="AD1687" s="141">
        <v>0.0</v>
      </c>
      <c r="AE1687" s="80">
        <v>456.0</v>
      </c>
      <c r="AF1687" s="140">
        <v>136.0</v>
      </c>
      <c r="AG1687" s="109">
        <v>73.0</v>
      </c>
      <c r="AH1687" s="109">
        <v>0.0</v>
      </c>
      <c r="AI1687" s="141">
        <v>0.0</v>
      </c>
      <c r="AJ1687" s="80">
        <v>209.0</v>
      </c>
      <c r="AK1687" s="140">
        <v>0.0</v>
      </c>
      <c r="AL1687" s="109">
        <v>0.0</v>
      </c>
      <c r="AM1687" s="141">
        <v>14.0</v>
      </c>
      <c r="AN1687" s="80">
        <v>14.0</v>
      </c>
      <c r="AO1687" s="140">
        <v>0.0</v>
      </c>
      <c r="AP1687" s="109">
        <v>0.0</v>
      </c>
      <c r="AQ1687" s="109">
        <v>92.0</v>
      </c>
      <c r="AR1687" s="80">
        <v>92.0</v>
      </c>
      <c r="AS1687" s="110">
        <v>0.0</v>
      </c>
      <c r="AT1687" s="110">
        <v>0.0</v>
      </c>
      <c r="AU1687" s="110">
        <v>0.0</v>
      </c>
      <c r="AV1687" s="142">
        <v>0.0</v>
      </c>
      <c r="AW1687" s="80">
        <v>0.0</v>
      </c>
      <c r="AX1687" s="113">
        <v>771.0</v>
      </c>
      <c r="AY1687" s="117">
        <v>665.0</v>
      </c>
      <c r="AZ1687" s="328">
        <v>106.0</v>
      </c>
      <c r="BA1687" s="315">
        <v>0.0</v>
      </c>
      <c r="BB1687" s="316">
        <v>771.0</v>
      </c>
      <c r="BC1687" s="132" t="s">
        <v>178</v>
      </c>
      <c r="BD1687" s="132" t="s">
        <v>178</v>
      </c>
      <c r="BE1687" s="132" t="s">
        <v>178</v>
      </c>
      <c r="BF1687" s="156"/>
      <c r="BG1687" s="83">
        <v>1104723.0</v>
      </c>
      <c r="BH1687" s="112">
        <v>13.0</v>
      </c>
      <c r="BI1687" s="98" t="s">
        <v>155</v>
      </c>
      <c r="BJ1687" s="98" t="str">
        <f t="shared" si="1"/>
        <v>NÃO</v>
      </c>
      <c r="BK1687" s="98" t="str">
        <f t="shared" si="2"/>
        <v>NÃO</v>
      </c>
    </row>
    <row r="1688" ht="15.75" customHeight="1">
      <c r="A1688" s="111" t="s">
        <v>1785</v>
      </c>
      <c r="B1688" s="83" t="s">
        <v>2361</v>
      </c>
      <c r="C1688" s="83" t="s">
        <v>68</v>
      </c>
      <c r="D1688" s="83">
        <v>1177009.0</v>
      </c>
      <c r="E1688" s="83"/>
      <c r="F1688" s="83">
        <v>2.940446E7</v>
      </c>
      <c r="G1688" s="365" t="s">
        <v>13613</v>
      </c>
      <c r="H1688" s="91" t="s">
        <v>9179</v>
      </c>
      <c r="I1688" s="298" t="s">
        <v>149</v>
      </c>
      <c r="J1688" s="83" t="s">
        <v>150</v>
      </c>
      <c r="K1688" s="83" t="s">
        <v>151</v>
      </c>
      <c r="L1688" s="83" t="s">
        <v>152</v>
      </c>
      <c r="M1688" s="82" t="s">
        <v>13614</v>
      </c>
      <c r="N1688" s="82" t="s">
        <v>13615</v>
      </c>
      <c r="O1688" s="82" t="s">
        <v>13616</v>
      </c>
      <c r="P1688" s="82" t="s">
        <v>13617</v>
      </c>
      <c r="Q1688" s="82" t="s">
        <v>13618</v>
      </c>
      <c r="R1688" s="82" t="s">
        <v>13619</v>
      </c>
      <c r="S1688" s="82" t="s">
        <v>13620</v>
      </c>
      <c r="T1688" s="138">
        <v>11.0</v>
      </c>
      <c r="U1688" s="387">
        <v>11.0</v>
      </c>
      <c r="V1688" s="106">
        <v>0.0</v>
      </c>
      <c r="W1688" s="107">
        <v>0.0</v>
      </c>
      <c r="X1688" s="107">
        <v>0.0</v>
      </c>
      <c r="Y1688" s="107">
        <v>0.0</v>
      </c>
      <c r="Z1688" s="80">
        <v>0.0</v>
      </c>
      <c r="AA1688" s="140">
        <v>0.0</v>
      </c>
      <c r="AB1688" s="109">
        <v>0.0</v>
      </c>
      <c r="AC1688" s="109">
        <v>0.0</v>
      </c>
      <c r="AD1688" s="141">
        <v>0.0</v>
      </c>
      <c r="AE1688" s="80">
        <v>0.0</v>
      </c>
      <c r="AF1688" s="140">
        <v>405.0</v>
      </c>
      <c r="AG1688" s="109">
        <v>130.0</v>
      </c>
      <c r="AH1688" s="109">
        <v>22.0</v>
      </c>
      <c r="AI1688" s="141">
        <v>0.0</v>
      </c>
      <c r="AJ1688" s="80">
        <v>557.0</v>
      </c>
      <c r="AK1688" s="140">
        <v>0.0</v>
      </c>
      <c r="AL1688" s="109">
        <v>0.0</v>
      </c>
      <c r="AM1688" s="141">
        <v>0.0</v>
      </c>
      <c r="AN1688" s="80">
        <v>0.0</v>
      </c>
      <c r="AO1688" s="140">
        <v>0.0</v>
      </c>
      <c r="AP1688" s="109">
        <v>53.0</v>
      </c>
      <c r="AQ1688" s="109">
        <v>105.0</v>
      </c>
      <c r="AR1688" s="80">
        <v>158.0</v>
      </c>
      <c r="AS1688" s="110">
        <v>0.0</v>
      </c>
      <c r="AT1688" s="110">
        <v>0.0</v>
      </c>
      <c r="AU1688" s="110">
        <v>0.0</v>
      </c>
      <c r="AV1688" s="142">
        <v>0.0</v>
      </c>
      <c r="AW1688" s="80">
        <v>0.0</v>
      </c>
      <c r="AX1688" s="113">
        <v>715.0</v>
      </c>
      <c r="AY1688" s="117">
        <v>588.0</v>
      </c>
      <c r="AZ1688" s="328">
        <v>127.0</v>
      </c>
      <c r="BA1688" s="315">
        <v>0.0</v>
      </c>
      <c r="BB1688" s="316">
        <v>715.0</v>
      </c>
      <c r="BC1688" s="132" t="s">
        <v>178</v>
      </c>
      <c r="BD1688" s="132" t="s">
        <v>178</v>
      </c>
      <c r="BE1688" s="132" t="s">
        <v>178</v>
      </c>
      <c r="BF1688" s="156"/>
      <c r="BG1688" s="83">
        <v>1177009.0</v>
      </c>
      <c r="BH1688" s="112">
        <v>11.0</v>
      </c>
      <c r="BI1688" s="98" t="s">
        <v>155</v>
      </c>
      <c r="BJ1688" s="98" t="str">
        <f t="shared" si="1"/>
        <v>NÃO</v>
      </c>
      <c r="BK1688" s="98" t="str">
        <f t="shared" si="2"/>
        <v>NÃO</v>
      </c>
    </row>
    <row r="1689" ht="15.75" customHeight="1">
      <c r="A1689" s="111" t="s">
        <v>1785</v>
      </c>
      <c r="B1689" s="83" t="s">
        <v>2361</v>
      </c>
      <c r="C1689" s="83" t="s">
        <v>68</v>
      </c>
      <c r="D1689" s="83">
        <v>1104928.0</v>
      </c>
      <c r="E1689" s="83"/>
      <c r="F1689" s="83">
        <v>2.9201535E7</v>
      </c>
      <c r="G1689" s="114" t="s">
        <v>13621</v>
      </c>
      <c r="H1689" s="91" t="s">
        <v>9182</v>
      </c>
      <c r="I1689" s="298" t="s">
        <v>149</v>
      </c>
      <c r="J1689" s="83" t="s">
        <v>9183</v>
      </c>
      <c r="K1689" s="83" t="s">
        <v>151</v>
      </c>
      <c r="L1689" s="83" t="s">
        <v>76</v>
      </c>
      <c r="M1689" s="82" t="s">
        <v>13622</v>
      </c>
      <c r="N1689" s="82" t="s">
        <v>13623</v>
      </c>
      <c r="O1689" s="82" t="s">
        <v>13624</v>
      </c>
      <c r="P1689" s="82" t="s">
        <v>13625</v>
      </c>
      <c r="Q1689" s="82"/>
      <c r="R1689" s="82"/>
      <c r="S1689" s="82" t="s">
        <v>13626</v>
      </c>
      <c r="T1689" s="138">
        <v>9.0</v>
      </c>
      <c r="U1689" s="341">
        <v>5.0</v>
      </c>
      <c r="V1689" s="106">
        <v>0.0</v>
      </c>
      <c r="W1689" s="107">
        <v>0.0</v>
      </c>
      <c r="X1689" s="107">
        <v>0.0</v>
      </c>
      <c r="Y1689" s="107">
        <v>0.0</v>
      </c>
      <c r="Z1689" s="80">
        <v>0.0</v>
      </c>
      <c r="AA1689" s="140">
        <v>0.0</v>
      </c>
      <c r="AB1689" s="109">
        <v>0.0</v>
      </c>
      <c r="AC1689" s="109">
        <v>0.0</v>
      </c>
      <c r="AD1689" s="141">
        <v>0.0</v>
      </c>
      <c r="AE1689" s="80">
        <v>0.0</v>
      </c>
      <c r="AF1689" s="140">
        <v>127.0</v>
      </c>
      <c r="AG1689" s="109">
        <v>0.0</v>
      </c>
      <c r="AH1689" s="109">
        <v>0.0</v>
      </c>
      <c r="AI1689" s="141">
        <v>33.0</v>
      </c>
      <c r="AJ1689" s="80">
        <v>160.0</v>
      </c>
      <c r="AK1689" s="140">
        <v>0.0</v>
      </c>
      <c r="AL1689" s="109">
        <v>0.0</v>
      </c>
      <c r="AM1689" s="141">
        <v>0.0</v>
      </c>
      <c r="AN1689" s="80">
        <v>0.0</v>
      </c>
      <c r="AO1689" s="140">
        <v>0.0</v>
      </c>
      <c r="AP1689" s="109">
        <v>0.0</v>
      </c>
      <c r="AQ1689" s="109">
        <v>61.0</v>
      </c>
      <c r="AR1689" s="80">
        <v>61.0</v>
      </c>
      <c r="AS1689" s="110">
        <v>0.0</v>
      </c>
      <c r="AT1689" s="110">
        <v>0.0</v>
      </c>
      <c r="AU1689" s="110">
        <v>0.0</v>
      </c>
      <c r="AV1689" s="142">
        <v>0.0</v>
      </c>
      <c r="AW1689" s="80">
        <v>0.0</v>
      </c>
      <c r="AX1689" s="113">
        <v>221.0</v>
      </c>
      <c r="AY1689" s="117">
        <v>160.0</v>
      </c>
      <c r="AZ1689" s="328">
        <v>61.0</v>
      </c>
      <c r="BA1689" s="315">
        <v>0.0</v>
      </c>
      <c r="BB1689" s="316">
        <v>221.0</v>
      </c>
      <c r="BC1689" s="132" t="s">
        <v>373</v>
      </c>
      <c r="BD1689" s="132" t="s">
        <v>178</v>
      </c>
      <c r="BE1689" s="132" t="s">
        <v>178</v>
      </c>
      <c r="BF1689" s="123"/>
      <c r="BG1689" s="83">
        <v>1104928.0</v>
      </c>
      <c r="BH1689" s="112">
        <v>5.0</v>
      </c>
      <c r="BI1689" s="98" t="s">
        <v>155</v>
      </c>
      <c r="BJ1689" s="98" t="str">
        <f t="shared" si="1"/>
        <v>INTEGRAL</v>
      </c>
      <c r="BK1689" s="98" t="str">
        <f t="shared" si="2"/>
        <v>NÃO</v>
      </c>
    </row>
    <row r="1690" ht="15.75" customHeight="1">
      <c r="A1690" s="111" t="s">
        <v>1785</v>
      </c>
      <c r="B1690" s="83" t="s">
        <v>2361</v>
      </c>
      <c r="C1690" s="83" t="s">
        <v>68</v>
      </c>
      <c r="D1690" s="83">
        <v>1100930.0</v>
      </c>
      <c r="E1690" s="83"/>
      <c r="F1690" s="83">
        <v>2.9201527E7</v>
      </c>
      <c r="G1690" s="185" t="s">
        <v>13627</v>
      </c>
      <c r="H1690" s="91" t="s">
        <v>9186</v>
      </c>
      <c r="I1690" s="535" t="s">
        <v>9188</v>
      </c>
      <c r="J1690" s="83" t="s">
        <v>150</v>
      </c>
      <c r="K1690" s="83" t="s">
        <v>151</v>
      </c>
      <c r="L1690" s="83" t="s">
        <v>76</v>
      </c>
      <c r="M1690" s="82" t="s">
        <v>13628</v>
      </c>
      <c r="N1690" s="82" t="s">
        <v>13629</v>
      </c>
      <c r="O1690" s="82" t="s">
        <v>13630</v>
      </c>
      <c r="P1690" s="82" t="s">
        <v>13631</v>
      </c>
      <c r="Q1690" s="82"/>
      <c r="R1690" s="82"/>
      <c r="S1690" s="82" t="s">
        <v>13632</v>
      </c>
      <c r="T1690" s="138">
        <v>7.0</v>
      </c>
      <c r="U1690" s="341">
        <v>6.0</v>
      </c>
      <c r="V1690" s="106">
        <v>0.0</v>
      </c>
      <c r="W1690" s="107">
        <v>0.0</v>
      </c>
      <c r="X1690" s="107">
        <v>0.0</v>
      </c>
      <c r="Y1690" s="107">
        <v>0.0</v>
      </c>
      <c r="Z1690" s="80">
        <v>0.0</v>
      </c>
      <c r="AA1690" s="140">
        <v>208.0</v>
      </c>
      <c r="AB1690" s="109">
        <v>221.0</v>
      </c>
      <c r="AC1690" s="109">
        <v>0.0</v>
      </c>
      <c r="AD1690" s="141">
        <v>0.0</v>
      </c>
      <c r="AE1690" s="80">
        <v>429.0</v>
      </c>
      <c r="AF1690" s="140">
        <v>0.0</v>
      </c>
      <c r="AG1690" s="109">
        <v>0.0</v>
      </c>
      <c r="AH1690" s="109">
        <v>0.0</v>
      </c>
      <c r="AI1690" s="141">
        <v>0.0</v>
      </c>
      <c r="AJ1690" s="80">
        <v>0.0</v>
      </c>
      <c r="AK1690" s="140">
        <v>0.0</v>
      </c>
      <c r="AL1690" s="109">
        <v>0.0</v>
      </c>
      <c r="AM1690" s="141">
        <v>0.0</v>
      </c>
      <c r="AN1690" s="80">
        <v>0.0</v>
      </c>
      <c r="AO1690" s="140">
        <v>0.0</v>
      </c>
      <c r="AP1690" s="109">
        <v>0.0</v>
      </c>
      <c r="AQ1690" s="109">
        <v>0.0</v>
      </c>
      <c r="AR1690" s="80">
        <v>0.0</v>
      </c>
      <c r="AS1690" s="110">
        <v>0.0</v>
      </c>
      <c r="AT1690" s="110">
        <v>0.0</v>
      </c>
      <c r="AU1690" s="110">
        <v>0.0</v>
      </c>
      <c r="AV1690" s="142">
        <v>0.0</v>
      </c>
      <c r="AW1690" s="80">
        <v>0.0</v>
      </c>
      <c r="AX1690" s="113">
        <v>429.0</v>
      </c>
      <c r="AY1690" s="117">
        <v>429.0</v>
      </c>
      <c r="AZ1690" s="328">
        <v>0.0</v>
      </c>
      <c r="BA1690" s="315">
        <v>0.0</v>
      </c>
      <c r="BB1690" s="316">
        <v>429.0</v>
      </c>
      <c r="BC1690" s="132" t="s">
        <v>178</v>
      </c>
      <c r="BD1690" s="132" t="s">
        <v>178</v>
      </c>
      <c r="BE1690" s="132" t="s">
        <v>178</v>
      </c>
      <c r="BF1690" s="123"/>
      <c r="BG1690" s="83">
        <v>1100930.0</v>
      </c>
      <c r="BH1690" s="112">
        <v>6.0</v>
      </c>
      <c r="BI1690" s="98" t="s">
        <v>155</v>
      </c>
      <c r="BJ1690" s="98" t="str">
        <f t="shared" si="1"/>
        <v>NÃO</v>
      </c>
      <c r="BK1690" s="98" t="str">
        <f t="shared" si="2"/>
        <v>NÃO</v>
      </c>
    </row>
    <row r="1691" ht="15.75" customHeight="1">
      <c r="A1691" s="111" t="s">
        <v>1785</v>
      </c>
      <c r="B1691" s="83" t="s">
        <v>2361</v>
      </c>
      <c r="C1691" s="83" t="s">
        <v>68</v>
      </c>
      <c r="D1691" s="83">
        <v>1100655.0</v>
      </c>
      <c r="E1691" s="83"/>
      <c r="F1691" s="83">
        <v>2.9201608E7</v>
      </c>
      <c r="G1691" s="185" t="s">
        <v>13633</v>
      </c>
      <c r="H1691" s="91" t="s">
        <v>9202</v>
      </c>
      <c r="I1691" s="535" t="s">
        <v>9203</v>
      </c>
      <c r="J1691" s="83" t="s">
        <v>150</v>
      </c>
      <c r="K1691" s="83" t="s">
        <v>151</v>
      </c>
      <c r="L1691" s="83" t="s">
        <v>152</v>
      </c>
      <c r="M1691" s="82" t="s">
        <v>13634</v>
      </c>
      <c r="N1691" s="82" t="s">
        <v>13635</v>
      </c>
      <c r="O1691" s="82" t="s">
        <v>13636</v>
      </c>
      <c r="P1691" s="82" t="s">
        <v>13637</v>
      </c>
      <c r="Q1691" s="82" t="s">
        <v>13638</v>
      </c>
      <c r="R1691" s="82" t="s">
        <v>13639</v>
      </c>
      <c r="S1691" s="82" t="s">
        <v>13640</v>
      </c>
      <c r="T1691" s="138">
        <v>10.0</v>
      </c>
      <c r="U1691" s="341">
        <v>10.0</v>
      </c>
      <c r="V1691" s="106">
        <v>0.0</v>
      </c>
      <c r="W1691" s="107">
        <v>0.0</v>
      </c>
      <c r="X1691" s="107">
        <v>0.0</v>
      </c>
      <c r="Y1691" s="107">
        <v>0.0</v>
      </c>
      <c r="Z1691" s="80">
        <v>0.0</v>
      </c>
      <c r="AA1691" s="140">
        <v>0.0</v>
      </c>
      <c r="AB1691" s="109">
        <v>0.0</v>
      </c>
      <c r="AC1691" s="109">
        <v>0.0</v>
      </c>
      <c r="AD1691" s="141">
        <v>0.0</v>
      </c>
      <c r="AE1691" s="80">
        <v>0.0</v>
      </c>
      <c r="AF1691" s="140">
        <v>361.0</v>
      </c>
      <c r="AG1691" s="109">
        <v>271.0</v>
      </c>
      <c r="AH1691" s="109">
        <v>37.0</v>
      </c>
      <c r="AI1691" s="141">
        <v>0.0</v>
      </c>
      <c r="AJ1691" s="80">
        <v>669.0</v>
      </c>
      <c r="AK1691" s="140">
        <v>0.0</v>
      </c>
      <c r="AL1691" s="109">
        <v>0.0</v>
      </c>
      <c r="AM1691" s="141">
        <v>0.0</v>
      </c>
      <c r="AN1691" s="80">
        <v>0.0</v>
      </c>
      <c r="AO1691" s="140">
        <v>0.0</v>
      </c>
      <c r="AP1691" s="109">
        <v>0.0</v>
      </c>
      <c r="AQ1691" s="109">
        <v>138.0</v>
      </c>
      <c r="AR1691" s="80">
        <v>138.0</v>
      </c>
      <c r="AS1691" s="110">
        <v>0.0</v>
      </c>
      <c r="AT1691" s="110">
        <v>0.0</v>
      </c>
      <c r="AU1691" s="110">
        <v>0.0</v>
      </c>
      <c r="AV1691" s="142">
        <v>0.0</v>
      </c>
      <c r="AW1691" s="80">
        <v>0.0</v>
      </c>
      <c r="AX1691" s="113">
        <v>807.0</v>
      </c>
      <c r="AY1691" s="117">
        <v>632.0</v>
      </c>
      <c r="AZ1691" s="328">
        <v>175.0</v>
      </c>
      <c r="BA1691" s="315">
        <v>1.0</v>
      </c>
      <c r="BB1691" s="316">
        <v>808.0</v>
      </c>
      <c r="BC1691" s="132" t="s">
        <v>178</v>
      </c>
      <c r="BD1691" s="132" t="s">
        <v>178</v>
      </c>
      <c r="BE1691" s="132" t="s">
        <v>178</v>
      </c>
      <c r="BF1691" s="123"/>
      <c r="BG1691" s="83">
        <v>1100655.0</v>
      </c>
      <c r="BH1691" s="112">
        <v>10.0</v>
      </c>
      <c r="BI1691" s="98" t="s">
        <v>155</v>
      </c>
      <c r="BJ1691" s="98" t="str">
        <f t="shared" si="1"/>
        <v>NÃO</v>
      </c>
      <c r="BK1691" s="98" t="str">
        <f t="shared" si="2"/>
        <v>NÃO</v>
      </c>
    </row>
    <row r="1692" ht="15.75" customHeight="1">
      <c r="A1692" s="111" t="s">
        <v>1785</v>
      </c>
      <c r="B1692" s="83" t="s">
        <v>2361</v>
      </c>
      <c r="C1692" s="83" t="s">
        <v>68</v>
      </c>
      <c r="D1692" s="83">
        <v>1100159.0</v>
      </c>
      <c r="E1692" s="83"/>
      <c r="F1692" s="83">
        <v>2.920139E7</v>
      </c>
      <c r="G1692" s="185" t="s">
        <v>13641</v>
      </c>
      <c r="H1692" s="91" t="s">
        <v>9199</v>
      </c>
      <c r="I1692" s="535" t="s">
        <v>149</v>
      </c>
      <c r="J1692" s="83" t="s">
        <v>150</v>
      </c>
      <c r="K1692" s="83" t="s">
        <v>151</v>
      </c>
      <c r="L1692" s="83" t="s">
        <v>230</v>
      </c>
      <c r="M1692" s="82" t="s">
        <v>13642</v>
      </c>
      <c r="N1692" s="82" t="s">
        <v>13643</v>
      </c>
      <c r="O1692" s="82" t="s">
        <v>13644</v>
      </c>
      <c r="P1692" s="82" t="s">
        <v>13645</v>
      </c>
      <c r="Q1692" s="82" t="s">
        <v>13646</v>
      </c>
      <c r="R1692" s="82" t="s">
        <v>13647</v>
      </c>
      <c r="S1692" s="82" t="s">
        <v>13648</v>
      </c>
      <c r="T1692" s="138">
        <v>13.0</v>
      </c>
      <c r="U1692" s="341">
        <v>13.0</v>
      </c>
      <c r="V1692" s="106">
        <v>0.0</v>
      </c>
      <c r="W1692" s="107">
        <v>0.0</v>
      </c>
      <c r="X1692" s="107">
        <v>0.0</v>
      </c>
      <c r="Y1692" s="107">
        <v>0.0</v>
      </c>
      <c r="Z1692" s="80">
        <v>0.0</v>
      </c>
      <c r="AA1692" s="140">
        <v>0.0</v>
      </c>
      <c r="AB1692" s="109">
        <v>0.0</v>
      </c>
      <c r="AC1692" s="109">
        <v>0.0</v>
      </c>
      <c r="AD1692" s="141">
        <v>0.0</v>
      </c>
      <c r="AE1692" s="80">
        <v>0.0</v>
      </c>
      <c r="AF1692" s="140">
        <v>457.0</v>
      </c>
      <c r="AG1692" s="109">
        <v>394.0</v>
      </c>
      <c r="AH1692" s="109">
        <v>33.0</v>
      </c>
      <c r="AI1692" s="141">
        <v>0.0</v>
      </c>
      <c r="AJ1692" s="80">
        <v>884.0</v>
      </c>
      <c r="AK1692" s="140">
        <v>0.0</v>
      </c>
      <c r="AL1692" s="109">
        <v>0.0</v>
      </c>
      <c r="AM1692" s="141">
        <v>0.0</v>
      </c>
      <c r="AN1692" s="80">
        <v>0.0</v>
      </c>
      <c r="AO1692" s="140">
        <v>0.0</v>
      </c>
      <c r="AP1692" s="109">
        <v>31.0</v>
      </c>
      <c r="AQ1692" s="109">
        <v>237.0</v>
      </c>
      <c r="AR1692" s="80">
        <v>268.0</v>
      </c>
      <c r="AS1692" s="110">
        <v>0.0</v>
      </c>
      <c r="AT1692" s="110">
        <v>0.0</v>
      </c>
      <c r="AU1692" s="110">
        <v>0.0</v>
      </c>
      <c r="AV1692" s="142">
        <v>0.0</v>
      </c>
      <c r="AW1692" s="80">
        <v>0.0</v>
      </c>
      <c r="AX1692" s="113">
        <v>1152.0</v>
      </c>
      <c r="AY1692" s="117">
        <v>882.0</v>
      </c>
      <c r="AZ1692" s="328">
        <v>270.0</v>
      </c>
      <c r="BA1692" s="315">
        <v>0.0</v>
      </c>
      <c r="BB1692" s="316">
        <v>1152.0</v>
      </c>
      <c r="BC1692" s="132" t="s">
        <v>178</v>
      </c>
      <c r="BD1692" s="132" t="s">
        <v>178</v>
      </c>
      <c r="BE1692" s="132" t="s">
        <v>178</v>
      </c>
      <c r="BF1692" s="123"/>
      <c r="BG1692" s="83">
        <v>1100159.0</v>
      </c>
      <c r="BH1692" s="112">
        <v>13.0</v>
      </c>
      <c r="BI1692" s="98" t="s">
        <v>155</v>
      </c>
      <c r="BJ1692" s="98" t="str">
        <f t="shared" si="1"/>
        <v>NÃO</v>
      </c>
      <c r="BK1692" s="98" t="str">
        <f t="shared" si="2"/>
        <v>NÃO</v>
      </c>
    </row>
    <row r="1693" ht="15.75" customHeight="1">
      <c r="A1693" s="111" t="s">
        <v>1785</v>
      </c>
      <c r="B1693" s="83" t="s">
        <v>2361</v>
      </c>
      <c r="C1693" s="83" t="s">
        <v>68</v>
      </c>
      <c r="D1693" s="83">
        <v>1176072.0</v>
      </c>
      <c r="E1693" s="83"/>
      <c r="F1693" s="83">
        <v>2.9201632E7</v>
      </c>
      <c r="G1693" s="185" t="s">
        <v>9205</v>
      </c>
      <c r="H1693" s="91" t="s">
        <v>9206</v>
      </c>
      <c r="I1693" s="535" t="s">
        <v>9203</v>
      </c>
      <c r="J1693" s="83" t="s">
        <v>150</v>
      </c>
      <c r="K1693" s="83" t="s">
        <v>151</v>
      </c>
      <c r="L1693" s="83" t="s">
        <v>230</v>
      </c>
      <c r="M1693" s="82" t="s">
        <v>13649</v>
      </c>
      <c r="N1693" s="82" t="s">
        <v>13650</v>
      </c>
      <c r="O1693" s="82" t="s">
        <v>13651</v>
      </c>
      <c r="P1693" s="82" t="s">
        <v>13652</v>
      </c>
      <c r="Q1693" s="82" t="s">
        <v>13653</v>
      </c>
      <c r="R1693" s="82" t="s">
        <v>13654</v>
      </c>
      <c r="S1693" s="82" t="s">
        <v>13655</v>
      </c>
      <c r="T1693" s="138">
        <v>23.0</v>
      </c>
      <c r="U1693" s="341">
        <v>22.0</v>
      </c>
      <c r="V1693" s="106">
        <v>0.0</v>
      </c>
      <c r="W1693" s="107">
        <v>0.0</v>
      </c>
      <c r="X1693" s="107">
        <v>0.0</v>
      </c>
      <c r="Y1693" s="107">
        <v>0.0</v>
      </c>
      <c r="Z1693" s="80">
        <v>0.0</v>
      </c>
      <c r="AA1693" s="140">
        <v>0.0</v>
      </c>
      <c r="AB1693" s="109">
        <v>0.0</v>
      </c>
      <c r="AC1693" s="109">
        <v>0.0</v>
      </c>
      <c r="AD1693" s="141">
        <v>0.0</v>
      </c>
      <c r="AE1693" s="80">
        <v>0.0</v>
      </c>
      <c r="AF1693" s="140">
        <v>0.0</v>
      </c>
      <c r="AG1693" s="109">
        <v>0.0</v>
      </c>
      <c r="AH1693" s="109">
        <v>0.0</v>
      </c>
      <c r="AI1693" s="141">
        <v>0.0</v>
      </c>
      <c r="AJ1693" s="80">
        <v>0.0</v>
      </c>
      <c r="AK1693" s="140">
        <v>0.0</v>
      </c>
      <c r="AL1693" s="109">
        <v>0.0</v>
      </c>
      <c r="AM1693" s="141">
        <v>0.0</v>
      </c>
      <c r="AN1693" s="80">
        <v>0.0</v>
      </c>
      <c r="AO1693" s="140">
        <v>0.0</v>
      </c>
      <c r="AP1693" s="109">
        <v>0.0</v>
      </c>
      <c r="AQ1693" s="109">
        <v>0.0</v>
      </c>
      <c r="AR1693" s="80">
        <v>0.0</v>
      </c>
      <c r="AS1693" s="110">
        <v>644.0</v>
      </c>
      <c r="AT1693" s="110">
        <v>45.0</v>
      </c>
      <c r="AU1693" s="110">
        <v>398.0</v>
      </c>
      <c r="AV1693" s="142">
        <v>0.0</v>
      </c>
      <c r="AW1693" s="80">
        <v>1087.0</v>
      </c>
      <c r="AX1693" s="113">
        <v>1087.0</v>
      </c>
      <c r="AY1693" s="117">
        <v>689.0</v>
      </c>
      <c r="AZ1693" s="328">
        <v>398.0</v>
      </c>
      <c r="BA1693" s="315">
        <v>0.0</v>
      </c>
      <c r="BB1693" s="316">
        <v>1087.0</v>
      </c>
      <c r="BC1693" s="132" t="s">
        <v>178</v>
      </c>
      <c r="BD1693" s="132" t="s">
        <v>779</v>
      </c>
      <c r="BE1693" s="132" t="s">
        <v>178</v>
      </c>
      <c r="BF1693" s="156"/>
      <c r="BG1693" s="83">
        <v>1176072.0</v>
      </c>
      <c r="BH1693" s="112">
        <v>22.0</v>
      </c>
      <c r="BI1693" s="98" t="s">
        <v>155</v>
      </c>
      <c r="BJ1693" s="98" t="str">
        <f t="shared" si="1"/>
        <v>NÃO</v>
      </c>
      <c r="BK1693" s="98" t="str">
        <f t="shared" si="2"/>
        <v>PROFISSIONAL</v>
      </c>
    </row>
    <row r="1694" ht="15.75" customHeight="1">
      <c r="A1694" s="111" t="s">
        <v>1785</v>
      </c>
      <c r="B1694" s="83" t="s">
        <v>2361</v>
      </c>
      <c r="C1694" s="83" t="s">
        <v>68</v>
      </c>
      <c r="D1694" s="83">
        <v>1144520.0</v>
      </c>
      <c r="E1694" s="83"/>
      <c r="F1694" s="83">
        <v>2.920102E7</v>
      </c>
      <c r="G1694" s="185" t="s">
        <v>9210</v>
      </c>
      <c r="H1694" s="91" t="s">
        <v>9211</v>
      </c>
      <c r="I1694" s="535" t="s">
        <v>149</v>
      </c>
      <c r="J1694" s="83" t="s">
        <v>150</v>
      </c>
      <c r="K1694" s="83" t="s">
        <v>168</v>
      </c>
      <c r="L1694" s="83" t="s">
        <v>76</v>
      </c>
      <c r="M1694" s="82" t="s">
        <v>13656</v>
      </c>
      <c r="N1694" s="82" t="s">
        <v>13657</v>
      </c>
      <c r="O1694" s="82" t="s">
        <v>13658</v>
      </c>
      <c r="P1694" s="82" t="s">
        <v>13659</v>
      </c>
      <c r="Q1694" s="82"/>
      <c r="R1694" s="82"/>
      <c r="S1694" s="82" t="s">
        <v>13660</v>
      </c>
      <c r="T1694" s="138">
        <v>13.0</v>
      </c>
      <c r="U1694" s="341">
        <v>8.0</v>
      </c>
      <c r="V1694" s="106">
        <v>0.0</v>
      </c>
      <c r="W1694" s="107">
        <v>0.0</v>
      </c>
      <c r="X1694" s="107">
        <v>0.0</v>
      </c>
      <c r="Y1694" s="107">
        <v>0.0</v>
      </c>
      <c r="Z1694" s="80">
        <v>0.0</v>
      </c>
      <c r="AA1694" s="140">
        <v>230.0</v>
      </c>
      <c r="AB1694" s="109">
        <v>250.0</v>
      </c>
      <c r="AC1694" s="109">
        <v>0.0</v>
      </c>
      <c r="AD1694" s="141">
        <v>0.0</v>
      </c>
      <c r="AE1694" s="80">
        <v>480.0</v>
      </c>
      <c r="AF1694" s="140">
        <v>0.0</v>
      </c>
      <c r="AG1694" s="109">
        <v>0.0</v>
      </c>
      <c r="AH1694" s="109">
        <v>0.0</v>
      </c>
      <c r="AI1694" s="141">
        <v>0.0</v>
      </c>
      <c r="AJ1694" s="80">
        <v>0.0</v>
      </c>
      <c r="AK1694" s="140">
        <v>0.0</v>
      </c>
      <c r="AL1694" s="109">
        <v>0.0</v>
      </c>
      <c r="AM1694" s="141">
        <v>0.0</v>
      </c>
      <c r="AN1694" s="80">
        <v>0.0</v>
      </c>
      <c r="AO1694" s="140">
        <v>0.0</v>
      </c>
      <c r="AP1694" s="109">
        <v>0.0</v>
      </c>
      <c r="AQ1694" s="109">
        <v>0.0</v>
      </c>
      <c r="AR1694" s="80">
        <v>0.0</v>
      </c>
      <c r="AS1694" s="110">
        <v>0.0</v>
      </c>
      <c r="AT1694" s="110">
        <v>0.0</v>
      </c>
      <c r="AU1694" s="110">
        <v>0.0</v>
      </c>
      <c r="AV1694" s="142">
        <v>0.0</v>
      </c>
      <c r="AW1694" s="80">
        <v>0.0</v>
      </c>
      <c r="AX1694" s="113">
        <v>480.0</v>
      </c>
      <c r="AY1694" s="117">
        <v>480.0</v>
      </c>
      <c r="AZ1694" s="328">
        <v>0.0</v>
      </c>
      <c r="BA1694" s="315">
        <v>0.0</v>
      </c>
      <c r="BB1694" s="316">
        <v>480.0</v>
      </c>
      <c r="BC1694" s="132" t="s">
        <v>178</v>
      </c>
      <c r="BD1694" s="132" t="s">
        <v>178</v>
      </c>
      <c r="BE1694" s="132" t="s">
        <v>178</v>
      </c>
      <c r="BF1694" s="123"/>
      <c r="BG1694" s="83">
        <v>1144520.0</v>
      </c>
      <c r="BH1694" s="112">
        <v>8.0</v>
      </c>
      <c r="BI1694" s="98" t="s">
        <v>155</v>
      </c>
      <c r="BJ1694" s="98" t="str">
        <f t="shared" si="1"/>
        <v>NÃO</v>
      </c>
      <c r="BK1694" s="98" t="str">
        <f t="shared" si="2"/>
        <v>NÃO</v>
      </c>
    </row>
    <row r="1695" ht="15.75" customHeight="1">
      <c r="A1695" s="111" t="s">
        <v>1785</v>
      </c>
      <c r="B1695" s="83" t="s">
        <v>2361</v>
      </c>
      <c r="C1695" s="83" t="s">
        <v>164</v>
      </c>
      <c r="D1695" s="83">
        <v>1104928.0</v>
      </c>
      <c r="E1695" s="83">
        <v>1178433.0</v>
      </c>
      <c r="F1695" s="83"/>
      <c r="G1695" s="185" t="s">
        <v>13661</v>
      </c>
      <c r="H1695" s="91" t="s">
        <v>9227</v>
      </c>
      <c r="I1695" s="535" t="s">
        <v>149</v>
      </c>
      <c r="J1695" s="83" t="s">
        <v>2704</v>
      </c>
      <c r="K1695" s="83" t="s">
        <v>168</v>
      </c>
      <c r="L1695" s="83" t="s">
        <v>169</v>
      </c>
      <c r="M1695" s="82" t="s">
        <v>13622</v>
      </c>
      <c r="N1695" s="82" t="s">
        <v>13623</v>
      </c>
      <c r="O1695" s="82" t="s">
        <v>13624</v>
      </c>
      <c r="P1695" s="82" t="s">
        <v>13625</v>
      </c>
      <c r="Q1695" s="82"/>
      <c r="R1695" s="82"/>
      <c r="S1695" s="82" t="s">
        <v>13626</v>
      </c>
      <c r="T1695" s="138">
        <v>4.0</v>
      </c>
      <c r="U1695" s="341">
        <v>3.0</v>
      </c>
      <c r="V1695" s="106">
        <v>0.0</v>
      </c>
      <c r="W1695" s="107">
        <v>0.0</v>
      </c>
      <c r="X1695" s="107">
        <v>0.0</v>
      </c>
      <c r="Y1695" s="107">
        <v>0.0</v>
      </c>
      <c r="Z1695" s="80">
        <v>0.0</v>
      </c>
      <c r="AA1695" s="140">
        <v>0.0</v>
      </c>
      <c r="AB1695" s="109">
        <v>0.0</v>
      </c>
      <c r="AC1695" s="109">
        <v>0.0</v>
      </c>
      <c r="AD1695" s="141">
        <v>0.0</v>
      </c>
      <c r="AE1695" s="80">
        <v>0.0</v>
      </c>
      <c r="AF1695" s="140">
        <v>0.0</v>
      </c>
      <c r="AG1695" s="109">
        <v>0.0</v>
      </c>
      <c r="AH1695" s="109">
        <v>0.0</v>
      </c>
      <c r="AI1695" s="141">
        <v>0.0</v>
      </c>
      <c r="AJ1695" s="80">
        <v>0.0</v>
      </c>
      <c r="AK1695" s="140">
        <v>0.0</v>
      </c>
      <c r="AL1695" s="109">
        <v>0.0</v>
      </c>
      <c r="AM1695" s="141">
        <v>0.0</v>
      </c>
      <c r="AN1695" s="80">
        <v>0.0</v>
      </c>
      <c r="AO1695" s="140">
        <v>0.0</v>
      </c>
      <c r="AP1695" s="109">
        <v>0.0</v>
      </c>
      <c r="AQ1695" s="109">
        <v>85.0</v>
      </c>
      <c r="AR1695" s="80">
        <v>85.0</v>
      </c>
      <c r="AS1695" s="110">
        <v>0.0</v>
      </c>
      <c r="AT1695" s="110">
        <v>0.0</v>
      </c>
      <c r="AU1695" s="110">
        <v>0.0</v>
      </c>
      <c r="AV1695" s="142">
        <v>0.0</v>
      </c>
      <c r="AW1695" s="80">
        <v>0.0</v>
      </c>
      <c r="AX1695" s="113">
        <v>85.0</v>
      </c>
      <c r="AY1695" s="117">
        <v>0.0</v>
      </c>
      <c r="AZ1695" s="328">
        <v>85.0</v>
      </c>
      <c r="BA1695" s="315">
        <v>0.0</v>
      </c>
      <c r="BB1695" s="316">
        <v>85.0</v>
      </c>
      <c r="BC1695" s="132" t="s">
        <v>373</v>
      </c>
      <c r="BD1695" s="132" t="s">
        <v>178</v>
      </c>
      <c r="BE1695" s="132" t="s">
        <v>178</v>
      </c>
      <c r="BF1695" s="123"/>
      <c r="BG1695" s="83">
        <v>1178433.0</v>
      </c>
      <c r="BH1695" s="112">
        <v>3.0</v>
      </c>
      <c r="BI1695" s="98" t="s">
        <v>155</v>
      </c>
      <c r="BJ1695" s="98" t="str">
        <f t="shared" si="1"/>
        <v>NÃO</v>
      </c>
      <c r="BK1695" s="98" t="str">
        <f t="shared" si="2"/>
        <v>NÃO</v>
      </c>
    </row>
    <row r="1696" ht="15.75" customHeight="1">
      <c r="A1696" s="111" t="s">
        <v>1785</v>
      </c>
      <c r="B1696" s="83" t="s">
        <v>2361</v>
      </c>
      <c r="C1696" s="83" t="s">
        <v>164</v>
      </c>
      <c r="D1696" s="83">
        <v>1100930.0</v>
      </c>
      <c r="E1696" s="83">
        <v>1178573.0</v>
      </c>
      <c r="F1696" s="83"/>
      <c r="G1696" s="185" t="s">
        <v>13662</v>
      </c>
      <c r="H1696" s="91" t="s">
        <v>9232</v>
      </c>
      <c r="I1696" s="535" t="s">
        <v>3124</v>
      </c>
      <c r="J1696" s="83" t="s">
        <v>150</v>
      </c>
      <c r="K1696" s="83" t="s">
        <v>168</v>
      </c>
      <c r="L1696" s="83" t="s">
        <v>169</v>
      </c>
      <c r="M1696" s="82" t="s">
        <v>13628</v>
      </c>
      <c r="N1696" s="82" t="s">
        <v>13629</v>
      </c>
      <c r="O1696" s="82" t="s">
        <v>13630</v>
      </c>
      <c r="P1696" s="82" t="s">
        <v>13631</v>
      </c>
      <c r="Q1696" s="82"/>
      <c r="R1696" s="82"/>
      <c r="S1696" s="82" t="s">
        <v>13632</v>
      </c>
      <c r="T1696" s="138">
        <v>3.0</v>
      </c>
      <c r="U1696" s="341">
        <v>1.0</v>
      </c>
      <c r="V1696" s="106">
        <v>0.0</v>
      </c>
      <c r="W1696" s="107">
        <v>0.0</v>
      </c>
      <c r="X1696" s="107">
        <v>0.0</v>
      </c>
      <c r="Y1696" s="107">
        <v>0.0</v>
      </c>
      <c r="Z1696" s="80">
        <v>0.0</v>
      </c>
      <c r="AA1696" s="140">
        <v>0.0</v>
      </c>
      <c r="AB1696" s="109">
        <v>0.0</v>
      </c>
      <c r="AC1696" s="109">
        <v>0.0</v>
      </c>
      <c r="AD1696" s="141">
        <v>0.0</v>
      </c>
      <c r="AE1696" s="80">
        <v>0.0</v>
      </c>
      <c r="AF1696" s="140">
        <v>0.0</v>
      </c>
      <c r="AG1696" s="109">
        <v>0.0</v>
      </c>
      <c r="AH1696" s="109">
        <v>0.0</v>
      </c>
      <c r="AI1696" s="141">
        <v>0.0</v>
      </c>
      <c r="AJ1696" s="80">
        <v>0.0</v>
      </c>
      <c r="AK1696" s="140">
        <v>17.0</v>
      </c>
      <c r="AL1696" s="109">
        <v>12.0</v>
      </c>
      <c r="AM1696" s="141">
        <v>0.0</v>
      </c>
      <c r="AN1696" s="80">
        <v>29.0</v>
      </c>
      <c r="AO1696" s="140">
        <v>0.0</v>
      </c>
      <c r="AP1696" s="109">
        <v>0.0</v>
      </c>
      <c r="AQ1696" s="109">
        <v>0.0</v>
      </c>
      <c r="AR1696" s="80">
        <v>0.0</v>
      </c>
      <c r="AS1696" s="110">
        <v>0.0</v>
      </c>
      <c r="AT1696" s="110">
        <v>0.0</v>
      </c>
      <c r="AU1696" s="110">
        <v>0.0</v>
      </c>
      <c r="AV1696" s="142">
        <v>0.0</v>
      </c>
      <c r="AW1696" s="80">
        <v>0.0</v>
      </c>
      <c r="AX1696" s="113">
        <v>29.0</v>
      </c>
      <c r="AY1696" s="117">
        <v>29.0</v>
      </c>
      <c r="AZ1696" s="328">
        <v>0.0</v>
      </c>
      <c r="BA1696" s="315">
        <v>0.0</v>
      </c>
      <c r="BB1696" s="316">
        <v>29.0</v>
      </c>
      <c r="BC1696" s="132" t="s">
        <v>563</v>
      </c>
      <c r="BD1696" s="132" t="s">
        <v>178</v>
      </c>
      <c r="BE1696" s="132" t="s">
        <v>178</v>
      </c>
      <c r="BF1696" s="181" t="s">
        <v>632</v>
      </c>
      <c r="BG1696" s="83">
        <v>1178573.0</v>
      </c>
      <c r="BH1696" s="112">
        <v>1.0</v>
      </c>
      <c r="BI1696" s="98" t="s">
        <v>155</v>
      </c>
      <c r="BJ1696" s="98" t="str">
        <f t="shared" si="1"/>
        <v>NÃO</v>
      </c>
      <c r="BK1696" s="98" t="str">
        <f t="shared" si="2"/>
        <v>NÃO</v>
      </c>
    </row>
    <row r="1697" ht="15.75" customHeight="1">
      <c r="A1697" s="111" t="s">
        <v>1785</v>
      </c>
      <c r="B1697" s="83" t="s">
        <v>2361</v>
      </c>
      <c r="C1697" s="83" t="s">
        <v>164</v>
      </c>
      <c r="D1697" s="83">
        <v>1100930.0</v>
      </c>
      <c r="E1697" s="83">
        <v>1179068.0</v>
      </c>
      <c r="F1697" s="83"/>
      <c r="G1697" s="535" t="s">
        <v>13663</v>
      </c>
      <c r="H1697" s="91" t="s">
        <v>13664</v>
      </c>
      <c r="I1697" s="114" t="s">
        <v>10138</v>
      </c>
      <c r="J1697" s="83" t="s">
        <v>2668</v>
      </c>
      <c r="K1697" s="83" t="s">
        <v>168</v>
      </c>
      <c r="L1697" s="83" t="s">
        <v>169</v>
      </c>
      <c r="M1697" s="82" t="s">
        <v>13628</v>
      </c>
      <c r="N1697" s="82" t="s">
        <v>13629</v>
      </c>
      <c r="O1697" s="82" t="s">
        <v>13630</v>
      </c>
      <c r="P1697" s="82" t="s">
        <v>13631</v>
      </c>
      <c r="Q1697" s="82"/>
      <c r="R1697" s="82"/>
      <c r="S1697" s="82" t="s">
        <v>13632</v>
      </c>
      <c r="T1697" s="138">
        <v>4.0</v>
      </c>
      <c r="U1697" s="341">
        <v>2.0</v>
      </c>
      <c r="V1697" s="216">
        <v>0.0</v>
      </c>
      <c r="W1697" s="618">
        <v>0.0</v>
      </c>
      <c r="X1697" s="618">
        <v>0.0</v>
      </c>
      <c r="Y1697" s="618">
        <v>0.0</v>
      </c>
      <c r="Z1697" s="80">
        <v>0.0</v>
      </c>
      <c r="AA1697" s="140">
        <v>0.0</v>
      </c>
      <c r="AB1697" s="109">
        <v>0.0</v>
      </c>
      <c r="AC1697" s="109">
        <v>0.0</v>
      </c>
      <c r="AD1697" s="141">
        <v>0.0</v>
      </c>
      <c r="AE1697" s="80">
        <v>0.0</v>
      </c>
      <c r="AF1697" s="140">
        <v>0.0</v>
      </c>
      <c r="AG1697" s="109">
        <v>0.0</v>
      </c>
      <c r="AH1697" s="109">
        <v>0.0</v>
      </c>
      <c r="AI1697" s="141">
        <v>0.0</v>
      </c>
      <c r="AJ1697" s="80">
        <v>0.0</v>
      </c>
      <c r="AK1697" s="140">
        <v>0.0</v>
      </c>
      <c r="AL1697" s="109">
        <v>0.0</v>
      </c>
      <c r="AM1697" s="141">
        <v>0.0</v>
      </c>
      <c r="AN1697" s="80">
        <v>0.0</v>
      </c>
      <c r="AO1697" s="140">
        <v>0.0</v>
      </c>
      <c r="AP1697" s="109">
        <v>0.0</v>
      </c>
      <c r="AQ1697" s="109">
        <v>0.0</v>
      </c>
      <c r="AR1697" s="80">
        <v>0.0</v>
      </c>
      <c r="AS1697" s="110">
        <v>0.0</v>
      </c>
      <c r="AT1697" s="110">
        <v>0.0</v>
      </c>
      <c r="AU1697" s="110">
        <v>0.0</v>
      </c>
      <c r="AV1697" s="142">
        <v>0.0</v>
      </c>
      <c r="AW1697" s="80">
        <v>0.0</v>
      </c>
      <c r="AX1697" s="113">
        <v>0.0</v>
      </c>
      <c r="AY1697" s="117">
        <v>0.0</v>
      </c>
      <c r="AZ1697" s="328">
        <v>0.0</v>
      </c>
      <c r="BA1697" s="349">
        <v>0.0</v>
      </c>
      <c r="BB1697" s="316">
        <v>0.0</v>
      </c>
      <c r="BC1697" s="132" t="s">
        <v>10138</v>
      </c>
      <c r="BD1697" s="132" t="s">
        <v>178</v>
      </c>
      <c r="BE1697" s="132" t="s">
        <v>178</v>
      </c>
      <c r="BF1697" s="123"/>
      <c r="BG1697" s="83">
        <v>1179068.0</v>
      </c>
      <c r="BH1697" s="112">
        <v>2.0</v>
      </c>
      <c r="BI1697" s="98" t="s">
        <v>155</v>
      </c>
      <c r="BJ1697" s="98" t="str">
        <f t="shared" si="1"/>
        <v>NÃO</v>
      </c>
      <c r="BK1697" s="98" t="str">
        <f t="shared" si="2"/>
        <v>NÃO</v>
      </c>
    </row>
    <row r="1698" ht="15.75" customHeight="1">
      <c r="A1698" s="111" t="s">
        <v>1785</v>
      </c>
      <c r="B1698" s="83" t="s">
        <v>9236</v>
      </c>
      <c r="C1698" s="83" t="s">
        <v>68</v>
      </c>
      <c r="D1698" s="83">
        <v>1102410.0</v>
      </c>
      <c r="E1698" s="83"/>
      <c r="F1698" s="83">
        <v>2.9202493E7</v>
      </c>
      <c r="G1698" s="185" t="s">
        <v>13666</v>
      </c>
      <c r="H1698" s="91" t="s">
        <v>9238</v>
      </c>
      <c r="I1698" s="114" t="s">
        <v>9239</v>
      </c>
      <c r="J1698" s="83" t="s">
        <v>187</v>
      </c>
      <c r="K1698" s="83" t="s">
        <v>151</v>
      </c>
      <c r="L1698" s="83" t="s">
        <v>169</v>
      </c>
      <c r="M1698" s="82" t="s">
        <v>13667</v>
      </c>
      <c r="N1698" s="82" t="s">
        <v>13668</v>
      </c>
      <c r="O1698" s="82" t="s">
        <v>13669</v>
      </c>
      <c r="P1698" s="82" t="s">
        <v>13670</v>
      </c>
      <c r="Q1698" s="82"/>
      <c r="R1698" s="82"/>
      <c r="S1698" s="82" t="s">
        <v>13671</v>
      </c>
      <c r="T1698" s="138">
        <v>5.0</v>
      </c>
      <c r="U1698" s="352">
        <v>5.0</v>
      </c>
      <c r="V1698" s="106">
        <v>0.0</v>
      </c>
      <c r="W1698" s="107">
        <v>0.0</v>
      </c>
      <c r="X1698" s="107">
        <v>0.0</v>
      </c>
      <c r="Y1698" s="107">
        <v>0.0</v>
      </c>
      <c r="Z1698" s="80">
        <v>0.0</v>
      </c>
      <c r="AA1698" s="140">
        <v>0.0</v>
      </c>
      <c r="AB1698" s="109">
        <v>0.0</v>
      </c>
      <c r="AC1698" s="109">
        <v>0.0</v>
      </c>
      <c r="AD1698" s="141">
        <v>0.0</v>
      </c>
      <c r="AE1698" s="80">
        <v>0.0</v>
      </c>
      <c r="AF1698" s="140">
        <v>80.0</v>
      </c>
      <c r="AG1698" s="109">
        <v>63.0</v>
      </c>
      <c r="AH1698" s="109">
        <v>0.0</v>
      </c>
      <c r="AI1698" s="141">
        <v>0.0</v>
      </c>
      <c r="AJ1698" s="80">
        <v>143.0</v>
      </c>
      <c r="AK1698" s="140">
        <v>0.0</v>
      </c>
      <c r="AL1698" s="109">
        <v>0.0</v>
      </c>
      <c r="AM1698" s="141">
        <v>0.0</v>
      </c>
      <c r="AN1698" s="80">
        <v>0.0</v>
      </c>
      <c r="AO1698" s="140">
        <v>0.0</v>
      </c>
      <c r="AP1698" s="109">
        <v>0.0</v>
      </c>
      <c r="AQ1698" s="109">
        <v>21.0</v>
      </c>
      <c r="AR1698" s="80">
        <v>21.0</v>
      </c>
      <c r="AS1698" s="110">
        <v>0.0</v>
      </c>
      <c r="AT1698" s="110">
        <v>0.0</v>
      </c>
      <c r="AU1698" s="110">
        <v>0.0</v>
      </c>
      <c r="AV1698" s="142">
        <v>0.0</v>
      </c>
      <c r="AW1698" s="80">
        <v>0.0</v>
      </c>
      <c r="AX1698" s="113">
        <v>164.0</v>
      </c>
      <c r="AY1698" s="117">
        <v>143.0</v>
      </c>
      <c r="AZ1698" s="328">
        <v>21.0</v>
      </c>
      <c r="BA1698" s="315">
        <v>3.0</v>
      </c>
      <c r="BB1698" s="316">
        <v>167.0</v>
      </c>
      <c r="BC1698" s="132" t="s">
        <v>373</v>
      </c>
      <c r="BD1698" s="132" t="s">
        <v>178</v>
      </c>
      <c r="BE1698" s="132" t="s">
        <v>178</v>
      </c>
      <c r="BF1698" s="156"/>
      <c r="BG1698" s="83">
        <v>1102410.0</v>
      </c>
      <c r="BH1698" s="112">
        <v>5.0</v>
      </c>
      <c r="BI1698" s="98" t="s">
        <v>155</v>
      </c>
      <c r="BJ1698" s="98" t="str">
        <f t="shared" si="1"/>
        <v>NÃO</v>
      </c>
      <c r="BK1698" s="98" t="str">
        <f t="shared" si="2"/>
        <v>NÃO</v>
      </c>
    </row>
    <row r="1699" ht="15.75" customHeight="1">
      <c r="A1699" s="111" t="s">
        <v>1785</v>
      </c>
      <c r="B1699" s="83" t="s">
        <v>9236</v>
      </c>
      <c r="C1699" s="83" t="s">
        <v>68</v>
      </c>
      <c r="D1699" s="83">
        <v>1102402.0</v>
      </c>
      <c r="E1699" s="83"/>
      <c r="F1699" s="83">
        <v>2.9202604E7</v>
      </c>
      <c r="G1699" s="185" t="s">
        <v>13672</v>
      </c>
      <c r="H1699" s="91" t="s">
        <v>9252</v>
      </c>
      <c r="I1699" s="114" t="s">
        <v>9253</v>
      </c>
      <c r="J1699" s="83" t="s">
        <v>150</v>
      </c>
      <c r="K1699" s="83" t="s">
        <v>151</v>
      </c>
      <c r="L1699" s="83" t="s">
        <v>230</v>
      </c>
      <c r="M1699" s="82" t="s">
        <v>13673</v>
      </c>
      <c r="N1699" s="82" t="s">
        <v>13674</v>
      </c>
      <c r="O1699" s="82" t="s">
        <v>13675</v>
      </c>
      <c r="P1699" s="82" t="s">
        <v>13676</v>
      </c>
      <c r="Q1699" s="82" t="s">
        <v>13677</v>
      </c>
      <c r="R1699" s="82" t="s">
        <v>13678</v>
      </c>
      <c r="S1699" s="82" t="s">
        <v>13679</v>
      </c>
      <c r="T1699" s="138">
        <v>17.0</v>
      </c>
      <c r="U1699" s="352" t="s">
        <v>7483</v>
      </c>
      <c r="V1699" s="106">
        <v>0.0</v>
      </c>
      <c r="W1699" s="107">
        <v>0.0</v>
      </c>
      <c r="X1699" s="107">
        <v>0.0</v>
      </c>
      <c r="Y1699" s="107">
        <v>0.0</v>
      </c>
      <c r="Z1699" s="80">
        <v>0.0</v>
      </c>
      <c r="AA1699" s="140">
        <v>0.0</v>
      </c>
      <c r="AB1699" s="109">
        <v>0.0</v>
      </c>
      <c r="AC1699" s="109">
        <v>0.0</v>
      </c>
      <c r="AD1699" s="141">
        <v>0.0</v>
      </c>
      <c r="AE1699" s="80">
        <v>0.0</v>
      </c>
      <c r="AF1699" s="140">
        <v>434.0</v>
      </c>
      <c r="AG1699" s="109">
        <v>304.0</v>
      </c>
      <c r="AH1699" s="109">
        <v>37.0</v>
      </c>
      <c r="AI1699" s="141">
        <v>164.0</v>
      </c>
      <c r="AJ1699" s="80">
        <v>939.0</v>
      </c>
      <c r="AK1699" s="140">
        <v>0.0</v>
      </c>
      <c r="AL1699" s="109">
        <v>0.0</v>
      </c>
      <c r="AM1699" s="141">
        <v>0.0</v>
      </c>
      <c r="AN1699" s="80">
        <v>0.0</v>
      </c>
      <c r="AO1699" s="140">
        <v>0.0</v>
      </c>
      <c r="AP1699" s="109">
        <v>0.0</v>
      </c>
      <c r="AQ1699" s="109">
        <v>165.0</v>
      </c>
      <c r="AR1699" s="80">
        <v>165.0</v>
      </c>
      <c r="AS1699" s="110">
        <v>0.0</v>
      </c>
      <c r="AT1699" s="110">
        <v>0.0</v>
      </c>
      <c r="AU1699" s="110">
        <v>0.0</v>
      </c>
      <c r="AV1699" s="142">
        <v>0.0</v>
      </c>
      <c r="AW1699" s="80">
        <v>0.0</v>
      </c>
      <c r="AX1699" s="113">
        <v>1104.0</v>
      </c>
      <c r="AY1699" s="117">
        <v>902.0</v>
      </c>
      <c r="AZ1699" s="328">
        <v>202.0</v>
      </c>
      <c r="BA1699" s="315">
        <v>6.0</v>
      </c>
      <c r="BB1699" s="316">
        <v>1110.0</v>
      </c>
      <c r="BC1699" s="132" t="s">
        <v>178</v>
      </c>
      <c r="BD1699" s="132" t="s">
        <v>178</v>
      </c>
      <c r="BE1699" s="132" t="s">
        <v>178</v>
      </c>
      <c r="BF1699" s="156"/>
      <c r="BG1699" s="83">
        <v>1102402.0</v>
      </c>
      <c r="BH1699" s="112">
        <v>17.0</v>
      </c>
      <c r="BI1699" s="98" t="s">
        <v>155</v>
      </c>
      <c r="BJ1699" s="98" t="str">
        <f t="shared" si="1"/>
        <v>INTEGRAL</v>
      </c>
      <c r="BK1699" s="98" t="str">
        <f t="shared" si="2"/>
        <v>NÃO</v>
      </c>
    </row>
    <row r="1700" ht="15.75" customHeight="1">
      <c r="A1700" s="111" t="s">
        <v>1785</v>
      </c>
      <c r="B1700" s="83" t="s">
        <v>9236</v>
      </c>
      <c r="C1700" s="83" t="s">
        <v>68</v>
      </c>
      <c r="D1700" s="83">
        <v>1178430.0</v>
      </c>
      <c r="E1700" s="83"/>
      <c r="F1700" s="83">
        <v>2.9862728E7</v>
      </c>
      <c r="G1700" s="185" t="s">
        <v>9268</v>
      </c>
      <c r="H1700" s="91" t="s">
        <v>9269</v>
      </c>
      <c r="I1700" s="535" t="s">
        <v>9270</v>
      </c>
      <c r="J1700" s="83" t="s">
        <v>150</v>
      </c>
      <c r="K1700" s="83" t="s">
        <v>151</v>
      </c>
      <c r="L1700" s="83" t="s">
        <v>230</v>
      </c>
      <c r="M1700" s="82" t="s">
        <v>13680</v>
      </c>
      <c r="N1700" s="82" t="s">
        <v>13681</v>
      </c>
      <c r="O1700" s="82" t="s">
        <v>13682</v>
      </c>
      <c r="P1700" s="82" t="s">
        <v>13683</v>
      </c>
      <c r="Q1700" s="82"/>
      <c r="R1700" s="82"/>
      <c r="S1700" s="82" t="s">
        <v>13684</v>
      </c>
      <c r="T1700" s="138">
        <v>5.0</v>
      </c>
      <c r="U1700" s="341">
        <v>5.0</v>
      </c>
      <c r="V1700" s="106">
        <v>0.0</v>
      </c>
      <c r="W1700" s="107">
        <v>0.0</v>
      </c>
      <c r="X1700" s="107">
        <v>0.0</v>
      </c>
      <c r="Y1700" s="107">
        <v>0.0</v>
      </c>
      <c r="Z1700" s="80">
        <v>0.0</v>
      </c>
      <c r="AA1700" s="140">
        <v>0.0</v>
      </c>
      <c r="AB1700" s="109">
        <v>0.0</v>
      </c>
      <c r="AC1700" s="109">
        <v>0.0</v>
      </c>
      <c r="AD1700" s="141">
        <v>0.0</v>
      </c>
      <c r="AE1700" s="80">
        <v>0.0</v>
      </c>
      <c r="AF1700" s="140">
        <v>0.0</v>
      </c>
      <c r="AG1700" s="109">
        <v>0.0</v>
      </c>
      <c r="AH1700" s="109">
        <v>0.0</v>
      </c>
      <c r="AI1700" s="141">
        <v>0.0</v>
      </c>
      <c r="AJ1700" s="80">
        <v>0.0</v>
      </c>
      <c r="AK1700" s="140">
        <v>0.0</v>
      </c>
      <c r="AL1700" s="109">
        <v>0.0</v>
      </c>
      <c r="AM1700" s="141">
        <v>0.0</v>
      </c>
      <c r="AN1700" s="80">
        <v>0.0</v>
      </c>
      <c r="AO1700" s="140">
        <v>0.0</v>
      </c>
      <c r="AP1700" s="109">
        <v>0.0</v>
      </c>
      <c r="AQ1700" s="109">
        <v>0.0</v>
      </c>
      <c r="AR1700" s="80">
        <v>0.0</v>
      </c>
      <c r="AS1700" s="110">
        <v>151.0</v>
      </c>
      <c r="AT1700" s="110">
        <v>136.0</v>
      </c>
      <c r="AU1700" s="110">
        <v>61.0</v>
      </c>
      <c r="AV1700" s="142">
        <v>0.0</v>
      </c>
      <c r="AW1700" s="80">
        <v>348.0</v>
      </c>
      <c r="AX1700" s="113">
        <v>348.0</v>
      </c>
      <c r="AY1700" s="117">
        <v>287.0</v>
      </c>
      <c r="AZ1700" s="328">
        <v>61.0</v>
      </c>
      <c r="BA1700" s="315">
        <v>0.0</v>
      </c>
      <c r="BB1700" s="316">
        <v>348.0</v>
      </c>
      <c r="BC1700" s="132" t="s">
        <v>178</v>
      </c>
      <c r="BD1700" s="132" t="s">
        <v>779</v>
      </c>
      <c r="BE1700" s="132" t="s">
        <v>178</v>
      </c>
      <c r="BF1700" s="123"/>
      <c r="BG1700" s="83">
        <v>1178430.0</v>
      </c>
      <c r="BH1700" s="112">
        <v>5.0</v>
      </c>
      <c r="BI1700" s="98" t="s">
        <v>155</v>
      </c>
      <c r="BJ1700" s="98" t="str">
        <f t="shared" si="1"/>
        <v>NÃO</v>
      </c>
      <c r="BK1700" s="98" t="str">
        <f t="shared" si="2"/>
        <v>PROFISSIONAL</v>
      </c>
    </row>
    <row r="1701" ht="15.75" customHeight="1">
      <c r="A1701" s="111" t="s">
        <v>1842</v>
      </c>
      <c r="B1701" s="83" t="s">
        <v>2516</v>
      </c>
      <c r="C1701" s="83" t="s">
        <v>68</v>
      </c>
      <c r="D1701" s="83">
        <v>1112998.0</v>
      </c>
      <c r="E1701" s="83"/>
      <c r="F1701" s="83">
        <v>2.92941E7</v>
      </c>
      <c r="G1701" s="185" t="s">
        <v>13685</v>
      </c>
      <c r="H1701" s="91" t="s">
        <v>9301</v>
      </c>
      <c r="I1701" s="535" t="s">
        <v>149</v>
      </c>
      <c r="J1701" s="83" t="s">
        <v>150</v>
      </c>
      <c r="K1701" s="83" t="s">
        <v>3467</v>
      </c>
      <c r="L1701" s="83" t="s">
        <v>76</v>
      </c>
      <c r="M1701" s="82" t="s">
        <v>13686</v>
      </c>
      <c r="N1701" s="82" t="s">
        <v>13687</v>
      </c>
      <c r="O1701" s="82" t="s">
        <v>13689</v>
      </c>
      <c r="P1701" s="82" t="s">
        <v>13690</v>
      </c>
      <c r="Q1701" s="82"/>
      <c r="R1701" s="82"/>
      <c r="S1701" s="82" t="s">
        <v>13691</v>
      </c>
      <c r="T1701" s="138">
        <v>10.0</v>
      </c>
      <c r="U1701" s="341" t="s">
        <v>13692</v>
      </c>
      <c r="V1701" s="106">
        <v>0.0</v>
      </c>
      <c r="W1701" s="107">
        <v>0.0</v>
      </c>
      <c r="X1701" s="107">
        <v>0.0</v>
      </c>
      <c r="Y1701" s="107">
        <v>0.0</v>
      </c>
      <c r="Z1701" s="80">
        <v>0.0</v>
      </c>
      <c r="AA1701" s="140">
        <v>0.0</v>
      </c>
      <c r="AB1701" s="109">
        <v>0.0</v>
      </c>
      <c r="AC1701" s="109">
        <v>0.0</v>
      </c>
      <c r="AD1701" s="141">
        <v>0.0</v>
      </c>
      <c r="AE1701" s="80">
        <v>0.0</v>
      </c>
      <c r="AF1701" s="140">
        <v>223.0</v>
      </c>
      <c r="AG1701" s="109">
        <v>0.0</v>
      </c>
      <c r="AH1701" s="109">
        <v>20.0</v>
      </c>
      <c r="AI1701" s="141">
        <v>0.0</v>
      </c>
      <c r="AJ1701" s="80">
        <v>243.0</v>
      </c>
      <c r="AK1701" s="140">
        <v>0.0</v>
      </c>
      <c r="AL1701" s="109">
        <v>0.0</v>
      </c>
      <c r="AM1701" s="141">
        <v>0.0</v>
      </c>
      <c r="AN1701" s="80">
        <v>0.0</v>
      </c>
      <c r="AO1701" s="140">
        <v>0.0</v>
      </c>
      <c r="AP1701" s="109">
        <v>0.0</v>
      </c>
      <c r="AQ1701" s="109">
        <v>84.0</v>
      </c>
      <c r="AR1701" s="80">
        <v>84.0</v>
      </c>
      <c r="AS1701" s="110">
        <v>0.0</v>
      </c>
      <c r="AT1701" s="110">
        <v>0.0</v>
      </c>
      <c r="AU1701" s="110">
        <v>0.0</v>
      </c>
      <c r="AV1701" s="142">
        <v>0.0</v>
      </c>
      <c r="AW1701" s="80">
        <v>0.0</v>
      </c>
      <c r="AX1701" s="113">
        <v>327.0</v>
      </c>
      <c r="AY1701" s="117">
        <v>223.0</v>
      </c>
      <c r="AZ1701" s="328">
        <v>104.0</v>
      </c>
      <c r="BA1701" s="315">
        <v>0.0</v>
      </c>
      <c r="BB1701" s="316">
        <v>327.0</v>
      </c>
      <c r="BC1701" s="132" t="s">
        <v>178</v>
      </c>
      <c r="BD1701" s="132" t="s">
        <v>178</v>
      </c>
      <c r="BE1701" s="132" t="s">
        <v>178</v>
      </c>
      <c r="BF1701" s="156"/>
      <c r="BG1701" s="83">
        <v>1112998.0</v>
      </c>
      <c r="BH1701" s="112">
        <v>10.0</v>
      </c>
      <c r="BI1701" s="98" t="s">
        <v>155</v>
      </c>
      <c r="BJ1701" s="98" t="str">
        <f t="shared" si="1"/>
        <v>NÃO</v>
      </c>
      <c r="BK1701" s="98" t="str">
        <f t="shared" si="2"/>
        <v>NÃO</v>
      </c>
    </row>
    <row r="1702" ht="15.75" customHeight="1">
      <c r="A1702" s="111" t="s">
        <v>1842</v>
      </c>
      <c r="B1702" s="83" t="s">
        <v>2516</v>
      </c>
      <c r="C1702" s="83" t="s">
        <v>164</v>
      </c>
      <c r="D1702" s="83">
        <v>1112998.0</v>
      </c>
      <c r="E1702" s="83">
        <v>1179683.0</v>
      </c>
      <c r="F1702" s="83"/>
      <c r="G1702" s="185" t="s">
        <v>13693</v>
      </c>
      <c r="H1702" s="91" t="s">
        <v>9312</v>
      </c>
      <c r="I1702" s="535" t="s">
        <v>149</v>
      </c>
      <c r="J1702" s="83" t="s">
        <v>7300</v>
      </c>
      <c r="K1702" s="83" t="s">
        <v>151</v>
      </c>
      <c r="L1702" s="83" t="s">
        <v>169</v>
      </c>
      <c r="M1702" s="82" t="s">
        <v>13686</v>
      </c>
      <c r="N1702" s="82" t="s">
        <v>13687</v>
      </c>
      <c r="O1702" s="82" t="s">
        <v>13689</v>
      </c>
      <c r="P1702" s="82" t="s">
        <v>13690</v>
      </c>
      <c r="Q1702" s="82"/>
      <c r="R1702" s="82"/>
      <c r="S1702" s="82" t="s">
        <v>13691</v>
      </c>
      <c r="T1702" s="138">
        <v>6.0</v>
      </c>
      <c r="U1702" s="341">
        <v>6.0</v>
      </c>
      <c r="V1702" s="106">
        <v>0.0</v>
      </c>
      <c r="W1702" s="107">
        <v>0.0</v>
      </c>
      <c r="X1702" s="107">
        <v>0.0</v>
      </c>
      <c r="Y1702" s="107">
        <v>0.0</v>
      </c>
      <c r="Z1702" s="80">
        <v>0.0</v>
      </c>
      <c r="AA1702" s="140">
        <v>0.0</v>
      </c>
      <c r="AB1702" s="109">
        <v>0.0</v>
      </c>
      <c r="AC1702" s="109">
        <v>0.0</v>
      </c>
      <c r="AD1702" s="141">
        <v>0.0</v>
      </c>
      <c r="AE1702" s="80">
        <v>0.0</v>
      </c>
      <c r="AF1702" s="140">
        <v>37.0</v>
      </c>
      <c r="AG1702" s="109">
        <v>0.0</v>
      </c>
      <c r="AH1702" s="109">
        <v>10.0</v>
      </c>
      <c r="AI1702" s="141">
        <v>0.0</v>
      </c>
      <c r="AJ1702" s="80">
        <v>47.0</v>
      </c>
      <c r="AK1702" s="140">
        <v>0.0</v>
      </c>
      <c r="AL1702" s="109">
        <v>0.0</v>
      </c>
      <c r="AM1702" s="141">
        <v>0.0</v>
      </c>
      <c r="AN1702" s="80">
        <v>0.0</v>
      </c>
      <c r="AO1702" s="140">
        <v>0.0</v>
      </c>
      <c r="AP1702" s="109">
        <v>0.0</v>
      </c>
      <c r="AQ1702" s="109">
        <v>19.0</v>
      </c>
      <c r="AR1702" s="80">
        <v>19.0</v>
      </c>
      <c r="AS1702" s="110">
        <v>0.0</v>
      </c>
      <c r="AT1702" s="110">
        <v>0.0</v>
      </c>
      <c r="AU1702" s="110">
        <v>0.0</v>
      </c>
      <c r="AV1702" s="142">
        <v>0.0</v>
      </c>
      <c r="AW1702" s="80">
        <v>0.0</v>
      </c>
      <c r="AX1702" s="113">
        <v>66.0</v>
      </c>
      <c r="AY1702" s="117">
        <v>37.0</v>
      </c>
      <c r="AZ1702" s="328">
        <v>29.0</v>
      </c>
      <c r="BA1702" s="315">
        <v>0.0</v>
      </c>
      <c r="BB1702" s="316">
        <v>66.0</v>
      </c>
      <c r="BC1702" s="132" t="s">
        <v>373</v>
      </c>
      <c r="BD1702" s="132" t="s">
        <v>178</v>
      </c>
      <c r="BE1702" s="132" t="s">
        <v>178</v>
      </c>
      <c r="BF1702" s="123"/>
      <c r="BG1702" s="83">
        <v>1179683.0</v>
      </c>
      <c r="BH1702" s="112">
        <v>6.0</v>
      </c>
      <c r="BI1702" s="98" t="s">
        <v>155</v>
      </c>
      <c r="BJ1702" s="98" t="str">
        <f t="shared" si="1"/>
        <v>NÃO</v>
      </c>
      <c r="BK1702" s="98" t="str">
        <f t="shared" si="2"/>
        <v>NÃO</v>
      </c>
    </row>
    <row r="1703" ht="15.75" customHeight="1">
      <c r="A1703" s="111" t="s">
        <v>1842</v>
      </c>
      <c r="B1703" s="83" t="s">
        <v>2516</v>
      </c>
      <c r="C1703" s="83" t="s">
        <v>164</v>
      </c>
      <c r="D1703" s="83">
        <v>1112998.0</v>
      </c>
      <c r="E1703" s="83">
        <v>1179684.0</v>
      </c>
      <c r="F1703" s="83"/>
      <c r="G1703" s="114" t="s">
        <v>13694</v>
      </c>
      <c r="H1703" s="91" t="s">
        <v>9322</v>
      </c>
      <c r="I1703" s="114" t="s">
        <v>149</v>
      </c>
      <c r="J1703" s="83" t="s">
        <v>9323</v>
      </c>
      <c r="K1703" s="83" t="s">
        <v>168</v>
      </c>
      <c r="L1703" s="83" t="s">
        <v>169</v>
      </c>
      <c r="M1703" s="82" t="s">
        <v>13686</v>
      </c>
      <c r="N1703" s="82" t="s">
        <v>13687</v>
      </c>
      <c r="O1703" s="82" t="s">
        <v>13689</v>
      </c>
      <c r="P1703" s="82" t="s">
        <v>13690</v>
      </c>
      <c r="Q1703" s="82"/>
      <c r="R1703" s="82"/>
      <c r="S1703" s="82" t="s">
        <v>13691</v>
      </c>
      <c r="T1703" s="138">
        <v>3.0</v>
      </c>
      <c r="U1703" s="323">
        <v>7.0</v>
      </c>
      <c r="V1703" s="106">
        <v>0.0</v>
      </c>
      <c r="W1703" s="107">
        <v>0.0</v>
      </c>
      <c r="X1703" s="107">
        <v>0.0</v>
      </c>
      <c r="Y1703" s="107">
        <v>0.0</v>
      </c>
      <c r="Z1703" s="80">
        <v>0.0</v>
      </c>
      <c r="AA1703" s="140">
        <v>0.0</v>
      </c>
      <c r="AB1703" s="109">
        <v>0.0</v>
      </c>
      <c r="AC1703" s="109">
        <v>0.0</v>
      </c>
      <c r="AD1703" s="141">
        <v>0.0</v>
      </c>
      <c r="AE1703" s="80">
        <v>0.0</v>
      </c>
      <c r="AF1703" s="140">
        <v>0.0</v>
      </c>
      <c r="AG1703" s="109">
        <v>0.0</v>
      </c>
      <c r="AH1703" s="109">
        <v>5.0</v>
      </c>
      <c r="AI1703" s="141">
        <v>0.0</v>
      </c>
      <c r="AJ1703" s="80">
        <v>5.0</v>
      </c>
      <c r="AK1703" s="140">
        <v>0.0</v>
      </c>
      <c r="AL1703" s="109">
        <v>0.0</v>
      </c>
      <c r="AM1703" s="141">
        <v>0.0</v>
      </c>
      <c r="AN1703" s="80">
        <v>0.0</v>
      </c>
      <c r="AO1703" s="140">
        <v>0.0</v>
      </c>
      <c r="AP1703" s="109">
        <v>0.0</v>
      </c>
      <c r="AQ1703" s="109">
        <v>13.0</v>
      </c>
      <c r="AR1703" s="80">
        <v>13.0</v>
      </c>
      <c r="AS1703" s="110">
        <v>0.0</v>
      </c>
      <c r="AT1703" s="110">
        <v>0.0</v>
      </c>
      <c r="AU1703" s="110">
        <v>0.0</v>
      </c>
      <c r="AV1703" s="142">
        <v>0.0</v>
      </c>
      <c r="AW1703" s="80">
        <v>0.0</v>
      </c>
      <c r="AX1703" s="113">
        <v>18.0</v>
      </c>
      <c r="AY1703" s="117">
        <v>0.0</v>
      </c>
      <c r="AZ1703" s="328">
        <v>18.0</v>
      </c>
      <c r="BA1703" s="315">
        <v>0.0</v>
      </c>
      <c r="BB1703" s="316">
        <v>18.0</v>
      </c>
      <c r="BC1703" s="132" t="s">
        <v>373</v>
      </c>
      <c r="BD1703" s="132" t="s">
        <v>178</v>
      </c>
      <c r="BE1703" s="132" t="s">
        <v>178</v>
      </c>
      <c r="BF1703" s="123"/>
      <c r="BG1703" s="83">
        <v>1179684.0</v>
      </c>
      <c r="BH1703" s="112">
        <v>7.0</v>
      </c>
      <c r="BI1703" s="98" t="s">
        <v>155</v>
      </c>
      <c r="BJ1703" s="98" t="str">
        <f t="shared" si="1"/>
        <v>NÃO</v>
      </c>
      <c r="BK1703" s="98" t="str">
        <f t="shared" si="2"/>
        <v>NÃO</v>
      </c>
    </row>
    <row r="1704" ht="15.75" customHeight="1">
      <c r="A1704" s="111" t="s">
        <v>1842</v>
      </c>
      <c r="B1704" s="172" t="s">
        <v>2516</v>
      </c>
      <c r="C1704" s="83" t="s">
        <v>164</v>
      </c>
      <c r="D1704" s="83">
        <v>1112998.0</v>
      </c>
      <c r="E1704" s="83">
        <v>1179682.0</v>
      </c>
      <c r="F1704" s="83"/>
      <c r="G1704" s="187" t="s">
        <v>13696</v>
      </c>
      <c r="H1704" s="91" t="s">
        <v>13697</v>
      </c>
      <c r="I1704" s="187" t="s">
        <v>149</v>
      </c>
      <c r="J1704" s="83" t="s">
        <v>183</v>
      </c>
      <c r="K1704" s="83" t="s">
        <v>151</v>
      </c>
      <c r="L1704" s="83" t="s">
        <v>169</v>
      </c>
      <c r="M1704" s="82" t="s">
        <v>13686</v>
      </c>
      <c r="N1704" s="82" t="s">
        <v>13687</v>
      </c>
      <c r="O1704" s="82" t="s">
        <v>13689</v>
      </c>
      <c r="P1704" s="82" t="s">
        <v>13690</v>
      </c>
      <c r="Q1704" s="82"/>
      <c r="R1704" s="82"/>
      <c r="S1704" s="82" t="s">
        <v>13691</v>
      </c>
      <c r="T1704" s="138">
        <v>12.0</v>
      </c>
      <c r="U1704" s="323">
        <v>3.0</v>
      </c>
      <c r="V1704" s="106">
        <v>0.0</v>
      </c>
      <c r="W1704" s="107">
        <v>0.0</v>
      </c>
      <c r="X1704" s="107">
        <v>0.0</v>
      </c>
      <c r="Y1704" s="107">
        <v>0.0</v>
      </c>
      <c r="Z1704" s="80">
        <v>0.0</v>
      </c>
      <c r="AA1704" s="140">
        <v>0.0</v>
      </c>
      <c r="AB1704" s="109">
        <v>0.0</v>
      </c>
      <c r="AC1704" s="109">
        <v>0.0</v>
      </c>
      <c r="AD1704" s="141">
        <v>0.0</v>
      </c>
      <c r="AE1704" s="80">
        <v>0.0</v>
      </c>
      <c r="AF1704" s="140">
        <v>101.0</v>
      </c>
      <c r="AG1704" s="109">
        <v>0.0</v>
      </c>
      <c r="AH1704" s="109">
        <v>30.0</v>
      </c>
      <c r="AI1704" s="141">
        <v>0.0</v>
      </c>
      <c r="AJ1704" s="80">
        <v>131.0</v>
      </c>
      <c r="AK1704" s="140">
        <v>0.0</v>
      </c>
      <c r="AL1704" s="109">
        <v>0.0</v>
      </c>
      <c r="AM1704" s="141">
        <v>0.0</v>
      </c>
      <c r="AN1704" s="80">
        <v>0.0</v>
      </c>
      <c r="AO1704" s="140">
        <v>0.0</v>
      </c>
      <c r="AP1704" s="109">
        <v>0.0</v>
      </c>
      <c r="AQ1704" s="109">
        <v>34.0</v>
      </c>
      <c r="AR1704" s="80">
        <v>34.0</v>
      </c>
      <c r="AS1704" s="110">
        <v>0.0</v>
      </c>
      <c r="AT1704" s="110">
        <v>0.0</v>
      </c>
      <c r="AU1704" s="110">
        <v>0.0</v>
      </c>
      <c r="AV1704" s="142">
        <v>0.0</v>
      </c>
      <c r="AW1704" s="80">
        <v>0.0</v>
      </c>
      <c r="AX1704" s="113">
        <v>165.0</v>
      </c>
      <c r="AY1704" s="117">
        <v>101.0</v>
      </c>
      <c r="AZ1704" s="328">
        <v>64.0</v>
      </c>
      <c r="BA1704" s="315">
        <v>0.0</v>
      </c>
      <c r="BB1704" s="316">
        <v>165.0</v>
      </c>
      <c r="BC1704" s="132" t="s">
        <v>373</v>
      </c>
      <c r="BD1704" s="132" t="s">
        <v>178</v>
      </c>
      <c r="BE1704" s="132" t="s">
        <v>178</v>
      </c>
      <c r="BF1704" s="123"/>
      <c r="BG1704" s="83">
        <v>1179682.0</v>
      </c>
      <c r="BH1704" s="112">
        <v>3.0</v>
      </c>
      <c r="BI1704" s="98" t="s">
        <v>155</v>
      </c>
      <c r="BJ1704" s="98" t="str">
        <f t="shared" si="1"/>
        <v>NÃO</v>
      </c>
      <c r="BK1704" s="98" t="str">
        <f t="shared" si="2"/>
        <v>NÃO</v>
      </c>
    </row>
    <row r="1705" ht="15.75" customHeight="1">
      <c r="A1705" s="111" t="s">
        <v>1842</v>
      </c>
      <c r="B1705" s="83" t="s">
        <v>2042</v>
      </c>
      <c r="C1705" s="83" t="s">
        <v>68</v>
      </c>
      <c r="D1705" s="83">
        <v>1146167.0</v>
      </c>
      <c r="E1705" s="83"/>
      <c r="F1705" s="83">
        <v>2.931822E7</v>
      </c>
      <c r="G1705" s="147" t="s">
        <v>13698</v>
      </c>
      <c r="H1705" s="91" t="s">
        <v>9329</v>
      </c>
      <c r="I1705" s="187" t="s">
        <v>149</v>
      </c>
      <c r="J1705" s="83" t="s">
        <v>150</v>
      </c>
      <c r="K1705" s="83" t="s">
        <v>3467</v>
      </c>
      <c r="L1705" s="83" t="s">
        <v>230</v>
      </c>
      <c r="M1705" s="82" t="s">
        <v>13699</v>
      </c>
      <c r="N1705" s="82" t="s">
        <v>13700</v>
      </c>
      <c r="O1705" s="82" t="s">
        <v>13701</v>
      </c>
      <c r="P1705" s="82" t="s">
        <v>13702</v>
      </c>
      <c r="Q1705" s="82" t="s">
        <v>13703</v>
      </c>
      <c r="R1705" s="82" t="s">
        <v>13704</v>
      </c>
      <c r="S1705" s="82" t="s">
        <v>13705</v>
      </c>
      <c r="T1705" s="138">
        <v>9.0</v>
      </c>
      <c r="U1705" s="323">
        <v>10.0</v>
      </c>
      <c r="V1705" s="106">
        <v>0.0</v>
      </c>
      <c r="W1705" s="107">
        <v>0.0</v>
      </c>
      <c r="X1705" s="107">
        <v>0.0</v>
      </c>
      <c r="Y1705" s="107">
        <v>0.0</v>
      </c>
      <c r="Z1705" s="80">
        <v>0.0</v>
      </c>
      <c r="AA1705" s="140">
        <v>0.0</v>
      </c>
      <c r="AB1705" s="109">
        <v>0.0</v>
      </c>
      <c r="AC1705" s="109">
        <v>0.0</v>
      </c>
      <c r="AD1705" s="141">
        <v>0.0</v>
      </c>
      <c r="AE1705" s="80">
        <v>0.0</v>
      </c>
      <c r="AF1705" s="140">
        <v>73.0</v>
      </c>
      <c r="AG1705" s="109">
        <v>47.0</v>
      </c>
      <c r="AH1705" s="109">
        <v>90.0</v>
      </c>
      <c r="AI1705" s="141">
        <v>704.0</v>
      </c>
      <c r="AJ1705" s="80">
        <v>914.0</v>
      </c>
      <c r="AK1705" s="140">
        <v>0.0</v>
      </c>
      <c r="AL1705" s="109">
        <v>0.0</v>
      </c>
      <c r="AM1705" s="141">
        <v>0.0</v>
      </c>
      <c r="AN1705" s="80">
        <v>0.0</v>
      </c>
      <c r="AO1705" s="140">
        <v>0.0</v>
      </c>
      <c r="AP1705" s="109">
        <v>0.0</v>
      </c>
      <c r="AQ1705" s="109">
        <v>241.0</v>
      </c>
      <c r="AR1705" s="80">
        <v>241.0</v>
      </c>
      <c r="AS1705" s="110">
        <v>0.0</v>
      </c>
      <c r="AT1705" s="110">
        <v>0.0</v>
      </c>
      <c r="AU1705" s="110">
        <v>0.0</v>
      </c>
      <c r="AV1705" s="142">
        <v>0.0</v>
      </c>
      <c r="AW1705" s="80">
        <v>0.0</v>
      </c>
      <c r="AX1705" s="113">
        <v>1155.0</v>
      </c>
      <c r="AY1705" s="117">
        <v>824.0</v>
      </c>
      <c r="AZ1705" s="328">
        <v>331.0</v>
      </c>
      <c r="BA1705" s="315">
        <v>0.0</v>
      </c>
      <c r="BB1705" s="316">
        <v>1155.0</v>
      </c>
      <c r="BC1705" s="132" t="s">
        <v>178</v>
      </c>
      <c r="BD1705" s="132" t="s">
        <v>178</v>
      </c>
      <c r="BE1705" s="132" t="s">
        <v>178</v>
      </c>
      <c r="BF1705" s="123"/>
      <c r="BG1705" s="83">
        <v>1146167.0</v>
      </c>
      <c r="BH1705" s="112">
        <v>10.0</v>
      </c>
      <c r="BI1705" s="98" t="s">
        <v>155</v>
      </c>
      <c r="BJ1705" s="98" t="str">
        <f t="shared" si="1"/>
        <v>INTEGRAL</v>
      </c>
      <c r="BK1705" s="98" t="str">
        <f t="shared" si="2"/>
        <v>NÃO</v>
      </c>
    </row>
    <row r="1706" ht="15.75" customHeight="1">
      <c r="A1706" s="111" t="s">
        <v>1842</v>
      </c>
      <c r="B1706" s="83" t="s">
        <v>2042</v>
      </c>
      <c r="C1706" s="83" t="s">
        <v>68</v>
      </c>
      <c r="D1706" s="83">
        <v>1146183.0</v>
      </c>
      <c r="E1706" s="83"/>
      <c r="F1706" s="83">
        <v>2.9318378E7</v>
      </c>
      <c r="G1706" s="114" t="s">
        <v>9337</v>
      </c>
      <c r="H1706" s="91" t="s">
        <v>9339</v>
      </c>
      <c r="I1706" s="114" t="s">
        <v>9341</v>
      </c>
      <c r="J1706" s="83" t="s">
        <v>150</v>
      </c>
      <c r="K1706" s="83" t="s">
        <v>3467</v>
      </c>
      <c r="L1706" s="83" t="s">
        <v>76</v>
      </c>
      <c r="M1706" s="82" t="s">
        <v>13707</v>
      </c>
      <c r="N1706" s="82" t="s">
        <v>13708</v>
      </c>
      <c r="O1706" s="82" t="s">
        <v>13709</v>
      </c>
      <c r="P1706" s="82" t="s">
        <v>13710</v>
      </c>
      <c r="Q1706" s="82" t="s">
        <v>13711</v>
      </c>
      <c r="R1706" s="82" t="s">
        <v>13712</v>
      </c>
      <c r="S1706" s="82" t="s">
        <v>13713</v>
      </c>
      <c r="T1706" s="138">
        <v>8.0</v>
      </c>
      <c r="U1706" s="387">
        <v>8.0</v>
      </c>
      <c r="V1706" s="106">
        <v>0.0</v>
      </c>
      <c r="W1706" s="107">
        <v>0.0</v>
      </c>
      <c r="X1706" s="107">
        <v>0.0</v>
      </c>
      <c r="Y1706" s="107">
        <v>0.0</v>
      </c>
      <c r="Z1706" s="80">
        <v>0.0</v>
      </c>
      <c r="AA1706" s="140">
        <v>0.0</v>
      </c>
      <c r="AB1706" s="109">
        <v>0.0</v>
      </c>
      <c r="AC1706" s="109">
        <v>0.0</v>
      </c>
      <c r="AD1706" s="141">
        <v>0.0</v>
      </c>
      <c r="AE1706" s="80">
        <v>0.0</v>
      </c>
      <c r="AF1706" s="140">
        <v>0.0</v>
      </c>
      <c r="AG1706" s="109">
        <v>0.0</v>
      </c>
      <c r="AH1706" s="109">
        <v>67.0</v>
      </c>
      <c r="AI1706" s="141">
        <v>237.0</v>
      </c>
      <c r="AJ1706" s="80">
        <v>304.0</v>
      </c>
      <c r="AK1706" s="140">
        <v>0.0</v>
      </c>
      <c r="AL1706" s="109">
        <v>0.0</v>
      </c>
      <c r="AM1706" s="141">
        <v>0.0</v>
      </c>
      <c r="AN1706" s="80">
        <v>0.0</v>
      </c>
      <c r="AO1706" s="140">
        <v>0.0</v>
      </c>
      <c r="AP1706" s="109">
        <v>0.0</v>
      </c>
      <c r="AQ1706" s="109">
        <v>197.0</v>
      </c>
      <c r="AR1706" s="80">
        <v>197.0</v>
      </c>
      <c r="AS1706" s="110">
        <v>0.0</v>
      </c>
      <c r="AT1706" s="110">
        <v>0.0</v>
      </c>
      <c r="AU1706" s="110">
        <v>0.0</v>
      </c>
      <c r="AV1706" s="142">
        <v>0.0</v>
      </c>
      <c r="AW1706" s="80">
        <v>0.0</v>
      </c>
      <c r="AX1706" s="113">
        <v>501.0</v>
      </c>
      <c r="AY1706" s="117">
        <v>237.0</v>
      </c>
      <c r="AZ1706" s="328">
        <v>264.0</v>
      </c>
      <c r="BA1706" s="315">
        <v>0.0</v>
      </c>
      <c r="BB1706" s="316">
        <v>501.0</v>
      </c>
      <c r="BC1706" s="132" t="s">
        <v>178</v>
      </c>
      <c r="BD1706" s="132" t="s">
        <v>178</v>
      </c>
      <c r="BE1706" s="132" t="s">
        <v>178</v>
      </c>
      <c r="BF1706" s="123"/>
      <c r="BG1706" s="83">
        <v>1146183.0</v>
      </c>
      <c r="BH1706" s="112">
        <v>8.0</v>
      </c>
      <c r="BI1706" s="98" t="s">
        <v>155</v>
      </c>
      <c r="BJ1706" s="98" t="str">
        <f t="shared" si="1"/>
        <v>INTEGRAL</v>
      </c>
      <c r="BK1706" s="98" t="str">
        <f t="shared" si="2"/>
        <v>NÃO</v>
      </c>
    </row>
    <row r="1707" ht="15.75" customHeight="1">
      <c r="A1707" s="111" t="s">
        <v>1842</v>
      </c>
      <c r="B1707" s="83" t="s">
        <v>2042</v>
      </c>
      <c r="C1707" s="83" t="s">
        <v>68</v>
      </c>
      <c r="D1707" s="83">
        <v>1146264.0</v>
      </c>
      <c r="E1707" s="83"/>
      <c r="F1707" s="83">
        <v>2.9319218E7</v>
      </c>
      <c r="G1707" s="114" t="s">
        <v>9349</v>
      </c>
      <c r="H1707" s="91" t="s">
        <v>9350</v>
      </c>
      <c r="I1707" s="114" t="s">
        <v>9351</v>
      </c>
      <c r="J1707" s="136" t="s">
        <v>150</v>
      </c>
      <c r="K1707" s="83" t="s">
        <v>3467</v>
      </c>
      <c r="L1707" s="83" t="s">
        <v>76</v>
      </c>
      <c r="M1707" s="82" t="s">
        <v>13714</v>
      </c>
      <c r="N1707" s="82" t="s">
        <v>13715</v>
      </c>
      <c r="O1707" s="82" t="s">
        <v>13716</v>
      </c>
      <c r="P1707" s="82" t="s">
        <v>13717</v>
      </c>
      <c r="Q1707" s="82"/>
      <c r="R1707" s="82"/>
      <c r="S1707" s="82" t="s">
        <v>13718</v>
      </c>
      <c r="T1707" s="138">
        <v>9.0</v>
      </c>
      <c r="U1707" s="341">
        <v>8.0</v>
      </c>
      <c r="V1707" s="106">
        <v>0.0</v>
      </c>
      <c r="W1707" s="107">
        <v>0.0</v>
      </c>
      <c r="X1707" s="107">
        <v>0.0</v>
      </c>
      <c r="Y1707" s="107">
        <v>0.0</v>
      </c>
      <c r="Z1707" s="80">
        <v>0.0</v>
      </c>
      <c r="AA1707" s="140">
        <v>0.0</v>
      </c>
      <c r="AB1707" s="109">
        <v>0.0</v>
      </c>
      <c r="AC1707" s="109">
        <v>0.0</v>
      </c>
      <c r="AD1707" s="141">
        <v>0.0</v>
      </c>
      <c r="AE1707" s="80">
        <v>0.0</v>
      </c>
      <c r="AF1707" s="140">
        <v>292.0</v>
      </c>
      <c r="AG1707" s="109">
        <v>153.0</v>
      </c>
      <c r="AH1707" s="109">
        <v>45.0</v>
      </c>
      <c r="AI1707" s="141">
        <v>0.0</v>
      </c>
      <c r="AJ1707" s="80">
        <v>490.0</v>
      </c>
      <c r="AK1707" s="140">
        <v>0.0</v>
      </c>
      <c r="AL1707" s="109">
        <v>0.0</v>
      </c>
      <c r="AM1707" s="141">
        <v>0.0</v>
      </c>
      <c r="AN1707" s="80">
        <v>0.0</v>
      </c>
      <c r="AO1707" s="140">
        <v>0.0</v>
      </c>
      <c r="AP1707" s="109">
        <v>0.0</v>
      </c>
      <c r="AQ1707" s="109">
        <v>224.0</v>
      </c>
      <c r="AR1707" s="80">
        <v>224.0</v>
      </c>
      <c r="AS1707" s="110">
        <v>0.0</v>
      </c>
      <c r="AT1707" s="110">
        <v>0.0</v>
      </c>
      <c r="AU1707" s="110">
        <v>0.0</v>
      </c>
      <c r="AV1707" s="142">
        <v>0.0</v>
      </c>
      <c r="AW1707" s="80">
        <v>0.0</v>
      </c>
      <c r="AX1707" s="113">
        <v>714.0</v>
      </c>
      <c r="AY1707" s="117">
        <v>445.0</v>
      </c>
      <c r="AZ1707" s="328">
        <v>269.0</v>
      </c>
      <c r="BA1707" s="315">
        <v>0.0</v>
      </c>
      <c r="BB1707" s="316">
        <v>714.0</v>
      </c>
      <c r="BC1707" s="132" t="s">
        <v>178</v>
      </c>
      <c r="BD1707" s="132" t="s">
        <v>178</v>
      </c>
      <c r="BE1707" s="132" t="s">
        <v>178</v>
      </c>
      <c r="BF1707" s="156"/>
      <c r="BG1707" s="83">
        <v>1146264.0</v>
      </c>
      <c r="BH1707" s="112">
        <v>8.0</v>
      </c>
      <c r="BI1707" s="98" t="s">
        <v>155</v>
      </c>
      <c r="BJ1707" s="98" t="str">
        <f t="shared" si="1"/>
        <v>NÃO</v>
      </c>
      <c r="BK1707" s="98" t="str">
        <f t="shared" si="2"/>
        <v>NÃO</v>
      </c>
    </row>
    <row r="1708" ht="15.75" customHeight="1">
      <c r="A1708" s="111" t="s">
        <v>1842</v>
      </c>
      <c r="B1708" s="83" t="s">
        <v>2042</v>
      </c>
      <c r="C1708" s="83" t="s">
        <v>68</v>
      </c>
      <c r="D1708" s="83">
        <v>1178012.0</v>
      </c>
      <c r="E1708" s="83"/>
      <c r="F1708" s="83">
        <v>2.9428203E7</v>
      </c>
      <c r="G1708" s="114" t="s">
        <v>9358</v>
      </c>
      <c r="H1708" s="91" t="s">
        <v>9360</v>
      </c>
      <c r="I1708" s="114" t="s">
        <v>149</v>
      </c>
      <c r="J1708" s="83" t="s">
        <v>150</v>
      </c>
      <c r="K1708" s="83" t="s">
        <v>3467</v>
      </c>
      <c r="L1708" s="83" t="s">
        <v>230</v>
      </c>
      <c r="M1708" s="82" t="s">
        <v>13719</v>
      </c>
      <c r="N1708" s="82" t="s">
        <v>13720</v>
      </c>
      <c r="O1708" s="82" t="s">
        <v>13721</v>
      </c>
      <c r="P1708" s="82" t="s">
        <v>13722</v>
      </c>
      <c r="Q1708" s="82" t="s">
        <v>13723</v>
      </c>
      <c r="R1708" s="82" t="s">
        <v>13724</v>
      </c>
      <c r="S1708" s="82" t="s">
        <v>13725</v>
      </c>
      <c r="T1708" s="138">
        <v>15.0</v>
      </c>
      <c r="U1708" s="341">
        <v>14.0</v>
      </c>
      <c r="V1708" s="106">
        <v>0.0</v>
      </c>
      <c r="W1708" s="107">
        <v>0.0</v>
      </c>
      <c r="X1708" s="107">
        <v>0.0</v>
      </c>
      <c r="Y1708" s="107">
        <v>0.0</v>
      </c>
      <c r="Z1708" s="80">
        <v>0.0</v>
      </c>
      <c r="AA1708" s="140">
        <v>0.0</v>
      </c>
      <c r="AB1708" s="109">
        <v>0.0</v>
      </c>
      <c r="AC1708" s="109">
        <v>0.0</v>
      </c>
      <c r="AD1708" s="141">
        <v>0.0</v>
      </c>
      <c r="AE1708" s="80">
        <v>0.0</v>
      </c>
      <c r="AF1708" s="140">
        <v>0.0</v>
      </c>
      <c r="AG1708" s="109">
        <v>0.0</v>
      </c>
      <c r="AH1708" s="109">
        <v>0.0</v>
      </c>
      <c r="AI1708" s="141">
        <v>0.0</v>
      </c>
      <c r="AJ1708" s="80">
        <v>0.0</v>
      </c>
      <c r="AK1708" s="140">
        <v>0.0</v>
      </c>
      <c r="AL1708" s="109">
        <v>0.0</v>
      </c>
      <c r="AM1708" s="141">
        <v>0.0</v>
      </c>
      <c r="AN1708" s="80">
        <v>0.0</v>
      </c>
      <c r="AO1708" s="140">
        <v>0.0</v>
      </c>
      <c r="AP1708" s="109">
        <v>0.0</v>
      </c>
      <c r="AQ1708" s="109">
        <v>0.0</v>
      </c>
      <c r="AR1708" s="80">
        <v>0.0</v>
      </c>
      <c r="AS1708" s="110">
        <v>410.0</v>
      </c>
      <c r="AT1708" s="110">
        <v>450.0</v>
      </c>
      <c r="AU1708" s="110">
        <v>102.0</v>
      </c>
      <c r="AV1708" s="142">
        <v>0.0</v>
      </c>
      <c r="AW1708" s="80">
        <v>962.0</v>
      </c>
      <c r="AX1708" s="113">
        <v>962.0</v>
      </c>
      <c r="AY1708" s="117">
        <v>860.0</v>
      </c>
      <c r="AZ1708" s="328">
        <v>102.0</v>
      </c>
      <c r="BA1708" s="315">
        <v>0.0</v>
      </c>
      <c r="BB1708" s="316">
        <v>962.0</v>
      </c>
      <c r="BC1708" s="132" t="s">
        <v>178</v>
      </c>
      <c r="BD1708" s="132" t="s">
        <v>522</v>
      </c>
      <c r="BE1708" s="132" t="s">
        <v>178</v>
      </c>
      <c r="BF1708" s="156"/>
      <c r="BG1708" s="83">
        <v>1178012.0</v>
      </c>
      <c r="BH1708" s="112">
        <v>14.0</v>
      </c>
      <c r="BI1708" s="98" t="s">
        <v>284</v>
      </c>
      <c r="BJ1708" s="98" t="str">
        <f t="shared" si="1"/>
        <v>NÃO</v>
      </c>
      <c r="BK1708" s="98" t="str">
        <f t="shared" si="2"/>
        <v>PROFISSIONAL</v>
      </c>
    </row>
    <row r="1709" ht="15.75" customHeight="1">
      <c r="A1709" s="111" t="s">
        <v>1842</v>
      </c>
      <c r="B1709" s="83" t="s">
        <v>2042</v>
      </c>
      <c r="C1709" s="83" t="s">
        <v>164</v>
      </c>
      <c r="D1709" s="83">
        <v>1146264.0</v>
      </c>
      <c r="E1709" s="83">
        <v>1178510.0</v>
      </c>
      <c r="F1709" s="83"/>
      <c r="G1709" s="114" t="s">
        <v>9367</v>
      </c>
      <c r="H1709" s="91" t="s">
        <v>9368</v>
      </c>
      <c r="I1709" s="114" t="s">
        <v>149</v>
      </c>
      <c r="J1709" s="83" t="s">
        <v>443</v>
      </c>
      <c r="K1709" s="83" t="s">
        <v>168</v>
      </c>
      <c r="L1709" s="83" t="s">
        <v>169</v>
      </c>
      <c r="M1709" s="82" t="s">
        <v>13714</v>
      </c>
      <c r="N1709" s="82" t="s">
        <v>13715</v>
      </c>
      <c r="O1709" s="82" t="s">
        <v>13716</v>
      </c>
      <c r="P1709" s="82" t="s">
        <v>13717</v>
      </c>
      <c r="Q1709" s="82"/>
      <c r="R1709" s="82"/>
      <c r="S1709" s="82" t="s">
        <v>13718</v>
      </c>
      <c r="T1709" s="138">
        <v>1.0</v>
      </c>
      <c r="U1709" s="341">
        <v>1.0</v>
      </c>
      <c r="V1709" s="106">
        <v>0.0</v>
      </c>
      <c r="W1709" s="107">
        <v>0.0</v>
      </c>
      <c r="X1709" s="107">
        <v>0.0</v>
      </c>
      <c r="Y1709" s="107">
        <v>0.0</v>
      </c>
      <c r="Z1709" s="80">
        <v>0.0</v>
      </c>
      <c r="AA1709" s="140">
        <v>0.0</v>
      </c>
      <c r="AB1709" s="109">
        <v>0.0</v>
      </c>
      <c r="AC1709" s="109">
        <v>0.0</v>
      </c>
      <c r="AD1709" s="141">
        <v>0.0</v>
      </c>
      <c r="AE1709" s="80">
        <v>0.0</v>
      </c>
      <c r="AF1709" s="140">
        <v>7.0</v>
      </c>
      <c r="AG1709" s="109">
        <v>10.0</v>
      </c>
      <c r="AH1709" s="109">
        <v>4.0</v>
      </c>
      <c r="AI1709" s="141">
        <v>0.0</v>
      </c>
      <c r="AJ1709" s="80">
        <v>21.0</v>
      </c>
      <c r="AK1709" s="140">
        <v>0.0</v>
      </c>
      <c r="AL1709" s="109">
        <v>0.0</v>
      </c>
      <c r="AM1709" s="141">
        <v>0.0</v>
      </c>
      <c r="AN1709" s="80">
        <v>0.0</v>
      </c>
      <c r="AO1709" s="140">
        <v>0.0</v>
      </c>
      <c r="AP1709" s="109">
        <v>0.0</v>
      </c>
      <c r="AQ1709" s="109">
        <v>0.0</v>
      </c>
      <c r="AR1709" s="80">
        <v>0.0</v>
      </c>
      <c r="AS1709" s="110">
        <v>0.0</v>
      </c>
      <c r="AT1709" s="110">
        <v>0.0</v>
      </c>
      <c r="AU1709" s="110">
        <v>0.0</v>
      </c>
      <c r="AV1709" s="142">
        <v>0.0</v>
      </c>
      <c r="AW1709" s="80">
        <v>0.0</v>
      </c>
      <c r="AX1709" s="113">
        <v>21.0</v>
      </c>
      <c r="AY1709" s="117">
        <v>17.0</v>
      </c>
      <c r="AZ1709" s="328">
        <v>4.0</v>
      </c>
      <c r="BA1709" s="315">
        <v>0.0</v>
      </c>
      <c r="BB1709" s="316">
        <v>21.0</v>
      </c>
      <c r="BC1709" s="132" t="s">
        <v>373</v>
      </c>
      <c r="BD1709" s="132" t="s">
        <v>178</v>
      </c>
      <c r="BE1709" s="132" t="s">
        <v>178</v>
      </c>
      <c r="BF1709" s="156"/>
      <c r="BG1709" s="83">
        <v>1178510.0</v>
      </c>
      <c r="BH1709" s="112">
        <v>1.0</v>
      </c>
      <c r="BI1709" s="98" t="s">
        <v>155</v>
      </c>
      <c r="BJ1709" s="98" t="str">
        <f t="shared" si="1"/>
        <v>NÃO</v>
      </c>
      <c r="BK1709" s="98" t="str">
        <f t="shared" si="2"/>
        <v>NÃO</v>
      </c>
    </row>
    <row r="1710" ht="15.75" customHeight="1">
      <c r="A1710" s="111" t="s">
        <v>1842</v>
      </c>
      <c r="B1710" s="83" t="s">
        <v>2042</v>
      </c>
      <c r="C1710" s="83" t="s">
        <v>164</v>
      </c>
      <c r="D1710" s="83">
        <v>1146264.0</v>
      </c>
      <c r="E1710" s="83">
        <v>1179538.0</v>
      </c>
      <c r="F1710" s="83"/>
      <c r="G1710" s="114" t="s">
        <v>9375</v>
      </c>
      <c r="H1710" s="91" t="s">
        <v>9376</v>
      </c>
      <c r="I1710" s="187" t="s">
        <v>9377</v>
      </c>
      <c r="J1710" s="83" t="s">
        <v>150</v>
      </c>
      <c r="K1710" s="83" t="s">
        <v>168</v>
      </c>
      <c r="L1710" s="83" t="s">
        <v>169</v>
      </c>
      <c r="M1710" s="82" t="s">
        <v>13714</v>
      </c>
      <c r="N1710" s="82" t="s">
        <v>13715</v>
      </c>
      <c r="O1710" s="82" t="s">
        <v>13716</v>
      </c>
      <c r="P1710" s="82" t="s">
        <v>13717</v>
      </c>
      <c r="Q1710" s="82"/>
      <c r="R1710" s="82"/>
      <c r="S1710" s="82" t="s">
        <v>13718</v>
      </c>
      <c r="T1710" s="138">
        <v>5.0</v>
      </c>
      <c r="U1710" s="341">
        <v>2.0</v>
      </c>
      <c r="V1710" s="106">
        <v>0.0</v>
      </c>
      <c r="W1710" s="107">
        <v>0.0</v>
      </c>
      <c r="X1710" s="107">
        <v>0.0</v>
      </c>
      <c r="Y1710" s="107">
        <v>0.0</v>
      </c>
      <c r="Z1710" s="80">
        <v>0.0</v>
      </c>
      <c r="AA1710" s="140">
        <v>0.0</v>
      </c>
      <c r="AB1710" s="109">
        <v>0.0</v>
      </c>
      <c r="AC1710" s="109">
        <v>0.0</v>
      </c>
      <c r="AD1710" s="141">
        <v>0.0</v>
      </c>
      <c r="AE1710" s="80">
        <v>0.0</v>
      </c>
      <c r="AF1710" s="140">
        <v>0.0</v>
      </c>
      <c r="AG1710" s="109">
        <v>0.0</v>
      </c>
      <c r="AH1710" s="109">
        <v>0.0</v>
      </c>
      <c r="AI1710" s="141">
        <v>0.0</v>
      </c>
      <c r="AJ1710" s="80">
        <v>0.0</v>
      </c>
      <c r="AK1710" s="140">
        <v>8.0</v>
      </c>
      <c r="AL1710" s="109">
        <v>1.0</v>
      </c>
      <c r="AM1710" s="141">
        <v>0.0</v>
      </c>
      <c r="AN1710" s="80">
        <v>9.0</v>
      </c>
      <c r="AO1710" s="140">
        <v>15.0</v>
      </c>
      <c r="AP1710" s="109">
        <v>0.0</v>
      </c>
      <c r="AQ1710" s="109">
        <v>0.0</v>
      </c>
      <c r="AR1710" s="80">
        <v>15.0</v>
      </c>
      <c r="AS1710" s="110">
        <v>0.0</v>
      </c>
      <c r="AT1710" s="110">
        <v>0.0</v>
      </c>
      <c r="AU1710" s="110">
        <v>0.0</v>
      </c>
      <c r="AV1710" s="142">
        <v>0.0</v>
      </c>
      <c r="AW1710" s="80">
        <v>0.0</v>
      </c>
      <c r="AX1710" s="113">
        <v>24.0</v>
      </c>
      <c r="AY1710" s="117">
        <v>24.0</v>
      </c>
      <c r="AZ1710" s="328">
        <v>0.0</v>
      </c>
      <c r="BA1710" s="315">
        <v>0.0</v>
      </c>
      <c r="BB1710" s="316">
        <v>24.0</v>
      </c>
      <c r="BC1710" s="132" t="s">
        <v>563</v>
      </c>
      <c r="BD1710" s="132" t="s">
        <v>178</v>
      </c>
      <c r="BE1710" s="132" t="s">
        <v>178</v>
      </c>
      <c r="BF1710" s="156"/>
      <c r="BG1710" s="83">
        <v>1179538.0</v>
      </c>
      <c r="BH1710" s="112">
        <v>2.0</v>
      </c>
      <c r="BI1710" s="98" t="s">
        <v>155</v>
      </c>
      <c r="BJ1710" s="98" t="str">
        <f t="shared" si="1"/>
        <v>NÃO</v>
      </c>
      <c r="BK1710" s="98" t="str">
        <f t="shared" si="2"/>
        <v>NÃO</v>
      </c>
    </row>
    <row r="1711" ht="15.75" customHeight="1">
      <c r="A1711" s="111" t="s">
        <v>1842</v>
      </c>
      <c r="B1711" s="83" t="s">
        <v>9378</v>
      </c>
      <c r="C1711" s="83" t="s">
        <v>68</v>
      </c>
      <c r="D1711" s="83">
        <v>1112890.0</v>
      </c>
      <c r="E1711" s="83"/>
      <c r="F1711" s="83">
        <v>2.9319358E7</v>
      </c>
      <c r="G1711" s="114" t="s">
        <v>9379</v>
      </c>
      <c r="H1711" s="91" t="s">
        <v>9380</v>
      </c>
      <c r="I1711" s="187" t="s">
        <v>149</v>
      </c>
      <c r="J1711" s="83" t="s">
        <v>150</v>
      </c>
      <c r="K1711" s="83" t="s">
        <v>3467</v>
      </c>
      <c r="L1711" s="83" t="s">
        <v>76</v>
      </c>
      <c r="M1711" s="82" t="s">
        <v>13726</v>
      </c>
      <c r="N1711" s="82" t="s">
        <v>13727</v>
      </c>
      <c r="O1711" s="82" t="s">
        <v>13728</v>
      </c>
      <c r="P1711" s="82" t="s">
        <v>13729</v>
      </c>
      <c r="Q1711" s="82"/>
      <c r="R1711" s="82"/>
      <c r="S1711" s="82" t="s">
        <v>13730</v>
      </c>
      <c r="T1711" s="138">
        <v>8.0</v>
      </c>
      <c r="U1711" s="341">
        <v>7.0</v>
      </c>
      <c r="V1711" s="106">
        <v>0.0</v>
      </c>
      <c r="W1711" s="107">
        <v>0.0</v>
      </c>
      <c r="X1711" s="107">
        <v>0.0</v>
      </c>
      <c r="Y1711" s="107">
        <v>0.0</v>
      </c>
      <c r="Z1711" s="80">
        <v>0.0</v>
      </c>
      <c r="AA1711" s="140">
        <v>0.0</v>
      </c>
      <c r="AB1711" s="109">
        <v>0.0</v>
      </c>
      <c r="AC1711" s="109">
        <v>0.0</v>
      </c>
      <c r="AD1711" s="141">
        <v>0.0</v>
      </c>
      <c r="AE1711" s="80">
        <v>0.0</v>
      </c>
      <c r="AF1711" s="140">
        <v>268.0</v>
      </c>
      <c r="AG1711" s="109">
        <v>0.0</v>
      </c>
      <c r="AH1711" s="109">
        <v>34.0</v>
      </c>
      <c r="AI1711" s="141">
        <v>0.0</v>
      </c>
      <c r="AJ1711" s="80">
        <v>302.0</v>
      </c>
      <c r="AK1711" s="140">
        <v>0.0</v>
      </c>
      <c r="AL1711" s="109">
        <v>0.0</v>
      </c>
      <c r="AM1711" s="141">
        <v>0.0</v>
      </c>
      <c r="AN1711" s="80">
        <v>0.0</v>
      </c>
      <c r="AO1711" s="140">
        <v>0.0</v>
      </c>
      <c r="AP1711" s="109">
        <v>0.0</v>
      </c>
      <c r="AQ1711" s="109">
        <v>87.0</v>
      </c>
      <c r="AR1711" s="80">
        <v>87.0</v>
      </c>
      <c r="AS1711" s="110">
        <v>0.0</v>
      </c>
      <c r="AT1711" s="110">
        <v>0.0</v>
      </c>
      <c r="AU1711" s="110">
        <v>0.0</v>
      </c>
      <c r="AV1711" s="142">
        <v>0.0</v>
      </c>
      <c r="AW1711" s="80">
        <v>0.0</v>
      </c>
      <c r="AX1711" s="113">
        <v>389.0</v>
      </c>
      <c r="AY1711" s="117">
        <v>268.0</v>
      </c>
      <c r="AZ1711" s="328">
        <v>121.0</v>
      </c>
      <c r="BA1711" s="315">
        <v>0.0</v>
      </c>
      <c r="BB1711" s="316">
        <v>389.0</v>
      </c>
      <c r="BC1711" s="132" t="s">
        <v>178</v>
      </c>
      <c r="BD1711" s="132" t="s">
        <v>178</v>
      </c>
      <c r="BE1711" s="132" t="s">
        <v>178</v>
      </c>
      <c r="BF1711" s="156"/>
      <c r="BG1711" s="83">
        <v>1112890.0</v>
      </c>
      <c r="BH1711" s="112">
        <v>7.0</v>
      </c>
      <c r="BI1711" s="98" t="s">
        <v>155</v>
      </c>
      <c r="BJ1711" s="98" t="str">
        <f t="shared" si="1"/>
        <v>NÃO</v>
      </c>
      <c r="BK1711" s="98" t="str">
        <f t="shared" si="2"/>
        <v>NÃO</v>
      </c>
    </row>
    <row r="1712" ht="15.75" customHeight="1">
      <c r="A1712" s="111" t="s">
        <v>1842</v>
      </c>
      <c r="B1712" s="83" t="s">
        <v>9378</v>
      </c>
      <c r="C1712" s="83" t="s">
        <v>164</v>
      </c>
      <c r="D1712" s="83">
        <v>1112890.0</v>
      </c>
      <c r="E1712" s="83">
        <v>1178512.0</v>
      </c>
      <c r="F1712" s="83"/>
      <c r="G1712" s="114" t="s">
        <v>9388</v>
      </c>
      <c r="H1712" s="91" t="s">
        <v>9389</v>
      </c>
      <c r="I1712" s="187" t="s">
        <v>149</v>
      </c>
      <c r="J1712" s="83" t="s">
        <v>9390</v>
      </c>
      <c r="K1712" s="83" t="s">
        <v>3467</v>
      </c>
      <c r="L1712" s="82" t="s">
        <v>169</v>
      </c>
      <c r="M1712" s="82" t="s">
        <v>13726</v>
      </c>
      <c r="N1712" s="82" t="s">
        <v>13727</v>
      </c>
      <c r="O1712" s="82" t="s">
        <v>13728</v>
      </c>
      <c r="P1712" s="82" t="s">
        <v>13729</v>
      </c>
      <c r="Q1712" s="82"/>
      <c r="R1712" s="82"/>
      <c r="S1712" s="82" t="s">
        <v>13730</v>
      </c>
      <c r="T1712" s="138">
        <v>3.0</v>
      </c>
      <c r="U1712" s="341">
        <v>3.0</v>
      </c>
      <c r="V1712" s="106">
        <v>0.0</v>
      </c>
      <c r="W1712" s="107">
        <v>0.0</v>
      </c>
      <c r="X1712" s="107">
        <v>0.0</v>
      </c>
      <c r="Y1712" s="107">
        <v>0.0</v>
      </c>
      <c r="Z1712" s="80">
        <v>0.0</v>
      </c>
      <c r="AA1712" s="140">
        <v>0.0</v>
      </c>
      <c r="AB1712" s="109">
        <v>0.0</v>
      </c>
      <c r="AC1712" s="109">
        <v>0.0</v>
      </c>
      <c r="AD1712" s="141">
        <v>0.0</v>
      </c>
      <c r="AE1712" s="80">
        <v>0.0</v>
      </c>
      <c r="AF1712" s="140">
        <v>0.0</v>
      </c>
      <c r="AG1712" s="109">
        <v>0.0</v>
      </c>
      <c r="AH1712" s="109">
        <v>12.0</v>
      </c>
      <c r="AI1712" s="141">
        <v>0.0</v>
      </c>
      <c r="AJ1712" s="80">
        <v>12.0</v>
      </c>
      <c r="AK1712" s="140">
        <v>0.0</v>
      </c>
      <c r="AL1712" s="109">
        <v>0.0</v>
      </c>
      <c r="AM1712" s="141">
        <v>0.0</v>
      </c>
      <c r="AN1712" s="80">
        <v>0.0</v>
      </c>
      <c r="AO1712" s="140">
        <v>0.0</v>
      </c>
      <c r="AP1712" s="109">
        <v>0.0</v>
      </c>
      <c r="AQ1712" s="109">
        <v>13.0</v>
      </c>
      <c r="AR1712" s="80">
        <v>13.0</v>
      </c>
      <c r="AS1712" s="110">
        <v>0.0</v>
      </c>
      <c r="AT1712" s="110">
        <v>0.0</v>
      </c>
      <c r="AU1712" s="110">
        <v>0.0</v>
      </c>
      <c r="AV1712" s="142">
        <v>0.0</v>
      </c>
      <c r="AW1712" s="80">
        <v>0.0</v>
      </c>
      <c r="AX1712" s="113">
        <v>25.0</v>
      </c>
      <c r="AY1712" s="117">
        <v>0.0</v>
      </c>
      <c r="AZ1712" s="328">
        <v>25.0</v>
      </c>
      <c r="BA1712" s="315">
        <v>0.0</v>
      </c>
      <c r="BB1712" s="316">
        <v>25.0</v>
      </c>
      <c r="BC1712" s="132" t="s">
        <v>373</v>
      </c>
      <c r="BD1712" s="132" t="s">
        <v>178</v>
      </c>
      <c r="BE1712" s="132" t="s">
        <v>178</v>
      </c>
      <c r="BF1712" s="156"/>
      <c r="BG1712" s="83">
        <v>1178512.0</v>
      </c>
      <c r="BH1712" s="112">
        <v>3.0</v>
      </c>
      <c r="BI1712" s="98" t="s">
        <v>155</v>
      </c>
      <c r="BJ1712" s="98" t="str">
        <f t="shared" si="1"/>
        <v>NÃO</v>
      </c>
      <c r="BK1712" s="98" t="str">
        <f t="shared" si="2"/>
        <v>NÃO</v>
      </c>
    </row>
    <row r="1713" ht="15.75" customHeight="1">
      <c r="A1713" s="111" t="s">
        <v>1842</v>
      </c>
      <c r="B1713" s="83" t="s">
        <v>9378</v>
      </c>
      <c r="C1713" s="83" t="s">
        <v>164</v>
      </c>
      <c r="D1713" s="83">
        <v>1112890.0</v>
      </c>
      <c r="E1713" s="83">
        <v>1178511.0</v>
      </c>
      <c r="F1713" s="83"/>
      <c r="G1713" s="114" t="s">
        <v>9398</v>
      </c>
      <c r="H1713" s="91" t="s">
        <v>9399</v>
      </c>
      <c r="I1713" s="187" t="s">
        <v>9400</v>
      </c>
      <c r="J1713" s="83" t="s">
        <v>702</v>
      </c>
      <c r="K1713" s="83" t="s">
        <v>168</v>
      </c>
      <c r="L1713" s="82" t="s">
        <v>169</v>
      </c>
      <c r="M1713" s="82" t="s">
        <v>13726</v>
      </c>
      <c r="N1713" s="82" t="s">
        <v>13727</v>
      </c>
      <c r="O1713" s="82" t="s">
        <v>13728</v>
      </c>
      <c r="P1713" s="82" t="s">
        <v>13729</v>
      </c>
      <c r="Q1713" s="82"/>
      <c r="R1713" s="82"/>
      <c r="S1713" s="82" t="s">
        <v>13730</v>
      </c>
      <c r="T1713" s="138">
        <v>3.0</v>
      </c>
      <c r="U1713" s="341">
        <v>3.0</v>
      </c>
      <c r="V1713" s="106">
        <v>0.0</v>
      </c>
      <c r="W1713" s="107">
        <v>0.0</v>
      </c>
      <c r="X1713" s="107">
        <v>0.0</v>
      </c>
      <c r="Y1713" s="107">
        <v>0.0</v>
      </c>
      <c r="Z1713" s="80">
        <v>0.0</v>
      </c>
      <c r="AA1713" s="140">
        <v>0.0</v>
      </c>
      <c r="AB1713" s="109">
        <v>0.0</v>
      </c>
      <c r="AC1713" s="109">
        <v>0.0</v>
      </c>
      <c r="AD1713" s="141">
        <v>0.0</v>
      </c>
      <c r="AE1713" s="80">
        <v>0.0</v>
      </c>
      <c r="AF1713" s="140">
        <v>0.0</v>
      </c>
      <c r="AG1713" s="109">
        <v>0.0</v>
      </c>
      <c r="AH1713" s="109">
        <v>27.0</v>
      </c>
      <c r="AI1713" s="141">
        <v>0.0</v>
      </c>
      <c r="AJ1713" s="80">
        <v>27.0</v>
      </c>
      <c r="AK1713" s="140">
        <v>0.0</v>
      </c>
      <c r="AL1713" s="109">
        <v>0.0</v>
      </c>
      <c r="AM1713" s="141">
        <v>0.0</v>
      </c>
      <c r="AN1713" s="80">
        <v>0.0</v>
      </c>
      <c r="AO1713" s="140">
        <v>0.0</v>
      </c>
      <c r="AP1713" s="109">
        <v>0.0</v>
      </c>
      <c r="AQ1713" s="109">
        <v>0.0</v>
      </c>
      <c r="AR1713" s="80">
        <v>0.0</v>
      </c>
      <c r="AS1713" s="110">
        <v>0.0</v>
      </c>
      <c r="AT1713" s="110">
        <v>0.0</v>
      </c>
      <c r="AU1713" s="110">
        <v>0.0</v>
      </c>
      <c r="AV1713" s="142">
        <v>0.0</v>
      </c>
      <c r="AW1713" s="80">
        <v>0.0</v>
      </c>
      <c r="AX1713" s="113">
        <v>27.0</v>
      </c>
      <c r="AY1713" s="117">
        <v>0.0</v>
      </c>
      <c r="AZ1713" s="328">
        <v>27.0</v>
      </c>
      <c r="BA1713" s="315">
        <v>0.0</v>
      </c>
      <c r="BB1713" s="316">
        <v>27.0</v>
      </c>
      <c r="BC1713" s="132" t="s">
        <v>373</v>
      </c>
      <c r="BD1713" s="132" t="s">
        <v>178</v>
      </c>
      <c r="BE1713" s="132" t="s">
        <v>178</v>
      </c>
      <c r="BF1713" s="123"/>
      <c r="BG1713" s="83">
        <v>1178511.0</v>
      </c>
      <c r="BH1713" s="112">
        <v>3.0</v>
      </c>
      <c r="BI1713" s="98" t="s">
        <v>155</v>
      </c>
      <c r="BJ1713" s="98" t="str">
        <f t="shared" si="1"/>
        <v>NÃO</v>
      </c>
      <c r="BK1713" s="98" t="str">
        <f t="shared" si="2"/>
        <v>NÃO</v>
      </c>
    </row>
    <row r="1714" ht="15.75" customHeight="1">
      <c r="A1714" s="111" t="s">
        <v>1842</v>
      </c>
      <c r="B1714" s="83" t="s">
        <v>9378</v>
      </c>
      <c r="C1714" s="83" t="s">
        <v>164</v>
      </c>
      <c r="D1714" s="83">
        <v>1112890.0</v>
      </c>
      <c r="E1714" s="83">
        <v>1178513.0</v>
      </c>
      <c r="F1714" s="83"/>
      <c r="G1714" s="114" t="s">
        <v>9401</v>
      </c>
      <c r="H1714" s="91" t="s">
        <v>9402</v>
      </c>
      <c r="I1714" s="187" t="s">
        <v>149</v>
      </c>
      <c r="J1714" s="83" t="s">
        <v>784</v>
      </c>
      <c r="K1714" s="83" t="s">
        <v>168</v>
      </c>
      <c r="L1714" s="83" t="s">
        <v>169</v>
      </c>
      <c r="M1714" s="82" t="s">
        <v>13726</v>
      </c>
      <c r="N1714" s="82" t="s">
        <v>13727</v>
      </c>
      <c r="O1714" s="82" t="s">
        <v>13728</v>
      </c>
      <c r="P1714" s="82" t="s">
        <v>13729</v>
      </c>
      <c r="Q1714" s="82"/>
      <c r="R1714" s="82"/>
      <c r="S1714" s="82" t="s">
        <v>13730</v>
      </c>
      <c r="T1714" s="138">
        <v>3.0</v>
      </c>
      <c r="U1714" s="341">
        <v>3.0</v>
      </c>
      <c r="V1714" s="106">
        <v>0.0</v>
      </c>
      <c r="W1714" s="107">
        <v>0.0</v>
      </c>
      <c r="X1714" s="107">
        <v>0.0</v>
      </c>
      <c r="Y1714" s="107">
        <v>0.0</v>
      </c>
      <c r="Z1714" s="80">
        <v>0.0</v>
      </c>
      <c r="AA1714" s="140">
        <v>0.0</v>
      </c>
      <c r="AB1714" s="109">
        <v>0.0</v>
      </c>
      <c r="AC1714" s="109">
        <v>0.0</v>
      </c>
      <c r="AD1714" s="141">
        <v>0.0</v>
      </c>
      <c r="AE1714" s="80">
        <v>0.0</v>
      </c>
      <c r="AF1714" s="140">
        <v>0.0</v>
      </c>
      <c r="AG1714" s="109">
        <v>54.0</v>
      </c>
      <c r="AH1714" s="109">
        <v>10.0</v>
      </c>
      <c r="AI1714" s="141">
        <v>0.0</v>
      </c>
      <c r="AJ1714" s="80">
        <v>64.0</v>
      </c>
      <c r="AK1714" s="140">
        <v>0.0</v>
      </c>
      <c r="AL1714" s="109">
        <v>0.0</v>
      </c>
      <c r="AM1714" s="141">
        <v>0.0</v>
      </c>
      <c r="AN1714" s="80">
        <v>0.0</v>
      </c>
      <c r="AO1714" s="140">
        <v>0.0</v>
      </c>
      <c r="AP1714" s="109">
        <v>0.0</v>
      </c>
      <c r="AQ1714" s="109">
        <v>27.0</v>
      </c>
      <c r="AR1714" s="80">
        <v>27.0</v>
      </c>
      <c r="AS1714" s="110">
        <v>0.0</v>
      </c>
      <c r="AT1714" s="110">
        <v>0.0</v>
      </c>
      <c r="AU1714" s="110">
        <v>0.0</v>
      </c>
      <c r="AV1714" s="142">
        <v>0.0</v>
      </c>
      <c r="AW1714" s="80">
        <v>0.0</v>
      </c>
      <c r="AX1714" s="113">
        <v>91.0</v>
      </c>
      <c r="AY1714" s="117">
        <v>54.0</v>
      </c>
      <c r="AZ1714" s="328">
        <v>37.0</v>
      </c>
      <c r="BA1714" s="315">
        <v>0.0</v>
      </c>
      <c r="BB1714" s="316">
        <v>91.0</v>
      </c>
      <c r="BC1714" s="132" t="s">
        <v>373</v>
      </c>
      <c r="BD1714" s="132" t="s">
        <v>178</v>
      </c>
      <c r="BE1714" s="132" t="s">
        <v>178</v>
      </c>
      <c r="BF1714" s="123"/>
      <c r="BG1714" s="83">
        <v>1178513.0</v>
      </c>
      <c r="BH1714" s="112">
        <v>3.0</v>
      </c>
      <c r="BI1714" s="98" t="s">
        <v>155</v>
      </c>
      <c r="BJ1714" s="98" t="str">
        <f t="shared" si="1"/>
        <v>NÃO</v>
      </c>
      <c r="BK1714" s="98" t="str">
        <f t="shared" si="2"/>
        <v>NÃO</v>
      </c>
    </row>
    <row r="1715" ht="15.75" customHeight="1">
      <c r="A1715" s="111" t="s">
        <v>1842</v>
      </c>
      <c r="B1715" s="83" t="s">
        <v>9378</v>
      </c>
      <c r="C1715" s="83" t="s">
        <v>164</v>
      </c>
      <c r="D1715" s="83">
        <v>1112890.0</v>
      </c>
      <c r="E1715" s="83">
        <v>1178328.0</v>
      </c>
      <c r="F1715" s="83"/>
      <c r="G1715" s="114" t="s">
        <v>9409</v>
      </c>
      <c r="H1715" s="91" t="s">
        <v>9410</v>
      </c>
      <c r="I1715" s="187" t="s">
        <v>149</v>
      </c>
      <c r="J1715" s="83" t="s">
        <v>9390</v>
      </c>
      <c r="K1715" s="83" t="s">
        <v>168</v>
      </c>
      <c r="L1715" s="83" t="s">
        <v>169</v>
      </c>
      <c r="M1715" s="82" t="s">
        <v>13726</v>
      </c>
      <c r="N1715" s="82" t="s">
        <v>13727</v>
      </c>
      <c r="O1715" s="82" t="s">
        <v>13728</v>
      </c>
      <c r="P1715" s="82" t="s">
        <v>13729</v>
      </c>
      <c r="Q1715" s="82"/>
      <c r="R1715" s="82"/>
      <c r="S1715" s="82" t="s">
        <v>13730</v>
      </c>
      <c r="T1715" s="138">
        <v>3.0</v>
      </c>
      <c r="U1715" s="341">
        <v>3.0</v>
      </c>
      <c r="V1715" s="106">
        <v>0.0</v>
      </c>
      <c r="W1715" s="107">
        <v>0.0</v>
      </c>
      <c r="X1715" s="107">
        <v>0.0</v>
      </c>
      <c r="Y1715" s="107">
        <v>0.0</v>
      </c>
      <c r="Z1715" s="80">
        <v>0.0</v>
      </c>
      <c r="AA1715" s="140">
        <v>0.0</v>
      </c>
      <c r="AB1715" s="109">
        <v>0.0</v>
      </c>
      <c r="AC1715" s="109">
        <v>0.0</v>
      </c>
      <c r="AD1715" s="141">
        <v>0.0</v>
      </c>
      <c r="AE1715" s="80">
        <v>0.0</v>
      </c>
      <c r="AF1715" s="140">
        <v>0.0</v>
      </c>
      <c r="AG1715" s="109">
        <v>0.0</v>
      </c>
      <c r="AH1715" s="109">
        <v>16.0</v>
      </c>
      <c r="AI1715" s="141">
        <v>0.0</v>
      </c>
      <c r="AJ1715" s="80">
        <v>16.0</v>
      </c>
      <c r="AK1715" s="140">
        <v>0.0</v>
      </c>
      <c r="AL1715" s="109">
        <v>0.0</v>
      </c>
      <c r="AM1715" s="141">
        <v>0.0</v>
      </c>
      <c r="AN1715" s="80">
        <v>0.0</v>
      </c>
      <c r="AO1715" s="140">
        <v>0.0</v>
      </c>
      <c r="AP1715" s="109">
        <v>0.0</v>
      </c>
      <c r="AQ1715" s="109">
        <v>20.0</v>
      </c>
      <c r="AR1715" s="80">
        <v>20.0</v>
      </c>
      <c r="AS1715" s="110">
        <v>0.0</v>
      </c>
      <c r="AT1715" s="110">
        <v>0.0</v>
      </c>
      <c r="AU1715" s="110">
        <v>0.0</v>
      </c>
      <c r="AV1715" s="142">
        <v>0.0</v>
      </c>
      <c r="AW1715" s="80">
        <v>0.0</v>
      </c>
      <c r="AX1715" s="113">
        <v>36.0</v>
      </c>
      <c r="AY1715" s="117">
        <v>0.0</v>
      </c>
      <c r="AZ1715" s="328">
        <v>36.0</v>
      </c>
      <c r="BA1715" s="315">
        <v>0.0</v>
      </c>
      <c r="BB1715" s="316">
        <v>36.0</v>
      </c>
      <c r="BC1715" s="132" t="s">
        <v>373</v>
      </c>
      <c r="BD1715" s="132" t="s">
        <v>178</v>
      </c>
      <c r="BE1715" s="132" t="s">
        <v>178</v>
      </c>
      <c r="BF1715" s="156"/>
      <c r="BG1715" s="83">
        <v>1178328.0</v>
      </c>
      <c r="BH1715" s="112">
        <v>3.0</v>
      </c>
      <c r="BI1715" s="98" t="s">
        <v>155</v>
      </c>
      <c r="BJ1715" s="98" t="str">
        <f t="shared" si="1"/>
        <v>NÃO</v>
      </c>
      <c r="BK1715" s="98" t="str">
        <f t="shared" si="2"/>
        <v>NÃO</v>
      </c>
    </row>
    <row r="1716" ht="15.75" customHeight="1">
      <c r="A1716" s="111" t="s">
        <v>1842</v>
      </c>
      <c r="B1716" s="83" t="s">
        <v>9378</v>
      </c>
      <c r="C1716" s="83" t="s">
        <v>164</v>
      </c>
      <c r="D1716" s="83">
        <v>1112890.0</v>
      </c>
      <c r="E1716" s="83">
        <v>1179182.0</v>
      </c>
      <c r="F1716" s="83"/>
      <c r="G1716" s="114" t="s">
        <v>9414</v>
      </c>
      <c r="H1716" s="91" t="s">
        <v>9415</v>
      </c>
      <c r="I1716" s="187" t="s">
        <v>149</v>
      </c>
      <c r="J1716" s="83" t="s">
        <v>187</v>
      </c>
      <c r="K1716" s="83" t="s">
        <v>168</v>
      </c>
      <c r="L1716" s="83" t="s">
        <v>169</v>
      </c>
      <c r="M1716" s="82" t="s">
        <v>13726</v>
      </c>
      <c r="N1716" s="82" t="s">
        <v>13727</v>
      </c>
      <c r="O1716" s="82" t="s">
        <v>13728</v>
      </c>
      <c r="P1716" s="82" t="s">
        <v>13729</v>
      </c>
      <c r="Q1716" s="82"/>
      <c r="R1716" s="82"/>
      <c r="S1716" s="82" t="s">
        <v>13730</v>
      </c>
      <c r="T1716" s="138">
        <v>3.0</v>
      </c>
      <c r="U1716" s="323">
        <v>3.0</v>
      </c>
      <c r="V1716" s="106">
        <v>0.0</v>
      </c>
      <c r="W1716" s="107">
        <v>0.0</v>
      </c>
      <c r="X1716" s="107">
        <v>0.0</v>
      </c>
      <c r="Y1716" s="107">
        <v>0.0</v>
      </c>
      <c r="Z1716" s="80">
        <v>0.0</v>
      </c>
      <c r="AA1716" s="140">
        <v>0.0</v>
      </c>
      <c r="AB1716" s="109">
        <v>0.0</v>
      </c>
      <c r="AC1716" s="109">
        <v>0.0</v>
      </c>
      <c r="AD1716" s="141">
        <v>0.0</v>
      </c>
      <c r="AE1716" s="80">
        <v>0.0</v>
      </c>
      <c r="AF1716" s="140">
        <v>0.0</v>
      </c>
      <c r="AG1716" s="109">
        <v>0.0</v>
      </c>
      <c r="AH1716" s="109">
        <v>8.0</v>
      </c>
      <c r="AI1716" s="141">
        <v>0.0</v>
      </c>
      <c r="AJ1716" s="80">
        <v>8.0</v>
      </c>
      <c r="AK1716" s="140">
        <v>0.0</v>
      </c>
      <c r="AL1716" s="109">
        <v>0.0</v>
      </c>
      <c r="AM1716" s="141">
        <v>0.0</v>
      </c>
      <c r="AN1716" s="80">
        <v>0.0</v>
      </c>
      <c r="AO1716" s="140">
        <v>0.0</v>
      </c>
      <c r="AP1716" s="109">
        <v>0.0</v>
      </c>
      <c r="AQ1716" s="109">
        <v>17.0</v>
      </c>
      <c r="AR1716" s="80">
        <v>17.0</v>
      </c>
      <c r="AS1716" s="110">
        <v>0.0</v>
      </c>
      <c r="AT1716" s="110">
        <v>0.0</v>
      </c>
      <c r="AU1716" s="110">
        <v>0.0</v>
      </c>
      <c r="AV1716" s="142">
        <v>0.0</v>
      </c>
      <c r="AW1716" s="80">
        <v>0.0</v>
      </c>
      <c r="AX1716" s="113">
        <v>25.0</v>
      </c>
      <c r="AY1716" s="117">
        <v>0.0</v>
      </c>
      <c r="AZ1716" s="328">
        <v>25.0</v>
      </c>
      <c r="BA1716" s="315">
        <v>0.0</v>
      </c>
      <c r="BB1716" s="316">
        <v>25.0</v>
      </c>
      <c r="BC1716" s="132" t="s">
        <v>373</v>
      </c>
      <c r="BD1716" s="132" t="s">
        <v>178</v>
      </c>
      <c r="BE1716" s="132" t="s">
        <v>178</v>
      </c>
      <c r="BF1716" s="123"/>
      <c r="BG1716" s="83">
        <v>1179182.0</v>
      </c>
      <c r="BH1716" s="112">
        <v>3.0</v>
      </c>
      <c r="BI1716" s="98" t="s">
        <v>155</v>
      </c>
      <c r="BJ1716" s="98" t="str">
        <f t="shared" si="1"/>
        <v>NÃO</v>
      </c>
      <c r="BK1716" s="98" t="str">
        <f t="shared" si="2"/>
        <v>NÃO</v>
      </c>
    </row>
    <row r="1717" ht="15.75" customHeight="1">
      <c r="A1717" s="111" t="s">
        <v>1842</v>
      </c>
      <c r="B1717" s="83" t="s">
        <v>9417</v>
      </c>
      <c r="C1717" s="83" t="s">
        <v>68</v>
      </c>
      <c r="D1717" s="83">
        <v>1170181.0</v>
      </c>
      <c r="E1717" s="83"/>
      <c r="F1717" s="83">
        <v>2.9320623E7</v>
      </c>
      <c r="G1717" s="114" t="s">
        <v>2098</v>
      </c>
      <c r="H1717" s="91" t="s">
        <v>9422</v>
      </c>
      <c r="I1717" s="187" t="s">
        <v>149</v>
      </c>
      <c r="J1717" s="83" t="s">
        <v>150</v>
      </c>
      <c r="K1717" s="83" t="s">
        <v>3467</v>
      </c>
      <c r="L1717" s="83" t="s">
        <v>76</v>
      </c>
      <c r="M1717" s="82" t="s">
        <v>13732</v>
      </c>
      <c r="N1717" s="82" t="s">
        <v>13733</v>
      </c>
      <c r="O1717" s="82" t="s">
        <v>13734</v>
      </c>
      <c r="P1717" s="82" t="s">
        <v>13735</v>
      </c>
      <c r="Q1717" s="82" t="s">
        <v>13736</v>
      </c>
      <c r="R1717" s="82" t="s">
        <v>13737</v>
      </c>
      <c r="S1717" s="82" t="s">
        <v>13738</v>
      </c>
      <c r="T1717" s="138">
        <v>12.0</v>
      </c>
      <c r="U1717" s="331" t="s">
        <v>13739</v>
      </c>
      <c r="V1717" s="106">
        <v>0.0</v>
      </c>
      <c r="W1717" s="107">
        <v>0.0</v>
      </c>
      <c r="X1717" s="107">
        <v>0.0</v>
      </c>
      <c r="Y1717" s="107">
        <v>0.0</v>
      </c>
      <c r="Z1717" s="80">
        <v>0.0</v>
      </c>
      <c r="AA1717" s="140">
        <v>0.0</v>
      </c>
      <c r="AB1717" s="109">
        <v>0.0</v>
      </c>
      <c r="AC1717" s="109">
        <v>0.0</v>
      </c>
      <c r="AD1717" s="141">
        <v>0.0</v>
      </c>
      <c r="AE1717" s="80">
        <v>0.0</v>
      </c>
      <c r="AF1717" s="140">
        <v>308.0</v>
      </c>
      <c r="AG1717" s="109">
        <v>136.0</v>
      </c>
      <c r="AH1717" s="109">
        <v>49.0</v>
      </c>
      <c r="AI1717" s="141">
        <v>0.0</v>
      </c>
      <c r="AJ1717" s="80">
        <v>493.0</v>
      </c>
      <c r="AK1717" s="140">
        <v>0.0</v>
      </c>
      <c r="AL1717" s="109">
        <v>0.0</v>
      </c>
      <c r="AM1717" s="141">
        <v>0.0</v>
      </c>
      <c r="AN1717" s="80">
        <v>0.0</v>
      </c>
      <c r="AO1717" s="140">
        <v>0.0</v>
      </c>
      <c r="AP1717" s="109">
        <v>0.0</v>
      </c>
      <c r="AQ1717" s="109">
        <v>181.0</v>
      </c>
      <c r="AR1717" s="80">
        <v>181.0</v>
      </c>
      <c r="AS1717" s="110">
        <v>73.0</v>
      </c>
      <c r="AT1717" s="110">
        <v>0.0</v>
      </c>
      <c r="AU1717" s="110">
        <v>0.0</v>
      </c>
      <c r="AV1717" s="142">
        <v>0.0</v>
      </c>
      <c r="AW1717" s="80">
        <v>73.0</v>
      </c>
      <c r="AX1717" s="113">
        <v>747.0</v>
      </c>
      <c r="AY1717" s="117">
        <v>517.0</v>
      </c>
      <c r="AZ1717" s="328">
        <v>230.0</v>
      </c>
      <c r="BA1717" s="315">
        <v>0.0</v>
      </c>
      <c r="BB1717" s="316">
        <v>747.0</v>
      </c>
      <c r="BC1717" s="132" t="s">
        <v>178</v>
      </c>
      <c r="BD1717" s="132" t="s">
        <v>178</v>
      </c>
      <c r="BE1717" s="132" t="s">
        <v>178</v>
      </c>
      <c r="BF1717" s="123"/>
      <c r="BG1717" s="83">
        <v>1170181.0</v>
      </c>
      <c r="BH1717" s="112">
        <v>11.0</v>
      </c>
      <c r="BI1717" s="98" t="s">
        <v>155</v>
      </c>
      <c r="BJ1717" s="98" t="str">
        <f t="shared" si="1"/>
        <v>NÃO</v>
      </c>
      <c r="BK1717" s="98" t="str">
        <f t="shared" si="2"/>
        <v>PROFISSIONAL</v>
      </c>
    </row>
    <row r="1718" ht="15.75" customHeight="1">
      <c r="A1718" s="111" t="s">
        <v>1842</v>
      </c>
      <c r="B1718" s="83" t="s">
        <v>9417</v>
      </c>
      <c r="C1718" s="83" t="s">
        <v>164</v>
      </c>
      <c r="D1718" s="83">
        <v>1170181.0</v>
      </c>
      <c r="E1718" s="83">
        <v>1178514.0</v>
      </c>
      <c r="F1718" s="83"/>
      <c r="G1718" s="114" t="s">
        <v>9430</v>
      </c>
      <c r="H1718" s="91" t="s">
        <v>9431</v>
      </c>
      <c r="I1718" s="187" t="s">
        <v>149</v>
      </c>
      <c r="J1718" s="83" t="s">
        <v>9390</v>
      </c>
      <c r="K1718" s="83" t="s">
        <v>168</v>
      </c>
      <c r="L1718" s="83" t="s">
        <v>169</v>
      </c>
      <c r="M1718" s="82" t="s">
        <v>13732</v>
      </c>
      <c r="N1718" s="82" t="s">
        <v>13733</v>
      </c>
      <c r="O1718" s="82" t="s">
        <v>13734</v>
      </c>
      <c r="P1718" s="82" t="s">
        <v>13735</v>
      </c>
      <c r="Q1718" s="82" t="s">
        <v>13736</v>
      </c>
      <c r="R1718" s="82" t="s">
        <v>13737</v>
      </c>
      <c r="S1718" s="82" t="s">
        <v>13738</v>
      </c>
      <c r="T1718" s="138">
        <v>3.0</v>
      </c>
      <c r="U1718" s="323">
        <v>3.0</v>
      </c>
      <c r="V1718" s="106">
        <v>0.0</v>
      </c>
      <c r="W1718" s="107">
        <v>0.0</v>
      </c>
      <c r="X1718" s="107">
        <v>0.0</v>
      </c>
      <c r="Y1718" s="107">
        <v>0.0</v>
      </c>
      <c r="Z1718" s="80">
        <v>0.0</v>
      </c>
      <c r="AA1718" s="140">
        <v>0.0</v>
      </c>
      <c r="AB1718" s="109">
        <v>0.0</v>
      </c>
      <c r="AC1718" s="109">
        <v>0.0</v>
      </c>
      <c r="AD1718" s="141">
        <v>0.0</v>
      </c>
      <c r="AE1718" s="80">
        <v>0.0</v>
      </c>
      <c r="AF1718" s="140">
        <v>0.0</v>
      </c>
      <c r="AG1718" s="109">
        <v>0.0</v>
      </c>
      <c r="AH1718" s="109">
        <v>9.0</v>
      </c>
      <c r="AI1718" s="141">
        <v>0.0</v>
      </c>
      <c r="AJ1718" s="80">
        <v>9.0</v>
      </c>
      <c r="AK1718" s="140">
        <v>0.0</v>
      </c>
      <c r="AL1718" s="109">
        <v>0.0</v>
      </c>
      <c r="AM1718" s="141">
        <v>0.0</v>
      </c>
      <c r="AN1718" s="80">
        <v>0.0</v>
      </c>
      <c r="AO1718" s="140">
        <v>0.0</v>
      </c>
      <c r="AP1718" s="109">
        <v>0.0</v>
      </c>
      <c r="AQ1718" s="109">
        <v>23.0</v>
      </c>
      <c r="AR1718" s="80">
        <v>23.0</v>
      </c>
      <c r="AS1718" s="110">
        <v>0.0</v>
      </c>
      <c r="AT1718" s="110">
        <v>0.0</v>
      </c>
      <c r="AU1718" s="110">
        <v>0.0</v>
      </c>
      <c r="AV1718" s="142">
        <v>0.0</v>
      </c>
      <c r="AW1718" s="80">
        <v>0.0</v>
      </c>
      <c r="AX1718" s="113">
        <v>32.0</v>
      </c>
      <c r="AY1718" s="117">
        <v>0.0</v>
      </c>
      <c r="AZ1718" s="328">
        <v>32.0</v>
      </c>
      <c r="BA1718" s="315">
        <v>0.0</v>
      </c>
      <c r="BB1718" s="316">
        <v>32.0</v>
      </c>
      <c r="BC1718" s="132" t="s">
        <v>373</v>
      </c>
      <c r="BD1718" s="132" t="s">
        <v>178</v>
      </c>
      <c r="BE1718" s="132" t="s">
        <v>178</v>
      </c>
      <c r="BF1718" s="123"/>
      <c r="BG1718" s="83">
        <v>1178514.0</v>
      </c>
      <c r="BH1718" s="112">
        <v>3.0</v>
      </c>
      <c r="BI1718" s="98" t="s">
        <v>155</v>
      </c>
      <c r="BJ1718" s="98" t="str">
        <f t="shared" si="1"/>
        <v>NÃO</v>
      </c>
      <c r="BK1718" s="98" t="str">
        <f t="shared" si="2"/>
        <v>NÃO</v>
      </c>
    </row>
    <row r="1719" ht="15.75" customHeight="1">
      <c r="A1719" s="111" t="s">
        <v>1842</v>
      </c>
      <c r="B1719" s="83" t="s">
        <v>9417</v>
      </c>
      <c r="C1719" s="83" t="s">
        <v>164</v>
      </c>
      <c r="D1719" s="83">
        <v>1170181.0</v>
      </c>
      <c r="E1719" s="83">
        <v>1178515.0</v>
      </c>
      <c r="F1719" s="83"/>
      <c r="G1719" s="114" t="s">
        <v>9434</v>
      </c>
      <c r="H1719" s="91" t="s">
        <v>9435</v>
      </c>
      <c r="I1719" s="187" t="s">
        <v>9436</v>
      </c>
      <c r="J1719" s="83" t="s">
        <v>209</v>
      </c>
      <c r="K1719" s="83" t="s">
        <v>3467</v>
      </c>
      <c r="L1719" s="83" t="s">
        <v>169</v>
      </c>
      <c r="M1719" s="82" t="s">
        <v>13732</v>
      </c>
      <c r="N1719" s="82" t="s">
        <v>13733</v>
      </c>
      <c r="O1719" s="82" t="s">
        <v>13734</v>
      </c>
      <c r="P1719" s="82" t="s">
        <v>13735</v>
      </c>
      <c r="Q1719" s="82" t="s">
        <v>13736</v>
      </c>
      <c r="R1719" s="82" t="s">
        <v>13737</v>
      </c>
      <c r="S1719" s="82" t="s">
        <v>13738</v>
      </c>
      <c r="T1719" s="138">
        <v>4.0</v>
      </c>
      <c r="U1719" s="323">
        <v>4.0</v>
      </c>
      <c r="V1719" s="106">
        <v>0.0</v>
      </c>
      <c r="W1719" s="107">
        <v>0.0</v>
      </c>
      <c r="X1719" s="107">
        <v>0.0</v>
      </c>
      <c r="Y1719" s="107">
        <v>0.0</v>
      </c>
      <c r="Z1719" s="80">
        <v>0.0</v>
      </c>
      <c r="AA1719" s="140">
        <v>0.0</v>
      </c>
      <c r="AB1719" s="109">
        <v>0.0</v>
      </c>
      <c r="AC1719" s="109">
        <v>0.0</v>
      </c>
      <c r="AD1719" s="141">
        <v>0.0</v>
      </c>
      <c r="AE1719" s="80">
        <v>0.0</v>
      </c>
      <c r="AF1719" s="140">
        <v>85.0</v>
      </c>
      <c r="AG1719" s="109">
        <v>0.0</v>
      </c>
      <c r="AH1719" s="109">
        <v>32.0</v>
      </c>
      <c r="AI1719" s="141">
        <v>0.0</v>
      </c>
      <c r="AJ1719" s="80">
        <v>117.0</v>
      </c>
      <c r="AK1719" s="140">
        <v>0.0</v>
      </c>
      <c r="AL1719" s="109">
        <v>0.0</v>
      </c>
      <c r="AM1719" s="141">
        <v>0.0</v>
      </c>
      <c r="AN1719" s="80">
        <v>0.0</v>
      </c>
      <c r="AO1719" s="140">
        <v>0.0</v>
      </c>
      <c r="AP1719" s="109">
        <v>0.0</v>
      </c>
      <c r="AQ1719" s="109">
        <v>44.0</v>
      </c>
      <c r="AR1719" s="80">
        <v>44.0</v>
      </c>
      <c r="AS1719" s="110">
        <v>0.0</v>
      </c>
      <c r="AT1719" s="110">
        <v>0.0</v>
      </c>
      <c r="AU1719" s="110">
        <v>0.0</v>
      </c>
      <c r="AV1719" s="142">
        <v>0.0</v>
      </c>
      <c r="AW1719" s="80">
        <v>0.0</v>
      </c>
      <c r="AX1719" s="113">
        <v>161.0</v>
      </c>
      <c r="AY1719" s="117">
        <v>85.0</v>
      </c>
      <c r="AZ1719" s="328">
        <v>76.0</v>
      </c>
      <c r="BA1719" s="315">
        <v>0.0</v>
      </c>
      <c r="BB1719" s="316">
        <v>161.0</v>
      </c>
      <c r="BC1719" s="132" t="s">
        <v>373</v>
      </c>
      <c r="BD1719" s="132" t="s">
        <v>178</v>
      </c>
      <c r="BE1719" s="132" t="s">
        <v>178</v>
      </c>
      <c r="BF1719" s="123"/>
      <c r="BG1719" s="83">
        <v>1178515.0</v>
      </c>
      <c r="BH1719" s="112">
        <v>4.0</v>
      </c>
      <c r="BI1719" s="98" t="s">
        <v>155</v>
      </c>
      <c r="BJ1719" s="98" t="str">
        <f t="shared" si="1"/>
        <v>NÃO</v>
      </c>
      <c r="BK1719" s="98" t="str">
        <f t="shared" si="2"/>
        <v>NÃO</v>
      </c>
    </row>
    <row r="1720" ht="15.75" customHeight="1">
      <c r="A1720" s="111" t="s">
        <v>1842</v>
      </c>
      <c r="B1720" s="83" t="s">
        <v>9417</v>
      </c>
      <c r="C1720" s="83" t="s">
        <v>164</v>
      </c>
      <c r="D1720" s="83">
        <v>1170181.0</v>
      </c>
      <c r="E1720" s="83">
        <v>1178516.0</v>
      </c>
      <c r="F1720" s="83"/>
      <c r="G1720" s="114" t="s">
        <v>9437</v>
      </c>
      <c r="H1720" s="91" t="s">
        <v>9438</v>
      </c>
      <c r="I1720" s="187" t="s">
        <v>149</v>
      </c>
      <c r="J1720" s="83" t="s">
        <v>694</v>
      </c>
      <c r="K1720" s="83" t="s">
        <v>151</v>
      </c>
      <c r="L1720" s="83" t="s">
        <v>169</v>
      </c>
      <c r="M1720" s="82" t="s">
        <v>13732</v>
      </c>
      <c r="N1720" s="82" t="s">
        <v>13733</v>
      </c>
      <c r="O1720" s="82" t="s">
        <v>13734</v>
      </c>
      <c r="P1720" s="82" t="s">
        <v>13735</v>
      </c>
      <c r="Q1720" s="82" t="s">
        <v>13736</v>
      </c>
      <c r="R1720" s="82" t="s">
        <v>13737</v>
      </c>
      <c r="S1720" s="82" t="s">
        <v>13738</v>
      </c>
      <c r="T1720" s="138">
        <v>3.0</v>
      </c>
      <c r="U1720" s="323">
        <v>3.0</v>
      </c>
      <c r="V1720" s="106">
        <v>0.0</v>
      </c>
      <c r="W1720" s="107">
        <v>0.0</v>
      </c>
      <c r="X1720" s="107">
        <v>0.0</v>
      </c>
      <c r="Y1720" s="107">
        <v>0.0</v>
      </c>
      <c r="Z1720" s="80">
        <v>0.0</v>
      </c>
      <c r="AA1720" s="140">
        <v>0.0</v>
      </c>
      <c r="AB1720" s="109">
        <v>0.0</v>
      </c>
      <c r="AC1720" s="109">
        <v>0.0</v>
      </c>
      <c r="AD1720" s="141">
        <v>0.0</v>
      </c>
      <c r="AE1720" s="80">
        <v>0.0</v>
      </c>
      <c r="AF1720" s="140">
        <v>0.0</v>
      </c>
      <c r="AG1720" s="109">
        <v>0.0</v>
      </c>
      <c r="AH1720" s="109">
        <v>15.0</v>
      </c>
      <c r="AI1720" s="141">
        <v>0.0</v>
      </c>
      <c r="AJ1720" s="80">
        <v>15.0</v>
      </c>
      <c r="AK1720" s="140">
        <v>0.0</v>
      </c>
      <c r="AL1720" s="109">
        <v>0.0</v>
      </c>
      <c r="AM1720" s="141">
        <v>0.0</v>
      </c>
      <c r="AN1720" s="80">
        <v>0.0</v>
      </c>
      <c r="AO1720" s="140">
        <v>0.0</v>
      </c>
      <c r="AP1720" s="109">
        <v>0.0</v>
      </c>
      <c r="AQ1720" s="109">
        <v>31.0</v>
      </c>
      <c r="AR1720" s="80">
        <v>31.0</v>
      </c>
      <c r="AS1720" s="110">
        <v>0.0</v>
      </c>
      <c r="AT1720" s="110">
        <v>0.0</v>
      </c>
      <c r="AU1720" s="110">
        <v>0.0</v>
      </c>
      <c r="AV1720" s="142">
        <v>0.0</v>
      </c>
      <c r="AW1720" s="80">
        <v>0.0</v>
      </c>
      <c r="AX1720" s="113">
        <v>46.0</v>
      </c>
      <c r="AY1720" s="117">
        <v>0.0</v>
      </c>
      <c r="AZ1720" s="328">
        <v>46.0</v>
      </c>
      <c r="BA1720" s="315">
        <v>0.0</v>
      </c>
      <c r="BB1720" s="316">
        <v>46.0</v>
      </c>
      <c r="BC1720" s="132" t="s">
        <v>631</v>
      </c>
      <c r="BD1720" s="132" t="s">
        <v>178</v>
      </c>
      <c r="BE1720" s="132" t="s">
        <v>178</v>
      </c>
      <c r="BF1720" s="123"/>
      <c r="BG1720" s="83">
        <v>1178516.0</v>
      </c>
      <c r="BH1720" s="112">
        <v>3.0</v>
      </c>
      <c r="BI1720" s="98" t="s">
        <v>155</v>
      </c>
      <c r="BJ1720" s="98" t="str">
        <f t="shared" si="1"/>
        <v>NÃO</v>
      </c>
      <c r="BK1720" s="98" t="str">
        <f t="shared" si="2"/>
        <v>NÃO</v>
      </c>
    </row>
    <row r="1721" ht="15.75" customHeight="1">
      <c r="A1721" s="111" t="s">
        <v>1842</v>
      </c>
      <c r="B1721" s="83" t="s">
        <v>9449</v>
      </c>
      <c r="C1721" s="83" t="s">
        <v>68</v>
      </c>
      <c r="D1721" s="83">
        <v>1146493.0</v>
      </c>
      <c r="E1721" s="83"/>
      <c r="F1721" s="83">
        <v>2.9321298E7</v>
      </c>
      <c r="G1721" s="114" t="s">
        <v>9450</v>
      </c>
      <c r="H1721" s="114" t="s">
        <v>9451</v>
      </c>
      <c r="I1721" s="187" t="s">
        <v>149</v>
      </c>
      <c r="J1721" s="83" t="s">
        <v>150</v>
      </c>
      <c r="K1721" s="83" t="s">
        <v>3467</v>
      </c>
      <c r="L1721" s="83" t="s">
        <v>169</v>
      </c>
      <c r="M1721" s="82" t="s">
        <v>13742</v>
      </c>
      <c r="N1721" s="82" t="s">
        <v>13743</v>
      </c>
      <c r="O1721" s="82"/>
      <c r="P1721" s="82"/>
      <c r="Q1721" s="82"/>
      <c r="R1721" s="82"/>
      <c r="S1721" s="82" t="s">
        <v>13744</v>
      </c>
      <c r="T1721" s="138">
        <v>7.0</v>
      </c>
      <c r="U1721" s="323" t="s">
        <v>13745</v>
      </c>
      <c r="V1721" s="106">
        <v>0.0</v>
      </c>
      <c r="W1721" s="107">
        <v>0.0</v>
      </c>
      <c r="X1721" s="107">
        <v>0.0</v>
      </c>
      <c r="Y1721" s="107">
        <v>0.0</v>
      </c>
      <c r="Z1721" s="80">
        <v>0.0</v>
      </c>
      <c r="AA1721" s="140">
        <v>0.0</v>
      </c>
      <c r="AB1721" s="109">
        <v>0.0</v>
      </c>
      <c r="AC1721" s="109">
        <v>0.0</v>
      </c>
      <c r="AD1721" s="141">
        <v>0.0</v>
      </c>
      <c r="AE1721" s="80">
        <v>0.0</v>
      </c>
      <c r="AF1721" s="140">
        <v>59.0</v>
      </c>
      <c r="AG1721" s="109">
        <v>0.0</v>
      </c>
      <c r="AH1721" s="109">
        <v>24.0</v>
      </c>
      <c r="AI1721" s="141">
        <v>0.0</v>
      </c>
      <c r="AJ1721" s="80">
        <v>83.0</v>
      </c>
      <c r="AK1721" s="140">
        <v>0.0</v>
      </c>
      <c r="AL1721" s="109">
        <v>0.0</v>
      </c>
      <c r="AM1721" s="141">
        <v>0.0</v>
      </c>
      <c r="AN1721" s="80">
        <v>0.0</v>
      </c>
      <c r="AO1721" s="140">
        <v>0.0</v>
      </c>
      <c r="AP1721" s="109">
        <v>0.0</v>
      </c>
      <c r="AQ1721" s="109">
        <v>37.0</v>
      </c>
      <c r="AR1721" s="80">
        <v>37.0</v>
      </c>
      <c r="AS1721" s="110">
        <v>66.0</v>
      </c>
      <c r="AT1721" s="110">
        <v>0.0</v>
      </c>
      <c r="AU1721" s="110">
        <v>0.0</v>
      </c>
      <c r="AV1721" s="142">
        <v>0.0</v>
      </c>
      <c r="AW1721" s="80">
        <v>66.0</v>
      </c>
      <c r="AX1721" s="113">
        <v>186.0</v>
      </c>
      <c r="AY1721" s="117">
        <v>125.0</v>
      </c>
      <c r="AZ1721" s="328">
        <v>61.0</v>
      </c>
      <c r="BA1721" s="315">
        <v>0.0</v>
      </c>
      <c r="BB1721" s="316">
        <v>186.0</v>
      </c>
      <c r="BC1721" s="132" t="s">
        <v>178</v>
      </c>
      <c r="BD1721" s="132" t="s">
        <v>178</v>
      </c>
      <c r="BE1721" s="132" t="s">
        <v>178</v>
      </c>
      <c r="BF1721" s="123"/>
      <c r="BG1721" s="83">
        <v>1146493.0</v>
      </c>
      <c r="BH1721" s="112">
        <v>6.0</v>
      </c>
      <c r="BI1721" s="98" t="s">
        <v>155</v>
      </c>
      <c r="BJ1721" s="98" t="str">
        <f t="shared" si="1"/>
        <v>NÃO</v>
      </c>
      <c r="BK1721" s="98" t="str">
        <f t="shared" si="2"/>
        <v>PROFISSIONAL</v>
      </c>
    </row>
    <row r="1722" ht="15.75" customHeight="1">
      <c r="A1722" s="111" t="s">
        <v>1842</v>
      </c>
      <c r="B1722" s="83" t="s">
        <v>9449</v>
      </c>
      <c r="C1722" s="83" t="s">
        <v>164</v>
      </c>
      <c r="D1722" s="83">
        <v>1146493.0</v>
      </c>
      <c r="E1722" s="136">
        <v>1178517.0</v>
      </c>
      <c r="F1722" s="136"/>
      <c r="G1722" s="187" t="s">
        <v>9461</v>
      </c>
      <c r="H1722" s="91" t="s">
        <v>9462</v>
      </c>
      <c r="I1722" s="114" t="s">
        <v>149</v>
      </c>
      <c r="J1722" s="83" t="s">
        <v>244</v>
      </c>
      <c r="K1722" s="83" t="s">
        <v>168</v>
      </c>
      <c r="L1722" s="83" t="s">
        <v>169</v>
      </c>
      <c r="M1722" s="82" t="s">
        <v>13742</v>
      </c>
      <c r="N1722" s="82" t="s">
        <v>13743</v>
      </c>
      <c r="O1722" s="82"/>
      <c r="P1722" s="82"/>
      <c r="Q1722" s="82"/>
      <c r="R1722" s="82"/>
      <c r="S1722" s="82" t="s">
        <v>13744</v>
      </c>
      <c r="T1722" s="138">
        <v>3.0</v>
      </c>
      <c r="U1722" s="389">
        <v>3.0</v>
      </c>
      <c r="V1722" s="106">
        <v>0.0</v>
      </c>
      <c r="W1722" s="107">
        <v>0.0</v>
      </c>
      <c r="X1722" s="107">
        <v>0.0</v>
      </c>
      <c r="Y1722" s="107">
        <v>0.0</v>
      </c>
      <c r="Z1722" s="80">
        <v>0.0</v>
      </c>
      <c r="AA1722" s="140">
        <v>0.0</v>
      </c>
      <c r="AB1722" s="109">
        <v>0.0</v>
      </c>
      <c r="AC1722" s="109">
        <v>0.0</v>
      </c>
      <c r="AD1722" s="141">
        <v>0.0</v>
      </c>
      <c r="AE1722" s="80">
        <v>0.0</v>
      </c>
      <c r="AF1722" s="140">
        <v>0.0</v>
      </c>
      <c r="AG1722" s="109">
        <v>0.0</v>
      </c>
      <c r="AH1722" s="109">
        <v>5.0</v>
      </c>
      <c r="AI1722" s="141">
        <v>0.0</v>
      </c>
      <c r="AJ1722" s="80">
        <v>5.0</v>
      </c>
      <c r="AK1722" s="140">
        <v>0.0</v>
      </c>
      <c r="AL1722" s="109">
        <v>0.0</v>
      </c>
      <c r="AM1722" s="141">
        <v>0.0</v>
      </c>
      <c r="AN1722" s="80">
        <v>0.0</v>
      </c>
      <c r="AO1722" s="140">
        <v>0.0</v>
      </c>
      <c r="AP1722" s="109">
        <v>0.0</v>
      </c>
      <c r="AQ1722" s="109">
        <v>26.0</v>
      </c>
      <c r="AR1722" s="80">
        <v>26.0</v>
      </c>
      <c r="AS1722" s="110">
        <v>0.0</v>
      </c>
      <c r="AT1722" s="110">
        <v>0.0</v>
      </c>
      <c r="AU1722" s="110">
        <v>0.0</v>
      </c>
      <c r="AV1722" s="142">
        <v>0.0</v>
      </c>
      <c r="AW1722" s="80">
        <v>0.0</v>
      </c>
      <c r="AX1722" s="113">
        <v>31.0</v>
      </c>
      <c r="AY1722" s="117">
        <v>0.0</v>
      </c>
      <c r="AZ1722" s="328">
        <v>31.0</v>
      </c>
      <c r="BA1722" s="315">
        <v>0.0</v>
      </c>
      <c r="BB1722" s="316">
        <v>31.0</v>
      </c>
      <c r="BC1722" s="132" t="s">
        <v>373</v>
      </c>
      <c r="BD1722" s="132" t="s">
        <v>178</v>
      </c>
      <c r="BE1722" s="132" t="s">
        <v>178</v>
      </c>
      <c r="BF1722" s="156"/>
      <c r="BG1722" s="83">
        <v>1178517.0</v>
      </c>
      <c r="BH1722" s="112">
        <v>3.0</v>
      </c>
      <c r="BI1722" s="98" t="s">
        <v>155</v>
      </c>
      <c r="BJ1722" s="98" t="str">
        <f t="shared" si="1"/>
        <v>NÃO</v>
      </c>
      <c r="BK1722" s="98" t="str">
        <f t="shared" si="2"/>
        <v>NÃO</v>
      </c>
    </row>
    <row r="1723" ht="15.75" customHeight="1">
      <c r="A1723" s="111" t="s">
        <v>1842</v>
      </c>
      <c r="B1723" s="83" t="s">
        <v>9464</v>
      </c>
      <c r="C1723" s="83" t="s">
        <v>68</v>
      </c>
      <c r="D1723" s="83">
        <v>1146523.0</v>
      </c>
      <c r="E1723" s="83"/>
      <c r="F1723" s="83">
        <v>2.9309638E7</v>
      </c>
      <c r="G1723" s="185" t="s">
        <v>9465</v>
      </c>
      <c r="H1723" s="91" t="s">
        <v>9466</v>
      </c>
      <c r="I1723" s="114" t="s">
        <v>149</v>
      </c>
      <c r="J1723" s="83" t="s">
        <v>150</v>
      </c>
      <c r="K1723" s="83" t="s">
        <v>151</v>
      </c>
      <c r="L1723" s="83" t="s">
        <v>152</v>
      </c>
      <c r="M1723" s="82" t="s">
        <v>13746</v>
      </c>
      <c r="N1723" s="82" t="s">
        <v>13747</v>
      </c>
      <c r="O1723" s="82"/>
      <c r="P1723" s="82"/>
      <c r="Q1723" s="82"/>
      <c r="R1723" s="82"/>
      <c r="S1723" s="82" t="s">
        <v>13748</v>
      </c>
      <c r="T1723" s="138">
        <v>6.0</v>
      </c>
      <c r="U1723" s="331" t="s">
        <v>13749</v>
      </c>
      <c r="V1723" s="106">
        <v>0.0</v>
      </c>
      <c r="W1723" s="107">
        <v>0.0</v>
      </c>
      <c r="X1723" s="107">
        <v>0.0</v>
      </c>
      <c r="Y1723" s="107">
        <v>0.0</v>
      </c>
      <c r="Z1723" s="80">
        <v>0.0</v>
      </c>
      <c r="AA1723" s="140">
        <v>0.0</v>
      </c>
      <c r="AB1723" s="109">
        <v>0.0</v>
      </c>
      <c r="AC1723" s="109">
        <v>0.0</v>
      </c>
      <c r="AD1723" s="141">
        <v>0.0</v>
      </c>
      <c r="AE1723" s="80">
        <v>0.0</v>
      </c>
      <c r="AF1723" s="140">
        <v>0.0</v>
      </c>
      <c r="AG1723" s="109">
        <v>0.0</v>
      </c>
      <c r="AH1723" s="109">
        <v>15.0</v>
      </c>
      <c r="AI1723" s="141">
        <v>91.0</v>
      </c>
      <c r="AJ1723" s="80">
        <v>106.0</v>
      </c>
      <c r="AK1723" s="140">
        <v>0.0</v>
      </c>
      <c r="AL1723" s="109">
        <v>0.0</v>
      </c>
      <c r="AM1723" s="141">
        <v>0.0</v>
      </c>
      <c r="AN1723" s="80">
        <v>0.0</v>
      </c>
      <c r="AO1723" s="140">
        <v>0.0</v>
      </c>
      <c r="AP1723" s="109">
        <v>0.0</v>
      </c>
      <c r="AQ1723" s="109">
        <v>65.0</v>
      </c>
      <c r="AR1723" s="80">
        <v>65.0</v>
      </c>
      <c r="AS1723" s="110">
        <v>0.0</v>
      </c>
      <c r="AT1723" s="110">
        <v>0.0</v>
      </c>
      <c r="AU1723" s="110">
        <v>0.0</v>
      </c>
      <c r="AV1723" s="142">
        <v>0.0</v>
      </c>
      <c r="AW1723" s="80">
        <v>0.0</v>
      </c>
      <c r="AX1723" s="113">
        <v>171.0</v>
      </c>
      <c r="AY1723" s="117">
        <v>91.0</v>
      </c>
      <c r="AZ1723" s="328">
        <v>80.0</v>
      </c>
      <c r="BA1723" s="315">
        <v>0.0</v>
      </c>
      <c r="BB1723" s="316">
        <v>171.0</v>
      </c>
      <c r="BC1723" s="132" t="s">
        <v>178</v>
      </c>
      <c r="BD1723" s="132" t="s">
        <v>178</v>
      </c>
      <c r="BE1723" s="132" t="s">
        <v>178</v>
      </c>
      <c r="BF1723" s="123"/>
      <c r="BG1723" s="83">
        <v>1146523.0</v>
      </c>
      <c r="BH1723" s="98">
        <v>8.0</v>
      </c>
      <c r="BI1723" s="98" t="s">
        <v>155</v>
      </c>
      <c r="BJ1723" s="98" t="str">
        <f t="shared" si="1"/>
        <v>INTEGRAL</v>
      </c>
      <c r="BK1723" s="98" t="str">
        <f t="shared" si="2"/>
        <v>NÃO</v>
      </c>
    </row>
    <row r="1724" ht="15.75" customHeight="1">
      <c r="A1724" s="111" t="s">
        <v>1842</v>
      </c>
      <c r="B1724" s="83" t="s">
        <v>9464</v>
      </c>
      <c r="C1724" s="83" t="s">
        <v>164</v>
      </c>
      <c r="D1724" s="83">
        <v>1146523.0</v>
      </c>
      <c r="E1724" s="83">
        <v>1178528.0</v>
      </c>
      <c r="F1724" s="83"/>
      <c r="G1724" s="185" t="s">
        <v>9470</v>
      </c>
      <c r="H1724" s="91" t="s">
        <v>9471</v>
      </c>
      <c r="I1724" s="114" t="s">
        <v>149</v>
      </c>
      <c r="J1724" s="83" t="s">
        <v>183</v>
      </c>
      <c r="K1724" s="83" t="s">
        <v>168</v>
      </c>
      <c r="L1724" s="82" t="s">
        <v>169</v>
      </c>
      <c r="M1724" s="82" t="s">
        <v>13746</v>
      </c>
      <c r="N1724" s="82" t="s">
        <v>13747</v>
      </c>
      <c r="O1724" s="82"/>
      <c r="P1724" s="82"/>
      <c r="Q1724" s="82"/>
      <c r="R1724" s="82"/>
      <c r="S1724" s="82" t="s">
        <v>13748</v>
      </c>
      <c r="T1724" s="138">
        <v>2.0</v>
      </c>
      <c r="U1724" s="323">
        <v>2.0</v>
      </c>
      <c r="V1724" s="106">
        <v>0.0</v>
      </c>
      <c r="W1724" s="107">
        <v>0.0</v>
      </c>
      <c r="X1724" s="107">
        <v>0.0</v>
      </c>
      <c r="Y1724" s="107">
        <v>0.0</v>
      </c>
      <c r="Z1724" s="80">
        <v>0.0</v>
      </c>
      <c r="AA1724" s="140">
        <v>0.0</v>
      </c>
      <c r="AB1724" s="109">
        <v>0.0</v>
      </c>
      <c r="AC1724" s="109">
        <v>0.0</v>
      </c>
      <c r="AD1724" s="141">
        <v>0.0</v>
      </c>
      <c r="AE1724" s="80">
        <v>0.0</v>
      </c>
      <c r="AF1724" s="140">
        <v>0.0</v>
      </c>
      <c r="AG1724" s="109">
        <v>5.0</v>
      </c>
      <c r="AH1724" s="109">
        <v>18.0</v>
      </c>
      <c r="AI1724" s="141">
        <v>0.0</v>
      </c>
      <c r="AJ1724" s="80">
        <v>23.0</v>
      </c>
      <c r="AK1724" s="140">
        <v>0.0</v>
      </c>
      <c r="AL1724" s="109">
        <v>0.0</v>
      </c>
      <c r="AM1724" s="141">
        <v>0.0</v>
      </c>
      <c r="AN1724" s="80">
        <v>0.0</v>
      </c>
      <c r="AO1724" s="140">
        <v>0.0</v>
      </c>
      <c r="AP1724" s="109">
        <v>0.0</v>
      </c>
      <c r="AQ1724" s="109">
        <v>0.0</v>
      </c>
      <c r="AR1724" s="80">
        <v>0.0</v>
      </c>
      <c r="AS1724" s="110">
        <v>0.0</v>
      </c>
      <c r="AT1724" s="110">
        <v>0.0</v>
      </c>
      <c r="AU1724" s="110">
        <v>0.0</v>
      </c>
      <c r="AV1724" s="142">
        <v>0.0</v>
      </c>
      <c r="AW1724" s="80">
        <v>0.0</v>
      </c>
      <c r="AX1724" s="113">
        <v>23.0</v>
      </c>
      <c r="AY1724" s="117">
        <v>5.0</v>
      </c>
      <c r="AZ1724" s="328">
        <v>18.0</v>
      </c>
      <c r="BA1724" s="315">
        <v>0.0</v>
      </c>
      <c r="BB1724" s="316">
        <v>23.0</v>
      </c>
      <c r="BC1724" s="132" t="s">
        <v>373</v>
      </c>
      <c r="BD1724" s="132" t="s">
        <v>178</v>
      </c>
      <c r="BE1724" s="132" t="s">
        <v>178</v>
      </c>
      <c r="BF1724" s="123"/>
      <c r="BG1724" s="83">
        <v>1178528.0</v>
      </c>
      <c r="BH1724" s="112">
        <v>2.0</v>
      </c>
      <c r="BI1724" s="98" t="s">
        <v>155</v>
      </c>
      <c r="BJ1724" s="98" t="str">
        <f t="shared" si="1"/>
        <v>NÃO</v>
      </c>
      <c r="BK1724" s="98" t="str">
        <f t="shared" si="2"/>
        <v>NÃO</v>
      </c>
    </row>
    <row r="1725" ht="15.75" customHeight="1">
      <c r="A1725" s="111" t="s">
        <v>1842</v>
      </c>
      <c r="B1725" s="83" t="s">
        <v>2383</v>
      </c>
      <c r="C1725" s="83" t="s">
        <v>68</v>
      </c>
      <c r="D1725" s="83">
        <v>1141149.0</v>
      </c>
      <c r="E1725" s="83"/>
      <c r="F1725" s="83">
        <v>2.9326028E7</v>
      </c>
      <c r="G1725" s="185" t="s">
        <v>9476</v>
      </c>
      <c r="H1725" s="91" t="s">
        <v>9477</v>
      </c>
      <c r="I1725" s="114" t="s">
        <v>149</v>
      </c>
      <c r="J1725" s="83" t="s">
        <v>150</v>
      </c>
      <c r="K1725" s="83" t="s">
        <v>3467</v>
      </c>
      <c r="L1725" s="82" t="s">
        <v>230</v>
      </c>
      <c r="M1725" s="82" t="s">
        <v>13750</v>
      </c>
      <c r="N1725" s="82" t="s">
        <v>13751</v>
      </c>
      <c r="O1725" s="82" t="s">
        <v>13752</v>
      </c>
      <c r="P1725" s="82" t="s">
        <v>13753</v>
      </c>
      <c r="Q1725" s="82"/>
      <c r="R1725" s="82"/>
      <c r="S1725" s="82" t="s">
        <v>13754</v>
      </c>
      <c r="T1725" s="138">
        <v>25.0</v>
      </c>
      <c r="U1725" s="331" t="s">
        <v>13755</v>
      </c>
      <c r="V1725" s="106">
        <v>0.0</v>
      </c>
      <c r="W1725" s="107">
        <v>0.0</v>
      </c>
      <c r="X1725" s="107">
        <v>0.0</v>
      </c>
      <c r="Y1725" s="107">
        <v>0.0</v>
      </c>
      <c r="Z1725" s="80">
        <v>0.0</v>
      </c>
      <c r="AA1725" s="140">
        <v>0.0</v>
      </c>
      <c r="AB1725" s="109">
        <v>0.0</v>
      </c>
      <c r="AC1725" s="109">
        <v>0.0</v>
      </c>
      <c r="AD1725" s="141">
        <v>0.0</v>
      </c>
      <c r="AE1725" s="80">
        <v>0.0</v>
      </c>
      <c r="AF1725" s="140">
        <v>0.0</v>
      </c>
      <c r="AG1725" s="109">
        <v>0.0</v>
      </c>
      <c r="AH1725" s="109">
        <v>120.0</v>
      </c>
      <c r="AI1725" s="141">
        <v>570.0</v>
      </c>
      <c r="AJ1725" s="80">
        <v>690.0</v>
      </c>
      <c r="AK1725" s="140">
        <v>0.0</v>
      </c>
      <c r="AL1725" s="109">
        <v>0.0</v>
      </c>
      <c r="AM1725" s="141">
        <v>0.0</v>
      </c>
      <c r="AN1725" s="80">
        <v>0.0</v>
      </c>
      <c r="AO1725" s="140">
        <v>0.0</v>
      </c>
      <c r="AP1725" s="109">
        <v>0.0</v>
      </c>
      <c r="AQ1725" s="109">
        <v>301.0</v>
      </c>
      <c r="AR1725" s="80">
        <v>301.0</v>
      </c>
      <c r="AS1725" s="110">
        <v>0.0</v>
      </c>
      <c r="AT1725" s="110">
        <v>0.0</v>
      </c>
      <c r="AU1725" s="110">
        <v>11.0</v>
      </c>
      <c r="AV1725" s="142">
        <v>0.0</v>
      </c>
      <c r="AW1725" s="80">
        <v>11.0</v>
      </c>
      <c r="AX1725" s="113">
        <v>1002.0</v>
      </c>
      <c r="AY1725" s="117">
        <v>570.0</v>
      </c>
      <c r="AZ1725" s="328">
        <v>432.0</v>
      </c>
      <c r="BA1725" s="315">
        <v>0.0</v>
      </c>
      <c r="BB1725" s="316">
        <v>1002.0</v>
      </c>
      <c r="BC1725" s="132" t="s">
        <v>178</v>
      </c>
      <c r="BD1725" s="132" t="s">
        <v>178</v>
      </c>
      <c r="BE1725" s="132" t="s">
        <v>178</v>
      </c>
      <c r="BF1725" s="123"/>
      <c r="BG1725" s="83">
        <v>1141149.0</v>
      </c>
      <c r="BH1725" s="112">
        <v>20.0</v>
      </c>
      <c r="BI1725" s="98" t="s">
        <v>155</v>
      </c>
      <c r="BJ1725" s="98" t="str">
        <f t="shared" si="1"/>
        <v>INTEGRAL</v>
      </c>
      <c r="BK1725" s="98" t="str">
        <f t="shared" si="2"/>
        <v>PROFISSIONAL</v>
      </c>
    </row>
    <row r="1726" ht="15.75" customHeight="1">
      <c r="A1726" s="111" t="s">
        <v>1842</v>
      </c>
      <c r="B1726" s="136" t="s">
        <v>2383</v>
      </c>
      <c r="C1726" s="83" t="s">
        <v>68</v>
      </c>
      <c r="D1726" s="83">
        <v>1178042.0</v>
      </c>
      <c r="E1726" s="136"/>
      <c r="F1726" s="136">
        <v>2.9428254E7</v>
      </c>
      <c r="G1726" s="187" t="s">
        <v>9503</v>
      </c>
      <c r="H1726" s="91" t="s">
        <v>9504</v>
      </c>
      <c r="I1726" s="91" t="s">
        <v>149</v>
      </c>
      <c r="J1726" s="83" t="s">
        <v>209</v>
      </c>
      <c r="K1726" s="83" t="s">
        <v>168</v>
      </c>
      <c r="L1726" s="82" t="s">
        <v>169</v>
      </c>
      <c r="M1726" s="82" t="s">
        <v>13756</v>
      </c>
      <c r="N1726" s="82" t="s">
        <v>13757</v>
      </c>
      <c r="O1726" s="82"/>
      <c r="P1726" s="82"/>
      <c r="Q1726" s="82"/>
      <c r="R1726" s="82"/>
      <c r="S1726" s="82" t="s">
        <v>13758</v>
      </c>
      <c r="T1726" s="138">
        <v>11.0</v>
      </c>
      <c r="U1726" s="514" t="s">
        <v>8320</v>
      </c>
      <c r="V1726" s="106">
        <v>0.0</v>
      </c>
      <c r="W1726" s="107">
        <v>0.0</v>
      </c>
      <c r="X1726" s="107">
        <v>0.0</v>
      </c>
      <c r="Y1726" s="107">
        <v>0.0</v>
      </c>
      <c r="Z1726" s="80">
        <v>0.0</v>
      </c>
      <c r="AA1726" s="140">
        <v>0.0</v>
      </c>
      <c r="AB1726" s="109">
        <v>0.0</v>
      </c>
      <c r="AC1726" s="109">
        <v>0.0</v>
      </c>
      <c r="AD1726" s="141">
        <v>0.0</v>
      </c>
      <c r="AE1726" s="80">
        <v>0.0</v>
      </c>
      <c r="AF1726" s="140">
        <v>0.0</v>
      </c>
      <c r="AG1726" s="109">
        <v>173.0</v>
      </c>
      <c r="AH1726" s="109">
        <v>29.0</v>
      </c>
      <c r="AI1726" s="141">
        <v>0.0</v>
      </c>
      <c r="AJ1726" s="80">
        <v>202.0</v>
      </c>
      <c r="AK1726" s="140">
        <v>0.0</v>
      </c>
      <c r="AL1726" s="109">
        <v>0.0</v>
      </c>
      <c r="AM1726" s="141">
        <v>0.0</v>
      </c>
      <c r="AN1726" s="80">
        <v>0.0</v>
      </c>
      <c r="AO1726" s="140">
        <v>0.0</v>
      </c>
      <c r="AP1726" s="109">
        <v>0.0</v>
      </c>
      <c r="AQ1726" s="109">
        <v>85.0</v>
      </c>
      <c r="AR1726" s="80">
        <v>85.0</v>
      </c>
      <c r="AS1726" s="110">
        <v>0.0</v>
      </c>
      <c r="AT1726" s="110">
        <v>0.0</v>
      </c>
      <c r="AU1726" s="110">
        <v>0.0</v>
      </c>
      <c r="AV1726" s="142">
        <v>0.0</v>
      </c>
      <c r="AW1726" s="80">
        <v>0.0</v>
      </c>
      <c r="AX1726" s="113">
        <v>287.0</v>
      </c>
      <c r="AY1726" s="117">
        <v>173.0</v>
      </c>
      <c r="AZ1726" s="328">
        <v>114.0</v>
      </c>
      <c r="BA1726" s="315">
        <v>0.0</v>
      </c>
      <c r="BB1726" s="316">
        <v>287.0</v>
      </c>
      <c r="BC1726" s="132" t="s">
        <v>373</v>
      </c>
      <c r="BD1726" s="132" t="s">
        <v>178</v>
      </c>
      <c r="BE1726" s="132" t="s">
        <v>178</v>
      </c>
      <c r="BF1726" s="156"/>
      <c r="BG1726" s="83">
        <v>1178042.0</v>
      </c>
      <c r="BH1726" s="98">
        <v>13.0</v>
      </c>
      <c r="BI1726" s="98" t="s">
        <v>155</v>
      </c>
      <c r="BJ1726" s="98" t="str">
        <f t="shared" si="1"/>
        <v>NÃO</v>
      </c>
      <c r="BK1726" s="98" t="str">
        <f t="shared" si="2"/>
        <v>NÃO</v>
      </c>
    </row>
    <row r="1727" ht="15.75" customHeight="1">
      <c r="A1727" s="111" t="s">
        <v>1842</v>
      </c>
      <c r="B1727" s="83" t="s">
        <v>2383</v>
      </c>
      <c r="C1727" s="83" t="s">
        <v>68</v>
      </c>
      <c r="D1727" s="83">
        <v>1178043.0</v>
      </c>
      <c r="E1727" s="83"/>
      <c r="F1727" s="83">
        <v>2.943145E7</v>
      </c>
      <c r="G1727" s="114" t="s">
        <v>9510</v>
      </c>
      <c r="H1727" s="91" t="s">
        <v>9511</v>
      </c>
      <c r="I1727" s="114" t="s">
        <v>149</v>
      </c>
      <c r="J1727" s="83" t="s">
        <v>568</v>
      </c>
      <c r="K1727" s="83" t="s">
        <v>3467</v>
      </c>
      <c r="L1727" s="82" t="s">
        <v>230</v>
      </c>
      <c r="M1727" s="82" t="s">
        <v>13759</v>
      </c>
      <c r="N1727" s="82" t="s">
        <v>13760</v>
      </c>
      <c r="O1727" s="82" t="s">
        <v>13761</v>
      </c>
      <c r="P1727" s="82" t="s">
        <v>13762</v>
      </c>
      <c r="Q1727" s="82" t="s">
        <v>13763</v>
      </c>
      <c r="R1727" s="82" t="s">
        <v>13764</v>
      </c>
      <c r="S1727" s="82" t="s">
        <v>13765</v>
      </c>
      <c r="T1727" s="138">
        <v>7.0</v>
      </c>
      <c r="U1727" s="352" t="s">
        <v>13766</v>
      </c>
      <c r="V1727" s="106">
        <v>0.0</v>
      </c>
      <c r="W1727" s="107">
        <v>0.0</v>
      </c>
      <c r="X1727" s="107">
        <v>0.0</v>
      </c>
      <c r="Y1727" s="107">
        <v>0.0</v>
      </c>
      <c r="Z1727" s="80">
        <v>0.0</v>
      </c>
      <c r="AA1727" s="140">
        <v>0.0</v>
      </c>
      <c r="AB1727" s="109">
        <v>0.0</v>
      </c>
      <c r="AC1727" s="109">
        <v>0.0</v>
      </c>
      <c r="AD1727" s="141">
        <v>0.0</v>
      </c>
      <c r="AE1727" s="80">
        <v>0.0</v>
      </c>
      <c r="AF1727" s="140">
        <v>228.0</v>
      </c>
      <c r="AG1727" s="109">
        <v>169.0</v>
      </c>
      <c r="AH1727" s="109">
        <v>40.0</v>
      </c>
      <c r="AI1727" s="141">
        <v>0.0</v>
      </c>
      <c r="AJ1727" s="80">
        <v>437.0</v>
      </c>
      <c r="AK1727" s="140">
        <v>0.0</v>
      </c>
      <c r="AL1727" s="109">
        <v>0.0</v>
      </c>
      <c r="AM1727" s="141">
        <v>0.0</v>
      </c>
      <c r="AN1727" s="80">
        <v>0.0</v>
      </c>
      <c r="AO1727" s="140">
        <v>0.0</v>
      </c>
      <c r="AP1727" s="109">
        <v>0.0</v>
      </c>
      <c r="AQ1727" s="109">
        <v>112.0</v>
      </c>
      <c r="AR1727" s="80">
        <v>112.0</v>
      </c>
      <c r="AS1727" s="110">
        <v>0.0</v>
      </c>
      <c r="AT1727" s="110">
        <v>0.0</v>
      </c>
      <c r="AU1727" s="110">
        <v>6.0</v>
      </c>
      <c r="AV1727" s="142">
        <v>0.0</v>
      </c>
      <c r="AW1727" s="80">
        <v>6.0</v>
      </c>
      <c r="AX1727" s="113">
        <v>555.0</v>
      </c>
      <c r="AY1727" s="117">
        <v>397.0</v>
      </c>
      <c r="AZ1727" s="328">
        <v>158.0</v>
      </c>
      <c r="BA1727" s="315">
        <v>0.0</v>
      </c>
      <c r="BB1727" s="316">
        <v>555.0</v>
      </c>
      <c r="BC1727" s="132" t="s">
        <v>178</v>
      </c>
      <c r="BD1727" s="132" t="s">
        <v>178</v>
      </c>
      <c r="BE1727" s="132" t="s">
        <v>178</v>
      </c>
      <c r="BF1727" s="123"/>
      <c r="BG1727" s="83">
        <v>1178043.0</v>
      </c>
      <c r="BH1727" s="112">
        <v>7.0</v>
      </c>
      <c r="BI1727" s="98" t="s">
        <v>155</v>
      </c>
      <c r="BJ1727" s="98" t="str">
        <f t="shared" si="1"/>
        <v>NÃO</v>
      </c>
      <c r="BK1727" s="98" t="str">
        <f t="shared" si="2"/>
        <v>PROFISSIONAL</v>
      </c>
    </row>
    <row r="1728" ht="15.75" customHeight="1">
      <c r="A1728" s="111" t="s">
        <v>1842</v>
      </c>
      <c r="B1728" s="83" t="s">
        <v>2383</v>
      </c>
      <c r="C1728" s="83" t="s">
        <v>68</v>
      </c>
      <c r="D1728" s="83">
        <v>1177093.0</v>
      </c>
      <c r="E1728" s="136"/>
      <c r="F1728" s="136">
        <v>2.9422345E7</v>
      </c>
      <c r="G1728" s="147" t="s">
        <v>13767</v>
      </c>
      <c r="H1728" s="91" t="s">
        <v>9520</v>
      </c>
      <c r="I1728" s="114" t="s">
        <v>13768</v>
      </c>
      <c r="J1728" s="83" t="s">
        <v>150</v>
      </c>
      <c r="K1728" s="83" t="s">
        <v>3467</v>
      </c>
      <c r="L1728" s="82" t="s">
        <v>230</v>
      </c>
      <c r="M1728" s="82" t="s">
        <v>13769</v>
      </c>
      <c r="N1728" s="82" t="s">
        <v>13770</v>
      </c>
      <c r="O1728" s="82" t="s">
        <v>13771</v>
      </c>
      <c r="P1728" s="82" t="s">
        <v>13772</v>
      </c>
      <c r="Q1728" s="82" t="s">
        <v>13773</v>
      </c>
      <c r="R1728" s="82" t="s">
        <v>13774</v>
      </c>
      <c r="S1728" s="82" t="s">
        <v>13775</v>
      </c>
      <c r="T1728" s="138">
        <v>19.0</v>
      </c>
      <c r="U1728" s="339" t="s">
        <v>13777</v>
      </c>
      <c r="V1728" s="106">
        <v>0.0</v>
      </c>
      <c r="W1728" s="107">
        <v>0.0</v>
      </c>
      <c r="X1728" s="107">
        <v>0.0</v>
      </c>
      <c r="Y1728" s="107">
        <v>0.0</v>
      </c>
      <c r="Z1728" s="80">
        <v>0.0</v>
      </c>
      <c r="AA1728" s="140">
        <v>0.0</v>
      </c>
      <c r="AB1728" s="109">
        <v>0.0</v>
      </c>
      <c r="AC1728" s="109">
        <v>0.0</v>
      </c>
      <c r="AD1728" s="141">
        <v>0.0</v>
      </c>
      <c r="AE1728" s="80">
        <v>0.0</v>
      </c>
      <c r="AF1728" s="140">
        <v>680.0</v>
      </c>
      <c r="AG1728" s="109">
        <v>640.0</v>
      </c>
      <c r="AH1728" s="109">
        <v>157.0</v>
      </c>
      <c r="AI1728" s="141">
        <v>197.0</v>
      </c>
      <c r="AJ1728" s="80">
        <v>1674.0</v>
      </c>
      <c r="AK1728" s="140">
        <v>0.0</v>
      </c>
      <c r="AL1728" s="109">
        <v>0.0</v>
      </c>
      <c r="AM1728" s="141">
        <v>0.0</v>
      </c>
      <c r="AN1728" s="80">
        <v>0.0</v>
      </c>
      <c r="AO1728" s="140">
        <v>0.0</v>
      </c>
      <c r="AP1728" s="109">
        <v>0.0</v>
      </c>
      <c r="AQ1728" s="109">
        <v>366.0</v>
      </c>
      <c r="AR1728" s="80">
        <v>366.0</v>
      </c>
      <c r="AS1728" s="110">
        <v>0.0</v>
      </c>
      <c r="AT1728" s="110">
        <v>0.0</v>
      </c>
      <c r="AU1728" s="110">
        <v>0.0</v>
      </c>
      <c r="AV1728" s="142">
        <v>0.0</v>
      </c>
      <c r="AW1728" s="80">
        <v>0.0</v>
      </c>
      <c r="AX1728" s="113">
        <v>2040.0</v>
      </c>
      <c r="AY1728" s="117">
        <v>1517.0</v>
      </c>
      <c r="AZ1728" s="328">
        <v>523.0</v>
      </c>
      <c r="BA1728" s="315">
        <v>0.0</v>
      </c>
      <c r="BB1728" s="316">
        <v>2040.0</v>
      </c>
      <c r="BC1728" s="132" t="s">
        <v>178</v>
      </c>
      <c r="BD1728" s="132" t="s">
        <v>178</v>
      </c>
      <c r="BE1728" s="132" t="s">
        <v>178</v>
      </c>
      <c r="BF1728" s="156"/>
      <c r="BG1728" s="83">
        <v>1177093.0</v>
      </c>
      <c r="BH1728" s="98">
        <v>22.0</v>
      </c>
      <c r="BI1728" s="98" t="s">
        <v>176</v>
      </c>
      <c r="BJ1728" s="98" t="str">
        <f t="shared" si="1"/>
        <v>INTEGRAL</v>
      </c>
      <c r="BK1728" s="98" t="str">
        <f t="shared" si="2"/>
        <v>NÃO</v>
      </c>
    </row>
    <row r="1729" ht="15.75" customHeight="1">
      <c r="A1729" s="111" t="s">
        <v>1842</v>
      </c>
      <c r="B1729" s="83" t="s">
        <v>2383</v>
      </c>
      <c r="C1729" s="83" t="s">
        <v>68</v>
      </c>
      <c r="D1729" s="83">
        <v>1178067.0</v>
      </c>
      <c r="E1729" s="83"/>
      <c r="F1729" s="83">
        <v>2.9428084E7</v>
      </c>
      <c r="G1729" s="114" t="s">
        <v>9540</v>
      </c>
      <c r="H1729" s="91" t="s">
        <v>9541</v>
      </c>
      <c r="I1729" s="114" t="s">
        <v>149</v>
      </c>
      <c r="J1729" s="83" t="s">
        <v>1741</v>
      </c>
      <c r="K1729" s="83" t="s">
        <v>3467</v>
      </c>
      <c r="L1729" s="82" t="s">
        <v>76</v>
      </c>
      <c r="M1729" s="82" t="s">
        <v>13778</v>
      </c>
      <c r="N1729" s="82" t="s">
        <v>13779</v>
      </c>
      <c r="O1729" s="82" t="s">
        <v>13780</v>
      </c>
      <c r="P1729" s="82" t="s">
        <v>13781</v>
      </c>
      <c r="Q1729" s="82" t="s">
        <v>13782</v>
      </c>
      <c r="R1729" s="82" t="s">
        <v>13783</v>
      </c>
      <c r="S1729" s="82" t="s">
        <v>13784</v>
      </c>
      <c r="T1729" s="138">
        <v>9.0</v>
      </c>
      <c r="U1729" s="331" t="s">
        <v>13785</v>
      </c>
      <c r="V1729" s="106">
        <v>0.0</v>
      </c>
      <c r="W1729" s="107">
        <v>0.0</v>
      </c>
      <c r="X1729" s="107">
        <v>0.0</v>
      </c>
      <c r="Y1729" s="107">
        <v>0.0</v>
      </c>
      <c r="Z1729" s="80">
        <v>0.0</v>
      </c>
      <c r="AA1729" s="140">
        <v>0.0</v>
      </c>
      <c r="AB1729" s="109">
        <v>0.0</v>
      </c>
      <c r="AC1729" s="109">
        <v>0.0</v>
      </c>
      <c r="AD1729" s="141">
        <v>0.0</v>
      </c>
      <c r="AE1729" s="80">
        <v>0.0</v>
      </c>
      <c r="AF1729" s="140">
        <v>122.0</v>
      </c>
      <c r="AG1729" s="109">
        <v>159.0</v>
      </c>
      <c r="AH1729" s="109">
        <v>62.0</v>
      </c>
      <c r="AI1729" s="141">
        <v>0.0</v>
      </c>
      <c r="AJ1729" s="80">
        <v>343.0</v>
      </c>
      <c r="AK1729" s="140">
        <v>0.0</v>
      </c>
      <c r="AL1729" s="109">
        <v>0.0</v>
      </c>
      <c r="AM1729" s="141">
        <v>0.0</v>
      </c>
      <c r="AN1729" s="80">
        <v>0.0</v>
      </c>
      <c r="AO1729" s="140">
        <v>0.0</v>
      </c>
      <c r="AP1729" s="109">
        <v>0.0</v>
      </c>
      <c r="AQ1729" s="109">
        <v>185.0</v>
      </c>
      <c r="AR1729" s="80">
        <v>185.0</v>
      </c>
      <c r="AS1729" s="110">
        <v>172.0</v>
      </c>
      <c r="AT1729" s="110">
        <v>115.0</v>
      </c>
      <c r="AU1729" s="110">
        <v>18.0</v>
      </c>
      <c r="AV1729" s="142">
        <v>0.0</v>
      </c>
      <c r="AW1729" s="80">
        <v>305.0</v>
      </c>
      <c r="AX1729" s="113">
        <v>833.0</v>
      </c>
      <c r="AY1729" s="117">
        <v>568.0</v>
      </c>
      <c r="AZ1729" s="328">
        <v>265.0</v>
      </c>
      <c r="BA1729" s="315">
        <v>0.0</v>
      </c>
      <c r="BB1729" s="316">
        <v>833.0</v>
      </c>
      <c r="BC1729" s="132" t="s">
        <v>178</v>
      </c>
      <c r="BD1729" s="132" t="s">
        <v>178</v>
      </c>
      <c r="BE1729" s="132" t="s">
        <v>178</v>
      </c>
      <c r="BF1729" s="123"/>
      <c r="BG1729" s="83">
        <v>1178067.0</v>
      </c>
      <c r="BH1729" s="98">
        <v>8.0</v>
      </c>
      <c r="BI1729" s="98" t="s">
        <v>155</v>
      </c>
      <c r="BJ1729" s="98" t="str">
        <f t="shared" si="1"/>
        <v>NÃO</v>
      </c>
      <c r="BK1729" s="98" t="str">
        <f t="shared" si="2"/>
        <v>PROFISSIONAL</v>
      </c>
    </row>
    <row r="1730" ht="15.75" customHeight="1">
      <c r="A1730" s="111" t="s">
        <v>1842</v>
      </c>
      <c r="B1730" s="83" t="s">
        <v>2383</v>
      </c>
      <c r="C1730" s="83" t="s">
        <v>68</v>
      </c>
      <c r="D1730" s="98">
        <v>1146434.0</v>
      </c>
      <c r="E1730" s="136"/>
      <c r="F1730" s="115">
        <v>2.932632E7</v>
      </c>
      <c r="G1730" s="147" t="s">
        <v>13787</v>
      </c>
      <c r="H1730" s="108" t="s">
        <v>13788</v>
      </c>
      <c r="I1730" s="296" t="s">
        <v>9552</v>
      </c>
      <c r="J1730" s="83"/>
      <c r="K1730" s="98" t="s">
        <v>151</v>
      </c>
      <c r="L1730" s="94"/>
      <c r="M1730" s="82" t="s">
        <v>13789</v>
      </c>
      <c r="N1730" s="82" t="s">
        <v>13790</v>
      </c>
      <c r="O1730" s="82" t="s">
        <v>13791</v>
      </c>
      <c r="P1730" s="82"/>
      <c r="Q1730" s="82"/>
      <c r="R1730" s="82"/>
      <c r="S1730" s="82"/>
      <c r="T1730" s="138"/>
      <c r="U1730" s="339">
        <v>12.0</v>
      </c>
      <c r="V1730" s="106">
        <v>0.0</v>
      </c>
      <c r="W1730" s="107">
        <v>0.0</v>
      </c>
      <c r="X1730" s="107">
        <v>0.0</v>
      </c>
      <c r="Y1730" s="107">
        <v>0.0</v>
      </c>
      <c r="Z1730" s="80">
        <v>0.0</v>
      </c>
      <c r="AA1730" s="140">
        <v>0.0</v>
      </c>
      <c r="AB1730" s="109">
        <v>0.0</v>
      </c>
      <c r="AC1730" s="109">
        <v>0.0</v>
      </c>
      <c r="AD1730" s="141">
        <v>0.0</v>
      </c>
      <c r="AE1730" s="80">
        <v>0.0</v>
      </c>
      <c r="AF1730" s="140">
        <v>73.0</v>
      </c>
      <c r="AG1730" s="109">
        <v>0.0</v>
      </c>
      <c r="AH1730" s="109">
        <v>0.0</v>
      </c>
      <c r="AI1730" s="141">
        <v>29.0</v>
      </c>
      <c r="AJ1730" s="80">
        <v>102.0</v>
      </c>
      <c r="AK1730" s="140">
        <v>0.0</v>
      </c>
      <c r="AL1730" s="109">
        <v>0.0</v>
      </c>
      <c r="AM1730" s="141">
        <v>0.0</v>
      </c>
      <c r="AN1730" s="80">
        <v>0.0</v>
      </c>
      <c r="AO1730" s="140">
        <v>0.0</v>
      </c>
      <c r="AP1730" s="109">
        <v>0.0</v>
      </c>
      <c r="AQ1730" s="109">
        <v>0.0</v>
      </c>
      <c r="AR1730" s="80">
        <v>0.0</v>
      </c>
      <c r="AS1730" s="110">
        <v>0.0</v>
      </c>
      <c r="AT1730" s="110">
        <v>0.0</v>
      </c>
      <c r="AU1730" s="110">
        <v>33.0</v>
      </c>
      <c r="AV1730" s="142">
        <v>235.0</v>
      </c>
      <c r="AW1730" s="80">
        <v>268.0</v>
      </c>
      <c r="AX1730" s="113">
        <v>370.0</v>
      </c>
      <c r="AY1730" s="117">
        <v>337.0</v>
      </c>
      <c r="AZ1730" s="328">
        <v>33.0</v>
      </c>
      <c r="BA1730" s="315">
        <v>0.0</v>
      </c>
      <c r="BB1730" s="316">
        <v>370.0</v>
      </c>
      <c r="BC1730" s="132" t="s">
        <v>178</v>
      </c>
      <c r="BD1730" s="132" t="s">
        <v>779</v>
      </c>
      <c r="BE1730" s="132" t="s">
        <v>178</v>
      </c>
      <c r="BF1730" s="156"/>
      <c r="BG1730" s="98">
        <v>1146434.0</v>
      </c>
      <c r="BH1730" s="98">
        <v>0.0</v>
      </c>
      <c r="BI1730" s="98" t="s">
        <v>162</v>
      </c>
      <c r="BJ1730" s="98" t="str">
        <f t="shared" si="1"/>
        <v>INTEGRAL</v>
      </c>
      <c r="BK1730" s="98" t="str">
        <f t="shared" si="2"/>
        <v>PROFISSIONAL</v>
      </c>
    </row>
    <row r="1731" ht="15.75" customHeight="1">
      <c r="A1731" s="111" t="s">
        <v>1842</v>
      </c>
      <c r="B1731" s="83" t="s">
        <v>2383</v>
      </c>
      <c r="C1731" s="83" t="s">
        <v>164</v>
      </c>
      <c r="D1731" s="83">
        <v>1178401.0</v>
      </c>
      <c r="E1731" s="83">
        <v>1179650.0</v>
      </c>
      <c r="F1731" s="83"/>
      <c r="G1731" s="114" t="s">
        <v>13792</v>
      </c>
      <c r="H1731" s="91" t="s">
        <v>9565</v>
      </c>
      <c r="I1731" s="114" t="s">
        <v>149</v>
      </c>
      <c r="J1731" s="83" t="s">
        <v>9566</v>
      </c>
      <c r="K1731" s="83" t="s">
        <v>168</v>
      </c>
      <c r="L1731" s="82" t="s">
        <v>169</v>
      </c>
      <c r="M1731" s="82" t="s">
        <v>13793</v>
      </c>
      <c r="N1731" s="82" t="s">
        <v>13794</v>
      </c>
      <c r="O1731" s="82" t="s">
        <v>13795</v>
      </c>
      <c r="P1731" s="82" t="s">
        <v>13796</v>
      </c>
      <c r="Q1731" s="82"/>
      <c r="R1731" s="82"/>
      <c r="S1731" s="82" t="s">
        <v>13797</v>
      </c>
      <c r="T1731" s="138">
        <v>3.0</v>
      </c>
      <c r="U1731" s="323">
        <v>3.0</v>
      </c>
      <c r="V1731" s="106">
        <v>0.0</v>
      </c>
      <c r="W1731" s="107">
        <v>0.0</v>
      </c>
      <c r="X1731" s="107">
        <v>0.0</v>
      </c>
      <c r="Y1731" s="107">
        <v>0.0</v>
      </c>
      <c r="Z1731" s="80">
        <v>0.0</v>
      </c>
      <c r="AA1731" s="140">
        <v>0.0</v>
      </c>
      <c r="AB1731" s="109">
        <v>0.0</v>
      </c>
      <c r="AC1731" s="109">
        <v>0.0</v>
      </c>
      <c r="AD1731" s="141">
        <v>0.0</v>
      </c>
      <c r="AE1731" s="80">
        <v>0.0</v>
      </c>
      <c r="AF1731" s="140">
        <v>12.0</v>
      </c>
      <c r="AG1731" s="109">
        <v>0.0</v>
      </c>
      <c r="AH1731" s="109">
        <v>12.0</v>
      </c>
      <c r="AI1731" s="141">
        <v>0.0</v>
      </c>
      <c r="AJ1731" s="80">
        <v>24.0</v>
      </c>
      <c r="AK1731" s="140">
        <v>0.0</v>
      </c>
      <c r="AL1731" s="109">
        <v>0.0</v>
      </c>
      <c r="AM1731" s="141">
        <v>0.0</v>
      </c>
      <c r="AN1731" s="80">
        <v>0.0</v>
      </c>
      <c r="AO1731" s="140">
        <v>0.0</v>
      </c>
      <c r="AP1731" s="109">
        <v>0.0</v>
      </c>
      <c r="AQ1731" s="109">
        <v>0.0</v>
      </c>
      <c r="AR1731" s="80">
        <v>0.0</v>
      </c>
      <c r="AS1731" s="110">
        <v>0.0</v>
      </c>
      <c r="AT1731" s="110">
        <v>0.0</v>
      </c>
      <c r="AU1731" s="110">
        <v>0.0</v>
      </c>
      <c r="AV1731" s="142">
        <v>0.0</v>
      </c>
      <c r="AW1731" s="80">
        <v>0.0</v>
      </c>
      <c r="AX1731" s="113">
        <v>24.0</v>
      </c>
      <c r="AY1731" s="117">
        <v>12.0</v>
      </c>
      <c r="AZ1731" s="328">
        <v>12.0</v>
      </c>
      <c r="BA1731" s="315">
        <v>0.0</v>
      </c>
      <c r="BB1731" s="316">
        <v>24.0</v>
      </c>
      <c r="BC1731" s="143" t="s">
        <v>1294</v>
      </c>
      <c r="BD1731" s="132" t="s">
        <v>178</v>
      </c>
      <c r="BE1731" s="132" t="s">
        <v>178</v>
      </c>
      <c r="BF1731" s="123"/>
      <c r="BG1731" s="83">
        <v>1179650.0</v>
      </c>
      <c r="BH1731" s="112">
        <v>3.0</v>
      </c>
      <c r="BI1731" s="98" t="s">
        <v>155</v>
      </c>
      <c r="BJ1731" s="98" t="str">
        <f t="shared" si="1"/>
        <v>NÃO</v>
      </c>
      <c r="BK1731" s="98" t="str">
        <f t="shared" si="2"/>
        <v>NÃO</v>
      </c>
    </row>
    <row r="1732" ht="15.75" customHeight="1">
      <c r="A1732" s="111" t="s">
        <v>1842</v>
      </c>
      <c r="B1732" s="83" t="s">
        <v>2383</v>
      </c>
      <c r="C1732" s="83" t="s">
        <v>164</v>
      </c>
      <c r="D1732" s="83">
        <v>1178042.0</v>
      </c>
      <c r="E1732" s="83">
        <v>1178535.0</v>
      </c>
      <c r="F1732" s="83"/>
      <c r="G1732" s="114" t="s">
        <v>9575</v>
      </c>
      <c r="H1732" s="91" t="s">
        <v>9576</v>
      </c>
      <c r="I1732" s="114" t="s">
        <v>149</v>
      </c>
      <c r="J1732" s="83" t="s">
        <v>1460</v>
      </c>
      <c r="K1732" s="83" t="s">
        <v>168</v>
      </c>
      <c r="L1732" s="82" t="s">
        <v>169</v>
      </c>
      <c r="M1732" s="82" t="s">
        <v>13756</v>
      </c>
      <c r="N1732" s="82" t="s">
        <v>13757</v>
      </c>
      <c r="O1732" s="82"/>
      <c r="P1732" s="82"/>
      <c r="Q1732" s="82"/>
      <c r="R1732" s="82"/>
      <c r="S1732" s="82" t="s">
        <v>13758</v>
      </c>
      <c r="T1732" s="138">
        <v>3.0</v>
      </c>
      <c r="U1732" s="389">
        <v>3.0</v>
      </c>
      <c r="V1732" s="106">
        <v>0.0</v>
      </c>
      <c r="W1732" s="107">
        <v>0.0</v>
      </c>
      <c r="X1732" s="107">
        <v>0.0</v>
      </c>
      <c r="Y1732" s="107">
        <v>0.0</v>
      </c>
      <c r="Z1732" s="80">
        <v>0.0</v>
      </c>
      <c r="AA1732" s="140">
        <v>0.0</v>
      </c>
      <c r="AB1732" s="109">
        <v>0.0</v>
      </c>
      <c r="AC1732" s="109">
        <v>0.0</v>
      </c>
      <c r="AD1732" s="141">
        <v>0.0</v>
      </c>
      <c r="AE1732" s="80">
        <v>0.0</v>
      </c>
      <c r="AF1732" s="140">
        <v>0.0</v>
      </c>
      <c r="AG1732" s="109">
        <v>0.0</v>
      </c>
      <c r="AH1732" s="109">
        <v>12.0</v>
      </c>
      <c r="AI1732" s="141">
        <v>0.0</v>
      </c>
      <c r="AJ1732" s="80">
        <v>12.0</v>
      </c>
      <c r="AK1732" s="140">
        <v>0.0</v>
      </c>
      <c r="AL1732" s="109">
        <v>0.0</v>
      </c>
      <c r="AM1732" s="141">
        <v>0.0</v>
      </c>
      <c r="AN1732" s="80">
        <v>0.0</v>
      </c>
      <c r="AO1732" s="140">
        <v>0.0</v>
      </c>
      <c r="AP1732" s="109">
        <v>0.0</v>
      </c>
      <c r="AQ1732" s="109">
        <v>41.0</v>
      </c>
      <c r="AR1732" s="80">
        <v>41.0</v>
      </c>
      <c r="AS1732" s="110">
        <v>0.0</v>
      </c>
      <c r="AT1732" s="110">
        <v>0.0</v>
      </c>
      <c r="AU1732" s="110">
        <v>0.0</v>
      </c>
      <c r="AV1732" s="142">
        <v>0.0</v>
      </c>
      <c r="AW1732" s="80">
        <v>0.0</v>
      </c>
      <c r="AX1732" s="113">
        <v>53.0</v>
      </c>
      <c r="AY1732" s="117">
        <v>0.0</v>
      </c>
      <c r="AZ1732" s="328">
        <v>53.0</v>
      </c>
      <c r="BA1732" s="315">
        <v>0.0</v>
      </c>
      <c r="BB1732" s="316">
        <v>53.0</v>
      </c>
      <c r="BC1732" s="132" t="s">
        <v>373</v>
      </c>
      <c r="BD1732" s="132" t="s">
        <v>178</v>
      </c>
      <c r="BE1732" s="132" t="s">
        <v>178</v>
      </c>
      <c r="BF1732" s="123"/>
      <c r="BG1732" s="83">
        <v>1178535.0</v>
      </c>
      <c r="BH1732" s="112">
        <v>3.0</v>
      </c>
      <c r="BI1732" s="98" t="s">
        <v>155</v>
      </c>
      <c r="BJ1732" s="98" t="str">
        <f t="shared" si="1"/>
        <v>NÃO</v>
      </c>
      <c r="BK1732" s="98" t="str">
        <f t="shared" si="2"/>
        <v>NÃO</v>
      </c>
    </row>
    <row r="1733" ht="15.75" customHeight="1">
      <c r="A1733" s="111" t="s">
        <v>1842</v>
      </c>
      <c r="B1733" s="83" t="s">
        <v>2383</v>
      </c>
      <c r="C1733" s="83" t="s">
        <v>164</v>
      </c>
      <c r="D1733" s="83">
        <v>1178043.0</v>
      </c>
      <c r="E1733" s="83">
        <v>1178534.0</v>
      </c>
      <c r="F1733" s="83"/>
      <c r="G1733" s="114" t="s">
        <v>9583</v>
      </c>
      <c r="H1733" s="91" t="s">
        <v>9584</v>
      </c>
      <c r="I1733" s="114" t="s">
        <v>149</v>
      </c>
      <c r="J1733" s="83" t="s">
        <v>1502</v>
      </c>
      <c r="K1733" s="83" t="s">
        <v>168</v>
      </c>
      <c r="L1733" s="82" t="s">
        <v>169</v>
      </c>
      <c r="M1733" s="82" t="s">
        <v>13759</v>
      </c>
      <c r="N1733" s="82" t="s">
        <v>13760</v>
      </c>
      <c r="O1733" s="82" t="s">
        <v>13761</v>
      </c>
      <c r="P1733" s="82" t="s">
        <v>13762</v>
      </c>
      <c r="Q1733" s="82" t="s">
        <v>13763</v>
      </c>
      <c r="R1733" s="82" t="s">
        <v>13764</v>
      </c>
      <c r="S1733" s="82" t="s">
        <v>13765</v>
      </c>
      <c r="T1733" s="138">
        <v>4.0</v>
      </c>
      <c r="U1733" s="339">
        <v>4.0</v>
      </c>
      <c r="V1733" s="106">
        <v>0.0</v>
      </c>
      <c r="W1733" s="107">
        <v>0.0</v>
      </c>
      <c r="X1733" s="107">
        <v>0.0</v>
      </c>
      <c r="Y1733" s="107">
        <v>0.0</v>
      </c>
      <c r="Z1733" s="80">
        <v>0.0</v>
      </c>
      <c r="AA1733" s="140">
        <v>0.0</v>
      </c>
      <c r="AB1733" s="109">
        <v>0.0</v>
      </c>
      <c r="AC1733" s="109">
        <v>0.0</v>
      </c>
      <c r="AD1733" s="141">
        <v>0.0</v>
      </c>
      <c r="AE1733" s="80">
        <v>0.0</v>
      </c>
      <c r="AF1733" s="140">
        <v>0.0</v>
      </c>
      <c r="AG1733" s="109">
        <v>0.0</v>
      </c>
      <c r="AH1733" s="109">
        <v>35.0</v>
      </c>
      <c r="AI1733" s="141">
        <v>0.0</v>
      </c>
      <c r="AJ1733" s="80">
        <v>35.0</v>
      </c>
      <c r="AK1733" s="140">
        <v>0.0</v>
      </c>
      <c r="AL1733" s="109">
        <v>0.0</v>
      </c>
      <c r="AM1733" s="141">
        <v>0.0</v>
      </c>
      <c r="AN1733" s="80">
        <v>0.0</v>
      </c>
      <c r="AO1733" s="140">
        <v>0.0</v>
      </c>
      <c r="AP1733" s="109">
        <v>0.0</v>
      </c>
      <c r="AQ1733" s="109">
        <v>66.0</v>
      </c>
      <c r="AR1733" s="80">
        <v>66.0</v>
      </c>
      <c r="AS1733" s="110">
        <v>0.0</v>
      </c>
      <c r="AT1733" s="110">
        <v>0.0</v>
      </c>
      <c r="AU1733" s="110">
        <v>0.0</v>
      </c>
      <c r="AV1733" s="142">
        <v>0.0</v>
      </c>
      <c r="AW1733" s="80">
        <v>0.0</v>
      </c>
      <c r="AX1733" s="113">
        <v>101.0</v>
      </c>
      <c r="AY1733" s="117">
        <v>0.0</v>
      </c>
      <c r="AZ1733" s="328">
        <v>101.0</v>
      </c>
      <c r="BA1733" s="315">
        <v>0.0</v>
      </c>
      <c r="BB1733" s="316">
        <v>101.0</v>
      </c>
      <c r="BC1733" s="132" t="s">
        <v>373</v>
      </c>
      <c r="BD1733" s="132" t="s">
        <v>178</v>
      </c>
      <c r="BE1733" s="132" t="s">
        <v>178</v>
      </c>
      <c r="BF1733" s="156"/>
      <c r="BG1733" s="83">
        <v>1178534.0</v>
      </c>
      <c r="BH1733" s="98">
        <v>4.0</v>
      </c>
      <c r="BI1733" s="98" t="s">
        <v>155</v>
      </c>
      <c r="BJ1733" s="98" t="str">
        <f t="shared" si="1"/>
        <v>NÃO</v>
      </c>
      <c r="BK1733" s="98" t="str">
        <f t="shared" si="2"/>
        <v>NÃO</v>
      </c>
    </row>
    <row r="1734" ht="15.75" customHeight="1">
      <c r="A1734" s="111" t="s">
        <v>1842</v>
      </c>
      <c r="B1734" s="83" t="s">
        <v>2383</v>
      </c>
      <c r="C1734" s="83" t="s">
        <v>164</v>
      </c>
      <c r="D1734" s="83">
        <v>1178043.0</v>
      </c>
      <c r="E1734" s="83">
        <v>1178533.0</v>
      </c>
      <c r="F1734" s="83"/>
      <c r="G1734" s="114" t="s">
        <v>9595</v>
      </c>
      <c r="H1734" s="91" t="s">
        <v>9596</v>
      </c>
      <c r="I1734" s="114" t="s">
        <v>149</v>
      </c>
      <c r="J1734" s="83" t="s">
        <v>641</v>
      </c>
      <c r="K1734" s="83" t="s">
        <v>168</v>
      </c>
      <c r="L1734" s="82" t="s">
        <v>169</v>
      </c>
      <c r="M1734" s="82" t="s">
        <v>13759</v>
      </c>
      <c r="N1734" s="82" t="s">
        <v>13760</v>
      </c>
      <c r="O1734" s="82" t="s">
        <v>13761</v>
      </c>
      <c r="P1734" s="82" t="s">
        <v>13762</v>
      </c>
      <c r="Q1734" s="82" t="s">
        <v>13763</v>
      </c>
      <c r="R1734" s="82" t="s">
        <v>13764</v>
      </c>
      <c r="S1734" s="82" t="s">
        <v>13765</v>
      </c>
      <c r="T1734" s="138">
        <v>3.0</v>
      </c>
      <c r="U1734" s="389">
        <v>3.0</v>
      </c>
      <c r="V1734" s="106">
        <v>0.0</v>
      </c>
      <c r="W1734" s="107">
        <v>0.0</v>
      </c>
      <c r="X1734" s="107">
        <v>0.0</v>
      </c>
      <c r="Y1734" s="107">
        <v>0.0</v>
      </c>
      <c r="Z1734" s="80">
        <v>0.0</v>
      </c>
      <c r="AA1734" s="140">
        <v>0.0</v>
      </c>
      <c r="AB1734" s="109">
        <v>0.0</v>
      </c>
      <c r="AC1734" s="109">
        <v>0.0</v>
      </c>
      <c r="AD1734" s="141">
        <v>0.0</v>
      </c>
      <c r="AE1734" s="80">
        <v>0.0</v>
      </c>
      <c r="AF1734" s="140">
        <v>0.0</v>
      </c>
      <c r="AG1734" s="109">
        <v>0.0</v>
      </c>
      <c r="AH1734" s="109">
        <v>68.0</v>
      </c>
      <c r="AI1734" s="141">
        <v>0.0</v>
      </c>
      <c r="AJ1734" s="80">
        <v>68.0</v>
      </c>
      <c r="AK1734" s="140">
        <v>0.0</v>
      </c>
      <c r="AL1734" s="109">
        <v>0.0</v>
      </c>
      <c r="AM1734" s="141">
        <v>0.0</v>
      </c>
      <c r="AN1734" s="80">
        <v>0.0</v>
      </c>
      <c r="AO1734" s="140">
        <v>0.0</v>
      </c>
      <c r="AP1734" s="109">
        <v>0.0</v>
      </c>
      <c r="AQ1734" s="109">
        <v>0.0</v>
      </c>
      <c r="AR1734" s="80">
        <v>0.0</v>
      </c>
      <c r="AS1734" s="110">
        <v>0.0</v>
      </c>
      <c r="AT1734" s="110">
        <v>0.0</v>
      </c>
      <c r="AU1734" s="110">
        <v>0.0</v>
      </c>
      <c r="AV1734" s="142">
        <v>0.0</v>
      </c>
      <c r="AW1734" s="80">
        <v>0.0</v>
      </c>
      <c r="AX1734" s="113">
        <v>68.0</v>
      </c>
      <c r="AY1734" s="117">
        <v>0.0</v>
      </c>
      <c r="AZ1734" s="328">
        <v>68.0</v>
      </c>
      <c r="BA1734" s="315">
        <v>0.0</v>
      </c>
      <c r="BB1734" s="316">
        <v>68.0</v>
      </c>
      <c r="BC1734" s="132" t="s">
        <v>373</v>
      </c>
      <c r="BD1734" s="132" t="s">
        <v>178</v>
      </c>
      <c r="BE1734" s="132" t="s">
        <v>178</v>
      </c>
      <c r="BF1734" s="123"/>
      <c r="BG1734" s="83">
        <v>1178533.0</v>
      </c>
      <c r="BH1734" s="112">
        <v>3.0</v>
      </c>
      <c r="BI1734" s="98" t="s">
        <v>155</v>
      </c>
      <c r="BJ1734" s="98" t="str">
        <f t="shared" si="1"/>
        <v>NÃO</v>
      </c>
      <c r="BK1734" s="98" t="str">
        <f t="shared" si="2"/>
        <v>NÃO</v>
      </c>
    </row>
    <row r="1735" ht="15.75" customHeight="1">
      <c r="A1735" s="111" t="s">
        <v>1842</v>
      </c>
      <c r="B1735" s="83" t="s">
        <v>2383</v>
      </c>
      <c r="C1735" s="83" t="s">
        <v>164</v>
      </c>
      <c r="D1735" s="83">
        <v>1178401.0</v>
      </c>
      <c r="E1735" s="83">
        <v>1179671.0</v>
      </c>
      <c r="F1735" s="83"/>
      <c r="G1735" s="114" t="s">
        <v>9598</v>
      </c>
      <c r="H1735" s="91" t="s">
        <v>9600</v>
      </c>
      <c r="I1735" s="114" t="s">
        <v>149</v>
      </c>
      <c r="J1735" s="83" t="s">
        <v>872</v>
      </c>
      <c r="K1735" s="83" t="s">
        <v>168</v>
      </c>
      <c r="L1735" s="82" t="s">
        <v>169</v>
      </c>
      <c r="M1735" s="82" t="s">
        <v>13793</v>
      </c>
      <c r="N1735" s="82" t="s">
        <v>13794</v>
      </c>
      <c r="O1735" s="82" t="s">
        <v>13795</v>
      </c>
      <c r="P1735" s="82" t="s">
        <v>13796</v>
      </c>
      <c r="Q1735" s="82"/>
      <c r="R1735" s="82"/>
      <c r="S1735" s="82" t="s">
        <v>13797</v>
      </c>
      <c r="T1735" s="138">
        <v>3.0</v>
      </c>
      <c r="U1735" s="331">
        <v>3.0</v>
      </c>
      <c r="V1735" s="106">
        <v>0.0</v>
      </c>
      <c r="W1735" s="107">
        <v>0.0</v>
      </c>
      <c r="X1735" s="107">
        <v>0.0</v>
      </c>
      <c r="Y1735" s="107">
        <v>0.0</v>
      </c>
      <c r="Z1735" s="80">
        <v>0.0</v>
      </c>
      <c r="AA1735" s="140">
        <v>0.0</v>
      </c>
      <c r="AB1735" s="109">
        <v>0.0</v>
      </c>
      <c r="AC1735" s="109">
        <v>0.0</v>
      </c>
      <c r="AD1735" s="141">
        <v>0.0</v>
      </c>
      <c r="AE1735" s="80">
        <v>0.0</v>
      </c>
      <c r="AF1735" s="140">
        <v>0.0</v>
      </c>
      <c r="AG1735" s="109">
        <v>0.0</v>
      </c>
      <c r="AH1735" s="109">
        <v>22.0</v>
      </c>
      <c r="AI1735" s="141">
        <v>0.0</v>
      </c>
      <c r="AJ1735" s="80">
        <v>22.0</v>
      </c>
      <c r="AK1735" s="140">
        <v>0.0</v>
      </c>
      <c r="AL1735" s="109">
        <v>0.0</v>
      </c>
      <c r="AM1735" s="141">
        <v>0.0</v>
      </c>
      <c r="AN1735" s="80">
        <v>0.0</v>
      </c>
      <c r="AO1735" s="140">
        <v>0.0</v>
      </c>
      <c r="AP1735" s="109">
        <v>0.0</v>
      </c>
      <c r="AQ1735" s="109">
        <v>0.0</v>
      </c>
      <c r="AR1735" s="80">
        <v>0.0</v>
      </c>
      <c r="AS1735" s="110">
        <v>0.0</v>
      </c>
      <c r="AT1735" s="110">
        <v>0.0</v>
      </c>
      <c r="AU1735" s="110">
        <v>0.0</v>
      </c>
      <c r="AV1735" s="142">
        <v>0.0</v>
      </c>
      <c r="AW1735" s="80">
        <v>0.0</v>
      </c>
      <c r="AX1735" s="113">
        <v>22.0</v>
      </c>
      <c r="AY1735" s="117">
        <v>0.0</v>
      </c>
      <c r="AZ1735" s="328">
        <v>22.0</v>
      </c>
      <c r="BA1735" s="315">
        <v>0.0</v>
      </c>
      <c r="BB1735" s="316">
        <v>22.0</v>
      </c>
      <c r="BC1735" s="143" t="s">
        <v>1294</v>
      </c>
      <c r="BD1735" s="132" t="s">
        <v>178</v>
      </c>
      <c r="BE1735" s="132" t="s">
        <v>178</v>
      </c>
      <c r="BF1735" s="123"/>
      <c r="BG1735" s="83">
        <v>1179671.0</v>
      </c>
      <c r="BH1735" s="98">
        <v>3.0</v>
      </c>
      <c r="BI1735" s="98" t="s">
        <v>155</v>
      </c>
      <c r="BJ1735" s="98" t="str">
        <f t="shared" si="1"/>
        <v>NÃO</v>
      </c>
      <c r="BK1735" s="98" t="str">
        <f t="shared" si="2"/>
        <v>NÃO</v>
      </c>
    </row>
    <row r="1736" ht="15.75" customHeight="1">
      <c r="A1736" s="111" t="s">
        <v>1842</v>
      </c>
      <c r="B1736" s="83" t="s">
        <v>2383</v>
      </c>
      <c r="C1736" s="83" t="s">
        <v>164</v>
      </c>
      <c r="D1736" s="189">
        <v>1178401.0</v>
      </c>
      <c r="E1736" s="83">
        <v>1179651.0</v>
      </c>
      <c r="F1736" s="83"/>
      <c r="G1736" s="185" t="s">
        <v>9608</v>
      </c>
      <c r="H1736" s="91" t="s">
        <v>9610</v>
      </c>
      <c r="I1736" s="114" t="s">
        <v>149</v>
      </c>
      <c r="J1736" s="136" t="s">
        <v>9611</v>
      </c>
      <c r="K1736" s="83" t="s">
        <v>168</v>
      </c>
      <c r="L1736" s="82" t="s">
        <v>169</v>
      </c>
      <c r="M1736" s="82" t="s">
        <v>13793</v>
      </c>
      <c r="N1736" s="82" t="s">
        <v>13794</v>
      </c>
      <c r="O1736" s="82" t="s">
        <v>13795</v>
      </c>
      <c r="P1736" s="82" t="s">
        <v>13796</v>
      </c>
      <c r="Q1736" s="82"/>
      <c r="R1736" s="82"/>
      <c r="S1736" s="82" t="s">
        <v>13797</v>
      </c>
      <c r="T1736" s="138">
        <v>3.0</v>
      </c>
      <c r="U1736" s="323">
        <v>3.0</v>
      </c>
      <c r="V1736" s="106">
        <v>0.0</v>
      </c>
      <c r="W1736" s="107">
        <v>0.0</v>
      </c>
      <c r="X1736" s="107">
        <v>0.0</v>
      </c>
      <c r="Y1736" s="107">
        <v>0.0</v>
      </c>
      <c r="Z1736" s="80">
        <v>0.0</v>
      </c>
      <c r="AA1736" s="140">
        <v>0.0</v>
      </c>
      <c r="AB1736" s="109">
        <v>0.0</v>
      </c>
      <c r="AC1736" s="109">
        <v>0.0</v>
      </c>
      <c r="AD1736" s="141">
        <v>0.0</v>
      </c>
      <c r="AE1736" s="80">
        <v>0.0</v>
      </c>
      <c r="AF1736" s="140">
        <v>0.0</v>
      </c>
      <c r="AG1736" s="109">
        <v>0.0</v>
      </c>
      <c r="AH1736" s="109">
        <v>18.0</v>
      </c>
      <c r="AI1736" s="141">
        <v>0.0</v>
      </c>
      <c r="AJ1736" s="80">
        <v>18.0</v>
      </c>
      <c r="AK1736" s="140">
        <v>0.0</v>
      </c>
      <c r="AL1736" s="109">
        <v>0.0</v>
      </c>
      <c r="AM1736" s="141">
        <v>0.0</v>
      </c>
      <c r="AN1736" s="80">
        <v>0.0</v>
      </c>
      <c r="AO1736" s="140">
        <v>0.0</v>
      </c>
      <c r="AP1736" s="109">
        <v>0.0</v>
      </c>
      <c r="AQ1736" s="109">
        <v>0.0</v>
      </c>
      <c r="AR1736" s="80">
        <v>0.0</v>
      </c>
      <c r="AS1736" s="110">
        <v>0.0</v>
      </c>
      <c r="AT1736" s="110">
        <v>0.0</v>
      </c>
      <c r="AU1736" s="110">
        <v>0.0</v>
      </c>
      <c r="AV1736" s="142">
        <v>0.0</v>
      </c>
      <c r="AW1736" s="80">
        <v>0.0</v>
      </c>
      <c r="AX1736" s="113">
        <v>18.0</v>
      </c>
      <c r="AY1736" s="117">
        <v>0.0</v>
      </c>
      <c r="AZ1736" s="328">
        <v>18.0</v>
      </c>
      <c r="BA1736" s="315">
        <v>0.0</v>
      </c>
      <c r="BB1736" s="316">
        <v>18.0</v>
      </c>
      <c r="BC1736" s="143" t="s">
        <v>1294</v>
      </c>
      <c r="BD1736" s="132" t="s">
        <v>178</v>
      </c>
      <c r="BE1736" s="132" t="s">
        <v>178</v>
      </c>
      <c r="BF1736" s="156"/>
      <c r="BG1736" s="83">
        <v>1179651.0</v>
      </c>
      <c r="BH1736" s="112">
        <v>3.0</v>
      </c>
      <c r="BI1736" s="98" t="s">
        <v>155</v>
      </c>
      <c r="BJ1736" s="98" t="str">
        <f t="shared" si="1"/>
        <v>NÃO</v>
      </c>
      <c r="BK1736" s="98" t="str">
        <f t="shared" si="2"/>
        <v>NÃO</v>
      </c>
    </row>
    <row r="1737" ht="15.75" customHeight="1">
      <c r="A1737" s="111" t="s">
        <v>1842</v>
      </c>
      <c r="B1737" s="83" t="s">
        <v>2383</v>
      </c>
      <c r="C1737" s="83" t="s">
        <v>164</v>
      </c>
      <c r="D1737" s="83">
        <v>1178401.0</v>
      </c>
      <c r="E1737" s="83">
        <v>1179672.0</v>
      </c>
      <c r="F1737" s="83"/>
      <c r="G1737" s="185" t="s">
        <v>9613</v>
      </c>
      <c r="H1737" s="91" t="s">
        <v>9614</v>
      </c>
      <c r="I1737" s="114" t="s">
        <v>149</v>
      </c>
      <c r="J1737" s="83" t="s">
        <v>1502</v>
      </c>
      <c r="K1737" s="83" t="s">
        <v>168</v>
      </c>
      <c r="L1737" s="82" t="s">
        <v>169</v>
      </c>
      <c r="M1737" s="82" t="s">
        <v>13793</v>
      </c>
      <c r="N1737" s="82" t="s">
        <v>13794</v>
      </c>
      <c r="O1737" s="82" t="s">
        <v>13795</v>
      </c>
      <c r="P1737" s="82" t="s">
        <v>13796</v>
      </c>
      <c r="Q1737" s="82"/>
      <c r="R1737" s="82"/>
      <c r="S1737" s="82" t="s">
        <v>13797</v>
      </c>
      <c r="T1737" s="138">
        <v>3.0</v>
      </c>
      <c r="U1737" s="331">
        <v>3.0</v>
      </c>
      <c r="V1737" s="106">
        <v>0.0</v>
      </c>
      <c r="W1737" s="107">
        <v>0.0</v>
      </c>
      <c r="X1737" s="107">
        <v>0.0</v>
      </c>
      <c r="Y1737" s="107">
        <v>0.0</v>
      </c>
      <c r="Z1737" s="80">
        <v>0.0</v>
      </c>
      <c r="AA1737" s="140">
        <v>0.0</v>
      </c>
      <c r="AB1737" s="109">
        <v>0.0</v>
      </c>
      <c r="AC1737" s="109">
        <v>0.0</v>
      </c>
      <c r="AD1737" s="141">
        <v>0.0</v>
      </c>
      <c r="AE1737" s="80">
        <v>0.0</v>
      </c>
      <c r="AF1737" s="140">
        <v>0.0</v>
      </c>
      <c r="AG1737" s="109">
        <v>0.0</v>
      </c>
      <c r="AH1737" s="109">
        <v>17.0</v>
      </c>
      <c r="AI1737" s="141">
        <v>0.0</v>
      </c>
      <c r="AJ1737" s="80">
        <v>17.0</v>
      </c>
      <c r="AK1737" s="140">
        <v>0.0</v>
      </c>
      <c r="AL1737" s="109">
        <v>0.0</v>
      </c>
      <c r="AM1737" s="141">
        <v>0.0</v>
      </c>
      <c r="AN1737" s="80">
        <v>0.0</v>
      </c>
      <c r="AO1737" s="140">
        <v>0.0</v>
      </c>
      <c r="AP1737" s="109">
        <v>0.0</v>
      </c>
      <c r="AQ1737" s="109">
        <v>0.0</v>
      </c>
      <c r="AR1737" s="80">
        <v>0.0</v>
      </c>
      <c r="AS1737" s="110">
        <v>0.0</v>
      </c>
      <c r="AT1737" s="110">
        <v>0.0</v>
      </c>
      <c r="AU1737" s="110">
        <v>0.0</v>
      </c>
      <c r="AV1737" s="142">
        <v>0.0</v>
      </c>
      <c r="AW1737" s="80">
        <v>0.0</v>
      </c>
      <c r="AX1737" s="113">
        <v>17.0</v>
      </c>
      <c r="AY1737" s="117">
        <v>0.0</v>
      </c>
      <c r="AZ1737" s="328">
        <v>17.0</v>
      </c>
      <c r="BA1737" s="315">
        <v>0.0</v>
      </c>
      <c r="BB1737" s="316">
        <v>17.0</v>
      </c>
      <c r="BC1737" s="143" t="s">
        <v>1294</v>
      </c>
      <c r="BD1737" s="132" t="s">
        <v>178</v>
      </c>
      <c r="BE1737" s="132" t="s">
        <v>178</v>
      </c>
      <c r="BF1737" s="123"/>
      <c r="BG1737" s="83">
        <v>1179672.0</v>
      </c>
      <c r="BH1737" s="98">
        <v>3.0</v>
      </c>
      <c r="BI1737" s="98" t="s">
        <v>155</v>
      </c>
      <c r="BJ1737" s="98" t="str">
        <f t="shared" si="1"/>
        <v>NÃO</v>
      </c>
      <c r="BK1737" s="98" t="str">
        <f t="shared" si="2"/>
        <v>NÃO</v>
      </c>
    </row>
    <row r="1738" ht="15.75" customHeight="1">
      <c r="A1738" s="111" t="s">
        <v>1842</v>
      </c>
      <c r="B1738" s="83" t="s">
        <v>2383</v>
      </c>
      <c r="C1738" s="83" t="s">
        <v>164</v>
      </c>
      <c r="D1738" s="83">
        <v>1178042.0</v>
      </c>
      <c r="E1738" s="83">
        <v>1178536.0</v>
      </c>
      <c r="F1738" s="83"/>
      <c r="G1738" s="185" t="s">
        <v>9616</v>
      </c>
      <c r="H1738" s="91" t="s">
        <v>9617</v>
      </c>
      <c r="I1738" s="114" t="s">
        <v>149</v>
      </c>
      <c r="J1738" s="83" t="s">
        <v>315</v>
      </c>
      <c r="K1738" s="83" t="s">
        <v>168</v>
      </c>
      <c r="L1738" s="82" t="s">
        <v>169</v>
      </c>
      <c r="M1738" s="82" t="s">
        <v>13756</v>
      </c>
      <c r="N1738" s="82" t="s">
        <v>13757</v>
      </c>
      <c r="O1738" s="82"/>
      <c r="P1738" s="82"/>
      <c r="Q1738" s="82"/>
      <c r="R1738" s="82"/>
      <c r="S1738" s="82" t="s">
        <v>13758</v>
      </c>
      <c r="T1738" s="138">
        <v>3.0</v>
      </c>
      <c r="U1738" s="323">
        <v>3.0</v>
      </c>
      <c r="V1738" s="106">
        <v>0.0</v>
      </c>
      <c r="W1738" s="107">
        <v>0.0</v>
      </c>
      <c r="X1738" s="107">
        <v>0.0</v>
      </c>
      <c r="Y1738" s="107">
        <v>0.0</v>
      </c>
      <c r="Z1738" s="80">
        <v>0.0</v>
      </c>
      <c r="AA1738" s="140">
        <v>0.0</v>
      </c>
      <c r="AB1738" s="109">
        <v>0.0</v>
      </c>
      <c r="AC1738" s="109">
        <v>0.0</v>
      </c>
      <c r="AD1738" s="141">
        <v>0.0</v>
      </c>
      <c r="AE1738" s="80">
        <v>0.0</v>
      </c>
      <c r="AF1738" s="140">
        <v>0.0</v>
      </c>
      <c r="AG1738" s="109">
        <v>0.0</v>
      </c>
      <c r="AH1738" s="109">
        <v>1.0</v>
      </c>
      <c r="AI1738" s="141">
        <v>0.0</v>
      </c>
      <c r="AJ1738" s="80">
        <v>1.0</v>
      </c>
      <c r="AK1738" s="140">
        <v>0.0</v>
      </c>
      <c r="AL1738" s="109">
        <v>0.0</v>
      </c>
      <c r="AM1738" s="141">
        <v>0.0</v>
      </c>
      <c r="AN1738" s="80">
        <v>0.0</v>
      </c>
      <c r="AO1738" s="140">
        <v>0.0</v>
      </c>
      <c r="AP1738" s="109">
        <v>0.0</v>
      </c>
      <c r="AQ1738" s="109">
        <v>8.0</v>
      </c>
      <c r="AR1738" s="80">
        <v>8.0</v>
      </c>
      <c r="AS1738" s="110">
        <v>0.0</v>
      </c>
      <c r="AT1738" s="110">
        <v>0.0</v>
      </c>
      <c r="AU1738" s="110">
        <v>0.0</v>
      </c>
      <c r="AV1738" s="142">
        <v>0.0</v>
      </c>
      <c r="AW1738" s="80">
        <v>0.0</v>
      </c>
      <c r="AX1738" s="113">
        <v>9.0</v>
      </c>
      <c r="AY1738" s="117">
        <v>0.0</v>
      </c>
      <c r="AZ1738" s="328">
        <v>9.0</v>
      </c>
      <c r="BA1738" s="315">
        <v>0.0</v>
      </c>
      <c r="BB1738" s="316">
        <v>9.0</v>
      </c>
      <c r="BC1738" s="132" t="s">
        <v>631</v>
      </c>
      <c r="BD1738" s="132" t="s">
        <v>178</v>
      </c>
      <c r="BE1738" s="132" t="s">
        <v>178</v>
      </c>
      <c r="BF1738" s="123"/>
      <c r="BG1738" s="83">
        <v>1178536.0</v>
      </c>
      <c r="BH1738" s="112">
        <v>3.0</v>
      </c>
      <c r="BI1738" s="98" t="s">
        <v>155</v>
      </c>
      <c r="BJ1738" s="98" t="str">
        <f t="shared" si="1"/>
        <v>NÃO</v>
      </c>
      <c r="BK1738" s="98" t="str">
        <f t="shared" si="2"/>
        <v>NÃO</v>
      </c>
    </row>
    <row r="1739" ht="15.75" customHeight="1">
      <c r="A1739" s="111" t="s">
        <v>1842</v>
      </c>
      <c r="B1739" s="83" t="s">
        <v>2383</v>
      </c>
      <c r="C1739" s="83" t="s">
        <v>164</v>
      </c>
      <c r="D1739" s="83">
        <v>1177093.0</v>
      </c>
      <c r="E1739" s="83">
        <v>1179486.0</v>
      </c>
      <c r="F1739" s="83"/>
      <c r="G1739" s="185" t="s">
        <v>9619</v>
      </c>
      <c r="H1739" s="91" t="s">
        <v>9620</v>
      </c>
      <c r="I1739" s="114" t="s">
        <v>149</v>
      </c>
      <c r="J1739" s="83" t="s">
        <v>822</v>
      </c>
      <c r="K1739" s="83" t="s">
        <v>168</v>
      </c>
      <c r="L1739" s="82" t="s">
        <v>169</v>
      </c>
      <c r="M1739" s="82" t="s">
        <v>13769</v>
      </c>
      <c r="N1739" s="82" t="s">
        <v>13770</v>
      </c>
      <c r="O1739" s="82" t="s">
        <v>13771</v>
      </c>
      <c r="P1739" s="82" t="s">
        <v>13772</v>
      </c>
      <c r="Q1739" s="82" t="s">
        <v>13773</v>
      </c>
      <c r="R1739" s="82" t="s">
        <v>13774</v>
      </c>
      <c r="S1739" s="82" t="s">
        <v>13775</v>
      </c>
      <c r="T1739" s="138">
        <v>3.0</v>
      </c>
      <c r="U1739" s="323">
        <v>3.0</v>
      </c>
      <c r="V1739" s="106">
        <v>0.0</v>
      </c>
      <c r="W1739" s="107">
        <v>0.0</v>
      </c>
      <c r="X1739" s="107">
        <v>0.0</v>
      </c>
      <c r="Y1739" s="107">
        <v>0.0</v>
      </c>
      <c r="Z1739" s="80">
        <v>0.0</v>
      </c>
      <c r="AA1739" s="140">
        <v>0.0</v>
      </c>
      <c r="AB1739" s="109">
        <v>0.0</v>
      </c>
      <c r="AC1739" s="109">
        <v>0.0</v>
      </c>
      <c r="AD1739" s="141">
        <v>0.0</v>
      </c>
      <c r="AE1739" s="80">
        <v>0.0</v>
      </c>
      <c r="AF1739" s="140">
        <v>0.0</v>
      </c>
      <c r="AG1739" s="109">
        <v>0.0</v>
      </c>
      <c r="AH1739" s="109">
        <v>21.0</v>
      </c>
      <c r="AI1739" s="141">
        <v>0.0</v>
      </c>
      <c r="AJ1739" s="80">
        <v>21.0</v>
      </c>
      <c r="AK1739" s="140">
        <v>0.0</v>
      </c>
      <c r="AL1739" s="109">
        <v>0.0</v>
      </c>
      <c r="AM1739" s="141">
        <v>0.0</v>
      </c>
      <c r="AN1739" s="80">
        <v>0.0</v>
      </c>
      <c r="AO1739" s="140">
        <v>0.0</v>
      </c>
      <c r="AP1739" s="109">
        <v>0.0</v>
      </c>
      <c r="AQ1739" s="109">
        <v>44.0</v>
      </c>
      <c r="AR1739" s="80">
        <v>44.0</v>
      </c>
      <c r="AS1739" s="110">
        <v>0.0</v>
      </c>
      <c r="AT1739" s="110">
        <v>0.0</v>
      </c>
      <c r="AU1739" s="110">
        <v>0.0</v>
      </c>
      <c r="AV1739" s="142">
        <v>0.0</v>
      </c>
      <c r="AW1739" s="80">
        <v>0.0</v>
      </c>
      <c r="AX1739" s="113">
        <v>65.0</v>
      </c>
      <c r="AY1739" s="117">
        <v>0.0</v>
      </c>
      <c r="AZ1739" s="328">
        <v>65.0</v>
      </c>
      <c r="BA1739" s="315">
        <v>0.0</v>
      </c>
      <c r="BB1739" s="316">
        <v>65.0</v>
      </c>
      <c r="BC1739" s="132" t="s">
        <v>373</v>
      </c>
      <c r="BD1739" s="132" t="s">
        <v>178</v>
      </c>
      <c r="BE1739" s="132" t="s">
        <v>178</v>
      </c>
      <c r="BF1739" s="123"/>
      <c r="BG1739" s="83">
        <v>1179486.0</v>
      </c>
      <c r="BH1739" s="112">
        <v>3.0</v>
      </c>
      <c r="BI1739" s="98" t="s">
        <v>155</v>
      </c>
      <c r="BJ1739" s="98" t="str">
        <f t="shared" si="1"/>
        <v>NÃO</v>
      </c>
      <c r="BK1739" s="98" t="str">
        <f t="shared" si="2"/>
        <v>NÃO</v>
      </c>
    </row>
    <row r="1740" ht="15.75" customHeight="1">
      <c r="A1740" s="111" t="s">
        <v>1842</v>
      </c>
      <c r="B1740" s="83" t="s">
        <v>9624</v>
      </c>
      <c r="C1740" s="83" t="s">
        <v>68</v>
      </c>
      <c r="D1740" s="189">
        <v>1178037.0</v>
      </c>
      <c r="E1740" s="83"/>
      <c r="F1740" s="83">
        <v>2.9428092E7</v>
      </c>
      <c r="G1740" s="185" t="s">
        <v>9629</v>
      </c>
      <c r="H1740" s="91" t="s">
        <v>9630</v>
      </c>
      <c r="I1740" s="114" t="s">
        <v>149</v>
      </c>
      <c r="J1740" s="83" t="s">
        <v>150</v>
      </c>
      <c r="K1740" s="83" t="s">
        <v>3467</v>
      </c>
      <c r="L1740" s="82" t="s">
        <v>152</v>
      </c>
      <c r="M1740" s="82" t="s">
        <v>13799</v>
      </c>
      <c r="N1740" s="82" t="s">
        <v>13800</v>
      </c>
      <c r="O1740" s="82" t="s">
        <v>13801</v>
      </c>
      <c r="P1740" s="82" t="s">
        <v>13802</v>
      </c>
      <c r="Q1740" s="82"/>
      <c r="R1740" s="82"/>
      <c r="S1740" s="82" t="s">
        <v>13803</v>
      </c>
      <c r="T1740" s="138">
        <v>9.0</v>
      </c>
      <c r="U1740" s="331" t="s">
        <v>13804</v>
      </c>
      <c r="V1740" s="106">
        <v>0.0</v>
      </c>
      <c r="W1740" s="107">
        <v>0.0</v>
      </c>
      <c r="X1740" s="107">
        <v>0.0</v>
      </c>
      <c r="Y1740" s="107">
        <v>0.0</v>
      </c>
      <c r="Z1740" s="80">
        <v>0.0</v>
      </c>
      <c r="AA1740" s="140">
        <v>0.0</v>
      </c>
      <c r="AB1740" s="109">
        <v>0.0</v>
      </c>
      <c r="AC1740" s="109">
        <v>0.0</v>
      </c>
      <c r="AD1740" s="141">
        <v>0.0</v>
      </c>
      <c r="AE1740" s="80">
        <v>0.0</v>
      </c>
      <c r="AF1740" s="140">
        <v>313.0</v>
      </c>
      <c r="AG1740" s="109">
        <v>100.0</v>
      </c>
      <c r="AH1740" s="109">
        <v>30.0</v>
      </c>
      <c r="AI1740" s="141">
        <v>0.0</v>
      </c>
      <c r="AJ1740" s="80">
        <v>443.0</v>
      </c>
      <c r="AK1740" s="140">
        <v>0.0</v>
      </c>
      <c r="AL1740" s="109">
        <v>0.0</v>
      </c>
      <c r="AM1740" s="141">
        <v>0.0</v>
      </c>
      <c r="AN1740" s="80">
        <v>0.0</v>
      </c>
      <c r="AO1740" s="140">
        <v>0.0</v>
      </c>
      <c r="AP1740" s="109">
        <v>0.0</v>
      </c>
      <c r="AQ1740" s="109">
        <v>115.0</v>
      </c>
      <c r="AR1740" s="80">
        <v>115.0</v>
      </c>
      <c r="AS1740" s="110">
        <v>0.0</v>
      </c>
      <c r="AT1740" s="110">
        <v>0.0</v>
      </c>
      <c r="AU1740" s="110">
        <v>0.0</v>
      </c>
      <c r="AV1740" s="142">
        <v>0.0</v>
      </c>
      <c r="AW1740" s="80">
        <v>0.0</v>
      </c>
      <c r="AX1740" s="113">
        <v>558.0</v>
      </c>
      <c r="AY1740" s="117">
        <v>413.0</v>
      </c>
      <c r="AZ1740" s="328">
        <v>145.0</v>
      </c>
      <c r="BA1740" s="315">
        <v>0.0</v>
      </c>
      <c r="BB1740" s="316">
        <v>558.0</v>
      </c>
      <c r="BC1740" s="132" t="s">
        <v>178</v>
      </c>
      <c r="BD1740" s="132" t="s">
        <v>178</v>
      </c>
      <c r="BE1740" s="132" t="s">
        <v>178</v>
      </c>
      <c r="BF1740" s="156"/>
      <c r="BG1740" s="83">
        <v>1178037.0</v>
      </c>
      <c r="BH1740" s="112">
        <v>9.0</v>
      </c>
      <c r="BI1740" s="98" t="s">
        <v>155</v>
      </c>
      <c r="BJ1740" s="98" t="str">
        <f t="shared" si="1"/>
        <v>NÃO</v>
      </c>
      <c r="BK1740" s="98" t="str">
        <f t="shared" si="2"/>
        <v>NÃO</v>
      </c>
    </row>
    <row r="1741" ht="15.75" customHeight="1">
      <c r="A1741" s="111" t="s">
        <v>1842</v>
      </c>
      <c r="B1741" s="83" t="s">
        <v>9624</v>
      </c>
      <c r="C1741" s="83" t="s">
        <v>68</v>
      </c>
      <c r="D1741" s="189">
        <v>1178401.0</v>
      </c>
      <c r="E1741" s="83"/>
      <c r="F1741" s="83">
        <v>2.9397707E7</v>
      </c>
      <c r="G1741" s="185" t="s">
        <v>9641</v>
      </c>
      <c r="H1741" s="91" t="s">
        <v>9642</v>
      </c>
      <c r="I1741" s="114" t="s">
        <v>149</v>
      </c>
      <c r="J1741" s="83" t="s">
        <v>150</v>
      </c>
      <c r="K1741" s="83" t="s">
        <v>3467</v>
      </c>
      <c r="L1741" s="82" t="s">
        <v>76</v>
      </c>
      <c r="M1741" s="82" t="s">
        <v>13793</v>
      </c>
      <c r="N1741" s="82" t="s">
        <v>13794</v>
      </c>
      <c r="O1741" s="82" t="s">
        <v>13795</v>
      </c>
      <c r="P1741" s="82" t="s">
        <v>13796</v>
      </c>
      <c r="Q1741" s="82"/>
      <c r="R1741" s="82"/>
      <c r="S1741" s="82" t="s">
        <v>13797</v>
      </c>
      <c r="T1741" s="138">
        <v>7.0</v>
      </c>
      <c r="U1741" s="323">
        <v>6.0</v>
      </c>
      <c r="V1741" s="106">
        <v>0.0</v>
      </c>
      <c r="W1741" s="107">
        <v>0.0</v>
      </c>
      <c r="X1741" s="107">
        <v>0.0</v>
      </c>
      <c r="Y1741" s="107">
        <v>0.0</v>
      </c>
      <c r="Z1741" s="80">
        <v>0.0</v>
      </c>
      <c r="AA1741" s="140">
        <v>0.0</v>
      </c>
      <c r="AB1741" s="109">
        <v>0.0</v>
      </c>
      <c r="AC1741" s="109">
        <v>0.0</v>
      </c>
      <c r="AD1741" s="141">
        <v>0.0</v>
      </c>
      <c r="AE1741" s="80">
        <v>0.0</v>
      </c>
      <c r="AF1741" s="140">
        <v>148.0</v>
      </c>
      <c r="AG1741" s="109">
        <v>144.0</v>
      </c>
      <c r="AH1741" s="109">
        <v>115.0</v>
      </c>
      <c r="AI1741" s="141">
        <v>66.0</v>
      </c>
      <c r="AJ1741" s="80">
        <v>473.0</v>
      </c>
      <c r="AK1741" s="140">
        <v>0.0</v>
      </c>
      <c r="AL1741" s="109">
        <v>0.0</v>
      </c>
      <c r="AM1741" s="141">
        <v>0.0</v>
      </c>
      <c r="AN1741" s="80">
        <v>0.0</v>
      </c>
      <c r="AO1741" s="140">
        <v>0.0</v>
      </c>
      <c r="AP1741" s="109">
        <v>0.0</v>
      </c>
      <c r="AQ1741" s="109">
        <v>0.0</v>
      </c>
      <c r="AR1741" s="80">
        <v>0.0</v>
      </c>
      <c r="AS1741" s="110">
        <v>0.0</v>
      </c>
      <c r="AT1741" s="110">
        <v>0.0</v>
      </c>
      <c r="AU1741" s="110">
        <v>0.0</v>
      </c>
      <c r="AV1741" s="142">
        <v>0.0</v>
      </c>
      <c r="AW1741" s="80">
        <v>0.0</v>
      </c>
      <c r="AX1741" s="113">
        <v>473.0</v>
      </c>
      <c r="AY1741" s="117">
        <v>358.0</v>
      </c>
      <c r="AZ1741" s="328">
        <v>115.0</v>
      </c>
      <c r="BA1741" s="315">
        <v>0.0</v>
      </c>
      <c r="BB1741" s="316">
        <v>473.0</v>
      </c>
      <c r="BC1741" s="143" t="s">
        <v>1294</v>
      </c>
      <c r="BD1741" s="132" t="s">
        <v>178</v>
      </c>
      <c r="BE1741" s="132" t="s">
        <v>178</v>
      </c>
      <c r="BF1741" s="156"/>
      <c r="BG1741" s="83">
        <v>1178401.0</v>
      </c>
      <c r="BH1741" s="112">
        <v>6.0</v>
      </c>
      <c r="BI1741" s="98" t="s">
        <v>155</v>
      </c>
      <c r="BJ1741" s="98" t="str">
        <f t="shared" si="1"/>
        <v>INTEGRAL</v>
      </c>
      <c r="BK1741" s="98" t="str">
        <f t="shared" si="2"/>
        <v>NÃO</v>
      </c>
    </row>
    <row r="1742" ht="15.75" customHeight="1">
      <c r="A1742" s="111" t="s">
        <v>1842</v>
      </c>
      <c r="B1742" s="83" t="s">
        <v>9624</v>
      </c>
      <c r="C1742" s="83" t="s">
        <v>164</v>
      </c>
      <c r="D1742" s="189">
        <v>1178037.0</v>
      </c>
      <c r="E1742" s="83">
        <v>1178538.0</v>
      </c>
      <c r="F1742" s="83"/>
      <c r="G1742" s="185" t="s">
        <v>9645</v>
      </c>
      <c r="H1742" s="91" t="s">
        <v>9647</v>
      </c>
      <c r="I1742" s="114" t="s">
        <v>149</v>
      </c>
      <c r="J1742" s="83" t="s">
        <v>331</v>
      </c>
      <c r="K1742" s="83" t="s">
        <v>168</v>
      </c>
      <c r="L1742" s="82" t="s">
        <v>169</v>
      </c>
      <c r="M1742" s="82" t="s">
        <v>13799</v>
      </c>
      <c r="N1742" s="82" t="s">
        <v>13800</v>
      </c>
      <c r="O1742" s="82" t="s">
        <v>13801</v>
      </c>
      <c r="P1742" s="82" t="s">
        <v>13802</v>
      </c>
      <c r="Q1742" s="82"/>
      <c r="R1742" s="82"/>
      <c r="S1742" s="82" t="s">
        <v>13803</v>
      </c>
      <c r="T1742" s="138">
        <v>3.0</v>
      </c>
      <c r="U1742" s="323">
        <v>3.0</v>
      </c>
      <c r="V1742" s="106">
        <v>0.0</v>
      </c>
      <c r="W1742" s="107">
        <v>0.0</v>
      </c>
      <c r="X1742" s="107">
        <v>0.0</v>
      </c>
      <c r="Y1742" s="107">
        <v>0.0</v>
      </c>
      <c r="Z1742" s="80">
        <v>0.0</v>
      </c>
      <c r="AA1742" s="140">
        <v>0.0</v>
      </c>
      <c r="AB1742" s="109">
        <v>0.0</v>
      </c>
      <c r="AC1742" s="109">
        <v>0.0</v>
      </c>
      <c r="AD1742" s="141">
        <v>0.0</v>
      </c>
      <c r="AE1742" s="80">
        <v>0.0</v>
      </c>
      <c r="AF1742" s="140">
        <v>0.0</v>
      </c>
      <c r="AG1742" s="109">
        <v>0.0</v>
      </c>
      <c r="AH1742" s="109">
        <v>17.0</v>
      </c>
      <c r="AI1742" s="141">
        <v>0.0</v>
      </c>
      <c r="AJ1742" s="80">
        <v>17.0</v>
      </c>
      <c r="AK1742" s="140">
        <v>0.0</v>
      </c>
      <c r="AL1742" s="109">
        <v>0.0</v>
      </c>
      <c r="AM1742" s="141">
        <v>0.0</v>
      </c>
      <c r="AN1742" s="80">
        <v>0.0</v>
      </c>
      <c r="AO1742" s="140">
        <v>0.0</v>
      </c>
      <c r="AP1742" s="109">
        <v>0.0</v>
      </c>
      <c r="AQ1742" s="109">
        <v>23.0</v>
      </c>
      <c r="AR1742" s="80">
        <v>23.0</v>
      </c>
      <c r="AS1742" s="110">
        <v>0.0</v>
      </c>
      <c r="AT1742" s="110">
        <v>0.0</v>
      </c>
      <c r="AU1742" s="110">
        <v>0.0</v>
      </c>
      <c r="AV1742" s="142">
        <v>0.0</v>
      </c>
      <c r="AW1742" s="80">
        <v>0.0</v>
      </c>
      <c r="AX1742" s="113">
        <v>40.0</v>
      </c>
      <c r="AY1742" s="117">
        <v>0.0</v>
      </c>
      <c r="AZ1742" s="328">
        <v>40.0</v>
      </c>
      <c r="BA1742" s="315">
        <v>0.0</v>
      </c>
      <c r="BB1742" s="316">
        <v>40.0</v>
      </c>
      <c r="BC1742" s="132" t="s">
        <v>373</v>
      </c>
      <c r="BD1742" s="132" t="s">
        <v>178</v>
      </c>
      <c r="BE1742" s="132" t="s">
        <v>178</v>
      </c>
      <c r="BF1742" s="156"/>
      <c r="BG1742" s="83">
        <v>1178538.0</v>
      </c>
      <c r="BH1742" s="112">
        <v>3.0</v>
      </c>
      <c r="BI1742" s="98" t="s">
        <v>155</v>
      </c>
      <c r="BJ1742" s="98" t="str">
        <f t="shared" si="1"/>
        <v>NÃO</v>
      </c>
      <c r="BK1742" s="98" t="str">
        <f t="shared" si="2"/>
        <v>NÃO</v>
      </c>
    </row>
    <row r="1743" ht="15.75" customHeight="1">
      <c r="A1743" s="111" t="s">
        <v>1842</v>
      </c>
      <c r="B1743" s="83" t="s">
        <v>9624</v>
      </c>
      <c r="C1743" s="83" t="s">
        <v>164</v>
      </c>
      <c r="D1743" s="83">
        <v>1178037.0</v>
      </c>
      <c r="E1743" s="83">
        <v>1178537.0</v>
      </c>
      <c r="F1743" s="83"/>
      <c r="G1743" s="185" t="s">
        <v>9656</v>
      </c>
      <c r="H1743" s="91" t="s">
        <v>9657</v>
      </c>
      <c r="I1743" s="114" t="s">
        <v>149</v>
      </c>
      <c r="J1743" s="83" t="s">
        <v>872</v>
      </c>
      <c r="K1743" s="83" t="s">
        <v>168</v>
      </c>
      <c r="L1743" s="82" t="s">
        <v>169</v>
      </c>
      <c r="M1743" s="82" t="s">
        <v>13799</v>
      </c>
      <c r="N1743" s="82" t="s">
        <v>13800</v>
      </c>
      <c r="O1743" s="82" t="s">
        <v>13801</v>
      </c>
      <c r="P1743" s="82" t="s">
        <v>13802</v>
      </c>
      <c r="Q1743" s="82"/>
      <c r="R1743" s="82"/>
      <c r="S1743" s="82" t="s">
        <v>13803</v>
      </c>
      <c r="T1743" s="138">
        <v>3.0</v>
      </c>
      <c r="U1743" s="323">
        <v>3.0</v>
      </c>
      <c r="V1743" s="106">
        <v>0.0</v>
      </c>
      <c r="W1743" s="107">
        <v>0.0</v>
      </c>
      <c r="X1743" s="107">
        <v>0.0</v>
      </c>
      <c r="Y1743" s="107">
        <v>0.0</v>
      </c>
      <c r="Z1743" s="80">
        <v>0.0</v>
      </c>
      <c r="AA1743" s="140">
        <v>0.0</v>
      </c>
      <c r="AB1743" s="109">
        <v>0.0</v>
      </c>
      <c r="AC1743" s="109">
        <v>0.0</v>
      </c>
      <c r="AD1743" s="141">
        <v>0.0</v>
      </c>
      <c r="AE1743" s="80">
        <v>0.0</v>
      </c>
      <c r="AF1743" s="140">
        <v>0.0</v>
      </c>
      <c r="AG1743" s="109">
        <v>0.0</v>
      </c>
      <c r="AH1743" s="109">
        <v>10.0</v>
      </c>
      <c r="AI1743" s="141">
        <v>0.0</v>
      </c>
      <c r="AJ1743" s="80">
        <v>10.0</v>
      </c>
      <c r="AK1743" s="140">
        <v>0.0</v>
      </c>
      <c r="AL1743" s="109">
        <v>0.0</v>
      </c>
      <c r="AM1743" s="141">
        <v>0.0</v>
      </c>
      <c r="AN1743" s="80">
        <v>0.0</v>
      </c>
      <c r="AO1743" s="140">
        <v>0.0</v>
      </c>
      <c r="AP1743" s="109">
        <v>0.0</v>
      </c>
      <c r="AQ1743" s="109">
        <v>45.0</v>
      </c>
      <c r="AR1743" s="80">
        <v>45.0</v>
      </c>
      <c r="AS1743" s="110">
        <v>0.0</v>
      </c>
      <c r="AT1743" s="110">
        <v>0.0</v>
      </c>
      <c r="AU1743" s="110">
        <v>0.0</v>
      </c>
      <c r="AV1743" s="142">
        <v>0.0</v>
      </c>
      <c r="AW1743" s="80">
        <v>0.0</v>
      </c>
      <c r="AX1743" s="113">
        <v>55.0</v>
      </c>
      <c r="AY1743" s="117">
        <v>0.0</v>
      </c>
      <c r="AZ1743" s="328">
        <v>55.0</v>
      </c>
      <c r="BA1743" s="315">
        <v>0.0</v>
      </c>
      <c r="BB1743" s="316">
        <v>55.0</v>
      </c>
      <c r="BC1743" s="132" t="s">
        <v>373</v>
      </c>
      <c r="BD1743" s="132" t="s">
        <v>178</v>
      </c>
      <c r="BE1743" s="132" t="s">
        <v>178</v>
      </c>
      <c r="BF1743" s="123"/>
      <c r="BG1743" s="83">
        <v>1178537.0</v>
      </c>
      <c r="BH1743" s="112">
        <v>3.0</v>
      </c>
      <c r="BI1743" s="98" t="s">
        <v>155</v>
      </c>
      <c r="BJ1743" s="98" t="str">
        <f t="shared" si="1"/>
        <v>NÃO</v>
      </c>
      <c r="BK1743" s="98" t="str">
        <f t="shared" si="2"/>
        <v>NÃO</v>
      </c>
    </row>
    <row r="1744" ht="15.75" customHeight="1">
      <c r="A1744" s="111" t="s">
        <v>1842</v>
      </c>
      <c r="B1744" s="83" t="s">
        <v>9624</v>
      </c>
      <c r="C1744" s="83" t="s">
        <v>164</v>
      </c>
      <c r="D1744" s="83">
        <v>1178401.0</v>
      </c>
      <c r="E1744" s="189">
        <v>1179715.0</v>
      </c>
      <c r="F1744" s="83"/>
      <c r="G1744" s="376" t="s">
        <v>9664</v>
      </c>
      <c r="H1744" s="91" t="s">
        <v>9665</v>
      </c>
      <c r="I1744" s="114" t="s">
        <v>171</v>
      </c>
      <c r="J1744" s="98" t="s">
        <v>310</v>
      </c>
      <c r="K1744" s="83" t="s">
        <v>168</v>
      </c>
      <c r="L1744" s="82" t="s">
        <v>512</v>
      </c>
      <c r="M1744" s="82" t="s">
        <v>13793</v>
      </c>
      <c r="N1744" s="82" t="s">
        <v>13794</v>
      </c>
      <c r="O1744" s="82" t="s">
        <v>13795</v>
      </c>
      <c r="P1744" s="82" t="s">
        <v>13796</v>
      </c>
      <c r="Q1744" s="82"/>
      <c r="R1744" s="82"/>
      <c r="S1744" s="82" t="s">
        <v>13797</v>
      </c>
      <c r="T1744" s="138" t="s">
        <v>171</v>
      </c>
      <c r="U1744" s="331">
        <v>3.0</v>
      </c>
      <c r="V1744" s="106">
        <v>0.0</v>
      </c>
      <c r="W1744" s="107">
        <v>0.0</v>
      </c>
      <c r="X1744" s="107">
        <v>0.0</v>
      </c>
      <c r="Y1744" s="107">
        <v>0.0</v>
      </c>
      <c r="Z1744" s="80">
        <v>0.0</v>
      </c>
      <c r="AA1744" s="140">
        <v>0.0</v>
      </c>
      <c r="AB1744" s="109">
        <v>0.0</v>
      </c>
      <c r="AC1744" s="109">
        <v>0.0</v>
      </c>
      <c r="AD1744" s="141">
        <v>0.0</v>
      </c>
      <c r="AE1744" s="80">
        <v>0.0</v>
      </c>
      <c r="AF1744" s="140">
        <v>0.0</v>
      </c>
      <c r="AG1744" s="109">
        <v>0.0</v>
      </c>
      <c r="AH1744" s="109">
        <v>16.0</v>
      </c>
      <c r="AI1744" s="141">
        <v>0.0</v>
      </c>
      <c r="AJ1744" s="80">
        <v>16.0</v>
      </c>
      <c r="AK1744" s="140">
        <v>0.0</v>
      </c>
      <c r="AL1744" s="109">
        <v>0.0</v>
      </c>
      <c r="AM1744" s="141">
        <v>0.0</v>
      </c>
      <c r="AN1744" s="80">
        <v>0.0</v>
      </c>
      <c r="AO1744" s="140">
        <v>0.0</v>
      </c>
      <c r="AP1744" s="109">
        <v>0.0</v>
      </c>
      <c r="AQ1744" s="109">
        <v>0.0</v>
      </c>
      <c r="AR1744" s="80">
        <v>0.0</v>
      </c>
      <c r="AS1744" s="110">
        <v>0.0</v>
      </c>
      <c r="AT1744" s="110">
        <v>0.0</v>
      </c>
      <c r="AU1744" s="110">
        <v>0.0</v>
      </c>
      <c r="AV1744" s="142">
        <v>0.0</v>
      </c>
      <c r="AW1744" s="80">
        <v>0.0</v>
      </c>
      <c r="AX1744" s="113">
        <v>16.0</v>
      </c>
      <c r="AY1744" s="117">
        <v>0.0</v>
      </c>
      <c r="AZ1744" s="328">
        <v>16.0</v>
      </c>
      <c r="BA1744" s="315">
        <v>0.0</v>
      </c>
      <c r="BB1744" s="316">
        <v>16.0</v>
      </c>
      <c r="BC1744" s="143" t="s">
        <v>1294</v>
      </c>
      <c r="BD1744" s="132" t="s">
        <v>178</v>
      </c>
      <c r="BE1744" s="132" t="s">
        <v>178</v>
      </c>
      <c r="BF1744" s="156"/>
      <c r="BG1744" s="83">
        <v>1179715.0</v>
      </c>
      <c r="BH1744" s="112">
        <v>3.0</v>
      </c>
      <c r="BI1744" s="98" t="s">
        <v>155</v>
      </c>
      <c r="BJ1744" s="98" t="str">
        <f t="shared" si="1"/>
        <v>NÃO</v>
      </c>
      <c r="BK1744" s="98" t="str">
        <f t="shared" si="2"/>
        <v>NÃO</v>
      </c>
    </row>
  </sheetData>
  <customSheetViews>
    <customSheetView guid="{99CEA508-C7F0-4987-97B3-3EF1D27983A4}" filter="1" showAutoFilter="1">
      <autoFilter ref="$A$1:$BK$1744"/>
    </customSheetView>
    <customSheetView guid="{9D5BA56E-E2B4-4BAB-804E-3ED298AF01C1}" filter="1" showAutoFilter="1">
      <autoFilter ref="$A$1:$BK$1744">
        <filterColumn colId="62">
          <filters>
            <filter val="PROFISSIONAL"/>
          </filters>
        </filterColumn>
      </autoFilter>
    </customSheetView>
    <customSheetView guid="{DEFD7AC9-596F-4A25-9775-CE70D461D96D}" filter="1" showAutoFilter="1">
      <autoFilter ref="$A$1:$BH$1744">
        <filterColumn colId="2">
          <filters>
            <filter val="ESCOLA"/>
          </filters>
        </filterColumn>
      </autoFilter>
    </customSheetView>
    <customSheetView guid="{F93D0C2E-019C-4C5E-B992-D232369E1B31}" filter="1" showAutoFilter="1">
      <autoFilter ref="$A$1:$BJ$1744">
        <filterColumn colId="54">
          <filters blank="1">
            <filter val="CJCC"/>
          </filters>
        </filterColumn>
      </autoFilter>
    </customSheetView>
    <customSheetView guid="{2F56BEB0-2DA7-43C9-9187-5E2EA8BFCDAA}" filter="1" showAutoFilter="1">
      <autoFilter ref="$A$1:$BK$1744">
        <filterColumn colId="59">
          <colorFilter dxfId="5"/>
        </filterColumn>
      </autoFilter>
    </customSheetView>
  </customSheetViews>
  <conditionalFormatting sqref="M1:S1744">
    <cfRule type="beginsWith" dxfId="10" priority="1" operator="beginsWith" text="VERIFICAR CÓD">
      <formula>LEFT((M1),LEN("VERIFICAR CÓD"))=("VERIFICAR CÓD")</formula>
    </cfRule>
  </conditionalFormatting>
  <conditionalFormatting sqref="BH1:BH1744">
    <cfRule type="cellIs" dxfId="7" priority="2" operator="equal">
      <formula>U:U</formula>
    </cfRule>
  </conditionalFormatting>
  <printOptions/>
  <pageMargins bottom="0.28991666666666666" footer="0.0" header="0.0" left="0.27808333333333335" right="0.36341666666666667" top="0.2115"/>
  <pageSetup fitToHeight="0" orientation="landscape"/>
  <headerFooter>
    <oddFooter>&amp;L25/10/2021 às 14:06 (RS)&amp;C&amp;P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30.71"/>
    <col customWidth="1" min="2" max="3" width="9.43"/>
    <col customWidth="1" min="4" max="10" width="11.43"/>
    <col customWidth="1" min="11" max="12" width="9.43"/>
    <col customWidth="1" min="39" max="39" width="38.14"/>
  </cols>
  <sheetData>
    <row r="1" ht="37.5" customHeight="1">
      <c r="A1" s="441"/>
      <c r="B1" s="442" t="s">
        <v>7267</v>
      </c>
      <c r="K1" s="443"/>
      <c r="AM1" s="23"/>
      <c r="AN1" s="23"/>
      <c r="AO1" s="23"/>
      <c r="AP1" s="23"/>
      <c r="AQ1" s="23"/>
      <c r="AR1" s="23"/>
      <c r="AS1" s="23"/>
      <c r="AT1" s="23"/>
      <c r="AU1" s="23"/>
      <c r="AV1" s="23"/>
      <c r="AW1" s="23"/>
    </row>
    <row r="2" ht="37.5" customHeight="1">
      <c r="A2" s="444"/>
      <c r="B2" s="445" t="s">
        <v>330</v>
      </c>
      <c r="C2" s="2"/>
      <c r="D2" s="2"/>
      <c r="E2" s="2"/>
      <c r="F2" s="2"/>
      <c r="G2" s="2"/>
      <c r="H2" s="2"/>
      <c r="I2" s="2"/>
      <c r="J2" s="35"/>
      <c r="K2" s="446" t="s">
        <v>144</v>
      </c>
      <c r="L2" s="2"/>
      <c r="M2" s="2"/>
      <c r="N2" s="2"/>
      <c r="O2" s="2"/>
      <c r="P2" s="2"/>
      <c r="Q2" s="2"/>
      <c r="R2" s="2"/>
      <c r="S2" s="35"/>
      <c r="T2" s="445" t="s">
        <v>145</v>
      </c>
      <c r="U2" s="2"/>
      <c r="V2" s="2"/>
      <c r="W2" s="2"/>
      <c r="X2" s="2"/>
      <c r="Y2" s="2"/>
      <c r="Z2" s="3"/>
      <c r="AA2" s="447" t="s">
        <v>338</v>
      </c>
      <c r="AB2" s="2"/>
      <c r="AC2" s="2"/>
      <c r="AD2" s="2"/>
      <c r="AE2" s="2"/>
      <c r="AF2" s="35"/>
      <c r="AG2" s="445" t="s">
        <v>64</v>
      </c>
      <c r="AH2" s="2"/>
      <c r="AI2" s="2"/>
      <c r="AJ2" s="2"/>
      <c r="AK2" s="2"/>
      <c r="AL2" s="3"/>
      <c r="AM2" s="23"/>
      <c r="AN2" s="23"/>
      <c r="AO2" s="23"/>
      <c r="AP2" s="23"/>
      <c r="AQ2" s="23"/>
      <c r="AR2" s="23"/>
      <c r="AS2" s="23"/>
      <c r="AT2" s="23"/>
      <c r="AU2" s="23"/>
      <c r="AV2" s="23"/>
      <c r="AW2" s="23"/>
    </row>
    <row r="3" ht="37.5" customHeight="1">
      <c r="A3" s="448"/>
      <c r="B3" s="54" t="s">
        <v>50</v>
      </c>
      <c r="C3" s="43" t="s">
        <v>53</v>
      </c>
      <c r="D3" s="43" t="s">
        <v>55</v>
      </c>
      <c r="E3" s="43" t="s">
        <v>57</v>
      </c>
      <c r="F3" s="43" t="s">
        <v>59</v>
      </c>
      <c r="G3" s="43" t="s">
        <v>61</v>
      </c>
      <c r="H3" s="43" t="s">
        <v>62</v>
      </c>
      <c r="I3" s="43" t="s">
        <v>64</v>
      </c>
      <c r="J3" s="449" t="s">
        <v>65</v>
      </c>
      <c r="K3" s="450" t="s">
        <v>68</v>
      </c>
      <c r="L3" s="50" t="s">
        <v>72</v>
      </c>
      <c r="M3" s="159" t="s">
        <v>55</v>
      </c>
      <c r="N3" s="159" t="s">
        <v>57</v>
      </c>
      <c r="O3" s="159" t="s">
        <v>59</v>
      </c>
      <c r="P3" s="159" t="s">
        <v>61</v>
      </c>
      <c r="Q3" s="159" t="s">
        <v>62</v>
      </c>
      <c r="R3" s="159" t="s">
        <v>64</v>
      </c>
      <c r="S3" s="53" t="s">
        <v>65</v>
      </c>
      <c r="T3" s="54" t="s">
        <v>50</v>
      </c>
      <c r="U3" s="43" t="s">
        <v>53</v>
      </c>
      <c r="V3" s="43" t="s">
        <v>59</v>
      </c>
      <c r="W3" s="43" t="s">
        <v>61</v>
      </c>
      <c r="X3" s="43" t="s">
        <v>62</v>
      </c>
      <c r="Y3" s="43" t="s">
        <v>64</v>
      </c>
      <c r="Z3" s="46" t="s">
        <v>65</v>
      </c>
      <c r="AA3" s="161" t="s">
        <v>68</v>
      </c>
      <c r="AB3" s="162" t="s">
        <v>72</v>
      </c>
      <c r="AC3" s="163" t="s">
        <v>57</v>
      </c>
      <c r="AD3" s="163" t="s">
        <v>59</v>
      </c>
      <c r="AE3" s="163" t="s">
        <v>64</v>
      </c>
      <c r="AF3" s="451" t="s">
        <v>65</v>
      </c>
      <c r="AG3" s="452" t="s">
        <v>50</v>
      </c>
      <c r="AH3" s="58" t="s">
        <v>53</v>
      </c>
      <c r="AI3" s="43" t="s">
        <v>144</v>
      </c>
      <c r="AJ3" s="43" t="s">
        <v>145</v>
      </c>
      <c r="AK3" s="43" t="s">
        <v>338</v>
      </c>
      <c r="AL3" s="43" t="s">
        <v>142</v>
      </c>
      <c r="AM3" s="23"/>
      <c r="AN3" s="23"/>
      <c r="AO3" s="23"/>
      <c r="AP3" s="23"/>
      <c r="AQ3" s="23"/>
      <c r="AR3" s="23"/>
      <c r="AS3" s="23"/>
      <c r="AT3" s="23"/>
      <c r="AU3" s="23"/>
      <c r="AV3" s="23"/>
      <c r="AW3" s="23"/>
    </row>
    <row r="4" ht="37.5" customHeight="1">
      <c r="A4" s="455" t="s">
        <v>2050</v>
      </c>
      <c r="B4" s="456">
        <f t="shared" ref="B4:B13" si="1">VLOOKUP(A4,$A$15:$AL$436,2,0)</f>
        <v>42</v>
      </c>
      <c r="C4" s="456">
        <f t="shared" ref="C4:C13" si="2">VLOOKUP(A4,$A$15:$AL$436,3,0)</f>
        <v>3</v>
      </c>
      <c r="D4" s="457">
        <f t="shared" ref="D4:D13" si="3">VLOOKUP(A4,$A$15:$AL$436,4,0)</f>
        <v>0</v>
      </c>
      <c r="E4" s="457">
        <f t="shared" ref="E4:E13" si="4">VLOOKUP(A4,A$15:$AL$436,5,0)</f>
        <v>7231</v>
      </c>
      <c r="F4" s="457">
        <f t="shared" ref="F4:F13" si="5">VLOOKUP(A4,A$15:$AL$436,6,0)</f>
        <v>12991</v>
      </c>
      <c r="G4" s="457">
        <f t="shared" ref="G4:G13" si="6">VLOOKUP(A4,A$15:$AL$436,7,0)</f>
        <v>358</v>
      </c>
      <c r="H4" s="457">
        <f t="shared" ref="H4:H13" si="7">VLOOKUP(A4,A$15:$AL$436,8,0)</f>
        <v>2871</v>
      </c>
      <c r="I4" s="457">
        <f t="shared" ref="I4:I13" si="8">VLOOKUP(A4,A$15:$AL$436,9,0)</f>
        <v>6393</v>
      </c>
      <c r="J4" s="458">
        <f t="shared" ref="J4:J13" si="9">VLOOKUP(A4,A$15:$AL$436,10,0)</f>
        <v>29844</v>
      </c>
      <c r="K4" s="456">
        <f t="shared" ref="K4:K13" si="10">VLOOKUP(A4,A$15:$AL$436,11,0)</f>
        <v>39</v>
      </c>
      <c r="L4" s="456">
        <f t="shared" ref="L4:L13" si="11">VLOOKUP(A4,A$15:$AL$436,12,0)</f>
        <v>3</v>
      </c>
      <c r="M4" s="459">
        <f t="shared" ref="M4:M13" si="12">VLOOKUP(A4,A$15:$AL$436,13,0)</f>
        <v>0</v>
      </c>
      <c r="N4" s="459">
        <f t="shared" ref="N4:N13" si="13">VLOOKUP(A4,A$15:$AL$436,14,0)</f>
        <v>5757</v>
      </c>
      <c r="O4" s="459">
        <f t="shared" ref="O4:O13" si="14">VLOOKUP(A4,A$15:$AL$436,15,0)</f>
        <v>7541</v>
      </c>
      <c r="P4" s="459">
        <f t="shared" ref="P4:P13" si="15">VLOOKUP(A4,A$15:$AL$436,16,0)</f>
        <v>183</v>
      </c>
      <c r="Q4" s="459">
        <f t="shared" ref="Q4:Q13" si="16">VLOOKUP(A4,A$15:$AL$436,17,0)</f>
        <v>123</v>
      </c>
      <c r="R4" s="459">
        <f t="shared" ref="R4:R13" si="17">VLOOKUP(A4,A$15:$AL$436,18,0)</f>
        <v>3881</v>
      </c>
      <c r="S4" s="458">
        <f t="shared" ref="S4:S13" si="18">VLOOKUP(A4,A$15:$AF$436,19,0)</f>
        <v>17485</v>
      </c>
      <c r="T4" s="456">
        <f t="shared" ref="T4:T13" si="19">VLOOKUP(A4,A$15:$AL$436,20,)</f>
        <v>30</v>
      </c>
      <c r="U4" s="456">
        <f t="shared" ref="U4:U13" si="20">VLOOKUP(A4,A$15:$AL$3790,21,0)</f>
        <v>0</v>
      </c>
      <c r="V4" s="457">
        <f t="shared" ref="V4:V13" si="21">VLOOKUP(A4,A$15:$AL$436,22,0)</f>
        <v>0</v>
      </c>
      <c r="W4" s="457">
        <f t="shared" ref="W4:W13" si="22">VLOOKUP(A4,A$15:$AL$436,23,0)</f>
        <v>175</v>
      </c>
      <c r="X4" s="457">
        <f t="shared" ref="X4:X13" si="23">VLOOKUP(A4,A$15:$AL$436,24,0)</f>
        <v>2748</v>
      </c>
      <c r="Y4" s="457">
        <f t="shared" ref="Y4:Y13" si="24">VLOOKUP(A4,A$15:$AL$436,25,0)</f>
        <v>2310</v>
      </c>
      <c r="Z4" s="460">
        <f t="shared" ref="Z4:Z13" si="25">VLOOKUP(A4,A$15:$AL$436,26,0)</f>
        <v>5233</v>
      </c>
      <c r="AA4" s="461">
        <f t="shared" ref="AA4:AA13" si="26">VLOOKUP(A4,A$15:$AL$436,27,0)</f>
        <v>24</v>
      </c>
      <c r="AB4" s="462">
        <f t="shared" ref="AB4:AB13" si="27">VLOOKUP(A4,A$15:$AL$436,28,0)</f>
        <v>0</v>
      </c>
      <c r="AC4" s="464">
        <f t="shared" ref="AC4:AC13" si="28">VLOOKUP(A4,A$15:$AL$436,29,0)</f>
        <v>1474</v>
      </c>
      <c r="AD4" s="464">
        <f t="shared" ref="AD4:AD13" si="29">VLOOKUP(A4,A$15:$AL$436,30,0)</f>
        <v>5450</v>
      </c>
      <c r="AE4" s="464">
        <f t="shared" ref="AE4:AE13" si="30">VLOOKUP(A4,A$15:$AL$436,31,0)</f>
        <v>202</v>
      </c>
      <c r="AF4" s="465">
        <f t="shared" ref="AF4:AF13" si="31">VLOOKUP(A4,$A$15:$AL$436,32,0)</f>
        <v>7126</v>
      </c>
      <c r="AG4" s="466">
        <f t="shared" ref="AG4:AG13" si="32">VLOOKUP(A4,A$15:$AL$436,33,0)</f>
        <v>26</v>
      </c>
      <c r="AH4" s="462">
        <f t="shared" ref="AH4:AH13" si="33">VLOOKUP($A4,A$15:$AL$436,34,0)</f>
        <v>1</v>
      </c>
      <c r="AI4" s="467">
        <f t="shared" ref="AI4:AI13" si="34">VLOOKUP($A4,$A$15:$AL$436,35,0)</f>
        <v>3881</v>
      </c>
      <c r="AJ4" s="467">
        <f t="shared" ref="AJ4:AJ13" si="35">VLOOKUP($A4,$A$15:$AL$436,36,0)</f>
        <v>2310</v>
      </c>
      <c r="AK4" s="467">
        <f t="shared" ref="AK4:AK13" si="36">VLOOKUP($A4,$A$15:$AL$436,37,0)</f>
        <v>202</v>
      </c>
      <c r="AL4" s="462">
        <f t="shared" ref="AL4:AL13" si="37">VLOOKUP($A4,$A$15:$AL$436,38,0)</f>
        <v>6393</v>
      </c>
      <c r="AM4" s="23"/>
      <c r="AN4" s="23"/>
      <c r="AO4" s="23"/>
      <c r="AP4" s="23"/>
      <c r="AQ4" s="23"/>
      <c r="AR4" s="23"/>
      <c r="AS4" s="23"/>
      <c r="AT4" s="23"/>
      <c r="AU4" s="23"/>
      <c r="AV4" s="23"/>
      <c r="AW4" s="23"/>
    </row>
    <row r="5" ht="37.5" customHeight="1">
      <c r="A5" s="455" t="s">
        <v>5101</v>
      </c>
      <c r="B5" s="456">
        <f t="shared" si="1"/>
        <v>2</v>
      </c>
      <c r="C5" s="456">
        <f t="shared" si="2"/>
        <v>2</v>
      </c>
      <c r="D5" s="457">
        <f t="shared" si="3"/>
        <v>0</v>
      </c>
      <c r="E5" s="457">
        <f t="shared" si="4"/>
        <v>0</v>
      </c>
      <c r="F5" s="457">
        <f t="shared" si="5"/>
        <v>324</v>
      </c>
      <c r="G5" s="457">
        <f t="shared" si="6"/>
        <v>0</v>
      </c>
      <c r="H5" s="457">
        <f t="shared" si="7"/>
        <v>34</v>
      </c>
      <c r="I5" s="457">
        <f t="shared" si="8"/>
        <v>908</v>
      </c>
      <c r="J5" s="458">
        <f t="shared" si="9"/>
        <v>1266</v>
      </c>
      <c r="K5" s="456">
        <f t="shared" si="10"/>
        <v>2</v>
      </c>
      <c r="L5" s="456">
        <f t="shared" si="11"/>
        <v>0</v>
      </c>
      <c r="M5" s="459">
        <f t="shared" si="12"/>
        <v>0</v>
      </c>
      <c r="N5" s="459">
        <f t="shared" si="13"/>
        <v>0</v>
      </c>
      <c r="O5" s="459">
        <f t="shared" si="14"/>
        <v>214</v>
      </c>
      <c r="P5" s="459">
        <f t="shared" si="15"/>
        <v>0</v>
      </c>
      <c r="Q5" s="459">
        <f t="shared" si="16"/>
        <v>0</v>
      </c>
      <c r="R5" s="459">
        <f t="shared" si="17"/>
        <v>785</v>
      </c>
      <c r="S5" s="458">
        <f t="shared" si="18"/>
        <v>999</v>
      </c>
      <c r="T5" s="456">
        <f t="shared" si="19"/>
        <v>2</v>
      </c>
      <c r="U5" s="456">
        <f t="shared" si="20"/>
        <v>2</v>
      </c>
      <c r="V5" s="457">
        <f t="shared" si="21"/>
        <v>110</v>
      </c>
      <c r="W5" s="457">
        <f t="shared" si="22"/>
        <v>0</v>
      </c>
      <c r="X5" s="457">
        <f t="shared" si="23"/>
        <v>34</v>
      </c>
      <c r="Y5" s="457">
        <f t="shared" si="24"/>
        <v>123</v>
      </c>
      <c r="Z5" s="460">
        <f t="shared" si="25"/>
        <v>267</v>
      </c>
      <c r="AA5" s="461">
        <f t="shared" si="26"/>
        <v>0</v>
      </c>
      <c r="AB5" s="462">
        <f t="shared" si="27"/>
        <v>0</v>
      </c>
      <c r="AC5" s="464">
        <f t="shared" si="28"/>
        <v>0</v>
      </c>
      <c r="AD5" s="464">
        <f t="shared" si="29"/>
        <v>0</v>
      </c>
      <c r="AE5" s="464">
        <f t="shared" si="30"/>
        <v>0</v>
      </c>
      <c r="AF5" s="465">
        <f t="shared" si="31"/>
        <v>0</v>
      </c>
      <c r="AG5" s="466">
        <f t="shared" si="32"/>
        <v>1</v>
      </c>
      <c r="AH5" s="462">
        <f t="shared" si="33"/>
        <v>0</v>
      </c>
      <c r="AI5" s="467">
        <f t="shared" si="34"/>
        <v>785</v>
      </c>
      <c r="AJ5" s="467">
        <f t="shared" si="35"/>
        <v>123</v>
      </c>
      <c r="AK5" s="467">
        <f t="shared" si="36"/>
        <v>0</v>
      </c>
      <c r="AL5" s="462">
        <f t="shared" si="37"/>
        <v>908</v>
      </c>
      <c r="AM5" s="23"/>
      <c r="AN5" s="23"/>
      <c r="AO5" s="23"/>
      <c r="AP5" s="23"/>
      <c r="AQ5" s="23"/>
      <c r="AR5" s="23"/>
      <c r="AS5" s="23"/>
      <c r="AT5" s="23"/>
      <c r="AU5" s="23"/>
      <c r="AV5" s="23"/>
      <c r="AW5" s="23"/>
    </row>
    <row r="6" ht="37.5" customHeight="1">
      <c r="A6" s="455" t="s">
        <v>1994</v>
      </c>
      <c r="B6" s="456">
        <f t="shared" si="1"/>
        <v>191</v>
      </c>
      <c r="C6" s="456">
        <f t="shared" si="2"/>
        <v>2</v>
      </c>
      <c r="D6" s="457">
        <f t="shared" si="3"/>
        <v>0</v>
      </c>
      <c r="E6" s="457">
        <f t="shared" si="4"/>
        <v>53368</v>
      </c>
      <c r="F6" s="457">
        <f t="shared" si="5"/>
        <v>44708</v>
      </c>
      <c r="G6" s="457">
        <f t="shared" si="6"/>
        <v>4335</v>
      </c>
      <c r="H6" s="457">
        <f t="shared" si="7"/>
        <v>13141</v>
      </c>
      <c r="I6" s="457">
        <f t="shared" si="8"/>
        <v>23692</v>
      </c>
      <c r="J6" s="458">
        <f t="shared" si="9"/>
        <v>139244</v>
      </c>
      <c r="K6" s="456">
        <f t="shared" si="10"/>
        <v>183</v>
      </c>
      <c r="L6" s="456">
        <f t="shared" si="11"/>
        <v>2</v>
      </c>
      <c r="M6" s="459">
        <f t="shared" si="12"/>
        <v>0</v>
      </c>
      <c r="N6" s="459">
        <f t="shared" si="13"/>
        <v>42885</v>
      </c>
      <c r="O6" s="459">
        <f t="shared" si="14"/>
        <v>35698</v>
      </c>
      <c r="P6" s="459">
        <f t="shared" si="15"/>
        <v>1219</v>
      </c>
      <c r="Q6" s="459">
        <f t="shared" si="16"/>
        <v>264</v>
      </c>
      <c r="R6" s="459">
        <f t="shared" si="17"/>
        <v>11737</v>
      </c>
      <c r="S6" s="458">
        <f t="shared" si="18"/>
        <v>91803</v>
      </c>
      <c r="T6" s="456">
        <f t="shared" si="19"/>
        <v>122</v>
      </c>
      <c r="U6" s="456">
        <f t="shared" si="20"/>
        <v>1</v>
      </c>
      <c r="V6" s="457">
        <f t="shared" si="21"/>
        <v>0</v>
      </c>
      <c r="W6" s="457">
        <f t="shared" si="22"/>
        <v>3116</v>
      </c>
      <c r="X6" s="457">
        <f t="shared" si="23"/>
        <v>12877</v>
      </c>
      <c r="Y6" s="457">
        <f t="shared" si="24"/>
        <v>10006</v>
      </c>
      <c r="Z6" s="460">
        <f t="shared" si="25"/>
        <v>25999</v>
      </c>
      <c r="AA6" s="461">
        <f t="shared" si="26"/>
        <v>102</v>
      </c>
      <c r="AB6" s="462">
        <f t="shared" si="27"/>
        <v>0</v>
      </c>
      <c r="AC6" s="464">
        <f t="shared" si="28"/>
        <v>10483</v>
      </c>
      <c r="AD6" s="464">
        <f t="shared" si="29"/>
        <v>9010</v>
      </c>
      <c r="AE6" s="464">
        <f t="shared" si="30"/>
        <v>1949</v>
      </c>
      <c r="AF6" s="465">
        <f t="shared" si="31"/>
        <v>21442</v>
      </c>
      <c r="AG6" s="466">
        <f t="shared" si="32"/>
        <v>75</v>
      </c>
      <c r="AH6" s="462">
        <f t="shared" si="33"/>
        <v>0</v>
      </c>
      <c r="AI6" s="467">
        <f t="shared" si="34"/>
        <v>11737</v>
      </c>
      <c r="AJ6" s="467">
        <f t="shared" si="35"/>
        <v>10006</v>
      </c>
      <c r="AK6" s="467">
        <f t="shared" si="36"/>
        <v>1949</v>
      </c>
      <c r="AL6" s="462">
        <f t="shared" si="37"/>
        <v>23692</v>
      </c>
      <c r="AM6" s="23"/>
      <c r="AN6" s="23"/>
      <c r="AO6" s="23"/>
      <c r="AP6" s="23"/>
      <c r="AQ6" s="23"/>
      <c r="AR6" s="23"/>
      <c r="AS6" s="23"/>
      <c r="AT6" s="23"/>
      <c r="AU6" s="23"/>
      <c r="AV6" s="23"/>
      <c r="AW6" s="23"/>
    </row>
    <row r="7" ht="37.5" customHeight="1">
      <c r="A7" s="455" t="s">
        <v>171</v>
      </c>
      <c r="B7" s="456" t="str">
        <f t="shared" si="1"/>
        <v>-</v>
      </c>
      <c r="C7" s="456" t="str">
        <f t="shared" si="2"/>
        <v>-</v>
      </c>
      <c r="D7" s="457" t="str">
        <f t="shared" si="3"/>
        <v>-</v>
      </c>
      <c r="E7" s="457" t="str">
        <f t="shared" si="4"/>
        <v>-</v>
      </c>
      <c r="F7" s="457" t="str">
        <f t="shared" si="5"/>
        <v>-</v>
      </c>
      <c r="G7" s="457" t="str">
        <f t="shared" si="6"/>
        <v>-</v>
      </c>
      <c r="H7" s="457" t="str">
        <f t="shared" si="7"/>
        <v>-</v>
      </c>
      <c r="I7" s="457" t="str">
        <f t="shared" si="8"/>
        <v>-</v>
      </c>
      <c r="J7" s="458" t="str">
        <f t="shared" si="9"/>
        <v>-</v>
      </c>
      <c r="K7" s="456" t="str">
        <f t="shared" si="10"/>
        <v>-</v>
      </c>
      <c r="L7" s="456" t="str">
        <f t="shared" si="11"/>
        <v>-</v>
      </c>
      <c r="M7" s="459" t="str">
        <f t="shared" si="12"/>
        <v>-</v>
      </c>
      <c r="N7" s="459" t="str">
        <f t="shared" si="13"/>
        <v>-</v>
      </c>
      <c r="O7" s="459" t="str">
        <f t="shared" si="14"/>
        <v>--</v>
      </c>
      <c r="P7" s="459" t="str">
        <f t="shared" si="15"/>
        <v>-</v>
      </c>
      <c r="Q7" s="459" t="str">
        <f t="shared" si="16"/>
        <v>-</v>
      </c>
      <c r="R7" s="459" t="str">
        <f t="shared" si="17"/>
        <v>-</v>
      </c>
      <c r="S7" s="458" t="str">
        <f t="shared" si="18"/>
        <v>-</v>
      </c>
      <c r="T7" s="456" t="str">
        <f t="shared" si="19"/>
        <v>-</v>
      </c>
      <c r="U7" s="456" t="str">
        <f t="shared" si="20"/>
        <v>-</v>
      </c>
      <c r="V7" s="457" t="str">
        <f t="shared" si="21"/>
        <v>-</v>
      </c>
      <c r="W7" s="457" t="str">
        <f t="shared" si="22"/>
        <v>-</v>
      </c>
      <c r="X7" s="457" t="str">
        <f t="shared" si="23"/>
        <v>-</v>
      </c>
      <c r="Y7" s="457" t="str">
        <f t="shared" si="24"/>
        <v>-</v>
      </c>
      <c r="Z7" s="460" t="str">
        <f t="shared" si="25"/>
        <v>-</v>
      </c>
      <c r="AA7" s="461" t="str">
        <f t="shared" si="26"/>
        <v>-</v>
      </c>
      <c r="AB7" s="462" t="str">
        <f t="shared" si="27"/>
        <v>-</v>
      </c>
      <c r="AC7" s="464" t="str">
        <f t="shared" si="28"/>
        <v>-</v>
      </c>
      <c r="AD7" s="464" t="str">
        <f t="shared" si="29"/>
        <v>-</v>
      </c>
      <c r="AE7" s="464" t="str">
        <f t="shared" si="30"/>
        <v>-</v>
      </c>
      <c r="AF7" s="465" t="str">
        <f t="shared" si="31"/>
        <v>-</v>
      </c>
      <c r="AG7" s="466" t="str">
        <f t="shared" si="32"/>
        <v>-</v>
      </c>
      <c r="AH7" s="462" t="str">
        <f t="shared" si="33"/>
        <v>-</v>
      </c>
      <c r="AI7" s="467" t="str">
        <f t="shared" si="34"/>
        <v>-</v>
      </c>
      <c r="AJ7" s="467" t="str">
        <f t="shared" si="35"/>
        <v>-</v>
      </c>
      <c r="AK7" s="467" t="str">
        <f t="shared" si="36"/>
        <v>-</v>
      </c>
      <c r="AL7" s="462" t="str">
        <f t="shared" si="37"/>
        <v>-</v>
      </c>
      <c r="AM7" s="23"/>
      <c r="AN7" s="23"/>
      <c r="AO7" s="23"/>
      <c r="AP7" s="23"/>
      <c r="AQ7" s="23"/>
      <c r="AR7" s="23"/>
      <c r="AS7" s="23"/>
      <c r="AT7" s="23"/>
      <c r="AU7" s="23"/>
      <c r="AV7" s="23"/>
      <c r="AW7" s="23"/>
    </row>
    <row r="8" ht="37.5" customHeight="1">
      <c r="A8" s="455" t="s">
        <v>171</v>
      </c>
      <c r="B8" s="456" t="str">
        <f t="shared" si="1"/>
        <v>-</v>
      </c>
      <c r="C8" s="456" t="str">
        <f t="shared" si="2"/>
        <v>-</v>
      </c>
      <c r="D8" s="457" t="str">
        <f t="shared" si="3"/>
        <v>-</v>
      </c>
      <c r="E8" s="457" t="str">
        <f t="shared" si="4"/>
        <v>-</v>
      </c>
      <c r="F8" s="457" t="str">
        <f t="shared" si="5"/>
        <v>-</v>
      </c>
      <c r="G8" s="457" t="str">
        <f t="shared" si="6"/>
        <v>-</v>
      </c>
      <c r="H8" s="457" t="str">
        <f t="shared" si="7"/>
        <v>-</v>
      </c>
      <c r="I8" s="457" t="str">
        <f t="shared" si="8"/>
        <v>-</v>
      </c>
      <c r="J8" s="458" t="str">
        <f t="shared" si="9"/>
        <v>-</v>
      </c>
      <c r="K8" s="456" t="str">
        <f t="shared" si="10"/>
        <v>-</v>
      </c>
      <c r="L8" s="456" t="str">
        <f t="shared" si="11"/>
        <v>-</v>
      </c>
      <c r="M8" s="459" t="str">
        <f t="shared" si="12"/>
        <v>-</v>
      </c>
      <c r="N8" s="459" t="str">
        <f t="shared" si="13"/>
        <v>-</v>
      </c>
      <c r="O8" s="459" t="str">
        <f t="shared" si="14"/>
        <v>--</v>
      </c>
      <c r="P8" s="459" t="str">
        <f t="shared" si="15"/>
        <v>-</v>
      </c>
      <c r="Q8" s="459" t="str">
        <f t="shared" si="16"/>
        <v>-</v>
      </c>
      <c r="R8" s="459" t="str">
        <f t="shared" si="17"/>
        <v>-</v>
      </c>
      <c r="S8" s="458" t="str">
        <f t="shared" si="18"/>
        <v>-</v>
      </c>
      <c r="T8" s="456" t="str">
        <f t="shared" si="19"/>
        <v>-</v>
      </c>
      <c r="U8" s="456" t="str">
        <f t="shared" si="20"/>
        <v>-</v>
      </c>
      <c r="V8" s="457" t="str">
        <f t="shared" si="21"/>
        <v>-</v>
      </c>
      <c r="W8" s="457" t="str">
        <f t="shared" si="22"/>
        <v>-</v>
      </c>
      <c r="X8" s="457" t="str">
        <f t="shared" si="23"/>
        <v>-</v>
      </c>
      <c r="Y8" s="457" t="str">
        <f t="shared" si="24"/>
        <v>-</v>
      </c>
      <c r="Z8" s="460" t="str">
        <f t="shared" si="25"/>
        <v>-</v>
      </c>
      <c r="AA8" s="461" t="str">
        <f t="shared" si="26"/>
        <v>-</v>
      </c>
      <c r="AB8" s="462" t="str">
        <f t="shared" si="27"/>
        <v>-</v>
      </c>
      <c r="AC8" s="464" t="str">
        <f t="shared" si="28"/>
        <v>-</v>
      </c>
      <c r="AD8" s="464" t="str">
        <f t="shared" si="29"/>
        <v>-</v>
      </c>
      <c r="AE8" s="464" t="str">
        <f t="shared" si="30"/>
        <v>-</v>
      </c>
      <c r="AF8" s="465" t="str">
        <f t="shared" si="31"/>
        <v>-</v>
      </c>
      <c r="AG8" s="466" t="str">
        <f t="shared" si="32"/>
        <v>-</v>
      </c>
      <c r="AH8" s="462" t="str">
        <f t="shared" si="33"/>
        <v>-</v>
      </c>
      <c r="AI8" s="467" t="str">
        <f t="shared" si="34"/>
        <v>-</v>
      </c>
      <c r="AJ8" s="467" t="str">
        <f t="shared" si="35"/>
        <v>-</v>
      </c>
      <c r="AK8" s="467" t="str">
        <f t="shared" si="36"/>
        <v>-</v>
      </c>
      <c r="AL8" s="462" t="str">
        <f t="shared" si="37"/>
        <v>-</v>
      </c>
      <c r="AM8" s="23"/>
      <c r="AN8" s="23"/>
      <c r="AO8" s="23"/>
      <c r="AP8" s="23"/>
      <c r="AQ8" s="23"/>
      <c r="AR8" s="23"/>
      <c r="AS8" s="23"/>
      <c r="AT8" s="23"/>
      <c r="AU8" s="23"/>
      <c r="AV8" s="23"/>
      <c r="AW8" s="23"/>
    </row>
    <row r="9" ht="37.5" customHeight="1">
      <c r="A9" s="455" t="s">
        <v>171</v>
      </c>
      <c r="B9" s="456" t="str">
        <f t="shared" si="1"/>
        <v>-</v>
      </c>
      <c r="C9" s="456" t="str">
        <f t="shared" si="2"/>
        <v>-</v>
      </c>
      <c r="D9" s="457" t="str">
        <f t="shared" si="3"/>
        <v>-</v>
      </c>
      <c r="E9" s="457" t="str">
        <f t="shared" si="4"/>
        <v>-</v>
      </c>
      <c r="F9" s="457" t="str">
        <f t="shared" si="5"/>
        <v>-</v>
      </c>
      <c r="G9" s="457" t="str">
        <f t="shared" si="6"/>
        <v>-</v>
      </c>
      <c r="H9" s="457" t="str">
        <f t="shared" si="7"/>
        <v>-</v>
      </c>
      <c r="I9" s="457" t="str">
        <f t="shared" si="8"/>
        <v>-</v>
      </c>
      <c r="J9" s="458" t="str">
        <f t="shared" si="9"/>
        <v>-</v>
      </c>
      <c r="K9" s="456" t="str">
        <f t="shared" si="10"/>
        <v>-</v>
      </c>
      <c r="L9" s="456" t="str">
        <f t="shared" si="11"/>
        <v>-</v>
      </c>
      <c r="M9" s="459" t="str">
        <f t="shared" si="12"/>
        <v>-</v>
      </c>
      <c r="N9" s="459" t="str">
        <f t="shared" si="13"/>
        <v>-</v>
      </c>
      <c r="O9" s="459" t="str">
        <f t="shared" si="14"/>
        <v>--</v>
      </c>
      <c r="P9" s="459" t="str">
        <f t="shared" si="15"/>
        <v>-</v>
      </c>
      <c r="Q9" s="459" t="str">
        <f t="shared" si="16"/>
        <v>-</v>
      </c>
      <c r="R9" s="459" t="str">
        <f t="shared" si="17"/>
        <v>-</v>
      </c>
      <c r="S9" s="458" t="str">
        <f t="shared" si="18"/>
        <v>-</v>
      </c>
      <c r="T9" s="456" t="str">
        <f t="shared" si="19"/>
        <v>-</v>
      </c>
      <c r="U9" s="456" t="str">
        <f t="shared" si="20"/>
        <v>-</v>
      </c>
      <c r="V9" s="457" t="str">
        <f t="shared" si="21"/>
        <v>-</v>
      </c>
      <c r="W9" s="457" t="str">
        <f t="shared" si="22"/>
        <v>-</v>
      </c>
      <c r="X9" s="457" t="str">
        <f t="shared" si="23"/>
        <v>-</v>
      </c>
      <c r="Y9" s="457" t="str">
        <f t="shared" si="24"/>
        <v>-</v>
      </c>
      <c r="Z9" s="460" t="str">
        <f t="shared" si="25"/>
        <v>-</v>
      </c>
      <c r="AA9" s="461" t="str">
        <f t="shared" si="26"/>
        <v>-</v>
      </c>
      <c r="AB9" s="462" t="str">
        <f t="shared" si="27"/>
        <v>-</v>
      </c>
      <c r="AC9" s="464" t="str">
        <f t="shared" si="28"/>
        <v>-</v>
      </c>
      <c r="AD9" s="464" t="str">
        <f t="shared" si="29"/>
        <v>-</v>
      </c>
      <c r="AE9" s="464" t="str">
        <f t="shared" si="30"/>
        <v>-</v>
      </c>
      <c r="AF9" s="465" t="str">
        <f t="shared" si="31"/>
        <v>-</v>
      </c>
      <c r="AG9" s="466" t="str">
        <f t="shared" si="32"/>
        <v>-</v>
      </c>
      <c r="AH9" s="462" t="str">
        <f t="shared" si="33"/>
        <v>-</v>
      </c>
      <c r="AI9" s="467" t="str">
        <f t="shared" si="34"/>
        <v>-</v>
      </c>
      <c r="AJ9" s="467" t="str">
        <f t="shared" si="35"/>
        <v>-</v>
      </c>
      <c r="AK9" s="467" t="str">
        <f t="shared" si="36"/>
        <v>-</v>
      </c>
      <c r="AL9" s="462" t="str">
        <f t="shared" si="37"/>
        <v>-</v>
      </c>
      <c r="AM9" s="23"/>
      <c r="AN9" s="23"/>
      <c r="AO9" s="23"/>
      <c r="AP9" s="23"/>
      <c r="AQ9" s="23"/>
      <c r="AR9" s="23"/>
      <c r="AS9" s="23"/>
      <c r="AT9" s="23"/>
      <c r="AU9" s="23"/>
      <c r="AV9" s="23"/>
      <c r="AW9" s="23"/>
    </row>
    <row r="10" ht="37.5" customHeight="1">
      <c r="A10" s="455" t="s">
        <v>171</v>
      </c>
      <c r="B10" s="456" t="str">
        <f t="shared" si="1"/>
        <v>-</v>
      </c>
      <c r="C10" s="456" t="str">
        <f t="shared" si="2"/>
        <v>-</v>
      </c>
      <c r="D10" s="457" t="str">
        <f t="shared" si="3"/>
        <v>-</v>
      </c>
      <c r="E10" s="457" t="str">
        <f t="shared" si="4"/>
        <v>-</v>
      </c>
      <c r="F10" s="457" t="str">
        <f t="shared" si="5"/>
        <v>-</v>
      </c>
      <c r="G10" s="457" t="str">
        <f t="shared" si="6"/>
        <v>-</v>
      </c>
      <c r="H10" s="457" t="str">
        <f t="shared" si="7"/>
        <v>-</v>
      </c>
      <c r="I10" s="457" t="str">
        <f t="shared" si="8"/>
        <v>-</v>
      </c>
      <c r="J10" s="458" t="str">
        <f t="shared" si="9"/>
        <v>-</v>
      </c>
      <c r="K10" s="456" t="str">
        <f t="shared" si="10"/>
        <v>-</v>
      </c>
      <c r="L10" s="456" t="str">
        <f t="shared" si="11"/>
        <v>-</v>
      </c>
      <c r="M10" s="459" t="str">
        <f t="shared" si="12"/>
        <v>-</v>
      </c>
      <c r="N10" s="459" t="str">
        <f t="shared" si="13"/>
        <v>-</v>
      </c>
      <c r="O10" s="459" t="str">
        <f t="shared" si="14"/>
        <v>--</v>
      </c>
      <c r="P10" s="459" t="str">
        <f t="shared" si="15"/>
        <v>-</v>
      </c>
      <c r="Q10" s="459" t="str">
        <f t="shared" si="16"/>
        <v>-</v>
      </c>
      <c r="R10" s="459" t="str">
        <f t="shared" si="17"/>
        <v>-</v>
      </c>
      <c r="S10" s="458" t="str">
        <f t="shared" si="18"/>
        <v>-</v>
      </c>
      <c r="T10" s="456" t="str">
        <f t="shared" si="19"/>
        <v>-</v>
      </c>
      <c r="U10" s="456" t="str">
        <f t="shared" si="20"/>
        <v>-</v>
      </c>
      <c r="V10" s="457" t="str">
        <f t="shared" si="21"/>
        <v>-</v>
      </c>
      <c r="W10" s="457" t="str">
        <f t="shared" si="22"/>
        <v>-</v>
      </c>
      <c r="X10" s="457" t="str">
        <f t="shared" si="23"/>
        <v>-</v>
      </c>
      <c r="Y10" s="457" t="str">
        <f t="shared" si="24"/>
        <v>-</v>
      </c>
      <c r="Z10" s="460" t="str">
        <f t="shared" si="25"/>
        <v>-</v>
      </c>
      <c r="AA10" s="461" t="str">
        <f t="shared" si="26"/>
        <v>-</v>
      </c>
      <c r="AB10" s="462" t="str">
        <f t="shared" si="27"/>
        <v>-</v>
      </c>
      <c r="AC10" s="464" t="str">
        <f t="shared" si="28"/>
        <v>-</v>
      </c>
      <c r="AD10" s="464" t="str">
        <f t="shared" si="29"/>
        <v>-</v>
      </c>
      <c r="AE10" s="464" t="str">
        <f t="shared" si="30"/>
        <v>-</v>
      </c>
      <c r="AF10" s="465" t="str">
        <f t="shared" si="31"/>
        <v>-</v>
      </c>
      <c r="AG10" s="466" t="str">
        <f t="shared" si="32"/>
        <v>-</v>
      </c>
      <c r="AH10" s="462" t="str">
        <f t="shared" si="33"/>
        <v>-</v>
      </c>
      <c r="AI10" s="467" t="str">
        <f t="shared" si="34"/>
        <v>-</v>
      </c>
      <c r="AJ10" s="467" t="str">
        <f t="shared" si="35"/>
        <v>-</v>
      </c>
      <c r="AK10" s="467" t="str">
        <f t="shared" si="36"/>
        <v>-</v>
      </c>
      <c r="AL10" s="462" t="str">
        <f t="shared" si="37"/>
        <v>-</v>
      </c>
      <c r="AM10" s="23"/>
      <c r="AN10" s="23"/>
      <c r="AO10" s="23"/>
      <c r="AP10" s="23"/>
      <c r="AQ10" s="23"/>
      <c r="AR10" s="23"/>
      <c r="AS10" s="23"/>
      <c r="AT10" s="23"/>
      <c r="AU10" s="23"/>
      <c r="AV10" s="23"/>
      <c r="AW10" s="23"/>
    </row>
    <row r="11" ht="37.5" customHeight="1">
      <c r="A11" s="455" t="s">
        <v>171</v>
      </c>
      <c r="B11" s="456" t="str">
        <f t="shared" si="1"/>
        <v>-</v>
      </c>
      <c r="C11" s="456" t="str">
        <f t="shared" si="2"/>
        <v>-</v>
      </c>
      <c r="D11" s="457" t="str">
        <f t="shared" si="3"/>
        <v>-</v>
      </c>
      <c r="E11" s="457" t="str">
        <f t="shared" si="4"/>
        <v>-</v>
      </c>
      <c r="F11" s="457" t="str">
        <f t="shared" si="5"/>
        <v>-</v>
      </c>
      <c r="G11" s="457" t="str">
        <f t="shared" si="6"/>
        <v>-</v>
      </c>
      <c r="H11" s="457" t="str">
        <f t="shared" si="7"/>
        <v>-</v>
      </c>
      <c r="I11" s="457" t="str">
        <f t="shared" si="8"/>
        <v>-</v>
      </c>
      <c r="J11" s="458" t="str">
        <f t="shared" si="9"/>
        <v>-</v>
      </c>
      <c r="K11" s="456" t="str">
        <f t="shared" si="10"/>
        <v>-</v>
      </c>
      <c r="L11" s="456" t="str">
        <f t="shared" si="11"/>
        <v>-</v>
      </c>
      <c r="M11" s="459" t="str">
        <f t="shared" si="12"/>
        <v>-</v>
      </c>
      <c r="N11" s="459" t="str">
        <f t="shared" si="13"/>
        <v>-</v>
      </c>
      <c r="O11" s="459" t="str">
        <f t="shared" si="14"/>
        <v>--</v>
      </c>
      <c r="P11" s="459" t="str">
        <f t="shared" si="15"/>
        <v>-</v>
      </c>
      <c r="Q11" s="459" t="str">
        <f t="shared" si="16"/>
        <v>-</v>
      </c>
      <c r="R11" s="459" t="str">
        <f t="shared" si="17"/>
        <v>-</v>
      </c>
      <c r="S11" s="458" t="str">
        <f t="shared" si="18"/>
        <v>-</v>
      </c>
      <c r="T11" s="456" t="str">
        <f t="shared" si="19"/>
        <v>-</v>
      </c>
      <c r="U11" s="456" t="str">
        <f t="shared" si="20"/>
        <v>-</v>
      </c>
      <c r="V11" s="457" t="str">
        <f t="shared" si="21"/>
        <v>-</v>
      </c>
      <c r="W11" s="457" t="str">
        <f t="shared" si="22"/>
        <v>-</v>
      </c>
      <c r="X11" s="457" t="str">
        <f t="shared" si="23"/>
        <v>-</v>
      </c>
      <c r="Y11" s="457" t="str">
        <f t="shared" si="24"/>
        <v>-</v>
      </c>
      <c r="Z11" s="460" t="str">
        <f t="shared" si="25"/>
        <v>-</v>
      </c>
      <c r="AA11" s="461" t="str">
        <f t="shared" si="26"/>
        <v>-</v>
      </c>
      <c r="AB11" s="462" t="str">
        <f t="shared" si="27"/>
        <v>-</v>
      </c>
      <c r="AC11" s="464" t="str">
        <f t="shared" si="28"/>
        <v>-</v>
      </c>
      <c r="AD11" s="464" t="str">
        <f t="shared" si="29"/>
        <v>-</v>
      </c>
      <c r="AE11" s="464" t="str">
        <f t="shared" si="30"/>
        <v>-</v>
      </c>
      <c r="AF11" s="465" t="str">
        <f t="shared" si="31"/>
        <v>-</v>
      </c>
      <c r="AG11" s="466" t="str">
        <f t="shared" si="32"/>
        <v>-</v>
      </c>
      <c r="AH11" s="462" t="str">
        <f t="shared" si="33"/>
        <v>-</v>
      </c>
      <c r="AI11" s="467" t="str">
        <f t="shared" si="34"/>
        <v>-</v>
      </c>
      <c r="AJ11" s="467" t="str">
        <f t="shared" si="35"/>
        <v>-</v>
      </c>
      <c r="AK11" s="467" t="str">
        <f t="shared" si="36"/>
        <v>-</v>
      </c>
      <c r="AL11" s="462" t="str">
        <f t="shared" si="37"/>
        <v>-</v>
      </c>
      <c r="AM11" s="23"/>
      <c r="AN11" s="23"/>
      <c r="AO11" s="23"/>
      <c r="AP11" s="23"/>
      <c r="AQ11" s="23"/>
      <c r="AR11" s="23"/>
      <c r="AS11" s="23"/>
      <c r="AT11" s="23"/>
      <c r="AU11" s="23"/>
      <c r="AV11" s="23"/>
      <c r="AW11" s="23"/>
    </row>
    <row r="12" ht="37.5" customHeight="1">
      <c r="A12" s="455" t="s">
        <v>171</v>
      </c>
      <c r="B12" s="456" t="str">
        <f t="shared" si="1"/>
        <v>-</v>
      </c>
      <c r="C12" s="456" t="str">
        <f t="shared" si="2"/>
        <v>-</v>
      </c>
      <c r="D12" s="457" t="str">
        <f t="shared" si="3"/>
        <v>-</v>
      </c>
      <c r="E12" s="457" t="str">
        <f t="shared" si="4"/>
        <v>-</v>
      </c>
      <c r="F12" s="457" t="str">
        <f t="shared" si="5"/>
        <v>-</v>
      </c>
      <c r="G12" s="457" t="str">
        <f t="shared" si="6"/>
        <v>-</v>
      </c>
      <c r="H12" s="457" t="str">
        <f t="shared" si="7"/>
        <v>-</v>
      </c>
      <c r="I12" s="457" t="str">
        <f t="shared" si="8"/>
        <v>-</v>
      </c>
      <c r="J12" s="458" t="str">
        <f t="shared" si="9"/>
        <v>-</v>
      </c>
      <c r="K12" s="456" t="str">
        <f t="shared" si="10"/>
        <v>-</v>
      </c>
      <c r="L12" s="456" t="str">
        <f t="shared" si="11"/>
        <v>-</v>
      </c>
      <c r="M12" s="459" t="str">
        <f t="shared" si="12"/>
        <v>-</v>
      </c>
      <c r="N12" s="459" t="str">
        <f t="shared" si="13"/>
        <v>-</v>
      </c>
      <c r="O12" s="459" t="str">
        <f t="shared" si="14"/>
        <v>--</v>
      </c>
      <c r="P12" s="459" t="str">
        <f t="shared" si="15"/>
        <v>-</v>
      </c>
      <c r="Q12" s="459" t="str">
        <f t="shared" si="16"/>
        <v>-</v>
      </c>
      <c r="R12" s="459" t="str">
        <f t="shared" si="17"/>
        <v>-</v>
      </c>
      <c r="S12" s="458" t="str">
        <f t="shared" si="18"/>
        <v>-</v>
      </c>
      <c r="T12" s="456" t="str">
        <f t="shared" si="19"/>
        <v>-</v>
      </c>
      <c r="U12" s="456" t="str">
        <f t="shared" si="20"/>
        <v>-</v>
      </c>
      <c r="V12" s="457" t="str">
        <f t="shared" si="21"/>
        <v>-</v>
      </c>
      <c r="W12" s="457" t="str">
        <f t="shared" si="22"/>
        <v>-</v>
      </c>
      <c r="X12" s="457" t="str">
        <f t="shared" si="23"/>
        <v>-</v>
      </c>
      <c r="Y12" s="457" t="str">
        <f t="shared" si="24"/>
        <v>-</v>
      </c>
      <c r="Z12" s="460" t="str">
        <f t="shared" si="25"/>
        <v>-</v>
      </c>
      <c r="AA12" s="461" t="str">
        <f t="shared" si="26"/>
        <v>-</v>
      </c>
      <c r="AB12" s="462" t="str">
        <f t="shared" si="27"/>
        <v>-</v>
      </c>
      <c r="AC12" s="464" t="str">
        <f t="shared" si="28"/>
        <v>-</v>
      </c>
      <c r="AD12" s="464" t="str">
        <f t="shared" si="29"/>
        <v>-</v>
      </c>
      <c r="AE12" s="464" t="str">
        <f t="shared" si="30"/>
        <v>-</v>
      </c>
      <c r="AF12" s="465" t="str">
        <f t="shared" si="31"/>
        <v>-</v>
      </c>
      <c r="AG12" s="466" t="str">
        <f t="shared" si="32"/>
        <v>-</v>
      </c>
      <c r="AH12" s="462" t="str">
        <f t="shared" si="33"/>
        <v>-</v>
      </c>
      <c r="AI12" s="467" t="str">
        <f t="shared" si="34"/>
        <v>-</v>
      </c>
      <c r="AJ12" s="467" t="str">
        <f t="shared" si="35"/>
        <v>-</v>
      </c>
      <c r="AK12" s="467" t="str">
        <f t="shared" si="36"/>
        <v>-</v>
      </c>
      <c r="AL12" s="462" t="str">
        <f t="shared" si="37"/>
        <v>-</v>
      </c>
      <c r="AM12" s="23"/>
      <c r="AN12" s="23"/>
      <c r="AO12" s="23"/>
      <c r="AP12" s="23"/>
      <c r="AQ12" s="23"/>
      <c r="AR12" s="23"/>
      <c r="AS12" s="23"/>
      <c r="AT12" s="23"/>
      <c r="AU12" s="23"/>
      <c r="AV12" s="23"/>
      <c r="AW12" s="23"/>
    </row>
    <row r="13" ht="37.5" customHeight="1">
      <c r="A13" s="455" t="s">
        <v>171</v>
      </c>
      <c r="B13" s="456" t="str">
        <f t="shared" si="1"/>
        <v>-</v>
      </c>
      <c r="C13" s="456" t="str">
        <f t="shared" si="2"/>
        <v>-</v>
      </c>
      <c r="D13" s="457" t="str">
        <f t="shared" si="3"/>
        <v>-</v>
      </c>
      <c r="E13" s="457" t="str">
        <f t="shared" si="4"/>
        <v>-</v>
      </c>
      <c r="F13" s="457" t="str">
        <f t="shared" si="5"/>
        <v>-</v>
      </c>
      <c r="G13" s="457" t="str">
        <f t="shared" si="6"/>
        <v>-</v>
      </c>
      <c r="H13" s="457" t="str">
        <f t="shared" si="7"/>
        <v>-</v>
      </c>
      <c r="I13" s="457" t="str">
        <f t="shared" si="8"/>
        <v>-</v>
      </c>
      <c r="J13" s="458" t="str">
        <f t="shared" si="9"/>
        <v>-</v>
      </c>
      <c r="K13" s="466" t="str">
        <f t="shared" si="10"/>
        <v>-</v>
      </c>
      <c r="L13" s="456" t="str">
        <f t="shared" si="11"/>
        <v>-</v>
      </c>
      <c r="M13" s="459" t="str">
        <f t="shared" si="12"/>
        <v>-</v>
      </c>
      <c r="N13" s="459" t="str">
        <f t="shared" si="13"/>
        <v>-</v>
      </c>
      <c r="O13" s="459" t="str">
        <f t="shared" si="14"/>
        <v>--</v>
      </c>
      <c r="P13" s="459" t="str">
        <f t="shared" si="15"/>
        <v>-</v>
      </c>
      <c r="Q13" s="459" t="str">
        <f t="shared" si="16"/>
        <v>-</v>
      </c>
      <c r="R13" s="459" t="str">
        <f t="shared" si="17"/>
        <v>-</v>
      </c>
      <c r="S13" s="458" t="str">
        <f t="shared" si="18"/>
        <v>-</v>
      </c>
      <c r="T13" s="456" t="str">
        <f t="shared" si="19"/>
        <v>-</v>
      </c>
      <c r="U13" s="456" t="str">
        <f t="shared" si="20"/>
        <v>-</v>
      </c>
      <c r="V13" s="457" t="str">
        <f t="shared" si="21"/>
        <v>-</v>
      </c>
      <c r="W13" s="457" t="str">
        <f t="shared" si="22"/>
        <v>-</v>
      </c>
      <c r="X13" s="457" t="str">
        <f t="shared" si="23"/>
        <v>-</v>
      </c>
      <c r="Y13" s="457" t="str">
        <f t="shared" si="24"/>
        <v>-</v>
      </c>
      <c r="Z13" s="458" t="str">
        <f t="shared" si="25"/>
        <v>-</v>
      </c>
      <c r="AA13" s="466" t="str">
        <f t="shared" si="26"/>
        <v>-</v>
      </c>
      <c r="AB13" s="462" t="str">
        <f t="shared" si="27"/>
        <v>-</v>
      </c>
      <c r="AC13" s="464" t="str">
        <f t="shared" si="28"/>
        <v>-</v>
      </c>
      <c r="AD13" s="464" t="str">
        <f t="shared" si="29"/>
        <v>-</v>
      </c>
      <c r="AE13" s="464" t="str">
        <f t="shared" si="30"/>
        <v>-</v>
      </c>
      <c r="AF13" s="465" t="str">
        <f t="shared" si="31"/>
        <v>-</v>
      </c>
      <c r="AG13" s="466" t="str">
        <f t="shared" si="32"/>
        <v>-</v>
      </c>
      <c r="AH13" s="462" t="str">
        <f t="shared" si="33"/>
        <v>-</v>
      </c>
      <c r="AI13" s="467" t="str">
        <f t="shared" si="34"/>
        <v>-</v>
      </c>
      <c r="AJ13" s="467" t="str">
        <f t="shared" si="35"/>
        <v>-</v>
      </c>
      <c r="AK13" s="467" t="str">
        <f t="shared" si="36"/>
        <v>-</v>
      </c>
      <c r="AL13" s="462" t="str">
        <f t="shared" si="37"/>
        <v>-</v>
      </c>
      <c r="AM13" s="23"/>
      <c r="AN13" s="23"/>
      <c r="AO13" s="23"/>
      <c r="AP13" s="23"/>
      <c r="AQ13" s="23"/>
      <c r="AR13" s="23"/>
      <c r="AS13" s="23"/>
      <c r="AT13" s="23"/>
      <c r="AU13" s="23"/>
      <c r="AV13" s="23"/>
      <c r="AW13" s="23"/>
    </row>
    <row r="14" ht="36.0" customHeight="1">
      <c r="A14" s="441" t="s">
        <v>142</v>
      </c>
      <c r="B14" s="456">
        <f t="shared" ref="B14:AL14" si="38">SUM(B4:B13)</f>
        <v>235</v>
      </c>
      <c r="C14" s="456">
        <f t="shared" si="38"/>
        <v>7</v>
      </c>
      <c r="D14" s="457">
        <f t="shared" si="38"/>
        <v>0</v>
      </c>
      <c r="E14" s="457">
        <f t="shared" si="38"/>
        <v>60599</v>
      </c>
      <c r="F14" s="457">
        <f t="shared" si="38"/>
        <v>58023</v>
      </c>
      <c r="G14" s="457">
        <f t="shared" si="38"/>
        <v>4693</v>
      </c>
      <c r="H14" s="457">
        <f t="shared" si="38"/>
        <v>16046</v>
      </c>
      <c r="I14" s="457">
        <f t="shared" si="38"/>
        <v>30993</v>
      </c>
      <c r="J14" s="458">
        <f t="shared" si="38"/>
        <v>170354</v>
      </c>
      <c r="K14" s="466">
        <f t="shared" si="38"/>
        <v>224</v>
      </c>
      <c r="L14" s="456">
        <f t="shared" si="38"/>
        <v>5</v>
      </c>
      <c r="M14" s="459">
        <f t="shared" si="38"/>
        <v>0</v>
      </c>
      <c r="N14" s="459">
        <f t="shared" si="38"/>
        <v>48642</v>
      </c>
      <c r="O14" s="459">
        <f t="shared" si="38"/>
        <v>43453</v>
      </c>
      <c r="P14" s="459">
        <f t="shared" si="38"/>
        <v>1402</v>
      </c>
      <c r="Q14" s="459">
        <f t="shared" si="38"/>
        <v>387</v>
      </c>
      <c r="R14" s="459">
        <f t="shared" si="38"/>
        <v>16403</v>
      </c>
      <c r="S14" s="458">
        <f t="shared" si="38"/>
        <v>110287</v>
      </c>
      <c r="T14" s="466">
        <f t="shared" si="38"/>
        <v>154</v>
      </c>
      <c r="U14" s="462">
        <f t="shared" si="38"/>
        <v>3</v>
      </c>
      <c r="V14" s="457">
        <f t="shared" si="38"/>
        <v>110</v>
      </c>
      <c r="W14" s="457">
        <f t="shared" si="38"/>
        <v>3291</v>
      </c>
      <c r="X14" s="457">
        <f t="shared" si="38"/>
        <v>15659</v>
      </c>
      <c r="Y14" s="457">
        <f t="shared" si="38"/>
        <v>12439</v>
      </c>
      <c r="Z14" s="465">
        <f t="shared" si="38"/>
        <v>31499</v>
      </c>
      <c r="AA14" s="466">
        <f t="shared" si="38"/>
        <v>126</v>
      </c>
      <c r="AB14" s="462">
        <f t="shared" si="38"/>
        <v>0</v>
      </c>
      <c r="AC14" s="464">
        <f t="shared" si="38"/>
        <v>11957</v>
      </c>
      <c r="AD14" s="464">
        <f t="shared" si="38"/>
        <v>14460</v>
      </c>
      <c r="AE14" s="464">
        <f t="shared" si="38"/>
        <v>2151</v>
      </c>
      <c r="AF14" s="465">
        <f t="shared" si="38"/>
        <v>28568</v>
      </c>
      <c r="AG14" s="466">
        <f t="shared" si="38"/>
        <v>102</v>
      </c>
      <c r="AH14" s="462">
        <f t="shared" si="38"/>
        <v>1</v>
      </c>
      <c r="AI14" s="467">
        <f t="shared" si="38"/>
        <v>16403</v>
      </c>
      <c r="AJ14" s="467">
        <f t="shared" si="38"/>
        <v>12439</v>
      </c>
      <c r="AK14" s="467">
        <f t="shared" si="38"/>
        <v>2151</v>
      </c>
      <c r="AL14" s="462">
        <f t="shared" si="38"/>
        <v>30993</v>
      </c>
      <c r="AM14" s="23"/>
      <c r="AN14" s="23"/>
      <c r="AO14" s="23"/>
      <c r="AP14" s="23"/>
      <c r="AQ14" s="23"/>
      <c r="AR14" s="23"/>
      <c r="AS14" s="23"/>
      <c r="AT14" s="23"/>
      <c r="AU14" s="23"/>
      <c r="AV14" s="23"/>
      <c r="AW14" s="23"/>
    </row>
    <row r="15">
      <c r="A15" s="474" t="s">
        <v>7800</v>
      </c>
      <c r="B15" s="475" t="s">
        <v>7806</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3"/>
      <c r="AG15" s="477"/>
      <c r="AH15" s="477"/>
      <c r="AI15" s="477"/>
      <c r="AJ15" s="477"/>
      <c r="AK15" s="477"/>
      <c r="AL15" s="477"/>
    </row>
    <row r="16">
      <c r="A16" s="32"/>
      <c r="B16" s="34" t="s">
        <v>330</v>
      </c>
      <c r="C16" s="2"/>
      <c r="D16" s="2"/>
      <c r="E16" s="2"/>
      <c r="F16" s="2"/>
      <c r="G16" s="2"/>
      <c r="H16" s="2"/>
      <c r="I16" s="2"/>
      <c r="J16" s="35"/>
      <c r="K16" s="479" t="s">
        <v>144</v>
      </c>
      <c r="L16" s="2"/>
      <c r="M16" s="2"/>
      <c r="N16" s="2"/>
      <c r="O16" s="2"/>
      <c r="P16" s="2"/>
      <c r="Q16" s="2"/>
      <c r="R16" s="2"/>
      <c r="S16" s="3"/>
      <c r="T16" s="480" t="s">
        <v>145</v>
      </c>
      <c r="U16" s="2"/>
      <c r="V16" s="2"/>
      <c r="W16" s="2"/>
      <c r="X16" s="2"/>
      <c r="Y16" s="2"/>
      <c r="Z16" s="3"/>
      <c r="AA16" s="38" t="s">
        <v>338</v>
      </c>
      <c r="AB16" s="2"/>
      <c r="AC16" s="2"/>
      <c r="AD16" s="2"/>
      <c r="AE16" s="2"/>
      <c r="AF16" s="35"/>
      <c r="AG16" s="37" t="s">
        <v>64</v>
      </c>
      <c r="AH16" s="2"/>
      <c r="AI16" s="2"/>
      <c r="AJ16" s="2"/>
      <c r="AK16" s="2"/>
      <c r="AL16" s="3"/>
    </row>
    <row r="17">
      <c r="A17" s="42"/>
      <c r="B17" s="43" t="s">
        <v>50</v>
      </c>
      <c r="C17" s="43" t="s">
        <v>53</v>
      </c>
      <c r="D17" s="43" t="s">
        <v>55</v>
      </c>
      <c r="E17" s="43" t="s">
        <v>57</v>
      </c>
      <c r="F17" s="43" t="s">
        <v>59</v>
      </c>
      <c r="G17" s="43" t="s">
        <v>61</v>
      </c>
      <c r="H17" s="43" t="s">
        <v>62</v>
      </c>
      <c r="I17" s="43" t="s">
        <v>64</v>
      </c>
      <c r="J17" s="46" t="s">
        <v>65</v>
      </c>
      <c r="K17" s="48" t="s">
        <v>68</v>
      </c>
      <c r="L17" s="50" t="s">
        <v>72</v>
      </c>
      <c r="M17" s="159" t="s">
        <v>74</v>
      </c>
      <c r="N17" s="159" t="s">
        <v>75</v>
      </c>
      <c r="O17" s="159" t="s">
        <v>365</v>
      </c>
      <c r="P17" s="159" t="s">
        <v>77</v>
      </c>
      <c r="Q17" s="159" t="s">
        <v>367</v>
      </c>
      <c r="R17" s="159" t="s">
        <v>79</v>
      </c>
      <c r="S17" s="482" t="s">
        <v>80</v>
      </c>
      <c r="T17" s="166" t="s">
        <v>82</v>
      </c>
      <c r="U17" s="43" t="s">
        <v>84</v>
      </c>
      <c r="V17" s="43" t="s">
        <v>370</v>
      </c>
      <c r="W17" s="43" t="s">
        <v>90</v>
      </c>
      <c r="X17" s="43" t="s">
        <v>371</v>
      </c>
      <c r="Y17" s="43" t="s">
        <v>92</v>
      </c>
      <c r="Z17" s="46" t="s">
        <v>93</v>
      </c>
      <c r="AA17" s="161" t="s">
        <v>372</v>
      </c>
      <c r="AB17" s="162" t="s">
        <v>374</v>
      </c>
      <c r="AC17" s="163" t="s">
        <v>87</v>
      </c>
      <c r="AD17" s="163" t="s">
        <v>382</v>
      </c>
      <c r="AE17" s="163" t="s">
        <v>103</v>
      </c>
      <c r="AF17" s="163" t="s">
        <v>104</v>
      </c>
      <c r="AG17" s="165" t="s">
        <v>94</v>
      </c>
      <c r="AH17" s="58" t="s">
        <v>95</v>
      </c>
      <c r="AI17" s="43" t="s">
        <v>144</v>
      </c>
      <c r="AJ17" s="43" t="s">
        <v>145</v>
      </c>
      <c r="AK17" s="43" t="s">
        <v>338</v>
      </c>
      <c r="AL17" s="43" t="s">
        <v>142</v>
      </c>
      <c r="AM17" s="483" t="s">
        <v>2</v>
      </c>
    </row>
    <row r="18" ht="14.25" customHeight="1">
      <c r="A18" s="484" t="s">
        <v>775</v>
      </c>
      <c r="B18" s="75">
        <f>COUNTIFS(GERAL!B$8:B$1696,A18,GERAL!C$8:C$1696,"ESCOLA")</f>
        <v>1</v>
      </c>
      <c r="C18" s="75">
        <f>COUNTIFS(GERAL!B$8:B$1696,A18,GERAL!C$8:C$1696,"ANEXO")</f>
        <v>2</v>
      </c>
      <c r="D18" s="85">
        <f>SUMIF(GERAL!B$8:B$1696,A18,GERAL!Z$8:Z$1696)</f>
        <v>0</v>
      </c>
      <c r="E18" s="85">
        <f>SUMIF(GERAL!B$8:B$1696,A18,GERAL!AE$8:AE$1696)</f>
        <v>0</v>
      </c>
      <c r="F18" s="85">
        <f>SUMIF(GERAL!B$8:B$1696,A18,GERAL!AJ$8:AJ$1696)</f>
        <v>225</v>
      </c>
      <c r="G18" s="85">
        <f>SUMIF(GERAL!B$8:B$1696,A18,GERAL!AN$8:AN$1696)</f>
        <v>0</v>
      </c>
      <c r="H18" s="85">
        <f>SUMIF(GERAL!B$8:B$1696,A18,GERAL!AR$8:AW$1696)</f>
        <v>20</v>
      </c>
      <c r="I18" s="85">
        <f>SUMIF(GERAL!B$8:B$1696,A18,GERAL!AW$8:AW$1696)</f>
        <v>14</v>
      </c>
      <c r="J18" s="75">
        <f>SUMIF(GERAL!B$8:B$1696,A18,GERAL!AX$8:AX$1696)</f>
        <v>259</v>
      </c>
      <c r="K18" s="75">
        <f>COUNTIFS(GERAL!B$8:B$1696,A18,GERAL!AY$8:AY$1696,"&gt;0",GERAL!C$8:C$1696,"ESCOLA")</f>
        <v>1</v>
      </c>
      <c r="L18" s="75">
        <f>COUNTIFS(GERAL!B$8:B$1696,A18,GERAL!AY$8:AY$1696,"&gt;0",GERAL!C$8:C$1696,"ANEXO")</f>
        <v>2</v>
      </c>
      <c r="M18" s="100">
        <f>SUMIF(GERAL!B$8:B$1696,A18,GERAL!V$8:V$1696)+SUMIF(GERAL!B$8:B$1696,A18,GERAL!W$8:W$1696)</f>
        <v>0</v>
      </c>
      <c r="N18" s="100">
        <f>SUMIF(GERAL!B$8:B$1696,A18,GERAL!AA$8:AA$1696)+SUMIF(GERAL!B$8:B$1696,A18,GERAL!AB$8:AB$1696)</f>
        <v>0</v>
      </c>
      <c r="O18" s="100">
        <f>SUMIF(GERAL!B$8:B$1696,A18,GERAL!AF$8:AF$1696)+SUMIF(GERAL!B$8:B$1696,A18,GERAL!AG$8:AG$1696)</f>
        <v>86</v>
      </c>
      <c r="P18" s="100">
        <f>SUMIF(GERAL!B$8:B$1696,A18,GERAL!AK$8:AK$1696)+SUMIF(GERAL!B$8:B$1696,A18,GERAL!AL$8:AL$1696)</f>
        <v>0</v>
      </c>
      <c r="Q18" s="100">
        <f>SUMIF(GERAL!B$8:B$1696,A18,GERAL!AO$8:AO$1696)+SUMIF(GERAL!B$8:B$1696,A18,GERAL!AP$8:AP$1696)</f>
        <v>0</v>
      </c>
      <c r="R18" s="100">
        <f>SUMIF(GERAL!B$8:B$1696,A18,GERAL!AS$8:AS$1696)+SUMIF(GERAL!B$8:B$1696,A18,GERAL!AT$8:AT$1696)</f>
        <v>0</v>
      </c>
      <c r="S18" s="75">
        <f t="shared" ref="S18:S434" si="39">SUM(M18:R18)</f>
        <v>86</v>
      </c>
      <c r="T18" s="116">
        <f>COUNTIFS(GERAL!B$8:B$1696,A18,GERAL!AZ$8:AZ$1696,"&gt;0",GERAL!C$8:C$1696,"ESCOLA")</f>
        <v>1</v>
      </c>
      <c r="U18" s="75">
        <f>COUNTIFS(GERAL!B$8:B$1696,A18,GERAL!AZ$8:AZ$1696,"&gt;0",GERAL!C$8:C$1696,"ANEXO")</f>
        <v>0</v>
      </c>
      <c r="V18" s="85">
        <f>SUMIF(GERAL!B$8:B$1696,A18,GERAL!AH$8:AH$1696)</f>
        <v>0</v>
      </c>
      <c r="W18" s="85">
        <f>SUMIF(GERAL!B$8:B$1696,A18,GERAL!AM$8:AM$1696)</f>
        <v>0</v>
      </c>
      <c r="X18" s="85">
        <f>SUMIF(GERAL!B$8:B$1696,A18,GERAL!AQ$8:AQ$1696)</f>
        <v>20</v>
      </c>
      <c r="Y18" s="85">
        <f>SUMIF(GERAL!B$8:B$1696,A18,GERAL!AU$8:AU$1696)</f>
        <v>14</v>
      </c>
      <c r="Z18" s="88">
        <f t="shared" ref="Z18:Z434" si="40">SUM(V18:Y18)</f>
        <v>34</v>
      </c>
      <c r="AA18" s="116">
        <f>COUNTIFS(GERAL!B$8:B$1696,A18,GERAL!BK$8:BK$1696,"&gt;0",GERAL!C$8:C$1696,"ESCOLA")</f>
        <v>1</v>
      </c>
      <c r="AB18" s="118">
        <f>COUNTIFS(GERAL!B$8:B$1696,A18,GERAL!BK$8:BK$1696,"&gt;0",GERAL!C$8:C$1696,"ANEXO")</f>
        <v>0</v>
      </c>
      <c r="AC18" s="121">
        <f>SUMIF(GERAL!B$8:B$1696,A18,GERAL!AD$8:AD$1696)</f>
        <v>0</v>
      </c>
      <c r="AD18" s="121">
        <f>SUMIF(GERAL!B$8:B$1696,A18,GERAL!AI$8:AI$1696)</f>
        <v>139</v>
      </c>
      <c r="AE18" s="121">
        <f>SUMIF(GERAL!B$8:B$1696,A18,GERAL!AV$8:AV$1696)</f>
        <v>0</v>
      </c>
      <c r="AF18" s="492">
        <f t="shared" ref="AF18:AF434" si="41">SUM(AC18:AE18)</f>
        <v>139</v>
      </c>
      <c r="AG18" s="178">
        <f>COUNTIFS(GERAL!B$8:B$1696,A18,GERAL!AW$8:AW$1696,"&gt;0",GERAL!C$8:C$1696,"ESCOLA")</f>
        <v>1</v>
      </c>
      <c r="AH18" s="118">
        <f>COUNTIFS(GERAL!B$8:B$1696,A18,GERAL!AW$8:AW$1696,"&gt;0",GERAL!C$8:C$1696,"ANEXO")</f>
        <v>0</v>
      </c>
      <c r="AI18" s="177">
        <f>SUMIF(GERAL!B$8:B$1696,A18,GERAL!AS$8:AS$1696)+SUMIF(GERAL!B$8:B$1696,A18,GERAL!AT$8:AT$1696)</f>
        <v>0</v>
      </c>
      <c r="AJ18" s="177">
        <f>SUMIF(GERAL!B$8:B$1696,A18,GERAL!AU$8:AU$1696)</f>
        <v>14</v>
      </c>
      <c r="AK18" s="177">
        <f>SUMIF(GERAL!B$8:B$1696,A18,GERAL!AV$8:AV$1696)</f>
        <v>0</v>
      </c>
      <c r="AL18" s="118">
        <f t="shared" ref="AL18:AL434" si="42">SUM(AI18:AK18)</f>
        <v>14</v>
      </c>
      <c r="AM18" s="493" t="s">
        <v>285</v>
      </c>
    </row>
    <row r="19">
      <c r="A19" s="494" t="s">
        <v>7471</v>
      </c>
      <c r="B19" s="75">
        <f>COUNTIFS(GERAL!B$8:B$1696,A19,GERAL!C$8:C$1696,"ESCOLA")</f>
        <v>3</v>
      </c>
      <c r="C19" s="75">
        <f>COUNTIFS(GERAL!B$8:B$1696,A19,GERAL!C$8:C$1696,"ANEXO")</f>
        <v>2</v>
      </c>
      <c r="D19" s="85">
        <f>SUMIF(GERAL!B$8:B$1696,A19,GERAL!Z$8:Z$1696)</f>
        <v>0</v>
      </c>
      <c r="E19" s="85">
        <f>SUMIF(GERAL!B$8:B$1696,A19,GERAL!AE$8:AE$1696)</f>
        <v>0</v>
      </c>
      <c r="F19" s="85">
        <f>SUMIF(GERAL!B$8:B$1696,A19,GERAL!AJ$8:AJ$1696)</f>
        <v>758</v>
      </c>
      <c r="G19" s="85">
        <f>SUMIF(GERAL!B$8:B$1696,A19,GERAL!AN$8:AN$1696)</f>
        <v>0</v>
      </c>
      <c r="H19" s="85">
        <f>SUMIF(GERAL!B$8:B$1696,A19,GERAL!AR$8:AW$1696)</f>
        <v>82</v>
      </c>
      <c r="I19" s="85">
        <f>SUMIF(GERAL!B$8:B$1696,A19,GERAL!AW$8:AW$1696)</f>
        <v>65</v>
      </c>
      <c r="J19" s="75">
        <f>SUMIF(GERAL!B$8:B$1696,A19,GERAL!AX$8:AX$1696)</f>
        <v>905</v>
      </c>
      <c r="K19" s="75">
        <f>COUNTIFS(GERAL!B$8:B$1696,A19,GERAL!AY$8:AY$1696,"&gt;0",GERAL!C$8:C$1696,"ESCOLA")</f>
        <v>3</v>
      </c>
      <c r="L19" s="75">
        <f>COUNTIFS(GERAL!B$8:B$1696,A19,GERAL!AY$8:AY$1696,"&gt;0",GERAL!C$8:C$1696,"ANEXO")</f>
        <v>2</v>
      </c>
      <c r="M19" s="100">
        <f>SUMIF(GERAL!B$8:B$1696,A19,GERAL!V$8:V$1696)+SUMIF(GERAL!B$8:B$1696,A19,GERAL!W$8:W$1696)</f>
        <v>0</v>
      </c>
      <c r="N19" s="100">
        <f>SUMIF(GERAL!B$8:B$1696,A19,GERAL!AA$8:AA$1696)+SUMIF(GERAL!B$8:B$1696,A19,GERAL!AB$8:AB$1696)</f>
        <v>0</v>
      </c>
      <c r="O19" s="100">
        <f>SUMIF(GERAL!B$8:B$1696,A19,GERAL!AF$8:AF$1696)+SUMIF(GERAL!B$8:B$1696,A19,GERAL!AG$8:AG$1696)</f>
        <v>498</v>
      </c>
      <c r="P19" s="100">
        <f>SUMIF(GERAL!B$8:B$1696,A19,GERAL!AK$8:AK$1696)+SUMIF(GERAL!B$8:B$1696,A19,GERAL!AL$8:AL$1696)</f>
        <v>0</v>
      </c>
      <c r="Q19" s="100">
        <f>SUMIF(GERAL!B$8:B$1696,A19,GERAL!AO$8:AO$1696)+SUMIF(GERAL!B$8:B$1696,A19,GERAL!AP$8:AP$1696)</f>
        <v>0</v>
      </c>
      <c r="R19" s="100">
        <f>SUMIF(GERAL!B$8:B$1696,A19,GERAL!AS$8:AS$1696)+SUMIF(GERAL!B$8:B$1696,A19,GERAL!AT$8:AT$1696)</f>
        <v>0</v>
      </c>
      <c r="S19" s="75">
        <f t="shared" si="39"/>
        <v>498</v>
      </c>
      <c r="T19" s="116">
        <f>COUNTIFS(GERAL!B$8:B$1696,A19,GERAL!AZ$8:AZ$1696,"&gt;0",GERAL!C$8:C$1696,"ESCOLA")</f>
        <v>3</v>
      </c>
      <c r="U19" s="75">
        <f>COUNTIFS(GERAL!B$8:B$1696,A19,GERAL!AZ$8:AZ$1696,"&gt;0",GERAL!C$8:C$1696,"ANEXO")</f>
        <v>0</v>
      </c>
      <c r="V19" s="85">
        <f>SUMIF(GERAL!B$8:B$1696,A19,GERAL!AH$8:AH$1696)</f>
        <v>42</v>
      </c>
      <c r="W19" s="85">
        <f>SUMIF(GERAL!B$8:B$1696,A19,GERAL!AM$8:AM$1696)</f>
        <v>0</v>
      </c>
      <c r="X19" s="85">
        <f>SUMIF(GERAL!B$8:B$1696,A19,GERAL!AQ$8:AQ$1696)</f>
        <v>82</v>
      </c>
      <c r="Y19" s="85">
        <f>SUMIF(GERAL!B$8:B$1696,A19,GERAL!AU$8:AU$1696)</f>
        <v>0</v>
      </c>
      <c r="Z19" s="88">
        <f t="shared" si="40"/>
        <v>124</v>
      </c>
      <c r="AA19" s="116">
        <f>COUNTIFS(GERAL!B$8:B$1696,A19,GERAL!BK$8:BK$1696,"&gt;0",GERAL!C$8:C$1696,"ESCOLA")</f>
        <v>1</v>
      </c>
      <c r="AB19" s="118">
        <f>COUNTIFS(GERAL!B$8:B$1696,A19,GERAL!BK$8:BK$1696,"&gt;0",GERAL!C$8:C$1696,"ANEXO")</f>
        <v>0</v>
      </c>
      <c r="AC19" s="121">
        <f>SUMIF(GERAL!B$8:B$1696,A19,GERAL!AD$8:AD$1696)</f>
        <v>0</v>
      </c>
      <c r="AD19" s="121">
        <f>SUMIF(GERAL!B$8:B$1696,A19,GERAL!AI$8:AI$1696)</f>
        <v>218</v>
      </c>
      <c r="AE19" s="121">
        <f>SUMIF(GERAL!B$8:B$1696,A19,GERAL!AV$8:AV$1696)</f>
        <v>65</v>
      </c>
      <c r="AF19" s="492">
        <f t="shared" si="41"/>
        <v>283</v>
      </c>
      <c r="AG19" s="178">
        <f>COUNTIFS(GERAL!B$8:B$1696,A19,GERAL!AW$8:AW$1696,"&gt;0",GERAL!C$8:C$1696,"ESCOLA")</f>
        <v>1</v>
      </c>
      <c r="AH19" s="118">
        <f>COUNTIFS(GERAL!B$8:B$1696,A19,GERAL!AW$8:AW$1696,"&gt;0",GERAL!C$8:C$1696,"ANEXO")</f>
        <v>0</v>
      </c>
      <c r="AI19" s="177">
        <f>SUMIF(GERAL!B$8:B$1696,A19,GERAL!AS$8:AS$1696)+SUMIF(GERAL!B$8:B$1696,A19,GERAL!AT$8:AT$1696)</f>
        <v>0</v>
      </c>
      <c r="AJ19" s="177">
        <f>SUMIF(GERAL!B$8:B$1696,A19,GERAL!AU$8:AU$1696)</f>
        <v>0</v>
      </c>
      <c r="AK19" s="177">
        <f>SUMIF(GERAL!B$8:B$1696,A19,GERAL!AV$8:AV$1696)</f>
        <v>65</v>
      </c>
      <c r="AL19" s="118">
        <f t="shared" si="42"/>
        <v>65</v>
      </c>
      <c r="AM19" s="493" t="s">
        <v>1629</v>
      </c>
    </row>
    <row r="20">
      <c r="A20" s="484" t="s">
        <v>5277</v>
      </c>
      <c r="B20" s="75">
        <f>COUNTIFS(GERAL!B$8:B$1696,A20,GERAL!C$8:C$1696,"ESCOLA")</f>
        <v>1</v>
      </c>
      <c r="C20" s="75">
        <f>COUNTIFS(GERAL!B$8:B$1696,A20,GERAL!C$8:C$1696,"ANEXO")</f>
        <v>0</v>
      </c>
      <c r="D20" s="85">
        <f>SUMIF(GERAL!B$8:B$1696,A20,GERAL!Z$8:Z$1696)</f>
        <v>0</v>
      </c>
      <c r="E20" s="85">
        <f>SUMIF(GERAL!B$8:B$1696,A20,GERAL!AE$8:AE$1696)</f>
        <v>0</v>
      </c>
      <c r="F20" s="85">
        <f>SUMIF(GERAL!B$8:B$1696,A20,GERAL!AJ$8:AJ$1696)</f>
        <v>501</v>
      </c>
      <c r="G20" s="85">
        <f>SUMIF(GERAL!B$8:B$1696,A20,GERAL!AN$8:AN$1696)</f>
        <v>0</v>
      </c>
      <c r="H20" s="85">
        <f>SUMIF(GERAL!B$8:B$1696,A20,GERAL!AR$8:AW$1696)</f>
        <v>157</v>
      </c>
      <c r="I20" s="85">
        <f>SUMIF(GERAL!B$8:B$1696,A20,GERAL!AW$8:AW$1696)</f>
        <v>22</v>
      </c>
      <c r="J20" s="75">
        <f>SUMIF(GERAL!B$8:B$1696,A20,GERAL!AX$8:AX$1696)</f>
        <v>680</v>
      </c>
      <c r="K20" s="75">
        <f>COUNTIFS(GERAL!B$8:B$1696,A20,GERAL!AY$8:AY$1696,"&gt;0",GERAL!C$8:C$1696,"ESCOLA")</f>
        <v>1</v>
      </c>
      <c r="L20" s="75">
        <f>COUNTIFS(GERAL!B$8:B$1696,A20,GERAL!AY$8:AY$1696,"&gt;0",GERAL!C$8:C$1696,"ANEXO")</f>
        <v>0</v>
      </c>
      <c r="M20" s="100">
        <f>SUMIF(GERAL!B$8:B$1696,A20,GERAL!V$8:V$1696)+SUMIF(GERAL!B$8:B$1696,A20,GERAL!W$8:W$1696)</f>
        <v>0</v>
      </c>
      <c r="N20" s="100">
        <f>SUMIF(GERAL!B$8:B$1696,A20,GERAL!AA$8:AA$1696)+SUMIF(GERAL!B$8:B$1696,A20,GERAL!AB$8:AB$1696)</f>
        <v>0</v>
      </c>
      <c r="O20" s="100">
        <f>SUMIF(GERAL!B$8:B$1696,A20,GERAL!AF$8:AF$1696)+SUMIF(GERAL!B$8:B$1696,A20,GERAL!AG$8:AG$1696)</f>
        <v>201</v>
      </c>
      <c r="P20" s="100">
        <f>SUMIF(GERAL!B$8:B$1696,A20,GERAL!AK$8:AK$1696)+SUMIF(GERAL!B$8:B$1696,A20,GERAL!AL$8:AL$1696)</f>
        <v>0</v>
      </c>
      <c r="Q20" s="100">
        <f>SUMIF(GERAL!B$8:B$1696,A20,GERAL!AO$8:AO$1696)+SUMIF(GERAL!B$8:B$1696,A20,GERAL!AP$8:AP$1696)</f>
        <v>0</v>
      </c>
      <c r="R20" s="100">
        <f>SUMIF(GERAL!B$8:B$1696,A20,GERAL!AS$8:AS$1696)+SUMIF(GERAL!B$8:B$1696,A20,GERAL!AT$8:AT$1696)</f>
        <v>0</v>
      </c>
      <c r="S20" s="75">
        <f t="shared" si="39"/>
        <v>201</v>
      </c>
      <c r="T20" s="116">
        <f>COUNTIFS(GERAL!B$8:B$1696,A20,GERAL!AZ$8:AZ$1696,"&gt;0",GERAL!C$8:C$1696,"ESCOLA")</f>
        <v>1</v>
      </c>
      <c r="U20" s="75">
        <f>COUNTIFS(GERAL!B$8:B$1696,A20,GERAL!AZ$8:AZ$1696,"&gt;0",GERAL!C$8:C$1696,"ANEXO")</f>
        <v>0</v>
      </c>
      <c r="V20" s="85">
        <f>SUMIF(GERAL!B$8:B$1696,A20,GERAL!AH$8:AH$1696)</f>
        <v>0</v>
      </c>
      <c r="W20" s="85">
        <f>SUMIF(GERAL!B$8:B$1696,A20,GERAL!AM$8:AM$1696)</f>
        <v>0</v>
      </c>
      <c r="X20" s="85">
        <f>SUMIF(GERAL!B$8:B$1696,A20,GERAL!AQ$8:AQ$1696)</f>
        <v>157</v>
      </c>
      <c r="Y20" s="85">
        <f>SUMIF(GERAL!B$8:B$1696,A20,GERAL!AU$8:AU$1696)</f>
        <v>22</v>
      </c>
      <c r="Z20" s="88">
        <f t="shared" si="40"/>
        <v>179</v>
      </c>
      <c r="AA20" s="116">
        <f>COUNTIFS(GERAL!B$8:B$1696,A20,GERAL!BK$8:BK$1696,"&gt;0",GERAL!C$8:C$1696,"ESCOLA")</f>
        <v>1</v>
      </c>
      <c r="AB20" s="118">
        <f>COUNTIFS(GERAL!B$8:B$1696,A20,GERAL!BK$8:BK$1696,"&gt;0",GERAL!C$8:C$1696,"ANEXO")</f>
        <v>0</v>
      </c>
      <c r="AC20" s="121">
        <f>SUMIF(GERAL!B$8:B$1696,A20,GERAL!AD$8:AD$1696)</f>
        <v>0</v>
      </c>
      <c r="AD20" s="121">
        <f>SUMIF(GERAL!B$8:B$1696,A20,GERAL!AI$8:AI$1696)</f>
        <v>300</v>
      </c>
      <c r="AE20" s="121">
        <f>SUMIF(GERAL!B$8:B$1696,A20,GERAL!AV$8:AV$1696)</f>
        <v>0</v>
      </c>
      <c r="AF20" s="492">
        <f t="shared" si="41"/>
        <v>300</v>
      </c>
      <c r="AG20" s="178">
        <f>COUNTIFS(GERAL!B$8:B$1696,A20,GERAL!AW$8:AW$1696,"&gt;0",GERAL!C$8:C$1696,"ESCOLA")</f>
        <v>1</v>
      </c>
      <c r="AH20" s="118">
        <f>COUNTIFS(GERAL!B$8:B$1696,A20,GERAL!AW$8:AW$1696,"&gt;0",GERAL!C$8:C$1696,"ANEXO")</f>
        <v>0</v>
      </c>
      <c r="AI20" s="177">
        <f>SUMIF(GERAL!B$8:B$1696,A20,GERAL!AS$8:AS$1696)+SUMIF(GERAL!B$8:B$1696,A20,GERAL!AT$8:AT$1696)</f>
        <v>0</v>
      </c>
      <c r="AJ20" s="177">
        <f>SUMIF(GERAL!B$8:B$1696,A20,GERAL!AU$8:AU$1696)</f>
        <v>22</v>
      </c>
      <c r="AK20" s="177">
        <f>SUMIF(GERAL!B$8:B$1696,A20,GERAL!AV$8:AV$1696)</f>
        <v>0</v>
      </c>
      <c r="AL20" s="118">
        <f t="shared" si="42"/>
        <v>22</v>
      </c>
      <c r="AM20" s="493" t="s">
        <v>1281</v>
      </c>
    </row>
    <row r="21">
      <c r="A21" s="494" t="s">
        <v>5004</v>
      </c>
      <c r="B21" s="75">
        <f>COUNTIFS(GERAL!B$8:B$1696,A21,GERAL!C$8:C$1696,"ESCOLA")</f>
        <v>1</v>
      </c>
      <c r="C21" s="75">
        <f>COUNTIFS(GERAL!B$8:B$1696,A21,GERAL!C$8:C$1696,"ANEXO")</f>
        <v>0</v>
      </c>
      <c r="D21" s="85">
        <f>SUMIF(GERAL!B$8:B$1696,A21,GERAL!Z$8:Z$1696)</f>
        <v>0</v>
      </c>
      <c r="E21" s="85">
        <f>SUMIF(GERAL!B$8:B$1696,A21,GERAL!AE$8:AE$1696)</f>
        <v>0</v>
      </c>
      <c r="F21" s="85">
        <f>SUMIF(GERAL!B$8:B$1696,A21,GERAL!AJ$8:AJ$1696)</f>
        <v>281</v>
      </c>
      <c r="G21" s="85">
        <f>SUMIF(GERAL!B$8:B$1696,A21,GERAL!AN$8:AN$1696)</f>
        <v>0</v>
      </c>
      <c r="H21" s="85">
        <f>SUMIF(GERAL!B$8:B$1696,A21,GERAL!AR$8:AW$1696)</f>
        <v>71</v>
      </c>
      <c r="I21" s="85">
        <f>SUMIF(GERAL!B$8:B$1696,A21,GERAL!AW$8:AW$1696)</f>
        <v>171</v>
      </c>
      <c r="J21" s="75">
        <f>SUMIF(GERAL!B$8:B$1696,A21,GERAL!AX$8:AX$1696)</f>
        <v>523</v>
      </c>
      <c r="K21" s="75">
        <f>COUNTIFS(GERAL!B$8:B$1696,A21,GERAL!AY$8:AY$1696,"&gt;0",GERAL!C$8:C$1696,"ESCOLA")</f>
        <v>1</v>
      </c>
      <c r="L21" s="75">
        <f>COUNTIFS(GERAL!B$8:B$1696,A21,GERAL!AY$8:AY$1696,"&gt;0",GERAL!C$8:C$1696,"ANEXO")</f>
        <v>0</v>
      </c>
      <c r="M21" s="100">
        <f>SUMIF(GERAL!B$8:B$1696,A21,GERAL!V$8:V$1696)+SUMIF(GERAL!B$8:B$1696,A21,GERAL!W$8:W$1696)</f>
        <v>0</v>
      </c>
      <c r="N21" s="100">
        <f>SUMIF(GERAL!B$8:B$1696,A21,GERAL!AA$8:AA$1696)+SUMIF(GERAL!B$8:B$1696,A21,GERAL!AB$8:AB$1696)</f>
        <v>0</v>
      </c>
      <c r="O21" s="100">
        <f>SUMIF(GERAL!B$8:B$1696,A21,GERAL!AF$8:AF$1696)+SUMIF(GERAL!B$8:B$1696,A21,GERAL!AG$8:AG$1696)</f>
        <v>0</v>
      </c>
      <c r="P21" s="100">
        <f>SUMIF(GERAL!B$8:B$1696,A21,GERAL!AK$8:AK$1696)+SUMIF(GERAL!B$8:B$1696,A21,GERAL!AL$8:AL$1696)</f>
        <v>0</v>
      </c>
      <c r="Q21" s="100">
        <f>SUMIF(GERAL!B$8:B$1696,A21,GERAL!AO$8:AO$1696)+SUMIF(GERAL!B$8:B$1696,A21,GERAL!AP$8:AP$1696)</f>
        <v>0</v>
      </c>
      <c r="R21" s="100">
        <f>SUMIF(GERAL!B$8:B$1696,A21,GERAL!AS$8:AS$1696)+SUMIF(GERAL!B$8:B$1696,A21,GERAL!AT$8:AT$1696)</f>
        <v>13</v>
      </c>
      <c r="S21" s="75">
        <f t="shared" si="39"/>
        <v>13</v>
      </c>
      <c r="T21" s="116">
        <f>COUNTIFS(GERAL!B$8:B$1696,A21,GERAL!AZ$8:AZ$1696,"&gt;0",GERAL!C$8:C$1696,"ESCOLA")</f>
        <v>1</v>
      </c>
      <c r="U21" s="75">
        <f>COUNTIFS(GERAL!B$8:B$1696,A21,GERAL!AZ$8:AZ$1696,"&gt;0",GERAL!C$8:C$1696,"ANEXO")</f>
        <v>0</v>
      </c>
      <c r="V21" s="85">
        <f>SUMIF(GERAL!B$8:B$1696,A21,GERAL!AH$8:AH$1696)</f>
        <v>0</v>
      </c>
      <c r="W21" s="85">
        <f>SUMIF(GERAL!B$8:B$1696,A21,GERAL!AM$8:AM$1696)</f>
        <v>0</v>
      </c>
      <c r="X21" s="85">
        <f>SUMIF(GERAL!B$8:B$1696,A21,GERAL!AQ$8:AQ$1696)</f>
        <v>71</v>
      </c>
      <c r="Y21" s="85">
        <f>SUMIF(GERAL!B$8:B$1696,A21,GERAL!AU$8:AU$1696)</f>
        <v>90</v>
      </c>
      <c r="Z21" s="88">
        <f t="shared" si="40"/>
        <v>161</v>
      </c>
      <c r="AA21" s="116">
        <f>COUNTIFS(GERAL!B$8:B$1696,A21,GERAL!BK$8:BK$1696,"&gt;0",GERAL!C$8:C$1696,"ESCOLA")</f>
        <v>1</v>
      </c>
      <c r="AB21" s="118">
        <f>COUNTIFS(GERAL!B$8:B$1696,A21,GERAL!BK$8:BK$1696,"&gt;0",GERAL!C$8:C$1696,"ANEXO")</f>
        <v>0</v>
      </c>
      <c r="AC21" s="121">
        <f>SUMIF(GERAL!B$8:B$1696,A21,GERAL!AD$8:AD$1696)</f>
        <v>0</v>
      </c>
      <c r="AD21" s="121">
        <f>SUMIF(GERAL!B$8:B$1696,A21,GERAL!AI$8:AI$1696)</f>
        <v>281</v>
      </c>
      <c r="AE21" s="121">
        <f>SUMIF(GERAL!B$8:B$1696,A21,GERAL!AV$8:AV$1696)</f>
        <v>68</v>
      </c>
      <c r="AF21" s="492">
        <f t="shared" si="41"/>
        <v>349</v>
      </c>
      <c r="AG21" s="178">
        <f>COUNTIFS(GERAL!B$8:B$1696,A21,GERAL!AW$8:AW$1696,"&gt;0",GERAL!C$8:C$1696,"ESCOLA")</f>
        <v>1</v>
      </c>
      <c r="AH21" s="118">
        <f>COUNTIFS(GERAL!B$8:B$1696,A21,GERAL!AW$8:AW$1696,"&gt;0",GERAL!C$8:C$1696,"ANEXO")</f>
        <v>0</v>
      </c>
      <c r="AI21" s="177">
        <f>SUMIF(GERAL!B$8:B$1696,A21,GERAL!AS$8:AS$1696)+SUMIF(GERAL!B$8:B$1696,A21,GERAL!AT$8:AT$1696)</f>
        <v>13</v>
      </c>
      <c r="AJ21" s="177">
        <f>SUMIF(GERAL!B$8:B$1696,A21,GERAL!AU$8:AU$1696)</f>
        <v>90</v>
      </c>
      <c r="AK21" s="177">
        <f>SUMIF(GERAL!B$8:B$1696,A21,GERAL!AV$8:AV$1696)</f>
        <v>68</v>
      </c>
      <c r="AL21" s="118">
        <f t="shared" si="42"/>
        <v>171</v>
      </c>
      <c r="AM21" s="493" t="s">
        <v>1224</v>
      </c>
    </row>
    <row r="22">
      <c r="A22" s="484" t="s">
        <v>5710</v>
      </c>
      <c r="B22" s="75">
        <f>COUNTIFS(GERAL!B$8:B$1696,A22,GERAL!C$8:C$1696,"ESCOLA")</f>
        <v>1</v>
      </c>
      <c r="C22" s="75">
        <f>COUNTIFS(GERAL!B$8:B$1696,A22,GERAL!C$8:C$1696,"ANEXO")</f>
        <v>1</v>
      </c>
      <c r="D22" s="85">
        <f>SUMIF(GERAL!B$8:B$1696,A22,GERAL!Z$8:Z$1696)</f>
        <v>0</v>
      </c>
      <c r="E22" s="85">
        <f>SUMIF(GERAL!B$8:B$1696,A22,GERAL!AE$8:AE$1696)</f>
        <v>0</v>
      </c>
      <c r="F22" s="85">
        <f>SUMIF(GERAL!B$8:B$1696,A22,GERAL!AJ$8:AJ$1696)</f>
        <v>360</v>
      </c>
      <c r="G22" s="85">
        <f>SUMIF(GERAL!B$8:B$1696,A22,GERAL!AN$8:AN$1696)</f>
        <v>0</v>
      </c>
      <c r="H22" s="85">
        <f>SUMIF(GERAL!B$8:B$1696,A22,GERAL!AR$8:AW$1696)</f>
        <v>108</v>
      </c>
      <c r="I22" s="85">
        <f>SUMIF(GERAL!B$8:B$1696,A22,GERAL!AW$8:AW$1696)</f>
        <v>56</v>
      </c>
      <c r="J22" s="75">
        <f>SUMIF(GERAL!B$8:B$1696,A22,GERAL!AX$8:AX$1696)</f>
        <v>524</v>
      </c>
      <c r="K22" s="75">
        <f>COUNTIFS(GERAL!B$8:B$1696,A22,GERAL!AY$8:AY$1696,"&gt;0",GERAL!C$8:C$1696,"ESCOLA")</f>
        <v>1</v>
      </c>
      <c r="L22" s="75">
        <f>COUNTIFS(GERAL!B$8:B$1696,A22,GERAL!AY$8:AY$1696,"&gt;0",GERAL!C$8:C$1696,"ANEXO")</f>
        <v>1</v>
      </c>
      <c r="M22" s="100">
        <f>SUMIF(GERAL!B$8:B$1696,A22,GERAL!V$8:V$1696)+SUMIF(GERAL!B$8:B$1696,A22,GERAL!W$8:W$1696)</f>
        <v>0</v>
      </c>
      <c r="N22" s="100">
        <f>SUMIF(GERAL!B$8:B$1696,A22,GERAL!AA$8:AA$1696)+SUMIF(GERAL!B$8:B$1696,A22,GERAL!AB$8:AB$1696)</f>
        <v>0</v>
      </c>
      <c r="O22" s="100">
        <f>SUMIF(GERAL!B$8:B$1696,A22,GERAL!AF$8:AF$1696)+SUMIF(GERAL!B$8:B$1696,A22,GERAL!AG$8:AG$1696)</f>
        <v>241</v>
      </c>
      <c r="P22" s="100">
        <f>SUMIF(GERAL!B$8:B$1696,A22,GERAL!AK$8:AK$1696)+SUMIF(GERAL!B$8:B$1696,A22,GERAL!AL$8:AL$1696)</f>
        <v>0</v>
      </c>
      <c r="Q22" s="100">
        <f>SUMIF(GERAL!B$8:B$1696,A22,GERAL!AO$8:AO$1696)+SUMIF(GERAL!B$8:B$1696,A22,GERAL!AP$8:AP$1696)</f>
        <v>0</v>
      </c>
      <c r="R22" s="100">
        <f>SUMIF(GERAL!B$8:B$1696,A22,GERAL!AS$8:AS$1696)+SUMIF(GERAL!B$8:B$1696,A22,GERAL!AT$8:AT$1696)</f>
        <v>34</v>
      </c>
      <c r="S22" s="75">
        <f t="shared" si="39"/>
        <v>275</v>
      </c>
      <c r="T22" s="178">
        <f>COUNTIFS(GERAL!B$8:B$1696,A23,GERAL!AW$8:AW$1696,"&gt;0",GERAL!C$8:C$1696,"ESCOLA")</f>
        <v>1</v>
      </c>
      <c r="U22" s="75">
        <f>COUNTIFS(GERAL!B$8:B$1696,A22,GERAL!AZ$8:AZ$1696,"&gt;0",GERAL!C$8:C$1696,"ANEXO")</f>
        <v>1</v>
      </c>
      <c r="V22" s="85">
        <f>SUMIF(GERAL!B$8:B$1696,A22,GERAL!AH$8:AH$1696)</f>
        <v>0</v>
      </c>
      <c r="W22" s="85">
        <f>SUMIF(GERAL!B$8:B$1696,A22,GERAL!AM$8:AM$1696)</f>
        <v>0</v>
      </c>
      <c r="X22" s="85">
        <f>SUMIF(GERAL!B$8:B$1696,A22,GERAL!AQ$8:AQ$1696)</f>
        <v>108</v>
      </c>
      <c r="Y22" s="85">
        <f>SUMIF(GERAL!B$8:B$1696,A22,GERAL!AU$8:AU$1696)</f>
        <v>22</v>
      </c>
      <c r="Z22" s="88">
        <f t="shared" si="40"/>
        <v>130</v>
      </c>
      <c r="AA22" s="116">
        <f>COUNTIFS(GERAL!B$8:B$1696,A22,GERAL!BK$8:BK$1696,"&gt;0",GERAL!C$8:C$1696,"ESCOLA")</f>
        <v>1</v>
      </c>
      <c r="AB22" s="118">
        <f>COUNTIFS(GERAL!B$8:B$1696,A22,GERAL!BK$8:BK$1696,"&gt;0",GERAL!C$8:C$1696,"ANEXO")</f>
        <v>1</v>
      </c>
      <c r="AC22" s="121">
        <f>SUMIF(GERAL!B$8:B$1696,A22,GERAL!AD$8:AD$1696)</f>
        <v>0</v>
      </c>
      <c r="AD22" s="121">
        <f>SUMIF(GERAL!B$8:B$1696,A22,GERAL!AI$8:AI$1696)</f>
        <v>119</v>
      </c>
      <c r="AE22" s="121">
        <f>SUMIF(GERAL!B$8:B$1696,A22,GERAL!AV$8:AV$1696)</f>
        <v>0</v>
      </c>
      <c r="AF22" s="492">
        <f t="shared" si="41"/>
        <v>119</v>
      </c>
      <c r="AG22" s="178">
        <f>COUNTIFS(GERAL!B$8:B$1696,A22,GERAL!AW$8:AW$1696,"&gt;0",GERAL!C$8:C$1696,"ESCOLA")</f>
        <v>1</v>
      </c>
      <c r="AH22" s="118">
        <f>COUNTIFS(GERAL!B$8:B$1696,A22,GERAL!AW$8:AW$1696,"&gt;0",GERAL!C$8:C$1696,"ANEXO")</f>
        <v>0</v>
      </c>
      <c r="AI22" s="177">
        <f>SUMIF(GERAL!B$8:B$1696,A22,GERAL!AS$8:AS$1696)+SUMIF(GERAL!B$8:B$1696,A22,GERAL!AT$8:AT$1696)</f>
        <v>34</v>
      </c>
      <c r="AJ22" s="177">
        <f>SUMIF(GERAL!B$8:B$1696,A22,GERAL!AU$8:AU$1696)</f>
        <v>22</v>
      </c>
      <c r="AK22" s="177">
        <f>SUMIF(GERAL!B$8:B$1696,A22,GERAL!AV$8:AV$1696)</f>
        <v>0</v>
      </c>
      <c r="AL22" s="118">
        <f t="shared" si="42"/>
        <v>56</v>
      </c>
      <c r="AM22" s="493" t="s">
        <v>1335</v>
      </c>
    </row>
    <row r="23">
      <c r="A23" s="494" t="s">
        <v>6809</v>
      </c>
      <c r="B23" s="75">
        <f>COUNTIFS(GERAL!B$8:B$1696,A23,GERAL!C$8:C$1696,"ESCOLA")</f>
        <v>1</v>
      </c>
      <c r="C23" s="75">
        <f>COUNTIFS(GERAL!B$8:B$1696,A23,GERAL!C$8:C$1696,"ANEXO")</f>
        <v>1</v>
      </c>
      <c r="D23" s="85">
        <f>SUMIF(GERAL!B$8:B$1696,A23,GERAL!Z$8:Z$1696)</f>
        <v>0</v>
      </c>
      <c r="E23" s="85">
        <f>SUMIF(GERAL!B$8:B$1696,A23,GERAL!AE$8:AE$1696)</f>
        <v>0</v>
      </c>
      <c r="F23" s="85">
        <f>SUMIF(GERAL!B$8:B$1696,A23,GERAL!AJ$8:AJ$1696)</f>
        <v>69</v>
      </c>
      <c r="G23" s="85">
        <f>SUMIF(GERAL!B$8:B$1696,A23,GERAL!AN$8:AN$1696)</f>
        <v>0</v>
      </c>
      <c r="H23" s="85">
        <f>SUMIF(GERAL!B$8:B$1696,A23,GERAL!AR$8:AW$1696)</f>
        <v>64</v>
      </c>
      <c r="I23" s="85">
        <f>SUMIF(GERAL!B$8:B$1696,A23,GERAL!AW$8:AW$1696)</f>
        <v>46</v>
      </c>
      <c r="J23" s="75">
        <f>SUMIF(GERAL!B$8:B$1696,A23,GERAL!AX$8:AX$1696)</f>
        <v>179</v>
      </c>
      <c r="K23" s="75">
        <f>COUNTIFS(GERAL!B$8:B$1696,A23,GERAL!AY$8:AY$1696,"&gt;0",GERAL!C$8:C$1696,"ESCOLA")</f>
        <v>1</v>
      </c>
      <c r="L23" s="75">
        <f>COUNTIFS(GERAL!B$8:B$1696,A23,GERAL!AY$8:AY$1696,"&gt;0",GERAL!C$8:C$1696,"ANEXO")</f>
        <v>0</v>
      </c>
      <c r="M23" s="100">
        <f>SUMIF(GERAL!B$8:B$1696,A23,GERAL!V$8:V$1696)+SUMIF(GERAL!B$8:B$1696,A23,GERAL!W$8:W$1696)</f>
        <v>0</v>
      </c>
      <c r="N23" s="100">
        <f>SUMIF(GERAL!B$8:B$1696,A23,GERAL!AA$8:AA$1696)+SUMIF(GERAL!B$8:B$1696,A23,GERAL!AB$8:AB$1696)</f>
        <v>0</v>
      </c>
      <c r="O23" s="100">
        <f>SUMIF(GERAL!B$8:B$1696,A23,GERAL!AF$8:AF$1696)+SUMIF(GERAL!B$8:B$1696,A23,GERAL!AG$8:AG$1696)</f>
        <v>0</v>
      </c>
      <c r="P23" s="100">
        <f>SUMIF(GERAL!B$8:B$1696,A23,GERAL!AK$8:AK$1696)+SUMIF(GERAL!B$8:B$1696,A23,GERAL!AL$8:AL$1696)</f>
        <v>0</v>
      </c>
      <c r="Q23" s="100">
        <f>SUMIF(GERAL!B$8:B$1696,A23,GERAL!AO$8:AO$1696)+SUMIF(GERAL!B$8:B$1696,A23,GERAL!AP$8:AP$1696)</f>
        <v>0</v>
      </c>
      <c r="R23" s="100">
        <f>SUMIF(GERAL!B$8:B$1696,A23,GERAL!AS$8:AS$1696)+SUMIF(GERAL!B$8:B$1696,A23,GERAL!AT$8:AT$1696)</f>
        <v>0</v>
      </c>
      <c r="S23" s="75">
        <f t="shared" si="39"/>
        <v>0</v>
      </c>
      <c r="T23" s="116">
        <f>COUNTIFS(GERAL!B$8:B$1696,A23,GERAL!AZ$8:AZ$1696,"&gt;0",GERAL!C$8:C$1696,"ESCOLA")</f>
        <v>1</v>
      </c>
      <c r="U23" s="75">
        <f>COUNTIFS(GERAL!B$8:B$1696,A23,GERAL!AZ$8:AZ$1696,"&gt;0",GERAL!C$8:C$1696,"ANEXO")</f>
        <v>1</v>
      </c>
      <c r="V23" s="85">
        <f>SUMIF(GERAL!B$8:B$1696,A23,GERAL!AH$8:AH$1696)</f>
        <v>0</v>
      </c>
      <c r="W23" s="85">
        <f>SUMIF(GERAL!B$8:B$1696,A23,GERAL!AM$8:AM$1696)</f>
        <v>0</v>
      </c>
      <c r="X23" s="85">
        <f>SUMIF(GERAL!B$8:B$1696,A23,GERAL!AQ$8:AQ$1696)</f>
        <v>64</v>
      </c>
      <c r="Y23" s="85">
        <f>SUMIF(GERAL!B$8:B$1696,A23,GERAL!AU$8:AU$1696)</f>
        <v>0</v>
      </c>
      <c r="Z23" s="88">
        <f t="shared" si="40"/>
        <v>64</v>
      </c>
      <c r="AA23" s="116">
        <f>COUNTIFS(GERAL!B$8:B$1696,A23,GERAL!BK$8:BK$1696,"&gt;0",GERAL!C$8:C$1696,"ESCOLA")</f>
        <v>1</v>
      </c>
      <c r="AB23" s="118">
        <f>COUNTIFS(GERAL!B$8:B$1696,A23,GERAL!BK$8:BK$1696,"&gt;0",GERAL!C$8:C$1696,"ANEXO")</f>
        <v>0</v>
      </c>
      <c r="AC23" s="121">
        <f>SUMIF(GERAL!B$8:B$1696,A23,GERAL!AD$8:AD$1696)</f>
        <v>0</v>
      </c>
      <c r="AD23" s="121">
        <f>SUMIF(GERAL!B$8:B$1696,A23,GERAL!AI$8:AI$1696)</f>
        <v>69</v>
      </c>
      <c r="AE23" s="121">
        <f>SUMIF(GERAL!B$8:B$1696,A23,GERAL!AV$8:AV$1696)</f>
        <v>46</v>
      </c>
      <c r="AF23" s="492">
        <f t="shared" si="41"/>
        <v>115</v>
      </c>
      <c r="AG23" s="178">
        <f>COUNTIFS(GERAL!B$8:B$1696,A23,GERAL!AW$8:AW$1696,"&gt;0",GERAL!C$8:C$1696,"ESCOLA")</f>
        <v>1</v>
      </c>
      <c r="AH23" s="118">
        <f>COUNTIFS(GERAL!B$8:B$1696,A23,GERAL!AW$8:AW$1696,"&gt;0",GERAL!C$8:C$1696,"ANEXO")</f>
        <v>0</v>
      </c>
      <c r="AI23" s="177">
        <f>SUMIF(GERAL!B$8:B$1696,A23,GERAL!AS$8:AS$1696)+SUMIF(GERAL!B$8:B$1696,A23,GERAL!AT$8:AT$1696)</f>
        <v>0</v>
      </c>
      <c r="AJ23" s="177">
        <f>SUMIF(GERAL!B$8:B$1696,A23,GERAL!AU$8:AU$1696)</f>
        <v>0</v>
      </c>
      <c r="AK23" s="177">
        <f>SUMIF(GERAL!B$8:B$1696,A23,GERAL!AV$8:AV$1696)</f>
        <v>46</v>
      </c>
      <c r="AL23" s="118">
        <f t="shared" si="42"/>
        <v>46</v>
      </c>
      <c r="AM23" s="493" t="s">
        <v>1535</v>
      </c>
    </row>
    <row r="24">
      <c r="A24" s="484" t="s">
        <v>2476</v>
      </c>
      <c r="B24" s="75">
        <f>COUNTIFS(GERAL!B$8:B$1696,A24,GERAL!C$8:C$1696,"ESCOLA")</f>
        <v>14</v>
      </c>
      <c r="C24" s="75">
        <f>COUNTIFS(GERAL!B$8:B$1696,A24,GERAL!C$8:C$1696,"ANEXO")</f>
        <v>1</v>
      </c>
      <c r="D24" s="85">
        <f>SUMIF(GERAL!B$8:B$1696,A24,GERAL!Z$8:Z$1696)</f>
        <v>0</v>
      </c>
      <c r="E24" s="85">
        <f>SUMIF(GERAL!B$8:B$1696,A24,GERAL!AE$8:AE$1696)</f>
        <v>3934</v>
      </c>
      <c r="F24" s="85">
        <f>SUMIF(GERAL!B$8:B$1696,A24,GERAL!AJ$8:AJ$1696)</f>
        <v>2363</v>
      </c>
      <c r="G24" s="85">
        <f>SUMIF(GERAL!B$8:B$1696,A24,GERAL!AN$8:AN$1696)</f>
        <v>305</v>
      </c>
      <c r="H24" s="85">
        <f>SUMIF(GERAL!B$8:B$1696,A24,GERAL!AR$8:AW$1696)</f>
        <v>686</v>
      </c>
      <c r="I24" s="85">
        <f>SUMIF(GERAL!B$8:B$1696,A24,GERAL!AW$8:AW$1696)</f>
        <v>2318</v>
      </c>
      <c r="J24" s="75">
        <f>SUMIF(GERAL!B$8:B$1696,A24,GERAL!AX$8:AX$1696)</f>
        <v>9606</v>
      </c>
      <c r="K24" s="75">
        <f>COUNTIFS(GERAL!B$8:B$1696,A24,GERAL!AY$8:AY$1696,"&gt;0",GERAL!C$8:C$1696,"ESCOLA")</f>
        <v>14</v>
      </c>
      <c r="L24" s="75">
        <f>COUNTIFS(GERAL!B$8:B$1696,A24,GERAL!AY$8:AY$1696,"&gt;0",GERAL!C$8:C$1696,"ANEXO")</f>
        <v>0</v>
      </c>
      <c r="M24" s="100">
        <f>SUMIF(GERAL!B$8:B$1696,A24,GERAL!V$8:V$1696)+SUMIF(GERAL!B$8:B$1696,A24,GERAL!W$8:W$1696)</f>
        <v>0</v>
      </c>
      <c r="N24" s="100">
        <f>SUMIF(GERAL!B$8:B$1696,A24,GERAL!AA$8:AA$1696)+SUMIF(GERAL!B$8:B$1696,A24,GERAL!AB$8:AB$1696)</f>
        <v>3934</v>
      </c>
      <c r="O24" s="100">
        <f>SUMIF(GERAL!B$8:B$1696,A24,GERAL!AF$8:AF$1696)+SUMIF(GERAL!B$8:B$1696,A24,GERAL!AG$8:AG$1696)</f>
        <v>2160</v>
      </c>
      <c r="P24" s="100">
        <f>SUMIF(GERAL!B$8:B$1696,A24,GERAL!AK$8:AK$1696)+SUMIF(GERAL!B$8:B$1696,A24,GERAL!AL$8:AL$1696)</f>
        <v>184</v>
      </c>
      <c r="Q24" s="100">
        <f>SUMIF(GERAL!B$8:B$1696,A24,GERAL!AO$8:AO$1696)+SUMIF(GERAL!B$8:B$1696,A24,GERAL!AP$8:AP$1696)</f>
        <v>173</v>
      </c>
      <c r="R24" s="100">
        <f>SUMIF(GERAL!B$8:B$1696,A24,GERAL!AS$8:AS$1696)+SUMIF(GERAL!B$8:B$1696,A24,GERAL!AT$8:AT$1696)</f>
        <v>1622</v>
      </c>
      <c r="S24" s="75">
        <f t="shared" si="39"/>
        <v>8073</v>
      </c>
      <c r="T24" s="116">
        <f>COUNTIFS(GERAL!B$8:B$1696,A24,GERAL!AZ$8:AZ$1696,"&gt;0",GERAL!C$8:C$1696,"ESCOLA")</f>
        <v>7</v>
      </c>
      <c r="U24" s="75">
        <f>COUNTIFS(GERAL!B$8:B$1696,A24,GERAL!AZ$8:AZ$1696,"&gt;0",GERAL!C$8:C$1696,"ANEXO")</f>
        <v>1</v>
      </c>
      <c r="V24" s="85">
        <f>SUMIF(GERAL!B$8:B$1696,A24,GERAL!AH$8:AH$1696)</f>
        <v>0</v>
      </c>
      <c r="W24" s="85">
        <f>SUMIF(GERAL!B$8:B$1696,A24,GERAL!AM$8:AM$1696)</f>
        <v>121</v>
      </c>
      <c r="X24" s="85">
        <f>SUMIF(GERAL!B$8:B$1696,A24,GERAL!AQ$8:AQ$1696)</f>
        <v>513</v>
      </c>
      <c r="Y24" s="85">
        <f>SUMIF(GERAL!B$8:B$1696,A24,GERAL!AU$8:AU$1696)</f>
        <v>606</v>
      </c>
      <c r="Z24" s="88">
        <f t="shared" si="40"/>
        <v>1240</v>
      </c>
      <c r="AA24" s="116">
        <f>COUNTIFS(GERAL!B$8:B$1696,A24,GERAL!BK$8:BK$1696,"&gt;0",GERAL!C$8:C$1696,"ESCOLA")</f>
        <v>3</v>
      </c>
      <c r="AB24" s="118">
        <f>COUNTIFS(GERAL!B$8:B$1696,A24,GERAL!BK$8:BK$1696,"&gt;0",GERAL!C$8:C$1696,"ANEXO")</f>
        <v>0</v>
      </c>
      <c r="AC24" s="121">
        <f>SUMIF(GERAL!B$8:B$1696,A24,GERAL!AD$8:AD$1696)</f>
        <v>0</v>
      </c>
      <c r="AD24" s="121">
        <f>SUMIF(GERAL!B$8:B$1696,A24,GERAL!AI$8:AI$1696)</f>
        <v>203</v>
      </c>
      <c r="AE24" s="121">
        <f>SUMIF(GERAL!B$8:B$1696,A24,GERAL!AV$8:AV$1696)</f>
        <v>90</v>
      </c>
      <c r="AF24" s="492">
        <f t="shared" si="41"/>
        <v>293</v>
      </c>
      <c r="AG24" s="178">
        <f>COUNTIFS(GERAL!B$8:B$1696,A24,GERAL!AW$8:AW$1696,"&gt;0",GERAL!C$8:C$1696,"ESCOLA")</f>
        <v>5</v>
      </c>
      <c r="AH24" s="118">
        <f>COUNTIFS(GERAL!B$8:B$1696,A24,GERAL!AW$8:AW$1696,"&gt;0",GERAL!C$8:C$1696,"ANEXO")</f>
        <v>0</v>
      </c>
      <c r="AI24" s="177">
        <f>SUMIF(GERAL!B$8:B$1696,A24,GERAL!AS$8:AS$1696)+SUMIF(GERAL!B$8:B$1696,A24,GERAL!AT$8:AT$1696)</f>
        <v>1622</v>
      </c>
      <c r="AJ24" s="177">
        <f>SUMIF(GERAL!B$8:B$1696,A24,GERAL!AU$8:AU$1696)</f>
        <v>606</v>
      </c>
      <c r="AK24" s="177">
        <f>SUMIF(GERAL!B$8:B$1696,A24,GERAL!AV$8:AV$1696)</f>
        <v>90</v>
      </c>
      <c r="AL24" s="118">
        <f t="shared" si="42"/>
        <v>2318</v>
      </c>
      <c r="AM24" s="493" t="s">
        <v>1281</v>
      </c>
    </row>
    <row r="25">
      <c r="A25" s="494" t="s">
        <v>1873</v>
      </c>
      <c r="B25" s="75">
        <f>COUNTIFS(GERAL!B$8:B$1696,A25,GERAL!C$8:C$1696,"ESCOLA")</f>
        <v>2</v>
      </c>
      <c r="C25" s="75">
        <f>COUNTIFS(GERAL!B$8:B$1696,A25,GERAL!C$8:C$1696,"ANEXO")</f>
        <v>4</v>
      </c>
      <c r="D25" s="85">
        <f>SUMIF(GERAL!B$8:B$1696,A25,GERAL!Z$8:Z$1696)</f>
        <v>0</v>
      </c>
      <c r="E25" s="85">
        <f>SUMIF(GERAL!B$8:B$1696,A25,GERAL!AE$8:AE$1696)</f>
        <v>0</v>
      </c>
      <c r="F25" s="85">
        <f>SUMIF(GERAL!B$8:B$1696,A25,GERAL!AJ$8:AJ$1696)</f>
        <v>514</v>
      </c>
      <c r="G25" s="85">
        <f>SUMIF(GERAL!B$8:B$1696,A25,GERAL!AN$8:AN$1696)</f>
        <v>0</v>
      </c>
      <c r="H25" s="85">
        <f>SUMIF(GERAL!B$8:B$1696,A25,GERAL!AR$8:AW$1696)</f>
        <v>259</v>
      </c>
      <c r="I25" s="85">
        <f>SUMIF(GERAL!B$8:B$1696,A25,GERAL!AW$8:AW$1696)</f>
        <v>74</v>
      </c>
      <c r="J25" s="75">
        <f>SUMIF(GERAL!B$8:B$1696,A25,GERAL!AX$8:AX$1696)</f>
        <v>847</v>
      </c>
      <c r="K25" s="75">
        <f>COUNTIFS(GERAL!B$8:B$1696,A25,GERAL!AY$8:AY$1696,"&gt;0",GERAL!C$8:C$1696,"ESCOLA")</f>
        <v>2</v>
      </c>
      <c r="L25" s="75">
        <f>COUNTIFS(GERAL!B$8:B$1696,A25,GERAL!AY$8:AY$1696,"&gt;0",GERAL!C$8:C$1696,"ANEXO")</f>
        <v>0</v>
      </c>
      <c r="M25" s="100">
        <f>SUMIF(GERAL!B$8:B$1696,A25,GERAL!V$8:V$1696)+SUMIF(GERAL!B$8:B$1696,A25,GERAL!W$8:W$1696)</f>
        <v>0</v>
      </c>
      <c r="N25" s="100">
        <f>SUMIF(GERAL!B$8:B$1696,A25,GERAL!AA$8:AA$1696)+SUMIF(GERAL!B$8:B$1696,A25,GERAL!AB$8:AB$1696)</f>
        <v>0</v>
      </c>
      <c r="O25" s="100">
        <f>SUMIF(GERAL!B$8:B$1696,A25,GERAL!AF$8:AF$1696)+SUMIF(GERAL!B$8:B$1696,A25,GERAL!AG$8:AG$1696)</f>
        <v>174</v>
      </c>
      <c r="P25" s="100">
        <f>SUMIF(GERAL!B$8:B$1696,A25,GERAL!AK$8:AK$1696)+SUMIF(GERAL!B$8:B$1696,A25,GERAL!AL$8:AL$1696)</f>
        <v>0</v>
      </c>
      <c r="Q25" s="100">
        <f>SUMIF(GERAL!B$8:B$1696,A25,GERAL!AO$8:AO$1696)+SUMIF(GERAL!B$8:B$1696,A25,GERAL!AP$8:AP$1696)</f>
        <v>0</v>
      </c>
      <c r="R25" s="100">
        <f>SUMIF(GERAL!B$8:B$1696,A25,GERAL!AS$8:AS$1696)+SUMIF(GERAL!B$8:B$1696,A25,GERAL!AT$8:AT$1696)</f>
        <v>0</v>
      </c>
      <c r="S25" s="75">
        <f t="shared" si="39"/>
        <v>174</v>
      </c>
      <c r="T25" s="116">
        <f>COUNTIFS(GERAL!B$8:B$1696,A25,GERAL!AZ$8:AZ$1696,"&gt;0",GERAL!C$8:C$1696,"ESCOLA")</f>
        <v>2</v>
      </c>
      <c r="U25" s="75">
        <f>COUNTIFS(GERAL!B$8:B$1696,A25,GERAL!AZ$8:AZ$1696,"&gt;0",GERAL!C$8:C$1696,"ANEXO")</f>
        <v>4</v>
      </c>
      <c r="V25" s="85">
        <f>SUMIF(GERAL!B$8:B$1696,A25,GERAL!AH$8:AH$1696)</f>
        <v>125</v>
      </c>
      <c r="W25" s="85">
        <f>SUMIF(GERAL!B$8:B$1696,A25,GERAL!AM$8:AM$1696)</f>
        <v>0</v>
      </c>
      <c r="X25" s="85">
        <f>SUMIF(GERAL!B$8:B$1696,A25,GERAL!AQ$8:AQ$1696)</f>
        <v>259</v>
      </c>
      <c r="Y25" s="85">
        <f>SUMIF(GERAL!B$8:B$1696,A25,GERAL!AU$8:AU$1696)</f>
        <v>0</v>
      </c>
      <c r="Z25" s="88">
        <f t="shared" si="40"/>
        <v>384</v>
      </c>
      <c r="AA25" s="116">
        <f>COUNTIFS(GERAL!B$8:B$1696,A25,GERAL!BK$8:BK$1696,"&gt;0",GERAL!C$8:C$1696,"ESCOLA")</f>
        <v>1</v>
      </c>
      <c r="AB25" s="118">
        <f>COUNTIFS(GERAL!B$8:B$1696,A25,GERAL!BK$8:BK$1696,"&gt;0",GERAL!C$8:C$1696,"ANEXO")</f>
        <v>0</v>
      </c>
      <c r="AC25" s="121">
        <f>SUMIF(GERAL!B$8:B$1696,A25,GERAL!AD$8:AD$1696)</f>
        <v>0</v>
      </c>
      <c r="AD25" s="121">
        <f>SUMIF(GERAL!B$8:B$1696,A25,GERAL!AI$8:AI$1696)</f>
        <v>215</v>
      </c>
      <c r="AE25" s="121">
        <f>SUMIF(GERAL!B$8:B$1696,A25,GERAL!AV$8:AV$1696)</f>
        <v>74</v>
      </c>
      <c r="AF25" s="492">
        <f t="shared" si="41"/>
        <v>289</v>
      </c>
      <c r="AG25" s="178">
        <f>COUNTIFS(GERAL!B$8:B$1696,A25,GERAL!AW$8:AW$1696,"&gt;0",GERAL!C$8:C$1696,"ESCOLA")</f>
        <v>1</v>
      </c>
      <c r="AH25" s="118">
        <f>COUNTIFS(GERAL!B$8:B$1696,A25,GERAL!AW$8:AW$1696,"&gt;0",GERAL!C$8:C$1696,"ANEXO")</f>
        <v>0</v>
      </c>
      <c r="AI25" s="177">
        <f>SUMIF(GERAL!B$8:B$1696,A25,GERAL!AS$8:AS$1696)+SUMIF(GERAL!B$8:B$1696,A25,GERAL!AT$8:AT$1696)</f>
        <v>0</v>
      </c>
      <c r="AJ25" s="177">
        <f>SUMIF(GERAL!B$8:B$1696,A25,GERAL!AU$8:AU$1696)</f>
        <v>0</v>
      </c>
      <c r="AK25" s="177">
        <f>SUMIF(GERAL!B$8:B$1696,A25,GERAL!AV$8:AV$1696)</f>
        <v>74</v>
      </c>
      <c r="AL25" s="118">
        <f t="shared" si="42"/>
        <v>74</v>
      </c>
      <c r="AM25" s="493" t="s">
        <v>605</v>
      </c>
    </row>
    <row r="26">
      <c r="A26" s="484" t="s">
        <v>1348</v>
      </c>
      <c r="B26" s="75">
        <f>COUNTIFS(GERAL!B$8:B$1696,A26,GERAL!C$8:C$1696,"ESCOLA")</f>
        <v>1</v>
      </c>
      <c r="C26" s="75">
        <f>COUNTIFS(GERAL!B$8:B$1696,A26,GERAL!C$8:C$1696,"ANEXO")</f>
        <v>0</v>
      </c>
      <c r="D26" s="85">
        <f>SUMIF(GERAL!B$8:B$1696,A26,GERAL!Z$8:Z$1696)</f>
        <v>0</v>
      </c>
      <c r="E26" s="85">
        <f>SUMIF(GERAL!B$8:B$1696,A26,GERAL!AE$8:AE$1696)</f>
        <v>0</v>
      </c>
      <c r="F26" s="85">
        <f>SUMIF(GERAL!B$8:B$1696,A26,GERAL!AJ$8:AJ$1696)</f>
        <v>139</v>
      </c>
      <c r="G26" s="85">
        <f>SUMIF(GERAL!B$8:B$1696,A26,GERAL!AN$8:AN$1696)</f>
        <v>0</v>
      </c>
      <c r="H26" s="85">
        <f>SUMIF(GERAL!B$8:B$1696,A26,GERAL!AR$8:AW$1696)</f>
        <v>19</v>
      </c>
      <c r="I26" s="85">
        <f>SUMIF(GERAL!B$8:B$1696,A26,GERAL!AW$8:AW$1696)</f>
        <v>36</v>
      </c>
      <c r="J26" s="75">
        <f>SUMIF(GERAL!B$8:B$1696,A26,GERAL!AX$8:AX$1696)</f>
        <v>194</v>
      </c>
      <c r="K26" s="75">
        <f>COUNTIFS(GERAL!B$8:B$1696,A26,GERAL!AY$8:AY$1696,"&gt;0",GERAL!C$8:C$1696,"ESCOLA")</f>
        <v>1</v>
      </c>
      <c r="L26" s="75">
        <f>COUNTIFS(GERAL!B$8:B$1696,A26,GERAL!AY$8:AY$1696,"&gt;0",GERAL!C$8:C$1696,"ANEXO")</f>
        <v>0</v>
      </c>
      <c r="M26" s="100">
        <f>SUMIF(GERAL!B$8:B$1696,A26,GERAL!V$8:V$1696)+SUMIF(GERAL!B$8:B$1696,A26,GERAL!W$8:W$1696)</f>
        <v>0</v>
      </c>
      <c r="N26" s="100">
        <f>SUMIF(GERAL!B$8:B$1696,A26,GERAL!AA$8:AA$1696)+SUMIF(GERAL!B$8:B$1696,A26,GERAL!AB$8:AB$1696)</f>
        <v>0</v>
      </c>
      <c r="O26" s="100">
        <f>SUMIF(GERAL!B$8:B$1696,A26,GERAL!AF$8:AF$1696)+SUMIF(GERAL!B$8:B$1696,A26,GERAL!AG$8:AG$1696)</f>
        <v>0</v>
      </c>
      <c r="P26" s="100">
        <f>SUMIF(GERAL!B$8:B$1696,A26,GERAL!AK$8:AK$1696)+SUMIF(GERAL!B$8:B$1696,A26,GERAL!AL$8:AL$1696)</f>
        <v>0</v>
      </c>
      <c r="Q26" s="100">
        <f>SUMIF(GERAL!B$8:B$1696,A26,GERAL!AO$8:AO$1696)+SUMIF(GERAL!B$8:B$1696,A26,GERAL!AP$8:AP$1696)</f>
        <v>0</v>
      </c>
      <c r="R26" s="100">
        <f>SUMIF(GERAL!B$8:B$1696,A26,GERAL!AS$8:AS$1696)+SUMIF(GERAL!B$8:B$1696,A26,GERAL!AT$8:AT$1696)</f>
        <v>0</v>
      </c>
      <c r="S26" s="75">
        <f t="shared" si="39"/>
        <v>0</v>
      </c>
      <c r="T26" s="116">
        <f>COUNTIFS(GERAL!B$8:B$1696,A26,GERAL!AZ$8:AZ$1696,"&gt;0",GERAL!C$8:C$1696,"ESCOLA")</f>
        <v>1</v>
      </c>
      <c r="U26" s="75">
        <f>COUNTIFS(GERAL!B$8:B$1696,A26,GERAL!AZ$8:AZ$1696,"&gt;0",GERAL!C$8:C$1696,"ANEXO")</f>
        <v>0</v>
      </c>
      <c r="V26" s="85">
        <f>SUMIF(GERAL!B$8:B$1696,A26,GERAL!AH$8:AH$1696)</f>
        <v>0</v>
      </c>
      <c r="W26" s="85">
        <f>SUMIF(GERAL!B$8:B$1696,A26,GERAL!AM$8:AM$1696)</f>
        <v>0</v>
      </c>
      <c r="X26" s="85">
        <f>SUMIF(GERAL!B$8:B$1696,A26,GERAL!AQ$8:AQ$1696)</f>
        <v>19</v>
      </c>
      <c r="Y26" s="85">
        <f>SUMIF(GERAL!B$8:B$1696,A26,GERAL!AU$8:AU$1696)</f>
        <v>36</v>
      </c>
      <c r="Z26" s="88">
        <f t="shared" si="40"/>
        <v>55</v>
      </c>
      <c r="AA26" s="116">
        <f>COUNTIFS(GERAL!B$8:B$1696,A26,GERAL!BK$8:BK$1696,"&gt;0",GERAL!C$8:C$1696,"ESCOLA")</f>
        <v>1</v>
      </c>
      <c r="AB26" s="118">
        <f>COUNTIFS(GERAL!B$8:B$1696,A26,GERAL!BK$8:BK$1696,"&gt;0",GERAL!C$8:C$1696,"ANEXO")</f>
        <v>0</v>
      </c>
      <c r="AC26" s="121">
        <f>SUMIF(GERAL!B$8:B$1696,A26,GERAL!AD$8:AD$1696)</f>
        <v>0</v>
      </c>
      <c r="AD26" s="121">
        <f>SUMIF(GERAL!B$8:B$1696,A26,GERAL!AI$8:AI$1696)</f>
        <v>139</v>
      </c>
      <c r="AE26" s="121">
        <f>SUMIF(GERAL!B$8:B$1696,A26,GERAL!AV$8:AV$1696)</f>
        <v>0</v>
      </c>
      <c r="AF26" s="492">
        <f t="shared" si="41"/>
        <v>139</v>
      </c>
      <c r="AG26" s="178">
        <f>COUNTIFS(GERAL!B$8:B$1696,A26,GERAL!AW$8:AW$1696,"&gt;0",GERAL!C$8:C$1696,"ESCOLA")</f>
        <v>1</v>
      </c>
      <c r="AH26" s="118">
        <f>COUNTIFS(GERAL!B$8:B$1696,A26,GERAL!AW$8:AW$1696,"&gt;0",GERAL!C$8:C$1696,"ANEXO")</f>
        <v>0</v>
      </c>
      <c r="AI26" s="177">
        <f>SUMIF(GERAL!B$8:B$1696,A26,GERAL!AS$8:AS$1696)+SUMIF(GERAL!B$8:B$1696,A26,GERAL!AT$8:AT$1696)</f>
        <v>0</v>
      </c>
      <c r="AJ26" s="177">
        <f>SUMIF(GERAL!B$8:B$1696,A26,GERAL!AU$8:AU$1696)</f>
        <v>36</v>
      </c>
      <c r="AK26" s="177">
        <f>SUMIF(GERAL!B$8:B$1696,A26,GERAL!AV$8:AV$1696)</f>
        <v>0</v>
      </c>
      <c r="AL26" s="118">
        <f t="shared" si="42"/>
        <v>36</v>
      </c>
      <c r="AM26" s="493" t="s">
        <v>451</v>
      </c>
    </row>
    <row r="27">
      <c r="A27" s="494" t="s">
        <v>2442</v>
      </c>
      <c r="B27" s="75">
        <f>COUNTIFS(GERAL!B$8:B$1696,A27,GERAL!C$8:C$1696,"ESCOLA")</f>
        <v>3</v>
      </c>
      <c r="C27" s="75">
        <f>COUNTIFS(GERAL!B$8:B$1696,A27,GERAL!C$8:C$1696,"ANEXO")</f>
        <v>0</v>
      </c>
      <c r="D27" s="85">
        <f>SUMIF(GERAL!B$8:B$1696,A27,GERAL!Z$8:Z$1696)</f>
        <v>0</v>
      </c>
      <c r="E27" s="85">
        <f>SUMIF(GERAL!B$8:B$1696,A27,GERAL!AE$8:AE$1696)</f>
        <v>0</v>
      </c>
      <c r="F27" s="85">
        <f>SUMIF(GERAL!B$8:B$1696,A27,GERAL!AJ$8:AJ$1696)</f>
        <v>765</v>
      </c>
      <c r="G27" s="85">
        <f>SUMIF(GERAL!B$8:B$1696,A27,GERAL!AN$8:AN$1696)</f>
        <v>0</v>
      </c>
      <c r="H27" s="85">
        <f>SUMIF(GERAL!B$8:B$1696,A27,GERAL!AR$8:AW$1696)</f>
        <v>502</v>
      </c>
      <c r="I27" s="85">
        <f>SUMIF(GERAL!B$8:B$1696,A27,GERAL!AW$8:AW$1696)</f>
        <v>674</v>
      </c>
      <c r="J27" s="75">
        <f>SUMIF(GERAL!B$8:B$1696,A27,GERAL!AX$8:AX$1696)</f>
        <v>1941</v>
      </c>
      <c r="K27" s="75">
        <f>COUNTIFS(GERAL!B$8:B$1696,A27,GERAL!AY$8:AY$1696,"&gt;0",GERAL!C$8:C$1696,"ESCOLA")</f>
        <v>2</v>
      </c>
      <c r="L27" s="75">
        <f>COUNTIFS(GERAL!B$8:B$1696,A27,GERAL!AY$8:AY$1696,"&gt;0",GERAL!C$8:C$1696,"ANEXO")</f>
        <v>0</v>
      </c>
      <c r="M27" s="100">
        <f>SUMIF(GERAL!B$8:B$1696,A27,GERAL!V$8:V$1696)+SUMIF(GERAL!B$8:B$1696,A27,GERAL!W$8:W$1696)</f>
        <v>0</v>
      </c>
      <c r="N27" s="100">
        <f>SUMIF(GERAL!B$8:B$1696,A27,GERAL!AA$8:AA$1696)+SUMIF(GERAL!B$8:B$1696,A27,GERAL!AB$8:AB$1696)</f>
        <v>0</v>
      </c>
      <c r="O27" s="100">
        <f>SUMIF(GERAL!B$8:B$1696,A27,GERAL!AF$8:AF$1696)+SUMIF(GERAL!B$8:B$1696,A27,GERAL!AG$8:AG$1696)</f>
        <v>230</v>
      </c>
      <c r="P27" s="100">
        <f>SUMIF(GERAL!B$8:B$1696,A27,GERAL!AK$8:AK$1696)+SUMIF(GERAL!B$8:B$1696,A27,GERAL!AL$8:AL$1696)</f>
        <v>0</v>
      </c>
      <c r="Q27" s="100">
        <f>SUMIF(GERAL!B$8:B$1696,A27,GERAL!AO$8:AO$1696)+SUMIF(GERAL!B$8:B$1696,A27,GERAL!AP$8:AP$1696)</f>
        <v>0</v>
      </c>
      <c r="R27" s="100">
        <f>SUMIF(GERAL!B$8:B$1696,A27,GERAL!AS$8:AS$1696)+SUMIF(GERAL!B$8:B$1696,A27,GERAL!AT$8:AT$1696)</f>
        <v>133</v>
      </c>
      <c r="S27" s="75">
        <f t="shared" si="39"/>
        <v>363</v>
      </c>
      <c r="T27" s="116">
        <f>COUNTIFS(GERAL!B$8:B$1696,A27,GERAL!AZ$8:AZ$1696,"&gt;0",GERAL!C$8:C$1696,"ESCOLA")</f>
        <v>2</v>
      </c>
      <c r="U27" s="75">
        <f>COUNTIFS(GERAL!B$8:B$1696,A27,GERAL!AZ$8:AZ$1696,"&gt;0",GERAL!C$8:C$1696,"ANEXO")</f>
        <v>0</v>
      </c>
      <c r="V27" s="85">
        <f>SUMIF(GERAL!B$8:B$1696,A27,GERAL!AH$8:AH$1696)</f>
        <v>0</v>
      </c>
      <c r="W27" s="85">
        <f>SUMIF(GERAL!B$8:B$1696,A27,GERAL!AM$8:AM$1696)</f>
        <v>0</v>
      </c>
      <c r="X27" s="85">
        <f>SUMIF(GERAL!B$8:B$1696,A27,GERAL!AQ$8:AQ$1696)</f>
        <v>502</v>
      </c>
      <c r="Y27" s="85">
        <f>SUMIF(GERAL!B$8:B$1696,A27,GERAL!AU$8:AU$1696)</f>
        <v>320</v>
      </c>
      <c r="Z27" s="88">
        <f t="shared" si="40"/>
        <v>822</v>
      </c>
      <c r="AA27" s="116">
        <f>COUNTIFS(GERAL!B$8:B$1696,A27,GERAL!BK$8:BK$1696,"&gt;0",GERAL!C$8:C$1696,"ESCOLA")</f>
        <v>2</v>
      </c>
      <c r="AB27" s="118">
        <f>COUNTIFS(GERAL!B$8:B$1696,A27,GERAL!BK$8:BK$1696,"&gt;0",GERAL!C$8:C$1696,"ANEXO")</f>
        <v>0</v>
      </c>
      <c r="AC27" s="121">
        <f>SUMIF(GERAL!B$8:B$1696,A27,GERAL!AD$8:AD$1696)</f>
        <v>0</v>
      </c>
      <c r="AD27" s="121">
        <f>SUMIF(GERAL!B$8:B$1696,A27,GERAL!AI$8:AI$1696)</f>
        <v>535</v>
      </c>
      <c r="AE27" s="121">
        <f>SUMIF(GERAL!B$8:B$1696,A27,GERAL!AV$8:AV$1696)</f>
        <v>221</v>
      </c>
      <c r="AF27" s="492">
        <f t="shared" si="41"/>
        <v>756</v>
      </c>
      <c r="AG27" s="178">
        <f>COUNTIFS(GERAL!B$8:B$1696,A27,GERAL!AW$8:AW$1696,"&gt;0",GERAL!C$8:C$1696,"ESCOLA")</f>
        <v>1</v>
      </c>
      <c r="AH27" s="118">
        <f>COUNTIFS(GERAL!B$8:B$1696,A27,GERAL!AW$8:AW$1696,"&gt;0",GERAL!C$8:C$1696,"ANEXO")</f>
        <v>0</v>
      </c>
      <c r="AI27" s="177">
        <f>SUMIF(GERAL!B$8:B$1696,A27,GERAL!AS$8:AS$1696)+SUMIF(GERAL!B$8:B$1696,A27,GERAL!AT$8:AT$1696)</f>
        <v>133</v>
      </c>
      <c r="AJ27" s="177">
        <f>SUMIF(GERAL!B$8:B$1696,A27,GERAL!AU$8:AU$1696)</f>
        <v>320</v>
      </c>
      <c r="AK27" s="177">
        <f>SUMIF(GERAL!B$8:B$1696,A27,GERAL!AV$8:AV$1696)</f>
        <v>221</v>
      </c>
      <c r="AL27" s="118">
        <f t="shared" si="42"/>
        <v>674</v>
      </c>
      <c r="AM27" s="493" t="s">
        <v>723</v>
      </c>
    </row>
    <row r="28">
      <c r="A28" s="484" t="s">
        <v>5717</v>
      </c>
      <c r="B28" s="75">
        <f>COUNTIFS(GERAL!B$8:B$1696,A28,GERAL!C$8:C$1696,"ESCOLA")</f>
        <v>1</v>
      </c>
      <c r="C28" s="75">
        <f>COUNTIFS(GERAL!B$8:B$1696,A28,GERAL!C$8:C$1696,"ANEXO")</f>
        <v>0</v>
      </c>
      <c r="D28" s="85">
        <f>SUMIF(GERAL!B$8:B$1696,A28,GERAL!Z$8:Z$1696)</f>
        <v>0</v>
      </c>
      <c r="E28" s="85">
        <f>SUMIF(GERAL!B$8:B$1696,A28,GERAL!AE$8:AE$1696)</f>
        <v>0</v>
      </c>
      <c r="F28" s="85">
        <f>SUMIF(GERAL!B$8:B$1696,A28,GERAL!AJ$8:AJ$1696)</f>
        <v>525</v>
      </c>
      <c r="G28" s="85">
        <f>SUMIF(GERAL!B$8:B$1696,A28,GERAL!AN$8:AN$1696)</f>
        <v>0</v>
      </c>
      <c r="H28" s="85">
        <f>SUMIF(GERAL!B$8:B$1696,A28,GERAL!AR$8:AW$1696)</f>
        <v>108</v>
      </c>
      <c r="I28" s="85">
        <f>SUMIF(GERAL!B$8:B$1696,A28,GERAL!AW$8:AW$1696)</f>
        <v>406</v>
      </c>
      <c r="J28" s="75">
        <f>SUMIF(GERAL!B$8:B$1696,A28,GERAL!AX$8:AX$1696)</f>
        <v>1039</v>
      </c>
      <c r="K28" s="75">
        <f>COUNTIFS(GERAL!B$8:B$1696,A28,GERAL!AY$8:AY$1696,"&gt;0",GERAL!C$8:C$1696,"ESCOLA")</f>
        <v>1</v>
      </c>
      <c r="L28" s="75">
        <f>COUNTIFS(GERAL!B$8:B$1696,A28,GERAL!AY$8:AY$1696,"&gt;0",GERAL!C$8:C$1696,"ANEXO")</f>
        <v>0</v>
      </c>
      <c r="M28" s="100">
        <f>SUMIF(GERAL!B$8:B$1696,A28,GERAL!V$8:V$1696)+SUMIF(GERAL!B$8:B$1696,A28,GERAL!W$8:W$1696)</f>
        <v>0</v>
      </c>
      <c r="N28" s="100">
        <f>SUMIF(GERAL!B$8:B$1696,A28,GERAL!AA$8:AA$1696)+SUMIF(GERAL!B$8:B$1696,A28,GERAL!AB$8:AB$1696)</f>
        <v>0</v>
      </c>
      <c r="O28" s="100">
        <f>SUMIF(GERAL!B$8:B$1696,A28,GERAL!AF$8:AF$1696)+SUMIF(GERAL!B$8:B$1696,A28,GERAL!AG$8:AG$1696)</f>
        <v>66</v>
      </c>
      <c r="P28" s="100">
        <f>SUMIF(GERAL!B$8:B$1696,A28,GERAL!AK$8:AK$1696)+SUMIF(GERAL!B$8:B$1696,A28,GERAL!AL$8:AL$1696)</f>
        <v>0</v>
      </c>
      <c r="Q28" s="100">
        <f>SUMIF(GERAL!B$8:B$1696,A28,GERAL!AO$8:AO$1696)+SUMIF(GERAL!B$8:B$1696,A28,GERAL!AP$8:AP$1696)</f>
        <v>0</v>
      </c>
      <c r="R28" s="100">
        <f>SUMIF(GERAL!B$8:B$1696,A28,GERAL!AS$8:AS$1696)+SUMIF(GERAL!B$8:B$1696,A28,GERAL!AT$8:AT$1696)</f>
        <v>188</v>
      </c>
      <c r="S28" s="75">
        <f t="shared" si="39"/>
        <v>254</v>
      </c>
      <c r="T28" s="116">
        <f>COUNTIFS(GERAL!B$8:B$1696,A28,GERAL!AZ$8:AZ$1696,"&gt;0",GERAL!C$8:C$1696,"ESCOLA")</f>
        <v>1</v>
      </c>
      <c r="U28" s="75">
        <f>COUNTIFS(GERAL!B$8:B$1696,A28,GERAL!AZ$8:AZ$1696,"&gt;0",GERAL!C$8:C$1696,"ANEXO")</f>
        <v>0</v>
      </c>
      <c r="V28" s="85">
        <f>SUMIF(GERAL!B$8:B$1696,A28,GERAL!AH$8:AH$1696)</f>
        <v>0</v>
      </c>
      <c r="W28" s="85">
        <f>SUMIF(GERAL!B$8:B$1696,A28,GERAL!AM$8:AM$1696)</f>
        <v>0</v>
      </c>
      <c r="X28" s="85">
        <f>SUMIF(GERAL!B$8:B$1696,A28,GERAL!AQ$8:AQ$1696)</f>
        <v>108</v>
      </c>
      <c r="Y28" s="85">
        <f>SUMIF(GERAL!B$8:B$1696,A28,GERAL!AU$8:AU$1696)</f>
        <v>117</v>
      </c>
      <c r="Z28" s="88">
        <f t="shared" si="40"/>
        <v>225</v>
      </c>
      <c r="AA28" s="116">
        <f>COUNTIFS(GERAL!B$8:B$1696,A28,GERAL!BK$8:BK$1696,"&gt;0",GERAL!C$8:C$1696,"ESCOLA")</f>
        <v>1</v>
      </c>
      <c r="AB28" s="118">
        <f>COUNTIFS(GERAL!B$8:B$1696,A28,GERAL!BK$8:BK$1696,"&gt;0",GERAL!C$8:C$1696,"ANEXO")</f>
        <v>0</v>
      </c>
      <c r="AC28" s="121">
        <f>SUMIF(GERAL!B$8:B$1696,A28,GERAL!AD$8:AD$1696)</f>
        <v>0</v>
      </c>
      <c r="AD28" s="121">
        <f>SUMIF(GERAL!B$8:B$1696,A28,GERAL!AI$8:AI$1696)</f>
        <v>459</v>
      </c>
      <c r="AE28" s="121">
        <f>SUMIF(GERAL!B$8:B$1696,A28,GERAL!AV$8:AV$1696)</f>
        <v>101</v>
      </c>
      <c r="AF28" s="492">
        <f t="shared" si="41"/>
        <v>560</v>
      </c>
      <c r="AG28" s="178">
        <f>COUNTIFS(GERAL!B$8:B$1696,A28,GERAL!AW$8:AW$1696,"&gt;0",GERAL!C$8:C$1696,"ESCOLA")</f>
        <v>1</v>
      </c>
      <c r="AH28" s="118">
        <f>COUNTIFS(GERAL!B$8:B$1696,A28,GERAL!AW$8:AW$1696,"&gt;0",GERAL!C$8:C$1696,"ANEXO")</f>
        <v>0</v>
      </c>
      <c r="AI28" s="177">
        <f>SUMIF(GERAL!B$8:B$1696,A28,GERAL!AS$8:AS$1696)+SUMIF(GERAL!B$8:B$1696,A28,GERAL!AT$8:AT$1696)</f>
        <v>188</v>
      </c>
      <c r="AJ28" s="177">
        <f>SUMIF(GERAL!B$8:B$1696,A28,GERAL!AU$8:AU$1696)</f>
        <v>117</v>
      </c>
      <c r="AK28" s="177">
        <f>SUMIF(GERAL!B$8:B$1696,A28,GERAL!AV$8:AV$1696)</f>
        <v>101</v>
      </c>
      <c r="AL28" s="118">
        <f t="shared" si="42"/>
        <v>406</v>
      </c>
      <c r="AM28" s="493" t="s">
        <v>1335</v>
      </c>
    </row>
    <row r="29">
      <c r="A29" s="494" t="s">
        <v>146</v>
      </c>
      <c r="B29" s="75">
        <f>COUNTIFS(GERAL!B$8:B$1696,A29,GERAL!C$8:C$1696,"ESCOLA")</f>
        <v>2</v>
      </c>
      <c r="C29" s="75">
        <f>COUNTIFS(GERAL!B$8:B$1696,A29,GERAL!C$8:C$1696,"ANEXO")</f>
        <v>1</v>
      </c>
      <c r="D29" s="85">
        <f>SUMIF(GERAL!B$8:B$1696,A29,GERAL!Z$8:Z$1696)</f>
        <v>0</v>
      </c>
      <c r="E29" s="85">
        <f>SUMIF(GERAL!B$8:B$1696,A29,GERAL!AE$8:AE$1696)</f>
        <v>0</v>
      </c>
      <c r="F29" s="85">
        <f>SUMIF(GERAL!B$8:B$1696,A29,GERAL!AJ$8:AJ$1696)</f>
        <v>693</v>
      </c>
      <c r="G29" s="85">
        <f>SUMIF(GERAL!B$8:B$1696,A29,GERAL!AN$8:AN$1696)</f>
        <v>0</v>
      </c>
      <c r="H29" s="85">
        <f>SUMIF(GERAL!B$8:B$1696,A29,GERAL!AR$8:AW$1696)</f>
        <v>132</v>
      </c>
      <c r="I29" s="85">
        <f>SUMIF(GERAL!B$8:B$1696,A29,GERAL!AW$8:AW$1696)</f>
        <v>32</v>
      </c>
      <c r="J29" s="75">
        <f>SUMIF(GERAL!B$8:B$1696,A29,GERAL!AX$8:AX$1696)</f>
        <v>857</v>
      </c>
      <c r="K29" s="75">
        <f>COUNTIFS(GERAL!B$8:B$1696,A29,GERAL!AY$8:AY$1696,"&gt;0",GERAL!C$8:C$1696,"ESCOLA")</f>
        <v>2</v>
      </c>
      <c r="L29" s="75">
        <f>COUNTIFS(GERAL!B$8:B$1696,A29,GERAL!AY$8:AY$1696,"&gt;0",GERAL!C$8:C$1696,"ANEXO")</f>
        <v>0</v>
      </c>
      <c r="M29" s="100">
        <f>SUMIF(GERAL!B$8:B$1696,A29,GERAL!V$8:V$1696)+SUMIF(GERAL!B$8:B$1696,A29,GERAL!W$8:W$1696)</f>
        <v>0</v>
      </c>
      <c r="N29" s="100">
        <f>SUMIF(GERAL!B$8:B$1696,A29,GERAL!AA$8:AA$1696)+SUMIF(GERAL!B$8:B$1696,A29,GERAL!AB$8:AB$1696)</f>
        <v>0</v>
      </c>
      <c r="O29" s="100">
        <f>SUMIF(GERAL!B$8:B$1696,A29,GERAL!AF$8:AF$1696)+SUMIF(GERAL!B$8:B$1696,A29,GERAL!AG$8:AG$1696)</f>
        <v>459</v>
      </c>
      <c r="P29" s="100">
        <f>SUMIF(GERAL!B$8:B$1696,A29,GERAL!AK$8:AK$1696)+SUMIF(GERAL!B$8:B$1696,A29,GERAL!AL$8:AL$1696)</f>
        <v>0</v>
      </c>
      <c r="Q29" s="100">
        <f>SUMIF(GERAL!B$8:B$1696,A29,GERAL!AO$8:AO$1696)+SUMIF(GERAL!B$8:B$1696,A29,GERAL!AP$8:AP$1696)</f>
        <v>0</v>
      </c>
      <c r="R29" s="100">
        <f>SUMIF(GERAL!B$8:B$1696,A29,GERAL!AS$8:AS$1696)+SUMIF(GERAL!B$8:B$1696,A29,GERAL!AT$8:AT$1696)</f>
        <v>0</v>
      </c>
      <c r="S29" s="75">
        <f t="shared" si="39"/>
        <v>459</v>
      </c>
      <c r="T29" s="116">
        <f>COUNTIFS(GERAL!B$8:B$1696,A29,GERAL!AZ$8:AZ$1696,"&gt;0",GERAL!C$8:C$1696,"ESCOLA")</f>
        <v>2</v>
      </c>
      <c r="U29" s="75">
        <f>COUNTIFS(GERAL!B$8:B$1696,A29,GERAL!AZ$8:AZ$1696,"&gt;0",GERAL!C$8:C$1696,"ANEXO")</f>
        <v>1</v>
      </c>
      <c r="V29" s="85">
        <f>SUMIF(GERAL!B$8:B$1696,A29,GERAL!AH$8:AH$1696)</f>
        <v>23</v>
      </c>
      <c r="W29" s="85">
        <f>SUMIF(GERAL!B$8:B$1696,A29,GERAL!AM$8:AM$1696)</f>
        <v>0</v>
      </c>
      <c r="X29" s="85">
        <f>SUMIF(GERAL!B$8:B$1696,A29,GERAL!AQ$8:AQ$1696)</f>
        <v>132</v>
      </c>
      <c r="Y29" s="85">
        <f>SUMIF(GERAL!B$8:B$1696,A29,GERAL!AU$8:AU$1696)</f>
        <v>32</v>
      </c>
      <c r="Z29" s="88">
        <f t="shared" si="40"/>
        <v>187</v>
      </c>
      <c r="AA29" s="116">
        <f>COUNTIFS(GERAL!B$8:B$1696,A29,GERAL!BK$8:BK$1696,"&gt;0",GERAL!C$8:C$1696,"ESCOLA")</f>
        <v>1</v>
      </c>
      <c r="AB29" s="118">
        <f>COUNTIFS(GERAL!B$8:B$1696,A29,GERAL!BK$8:BK$1696,"&gt;0",GERAL!C$8:C$1696,"ANEXO")</f>
        <v>0</v>
      </c>
      <c r="AC29" s="121">
        <f>SUMIF(GERAL!B$8:B$1696,A29,GERAL!AD$8:AD$1696)</f>
        <v>0</v>
      </c>
      <c r="AD29" s="121">
        <f>SUMIF(GERAL!B$8:B$1696,A29,GERAL!AI$8:AI$1696)</f>
        <v>211</v>
      </c>
      <c r="AE29" s="121">
        <f>SUMIF(GERAL!B$8:B$1696,A29,GERAL!AV$8:AV$1696)</f>
        <v>0</v>
      </c>
      <c r="AF29" s="492">
        <f t="shared" si="41"/>
        <v>211</v>
      </c>
      <c r="AG29" s="178">
        <f>COUNTIFS(GERAL!B$8:B$1696,A29,GERAL!AW$8:AW$1696,"&gt;0",GERAL!C$8:C$1696,"ESCOLA")</f>
        <v>1</v>
      </c>
      <c r="AH29" s="118">
        <f>COUNTIFS(GERAL!B$8:B$1696,A29,GERAL!AW$8:AW$1696,"&gt;0",GERAL!C$8:C$1696,"ANEXO")</f>
        <v>0</v>
      </c>
      <c r="AI29" s="177">
        <f>SUMIF(GERAL!B$8:B$1696,A29,GERAL!AS$8:AS$1696)+SUMIF(GERAL!B$8:B$1696,A29,GERAL!AT$8:AT$1696)</f>
        <v>0</v>
      </c>
      <c r="AJ29" s="177">
        <f>SUMIF(GERAL!B$8:B$1696,A29,GERAL!AU$8:AU$1696)</f>
        <v>32</v>
      </c>
      <c r="AK29" s="177">
        <f>SUMIF(GERAL!B$8:B$1696,A29,GERAL!AV$8:AV$1696)</f>
        <v>0</v>
      </c>
      <c r="AL29" s="118">
        <f t="shared" si="42"/>
        <v>32</v>
      </c>
      <c r="AM29" s="493" t="s">
        <v>130</v>
      </c>
    </row>
    <row r="30">
      <c r="A30" s="484" t="s">
        <v>6091</v>
      </c>
      <c r="B30" s="75">
        <f>COUNTIFS(GERAL!B$8:B$1696,A30,GERAL!C$8:C$1696,"ESCOLA")</f>
        <v>2</v>
      </c>
      <c r="C30" s="75">
        <f>COUNTIFS(GERAL!B$8:B$1696,A30,GERAL!C$8:C$1696,"ANEXO")</f>
        <v>0</v>
      </c>
      <c r="D30" s="85">
        <f>SUMIF(GERAL!B$8:B$1696,A30,GERAL!Z$8:Z$1696)</f>
        <v>0</v>
      </c>
      <c r="E30" s="85">
        <f>SUMIF(GERAL!B$8:B$1696,A30,GERAL!AE$8:AE$1696)</f>
        <v>62</v>
      </c>
      <c r="F30" s="85">
        <f>SUMIF(GERAL!B$8:B$1696,A30,GERAL!AJ$8:AJ$1696)</f>
        <v>619</v>
      </c>
      <c r="G30" s="85">
        <f>SUMIF(GERAL!B$8:B$1696,A30,GERAL!AN$8:AN$1696)</f>
        <v>0</v>
      </c>
      <c r="H30" s="85">
        <f>SUMIF(GERAL!B$8:B$1696,A30,GERAL!AR$8:AW$1696)</f>
        <v>55</v>
      </c>
      <c r="I30" s="85">
        <f>SUMIF(GERAL!B$8:B$1696,A30,GERAL!AW$8:AW$1696)</f>
        <v>52</v>
      </c>
      <c r="J30" s="75">
        <f>SUMIF(GERAL!B$8:B$1696,A30,GERAL!AX$8:AX$1696)</f>
        <v>788</v>
      </c>
      <c r="K30" s="75">
        <f>COUNTIFS(GERAL!B$8:B$1696,A30,GERAL!AY$8:AY$1696,"&gt;0",GERAL!C$8:C$1696,"ESCOLA")</f>
        <v>2</v>
      </c>
      <c r="L30" s="75">
        <f>COUNTIFS(GERAL!B$8:B$1696,A30,GERAL!AY$8:AY$1696,"&gt;0",GERAL!C$8:C$1696,"ANEXO")</f>
        <v>0</v>
      </c>
      <c r="M30" s="100">
        <f>SUMIF(GERAL!B$8:B$1696,A30,GERAL!V$8:V$1696)+SUMIF(GERAL!B$8:B$1696,A30,GERAL!W$8:W$1696)</f>
        <v>0</v>
      </c>
      <c r="N30" s="100">
        <f>SUMIF(GERAL!B$8:B$1696,A30,GERAL!AA$8:AA$1696)+SUMIF(GERAL!B$8:B$1696,A30,GERAL!AB$8:AB$1696)</f>
        <v>0</v>
      </c>
      <c r="O30" s="100">
        <f>SUMIF(GERAL!B$8:B$1696,A30,GERAL!AF$8:AF$1696)+SUMIF(GERAL!B$8:B$1696,A30,GERAL!AG$8:AG$1696)</f>
        <v>287</v>
      </c>
      <c r="P30" s="100">
        <f>SUMIF(GERAL!B$8:B$1696,A30,GERAL!AK$8:AK$1696)+SUMIF(GERAL!B$8:B$1696,A30,GERAL!AL$8:AL$1696)</f>
        <v>0</v>
      </c>
      <c r="Q30" s="100">
        <f>SUMIF(GERAL!B$8:B$1696,A30,GERAL!AO$8:AO$1696)+SUMIF(GERAL!B$8:B$1696,A30,GERAL!AP$8:AP$1696)</f>
        <v>0</v>
      </c>
      <c r="R30" s="100">
        <f>SUMIF(GERAL!B$8:B$1696,A30,GERAL!AS$8:AS$1696)+SUMIF(GERAL!B$8:B$1696,A30,GERAL!AT$8:AT$1696)</f>
        <v>0</v>
      </c>
      <c r="S30" s="75">
        <f t="shared" si="39"/>
        <v>287</v>
      </c>
      <c r="T30" s="116">
        <f>COUNTIFS(GERAL!B$8:B$1696,A30,GERAL!AZ$8:AZ$1696,"&gt;0",GERAL!C$8:C$1696,"ESCOLA")</f>
        <v>1</v>
      </c>
      <c r="U30" s="75">
        <f>COUNTIFS(GERAL!B$8:B$1696,A30,GERAL!AZ$8:AZ$1696,"&gt;0",GERAL!C$8:C$1696,"ANEXO")</f>
        <v>0</v>
      </c>
      <c r="V30" s="85">
        <f>SUMIF(GERAL!B$8:B$1696,A30,GERAL!AH$8:AH$1696)</f>
        <v>0</v>
      </c>
      <c r="W30" s="85">
        <f>SUMIF(GERAL!B$8:B$1696,A30,GERAL!AM$8:AM$1696)</f>
        <v>0</v>
      </c>
      <c r="X30" s="85">
        <f>SUMIF(GERAL!B$8:B$1696,A30,GERAL!AQ$8:AQ$1696)</f>
        <v>55</v>
      </c>
      <c r="Y30" s="85">
        <f>SUMIF(GERAL!B$8:B$1696,A30,GERAL!AU$8:AU$1696)</f>
        <v>0</v>
      </c>
      <c r="Z30" s="88">
        <f t="shared" si="40"/>
        <v>55</v>
      </c>
      <c r="AA30" s="116">
        <f>COUNTIFS(GERAL!B$8:B$1696,A30,GERAL!BK$8:BK$1696,"&gt;0",GERAL!C$8:C$1696,"ESCOLA")</f>
        <v>2</v>
      </c>
      <c r="AB30" s="118">
        <f>COUNTIFS(GERAL!B$8:B$1696,A30,GERAL!BK$8:BK$1696,"&gt;0",GERAL!C$8:C$1696,"ANEXO")</f>
        <v>0</v>
      </c>
      <c r="AC30" s="121">
        <f>SUMIF(GERAL!B$8:B$1696,A30,GERAL!AD$8:AD$1696)</f>
        <v>62</v>
      </c>
      <c r="AD30" s="121">
        <f>SUMIF(GERAL!B$8:B$1696,A30,GERAL!AI$8:AI$1696)</f>
        <v>332</v>
      </c>
      <c r="AE30" s="121">
        <f>SUMIF(GERAL!B$8:B$1696,A30,GERAL!AV$8:AV$1696)</f>
        <v>52</v>
      </c>
      <c r="AF30" s="492">
        <f t="shared" si="41"/>
        <v>446</v>
      </c>
      <c r="AG30" s="178">
        <f>COUNTIFS(GERAL!B$8:B$1696,A30,GERAL!AW$8:AW$1696,"&gt;0",GERAL!C$8:C$1696,"ESCOLA")</f>
        <v>1</v>
      </c>
      <c r="AH30" s="118">
        <f>COUNTIFS(GERAL!B$8:B$1696,A30,GERAL!AW$8:AW$1696,"&gt;0",GERAL!C$8:C$1696,"ANEXO")</f>
        <v>0</v>
      </c>
      <c r="AI30" s="177">
        <f>SUMIF(GERAL!B$8:B$1696,A30,GERAL!AS$8:AS$1696)+SUMIF(GERAL!B$8:B$1696,A30,GERAL!AT$8:AT$1696)</f>
        <v>0</v>
      </c>
      <c r="AJ30" s="177">
        <f>SUMIF(GERAL!B$8:B$1696,A30,GERAL!AU$8:AU$1696)</f>
        <v>0</v>
      </c>
      <c r="AK30" s="177">
        <f>SUMIF(GERAL!B$8:B$1696,A30,GERAL!AV$8:AV$1696)</f>
        <v>52</v>
      </c>
      <c r="AL30" s="118">
        <f t="shared" si="42"/>
        <v>52</v>
      </c>
      <c r="AM30" s="493" t="s">
        <v>1393</v>
      </c>
    </row>
    <row r="31">
      <c r="A31" s="494" t="s">
        <v>788</v>
      </c>
      <c r="B31" s="75">
        <f>COUNTIFS(GERAL!B$8:B$1696,A31,GERAL!C$8:C$1696,"ESCOLA")</f>
        <v>2</v>
      </c>
      <c r="C31" s="75">
        <f>COUNTIFS(GERAL!B$8:B$1696,A31,GERAL!C$8:C$1696,"ANEXO")</f>
        <v>0</v>
      </c>
      <c r="D31" s="85">
        <f>SUMIF(GERAL!B$8:B$1696,A31,GERAL!Z$8:Z$1696)</f>
        <v>0</v>
      </c>
      <c r="E31" s="85">
        <f>SUMIF(GERAL!B$8:B$1696,A31,GERAL!AE$8:AE$1696)</f>
        <v>0</v>
      </c>
      <c r="F31" s="85">
        <f>SUMIF(GERAL!B$8:B$1696,A31,GERAL!AJ$8:AJ$1696)</f>
        <v>408</v>
      </c>
      <c r="G31" s="85">
        <f>SUMIF(GERAL!B$8:B$1696,A31,GERAL!AN$8:AN$1696)</f>
        <v>0</v>
      </c>
      <c r="H31" s="85">
        <f>SUMIF(GERAL!B$8:B$1696,A31,GERAL!AR$8:AW$1696)</f>
        <v>69</v>
      </c>
      <c r="I31" s="85">
        <f>SUMIF(GERAL!B$8:B$1696,A31,GERAL!AW$8:AW$1696)</f>
        <v>95</v>
      </c>
      <c r="J31" s="75">
        <f>SUMIF(GERAL!B$8:B$1696,A31,GERAL!AX$8:AX$1696)</f>
        <v>572</v>
      </c>
      <c r="K31" s="75">
        <f>COUNTIFS(GERAL!B$8:B$1696,A31,GERAL!AY$8:AY$1696,"&gt;0",GERAL!C$8:C$1696,"ESCOLA")</f>
        <v>2</v>
      </c>
      <c r="L31" s="75">
        <f>COUNTIFS(GERAL!B$8:B$1696,A31,GERAL!AY$8:AY$1696,"&gt;0",GERAL!C$8:C$1696,"ANEXO")</f>
        <v>0</v>
      </c>
      <c r="M31" s="100">
        <f>SUMIF(GERAL!B$8:B$1696,A31,GERAL!V$8:V$1696)+SUMIF(GERAL!B$8:B$1696,A31,GERAL!W$8:W$1696)</f>
        <v>0</v>
      </c>
      <c r="N31" s="100">
        <f>SUMIF(GERAL!B$8:B$1696,A31,GERAL!AA$8:AA$1696)+SUMIF(GERAL!B$8:B$1696,A31,GERAL!AB$8:AB$1696)</f>
        <v>0</v>
      </c>
      <c r="O31" s="100">
        <f>SUMIF(GERAL!B$8:B$1696,A31,GERAL!AF$8:AF$1696)+SUMIF(GERAL!B$8:B$1696,A31,GERAL!AG$8:AG$1696)</f>
        <v>76</v>
      </c>
      <c r="P31" s="100">
        <f>SUMIF(GERAL!B$8:B$1696,A31,GERAL!AK$8:AK$1696)+SUMIF(GERAL!B$8:B$1696,A31,GERAL!AL$8:AL$1696)</f>
        <v>0</v>
      </c>
      <c r="Q31" s="100">
        <f>SUMIF(GERAL!B$8:B$1696,A31,GERAL!AO$8:AO$1696)+SUMIF(GERAL!B$8:B$1696,A31,GERAL!AP$8:AP$1696)</f>
        <v>0</v>
      </c>
      <c r="R31" s="100">
        <f>SUMIF(GERAL!B$8:B$1696,A31,GERAL!AS$8:AS$1696)+SUMIF(GERAL!B$8:B$1696,A31,GERAL!AT$8:AT$1696)</f>
        <v>0</v>
      </c>
      <c r="S31" s="75">
        <f t="shared" si="39"/>
        <v>76</v>
      </c>
      <c r="T31" s="116">
        <f>COUNTIFS(GERAL!B$8:B$1696,A31,GERAL!AZ$8:AZ$1696,"&gt;0",GERAL!C$8:C$1696,"ESCOLA")</f>
        <v>2</v>
      </c>
      <c r="U31" s="75">
        <f>COUNTIFS(GERAL!B$8:B$1696,A31,GERAL!AZ$8:AZ$1696,"&gt;0",GERAL!C$8:C$1696,"ANEXO")</f>
        <v>0</v>
      </c>
      <c r="V31" s="85">
        <f>SUMIF(GERAL!B$8:B$1696,A31,GERAL!AH$8:AH$1696)</f>
        <v>0</v>
      </c>
      <c r="W31" s="85">
        <f>SUMIF(GERAL!B$8:B$1696,A31,GERAL!AM$8:AM$1696)</f>
        <v>0</v>
      </c>
      <c r="X31" s="85">
        <f>SUMIF(GERAL!B$8:B$1696,A31,GERAL!AQ$8:AQ$1696)</f>
        <v>69</v>
      </c>
      <c r="Y31" s="85">
        <f>SUMIF(GERAL!B$8:B$1696,A31,GERAL!AU$8:AU$1696)</f>
        <v>19</v>
      </c>
      <c r="Z31" s="88">
        <f t="shared" si="40"/>
        <v>88</v>
      </c>
      <c r="AA31" s="116">
        <f>COUNTIFS(GERAL!B$8:B$1696,A31,GERAL!BK$8:BK$1696,"&gt;0",GERAL!C$8:C$1696,"ESCOLA")</f>
        <v>1</v>
      </c>
      <c r="AB31" s="118">
        <f>COUNTIFS(GERAL!B$8:B$1696,A31,GERAL!BK$8:BK$1696,"&gt;0",GERAL!C$8:C$1696,"ANEXO")</f>
        <v>0</v>
      </c>
      <c r="AC31" s="121">
        <f>SUMIF(GERAL!B$8:B$1696,A31,GERAL!AD$8:AD$1696)</f>
        <v>0</v>
      </c>
      <c r="AD31" s="121">
        <f>SUMIF(GERAL!B$8:B$1696,A31,GERAL!AI$8:AI$1696)</f>
        <v>332</v>
      </c>
      <c r="AE31" s="121">
        <f>SUMIF(GERAL!B$8:B$1696,A31,GERAL!AV$8:AV$1696)</f>
        <v>76</v>
      </c>
      <c r="AF31" s="492">
        <f t="shared" si="41"/>
        <v>408</v>
      </c>
      <c r="AG31" s="178">
        <f>COUNTIFS(GERAL!B$8:B$1696,A31,GERAL!AW$8:AW$1696,"&gt;0",GERAL!C$8:C$1696,"ESCOLA")</f>
        <v>1</v>
      </c>
      <c r="AH31" s="118">
        <f>COUNTIFS(GERAL!B$8:B$1696,A31,GERAL!AW$8:AW$1696,"&gt;0",GERAL!C$8:C$1696,"ANEXO")</f>
        <v>0</v>
      </c>
      <c r="AI31" s="177">
        <f>SUMIF(GERAL!B$8:B$1696,A31,GERAL!AS$8:AS$1696)+SUMIF(GERAL!B$8:B$1696,A31,GERAL!AT$8:AT$1696)</f>
        <v>0</v>
      </c>
      <c r="AJ31" s="177">
        <f>SUMIF(GERAL!B$8:B$1696,A31,GERAL!AU$8:AU$1696)</f>
        <v>19</v>
      </c>
      <c r="AK31" s="177">
        <f>SUMIF(GERAL!B$8:B$1696,A31,GERAL!AV$8:AV$1696)</f>
        <v>76</v>
      </c>
      <c r="AL31" s="118">
        <f t="shared" si="42"/>
        <v>95</v>
      </c>
      <c r="AM31" s="493" t="s">
        <v>285</v>
      </c>
    </row>
    <row r="32">
      <c r="A32" s="484" t="s">
        <v>2110</v>
      </c>
      <c r="B32" s="75">
        <f>COUNTIFS(GERAL!B$8:B$1696,A32,GERAL!C$8:C$1696,"ESCOLA")</f>
        <v>1</v>
      </c>
      <c r="C32" s="75">
        <f>COUNTIFS(GERAL!B$8:B$1696,A32,GERAL!C$8:C$1696,"ANEXO")</f>
        <v>2</v>
      </c>
      <c r="D32" s="85">
        <f>SUMIF(GERAL!B$8:B$1696,A32,GERAL!Z$8:Z$1696)</f>
        <v>0</v>
      </c>
      <c r="E32" s="85">
        <f>SUMIF(GERAL!B$8:B$1696,A32,GERAL!AE$8:AE$1696)</f>
        <v>0</v>
      </c>
      <c r="F32" s="85">
        <f>SUMIF(GERAL!B$8:B$1696,A32,GERAL!AJ$8:AJ$1696)</f>
        <v>422</v>
      </c>
      <c r="G32" s="85">
        <f>SUMIF(GERAL!B$8:B$1696,A32,GERAL!AN$8:AN$1696)</f>
        <v>0</v>
      </c>
      <c r="H32" s="85">
        <f>SUMIF(GERAL!B$8:B$1696,A32,GERAL!AR$8:AW$1696)</f>
        <v>127</v>
      </c>
      <c r="I32" s="85">
        <f>SUMIF(GERAL!B$8:B$1696,A32,GERAL!AW$8:AW$1696)</f>
        <v>26</v>
      </c>
      <c r="J32" s="75">
        <f>SUMIF(GERAL!B$8:B$1696,A32,GERAL!AX$8:AX$1696)</f>
        <v>575</v>
      </c>
      <c r="K32" s="75">
        <f>COUNTIFS(GERAL!B$8:B$1696,A32,GERAL!AY$8:AY$1696,"&gt;0",GERAL!C$8:C$1696,"ESCOLA")</f>
        <v>1</v>
      </c>
      <c r="L32" s="75">
        <f>COUNTIFS(GERAL!B$8:B$1696,A32,GERAL!AY$8:AY$1696,"&gt;0",GERAL!C$8:C$1696,"ANEXO")</f>
        <v>1</v>
      </c>
      <c r="M32" s="100">
        <f>SUMIF(GERAL!B$8:B$1696,A32,GERAL!V$8:V$1696)+SUMIF(GERAL!B$8:B$1696,A32,GERAL!W$8:W$1696)</f>
        <v>0</v>
      </c>
      <c r="N32" s="100">
        <f>SUMIF(GERAL!B$8:B$1696,A32,GERAL!AA$8:AA$1696)+SUMIF(GERAL!B$8:B$1696,A32,GERAL!AB$8:AB$1696)</f>
        <v>0</v>
      </c>
      <c r="O32" s="100">
        <f>SUMIF(GERAL!B$8:B$1696,A32,GERAL!AF$8:AF$1696)+SUMIF(GERAL!B$8:B$1696,A32,GERAL!AG$8:AG$1696)</f>
        <v>59</v>
      </c>
      <c r="P32" s="100">
        <f>SUMIF(GERAL!B$8:B$1696,A32,GERAL!AK$8:AK$1696)+SUMIF(GERAL!B$8:B$1696,A32,GERAL!AL$8:AL$1696)</f>
        <v>0</v>
      </c>
      <c r="Q32" s="100">
        <f>SUMIF(GERAL!B$8:B$1696,A32,GERAL!AO$8:AO$1696)+SUMIF(GERAL!B$8:B$1696,A32,GERAL!AP$8:AP$1696)</f>
        <v>0</v>
      </c>
      <c r="R32" s="100">
        <f>SUMIF(GERAL!B$8:B$1696,A32,GERAL!AS$8:AS$1696)+SUMIF(GERAL!B$8:B$1696,A32,GERAL!AT$8:AT$1696)</f>
        <v>0</v>
      </c>
      <c r="S32" s="75">
        <f t="shared" si="39"/>
        <v>59</v>
      </c>
      <c r="T32" s="116">
        <f>COUNTIFS(GERAL!B$8:B$1696,A32,GERAL!AZ$8:AZ$1696,"&gt;0",GERAL!C$8:C$1696,"ESCOLA")</f>
        <v>1</v>
      </c>
      <c r="U32" s="75">
        <f>COUNTIFS(GERAL!B$8:B$1696,A32,GERAL!AZ$8:AZ$1696,"&gt;0",GERAL!C$8:C$1696,"ANEXO")</f>
        <v>2</v>
      </c>
      <c r="V32" s="85">
        <f>SUMIF(GERAL!B$8:B$1696,A32,GERAL!AH$8:AH$1696)</f>
        <v>0</v>
      </c>
      <c r="W32" s="85">
        <f>SUMIF(GERAL!B$8:B$1696,A32,GERAL!AM$8:AM$1696)</f>
        <v>0</v>
      </c>
      <c r="X32" s="85">
        <f>SUMIF(GERAL!B$8:B$1696,A32,GERAL!AQ$8:AQ$1696)</f>
        <v>127</v>
      </c>
      <c r="Y32" s="85">
        <f>SUMIF(GERAL!B$8:B$1696,A32,GERAL!AU$8:AU$1696)</f>
        <v>0</v>
      </c>
      <c r="Z32" s="88">
        <f t="shared" si="40"/>
        <v>127</v>
      </c>
      <c r="AA32" s="116">
        <f>COUNTIFS(GERAL!B$8:B$1696,A32,GERAL!BK$8:BK$1696,"&gt;0",GERAL!C$8:C$1696,"ESCOLA")</f>
        <v>1</v>
      </c>
      <c r="AB32" s="118">
        <f>COUNTIFS(GERAL!B$8:B$1696,A32,GERAL!BK$8:BK$1696,"&gt;0",GERAL!C$8:C$1696,"ANEXO")</f>
        <v>0</v>
      </c>
      <c r="AC32" s="121">
        <f>SUMIF(GERAL!B$8:B$1696,A32,GERAL!AD$8:AD$1696)</f>
        <v>0</v>
      </c>
      <c r="AD32" s="121">
        <f>SUMIF(GERAL!B$8:B$1696,A32,GERAL!AI$8:AI$1696)</f>
        <v>363</v>
      </c>
      <c r="AE32" s="121">
        <f>SUMIF(GERAL!B$8:B$1696,A32,GERAL!AV$8:AV$1696)</f>
        <v>26</v>
      </c>
      <c r="AF32" s="492">
        <f t="shared" si="41"/>
        <v>389</v>
      </c>
      <c r="AG32" s="178">
        <f>COUNTIFS(GERAL!B$8:B$1696,A32,GERAL!AW$8:AW$1696,"&gt;0",GERAL!C$8:C$1696,"ESCOLA")</f>
        <v>1</v>
      </c>
      <c r="AH32" s="118">
        <f>COUNTIFS(GERAL!B$8:B$1696,A32,GERAL!AW$8:AW$1696,"&gt;0",GERAL!C$8:C$1696,"ANEXO")</f>
        <v>0</v>
      </c>
      <c r="AI32" s="177">
        <f>SUMIF(GERAL!B$8:B$1696,A32,GERAL!AS$8:AS$1696)+SUMIF(GERAL!B$8:B$1696,A32,GERAL!AT$8:AT$1696)</f>
        <v>0</v>
      </c>
      <c r="AJ32" s="177">
        <f>SUMIF(GERAL!B$8:B$1696,A32,GERAL!AU$8:AU$1696)</f>
        <v>0</v>
      </c>
      <c r="AK32" s="177">
        <f>SUMIF(GERAL!B$8:B$1696,A32,GERAL!AV$8:AV$1696)</f>
        <v>26</v>
      </c>
      <c r="AL32" s="118">
        <f t="shared" si="42"/>
        <v>26</v>
      </c>
      <c r="AM32" s="493" t="s">
        <v>1707</v>
      </c>
    </row>
    <row r="33">
      <c r="A33" s="494" t="s">
        <v>3463</v>
      </c>
      <c r="B33" s="75">
        <f>COUNTIFS(GERAL!B$8:B$1696,A33,GERAL!C$8:C$1696,"ESCOLA")</f>
        <v>1</v>
      </c>
      <c r="C33" s="75">
        <f>COUNTIFS(GERAL!B$8:B$1696,A33,GERAL!C$8:C$1696,"ANEXO")</f>
        <v>2</v>
      </c>
      <c r="D33" s="85">
        <f>SUMIF(GERAL!B$8:B$1696,A33,GERAL!Z$8:Z$1696)</f>
        <v>0</v>
      </c>
      <c r="E33" s="85">
        <f>SUMIF(GERAL!B$8:B$1696,A33,GERAL!AE$8:AE$1696)</f>
        <v>0</v>
      </c>
      <c r="F33" s="85">
        <f>SUMIF(GERAL!B$8:B$1696,A33,GERAL!AJ$8:AJ$1696)</f>
        <v>535</v>
      </c>
      <c r="G33" s="85">
        <f>SUMIF(GERAL!B$8:B$1696,A33,GERAL!AN$8:AN$1696)</f>
        <v>0</v>
      </c>
      <c r="H33" s="85">
        <f>SUMIF(GERAL!B$8:B$1696,A33,GERAL!AR$8:AW$1696)</f>
        <v>53</v>
      </c>
      <c r="I33" s="85">
        <f>SUMIF(GERAL!B$8:B$1696,A33,GERAL!AW$8:AW$1696)</f>
        <v>54</v>
      </c>
      <c r="J33" s="75">
        <f>SUMIF(GERAL!B$8:B$1696,A33,GERAL!AX$8:AX$1696)</f>
        <v>642</v>
      </c>
      <c r="K33" s="75">
        <f>COUNTIFS(GERAL!B$8:B$1696,A33,GERAL!AY$8:AY$1696,"&gt;0",GERAL!C$8:C$1696,"ESCOLA")</f>
        <v>1</v>
      </c>
      <c r="L33" s="75">
        <f>COUNTIFS(GERAL!B$8:B$1696,A33,GERAL!AY$8:AY$1696,"&gt;0",GERAL!C$8:C$1696,"ANEXO")</f>
        <v>2</v>
      </c>
      <c r="M33" s="100">
        <f>SUMIF(GERAL!B$8:B$1696,A33,GERAL!V$8:V$1696)+SUMIF(GERAL!B$8:B$1696,A33,GERAL!W$8:W$1696)</f>
        <v>0</v>
      </c>
      <c r="N33" s="100">
        <f>SUMIF(GERAL!B$8:B$1696,A33,GERAL!AA$8:AA$1696)+SUMIF(GERAL!B$8:B$1696,A33,GERAL!AB$8:AB$1696)</f>
        <v>0</v>
      </c>
      <c r="O33" s="100">
        <f>SUMIF(GERAL!B$8:B$1696,A33,GERAL!AF$8:AF$1696)+SUMIF(GERAL!B$8:B$1696,A33,GERAL!AG$8:AG$1696)</f>
        <v>308</v>
      </c>
      <c r="P33" s="100">
        <f>SUMIF(GERAL!B$8:B$1696,A33,GERAL!AK$8:AK$1696)+SUMIF(GERAL!B$8:B$1696,A33,GERAL!AL$8:AL$1696)</f>
        <v>0</v>
      </c>
      <c r="Q33" s="100">
        <f>SUMIF(GERAL!B$8:B$1696,A33,GERAL!AO$8:AO$1696)+SUMIF(GERAL!B$8:B$1696,A33,GERAL!AP$8:AP$1696)</f>
        <v>0</v>
      </c>
      <c r="R33" s="100">
        <f>SUMIF(GERAL!B$8:B$1696,A33,GERAL!AS$8:AS$1696)+SUMIF(GERAL!B$8:B$1696,A33,GERAL!AT$8:AT$1696)</f>
        <v>0</v>
      </c>
      <c r="S33" s="75">
        <f t="shared" si="39"/>
        <v>308</v>
      </c>
      <c r="T33" s="116">
        <f>COUNTIFS(GERAL!B$8:B$1696,A33,GERAL!AZ$8:AZ$1696,"&gt;0",GERAL!C$8:C$1696,"ESCOLA")</f>
        <v>1</v>
      </c>
      <c r="U33" s="75">
        <f>COUNTIFS(GERAL!B$8:B$1696,A33,GERAL!AZ$8:AZ$1696,"&gt;0",GERAL!C$8:C$1696,"ANEXO")</f>
        <v>1</v>
      </c>
      <c r="V33" s="85">
        <f>SUMIF(GERAL!B$8:B$1696,A33,GERAL!AH$8:AH$1696)</f>
        <v>0</v>
      </c>
      <c r="W33" s="85">
        <f>SUMIF(GERAL!B$8:B$1696,A33,GERAL!AM$8:AM$1696)</f>
        <v>0</v>
      </c>
      <c r="X33" s="85">
        <f>SUMIF(GERAL!B$8:B$1696,A33,GERAL!AQ$8:AQ$1696)</f>
        <v>53</v>
      </c>
      <c r="Y33" s="85">
        <f>SUMIF(GERAL!B$8:B$1696,A33,GERAL!AU$8:AU$1696)</f>
        <v>8</v>
      </c>
      <c r="Z33" s="88">
        <f t="shared" si="40"/>
        <v>61</v>
      </c>
      <c r="AA33" s="116">
        <f>COUNTIFS(GERAL!B$8:B$1696,A33,GERAL!BK$8:BK$1696,"&gt;0",GERAL!C$8:C$1696,"ESCOLA")</f>
        <v>1</v>
      </c>
      <c r="AB33" s="118">
        <f>COUNTIFS(GERAL!B$8:B$1696,A33,GERAL!BK$8:BK$1696,"&gt;0",GERAL!C$8:C$1696,"ANEXO")</f>
        <v>0</v>
      </c>
      <c r="AC33" s="121">
        <f>SUMIF(GERAL!B$8:B$1696,A33,GERAL!AD$8:AD$1696)</f>
        <v>0</v>
      </c>
      <c r="AD33" s="121">
        <f>SUMIF(GERAL!B$8:B$1696,A33,GERAL!AI$8:AI$1696)</f>
        <v>227</v>
      </c>
      <c r="AE33" s="121">
        <f>SUMIF(GERAL!B$8:B$1696,A33,GERAL!AV$8:AV$1696)</f>
        <v>46</v>
      </c>
      <c r="AF33" s="492">
        <f t="shared" si="41"/>
        <v>273</v>
      </c>
      <c r="AG33" s="178">
        <f>COUNTIFS(GERAL!B$8:B$1696,A33,GERAL!AW$8:AW$1696,"&gt;0",GERAL!C$8:C$1696,"ESCOLA")</f>
        <v>1</v>
      </c>
      <c r="AH33" s="118">
        <f>COUNTIFS(GERAL!B$8:B$1696,A33,GERAL!AW$8:AW$1696,"&gt;0",GERAL!C$8:C$1696,"ANEXO")</f>
        <v>0</v>
      </c>
      <c r="AI33" s="177">
        <f>SUMIF(GERAL!B$8:B$1696,A33,GERAL!AS$8:AS$1696)+SUMIF(GERAL!B$8:B$1696,A33,GERAL!AT$8:AT$1696)</f>
        <v>0</v>
      </c>
      <c r="AJ33" s="177">
        <f>SUMIF(GERAL!B$8:B$1696,A33,GERAL!AU$8:AU$1696)</f>
        <v>8</v>
      </c>
      <c r="AK33" s="177">
        <f>SUMIF(GERAL!B$8:B$1696,A33,GERAL!AV$8:AV$1696)</f>
        <v>46</v>
      </c>
      <c r="AL33" s="118">
        <f t="shared" si="42"/>
        <v>54</v>
      </c>
      <c r="AM33" s="493" t="s">
        <v>860</v>
      </c>
    </row>
    <row r="34">
      <c r="A34" s="484" t="s">
        <v>5728</v>
      </c>
      <c r="B34" s="75">
        <f>COUNTIFS(GERAL!B$8:B$1696,A34,GERAL!C$8:C$1696,"ESCOLA")</f>
        <v>1</v>
      </c>
      <c r="C34" s="75">
        <f>COUNTIFS(GERAL!B$8:B$1696,A34,GERAL!C$8:C$1696,"ANEXO")</f>
        <v>0</v>
      </c>
      <c r="D34" s="85">
        <f>SUMIF(GERAL!B$8:B$1696,A34,GERAL!Z$8:Z$1696)</f>
        <v>0</v>
      </c>
      <c r="E34" s="85">
        <f>SUMIF(GERAL!B$8:B$1696,A34,GERAL!AE$8:AE$1696)</f>
        <v>0</v>
      </c>
      <c r="F34" s="85">
        <f>SUMIF(GERAL!B$8:B$1696,A34,GERAL!AJ$8:AJ$1696)</f>
        <v>322</v>
      </c>
      <c r="G34" s="85">
        <f>SUMIF(GERAL!B$8:B$1696,A34,GERAL!AN$8:AN$1696)</f>
        <v>0</v>
      </c>
      <c r="H34" s="85">
        <f>SUMIF(GERAL!B$8:B$1696,A34,GERAL!AR$8:AW$1696)</f>
        <v>49</v>
      </c>
      <c r="I34" s="85">
        <f>SUMIF(GERAL!B$8:B$1696,A34,GERAL!AW$8:AW$1696)</f>
        <v>71</v>
      </c>
      <c r="J34" s="75">
        <f>SUMIF(GERAL!B$8:B$1696,A34,GERAL!AX$8:AX$1696)</f>
        <v>442</v>
      </c>
      <c r="K34" s="75">
        <f>COUNTIFS(GERAL!B$8:B$1696,A34,GERAL!AY$8:AY$1696,"&gt;0",GERAL!C$8:C$1696,"ESCOLA")</f>
        <v>1</v>
      </c>
      <c r="L34" s="75">
        <f>COUNTIFS(GERAL!B$8:B$1696,A34,GERAL!AY$8:AY$1696,"&gt;0",GERAL!C$8:C$1696,"ANEXO")</f>
        <v>0</v>
      </c>
      <c r="M34" s="100">
        <f>SUMIF(GERAL!B$8:B$1696,A34,GERAL!V$8:V$1696)+SUMIF(GERAL!B$8:B$1696,A34,GERAL!W$8:W$1696)</f>
        <v>0</v>
      </c>
      <c r="N34" s="100">
        <f>SUMIF(GERAL!B$8:B$1696,A34,GERAL!AA$8:AA$1696)+SUMIF(GERAL!B$8:B$1696,A34,GERAL!AB$8:AB$1696)</f>
        <v>0</v>
      </c>
      <c r="O34" s="100">
        <f>SUMIF(GERAL!B$8:B$1696,A34,GERAL!AF$8:AF$1696)+SUMIF(GERAL!B$8:B$1696,A34,GERAL!AG$8:AG$1696)</f>
        <v>41</v>
      </c>
      <c r="P34" s="100">
        <f>SUMIF(GERAL!B$8:B$1696,A34,GERAL!AK$8:AK$1696)+SUMIF(GERAL!B$8:B$1696,A34,GERAL!AL$8:AL$1696)</f>
        <v>0</v>
      </c>
      <c r="Q34" s="100">
        <f>SUMIF(GERAL!B$8:B$1696,A34,GERAL!AO$8:AO$1696)+SUMIF(GERAL!B$8:B$1696,A34,GERAL!AP$8:AP$1696)</f>
        <v>0</v>
      </c>
      <c r="R34" s="100">
        <f>SUMIF(GERAL!B$8:B$1696,A34,GERAL!AS$8:AS$1696)+SUMIF(GERAL!B$8:B$1696,A34,GERAL!AT$8:AT$1696)</f>
        <v>62</v>
      </c>
      <c r="S34" s="75">
        <f t="shared" si="39"/>
        <v>103</v>
      </c>
      <c r="T34" s="116">
        <f>COUNTIFS(GERAL!B$8:B$1696,A34,GERAL!AZ$8:AZ$1696,"&gt;0",GERAL!C$8:C$1696,"ESCOLA")</f>
        <v>1</v>
      </c>
      <c r="U34" s="75">
        <f>COUNTIFS(GERAL!B$8:B$1696,A34,GERAL!AZ$8:AZ$1696,"&gt;0",GERAL!C$8:C$1696,"ANEXO")</f>
        <v>0</v>
      </c>
      <c r="V34" s="85">
        <f>SUMIF(GERAL!B$8:B$1696,A34,GERAL!AH$8:AH$1696)</f>
        <v>0</v>
      </c>
      <c r="W34" s="85">
        <f>SUMIF(GERAL!B$8:B$1696,A34,GERAL!AM$8:AM$1696)</f>
        <v>0</v>
      </c>
      <c r="X34" s="85">
        <f>SUMIF(GERAL!B$8:B$1696,A34,GERAL!AQ$8:AQ$1696)</f>
        <v>49</v>
      </c>
      <c r="Y34" s="85">
        <f>SUMIF(GERAL!B$8:B$1696,A34,GERAL!AU$8:AU$1696)</f>
        <v>9</v>
      </c>
      <c r="Z34" s="88">
        <f t="shared" si="40"/>
        <v>58</v>
      </c>
      <c r="AA34" s="116">
        <f>COUNTIFS(GERAL!B$8:B$1696,A34,GERAL!BK$8:BK$1696,"&gt;0",GERAL!C$8:C$1696,"ESCOLA")</f>
        <v>1</v>
      </c>
      <c r="AB34" s="118">
        <f>COUNTIFS(GERAL!B$8:B$1696,A34,GERAL!BK$8:BK$1696,"&gt;0",GERAL!C$8:C$1696,"ANEXO")</f>
        <v>0</v>
      </c>
      <c r="AC34" s="121">
        <f>SUMIF(GERAL!B$8:B$1696,A34,GERAL!AD$8:AD$1696)</f>
        <v>0</v>
      </c>
      <c r="AD34" s="121">
        <f>SUMIF(GERAL!B$8:B$1696,A34,GERAL!AI$8:AI$1696)</f>
        <v>281</v>
      </c>
      <c r="AE34" s="121">
        <f>SUMIF(GERAL!B$8:B$1696,A34,GERAL!AV$8:AV$1696)</f>
        <v>0</v>
      </c>
      <c r="AF34" s="492">
        <f t="shared" si="41"/>
        <v>281</v>
      </c>
      <c r="AG34" s="178">
        <f>COUNTIFS(GERAL!B$8:B$1696,A34,GERAL!AW$8:AW$1696,"&gt;0",GERAL!C$8:C$1696,"ESCOLA")</f>
        <v>1</v>
      </c>
      <c r="AH34" s="118">
        <f>COUNTIFS(GERAL!B$8:B$1696,A34,GERAL!AW$8:AW$1696,"&gt;0",GERAL!C$8:C$1696,"ANEXO")</f>
        <v>0</v>
      </c>
      <c r="AI34" s="177">
        <f>SUMIF(GERAL!B$8:B$1696,A34,GERAL!AS$8:AS$1696)+SUMIF(GERAL!B$8:B$1696,A34,GERAL!AT$8:AT$1696)</f>
        <v>62</v>
      </c>
      <c r="AJ34" s="177">
        <f>SUMIF(GERAL!B$8:B$1696,A34,GERAL!AU$8:AU$1696)</f>
        <v>9</v>
      </c>
      <c r="AK34" s="177">
        <f>SUMIF(GERAL!B$8:B$1696,A34,GERAL!AV$8:AV$1696)</f>
        <v>0</v>
      </c>
      <c r="AL34" s="118">
        <f t="shared" si="42"/>
        <v>71</v>
      </c>
      <c r="AM34" s="493" t="s">
        <v>1335</v>
      </c>
    </row>
    <row r="35">
      <c r="A35" s="494" t="s">
        <v>5015</v>
      </c>
      <c r="B35" s="75">
        <f>COUNTIFS(GERAL!B$8:B$1696,A35,GERAL!C$8:C$1696,"ESCOLA")</f>
        <v>1</v>
      </c>
      <c r="C35" s="75">
        <f>COUNTIFS(GERAL!B$8:B$1696,A35,GERAL!C$8:C$1696,"ANEXO")</f>
        <v>0</v>
      </c>
      <c r="D35" s="85">
        <f>SUMIF(GERAL!B$8:B$1696,A35,GERAL!Z$8:Z$1696)</f>
        <v>0</v>
      </c>
      <c r="E35" s="85">
        <f>SUMIF(GERAL!B$8:B$1696,A35,GERAL!AE$8:AE$1696)</f>
        <v>0</v>
      </c>
      <c r="F35" s="85">
        <f>SUMIF(GERAL!B$8:B$1696,A35,GERAL!AJ$8:AJ$1696)</f>
        <v>256</v>
      </c>
      <c r="G35" s="85">
        <f>SUMIF(GERAL!B$8:B$1696,A35,GERAL!AN$8:AN$1696)</f>
        <v>0</v>
      </c>
      <c r="H35" s="85">
        <f>SUMIF(GERAL!B$8:B$1696,A35,GERAL!AR$8:AW$1696)</f>
        <v>78</v>
      </c>
      <c r="I35" s="85">
        <f>SUMIF(GERAL!B$8:B$1696,A35,GERAL!AW$8:AW$1696)</f>
        <v>45</v>
      </c>
      <c r="J35" s="75">
        <f>SUMIF(GERAL!B$8:B$1696,A35,GERAL!AX$8:AX$1696)</f>
        <v>379</v>
      </c>
      <c r="K35" s="75">
        <f>COUNTIFS(GERAL!B$8:B$1696,A35,GERAL!AY$8:AY$1696,"&gt;0",GERAL!C$8:C$1696,"ESCOLA")</f>
        <v>1</v>
      </c>
      <c r="L35" s="75">
        <f>COUNTIFS(GERAL!B$8:B$1696,A35,GERAL!AY$8:AY$1696,"&gt;0",GERAL!C$8:C$1696,"ANEXO")</f>
        <v>0</v>
      </c>
      <c r="M35" s="100">
        <f>SUMIF(GERAL!B$8:B$1696,A35,GERAL!V$8:V$1696)+SUMIF(GERAL!B$8:B$1696,A35,GERAL!W$8:W$1696)</f>
        <v>0</v>
      </c>
      <c r="N35" s="100">
        <f>SUMIF(GERAL!B$8:B$1696,A35,GERAL!AA$8:AA$1696)+SUMIF(GERAL!B$8:B$1696,A35,GERAL!AB$8:AB$1696)</f>
        <v>0</v>
      </c>
      <c r="O35" s="100">
        <f>SUMIF(GERAL!B$8:B$1696,A35,GERAL!AF$8:AF$1696)+SUMIF(GERAL!B$8:B$1696,A35,GERAL!AG$8:AG$1696)</f>
        <v>74</v>
      </c>
      <c r="P35" s="100">
        <f>SUMIF(GERAL!B$8:B$1696,A35,GERAL!AK$8:AK$1696)+SUMIF(GERAL!B$8:B$1696,A35,GERAL!AL$8:AL$1696)</f>
        <v>0</v>
      </c>
      <c r="Q35" s="100">
        <f>SUMIF(GERAL!B$8:B$1696,A35,GERAL!AO$8:AO$1696)+SUMIF(GERAL!B$8:B$1696,A35,GERAL!AP$8:AP$1696)</f>
        <v>0</v>
      </c>
      <c r="R35" s="100">
        <f>SUMIF(GERAL!B$8:B$1696,A35,GERAL!AS$8:AS$1696)+SUMIF(GERAL!B$8:B$1696,A35,GERAL!AT$8:AT$1696)</f>
        <v>0</v>
      </c>
      <c r="S35" s="75">
        <f t="shared" si="39"/>
        <v>74</v>
      </c>
      <c r="T35" s="116">
        <f>COUNTIFS(GERAL!B$8:B$1696,A35,GERAL!AZ$8:AZ$1696,"&gt;0",GERAL!C$8:C$1696,"ESCOLA")</f>
        <v>1</v>
      </c>
      <c r="U35" s="75">
        <f>COUNTIFS(GERAL!B$8:B$1696,A35,GERAL!AZ$8:AZ$1696,"&gt;0",GERAL!C$8:C$1696,"ANEXO")</f>
        <v>0</v>
      </c>
      <c r="V35" s="85">
        <f>SUMIF(GERAL!B$8:B$1696,A35,GERAL!AH$8:AH$1696)</f>
        <v>0</v>
      </c>
      <c r="W35" s="85">
        <f>SUMIF(GERAL!B$8:B$1696,A35,GERAL!AM$8:AM$1696)</f>
        <v>0</v>
      </c>
      <c r="X35" s="85">
        <f>SUMIF(GERAL!B$8:B$1696,A35,GERAL!AQ$8:AQ$1696)</f>
        <v>78</v>
      </c>
      <c r="Y35" s="85">
        <f>SUMIF(GERAL!B$8:B$1696,A35,GERAL!AU$8:AU$1696)</f>
        <v>0</v>
      </c>
      <c r="Z35" s="88">
        <f t="shared" si="40"/>
        <v>78</v>
      </c>
      <c r="AA35" s="116">
        <f>COUNTIFS(GERAL!B$8:B$1696,A35,GERAL!BK$8:BK$1696,"&gt;0",GERAL!C$8:C$1696,"ESCOLA")</f>
        <v>1</v>
      </c>
      <c r="AB35" s="118">
        <f>COUNTIFS(GERAL!B$8:B$1696,A35,GERAL!BK$8:BK$1696,"&gt;0",GERAL!C$8:C$1696,"ANEXO")</f>
        <v>0</v>
      </c>
      <c r="AC35" s="121">
        <f>SUMIF(GERAL!B$8:B$1696,A35,GERAL!AD$8:AD$1696)</f>
        <v>0</v>
      </c>
      <c r="AD35" s="121">
        <f>SUMIF(GERAL!B$8:B$1696,A35,GERAL!AI$8:AI$1696)</f>
        <v>182</v>
      </c>
      <c r="AE35" s="121">
        <f>SUMIF(GERAL!B$8:B$1696,A35,GERAL!AV$8:AV$1696)</f>
        <v>45</v>
      </c>
      <c r="AF35" s="492">
        <f t="shared" si="41"/>
        <v>227</v>
      </c>
      <c r="AG35" s="178">
        <f>COUNTIFS(GERAL!B$8:B$1696,A35,GERAL!AW$8:AW$1696,"&gt;0",GERAL!C$8:C$1696,"ESCOLA")</f>
        <v>1</v>
      </c>
      <c r="AH35" s="118">
        <f>COUNTIFS(GERAL!B$8:B$1696,A35,GERAL!AW$8:AW$1696,"&gt;0",GERAL!C$8:C$1696,"ANEXO")</f>
        <v>0</v>
      </c>
      <c r="AI35" s="177">
        <f>SUMIF(GERAL!B$8:B$1696,A35,GERAL!AS$8:AS$1696)+SUMIF(GERAL!B$8:B$1696,A35,GERAL!AT$8:AT$1696)</f>
        <v>0</v>
      </c>
      <c r="AJ35" s="177">
        <f>SUMIF(GERAL!B$8:B$1696,A35,GERAL!AU$8:AU$1696)</f>
        <v>0</v>
      </c>
      <c r="AK35" s="177">
        <f>SUMIF(GERAL!B$8:B$1696,A35,GERAL!AV$8:AV$1696)</f>
        <v>45</v>
      </c>
      <c r="AL35" s="118">
        <f t="shared" si="42"/>
        <v>45</v>
      </c>
      <c r="AM35" s="493" t="s">
        <v>1224</v>
      </c>
    </row>
    <row r="36">
      <c r="A36" s="484" t="s">
        <v>5732</v>
      </c>
      <c r="B36" s="75">
        <f>COUNTIFS(GERAL!B$8:B$1696,A36,GERAL!C$8:C$1696,"ESCOLA")</f>
        <v>1</v>
      </c>
      <c r="C36" s="75">
        <f>COUNTIFS(GERAL!B$8:B$1696,A36,GERAL!C$8:C$1696,"ANEXO")</f>
        <v>0</v>
      </c>
      <c r="D36" s="85">
        <f>SUMIF(GERAL!B$8:B$1696,A36,GERAL!Z$8:Z$1696)</f>
        <v>0</v>
      </c>
      <c r="E36" s="85">
        <f>SUMIF(GERAL!B$8:B$1696,A36,GERAL!AE$8:AE$1696)</f>
        <v>0</v>
      </c>
      <c r="F36" s="85">
        <f>SUMIF(GERAL!B$8:B$1696,A36,GERAL!AJ$8:AJ$1696)</f>
        <v>196</v>
      </c>
      <c r="G36" s="85">
        <f>SUMIF(GERAL!B$8:B$1696,A36,GERAL!AN$8:AN$1696)</f>
        <v>0</v>
      </c>
      <c r="H36" s="85">
        <f>SUMIF(GERAL!B$8:B$1696,A36,GERAL!AR$8:AW$1696)</f>
        <v>0</v>
      </c>
      <c r="I36" s="85">
        <f>SUMIF(GERAL!B$8:B$1696,A36,GERAL!AW$8:AW$1696)</f>
        <v>102</v>
      </c>
      <c r="J36" s="75">
        <f>SUMIF(GERAL!B$8:B$1696,A36,GERAL!AX$8:AX$1696)</f>
        <v>298</v>
      </c>
      <c r="K36" s="75">
        <f>COUNTIFS(GERAL!B$8:B$1696,A36,GERAL!AY$8:AY$1696,"&gt;0",GERAL!C$8:C$1696,"ESCOLA")</f>
        <v>1</v>
      </c>
      <c r="L36" s="75">
        <f>COUNTIFS(GERAL!B$8:B$1696,A36,GERAL!AY$8:AY$1696,"&gt;0",GERAL!C$8:C$1696,"ANEXO")</f>
        <v>0</v>
      </c>
      <c r="M36" s="100">
        <f>SUMIF(GERAL!B$8:B$1696,A36,GERAL!V$8:V$1696)+SUMIF(GERAL!B$8:B$1696,A36,GERAL!W$8:W$1696)</f>
        <v>0</v>
      </c>
      <c r="N36" s="100">
        <f>SUMIF(GERAL!B$8:B$1696,A36,GERAL!AA$8:AA$1696)+SUMIF(GERAL!B$8:B$1696,A36,GERAL!AB$8:AB$1696)</f>
        <v>0</v>
      </c>
      <c r="O36" s="100">
        <f>SUMIF(GERAL!B$8:B$1696,A36,GERAL!AF$8:AF$1696)+SUMIF(GERAL!B$8:B$1696,A36,GERAL!AG$8:AG$1696)</f>
        <v>150</v>
      </c>
      <c r="P36" s="100">
        <f>SUMIF(GERAL!B$8:B$1696,A36,GERAL!AK$8:AK$1696)+SUMIF(GERAL!B$8:B$1696,A36,GERAL!AL$8:AL$1696)</f>
        <v>0</v>
      </c>
      <c r="Q36" s="100">
        <f>SUMIF(GERAL!B$8:B$1696,A36,GERAL!AO$8:AO$1696)+SUMIF(GERAL!B$8:B$1696,A36,GERAL!AP$8:AP$1696)</f>
        <v>0</v>
      </c>
      <c r="R36" s="100">
        <f>SUMIF(GERAL!B$8:B$1696,A36,GERAL!AS$8:AS$1696)+SUMIF(GERAL!B$8:B$1696,A36,GERAL!AT$8:AT$1696)</f>
        <v>0</v>
      </c>
      <c r="S36" s="75">
        <f t="shared" si="39"/>
        <v>150</v>
      </c>
      <c r="T36" s="116">
        <f>COUNTIFS(GERAL!B$8:B$1696,A36,GERAL!AZ$8:AZ$1696,"&gt;0",GERAL!C$8:C$1696,"ESCOLA")</f>
        <v>0</v>
      </c>
      <c r="U36" s="75">
        <f>COUNTIFS(GERAL!B$8:B$1696,A36,GERAL!AZ$8:AZ$1696,"&gt;0",GERAL!C$8:C$1696,"ANEXO")</f>
        <v>0</v>
      </c>
      <c r="V36" s="85">
        <f>SUMIF(GERAL!B$8:B$1696,A36,GERAL!AH$8:AH$1696)</f>
        <v>0</v>
      </c>
      <c r="W36" s="85">
        <f>SUMIF(GERAL!B$8:B$1696,A36,GERAL!AM$8:AM$1696)</f>
        <v>0</v>
      </c>
      <c r="X36" s="85">
        <f>SUMIF(GERAL!B$8:B$1696,A36,GERAL!AQ$8:AQ$1696)</f>
        <v>0</v>
      </c>
      <c r="Y36" s="85">
        <f>SUMIF(GERAL!B$8:B$1696,A36,GERAL!AU$8:AU$1696)</f>
        <v>0</v>
      </c>
      <c r="Z36" s="88">
        <f t="shared" si="40"/>
        <v>0</v>
      </c>
      <c r="AA36" s="116">
        <f>COUNTIFS(GERAL!B$8:B$1696,A36,GERAL!BK$8:BK$1696,"&gt;0",GERAL!C$8:C$1696,"ESCOLA")</f>
        <v>1</v>
      </c>
      <c r="AB36" s="118">
        <f>COUNTIFS(GERAL!B$8:B$1696,A36,GERAL!BK$8:BK$1696,"&gt;0",GERAL!C$8:C$1696,"ANEXO")</f>
        <v>0</v>
      </c>
      <c r="AC36" s="121">
        <f>SUMIF(GERAL!B$8:B$1696,A36,GERAL!AD$8:AD$1696)</f>
        <v>0</v>
      </c>
      <c r="AD36" s="121">
        <f>SUMIF(GERAL!B$8:B$1696,A36,GERAL!AI$8:AI$1696)</f>
        <v>46</v>
      </c>
      <c r="AE36" s="121">
        <f>SUMIF(GERAL!B$8:B$1696,A36,GERAL!AV$8:AV$1696)</f>
        <v>102</v>
      </c>
      <c r="AF36" s="492">
        <f t="shared" si="41"/>
        <v>148</v>
      </c>
      <c r="AG36" s="178">
        <f>COUNTIFS(GERAL!B$8:B$1696,A36,GERAL!AW$8:AW$1696,"&gt;0",GERAL!C$8:C$1696,"ESCOLA")</f>
        <v>1</v>
      </c>
      <c r="AH36" s="118">
        <f>COUNTIFS(GERAL!B$8:B$1696,A36,GERAL!AW$8:AW$1696,"&gt;0",GERAL!C$8:C$1696,"ANEXO")</f>
        <v>0</v>
      </c>
      <c r="AI36" s="177">
        <f>SUMIF(GERAL!B$8:B$1696,A36,GERAL!AS$8:AS$1696)+SUMIF(GERAL!B$8:B$1696,A36,GERAL!AT$8:AT$1696)</f>
        <v>0</v>
      </c>
      <c r="AJ36" s="177">
        <f>SUMIF(GERAL!B$8:B$1696,A36,GERAL!AU$8:AU$1696)</f>
        <v>0</v>
      </c>
      <c r="AK36" s="177">
        <f>SUMIF(GERAL!B$8:B$1696,A36,GERAL!AV$8:AV$1696)</f>
        <v>102</v>
      </c>
      <c r="AL36" s="118">
        <f t="shared" si="42"/>
        <v>102</v>
      </c>
      <c r="AM36" s="493" t="s">
        <v>1335</v>
      </c>
    </row>
    <row r="37">
      <c r="A37" s="494" t="s">
        <v>7670</v>
      </c>
      <c r="B37" s="75">
        <f>COUNTIFS(GERAL!B$8:B$1696,A37,GERAL!C$8:C$1696,"ESCOLA")</f>
        <v>1</v>
      </c>
      <c r="C37" s="75">
        <f>COUNTIFS(GERAL!B$8:B$1696,A37,GERAL!C$8:C$1696,"ANEXO")</f>
        <v>0</v>
      </c>
      <c r="D37" s="85">
        <f>SUMIF(GERAL!B$8:B$1696,A37,GERAL!Z$8:Z$1696)</f>
        <v>0</v>
      </c>
      <c r="E37" s="85">
        <f>SUMIF(GERAL!B$8:B$1696,A37,GERAL!AE$8:AE$1696)</f>
        <v>74</v>
      </c>
      <c r="F37" s="85">
        <f>SUMIF(GERAL!B$8:B$1696,A37,GERAL!AJ$8:AJ$1696)</f>
        <v>330</v>
      </c>
      <c r="G37" s="85">
        <f>SUMIF(GERAL!B$8:B$1696,A37,GERAL!AN$8:AN$1696)</f>
        <v>0</v>
      </c>
      <c r="H37" s="85">
        <f>SUMIF(GERAL!B$8:B$1696,A37,GERAL!AR$8:AW$1696)</f>
        <v>30</v>
      </c>
      <c r="I37" s="85">
        <f>SUMIF(GERAL!B$8:B$1696,A37,GERAL!AW$8:AW$1696)</f>
        <v>122</v>
      </c>
      <c r="J37" s="75">
        <f>SUMIF(GERAL!B$8:B$1696,A37,GERAL!AX$8:AX$1696)</f>
        <v>556</v>
      </c>
      <c r="K37" s="75">
        <f>COUNTIFS(GERAL!B$8:B$1696,A37,GERAL!AY$8:AY$1696,"&gt;0",GERAL!C$8:C$1696,"ESCOLA")</f>
        <v>1</v>
      </c>
      <c r="L37" s="75">
        <f>COUNTIFS(GERAL!B$8:B$1696,A37,GERAL!AY$8:AY$1696,"&gt;0",GERAL!C$8:C$1696,"ANEXO")</f>
        <v>0</v>
      </c>
      <c r="M37" s="100">
        <f>SUMIF(GERAL!B$8:B$1696,A37,GERAL!V$8:V$1696)+SUMIF(GERAL!B$8:B$1696,A37,GERAL!W$8:W$1696)</f>
        <v>0</v>
      </c>
      <c r="N37" s="100">
        <f>SUMIF(GERAL!B$8:B$1696,A37,GERAL!AA$8:AA$1696)+SUMIF(GERAL!B$8:B$1696,A37,GERAL!AB$8:AB$1696)</f>
        <v>0</v>
      </c>
      <c r="O37" s="100">
        <f>SUMIF(GERAL!B$8:B$1696,A37,GERAL!AF$8:AF$1696)+SUMIF(GERAL!B$8:B$1696,A37,GERAL!AG$8:AG$1696)</f>
        <v>0</v>
      </c>
      <c r="P37" s="100">
        <f>SUMIF(GERAL!B$8:B$1696,A37,GERAL!AK$8:AK$1696)+SUMIF(GERAL!B$8:B$1696,A37,GERAL!AL$8:AL$1696)</f>
        <v>0</v>
      </c>
      <c r="Q37" s="100">
        <f>SUMIF(GERAL!B$8:B$1696,A37,GERAL!AO$8:AO$1696)+SUMIF(GERAL!B$8:B$1696,A37,GERAL!AP$8:AP$1696)</f>
        <v>0</v>
      </c>
      <c r="R37" s="100">
        <f>SUMIF(GERAL!B$8:B$1696,A37,GERAL!AS$8:AS$1696)+SUMIF(GERAL!B$8:B$1696,A37,GERAL!AT$8:AT$1696)</f>
        <v>0</v>
      </c>
      <c r="S37" s="75">
        <f t="shared" si="39"/>
        <v>0</v>
      </c>
      <c r="T37" s="116">
        <f>COUNTIFS(GERAL!B$8:B$1696,A37,GERAL!AZ$8:AZ$1696,"&gt;0",GERAL!C$8:C$1696,"ESCOLA")</f>
        <v>1</v>
      </c>
      <c r="U37" s="75">
        <f>COUNTIFS(GERAL!B$8:B$1696,A37,GERAL!AZ$8:AZ$1696,"&gt;0",GERAL!C$8:C$1696,"ANEXO")</f>
        <v>0</v>
      </c>
      <c r="V37" s="85">
        <f>SUMIF(GERAL!B$8:B$1696,A37,GERAL!AH$8:AH$1696)</f>
        <v>0</v>
      </c>
      <c r="W37" s="85">
        <f>SUMIF(GERAL!B$8:B$1696,A37,GERAL!AM$8:AM$1696)</f>
        <v>0</v>
      </c>
      <c r="X37" s="85">
        <f>SUMIF(GERAL!B$8:B$1696,A37,GERAL!AQ$8:AQ$1696)</f>
        <v>30</v>
      </c>
      <c r="Y37" s="85">
        <f>SUMIF(GERAL!B$8:B$1696,A37,GERAL!AU$8:AU$1696)</f>
        <v>23</v>
      </c>
      <c r="Z37" s="88">
        <f t="shared" si="40"/>
        <v>53</v>
      </c>
      <c r="AA37" s="116">
        <f>COUNTIFS(GERAL!B$8:B$1696,A37,GERAL!BK$8:BK$1696,"&gt;0",GERAL!C$8:C$1696,"ESCOLA")</f>
        <v>1</v>
      </c>
      <c r="AB37" s="118">
        <f>COUNTIFS(GERAL!B$8:B$1696,A37,GERAL!BK$8:BK$1696,"&gt;0",GERAL!C$8:C$1696,"ANEXO")</f>
        <v>0</v>
      </c>
      <c r="AC37" s="121">
        <f>SUMIF(GERAL!B$8:B$1696,A37,GERAL!AD$8:AD$1696)</f>
        <v>74</v>
      </c>
      <c r="AD37" s="121">
        <f>SUMIF(GERAL!B$8:B$1696,A37,GERAL!AI$8:AI$1696)</f>
        <v>330</v>
      </c>
      <c r="AE37" s="121">
        <f>SUMIF(GERAL!B$8:B$1696,A37,GERAL!AV$8:AV$1696)</f>
        <v>99</v>
      </c>
      <c r="AF37" s="492">
        <f t="shared" si="41"/>
        <v>503</v>
      </c>
      <c r="AG37" s="178">
        <f>COUNTIFS(GERAL!B$8:B$1696,A37,GERAL!AW$8:AW$1696,"&gt;0",GERAL!C$8:C$1696,"ESCOLA")</f>
        <v>1</v>
      </c>
      <c r="AH37" s="118">
        <f>COUNTIFS(GERAL!B$8:B$1696,A37,GERAL!AW$8:AW$1696,"&gt;0",GERAL!C$8:C$1696,"ANEXO")</f>
        <v>0</v>
      </c>
      <c r="AI37" s="177">
        <f>SUMIF(GERAL!B$8:B$1696,A37,GERAL!AS$8:AS$1696)+SUMIF(GERAL!B$8:B$1696,A37,GERAL!AT$8:AT$1696)</f>
        <v>0</v>
      </c>
      <c r="AJ37" s="177">
        <f>SUMIF(GERAL!B$8:B$1696,A37,GERAL!AU$8:AU$1696)</f>
        <v>23</v>
      </c>
      <c r="AK37" s="177">
        <f>SUMIF(GERAL!B$8:B$1696,A37,GERAL!AV$8:AV$1696)</f>
        <v>99</v>
      </c>
      <c r="AL37" s="118">
        <f t="shared" si="42"/>
        <v>122</v>
      </c>
      <c r="AM37" s="493" t="s">
        <v>1707</v>
      </c>
    </row>
    <row r="38">
      <c r="A38" s="484" t="s">
        <v>5447</v>
      </c>
      <c r="B38" s="75">
        <f>COUNTIFS(GERAL!B$8:B$1696,A38,GERAL!C$8:C$1696,"ESCOLA")</f>
        <v>2</v>
      </c>
      <c r="C38" s="75">
        <f>COUNTIFS(GERAL!B$8:B$1696,A38,GERAL!C$8:C$1696,"ANEXO")</f>
        <v>0</v>
      </c>
      <c r="D38" s="85">
        <f>SUMIF(GERAL!B$8:B$1696,A38,GERAL!Z$8:Z$1696)</f>
        <v>0</v>
      </c>
      <c r="E38" s="85">
        <f>SUMIF(GERAL!B$8:B$1696,A38,GERAL!AE$8:AE$1696)</f>
        <v>0</v>
      </c>
      <c r="F38" s="85">
        <f>SUMIF(GERAL!B$8:B$1696,A38,GERAL!AJ$8:AJ$1696)</f>
        <v>382</v>
      </c>
      <c r="G38" s="85">
        <f>SUMIF(GERAL!B$8:B$1696,A38,GERAL!AN$8:AN$1696)</f>
        <v>0</v>
      </c>
      <c r="H38" s="85">
        <f>SUMIF(GERAL!B$8:B$1696,A38,GERAL!AR$8:AW$1696)</f>
        <v>169</v>
      </c>
      <c r="I38" s="85">
        <f>SUMIF(GERAL!B$8:B$1696,A38,GERAL!AW$8:AW$1696)</f>
        <v>126</v>
      </c>
      <c r="J38" s="75">
        <f>SUMIF(GERAL!B$8:B$1696,A38,GERAL!AX$8:AX$1696)</f>
        <v>677</v>
      </c>
      <c r="K38" s="75">
        <f>COUNTIFS(GERAL!B$8:B$1696,A38,GERAL!AY$8:AY$1696,"&gt;0",GERAL!C$8:C$1696,"ESCOLA")</f>
        <v>2</v>
      </c>
      <c r="L38" s="75">
        <f>COUNTIFS(GERAL!B$8:B$1696,A38,GERAL!AY$8:AY$1696,"&gt;0",GERAL!C$8:C$1696,"ANEXO")</f>
        <v>0</v>
      </c>
      <c r="M38" s="100">
        <f>SUMIF(GERAL!B$8:B$1696,A38,GERAL!V$8:V$1696)+SUMIF(GERAL!B$8:B$1696,A38,GERAL!W$8:W$1696)</f>
        <v>0</v>
      </c>
      <c r="N38" s="100">
        <f>SUMIF(GERAL!B$8:B$1696,A38,GERAL!AA$8:AA$1696)+SUMIF(GERAL!B$8:B$1696,A38,GERAL!AB$8:AB$1696)</f>
        <v>0</v>
      </c>
      <c r="O38" s="100">
        <f>SUMIF(GERAL!B$8:B$1696,A38,GERAL!AF$8:AF$1696)+SUMIF(GERAL!B$8:B$1696,A38,GERAL!AG$8:AG$1696)</f>
        <v>25</v>
      </c>
      <c r="P38" s="100">
        <f>SUMIF(GERAL!B$8:B$1696,A38,GERAL!AK$8:AK$1696)+SUMIF(GERAL!B$8:B$1696,A38,GERAL!AL$8:AL$1696)</f>
        <v>0</v>
      </c>
      <c r="Q38" s="100">
        <f>SUMIF(GERAL!B$8:B$1696,A38,GERAL!AO$8:AO$1696)+SUMIF(GERAL!B$8:B$1696,A38,GERAL!AP$8:AP$1696)</f>
        <v>0</v>
      </c>
      <c r="R38" s="100">
        <f>SUMIF(GERAL!B$8:B$1696,A38,GERAL!AS$8:AS$1696)+SUMIF(GERAL!B$8:B$1696,A38,GERAL!AT$8:AT$1696)</f>
        <v>60</v>
      </c>
      <c r="S38" s="75">
        <f t="shared" si="39"/>
        <v>85</v>
      </c>
      <c r="T38" s="116">
        <f>COUNTIFS(GERAL!B$8:B$1696,A38,GERAL!AZ$8:AZ$1696,"&gt;0",GERAL!C$8:C$1696,"ESCOLA")</f>
        <v>2</v>
      </c>
      <c r="U38" s="75">
        <f>COUNTIFS(GERAL!B$8:B$1696,A38,GERAL!AZ$8:AZ$1696,"&gt;0",GERAL!C$8:C$1696,"ANEXO")</f>
        <v>0</v>
      </c>
      <c r="V38" s="85">
        <f>SUMIF(GERAL!B$8:B$1696,A38,GERAL!AH$8:AH$1696)</f>
        <v>0</v>
      </c>
      <c r="W38" s="85">
        <f>SUMIF(GERAL!B$8:B$1696,A38,GERAL!AM$8:AM$1696)</f>
        <v>0</v>
      </c>
      <c r="X38" s="85">
        <f>SUMIF(GERAL!B$8:B$1696,A38,GERAL!AQ$8:AQ$1696)</f>
        <v>169</v>
      </c>
      <c r="Y38" s="85">
        <f>SUMIF(GERAL!B$8:B$1696,A38,GERAL!AU$8:AU$1696)</f>
        <v>0</v>
      </c>
      <c r="Z38" s="88">
        <f t="shared" si="40"/>
        <v>169</v>
      </c>
      <c r="AA38" s="116">
        <f>COUNTIFS(GERAL!B$8:B$1696,A38,GERAL!BK$8:BK$1696,"&gt;0",GERAL!C$8:C$1696,"ESCOLA")</f>
        <v>2</v>
      </c>
      <c r="AB38" s="118">
        <f>COUNTIFS(GERAL!B$8:B$1696,A38,GERAL!BK$8:BK$1696,"&gt;0",GERAL!C$8:C$1696,"ANEXO")</f>
        <v>0</v>
      </c>
      <c r="AC38" s="121">
        <f>SUMIF(GERAL!B$8:B$1696,A38,GERAL!AD$8:AD$1696)</f>
        <v>0</v>
      </c>
      <c r="AD38" s="121">
        <f>SUMIF(GERAL!B$8:B$1696,A38,GERAL!AI$8:AI$1696)</f>
        <v>357</v>
      </c>
      <c r="AE38" s="121">
        <f>SUMIF(GERAL!B$8:B$1696,A38,GERAL!AV$8:AV$1696)</f>
        <v>66</v>
      </c>
      <c r="AF38" s="492">
        <f t="shared" si="41"/>
        <v>423</v>
      </c>
      <c r="AG38" s="178">
        <f>COUNTIFS(GERAL!B$8:B$1696,A38,GERAL!AW$8:AW$1696,"&gt;0",GERAL!C$8:C$1696,"ESCOLA")</f>
        <v>2</v>
      </c>
      <c r="AH38" s="118">
        <f>COUNTIFS(GERAL!B$8:B$1696,A38,GERAL!AW$8:AW$1696,"&gt;0",GERAL!C$8:C$1696,"ANEXO")</f>
        <v>0</v>
      </c>
      <c r="AI38" s="177">
        <f>SUMIF(GERAL!B$8:B$1696,A38,GERAL!AS$8:AS$1696)+SUMIF(GERAL!B$8:B$1696,A38,GERAL!AT$8:AT$1696)</f>
        <v>60</v>
      </c>
      <c r="AJ38" s="177">
        <f>SUMIF(GERAL!B$8:B$1696,A38,GERAL!AU$8:AU$1696)</f>
        <v>0</v>
      </c>
      <c r="AK38" s="177">
        <f>SUMIF(GERAL!B$8:B$1696,A38,GERAL!AV$8:AV$1696)</f>
        <v>66</v>
      </c>
      <c r="AL38" s="118">
        <f t="shared" si="42"/>
        <v>126</v>
      </c>
      <c r="AM38" s="493" t="s">
        <v>1281</v>
      </c>
    </row>
    <row r="39">
      <c r="A39" s="494" t="s">
        <v>6821</v>
      </c>
      <c r="B39" s="75">
        <f>COUNTIFS(GERAL!B$8:B$1696,A39,GERAL!C$8:C$1696,"ESCOLA")</f>
        <v>1</v>
      </c>
      <c r="C39" s="75">
        <f>COUNTIFS(GERAL!B$8:B$1696,A39,GERAL!C$8:C$1696,"ANEXO")</f>
        <v>0</v>
      </c>
      <c r="D39" s="85">
        <f>SUMIF(GERAL!B$8:B$1696,A39,GERAL!Z$8:Z$1696)</f>
        <v>0</v>
      </c>
      <c r="E39" s="85">
        <f>SUMIF(GERAL!B$8:B$1696,A39,GERAL!AE$8:AE$1696)</f>
        <v>0</v>
      </c>
      <c r="F39" s="85">
        <f>SUMIF(GERAL!B$8:B$1696,A39,GERAL!AJ$8:AJ$1696)</f>
        <v>170</v>
      </c>
      <c r="G39" s="85">
        <f>SUMIF(GERAL!B$8:B$1696,A39,GERAL!AN$8:AN$1696)</f>
        <v>0</v>
      </c>
      <c r="H39" s="85">
        <f>SUMIF(GERAL!B$8:B$1696,A39,GERAL!AR$8:AW$1696)</f>
        <v>119</v>
      </c>
      <c r="I39" s="85">
        <f>SUMIF(GERAL!B$8:B$1696,A39,GERAL!AW$8:AW$1696)</f>
        <v>26</v>
      </c>
      <c r="J39" s="75">
        <f>SUMIF(GERAL!B$8:B$1696,A39,GERAL!AX$8:AX$1696)</f>
        <v>315</v>
      </c>
      <c r="K39" s="75">
        <f>COUNTIFS(GERAL!B$8:B$1696,A39,GERAL!AY$8:AY$1696,"&gt;0",GERAL!C$8:C$1696,"ESCOLA")</f>
        <v>1</v>
      </c>
      <c r="L39" s="75">
        <f>COUNTIFS(GERAL!B$8:B$1696,A39,GERAL!AY$8:AY$1696,"&gt;0",GERAL!C$8:C$1696,"ANEXO")</f>
        <v>0</v>
      </c>
      <c r="M39" s="100">
        <f>SUMIF(GERAL!B$8:B$1696,A39,GERAL!V$8:V$1696)+SUMIF(GERAL!B$8:B$1696,A39,GERAL!W$8:W$1696)</f>
        <v>0</v>
      </c>
      <c r="N39" s="100">
        <f>SUMIF(GERAL!B$8:B$1696,A39,GERAL!AA$8:AA$1696)+SUMIF(GERAL!B$8:B$1696,A39,GERAL!AB$8:AB$1696)</f>
        <v>0</v>
      </c>
      <c r="O39" s="100">
        <f>SUMIF(GERAL!B$8:B$1696,A39,GERAL!AF$8:AF$1696)+SUMIF(GERAL!B$8:B$1696,A39,GERAL!AG$8:AG$1696)</f>
        <v>0</v>
      </c>
      <c r="P39" s="100">
        <f>SUMIF(GERAL!B$8:B$1696,A39,GERAL!AK$8:AK$1696)+SUMIF(GERAL!B$8:B$1696,A39,GERAL!AL$8:AL$1696)</f>
        <v>0</v>
      </c>
      <c r="Q39" s="100">
        <f>SUMIF(GERAL!B$8:B$1696,A39,GERAL!AO$8:AO$1696)+SUMIF(GERAL!B$8:B$1696,A39,GERAL!AP$8:AP$1696)</f>
        <v>0</v>
      </c>
      <c r="R39" s="100">
        <f>SUMIF(GERAL!B$8:B$1696,A39,GERAL!AS$8:AS$1696)+SUMIF(GERAL!B$8:B$1696,A39,GERAL!AT$8:AT$1696)</f>
        <v>0</v>
      </c>
      <c r="S39" s="75">
        <f t="shared" si="39"/>
        <v>0</v>
      </c>
      <c r="T39" s="116">
        <f>COUNTIFS(GERAL!B$8:B$1696,A39,GERAL!AZ$8:AZ$1696,"&gt;0",GERAL!C$8:C$1696,"ESCOLA")</f>
        <v>1</v>
      </c>
      <c r="U39" s="75">
        <f>COUNTIFS(GERAL!B$8:B$1696,A39,GERAL!AZ$8:AZ$1696,"&gt;0",GERAL!C$8:C$1696,"ANEXO")</f>
        <v>0</v>
      </c>
      <c r="V39" s="85">
        <f>SUMIF(GERAL!B$8:B$1696,A39,GERAL!AH$8:AH$1696)</f>
        <v>0</v>
      </c>
      <c r="W39" s="85">
        <f>SUMIF(GERAL!B$8:B$1696,A39,GERAL!AM$8:AM$1696)</f>
        <v>0</v>
      </c>
      <c r="X39" s="85">
        <f>SUMIF(GERAL!B$8:B$1696,A39,GERAL!AQ$8:AQ$1696)</f>
        <v>119</v>
      </c>
      <c r="Y39" s="85">
        <f>SUMIF(GERAL!B$8:B$1696,A39,GERAL!AU$8:AU$1696)</f>
        <v>26</v>
      </c>
      <c r="Z39" s="88">
        <f t="shared" si="40"/>
        <v>145</v>
      </c>
      <c r="AA39" s="116">
        <f>COUNTIFS(GERAL!B$8:B$1696,A39,GERAL!BK$8:BK$1696,"&gt;0",GERAL!C$8:C$1696,"ESCOLA")</f>
        <v>1</v>
      </c>
      <c r="AB39" s="118">
        <f>COUNTIFS(GERAL!B$8:B$1696,A39,GERAL!BK$8:BK$1696,"&gt;0",GERAL!C$8:C$1696,"ANEXO")</f>
        <v>0</v>
      </c>
      <c r="AC39" s="121">
        <f>SUMIF(GERAL!B$8:B$1696,A39,GERAL!AD$8:AD$1696)</f>
        <v>0</v>
      </c>
      <c r="AD39" s="121">
        <f>SUMIF(GERAL!B$8:B$1696,A39,GERAL!AI$8:AI$1696)</f>
        <v>170</v>
      </c>
      <c r="AE39" s="121">
        <f>SUMIF(GERAL!B$8:B$1696,A39,GERAL!AV$8:AV$1696)</f>
        <v>0</v>
      </c>
      <c r="AF39" s="492">
        <f t="shared" si="41"/>
        <v>170</v>
      </c>
      <c r="AG39" s="178">
        <f>COUNTIFS(GERAL!B$8:B$1696,A39,GERAL!AW$8:AW$1696,"&gt;0",GERAL!C$8:C$1696,"ESCOLA")</f>
        <v>1</v>
      </c>
      <c r="AH39" s="118">
        <f>COUNTIFS(GERAL!B$8:B$1696,A39,GERAL!AW$8:AW$1696,"&gt;0",GERAL!C$8:C$1696,"ANEXO")</f>
        <v>0</v>
      </c>
      <c r="AI39" s="177">
        <f>SUMIF(GERAL!B$8:B$1696,A39,GERAL!AS$8:AS$1696)+SUMIF(GERAL!B$8:B$1696,A39,GERAL!AT$8:AT$1696)</f>
        <v>0</v>
      </c>
      <c r="AJ39" s="177">
        <f>SUMIF(GERAL!B$8:B$1696,A39,GERAL!AU$8:AU$1696)</f>
        <v>26</v>
      </c>
      <c r="AK39" s="177">
        <f>SUMIF(GERAL!B$8:B$1696,A39,GERAL!AV$8:AV$1696)</f>
        <v>0</v>
      </c>
      <c r="AL39" s="118">
        <f t="shared" si="42"/>
        <v>26</v>
      </c>
      <c r="AM39" s="493" t="s">
        <v>1535</v>
      </c>
    </row>
    <row r="40">
      <c r="A40" s="484" t="s">
        <v>5044</v>
      </c>
      <c r="B40" s="75">
        <f>COUNTIFS(GERAL!B$8:B$1696,A40,GERAL!C$8:C$1696,"ESCOLA")</f>
        <v>1</v>
      </c>
      <c r="C40" s="75">
        <f>COUNTIFS(GERAL!B$8:B$1696,A40,GERAL!C$8:C$1696,"ANEXO")</f>
        <v>0</v>
      </c>
      <c r="D40" s="85">
        <f>SUMIF(GERAL!B$8:B$1696,A40,GERAL!Z$8:Z$1696)</f>
        <v>0</v>
      </c>
      <c r="E40" s="85">
        <f>SUMIF(GERAL!B$8:B$1696,A40,GERAL!AE$8:AE$1696)</f>
        <v>0</v>
      </c>
      <c r="F40" s="85">
        <f>SUMIF(GERAL!B$8:B$1696,A40,GERAL!AJ$8:AJ$1696)</f>
        <v>163</v>
      </c>
      <c r="G40" s="85">
        <f>SUMIF(GERAL!B$8:B$1696,A40,GERAL!AN$8:AN$1696)</f>
        <v>0</v>
      </c>
      <c r="H40" s="85">
        <f>SUMIF(GERAL!B$8:B$1696,A40,GERAL!AR$8:AW$1696)</f>
        <v>121</v>
      </c>
      <c r="I40" s="85">
        <f>SUMIF(GERAL!B$8:B$1696,A40,GERAL!AW$8:AW$1696)</f>
        <v>305</v>
      </c>
      <c r="J40" s="75">
        <f>SUMIF(GERAL!B$8:B$1696,A40,GERAL!AX$8:AX$1696)</f>
        <v>589</v>
      </c>
      <c r="K40" s="75">
        <f>COUNTIFS(GERAL!B$8:B$1696,A40,GERAL!AY$8:AY$1696,"&gt;0",GERAL!C$8:C$1696,"ESCOLA")</f>
        <v>1</v>
      </c>
      <c r="L40" s="75">
        <f>COUNTIFS(GERAL!B$8:B$1696,A40,GERAL!AY$8:AY$1696,"&gt;0",GERAL!C$8:C$1696,"ANEXO")</f>
        <v>0</v>
      </c>
      <c r="M40" s="100">
        <f>SUMIF(GERAL!B$8:B$1696,A40,GERAL!V$8:V$1696)+SUMIF(GERAL!B$8:B$1696,A40,GERAL!W$8:W$1696)</f>
        <v>0</v>
      </c>
      <c r="N40" s="100">
        <f>SUMIF(GERAL!B$8:B$1696,A40,GERAL!AA$8:AA$1696)+SUMIF(GERAL!B$8:B$1696,A40,GERAL!AB$8:AB$1696)</f>
        <v>0</v>
      </c>
      <c r="O40" s="100">
        <f>SUMIF(GERAL!B$8:B$1696,A40,GERAL!AF$8:AF$1696)+SUMIF(GERAL!B$8:B$1696,A40,GERAL!AG$8:AG$1696)</f>
        <v>0</v>
      </c>
      <c r="P40" s="100">
        <f>SUMIF(GERAL!B$8:B$1696,A40,GERAL!AK$8:AK$1696)+SUMIF(GERAL!B$8:B$1696,A40,GERAL!AL$8:AL$1696)</f>
        <v>0</v>
      </c>
      <c r="Q40" s="100">
        <f>SUMIF(GERAL!B$8:B$1696,A40,GERAL!AO$8:AO$1696)+SUMIF(GERAL!B$8:B$1696,A40,GERAL!AP$8:AP$1696)</f>
        <v>0</v>
      </c>
      <c r="R40" s="100">
        <f>SUMIF(GERAL!B$8:B$1696,A40,GERAL!AS$8:AS$1696)+SUMIF(GERAL!B$8:B$1696,A40,GERAL!AT$8:AT$1696)</f>
        <v>305</v>
      </c>
      <c r="S40" s="75">
        <f t="shared" si="39"/>
        <v>305</v>
      </c>
      <c r="T40" s="116">
        <f>COUNTIFS(GERAL!B$8:B$1696,A40,GERAL!AZ$8:AZ$1696,"&gt;0",GERAL!C$8:C$1696,"ESCOLA")</f>
        <v>1</v>
      </c>
      <c r="U40" s="75">
        <f>COUNTIFS(GERAL!B$8:B$1696,A40,GERAL!AZ$8:AZ$1696,"&gt;0",GERAL!C$8:C$1696,"ANEXO")</f>
        <v>0</v>
      </c>
      <c r="V40" s="85">
        <f>SUMIF(GERAL!B$8:B$1696,A40,GERAL!AH$8:AH$1696)</f>
        <v>0</v>
      </c>
      <c r="W40" s="85">
        <f>SUMIF(GERAL!B$8:B$1696,A40,GERAL!AM$8:AM$1696)</f>
        <v>0</v>
      </c>
      <c r="X40" s="85">
        <f>SUMIF(GERAL!B$8:B$1696,A40,GERAL!AQ$8:AQ$1696)</f>
        <v>121</v>
      </c>
      <c r="Y40" s="85">
        <f>SUMIF(GERAL!B$8:B$1696,A40,GERAL!AU$8:AU$1696)</f>
        <v>0</v>
      </c>
      <c r="Z40" s="88">
        <f t="shared" si="40"/>
        <v>121</v>
      </c>
      <c r="AA40" s="116">
        <f>COUNTIFS(GERAL!B$8:B$1696,A40,GERAL!BK$8:BK$1696,"&gt;0",GERAL!C$8:C$1696,"ESCOLA")</f>
        <v>1</v>
      </c>
      <c r="AB40" s="118">
        <f>COUNTIFS(GERAL!B$8:B$1696,A40,GERAL!BK$8:BK$1696,"&gt;0",GERAL!C$8:C$1696,"ANEXO")</f>
        <v>0</v>
      </c>
      <c r="AC40" s="121">
        <f>SUMIF(GERAL!B$8:B$1696,A40,GERAL!AD$8:AD$1696)</f>
        <v>0</v>
      </c>
      <c r="AD40" s="121">
        <f>SUMIF(GERAL!B$8:B$1696,A40,GERAL!AI$8:AI$1696)</f>
        <v>163</v>
      </c>
      <c r="AE40" s="121">
        <f>SUMIF(GERAL!B$8:B$1696,A40,GERAL!AV$8:AV$1696)</f>
        <v>0</v>
      </c>
      <c r="AF40" s="492">
        <f t="shared" si="41"/>
        <v>163</v>
      </c>
      <c r="AG40" s="178">
        <f>COUNTIFS(GERAL!B$8:B$1696,A40,GERAL!AW$8:AW$1696,"&gt;0",GERAL!C$8:C$1696,"ESCOLA")</f>
        <v>1</v>
      </c>
      <c r="AH40" s="118">
        <f>COUNTIFS(GERAL!B$8:B$1696,A40,GERAL!AW$8:AW$1696,"&gt;0",GERAL!C$8:C$1696,"ANEXO")</f>
        <v>0</v>
      </c>
      <c r="AI40" s="177">
        <f>SUMIF(GERAL!B$8:B$1696,A40,GERAL!AS$8:AS$1696)+SUMIF(GERAL!B$8:B$1696,A40,GERAL!AT$8:AT$1696)</f>
        <v>305</v>
      </c>
      <c r="AJ40" s="177">
        <f>SUMIF(GERAL!B$8:B$1696,A40,GERAL!AU$8:AU$1696)</f>
        <v>0</v>
      </c>
      <c r="AK40" s="177">
        <f>SUMIF(GERAL!B$8:B$1696,A40,GERAL!AV$8:AV$1696)</f>
        <v>0</v>
      </c>
      <c r="AL40" s="118">
        <f t="shared" si="42"/>
        <v>305</v>
      </c>
      <c r="AM40" s="493" t="s">
        <v>1281</v>
      </c>
    </row>
    <row r="41">
      <c r="A41" s="494" t="s">
        <v>6116</v>
      </c>
      <c r="B41" s="75">
        <f>COUNTIFS(GERAL!B$8:B$1696,A41,GERAL!C$8:C$1696,"ESCOLA")</f>
        <v>1</v>
      </c>
      <c r="C41" s="75">
        <f>COUNTIFS(GERAL!B$8:B$1696,A41,GERAL!C$8:C$1696,"ANEXO")</f>
        <v>0</v>
      </c>
      <c r="D41" s="85">
        <f>SUMIF(GERAL!B$8:B$1696,A41,GERAL!Z$8:Z$1696)</f>
        <v>0</v>
      </c>
      <c r="E41" s="85">
        <f>SUMIF(GERAL!B$8:B$1696,A41,GERAL!AE$8:AE$1696)</f>
        <v>0</v>
      </c>
      <c r="F41" s="85">
        <f>SUMIF(GERAL!B$8:B$1696,A41,GERAL!AJ$8:AJ$1696)</f>
        <v>342</v>
      </c>
      <c r="G41" s="85">
        <f>SUMIF(GERAL!B$8:B$1696,A41,GERAL!AN$8:AN$1696)</f>
        <v>0</v>
      </c>
      <c r="H41" s="85">
        <f>SUMIF(GERAL!B$8:B$1696,A41,GERAL!AR$8:AW$1696)</f>
        <v>30</v>
      </c>
      <c r="I41" s="85">
        <f>SUMIF(GERAL!B$8:B$1696,A41,GERAL!AW$8:AW$1696)</f>
        <v>60</v>
      </c>
      <c r="J41" s="75">
        <f>SUMIF(GERAL!B$8:B$1696,A41,GERAL!AX$8:AX$1696)</f>
        <v>432</v>
      </c>
      <c r="K41" s="75">
        <f>COUNTIFS(GERAL!B$8:B$1696,A41,GERAL!AY$8:AY$1696,"&gt;0",GERAL!C$8:C$1696,"ESCOLA")</f>
        <v>1</v>
      </c>
      <c r="L41" s="75">
        <f>COUNTIFS(GERAL!B$8:B$1696,A41,GERAL!AY$8:AY$1696,"&gt;0",GERAL!C$8:C$1696,"ANEXO")</f>
        <v>0</v>
      </c>
      <c r="M41" s="100">
        <f>SUMIF(GERAL!B$8:B$1696,A41,GERAL!V$8:V$1696)+SUMIF(GERAL!B$8:B$1696,A41,GERAL!W$8:W$1696)</f>
        <v>0</v>
      </c>
      <c r="N41" s="100">
        <f>SUMIF(GERAL!B$8:B$1696,A41,GERAL!AA$8:AA$1696)+SUMIF(GERAL!B$8:B$1696,A41,GERAL!AB$8:AB$1696)</f>
        <v>0</v>
      </c>
      <c r="O41" s="100">
        <f>SUMIF(GERAL!B$8:B$1696,A41,GERAL!AF$8:AF$1696)+SUMIF(GERAL!B$8:B$1696,A41,GERAL!AG$8:AG$1696)</f>
        <v>211</v>
      </c>
      <c r="P41" s="100">
        <f>SUMIF(GERAL!B$8:B$1696,A41,GERAL!AK$8:AK$1696)+SUMIF(GERAL!B$8:B$1696,A41,GERAL!AL$8:AL$1696)</f>
        <v>0</v>
      </c>
      <c r="Q41" s="100">
        <f>SUMIF(GERAL!B$8:B$1696,A41,GERAL!AO$8:AO$1696)+SUMIF(GERAL!B$8:B$1696,A41,GERAL!AP$8:AP$1696)</f>
        <v>0</v>
      </c>
      <c r="R41" s="100">
        <f>SUMIF(GERAL!B$8:B$1696,A41,GERAL!AS$8:AS$1696)+SUMIF(GERAL!B$8:B$1696,A41,GERAL!AT$8:AT$1696)</f>
        <v>0</v>
      </c>
      <c r="S41" s="75">
        <f t="shared" si="39"/>
        <v>211</v>
      </c>
      <c r="T41" s="116">
        <f>COUNTIFS(GERAL!B$8:B$1696,A41,GERAL!AZ$8:AZ$1696,"&gt;0",GERAL!C$8:C$1696,"ESCOLA")</f>
        <v>1</v>
      </c>
      <c r="U41" s="75">
        <f>COUNTIFS(GERAL!B$8:B$1696,A41,GERAL!AZ$8:AZ$1696,"&gt;0",GERAL!C$8:C$1696,"ANEXO")</f>
        <v>0</v>
      </c>
      <c r="V41" s="85">
        <f>SUMIF(GERAL!B$8:B$1696,A41,GERAL!AH$8:AH$1696)</f>
        <v>0</v>
      </c>
      <c r="W41" s="85">
        <f>SUMIF(GERAL!B$8:B$1696,A41,GERAL!AM$8:AM$1696)</f>
        <v>0</v>
      </c>
      <c r="X41" s="85">
        <f>SUMIF(GERAL!B$8:B$1696,A41,GERAL!AQ$8:AQ$1696)</f>
        <v>30</v>
      </c>
      <c r="Y41" s="85">
        <f>SUMIF(GERAL!B$8:B$1696,A41,GERAL!AU$8:AU$1696)</f>
        <v>0</v>
      </c>
      <c r="Z41" s="88">
        <f t="shared" si="40"/>
        <v>30</v>
      </c>
      <c r="AA41" s="116">
        <f>COUNTIFS(GERAL!B$8:B$1696,A41,GERAL!BK$8:BK$1696,"&gt;0",GERAL!C$8:C$1696,"ESCOLA")</f>
        <v>1</v>
      </c>
      <c r="AB41" s="118">
        <f>COUNTIFS(GERAL!B$8:B$1696,A41,GERAL!BK$8:BK$1696,"&gt;0",GERAL!C$8:C$1696,"ANEXO")</f>
        <v>0</v>
      </c>
      <c r="AC41" s="121">
        <f>SUMIF(GERAL!B$8:B$1696,A41,GERAL!AD$8:AD$1696)</f>
        <v>0</v>
      </c>
      <c r="AD41" s="121">
        <f>SUMIF(GERAL!B$8:B$1696,A41,GERAL!AI$8:AI$1696)</f>
        <v>131</v>
      </c>
      <c r="AE41" s="121">
        <f>SUMIF(GERAL!B$8:B$1696,A41,GERAL!AV$8:AV$1696)</f>
        <v>60</v>
      </c>
      <c r="AF41" s="492">
        <f t="shared" si="41"/>
        <v>191</v>
      </c>
      <c r="AG41" s="178">
        <f>COUNTIFS(GERAL!B$8:B$1696,A41,GERAL!AW$8:AW$1696,"&gt;0",GERAL!C$8:C$1696,"ESCOLA")</f>
        <v>1</v>
      </c>
      <c r="AH41" s="118">
        <f>COUNTIFS(GERAL!B$8:B$1696,A41,GERAL!AW$8:AW$1696,"&gt;0",GERAL!C$8:C$1696,"ANEXO")</f>
        <v>0</v>
      </c>
      <c r="AI41" s="177">
        <f>SUMIF(GERAL!B$8:B$1696,A41,GERAL!AS$8:AS$1696)+SUMIF(GERAL!B$8:B$1696,A41,GERAL!AT$8:AT$1696)</f>
        <v>0</v>
      </c>
      <c r="AJ41" s="177">
        <f>SUMIF(GERAL!B$8:B$1696,A41,GERAL!AU$8:AU$1696)</f>
        <v>0</v>
      </c>
      <c r="AK41" s="177">
        <f>SUMIF(GERAL!B$8:B$1696,A41,GERAL!AV$8:AV$1696)</f>
        <v>60</v>
      </c>
      <c r="AL41" s="118">
        <f t="shared" si="42"/>
        <v>60</v>
      </c>
      <c r="AM41" s="493" t="s">
        <v>1393</v>
      </c>
    </row>
    <row r="42">
      <c r="A42" s="484" t="s">
        <v>1066</v>
      </c>
      <c r="B42" s="75">
        <f>COUNTIFS(GERAL!B$8:B$1696,A42,GERAL!C$8:C$1696,"ESCOLA")</f>
        <v>1</v>
      </c>
      <c r="C42" s="75">
        <f>COUNTIFS(GERAL!B$8:B$1696,A42,GERAL!C$8:C$1696,"ANEXO")</f>
        <v>8</v>
      </c>
      <c r="D42" s="85">
        <f>SUMIF(GERAL!B$8:B$1696,A42,GERAL!Z$8:Z$1696)</f>
        <v>0</v>
      </c>
      <c r="E42" s="85">
        <f>SUMIF(GERAL!B$8:B$1696,A42,GERAL!AE$8:AE$1696)</f>
        <v>0</v>
      </c>
      <c r="F42" s="85">
        <f>SUMIF(GERAL!B$8:B$1696,A42,GERAL!AJ$8:AJ$1696)</f>
        <v>865</v>
      </c>
      <c r="G42" s="85">
        <f>SUMIF(GERAL!B$8:B$1696,A42,GERAL!AN$8:AN$1696)</f>
        <v>0</v>
      </c>
      <c r="H42" s="85">
        <f>SUMIF(GERAL!B$8:B$1696,A42,GERAL!AR$8:AW$1696)</f>
        <v>117</v>
      </c>
      <c r="I42" s="85">
        <f>SUMIF(GERAL!B$8:B$1696,A42,GERAL!AW$8:AW$1696)</f>
        <v>1435</v>
      </c>
      <c r="J42" s="75">
        <f>SUMIF(GERAL!B$8:B$1696,A42,GERAL!AX$8:AX$1696)</f>
        <v>2417</v>
      </c>
      <c r="K42" s="75">
        <f>COUNTIFS(GERAL!B$8:B$1696,A42,GERAL!AY$8:AY$1696,"&gt;0",GERAL!C$8:C$1696,"ESCOLA")</f>
        <v>1</v>
      </c>
      <c r="L42" s="75">
        <f>COUNTIFS(GERAL!B$8:B$1696,A42,GERAL!AY$8:AY$1696,"&gt;0",GERAL!C$8:C$1696,"ANEXO")</f>
        <v>4</v>
      </c>
      <c r="M42" s="100">
        <f>SUMIF(GERAL!B$8:B$1696,A42,GERAL!V$8:V$1696)+SUMIF(GERAL!B$8:B$1696,A42,GERAL!W$8:W$1696)</f>
        <v>0</v>
      </c>
      <c r="N42" s="100">
        <f>SUMIF(GERAL!B$8:B$1696,A42,GERAL!AA$8:AA$1696)+SUMIF(GERAL!B$8:B$1696,A42,GERAL!AB$8:AB$1696)</f>
        <v>0</v>
      </c>
      <c r="O42" s="100">
        <f>SUMIF(GERAL!B$8:B$1696,A42,GERAL!AF$8:AF$1696)+SUMIF(GERAL!B$8:B$1696,A42,GERAL!AG$8:AG$1696)</f>
        <v>326</v>
      </c>
      <c r="P42" s="100">
        <f>SUMIF(GERAL!B$8:B$1696,A42,GERAL!AK$8:AK$1696)+SUMIF(GERAL!B$8:B$1696,A42,GERAL!AL$8:AL$1696)</f>
        <v>0</v>
      </c>
      <c r="Q42" s="100">
        <f>SUMIF(GERAL!B$8:B$1696,A42,GERAL!AO$8:AO$1696)+SUMIF(GERAL!B$8:B$1696,A42,GERAL!AP$8:AP$1696)</f>
        <v>0</v>
      </c>
      <c r="R42" s="100">
        <f>SUMIF(GERAL!B$8:B$1696,A42,GERAL!AS$8:AS$1696)+SUMIF(GERAL!B$8:B$1696,A42,GERAL!AT$8:AT$1696)</f>
        <v>1136</v>
      </c>
      <c r="S42" s="75">
        <f t="shared" si="39"/>
        <v>1462</v>
      </c>
      <c r="T42" s="116">
        <f>COUNTIFS(GERAL!B$8:B$1696,A42,GERAL!AZ$8:AZ$1696,"&gt;0",GERAL!C$8:C$1696,"ESCOLA")</f>
        <v>1</v>
      </c>
      <c r="U42" s="75">
        <f>COUNTIFS(GERAL!B$8:B$1696,A42,GERAL!AZ$8:AZ$1696,"&gt;0",GERAL!C$8:C$1696,"ANEXO")</f>
        <v>7</v>
      </c>
      <c r="V42" s="85">
        <f>SUMIF(GERAL!B$8:B$1696,A42,GERAL!AH$8:AH$1696)</f>
        <v>399</v>
      </c>
      <c r="W42" s="85">
        <f>SUMIF(GERAL!B$8:B$1696,A42,GERAL!AM$8:AM$1696)</f>
        <v>0</v>
      </c>
      <c r="X42" s="85">
        <f>SUMIF(GERAL!B$8:B$1696,A42,GERAL!AQ$8:AQ$1696)</f>
        <v>117</v>
      </c>
      <c r="Y42" s="85">
        <f>SUMIF(GERAL!B$8:B$1696,A42,GERAL!AU$8:AU$1696)</f>
        <v>274</v>
      </c>
      <c r="Z42" s="88">
        <f t="shared" si="40"/>
        <v>790</v>
      </c>
      <c r="AA42" s="116">
        <f>COUNTIFS(GERAL!B$8:B$1696,A42,GERAL!BK$8:BK$1696,"&gt;0",GERAL!C$8:C$1696,"ESCOLA")</f>
        <v>1</v>
      </c>
      <c r="AB42" s="118">
        <f>COUNTIFS(GERAL!B$8:B$1696,A42,GERAL!BK$8:BK$1696,"&gt;0",GERAL!C$8:C$1696,"ANEXO")</f>
        <v>0</v>
      </c>
      <c r="AC42" s="121">
        <f>SUMIF(GERAL!B$8:B$1696,A42,GERAL!AD$8:AD$1696)</f>
        <v>0</v>
      </c>
      <c r="AD42" s="121">
        <f>SUMIF(GERAL!B$8:B$1696,A42,GERAL!AI$8:AI$1696)</f>
        <v>140</v>
      </c>
      <c r="AE42" s="121">
        <f>SUMIF(GERAL!B$8:B$1696,A42,GERAL!AV$8:AV$1696)</f>
        <v>25</v>
      </c>
      <c r="AF42" s="492">
        <f t="shared" si="41"/>
        <v>165</v>
      </c>
      <c r="AG42" s="178">
        <f>COUNTIFS(GERAL!B$8:B$1696,A42,GERAL!AW$8:AW$1696,"&gt;0",GERAL!C$8:C$1696,"ESCOLA")</f>
        <v>1</v>
      </c>
      <c r="AH42" s="118">
        <f>COUNTIFS(GERAL!B$8:B$1696,A42,GERAL!AW$8:AW$1696,"&gt;0",GERAL!C$8:C$1696,"ANEXO")</f>
        <v>0</v>
      </c>
      <c r="AI42" s="177">
        <f>SUMIF(GERAL!B$8:B$1696,A42,GERAL!AS$8:AS$1696)+SUMIF(GERAL!B$8:B$1696,A42,GERAL!AT$8:AT$1696)</f>
        <v>1136</v>
      </c>
      <c r="AJ42" s="177">
        <f>SUMIF(GERAL!B$8:B$1696,A42,GERAL!AU$8:AU$1696)</f>
        <v>274</v>
      </c>
      <c r="AK42" s="177">
        <f>SUMIF(GERAL!B$8:B$1696,A42,GERAL!AV$8:AV$1696)</f>
        <v>25</v>
      </c>
      <c r="AL42" s="118">
        <f t="shared" si="42"/>
        <v>1435</v>
      </c>
      <c r="AM42" s="493" t="s">
        <v>383</v>
      </c>
    </row>
    <row r="43">
      <c r="A43" s="494" t="s">
        <v>5464</v>
      </c>
      <c r="B43" s="75">
        <f>COUNTIFS(GERAL!B$8:B$1696,A43,GERAL!C$8:C$1696,"ESCOLA")</f>
        <v>1</v>
      </c>
      <c r="C43" s="75">
        <f>COUNTIFS(GERAL!B$8:B$1696,A43,GERAL!C$8:C$1696,"ANEXO")</f>
        <v>0</v>
      </c>
      <c r="D43" s="85">
        <f>SUMIF(GERAL!B$8:B$1696,A43,GERAL!Z$8:Z$1696)</f>
        <v>0</v>
      </c>
      <c r="E43" s="85">
        <f>SUMIF(GERAL!B$8:B$1696,A43,GERAL!AE$8:AE$1696)</f>
        <v>0</v>
      </c>
      <c r="F43" s="85">
        <f>SUMIF(GERAL!B$8:B$1696,A43,GERAL!AJ$8:AJ$1696)</f>
        <v>182</v>
      </c>
      <c r="G43" s="85">
        <f>SUMIF(GERAL!B$8:B$1696,A43,GERAL!AN$8:AN$1696)</f>
        <v>0</v>
      </c>
      <c r="H43" s="85">
        <f>SUMIF(GERAL!B$8:B$1696,A43,GERAL!AR$8:AW$1696)</f>
        <v>74</v>
      </c>
      <c r="I43" s="85">
        <f>SUMIF(GERAL!B$8:B$1696,A43,GERAL!AW$8:AW$1696)</f>
        <v>277</v>
      </c>
      <c r="J43" s="75">
        <f>SUMIF(GERAL!B$8:B$1696,A43,GERAL!AX$8:AX$1696)</f>
        <v>533</v>
      </c>
      <c r="K43" s="75">
        <f>COUNTIFS(GERAL!B$8:B$1696,A43,GERAL!AY$8:AY$1696,"&gt;0",GERAL!C$8:C$1696,"ESCOLA")</f>
        <v>1</v>
      </c>
      <c r="L43" s="75">
        <f>COUNTIFS(GERAL!B$8:B$1696,A43,GERAL!AY$8:AY$1696,"&gt;0",GERAL!C$8:C$1696,"ANEXO")</f>
        <v>0</v>
      </c>
      <c r="M43" s="100">
        <f>SUMIF(GERAL!B$8:B$1696,A43,GERAL!V$8:V$1696)+SUMIF(GERAL!B$8:B$1696,A43,GERAL!W$8:W$1696)</f>
        <v>0</v>
      </c>
      <c r="N43" s="100">
        <f>SUMIF(GERAL!B$8:B$1696,A43,GERAL!AA$8:AA$1696)+SUMIF(GERAL!B$8:B$1696,A43,GERAL!AB$8:AB$1696)</f>
        <v>0</v>
      </c>
      <c r="O43" s="100">
        <f>SUMIF(GERAL!B$8:B$1696,A43,GERAL!AF$8:AF$1696)+SUMIF(GERAL!B$8:B$1696,A43,GERAL!AG$8:AG$1696)</f>
        <v>0</v>
      </c>
      <c r="P43" s="100">
        <f>SUMIF(GERAL!B$8:B$1696,A43,GERAL!AK$8:AK$1696)+SUMIF(GERAL!B$8:B$1696,A43,GERAL!AL$8:AL$1696)</f>
        <v>0</v>
      </c>
      <c r="Q43" s="100">
        <f>SUMIF(GERAL!B$8:B$1696,A43,GERAL!AO$8:AO$1696)+SUMIF(GERAL!B$8:B$1696,A43,GERAL!AP$8:AP$1696)</f>
        <v>0</v>
      </c>
      <c r="R43" s="100">
        <f>SUMIF(GERAL!B$8:B$1696,A43,GERAL!AS$8:AS$1696)+SUMIF(GERAL!B$8:B$1696,A43,GERAL!AT$8:AT$1696)</f>
        <v>0</v>
      </c>
      <c r="S43" s="75">
        <f t="shared" si="39"/>
        <v>0</v>
      </c>
      <c r="T43" s="116">
        <f>COUNTIFS(GERAL!B$8:B$1696,A43,GERAL!AZ$8:AZ$1696,"&gt;0",GERAL!C$8:C$1696,"ESCOLA")</f>
        <v>1</v>
      </c>
      <c r="U43" s="75">
        <f>COUNTIFS(GERAL!B$8:B$1696,A43,GERAL!AZ$8:AZ$1696,"&gt;0",GERAL!C$8:C$1696,"ANEXO")</f>
        <v>0</v>
      </c>
      <c r="V43" s="85">
        <f>SUMIF(GERAL!B$8:B$1696,A43,GERAL!AH$8:AH$1696)</f>
        <v>0</v>
      </c>
      <c r="W43" s="85">
        <f>SUMIF(GERAL!B$8:B$1696,A43,GERAL!AM$8:AM$1696)</f>
        <v>0</v>
      </c>
      <c r="X43" s="85">
        <f>SUMIF(GERAL!B$8:B$1696,A43,GERAL!AQ$8:AQ$1696)</f>
        <v>74</v>
      </c>
      <c r="Y43" s="85">
        <f>SUMIF(GERAL!B$8:B$1696,A43,GERAL!AU$8:AU$1696)</f>
        <v>165</v>
      </c>
      <c r="Z43" s="88">
        <f t="shared" si="40"/>
        <v>239</v>
      </c>
      <c r="AA43" s="116">
        <f>COUNTIFS(GERAL!B$8:B$1696,A43,GERAL!BK$8:BK$1696,"&gt;0",GERAL!C$8:C$1696,"ESCOLA")</f>
        <v>1</v>
      </c>
      <c r="AB43" s="118">
        <f>COUNTIFS(GERAL!B$8:B$1696,A43,GERAL!BK$8:BK$1696,"&gt;0",GERAL!C$8:C$1696,"ANEXO")</f>
        <v>0</v>
      </c>
      <c r="AC43" s="121">
        <f>SUMIF(GERAL!B$8:B$1696,A43,GERAL!AD$8:AD$1696)</f>
        <v>0</v>
      </c>
      <c r="AD43" s="121">
        <f>SUMIF(GERAL!B$8:B$1696,A43,GERAL!AI$8:AI$1696)</f>
        <v>182</v>
      </c>
      <c r="AE43" s="121">
        <f>SUMIF(GERAL!B$8:B$1696,A43,GERAL!AV$8:AV$1696)</f>
        <v>112</v>
      </c>
      <c r="AF43" s="492">
        <f t="shared" si="41"/>
        <v>294</v>
      </c>
      <c r="AG43" s="178">
        <f>COUNTIFS(GERAL!B$8:B$1696,A43,GERAL!AW$8:AW$1696,"&gt;0",GERAL!C$8:C$1696,"ESCOLA")</f>
        <v>1</v>
      </c>
      <c r="AH43" s="118">
        <f>COUNTIFS(GERAL!B$8:B$1696,A43,GERAL!AW$8:AW$1696,"&gt;0",GERAL!C$8:C$1696,"ANEXO")</f>
        <v>0</v>
      </c>
      <c r="AI43" s="177">
        <f>SUMIF(GERAL!B$8:B$1696,A43,GERAL!AS$8:AS$1696)+SUMIF(GERAL!B$8:B$1696,A43,GERAL!AT$8:AT$1696)</f>
        <v>0</v>
      </c>
      <c r="AJ43" s="177">
        <f>SUMIF(GERAL!B$8:B$1696,A43,GERAL!AU$8:AU$1696)</f>
        <v>165</v>
      </c>
      <c r="AK43" s="177">
        <f>SUMIF(GERAL!B$8:B$1696,A43,GERAL!AV$8:AV$1696)</f>
        <v>112</v>
      </c>
      <c r="AL43" s="118">
        <f t="shared" si="42"/>
        <v>277</v>
      </c>
      <c r="AM43" s="493" t="s">
        <v>1281</v>
      </c>
    </row>
    <row r="44">
      <c r="A44" s="484" t="s">
        <v>1352</v>
      </c>
      <c r="B44" s="75">
        <f>COUNTIFS(GERAL!B$8:B$1696,A44,GERAL!C$8:C$1696,"ESCOLA")</f>
        <v>2</v>
      </c>
      <c r="C44" s="75">
        <f>COUNTIFS(GERAL!B$8:B$1696,A44,GERAL!C$8:C$1696,"ANEXO")</f>
        <v>0</v>
      </c>
      <c r="D44" s="85">
        <f>SUMIF(GERAL!B$8:B$1696,A44,GERAL!Z$8:Z$1696)</f>
        <v>0</v>
      </c>
      <c r="E44" s="85">
        <f>SUMIF(GERAL!B$8:B$1696,A44,GERAL!AE$8:AE$1696)</f>
        <v>0</v>
      </c>
      <c r="F44" s="85">
        <f>SUMIF(GERAL!B$8:B$1696,A44,GERAL!AJ$8:AJ$1696)</f>
        <v>192</v>
      </c>
      <c r="G44" s="85">
        <f>SUMIF(GERAL!B$8:B$1696,A44,GERAL!AN$8:AN$1696)</f>
        <v>0</v>
      </c>
      <c r="H44" s="85">
        <f>SUMIF(GERAL!B$8:B$1696,A44,GERAL!AR$8:AW$1696)</f>
        <v>95</v>
      </c>
      <c r="I44" s="85">
        <f>SUMIF(GERAL!B$8:B$1696,A44,GERAL!AW$8:AW$1696)</f>
        <v>222</v>
      </c>
      <c r="J44" s="75">
        <f>SUMIF(GERAL!B$8:B$1696,A44,GERAL!AX$8:AX$1696)</f>
        <v>509</v>
      </c>
      <c r="K44" s="75">
        <f>COUNTIFS(GERAL!B$8:B$1696,A44,GERAL!AY$8:AY$1696,"&gt;0",GERAL!C$8:C$1696,"ESCOLA")</f>
        <v>2</v>
      </c>
      <c r="L44" s="75">
        <f>COUNTIFS(GERAL!B$8:B$1696,A44,GERAL!AY$8:AY$1696,"&gt;0",GERAL!C$8:C$1696,"ANEXO")</f>
        <v>0</v>
      </c>
      <c r="M44" s="100">
        <f>SUMIF(GERAL!B$8:B$1696,A44,GERAL!V$8:V$1696)+SUMIF(GERAL!B$8:B$1696,A44,GERAL!W$8:W$1696)</f>
        <v>0</v>
      </c>
      <c r="N44" s="100">
        <f>SUMIF(GERAL!B$8:B$1696,A44,GERAL!AA$8:AA$1696)+SUMIF(GERAL!B$8:B$1696,A44,GERAL!AB$8:AB$1696)</f>
        <v>0</v>
      </c>
      <c r="O44" s="100">
        <f>SUMIF(GERAL!B$8:B$1696,A44,GERAL!AF$8:AF$1696)+SUMIF(GERAL!B$8:B$1696,A44,GERAL!AG$8:AG$1696)</f>
        <v>84</v>
      </c>
      <c r="P44" s="100">
        <f>SUMIF(GERAL!B$8:B$1696,A44,GERAL!AK$8:AK$1696)+SUMIF(GERAL!B$8:B$1696,A44,GERAL!AL$8:AL$1696)</f>
        <v>0</v>
      </c>
      <c r="Q44" s="100">
        <f>SUMIF(GERAL!B$8:B$1696,A44,GERAL!AO$8:AO$1696)+SUMIF(GERAL!B$8:B$1696,A44,GERAL!AP$8:AP$1696)</f>
        <v>0</v>
      </c>
      <c r="R44" s="100">
        <f>SUMIF(GERAL!B$8:B$1696,A44,GERAL!AS$8:AS$1696)+SUMIF(GERAL!B$8:B$1696,A44,GERAL!AT$8:AT$1696)</f>
        <v>84</v>
      </c>
      <c r="S44" s="75">
        <f t="shared" si="39"/>
        <v>168</v>
      </c>
      <c r="T44" s="116">
        <f>COUNTIFS(GERAL!B$8:B$1696,A44,GERAL!AZ$8:AZ$1696,"&gt;0",GERAL!C$8:C$1696,"ESCOLA")</f>
        <v>2</v>
      </c>
      <c r="U44" s="75">
        <f>COUNTIFS(GERAL!B$8:B$1696,A44,GERAL!AZ$8:AZ$1696,"&gt;0",GERAL!C$8:C$1696,"ANEXO")</f>
        <v>0</v>
      </c>
      <c r="V44" s="85">
        <f>SUMIF(GERAL!B$8:B$1696,A44,GERAL!AH$8:AH$1696)</f>
        <v>0</v>
      </c>
      <c r="W44" s="85">
        <f>SUMIF(GERAL!B$8:B$1696,A44,GERAL!AM$8:AM$1696)</f>
        <v>0</v>
      </c>
      <c r="X44" s="85">
        <f>SUMIF(GERAL!B$8:B$1696,A44,GERAL!AQ$8:AQ$1696)</f>
        <v>95</v>
      </c>
      <c r="Y44" s="85">
        <f>SUMIF(GERAL!B$8:B$1696,A44,GERAL!AU$8:AU$1696)</f>
        <v>128</v>
      </c>
      <c r="Z44" s="88">
        <f t="shared" si="40"/>
        <v>223</v>
      </c>
      <c r="AA44" s="116">
        <f>COUNTIFS(GERAL!B$8:B$1696,A44,GERAL!BK$8:BK$1696,"&gt;0",GERAL!C$8:C$1696,"ESCOLA")</f>
        <v>2</v>
      </c>
      <c r="AB44" s="118">
        <f>COUNTIFS(GERAL!B$8:B$1696,A44,GERAL!BK$8:BK$1696,"&gt;0",GERAL!C$8:C$1696,"ANEXO")</f>
        <v>0</v>
      </c>
      <c r="AC44" s="121">
        <f>SUMIF(GERAL!B$8:B$1696,A44,GERAL!AD$8:AD$1696)</f>
        <v>0</v>
      </c>
      <c r="AD44" s="121">
        <f>SUMIF(GERAL!B$8:B$1696,A44,GERAL!AI$8:AI$1696)</f>
        <v>108</v>
      </c>
      <c r="AE44" s="121">
        <f>SUMIF(GERAL!B$8:B$1696,A44,GERAL!AV$8:AV$1696)</f>
        <v>10</v>
      </c>
      <c r="AF44" s="492">
        <f t="shared" si="41"/>
        <v>118</v>
      </c>
      <c r="AG44" s="178">
        <f>COUNTIFS(GERAL!B$8:B$1696,A44,GERAL!AW$8:AW$1696,"&gt;0",GERAL!C$8:C$1696,"ESCOLA")</f>
        <v>1</v>
      </c>
      <c r="AH44" s="118">
        <f>COUNTIFS(GERAL!B$8:B$1696,A44,GERAL!AW$8:AW$1696,"&gt;0",GERAL!C$8:C$1696,"ANEXO")</f>
        <v>0</v>
      </c>
      <c r="AI44" s="177">
        <f>SUMIF(GERAL!B$8:B$1696,A44,GERAL!AS$8:AS$1696)+SUMIF(GERAL!B$8:B$1696,A44,GERAL!AT$8:AT$1696)</f>
        <v>84</v>
      </c>
      <c r="AJ44" s="177">
        <f>SUMIF(GERAL!B$8:B$1696,A44,GERAL!AU$8:AU$1696)</f>
        <v>128</v>
      </c>
      <c r="AK44" s="177">
        <f>SUMIF(GERAL!B$8:B$1696,A44,GERAL!AV$8:AV$1696)</f>
        <v>10</v>
      </c>
      <c r="AL44" s="118">
        <f t="shared" si="42"/>
        <v>222</v>
      </c>
      <c r="AM44" s="493" t="s">
        <v>451</v>
      </c>
    </row>
    <row r="45">
      <c r="A45" s="494" t="s">
        <v>1678</v>
      </c>
      <c r="B45" s="75">
        <f>COUNTIFS(GERAL!B$8:B$1696,A45,GERAL!C$8:C$1696,"ESCOLA")</f>
        <v>1</v>
      </c>
      <c r="C45" s="75">
        <f>COUNTIFS(GERAL!B$8:B$1696,A45,GERAL!C$8:C$1696,"ANEXO")</f>
        <v>0</v>
      </c>
      <c r="D45" s="85">
        <f>SUMIF(GERAL!B$8:B$1696,A45,GERAL!Z$8:Z$1696)</f>
        <v>0</v>
      </c>
      <c r="E45" s="85">
        <f>SUMIF(GERAL!B$8:B$1696,A45,GERAL!AE$8:AE$1696)</f>
        <v>0</v>
      </c>
      <c r="F45" s="85">
        <f>SUMIF(GERAL!B$8:B$1696,A45,GERAL!AJ$8:AJ$1696)</f>
        <v>183</v>
      </c>
      <c r="G45" s="85">
        <f>SUMIF(GERAL!B$8:B$1696,A45,GERAL!AN$8:AN$1696)</f>
        <v>0</v>
      </c>
      <c r="H45" s="85">
        <f>SUMIF(GERAL!B$8:B$1696,A45,GERAL!AR$8:AW$1696)</f>
        <v>47</v>
      </c>
      <c r="I45" s="85">
        <f>SUMIF(GERAL!B$8:B$1696,A45,GERAL!AW$8:AW$1696)</f>
        <v>162</v>
      </c>
      <c r="J45" s="75">
        <f>SUMIF(GERAL!B$8:B$1696,A45,GERAL!AX$8:AX$1696)</f>
        <v>392</v>
      </c>
      <c r="K45" s="75">
        <f>COUNTIFS(GERAL!B$8:B$1696,A45,GERAL!AY$8:AY$1696,"&gt;0",GERAL!C$8:C$1696,"ESCOLA")</f>
        <v>1</v>
      </c>
      <c r="L45" s="75">
        <f>COUNTIFS(GERAL!B$8:B$1696,A45,GERAL!AY$8:AY$1696,"&gt;0",GERAL!C$8:C$1696,"ANEXO")</f>
        <v>0</v>
      </c>
      <c r="M45" s="100">
        <f>SUMIF(GERAL!B$8:B$1696,A45,GERAL!V$8:V$1696)+SUMIF(GERAL!B$8:B$1696,A45,GERAL!W$8:W$1696)</f>
        <v>0</v>
      </c>
      <c r="N45" s="100">
        <f>SUMIF(GERAL!B$8:B$1696,A45,GERAL!AA$8:AA$1696)+SUMIF(GERAL!B$8:B$1696,A45,GERAL!AB$8:AB$1696)</f>
        <v>0</v>
      </c>
      <c r="O45" s="100">
        <f>SUMIF(GERAL!B$8:B$1696,A45,GERAL!AF$8:AF$1696)+SUMIF(GERAL!B$8:B$1696,A45,GERAL!AG$8:AG$1696)</f>
        <v>0</v>
      </c>
      <c r="P45" s="100">
        <f>SUMIF(GERAL!B$8:B$1696,A45,GERAL!AK$8:AK$1696)+SUMIF(GERAL!B$8:B$1696,A45,GERAL!AL$8:AL$1696)</f>
        <v>0</v>
      </c>
      <c r="Q45" s="100">
        <f>SUMIF(GERAL!B$8:B$1696,A45,GERAL!AO$8:AO$1696)+SUMIF(GERAL!B$8:B$1696,A45,GERAL!AP$8:AP$1696)</f>
        <v>0</v>
      </c>
      <c r="R45" s="100">
        <f>SUMIF(GERAL!B$8:B$1696,A45,GERAL!AS$8:AS$1696)+SUMIF(GERAL!B$8:B$1696,A45,GERAL!AT$8:AT$1696)</f>
        <v>130</v>
      </c>
      <c r="S45" s="75">
        <f t="shared" si="39"/>
        <v>130</v>
      </c>
      <c r="T45" s="116">
        <f>COUNTIFS(GERAL!B$8:B$1696,A45,GERAL!AZ$8:AZ$1696,"&gt;0",GERAL!C$8:C$1696,"ESCOLA")</f>
        <v>1</v>
      </c>
      <c r="U45" s="75">
        <f>COUNTIFS(GERAL!B$8:B$1696,A45,GERAL!AZ$8:AZ$1696,"&gt;0",GERAL!C$8:C$1696,"ANEXO")</f>
        <v>0</v>
      </c>
      <c r="V45" s="85">
        <f>SUMIF(GERAL!B$8:B$1696,A45,GERAL!AH$8:AH$1696)</f>
        <v>0</v>
      </c>
      <c r="W45" s="85">
        <f>SUMIF(GERAL!B$8:B$1696,A45,GERAL!AM$8:AM$1696)</f>
        <v>0</v>
      </c>
      <c r="X45" s="85">
        <f>SUMIF(GERAL!B$8:B$1696,A45,GERAL!AQ$8:AQ$1696)</f>
        <v>47</v>
      </c>
      <c r="Y45" s="85">
        <f>SUMIF(GERAL!B$8:B$1696,A45,GERAL!AU$8:AU$1696)</f>
        <v>32</v>
      </c>
      <c r="Z45" s="88">
        <f t="shared" si="40"/>
        <v>79</v>
      </c>
      <c r="AA45" s="116">
        <f>COUNTIFS(GERAL!B$8:B$1696,A45,GERAL!BK$8:BK$1696,"&gt;0",GERAL!C$8:C$1696,"ESCOLA")</f>
        <v>1</v>
      </c>
      <c r="AB45" s="88">
        <f>COUNTIFS(GERAL!B$8:B$1696,A45,GERAL!BK$8:BK$1696,"&gt;0",GERAL!C$8:C$1696,"ANEXO")</f>
        <v>0</v>
      </c>
      <c r="AC45" s="121">
        <f>SUMIF(GERAL!B$8:B$1696,A45,GERAL!AD$8:AD$1696)</f>
        <v>0</v>
      </c>
      <c r="AD45" s="121">
        <f>SUMIF(GERAL!B$8:B$1696,A45,GERAL!AI$8:AI$1696)</f>
        <v>183</v>
      </c>
      <c r="AE45" s="121">
        <f>SUMIF(GERAL!B$8:B$1696,A45,GERAL!AV$8:AV$1696)</f>
        <v>0</v>
      </c>
      <c r="AF45" s="492">
        <f t="shared" si="41"/>
        <v>183</v>
      </c>
      <c r="AG45" s="178">
        <f>COUNTIFS(GERAL!B$8:B$1696,A45,GERAL!AW$8:AW$1696,"&gt;0",GERAL!C$8:C$1696,"ESCOLA")</f>
        <v>1</v>
      </c>
      <c r="AH45" s="118">
        <f>COUNTIFS(GERAL!B$8:B$1696,A45,GERAL!AW$8:AW$1696,"&gt;0",GERAL!C$8:C$1696,"ANEXO")</f>
        <v>0</v>
      </c>
      <c r="AI45" s="177">
        <f>SUMIF(GERAL!B$8:B$1696,A45,GERAL!AS$8:AS$1696)+SUMIF(GERAL!B$8:B$1696,A45,GERAL!AT$8:AT$1696)</f>
        <v>130</v>
      </c>
      <c r="AJ45" s="177">
        <f>SUMIF(GERAL!B$8:B$1696,A45,GERAL!AU$8:AU$1696)</f>
        <v>32</v>
      </c>
      <c r="AK45" s="177">
        <f>SUMIF(GERAL!B$8:B$1696,A45,GERAL!AV$8:AV$1696)</f>
        <v>0</v>
      </c>
      <c r="AL45" s="118">
        <f t="shared" si="42"/>
        <v>162</v>
      </c>
      <c r="AM45" s="493" t="s">
        <v>540</v>
      </c>
    </row>
    <row r="46">
      <c r="A46" s="484" t="s">
        <v>1359</v>
      </c>
      <c r="B46" s="75">
        <f>COUNTIFS(GERAL!B$8:B$1696,A46,GERAL!C$8:C$1696,"ESCOLA")</f>
        <v>1</v>
      </c>
      <c r="C46" s="75">
        <f>COUNTIFS(GERAL!B$8:B$1696,A46,GERAL!C$8:C$1696,"ANEXO")</f>
        <v>1</v>
      </c>
      <c r="D46" s="85">
        <f>SUMIF(GERAL!B$8:B$1696,A46,GERAL!Z$8:Z$1696)</f>
        <v>0</v>
      </c>
      <c r="E46" s="85">
        <f>SUMIF(GERAL!B$8:B$1696,A46,GERAL!AE$8:AE$1696)</f>
        <v>0</v>
      </c>
      <c r="F46" s="85">
        <f>SUMIF(GERAL!B$8:B$1696,A46,GERAL!AJ$8:AJ$1696)</f>
        <v>345</v>
      </c>
      <c r="G46" s="85">
        <f>SUMIF(GERAL!B$8:B$1696,A46,GERAL!AN$8:AN$1696)</f>
        <v>0</v>
      </c>
      <c r="H46" s="85">
        <f>SUMIF(GERAL!B$8:B$1696,A46,GERAL!AR$8:AW$1696)</f>
        <v>85</v>
      </c>
      <c r="I46" s="85">
        <f>SUMIF(GERAL!B$8:B$1696,A46,GERAL!AW$8:AW$1696)</f>
        <v>51</v>
      </c>
      <c r="J46" s="75">
        <f>SUMIF(GERAL!B$8:B$1696,A46,GERAL!AX$8:AX$1696)</f>
        <v>481</v>
      </c>
      <c r="K46" s="75">
        <f>COUNTIFS(GERAL!B$8:B$1696,A46,GERAL!AY$8:AY$1696,"&gt;0",GERAL!C$8:C$1696,"ESCOLA")</f>
        <v>1</v>
      </c>
      <c r="L46" s="75">
        <f>COUNTIFS(GERAL!B$8:B$1696,A46,GERAL!AY$8:AY$1696,"&gt;0",GERAL!C$8:C$1696,"ANEXO")</f>
        <v>0</v>
      </c>
      <c r="M46" s="100">
        <f>SUMIF(GERAL!B$8:B$1696,A46,GERAL!V$8:V$1696)+SUMIF(GERAL!B$8:B$1696,A46,GERAL!W$8:W$1696)</f>
        <v>0</v>
      </c>
      <c r="N46" s="100">
        <f>SUMIF(GERAL!B$8:B$1696,A46,GERAL!AA$8:AA$1696)+SUMIF(GERAL!B$8:B$1696,A46,GERAL!AB$8:AB$1696)</f>
        <v>0</v>
      </c>
      <c r="O46" s="100">
        <f>SUMIF(GERAL!B$8:B$1696,A46,GERAL!AF$8:AF$1696)+SUMIF(GERAL!B$8:B$1696,A46,GERAL!AG$8:AG$1696)</f>
        <v>149</v>
      </c>
      <c r="P46" s="100">
        <f>SUMIF(GERAL!B$8:B$1696,A46,GERAL!AK$8:AK$1696)+SUMIF(GERAL!B$8:B$1696,A46,GERAL!AL$8:AL$1696)</f>
        <v>0</v>
      </c>
      <c r="Q46" s="100">
        <f>SUMIF(GERAL!B$8:B$1696,A46,GERAL!AO$8:AO$1696)+SUMIF(GERAL!B$8:B$1696,A46,GERAL!AP$8:AP$1696)</f>
        <v>0</v>
      </c>
      <c r="R46" s="100">
        <f>SUMIF(GERAL!B$8:B$1696,A46,GERAL!AS$8:AS$1696)+SUMIF(GERAL!B$8:B$1696,A46,GERAL!AT$8:AT$1696)</f>
        <v>0</v>
      </c>
      <c r="S46" s="75">
        <f t="shared" si="39"/>
        <v>149</v>
      </c>
      <c r="T46" s="116">
        <f>COUNTIFS(GERAL!B$8:B$1696,A46,GERAL!AZ$8:AZ$1696,"&gt;0",GERAL!C$8:C$1696,"ESCOLA")</f>
        <v>1</v>
      </c>
      <c r="U46" s="75">
        <f>COUNTIFS(GERAL!B$8:B$1696,A46,GERAL!AZ$8:AZ$1696,"&gt;0",GERAL!C$8:C$1696,"ANEXO")</f>
        <v>1</v>
      </c>
      <c r="V46" s="85">
        <f>SUMIF(GERAL!B$8:B$1696,A46,GERAL!AH$8:AH$1696)</f>
        <v>27</v>
      </c>
      <c r="W46" s="85">
        <f>SUMIF(GERAL!B$8:B$1696,A46,GERAL!AM$8:AM$1696)</f>
        <v>0</v>
      </c>
      <c r="X46" s="85">
        <f>SUMIF(GERAL!B$8:B$1696,A46,GERAL!AQ$8:AQ$1696)</f>
        <v>85</v>
      </c>
      <c r="Y46" s="85">
        <f>SUMIF(GERAL!B$8:B$1696,A46,GERAL!AU$8:AU$1696)</f>
        <v>20</v>
      </c>
      <c r="Z46" s="88">
        <f t="shared" si="40"/>
        <v>132</v>
      </c>
      <c r="AA46" s="116">
        <f>COUNTIFS(GERAL!B$8:B$1696,A46,GERAL!BK$8:BK$1696,"&gt;0",GERAL!C$8:C$1696,"ESCOLA")</f>
        <v>1</v>
      </c>
      <c r="AB46" s="88">
        <f>COUNTIFS(GERAL!B$8:B$1696,A46,GERAL!BK$8:BK$1696,"&gt;0",GERAL!C$8:C$1696,"ANEXO")</f>
        <v>0</v>
      </c>
      <c r="AC46" s="121">
        <f>SUMIF(GERAL!B$8:B$1696,A46,GERAL!AD$8:AD$1696)</f>
        <v>0</v>
      </c>
      <c r="AD46" s="121">
        <f>SUMIF(GERAL!B$8:B$1696,A46,GERAL!AI$8:AI$1696)</f>
        <v>169</v>
      </c>
      <c r="AE46" s="121">
        <f>SUMIF(GERAL!B$8:B$1696,A46,GERAL!AV$8:AV$1696)</f>
        <v>31</v>
      </c>
      <c r="AF46" s="492">
        <f t="shared" si="41"/>
        <v>200</v>
      </c>
      <c r="AG46" s="178">
        <f>COUNTIFS(GERAL!B$8:B$1696,A46,GERAL!AW$8:AW$1696,"&gt;0",GERAL!C$8:C$1696,"ESCOLA")</f>
        <v>1</v>
      </c>
      <c r="AH46" s="118">
        <f>COUNTIFS(GERAL!B$8:B$1696,A46,GERAL!AW$8:AW$1696,"&gt;0",GERAL!C$8:C$1696,"ANEXO")</f>
        <v>0</v>
      </c>
      <c r="AI46" s="177">
        <f>SUMIF(GERAL!B$8:B$1696,A46,GERAL!AS$8:AS$1696)+SUMIF(GERAL!B$8:B$1696,A46,GERAL!AT$8:AT$1696)</f>
        <v>0</v>
      </c>
      <c r="AJ46" s="177">
        <f>SUMIF(GERAL!B$8:B$1696,A46,GERAL!AU$8:AU$1696)</f>
        <v>20</v>
      </c>
      <c r="AK46" s="177">
        <f>SUMIF(GERAL!B$8:B$1696,A46,GERAL!AV$8:AV$1696)</f>
        <v>31</v>
      </c>
      <c r="AL46" s="118">
        <f t="shared" si="42"/>
        <v>51</v>
      </c>
      <c r="AM46" s="493" t="s">
        <v>451</v>
      </c>
    </row>
    <row r="47">
      <c r="A47" s="494" t="s">
        <v>3486</v>
      </c>
      <c r="B47" s="75">
        <f>COUNTIFS(GERAL!B$8:B$1696,A47,GERAL!C$8:C$1696,"ESCOLA")</f>
        <v>2</v>
      </c>
      <c r="C47" s="75">
        <f>COUNTIFS(GERAL!B$8:B$1696,A47,GERAL!C$8:C$1696,"ANEXO")</f>
        <v>1</v>
      </c>
      <c r="D47" s="85">
        <f>SUMIF(GERAL!B$8:B$1696,A47,GERAL!Z$8:Z$1696)</f>
        <v>0</v>
      </c>
      <c r="E47" s="85">
        <f>SUMIF(GERAL!B$8:B$1696,A47,GERAL!AE$8:AE$1696)</f>
        <v>0</v>
      </c>
      <c r="F47" s="85">
        <f>SUMIF(GERAL!B$8:B$1696,A47,GERAL!AJ$8:AJ$1696)</f>
        <v>353</v>
      </c>
      <c r="G47" s="85">
        <f>SUMIF(GERAL!B$8:B$1696,A47,GERAL!AN$8:AN$1696)</f>
        <v>0</v>
      </c>
      <c r="H47" s="85">
        <f>SUMIF(GERAL!B$8:B$1696,A47,GERAL!AR$8:AW$1696)</f>
        <v>99</v>
      </c>
      <c r="I47" s="85">
        <f>SUMIF(GERAL!B$8:B$1696,A47,GERAL!AW$8:AW$1696)</f>
        <v>79</v>
      </c>
      <c r="J47" s="75">
        <f>SUMIF(GERAL!B$8:B$1696,A47,GERAL!AX$8:AX$1696)</f>
        <v>531</v>
      </c>
      <c r="K47" s="75">
        <f>COUNTIFS(GERAL!B$8:B$1696,A47,GERAL!AY$8:AY$1696,"&gt;0",GERAL!C$8:C$1696,"ESCOLA")</f>
        <v>2</v>
      </c>
      <c r="L47" s="75">
        <f>COUNTIFS(GERAL!B$8:B$1696,A47,GERAL!AY$8:AY$1696,"&gt;0",GERAL!C$8:C$1696,"ANEXO")</f>
        <v>0</v>
      </c>
      <c r="M47" s="100">
        <f>SUMIF(GERAL!B$8:B$1696,A47,GERAL!V$8:V$1696)+SUMIF(GERAL!B$8:B$1696,A47,GERAL!W$8:W$1696)</f>
        <v>0</v>
      </c>
      <c r="N47" s="100">
        <f>SUMIF(GERAL!B$8:B$1696,A47,GERAL!AA$8:AA$1696)+SUMIF(GERAL!B$8:B$1696,A47,GERAL!AB$8:AB$1696)</f>
        <v>0</v>
      </c>
      <c r="O47" s="100">
        <f>SUMIF(GERAL!B$8:B$1696,A47,GERAL!AF$8:AF$1696)+SUMIF(GERAL!B$8:B$1696,A47,GERAL!AG$8:AG$1696)</f>
        <v>353</v>
      </c>
      <c r="P47" s="100">
        <f>SUMIF(GERAL!B$8:B$1696,A47,GERAL!AK$8:AK$1696)+SUMIF(GERAL!B$8:B$1696,A47,GERAL!AL$8:AL$1696)</f>
        <v>0</v>
      </c>
      <c r="Q47" s="100">
        <f>SUMIF(GERAL!B$8:B$1696,A47,GERAL!AO$8:AO$1696)+SUMIF(GERAL!B$8:B$1696,A47,GERAL!AP$8:AP$1696)</f>
        <v>0</v>
      </c>
      <c r="R47" s="100">
        <f>SUMIF(GERAL!B$8:B$1696,A47,GERAL!AS$8:AS$1696)+SUMIF(GERAL!B$8:B$1696,A47,GERAL!AT$8:AT$1696)</f>
        <v>16</v>
      </c>
      <c r="S47" s="75">
        <f t="shared" si="39"/>
        <v>369</v>
      </c>
      <c r="T47" s="116">
        <f>COUNTIFS(GERAL!B$8:B$1696,A47,GERAL!AZ$8:AZ$1696,"&gt;0",GERAL!C$8:C$1696,"ESCOLA")</f>
        <v>1</v>
      </c>
      <c r="U47" s="75">
        <f>COUNTIFS(GERAL!B$8:B$1696,A47,GERAL!AZ$8:AZ$1696,"&gt;0",GERAL!C$8:C$1696,"ANEXO")</f>
        <v>1</v>
      </c>
      <c r="V47" s="85">
        <f>SUMIF(GERAL!B$8:B$1696,A47,GERAL!AH$8:AH$1696)</f>
        <v>0</v>
      </c>
      <c r="W47" s="85">
        <f>SUMIF(GERAL!B$8:B$1696,A47,GERAL!AM$8:AM$1696)</f>
        <v>0</v>
      </c>
      <c r="X47" s="85">
        <f>SUMIF(GERAL!B$8:B$1696,A47,GERAL!AQ$8:AQ$1696)</f>
        <v>99</v>
      </c>
      <c r="Y47" s="85">
        <f>SUMIF(GERAL!B$8:B$1696,A47,GERAL!AU$8:AU$1696)</f>
        <v>0</v>
      </c>
      <c r="Z47" s="88">
        <f t="shared" si="40"/>
        <v>99</v>
      </c>
      <c r="AA47" s="116">
        <f>COUNTIFS(GERAL!B$8:B$1696,A47,GERAL!BK$8:BK$1696,"&gt;0",GERAL!C$8:C$1696,"ESCOLA")</f>
        <v>1</v>
      </c>
      <c r="AB47" s="88">
        <f>COUNTIFS(GERAL!B$8:B$1696,A47,GERAL!BK$8:BK$1696,"&gt;0",GERAL!C$8:C$1696,"ANEXO")</f>
        <v>0</v>
      </c>
      <c r="AC47" s="121">
        <f>SUMIF(GERAL!B$8:B$1696,A47,GERAL!AD$8:AD$1696)</f>
        <v>0</v>
      </c>
      <c r="AD47" s="121">
        <f>SUMIF(GERAL!B$8:B$1696,A47,GERAL!AI$8:AI$1696)</f>
        <v>0</v>
      </c>
      <c r="AE47" s="121">
        <f>SUMIF(GERAL!B$8:B$1696,A47,GERAL!AV$8:AV$1696)</f>
        <v>63</v>
      </c>
      <c r="AF47" s="492">
        <f t="shared" si="41"/>
        <v>63</v>
      </c>
      <c r="AG47" s="178">
        <f>COUNTIFS(GERAL!B$8:B$1696,A47,GERAL!AW$8:AW$1696,"&gt;0",GERAL!C$8:C$1696,"ESCOLA")</f>
        <v>1</v>
      </c>
      <c r="AH47" s="118">
        <f>COUNTIFS(GERAL!B$8:B$1696,A47,GERAL!AW$8:AW$1696,"&gt;0",GERAL!C$8:C$1696,"ANEXO")</f>
        <v>0</v>
      </c>
      <c r="AI47" s="177">
        <f>SUMIF(GERAL!B$8:B$1696,A47,GERAL!AS$8:AS$1696)+SUMIF(GERAL!B$8:B$1696,A47,GERAL!AT$8:AT$1696)</f>
        <v>16</v>
      </c>
      <c r="AJ47" s="177">
        <f>SUMIF(GERAL!B$8:B$1696,A47,GERAL!AU$8:AU$1696)</f>
        <v>0</v>
      </c>
      <c r="AK47" s="177">
        <f>SUMIF(GERAL!B$8:B$1696,A47,GERAL!AV$8:AV$1696)</f>
        <v>63</v>
      </c>
      <c r="AL47" s="118">
        <f t="shared" si="42"/>
        <v>79</v>
      </c>
      <c r="AM47" s="493" t="s">
        <v>860</v>
      </c>
    </row>
    <row r="48">
      <c r="A48" s="484" t="s">
        <v>4530</v>
      </c>
      <c r="B48" s="75">
        <f>COUNTIFS(GERAL!B$8:B$1696,A48,GERAL!C$8:C$1696,"ESCOLA")</f>
        <v>1</v>
      </c>
      <c r="C48" s="75">
        <f>COUNTIFS(GERAL!B$8:B$1696,A48,GERAL!C$8:C$1696,"ANEXO")</f>
        <v>0</v>
      </c>
      <c r="D48" s="85">
        <f>SUMIF(GERAL!B$8:B$1696,A48,GERAL!Z$8:Z$1696)</f>
        <v>0</v>
      </c>
      <c r="E48" s="85">
        <f>SUMIF(GERAL!B$8:B$1696,A48,GERAL!AE$8:AE$1696)</f>
        <v>0</v>
      </c>
      <c r="F48" s="85">
        <f>SUMIF(GERAL!B$8:B$1696,A48,GERAL!AJ$8:AJ$1696)</f>
        <v>660</v>
      </c>
      <c r="G48" s="85">
        <f>SUMIF(GERAL!B$8:B$1696,A48,GERAL!AN$8:AN$1696)</f>
        <v>0</v>
      </c>
      <c r="H48" s="85">
        <f>SUMIF(GERAL!B$8:B$1696,A48,GERAL!AR$8:AW$1696)</f>
        <v>143</v>
      </c>
      <c r="I48" s="85">
        <f>SUMIF(GERAL!B$8:B$1696,A48,GERAL!AW$8:AW$1696)</f>
        <v>102</v>
      </c>
      <c r="J48" s="75">
        <f>SUMIF(GERAL!B$8:B$1696,A48,GERAL!AX$8:AX$1696)</f>
        <v>905</v>
      </c>
      <c r="K48" s="75">
        <f>COUNTIFS(GERAL!B$8:B$1696,A48,GERAL!AY$8:AY$1696,"&gt;0",GERAL!C$8:C$1696,"ESCOLA")</f>
        <v>1</v>
      </c>
      <c r="L48" s="75">
        <f>COUNTIFS(GERAL!B$8:B$1696,A48,GERAL!AY$8:AY$1696,"&gt;0",GERAL!C$8:C$1696,"ANEXO")</f>
        <v>0</v>
      </c>
      <c r="M48" s="100">
        <f>SUMIF(GERAL!B$8:B$1696,A48,GERAL!V$8:V$1696)+SUMIF(GERAL!B$8:B$1696,A48,GERAL!W$8:W$1696)</f>
        <v>0</v>
      </c>
      <c r="N48" s="100">
        <f>SUMIF(GERAL!B$8:B$1696,A48,GERAL!AA$8:AA$1696)+SUMIF(GERAL!B$8:B$1696,A48,GERAL!AB$8:AB$1696)</f>
        <v>0</v>
      </c>
      <c r="O48" s="100">
        <f>SUMIF(GERAL!B$8:B$1696,A48,GERAL!AF$8:AF$1696)+SUMIF(GERAL!B$8:B$1696,A48,GERAL!AG$8:AG$1696)</f>
        <v>29</v>
      </c>
      <c r="P48" s="100">
        <f>SUMIF(GERAL!B$8:B$1696,A48,GERAL!AK$8:AK$1696)+SUMIF(GERAL!B$8:B$1696,A48,GERAL!AL$8:AL$1696)</f>
        <v>0</v>
      </c>
      <c r="Q48" s="100">
        <f>SUMIF(GERAL!B$8:B$1696,A48,GERAL!AO$8:AO$1696)+SUMIF(GERAL!B$8:B$1696,A48,GERAL!AP$8:AP$1696)</f>
        <v>0</v>
      </c>
      <c r="R48" s="100">
        <f>SUMIF(GERAL!B$8:B$1696,A48,GERAL!AS$8:AS$1696)+SUMIF(GERAL!B$8:B$1696,A48,GERAL!AT$8:AT$1696)</f>
        <v>0</v>
      </c>
      <c r="S48" s="75">
        <f t="shared" si="39"/>
        <v>29</v>
      </c>
      <c r="T48" s="116">
        <f>COUNTIFS(GERAL!B$8:B$1696,A48,GERAL!AZ$8:AZ$1696,"&gt;0",GERAL!C$8:C$1696,"ESCOLA")</f>
        <v>1</v>
      </c>
      <c r="U48" s="75">
        <f>COUNTIFS(GERAL!B$8:B$1696,A48,GERAL!AZ$8:AZ$1696,"&gt;0",GERAL!C$8:C$1696,"ANEXO")</f>
        <v>0</v>
      </c>
      <c r="V48" s="85">
        <f>SUMIF(GERAL!B$8:B$1696,A48,GERAL!AH$8:AH$1696)</f>
        <v>0</v>
      </c>
      <c r="W48" s="85">
        <f>SUMIF(GERAL!B$8:B$1696,A48,GERAL!AM$8:AM$1696)</f>
        <v>0</v>
      </c>
      <c r="X48" s="85">
        <f>SUMIF(GERAL!B$8:B$1696,A48,GERAL!AQ$8:AQ$1696)</f>
        <v>143</v>
      </c>
      <c r="Y48" s="85">
        <f>SUMIF(GERAL!B$8:B$1696,A48,GERAL!AU$8:AU$1696)</f>
        <v>102</v>
      </c>
      <c r="Z48" s="88">
        <f t="shared" si="40"/>
        <v>245</v>
      </c>
      <c r="AA48" s="116">
        <f>COUNTIFS(GERAL!B$8:B$1696,A48,GERAL!BK$8:BK$1696,"&gt;0",GERAL!C$8:C$1696,"ESCOLA")</f>
        <v>1</v>
      </c>
      <c r="AB48" s="88">
        <f>COUNTIFS(GERAL!B$8:B$1696,A48,GERAL!BK$8:BK$1696,"&gt;0",GERAL!C$8:C$1696,"ANEXO")</f>
        <v>0</v>
      </c>
      <c r="AC48" s="121">
        <f>SUMIF(GERAL!B$8:B$1696,A48,GERAL!AD$8:AD$1696)</f>
        <v>0</v>
      </c>
      <c r="AD48" s="121">
        <f>SUMIF(GERAL!B$8:B$1696,A48,GERAL!AI$8:AI$1696)</f>
        <v>631</v>
      </c>
      <c r="AE48" s="121">
        <f>SUMIF(GERAL!B$8:B$1696,A48,GERAL!AV$8:AV$1696)</f>
        <v>0</v>
      </c>
      <c r="AF48" s="492">
        <f t="shared" si="41"/>
        <v>631</v>
      </c>
      <c r="AG48" s="178">
        <f>COUNTIFS(GERAL!B$8:B$1696,A48,GERAL!AW$8:AW$1696,"&gt;0",GERAL!C$8:C$1696,"ESCOLA")</f>
        <v>1</v>
      </c>
      <c r="AH48" s="118">
        <f>COUNTIFS(GERAL!B$8:B$1696,A48,GERAL!AW$8:AW$1696,"&gt;0",GERAL!C$8:C$1696,"ANEXO")</f>
        <v>0</v>
      </c>
      <c r="AI48" s="177">
        <f>SUMIF(GERAL!B$8:B$1696,A48,GERAL!AS$8:AS$1696)+SUMIF(GERAL!B$8:B$1696,A48,GERAL!AT$8:AT$1696)</f>
        <v>0</v>
      </c>
      <c r="AJ48" s="177">
        <f>SUMIF(GERAL!B$8:B$1696,A48,GERAL!AU$8:AU$1696)</f>
        <v>102</v>
      </c>
      <c r="AK48" s="177">
        <f>SUMIF(GERAL!B$8:B$1696,A48,GERAL!AV$8:AV$1696)</f>
        <v>0</v>
      </c>
      <c r="AL48" s="118">
        <f t="shared" si="42"/>
        <v>102</v>
      </c>
      <c r="AM48" s="493" t="s">
        <v>1090</v>
      </c>
    </row>
    <row r="49">
      <c r="A49" s="494" t="s">
        <v>5024</v>
      </c>
      <c r="B49" s="75">
        <f>COUNTIFS(GERAL!B$8:B$1696,A49,GERAL!C$8:C$1696,"ESCOLA")</f>
        <v>5</v>
      </c>
      <c r="C49" s="75">
        <f>COUNTIFS(GERAL!B$8:B$1696,A49,GERAL!C$8:C$1696,"ANEXO")</f>
        <v>9</v>
      </c>
      <c r="D49" s="85">
        <f>SUMIF(GERAL!B$8:B$1696,A49,GERAL!Z$8:Z$1696)</f>
        <v>150</v>
      </c>
      <c r="E49" s="85">
        <f>SUMIF(GERAL!B$8:B$1696,A49,GERAL!AE$8:AE$1696)</f>
        <v>697</v>
      </c>
      <c r="F49" s="85">
        <f>SUMIF(GERAL!B$8:B$1696,A49,GERAL!AJ$8:AJ$1696)</f>
        <v>432</v>
      </c>
      <c r="G49" s="85">
        <f>SUMIF(GERAL!B$8:B$1696,A49,GERAL!AN$8:AN$1696)</f>
        <v>109</v>
      </c>
      <c r="H49" s="85">
        <f>SUMIF(GERAL!B$8:B$1696,A49,GERAL!AR$8:AW$1696)</f>
        <v>153</v>
      </c>
      <c r="I49" s="85">
        <f>SUMIF(GERAL!B$8:B$1696,A49,GERAL!AW$8:AW$1696)</f>
        <v>129</v>
      </c>
      <c r="J49" s="75">
        <f>SUMIF(GERAL!B$8:B$1696,A49,GERAL!AX$8:AX$1696)</f>
        <v>1670</v>
      </c>
      <c r="K49" s="75">
        <f>COUNTIFS(GERAL!B$8:B$1696,A49,GERAL!AY$8:AY$1696,"&gt;0",GERAL!C$8:C$1696,"ESCOLA")</f>
        <v>5</v>
      </c>
      <c r="L49" s="75">
        <f>COUNTIFS(GERAL!B$8:B$1696,A49,GERAL!AY$8:AY$1696,"&gt;0",GERAL!C$8:C$1696,"ANEXO")</f>
        <v>9</v>
      </c>
      <c r="M49" s="100">
        <f>SUMIF(GERAL!B$8:B$1696,A49,GERAL!V$8:V$1696)+SUMIF(GERAL!B$8:B$1696,A49,GERAL!W$8:W$1696)</f>
        <v>150</v>
      </c>
      <c r="N49" s="100">
        <f>SUMIF(GERAL!B$8:B$1696,A49,GERAL!AA$8:AA$1696)+SUMIF(GERAL!B$8:B$1696,A49,GERAL!AB$8:AB$1696)</f>
        <v>697</v>
      </c>
      <c r="O49" s="100">
        <f>SUMIF(GERAL!B$8:B$1696,A49,GERAL!AF$8:AF$1696)+SUMIF(GERAL!B$8:B$1696,A49,GERAL!AG$8:AG$1696)</f>
        <v>373</v>
      </c>
      <c r="P49" s="100">
        <f>SUMIF(GERAL!B$8:B$1696,A49,GERAL!AK$8:AK$1696)+SUMIF(GERAL!B$8:B$1696,A49,GERAL!AL$8:AL$1696)</f>
        <v>0</v>
      </c>
      <c r="Q49" s="100">
        <f>SUMIF(GERAL!B$8:B$1696,A49,GERAL!AO$8:AO$1696)+SUMIF(GERAL!B$8:B$1696,A49,GERAL!AP$8:AP$1696)</f>
        <v>0</v>
      </c>
      <c r="R49" s="100">
        <f>SUMIF(GERAL!B$8:B$1696,A49,GERAL!AS$8:AS$1696)+SUMIF(GERAL!B$8:B$1696,A49,GERAL!AT$8:AT$1696)</f>
        <v>27</v>
      </c>
      <c r="S49" s="75">
        <f t="shared" si="39"/>
        <v>1247</v>
      </c>
      <c r="T49" s="116">
        <f>COUNTIFS(GERAL!B$8:B$1696,A49,GERAL!AZ$8:AZ$1696,"&gt;0",GERAL!C$8:C$1696,"ESCOLA")</f>
        <v>5</v>
      </c>
      <c r="U49" s="75">
        <f>COUNTIFS(GERAL!B$8:B$1696,A49,GERAL!AZ$8:AZ$1696,"&gt;0",GERAL!C$8:C$1696,"ANEXO")</f>
        <v>2</v>
      </c>
      <c r="V49" s="85">
        <f>SUMIF(GERAL!B$8:B$1696,A49,GERAL!AH$8:AH$1696)</f>
        <v>59</v>
      </c>
      <c r="W49" s="85">
        <f>SUMIF(GERAL!B$8:B$1696,A49,GERAL!AM$8:AM$1696)</f>
        <v>109</v>
      </c>
      <c r="X49" s="85">
        <f>SUMIF(GERAL!B$8:B$1696,A49,GERAL!AQ$8:AQ$1696)</f>
        <v>153</v>
      </c>
      <c r="Y49" s="85">
        <f>SUMIF(GERAL!B$8:B$1696,A49,GERAL!AU$8:AU$1696)</f>
        <v>45</v>
      </c>
      <c r="Z49" s="88">
        <f t="shared" si="40"/>
        <v>366</v>
      </c>
      <c r="AA49" s="116">
        <f>COUNTIFS(GERAL!B$8:B$1696,A49,GERAL!BK$8:BK$1696,"&gt;0",GERAL!C$8:C$1696,"ESCOLA")</f>
        <v>1</v>
      </c>
      <c r="AB49" s="88">
        <f>COUNTIFS(GERAL!B$8:B$1696,A49,GERAL!BK$8:BK$1696,"&gt;0",GERAL!C$8:C$1696,"ANEXO")</f>
        <v>0</v>
      </c>
      <c r="AC49" s="121">
        <f>SUMIF(GERAL!B$8:B$1696,A49,GERAL!AD$8:AD$1696)</f>
        <v>0</v>
      </c>
      <c r="AD49" s="121">
        <f>SUMIF(GERAL!B$8:B$1696,A49,GERAL!AI$8:AI$1696)</f>
        <v>0</v>
      </c>
      <c r="AE49" s="121">
        <f>SUMIF(GERAL!B$8:B$1696,A49,GERAL!AV$8:AV$1696)</f>
        <v>57</v>
      </c>
      <c r="AF49" s="492">
        <f t="shared" si="41"/>
        <v>57</v>
      </c>
      <c r="AG49" s="178">
        <f>COUNTIFS(GERAL!B$8:B$1696,A49,GERAL!AW$8:AW$1696,"&gt;0",GERAL!C$8:C$1696,"ESCOLA")</f>
        <v>1</v>
      </c>
      <c r="AH49" s="118">
        <f>COUNTIFS(GERAL!B$8:B$1696,A49,GERAL!AW$8:AW$1696,"&gt;0",GERAL!C$8:C$1696,"ANEXO")</f>
        <v>0</v>
      </c>
      <c r="AI49" s="177">
        <f>SUMIF(GERAL!B$8:B$1696,A49,GERAL!AS$8:AS$1696)+SUMIF(GERAL!B$8:B$1696,A49,GERAL!AT$8:AT$1696)</f>
        <v>27</v>
      </c>
      <c r="AJ49" s="177">
        <f>SUMIF(GERAL!B$8:B$1696,A49,GERAL!AU$8:AU$1696)</f>
        <v>45</v>
      </c>
      <c r="AK49" s="177">
        <f>SUMIF(GERAL!B$8:B$1696,A49,GERAL!AV$8:AV$1696)</f>
        <v>57</v>
      </c>
      <c r="AL49" s="118">
        <f t="shared" si="42"/>
        <v>129</v>
      </c>
      <c r="AM49" s="493" t="s">
        <v>1224</v>
      </c>
    </row>
    <row r="50">
      <c r="A50" s="484" t="s">
        <v>426</v>
      </c>
      <c r="B50" s="75">
        <f>COUNTIFS(GERAL!B$8:B$1696,A50,GERAL!C$8:C$1696,"ESCOLA")</f>
        <v>3</v>
      </c>
      <c r="C50" s="75">
        <f>COUNTIFS(GERAL!B$8:B$1696,A50,GERAL!C$8:C$1696,"ANEXO")</f>
        <v>12</v>
      </c>
      <c r="D50" s="85">
        <f>SUMIF(GERAL!B$8:B$1696,A50,GERAL!Z$8:Z$1696)</f>
        <v>0</v>
      </c>
      <c r="E50" s="85">
        <f>SUMIF(GERAL!B$8:B$1696,A50,GERAL!AE$8:AE$1696)</f>
        <v>0</v>
      </c>
      <c r="F50" s="85">
        <f>SUMIF(GERAL!B$8:B$1696,A50,GERAL!AJ$8:AJ$1696)</f>
        <v>1905</v>
      </c>
      <c r="G50" s="85">
        <f>SUMIF(GERAL!B$8:B$1696,A50,GERAL!AN$8:AN$1696)</f>
        <v>0</v>
      </c>
      <c r="H50" s="85">
        <f>SUMIF(GERAL!B$8:B$1696,A50,GERAL!AR$8:AW$1696)</f>
        <v>126</v>
      </c>
      <c r="I50" s="85">
        <f>SUMIF(GERAL!B$8:B$1696,A50,GERAL!AW$8:AW$1696)</f>
        <v>318</v>
      </c>
      <c r="J50" s="75">
        <f>SUMIF(GERAL!B$8:B$1696,A50,GERAL!AX$8:AX$1696)</f>
        <v>2349</v>
      </c>
      <c r="K50" s="75">
        <f>COUNTIFS(GERAL!B$8:B$1696,A50,GERAL!AY$8:AY$1696,"&gt;0",GERAL!C$8:C$1696,"ESCOLA")</f>
        <v>2</v>
      </c>
      <c r="L50" s="75">
        <f>COUNTIFS(GERAL!B$8:B$1696,A50,GERAL!AY$8:AY$1696,"&gt;0",GERAL!C$8:C$1696,"ANEXO")</f>
        <v>12</v>
      </c>
      <c r="M50" s="100">
        <f>SUMIF(GERAL!B$8:B$1696,A50,GERAL!V$8:V$1696)+SUMIF(GERAL!B$8:B$1696,A50,GERAL!W$8:W$1696)</f>
        <v>0</v>
      </c>
      <c r="N50" s="100">
        <f>SUMIF(GERAL!B$8:B$1696,A50,GERAL!AA$8:AA$1696)+SUMIF(GERAL!B$8:B$1696,A50,GERAL!AB$8:AB$1696)</f>
        <v>0</v>
      </c>
      <c r="O50" s="100">
        <f>SUMIF(GERAL!B$8:B$1696,A50,GERAL!AF$8:AF$1696)+SUMIF(GERAL!B$8:B$1696,A50,GERAL!AG$8:AG$1696)</f>
        <v>1467</v>
      </c>
      <c r="P50" s="100">
        <f>SUMIF(GERAL!B$8:B$1696,A50,GERAL!AK$8:AK$1696)+SUMIF(GERAL!B$8:B$1696,A50,GERAL!AL$8:AL$1696)</f>
        <v>0</v>
      </c>
      <c r="Q50" s="100">
        <f>SUMIF(GERAL!B$8:B$1696,A50,GERAL!AO$8:AO$1696)+SUMIF(GERAL!B$8:B$1696,A50,GERAL!AP$8:AP$1696)</f>
        <v>0</v>
      </c>
      <c r="R50" s="100">
        <f>SUMIF(GERAL!B$8:B$1696,A50,GERAL!AS$8:AS$1696)+SUMIF(GERAL!B$8:B$1696,A50,GERAL!AT$8:AT$1696)</f>
        <v>0</v>
      </c>
      <c r="S50" s="75">
        <f t="shared" si="39"/>
        <v>1467</v>
      </c>
      <c r="T50" s="116">
        <f>COUNTIFS(GERAL!B$8:B$1696,A50,GERAL!AZ$8:AZ$1696,"&gt;0",GERAL!C$8:C$1696,"ESCOLA")</f>
        <v>2</v>
      </c>
      <c r="U50" s="75">
        <f>COUNTIFS(GERAL!B$8:B$1696,A50,GERAL!AZ$8:AZ$1696,"&gt;0",GERAL!C$8:C$1696,"ANEXO")</f>
        <v>8</v>
      </c>
      <c r="V50" s="85">
        <f>SUMIF(GERAL!B$8:B$1696,A50,GERAL!AH$8:AH$1696)</f>
        <v>238</v>
      </c>
      <c r="W50" s="85">
        <f>SUMIF(GERAL!B$8:B$1696,A50,GERAL!AM$8:AM$1696)</f>
        <v>0</v>
      </c>
      <c r="X50" s="85">
        <f>SUMIF(GERAL!B$8:B$1696,A50,GERAL!AQ$8:AQ$1696)</f>
        <v>126</v>
      </c>
      <c r="Y50" s="85">
        <f>SUMIF(GERAL!B$8:B$1696,A50,GERAL!AU$8:AU$1696)</f>
        <v>95</v>
      </c>
      <c r="Z50" s="88">
        <f t="shared" si="40"/>
        <v>459</v>
      </c>
      <c r="AA50" s="116">
        <f>COUNTIFS(GERAL!B$8:B$1696,A50,GERAL!BK$8:BK$1696,"&gt;0",GERAL!C$8:C$1696,"ESCOLA")</f>
        <v>2</v>
      </c>
      <c r="AB50" s="88">
        <f>COUNTIFS(GERAL!B$8:B$1696,A50,GERAL!BK$8:BK$1696,"&gt;0",GERAL!C$8:C$1696,"ANEXO")</f>
        <v>0</v>
      </c>
      <c r="AC50" s="121">
        <f>SUMIF(GERAL!B$8:B$1696,A50,GERAL!AD$8:AD$1696)</f>
        <v>0</v>
      </c>
      <c r="AD50" s="121">
        <f>SUMIF(GERAL!B$8:B$1696,A50,GERAL!AI$8:AI$1696)</f>
        <v>200</v>
      </c>
      <c r="AE50" s="121">
        <f>SUMIF(GERAL!B$8:B$1696,A50,GERAL!AV$8:AV$1696)</f>
        <v>223</v>
      </c>
      <c r="AF50" s="492">
        <f t="shared" si="41"/>
        <v>423</v>
      </c>
      <c r="AG50" s="178">
        <f>COUNTIFS(GERAL!B$8:B$1696,A50,GERAL!AW$8:AW$1696,"&gt;0",GERAL!C$8:C$1696,"ESCOLA")</f>
        <v>1</v>
      </c>
      <c r="AH50" s="118">
        <f>COUNTIFS(GERAL!B$8:B$1696,A50,GERAL!AW$8:AW$1696,"&gt;0",GERAL!C$8:C$1696,"ANEXO")</f>
        <v>0</v>
      </c>
      <c r="AI50" s="177">
        <f>SUMIF(GERAL!B$8:B$1696,A50,GERAL!AS$8:AS$1696)+SUMIF(GERAL!B$8:B$1696,A50,GERAL!AT$8:AT$1696)</f>
        <v>0</v>
      </c>
      <c r="AJ50" s="177">
        <f>SUMIF(GERAL!B$8:B$1696,A50,GERAL!AU$8:AU$1696)</f>
        <v>95</v>
      </c>
      <c r="AK50" s="177">
        <f>SUMIF(GERAL!B$8:B$1696,A50,GERAL!AV$8:AV$1696)</f>
        <v>223</v>
      </c>
      <c r="AL50" s="118">
        <f t="shared" si="42"/>
        <v>318</v>
      </c>
      <c r="AM50" s="493" t="s">
        <v>205</v>
      </c>
    </row>
    <row r="51">
      <c r="A51" s="494" t="s">
        <v>795</v>
      </c>
      <c r="B51" s="75">
        <f>COUNTIFS(GERAL!B$8:B$1696,A51,GERAL!C$8:C$1696,"ESCOLA")</f>
        <v>1</v>
      </c>
      <c r="C51" s="75">
        <f>COUNTIFS(GERAL!B$8:B$1696,A51,GERAL!C$8:C$1696,"ANEXO")</f>
        <v>2</v>
      </c>
      <c r="D51" s="85">
        <f>SUMIF(GERAL!B$8:B$1696,A51,GERAL!Z$8:Z$1696)</f>
        <v>0</v>
      </c>
      <c r="E51" s="85">
        <f>SUMIF(GERAL!B$8:B$1696,A51,GERAL!AE$8:AE$1696)</f>
        <v>0</v>
      </c>
      <c r="F51" s="85">
        <f>SUMIF(GERAL!B$8:B$1696,A51,GERAL!AJ$8:AJ$1696)</f>
        <v>634</v>
      </c>
      <c r="G51" s="85">
        <f>SUMIF(GERAL!B$8:B$1696,A51,GERAL!AN$8:AN$1696)</f>
        <v>0</v>
      </c>
      <c r="H51" s="85">
        <f>SUMIF(GERAL!B$8:B$1696,A51,GERAL!AR$8:AW$1696)</f>
        <v>237</v>
      </c>
      <c r="I51" s="85">
        <f>SUMIF(GERAL!B$8:B$1696,A51,GERAL!AW$8:AW$1696)</f>
        <v>297</v>
      </c>
      <c r="J51" s="75">
        <f>SUMIF(GERAL!B$8:B$1696,A51,GERAL!AX$8:AX$1696)</f>
        <v>1168</v>
      </c>
      <c r="K51" s="75">
        <f>COUNTIFS(GERAL!B$8:B$1696,A51,GERAL!AY$8:AY$1696,"&gt;0",GERAL!C$8:C$1696,"ESCOLA")</f>
        <v>1</v>
      </c>
      <c r="L51" s="75">
        <f>COUNTIFS(GERAL!B$8:B$1696,A51,GERAL!AY$8:AY$1696,"&gt;0",GERAL!C$8:C$1696,"ANEXO")</f>
        <v>1</v>
      </c>
      <c r="M51" s="100">
        <f>SUMIF(GERAL!B$8:B$1696,A51,GERAL!V$8:V$1696)+SUMIF(GERAL!B$8:B$1696,A51,GERAL!W$8:W$1696)</f>
        <v>0</v>
      </c>
      <c r="N51" s="100">
        <f>SUMIF(GERAL!B$8:B$1696,A51,GERAL!AA$8:AA$1696)+SUMIF(GERAL!B$8:B$1696,A51,GERAL!AB$8:AB$1696)</f>
        <v>0</v>
      </c>
      <c r="O51" s="100">
        <f>SUMIF(GERAL!B$8:B$1696,A51,GERAL!AF$8:AF$1696)+SUMIF(GERAL!B$8:B$1696,A51,GERAL!AG$8:AG$1696)</f>
        <v>276</v>
      </c>
      <c r="P51" s="100">
        <f>SUMIF(GERAL!B$8:B$1696,A51,GERAL!AK$8:AK$1696)+SUMIF(GERAL!B$8:B$1696,A51,GERAL!AL$8:AL$1696)</f>
        <v>0</v>
      </c>
      <c r="Q51" s="100">
        <f>SUMIF(GERAL!B$8:B$1696,A51,GERAL!AO$8:AO$1696)+SUMIF(GERAL!B$8:B$1696,A51,GERAL!AP$8:AP$1696)</f>
        <v>0</v>
      </c>
      <c r="R51" s="100">
        <f>SUMIF(GERAL!B$8:B$1696,A51,GERAL!AS$8:AS$1696)+SUMIF(GERAL!B$8:B$1696,A51,GERAL!AT$8:AT$1696)</f>
        <v>63</v>
      </c>
      <c r="S51" s="75">
        <f t="shared" si="39"/>
        <v>339</v>
      </c>
      <c r="T51" s="116">
        <f>COUNTIFS(GERAL!B$8:B$1696,A51,GERAL!AZ$8:AZ$1696,"&gt;0",GERAL!C$8:C$1696,"ESCOLA")</f>
        <v>1</v>
      </c>
      <c r="U51" s="75">
        <f>COUNTIFS(GERAL!B$8:B$1696,A51,GERAL!AZ$8:AZ$1696,"&gt;0",GERAL!C$8:C$1696,"ANEXO")</f>
        <v>1</v>
      </c>
      <c r="V51" s="85">
        <f>SUMIF(GERAL!B$8:B$1696,A51,GERAL!AH$8:AH$1696)</f>
        <v>8</v>
      </c>
      <c r="W51" s="85">
        <f>SUMIF(GERAL!B$8:B$1696,A51,GERAL!AM$8:AM$1696)</f>
        <v>0</v>
      </c>
      <c r="X51" s="85">
        <f>SUMIF(GERAL!B$8:B$1696,A51,GERAL!AQ$8:AQ$1696)</f>
        <v>237</v>
      </c>
      <c r="Y51" s="85">
        <f>SUMIF(GERAL!B$8:B$1696,A51,GERAL!AU$8:AU$1696)</f>
        <v>133</v>
      </c>
      <c r="Z51" s="88">
        <f t="shared" si="40"/>
        <v>378</v>
      </c>
      <c r="AA51" s="116">
        <f>COUNTIFS(GERAL!B$8:B$1696,A51,GERAL!BK$8:BK$1696,"&gt;0",GERAL!C$8:C$1696,"ESCOLA")</f>
        <v>1</v>
      </c>
      <c r="AB51" s="88">
        <f>COUNTIFS(GERAL!B$8:B$1696,A51,GERAL!BK$8:BK$1696,"&gt;0",GERAL!C$8:C$1696,"ANEXO")</f>
        <v>0</v>
      </c>
      <c r="AC51" s="121">
        <f>SUMIF(GERAL!B$8:B$1696,A51,GERAL!AD$8:AD$1696)</f>
        <v>0</v>
      </c>
      <c r="AD51" s="121">
        <f>SUMIF(GERAL!B$8:B$1696,A51,GERAL!AI$8:AI$1696)</f>
        <v>350</v>
      </c>
      <c r="AE51" s="121">
        <f>SUMIF(GERAL!B$8:B$1696,A51,GERAL!AV$8:AV$1696)</f>
        <v>101</v>
      </c>
      <c r="AF51" s="492">
        <f t="shared" si="41"/>
        <v>451</v>
      </c>
      <c r="AG51" s="178">
        <f>COUNTIFS(GERAL!B$8:B$1696,A51,GERAL!AW$8:AW$1696,"&gt;0",GERAL!C$8:C$1696,"ESCOLA")</f>
        <v>1</v>
      </c>
      <c r="AH51" s="118">
        <f>COUNTIFS(GERAL!B$8:B$1696,A51,GERAL!AW$8:AW$1696,"&gt;0",GERAL!C$8:C$1696,"ANEXO")</f>
        <v>0</v>
      </c>
      <c r="AI51" s="177">
        <f>SUMIF(GERAL!B$8:B$1696,A51,GERAL!AS$8:AS$1696)+SUMIF(GERAL!B$8:B$1696,A51,GERAL!AT$8:AT$1696)</f>
        <v>63</v>
      </c>
      <c r="AJ51" s="177">
        <f>SUMIF(GERAL!B$8:B$1696,A51,GERAL!AU$8:AU$1696)</f>
        <v>133</v>
      </c>
      <c r="AK51" s="177">
        <f>SUMIF(GERAL!B$8:B$1696,A51,GERAL!AV$8:AV$1696)</f>
        <v>101</v>
      </c>
      <c r="AL51" s="118">
        <f t="shared" si="42"/>
        <v>297</v>
      </c>
      <c r="AM51" s="493" t="s">
        <v>285</v>
      </c>
    </row>
    <row r="52">
      <c r="A52" s="484" t="s">
        <v>6120</v>
      </c>
      <c r="B52" s="75">
        <f>COUNTIFS(GERAL!B$8:B$1696,A52,GERAL!C$8:C$1696,"ESCOLA")</f>
        <v>3</v>
      </c>
      <c r="C52" s="75">
        <f>COUNTIFS(GERAL!B$8:B$1696,A52,GERAL!C$8:C$1696,"ANEXO")</f>
        <v>2</v>
      </c>
      <c r="D52" s="85">
        <f>SUMIF(GERAL!B$8:B$1696,A52,GERAL!Z$8:Z$1696)</f>
        <v>0</v>
      </c>
      <c r="E52" s="85">
        <f>SUMIF(GERAL!B$8:B$1696,A52,GERAL!AE$8:AE$1696)</f>
        <v>0</v>
      </c>
      <c r="F52" s="85">
        <f>SUMIF(GERAL!B$8:B$1696,A52,GERAL!AJ$8:AJ$1696)</f>
        <v>911</v>
      </c>
      <c r="G52" s="85">
        <f>SUMIF(GERAL!B$8:B$1696,A52,GERAL!AN$8:AN$1696)</f>
        <v>0</v>
      </c>
      <c r="H52" s="85">
        <f>SUMIF(GERAL!B$8:B$1696,A52,GERAL!AR$8:AW$1696)</f>
        <v>330</v>
      </c>
      <c r="I52" s="85">
        <f>SUMIF(GERAL!B$8:B$1696,A52,GERAL!AW$8:AW$1696)</f>
        <v>175</v>
      </c>
      <c r="J52" s="75">
        <f>SUMIF(GERAL!B$8:B$1696,A52,GERAL!AX$8:AX$1696)</f>
        <v>1416</v>
      </c>
      <c r="K52" s="75">
        <f>COUNTIFS(GERAL!B$8:B$1696,A52,GERAL!AY$8:AY$1696,"&gt;0",GERAL!C$8:C$1696,"ESCOLA")</f>
        <v>3</v>
      </c>
      <c r="L52" s="75">
        <f>COUNTIFS(GERAL!B$8:B$1696,A52,GERAL!AY$8:AY$1696,"&gt;0",GERAL!C$8:C$1696,"ANEXO")</f>
        <v>1</v>
      </c>
      <c r="M52" s="100">
        <f>SUMIF(GERAL!B$8:B$1696,A52,GERAL!V$8:V$1696)+SUMIF(GERAL!B$8:B$1696,A52,GERAL!W$8:W$1696)</f>
        <v>0</v>
      </c>
      <c r="N52" s="100">
        <f>SUMIF(GERAL!B$8:B$1696,A52,GERAL!AA$8:AA$1696)+SUMIF(GERAL!B$8:B$1696,A52,GERAL!AB$8:AB$1696)</f>
        <v>0</v>
      </c>
      <c r="O52" s="100">
        <f>SUMIF(GERAL!B$8:B$1696,A52,GERAL!AF$8:AF$1696)+SUMIF(GERAL!B$8:B$1696,A52,GERAL!AG$8:AG$1696)</f>
        <v>145</v>
      </c>
      <c r="P52" s="100">
        <f>SUMIF(GERAL!B$8:B$1696,A52,GERAL!AK$8:AK$1696)+SUMIF(GERAL!B$8:B$1696,A52,GERAL!AL$8:AL$1696)</f>
        <v>0</v>
      </c>
      <c r="Q52" s="100">
        <f>SUMIF(GERAL!B$8:B$1696,A52,GERAL!AO$8:AO$1696)+SUMIF(GERAL!B$8:B$1696,A52,GERAL!AP$8:AP$1696)</f>
        <v>0</v>
      </c>
      <c r="R52" s="100">
        <f>SUMIF(GERAL!B$8:B$1696,A52,GERAL!AS$8:AS$1696)+SUMIF(GERAL!B$8:B$1696,A52,GERAL!AT$8:AT$1696)</f>
        <v>0</v>
      </c>
      <c r="S52" s="75">
        <f t="shared" si="39"/>
        <v>145</v>
      </c>
      <c r="T52" s="116">
        <f>COUNTIFS(GERAL!B$8:B$1696,A52,GERAL!AZ$8:AZ$1696,"&gt;0",GERAL!C$8:C$1696,"ESCOLA")</f>
        <v>3</v>
      </c>
      <c r="U52" s="75">
        <f>COUNTIFS(GERAL!B$8:B$1696,A52,GERAL!AZ$8:AZ$1696,"&gt;0",GERAL!C$8:C$1696,"ANEXO")</f>
        <v>2</v>
      </c>
      <c r="V52" s="85">
        <f>SUMIF(GERAL!B$8:B$1696,A52,GERAL!AH$8:AH$1696)</f>
        <v>38</v>
      </c>
      <c r="W52" s="85">
        <f>SUMIF(GERAL!B$8:B$1696,A52,GERAL!AM$8:AM$1696)</f>
        <v>0</v>
      </c>
      <c r="X52" s="85">
        <f>SUMIF(GERAL!B$8:B$1696,A52,GERAL!AQ$8:AQ$1696)</f>
        <v>330</v>
      </c>
      <c r="Y52" s="85">
        <f>SUMIF(GERAL!B$8:B$1696,A52,GERAL!AU$8:AU$1696)</f>
        <v>53</v>
      </c>
      <c r="Z52" s="88">
        <f t="shared" si="40"/>
        <v>421</v>
      </c>
      <c r="AA52" s="116">
        <f>COUNTIFS(GERAL!B$8:B$1696,A52,GERAL!BK$8:BK$1696,"&gt;0",GERAL!C$8:C$1696,"ESCOLA")</f>
        <v>3</v>
      </c>
      <c r="AB52" s="88">
        <f>COUNTIFS(GERAL!B$8:B$1696,A52,GERAL!BK$8:BK$1696,"&gt;0",GERAL!C$8:C$1696,"ANEXO")</f>
        <v>1</v>
      </c>
      <c r="AC52" s="121">
        <f>SUMIF(GERAL!B$8:B$1696,A52,GERAL!AD$8:AD$1696)</f>
        <v>0</v>
      </c>
      <c r="AD52" s="121">
        <f>SUMIF(GERAL!B$8:B$1696,A52,GERAL!AI$8:AI$1696)</f>
        <v>728</v>
      </c>
      <c r="AE52" s="121">
        <f>SUMIF(GERAL!B$8:B$1696,A52,GERAL!AV$8:AV$1696)</f>
        <v>122</v>
      </c>
      <c r="AF52" s="492">
        <f t="shared" si="41"/>
        <v>850</v>
      </c>
      <c r="AG52" s="178">
        <f>COUNTIFS(GERAL!B$8:B$1696,A52,GERAL!AW$8:AW$1696,"&gt;0",GERAL!C$8:C$1696,"ESCOLA")</f>
        <v>3</v>
      </c>
      <c r="AH52" s="118">
        <f>COUNTIFS(GERAL!B$8:B$1696,A52,GERAL!AW$8:AW$1696,"&gt;0",GERAL!C$8:C$1696,"ANEXO")</f>
        <v>1</v>
      </c>
      <c r="AI52" s="177">
        <f>SUMIF(GERAL!B$8:B$1696,A52,GERAL!AS$8:AS$1696)+SUMIF(GERAL!B$8:B$1696,A52,GERAL!AT$8:AT$1696)</f>
        <v>0</v>
      </c>
      <c r="AJ52" s="177">
        <f>SUMIF(GERAL!B$8:B$1696,A52,GERAL!AU$8:AU$1696)</f>
        <v>53</v>
      </c>
      <c r="AK52" s="177">
        <f>SUMIF(GERAL!B$8:B$1696,A52,GERAL!AV$8:AV$1696)</f>
        <v>122</v>
      </c>
      <c r="AL52" s="118">
        <f t="shared" si="42"/>
        <v>175</v>
      </c>
      <c r="AM52" s="493" t="s">
        <v>1393</v>
      </c>
    </row>
    <row r="53">
      <c r="A53" s="494" t="s">
        <v>172</v>
      </c>
      <c r="B53" s="75">
        <f>COUNTIFS(GERAL!B$8:B$1696,A53,GERAL!C$8:C$1696,"ESCOLA")</f>
        <v>1</v>
      </c>
      <c r="C53" s="75">
        <f>COUNTIFS(GERAL!B$8:B$1696,A53,GERAL!C$8:C$1696,"ANEXO")</f>
        <v>3</v>
      </c>
      <c r="D53" s="85">
        <f>SUMIF(GERAL!B$8:B$1696,A53,GERAL!Z$8:Z$1696)</f>
        <v>0</v>
      </c>
      <c r="E53" s="85">
        <f>SUMIF(GERAL!B$8:B$1696,A53,GERAL!AE$8:AE$1696)</f>
        <v>0</v>
      </c>
      <c r="F53" s="85">
        <f>SUMIF(GERAL!B$8:B$1696,A53,GERAL!AJ$8:AJ$1696)</f>
        <v>487</v>
      </c>
      <c r="G53" s="85">
        <f>SUMIF(GERAL!B$8:B$1696,A53,GERAL!AN$8:AN$1696)</f>
        <v>0</v>
      </c>
      <c r="H53" s="85">
        <f>SUMIF(GERAL!B$8:B$1696,A53,GERAL!AR$8:AW$1696)</f>
        <v>40</v>
      </c>
      <c r="I53" s="85">
        <f>SUMIF(GERAL!B$8:B$1696,A53,GERAL!AW$8:AW$1696)</f>
        <v>118</v>
      </c>
      <c r="J53" s="75">
        <f>SUMIF(GERAL!B$8:B$1696,A53,GERAL!AX$8:AX$1696)</f>
        <v>645</v>
      </c>
      <c r="K53" s="75">
        <f>COUNTIFS(GERAL!B$8:B$1696,A53,GERAL!AY$8:AY$1696,"&gt;0",GERAL!C$8:C$1696,"ESCOLA")</f>
        <v>1</v>
      </c>
      <c r="L53" s="75">
        <f>COUNTIFS(GERAL!B$8:B$1696,A53,GERAL!AY$8:AY$1696,"&gt;0",GERAL!C$8:C$1696,"ANEXO")</f>
        <v>2</v>
      </c>
      <c r="M53" s="100">
        <f>SUMIF(GERAL!B$8:B$1696,A53,GERAL!V$8:V$1696)+SUMIF(GERAL!B$8:B$1696,A53,GERAL!W$8:W$1696)</f>
        <v>0</v>
      </c>
      <c r="N53" s="100">
        <f>SUMIF(GERAL!B$8:B$1696,A53,GERAL!AA$8:AA$1696)+SUMIF(GERAL!B$8:B$1696,A53,GERAL!AB$8:AB$1696)</f>
        <v>0</v>
      </c>
      <c r="O53" s="100">
        <f>SUMIF(GERAL!B$8:B$1696,A53,GERAL!AF$8:AF$1696)+SUMIF(GERAL!B$8:B$1696,A53,GERAL!AG$8:AG$1696)</f>
        <v>221</v>
      </c>
      <c r="P53" s="100">
        <f>SUMIF(GERAL!B$8:B$1696,A53,GERAL!AK$8:AK$1696)+SUMIF(GERAL!B$8:B$1696,A53,GERAL!AL$8:AL$1696)</f>
        <v>0</v>
      </c>
      <c r="Q53" s="100">
        <f>SUMIF(GERAL!B$8:B$1696,A53,GERAL!AO$8:AO$1696)+SUMIF(GERAL!B$8:B$1696,A53,GERAL!AP$8:AP$1696)</f>
        <v>0</v>
      </c>
      <c r="R53" s="100">
        <f>SUMIF(GERAL!B$8:B$1696,A53,GERAL!AS$8:AS$1696)+SUMIF(GERAL!B$8:B$1696,A53,GERAL!AT$8:AT$1696)</f>
        <v>0</v>
      </c>
      <c r="S53" s="75">
        <f t="shared" si="39"/>
        <v>221</v>
      </c>
      <c r="T53" s="116">
        <f>COUNTIFS(GERAL!B$8:B$1696,A53,GERAL!AZ$8:AZ$1696,"&gt;0",GERAL!C$8:C$1696,"ESCOLA")</f>
        <v>1</v>
      </c>
      <c r="U53" s="75">
        <f>COUNTIFS(GERAL!B$8:B$1696,A53,GERAL!AZ$8:AZ$1696,"&gt;0",GERAL!C$8:C$1696,"ANEXO")</f>
        <v>2</v>
      </c>
      <c r="V53" s="85">
        <f>SUMIF(GERAL!B$8:B$1696,A53,GERAL!AH$8:AH$1696)</f>
        <v>139</v>
      </c>
      <c r="W53" s="85">
        <f>SUMIF(GERAL!B$8:B$1696,A53,GERAL!AM$8:AM$1696)</f>
        <v>0</v>
      </c>
      <c r="X53" s="85">
        <f>SUMIF(GERAL!B$8:B$1696,A53,GERAL!AQ$8:AQ$1696)</f>
        <v>40</v>
      </c>
      <c r="Y53" s="85">
        <f>SUMIF(GERAL!B$8:B$1696,A53,GERAL!AU$8:AU$1696)</f>
        <v>0</v>
      </c>
      <c r="Z53" s="88">
        <f t="shared" si="40"/>
        <v>179</v>
      </c>
      <c r="AA53" s="116">
        <f>COUNTIFS(GERAL!B$8:B$1696,A53,GERAL!BK$8:BK$1696,"&gt;0",GERAL!C$8:C$1696,"ESCOLA")</f>
        <v>1</v>
      </c>
      <c r="AB53" s="88">
        <f>COUNTIFS(GERAL!B$8:B$1696,A53,GERAL!BK$8:BK$1696,"&gt;0",GERAL!C$8:C$1696,"ANEXO")</f>
        <v>0</v>
      </c>
      <c r="AC53" s="121">
        <f>SUMIF(GERAL!B$8:B$1696,A53,GERAL!AD$8:AD$1696)</f>
        <v>0</v>
      </c>
      <c r="AD53" s="121">
        <f>SUMIF(GERAL!B$8:B$1696,A53,GERAL!AI$8:AI$1696)</f>
        <v>127</v>
      </c>
      <c r="AE53" s="121">
        <f>SUMIF(GERAL!B$8:B$1696,A53,GERAL!AV$8:AV$1696)</f>
        <v>118</v>
      </c>
      <c r="AF53" s="492">
        <f t="shared" si="41"/>
        <v>245</v>
      </c>
      <c r="AG53" s="178">
        <f>COUNTIFS(GERAL!B$8:B$1696,A53,GERAL!AW$8:AW$1696,"&gt;0",GERAL!C$8:C$1696,"ESCOLA")</f>
        <v>1</v>
      </c>
      <c r="AH53" s="118">
        <f>COUNTIFS(GERAL!B$8:B$1696,A53,GERAL!AW$8:AW$1696,"&gt;0",GERAL!C$8:C$1696,"ANEXO")</f>
        <v>0</v>
      </c>
      <c r="AI53" s="177">
        <f>SUMIF(GERAL!B$8:B$1696,A53,GERAL!AS$8:AS$1696)+SUMIF(GERAL!B$8:B$1696,A53,GERAL!AT$8:AT$1696)</f>
        <v>0</v>
      </c>
      <c r="AJ53" s="177">
        <f>SUMIF(GERAL!B$8:B$1696,A53,GERAL!AU$8:AU$1696)</f>
        <v>0</v>
      </c>
      <c r="AK53" s="177">
        <f>SUMIF(GERAL!B$8:B$1696,A53,GERAL!AV$8:AV$1696)</f>
        <v>118</v>
      </c>
      <c r="AL53" s="118">
        <f t="shared" si="42"/>
        <v>118</v>
      </c>
      <c r="AM53" s="493" t="s">
        <v>130</v>
      </c>
    </row>
    <row r="54">
      <c r="A54" s="484" t="s">
        <v>6833</v>
      </c>
      <c r="B54" s="75">
        <f>COUNTIFS(GERAL!B$8:B$1696,A54,GERAL!C$8:C$1696,"ESCOLA")</f>
        <v>1</v>
      </c>
      <c r="C54" s="75">
        <f>COUNTIFS(GERAL!B$8:B$1696,A54,GERAL!C$8:C$1696,"ANEXO")</f>
        <v>0</v>
      </c>
      <c r="D54" s="85">
        <f>SUMIF(GERAL!B$8:B$1696,A54,GERAL!Z$8:Z$1696)</f>
        <v>0</v>
      </c>
      <c r="E54" s="85">
        <f>SUMIF(GERAL!B$8:B$1696,A54,GERAL!AE$8:AE$1696)</f>
        <v>0</v>
      </c>
      <c r="F54" s="85">
        <f>SUMIF(GERAL!B$8:B$1696,A54,GERAL!AJ$8:AJ$1696)</f>
        <v>111</v>
      </c>
      <c r="G54" s="85">
        <f>SUMIF(GERAL!B$8:B$1696,A54,GERAL!AN$8:AN$1696)</f>
        <v>0</v>
      </c>
      <c r="H54" s="85">
        <f>SUMIF(GERAL!B$8:B$1696,A54,GERAL!AR$8:AW$1696)</f>
        <v>61</v>
      </c>
      <c r="I54" s="85">
        <f>SUMIF(GERAL!B$8:B$1696,A54,GERAL!AW$8:AW$1696)</f>
        <v>34</v>
      </c>
      <c r="J54" s="75">
        <f>SUMIF(GERAL!B$8:B$1696,A54,GERAL!AX$8:AX$1696)</f>
        <v>206</v>
      </c>
      <c r="K54" s="75">
        <f>COUNTIFS(GERAL!B$8:B$1696,A54,GERAL!AY$8:AY$1696,"&gt;0",GERAL!C$8:C$1696,"ESCOLA")</f>
        <v>1</v>
      </c>
      <c r="L54" s="75">
        <f>COUNTIFS(GERAL!B$8:B$1696,A54,GERAL!AY$8:AY$1696,"&gt;0",GERAL!C$8:C$1696,"ANEXO")</f>
        <v>0</v>
      </c>
      <c r="M54" s="100">
        <f>SUMIF(GERAL!B$8:B$1696,A54,GERAL!V$8:V$1696)+SUMIF(GERAL!B$8:B$1696,A54,GERAL!W$8:W$1696)</f>
        <v>0</v>
      </c>
      <c r="N54" s="100">
        <f>SUMIF(GERAL!B$8:B$1696,A54,GERAL!AA$8:AA$1696)+SUMIF(GERAL!B$8:B$1696,A54,GERAL!AB$8:AB$1696)</f>
        <v>0</v>
      </c>
      <c r="O54" s="100">
        <f>SUMIF(GERAL!B$8:B$1696,A54,GERAL!AF$8:AF$1696)+SUMIF(GERAL!B$8:B$1696,A54,GERAL!AG$8:AG$1696)</f>
        <v>0</v>
      </c>
      <c r="P54" s="100">
        <f>SUMIF(GERAL!B$8:B$1696,A54,GERAL!AK$8:AK$1696)+SUMIF(GERAL!B$8:B$1696,A54,GERAL!AL$8:AL$1696)</f>
        <v>0</v>
      </c>
      <c r="Q54" s="100">
        <f>SUMIF(GERAL!B$8:B$1696,A54,GERAL!AO$8:AO$1696)+SUMIF(GERAL!B$8:B$1696,A54,GERAL!AP$8:AP$1696)</f>
        <v>0</v>
      </c>
      <c r="R54" s="100">
        <f>SUMIF(GERAL!B$8:B$1696,A54,GERAL!AS$8:AS$1696)+SUMIF(GERAL!B$8:B$1696,A54,GERAL!AT$8:AT$1696)</f>
        <v>0</v>
      </c>
      <c r="S54" s="75">
        <f t="shared" si="39"/>
        <v>0</v>
      </c>
      <c r="T54" s="116">
        <f>COUNTIFS(GERAL!B$8:B$1696,A54,GERAL!AZ$8:AZ$1696,"&gt;0",GERAL!C$8:C$1696,"ESCOLA")</f>
        <v>1</v>
      </c>
      <c r="U54" s="75">
        <f>COUNTIFS(GERAL!B$8:B$1696,A54,GERAL!AZ$8:AZ$1696,"&gt;0",GERAL!C$8:C$1696,"ANEXO")</f>
        <v>0</v>
      </c>
      <c r="V54" s="85">
        <f>SUMIF(GERAL!B$8:B$1696,A54,GERAL!AH$8:AH$1696)</f>
        <v>0</v>
      </c>
      <c r="W54" s="85">
        <f>SUMIF(GERAL!B$8:B$1696,A54,GERAL!AM$8:AM$1696)</f>
        <v>0</v>
      </c>
      <c r="X54" s="85">
        <f>SUMIF(GERAL!B$8:B$1696,A54,GERAL!AQ$8:AQ$1696)</f>
        <v>61</v>
      </c>
      <c r="Y54" s="85">
        <f>SUMIF(GERAL!B$8:B$1696,A54,GERAL!AU$8:AU$1696)</f>
        <v>14</v>
      </c>
      <c r="Z54" s="88">
        <f t="shared" si="40"/>
        <v>75</v>
      </c>
      <c r="AA54" s="116">
        <f>COUNTIFS(GERAL!B$8:B$1696,A54,GERAL!BK$8:BK$1696,"&gt;0",GERAL!C$8:C$1696,"ESCOLA")</f>
        <v>1</v>
      </c>
      <c r="AB54" s="88">
        <f>COUNTIFS(GERAL!B$8:B$1696,A54,GERAL!BK$8:BK$1696,"&gt;0",GERAL!C$8:C$1696,"ANEXO")</f>
        <v>0</v>
      </c>
      <c r="AC54" s="121">
        <f>SUMIF(GERAL!B$8:B$1696,A54,GERAL!AD$8:AD$1696)</f>
        <v>0</v>
      </c>
      <c r="AD54" s="121">
        <f>SUMIF(GERAL!B$8:B$1696,A54,GERAL!AI$8:AI$1696)</f>
        <v>111</v>
      </c>
      <c r="AE54" s="121">
        <f>SUMIF(GERAL!B$8:B$1696,A54,GERAL!AV$8:AV$1696)</f>
        <v>20</v>
      </c>
      <c r="AF54" s="492">
        <f t="shared" si="41"/>
        <v>131</v>
      </c>
      <c r="AG54" s="178">
        <f>COUNTIFS(GERAL!B$8:B$1696,A54,GERAL!AW$8:AW$1696,"&gt;0",GERAL!C$8:C$1696,"ESCOLA")</f>
        <v>1</v>
      </c>
      <c r="AH54" s="118">
        <f>COUNTIFS(GERAL!B$8:B$1696,A54,GERAL!AW$8:AW$1696,"&gt;0",GERAL!C$8:C$1696,"ANEXO")</f>
        <v>0</v>
      </c>
      <c r="AI54" s="177">
        <f>SUMIF(GERAL!B$8:B$1696,A54,GERAL!AS$8:AS$1696)+SUMIF(GERAL!B$8:B$1696,A54,GERAL!AT$8:AT$1696)</f>
        <v>0</v>
      </c>
      <c r="AJ54" s="177">
        <f>SUMIF(GERAL!B$8:B$1696,A54,GERAL!AU$8:AU$1696)</f>
        <v>14</v>
      </c>
      <c r="AK54" s="177">
        <f>SUMIF(GERAL!B$8:B$1696,A54,GERAL!AV$8:AV$1696)</f>
        <v>20</v>
      </c>
      <c r="AL54" s="118">
        <f t="shared" si="42"/>
        <v>34</v>
      </c>
      <c r="AM54" s="493" t="s">
        <v>1535</v>
      </c>
    </row>
    <row r="55">
      <c r="A55" s="494" t="s">
        <v>3497</v>
      </c>
      <c r="B55" s="75">
        <f>COUNTIFS(GERAL!B$8:B$1696,A55,GERAL!C$8:C$1696,"ESCOLA")</f>
        <v>11</v>
      </c>
      <c r="C55" s="75">
        <f>COUNTIFS(GERAL!B$8:B$1696,A55,GERAL!C$8:C$1696,"ANEXO")</f>
        <v>5</v>
      </c>
      <c r="D55" s="85">
        <f>SUMIF(GERAL!B$8:B$1696,A55,GERAL!Z$8:Z$1696)</f>
        <v>0</v>
      </c>
      <c r="E55" s="85">
        <f>SUMIF(GERAL!B$8:B$1696,A55,GERAL!AE$8:AE$1696)</f>
        <v>481</v>
      </c>
      <c r="F55" s="85">
        <f>SUMIF(GERAL!B$8:B$1696,A55,GERAL!AJ$8:AJ$1696)</f>
        <v>3360</v>
      </c>
      <c r="G55" s="85">
        <f>SUMIF(GERAL!B$8:B$1696,A55,GERAL!AN$8:AN$1696)</f>
        <v>114</v>
      </c>
      <c r="H55" s="85">
        <f>SUMIF(GERAL!B$8:B$1696,A55,GERAL!AR$8:AW$1696)</f>
        <v>839</v>
      </c>
      <c r="I55" s="85">
        <f>SUMIF(GERAL!B$8:B$1696,A55,GERAL!AW$8:AW$1696)</f>
        <v>1579</v>
      </c>
      <c r="J55" s="75">
        <f>SUMIF(GERAL!B$8:B$1696,A55,GERAL!AX$8:AX$1696)</f>
        <v>6373</v>
      </c>
      <c r="K55" s="75">
        <f>COUNTIFS(GERAL!B$8:B$1696,A55,GERAL!AY$8:AY$1696,"&gt;0",GERAL!C$8:C$1696,"ESCOLA")</f>
        <v>9</v>
      </c>
      <c r="L55" s="75">
        <f>COUNTIFS(GERAL!B$8:B$1696,A55,GERAL!AY$8:AY$1696,"&gt;0",GERAL!C$8:C$1696,"ANEXO")</f>
        <v>3</v>
      </c>
      <c r="M55" s="100">
        <f>SUMIF(GERAL!B$8:B$1696,A55,GERAL!V$8:V$1696)+SUMIF(GERAL!B$8:B$1696,A55,GERAL!W$8:W$1696)</f>
        <v>0</v>
      </c>
      <c r="N55" s="100">
        <f>SUMIF(GERAL!B$8:B$1696,A55,GERAL!AA$8:AA$1696)+SUMIF(GERAL!B$8:B$1696,A55,GERAL!AB$8:AB$1696)</f>
        <v>481</v>
      </c>
      <c r="O55" s="100">
        <f>SUMIF(GERAL!B$8:B$1696,A55,GERAL!AF$8:AF$1696)+SUMIF(GERAL!B$8:B$1696,A55,GERAL!AG$8:AG$1696)</f>
        <v>2832</v>
      </c>
      <c r="P55" s="100">
        <f>SUMIF(GERAL!B$8:B$1696,A55,GERAL!AK$8:AK$1696)+SUMIF(GERAL!B$8:B$1696,A55,GERAL!AL$8:AL$1696)</f>
        <v>79</v>
      </c>
      <c r="Q55" s="100">
        <f>SUMIF(GERAL!B$8:B$1696,A55,GERAL!AO$8:AO$1696)+SUMIF(GERAL!B$8:B$1696,A55,GERAL!AP$8:AP$1696)</f>
        <v>17</v>
      </c>
      <c r="R55" s="100">
        <f>SUMIF(GERAL!B$8:B$1696,A55,GERAL!AS$8:AS$1696)+SUMIF(GERAL!B$8:B$1696,A55,GERAL!AT$8:AT$1696)</f>
        <v>1240</v>
      </c>
      <c r="S55" s="75">
        <f t="shared" si="39"/>
        <v>4649</v>
      </c>
      <c r="T55" s="116">
        <f>COUNTIFS(GERAL!B$8:B$1696,A55,GERAL!AZ$8:AZ$1696,"&gt;0",GERAL!C$8:C$1696,"ESCOLA")</f>
        <v>7</v>
      </c>
      <c r="U55" s="75">
        <f>COUNTIFS(GERAL!B$8:B$1696,A55,GERAL!AZ$8:AZ$1696,"&gt;0",GERAL!C$8:C$1696,"ANEXO")</f>
        <v>5</v>
      </c>
      <c r="V55" s="85">
        <f>SUMIF(GERAL!B$8:B$1696,A55,GERAL!AH$8:AH$1696)</f>
        <v>81</v>
      </c>
      <c r="W55" s="85">
        <f>SUMIF(GERAL!B$8:B$1696,A55,GERAL!AM$8:AM$1696)</f>
        <v>35</v>
      </c>
      <c r="X55" s="85">
        <f>SUMIF(GERAL!B$8:B$1696,A55,GERAL!AQ$8:AQ$1696)</f>
        <v>822</v>
      </c>
      <c r="Y55" s="85">
        <f>SUMIF(GERAL!B$8:B$1696,A55,GERAL!AU$8:AU$1696)</f>
        <v>285</v>
      </c>
      <c r="Z55" s="88">
        <f t="shared" si="40"/>
        <v>1223</v>
      </c>
      <c r="AA55" s="116">
        <f>COUNTIFS(GERAL!B$8:B$1696,A55,GERAL!BK$8:BK$1696,"&gt;0",GERAL!C$8:C$1696,"ESCOLA")</f>
        <v>4</v>
      </c>
      <c r="AB55" s="88">
        <f>COUNTIFS(GERAL!B$8:B$1696,A55,GERAL!BK$8:BK$1696,"&gt;0",GERAL!C$8:C$1696,"ANEXO")</f>
        <v>1</v>
      </c>
      <c r="AC55" s="121">
        <f>SUMIF(GERAL!B$8:B$1696,A55,GERAL!AD$8:AD$1696)</f>
        <v>0</v>
      </c>
      <c r="AD55" s="121">
        <f>SUMIF(GERAL!B$8:B$1696,A55,GERAL!AI$8:AI$1696)</f>
        <v>447</v>
      </c>
      <c r="AE55" s="121">
        <f>SUMIF(GERAL!B$8:B$1696,A55,GERAL!AV$8:AV$1696)</f>
        <v>54</v>
      </c>
      <c r="AF55" s="492">
        <f t="shared" si="41"/>
        <v>501</v>
      </c>
      <c r="AG55" s="178">
        <f>COUNTIFS(GERAL!B$8:B$1696,A55,GERAL!AW$8:AW$1696,"&gt;0",GERAL!C$8:C$1696,"ESCOLA")</f>
        <v>3</v>
      </c>
      <c r="AH55" s="118">
        <f>COUNTIFS(GERAL!B$8:B$1696,A55,GERAL!AW$8:AW$1696,"&gt;0",GERAL!C$8:C$1696,"ANEXO")</f>
        <v>1</v>
      </c>
      <c r="AI55" s="177">
        <f>SUMIF(GERAL!B$8:B$1696,A55,GERAL!AS$8:AS$1696)+SUMIF(GERAL!B$8:B$1696,A55,GERAL!AT$8:AT$1696)</f>
        <v>1240</v>
      </c>
      <c r="AJ55" s="177">
        <f>SUMIF(GERAL!B$8:B$1696,A55,GERAL!AU$8:AU$1696)</f>
        <v>285</v>
      </c>
      <c r="AK55" s="177">
        <f>SUMIF(GERAL!B$8:B$1696,A55,GERAL!AV$8:AV$1696)</f>
        <v>54</v>
      </c>
      <c r="AL55" s="118">
        <f t="shared" si="42"/>
        <v>1579</v>
      </c>
      <c r="AM55" s="493" t="s">
        <v>860</v>
      </c>
    </row>
    <row r="56">
      <c r="A56" s="484" t="s">
        <v>192</v>
      </c>
      <c r="B56" s="75">
        <f>COUNTIFS(GERAL!B$8:B$1696,A56,GERAL!C$8:C$1696,"ESCOLA")</f>
        <v>2</v>
      </c>
      <c r="C56" s="75">
        <f>COUNTIFS(GERAL!B$8:B$1696,A56,GERAL!C$8:C$1696,"ANEXO")</f>
        <v>0</v>
      </c>
      <c r="D56" s="85">
        <f>SUMIF(GERAL!B$8:B$1696,A56,GERAL!Z$8:Z$1696)</f>
        <v>0</v>
      </c>
      <c r="E56" s="85">
        <f>SUMIF(GERAL!B$8:B$1696,A56,GERAL!AE$8:AE$1696)</f>
        <v>0</v>
      </c>
      <c r="F56" s="85">
        <f>SUMIF(GERAL!B$8:B$1696,A56,GERAL!AJ$8:AJ$1696)</f>
        <v>436</v>
      </c>
      <c r="G56" s="85">
        <f>SUMIF(GERAL!B$8:B$1696,A56,GERAL!AN$8:AN$1696)</f>
        <v>0</v>
      </c>
      <c r="H56" s="85">
        <f>SUMIF(GERAL!B$8:B$1696,A56,GERAL!AR$8:AW$1696)</f>
        <v>54</v>
      </c>
      <c r="I56" s="85">
        <f>SUMIF(GERAL!B$8:B$1696,A56,GERAL!AW$8:AW$1696)</f>
        <v>102</v>
      </c>
      <c r="J56" s="75">
        <f>SUMIF(GERAL!B$8:B$1696,A56,GERAL!AX$8:AX$1696)</f>
        <v>592</v>
      </c>
      <c r="K56" s="75">
        <f>COUNTIFS(GERAL!B$8:B$1696,A56,GERAL!AY$8:AY$1696,"&gt;0",GERAL!C$8:C$1696,"ESCOLA")</f>
        <v>2</v>
      </c>
      <c r="L56" s="75">
        <f>COUNTIFS(GERAL!B$8:B$1696,A56,GERAL!AY$8:AY$1696,"&gt;0",GERAL!C$8:C$1696,"ANEXO")</f>
        <v>0</v>
      </c>
      <c r="M56" s="100">
        <f>SUMIF(GERAL!B$8:B$1696,A56,GERAL!V$8:V$1696)+SUMIF(GERAL!B$8:B$1696,A56,GERAL!W$8:W$1696)</f>
        <v>0</v>
      </c>
      <c r="N56" s="100">
        <f>SUMIF(GERAL!B$8:B$1696,A56,GERAL!AA$8:AA$1696)+SUMIF(GERAL!B$8:B$1696,A56,GERAL!AB$8:AB$1696)</f>
        <v>0</v>
      </c>
      <c r="O56" s="100">
        <f>SUMIF(GERAL!B$8:B$1696,A56,GERAL!AF$8:AF$1696)+SUMIF(GERAL!B$8:B$1696,A56,GERAL!AG$8:AG$1696)</f>
        <v>436</v>
      </c>
      <c r="P56" s="100">
        <f>SUMIF(GERAL!B$8:B$1696,A56,GERAL!AK$8:AK$1696)+SUMIF(GERAL!B$8:B$1696,A56,GERAL!AL$8:AL$1696)</f>
        <v>0</v>
      </c>
      <c r="Q56" s="100">
        <f>SUMIF(GERAL!B$8:B$1696,A56,GERAL!AO$8:AO$1696)+SUMIF(GERAL!B$8:B$1696,A56,GERAL!AP$8:AP$1696)</f>
        <v>0</v>
      </c>
      <c r="R56" s="100">
        <f>SUMIF(GERAL!B$8:B$1696,A56,GERAL!AS$8:AS$1696)+SUMIF(GERAL!B$8:B$1696,A56,GERAL!AT$8:AT$1696)</f>
        <v>55</v>
      </c>
      <c r="S56" s="75">
        <f t="shared" si="39"/>
        <v>491</v>
      </c>
      <c r="T56" s="116">
        <f>COUNTIFS(GERAL!B$8:B$1696,A56,GERAL!AZ$8:AZ$1696,"&gt;0",GERAL!C$8:C$1696,"ESCOLA")</f>
        <v>2</v>
      </c>
      <c r="U56" s="75">
        <f>COUNTIFS(GERAL!B$8:B$1696,A56,GERAL!AZ$8:AZ$1696,"&gt;0",GERAL!C$8:C$1696,"ANEXO")</f>
        <v>0</v>
      </c>
      <c r="V56" s="85">
        <f>SUMIF(GERAL!B$8:B$1696,A56,GERAL!AH$8:AH$1696)</f>
        <v>0</v>
      </c>
      <c r="W56" s="85">
        <f>SUMIF(GERAL!B$8:B$1696,A56,GERAL!AM$8:AM$1696)</f>
        <v>0</v>
      </c>
      <c r="X56" s="85">
        <f>SUMIF(GERAL!B$8:B$1696,A56,GERAL!AQ$8:AQ$1696)</f>
        <v>54</v>
      </c>
      <c r="Y56" s="85">
        <f>SUMIF(GERAL!B$8:B$1696,A56,GERAL!AU$8:AU$1696)</f>
        <v>47</v>
      </c>
      <c r="Z56" s="88">
        <f t="shared" si="40"/>
        <v>101</v>
      </c>
      <c r="AA56" s="116">
        <f>COUNTIFS(GERAL!B$8:B$1696,A56,GERAL!BK$8:BK$1696,"&gt;0",GERAL!C$8:C$1696,"ESCOLA")</f>
        <v>0</v>
      </c>
      <c r="AB56" s="88">
        <f>COUNTIFS(GERAL!B$8:B$1696,A56,GERAL!BK$8:BK$1696,"&gt;0",GERAL!C$8:C$1696,"ANEXO")</f>
        <v>0</v>
      </c>
      <c r="AC56" s="121">
        <f>SUMIF(GERAL!B$8:B$1696,A56,GERAL!AD$8:AD$1696)</f>
        <v>0</v>
      </c>
      <c r="AD56" s="121">
        <f>SUMIF(GERAL!B$8:B$1696,A56,GERAL!AI$8:AI$1696)</f>
        <v>0</v>
      </c>
      <c r="AE56" s="121">
        <f>SUMIF(GERAL!B$8:B$1696,A56,GERAL!AV$8:AV$1696)</f>
        <v>0</v>
      </c>
      <c r="AF56" s="492">
        <f t="shared" si="41"/>
        <v>0</v>
      </c>
      <c r="AG56" s="178">
        <f>COUNTIFS(GERAL!B$8:B$1696,A56,GERAL!AW$8:AW$1696,"&gt;0",GERAL!C$8:C$1696,"ESCOLA")</f>
        <v>2</v>
      </c>
      <c r="AH56" s="118">
        <f>COUNTIFS(GERAL!B$8:B$1696,A56,GERAL!AW$8:AW$1696,"&gt;0",GERAL!C$8:C$1696,"ANEXO")</f>
        <v>0</v>
      </c>
      <c r="AI56" s="177">
        <f>SUMIF(GERAL!B$8:B$1696,A56,GERAL!AS$8:AS$1696)+SUMIF(GERAL!B$8:B$1696,A56,GERAL!AT$8:AT$1696)</f>
        <v>55</v>
      </c>
      <c r="AJ56" s="177">
        <f>SUMIF(GERAL!B$8:B$1696,A56,GERAL!AU$8:AU$1696)</f>
        <v>47</v>
      </c>
      <c r="AK56" s="177">
        <f>SUMIF(GERAL!B$8:B$1696,A56,GERAL!AV$8:AV$1696)</f>
        <v>0</v>
      </c>
      <c r="AL56" s="118">
        <f t="shared" si="42"/>
        <v>102</v>
      </c>
      <c r="AM56" s="493" t="s">
        <v>130</v>
      </c>
    </row>
    <row r="57">
      <c r="A57" s="494" t="s">
        <v>1366</v>
      </c>
      <c r="B57" s="75">
        <f>COUNTIFS(GERAL!B$8:B$1696,A57,GERAL!C$8:C$1696,"ESCOLA")</f>
        <v>1</v>
      </c>
      <c r="C57" s="75">
        <f>COUNTIFS(GERAL!B$8:B$1696,A57,GERAL!C$8:C$1696,"ANEXO")</f>
        <v>0</v>
      </c>
      <c r="D57" s="85">
        <f>SUMIF(GERAL!B$8:B$1696,A57,GERAL!Z$8:Z$1696)</f>
        <v>0</v>
      </c>
      <c r="E57" s="85">
        <f>SUMIF(GERAL!B$8:B$1696,A57,GERAL!AE$8:AE$1696)</f>
        <v>0</v>
      </c>
      <c r="F57" s="85">
        <f>SUMIF(GERAL!B$8:B$1696,A57,GERAL!AJ$8:AJ$1696)</f>
        <v>107</v>
      </c>
      <c r="G57" s="85">
        <f>SUMIF(GERAL!B$8:B$1696,A57,GERAL!AN$8:AN$1696)</f>
        <v>0</v>
      </c>
      <c r="H57" s="85">
        <f>SUMIF(GERAL!B$8:B$1696,A57,GERAL!AR$8:AW$1696)</f>
        <v>10</v>
      </c>
      <c r="I57" s="85">
        <f>SUMIF(GERAL!B$8:B$1696,A57,GERAL!AW$8:AW$1696)</f>
        <v>80</v>
      </c>
      <c r="J57" s="75">
        <f>SUMIF(GERAL!B$8:B$1696,A57,GERAL!AX$8:AX$1696)</f>
        <v>197</v>
      </c>
      <c r="K57" s="75">
        <f>COUNTIFS(GERAL!B$8:B$1696,A57,GERAL!AY$8:AY$1696,"&gt;0",GERAL!C$8:C$1696,"ESCOLA")</f>
        <v>1</v>
      </c>
      <c r="L57" s="75">
        <f>COUNTIFS(GERAL!B$8:B$1696,A57,GERAL!AY$8:AY$1696,"&gt;0",GERAL!C$8:C$1696,"ANEXO")</f>
        <v>0</v>
      </c>
      <c r="M57" s="100">
        <f>SUMIF(GERAL!B$8:B$1696,A57,GERAL!V$8:V$1696)+SUMIF(GERAL!B$8:B$1696,A57,GERAL!W$8:W$1696)</f>
        <v>0</v>
      </c>
      <c r="N57" s="100">
        <f>SUMIF(GERAL!B$8:B$1696,A57,GERAL!AA$8:AA$1696)+SUMIF(GERAL!B$8:B$1696,A57,GERAL!AB$8:AB$1696)</f>
        <v>0</v>
      </c>
      <c r="O57" s="100">
        <f>SUMIF(GERAL!B$8:B$1696,A57,GERAL!AF$8:AF$1696)+SUMIF(GERAL!B$8:B$1696,A57,GERAL!AG$8:AG$1696)</f>
        <v>25</v>
      </c>
      <c r="P57" s="100">
        <f>SUMIF(GERAL!B$8:B$1696,A57,GERAL!AK$8:AK$1696)+SUMIF(GERAL!B$8:B$1696,A57,GERAL!AL$8:AL$1696)</f>
        <v>0</v>
      </c>
      <c r="Q57" s="100">
        <f>SUMIF(GERAL!B$8:B$1696,A57,GERAL!AO$8:AO$1696)+SUMIF(GERAL!B$8:B$1696,A57,GERAL!AP$8:AP$1696)</f>
        <v>0</v>
      </c>
      <c r="R57" s="100">
        <f>SUMIF(GERAL!B$8:B$1696,A57,GERAL!AS$8:AS$1696)+SUMIF(GERAL!B$8:B$1696,A57,GERAL!AT$8:AT$1696)</f>
        <v>0</v>
      </c>
      <c r="S57" s="75">
        <f t="shared" si="39"/>
        <v>25</v>
      </c>
      <c r="T57" s="116">
        <f>COUNTIFS(GERAL!B$8:B$1696,A57,GERAL!AZ$8:AZ$1696,"&gt;0",GERAL!C$8:C$1696,"ESCOLA")</f>
        <v>1</v>
      </c>
      <c r="U57" s="75">
        <f>COUNTIFS(GERAL!B$8:B$1696,A57,GERAL!AZ$8:AZ$1696,"&gt;0",GERAL!C$8:C$1696,"ANEXO")</f>
        <v>0</v>
      </c>
      <c r="V57" s="85">
        <f>SUMIF(GERAL!B$8:B$1696,A57,GERAL!AH$8:AH$1696)</f>
        <v>0</v>
      </c>
      <c r="W57" s="85">
        <f>SUMIF(GERAL!B$8:B$1696,A57,GERAL!AM$8:AM$1696)</f>
        <v>0</v>
      </c>
      <c r="X57" s="85">
        <f>SUMIF(GERAL!B$8:B$1696,A57,GERAL!AQ$8:AQ$1696)</f>
        <v>10</v>
      </c>
      <c r="Y57" s="85">
        <f>SUMIF(GERAL!B$8:B$1696,A57,GERAL!AU$8:AU$1696)</f>
        <v>50</v>
      </c>
      <c r="Z57" s="88">
        <f t="shared" si="40"/>
        <v>60</v>
      </c>
      <c r="AA57" s="116">
        <f>COUNTIFS(GERAL!B$8:B$1696,A57,GERAL!BK$8:BK$1696,"&gt;0",GERAL!C$8:C$1696,"ESCOLA")</f>
        <v>1</v>
      </c>
      <c r="AB57" s="88">
        <f>COUNTIFS(GERAL!B$8:B$1696,A57,GERAL!BK$8:BK$1696,"&gt;0",GERAL!C$8:C$1696,"ANEXO")</f>
        <v>0</v>
      </c>
      <c r="AC57" s="121">
        <f>SUMIF(GERAL!B$8:B$1696,A57,GERAL!AD$8:AD$1696)</f>
        <v>0</v>
      </c>
      <c r="AD57" s="121">
        <f>SUMIF(GERAL!B$8:B$1696,A57,GERAL!AI$8:AI$1696)</f>
        <v>82</v>
      </c>
      <c r="AE57" s="121">
        <f>SUMIF(GERAL!B$8:B$1696,A57,GERAL!AV$8:AV$1696)</f>
        <v>30</v>
      </c>
      <c r="AF57" s="492">
        <f t="shared" si="41"/>
        <v>112</v>
      </c>
      <c r="AG57" s="178">
        <f>COUNTIFS(GERAL!B$8:B$1696,A57,GERAL!AW$8:AW$1696,"&gt;0",GERAL!C$8:C$1696,"ESCOLA")</f>
        <v>1</v>
      </c>
      <c r="AH57" s="118">
        <f>COUNTIFS(GERAL!B$8:B$1696,A57,GERAL!AW$8:AW$1696,"&gt;0",GERAL!C$8:C$1696,"ANEXO")</f>
        <v>0</v>
      </c>
      <c r="AI57" s="177">
        <f>SUMIF(GERAL!B$8:B$1696,A57,GERAL!AS$8:AS$1696)+SUMIF(GERAL!B$8:B$1696,A57,GERAL!AT$8:AT$1696)</f>
        <v>0</v>
      </c>
      <c r="AJ57" s="177">
        <f>SUMIF(GERAL!B$8:B$1696,A57,GERAL!AU$8:AU$1696)</f>
        <v>50</v>
      </c>
      <c r="AK57" s="177">
        <f>SUMIF(GERAL!B$8:B$1696,A57,GERAL!AV$8:AV$1696)</f>
        <v>30</v>
      </c>
      <c r="AL57" s="118">
        <f t="shared" si="42"/>
        <v>80</v>
      </c>
      <c r="AM57" s="493" t="s">
        <v>451</v>
      </c>
    </row>
    <row r="58">
      <c r="A58" s="484" t="s">
        <v>1097</v>
      </c>
      <c r="B58" s="75">
        <f>COUNTIFS(GERAL!B$8:B$1696,A58,GERAL!C$8:C$1696,"ESCOLA")</f>
        <v>1</v>
      </c>
      <c r="C58" s="75">
        <f>COUNTIFS(GERAL!B$8:B$1696,A58,GERAL!C$8:C$1696,"ANEXO")</f>
        <v>0</v>
      </c>
      <c r="D58" s="85">
        <f>SUMIF(GERAL!B$8:B$1696,A58,GERAL!Z$8:Z$1696)</f>
        <v>0</v>
      </c>
      <c r="E58" s="85">
        <f>SUMIF(GERAL!B$8:B$1696,A58,GERAL!AE$8:AE$1696)</f>
        <v>0</v>
      </c>
      <c r="F58" s="85">
        <f>SUMIF(GERAL!B$8:B$1696,A58,GERAL!AJ$8:AJ$1696)</f>
        <v>497</v>
      </c>
      <c r="G58" s="85">
        <f>SUMIF(GERAL!B$8:B$1696,A58,GERAL!AN$8:AN$1696)</f>
        <v>0</v>
      </c>
      <c r="H58" s="85">
        <f>SUMIF(GERAL!B$8:B$1696,A58,GERAL!AR$8:AW$1696)</f>
        <v>88</v>
      </c>
      <c r="I58" s="85">
        <f>SUMIF(GERAL!B$8:B$1696,A58,GERAL!AW$8:AW$1696)</f>
        <v>57</v>
      </c>
      <c r="J58" s="75">
        <f>SUMIF(GERAL!B$8:B$1696,A58,GERAL!AX$8:AX$1696)</f>
        <v>642</v>
      </c>
      <c r="K58" s="75">
        <f>COUNTIFS(GERAL!B$8:B$1696,A58,GERAL!AY$8:AY$1696,"&gt;0",GERAL!C$8:C$1696,"ESCOLA")</f>
        <v>1</v>
      </c>
      <c r="L58" s="75">
        <f>COUNTIFS(GERAL!B$8:B$1696,A58,GERAL!AY$8:AY$1696,"&gt;0",GERAL!C$8:C$1696,"ANEXO")</f>
        <v>0</v>
      </c>
      <c r="M58" s="100">
        <f>SUMIF(GERAL!B$8:B$1696,A58,GERAL!V$8:V$1696)+SUMIF(GERAL!B$8:B$1696,A58,GERAL!W$8:W$1696)</f>
        <v>0</v>
      </c>
      <c r="N58" s="100">
        <f>SUMIF(GERAL!B$8:B$1696,A58,GERAL!AA$8:AA$1696)+SUMIF(GERAL!B$8:B$1696,A58,GERAL!AB$8:AB$1696)</f>
        <v>0</v>
      </c>
      <c r="O58" s="100">
        <f>SUMIF(GERAL!B$8:B$1696,A58,GERAL!AF$8:AF$1696)+SUMIF(GERAL!B$8:B$1696,A58,GERAL!AG$8:AG$1696)</f>
        <v>497</v>
      </c>
      <c r="P58" s="100">
        <f>SUMIF(GERAL!B$8:B$1696,A58,GERAL!AK$8:AK$1696)+SUMIF(GERAL!B$8:B$1696,A58,GERAL!AL$8:AL$1696)</f>
        <v>0</v>
      </c>
      <c r="Q58" s="100">
        <f>SUMIF(GERAL!B$8:B$1696,A58,GERAL!AO$8:AO$1696)+SUMIF(GERAL!B$8:B$1696,A58,GERAL!AP$8:AP$1696)</f>
        <v>0</v>
      </c>
      <c r="R58" s="100">
        <f>SUMIF(GERAL!B$8:B$1696,A58,GERAL!AS$8:AS$1696)+SUMIF(GERAL!B$8:B$1696,A58,GERAL!AT$8:AT$1696)</f>
        <v>57</v>
      </c>
      <c r="S58" s="75">
        <f t="shared" si="39"/>
        <v>554</v>
      </c>
      <c r="T58" s="116">
        <f>COUNTIFS(GERAL!B$8:B$1696,A58,GERAL!AZ$8:AZ$1696,"&gt;0",GERAL!C$8:C$1696,"ESCOLA")</f>
        <v>1</v>
      </c>
      <c r="U58" s="75">
        <f>COUNTIFS(GERAL!B$8:B$1696,A58,GERAL!AZ$8:AZ$1696,"&gt;0",GERAL!C$8:C$1696,"ANEXO")</f>
        <v>0</v>
      </c>
      <c r="V58" s="85">
        <f>SUMIF(GERAL!B$8:B$1696,A58,GERAL!AH$8:AH$1696)</f>
        <v>0</v>
      </c>
      <c r="W58" s="85">
        <f>SUMIF(GERAL!B$8:B$1696,A58,GERAL!AM$8:AM$1696)</f>
        <v>0</v>
      </c>
      <c r="X58" s="85">
        <f>SUMIF(GERAL!B$8:B$1696,A58,GERAL!AQ$8:AQ$1696)</f>
        <v>88</v>
      </c>
      <c r="Y58" s="85">
        <f>SUMIF(GERAL!B$8:B$1696,A58,GERAL!AU$8:AU$1696)</f>
        <v>0</v>
      </c>
      <c r="Z58" s="88">
        <f t="shared" si="40"/>
        <v>88</v>
      </c>
      <c r="AA58" s="116">
        <f>COUNTIFS(GERAL!B$8:B$1696,A58,GERAL!BK$8:BK$1696,"&gt;0",GERAL!C$8:C$1696,"ESCOLA")</f>
        <v>0</v>
      </c>
      <c r="AB58" s="88">
        <f>COUNTIFS(GERAL!B$8:B$1696,A58,GERAL!BK$8:BK$1696,"&gt;0",GERAL!C$8:C$1696,"ANEXO")</f>
        <v>0</v>
      </c>
      <c r="AC58" s="121">
        <f>SUMIF(GERAL!B$8:B$1696,A58,GERAL!AD$8:AD$1696)</f>
        <v>0</v>
      </c>
      <c r="AD58" s="121">
        <f>SUMIF(GERAL!B$8:B$1696,A58,GERAL!AI$8:AI$1696)</f>
        <v>0</v>
      </c>
      <c r="AE58" s="121">
        <f>SUMIF(GERAL!B$8:B$1696,A58,GERAL!AV$8:AV$1696)</f>
        <v>0</v>
      </c>
      <c r="AF58" s="492">
        <f t="shared" si="41"/>
        <v>0</v>
      </c>
      <c r="AG58" s="178">
        <f>COUNTIFS(GERAL!B$8:B$1696,A58,GERAL!AW$8:AW$1696,"&gt;0",GERAL!C$8:C$1696,"ESCOLA")</f>
        <v>1</v>
      </c>
      <c r="AH58" s="118">
        <f>COUNTIFS(GERAL!B$8:B$1696,A58,GERAL!AW$8:AW$1696,"&gt;0",GERAL!C$8:C$1696,"ANEXO")</f>
        <v>0</v>
      </c>
      <c r="AI58" s="177">
        <f>SUMIF(GERAL!B$8:B$1696,A58,GERAL!AS$8:AS$1696)+SUMIF(GERAL!B$8:B$1696,A58,GERAL!AT$8:AT$1696)</f>
        <v>57</v>
      </c>
      <c r="AJ58" s="177">
        <f>SUMIF(GERAL!B$8:B$1696,A58,GERAL!AU$8:AU$1696)</f>
        <v>0</v>
      </c>
      <c r="AK58" s="177">
        <f>SUMIF(GERAL!B$8:B$1696,A58,GERAL!AV$8:AV$1696)</f>
        <v>0</v>
      </c>
      <c r="AL58" s="118">
        <f t="shared" si="42"/>
        <v>57</v>
      </c>
      <c r="AM58" s="493" t="s">
        <v>383</v>
      </c>
    </row>
    <row r="59">
      <c r="A59" s="494" t="s">
        <v>2516</v>
      </c>
      <c r="B59" s="75">
        <f>COUNTIFS(GERAL!B$8:B$1696,A59,GERAL!C$8:C$1696,"ESCOLA")</f>
        <v>2</v>
      </c>
      <c r="C59" s="75">
        <f>COUNTIFS(GERAL!B$8:B$1696,A59,GERAL!C$8:C$1696,"ANEXO")</f>
        <v>2</v>
      </c>
      <c r="D59" s="85">
        <f>SUMIF(GERAL!B$8:B$1696,A59,GERAL!Z$8:Z$1696)</f>
        <v>0</v>
      </c>
      <c r="E59" s="85">
        <f>SUMIF(GERAL!B$8:B$1696,A59,GERAL!AE$8:AE$1696)</f>
        <v>0</v>
      </c>
      <c r="F59" s="85">
        <f>SUMIF(GERAL!B$8:B$1696,A59,GERAL!AJ$8:AJ$1696)</f>
        <v>289</v>
      </c>
      <c r="G59" s="85">
        <f>SUMIF(GERAL!B$8:B$1696,A59,GERAL!AN$8:AN$1696)</f>
        <v>0</v>
      </c>
      <c r="H59" s="85">
        <f>SUMIF(GERAL!B$8:B$1696,A59,GERAL!AR$8:AW$1696)</f>
        <v>197</v>
      </c>
      <c r="I59" s="85">
        <f>SUMIF(GERAL!B$8:B$1696,A59,GERAL!AW$8:AW$1696)</f>
        <v>100</v>
      </c>
      <c r="J59" s="75">
        <f>SUMIF(GERAL!B$8:B$1696,A59,GERAL!AX$8:AX$1696)</f>
        <v>586</v>
      </c>
      <c r="K59" s="75">
        <f>COUNTIFS(GERAL!B$8:B$1696,A59,GERAL!AY$8:AY$1696,"&gt;0",GERAL!C$8:C$1696,"ESCOLA")</f>
        <v>2</v>
      </c>
      <c r="L59" s="75">
        <f>COUNTIFS(GERAL!B$8:B$1696,A59,GERAL!AY$8:AY$1696,"&gt;0",GERAL!C$8:C$1696,"ANEXO")</f>
        <v>1</v>
      </c>
      <c r="M59" s="100">
        <f>SUMIF(GERAL!B$8:B$1696,A59,GERAL!V$8:V$1696)+SUMIF(GERAL!B$8:B$1696,A59,GERAL!W$8:W$1696)</f>
        <v>0</v>
      </c>
      <c r="N59" s="100">
        <f>SUMIF(GERAL!B$8:B$1696,A59,GERAL!AA$8:AA$1696)+SUMIF(GERAL!B$8:B$1696,A59,GERAL!AB$8:AB$1696)</f>
        <v>0</v>
      </c>
      <c r="O59" s="100">
        <f>SUMIF(GERAL!B$8:B$1696,A59,GERAL!AF$8:AF$1696)+SUMIF(GERAL!B$8:B$1696,A59,GERAL!AG$8:AG$1696)</f>
        <v>234</v>
      </c>
      <c r="P59" s="100">
        <f>SUMIF(GERAL!B$8:B$1696,A59,GERAL!AK$8:AK$1696)+SUMIF(GERAL!B$8:B$1696,A59,GERAL!AL$8:AL$1696)</f>
        <v>0</v>
      </c>
      <c r="Q59" s="100">
        <f>SUMIF(GERAL!B$8:B$1696,A59,GERAL!AO$8:AO$1696)+SUMIF(GERAL!B$8:B$1696,A59,GERAL!AP$8:AP$1696)</f>
        <v>0</v>
      </c>
      <c r="R59" s="100">
        <f>SUMIF(GERAL!B$8:B$1696,A59,GERAL!AS$8:AS$1696)+SUMIF(GERAL!B$8:B$1696,A59,GERAL!AT$8:AT$1696)</f>
        <v>0</v>
      </c>
      <c r="S59" s="75">
        <f t="shared" si="39"/>
        <v>234</v>
      </c>
      <c r="T59" s="116">
        <f>COUNTIFS(GERAL!B$8:B$1696,A59,GERAL!AZ$8:AZ$1696,"&gt;0",GERAL!C$8:C$1696,"ESCOLA")</f>
        <v>2</v>
      </c>
      <c r="U59" s="75">
        <f>COUNTIFS(GERAL!B$8:B$1696,A59,GERAL!AZ$8:AZ$1696,"&gt;0",GERAL!C$8:C$1696,"ANEXO")</f>
        <v>2</v>
      </c>
      <c r="V59" s="85">
        <f>SUMIF(GERAL!B$8:B$1696,A59,GERAL!AH$8:AH$1696)</f>
        <v>0</v>
      </c>
      <c r="W59" s="85">
        <f>SUMIF(GERAL!B$8:B$1696,A59,GERAL!AM$8:AM$1696)</f>
        <v>0</v>
      </c>
      <c r="X59" s="85">
        <f>SUMIF(GERAL!B$8:B$1696,A59,GERAL!AQ$8:AQ$1696)</f>
        <v>197</v>
      </c>
      <c r="Y59" s="85">
        <f>SUMIF(GERAL!B$8:B$1696,A59,GERAL!AU$8:AU$1696)</f>
        <v>20</v>
      </c>
      <c r="Z59" s="88">
        <f t="shared" si="40"/>
        <v>217</v>
      </c>
      <c r="AA59" s="116">
        <f>COUNTIFS(GERAL!B$8:B$1696,A59,GERAL!BK$8:BK$1696,"&gt;0",GERAL!C$8:C$1696,"ESCOLA")</f>
        <v>2</v>
      </c>
      <c r="AB59" s="88">
        <f>COUNTIFS(GERAL!B$8:B$1696,A59,GERAL!BK$8:BK$1696,"&gt;0",GERAL!C$8:C$1696,"ANEXO")</f>
        <v>0</v>
      </c>
      <c r="AC59" s="121">
        <f>SUMIF(GERAL!B$8:B$1696,A59,GERAL!AD$8:AD$1696)</f>
        <v>0</v>
      </c>
      <c r="AD59" s="121">
        <f>SUMIF(GERAL!B$8:B$1696,A59,GERAL!AI$8:AI$1696)</f>
        <v>55</v>
      </c>
      <c r="AE59" s="121">
        <f>SUMIF(GERAL!B$8:B$1696,A59,GERAL!AV$8:AV$1696)</f>
        <v>80</v>
      </c>
      <c r="AF59" s="492">
        <f t="shared" si="41"/>
        <v>135</v>
      </c>
      <c r="AG59" s="178">
        <f>COUNTIFS(GERAL!B$8:B$1696,A59,GERAL!AW$8:AW$1696,"&gt;0",GERAL!C$8:C$1696,"ESCOLA")</f>
        <v>1</v>
      </c>
      <c r="AH59" s="118">
        <f>COUNTIFS(GERAL!B$8:B$1696,A59,GERAL!AW$8:AW$1696,"&gt;0",GERAL!C$8:C$1696,"ANEXO")</f>
        <v>0</v>
      </c>
      <c r="AI59" s="177">
        <f>SUMIF(GERAL!B$8:B$1696,A59,GERAL!AS$8:AS$1696)+SUMIF(GERAL!B$8:B$1696,A59,GERAL!AT$8:AT$1696)</f>
        <v>0</v>
      </c>
      <c r="AJ59" s="177">
        <f>SUMIF(GERAL!B$8:B$1696,A59,GERAL!AU$8:AU$1696)</f>
        <v>20</v>
      </c>
      <c r="AK59" s="177">
        <f>SUMIF(GERAL!B$8:B$1696,A59,GERAL!AV$8:AV$1696)</f>
        <v>80</v>
      </c>
      <c r="AL59" s="118">
        <f t="shared" si="42"/>
        <v>100</v>
      </c>
      <c r="AM59" s="493" t="s">
        <v>1842</v>
      </c>
    </row>
    <row r="60">
      <c r="A60" s="484" t="s">
        <v>6149</v>
      </c>
      <c r="B60" s="75">
        <f>COUNTIFS(GERAL!B$8:B$1696,A60,GERAL!C$8:C$1696,"ESCOLA")</f>
        <v>1</v>
      </c>
      <c r="C60" s="75">
        <f>COUNTIFS(GERAL!B$8:B$1696,A60,GERAL!C$8:C$1696,"ANEXO")</f>
        <v>1</v>
      </c>
      <c r="D60" s="85">
        <f>SUMIF(GERAL!B$8:B$1696,A60,GERAL!Z$8:Z$1696)</f>
        <v>0</v>
      </c>
      <c r="E60" s="85">
        <f>SUMIF(GERAL!B$8:B$1696,A60,GERAL!AE$8:AE$1696)</f>
        <v>0</v>
      </c>
      <c r="F60" s="85">
        <f>SUMIF(GERAL!B$8:B$1696,A60,GERAL!AJ$8:AJ$1696)</f>
        <v>556</v>
      </c>
      <c r="G60" s="85">
        <f>SUMIF(GERAL!B$8:B$1696,A60,GERAL!AN$8:AN$1696)</f>
        <v>0</v>
      </c>
      <c r="H60" s="85">
        <f>SUMIF(GERAL!B$8:B$1696,A60,GERAL!AR$8:AW$1696)</f>
        <v>127</v>
      </c>
      <c r="I60" s="85">
        <f>SUMIF(GERAL!B$8:B$1696,A60,GERAL!AW$8:AW$1696)</f>
        <v>98</v>
      </c>
      <c r="J60" s="75">
        <f>SUMIF(GERAL!B$8:B$1696,A60,GERAL!AX$8:AX$1696)</f>
        <v>781</v>
      </c>
      <c r="K60" s="75">
        <f>COUNTIFS(GERAL!B$8:B$1696,A60,GERAL!AY$8:AY$1696,"&gt;0",GERAL!C$8:C$1696,"ESCOLA")</f>
        <v>1</v>
      </c>
      <c r="L60" s="75">
        <f>COUNTIFS(GERAL!B$8:B$1696,A60,GERAL!AY$8:AY$1696,"&gt;0",GERAL!C$8:C$1696,"ANEXO")</f>
        <v>1</v>
      </c>
      <c r="M60" s="100">
        <f>SUMIF(GERAL!B$8:B$1696,A60,GERAL!V$8:V$1696)+SUMIF(GERAL!B$8:B$1696,A60,GERAL!W$8:W$1696)</f>
        <v>0</v>
      </c>
      <c r="N60" s="100">
        <f>SUMIF(GERAL!B$8:B$1696,A60,GERAL!AA$8:AA$1696)+SUMIF(GERAL!B$8:B$1696,A60,GERAL!AB$8:AB$1696)</f>
        <v>0</v>
      </c>
      <c r="O60" s="100">
        <f>SUMIF(GERAL!B$8:B$1696,A60,GERAL!AF$8:AF$1696)+SUMIF(GERAL!B$8:B$1696,A60,GERAL!AG$8:AG$1696)</f>
        <v>297</v>
      </c>
      <c r="P60" s="100">
        <f>SUMIF(GERAL!B$8:B$1696,A60,GERAL!AK$8:AK$1696)+SUMIF(GERAL!B$8:B$1696,A60,GERAL!AL$8:AL$1696)</f>
        <v>0</v>
      </c>
      <c r="Q60" s="100">
        <f>SUMIF(GERAL!B$8:B$1696,A60,GERAL!AO$8:AO$1696)+SUMIF(GERAL!B$8:B$1696,A60,GERAL!AP$8:AP$1696)</f>
        <v>0</v>
      </c>
      <c r="R60" s="100">
        <f>SUMIF(GERAL!B$8:B$1696,A60,GERAL!AS$8:AS$1696)+SUMIF(GERAL!B$8:B$1696,A60,GERAL!AT$8:AT$1696)</f>
        <v>0</v>
      </c>
      <c r="S60" s="75">
        <f t="shared" si="39"/>
        <v>297</v>
      </c>
      <c r="T60" s="116">
        <f>COUNTIFS(GERAL!B$8:B$1696,A60,GERAL!AZ$8:AZ$1696,"&gt;0",GERAL!C$8:C$1696,"ESCOLA")</f>
        <v>1</v>
      </c>
      <c r="U60" s="75">
        <f>COUNTIFS(GERAL!B$8:B$1696,A60,GERAL!AZ$8:AZ$1696,"&gt;0",GERAL!C$8:C$1696,"ANEXO")</f>
        <v>0</v>
      </c>
      <c r="V60" s="85">
        <f>SUMIF(GERAL!B$8:B$1696,A60,GERAL!AH$8:AH$1696)</f>
        <v>0</v>
      </c>
      <c r="W60" s="85">
        <f>SUMIF(GERAL!B$8:B$1696,A60,GERAL!AM$8:AM$1696)</f>
        <v>0</v>
      </c>
      <c r="X60" s="85">
        <f>SUMIF(GERAL!B$8:B$1696,A60,GERAL!AQ$8:AQ$1696)</f>
        <v>127</v>
      </c>
      <c r="Y60" s="85">
        <f>SUMIF(GERAL!B$8:B$1696,A60,GERAL!AU$8:AU$1696)</f>
        <v>12</v>
      </c>
      <c r="Z60" s="88">
        <f t="shared" si="40"/>
        <v>139</v>
      </c>
      <c r="AA60" s="116">
        <f>COUNTIFS(GERAL!B$8:B$1696,A60,GERAL!BK$8:BK$1696,"&gt;0",GERAL!C$8:C$1696,"ESCOLA")</f>
        <v>1</v>
      </c>
      <c r="AB60" s="88">
        <f>COUNTIFS(GERAL!B$8:B$1696,A60,GERAL!BK$8:BK$1696,"&gt;0",GERAL!C$8:C$1696,"ANEXO")</f>
        <v>1</v>
      </c>
      <c r="AC60" s="121">
        <f>SUMIF(GERAL!B$8:B$1696,A60,GERAL!AD$8:AD$1696)</f>
        <v>0</v>
      </c>
      <c r="AD60" s="121">
        <f>SUMIF(GERAL!B$8:B$1696,A60,GERAL!AI$8:AI$1696)</f>
        <v>259</v>
      </c>
      <c r="AE60" s="121">
        <f>SUMIF(GERAL!B$8:B$1696,A60,GERAL!AV$8:AV$1696)</f>
        <v>86</v>
      </c>
      <c r="AF60" s="492">
        <f t="shared" si="41"/>
        <v>345</v>
      </c>
      <c r="AG60" s="178">
        <f>COUNTIFS(GERAL!B$8:B$1696,A60,GERAL!AW$8:AW$1696,"&gt;0",GERAL!C$8:C$1696,"ESCOLA")</f>
        <v>1</v>
      </c>
      <c r="AH60" s="118">
        <f>COUNTIFS(GERAL!B$8:B$1696,A60,GERAL!AW$8:AW$1696,"&gt;0",GERAL!C$8:C$1696,"ANEXO")</f>
        <v>1</v>
      </c>
      <c r="AI60" s="177">
        <f>SUMIF(GERAL!B$8:B$1696,A60,GERAL!AS$8:AS$1696)+SUMIF(GERAL!B$8:B$1696,A60,GERAL!AT$8:AT$1696)</f>
        <v>0</v>
      </c>
      <c r="AJ60" s="177">
        <f>SUMIF(GERAL!B$8:B$1696,A60,GERAL!AU$8:AU$1696)</f>
        <v>12</v>
      </c>
      <c r="AK60" s="177">
        <f>SUMIF(GERAL!B$8:B$1696,A60,GERAL!AV$8:AV$1696)</f>
        <v>86</v>
      </c>
      <c r="AL60" s="118">
        <f t="shared" si="42"/>
        <v>98</v>
      </c>
      <c r="AM60" s="493" t="s">
        <v>1393</v>
      </c>
    </row>
    <row r="61">
      <c r="A61" s="494" t="s">
        <v>1101</v>
      </c>
      <c r="B61" s="75">
        <f>COUNTIFS(GERAL!B$8:B$1696,A61,GERAL!C$8:C$1696,"ESCOLA")</f>
        <v>1</v>
      </c>
      <c r="C61" s="75">
        <f>COUNTIFS(GERAL!B$8:B$1696,A61,GERAL!C$8:C$1696,"ANEXO")</f>
        <v>0</v>
      </c>
      <c r="D61" s="85">
        <f>SUMIF(GERAL!B$8:B$1696,A61,GERAL!Z$8:Z$1696)</f>
        <v>0</v>
      </c>
      <c r="E61" s="85">
        <f>SUMIF(GERAL!B$8:B$1696,A61,GERAL!AE$8:AE$1696)</f>
        <v>0</v>
      </c>
      <c r="F61" s="85">
        <f>SUMIF(GERAL!B$8:B$1696,A61,GERAL!AJ$8:AJ$1696)</f>
        <v>338</v>
      </c>
      <c r="G61" s="85">
        <f>SUMIF(GERAL!B$8:B$1696,A61,GERAL!AN$8:AN$1696)</f>
        <v>0</v>
      </c>
      <c r="H61" s="85">
        <f>SUMIF(GERAL!B$8:B$1696,A61,GERAL!AR$8:AW$1696)</f>
        <v>120</v>
      </c>
      <c r="I61" s="85">
        <f>SUMIF(GERAL!B$8:B$1696,A61,GERAL!AW$8:AW$1696)</f>
        <v>64</v>
      </c>
      <c r="J61" s="75">
        <f>SUMIF(GERAL!B$8:B$1696,A61,GERAL!AX$8:AX$1696)</f>
        <v>522</v>
      </c>
      <c r="K61" s="75">
        <f>COUNTIFS(GERAL!B$8:B$1696,A61,GERAL!AY$8:AY$1696,"&gt;0",GERAL!C$8:C$1696,"ESCOLA")</f>
        <v>1</v>
      </c>
      <c r="L61" s="75">
        <f>COUNTIFS(GERAL!B$8:B$1696,A61,GERAL!AY$8:AY$1696,"&gt;0",GERAL!C$8:C$1696,"ANEXO")</f>
        <v>0</v>
      </c>
      <c r="M61" s="100">
        <f>SUMIF(GERAL!B$8:B$1696,A61,GERAL!V$8:V$1696)+SUMIF(GERAL!B$8:B$1696,A61,GERAL!W$8:W$1696)</f>
        <v>0</v>
      </c>
      <c r="N61" s="100">
        <f>SUMIF(GERAL!B$8:B$1696,A61,GERAL!AA$8:AA$1696)+SUMIF(GERAL!B$8:B$1696,A61,GERAL!AB$8:AB$1696)</f>
        <v>0</v>
      </c>
      <c r="O61" s="100">
        <f>SUMIF(GERAL!B$8:B$1696,A61,GERAL!AF$8:AF$1696)+SUMIF(GERAL!B$8:B$1696,A61,GERAL!AG$8:AG$1696)</f>
        <v>306</v>
      </c>
      <c r="P61" s="100">
        <f>SUMIF(GERAL!B$8:B$1696,A61,GERAL!AK$8:AK$1696)+SUMIF(GERAL!B$8:B$1696,A61,GERAL!AL$8:AL$1696)</f>
        <v>0</v>
      </c>
      <c r="Q61" s="100">
        <f>SUMIF(GERAL!B$8:B$1696,A61,GERAL!AO$8:AO$1696)+SUMIF(GERAL!B$8:B$1696,A61,GERAL!AP$8:AP$1696)</f>
        <v>0</v>
      </c>
      <c r="R61" s="100">
        <f>SUMIF(GERAL!B$8:B$1696,A61,GERAL!AS$8:AS$1696)+SUMIF(GERAL!B$8:B$1696,A61,GERAL!AT$8:AT$1696)</f>
        <v>64</v>
      </c>
      <c r="S61" s="75">
        <f t="shared" si="39"/>
        <v>370</v>
      </c>
      <c r="T61" s="116">
        <f>COUNTIFS(GERAL!B$8:B$1696,A61,GERAL!AZ$8:AZ$1696,"&gt;0",GERAL!C$8:C$1696,"ESCOLA")</f>
        <v>1</v>
      </c>
      <c r="U61" s="75">
        <f>COUNTIFS(GERAL!B$8:B$1696,A61,GERAL!AZ$8:AZ$1696,"&gt;0",GERAL!C$8:C$1696,"ANEXO")</f>
        <v>0</v>
      </c>
      <c r="V61" s="85">
        <f>SUMIF(GERAL!B$8:B$1696,A61,GERAL!AH$8:AH$1696)</f>
        <v>0</v>
      </c>
      <c r="W61" s="85">
        <f>SUMIF(GERAL!B$8:B$1696,A61,GERAL!AM$8:AM$1696)</f>
        <v>0</v>
      </c>
      <c r="X61" s="85">
        <f>SUMIF(GERAL!B$8:B$1696,A61,GERAL!AQ$8:AQ$1696)</f>
        <v>120</v>
      </c>
      <c r="Y61" s="85">
        <f>SUMIF(GERAL!B$8:B$1696,A61,GERAL!AU$8:AU$1696)</f>
        <v>0</v>
      </c>
      <c r="Z61" s="88">
        <f t="shared" si="40"/>
        <v>120</v>
      </c>
      <c r="AA61" s="116">
        <f>COUNTIFS(GERAL!B$8:B$1696,A61,GERAL!BK$8:BK$1696,"&gt;0",GERAL!C$8:C$1696,"ESCOLA")</f>
        <v>1</v>
      </c>
      <c r="AB61" s="88">
        <f>COUNTIFS(GERAL!B$8:B$1696,A61,GERAL!BK$8:BK$1696,"&gt;0",GERAL!C$8:C$1696,"ANEXO")</f>
        <v>0</v>
      </c>
      <c r="AC61" s="121">
        <f>SUMIF(GERAL!B$8:B$1696,A61,GERAL!AD$8:AD$1696)</f>
        <v>0</v>
      </c>
      <c r="AD61" s="121">
        <f>SUMIF(GERAL!B$8:B$1696,A61,GERAL!AI$8:AI$1696)</f>
        <v>32</v>
      </c>
      <c r="AE61" s="121">
        <f>SUMIF(GERAL!B$8:B$1696,A61,GERAL!AV$8:AV$1696)</f>
        <v>0</v>
      </c>
      <c r="AF61" s="492">
        <f t="shared" si="41"/>
        <v>32</v>
      </c>
      <c r="AG61" s="178">
        <f>COUNTIFS(GERAL!B$8:B$1696,A61,GERAL!AW$8:AW$1696,"&gt;0",GERAL!C$8:C$1696,"ESCOLA")</f>
        <v>1</v>
      </c>
      <c r="AH61" s="118">
        <f>COUNTIFS(GERAL!B$8:B$1696,A61,GERAL!AW$8:AW$1696,"&gt;0",GERAL!C$8:C$1696,"ANEXO")</f>
        <v>0</v>
      </c>
      <c r="AI61" s="177">
        <f>SUMIF(GERAL!B$8:B$1696,A61,GERAL!AS$8:AS$1696)+SUMIF(GERAL!B$8:B$1696,A61,GERAL!AT$8:AT$1696)</f>
        <v>64</v>
      </c>
      <c r="AJ61" s="177">
        <f>SUMIF(GERAL!B$8:B$1696,A61,GERAL!AU$8:AU$1696)</f>
        <v>0</v>
      </c>
      <c r="AK61" s="177">
        <f>SUMIF(GERAL!B$8:B$1696,A61,GERAL!AV$8:AV$1696)</f>
        <v>0</v>
      </c>
      <c r="AL61" s="118">
        <f t="shared" si="42"/>
        <v>64</v>
      </c>
      <c r="AM61" s="493" t="s">
        <v>383</v>
      </c>
    </row>
    <row r="62">
      <c r="A62" s="484" t="s">
        <v>2366</v>
      </c>
      <c r="B62" s="75">
        <f>COUNTIFS(GERAL!B$8:B$1696,A62,GERAL!C$8:C$1696,"ESCOLA")</f>
        <v>1</v>
      </c>
      <c r="C62" s="75">
        <f>COUNTIFS(GERAL!B$8:B$1696,A62,GERAL!C$8:C$1696,"ANEXO")</f>
        <v>3</v>
      </c>
      <c r="D62" s="85">
        <f>SUMIF(GERAL!B$8:B$1696,A62,GERAL!Z$8:Z$1696)</f>
        <v>0</v>
      </c>
      <c r="E62" s="85">
        <f>SUMIF(GERAL!B$8:B$1696,A62,GERAL!AE$8:AE$1696)</f>
        <v>0</v>
      </c>
      <c r="F62" s="85">
        <f>SUMIF(GERAL!B$8:B$1696,A62,GERAL!AJ$8:AJ$1696)</f>
        <v>489</v>
      </c>
      <c r="G62" s="85">
        <f>SUMIF(GERAL!B$8:B$1696,A62,GERAL!AN$8:AN$1696)</f>
        <v>0</v>
      </c>
      <c r="H62" s="85">
        <f>SUMIF(GERAL!B$8:B$1696,A62,GERAL!AR$8:AW$1696)</f>
        <v>105</v>
      </c>
      <c r="I62" s="85">
        <f>SUMIF(GERAL!B$8:B$1696,A62,GERAL!AW$8:AW$1696)</f>
        <v>25</v>
      </c>
      <c r="J62" s="75">
        <f>SUMIF(GERAL!B$8:B$1696,A62,GERAL!AX$8:AX$1696)</f>
        <v>619</v>
      </c>
      <c r="K62" s="75">
        <f>COUNTIFS(GERAL!B$8:B$1696,A62,GERAL!AY$8:AY$1696,"&gt;0",GERAL!C$8:C$1696,"ESCOLA")</f>
        <v>1</v>
      </c>
      <c r="L62" s="75">
        <f>COUNTIFS(GERAL!B$8:B$1696,A62,GERAL!AY$8:AY$1696,"&gt;0",GERAL!C$8:C$1696,"ANEXO")</f>
        <v>1</v>
      </c>
      <c r="M62" s="100">
        <f>SUMIF(GERAL!B$8:B$1696,A62,GERAL!V$8:V$1696)+SUMIF(GERAL!B$8:B$1696,A62,GERAL!W$8:W$1696)</f>
        <v>0</v>
      </c>
      <c r="N62" s="100">
        <f>SUMIF(GERAL!B$8:B$1696,A62,GERAL!AA$8:AA$1696)+SUMIF(GERAL!B$8:B$1696,A62,GERAL!AB$8:AB$1696)</f>
        <v>0</v>
      </c>
      <c r="O62" s="100">
        <f>SUMIF(GERAL!B$8:B$1696,A62,GERAL!AF$8:AF$1696)+SUMIF(GERAL!B$8:B$1696,A62,GERAL!AG$8:AG$1696)</f>
        <v>332</v>
      </c>
      <c r="P62" s="100">
        <f>SUMIF(GERAL!B$8:B$1696,A62,GERAL!AK$8:AK$1696)+SUMIF(GERAL!B$8:B$1696,A62,GERAL!AL$8:AL$1696)</f>
        <v>0</v>
      </c>
      <c r="Q62" s="100">
        <f>SUMIF(GERAL!B$8:B$1696,A62,GERAL!AO$8:AO$1696)+SUMIF(GERAL!B$8:B$1696,A62,GERAL!AP$8:AP$1696)</f>
        <v>0</v>
      </c>
      <c r="R62" s="100">
        <f>SUMIF(GERAL!B$8:B$1696,A62,GERAL!AS$8:AS$1696)+SUMIF(GERAL!B$8:B$1696,A62,GERAL!AT$8:AT$1696)</f>
        <v>0</v>
      </c>
      <c r="S62" s="75">
        <f t="shared" si="39"/>
        <v>332</v>
      </c>
      <c r="T62" s="116">
        <f>COUNTIFS(GERAL!B$8:B$1696,A62,GERAL!AZ$8:AZ$1696,"&gt;0",GERAL!C$8:C$1696,"ESCOLA")</f>
        <v>1</v>
      </c>
      <c r="U62" s="75">
        <f>COUNTIFS(GERAL!B$8:B$1696,A62,GERAL!AZ$8:AZ$1696,"&gt;0",GERAL!C$8:C$1696,"ANEXO")</f>
        <v>3</v>
      </c>
      <c r="V62" s="85">
        <f>SUMIF(GERAL!B$8:B$1696,A62,GERAL!AH$8:AH$1696)</f>
        <v>66</v>
      </c>
      <c r="W62" s="85">
        <f>SUMIF(GERAL!B$8:B$1696,A62,GERAL!AM$8:AM$1696)</f>
        <v>0</v>
      </c>
      <c r="X62" s="85">
        <f>SUMIF(GERAL!B$8:B$1696,A62,GERAL!AQ$8:AQ$1696)</f>
        <v>105</v>
      </c>
      <c r="Y62" s="85">
        <f>SUMIF(GERAL!B$8:B$1696,A62,GERAL!AU$8:AU$1696)</f>
        <v>25</v>
      </c>
      <c r="Z62" s="88">
        <f t="shared" si="40"/>
        <v>196</v>
      </c>
      <c r="AA62" s="116">
        <f>COUNTIFS(GERAL!B$8:B$1696,A62,GERAL!BK$8:BK$1696,"&gt;0",GERAL!C$8:C$1696,"ESCOLA")</f>
        <v>1</v>
      </c>
      <c r="AB62" s="88">
        <f>COUNTIFS(GERAL!B$8:B$1696,A62,GERAL!BK$8:BK$1696,"&gt;0",GERAL!C$8:C$1696,"ANEXO")</f>
        <v>0</v>
      </c>
      <c r="AC62" s="121">
        <f>SUMIF(GERAL!B$8:B$1696,A62,GERAL!AD$8:AD$1696)</f>
        <v>0</v>
      </c>
      <c r="AD62" s="121">
        <f>SUMIF(GERAL!B$8:B$1696,A62,GERAL!AI$8:AI$1696)</f>
        <v>91</v>
      </c>
      <c r="AE62" s="121">
        <f>SUMIF(GERAL!B$8:B$1696,A62,GERAL!AV$8:AV$1696)</f>
        <v>0</v>
      </c>
      <c r="AF62" s="492">
        <f t="shared" si="41"/>
        <v>91</v>
      </c>
      <c r="AG62" s="178">
        <f>COUNTIFS(GERAL!B$8:B$1696,A62,GERAL!AW$8:AW$1696,"&gt;0",GERAL!C$8:C$1696,"ESCOLA")</f>
        <v>1</v>
      </c>
      <c r="AH62" s="118">
        <f>COUNTIFS(GERAL!B$8:B$1696,A62,GERAL!AW$8:AW$1696,"&gt;0",GERAL!C$8:C$1696,"ANEXO")</f>
        <v>0</v>
      </c>
      <c r="AI62" s="177">
        <f>SUMIF(GERAL!B$8:B$1696,A62,GERAL!AS$8:AS$1696)+SUMIF(GERAL!B$8:B$1696,A62,GERAL!AT$8:AT$1696)</f>
        <v>0</v>
      </c>
      <c r="AJ62" s="177">
        <f>SUMIF(GERAL!B$8:B$1696,A62,GERAL!AU$8:AU$1696)</f>
        <v>25</v>
      </c>
      <c r="AK62" s="177">
        <f>SUMIF(GERAL!B$8:B$1696,A62,GERAL!AV$8:AV$1696)</f>
        <v>0</v>
      </c>
      <c r="AL62" s="118">
        <f t="shared" si="42"/>
        <v>25</v>
      </c>
      <c r="AM62" s="493" t="s">
        <v>1535</v>
      </c>
    </row>
    <row r="63">
      <c r="A63" s="494" t="s">
        <v>4311</v>
      </c>
      <c r="B63" s="75">
        <f>COUNTIFS(GERAL!B$8:B$1696,A63,GERAL!C$8:C$1696,"ESCOLA")</f>
        <v>4</v>
      </c>
      <c r="C63" s="75">
        <f>COUNTIFS(GERAL!B$8:B$1696,A63,GERAL!C$8:C$1696,"ANEXO")</f>
        <v>1</v>
      </c>
      <c r="D63" s="85">
        <f>SUMIF(GERAL!B$8:B$1696,A63,GERAL!Z$8:Z$1696)</f>
        <v>0</v>
      </c>
      <c r="E63" s="85">
        <f>SUMIF(GERAL!B$8:B$1696,A63,GERAL!AE$8:AE$1696)</f>
        <v>0</v>
      </c>
      <c r="F63" s="85">
        <f>SUMIF(GERAL!B$8:B$1696,A63,GERAL!AJ$8:AJ$1696)</f>
        <v>531</v>
      </c>
      <c r="G63" s="85">
        <f>SUMIF(GERAL!B$8:B$1696,A63,GERAL!AN$8:AN$1696)</f>
        <v>0</v>
      </c>
      <c r="H63" s="85">
        <f>SUMIF(GERAL!B$8:B$1696,A63,GERAL!AR$8:AW$1696)</f>
        <v>83</v>
      </c>
      <c r="I63" s="85">
        <f>SUMIF(GERAL!B$8:B$1696,A63,GERAL!AW$8:AW$1696)</f>
        <v>101</v>
      </c>
      <c r="J63" s="75">
        <f>SUMIF(GERAL!B$8:B$1696,A63,GERAL!AX$8:AX$1696)</f>
        <v>715</v>
      </c>
      <c r="K63" s="75">
        <f>COUNTIFS(GERAL!B$8:B$1696,A63,GERAL!AY$8:AY$1696,"&gt;0",GERAL!C$8:C$1696,"ESCOLA")</f>
        <v>4</v>
      </c>
      <c r="L63" s="75">
        <f>COUNTIFS(GERAL!B$8:B$1696,A63,GERAL!AY$8:AY$1696,"&gt;0",GERAL!C$8:C$1696,"ANEXO")</f>
        <v>0</v>
      </c>
      <c r="M63" s="100">
        <f>SUMIF(GERAL!B$8:B$1696,A63,GERAL!V$8:V$1696)+SUMIF(GERAL!B$8:B$1696,A63,GERAL!W$8:W$1696)</f>
        <v>0</v>
      </c>
      <c r="N63" s="100">
        <f>SUMIF(GERAL!B$8:B$1696,A63,GERAL!AA$8:AA$1696)+SUMIF(GERAL!B$8:B$1696,A63,GERAL!AB$8:AB$1696)</f>
        <v>0</v>
      </c>
      <c r="O63" s="100">
        <f>SUMIF(GERAL!B$8:B$1696,A63,GERAL!AF$8:AF$1696)+SUMIF(GERAL!B$8:B$1696,A63,GERAL!AG$8:AG$1696)</f>
        <v>441</v>
      </c>
      <c r="P63" s="100">
        <f>SUMIF(GERAL!B$8:B$1696,A63,GERAL!AK$8:AK$1696)+SUMIF(GERAL!B$8:B$1696,A63,GERAL!AL$8:AL$1696)</f>
        <v>0</v>
      </c>
      <c r="Q63" s="100">
        <f>SUMIF(GERAL!B$8:B$1696,A63,GERAL!AO$8:AO$1696)+SUMIF(GERAL!B$8:B$1696,A63,GERAL!AP$8:AP$1696)</f>
        <v>0</v>
      </c>
      <c r="R63" s="100">
        <f>SUMIF(GERAL!B$8:B$1696,A63,GERAL!AS$8:AS$1696)+SUMIF(GERAL!B$8:B$1696,A63,GERAL!AT$8:AT$1696)</f>
        <v>0</v>
      </c>
      <c r="S63" s="75">
        <f t="shared" si="39"/>
        <v>441</v>
      </c>
      <c r="T63" s="116">
        <f>COUNTIFS(GERAL!B$8:B$1696,A63,GERAL!AZ$8:AZ$1696,"&gt;0",GERAL!C$8:C$1696,"ESCOLA")</f>
        <v>2</v>
      </c>
      <c r="U63" s="75">
        <f>COUNTIFS(GERAL!B$8:B$1696,A63,GERAL!AZ$8:AZ$1696,"&gt;0",GERAL!C$8:C$1696,"ANEXO")</f>
        <v>1</v>
      </c>
      <c r="V63" s="85">
        <f>SUMIF(GERAL!B$8:B$1696,A63,GERAL!AH$8:AH$1696)</f>
        <v>0</v>
      </c>
      <c r="W63" s="85">
        <f>SUMIF(GERAL!B$8:B$1696,A63,GERAL!AM$8:AM$1696)</f>
        <v>0</v>
      </c>
      <c r="X63" s="85">
        <f>SUMIF(GERAL!B$8:B$1696,A63,GERAL!AQ$8:AQ$1696)</f>
        <v>83</v>
      </c>
      <c r="Y63" s="85">
        <f>SUMIF(GERAL!B$8:B$1696,A63,GERAL!AU$8:AU$1696)</f>
        <v>44</v>
      </c>
      <c r="Z63" s="88">
        <f t="shared" si="40"/>
        <v>127</v>
      </c>
      <c r="AA63" s="116">
        <f>COUNTIFS(GERAL!B$8:B$1696,A63,GERAL!BK$8:BK$1696,"&gt;0",GERAL!C$8:C$1696,"ESCOLA")</f>
        <v>1</v>
      </c>
      <c r="AB63" s="88">
        <f>COUNTIFS(GERAL!B$8:B$1696,A63,GERAL!BK$8:BK$1696,"&gt;0",GERAL!C$8:C$1696,"ANEXO")</f>
        <v>0</v>
      </c>
      <c r="AC63" s="121">
        <f>SUMIF(GERAL!B$8:B$1696,A63,GERAL!AD$8:AD$1696)</f>
        <v>0</v>
      </c>
      <c r="AD63" s="121">
        <f>SUMIF(GERAL!B$8:B$1696,A63,GERAL!AI$8:AI$1696)</f>
        <v>90</v>
      </c>
      <c r="AE63" s="121">
        <f>SUMIF(GERAL!B$8:B$1696,A63,GERAL!AV$8:AV$1696)</f>
        <v>57</v>
      </c>
      <c r="AF63" s="492">
        <f t="shared" si="41"/>
        <v>147</v>
      </c>
      <c r="AG63" s="178">
        <f>COUNTIFS(GERAL!B$8:B$1696,A63,GERAL!AW$8:AW$1696,"&gt;0",GERAL!C$8:C$1696,"ESCOLA")</f>
        <v>1</v>
      </c>
      <c r="AH63" s="118">
        <f>COUNTIFS(GERAL!B$8:B$1696,A63,GERAL!AW$8:AW$1696,"&gt;0",GERAL!C$8:C$1696,"ANEXO")</f>
        <v>0</v>
      </c>
      <c r="AI63" s="177">
        <f>SUMIF(GERAL!B$8:B$1696,A63,GERAL!AS$8:AS$1696)+SUMIF(GERAL!B$8:B$1696,A63,GERAL!AT$8:AT$1696)</f>
        <v>0</v>
      </c>
      <c r="AJ63" s="177">
        <f>SUMIF(GERAL!B$8:B$1696,A63,GERAL!AU$8:AU$1696)</f>
        <v>44</v>
      </c>
      <c r="AK63" s="177">
        <f>SUMIF(GERAL!B$8:B$1696,A63,GERAL!AV$8:AV$1696)</f>
        <v>57</v>
      </c>
      <c r="AL63" s="118">
        <f t="shared" si="42"/>
        <v>101</v>
      </c>
      <c r="AM63" s="493" t="s">
        <v>1027</v>
      </c>
    </row>
    <row r="64">
      <c r="A64" s="484" t="s">
        <v>472</v>
      </c>
      <c r="B64" s="75">
        <f>COUNTIFS(GERAL!B$8:B$1696,A64,GERAL!C$8:C$1696,"ESCOLA")</f>
        <v>6</v>
      </c>
      <c r="C64" s="75">
        <f>COUNTIFS(GERAL!B$8:B$1696,A64,GERAL!C$8:C$1696,"ANEXO")</f>
        <v>11</v>
      </c>
      <c r="D64" s="85">
        <f>SUMIF(GERAL!B$8:B$1696,A64,GERAL!Z$8:Z$1696)</f>
        <v>0</v>
      </c>
      <c r="E64" s="85">
        <f>SUMIF(GERAL!B$8:B$1696,A64,GERAL!AE$8:AE$1696)</f>
        <v>371</v>
      </c>
      <c r="F64" s="85">
        <f>SUMIF(GERAL!B$8:B$1696,A64,GERAL!AJ$8:AJ$1696)</f>
        <v>1715</v>
      </c>
      <c r="G64" s="85">
        <f>SUMIF(GERAL!B$8:B$1696,A64,GERAL!AN$8:AN$1696)</f>
        <v>0</v>
      </c>
      <c r="H64" s="85">
        <f>SUMIF(GERAL!B$8:B$1696,A64,GERAL!AR$8:AW$1696)</f>
        <v>703</v>
      </c>
      <c r="I64" s="85">
        <f>SUMIF(GERAL!B$8:B$1696,A64,GERAL!AW$8:AW$1696)</f>
        <v>368</v>
      </c>
      <c r="J64" s="75">
        <f>SUMIF(GERAL!B$8:B$1696,A64,GERAL!AX$8:AX$1696)</f>
        <v>3157</v>
      </c>
      <c r="K64" s="75">
        <f>COUNTIFS(GERAL!B$8:B$1696,A64,GERAL!AY$8:AY$1696,"&gt;0",GERAL!C$8:C$1696,"ESCOLA")</f>
        <v>5</v>
      </c>
      <c r="L64" s="75">
        <f>COUNTIFS(GERAL!B$8:B$1696,A64,GERAL!AY$8:AY$1696,"&gt;0",GERAL!C$8:C$1696,"ANEXO")</f>
        <v>2</v>
      </c>
      <c r="M64" s="100">
        <f>SUMIF(GERAL!B$8:B$1696,A64,GERAL!V$8:V$1696)+SUMIF(GERAL!B$8:B$1696,A64,GERAL!W$8:W$1696)</f>
        <v>0</v>
      </c>
      <c r="N64" s="100">
        <f>SUMIF(GERAL!B$8:B$1696,A64,GERAL!AA$8:AA$1696)+SUMIF(GERAL!B$8:B$1696,A64,GERAL!AB$8:AB$1696)</f>
        <v>371</v>
      </c>
      <c r="O64" s="100">
        <f>SUMIF(GERAL!B$8:B$1696,A64,GERAL!AF$8:AF$1696)+SUMIF(GERAL!B$8:B$1696,A64,GERAL!AG$8:AG$1696)</f>
        <v>1609</v>
      </c>
      <c r="P64" s="100">
        <f>SUMIF(GERAL!B$8:B$1696,A64,GERAL!AK$8:AK$1696)+SUMIF(GERAL!B$8:B$1696,A64,GERAL!AL$8:AL$1696)</f>
        <v>0</v>
      </c>
      <c r="Q64" s="100">
        <f>SUMIF(GERAL!B$8:B$1696,A64,GERAL!AO$8:AO$1696)+SUMIF(GERAL!B$8:B$1696,A64,GERAL!AP$8:AP$1696)</f>
        <v>0</v>
      </c>
      <c r="R64" s="100">
        <f>SUMIF(GERAL!B$8:B$1696,A64,GERAL!AS$8:AS$1696)+SUMIF(GERAL!B$8:B$1696,A64,GERAL!AT$8:AT$1696)</f>
        <v>135</v>
      </c>
      <c r="S64" s="75">
        <f t="shared" si="39"/>
        <v>2115</v>
      </c>
      <c r="T64" s="116">
        <f>COUNTIFS(GERAL!B$8:B$1696,A64,GERAL!AZ$8:AZ$1696,"&gt;0",GERAL!C$8:C$1696,"ESCOLA")</f>
        <v>4</v>
      </c>
      <c r="U64" s="75">
        <f>COUNTIFS(GERAL!B$8:B$1696,A64,GERAL!AZ$8:AZ$1696,"&gt;0",GERAL!C$8:C$1696,"ANEXO")</f>
        <v>11</v>
      </c>
      <c r="V64" s="85">
        <f>SUMIF(GERAL!B$8:B$1696,A64,GERAL!AH$8:AH$1696)</f>
        <v>36</v>
      </c>
      <c r="W64" s="85">
        <f>SUMIF(GERAL!B$8:B$1696,A64,GERAL!AM$8:AM$1696)</f>
        <v>0</v>
      </c>
      <c r="X64" s="85">
        <f>SUMIF(GERAL!B$8:B$1696,A64,GERAL!AQ$8:AQ$1696)</f>
        <v>703</v>
      </c>
      <c r="Y64" s="85">
        <f>SUMIF(GERAL!B$8:B$1696,A64,GERAL!AU$8:AU$1696)</f>
        <v>14</v>
      </c>
      <c r="Z64" s="88">
        <f t="shared" si="40"/>
        <v>753</v>
      </c>
      <c r="AA64" s="116">
        <f>COUNTIFS(GERAL!B$8:B$1696,A64,GERAL!BK$8:BK$1696,"&gt;0",GERAL!C$8:C$1696,"ESCOLA")</f>
        <v>2</v>
      </c>
      <c r="AB64" s="88">
        <f>COUNTIFS(GERAL!B$8:B$1696,A64,GERAL!BK$8:BK$1696,"&gt;0",GERAL!C$8:C$1696,"ANEXO")</f>
        <v>0</v>
      </c>
      <c r="AC64" s="121">
        <f>SUMIF(GERAL!B$8:B$1696,A64,GERAL!AD$8:AD$1696)</f>
        <v>0</v>
      </c>
      <c r="AD64" s="121">
        <f>SUMIF(GERAL!B$8:B$1696,A64,GERAL!AI$8:AI$1696)</f>
        <v>70</v>
      </c>
      <c r="AE64" s="121">
        <f>SUMIF(GERAL!B$8:B$1696,A64,GERAL!AV$8:AV$1696)</f>
        <v>219</v>
      </c>
      <c r="AF64" s="492">
        <f t="shared" si="41"/>
        <v>289</v>
      </c>
      <c r="AG64" s="178">
        <f>COUNTIFS(GERAL!B$8:B$1696,A64,GERAL!AW$8:AW$1696,"&gt;0",GERAL!C$8:C$1696,"ESCOLA")</f>
        <v>2</v>
      </c>
      <c r="AH64" s="118">
        <f>COUNTIFS(GERAL!B$8:B$1696,A64,GERAL!AW$8:AW$1696,"&gt;0",GERAL!C$8:C$1696,"ANEXO")</f>
        <v>0</v>
      </c>
      <c r="AI64" s="177">
        <f>SUMIF(GERAL!B$8:B$1696,A64,GERAL!AS$8:AS$1696)+SUMIF(GERAL!B$8:B$1696,A64,GERAL!AT$8:AT$1696)</f>
        <v>135</v>
      </c>
      <c r="AJ64" s="177">
        <f>SUMIF(GERAL!B$8:B$1696,A64,GERAL!AU$8:AU$1696)</f>
        <v>14</v>
      </c>
      <c r="AK64" s="177">
        <f>SUMIF(GERAL!B$8:B$1696,A64,GERAL!AV$8:AV$1696)</f>
        <v>219</v>
      </c>
      <c r="AL64" s="118">
        <f t="shared" si="42"/>
        <v>368</v>
      </c>
      <c r="AM64" s="493" t="s">
        <v>205</v>
      </c>
    </row>
    <row r="65">
      <c r="A65" s="494" t="s">
        <v>6157</v>
      </c>
      <c r="B65" s="75">
        <f>COUNTIFS(GERAL!B$8:B$1696,A65,GERAL!C$8:C$1696,"ESCOLA")</f>
        <v>1</v>
      </c>
      <c r="C65" s="75">
        <f>COUNTIFS(GERAL!B$8:B$1696,A65,GERAL!C$8:C$1696,"ANEXO")</f>
        <v>0</v>
      </c>
      <c r="D65" s="85">
        <f>SUMIF(GERAL!B$8:B$1696,A65,GERAL!Z$8:Z$1696)</f>
        <v>0</v>
      </c>
      <c r="E65" s="85">
        <f>SUMIF(GERAL!B$8:B$1696,A65,GERAL!AE$8:AE$1696)</f>
        <v>0</v>
      </c>
      <c r="F65" s="85">
        <f>SUMIF(GERAL!B$8:B$1696,A65,GERAL!AJ$8:AJ$1696)</f>
        <v>266</v>
      </c>
      <c r="G65" s="85">
        <f>SUMIF(GERAL!B$8:B$1696,A65,GERAL!AN$8:AN$1696)</f>
        <v>0</v>
      </c>
      <c r="H65" s="85">
        <f>SUMIF(GERAL!B$8:B$1696,A65,GERAL!AR$8:AW$1696)</f>
        <v>23</v>
      </c>
      <c r="I65" s="85">
        <f>SUMIF(GERAL!B$8:B$1696,A65,GERAL!AW$8:AW$1696)</f>
        <v>99</v>
      </c>
      <c r="J65" s="75">
        <f>SUMIF(GERAL!B$8:B$1696,A65,GERAL!AX$8:AX$1696)</f>
        <v>388</v>
      </c>
      <c r="K65" s="75">
        <f>COUNTIFS(GERAL!B$8:B$1696,A65,GERAL!AY$8:AY$1696,"&gt;0",GERAL!C$8:C$1696,"ESCOLA")</f>
        <v>1</v>
      </c>
      <c r="L65" s="75">
        <f>COUNTIFS(GERAL!B$8:B$1696,A65,GERAL!AY$8:AY$1696,"&gt;0",GERAL!C$8:C$1696,"ANEXO")</f>
        <v>0</v>
      </c>
      <c r="M65" s="100">
        <f>SUMIF(GERAL!B$8:B$1696,A65,GERAL!V$8:V$1696)+SUMIF(GERAL!B$8:B$1696,A65,GERAL!W$8:W$1696)</f>
        <v>0</v>
      </c>
      <c r="N65" s="100">
        <f>SUMIF(GERAL!B$8:B$1696,A65,GERAL!AA$8:AA$1696)+SUMIF(GERAL!B$8:B$1696,A65,GERAL!AB$8:AB$1696)</f>
        <v>0</v>
      </c>
      <c r="O65" s="100">
        <f>SUMIF(GERAL!B$8:B$1696,A65,GERAL!AF$8:AF$1696)+SUMIF(GERAL!B$8:B$1696,A65,GERAL!AG$8:AG$1696)</f>
        <v>46</v>
      </c>
      <c r="P65" s="100">
        <f>SUMIF(GERAL!B$8:B$1696,A65,GERAL!AK$8:AK$1696)+SUMIF(GERAL!B$8:B$1696,A65,GERAL!AL$8:AL$1696)</f>
        <v>0</v>
      </c>
      <c r="Q65" s="100">
        <f>SUMIF(GERAL!B$8:B$1696,A65,GERAL!AO$8:AO$1696)+SUMIF(GERAL!B$8:B$1696,A65,GERAL!AP$8:AP$1696)</f>
        <v>0</v>
      </c>
      <c r="R65" s="100">
        <f>SUMIF(GERAL!B$8:B$1696,A65,GERAL!AS$8:AS$1696)+SUMIF(GERAL!B$8:B$1696,A65,GERAL!AT$8:AT$1696)</f>
        <v>0</v>
      </c>
      <c r="S65" s="75">
        <f t="shared" si="39"/>
        <v>46</v>
      </c>
      <c r="T65" s="116">
        <f>COUNTIFS(GERAL!B$8:B$1696,A65,GERAL!AZ$8:AZ$1696,"&gt;0",GERAL!C$8:C$1696,"ESCOLA")</f>
        <v>1</v>
      </c>
      <c r="U65" s="75">
        <f>COUNTIFS(GERAL!B$8:B$1696,A65,GERAL!AZ$8:AZ$1696,"&gt;0",GERAL!C$8:C$1696,"ANEXO")</f>
        <v>0</v>
      </c>
      <c r="V65" s="85">
        <f>SUMIF(GERAL!B$8:B$1696,A65,GERAL!AH$8:AH$1696)</f>
        <v>0</v>
      </c>
      <c r="W65" s="85">
        <f>SUMIF(GERAL!B$8:B$1696,A65,GERAL!AM$8:AM$1696)</f>
        <v>0</v>
      </c>
      <c r="X65" s="85">
        <f>SUMIF(GERAL!B$8:B$1696,A65,GERAL!AQ$8:AQ$1696)</f>
        <v>23</v>
      </c>
      <c r="Y65" s="85">
        <f>SUMIF(GERAL!B$8:B$1696,A65,GERAL!AU$8:AU$1696)</f>
        <v>0</v>
      </c>
      <c r="Z65" s="88">
        <f t="shared" si="40"/>
        <v>23</v>
      </c>
      <c r="AA65" s="116">
        <f>COUNTIFS(GERAL!B$8:B$1696,A65,GERAL!BK$8:BK$1696,"&gt;0",GERAL!C$8:C$1696,"ESCOLA")</f>
        <v>1</v>
      </c>
      <c r="AB65" s="88">
        <f>COUNTIFS(GERAL!B$8:B$1696,A65,GERAL!BK$8:BK$1696,"&gt;0",GERAL!C$8:C$1696,"ANEXO")</f>
        <v>0</v>
      </c>
      <c r="AC65" s="121">
        <f>SUMIF(GERAL!B$8:B$1696,A65,GERAL!AD$8:AD$1696)</f>
        <v>0</v>
      </c>
      <c r="AD65" s="121">
        <f>SUMIF(GERAL!B$8:B$1696,A65,GERAL!AI$8:AI$1696)</f>
        <v>220</v>
      </c>
      <c r="AE65" s="121">
        <f>SUMIF(GERAL!B$8:B$1696,A65,GERAL!AV$8:AV$1696)</f>
        <v>99</v>
      </c>
      <c r="AF65" s="492">
        <f t="shared" si="41"/>
        <v>319</v>
      </c>
      <c r="AG65" s="178">
        <f>COUNTIFS(GERAL!B$8:B$1696,A65,GERAL!AW$8:AW$1696,"&gt;0",GERAL!C$8:C$1696,"ESCOLA")</f>
        <v>1</v>
      </c>
      <c r="AH65" s="118">
        <f>COUNTIFS(GERAL!B$8:B$1696,A65,GERAL!AW$8:AW$1696,"&gt;0",GERAL!C$8:C$1696,"ANEXO")</f>
        <v>0</v>
      </c>
      <c r="AI65" s="177">
        <f>SUMIF(GERAL!B$8:B$1696,A65,GERAL!AS$8:AS$1696)+SUMIF(GERAL!B$8:B$1696,A65,GERAL!AT$8:AT$1696)</f>
        <v>0</v>
      </c>
      <c r="AJ65" s="177">
        <f>SUMIF(GERAL!B$8:B$1696,A65,GERAL!AU$8:AU$1696)</f>
        <v>0</v>
      </c>
      <c r="AK65" s="177">
        <f>SUMIF(GERAL!B$8:B$1696,A65,GERAL!AV$8:AV$1696)</f>
        <v>99</v>
      </c>
      <c r="AL65" s="118">
        <f t="shared" si="42"/>
        <v>99</v>
      </c>
      <c r="AM65" s="493" t="s">
        <v>1393</v>
      </c>
    </row>
    <row r="66">
      <c r="A66" s="484" t="s">
        <v>806</v>
      </c>
      <c r="B66" s="75">
        <f>COUNTIFS(GERAL!B$8:B$1696,A66,GERAL!C$8:C$1696,"ESCOLA")</f>
        <v>1</v>
      </c>
      <c r="C66" s="75">
        <f>COUNTIFS(GERAL!B$8:B$1696,A66,GERAL!C$8:C$1696,"ANEXO")</f>
        <v>1</v>
      </c>
      <c r="D66" s="85">
        <f>SUMIF(GERAL!B$8:B$1696,A66,GERAL!Z$8:Z$1696)</f>
        <v>0</v>
      </c>
      <c r="E66" s="85">
        <f>SUMIF(GERAL!B$8:B$1696,A66,GERAL!AE$8:AE$1696)</f>
        <v>0</v>
      </c>
      <c r="F66" s="85">
        <f>SUMIF(GERAL!B$8:B$1696,A66,GERAL!AJ$8:AJ$1696)</f>
        <v>409</v>
      </c>
      <c r="G66" s="85">
        <f>SUMIF(GERAL!B$8:B$1696,A66,GERAL!AN$8:AN$1696)</f>
        <v>0</v>
      </c>
      <c r="H66" s="85">
        <f>SUMIF(GERAL!B$8:B$1696,A66,GERAL!AR$8:AW$1696)</f>
        <v>85</v>
      </c>
      <c r="I66" s="85">
        <f>SUMIF(GERAL!B$8:B$1696,A66,GERAL!AW$8:AW$1696)</f>
        <v>41</v>
      </c>
      <c r="J66" s="75">
        <f>SUMIF(GERAL!B$8:B$1696,A66,GERAL!AX$8:AX$1696)</f>
        <v>535</v>
      </c>
      <c r="K66" s="75">
        <f>COUNTIFS(GERAL!B$8:B$1696,A66,GERAL!AY$8:AY$1696,"&gt;0",GERAL!C$8:C$1696,"ESCOLA")</f>
        <v>1</v>
      </c>
      <c r="L66" s="75">
        <f>COUNTIFS(GERAL!B$8:B$1696,A66,GERAL!AY$8:AY$1696,"&gt;0",GERAL!C$8:C$1696,"ANEXO")</f>
        <v>1</v>
      </c>
      <c r="M66" s="100">
        <f>SUMIF(GERAL!B$8:B$1696,A66,GERAL!V$8:V$1696)+SUMIF(GERAL!B$8:B$1696,A66,GERAL!W$8:W$1696)</f>
        <v>0</v>
      </c>
      <c r="N66" s="100">
        <f>SUMIF(GERAL!B$8:B$1696,A66,GERAL!AA$8:AA$1696)+SUMIF(GERAL!B$8:B$1696,A66,GERAL!AB$8:AB$1696)</f>
        <v>0</v>
      </c>
      <c r="O66" s="100">
        <f>SUMIF(GERAL!B$8:B$1696,A66,GERAL!AF$8:AF$1696)+SUMIF(GERAL!B$8:B$1696,A66,GERAL!AG$8:AG$1696)</f>
        <v>59</v>
      </c>
      <c r="P66" s="100">
        <f>SUMIF(GERAL!B$8:B$1696,A66,GERAL!AK$8:AK$1696)+SUMIF(GERAL!B$8:B$1696,A66,GERAL!AL$8:AL$1696)</f>
        <v>0</v>
      </c>
      <c r="Q66" s="100">
        <f>SUMIF(GERAL!B$8:B$1696,A66,GERAL!AO$8:AO$1696)+SUMIF(GERAL!B$8:B$1696,A66,GERAL!AP$8:AP$1696)</f>
        <v>0</v>
      </c>
      <c r="R66" s="100">
        <f>SUMIF(GERAL!B$8:B$1696,A66,GERAL!AS$8:AS$1696)+SUMIF(GERAL!B$8:B$1696,A66,GERAL!AT$8:AT$1696)</f>
        <v>14</v>
      </c>
      <c r="S66" s="75">
        <f t="shared" si="39"/>
        <v>73</v>
      </c>
      <c r="T66" s="116">
        <f>COUNTIFS(GERAL!B$8:B$1696,A66,GERAL!AZ$8:AZ$1696,"&gt;0",GERAL!C$8:C$1696,"ESCOLA")</f>
        <v>1</v>
      </c>
      <c r="U66" s="75">
        <f>COUNTIFS(GERAL!B$8:B$1696,A66,GERAL!AZ$8:AZ$1696,"&gt;0",GERAL!C$8:C$1696,"ANEXO")</f>
        <v>0</v>
      </c>
      <c r="V66" s="85">
        <f>SUMIF(GERAL!B$8:B$1696,A66,GERAL!AH$8:AH$1696)</f>
        <v>0</v>
      </c>
      <c r="W66" s="85">
        <f>SUMIF(GERAL!B$8:B$1696,A66,GERAL!AM$8:AM$1696)</f>
        <v>0</v>
      </c>
      <c r="X66" s="85">
        <f>SUMIF(GERAL!B$8:B$1696,A66,GERAL!AQ$8:AQ$1696)</f>
        <v>85</v>
      </c>
      <c r="Y66" s="85">
        <f>SUMIF(GERAL!B$8:B$1696,A66,GERAL!AU$8:AU$1696)</f>
        <v>0</v>
      </c>
      <c r="Z66" s="88">
        <f t="shared" si="40"/>
        <v>85</v>
      </c>
      <c r="AA66" s="116">
        <f>COUNTIFS(GERAL!B$8:B$1696,A66,GERAL!BK$8:BK$1696,"&gt;0",GERAL!C$8:C$1696,"ESCOLA")</f>
        <v>1</v>
      </c>
      <c r="AB66" s="88">
        <f>COUNTIFS(GERAL!B$8:B$1696,A66,GERAL!BK$8:BK$1696,"&gt;0",GERAL!C$8:C$1696,"ANEXO")</f>
        <v>0</v>
      </c>
      <c r="AC66" s="121">
        <f>SUMIF(GERAL!B$8:B$1696,A66,GERAL!AD$8:AD$1696)</f>
        <v>0</v>
      </c>
      <c r="AD66" s="121">
        <f>SUMIF(GERAL!B$8:B$1696,A66,GERAL!AI$8:AI$1696)</f>
        <v>350</v>
      </c>
      <c r="AE66" s="121">
        <f>SUMIF(GERAL!B$8:B$1696,A66,GERAL!AV$8:AV$1696)</f>
        <v>27</v>
      </c>
      <c r="AF66" s="492">
        <f t="shared" si="41"/>
        <v>377</v>
      </c>
      <c r="AG66" s="178">
        <f>COUNTIFS(GERAL!B$8:B$1696,A66,GERAL!AW$8:AW$1696,"&gt;0",GERAL!C$8:C$1696,"ESCOLA")</f>
        <v>1</v>
      </c>
      <c r="AH66" s="118">
        <f>COUNTIFS(GERAL!B$8:B$1696,A66,GERAL!AW$8:AW$1696,"&gt;0",GERAL!C$8:C$1696,"ANEXO")</f>
        <v>0</v>
      </c>
      <c r="AI66" s="177">
        <f>SUMIF(GERAL!B$8:B$1696,A66,GERAL!AS$8:AS$1696)+SUMIF(GERAL!B$8:B$1696,A66,GERAL!AT$8:AT$1696)</f>
        <v>14</v>
      </c>
      <c r="AJ66" s="177">
        <f>SUMIF(GERAL!B$8:B$1696,A66,GERAL!AU$8:AU$1696)</f>
        <v>0</v>
      </c>
      <c r="AK66" s="177">
        <f>SUMIF(GERAL!B$8:B$1696,A66,GERAL!AV$8:AV$1696)</f>
        <v>27</v>
      </c>
      <c r="AL66" s="118">
        <f t="shared" si="42"/>
        <v>41</v>
      </c>
      <c r="AM66" s="493" t="s">
        <v>285</v>
      </c>
    </row>
    <row r="67">
      <c r="A67" s="494" t="s">
        <v>812</v>
      </c>
      <c r="B67" s="75">
        <f>COUNTIFS(GERAL!B$8:B$1696,A67,GERAL!C$8:C$1696,"ESCOLA")</f>
        <v>1</v>
      </c>
      <c r="C67" s="75">
        <f>COUNTIFS(GERAL!B$8:B$1696,A67,GERAL!C$8:C$1696,"ANEXO")</f>
        <v>3</v>
      </c>
      <c r="D67" s="85">
        <f>SUMIF(GERAL!B$8:B$1696,A67,GERAL!Z$8:Z$1696)</f>
        <v>0</v>
      </c>
      <c r="E67" s="85">
        <f>SUMIF(GERAL!B$8:B$1696,A67,GERAL!AE$8:AE$1696)</f>
        <v>0</v>
      </c>
      <c r="F67" s="85">
        <f>SUMIF(GERAL!B$8:B$1696,A67,GERAL!AJ$8:AJ$1696)</f>
        <v>457</v>
      </c>
      <c r="G67" s="85">
        <f>SUMIF(GERAL!B$8:B$1696,A67,GERAL!AN$8:AN$1696)</f>
        <v>0</v>
      </c>
      <c r="H67" s="85">
        <f>SUMIF(GERAL!B$8:B$1696,A67,GERAL!AR$8:AW$1696)</f>
        <v>157</v>
      </c>
      <c r="I67" s="85">
        <f>SUMIF(GERAL!B$8:B$1696,A67,GERAL!AW$8:AW$1696)</f>
        <v>123</v>
      </c>
      <c r="J67" s="75">
        <f>SUMIF(GERAL!B$8:B$1696,A67,GERAL!AX$8:AX$1696)</f>
        <v>737</v>
      </c>
      <c r="K67" s="75">
        <f>COUNTIFS(GERAL!B$8:B$1696,A67,GERAL!AY$8:AY$1696,"&gt;0",GERAL!C$8:C$1696,"ESCOLA")</f>
        <v>1</v>
      </c>
      <c r="L67" s="75">
        <f>COUNTIFS(GERAL!B$8:B$1696,A67,GERAL!AY$8:AY$1696,"&gt;0",GERAL!C$8:C$1696,"ANEXO")</f>
        <v>1</v>
      </c>
      <c r="M67" s="100">
        <f>SUMIF(GERAL!B$8:B$1696,A67,GERAL!V$8:V$1696)+SUMIF(GERAL!B$8:B$1696,A67,GERAL!W$8:W$1696)</f>
        <v>0</v>
      </c>
      <c r="N67" s="100">
        <f>SUMIF(GERAL!B$8:B$1696,A67,GERAL!AA$8:AA$1696)+SUMIF(GERAL!B$8:B$1696,A67,GERAL!AB$8:AB$1696)</f>
        <v>0</v>
      </c>
      <c r="O67" s="100">
        <f>SUMIF(GERAL!B$8:B$1696,A67,GERAL!AF$8:AF$1696)+SUMIF(GERAL!B$8:B$1696,A67,GERAL!AG$8:AG$1696)</f>
        <v>81</v>
      </c>
      <c r="P67" s="100">
        <f>SUMIF(GERAL!B$8:B$1696,A67,GERAL!AK$8:AK$1696)+SUMIF(GERAL!B$8:B$1696,A67,GERAL!AL$8:AL$1696)</f>
        <v>0</v>
      </c>
      <c r="Q67" s="100">
        <f>SUMIF(GERAL!B$8:B$1696,A67,GERAL!AO$8:AO$1696)+SUMIF(GERAL!B$8:B$1696,A67,GERAL!AP$8:AP$1696)</f>
        <v>0</v>
      </c>
      <c r="R67" s="100">
        <f>SUMIF(GERAL!B$8:B$1696,A67,GERAL!AS$8:AS$1696)+SUMIF(GERAL!B$8:B$1696,A67,GERAL!AT$8:AT$1696)</f>
        <v>0</v>
      </c>
      <c r="S67" s="75">
        <f t="shared" si="39"/>
        <v>81</v>
      </c>
      <c r="T67" s="116">
        <f>COUNTIFS(GERAL!B$8:B$1696,A67,GERAL!AZ$8:AZ$1696,"&gt;0",GERAL!C$8:C$1696,"ESCOLA")</f>
        <v>1</v>
      </c>
      <c r="U67" s="75">
        <f>COUNTIFS(GERAL!B$8:B$1696,A67,GERAL!AZ$8:AZ$1696,"&gt;0",GERAL!C$8:C$1696,"ANEXO")</f>
        <v>3</v>
      </c>
      <c r="V67" s="85">
        <f>SUMIF(GERAL!B$8:B$1696,A67,GERAL!AH$8:AH$1696)</f>
        <v>232</v>
      </c>
      <c r="W67" s="85">
        <f>SUMIF(GERAL!B$8:B$1696,A67,GERAL!AM$8:AM$1696)</f>
        <v>0</v>
      </c>
      <c r="X67" s="85">
        <f>SUMIF(GERAL!B$8:B$1696,A67,GERAL!AQ$8:AQ$1696)</f>
        <v>157</v>
      </c>
      <c r="Y67" s="85">
        <f>SUMIF(GERAL!B$8:B$1696,A67,GERAL!AU$8:AU$1696)</f>
        <v>0</v>
      </c>
      <c r="Z67" s="88">
        <f t="shared" si="40"/>
        <v>389</v>
      </c>
      <c r="AA67" s="116">
        <f>COUNTIFS(GERAL!B$8:B$1696,A67,GERAL!BK$8:BK$1696,"&gt;0",GERAL!C$8:C$1696,"ESCOLA")</f>
        <v>1</v>
      </c>
      <c r="AB67" s="88">
        <f>COUNTIFS(GERAL!B$8:B$1696,A67,GERAL!BK$8:BK$1696,"&gt;0",GERAL!C$8:C$1696,"ANEXO")</f>
        <v>0</v>
      </c>
      <c r="AC67" s="121">
        <f>SUMIF(GERAL!B$8:B$1696,A67,GERAL!AD$8:AD$1696)</f>
        <v>0</v>
      </c>
      <c r="AD67" s="121">
        <f>SUMIF(GERAL!B$8:B$1696,A67,GERAL!AI$8:AI$1696)</f>
        <v>144</v>
      </c>
      <c r="AE67" s="121">
        <f>SUMIF(GERAL!B$8:B$1696,A67,GERAL!AV$8:AV$1696)</f>
        <v>123</v>
      </c>
      <c r="AF67" s="492">
        <f t="shared" si="41"/>
        <v>267</v>
      </c>
      <c r="AG67" s="178">
        <f>COUNTIFS(GERAL!B$8:B$1696,A67,GERAL!AW$8:AW$1696,"&gt;0",GERAL!C$8:C$1696,"ESCOLA")</f>
        <v>1</v>
      </c>
      <c r="AH67" s="118">
        <f>COUNTIFS(GERAL!B$8:B$1696,A67,GERAL!AW$8:AW$1696,"&gt;0",GERAL!C$8:C$1696,"ANEXO")</f>
        <v>0</v>
      </c>
      <c r="AI67" s="177">
        <f>SUMIF(GERAL!B$8:B$1696,A67,GERAL!AS$8:AS$1696)+SUMIF(GERAL!B$8:B$1696,A67,GERAL!AT$8:AT$1696)</f>
        <v>0</v>
      </c>
      <c r="AJ67" s="177">
        <f>SUMIF(GERAL!B$8:B$1696,A67,GERAL!AU$8:AU$1696)</f>
        <v>0</v>
      </c>
      <c r="AK67" s="177">
        <f>SUMIF(GERAL!B$8:B$1696,A67,GERAL!AV$8:AV$1696)</f>
        <v>123</v>
      </c>
      <c r="AL67" s="118">
        <f t="shared" si="42"/>
        <v>123</v>
      </c>
      <c r="AM67" s="493" t="s">
        <v>285</v>
      </c>
    </row>
    <row r="68">
      <c r="A68" s="484" t="s">
        <v>3851</v>
      </c>
      <c r="B68" s="75">
        <f>COUNTIFS(GERAL!B$8:B$1696,A68,GERAL!C$8:C$1696,"ESCOLA")</f>
        <v>1</v>
      </c>
      <c r="C68" s="75">
        <f>COUNTIFS(GERAL!B$8:B$1696,A68,GERAL!C$8:C$1696,"ANEXO")</f>
        <v>3</v>
      </c>
      <c r="D68" s="85">
        <f>SUMIF(GERAL!B$8:B$1696,A68,GERAL!Z$8:Z$1696)</f>
        <v>0</v>
      </c>
      <c r="E68" s="85">
        <f>SUMIF(GERAL!B$8:B$1696,A68,GERAL!AE$8:AE$1696)</f>
        <v>99</v>
      </c>
      <c r="F68" s="85">
        <f>SUMIF(GERAL!B$8:B$1696,A68,GERAL!AJ$8:AJ$1696)</f>
        <v>662</v>
      </c>
      <c r="G68" s="85">
        <f>SUMIF(GERAL!B$8:B$1696,A68,GERAL!AN$8:AN$1696)</f>
        <v>0</v>
      </c>
      <c r="H68" s="85">
        <f>SUMIF(GERAL!B$8:B$1696,A68,GERAL!AR$8:AW$1696)</f>
        <v>7</v>
      </c>
      <c r="I68" s="85">
        <f>SUMIF(GERAL!B$8:B$1696,A68,GERAL!AW$8:AW$1696)</f>
        <v>153</v>
      </c>
      <c r="J68" s="75">
        <f>SUMIF(GERAL!B$8:B$1696,A68,GERAL!AX$8:AX$1696)</f>
        <v>921</v>
      </c>
      <c r="K68" s="75">
        <f>COUNTIFS(GERAL!B$8:B$1696,A68,GERAL!AY$8:AY$1696,"&gt;0",GERAL!C$8:C$1696,"ESCOLA")</f>
        <v>1</v>
      </c>
      <c r="L68" s="75">
        <f>COUNTIFS(GERAL!B$8:B$1696,A68,GERAL!AY$8:AY$1696,"&gt;0",GERAL!C$8:C$1696,"ANEXO")</f>
        <v>1</v>
      </c>
      <c r="M68" s="100">
        <f>SUMIF(GERAL!B$8:B$1696,A68,GERAL!V$8:V$1696)+SUMIF(GERAL!B$8:B$1696,A68,GERAL!W$8:W$1696)</f>
        <v>0</v>
      </c>
      <c r="N68" s="100">
        <f>SUMIF(GERAL!B$8:B$1696,A68,GERAL!AA$8:AA$1696)+SUMIF(GERAL!B$8:B$1696,A68,GERAL!AB$8:AB$1696)</f>
        <v>0</v>
      </c>
      <c r="O68" s="100">
        <f>SUMIF(GERAL!B$8:B$1696,A68,GERAL!AF$8:AF$1696)+SUMIF(GERAL!B$8:B$1696,A68,GERAL!AG$8:AG$1696)</f>
        <v>476</v>
      </c>
      <c r="P68" s="100">
        <f>SUMIF(GERAL!B$8:B$1696,A68,GERAL!AK$8:AK$1696)+SUMIF(GERAL!B$8:B$1696,A68,GERAL!AL$8:AL$1696)</f>
        <v>0</v>
      </c>
      <c r="Q68" s="100">
        <f>SUMIF(GERAL!B$8:B$1696,A68,GERAL!AO$8:AO$1696)+SUMIF(GERAL!B$8:B$1696,A68,GERAL!AP$8:AP$1696)</f>
        <v>0</v>
      </c>
      <c r="R68" s="100">
        <f>SUMIF(GERAL!B$8:B$1696,A68,GERAL!AS$8:AS$1696)+SUMIF(GERAL!B$8:B$1696,A68,GERAL!AT$8:AT$1696)</f>
        <v>58</v>
      </c>
      <c r="S68" s="75">
        <f t="shared" si="39"/>
        <v>534</v>
      </c>
      <c r="T68" s="116">
        <f>COUNTIFS(GERAL!B$8:B$1696,A68,GERAL!AZ$8:AZ$1696,"&gt;0",GERAL!C$8:C$1696,"ESCOLA")</f>
        <v>1</v>
      </c>
      <c r="U68" s="75">
        <f>COUNTIFS(GERAL!B$8:B$1696,A68,GERAL!AZ$8:AZ$1696,"&gt;0",GERAL!C$8:C$1696,"ANEXO")</f>
        <v>3</v>
      </c>
      <c r="V68" s="85">
        <f>SUMIF(GERAL!B$8:B$1696,A68,GERAL!AH$8:AH$1696)</f>
        <v>86</v>
      </c>
      <c r="W68" s="85">
        <f>SUMIF(GERAL!B$8:B$1696,A68,GERAL!AM$8:AM$1696)</f>
        <v>0</v>
      </c>
      <c r="X68" s="85">
        <f>SUMIF(GERAL!B$8:B$1696,A68,GERAL!AQ$8:AQ$1696)</f>
        <v>7</v>
      </c>
      <c r="Y68" s="85">
        <f>SUMIF(GERAL!B$8:B$1696,A68,GERAL!AU$8:AU$1696)</f>
        <v>95</v>
      </c>
      <c r="Z68" s="88">
        <f t="shared" si="40"/>
        <v>188</v>
      </c>
      <c r="AA68" s="116">
        <f>COUNTIFS(GERAL!B$8:B$1696,A68,GERAL!BK$8:BK$1696,"&gt;0",GERAL!C$8:C$1696,"ESCOLA")</f>
        <v>1</v>
      </c>
      <c r="AB68" s="88">
        <f>COUNTIFS(GERAL!B$8:B$1696,A68,GERAL!BK$8:BK$1696,"&gt;0",GERAL!C$8:C$1696,"ANEXO")</f>
        <v>0</v>
      </c>
      <c r="AC68" s="121">
        <f>SUMIF(GERAL!B$8:B$1696,A68,GERAL!AD$8:AD$1696)</f>
        <v>99</v>
      </c>
      <c r="AD68" s="121">
        <f>SUMIF(GERAL!B$8:B$1696,A68,GERAL!AI$8:AI$1696)</f>
        <v>100</v>
      </c>
      <c r="AE68" s="121">
        <f>SUMIF(GERAL!B$8:B$1696,A68,GERAL!AV$8:AV$1696)</f>
        <v>0</v>
      </c>
      <c r="AF68" s="492">
        <f t="shared" si="41"/>
        <v>199</v>
      </c>
      <c r="AG68" s="178">
        <f>COUNTIFS(GERAL!B$8:B$1696,A68,GERAL!AW$8:AW$1696,"&gt;0",GERAL!C$8:C$1696,"ESCOLA")</f>
        <v>1</v>
      </c>
      <c r="AH68" s="118">
        <f>COUNTIFS(GERAL!B$8:B$1696,A68,GERAL!AW$8:AW$1696,"&gt;0",GERAL!C$8:C$1696,"ANEXO")</f>
        <v>0</v>
      </c>
      <c r="AI68" s="177">
        <f>SUMIF(GERAL!B$8:B$1696,A68,GERAL!AS$8:AS$1696)+SUMIF(GERAL!B$8:B$1696,A68,GERAL!AT$8:AT$1696)</f>
        <v>58</v>
      </c>
      <c r="AJ68" s="177">
        <f>SUMIF(GERAL!B$8:B$1696,A68,GERAL!AU$8:AU$1696)</f>
        <v>95</v>
      </c>
      <c r="AK68" s="177">
        <f>SUMIF(GERAL!B$8:B$1696,A68,GERAL!AV$8:AV$1696)</f>
        <v>0</v>
      </c>
      <c r="AL68" s="118">
        <f t="shared" si="42"/>
        <v>153</v>
      </c>
      <c r="AM68" s="493" t="s">
        <v>914</v>
      </c>
    </row>
    <row r="69">
      <c r="A69" s="494" t="s">
        <v>3866</v>
      </c>
      <c r="B69" s="75">
        <f>COUNTIFS(GERAL!B$8:B$1696,A69,GERAL!C$8:C$1696,"ESCOLA")</f>
        <v>1</v>
      </c>
      <c r="C69" s="75">
        <f>COUNTIFS(GERAL!B$8:B$1696,A69,GERAL!C$8:C$1696,"ANEXO")</f>
        <v>0</v>
      </c>
      <c r="D69" s="85">
        <f>SUMIF(GERAL!B$8:B$1696,A69,GERAL!Z$8:Z$1696)</f>
        <v>0</v>
      </c>
      <c r="E69" s="85">
        <f>SUMIF(GERAL!B$8:B$1696,A69,GERAL!AE$8:AE$1696)</f>
        <v>43</v>
      </c>
      <c r="F69" s="85">
        <f>SUMIF(GERAL!B$8:B$1696,A69,GERAL!AJ$8:AJ$1696)</f>
        <v>360</v>
      </c>
      <c r="G69" s="85">
        <f>SUMIF(GERAL!B$8:B$1696,A69,GERAL!AN$8:AN$1696)</f>
        <v>0</v>
      </c>
      <c r="H69" s="85">
        <f>SUMIF(GERAL!B$8:B$1696,A69,GERAL!AR$8:AW$1696)</f>
        <v>85</v>
      </c>
      <c r="I69" s="85">
        <f>SUMIF(GERAL!B$8:B$1696,A69,GERAL!AW$8:AW$1696)</f>
        <v>29</v>
      </c>
      <c r="J69" s="75">
        <f>SUMIF(GERAL!B$8:B$1696,A69,GERAL!AX$8:AX$1696)</f>
        <v>517</v>
      </c>
      <c r="K69" s="75">
        <f>COUNTIFS(GERAL!B$8:B$1696,A69,GERAL!AY$8:AY$1696,"&gt;0",GERAL!C$8:C$1696,"ESCOLA")</f>
        <v>1</v>
      </c>
      <c r="L69" s="75">
        <f>COUNTIFS(GERAL!B$8:B$1696,A69,GERAL!AY$8:AY$1696,"&gt;0",GERAL!C$8:C$1696,"ANEXO")</f>
        <v>0</v>
      </c>
      <c r="M69" s="100">
        <f>SUMIF(GERAL!B$8:B$1696,A69,GERAL!V$8:V$1696)+SUMIF(GERAL!B$8:B$1696,A69,GERAL!W$8:W$1696)</f>
        <v>0</v>
      </c>
      <c r="N69" s="100">
        <f>SUMIF(GERAL!B$8:B$1696,A69,GERAL!AA$8:AA$1696)+SUMIF(GERAL!B$8:B$1696,A69,GERAL!AB$8:AB$1696)</f>
        <v>0</v>
      </c>
      <c r="O69" s="100">
        <f>SUMIF(GERAL!B$8:B$1696,A69,GERAL!AF$8:AF$1696)+SUMIF(GERAL!B$8:B$1696,A69,GERAL!AG$8:AG$1696)</f>
        <v>0</v>
      </c>
      <c r="P69" s="100">
        <f>SUMIF(GERAL!B$8:B$1696,A69,GERAL!AK$8:AK$1696)+SUMIF(GERAL!B$8:B$1696,A69,GERAL!AL$8:AL$1696)</f>
        <v>0</v>
      </c>
      <c r="Q69" s="100">
        <f>SUMIF(GERAL!B$8:B$1696,A69,GERAL!AO$8:AO$1696)+SUMIF(GERAL!B$8:B$1696,A69,GERAL!AP$8:AP$1696)</f>
        <v>0</v>
      </c>
      <c r="R69" s="100">
        <f>SUMIF(GERAL!B$8:B$1696,A69,GERAL!AS$8:AS$1696)+SUMIF(GERAL!B$8:B$1696,A69,GERAL!AT$8:AT$1696)</f>
        <v>0</v>
      </c>
      <c r="S69" s="75">
        <f t="shared" si="39"/>
        <v>0</v>
      </c>
      <c r="T69" s="116">
        <f>COUNTIFS(GERAL!B$8:B$1696,A69,GERAL!AZ$8:AZ$1696,"&gt;0",GERAL!C$8:C$1696,"ESCOLA")</f>
        <v>1</v>
      </c>
      <c r="U69" s="75">
        <f>COUNTIFS(GERAL!B$8:B$1696,A69,GERAL!AZ$8:AZ$1696,"&gt;0",GERAL!C$8:C$1696,"ANEXO")</f>
        <v>0</v>
      </c>
      <c r="V69" s="85">
        <f>SUMIF(GERAL!B$8:B$1696,A69,GERAL!AH$8:AH$1696)</f>
        <v>0</v>
      </c>
      <c r="W69" s="85">
        <f>SUMIF(GERAL!B$8:B$1696,A69,GERAL!AM$8:AM$1696)</f>
        <v>0</v>
      </c>
      <c r="X69" s="85">
        <f>SUMIF(GERAL!B$8:B$1696,A69,GERAL!AQ$8:AQ$1696)</f>
        <v>85</v>
      </c>
      <c r="Y69" s="85">
        <f>SUMIF(GERAL!B$8:B$1696,A69,GERAL!AU$8:AU$1696)</f>
        <v>0</v>
      </c>
      <c r="Z69" s="88">
        <f t="shared" si="40"/>
        <v>85</v>
      </c>
      <c r="AA69" s="116">
        <f>COUNTIFS(GERAL!B$8:B$1696,A69,GERAL!BK$8:BK$1696,"&gt;0",GERAL!C$8:C$1696,"ESCOLA")</f>
        <v>1</v>
      </c>
      <c r="AB69" s="88">
        <f>COUNTIFS(GERAL!B$8:B$1696,A69,GERAL!BK$8:BK$1696,"&gt;0",GERAL!C$8:C$1696,"ANEXO")</f>
        <v>0</v>
      </c>
      <c r="AC69" s="121">
        <f>SUMIF(GERAL!B$8:B$1696,A69,GERAL!AD$8:AD$1696)</f>
        <v>43</v>
      </c>
      <c r="AD69" s="121">
        <f>SUMIF(GERAL!B$8:B$1696,A69,GERAL!AI$8:AI$1696)</f>
        <v>360</v>
      </c>
      <c r="AE69" s="121">
        <f>SUMIF(GERAL!B$8:B$1696,A69,GERAL!AV$8:AV$1696)</f>
        <v>29</v>
      </c>
      <c r="AF69" s="492">
        <f t="shared" si="41"/>
        <v>432</v>
      </c>
      <c r="AG69" s="178">
        <f>COUNTIFS(GERAL!B$8:B$1696,A69,GERAL!AW$8:AW$1696,"&gt;0",GERAL!C$8:C$1696,"ESCOLA")</f>
        <v>1</v>
      </c>
      <c r="AH69" s="118">
        <f>COUNTIFS(GERAL!B$8:B$1696,A69,GERAL!AW$8:AW$1696,"&gt;0",GERAL!C$8:C$1696,"ANEXO")</f>
        <v>0</v>
      </c>
      <c r="AI69" s="177">
        <f>SUMIF(GERAL!B$8:B$1696,A69,GERAL!AS$8:AS$1696)+SUMIF(GERAL!B$8:B$1696,A69,GERAL!AT$8:AT$1696)</f>
        <v>0</v>
      </c>
      <c r="AJ69" s="177">
        <f>SUMIF(GERAL!B$8:B$1696,A69,GERAL!AU$8:AU$1696)</f>
        <v>0</v>
      </c>
      <c r="AK69" s="177">
        <f>SUMIF(GERAL!B$8:B$1696,A69,GERAL!AV$8:AV$1696)</f>
        <v>29</v>
      </c>
      <c r="AL69" s="118">
        <f t="shared" si="42"/>
        <v>29</v>
      </c>
      <c r="AM69" s="493" t="s">
        <v>914</v>
      </c>
    </row>
    <row r="70">
      <c r="A70" s="484" t="s">
        <v>2654</v>
      </c>
      <c r="B70" s="75">
        <f>COUNTIFS(GERAL!B$8:B$1696,A70,GERAL!C$8:C$1696,"ESCOLA")</f>
        <v>2</v>
      </c>
      <c r="C70" s="75">
        <f>COUNTIFS(GERAL!B$8:B$1696,A70,GERAL!C$8:C$1696,"ANEXO")</f>
        <v>0</v>
      </c>
      <c r="D70" s="85">
        <f>SUMIF(GERAL!B$8:B$1696,A70,GERAL!Z$8:Z$1696)</f>
        <v>0</v>
      </c>
      <c r="E70" s="85">
        <f>SUMIF(GERAL!B$8:B$1696,A70,GERAL!AE$8:AE$1696)</f>
        <v>0</v>
      </c>
      <c r="F70" s="85">
        <f>SUMIF(GERAL!B$8:B$1696,A70,GERAL!AJ$8:AJ$1696)</f>
        <v>361</v>
      </c>
      <c r="G70" s="85">
        <f>SUMIF(GERAL!B$8:B$1696,A70,GERAL!AN$8:AN$1696)</f>
        <v>0</v>
      </c>
      <c r="H70" s="85">
        <f>SUMIF(GERAL!B$8:B$1696,A70,GERAL!AR$8:AW$1696)</f>
        <v>140</v>
      </c>
      <c r="I70" s="85">
        <f>SUMIF(GERAL!B$8:B$1696,A70,GERAL!AW$8:AW$1696)</f>
        <v>309</v>
      </c>
      <c r="J70" s="75">
        <f>SUMIF(GERAL!B$8:B$1696,A70,GERAL!AX$8:AX$1696)</f>
        <v>810</v>
      </c>
      <c r="K70" s="75">
        <f>COUNTIFS(GERAL!B$8:B$1696,A70,GERAL!AY$8:AY$1696,"&gt;0",GERAL!C$8:C$1696,"ESCOLA")</f>
        <v>2</v>
      </c>
      <c r="L70" s="75">
        <f>COUNTIFS(GERAL!B$8:B$1696,A70,GERAL!AY$8:AY$1696,"&gt;0",GERAL!C$8:C$1696,"ANEXO")</f>
        <v>0</v>
      </c>
      <c r="M70" s="100">
        <f>SUMIF(GERAL!B$8:B$1696,A70,GERAL!V$8:V$1696)+SUMIF(GERAL!B$8:B$1696,A70,GERAL!W$8:W$1696)</f>
        <v>0</v>
      </c>
      <c r="N70" s="100">
        <f>SUMIF(GERAL!B$8:B$1696,A70,GERAL!AA$8:AA$1696)+SUMIF(GERAL!B$8:B$1696,A70,GERAL!AB$8:AB$1696)</f>
        <v>0</v>
      </c>
      <c r="O70" s="100">
        <f>SUMIF(GERAL!B$8:B$1696,A70,GERAL!AF$8:AF$1696)+SUMIF(GERAL!B$8:B$1696,A70,GERAL!AG$8:AG$1696)</f>
        <v>49</v>
      </c>
      <c r="P70" s="100">
        <f>SUMIF(GERAL!B$8:B$1696,A70,GERAL!AK$8:AK$1696)+SUMIF(GERAL!B$8:B$1696,A70,GERAL!AL$8:AL$1696)</f>
        <v>0</v>
      </c>
      <c r="Q70" s="100">
        <f>SUMIF(GERAL!B$8:B$1696,A70,GERAL!AO$8:AO$1696)+SUMIF(GERAL!B$8:B$1696,A70,GERAL!AP$8:AP$1696)</f>
        <v>0</v>
      </c>
      <c r="R70" s="100">
        <f>SUMIF(GERAL!B$8:B$1696,A70,GERAL!AS$8:AS$1696)+SUMIF(GERAL!B$8:B$1696,A70,GERAL!AT$8:AT$1696)</f>
        <v>0</v>
      </c>
      <c r="S70" s="75">
        <f t="shared" si="39"/>
        <v>49</v>
      </c>
      <c r="T70" s="116">
        <f>COUNTIFS(GERAL!B$8:B$1696,A70,GERAL!AZ$8:AZ$1696,"&gt;0",GERAL!C$8:C$1696,"ESCOLA")</f>
        <v>2</v>
      </c>
      <c r="U70" s="75">
        <f>COUNTIFS(GERAL!B$8:B$1696,A70,GERAL!AZ$8:AZ$1696,"&gt;0",GERAL!C$8:C$1696,"ANEXO")</f>
        <v>0</v>
      </c>
      <c r="V70" s="85">
        <f>SUMIF(GERAL!B$8:B$1696,A70,GERAL!AH$8:AH$1696)</f>
        <v>0</v>
      </c>
      <c r="W70" s="85">
        <f>SUMIF(GERAL!B$8:B$1696,A70,GERAL!AM$8:AM$1696)</f>
        <v>0</v>
      </c>
      <c r="X70" s="85">
        <f>SUMIF(GERAL!B$8:B$1696,A70,GERAL!AQ$8:AQ$1696)</f>
        <v>140</v>
      </c>
      <c r="Y70" s="85">
        <f>SUMIF(GERAL!B$8:B$1696,A70,GERAL!AU$8:AU$1696)</f>
        <v>44</v>
      </c>
      <c r="Z70" s="88">
        <f t="shared" si="40"/>
        <v>184</v>
      </c>
      <c r="AA70" s="116">
        <f>COUNTIFS(GERAL!B$8:B$1696,A70,GERAL!BK$8:BK$1696,"&gt;0",GERAL!C$8:C$1696,"ESCOLA")</f>
        <v>2</v>
      </c>
      <c r="AB70" s="88">
        <f>COUNTIFS(GERAL!B$8:B$1696,A70,GERAL!BK$8:BK$1696,"&gt;0",GERAL!C$8:C$1696,"ANEXO")</f>
        <v>0</v>
      </c>
      <c r="AC70" s="121">
        <f>SUMIF(GERAL!B$8:B$1696,A70,GERAL!AD$8:AD$1696)</f>
        <v>0</v>
      </c>
      <c r="AD70" s="121">
        <f>SUMIF(GERAL!B$8:B$1696,A70,GERAL!AI$8:AI$1696)</f>
        <v>312</v>
      </c>
      <c r="AE70" s="121">
        <f>SUMIF(GERAL!B$8:B$1696,A70,GERAL!AV$8:AV$1696)</f>
        <v>265</v>
      </c>
      <c r="AF70" s="492">
        <f t="shared" si="41"/>
        <v>577</v>
      </c>
      <c r="AG70" s="178">
        <f>COUNTIFS(GERAL!B$8:B$1696,A70,GERAL!AW$8:AW$1696,"&gt;0",GERAL!C$8:C$1696,"ESCOLA")</f>
        <v>2</v>
      </c>
      <c r="AH70" s="118">
        <f>COUNTIFS(GERAL!B$8:B$1696,A70,GERAL!AW$8:AW$1696,"&gt;0",GERAL!C$8:C$1696,"ANEXO")</f>
        <v>0</v>
      </c>
      <c r="AI70" s="177">
        <f>SUMIF(GERAL!B$8:B$1696,A70,GERAL!AS$8:AS$1696)+SUMIF(GERAL!B$8:B$1696,A70,GERAL!AT$8:AT$1696)</f>
        <v>0</v>
      </c>
      <c r="AJ70" s="177">
        <f>SUMIF(GERAL!B$8:B$1696,A70,GERAL!AU$8:AU$1696)</f>
        <v>44</v>
      </c>
      <c r="AK70" s="177">
        <f>SUMIF(GERAL!B$8:B$1696,A70,GERAL!AV$8:AV$1696)</f>
        <v>265</v>
      </c>
      <c r="AL70" s="118">
        <f t="shared" si="42"/>
        <v>309</v>
      </c>
      <c r="AM70" s="493" t="s">
        <v>723</v>
      </c>
    </row>
    <row r="71">
      <c r="A71" s="494" t="s">
        <v>2426</v>
      </c>
      <c r="B71" s="75">
        <f>COUNTIFS(GERAL!B$8:B$1696,A71,GERAL!C$8:C$1696,"ESCOLA")</f>
        <v>1</v>
      </c>
      <c r="C71" s="75">
        <f>COUNTIFS(GERAL!B$8:B$1696,A71,GERAL!C$8:C$1696,"ANEXO")</f>
        <v>2</v>
      </c>
      <c r="D71" s="85">
        <f>SUMIF(GERAL!B$8:B$1696,A71,GERAL!Z$8:Z$1696)</f>
        <v>0</v>
      </c>
      <c r="E71" s="85">
        <f>SUMIF(GERAL!B$8:B$1696,A71,GERAL!AE$8:AE$1696)</f>
        <v>129</v>
      </c>
      <c r="F71" s="85">
        <f>SUMIF(GERAL!B$8:B$1696,A71,GERAL!AJ$8:AJ$1696)</f>
        <v>253</v>
      </c>
      <c r="G71" s="85">
        <f>SUMIF(GERAL!B$8:B$1696,A71,GERAL!AN$8:AN$1696)</f>
        <v>0</v>
      </c>
      <c r="H71" s="85">
        <f>SUMIF(GERAL!B$8:B$1696,A71,GERAL!AR$8:AW$1696)</f>
        <v>0</v>
      </c>
      <c r="I71" s="85">
        <f>SUMIF(GERAL!B$8:B$1696,A71,GERAL!AW$8:AW$1696)</f>
        <v>17</v>
      </c>
      <c r="J71" s="75">
        <f>SUMIF(GERAL!B$8:B$1696,A71,GERAL!AX$8:AX$1696)</f>
        <v>399</v>
      </c>
      <c r="K71" s="75">
        <f>COUNTIFS(GERAL!B$8:B$1696,A71,GERAL!AY$8:AY$1696,"&gt;0",GERAL!C$8:C$1696,"ESCOLA")</f>
        <v>1</v>
      </c>
      <c r="L71" s="75">
        <f>COUNTIFS(GERAL!B$8:B$1696,A71,GERAL!AY$8:AY$1696,"&gt;0",GERAL!C$8:C$1696,"ANEXO")</f>
        <v>2</v>
      </c>
      <c r="M71" s="100">
        <f>SUMIF(GERAL!B$8:B$1696,A71,GERAL!V$8:V$1696)+SUMIF(GERAL!B$8:B$1696,A71,GERAL!W$8:W$1696)</f>
        <v>0</v>
      </c>
      <c r="N71" s="100">
        <f>SUMIF(GERAL!B$8:B$1696,A71,GERAL!AA$8:AA$1696)+SUMIF(GERAL!B$8:B$1696,A71,GERAL!AB$8:AB$1696)</f>
        <v>0</v>
      </c>
      <c r="O71" s="100">
        <f>SUMIF(GERAL!B$8:B$1696,A71,GERAL!AF$8:AF$1696)+SUMIF(GERAL!B$8:B$1696,A71,GERAL!AG$8:AG$1696)</f>
        <v>237</v>
      </c>
      <c r="P71" s="100">
        <f>SUMIF(GERAL!B$8:B$1696,A71,GERAL!AK$8:AK$1696)+SUMIF(GERAL!B$8:B$1696,A71,GERAL!AL$8:AL$1696)</f>
        <v>0</v>
      </c>
      <c r="Q71" s="100">
        <f>SUMIF(GERAL!B$8:B$1696,A71,GERAL!AO$8:AO$1696)+SUMIF(GERAL!B$8:B$1696,A71,GERAL!AP$8:AP$1696)</f>
        <v>0</v>
      </c>
      <c r="R71" s="100">
        <f>SUMIF(GERAL!B$8:B$1696,A71,GERAL!AS$8:AS$1696)+SUMIF(GERAL!B$8:B$1696,A71,GERAL!AT$8:AT$1696)</f>
        <v>17</v>
      </c>
      <c r="S71" s="75">
        <f t="shared" si="39"/>
        <v>254</v>
      </c>
      <c r="T71" s="116">
        <f>COUNTIFS(GERAL!B$8:B$1696,A71,GERAL!AZ$8:AZ$1696,"&gt;0",GERAL!C$8:C$1696,"ESCOLA")</f>
        <v>0</v>
      </c>
      <c r="U71" s="75">
        <f>COUNTIFS(GERAL!B$8:B$1696,A71,GERAL!AZ$8:AZ$1696,"&gt;0",GERAL!C$8:C$1696,"ANEXO")</f>
        <v>0</v>
      </c>
      <c r="V71" s="85">
        <f>SUMIF(GERAL!B$8:B$1696,A71,GERAL!AH$8:AH$1696)</f>
        <v>0</v>
      </c>
      <c r="W71" s="85">
        <f>SUMIF(GERAL!B$8:B$1696,A71,GERAL!AM$8:AM$1696)</f>
        <v>0</v>
      </c>
      <c r="X71" s="85">
        <f>SUMIF(GERAL!B$8:B$1696,A71,GERAL!AQ$8:AQ$1696)</f>
        <v>0</v>
      </c>
      <c r="Y71" s="85">
        <f>SUMIF(GERAL!B$8:B$1696,A71,GERAL!AU$8:AU$1696)</f>
        <v>0</v>
      </c>
      <c r="Z71" s="88">
        <f t="shared" si="40"/>
        <v>0</v>
      </c>
      <c r="AA71" s="116">
        <f>COUNTIFS(GERAL!B$8:B$1696,A71,GERAL!BK$8:BK$1696,"&gt;0",GERAL!C$8:C$1696,"ESCOLA")</f>
        <v>1</v>
      </c>
      <c r="AB71" s="88">
        <f>COUNTIFS(GERAL!B$8:B$1696,A71,GERAL!BK$8:BK$1696,"&gt;0",GERAL!C$8:C$1696,"ANEXO")</f>
        <v>0</v>
      </c>
      <c r="AC71" s="121">
        <f>SUMIF(GERAL!B$8:B$1696,A71,GERAL!AD$8:AD$1696)</f>
        <v>129</v>
      </c>
      <c r="AD71" s="121">
        <f>SUMIF(GERAL!B$8:B$1696,A71,GERAL!AI$8:AI$1696)</f>
        <v>16</v>
      </c>
      <c r="AE71" s="121">
        <f>SUMIF(GERAL!B$8:B$1696,A71,GERAL!AV$8:AV$1696)</f>
        <v>0</v>
      </c>
      <c r="AF71" s="492">
        <f t="shared" si="41"/>
        <v>145</v>
      </c>
      <c r="AG71" s="178">
        <f>COUNTIFS(GERAL!B$8:B$1696,A71,GERAL!AW$8:AW$1696,"&gt;0",GERAL!C$8:C$1696,"ESCOLA")</f>
        <v>1</v>
      </c>
      <c r="AH71" s="118">
        <f>COUNTIFS(GERAL!B$8:B$1696,A71,GERAL!AW$8:AW$1696,"&gt;0",GERAL!C$8:C$1696,"ANEXO")</f>
        <v>0</v>
      </c>
      <c r="AI71" s="177">
        <f>SUMIF(GERAL!B$8:B$1696,A71,GERAL!AS$8:AS$1696)+SUMIF(GERAL!B$8:B$1696,A71,GERAL!AT$8:AT$1696)</f>
        <v>17</v>
      </c>
      <c r="AJ71" s="177">
        <f>SUMIF(GERAL!B$8:B$1696,A71,GERAL!AU$8:AU$1696)</f>
        <v>0</v>
      </c>
      <c r="AK71" s="177">
        <f>SUMIF(GERAL!B$8:B$1696,A71,GERAL!AV$8:AV$1696)</f>
        <v>0</v>
      </c>
      <c r="AL71" s="118">
        <f t="shared" si="42"/>
        <v>17</v>
      </c>
      <c r="AM71" s="493" t="s">
        <v>1573</v>
      </c>
    </row>
    <row r="72">
      <c r="A72" s="484" t="s">
        <v>539</v>
      </c>
      <c r="B72" s="75">
        <f>COUNTIFS(GERAL!B$8:B$1696,A72,GERAL!C$8:C$1696,"ESCOLA")</f>
        <v>2</v>
      </c>
      <c r="C72" s="75">
        <f>COUNTIFS(GERAL!B$8:B$1696,A72,GERAL!C$8:C$1696,"ANEXO")</f>
        <v>1</v>
      </c>
      <c r="D72" s="85">
        <f>SUMIF(GERAL!B$8:B$1696,A72,GERAL!Z$8:Z$1696)</f>
        <v>0</v>
      </c>
      <c r="E72" s="85">
        <f>SUMIF(GERAL!B$8:B$1696,A72,GERAL!AE$8:AE$1696)</f>
        <v>0</v>
      </c>
      <c r="F72" s="85">
        <f>SUMIF(GERAL!B$8:B$1696,A72,GERAL!AJ$8:AJ$1696)</f>
        <v>453</v>
      </c>
      <c r="G72" s="85">
        <f>SUMIF(GERAL!B$8:B$1696,A72,GERAL!AN$8:AN$1696)</f>
        <v>0</v>
      </c>
      <c r="H72" s="85">
        <f>SUMIF(GERAL!B$8:B$1696,A72,GERAL!AR$8:AW$1696)</f>
        <v>55</v>
      </c>
      <c r="I72" s="85">
        <f>SUMIF(GERAL!B$8:B$1696,A72,GERAL!AW$8:AW$1696)</f>
        <v>21</v>
      </c>
      <c r="J72" s="75">
        <f>SUMIF(GERAL!B$8:B$1696,A72,GERAL!AX$8:AX$1696)</f>
        <v>529</v>
      </c>
      <c r="K72" s="75">
        <f>COUNTIFS(GERAL!B$8:B$1696,A72,GERAL!AY$8:AY$1696,"&gt;0",GERAL!C$8:C$1696,"ESCOLA")</f>
        <v>2</v>
      </c>
      <c r="L72" s="75">
        <f>COUNTIFS(GERAL!B$8:B$1696,A72,GERAL!AY$8:AY$1696,"&gt;0",GERAL!C$8:C$1696,"ANEXO")</f>
        <v>1</v>
      </c>
      <c r="M72" s="100">
        <f>SUMIF(GERAL!B$8:B$1696,A72,GERAL!V$8:V$1696)+SUMIF(GERAL!B$8:B$1696,A72,GERAL!W$8:W$1696)</f>
        <v>0</v>
      </c>
      <c r="N72" s="100">
        <f>SUMIF(GERAL!B$8:B$1696,A72,GERAL!AA$8:AA$1696)+SUMIF(GERAL!B$8:B$1696,A72,GERAL!AB$8:AB$1696)</f>
        <v>0</v>
      </c>
      <c r="O72" s="100">
        <f>SUMIF(GERAL!B$8:B$1696,A72,GERAL!AF$8:AF$1696)+SUMIF(GERAL!B$8:B$1696,A72,GERAL!AG$8:AG$1696)</f>
        <v>288</v>
      </c>
      <c r="P72" s="100">
        <f>SUMIF(GERAL!B$8:B$1696,A72,GERAL!AK$8:AK$1696)+SUMIF(GERAL!B$8:B$1696,A72,GERAL!AL$8:AL$1696)</f>
        <v>0</v>
      </c>
      <c r="Q72" s="100">
        <f>SUMIF(GERAL!B$8:B$1696,A72,GERAL!AO$8:AO$1696)+SUMIF(GERAL!B$8:B$1696,A72,GERAL!AP$8:AP$1696)</f>
        <v>0</v>
      </c>
      <c r="R72" s="100">
        <f>SUMIF(GERAL!B$8:B$1696,A72,GERAL!AS$8:AS$1696)+SUMIF(GERAL!B$8:B$1696,A72,GERAL!AT$8:AT$1696)</f>
        <v>0</v>
      </c>
      <c r="S72" s="75">
        <f t="shared" si="39"/>
        <v>288</v>
      </c>
      <c r="T72" s="116">
        <f>COUNTIFS(GERAL!B$8:B$1696,A72,GERAL!AZ$8:AZ$1696,"&gt;0",GERAL!C$8:C$1696,"ESCOLA")</f>
        <v>2</v>
      </c>
      <c r="U72" s="75">
        <f>COUNTIFS(GERAL!B$8:B$1696,A72,GERAL!AZ$8:AZ$1696,"&gt;0",GERAL!C$8:C$1696,"ANEXO")</f>
        <v>0</v>
      </c>
      <c r="V72" s="85">
        <f>SUMIF(GERAL!B$8:B$1696,A72,GERAL!AH$8:AH$1696)</f>
        <v>0</v>
      </c>
      <c r="W72" s="85">
        <f>SUMIF(GERAL!B$8:B$1696,A72,GERAL!AM$8:AM$1696)</f>
        <v>0</v>
      </c>
      <c r="X72" s="85">
        <f>SUMIF(GERAL!B$8:B$1696,A72,GERAL!AQ$8:AQ$1696)</f>
        <v>55</v>
      </c>
      <c r="Y72" s="85">
        <f>SUMIF(GERAL!B$8:B$1696,A72,GERAL!AU$8:AU$1696)</f>
        <v>21</v>
      </c>
      <c r="Z72" s="88">
        <f t="shared" si="40"/>
        <v>76</v>
      </c>
      <c r="AA72" s="116">
        <f>COUNTIFS(GERAL!B$8:B$1696,A72,GERAL!BK$8:BK$1696,"&gt;0",GERAL!C$8:C$1696,"ESCOLA")</f>
        <v>1</v>
      </c>
      <c r="AB72" s="88">
        <f>COUNTIFS(GERAL!B$8:B$1696,A72,GERAL!BK$8:BK$1696,"&gt;0",GERAL!C$8:C$1696,"ANEXO")</f>
        <v>0</v>
      </c>
      <c r="AC72" s="121">
        <f>SUMIF(GERAL!B$8:B$1696,A72,GERAL!AD$8:AD$1696)</f>
        <v>0</v>
      </c>
      <c r="AD72" s="121">
        <f>SUMIF(GERAL!B$8:B$1696,A72,GERAL!AI$8:AI$1696)</f>
        <v>165</v>
      </c>
      <c r="AE72" s="121">
        <f>SUMIF(GERAL!B$8:B$1696,A72,GERAL!AV$8:AV$1696)</f>
        <v>0</v>
      </c>
      <c r="AF72" s="492">
        <f t="shared" si="41"/>
        <v>165</v>
      </c>
      <c r="AG72" s="178">
        <f>COUNTIFS(GERAL!B$8:B$1696,A72,GERAL!AW$8:AW$1696,"&gt;0",GERAL!C$8:C$1696,"ESCOLA")</f>
        <v>1</v>
      </c>
      <c r="AH72" s="118">
        <f>COUNTIFS(GERAL!B$8:B$1696,A72,GERAL!AW$8:AW$1696,"&gt;0",GERAL!C$8:C$1696,"ANEXO")</f>
        <v>0</v>
      </c>
      <c r="AI72" s="177">
        <f>SUMIF(GERAL!B$8:B$1696,A72,GERAL!AS$8:AS$1696)+SUMIF(GERAL!B$8:B$1696,A72,GERAL!AT$8:AT$1696)</f>
        <v>0</v>
      </c>
      <c r="AJ72" s="177">
        <f>SUMIF(GERAL!B$8:B$1696,A72,GERAL!AU$8:AU$1696)</f>
        <v>21</v>
      </c>
      <c r="AK72" s="177">
        <f>SUMIF(GERAL!B$8:B$1696,A72,GERAL!AV$8:AV$1696)</f>
        <v>0</v>
      </c>
      <c r="AL72" s="118">
        <f t="shared" si="42"/>
        <v>21</v>
      </c>
      <c r="AM72" s="493" t="s">
        <v>205</v>
      </c>
    </row>
    <row r="73">
      <c r="A73" s="494" t="s">
        <v>2038</v>
      </c>
      <c r="B73" s="75">
        <f>COUNTIFS(GERAL!B$8:B$1696,A73,GERAL!C$8:C$1696,"ESCOLA")</f>
        <v>2</v>
      </c>
      <c r="C73" s="75">
        <f>COUNTIFS(GERAL!B$8:B$1696,A73,GERAL!C$8:C$1696,"ANEXO")</f>
        <v>1</v>
      </c>
      <c r="D73" s="85">
        <f>SUMIF(GERAL!B$8:B$1696,A73,GERAL!Z$8:Z$1696)</f>
        <v>0</v>
      </c>
      <c r="E73" s="85">
        <f>SUMIF(GERAL!B$8:B$1696,A73,GERAL!AE$8:AE$1696)</f>
        <v>0</v>
      </c>
      <c r="F73" s="85">
        <f>SUMIF(GERAL!B$8:B$1696,A73,GERAL!AJ$8:AJ$1696)</f>
        <v>606</v>
      </c>
      <c r="G73" s="85">
        <f>SUMIF(GERAL!B$8:B$1696,A73,GERAL!AN$8:AN$1696)</f>
        <v>0</v>
      </c>
      <c r="H73" s="85">
        <f>SUMIF(GERAL!B$8:B$1696,A73,GERAL!AR$8:AW$1696)</f>
        <v>195</v>
      </c>
      <c r="I73" s="85">
        <f>SUMIF(GERAL!B$8:B$1696,A73,GERAL!AW$8:AW$1696)</f>
        <v>1263</v>
      </c>
      <c r="J73" s="75">
        <f>SUMIF(GERAL!B$8:B$1696,A73,GERAL!AX$8:AX$1696)</f>
        <v>2064</v>
      </c>
      <c r="K73" s="75">
        <f>COUNTIFS(GERAL!B$8:B$1696,A73,GERAL!AY$8:AY$1696,"&gt;0",GERAL!C$8:C$1696,"ESCOLA")</f>
        <v>2</v>
      </c>
      <c r="L73" s="75">
        <f>COUNTIFS(GERAL!B$8:B$1696,A73,GERAL!AY$8:AY$1696,"&gt;0",GERAL!C$8:C$1696,"ANEXO")</f>
        <v>0</v>
      </c>
      <c r="M73" s="100">
        <f>SUMIF(GERAL!B$8:B$1696,A73,GERAL!V$8:V$1696)+SUMIF(GERAL!B$8:B$1696,A73,GERAL!W$8:W$1696)</f>
        <v>0</v>
      </c>
      <c r="N73" s="100">
        <f>SUMIF(GERAL!B$8:B$1696,A73,GERAL!AA$8:AA$1696)+SUMIF(GERAL!B$8:B$1696,A73,GERAL!AB$8:AB$1696)</f>
        <v>0</v>
      </c>
      <c r="O73" s="100">
        <f>SUMIF(GERAL!B$8:B$1696,A73,GERAL!AF$8:AF$1696)+SUMIF(GERAL!B$8:B$1696,A73,GERAL!AG$8:AG$1696)</f>
        <v>0</v>
      </c>
      <c r="P73" s="100">
        <f>SUMIF(GERAL!B$8:B$1696,A73,GERAL!AK$8:AK$1696)+SUMIF(GERAL!B$8:B$1696,A73,GERAL!AL$8:AL$1696)</f>
        <v>0</v>
      </c>
      <c r="Q73" s="100">
        <f>SUMIF(GERAL!B$8:B$1696,A73,GERAL!AO$8:AO$1696)+SUMIF(GERAL!B$8:B$1696,A73,GERAL!AP$8:AP$1696)</f>
        <v>0</v>
      </c>
      <c r="R73" s="100">
        <f>SUMIF(GERAL!B$8:B$1696,A73,GERAL!AS$8:AS$1696)+SUMIF(GERAL!B$8:B$1696,A73,GERAL!AT$8:AT$1696)</f>
        <v>1028</v>
      </c>
      <c r="S73" s="75">
        <f t="shared" si="39"/>
        <v>1028</v>
      </c>
      <c r="T73" s="116">
        <f>COUNTIFS(GERAL!B$8:B$1696,A73,GERAL!AZ$8:AZ$1696,"&gt;0",GERAL!C$8:C$1696,"ESCOLA")</f>
        <v>2</v>
      </c>
      <c r="U73" s="75">
        <f>COUNTIFS(GERAL!B$8:B$1696,A73,GERAL!AZ$8:AZ$1696,"&gt;0",GERAL!C$8:C$1696,"ANEXO")</f>
        <v>1</v>
      </c>
      <c r="V73" s="85">
        <f>SUMIF(GERAL!B$8:B$1696,A73,GERAL!AH$8:AH$1696)</f>
        <v>0</v>
      </c>
      <c r="W73" s="85">
        <f>SUMIF(GERAL!B$8:B$1696,A73,GERAL!AM$8:AM$1696)</f>
        <v>0</v>
      </c>
      <c r="X73" s="85">
        <f>SUMIF(GERAL!B$8:B$1696,A73,GERAL!AQ$8:AQ$1696)</f>
        <v>195</v>
      </c>
      <c r="Y73" s="85">
        <f>SUMIF(GERAL!B$8:B$1696,A73,GERAL!AU$8:AU$1696)</f>
        <v>235</v>
      </c>
      <c r="Z73" s="88">
        <f t="shared" si="40"/>
        <v>430</v>
      </c>
      <c r="AA73" s="116">
        <f>COUNTIFS(GERAL!B$8:B$1696,A73,GERAL!BK$8:BK$1696,"&gt;0",GERAL!C$8:C$1696,"ESCOLA")</f>
        <v>1</v>
      </c>
      <c r="AB73" s="88">
        <f>COUNTIFS(GERAL!B$8:B$1696,A73,GERAL!BK$8:BK$1696,"&gt;0",GERAL!C$8:C$1696,"ANEXO")</f>
        <v>0</v>
      </c>
      <c r="AC73" s="121">
        <f>SUMIF(GERAL!B$8:B$1696,A73,GERAL!AD$8:AD$1696)</f>
        <v>0</v>
      </c>
      <c r="AD73" s="121">
        <f>SUMIF(GERAL!B$8:B$1696,A73,GERAL!AI$8:AI$1696)</f>
        <v>606</v>
      </c>
      <c r="AE73" s="121">
        <f>SUMIF(GERAL!B$8:B$1696,A73,GERAL!AV$8:AV$1696)</f>
        <v>0</v>
      </c>
      <c r="AF73" s="492">
        <f t="shared" si="41"/>
        <v>606</v>
      </c>
      <c r="AG73" s="178">
        <f>COUNTIFS(GERAL!B$8:B$1696,A73,GERAL!AW$8:AW$1696,"&gt;0",GERAL!C$8:C$1696,"ESCOLA")</f>
        <v>1</v>
      </c>
      <c r="AH73" s="118">
        <f>COUNTIFS(GERAL!B$8:B$1696,A73,GERAL!AW$8:AW$1696,"&gt;0",GERAL!C$8:C$1696,"ANEXO")</f>
        <v>1</v>
      </c>
      <c r="AI73" s="177">
        <f>SUMIF(GERAL!B$8:B$1696,A73,GERAL!AS$8:AS$1696)+SUMIF(GERAL!B$8:B$1696,A73,GERAL!AT$8:AT$1696)</f>
        <v>1028</v>
      </c>
      <c r="AJ73" s="177">
        <f>SUMIF(GERAL!B$8:B$1696,A73,GERAL!AU$8:AU$1696)</f>
        <v>235</v>
      </c>
      <c r="AK73" s="177">
        <f>SUMIF(GERAL!B$8:B$1696,A73,GERAL!AV$8:AV$1696)</f>
        <v>0</v>
      </c>
      <c r="AL73" s="118">
        <f t="shared" si="42"/>
        <v>1263</v>
      </c>
      <c r="AM73" s="493" t="s">
        <v>973</v>
      </c>
    </row>
    <row r="74">
      <c r="A74" s="484" t="s">
        <v>1370</v>
      </c>
      <c r="B74" s="75">
        <f>COUNTIFS(GERAL!B$8:B$1696,A74,GERAL!C$8:C$1696,"ESCOLA")</f>
        <v>2</v>
      </c>
      <c r="C74" s="75">
        <f>COUNTIFS(GERAL!B$8:B$1696,A74,GERAL!C$8:C$1696,"ANEXO")</f>
        <v>0</v>
      </c>
      <c r="D74" s="85">
        <f>SUMIF(GERAL!B$8:B$1696,A74,GERAL!Z$8:Z$1696)</f>
        <v>36</v>
      </c>
      <c r="E74" s="85">
        <f>SUMIF(GERAL!B$8:B$1696,A74,GERAL!AE$8:AE$1696)</f>
        <v>149</v>
      </c>
      <c r="F74" s="85">
        <f>SUMIF(GERAL!B$8:B$1696,A74,GERAL!AJ$8:AJ$1696)</f>
        <v>330</v>
      </c>
      <c r="G74" s="85">
        <f>SUMIF(GERAL!B$8:B$1696,A74,GERAL!AN$8:AN$1696)</f>
        <v>0</v>
      </c>
      <c r="H74" s="85">
        <f>SUMIF(GERAL!B$8:B$1696,A74,GERAL!AR$8:AW$1696)</f>
        <v>75</v>
      </c>
      <c r="I74" s="85">
        <f>SUMIF(GERAL!B$8:B$1696,A74,GERAL!AW$8:AW$1696)</f>
        <v>112</v>
      </c>
      <c r="J74" s="75">
        <f>SUMIF(GERAL!B$8:B$1696,A74,GERAL!AX$8:AX$1696)</f>
        <v>702</v>
      </c>
      <c r="K74" s="75">
        <f>COUNTIFS(GERAL!B$8:B$1696,A74,GERAL!AY$8:AY$1696,"&gt;0",GERAL!C$8:C$1696,"ESCOLA")</f>
        <v>2</v>
      </c>
      <c r="L74" s="75">
        <f>COUNTIFS(GERAL!B$8:B$1696,A74,GERAL!AY$8:AY$1696,"&gt;0",GERAL!C$8:C$1696,"ANEXO")</f>
        <v>0</v>
      </c>
      <c r="M74" s="100">
        <f>SUMIF(GERAL!B$8:B$1696,A74,GERAL!V$8:V$1696)+SUMIF(GERAL!B$8:B$1696,A74,GERAL!W$8:W$1696)</f>
        <v>36</v>
      </c>
      <c r="N74" s="100">
        <f>SUMIF(GERAL!B$8:B$1696,A74,GERAL!AA$8:AA$1696)+SUMIF(GERAL!B$8:B$1696,A74,GERAL!AB$8:AB$1696)</f>
        <v>89</v>
      </c>
      <c r="O74" s="100">
        <f>SUMIF(GERAL!B$8:B$1696,A74,GERAL!AF$8:AF$1696)+SUMIF(GERAL!B$8:B$1696,A74,GERAL!AG$8:AG$1696)</f>
        <v>310</v>
      </c>
      <c r="P74" s="100">
        <f>SUMIF(GERAL!B$8:B$1696,A74,GERAL!AK$8:AK$1696)+SUMIF(GERAL!B$8:B$1696,A74,GERAL!AL$8:AL$1696)</f>
        <v>0</v>
      </c>
      <c r="Q74" s="100">
        <f>SUMIF(GERAL!B$8:B$1696,A74,GERAL!AO$8:AO$1696)+SUMIF(GERAL!B$8:B$1696,A74,GERAL!AP$8:AP$1696)</f>
        <v>0</v>
      </c>
      <c r="R74" s="100">
        <f>SUMIF(GERAL!B$8:B$1696,A74,GERAL!AS$8:AS$1696)+SUMIF(GERAL!B$8:B$1696,A74,GERAL!AT$8:AT$1696)</f>
        <v>8</v>
      </c>
      <c r="S74" s="75">
        <f t="shared" si="39"/>
        <v>443</v>
      </c>
      <c r="T74" s="116">
        <f>COUNTIFS(GERAL!B$8:B$1696,A74,GERAL!AZ$8:AZ$1696,"&gt;0",GERAL!C$8:C$1696,"ESCOLA")</f>
        <v>1</v>
      </c>
      <c r="U74" s="75">
        <f>COUNTIFS(GERAL!B$8:B$1696,A74,GERAL!AZ$8:AZ$1696,"&gt;0",GERAL!C$8:C$1696,"ANEXO")</f>
        <v>0</v>
      </c>
      <c r="V74" s="85">
        <f>SUMIF(GERAL!B$8:B$1696,A74,GERAL!AH$8:AH$1696)</f>
        <v>0</v>
      </c>
      <c r="W74" s="85">
        <f>SUMIF(GERAL!B$8:B$1696,A74,GERAL!AM$8:AM$1696)</f>
        <v>0</v>
      </c>
      <c r="X74" s="85">
        <f>SUMIF(GERAL!B$8:B$1696,A74,GERAL!AQ$8:AQ$1696)</f>
        <v>75</v>
      </c>
      <c r="Y74" s="85">
        <f>SUMIF(GERAL!B$8:B$1696,A74,GERAL!AU$8:AU$1696)</f>
        <v>0</v>
      </c>
      <c r="Z74" s="88">
        <f t="shared" si="40"/>
        <v>75</v>
      </c>
      <c r="AA74" s="116">
        <f>COUNTIFS(GERAL!B$8:B$1696,A74,GERAL!BK$8:BK$1696,"&gt;0",GERAL!C$8:C$1696,"ESCOLA")</f>
        <v>2</v>
      </c>
      <c r="AB74" s="88">
        <f>COUNTIFS(GERAL!B$8:B$1696,A74,GERAL!BK$8:BK$1696,"&gt;0",GERAL!C$8:C$1696,"ANEXO")</f>
        <v>0</v>
      </c>
      <c r="AC74" s="121">
        <f>SUMIF(GERAL!B$8:B$1696,A74,GERAL!AD$8:AD$1696)</f>
        <v>60</v>
      </c>
      <c r="AD74" s="121">
        <f>SUMIF(GERAL!B$8:B$1696,A74,GERAL!AI$8:AI$1696)</f>
        <v>20</v>
      </c>
      <c r="AE74" s="121">
        <f>SUMIF(GERAL!B$8:B$1696,A74,GERAL!AV$8:AV$1696)</f>
        <v>104</v>
      </c>
      <c r="AF74" s="492">
        <f t="shared" si="41"/>
        <v>184</v>
      </c>
      <c r="AG74" s="178">
        <f>COUNTIFS(GERAL!B$8:B$1696,A74,GERAL!AW$8:AW$1696,"&gt;0",GERAL!C$8:C$1696,"ESCOLA")</f>
        <v>2</v>
      </c>
      <c r="AH74" s="118">
        <f>COUNTIFS(GERAL!B$8:B$1696,A74,GERAL!AW$8:AW$1696,"&gt;0",GERAL!C$8:C$1696,"ANEXO")</f>
        <v>0</v>
      </c>
      <c r="AI74" s="177">
        <f>SUMIF(GERAL!B$8:B$1696,A74,GERAL!AS$8:AS$1696)+SUMIF(GERAL!B$8:B$1696,A74,GERAL!AT$8:AT$1696)</f>
        <v>8</v>
      </c>
      <c r="AJ74" s="177">
        <f>SUMIF(GERAL!B$8:B$1696,A74,GERAL!AU$8:AU$1696)</f>
        <v>0</v>
      </c>
      <c r="AK74" s="177">
        <f>SUMIF(GERAL!B$8:B$1696,A74,GERAL!AV$8:AV$1696)</f>
        <v>104</v>
      </c>
      <c r="AL74" s="118">
        <f t="shared" si="42"/>
        <v>112</v>
      </c>
      <c r="AM74" s="493" t="s">
        <v>451</v>
      </c>
    </row>
    <row r="75">
      <c r="A75" s="494" t="s">
        <v>3591</v>
      </c>
      <c r="B75" s="75">
        <f>COUNTIFS(GERAL!B$8:B$1696,A75,GERAL!C$8:C$1696,"ESCOLA")</f>
        <v>1</v>
      </c>
      <c r="C75" s="75">
        <f>COUNTIFS(GERAL!B$8:B$1696,A75,GERAL!C$8:C$1696,"ANEXO")</f>
        <v>9</v>
      </c>
      <c r="D75" s="85">
        <f>SUMIF(GERAL!B$8:B$1696,A75,GERAL!Z$8:Z$1696)</f>
        <v>0</v>
      </c>
      <c r="E75" s="85">
        <f>SUMIF(GERAL!B$8:B$1696,A75,GERAL!AE$8:AE$1696)</f>
        <v>0</v>
      </c>
      <c r="F75" s="85">
        <f>SUMIF(GERAL!B$8:B$1696,A75,GERAL!AJ$8:AJ$1696)</f>
        <v>840</v>
      </c>
      <c r="G75" s="85">
        <f>SUMIF(GERAL!B$8:B$1696,A75,GERAL!AN$8:AN$1696)</f>
        <v>0</v>
      </c>
      <c r="H75" s="85">
        <f>SUMIF(GERAL!B$8:B$1696,A75,GERAL!AR$8:AW$1696)</f>
        <v>62</v>
      </c>
      <c r="I75" s="85">
        <f>SUMIF(GERAL!B$8:B$1696,A75,GERAL!AW$8:AW$1696)</f>
        <v>101</v>
      </c>
      <c r="J75" s="75">
        <f>SUMIF(GERAL!B$8:B$1696,A75,GERAL!AX$8:AX$1696)</f>
        <v>1003</v>
      </c>
      <c r="K75" s="75">
        <f>COUNTIFS(GERAL!B$8:B$1696,A75,GERAL!AY$8:AY$1696,"&gt;0",GERAL!C$8:C$1696,"ESCOLA")</f>
        <v>1</v>
      </c>
      <c r="L75" s="75">
        <f>COUNTIFS(GERAL!B$8:B$1696,A75,GERAL!AY$8:AY$1696,"&gt;0",GERAL!C$8:C$1696,"ANEXO")</f>
        <v>9</v>
      </c>
      <c r="M75" s="100">
        <f>SUMIF(GERAL!B$8:B$1696,A75,GERAL!V$8:V$1696)+SUMIF(GERAL!B$8:B$1696,A75,GERAL!W$8:W$1696)</f>
        <v>0</v>
      </c>
      <c r="N75" s="100">
        <f>SUMIF(GERAL!B$8:B$1696,A75,GERAL!AA$8:AA$1696)+SUMIF(GERAL!B$8:B$1696,A75,GERAL!AB$8:AB$1696)</f>
        <v>0</v>
      </c>
      <c r="O75" s="100">
        <f>SUMIF(GERAL!B$8:B$1696,A75,GERAL!AF$8:AF$1696)+SUMIF(GERAL!B$8:B$1696,A75,GERAL!AG$8:AG$1696)</f>
        <v>664</v>
      </c>
      <c r="P75" s="100">
        <f>SUMIF(GERAL!B$8:B$1696,A75,GERAL!AK$8:AK$1696)+SUMIF(GERAL!B$8:B$1696,A75,GERAL!AL$8:AL$1696)</f>
        <v>0</v>
      </c>
      <c r="Q75" s="100">
        <f>SUMIF(GERAL!B$8:B$1696,A75,GERAL!AO$8:AO$1696)+SUMIF(GERAL!B$8:B$1696,A75,GERAL!AP$8:AP$1696)</f>
        <v>0</v>
      </c>
      <c r="R75" s="100">
        <f>SUMIF(GERAL!B$8:B$1696,A75,GERAL!AS$8:AS$1696)+SUMIF(GERAL!B$8:B$1696,A75,GERAL!AT$8:AT$1696)</f>
        <v>101</v>
      </c>
      <c r="S75" s="75">
        <f t="shared" si="39"/>
        <v>765</v>
      </c>
      <c r="T75" s="116">
        <f>COUNTIFS(GERAL!B$8:B$1696,A75,GERAL!AZ$8:AZ$1696,"&gt;0",GERAL!C$8:C$1696,"ESCOLA")</f>
        <v>1</v>
      </c>
      <c r="U75" s="75">
        <f>COUNTIFS(GERAL!B$8:B$1696,A75,GERAL!AZ$8:AZ$1696,"&gt;0",GERAL!C$8:C$1696,"ANEXO")</f>
        <v>6</v>
      </c>
      <c r="V75" s="85">
        <f>SUMIF(GERAL!B$8:B$1696,A75,GERAL!AH$8:AH$1696)</f>
        <v>103</v>
      </c>
      <c r="W75" s="85">
        <f>SUMIF(GERAL!B$8:B$1696,A75,GERAL!AM$8:AM$1696)</f>
        <v>0</v>
      </c>
      <c r="X75" s="85">
        <f>SUMIF(GERAL!B$8:B$1696,A75,GERAL!AQ$8:AQ$1696)</f>
        <v>62</v>
      </c>
      <c r="Y75" s="85">
        <f>SUMIF(GERAL!B$8:B$1696,A75,GERAL!AU$8:AU$1696)</f>
        <v>0</v>
      </c>
      <c r="Z75" s="88">
        <f t="shared" si="40"/>
        <v>165</v>
      </c>
      <c r="AA75" s="116">
        <f>COUNTIFS(GERAL!B$8:B$1696,A75,GERAL!BK$8:BK$1696,"&gt;0",GERAL!C$8:C$1696,"ESCOLA")</f>
        <v>1</v>
      </c>
      <c r="AB75" s="88">
        <f>COUNTIFS(GERAL!B$8:B$1696,A75,GERAL!BK$8:BK$1696,"&gt;0",GERAL!C$8:C$1696,"ANEXO")</f>
        <v>0</v>
      </c>
      <c r="AC75" s="121">
        <f>SUMIF(GERAL!B$8:B$1696,A75,GERAL!AD$8:AD$1696)</f>
        <v>0</v>
      </c>
      <c r="AD75" s="121">
        <f>SUMIF(GERAL!B$8:B$1696,A75,GERAL!AI$8:AI$1696)</f>
        <v>73</v>
      </c>
      <c r="AE75" s="121">
        <f>SUMIF(GERAL!B$8:B$1696,A75,GERAL!AV$8:AV$1696)</f>
        <v>0</v>
      </c>
      <c r="AF75" s="492">
        <f t="shared" si="41"/>
        <v>73</v>
      </c>
      <c r="AG75" s="178">
        <f>COUNTIFS(GERAL!B$8:B$1696,A75,GERAL!AW$8:AW$1696,"&gt;0",GERAL!C$8:C$1696,"ESCOLA")</f>
        <v>1</v>
      </c>
      <c r="AH75" s="118">
        <f>COUNTIFS(GERAL!B$8:B$1696,A75,GERAL!AW$8:AW$1696,"&gt;0",GERAL!C$8:C$1696,"ANEXO")</f>
        <v>0</v>
      </c>
      <c r="AI75" s="177">
        <f>SUMIF(GERAL!B$8:B$1696,A75,GERAL!AS$8:AS$1696)+SUMIF(GERAL!B$8:B$1696,A75,GERAL!AT$8:AT$1696)</f>
        <v>101</v>
      </c>
      <c r="AJ75" s="177">
        <f>SUMIF(GERAL!B$8:B$1696,A75,GERAL!AU$8:AU$1696)</f>
        <v>0</v>
      </c>
      <c r="AK75" s="177">
        <f>SUMIF(GERAL!B$8:B$1696,A75,GERAL!AV$8:AV$1696)</f>
        <v>0</v>
      </c>
      <c r="AL75" s="118">
        <f t="shared" si="42"/>
        <v>101</v>
      </c>
      <c r="AM75" s="493" t="s">
        <v>860</v>
      </c>
    </row>
    <row r="76">
      <c r="A76" s="484" t="s">
        <v>2425</v>
      </c>
      <c r="B76" s="75">
        <f>COUNTIFS(GERAL!B$8:B$1696,A76,GERAL!C$8:C$1696,"ESCOLA")</f>
        <v>1</v>
      </c>
      <c r="C76" s="75">
        <f>COUNTIFS(GERAL!B$8:B$1696,A76,GERAL!C$8:C$1696,"ANEXO")</f>
        <v>0</v>
      </c>
      <c r="D76" s="85">
        <f>SUMIF(GERAL!B$8:B$1696,A76,GERAL!Z$8:Z$1696)</f>
        <v>0</v>
      </c>
      <c r="E76" s="85">
        <f>SUMIF(GERAL!B$8:B$1696,A76,GERAL!AE$8:AE$1696)</f>
        <v>0</v>
      </c>
      <c r="F76" s="85">
        <f>SUMIF(GERAL!B$8:B$1696,A76,GERAL!AJ$8:AJ$1696)</f>
        <v>151</v>
      </c>
      <c r="G76" s="85">
        <f>SUMIF(GERAL!B$8:B$1696,A76,GERAL!AN$8:AN$1696)</f>
        <v>0</v>
      </c>
      <c r="H76" s="85">
        <f>SUMIF(GERAL!B$8:B$1696,A76,GERAL!AR$8:AW$1696)</f>
        <v>39</v>
      </c>
      <c r="I76" s="85">
        <f>SUMIF(GERAL!B$8:B$1696,A76,GERAL!AW$8:AW$1696)</f>
        <v>34</v>
      </c>
      <c r="J76" s="75">
        <f>SUMIF(GERAL!B$8:B$1696,A76,GERAL!AX$8:AX$1696)</f>
        <v>224</v>
      </c>
      <c r="K76" s="75">
        <f>COUNTIFS(GERAL!B$8:B$1696,A76,GERAL!AY$8:AY$1696,"&gt;0",GERAL!C$8:C$1696,"ESCOLA")</f>
        <v>1</v>
      </c>
      <c r="L76" s="75">
        <f>COUNTIFS(GERAL!B$8:B$1696,A76,GERAL!AY$8:AY$1696,"&gt;0",GERAL!C$8:C$1696,"ANEXO")</f>
        <v>0</v>
      </c>
      <c r="M76" s="100">
        <f>SUMIF(GERAL!B$8:B$1696,A76,GERAL!V$8:V$1696)+SUMIF(GERAL!B$8:B$1696,A76,GERAL!W$8:W$1696)</f>
        <v>0</v>
      </c>
      <c r="N76" s="100">
        <f>SUMIF(GERAL!B$8:B$1696,A76,GERAL!AA$8:AA$1696)+SUMIF(GERAL!B$8:B$1696,A76,GERAL!AB$8:AB$1696)</f>
        <v>0</v>
      </c>
      <c r="O76" s="100">
        <f>SUMIF(GERAL!B$8:B$1696,A76,GERAL!AF$8:AF$1696)+SUMIF(GERAL!B$8:B$1696,A76,GERAL!AG$8:AG$1696)</f>
        <v>151</v>
      </c>
      <c r="P76" s="100">
        <f>SUMIF(GERAL!B$8:B$1696,A76,GERAL!AK$8:AK$1696)+SUMIF(GERAL!B$8:B$1696,A76,GERAL!AL$8:AL$1696)</f>
        <v>0</v>
      </c>
      <c r="Q76" s="100">
        <f>SUMIF(GERAL!B$8:B$1696,A76,GERAL!AO$8:AO$1696)+SUMIF(GERAL!B$8:B$1696,A76,GERAL!AP$8:AP$1696)</f>
        <v>0</v>
      </c>
      <c r="R76" s="100">
        <f>SUMIF(GERAL!B$8:B$1696,A76,GERAL!AS$8:AS$1696)+SUMIF(GERAL!B$8:B$1696,A76,GERAL!AT$8:AT$1696)</f>
        <v>34</v>
      </c>
      <c r="S76" s="75">
        <f t="shared" si="39"/>
        <v>185</v>
      </c>
      <c r="T76" s="116">
        <f>COUNTIFS(GERAL!B$8:B$1696,A76,GERAL!AZ$8:AZ$1696,"&gt;0",GERAL!C$8:C$1696,"ESCOLA")</f>
        <v>1</v>
      </c>
      <c r="U76" s="75">
        <f>COUNTIFS(GERAL!B$8:B$1696,A76,GERAL!AZ$8:AZ$1696,"&gt;0",GERAL!C$8:C$1696,"ANEXO")</f>
        <v>0</v>
      </c>
      <c r="V76" s="85">
        <f>SUMIF(GERAL!B$8:B$1696,A76,GERAL!AH$8:AH$1696)</f>
        <v>0</v>
      </c>
      <c r="W76" s="85">
        <f>SUMIF(GERAL!B$8:B$1696,A76,GERAL!AM$8:AM$1696)</f>
        <v>0</v>
      </c>
      <c r="X76" s="85">
        <f>SUMIF(GERAL!B$8:B$1696,A76,GERAL!AQ$8:AQ$1696)</f>
        <v>39</v>
      </c>
      <c r="Y76" s="85">
        <f>SUMIF(GERAL!B$8:B$1696,A76,GERAL!AU$8:AU$1696)</f>
        <v>0</v>
      </c>
      <c r="Z76" s="88">
        <f t="shared" si="40"/>
        <v>39</v>
      </c>
      <c r="AA76" s="116">
        <f>COUNTIFS(GERAL!B$8:B$1696,A76,GERAL!BK$8:BK$1696,"&gt;0",GERAL!C$8:C$1696,"ESCOLA")</f>
        <v>0</v>
      </c>
      <c r="AB76" s="88">
        <f>COUNTIFS(GERAL!B$8:B$1696,A76,GERAL!BK$8:BK$1696,"&gt;0",GERAL!C$8:C$1696,"ANEXO")</f>
        <v>0</v>
      </c>
      <c r="AC76" s="121">
        <f>SUMIF(GERAL!B$8:B$1696,A76,GERAL!AD$8:AD$1696)</f>
        <v>0</v>
      </c>
      <c r="AD76" s="121">
        <f>SUMIF(GERAL!B$8:B$1696,A76,GERAL!AI$8:AI$1696)</f>
        <v>0</v>
      </c>
      <c r="AE76" s="121">
        <f>SUMIF(GERAL!B$8:B$1696,A76,GERAL!AV$8:AV$1696)</f>
        <v>0</v>
      </c>
      <c r="AF76" s="492">
        <f t="shared" si="41"/>
        <v>0</v>
      </c>
      <c r="AG76" s="178">
        <f>COUNTIFS(GERAL!B$8:B$1696,A76,GERAL!AW$8:AW$1696,"&gt;0",GERAL!C$8:C$1696,"ESCOLA")</f>
        <v>1</v>
      </c>
      <c r="AH76" s="118">
        <f>COUNTIFS(GERAL!B$8:B$1696,A76,GERAL!AW$8:AW$1696,"&gt;0",GERAL!C$8:C$1696,"ANEXO")</f>
        <v>0</v>
      </c>
      <c r="AI76" s="177">
        <f>SUMIF(GERAL!B$8:B$1696,A76,GERAL!AS$8:AS$1696)+SUMIF(GERAL!B$8:B$1696,A76,GERAL!AT$8:AT$1696)</f>
        <v>34</v>
      </c>
      <c r="AJ76" s="177">
        <f>SUMIF(GERAL!B$8:B$1696,A76,GERAL!AU$8:AU$1696)</f>
        <v>0</v>
      </c>
      <c r="AK76" s="177">
        <f>SUMIF(GERAL!B$8:B$1696,A76,GERAL!AV$8:AV$1696)</f>
        <v>0</v>
      </c>
      <c r="AL76" s="118">
        <f t="shared" si="42"/>
        <v>34</v>
      </c>
      <c r="AM76" s="493" t="s">
        <v>673</v>
      </c>
    </row>
    <row r="77">
      <c r="A77" s="494" t="s">
        <v>6541</v>
      </c>
      <c r="B77" s="75">
        <f>COUNTIFS(GERAL!B$8:B$1696,A77,GERAL!C$8:C$1696,"ESCOLA")</f>
        <v>1</v>
      </c>
      <c r="C77" s="75">
        <f>COUNTIFS(GERAL!B$8:B$1696,A77,GERAL!C$8:C$1696,"ANEXO")</f>
        <v>2</v>
      </c>
      <c r="D77" s="85">
        <f>SUMIF(GERAL!B$8:B$1696,A77,GERAL!Z$8:Z$1696)</f>
        <v>0</v>
      </c>
      <c r="E77" s="85">
        <f>SUMIF(GERAL!B$8:B$1696,A77,GERAL!AE$8:AE$1696)</f>
        <v>0</v>
      </c>
      <c r="F77" s="85">
        <f>SUMIF(GERAL!B$8:B$1696,A77,GERAL!AJ$8:AJ$1696)</f>
        <v>664</v>
      </c>
      <c r="G77" s="85">
        <f>SUMIF(GERAL!B$8:B$1696,A77,GERAL!AN$8:AN$1696)</f>
        <v>0</v>
      </c>
      <c r="H77" s="85">
        <f>SUMIF(GERAL!B$8:B$1696,A77,GERAL!AR$8:AW$1696)</f>
        <v>155</v>
      </c>
      <c r="I77" s="85">
        <f>SUMIF(GERAL!B$8:B$1696,A77,GERAL!AW$8:AW$1696)</f>
        <v>20</v>
      </c>
      <c r="J77" s="75">
        <f>SUMIF(GERAL!B$8:B$1696,A77,GERAL!AX$8:AX$1696)</f>
        <v>839</v>
      </c>
      <c r="K77" s="75">
        <f>COUNTIFS(GERAL!B$8:B$1696,A77,GERAL!AY$8:AY$1696,"&gt;0",GERAL!C$8:C$1696,"ESCOLA")</f>
        <v>1</v>
      </c>
      <c r="L77" s="75">
        <f>COUNTIFS(GERAL!B$8:B$1696,A77,GERAL!AY$8:AY$1696,"&gt;0",GERAL!C$8:C$1696,"ANEXO")</f>
        <v>2</v>
      </c>
      <c r="M77" s="100">
        <f>SUMIF(GERAL!B$8:B$1696,A77,GERAL!V$8:V$1696)+SUMIF(GERAL!B$8:B$1696,A77,GERAL!W$8:W$1696)</f>
        <v>0</v>
      </c>
      <c r="N77" s="100">
        <f>SUMIF(GERAL!B$8:B$1696,A77,GERAL!AA$8:AA$1696)+SUMIF(GERAL!B$8:B$1696,A77,GERAL!AB$8:AB$1696)</f>
        <v>0</v>
      </c>
      <c r="O77" s="100">
        <f>SUMIF(GERAL!B$8:B$1696,A77,GERAL!AF$8:AF$1696)+SUMIF(GERAL!B$8:B$1696,A77,GERAL!AG$8:AG$1696)</f>
        <v>664</v>
      </c>
      <c r="P77" s="100">
        <f>SUMIF(GERAL!B$8:B$1696,A77,GERAL!AK$8:AK$1696)+SUMIF(GERAL!B$8:B$1696,A77,GERAL!AL$8:AL$1696)</f>
        <v>0</v>
      </c>
      <c r="Q77" s="100">
        <f>SUMIF(GERAL!B$8:B$1696,A77,GERAL!AO$8:AO$1696)+SUMIF(GERAL!B$8:B$1696,A77,GERAL!AP$8:AP$1696)</f>
        <v>0</v>
      </c>
      <c r="R77" s="100">
        <f>SUMIF(GERAL!B$8:B$1696,A77,GERAL!AS$8:AS$1696)+SUMIF(GERAL!B$8:B$1696,A77,GERAL!AT$8:AT$1696)</f>
        <v>0</v>
      </c>
      <c r="S77" s="75">
        <f t="shared" si="39"/>
        <v>664</v>
      </c>
      <c r="T77" s="116">
        <f>COUNTIFS(GERAL!B$8:B$1696,A77,GERAL!AZ$8:AZ$1696,"&gt;0",GERAL!C$8:C$1696,"ESCOLA")</f>
        <v>1</v>
      </c>
      <c r="U77" s="75">
        <f>COUNTIFS(GERAL!B$8:B$1696,A77,GERAL!AZ$8:AZ$1696,"&gt;0",GERAL!C$8:C$1696,"ANEXO")</f>
        <v>1</v>
      </c>
      <c r="V77" s="85">
        <f>SUMIF(GERAL!B$8:B$1696,A77,GERAL!AH$8:AH$1696)</f>
        <v>0</v>
      </c>
      <c r="W77" s="85">
        <f>SUMIF(GERAL!B$8:B$1696,A77,GERAL!AM$8:AM$1696)</f>
        <v>0</v>
      </c>
      <c r="X77" s="85">
        <f>SUMIF(GERAL!B$8:B$1696,A77,GERAL!AQ$8:AQ$1696)</f>
        <v>155</v>
      </c>
      <c r="Y77" s="85">
        <f>SUMIF(GERAL!B$8:B$1696,A77,GERAL!AU$8:AU$1696)</f>
        <v>20</v>
      </c>
      <c r="Z77" s="88">
        <f t="shared" si="40"/>
        <v>175</v>
      </c>
      <c r="AA77" s="116">
        <f>COUNTIFS(GERAL!B$8:B$1696,A77,GERAL!BK$8:BK$1696,"&gt;0",GERAL!C$8:C$1696,"ESCOLA")</f>
        <v>0</v>
      </c>
      <c r="AB77" s="88">
        <f>COUNTIFS(GERAL!B$8:B$1696,A77,GERAL!BK$8:BK$1696,"&gt;0",GERAL!C$8:C$1696,"ANEXO")</f>
        <v>0</v>
      </c>
      <c r="AC77" s="121">
        <f>SUMIF(GERAL!B$8:B$1696,A77,GERAL!AD$8:AD$1696)</f>
        <v>0</v>
      </c>
      <c r="AD77" s="121">
        <f>SUMIF(GERAL!B$8:B$1696,A77,GERAL!AI$8:AI$1696)</f>
        <v>0</v>
      </c>
      <c r="AE77" s="121">
        <f>SUMIF(GERAL!B$8:B$1696,A77,GERAL!AV$8:AV$1696)</f>
        <v>0</v>
      </c>
      <c r="AF77" s="492">
        <f t="shared" si="41"/>
        <v>0</v>
      </c>
      <c r="AG77" s="178">
        <f>COUNTIFS(GERAL!B$8:B$1696,A77,GERAL!AW$8:AW$1696,"&gt;0",GERAL!C$8:C$1696,"ESCOLA")</f>
        <v>1</v>
      </c>
      <c r="AH77" s="118">
        <f>COUNTIFS(GERAL!B$8:B$1696,A77,GERAL!AW$8:AW$1696,"&gt;0",GERAL!C$8:C$1696,"ANEXO")</f>
        <v>0</v>
      </c>
      <c r="AI77" s="177">
        <f>SUMIF(GERAL!B$8:B$1696,A77,GERAL!AS$8:AS$1696)+SUMIF(GERAL!B$8:B$1696,A77,GERAL!AT$8:AT$1696)</f>
        <v>0</v>
      </c>
      <c r="AJ77" s="177">
        <f>SUMIF(GERAL!B$8:B$1696,A77,GERAL!AU$8:AU$1696)</f>
        <v>20</v>
      </c>
      <c r="AK77" s="177">
        <f>SUMIF(GERAL!B$8:B$1696,A77,GERAL!AV$8:AV$1696)</f>
        <v>0</v>
      </c>
      <c r="AL77" s="118">
        <f t="shared" si="42"/>
        <v>20</v>
      </c>
      <c r="AM77" s="493" t="s">
        <v>1463</v>
      </c>
    </row>
    <row r="78">
      <c r="A78" s="484" t="s">
        <v>6556</v>
      </c>
      <c r="B78" s="75">
        <f>COUNTIFS(GERAL!B$8:B$1696,A78,GERAL!C$8:C$1696,"ESCOLA")</f>
        <v>2</v>
      </c>
      <c r="C78" s="75">
        <f>COUNTIFS(GERAL!B$8:B$1696,A78,GERAL!C$8:C$1696,"ANEXO")</f>
        <v>0</v>
      </c>
      <c r="D78" s="85">
        <f>SUMIF(GERAL!B$8:B$1696,A78,GERAL!Z$8:Z$1696)</f>
        <v>0</v>
      </c>
      <c r="E78" s="85">
        <f>SUMIF(GERAL!B$8:B$1696,A78,GERAL!AE$8:AE$1696)</f>
        <v>0</v>
      </c>
      <c r="F78" s="85">
        <f>SUMIF(GERAL!B$8:B$1696,A78,GERAL!AJ$8:AJ$1696)</f>
        <v>748</v>
      </c>
      <c r="G78" s="85">
        <f>SUMIF(GERAL!B$8:B$1696,A78,GERAL!AN$8:AN$1696)</f>
        <v>0</v>
      </c>
      <c r="H78" s="85">
        <f>SUMIF(GERAL!B$8:B$1696,A78,GERAL!AR$8:AW$1696)</f>
        <v>108</v>
      </c>
      <c r="I78" s="85">
        <f>SUMIF(GERAL!B$8:B$1696,A78,GERAL!AW$8:AW$1696)</f>
        <v>64</v>
      </c>
      <c r="J78" s="75">
        <f>SUMIF(GERAL!B$8:B$1696,A78,GERAL!AX$8:AX$1696)</f>
        <v>920</v>
      </c>
      <c r="K78" s="75">
        <f>COUNTIFS(GERAL!B$8:B$1696,A78,GERAL!AY$8:AY$1696,"&gt;0",GERAL!C$8:C$1696,"ESCOLA")</f>
        <v>2</v>
      </c>
      <c r="L78" s="75">
        <f>COUNTIFS(GERAL!B$8:B$1696,A78,GERAL!AY$8:AY$1696,"&gt;0",GERAL!C$8:C$1696,"ANEXO")</f>
        <v>0</v>
      </c>
      <c r="M78" s="100">
        <f>SUMIF(GERAL!B$8:B$1696,A78,GERAL!V$8:V$1696)+SUMIF(GERAL!B$8:B$1696,A78,GERAL!W$8:W$1696)</f>
        <v>0</v>
      </c>
      <c r="N78" s="100">
        <f>SUMIF(GERAL!B$8:B$1696,A78,GERAL!AA$8:AA$1696)+SUMIF(GERAL!B$8:B$1696,A78,GERAL!AB$8:AB$1696)</f>
        <v>0</v>
      </c>
      <c r="O78" s="100">
        <f>SUMIF(GERAL!B$8:B$1696,A78,GERAL!AF$8:AF$1696)+SUMIF(GERAL!B$8:B$1696,A78,GERAL!AG$8:AG$1696)</f>
        <v>245</v>
      </c>
      <c r="P78" s="100">
        <f>SUMIF(GERAL!B$8:B$1696,A78,GERAL!AK$8:AK$1696)+SUMIF(GERAL!B$8:B$1696,A78,GERAL!AL$8:AL$1696)</f>
        <v>0</v>
      </c>
      <c r="Q78" s="100">
        <f>SUMIF(GERAL!B$8:B$1696,A78,GERAL!AO$8:AO$1696)+SUMIF(GERAL!B$8:B$1696,A78,GERAL!AP$8:AP$1696)</f>
        <v>0</v>
      </c>
      <c r="R78" s="100">
        <f>SUMIF(GERAL!B$8:B$1696,A78,GERAL!AS$8:AS$1696)+SUMIF(GERAL!B$8:B$1696,A78,GERAL!AT$8:AT$1696)</f>
        <v>0</v>
      </c>
      <c r="S78" s="75">
        <f t="shared" si="39"/>
        <v>245</v>
      </c>
      <c r="T78" s="116">
        <f>COUNTIFS(GERAL!B$8:B$1696,A78,GERAL!AZ$8:AZ$1696,"&gt;0",GERAL!C$8:C$1696,"ESCOLA")</f>
        <v>2</v>
      </c>
      <c r="U78" s="75">
        <f>COUNTIFS(GERAL!B$8:B$1696,A78,GERAL!AZ$8:AZ$1696,"&gt;0",GERAL!C$8:C$1696,"ANEXO")</f>
        <v>0</v>
      </c>
      <c r="V78" s="85">
        <f>SUMIF(GERAL!B$8:B$1696,A78,GERAL!AH$8:AH$1696)</f>
        <v>0</v>
      </c>
      <c r="W78" s="85">
        <f>SUMIF(GERAL!B$8:B$1696,A78,GERAL!AM$8:AM$1696)</f>
        <v>0</v>
      </c>
      <c r="X78" s="85">
        <f>SUMIF(GERAL!B$8:B$1696,A78,GERAL!AQ$8:AQ$1696)</f>
        <v>108</v>
      </c>
      <c r="Y78" s="85">
        <f>SUMIF(GERAL!B$8:B$1696,A78,GERAL!AU$8:AU$1696)</f>
        <v>64</v>
      </c>
      <c r="Z78" s="88">
        <f t="shared" si="40"/>
        <v>172</v>
      </c>
      <c r="AA78" s="116">
        <f>COUNTIFS(GERAL!B$8:B$1696,A78,GERAL!BK$8:BK$1696,"&gt;0",GERAL!C$8:C$1696,"ESCOLA")</f>
        <v>2</v>
      </c>
      <c r="AB78" s="88">
        <f>COUNTIFS(GERAL!B$8:B$1696,A78,GERAL!BK$8:BK$1696,"&gt;0",GERAL!C$8:C$1696,"ANEXO")</f>
        <v>0</v>
      </c>
      <c r="AC78" s="121">
        <f>SUMIF(GERAL!B$8:B$1696,A78,GERAL!AD$8:AD$1696)</f>
        <v>0</v>
      </c>
      <c r="AD78" s="121">
        <f>SUMIF(GERAL!B$8:B$1696,A78,GERAL!AI$8:AI$1696)</f>
        <v>503</v>
      </c>
      <c r="AE78" s="121">
        <f>SUMIF(GERAL!B$8:B$1696,A78,GERAL!AV$8:AV$1696)</f>
        <v>0</v>
      </c>
      <c r="AF78" s="492">
        <f t="shared" si="41"/>
        <v>503</v>
      </c>
      <c r="AG78" s="178">
        <f>COUNTIFS(GERAL!B$8:B$1696,A78,GERAL!AW$8:AW$1696,"&gt;0",GERAL!C$8:C$1696,"ESCOLA")</f>
        <v>1</v>
      </c>
      <c r="AH78" s="118">
        <f>COUNTIFS(GERAL!B$8:B$1696,A78,GERAL!AW$8:AW$1696,"&gt;0",GERAL!C$8:C$1696,"ANEXO")</f>
        <v>0</v>
      </c>
      <c r="AI78" s="177">
        <f>SUMIF(GERAL!B$8:B$1696,A78,GERAL!AS$8:AS$1696)+SUMIF(GERAL!B$8:B$1696,A78,GERAL!AT$8:AT$1696)</f>
        <v>0</v>
      </c>
      <c r="AJ78" s="177">
        <f>SUMIF(GERAL!B$8:B$1696,A78,GERAL!AU$8:AU$1696)</f>
        <v>64</v>
      </c>
      <c r="AK78" s="177">
        <f>SUMIF(GERAL!B$8:B$1696,A78,GERAL!AV$8:AV$1696)</f>
        <v>0</v>
      </c>
      <c r="AL78" s="118">
        <f t="shared" si="42"/>
        <v>64</v>
      </c>
      <c r="AM78" s="493" t="s">
        <v>1463</v>
      </c>
    </row>
    <row r="79">
      <c r="A79" s="494" t="s">
        <v>4035</v>
      </c>
      <c r="B79" s="75">
        <f>COUNTIFS(GERAL!B$8:B$1696,A79,GERAL!C$8:C$1696,"ESCOLA")</f>
        <v>1</v>
      </c>
      <c r="C79" s="75">
        <f>COUNTIFS(GERAL!B$8:B$1696,A79,GERAL!C$8:C$1696,"ANEXO")</f>
        <v>2</v>
      </c>
      <c r="D79" s="85">
        <f>SUMIF(GERAL!B$8:B$1696,A79,GERAL!Z$8:Z$1696)</f>
        <v>0</v>
      </c>
      <c r="E79" s="85">
        <f>SUMIF(GERAL!B$8:B$1696,A79,GERAL!AE$8:AE$1696)</f>
        <v>0</v>
      </c>
      <c r="F79" s="85">
        <f>SUMIF(GERAL!B$8:B$1696,A79,GERAL!AJ$8:AJ$1696)</f>
        <v>788</v>
      </c>
      <c r="G79" s="85">
        <f>SUMIF(GERAL!B$8:B$1696,A79,GERAL!AN$8:AN$1696)</f>
        <v>0</v>
      </c>
      <c r="H79" s="85">
        <f>SUMIF(GERAL!B$8:B$1696,A79,GERAL!AR$8:AW$1696)</f>
        <v>263</v>
      </c>
      <c r="I79" s="85">
        <f>SUMIF(GERAL!B$8:B$1696,A79,GERAL!AW$8:AW$1696)</f>
        <v>37</v>
      </c>
      <c r="J79" s="75">
        <f>SUMIF(GERAL!B$8:B$1696,A79,GERAL!AX$8:AX$1696)</f>
        <v>1088</v>
      </c>
      <c r="K79" s="75">
        <f>COUNTIFS(GERAL!B$8:B$1696,A79,GERAL!AY$8:AY$1696,"&gt;0",GERAL!C$8:C$1696,"ESCOLA")</f>
        <v>1</v>
      </c>
      <c r="L79" s="75">
        <f>COUNTIFS(GERAL!B$8:B$1696,A79,GERAL!AY$8:AY$1696,"&gt;0",GERAL!C$8:C$1696,"ANEXO")</f>
        <v>1</v>
      </c>
      <c r="M79" s="100">
        <f>SUMIF(GERAL!B$8:B$1696,A79,GERAL!V$8:V$1696)+SUMIF(GERAL!B$8:B$1696,A79,GERAL!W$8:W$1696)</f>
        <v>0</v>
      </c>
      <c r="N79" s="100">
        <f>SUMIF(GERAL!B$8:B$1696,A79,GERAL!AA$8:AA$1696)+SUMIF(GERAL!B$8:B$1696,A79,GERAL!AB$8:AB$1696)</f>
        <v>0</v>
      </c>
      <c r="O79" s="100">
        <f>SUMIF(GERAL!B$8:B$1696,A79,GERAL!AF$8:AF$1696)+SUMIF(GERAL!B$8:B$1696,A79,GERAL!AG$8:AG$1696)</f>
        <v>78</v>
      </c>
      <c r="P79" s="100">
        <f>SUMIF(GERAL!B$8:B$1696,A79,GERAL!AK$8:AK$1696)+SUMIF(GERAL!B$8:B$1696,A79,GERAL!AL$8:AL$1696)</f>
        <v>0</v>
      </c>
      <c r="Q79" s="100">
        <f>SUMIF(GERAL!B$8:B$1696,A79,GERAL!AO$8:AO$1696)+SUMIF(GERAL!B$8:B$1696,A79,GERAL!AP$8:AP$1696)</f>
        <v>0</v>
      </c>
      <c r="R79" s="100">
        <f>SUMIF(GERAL!B$8:B$1696,A79,GERAL!AS$8:AS$1696)+SUMIF(GERAL!B$8:B$1696,A79,GERAL!AT$8:AT$1696)</f>
        <v>0</v>
      </c>
      <c r="S79" s="75">
        <f t="shared" si="39"/>
        <v>78</v>
      </c>
      <c r="T79" s="116">
        <f>COUNTIFS(GERAL!B$8:B$1696,A79,GERAL!AZ$8:AZ$1696,"&gt;0",GERAL!C$8:C$1696,"ESCOLA")</f>
        <v>1</v>
      </c>
      <c r="U79" s="75">
        <f>COUNTIFS(GERAL!B$8:B$1696,A79,GERAL!AZ$8:AZ$1696,"&gt;0",GERAL!C$8:C$1696,"ANEXO")</f>
        <v>2</v>
      </c>
      <c r="V79" s="85">
        <f>SUMIF(GERAL!B$8:B$1696,A79,GERAL!AH$8:AH$1696)</f>
        <v>54</v>
      </c>
      <c r="W79" s="85">
        <f>SUMIF(GERAL!B$8:B$1696,A79,GERAL!AM$8:AM$1696)</f>
        <v>0</v>
      </c>
      <c r="X79" s="85">
        <f>SUMIF(GERAL!B$8:B$1696,A79,GERAL!AQ$8:AQ$1696)</f>
        <v>263</v>
      </c>
      <c r="Y79" s="85">
        <f>SUMIF(GERAL!B$8:B$1696,A79,GERAL!AU$8:AU$1696)</f>
        <v>37</v>
      </c>
      <c r="Z79" s="88">
        <f t="shared" si="40"/>
        <v>354</v>
      </c>
      <c r="AA79" s="116">
        <f>COUNTIFS(GERAL!B$8:B$1696,A79,GERAL!BK$8:BK$1696,"&gt;0",GERAL!C$8:C$1696,"ESCOLA")</f>
        <v>1</v>
      </c>
      <c r="AB79" s="88">
        <f>COUNTIFS(GERAL!B$8:B$1696,A79,GERAL!BK$8:BK$1696,"&gt;0",GERAL!C$8:C$1696,"ANEXO")</f>
        <v>0</v>
      </c>
      <c r="AC79" s="121">
        <f>SUMIF(GERAL!B$8:B$1696,A79,GERAL!AD$8:AD$1696)</f>
        <v>0</v>
      </c>
      <c r="AD79" s="121">
        <f>SUMIF(GERAL!B$8:B$1696,A79,GERAL!AI$8:AI$1696)</f>
        <v>656</v>
      </c>
      <c r="AE79" s="121">
        <f>SUMIF(GERAL!B$8:B$1696,A79,GERAL!AV$8:AV$1696)</f>
        <v>0</v>
      </c>
      <c r="AF79" s="492">
        <f t="shared" si="41"/>
        <v>656</v>
      </c>
      <c r="AG79" s="178">
        <f>COUNTIFS(GERAL!B$8:B$1696,A79,GERAL!AW$8:AW$1696,"&gt;0",GERAL!C$8:C$1696,"ESCOLA")</f>
        <v>1</v>
      </c>
      <c r="AH79" s="118">
        <f>COUNTIFS(GERAL!B$8:B$1696,A79,GERAL!AW$8:AW$1696,"&gt;0",GERAL!C$8:C$1696,"ANEXO")</f>
        <v>0</v>
      </c>
      <c r="AI79" s="177">
        <f>SUMIF(GERAL!B$8:B$1696,A79,GERAL!AS$8:AS$1696)+SUMIF(GERAL!B$8:B$1696,A79,GERAL!AT$8:AT$1696)</f>
        <v>0</v>
      </c>
      <c r="AJ79" s="177">
        <f>SUMIF(GERAL!B$8:B$1696,A79,GERAL!AU$8:AU$1696)</f>
        <v>37</v>
      </c>
      <c r="AK79" s="177">
        <f>SUMIF(GERAL!B$8:B$1696,A79,GERAL!AV$8:AV$1696)</f>
        <v>0</v>
      </c>
      <c r="AL79" s="118">
        <f t="shared" si="42"/>
        <v>37</v>
      </c>
      <c r="AM79" s="493" t="s">
        <v>973</v>
      </c>
    </row>
    <row r="80">
      <c r="A80" s="484" t="s">
        <v>4771</v>
      </c>
      <c r="B80" s="75">
        <f>COUNTIFS(GERAL!B$8:B$1696,A80,GERAL!C$8:C$1696,"ESCOLA")</f>
        <v>1</v>
      </c>
      <c r="C80" s="75">
        <f>COUNTIFS(GERAL!B$8:B$1696,A80,GERAL!C$8:C$1696,"ANEXO")</f>
        <v>1</v>
      </c>
      <c r="D80" s="85">
        <f>SUMIF(GERAL!B$8:B$1696,A80,GERAL!Z$8:Z$1696)</f>
        <v>0</v>
      </c>
      <c r="E80" s="85">
        <f>SUMIF(GERAL!B$8:B$1696,A80,GERAL!AE$8:AE$1696)</f>
        <v>0</v>
      </c>
      <c r="F80" s="85">
        <f>SUMIF(GERAL!B$8:B$1696,A80,GERAL!AJ$8:AJ$1696)</f>
        <v>236</v>
      </c>
      <c r="G80" s="85">
        <f>SUMIF(GERAL!B$8:B$1696,A80,GERAL!AN$8:AN$1696)</f>
        <v>0</v>
      </c>
      <c r="H80" s="85">
        <f>SUMIF(GERAL!B$8:B$1696,A80,GERAL!AR$8:AW$1696)</f>
        <v>51</v>
      </c>
      <c r="I80" s="85">
        <f>SUMIF(GERAL!B$8:B$1696,A80,GERAL!AW$8:AW$1696)</f>
        <v>62</v>
      </c>
      <c r="J80" s="75">
        <f>SUMIF(GERAL!B$8:B$1696,A80,GERAL!AX$8:AX$1696)</f>
        <v>349</v>
      </c>
      <c r="K80" s="75">
        <f>COUNTIFS(GERAL!B$8:B$1696,A80,GERAL!AY$8:AY$1696,"&gt;0",GERAL!C$8:C$1696,"ESCOLA")</f>
        <v>1</v>
      </c>
      <c r="L80" s="75">
        <f>COUNTIFS(GERAL!B$8:B$1696,A80,GERAL!AY$8:AY$1696,"&gt;0",GERAL!C$8:C$1696,"ANEXO")</f>
        <v>1</v>
      </c>
      <c r="M80" s="100">
        <f>SUMIF(GERAL!B$8:B$1696,A80,GERAL!V$8:V$1696)+SUMIF(GERAL!B$8:B$1696,A80,GERAL!W$8:W$1696)</f>
        <v>0</v>
      </c>
      <c r="N80" s="100">
        <f>SUMIF(GERAL!B$8:B$1696,A80,GERAL!AA$8:AA$1696)+SUMIF(GERAL!B$8:B$1696,A80,GERAL!AB$8:AB$1696)</f>
        <v>0</v>
      </c>
      <c r="O80" s="100">
        <f>SUMIF(GERAL!B$8:B$1696,A80,GERAL!AF$8:AF$1696)+SUMIF(GERAL!B$8:B$1696,A80,GERAL!AG$8:AG$1696)</f>
        <v>131</v>
      </c>
      <c r="P80" s="100">
        <f>SUMIF(GERAL!B$8:B$1696,A80,GERAL!AK$8:AK$1696)+SUMIF(GERAL!B$8:B$1696,A80,GERAL!AL$8:AL$1696)</f>
        <v>0</v>
      </c>
      <c r="Q80" s="100">
        <f>SUMIF(GERAL!B$8:B$1696,A80,GERAL!AO$8:AO$1696)+SUMIF(GERAL!B$8:B$1696,A80,GERAL!AP$8:AP$1696)</f>
        <v>0</v>
      </c>
      <c r="R80" s="100">
        <f>SUMIF(GERAL!B$8:B$1696,A80,GERAL!AS$8:AS$1696)+SUMIF(GERAL!B$8:B$1696,A80,GERAL!AT$8:AT$1696)</f>
        <v>0</v>
      </c>
      <c r="S80" s="75">
        <f t="shared" si="39"/>
        <v>131</v>
      </c>
      <c r="T80" s="116">
        <f>COUNTIFS(GERAL!B$8:B$1696,A80,GERAL!AZ$8:AZ$1696,"&gt;0",GERAL!C$8:C$1696,"ESCOLA")</f>
        <v>1</v>
      </c>
      <c r="U80" s="75">
        <f>COUNTIFS(GERAL!B$8:B$1696,A80,GERAL!AZ$8:AZ$1696,"&gt;0",GERAL!C$8:C$1696,"ANEXO")</f>
        <v>0</v>
      </c>
      <c r="V80" s="85">
        <f>SUMIF(GERAL!B$8:B$1696,A80,GERAL!AH$8:AH$1696)</f>
        <v>0</v>
      </c>
      <c r="W80" s="85">
        <f>SUMIF(GERAL!B$8:B$1696,A80,GERAL!AM$8:AM$1696)</f>
        <v>0</v>
      </c>
      <c r="X80" s="85">
        <f>SUMIF(GERAL!B$8:B$1696,A80,GERAL!AQ$8:AQ$1696)</f>
        <v>51</v>
      </c>
      <c r="Y80" s="85">
        <f>SUMIF(GERAL!B$8:B$1696,A80,GERAL!AU$8:AU$1696)</f>
        <v>0</v>
      </c>
      <c r="Z80" s="88">
        <f t="shared" si="40"/>
        <v>51</v>
      </c>
      <c r="AA80" s="116">
        <f>COUNTIFS(GERAL!B$8:B$1696,A80,GERAL!BK$8:BK$1696,"&gt;0",GERAL!C$8:C$1696,"ESCOLA")</f>
        <v>1</v>
      </c>
      <c r="AB80" s="88">
        <f>COUNTIFS(GERAL!B$8:B$1696,A80,GERAL!BK$8:BK$1696,"&gt;0",GERAL!C$8:C$1696,"ANEXO")</f>
        <v>0</v>
      </c>
      <c r="AC80" s="121">
        <f>SUMIF(GERAL!B$8:B$1696,A80,GERAL!AD$8:AD$1696)</f>
        <v>0</v>
      </c>
      <c r="AD80" s="121">
        <f>SUMIF(GERAL!B$8:B$1696,A80,GERAL!AI$8:AI$1696)</f>
        <v>105</v>
      </c>
      <c r="AE80" s="121">
        <f>SUMIF(GERAL!B$8:B$1696,A80,GERAL!AV$8:AV$1696)</f>
        <v>62</v>
      </c>
      <c r="AF80" s="492">
        <f t="shared" si="41"/>
        <v>167</v>
      </c>
      <c r="AG80" s="178">
        <f>COUNTIFS(GERAL!B$8:B$1696,A80,GERAL!AW$8:AW$1696,"&gt;0",GERAL!C$8:C$1696,"ESCOLA")</f>
        <v>1</v>
      </c>
      <c r="AH80" s="118">
        <f>COUNTIFS(GERAL!B$8:B$1696,A80,GERAL!AW$8:AW$1696,"&gt;0",GERAL!C$8:C$1696,"ANEXO")</f>
        <v>0</v>
      </c>
      <c r="AI80" s="177">
        <f>SUMIF(GERAL!B$8:B$1696,A80,GERAL!AS$8:AS$1696)+SUMIF(GERAL!B$8:B$1696,A80,GERAL!AT$8:AT$1696)</f>
        <v>0</v>
      </c>
      <c r="AJ80" s="177">
        <f>SUMIF(GERAL!B$8:B$1696,A80,GERAL!AU$8:AU$1696)</f>
        <v>0</v>
      </c>
      <c r="AK80" s="177">
        <f>SUMIF(GERAL!B$8:B$1696,A80,GERAL!AV$8:AV$1696)</f>
        <v>62</v>
      </c>
      <c r="AL80" s="118">
        <f t="shared" si="42"/>
        <v>62</v>
      </c>
      <c r="AM80" s="493" t="s">
        <v>1161</v>
      </c>
    </row>
    <row r="81">
      <c r="A81" s="494" t="s">
        <v>6161</v>
      </c>
      <c r="B81" s="75">
        <f>COUNTIFS(GERAL!B$8:B$1696,A81,GERAL!C$8:C$1696,"ESCOLA")</f>
        <v>1</v>
      </c>
      <c r="C81" s="75">
        <f>COUNTIFS(GERAL!B$8:B$1696,A81,GERAL!C$8:C$1696,"ANEXO")</f>
        <v>1</v>
      </c>
      <c r="D81" s="85">
        <f>SUMIF(GERAL!B$8:B$1696,A81,GERAL!Z$8:Z$1696)</f>
        <v>0</v>
      </c>
      <c r="E81" s="85">
        <f>SUMIF(GERAL!B$8:B$1696,A81,GERAL!AE$8:AE$1696)</f>
        <v>0</v>
      </c>
      <c r="F81" s="85">
        <f>SUMIF(GERAL!B$8:B$1696,A81,GERAL!AJ$8:AJ$1696)</f>
        <v>328</v>
      </c>
      <c r="G81" s="85">
        <f>SUMIF(GERAL!B$8:B$1696,A81,GERAL!AN$8:AN$1696)</f>
        <v>0</v>
      </c>
      <c r="H81" s="85">
        <f>SUMIF(GERAL!B$8:B$1696,A81,GERAL!AR$8:AW$1696)</f>
        <v>40</v>
      </c>
      <c r="I81" s="85">
        <f>SUMIF(GERAL!B$8:B$1696,A81,GERAL!AW$8:AW$1696)</f>
        <v>102</v>
      </c>
      <c r="J81" s="75">
        <f>SUMIF(GERAL!B$8:B$1696,A81,GERAL!AX$8:AX$1696)</f>
        <v>470</v>
      </c>
      <c r="K81" s="75">
        <f>COUNTIFS(GERAL!B$8:B$1696,A81,GERAL!AY$8:AY$1696,"&gt;0",GERAL!C$8:C$1696,"ESCOLA")</f>
        <v>1</v>
      </c>
      <c r="L81" s="75">
        <f>COUNTIFS(GERAL!B$8:B$1696,A81,GERAL!AY$8:AY$1696,"&gt;0",GERAL!C$8:C$1696,"ANEXO")</f>
        <v>1</v>
      </c>
      <c r="M81" s="100">
        <f>SUMIF(GERAL!B$8:B$1696,A81,GERAL!V$8:V$1696)+SUMIF(GERAL!B$8:B$1696,A81,GERAL!W$8:W$1696)</f>
        <v>0</v>
      </c>
      <c r="N81" s="100">
        <f>SUMIF(GERAL!B$8:B$1696,A81,GERAL!AA$8:AA$1696)+SUMIF(GERAL!B$8:B$1696,A81,GERAL!AB$8:AB$1696)</f>
        <v>0</v>
      </c>
      <c r="O81" s="100">
        <f>SUMIF(GERAL!B$8:B$1696,A81,GERAL!AF$8:AF$1696)+SUMIF(GERAL!B$8:B$1696,A81,GERAL!AG$8:AG$1696)</f>
        <v>69</v>
      </c>
      <c r="P81" s="100">
        <f>SUMIF(GERAL!B$8:B$1696,A81,GERAL!AK$8:AK$1696)+SUMIF(GERAL!B$8:B$1696,A81,GERAL!AL$8:AL$1696)</f>
        <v>0</v>
      </c>
      <c r="Q81" s="100">
        <f>SUMIF(GERAL!B$8:B$1696,A81,GERAL!AO$8:AO$1696)+SUMIF(GERAL!B$8:B$1696,A81,GERAL!AP$8:AP$1696)</f>
        <v>0</v>
      </c>
      <c r="R81" s="100">
        <f>SUMIF(GERAL!B$8:B$1696,A81,GERAL!AS$8:AS$1696)+SUMIF(GERAL!B$8:B$1696,A81,GERAL!AT$8:AT$1696)</f>
        <v>0</v>
      </c>
      <c r="S81" s="75">
        <f t="shared" si="39"/>
        <v>69</v>
      </c>
      <c r="T81" s="116">
        <f>COUNTIFS(GERAL!B$8:B$1696,A81,GERAL!AZ$8:AZ$1696,"&gt;0",GERAL!C$8:C$1696,"ESCOLA")</f>
        <v>1</v>
      </c>
      <c r="U81" s="75">
        <f>COUNTIFS(GERAL!B$8:B$1696,A81,GERAL!AZ$8:AZ$1696,"&gt;0",GERAL!C$8:C$1696,"ANEXO")</f>
        <v>1</v>
      </c>
      <c r="V81" s="85">
        <f>SUMIF(GERAL!B$8:B$1696,A81,GERAL!AH$8:AH$1696)</f>
        <v>0</v>
      </c>
      <c r="W81" s="85">
        <f>SUMIF(GERAL!B$8:B$1696,A81,GERAL!AM$8:AM$1696)</f>
        <v>0</v>
      </c>
      <c r="X81" s="85">
        <f>SUMIF(GERAL!B$8:B$1696,A81,GERAL!AQ$8:AQ$1696)</f>
        <v>40</v>
      </c>
      <c r="Y81" s="85">
        <f>SUMIF(GERAL!B$8:B$1696,A81,GERAL!AU$8:AU$1696)</f>
        <v>0</v>
      </c>
      <c r="Z81" s="88">
        <f t="shared" si="40"/>
        <v>40</v>
      </c>
      <c r="AA81" s="116">
        <f>COUNTIFS(GERAL!B$8:B$1696,A81,GERAL!BK$8:BK$1696,"&gt;0",GERAL!C$8:C$1696,"ESCOLA")</f>
        <v>1</v>
      </c>
      <c r="AB81" s="88">
        <f>COUNTIFS(GERAL!B$8:B$1696,A81,GERAL!BK$8:BK$1696,"&gt;0",GERAL!C$8:C$1696,"ANEXO")</f>
        <v>1</v>
      </c>
      <c r="AC81" s="121">
        <f>SUMIF(GERAL!B$8:B$1696,A81,GERAL!AD$8:AD$1696)</f>
        <v>0</v>
      </c>
      <c r="AD81" s="121">
        <f>SUMIF(GERAL!B$8:B$1696,A81,GERAL!AI$8:AI$1696)</f>
        <v>259</v>
      </c>
      <c r="AE81" s="121">
        <f>SUMIF(GERAL!B$8:B$1696,A81,GERAL!AV$8:AV$1696)</f>
        <v>102</v>
      </c>
      <c r="AF81" s="492">
        <f t="shared" si="41"/>
        <v>361</v>
      </c>
      <c r="AG81" s="178">
        <f>COUNTIFS(GERAL!B$8:B$1696,A81,GERAL!AW$8:AW$1696,"&gt;0",GERAL!C$8:C$1696,"ESCOLA")</f>
        <v>1</v>
      </c>
      <c r="AH81" s="118">
        <f>COUNTIFS(GERAL!B$8:B$1696,A81,GERAL!AW$8:AW$1696,"&gt;0",GERAL!C$8:C$1696,"ANEXO")</f>
        <v>0</v>
      </c>
      <c r="AI81" s="177">
        <f>SUMIF(GERAL!B$8:B$1696,A81,GERAL!AS$8:AS$1696)+SUMIF(GERAL!B$8:B$1696,A81,GERAL!AT$8:AT$1696)</f>
        <v>0</v>
      </c>
      <c r="AJ81" s="177">
        <f>SUMIF(GERAL!B$8:B$1696,A81,GERAL!AU$8:AU$1696)</f>
        <v>0</v>
      </c>
      <c r="AK81" s="177">
        <f>SUMIF(GERAL!B$8:B$1696,A81,GERAL!AV$8:AV$1696)</f>
        <v>102</v>
      </c>
      <c r="AL81" s="118">
        <f t="shared" si="42"/>
        <v>102</v>
      </c>
      <c r="AM81" s="493" t="s">
        <v>1393</v>
      </c>
    </row>
    <row r="82">
      <c r="A82" s="484" t="s">
        <v>2170</v>
      </c>
      <c r="B82" s="75">
        <f>COUNTIFS(GERAL!B$8:B$1696,A82,GERAL!C$8:C$1696,"ESCOLA")</f>
        <v>3</v>
      </c>
      <c r="C82" s="75">
        <f>COUNTIFS(GERAL!B$8:B$1696,A82,GERAL!C$8:C$1696,"ANEXO")</f>
        <v>1</v>
      </c>
      <c r="D82" s="85">
        <f>SUMIF(GERAL!B$8:B$1696,A82,GERAL!Z$8:Z$1696)</f>
        <v>0</v>
      </c>
      <c r="E82" s="85">
        <f>SUMIF(GERAL!B$8:B$1696,A82,GERAL!AE$8:AE$1696)</f>
        <v>461</v>
      </c>
      <c r="F82" s="85">
        <f>SUMIF(GERAL!B$8:B$1696,A82,GERAL!AJ$8:AJ$1696)</f>
        <v>382</v>
      </c>
      <c r="G82" s="85">
        <f>SUMIF(GERAL!B$8:B$1696,A82,GERAL!AN$8:AN$1696)</f>
        <v>0</v>
      </c>
      <c r="H82" s="85">
        <f>SUMIF(GERAL!B$8:B$1696,A82,GERAL!AR$8:AW$1696)</f>
        <v>258</v>
      </c>
      <c r="I82" s="85">
        <f>SUMIF(GERAL!B$8:B$1696,A82,GERAL!AW$8:AW$1696)</f>
        <v>1190</v>
      </c>
      <c r="J82" s="75">
        <f>SUMIF(GERAL!B$8:B$1696,A82,GERAL!AX$8:AX$1696)</f>
        <v>2291</v>
      </c>
      <c r="K82" s="75">
        <f>COUNTIFS(GERAL!B$8:B$1696,A82,GERAL!AY$8:AY$1696,"&gt;0",GERAL!C$8:C$1696,"ESCOLA")</f>
        <v>2</v>
      </c>
      <c r="L82" s="75">
        <f>COUNTIFS(GERAL!B$8:B$1696,A82,GERAL!AY$8:AY$1696,"&gt;0",GERAL!C$8:C$1696,"ANEXO")</f>
        <v>0</v>
      </c>
      <c r="M82" s="100">
        <f>SUMIF(GERAL!B$8:B$1696,A82,GERAL!V$8:V$1696)+SUMIF(GERAL!B$8:B$1696,A82,GERAL!W$8:W$1696)</f>
        <v>0</v>
      </c>
      <c r="N82" s="100">
        <f>SUMIF(GERAL!B$8:B$1696,A82,GERAL!AA$8:AA$1696)+SUMIF(GERAL!B$8:B$1696,A82,GERAL!AB$8:AB$1696)</f>
        <v>176</v>
      </c>
      <c r="O82" s="100">
        <f>SUMIF(GERAL!B$8:B$1696,A82,GERAL!AF$8:AF$1696)+SUMIF(GERAL!B$8:B$1696,A82,GERAL!AG$8:AG$1696)</f>
        <v>10</v>
      </c>
      <c r="P82" s="100">
        <f>SUMIF(GERAL!B$8:B$1696,A82,GERAL!AK$8:AK$1696)+SUMIF(GERAL!B$8:B$1696,A82,GERAL!AL$8:AL$1696)</f>
        <v>0</v>
      </c>
      <c r="Q82" s="100">
        <f>SUMIF(GERAL!B$8:B$1696,A82,GERAL!AO$8:AO$1696)+SUMIF(GERAL!B$8:B$1696,A82,GERAL!AP$8:AP$1696)</f>
        <v>0</v>
      </c>
      <c r="R82" s="100">
        <f>SUMIF(GERAL!B$8:B$1696,A82,GERAL!AS$8:AS$1696)+SUMIF(GERAL!B$8:B$1696,A82,GERAL!AT$8:AT$1696)</f>
        <v>516</v>
      </c>
      <c r="S82" s="75">
        <f t="shared" si="39"/>
        <v>702</v>
      </c>
      <c r="T82" s="116">
        <f>COUNTIFS(GERAL!B$8:B$1696,A82,GERAL!AZ$8:AZ$1696,"&gt;0",GERAL!C$8:C$1696,"ESCOLA")</f>
        <v>2</v>
      </c>
      <c r="U82" s="75">
        <f>COUNTIFS(GERAL!B$8:B$1696,A82,GERAL!AZ$8:AZ$1696,"&gt;0",GERAL!C$8:C$1696,"ANEXO")</f>
        <v>1</v>
      </c>
      <c r="V82" s="85">
        <f>SUMIF(GERAL!B$8:B$1696,A82,GERAL!AH$8:AH$1696)</f>
        <v>0</v>
      </c>
      <c r="W82" s="85">
        <f>SUMIF(GERAL!B$8:B$1696,A82,GERAL!AM$8:AM$1696)</f>
        <v>0</v>
      </c>
      <c r="X82" s="85">
        <f>SUMIF(GERAL!B$8:B$1696,A82,GERAL!AQ$8:AQ$1696)</f>
        <v>258</v>
      </c>
      <c r="Y82" s="85">
        <f>SUMIF(GERAL!B$8:B$1696,A82,GERAL!AU$8:AU$1696)</f>
        <v>304</v>
      </c>
      <c r="Z82" s="88">
        <f t="shared" si="40"/>
        <v>562</v>
      </c>
      <c r="AA82" s="116">
        <f>COUNTIFS(GERAL!B$8:B$1696,A82,GERAL!BK$8:BK$1696,"&gt;0",GERAL!C$8:C$1696,"ESCOLA")</f>
        <v>2</v>
      </c>
      <c r="AB82" s="88">
        <f>COUNTIFS(GERAL!B$8:B$1696,A82,GERAL!BK$8:BK$1696,"&gt;0",GERAL!C$8:C$1696,"ANEXO")</f>
        <v>0</v>
      </c>
      <c r="AC82" s="121">
        <f>SUMIF(GERAL!B$8:B$1696,A82,GERAL!AD$8:AD$1696)</f>
        <v>285</v>
      </c>
      <c r="AD82" s="121">
        <f>SUMIF(GERAL!B$8:B$1696,A82,GERAL!AI$8:AI$1696)</f>
        <v>372</v>
      </c>
      <c r="AE82" s="121">
        <f>SUMIF(GERAL!B$8:B$1696,A82,GERAL!AV$8:AV$1696)</f>
        <v>370</v>
      </c>
      <c r="AF82" s="492">
        <f t="shared" si="41"/>
        <v>1027</v>
      </c>
      <c r="AG82" s="178">
        <f>COUNTIFS(GERAL!B$8:B$1696,A82,GERAL!AW$8:AW$1696,"&gt;0",GERAL!C$8:C$1696,"ESCOLA")</f>
        <v>2</v>
      </c>
      <c r="AH82" s="118">
        <f>COUNTIFS(GERAL!B$8:B$1696,A82,GERAL!AW$8:AW$1696,"&gt;0",GERAL!C$8:C$1696,"ANEXO")</f>
        <v>1</v>
      </c>
      <c r="AI82" s="177">
        <f>SUMIF(GERAL!B$8:B$1696,A82,GERAL!AS$8:AS$1696)+SUMIF(GERAL!B$8:B$1696,A82,GERAL!AT$8:AT$1696)</f>
        <v>516</v>
      </c>
      <c r="AJ82" s="177">
        <f>SUMIF(GERAL!B$8:B$1696,A82,GERAL!AU$8:AU$1696)</f>
        <v>304</v>
      </c>
      <c r="AK82" s="177">
        <f>SUMIF(GERAL!B$8:B$1696,A82,GERAL!AV$8:AV$1696)</f>
        <v>370</v>
      </c>
      <c r="AL82" s="118">
        <f t="shared" si="42"/>
        <v>1190</v>
      </c>
      <c r="AM82" s="493" t="s">
        <v>973</v>
      </c>
    </row>
    <row r="83">
      <c r="A83" s="494" t="s">
        <v>200</v>
      </c>
      <c r="B83" s="75">
        <f>COUNTIFS(GERAL!B$8:B$1696,A83,GERAL!C$8:C$1696,"ESCOLA")</f>
        <v>1</v>
      </c>
      <c r="C83" s="75">
        <f>COUNTIFS(GERAL!B$8:B$1696,A83,GERAL!C$8:C$1696,"ANEXO")</f>
        <v>1</v>
      </c>
      <c r="D83" s="85">
        <f>SUMIF(GERAL!B$8:B$1696,A83,GERAL!Z$8:Z$1696)</f>
        <v>0</v>
      </c>
      <c r="E83" s="85">
        <f>SUMIF(GERAL!B$8:B$1696,A83,GERAL!AE$8:AE$1696)</f>
        <v>0</v>
      </c>
      <c r="F83" s="85">
        <f>SUMIF(GERAL!B$8:B$1696,A83,GERAL!AJ$8:AJ$1696)</f>
        <v>615</v>
      </c>
      <c r="G83" s="85">
        <f>SUMIF(GERAL!B$8:B$1696,A83,GERAL!AN$8:AN$1696)</f>
        <v>0</v>
      </c>
      <c r="H83" s="85">
        <f>SUMIF(GERAL!B$8:B$1696,A83,GERAL!AR$8:AW$1696)</f>
        <v>108</v>
      </c>
      <c r="I83" s="85">
        <f>SUMIF(GERAL!B$8:B$1696,A83,GERAL!AW$8:AW$1696)</f>
        <v>82</v>
      </c>
      <c r="J83" s="75">
        <f>SUMIF(GERAL!B$8:B$1696,A83,GERAL!AX$8:AX$1696)</f>
        <v>805</v>
      </c>
      <c r="K83" s="75">
        <f>COUNTIFS(GERAL!B$8:B$1696,A83,GERAL!AY$8:AY$1696,"&gt;0",GERAL!C$8:C$1696,"ESCOLA")</f>
        <v>1</v>
      </c>
      <c r="L83" s="75">
        <f>COUNTIFS(GERAL!B$8:B$1696,A83,GERAL!AY$8:AY$1696,"&gt;0",GERAL!C$8:C$1696,"ANEXO")</f>
        <v>0</v>
      </c>
      <c r="M83" s="100">
        <f>SUMIF(GERAL!B$8:B$1696,A83,GERAL!V$8:V$1696)+SUMIF(GERAL!B$8:B$1696,A83,GERAL!W$8:W$1696)</f>
        <v>0</v>
      </c>
      <c r="N83" s="100">
        <f>SUMIF(GERAL!B$8:B$1696,A83,GERAL!AA$8:AA$1696)+SUMIF(GERAL!B$8:B$1696,A83,GERAL!AB$8:AB$1696)</f>
        <v>0</v>
      </c>
      <c r="O83" s="100">
        <f>SUMIF(GERAL!B$8:B$1696,A83,GERAL!AF$8:AF$1696)+SUMIF(GERAL!B$8:B$1696,A83,GERAL!AG$8:AG$1696)</f>
        <v>0</v>
      </c>
      <c r="P83" s="100">
        <f>SUMIF(GERAL!B$8:B$1696,A83,GERAL!AK$8:AK$1696)+SUMIF(GERAL!B$8:B$1696,A83,GERAL!AL$8:AL$1696)</f>
        <v>0</v>
      </c>
      <c r="Q83" s="100">
        <f>SUMIF(GERAL!B$8:B$1696,A83,GERAL!AO$8:AO$1696)+SUMIF(GERAL!B$8:B$1696,A83,GERAL!AP$8:AP$1696)</f>
        <v>0</v>
      </c>
      <c r="R83" s="100">
        <f>SUMIF(GERAL!B$8:B$1696,A83,GERAL!AS$8:AS$1696)+SUMIF(GERAL!B$8:B$1696,A83,GERAL!AT$8:AT$1696)</f>
        <v>0</v>
      </c>
      <c r="S83" s="75">
        <f t="shared" si="39"/>
        <v>0</v>
      </c>
      <c r="T83" s="116">
        <f>COUNTIFS(GERAL!B$8:B$1696,A83,GERAL!AZ$8:AZ$1696,"&gt;0",GERAL!C$8:C$1696,"ESCOLA")</f>
        <v>1</v>
      </c>
      <c r="U83" s="75">
        <f>COUNTIFS(GERAL!B$8:B$1696,A83,GERAL!AZ$8:AZ$1696,"&gt;0",GERAL!C$8:C$1696,"ANEXO")</f>
        <v>1</v>
      </c>
      <c r="V83" s="85">
        <f>SUMIF(GERAL!B$8:B$1696,A83,GERAL!AH$8:AH$1696)</f>
        <v>60</v>
      </c>
      <c r="W83" s="85">
        <f>SUMIF(GERAL!B$8:B$1696,A83,GERAL!AM$8:AM$1696)</f>
        <v>0</v>
      </c>
      <c r="X83" s="85">
        <f>SUMIF(GERAL!B$8:B$1696,A83,GERAL!AQ$8:AQ$1696)</f>
        <v>108</v>
      </c>
      <c r="Y83" s="85">
        <f>SUMIF(GERAL!B$8:B$1696,A83,GERAL!AU$8:AU$1696)</f>
        <v>0</v>
      </c>
      <c r="Z83" s="88">
        <f t="shared" si="40"/>
        <v>168</v>
      </c>
      <c r="AA83" s="116">
        <f>COUNTIFS(GERAL!B$8:B$1696,A83,GERAL!BK$8:BK$1696,"&gt;0",GERAL!C$8:C$1696,"ESCOLA")</f>
        <v>1</v>
      </c>
      <c r="AB83" s="88">
        <f>COUNTIFS(GERAL!B$8:B$1696,A83,GERAL!BK$8:BK$1696,"&gt;0",GERAL!C$8:C$1696,"ANEXO")</f>
        <v>0</v>
      </c>
      <c r="AC83" s="121">
        <f>SUMIF(GERAL!B$8:B$1696,A83,GERAL!AD$8:AD$1696)</f>
        <v>0</v>
      </c>
      <c r="AD83" s="121">
        <f>SUMIF(GERAL!B$8:B$1696,A83,GERAL!AI$8:AI$1696)</f>
        <v>555</v>
      </c>
      <c r="AE83" s="121">
        <f>SUMIF(GERAL!B$8:B$1696,A83,GERAL!AV$8:AV$1696)</f>
        <v>82</v>
      </c>
      <c r="AF83" s="492">
        <f t="shared" si="41"/>
        <v>637</v>
      </c>
      <c r="AG83" s="178">
        <f>COUNTIFS(GERAL!B$8:B$1696,A83,GERAL!AW$8:AW$1696,"&gt;0",GERAL!C$8:C$1696,"ESCOLA")</f>
        <v>1</v>
      </c>
      <c r="AH83" s="118">
        <f>COUNTIFS(GERAL!B$8:B$1696,A83,GERAL!AW$8:AW$1696,"&gt;0",GERAL!C$8:C$1696,"ANEXO")</f>
        <v>0</v>
      </c>
      <c r="AI83" s="177">
        <f>SUMIF(GERAL!B$8:B$1696,A83,GERAL!AS$8:AS$1696)+SUMIF(GERAL!B$8:B$1696,A83,GERAL!AT$8:AT$1696)</f>
        <v>0</v>
      </c>
      <c r="AJ83" s="177">
        <f>SUMIF(GERAL!B$8:B$1696,A83,GERAL!AU$8:AU$1696)</f>
        <v>0</v>
      </c>
      <c r="AK83" s="177">
        <f>SUMIF(GERAL!B$8:B$1696,A83,GERAL!AV$8:AV$1696)</f>
        <v>82</v>
      </c>
      <c r="AL83" s="118">
        <f t="shared" si="42"/>
        <v>82</v>
      </c>
      <c r="AM83" s="493" t="s">
        <v>130</v>
      </c>
    </row>
    <row r="84">
      <c r="A84" s="484" t="s">
        <v>1682</v>
      </c>
      <c r="B84" s="75">
        <f>COUNTIFS(GERAL!B$8:B$1696,A84,GERAL!C$8:C$1696,"ESCOLA")</f>
        <v>1</v>
      </c>
      <c r="C84" s="75">
        <f>COUNTIFS(GERAL!B$8:B$1696,A84,GERAL!C$8:C$1696,"ANEXO")</f>
        <v>6</v>
      </c>
      <c r="D84" s="85">
        <f>SUMIF(GERAL!B$8:B$1696,A84,GERAL!Z$8:Z$1696)</f>
        <v>0</v>
      </c>
      <c r="E84" s="85">
        <f>SUMIF(GERAL!B$8:B$1696,A84,GERAL!AE$8:AE$1696)</f>
        <v>0</v>
      </c>
      <c r="F84" s="85">
        <f>SUMIF(GERAL!B$8:B$1696,A84,GERAL!AJ$8:AJ$1696)</f>
        <v>394</v>
      </c>
      <c r="G84" s="85">
        <f>SUMIF(GERAL!B$8:B$1696,A84,GERAL!AN$8:AN$1696)</f>
        <v>0</v>
      </c>
      <c r="H84" s="85">
        <f>SUMIF(GERAL!B$8:B$1696,A84,GERAL!AR$8:AW$1696)</f>
        <v>119</v>
      </c>
      <c r="I84" s="85">
        <f>SUMIF(GERAL!B$8:B$1696,A84,GERAL!AW$8:AW$1696)</f>
        <v>42</v>
      </c>
      <c r="J84" s="75">
        <f>SUMIF(GERAL!B$8:B$1696,A84,GERAL!AX$8:AX$1696)</f>
        <v>555</v>
      </c>
      <c r="K84" s="75">
        <f>COUNTIFS(GERAL!B$8:B$1696,A84,GERAL!AY$8:AY$1696,"&gt;0",GERAL!C$8:C$1696,"ESCOLA")</f>
        <v>1</v>
      </c>
      <c r="L84" s="75">
        <f>COUNTIFS(GERAL!B$8:B$1696,A84,GERAL!AY$8:AY$1696,"&gt;0",GERAL!C$8:C$1696,"ANEXO")</f>
        <v>3</v>
      </c>
      <c r="M84" s="100">
        <f>SUMIF(GERAL!B$8:B$1696,A84,GERAL!V$8:V$1696)+SUMIF(GERAL!B$8:B$1696,A84,GERAL!W$8:W$1696)</f>
        <v>0</v>
      </c>
      <c r="N84" s="100">
        <f>SUMIF(GERAL!B$8:B$1696,A84,GERAL!AA$8:AA$1696)+SUMIF(GERAL!B$8:B$1696,A84,GERAL!AB$8:AB$1696)</f>
        <v>0</v>
      </c>
      <c r="O84" s="100">
        <f>SUMIF(GERAL!B$8:B$1696,A84,GERAL!AF$8:AF$1696)+SUMIF(GERAL!B$8:B$1696,A84,GERAL!AG$8:AG$1696)</f>
        <v>305</v>
      </c>
      <c r="P84" s="100">
        <f>SUMIF(GERAL!B$8:B$1696,A84,GERAL!AK$8:AK$1696)+SUMIF(GERAL!B$8:B$1696,A84,GERAL!AL$8:AL$1696)</f>
        <v>0</v>
      </c>
      <c r="Q84" s="100">
        <f>SUMIF(GERAL!B$8:B$1696,A84,GERAL!AO$8:AO$1696)+SUMIF(GERAL!B$8:B$1696,A84,GERAL!AP$8:AP$1696)</f>
        <v>0</v>
      </c>
      <c r="R84" s="100">
        <f>SUMIF(GERAL!B$8:B$1696,A84,GERAL!AS$8:AS$1696)+SUMIF(GERAL!B$8:B$1696,A84,GERAL!AT$8:AT$1696)</f>
        <v>0</v>
      </c>
      <c r="S84" s="75">
        <f t="shared" si="39"/>
        <v>305</v>
      </c>
      <c r="T84" s="116">
        <f>COUNTIFS(GERAL!B$8:B$1696,A84,GERAL!AZ$8:AZ$1696,"&gt;0",GERAL!C$8:C$1696,"ESCOLA")</f>
        <v>1</v>
      </c>
      <c r="U84" s="75">
        <f>COUNTIFS(GERAL!B$8:B$1696,A84,GERAL!AZ$8:AZ$1696,"&gt;0",GERAL!C$8:C$1696,"ANEXO")</f>
        <v>6</v>
      </c>
      <c r="V84" s="85">
        <f>SUMIF(GERAL!B$8:B$1696,A84,GERAL!AH$8:AH$1696)</f>
        <v>72</v>
      </c>
      <c r="W84" s="85">
        <f>SUMIF(GERAL!B$8:B$1696,A84,GERAL!AM$8:AM$1696)</f>
        <v>0</v>
      </c>
      <c r="X84" s="85">
        <f>SUMIF(GERAL!B$8:B$1696,A84,GERAL!AQ$8:AQ$1696)</f>
        <v>119</v>
      </c>
      <c r="Y84" s="85">
        <f>SUMIF(GERAL!B$8:B$1696,A84,GERAL!AU$8:AU$1696)</f>
        <v>0</v>
      </c>
      <c r="Z84" s="88">
        <f t="shared" si="40"/>
        <v>191</v>
      </c>
      <c r="AA84" s="116">
        <f>COUNTIFS(GERAL!B$8:B$1696,A84,GERAL!BK$8:BK$1696,"&gt;0",GERAL!C$8:C$1696,"ESCOLA")</f>
        <v>1</v>
      </c>
      <c r="AB84" s="88">
        <f>COUNTIFS(GERAL!B$8:B$1696,A84,GERAL!BK$8:BK$1696,"&gt;0",GERAL!C$8:C$1696,"ANEXO")</f>
        <v>0</v>
      </c>
      <c r="AC84" s="121">
        <f>SUMIF(GERAL!B$8:B$1696,A84,GERAL!AD$8:AD$1696)</f>
        <v>0</v>
      </c>
      <c r="AD84" s="121">
        <f>SUMIF(GERAL!B$8:B$1696,A84,GERAL!AI$8:AI$1696)</f>
        <v>17</v>
      </c>
      <c r="AE84" s="121">
        <f>SUMIF(GERAL!B$8:B$1696,A84,GERAL!AV$8:AV$1696)</f>
        <v>42</v>
      </c>
      <c r="AF84" s="492">
        <f t="shared" si="41"/>
        <v>59</v>
      </c>
      <c r="AG84" s="178">
        <f>COUNTIFS(GERAL!B$8:B$1696,A84,GERAL!AW$8:AW$1696,"&gt;0",GERAL!C$8:C$1696,"ESCOLA")</f>
        <v>1</v>
      </c>
      <c r="AH84" s="118">
        <f>COUNTIFS(GERAL!B$8:B$1696,A84,GERAL!AW$8:AW$1696,"&gt;0",GERAL!C$8:C$1696,"ANEXO")</f>
        <v>0</v>
      </c>
      <c r="AI84" s="177">
        <f>SUMIF(GERAL!B$8:B$1696,A84,GERAL!AS$8:AS$1696)+SUMIF(GERAL!B$8:B$1696,A84,GERAL!AT$8:AT$1696)</f>
        <v>0</v>
      </c>
      <c r="AJ84" s="177">
        <f>SUMIF(GERAL!B$8:B$1696,A84,GERAL!AU$8:AU$1696)</f>
        <v>0</v>
      </c>
      <c r="AK84" s="177">
        <f>SUMIF(GERAL!B$8:B$1696,A84,GERAL!AV$8:AV$1696)</f>
        <v>42</v>
      </c>
      <c r="AL84" s="118">
        <f t="shared" si="42"/>
        <v>42</v>
      </c>
      <c r="AM84" s="493" t="s">
        <v>540</v>
      </c>
    </row>
    <row r="85">
      <c r="A85" s="494" t="s">
        <v>7678</v>
      </c>
      <c r="B85" s="75">
        <f>COUNTIFS(GERAL!B$8:B$1696,A85,GERAL!C$8:C$1696,"ESCOLA")</f>
        <v>1</v>
      </c>
      <c r="C85" s="75">
        <f>COUNTIFS(GERAL!B$8:B$1696,A85,GERAL!C$8:C$1696,"ANEXO")</f>
        <v>0</v>
      </c>
      <c r="D85" s="85">
        <f>SUMIF(GERAL!B$8:B$1696,A85,GERAL!Z$8:Z$1696)</f>
        <v>0</v>
      </c>
      <c r="E85" s="85">
        <f>SUMIF(GERAL!B$8:B$1696,A85,GERAL!AE$8:AE$1696)</f>
        <v>0</v>
      </c>
      <c r="F85" s="85">
        <f>SUMIF(GERAL!B$8:B$1696,A85,GERAL!AJ$8:AJ$1696)</f>
        <v>437</v>
      </c>
      <c r="G85" s="85">
        <f>SUMIF(GERAL!B$8:B$1696,A85,GERAL!AN$8:AN$1696)</f>
        <v>0</v>
      </c>
      <c r="H85" s="85">
        <f>SUMIF(GERAL!B$8:B$1696,A85,GERAL!AR$8:AW$1696)</f>
        <v>68</v>
      </c>
      <c r="I85" s="85">
        <f>SUMIF(GERAL!B$8:B$1696,A85,GERAL!AW$8:AW$1696)</f>
        <v>103</v>
      </c>
      <c r="J85" s="75">
        <f>SUMIF(GERAL!B$8:B$1696,A85,GERAL!AX$8:AX$1696)</f>
        <v>608</v>
      </c>
      <c r="K85" s="75">
        <f>COUNTIFS(GERAL!B$8:B$1696,A85,GERAL!AY$8:AY$1696,"&gt;0",GERAL!C$8:C$1696,"ESCOLA")</f>
        <v>1</v>
      </c>
      <c r="L85" s="75">
        <f>COUNTIFS(GERAL!B$8:B$1696,A85,GERAL!AY$8:AY$1696,"&gt;0",GERAL!C$8:C$1696,"ANEXO")</f>
        <v>0</v>
      </c>
      <c r="M85" s="100">
        <f>SUMIF(GERAL!B$8:B$1696,A85,GERAL!V$8:V$1696)+SUMIF(GERAL!B$8:B$1696,A85,GERAL!W$8:W$1696)</f>
        <v>0</v>
      </c>
      <c r="N85" s="100">
        <f>SUMIF(GERAL!B$8:B$1696,A85,GERAL!AA$8:AA$1696)+SUMIF(GERAL!B$8:B$1696,A85,GERAL!AB$8:AB$1696)</f>
        <v>0</v>
      </c>
      <c r="O85" s="100">
        <f>SUMIF(GERAL!B$8:B$1696,A85,GERAL!AF$8:AF$1696)+SUMIF(GERAL!B$8:B$1696,A85,GERAL!AG$8:AG$1696)</f>
        <v>365</v>
      </c>
      <c r="P85" s="100">
        <f>SUMIF(GERAL!B$8:B$1696,A85,GERAL!AK$8:AK$1696)+SUMIF(GERAL!B$8:B$1696,A85,GERAL!AL$8:AL$1696)</f>
        <v>0</v>
      </c>
      <c r="Q85" s="100">
        <f>SUMIF(GERAL!B$8:B$1696,A85,GERAL!AO$8:AO$1696)+SUMIF(GERAL!B$8:B$1696,A85,GERAL!AP$8:AP$1696)</f>
        <v>0</v>
      </c>
      <c r="R85" s="100">
        <f>SUMIF(GERAL!B$8:B$1696,A85,GERAL!AS$8:AS$1696)+SUMIF(GERAL!B$8:B$1696,A85,GERAL!AT$8:AT$1696)</f>
        <v>103</v>
      </c>
      <c r="S85" s="75">
        <f t="shared" si="39"/>
        <v>468</v>
      </c>
      <c r="T85" s="116">
        <f>COUNTIFS(GERAL!B$8:B$1696,A85,GERAL!AZ$8:AZ$1696,"&gt;0",GERAL!C$8:C$1696,"ESCOLA")</f>
        <v>1</v>
      </c>
      <c r="U85" s="75">
        <f>COUNTIFS(GERAL!B$8:B$1696,A85,GERAL!AZ$8:AZ$1696,"&gt;0",GERAL!C$8:C$1696,"ANEXO")</f>
        <v>0</v>
      </c>
      <c r="V85" s="85">
        <f>SUMIF(GERAL!B$8:B$1696,A85,GERAL!AH$8:AH$1696)</f>
        <v>0</v>
      </c>
      <c r="W85" s="85">
        <f>SUMIF(GERAL!B$8:B$1696,A85,GERAL!AM$8:AM$1696)</f>
        <v>0</v>
      </c>
      <c r="X85" s="85">
        <f>SUMIF(GERAL!B$8:B$1696,A85,GERAL!AQ$8:AQ$1696)</f>
        <v>68</v>
      </c>
      <c r="Y85" s="85">
        <f>SUMIF(GERAL!B$8:B$1696,A85,GERAL!AU$8:AU$1696)</f>
        <v>0</v>
      </c>
      <c r="Z85" s="88">
        <f t="shared" si="40"/>
        <v>68</v>
      </c>
      <c r="AA85" s="116">
        <f>COUNTIFS(GERAL!B$8:B$1696,A85,GERAL!BK$8:BK$1696,"&gt;0",GERAL!C$8:C$1696,"ESCOLA")</f>
        <v>1</v>
      </c>
      <c r="AB85" s="88">
        <f>COUNTIFS(GERAL!B$8:B$1696,A85,GERAL!BK$8:BK$1696,"&gt;0",GERAL!C$8:C$1696,"ANEXO")</f>
        <v>0</v>
      </c>
      <c r="AC85" s="121">
        <f>SUMIF(GERAL!B$8:B$1696,A85,GERAL!AD$8:AD$1696)</f>
        <v>0</v>
      </c>
      <c r="AD85" s="121">
        <f>SUMIF(GERAL!B$8:B$1696,A85,GERAL!AI$8:AI$1696)</f>
        <v>72</v>
      </c>
      <c r="AE85" s="121">
        <f>SUMIF(GERAL!B$8:B$1696,A85,GERAL!AV$8:AV$1696)</f>
        <v>0</v>
      </c>
      <c r="AF85" s="492">
        <f t="shared" si="41"/>
        <v>72</v>
      </c>
      <c r="AG85" s="178">
        <f>COUNTIFS(GERAL!B$8:B$1696,A85,GERAL!AW$8:AW$1696,"&gt;0",GERAL!C$8:C$1696,"ESCOLA")</f>
        <v>1</v>
      </c>
      <c r="AH85" s="118">
        <f>COUNTIFS(GERAL!B$8:B$1696,A85,GERAL!AW$8:AW$1696,"&gt;0",GERAL!C$8:C$1696,"ANEXO")</f>
        <v>0</v>
      </c>
      <c r="AI85" s="177">
        <f>SUMIF(GERAL!B$8:B$1696,A85,GERAL!AS$8:AS$1696)+SUMIF(GERAL!B$8:B$1696,A85,GERAL!AT$8:AT$1696)</f>
        <v>103</v>
      </c>
      <c r="AJ85" s="177">
        <f>SUMIF(GERAL!B$8:B$1696,A85,GERAL!AU$8:AU$1696)</f>
        <v>0</v>
      </c>
      <c r="AK85" s="177">
        <f>SUMIF(GERAL!B$8:B$1696,A85,GERAL!AV$8:AV$1696)</f>
        <v>0</v>
      </c>
      <c r="AL85" s="118">
        <f t="shared" si="42"/>
        <v>103</v>
      </c>
      <c r="AM85" s="493" t="s">
        <v>1707</v>
      </c>
    </row>
    <row r="86">
      <c r="A86" s="484" t="s">
        <v>1378</v>
      </c>
      <c r="B86" s="75">
        <f>COUNTIFS(GERAL!B$8:B$1696,A86,GERAL!C$8:C$1696,"ESCOLA")</f>
        <v>2</v>
      </c>
      <c r="C86" s="75">
        <f>COUNTIFS(GERAL!B$8:B$1696,A86,GERAL!C$8:C$1696,"ANEXO")</f>
        <v>0</v>
      </c>
      <c r="D86" s="85">
        <f>SUMIF(GERAL!B$8:B$1696,A86,GERAL!Z$8:Z$1696)</f>
        <v>0</v>
      </c>
      <c r="E86" s="85">
        <f>SUMIF(GERAL!B$8:B$1696,A86,GERAL!AE$8:AE$1696)</f>
        <v>0</v>
      </c>
      <c r="F86" s="85">
        <f>SUMIF(GERAL!B$8:B$1696,A86,GERAL!AJ$8:AJ$1696)</f>
        <v>412</v>
      </c>
      <c r="G86" s="85">
        <f>SUMIF(GERAL!B$8:B$1696,A86,GERAL!AN$8:AN$1696)</f>
        <v>0</v>
      </c>
      <c r="H86" s="85">
        <f>SUMIF(GERAL!B$8:B$1696,A86,GERAL!AR$8:AW$1696)</f>
        <v>137</v>
      </c>
      <c r="I86" s="85">
        <f>SUMIF(GERAL!B$8:B$1696,A86,GERAL!AW$8:AW$1696)</f>
        <v>220</v>
      </c>
      <c r="J86" s="75">
        <f>SUMIF(GERAL!B$8:B$1696,A86,GERAL!AX$8:AX$1696)</f>
        <v>769</v>
      </c>
      <c r="K86" s="75">
        <f>COUNTIFS(GERAL!B$8:B$1696,A86,GERAL!AY$8:AY$1696,"&gt;0",GERAL!C$8:C$1696,"ESCOLA")</f>
        <v>2</v>
      </c>
      <c r="L86" s="75">
        <f>COUNTIFS(GERAL!B$8:B$1696,A86,GERAL!AY$8:AY$1696,"&gt;0",GERAL!C$8:C$1696,"ANEXO")</f>
        <v>0</v>
      </c>
      <c r="M86" s="100">
        <f>SUMIF(GERAL!B$8:B$1696,A86,GERAL!V$8:V$1696)+SUMIF(GERAL!B$8:B$1696,A86,GERAL!W$8:W$1696)</f>
        <v>0</v>
      </c>
      <c r="N86" s="100">
        <f>SUMIF(GERAL!B$8:B$1696,A86,GERAL!AA$8:AA$1696)+SUMIF(GERAL!B$8:B$1696,A86,GERAL!AB$8:AB$1696)</f>
        <v>0</v>
      </c>
      <c r="O86" s="100">
        <f>SUMIF(GERAL!B$8:B$1696,A86,GERAL!AF$8:AF$1696)+SUMIF(GERAL!B$8:B$1696,A86,GERAL!AG$8:AG$1696)</f>
        <v>75</v>
      </c>
      <c r="P86" s="100">
        <f>SUMIF(GERAL!B$8:B$1696,A86,GERAL!AK$8:AK$1696)+SUMIF(GERAL!B$8:B$1696,A86,GERAL!AL$8:AL$1696)</f>
        <v>0</v>
      </c>
      <c r="Q86" s="100">
        <f>SUMIF(GERAL!B$8:B$1696,A86,GERAL!AO$8:AO$1696)+SUMIF(GERAL!B$8:B$1696,A86,GERAL!AP$8:AP$1696)</f>
        <v>0</v>
      </c>
      <c r="R86" s="100">
        <f>SUMIF(GERAL!B$8:B$1696,A86,GERAL!AS$8:AS$1696)+SUMIF(GERAL!B$8:B$1696,A86,GERAL!AT$8:AT$1696)</f>
        <v>0</v>
      </c>
      <c r="S86" s="75">
        <f t="shared" si="39"/>
        <v>75</v>
      </c>
      <c r="T86" s="116">
        <f>COUNTIFS(GERAL!B$8:B$1696,A86,GERAL!AZ$8:AZ$1696,"&gt;0",GERAL!C$8:C$1696,"ESCOLA")</f>
        <v>2</v>
      </c>
      <c r="U86" s="75">
        <f>COUNTIFS(GERAL!B$8:B$1696,A86,GERAL!AZ$8:AZ$1696,"&gt;0",GERAL!C$8:C$1696,"ANEXO")</f>
        <v>0</v>
      </c>
      <c r="V86" s="85">
        <f>SUMIF(GERAL!B$8:B$1696,A86,GERAL!AH$8:AH$1696)</f>
        <v>0</v>
      </c>
      <c r="W86" s="85">
        <f>SUMIF(GERAL!B$8:B$1696,A86,GERAL!AM$8:AM$1696)</f>
        <v>0</v>
      </c>
      <c r="X86" s="85">
        <f>SUMIF(GERAL!B$8:B$1696,A86,GERAL!AQ$8:AQ$1696)</f>
        <v>137</v>
      </c>
      <c r="Y86" s="85">
        <f>SUMIF(GERAL!B$8:B$1696,A86,GERAL!AU$8:AU$1696)</f>
        <v>22</v>
      </c>
      <c r="Z86" s="88">
        <f t="shared" si="40"/>
        <v>159</v>
      </c>
      <c r="AA86" s="116">
        <f>COUNTIFS(GERAL!B$8:B$1696,A86,GERAL!BK$8:BK$1696,"&gt;0",GERAL!C$8:C$1696,"ESCOLA")</f>
        <v>2</v>
      </c>
      <c r="AB86" s="88">
        <f>COUNTIFS(GERAL!B$8:B$1696,A86,GERAL!BK$8:BK$1696,"&gt;0",GERAL!C$8:C$1696,"ANEXO")</f>
        <v>0</v>
      </c>
      <c r="AC86" s="121">
        <f>SUMIF(GERAL!B$8:B$1696,A86,GERAL!AD$8:AD$1696)</f>
        <v>0</v>
      </c>
      <c r="AD86" s="121">
        <f>SUMIF(GERAL!B$8:B$1696,A86,GERAL!AI$8:AI$1696)</f>
        <v>337</v>
      </c>
      <c r="AE86" s="121">
        <f>SUMIF(GERAL!B$8:B$1696,A86,GERAL!AV$8:AV$1696)</f>
        <v>198</v>
      </c>
      <c r="AF86" s="492">
        <f t="shared" si="41"/>
        <v>535</v>
      </c>
      <c r="AG86" s="178">
        <f>COUNTIFS(GERAL!B$8:B$1696,A86,GERAL!AW$8:AW$1696,"&gt;0",GERAL!C$8:C$1696,"ESCOLA")</f>
        <v>2</v>
      </c>
      <c r="AH86" s="118">
        <f>COUNTIFS(GERAL!B$8:B$1696,A86,GERAL!AW$8:AW$1696,"&gt;0",GERAL!C$8:C$1696,"ANEXO")</f>
        <v>0</v>
      </c>
      <c r="AI86" s="177">
        <f>SUMIF(GERAL!B$8:B$1696,A86,GERAL!AS$8:AS$1696)+SUMIF(GERAL!B$8:B$1696,A86,GERAL!AT$8:AT$1696)</f>
        <v>0</v>
      </c>
      <c r="AJ86" s="177">
        <f>SUMIF(GERAL!B$8:B$1696,A86,GERAL!AU$8:AU$1696)</f>
        <v>22</v>
      </c>
      <c r="AK86" s="177">
        <f>SUMIF(GERAL!B$8:B$1696,A86,GERAL!AV$8:AV$1696)</f>
        <v>198</v>
      </c>
      <c r="AL86" s="118">
        <f t="shared" si="42"/>
        <v>220</v>
      </c>
      <c r="AM86" s="493" t="s">
        <v>451</v>
      </c>
    </row>
    <row r="87">
      <c r="A87" s="494" t="s">
        <v>2197</v>
      </c>
      <c r="B87" s="75">
        <f>COUNTIFS(GERAL!B$8:B$1696,A87,GERAL!C$8:C$1696,"ESCOLA")</f>
        <v>9</v>
      </c>
      <c r="C87" s="75">
        <f>COUNTIFS(GERAL!B$8:B$1696,A87,GERAL!C$8:C$1696,"ANEXO")</f>
        <v>2</v>
      </c>
      <c r="D87" s="85">
        <f>SUMIF(GERAL!B$8:B$1696,A87,GERAL!Z$8:Z$1696)</f>
        <v>0</v>
      </c>
      <c r="E87" s="85">
        <f>SUMIF(GERAL!B$8:B$1696,A87,GERAL!AE$8:AE$1696)</f>
        <v>0</v>
      </c>
      <c r="F87" s="85">
        <f>SUMIF(GERAL!B$8:B$1696,A87,GERAL!AJ$8:AJ$1696)</f>
        <v>6845</v>
      </c>
      <c r="G87" s="85">
        <f>SUMIF(GERAL!B$8:B$1696,A87,GERAL!AN$8:AN$1696)</f>
        <v>0</v>
      </c>
      <c r="H87" s="85">
        <f>SUMIF(GERAL!B$8:B$1696,A87,GERAL!AR$8:AW$1696)</f>
        <v>2133</v>
      </c>
      <c r="I87" s="85">
        <f>SUMIF(GERAL!B$8:B$1696,A87,GERAL!AW$8:AW$1696)</f>
        <v>3626</v>
      </c>
      <c r="J87" s="75">
        <f>SUMIF(GERAL!B$8:B$1696,A87,GERAL!AX$8:AX$1696)</f>
        <v>12604</v>
      </c>
      <c r="K87" s="75">
        <f>COUNTIFS(GERAL!B$8:B$1696,A87,GERAL!AY$8:AY$1696,"&gt;0",GERAL!C$8:C$1696,"ESCOLA")</f>
        <v>9</v>
      </c>
      <c r="L87" s="75">
        <f>COUNTIFS(GERAL!B$8:B$1696,A87,GERAL!AY$8:AY$1696,"&gt;0",GERAL!C$8:C$1696,"ANEXO")</f>
        <v>1</v>
      </c>
      <c r="M87" s="100">
        <f>SUMIF(GERAL!B$8:B$1696,A87,GERAL!V$8:V$1696)+SUMIF(GERAL!B$8:B$1696,A87,GERAL!W$8:W$1696)</f>
        <v>0</v>
      </c>
      <c r="N87" s="100">
        <f>SUMIF(GERAL!B$8:B$1696,A87,GERAL!AA$8:AA$1696)+SUMIF(GERAL!B$8:B$1696,A87,GERAL!AB$8:AB$1696)</f>
        <v>0</v>
      </c>
      <c r="O87" s="100">
        <f>SUMIF(GERAL!B$8:B$1696,A87,GERAL!AF$8:AF$1696)+SUMIF(GERAL!B$8:B$1696,A87,GERAL!AG$8:AG$1696)</f>
        <v>4454</v>
      </c>
      <c r="P87" s="100">
        <f>SUMIF(GERAL!B$8:B$1696,A87,GERAL!AK$8:AK$1696)+SUMIF(GERAL!B$8:B$1696,A87,GERAL!AL$8:AL$1696)</f>
        <v>0</v>
      </c>
      <c r="Q87" s="100">
        <f>SUMIF(GERAL!B$8:B$1696,A87,GERAL!AO$8:AO$1696)+SUMIF(GERAL!B$8:B$1696,A87,GERAL!AP$8:AP$1696)</f>
        <v>13</v>
      </c>
      <c r="R87" s="100">
        <f>SUMIF(GERAL!B$8:B$1696,A87,GERAL!AS$8:AS$1696)+SUMIF(GERAL!B$8:B$1696,A87,GERAL!AT$8:AT$1696)</f>
        <v>1989</v>
      </c>
      <c r="S87" s="75">
        <f t="shared" si="39"/>
        <v>6456</v>
      </c>
      <c r="T87" s="116">
        <f>COUNTIFS(GERAL!B$8:B$1696,A87,GERAL!AZ$8:AZ$1696,"&gt;0",GERAL!C$8:C$1696,"ESCOLA")</f>
        <v>9</v>
      </c>
      <c r="U87" s="75">
        <f>COUNTIFS(GERAL!B$8:B$1696,A87,GERAL!AZ$8:AZ$1696,"&gt;0",GERAL!C$8:C$1696,"ANEXO")</f>
        <v>1</v>
      </c>
      <c r="V87" s="85">
        <f>SUMIF(GERAL!B$8:B$1696,A87,GERAL!AH$8:AH$1696)</f>
        <v>0</v>
      </c>
      <c r="W87" s="85">
        <f>SUMIF(GERAL!B$8:B$1696,A87,GERAL!AM$8:AM$1696)</f>
        <v>0</v>
      </c>
      <c r="X87" s="85">
        <f>SUMIF(GERAL!B$8:B$1696,A87,GERAL!AQ$8:AQ$1696)</f>
        <v>2120</v>
      </c>
      <c r="Y87" s="85">
        <f>SUMIF(GERAL!B$8:B$1696,A87,GERAL!AU$8:AU$1696)</f>
        <v>738</v>
      </c>
      <c r="Z87" s="88">
        <f t="shared" si="40"/>
        <v>2858</v>
      </c>
      <c r="AA87" s="116">
        <f>COUNTIFS(GERAL!B$8:B$1696,A87,GERAL!BK$8:BK$1696,"&gt;0",GERAL!C$8:C$1696,"ESCOLA")</f>
        <v>5</v>
      </c>
      <c r="AB87" s="88">
        <f>COUNTIFS(GERAL!B$8:B$1696,A87,GERAL!BK$8:BK$1696,"&gt;0",GERAL!C$8:C$1696,"ANEXO")</f>
        <v>0</v>
      </c>
      <c r="AC87" s="121">
        <f>SUMIF(GERAL!B$8:B$1696,A87,GERAL!AD$8:AD$1696)</f>
        <v>0</v>
      </c>
      <c r="AD87" s="121">
        <f>SUMIF(GERAL!B$8:B$1696,A87,GERAL!AI$8:AI$1696)</f>
        <v>2391</v>
      </c>
      <c r="AE87" s="121">
        <f>SUMIF(GERAL!B$8:B$1696,A87,GERAL!AV$8:AV$1696)</f>
        <v>899</v>
      </c>
      <c r="AF87" s="492">
        <f t="shared" si="41"/>
        <v>3290</v>
      </c>
      <c r="AG87" s="178">
        <f>COUNTIFS(GERAL!B$8:B$1696,A87,GERAL!AW$8:AW$1696,"&gt;0",GERAL!C$8:C$1696,"ESCOLA")</f>
        <v>7</v>
      </c>
      <c r="AH87" s="118">
        <f>COUNTIFS(GERAL!B$8:B$1696,A87,GERAL!AW$8:AW$1696,"&gt;0",GERAL!C$8:C$1696,"ANEXO")</f>
        <v>0</v>
      </c>
      <c r="AI87" s="177">
        <f>SUMIF(GERAL!B$8:B$1696,A87,GERAL!AS$8:AS$1696)+SUMIF(GERAL!B$8:B$1696,A87,GERAL!AT$8:AT$1696)</f>
        <v>1989</v>
      </c>
      <c r="AJ87" s="177">
        <f>SUMIF(GERAL!B$8:B$1696,A87,GERAL!AU$8:AU$1696)</f>
        <v>738</v>
      </c>
      <c r="AK87" s="177">
        <f>SUMIF(GERAL!B$8:B$1696,A87,GERAL!AV$8:AV$1696)</f>
        <v>899</v>
      </c>
      <c r="AL87" s="118">
        <f t="shared" si="42"/>
        <v>3626</v>
      </c>
      <c r="AM87" s="493" t="s">
        <v>1785</v>
      </c>
    </row>
    <row r="88">
      <c r="A88" s="484" t="s">
        <v>1706</v>
      </c>
      <c r="B88" s="75">
        <f>COUNTIFS(GERAL!B$8:B$1696,A88,GERAL!C$8:C$1696,"ESCOLA")</f>
        <v>1</v>
      </c>
      <c r="C88" s="75">
        <f>COUNTIFS(GERAL!B$8:B$1696,A88,GERAL!C$8:C$1696,"ANEXO")</f>
        <v>2</v>
      </c>
      <c r="D88" s="85">
        <f>SUMIF(GERAL!B$8:B$1696,A88,GERAL!Z$8:Z$1696)</f>
        <v>0</v>
      </c>
      <c r="E88" s="85">
        <f>SUMIF(GERAL!B$8:B$1696,A88,GERAL!AE$8:AE$1696)</f>
        <v>0</v>
      </c>
      <c r="F88" s="85">
        <f>SUMIF(GERAL!B$8:B$1696,A88,GERAL!AJ$8:AJ$1696)</f>
        <v>1033</v>
      </c>
      <c r="G88" s="85">
        <f>SUMIF(GERAL!B$8:B$1696,A88,GERAL!AN$8:AN$1696)</f>
        <v>0</v>
      </c>
      <c r="H88" s="85">
        <f>SUMIF(GERAL!B$8:B$1696,A88,GERAL!AR$8:AW$1696)</f>
        <v>137</v>
      </c>
      <c r="I88" s="85">
        <f>SUMIF(GERAL!B$8:B$1696,A88,GERAL!AW$8:AW$1696)</f>
        <v>66</v>
      </c>
      <c r="J88" s="75">
        <f>SUMIF(GERAL!B$8:B$1696,A88,GERAL!AX$8:AX$1696)</f>
        <v>1236</v>
      </c>
      <c r="K88" s="75">
        <f>COUNTIFS(GERAL!B$8:B$1696,A88,GERAL!AY$8:AY$1696,"&gt;0",GERAL!C$8:C$1696,"ESCOLA")</f>
        <v>1</v>
      </c>
      <c r="L88" s="75">
        <f>COUNTIFS(GERAL!B$8:B$1696,A88,GERAL!AY$8:AY$1696,"&gt;0",GERAL!C$8:C$1696,"ANEXO")</f>
        <v>2</v>
      </c>
      <c r="M88" s="100">
        <f>SUMIF(GERAL!B$8:B$1696,A88,GERAL!V$8:V$1696)+SUMIF(GERAL!B$8:B$1696,A88,GERAL!W$8:W$1696)</f>
        <v>0</v>
      </c>
      <c r="N88" s="100">
        <f>SUMIF(GERAL!B$8:B$1696,A88,GERAL!AA$8:AA$1696)+SUMIF(GERAL!B$8:B$1696,A88,GERAL!AB$8:AB$1696)</f>
        <v>0</v>
      </c>
      <c r="O88" s="100">
        <f>SUMIF(GERAL!B$8:B$1696,A88,GERAL!AF$8:AF$1696)+SUMIF(GERAL!B$8:B$1696,A88,GERAL!AG$8:AG$1696)</f>
        <v>891</v>
      </c>
      <c r="P88" s="100">
        <f>SUMIF(GERAL!B$8:B$1696,A88,GERAL!AK$8:AK$1696)+SUMIF(GERAL!B$8:B$1696,A88,GERAL!AL$8:AL$1696)</f>
        <v>0</v>
      </c>
      <c r="Q88" s="100">
        <f>SUMIF(GERAL!B$8:B$1696,A88,GERAL!AO$8:AO$1696)+SUMIF(GERAL!B$8:B$1696,A88,GERAL!AP$8:AP$1696)</f>
        <v>0</v>
      </c>
      <c r="R88" s="100">
        <f>SUMIF(GERAL!B$8:B$1696,A88,GERAL!AS$8:AS$1696)+SUMIF(GERAL!B$8:B$1696,A88,GERAL!AT$8:AT$1696)</f>
        <v>66</v>
      </c>
      <c r="S88" s="75">
        <f t="shared" si="39"/>
        <v>957</v>
      </c>
      <c r="T88" s="116">
        <f>COUNTIFS(GERAL!B$8:B$1696,A88,GERAL!AZ$8:AZ$1696,"&gt;0",GERAL!C$8:C$1696,"ESCOLA")</f>
        <v>1</v>
      </c>
      <c r="U88" s="75">
        <f>COUNTIFS(GERAL!B$8:B$1696,A88,GERAL!AZ$8:AZ$1696,"&gt;0",GERAL!C$8:C$1696,"ANEXO")</f>
        <v>2</v>
      </c>
      <c r="V88" s="85">
        <f>SUMIF(GERAL!B$8:B$1696,A88,GERAL!AH$8:AH$1696)</f>
        <v>3</v>
      </c>
      <c r="W88" s="85">
        <f>SUMIF(GERAL!B$8:B$1696,A88,GERAL!AM$8:AM$1696)</f>
        <v>0</v>
      </c>
      <c r="X88" s="85">
        <f>SUMIF(GERAL!B$8:B$1696,A88,GERAL!AQ$8:AQ$1696)</f>
        <v>137</v>
      </c>
      <c r="Y88" s="85">
        <f>SUMIF(GERAL!B$8:B$1696,A88,GERAL!AU$8:AU$1696)</f>
        <v>0</v>
      </c>
      <c r="Z88" s="88">
        <f t="shared" si="40"/>
        <v>140</v>
      </c>
      <c r="AA88" s="116">
        <f>COUNTIFS(GERAL!B$8:B$1696,A88,GERAL!BK$8:BK$1696,"&gt;0",GERAL!C$8:C$1696,"ESCOLA")</f>
        <v>1</v>
      </c>
      <c r="AB88" s="88">
        <f>COUNTIFS(GERAL!B$8:B$1696,A88,GERAL!BK$8:BK$1696,"&gt;0",GERAL!C$8:C$1696,"ANEXO")</f>
        <v>0</v>
      </c>
      <c r="AC88" s="121">
        <f>SUMIF(GERAL!B$8:B$1696,A88,GERAL!AD$8:AD$1696)</f>
        <v>0</v>
      </c>
      <c r="AD88" s="121">
        <f>SUMIF(GERAL!B$8:B$1696,A88,GERAL!AI$8:AI$1696)</f>
        <v>139</v>
      </c>
      <c r="AE88" s="121">
        <f>SUMIF(GERAL!B$8:B$1696,A88,GERAL!AV$8:AV$1696)</f>
        <v>0</v>
      </c>
      <c r="AF88" s="492">
        <f t="shared" si="41"/>
        <v>139</v>
      </c>
      <c r="AG88" s="178">
        <f>COUNTIFS(GERAL!B$8:B$1696,A88,GERAL!AW$8:AW$1696,"&gt;0",GERAL!C$8:C$1696,"ESCOLA")</f>
        <v>1</v>
      </c>
      <c r="AH88" s="118">
        <f>COUNTIFS(GERAL!B$8:B$1696,A88,GERAL!AW$8:AW$1696,"&gt;0",GERAL!C$8:C$1696,"ANEXO")</f>
        <v>0</v>
      </c>
      <c r="AI88" s="177">
        <f>SUMIF(GERAL!B$8:B$1696,A88,GERAL!AS$8:AS$1696)+SUMIF(GERAL!B$8:B$1696,A88,GERAL!AT$8:AT$1696)</f>
        <v>66</v>
      </c>
      <c r="AJ88" s="177">
        <f>SUMIF(GERAL!B$8:B$1696,A88,GERAL!AU$8:AU$1696)</f>
        <v>0</v>
      </c>
      <c r="AK88" s="177">
        <f>SUMIF(GERAL!B$8:B$1696,A88,GERAL!AV$8:AV$1696)</f>
        <v>0</v>
      </c>
      <c r="AL88" s="118">
        <f t="shared" si="42"/>
        <v>66</v>
      </c>
      <c r="AM88" s="493" t="s">
        <v>540</v>
      </c>
    </row>
    <row r="89">
      <c r="A89" s="494" t="s">
        <v>2830</v>
      </c>
      <c r="B89" s="75">
        <f>COUNTIFS(GERAL!B$8:B$1696,A89,GERAL!C$8:C$1696,"ESCOLA")</f>
        <v>1</v>
      </c>
      <c r="C89" s="75">
        <f>COUNTIFS(GERAL!B$8:B$1696,A89,GERAL!C$8:C$1696,"ANEXO")</f>
        <v>14</v>
      </c>
      <c r="D89" s="85">
        <f>SUMIF(GERAL!B$8:B$1696,A89,GERAL!Z$8:Z$1696)</f>
        <v>0</v>
      </c>
      <c r="E89" s="85">
        <f>SUMIF(GERAL!B$8:B$1696,A89,GERAL!AE$8:AE$1696)</f>
        <v>0</v>
      </c>
      <c r="F89" s="85">
        <f>SUMIF(GERAL!B$8:B$1696,A89,GERAL!AJ$8:AJ$1696)</f>
        <v>868</v>
      </c>
      <c r="G89" s="85">
        <f>SUMIF(GERAL!B$8:B$1696,A89,GERAL!AN$8:AN$1696)</f>
        <v>0</v>
      </c>
      <c r="H89" s="85">
        <f>SUMIF(GERAL!B$8:B$1696,A89,GERAL!AR$8:AW$1696)</f>
        <v>76</v>
      </c>
      <c r="I89" s="85">
        <f>SUMIF(GERAL!B$8:B$1696,A89,GERAL!AW$8:AW$1696)</f>
        <v>158</v>
      </c>
      <c r="J89" s="75">
        <f>SUMIF(GERAL!B$8:B$1696,A89,GERAL!AX$8:AX$1696)</f>
        <v>1102</v>
      </c>
      <c r="K89" s="75">
        <f>COUNTIFS(GERAL!B$8:B$1696,A89,GERAL!AY$8:AY$1696,"&gt;0",GERAL!C$8:C$1696,"ESCOLA")</f>
        <v>1</v>
      </c>
      <c r="L89" s="75">
        <f>COUNTIFS(GERAL!B$8:B$1696,A89,GERAL!AY$8:AY$1696,"&gt;0",GERAL!C$8:C$1696,"ANEXO")</f>
        <v>14</v>
      </c>
      <c r="M89" s="100">
        <f>SUMIF(GERAL!B$8:B$1696,A89,GERAL!V$8:V$1696)+SUMIF(GERAL!B$8:B$1696,A89,GERAL!W$8:W$1696)</f>
        <v>0</v>
      </c>
      <c r="N89" s="100">
        <f>SUMIF(GERAL!B$8:B$1696,A89,GERAL!AA$8:AA$1696)+SUMIF(GERAL!B$8:B$1696,A89,GERAL!AB$8:AB$1696)</f>
        <v>0</v>
      </c>
      <c r="O89" s="100">
        <f>SUMIF(GERAL!B$8:B$1696,A89,GERAL!AF$8:AF$1696)+SUMIF(GERAL!B$8:B$1696,A89,GERAL!AG$8:AG$1696)</f>
        <v>663</v>
      </c>
      <c r="P89" s="100">
        <f>SUMIF(GERAL!B$8:B$1696,A89,GERAL!AK$8:AK$1696)+SUMIF(GERAL!B$8:B$1696,A89,GERAL!AL$8:AL$1696)</f>
        <v>0</v>
      </c>
      <c r="Q89" s="100">
        <f>SUMIF(GERAL!B$8:B$1696,A89,GERAL!AO$8:AO$1696)+SUMIF(GERAL!B$8:B$1696,A89,GERAL!AP$8:AP$1696)</f>
        <v>0</v>
      </c>
      <c r="R89" s="100">
        <f>SUMIF(GERAL!B$8:B$1696,A89,GERAL!AS$8:AS$1696)+SUMIF(GERAL!B$8:B$1696,A89,GERAL!AT$8:AT$1696)</f>
        <v>22</v>
      </c>
      <c r="S89" s="75">
        <f t="shared" si="39"/>
        <v>685</v>
      </c>
      <c r="T89" s="116">
        <f>COUNTIFS(GERAL!B$8:B$1696,A89,GERAL!AZ$8:AZ$1696,"&gt;0",GERAL!C$8:C$1696,"ESCOLA")</f>
        <v>1</v>
      </c>
      <c r="U89" s="75">
        <f>COUNTIFS(GERAL!B$8:B$1696,A89,GERAL!AZ$8:AZ$1696,"&gt;0",GERAL!C$8:C$1696,"ANEXO")</f>
        <v>3</v>
      </c>
      <c r="V89" s="85">
        <f>SUMIF(GERAL!B$8:B$1696,A89,GERAL!AH$8:AH$1696)</f>
        <v>38</v>
      </c>
      <c r="W89" s="85">
        <f>SUMIF(GERAL!B$8:B$1696,A89,GERAL!AM$8:AM$1696)</f>
        <v>0</v>
      </c>
      <c r="X89" s="85">
        <f>SUMIF(GERAL!B$8:B$1696,A89,GERAL!AQ$8:AQ$1696)</f>
        <v>76</v>
      </c>
      <c r="Y89" s="85">
        <f>SUMIF(GERAL!B$8:B$1696,A89,GERAL!AU$8:AU$1696)</f>
        <v>14</v>
      </c>
      <c r="Z89" s="88">
        <f t="shared" si="40"/>
        <v>128</v>
      </c>
      <c r="AA89" s="116">
        <f>COUNTIFS(GERAL!B$8:B$1696,A89,GERAL!BK$8:BK$1696,"&gt;0",GERAL!C$8:C$1696,"ESCOLA")</f>
        <v>1</v>
      </c>
      <c r="AB89" s="88">
        <f>COUNTIFS(GERAL!B$8:B$1696,A89,GERAL!BK$8:BK$1696,"&gt;0",GERAL!C$8:C$1696,"ANEXO")</f>
        <v>0</v>
      </c>
      <c r="AC89" s="121">
        <f>SUMIF(GERAL!B$8:B$1696,A89,GERAL!AD$8:AD$1696)</f>
        <v>0</v>
      </c>
      <c r="AD89" s="121">
        <f>SUMIF(GERAL!B$8:B$1696,A89,GERAL!AI$8:AI$1696)</f>
        <v>167</v>
      </c>
      <c r="AE89" s="121">
        <f>SUMIF(GERAL!B$8:B$1696,A89,GERAL!AV$8:AV$1696)</f>
        <v>122</v>
      </c>
      <c r="AF89" s="492">
        <f t="shared" si="41"/>
        <v>289</v>
      </c>
      <c r="AG89" s="178">
        <f>COUNTIFS(GERAL!B$8:B$1696,A89,GERAL!AW$8:AW$1696,"&gt;0",GERAL!C$8:C$1696,"ESCOLA")</f>
        <v>1</v>
      </c>
      <c r="AH89" s="118">
        <f>COUNTIFS(GERAL!B$8:B$1696,A89,GERAL!AW$8:AW$1696,"&gt;0",GERAL!C$8:C$1696,"ANEXO")</f>
        <v>0</v>
      </c>
      <c r="AI89" s="177">
        <f>SUMIF(GERAL!B$8:B$1696,A89,GERAL!AS$8:AS$1696)+SUMIF(GERAL!B$8:B$1696,A89,GERAL!AT$8:AT$1696)</f>
        <v>22</v>
      </c>
      <c r="AJ89" s="177">
        <f>SUMIF(GERAL!B$8:B$1696,A89,GERAL!AU$8:AU$1696)</f>
        <v>14</v>
      </c>
      <c r="AK89" s="177">
        <f>SUMIF(GERAL!B$8:B$1696,A89,GERAL!AV$8:AV$1696)</f>
        <v>122</v>
      </c>
      <c r="AL89" s="118">
        <f t="shared" si="42"/>
        <v>158</v>
      </c>
      <c r="AM89" s="493" t="s">
        <v>796</v>
      </c>
    </row>
    <row r="90">
      <c r="A90" s="484" t="s">
        <v>7682</v>
      </c>
      <c r="B90" s="75">
        <f>COUNTIFS(GERAL!B$8:B$1696,A90,GERAL!C$8:C$1696,"ESCOLA")</f>
        <v>3</v>
      </c>
      <c r="C90" s="75">
        <f>COUNTIFS(GERAL!B$8:B$1696,A90,GERAL!C$8:C$1696,"ANEXO")</f>
        <v>9</v>
      </c>
      <c r="D90" s="85">
        <f>SUMIF(GERAL!B$8:B$1696,A90,GERAL!Z$8:Z$1696)</f>
        <v>0</v>
      </c>
      <c r="E90" s="85">
        <f>SUMIF(GERAL!B$8:B$1696,A90,GERAL!AE$8:AE$1696)</f>
        <v>0</v>
      </c>
      <c r="F90" s="85">
        <f>SUMIF(GERAL!B$8:B$1696,A90,GERAL!AJ$8:AJ$1696)</f>
        <v>2235</v>
      </c>
      <c r="G90" s="85">
        <f>SUMIF(GERAL!B$8:B$1696,A90,GERAL!AN$8:AN$1696)</f>
        <v>0</v>
      </c>
      <c r="H90" s="85">
        <f>SUMIF(GERAL!B$8:B$1696,A90,GERAL!AR$8:AW$1696)</f>
        <v>416</v>
      </c>
      <c r="I90" s="85">
        <f>SUMIF(GERAL!B$8:B$1696,A90,GERAL!AW$8:AW$1696)</f>
        <v>60</v>
      </c>
      <c r="J90" s="75">
        <f>SUMIF(GERAL!B$8:B$1696,A90,GERAL!AX$8:AX$1696)</f>
        <v>2711</v>
      </c>
      <c r="K90" s="75">
        <f>COUNTIFS(GERAL!B$8:B$1696,A90,GERAL!AY$8:AY$1696,"&gt;0",GERAL!C$8:C$1696,"ESCOLA")</f>
        <v>3</v>
      </c>
      <c r="L90" s="75">
        <f>COUNTIFS(GERAL!B$8:B$1696,A90,GERAL!AY$8:AY$1696,"&gt;0",GERAL!C$8:C$1696,"ANEXO")</f>
        <v>3</v>
      </c>
      <c r="M90" s="100">
        <f>SUMIF(GERAL!B$8:B$1696,A90,GERAL!V$8:V$1696)+SUMIF(GERAL!B$8:B$1696,A90,GERAL!W$8:W$1696)</f>
        <v>0</v>
      </c>
      <c r="N90" s="100">
        <f>SUMIF(GERAL!B$8:B$1696,A90,GERAL!AA$8:AA$1696)+SUMIF(GERAL!B$8:B$1696,A90,GERAL!AB$8:AB$1696)</f>
        <v>0</v>
      </c>
      <c r="O90" s="100">
        <f>SUMIF(GERAL!B$8:B$1696,A90,GERAL!AF$8:AF$1696)+SUMIF(GERAL!B$8:B$1696,A90,GERAL!AG$8:AG$1696)</f>
        <v>1769</v>
      </c>
      <c r="P90" s="100">
        <f>SUMIF(GERAL!B$8:B$1696,A90,GERAL!AK$8:AK$1696)+SUMIF(GERAL!B$8:B$1696,A90,GERAL!AL$8:AL$1696)</f>
        <v>0</v>
      </c>
      <c r="Q90" s="100">
        <f>SUMIF(GERAL!B$8:B$1696,A90,GERAL!AO$8:AO$1696)+SUMIF(GERAL!B$8:B$1696,A90,GERAL!AP$8:AP$1696)</f>
        <v>0</v>
      </c>
      <c r="R90" s="100">
        <f>SUMIF(GERAL!B$8:B$1696,A90,GERAL!AS$8:AS$1696)+SUMIF(GERAL!B$8:B$1696,A90,GERAL!AT$8:AT$1696)</f>
        <v>0</v>
      </c>
      <c r="S90" s="75">
        <f t="shared" si="39"/>
        <v>1769</v>
      </c>
      <c r="T90" s="116">
        <f>COUNTIFS(GERAL!B$8:B$1696,A90,GERAL!AZ$8:AZ$1696,"&gt;0",GERAL!C$8:C$1696,"ESCOLA")</f>
        <v>3</v>
      </c>
      <c r="U90" s="75">
        <f>COUNTIFS(GERAL!B$8:B$1696,A90,GERAL!AZ$8:AZ$1696,"&gt;0",GERAL!C$8:C$1696,"ANEXO")</f>
        <v>8</v>
      </c>
      <c r="V90" s="85">
        <f>SUMIF(GERAL!B$8:B$1696,A90,GERAL!AH$8:AH$1696)</f>
        <v>79</v>
      </c>
      <c r="W90" s="85">
        <f>SUMIF(GERAL!B$8:B$1696,A90,GERAL!AM$8:AM$1696)</f>
        <v>0</v>
      </c>
      <c r="X90" s="85">
        <f>SUMIF(GERAL!B$8:B$1696,A90,GERAL!AQ$8:AQ$1696)</f>
        <v>416</v>
      </c>
      <c r="Y90" s="85">
        <f>SUMIF(GERAL!B$8:B$1696,A90,GERAL!AU$8:AU$1696)</f>
        <v>0</v>
      </c>
      <c r="Z90" s="88">
        <f t="shared" si="40"/>
        <v>495</v>
      </c>
      <c r="AA90" s="116">
        <f>COUNTIFS(GERAL!B$8:B$1696,A90,GERAL!BK$8:BK$1696,"&gt;0",GERAL!C$8:C$1696,"ESCOLA")</f>
        <v>3</v>
      </c>
      <c r="AB90" s="88">
        <f>COUNTIFS(GERAL!B$8:B$1696,A90,GERAL!BK$8:BK$1696,"&gt;0",GERAL!C$8:C$1696,"ANEXO")</f>
        <v>0</v>
      </c>
      <c r="AC90" s="121">
        <f>SUMIF(GERAL!B$8:B$1696,A90,GERAL!AD$8:AD$1696)</f>
        <v>0</v>
      </c>
      <c r="AD90" s="121">
        <f>SUMIF(GERAL!B$8:B$1696,A90,GERAL!AI$8:AI$1696)</f>
        <v>387</v>
      </c>
      <c r="AE90" s="121">
        <f>SUMIF(GERAL!B$8:B$1696,A90,GERAL!AV$8:AV$1696)</f>
        <v>60</v>
      </c>
      <c r="AF90" s="492">
        <f t="shared" si="41"/>
        <v>447</v>
      </c>
      <c r="AG90" s="178">
        <f>COUNTIFS(GERAL!B$8:B$1696,A90,GERAL!AW$8:AW$1696,"&gt;0",GERAL!C$8:C$1696,"ESCOLA")</f>
        <v>1</v>
      </c>
      <c r="AH90" s="118">
        <f>COUNTIFS(GERAL!B$8:B$1696,A90,GERAL!AW$8:AW$1696,"&gt;0",GERAL!C$8:C$1696,"ANEXO")</f>
        <v>0</v>
      </c>
      <c r="AI90" s="177">
        <f>SUMIF(GERAL!B$8:B$1696,A90,GERAL!AS$8:AS$1696)+SUMIF(GERAL!B$8:B$1696,A90,GERAL!AT$8:AT$1696)</f>
        <v>0</v>
      </c>
      <c r="AJ90" s="177">
        <f>SUMIF(GERAL!B$8:B$1696,A90,GERAL!AU$8:AU$1696)</f>
        <v>0</v>
      </c>
      <c r="AK90" s="177">
        <f>SUMIF(GERAL!B$8:B$1696,A90,GERAL!AV$8:AV$1696)</f>
        <v>60</v>
      </c>
      <c r="AL90" s="118">
        <f t="shared" si="42"/>
        <v>60</v>
      </c>
      <c r="AM90" s="493" t="s">
        <v>1707</v>
      </c>
    </row>
    <row r="91">
      <c r="A91" s="494" t="s">
        <v>7288</v>
      </c>
      <c r="B91" s="75">
        <f>COUNTIFS(GERAL!B$8:B$1696,A91,GERAL!C$8:C$1696,"ESCOLA")</f>
        <v>1</v>
      </c>
      <c r="C91" s="75">
        <f>COUNTIFS(GERAL!B$8:B$1696,A91,GERAL!C$8:C$1696,"ANEXO")</f>
        <v>0</v>
      </c>
      <c r="D91" s="85">
        <f>SUMIF(GERAL!B$8:B$1696,A91,GERAL!Z$8:Z$1696)</f>
        <v>0</v>
      </c>
      <c r="E91" s="85">
        <f>SUMIF(GERAL!B$8:B$1696,A91,GERAL!AE$8:AE$1696)</f>
        <v>0</v>
      </c>
      <c r="F91" s="85">
        <f>SUMIF(GERAL!B$8:B$1696,A91,GERAL!AJ$8:AJ$1696)</f>
        <v>203</v>
      </c>
      <c r="G91" s="85">
        <f>SUMIF(GERAL!B$8:B$1696,A91,GERAL!AN$8:AN$1696)</f>
        <v>0</v>
      </c>
      <c r="H91" s="85">
        <f>SUMIF(GERAL!B$8:B$1696,A91,GERAL!AR$8:AW$1696)</f>
        <v>0</v>
      </c>
      <c r="I91" s="85">
        <f>SUMIF(GERAL!B$8:B$1696,A91,GERAL!AW$8:AW$1696)</f>
        <v>196</v>
      </c>
      <c r="J91" s="75">
        <f>SUMIF(GERAL!B$8:B$1696,A91,GERAL!AX$8:AX$1696)</f>
        <v>399</v>
      </c>
      <c r="K91" s="75">
        <f>COUNTIFS(GERAL!B$8:B$1696,A91,GERAL!AY$8:AY$1696,"&gt;0",GERAL!C$8:C$1696,"ESCOLA")</f>
        <v>1</v>
      </c>
      <c r="L91" s="75">
        <f>COUNTIFS(GERAL!B$8:B$1696,A91,GERAL!AY$8:AY$1696,"&gt;0",GERAL!C$8:C$1696,"ANEXO")</f>
        <v>0</v>
      </c>
      <c r="M91" s="100">
        <f>SUMIF(GERAL!B$8:B$1696,A91,GERAL!V$8:V$1696)+SUMIF(GERAL!B$8:B$1696,A91,GERAL!W$8:W$1696)</f>
        <v>0</v>
      </c>
      <c r="N91" s="100">
        <f>SUMIF(GERAL!B$8:B$1696,A91,GERAL!AA$8:AA$1696)+SUMIF(GERAL!B$8:B$1696,A91,GERAL!AB$8:AB$1696)</f>
        <v>0</v>
      </c>
      <c r="O91" s="100">
        <f>SUMIF(GERAL!B$8:B$1696,A91,GERAL!AF$8:AF$1696)+SUMIF(GERAL!B$8:B$1696,A91,GERAL!AG$8:AG$1696)</f>
        <v>176</v>
      </c>
      <c r="P91" s="100">
        <f>SUMIF(GERAL!B$8:B$1696,A91,GERAL!AK$8:AK$1696)+SUMIF(GERAL!B$8:B$1696,A91,GERAL!AL$8:AL$1696)</f>
        <v>0</v>
      </c>
      <c r="Q91" s="100">
        <f>SUMIF(GERAL!B$8:B$1696,A91,GERAL!AO$8:AO$1696)+SUMIF(GERAL!B$8:B$1696,A91,GERAL!AP$8:AP$1696)</f>
        <v>0</v>
      </c>
      <c r="R91" s="100">
        <f>SUMIF(GERAL!B$8:B$1696,A91,GERAL!AS$8:AS$1696)+SUMIF(GERAL!B$8:B$1696,A91,GERAL!AT$8:AT$1696)</f>
        <v>151</v>
      </c>
      <c r="S91" s="75">
        <f t="shared" si="39"/>
        <v>327</v>
      </c>
      <c r="T91" s="116">
        <f>COUNTIFS(GERAL!B$8:B$1696,A91,GERAL!AZ$8:AZ$1696,"&gt;0",GERAL!C$8:C$1696,"ESCOLA")</f>
        <v>1</v>
      </c>
      <c r="U91" s="75">
        <f>COUNTIFS(GERAL!B$8:B$1696,A91,GERAL!AZ$8:AZ$1696,"&gt;0",GERAL!C$8:C$1696,"ANEXO")</f>
        <v>0</v>
      </c>
      <c r="V91" s="85">
        <f>SUMIF(GERAL!B$8:B$1696,A91,GERAL!AH$8:AH$1696)</f>
        <v>0</v>
      </c>
      <c r="W91" s="85">
        <f>SUMIF(GERAL!B$8:B$1696,A91,GERAL!AM$8:AM$1696)</f>
        <v>0</v>
      </c>
      <c r="X91" s="85">
        <f>SUMIF(GERAL!B$8:B$1696,A91,GERAL!AQ$8:AQ$1696)</f>
        <v>0</v>
      </c>
      <c r="Y91" s="85">
        <f>SUMIF(GERAL!B$8:B$1696,A91,GERAL!AU$8:AU$1696)</f>
        <v>15</v>
      </c>
      <c r="Z91" s="88">
        <f t="shared" si="40"/>
        <v>15</v>
      </c>
      <c r="AA91" s="116">
        <f>COUNTIFS(GERAL!B$8:B$1696,A91,GERAL!BK$8:BK$1696,"&gt;0",GERAL!C$8:C$1696,"ESCOLA")</f>
        <v>1</v>
      </c>
      <c r="AB91" s="88">
        <f>COUNTIFS(GERAL!B$8:B$1696,A91,GERAL!BK$8:BK$1696,"&gt;0",GERAL!C$8:C$1696,"ANEXO")</f>
        <v>0</v>
      </c>
      <c r="AC91" s="121">
        <f>SUMIF(GERAL!B$8:B$1696,A91,GERAL!AD$8:AD$1696)</f>
        <v>0</v>
      </c>
      <c r="AD91" s="121">
        <f>SUMIF(GERAL!B$8:B$1696,A91,GERAL!AI$8:AI$1696)</f>
        <v>27</v>
      </c>
      <c r="AE91" s="121">
        <f>SUMIF(GERAL!B$8:B$1696,A91,GERAL!AV$8:AV$1696)</f>
        <v>30</v>
      </c>
      <c r="AF91" s="492">
        <f t="shared" si="41"/>
        <v>57</v>
      </c>
      <c r="AG91" s="178">
        <f>COUNTIFS(GERAL!B$8:B$1696,A91,GERAL!AW$8:AW$1696,"&gt;0",GERAL!C$8:C$1696,"ESCOLA")</f>
        <v>1</v>
      </c>
      <c r="AH91" s="118">
        <f>COUNTIFS(GERAL!B$8:B$1696,A91,GERAL!AW$8:AW$1696,"&gt;0",GERAL!C$8:C$1696,"ANEXO")</f>
        <v>0</v>
      </c>
      <c r="AI91" s="177">
        <f>SUMIF(GERAL!B$8:B$1696,A91,GERAL!AS$8:AS$1696)+SUMIF(GERAL!B$8:B$1696,A91,GERAL!AT$8:AT$1696)</f>
        <v>151</v>
      </c>
      <c r="AJ91" s="177">
        <f>SUMIF(GERAL!B$8:B$1696,A91,GERAL!AU$8:AU$1696)</f>
        <v>15</v>
      </c>
      <c r="AK91" s="177">
        <f>SUMIF(GERAL!B$8:B$1696,A91,GERAL!AV$8:AV$1696)</f>
        <v>30</v>
      </c>
      <c r="AL91" s="118">
        <f t="shared" si="42"/>
        <v>196</v>
      </c>
      <c r="AM91" s="493" t="s">
        <v>1573</v>
      </c>
    </row>
    <row r="92">
      <c r="A92" s="484" t="s">
        <v>210</v>
      </c>
      <c r="B92" s="75">
        <f>COUNTIFS(GERAL!B$8:B$1696,A92,GERAL!C$8:C$1696,"ESCOLA")</f>
        <v>2</v>
      </c>
      <c r="C92" s="75">
        <f>COUNTIFS(GERAL!B$8:B$1696,A92,GERAL!C$8:C$1696,"ANEXO")</f>
        <v>2</v>
      </c>
      <c r="D92" s="85">
        <f>SUMIF(GERAL!B$8:B$1696,A92,GERAL!Z$8:Z$1696)</f>
        <v>0</v>
      </c>
      <c r="E92" s="85">
        <f>SUMIF(GERAL!B$8:B$1696,A92,GERAL!AE$8:AE$1696)</f>
        <v>0</v>
      </c>
      <c r="F92" s="85">
        <f>SUMIF(GERAL!B$8:B$1696,A92,GERAL!AJ$8:AJ$1696)</f>
        <v>855</v>
      </c>
      <c r="G92" s="85">
        <f>SUMIF(GERAL!B$8:B$1696,A92,GERAL!AN$8:AN$1696)</f>
        <v>0</v>
      </c>
      <c r="H92" s="85">
        <f>SUMIF(GERAL!B$8:B$1696,A92,GERAL!AR$8:AW$1696)</f>
        <v>30</v>
      </c>
      <c r="I92" s="85">
        <f>SUMIF(GERAL!B$8:B$1696,A92,GERAL!AW$8:AW$1696)</f>
        <v>98</v>
      </c>
      <c r="J92" s="75">
        <f>SUMIF(GERAL!B$8:B$1696,A92,GERAL!AX$8:AX$1696)</f>
        <v>983</v>
      </c>
      <c r="K92" s="75">
        <f>COUNTIFS(GERAL!B$8:B$1696,A92,GERAL!AY$8:AY$1696,"&gt;0",GERAL!C$8:C$1696,"ESCOLA")</f>
        <v>2</v>
      </c>
      <c r="L92" s="75">
        <f>COUNTIFS(GERAL!B$8:B$1696,A92,GERAL!AY$8:AY$1696,"&gt;0",GERAL!C$8:C$1696,"ANEXO")</f>
        <v>0</v>
      </c>
      <c r="M92" s="100">
        <f>SUMIF(GERAL!B$8:B$1696,A92,GERAL!V$8:V$1696)+SUMIF(GERAL!B$8:B$1696,A92,GERAL!W$8:W$1696)</f>
        <v>0</v>
      </c>
      <c r="N92" s="100">
        <f>SUMIF(GERAL!B$8:B$1696,A92,GERAL!AA$8:AA$1696)+SUMIF(GERAL!B$8:B$1696,A92,GERAL!AB$8:AB$1696)</f>
        <v>0</v>
      </c>
      <c r="O92" s="100">
        <f>SUMIF(GERAL!B$8:B$1696,A92,GERAL!AF$8:AF$1696)+SUMIF(GERAL!B$8:B$1696,A92,GERAL!AG$8:AG$1696)</f>
        <v>149</v>
      </c>
      <c r="P92" s="100">
        <f>SUMIF(GERAL!B$8:B$1696,A92,GERAL!AK$8:AK$1696)+SUMIF(GERAL!B$8:B$1696,A92,GERAL!AL$8:AL$1696)</f>
        <v>0</v>
      </c>
      <c r="Q92" s="100">
        <f>SUMIF(GERAL!B$8:B$1696,A92,GERAL!AO$8:AO$1696)+SUMIF(GERAL!B$8:B$1696,A92,GERAL!AP$8:AP$1696)</f>
        <v>0</v>
      </c>
      <c r="R92" s="100">
        <f>SUMIF(GERAL!B$8:B$1696,A92,GERAL!AS$8:AS$1696)+SUMIF(GERAL!B$8:B$1696,A92,GERAL!AT$8:AT$1696)</f>
        <v>0</v>
      </c>
      <c r="S92" s="75">
        <f t="shared" si="39"/>
        <v>149</v>
      </c>
      <c r="T92" s="116">
        <f>COUNTIFS(GERAL!B$8:B$1696,A92,GERAL!AZ$8:AZ$1696,"&gt;0",GERAL!C$8:C$1696,"ESCOLA")</f>
        <v>2</v>
      </c>
      <c r="U92" s="75">
        <f>COUNTIFS(GERAL!B$8:B$1696,A92,GERAL!AZ$8:AZ$1696,"&gt;0",GERAL!C$8:C$1696,"ANEXO")</f>
        <v>2</v>
      </c>
      <c r="V92" s="85">
        <f>SUMIF(GERAL!B$8:B$1696,A92,GERAL!AH$8:AH$1696)</f>
        <v>139</v>
      </c>
      <c r="W92" s="85">
        <f>SUMIF(GERAL!B$8:B$1696,A92,GERAL!AM$8:AM$1696)</f>
        <v>0</v>
      </c>
      <c r="X92" s="85">
        <f>SUMIF(GERAL!B$8:B$1696,A92,GERAL!AQ$8:AQ$1696)</f>
        <v>30</v>
      </c>
      <c r="Y92" s="85">
        <f>SUMIF(GERAL!B$8:B$1696,A92,GERAL!AU$8:AU$1696)</f>
        <v>98</v>
      </c>
      <c r="Z92" s="88">
        <f t="shared" si="40"/>
        <v>267</v>
      </c>
      <c r="AA92" s="116">
        <f>COUNTIFS(GERAL!B$8:B$1696,A92,GERAL!BK$8:BK$1696,"&gt;0",GERAL!C$8:C$1696,"ESCOLA")</f>
        <v>2</v>
      </c>
      <c r="AB92" s="88">
        <f>COUNTIFS(GERAL!B$8:B$1696,A92,GERAL!BK$8:BK$1696,"&gt;0",GERAL!C$8:C$1696,"ANEXO")</f>
        <v>0</v>
      </c>
      <c r="AC92" s="121">
        <f>SUMIF(GERAL!B$8:B$1696,A92,GERAL!AD$8:AD$1696)</f>
        <v>0</v>
      </c>
      <c r="AD92" s="121">
        <f>SUMIF(GERAL!B$8:B$1696,A92,GERAL!AI$8:AI$1696)</f>
        <v>567</v>
      </c>
      <c r="AE92" s="121">
        <f>SUMIF(GERAL!B$8:B$1696,A92,GERAL!AV$8:AV$1696)</f>
        <v>0</v>
      </c>
      <c r="AF92" s="492">
        <f t="shared" si="41"/>
        <v>567</v>
      </c>
      <c r="AG92" s="178">
        <f>COUNTIFS(GERAL!B$8:B$1696,A92,GERAL!AW$8:AW$1696,"&gt;0",GERAL!C$8:C$1696,"ESCOLA")</f>
        <v>1</v>
      </c>
      <c r="AH92" s="118">
        <f>COUNTIFS(GERAL!B$8:B$1696,A92,GERAL!AW$8:AW$1696,"&gt;0",GERAL!C$8:C$1696,"ANEXO")</f>
        <v>0</v>
      </c>
      <c r="AI92" s="177">
        <f>SUMIF(GERAL!B$8:B$1696,A92,GERAL!AS$8:AS$1696)+SUMIF(GERAL!B$8:B$1696,A92,GERAL!AT$8:AT$1696)</f>
        <v>0</v>
      </c>
      <c r="AJ92" s="177">
        <f>SUMIF(GERAL!B$8:B$1696,A92,GERAL!AU$8:AU$1696)</f>
        <v>98</v>
      </c>
      <c r="AK92" s="177">
        <f>SUMIF(GERAL!B$8:B$1696,A92,GERAL!AV$8:AV$1696)</f>
        <v>0</v>
      </c>
      <c r="AL92" s="118">
        <f t="shared" si="42"/>
        <v>98</v>
      </c>
      <c r="AM92" s="493" t="s">
        <v>130</v>
      </c>
    </row>
    <row r="93">
      <c r="A93" s="494" t="s">
        <v>1388</v>
      </c>
      <c r="B93" s="75">
        <f>COUNTIFS(GERAL!B$8:B$1696,A93,GERAL!C$8:C$1696,"ESCOLA")</f>
        <v>1</v>
      </c>
      <c r="C93" s="75">
        <f>COUNTIFS(GERAL!B$8:B$1696,A93,GERAL!C$8:C$1696,"ANEXO")</f>
        <v>3</v>
      </c>
      <c r="D93" s="85">
        <f>SUMIF(GERAL!B$8:B$1696,A93,GERAL!Z$8:Z$1696)</f>
        <v>0</v>
      </c>
      <c r="E93" s="85">
        <f>SUMIF(GERAL!B$8:B$1696,A93,GERAL!AE$8:AE$1696)</f>
        <v>0</v>
      </c>
      <c r="F93" s="85">
        <f>SUMIF(GERAL!B$8:B$1696,A93,GERAL!AJ$8:AJ$1696)</f>
        <v>665</v>
      </c>
      <c r="G93" s="85">
        <f>SUMIF(GERAL!B$8:B$1696,A93,GERAL!AN$8:AN$1696)</f>
        <v>0</v>
      </c>
      <c r="H93" s="85">
        <f>SUMIF(GERAL!B$8:B$1696,A93,GERAL!AR$8:AW$1696)</f>
        <v>204</v>
      </c>
      <c r="I93" s="85">
        <f>SUMIF(GERAL!B$8:B$1696,A93,GERAL!AW$8:AW$1696)</f>
        <v>73</v>
      </c>
      <c r="J93" s="75">
        <f>SUMIF(GERAL!B$8:B$1696,A93,GERAL!AX$8:AX$1696)</f>
        <v>942</v>
      </c>
      <c r="K93" s="75">
        <f>COUNTIFS(GERAL!B$8:B$1696,A93,GERAL!AY$8:AY$1696,"&gt;0",GERAL!C$8:C$1696,"ESCOLA")</f>
        <v>1</v>
      </c>
      <c r="L93" s="75">
        <f>COUNTIFS(GERAL!B$8:B$1696,A93,GERAL!AY$8:AY$1696,"&gt;0",GERAL!C$8:C$1696,"ANEXO")</f>
        <v>0</v>
      </c>
      <c r="M93" s="100">
        <f>SUMIF(GERAL!B$8:B$1696,A93,GERAL!V$8:V$1696)+SUMIF(GERAL!B$8:B$1696,A93,GERAL!W$8:W$1696)</f>
        <v>0</v>
      </c>
      <c r="N93" s="100">
        <f>SUMIF(GERAL!B$8:B$1696,A93,GERAL!AA$8:AA$1696)+SUMIF(GERAL!B$8:B$1696,A93,GERAL!AB$8:AB$1696)</f>
        <v>0</v>
      </c>
      <c r="O93" s="100">
        <f>SUMIF(GERAL!B$8:B$1696,A93,GERAL!AF$8:AF$1696)+SUMIF(GERAL!B$8:B$1696,A93,GERAL!AG$8:AG$1696)</f>
        <v>450</v>
      </c>
      <c r="P93" s="100">
        <f>SUMIF(GERAL!B$8:B$1696,A93,GERAL!AK$8:AK$1696)+SUMIF(GERAL!B$8:B$1696,A93,GERAL!AL$8:AL$1696)</f>
        <v>0</v>
      </c>
      <c r="Q93" s="100">
        <f>SUMIF(GERAL!B$8:B$1696,A93,GERAL!AO$8:AO$1696)+SUMIF(GERAL!B$8:B$1696,A93,GERAL!AP$8:AP$1696)</f>
        <v>0</v>
      </c>
      <c r="R93" s="100">
        <f>SUMIF(GERAL!B$8:B$1696,A93,GERAL!AS$8:AS$1696)+SUMIF(GERAL!B$8:B$1696,A93,GERAL!AT$8:AT$1696)</f>
        <v>24</v>
      </c>
      <c r="S93" s="75">
        <f t="shared" si="39"/>
        <v>474</v>
      </c>
      <c r="T93" s="116">
        <f>COUNTIFS(GERAL!B$8:B$1696,A93,GERAL!AZ$8:AZ$1696,"&gt;0",GERAL!C$8:C$1696,"ESCOLA")</f>
        <v>1</v>
      </c>
      <c r="U93" s="75">
        <f>COUNTIFS(GERAL!B$8:B$1696,A93,GERAL!AZ$8:AZ$1696,"&gt;0",GERAL!C$8:C$1696,"ANEXO")</f>
        <v>3</v>
      </c>
      <c r="V93" s="85">
        <f>SUMIF(GERAL!B$8:B$1696,A93,GERAL!AH$8:AH$1696)</f>
        <v>61</v>
      </c>
      <c r="W93" s="85">
        <f>SUMIF(GERAL!B$8:B$1696,A93,GERAL!AM$8:AM$1696)</f>
        <v>0</v>
      </c>
      <c r="X93" s="85">
        <f>SUMIF(GERAL!B$8:B$1696,A93,GERAL!AQ$8:AQ$1696)</f>
        <v>204</v>
      </c>
      <c r="Y93" s="85">
        <f>SUMIF(GERAL!B$8:B$1696,A93,GERAL!AU$8:AU$1696)</f>
        <v>23</v>
      </c>
      <c r="Z93" s="88">
        <f t="shared" si="40"/>
        <v>288</v>
      </c>
      <c r="AA93" s="116">
        <f>COUNTIFS(GERAL!B$8:B$1696,A93,GERAL!BK$8:BK$1696,"&gt;0",GERAL!C$8:C$1696,"ESCOLA")</f>
        <v>1</v>
      </c>
      <c r="AB93" s="88">
        <f>COUNTIFS(GERAL!B$8:B$1696,A93,GERAL!BK$8:BK$1696,"&gt;0",GERAL!C$8:C$1696,"ANEXO")</f>
        <v>0</v>
      </c>
      <c r="AC93" s="121">
        <f>SUMIF(GERAL!B$8:B$1696,A93,GERAL!AD$8:AD$1696)</f>
        <v>0</v>
      </c>
      <c r="AD93" s="121">
        <f>SUMIF(GERAL!B$8:B$1696,A93,GERAL!AI$8:AI$1696)</f>
        <v>154</v>
      </c>
      <c r="AE93" s="121">
        <f>SUMIF(GERAL!B$8:B$1696,A93,GERAL!AV$8:AV$1696)</f>
        <v>26</v>
      </c>
      <c r="AF93" s="492">
        <f t="shared" si="41"/>
        <v>180</v>
      </c>
      <c r="AG93" s="178">
        <f>COUNTIFS(GERAL!B$8:B$1696,A93,GERAL!AW$8:AW$1696,"&gt;0",GERAL!C$8:C$1696,"ESCOLA")</f>
        <v>1</v>
      </c>
      <c r="AH93" s="118">
        <f>COUNTIFS(GERAL!B$8:B$1696,A93,GERAL!AW$8:AW$1696,"&gt;0",GERAL!C$8:C$1696,"ANEXO")</f>
        <v>0</v>
      </c>
      <c r="AI93" s="177">
        <f>SUMIF(GERAL!B$8:B$1696,A93,GERAL!AS$8:AS$1696)+SUMIF(GERAL!B$8:B$1696,A93,GERAL!AT$8:AT$1696)</f>
        <v>24</v>
      </c>
      <c r="AJ93" s="177">
        <f>SUMIF(GERAL!B$8:B$1696,A93,GERAL!AU$8:AU$1696)</f>
        <v>23</v>
      </c>
      <c r="AK93" s="177">
        <f>SUMIF(GERAL!B$8:B$1696,A93,GERAL!AV$8:AV$1696)</f>
        <v>26</v>
      </c>
      <c r="AL93" s="118">
        <f t="shared" si="42"/>
        <v>73</v>
      </c>
      <c r="AM93" s="493" t="s">
        <v>451</v>
      </c>
    </row>
    <row r="94">
      <c r="A94" s="484" t="s">
        <v>1105</v>
      </c>
      <c r="B94" s="75">
        <f>COUNTIFS(GERAL!B$8:B$1696,A94,GERAL!C$8:C$1696,"ESCOLA")</f>
        <v>1</v>
      </c>
      <c r="C94" s="75">
        <f>COUNTIFS(GERAL!B$8:B$1696,A94,GERAL!C$8:C$1696,"ANEXO")</f>
        <v>0</v>
      </c>
      <c r="D94" s="85">
        <f>SUMIF(GERAL!B$8:B$1696,A94,GERAL!Z$8:Z$1696)</f>
        <v>0</v>
      </c>
      <c r="E94" s="85">
        <f>SUMIF(GERAL!B$8:B$1696,A94,GERAL!AE$8:AE$1696)</f>
        <v>0</v>
      </c>
      <c r="F94" s="85">
        <f>SUMIF(GERAL!B$8:B$1696,A94,GERAL!AJ$8:AJ$1696)</f>
        <v>171</v>
      </c>
      <c r="G94" s="85">
        <f>SUMIF(GERAL!B$8:B$1696,A94,GERAL!AN$8:AN$1696)</f>
        <v>0</v>
      </c>
      <c r="H94" s="85">
        <f>SUMIF(GERAL!B$8:B$1696,A94,GERAL!AR$8:AW$1696)</f>
        <v>47</v>
      </c>
      <c r="I94" s="85">
        <f>SUMIF(GERAL!B$8:B$1696,A94,GERAL!AW$8:AW$1696)</f>
        <v>60</v>
      </c>
      <c r="J94" s="75">
        <f>SUMIF(GERAL!B$8:B$1696,A94,GERAL!AX$8:AX$1696)</f>
        <v>278</v>
      </c>
      <c r="K94" s="75">
        <f>COUNTIFS(GERAL!B$8:B$1696,A94,GERAL!AY$8:AY$1696,"&gt;0",GERAL!C$8:C$1696,"ESCOLA")</f>
        <v>1</v>
      </c>
      <c r="L94" s="75">
        <f>COUNTIFS(GERAL!B$8:B$1696,A94,GERAL!AY$8:AY$1696,"&gt;0",GERAL!C$8:C$1696,"ANEXO")</f>
        <v>0</v>
      </c>
      <c r="M94" s="100">
        <f>SUMIF(GERAL!B$8:B$1696,A94,GERAL!V$8:V$1696)+SUMIF(GERAL!B$8:B$1696,A94,GERAL!W$8:W$1696)</f>
        <v>0</v>
      </c>
      <c r="N94" s="100">
        <f>SUMIF(GERAL!B$8:B$1696,A94,GERAL!AA$8:AA$1696)+SUMIF(GERAL!B$8:B$1696,A94,GERAL!AB$8:AB$1696)</f>
        <v>0</v>
      </c>
      <c r="O94" s="100">
        <f>SUMIF(GERAL!B$8:B$1696,A94,GERAL!AF$8:AF$1696)+SUMIF(GERAL!B$8:B$1696,A94,GERAL!AG$8:AG$1696)</f>
        <v>49</v>
      </c>
      <c r="P94" s="100">
        <f>SUMIF(GERAL!B$8:B$1696,A94,GERAL!AK$8:AK$1696)+SUMIF(GERAL!B$8:B$1696,A94,GERAL!AL$8:AL$1696)</f>
        <v>0</v>
      </c>
      <c r="Q94" s="100">
        <f>SUMIF(GERAL!B$8:B$1696,A94,GERAL!AO$8:AO$1696)+SUMIF(GERAL!B$8:B$1696,A94,GERAL!AP$8:AP$1696)</f>
        <v>0</v>
      </c>
      <c r="R94" s="100">
        <f>SUMIF(GERAL!B$8:B$1696,A94,GERAL!AS$8:AS$1696)+SUMIF(GERAL!B$8:B$1696,A94,GERAL!AT$8:AT$1696)</f>
        <v>50</v>
      </c>
      <c r="S94" s="75">
        <f t="shared" si="39"/>
        <v>99</v>
      </c>
      <c r="T94" s="116">
        <f>COUNTIFS(GERAL!B$8:B$1696,A94,GERAL!AZ$8:AZ$1696,"&gt;0",GERAL!C$8:C$1696,"ESCOLA")</f>
        <v>1</v>
      </c>
      <c r="U94" s="75">
        <f>COUNTIFS(GERAL!B$8:B$1696,A94,GERAL!AZ$8:AZ$1696,"&gt;0",GERAL!C$8:C$1696,"ANEXO")</f>
        <v>0</v>
      </c>
      <c r="V94" s="85">
        <f>SUMIF(GERAL!B$8:B$1696,A94,GERAL!AH$8:AH$1696)</f>
        <v>0</v>
      </c>
      <c r="W94" s="85">
        <f>SUMIF(GERAL!B$8:B$1696,A94,GERAL!AM$8:AM$1696)</f>
        <v>0</v>
      </c>
      <c r="X94" s="85">
        <f>SUMIF(GERAL!B$8:B$1696,A94,GERAL!AQ$8:AQ$1696)</f>
        <v>47</v>
      </c>
      <c r="Y94" s="85">
        <f>SUMIF(GERAL!B$8:B$1696,A94,GERAL!AU$8:AU$1696)</f>
        <v>10</v>
      </c>
      <c r="Z94" s="88">
        <f t="shared" si="40"/>
        <v>57</v>
      </c>
      <c r="AA94" s="116">
        <f>COUNTIFS(GERAL!B$8:B$1696,A94,GERAL!BK$8:BK$1696,"&gt;0",GERAL!C$8:C$1696,"ESCOLA")</f>
        <v>1</v>
      </c>
      <c r="AB94" s="88">
        <f>COUNTIFS(GERAL!B$8:B$1696,A94,GERAL!BK$8:BK$1696,"&gt;0",GERAL!C$8:C$1696,"ANEXO")</f>
        <v>0</v>
      </c>
      <c r="AC94" s="121">
        <f>SUMIF(GERAL!B$8:B$1696,A94,GERAL!AD$8:AD$1696)</f>
        <v>0</v>
      </c>
      <c r="AD94" s="121">
        <f>SUMIF(GERAL!B$8:B$1696,A94,GERAL!AI$8:AI$1696)</f>
        <v>122</v>
      </c>
      <c r="AE94" s="121">
        <f>SUMIF(GERAL!B$8:B$1696,A94,GERAL!AV$8:AV$1696)</f>
        <v>0</v>
      </c>
      <c r="AF94" s="492">
        <f t="shared" si="41"/>
        <v>122</v>
      </c>
      <c r="AG94" s="178">
        <f>COUNTIFS(GERAL!B$8:B$1696,A94,GERAL!AW$8:AW$1696,"&gt;0",GERAL!C$8:C$1696,"ESCOLA")</f>
        <v>1</v>
      </c>
      <c r="AH94" s="118">
        <f>COUNTIFS(GERAL!B$8:B$1696,A94,GERAL!AW$8:AW$1696,"&gt;0",GERAL!C$8:C$1696,"ANEXO")</f>
        <v>0</v>
      </c>
      <c r="AI94" s="177">
        <f>SUMIF(GERAL!B$8:B$1696,A94,GERAL!AS$8:AS$1696)+SUMIF(GERAL!B$8:B$1696,A94,GERAL!AT$8:AT$1696)</f>
        <v>50</v>
      </c>
      <c r="AJ94" s="177">
        <f>SUMIF(GERAL!B$8:B$1696,A94,GERAL!AU$8:AU$1696)</f>
        <v>10</v>
      </c>
      <c r="AK94" s="177">
        <f>SUMIF(GERAL!B$8:B$1696,A94,GERAL!AV$8:AV$1696)</f>
        <v>0</v>
      </c>
      <c r="AL94" s="118">
        <f t="shared" si="42"/>
        <v>60</v>
      </c>
      <c r="AM94" s="493" t="s">
        <v>383</v>
      </c>
    </row>
    <row r="95">
      <c r="A95" s="494" t="s">
        <v>6403</v>
      </c>
      <c r="B95" s="75">
        <f>COUNTIFS(GERAL!B$8:B$1696,A95,GERAL!C$8:C$1696,"ESCOLA")</f>
        <v>5</v>
      </c>
      <c r="C95" s="75">
        <f>COUNTIFS(GERAL!B$8:B$1696,A95,GERAL!C$8:C$1696,"ANEXO")</f>
        <v>2</v>
      </c>
      <c r="D95" s="85">
        <f>SUMIF(GERAL!B$8:B$1696,A95,GERAL!Z$8:Z$1696)</f>
        <v>0</v>
      </c>
      <c r="E95" s="85">
        <f>SUMIF(GERAL!B$8:B$1696,A95,GERAL!AE$8:AE$1696)</f>
        <v>570</v>
      </c>
      <c r="F95" s="85">
        <f>SUMIF(GERAL!B$8:B$1696,A95,GERAL!AJ$8:AJ$1696)</f>
        <v>1994</v>
      </c>
      <c r="G95" s="85">
        <f>SUMIF(GERAL!B$8:B$1696,A95,GERAL!AN$8:AN$1696)</f>
        <v>0</v>
      </c>
      <c r="H95" s="85">
        <f>SUMIF(GERAL!B$8:B$1696,A95,GERAL!AR$8:AW$1696)</f>
        <v>265</v>
      </c>
      <c r="I95" s="85">
        <f>SUMIF(GERAL!B$8:B$1696,A95,GERAL!AW$8:AW$1696)</f>
        <v>922</v>
      </c>
      <c r="J95" s="75">
        <f>SUMIF(GERAL!B$8:B$1696,A95,GERAL!AX$8:AX$1696)</f>
        <v>3751</v>
      </c>
      <c r="K95" s="75">
        <f>COUNTIFS(GERAL!B$8:B$1696,A95,GERAL!AY$8:AY$1696,"&gt;0",GERAL!C$8:C$1696,"ESCOLA")</f>
        <v>5</v>
      </c>
      <c r="L95" s="75">
        <f>COUNTIFS(GERAL!B$8:B$1696,A95,GERAL!AY$8:AY$1696,"&gt;0",GERAL!C$8:C$1696,"ANEXO")</f>
        <v>1</v>
      </c>
      <c r="M95" s="100">
        <f>SUMIF(GERAL!B$8:B$1696,A95,GERAL!V$8:V$1696)+SUMIF(GERAL!B$8:B$1696,A95,GERAL!W$8:W$1696)</f>
        <v>0</v>
      </c>
      <c r="N95" s="100">
        <f>SUMIF(GERAL!B$8:B$1696,A95,GERAL!AA$8:AA$1696)+SUMIF(GERAL!B$8:B$1696,A95,GERAL!AB$8:AB$1696)</f>
        <v>251</v>
      </c>
      <c r="O95" s="100">
        <f>SUMIF(GERAL!B$8:B$1696,A95,GERAL!AF$8:AF$1696)+SUMIF(GERAL!B$8:B$1696,A95,GERAL!AG$8:AG$1696)</f>
        <v>1912</v>
      </c>
      <c r="P95" s="100">
        <f>SUMIF(GERAL!B$8:B$1696,A95,GERAL!AK$8:AK$1696)+SUMIF(GERAL!B$8:B$1696,A95,GERAL!AL$8:AL$1696)</f>
        <v>0</v>
      </c>
      <c r="Q95" s="100">
        <f>SUMIF(GERAL!B$8:B$1696,A95,GERAL!AO$8:AO$1696)+SUMIF(GERAL!B$8:B$1696,A95,GERAL!AP$8:AP$1696)</f>
        <v>0</v>
      </c>
      <c r="R95" s="100">
        <f>SUMIF(GERAL!B$8:B$1696,A95,GERAL!AS$8:AS$1696)+SUMIF(GERAL!B$8:B$1696,A95,GERAL!AT$8:AT$1696)</f>
        <v>460</v>
      </c>
      <c r="S95" s="75">
        <f t="shared" si="39"/>
        <v>2623</v>
      </c>
      <c r="T95" s="116">
        <f>COUNTIFS(GERAL!B$8:B$1696,A95,GERAL!AZ$8:AZ$1696,"&gt;0",GERAL!C$8:C$1696,"ESCOLA")</f>
        <v>4</v>
      </c>
      <c r="U95" s="75">
        <f>COUNTIFS(GERAL!B$8:B$1696,A95,GERAL!AZ$8:AZ$1696,"&gt;0",GERAL!C$8:C$1696,"ANEXO")</f>
        <v>1</v>
      </c>
      <c r="V95" s="85">
        <f>SUMIF(GERAL!B$8:B$1696,A95,GERAL!AH$8:AH$1696)</f>
        <v>54</v>
      </c>
      <c r="W95" s="85">
        <f>SUMIF(GERAL!B$8:B$1696,A95,GERAL!AM$8:AM$1696)</f>
        <v>0</v>
      </c>
      <c r="X95" s="85">
        <f>SUMIF(GERAL!B$8:B$1696,A95,GERAL!AQ$8:AQ$1696)</f>
        <v>265</v>
      </c>
      <c r="Y95" s="85">
        <f>SUMIF(GERAL!B$8:B$1696,A95,GERAL!AU$8:AU$1696)</f>
        <v>276</v>
      </c>
      <c r="Z95" s="88">
        <f t="shared" si="40"/>
        <v>595</v>
      </c>
      <c r="AA95" s="116">
        <f>COUNTIFS(GERAL!B$8:B$1696,A95,GERAL!BK$8:BK$1696,"&gt;0",GERAL!C$8:C$1696,"ESCOLA")</f>
        <v>2</v>
      </c>
      <c r="AB95" s="88">
        <f>COUNTIFS(GERAL!B$8:B$1696,A95,GERAL!BK$8:BK$1696,"&gt;0",GERAL!C$8:C$1696,"ANEXO")</f>
        <v>0</v>
      </c>
      <c r="AC95" s="121">
        <f>SUMIF(GERAL!B$8:B$1696,A95,GERAL!AD$8:AD$1696)</f>
        <v>319</v>
      </c>
      <c r="AD95" s="121">
        <f>SUMIF(GERAL!B$8:B$1696,A95,GERAL!AI$8:AI$1696)</f>
        <v>28</v>
      </c>
      <c r="AE95" s="121">
        <f>SUMIF(GERAL!B$8:B$1696,A95,GERAL!AV$8:AV$1696)</f>
        <v>186</v>
      </c>
      <c r="AF95" s="492">
        <f t="shared" si="41"/>
        <v>533</v>
      </c>
      <c r="AG95" s="178">
        <f>COUNTIFS(GERAL!B$8:B$1696,A95,GERAL!AW$8:AW$1696,"&gt;0",GERAL!C$8:C$1696,"ESCOLA")</f>
        <v>3</v>
      </c>
      <c r="AH95" s="118">
        <f>COUNTIFS(GERAL!B$8:B$1696,A95,GERAL!AW$8:AW$1696,"&gt;0",GERAL!C$8:C$1696,"ANEXO")</f>
        <v>1</v>
      </c>
      <c r="AI95" s="177">
        <f>SUMIF(GERAL!B$8:B$1696,A95,GERAL!AS$8:AS$1696)+SUMIF(GERAL!B$8:B$1696,A95,GERAL!AT$8:AT$1696)</f>
        <v>460</v>
      </c>
      <c r="AJ95" s="177">
        <f>SUMIF(GERAL!B$8:B$1696,A95,GERAL!AU$8:AU$1696)</f>
        <v>276</v>
      </c>
      <c r="AK95" s="177">
        <f>SUMIF(GERAL!B$8:B$1696,A95,GERAL!AV$8:AV$1696)</f>
        <v>186</v>
      </c>
      <c r="AL95" s="118">
        <f t="shared" si="42"/>
        <v>922</v>
      </c>
      <c r="AM95" s="493" t="s">
        <v>1785</v>
      </c>
    </row>
    <row r="96">
      <c r="A96" s="484" t="s">
        <v>4069</v>
      </c>
      <c r="B96" s="75">
        <f>COUNTIFS(GERAL!B$8:B$1696,A96,GERAL!C$8:C$1696,"ESCOLA")</f>
        <v>1</v>
      </c>
      <c r="C96" s="75">
        <f>COUNTIFS(GERAL!B$8:B$1696,A96,GERAL!C$8:C$1696,"ANEXO")</f>
        <v>0</v>
      </c>
      <c r="D96" s="85">
        <f>SUMIF(GERAL!B$8:B$1696,A96,GERAL!Z$8:Z$1696)</f>
        <v>0</v>
      </c>
      <c r="E96" s="85">
        <f>SUMIF(GERAL!B$8:B$1696,A96,GERAL!AE$8:AE$1696)</f>
        <v>0</v>
      </c>
      <c r="F96" s="85">
        <f>SUMIF(GERAL!B$8:B$1696,A96,GERAL!AJ$8:AJ$1696)</f>
        <v>418</v>
      </c>
      <c r="G96" s="85">
        <f>SUMIF(GERAL!B$8:B$1696,A96,GERAL!AN$8:AN$1696)</f>
        <v>0</v>
      </c>
      <c r="H96" s="85">
        <f>SUMIF(GERAL!B$8:B$1696,A96,GERAL!AR$8:AW$1696)</f>
        <v>46</v>
      </c>
      <c r="I96" s="85">
        <f>SUMIF(GERAL!B$8:B$1696,A96,GERAL!AW$8:AW$1696)</f>
        <v>27</v>
      </c>
      <c r="J96" s="75">
        <f>SUMIF(GERAL!B$8:B$1696,A96,GERAL!AX$8:AX$1696)</f>
        <v>491</v>
      </c>
      <c r="K96" s="75">
        <f>COUNTIFS(GERAL!B$8:B$1696,A96,GERAL!AY$8:AY$1696,"&gt;0",GERAL!C$8:C$1696,"ESCOLA")</f>
        <v>1</v>
      </c>
      <c r="L96" s="75">
        <f>COUNTIFS(GERAL!B$8:B$1696,A96,GERAL!AY$8:AY$1696,"&gt;0",GERAL!C$8:C$1696,"ANEXO")</f>
        <v>0</v>
      </c>
      <c r="M96" s="100">
        <f>SUMIF(GERAL!B$8:B$1696,A96,GERAL!V$8:V$1696)+SUMIF(GERAL!B$8:B$1696,A96,GERAL!W$8:W$1696)</f>
        <v>0</v>
      </c>
      <c r="N96" s="100">
        <f>SUMIF(GERAL!B$8:B$1696,A96,GERAL!AA$8:AA$1696)+SUMIF(GERAL!B$8:B$1696,A96,GERAL!AB$8:AB$1696)</f>
        <v>0</v>
      </c>
      <c r="O96" s="100">
        <f>SUMIF(GERAL!B$8:B$1696,A96,GERAL!AF$8:AF$1696)+SUMIF(GERAL!B$8:B$1696,A96,GERAL!AG$8:AG$1696)</f>
        <v>0</v>
      </c>
      <c r="P96" s="100">
        <f>SUMIF(GERAL!B$8:B$1696,A96,GERAL!AK$8:AK$1696)+SUMIF(GERAL!B$8:B$1696,A96,GERAL!AL$8:AL$1696)</f>
        <v>0</v>
      </c>
      <c r="Q96" s="100">
        <f>SUMIF(GERAL!B$8:B$1696,A96,GERAL!AO$8:AO$1696)+SUMIF(GERAL!B$8:B$1696,A96,GERAL!AP$8:AP$1696)</f>
        <v>0</v>
      </c>
      <c r="R96" s="100">
        <f>SUMIF(GERAL!B$8:B$1696,A96,GERAL!AS$8:AS$1696)+SUMIF(GERAL!B$8:B$1696,A96,GERAL!AT$8:AT$1696)</f>
        <v>0</v>
      </c>
      <c r="S96" s="75">
        <f t="shared" si="39"/>
        <v>0</v>
      </c>
      <c r="T96" s="116">
        <f>COUNTIFS(GERAL!B$8:B$1696,A96,GERAL!AZ$8:AZ$1696,"&gt;0",GERAL!C$8:C$1696,"ESCOLA")</f>
        <v>1</v>
      </c>
      <c r="U96" s="75">
        <f>COUNTIFS(GERAL!B$8:B$1696,A96,GERAL!AZ$8:AZ$1696,"&gt;0",GERAL!C$8:C$1696,"ANEXO")</f>
        <v>0</v>
      </c>
      <c r="V96" s="85">
        <f>SUMIF(GERAL!B$8:B$1696,A96,GERAL!AH$8:AH$1696)</f>
        <v>0</v>
      </c>
      <c r="W96" s="85">
        <f>SUMIF(GERAL!B$8:B$1696,A96,GERAL!AM$8:AM$1696)</f>
        <v>0</v>
      </c>
      <c r="X96" s="85">
        <f>SUMIF(GERAL!B$8:B$1696,A96,GERAL!AQ$8:AQ$1696)</f>
        <v>46</v>
      </c>
      <c r="Y96" s="85">
        <f>SUMIF(GERAL!B$8:B$1696,A96,GERAL!AU$8:AU$1696)</f>
        <v>27</v>
      </c>
      <c r="Z96" s="88">
        <f t="shared" si="40"/>
        <v>73</v>
      </c>
      <c r="AA96" s="116">
        <f>COUNTIFS(GERAL!B$8:B$1696,A96,GERAL!BK$8:BK$1696,"&gt;0",GERAL!C$8:C$1696,"ESCOLA")</f>
        <v>1</v>
      </c>
      <c r="AB96" s="88">
        <f>COUNTIFS(GERAL!B$8:B$1696,A96,GERAL!BK$8:BK$1696,"&gt;0",GERAL!C$8:C$1696,"ANEXO")</f>
        <v>0</v>
      </c>
      <c r="AC96" s="121">
        <f>SUMIF(GERAL!B$8:B$1696,A96,GERAL!AD$8:AD$1696)</f>
        <v>0</v>
      </c>
      <c r="AD96" s="121">
        <f>SUMIF(GERAL!B$8:B$1696,A96,GERAL!AI$8:AI$1696)</f>
        <v>418</v>
      </c>
      <c r="AE96" s="121">
        <f>SUMIF(GERAL!B$8:B$1696,A96,GERAL!AV$8:AV$1696)</f>
        <v>0</v>
      </c>
      <c r="AF96" s="492">
        <f t="shared" si="41"/>
        <v>418</v>
      </c>
      <c r="AG96" s="178">
        <f>COUNTIFS(GERAL!B$8:B$1696,A96,GERAL!AW$8:AW$1696,"&gt;0",GERAL!C$8:C$1696,"ESCOLA")</f>
        <v>1</v>
      </c>
      <c r="AH96" s="118">
        <f>COUNTIFS(GERAL!B$8:B$1696,A96,GERAL!AW$8:AW$1696,"&gt;0",GERAL!C$8:C$1696,"ANEXO")</f>
        <v>0</v>
      </c>
      <c r="AI96" s="177">
        <f>SUMIF(GERAL!B$8:B$1696,A96,GERAL!AS$8:AS$1696)+SUMIF(GERAL!B$8:B$1696,A96,GERAL!AT$8:AT$1696)</f>
        <v>0</v>
      </c>
      <c r="AJ96" s="177">
        <f>SUMIF(GERAL!B$8:B$1696,A96,GERAL!AU$8:AU$1696)</f>
        <v>27</v>
      </c>
      <c r="AK96" s="177">
        <f>SUMIF(GERAL!B$8:B$1696,A96,GERAL!AV$8:AV$1696)</f>
        <v>0</v>
      </c>
      <c r="AL96" s="118">
        <f t="shared" si="42"/>
        <v>27</v>
      </c>
      <c r="AM96" s="493" t="s">
        <v>973</v>
      </c>
    </row>
    <row r="97">
      <c r="A97" s="494" t="s">
        <v>6178</v>
      </c>
      <c r="B97" s="75">
        <f>COUNTIFS(GERAL!B$8:B$1696,A97,GERAL!C$8:C$1696,"ESCOLA")</f>
        <v>3</v>
      </c>
      <c r="C97" s="75">
        <f>COUNTIFS(GERAL!B$8:B$1696,A97,GERAL!C$8:C$1696,"ANEXO")</f>
        <v>1</v>
      </c>
      <c r="D97" s="85">
        <f>SUMIF(GERAL!B$8:B$1696,A97,GERAL!Z$8:Z$1696)</f>
        <v>0</v>
      </c>
      <c r="E97" s="85">
        <f>SUMIF(GERAL!B$8:B$1696,A97,GERAL!AE$8:AE$1696)</f>
        <v>0</v>
      </c>
      <c r="F97" s="85">
        <f>SUMIF(GERAL!B$8:B$1696,A97,GERAL!AJ$8:AJ$1696)</f>
        <v>768</v>
      </c>
      <c r="G97" s="85">
        <f>SUMIF(GERAL!B$8:B$1696,A97,GERAL!AN$8:AN$1696)</f>
        <v>0</v>
      </c>
      <c r="H97" s="85">
        <f>SUMIF(GERAL!B$8:B$1696,A97,GERAL!AR$8:AW$1696)</f>
        <v>224</v>
      </c>
      <c r="I97" s="85">
        <f>SUMIF(GERAL!B$8:B$1696,A97,GERAL!AW$8:AW$1696)</f>
        <v>58</v>
      </c>
      <c r="J97" s="75">
        <f>SUMIF(GERAL!B$8:B$1696,A97,GERAL!AX$8:AX$1696)</f>
        <v>1050</v>
      </c>
      <c r="K97" s="75">
        <f>COUNTIFS(GERAL!B$8:B$1696,A97,GERAL!AY$8:AY$1696,"&gt;0",GERAL!C$8:C$1696,"ESCOLA")</f>
        <v>3</v>
      </c>
      <c r="L97" s="75">
        <f>COUNTIFS(GERAL!B$8:B$1696,A97,GERAL!AY$8:AY$1696,"&gt;0",GERAL!C$8:C$1696,"ANEXO")</f>
        <v>0</v>
      </c>
      <c r="M97" s="100">
        <f>SUMIF(GERAL!B$8:B$1696,A97,GERAL!V$8:V$1696)+SUMIF(GERAL!B$8:B$1696,A97,GERAL!W$8:W$1696)</f>
        <v>0</v>
      </c>
      <c r="N97" s="100">
        <f>SUMIF(GERAL!B$8:B$1696,A97,GERAL!AA$8:AA$1696)+SUMIF(GERAL!B$8:B$1696,A97,GERAL!AB$8:AB$1696)</f>
        <v>0</v>
      </c>
      <c r="O97" s="100">
        <f>SUMIF(GERAL!B$8:B$1696,A97,GERAL!AF$8:AF$1696)+SUMIF(GERAL!B$8:B$1696,A97,GERAL!AG$8:AG$1696)</f>
        <v>370</v>
      </c>
      <c r="P97" s="100">
        <f>SUMIF(GERAL!B$8:B$1696,A97,GERAL!AK$8:AK$1696)+SUMIF(GERAL!B$8:B$1696,A97,GERAL!AL$8:AL$1696)</f>
        <v>0</v>
      </c>
      <c r="Q97" s="100">
        <f>SUMIF(GERAL!B$8:B$1696,A97,GERAL!AO$8:AO$1696)+SUMIF(GERAL!B$8:B$1696,A97,GERAL!AP$8:AP$1696)</f>
        <v>0</v>
      </c>
      <c r="R97" s="100">
        <f>SUMIF(GERAL!B$8:B$1696,A97,GERAL!AS$8:AS$1696)+SUMIF(GERAL!B$8:B$1696,A97,GERAL!AT$8:AT$1696)</f>
        <v>0</v>
      </c>
      <c r="S97" s="75">
        <f t="shared" si="39"/>
        <v>370</v>
      </c>
      <c r="T97" s="116">
        <f>COUNTIFS(GERAL!B$8:B$1696,A97,GERAL!AZ$8:AZ$1696,"&gt;0",GERAL!C$8:C$1696,"ESCOLA")</f>
        <v>3</v>
      </c>
      <c r="U97" s="75">
        <f>COUNTIFS(GERAL!B$8:B$1696,A97,GERAL!AZ$8:AZ$1696,"&gt;0",GERAL!C$8:C$1696,"ANEXO")</f>
        <v>1</v>
      </c>
      <c r="V97" s="85">
        <f>SUMIF(GERAL!B$8:B$1696,A97,GERAL!AH$8:AH$1696)</f>
        <v>13</v>
      </c>
      <c r="W97" s="85">
        <f>SUMIF(GERAL!B$8:B$1696,A97,GERAL!AM$8:AM$1696)</f>
        <v>0</v>
      </c>
      <c r="X97" s="85">
        <f>SUMIF(GERAL!B$8:B$1696,A97,GERAL!AQ$8:AQ$1696)</f>
        <v>224</v>
      </c>
      <c r="Y97" s="85">
        <f>SUMIF(GERAL!B$8:B$1696,A97,GERAL!AU$8:AU$1696)</f>
        <v>0</v>
      </c>
      <c r="Z97" s="88">
        <f t="shared" si="40"/>
        <v>237</v>
      </c>
      <c r="AA97" s="116">
        <f>COUNTIFS(GERAL!B$8:B$1696,A97,GERAL!BK$8:BK$1696,"&gt;0",GERAL!C$8:C$1696,"ESCOLA")</f>
        <v>3</v>
      </c>
      <c r="AB97" s="88">
        <f>COUNTIFS(GERAL!B$8:B$1696,A97,GERAL!BK$8:BK$1696,"&gt;0",GERAL!C$8:C$1696,"ANEXO")</f>
        <v>0</v>
      </c>
      <c r="AC97" s="121">
        <f>SUMIF(GERAL!B$8:B$1696,A97,GERAL!AD$8:AD$1696)</f>
        <v>0</v>
      </c>
      <c r="AD97" s="121">
        <f>SUMIF(GERAL!B$8:B$1696,A97,GERAL!AI$8:AI$1696)</f>
        <v>385</v>
      </c>
      <c r="AE97" s="121">
        <f>SUMIF(GERAL!B$8:B$1696,A97,GERAL!AV$8:AV$1696)</f>
        <v>58</v>
      </c>
      <c r="AF97" s="492">
        <f t="shared" si="41"/>
        <v>443</v>
      </c>
      <c r="AG97" s="178">
        <f>COUNTIFS(GERAL!B$8:B$1696,A97,GERAL!AW$8:AW$1696,"&gt;0",GERAL!C$8:C$1696,"ESCOLA")</f>
        <v>1</v>
      </c>
      <c r="AH97" s="118">
        <f>COUNTIFS(GERAL!B$8:B$1696,A97,GERAL!AW$8:AW$1696,"&gt;0",GERAL!C$8:C$1696,"ANEXO")</f>
        <v>0</v>
      </c>
      <c r="AI97" s="177">
        <f>SUMIF(GERAL!B$8:B$1696,A97,GERAL!AS$8:AS$1696)+SUMIF(GERAL!B$8:B$1696,A97,GERAL!AT$8:AT$1696)</f>
        <v>0</v>
      </c>
      <c r="AJ97" s="177">
        <f>SUMIF(GERAL!B$8:B$1696,A97,GERAL!AU$8:AU$1696)</f>
        <v>0</v>
      </c>
      <c r="AK97" s="177">
        <f>SUMIF(GERAL!B$8:B$1696,A97,GERAL!AV$8:AV$1696)</f>
        <v>58</v>
      </c>
      <c r="AL97" s="118">
        <f t="shared" si="42"/>
        <v>58</v>
      </c>
      <c r="AM97" s="493" t="s">
        <v>1393</v>
      </c>
    </row>
    <row r="98">
      <c r="A98" s="484" t="s">
        <v>1110</v>
      </c>
      <c r="B98" s="75">
        <f>COUNTIFS(GERAL!B$8:B$1696,A98,GERAL!C$8:C$1696,"ESCOLA")</f>
        <v>2</v>
      </c>
      <c r="C98" s="75">
        <f>COUNTIFS(GERAL!B$8:B$1696,A98,GERAL!C$8:C$1696,"ANEXO")</f>
        <v>1</v>
      </c>
      <c r="D98" s="85">
        <f>SUMIF(GERAL!B$8:B$1696,A98,GERAL!Z$8:Z$1696)</f>
        <v>0</v>
      </c>
      <c r="E98" s="85">
        <f>SUMIF(GERAL!B$8:B$1696,A98,GERAL!AE$8:AE$1696)</f>
        <v>0</v>
      </c>
      <c r="F98" s="85">
        <f>SUMIF(GERAL!B$8:B$1696,A98,GERAL!AJ$8:AJ$1696)</f>
        <v>857</v>
      </c>
      <c r="G98" s="85">
        <f>SUMIF(GERAL!B$8:B$1696,A98,GERAL!AN$8:AN$1696)</f>
        <v>0</v>
      </c>
      <c r="H98" s="85">
        <f>SUMIF(GERAL!B$8:B$1696,A98,GERAL!AR$8:AW$1696)</f>
        <v>174</v>
      </c>
      <c r="I98" s="85">
        <f>SUMIF(GERAL!B$8:B$1696,A98,GERAL!AW$8:AW$1696)</f>
        <v>330</v>
      </c>
      <c r="J98" s="75">
        <f>SUMIF(GERAL!B$8:B$1696,A98,GERAL!AX$8:AX$1696)</f>
        <v>1361</v>
      </c>
      <c r="K98" s="75">
        <f>COUNTIFS(GERAL!B$8:B$1696,A98,GERAL!AY$8:AY$1696,"&gt;0",GERAL!C$8:C$1696,"ESCOLA")</f>
        <v>2</v>
      </c>
      <c r="L98" s="75">
        <f>COUNTIFS(GERAL!B$8:B$1696,A98,GERAL!AY$8:AY$1696,"&gt;0",GERAL!C$8:C$1696,"ANEXO")</f>
        <v>1</v>
      </c>
      <c r="M98" s="100">
        <f>SUMIF(GERAL!B$8:B$1696,A98,GERAL!V$8:V$1696)+SUMIF(GERAL!B$8:B$1696,A98,GERAL!W$8:W$1696)</f>
        <v>0</v>
      </c>
      <c r="N98" s="100">
        <f>SUMIF(GERAL!B$8:B$1696,A98,GERAL!AA$8:AA$1696)+SUMIF(GERAL!B$8:B$1696,A98,GERAL!AB$8:AB$1696)</f>
        <v>0</v>
      </c>
      <c r="O98" s="100">
        <f>SUMIF(GERAL!B$8:B$1696,A98,GERAL!AF$8:AF$1696)+SUMIF(GERAL!B$8:B$1696,A98,GERAL!AG$8:AG$1696)</f>
        <v>452</v>
      </c>
      <c r="P98" s="100">
        <f>SUMIF(GERAL!B$8:B$1696,A98,GERAL!AK$8:AK$1696)+SUMIF(GERAL!B$8:B$1696,A98,GERAL!AL$8:AL$1696)</f>
        <v>0</v>
      </c>
      <c r="Q98" s="100">
        <f>SUMIF(GERAL!B$8:B$1696,A98,GERAL!AO$8:AO$1696)+SUMIF(GERAL!B$8:B$1696,A98,GERAL!AP$8:AP$1696)</f>
        <v>0</v>
      </c>
      <c r="R98" s="100">
        <f>SUMIF(GERAL!B$8:B$1696,A98,GERAL!AS$8:AS$1696)+SUMIF(GERAL!B$8:B$1696,A98,GERAL!AT$8:AT$1696)</f>
        <v>258</v>
      </c>
      <c r="S98" s="75">
        <f t="shared" si="39"/>
        <v>710</v>
      </c>
      <c r="T98" s="116">
        <f>COUNTIFS(GERAL!B$8:B$1696,A98,GERAL!AZ$8:AZ$1696,"&gt;0",GERAL!C$8:C$1696,"ESCOLA")</f>
        <v>2</v>
      </c>
      <c r="U98" s="75">
        <f>COUNTIFS(GERAL!B$8:B$1696,A98,GERAL!AZ$8:AZ$1696,"&gt;0",GERAL!C$8:C$1696,"ANEXO")</f>
        <v>0</v>
      </c>
      <c r="V98" s="85">
        <f>SUMIF(GERAL!B$8:B$1696,A98,GERAL!AH$8:AH$1696)</f>
        <v>0</v>
      </c>
      <c r="W98" s="85">
        <f>SUMIF(GERAL!B$8:B$1696,A98,GERAL!AM$8:AM$1696)</f>
        <v>0</v>
      </c>
      <c r="X98" s="85">
        <f>SUMIF(GERAL!B$8:B$1696,A98,GERAL!AQ$8:AQ$1696)</f>
        <v>174</v>
      </c>
      <c r="Y98" s="85">
        <f>SUMIF(GERAL!B$8:B$1696,A98,GERAL!AU$8:AU$1696)</f>
        <v>72</v>
      </c>
      <c r="Z98" s="88">
        <f t="shared" si="40"/>
        <v>246</v>
      </c>
      <c r="AA98" s="116">
        <f>COUNTIFS(GERAL!B$8:B$1696,A98,GERAL!BK$8:BK$1696,"&gt;0",GERAL!C$8:C$1696,"ESCOLA")</f>
        <v>1</v>
      </c>
      <c r="AB98" s="88">
        <f>COUNTIFS(GERAL!B$8:B$1696,A98,GERAL!BK$8:BK$1696,"&gt;0",GERAL!C$8:C$1696,"ANEXO")</f>
        <v>0</v>
      </c>
      <c r="AC98" s="121">
        <f>SUMIF(GERAL!B$8:B$1696,A98,GERAL!AD$8:AD$1696)</f>
        <v>0</v>
      </c>
      <c r="AD98" s="121">
        <f>SUMIF(GERAL!B$8:B$1696,A98,GERAL!AI$8:AI$1696)</f>
        <v>405</v>
      </c>
      <c r="AE98" s="121">
        <f>SUMIF(GERAL!B$8:B$1696,A98,GERAL!AV$8:AV$1696)</f>
        <v>0</v>
      </c>
      <c r="AF98" s="492">
        <f t="shared" si="41"/>
        <v>405</v>
      </c>
      <c r="AG98" s="178">
        <f>COUNTIFS(GERAL!B$8:B$1696,A98,GERAL!AW$8:AW$1696,"&gt;0",GERAL!C$8:C$1696,"ESCOLA")</f>
        <v>2</v>
      </c>
      <c r="AH98" s="118">
        <f>COUNTIFS(GERAL!B$8:B$1696,A98,GERAL!AW$8:AW$1696,"&gt;0",GERAL!C$8:C$1696,"ANEXO")</f>
        <v>0</v>
      </c>
      <c r="AI98" s="177">
        <f>SUMIF(GERAL!B$8:B$1696,A98,GERAL!AS$8:AS$1696)+SUMIF(GERAL!B$8:B$1696,A98,GERAL!AT$8:AT$1696)</f>
        <v>258</v>
      </c>
      <c r="AJ98" s="177">
        <f>SUMIF(GERAL!B$8:B$1696,A98,GERAL!AU$8:AU$1696)</f>
        <v>72</v>
      </c>
      <c r="AK98" s="177">
        <f>SUMIF(GERAL!B$8:B$1696,A98,GERAL!AV$8:AV$1696)</f>
        <v>0</v>
      </c>
      <c r="AL98" s="118">
        <f t="shared" si="42"/>
        <v>330</v>
      </c>
      <c r="AM98" s="493" t="s">
        <v>383</v>
      </c>
    </row>
    <row r="99">
      <c r="A99" s="494" t="s">
        <v>2911</v>
      </c>
      <c r="B99" s="75">
        <f>COUNTIFS(GERAL!B$8:B$1696,A99,GERAL!C$8:C$1696,"ESCOLA")</f>
        <v>1</v>
      </c>
      <c r="C99" s="75">
        <f>COUNTIFS(GERAL!B$8:B$1696,A99,GERAL!C$8:C$1696,"ANEXO")</f>
        <v>1</v>
      </c>
      <c r="D99" s="85">
        <f>SUMIF(GERAL!B$8:B$1696,A99,GERAL!Z$8:Z$1696)</f>
        <v>0</v>
      </c>
      <c r="E99" s="85">
        <f>SUMIF(GERAL!B$8:B$1696,A99,GERAL!AE$8:AE$1696)</f>
        <v>0</v>
      </c>
      <c r="F99" s="85">
        <f>SUMIF(GERAL!B$8:B$1696,A99,GERAL!AJ$8:AJ$1696)</f>
        <v>506</v>
      </c>
      <c r="G99" s="85">
        <f>SUMIF(GERAL!B$8:B$1696,A99,GERAL!AN$8:AN$1696)</f>
        <v>0</v>
      </c>
      <c r="H99" s="85">
        <f>SUMIF(GERAL!B$8:B$1696,A99,GERAL!AR$8:AW$1696)</f>
        <v>115</v>
      </c>
      <c r="I99" s="85">
        <f>SUMIF(GERAL!B$8:B$1696,A99,GERAL!AW$8:AW$1696)</f>
        <v>90</v>
      </c>
      <c r="J99" s="75">
        <f>SUMIF(GERAL!B$8:B$1696,A99,GERAL!AX$8:AX$1696)</f>
        <v>711</v>
      </c>
      <c r="K99" s="75">
        <f>COUNTIFS(GERAL!B$8:B$1696,A99,GERAL!AY$8:AY$1696,"&gt;0",GERAL!C$8:C$1696,"ESCOLA")</f>
        <v>1</v>
      </c>
      <c r="L99" s="75">
        <f>COUNTIFS(GERAL!B$8:B$1696,A99,GERAL!AY$8:AY$1696,"&gt;0",GERAL!C$8:C$1696,"ANEXO")</f>
        <v>1</v>
      </c>
      <c r="M99" s="100">
        <f>SUMIF(GERAL!B$8:B$1696,A99,GERAL!V$8:V$1696)+SUMIF(GERAL!B$8:B$1696,A99,GERAL!W$8:W$1696)</f>
        <v>0</v>
      </c>
      <c r="N99" s="100">
        <f>SUMIF(GERAL!B$8:B$1696,A99,GERAL!AA$8:AA$1696)+SUMIF(GERAL!B$8:B$1696,A99,GERAL!AB$8:AB$1696)</f>
        <v>0</v>
      </c>
      <c r="O99" s="100">
        <f>SUMIF(GERAL!B$8:B$1696,A99,GERAL!AF$8:AF$1696)+SUMIF(GERAL!B$8:B$1696,A99,GERAL!AG$8:AG$1696)</f>
        <v>506</v>
      </c>
      <c r="P99" s="100">
        <f>SUMIF(GERAL!B$8:B$1696,A99,GERAL!AK$8:AK$1696)+SUMIF(GERAL!B$8:B$1696,A99,GERAL!AL$8:AL$1696)</f>
        <v>0</v>
      </c>
      <c r="Q99" s="100">
        <f>SUMIF(GERAL!B$8:B$1696,A99,GERAL!AO$8:AO$1696)+SUMIF(GERAL!B$8:B$1696,A99,GERAL!AP$8:AP$1696)</f>
        <v>0</v>
      </c>
      <c r="R99" s="100">
        <f>SUMIF(GERAL!B$8:B$1696,A99,GERAL!AS$8:AS$1696)+SUMIF(GERAL!B$8:B$1696,A99,GERAL!AT$8:AT$1696)</f>
        <v>90</v>
      </c>
      <c r="S99" s="75">
        <f t="shared" si="39"/>
        <v>596</v>
      </c>
      <c r="T99" s="116">
        <f>COUNTIFS(GERAL!B$8:B$1696,A99,GERAL!AZ$8:AZ$1696,"&gt;0",GERAL!C$8:C$1696,"ESCOLA")</f>
        <v>1</v>
      </c>
      <c r="U99" s="75">
        <f>COUNTIFS(GERAL!B$8:B$1696,A99,GERAL!AZ$8:AZ$1696,"&gt;0",GERAL!C$8:C$1696,"ANEXO")</f>
        <v>0</v>
      </c>
      <c r="V99" s="85">
        <f>SUMIF(GERAL!B$8:B$1696,A99,GERAL!AH$8:AH$1696)</f>
        <v>0</v>
      </c>
      <c r="W99" s="85">
        <f>SUMIF(GERAL!B$8:B$1696,A99,GERAL!AM$8:AM$1696)</f>
        <v>0</v>
      </c>
      <c r="X99" s="85">
        <f>SUMIF(GERAL!B$8:B$1696,A99,GERAL!AQ$8:AQ$1696)</f>
        <v>115</v>
      </c>
      <c r="Y99" s="85">
        <f>SUMIF(GERAL!B$8:B$1696,A99,GERAL!AU$8:AU$1696)</f>
        <v>0</v>
      </c>
      <c r="Z99" s="88">
        <f t="shared" si="40"/>
        <v>115</v>
      </c>
      <c r="AA99" s="116">
        <f>COUNTIFS(GERAL!B$8:B$1696,A99,GERAL!BK$8:BK$1696,"&gt;0",GERAL!C$8:C$1696,"ESCOLA")</f>
        <v>0</v>
      </c>
      <c r="AB99" s="88">
        <f>COUNTIFS(GERAL!B$8:B$1696,A99,GERAL!BK$8:BK$1696,"&gt;0",GERAL!C$8:C$1696,"ANEXO")</f>
        <v>0</v>
      </c>
      <c r="AC99" s="121">
        <f>SUMIF(GERAL!B$8:B$1696,A99,GERAL!AD$8:AD$1696)</f>
        <v>0</v>
      </c>
      <c r="AD99" s="121">
        <f>SUMIF(GERAL!B$8:B$1696,A99,GERAL!AI$8:AI$1696)</f>
        <v>0</v>
      </c>
      <c r="AE99" s="121">
        <f>SUMIF(GERAL!B$8:B$1696,A99,GERAL!AV$8:AV$1696)</f>
        <v>0</v>
      </c>
      <c r="AF99" s="492">
        <f t="shared" si="41"/>
        <v>0</v>
      </c>
      <c r="AG99" s="178">
        <f>COUNTIFS(GERAL!B$8:B$1696,A99,GERAL!AW$8:AW$1696,"&gt;0",GERAL!C$8:C$1696,"ESCOLA")</f>
        <v>1</v>
      </c>
      <c r="AH99" s="118">
        <f>COUNTIFS(GERAL!B$8:B$1696,A99,GERAL!AW$8:AW$1696,"&gt;0",GERAL!C$8:C$1696,"ANEXO")</f>
        <v>0</v>
      </c>
      <c r="AI99" s="177">
        <f>SUMIF(GERAL!B$8:B$1696,A99,GERAL!AS$8:AS$1696)+SUMIF(GERAL!B$8:B$1696,A99,GERAL!AT$8:AT$1696)</f>
        <v>90</v>
      </c>
      <c r="AJ99" s="177">
        <f>SUMIF(GERAL!B$8:B$1696,A99,GERAL!AU$8:AU$1696)</f>
        <v>0</v>
      </c>
      <c r="AK99" s="177">
        <f>SUMIF(GERAL!B$8:B$1696,A99,GERAL!AV$8:AV$1696)</f>
        <v>0</v>
      </c>
      <c r="AL99" s="118">
        <f t="shared" si="42"/>
        <v>90</v>
      </c>
      <c r="AM99" s="493" t="s">
        <v>796</v>
      </c>
    </row>
    <row r="100">
      <c r="A100" s="484" t="s">
        <v>4536</v>
      </c>
      <c r="B100" s="75">
        <f>COUNTIFS(GERAL!B$8:B$1696,A100,GERAL!C$8:C$1696,"ESCOLA")</f>
        <v>1</v>
      </c>
      <c r="C100" s="75">
        <f>COUNTIFS(GERAL!B$8:B$1696,A100,GERAL!C$8:C$1696,"ANEXO")</f>
        <v>0</v>
      </c>
      <c r="D100" s="85">
        <f>SUMIF(GERAL!B$8:B$1696,A100,GERAL!Z$8:Z$1696)</f>
        <v>0</v>
      </c>
      <c r="E100" s="85">
        <f>SUMIF(GERAL!B$8:B$1696,A100,GERAL!AE$8:AE$1696)</f>
        <v>0</v>
      </c>
      <c r="F100" s="85">
        <f>SUMIF(GERAL!B$8:B$1696,A100,GERAL!AJ$8:AJ$1696)</f>
        <v>227</v>
      </c>
      <c r="G100" s="85">
        <f>SUMIF(GERAL!B$8:B$1696,A100,GERAL!AN$8:AN$1696)</f>
        <v>0</v>
      </c>
      <c r="H100" s="85">
        <f>SUMIF(GERAL!B$8:B$1696,A100,GERAL!AR$8:AW$1696)</f>
        <v>70</v>
      </c>
      <c r="I100" s="85">
        <f>SUMIF(GERAL!B$8:B$1696,A100,GERAL!AW$8:AW$1696)</f>
        <v>39</v>
      </c>
      <c r="J100" s="75">
        <f>SUMIF(GERAL!B$8:B$1696,A100,GERAL!AX$8:AX$1696)</f>
        <v>336</v>
      </c>
      <c r="K100" s="75">
        <f>COUNTIFS(GERAL!B$8:B$1696,A100,GERAL!AY$8:AY$1696,"&gt;0",GERAL!C$8:C$1696,"ESCOLA")</f>
        <v>1</v>
      </c>
      <c r="L100" s="75">
        <f>COUNTIFS(GERAL!B$8:B$1696,A100,GERAL!AY$8:AY$1696,"&gt;0",GERAL!C$8:C$1696,"ANEXO")</f>
        <v>0</v>
      </c>
      <c r="M100" s="100">
        <f>SUMIF(GERAL!B$8:B$1696,A100,GERAL!V$8:V$1696)+SUMIF(GERAL!B$8:B$1696,A100,GERAL!W$8:W$1696)</f>
        <v>0</v>
      </c>
      <c r="N100" s="100">
        <f>SUMIF(GERAL!B$8:B$1696,A100,GERAL!AA$8:AA$1696)+SUMIF(GERAL!B$8:B$1696,A100,GERAL!AB$8:AB$1696)</f>
        <v>0</v>
      </c>
      <c r="O100" s="100">
        <f>SUMIF(GERAL!B$8:B$1696,A100,GERAL!AF$8:AF$1696)+SUMIF(GERAL!B$8:B$1696,A100,GERAL!AG$8:AG$1696)</f>
        <v>0</v>
      </c>
      <c r="P100" s="100">
        <f>SUMIF(GERAL!B$8:B$1696,A100,GERAL!AK$8:AK$1696)+SUMIF(GERAL!B$8:B$1696,A100,GERAL!AL$8:AL$1696)</f>
        <v>0</v>
      </c>
      <c r="Q100" s="100">
        <f>SUMIF(GERAL!B$8:B$1696,A100,GERAL!AO$8:AO$1696)+SUMIF(GERAL!B$8:B$1696,A100,GERAL!AP$8:AP$1696)</f>
        <v>0</v>
      </c>
      <c r="R100" s="100">
        <f>SUMIF(GERAL!B$8:B$1696,A100,GERAL!AS$8:AS$1696)+SUMIF(GERAL!B$8:B$1696,A100,GERAL!AT$8:AT$1696)</f>
        <v>0</v>
      </c>
      <c r="S100" s="75">
        <f t="shared" si="39"/>
        <v>0</v>
      </c>
      <c r="T100" s="116">
        <f>COUNTIFS(GERAL!B$8:B$1696,A100,GERAL!AZ$8:AZ$1696,"&gt;0",GERAL!C$8:C$1696,"ESCOLA")</f>
        <v>1</v>
      </c>
      <c r="U100" s="75">
        <f>COUNTIFS(GERAL!B$8:B$1696,A100,GERAL!AZ$8:AZ$1696,"&gt;0",GERAL!C$8:C$1696,"ANEXO")</f>
        <v>0</v>
      </c>
      <c r="V100" s="85">
        <f>SUMIF(GERAL!B$8:B$1696,A100,GERAL!AH$8:AH$1696)</f>
        <v>0</v>
      </c>
      <c r="W100" s="85">
        <f>SUMIF(GERAL!B$8:B$1696,A100,GERAL!AM$8:AM$1696)</f>
        <v>0</v>
      </c>
      <c r="X100" s="85">
        <f>SUMIF(GERAL!B$8:B$1696,A100,GERAL!AQ$8:AQ$1696)</f>
        <v>70</v>
      </c>
      <c r="Y100" s="85">
        <f>SUMIF(GERAL!B$8:B$1696,A100,GERAL!AU$8:AU$1696)</f>
        <v>0</v>
      </c>
      <c r="Z100" s="88">
        <f t="shared" si="40"/>
        <v>70</v>
      </c>
      <c r="AA100" s="116">
        <f>COUNTIFS(GERAL!B$8:B$1696,A100,GERAL!BK$8:BK$1696,"&gt;0",GERAL!C$8:C$1696,"ESCOLA")</f>
        <v>1</v>
      </c>
      <c r="AB100" s="88">
        <f>COUNTIFS(GERAL!B$8:B$1696,A100,GERAL!BK$8:BK$1696,"&gt;0",GERAL!C$8:C$1696,"ANEXO")</f>
        <v>0</v>
      </c>
      <c r="AC100" s="121">
        <f>SUMIF(GERAL!B$8:B$1696,A100,GERAL!AD$8:AD$1696)</f>
        <v>0</v>
      </c>
      <c r="AD100" s="121">
        <f>SUMIF(GERAL!B$8:B$1696,A100,GERAL!AI$8:AI$1696)</f>
        <v>227</v>
      </c>
      <c r="AE100" s="121">
        <f>SUMIF(GERAL!B$8:B$1696,A100,GERAL!AV$8:AV$1696)</f>
        <v>39</v>
      </c>
      <c r="AF100" s="492">
        <f t="shared" si="41"/>
        <v>266</v>
      </c>
      <c r="AG100" s="178">
        <f>COUNTIFS(GERAL!B$8:B$1696,A100,GERAL!AW$8:AW$1696,"&gt;0",GERAL!C$8:C$1696,"ESCOLA")</f>
        <v>1</v>
      </c>
      <c r="AH100" s="118">
        <f>COUNTIFS(GERAL!B$8:B$1696,A100,GERAL!AW$8:AW$1696,"&gt;0",GERAL!C$8:C$1696,"ANEXO")</f>
        <v>0</v>
      </c>
      <c r="AI100" s="177">
        <f>SUMIF(GERAL!B$8:B$1696,A100,GERAL!AS$8:AS$1696)+SUMIF(GERAL!B$8:B$1696,A100,GERAL!AT$8:AT$1696)</f>
        <v>0</v>
      </c>
      <c r="AJ100" s="177">
        <f>SUMIF(GERAL!B$8:B$1696,A100,GERAL!AU$8:AU$1696)</f>
        <v>0</v>
      </c>
      <c r="AK100" s="177">
        <f>SUMIF(GERAL!B$8:B$1696,A100,GERAL!AV$8:AV$1696)</f>
        <v>39</v>
      </c>
      <c r="AL100" s="118">
        <f t="shared" si="42"/>
        <v>39</v>
      </c>
      <c r="AM100" s="493" t="s">
        <v>1090</v>
      </c>
    </row>
    <row r="101">
      <c r="A101" s="494" t="s">
        <v>2332</v>
      </c>
      <c r="B101" s="75">
        <f>COUNTIFS(GERAL!B$8:B$1696,A101,GERAL!C$8:C$1696,"ESCOLA")</f>
        <v>2</v>
      </c>
      <c r="C101" s="75">
        <f>COUNTIFS(GERAL!B$8:B$1696,A101,GERAL!C$8:C$1696,"ANEXO")</f>
        <v>0</v>
      </c>
      <c r="D101" s="85">
        <f>SUMIF(GERAL!B$8:B$1696,A101,GERAL!Z$8:Z$1696)</f>
        <v>0</v>
      </c>
      <c r="E101" s="85">
        <f>SUMIF(GERAL!B$8:B$1696,A101,GERAL!AE$8:AE$1696)</f>
        <v>0</v>
      </c>
      <c r="F101" s="85">
        <f>SUMIF(GERAL!B$8:B$1696,A101,GERAL!AJ$8:AJ$1696)</f>
        <v>491</v>
      </c>
      <c r="G101" s="85">
        <f>SUMIF(GERAL!B$8:B$1696,A101,GERAL!AN$8:AN$1696)</f>
        <v>0</v>
      </c>
      <c r="H101" s="85">
        <f>SUMIF(GERAL!B$8:B$1696,A101,GERAL!AR$8:AW$1696)</f>
        <v>380</v>
      </c>
      <c r="I101" s="85">
        <f>SUMIF(GERAL!B$8:B$1696,A101,GERAL!AW$8:AW$1696)</f>
        <v>845</v>
      </c>
      <c r="J101" s="75">
        <f>SUMIF(GERAL!B$8:B$1696,A101,GERAL!AX$8:AX$1696)</f>
        <v>1716</v>
      </c>
      <c r="K101" s="75">
        <f>COUNTIFS(GERAL!B$8:B$1696,A101,GERAL!AY$8:AY$1696,"&gt;0",GERAL!C$8:C$1696,"ESCOLA")</f>
        <v>2</v>
      </c>
      <c r="L101" s="75">
        <f>COUNTIFS(GERAL!B$8:B$1696,A101,GERAL!AY$8:AY$1696,"&gt;0",GERAL!C$8:C$1696,"ANEXO")</f>
        <v>0</v>
      </c>
      <c r="M101" s="100">
        <f>SUMIF(GERAL!B$8:B$1696,A101,GERAL!V$8:V$1696)+SUMIF(GERAL!B$8:B$1696,A101,GERAL!W$8:W$1696)</f>
        <v>0</v>
      </c>
      <c r="N101" s="100">
        <f>SUMIF(GERAL!B$8:B$1696,A101,GERAL!AA$8:AA$1696)+SUMIF(GERAL!B$8:B$1696,A101,GERAL!AB$8:AB$1696)</f>
        <v>0</v>
      </c>
      <c r="O101" s="100">
        <f>SUMIF(GERAL!B$8:B$1696,A101,GERAL!AF$8:AF$1696)+SUMIF(GERAL!B$8:B$1696,A101,GERAL!AG$8:AG$1696)</f>
        <v>216</v>
      </c>
      <c r="P101" s="100">
        <f>SUMIF(GERAL!B$8:B$1696,A101,GERAL!AK$8:AK$1696)+SUMIF(GERAL!B$8:B$1696,A101,GERAL!AL$8:AL$1696)</f>
        <v>0</v>
      </c>
      <c r="Q101" s="100">
        <f>SUMIF(GERAL!B$8:B$1696,A101,GERAL!AO$8:AO$1696)+SUMIF(GERAL!B$8:B$1696,A101,GERAL!AP$8:AP$1696)</f>
        <v>0</v>
      </c>
      <c r="R101" s="100">
        <f>SUMIF(GERAL!B$8:B$1696,A101,GERAL!AS$8:AS$1696)+SUMIF(GERAL!B$8:B$1696,A101,GERAL!AT$8:AT$1696)</f>
        <v>721</v>
      </c>
      <c r="S101" s="75">
        <f t="shared" si="39"/>
        <v>937</v>
      </c>
      <c r="T101" s="116">
        <f>COUNTIFS(GERAL!B$8:B$1696,A101,GERAL!AZ$8:AZ$1696,"&gt;0",GERAL!C$8:C$1696,"ESCOLA")</f>
        <v>2</v>
      </c>
      <c r="U101" s="75">
        <f>COUNTIFS(GERAL!B$8:B$1696,A101,GERAL!AZ$8:AZ$1696,"&gt;0",GERAL!C$8:C$1696,"ANEXO")</f>
        <v>0</v>
      </c>
      <c r="V101" s="85">
        <f>SUMIF(GERAL!B$8:B$1696,A101,GERAL!AH$8:AH$1696)</f>
        <v>0</v>
      </c>
      <c r="W101" s="85">
        <f>SUMIF(GERAL!B$8:B$1696,A101,GERAL!AM$8:AM$1696)</f>
        <v>0</v>
      </c>
      <c r="X101" s="85">
        <f>SUMIF(GERAL!B$8:B$1696,A101,GERAL!AQ$8:AQ$1696)</f>
        <v>380</v>
      </c>
      <c r="Y101" s="85">
        <f>SUMIF(GERAL!B$8:B$1696,A101,GERAL!AU$8:AU$1696)</f>
        <v>124</v>
      </c>
      <c r="Z101" s="88">
        <f t="shared" si="40"/>
        <v>504</v>
      </c>
      <c r="AA101" s="116">
        <f>COUNTIFS(GERAL!B$8:B$1696,A101,GERAL!BK$8:BK$1696,"&gt;0",GERAL!C$8:C$1696,"ESCOLA")</f>
        <v>1</v>
      </c>
      <c r="AB101" s="88">
        <f>COUNTIFS(GERAL!B$8:B$1696,A101,GERAL!BK$8:BK$1696,"&gt;0",GERAL!C$8:C$1696,"ANEXO")</f>
        <v>0</v>
      </c>
      <c r="AC101" s="121">
        <f>SUMIF(GERAL!B$8:B$1696,A101,GERAL!AD$8:AD$1696)</f>
        <v>0</v>
      </c>
      <c r="AD101" s="121">
        <f>SUMIF(GERAL!B$8:B$1696,A101,GERAL!AI$8:AI$1696)</f>
        <v>275</v>
      </c>
      <c r="AE101" s="121">
        <f>SUMIF(GERAL!B$8:B$1696,A101,GERAL!AV$8:AV$1696)</f>
        <v>0</v>
      </c>
      <c r="AF101" s="492">
        <f t="shared" si="41"/>
        <v>275</v>
      </c>
      <c r="AG101" s="178">
        <f>COUNTIFS(GERAL!B$8:B$1696,A101,GERAL!AW$8:AW$1696,"&gt;0",GERAL!C$8:C$1696,"ESCOLA")</f>
        <v>1</v>
      </c>
      <c r="AH101" s="118">
        <f>COUNTIFS(GERAL!B$8:B$1696,A101,GERAL!AW$8:AW$1696,"&gt;0",GERAL!C$8:C$1696,"ANEXO")</f>
        <v>0</v>
      </c>
      <c r="AI101" s="177">
        <f>SUMIF(GERAL!B$8:B$1696,A101,GERAL!AS$8:AS$1696)+SUMIF(GERAL!B$8:B$1696,A101,GERAL!AT$8:AT$1696)</f>
        <v>721</v>
      </c>
      <c r="AJ101" s="177">
        <f>SUMIF(GERAL!B$8:B$1696,A101,GERAL!AU$8:AU$1696)</f>
        <v>124</v>
      </c>
      <c r="AK101" s="177">
        <f>SUMIF(GERAL!B$8:B$1696,A101,GERAL!AV$8:AV$1696)</f>
        <v>0</v>
      </c>
      <c r="AL101" s="118">
        <f t="shared" si="42"/>
        <v>845</v>
      </c>
      <c r="AM101" s="493" t="s">
        <v>1090</v>
      </c>
    </row>
    <row r="102">
      <c r="A102" s="484" t="s">
        <v>6195</v>
      </c>
      <c r="B102" s="75">
        <f>COUNTIFS(GERAL!B$8:B$1696,A102,GERAL!C$8:C$1696,"ESCOLA")</f>
        <v>1</v>
      </c>
      <c r="C102" s="75">
        <f>COUNTIFS(GERAL!B$8:B$1696,A102,GERAL!C$8:C$1696,"ANEXO")</f>
        <v>0</v>
      </c>
      <c r="D102" s="85">
        <f>SUMIF(GERAL!B$8:B$1696,A102,GERAL!Z$8:Z$1696)</f>
        <v>0</v>
      </c>
      <c r="E102" s="85">
        <f>SUMIF(GERAL!B$8:B$1696,A102,GERAL!AE$8:AE$1696)</f>
        <v>0</v>
      </c>
      <c r="F102" s="85">
        <f>SUMIF(GERAL!B$8:B$1696,A102,GERAL!AJ$8:AJ$1696)</f>
        <v>210</v>
      </c>
      <c r="G102" s="85">
        <f>SUMIF(GERAL!B$8:B$1696,A102,GERAL!AN$8:AN$1696)</f>
        <v>0</v>
      </c>
      <c r="H102" s="85">
        <f>SUMIF(GERAL!B$8:B$1696,A102,GERAL!AR$8:AW$1696)</f>
        <v>36</v>
      </c>
      <c r="I102" s="85">
        <f>SUMIF(GERAL!B$8:B$1696,A102,GERAL!AW$8:AW$1696)</f>
        <v>44</v>
      </c>
      <c r="J102" s="75">
        <f>SUMIF(GERAL!B$8:B$1696,A102,GERAL!AX$8:AX$1696)</f>
        <v>290</v>
      </c>
      <c r="K102" s="75">
        <f>COUNTIFS(GERAL!B$8:B$1696,A102,GERAL!AY$8:AY$1696,"&gt;0",GERAL!C$8:C$1696,"ESCOLA")</f>
        <v>1</v>
      </c>
      <c r="L102" s="75">
        <f>COUNTIFS(GERAL!B$8:B$1696,A102,GERAL!AY$8:AY$1696,"&gt;0",GERAL!C$8:C$1696,"ANEXO")</f>
        <v>0</v>
      </c>
      <c r="M102" s="100">
        <f>SUMIF(GERAL!B$8:B$1696,A102,GERAL!V$8:V$1696)+SUMIF(GERAL!B$8:B$1696,A102,GERAL!W$8:W$1696)</f>
        <v>0</v>
      </c>
      <c r="N102" s="100">
        <f>SUMIF(GERAL!B$8:B$1696,A102,GERAL!AA$8:AA$1696)+SUMIF(GERAL!B$8:B$1696,A102,GERAL!AB$8:AB$1696)</f>
        <v>0</v>
      </c>
      <c r="O102" s="100">
        <f>SUMIF(GERAL!B$8:B$1696,A102,GERAL!AF$8:AF$1696)+SUMIF(GERAL!B$8:B$1696,A102,GERAL!AG$8:AG$1696)</f>
        <v>195</v>
      </c>
      <c r="P102" s="100">
        <f>SUMIF(GERAL!B$8:B$1696,A102,GERAL!AK$8:AK$1696)+SUMIF(GERAL!B$8:B$1696,A102,GERAL!AL$8:AL$1696)</f>
        <v>0</v>
      </c>
      <c r="Q102" s="100">
        <f>SUMIF(GERAL!B$8:B$1696,A102,GERAL!AO$8:AO$1696)+SUMIF(GERAL!B$8:B$1696,A102,GERAL!AP$8:AP$1696)</f>
        <v>0</v>
      </c>
      <c r="R102" s="100">
        <f>SUMIF(GERAL!B$8:B$1696,A102,GERAL!AS$8:AS$1696)+SUMIF(GERAL!B$8:B$1696,A102,GERAL!AT$8:AT$1696)</f>
        <v>0</v>
      </c>
      <c r="S102" s="75">
        <f t="shared" si="39"/>
        <v>195</v>
      </c>
      <c r="T102" s="116">
        <f>COUNTIFS(GERAL!B$8:B$1696,A102,GERAL!AZ$8:AZ$1696,"&gt;0",GERAL!C$8:C$1696,"ESCOLA")</f>
        <v>1</v>
      </c>
      <c r="U102" s="75">
        <f>COUNTIFS(GERAL!B$8:B$1696,A102,GERAL!AZ$8:AZ$1696,"&gt;0",GERAL!C$8:C$1696,"ANEXO")</f>
        <v>0</v>
      </c>
      <c r="V102" s="85">
        <f>SUMIF(GERAL!B$8:B$1696,A102,GERAL!AH$8:AH$1696)</f>
        <v>0</v>
      </c>
      <c r="W102" s="85">
        <f>SUMIF(GERAL!B$8:B$1696,A102,GERAL!AM$8:AM$1696)</f>
        <v>0</v>
      </c>
      <c r="X102" s="85">
        <f>SUMIF(GERAL!B$8:B$1696,A102,GERAL!AQ$8:AQ$1696)</f>
        <v>36</v>
      </c>
      <c r="Y102" s="85">
        <f>SUMIF(GERAL!B$8:B$1696,A102,GERAL!AU$8:AU$1696)</f>
        <v>0</v>
      </c>
      <c r="Z102" s="88">
        <f t="shared" si="40"/>
        <v>36</v>
      </c>
      <c r="AA102" s="116">
        <f>COUNTIFS(GERAL!B$8:B$1696,A102,GERAL!BK$8:BK$1696,"&gt;0",GERAL!C$8:C$1696,"ESCOLA")</f>
        <v>1</v>
      </c>
      <c r="AB102" s="88">
        <f>COUNTIFS(GERAL!B$8:B$1696,A102,GERAL!BK$8:BK$1696,"&gt;0",GERAL!C$8:C$1696,"ANEXO")</f>
        <v>0</v>
      </c>
      <c r="AC102" s="121">
        <f>SUMIF(GERAL!B$8:B$1696,A102,GERAL!AD$8:AD$1696)</f>
        <v>0</v>
      </c>
      <c r="AD102" s="121">
        <f>SUMIF(GERAL!B$8:B$1696,A102,GERAL!AI$8:AI$1696)</f>
        <v>15</v>
      </c>
      <c r="AE102" s="121">
        <f>SUMIF(GERAL!B$8:B$1696,A102,GERAL!AV$8:AV$1696)</f>
        <v>44</v>
      </c>
      <c r="AF102" s="492">
        <f t="shared" si="41"/>
        <v>59</v>
      </c>
      <c r="AG102" s="178">
        <f>COUNTIFS(GERAL!B$8:B$1696,A102,GERAL!AW$8:AW$1696,"&gt;0",GERAL!C$8:C$1696,"ESCOLA")</f>
        <v>1</v>
      </c>
      <c r="AH102" s="118">
        <f>COUNTIFS(GERAL!B$8:B$1696,A102,GERAL!AW$8:AW$1696,"&gt;0",GERAL!C$8:C$1696,"ANEXO")</f>
        <v>0</v>
      </c>
      <c r="AI102" s="177">
        <f>SUMIF(GERAL!B$8:B$1696,A102,GERAL!AS$8:AS$1696)+SUMIF(GERAL!B$8:B$1696,A102,GERAL!AT$8:AT$1696)</f>
        <v>0</v>
      </c>
      <c r="AJ102" s="177">
        <f>SUMIF(GERAL!B$8:B$1696,A102,GERAL!AU$8:AU$1696)</f>
        <v>0</v>
      </c>
      <c r="AK102" s="177">
        <f>SUMIF(GERAL!B$8:B$1696,A102,GERAL!AV$8:AV$1696)</f>
        <v>44</v>
      </c>
      <c r="AL102" s="118">
        <f t="shared" si="42"/>
        <v>44</v>
      </c>
      <c r="AM102" s="493" t="s">
        <v>1393</v>
      </c>
    </row>
    <row r="103">
      <c r="A103" s="494" t="s">
        <v>1893</v>
      </c>
      <c r="B103" s="75">
        <f>COUNTIFS(GERAL!B$8:B$1696,A103,GERAL!C$8:C$1696,"ESCOLA")</f>
        <v>1</v>
      </c>
      <c r="C103" s="75">
        <f>COUNTIFS(GERAL!B$8:B$1696,A103,GERAL!C$8:C$1696,"ANEXO")</f>
        <v>4</v>
      </c>
      <c r="D103" s="85">
        <f>SUMIF(GERAL!B$8:B$1696,A103,GERAL!Z$8:Z$1696)</f>
        <v>0</v>
      </c>
      <c r="E103" s="85">
        <f>SUMIF(GERAL!B$8:B$1696,A103,GERAL!AE$8:AE$1696)</f>
        <v>0</v>
      </c>
      <c r="F103" s="85">
        <f>SUMIF(GERAL!B$8:B$1696,A103,GERAL!AJ$8:AJ$1696)</f>
        <v>339</v>
      </c>
      <c r="G103" s="85">
        <f>SUMIF(GERAL!B$8:B$1696,A103,GERAL!AN$8:AN$1696)</f>
        <v>0</v>
      </c>
      <c r="H103" s="85">
        <f>SUMIF(GERAL!B$8:B$1696,A103,GERAL!AR$8:AW$1696)</f>
        <v>207</v>
      </c>
      <c r="I103" s="85">
        <f>SUMIF(GERAL!B$8:B$1696,A103,GERAL!AW$8:AW$1696)</f>
        <v>174</v>
      </c>
      <c r="J103" s="75">
        <f>SUMIF(GERAL!B$8:B$1696,A103,GERAL!AX$8:AX$1696)</f>
        <v>720</v>
      </c>
      <c r="K103" s="75">
        <f>COUNTIFS(GERAL!B$8:B$1696,A103,GERAL!AY$8:AY$1696,"&gt;0",GERAL!C$8:C$1696,"ESCOLA")</f>
        <v>1</v>
      </c>
      <c r="L103" s="75">
        <f>COUNTIFS(GERAL!B$8:B$1696,A103,GERAL!AY$8:AY$1696,"&gt;0",GERAL!C$8:C$1696,"ANEXO")</f>
        <v>2</v>
      </c>
      <c r="M103" s="100">
        <f>SUMIF(GERAL!B$8:B$1696,A103,GERAL!V$8:V$1696)+SUMIF(GERAL!B$8:B$1696,A103,GERAL!W$8:W$1696)</f>
        <v>0</v>
      </c>
      <c r="N103" s="100">
        <f>SUMIF(GERAL!B$8:B$1696,A103,GERAL!AA$8:AA$1696)+SUMIF(GERAL!B$8:B$1696,A103,GERAL!AB$8:AB$1696)</f>
        <v>0</v>
      </c>
      <c r="O103" s="100">
        <f>SUMIF(GERAL!B$8:B$1696,A103,GERAL!AF$8:AF$1696)+SUMIF(GERAL!B$8:B$1696,A103,GERAL!AG$8:AG$1696)</f>
        <v>339</v>
      </c>
      <c r="P103" s="100">
        <f>SUMIF(GERAL!B$8:B$1696,A103,GERAL!AK$8:AK$1696)+SUMIF(GERAL!B$8:B$1696,A103,GERAL!AL$8:AL$1696)</f>
        <v>0</v>
      </c>
      <c r="Q103" s="100">
        <f>SUMIF(GERAL!B$8:B$1696,A103,GERAL!AO$8:AO$1696)+SUMIF(GERAL!B$8:B$1696,A103,GERAL!AP$8:AP$1696)</f>
        <v>0</v>
      </c>
      <c r="R103" s="100">
        <f>SUMIF(GERAL!B$8:B$1696,A103,GERAL!AS$8:AS$1696)+SUMIF(GERAL!B$8:B$1696,A103,GERAL!AT$8:AT$1696)</f>
        <v>0</v>
      </c>
      <c r="S103" s="75">
        <f t="shared" si="39"/>
        <v>339</v>
      </c>
      <c r="T103" s="116">
        <f>COUNTIFS(GERAL!B$8:B$1696,A103,GERAL!AZ$8:AZ$1696,"&gt;0",GERAL!C$8:C$1696,"ESCOLA")</f>
        <v>1</v>
      </c>
      <c r="U103" s="75">
        <f>COUNTIFS(GERAL!B$8:B$1696,A103,GERAL!AZ$8:AZ$1696,"&gt;0",GERAL!C$8:C$1696,"ANEXO")</f>
        <v>4</v>
      </c>
      <c r="V103" s="85">
        <f>SUMIF(GERAL!B$8:B$1696,A103,GERAL!AH$8:AH$1696)</f>
        <v>0</v>
      </c>
      <c r="W103" s="85">
        <f>SUMIF(GERAL!B$8:B$1696,A103,GERAL!AM$8:AM$1696)</f>
        <v>0</v>
      </c>
      <c r="X103" s="85">
        <f>SUMIF(GERAL!B$8:B$1696,A103,GERAL!AQ$8:AQ$1696)</f>
        <v>207</v>
      </c>
      <c r="Y103" s="85">
        <f>SUMIF(GERAL!B$8:B$1696,A103,GERAL!AU$8:AU$1696)</f>
        <v>0</v>
      </c>
      <c r="Z103" s="88">
        <f t="shared" si="40"/>
        <v>207</v>
      </c>
      <c r="AA103" s="116">
        <f>COUNTIFS(GERAL!B$8:B$1696,A103,GERAL!BK$8:BK$1696,"&gt;0",GERAL!C$8:C$1696,"ESCOLA")</f>
        <v>1</v>
      </c>
      <c r="AB103" s="88">
        <f>COUNTIFS(GERAL!B$8:B$1696,A103,GERAL!BK$8:BK$1696,"&gt;0",GERAL!C$8:C$1696,"ANEXO")</f>
        <v>0</v>
      </c>
      <c r="AC103" s="121">
        <f>SUMIF(GERAL!B$8:B$1696,A103,GERAL!AD$8:AD$1696)</f>
        <v>0</v>
      </c>
      <c r="AD103" s="121">
        <f>SUMIF(GERAL!B$8:B$1696,A103,GERAL!AI$8:AI$1696)</f>
        <v>0</v>
      </c>
      <c r="AE103" s="121">
        <f>SUMIF(GERAL!B$8:B$1696,A103,GERAL!AV$8:AV$1696)</f>
        <v>174</v>
      </c>
      <c r="AF103" s="492">
        <f t="shared" si="41"/>
        <v>174</v>
      </c>
      <c r="AG103" s="178">
        <f>COUNTIFS(GERAL!B$8:B$1696,A103,GERAL!AW$8:AW$1696,"&gt;0",GERAL!C$8:C$1696,"ESCOLA")</f>
        <v>1</v>
      </c>
      <c r="AH103" s="118">
        <f>COUNTIFS(GERAL!B$8:B$1696,A103,GERAL!AW$8:AW$1696,"&gt;0",GERAL!C$8:C$1696,"ANEXO")</f>
        <v>0</v>
      </c>
      <c r="AI103" s="177">
        <f>SUMIF(GERAL!B$8:B$1696,A103,GERAL!AS$8:AS$1696)+SUMIF(GERAL!B$8:B$1696,A103,GERAL!AT$8:AT$1696)</f>
        <v>0</v>
      </c>
      <c r="AJ103" s="177">
        <f>SUMIF(GERAL!B$8:B$1696,A103,GERAL!AU$8:AU$1696)</f>
        <v>0</v>
      </c>
      <c r="AK103" s="177">
        <f>SUMIF(GERAL!B$8:B$1696,A103,GERAL!AV$8:AV$1696)</f>
        <v>174</v>
      </c>
      <c r="AL103" s="118">
        <f t="shared" si="42"/>
        <v>174</v>
      </c>
      <c r="AM103" s="493" t="s">
        <v>605</v>
      </c>
    </row>
    <row r="104">
      <c r="A104" s="484" t="s">
        <v>5476</v>
      </c>
      <c r="B104" s="75">
        <f>COUNTIFS(GERAL!B$8:B$1696,A104,GERAL!C$8:C$1696,"ESCOLA")</f>
        <v>1</v>
      </c>
      <c r="C104" s="75">
        <f>COUNTIFS(GERAL!B$8:B$1696,A104,GERAL!C$8:C$1696,"ANEXO")</f>
        <v>0</v>
      </c>
      <c r="D104" s="85">
        <f>SUMIF(GERAL!B$8:B$1696,A104,GERAL!Z$8:Z$1696)</f>
        <v>0</v>
      </c>
      <c r="E104" s="85">
        <f>SUMIF(GERAL!B$8:B$1696,A104,GERAL!AE$8:AE$1696)</f>
        <v>0</v>
      </c>
      <c r="F104" s="85">
        <f>SUMIF(GERAL!B$8:B$1696,A104,GERAL!AJ$8:AJ$1696)</f>
        <v>175</v>
      </c>
      <c r="G104" s="85">
        <f>SUMIF(GERAL!B$8:B$1696,A104,GERAL!AN$8:AN$1696)</f>
        <v>0</v>
      </c>
      <c r="H104" s="85">
        <f>SUMIF(GERAL!B$8:B$1696,A104,GERAL!AR$8:AW$1696)</f>
        <v>146</v>
      </c>
      <c r="I104" s="85">
        <f>SUMIF(GERAL!B$8:B$1696,A104,GERAL!AW$8:AW$1696)</f>
        <v>205</v>
      </c>
      <c r="J104" s="75">
        <f>SUMIF(GERAL!B$8:B$1696,A104,GERAL!AX$8:AX$1696)</f>
        <v>526</v>
      </c>
      <c r="K104" s="75">
        <f>COUNTIFS(GERAL!B$8:B$1696,A104,GERAL!AY$8:AY$1696,"&gt;0",GERAL!C$8:C$1696,"ESCOLA")</f>
        <v>1</v>
      </c>
      <c r="L104" s="75">
        <f>COUNTIFS(GERAL!B$8:B$1696,A104,GERAL!AY$8:AY$1696,"&gt;0",GERAL!C$8:C$1696,"ANEXO")</f>
        <v>0</v>
      </c>
      <c r="M104" s="100">
        <f>SUMIF(GERAL!B$8:B$1696,A104,GERAL!V$8:V$1696)+SUMIF(GERAL!B$8:B$1696,A104,GERAL!W$8:W$1696)</f>
        <v>0</v>
      </c>
      <c r="N104" s="100">
        <f>SUMIF(GERAL!B$8:B$1696,A104,GERAL!AA$8:AA$1696)+SUMIF(GERAL!B$8:B$1696,A104,GERAL!AB$8:AB$1696)</f>
        <v>0</v>
      </c>
      <c r="O104" s="100">
        <f>SUMIF(GERAL!B$8:B$1696,A104,GERAL!AF$8:AF$1696)+SUMIF(GERAL!B$8:B$1696,A104,GERAL!AG$8:AG$1696)</f>
        <v>28</v>
      </c>
      <c r="P104" s="100">
        <f>SUMIF(GERAL!B$8:B$1696,A104,GERAL!AK$8:AK$1696)+SUMIF(GERAL!B$8:B$1696,A104,GERAL!AL$8:AL$1696)</f>
        <v>0</v>
      </c>
      <c r="Q104" s="100">
        <f>SUMIF(GERAL!B$8:B$1696,A104,GERAL!AO$8:AO$1696)+SUMIF(GERAL!B$8:B$1696,A104,GERAL!AP$8:AP$1696)</f>
        <v>0</v>
      </c>
      <c r="R104" s="100">
        <f>SUMIF(GERAL!B$8:B$1696,A104,GERAL!AS$8:AS$1696)+SUMIF(GERAL!B$8:B$1696,A104,GERAL!AT$8:AT$1696)</f>
        <v>0</v>
      </c>
      <c r="S104" s="75">
        <f t="shared" si="39"/>
        <v>28</v>
      </c>
      <c r="T104" s="116">
        <f>COUNTIFS(GERAL!B$8:B$1696,A104,GERAL!AZ$8:AZ$1696,"&gt;0",GERAL!C$8:C$1696,"ESCOLA")</f>
        <v>1</v>
      </c>
      <c r="U104" s="75">
        <f>COUNTIFS(GERAL!B$8:B$1696,A104,GERAL!AZ$8:AZ$1696,"&gt;0",GERAL!C$8:C$1696,"ANEXO")</f>
        <v>0</v>
      </c>
      <c r="V104" s="85">
        <f>SUMIF(GERAL!B$8:B$1696,A104,GERAL!AH$8:AH$1696)</f>
        <v>0</v>
      </c>
      <c r="W104" s="85">
        <f>SUMIF(GERAL!B$8:B$1696,A104,GERAL!AM$8:AM$1696)</f>
        <v>0</v>
      </c>
      <c r="X104" s="85">
        <f>SUMIF(GERAL!B$8:B$1696,A104,GERAL!AQ$8:AQ$1696)</f>
        <v>146</v>
      </c>
      <c r="Y104" s="85">
        <f>SUMIF(GERAL!B$8:B$1696,A104,GERAL!AU$8:AU$1696)</f>
        <v>31</v>
      </c>
      <c r="Z104" s="88">
        <f t="shared" si="40"/>
        <v>177</v>
      </c>
      <c r="AA104" s="116">
        <f>COUNTIFS(GERAL!B$8:B$1696,A104,GERAL!BK$8:BK$1696,"&gt;0",GERAL!C$8:C$1696,"ESCOLA")</f>
        <v>1</v>
      </c>
      <c r="AB104" s="88">
        <f>COUNTIFS(GERAL!B$8:B$1696,A104,GERAL!BK$8:BK$1696,"&gt;0",GERAL!C$8:C$1696,"ANEXO")</f>
        <v>0</v>
      </c>
      <c r="AC104" s="121">
        <f>SUMIF(GERAL!B$8:B$1696,A104,GERAL!AD$8:AD$1696)</f>
        <v>0</v>
      </c>
      <c r="AD104" s="121">
        <f>SUMIF(GERAL!B$8:B$1696,A104,GERAL!AI$8:AI$1696)</f>
        <v>147</v>
      </c>
      <c r="AE104" s="121">
        <f>SUMIF(GERAL!B$8:B$1696,A104,GERAL!AV$8:AV$1696)</f>
        <v>174</v>
      </c>
      <c r="AF104" s="492">
        <f t="shared" si="41"/>
        <v>321</v>
      </c>
      <c r="AG104" s="178">
        <f>COUNTIFS(GERAL!B$8:B$1696,A104,GERAL!AW$8:AW$1696,"&gt;0",GERAL!C$8:C$1696,"ESCOLA")</f>
        <v>1</v>
      </c>
      <c r="AH104" s="118">
        <f>COUNTIFS(GERAL!B$8:B$1696,A104,GERAL!AW$8:AW$1696,"&gt;0",GERAL!C$8:C$1696,"ANEXO")</f>
        <v>0</v>
      </c>
      <c r="AI104" s="177">
        <f>SUMIF(GERAL!B$8:B$1696,A104,GERAL!AS$8:AS$1696)+SUMIF(GERAL!B$8:B$1696,A104,GERAL!AT$8:AT$1696)</f>
        <v>0</v>
      </c>
      <c r="AJ104" s="177">
        <f>SUMIF(GERAL!B$8:B$1696,A104,GERAL!AU$8:AU$1696)</f>
        <v>31</v>
      </c>
      <c r="AK104" s="177">
        <f>SUMIF(GERAL!B$8:B$1696,A104,GERAL!AV$8:AV$1696)</f>
        <v>174</v>
      </c>
      <c r="AL104" s="118">
        <f t="shared" si="42"/>
        <v>205</v>
      </c>
      <c r="AM104" s="493" t="s">
        <v>1281</v>
      </c>
    </row>
    <row r="105">
      <c r="A105" s="494" t="s">
        <v>558</v>
      </c>
      <c r="B105" s="75">
        <f>COUNTIFS(GERAL!B$8:B$1696,A105,GERAL!C$8:C$1696,"ESCOLA")</f>
        <v>1</v>
      </c>
      <c r="C105" s="75">
        <f>COUNTIFS(GERAL!B$8:B$1696,A105,GERAL!C$8:C$1696,"ANEXO")</f>
        <v>10</v>
      </c>
      <c r="D105" s="85">
        <f>SUMIF(GERAL!B$8:B$1696,A105,GERAL!Z$8:Z$1696)</f>
        <v>0</v>
      </c>
      <c r="E105" s="85">
        <f>SUMIF(GERAL!B$8:B$1696,A105,GERAL!AE$8:AE$1696)</f>
        <v>0</v>
      </c>
      <c r="F105" s="85">
        <f>SUMIF(GERAL!B$8:B$1696,A105,GERAL!AJ$8:AJ$1696)</f>
        <v>1222</v>
      </c>
      <c r="G105" s="85">
        <f>SUMIF(GERAL!B$8:B$1696,A105,GERAL!AN$8:AN$1696)</f>
        <v>0</v>
      </c>
      <c r="H105" s="85">
        <f>SUMIF(GERAL!B$8:B$1696,A105,GERAL!AR$8:AW$1696)</f>
        <v>100</v>
      </c>
      <c r="I105" s="85">
        <f>SUMIF(GERAL!B$8:B$1696,A105,GERAL!AW$8:AW$1696)</f>
        <v>15</v>
      </c>
      <c r="J105" s="75">
        <f>SUMIF(GERAL!B$8:B$1696,A105,GERAL!AX$8:AX$1696)</f>
        <v>1337</v>
      </c>
      <c r="K105" s="75">
        <f>COUNTIFS(GERAL!B$8:B$1696,A105,GERAL!AY$8:AY$1696,"&gt;0",GERAL!C$8:C$1696,"ESCOLA")</f>
        <v>1</v>
      </c>
      <c r="L105" s="75">
        <f>COUNTIFS(GERAL!B$8:B$1696,A105,GERAL!AY$8:AY$1696,"&gt;0",GERAL!C$8:C$1696,"ANEXO")</f>
        <v>8</v>
      </c>
      <c r="M105" s="100">
        <f>SUMIF(GERAL!B$8:B$1696,A105,GERAL!V$8:V$1696)+SUMIF(GERAL!B$8:B$1696,A105,GERAL!W$8:W$1696)</f>
        <v>0</v>
      </c>
      <c r="N105" s="100">
        <f>SUMIF(GERAL!B$8:B$1696,A105,GERAL!AA$8:AA$1696)+SUMIF(GERAL!B$8:B$1696,A105,GERAL!AB$8:AB$1696)</f>
        <v>0</v>
      </c>
      <c r="O105" s="100">
        <f>SUMIF(GERAL!B$8:B$1696,A105,GERAL!AF$8:AF$1696)+SUMIF(GERAL!B$8:B$1696,A105,GERAL!AG$8:AG$1696)</f>
        <v>955</v>
      </c>
      <c r="P105" s="100">
        <f>SUMIF(GERAL!B$8:B$1696,A105,GERAL!AK$8:AK$1696)+SUMIF(GERAL!B$8:B$1696,A105,GERAL!AL$8:AL$1696)</f>
        <v>0</v>
      </c>
      <c r="Q105" s="100">
        <f>SUMIF(GERAL!B$8:B$1696,A105,GERAL!AO$8:AO$1696)+SUMIF(GERAL!B$8:B$1696,A105,GERAL!AP$8:AP$1696)</f>
        <v>0</v>
      </c>
      <c r="R105" s="100">
        <f>SUMIF(GERAL!B$8:B$1696,A105,GERAL!AS$8:AS$1696)+SUMIF(GERAL!B$8:B$1696,A105,GERAL!AT$8:AT$1696)</f>
        <v>0</v>
      </c>
      <c r="S105" s="75">
        <f t="shared" si="39"/>
        <v>955</v>
      </c>
      <c r="T105" s="116">
        <f>COUNTIFS(GERAL!B$8:B$1696,A105,GERAL!AZ$8:AZ$1696,"&gt;0",GERAL!C$8:C$1696,"ESCOLA")</f>
        <v>1</v>
      </c>
      <c r="U105" s="75">
        <f>COUNTIFS(GERAL!B$8:B$1696,A105,GERAL!AZ$8:AZ$1696,"&gt;0",GERAL!C$8:C$1696,"ANEXO")</f>
        <v>5</v>
      </c>
      <c r="V105" s="85">
        <f>SUMIF(GERAL!B$8:B$1696,A105,GERAL!AH$8:AH$1696)</f>
        <v>199</v>
      </c>
      <c r="W105" s="85">
        <f>SUMIF(GERAL!B$8:B$1696,A105,GERAL!AM$8:AM$1696)</f>
        <v>0</v>
      </c>
      <c r="X105" s="85">
        <f>SUMIF(GERAL!B$8:B$1696,A105,GERAL!AQ$8:AQ$1696)</f>
        <v>100</v>
      </c>
      <c r="Y105" s="85">
        <f>SUMIF(GERAL!B$8:B$1696,A105,GERAL!AU$8:AU$1696)</f>
        <v>15</v>
      </c>
      <c r="Z105" s="88">
        <f t="shared" si="40"/>
        <v>314</v>
      </c>
      <c r="AA105" s="116">
        <f>COUNTIFS(GERAL!B$8:B$1696,A105,GERAL!BK$8:BK$1696,"&gt;0",GERAL!C$8:C$1696,"ESCOLA")</f>
        <v>1</v>
      </c>
      <c r="AB105" s="88">
        <f>COUNTIFS(GERAL!B$8:B$1696,A105,GERAL!BK$8:BK$1696,"&gt;0",GERAL!C$8:C$1696,"ANEXO")</f>
        <v>0</v>
      </c>
      <c r="AC105" s="121">
        <f>SUMIF(GERAL!B$8:B$1696,A105,GERAL!AD$8:AD$1696)</f>
        <v>0</v>
      </c>
      <c r="AD105" s="121">
        <f>SUMIF(GERAL!B$8:B$1696,A105,GERAL!AI$8:AI$1696)</f>
        <v>68</v>
      </c>
      <c r="AE105" s="121">
        <f>SUMIF(GERAL!B$8:B$1696,A105,GERAL!AV$8:AV$1696)</f>
        <v>0</v>
      </c>
      <c r="AF105" s="492">
        <f t="shared" si="41"/>
        <v>68</v>
      </c>
      <c r="AG105" s="178">
        <f>COUNTIFS(GERAL!B$8:B$1696,A105,GERAL!AW$8:AW$1696,"&gt;0",GERAL!C$8:C$1696,"ESCOLA")</f>
        <v>1</v>
      </c>
      <c r="AH105" s="118">
        <f>COUNTIFS(GERAL!B$8:B$1696,A105,GERAL!AW$8:AW$1696,"&gt;0",GERAL!C$8:C$1696,"ANEXO")</f>
        <v>0</v>
      </c>
      <c r="AI105" s="177">
        <f>SUMIF(GERAL!B$8:B$1696,A105,GERAL!AS$8:AS$1696)+SUMIF(GERAL!B$8:B$1696,A105,GERAL!AT$8:AT$1696)</f>
        <v>0</v>
      </c>
      <c r="AJ105" s="177">
        <f>SUMIF(GERAL!B$8:B$1696,A105,GERAL!AU$8:AU$1696)</f>
        <v>15</v>
      </c>
      <c r="AK105" s="177">
        <f>SUMIF(GERAL!B$8:B$1696,A105,GERAL!AV$8:AV$1696)</f>
        <v>0</v>
      </c>
      <c r="AL105" s="118">
        <f t="shared" si="42"/>
        <v>15</v>
      </c>
      <c r="AM105" s="493" t="s">
        <v>205</v>
      </c>
    </row>
    <row r="106">
      <c r="A106" s="484" t="s">
        <v>2925</v>
      </c>
      <c r="B106" s="75">
        <f>COUNTIFS(GERAL!B$8:B$1696,A106,GERAL!C$8:C$1696,"ESCOLA")</f>
        <v>3</v>
      </c>
      <c r="C106" s="75">
        <f>COUNTIFS(GERAL!B$8:B$1696,A106,GERAL!C$8:C$1696,"ANEXO")</f>
        <v>5</v>
      </c>
      <c r="D106" s="85">
        <f>SUMIF(GERAL!B$8:B$1696,A106,GERAL!Z$8:Z$1696)</f>
        <v>0</v>
      </c>
      <c r="E106" s="85">
        <f>SUMIF(GERAL!B$8:B$1696,A106,GERAL!AE$8:AE$1696)</f>
        <v>0</v>
      </c>
      <c r="F106" s="85">
        <f>SUMIF(GERAL!B$8:B$1696,A106,GERAL!AJ$8:AJ$1696)</f>
        <v>1767</v>
      </c>
      <c r="G106" s="85">
        <f>SUMIF(GERAL!B$8:B$1696,A106,GERAL!AN$8:AN$1696)</f>
        <v>0</v>
      </c>
      <c r="H106" s="85">
        <f>SUMIF(GERAL!B$8:B$1696,A106,GERAL!AR$8:AW$1696)</f>
        <v>658</v>
      </c>
      <c r="I106" s="85">
        <f>SUMIF(GERAL!B$8:B$1696,A106,GERAL!AW$8:AW$1696)</f>
        <v>148</v>
      </c>
      <c r="J106" s="75">
        <f>SUMIF(GERAL!B$8:B$1696,A106,GERAL!AX$8:AX$1696)</f>
        <v>2573</v>
      </c>
      <c r="K106" s="75">
        <f>COUNTIFS(GERAL!B$8:B$1696,A106,GERAL!AY$8:AY$1696,"&gt;0",GERAL!C$8:C$1696,"ESCOLA")</f>
        <v>3</v>
      </c>
      <c r="L106" s="75">
        <f>COUNTIFS(GERAL!B$8:B$1696,A106,GERAL!AY$8:AY$1696,"&gt;0",GERAL!C$8:C$1696,"ANEXO")</f>
        <v>4</v>
      </c>
      <c r="M106" s="100">
        <f>SUMIF(GERAL!B$8:B$1696,A106,GERAL!V$8:V$1696)+SUMIF(GERAL!B$8:B$1696,A106,GERAL!W$8:W$1696)</f>
        <v>0</v>
      </c>
      <c r="N106" s="100">
        <f>SUMIF(GERAL!B$8:B$1696,A106,GERAL!AA$8:AA$1696)+SUMIF(GERAL!B$8:B$1696,A106,GERAL!AB$8:AB$1696)</f>
        <v>0</v>
      </c>
      <c r="O106" s="100">
        <f>SUMIF(GERAL!B$8:B$1696,A106,GERAL!AF$8:AF$1696)+SUMIF(GERAL!B$8:B$1696,A106,GERAL!AG$8:AG$1696)</f>
        <v>1039</v>
      </c>
      <c r="P106" s="100">
        <f>SUMIF(GERAL!B$8:B$1696,A106,GERAL!AK$8:AK$1696)+SUMIF(GERAL!B$8:B$1696,A106,GERAL!AL$8:AL$1696)</f>
        <v>0</v>
      </c>
      <c r="Q106" s="100">
        <f>SUMIF(GERAL!B$8:B$1696,A106,GERAL!AO$8:AO$1696)+SUMIF(GERAL!B$8:B$1696,A106,GERAL!AP$8:AP$1696)</f>
        <v>0</v>
      </c>
      <c r="R106" s="100">
        <f>SUMIF(GERAL!B$8:B$1696,A106,GERAL!AS$8:AS$1696)+SUMIF(GERAL!B$8:B$1696,A106,GERAL!AT$8:AT$1696)</f>
        <v>32</v>
      </c>
      <c r="S106" s="75">
        <f t="shared" si="39"/>
        <v>1071</v>
      </c>
      <c r="T106" s="116">
        <f>COUNTIFS(GERAL!B$8:B$1696,A106,GERAL!AZ$8:AZ$1696,"&gt;0",GERAL!C$8:C$1696,"ESCOLA")</f>
        <v>3</v>
      </c>
      <c r="U106" s="75">
        <f>COUNTIFS(GERAL!B$8:B$1696,A106,GERAL!AZ$8:AZ$1696,"&gt;0",GERAL!C$8:C$1696,"ANEXO")</f>
        <v>3</v>
      </c>
      <c r="V106" s="85">
        <f>SUMIF(GERAL!B$8:B$1696,A106,GERAL!AH$8:AH$1696)</f>
        <v>23</v>
      </c>
      <c r="W106" s="85">
        <f>SUMIF(GERAL!B$8:B$1696,A106,GERAL!AM$8:AM$1696)</f>
        <v>0</v>
      </c>
      <c r="X106" s="85">
        <f>SUMIF(GERAL!B$8:B$1696,A106,GERAL!AQ$8:AQ$1696)</f>
        <v>658</v>
      </c>
      <c r="Y106" s="85">
        <f>SUMIF(GERAL!B$8:B$1696,A106,GERAL!AU$8:AU$1696)</f>
        <v>116</v>
      </c>
      <c r="Z106" s="88">
        <f t="shared" si="40"/>
        <v>797</v>
      </c>
      <c r="AA106" s="116">
        <f>COUNTIFS(GERAL!B$8:B$1696,A106,GERAL!BK$8:BK$1696,"&gt;0",GERAL!C$8:C$1696,"ESCOLA")</f>
        <v>3</v>
      </c>
      <c r="AB106" s="88">
        <f>COUNTIFS(GERAL!B$8:B$1696,A106,GERAL!BK$8:BK$1696,"&gt;0",GERAL!C$8:C$1696,"ANEXO")</f>
        <v>0</v>
      </c>
      <c r="AC106" s="121">
        <f>SUMIF(GERAL!B$8:B$1696,A106,GERAL!AD$8:AD$1696)</f>
        <v>0</v>
      </c>
      <c r="AD106" s="121">
        <f>SUMIF(GERAL!B$8:B$1696,A106,GERAL!AI$8:AI$1696)</f>
        <v>705</v>
      </c>
      <c r="AE106" s="121">
        <f>SUMIF(GERAL!B$8:B$1696,A106,GERAL!AV$8:AV$1696)</f>
        <v>0</v>
      </c>
      <c r="AF106" s="492">
        <f t="shared" si="41"/>
        <v>705</v>
      </c>
      <c r="AG106" s="178">
        <f>COUNTIFS(GERAL!B$8:B$1696,A106,GERAL!AW$8:AW$1696,"&gt;0",GERAL!C$8:C$1696,"ESCOLA")</f>
        <v>1</v>
      </c>
      <c r="AH106" s="118">
        <f>COUNTIFS(GERAL!B$8:B$1696,A106,GERAL!AW$8:AW$1696,"&gt;0",GERAL!C$8:C$1696,"ANEXO")</f>
        <v>0</v>
      </c>
      <c r="AI106" s="177">
        <f>SUMIF(GERAL!B$8:B$1696,A106,GERAL!AS$8:AS$1696)+SUMIF(GERAL!B$8:B$1696,A106,GERAL!AT$8:AT$1696)</f>
        <v>32</v>
      </c>
      <c r="AJ106" s="177">
        <f>SUMIF(GERAL!B$8:B$1696,A106,GERAL!AU$8:AU$1696)</f>
        <v>116</v>
      </c>
      <c r="AK106" s="177">
        <f>SUMIF(GERAL!B$8:B$1696,A106,GERAL!AV$8:AV$1696)</f>
        <v>0</v>
      </c>
      <c r="AL106" s="118">
        <f t="shared" si="42"/>
        <v>148</v>
      </c>
      <c r="AM106" s="493" t="s">
        <v>796</v>
      </c>
    </row>
    <row r="107">
      <c r="A107" s="494" t="s">
        <v>6564</v>
      </c>
      <c r="B107" s="75">
        <f>COUNTIFS(GERAL!B$8:B$1696,A107,GERAL!C$8:C$1696,"ESCOLA")</f>
        <v>1</v>
      </c>
      <c r="C107" s="75">
        <f>COUNTIFS(GERAL!B$8:B$1696,A107,GERAL!C$8:C$1696,"ANEXO")</f>
        <v>0</v>
      </c>
      <c r="D107" s="85">
        <f>SUMIF(GERAL!B$8:B$1696,A107,GERAL!Z$8:Z$1696)</f>
        <v>0</v>
      </c>
      <c r="E107" s="85">
        <f>SUMIF(GERAL!B$8:B$1696,A107,GERAL!AE$8:AE$1696)</f>
        <v>0</v>
      </c>
      <c r="F107" s="85">
        <f>SUMIF(GERAL!B$8:B$1696,A107,GERAL!AJ$8:AJ$1696)</f>
        <v>546</v>
      </c>
      <c r="G107" s="85">
        <f>SUMIF(GERAL!B$8:B$1696,A107,GERAL!AN$8:AN$1696)</f>
        <v>0</v>
      </c>
      <c r="H107" s="85">
        <f>SUMIF(GERAL!B$8:B$1696,A107,GERAL!AR$8:AW$1696)</f>
        <v>173</v>
      </c>
      <c r="I107" s="85">
        <f>SUMIF(GERAL!B$8:B$1696,A107,GERAL!AW$8:AW$1696)</f>
        <v>77</v>
      </c>
      <c r="J107" s="75">
        <f>SUMIF(GERAL!B$8:B$1696,A107,GERAL!AX$8:AX$1696)</f>
        <v>796</v>
      </c>
      <c r="K107" s="75">
        <f>COUNTIFS(GERAL!B$8:B$1696,A107,GERAL!AY$8:AY$1696,"&gt;0",GERAL!C$8:C$1696,"ESCOLA")</f>
        <v>1</v>
      </c>
      <c r="L107" s="75">
        <f>COUNTIFS(GERAL!B$8:B$1696,A107,GERAL!AY$8:AY$1696,"&gt;0",GERAL!C$8:C$1696,"ANEXO")</f>
        <v>0</v>
      </c>
      <c r="M107" s="100">
        <f>SUMIF(GERAL!B$8:B$1696,A107,GERAL!V$8:V$1696)+SUMIF(GERAL!B$8:B$1696,A107,GERAL!W$8:W$1696)</f>
        <v>0</v>
      </c>
      <c r="N107" s="100">
        <f>SUMIF(GERAL!B$8:B$1696,A107,GERAL!AA$8:AA$1696)+SUMIF(GERAL!B$8:B$1696,A107,GERAL!AB$8:AB$1696)</f>
        <v>0</v>
      </c>
      <c r="O107" s="100">
        <f>SUMIF(GERAL!B$8:B$1696,A107,GERAL!AF$8:AF$1696)+SUMIF(GERAL!B$8:B$1696,A107,GERAL!AG$8:AG$1696)</f>
        <v>0</v>
      </c>
      <c r="P107" s="100">
        <f>SUMIF(GERAL!B$8:B$1696,A107,GERAL!AK$8:AK$1696)+SUMIF(GERAL!B$8:B$1696,A107,GERAL!AL$8:AL$1696)</f>
        <v>0</v>
      </c>
      <c r="Q107" s="100">
        <f>SUMIF(GERAL!B$8:B$1696,A107,GERAL!AO$8:AO$1696)+SUMIF(GERAL!B$8:B$1696,A107,GERAL!AP$8:AP$1696)</f>
        <v>0</v>
      </c>
      <c r="R107" s="100">
        <f>SUMIF(GERAL!B$8:B$1696,A107,GERAL!AS$8:AS$1696)+SUMIF(GERAL!B$8:B$1696,A107,GERAL!AT$8:AT$1696)</f>
        <v>0</v>
      </c>
      <c r="S107" s="75">
        <f t="shared" si="39"/>
        <v>0</v>
      </c>
      <c r="T107" s="116">
        <f>COUNTIFS(GERAL!B$8:B$1696,A107,GERAL!AZ$8:AZ$1696,"&gt;0",GERAL!C$8:C$1696,"ESCOLA")</f>
        <v>1</v>
      </c>
      <c r="U107" s="75">
        <f>COUNTIFS(GERAL!B$8:B$1696,A107,GERAL!AZ$8:AZ$1696,"&gt;0",GERAL!C$8:C$1696,"ANEXO")</f>
        <v>0</v>
      </c>
      <c r="V107" s="85">
        <f>SUMIF(GERAL!B$8:B$1696,A107,GERAL!AH$8:AH$1696)</f>
        <v>0</v>
      </c>
      <c r="W107" s="85">
        <f>SUMIF(GERAL!B$8:B$1696,A107,GERAL!AM$8:AM$1696)</f>
        <v>0</v>
      </c>
      <c r="X107" s="85">
        <f>SUMIF(GERAL!B$8:B$1696,A107,GERAL!AQ$8:AQ$1696)</f>
        <v>173</v>
      </c>
      <c r="Y107" s="85">
        <f>SUMIF(GERAL!B$8:B$1696,A107,GERAL!AU$8:AU$1696)</f>
        <v>12</v>
      </c>
      <c r="Z107" s="88">
        <f t="shared" si="40"/>
        <v>185</v>
      </c>
      <c r="AA107" s="116">
        <f>COUNTIFS(GERAL!B$8:B$1696,A107,GERAL!BK$8:BK$1696,"&gt;0",GERAL!C$8:C$1696,"ESCOLA")</f>
        <v>1</v>
      </c>
      <c r="AB107" s="88">
        <f>COUNTIFS(GERAL!B$8:B$1696,A107,GERAL!BK$8:BK$1696,"&gt;0",GERAL!C$8:C$1696,"ANEXO")</f>
        <v>0</v>
      </c>
      <c r="AC107" s="121">
        <f>SUMIF(GERAL!B$8:B$1696,A107,GERAL!AD$8:AD$1696)</f>
        <v>0</v>
      </c>
      <c r="AD107" s="121">
        <f>SUMIF(GERAL!B$8:B$1696,A107,GERAL!AI$8:AI$1696)</f>
        <v>546</v>
      </c>
      <c r="AE107" s="121">
        <f>SUMIF(GERAL!B$8:B$1696,A107,GERAL!AV$8:AV$1696)</f>
        <v>65</v>
      </c>
      <c r="AF107" s="492">
        <f t="shared" si="41"/>
        <v>611</v>
      </c>
      <c r="AG107" s="178">
        <f>COUNTIFS(GERAL!B$8:B$1696,A107,GERAL!AW$8:AW$1696,"&gt;0",GERAL!C$8:C$1696,"ESCOLA")</f>
        <v>1</v>
      </c>
      <c r="AH107" s="118">
        <f>COUNTIFS(GERAL!B$8:B$1696,A107,GERAL!AW$8:AW$1696,"&gt;0",GERAL!C$8:C$1696,"ANEXO")</f>
        <v>0</v>
      </c>
      <c r="AI107" s="177">
        <f>SUMIF(GERAL!B$8:B$1696,A107,GERAL!AS$8:AS$1696)+SUMIF(GERAL!B$8:B$1696,A107,GERAL!AT$8:AT$1696)</f>
        <v>0</v>
      </c>
      <c r="AJ107" s="177">
        <f>SUMIF(GERAL!B$8:B$1696,A107,GERAL!AU$8:AU$1696)</f>
        <v>12</v>
      </c>
      <c r="AK107" s="177">
        <f>SUMIF(GERAL!B$8:B$1696,A107,GERAL!AV$8:AV$1696)</f>
        <v>65</v>
      </c>
      <c r="AL107" s="118">
        <f t="shared" si="42"/>
        <v>77</v>
      </c>
      <c r="AM107" s="493" t="s">
        <v>1463</v>
      </c>
    </row>
    <row r="108">
      <c r="A108" s="484" t="s">
        <v>3630</v>
      </c>
      <c r="B108" s="75">
        <f>COUNTIFS(GERAL!B$8:B$1696,A108,GERAL!C$8:C$1696,"ESCOLA")</f>
        <v>1</v>
      </c>
      <c r="C108" s="75">
        <f>COUNTIFS(GERAL!B$8:B$1696,A108,GERAL!C$8:C$1696,"ANEXO")</f>
        <v>1</v>
      </c>
      <c r="D108" s="85">
        <f>SUMIF(GERAL!B$8:B$1696,A108,GERAL!Z$8:Z$1696)</f>
        <v>0</v>
      </c>
      <c r="E108" s="85">
        <f>SUMIF(GERAL!B$8:B$1696,A108,GERAL!AE$8:AE$1696)</f>
        <v>0</v>
      </c>
      <c r="F108" s="85">
        <f>SUMIF(GERAL!B$8:B$1696,A108,GERAL!AJ$8:AJ$1696)</f>
        <v>102</v>
      </c>
      <c r="G108" s="85">
        <f>SUMIF(GERAL!B$8:B$1696,A108,GERAL!AN$8:AN$1696)</f>
        <v>0</v>
      </c>
      <c r="H108" s="85">
        <f>SUMIF(GERAL!B$8:B$1696,A108,GERAL!AR$8:AW$1696)</f>
        <v>0</v>
      </c>
      <c r="I108" s="85">
        <f>SUMIF(GERAL!B$8:B$1696,A108,GERAL!AW$8:AW$1696)</f>
        <v>14</v>
      </c>
      <c r="J108" s="75">
        <f>SUMIF(GERAL!B$8:B$1696,A108,GERAL!AX$8:AX$1696)</f>
        <v>116</v>
      </c>
      <c r="K108" s="75">
        <f>COUNTIFS(GERAL!B$8:B$1696,A108,GERAL!AY$8:AY$1696,"&gt;0",GERAL!C$8:C$1696,"ESCOLA")</f>
        <v>1</v>
      </c>
      <c r="L108" s="75">
        <f>COUNTIFS(GERAL!B$8:B$1696,A108,GERAL!AY$8:AY$1696,"&gt;0",GERAL!C$8:C$1696,"ANEXO")</f>
        <v>0</v>
      </c>
      <c r="M108" s="100">
        <f>SUMIF(GERAL!B$8:B$1696,A108,GERAL!V$8:V$1696)+SUMIF(GERAL!B$8:B$1696,A108,GERAL!W$8:W$1696)</f>
        <v>0</v>
      </c>
      <c r="N108" s="100">
        <f>SUMIF(GERAL!B$8:B$1696,A108,GERAL!AA$8:AA$1696)+SUMIF(GERAL!B$8:B$1696,A108,GERAL!AB$8:AB$1696)</f>
        <v>0</v>
      </c>
      <c r="O108" s="100">
        <f>SUMIF(GERAL!B$8:B$1696,A108,GERAL!AF$8:AF$1696)+SUMIF(GERAL!B$8:B$1696,A108,GERAL!AG$8:AG$1696)</f>
        <v>0</v>
      </c>
      <c r="P108" s="100">
        <f>SUMIF(GERAL!B$8:B$1696,A108,GERAL!AK$8:AK$1696)+SUMIF(GERAL!B$8:B$1696,A108,GERAL!AL$8:AL$1696)</f>
        <v>0</v>
      </c>
      <c r="Q108" s="100">
        <f>SUMIF(GERAL!B$8:B$1696,A108,GERAL!AO$8:AO$1696)+SUMIF(GERAL!B$8:B$1696,A108,GERAL!AP$8:AP$1696)</f>
        <v>0</v>
      </c>
      <c r="R108" s="100">
        <f>SUMIF(GERAL!B$8:B$1696,A108,GERAL!AS$8:AS$1696)+SUMIF(GERAL!B$8:B$1696,A108,GERAL!AT$8:AT$1696)</f>
        <v>0</v>
      </c>
      <c r="S108" s="75">
        <f t="shared" si="39"/>
        <v>0</v>
      </c>
      <c r="T108" s="116">
        <f>COUNTIFS(GERAL!B$8:B$1696,A108,GERAL!AZ$8:AZ$1696,"&gt;0",GERAL!C$8:C$1696,"ESCOLA")</f>
        <v>1</v>
      </c>
      <c r="U108" s="75">
        <f>COUNTIFS(GERAL!B$8:B$1696,A108,GERAL!AZ$8:AZ$1696,"&gt;0",GERAL!C$8:C$1696,"ANEXO")</f>
        <v>1</v>
      </c>
      <c r="V108" s="85">
        <f>SUMIF(GERAL!B$8:B$1696,A108,GERAL!AH$8:AH$1696)</f>
        <v>27</v>
      </c>
      <c r="W108" s="85">
        <f>SUMIF(GERAL!B$8:B$1696,A108,GERAL!AM$8:AM$1696)</f>
        <v>0</v>
      </c>
      <c r="X108" s="85">
        <f>SUMIF(GERAL!B$8:B$1696,A108,GERAL!AQ$8:AQ$1696)</f>
        <v>0</v>
      </c>
      <c r="Y108" s="85">
        <f>SUMIF(GERAL!B$8:B$1696,A108,GERAL!AU$8:AU$1696)</f>
        <v>14</v>
      </c>
      <c r="Z108" s="88">
        <f t="shared" si="40"/>
        <v>41</v>
      </c>
      <c r="AA108" s="116">
        <f>COUNTIFS(GERAL!B$8:B$1696,A108,GERAL!BK$8:BK$1696,"&gt;0",GERAL!C$8:C$1696,"ESCOLA")</f>
        <v>1</v>
      </c>
      <c r="AB108" s="88">
        <f>COUNTIFS(GERAL!B$8:B$1696,A108,GERAL!BK$8:BK$1696,"&gt;0",GERAL!C$8:C$1696,"ANEXO")</f>
        <v>0</v>
      </c>
      <c r="AC108" s="121">
        <f>SUMIF(GERAL!B$8:B$1696,A108,GERAL!AD$8:AD$1696)</f>
        <v>0</v>
      </c>
      <c r="AD108" s="121">
        <f>SUMIF(GERAL!B$8:B$1696,A108,GERAL!AI$8:AI$1696)</f>
        <v>75</v>
      </c>
      <c r="AE108" s="121">
        <f>SUMIF(GERAL!B$8:B$1696,A108,GERAL!AV$8:AV$1696)</f>
        <v>0</v>
      </c>
      <c r="AF108" s="492">
        <f t="shared" si="41"/>
        <v>75</v>
      </c>
      <c r="AG108" s="178">
        <f>COUNTIFS(GERAL!B$8:B$1696,A108,GERAL!AW$8:AW$1696,"&gt;0",GERAL!C$8:C$1696,"ESCOLA")</f>
        <v>1</v>
      </c>
      <c r="AH108" s="118">
        <f>COUNTIFS(GERAL!B$8:B$1696,A108,GERAL!AW$8:AW$1696,"&gt;0",GERAL!C$8:C$1696,"ANEXO")</f>
        <v>0</v>
      </c>
      <c r="AI108" s="177">
        <f>SUMIF(GERAL!B$8:B$1696,A108,GERAL!AS$8:AS$1696)+SUMIF(GERAL!B$8:B$1696,A108,GERAL!AT$8:AT$1696)</f>
        <v>0</v>
      </c>
      <c r="AJ108" s="177">
        <f>SUMIF(GERAL!B$8:B$1696,A108,GERAL!AU$8:AU$1696)</f>
        <v>14</v>
      </c>
      <c r="AK108" s="177">
        <f>SUMIF(GERAL!B$8:B$1696,A108,GERAL!AV$8:AV$1696)</f>
        <v>0</v>
      </c>
      <c r="AL108" s="118">
        <f t="shared" si="42"/>
        <v>14</v>
      </c>
      <c r="AM108" s="493" t="s">
        <v>860</v>
      </c>
    </row>
    <row r="109">
      <c r="A109" s="494" t="s">
        <v>2307</v>
      </c>
      <c r="B109" s="75">
        <f>COUNTIFS(GERAL!B$8:B$1696,A109,GERAL!C$8:C$1696,"ESCOLA")</f>
        <v>3</v>
      </c>
      <c r="C109" s="75">
        <f>COUNTIFS(GERAL!B$8:B$1696,A109,GERAL!C$8:C$1696,"ANEXO")</f>
        <v>0</v>
      </c>
      <c r="D109" s="85">
        <f>SUMIF(GERAL!B$8:B$1696,A109,GERAL!Z$8:Z$1696)</f>
        <v>0</v>
      </c>
      <c r="E109" s="85">
        <f>SUMIF(GERAL!B$8:B$1696,A109,GERAL!AE$8:AE$1696)</f>
        <v>0</v>
      </c>
      <c r="F109" s="85">
        <f>SUMIF(GERAL!B$8:B$1696,A109,GERAL!AJ$8:AJ$1696)</f>
        <v>616</v>
      </c>
      <c r="G109" s="85">
        <f>SUMIF(GERAL!B$8:B$1696,A109,GERAL!AN$8:AN$1696)</f>
        <v>0</v>
      </c>
      <c r="H109" s="85">
        <f>SUMIF(GERAL!B$8:B$1696,A109,GERAL!AR$8:AW$1696)</f>
        <v>324</v>
      </c>
      <c r="I109" s="85">
        <f>SUMIF(GERAL!B$8:B$1696,A109,GERAL!AW$8:AW$1696)</f>
        <v>1668</v>
      </c>
      <c r="J109" s="75">
        <f>SUMIF(GERAL!B$8:B$1696,A109,GERAL!AX$8:AX$1696)</f>
        <v>2608</v>
      </c>
      <c r="K109" s="75">
        <f>COUNTIFS(GERAL!B$8:B$1696,A109,GERAL!AY$8:AY$1696,"&gt;0",GERAL!C$8:C$1696,"ESCOLA")</f>
        <v>3</v>
      </c>
      <c r="L109" s="75">
        <f>COUNTIFS(GERAL!B$8:B$1696,A109,GERAL!AY$8:AY$1696,"&gt;0",GERAL!C$8:C$1696,"ANEXO")</f>
        <v>0</v>
      </c>
      <c r="M109" s="100">
        <f>SUMIF(GERAL!B$8:B$1696,A109,GERAL!V$8:V$1696)+SUMIF(GERAL!B$8:B$1696,A109,GERAL!W$8:W$1696)</f>
        <v>0</v>
      </c>
      <c r="N109" s="100">
        <f>SUMIF(GERAL!B$8:B$1696,A109,GERAL!AA$8:AA$1696)+SUMIF(GERAL!B$8:B$1696,A109,GERAL!AB$8:AB$1696)</f>
        <v>0</v>
      </c>
      <c r="O109" s="100">
        <f>SUMIF(GERAL!B$8:B$1696,A109,GERAL!AF$8:AF$1696)+SUMIF(GERAL!B$8:B$1696,A109,GERAL!AG$8:AG$1696)</f>
        <v>275</v>
      </c>
      <c r="P109" s="100">
        <f>SUMIF(GERAL!B$8:B$1696,A109,GERAL!AK$8:AK$1696)+SUMIF(GERAL!B$8:B$1696,A109,GERAL!AL$8:AL$1696)</f>
        <v>0</v>
      </c>
      <c r="Q109" s="100">
        <f>SUMIF(GERAL!B$8:B$1696,A109,GERAL!AO$8:AO$1696)+SUMIF(GERAL!B$8:B$1696,A109,GERAL!AP$8:AP$1696)</f>
        <v>0</v>
      </c>
      <c r="R109" s="100">
        <f>SUMIF(GERAL!B$8:B$1696,A109,GERAL!AS$8:AS$1696)+SUMIF(GERAL!B$8:B$1696,A109,GERAL!AT$8:AT$1696)</f>
        <v>1024</v>
      </c>
      <c r="S109" s="75">
        <f t="shared" si="39"/>
        <v>1299</v>
      </c>
      <c r="T109" s="116">
        <f>COUNTIFS(GERAL!B$8:B$1696,A109,GERAL!AZ$8:AZ$1696,"&gt;0",GERAL!C$8:C$1696,"ESCOLA")</f>
        <v>3</v>
      </c>
      <c r="U109" s="75">
        <f>COUNTIFS(GERAL!B$8:B$1696,A109,GERAL!AZ$8:AZ$1696,"&gt;0",GERAL!C$8:C$1696,"ANEXO")</f>
        <v>0</v>
      </c>
      <c r="V109" s="85">
        <f>SUMIF(GERAL!B$8:B$1696,A109,GERAL!AH$8:AH$1696)</f>
        <v>0</v>
      </c>
      <c r="W109" s="85">
        <f>SUMIF(GERAL!B$8:B$1696,A109,GERAL!AM$8:AM$1696)</f>
        <v>0</v>
      </c>
      <c r="X109" s="85">
        <f>SUMIF(GERAL!B$8:B$1696,A109,GERAL!AQ$8:AQ$1696)</f>
        <v>324</v>
      </c>
      <c r="Y109" s="85">
        <f>SUMIF(GERAL!B$8:B$1696,A109,GERAL!AU$8:AU$1696)</f>
        <v>644</v>
      </c>
      <c r="Z109" s="88">
        <f t="shared" si="40"/>
        <v>968</v>
      </c>
      <c r="AA109" s="116">
        <f>COUNTIFS(GERAL!B$8:B$1696,A109,GERAL!BK$8:BK$1696,"&gt;0",GERAL!C$8:C$1696,"ESCOLA")</f>
        <v>2</v>
      </c>
      <c r="AB109" s="88">
        <f>COUNTIFS(GERAL!B$8:B$1696,A109,GERAL!BK$8:BK$1696,"&gt;0",GERAL!C$8:C$1696,"ANEXO")</f>
        <v>0</v>
      </c>
      <c r="AC109" s="121">
        <f>SUMIF(GERAL!B$8:B$1696,A109,GERAL!AD$8:AD$1696)</f>
        <v>0</v>
      </c>
      <c r="AD109" s="121">
        <f>SUMIF(GERAL!B$8:B$1696,A109,GERAL!AI$8:AI$1696)</f>
        <v>341</v>
      </c>
      <c r="AE109" s="121">
        <f>SUMIF(GERAL!B$8:B$1696,A109,GERAL!AV$8:AV$1696)</f>
        <v>0</v>
      </c>
      <c r="AF109" s="492">
        <f t="shared" si="41"/>
        <v>341</v>
      </c>
      <c r="AG109" s="178">
        <f>COUNTIFS(GERAL!B$8:B$1696,A109,GERAL!AW$8:AW$1696,"&gt;0",GERAL!C$8:C$1696,"ESCOLA")</f>
        <v>2</v>
      </c>
      <c r="AH109" s="118">
        <f>COUNTIFS(GERAL!B$8:B$1696,A109,GERAL!AW$8:AW$1696,"&gt;0",GERAL!C$8:C$1696,"ANEXO")</f>
        <v>0</v>
      </c>
      <c r="AI109" s="177">
        <f>SUMIF(GERAL!B$8:B$1696,A109,GERAL!AS$8:AS$1696)+SUMIF(GERAL!B$8:B$1696,A109,GERAL!AT$8:AT$1696)</f>
        <v>1024</v>
      </c>
      <c r="AJ109" s="177">
        <f>SUMIF(GERAL!B$8:B$1696,A109,GERAL!AU$8:AU$1696)</f>
        <v>644</v>
      </c>
      <c r="AK109" s="177">
        <f>SUMIF(GERAL!B$8:B$1696,A109,GERAL!AV$8:AV$1696)</f>
        <v>0</v>
      </c>
      <c r="AL109" s="118">
        <f t="shared" si="42"/>
        <v>1668</v>
      </c>
      <c r="AM109" s="493" t="s">
        <v>1281</v>
      </c>
    </row>
    <row r="110">
      <c r="A110" s="484" t="s">
        <v>3873</v>
      </c>
      <c r="B110" s="75">
        <f>COUNTIFS(GERAL!B$8:B$1696,A110,GERAL!C$8:C$1696,"ESCOLA")</f>
        <v>1</v>
      </c>
      <c r="C110" s="75">
        <f>COUNTIFS(GERAL!B$8:B$1696,A110,GERAL!C$8:C$1696,"ANEXO")</f>
        <v>0</v>
      </c>
      <c r="D110" s="85">
        <f>SUMIF(GERAL!B$8:B$1696,A110,GERAL!Z$8:Z$1696)</f>
        <v>0</v>
      </c>
      <c r="E110" s="85">
        <f>SUMIF(GERAL!B$8:B$1696,A110,GERAL!AE$8:AE$1696)</f>
        <v>0</v>
      </c>
      <c r="F110" s="85">
        <f>SUMIF(GERAL!B$8:B$1696,A110,GERAL!AJ$8:AJ$1696)</f>
        <v>161</v>
      </c>
      <c r="G110" s="85">
        <f>SUMIF(GERAL!B$8:B$1696,A110,GERAL!AN$8:AN$1696)</f>
        <v>0</v>
      </c>
      <c r="H110" s="85">
        <f>SUMIF(GERAL!B$8:B$1696,A110,GERAL!AR$8:AW$1696)</f>
        <v>37</v>
      </c>
      <c r="I110" s="85">
        <f>SUMIF(GERAL!B$8:B$1696,A110,GERAL!AW$8:AW$1696)</f>
        <v>28</v>
      </c>
      <c r="J110" s="75">
        <f>SUMIF(GERAL!B$8:B$1696,A110,GERAL!AX$8:AX$1696)</f>
        <v>226</v>
      </c>
      <c r="K110" s="75">
        <f>COUNTIFS(GERAL!B$8:B$1696,A110,GERAL!AY$8:AY$1696,"&gt;0",GERAL!C$8:C$1696,"ESCOLA")</f>
        <v>1</v>
      </c>
      <c r="L110" s="75">
        <f>COUNTIFS(GERAL!B$8:B$1696,A110,GERAL!AY$8:AY$1696,"&gt;0",GERAL!C$8:C$1696,"ANEXO")</f>
        <v>0</v>
      </c>
      <c r="M110" s="100">
        <f>SUMIF(GERAL!B$8:B$1696,A110,GERAL!V$8:V$1696)+SUMIF(GERAL!B$8:B$1696,A110,GERAL!W$8:W$1696)</f>
        <v>0</v>
      </c>
      <c r="N110" s="100">
        <f>SUMIF(GERAL!B$8:B$1696,A110,GERAL!AA$8:AA$1696)+SUMIF(GERAL!B$8:B$1696,A110,GERAL!AB$8:AB$1696)</f>
        <v>0</v>
      </c>
      <c r="O110" s="100">
        <f>SUMIF(GERAL!B$8:B$1696,A110,GERAL!AF$8:AF$1696)+SUMIF(GERAL!B$8:B$1696,A110,GERAL!AG$8:AG$1696)</f>
        <v>0</v>
      </c>
      <c r="P110" s="100">
        <f>SUMIF(GERAL!B$8:B$1696,A110,GERAL!AK$8:AK$1696)+SUMIF(GERAL!B$8:B$1696,A110,GERAL!AL$8:AL$1696)</f>
        <v>0</v>
      </c>
      <c r="Q110" s="100">
        <f>SUMIF(GERAL!B$8:B$1696,A110,GERAL!AO$8:AO$1696)+SUMIF(GERAL!B$8:B$1696,A110,GERAL!AP$8:AP$1696)</f>
        <v>0</v>
      </c>
      <c r="R110" s="100">
        <f>SUMIF(GERAL!B$8:B$1696,A110,GERAL!AS$8:AS$1696)+SUMIF(GERAL!B$8:B$1696,A110,GERAL!AT$8:AT$1696)</f>
        <v>0</v>
      </c>
      <c r="S110" s="75">
        <f t="shared" si="39"/>
        <v>0</v>
      </c>
      <c r="T110" s="116">
        <f>COUNTIFS(GERAL!B$8:B$1696,A110,GERAL!AZ$8:AZ$1696,"&gt;0",GERAL!C$8:C$1696,"ESCOLA")</f>
        <v>1</v>
      </c>
      <c r="U110" s="75">
        <f>COUNTIFS(GERAL!B$8:B$1696,A110,GERAL!AZ$8:AZ$1696,"&gt;0",GERAL!C$8:C$1696,"ANEXO")</f>
        <v>0</v>
      </c>
      <c r="V110" s="85">
        <f>SUMIF(GERAL!B$8:B$1696,A110,GERAL!AH$8:AH$1696)</f>
        <v>0</v>
      </c>
      <c r="W110" s="85">
        <f>SUMIF(GERAL!B$8:B$1696,A110,GERAL!AM$8:AM$1696)</f>
        <v>0</v>
      </c>
      <c r="X110" s="85">
        <f>SUMIF(GERAL!B$8:B$1696,A110,GERAL!AQ$8:AQ$1696)</f>
        <v>37</v>
      </c>
      <c r="Y110" s="85">
        <f>SUMIF(GERAL!B$8:B$1696,A110,GERAL!AU$8:AU$1696)</f>
        <v>0</v>
      </c>
      <c r="Z110" s="88">
        <f t="shared" si="40"/>
        <v>37</v>
      </c>
      <c r="AA110" s="116">
        <f>COUNTIFS(GERAL!B$8:B$1696,A110,GERAL!BK$8:BK$1696,"&gt;0",GERAL!C$8:C$1696,"ESCOLA")</f>
        <v>1</v>
      </c>
      <c r="AB110" s="88">
        <f>COUNTIFS(GERAL!B$8:B$1696,A110,GERAL!BK$8:BK$1696,"&gt;0",GERAL!C$8:C$1696,"ANEXO")</f>
        <v>0</v>
      </c>
      <c r="AC110" s="121">
        <f>SUMIF(GERAL!B$8:B$1696,A110,GERAL!AD$8:AD$1696)</f>
        <v>0</v>
      </c>
      <c r="AD110" s="121">
        <f>SUMIF(GERAL!B$8:B$1696,A110,GERAL!AI$8:AI$1696)</f>
        <v>161</v>
      </c>
      <c r="AE110" s="121">
        <f>SUMIF(GERAL!B$8:B$1696,A110,GERAL!AV$8:AV$1696)</f>
        <v>28</v>
      </c>
      <c r="AF110" s="492">
        <f t="shared" si="41"/>
        <v>189</v>
      </c>
      <c r="AG110" s="178">
        <f>COUNTIFS(GERAL!B$8:B$1696,A110,GERAL!AW$8:AW$1696,"&gt;0",GERAL!C$8:C$1696,"ESCOLA")</f>
        <v>1</v>
      </c>
      <c r="AH110" s="118">
        <f>COUNTIFS(GERAL!B$8:B$1696,A110,GERAL!AW$8:AW$1696,"&gt;0",GERAL!C$8:C$1696,"ANEXO")</f>
        <v>0</v>
      </c>
      <c r="AI110" s="177">
        <f>SUMIF(GERAL!B$8:B$1696,A110,GERAL!AS$8:AS$1696)+SUMIF(GERAL!B$8:B$1696,A110,GERAL!AT$8:AT$1696)</f>
        <v>0</v>
      </c>
      <c r="AJ110" s="177">
        <f>SUMIF(GERAL!B$8:B$1696,A110,GERAL!AU$8:AU$1696)</f>
        <v>0</v>
      </c>
      <c r="AK110" s="177">
        <f>SUMIF(GERAL!B$8:B$1696,A110,GERAL!AV$8:AV$1696)</f>
        <v>28</v>
      </c>
      <c r="AL110" s="118">
        <f t="shared" si="42"/>
        <v>28</v>
      </c>
      <c r="AM110" s="493" t="s">
        <v>914</v>
      </c>
    </row>
    <row r="111">
      <c r="A111" s="494" t="s">
        <v>226</v>
      </c>
      <c r="B111" s="75">
        <f>COUNTIFS(GERAL!B$8:B$1696,A111,GERAL!C$8:C$1696,"ESCOLA")</f>
        <v>1</v>
      </c>
      <c r="C111" s="75">
        <f>COUNTIFS(GERAL!B$8:B$1696,A111,GERAL!C$8:C$1696,"ANEXO")</f>
        <v>0</v>
      </c>
      <c r="D111" s="85">
        <f>SUMIF(GERAL!B$8:B$1696,A111,GERAL!Z$8:Z$1696)</f>
        <v>0</v>
      </c>
      <c r="E111" s="85">
        <f>SUMIF(GERAL!B$8:B$1696,A111,GERAL!AE$8:AE$1696)</f>
        <v>0</v>
      </c>
      <c r="F111" s="85">
        <f>SUMIF(GERAL!B$8:B$1696,A111,GERAL!AJ$8:AJ$1696)</f>
        <v>393</v>
      </c>
      <c r="G111" s="85">
        <f>SUMIF(GERAL!B$8:B$1696,A111,GERAL!AN$8:AN$1696)</f>
        <v>0</v>
      </c>
      <c r="H111" s="85">
        <f>SUMIF(GERAL!B$8:B$1696,A111,GERAL!AR$8:AW$1696)</f>
        <v>82</v>
      </c>
      <c r="I111" s="85">
        <f>SUMIF(GERAL!B$8:B$1696,A111,GERAL!AW$8:AW$1696)</f>
        <v>79</v>
      </c>
      <c r="J111" s="75">
        <f>SUMIF(GERAL!B$8:B$1696,A111,GERAL!AX$8:AX$1696)</f>
        <v>554</v>
      </c>
      <c r="K111" s="75">
        <f>COUNTIFS(GERAL!B$8:B$1696,A111,GERAL!AY$8:AY$1696,"&gt;0",GERAL!C$8:C$1696,"ESCOLA")</f>
        <v>1</v>
      </c>
      <c r="L111" s="75">
        <f>COUNTIFS(GERAL!B$8:B$1696,A111,GERAL!AY$8:AY$1696,"&gt;0",GERAL!C$8:C$1696,"ANEXO")</f>
        <v>0</v>
      </c>
      <c r="M111" s="100">
        <f>SUMIF(GERAL!B$8:B$1696,A111,GERAL!V$8:V$1696)+SUMIF(GERAL!B$8:B$1696,A111,GERAL!W$8:W$1696)</f>
        <v>0</v>
      </c>
      <c r="N111" s="100">
        <f>SUMIF(GERAL!B$8:B$1696,A111,GERAL!AA$8:AA$1696)+SUMIF(GERAL!B$8:B$1696,A111,GERAL!AB$8:AB$1696)</f>
        <v>0</v>
      </c>
      <c r="O111" s="100">
        <f>SUMIF(GERAL!B$8:B$1696,A111,GERAL!AF$8:AF$1696)+SUMIF(GERAL!B$8:B$1696,A111,GERAL!AG$8:AG$1696)</f>
        <v>0</v>
      </c>
      <c r="P111" s="100">
        <f>SUMIF(GERAL!B$8:B$1696,A111,GERAL!AK$8:AK$1696)+SUMIF(GERAL!B$8:B$1696,A111,GERAL!AL$8:AL$1696)</f>
        <v>0</v>
      </c>
      <c r="Q111" s="100">
        <f>SUMIF(GERAL!B$8:B$1696,A111,GERAL!AO$8:AO$1696)+SUMIF(GERAL!B$8:B$1696,A111,GERAL!AP$8:AP$1696)</f>
        <v>0</v>
      </c>
      <c r="R111" s="100">
        <f>SUMIF(GERAL!B$8:B$1696,A111,GERAL!AS$8:AS$1696)+SUMIF(GERAL!B$8:B$1696,A111,GERAL!AT$8:AT$1696)</f>
        <v>0</v>
      </c>
      <c r="S111" s="75">
        <f t="shared" si="39"/>
        <v>0</v>
      </c>
      <c r="T111" s="116">
        <f>COUNTIFS(GERAL!B$8:B$1696,A111,GERAL!AZ$8:AZ$1696,"&gt;0",GERAL!C$8:C$1696,"ESCOLA")</f>
        <v>1</v>
      </c>
      <c r="U111" s="75">
        <f>COUNTIFS(GERAL!B$8:B$1696,A111,GERAL!AZ$8:AZ$1696,"&gt;0",GERAL!C$8:C$1696,"ANEXO")</f>
        <v>0</v>
      </c>
      <c r="V111" s="85">
        <f>SUMIF(GERAL!B$8:B$1696,A111,GERAL!AH$8:AH$1696)</f>
        <v>0</v>
      </c>
      <c r="W111" s="85">
        <f>SUMIF(GERAL!B$8:B$1696,A111,GERAL!AM$8:AM$1696)</f>
        <v>0</v>
      </c>
      <c r="X111" s="85">
        <f>SUMIF(GERAL!B$8:B$1696,A111,GERAL!AQ$8:AQ$1696)</f>
        <v>82</v>
      </c>
      <c r="Y111" s="85">
        <f>SUMIF(GERAL!B$8:B$1696,A111,GERAL!AU$8:AU$1696)</f>
        <v>0</v>
      </c>
      <c r="Z111" s="88">
        <f t="shared" si="40"/>
        <v>82</v>
      </c>
      <c r="AA111" s="116">
        <f>COUNTIFS(GERAL!B$8:B$1696,A111,GERAL!BK$8:BK$1696,"&gt;0",GERAL!C$8:C$1696,"ESCOLA")</f>
        <v>1</v>
      </c>
      <c r="AB111" s="88">
        <f>COUNTIFS(GERAL!B$8:B$1696,A111,GERAL!BK$8:BK$1696,"&gt;0",GERAL!C$8:C$1696,"ANEXO")</f>
        <v>0</v>
      </c>
      <c r="AC111" s="121">
        <f>SUMIF(GERAL!B$8:B$1696,A111,GERAL!AD$8:AD$1696)</f>
        <v>0</v>
      </c>
      <c r="AD111" s="121">
        <f>SUMIF(GERAL!B$8:B$1696,A111,GERAL!AI$8:AI$1696)</f>
        <v>393</v>
      </c>
      <c r="AE111" s="121">
        <f>SUMIF(GERAL!B$8:B$1696,A111,GERAL!AV$8:AV$1696)</f>
        <v>79</v>
      </c>
      <c r="AF111" s="492">
        <f t="shared" si="41"/>
        <v>472</v>
      </c>
      <c r="AG111" s="178">
        <f>COUNTIFS(GERAL!B$8:B$1696,A111,GERAL!AW$8:AW$1696,"&gt;0",GERAL!C$8:C$1696,"ESCOLA")</f>
        <v>1</v>
      </c>
      <c r="AH111" s="118">
        <f>COUNTIFS(GERAL!B$8:B$1696,A111,GERAL!AW$8:AW$1696,"&gt;0",GERAL!C$8:C$1696,"ANEXO")</f>
        <v>0</v>
      </c>
      <c r="AI111" s="177">
        <f>SUMIF(GERAL!B$8:B$1696,A111,GERAL!AS$8:AS$1696)+SUMIF(GERAL!B$8:B$1696,A111,GERAL!AT$8:AT$1696)</f>
        <v>0</v>
      </c>
      <c r="AJ111" s="177">
        <f>SUMIF(GERAL!B$8:B$1696,A111,GERAL!AU$8:AU$1696)</f>
        <v>0</v>
      </c>
      <c r="AK111" s="177">
        <f>SUMIF(GERAL!B$8:B$1696,A111,GERAL!AV$8:AV$1696)</f>
        <v>79</v>
      </c>
      <c r="AL111" s="118">
        <f t="shared" si="42"/>
        <v>79</v>
      </c>
      <c r="AM111" s="493" t="s">
        <v>130</v>
      </c>
    </row>
    <row r="112">
      <c r="A112" s="484" t="s">
        <v>2190</v>
      </c>
      <c r="B112" s="75">
        <f>COUNTIFS(GERAL!B$8:B$1696,A112,GERAL!C$8:C$1696,"ESCOLA")</f>
        <v>2</v>
      </c>
      <c r="C112" s="75">
        <f>COUNTIFS(GERAL!B$8:B$1696,A112,GERAL!C$8:C$1696,"ANEXO")</f>
        <v>1</v>
      </c>
      <c r="D112" s="85">
        <f>SUMIF(GERAL!B$8:B$1696,A112,GERAL!Z$8:Z$1696)</f>
        <v>0</v>
      </c>
      <c r="E112" s="85">
        <f>SUMIF(GERAL!B$8:B$1696,A112,GERAL!AE$8:AE$1696)</f>
        <v>0</v>
      </c>
      <c r="F112" s="85">
        <f>SUMIF(GERAL!B$8:B$1696,A112,GERAL!AJ$8:AJ$1696)</f>
        <v>416</v>
      </c>
      <c r="G112" s="85">
        <f>SUMIF(GERAL!B$8:B$1696,A112,GERAL!AN$8:AN$1696)</f>
        <v>0</v>
      </c>
      <c r="H112" s="85">
        <f>SUMIF(GERAL!B$8:B$1696,A112,GERAL!AR$8:AW$1696)</f>
        <v>36</v>
      </c>
      <c r="I112" s="85">
        <f>SUMIF(GERAL!B$8:B$1696,A112,GERAL!AW$8:AW$1696)</f>
        <v>99</v>
      </c>
      <c r="J112" s="75">
        <f>SUMIF(GERAL!B$8:B$1696,A112,GERAL!AX$8:AX$1696)</f>
        <v>551</v>
      </c>
      <c r="K112" s="75">
        <f>COUNTIFS(GERAL!B$8:B$1696,A112,GERAL!AY$8:AY$1696,"&gt;0",GERAL!C$8:C$1696,"ESCOLA")</f>
        <v>2</v>
      </c>
      <c r="L112" s="75">
        <f>COUNTIFS(GERAL!B$8:B$1696,A112,GERAL!AY$8:AY$1696,"&gt;0",GERAL!C$8:C$1696,"ANEXO")</f>
        <v>1</v>
      </c>
      <c r="M112" s="100">
        <f>SUMIF(GERAL!B$8:B$1696,A112,GERAL!V$8:V$1696)+SUMIF(GERAL!B$8:B$1696,A112,GERAL!W$8:W$1696)</f>
        <v>0</v>
      </c>
      <c r="N112" s="100">
        <f>SUMIF(GERAL!B$8:B$1696,A112,GERAL!AA$8:AA$1696)+SUMIF(GERAL!B$8:B$1696,A112,GERAL!AB$8:AB$1696)</f>
        <v>0</v>
      </c>
      <c r="O112" s="100">
        <f>SUMIF(GERAL!B$8:B$1696,A112,GERAL!AF$8:AF$1696)+SUMIF(GERAL!B$8:B$1696,A112,GERAL!AG$8:AG$1696)</f>
        <v>385</v>
      </c>
      <c r="P112" s="100">
        <f>SUMIF(GERAL!B$8:B$1696,A112,GERAL!AK$8:AK$1696)+SUMIF(GERAL!B$8:B$1696,A112,GERAL!AL$8:AL$1696)</f>
        <v>0</v>
      </c>
      <c r="Q112" s="100">
        <f>SUMIF(GERAL!B$8:B$1696,A112,GERAL!AO$8:AO$1696)+SUMIF(GERAL!B$8:B$1696,A112,GERAL!AP$8:AP$1696)</f>
        <v>0</v>
      </c>
      <c r="R112" s="100">
        <f>SUMIF(GERAL!B$8:B$1696,A112,GERAL!AS$8:AS$1696)+SUMIF(GERAL!B$8:B$1696,A112,GERAL!AT$8:AT$1696)</f>
        <v>0</v>
      </c>
      <c r="S112" s="75">
        <f t="shared" si="39"/>
        <v>385</v>
      </c>
      <c r="T112" s="116">
        <f>COUNTIFS(GERAL!B$8:B$1696,A112,GERAL!AZ$8:AZ$1696,"&gt;0",GERAL!C$8:C$1696,"ESCOLA")</f>
        <v>2</v>
      </c>
      <c r="U112" s="75">
        <f>COUNTIFS(GERAL!B$8:B$1696,A112,GERAL!AZ$8:AZ$1696,"&gt;0",GERAL!C$8:C$1696,"ANEXO")</f>
        <v>0</v>
      </c>
      <c r="V112" s="85">
        <f>SUMIF(GERAL!B$8:B$1696,A112,GERAL!AH$8:AH$1696)</f>
        <v>0</v>
      </c>
      <c r="W112" s="85">
        <f>SUMIF(GERAL!B$8:B$1696,A112,GERAL!AM$8:AM$1696)</f>
        <v>0</v>
      </c>
      <c r="X112" s="85">
        <f>SUMIF(GERAL!B$8:B$1696,A112,GERAL!AQ$8:AQ$1696)</f>
        <v>36</v>
      </c>
      <c r="Y112" s="85">
        <f>SUMIF(GERAL!B$8:B$1696,A112,GERAL!AU$8:AU$1696)</f>
        <v>21</v>
      </c>
      <c r="Z112" s="88">
        <f t="shared" si="40"/>
        <v>57</v>
      </c>
      <c r="AA112" s="116">
        <f>COUNTIFS(GERAL!B$8:B$1696,A112,GERAL!BK$8:BK$1696,"&gt;0",GERAL!C$8:C$1696,"ESCOLA")</f>
        <v>1</v>
      </c>
      <c r="AB112" s="88">
        <f>COUNTIFS(GERAL!B$8:B$1696,A112,GERAL!BK$8:BK$1696,"&gt;0",GERAL!C$8:C$1696,"ANEXO")</f>
        <v>0</v>
      </c>
      <c r="AC112" s="121">
        <f>SUMIF(GERAL!B$8:B$1696,A112,GERAL!AD$8:AD$1696)</f>
        <v>0</v>
      </c>
      <c r="AD112" s="121">
        <f>SUMIF(GERAL!B$8:B$1696,A112,GERAL!AI$8:AI$1696)</f>
        <v>31</v>
      </c>
      <c r="AE112" s="121">
        <f>SUMIF(GERAL!B$8:B$1696,A112,GERAL!AV$8:AV$1696)</f>
        <v>78</v>
      </c>
      <c r="AF112" s="492">
        <f t="shared" si="41"/>
        <v>109</v>
      </c>
      <c r="AG112" s="178">
        <f>COUNTIFS(GERAL!B$8:B$1696,A112,GERAL!AW$8:AW$1696,"&gt;0",GERAL!C$8:C$1696,"ESCOLA")</f>
        <v>1</v>
      </c>
      <c r="AH112" s="118">
        <f>COUNTIFS(GERAL!B$8:B$1696,A112,GERAL!AW$8:AW$1696,"&gt;0",GERAL!C$8:C$1696,"ANEXO")</f>
        <v>0</v>
      </c>
      <c r="AI112" s="177">
        <f>SUMIF(GERAL!B$8:B$1696,A112,GERAL!AS$8:AS$1696)+SUMIF(GERAL!B$8:B$1696,A112,GERAL!AT$8:AT$1696)</f>
        <v>0</v>
      </c>
      <c r="AJ112" s="177">
        <f>SUMIF(GERAL!B$8:B$1696,A112,GERAL!AU$8:AU$1696)</f>
        <v>21</v>
      </c>
      <c r="AK112" s="177">
        <f>SUMIF(GERAL!B$8:B$1696,A112,GERAL!AV$8:AV$1696)</f>
        <v>78</v>
      </c>
      <c r="AL112" s="118">
        <f t="shared" si="42"/>
        <v>99</v>
      </c>
      <c r="AM112" s="493" t="s">
        <v>1629</v>
      </c>
    </row>
    <row r="113">
      <c r="A113" s="494" t="s">
        <v>5101</v>
      </c>
      <c r="B113" s="75">
        <f>COUNTIFS(GERAL!B$8:B$1696,A113,GERAL!C$8:C$1696,"ESCOLA")</f>
        <v>2</v>
      </c>
      <c r="C113" s="75">
        <f>COUNTIFS(GERAL!B$8:B$1696,A113,GERAL!C$8:C$1696,"ANEXO")</f>
        <v>2</v>
      </c>
      <c r="D113" s="85">
        <f>SUMIF(GERAL!B$8:B$1696,A113,GERAL!Z$8:Z$1696)</f>
        <v>0</v>
      </c>
      <c r="E113" s="85">
        <f>SUMIF(GERAL!B$8:B$1696,A113,GERAL!AE$8:AE$1696)</f>
        <v>0</v>
      </c>
      <c r="F113" s="85">
        <f>SUMIF(GERAL!B$8:B$1696,A113,GERAL!AJ$8:AJ$1696)</f>
        <v>324</v>
      </c>
      <c r="G113" s="85">
        <f>SUMIF(GERAL!B$8:B$1696,A113,GERAL!AN$8:AN$1696)</f>
        <v>0</v>
      </c>
      <c r="H113" s="85">
        <f>SUMIF(GERAL!B$8:B$1696,A113,GERAL!AR$8:AW$1696)</f>
        <v>34</v>
      </c>
      <c r="I113" s="85">
        <f>SUMIF(GERAL!B$8:B$1696,A113,GERAL!AW$8:AW$1696)</f>
        <v>908</v>
      </c>
      <c r="J113" s="75">
        <f>SUMIF(GERAL!B$8:B$1696,A113,GERAL!AX$8:AX$1696)</f>
        <v>1266</v>
      </c>
      <c r="K113" s="75">
        <f>COUNTIFS(GERAL!B$8:B$1696,A113,GERAL!AY$8:AY$1696,"&gt;0",GERAL!C$8:C$1696,"ESCOLA")</f>
        <v>2</v>
      </c>
      <c r="L113" s="75">
        <f>COUNTIFS(GERAL!B$8:B$1696,A113,GERAL!AY$8:AY$1696,"&gt;0",GERAL!C$8:C$1696,"ANEXO")</f>
        <v>0</v>
      </c>
      <c r="M113" s="100">
        <f>SUMIF(GERAL!B$8:B$1696,A113,GERAL!V$8:V$1696)+SUMIF(GERAL!B$8:B$1696,A113,GERAL!W$8:W$1696)</f>
        <v>0</v>
      </c>
      <c r="N113" s="100">
        <f>SUMIF(GERAL!B$8:B$1696,A113,GERAL!AA$8:AA$1696)+SUMIF(GERAL!B$8:B$1696,A113,GERAL!AB$8:AB$1696)</f>
        <v>0</v>
      </c>
      <c r="O113" s="100">
        <f>SUMIF(GERAL!B$8:B$1696,A113,GERAL!AF$8:AF$1696)+SUMIF(GERAL!B$8:B$1696,A113,GERAL!AG$8:AG$1696)</f>
        <v>214</v>
      </c>
      <c r="P113" s="100">
        <f>SUMIF(GERAL!B$8:B$1696,A113,GERAL!AK$8:AK$1696)+SUMIF(GERAL!B$8:B$1696,A113,GERAL!AL$8:AL$1696)</f>
        <v>0</v>
      </c>
      <c r="Q113" s="100">
        <f>SUMIF(GERAL!B$8:B$1696,A113,GERAL!AO$8:AO$1696)+SUMIF(GERAL!B$8:B$1696,A113,GERAL!AP$8:AP$1696)</f>
        <v>0</v>
      </c>
      <c r="R113" s="100">
        <f>SUMIF(GERAL!B$8:B$1696,A113,GERAL!AS$8:AS$1696)+SUMIF(GERAL!B$8:B$1696,A113,GERAL!AT$8:AT$1696)</f>
        <v>785</v>
      </c>
      <c r="S113" s="75">
        <f t="shared" si="39"/>
        <v>999</v>
      </c>
      <c r="T113" s="116">
        <f>COUNTIFS(GERAL!B$8:B$1696,A113,GERAL!AZ$8:AZ$1696,"&gt;0",GERAL!C$8:C$1696,"ESCOLA")</f>
        <v>2</v>
      </c>
      <c r="U113" s="75">
        <f>COUNTIFS(GERAL!B$8:B$1696,A113,GERAL!AZ$8:AZ$1696,"&gt;0",GERAL!C$8:C$1696,"ANEXO")</f>
        <v>2</v>
      </c>
      <c r="V113" s="85">
        <f>SUMIF(GERAL!B$8:B$1696,A113,GERAL!AH$8:AH$1696)</f>
        <v>110</v>
      </c>
      <c r="W113" s="85">
        <f>SUMIF(GERAL!B$8:B$1696,A113,GERAL!AM$8:AM$1696)</f>
        <v>0</v>
      </c>
      <c r="X113" s="85">
        <f>SUMIF(GERAL!B$8:B$1696,A113,GERAL!AQ$8:AQ$1696)</f>
        <v>34</v>
      </c>
      <c r="Y113" s="85">
        <f>SUMIF(GERAL!B$8:B$1696,A113,GERAL!AU$8:AU$1696)</f>
        <v>123</v>
      </c>
      <c r="Z113" s="88">
        <f t="shared" si="40"/>
        <v>267</v>
      </c>
      <c r="AA113" s="116">
        <f>COUNTIFS(GERAL!B$8:B$1696,A113,GERAL!BK$8:BK$1696,"&gt;0",GERAL!C$8:C$1696,"ESCOLA")</f>
        <v>0</v>
      </c>
      <c r="AB113" s="88">
        <f>COUNTIFS(GERAL!B$8:B$1696,A113,GERAL!BK$8:BK$1696,"&gt;0",GERAL!C$8:C$1696,"ANEXO")</f>
        <v>0</v>
      </c>
      <c r="AC113" s="121">
        <f>SUMIF(GERAL!B$8:B$1696,A113,GERAL!AD$8:AD$1696)</f>
        <v>0</v>
      </c>
      <c r="AD113" s="121">
        <f>SUMIF(GERAL!B$8:B$1696,A113,GERAL!AI$8:AI$1696)</f>
        <v>0</v>
      </c>
      <c r="AE113" s="121">
        <f>SUMIF(GERAL!B$8:B$1696,A113,GERAL!AV$8:AV$1696)</f>
        <v>0</v>
      </c>
      <c r="AF113" s="492">
        <f t="shared" si="41"/>
        <v>0</v>
      </c>
      <c r="AG113" s="178">
        <f>COUNTIFS(GERAL!B$8:B$1696,A113,GERAL!AW$8:AW$1696,"&gt;0",GERAL!C$8:C$1696,"ESCOLA")</f>
        <v>1</v>
      </c>
      <c r="AH113" s="118">
        <f>COUNTIFS(GERAL!B$8:B$1696,A113,GERAL!AW$8:AW$1696,"&gt;0",GERAL!C$8:C$1696,"ANEXO")</f>
        <v>0</v>
      </c>
      <c r="AI113" s="177">
        <f>SUMIF(GERAL!B$8:B$1696,A113,GERAL!AS$8:AS$1696)+SUMIF(GERAL!B$8:B$1696,A113,GERAL!AT$8:AT$1696)</f>
        <v>785</v>
      </c>
      <c r="AJ113" s="177">
        <f>SUMIF(GERAL!B$8:B$1696,A113,GERAL!AU$8:AU$1696)</f>
        <v>123</v>
      </c>
      <c r="AK113" s="177">
        <f>SUMIF(GERAL!B$8:B$1696,A113,GERAL!AV$8:AV$1696)</f>
        <v>0</v>
      </c>
      <c r="AL113" s="118">
        <f t="shared" si="42"/>
        <v>908</v>
      </c>
      <c r="AM113" s="493" t="s">
        <v>1224</v>
      </c>
    </row>
    <row r="114">
      <c r="A114" s="484" t="s">
        <v>2005</v>
      </c>
      <c r="B114" s="75">
        <f>COUNTIFS(GERAL!B$8:B$1696,A114,GERAL!C$8:C$1696,"ESCOLA")</f>
        <v>1</v>
      </c>
      <c r="C114" s="75">
        <f>COUNTIFS(GERAL!B$8:B$1696,A114,GERAL!C$8:C$1696,"ANEXO")</f>
        <v>0</v>
      </c>
      <c r="D114" s="85">
        <f>SUMIF(GERAL!B$8:B$1696,A114,GERAL!Z$8:Z$1696)</f>
        <v>0</v>
      </c>
      <c r="E114" s="85">
        <f>SUMIF(GERAL!B$8:B$1696,A114,GERAL!AE$8:AE$1696)</f>
        <v>0</v>
      </c>
      <c r="F114" s="85">
        <f>SUMIF(GERAL!B$8:B$1696,A114,GERAL!AJ$8:AJ$1696)</f>
        <v>481</v>
      </c>
      <c r="G114" s="85">
        <f>SUMIF(GERAL!B$8:B$1696,A114,GERAL!AN$8:AN$1696)</f>
        <v>0</v>
      </c>
      <c r="H114" s="85">
        <f>SUMIF(GERAL!B$8:B$1696,A114,GERAL!AR$8:AW$1696)</f>
        <v>245</v>
      </c>
      <c r="I114" s="85">
        <f>SUMIF(GERAL!B$8:B$1696,A114,GERAL!AW$8:AW$1696)</f>
        <v>65</v>
      </c>
      <c r="J114" s="75">
        <f>SUMIF(GERAL!B$8:B$1696,A114,GERAL!AX$8:AX$1696)</f>
        <v>791</v>
      </c>
      <c r="K114" s="75">
        <f>COUNTIFS(GERAL!B$8:B$1696,A114,GERAL!AY$8:AY$1696,"&gt;0",GERAL!C$8:C$1696,"ESCOLA")</f>
        <v>1</v>
      </c>
      <c r="L114" s="75">
        <f>COUNTIFS(GERAL!B$8:B$1696,A114,GERAL!AY$8:AY$1696,"&gt;0",GERAL!C$8:C$1696,"ANEXO")</f>
        <v>0</v>
      </c>
      <c r="M114" s="100">
        <f>SUMIF(GERAL!B$8:B$1696,A114,GERAL!V$8:V$1696)+SUMIF(GERAL!B$8:B$1696,A114,GERAL!W$8:W$1696)</f>
        <v>0</v>
      </c>
      <c r="N114" s="100">
        <f>SUMIF(GERAL!B$8:B$1696,A114,GERAL!AA$8:AA$1696)+SUMIF(GERAL!B$8:B$1696,A114,GERAL!AB$8:AB$1696)</f>
        <v>0</v>
      </c>
      <c r="O114" s="100">
        <f>SUMIF(GERAL!B$8:B$1696,A114,GERAL!AF$8:AF$1696)+SUMIF(GERAL!B$8:B$1696,A114,GERAL!AG$8:AG$1696)</f>
        <v>0</v>
      </c>
      <c r="P114" s="100">
        <f>SUMIF(GERAL!B$8:B$1696,A114,GERAL!AK$8:AK$1696)+SUMIF(GERAL!B$8:B$1696,A114,GERAL!AL$8:AL$1696)</f>
        <v>0</v>
      </c>
      <c r="Q114" s="100">
        <f>SUMIF(GERAL!B$8:B$1696,A114,GERAL!AO$8:AO$1696)+SUMIF(GERAL!B$8:B$1696,A114,GERAL!AP$8:AP$1696)</f>
        <v>0</v>
      </c>
      <c r="R114" s="100">
        <f>SUMIF(GERAL!B$8:B$1696,A114,GERAL!AS$8:AS$1696)+SUMIF(GERAL!B$8:B$1696,A114,GERAL!AT$8:AT$1696)</f>
        <v>0</v>
      </c>
      <c r="S114" s="75">
        <f t="shared" si="39"/>
        <v>0</v>
      </c>
      <c r="T114" s="116">
        <f>COUNTIFS(GERAL!B$8:B$1696,A114,GERAL!AZ$8:AZ$1696,"&gt;0",GERAL!C$8:C$1696,"ESCOLA")</f>
        <v>1</v>
      </c>
      <c r="U114" s="75">
        <f>COUNTIFS(GERAL!B$8:B$1696,A114,GERAL!AZ$8:AZ$1696,"&gt;0",GERAL!C$8:C$1696,"ANEXO")</f>
        <v>0</v>
      </c>
      <c r="V114" s="85">
        <f>SUMIF(GERAL!B$8:B$1696,A114,GERAL!AH$8:AH$1696)</f>
        <v>0</v>
      </c>
      <c r="W114" s="85">
        <f>SUMIF(GERAL!B$8:B$1696,A114,GERAL!AM$8:AM$1696)</f>
        <v>0</v>
      </c>
      <c r="X114" s="85">
        <f>SUMIF(GERAL!B$8:B$1696,A114,GERAL!AQ$8:AQ$1696)</f>
        <v>245</v>
      </c>
      <c r="Y114" s="85">
        <f>SUMIF(GERAL!B$8:B$1696,A114,GERAL!AU$8:AU$1696)</f>
        <v>0</v>
      </c>
      <c r="Z114" s="88">
        <f t="shared" si="40"/>
        <v>245</v>
      </c>
      <c r="AA114" s="116">
        <f>COUNTIFS(GERAL!B$8:B$1696,A114,GERAL!BK$8:BK$1696,"&gt;0",GERAL!C$8:C$1696,"ESCOLA")</f>
        <v>1</v>
      </c>
      <c r="AB114" s="88">
        <f>COUNTIFS(GERAL!B$8:B$1696,A114,GERAL!BK$8:BK$1696,"&gt;0",GERAL!C$8:C$1696,"ANEXO")</f>
        <v>0</v>
      </c>
      <c r="AC114" s="121">
        <f>SUMIF(GERAL!B$8:B$1696,A114,GERAL!AD$8:AD$1696)</f>
        <v>0</v>
      </c>
      <c r="AD114" s="121">
        <f>SUMIF(GERAL!B$8:B$1696,A114,GERAL!AI$8:AI$1696)</f>
        <v>481</v>
      </c>
      <c r="AE114" s="121">
        <f>SUMIF(GERAL!B$8:B$1696,A114,GERAL!AV$8:AV$1696)</f>
        <v>65</v>
      </c>
      <c r="AF114" s="492">
        <f t="shared" si="41"/>
        <v>546</v>
      </c>
      <c r="AG114" s="178">
        <f>COUNTIFS(GERAL!B$8:B$1696,A114,GERAL!AW$8:AW$1696,"&gt;0",GERAL!C$8:C$1696,"ESCOLA")</f>
        <v>1</v>
      </c>
      <c r="AH114" s="118">
        <f>COUNTIFS(GERAL!B$8:B$1696,A114,GERAL!AW$8:AW$1696,"&gt;0",GERAL!C$8:C$1696,"ANEXO")</f>
        <v>0</v>
      </c>
      <c r="AI114" s="177">
        <f>SUMIF(GERAL!B$8:B$1696,A114,GERAL!AS$8:AS$1696)+SUMIF(GERAL!B$8:B$1696,A114,GERAL!AT$8:AT$1696)</f>
        <v>0</v>
      </c>
      <c r="AJ114" s="177">
        <f>SUMIF(GERAL!B$8:B$1696,A114,GERAL!AU$8:AU$1696)</f>
        <v>0</v>
      </c>
      <c r="AK114" s="177">
        <f>SUMIF(GERAL!B$8:B$1696,A114,GERAL!AV$8:AV$1696)</f>
        <v>65</v>
      </c>
      <c r="AL114" s="118">
        <f t="shared" si="42"/>
        <v>65</v>
      </c>
      <c r="AM114" s="493" t="s">
        <v>1224</v>
      </c>
    </row>
    <row r="115">
      <c r="A115" s="494" t="s">
        <v>1401</v>
      </c>
      <c r="B115" s="75">
        <f>COUNTIFS(GERAL!B$8:B$1696,A115,GERAL!C$8:C$1696,"ESCOLA")</f>
        <v>1</v>
      </c>
      <c r="C115" s="75">
        <f>COUNTIFS(GERAL!B$8:B$1696,A115,GERAL!C$8:C$1696,"ANEXO")</f>
        <v>1</v>
      </c>
      <c r="D115" s="85">
        <f>SUMIF(GERAL!B$8:B$1696,A115,GERAL!Z$8:Z$1696)</f>
        <v>0</v>
      </c>
      <c r="E115" s="85">
        <f>SUMIF(GERAL!B$8:B$1696,A115,GERAL!AE$8:AE$1696)</f>
        <v>0</v>
      </c>
      <c r="F115" s="85">
        <f>SUMIF(GERAL!B$8:B$1696,A115,GERAL!AJ$8:AJ$1696)</f>
        <v>361</v>
      </c>
      <c r="G115" s="85">
        <f>SUMIF(GERAL!B$8:B$1696,A115,GERAL!AN$8:AN$1696)</f>
        <v>0</v>
      </c>
      <c r="H115" s="85">
        <f>SUMIF(GERAL!B$8:B$1696,A115,GERAL!AR$8:AW$1696)</f>
        <v>121</v>
      </c>
      <c r="I115" s="85">
        <f>SUMIF(GERAL!B$8:B$1696,A115,GERAL!AW$8:AW$1696)</f>
        <v>55</v>
      </c>
      <c r="J115" s="75">
        <f>SUMIF(GERAL!B$8:B$1696,A115,GERAL!AX$8:AX$1696)</f>
        <v>537</v>
      </c>
      <c r="K115" s="75">
        <f>COUNTIFS(GERAL!B$8:B$1696,A115,GERAL!AY$8:AY$1696,"&gt;0",GERAL!C$8:C$1696,"ESCOLA")</f>
        <v>1</v>
      </c>
      <c r="L115" s="75">
        <f>COUNTIFS(GERAL!B$8:B$1696,A115,GERAL!AY$8:AY$1696,"&gt;0",GERAL!C$8:C$1696,"ANEXO")</f>
        <v>0</v>
      </c>
      <c r="M115" s="100">
        <f>SUMIF(GERAL!B$8:B$1696,A115,GERAL!V$8:V$1696)+SUMIF(GERAL!B$8:B$1696,A115,GERAL!W$8:W$1696)</f>
        <v>0</v>
      </c>
      <c r="N115" s="100">
        <f>SUMIF(GERAL!B$8:B$1696,A115,GERAL!AA$8:AA$1696)+SUMIF(GERAL!B$8:B$1696,A115,GERAL!AB$8:AB$1696)</f>
        <v>0</v>
      </c>
      <c r="O115" s="100">
        <f>SUMIF(GERAL!B$8:B$1696,A115,GERAL!AF$8:AF$1696)+SUMIF(GERAL!B$8:B$1696,A115,GERAL!AG$8:AG$1696)</f>
        <v>289</v>
      </c>
      <c r="P115" s="100">
        <f>SUMIF(GERAL!B$8:B$1696,A115,GERAL!AK$8:AK$1696)+SUMIF(GERAL!B$8:B$1696,A115,GERAL!AL$8:AL$1696)</f>
        <v>0</v>
      </c>
      <c r="Q115" s="100">
        <f>SUMIF(GERAL!B$8:B$1696,A115,GERAL!AO$8:AO$1696)+SUMIF(GERAL!B$8:B$1696,A115,GERAL!AP$8:AP$1696)</f>
        <v>0</v>
      </c>
      <c r="R115" s="100">
        <f>SUMIF(GERAL!B$8:B$1696,A115,GERAL!AS$8:AS$1696)+SUMIF(GERAL!B$8:B$1696,A115,GERAL!AT$8:AT$1696)</f>
        <v>0</v>
      </c>
      <c r="S115" s="75">
        <f t="shared" si="39"/>
        <v>289</v>
      </c>
      <c r="T115" s="116">
        <f>COUNTIFS(GERAL!B$8:B$1696,A115,GERAL!AZ$8:AZ$1696,"&gt;0",GERAL!C$8:C$1696,"ESCOLA")</f>
        <v>1</v>
      </c>
      <c r="U115" s="75">
        <f>COUNTIFS(GERAL!B$8:B$1696,A115,GERAL!AZ$8:AZ$1696,"&gt;0",GERAL!C$8:C$1696,"ANEXO")</f>
        <v>1</v>
      </c>
      <c r="V115" s="85">
        <f>SUMIF(GERAL!B$8:B$1696,A115,GERAL!AH$8:AH$1696)</f>
        <v>0</v>
      </c>
      <c r="W115" s="85">
        <f>SUMIF(GERAL!B$8:B$1696,A115,GERAL!AM$8:AM$1696)</f>
        <v>0</v>
      </c>
      <c r="X115" s="85">
        <f>SUMIF(GERAL!B$8:B$1696,A115,GERAL!AQ$8:AQ$1696)</f>
        <v>121</v>
      </c>
      <c r="Y115" s="85">
        <f>SUMIF(GERAL!B$8:B$1696,A115,GERAL!AU$8:AU$1696)</f>
        <v>0</v>
      </c>
      <c r="Z115" s="88">
        <f t="shared" si="40"/>
        <v>121</v>
      </c>
      <c r="AA115" s="116">
        <f>COUNTIFS(GERAL!B$8:B$1696,A115,GERAL!BK$8:BK$1696,"&gt;0",GERAL!C$8:C$1696,"ESCOLA")</f>
        <v>1</v>
      </c>
      <c r="AB115" s="88">
        <f>COUNTIFS(GERAL!B$8:B$1696,A115,GERAL!BK$8:BK$1696,"&gt;0",GERAL!C$8:C$1696,"ANEXO")</f>
        <v>0</v>
      </c>
      <c r="AC115" s="121">
        <f>SUMIF(GERAL!B$8:B$1696,A115,GERAL!AD$8:AD$1696)</f>
        <v>0</v>
      </c>
      <c r="AD115" s="121">
        <f>SUMIF(GERAL!B$8:B$1696,A115,GERAL!AI$8:AI$1696)</f>
        <v>72</v>
      </c>
      <c r="AE115" s="121">
        <f>SUMIF(GERAL!B$8:B$1696,A115,GERAL!AV$8:AV$1696)</f>
        <v>55</v>
      </c>
      <c r="AF115" s="492">
        <f t="shared" si="41"/>
        <v>127</v>
      </c>
      <c r="AG115" s="178">
        <f>COUNTIFS(GERAL!B$8:B$1696,A115,GERAL!AW$8:AW$1696,"&gt;0",GERAL!C$8:C$1696,"ESCOLA")</f>
        <v>1</v>
      </c>
      <c r="AH115" s="118">
        <f>COUNTIFS(GERAL!B$8:B$1696,A115,GERAL!AW$8:AW$1696,"&gt;0",GERAL!C$8:C$1696,"ANEXO")</f>
        <v>0</v>
      </c>
      <c r="AI115" s="177">
        <f>SUMIF(GERAL!B$8:B$1696,A115,GERAL!AS$8:AS$1696)+SUMIF(GERAL!B$8:B$1696,A115,GERAL!AT$8:AT$1696)</f>
        <v>0</v>
      </c>
      <c r="AJ115" s="177">
        <f>SUMIF(GERAL!B$8:B$1696,A115,GERAL!AU$8:AU$1696)</f>
        <v>0</v>
      </c>
      <c r="AK115" s="177">
        <f>SUMIF(GERAL!B$8:B$1696,A115,GERAL!AV$8:AV$1696)</f>
        <v>55</v>
      </c>
      <c r="AL115" s="118">
        <f t="shared" si="42"/>
        <v>55</v>
      </c>
      <c r="AM115" s="493" t="s">
        <v>451</v>
      </c>
    </row>
    <row r="116">
      <c r="A116" s="484" t="s">
        <v>7291</v>
      </c>
      <c r="B116" s="75">
        <f>COUNTIFS(GERAL!B$8:B$1696,A116,GERAL!C$8:C$1696,"ESCOLA")</f>
        <v>1</v>
      </c>
      <c r="C116" s="75">
        <f>COUNTIFS(GERAL!B$8:B$1696,A116,GERAL!C$8:C$1696,"ANEXO")</f>
        <v>2</v>
      </c>
      <c r="D116" s="85">
        <f>SUMIF(GERAL!B$8:B$1696,A116,GERAL!Z$8:Z$1696)</f>
        <v>0</v>
      </c>
      <c r="E116" s="85">
        <f>SUMIF(GERAL!B$8:B$1696,A116,GERAL!AE$8:AE$1696)</f>
        <v>0</v>
      </c>
      <c r="F116" s="85">
        <f>SUMIF(GERAL!B$8:B$1696,A116,GERAL!AJ$8:AJ$1696)</f>
        <v>586</v>
      </c>
      <c r="G116" s="85">
        <f>SUMIF(GERAL!B$8:B$1696,A116,GERAL!AN$8:AN$1696)</f>
        <v>0</v>
      </c>
      <c r="H116" s="85">
        <f>SUMIF(GERAL!B$8:B$1696,A116,GERAL!AR$8:AW$1696)</f>
        <v>54</v>
      </c>
      <c r="I116" s="85">
        <f>SUMIF(GERAL!B$8:B$1696,A116,GERAL!AW$8:AW$1696)</f>
        <v>81</v>
      </c>
      <c r="J116" s="75">
        <f>SUMIF(GERAL!B$8:B$1696,A116,GERAL!AX$8:AX$1696)</f>
        <v>721</v>
      </c>
      <c r="K116" s="75">
        <f>COUNTIFS(GERAL!B$8:B$1696,A116,GERAL!AY$8:AY$1696,"&gt;0",GERAL!C$8:C$1696,"ESCOLA")</f>
        <v>1</v>
      </c>
      <c r="L116" s="75">
        <f>COUNTIFS(GERAL!B$8:B$1696,A116,GERAL!AY$8:AY$1696,"&gt;0",GERAL!C$8:C$1696,"ANEXO")</f>
        <v>2</v>
      </c>
      <c r="M116" s="100">
        <f>SUMIF(GERAL!B$8:B$1696,A116,GERAL!V$8:V$1696)+SUMIF(GERAL!B$8:B$1696,A116,GERAL!W$8:W$1696)</f>
        <v>0</v>
      </c>
      <c r="N116" s="100">
        <f>SUMIF(GERAL!B$8:B$1696,A116,GERAL!AA$8:AA$1696)+SUMIF(GERAL!B$8:B$1696,A116,GERAL!AB$8:AB$1696)</f>
        <v>0</v>
      </c>
      <c r="O116" s="100">
        <f>SUMIF(GERAL!B$8:B$1696,A116,GERAL!AF$8:AF$1696)+SUMIF(GERAL!B$8:B$1696,A116,GERAL!AG$8:AG$1696)</f>
        <v>446</v>
      </c>
      <c r="P116" s="100">
        <f>SUMIF(GERAL!B$8:B$1696,A116,GERAL!AK$8:AK$1696)+SUMIF(GERAL!B$8:B$1696,A116,GERAL!AL$8:AL$1696)</f>
        <v>0</v>
      </c>
      <c r="Q116" s="100">
        <f>SUMIF(GERAL!B$8:B$1696,A116,GERAL!AO$8:AO$1696)+SUMIF(GERAL!B$8:B$1696,A116,GERAL!AP$8:AP$1696)</f>
        <v>0</v>
      </c>
      <c r="R116" s="100">
        <f>SUMIF(GERAL!B$8:B$1696,A116,GERAL!AS$8:AS$1696)+SUMIF(GERAL!B$8:B$1696,A116,GERAL!AT$8:AT$1696)</f>
        <v>46</v>
      </c>
      <c r="S116" s="75">
        <f t="shared" si="39"/>
        <v>492</v>
      </c>
      <c r="T116" s="116">
        <f>COUNTIFS(GERAL!B$8:B$1696,A116,GERAL!AZ$8:AZ$1696,"&gt;0",GERAL!C$8:C$1696,"ESCOLA")</f>
        <v>1</v>
      </c>
      <c r="U116" s="75">
        <f>COUNTIFS(GERAL!B$8:B$1696,A116,GERAL!AZ$8:AZ$1696,"&gt;0",GERAL!C$8:C$1696,"ANEXO")</f>
        <v>0</v>
      </c>
      <c r="V116" s="85">
        <f>SUMIF(GERAL!B$8:B$1696,A116,GERAL!AH$8:AH$1696)</f>
        <v>0</v>
      </c>
      <c r="W116" s="85">
        <f>SUMIF(GERAL!B$8:B$1696,A116,GERAL!AM$8:AM$1696)</f>
        <v>0</v>
      </c>
      <c r="X116" s="85">
        <f>SUMIF(GERAL!B$8:B$1696,A116,GERAL!AQ$8:AQ$1696)</f>
        <v>54</v>
      </c>
      <c r="Y116" s="85">
        <f>SUMIF(GERAL!B$8:B$1696,A116,GERAL!AU$8:AU$1696)</f>
        <v>0</v>
      </c>
      <c r="Z116" s="88">
        <f t="shared" si="40"/>
        <v>54</v>
      </c>
      <c r="AA116" s="116">
        <f>COUNTIFS(GERAL!B$8:B$1696,A116,GERAL!BK$8:BK$1696,"&gt;0",GERAL!C$8:C$1696,"ESCOLA")</f>
        <v>1</v>
      </c>
      <c r="AB116" s="88">
        <f>COUNTIFS(GERAL!B$8:B$1696,A116,GERAL!BK$8:BK$1696,"&gt;0",GERAL!C$8:C$1696,"ANEXO")</f>
        <v>0</v>
      </c>
      <c r="AC116" s="121">
        <f>SUMIF(GERAL!B$8:B$1696,A116,GERAL!AD$8:AD$1696)</f>
        <v>0</v>
      </c>
      <c r="AD116" s="121">
        <f>SUMIF(GERAL!B$8:B$1696,A116,GERAL!AI$8:AI$1696)</f>
        <v>140</v>
      </c>
      <c r="AE116" s="121">
        <f>SUMIF(GERAL!B$8:B$1696,A116,GERAL!AV$8:AV$1696)</f>
        <v>35</v>
      </c>
      <c r="AF116" s="492">
        <f t="shared" si="41"/>
        <v>175</v>
      </c>
      <c r="AG116" s="178">
        <f>COUNTIFS(GERAL!B$8:B$1696,A116,GERAL!AW$8:AW$1696,"&gt;0",GERAL!C$8:C$1696,"ESCOLA")</f>
        <v>1</v>
      </c>
      <c r="AH116" s="118">
        <f>COUNTIFS(GERAL!B$8:B$1696,A116,GERAL!AW$8:AW$1696,"&gt;0",GERAL!C$8:C$1696,"ANEXO")</f>
        <v>0</v>
      </c>
      <c r="AI116" s="177">
        <f>SUMIF(GERAL!B$8:B$1696,A116,GERAL!AS$8:AS$1696)+SUMIF(GERAL!B$8:B$1696,A116,GERAL!AT$8:AT$1696)</f>
        <v>46</v>
      </c>
      <c r="AJ116" s="177">
        <f>SUMIF(GERAL!B$8:B$1696,A116,GERAL!AU$8:AU$1696)</f>
        <v>0</v>
      </c>
      <c r="AK116" s="177">
        <f>SUMIF(GERAL!B$8:B$1696,A116,GERAL!AV$8:AV$1696)</f>
        <v>35</v>
      </c>
      <c r="AL116" s="118">
        <f t="shared" si="42"/>
        <v>81</v>
      </c>
      <c r="AM116" s="493" t="s">
        <v>1573</v>
      </c>
    </row>
    <row r="117">
      <c r="A117" s="494" t="s">
        <v>5736</v>
      </c>
      <c r="B117" s="75">
        <f>COUNTIFS(GERAL!B$8:B$1696,A117,GERAL!C$8:C$1696,"ESCOLA")</f>
        <v>1</v>
      </c>
      <c r="C117" s="75">
        <f>COUNTIFS(GERAL!B$8:B$1696,A117,GERAL!C$8:C$1696,"ANEXO")</f>
        <v>0</v>
      </c>
      <c r="D117" s="85">
        <f>SUMIF(GERAL!B$8:B$1696,A117,GERAL!Z$8:Z$1696)</f>
        <v>0</v>
      </c>
      <c r="E117" s="85">
        <f>SUMIF(GERAL!B$8:B$1696,A117,GERAL!AE$8:AE$1696)</f>
        <v>0</v>
      </c>
      <c r="F117" s="85">
        <f>SUMIF(GERAL!B$8:B$1696,A117,GERAL!AJ$8:AJ$1696)</f>
        <v>592</v>
      </c>
      <c r="G117" s="85">
        <f>SUMIF(GERAL!B$8:B$1696,A117,GERAL!AN$8:AN$1696)</f>
        <v>0</v>
      </c>
      <c r="H117" s="85">
        <f>SUMIF(GERAL!B$8:B$1696,A117,GERAL!AR$8:AW$1696)</f>
        <v>102</v>
      </c>
      <c r="I117" s="85">
        <f>SUMIF(GERAL!B$8:B$1696,A117,GERAL!AW$8:AW$1696)</f>
        <v>173</v>
      </c>
      <c r="J117" s="75">
        <f>SUMIF(GERAL!B$8:B$1696,A117,GERAL!AX$8:AX$1696)</f>
        <v>867</v>
      </c>
      <c r="K117" s="75">
        <f>COUNTIFS(GERAL!B$8:B$1696,A117,GERAL!AY$8:AY$1696,"&gt;0",GERAL!C$8:C$1696,"ESCOLA")</f>
        <v>1</v>
      </c>
      <c r="L117" s="75">
        <f>COUNTIFS(GERAL!B$8:B$1696,A117,GERAL!AY$8:AY$1696,"&gt;0",GERAL!C$8:C$1696,"ANEXO")</f>
        <v>0</v>
      </c>
      <c r="M117" s="100">
        <f>SUMIF(GERAL!B$8:B$1696,A117,GERAL!V$8:V$1696)+SUMIF(GERAL!B$8:B$1696,A117,GERAL!W$8:W$1696)</f>
        <v>0</v>
      </c>
      <c r="N117" s="100">
        <f>SUMIF(GERAL!B$8:B$1696,A117,GERAL!AA$8:AA$1696)+SUMIF(GERAL!B$8:B$1696,A117,GERAL!AB$8:AB$1696)</f>
        <v>0</v>
      </c>
      <c r="O117" s="100">
        <f>SUMIF(GERAL!B$8:B$1696,A117,GERAL!AF$8:AF$1696)+SUMIF(GERAL!B$8:B$1696,A117,GERAL!AG$8:AG$1696)</f>
        <v>341</v>
      </c>
      <c r="P117" s="100">
        <f>SUMIF(GERAL!B$8:B$1696,A117,GERAL!AK$8:AK$1696)+SUMIF(GERAL!B$8:B$1696,A117,GERAL!AL$8:AL$1696)</f>
        <v>0</v>
      </c>
      <c r="Q117" s="100">
        <f>SUMIF(GERAL!B$8:B$1696,A117,GERAL!AO$8:AO$1696)+SUMIF(GERAL!B$8:B$1696,A117,GERAL!AP$8:AP$1696)</f>
        <v>0</v>
      </c>
      <c r="R117" s="100">
        <f>SUMIF(GERAL!B$8:B$1696,A117,GERAL!AS$8:AS$1696)+SUMIF(GERAL!B$8:B$1696,A117,GERAL!AT$8:AT$1696)</f>
        <v>164</v>
      </c>
      <c r="S117" s="75">
        <f t="shared" si="39"/>
        <v>505</v>
      </c>
      <c r="T117" s="116">
        <f>COUNTIFS(GERAL!B$8:B$1696,A117,GERAL!AZ$8:AZ$1696,"&gt;0",GERAL!C$8:C$1696,"ESCOLA")</f>
        <v>1</v>
      </c>
      <c r="U117" s="75">
        <f>COUNTIFS(GERAL!B$8:B$1696,A117,GERAL!AZ$8:AZ$1696,"&gt;0",GERAL!C$8:C$1696,"ANEXO")</f>
        <v>0</v>
      </c>
      <c r="V117" s="85">
        <f>SUMIF(GERAL!B$8:B$1696,A117,GERAL!AH$8:AH$1696)</f>
        <v>0</v>
      </c>
      <c r="W117" s="85">
        <f>SUMIF(GERAL!B$8:B$1696,A117,GERAL!AM$8:AM$1696)</f>
        <v>0</v>
      </c>
      <c r="X117" s="85">
        <f>SUMIF(GERAL!B$8:B$1696,A117,GERAL!AQ$8:AQ$1696)</f>
        <v>102</v>
      </c>
      <c r="Y117" s="85">
        <f>SUMIF(GERAL!B$8:B$1696,A117,GERAL!AU$8:AU$1696)</f>
        <v>9</v>
      </c>
      <c r="Z117" s="88">
        <f t="shared" si="40"/>
        <v>111</v>
      </c>
      <c r="AA117" s="116">
        <f>COUNTIFS(GERAL!B$8:B$1696,A117,GERAL!BK$8:BK$1696,"&gt;0",GERAL!C$8:C$1696,"ESCOLA")</f>
        <v>1</v>
      </c>
      <c r="AB117" s="88">
        <f>COUNTIFS(GERAL!B$8:B$1696,A117,GERAL!BK$8:BK$1696,"&gt;0",GERAL!C$8:C$1696,"ANEXO")</f>
        <v>0</v>
      </c>
      <c r="AC117" s="121">
        <f>SUMIF(GERAL!B$8:B$1696,A117,GERAL!AD$8:AD$1696)</f>
        <v>0</v>
      </c>
      <c r="AD117" s="121">
        <f>SUMIF(GERAL!B$8:B$1696,A117,GERAL!AI$8:AI$1696)</f>
        <v>251</v>
      </c>
      <c r="AE117" s="121">
        <f>SUMIF(GERAL!B$8:B$1696,A117,GERAL!AV$8:AV$1696)</f>
        <v>0</v>
      </c>
      <c r="AF117" s="492">
        <f t="shared" si="41"/>
        <v>251</v>
      </c>
      <c r="AG117" s="178">
        <f>COUNTIFS(GERAL!B$8:B$1696,A117,GERAL!AW$8:AW$1696,"&gt;0",GERAL!C$8:C$1696,"ESCOLA")</f>
        <v>1</v>
      </c>
      <c r="AH117" s="118">
        <f>COUNTIFS(GERAL!B$8:B$1696,A117,GERAL!AW$8:AW$1696,"&gt;0",GERAL!C$8:C$1696,"ANEXO")</f>
        <v>0</v>
      </c>
      <c r="AI117" s="177">
        <f>SUMIF(GERAL!B$8:B$1696,A117,GERAL!AS$8:AS$1696)+SUMIF(GERAL!B$8:B$1696,A117,GERAL!AT$8:AT$1696)</f>
        <v>164</v>
      </c>
      <c r="AJ117" s="177">
        <f>SUMIF(GERAL!B$8:B$1696,A117,GERAL!AU$8:AU$1696)</f>
        <v>9</v>
      </c>
      <c r="AK117" s="177">
        <f>SUMIF(GERAL!B$8:B$1696,A117,GERAL!AV$8:AV$1696)</f>
        <v>0</v>
      </c>
      <c r="AL117" s="118">
        <f t="shared" si="42"/>
        <v>173</v>
      </c>
      <c r="AM117" s="493" t="s">
        <v>1335</v>
      </c>
    </row>
    <row r="118">
      <c r="A118" s="484" t="s">
        <v>6569</v>
      </c>
      <c r="B118" s="75">
        <f>COUNTIFS(GERAL!B$8:B$1696,A118,GERAL!C$8:C$1696,"ESCOLA")</f>
        <v>1</v>
      </c>
      <c r="C118" s="75">
        <f>COUNTIFS(GERAL!B$8:B$1696,A118,GERAL!C$8:C$1696,"ANEXO")</f>
        <v>0</v>
      </c>
      <c r="D118" s="85">
        <f>SUMIF(GERAL!B$8:B$1696,A118,GERAL!Z$8:Z$1696)</f>
        <v>0</v>
      </c>
      <c r="E118" s="85">
        <f>SUMIF(GERAL!B$8:B$1696,A118,GERAL!AE$8:AE$1696)</f>
        <v>0</v>
      </c>
      <c r="F118" s="85">
        <f>SUMIF(GERAL!B$8:B$1696,A118,GERAL!AJ$8:AJ$1696)</f>
        <v>166</v>
      </c>
      <c r="G118" s="85">
        <f>SUMIF(GERAL!B$8:B$1696,A118,GERAL!AN$8:AN$1696)</f>
        <v>0</v>
      </c>
      <c r="H118" s="85">
        <f>SUMIF(GERAL!B$8:B$1696,A118,GERAL!AR$8:AW$1696)</f>
        <v>86</v>
      </c>
      <c r="I118" s="85">
        <f>SUMIF(GERAL!B$8:B$1696,A118,GERAL!AW$8:AW$1696)</f>
        <v>225</v>
      </c>
      <c r="J118" s="75">
        <f>SUMIF(GERAL!B$8:B$1696,A118,GERAL!AX$8:AX$1696)</f>
        <v>477</v>
      </c>
      <c r="K118" s="75">
        <f>COUNTIFS(GERAL!B$8:B$1696,A118,GERAL!AY$8:AY$1696,"&gt;0",GERAL!C$8:C$1696,"ESCOLA")</f>
        <v>1</v>
      </c>
      <c r="L118" s="75">
        <f>COUNTIFS(GERAL!B$8:B$1696,A118,GERAL!AY$8:AY$1696,"&gt;0",GERAL!C$8:C$1696,"ANEXO")</f>
        <v>0</v>
      </c>
      <c r="M118" s="100">
        <f>SUMIF(GERAL!B$8:B$1696,A118,GERAL!V$8:V$1696)+SUMIF(GERAL!B$8:B$1696,A118,GERAL!W$8:W$1696)</f>
        <v>0</v>
      </c>
      <c r="N118" s="100">
        <f>SUMIF(GERAL!B$8:B$1696,A118,GERAL!AA$8:AA$1696)+SUMIF(GERAL!B$8:B$1696,A118,GERAL!AB$8:AB$1696)</f>
        <v>0</v>
      </c>
      <c r="O118" s="100">
        <f>SUMIF(GERAL!B$8:B$1696,A118,GERAL!AF$8:AF$1696)+SUMIF(GERAL!B$8:B$1696,A118,GERAL!AG$8:AG$1696)</f>
        <v>0</v>
      </c>
      <c r="P118" s="100">
        <f>SUMIF(GERAL!B$8:B$1696,A118,GERAL!AK$8:AK$1696)+SUMIF(GERAL!B$8:B$1696,A118,GERAL!AL$8:AL$1696)</f>
        <v>0</v>
      </c>
      <c r="Q118" s="100">
        <f>SUMIF(GERAL!B$8:B$1696,A118,GERAL!AO$8:AO$1696)+SUMIF(GERAL!B$8:B$1696,A118,GERAL!AP$8:AP$1696)</f>
        <v>0</v>
      </c>
      <c r="R118" s="100">
        <f>SUMIF(GERAL!B$8:B$1696,A118,GERAL!AS$8:AS$1696)+SUMIF(GERAL!B$8:B$1696,A118,GERAL!AT$8:AT$1696)</f>
        <v>0</v>
      </c>
      <c r="S118" s="75">
        <f t="shared" si="39"/>
        <v>0</v>
      </c>
      <c r="T118" s="116">
        <f>COUNTIFS(GERAL!B$8:B$1696,A118,GERAL!AZ$8:AZ$1696,"&gt;0",GERAL!C$8:C$1696,"ESCOLA")</f>
        <v>1</v>
      </c>
      <c r="U118" s="75">
        <f>COUNTIFS(GERAL!B$8:B$1696,A118,GERAL!AZ$8:AZ$1696,"&gt;0",GERAL!C$8:C$1696,"ANEXO")</f>
        <v>0</v>
      </c>
      <c r="V118" s="85">
        <f>SUMIF(GERAL!B$8:B$1696,A118,GERAL!AH$8:AH$1696)</f>
        <v>0</v>
      </c>
      <c r="W118" s="85">
        <f>SUMIF(GERAL!B$8:B$1696,A118,GERAL!AM$8:AM$1696)</f>
        <v>0</v>
      </c>
      <c r="X118" s="85">
        <f>SUMIF(GERAL!B$8:B$1696,A118,GERAL!AQ$8:AQ$1696)</f>
        <v>86</v>
      </c>
      <c r="Y118" s="85">
        <f>SUMIF(GERAL!B$8:B$1696,A118,GERAL!AU$8:AU$1696)</f>
        <v>61</v>
      </c>
      <c r="Z118" s="88">
        <f t="shared" si="40"/>
        <v>147</v>
      </c>
      <c r="AA118" s="116">
        <f>COUNTIFS(GERAL!B$8:B$1696,A118,GERAL!BK$8:BK$1696,"&gt;0",GERAL!C$8:C$1696,"ESCOLA")</f>
        <v>1</v>
      </c>
      <c r="AB118" s="88">
        <f>COUNTIFS(GERAL!B$8:B$1696,A118,GERAL!BK$8:BK$1696,"&gt;0",GERAL!C$8:C$1696,"ANEXO")</f>
        <v>0</v>
      </c>
      <c r="AC118" s="121">
        <f>SUMIF(GERAL!B$8:B$1696,A118,GERAL!AD$8:AD$1696)</f>
        <v>0</v>
      </c>
      <c r="AD118" s="121">
        <f>SUMIF(GERAL!B$8:B$1696,A118,GERAL!AI$8:AI$1696)</f>
        <v>166</v>
      </c>
      <c r="AE118" s="121">
        <f>SUMIF(GERAL!B$8:B$1696,A118,GERAL!AV$8:AV$1696)</f>
        <v>164</v>
      </c>
      <c r="AF118" s="492">
        <f t="shared" si="41"/>
        <v>330</v>
      </c>
      <c r="AG118" s="178">
        <f>COUNTIFS(GERAL!B$8:B$1696,A118,GERAL!AW$8:AW$1696,"&gt;0",GERAL!C$8:C$1696,"ESCOLA")</f>
        <v>1</v>
      </c>
      <c r="AH118" s="118">
        <f>COUNTIFS(GERAL!B$8:B$1696,A118,GERAL!AW$8:AW$1696,"&gt;0",GERAL!C$8:C$1696,"ANEXO")</f>
        <v>0</v>
      </c>
      <c r="AI118" s="177">
        <f>SUMIF(GERAL!B$8:B$1696,A118,GERAL!AS$8:AS$1696)+SUMIF(GERAL!B$8:B$1696,A118,GERAL!AT$8:AT$1696)</f>
        <v>0</v>
      </c>
      <c r="AJ118" s="177">
        <f>SUMIF(GERAL!B$8:B$1696,A118,GERAL!AU$8:AU$1696)</f>
        <v>61</v>
      </c>
      <c r="AK118" s="177">
        <f>SUMIF(GERAL!B$8:B$1696,A118,GERAL!AV$8:AV$1696)</f>
        <v>164</v>
      </c>
      <c r="AL118" s="118">
        <f t="shared" si="42"/>
        <v>225</v>
      </c>
      <c r="AM118" s="493" t="s">
        <v>1463</v>
      </c>
    </row>
    <row r="119">
      <c r="A119" s="494" t="s">
        <v>1124</v>
      </c>
      <c r="B119" s="75">
        <f>COUNTIFS(GERAL!B$8:B$1696,A119,GERAL!C$8:C$1696,"ESCOLA")</f>
        <v>8</v>
      </c>
      <c r="C119" s="75">
        <f>COUNTIFS(GERAL!B$8:B$1696,A119,GERAL!C$8:C$1696,"ANEXO")</f>
        <v>0</v>
      </c>
      <c r="D119" s="85">
        <f>SUMIF(GERAL!B$8:B$1696,A119,GERAL!Z$8:Z$1696)</f>
        <v>0</v>
      </c>
      <c r="E119" s="85">
        <f>SUMIF(GERAL!B$8:B$1696,A119,GERAL!AE$8:AE$1696)</f>
        <v>0</v>
      </c>
      <c r="F119" s="85">
        <f>SUMIF(GERAL!B$8:B$1696,A119,GERAL!AJ$8:AJ$1696)</f>
        <v>1767</v>
      </c>
      <c r="G119" s="85">
        <f>SUMIF(GERAL!B$8:B$1696,A119,GERAL!AN$8:AN$1696)</f>
        <v>0</v>
      </c>
      <c r="H119" s="85">
        <f>SUMIF(GERAL!B$8:B$1696,A119,GERAL!AR$8:AW$1696)</f>
        <v>570</v>
      </c>
      <c r="I119" s="85">
        <f>SUMIF(GERAL!B$8:B$1696,A119,GERAL!AW$8:AW$1696)</f>
        <v>564</v>
      </c>
      <c r="J119" s="75">
        <f>SUMIF(GERAL!B$8:B$1696,A119,GERAL!AX$8:AX$1696)</f>
        <v>2901</v>
      </c>
      <c r="K119" s="75">
        <f>COUNTIFS(GERAL!B$8:B$1696,A119,GERAL!AY$8:AY$1696,"&gt;0",GERAL!C$8:C$1696,"ESCOLA")</f>
        <v>8</v>
      </c>
      <c r="L119" s="75">
        <f>COUNTIFS(GERAL!B$8:B$1696,A119,GERAL!AY$8:AY$1696,"&gt;0",GERAL!C$8:C$1696,"ANEXO")</f>
        <v>0</v>
      </c>
      <c r="M119" s="100">
        <f>SUMIF(GERAL!B$8:B$1696,A119,GERAL!V$8:V$1696)+SUMIF(GERAL!B$8:B$1696,A119,GERAL!W$8:W$1696)</f>
        <v>0</v>
      </c>
      <c r="N119" s="100">
        <f>SUMIF(GERAL!B$8:B$1696,A119,GERAL!AA$8:AA$1696)+SUMIF(GERAL!B$8:B$1696,A119,GERAL!AB$8:AB$1696)</f>
        <v>0</v>
      </c>
      <c r="O119" s="100">
        <f>SUMIF(GERAL!B$8:B$1696,A119,GERAL!AF$8:AF$1696)+SUMIF(GERAL!B$8:B$1696,A119,GERAL!AG$8:AG$1696)</f>
        <v>765</v>
      </c>
      <c r="P119" s="100">
        <f>SUMIF(GERAL!B$8:B$1696,A119,GERAL!AK$8:AK$1696)+SUMIF(GERAL!B$8:B$1696,A119,GERAL!AL$8:AL$1696)</f>
        <v>0</v>
      </c>
      <c r="Q119" s="100">
        <f>SUMIF(GERAL!B$8:B$1696,A119,GERAL!AO$8:AO$1696)+SUMIF(GERAL!B$8:B$1696,A119,GERAL!AP$8:AP$1696)</f>
        <v>0</v>
      </c>
      <c r="R119" s="100">
        <f>SUMIF(GERAL!B$8:B$1696,A119,GERAL!AS$8:AS$1696)+SUMIF(GERAL!B$8:B$1696,A119,GERAL!AT$8:AT$1696)</f>
        <v>417</v>
      </c>
      <c r="S119" s="75">
        <f t="shared" si="39"/>
        <v>1182</v>
      </c>
      <c r="T119" s="116">
        <f>COUNTIFS(GERAL!B$8:B$1696,A119,GERAL!AZ$8:AZ$1696,"&gt;0",GERAL!C$8:C$1696,"ESCOLA")</f>
        <v>7</v>
      </c>
      <c r="U119" s="75">
        <f>COUNTIFS(GERAL!B$8:B$1696,A119,GERAL!AZ$8:AZ$1696,"&gt;0",GERAL!C$8:C$1696,"ANEXO")</f>
        <v>0</v>
      </c>
      <c r="V119" s="85">
        <f>SUMIF(GERAL!B$8:B$1696,A119,GERAL!AH$8:AH$1696)</f>
        <v>0</v>
      </c>
      <c r="W119" s="85">
        <f>SUMIF(GERAL!B$8:B$1696,A119,GERAL!AM$8:AM$1696)</f>
        <v>0</v>
      </c>
      <c r="X119" s="85">
        <f>SUMIF(GERAL!B$8:B$1696,A119,GERAL!AQ$8:AQ$1696)</f>
        <v>570</v>
      </c>
      <c r="Y119" s="85">
        <f>SUMIF(GERAL!B$8:B$1696,A119,GERAL!AU$8:AU$1696)</f>
        <v>147</v>
      </c>
      <c r="Z119" s="88">
        <f t="shared" si="40"/>
        <v>717</v>
      </c>
      <c r="AA119" s="116">
        <f>COUNTIFS(GERAL!B$8:B$1696,A119,GERAL!BK$8:BK$1696,"&gt;0",GERAL!C$8:C$1696,"ESCOLA")</f>
        <v>6</v>
      </c>
      <c r="AB119" s="88">
        <f>COUNTIFS(GERAL!B$8:B$1696,A119,GERAL!BK$8:BK$1696,"&gt;0",GERAL!C$8:C$1696,"ANEXO")</f>
        <v>0</v>
      </c>
      <c r="AC119" s="121">
        <f>SUMIF(GERAL!B$8:B$1696,A119,GERAL!AD$8:AD$1696)</f>
        <v>0</v>
      </c>
      <c r="AD119" s="121">
        <f>SUMIF(GERAL!B$8:B$1696,A119,GERAL!AI$8:AI$1696)</f>
        <v>1002</v>
      </c>
      <c r="AE119" s="121">
        <f>SUMIF(GERAL!B$8:B$1696,A119,GERAL!AV$8:AV$1696)</f>
        <v>0</v>
      </c>
      <c r="AF119" s="492">
        <f t="shared" si="41"/>
        <v>1002</v>
      </c>
      <c r="AG119" s="178">
        <f>COUNTIFS(GERAL!B$8:B$1696,A119,GERAL!AW$8:AW$1696,"&gt;0",GERAL!C$8:C$1696,"ESCOLA")</f>
        <v>2</v>
      </c>
      <c r="AH119" s="118">
        <f>COUNTIFS(GERAL!B$8:B$1696,A119,GERAL!AW$8:AW$1696,"&gt;0",GERAL!C$8:C$1696,"ANEXO")</f>
        <v>0</v>
      </c>
      <c r="AI119" s="177">
        <f>SUMIF(GERAL!B$8:B$1696,A119,GERAL!AS$8:AS$1696)+SUMIF(GERAL!B$8:B$1696,A119,GERAL!AT$8:AT$1696)</f>
        <v>417</v>
      </c>
      <c r="AJ119" s="177">
        <f>SUMIF(GERAL!B$8:B$1696,A119,GERAL!AU$8:AU$1696)</f>
        <v>147</v>
      </c>
      <c r="AK119" s="177">
        <f>SUMIF(GERAL!B$8:B$1696,A119,GERAL!AV$8:AV$1696)</f>
        <v>0</v>
      </c>
      <c r="AL119" s="118">
        <f t="shared" si="42"/>
        <v>564</v>
      </c>
      <c r="AM119" s="493" t="s">
        <v>383</v>
      </c>
    </row>
    <row r="120">
      <c r="A120" s="484" t="s">
        <v>2113</v>
      </c>
      <c r="B120" s="75">
        <f>COUNTIFS(GERAL!B$8:B$1696,A120,GERAL!C$8:C$1696,"ESCOLA")</f>
        <v>1</v>
      </c>
      <c r="C120" s="75">
        <f>COUNTIFS(GERAL!B$8:B$1696,A120,GERAL!C$8:C$1696,"ANEXO")</f>
        <v>0</v>
      </c>
      <c r="D120" s="85">
        <f>SUMIF(GERAL!B$8:B$1696,A120,GERAL!Z$8:Z$1696)</f>
        <v>0</v>
      </c>
      <c r="E120" s="85">
        <f>SUMIF(GERAL!B$8:B$1696,A120,GERAL!AE$8:AE$1696)</f>
        <v>0</v>
      </c>
      <c r="F120" s="85">
        <f>SUMIF(GERAL!B$8:B$1696,A120,GERAL!AJ$8:AJ$1696)</f>
        <v>559</v>
      </c>
      <c r="G120" s="85">
        <f>SUMIF(GERAL!B$8:B$1696,A120,GERAL!AN$8:AN$1696)</f>
        <v>0</v>
      </c>
      <c r="H120" s="85">
        <f>SUMIF(GERAL!B$8:B$1696,A120,GERAL!AR$8:AW$1696)</f>
        <v>292</v>
      </c>
      <c r="I120" s="85">
        <f>SUMIF(GERAL!B$8:B$1696,A120,GERAL!AW$8:AW$1696)</f>
        <v>646</v>
      </c>
      <c r="J120" s="75">
        <f>SUMIF(GERAL!B$8:B$1696,A120,GERAL!AX$8:AX$1696)</f>
        <v>1497</v>
      </c>
      <c r="K120" s="75">
        <f>COUNTIFS(GERAL!B$8:B$1696,A120,GERAL!AY$8:AY$1696,"&gt;0",GERAL!C$8:C$1696,"ESCOLA")</f>
        <v>1</v>
      </c>
      <c r="L120" s="75">
        <f>COUNTIFS(GERAL!B$8:B$1696,A120,GERAL!AY$8:AY$1696,"&gt;0",GERAL!C$8:C$1696,"ANEXO")</f>
        <v>0</v>
      </c>
      <c r="M120" s="100">
        <f>SUMIF(GERAL!B$8:B$1696,A120,GERAL!V$8:V$1696)+SUMIF(GERAL!B$8:B$1696,A120,GERAL!W$8:W$1696)</f>
        <v>0</v>
      </c>
      <c r="N120" s="100">
        <f>SUMIF(GERAL!B$8:B$1696,A120,GERAL!AA$8:AA$1696)+SUMIF(GERAL!B$8:B$1696,A120,GERAL!AB$8:AB$1696)</f>
        <v>0</v>
      </c>
      <c r="O120" s="100">
        <f>SUMIF(GERAL!B$8:B$1696,A120,GERAL!AF$8:AF$1696)+SUMIF(GERAL!B$8:B$1696,A120,GERAL!AG$8:AG$1696)</f>
        <v>52</v>
      </c>
      <c r="P120" s="100">
        <f>SUMIF(GERAL!B$8:B$1696,A120,GERAL!AK$8:AK$1696)+SUMIF(GERAL!B$8:B$1696,A120,GERAL!AL$8:AL$1696)</f>
        <v>0</v>
      </c>
      <c r="Q120" s="100">
        <f>SUMIF(GERAL!B$8:B$1696,A120,GERAL!AO$8:AO$1696)+SUMIF(GERAL!B$8:B$1696,A120,GERAL!AP$8:AP$1696)</f>
        <v>0</v>
      </c>
      <c r="R120" s="100">
        <f>SUMIF(GERAL!B$8:B$1696,A120,GERAL!AS$8:AS$1696)+SUMIF(GERAL!B$8:B$1696,A120,GERAL!AT$8:AT$1696)</f>
        <v>3</v>
      </c>
      <c r="S120" s="75">
        <f t="shared" si="39"/>
        <v>55</v>
      </c>
      <c r="T120" s="116">
        <f>COUNTIFS(GERAL!B$8:B$1696,A120,GERAL!AZ$8:AZ$1696,"&gt;0",GERAL!C$8:C$1696,"ESCOLA")</f>
        <v>1</v>
      </c>
      <c r="U120" s="75">
        <f>COUNTIFS(GERAL!B$8:B$1696,A120,GERAL!AZ$8:AZ$1696,"&gt;0",GERAL!C$8:C$1696,"ANEXO")</f>
        <v>0</v>
      </c>
      <c r="V120" s="85">
        <f>SUMIF(GERAL!B$8:B$1696,A120,GERAL!AH$8:AH$1696)</f>
        <v>0</v>
      </c>
      <c r="W120" s="85">
        <f>SUMIF(GERAL!B$8:B$1696,A120,GERAL!AM$8:AM$1696)</f>
        <v>0</v>
      </c>
      <c r="X120" s="85">
        <f>SUMIF(GERAL!B$8:B$1696,A120,GERAL!AQ$8:AQ$1696)</f>
        <v>292</v>
      </c>
      <c r="Y120" s="85">
        <f>SUMIF(GERAL!B$8:B$1696,A120,GERAL!AU$8:AU$1696)</f>
        <v>128</v>
      </c>
      <c r="Z120" s="88">
        <f t="shared" si="40"/>
        <v>420</v>
      </c>
      <c r="AA120" s="116">
        <f>COUNTIFS(GERAL!B$8:B$1696,A120,GERAL!BK$8:BK$1696,"&gt;0",GERAL!C$8:C$1696,"ESCOLA")</f>
        <v>1</v>
      </c>
      <c r="AB120" s="88">
        <f>COUNTIFS(GERAL!B$8:B$1696,A120,GERAL!BK$8:BK$1696,"&gt;0",GERAL!C$8:C$1696,"ANEXO")</f>
        <v>0</v>
      </c>
      <c r="AC120" s="121">
        <f>SUMIF(GERAL!B$8:B$1696,A120,GERAL!AD$8:AD$1696)</f>
        <v>0</v>
      </c>
      <c r="AD120" s="121">
        <f>SUMIF(GERAL!B$8:B$1696,A120,GERAL!AI$8:AI$1696)</f>
        <v>507</v>
      </c>
      <c r="AE120" s="121">
        <f>SUMIF(GERAL!B$8:B$1696,A120,GERAL!AV$8:AV$1696)</f>
        <v>515</v>
      </c>
      <c r="AF120" s="492">
        <f t="shared" si="41"/>
        <v>1022</v>
      </c>
      <c r="AG120" s="178">
        <f>COUNTIFS(GERAL!B$8:B$1696,A120,GERAL!AW$8:AW$1696,"&gt;0",GERAL!C$8:C$1696,"ESCOLA")</f>
        <v>1</v>
      </c>
      <c r="AH120" s="118">
        <f>COUNTIFS(GERAL!B$8:B$1696,A120,GERAL!AW$8:AW$1696,"&gt;0",GERAL!C$8:C$1696,"ANEXO")</f>
        <v>0</v>
      </c>
      <c r="AI120" s="177">
        <f>SUMIF(GERAL!B$8:B$1696,A120,GERAL!AS$8:AS$1696)+SUMIF(GERAL!B$8:B$1696,A120,GERAL!AT$8:AT$1696)</f>
        <v>3</v>
      </c>
      <c r="AJ120" s="177">
        <f>SUMIF(GERAL!B$8:B$1696,A120,GERAL!AU$8:AU$1696)</f>
        <v>128</v>
      </c>
      <c r="AK120" s="177">
        <f>SUMIF(GERAL!B$8:B$1696,A120,GERAL!AV$8:AV$1696)</f>
        <v>515</v>
      </c>
      <c r="AL120" s="118">
        <f t="shared" si="42"/>
        <v>646</v>
      </c>
      <c r="AM120" s="493" t="s">
        <v>1335</v>
      </c>
    </row>
    <row r="121">
      <c r="A121" s="494" t="s">
        <v>5517</v>
      </c>
      <c r="B121" s="75">
        <f>COUNTIFS(GERAL!B$8:B$1696,A121,GERAL!C$8:C$1696,"ESCOLA")</f>
        <v>2</v>
      </c>
      <c r="C121" s="75">
        <f>COUNTIFS(GERAL!B$8:B$1696,A121,GERAL!C$8:C$1696,"ANEXO")</f>
        <v>2</v>
      </c>
      <c r="D121" s="85">
        <f>SUMIF(GERAL!B$8:B$1696,A121,GERAL!Z$8:Z$1696)</f>
        <v>0</v>
      </c>
      <c r="E121" s="85">
        <f>SUMIF(GERAL!B$8:B$1696,A121,GERAL!AE$8:AE$1696)</f>
        <v>0</v>
      </c>
      <c r="F121" s="85">
        <f>SUMIF(GERAL!B$8:B$1696,A121,GERAL!AJ$8:AJ$1696)</f>
        <v>739</v>
      </c>
      <c r="G121" s="85">
        <f>SUMIF(GERAL!B$8:B$1696,A121,GERAL!AN$8:AN$1696)</f>
        <v>0</v>
      </c>
      <c r="H121" s="85">
        <f>SUMIF(GERAL!B$8:B$1696,A121,GERAL!AR$8:AW$1696)</f>
        <v>252</v>
      </c>
      <c r="I121" s="85">
        <f>SUMIF(GERAL!B$8:B$1696,A121,GERAL!AW$8:AW$1696)</f>
        <v>107</v>
      </c>
      <c r="J121" s="75">
        <f>SUMIF(GERAL!B$8:B$1696,A121,GERAL!AX$8:AX$1696)</f>
        <v>1098</v>
      </c>
      <c r="K121" s="75">
        <f>COUNTIFS(GERAL!B$8:B$1696,A121,GERAL!AY$8:AY$1696,"&gt;0",GERAL!C$8:C$1696,"ESCOLA")</f>
        <v>2</v>
      </c>
      <c r="L121" s="75">
        <f>COUNTIFS(GERAL!B$8:B$1696,A121,GERAL!AY$8:AY$1696,"&gt;0",GERAL!C$8:C$1696,"ANEXO")</f>
        <v>1</v>
      </c>
      <c r="M121" s="100">
        <f>SUMIF(GERAL!B$8:B$1696,A121,GERAL!V$8:V$1696)+SUMIF(GERAL!B$8:B$1696,A121,GERAL!W$8:W$1696)</f>
        <v>0</v>
      </c>
      <c r="N121" s="100">
        <f>SUMIF(GERAL!B$8:B$1696,A121,GERAL!AA$8:AA$1696)+SUMIF(GERAL!B$8:B$1696,A121,GERAL!AB$8:AB$1696)</f>
        <v>0</v>
      </c>
      <c r="O121" s="100">
        <f>SUMIF(GERAL!B$8:B$1696,A121,GERAL!AF$8:AF$1696)+SUMIF(GERAL!B$8:B$1696,A121,GERAL!AG$8:AG$1696)</f>
        <v>513</v>
      </c>
      <c r="P121" s="100">
        <f>SUMIF(GERAL!B$8:B$1696,A121,GERAL!AK$8:AK$1696)+SUMIF(GERAL!B$8:B$1696,A121,GERAL!AL$8:AL$1696)</f>
        <v>0</v>
      </c>
      <c r="Q121" s="100">
        <f>SUMIF(GERAL!B$8:B$1696,A121,GERAL!AO$8:AO$1696)+SUMIF(GERAL!B$8:B$1696,A121,GERAL!AP$8:AP$1696)</f>
        <v>0</v>
      </c>
      <c r="R121" s="100">
        <f>SUMIF(GERAL!B$8:B$1696,A121,GERAL!AS$8:AS$1696)+SUMIF(GERAL!B$8:B$1696,A121,GERAL!AT$8:AT$1696)</f>
        <v>0</v>
      </c>
      <c r="S121" s="75">
        <f t="shared" si="39"/>
        <v>513</v>
      </c>
      <c r="T121" s="116">
        <f>COUNTIFS(GERAL!B$8:B$1696,A121,GERAL!AZ$8:AZ$1696,"&gt;0",GERAL!C$8:C$1696,"ESCOLA")</f>
        <v>2</v>
      </c>
      <c r="U121" s="75">
        <f>COUNTIFS(GERAL!B$8:B$1696,A121,GERAL!AZ$8:AZ$1696,"&gt;0",GERAL!C$8:C$1696,"ANEXO")</f>
        <v>2</v>
      </c>
      <c r="V121" s="85">
        <f>SUMIF(GERAL!B$8:B$1696,A121,GERAL!AH$8:AH$1696)</f>
        <v>73</v>
      </c>
      <c r="W121" s="85">
        <f>SUMIF(GERAL!B$8:B$1696,A121,GERAL!AM$8:AM$1696)</f>
        <v>0</v>
      </c>
      <c r="X121" s="85">
        <f>SUMIF(GERAL!B$8:B$1696,A121,GERAL!AQ$8:AQ$1696)</f>
        <v>252</v>
      </c>
      <c r="Y121" s="85">
        <f>SUMIF(GERAL!B$8:B$1696,A121,GERAL!AU$8:AU$1696)</f>
        <v>22</v>
      </c>
      <c r="Z121" s="88">
        <f t="shared" si="40"/>
        <v>347</v>
      </c>
      <c r="AA121" s="116">
        <f>COUNTIFS(GERAL!B$8:B$1696,A121,GERAL!BK$8:BK$1696,"&gt;0",GERAL!C$8:C$1696,"ESCOLA")</f>
        <v>2</v>
      </c>
      <c r="AB121" s="88">
        <f>COUNTIFS(GERAL!B$8:B$1696,A121,GERAL!BK$8:BK$1696,"&gt;0",GERAL!C$8:C$1696,"ANEXO")</f>
        <v>0</v>
      </c>
      <c r="AC121" s="121">
        <f>SUMIF(GERAL!B$8:B$1696,A121,GERAL!AD$8:AD$1696)</f>
        <v>0</v>
      </c>
      <c r="AD121" s="121">
        <f>SUMIF(GERAL!B$8:B$1696,A121,GERAL!AI$8:AI$1696)</f>
        <v>153</v>
      </c>
      <c r="AE121" s="121">
        <f>SUMIF(GERAL!B$8:B$1696,A121,GERAL!AV$8:AV$1696)</f>
        <v>85</v>
      </c>
      <c r="AF121" s="492">
        <f t="shared" si="41"/>
        <v>238</v>
      </c>
      <c r="AG121" s="178">
        <f>COUNTIFS(GERAL!B$8:B$1696,A121,GERAL!AW$8:AW$1696,"&gt;0",GERAL!C$8:C$1696,"ESCOLA")</f>
        <v>1</v>
      </c>
      <c r="AH121" s="118">
        <f>COUNTIFS(GERAL!B$8:B$1696,A121,GERAL!AW$8:AW$1696,"&gt;0",GERAL!C$8:C$1696,"ANEXO")</f>
        <v>0</v>
      </c>
      <c r="AI121" s="177">
        <f>SUMIF(GERAL!B$8:B$1696,A121,GERAL!AS$8:AS$1696)+SUMIF(GERAL!B$8:B$1696,A121,GERAL!AT$8:AT$1696)</f>
        <v>0</v>
      </c>
      <c r="AJ121" s="177">
        <f>SUMIF(GERAL!B$8:B$1696,A121,GERAL!AU$8:AU$1696)</f>
        <v>22</v>
      </c>
      <c r="AK121" s="177">
        <f>SUMIF(GERAL!B$8:B$1696,A121,GERAL!AV$8:AV$1696)</f>
        <v>85</v>
      </c>
      <c r="AL121" s="118">
        <f t="shared" si="42"/>
        <v>107</v>
      </c>
      <c r="AM121" s="493" t="s">
        <v>1281</v>
      </c>
    </row>
    <row r="122">
      <c r="A122" s="484" t="s">
        <v>2349</v>
      </c>
      <c r="B122" s="75">
        <f>COUNTIFS(GERAL!B$8:B$1696,A122,GERAL!C$8:C$1696,"ESCOLA")</f>
        <v>1</v>
      </c>
      <c r="C122" s="75">
        <f>COUNTIFS(GERAL!B$8:B$1696,A122,GERAL!C$8:C$1696,"ANEXO")</f>
        <v>0</v>
      </c>
      <c r="D122" s="85">
        <f>SUMIF(GERAL!B$8:B$1696,A122,GERAL!Z$8:Z$1696)</f>
        <v>0</v>
      </c>
      <c r="E122" s="85">
        <f>SUMIF(GERAL!B$8:B$1696,A122,GERAL!AE$8:AE$1696)</f>
        <v>0</v>
      </c>
      <c r="F122" s="85">
        <f>SUMIF(GERAL!B$8:B$1696,A122,GERAL!AJ$8:AJ$1696)</f>
        <v>356</v>
      </c>
      <c r="G122" s="85">
        <f>SUMIF(GERAL!B$8:B$1696,A122,GERAL!AN$8:AN$1696)</f>
        <v>0</v>
      </c>
      <c r="H122" s="85">
        <f>SUMIF(GERAL!B$8:B$1696,A122,GERAL!AR$8:AW$1696)</f>
        <v>34</v>
      </c>
      <c r="I122" s="85">
        <f>SUMIF(GERAL!B$8:B$1696,A122,GERAL!AW$8:AW$1696)</f>
        <v>56</v>
      </c>
      <c r="J122" s="75">
        <f>SUMIF(GERAL!B$8:B$1696,A122,GERAL!AX$8:AX$1696)</f>
        <v>446</v>
      </c>
      <c r="K122" s="75">
        <f>COUNTIFS(GERAL!B$8:B$1696,A122,GERAL!AY$8:AY$1696,"&gt;0",GERAL!C$8:C$1696,"ESCOLA")</f>
        <v>1</v>
      </c>
      <c r="L122" s="75">
        <f>COUNTIFS(GERAL!B$8:B$1696,A122,GERAL!AY$8:AY$1696,"&gt;0",GERAL!C$8:C$1696,"ANEXO")</f>
        <v>0</v>
      </c>
      <c r="M122" s="100">
        <f>SUMIF(GERAL!B$8:B$1696,A122,GERAL!V$8:V$1696)+SUMIF(GERAL!B$8:B$1696,A122,GERAL!W$8:W$1696)</f>
        <v>0</v>
      </c>
      <c r="N122" s="100">
        <f>SUMIF(GERAL!B$8:B$1696,A122,GERAL!AA$8:AA$1696)+SUMIF(GERAL!B$8:B$1696,A122,GERAL!AB$8:AB$1696)</f>
        <v>0</v>
      </c>
      <c r="O122" s="100">
        <f>SUMIF(GERAL!B$8:B$1696,A122,GERAL!AF$8:AF$1696)+SUMIF(GERAL!B$8:B$1696,A122,GERAL!AG$8:AG$1696)</f>
        <v>216</v>
      </c>
      <c r="P122" s="100">
        <f>SUMIF(GERAL!B$8:B$1696,A122,GERAL!AK$8:AK$1696)+SUMIF(GERAL!B$8:B$1696,A122,GERAL!AL$8:AL$1696)</f>
        <v>0</v>
      </c>
      <c r="Q122" s="100">
        <f>SUMIF(GERAL!B$8:B$1696,A122,GERAL!AO$8:AO$1696)+SUMIF(GERAL!B$8:B$1696,A122,GERAL!AP$8:AP$1696)</f>
        <v>0</v>
      </c>
      <c r="R122" s="100">
        <f>SUMIF(GERAL!B$8:B$1696,A122,GERAL!AS$8:AS$1696)+SUMIF(GERAL!B$8:B$1696,A122,GERAL!AT$8:AT$1696)</f>
        <v>0</v>
      </c>
      <c r="S122" s="75">
        <f t="shared" si="39"/>
        <v>216</v>
      </c>
      <c r="T122" s="116">
        <f>COUNTIFS(GERAL!B$8:B$1696,A122,GERAL!AZ$8:AZ$1696,"&gt;0",GERAL!C$8:C$1696,"ESCOLA")</f>
        <v>1</v>
      </c>
      <c r="U122" s="75">
        <f>COUNTIFS(GERAL!B$8:B$1696,A122,GERAL!AZ$8:AZ$1696,"&gt;0",GERAL!C$8:C$1696,"ANEXO")</f>
        <v>0</v>
      </c>
      <c r="V122" s="85">
        <f>SUMIF(GERAL!B$8:B$1696,A122,GERAL!AH$8:AH$1696)</f>
        <v>0</v>
      </c>
      <c r="W122" s="85">
        <f>SUMIF(GERAL!B$8:B$1696,A122,GERAL!AM$8:AM$1696)</f>
        <v>0</v>
      </c>
      <c r="X122" s="85">
        <f>SUMIF(GERAL!B$8:B$1696,A122,GERAL!AQ$8:AQ$1696)</f>
        <v>34</v>
      </c>
      <c r="Y122" s="85">
        <f>SUMIF(GERAL!B$8:B$1696,A122,GERAL!AU$8:AU$1696)</f>
        <v>0</v>
      </c>
      <c r="Z122" s="88">
        <f t="shared" si="40"/>
        <v>34</v>
      </c>
      <c r="AA122" s="116">
        <f>COUNTIFS(GERAL!B$8:B$1696,A122,GERAL!BK$8:BK$1696,"&gt;0",GERAL!C$8:C$1696,"ESCOLA")</f>
        <v>1</v>
      </c>
      <c r="AB122" s="88">
        <f>COUNTIFS(GERAL!B$8:B$1696,A122,GERAL!BK$8:BK$1696,"&gt;0",GERAL!C$8:C$1696,"ANEXO")</f>
        <v>0</v>
      </c>
      <c r="AC122" s="121">
        <f>SUMIF(GERAL!B$8:B$1696,A122,GERAL!AD$8:AD$1696)</f>
        <v>0</v>
      </c>
      <c r="AD122" s="121">
        <f>SUMIF(GERAL!B$8:B$1696,A122,GERAL!AI$8:AI$1696)</f>
        <v>140</v>
      </c>
      <c r="AE122" s="121">
        <f>SUMIF(GERAL!B$8:B$1696,A122,GERAL!AV$8:AV$1696)</f>
        <v>56</v>
      </c>
      <c r="AF122" s="492">
        <f t="shared" si="41"/>
        <v>196</v>
      </c>
      <c r="AG122" s="178">
        <f>COUNTIFS(GERAL!B$8:B$1696,A122,GERAL!AW$8:AW$1696,"&gt;0",GERAL!C$8:C$1696,"ESCOLA")</f>
        <v>1</v>
      </c>
      <c r="AH122" s="118">
        <f>COUNTIFS(GERAL!B$8:B$1696,A122,GERAL!AW$8:AW$1696,"&gt;0",GERAL!C$8:C$1696,"ANEXO")</f>
        <v>0</v>
      </c>
      <c r="AI122" s="177">
        <f>SUMIF(GERAL!B$8:B$1696,A122,GERAL!AS$8:AS$1696)+SUMIF(GERAL!B$8:B$1696,A122,GERAL!AT$8:AT$1696)</f>
        <v>0</v>
      </c>
      <c r="AJ122" s="177">
        <f>SUMIF(GERAL!B$8:B$1696,A122,GERAL!AU$8:AU$1696)</f>
        <v>0</v>
      </c>
      <c r="AK122" s="177">
        <f>SUMIF(GERAL!B$8:B$1696,A122,GERAL!AV$8:AV$1696)</f>
        <v>56</v>
      </c>
      <c r="AL122" s="118">
        <f t="shared" si="42"/>
        <v>56</v>
      </c>
      <c r="AM122" s="493" t="s">
        <v>1393</v>
      </c>
    </row>
    <row r="123">
      <c r="A123" s="494" t="s">
        <v>4080</v>
      </c>
      <c r="B123" s="75">
        <f>COUNTIFS(GERAL!B$8:B$1696,A123,GERAL!C$8:C$1696,"ESCOLA")</f>
        <v>1</v>
      </c>
      <c r="C123" s="75">
        <f>COUNTIFS(GERAL!B$8:B$1696,A123,GERAL!C$8:C$1696,"ANEXO")</f>
        <v>0</v>
      </c>
      <c r="D123" s="85">
        <f>SUMIF(GERAL!B$8:B$1696,A123,GERAL!Z$8:Z$1696)</f>
        <v>0</v>
      </c>
      <c r="E123" s="85">
        <f>SUMIF(GERAL!B$8:B$1696,A123,GERAL!AE$8:AE$1696)</f>
        <v>0</v>
      </c>
      <c r="F123" s="85">
        <f>SUMIF(GERAL!B$8:B$1696,A123,GERAL!AJ$8:AJ$1696)</f>
        <v>107</v>
      </c>
      <c r="G123" s="85">
        <f>SUMIF(GERAL!B$8:B$1696,A123,GERAL!AN$8:AN$1696)</f>
        <v>0</v>
      </c>
      <c r="H123" s="85">
        <f>SUMIF(GERAL!B$8:B$1696,A123,GERAL!AR$8:AW$1696)</f>
        <v>28</v>
      </c>
      <c r="I123" s="85">
        <f>SUMIF(GERAL!B$8:B$1696,A123,GERAL!AW$8:AW$1696)</f>
        <v>29</v>
      </c>
      <c r="J123" s="75">
        <f>SUMIF(GERAL!B$8:B$1696,A123,GERAL!AX$8:AX$1696)</f>
        <v>164</v>
      </c>
      <c r="K123" s="75">
        <f>COUNTIFS(GERAL!B$8:B$1696,A123,GERAL!AY$8:AY$1696,"&gt;0",GERAL!C$8:C$1696,"ESCOLA")</f>
        <v>1</v>
      </c>
      <c r="L123" s="75">
        <f>COUNTIFS(GERAL!B$8:B$1696,A123,GERAL!AY$8:AY$1696,"&gt;0",GERAL!C$8:C$1696,"ANEXO")</f>
        <v>0</v>
      </c>
      <c r="M123" s="100">
        <f>SUMIF(GERAL!B$8:B$1696,A123,GERAL!V$8:V$1696)+SUMIF(GERAL!B$8:B$1696,A123,GERAL!W$8:W$1696)</f>
        <v>0</v>
      </c>
      <c r="N123" s="100">
        <f>SUMIF(GERAL!B$8:B$1696,A123,GERAL!AA$8:AA$1696)+SUMIF(GERAL!B$8:B$1696,A123,GERAL!AB$8:AB$1696)</f>
        <v>0</v>
      </c>
      <c r="O123" s="100">
        <f>SUMIF(GERAL!B$8:B$1696,A123,GERAL!AF$8:AF$1696)+SUMIF(GERAL!B$8:B$1696,A123,GERAL!AG$8:AG$1696)</f>
        <v>90</v>
      </c>
      <c r="P123" s="100">
        <f>SUMIF(GERAL!B$8:B$1696,A123,GERAL!AK$8:AK$1696)+SUMIF(GERAL!B$8:B$1696,A123,GERAL!AL$8:AL$1696)</f>
        <v>0</v>
      </c>
      <c r="Q123" s="100">
        <f>SUMIF(GERAL!B$8:B$1696,A123,GERAL!AO$8:AO$1696)+SUMIF(GERAL!B$8:B$1696,A123,GERAL!AP$8:AP$1696)</f>
        <v>0</v>
      </c>
      <c r="R123" s="100">
        <f>SUMIF(GERAL!B$8:B$1696,A123,GERAL!AS$8:AS$1696)+SUMIF(GERAL!B$8:B$1696,A123,GERAL!AT$8:AT$1696)</f>
        <v>0</v>
      </c>
      <c r="S123" s="75">
        <f t="shared" si="39"/>
        <v>90</v>
      </c>
      <c r="T123" s="116">
        <f>COUNTIFS(GERAL!B$8:B$1696,A123,GERAL!AZ$8:AZ$1696,"&gt;0",GERAL!C$8:C$1696,"ESCOLA")</f>
        <v>1</v>
      </c>
      <c r="U123" s="75">
        <f>COUNTIFS(GERAL!B$8:B$1696,A123,GERAL!AZ$8:AZ$1696,"&gt;0",GERAL!C$8:C$1696,"ANEXO")</f>
        <v>0</v>
      </c>
      <c r="V123" s="85">
        <f>SUMIF(GERAL!B$8:B$1696,A123,GERAL!AH$8:AH$1696)</f>
        <v>0</v>
      </c>
      <c r="W123" s="85">
        <f>SUMIF(GERAL!B$8:B$1696,A123,GERAL!AM$8:AM$1696)</f>
        <v>0</v>
      </c>
      <c r="X123" s="85">
        <f>SUMIF(GERAL!B$8:B$1696,A123,GERAL!AQ$8:AQ$1696)</f>
        <v>28</v>
      </c>
      <c r="Y123" s="85">
        <f>SUMIF(GERAL!B$8:B$1696,A123,GERAL!AU$8:AU$1696)</f>
        <v>0</v>
      </c>
      <c r="Z123" s="88">
        <f t="shared" si="40"/>
        <v>28</v>
      </c>
      <c r="AA123" s="116">
        <f>COUNTIFS(GERAL!B$8:B$1696,A123,GERAL!BK$8:BK$1696,"&gt;0",GERAL!C$8:C$1696,"ESCOLA")</f>
        <v>1</v>
      </c>
      <c r="AB123" s="88">
        <f>COUNTIFS(GERAL!B$8:B$1696,A123,GERAL!BK$8:BK$1696,"&gt;0",GERAL!C$8:C$1696,"ANEXO")</f>
        <v>0</v>
      </c>
      <c r="AC123" s="121">
        <f>SUMIF(GERAL!B$8:B$1696,A123,GERAL!AD$8:AD$1696)</f>
        <v>0</v>
      </c>
      <c r="AD123" s="121">
        <f>SUMIF(GERAL!B$8:B$1696,A123,GERAL!AI$8:AI$1696)</f>
        <v>17</v>
      </c>
      <c r="AE123" s="121">
        <f>SUMIF(GERAL!B$8:B$1696,A123,GERAL!AV$8:AV$1696)</f>
        <v>29</v>
      </c>
      <c r="AF123" s="492">
        <f t="shared" si="41"/>
        <v>46</v>
      </c>
      <c r="AG123" s="178">
        <f>COUNTIFS(GERAL!B$8:B$1696,A123,GERAL!AW$8:AW$1696,"&gt;0",GERAL!C$8:C$1696,"ESCOLA")</f>
        <v>1</v>
      </c>
      <c r="AH123" s="118">
        <f>COUNTIFS(GERAL!B$8:B$1696,A123,GERAL!AW$8:AW$1696,"&gt;0",GERAL!C$8:C$1696,"ANEXO")</f>
        <v>0</v>
      </c>
      <c r="AI123" s="177">
        <f>SUMIF(GERAL!B$8:B$1696,A123,GERAL!AS$8:AS$1696)+SUMIF(GERAL!B$8:B$1696,A123,GERAL!AT$8:AT$1696)</f>
        <v>0</v>
      </c>
      <c r="AJ123" s="177">
        <f>SUMIF(GERAL!B$8:B$1696,A123,GERAL!AU$8:AU$1696)</f>
        <v>0</v>
      </c>
      <c r="AK123" s="177">
        <f>SUMIF(GERAL!B$8:B$1696,A123,GERAL!AV$8:AV$1696)</f>
        <v>29</v>
      </c>
      <c r="AL123" s="118">
        <f t="shared" si="42"/>
        <v>29</v>
      </c>
      <c r="AM123" s="493" t="s">
        <v>973</v>
      </c>
    </row>
    <row r="124">
      <c r="A124" s="484" t="s">
        <v>5743</v>
      </c>
      <c r="B124" s="75">
        <f>COUNTIFS(GERAL!B$8:B$1696,A124,GERAL!C$8:C$1696,"ESCOLA")</f>
        <v>2</v>
      </c>
      <c r="C124" s="75">
        <f>COUNTIFS(GERAL!B$8:B$1696,A124,GERAL!C$8:C$1696,"ANEXO")</f>
        <v>0</v>
      </c>
      <c r="D124" s="85">
        <f>SUMIF(GERAL!B$8:B$1696,A124,GERAL!Z$8:Z$1696)</f>
        <v>0</v>
      </c>
      <c r="E124" s="85">
        <f>SUMIF(GERAL!B$8:B$1696,A124,GERAL!AE$8:AE$1696)</f>
        <v>0</v>
      </c>
      <c r="F124" s="85">
        <f>SUMIF(GERAL!B$8:B$1696,A124,GERAL!AJ$8:AJ$1696)</f>
        <v>861</v>
      </c>
      <c r="G124" s="85">
        <f>SUMIF(GERAL!B$8:B$1696,A124,GERAL!AN$8:AN$1696)</f>
        <v>32</v>
      </c>
      <c r="H124" s="85">
        <f>SUMIF(GERAL!B$8:B$1696,A124,GERAL!AR$8:AW$1696)</f>
        <v>237</v>
      </c>
      <c r="I124" s="85">
        <f>SUMIF(GERAL!B$8:B$1696,A124,GERAL!AW$8:AW$1696)</f>
        <v>220</v>
      </c>
      <c r="J124" s="75">
        <f>SUMIF(GERAL!B$8:B$1696,A124,GERAL!AX$8:AX$1696)</f>
        <v>1350</v>
      </c>
      <c r="K124" s="75">
        <f>COUNTIFS(GERAL!B$8:B$1696,A124,GERAL!AY$8:AY$1696,"&gt;0",GERAL!C$8:C$1696,"ESCOLA")</f>
        <v>2</v>
      </c>
      <c r="L124" s="75">
        <f>COUNTIFS(GERAL!B$8:B$1696,A124,GERAL!AY$8:AY$1696,"&gt;0",GERAL!C$8:C$1696,"ANEXO")</f>
        <v>0</v>
      </c>
      <c r="M124" s="100">
        <f>SUMIF(GERAL!B$8:B$1696,A124,GERAL!V$8:V$1696)+SUMIF(GERAL!B$8:B$1696,A124,GERAL!W$8:W$1696)</f>
        <v>0</v>
      </c>
      <c r="N124" s="100">
        <f>SUMIF(GERAL!B$8:B$1696,A124,GERAL!AA$8:AA$1696)+SUMIF(GERAL!B$8:B$1696,A124,GERAL!AB$8:AB$1696)</f>
        <v>0</v>
      </c>
      <c r="O124" s="100">
        <f>SUMIF(GERAL!B$8:B$1696,A124,GERAL!AF$8:AF$1696)+SUMIF(GERAL!B$8:B$1696,A124,GERAL!AG$8:AG$1696)</f>
        <v>245</v>
      </c>
      <c r="P124" s="100">
        <f>SUMIF(GERAL!B$8:B$1696,A124,GERAL!AK$8:AK$1696)+SUMIF(GERAL!B$8:B$1696,A124,GERAL!AL$8:AL$1696)</f>
        <v>0</v>
      </c>
      <c r="Q124" s="100">
        <f>SUMIF(GERAL!B$8:B$1696,A124,GERAL!AO$8:AO$1696)+SUMIF(GERAL!B$8:B$1696,A124,GERAL!AP$8:AP$1696)</f>
        <v>0</v>
      </c>
      <c r="R124" s="100">
        <f>SUMIF(GERAL!B$8:B$1696,A124,GERAL!AS$8:AS$1696)+SUMIF(GERAL!B$8:B$1696,A124,GERAL!AT$8:AT$1696)</f>
        <v>0</v>
      </c>
      <c r="S124" s="75">
        <f t="shared" si="39"/>
        <v>245</v>
      </c>
      <c r="T124" s="116">
        <f>COUNTIFS(GERAL!B$8:B$1696,A124,GERAL!AZ$8:AZ$1696,"&gt;0",GERAL!C$8:C$1696,"ESCOLA")</f>
        <v>2</v>
      </c>
      <c r="U124" s="75">
        <f>COUNTIFS(GERAL!B$8:B$1696,A124,GERAL!AZ$8:AZ$1696,"&gt;0",GERAL!C$8:C$1696,"ANEXO")</f>
        <v>0</v>
      </c>
      <c r="V124" s="85">
        <f>SUMIF(GERAL!B$8:B$1696,A124,GERAL!AH$8:AH$1696)</f>
        <v>0</v>
      </c>
      <c r="W124" s="85">
        <f>SUMIF(GERAL!B$8:B$1696,A124,GERAL!AM$8:AM$1696)</f>
        <v>32</v>
      </c>
      <c r="X124" s="85">
        <f>SUMIF(GERAL!B$8:B$1696,A124,GERAL!AQ$8:AQ$1696)</f>
        <v>237</v>
      </c>
      <c r="Y124" s="85">
        <f>SUMIF(GERAL!B$8:B$1696,A124,GERAL!AU$8:AU$1696)</f>
        <v>190</v>
      </c>
      <c r="Z124" s="88">
        <f t="shared" si="40"/>
        <v>459</v>
      </c>
      <c r="AA124" s="116">
        <f>COUNTIFS(GERAL!B$8:B$1696,A124,GERAL!BK$8:BK$1696,"&gt;0",GERAL!C$8:C$1696,"ESCOLA")</f>
        <v>2</v>
      </c>
      <c r="AB124" s="88">
        <f>COUNTIFS(GERAL!B$8:B$1696,A124,GERAL!BK$8:BK$1696,"&gt;0",GERAL!C$8:C$1696,"ANEXO")</f>
        <v>0</v>
      </c>
      <c r="AC124" s="121">
        <f>SUMIF(GERAL!B$8:B$1696,A124,GERAL!AD$8:AD$1696)</f>
        <v>0</v>
      </c>
      <c r="AD124" s="121">
        <f>SUMIF(GERAL!B$8:B$1696,A124,GERAL!AI$8:AI$1696)</f>
        <v>616</v>
      </c>
      <c r="AE124" s="121">
        <f>SUMIF(GERAL!B$8:B$1696,A124,GERAL!AV$8:AV$1696)</f>
        <v>30</v>
      </c>
      <c r="AF124" s="492">
        <f t="shared" si="41"/>
        <v>646</v>
      </c>
      <c r="AG124" s="178">
        <f>COUNTIFS(GERAL!B$8:B$1696,A124,GERAL!AW$8:AW$1696,"&gt;0",GERAL!C$8:C$1696,"ESCOLA")</f>
        <v>1</v>
      </c>
      <c r="AH124" s="118">
        <f>COUNTIFS(GERAL!B$8:B$1696,A124,GERAL!AW$8:AW$1696,"&gt;0",GERAL!C$8:C$1696,"ANEXO")</f>
        <v>0</v>
      </c>
      <c r="AI124" s="177">
        <f>SUMIF(GERAL!B$8:B$1696,A124,GERAL!AS$8:AS$1696)+SUMIF(GERAL!B$8:B$1696,A124,GERAL!AT$8:AT$1696)</f>
        <v>0</v>
      </c>
      <c r="AJ124" s="177">
        <f>SUMIF(GERAL!B$8:B$1696,A124,GERAL!AU$8:AU$1696)</f>
        <v>190</v>
      </c>
      <c r="AK124" s="177">
        <f>SUMIF(GERAL!B$8:B$1696,A124,GERAL!AV$8:AV$1696)</f>
        <v>30</v>
      </c>
      <c r="AL124" s="118">
        <f t="shared" si="42"/>
        <v>220</v>
      </c>
      <c r="AM124" s="493" t="s">
        <v>1335</v>
      </c>
    </row>
    <row r="125">
      <c r="A125" s="494" t="s">
        <v>6206</v>
      </c>
      <c r="B125" s="75">
        <f>COUNTIFS(GERAL!B$8:B$1696,A125,GERAL!C$8:C$1696,"ESCOLA")</f>
        <v>1</v>
      </c>
      <c r="C125" s="75">
        <f>COUNTIFS(GERAL!B$8:B$1696,A125,GERAL!C$8:C$1696,"ANEXO")</f>
        <v>0</v>
      </c>
      <c r="D125" s="85">
        <f>SUMIF(GERAL!B$8:B$1696,A125,GERAL!Z$8:Z$1696)</f>
        <v>0</v>
      </c>
      <c r="E125" s="85">
        <f>SUMIF(GERAL!B$8:B$1696,A125,GERAL!AE$8:AE$1696)</f>
        <v>0</v>
      </c>
      <c r="F125" s="85">
        <f>SUMIF(GERAL!B$8:B$1696,A125,GERAL!AJ$8:AJ$1696)</f>
        <v>193</v>
      </c>
      <c r="G125" s="85">
        <f>SUMIF(GERAL!B$8:B$1696,A125,GERAL!AN$8:AN$1696)</f>
        <v>0</v>
      </c>
      <c r="H125" s="85">
        <f>SUMIF(GERAL!B$8:B$1696,A125,GERAL!AR$8:AW$1696)</f>
        <v>0</v>
      </c>
      <c r="I125" s="85">
        <f>SUMIF(GERAL!B$8:B$1696,A125,GERAL!AW$8:AW$1696)</f>
        <v>72</v>
      </c>
      <c r="J125" s="75">
        <f>SUMIF(GERAL!B$8:B$1696,A125,GERAL!AX$8:AX$1696)</f>
        <v>265</v>
      </c>
      <c r="K125" s="75">
        <f>COUNTIFS(GERAL!B$8:B$1696,A125,GERAL!AY$8:AY$1696,"&gt;0",GERAL!C$8:C$1696,"ESCOLA")</f>
        <v>1</v>
      </c>
      <c r="L125" s="75">
        <f>COUNTIFS(GERAL!B$8:B$1696,A125,GERAL!AY$8:AY$1696,"&gt;0",GERAL!C$8:C$1696,"ANEXO")</f>
        <v>0</v>
      </c>
      <c r="M125" s="100">
        <f>SUMIF(GERAL!B$8:B$1696,A125,GERAL!V$8:V$1696)+SUMIF(GERAL!B$8:B$1696,A125,GERAL!W$8:W$1696)</f>
        <v>0</v>
      </c>
      <c r="N125" s="100">
        <f>SUMIF(GERAL!B$8:B$1696,A125,GERAL!AA$8:AA$1696)+SUMIF(GERAL!B$8:B$1696,A125,GERAL!AB$8:AB$1696)</f>
        <v>0</v>
      </c>
      <c r="O125" s="100">
        <f>SUMIF(GERAL!B$8:B$1696,A125,GERAL!AF$8:AF$1696)+SUMIF(GERAL!B$8:B$1696,A125,GERAL!AG$8:AG$1696)</f>
        <v>18</v>
      </c>
      <c r="P125" s="100">
        <f>SUMIF(GERAL!B$8:B$1696,A125,GERAL!AK$8:AK$1696)+SUMIF(GERAL!B$8:B$1696,A125,GERAL!AL$8:AL$1696)</f>
        <v>0</v>
      </c>
      <c r="Q125" s="100">
        <f>SUMIF(GERAL!B$8:B$1696,A125,GERAL!AO$8:AO$1696)+SUMIF(GERAL!B$8:B$1696,A125,GERAL!AP$8:AP$1696)</f>
        <v>0</v>
      </c>
      <c r="R125" s="100">
        <f>SUMIF(GERAL!B$8:B$1696,A125,GERAL!AS$8:AS$1696)+SUMIF(GERAL!B$8:B$1696,A125,GERAL!AT$8:AT$1696)</f>
        <v>0</v>
      </c>
      <c r="S125" s="75">
        <f t="shared" si="39"/>
        <v>18</v>
      </c>
      <c r="T125" s="116">
        <f>COUNTIFS(GERAL!B$8:B$1696,A125,GERAL!AZ$8:AZ$1696,"&gt;0",GERAL!C$8:C$1696,"ESCOLA")</f>
        <v>0</v>
      </c>
      <c r="U125" s="75">
        <f>COUNTIFS(GERAL!B$8:B$1696,A125,GERAL!AZ$8:AZ$1696,"&gt;0",GERAL!C$8:C$1696,"ANEXO")</f>
        <v>0</v>
      </c>
      <c r="V125" s="85">
        <f>SUMIF(GERAL!B$8:B$1696,A125,GERAL!AH$8:AH$1696)</f>
        <v>0</v>
      </c>
      <c r="W125" s="85">
        <f>SUMIF(GERAL!B$8:B$1696,A125,GERAL!AM$8:AM$1696)</f>
        <v>0</v>
      </c>
      <c r="X125" s="85">
        <f>SUMIF(GERAL!B$8:B$1696,A125,GERAL!AQ$8:AQ$1696)</f>
        <v>0</v>
      </c>
      <c r="Y125" s="85">
        <f>SUMIF(GERAL!B$8:B$1696,A125,GERAL!AU$8:AU$1696)</f>
        <v>0</v>
      </c>
      <c r="Z125" s="88">
        <f t="shared" si="40"/>
        <v>0</v>
      </c>
      <c r="AA125" s="116">
        <f>COUNTIFS(GERAL!B$8:B$1696,A125,GERAL!BK$8:BK$1696,"&gt;0",GERAL!C$8:C$1696,"ESCOLA")</f>
        <v>1</v>
      </c>
      <c r="AB125" s="88">
        <f>COUNTIFS(GERAL!B$8:B$1696,A125,GERAL!BK$8:BK$1696,"&gt;0",GERAL!C$8:C$1696,"ANEXO")</f>
        <v>0</v>
      </c>
      <c r="AC125" s="121">
        <f>SUMIF(GERAL!B$8:B$1696,A125,GERAL!AD$8:AD$1696)</f>
        <v>0</v>
      </c>
      <c r="AD125" s="121">
        <f>SUMIF(GERAL!B$8:B$1696,A125,GERAL!AI$8:AI$1696)</f>
        <v>175</v>
      </c>
      <c r="AE125" s="121">
        <f>SUMIF(GERAL!B$8:B$1696,A125,GERAL!AV$8:AV$1696)</f>
        <v>72</v>
      </c>
      <c r="AF125" s="492">
        <f t="shared" si="41"/>
        <v>247</v>
      </c>
      <c r="AG125" s="178">
        <f>COUNTIFS(GERAL!B$8:B$1696,A125,GERAL!AW$8:AW$1696,"&gt;0",GERAL!C$8:C$1696,"ESCOLA")</f>
        <v>1</v>
      </c>
      <c r="AH125" s="118">
        <f>COUNTIFS(GERAL!B$8:B$1696,A125,GERAL!AW$8:AW$1696,"&gt;0",GERAL!C$8:C$1696,"ANEXO")</f>
        <v>0</v>
      </c>
      <c r="AI125" s="177">
        <f>SUMIF(GERAL!B$8:B$1696,A125,GERAL!AS$8:AS$1696)+SUMIF(GERAL!B$8:B$1696,A125,GERAL!AT$8:AT$1696)</f>
        <v>0</v>
      </c>
      <c r="AJ125" s="177">
        <f>SUMIF(GERAL!B$8:B$1696,A125,GERAL!AU$8:AU$1696)</f>
        <v>0</v>
      </c>
      <c r="AK125" s="177">
        <f>SUMIF(GERAL!B$8:B$1696,A125,GERAL!AV$8:AV$1696)</f>
        <v>72</v>
      </c>
      <c r="AL125" s="118">
        <f t="shared" si="42"/>
        <v>72</v>
      </c>
      <c r="AM125" s="493" t="s">
        <v>1393</v>
      </c>
    </row>
    <row r="126">
      <c r="A126" s="484" t="s">
        <v>7306</v>
      </c>
      <c r="B126" s="75">
        <f>COUNTIFS(GERAL!B$8:B$1696,A126,GERAL!C$8:C$1696,"ESCOLA")</f>
        <v>1</v>
      </c>
      <c r="C126" s="75">
        <f>COUNTIFS(GERAL!B$8:B$1696,A126,GERAL!C$8:C$1696,"ANEXO")</f>
        <v>2</v>
      </c>
      <c r="D126" s="85">
        <f>SUMIF(GERAL!B$8:B$1696,A126,GERAL!Z$8:Z$1696)</f>
        <v>0</v>
      </c>
      <c r="E126" s="85">
        <f>SUMIF(GERAL!B$8:B$1696,A126,GERAL!AE$8:AE$1696)</f>
        <v>0</v>
      </c>
      <c r="F126" s="85">
        <f>SUMIF(GERAL!B$8:B$1696,A126,GERAL!AJ$8:AJ$1696)</f>
        <v>548</v>
      </c>
      <c r="G126" s="85">
        <f>SUMIF(GERAL!B$8:B$1696,A126,GERAL!AN$8:AN$1696)</f>
        <v>0</v>
      </c>
      <c r="H126" s="85">
        <f>SUMIF(GERAL!B$8:B$1696,A126,GERAL!AR$8:AW$1696)</f>
        <v>44</v>
      </c>
      <c r="I126" s="85">
        <f>SUMIF(GERAL!B$8:B$1696,A126,GERAL!AW$8:AW$1696)</f>
        <v>39</v>
      </c>
      <c r="J126" s="75">
        <f>SUMIF(GERAL!B$8:B$1696,A126,GERAL!AX$8:AX$1696)</f>
        <v>631</v>
      </c>
      <c r="K126" s="75">
        <f>COUNTIFS(GERAL!B$8:B$1696,A126,GERAL!AY$8:AY$1696,"&gt;0",GERAL!C$8:C$1696,"ESCOLA")</f>
        <v>1</v>
      </c>
      <c r="L126" s="75">
        <f>COUNTIFS(GERAL!B$8:B$1696,A126,GERAL!AY$8:AY$1696,"&gt;0",GERAL!C$8:C$1696,"ANEXO")</f>
        <v>2</v>
      </c>
      <c r="M126" s="100">
        <f>SUMIF(GERAL!B$8:B$1696,A126,GERAL!V$8:V$1696)+SUMIF(GERAL!B$8:B$1696,A126,GERAL!W$8:W$1696)</f>
        <v>0</v>
      </c>
      <c r="N126" s="100">
        <f>SUMIF(GERAL!B$8:B$1696,A126,GERAL!AA$8:AA$1696)+SUMIF(GERAL!B$8:B$1696,A126,GERAL!AB$8:AB$1696)</f>
        <v>0</v>
      </c>
      <c r="O126" s="100">
        <f>SUMIF(GERAL!B$8:B$1696,A126,GERAL!AF$8:AF$1696)+SUMIF(GERAL!B$8:B$1696,A126,GERAL!AG$8:AG$1696)</f>
        <v>499</v>
      </c>
      <c r="P126" s="100">
        <f>SUMIF(GERAL!B$8:B$1696,A126,GERAL!AK$8:AK$1696)+SUMIF(GERAL!B$8:B$1696,A126,GERAL!AL$8:AL$1696)</f>
        <v>0</v>
      </c>
      <c r="Q126" s="100">
        <f>SUMIF(GERAL!B$8:B$1696,A126,GERAL!AO$8:AO$1696)+SUMIF(GERAL!B$8:B$1696,A126,GERAL!AP$8:AP$1696)</f>
        <v>0</v>
      </c>
      <c r="R126" s="100">
        <f>SUMIF(GERAL!B$8:B$1696,A126,GERAL!AS$8:AS$1696)+SUMIF(GERAL!B$8:B$1696,A126,GERAL!AT$8:AT$1696)</f>
        <v>0</v>
      </c>
      <c r="S126" s="75">
        <f t="shared" si="39"/>
        <v>499</v>
      </c>
      <c r="T126" s="116">
        <f>COUNTIFS(GERAL!B$8:B$1696,A126,GERAL!AZ$8:AZ$1696,"&gt;0",GERAL!C$8:C$1696,"ESCOLA")</f>
        <v>1</v>
      </c>
      <c r="U126" s="75">
        <f>COUNTIFS(GERAL!B$8:B$1696,A126,GERAL!AZ$8:AZ$1696,"&gt;0",GERAL!C$8:C$1696,"ANEXO")</f>
        <v>0</v>
      </c>
      <c r="V126" s="85">
        <f>SUMIF(GERAL!B$8:B$1696,A126,GERAL!AH$8:AH$1696)</f>
        <v>0</v>
      </c>
      <c r="W126" s="85">
        <f>SUMIF(GERAL!B$8:B$1696,A126,GERAL!AM$8:AM$1696)</f>
        <v>0</v>
      </c>
      <c r="X126" s="85">
        <f>SUMIF(GERAL!B$8:B$1696,A126,GERAL!AQ$8:AQ$1696)</f>
        <v>44</v>
      </c>
      <c r="Y126" s="85">
        <f>SUMIF(GERAL!B$8:B$1696,A126,GERAL!AU$8:AU$1696)</f>
        <v>0</v>
      </c>
      <c r="Z126" s="88">
        <f t="shared" si="40"/>
        <v>44</v>
      </c>
      <c r="AA126" s="116">
        <f>COUNTIFS(GERAL!B$8:B$1696,A126,GERAL!BK$8:BK$1696,"&gt;0",GERAL!C$8:C$1696,"ESCOLA")</f>
        <v>1</v>
      </c>
      <c r="AB126" s="88">
        <f>COUNTIFS(GERAL!B$8:B$1696,A126,GERAL!BK$8:BK$1696,"&gt;0",GERAL!C$8:C$1696,"ANEXO")</f>
        <v>0</v>
      </c>
      <c r="AC126" s="121">
        <f>SUMIF(GERAL!B$8:B$1696,A126,GERAL!AD$8:AD$1696)</f>
        <v>0</v>
      </c>
      <c r="AD126" s="121">
        <f>SUMIF(GERAL!B$8:B$1696,A126,GERAL!AI$8:AI$1696)</f>
        <v>49</v>
      </c>
      <c r="AE126" s="121">
        <f>SUMIF(GERAL!B$8:B$1696,A126,GERAL!AV$8:AV$1696)</f>
        <v>39</v>
      </c>
      <c r="AF126" s="492">
        <f t="shared" si="41"/>
        <v>88</v>
      </c>
      <c r="AG126" s="178">
        <f>COUNTIFS(GERAL!B$8:B$1696,A126,GERAL!AW$8:AW$1696,"&gt;0",GERAL!C$8:C$1696,"ESCOLA")</f>
        <v>1</v>
      </c>
      <c r="AH126" s="118">
        <f>COUNTIFS(GERAL!B$8:B$1696,A126,GERAL!AW$8:AW$1696,"&gt;0",GERAL!C$8:C$1696,"ANEXO")</f>
        <v>0</v>
      </c>
      <c r="AI126" s="177">
        <f>SUMIF(GERAL!B$8:B$1696,A126,GERAL!AS$8:AS$1696)+SUMIF(GERAL!B$8:B$1696,A126,GERAL!AT$8:AT$1696)</f>
        <v>0</v>
      </c>
      <c r="AJ126" s="177">
        <f>SUMIF(GERAL!B$8:B$1696,A126,GERAL!AU$8:AU$1696)</f>
        <v>0</v>
      </c>
      <c r="AK126" s="177">
        <f>SUMIF(GERAL!B$8:B$1696,A126,GERAL!AV$8:AV$1696)</f>
        <v>39</v>
      </c>
      <c r="AL126" s="118">
        <f t="shared" si="42"/>
        <v>39</v>
      </c>
      <c r="AM126" s="493" t="s">
        <v>1573</v>
      </c>
    </row>
    <row r="127">
      <c r="A127" s="494" t="s">
        <v>5148</v>
      </c>
      <c r="B127" s="75">
        <f>COUNTIFS(GERAL!B$8:B$1696,A127,GERAL!C$8:C$1696,"ESCOLA")</f>
        <v>1</v>
      </c>
      <c r="C127" s="75">
        <f>COUNTIFS(GERAL!B$8:B$1696,A127,GERAL!C$8:C$1696,"ANEXO")</f>
        <v>0</v>
      </c>
      <c r="D127" s="85">
        <f>SUMIF(GERAL!B$8:B$1696,A127,GERAL!Z$8:Z$1696)</f>
        <v>0</v>
      </c>
      <c r="E127" s="85">
        <f>SUMIF(GERAL!B$8:B$1696,A127,GERAL!AE$8:AE$1696)</f>
        <v>0</v>
      </c>
      <c r="F127" s="85">
        <f>SUMIF(GERAL!B$8:B$1696,A127,GERAL!AJ$8:AJ$1696)</f>
        <v>507</v>
      </c>
      <c r="G127" s="85">
        <f>SUMIF(GERAL!B$8:B$1696,A127,GERAL!AN$8:AN$1696)</f>
        <v>0</v>
      </c>
      <c r="H127" s="85">
        <f>SUMIF(GERAL!B$8:B$1696,A127,GERAL!AR$8:AW$1696)</f>
        <v>115</v>
      </c>
      <c r="I127" s="85">
        <f>SUMIF(GERAL!B$8:B$1696,A127,GERAL!AW$8:AW$1696)</f>
        <v>64</v>
      </c>
      <c r="J127" s="75">
        <f>SUMIF(GERAL!B$8:B$1696,A127,GERAL!AX$8:AX$1696)</f>
        <v>686</v>
      </c>
      <c r="K127" s="75">
        <f>COUNTIFS(GERAL!B$8:B$1696,A127,GERAL!AY$8:AY$1696,"&gt;0",GERAL!C$8:C$1696,"ESCOLA")</f>
        <v>1</v>
      </c>
      <c r="L127" s="75">
        <f>COUNTIFS(GERAL!B$8:B$1696,A127,GERAL!AY$8:AY$1696,"&gt;0",GERAL!C$8:C$1696,"ANEXO")</f>
        <v>0</v>
      </c>
      <c r="M127" s="100">
        <f>SUMIF(GERAL!B$8:B$1696,A127,GERAL!V$8:V$1696)+SUMIF(GERAL!B$8:B$1696,A127,GERAL!W$8:W$1696)</f>
        <v>0</v>
      </c>
      <c r="N127" s="100">
        <f>SUMIF(GERAL!B$8:B$1696,A127,GERAL!AA$8:AA$1696)+SUMIF(GERAL!B$8:B$1696,A127,GERAL!AB$8:AB$1696)</f>
        <v>0</v>
      </c>
      <c r="O127" s="100">
        <f>SUMIF(GERAL!B$8:B$1696,A127,GERAL!AF$8:AF$1696)+SUMIF(GERAL!B$8:B$1696,A127,GERAL!AG$8:AG$1696)</f>
        <v>196</v>
      </c>
      <c r="P127" s="100">
        <f>SUMIF(GERAL!B$8:B$1696,A127,GERAL!AK$8:AK$1696)+SUMIF(GERAL!B$8:B$1696,A127,GERAL!AL$8:AL$1696)</f>
        <v>0</v>
      </c>
      <c r="Q127" s="100">
        <f>SUMIF(GERAL!B$8:B$1696,A127,GERAL!AO$8:AO$1696)+SUMIF(GERAL!B$8:B$1696,A127,GERAL!AP$8:AP$1696)</f>
        <v>0</v>
      </c>
      <c r="R127" s="100">
        <f>SUMIF(GERAL!B$8:B$1696,A127,GERAL!AS$8:AS$1696)+SUMIF(GERAL!B$8:B$1696,A127,GERAL!AT$8:AT$1696)</f>
        <v>0</v>
      </c>
      <c r="S127" s="75">
        <f t="shared" si="39"/>
        <v>196</v>
      </c>
      <c r="T127" s="116">
        <f>COUNTIFS(GERAL!B$8:B$1696,A127,GERAL!AZ$8:AZ$1696,"&gt;0",GERAL!C$8:C$1696,"ESCOLA")</f>
        <v>1</v>
      </c>
      <c r="U127" s="75">
        <f>COUNTIFS(GERAL!B$8:B$1696,A127,GERAL!AZ$8:AZ$1696,"&gt;0",GERAL!C$8:C$1696,"ANEXO")</f>
        <v>0</v>
      </c>
      <c r="V127" s="85">
        <f>SUMIF(GERAL!B$8:B$1696,A127,GERAL!AH$8:AH$1696)</f>
        <v>0</v>
      </c>
      <c r="W127" s="85">
        <f>SUMIF(GERAL!B$8:B$1696,A127,GERAL!AM$8:AM$1696)</f>
        <v>0</v>
      </c>
      <c r="X127" s="85">
        <f>SUMIF(GERAL!B$8:B$1696,A127,GERAL!AQ$8:AQ$1696)</f>
        <v>115</v>
      </c>
      <c r="Y127" s="85">
        <f>SUMIF(GERAL!B$8:B$1696,A127,GERAL!AU$8:AU$1696)</f>
        <v>0</v>
      </c>
      <c r="Z127" s="88">
        <f t="shared" si="40"/>
        <v>115</v>
      </c>
      <c r="AA127" s="116">
        <f>COUNTIFS(GERAL!B$8:B$1696,A127,GERAL!BK$8:BK$1696,"&gt;0",GERAL!C$8:C$1696,"ESCOLA")</f>
        <v>1</v>
      </c>
      <c r="AB127" s="88">
        <f>COUNTIFS(GERAL!B$8:B$1696,A127,GERAL!BK$8:BK$1696,"&gt;0",GERAL!C$8:C$1696,"ANEXO")</f>
        <v>0</v>
      </c>
      <c r="AC127" s="121">
        <f>SUMIF(GERAL!B$8:B$1696,A127,GERAL!AD$8:AD$1696)</f>
        <v>0</v>
      </c>
      <c r="AD127" s="121">
        <f>SUMIF(GERAL!B$8:B$1696,A127,GERAL!AI$8:AI$1696)</f>
        <v>311</v>
      </c>
      <c r="AE127" s="121">
        <f>SUMIF(GERAL!B$8:B$1696,A127,GERAL!AV$8:AV$1696)</f>
        <v>64</v>
      </c>
      <c r="AF127" s="492">
        <f t="shared" si="41"/>
        <v>375</v>
      </c>
      <c r="AG127" s="178">
        <f>COUNTIFS(GERAL!B$8:B$1696,A127,GERAL!AW$8:AW$1696,"&gt;0",GERAL!C$8:C$1696,"ESCOLA")</f>
        <v>1</v>
      </c>
      <c r="AH127" s="118">
        <f>COUNTIFS(GERAL!B$8:B$1696,A127,GERAL!AW$8:AW$1696,"&gt;0",GERAL!C$8:C$1696,"ANEXO")</f>
        <v>0</v>
      </c>
      <c r="AI127" s="177">
        <f>SUMIF(GERAL!B$8:B$1696,A127,GERAL!AS$8:AS$1696)+SUMIF(GERAL!B$8:B$1696,A127,GERAL!AT$8:AT$1696)</f>
        <v>0</v>
      </c>
      <c r="AJ127" s="177">
        <f>SUMIF(GERAL!B$8:B$1696,A127,GERAL!AU$8:AU$1696)</f>
        <v>0</v>
      </c>
      <c r="AK127" s="177">
        <f>SUMIF(GERAL!B$8:B$1696,A127,GERAL!AV$8:AV$1696)</f>
        <v>64</v>
      </c>
      <c r="AL127" s="118">
        <f t="shared" si="42"/>
        <v>64</v>
      </c>
      <c r="AM127" s="493" t="s">
        <v>1224</v>
      </c>
    </row>
    <row r="128">
      <c r="A128" s="484" t="s">
        <v>2297</v>
      </c>
      <c r="B128" s="75">
        <f>COUNTIFS(GERAL!B$8:B$1696,A128,GERAL!C$8:C$1696,"ESCOLA")</f>
        <v>2</v>
      </c>
      <c r="C128" s="75">
        <f>COUNTIFS(GERAL!B$8:B$1696,A128,GERAL!C$8:C$1696,"ANEXO")</f>
        <v>1</v>
      </c>
      <c r="D128" s="85">
        <f>SUMIF(GERAL!B$8:B$1696,A128,GERAL!Z$8:Z$1696)</f>
        <v>0</v>
      </c>
      <c r="E128" s="85">
        <f>SUMIF(GERAL!B$8:B$1696,A128,GERAL!AE$8:AE$1696)</f>
        <v>0</v>
      </c>
      <c r="F128" s="85">
        <f>SUMIF(GERAL!B$8:B$1696,A128,GERAL!AJ$8:AJ$1696)</f>
        <v>1156</v>
      </c>
      <c r="G128" s="85">
        <f>SUMIF(GERAL!B$8:B$1696,A128,GERAL!AN$8:AN$1696)</f>
        <v>0</v>
      </c>
      <c r="H128" s="85">
        <f>SUMIF(GERAL!B$8:B$1696,A128,GERAL!AR$8:AW$1696)</f>
        <v>147</v>
      </c>
      <c r="I128" s="85">
        <f>SUMIF(GERAL!B$8:B$1696,A128,GERAL!AW$8:AW$1696)</f>
        <v>221</v>
      </c>
      <c r="J128" s="75">
        <f>SUMIF(GERAL!B$8:B$1696,A128,GERAL!AX$8:AX$1696)</f>
        <v>1524</v>
      </c>
      <c r="K128" s="75">
        <f>COUNTIFS(GERAL!B$8:B$1696,A128,GERAL!AY$8:AY$1696,"&gt;0",GERAL!C$8:C$1696,"ESCOLA")</f>
        <v>2</v>
      </c>
      <c r="L128" s="75">
        <f>COUNTIFS(GERAL!B$8:B$1696,A128,GERAL!AY$8:AY$1696,"&gt;0",GERAL!C$8:C$1696,"ANEXO")</f>
        <v>1</v>
      </c>
      <c r="M128" s="100">
        <f>SUMIF(GERAL!B$8:B$1696,A128,GERAL!V$8:V$1696)+SUMIF(GERAL!B$8:B$1696,A128,GERAL!W$8:W$1696)</f>
        <v>0</v>
      </c>
      <c r="N128" s="100">
        <f>SUMIF(GERAL!B$8:B$1696,A128,GERAL!AA$8:AA$1696)+SUMIF(GERAL!B$8:B$1696,A128,GERAL!AB$8:AB$1696)</f>
        <v>0</v>
      </c>
      <c r="O128" s="100">
        <f>SUMIF(GERAL!B$8:B$1696,A128,GERAL!AF$8:AF$1696)+SUMIF(GERAL!B$8:B$1696,A128,GERAL!AG$8:AG$1696)</f>
        <v>763</v>
      </c>
      <c r="P128" s="100">
        <f>SUMIF(GERAL!B$8:B$1696,A128,GERAL!AK$8:AK$1696)+SUMIF(GERAL!B$8:B$1696,A128,GERAL!AL$8:AL$1696)</f>
        <v>0</v>
      </c>
      <c r="Q128" s="100">
        <f>SUMIF(GERAL!B$8:B$1696,A128,GERAL!AO$8:AO$1696)+SUMIF(GERAL!B$8:B$1696,A128,GERAL!AP$8:AP$1696)</f>
        <v>0</v>
      </c>
      <c r="R128" s="100">
        <f>SUMIF(GERAL!B$8:B$1696,A128,GERAL!AS$8:AS$1696)+SUMIF(GERAL!B$8:B$1696,A128,GERAL!AT$8:AT$1696)</f>
        <v>177</v>
      </c>
      <c r="S128" s="75">
        <f t="shared" si="39"/>
        <v>940</v>
      </c>
      <c r="T128" s="116">
        <f>COUNTIFS(GERAL!B$8:B$1696,A128,GERAL!AZ$8:AZ$1696,"&gt;0",GERAL!C$8:C$1696,"ESCOLA")</f>
        <v>2</v>
      </c>
      <c r="U128" s="75">
        <f>COUNTIFS(GERAL!B$8:B$1696,A128,GERAL!AZ$8:AZ$1696,"&gt;0",GERAL!C$8:C$1696,"ANEXO")</f>
        <v>0</v>
      </c>
      <c r="V128" s="85">
        <f>SUMIF(GERAL!B$8:B$1696,A128,GERAL!AH$8:AH$1696)</f>
        <v>0</v>
      </c>
      <c r="W128" s="85">
        <f>SUMIF(GERAL!B$8:B$1696,A128,GERAL!AM$8:AM$1696)</f>
        <v>0</v>
      </c>
      <c r="X128" s="85">
        <f>SUMIF(GERAL!B$8:B$1696,A128,GERAL!AQ$8:AQ$1696)</f>
        <v>147</v>
      </c>
      <c r="Y128" s="85">
        <f>SUMIF(GERAL!B$8:B$1696,A128,GERAL!AU$8:AU$1696)</f>
        <v>44</v>
      </c>
      <c r="Z128" s="88">
        <f t="shared" si="40"/>
        <v>191</v>
      </c>
      <c r="AA128" s="116">
        <f>COUNTIFS(GERAL!B$8:B$1696,A128,GERAL!BK$8:BK$1696,"&gt;0",GERAL!C$8:C$1696,"ESCOLA")</f>
        <v>2</v>
      </c>
      <c r="AB128" s="88">
        <f>COUNTIFS(GERAL!B$8:B$1696,A128,GERAL!BK$8:BK$1696,"&gt;0",GERAL!C$8:C$1696,"ANEXO")</f>
        <v>0</v>
      </c>
      <c r="AC128" s="121">
        <f>SUMIF(GERAL!B$8:B$1696,A128,GERAL!AD$8:AD$1696)</f>
        <v>0</v>
      </c>
      <c r="AD128" s="121">
        <f>SUMIF(GERAL!B$8:B$1696,A128,GERAL!AI$8:AI$1696)</f>
        <v>393</v>
      </c>
      <c r="AE128" s="121">
        <f>SUMIF(GERAL!B$8:B$1696,A128,GERAL!AV$8:AV$1696)</f>
        <v>0</v>
      </c>
      <c r="AF128" s="492">
        <f t="shared" si="41"/>
        <v>393</v>
      </c>
      <c r="AG128" s="178">
        <f>COUNTIFS(GERAL!B$8:B$1696,A128,GERAL!AW$8:AW$1696,"&gt;0",GERAL!C$8:C$1696,"ESCOLA")</f>
        <v>2</v>
      </c>
      <c r="AH128" s="118">
        <f>COUNTIFS(GERAL!B$8:B$1696,A128,GERAL!AW$8:AW$1696,"&gt;0",GERAL!C$8:C$1696,"ANEXO")</f>
        <v>0</v>
      </c>
      <c r="AI128" s="177">
        <f>SUMIF(GERAL!B$8:B$1696,A128,GERAL!AS$8:AS$1696)+SUMIF(GERAL!B$8:B$1696,A128,GERAL!AT$8:AT$1696)</f>
        <v>177</v>
      </c>
      <c r="AJ128" s="177">
        <f>SUMIF(GERAL!B$8:B$1696,A128,GERAL!AU$8:AU$1696)</f>
        <v>44</v>
      </c>
      <c r="AK128" s="177">
        <f>SUMIF(GERAL!B$8:B$1696,A128,GERAL!AV$8:AV$1696)</f>
        <v>0</v>
      </c>
      <c r="AL128" s="118">
        <f t="shared" si="42"/>
        <v>221</v>
      </c>
      <c r="AM128" s="493" t="s">
        <v>1573</v>
      </c>
    </row>
    <row r="129">
      <c r="A129" s="494" t="s">
        <v>2218</v>
      </c>
      <c r="B129" s="75">
        <f>COUNTIFS(GERAL!B$8:B$1696,A129,GERAL!C$8:C$1696,"ESCOLA")</f>
        <v>1</v>
      </c>
      <c r="C129" s="75">
        <f>COUNTIFS(GERAL!B$8:B$1696,A129,GERAL!C$8:C$1696,"ANEXO")</f>
        <v>6</v>
      </c>
      <c r="D129" s="85">
        <f>SUMIF(GERAL!B$8:B$1696,A129,GERAL!Z$8:Z$1696)</f>
        <v>0</v>
      </c>
      <c r="E129" s="85">
        <f>SUMIF(GERAL!B$8:B$1696,A129,GERAL!AE$8:AE$1696)</f>
        <v>0</v>
      </c>
      <c r="F129" s="85">
        <f>SUMIF(GERAL!B$8:B$1696,A129,GERAL!AJ$8:AJ$1696)</f>
        <v>438</v>
      </c>
      <c r="G129" s="85">
        <f>SUMIF(GERAL!B$8:B$1696,A129,GERAL!AN$8:AN$1696)</f>
        <v>0</v>
      </c>
      <c r="H129" s="85">
        <f>SUMIF(GERAL!B$8:B$1696,A129,GERAL!AR$8:AW$1696)</f>
        <v>118</v>
      </c>
      <c r="I129" s="85">
        <f>SUMIF(GERAL!B$8:B$1696,A129,GERAL!AW$8:AW$1696)</f>
        <v>35</v>
      </c>
      <c r="J129" s="75">
        <f>SUMIF(GERAL!B$8:B$1696,A129,GERAL!AX$8:AX$1696)</f>
        <v>591</v>
      </c>
      <c r="K129" s="75">
        <f>COUNTIFS(GERAL!B$8:B$1696,A129,GERAL!AY$8:AY$1696,"&gt;0",GERAL!C$8:C$1696,"ESCOLA")</f>
        <v>1</v>
      </c>
      <c r="L129" s="75">
        <f>COUNTIFS(GERAL!B$8:B$1696,A129,GERAL!AY$8:AY$1696,"&gt;0",GERAL!C$8:C$1696,"ANEXO")</f>
        <v>3</v>
      </c>
      <c r="M129" s="100">
        <f>SUMIF(GERAL!B$8:B$1696,A129,GERAL!V$8:V$1696)+SUMIF(GERAL!B$8:B$1696,A129,GERAL!W$8:W$1696)</f>
        <v>0</v>
      </c>
      <c r="N129" s="100">
        <f>SUMIF(GERAL!B$8:B$1696,A129,GERAL!AA$8:AA$1696)+SUMIF(GERAL!B$8:B$1696,A129,GERAL!AB$8:AB$1696)</f>
        <v>0</v>
      </c>
      <c r="O129" s="100">
        <f>SUMIF(GERAL!B$8:B$1696,A129,GERAL!AF$8:AF$1696)+SUMIF(GERAL!B$8:B$1696,A129,GERAL!AG$8:AG$1696)</f>
        <v>321</v>
      </c>
      <c r="P129" s="100">
        <f>SUMIF(GERAL!B$8:B$1696,A129,GERAL!AK$8:AK$1696)+SUMIF(GERAL!B$8:B$1696,A129,GERAL!AL$8:AL$1696)</f>
        <v>0</v>
      </c>
      <c r="Q129" s="100">
        <f>SUMIF(GERAL!B$8:B$1696,A129,GERAL!AO$8:AO$1696)+SUMIF(GERAL!B$8:B$1696,A129,GERAL!AP$8:AP$1696)</f>
        <v>0</v>
      </c>
      <c r="R129" s="100">
        <f>SUMIF(GERAL!B$8:B$1696,A129,GERAL!AS$8:AS$1696)+SUMIF(GERAL!B$8:B$1696,A129,GERAL!AT$8:AT$1696)</f>
        <v>0</v>
      </c>
      <c r="S129" s="75">
        <f t="shared" si="39"/>
        <v>321</v>
      </c>
      <c r="T129" s="116">
        <f>COUNTIFS(GERAL!B$8:B$1696,A129,GERAL!AZ$8:AZ$1696,"&gt;0",GERAL!C$8:C$1696,"ESCOLA")</f>
        <v>1</v>
      </c>
      <c r="U129" s="75">
        <f>COUNTIFS(GERAL!B$8:B$1696,A129,GERAL!AZ$8:AZ$1696,"&gt;0",GERAL!C$8:C$1696,"ANEXO")</f>
        <v>4</v>
      </c>
      <c r="V129" s="85">
        <f>SUMIF(GERAL!B$8:B$1696,A129,GERAL!AH$8:AH$1696)</f>
        <v>30</v>
      </c>
      <c r="W129" s="85">
        <f>SUMIF(GERAL!B$8:B$1696,A129,GERAL!AM$8:AM$1696)</f>
        <v>0</v>
      </c>
      <c r="X129" s="85">
        <f>SUMIF(GERAL!B$8:B$1696,A129,GERAL!AQ$8:AQ$1696)</f>
        <v>118</v>
      </c>
      <c r="Y129" s="85">
        <f>SUMIF(GERAL!B$8:B$1696,A129,GERAL!AU$8:AU$1696)</f>
        <v>35</v>
      </c>
      <c r="Z129" s="88">
        <f t="shared" si="40"/>
        <v>183</v>
      </c>
      <c r="AA129" s="116">
        <f>COUNTIFS(GERAL!B$8:B$1696,A129,GERAL!BK$8:BK$1696,"&gt;0",GERAL!C$8:C$1696,"ESCOLA")</f>
        <v>1</v>
      </c>
      <c r="AB129" s="88">
        <f>COUNTIFS(GERAL!B$8:B$1696,A129,GERAL!BK$8:BK$1696,"&gt;0",GERAL!C$8:C$1696,"ANEXO")</f>
        <v>0</v>
      </c>
      <c r="AC129" s="121">
        <f>SUMIF(GERAL!B$8:B$1696,A129,GERAL!AD$8:AD$1696)</f>
        <v>0</v>
      </c>
      <c r="AD129" s="121">
        <f>SUMIF(GERAL!B$8:B$1696,A129,GERAL!AI$8:AI$1696)</f>
        <v>87</v>
      </c>
      <c r="AE129" s="121">
        <f>SUMIF(GERAL!B$8:B$1696,A129,GERAL!AV$8:AV$1696)</f>
        <v>0</v>
      </c>
      <c r="AF129" s="492">
        <f t="shared" si="41"/>
        <v>87</v>
      </c>
      <c r="AG129" s="178">
        <f>COUNTIFS(GERAL!B$8:B$1696,A129,GERAL!AW$8:AW$1696,"&gt;0",GERAL!C$8:C$1696,"ESCOLA")</f>
        <v>1</v>
      </c>
      <c r="AH129" s="118">
        <f>COUNTIFS(GERAL!B$8:B$1696,A129,GERAL!AW$8:AW$1696,"&gt;0",GERAL!C$8:C$1696,"ANEXO")</f>
        <v>0</v>
      </c>
      <c r="AI129" s="177">
        <f>SUMIF(GERAL!B$8:B$1696,A129,GERAL!AS$8:AS$1696)+SUMIF(GERAL!B$8:B$1696,A129,GERAL!AT$8:AT$1696)</f>
        <v>0</v>
      </c>
      <c r="AJ129" s="177">
        <f>SUMIF(GERAL!B$8:B$1696,A129,GERAL!AU$8:AU$1696)</f>
        <v>35</v>
      </c>
      <c r="AK129" s="177">
        <f>SUMIF(GERAL!B$8:B$1696,A129,GERAL!AV$8:AV$1696)</f>
        <v>0</v>
      </c>
      <c r="AL129" s="118">
        <f t="shared" si="42"/>
        <v>35</v>
      </c>
      <c r="AM129" s="493" t="s">
        <v>860</v>
      </c>
    </row>
    <row r="130">
      <c r="A130" s="484" t="s">
        <v>2661</v>
      </c>
      <c r="B130" s="75">
        <f>COUNTIFS(GERAL!B$8:B$1696,A130,GERAL!C$8:C$1696,"ESCOLA")</f>
        <v>1</v>
      </c>
      <c r="C130" s="75">
        <f>COUNTIFS(GERAL!B$8:B$1696,A130,GERAL!C$8:C$1696,"ANEXO")</f>
        <v>1</v>
      </c>
      <c r="D130" s="85">
        <f>SUMIF(GERAL!B$8:B$1696,A130,GERAL!Z$8:Z$1696)</f>
        <v>0</v>
      </c>
      <c r="E130" s="85">
        <f>SUMIF(GERAL!B$8:B$1696,A130,GERAL!AE$8:AE$1696)</f>
        <v>0</v>
      </c>
      <c r="F130" s="85">
        <f>SUMIF(GERAL!B$8:B$1696,A130,GERAL!AJ$8:AJ$1696)</f>
        <v>81</v>
      </c>
      <c r="G130" s="85">
        <f>SUMIF(GERAL!B$8:B$1696,A130,GERAL!AN$8:AN$1696)</f>
        <v>0</v>
      </c>
      <c r="H130" s="85">
        <f>SUMIF(GERAL!B$8:B$1696,A130,GERAL!AR$8:AW$1696)</f>
        <v>103</v>
      </c>
      <c r="I130" s="85">
        <f>SUMIF(GERAL!B$8:B$1696,A130,GERAL!AW$8:AW$1696)</f>
        <v>105</v>
      </c>
      <c r="J130" s="75">
        <f>SUMIF(GERAL!B$8:B$1696,A130,GERAL!AX$8:AX$1696)</f>
        <v>289</v>
      </c>
      <c r="K130" s="75">
        <f>COUNTIFS(GERAL!B$8:B$1696,A130,GERAL!AY$8:AY$1696,"&gt;0",GERAL!C$8:C$1696,"ESCOLA")</f>
        <v>1</v>
      </c>
      <c r="L130" s="75">
        <f>COUNTIFS(GERAL!B$8:B$1696,A130,GERAL!AY$8:AY$1696,"&gt;0",GERAL!C$8:C$1696,"ANEXO")</f>
        <v>0</v>
      </c>
      <c r="M130" s="100">
        <f>SUMIF(GERAL!B$8:B$1696,A130,GERAL!V$8:V$1696)+SUMIF(GERAL!B$8:B$1696,A130,GERAL!W$8:W$1696)</f>
        <v>0</v>
      </c>
      <c r="N130" s="100">
        <f>SUMIF(GERAL!B$8:B$1696,A130,GERAL!AA$8:AA$1696)+SUMIF(GERAL!B$8:B$1696,A130,GERAL!AB$8:AB$1696)</f>
        <v>0</v>
      </c>
      <c r="O130" s="100">
        <f>SUMIF(GERAL!B$8:B$1696,A130,GERAL!AF$8:AF$1696)+SUMIF(GERAL!B$8:B$1696,A130,GERAL!AG$8:AG$1696)</f>
        <v>0</v>
      </c>
      <c r="P130" s="100">
        <f>SUMIF(GERAL!B$8:B$1696,A130,GERAL!AK$8:AK$1696)+SUMIF(GERAL!B$8:B$1696,A130,GERAL!AL$8:AL$1696)</f>
        <v>0</v>
      </c>
      <c r="Q130" s="100">
        <f>SUMIF(GERAL!B$8:B$1696,A130,GERAL!AO$8:AO$1696)+SUMIF(GERAL!B$8:B$1696,A130,GERAL!AP$8:AP$1696)</f>
        <v>0</v>
      </c>
      <c r="R130" s="100">
        <f>SUMIF(GERAL!B$8:B$1696,A130,GERAL!AS$8:AS$1696)+SUMIF(GERAL!B$8:B$1696,A130,GERAL!AT$8:AT$1696)</f>
        <v>0</v>
      </c>
      <c r="S130" s="75">
        <f t="shared" si="39"/>
        <v>0</v>
      </c>
      <c r="T130" s="116">
        <f>COUNTIFS(GERAL!B$8:B$1696,A130,GERAL!AZ$8:AZ$1696,"&gt;0",GERAL!C$8:C$1696,"ESCOLA")</f>
        <v>1</v>
      </c>
      <c r="U130" s="75">
        <f>COUNTIFS(GERAL!B$8:B$1696,A130,GERAL!AZ$8:AZ$1696,"&gt;0",GERAL!C$8:C$1696,"ANEXO")</f>
        <v>1</v>
      </c>
      <c r="V130" s="85">
        <f>SUMIF(GERAL!B$8:B$1696,A130,GERAL!AH$8:AH$1696)</f>
        <v>0</v>
      </c>
      <c r="W130" s="85">
        <f>SUMIF(GERAL!B$8:B$1696,A130,GERAL!AM$8:AM$1696)</f>
        <v>0</v>
      </c>
      <c r="X130" s="85">
        <f>SUMIF(GERAL!B$8:B$1696,A130,GERAL!AQ$8:AQ$1696)</f>
        <v>103</v>
      </c>
      <c r="Y130" s="85">
        <f>SUMIF(GERAL!B$8:B$1696,A130,GERAL!AU$8:AU$1696)</f>
        <v>61</v>
      </c>
      <c r="Z130" s="88">
        <f t="shared" si="40"/>
        <v>164</v>
      </c>
      <c r="AA130" s="116">
        <f>COUNTIFS(GERAL!B$8:B$1696,A130,GERAL!BK$8:BK$1696,"&gt;0",GERAL!C$8:C$1696,"ESCOLA")</f>
        <v>1</v>
      </c>
      <c r="AB130" s="88">
        <f>COUNTIFS(GERAL!B$8:B$1696,A130,GERAL!BK$8:BK$1696,"&gt;0",GERAL!C$8:C$1696,"ANEXO")</f>
        <v>0</v>
      </c>
      <c r="AC130" s="121">
        <f>SUMIF(GERAL!B$8:B$1696,A130,GERAL!AD$8:AD$1696)</f>
        <v>0</v>
      </c>
      <c r="AD130" s="121">
        <f>SUMIF(GERAL!B$8:B$1696,A130,GERAL!AI$8:AI$1696)</f>
        <v>81</v>
      </c>
      <c r="AE130" s="121">
        <f>SUMIF(GERAL!B$8:B$1696,A130,GERAL!AV$8:AV$1696)</f>
        <v>44</v>
      </c>
      <c r="AF130" s="492">
        <f t="shared" si="41"/>
        <v>125</v>
      </c>
      <c r="AG130" s="178">
        <f>COUNTIFS(GERAL!B$8:B$1696,A130,GERAL!AW$8:AW$1696,"&gt;0",GERAL!C$8:C$1696,"ESCOLA")</f>
        <v>1</v>
      </c>
      <c r="AH130" s="118">
        <f>COUNTIFS(GERAL!B$8:B$1696,A130,GERAL!AW$8:AW$1696,"&gt;0",GERAL!C$8:C$1696,"ANEXO")</f>
        <v>0</v>
      </c>
      <c r="AI130" s="177">
        <f>SUMIF(GERAL!B$8:B$1696,A130,GERAL!AS$8:AS$1696)+SUMIF(GERAL!B$8:B$1696,A130,GERAL!AT$8:AT$1696)</f>
        <v>0</v>
      </c>
      <c r="AJ130" s="177">
        <f>SUMIF(GERAL!B$8:B$1696,A130,GERAL!AU$8:AU$1696)</f>
        <v>61</v>
      </c>
      <c r="AK130" s="177">
        <f>SUMIF(GERAL!B$8:B$1696,A130,GERAL!AV$8:AV$1696)</f>
        <v>44</v>
      </c>
      <c r="AL130" s="118">
        <f t="shared" si="42"/>
        <v>105</v>
      </c>
      <c r="AM130" s="493" t="s">
        <v>723</v>
      </c>
    </row>
    <row r="131">
      <c r="A131" s="494" t="s">
        <v>2328</v>
      </c>
      <c r="B131" s="75">
        <f>COUNTIFS(GERAL!B$8:B$1696,A131,GERAL!C$8:C$1696,"ESCOLA")</f>
        <v>1</v>
      </c>
      <c r="C131" s="75">
        <f>COUNTIFS(GERAL!B$8:B$1696,A131,GERAL!C$8:C$1696,"ANEXO")</f>
        <v>0</v>
      </c>
      <c r="D131" s="85">
        <f>SUMIF(GERAL!B$8:B$1696,A131,GERAL!Z$8:Z$1696)</f>
        <v>0</v>
      </c>
      <c r="E131" s="85">
        <f>SUMIF(GERAL!B$8:B$1696,A131,GERAL!AE$8:AE$1696)</f>
        <v>0</v>
      </c>
      <c r="F131" s="85">
        <f>SUMIF(GERAL!B$8:B$1696,A131,GERAL!AJ$8:AJ$1696)</f>
        <v>534</v>
      </c>
      <c r="G131" s="85">
        <f>SUMIF(GERAL!B$8:B$1696,A131,GERAL!AN$8:AN$1696)</f>
        <v>0</v>
      </c>
      <c r="H131" s="85">
        <f>SUMIF(GERAL!B$8:B$1696,A131,GERAL!AR$8:AW$1696)</f>
        <v>103</v>
      </c>
      <c r="I131" s="85">
        <f>SUMIF(GERAL!B$8:B$1696,A131,GERAL!AW$8:AW$1696)</f>
        <v>182</v>
      </c>
      <c r="J131" s="75">
        <f>SUMIF(GERAL!B$8:B$1696,A131,GERAL!AX$8:AX$1696)</f>
        <v>819</v>
      </c>
      <c r="K131" s="75">
        <f>COUNTIFS(GERAL!B$8:B$1696,A131,GERAL!AY$8:AY$1696,"&gt;0",GERAL!C$8:C$1696,"ESCOLA")</f>
        <v>1</v>
      </c>
      <c r="L131" s="75">
        <f>COUNTIFS(GERAL!B$8:B$1696,A131,GERAL!AY$8:AY$1696,"&gt;0",GERAL!C$8:C$1696,"ANEXO")</f>
        <v>0</v>
      </c>
      <c r="M131" s="100">
        <f>SUMIF(GERAL!B$8:B$1696,A131,GERAL!V$8:V$1696)+SUMIF(GERAL!B$8:B$1696,A131,GERAL!W$8:W$1696)</f>
        <v>0</v>
      </c>
      <c r="N131" s="100">
        <f>SUMIF(GERAL!B$8:B$1696,A131,GERAL!AA$8:AA$1696)+SUMIF(GERAL!B$8:B$1696,A131,GERAL!AB$8:AB$1696)</f>
        <v>0</v>
      </c>
      <c r="O131" s="100">
        <f>SUMIF(GERAL!B$8:B$1696,A131,GERAL!AF$8:AF$1696)+SUMIF(GERAL!B$8:B$1696,A131,GERAL!AG$8:AG$1696)</f>
        <v>57</v>
      </c>
      <c r="P131" s="100">
        <f>SUMIF(GERAL!B$8:B$1696,A131,GERAL!AK$8:AK$1696)+SUMIF(GERAL!B$8:B$1696,A131,GERAL!AL$8:AL$1696)</f>
        <v>0</v>
      </c>
      <c r="Q131" s="100">
        <f>SUMIF(GERAL!B$8:B$1696,A131,GERAL!AO$8:AO$1696)+SUMIF(GERAL!B$8:B$1696,A131,GERAL!AP$8:AP$1696)</f>
        <v>0</v>
      </c>
      <c r="R131" s="100">
        <f>SUMIF(GERAL!B$8:B$1696,A131,GERAL!AS$8:AS$1696)+SUMIF(GERAL!B$8:B$1696,A131,GERAL!AT$8:AT$1696)</f>
        <v>158</v>
      </c>
      <c r="S131" s="75">
        <f t="shared" si="39"/>
        <v>215</v>
      </c>
      <c r="T131" s="116">
        <f>COUNTIFS(GERAL!B$8:B$1696,A131,GERAL!AZ$8:AZ$1696,"&gt;0",GERAL!C$8:C$1696,"ESCOLA")</f>
        <v>1</v>
      </c>
      <c r="U131" s="75">
        <f>COUNTIFS(GERAL!B$8:B$1696,A131,GERAL!AZ$8:AZ$1696,"&gt;0",GERAL!C$8:C$1696,"ANEXO")</f>
        <v>0</v>
      </c>
      <c r="V131" s="85">
        <f>SUMIF(GERAL!B$8:B$1696,A131,GERAL!AH$8:AH$1696)</f>
        <v>0</v>
      </c>
      <c r="W131" s="85">
        <f>SUMIF(GERAL!B$8:B$1696,A131,GERAL!AM$8:AM$1696)</f>
        <v>0</v>
      </c>
      <c r="X131" s="85">
        <f>SUMIF(GERAL!B$8:B$1696,A131,GERAL!AQ$8:AQ$1696)</f>
        <v>103</v>
      </c>
      <c r="Y131" s="85">
        <f>SUMIF(GERAL!B$8:B$1696,A131,GERAL!AU$8:AU$1696)</f>
        <v>24</v>
      </c>
      <c r="Z131" s="88">
        <f t="shared" si="40"/>
        <v>127</v>
      </c>
      <c r="AA131" s="116">
        <f>COUNTIFS(GERAL!B$8:B$1696,A131,GERAL!BK$8:BK$1696,"&gt;0",GERAL!C$8:C$1696,"ESCOLA")</f>
        <v>1</v>
      </c>
      <c r="AB131" s="88">
        <f>COUNTIFS(GERAL!B$8:B$1696,A131,GERAL!BK$8:BK$1696,"&gt;0",GERAL!C$8:C$1696,"ANEXO")</f>
        <v>0</v>
      </c>
      <c r="AC131" s="121">
        <f>SUMIF(GERAL!B$8:B$1696,A131,GERAL!AD$8:AD$1696)</f>
        <v>0</v>
      </c>
      <c r="AD131" s="121">
        <f>SUMIF(GERAL!B$8:B$1696,A131,GERAL!AI$8:AI$1696)</f>
        <v>477</v>
      </c>
      <c r="AE131" s="121">
        <f>SUMIF(GERAL!B$8:B$1696,A131,GERAL!AV$8:AV$1696)</f>
        <v>0</v>
      </c>
      <c r="AF131" s="492">
        <f t="shared" si="41"/>
        <v>477</v>
      </c>
      <c r="AG131" s="178">
        <f>COUNTIFS(GERAL!B$8:B$1696,A131,GERAL!AW$8:AW$1696,"&gt;0",GERAL!C$8:C$1696,"ESCOLA")</f>
        <v>1</v>
      </c>
      <c r="AH131" s="118">
        <f>COUNTIFS(GERAL!B$8:B$1696,A131,GERAL!AW$8:AW$1696,"&gt;0",GERAL!C$8:C$1696,"ANEXO")</f>
        <v>0</v>
      </c>
      <c r="AI131" s="177">
        <f>SUMIF(GERAL!B$8:B$1696,A131,GERAL!AS$8:AS$1696)+SUMIF(GERAL!B$8:B$1696,A131,GERAL!AT$8:AT$1696)</f>
        <v>158</v>
      </c>
      <c r="AJ131" s="177">
        <f>SUMIF(GERAL!B$8:B$1696,A131,GERAL!AU$8:AU$1696)</f>
        <v>24</v>
      </c>
      <c r="AK131" s="177">
        <f>SUMIF(GERAL!B$8:B$1696,A131,GERAL!AV$8:AV$1696)</f>
        <v>0</v>
      </c>
      <c r="AL131" s="118">
        <f t="shared" si="42"/>
        <v>182</v>
      </c>
      <c r="AM131" s="493" t="s">
        <v>1281</v>
      </c>
    </row>
    <row r="132">
      <c r="A132" s="484" t="s">
        <v>2173</v>
      </c>
      <c r="B132" s="75">
        <f>COUNTIFS(GERAL!B$8:B$1696,A132,GERAL!C$8:C$1696,"ESCOLA")</f>
        <v>1</v>
      </c>
      <c r="C132" s="75">
        <f>COUNTIFS(GERAL!B$8:B$1696,A132,GERAL!C$8:C$1696,"ANEXO")</f>
        <v>0</v>
      </c>
      <c r="D132" s="85">
        <f>SUMIF(GERAL!B$8:B$1696,A132,GERAL!Z$8:Z$1696)</f>
        <v>0</v>
      </c>
      <c r="E132" s="85">
        <f>SUMIF(GERAL!B$8:B$1696,A132,GERAL!AE$8:AE$1696)</f>
        <v>0</v>
      </c>
      <c r="F132" s="85">
        <f>SUMIF(GERAL!B$8:B$1696,A132,GERAL!AJ$8:AJ$1696)</f>
        <v>434</v>
      </c>
      <c r="G132" s="85">
        <f>SUMIF(GERAL!B$8:B$1696,A132,GERAL!AN$8:AN$1696)</f>
        <v>0</v>
      </c>
      <c r="H132" s="85">
        <f>SUMIF(GERAL!B$8:B$1696,A132,GERAL!AR$8:AW$1696)</f>
        <v>45</v>
      </c>
      <c r="I132" s="85">
        <f>SUMIF(GERAL!B$8:B$1696,A132,GERAL!AW$8:AW$1696)</f>
        <v>27</v>
      </c>
      <c r="J132" s="75">
        <f>SUMIF(GERAL!B$8:B$1696,A132,GERAL!AX$8:AX$1696)</f>
        <v>506</v>
      </c>
      <c r="K132" s="75">
        <f>COUNTIFS(GERAL!B$8:B$1696,A132,GERAL!AY$8:AY$1696,"&gt;0",GERAL!C$8:C$1696,"ESCOLA")</f>
        <v>1</v>
      </c>
      <c r="L132" s="75">
        <f>COUNTIFS(GERAL!B$8:B$1696,A132,GERAL!AY$8:AY$1696,"&gt;0",GERAL!C$8:C$1696,"ANEXO")</f>
        <v>0</v>
      </c>
      <c r="M132" s="100">
        <f>SUMIF(GERAL!B$8:B$1696,A132,GERAL!V$8:V$1696)+SUMIF(GERAL!B$8:B$1696,A132,GERAL!W$8:W$1696)</f>
        <v>0</v>
      </c>
      <c r="N132" s="100">
        <f>SUMIF(GERAL!B$8:B$1696,A132,GERAL!AA$8:AA$1696)+SUMIF(GERAL!B$8:B$1696,A132,GERAL!AB$8:AB$1696)</f>
        <v>0</v>
      </c>
      <c r="O132" s="100">
        <f>SUMIF(GERAL!B$8:B$1696,A132,GERAL!AF$8:AF$1696)+SUMIF(GERAL!B$8:B$1696,A132,GERAL!AG$8:AG$1696)</f>
        <v>395</v>
      </c>
      <c r="P132" s="100">
        <f>SUMIF(GERAL!B$8:B$1696,A132,GERAL!AK$8:AK$1696)+SUMIF(GERAL!B$8:B$1696,A132,GERAL!AL$8:AL$1696)</f>
        <v>0</v>
      </c>
      <c r="Q132" s="100">
        <f>SUMIF(GERAL!B$8:B$1696,A132,GERAL!AO$8:AO$1696)+SUMIF(GERAL!B$8:B$1696,A132,GERAL!AP$8:AP$1696)</f>
        <v>0</v>
      </c>
      <c r="R132" s="100">
        <f>SUMIF(GERAL!B$8:B$1696,A132,GERAL!AS$8:AS$1696)+SUMIF(GERAL!B$8:B$1696,A132,GERAL!AT$8:AT$1696)</f>
        <v>12</v>
      </c>
      <c r="S132" s="75">
        <f t="shared" si="39"/>
        <v>407</v>
      </c>
      <c r="T132" s="116">
        <f>COUNTIFS(GERAL!B$8:B$1696,A132,GERAL!AZ$8:AZ$1696,"&gt;0",GERAL!C$8:C$1696,"ESCOLA")</f>
        <v>1</v>
      </c>
      <c r="U132" s="75">
        <f>COUNTIFS(GERAL!B$8:B$1696,A132,GERAL!AZ$8:AZ$1696,"&gt;0",GERAL!C$8:C$1696,"ANEXO")</f>
        <v>0</v>
      </c>
      <c r="V132" s="85">
        <f>SUMIF(GERAL!B$8:B$1696,A132,GERAL!AH$8:AH$1696)</f>
        <v>0</v>
      </c>
      <c r="W132" s="85">
        <f>SUMIF(GERAL!B$8:B$1696,A132,GERAL!AM$8:AM$1696)</f>
        <v>0</v>
      </c>
      <c r="X132" s="85">
        <f>SUMIF(GERAL!B$8:B$1696,A132,GERAL!AQ$8:AQ$1696)</f>
        <v>45</v>
      </c>
      <c r="Y132" s="85">
        <f>SUMIF(GERAL!B$8:B$1696,A132,GERAL!AU$8:AU$1696)</f>
        <v>15</v>
      </c>
      <c r="Z132" s="88">
        <f t="shared" si="40"/>
        <v>60</v>
      </c>
      <c r="AA132" s="116">
        <f>COUNTIFS(GERAL!B$8:B$1696,A132,GERAL!BK$8:BK$1696,"&gt;0",GERAL!C$8:C$1696,"ESCOLA")</f>
        <v>1</v>
      </c>
      <c r="AB132" s="88">
        <f>COUNTIFS(GERAL!B$8:B$1696,A132,GERAL!BK$8:BK$1696,"&gt;0",GERAL!C$8:C$1696,"ANEXO")</f>
        <v>0</v>
      </c>
      <c r="AC132" s="121">
        <f>SUMIF(GERAL!B$8:B$1696,A132,GERAL!AD$8:AD$1696)</f>
        <v>0</v>
      </c>
      <c r="AD132" s="121">
        <f>SUMIF(GERAL!B$8:B$1696,A132,GERAL!AI$8:AI$1696)</f>
        <v>39</v>
      </c>
      <c r="AE132" s="121">
        <f>SUMIF(GERAL!B$8:B$1696,A132,GERAL!AV$8:AV$1696)</f>
        <v>0</v>
      </c>
      <c r="AF132" s="492">
        <f t="shared" si="41"/>
        <v>39</v>
      </c>
      <c r="AG132" s="178">
        <f>COUNTIFS(GERAL!B$8:B$1696,A132,GERAL!AW$8:AW$1696,"&gt;0",GERAL!C$8:C$1696,"ESCOLA")</f>
        <v>1</v>
      </c>
      <c r="AH132" s="118">
        <f>COUNTIFS(GERAL!B$8:B$1696,A132,GERAL!AW$8:AW$1696,"&gt;0",GERAL!C$8:C$1696,"ANEXO")</f>
        <v>0</v>
      </c>
      <c r="AI132" s="177">
        <f>SUMIF(GERAL!B$8:B$1696,A132,GERAL!AS$8:AS$1696)+SUMIF(GERAL!B$8:B$1696,A132,GERAL!AT$8:AT$1696)</f>
        <v>12</v>
      </c>
      <c r="AJ132" s="177">
        <f>SUMIF(GERAL!B$8:B$1696,A132,GERAL!AU$8:AU$1696)</f>
        <v>15</v>
      </c>
      <c r="AK132" s="177">
        <f>SUMIF(GERAL!B$8:B$1696,A132,GERAL!AV$8:AV$1696)</f>
        <v>0</v>
      </c>
      <c r="AL132" s="118">
        <f t="shared" si="42"/>
        <v>27</v>
      </c>
      <c r="AM132" s="493" t="s">
        <v>860</v>
      </c>
    </row>
    <row r="133">
      <c r="A133" s="494" t="s">
        <v>6573</v>
      </c>
      <c r="B133" s="75">
        <f>COUNTIFS(GERAL!B$8:B$1696,A133,GERAL!C$8:C$1696,"ESCOLA")</f>
        <v>4</v>
      </c>
      <c r="C133" s="75">
        <f>COUNTIFS(GERAL!B$8:B$1696,A133,GERAL!C$8:C$1696,"ANEXO")</f>
        <v>0</v>
      </c>
      <c r="D133" s="85">
        <f>SUMIF(GERAL!B$8:B$1696,A133,GERAL!Z$8:Z$1696)</f>
        <v>0</v>
      </c>
      <c r="E133" s="85">
        <f>SUMIF(GERAL!B$8:B$1696,A133,GERAL!AE$8:AE$1696)</f>
        <v>0</v>
      </c>
      <c r="F133" s="85">
        <f>SUMIF(GERAL!B$8:B$1696,A133,GERAL!AJ$8:AJ$1696)</f>
        <v>1286</v>
      </c>
      <c r="G133" s="85">
        <f>SUMIF(GERAL!B$8:B$1696,A133,GERAL!AN$8:AN$1696)</f>
        <v>0</v>
      </c>
      <c r="H133" s="85">
        <f>SUMIF(GERAL!B$8:B$1696,A133,GERAL!AR$8:AW$1696)</f>
        <v>397</v>
      </c>
      <c r="I133" s="85">
        <f>SUMIF(GERAL!B$8:B$1696,A133,GERAL!AW$8:AW$1696)</f>
        <v>1652</v>
      </c>
      <c r="J133" s="75">
        <f>SUMIF(GERAL!B$8:B$1696,A133,GERAL!AX$8:AX$1696)</f>
        <v>3335</v>
      </c>
      <c r="K133" s="75">
        <f>COUNTIFS(GERAL!B$8:B$1696,A133,GERAL!AY$8:AY$1696,"&gt;0",GERAL!C$8:C$1696,"ESCOLA")</f>
        <v>4</v>
      </c>
      <c r="L133" s="75">
        <f>COUNTIFS(GERAL!B$8:B$1696,A133,GERAL!AY$8:AY$1696,"&gt;0",GERAL!C$8:C$1696,"ANEXO")</f>
        <v>0</v>
      </c>
      <c r="M133" s="100">
        <f>SUMIF(GERAL!B$8:B$1696,A133,GERAL!V$8:V$1696)+SUMIF(GERAL!B$8:B$1696,A133,GERAL!W$8:W$1696)</f>
        <v>0</v>
      </c>
      <c r="N133" s="100">
        <f>SUMIF(GERAL!B$8:B$1696,A133,GERAL!AA$8:AA$1696)+SUMIF(GERAL!B$8:B$1696,A133,GERAL!AB$8:AB$1696)</f>
        <v>0</v>
      </c>
      <c r="O133" s="100">
        <f>SUMIF(GERAL!B$8:B$1696,A133,GERAL!AF$8:AF$1696)+SUMIF(GERAL!B$8:B$1696,A133,GERAL!AG$8:AG$1696)</f>
        <v>904</v>
      </c>
      <c r="P133" s="100">
        <f>SUMIF(GERAL!B$8:B$1696,A133,GERAL!AK$8:AK$1696)+SUMIF(GERAL!B$8:B$1696,A133,GERAL!AL$8:AL$1696)</f>
        <v>0</v>
      </c>
      <c r="Q133" s="100">
        <f>SUMIF(GERAL!B$8:B$1696,A133,GERAL!AO$8:AO$1696)+SUMIF(GERAL!B$8:B$1696,A133,GERAL!AP$8:AP$1696)</f>
        <v>0</v>
      </c>
      <c r="R133" s="100">
        <f>SUMIF(GERAL!B$8:B$1696,A133,GERAL!AS$8:AS$1696)+SUMIF(GERAL!B$8:B$1696,A133,GERAL!AT$8:AT$1696)</f>
        <v>832</v>
      </c>
      <c r="S133" s="75">
        <f t="shared" si="39"/>
        <v>1736</v>
      </c>
      <c r="T133" s="116">
        <f>COUNTIFS(GERAL!B$8:B$1696,A133,GERAL!AZ$8:AZ$1696,"&gt;0",GERAL!C$8:C$1696,"ESCOLA")</f>
        <v>3</v>
      </c>
      <c r="U133" s="75">
        <f>COUNTIFS(GERAL!B$8:B$1696,A133,GERAL!AZ$8:AZ$1696,"&gt;0",GERAL!C$8:C$1696,"ANEXO")</f>
        <v>0</v>
      </c>
      <c r="V133" s="85">
        <f>SUMIF(GERAL!B$8:B$1696,A133,GERAL!AH$8:AH$1696)</f>
        <v>0</v>
      </c>
      <c r="W133" s="85">
        <f>SUMIF(GERAL!B$8:B$1696,A133,GERAL!AM$8:AM$1696)</f>
        <v>0</v>
      </c>
      <c r="X133" s="85">
        <f>SUMIF(GERAL!B$8:B$1696,A133,GERAL!AQ$8:AQ$1696)</f>
        <v>397</v>
      </c>
      <c r="Y133" s="85">
        <f>SUMIF(GERAL!B$8:B$1696,A133,GERAL!AU$8:AU$1696)</f>
        <v>788</v>
      </c>
      <c r="Z133" s="88">
        <f t="shared" si="40"/>
        <v>1185</v>
      </c>
      <c r="AA133" s="116">
        <f>COUNTIFS(GERAL!B$8:B$1696,A133,GERAL!BK$8:BK$1696,"&gt;0",GERAL!C$8:C$1696,"ESCOLA")</f>
        <v>4</v>
      </c>
      <c r="AB133" s="88">
        <f>COUNTIFS(GERAL!B$8:B$1696,A133,GERAL!BK$8:BK$1696,"&gt;0",GERAL!C$8:C$1696,"ANEXO")</f>
        <v>0</v>
      </c>
      <c r="AC133" s="121">
        <f>SUMIF(GERAL!B$8:B$1696,A133,GERAL!AD$8:AD$1696)</f>
        <v>0</v>
      </c>
      <c r="AD133" s="121">
        <f>SUMIF(GERAL!B$8:B$1696,A133,GERAL!AI$8:AI$1696)</f>
        <v>382</v>
      </c>
      <c r="AE133" s="121">
        <f>SUMIF(GERAL!B$8:B$1696,A133,GERAL!AV$8:AV$1696)</f>
        <v>32</v>
      </c>
      <c r="AF133" s="492">
        <f t="shared" si="41"/>
        <v>414</v>
      </c>
      <c r="AG133" s="178">
        <f>COUNTIFS(GERAL!B$8:B$1696,A133,GERAL!AW$8:AW$1696,"&gt;0",GERAL!C$8:C$1696,"ESCOLA")</f>
        <v>1</v>
      </c>
      <c r="AH133" s="118">
        <f>COUNTIFS(GERAL!B$8:B$1696,A133,GERAL!AW$8:AW$1696,"&gt;0",GERAL!C$8:C$1696,"ANEXO")</f>
        <v>0</v>
      </c>
      <c r="AI133" s="177">
        <f>SUMIF(GERAL!B$8:B$1696,A133,GERAL!AS$8:AS$1696)+SUMIF(GERAL!B$8:B$1696,A133,GERAL!AT$8:AT$1696)</f>
        <v>832</v>
      </c>
      <c r="AJ133" s="177">
        <f>SUMIF(GERAL!B$8:B$1696,A133,GERAL!AU$8:AU$1696)</f>
        <v>788</v>
      </c>
      <c r="AK133" s="177">
        <f>SUMIF(GERAL!B$8:B$1696,A133,GERAL!AV$8:AV$1696)</f>
        <v>32</v>
      </c>
      <c r="AL133" s="118">
        <f t="shared" si="42"/>
        <v>1652</v>
      </c>
      <c r="AM133" s="493" t="s">
        <v>1463</v>
      </c>
    </row>
    <row r="134">
      <c r="A134" s="484" t="s">
        <v>2205</v>
      </c>
      <c r="B134" s="75">
        <f>COUNTIFS(GERAL!B$8:B$1696,A134,GERAL!C$8:C$1696,"ESCOLA")</f>
        <v>4</v>
      </c>
      <c r="C134" s="75">
        <f>COUNTIFS(GERAL!B$8:B$1696,A134,GERAL!C$8:C$1696,"ANEXO")</f>
        <v>6</v>
      </c>
      <c r="D134" s="85">
        <f>SUMIF(GERAL!B$8:B$1696,A134,GERAL!Z$8:Z$1696)</f>
        <v>10</v>
      </c>
      <c r="E134" s="85">
        <f>SUMIF(GERAL!B$8:B$1696,A134,GERAL!AE$8:AE$1696)</f>
        <v>45</v>
      </c>
      <c r="F134" s="85">
        <f>SUMIF(GERAL!B$8:B$1696,A134,GERAL!AJ$8:AJ$1696)</f>
        <v>1022</v>
      </c>
      <c r="G134" s="85">
        <f>SUMIF(GERAL!B$8:B$1696,A134,GERAL!AN$8:AN$1696)</f>
        <v>0</v>
      </c>
      <c r="H134" s="85">
        <f>SUMIF(GERAL!B$8:B$1696,A134,GERAL!AR$8:AW$1696)</f>
        <v>207</v>
      </c>
      <c r="I134" s="85">
        <f>SUMIF(GERAL!B$8:B$1696,A134,GERAL!AW$8:AW$1696)</f>
        <v>559</v>
      </c>
      <c r="J134" s="75">
        <f>SUMIF(GERAL!B$8:B$1696,A134,GERAL!AX$8:AX$1696)</f>
        <v>1843</v>
      </c>
      <c r="K134" s="75">
        <f>COUNTIFS(GERAL!B$8:B$1696,A134,GERAL!AY$8:AY$1696,"&gt;0",GERAL!C$8:C$1696,"ESCOLA")</f>
        <v>4</v>
      </c>
      <c r="L134" s="75">
        <f>COUNTIFS(GERAL!B$8:B$1696,A134,GERAL!AY$8:AY$1696,"&gt;0",GERAL!C$8:C$1696,"ANEXO")</f>
        <v>4</v>
      </c>
      <c r="M134" s="100">
        <f>SUMIF(GERAL!B$8:B$1696,A134,GERAL!V$8:V$1696)+SUMIF(GERAL!B$8:B$1696,A134,GERAL!W$8:W$1696)</f>
        <v>10</v>
      </c>
      <c r="N134" s="100">
        <f>SUMIF(GERAL!B$8:B$1696,A134,GERAL!AA$8:AA$1696)+SUMIF(GERAL!B$8:B$1696,A134,GERAL!AB$8:AB$1696)</f>
        <v>45</v>
      </c>
      <c r="O134" s="100">
        <f>SUMIF(GERAL!B$8:B$1696,A134,GERAL!AF$8:AF$1696)+SUMIF(GERAL!B$8:B$1696,A134,GERAL!AG$8:AG$1696)</f>
        <v>776</v>
      </c>
      <c r="P134" s="100">
        <f>SUMIF(GERAL!B$8:B$1696,A134,GERAL!AK$8:AK$1696)+SUMIF(GERAL!B$8:B$1696,A134,GERAL!AL$8:AL$1696)</f>
        <v>0</v>
      </c>
      <c r="Q134" s="100">
        <f>SUMIF(GERAL!B$8:B$1696,A134,GERAL!AO$8:AO$1696)+SUMIF(GERAL!B$8:B$1696,A134,GERAL!AP$8:AP$1696)</f>
        <v>0</v>
      </c>
      <c r="R134" s="100">
        <f>SUMIF(GERAL!B$8:B$1696,A134,GERAL!AS$8:AS$1696)+SUMIF(GERAL!B$8:B$1696,A134,GERAL!AT$8:AT$1696)</f>
        <v>454</v>
      </c>
      <c r="S134" s="75">
        <f t="shared" si="39"/>
        <v>1285</v>
      </c>
      <c r="T134" s="116">
        <f>COUNTIFS(GERAL!B$8:B$1696,A134,GERAL!AZ$8:AZ$1696,"&gt;0",GERAL!C$8:C$1696,"ESCOLA")</f>
        <v>3</v>
      </c>
      <c r="U134" s="75">
        <f>COUNTIFS(GERAL!B$8:B$1696,A134,GERAL!AZ$8:AZ$1696,"&gt;0",GERAL!C$8:C$1696,"ANEXO")</f>
        <v>2</v>
      </c>
      <c r="V134" s="85">
        <f>SUMIF(GERAL!B$8:B$1696,A134,GERAL!AH$8:AH$1696)</f>
        <v>28</v>
      </c>
      <c r="W134" s="85">
        <f>SUMIF(GERAL!B$8:B$1696,A134,GERAL!AM$8:AM$1696)</f>
        <v>0</v>
      </c>
      <c r="X134" s="85">
        <f>SUMIF(GERAL!B$8:B$1696,A134,GERAL!AQ$8:AQ$1696)</f>
        <v>207</v>
      </c>
      <c r="Y134" s="85">
        <f>SUMIF(GERAL!B$8:B$1696,A134,GERAL!AU$8:AU$1696)</f>
        <v>105</v>
      </c>
      <c r="Z134" s="88">
        <f t="shared" si="40"/>
        <v>340</v>
      </c>
      <c r="AA134" s="116">
        <f>COUNTIFS(GERAL!B$8:B$1696,A134,GERAL!BK$8:BK$1696,"&gt;0",GERAL!C$8:C$1696,"ESCOLA")</f>
        <v>2</v>
      </c>
      <c r="AB134" s="88">
        <f>COUNTIFS(GERAL!B$8:B$1696,A134,GERAL!BK$8:BK$1696,"&gt;0",GERAL!C$8:C$1696,"ANEXO")</f>
        <v>0</v>
      </c>
      <c r="AC134" s="121">
        <f>SUMIF(GERAL!B$8:B$1696,A134,GERAL!AD$8:AD$1696)</f>
        <v>0</v>
      </c>
      <c r="AD134" s="121">
        <f>SUMIF(GERAL!B$8:B$1696,A134,GERAL!AI$8:AI$1696)</f>
        <v>218</v>
      </c>
      <c r="AE134" s="121">
        <f>SUMIF(GERAL!B$8:B$1696,A134,GERAL!AV$8:AV$1696)</f>
        <v>0</v>
      </c>
      <c r="AF134" s="492">
        <f t="shared" si="41"/>
        <v>218</v>
      </c>
      <c r="AG134" s="178">
        <f>COUNTIFS(GERAL!B$8:B$1696,A134,GERAL!AW$8:AW$1696,"&gt;0",GERAL!C$8:C$1696,"ESCOLA")</f>
        <v>1</v>
      </c>
      <c r="AH134" s="118">
        <f>COUNTIFS(GERAL!B$8:B$1696,A134,GERAL!AW$8:AW$1696,"&gt;0",GERAL!C$8:C$1696,"ANEXO")</f>
        <v>0</v>
      </c>
      <c r="AI134" s="177">
        <f>SUMIF(GERAL!B$8:B$1696,A134,GERAL!AS$8:AS$1696)+SUMIF(GERAL!B$8:B$1696,A134,GERAL!AT$8:AT$1696)</f>
        <v>454</v>
      </c>
      <c r="AJ134" s="177">
        <f>SUMIF(GERAL!B$8:B$1696,A134,GERAL!AU$8:AU$1696)</f>
        <v>105</v>
      </c>
      <c r="AK134" s="177">
        <f>SUMIF(GERAL!B$8:B$1696,A134,GERAL!AV$8:AV$1696)</f>
        <v>0</v>
      </c>
      <c r="AL134" s="118">
        <f t="shared" si="42"/>
        <v>559</v>
      </c>
      <c r="AM134" s="493" t="s">
        <v>796</v>
      </c>
    </row>
    <row r="135">
      <c r="A135" s="494" t="s">
        <v>6870</v>
      </c>
      <c r="B135" s="75">
        <f>COUNTIFS(GERAL!B$8:B$1696,A135,GERAL!C$8:C$1696,"ESCOLA")</f>
        <v>1</v>
      </c>
      <c r="C135" s="75">
        <f>COUNTIFS(GERAL!B$8:B$1696,A135,GERAL!C$8:C$1696,"ANEXO")</f>
        <v>2</v>
      </c>
      <c r="D135" s="85">
        <f>SUMIF(GERAL!B$8:B$1696,A135,GERAL!Z$8:Z$1696)</f>
        <v>0</v>
      </c>
      <c r="E135" s="85">
        <f>SUMIF(GERAL!B$8:B$1696,A135,GERAL!AE$8:AE$1696)</f>
        <v>0</v>
      </c>
      <c r="F135" s="85">
        <f>SUMIF(GERAL!B$8:B$1696,A135,GERAL!AJ$8:AJ$1696)</f>
        <v>432</v>
      </c>
      <c r="G135" s="85">
        <f>SUMIF(GERAL!B$8:B$1696,A135,GERAL!AN$8:AN$1696)</f>
        <v>0</v>
      </c>
      <c r="H135" s="85">
        <f>SUMIF(GERAL!B$8:B$1696,A135,GERAL!AR$8:AW$1696)</f>
        <v>89</v>
      </c>
      <c r="I135" s="85">
        <f>SUMIF(GERAL!B$8:B$1696,A135,GERAL!AW$8:AW$1696)</f>
        <v>47</v>
      </c>
      <c r="J135" s="75">
        <f>SUMIF(GERAL!B$8:B$1696,A135,GERAL!AX$8:AX$1696)</f>
        <v>568</v>
      </c>
      <c r="K135" s="75">
        <f>COUNTIFS(GERAL!B$8:B$1696,A135,GERAL!AY$8:AY$1696,"&gt;0",GERAL!C$8:C$1696,"ESCOLA")</f>
        <v>1</v>
      </c>
      <c r="L135" s="75">
        <f>COUNTIFS(GERAL!B$8:B$1696,A135,GERAL!AY$8:AY$1696,"&gt;0",GERAL!C$8:C$1696,"ANEXO")</f>
        <v>1</v>
      </c>
      <c r="M135" s="100">
        <f>SUMIF(GERAL!B$8:B$1696,A135,GERAL!V$8:V$1696)+SUMIF(GERAL!B$8:B$1696,A135,GERAL!W$8:W$1696)</f>
        <v>0</v>
      </c>
      <c r="N135" s="100">
        <f>SUMIF(GERAL!B$8:B$1696,A135,GERAL!AA$8:AA$1696)+SUMIF(GERAL!B$8:B$1696,A135,GERAL!AB$8:AB$1696)</f>
        <v>0</v>
      </c>
      <c r="O135" s="100">
        <f>SUMIF(GERAL!B$8:B$1696,A135,GERAL!AF$8:AF$1696)+SUMIF(GERAL!B$8:B$1696,A135,GERAL!AG$8:AG$1696)</f>
        <v>152</v>
      </c>
      <c r="P135" s="100">
        <f>SUMIF(GERAL!B$8:B$1696,A135,GERAL!AK$8:AK$1696)+SUMIF(GERAL!B$8:B$1696,A135,GERAL!AL$8:AL$1696)</f>
        <v>0</v>
      </c>
      <c r="Q135" s="100">
        <f>SUMIF(GERAL!B$8:B$1696,A135,GERAL!AO$8:AO$1696)+SUMIF(GERAL!B$8:B$1696,A135,GERAL!AP$8:AP$1696)</f>
        <v>0</v>
      </c>
      <c r="R135" s="100">
        <f>SUMIF(GERAL!B$8:B$1696,A135,GERAL!AS$8:AS$1696)+SUMIF(GERAL!B$8:B$1696,A135,GERAL!AT$8:AT$1696)</f>
        <v>47</v>
      </c>
      <c r="S135" s="75">
        <f t="shared" si="39"/>
        <v>199</v>
      </c>
      <c r="T135" s="116">
        <f>COUNTIFS(GERAL!B$8:B$1696,A135,GERAL!AZ$8:AZ$1696,"&gt;0",GERAL!C$8:C$1696,"ESCOLA")</f>
        <v>1</v>
      </c>
      <c r="U135" s="75">
        <f>COUNTIFS(GERAL!B$8:B$1696,A135,GERAL!AZ$8:AZ$1696,"&gt;0",GERAL!C$8:C$1696,"ANEXO")</f>
        <v>2</v>
      </c>
      <c r="V135" s="85">
        <f>SUMIF(GERAL!B$8:B$1696,A135,GERAL!AH$8:AH$1696)</f>
        <v>128</v>
      </c>
      <c r="W135" s="85">
        <f>SUMIF(GERAL!B$8:B$1696,A135,GERAL!AM$8:AM$1696)</f>
        <v>0</v>
      </c>
      <c r="X135" s="85">
        <f>SUMIF(GERAL!B$8:B$1696,A135,GERAL!AQ$8:AQ$1696)</f>
        <v>89</v>
      </c>
      <c r="Y135" s="85">
        <f>SUMIF(GERAL!B$8:B$1696,A135,GERAL!AU$8:AU$1696)</f>
        <v>0</v>
      </c>
      <c r="Z135" s="88">
        <f t="shared" si="40"/>
        <v>217</v>
      </c>
      <c r="AA135" s="116">
        <f>COUNTIFS(GERAL!B$8:B$1696,A135,GERAL!BK$8:BK$1696,"&gt;0",GERAL!C$8:C$1696,"ESCOLA")</f>
        <v>1</v>
      </c>
      <c r="AB135" s="88">
        <f>COUNTIFS(GERAL!B$8:B$1696,A135,GERAL!BK$8:BK$1696,"&gt;0",GERAL!C$8:C$1696,"ANEXO")</f>
        <v>0</v>
      </c>
      <c r="AC135" s="121">
        <f>SUMIF(GERAL!B$8:B$1696,A135,GERAL!AD$8:AD$1696)</f>
        <v>0</v>
      </c>
      <c r="AD135" s="121">
        <f>SUMIF(GERAL!B$8:B$1696,A135,GERAL!AI$8:AI$1696)</f>
        <v>152</v>
      </c>
      <c r="AE135" s="121">
        <f>SUMIF(GERAL!B$8:B$1696,A135,GERAL!AV$8:AV$1696)</f>
        <v>0</v>
      </c>
      <c r="AF135" s="492">
        <f t="shared" si="41"/>
        <v>152</v>
      </c>
      <c r="AG135" s="178">
        <f>COUNTIFS(GERAL!B$8:B$1696,A135,GERAL!AW$8:AW$1696,"&gt;0",GERAL!C$8:C$1696,"ESCOLA")</f>
        <v>1</v>
      </c>
      <c r="AH135" s="118">
        <f>COUNTIFS(GERAL!B$8:B$1696,A135,GERAL!AW$8:AW$1696,"&gt;0",GERAL!C$8:C$1696,"ANEXO")</f>
        <v>0</v>
      </c>
      <c r="AI135" s="177">
        <f>SUMIF(GERAL!B$8:B$1696,A135,GERAL!AS$8:AS$1696)+SUMIF(GERAL!B$8:B$1696,A135,GERAL!AT$8:AT$1696)</f>
        <v>47</v>
      </c>
      <c r="AJ135" s="177">
        <f>SUMIF(GERAL!B$8:B$1696,A135,GERAL!AU$8:AU$1696)</f>
        <v>0</v>
      </c>
      <c r="AK135" s="177">
        <f>SUMIF(GERAL!B$8:B$1696,A135,GERAL!AV$8:AV$1696)</f>
        <v>0</v>
      </c>
      <c r="AL135" s="118">
        <f t="shared" si="42"/>
        <v>47</v>
      </c>
      <c r="AM135" s="493" t="s">
        <v>1535</v>
      </c>
    </row>
    <row r="136">
      <c r="A136" s="484" t="s">
        <v>7989</v>
      </c>
      <c r="B136" s="75">
        <f>COUNTIFS(GERAL!B$8:B$1696,A136,GERAL!C$8:C$1696,"ESCOLA")</f>
        <v>2</v>
      </c>
      <c r="C136" s="75">
        <f>COUNTIFS(GERAL!B$8:B$1696,A136,GERAL!C$8:C$1696,"ANEXO")</f>
        <v>1</v>
      </c>
      <c r="D136" s="85">
        <f>SUMIF(GERAL!B$8:B$1696,A136,GERAL!Z$8:Z$1696)</f>
        <v>0</v>
      </c>
      <c r="E136" s="85">
        <f>SUMIF(GERAL!B$8:B$1696,A136,GERAL!AE$8:AE$1696)</f>
        <v>0</v>
      </c>
      <c r="F136" s="85">
        <f>SUMIF(GERAL!B$8:B$1696,A136,GERAL!AJ$8:AJ$1696)</f>
        <v>1008</v>
      </c>
      <c r="G136" s="85">
        <f>SUMIF(GERAL!B$8:B$1696,A136,GERAL!AN$8:AN$1696)</f>
        <v>0</v>
      </c>
      <c r="H136" s="85">
        <f>SUMIF(GERAL!B$8:B$1696,A136,GERAL!AR$8:AW$1696)</f>
        <v>375</v>
      </c>
      <c r="I136" s="85">
        <f>SUMIF(GERAL!B$8:B$1696,A136,GERAL!AW$8:AW$1696)</f>
        <v>1653</v>
      </c>
      <c r="J136" s="75">
        <f>SUMIF(GERAL!B$8:B$1696,A136,GERAL!AX$8:AX$1696)</f>
        <v>3036</v>
      </c>
      <c r="K136" s="75">
        <f>COUNTIFS(GERAL!B$8:B$1696,A136,GERAL!AY$8:AY$1696,"&gt;0",GERAL!C$8:C$1696,"ESCOLA")</f>
        <v>2</v>
      </c>
      <c r="L136" s="75">
        <f>COUNTIFS(GERAL!B$8:B$1696,A136,GERAL!AY$8:AY$1696,"&gt;0",GERAL!C$8:C$1696,"ANEXO")</f>
        <v>0</v>
      </c>
      <c r="M136" s="100">
        <f>SUMIF(GERAL!B$8:B$1696,A136,GERAL!V$8:V$1696)+SUMIF(GERAL!B$8:B$1696,A136,GERAL!W$8:W$1696)</f>
        <v>0</v>
      </c>
      <c r="N136" s="100">
        <f>SUMIF(GERAL!B$8:B$1696,A136,GERAL!AA$8:AA$1696)+SUMIF(GERAL!B$8:B$1696,A136,GERAL!AB$8:AB$1696)</f>
        <v>0</v>
      </c>
      <c r="O136" s="100">
        <f>SUMIF(GERAL!B$8:B$1696,A136,GERAL!AF$8:AF$1696)+SUMIF(GERAL!B$8:B$1696,A136,GERAL!AG$8:AG$1696)</f>
        <v>955</v>
      </c>
      <c r="P136" s="100">
        <f>SUMIF(GERAL!B$8:B$1696,A136,GERAL!AK$8:AK$1696)+SUMIF(GERAL!B$8:B$1696,A136,GERAL!AL$8:AL$1696)</f>
        <v>0</v>
      </c>
      <c r="Q136" s="100">
        <f>SUMIF(GERAL!B$8:B$1696,A136,GERAL!AO$8:AO$1696)+SUMIF(GERAL!B$8:B$1696,A136,GERAL!AP$8:AP$1696)</f>
        <v>0</v>
      </c>
      <c r="R136" s="100">
        <f>SUMIF(GERAL!B$8:B$1696,A136,GERAL!AS$8:AS$1696)+SUMIF(GERAL!B$8:B$1696,A136,GERAL!AT$8:AT$1696)</f>
        <v>650</v>
      </c>
      <c r="S136" s="75">
        <f t="shared" si="39"/>
        <v>1605</v>
      </c>
      <c r="T136" s="116">
        <f>COUNTIFS(GERAL!B$8:B$1696,A136,GERAL!AZ$8:AZ$1696,"&gt;0",GERAL!C$8:C$1696,"ESCOLA")</f>
        <v>2</v>
      </c>
      <c r="U136" s="75">
        <f>COUNTIFS(GERAL!B$8:B$1696,A136,GERAL!AZ$8:AZ$1696,"&gt;0",GERAL!C$8:C$1696,"ANEXO")</f>
        <v>1</v>
      </c>
      <c r="V136" s="85">
        <f>SUMIF(GERAL!B$8:B$1696,A136,GERAL!AH$8:AH$1696)</f>
        <v>0</v>
      </c>
      <c r="W136" s="85">
        <f>SUMIF(GERAL!B$8:B$1696,A136,GERAL!AM$8:AM$1696)</f>
        <v>0</v>
      </c>
      <c r="X136" s="85">
        <f>SUMIF(GERAL!B$8:B$1696,A136,GERAL!AQ$8:AQ$1696)</f>
        <v>375</v>
      </c>
      <c r="Y136" s="85">
        <f>SUMIF(GERAL!B$8:B$1696,A136,GERAL!AU$8:AU$1696)</f>
        <v>376</v>
      </c>
      <c r="Z136" s="88">
        <f t="shared" si="40"/>
        <v>751</v>
      </c>
      <c r="AA136" s="116">
        <f>COUNTIFS(GERAL!B$8:B$1696,A136,GERAL!BK$8:BK$1696,"&gt;0",GERAL!C$8:C$1696,"ESCOLA")</f>
        <v>2</v>
      </c>
      <c r="AB136" s="88">
        <f>COUNTIFS(GERAL!B$8:B$1696,A136,GERAL!BK$8:BK$1696,"&gt;0",GERAL!C$8:C$1696,"ANEXO")</f>
        <v>0</v>
      </c>
      <c r="AC136" s="121">
        <f>SUMIF(GERAL!B$8:B$1696,A136,GERAL!AD$8:AD$1696)</f>
        <v>0</v>
      </c>
      <c r="AD136" s="121">
        <f>SUMIF(GERAL!B$8:B$1696,A136,GERAL!AI$8:AI$1696)</f>
        <v>53</v>
      </c>
      <c r="AE136" s="121">
        <f>SUMIF(GERAL!B$8:B$1696,A136,GERAL!AV$8:AV$1696)</f>
        <v>627</v>
      </c>
      <c r="AF136" s="492">
        <f t="shared" si="41"/>
        <v>680</v>
      </c>
      <c r="AG136" s="178">
        <f>COUNTIFS(GERAL!B$8:B$1696,A136,GERAL!AW$8:AW$1696,"&gt;0",GERAL!C$8:C$1696,"ESCOLA")</f>
        <v>1</v>
      </c>
      <c r="AH136" s="118">
        <f>COUNTIFS(GERAL!B$8:B$1696,A136,GERAL!AW$8:AW$1696,"&gt;0",GERAL!C$8:C$1696,"ANEXO")</f>
        <v>0</v>
      </c>
      <c r="AI136" s="177">
        <f>SUMIF(GERAL!B$8:B$1696,A136,GERAL!AS$8:AS$1696)+SUMIF(GERAL!B$8:B$1696,A136,GERAL!AT$8:AT$1696)</f>
        <v>650</v>
      </c>
      <c r="AJ136" s="177">
        <f>SUMIF(GERAL!B$8:B$1696,A136,GERAL!AU$8:AU$1696)</f>
        <v>376</v>
      </c>
      <c r="AK136" s="177">
        <f>SUMIF(GERAL!B$8:B$1696,A136,GERAL!AV$8:AV$1696)</f>
        <v>627</v>
      </c>
      <c r="AL136" s="118">
        <f t="shared" si="42"/>
        <v>1653</v>
      </c>
      <c r="AM136" s="493" t="s">
        <v>1785</v>
      </c>
    </row>
    <row r="137">
      <c r="A137" s="494" t="s">
        <v>4086</v>
      </c>
      <c r="B137" s="75">
        <f>COUNTIFS(GERAL!B$8:B$1696,A137,GERAL!C$8:C$1696,"ESCOLA")</f>
        <v>1</v>
      </c>
      <c r="C137" s="75">
        <f>COUNTIFS(GERAL!B$8:B$1696,A137,GERAL!C$8:C$1696,"ANEXO")</f>
        <v>0</v>
      </c>
      <c r="D137" s="85">
        <f>SUMIF(GERAL!B$8:B$1696,A137,GERAL!Z$8:Z$1696)</f>
        <v>0</v>
      </c>
      <c r="E137" s="85">
        <f>SUMIF(GERAL!B$8:B$1696,A137,GERAL!AE$8:AE$1696)</f>
        <v>0</v>
      </c>
      <c r="F137" s="85">
        <f>SUMIF(GERAL!B$8:B$1696,A137,GERAL!AJ$8:AJ$1696)</f>
        <v>282</v>
      </c>
      <c r="G137" s="85">
        <f>SUMIF(GERAL!B$8:B$1696,A137,GERAL!AN$8:AN$1696)</f>
        <v>0</v>
      </c>
      <c r="H137" s="85">
        <f>SUMIF(GERAL!B$8:B$1696,A137,GERAL!AR$8:AW$1696)</f>
        <v>71</v>
      </c>
      <c r="I137" s="85">
        <f>SUMIF(GERAL!B$8:B$1696,A137,GERAL!AW$8:AW$1696)</f>
        <v>55</v>
      </c>
      <c r="J137" s="75">
        <f>SUMIF(GERAL!B$8:B$1696,A137,GERAL!AX$8:AX$1696)</f>
        <v>408</v>
      </c>
      <c r="K137" s="75">
        <f>COUNTIFS(GERAL!B$8:B$1696,A137,GERAL!AY$8:AY$1696,"&gt;0",GERAL!C$8:C$1696,"ESCOLA")</f>
        <v>1</v>
      </c>
      <c r="L137" s="75">
        <f>COUNTIFS(GERAL!B$8:B$1696,A137,GERAL!AY$8:AY$1696,"&gt;0",GERAL!C$8:C$1696,"ANEXO")</f>
        <v>0</v>
      </c>
      <c r="M137" s="100">
        <f>SUMIF(GERAL!B$8:B$1696,A137,GERAL!V$8:V$1696)+SUMIF(GERAL!B$8:B$1696,A137,GERAL!W$8:W$1696)</f>
        <v>0</v>
      </c>
      <c r="N137" s="100">
        <f>SUMIF(GERAL!B$8:B$1696,A137,GERAL!AA$8:AA$1696)+SUMIF(GERAL!B$8:B$1696,A137,GERAL!AB$8:AB$1696)</f>
        <v>0</v>
      </c>
      <c r="O137" s="100">
        <f>SUMIF(GERAL!B$8:B$1696,A137,GERAL!AF$8:AF$1696)+SUMIF(GERAL!B$8:B$1696,A137,GERAL!AG$8:AG$1696)</f>
        <v>0</v>
      </c>
      <c r="P137" s="100">
        <f>SUMIF(GERAL!B$8:B$1696,A137,GERAL!AK$8:AK$1696)+SUMIF(GERAL!B$8:B$1696,A137,GERAL!AL$8:AL$1696)</f>
        <v>0</v>
      </c>
      <c r="Q137" s="100">
        <f>SUMIF(GERAL!B$8:B$1696,A137,GERAL!AO$8:AO$1696)+SUMIF(GERAL!B$8:B$1696,A137,GERAL!AP$8:AP$1696)</f>
        <v>0</v>
      </c>
      <c r="R137" s="100">
        <f>SUMIF(GERAL!B$8:B$1696,A137,GERAL!AS$8:AS$1696)+SUMIF(GERAL!B$8:B$1696,A137,GERAL!AT$8:AT$1696)</f>
        <v>55</v>
      </c>
      <c r="S137" s="75">
        <f t="shared" si="39"/>
        <v>55</v>
      </c>
      <c r="T137" s="116">
        <f>COUNTIFS(GERAL!B$8:B$1696,A137,GERAL!AZ$8:AZ$1696,"&gt;0",GERAL!C$8:C$1696,"ESCOLA")</f>
        <v>1</v>
      </c>
      <c r="U137" s="75">
        <f>COUNTIFS(GERAL!B$8:B$1696,A137,GERAL!AZ$8:AZ$1696,"&gt;0",GERAL!C$8:C$1696,"ANEXO")</f>
        <v>0</v>
      </c>
      <c r="V137" s="85">
        <f>SUMIF(GERAL!B$8:B$1696,A137,GERAL!AH$8:AH$1696)</f>
        <v>0</v>
      </c>
      <c r="W137" s="85">
        <f>SUMIF(GERAL!B$8:B$1696,A137,GERAL!AM$8:AM$1696)</f>
        <v>0</v>
      </c>
      <c r="X137" s="85">
        <f>SUMIF(GERAL!B$8:B$1696,A137,GERAL!AQ$8:AQ$1696)</f>
        <v>71</v>
      </c>
      <c r="Y137" s="85">
        <f>SUMIF(GERAL!B$8:B$1696,A137,GERAL!AU$8:AU$1696)</f>
        <v>0</v>
      </c>
      <c r="Z137" s="88">
        <f t="shared" si="40"/>
        <v>71</v>
      </c>
      <c r="AA137" s="116">
        <f>COUNTIFS(GERAL!B$8:B$1696,A137,GERAL!BK$8:BK$1696,"&gt;0",GERAL!C$8:C$1696,"ESCOLA")</f>
        <v>1</v>
      </c>
      <c r="AB137" s="88">
        <f>COUNTIFS(GERAL!B$8:B$1696,A137,GERAL!BK$8:BK$1696,"&gt;0",GERAL!C$8:C$1696,"ANEXO")</f>
        <v>0</v>
      </c>
      <c r="AC137" s="121">
        <f>SUMIF(GERAL!B$8:B$1696,A137,GERAL!AD$8:AD$1696)</f>
        <v>0</v>
      </c>
      <c r="AD137" s="121">
        <f>SUMIF(GERAL!B$8:B$1696,A137,GERAL!AI$8:AI$1696)</f>
        <v>282</v>
      </c>
      <c r="AE137" s="121">
        <f>SUMIF(GERAL!B$8:B$1696,A137,GERAL!AV$8:AV$1696)</f>
        <v>0</v>
      </c>
      <c r="AF137" s="492">
        <f t="shared" si="41"/>
        <v>282</v>
      </c>
      <c r="AG137" s="178">
        <f>COUNTIFS(GERAL!B$8:B$1696,A137,GERAL!AW$8:AW$1696,"&gt;0",GERAL!C$8:C$1696,"ESCOLA")</f>
        <v>1</v>
      </c>
      <c r="AH137" s="118">
        <f>COUNTIFS(GERAL!B$8:B$1696,A137,GERAL!AW$8:AW$1696,"&gt;0",GERAL!C$8:C$1696,"ANEXO")</f>
        <v>0</v>
      </c>
      <c r="AI137" s="177">
        <f>SUMIF(GERAL!B$8:B$1696,A137,GERAL!AS$8:AS$1696)+SUMIF(GERAL!B$8:B$1696,A137,GERAL!AT$8:AT$1696)</f>
        <v>55</v>
      </c>
      <c r="AJ137" s="177">
        <f>SUMIF(GERAL!B$8:B$1696,A137,GERAL!AU$8:AU$1696)</f>
        <v>0</v>
      </c>
      <c r="AK137" s="177">
        <f>SUMIF(GERAL!B$8:B$1696,A137,GERAL!AV$8:AV$1696)</f>
        <v>0</v>
      </c>
      <c r="AL137" s="118">
        <f t="shared" si="42"/>
        <v>55</v>
      </c>
      <c r="AM137" s="493" t="s">
        <v>973</v>
      </c>
    </row>
    <row r="138">
      <c r="A138" s="484" t="s">
        <v>6611</v>
      </c>
      <c r="B138" s="75">
        <f>COUNTIFS(GERAL!B$8:B$1696,A138,GERAL!C$8:C$1696,"ESCOLA")</f>
        <v>1</v>
      </c>
      <c r="C138" s="75">
        <f>COUNTIFS(GERAL!B$8:B$1696,A138,GERAL!C$8:C$1696,"ANEXO")</f>
        <v>0</v>
      </c>
      <c r="D138" s="85">
        <f>SUMIF(GERAL!B$8:B$1696,A138,GERAL!Z$8:Z$1696)</f>
        <v>0</v>
      </c>
      <c r="E138" s="85">
        <f>SUMIF(GERAL!B$8:B$1696,A138,GERAL!AE$8:AE$1696)</f>
        <v>0</v>
      </c>
      <c r="F138" s="85">
        <f>SUMIF(GERAL!B$8:B$1696,A138,GERAL!AJ$8:AJ$1696)</f>
        <v>146</v>
      </c>
      <c r="G138" s="85">
        <f>SUMIF(GERAL!B$8:B$1696,A138,GERAL!AN$8:AN$1696)</f>
        <v>0</v>
      </c>
      <c r="H138" s="85">
        <f>SUMIF(GERAL!B$8:B$1696,A138,GERAL!AR$8:AW$1696)</f>
        <v>27</v>
      </c>
      <c r="I138" s="85">
        <f>SUMIF(GERAL!B$8:B$1696,A138,GERAL!AW$8:AW$1696)</f>
        <v>17</v>
      </c>
      <c r="J138" s="75">
        <f>SUMIF(GERAL!B$8:B$1696,A138,GERAL!AX$8:AX$1696)</f>
        <v>190</v>
      </c>
      <c r="K138" s="75">
        <f>COUNTIFS(GERAL!B$8:B$1696,A138,GERAL!AY$8:AY$1696,"&gt;0",GERAL!C$8:C$1696,"ESCOLA")</f>
        <v>1</v>
      </c>
      <c r="L138" s="75">
        <f>COUNTIFS(GERAL!B$8:B$1696,A138,GERAL!AY$8:AY$1696,"&gt;0",GERAL!C$8:C$1696,"ANEXO")</f>
        <v>0</v>
      </c>
      <c r="M138" s="100">
        <f>SUMIF(GERAL!B$8:B$1696,A138,GERAL!V$8:V$1696)+SUMIF(GERAL!B$8:B$1696,A138,GERAL!W$8:W$1696)</f>
        <v>0</v>
      </c>
      <c r="N138" s="100">
        <f>SUMIF(GERAL!B$8:B$1696,A138,GERAL!AA$8:AA$1696)+SUMIF(GERAL!B$8:B$1696,A138,GERAL!AB$8:AB$1696)</f>
        <v>0</v>
      </c>
      <c r="O138" s="100">
        <f>SUMIF(GERAL!B$8:B$1696,A138,GERAL!AF$8:AF$1696)+SUMIF(GERAL!B$8:B$1696,A138,GERAL!AG$8:AG$1696)</f>
        <v>58</v>
      </c>
      <c r="P138" s="100">
        <f>SUMIF(GERAL!B$8:B$1696,A138,GERAL!AK$8:AK$1696)+SUMIF(GERAL!B$8:B$1696,A138,GERAL!AL$8:AL$1696)</f>
        <v>0</v>
      </c>
      <c r="Q138" s="100">
        <f>SUMIF(GERAL!B$8:B$1696,A138,GERAL!AO$8:AO$1696)+SUMIF(GERAL!B$8:B$1696,A138,GERAL!AP$8:AP$1696)</f>
        <v>0</v>
      </c>
      <c r="R138" s="100">
        <f>SUMIF(GERAL!B$8:B$1696,A138,GERAL!AS$8:AS$1696)+SUMIF(GERAL!B$8:B$1696,A138,GERAL!AT$8:AT$1696)</f>
        <v>0</v>
      </c>
      <c r="S138" s="75">
        <f t="shared" si="39"/>
        <v>58</v>
      </c>
      <c r="T138" s="116">
        <f>COUNTIFS(GERAL!B$8:B$1696,A138,GERAL!AZ$8:AZ$1696,"&gt;0",GERAL!C$8:C$1696,"ESCOLA")</f>
        <v>1</v>
      </c>
      <c r="U138" s="75">
        <f>COUNTIFS(GERAL!B$8:B$1696,A138,GERAL!AZ$8:AZ$1696,"&gt;0",GERAL!C$8:C$1696,"ANEXO")</f>
        <v>0</v>
      </c>
      <c r="V138" s="85">
        <f>SUMIF(GERAL!B$8:B$1696,A138,GERAL!AH$8:AH$1696)</f>
        <v>0</v>
      </c>
      <c r="W138" s="85">
        <f>SUMIF(GERAL!B$8:B$1696,A138,GERAL!AM$8:AM$1696)</f>
        <v>0</v>
      </c>
      <c r="X138" s="85">
        <f>SUMIF(GERAL!B$8:B$1696,A138,GERAL!AQ$8:AQ$1696)</f>
        <v>27</v>
      </c>
      <c r="Y138" s="85">
        <f>SUMIF(GERAL!B$8:B$1696,A138,GERAL!AU$8:AU$1696)</f>
        <v>17</v>
      </c>
      <c r="Z138" s="88">
        <f t="shared" si="40"/>
        <v>44</v>
      </c>
      <c r="AA138" s="116">
        <f>COUNTIFS(GERAL!B$8:B$1696,A138,GERAL!BK$8:BK$1696,"&gt;0",GERAL!C$8:C$1696,"ESCOLA")</f>
        <v>1</v>
      </c>
      <c r="AB138" s="88">
        <f>COUNTIFS(GERAL!B$8:B$1696,A138,GERAL!BK$8:BK$1696,"&gt;0",GERAL!C$8:C$1696,"ANEXO")</f>
        <v>0</v>
      </c>
      <c r="AC138" s="121">
        <f>SUMIF(GERAL!B$8:B$1696,A138,GERAL!AD$8:AD$1696)</f>
        <v>0</v>
      </c>
      <c r="AD138" s="121">
        <f>SUMIF(GERAL!B$8:B$1696,A138,GERAL!AI$8:AI$1696)</f>
        <v>88</v>
      </c>
      <c r="AE138" s="121">
        <f>SUMIF(GERAL!B$8:B$1696,A138,GERAL!AV$8:AV$1696)</f>
        <v>0</v>
      </c>
      <c r="AF138" s="492">
        <f t="shared" si="41"/>
        <v>88</v>
      </c>
      <c r="AG138" s="178">
        <f>COUNTIFS(GERAL!B$8:B$1696,A138,GERAL!AW$8:AW$1696,"&gt;0",GERAL!C$8:C$1696,"ESCOLA")</f>
        <v>1</v>
      </c>
      <c r="AH138" s="118">
        <f>COUNTIFS(GERAL!B$8:B$1696,A138,GERAL!AW$8:AW$1696,"&gt;0",GERAL!C$8:C$1696,"ANEXO")</f>
        <v>0</v>
      </c>
      <c r="AI138" s="177">
        <f>SUMIF(GERAL!B$8:B$1696,A138,GERAL!AS$8:AS$1696)+SUMIF(GERAL!B$8:B$1696,A138,GERAL!AT$8:AT$1696)</f>
        <v>0</v>
      </c>
      <c r="AJ138" s="177">
        <f>SUMIF(GERAL!B$8:B$1696,A138,GERAL!AU$8:AU$1696)</f>
        <v>17</v>
      </c>
      <c r="AK138" s="177">
        <f>SUMIF(GERAL!B$8:B$1696,A138,GERAL!AV$8:AV$1696)</f>
        <v>0</v>
      </c>
      <c r="AL138" s="118">
        <f t="shared" si="42"/>
        <v>17</v>
      </c>
      <c r="AM138" s="493" t="s">
        <v>1463</v>
      </c>
    </row>
    <row r="139">
      <c r="A139" s="494" t="s">
        <v>2670</v>
      </c>
      <c r="B139" s="75">
        <f>COUNTIFS(GERAL!B$8:B$1696,A139,GERAL!C$8:C$1696,"ESCOLA")</f>
        <v>1</v>
      </c>
      <c r="C139" s="75">
        <f>COUNTIFS(GERAL!B$8:B$1696,A139,GERAL!C$8:C$1696,"ANEXO")</f>
        <v>0</v>
      </c>
      <c r="D139" s="85">
        <f>SUMIF(GERAL!B$8:B$1696,A139,GERAL!Z$8:Z$1696)</f>
        <v>0</v>
      </c>
      <c r="E139" s="85">
        <f>SUMIF(GERAL!B$8:B$1696,A139,GERAL!AE$8:AE$1696)</f>
        <v>0</v>
      </c>
      <c r="F139" s="85">
        <f>SUMIF(GERAL!B$8:B$1696,A139,GERAL!AJ$8:AJ$1696)</f>
        <v>236</v>
      </c>
      <c r="G139" s="85">
        <f>SUMIF(GERAL!B$8:B$1696,A139,GERAL!AN$8:AN$1696)</f>
        <v>0</v>
      </c>
      <c r="H139" s="85">
        <f>SUMIF(GERAL!B$8:B$1696,A139,GERAL!AR$8:AW$1696)</f>
        <v>69</v>
      </c>
      <c r="I139" s="85">
        <f>SUMIF(GERAL!B$8:B$1696,A139,GERAL!AW$8:AW$1696)</f>
        <v>58</v>
      </c>
      <c r="J139" s="75">
        <f>SUMIF(GERAL!B$8:B$1696,A139,GERAL!AX$8:AX$1696)</f>
        <v>363</v>
      </c>
      <c r="K139" s="75">
        <f>COUNTIFS(GERAL!B$8:B$1696,A139,GERAL!AY$8:AY$1696,"&gt;0",GERAL!C$8:C$1696,"ESCOLA")</f>
        <v>1</v>
      </c>
      <c r="L139" s="75">
        <f>COUNTIFS(GERAL!B$8:B$1696,A139,GERAL!AY$8:AY$1696,"&gt;0",GERAL!C$8:C$1696,"ANEXO")</f>
        <v>0</v>
      </c>
      <c r="M139" s="100">
        <f>SUMIF(GERAL!B$8:B$1696,A139,GERAL!V$8:V$1696)+SUMIF(GERAL!B$8:B$1696,A139,GERAL!W$8:W$1696)</f>
        <v>0</v>
      </c>
      <c r="N139" s="100">
        <f>SUMIF(GERAL!B$8:B$1696,A139,GERAL!AA$8:AA$1696)+SUMIF(GERAL!B$8:B$1696,A139,GERAL!AB$8:AB$1696)</f>
        <v>0</v>
      </c>
      <c r="O139" s="100">
        <f>SUMIF(GERAL!B$8:B$1696,A139,GERAL!AF$8:AF$1696)+SUMIF(GERAL!B$8:B$1696,A139,GERAL!AG$8:AG$1696)</f>
        <v>0</v>
      </c>
      <c r="P139" s="100">
        <f>SUMIF(GERAL!B$8:B$1696,A139,GERAL!AK$8:AK$1696)+SUMIF(GERAL!B$8:B$1696,A139,GERAL!AL$8:AL$1696)</f>
        <v>0</v>
      </c>
      <c r="Q139" s="100">
        <f>SUMIF(GERAL!B$8:B$1696,A139,GERAL!AO$8:AO$1696)+SUMIF(GERAL!B$8:B$1696,A139,GERAL!AP$8:AP$1696)</f>
        <v>0</v>
      </c>
      <c r="R139" s="100">
        <f>SUMIF(GERAL!B$8:B$1696,A139,GERAL!AS$8:AS$1696)+SUMIF(GERAL!B$8:B$1696,A139,GERAL!AT$8:AT$1696)</f>
        <v>0</v>
      </c>
      <c r="S139" s="75">
        <f t="shared" si="39"/>
        <v>0</v>
      </c>
      <c r="T139" s="116">
        <f>COUNTIFS(GERAL!B$8:B$1696,A139,GERAL!AZ$8:AZ$1696,"&gt;0",GERAL!C$8:C$1696,"ESCOLA")</f>
        <v>1</v>
      </c>
      <c r="U139" s="75">
        <f>COUNTIFS(GERAL!B$8:B$1696,A139,GERAL!AZ$8:AZ$1696,"&gt;0",GERAL!C$8:C$1696,"ANEXO")</f>
        <v>0</v>
      </c>
      <c r="V139" s="85">
        <f>SUMIF(GERAL!B$8:B$1696,A139,GERAL!AH$8:AH$1696)</f>
        <v>0</v>
      </c>
      <c r="W139" s="85">
        <f>SUMIF(GERAL!B$8:B$1696,A139,GERAL!AM$8:AM$1696)</f>
        <v>0</v>
      </c>
      <c r="X139" s="85">
        <f>SUMIF(GERAL!B$8:B$1696,A139,GERAL!AQ$8:AQ$1696)</f>
        <v>69</v>
      </c>
      <c r="Y139" s="85">
        <f>SUMIF(GERAL!B$8:B$1696,A139,GERAL!AU$8:AU$1696)</f>
        <v>0</v>
      </c>
      <c r="Z139" s="88">
        <f t="shared" si="40"/>
        <v>69</v>
      </c>
      <c r="AA139" s="116">
        <f>COUNTIFS(GERAL!B$8:B$1696,A139,GERAL!BK$8:BK$1696,"&gt;0",GERAL!C$8:C$1696,"ESCOLA")</f>
        <v>1</v>
      </c>
      <c r="AB139" s="88">
        <f>COUNTIFS(GERAL!B$8:B$1696,A139,GERAL!BK$8:BK$1696,"&gt;0",GERAL!C$8:C$1696,"ANEXO")</f>
        <v>0</v>
      </c>
      <c r="AC139" s="121">
        <f>SUMIF(GERAL!B$8:B$1696,A139,GERAL!AD$8:AD$1696)</f>
        <v>0</v>
      </c>
      <c r="AD139" s="121">
        <f>SUMIF(GERAL!B$8:B$1696,A139,GERAL!AI$8:AI$1696)</f>
        <v>236</v>
      </c>
      <c r="AE139" s="121">
        <f>SUMIF(GERAL!B$8:B$1696,A139,GERAL!AV$8:AV$1696)</f>
        <v>58</v>
      </c>
      <c r="AF139" s="492">
        <f t="shared" si="41"/>
        <v>294</v>
      </c>
      <c r="AG139" s="178">
        <f>COUNTIFS(GERAL!B$8:B$1696,A139,GERAL!AW$8:AW$1696,"&gt;0",GERAL!C$8:C$1696,"ESCOLA")</f>
        <v>1</v>
      </c>
      <c r="AH139" s="118">
        <f>COUNTIFS(GERAL!B$8:B$1696,A139,GERAL!AW$8:AW$1696,"&gt;0",GERAL!C$8:C$1696,"ANEXO")</f>
        <v>0</v>
      </c>
      <c r="AI139" s="177">
        <f>SUMIF(GERAL!B$8:B$1696,A139,GERAL!AS$8:AS$1696)+SUMIF(GERAL!B$8:B$1696,A139,GERAL!AT$8:AT$1696)</f>
        <v>0</v>
      </c>
      <c r="AJ139" s="177">
        <f>SUMIF(GERAL!B$8:B$1696,A139,GERAL!AU$8:AU$1696)</f>
        <v>0</v>
      </c>
      <c r="AK139" s="177">
        <f>SUMIF(GERAL!B$8:B$1696,A139,GERAL!AV$8:AV$1696)</f>
        <v>58</v>
      </c>
      <c r="AL139" s="118">
        <f t="shared" si="42"/>
        <v>58</v>
      </c>
      <c r="AM139" s="493" t="s">
        <v>723</v>
      </c>
    </row>
    <row r="140">
      <c r="A140" s="484" t="s">
        <v>6214</v>
      </c>
      <c r="B140" s="75">
        <f>COUNTIFS(GERAL!B$8:B$1696,A140,GERAL!C$8:C$1696,"ESCOLA")</f>
        <v>2</v>
      </c>
      <c r="C140" s="75">
        <f>COUNTIFS(GERAL!B$8:B$1696,A140,GERAL!C$8:C$1696,"ANEXO")</f>
        <v>0</v>
      </c>
      <c r="D140" s="85">
        <f>SUMIF(GERAL!B$8:B$1696,A140,GERAL!Z$8:Z$1696)</f>
        <v>0</v>
      </c>
      <c r="E140" s="85">
        <f>SUMIF(GERAL!B$8:B$1696,A140,GERAL!AE$8:AE$1696)</f>
        <v>0</v>
      </c>
      <c r="F140" s="85">
        <f>SUMIF(GERAL!B$8:B$1696,A140,GERAL!AJ$8:AJ$1696)</f>
        <v>348</v>
      </c>
      <c r="G140" s="85">
        <f>SUMIF(GERAL!B$8:B$1696,A140,GERAL!AN$8:AN$1696)</f>
        <v>0</v>
      </c>
      <c r="H140" s="85">
        <f>SUMIF(GERAL!B$8:B$1696,A140,GERAL!AR$8:AW$1696)</f>
        <v>127</v>
      </c>
      <c r="I140" s="85">
        <f>SUMIF(GERAL!B$8:B$1696,A140,GERAL!AW$8:AW$1696)</f>
        <v>115</v>
      </c>
      <c r="J140" s="75">
        <f>SUMIF(GERAL!B$8:B$1696,A140,GERAL!AX$8:AX$1696)</f>
        <v>590</v>
      </c>
      <c r="K140" s="75">
        <f>COUNTIFS(GERAL!B$8:B$1696,A140,GERAL!AY$8:AY$1696,"&gt;0",GERAL!C$8:C$1696,"ESCOLA")</f>
        <v>2</v>
      </c>
      <c r="L140" s="75">
        <f>COUNTIFS(GERAL!B$8:B$1696,A140,GERAL!AY$8:AY$1696,"&gt;0",GERAL!C$8:C$1696,"ANEXO")</f>
        <v>0</v>
      </c>
      <c r="M140" s="100">
        <f>SUMIF(GERAL!B$8:B$1696,A140,GERAL!V$8:V$1696)+SUMIF(GERAL!B$8:B$1696,A140,GERAL!W$8:W$1696)</f>
        <v>0</v>
      </c>
      <c r="N140" s="100">
        <f>SUMIF(GERAL!B$8:B$1696,A140,GERAL!AA$8:AA$1696)+SUMIF(GERAL!B$8:B$1696,A140,GERAL!AB$8:AB$1696)</f>
        <v>0</v>
      </c>
      <c r="O140" s="100">
        <f>SUMIF(GERAL!B$8:B$1696,A140,GERAL!AF$8:AF$1696)+SUMIF(GERAL!B$8:B$1696,A140,GERAL!AG$8:AG$1696)</f>
        <v>236</v>
      </c>
      <c r="P140" s="100">
        <f>SUMIF(GERAL!B$8:B$1696,A140,GERAL!AK$8:AK$1696)+SUMIF(GERAL!B$8:B$1696,A140,GERAL!AL$8:AL$1696)</f>
        <v>0</v>
      </c>
      <c r="Q140" s="100">
        <f>SUMIF(GERAL!B$8:B$1696,A140,GERAL!AO$8:AO$1696)+SUMIF(GERAL!B$8:B$1696,A140,GERAL!AP$8:AP$1696)</f>
        <v>0</v>
      </c>
      <c r="R140" s="100">
        <f>SUMIF(GERAL!B$8:B$1696,A140,GERAL!AS$8:AS$1696)+SUMIF(GERAL!B$8:B$1696,A140,GERAL!AT$8:AT$1696)</f>
        <v>0</v>
      </c>
      <c r="S140" s="75">
        <f t="shared" si="39"/>
        <v>236</v>
      </c>
      <c r="T140" s="116">
        <f>COUNTIFS(GERAL!B$8:B$1696,A140,GERAL!AZ$8:AZ$1696,"&gt;0",GERAL!C$8:C$1696,"ESCOLA")</f>
        <v>2</v>
      </c>
      <c r="U140" s="75">
        <f>COUNTIFS(GERAL!B$8:B$1696,A140,GERAL!AZ$8:AZ$1696,"&gt;0",GERAL!C$8:C$1696,"ANEXO")</f>
        <v>0</v>
      </c>
      <c r="V140" s="85">
        <f>SUMIF(GERAL!B$8:B$1696,A140,GERAL!AH$8:AH$1696)</f>
        <v>0</v>
      </c>
      <c r="W140" s="85">
        <f>SUMIF(GERAL!B$8:B$1696,A140,GERAL!AM$8:AM$1696)</f>
        <v>0</v>
      </c>
      <c r="X140" s="85">
        <f>SUMIF(GERAL!B$8:B$1696,A140,GERAL!AQ$8:AQ$1696)</f>
        <v>127</v>
      </c>
      <c r="Y140" s="85">
        <f>SUMIF(GERAL!B$8:B$1696,A140,GERAL!AU$8:AU$1696)</f>
        <v>27</v>
      </c>
      <c r="Z140" s="88">
        <f t="shared" si="40"/>
        <v>154</v>
      </c>
      <c r="AA140" s="116">
        <f>COUNTIFS(GERAL!B$8:B$1696,A140,GERAL!BK$8:BK$1696,"&gt;0",GERAL!C$8:C$1696,"ESCOLA")</f>
        <v>1</v>
      </c>
      <c r="AB140" s="88">
        <f>COUNTIFS(GERAL!B$8:B$1696,A140,GERAL!BK$8:BK$1696,"&gt;0",GERAL!C$8:C$1696,"ANEXO")</f>
        <v>0</v>
      </c>
      <c r="AC140" s="121">
        <f>SUMIF(GERAL!B$8:B$1696,A140,GERAL!AD$8:AD$1696)</f>
        <v>0</v>
      </c>
      <c r="AD140" s="121">
        <f>SUMIF(GERAL!B$8:B$1696,A140,GERAL!AI$8:AI$1696)</f>
        <v>112</v>
      </c>
      <c r="AE140" s="121">
        <f>SUMIF(GERAL!B$8:B$1696,A140,GERAL!AV$8:AV$1696)</f>
        <v>88</v>
      </c>
      <c r="AF140" s="492">
        <f t="shared" si="41"/>
        <v>200</v>
      </c>
      <c r="AG140" s="178">
        <f>COUNTIFS(GERAL!B$8:B$1696,A140,GERAL!AW$8:AW$1696,"&gt;0",GERAL!C$8:C$1696,"ESCOLA")</f>
        <v>1</v>
      </c>
      <c r="AH140" s="118">
        <f>COUNTIFS(GERAL!B$8:B$1696,A140,GERAL!AW$8:AW$1696,"&gt;0",GERAL!C$8:C$1696,"ANEXO")</f>
        <v>0</v>
      </c>
      <c r="AI140" s="177">
        <f>SUMIF(GERAL!B$8:B$1696,A140,GERAL!AS$8:AS$1696)+SUMIF(GERAL!B$8:B$1696,A140,GERAL!AT$8:AT$1696)</f>
        <v>0</v>
      </c>
      <c r="AJ140" s="177">
        <f>SUMIF(GERAL!B$8:B$1696,A140,GERAL!AU$8:AU$1696)</f>
        <v>27</v>
      </c>
      <c r="AK140" s="177">
        <f>SUMIF(GERAL!B$8:B$1696,A140,GERAL!AV$8:AV$1696)</f>
        <v>88</v>
      </c>
      <c r="AL140" s="118">
        <f t="shared" si="42"/>
        <v>115</v>
      </c>
      <c r="AM140" s="493" t="s">
        <v>1393</v>
      </c>
    </row>
    <row r="141">
      <c r="A141" s="494" t="s">
        <v>2148</v>
      </c>
      <c r="B141" s="75">
        <f>COUNTIFS(GERAL!B$8:B$1696,A141,GERAL!C$8:C$1696,"ESCOLA")</f>
        <v>2</v>
      </c>
      <c r="C141" s="75">
        <f>COUNTIFS(GERAL!B$8:B$1696,A141,GERAL!C$8:C$1696,"ANEXO")</f>
        <v>2</v>
      </c>
      <c r="D141" s="85">
        <f>SUMIF(GERAL!B$8:B$1696,A141,GERAL!Z$8:Z$1696)</f>
        <v>0</v>
      </c>
      <c r="E141" s="85">
        <f>SUMIF(GERAL!B$8:B$1696,A141,GERAL!AE$8:AE$1696)</f>
        <v>0</v>
      </c>
      <c r="F141" s="85">
        <f>SUMIF(GERAL!B$8:B$1696,A141,GERAL!AJ$8:AJ$1696)</f>
        <v>661</v>
      </c>
      <c r="G141" s="85">
        <f>SUMIF(GERAL!B$8:B$1696,A141,GERAL!AN$8:AN$1696)</f>
        <v>0</v>
      </c>
      <c r="H141" s="85">
        <f>SUMIF(GERAL!B$8:B$1696,A141,GERAL!AR$8:AW$1696)</f>
        <v>270</v>
      </c>
      <c r="I141" s="85">
        <f>SUMIF(GERAL!B$8:B$1696,A141,GERAL!AW$8:AW$1696)</f>
        <v>500</v>
      </c>
      <c r="J141" s="75">
        <f>SUMIF(GERAL!B$8:B$1696,A141,GERAL!AX$8:AX$1696)</f>
        <v>1431</v>
      </c>
      <c r="K141" s="75">
        <f>COUNTIFS(GERAL!B$8:B$1696,A141,GERAL!AY$8:AY$1696,"&gt;0",GERAL!C$8:C$1696,"ESCOLA")</f>
        <v>2</v>
      </c>
      <c r="L141" s="75">
        <f>COUNTIFS(GERAL!B$8:B$1696,A141,GERAL!AY$8:AY$1696,"&gt;0",GERAL!C$8:C$1696,"ANEXO")</f>
        <v>0</v>
      </c>
      <c r="M141" s="100">
        <f>SUMIF(GERAL!B$8:B$1696,A141,GERAL!V$8:V$1696)+SUMIF(GERAL!B$8:B$1696,A141,GERAL!W$8:W$1696)</f>
        <v>0</v>
      </c>
      <c r="N141" s="100">
        <f>SUMIF(GERAL!B$8:B$1696,A141,GERAL!AA$8:AA$1696)+SUMIF(GERAL!B$8:B$1696,A141,GERAL!AB$8:AB$1696)</f>
        <v>0</v>
      </c>
      <c r="O141" s="100">
        <f>SUMIF(GERAL!B$8:B$1696,A141,GERAL!AF$8:AF$1696)+SUMIF(GERAL!B$8:B$1696,A141,GERAL!AG$8:AG$1696)</f>
        <v>191</v>
      </c>
      <c r="P141" s="100">
        <f>SUMIF(GERAL!B$8:B$1696,A141,GERAL!AK$8:AK$1696)+SUMIF(GERAL!B$8:B$1696,A141,GERAL!AL$8:AL$1696)</f>
        <v>0</v>
      </c>
      <c r="Q141" s="100">
        <f>SUMIF(GERAL!B$8:B$1696,A141,GERAL!AO$8:AO$1696)+SUMIF(GERAL!B$8:B$1696,A141,GERAL!AP$8:AP$1696)</f>
        <v>0</v>
      </c>
      <c r="R141" s="100">
        <f>SUMIF(GERAL!B$8:B$1696,A141,GERAL!AS$8:AS$1696)+SUMIF(GERAL!B$8:B$1696,A141,GERAL!AT$8:AT$1696)</f>
        <v>500</v>
      </c>
      <c r="S141" s="75">
        <f t="shared" si="39"/>
        <v>691</v>
      </c>
      <c r="T141" s="116">
        <f>COUNTIFS(GERAL!B$8:B$1696,A141,GERAL!AZ$8:AZ$1696,"&gt;0",GERAL!C$8:C$1696,"ESCOLA")</f>
        <v>2</v>
      </c>
      <c r="U141" s="75">
        <f>COUNTIFS(GERAL!B$8:B$1696,A141,GERAL!AZ$8:AZ$1696,"&gt;0",GERAL!C$8:C$1696,"ANEXO")</f>
        <v>2</v>
      </c>
      <c r="V141" s="85">
        <f>SUMIF(GERAL!B$8:B$1696,A141,GERAL!AH$8:AH$1696)</f>
        <v>69</v>
      </c>
      <c r="W141" s="85">
        <f>SUMIF(GERAL!B$8:B$1696,A141,GERAL!AM$8:AM$1696)</f>
        <v>0</v>
      </c>
      <c r="X141" s="85">
        <f>SUMIF(GERAL!B$8:B$1696,A141,GERAL!AQ$8:AQ$1696)</f>
        <v>270</v>
      </c>
      <c r="Y141" s="85">
        <f>SUMIF(GERAL!B$8:B$1696,A141,GERAL!AU$8:AU$1696)</f>
        <v>0</v>
      </c>
      <c r="Z141" s="88">
        <f t="shared" si="40"/>
        <v>339</v>
      </c>
      <c r="AA141" s="116">
        <f>COUNTIFS(GERAL!B$8:B$1696,A141,GERAL!BK$8:BK$1696,"&gt;0",GERAL!C$8:C$1696,"ESCOLA")</f>
        <v>2</v>
      </c>
      <c r="AB141" s="88">
        <f>COUNTIFS(GERAL!B$8:B$1696,A141,GERAL!BK$8:BK$1696,"&gt;0",GERAL!C$8:C$1696,"ANEXO")</f>
        <v>0</v>
      </c>
      <c r="AC141" s="121">
        <f>SUMIF(GERAL!B$8:B$1696,A141,GERAL!AD$8:AD$1696)</f>
        <v>0</v>
      </c>
      <c r="AD141" s="121">
        <f>SUMIF(GERAL!B$8:B$1696,A141,GERAL!AI$8:AI$1696)</f>
        <v>401</v>
      </c>
      <c r="AE141" s="121">
        <f>SUMIF(GERAL!B$8:B$1696,A141,GERAL!AV$8:AV$1696)</f>
        <v>0</v>
      </c>
      <c r="AF141" s="492">
        <f t="shared" si="41"/>
        <v>401</v>
      </c>
      <c r="AG141" s="178">
        <f>COUNTIFS(GERAL!B$8:B$1696,A141,GERAL!AW$8:AW$1696,"&gt;0",GERAL!C$8:C$1696,"ESCOLA")</f>
        <v>1</v>
      </c>
      <c r="AH141" s="118">
        <f>COUNTIFS(GERAL!B$8:B$1696,A141,GERAL!AW$8:AW$1696,"&gt;0",GERAL!C$8:C$1696,"ANEXO")</f>
        <v>0</v>
      </c>
      <c r="AI141" s="177">
        <f>SUMIF(GERAL!B$8:B$1696,A141,GERAL!AS$8:AS$1696)+SUMIF(GERAL!B$8:B$1696,A141,GERAL!AT$8:AT$1696)</f>
        <v>500</v>
      </c>
      <c r="AJ141" s="177">
        <f>SUMIF(GERAL!B$8:B$1696,A141,GERAL!AU$8:AU$1696)</f>
        <v>0</v>
      </c>
      <c r="AK141" s="177">
        <f>SUMIF(GERAL!B$8:B$1696,A141,GERAL!AV$8:AV$1696)</f>
        <v>0</v>
      </c>
      <c r="AL141" s="118">
        <f t="shared" si="42"/>
        <v>500</v>
      </c>
      <c r="AM141" s="493" t="s">
        <v>1281</v>
      </c>
    </row>
    <row r="142">
      <c r="A142" s="484" t="s">
        <v>3878</v>
      </c>
      <c r="B142" s="75">
        <f>COUNTIFS(GERAL!B$8:B$1696,A142,GERAL!C$8:C$1696,"ESCOLA")</f>
        <v>1</v>
      </c>
      <c r="C142" s="75">
        <f>COUNTIFS(GERAL!B$8:B$1696,A142,GERAL!C$8:C$1696,"ANEXO")</f>
        <v>1</v>
      </c>
      <c r="D142" s="85">
        <f>SUMIF(GERAL!B$8:B$1696,A142,GERAL!Z$8:Z$1696)</f>
        <v>0</v>
      </c>
      <c r="E142" s="85">
        <f>SUMIF(GERAL!B$8:B$1696,A142,GERAL!AE$8:AE$1696)</f>
        <v>0</v>
      </c>
      <c r="F142" s="85">
        <f>SUMIF(GERAL!B$8:B$1696,A142,GERAL!AJ$8:AJ$1696)</f>
        <v>237</v>
      </c>
      <c r="G142" s="85">
        <f>SUMIF(GERAL!B$8:B$1696,A142,GERAL!AN$8:AN$1696)</f>
        <v>0</v>
      </c>
      <c r="H142" s="85">
        <f>SUMIF(GERAL!B$8:B$1696,A142,GERAL!AR$8:AW$1696)</f>
        <v>46</v>
      </c>
      <c r="I142" s="85">
        <f>SUMIF(GERAL!B$8:B$1696,A142,GERAL!AW$8:AW$1696)</f>
        <v>91</v>
      </c>
      <c r="J142" s="75">
        <f>SUMIF(GERAL!B$8:B$1696,A142,GERAL!AX$8:AX$1696)</f>
        <v>374</v>
      </c>
      <c r="K142" s="75">
        <f>COUNTIFS(GERAL!B$8:B$1696,A142,GERAL!AY$8:AY$1696,"&gt;0",GERAL!C$8:C$1696,"ESCOLA")</f>
        <v>1</v>
      </c>
      <c r="L142" s="75">
        <f>COUNTIFS(GERAL!B$8:B$1696,A142,GERAL!AY$8:AY$1696,"&gt;0",GERAL!C$8:C$1696,"ANEXO")</f>
        <v>1</v>
      </c>
      <c r="M142" s="100">
        <f>SUMIF(GERAL!B$8:B$1696,A142,GERAL!V$8:V$1696)+SUMIF(GERAL!B$8:B$1696,A142,GERAL!W$8:W$1696)</f>
        <v>0</v>
      </c>
      <c r="N142" s="100">
        <f>SUMIF(GERAL!B$8:B$1696,A142,GERAL!AA$8:AA$1696)+SUMIF(GERAL!B$8:B$1696,A142,GERAL!AB$8:AB$1696)</f>
        <v>0</v>
      </c>
      <c r="O142" s="100">
        <f>SUMIF(GERAL!B$8:B$1696,A142,GERAL!AF$8:AF$1696)+SUMIF(GERAL!B$8:B$1696,A142,GERAL!AG$8:AG$1696)</f>
        <v>73</v>
      </c>
      <c r="P142" s="100">
        <f>SUMIF(GERAL!B$8:B$1696,A142,GERAL!AK$8:AK$1696)+SUMIF(GERAL!B$8:B$1696,A142,GERAL!AL$8:AL$1696)</f>
        <v>0</v>
      </c>
      <c r="Q142" s="100">
        <f>SUMIF(GERAL!B$8:B$1696,A142,GERAL!AO$8:AO$1696)+SUMIF(GERAL!B$8:B$1696,A142,GERAL!AP$8:AP$1696)</f>
        <v>0</v>
      </c>
      <c r="R142" s="100">
        <f>SUMIF(GERAL!B$8:B$1696,A142,GERAL!AS$8:AS$1696)+SUMIF(GERAL!B$8:B$1696,A142,GERAL!AT$8:AT$1696)</f>
        <v>0</v>
      </c>
      <c r="S142" s="75">
        <f t="shared" si="39"/>
        <v>73</v>
      </c>
      <c r="T142" s="116">
        <f>COUNTIFS(GERAL!B$8:B$1696,A142,GERAL!AZ$8:AZ$1696,"&gt;0",GERAL!C$8:C$1696,"ESCOLA")</f>
        <v>1</v>
      </c>
      <c r="U142" s="75">
        <f>COUNTIFS(GERAL!B$8:B$1696,A142,GERAL!AZ$8:AZ$1696,"&gt;0",GERAL!C$8:C$1696,"ANEXO")</f>
        <v>0</v>
      </c>
      <c r="V142" s="85">
        <f>SUMIF(GERAL!B$8:B$1696,A142,GERAL!AH$8:AH$1696)</f>
        <v>0</v>
      </c>
      <c r="W142" s="85">
        <f>SUMIF(GERAL!B$8:B$1696,A142,GERAL!AM$8:AM$1696)</f>
        <v>0</v>
      </c>
      <c r="X142" s="85">
        <f>SUMIF(GERAL!B$8:B$1696,A142,GERAL!AQ$8:AQ$1696)</f>
        <v>46</v>
      </c>
      <c r="Y142" s="85">
        <f>SUMIF(GERAL!B$8:B$1696,A142,GERAL!AU$8:AU$1696)</f>
        <v>28</v>
      </c>
      <c r="Z142" s="88">
        <f t="shared" si="40"/>
        <v>74</v>
      </c>
      <c r="AA142" s="116">
        <f>COUNTIFS(GERAL!B$8:B$1696,A142,GERAL!BK$8:BK$1696,"&gt;0",GERAL!C$8:C$1696,"ESCOLA")</f>
        <v>1</v>
      </c>
      <c r="AB142" s="88">
        <f>COUNTIFS(GERAL!B$8:B$1696,A142,GERAL!BK$8:BK$1696,"&gt;0",GERAL!C$8:C$1696,"ANEXO")</f>
        <v>0</v>
      </c>
      <c r="AC142" s="121">
        <f>SUMIF(GERAL!B$8:B$1696,A142,GERAL!AD$8:AD$1696)</f>
        <v>0</v>
      </c>
      <c r="AD142" s="121">
        <f>SUMIF(GERAL!B$8:B$1696,A142,GERAL!AI$8:AI$1696)</f>
        <v>164</v>
      </c>
      <c r="AE142" s="121">
        <f>SUMIF(GERAL!B$8:B$1696,A142,GERAL!AV$8:AV$1696)</f>
        <v>63</v>
      </c>
      <c r="AF142" s="492">
        <f t="shared" si="41"/>
        <v>227</v>
      </c>
      <c r="AG142" s="178">
        <f>COUNTIFS(GERAL!B$8:B$1696,A142,GERAL!AW$8:AW$1696,"&gt;0",GERAL!C$8:C$1696,"ESCOLA")</f>
        <v>1</v>
      </c>
      <c r="AH142" s="118">
        <f>COUNTIFS(GERAL!B$8:B$1696,A142,GERAL!AW$8:AW$1696,"&gt;0",GERAL!C$8:C$1696,"ANEXO")</f>
        <v>0</v>
      </c>
      <c r="AI142" s="177">
        <f>SUMIF(GERAL!B$8:B$1696,A142,GERAL!AS$8:AS$1696)+SUMIF(GERAL!B$8:B$1696,A142,GERAL!AT$8:AT$1696)</f>
        <v>0</v>
      </c>
      <c r="AJ142" s="177">
        <f>SUMIF(GERAL!B$8:B$1696,A142,GERAL!AU$8:AU$1696)</f>
        <v>28</v>
      </c>
      <c r="AK142" s="177">
        <f>SUMIF(GERAL!B$8:B$1696,A142,GERAL!AV$8:AV$1696)</f>
        <v>63</v>
      </c>
      <c r="AL142" s="118">
        <f t="shared" si="42"/>
        <v>91</v>
      </c>
      <c r="AM142" s="493" t="s">
        <v>914</v>
      </c>
    </row>
    <row r="143">
      <c r="A143" s="494" t="s">
        <v>5587</v>
      </c>
      <c r="B143" s="75">
        <f>COUNTIFS(GERAL!B$8:B$1696,A143,GERAL!C$8:C$1696,"ESCOLA")</f>
        <v>1</v>
      </c>
      <c r="C143" s="75">
        <f>COUNTIFS(GERAL!B$8:B$1696,A143,GERAL!C$8:C$1696,"ANEXO")</f>
        <v>2</v>
      </c>
      <c r="D143" s="85">
        <f>SUMIF(GERAL!B$8:B$1696,A143,GERAL!Z$8:Z$1696)</f>
        <v>0</v>
      </c>
      <c r="E143" s="85">
        <f>SUMIF(GERAL!B$8:B$1696,A143,GERAL!AE$8:AE$1696)</f>
        <v>0</v>
      </c>
      <c r="F143" s="85">
        <f>SUMIF(GERAL!B$8:B$1696,A143,GERAL!AJ$8:AJ$1696)</f>
        <v>664</v>
      </c>
      <c r="G143" s="85">
        <f>SUMIF(GERAL!B$8:B$1696,A143,GERAL!AN$8:AN$1696)</f>
        <v>0</v>
      </c>
      <c r="H143" s="85">
        <f>SUMIF(GERAL!B$8:B$1696,A143,GERAL!AR$8:AW$1696)</f>
        <v>239</v>
      </c>
      <c r="I143" s="85">
        <f>SUMIF(GERAL!B$8:B$1696,A143,GERAL!AW$8:AW$1696)</f>
        <v>277</v>
      </c>
      <c r="J143" s="75">
        <f>SUMIF(GERAL!B$8:B$1696,A143,GERAL!AX$8:AX$1696)</f>
        <v>1180</v>
      </c>
      <c r="K143" s="75">
        <f>COUNTIFS(GERAL!B$8:B$1696,A143,GERAL!AY$8:AY$1696,"&gt;0",GERAL!C$8:C$1696,"ESCOLA")</f>
        <v>1</v>
      </c>
      <c r="L143" s="75">
        <f>COUNTIFS(GERAL!B$8:B$1696,A143,GERAL!AY$8:AY$1696,"&gt;0",GERAL!C$8:C$1696,"ANEXO")</f>
        <v>2</v>
      </c>
      <c r="M143" s="100">
        <f>SUMIF(GERAL!B$8:B$1696,A143,GERAL!V$8:V$1696)+SUMIF(GERAL!B$8:B$1696,A143,GERAL!W$8:W$1696)</f>
        <v>0</v>
      </c>
      <c r="N143" s="100">
        <f>SUMIF(GERAL!B$8:B$1696,A143,GERAL!AA$8:AA$1696)+SUMIF(GERAL!B$8:B$1696,A143,GERAL!AB$8:AB$1696)</f>
        <v>0</v>
      </c>
      <c r="O143" s="100">
        <f>SUMIF(GERAL!B$8:B$1696,A143,GERAL!AF$8:AF$1696)+SUMIF(GERAL!B$8:B$1696,A143,GERAL!AG$8:AG$1696)</f>
        <v>128</v>
      </c>
      <c r="P143" s="100">
        <f>SUMIF(GERAL!B$8:B$1696,A143,GERAL!AK$8:AK$1696)+SUMIF(GERAL!B$8:B$1696,A143,GERAL!AL$8:AL$1696)</f>
        <v>0</v>
      </c>
      <c r="Q143" s="100">
        <f>SUMIF(GERAL!B$8:B$1696,A143,GERAL!AO$8:AO$1696)+SUMIF(GERAL!B$8:B$1696,A143,GERAL!AP$8:AP$1696)</f>
        <v>0</v>
      </c>
      <c r="R143" s="100">
        <f>SUMIF(GERAL!B$8:B$1696,A143,GERAL!AS$8:AS$1696)+SUMIF(GERAL!B$8:B$1696,A143,GERAL!AT$8:AT$1696)</f>
        <v>277</v>
      </c>
      <c r="S143" s="75">
        <f t="shared" si="39"/>
        <v>405</v>
      </c>
      <c r="T143" s="116">
        <f>COUNTIFS(GERAL!B$8:B$1696,A143,GERAL!AZ$8:AZ$1696,"&gt;0",GERAL!C$8:C$1696,"ESCOLA")</f>
        <v>1</v>
      </c>
      <c r="U143" s="75">
        <f>COUNTIFS(GERAL!B$8:B$1696,A143,GERAL!AZ$8:AZ$1696,"&gt;0",GERAL!C$8:C$1696,"ANEXO")</f>
        <v>2</v>
      </c>
      <c r="V143" s="85">
        <f>SUMIF(GERAL!B$8:B$1696,A143,GERAL!AH$8:AH$1696)</f>
        <v>131</v>
      </c>
      <c r="W143" s="85">
        <f>SUMIF(GERAL!B$8:B$1696,A143,GERAL!AM$8:AM$1696)</f>
        <v>0</v>
      </c>
      <c r="X143" s="85">
        <f>SUMIF(GERAL!B$8:B$1696,A143,GERAL!AQ$8:AQ$1696)</f>
        <v>239</v>
      </c>
      <c r="Y143" s="85">
        <f>SUMIF(GERAL!B$8:B$1696,A143,GERAL!AU$8:AU$1696)</f>
        <v>0</v>
      </c>
      <c r="Z143" s="88">
        <f t="shared" si="40"/>
        <v>370</v>
      </c>
      <c r="AA143" s="116">
        <f>COUNTIFS(GERAL!B$8:B$1696,A143,GERAL!BK$8:BK$1696,"&gt;0",GERAL!C$8:C$1696,"ESCOLA")</f>
        <v>1</v>
      </c>
      <c r="AB143" s="88">
        <f>COUNTIFS(GERAL!B$8:B$1696,A143,GERAL!BK$8:BK$1696,"&gt;0",GERAL!C$8:C$1696,"ANEXO")</f>
        <v>0</v>
      </c>
      <c r="AC143" s="121">
        <f>SUMIF(GERAL!B$8:B$1696,A143,GERAL!AD$8:AD$1696)</f>
        <v>0</v>
      </c>
      <c r="AD143" s="121">
        <f>SUMIF(GERAL!B$8:B$1696,A143,GERAL!AI$8:AI$1696)</f>
        <v>405</v>
      </c>
      <c r="AE143" s="121">
        <f>SUMIF(GERAL!B$8:B$1696,A143,GERAL!AV$8:AV$1696)</f>
        <v>0</v>
      </c>
      <c r="AF143" s="492">
        <f t="shared" si="41"/>
        <v>405</v>
      </c>
      <c r="AG143" s="178">
        <f>COUNTIFS(GERAL!B$8:B$1696,A143,GERAL!AW$8:AW$1696,"&gt;0",GERAL!C$8:C$1696,"ESCOLA")</f>
        <v>1</v>
      </c>
      <c r="AH143" s="118">
        <f>COUNTIFS(GERAL!B$8:B$1696,A143,GERAL!AW$8:AW$1696,"&gt;0",GERAL!C$8:C$1696,"ANEXO")</f>
        <v>0</v>
      </c>
      <c r="AI143" s="177">
        <f>SUMIF(GERAL!B$8:B$1696,A143,GERAL!AS$8:AS$1696)+SUMIF(GERAL!B$8:B$1696,A143,GERAL!AT$8:AT$1696)</f>
        <v>277</v>
      </c>
      <c r="AJ143" s="177">
        <f>SUMIF(GERAL!B$8:B$1696,A143,GERAL!AU$8:AU$1696)</f>
        <v>0</v>
      </c>
      <c r="AK143" s="177">
        <f>SUMIF(GERAL!B$8:B$1696,A143,GERAL!AV$8:AV$1696)</f>
        <v>0</v>
      </c>
      <c r="AL143" s="118">
        <f t="shared" si="42"/>
        <v>277</v>
      </c>
      <c r="AM143" s="493" t="s">
        <v>1281</v>
      </c>
    </row>
    <row r="144">
      <c r="A144" s="484" t="s">
        <v>2000</v>
      </c>
      <c r="B144" s="75">
        <f>COUNTIFS(GERAL!B$8:B$1696,A144,GERAL!C$8:C$1696,"ESCOLA")</f>
        <v>3</v>
      </c>
      <c r="C144" s="75">
        <f>COUNTIFS(GERAL!B$8:B$1696,A144,GERAL!C$8:C$1696,"ANEXO")</f>
        <v>0</v>
      </c>
      <c r="D144" s="85">
        <f>SUMIF(GERAL!B$8:B$1696,A144,GERAL!Z$8:Z$1696)</f>
        <v>28</v>
      </c>
      <c r="E144" s="85">
        <f>SUMIF(GERAL!B$8:B$1696,A144,GERAL!AE$8:AE$1696)</f>
        <v>161</v>
      </c>
      <c r="F144" s="85">
        <f>SUMIF(GERAL!B$8:B$1696,A144,GERAL!AJ$8:AJ$1696)</f>
        <v>840</v>
      </c>
      <c r="G144" s="85">
        <f>SUMIF(GERAL!B$8:B$1696,A144,GERAL!AN$8:AN$1696)</f>
        <v>47</v>
      </c>
      <c r="H144" s="85">
        <f>SUMIF(GERAL!B$8:B$1696,A144,GERAL!AR$8:AW$1696)</f>
        <v>297</v>
      </c>
      <c r="I144" s="85">
        <f>SUMIF(GERAL!B$8:B$1696,A144,GERAL!AW$8:AW$1696)</f>
        <v>1116</v>
      </c>
      <c r="J144" s="75">
        <f>SUMIF(GERAL!B$8:B$1696,A144,GERAL!AX$8:AX$1696)</f>
        <v>2489</v>
      </c>
      <c r="K144" s="75">
        <f>COUNTIFS(GERAL!B$8:B$1696,A144,GERAL!AY$8:AY$1696,"&gt;0",GERAL!C$8:C$1696,"ESCOLA")</f>
        <v>3</v>
      </c>
      <c r="L144" s="75">
        <f>COUNTIFS(GERAL!B$8:B$1696,A144,GERAL!AY$8:AY$1696,"&gt;0",GERAL!C$8:C$1696,"ANEXO")</f>
        <v>0</v>
      </c>
      <c r="M144" s="100">
        <f>SUMIF(GERAL!B$8:B$1696,A144,GERAL!V$8:V$1696)+SUMIF(GERAL!B$8:B$1696,A144,GERAL!W$8:W$1696)</f>
        <v>28</v>
      </c>
      <c r="N144" s="100">
        <f>SUMIF(GERAL!B$8:B$1696,A144,GERAL!AA$8:AA$1696)+SUMIF(GERAL!B$8:B$1696,A144,GERAL!AB$8:AB$1696)</f>
        <v>161</v>
      </c>
      <c r="O144" s="100">
        <f>SUMIF(GERAL!B$8:B$1696,A144,GERAL!AF$8:AF$1696)+SUMIF(GERAL!B$8:B$1696,A144,GERAL!AG$8:AG$1696)</f>
        <v>643</v>
      </c>
      <c r="P144" s="100">
        <f>SUMIF(GERAL!B$8:B$1696,A144,GERAL!AK$8:AK$1696)+SUMIF(GERAL!B$8:B$1696,A144,GERAL!AL$8:AL$1696)</f>
        <v>0</v>
      </c>
      <c r="Q144" s="100">
        <f>SUMIF(GERAL!B$8:B$1696,A144,GERAL!AO$8:AO$1696)+SUMIF(GERAL!B$8:B$1696,A144,GERAL!AP$8:AP$1696)</f>
        <v>0</v>
      </c>
      <c r="R144" s="100">
        <f>SUMIF(GERAL!B$8:B$1696,A144,GERAL!AS$8:AS$1696)+SUMIF(GERAL!B$8:B$1696,A144,GERAL!AT$8:AT$1696)</f>
        <v>840</v>
      </c>
      <c r="S144" s="75">
        <f t="shared" si="39"/>
        <v>1672</v>
      </c>
      <c r="T144" s="116">
        <f>COUNTIFS(GERAL!B$8:B$1696,A144,GERAL!AZ$8:AZ$1696,"&gt;0",GERAL!C$8:C$1696,"ESCOLA")</f>
        <v>3</v>
      </c>
      <c r="U144" s="75">
        <f>COUNTIFS(GERAL!B$8:B$1696,A144,GERAL!AZ$8:AZ$1696,"&gt;0",GERAL!C$8:C$1696,"ANEXO")</f>
        <v>0</v>
      </c>
      <c r="V144" s="85">
        <f>SUMIF(GERAL!B$8:B$1696,A144,GERAL!AH$8:AH$1696)</f>
        <v>43</v>
      </c>
      <c r="W144" s="85">
        <f>SUMIF(GERAL!B$8:B$1696,A144,GERAL!AM$8:AM$1696)</f>
        <v>47</v>
      </c>
      <c r="X144" s="85">
        <f>SUMIF(GERAL!B$8:B$1696,A144,GERAL!AQ$8:AQ$1696)</f>
        <v>297</v>
      </c>
      <c r="Y144" s="85">
        <f>SUMIF(GERAL!B$8:B$1696,A144,GERAL!AU$8:AU$1696)</f>
        <v>219</v>
      </c>
      <c r="Z144" s="88">
        <f t="shared" si="40"/>
        <v>606</v>
      </c>
      <c r="AA144" s="116">
        <f>COUNTIFS(GERAL!B$8:B$1696,A144,GERAL!BK$8:BK$1696,"&gt;0",GERAL!C$8:C$1696,"ESCOLA")</f>
        <v>2</v>
      </c>
      <c r="AB144" s="88">
        <f>COUNTIFS(GERAL!B$8:B$1696,A144,GERAL!BK$8:BK$1696,"&gt;0",GERAL!C$8:C$1696,"ANEXO")</f>
        <v>0</v>
      </c>
      <c r="AC144" s="121">
        <f>SUMIF(GERAL!B$8:B$1696,A144,GERAL!AD$8:AD$1696)</f>
        <v>0</v>
      </c>
      <c r="AD144" s="121">
        <f>SUMIF(GERAL!B$8:B$1696,A144,GERAL!AI$8:AI$1696)</f>
        <v>154</v>
      </c>
      <c r="AE144" s="121">
        <f>SUMIF(GERAL!B$8:B$1696,A144,GERAL!AV$8:AV$1696)</f>
        <v>57</v>
      </c>
      <c r="AF144" s="492">
        <f t="shared" si="41"/>
        <v>211</v>
      </c>
      <c r="AG144" s="178">
        <f>COUNTIFS(GERAL!B$8:B$1696,A144,GERAL!AW$8:AW$1696,"&gt;0",GERAL!C$8:C$1696,"ESCOLA")</f>
        <v>2</v>
      </c>
      <c r="AH144" s="118">
        <f>COUNTIFS(GERAL!B$8:B$1696,A144,GERAL!AW$8:AW$1696,"&gt;0",GERAL!C$8:C$1696,"ANEXO")</f>
        <v>0</v>
      </c>
      <c r="AI144" s="177">
        <f>SUMIF(GERAL!B$8:B$1696,A144,GERAL!AS$8:AS$1696)+SUMIF(GERAL!B$8:B$1696,A144,GERAL!AT$8:AT$1696)</f>
        <v>840</v>
      </c>
      <c r="AJ144" s="177">
        <f>SUMIF(GERAL!B$8:B$1696,A144,GERAL!AU$8:AU$1696)</f>
        <v>219</v>
      </c>
      <c r="AK144" s="177">
        <f>SUMIF(GERAL!B$8:B$1696,A144,GERAL!AV$8:AV$1696)</f>
        <v>57</v>
      </c>
      <c r="AL144" s="118">
        <f t="shared" si="42"/>
        <v>1116</v>
      </c>
      <c r="AM144" s="493" t="s">
        <v>1224</v>
      </c>
    </row>
    <row r="145">
      <c r="A145" s="494" t="s">
        <v>2042</v>
      </c>
      <c r="B145" s="75">
        <f>COUNTIFS(GERAL!B$8:B$1696,A145,GERAL!C$8:C$1696,"ESCOLA")</f>
        <v>4</v>
      </c>
      <c r="C145" s="75">
        <f>COUNTIFS(GERAL!B$8:B$1696,A145,GERAL!C$8:C$1696,"ANEXO")</f>
        <v>2</v>
      </c>
      <c r="D145" s="85">
        <f>SUMIF(GERAL!B$8:B$1696,A145,GERAL!Z$8:Z$1696)</f>
        <v>0</v>
      </c>
      <c r="E145" s="85">
        <f>SUMIF(GERAL!B$8:B$1696,A145,GERAL!AE$8:AE$1696)</f>
        <v>0</v>
      </c>
      <c r="F145" s="85">
        <f>SUMIF(GERAL!B$8:B$1696,A145,GERAL!AJ$8:AJ$1696)</f>
        <v>1120</v>
      </c>
      <c r="G145" s="85">
        <f>SUMIF(GERAL!B$8:B$1696,A145,GERAL!AN$8:AN$1696)</f>
        <v>80</v>
      </c>
      <c r="H145" s="85">
        <f>SUMIF(GERAL!B$8:B$1696,A145,GERAL!AR$8:AW$1696)</f>
        <v>777</v>
      </c>
      <c r="I145" s="85">
        <f>SUMIF(GERAL!B$8:B$1696,A145,GERAL!AW$8:AW$1696)</f>
        <v>988</v>
      </c>
      <c r="J145" s="75">
        <f>SUMIF(GERAL!B$8:B$1696,A145,GERAL!AX$8:AX$1696)</f>
        <v>2965</v>
      </c>
      <c r="K145" s="75">
        <f>COUNTIFS(GERAL!B$8:B$1696,A145,GERAL!AY$8:AY$1696,"&gt;0",GERAL!C$8:C$1696,"ESCOLA")</f>
        <v>4</v>
      </c>
      <c r="L145" s="75">
        <f>COUNTIFS(GERAL!B$8:B$1696,A145,GERAL!AY$8:AY$1696,"&gt;0",GERAL!C$8:C$1696,"ANEXO")</f>
        <v>2</v>
      </c>
      <c r="M145" s="100">
        <f>SUMIF(GERAL!B$8:B$1696,A145,GERAL!V$8:V$1696)+SUMIF(GERAL!B$8:B$1696,A145,GERAL!W$8:W$1696)</f>
        <v>0</v>
      </c>
      <c r="N145" s="100">
        <f>SUMIF(GERAL!B$8:B$1696,A145,GERAL!AA$8:AA$1696)+SUMIF(GERAL!B$8:B$1696,A145,GERAL!AB$8:AB$1696)</f>
        <v>0</v>
      </c>
      <c r="O145" s="100">
        <f>SUMIF(GERAL!B$8:B$1696,A145,GERAL!AF$8:AF$1696)+SUMIF(GERAL!B$8:B$1696,A145,GERAL!AG$8:AG$1696)</f>
        <v>445</v>
      </c>
      <c r="P145" s="100">
        <f>SUMIF(GERAL!B$8:B$1696,A145,GERAL!AK$8:AK$1696)+SUMIF(GERAL!B$8:B$1696,A145,GERAL!AL$8:AL$1696)</f>
        <v>80</v>
      </c>
      <c r="Q145" s="100">
        <f>SUMIF(GERAL!B$8:B$1696,A145,GERAL!AO$8:AO$1696)+SUMIF(GERAL!B$8:B$1696,A145,GERAL!AP$8:AP$1696)</f>
        <v>51</v>
      </c>
      <c r="R145" s="100">
        <f>SUMIF(GERAL!B$8:B$1696,A145,GERAL!AS$8:AS$1696)+SUMIF(GERAL!B$8:B$1696,A145,GERAL!AT$8:AT$1696)</f>
        <v>898</v>
      </c>
      <c r="S145" s="75">
        <f t="shared" si="39"/>
        <v>1474</v>
      </c>
      <c r="T145" s="116">
        <f>COUNTIFS(GERAL!B$8:B$1696,A145,GERAL!AZ$8:AZ$1696,"&gt;0",GERAL!C$8:C$1696,"ESCOLA")</f>
        <v>4</v>
      </c>
      <c r="U145" s="75">
        <f>COUNTIFS(GERAL!B$8:B$1696,A145,GERAL!AZ$8:AZ$1696,"&gt;0",GERAL!C$8:C$1696,"ANEXO")</f>
        <v>1</v>
      </c>
      <c r="V145" s="85">
        <f>SUMIF(GERAL!B$8:B$1696,A145,GERAL!AH$8:AH$1696)</f>
        <v>11</v>
      </c>
      <c r="W145" s="85">
        <f>SUMIF(GERAL!B$8:B$1696,A145,GERAL!AM$8:AM$1696)</f>
        <v>0</v>
      </c>
      <c r="X145" s="85">
        <f>SUMIF(GERAL!B$8:B$1696,A145,GERAL!AQ$8:AQ$1696)</f>
        <v>726</v>
      </c>
      <c r="Y145" s="85">
        <f>SUMIF(GERAL!B$8:B$1696,A145,GERAL!AU$8:AU$1696)</f>
        <v>90</v>
      </c>
      <c r="Z145" s="88">
        <f t="shared" si="40"/>
        <v>827</v>
      </c>
      <c r="AA145" s="116">
        <f>COUNTIFS(GERAL!B$8:B$1696,A145,GERAL!BK$8:BK$1696,"&gt;0",GERAL!C$8:C$1696,"ESCOLA")</f>
        <v>2</v>
      </c>
      <c r="AB145" s="88">
        <f>COUNTIFS(GERAL!B$8:B$1696,A145,GERAL!BK$8:BK$1696,"&gt;0",GERAL!C$8:C$1696,"ANEXO")</f>
        <v>0</v>
      </c>
      <c r="AC145" s="121">
        <f>SUMIF(GERAL!B$8:B$1696,A145,GERAL!AD$8:AD$1696)</f>
        <v>0</v>
      </c>
      <c r="AD145" s="121">
        <f>SUMIF(GERAL!B$8:B$1696,A145,GERAL!AI$8:AI$1696)</f>
        <v>664</v>
      </c>
      <c r="AE145" s="121">
        <f>SUMIF(GERAL!B$8:B$1696,A145,GERAL!AV$8:AV$1696)</f>
        <v>0</v>
      </c>
      <c r="AF145" s="492">
        <f t="shared" si="41"/>
        <v>664</v>
      </c>
      <c r="AG145" s="178">
        <f>COUNTIFS(GERAL!B$8:B$1696,A145,GERAL!AW$8:AW$1696,"&gt;0",GERAL!C$8:C$1696,"ESCOLA")</f>
        <v>1</v>
      </c>
      <c r="AH145" s="118">
        <f>COUNTIFS(GERAL!B$8:B$1696,A145,GERAL!AW$8:AW$1696,"&gt;0",GERAL!C$8:C$1696,"ANEXO")</f>
        <v>0</v>
      </c>
      <c r="AI145" s="177">
        <f>SUMIF(GERAL!B$8:B$1696,A145,GERAL!AS$8:AS$1696)+SUMIF(GERAL!B$8:B$1696,A145,GERAL!AT$8:AT$1696)</f>
        <v>898</v>
      </c>
      <c r="AJ145" s="177">
        <f>SUMIF(GERAL!B$8:B$1696,A145,GERAL!AU$8:AU$1696)</f>
        <v>90</v>
      </c>
      <c r="AK145" s="177">
        <f>SUMIF(GERAL!B$8:B$1696,A145,GERAL!AV$8:AV$1696)</f>
        <v>0</v>
      </c>
      <c r="AL145" s="118">
        <f t="shared" si="42"/>
        <v>988</v>
      </c>
      <c r="AM145" s="493" t="s">
        <v>1842</v>
      </c>
    </row>
    <row r="146">
      <c r="A146" s="484" t="s">
        <v>2097</v>
      </c>
      <c r="B146" s="75">
        <f>COUNTIFS(GERAL!B$8:B$1696,A146,GERAL!C$8:C$1696,"ESCOLA")</f>
        <v>1</v>
      </c>
      <c r="C146" s="75">
        <f>COUNTIFS(GERAL!B$8:B$1696,A146,GERAL!C$8:C$1696,"ANEXO")</f>
        <v>0</v>
      </c>
      <c r="D146" s="85">
        <f>SUMIF(GERAL!B$8:B$1696,A146,GERAL!Z$8:Z$1696)</f>
        <v>0</v>
      </c>
      <c r="E146" s="85">
        <f>SUMIF(GERAL!B$8:B$1696,A146,GERAL!AE$8:AE$1696)</f>
        <v>0</v>
      </c>
      <c r="F146" s="85">
        <f>SUMIF(GERAL!B$8:B$1696,A146,GERAL!AJ$8:AJ$1696)</f>
        <v>434</v>
      </c>
      <c r="G146" s="85">
        <f>SUMIF(GERAL!B$8:B$1696,A146,GERAL!AN$8:AN$1696)</f>
        <v>0</v>
      </c>
      <c r="H146" s="85">
        <f>SUMIF(GERAL!B$8:B$1696,A146,GERAL!AR$8:AW$1696)</f>
        <v>146</v>
      </c>
      <c r="I146" s="85">
        <f>SUMIF(GERAL!B$8:B$1696,A146,GERAL!AW$8:AW$1696)</f>
        <v>57</v>
      </c>
      <c r="J146" s="75">
        <f>SUMIF(GERAL!B$8:B$1696,A146,GERAL!AX$8:AX$1696)</f>
        <v>637</v>
      </c>
      <c r="K146" s="75">
        <f>COUNTIFS(GERAL!B$8:B$1696,A146,GERAL!AY$8:AY$1696,"&gt;0",GERAL!C$8:C$1696,"ESCOLA")</f>
        <v>1</v>
      </c>
      <c r="L146" s="75">
        <f>COUNTIFS(GERAL!B$8:B$1696,A146,GERAL!AY$8:AY$1696,"&gt;0",GERAL!C$8:C$1696,"ANEXO")</f>
        <v>0</v>
      </c>
      <c r="M146" s="100">
        <f>SUMIF(GERAL!B$8:B$1696,A146,GERAL!V$8:V$1696)+SUMIF(GERAL!B$8:B$1696,A146,GERAL!W$8:W$1696)</f>
        <v>0</v>
      </c>
      <c r="N146" s="100">
        <f>SUMIF(GERAL!B$8:B$1696,A146,GERAL!AA$8:AA$1696)+SUMIF(GERAL!B$8:B$1696,A146,GERAL!AB$8:AB$1696)</f>
        <v>0</v>
      </c>
      <c r="O146" s="100">
        <f>SUMIF(GERAL!B$8:B$1696,A146,GERAL!AF$8:AF$1696)+SUMIF(GERAL!B$8:B$1696,A146,GERAL!AG$8:AG$1696)</f>
        <v>0</v>
      </c>
      <c r="P146" s="100">
        <f>SUMIF(GERAL!B$8:B$1696,A146,GERAL!AK$8:AK$1696)+SUMIF(GERAL!B$8:B$1696,A146,GERAL!AL$8:AL$1696)</f>
        <v>0</v>
      </c>
      <c r="Q146" s="100">
        <f>SUMIF(GERAL!B$8:B$1696,A146,GERAL!AO$8:AO$1696)+SUMIF(GERAL!B$8:B$1696,A146,GERAL!AP$8:AP$1696)</f>
        <v>0</v>
      </c>
      <c r="R146" s="100">
        <f>SUMIF(GERAL!B$8:B$1696,A146,GERAL!AS$8:AS$1696)+SUMIF(GERAL!B$8:B$1696,A146,GERAL!AT$8:AT$1696)</f>
        <v>0</v>
      </c>
      <c r="S146" s="75">
        <f t="shared" si="39"/>
        <v>0</v>
      </c>
      <c r="T146" s="116">
        <f>COUNTIFS(GERAL!B$8:B$1696,A146,GERAL!AZ$8:AZ$1696,"&gt;0",GERAL!C$8:C$1696,"ESCOLA")</f>
        <v>1</v>
      </c>
      <c r="U146" s="75">
        <f>COUNTIFS(GERAL!B$8:B$1696,A146,GERAL!AZ$8:AZ$1696,"&gt;0",GERAL!C$8:C$1696,"ANEXO")</f>
        <v>0</v>
      </c>
      <c r="V146" s="85">
        <f>SUMIF(GERAL!B$8:B$1696,A146,GERAL!AH$8:AH$1696)</f>
        <v>0</v>
      </c>
      <c r="W146" s="85">
        <f>SUMIF(GERAL!B$8:B$1696,A146,GERAL!AM$8:AM$1696)</f>
        <v>0</v>
      </c>
      <c r="X146" s="85">
        <f>SUMIF(GERAL!B$8:B$1696,A146,GERAL!AQ$8:AQ$1696)</f>
        <v>146</v>
      </c>
      <c r="Y146" s="85">
        <f>SUMIF(GERAL!B$8:B$1696,A146,GERAL!AU$8:AU$1696)</f>
        <v>0</v>
      </c>
      <c r="Z146" s="88">
        <f t="shared" si="40"/>
        <v>146</v>
      </c>
      <c r="AA146" s="116">
        <f>COUNTIFS(GERAL!B$8:B$1696,A146,GERAL!BK$8:BK$1696,"&gt;0",GERAL!C$8:C$1696,"ESCOLA")</f>
        <v>1</v>
      </c>
      <c r="AB146" s="88">
        <f>COUNTIFS(GERAL!B$8:B$1696,A146,GERAL!BK$8:BK$1696,"&gt;0",GERAL!C$8:C$1696,"ANEXO")</f>
        <v>0</v>
      </c>
      <c r="AC146" s="121">
        <f>SUMIF(GERAL!B$8:B$1696,A146,GERAL!AD$8:AD$1696)</f>
        <v>0</v>
      </c>
      <c r="AD146" s="121">
        <f>SUMIF(GERAL!B$8:B$1696,A146,GERAL!AI$8:AI$1696)</f>
        <v>434</v>
      </c>
      <c r="AE146" s="121">
        <f>SUMIF(GERAL!B$8:B$1696,A146,GERAL!AV$8:AV$1696)</f>
        <v>57</v>
      </c>
      <c r="AF146" s="492">
        <f t="shared" si="41"/>
        <v>491</v>
      </c>
      <c r="AG146" s="178">
        <f>COUNTIFS(GERAL!B$8:B$1696,A146,GERAL!AW$8:AW$1696,"&gt;0",GERAL!C$8:C$1696,"ESCOLA")</f>
        <v>1</v>
      </c>
      <c r="AH146" s="118">
        <f>COUNTIFS(GERAL!B$8:B$1696,A146,GERAL!AW$8:AW$1696,"&gt;0",GERAL!C$8:C$1696,"ANEXO")</f>
        <v>0</v>
      </c>
      <c r="AI146" s="177">
        <f>SUMIF(GERAL!B$8:B$1696,A146,GERAL!AS$8:AS$1696)+SUMIF(GERAL!B$8:B$1696,A146,GERAL!AT$8:AT$1696)</f>
        <v>0</v>
      </c>
      <c r="AJ146" s="177">
        <f>SUMIF(GERAL!B$8:B$1696,A146,GERAL!AU$8:AU$1696)</f>
        <v>0</v>
      </c>
      <c r="AK146" s="177">
        <f>SUMIF(GERAL!B$8:B$1696,A146,GERAL!AV$8:AV$1696)</f>
        <v>57</v>
      </c>
      <c r="AL146" s="118">
        <f t="shared" si="42"/>
        <v>57</v>
      </c>
      <c r="AM146" s="493" t="s">
        <v>1224</v>
      </c>
    </row>
    <row r="147">
      <c r="A147" s="494" t="s">
        <v>589</v>
      </c>
      <c r="B147" s="75">
        <f>COUNTIFS(GERAL!B$8:B$1696,A147,GERAL!C$8:C$1696,"ESCOLA")</f>
        <v>1</v>
      </c>
      <c r="C147" s="75">
        <f>COUNTIFS(GERAL!B$8:B$1696,A147,GERAL!C$8:C$1696,"ANEXO")</f>
        <v>1</v>
      </c>
      <c r="D147" s="85">
        <f>SUMIF(GERAL!B$8:B$1696,A147,GERAL!Z$8:Z$1696)</f>
        <v>0</v>
      </c>
      <c r="E147" s="85">
        <f>SUMIF(GERAL!B$8:B$1696,A147,GERAL!AE$8:AE$1696)</f>
        <v>0</v>
      </c>
      <c r="F147" s="85">
        <f>SUMIF(GERAL!B$8:B$1696,A147,GERAL!AJ$8:AJ$1696)</f>
        <v>123</v>
      </c>
      <c r="G147" s="85">
        <f>SUMIF(GERAL!B$8:B$1696,A147,GERAL!AN$8:AN$1696)</f>
        <v>0</v>
      </c>
      <c r="H147" s="85">
        <f>SUMIF(GERAL!B$8:B$1696,A147,GERAL!AR$8:AW$1696)</f>
        <v>18</v>
      </c>
      <c r="I147" s="85">
        <f>SUMIF(GERAL!B$8:B$1696,A147,GERAL!AW$8:AW$1696)</f>
        <v>65</v>
      </c>
      <c r="J147" s="75">
        <f>SUMIF(GERAL!B$8:B$1696,A147,GERAL!AX$8:AX$1696)</f>
        <v>206</v>
      </c>
      <c r="K147" s="75">
        <f>COUNTIFS(GERAL!B$8:B$1696,A147,GERAL!AY$8:AY$1696,"&gt;0",GERAL!C$8:C$1696,"ESCOLA")</f>
        <v>1</v>
      </c>
      <c r="L147" s="75">
        <f>COUNTIFS(GERAL!B$8:B$1696,A147,GERAL!AY$8:AY$1696,"&gt;0",GERAL!C$8:C$1696,"ANEXO")</f>
        <v>1</v>
      </c>
      <c r="M147" s="100">
        <f>SUMIF(GERAL!B$8:B$1696,A147,GERAL!V$8:V$1696)+SUMIF(GERAL!B$8:B$1696,A147,GERAL!W$8:W$1696)</f>
        <v>0</v>
      </c>
      <c r="N147" s="100">
        <f>SUMIF(GERAL!B$8:B$1696,A147,GERAL!AA$8:AA$1696)+SUMIF(GERAL!B$8:B$1696,A147,GERAL!AB$8:AB$1696)</f>
        <v>0</v>
      </c>
      <c r="O147" s="100">
        <f>SUMIF(GERAL!B$8:B$1696,A147,GERAL!AF$8:AF$1696)+SUMIF(GERAL!B$8:B$1696,A147,GERAL!AG$8:AG$1696)</f>
        <v>39</v>
      </c>
      <c r="P147" s="100">
        <f>SUMIF(GERAL!B$8:B$1696,A147,GERAL!AK$8:AK$1696)+SUMIF(GERAL!B$8:B$1696,A147,GERAL!AL$8:AL$1696)</f>
        <v>0</v>
      </c>
      <c r="Q147" s="100">
        <f>SUMIF(GERAL!B$8:B$1696,A147,GERAL!AO$8:AO$1696)+SUMIF(GERAL!B$8:B$1696,A147,GERAL!AP$8:AP$1696)</f>
        <v>0</v>
      </c>
      <c r="R147" s="100">
        <f>SUMIF(GERAL!B$8:B$1696,A147,GERAL!AS$8:AS$1696)+SUMIF(GERAL!B$8:B$1696,A147,GERAL!AT$8:AT$1696)</f>
        <v>0</v>
      </c>
      <c r="S147" s="75">
        <f t="shared" si="39"/>
        <v>39</v>
      </c>
      <c r="T147" s="116">
        <f>COUNTIFS(GERAL!B$8:B$1696,A147,GERAL!AZ$8:AZ$1696,"&gt;0",GERAL!C$8:C$1696,"ESCOLA")</f>
        <v>1</v>
      </c>
      <c r="U147" s="75">
        <f>COUNTIFS(GERAL!B$8:B$1696,A147,GERAL!AZ$8:AZ$1696,"&gt;0",GERAL!C$8:C$1696,"ANEXO")</f>
        <v>0</v>
      </c>
      <c r="V147" s="85">
        <f>SUMIF(GERAL!B$8:B$1696,A147,GERAL!AH$8:AH$1696)</f>
        <v>0</v>
      </c>
      <c r="W147" s="85">
        <f>SUMIF(GERAL!B$8:B$1696,A147,GERAL!AM$8:AM$1696)</f>
        <v>0</v>
      </c>
      <c r="X147" s="85">
        <f>SUMIF(GERAL!B$8:B$1696,A147,GERAL!AQ$8:AQ$1696)</f>
        <v>18</v>
      </c>
      <c r="Y147" s="85">
        <f>SUMIF(GERAL!B$8:B$1696,A147,GERAL!AU$8:AU$1696)</f>
        <v>0</v>
      </c>
      <c r="Z147" s="88">
        <f t="shared" si="40"/>
        <v>18</v>
      </c>
      <c r="AA147" s="116">
        <f>COUNTIFS(GERAL!B$8:B$1696,A147,GERAL!BK$8:BK$1696,"&gt;0",GERAL!C$8:C$1696,"ESCOLA")</f>
        <v>1</v>
      </c>
      <c r="AB147" s="88">
        <f>COUNTIFS(GERAL!B$8:B$1696,A147,GERAL!BK$8:BK$1696,"&gt;0",GERAL!C$8:C$1696,"ANEXO")</f>
        <v>0</v>
      </c>
      <c r="AC147" s="121">
        <f>SUMIF(GERAL!B$8:B$1696,A147,GERAL!AD$8:AD$1696)</f>
        <v>0</v>
      </c>
      <c r="AD147" s="121">
        <f>SUMIF(GERAL!B$8:B$1696,A147,GERAL!AI$8:AI$1696)</f>
        <v>84</v>
      </c>
      <c r="AE147" s="121">
        <f>SUMIF(GERAL!B$8:B$1696,A147,GERAL!AV$8:AV$1696)</f>
        <v>65</v>
      </c>
      <c r="AF147" s="492">
        <f t="shared" si="41"/>
        <v>149</v>
      </c>
      <c r="AG147" s="178">
        <f>COUNTIFS(GERAL!B$8:B$1696,A147,GERAL!AW$8:AW$1696,"&gt;0",GERAL!C$8:C$1696,"ESCOLA")</f>
        <v>1</v>
      </c>
      <c r="AH147" s="118">
        <f>COUNTIFS(GERAL!B$8:B$1696,A147,GERAL!AW$8:AW$1696,"&gt;0",GERAL!C$8:C$1696,"ANEXO")</f>
        <v>0</v>
      </c>
      <c r="AI147" s="177">
        <f>SUMIF(GERAL!B$8:B$1696,A147,GERAL!AS$8:AS$1696)+SUMIF(GERAL!B$8:B$1696,A147,GERAL!AT$8:AT$1696)</f>
        <v>0</v>
      </c>
      <c r="AJ147" s="177">
        <f>SUMIF(GERAL!B$8:B$1696,A147,GERAL!AU$8:AU$1696)</f>
        <v>0</v>
      </c>
      <c r="AK147" s="177">
        <f>SUMIF(GERAL!B$8:B$1696,A147,GERAL!AV$8:AV$1696)</f>
        <v>65</v>
      </c>
      <c r="AL147" s="118">
        <f t="shared" si="42"/>
        <v>65</v>
      </c>
      <c r="AM147" s="493" t="s">
        <v>205</v>
      </c>
    </row>
    <row r="148">
      <c r="A148" s="484" t="s">
        <v>2050</v>
      </c>
      <c r="B148" s="75">
        <f>COUNTIFS(GERAL!B$8:B$1696,A148,GERAL!C$8:C$1696,"ESCOLA")</f>
        <v>42</v>
      </c>
      <c r="C148" s="75">
        <f>COUNTIFS(GERAL!B$8:B$1696,A148,GERAL!C$8:C$1696,"ANEXO")</f>
        <v>3</v>
      </c>
      <c r="D148" s="85">
        <f>SUMIF(GERAL!B$8:B$1696,A148,GERAL!Z$8:Z$1696)</f>
        <v>0</v>
      </c>
      <c r="E148" s="85">
        <f>SUMIF(GERAL!B$8:B$1696,A148,GERAL!AE$8:AE$1696)</f>
        <v>7231</v>
      </c>
      <c r="F148" s="85">
        <f>SUMIF(GERAL!B$8:B$1696,A148,GERAL!AJ$8:AJ$1696)</f>
        <v>12991</v>
      </c>
      <c r="G148" s="85">
        <f>SUMIF(GERAL!B$8:B$1696,A148,GERAL!AN$8:AN$1696)</f>
        <v>358</v>
      </c>
      <c r="H148" s="85">
        <f>SUMIF(GERAL!B$8:B$1696,A148,GERAL!AR$8:AW$1696)</f>
        <v>2871</v>
      </c>
      <c r="I148" s="85">
        <f>SUMIF(GERAL!B$8:B$1696,A148,GERAL!AW$8:AW$1696)</f>
        <v>6393</v>
      </c>
      <c r="J148" s="75">
        <f>SUMIF(GERAL!B$8:B$1696,A148,GERAL!AX$8:AX$1696)</f>
        <v>29844</v>
      </c>
      <c r="K148" s="75">
        <f>COUNTIFS(GERAL!B$8:B$1696,A148,GERAL!AY$8:AY$1696,"&gt;0",GERAL!C$8:C$1696,"ESCOLA")</f>
        <v>39</v>
      </c>
      <c r="L148" s="75">
        <f>COUNTIFS(GERAL!B$8:B$1696,A148,GERAL!AY$8:AY$1696,"&gt;0",GERAL!C$8:C$1696,"ANEXO")</f>
        <v>3</v>
      </c>
      <c r="M148" s="100">
        <f>SUMIF(GERAL!B$8:B$1696,A148,GERAL!V$8:V$1696)+SUMIF(GERAL!B$8:B$1696,A148,GERAL!W$8:W$1696)</f>
        <v>0</v>
      </c>
      <c r="N148" s="100">
        <f>SUMIF(GERAL!B$8:B$1696,A148,GERAL!AA$8:AA$1696)+SUMIF(GERAL!B$8:B$1696,A148,GERAL!AB$8:AB$1696)</f>
        <v>5757</v>
      </c>
      <c r="O148" s="100">
        <f>SUMIF(GERAL!B$8:B$1696,A148,GERAL!AF$8:AF$1696)+SUMIF(GERAL!B$8:B$1696,A148,GERAL!AG$8:AG$1696)</f>
        <v>7541</v>
      </c>
      <c r="P148" s="100">
        <f>SUMIF(GERAL!B$8:B$1696,A148,GERAL!AK$8:AK$1696)+SUMIF(GERAL!B$8:B$1696,A148,GERAL!AL$8:AL$1696)</f>
        <v>183</v>
      </c>
      <c r="Q148" s="100">
        <f>SUMIF(GERAL!B$8:B$1696,A148,GERAL!AO$8:AO$1696)+SUMIF(GERAL!B$8:B$1696,A148,GERAL!AP$8:AP$1696)</f>
        <v>123</v>
      </c>
      <c r="R148" s="100">
        <f>SUMIF(GERAL!B$8:B$1696,A148,GERAL!AS$8:AS$1696)+SUMIF(GERAL!B$8:B$1696,A148,GERAL!AT$8:AT$1696)</f>
        <v>3881</v>
      </c>
      <c r="S148" s="75">
        <f t="shared" si="39"/>
        <v>17485</v>
      </c>
      <c r="T148" s="116">
        <f>COUNTIFS(GERAL!B$8:B$1696,A148,GERAL!AZ$8:AZ$1696,"&gt;0",GERAL!C$8:C$1696,"ESCOLA")</f>
        <v>30</v>
      </c>
      <c r="U148" s="75">
        <f>COUNTIFS(GERAL!B$8:B$1696,A148,GERAL!AZ$8:AZ$1696,"&gt;0",GERAL!C$8:C$1696,"ANEXO")</f>
        <v>0</v>
      </c>
      <c r="V148" s="85">
        <f>SUMIF(GERAL!B$8:B$1696,A148,GERAL!AH$8:AH$1696)</f>
        <v>0</v>
      </c>
      <c r="W148" s="85">
        <f>SUMIF(GERAL!B$8:B$1696,A148,GERAL!AM$8:AM$1696)</f>
        <v>175</v>
      </c>
      <c r="X148" s="85">
        <f>SUMIF(GERAL!B$8:B$1696,A148,GERAL!AQ$8:AQ$1696)</f>
        <v>2748</v>
      </c>
      <c r="Y148" s="85">
        <f>SUMIF(GERAL!B$8:B$1696,A148,GERAL!AU$8:AU$1696)</f>
        <v>2310</v>
      </c>
      <c r="Z148" s="88">
        <f t="shared" si="40"/>
        <v>5233</v>
      </c>
      <c r="AA148" s="116">
        <f>COUNTIFS(GERAL!B$8:B$1696,A148,GERAL!BK$8:BK$1696,"&gt;0",GERAL!C$8:C$1696,"ESCOLA")</f>
        <v>24</v>
      </c>
      <c r="AB148" s="88">
        <f>COUNTIFS(GERAL!B$8:B$1696,A148,GERAL!BK$8:BK$1696,"&gt;0",GERAL!C$8:C$1696,"ANEXO")</f>
        <v>0</v>
      </c>
      <c r="AC148" s="121">
        <f>SUMIF(GERAL!B$8:B$1696,A148,GERAL!AD$8:AD$1696)</f>
        <v>1474</v>
      </c>
      <c r="AD148" s="121">
        <f>SUMIF(GERAL!B$8:B$1696,A148,GERAL!AI$8:AI$1696)</f>
        <v>5450</v>
      </c>
      <c r="AE148" s="121">
        <f>SUMIF(GERAL!B$8:B$1696,A148,GERAL!AV$8:AV$1696)</f>
        <v>202</v>
      </c>
      <c r="AF148" s="492">
        <f t="shared" si="41"/>
        <v>7126</v>
      </c>
      <c r="AG148" s="178">
        <f>COUNTIFS(GERAL!B$8:B$1696,A148,GERAL!AW$8:AW$1696,"&gt;0",GERAL!C$8:C$1696,"ESCOLA")</f>
        <v>26</v>
      </c>
      <c r="AH148" s="118">
        <f>COUNTIFS(GERAL!B$8:B$1696,A148,GERAL!AW$8:AW$1696,"&gt;0",GERAL!C$8:C$1696,"ANEXO")</f>
        <v>1</v>
      </c>
      <c r="AI148" s="177">
        <f>SUMIF(GERAL!B$8:B$1696,A148,GERAL!AS$8:AS$1696)+SUMIF(GERAL!B$8:B$1696,A148,GERAL!AT$8:AT$1696)</f>
        <v>3881</v>
      </c>
      <c r="AJ148" s="177">
        <f>SUMIF(GERAL!B$8:B$1696,A148,GERAL!AU$8:AU$1696)</f>
        <v>2310</v>
      </c>
      <c r="AK148" s="177">
        <f>SUMIF(GERAL!B$8:B$1696,A148,GERAL!AV$8:AV$1696)</f>
        <v>202</v>
      </c>
      <c r="AL148" s="118">
        <f t="shared" si="42"/>
        <v>6393</v>
      </c>
      <c r="AM148" s="493" t="s">
        <v>1335</v>
      </c>
    </row>
    <row r="149">
      <c r="A149" s="494" t="s">
        <v>7735</v>
      </c>
      <c r="B149" s="75">
        <f>COUNTIFS(GERAL!B$8:B$1696,A149,GERAL!C$8:C$1696,"ESCOLA")</f>
        <v>1</v>
      </c>
      <c r="C149" s="75">
        <f>COUNTIFS(GERAL!B$8:B$1696,A149,GERAL!C$8:C$1696,"ANEXO")</f>
        <v>0</v>
      </c>
      <c r="D149" s="85">
        <f>SUMIF(GERAL!B$8:B$1696,A149,GERAL!Z$8:Z$1696)</f>
        <v>0</v>
      </c>
      <c r="E149" s="85">
        <f>SUMIF(GERAL!B$8:B$1696,A149,GERAL!AE$8:AE$1696)</f>
        <v>0</v>
      </c>
      <c r="F149" s="85">
        <f>SUMIF(GERAL!B$8:B$1696,A149,GERAL!AJ$8:AJ$1696)</f>
        <v>592</v>
      </c>
      <c r="G149" s="85">
        <f>SUMIF(GERAL!B$8:B$1696,A149,GERAL!AN$8:AN$1696)</f>
        <v>0</v>
      </c>
      <c r="H149" s="85">
        <f>SUMIF(GERAL!B$8:B$1696,A149,GERAL!AR$8:AW$1696)</f>
        <v>78</v>
      </c>
      <c r="I149" s="85">
        <f>SUMIF(GERAL!B$8:B$1696,A149,GERAL!AW$8:AW$1696)</f>
        <v>83</v>
      </c>
      <c r="J149" s="75">
        <f>SUMIF(GERAL!B$8:B$1696,A149,GERAL!AX$8:AX$1696)</f>
        <v>753</v>
      </c>
      <c r="K149" s="75">
        <f>COUNTIFS(GERAL!B$8:B$1696,A149,GERAL!AY$8:AY$1696,"&gt;0",GERAL!C$8:C$1696,"ESCOLA")</f>
        <v>1</v>
      </c>
      <c r="L149" s="75">
        <f>COUNTIFS(GERAL!B$8:B$1696,A149,GERAL!AY$8:AY$1696,"&gt;0",GERAL!C$8:C$1696,"ANEXO")</f>
        <v>0</v>
      </c>
      <c r="M149" s="100">
        <f>SUMIF(GERAL!B$8:B$1696,A149,GERAL!V$8:V$1696)+SUMIF(GERAL!B$8:B$1696,A149,GERAL!W$8:W$1696)</f>
        <v>0</v>
      </c>
      <c r="N149" s="100">
        <f>SUMIF(GERAL!B$8:B$1696,A149,GERAL!AA$8:AA$1696)+SUMIF(GERAL!B$8:B$1696,A149,GERAL!AB$8:AB$1696)</f>
        <v>0</v>
      </c>
      <c r="O149" s="100">
        <f>SUMIF(GERAL!B$8:B$1696,A149,GERAL!AF$8:AF$1696)+SUMIF(GERAL!B$8:B$1696,A149,GERAL!AG$8:AG$1696)</f>
        <v>141</v>
      </c>
      <c r="P149" s="100">
        <f>SUMIF(GERAL!B$8:B$1696,A149,GERAL!AK$8:AK$1696)+SUMIF(GERAL!B$8:B$1696,A149,GERAL!AL$8:AL$1696)</f>
        <v>0</v>
      </c>
      <c r="Q149" s="100">
        <f>SUMIF(GERAL!B$8:B$1696,A149,GERAL!AO$8:AO$1696)+SUMIF(GERAL!B$8:B$1696,A149,GERAL!AP$8:AP$1696)</f>
        <v>0</v>
      </c>
      <c r="R149" s="100">
        <f>SUMIF(GERAL!B$8:B$1696,A149,GERAL!AS$8:AS$1696)+SUMIF(GERAL!B$8:B$1696,A149,GERAL!AT$8:AT$1696)</f>
        <v>0</v>
      </c>
      <c r="S149" s="75">
        <f t="shared" si="39"/>
        <v>141</v>
      </c>
      <c r="T149" s="116">
        <f>COUNTIFS(GERAL!B$8:B$1696,A149,GERAL!AZ$8:AZ$1696,"&gt;0",GERAL!C$8:C$1696,"ESCOLA")</f>
        <v>1</v>
      </c>
      <c r="U149" s="75">
        <f>COUNTIFS(GERAL!B$8:B$1696,A149,GERAL!AZ$8:AZ$1696,"&gt;0",GERAL!C$8:C$1696,"ANEXO")</f>
        <v>0</v>
      </c>
      <c r="V149" s="85">
        <f>SUMIF(GERAL!B$8:B$1696,A149,GERAL!AH$8:AH$1696)</f>
        <v>0</v>
      </c>
      <c r="W149" s="85">
        <f>SUMIF(GERAL!B$8:B$1696,A149,GERAL!AM$8:AM$1696)</f>
        <v>0</v>
      </c>
      <c r="X149" s="85">
        <f>SUMIF(GERAL!B$8:B$1696,A149,GERAL!AQ$8:AQ$1696)</f>
        <v>78</v>
      </c>
      <c r="Y149" s="85">
        <f>SUMIF(GERAL!B$8:B$1696,A149,GERAL!AU$8:AU$1696)</f>
        <v>48</v>
      </c>
      <c r="Z149" s="88">
        <f t="shared" si="40"/>
        <v>126</v>
      </c>
      <c r="AA149" s="116">
        <f>COUNTIFS(GERAL!B$8:B$1696,A149,GERAL!BK$8:BK$1696,"&gt;0",GERAL!C$8:C$1696,"ESCOLA")</f>
        <v>1</v>
      </c>
      <c r="AB149" s="88">
        <f>COUNTIFS(GERAL!B$8:B$1696,A149,GERAL!BK$8:BK$1696,"&gt;0",GERAL!C$8:C$1696,"ANEXO")</f>
        <v>0</v>
      </c>
      <c r="AC149" s="121">
        <f>SUMIF(GERAL!B$8:B$1696,A149,GERAL!AD$8:AD$1696)</f>
        <v>0</v>
      </c>
      <c r="AD149" s="121">
        <f>SUMIF(GERAL!B$8:B$1696,A149,GERAL!AI$8:AI$1696)</f>
        <v>451</v>
      </c>
      <c r="AE149" s="121">
        <f>SUMIF(GERAL!B$8:B$1696,A149,GERAL!AV$8:AV$1696)</f>
        <v>35</v>
      </c>
      <c r="AF149" s="492">
        <f t="shared" si="41"/>
        <v>486</v>
      </c>
      <c r="AG149" s="178">
        <f>COUNTIFS(GERAL!B$8:B$1696,A149,GERAL!AW$8:AW$1696,"&gt;0",GERAL!C$8:C$1696,"ESCOLA")</f>
        <v>1</v>
      </c>
      <c r="AH149" s="118">
        <f>COUNTIFS(GERAL!B$8:B$1696,A149,GERAL!AW$8:AW$1696,"&gt;0",GERAL!C$8:C$1696,"ANEXO")</f>
        <v>0</v>
      </c>
      <c r="AI149" s="177">
        <f>SUMIF(GERAL!B$8:B$1696,A149,GERAL!AS$8:AS$1696)+SUMIF(GERAL!B$8:B$1696,A149,GERAL!AT$8:AT$1696)</f>
        <v>0</v>
      </c>
      <c r="AJ149" s="177">
        <f>SUMIF(GERAL!B$8:B$1696,A149,GERAL!AU$8:AU$1696)</f>
        <v>48</v>
      </c>
      <c r="AK149" s="177">
        <f>SUMIF(GERAL!B$8:B$1696,A149,GERAL!AV$8:AV$1696)</f>
        <v>35</v>
      </c>
      <c r="AL149" s="118">
        <f t="shared" si="42"/>
        <v>83</v>
      </c>
      <c r="AM149" s="493" t="s">
        <v>1707</v>
      </c>
    </row>
    <row r="150">
      <c r="A150" s="484" t="s">
        <v>2431</v>
      </c>
      <c r="B150" s="75">
        <f>COUNTIFS(GERAL!B$8:B$1696,A150,GERAL!C$8:C$1696,"ESCOLA")</f>
        <v>1</v>
      </c>
      <c r="C150" s="75">
        <f>COUNTIFS(GERAL!B$8:B$1696,A150,GERAL!C$8:C$1696,"ANEXO")</f>
        <v>0</v>
      </c>
      <c r="D150" s="85">
        <f>SUMIF(GERAL!B$8:B$1696,A150,GERAL!Z$8:Z$1696)</f>
        <v>0</v>
      </c>
      <c r="E150" s="85">
        <f>SUMIF(GERAL!B$8:B$1696,A150,GERAL!AE$8:AE$1696)</f>
        <v>0</v>
      </c>
      <c r="F150" s="85">
        <f>SUMIF(GERAL!B$8:B$1696,A150,GERAL!AJ$8:AJ$1696)</f>
        <v>68</v>
      </c>
      <c r="G150" s="85">
        <f>SUMIF(GERAL!B$8:B$1696,A150,GERAL!AN$8:AN$1696)</f>
        <v>0</v>
      </c>
      <c r="H150" s="85">
        <f>SUMIF(GERAL!B$8:B$1696,A150,GERAL!AR$8:AW$1696)</f>
        <v>60</v>
      </c>
      <c r="I150" s="85">
        <f>SUMIF(GERAL!B$8:B$1696,A150,GERAL!AW$8:AW$1696)</f>
        <v>51</v>
      </c>
      <c r="J150" s="75">
        <f>SUMIF(GERAL!B$8:B$1696,A150,GERAL!AX$8:AX$1696)</f>
        <v>179</v>
      </c>
      <c r="K150" s="75">
        <f>COUNTIFS(GERAL!B$8:B$1696,A150,GERAL!AY$8:AY$1696,"&gt;0",GERAL!C$8:C$1696,"ESCOLA")</f>
        <v>1</v>
      </c>
      <c r="L150" s="75">
        <f>COUNTIFS(GERAL!B$8:B$1696,A150,GERAL!AY$8:AY$1696,"&gt;0",GERAL!C$8:C$1696,"ANEXO")</f>
        <v>0</v>
      </c>
      <c r="M150" s="100">
        <f>SUMIF(GERAL!B$8:B$1696,A150,GERAL!V$8:V$1696)+SUMIF(GERAL!B$8:B$1696,A150,GERAL!W$8:W$1696)</f>
        <v>0</v>
      </c>
      <c r="N150" s="100">
        <f>SUMIF(GERAL!B$8:B$1696,A150,GERAL!AA$8:AA$1696)+SUMIF(GERAL!B$8:B$1696,A150,GERAL!AB$8:AB$1696)</f>
        <v>0</v>
      </c>
      <c r="O150" s="100">
        <f>SUMIF(GERAL!B$8:B$1696,A150,GERAL!AF$8:AF$1696)+SUMIF(GERAL!B$8:B$1696,A150,GERAL!AG$8:AG$1696)</f>
        <v>0</v>
      </c>
      <c r="P150" s="100">
        <f>SUMIF(GERAL!B$8:B$1696,A150,GERAL!AK$8:AK$1696)+SUMIF(GERAL!B$8:B$1696,A150,GERAL!AL$8:AL$1696)</f>
        <v>0</v>
      </c>
      <c r="Q150" s="100">
        <f>SUMIF(GERAL!B$8:B$1696,A150,GERAL!AO$8:AO$1696)+SUMIF(GERAL!B$8:B$1696,A150,GERAL!AP$8:AP$1696)</f>
        <v>0</v>
      </c>
      <c r="R150" s="100">
        <f>SUMIF(GERAL!B$8:B$1696,A150,GERAL!AS$8:AS$1696)+SUMIF(GERAL!B$8:B$1696,A150,GERAL!AT$8:AT$1696)</f>
        <v>0</v>
      </c>
      <c r="S150" s="75">
        <f t="shared" si="39"/>
        <v>0</v>
      </c>
      <c r="T150" s="116">
        <f>COUNTIFS(GERAL!B$8:B$1696,A150,GERAL!AZ$8:AZ$1696,"&gt;0",GERAL!C$8:C$1696,"ESCOLA")</f>
        <v>1</v>
      </c>
      <c r="U150" s="75">
        <f>COUNTIFS(GERAL!B$8:B$1696,A150,GERAL!AZ$8:AZ$1696,"&gt;0",GERAL!C$8:C$1696,"ANEXO")</f>
        <v>0</v>
      </c>
      <c r="V150" s="85">
        <f>SUMIF(GERAL!B$8:B$1696,A150,GERAL!AH$8:AH$1696)</f>
        <v>0</v>
      </c>
      <c r="W150" s="85">
        <f>SUMIF(GERAL!B$8:B$1696,A150,GERAL!AM$8:AM$1696)</f>
        <v>0</v>
      </c>
      <c r="X150" s="85">
        <f>SUMIF(GERAL!B$8:B$1696,A150,GERAL!AQ$8:AQ$1696)</f>
        <v>60</v>
      </c>
      <c r="Y150" s="85">
        <f>SUMIF(GERAL!B$8:B$1696,A150,GERAL!AU$8:AU$1696)</f>
        <v>0</v>
      </c>
      <c r="Z150" s="88">
        <f t="shared" si="40"/>
        <v>60</v>
      </c>
      <c r="AA150" s="116">
        <f>COUNTIFS(GERAL!B$8:B$1696,A150,GERAL!BK$8:BK$1696,"&gt;0",GERAL!C$8:C$1696,"ESCOLA")</f>
        <v>1</v>
      </c>
      <c r="AB150" s="88">
        <f>COUNTIFS(GERAL!B$8:B$1696,A150,GERAL!BK$8:BK$1696,"&gt;0",GERAL!C$8:C$1696,"ANEXO")</f>
        <v>0</v>
      </c>
      <c r="AC150" s="121">
        <f>SUMIF(GERAL!B$8:B$1696,A150,GERAL!AD$8:AD$1696)</f>
        <v>0</v>
      </c>
      <c r="AD150" s="121">
        <f>SUMIF(GERAL!B$8:B$1696,A150,GERAL!AI$8:AI$1696)</f>
        <v>68</v>
      </c>
      <c r="AE150" s="121">
        <f>SUMIF(GERAL!B$8:B$1696,A150,GERAL!AV$8:AV$1696)</f>
        <v>51</v>
      </c>
      <c r="AF150" s="492">
        <f t="shared" si="41"/>
        <v>119</v>
      </c>
      <c r="AG150" s="178">
        <f>COUNTIFS(GERAL!B$8:B$1696,A150,GERAL!AW$8:AW$1696,"&gt;0",GERAL!C$8:C$1696,"ESCOLA")</f>
        <v>1</v>
      </c>
      <c r="AH150" s="118">
        <f>COUNTIFS(GERAL!B$8:B$1696,A150,GERAL!AW$8:AW$1696,"&gt;0",GERAL!C$8:C$1696,"ANEXO")</f>
        <v>0</v>
      </c>
      <c r="AI150" s="177">
        <f>SUMIF(GERAL!B$8:B$1696,A150,GERAL!AS$8:AS$1696)+SUMIF(GERAL!B$8:B$1696,A150,GERAL!AT$8:AT$1696)</f>
        <v>0</v>
      </c>
      <c r="AJ150" s="177">
        <f>SUMIF(GERAL!B$8:B$1696,A150,GERAL!AU$8:AU$1696)</f>
        <v>0</v>
      </c>
      <c r="AK150" s="177">
        <f>SUMIF(GERAL!B$8:B$1696,A150,GERAL!AV$8:AV$1696)</f>
        <v>51</v>
      </c>
      <c r="AL150" s="118">
        <f t="shared" si="42"/>
        <v>51</v>
      </c>
      <c r="AM150" s="493" t="s">
        <v>673</v>
      </c>
    </row>
    <row r="151">
      <c r="A151" s="494" t="s">
        <v>1408</v>
      </c>
      <c r="B151" s="75">
        <f>COUNTIFS(GERAL!B$8:B$1696,A151,GERAL!C$8:C$1696,"ESCOLA")</f>
        <v>1</v>
      </c>
      <c r="C151" s="75">
        <f>COUNTIFS(GERAL!B$8:B$1696,A151,GERAL!C$8:C$1696,"ANEXO")</f>
        <v>0</v>
      </c>
      <c r="D151" s="85">
        <f>SUMIF(GERAL!B$8:B$1696,A151,GERAL!Z$8:Z$1696)</f>
        <v>0</v>
      </c>
      <c r="E151" s="85">
        <f>SUMIF(GERAL!B$8:B$1696,A151,GERAL!AE$8:AE$1696)</f>
        <v>0</v>
      </c>
      <c r="F151" s="85">
        <f>SUMIF(GERAL!B$8:B$1696,A151,GERAL!AJ$8:AJ$1696)</f>
        <v>310</v>
      </c>
      <c r="G151" s="85">
        <f>SUMIF(GERAL!B$8:B$1696,A151,GERAL!AN$8:AN$1696)</f>
        <v>0</v>
      </c>
      <c r="H151" s="85">
        <f>SUMIF(GERAL!B$8:B$1696,A151,GERAL!AR$8:AW$1696)</f>
        <v>59</v>
      </c>
      <c r="I151" s="85">
        <f>SUMIF(GERAL!B$8:B$1696,A151,GERAL!AW$8:AW$1696)</f>
        <v>23</v>
      </c>
      <c r="J151" s="75">
        <f>SUMIF(GERAL!B$8:B$1696,A151,GERAL!AX$8:AX$1696)</f>
        <v>392</v>
      </c>
      <c r="K151" s="75">
        <f>COUNTIFS(GERAL!B$8:B$1696,A151,GERAL!AY$8:AY$1696,"&gt;0",GERAL!C$8:C$1696,"ESCOLA")</f>
        <v>1</v>
      </c>
      <c r="L151" s="75">
        <f>COUNTIFS(GERAL!B$8:B$1696,A151,GERAL!AY$8:AY$1696,"&gt;0",GERAL!C$8:C$1696,"ANEXO")</f>
        <v>0</v>
      </c>
      <c r="M151" s="100">
        <f>SUMIF(GERAL!B$8:B$1696,A151,GERAL!V$8:V$1696)+SUMIF(GERAL!B$8:B$1696,A151,GERAL!W$8:W$1696)</f>
        <v>0</v>
      </c>
      <c r="N151" s="100">
        <f>SUMIF(GERAL!B$8:B$1696,A151,GERAL!AA$8:AA$1696)+SUMIF(GERAL!B$8:B$1696,A151,GERAL!AB$8:AB$1696)</f>
        <v>0</v>
      </c>
      <c r="O151" s="100">
        <f>SUMIF(GERAL!B$8:B$1696,A151,GERAL!AF$8:AF$1696)+SUMIF(GERAL!B$8:B$1696,A151,GERAL!AG$8:AG$1696)</f>
        <v>156</v>
      </c>
      <c r="P151" s="100">
        <f>SUMIF(GERAL!B$8:B$1696,A151,GERAL!AK$8:AK$1696)+SUMIF(GERAL!B$8:B$1696,A151,GERAL!AL$8:AL$1696)</f>
        <v>0</v>
      </c>
      <c r="Q151" s="100">
        <f>SUMIF(GERAL!B$8:B$1696,A151,GERAL!AO$8:AO$1696)+SUMIF(GERAL!B$8:B$1696,A151,GERAL!AP$8:AP$1696)</f>
        <v>0</v>
      </c>
      <c r="R151" s="100">
        <f>SUMIF(GERAL!B$8:B$1696,A151,GERAL!AS$8:AS$1696)+SUMIF(GERAL!B$8:B$1696,A151,GERAL!AT$8:AT$1696)</f>
        <v>23</v>
      </c>
      <c r="S151" s="75">
        <f t="shared" si="39"/>
        <v>179</v>
      </c>
      <c r="T151" s="116">
        <f>COUNTIFS(GERAL!B$8:B$1696,A151,GERAL!AZ$8:AZ$1696,"&gt;0",GERAL!C$8:C$1696,"ESCOLA")</f>
        <v>1</v>
      </c>
      <c r="U151" s="75">
        <f>COUNTIFS(GERAL!B$8:B$1696,A151,GERAL!AZ$8:AZ$1696,"&gt;0",GERAL!C$8:C$1696,"ANEXO")</f>
        <v>0</v>
      </c>
      <c r="V151" s="85">
        <f>SUMIF(GERAL!B$8:B$1696,A151,GERAL!AH$8:AH$1696)</f>
        <v>0</v>
      </c>
      <c r="W151" s="85">
        <f>SUMIF(GERAL!B$8:B$1696,A151,GERAL!AM$8:AM$1696)</f>
        <v>0</v>
      </c>
      <c r="X151" s="85">
        <f>SUMIF(GERAL!B$8:B$1696,A151,GERAL!AQ$8:AQ$1696)</f>
        <v>59</v>
      </c>
      <c r="Y151" s="85">
        <f>SUMIF(GERAL!B$8:B$1696,A151,GERAL!AU$8:AU$1696)</f>
        <v>0</v>
      </c>
      <c r="Z151" s="88">
        <f t="shared" si="40"/>
        <v>59</v>
      </c>
      <c r="AA151" s="116">
        <f>COUNTIFS(GERAL!B$8:B$1696,A151,GERAL!BK$8:BK$1696,"&gt;0",GERAL!C$8:C$1696,"ESCOLA")</f>
        <v>1</v>
      </c>
      <c r="AB151" s="88">
        <f>COUNTIFS(GERAL!B$8:B$1696,A151,GERAL!BK$8:BK$1696,"&gt;0",GERAL!C$8:C$1696,"ANEXO")</f>
        <v>0</v>
      </c>
      <c r="AC151" s="121">
        <f>SUMIF(GERAL!B$8:B$1696,A151,GERAL!AD$8:AD$1696)</f>
        <v>0</v>
      </c>
      <c r="AD151" s="121">
        <f>SUMIF(GERAL!B$8:B$1696,A151,GERAL!AI$8:AI$1696)</f>
        <v>154</v>
      </c>
      <c r="AE151" s="121">
        <f>SUMIF(GERAL!B$8:B$1696,A151,GERAL!AV$8:AV$1696)</f>
        <v>0</v>
      </c>
      <c r="AF151" s="492">
        <f t="shared" si="41"/>
        <v>154</v>
      </c>
      <c r="AG151" s="178">
        <f>COUNTIFS(GERAL!B$8:B$1696,A151,GERAL!AW$8:AW$1696,"&gt;0",GERAL!C$8:C$1696,"ESCOLA")</f>
        <v>1</v>
      </c>
      <c r="AH151" s="118">
        <f>COUNTIFS(GERAL!B$8:B$1696,A151,GERAL!AW$8:AW$1696,"&gt;0",GERAL!C$8:C$1696,"ANEXO")</f>
        <v>0</v>
      </c>
      <c r="AI151" s="177">
        <f>SUMIF(GERAL!B$8:B$1696,A151,GERAL!AS$8:AS$1696)+SUMIF(GERAL!B$8:B$1696,A151,GERAL!AT$8:AT$1696)</f>
        <v>23</v>
      </c>
      <c r="AJ151" s="177">
        <f>SUMIF(GERAL!B$8:B$1696,A151,GERAL!AU$8:AU$1696)</f>
        <v>0</v>
      </c>
      <c r="AK151" s="177">
        <f>SUMIF(GERAL!B$8:B$1696,A151,GERAL!AV$8:AV$1696)</f>
        <v>0</v>
      </c>
      <c r="AL151" s="118">
        <f t="shared" si="42"/>
        <v>23</v>
      </c>
      <c r="AM151" s="493" t="s">
        <v>451</v>
      </c>
    </row>
    <row r="152">
      <c r="A152" s="484" t="s">
        <v>2030</v>
      </c>
      <c r="B152" s="75">
        <f>COUNTIFS(GERAL!B$8:B$1696,A152,GERAL!C$8:C$1696,"ESCOLA")</f>
        <v>1</v>
      </c>
      <c r="C152" s="75">
        <f>COUNTIFS(GERAL!B$8:B$1696,A152,GERAL!C$8:C$1696,"ANEXO")</f>
        <v>0</v>
      </c>
      <c r="D152" s="85">
        <f>SUMIF(GERAL!B$8:B$1696,A152,GERAL!Z$8:Z$1696)</f>
        <v>0</v>
      </c>
      <c r="E152" s="85">
        <f>SUMIF(GERAL!B$8:B$1696,A152,GERAL!AE$8:AE$1696)</f>
        <v>0</v>
      </c>
      <c r="F152" s="85">
        <f>SUMIF(GERAL!B$8:B$1696,A152,GERAL!AJ$8:AJ$1696)</f>
        <v>406</v>
      </c>
      <c r="G152" s="85">
        <f>SUMIF(GERAL!B$8:B$1696,A152,GERAL!AN$8:AN$1696)</f>
        <v>0</v>
      </c>
      <c r="H152" s="85">
        <f>SUMIF(GERAL!B$8:B$1696,A152,GERAL!AR$8:AW$1696)</f>
        <v>67</v>
      </c>
      <c r="I152" s="85">
        <f>SUMIF(GERAL!B$8:B$1696,A152,GERAL!AW$8:AW$1696)</f>
        <v>849</v>
      </c>
      <c r="J152" s="75">
        <f>SUMIF(GERAL!B$8:B$1696,A152,GERAL!AX$8:AX$1696)</f>
        <v>1322</v>
      </c>
      <c r="K152" s="75">
        <f>COUNTIFS(GERAL!B$8:B$1696,A152,GERAL!AY$8:AY$1696,"&gt;0",GERAL!C$8:C$1696,"ESCOLA")</f>
        <v>1</v>
      </c>
      <c r="L152" s="75">
        <f>COUNTIFS(GERAL!B$8:B$1696,A152,GERAL!AY$8:AY$1696,"&gt;0",GERAL!C$8:C$1696,"ANEXO")</f>
        <v>0</v>
      </c>
      <c r="M152" s="100">
        <f>SUMIF(GERAL!B$8:B$1696,A152,GERAL!V$8:V$1696)+SUMIF(GERAL!B$8:B$1696,A152,GERAL!W$8:W$1696)</f>
        <v>0</v>
      </c>
      <c r="N152" s="100">
        <f>SUMIF(GERAL!B$8:B$1696,A152,GERAL!AA$8:AA$1696)+SUMIF(GERAL!B$8:B$1696,A152,GERAL!AB$8:AB$1696)</f>
        <v>0</v>
      </c>
      <c r="O152" s="100">
        <f>SUMIF(GERAL!B$8:B$1696,A152,GERAL!AF$8:AF$1696)+SUMIF(GERAL!B$8:B$1696,A152,GERAL!AG$8:AG$1696)</f>
        <v>58</v>
      </c>
      <c r="P152" s="100">
        <f>SUMIF(GERAL!B$8:B$1696,A152,GERAL!AK$8:AK$1696)+SUMIF(GERAL!B$8:B$1696,A152,GERAL!AL$8:AL$1696)</f>
        <v>0</v>
      </c>
      <c r="Q152" s="100">
        <f>SUMIF(GERAL!B$8:B$1696,A152,GERAL!AO$8:AO$1696)+SUMIF(GERAL!B$8:B$1696,A152,GERAL!AP$8:AP$1696)</f>
        <v>0</v>
      </c>
      <c r="R152" s="100">
        <f>SUMIF(GERAL!B$8:B$1696,A152,GERAL!AS$8:AS$1696)+SUMIF(GERAL!B$8:B$1696,A152,GERAL!AT$8:AT$1696)</f>
        <v>601</v>
      </c>
      <c r="S152" s="75">
        <f t="shared" si="39"/>
        <v>659</v>
      </c>
      <c r="T152" s="116">
        <f>COUNTIFS(GERAL!B$8:B$1696,A152,GERAL!AZ$8:AZ$1696,"&gt;0",GERAL!C$8:C$1696,"ESCOLA")</f>
        <v>1</v>
      </c>
      <c r="U152" s="75">
        <f>COUNTIFS(GERAL!B$8:B$1696,A152,GERAL!AZ$8:AZ$1696,"&gt;0",GERAL!C$8:C$1696,"ANEXO")</f>
        <v>0</v>
      </c>
      <c r="V152" s="85">
        <f>SUMIF(GERAL!B$8:B$1696,A152,GERAL!AH$8:AH$1696)</f>
        <v>0</v>
      </c>
      <c r="W152" s="85">
        <f>SUMIF(GERAL!B$8:B$1696,A152,GERAL!AM$8:AM$1696)</f>
        <v>0</v>
      </c>
      <c r="X152" s="85">
        <f>SUMIF(GERAL!B$8:B$1696,A152,GERAL!AQ$8:AQ$1696)</f>
        <v>67</v>
      </c>
      <c r="Y152" s="85">
        <f>SUMIF(GERAL!B$8:B$1696,A152,GERAL!AU$8:AU$1696)</f>
        <v>164</v>
      </c>
      <c r="Z152" s="88">
        <f t="shared" si="40"/>
        <v>231</v>
      </c>
      <c r="AA152" s="116">
        <f>COUNTIFS(GERAL!B$8:B$1696,A152,GERAL!BK$8:BK$1696,"&gt;0",GERAL!C$8:C$1696,"ESCOLA")</f>
        <v>1</v>
      </c>
      <c r="AB152" s="88">
        <f>COUNTIFS(GERAL!B$8:B$1696,A152,GERAL!BK$8:BK$1696,"&gt;0",GERAL!C$8:C$1696,"ANEXO")</f>
        <v>0</v>
      </c>
      <c r="AC152" s="121">
        <f>SUMIF(GERAL!B$8:B$1696,A152,GERAL!AD$8:AD$1696)</f>
        <v>0</v>
      </c>
      <c r="AD152" s="121">
        <f>SUMIF(GERAL!B$8:B$1696,A152,GERAL!AI$8:AI$1696)</f>
        <v>348</v>
      </c>
      <c r="AE152" s="121">
        <f>SUMIF(GERAL!B$8:B$1696,A152,GERAL!AV$8:AV$1696)</f>
        <v>84</v>
      </c>
      <c r="AF152" s="492">
        <f t="shared" si="41"/>
        <v>432</v>
      </c>
      <c r="AG152" s="178">
        <f>COUNTIFS(GERAL!B$8:B$1696,A152,GERAL!AW$8:AW$1696,"&gt;0",GERAL!C$8:C$1696,"ESCOLA")</f>
        <v>1</v>
      </c>
      <c r="AH152" s="118">
        <f>COUNTIFS(GERAL!B$8:B$1696,A152,GERAL!AW$8:AW$1696,"&gt;0",GERAL!C$8:C$1696,"ANEXO")</f>
        <v>0</v>
      </c>
      <c r="AI152" s="177">
        <f>SUMIF(GERAL!B$8:B$1696,A152,GERAL!AS$8:AS$1696)+SUMIF(GERAL!B$8:B$1696,A152,GERAL!AT$8:AT$1696)</f>
        <v>601</v>
      </c>
      <c r="AJ152" s="177">
        <f>SUMIF(GERAL!B$8:B$1696,A152,GERAL!AU$8:AU$1696)</f>
        <v>164</v>
      </c>
      <c r="AK152" s="177">
        <f>SUMIF(GERAL!B$8:B$1696,A152,GERAL!AV$8:AV$1696)</f>
        <v>84</v>
      </c>
      <c r="AL152" s="118">
        <f t="shared" si="42"/>
        <v>849</v>
      </c>
      <c r="AM152" s="493" t="s">
        <v>860</v>
      </c>
    </row>
    <row r="153">
      <c r="A153" s="494" t="s">
        <v>1716</v>
      </c>
      <c r="B153" s="75">
        <f>COUNTIFS(GERAL!B$8:B$1696,A153,GERAL!C$8:C$1696,"ESCOLA")</f>
        <v>2</v>
      </c>
      <c r="C153" s="75">
        <f>COUNTIFS(GERAL!B$8:B$1696,A153,GERAL!C$8:C$1696,"ANEXO")</f>
        <v>0</v>
      </c>
      <c r="D153" s="85">
        <f>SUMIF(GERAL!B$8:B$1696,A153,GERAL!Z$8:Z$1696)</f>
        <v>0</v>
      </c>
      <c r="E153" s="85">
        <f>SUMIF(GERAL!B$8:B$1696,A153,GERAL!AE$8:AE$1696)</f>
        <v>0</v>
      </c>
      <c r="F153" s="85">
        <f>SUMIF(GERAL!B$8:B$1696,A153,GERAL!AJ$8:AJ$1696)</f>
        <v>457</v>
      </c>
      <c r="G153" s="85">
        <f>SUMIF(GERAL!B$8:B$1696,A153,GERAL!AN$8:AN$1696)</f>
        <v>0</v>
      </c>
      <c r="H153" s="85">
        <f>SUMIF(GERAL!B$8:B$1696,A153,GERAL!AR$8:AW$1696)</f>
        <v>237</v>
      </c>
      <c r="I153" s="85">
        <f>SUMIF(GERAL!B$8:B$1696,A153,GERAL!AW$8:AW$1696)</f>
        <v>1008</v>
      </c>
      <c r="J153" s="75">
        <f>SUMIF(GERAL!B$8:B$1696,A153,GERAL!AX$8:AX$1696)</f>
        <v>1702</v>
      </c>
      <c r="K153" s="75">
        <f>COUNTIFS(GERAL!B$8:B$1696,A153,GERAL!AY$8:AY$1696,"&gt;0",GERAL!C$8:C$1696,"ESCOLA")</f>
        <v>2</v>
      </c>
      <c r="L153" s="75">
        <f>COUNTIFS(GERAL!B$8:B$1696,A153,GERAL!AY$8:AY$1696,"&gt;0",GERAL!C$8:C$1696,"ANEXO")</f>
        <v>0</v>
      </c>
      <c r="M153" s="100">
        <f>SUMIF(GERAL!B$8:B$1696,A153,GERAL!V$8:V$1696)+SUMIF(GERAL!B$8:B$1696,A153,GERAL!W$8:W$1696)</f>
        <v>0</v>
      </c>
      <c r="N153" s="100">
        <f>SUMIF(GERAL!B$8:B$1696,A153,GERAL!AA$8:AA$1696)+SUMIF(GERAL!B$8:B$1696,A153,GERAL!AB$8:AB$1696)</f>
        <v>0</v>
      </c>
      <c r="O153" s="100">
        <f>SUMIF(GERAL!B$8:B$1696,A153,GERAL!AF$8:AF$1696)+SUMIF(GERAL!B$8:B$1696,A153,GERAL!AG$8:AG$1696)</f>
        <v>0</v>
      </c>
      <c r="P153" s="100">
        <f>SUMIF(GERAL!B$8:B$1696,A153,GERAL!AK$8:AK$1696)+SUMIF(GERAL!B$8:B$1696,A153,GERAL!AL$8:AL$1696)</f>
        <v>0</v>
      </c>
      <c r="Q153" s="100">
        <f>SUMIF(GERAL!B$8:B$1696,A153,GERAL!AO$8:AO$1696)+SUMIF(GERAL!B$8:B$1696,A153,GERAL!AP$8:AP$1696)</f>
        <v>0</v>
      </c>
      <c r="R153" s="100">
        <f>SUMIF(GERAL!B$8:B$1696,A153,GERAL!AS$8:AS$1696)+SUMIF(GERAL!B$8:B$1696,A153,GERAL!AT$8:AT$1696)</f>
        <v>855</v>
      </c>
      <c r="S153" s="75">
        <f t="shared" si="39"/>
        <v>855</v>
      </c>
      <c r="T153" s="116">
        <f>COUNTIFS(GERAL!B$8:B$1696,A153,GERAL!AZ$8:AZ$1696,"&gt;0",GERAL!C$8:C$1696,"ESCOLA")</f>
        <v>2</v>
      </c>
      <c r="U153" s="75">
        <f>COUNTIFS(GERAL!B$8:B$1696,A153,GERAL!AZ$8:AZ$1696,"&gt;0",GERAL!C$8:C$1696,"ANEXO")</f>
        <v>0</v>
      </c>
      <c r="V153" s="85">
        <f>SUMIF(GERAL!B$8:B$1696,A153,GERAL!AH$8:AH$1696)</f>
        <v>0</v>
      </c>
      <c r="W153" s="85">
        <f>SUMIF(GERAL!B$8:B$1696,A153,GERAL!AM$8:AM$1696)</f>
        <v>0</v>
      </c>
      <c r="X153" s="85">
        <f>SUMIF(GERAL!B$8:B$1696,A153,GERAL!AQ$8:AQ$1696)</f>
        <v>237</v>
      </c>
      <c r="Y153" s="85">
        <f>SUMIF(GERAL!B$8:B$1696,A153,GERAL!AU$8:AU$1696)</f>
        <v>153</v>
      </c>
      <c r="Z153" s="88">
        <f t="shared" si="40"/>
        <v>390</v>
      </c>
      <c r="AA153" s="116">
        <f>COUNTIFS(GERAL!B$8:B$1696,A153,GERAL!BK$8:BK$1696,"&gt;0",GERAL!C$8:C$1696,"ESCOLA")</f>
        <v>1</v>
      </c>
      <c r="AB153" s="88">
        <f>COUNTIFS(GERAL!B$8:B$1696,A153,GERAL!BK$8:BK$1696,"&gt;0",GERAL!C$8:C$1696,"ANEXO")</f>
        <v>0</v>
      </c>
      <c r="AC153" s="121">
        <f>SUMIF(GERAL!B$8:B$1696,A153,GERAL!AD$8:AD$1696)</f>
        <v>0</v>
      </c>
      <c r="AD153" s="121">
        <f>SUMIF(GERAL!B$8:B$1696,A153,GERAL!AI$8:AI$1696)</f>
        <v>457</v>
      </c>
      <c r="AE153" s="121">
        <f>SUMIF(GERAL!B$8:B$1696,A153,GERAL!AV$8:AV$1696)</f>
        <v>0</v>
      </c>
      <c r="AF153" s="492">
        <f t="shared" si="41"/>
        <v>457</v>
      </c>
      <c r="AG153" s="178">
        <f>COUNTIFS(GERAL!B$8:B$1696,A153,GERAL!AW$8:AW$1696,"&gt;0",GERAL!C$8:C$1696,"ESCOLA")</f>
        <v>1</v>
      </c>
      <c r="AH153" s="118">
        <f>COUNTIFS(GERAL!B$8:B$1696,A153,GERAL!AW$8:AW$1696,"&gt;0",GERAL!C$8:C$1696,"ANEXO")</f>
        <v>0</v>
      </c>
      <c r="AI153" s="177">
        <f>SUMIF(GERAL!B$8:B$1696,A153,GERAL!AS$8:AS$1696)+SUMIF(GERAL!B$8:B$1696,A153,GERAL!AT$8:AT$1696)</f>
        <v>855</v>
      </c>
      <c r="AJ153" s="177">
        <f>SUMIF(GERAL!B$8:B$1696,A153,GERAL!AU$8:AU$1696)</f>
        <v>153</v>
      </c>
      <c r="AK153" s="177">
        <f>SUMIF(GERAL!B$8:B$1696,A153,GERAL!AV$8:AV$1696)</f>
        <v>0</v>
      </c>
      <c r="AL153" s="118">
        <f t="shared" si="42"/>
        <v>1008</v>
      </c>
      <c r="AM153" s="493" t="s">
        <v>540</v>
      </c>
    </row>
    <row r="154">
      <c r="A154" s="484" t="s">
        <v>4553</v>
      </c>
      <c r="B154" s="75">
        <f>COUNTIFS(GERAL!B$8:B$1696,A154,GERAL!C$8:C$1696,"ESCOLA")</f>
        <v>1</v>
      </c>
      <c r="C154" s="75">
        <f>COUNTIFS(GERAL!B$8:B$1696,A154,GERAL!C$8:C$1696,"ANEXO")</f>
        <v>0</v>
      </c>
      <c r="D154" s="85">
        <f>SUMIF(GERAL!B$8:B$1696,A154,GERAL!Z$8:Z$1696)</f>
        <v>0</v>
      </c>
      <c r="E154" s="85">
        <f>SUMIF(GERAL!B$8:B$1696,A154,GERAL!AE$8:AE$1696)</f>
        <v>0</v>
      </c>
      <c r="F154" s="85">
        <f>SUMIF(GERAL!B$8:B$1696,A154,GERAL!AJ$8:AJ$1696)</f>
        <v>91</v>
      </c>
      <c r="G154" s="85">
        <f>SUMIF(GERAL!B$8:B$1696,A154,GERAL!AN$8:AN$1696)</f>
        <v>0</v>
      </c>
      <c r="H154" s="85">
        <f>SUMIF(GERAL!B$8:B$1696,A154,GERAL!AR$8:AW$1696)</f>
        <v>38</v>
      </c>
      <c r="I154" s="85">
        <f>SUMIF(GERAL!B$8:B$1696,A154,GERAL!AW$8:AW$1696)</f>
        <v>37</v>
      </c>
      <c r="J154" s="75">
        <f>SUMIF(GERAL!B$8:B$1696,A154,GERAL!AX$8:AX$1696)</f>
        <v>166</v>
      </c>
      <c r="K154" s="75">
        <f>COUNTIFS(GERAL!B$8:B$1696,A154,GERAL!AY$8:AY$1696,"&gt;0",GERAL!C$8:C$1696,"ESCOLA")</f>
        <v>1</v>
      </c>
      <c r="L154" s="75">
        <f>COUNTIFS(GERAL!B$8:B$1696,A154,GERAL!AY$8:AY$1696,"&gt;0",GERAL!C$8:C$1696,"ANEXO")</f>
        <v>0</v>
      </c>
      <c r="M154" s="100">
        <f>SUMIF(GERAL!B$8:B$1696,A154,GERAL!V$8:V$1696)+SUMIF(GERAL!B$8:B$1696,A154,GERAL!W$8:W$1696)</f>
        <v>0</v>
      </c>
      <c r="N154" s="100">
        <f>SUMIF(GERAL!B$8:B$1696,A154,GERAL!AA$8:AA$1696)+SUMIF(GERAL!B$8:B$1696,A154,GERAL!AB$8:AB$1696)</f>
        <v>0</v>
      </c>
      <c r="O154" s="100">
        <f>SUMIF(GERAL!B$8:B$1696,A154,GERAL!AF$8:AF$1696)+SUMIF(GERAL!B$8:B$1696,A154,GERAL!AG$8:AG$1696)</f>
        <v>52</v>
      </c>
      <c r="P154" s="100">
        <f>SUMIF(GERAL!B$8:B$1696,A154,GERAL!AK$8:AK$1696)+SUMIF(GERAL!B$8:B$1696,A154,GERAL!AL$8:AL$1696)</f>
        <v>0</v>
      </c>
      <c r="Q154" s="100">
        <f>SUMIF(GERAL!B$8:B$1696,A154,GERAL!AO$8:AO$1696)+SUMIF(GERAL!B$8:B$1696,A154,GERAL!AP$8:AP$1696)</f>
        <v>0</v>
      </c>
      <c r="R154" s="100">
        <f>SUMIF(GERAL!B$8:B$1696,A154,GERAL!AS$8:AS$1696)+SUMIF(GERAL!B$8:B$1696,A154,GERAL!AT$8:AT$1696)</f>
        <v>11</v>
      </c>
      <c r="S154" s="75">
        <f t="shared" si="39"/>
        <v>63</v>
      </c>
      <c r="T154" s="116">
        <f>COUNTIFS(GERAL!B$8:B$1696,A154,GERAL!AZ$8:AZ$1696,"&gt;0",GERAL!C$8:C$1696,"ESCOLA")</f>
        <v>1</v>
      </c>
      <c r="U154" s="75">
        <f>COUNTIFS(GERAL!B$8:B$1696,A154,GERAL!AZ$8:AZ$1696,"&gt;0",GERAL!C$8:C$1696,"ANEXO")</f>
        <v>0</v>
      </c>
      <c r="V154" s="85">
        <f>SUMIF(GERAL!B$8:B$1696,A154,GERAL!AH$8:AH$1696)</f>
        <v>0</v>
      </c>
      <c r="W154" s="85">
        <f>SUMIF(GERAL!B$8:B$1696,A154,GERAL!AM$8:AM$1696)</f>
        <v>0</v>
      </c>
      <c r="X154" s="85">
        <f>SUMIF(GERAL!B$8:B$1696,A154,GERAL!AQ$8:AQ$1696)</f>
        <v>38</v>
      </c>
      <c r="Y154" s="85">
        <f>SUMIF(GERAL!B$8:B$1696,A154,GERAL!AU$8:AU$1696)</f>
        <v>26</v>
      </c>
      <c r="Z154" s="88">
        <f t="shared" si="40"/>
        <v>64</v>
      </c>
      <c r="AA154" s="116">
        <f>COUNTIFS(GERAL!B$8:B$1696,A154,GERAL!BK$8:BK$1696,"&gt;0",GERAL!C$8:C$1696,"ESCOLA")</f>
        <v>1</v>
      </c>
      <c r="AB154" s="88">
        <f>COUNTIFS(GERAL!B$8:B$1696,A154,GERAL!BK$8:BK$1696,"&gt;0",GERAL!C$8:C$1696,"ANEXO")</f>
        <v>0</v>
      </c>
      <c r="AC154" s="121">
        <f>SUMIF(GERAL!B$8:B$1696,A154,GERAL!AD$8:AD$1696)</f>
        <v>0</v>
      </c>
      <c r="AD154" s="121">
        <f>SUMIF(GERAL!B$8:B$1696,A154,GERAL!AI$8:AI$1696)</f>
        <v>39</v>
      </c>
      <c r="AE154" s="121">
        <f>SUMIF(GERAL!B$8:B$1696,A154,GERAL!AV$8:AV$1696)</f>
        <v>0</v>
      </c>
      <c r="AF154" s="492">
        <f t="shared" si="41"/>
        <v>39</v>
      </c>
      <c r="AG154" s="178">
        <f>COUNTIFS(GERAL!B$8:B$1696,A154,GERAL!AW$8:AW$1696,"&gt;0",GERAL!C$8:C$1696,"ESCOLA")</f>
        <v>1</v>
      </c>
      <c r="AH154" s="118">
        <f>COUNTIFS(GERAL!B$8:B$1696,A154,GERAL!AW$8:AW$1696,"&gt;0",GERAL!C$8:C$1696,"ANEXO")</f>
        <v>0</v>
      </c>
      <c r="AI154" s="177">
        <f>SUMIF(GERAL!B$8:B$1696,A154,GERAL!AS$8:AS$1696)+SUMIF(GERAL!B$8:B$1696,A154,GERAL!AT$8:AT$1696)</f>
        <v>11</v>
      </c>
      <c r="AJ154" s="177">
        <f>SUMIF(GERAL!B$8:B$1696,A154,GERAL!AU$8:AU$1696)</f>
        <v>26</v>
      </c>
      <c r="AK154" s="177">
        <f>SUMIF(GERAL!B$8:B$1696,A154,GERAL!AV$8:AV$1696)</f>
        <v>0</v>
      </c>
      <c r="AL154" s="118">
        <f t="shared" si="42"/>
        <v>37</v>
      </c>
      <c r="AM154" s="493" t="s">
        <v>1090</v>
      </c>
    </row>
    <row r="155">
      <c r="A155" s="494" t="s">
        <v>233</v>
      </c>
      <c r="B155" s="75">
        <f>COUNTIFS(GERAL!B$8:B$1696,A155,GERAL!C$8:C$1696,"ESCOLA")</f>
        <v>1</v>
      </c>
      <c r="C155" s="75">
        <f>COUNTIFS(GERAL!B$8:B$1696,A155,GERAL!C$8:C$1696,"ANEXO")</f>
        <v>3</v>
      </c>
      <c r="D155" s="85">
        <f>SUMIF(GERAL!B$8:B$1696,A155,GERAL!Z$8:Z$1696)</f>
        <v>0</v>
      </c>
      <c r="E155" s="85">
        <f>SUMIF(GERAL!B$8:B$1696,A155,GERAL!AE$8:AE$1696)</f>
        <v>0</v>
      </c>
      <c r="F155" s="85">
        <f>SUMIF(GERAL!B$8:B$1696,A155,GERAL!AJ$8:AJ$1696)</f>
        <v>253</v>
      </c>
      <c r="G155" s="85">
        <f>SUMIF(GERAL!B$8:B$1696,A155,GERAL!AN$8:AN$1696)</f>
        <v>0</v>
      </c>
      <c r="H155" s="85">
        <f>SUMIF(GERAL!B$8:B$1696,A155,GERAL!AR$8:AW$1696)</f>
        <v>66</v>
      </c>
      <c r="I155" s="85">
        <f>SUMIF(GERAL!B$8:B$1696,A155,GERAL!AW$8:AW$1696)</f>
        <v>113</v>
      </c>
      <c r="J155" s="75">
        <f>SUMIF(GERAL!B$8:B$1696,A155,GERAL!AX$8:AX$1696)</f>
        <v>432</v>
      </c>
      <c r="K155" s="75">
        <f>COUNTIFS(GERAL!B$8:B$1696,A155,GERAL!AY$8:AY$1696,"&gt;0",GERAL!C$8:C$1696,"ESCOLA")</f>
        <v>1</v>
      </c>
      <c r="L155" s="75">
        <f>COUNTIFS(GERAL!B$8:B$1696,A155,GERAL!AY$8:AY$1696,"&gt;0",GERAL!C$8:C$1696,"ANEXO")</f>
        <v>0</v>
      </c>
      <c r="M155" s="100">
        <f>SUMIF(GERAL!B$8:B$1696,A155,GERAL!V$8:V$1696)+SUMIF(GERAL!B$8:B$1696,A155,GERAL!W$8:W$1696)</f>
        <v>0</v>
      </c>
      <c r="N155" s="100">
        <f>SUMIF(GERAL!B$8:B$1696,A155,GERAL!AA$8:AA$1696)+SUMIF(GERAL!B$8:B$1696,A155,GERAL!AB$8:AB$1696)</f>
        <v>0</v>
      </c>
      <c r="O155" s="100">
        <f>SUMIF(GERAL!B$8:B$1696,A155,GERAL!AF$8:AF$1696)+SUMIF(GERAL!B$8:B$1696,A155,GERAL!AG$8:AG$1696)</f>
        <v>0</v>
      </c>
      <c r="P155" s="100">
        <f>SUMIF(GERAL!B$8:B$1696,A155,GERAL!AK$8:AK$1696)+SUMIF(GERAL!B$8:B$1696,A155,GERAL!AL$8:AL$1696)</f>
        <v>0</v>
      </c>
      <c r="Q155" s="100">
        <f>SUMIF(GERAL!B$8:B$1696,A155,GERAL!AO$8:AO$1696)+SUMIF(GERAL!B$8:B$1696,A155,GERAL!AP$8:AP$1696)</f>
        <v>0</v>
      </c>
      <c r="R155" s="100">
        <f>SUMIF(GERAL!B$8:B$1696,A155,GERAL!AS$8:AS$1696)+SUMIF(GERAL!B$8:B$1696,A155,GERAL!AT$8:AT$1696)</f>
        <v>0</v>
      </c>
      <c r="S155" s="75">
        <f t="shared" si="39"/>
        <v>0</v>
      </c>
      <c r="T155" s="116">
        <f>COUNTIFS(GERAL!B$8:B$1696,A155,GERAL!AZ$8:AZ$1696,"&gt;0",GERAL!C$8:C$1696,"ESCOLA")</f>
        <v>1</v>
      </c>
      <c r="U155" s="75">
        <f>COUNTIFS(GERAL!B$8:B$1696,A155,GERAL!AZ$8:AZ$1696,"&gt;0",GERAL!C$8:C$1696,"ANEXO")</f>
        <v>3</v>
      </c>
      <c r="V155" s="85">
        <f>SUMIF(GERAL!B$8:B$1696,A155,GERAL!AH$8:AH$1696)</f>
        <v>112</v>
      </c>
      <c r="W155" s="85">
        <f>SUMIF(GERAL!B$8:B$1696,A155,GERAL!AM$8:AM$1696)</f>
        <v>0</v>
      </c>
      <c r="X155" s="85">
        <f>SUMIF(GERAL!B$8:B$1696,A155,GERAL!AQ$8:AQ$1696)</f>
        <v>66</v>
      </c>
      <c r="Y155" s="85">
        <f>SUMIF(GERAL!B$8:B$1696,A155,GERAL!AU$8:AU$1696)</f>
        <v>14</v>
      </c>
      <c r="Z155" s="88">
        <f t="shared" si="40"/>
        <v>192</v>
      </c>
      <c r="AA155" s="116">
        <f>COUNTIFS(GERAL!B$8:B$1696,A155,GERAL!BK$8:BK$1696,"&gt;0",GERAL!C$8:C$1696,"ESCOLA")</f>
        <v>1</v>
      </c>
      <c r="AB155" s="88">
        <f>COUNTIFS(GERAL!B$8:B$1696,A155,GERAL!BK$8:BK$1696,"&gt;0",GERAL!C$8:C$1696,"ANEXO")</f>
        <v>0</v>
      </c>
      <c r="AC155" s="121">
        <f>SUMIF(GERAL!B$8:B$1696,A155,GERAL!AD$8:AD$1696)</f>
        <v>0</v>
      </c>
      <c r="AD155" s="121">
        <f>SUMIF(GERAL!B$8:B$1696,A155,GERAL!AI$8:AI$1696)</f>
        <v>141</v>
      </c>
      <c r="AE155" s="121">
        <f>SUMIF(GERAL!B$8:B$1696,A155,GERAL!AV$8:AV$1696)</f>
        <v>99</v>
      </c>
      <c r="AF155" s="492">
        <f t="shared" si="41"/>
        <v>240</v>
      </c>
      <c r="AG155" s="178">
        <f>COUNTIFS(GERAL!B$8:B$1696,A155,GERAL!AW$8:AW$1696,"&gt;0",GERAL!C$8:C$1696,"ESCOLA")</f>
        <v>1</v>
      </c>
      <c r="AH155" s="118">
        <f>COUNTIFS(GERAL!B$8:B$1696,A155,GERAL!AW$8:AW$1696,"&gt;0",GERAL!C$8:C$1696,"ANEXO")</f>
        <v>0</v>
      </c>
      <c r="AI155" s="177">
        <f>SUMIF(GERAL!B$8:B$1696,A155,GERAL!AS$8:AS$1696)+SUMIF(GERAL!B$8:B$1696,A155,GERAL!AT$8:AT$1696)</f>
        <v>0</v>
      </c>
      <c r="AJ155" s="177">
        <f>SUMIF(GERAL!B$8:B$1696,A155,GERAL!AU$8:AU$1696)</f>
        <v>14</v>
      </c>
      <c r="AK155" s="177">
        <f>SUMIF(GERAL!B$8:B$1696,A155,GERAL!AV$8:AV$1696)</f>
        <v>99</v>
      </c>
      <c r="AL155" s="118">
        <f t="shared" si="42"/>
        <v>113</v>
      </c>
      <c r="AM155" s="493" t="s">
        <v>130</v>
      </c>
    </row>
    <row r="156">
      <c r="A156" s="484" t="s">
        <v>2381</v>
      </c>
      <c r="B156" s="75">
        <f>COUNTIFS(GERAL!B$8:B$1696,A156,GERAL!C$8:C$1696,"ESCOLA")</f>
        <v>7</v>
      </c>
      <c r="C156" s="75">
        <f>COUNTIFS(GERAL!B$8:B$1696,A156,GERAL!C$8:C$1696,"ANEXO")</f>
        <v>2</v>
      </c>
      <c r="D156" s="85">
        <f>SUMIF(GERAL!B$8:B$1696,A156,GERAL!Z$8:Z$1696)</f>
        <v>113</v>
      </c>
      <c r="E156" s="85">
        <f>SUMIF(GERAL!B$8:B$1696,A156,GERAL!AE$8:AE$1696)</f>
        <v>368</v>
      </c>
      <c r="F156" s="85">
        <f>SUMIF(GERAL!B$8:B$1696,A156,GERAL!AJ$8:AJ$1696)</f>
        <v>458</v>
      </c>
      <c r="G156" s="85">
        <f>SUMIF(GERAL!B$8:B$1696,A156,GERAL!AN$8:AN$1696)</f>
        <v>63</v>
      </c>
      <c r="H156" s="85">
        <f>SUMIF(GERAL!B$8:B$1696,A156,GERAL!AR$8:AW$1696)</f>
        <v>88</v>
      </c>
      <c r="I156" s="85">
        <f>SUMIF(GERAL!B$8:B$1696,A156,GERAL!AW$8:AW$1696)</f>
        <v>87</v>
      </c>
      <c r="J156" s="75">
        <f>SUMIF(GERAL!B$8:B$1696,A156,GERAL!AX$8:AX$1696)</f>
        <v>1177</v>
      </c>
      <c r="K156" s="75">
        <f>COUNTIFS(GERAL!B$8:B$1696,A156,GERAL!AY$8:AY$1696,"&gt;0",GERAL!C$8:C$1696,"ESCOLA")</f>
        <v>7</v>
      </c>
      <c r="L156" s="75">
        <f>COUNTIFS(GERAL!B$8:B$1696,A156,GERAL!AY$8:AY$1696,"&gt;0",GERAL!C$8:C$1696,"ANEXO")</f>
        <v>2</v>
      </c>
      <c r="M156" s="100">
        <f>SUMIF(GERAL!B$8:B$1696,A156,GERAL!V$8:V$1696)+SUMIF(GERAL!B$8:B$1696,A156,GERAL!W$8:W$1696)</f>
        <v>113</v>
      </c>
      <c r="N156" s="100">
        <f>SUMIF(GERAL!B$8:B$1696,A156,GERAL!AA$8:AA$1696)+SUMIF(GERAL!B$8:B$1696,A156,GERAL!AB$8:AB$1696)</f>
        <v>368</v>
      </c>
      <c r="O156" s="100">
        <f>SUMIF(GERAL!B$8:B$1696,A156,GERAL!AF$8:AF$1696)+SUMIF(GERAL!B$8:B$1696,A156,GERAL!AG$8:AG$1696)</f>
        <v>417</v>
      </c>
      <c r="P156" s="100">
        <f>SUMIF(GERAL!B$8:B$1696,A156,GERAL!AK$8:AK$1696)+SUMIF(GERAL!B$8:B$1696,A156,GERAL!AL$8:AL$1696)</f>
        <v>0</v>
      </c>
      <c r="Q156" s="100">
        <f>SUMIF(GERAL!B$8:B$1696,A156,GERAL!AO$8:AO$1696)+SUMIF(GERAL!B$8:B$1696,A156,GERAL!AP$8:AP$1696)</f>
        <v>0</v>
      </c>
      <c r="R156" s="100">
        <f>SUMIF(GERAL!B$8:B$1696,A156,GERAL!AS$8:AS$1696)+SUMIF(GERAL!B$8:B$1696,A156,GERAL!AT$8:AT$1696)</f>
        <v>0</v>
      </c>
      <c r="S156" s="75">
        <f t="shared" si="39"/>
        <v>898</v>
      </c>
      <c r="T156" s="116">
        <f>COUNTIFS(GERAL!B$8:B$1696,A156,GERAL!AZ$8:AZ$1696,"&gt;0",GERAL!C$8:C$1696,"ESCOLA")</f>
        <v>5</v>
      </c>
      <c r="U156" s="75">
        <f>COUNTIFS(GERAL!B$8:B$1696,A156,GERAL!AZ$8:AZ$1696,"&gt;0",GERAL!C$8:C$1696,"ANEXO")</f>
        <v>1</v>
      </c>
      <c r="V156" s="85">
        <f>SUMIF(GERAL!B$8:B$1696,A156,GERAL!AH$8:AH$1696)</f>
        <v>33</v>
      </c>
      <c r="W156" s="85">
        <f>SUMIF(GERAL!B$8:B$1696,A156,GERAL!AM$8:AM$1696)</f>
        <v>63</v>
      </c>
      <c r="X156" s="85">
        <f>SUMIF(GERAL!B$8:B$1696,A156,GERAL!AQ$8:AQ$1696)</f>
        <v>88</v>
      </c>
      <c r="Y156" s="85">
        <f>SUMIF(GERAL!B$8:B$1696,A156,GERAL!AU$8:AU$1696)</f>
        <v>24</v>
      </c>
      <c r="Z156" s="88">
        <f t="shared" si="40"/>
        <v>208</v>
      </c>
      <c r="AA156" s="116">
        <f>COUNTIFS(GERAL!B$8:B$1696,A156,GERAL!BK$8:BK$1696,"&gt;0",GERAL!C$8:C$1696,"ESCOLA")</f>
        <v>1</v>
      </c>
      <c r="AB156" s="88">
        <f>COUNTIFS(GERAL!B$8:B$1696,A156,GERAL!BK$8:BK$1696,"&gt;0",GERAL!C$8:C$1696,"ANEXO")</f>
        <v>0</v>
      </c>
      <c r="AC156" s="121">
        <f>SUMIF(GERAL!B$8:B$1696,A156,GERAL!AD$8:AD$1696)</f>
        <v>0</v>
      </c>
      <c r="AD156" s="121">
        <f>SUMIF(GERAL!B$8:B$1696,A156,GERAL!AI$8:AI$1696)</f>
        <v>8</v>
      </c>
      <c r="AE156" s="121">
        <f>SUMIF(GERAL!B$8:B$1696,A156,GERAL!AV$8:AV$1696)</f>
        <v>63</v>
      </c>
      <c r="AF156" s="492">
        <f t="shared" si="41"/>
        <v>71</v>
      </c>
      <c r="AG156" s="178">
        <f>COUNTIFS(GERAL!B$8:B$1696,A156,GERAL!AW$8:AW$1696,"&gt;0",GERAL!C$8:C$1696,"ESCOLA")</f>
        <v>1</v>
      </c>
      <c r="AH156" s="118">
        <f>COUNTIFS(GERAL!B$8:B$1696,A156,GERAL!AW$8:AW$1696,"&gt;0",GERAL!C$8:C$1696,"ANEXO")</f>
        <v>0</v>
      </c>
      <c r="AI156" s="177">
        <f>SUMIF(GERAL!B$8:B$1696,A156,GERAL!AS$8:AS$1696)+SUMIF(GERAL!B$8:B$1696,A156,GERAL!AT$8:AT$1696)</f>
        <v>0</v>
      </c>
      <c r="AJ156" s="177">
        <f>SUMIF(GERAL!B$8:B$1696,A156,GERAL!AU$8:AU$1696)</f>
        <v>24</v>
      </c>
      <c r="AK156" s="177">
        <f>SUMIF(GERAL!B$8:B$1696,A156,GERAL!AV$8:AV$1696)</f>
        <v>63</v>
      </c>
      <c r="AL156" s="118">
        <f t="shared" si="42"/>
        <v>87</v>
      </c>
      <c r="AM156" s="493" t="s">
        <v>1629</v>
      </c>
    </row>
    <row r="157">
      <c r="A157" s="494" t="s">
        <v>6892</v>
      </c>
      <c r="B157" s="75">
        <f>COUNTIFS(GERAL!B$8:B$1696,A157,GERAL!C$8:C$1696,"ESCOLA")</f>
        <v>1</v>
      </c>
      <c r="C157" s="75">
        <f>COUNTIFS(GERAL!B$8:B$1696,A157,GERAL!C$8:C$1696,"ANEXO")</f>
        <v>2</v>
      </c>
      <c r="D157" s="85">
        <f>SUMIF(GERAL!B$8:B$1696,A157,GERAL!Z$8:Z$1696)</f>
        <v>0</v>
      </c>
      <c r="E157" s="85">
        <f>SUMIF(GERAL!B$8:B$1696,A157,GERAL!AE$8:AE$1696)</f>
        <v>0</v>
      </c>
      <c r="F157" s="85">
        <f>SUMIF(GERAL!B$8:B$1696,A157,GERAL!AJ$8:AJ$1696)</f>
        <v>67</v>
      </c>
      <c r="G157" s="85">
        <f>SUMIF(GERAL!B$8:B$1696,A157,GERAL!AN$8:AN$1696)</f>
        <v>0</v>
      </c>
      <c r="H157" s="85">
        <f>SUMIF(GERAL!B$8:B$1696,A157,GERAL!AR$8:AW$1696)</f>
        <v>66</v>
      </c>
      <c r="I157" s="85">
        <f>SUMIF(GERAL!B$8:B$1696,A157,GERAL!AW$8:AW$1696)</f>
        <v>40</v>
      </c>
      <c r="J157" s="75">
        <f>SUMIF(GERAL!B$8:B$1696,A157,GERAL!AX$8:AX$1696)</f>
        <v>173</v>
      </c>
      <c r="K157" s="75">
        <f>COUNTIFS(GERAL!B$8:B$1696,A157,GERAL!AY$8:AY$1696,"&gt;0",GERAL!C$8:C$1696,"ESCOLA")</f>
        <v>1</v>
      </c>
      <c r="L157" s="75">
        <f>COUNTIFS(GERAL!B$8:B$1696,A157,GERAL!AY$8:AY$1696,"&gt;0",GERAL!C$8:C$1696,"ANEXO")</f>
        <v>0</v>
      </c>
      <c r="M157" s="100">
        <f>SUMIF(GERAL!B$8:B$1696,A157,GERAL!V$8:V$1696)+SUMIF(GERAL!B$8:B$1696,A157,GERAL!W$8:W$1696)</f>
        <v>0</v>
      </c>
      <c r="N157" s="100">
        <f>SUMIF(GERAL!B$8:B$1696,A157,GERAL!AA$8:AA$1696)+SUMIF(GERAL!B$8:B$1696,A157,GERAL!AB$8:AB$1696)</f>
        <v>0</v>
      </c>
      <c r="O157" s="100">
        <f>SUMIF(GERAL!B$8:B$1696,A157,GERAL!AF$8:AF$1696)+SUMIF(GERAL!B$8:B$1696,A157,GERAL!AG$8:AG$1696)</f>
        <v>0</v>
      </c>
      <c r="P157" s="100">
        <f>SUMIF(GERAL!B$8:B$1696,A157,GERAL!AK$8:AK$1696)+SUMIF(GERAL!B$8:B$1696,A157,GERAL!AL$8:AL$1696)</f>
        <v>0</v>
      </c>
      <c r="Q157" s="100">
        <f>SUMIF(GERAL!B$8:B$1696,A157,GERAL!AO$8:AO$1696)+SUMIF(GERAL!B$8:B$1696,A157,GERAL!AP$8:AP$1696)</f>
        <v>0</v>
      </c>
      <c r="R157" s="100">
        <f>SUMIF(GERAL!B$8:B$1696,A157,GERAL!AS$8:AS$1696)+SUMIF(GERAL!B$8:B$1696,A157,GERAL!AT$8:AT$1696)</f>
        <v>0</v>
      </c>
      <c r="S157" s="75">
        <f t="shared" si="39"/>
        <v>0</v>
      </c>
      <c r="T157" s="116">
        <f>COUNTIFS(GERAL!B$8:B$1696,A157,GERAL!AZ$8:AZ$1696,"&gt;0",GERAL!C$8:C$1696,"ESCOLA")</f>
        <v>1</v>
      </c>
      <c r="U157" s="75">
        <f>COUNTIFS(GERAL!B$8:B$1696,A157,GERAL!AZ$8:AZ$1696,"&gt;0",GERAL!C$8:C$1696,"ANEXO")</f>
        <v>2</v>
      </c>
      <c r="V157" s="85">
        <f>SUMIF(GERAL!B$8:B$1696,A157,GERAL!AH$8:AH$1696)</f>
        <v>7</v>
      </c>
      <c r="W157" s="85">
        <f>SUMIF(GERAL!B$8:B$1696,A157,GERAL!AM$8:AM$1696)</f>
        <v>0</v>
      </c>
      <c r="X157" s="85">
        <f>SUMIF(GERAL!B$8:B$1696,A157,GERAL!AQ$8:AQ$1696)</f>
        <v>66</v>
      </c>
      <c r="Y157" s="85">
        <f>SUMIF(GERAL!B$8:B$1696,A157,GERAL!AU$8:AU$1696)</f>
        <v>0</v>
      </c>
      <c r="Z157" s="88">
        <f t="shared" si="40"/>
        <v>73</v>
      </c>
      <c r="AA157" s="116">
        <f>COUNTIFS(GERAL!B$8:B$1696,A157,GERAL!BK$8:BK$1696,"&gt;0",GERAL!C$8:C$1696,"ESCOLA")</f>
        <v>1</v>
      </c>
      <c r="AB157" s="88">
        <f>COUNTIFS(GERAL!B$8:B$1696,A157,GERAL!BK$8:BK$1696,"&gt;0",GERAL!C$8:C$1696,"ANEXO")</f>
        <v>0</v>
      </c>
      <c r="AC157" s="121">
        <f>SUMIF(GERAL!B$8:B$1696,A157,GERAL!AD$8:AD$1696)</f>
        <v>0</v>
      </c>
      <c r="AD157" s="121">
        <f>SUMIF(GERAL!B$8:B$1696,A157,GERAL!AI$8:AI$1696)</f>
        <v>60</v>
      </c>
      <c r="AE157" s="121">
        <f>SUMIF(GERAL!B$8:B$1696,A157,GERAL!AV$8:AV$1696)</f>
        <v>40</v>
      </c>
      <c r="AF157" s="492">
        <f t="shared" si="41"/>
        <v>100</v>
      </c>
      <c r="AG157" s="178">
        <f>COUNTIFS(GERAL!B$8:B$1696,A157,GERAL!AW$8:AW$1696,"&gt;0",GERAL!C$8:C$1696,"ESCOLA")</f>
        <v>1</v>
      </c>
      <c r="AH157" s="118">
        <f>COUNTIFS(GERAL!B$8:B$1696,A157,GERAL!AW$8:AW$1696,"&gt;0",GERAL!C$8:C$1696,"ANEXO")</f>
        <v>0</v>
      </c>
      <c r="AI157" s="177">
        <f>SUMIF(GERAL!B$8:B$1696,A157,GERAL!AS$8:AS$1696)+SUMIF(GERAL!B$8:B$1696,A157,GERAL!AT$8:AT$1696)</f>
        <v>0</v>
      </c>
      <c r="AJ157" s="177">
        <f>SUMIF(GERAL!B$8:B$1696,A157,GERAL!AU$8:AU$1696)</f>
        <v>0</v>
      </c>
      <c r="AK157" s="177">
        <f>SUMIF(GERAL!B$8:B$1696,A157,GERAL!AV$8:AV$1696)</f>
        <v>40</v>
      </c>
      <c r="AL157" s="118">
        <f t="shared" si="42"/>
        <v>40</v>
      </c>
      <c r="AM157" s="493" t="s">
        <v>1535</v>
      </c>
    </row>
    <row r="158">
      <c r="A158" s="484" t="s">
        <v>6619</v>
      </c>
      <c r="B158" s="75">
        <f>COUNTIFS(GERAL!B$8:B$1696,A158,GERAL!C$8:C$1696,"ESCOLA")</f>
        <v>1</v>
      </c>
      <c r="C158" s="75">
        <f>COUNTIFS(GERAL!B$8:B$1696,A158,GERAL!C$8:C$1696,"ANEXO")</f>
        <v>1</v>
      </c>
      <c r="D158" s="85">
        <f>SUMIF(GERAL!B$8:B$1696,A158,GERAL!Z$8:Z$1696)</f>
        <v>0</v>
      </c>
      <c r="E158" s="85">
        <f>SUMIF(GERAL!B$8:B$1696,A158,GERAL!AE$8:AE$1696)</f>
        <v>0</v>
      </c>
      <c r="F158" s="85">
        <f>SUMIF(GERAL!B$8:B$1696,A158,GERAL!AJ$8:AJ$1696)</f>
        <v>621</v>
      </c>
      <c r="G158" s="85">
        <f>SUMIF(GERAL!B$8:B$1696,A158,GERAL!AN$8:AN$1696)</f>
        <v>0</v>
      </c>
      <c r="H158" s="85">
        <f>SUMIF(GERAL!B$8:B$1696,A158,GERAL!AR$8:AW$1696)</f>
        <v>117</v>
      </c>
      <c r="I158" s="85">
        <f>SUMIF(GERAL!B$8:B$1696,A158,GERAL!AW$8:AW$1696)</f>
        <v>40</v>
      </c>
      <c r="J158" s="75">
        <f>SUMIF(GERAL!B$8:B$1696,A158,GERAL!AX$8:AX$1696)</f>
        <v>778</v>
      </c>
      <c r="K158" s="75">
        <f>COUNTIFS(GERAL!B$8:B$1696,A158,GERAL!AY$8:AY$1696,"&gt;0",GERAL!C$8:C$1696,"ESCOLA")</f>
        <v>1</v>
      </c>
      <c r="L158" s="75">
        <f>COUNTIFS(GERAL!B$8:B$1696,A158,GERAL!AY$8:AY$1696,"&gt;0",GERAL!C$8:C$1696,"ANEXO")</f>
        <v>0</v>
      </c>
      <c r="M158" s="100">
        <f>SUMIF(GERAL!B$8:B$1696,A158,GERAL!V$8:V$1696)+SUMIF(GERAL!B$8:B$1696,A158,GERAL!W$8:W$1696)</f>
        <v>0</v>
      </c>
      <c r="N158" s="100">
        <f>SUMIF(GERAL!B$8:B$1696,A158,GERAL!AA$8:AA$1696)+SUMIF(GERAL!B$8:B$1696,A158,GERAL!AB$8:AB$1696)</f>
        <v>0</v>
      </c>
      <c r="O158" s="100">
        <f>SUMIF(GERAL!B$8:B$1696,A158,GERAL!AF$8:AF$1696)+SUMIF(GERAL!B$8:B$1696,A158,GERAL!AG$8:AG$1696)</f>
        <v>285</v>
      </c>
      <c r="P158" s="100">
        <f>SUMIF(GERAL!B$8:B$1696,A158,GERAL!AK$8:AK$1696)+SUMIF(GERAL!B$8:B$1696,A158,GERAL!AL$8:AL$1696)</f>
        <v>0</v>
      </c>
      <c r="Q158" s="100">
        <f>SUMIF(GERAL!B$8:B$1696,A158,GERAL!AO$8:AO$1696)+SUMIF(GERAL!B$8:B$1696,A158,GERAL!AP$8:AP$1696)</f>
        <v>0</v>
      </c>
      <c r="R158" s="100">
        <f>SUMIF(GERAL!B$8:B$1696,A158,GERAL!AS$8:AS$1696)+SUMIF(GERAL!B$8:B$1696,A158,GERAL!AT$8:AT$1696)</f>
        <v>0</v>
      </c>
      <c r="S158" s="75">
        <f t="shared" si="39"/>
        <v>285</v>
      </c>
      <c r="T158" s="116">
        <f>COUNTIFS(GERAL!B$8:B$1696,A158,GERAL!AZ$8:AZ$1696,"&gt;0",GERAL!C$8:C$1696,"ESCOLA")</f>
        <v>1</v>
      </c>
      <c r="U158" s="75">
        <f>COUNTIFS(GERAL!B$8:B$1696,A158,GERAL!AZ$8:AZ$1696,"&gt;0",GERAL!C$8:C$1696,"ANEXO")</f>
        <v>1</v>
      </c>
      <c r="V158" s="85">
        <f>SUMIF(GERAL!B$8:B$1696,A158,GERAL!AH$8:AH$1696)</f>
        <v>0</v>
      </c>
      <c r="W158" s="85">
        <f>SUMIF(GERAL!B$8:B$1696,A158,GERAL!AM$8:AM$1696)</f>
        <v>0</v>
      </c>
      <c r="X158" s="85">
        <f>SUMIF(GERAL!B$8:B$1696,A158,GERAL!AQ$8:AQ$1696)</f>
        <v>117</v>
      </c>
      <c r="Y158" s="85">
        <f>SUMIF(GERAL!B$8:B$1696,A158,GERAL!AU$8:AU$1696)</f>
        <v>0</v>
      </c>
      <c r="Z158" s="88">
        <f t="shared" si="40"/>
        <v>117</v>
      </c>
      <c r="AA158" s="116">
        <f>COUNTIFS(GERAL!B$8:B$1696,A158,GERAL!BK$8:BK$1696,"&gt;0",GERAL!C$8:C$1696,"ESCOLA")</f>
        <v>1</v>
      </c>
      <c r="AB158" s="88">
        <f>COUNTIFS(GERAL!B$8:B$1696,A158,GERAL!BK$8:BK$1696,"&gt;0",GERAL!C$8:C$1696,"ANEXO")</f>
        <v>0</v>
      </c>
      <c r="AC158" s="121">
        <f>SUMIF(GERAL!B$8:B$1696,A158,GERAL!AD$8:AD$1696)</f>
        <v>0</v>
      </c>
      <c r="AD158" s="121">
        <f>SUMIF(GERAL!B$8:B$1696,A158,GERAL!AI$8:AI$1696)</f>
        <v>336</v>
      </c>
      <c r="AE158" s="121">
        <f>SUMIF(GERAL!B$8:B$1696,A158,GERAL!AV$8:AV$1696)</f>
        <v>40</v>
      </c>
      <c r="AF158" s="492">
        <f t="shared" si="41"/>
        <v>376</v>
      </c>
      <c r="AG158" s="178">
        <f>COUNTIFS(GERAL!B$8:B$1696,A158,GERAL!AW$8:AW$1696,"&gt;0",GERAL!C$8:C$1696,"ESCOLA")</f>
        <v>1</v>
      </c>
      <c r="AH158" s="118">
        <f>COUNTIFS(GERAL!B$8:B$1696,A158,GERAL!AW$8:AW$1696,"&gt;0",GERAL!C$8:C$1696,"ANEXO")</f>
        <v>0</v>
      </c>
      <c r="AI158" s="177">
        <f>SUMIF(GERAL!B$8:B$1696,A158,GERAL!AS$8:AS$1696)+SUMIF(GERAL!B$8:B$1696,A158,GERAL!AT$8:AT$1696)</f>
        <v>0</v>
      </c>
      <c r="AJ158" s="177">
        <f>SUMIF(GERAL!B$8:B$1696,A158,GERAL!AU$8:AU$1696)</f>
        <v>0</v>
      </c>
      <c r="AK158" s="177">
        <f>SUMIF(GERAL!B$8:B$1696,A158,GERAL!AV$8:AV$1696)</f>
        <v>40</v>
      </c>
      <c r="AL158" s="118">
        <f t="shared" si="42"/>
        <v>40</v>
      </c>
      <c r="AM158" s="493" t="s">
        <v>1463</v>
      </c>
    </row>
    <row r="159">
      <c r="A159" s="494" t="s">
        <v>6225</v>
      </c>
      <c r="B159" s="75">
        <f>COUNTIFS(GERAL!B$8:B$1696,A159,GERAL!C$8:C$1696,"ESCOLA")</f>
        <v>1</v>
      </c>
      <c r="C159" s="75">
        <f>COUNTIFS(GERAL!B$8:B$1696,A159,GERAL!C$8:C$1696,"ANEXO")</f>
        <v>0</v>
      </c>
      <c r="D159" s="85">
        <f>SUMIF(GERAL!B$8:B$1696,A159,GERAL!Z$8:Z$1696)</f>
        <v>0</v>
      </c>
      <c r="E159" s="85">
        <f>SUMIF(GERAL!B$8:B$1696,A159,GERAL!AE$8:AE$1696)</f>
        <v>0</v>
      </c>
      <c r="F159" s="85">
        <f>SUMIF(GERAL!B$8:B$1696,A159,GERAL!AJ$8:AJ$1696)</f>
        <v>134</v>
      </c>
      <c r="G159" s="85">
        <f>SUMIF(GERAL!B$8:B$1696,A159,GERAL!AN$8:AN$1696)</f>
        <v>0</v>
      </c>
      <c r="H159" s="85">
        <f>SUMIF(GERAL!B$8:B$1696,A159,GERAL!AR$8:AW$1696)</f>
        <v>32</v>
      </c>
      <c r="I159" s="85">
        <f>SUMIF(GERAL!B$8:B$1696,A159,GERAL!AW$8:AW$1696)</f>
        <v>47</v>
      </c>
      <c r="J159" s="75">
        <f>SUMIF(GERAL!B$8:B$1696,A159,GERAL!AX$8:AX$1696)</f>
        <v>213</v>
      </c>
      <c r="K159" s="75">
        <f>COUNTIFS(GERAL!B$8:B$1696,A159,GERAL!AY$8:AY$1696,"&gt;0",GERAL!C$8:C$1696,"ESCOLA")</f>
        <v>1</v>
      </c>
      <c r="L159" s="75">
        <f>COUNTIFS(GERAL!B$8:B$1696,A159,GERAL!AY$8:AY$1696,"&gt;0",GERAL!C$8:C$1696,"ANEXO")</f>
        <v>0</v>
      </c>
      <c r="M159" s="100">
        <f>SUMIF(GERAL!B$8:B$1696,A159,GERAL!V$8:V$1696)+SUMIF(GERAL!B$8:B$1696,A159,GERAL!W$8:W$1696)</f>
        <v>0</v>
      </c>
      <c r="N159" s="100">
        <f>SUMIF(GERAL!B$8:B$1696,A159,GERAL!AA$8:AA$1696)+SUMIF(GERAL!B$8:B$1696,A159,GERAL!AB$8:AB$1696)</f>
        <v>0</v>
      </c>
      <c r="O159" s="100">
        <f>SUMIF(GERAL!B$8:B$1696,A159,GERAL!AF$8:AF$1696)+SUMIF(GERAL!B$8:B$1696,A159,GERAL!AG$8:AG$1696)</f>
        <v>0</v>
      </c>
      <c r="P159" s="100">
        <f>SUMIF(GERAL!B$8:B$1696,A159,GERAL!AK$8:AK$1696)+SUMIF(GERAL!B$8:B$1696,A159,GERAL!AL$8:AL$1696)</f>
        <v>0</v>
      </c>
      <c r="Q159" s="100">
        <f>SUMIF(GERAL!B$8:B$1696,A159,GERAL!AO$8:AO$1696)+SUMIF(GERAL!B$8:B$1696,A159,GERAL!AP$8:AP$1696)</f>
        <v>0</v>
      </c>
      <c r="R159" s="100">
        <f>SUMIF(GERAL!B$8:B$1696,A159,GERAL!AS$8:AS$1696)+SUMIF(GERAL!B$8:B$1696,A159,GERAL!AT$8:AT$1696)</f>
        <v>0</v>
      </c>
      <c r="S159" s="75">
        <f t="shared" si="39"/>
        <v>0</v>
      </c>
      <c r="T159" s="116">
        <f>COUNTIFS(GERAL!B$8:B$1696,A159,GERAL!AZ$8:AZ$1696,"&gt;0",GERAL!C$8:C$1696,"ESCOLA")</f>
        <v>1</v>
      </c>
      <c r="U159" s="75">
        <f>COUNTIFS(GERAL!B$8:B$1696,A159,GERAL!AZ$8:AZ$1696,"&gt;0",GERAL!C$8:C$1696,"ANEXO")</f>
        <v>0</v>
      </c>
      <c r="V159" s="85">
        <f>SUMIF(GERAL!B$8:B$1696,A159,GERAL!AH$8:AH$1696)</f>
        <v>0</v>
      </c>
      <c r="W159" s="85">
        <f>SUMIF(GERAL!B$8:B$1696,A159,GERAL!AM$8:AM$1696)</f>
        <v>0</v>
      </c>
      <c r="X159" s="85">
        <f>SUMIF(GERAL!B$8:B$1696,A159,GERAL!AQ$8:AQ$1696)</f>
        <v>32</v>
      </c>
      <c r="Y159" s="85">
        <f>SUMIF(GERAL!B$8:B$1696,A159,GERAL!AU$8:AU$1696)</f>
        <v>0</v>
      </c>
      <c r="Z159" s="88">
        <f t="shared" si="40"/>
        <v>32</v>
      </c>
      <c r="AA159" s="116">
        <f>COUNTIFS(GERAL!B$8:B$1696,A159,GERAL!BK$8:BK$1696,"&gt;0",GERAL!C$8:C$1696,"ESCOLA")</f>
        <v>1</v>
      </c>
      <c r="AB159" s="88">
        <f>COUNTIFS(GERAL!B$8:B$1696,A159,GERAL!BK$8:BK$1696,"&gt;0",GERAL!C$8:C$1696,"ANEXO")</f>
        <v>0</v>
      </c>
      <c r="AC159" s="121">
        <f>SUMIF(GERAL!B$8:B$1696,A159,GERAL!AD$8:AD$1696)</f>
        <v>0</v>
      </c>
      <c r="AD159" s="121">
        <f>SUMIF(GERAL!B$8:B$1696,A159,GERAL!AI$8:AI$1696)</f>
        <v>134</v>
      </c>
      <c r="AE159" s="121">
        <f>SUMIF(GERAL!B$8:B$1696,A159,GERAL!AV$8:AV$1696)</f>
        <v>47</v>
      </c>
      <c r="AF159" s="492">
        <f t="shared" si="41"/>
        <v>181</v>
      </c>
      <c r="AG159" s="178">
        <f>COUNTIFS(GERAL!B$8:B$1696,A159,GERAL!AW$8:AW$1696,"&gt;0",GERAL!C$8:C$1696,"ESCOLA")</f>
        <v>1</v>
      </c>
      <c r="AH159" s="118">
        <f>COUNTIFS(GERAL!B$8:B$1696,A159,GERAL!AW$8:AW$1696,"&gt;0",GERAL!C$8:C$1696,"ANEXO")</f>
        <v>0</v>
      </c>
      <c r="AI159" s="177">
        <f>SUMIF(GERAL!B$8:B$1696,A159,GERAL!AS$8:AS$1696)+SUMIF(GERAL!B$8:B$1696,A159,GERAL!AT$8:AT$1696)</f>
        <v>0</v>
      </c>
      <c r="AJ159" s="177">
        <f>SUMIF(GERAL!B$8:B$1696,A159,GERAL!AU$8:AU$1696)</f>
        <v>0</v>
      </c>
      <c r="AK159" s="177">
        <f>SUMIF(GERAL!B$8:B$1696,A159,GERAL!AV$8:AV$1696)</f>
        <v>47</v>
      </c>
      <c r="AL159" s="118">
        <f t="shared" si="42"/>
        <v>47</v>
      </c>
      <c r="AM159" s="493" t="s">
        <v>1393</v>
      </c>
    </row>
    <row r="160">
      <c r="A160" s="484" t="s">
        <v>4108</v>
      </c>
      <c r="B160" s="75">
        <f>COUNTIFS(GERAL!B$8:B$1696,A160,GERAL!C$8:C$1696,"ESCOLA")</f>
        <v>4</v>
      </c>
      <c r="C160" s="75">
        <f>COUNTIFS(GERAL!B$8:B$1696,A160,GERAL!C$8:C$1696,"ANEXO")</f>
        <v>0</v>
      </c>
      <c r="D160" s="85">
        <f>SUMIF(GERAL!B$8:B$1696,A160,GERAL!Z$8:Z$1696)</f>
        <v>0</v>
      </c>
      <c r="E160" s="85">
        <f>SUMIF(GERAL!B$8:B$1696,A160,GERAL!AE$8:AE$1696)</f>
        <v>0</v>
      </c>
      <c r="F160" s="85">
        <f>SUMIF(GERAL!B$8:B$1696,A160,GERAL!AJ$8:AJ$1696)</f>
        <v>1352</v>
      </c>
      <c r="G160" s="85">
        <f>SUMIF(GERAL!B$8:B$1696,A160,GERAL!AN$8:AN$1696)</f>
        <v>0</v>
      </c>
      <c r="H160" s="85">
        <f>SUMIF(GERAL!B$8:B$1696,A160,GERAL!AR$8:AW$1696)</f>
        <v>399</v>
      </c>
      <c r="I160" s="85">
        <f>SUMIF(GERAL!B$8:B$1696,A160,GERAL!AW$8:AW$1696)</f>
        <v>1979</v>
      </c>
      <c r="J160" s="75">
        <f>SUMIF(GERAL!B$8:B$1696,A160,GERAL!AX$8:AX$1696)</f>
        <v>3730</v>
      </c>
      <c r="K160" s="75">
        <f>COUNTIFS(GERAL!B$8:B$1696,A160,GERAL!AY$8:AY$1696,"&gt;0",GERAL!C$8:C$1696,"ESCOLA")</f>
        <v>4</v>
      </c>
      <c r="L160" s="75">
        <f>COUNTIFS(GERAL!B$8:B$1696,A160,GERAL!AY$8:AY$1696,"&gt;0",GERAL!C$8:C$1696,"ANEXO")</f>
        <v>0</v>
      </c>
      <c r="M160" s="100">
        <f>SUMIF(GERAL!B$8:B$1696,A160,GERAL!V$8:V$1696)+SUMIF(GERAL!B$8:B$1696,A160,GERAL!W$8:W$1696)</f>
        <v>0</v>
      </c>
      <c r="N160" s="100">
        <f>SUMIF(GERAL!B$8:B$1696,A160,GERAL!AA$8:AA$1696)+SUMIF(GERAL!B$8:B$1696,A160,GERAL!AB$8:AB$1696)</f>
        <v>0</v>
      </c>
      <c r="O160" s="100">
        <f>SUMIF(GERAL!B$8:B$1696,A160,GERAL!AF$8:AF$1696)+SUMIF(GERAL!B$8:B$1696,A160,GERAL!AG$8:AG$1696)</f>
        <v>1182</v>
      </c>
      <c r="P160" s="100">
        <f>SUMIF(GERAL!B$8:B$1696,A160,GERAL!AK$8:AK$1696)+SUMIF(GERAL!B$8:B$1696,A160,GERAL!AL$8:AL$1696)</f>
        <v>0</v>
      </c>
      <c r="Q160" s="100">
        <f>SUMIF(GERAL!B$8:B$1696,A160,GERAL!AO$8:AO$1696)+SUMIF(GERAL!B$8:B$1696,A160,GERAL!AP$8:AP$1696)</f>
        <v>0</v>
      </c>
      <c r="R160" s="100">
        <f>SUMIF(GERAL!B$8:B$1696,A160,GERAL!AS$8:AS$1696)+SUMIF(GERAL!B$8:B$1696,A160,GERAL!AT$8:AT$1696)</f>
        <v>1420</v>
      </c>
      <c r="S160" s="75">
        <f t="shared" si="39"/>
        <v>2602</v>
      </c>
      <c r="T160" s="116">
        <f>COUNTIFS(GERAL!B$8:B$1696,A160,GERAL!AZ$8:AZ$1696,"&gt;0",GERAL!C$8:C$1696,"ESCOLA")</f>
        <v>3</v>
      </c>
      <c r="U160" s="75">
        <f>COUNTIFS(GERAL!B$8:B$1696,A160,GERAL!AZ$8:AZ$1696,"&gt;0",GERAL!C$8:C$1696,"ANEXO")</f>
        <v>0</v>
      </c>
      <c r="V160" s="85">
        <f>SUMIF(GERAL!B$8:B$1696,A160,GERAL!AH$8:AH$1696)</f>
        <v>0</v>
      </c>
      <c r="W160" s="85">
        <f>SUMIF(GERAL!B$8:B$1696,A160,GERAL!AM$8:AM$1696)</f>
        <v>0</v>
      </c>
      <c r="X160" s="85">
        <f>SUMIF(GERAL!B$8:B$1696,A160,GERAL!AQ$8:AQ$1696)</f>
        <v>399</v>
      </c>
      <c r="Y160" s="85">
        <f>SUMIF(GERAL!B$8:B$1696,A160,GERAL!AU$8:AU$1696)</f>
        <v>501</v>
      </c>
      <c r="Z160" s="88">
        <f t="shared" si="40"/>
        <v>900</v>
      </c>
      <c r="AA160" s="116">
        <f>COUNTIFS(GERAL!B$8:B$1696,A160,GERAL!BK$8:BK$1696,"&gt;0",GERAL!C$8:C$1696,"ESCOLA")</f>
        <v>3</v>
      </c>
      <c r="AB160" s="88">
        <f>COUNTIFS(GERAL!B$8:B$1696,A160,GERAL!BK$8:BK$1696,"&gt;0",GERAL!C$8:C$1696,"ANEXO")</f>
        <v>0</v>
      </c>
      <c r="AC160" s="121">
        <f>SUMIF(GERAL!B$8:B$1696,A160,GERAL!AD$8:AD$1696)</f>
        <v>0</v>
      </c>
      <c r="AD160" s="121">
        <f>SUMIF(GERAL!B$8:B$1696,A160,GERAL!AI$8:AI$1696)</f>
        <v>170</v>
      </c>
      <c r="AE160" s="121">
        <f>SUMIF(GERAL!B$8:B$1696,A160,GERAL!AV$8:AV$1696)</f>
        <v>58</v>
      </c>
      <c r="AF160" s="492">
        <f t="shared" si="41"/>
        <v>228</v>
      </c>
      <c r="AG160" s="178">
        <f>COUNTIFS(GERAL!B$8:B$1696,A160,GERAL!AW$8:AW$1696,"&gt;0",GERAL!C$8:C$1696,"ESCOLA")</f>
        <v>3</v>
      </c>
      <c r="AH160" s="118">
        <f>COUNTIFS(GERAL!B$8:B$1696,A160,GERAL!AW$8:AW$1696,"&gt;0",GERAL!C$8:C$1696,"ANEXO")</f>
        <v>0</v>
      </c>
      <c r="AI160" s="177">
        <f>SUMIF(GERAL!B$8:B$1696,A160,GERAL!AS$8:AS$1696)+SUMIF(GERAL!B$8:B$1696,A160,GERAL!AT$8:AT$1696)</f>
        <v>1420</v>
      </c>
      <c r="AJ160" s="177">
        <f>SUMIF(GERAL!B$8:B$1696,A160,GERAL!AU$8:AU$1696)</f>
        <v>501</v>
      </c>
      <c r="AK160" s="177">
        <f>SUMIF(GERAL!B$8:B$1696,A160,GERAL!AV$8:AV$1696)</f>
        <v>58</v>
      </c>
      <c r="AL160" s="118">
        <f t="shared" si="42"/>
        <v>1979</v>
      </c>
      <c r="AM160" s="493" t="s">
        <v>973</v>
      </c>
    </row>
    <row r="161">
      <c r="A161" s="494" t="s">
        <v>9378</v>
      </c>
      <c r="B161" s="75">
        <f>COUNTIFS(GERAL!B$8:B$1696,A161,GERAL!C$8:C$1696,"ESCOLA")</f>
        <v>1</v>
      </c>
      <c r="C161" s="75">
        <f>COUNTIFS(GERAL!B$8:B$1696,A161,GERAL!C$8:C$1696,"ANEXO")</f>
        <v>5</v>
      </c>
      <c r="D161" s="85">
        <f>SUMIF(GERAL!B$8:B$1696,A161,GERAL!Z$8:Z$1696)</f>
        <v>0</v>
      </c>
      <c r="E161" s="85">
        <f>SUMIF(GERAL!B$8:B$1696,A161,GERAL!AE$8:AE$1696)</f>
        <v>0</v>
      </c>
      <c r="F161" s="85">
        <f>SUMIF(GERAL!B$8:B$1696,A161,GERAL!AJ$8:AJ$1696)</f>
        <v>313</v>
      </c>
      <c r="G161" s="85">
        <f>SUMIF(GERAL!B$8:B$1696,A161,GERAL!AN$8:AN$1696)</f>
        <v>0</v>
      </c>
      <c r="H161" s="85">
        <f>SUMIF(GERAL!B$8:B$1696,A161,GERAL!AR$8:AW$1696)</f>
        <v>227</v>
      </c>
      <c r="I161" s="85">
        <f>SUMIF(GERAL!B$8:B$1696,A161,GERAL!AW$8:AW$1696)</f>
        <v>62</v>
      </c>
      <c r="J161" s="75">
        <f>SUMIF(GERAL!B$8:B$1696,A161,GERAL!AX$8:AX$1696)</f>
        <v>602</v>
      </c>
      <c r="K161" s="75">
        <f>COUNTIFS(GERAL!B$8:B$1696,A161,GERAL!AY$8:AY$1696,"&gt;0",GERAL!C$8:C$1696,"ESCOLA")</f>
        <v>1</v>
      </c>
      <c r="L161" s="75">
        <f>COUNTIFS(GERAL!B$8:B$1696,A161,GERAL!AY$8:AY$1696,"&gt;0",GERAL!C$8:C$1696,"ANEXO")</f>
        <v>1</v>
      </c>
      <c r="M161" s="100">
        <f>SUMIF(GERAL!B$8:B$1696,A161,GERAL!V$8:V$1696)+SUMIF(GERAL!B$8:B$1696,A161,GERAL!W$8:W$1696)</f>
        <v>0</v>
      </c>
      <c r="N161" s="100">
        <f>SUMIF(GERAL!B$8:B$1696,A161,GERAL!AA$8:AA$1696)+SUMIF(GERAL!B$8:B$1696,A161,GERAL!AB$8:AB$1696)</f>
        <v>0</v>
      </c>
      <c r="O161" s="100">
        <f>SUMIF(GERAL!B$8:B$1696,A161,GERAL!AF$8:AF$1696)+SUMIF(GERAL!B$8:B$1696,A161,GERAL!AG$8:AG$1696)</f>
        <v>294</v>
      </c>
      <c r="P161" s="100">
        <f>SUMIF(GERAL!B$8:B$1696,A161,GERAL!AK$8:AK$1696)+SUMIF(GERAL!B$8:B$1696,A161,GERAL!AL$8:AL$1696)</f>
        <v>0</v>
      </c>
      <c r="Q161" s="100">
        <f>SUMIF(GERAL!B$8:B$1696,A161,GERAL!AO$8:AO$1696)+SUMIF(GERAL!B$8:B$1696,A161,GERAL!AP$8:AP$1696)</f>
        <v>0</v>
      </c>
      <c r="R161" s="100">
        <f>SUMIF(GERAL!B$8:B$1696,A161,GERAL!AS$8:AS$1696)+SUMIF(GERAL!B$8:B$1696,A161,GERAL!AT$8:AT$1696)</f>
        <v>62</v>
      </c>
      <c r="S161" s="75">
        <f t="shared" si="39"/>
        <v>356</v>
      </c>
      <c r="T161" s="116">
        <f>COUNTIFS(GERAL!B$8:B$1696,A161,GERAL!AZ$8:AZ$1696,"&gt;0",GERAL!C$8:C$1696,"ESCOLA")</f>
        <v>1</v>
      </c>
      <c r="U161" s="75">
        <f>COUNTIFS(GERAL!B$8:B$1696,A161,GERAL!AZ$8:AZ$1696,"&gt;0",GERAL!C$8:C$1696,"ANEXO")</f>
        <v>5</v>
      </c>
      <c r="V161" s="85">
        <f>SUMIF(GERAL!B$8:B$1696,A161,GERAL!AH$8:AH$1696)</f>
        <v>19</v>
      </c>
      <c r="W161" s="85">
        <f>SUMIF(GERAL!B$8:B$1696,A161,GERAL!AM$8:AM$1696)</f>
        <v>0</v>
      </c>
      <c r="X161" s="85">
        <f>SUMIF(GERAL!B$8:B$1696,A161,GERAL!AQ$8:AQ$1696)</f>
        <v>227</v>
      </c>
      <c r="Y161" s="85">
        <f>SUMIF(GERAL!B$8:B$1696,A161,GERAL!AU$8:AU$1696)</f>
        <v>0</v>
      </c>
      <c r="Z161" s="88">
        <f t="shared" si="40"/>
        <v>246</v>
      </c>
      <c r="AA161" s="116">
        <f>COUNTIFS(GERAL!B$8:B$1696,A161,GERAL!BK$8:BK$1696,"&gt;0",GERAL!C$8:C$1696,"ESCOLA")</f>
        <v>0</v>
      </c>
      <c r="AB161" s="88">
        <f>COUNTIFS(GERAL!B$8:B$1696,A161,GERAL!BK$8:BK$1696,"&gt;0",GERAL!C$8:C$1696,"ANEXO")</f>
        <v>0</v>
      </c>
      <c r="AC161" s="121">
        <f>SUMIF(GERAL!B$8:B$1696,A161,GERAL!AD$8:AD$1696)</f>
        <v>0</v>
      </c>
      <c r="AD161" s="121">
        <f>SUMIF(GERAL!B$8:B$1696,A161,GERAL!AI$8:AI$1696)</f>
        <v>0</v>
      </c>
      <c r="AE161" s="121">
        <f>SUMIF(GERAL!B$8:B$1696,A161,GERAL!AV$8:AV$1696)</f>
        <v>0</v>
      </c>
      <c r="AF161" s="492">
        <f t="shared" si="41"/>
        <v>0</v>
      </c>
      <c r="AG161" s="178">
        <f>COUNTIFS(GERAL!B$8:B$1696,A161,GERAL!AW$8:AW$1696,"&gt;0",GERAL!C$8:C$1696,"ESCOLA")</f>
        <v>1</v>
      </c>
      <c r="AH161" s="118">
        <f>COUNTIFS(GERAL!B$8:B$1696,A161,GERAL!AW$8:AW$1696,"&gt;0",GERAL!C$8:C$1696,"ANEXO")</f>
        <v>0</v>
      </c>
      <c r="AI161" s="177">
        <f>SUMIF(GERAL!B$8:B$1696,A161,GERAL!AS$8:AS$1696)+SUMIF(GERAL!B$8:B$1696,A161,GERAL!AT$8:AT$1696)</f>
        <v>62</v>
      </c>
      <c r="AJ161" s="177">
        <f>SUMIF(GERAL!B$8:B$1696,A161,GERAL!AU$8:AU$1696)</f>
        <v>0</v>
      </c>
      <c r="AK161" s="177">
        <f>SUMIF(GERAL!B$8:B$1696,A161,GERAL!AV$8:AV$1696)</f>
        <v>0</v>
      </c>
      <c r="AL161" s="118">
        <f t="shared" si="42"/>
        <v>62</v>
      </c>
      <c r="AM161" s="493" t="s">
        <v>1842</v>
      </c>
    </row>
    <row r="162">
      <c r="A162" s="484" t="s">
        <v>5190</v>
      </c>
      <c r="B162" s="75">
        <f>COUNTIFS(GERAL!B$8:B$1696,A162,GERAL!C$8:C$1696,"ESCOLA")</f>
        <v>1</v>
      </c>
      <c r="C162" s="75">
        <f>COUNTIFS(GERAL!B$8:B$1696,A162,GERAL!C$8:C$1696,"ANEXO")</f>
        <v>0</v>
      </c>
      <c r="D162" s="85">
        <f>SUMIF(GERAL!B$8:B$1696,A162,GERAL!Z$8:Z$1696)</f>
        <v>0</v>
      </c>
      <c r="E162" s="85">
        <f>SUMIF(GERAL!B$8:B$1696,A162,GERAL!AE$8:AE$1696)</f>
        <v>0</v>
      </c>
      <c r="F162" s="85">
        <f>SUMIF(GERAL!B$8:B$1696,A162,GERAL!AJ$8:AJ$1696)</f>
        <v>314</v>
      </c>
      <c r="G162" s="85">
        <f>SUMIF(GERAL!B$8:B$1696,A162,GERAL!AN$8:AN$1696)</f>
        <v>0</v>
      </c>
      <c r="H162" s="85">
        <f>SUMIF(GERAL!B$8:B$1696,A162,GERAL!AR$8:AW$1696)</f>
        <v>86</v>
      </c>
      <c r="I162" s="85">
        <f>SUMIF(GERAL!B$8:B$1696,A162,GERAL!AW$8:AW$1696)</f>
        <v>105</v>
      </c>
      <c r="J162" s="75">
        <f>SUMIF(GERAL!B$8:B$1696,A162,GERAL!AX$8:AX$1696)</f>
        <v>505</v>
      </c>
      <c r="K162" s="75">
        <f>COUNTIFS(GERAL!B$8:B$1696,A162,GERAL!AY$8:AY$1696,"&gt;0",GERAL!C$8:C$1696,"ESCOLA")</f>
        <v>1</v>
      </c>
      <c r="L162" s="75">
        <f>COUNTIFS(GERAL!B$8:B$1696,A162,GERAL!AY$8:AY$1696,"&gt;0",GERAL!C$8:C$1696,"ANEXO")</f>
        <v>0</v>
      </c>
      <c r="M162" s="100">
        <f>SUMIF(GERAL!B$8:B$1696,A162,GERAL!V$8:V$1696)+SUMIF(GERAL!B$8:B$1696,A162,GERAL!W$8:W$1696)</f>
        <v>0</v>
      </c>
      <c r="N162" s="100">
        <f>SUMIF(GERAL!B$8:B$1696,A162,GERAL!AA$8:AA$1696)+SUMIF(GERAL!B$8:B$1696,A162,GERAL!AB$8:AB$1696)</f>
        <v>0</v>
      </c>
      <c r="O162" s="100">
        <f>SUMIF(GERAL!B$8:B$1696,A162,GERAL!AF$8:AF$1696)+SUMIF(GERAL!B$8:B$1696,A162,GERAL!AG$8:AG$1696)</f>
        <v>0</v>
      </c>
      <c r="P162" s="100">
        <f>SUMIF(GERAL!B$8:B$1696,A162,GERAL!AK$8:AK$1696)+SUMIF(GERAL!B$8:B$1696,A162,GERAL!AL$8:AL$1696)</f>
        <v>0</v>
      </c>
      <c r="Q162" s="100">
        <f>SUMIF(GERAL!B$8:B$1696,A162,GERAL!AO$8:AO$1696)+SUMIF(GERAL!B$8:B$1696,A162,GERAL!AP$8:AP$1696)</f>
        <v>57</v>
      </c>
      <c r="R162" s="100">
        <f>SUMIF(GERAL!B$8:B$1696,A162,GERAL!AS$8:AS$1696)+SUMIF(GERAL!B$8:B$1696,A162,GERAL!AT$8:AT$1696)</f>
        <v>30</v>
      </c>
      <c r="S162" s="75">
        <f t="shared" si="39"/>
        <v>87</v>
      </c>
      <c r="T162" s="116">
        <f>COUNTIFS(GERAL!B$8:B$1696,A162,GERAL!AZ$8:AZ$1696,"&gt;0",GERAL!C$8:C$1696,"ESCOLA")</f>
        <v>1</v>
      </c>
      <c r="U162" s="75">
        <f>COUNTIFS(GERAL!B$8:B$1696,A162,GERAL!AZ$8:AZ$1696,"&gt;0",GERAL!C$8:C$1696,"ANEXO")</f>
        <v>0</v>
      </c>
      <c r="V162" s="85">
        <f>SUMIF(GERAL!B$8:B$1696,A162,GERAL!AH$8:AH$1696)</f>
        <v>0</v>
      </c>
      <c r="W162" s="85">
        <f>SUMIF(GERAL!B$8:B$1696,A162,GERAL!AM$8:AM$1696)</f>
        <v>0</v>
      </c>
      <c r="X162" s="85">
        <f>SUMIF(GERAL!B$8:B$1696,A162,GERAL!AQ$8:AQ$1696)</f>
        <v>29</v>
      </c>
      <c r="Y162" s="85">
        <f>SUMIF(GERAL!B$8:B$1696,A162,GERAL!AU$8:AU$1696)</f>
        <v>53</v>
      </c>
      <c r="Z162" s="88">
        <f t="shared" si="40"/>
        <v>82</v>
      </c>
      <c r="AA162" s="116">
        <f>COUNTIFS(GERAL!B$8:B$1696,A162,GERAL!BK$8:BK$1696,"&gt;0",GERAL!C$8:C$1696,"ESCOLA")</f>
        <v>1</v>
      </c>
      <c r="AB162" s="88">
        <f>COUNTIFS(GERAL!B$8:B$1696,A162,GERAL!BK$8:BK$1696,"&gt;0",GERAL!C$8:C$1696,"ANEXO")</f>
        <v>0</v>
      </c>
      <c r="AC162" s="121">
        <f>SUMIF(GERAL!B$8:B$1696,A162,GERAL!AD$8:AD$1696)</f>
        <v>0</v>
      </c>
      <c r="AD162" s="121">
        <f>SUMIF(GERAL!B$8:B$1696,A162,GERAL!AI$8:AI$1696)</f>
        <v>314</v>
      </c>
      <c r="AE162" s="121">
        <f>SUMIF(GERAL!B$8:B$1696,A162,GERAL!AV$8:AV$1696)</f>
        <v>22</v>
      </c>
      <c r="AF162" s="492">
        <f t="shared" si="41"/>
        <v>336</v>
      </c>
      <c r="AG162" s="178">
        <f>COUNTIFS(GERAL!B$8:B$1696,A162,GERAL!AW$8:AW$1696,"&gt;0",GERAL!C$8:C$1696,"ESCOLA")</f>
        <v>1</v>
      </c>
      <c r="AH162" s="118">
        <f>COUNTIFS(GERAL!B$8:B$1696,A162,GERAL!AW$8:AW$1696,"&gt;0",GERAL!C$8:C$1696,"ANEXO")</f>
        <v>0</v>
      </c>
      <c r="AI162" s="177">
        <f>SUMIF(GERAL!B$8:B$1696,A162,GERAL!AS$8:AS$1696)+SUMIF(GERAL!B$8:B$1696,A162,GERAL!AT$8:AT$1696)</f>
        <v>30</v>
      </c>
      <c r="AJ162" s="177">
        <f>SUMIF(GERAL!B$8:B$1696,A162,GERAL!AU$8:AU$1696)</f>
        <v>53</v>
      </c>
      <c r="AK162" s="177">
        <f>SUMIF(GERAL!B$8:B$1696,A162,GERAL!AV$8:AV$1696)</f>
        <v>22</v>
      </c>
      <c r="AL162" s="118">
        <f t="shared" si="42"/>
        <v>105</v>
      </c>
      <c r="AM162" s="493" t="s">
        <v>1224</v>
      </c>
    </row>
    <row r="163">
      <c r="A163" s="494" t="s">
        <v>4344</v>
      </c>
      <c r="B163" s="75">
        <f>COUNTIFS(GERAL!B$8:B$1696,A163,GERAL!C$8:C$1696,"ESCOLA")</f>
        <v>1</v>
      </c>
      <c r="C163" s="75">
        <f>COUNTIFS(GERAL!B$8:B$1696,A163,GERAL!C$8:C$1696,"ANEXO")</f>
        <v>1</v>
      </c>
      <c r="D163" s="85">
        <f>SUMIF(GERAL!B$8:B$1696,A163,GERAL!Z$8:Z$1696)</f>
        <v>0</v>
      </c>
      <c r="E163" s="85">
        <f>SUMIF(GERAL!B$8:B$1696,A163,GERAL!AE$8:AE$1696)</f>
        <v>0</v>
      </c>
      <c r="F163" s="85">
        <f>SUMIF(GERAL!B$8:B$1696,A163,GERAL!AJ$8:AJ$1696)</f>
        <v>611</v>
      </c>
      <c r="G163" s="85">
        <f>SUMIF(GERAL!B$8:B$1696,A163,GERAL!AN$8:AN$1696)</f>
        <v>0</v>
      </c>
      <c r="H163" s="85">
        <f>SUMIF(GERAL!B$8:B$1696,A163,GERAL!AR$8:AW$1696)</f>
        <v>287</v>
      </c>
      <c r="I163" s="85">
        <f>SUMIF(GERAL!B$8:B$1696,A163,GERAL!AW$8:AW$1696)</f>
        <v>92</v>
      </c>
      <c r="J163" s="75">
        <f>SUMIF(GERAL!B$8:B$1696,A163,GERAL!AX$8:AX$1696)</f>
        <v>990</v>
      </c>
      <c r="K163" s="75">
        <f>COUNTIFS(GERAL!B$8:B$1696,A163,GERAL!AY$8:AY$1696,"&gt;0",GERAL!C$8:C$1696,"ESCOLA")</f>
        <v>1</v>
      </c>
      <c r="L163" s="75">
        <f>COUNTIFS(GERAL!B$8:B$1696,A163,GERAL!AY$8:AY$1696,"&gt;0",GERAL!C$8:C$1696,"ANEXO")</f>
        <v>1</v>
      </c>
      <c r="M163" s="100">
        <f>SUMIF(GERAL!B$8:B$1696,A163,GERAL!V$8:V$1696)+SUMIF(GERAL!B$8:B$1696,A163,GERAL!W$8:W$1696)</f>
        <v>0</v>
      </c>
      <c r="N163" s="100">
        <f>SUMIF(GERAL!B$8:B$1696,A163,GERAL!AA$8:AA$1696)+SUMIF(GERAL!B$8:B$1696,A163,GERAL!AB$8:AB$1696)</f>
        <v>0</v>
      </c>
      <c r="O163" s="100">
        <f>SUMIF(GERAL!B$8:B$1696,A163,GERAL!AF$8:AF$1696)+SUMIF(GERAL!B$8:B$1696,A163,GERAL!AG$8:AG$1696)</f>
        <v>403</v>
      </c>
      <c r="P163" s="100">
        <f>SUMIF(GERAL!B$8:B$1696,A163,GERAL!AK$8:AK$1696)+SUMIF(GERAL!B$8:B$1696,A163,GERAL!AL$8:AL$1696)</f>
        <v>0</v>
      </c>
      <c r="Q163" s="100">
        <f>SUMIF(GERAL!B$8:B$1696,A163,GERAL!AO$8:AO$1696)+SUMIF(GERAL!B$8:B$1696,A163,GERAL!AP$8:AP$1696)</f>
        <v>0</v>
      </c>
      <c r="R163" s="100">
        <f>SUMIF(GERAL!B$8:B$1696,A163,GERAL!AS$8:AS$1696)+SUMIF(GERAL!B$8:B$1696,A163,GERAL!AT$8:AT$1696)</f>
        <v>57</v>
      </c>
      <c r="S163" s="75">
        <f t="shared" si="39"/>
        <v>460</v>
      </c>
      <c r="T163" s="116">
        <f>COUNTIFS(GERAL!B$8:B$1696,A163,GERAL!AZ$8:AZ$1696,"&gt;0",GERAL!C$8:C$1696,"ESCOLA")</f>
        <v>1</v>
      </c>
      <c r="U163" s="75">
        <f>COUNTIFS(GERAL!B$8:B$1696,A163,GERAL!AZ$8:AZ$1696,"&gt;0",GERAL!C$8:C$1696,"ANEXO")</f>
        <v>1</v>
      </c>
      <c r="V163" s="85">
        <f>SUMIF(GERAL!B$8:B$1696,A163,GERAL!AH$8:AH$1696)</f>
        <v>0</v>
      </c>
      <c r="W163" s="85">
        <f>SUMIF(GERAL!B$8:B$1696,A163,GERAL!AM$8:AM$1696)</f>
        <v>0</v>
      </c>
      <c r="X163" s="85">
        <f>SUMIF(GERAL!B$8:B$1696,A163,GERAL!AQ$8:AQ$1696)</f>
        <v>287</v>
      </c>
      <c r="Y163" s="85">
        <f>SUMIF(GERAL!B$8:B$1696,A163,GERAL!AU$8:AU$1696)</f>
        <v>0</v>
      </c>
      <c r="Z163" s="88">
        <f t="shared" si="40"/>
        <v>287</v>
      </c>
      <c r="AA163" s="116">
        <f>COUNTIFS(GERAL!B$8:B$1696,A163,GERAL!BK$8:BK$1696,"&gt;0",GERAL!C$8:C$1696,"ESCOLA")</f>
        <v>1</v>
      </c>
      <c r="AB163" s="88">
        <f>COUNTIFS(GERAL!B$8:B$1696,A163,GERAL!BK$8:BK$1696,"&gt;0",GERAL!C$8:C$1696,"ANEXO")</f>
        <v>0</v>
      </c>
      <c r="AC163" s="121">
        <f>SUMIF(GERAL!B$8:B$1696,A163,GERAL!AD$8:AD$1696)</f>
        <v>0</v>
      </c>
      <c r="AD163" s="121">
        <f>SUMIF(GERAL!B$8:B$1696,A163,GERAL!AI$8:AI$1696)</f>
        <v>208</v>
      </c>
      <c r="AE163" s="121">
        <f>SUMIF(GERAL!B$8:B$1696,A163,GERAL!AV$8:AV$1696)</f>
        <v>35</v>
      </c>
      <c r="AF163" s="492">
        <f t="shared" si="41"/>
        <v>243</v>
      </c>
      <c r="AG163" s="178">
        <f>COUNTIFS(GERAL!B$8:B$1696,A163,GERAL!AW$8:AW$1696,"&gt;0",GERAL!C$8:C$1696,"ESCOLA")</f>
        <v>1</v>
      </c>
      <c r="AH163" s="118">
        <f>COUNTIFS(GERAL!B$8:B$1696,A163,GERAL!AW$8:AW$1696,"&gt;0",GERAL!C$8:C$1696,"ANEXO")</f>
        <v>0</v>
      </c>
      <c r="AI163" s="177">
        <f>SUMIF(GERAL!B$8:B$1696,A163,GERAL!AS$8:AS$1696)+SUMIF(GERAL!B$8:B$1696,A163,GERAL!AT$8:AT$1696)</f>
        <v>57</v>
      </c>
      <c r="AJ163" s="177">
        <f>SUMIF(GERAL!B$8:B$1696,A163,GERAL!AU$8:AU$1696)</f>
        <v>0</v>
      </c>
      <c r="AK163" s="177">
        <f>SUMIF(GERAL!B$8:B$1696,A163,GERAL!AV$8:AV$1696)</f>
        <v>35</v>
      </c>
      <c r="AL163" s="118">
        <f t="shared" si="42"/>
        <v>92</v>
      </c>
      <c r="AM163" s="493" t="s">
        <v>1027</v>
      </c>
    </row>
    <row r="164">
      <c r="A164" s="484" t="s">
        <v>4140</v>
      </c>
      <c r="B164" s="75">
        <f>COUNTIFS(GERAL!B$8:B$1696,A164,GERAL!C$8:C$1696,"ESCOLA")</f>
        <v>1</v>
      </c>
      <c r="C164" s="75">
        <f>COUNTIFS(GERAL!B$8:B$1696,A164,GERAL!C$8:C$1696,"ANEXO")</f>
        <v>0</v>
      </c>
      <c r="D164" s="85">
        <f>SUMIF(GERAL!B$8:B$1696,A164,GERAL!Z$8:Z$1696)</f>
        <v>0</v>
      </c>
      <c r="E164" s="85">
        <f>SUMIF(GERAL!B$8:B$1696,A164,GERAL!AE$8:AE$1696)</f>
        <v>0</v>
      </c>
      <c r="F164" s="85">
        <f>SUMIF(GERAL!B$8:B$1696,A164,GERAL!AJ$8:AJ$1696)</f>
        <v>234</v>
      </c>
      <c r="G164" s="85">
        <f>SUMIF(GERAL!B$8:B$1696,A164,GERAL!AN$8:AN$1696)</f>
        <v>0</v>
      </c>
      <c r="H164" s="85">
        <f>SUMIF(GERAL!B$8:B$1696,A164,GERAL!AR$8:AW$1696)</f>
        <v>79</v>
      </c>
      <c r="I164" s="85">
        <f>SUMIF(GERAL!B$8:B$1696,A164,GERAL!AW$8:AW$1696)</f>
        <v>46</v>
      </c>
      <c r="J164" s="75">
        <f>SUMIF(GERAL!B$8:B$1696,A164,GERAL!AX$8:AX$1696)</f>
        <v>359</v>
      </c>
      <c r="K164" s="75">
        <f>COUNTIFS(GERAL!B$8:B$1696,A164,GERAL!AY$8:AY$1696,"&gt;0",GERAL!C$8:C$1696,"ESCOLA")</f>
        <v>1</v>
      </c>
      <c r="L164" s="75">
        <f>COUNTIFS(GERAL!B$8:B$1696,A164,GERAL!AY$8:AY$1696,"&gt;0",GERAL!C$8:C$1696,"ANEXO")</f>
        <v>0</v>
      </c>
      <c r="M164" s="100">
        <f>SUMIF(GERAL!B$8:B$1696,A164,GERAL!V$8:V$1696)+SUMIF(GERAL!B$8:B$1696,A164,GERAL!W$8:W$1696)</f>
        <v>0</v>
      </c>
      <c r="N164" s="100">
        <f>SUMIF(GERAL!B$8:B$1696,A164,GERAL!AA$8:AA$1696)+SUMIF(GERAL!B$8:B$1696,A164,GERAL!AB$8:AB$1696)</f>
        <v>0</v>
      </c>
      <c r="O164" s="100">
        <f>SUMIF(GERAL!B$8:B$1696,A164,GERAL!AF$8:AF$1696)+SUMIF(GERAL!B$8:B$1696,A164,GERAL!AG$8:AG$1696)</f>
        <v>0</v>
      </c>
      <c r="P164" s="100">
        <f>SUMIF(GERAL!B$8:B$1696,A164,GERAL!AK$8:AK$1696)+SUMIF(GERAL!B$8:B$1696,A164,GERAL!AL$8:AL$1696)</f>
        <v>0</v>
      </c>
      <c r="Q164" s="100">
        <f>SUMIF(GERAL!B$8:B$1696,A164,GERAL!AO$8:AO$1696)+SUMIF(GERAL!B$8:B$1696,A164,GERAL!AP$8:AP$1696)</f>
        <v>0</v>
      </c>
      <c r="R164" s="100">
        <f>SUMIF(GERAL!B$8:B$1696,A164,GERAL!AS$8:AS$1696)+SUMIF(GERAL!B$8:B$1696,A164,GERAL!AT$8:AT$1696)</f>
        <v>0</v>
      </c>
      <c r="S164" s="75">
        <f t="shared" si="39"/>
        <v>0</v>
      </c>
      <c r="T164" s="116">
        <f>COUNTIFS(GERAL!B$8:B$1696,A164,GERAL!AZ$8:AZ$1696,"&gt;0",GERAL!C$8:C$1696,"ESCOLA")</f>
        <v>1</v>
      </c>
      <c r="U164" s="75">
        <f>COUNTIFS(GERAL!B$8:B$1696,A164,GERAL!AZ$8:AZ$1696,"&gt;0",GERAL!C$8:C$1696,"ANEXO")</f>
        <v>0</v>
      </c>
      <c r="V164" s="85">
        <f>SUMIF(GERAL!B$8:B$1696,A164,GERAL!AH$8:AH$1696)</f>
        <v>0</v>
      </c>
      <c r="W164" s="85">
        <f>SUMIF(GERAL!B$8:B$1696,A164,GERAL!AM$8:AM$1696)</f>
        <v>0</v>
      </c>
      <c r="X164" s="85">
        <f>SUMIF(GERAL!B$8:B$1696,A164,GERAL!AQ$8:AQ$1696)</f>
        <v>79</v>
      </c>
      <c r="Y164" s="85">
        <f>SUMIF(GERAL!B$8:B$1696,A164,GERAL!AU$8:AU$1696)</f>
        <v>0</v>
      </c>
      <c r="Z164" s="88">
        <f t="shared" si="40"/>
        <v>79</v>
      </c>
      <c r="AA164" s="116">
        <f>COUNTIFS(GERAL!B$8:B$1696,A164,GERAL!BK$8:BK$1696,"&gt;0",GERAL!C$8:C$1696,"ESCOLA")</f>
        <v>1</v>
      </c>
      <c r="AB164" s="88">
        <f>COUNTIFS(GERAL!B$8:B$1696,A164,GERAL!BK$8:BK$1696,"&gt;0",GERAL!C$8:C$1696,"ANEXO")</f>
        <v>0</v>
      </c>
      <c r="AC164" s="121">
        <f>SUMIF(GERAL!B$8:B$1696,A164,GERAL!AD$8:AD$1696)</f>
        <v>0</v>
      </c>
      <c r="AD164" s="121">
        <f>SUMIF(GERAL!B$8:B$1696,A164,GERAL!AI$8:AI$1696)</f>
        <v>234</v>
      </c>
      <c r="AE164" s="121">
        <f>SUMIF(GERAL!B$8:B$1696,A164,GERAL!AV$8:AV$1696)</f>
        <v>46</v>
      </c>
      <c r="AF164" s="492">
        <f t="shared" si="41"/>
        <v>280</v>
      </c>
      <c r="AG164" s="178">
        <f>COUNTIFS(GERAL!B$8:B$1696,A164,GERAL!AW$8:AW$1696,"&gt;0",GERAL!C$8:C$1696,"ESCOLA")</f>
        <v>1</v>
      </c>
      <c r="AH164" s="118">
        <f>COUNTIFS(GERAL!B$8:B$1696,A164,GERAL!AW$8:AW$1696,"&gt;0",GERAL!C$8:C$1696,"ANEXO")</f>
        <v>0</v>
      </c>
      <c r="AI164" s="177">
        <f>SUMIF(GERAL!B$8:B$1696,A164,GERAL!AS$8:AS$1696)+SUMIF(GERAL!B$8:B$1696,A164,GERAL!AT$8:AT$1696)</f>
        <v>0</v>
      </c>
      <c r="AJ164" s="177">
        <f>SUMIF(GERAL!B$8:B$1696,A164,GERAL!AU$8:AU$1696)</f>
        <v>0</v>
      </c>
      <c r="AK164" s="177">
        <f>SUMIF(GERAL!B$8:B$1696,A164,GERAL!AV$8:AV$1696)</f>
        <v>46</v>
      </c>
      <c r="AL164" s="118">
        <f t="shared" si="42"/>
        <v>46</v>
      </c>
      <c r="AM164" s="493" t="s">
        <v>973</v>
      </c>
    </row>
    <row r="165">
      <c r="A165" s="494" t="s">
        <v>1413</v>
      </c>
      <c r="B165" s="75">
        <f>COUNTIFS(GERAL!B$8:B$1696,A165,GERAL!C$8:C$1696,"ESCOLA")</f>
        <v>2</v>
      </c>
      <c r="C165" s="75">
        <f>COUNTIFS(GERAL!B$8:B$1696,A165,GERAL!C$8:C$1696,"ANEXO")</f>
        <v>0</v>
      </c>
      <c r="D165" s="85">
        <f>SUMIF(GERAL!B$8:B$1696,A165,GERAL!Z$8:Z$1696)</f>
        <v>0</v>
      </c>
      <c r="E165" s="85">
        <f>SUMIF(GERAL!B$8:B$1696,A165,GERAL!AE$8:AE$1696)</f>
        <v>66</v>
      </c>
      <c r="F165" s="85">
        <f>SUMIF(GERAL!B$8:B$1696,A165,GERAL!AJ$8:AJ$1696)</f>
        <v>431</v>
      </c>
      <c r="G165" s="85">
        <f>SUMIF(GERAL!B$8:B$1696,A165,GERAL!AN$8:AN$1696)</f>
        <v>0</v>
      </c>
      <c r="H165" s="85">
        <f>SUMIF(GERAL!B$8:B$1696,A165,GERAL!AR$8:AW$1696)</f>
        <v>101</v>
      </c>
      <c r="I165" s="85">
        <f>SUMIF(GERAL!B$8:B$1696,A165,GERAL!AW$8:AW$1696)</f>
        <v>74</v>
      </c>
      <c r="J165" s="75">
        <f>SUMIF(GERAL!B$8:B$1696,A165,GERAL!AX$8:AX$1696)</f>
        <v>672</v>
      </c>
      <c r="K165" s="75">
        <f>COUNTIFS(GERAL!B$8:B$1696,A165,GERAL!AY$8:AY$1696,"&gt;0",GERAL!C$8:C$1696,"ESCOLA")</f>
        <v>2</v>
      </c>
      <c r="L165" s="75">
        <f>COUNTIFS(GERAL!B$8:B$1696,A165,GERAL!AY$8:AY$1696,"&gt;0",GERAL!C$8:C$1696,"ANEXO")</f>
        <v>0</v>
      </c>
      <c r="M165" s="100">
        <f>SUMIF(GERAL!B$8:B$1696,A165,GERAL!V$8:V$1696)+SUMIF(GERAL!B$8:B$1696,A165,GERAL!W$8:W$1696)</f>
        <v>0</v>
      </c>
      <c r="N165" s="100">
        <f>SUMIF(GERAL!B$8:B$1696,A165,GERAL!AA$8:AA$1696)+SUMIF(GERAL!B$8:B$1696,A165,GERAL!AB$8:AB$1696)</f>
        <v>66</v>
      </c>
      <c r="O165" s="100">
        <f>SUMIF(GERAL!B$8:B$1696,A165,GERAL!AF$8:AF$1696)+SUMIF(GERAL!B$8:B$1696,A165,GERAL!AG$8:AG$1696)</f>
        <v>71</v>
      </c>
      <c r="P165" s="100">
        <f>SUMIF(GERAL!B$8:B$1696,A165,GERAL!AK$8:AK$1696)+SUMIF(GERAL!B$8:B$1696,A165,GERAL!AL$8:AL$1696)</f>
        <v>0</v>
      </c>
      <c r="Q165" s="100">
        <f>SUMIF(GERAL!B$8:B$1696,A165,GERAL!AO$8:AO$1696)+SUMIF(GERAL!B$8:B$1696,A165,GERAL!AP$8:AP$1696)</f>
        <v>0</v>
      </c>
      <c r="R165" s="100">
        <f>SUMIF(GERAL!B$8:B$1696,A165,GERAL!AS$8:AS$1696)+SUMIF(GERAL!B$8:B$1696,A165,GERAL!AT$8:AT$1696)</f>
        <v>0</v>
      </c>
      <c r="S165" s="75">
        <f t="shared" si="39"/>
        <v>137</v>
      </c>
      <c r="T165" s="116">
        <f>COUNTIFS(GERAL!B$8:B$1696,A165,GERAL!AZ$8:AZ$1696,"&gt;0",GERAL!C$8:C$1696,"ESCOLA")</f>
        <v>1</v>
      </c>
      <c r="U165" s="75">
        <f>COUNTIFS(GERAL!B$8:B$1696,A165,GERAL!AZ$8:AZ$1696,"&gt;0",GERAL!C$8:C$1696,"ANEXO")</f>
        <v>0</v>
      </c>
      <c r="V165" s="85">
        <f>SUMIF(GERAL!B$8:B$1696,A165,GERAL!AH$8:AH$1696)</f>
        <v>0</v>
      </c>
      <c r="W165" s="85">
        <f>SUMIF(GERAL!B$8:B$1696,A165,GERAL!AM$8:AM$1696)</f>
        <v>0</v>
      </c>
      <c r="X165" s="85">
        <f>SUMIF(GERAL!B$8:B$1696,A165,GERAL!AQ$8:AQ$1696)</f>
        <v>101</v>
      </c>
      <c r="Y165" s="85">
        <f>SUMIF(GERAL!B$8:B$1696,A165,GERAL!AU$8:AU$1696)</f>
        <v>10</v>
      </c>
      <c r="Z165" s="88">
        <f t="shared" si="40"/>
        <v>111</v>
      </c>
      <c r="AA165" s="116">
        <f>COUNTIFS(GERAL!B$8:B$1696,A165,GERAL!BK$8:BK$1696,"&gt;0",GERAL!C$8:C$1696,"ESCOLA")</f>
        <v>1</v>
      </c>
      <c r="AB165" s="88">
        <f>COUNTIFS(GERAL!B$8:B$1696,A165,GERAL!BK$8:BK$1696,"&gt;0",GERAL!C$8:C$1696,"ANEXO")</f>
        <v>0</v>
      </c>
      <c r="AC165" s="121">
        <f>SUMIF(GERAL!B$8:B$1696,A165,GERAL!AD$8:AD$1696)</f>
        <v>0</v>
      </c>
      <c r="AD165" s="121">
        <f>SUMIF(GERAL!B$8:B$1696,A165,GERAL!AI$8:AI$1696)</f>
        <v>360</v>
      </c>
      <c r="AE165" s="121">
        <f>SUMIF(GERAL!B$8:B$1696,A165,GERAL!AV$8:AV$1696)</f>
        <v>64</v>
      </c>
      <c r="AF165" s="492">
        <f t="shared" si="41"/>
        <v>424</v>
      </c>
      <c r="AG165" s="178">
        <f>COUNTIFS(GERAL!B$8:B$1696,A165,GERAL!AW$8:AW$1696,"&gt;0",GERAL!C$8:C$1696,"ESCOLA")</f>
        <v>1</v>
      </c>
      <c r="AH165" s="118">
        <f>COUNTIFS(GERAL!B$8:B$1696,A165,GERAL!AW$8:AW$1696,"&gt;0",GERAL!C$8:C$1696,"ANEXO")</f>
        <v>0</v>
      </c>
      <c r="AI165" s="177">
        <f>SUMIF(GERAL!B$8:B$1696,A165,GERAL!AS$8:AS$1696)+SUMIF(GERAL!B$8:B$1696,A165,GERAL!AT$8:AT$1696)</f>
        <v>0</v>
      </c>
      <c r="AJ165" s="177">
        <f>SUMIF(GERAL!B$8:B$1696,A165,GERAL!AU$8:AU$1696)</f>
        <v>10</v>
      </c>
      <c r="AK165" s="177">
        <f>SUMIF(GERAL!B$8:B$1696,A165,GERAL!AV$8:AV$1696)</f>
        <v>64</v>
      </c>
      <c r="AL165" s="118">
        <f t="shared" si="42"/>
        <v>74</v>
      </c>
      <c r="AM165" s="493" t="s">
        <v>451</v>
      </c>
    </row>
    <row r="166">
      <c r="A166" s="484" t="s">
        <v>826</v>
      </c>
      <c r="B166" s="75">
        <f>COUNTIFS(GERAL!B$8:B$1696,A166,GERAL!C$8:C$1696,"ESCOLA")</f>
        <v>2</v>
      </c>
      <c r="C166" s="75">
        <f>COUNTIFS(GERAL!B$8:B$1696,A166,GERAL!C$8:C$1696,"ANEXO")</f>
        <v>0</v>
      </c>
      <c r="D166" s="85">
        <f>SUMIF(GERAL!B$8:B$1696,A166,GERAL!Z$8:Z$1696)</f>
        <v>0</v>
      </c>
      <c r="E166" s="85">
        <f>SUMIF(GERAL!B$8:B$1696,A166,GERAL!AE$8:AE$1696)</f>
        <v>0</v>
      </c>
      <c r="F166" s="85">
        <f>SUMIF(GERAL!B$8:B$1696,A166,GERAL!AJ$8:AJ$1696)</f>
        <v>620</v>
      </c>
      <c r="G166" s="85">
        <f>SUMIF(GERAL!B$8:B$1696,A166,GERAL!AN$8:AN$1696)</f>
        <v>0</v>
      </c>
      <c r="H166" s="85">
        <f>SUMIF(GERAL!B$8:B$1696,A166,GERAL!AR$8:AW$1696)</f>
        <v>277</v>
      </c>
      <c r="I166" s="85">
        <f>SUMIF(GERAL!B$8:B$1696,A166,GERAL!AW$8:AW$1696)</f>
        <v>34</v>
      </c>
      <c r="J166" s="75">
        <f>SUMIF(GERAL!B$8:B$1696,A166,GERAL!AX$8:AX$1696)</f>
        <v>931</v>
      </c>
      <c r="K166" s="75">
        <f>COUNTIFS(GERAL!B$8:B$1696,A166,GERAL!AY$8:AY$1696,"&gt;0",GERAL!C$8:C$1696,"ESCOLA")</f>
        <v>2</v>
      </c>
      <c r="L166" s="75">
        <f>COUNTIFS(GERAL!B$8:B$1696,A166,GERAL!AY$8:AY$1696,"&gt;0",GERAL!C$8:C$1696,"ANEXO")</f>
        <v>0</v>
      </c>
      <c r="M166" s="100">
        <f>SUMIF(GERAL!B$8:B$1696,A166,GERAL!V$8:V$1696)+SUMIF(GERAL!B$8:B$1696,A166,GERAL!W$8:W$1696)</f>
        <v>0</v>
      </c>
      <c r="N166" s="100">
        <f>SUMIF(GERAL!B$8:B$1696,A166,GERAL!AA$8:AA$1696)+SUMIF(GERAL!B$8:B$1696,A166,GERAL!AB$8:AB$1696)</f>
        <v>0</v>
      </c>
      <c r="O166" s="100">
        <f>SUMIF(GERAL!B$8:B$1696,A166,GERAL!AF$8:AF$1696)+SUMIF(GERAL!B$8:B$1696,A166,GERAL!AG$8:AG$1696)</f>
        <v>47</v>
      </c>
      <c r="P166" s="100">
        <f>SUMIF(GERAL!B$8:B$1696,A166,GERAL!AK$8:AK$1696)+SUMIF(GERAL!B$8:B$1696,A166,GERAL!AL$8:AL$1696)</f>
        <v>0</v>
      </c>
      <c r="Q166" s="100">
        <f>SUMIF(GERAL!B$8:B$1696,A166,GERAL!AO$8:AO$1696)+SUMIF(GERAL!B$8:B$1696,A166,GERAL!AP$8:AP$1696)</f>
        <v>0</v>
      </c>
      <c r="R166" s="100">
        <f>SUMIF(GERAL!B$8:B$1696,A166,GERAL!AS$8:AS$1696)+SUMIF(GERAL!B$8:B$1696,A166,GERAL!AT$8:AT$1696)</f>
        <v>0</v>
      </c>
      <c r="S166" s="75">
        <f t="shared" si="39"/>
        <v>47</v>
      </c>
      <c r="T166" s="116">
        <f>COUNTIFS(GERAL!B$8:B$1696,A166,GERAL!AZ$8:AZ$1696,"&gt;0",GERAL!C$8:C$1696,"ESCOLA")</f>
        <v>2</v>
      </c>
      <c r="U166" s="75">
        <f>COUNTIFS(GERAL!B$8:B$1696,A166,GERAL!AZ$8:AZ$1696,"&gt;0",GERAL!C$8:C$1696,"ANEXO")</f>
        <v>0</v>
      </c>
      <c r="V166" s="85">
        <f>SUMIF(GERAL!B$8:B$1696,A166,GERAL!AH$8:AH$1696)</f>
        <v>0</v>
      </c>
      <c r="W166" s="85">
        <f>SUMIF(GERAL!B$8:B$1696,A166,GERAL!AM$8:AM$1696)</f>
        <v>0</v>
      </c>
      <c r="X166" s="85">
        <f>SUMIF(GERAL!B$8:B$1696,A166,GERAL!AQ$8:AQ$1696)</f>
        <v>277</v>
      </c>
      <c r="Y166" s="85">
        <f>SUMIF(GERAL!B$8:B$1696,A166,GERAL!AU$8:AU$1696)</f>
        <v>34</v>
      </c>
      <c r="Z166" s="88">
        <f t="shared" si="40"/>
        <v>311</v>
      </c>
      <c r="AA166" s="116">
        <f>COUNTIFS(GERAL!B$8:B$1696,A166,GERAL!BK$8:BK$1696,"&gt;0",GERAL!C$8:C$1696,"ESCOLA")</f>
        <v>2</v>
      </c>
      <c r="AB166" s="88">
        <f>COUNTIFS(GERAL!B$8:B$1696,A166,GERAL!BK$8:BK$1696,"&gt;0",GERAL!C$8:C$1696,"ANEXO")</f>
        <v>0</v>
      </c>
      <c r="AC166" s="121">
        <f>SUMIF(GERAL!B$8:B$1696,A166,GERAL!AD$8:AD$1696)</f>
        <v>0</v>
      </c>
      <c r="AD166" s="121">
        <f>SUMIF(GERAL!B$8:B$1696,A166,GERAL!AI$8:AI$1696)</f>
        <v>573</v>
      </c>
      <c r="AE166" s="121">
        <f>SUMIF(GERAL!B$8:B$1696,A166,GERAL!AV$8:AV$1696)</f>
        <v>0</v>
      </c>
      <c r="AF166" s="492">
        <f t="shared" si="41"/>
        <v>573</v>
      </c>
      <c r="AG166" s="178">
        <f>COUNTIFS(GERAL!B$8:B$1696,A166,GERAL!AW$8:AW$1696,"&gt;0",GERAL!C$8:C$1696,"ESCOLA")</f>
        <v>1</v>
      </c>
      <c r="AH166" s="118">
        <f>COUNTIFS(GERAL!B$8:B$1696,A166,GERAL!AW$8:AW$1696,"&gt;0",GERAL!C$8:C$1696,"ANEXO")</f>
        <v>0</v>
      </c>
      <c r="AI166" s="177">
        <f>SUMIF(GERAL!B$8:B$1696,A166,GERAL!AS$8:AS$1696)+SUMIF(GERAL!B$8:B$1696,A166,GERAL!AT$8:AT$1696)</f>
        <v>0</v>
      </c>
      <c r="AJ166" s="177">
        <f>SUMIF(GERAL!B$8:B$1696,A166,GERAL!AU$8:AU$1696)</f>
        <v>34</v>
      </c>
      <c r="AK166" s="177">
        <f>SUMIF(GERAL!B$8:B$1696,A166,GERAL!AV$8:AV$1696)</f>
        <v>0</v>
      </c>
      <c r="AL166" s="118">
        <f t="shared" si="42"/>
        <v>34</v>
      </c>
      <c r="AM166" s="493" t="s">
        <v>285</v>
      </c>
    </row>
    <row r="167">
      <c r="A167" s="494" t="s">
        <v>2446</v>
      </c>
      <c r="B167" s="75">
        <f>COUNTIFS(GERAL!B$8:B$1696,A167,GERAL!C$8:C$1696,"ESCOLA")</f>
        <v>1</v>
      </c>
      <c r="C167" s="75">
        <f>COUNTIFS(GERAL!B$8:B$1696,A167,GERAL!C$8:C$1696,"ANEXO")</f>
        <v>2</v>
      </c>
      <c r="D167" s="85">
        <f>SUMIF(GERAL!B$8:B$1696,A167,GERAL!Z$8:Z$1696)</f>
        <v>0</v>
      </c>
      <c r="E167" s="85">
        <f>SUMIF(GERAL!B$8:B$1696,A167,GERAL!AE$8:AE$1696)</f>
        <v>0</v>
      </c>
      <c r="F167" s="85">
        <f>SUMIF(GERAL!B$8:B$1696,A167,GERAL!AJ$8:AJ$1696)</f>
        <v>302</v>
      </c>
      <c r="G167" s="85">
        <f>SUMIF(GERAL!B$8:B$1696,A167,GERAL!AN$8:AN$1696)</f>
        <v>0</v>
      </c>
      <c r="H167" s="85">
        <f>SUMIF(GERAL!B$8:B$1696,A167,GERAL!AR$8:AW$1696)</f>
        <v>133</v>
      </c>
      <c r="I167" s="85">
        <f>SUMIF(GERAL!B$8:B$1696,A167,GERAL!AW$8:AW$1696)</f>
        <v>40</v>
      </c>
      <c r="J167" s="75">
        <f>SUMIF(GERAL!B$8:B$1696,A167,GERAL!AX$8:AX$1696)</f>
        <v>475</v>
      </c>
      <c r="K167" s="75">
        <f>COUNTIFS(GERAL!B$8:B$1696,A167,GERAL!AY$8:AY$1696,"&gt;0",GERAL!C$8:C$1696,"ESCOLA")</f>
        <v>1</v>
      </c>
      <c r="L167" s="75">
        <f>COUNTIFS(GERAL!B$8:B$1696,A167,GERAL!AY$8:AY$1696,"&gt;0",GERAL!C$8:C$1696,"ANEXO")</f>
        <v>1</v>
      </c>
      <c r="M167" s="100">
        <f>SUMIF(GERAL!B$8:B$1696,A167,GERAL!V$8:V$1696)+SUMIF(GERAL!B$8:B$1696,A167,GERAL!W$8:W$1696)</f>
        <v>0</v>
      </c>
      <c r="N167" s="100">
        <f>SUMIF(GERAL!B$8:B$1696,A167,GERAL!AA$8:AA$1696)+SUMIF(GERAL!B$8:B$1696,A167,GERAL!AB$8:AB$1696)</f>
        <v>0</v>
      </c>
      <c r="O167" s="100">
        <f>SUMIF(GERAL!B$8:B$1696,A167,GERAL!AF$8:AF$1696)+SUMIF(GERAL!B$8:B$1696,A167,GERAL!AG$8:AG$1696)</f>
        <v>8</v>
      </c>
      <c r="P167" s="100">
        <f>SUMIF(GERAL!B$8:B$1696,A167,GERAL!AK$8:AK$1696)+SUMIF(GERAL!B$8:B$1696,A167,GERAL!AL$8:AL$1696)</f>
        <v>0</v>
      </c>
      <c r="Q167" s="100">
        <f>SUMIF(GERAL!B$8:B$1696,A167,GERAL!AO$8:AO$1696)+SUMIF(GERAL!B$8:B$1696,A167,GERAL!AP$8:AP$1696)</f>
        <v>0</v>
      </c>
      <c r="R167" s="100">
        <f>SUMIF(GERAL!B$8:B$1696,A167,GERAL!AS$8:AS$1696)+SUMIF(GERAL!B$8:B$1696,A167,GERAL!AT$8:AT$1696)</f>
        <v>0</v>
      </c>
      <c r="S167" s="75">
        <f t="shared" si="39"/>
        <v>8</v>
      </c>
      <c r="T167" s="116">
        <f>COUNTIFS(GERAL!B$8:B$1696,A167,GERAL!AZ$8:AZ$1696,"&gt;0",GERAL!C$8:C$1696,"ESCOLA")</f>
        <v>1</v>
      </c>
      <c r="U167" s="75">
        <f>COUNTIFS(GERAL!B$8:B$1696,A167,GERAL!AZ$8:AZ$1696,"&gt;0",GERAL!C$8:C$1696,"ANEXO")</f>
        <v>2</v>
      </c>
      <c r="V167" s="85">
        <f>SUMIF(GERAL!B$8:B$1696,A167,GERAL!AH$8:AH$1696)</f>
        <v>64</v>
      </c>
      <c r="W167" s="85">
        <f>SUMIF(GERAL!B$8:B$1696,A167,GERAL!AM$8:AM$1696)</f>
        <v>0</v>
      </c>
      <c r="X167" s="85">
        <f>SUMIF(GERAL!B$8:B$1696,A167,GERAL!AQ$8:AQ$1696)</f>
        <v>133</v>
      </c>
      <c r="Y167" s="85">
        <f>SUMIF(GERAL!B$8:B$1696,A167,GERAL!AU$8:AU$1696)</f>
        <v>0</v>
      </c>
      <c r="Z167" s="88">
        <f t="shared" si="40"/>
        <v>197</v>
      </c>
      <c r="AA167" s="116">
        <f>COUNTIFS(GERAL!B$8:B$1696,A167,GERAL!BK$8:BK$1696,"&gt;0",GERAL!C$8:C$1696,"ESCOLA")</f>
        <v>1</v>
      </c>
      <c r="AB167" s="88">
        <f>COUNTIFS(GERAL!B$8:B$1696,A167,GERAL!BK$8:BK$1696,"&gt;0",GERAL!C$8:C$1696,"ANEXO")</f>
        <v>0</v>
      </c>
      <c r="AC167" s="121">
        <f>SUMIF(GERAL!B$8:B$1696,A167,GERAL!AD$8:AD$1696)</f>
        <v>0</v>
      </c>
      <c r="AD167" s="121">
        <f>SUMIF(GERAL!B$8:B$1696,A167,GERAL!AI$8:AI$1696)</f>
        <v>230</v>
      </c>
      <c r="AE167" s="121">
        <f>SUMIF(GERAL!B$8:B$1696,A167,GERAL!AV$8:AV$1696)</f>
        <v>40</v>
      </c>
      <c r="AF167" s="492">
        <f t="shared" si="41"/>
        <v>270</v>
      </c>
      <c r="AG167" s="178">
        <f>COUNTIFS(GERAL!B$8:B$1696,A167,GERAL!AW$8:AW$1696,"&gt;0",GERAL!C$8:C$1696,"ESCOLA")</f>
        <v>1</v>
      </c>
      <c r="AH167" s="118">
        <f>COUNTIFS(GERAL!B$8:B$1696,A167,GERAL!AW$8:AW$1696,"&gt;0",GERAL!C$8:C$1696,"ANEXO")</f>
        <v>0</v>
      </c>
      <c r="AI167" s="177">
        <f>SUMIF(GERAL!B$8:B$1696,A167,GERAL!AS$8:AS$1696)+SUMIF(GERAL!B$8:B$1696,A167,GERAL!AT$8:AT$1696)</f>
        <v>0</v>
      </c>
      <c r="AJ167" s="177">
        <f>SUMIF(GERAL!B$8:B$1696,A167,GERAL!AU$8:AU$1696)</f>
        <v>0</v>
      </c>
      <c r="AK167" s="177">
        <f>SUMIF(GERAL!B$8:B$1696,A167,GERAL!AV$8:AV$1696)</f>
        <v>40</v>
      </c>
      <c r="AL167" s="118">
        <f t="shared" si="42"/>
        <v>40</v>
      </c>
      <c r="AM167" s="493" t="s">
        <v>673</v>
      </c>
    </row>
    <row r="168">
      <c r="A168" s="484" t="s">
        <v>248</v>
      </c>
      <c r="B168" s="75">
        <f>COUNTIFS(GERAL!B$8:B$1696,A168,GERAL!C$8:C$1696,"ESCOLA")</f>
        <v>2</v>
      </c>
      <c r="C168" s="75">
        <f>COUNTIFS(GERAL!B$8:B$1696,A168,GERAL!C$8:C$1696,"ANEXO")</f>
        <v>0</v>
      </c>
      <c r="D168" s="85">
        <f>SUMIF(GERAL!B$8:B$1696,A168,GERAL!Z$8:Z$1696)</f>
        <v>0</v>
      </c>
      <c r="E168" s="85">
        <f>SUMIF(GERAL!B$8:B$1696,A168,GERAL!AE$8:AE$1696)</f>
        <v>0</v>
      </c>
      <c r="F168" s="85">
        <f>SUMIF(GERAL!B$8:B$1696,A168,GERAL!AJ$8:AJ$1696)</f>
        <v>444</v>
      </c>
      <c r="G168" s="85">
        <f>SUMIF(GERAL!B$8:B$1696,A168,GERAL!AN$8:AN$1696)</f>
        <v>0</v>
      </c>
      <c r="H168" s="85">
        <f>SUMIF(GERAL!B$8:B$1696,A168,GERAL!AR$8:AW$1696)</f>
        <v>81</v>
      </c>
      <c r="I168" s="85">
        <f>SUMIF(GERAL!B$8:B$1696,A168,GERAL!AW$8:AW$1696)</f>
        <v>54</v>
      </c>
      <c r="J168" s="75">
        <f>SUMIF(GERAL!B$8:B$1696,A168,GERAL!AX$8:AX$1696)</f>
        <v>579</v>
      </c>
      <c r="K168" s="75">
        <f>COUNTIFS(GERAL!B$8:B$1696,A168,GERAL!AY$8:AY$1696,"&gt;0",GERAL!C$8:C$1696,"ESCOLA")</f>
        <v>2</v>
      </c>
      <c r="L168" s="75">
        <f>COUNTIFS(GERAL!B$8:B$1696,A168,GERAL!AY$8:AY$1696,"&gt;0",GERAL!C$8:C$1696,"ANEXO")</f>
        <v>0</v>
      </c>
      <c r="M168" s="100">
        <f>SUMIF(GERAL!B$8:B$1696,A168,GERAL!V$8:V$1696)+SUMIF(GERAL!B$8:B$1696,A168,GERAL!W$8:W$1696)</f>
        <v>0</v>
      </c>
      <c r="N168" s="100">
        <f>SUMIF(GERAL!B$8:B$1696,A168,GERAL!AA$8:AA$1696)+SUMIF(GERAL!B$8:B$1696,A168,GERAL!AB$8:AB$1696)</f>
        <v>0</v>
      </c>
      <c r="O168" s="100">
        <f>SUMIF(GERAL!B$8:B$1696,A168,GERAL!AF$8:AF$1696)+SUMIF(GERAL!B$8:B$1696,A168,GERAL!AG$8:AG$1696)</f>
        <v>0</v>
      </c>
      <c r="P168" s="100">
        <f>SUMIF(GERAL!B$8:B$1696,A168,GERAL!AK$8:AK$1696)+SUMIF(GERAL!B$8:B$1696,A168,GERAL!AL$8:AL$1696)</f>
        <v>0</v>
      </c>
      <c r="Q168" s="100">
        <f>SUMIF(GERAL!B$8:B$1696,A168,GERAL!AO$8:AO$1696)+SUMIF(GERAL!B$8:B$1696,A168,GERAL!AP$8:AP$1696)</f>
        <v>0</v>
      </c>
      <c r="R168" s="100">
        <f>SUMIF(GERAL!B$8:B$1696,A168,GERAL!AS$8:AS$1696)+SUMIF(GERAL!B$8:B$1696,A168,GERAL!AT$8:AT$1696)</f>
        <v>0</v>
      </c>
      <c r="S168" s="75">
        <f t="shared" si="39"/>
        <v>0</v>
      </c>
      <c r="T168" s="116">
        <f>COUNTIFS(GERAL!B$8:B$1696,A168,GERAL!AZ$8:AZ$1696,"&gt;0",GERAL!C$8:C$1696,"ESCOLA")</f>
        <v>2</v>
      </c>
      <c r="U168" s="75">
        <f>COUNTIFS(GERAL!B$8:B$1696,A168,GERAL!AZ$8:AZ$1696,"&gt;0",GERAL!C$8:C$1696,"ANEXO")</f>
        <v>0</v>
      </c>
      <c r="V168" s="85">
        <f>SUMIF(GERAL!B$8:B$1696,A168,GERAL!AH$8:AH$1696)</f>
        <v>0</v>
      </c>
      <c r="W168" s="85">
        <f>SUMIF(GERAL!B$8:B$1696,A168,GERAL!AM$8:AM$1696)</f>
        <v>0</v>
      </c>
      <c r="X168" s="85">
        <f>SUMIF(GERAL!B$8:B$1696,A168,GERAL!AQ$8:AQ$1696)</f>
        <v>81</v>
      </c>
      <c r="Y168" s="85">
        <f>SUMIF(GERAL!B$8:B$1696,A168,GERAL!AU$8:AU$1696)</f>
        <v>0</v>
      </c>
      <c r="Z168" s="88">
        <f t="shared" si="40"/>
        <v>81</v>
      </c>
      <c r="AA168" s="116">
        <f>COUNTIFS(GERAL!B$8:B$1696,A168,GERAL!BK$8:BK$1696,"&gt;0",GERAL!C$8:C$1696,"ESCOLA")</f>
        <v>2</v>
      </c>
      <c r="AB168" s="88">
        <f>COUNTIFS(GERAL!B$8:B$1696,A168,GERAL!BK$8:BK$1696,"&gt;0",GERAL!C$8:C$1696,"ANEXO")</f>
        <v>0</v>
      </c>
      <c r="AC168" s="121">
        <f>SUMIF(GERAL!B$8:B$1696,A168,GERAL!AD$8:AD$1696)</f>
        <v>0</v>
      </c>
      <c r="AD168" s="121">
        <f>SUMIF(GERAL!B$8:B$1696,A168,GERAL!AI$8:AI$1696)</f>
        <v>444</v>
      </c>
      <c r="AE168" s="121">
        <f>SUMIF(GERAL!B$8:B$1696,A168,GERAL!AV$8:AV$1696)</f>
        <v>54</v>
      </c>
      <c r="AF168" s="492">
        <f t="shared" si="41"/>
        <v>498</v>
      </c>
      <c r="AG168" s="178">
        <f>COUNTIFS(GERAL!B$8:B$1696,A168,GERAL!AW$8:AW$1696,"&gt;0",GERAL!C$8:C$1696,"ESCOLA")</f>
        <v>1</v>
      </c>
      <c r="AH168" s="118">
        <f>COUNTIFS(GERAL!B$8:B$1696,A168,GERAL!AW$8:AW$1696,"&gt;0",GERAL!C$8:C$1696,"ANEXO")</f>
        <v>0</v>
      </c>
      <c r="AI168" s="177">
        <f>SUMIF(GERAL!B$8:B$1696,A168,GERAL!AS$8:AS$1696)+SUMIF(GERAL!B$8:B$1696,A168,GERAL!AT$8:AT$1696)</f>
        <v>0</v>
      </c>
      <c r="AJ168" s="177">
        <f>SUMIF(GERAL!B$8:B$1696,A168,GERAL!AU$8:AU$1696)</f>
        <v>0</v>
      </c>
      <c r="AK168" s="177">
        <f>SUMIF(GERAL!B$8:B$1696,A168,GERAL!AV$8:AV$1696)</f>
        <v>54</v>
      </c>
      <c r="AL168" s="118">
        <f t="shared" si="42"/>
        <v>54</v>
      </c>
      <c r="AM168" s="493" t="s">
        <v>130</v>
      </c>
    </row>
    <row r="169">
      <c r="A169" s="494" t="s">
        <v>3900</v>
      </c>
      <c r="B169" s="75">
        <f>COUNTIFS(GERAL!B$8:B$1696,A169,GERAL!C$8:C$1696,"ESCOLA")</f>
        <v>1</v>
      </c>
      <c r="C169" s="75">
        <f>COUNTIFS(GERAL!B$8:B$1696,A169,GERAL!C$8:C$1696,"ANEXO")</f>
        <v>5</v>
      </c>
      <c r="D169" s="85">
        <f>SUMIF(GERAL!B$8:B$1696,A169,GERAL!Z$8:Z$1696)</f>
        <v>0</v>
      </c>
      <c r="E169" s="85">
        <f>SUMIF(GERAL!B$8:B$1696,A169,GERAL!AE$8:AE$1696)</f>
        <v>0</v>
      </c>
      <c r="F169" s="85">
        <f>SUMIF(GERAL!B$8:B$1696,A169,GERAL!AJ$8:AJ$1696)</f>
        <v>424</v>
      </c>
      <c r="G169" s="85">
        <f>SUMIF(GERAL!B$8:B$1696,A169,GERAL!AN$8:AN$1696)</f>
        <v>0</v>
      </c>
      <c r="H169" s="85">
        <f>SUMIF(GERAL!B$8:B$1696,A169,GERAL!AR$8:AW$1696)</f>
        <v>45</v>
      </c>
      <c r="I169" s="85">
        <f>SUMIF(GERAL!B$8:B$1696,A169,GERAL!AW$8:AW$1696)</f>
        <v>42</v>
      </c>
      <c r="J169" s="75">
        <f>SUMIF(GERAL!B$8:B$1696,A169,GERAL!AX$8:AX$1696)</f>
        <v>511</v>
      </c>
      <c r="K169" s="75">
        <f>COUNTIFS(GERAL!B$8:B$1696,A169,GERAL!AY$8:AY$1696,"&gt;0",GERAL!C$8:C$1696,"ESCOLA")</f>
        <v>1</v>
      </c>
      <c r="L169" s="75">
        <f>COUNTIFS(GERAL!B$8:B$1696,A169,GERAL!AY$8:AY$1696,"&gt;0",GERAL!C$8:C$1696,"ANEXO")</f>
        <v>5</v>
      </c>
      <c r="M169" s="100">
        <f>SUMIF(GERAL!B$8:B$1696,A169,GERAL!V$8:V$1696)+SUMIF(GERAL!B$8:B$1696,A169,GERAL!W$8:W$1696)</f>
        <v>0</v>
      </c>
      <c r="N169" s="100">
        <f>SUMIF(GERAL!B$8:B$1696,A169,GERAL!AA$8:AA$1696)+SUMIF(GERAL!B$8:B$1696,A169,GERAL!AB$8:AB$1696)</f>
        <v>0</v>
      </c>
      <c r="O169" s="100">
        <f>SUMIF(GERAL!B$8:B$1696,A169,GERAL!AF$8:AF$1696)+SUMIF(GERAL!B$8:B$1696,A169,GERAL!AG$8:AG$1696)</f>
        <v>145</v>
      </c>
      <c r="P169" s="100">
        <f>SUMIF(GERAL!B$8:B$1696,A169,GERAL!AK$8:AK$1696)+SUMIF(GERAL!B$8:B$1696,A169,GERAL!AL$8:AL$1696)</f>
        <v>0</v>
      </c>
      <c r="Q169" s="100">
        <f>SUMIF(GERAL!B$8:B$1696,A169,GERAL!AO$8:AO$1696)+SUMIF(GERAL!B$8:B$1696,A169,GERAL!AP$8:AP$1696)</f>
        <v>0</v>
      </c>
      <c r="R169" s="100">
        <f>SUMIF(GERAL!B$8:B$1696,A169,GERAL!AS$8:AS$1696)+SUMIF(GERAL!B$8:B$1696,A169,GERAL!AT$8:AT$1696)</f>
        <v>0</v>
      </c>
      <c r="S169" s="75">
        <f t="shared" si="39"/>
        <v>145</v>
      </c>
      <c r="T169" s="116">
        <f>COUNTIFS(GERAL!B$8:B$1696,A169,GERAL!AZ$8:AZ$1696,"&gt;0",GERAL!C$8:C$1696,"ESCOLA")</f>
        <v>1</v>
      </c>
      <c r="U169" s="75">
        <f>COUNTIFS(GERAL!B$8:B$1696,A169,GERAL!AZ$8:AZ$1696,"&gt;0",GERAL!C$8:C$1696,"ANEXO")</f>
        <v>2</v>
      </c>
      <c r="V169" s="85">
        <f>SUMIF(GERAL!B$8:B$1696,A169,GERAL!AH$8:AH$1696)</f>
        <v>30</v>
      </c>
      <c r="W169" s="85">
        <f>SUMIF(GERAL!B$8:B$1696,A169,GERAL!AM$8:AM$1696)</f>
        <v>0</v>
      </c>
      <c r="X169" s="85">
        <f>SUMIF(GERAL!B$8:B$1696,A169,GERAL!AQ$8:AQ$1696)</f>
        <v>45</v>
      </c>
      <c r="Y169" s="85">
        <f>SUMIF(GERAL!B$8:B$1696,A169,GERAL!AU$8:AU$1696)</f>
        <v>0</v>
      </c>
      <c r="Z169" s="88">
        <f t="shared" si="40"/>
        <v>75</v>
      </c>
      <c r="AA169" s="116">
        <f>COUNTIFS(GERAL!B$8:B$1696,A169,GERAL!BK$8:BK$1696,"&gt;0",GERAL!C$8:C$1696,"ESCOLA")</f>
        <v>1</v>
      </c>
      <c r="AB169" s="88">
        <f>COUNTIFS(GERAL!B$8:B$1696,A169,GERAL!BK$8:BK$1696,"&gt;0",GERAL!C$8:C$1696,"ANEXO")</f>
        <v>0</v>
      </c>
      <c r="AC169" s="121">
        <f>SUMIF(GERAL!B$8:B$1696,A169,GERAL!AD$8:AD$1696)</f>
        <v>0</v>
      </c>
      <c r="AD169" s="121">
        <f>SUMIF(GERAL!B$8:B$1696,A169,GERAL!AI$8:AI$1696)</f>
        <v>249</v>
      </c>
      <c r="AE169" s="121">
        <f>SUMIF(GERAL!B$8:B$1696,A169,GERAL!AV$8:AV$1696)</f>
        <v>42</v>
      </c>
      <c r="AF169" s="492">
        <f t="shared" si="41"/>
        <v>291</v>
      </c>
      <c r="AG169" s="178">
        <f>COUNTIFS(GERAL!B$8:B$1696,A169,GERAL!AW$8:AW$1696,"&gt;0",GERAL!C$8:C$1696,"ESCOLA")</f>
        <v>1</v>
      </c>
      <c r="AH169" s="118">
        <f>COUNTIFS(GERAL!B$8:B$1696,A169,GERAL!AW$8:AW$1696,"&gt;0",GERAL!C$8:C$1696,"ANEXO")</f>
        <v>0</v>
      </c>
      <c r="AI169" s="177">
        <f>SUMIF(GERAL!B$8:B$1696,A169,GERAL!AS$8:AS$1696)+SUMIF(GERAL!B$8:B$1696,A169,GERAL!AT$8:AT$1696)</f>
        <v>0</v>
      </c>
      <c r="AJ169" s="177">
        <f>SUMIF(GERAL!B$8:B$1696,A169,GERAL!AU$8:AU$1696)</f>
        <v>0</v>
      </c>
      <c r="AK169" s="177">
        <f>SUMIF(GERAL!B$8:B$1696,A169,GERAL!AV$8:AV$1696)</f>
        <v>42</v>
      </c>
      <c r="AL169" s="118">
        <f t="shared" si="42"/>
        <v>42</v>
      </c>
      <c r="AM169" s="493" t="s">
        <v>914</v>
      </c>
    </row>
    <row r="170">
      <c r="A170" s="484" t="s">
        <v>4358</v>
      </c>
      <c r="B170" s="75">
        <f>COUNTIFS(GERAL!B$8:B$1696,A170,GERAL!C$8:C$1696,"ESCOLA")</f>
        <v>1</v>
      </c>
      <c r="C170" s="75">
        <f>COUNTIFS(GERAL!B$8:B$1696,A170,GERAL!C$8:C$1696,"ANEXO")</f>
        <v>0</v>
      </c>
      <c r="D170" s="85">
        <f>SUMIF(GERAL!B$8:B$1696,A170,GERAL!Z$8:Z$1696)</f>
        <v>0</v>
      </c>
      <c r="E170" s="85">
        <f>SUMIF(GERAL!B$8:B$1696,A170,GERAL!AE$8:AE$1696)</f>
        <v>0</v>
      </c>
      <c r="F170" s="85">
        <f>SUMIF(GERAL!B$8:B$1696,A170,GERAL!AJ$8:AJ$1696)</f>
        <v>168</v>
      </c>
      <c r="G170" s="85">
        <f>SUMIF(GERAL!B$8:B$1696,A170,GERAL!AN$8:AN$1696)</f>
        <v>0</v>
      </c>
      <c r="H170" s="85">
        <f>SUMIF(GERAL!B$8:B$1696,A170,GERAL!AR$8:AW$1696)</f>
        <v>48</v>
      </c>
      <c r="I170" s="85">
        <f>SUMIF(GERAL!B$8:B$1696,A170,GERAL!AW$8:AW$1696)</f>
        <v>12</v>
      </c>
      <c r="J170" s="75">
        <f>SUMIF(GERAL!B$8:B$1696,A170,GERAL!AX$8:AX$1696)</f>
        <v>228</v>
      </c>
      <c r="K170" s="75">
        <f>COUNTIFS(GERAL!B$8:B$1696,A170,GERAL!AY$8:AY$1696,"&gt;0",GERAL!C$8:C$1696,"ESCOLA")</f>
        <v>1</v>
      </c>
      <c r="L170" s="75">
        <f>COUNTIFS(GERAL!B$8:B$1696,A170,GERAL!AY$8:AY$1696,"&gt;0",GERAL!C$8:C$1696,"ANEXO")</f>
        <v>0</v>
      </c>
      <c r="M170" s="100">
        <f>SUMIF(GERAL!B$8:B$1696,A170,GERAL!V$8:V$1696)+SUMIF(GERAL!B$8:B$1696,A170,GERAL!W$8:W$1696)</f>
        <v>0</v>
      </c>
      <c r="N170" s="100">
        <f>SUMIF(GERAL!B$8:B$1696,A170,GERAL!AA$8:AA$1696)+SUMIF(GERAL!B$8:B$1696,A170,GERAL!AB$8:AB$1696)</f>
        <v>0</v>
      </c>
      <c r="O170" s="100">
        <f>SUMIF(GERAL!B$8:B$1696,A170,GERAL!AF$8:AF$1696)+SUMIF(GERAL!B$8:B$1696,A170,GERAL!AG$8:AG$1696)</f>
        <v>0</v>
      </c>
      <c r="P170" s="100">
        <f>SUMIF(GERAL!B$8:B$1696,A170,GERAL!AK$8:AK$1696)+SUMIF(GERAL!B$8:B$1696,A170,GERAL!AL$8:AL$1696)</f>
        <v>0</v>
      </c>
      <c r="Q170" s="100">
        <f>SUMIF(GERAL!B$8:B$1696,A170,GERAL!AO$8:AO$1696)+SUMIF(GERAL!B$8:B$1696,A170,GERAL!AP$8:AP$1696)</f>
        <v>0</v>
      </c>
      <c r="R170" s="100">
        <f>SUMIF(GERAL!B$8:B$1696,A170,GERAL!AS$8:AS$1696)+SUMIF(GERAL!B$8:B$1696,A170,GERAL!AT$8:AT$1696)</f>
        <v>0</v>
      </c>
      <c r="S170" s="75">
        <f t="shared" si="39"/>
        <v>0</v>
      </c>
      <c r="T170" s="116">
        <f>COUNTIFS(GERAL!B$8:B$1696,A170,GERAL!AZ$8:AZ$1696,"&gt;0",GERAL!C$8:C$1696,"ESCOLA")</f>
        <v>1</v>
      </c>
      <c r="U170" s="75">
        <f>COUNTIFS(GERAL!B$8:B$1696,A170,GERAL!AZ$8:AZ$1696,"&gt;0",GERAL!C$8:C$1696,"ANEXO")</f>
        <v>0</v>
      </c>
      <c r="V170" s="85">
        <f>SUMIF(GERAL!B$8:B$1696,A170,GERAL!AH$8:AH$1696)</f>
        <v>0</v>
      </c>
      <c r="W170" s="85">
        <f>SUMIF(GERAL!B$8:B$1696,A170,GERAL!AM$8:AM$1696)</f>
        <v>0</v>
      </c>
      <c r="X170" s="85">
        <f>SUMIF(GERAL!B$8:B$1696,A170,GERAL!AQ$8:AQ$1696)</f>
        <v>48</v>
      </c>
      <c r="Y170" s="85">
        <f>SUMIF(GERAL!B$8:B$1696,A170,GERAL!AU$8:AU$1696)</f>
        <v>12</v>
      </c>
      <c r="Z170" s="88">
        <f t="shared" si="40"/>
        <v>60</v>
      </c>
      <c r="AA170" s="116">
        <f>COUNTIFS(GERAL!B$8:B$1696,A170,GERAL!BK$8:BK$1696,"&gt;0",GERAL!C$8:C$1696,"ESCOLA")</f>
        <v>1</v>
      </c>
      <c r="AB170" s="88">
        <f>COUNTIFS(GERAL!B$8:B$1696,A170,GERAL!BK$8:BK$1696,"&gt;0",GERAL!C$8:C$1696,"ANEXO")</f>
        <v>0</v>
      </c>
      <c r="AC170" s="121">
        <f>SUMIF(GERAL!B$8:B$1696,A170,GERAL!AD$8:AD$1696)</f>
        <v>0</v>
      </c>
      <c r="AD170" s="121">
        <f>SUMIF(GERAL!B$8:B$1696,A170,GERAL!AI$8:AI$1696)</f>
        <v>168</v>
      </c>
      <c r="AE170" s="121">
        <f>SUMIF(GERAL!B$8:B$1696,A170,GERAL!AV$8:AV$1696)</f>
        <v>0</v>
      </c>
      <c r="AF170" s="492">
        <f t="shared" si="41"/>
        <v>168</v>
      </c>
      <c r="AG170" s="178">
        <f>COUNTIFS(GERAL!B$8:B$1696,A170,GERAL!AW$8:AW$1696,"&gt;0",GERAL!C$8:C$1696,"ESCOLA")</f>
        <v>1</v>
      </c>
      <c r="AH170" s="118">
        <f>COUNTIFS(GERAL!B$8:B$1696,A170,GERAL!AW$8:AW$1696,"&gt;0",GERAL!C$8:C$1696,"ANEXO")</f>
        <v>0</v>
      </c>
      <c r="AI170" s="177">
        <f>SUMIF(GERAL!B$8:B$1696,A170,GERAL!AS$8:AS$1696)+SUMIF(GERAL!B$8:B$1696,A170,GERAL!AT$8:AT$1696)</f>
        <v>0</v>
      </c>
      <c r="AJ170" s="177">
        <f>SUMIF(GERAL!B$8:B$1696,A170,GERAL!AU$8:AU$1696)</f>
        <v>12</v>
      </c>
      <c r="AK170" s="177">
        <f>SUMIF(GERAL!B$8:B$1696,A170,GERAL!AV$8:AV$1696)</f>
        <v>0</v>
      </c>
      <c r="AL170" s="118">
        <f t="shared" si="42"/>
        <v>12</v>
      </c>
      <c r="AM170" s="493" t="s">
        <v>1027</v>
      </c>
    </row>
    <row r="171">
      <c r="A171" s="494" t="s">
        <v>1725</v>
      </c>
      <c r="B171" s="75">
        <f>COUNTIFS(GERAL!B$8:B$1696,A171,GERAL!C$8:C$1696,"ESCOLA")</f>
        <v>2</v>
      </c>
      <c r="C171" s="75">
        <f>COUNTIFS(GERAL!B$8:B$1696,A171,GERAL!C$8:C$1696,"ANEXO")</f>
        <v>0</v>
      </c>
      <c r="D171" s="85">
        <f>SUMIF(GERAL!B$8:B$1696,A171,GERAL!Z$8:Z$1696)</f>
        <v>0</v>
      </c>
      <c r="E171" s="85">
        <f>SUMIF(GERAL!B$8:B$1696,A171,GERAL!AE$8:AE$1696)</f>
        <v>0</v>
      </c>
      <c r="F171" s="85">
        <f>SUMIF(GERAL!B$8:B$1696,A171,GERAL!AJ$8:AJ$1696)</f>
        <v>430</v>
      </c>
      <c r="G171" s="85">
        <f>SUMIF(GERAL!B$8:B$1696,A171,GERAL!AN$8:AN$1696)</f>
        <v>0</v>
      </c>
      <c r="H171" s="85">
        <f>SUMIF(GERAL!B$8:B$1696,A171,GERAL!AR$8:AW$1696)</f>
        <v>153</v>
      </c>
      <c r="I171" s="85">
        <f>SUMIF(GERAL!B$8:B$1696,A171,GERAL!AW$8:AW$1696)</f>
        <v>186</v>
      </c>
      <c r="J171" s="75">
        <f>SUMIF(GERAL!B$8:B$1696,A171,GERAL!AX$8:AX$1696)</f>
        <v>769</v>
      </c>
      <c r="K171" s="75">
        <f>COUNTIFS(GERAL!B$8:B$1696,A171,GERAL!AY$8:AY$1696,"&gt;0",GERAL!C$8:C$1696,"ESCOLA")</f>
        <v>2</v>
      </c>
      <c r="L171" s="75">
        <f>COUNTIFS(GERAL!B$8:B$1696,A171,GERAL!AY$8:AY$1696,"&gt;0",GERAL!C$8:C$1696,"ANEXO")</f>
        <v>0</v>
      </c>
      <c r="M171" s="100">
        <f>SUMIF(GERAL!B$8:B$1696,A171,GERAL!V$8:V$1696)+SUMIF(GERAL!B$8:B$1696,A171,GERAL!W$8:W$1696)</f>
        <v>0</v>
      </c>
      <c r="N171" s="100">
        <f>SUMIF(GERAL!B$8:B$1696,A171,GERAL!AA$8:AA$1696)+SUMIF(GERAL!B$8:B$1696,A171,GERAL!AB$8:AB$1696)</f>
        <v>0</v>
      </c>
      <c r="O171" s="100">
        <f>SUMIF(GERAL!B$8:B$1696,A171,GERAL!AF$8:AF$1696)+SUMIF(GERAL!B$8:B$1696,A171,GERAL!AG$8:AG$1696)</f>
        <v>266</v>
      </c>
      <c r="P171" s="100">
        <f>SUMIF(GERAL!B$8:B$1696,A171,GERAL!AK$8:AK$1696)+SUMIF(GERAL!B$8:B$1696,A171,GERAL!AL$8:AL$1696)</f>
        <v>0</v>
      </c>
      <c r="Q171" s="100">
        <f>SUMIF(GERAL!B$8:B$1696,A171,GERAL!AO$8:AO$1696)+SUMIF(GERAL!B$8:B$1696,A171,GERAL!AP$8:AP$1696)</f>
        <v>0</v>
      </c>
      <c r="R171" s="100">
        <f>SUMIF(GERAL!B$8:B$1696,A171,GERAL!AS$8:AS$1696)+SUMIF(GERAL!B$8:B$1696,A171,GERAL!AT$8:AT$1696)</f>
        <v>0</v>
      </c>
      <c r="S171" s="75">
        <f t="shared" si="39"/>
        <v>266</v>
      </c>
      <c r="T171" s="116">
        <f>COUNTIFS(GERAL!B$8:B$1696,A171,GERAL!AZ$8:AZ$1696,"&gt;0",GERAL!C$8:C$1696,"ESCOLA")</f>
        <v>2</v>
      </c>
      <c r="U171" s="75">
        <f>COUNTIFS(GERAL!B$8:B$1696,A171,GERAL!AZ$8:AZ$1696,"&gt;0",GERAL!C$8:C$1696,"ANEXO")</f>
        <v>0</v>
      </c>
      <c r="V171" s="85">
        <f>SUMIF(GERAL!B$8:B$1696,A171,GERAL!AH$8:AH$1696)</f>
        <v>0</v>
      </c>
      <c r="W171" s="85">
        <f>SUMIF(GERAL!B$8:B$1696,A171,GERAL!AM$8:AM$1696)</f>
        <v>0</v>
      </c>
      <c r="X171" s="85">
        <f>SUMIF(GERAL!B$8:B$1696,A171,GERAL!AQ$8:AQ$1696)</f>
        <v>153</v>
      </c>
      <c r="Y171" s="85">
        <f>SUMIF(GERAL!B$8:B$1696,A171,GERAL!AU$8:AU$1696)</f>
        <v>24</v>
      </c>
      <c r="Z171" s="88">
        <f t="shared" si="40"/>
        <v>177</v>
      </c>
      <c r="AA171" s="116">
        <f>COUNTIFS(GERAL!B$8:B$1696,A171,GERAL!BK$8:BK$1696,"&gt;0",GERAL!C$8:C$1696,"ESCOLA")</f>
        <v>1</v>
      </c>
      <c r="AB171" s="88">
        <f>COUNTIFS(GERAL!B$8:B$1696,A171,GERAL!BK$8:BK$1696,"&gt;0",GERAL!C$8:C$1696,"ANEXO")</f>
        <v>0</v>
      </c>
      <c r="AC171" s="121">
        <f>SUMIF(GERAL!B$8:B$1696,A171,GERAL!AD$8:AD$1696)</f>
        <v>0</v>
      </c>
      <c r="AD171" s="121">
        <f>SUMIF(GERAL!B$8:B$1696,A171,GERAL!AI$8:AI$1696)</f>
        <v>164</v>
      </c>
      <c r="AE171" s="121">
        <f>SUMIF(GERAL!B$8:B$1696,A171,GERAL!AV$8:AV$1696)</f>
        <v>162</v>
      </c>
      <c r="AF171" s="492">
        <f t="shared" si="41"/>
        <v>326</v>
      </c>
      <c r="AG171" s="178">
        <f>COUNTIFS(GERAL!B$8:B$1696,A171,GERAL!AW$8:AW$1696,"&gt;0",GERAL!C$8:C$1696,"ESCOLA")</f>
        <v>2</v>
      </c>
      <c r="AH171" s="118">
        <f>COUNTIFS(GERAL!B$8:B$1696,A171,GERAL!AW$8:AW$1696,"&gt;0",GERAL!C$8:C$1696,"ANEXO")</f>
        <v>0</v>
      </c>
      <c r="AI171" s="177">
        <f>SUMIF(GERAL!B$8:B$1696,A171,GERAL!AS$8:AS$1696)+SUMIF(GERAL!B$8:B$1696,A171,GERAL!AT$8:AT$1696)</f>
        <v>0</v>
      </c>
      <c r="AJ171" s="177">
        <f>SUMIF(GERAL!B$8:B$1696,A171,GERAL!AU$8:AU$1696)</f>
        <v>24</v>
      </c>
      <c r="AK171" s="177">
        <f>SUMIF(GERAL!B$8:B$1696,A171,GERAL!AV$8:AV$1696)</f>
        <v>162</v>
      </c>
      <c r="AL171" s="118">
        <f t="shared" si="42"/>
        <v>186</v>
      </c>
      <c r="AM171" s="493" t="s">
        <v>540</v>
      </c>
    </row>
    <row r="172">
      <c r="A172" s="484" t="s">
        <v>1910</v>
      </c>
      <c r="B172" s="75">
        <f>COUNTIFS(GERAL!B$8:B$1696,A172,GERAL!C$8:C$1696,"ESCOLA")</f>
        <v>1</v>
      </c>
      <c r="C172" s="75">
        <f>COUNTIFS(GERAL!B$8:B$1696,A172,GERAL!C$8:C$1696,"ANEXO")</f>
        <v>0</v>
      </c>
      <c r="D172" s="85">
        <f>SUMIF(GERAL!B$8:B$1696,A172,GERAL!Z$8:Z$1696)</f>
        <v>0</v>
      </c>
      <c r="E172" s="85">
        <f>SUMIF(GERAL!B$8:B$1696,A172,GERAL!AE$8:AE$1696)</f>
        <v>0</v>
      </c>
      <c r="F172" s="85">
        <f>SUMIF(GERAL!B$8:B$1696,A172,GERAL!AJ$8:AJ$1696)</f>
        <v>240</v>
      </c>
      <c r="G172" s="85">
        <f>SUMIF(GERAL!B$8:B$1696,A172,GERAL!AN$8:AN$1696)</f>
        <v>0</v>
      </c>
      <c r="H172" s="85">
        <f>SUMIF(GERAL!B$8:B$1696,A172,GERAL!AR$8:AW$1696)</f>
        <v>51</v>
      </c>
      <c r="I172" s="85">
        <f>SUMIF(GERAL!B$8:B$1696,A172,GERAL!AW$8:AW$1696)</f>
        <v>31</v>
      </c>
      <c r="J172" s="75">
        <f>SUMIF(GERAL!B$8:B$1696,A172,GERAL!AX$8:AX$1696)</f>
        <v>322</v>
      </c>
      <c r="K172" s="75">
        <f>COUNTIFS(GERAL!B$8:B$1696,A172,GERAL!AY$8:AY$1696,"&gt;0",GERAL!C$8:C$1696,"ESCOLA")</f>
        <v>1</v>
      </c>
      <c r="L172" s="75">
        <f>COUNTIFS(GERAL!B$8:B$1696,A172,GERAL!AY$8:AY$1696,"&gt;0",GERAL!C$8:C$1696,"ANEXO")</f>
        <v>0</v>
      </c>
      <c r="M172" s="100">
        <f>SUMIF(GERAL!B$8:B$1696,A172,GERAL!V$8:V$1696)+SUMIF(GERAL!B$8:B$1696,A172,GERAL!W$8:W$1696)</f>
        <v>0</v>
      </c>
      <c r="N172" s="100">
        <f>SUMIF(GERAL!B$8:B$1696,A172,GERAL!AA$8:AA$1696)+SUMIF(GERAL!B$8:B$1696,A172,GERAL!AB$8:AB$1696)</f>
        <v>0</v>
      </c>
      <c r="O172" s="100">
        <f>SUMIF(GERAL!B$8:B$1696,A172,GERAL!AF$8:AF$1696)+SUMIF(GERAL!B$8:B$1696,A172,GERAL!AG$8:AG$1696)</f>
        <v>240</v>
      </c>
      <c r="P172" s="100">
        <f>SUMIF(GERAL!B$8:B$1696,A172,GERAL!AK$8:AK$1696)+SUMIF(GERAL!B$8:B$1696,A172,GERAL!AL$8:AL$1696)</f>
        <v>0</v>
      </c>
      <c r="Q172" s="100">
        <f>SUMIF(GERAL!B$8:B$1696,A172,GERAL!AO$8:AO$1696)+SUMIF(GERAL!B$8:B$1696,A172,GERAL!AP$8:AP$1696)</f>
        <v>0</v>
      </c>
      <c r="R172" s="100">
        <f>SUMIF(GERAL!B$8:B$1696,A172,GERAL!AS$8:AS$1696)+SUMIF(GERAL!B$8:B$1696,A172,GERAL!AT$8:AT$1696)</f>
        <v>0</v>
      </c>
      <c r="S172" s="75">
        <f t="shared" si="39"/>
        <v>240</v>
      </c>
      <c r="T172" s="116">
        <f>COUNTIFS(GERAL!B$8:B$1696,A172,GERAL!AZ$8:AZ$1696,"&gt;0",GERAL!C$8:C$1696,"ESCOLA")</f>
        <v>1</v>
      </c>
      <c r="U172" s="75">
        <f>COUNTIFS(GERAL!B$8:B$1696,A172,GERAL!AZ$8:AZ$1696,"&gt;0",GERAL!C$8:C$1696,"ANEXO")</f>
        <v>0</v>
      </c>
      <c r="V172" s="85">
        <f>SUMIF(GERAL!B$8:B$1696,A172,GERAL!AH$8:AH$1696)</f>
        <v>0</v>
      </c>
      <c r="W172" s="85">
        <f>SUMIF(GERAL!B$8:B$1696,A172,GERAL!AM$8:AM$1696)</f>
        <v>0</v>
      </c>
      <c r="X172" s="85">
        <f>SUMIF(GERAL!B$8:B$1696,A172,GERAL!AQ$8:AQ$1696)</f>
        <v>51</v>
      </c>
      <c r="Y172" s="85">
        <f>SUMIF(GERAL!B$8:B$1696,A172,GERAL!AU$8:AU$1696)</f>
        <v>31</v>
      </c>
      <c r="Z172" s="88">
        <f t="shared" si="40"/>
        <v>82</v>
      </c>
      <c r="AA172" s="116">
        <f>COUNTIFS(GERAL!B$8:B$1696,A172,GERAL!BK$8:BK$1696,"&gt;0",GERAL!C$8:C$1696,"ESCOLA")</f>
        <v>0</v>
      </c>
      <c r="AB172" s="88">
        <f>COUNTIFS(GERAL!B$8:B$1696,A172,GERAL!BK$8:BK$1696,"&gt;0",GERAL!C$8:C$1696,"ANEXO")</f>
        <v>0</v>
      </c>
      <c r="AC172" s="121">
        <f>SUMIF(GERAL!B$8:B$1696,A172,GERAL!AD$8:AD$1696)</f>
        <v>0</v>
      </c>
      <c r="AD172" s="121">
        <f>SUMIF(GERAL!B$8:B$1696,A172,GERAL!AI$8:AI$1696)</f>
        <v>0</v>
      </c>
      <c r="AE172" s="121">
        <f>SUMIF(GERAL!B$8:B$1696,A172,GERAL!AV$8:AV$1696)</f>
        <v>0</v>
      </c>
      <c r="AF172" s="492">
        <f t="shared" si="41"/>
        <v>0</v>
      </c>
      <c r="AG172" s="178">
        <f>COUNTIFS(GERAL!B$8:B$1696,A172,GERAL!AW$8:AW$1696,"&gt;0",GERAL!C$8:C$1696,"ESCOLA")</f>
        <v>1</v>
      </c>
      <c r="AH172" s="118">
        <f>COUNTIFS(GERAL!B$8:B$1696,A172,GERAL!AW$8:AW$1696,"&gt;0",GERAL!C$8:C$1696,"ANEXO")</f>
        <v>0</v>
      </c>
      <c r="AI172" s="177">
        <f>SUMIF(GERAL!B$8:B$1696,A172,GERAL!AS$8:AS$1696)+SUMIF(GERAL!B$8:B$1696,A172,GERAL!AT$8:AT$1696)</f>
        <v>0</v>
      </c>
      <c r="AJ172" s="177">
        <f>SUMIF(GERAL!B$8:B$1696,A172,GERAL!AU$8:AU$1696)</f>
        <v>31</v>
      </c>
      <c r="AK172" s="177">
        <f>SUMIF(GERAL!B$8:B$1696,A172,GERAL!AV$8:AV$1696)</f>
        <v>0</v>
      </c>
      <c r="AL172" s="118">
        <f t="shared" si="42"/>
        <v>31</v>
      </c>
      <c r="AM172" s="493" t="s">
        <v>605</v>
      </c>
    </row>
    <row r="173">
      <c r="A173" s="494" t="s">
        <v>6910</v>
      </c>
      <c r="B173" s="75">
        <f>COUNTIFS(GERAL!B$8:B$1696,A173,GERAL!C$8:C$1696,"ESCOLA")</f>
        <v>2</v>
      </c>
      <c r="C173" s="75">
        <f>COUNTIFS(GERAL!B$8:B$1696,A173,GERAL!C$8:C$1696,"ANEXO")</f>
        <v>0</v>
      </c>
      <c r="D173" s="85">
        <f>SUMIF(GERAL!B$8:B$1696,A173,GERAL!Z$8:Z$1696)</f>
        <v>0</v>
      </c>
      <c r="E173" s="85">
        <f>SUMIF(GERAL!B$8:B$1696,A173,GERAL!AE$8:AE$1696)</f>
        <v>0</v>
      </c>
      <c r="F173" s="85">
        <f>SUMIF(GERAL!B$8:B$1696,A173,GERAL!AJ$8:AJ$1696)</f>
        <v>485</v>
      </c>
      <c r="G173" s="85">
        <f>SUMIF(GERAL!B$8:B$1696,A173,GERAL!AN$8:AN$1696)</f>
        <v>0</v>
      </c>
      <c r="H173" s="85">
        <f>SUMIF(GERAL!B$8:B$1696,A173,GERAL!AR$8:AW$1696)</f>
        <v>200</v>
      </c>
      <c r="I173" s="85">
        <f>SUMIF(GERAL!B$8:B$1696,A173,GERAL!AW$8:AW$1696)</f>
        <v>65</v>
      </c>
      <c r="J173" s="75">
        <f>SUMIF(GERAL!B$8:B$1696,A173,GERAL!AX$8:AX$1696)</f>
        <v>750</v>
      </c>
      <c r="K173" s="75">
        <f>COUNTIFS(GERAL!B$8:B$1696,A173,GERAL!AY$8:AY$1696,"&gt;0",GERAL!C$8:C$1696,"ESCOLA")</f>
        <v>2</v>
      </c>
      <c r="L173" s="75">
        <f>COUNTIFS(GERAL!B$8:B$1696,A173,GERAL!AY$8:AY$1696,"&gt;0",GERAL!C$8:C$1696,"ANEXO")</f>
        <v>0</v>
      </c>
      <c r="M173" s="100">
        <f>SUMIF(GERAL!B$8:B$1696,A173,GERAL!V$8:V$1696)+SUMIF(GERAL!B$8:B$1696,A173,GERAL!W$8:W$1696)</f>
        <v>0</v>
      </c>
      <c r="N173" s="100">
        <f>SUMIF(GERAL!B$8:B$1696,A173,GERAL!AA$8:AA$1696)+SUMIF(GERAL!B$8:B$1696,A173,GERAL!AB$8:AB$1696)</f>
        <v>0</v>
      </c>
      <c r="O173" s="100">
        <f>SUMIF(GERAL!B$8:B$1696,A173,GERAL!AF$8:AF$1696)+SUMIF(GERAL!B$8:B$1696,A173,GERAL!AG$8:AG$1696)</f>
        <v>19</v>
      </c>
      <c r="P173" s="100">
        <f>SUMIF(GERAL!B$8:B$1696,A173,GERAL!AK$8:AK$1696)+SUMIF(GERAL!B$8:B$1696,A173,GERAL!AL$8:AL$1696)</f>
        <v>0</v>
      </c>
      <c r="Q173" s="100">
        <f>SUMIF(GERAL!B$8:B$1696,A173,GERAL!AO$8:AO$1696)+SUMIF(GERAL!B$8:B$1696,A173,GERAL!AP$8:AP$1696)</f>
        <v>0</v>
      </c>
      <c r="R173" s="100">
        <f>SUMIF(GERAL!B$8:B$1696,A173,GERAL!AS$8:AS$1696)+SUMIF(GERAL!B$8:B$1696,A173,GERAL!AT$8:AT$1696)</f>
        <v>0</v>
      </c>
      <c r="S173" s="75">
        <f t="shared" si="39"/>
        <v>19</v>
      </c>
      <c r="T173" s="116">
        <f>COUNTIFS(GERAL!B$8:B$1696,A173,GERAL!AZ$8:AZ$1696,"&gt;0",GERAL!C$8:C$1696,"ESCOLA")</f>
        <v>2</v>
      </c>
      <c r="U173" s="75">
        <f>COUNTIFS(GERAL!B$8:B$1696,A173,GERAL!AZ$8:AZ$1696,"&gt;0",GERAL!C$8:C$1696,"ANEXO")</f>
        <v>0</v>
      </c>
      <c r="V173" s="85">
        <f>SUMIF(GERAL!B$8:B$1696,A173,GERAL!AH$8:AH$1696)</f>
        <v>0</v>
      </c>
      <c r="W173" s="85">
        <f>SUMIF(GERAL!B$8:B$1696,A173,GERAL!AM$8:AM$1696)</f>
        <v>0</v>
      </c>
      <c r="X173" s="85">
        <f>SUMIF(GERAL!B$8:B$1696,A173,GERAL!AQ$8:AQ$1696)</f>
        <v>200</v>
      </c>
      <c r="Y173" s="85">
        <f>SUMIF(GERAL!B$8:B$1696,A173,GERAL!AU$8:AU$1696)</f>
        <v>26</v>
      </c>
      <c r="Z173" s="88">
        <f t="shared" si="40"/>
        <v>226</v>
      </c>
      <c r="AA173" s="116">
        <f>COUNTIFS(GERAL!B$8:B$1696,A173,GERAL!BK$8:BK$1696,"&gt;0",GERAL!C$8:C$1696,"ESCOLA")</f>
        <v>2</v>
      </c>
      <c r="AB173" s="88">
        <f>COUNTIFS(GERAL!B$8:B$1696,A173,GERAL!BK$8:BK$1696,"&gt;0",GERAL!C$8:C$1696,"ANEXO")</f>
        <v>0</v>
      </c>
      <c r="AC173" s="121">
        <f>SUMIF(GERAL!B$8:B$1696,A173,GERAL!AD$8:AD$1696)</f>
        <v>0</v>
      </c>
      <c r="AD173" s="121">
        <f>SUMIF(GERAL!B$8:B$1696,A173,GERAL!AI$8:AI$1696)</f>
        <v>466</v>
      </c>
      <c r="AE173" s="121">
        <f>SUMIF(GERAL!B$8:B$1696,A173,GERAL!AV$8:AV$1696)</f>
        <v>39</v>
      </c>
      <c r="AF173" s="492">
        <f t="shared" si="41"/>
        <v>505</v>
      </c>
      <c r="AG173" s="178">
        <f>COUNTIFS(GERAL!B$8:B$1696,A173,GERAL!AW$8:AW$1696,"&gt;0",GERAL!C$8:C$1696,"ESCOLA")</f>
        <v>1</v>
      </c>
      <c r="AH173" s="118">
        <f>COUNTIFS(GERAL!B$8:B$1696,A173,GERAL!AW$8:AW$1696,"&gt;0",GERAL!C$8:C$1696,"ANEXO")</f>
        <v>0</v>
      </c>
      <c r="AI173" s="177">
        <f>SUMIF(GERAL!B$8:B$1696,A173,GERAL!AS$8:AS$1696)+SUMIF(GERAL!B$8:B$1696,A173,GERAL!AT$8:AT$1696)</f>
        <v>0</v>
      </c>
      <c r="AJ173" s="177">
        <f>SUMIF(GERAL!B$8:B$1696,A173,GERAL!AU$8:AU$1696)</f>
        <v>26</v>
      </c>
      <c r="AK173" s="177">
        <f>SUMIF(GERAL!B$8:B$1696,A173,GERAL!AV$8:AV$1696)</f>
        <v>39</v>
      </c>
      <c r="AL173" s="118">
        <f t="shared" si="42"/>
        <v>65</v>
      </c>
      <c r="AM173" s="493" t="s">
        <v>1535</v>
      </c>
    </row>
    <row r="174">
      <c r="A174" s="484" t="s">
        <v>836</v>
      </c>
      <c r="B174" s="75">
        <f>COUNTIFS(GERAL!B$8:B$1696,A174,GERAL!C$8:C$1696,"ESCOLA")</f>
        <v>2</v>
      </c>
      <c r="C174" s="75">
        <f>COUNTIFS(GERAL!B$8:B$1696,A174,GERAL!C$8:C$1696,"ANEXO")</f>
        <v>2</v>
      </c>
      <c r="D174" s="85">
        <f>SUMIF(GERAL!B$8:B$1696,A174,GERAL!Z$8:Z$1696)</f>
        <v>0</v>
      </c>
      <c r="E174" s="85">
        <f>SUMIF(GERAL!B$8:B$1696,A174,GERAL!AE$8:AE$1696)</f>
        <v>0</v>
      </c>
      <c r="F174" s="85">
        <f>SUMIF(GERAL!B$8:B$1696,A174,GERAL!AJ$8:AJ$1696)</f>
        <v>397</v>
      </c>
      <c r="G174" s="85">
        <f>SUMIF(GERAL!B$8:B$1696,A174,GERAL!AN$8:AN$1696)</f>
        <v>0</v>
      </c>
      <c r="H174" s="85">
        <f>SUMIF(GERAL!B$8:B$1696,A174,GERAL!AR$8:AW$1696)</f>
        <v>74</v>
      </c>
      <c r="I174" s="85">
        <f>SUMIF(GERAL!B$8:B$1696,A174,GERAL!AW$8:AW$1696)</f>
        <v>88</v>
      </c>
      <c r="J174" s="75">
        <f>SUMIF(GERAL!B$8:B$1696,A174,GERAL!AX$8:AX$1696)</f>
        <v>559</v>
      </c>
      <c r="K174" s="75">
        <f>COUNTIFS(GERAL!B$8:B$1696,A174,GERAL!AY$8:AY$1696,"&gt;0",GERAL!C$8:C$1696,"ESCOLA")</f>
        <v>2</v>
      </c>
      <c r="L174" s="75">
        <f>COUNTIFS(GERAL!B$8:B$1696,A174,GERAL!AY$8:AY$1696,"&gt;0",GERAL!C$8:C$1696,"ANEXO")</f>
        <v>2</v>
      </c>
      <c r="M174" s="100">
        <f>SUMIF(GERAL!B$8:B$1696,A174,GERAL!V$8:V$1696)+SUMIF(GERAL!B$8:B$1696,A174,GERAL!W$8:W$1696)</f>
        <v>0</v>
      </c>
      <c r="N174" s="100">
        <f>SUMIF(GERAL!B$8:B$1696,A174,GERAL!AA$8:AA$1696)+SUMIF(GERAL!B$8:B$1696,A174,GERAL!AB$8:AB$1696)</f>
        <v>0</v>
      </c>
      <c r="O174" s="100">
        <f>SUMIF(GERAL!B$8:B$1696,A174,GERAL!AF$8:AF$1696)+SUMIF(GERAL!B$8:B$1696,A174,GERAL!AG$8:AG$1696)</f>
        <v>185</v>
      </c>
      <c r="P174" s="100">
        <f>SUMIF(GERAL!B$8:B$1696,A174,GERAL!AK$8:AK$1696)+SUMIF(GERAL!B$8:B$1696,A174,GERAL!AL$8:AL$1696)</f>
        <v>0</v>
      </c>
      <c r="Q174" s="100">
        <f>SUMIF(GERAL!B$8:B$1696,A174,GERAL!AO$8:AO$1696)+SUMIF(GERAL!B$8:B$1696,A174,GERAL!AP$8:AP$1696)</f>
        <v>0</v>
      </c>
      <c r="R174" s="100">
        <f>SUMIF(GERAL!B$8:B$1696,A174,GERAL!AS$8:AS$1696)+SUMIF(GERAL!B$8:B$1696,A174,GERAL!AT$8:AT$1696)</f>
        <v>80</v>
      </c>
      <c r="S174" s="75">
        <f t="shared" si="39"/>
        <v>265</v>
      </c>
      <c r="T174" s="116">
        <f>COUNTIFS(GERAL!B$8:B$1696,A174,GERAL!AZ$8:AZ$1696,"&gt;0",GERAL!C$8:C$1696,"ESCOLA")</f>
        <v>2</v>
      </c>
      <c r="U174" s="75">
        <f>COUNTIFS(GERAL!B$8:B$1696,A174,GERAL!AZ$8:AZ$1696,"&gt;0",GERAL!C$8:C$1696,"ANEXO")</f>
        <v>2</v>
      </c>
      <c r="V174" s="85">
        <f>SUMIF(GERAL!B$8:B$1696,A174,GERAL!AH$8:AH$1696)</f>
        <v>0</v>
      </c>
      <c r="W174" s="85">
        <f>SUMIF(GERAL!B$8:B$1696,A174,GERAL!AM$8:AM$1696)</f>
        <v>0</v>
      </c>
      <c r="X174" s="85">
        <f>SUMIF(GERAL!B$8:B$1696,A174,GERAL!AQ$8:AQ$1696)</f>
        <v>74</v>
      </c>
      <c r="Y174" s="85">
        <f>SUMIF(GERAL!B$8:B$1696,A174,GERAL!AU$8:AU$1696)</f>
        <v>8</v>
      </c>
      <c r="Z174" s="88">
        <f t="shared" si="40"/>
        <v>82</v>
      </c>
      <c r="AA174" s="116">
        <f>COUNTIFS(GERAL!B$8:B$1696,A174,GERAL!BK$8:BK$1696,"&gt;0",GERAL!C$8:C$1696,"ESCOLA")</f>
        <v>1</v>
      </c>
      <c r="AB174" s="88">
        <f>COUNTIFS(GERAL!B$8:B$1696,A174,GERAL!BK$8:BK$1696,"&gt;0",GERAL!C$8:C$1696,"ANEXO")</f>
        <v>0</v>
      </c>
      <c r="AC174" s="121">
        <f>SUMIF(GERAL!B$8:B$1696,A174,GERAL!AD$8:AD$1696)</f>
        <v>0</v>
      </c>
      <c r="AD174" s="121">
        <f>SUMIF(GERAL!B$8:B$1696,A174,GERAL!AI$8:AI$1696)</f>
        <v>212</v>
      </c>
      <c r="AE174" s="121">
        <f>SUMIF(GERAL!B$8:B$1696,A174,GERAL!AV$8:AV$1696)</f>
        <v>0</v>
      </c>
      <c r="AF174" s="492">
        <f t="shared" si="41"/>
        <v>212</v>
      </c>
      <c r="AG174" s="178">
        <f>COUNTIFS(GERAL!B$8:B$1696,A174,GERAL!AW$8:AW$1696,"&gt;0",GERAL!C$8:C$1696,"ESCOLA")</f>
        <v>1</v>
      </c>
      <c r="AH174" s="118">
        <f>COUNTIFS(GERAL!B$8:B$1696,A174,GERAL!AW$8:AW$1696,"&gt;0",GERAL!C$8:C$1696,"ANEXO")</f>
        <v>0</v>
      </c>
      <c r="AI174" s="177">
        <f>SUMIF(GERAL!B$8:B$1696,A174,GERAL!AS$8:AS$1696)+SUMIF(GERAL!B$8:B$1696,A174,GERAL!AT$8:AT$1696)</f>
        <v>80</v>
      </c>
      <c r="AJ174" s="177">
        <f>SUMIF(GERAL!B$8:B$1696,A174,GERAL!AU$8:AU$1696)</f>
        <v>8</v>
      </c>
      <c r="AK174" s="177">
        <f>SUMIF(GERAL!B$8:B$1696,A174,GERAL!AV$8:AV$1696)</f>
        <v>0</v>
      </c>
      <c r="AL174" s="118">
        <f t="shared" si="42"/>
        <v>88</v>
      </c>
      <c r="AM174" s="493" t="s">
        <v>285</v>
      </c>
    </row>
    <row r="175">
      <c r="A175" s="494" t="s">
        <v>258</v>
      </c>
      <c r="B175" s="75">
        <f>COUNTIFS(GERAL!B$8:B$1696,A175,GERAL!C$8:C$1696,"ESCOLA")</f>
        <v>1</v>
      </c>
      <c r="C175" s="75">
        <f>COUNTIFS(GERAL!B$8:B$1696,A175,GERAL!C$8:C$1696,"ANEXO")</f>
        <v>1</v>
      </c>
      <c r="D175" s="85">
        <f>SUMIF(GERAL!B$8:B$1696,A175,GERAL!Z$8:Z$1696)</f>
        <v>0</v>
      </c>
      <c r="E175" s="85">
        <f>SUMIF(GERAL!B$8:B$1696,A175,GERAL!AE$8:AE$1696)</f>
        <v>0</v>
      </c>
      <c r="F175" s="85">
        <f>SUMIF(GERAL!B$8:B$1696,A175,GERAL!AJ$8:AJ$1696)</f>
        <v>388</v>
      </c>
      <c r="G175" s="85">
        <f>SUMIF(GERAL!B$8:B$1696,A175,GERAL!AN$8:AN$1696)</f>
        <v>0</v>
      </c>
      <c r="H175" s="85">
        <f>SUMIF(GERAL!B$8:B$1696,A175,GERAL!AR$8:AW$1696)</f>
        <v>123</v>
      </c>
      <c r="I175" s="85">
        <f>SUMIF(GERAL!B$8:B$1696,A175,GERAL!AW$8:AW$1696)</f>
        <v>151</v>
      </c>
      <c r="J175" s="75">
        <f>SUMIF(GERAL!B$8:B$1696,A175,GERAL!AX$8:AX$1696)</f>
        <v>662</v>
      </c>
      <c r="K175" s="75">
        <f>COUNTIFS(GERAL!B$8:B$1696,A175,GERAL!AY$8:AY$1696,"&gt;0",GERAL!C$8:C$1696,"ESCOLA")</f>
        <v>1</v>
      </c>
      <c r="L175" s="75">
        <f>COUNTIFS(GERAL!B$8:B$1696,A175,GERAL!AY$8:AY$1696,"&gt;0",GERAL!C$8:C$1696,"ANEXO")</f>
        <v>0</v>
      </c>
      <c r="M175" s="100">
        <f>SUMIF(GERAL!B$8:B$1696,A175,GERAL!V$8:V$1696)+SUMIF(GERAL!B$8:B$1696,A175,GERAL!W$8:W$1696)</f>
        <v>0</v>
      </c>
      <c r="N175" s="100">
        <f>SUMIF(GERAL!B$8:B$1696,A175,GERAL!AA$8:AA$1696)+SUMIF(GERAL!B$8:B$1696,A175,GERAL!AB$8:AB$1696)</f>
        <v>0</v>
      </c>
      <c r="O175" s="100">
        <f>SUMIF(GERAL!B$8:B$1696,A175,GERAL!AF$8:AF$1696)+SUMIF(GERAL!B$8:B$1696,A175,GERAL!AG$8:AG$1696)</f>
        <v>0</v>
      </c>
      <c r="P175" s="100">
        <f>SUMIF(GERAL!B$8:B$1696,A175,GERAL!AK$8:AK$1696)+SUMIF(GERAL!B$8:B$1696,A175,GERAL!AL$8:AL$1696)</f>
        <v>0</v>
      </c>
      <c r="Q175" s="100">
        <f>SUMIF(GERAL!B$8:B$1696,A175,GERAL!AO$8:AO$1696)+SUMIF(GERAL!B$8:B$1696,A175,GERAL!AP$8:AP$1696)</f>
        <v>0</v>
      </c>
      <c r="R175" s="100">
        <f>SUMIF(GERAL!B$8:B$1696,A175,GERAL!AS$8:AS$1696)+SUMIF(GERAL!B$8:B$1696,A175,GERAL!AT$8:AT$1696)</f>
        <v>0</v>
      </c>
      <c r="S175" s="75">
        <f t="shared" si="39"/>
        <v>0</v>
      </c>
      <c r="T175" s="116">
        <f>COUNTIFS(GERAL!B$8:B$1696,A175,GERAL!AZ$8:AZ$1696,"&gt;0",GERAL!C$8:C$1696,"ESCOLA")</f>
        <v>1</v>
      </c>
      <c r="U175" s="75">
        <f>COUNTIFS(GERAL!B$8:B$1696,A175,GERAL!AZ$8:AZ$1696,"&gt;0",GERAL!C$8:C$1696,"ANEXO")</f>
        <v>1</v>
      </c>
      <c r="V175" s="85">
        <f>SUMIF(GERAL!B$8:B$1696,A175,GERAL!AH$8:AH$1696)</f>
        <v>42</v>
      </c>
      <c r="W175" s="85">
        <f>SUMIF(GERAL!B$8:B$1696,A175,GERAL!AM$8:AM$1696)</f>
        <v>0</v>
      </c>
      <c r="X175" s="85">
        <f>SUMIF(GERAL!B$8:B$1696,A175,GERAL!AQ$8:AQ$1696)</f>
        <v>123</v>
      </c>
      <c r="Y175" s="85">
        <f>SUMIF(GERAL!B$8:B$1696,A175,GERAL!AU$8:AU$1696)</f>
        <v>0</v>
      </c>
      <c r="Z175" s="88">
        <f t="shared" si="40"/>
        <v>165</v>
      </c>
      <c r="AA175" s="116">
        <f>COUNTIFS(GERAL!B$8:B$1696,A175,GERAL!BK$8:BK$1696,"&gt;0",GERAL!C$8:C$1696,"ESCOLA")</f>
        <v>1</v>
      </c>
      <c r="AB175" s="88">
        <f>COUNTIFS(GERAL!B$8:B$1696,A175,GERAL!BK$8:BK$1696,"&gt;0",GERAL!C$8:C$1696,"ANEXO")</f>
        <v>0</v>
      </c>
      <c r="AC175" s="121">
        <f>SUMIF(GERAL!B$8:B$1696,A175,GERAL!AD$8:AD$1696)</f>
        <v>0</v>
      </c>
      <c r="AD175" s="121">
        <f>SUMIF(GERAL!B$8:B$1696,A175,GERAL!AI$8:AI$1696)</f>
        <v>346</v>
      </c>
      <c r="AE175" s="121">
        <f>SUMIF(GERAL!B$8:B$1696,A175,GERAL!AV$8:AV$1696)</f>
        <v>151</v>
      </c>
      <c r="AF175" s="492">
        <f t="shared" si="41"/>
        <v>497</v>
      </c>
      <c r="AG175" s="178">
        <f>COUNTIFS(GERAL!B$8:B$1696,A175,GERAL!AW$8:AW$1696,"&gt;0",GERAL!C$8:C$1696,"ESCOLA")</f>
        <v>1</v>
      </c>
      <c r="AH175" s="118">
        <f>COUNTIFS(GERAL!B$8:B$1696,A175,GERAL!AW$8:AW$1696,"&gt;0",GERAL!C$8:C$1696,"ANEXO")</f>
        <v>0</v>
      </c>
      <c r="AI175" s="177">
        <f>SUMIF(GERAL!B$8:B$1696,A175,GERAL!AS$8:AS$1696)+SUMIF(GERAL!B$8:B$1696,A175,GERAL!AT$8:AT$1696)</f>
        <v>0</v>
      </c>
      <c r="AJ175" s="177">
        <f>SUMIF(GERAL!B$8:B$1696,A175,GERAL!AU$8:AU$1696)</f>
        <v>0</v>
      </c>
      <c r="AK175" s="177">
        <f>SUMIF(GERAL!B$8:B$1696,A175,GERAL!AV$8:AV$1696)</f>
        <v>151</v>
      </c>
      <c r="AL175" s="118">
        <f t="shared" si="42"/>
        <v>151</v>
      </c>
      <c r="AM175" s="493" t="s">
        <v>130</v>
      </c>
    </row>
    <row r="176">
      <c r="A176" s="484" t="s">
        <v>597</v>
      </c>
      <c r="B176" s="75">
        <f>COUNTIFS(GERAL!B$8:B$1696,A176,GERAL!C$8:C$1696,"ESCOLA")</f>
        <v>3</v>
      </c>
      <c r="C176" s="75">
        <f>COUNTIFS(GERAL!B$8:B$1696,A176,GERAL!C$8:C$1696,"ANEXO")</f>
        <v>1</v>
      </c>
      <c r="D176" s="85">
        <f>SUMIF(GERAL!B$8:B$1696,A176,GERAL!Z$8:Z$1696)</f>
        <v>26</v>
      </c>
      <c r="E176" s="85">
        <f>SUMIF(GERAL!B$8:B$1696,A176,GERAL!AE$8:AE$1696)</f>
        <v>68</v>
      </c>
      <c r="F176" s="85">
        <f>SUMIF(GERAL!B$8:B$1696,A176,GERAL!AJ$8:AJ$1696)</f>
        <v>809</v>
      </c>
      <c r="G176" s="85">
        <f>SUMIF(GERAL!B$8:B$1696,A176,GERAL!AN$8:AN$1696)</f>
        <v>6</v>
      </c>
      <c r="H176" s="85">
        <f>SUMIF(GERAL!B$8:B$1696,A176,GERAL!AR$8:AW$1696)</f>
        <v>88</v>
      </c>
      <c r="I176" s="85">
        <f>SUMIF(GERAL!B$8:B$1696,A176,GERAL!AW$8:AW$1696)</f>
        <v>378</v>
      </c>
      <c r="J176" s="75">
        <f>SUMIF(GERAL!B$8:B$1696,A176,GERAL!AX$8:AX$1696)</f>
        <v>1375</v>
      </c>
      <c r="K176" s="75">
        <f>COUNTIFS(GERAL!B$8:B$1696,A176,GERAL!AY$8:AY$1696,"&gt;0",GERAL!C$8:C$1696,"ESCOLA")</f>
        <v>3</v>
      </c>
      <c r="L176" s="75">
        <f>COUNTIFS(GERAL!B$8:B$1696,A176,GERAL!AY$8:AY$1696,"&gt;0",GERAL!C$8:C$1696,"ANEXO")</f>
        <v>1</v>
      </c>
      <c r="M176" s="100">
        <f>SUMIF(GERAL!B$8:B$1696,A176,GERAL!V$8:V$1696)+SUMIF(GERAL!B$8:B$1696,A176,GERAL!W$8:W$1696)</f>
        <v>26</v>
      </c>
      <c r="N176" s="100">
        <f>SUMIF(GERAL!B$8:B$1696,A176,GERAL!AA$8:AA$1696)+SUMIF(GERAL!B$8:B$1696,A176,GERAL!AB$8:AB$1696)</f>
        <v>68</v>
      </c>
      <c r="O176" s="100">
        <f>SUMIF(GERAL!B$8:B$1696,A176,GERAL!AF$8:AF$1696)+SUMIF(GERAL!B$8:B$1696,A176,GERAL!AG$8:AG$1696)</f>
        <v>259</v>
      </c>
      <c r="P176" s="100">
        <f>SUMIF(GERAL!B$8:B$1696,A176,GERAL!AK$8:AK$1696)+SUMIF(GERAL!B$8:B$1696,A176,GERAL!AL$8:AL$1696)</f>
        <v>0</v>
      </c>
      <c r="Q176" s="100">
        <f>SUMIF(GERAL!B$8:B$1696,A176,GERAL!AO$8:AO$1696)+SUMIF(GERAL!B$8:B$1696,A176,GERAL!AP$8:AP$1696)</f>
        <v>0</v>
      </c>
      <c r="R176" s="100">
        <f>SUMIF(GERAL!B$8:B$1696,A176,GERAL!AS$8:AS$1696)+SUMIF(GERAL!B$8:B$1696,A176,GERAL!AT$8:AT$1696)</f>
        <v>274</v>
      </c>
      <c r="S176" s="75">
        <f t="shared" si="39"/>
        <v>627</v>
      </c>
      <c r="T176" s="116">
        <f>COUNTIFS(GERAL!B$8:B$1696,A176,GERAL!AZ$8:AZ$1696,"&gt;0",GERAL!C$8:C$1696,"ESCOLA")</f>
        <v>3</v>
      </c>
      <c r="U176" s="75">
        <f>COUNTIFS(GERAL!B$8:B$1696,A176,GERAL!AZ$8:AZ$1696,"&gt;0",GERAL!C$8:C$1696,"ANEXO")</f>
        <v>0</v>
      </c>
      <c r="V176" s="85">
        <f>SUMIF(GERAL!B$8:B$1696,A176,GERAL!AH$8:AH$1696)</f>
        <v>12</v>
      </c>
      <c r="W176" s="85">
        <f>SUMIF(GERAL!B$8:B$1696,A176,GERAL!AM$8:AM$1696)</f>
        <v>6</v>
      </c>
      <c r="X176" s="85">
        <f>SUMIF(GERAL!B$8:B$1696,A176,GERAL!AQ$8:AQ$1696)</f>
        <v>88</v>
      </c>
      <c r="Y176" s="85">
        <f>SUMIF(GERAL!B$8:B$1696,A176,GERAL!AU$8:AU$1696)</f>
        <v>104</v>
      </c>
      <c r="Z176" s="88">
        <f t="shared" si="40"/>
        <v>210</v>
      </c>
      <c r="AA176" s="116">
        <f>COUNTIFS(GERAL!B$8:B$1696,A176,GERAL!BK$8:BK$1696,"&gt;0",GERAL!C$8:C$1696,"ESCOLA")</f>
        <v>2</v>
      </c>
      <c r="AB176" s="88">
        <f>COUNTIFS(GERAL!B$8:B$1696,A176,GERAL!BK$8:BK$1696,"&gt;0",GERAL!C$8:C$1696,"ANEXO")</f>
        <v>0</v>
      </c>
      <c r="AC176" s="121">
        <f>SUMIF(GERAL!B$8:B$1696,A176,GERAL!AD$8:AD$1696)</f>
        <v>0</v>
      </c>
      <c r="AD176" s="121">
        <f>SUMIF(GERAL!B$8:B$1696,A176,GERAL!AI$8:AI$1696)</f>
        <v>538</v>
      </c>
      <c r="AE176" s="121">
        <f>SUMIF(GERAL!B$8:B$1696,A176,GERAL!AV$8:AV$1696)</f>
        <v>0</v>
      </c>
      <c r="AF176" s="492">
        <f t="shared" si="41"/>
        <v>538</v>
      </c>
      <c r="AG176" s="178">
        <f>COUNTIFS(GERAL!B$8:B$1696,A176,GERAL!AW$8:AW$1696,"&gt;0",GERAL!C$8:C$1696,"ESCOLA")</f>
        <v>1</v>
      </c>
      <c r="AH176" s="118">
        <f>COUNTIFS(GERAL!B$8:B$1696,A176,GERAL!AW$8:AW$1696,"&gt;0",GERAL!C$8:C$1696,"ANEXO")</f>
        <v>0</v>
      </c>
      <c r="AI176" s="177">
        <f>SUMIF(GERAL!B$8:B$1696,A176,GERAL!AS$8:AS$1696)+SUMIF(GERAL!B$8:B$1696,A176,GERAL!AT$8:AT$1696)</f>
        <v>274</v>
      </c>
      <c r="AJ176" s="177">
        <f>SUMIF(GERAL!B$8:B$1696,A176,GERAL!AU$8:AU$1696)</f>
        <v>104</v>
      </c>
      <c r="AK176" s="177">
        <f>SUMIF(GERAL!B$8:B$1696,A176,GERAL!AV$8:AV$1696)</f>
        <v>0</v>
      </c>
      <c r="AL176" s="118">
        <f t="shared" si="42"/>
        <v>378</v>
      </c>
      <c r="AM176" s="493" t="s">
        <v>205</v>
      </c>
    </row>
    <row r="177">
      <c r="A177" s="494" t="s">
        <v>1157</v>
      </c>
      <c r="B177" s="75">
        <f>COUNTIFS(GERAL!B$8:B$1696,A177,GERAL!C$8:C$1696,"ESCOLA")</f>
        <v>1</v>
      </c>
      <c r="C177" s="75">
        <f>COUNTIFS(GERAL!B$8:B$1696,A177,GERAL!C$8:C$1696,"ANEXO")</f>
        <v>0</v>
      </c>
      <c r="D177" s="85">
        <f>SUMIF(GERAL!B$8:B$1696,A177,GERAL!Z$8:Z$1696)</f>
        <v>0</v>
      </c>
      <c r="E177" s="85">
        <f>SUMIF(GERAL!B$8:B$1696,A177,GERAL!AE$8:AE$1696)</f>
        <v>0</v>
      </c>
      <c r="F177" s="85">
        <f>SUMIF(GERAL!B$8:B$1696,A177,GERAL!AJ$8:AJ$1696)</f>
        <v>232</v>
      </c>
      <c r="G177" s="85">
        <f>SUMIF(GERAL!B$8:B$1696,A177,GERAL!AN$8:AN$1696)</f>
        <v>0</v>
      </c>
      <c r="H177" s="85">
        <f>SUMIF(GERAL!B$8:B$1696,A177,GERAL!AR$8:AW$1696)</f>
        <v>47</v>
      </c>
      <c r="I177" s="85">
        <f>SUMIF(GERAL!B$8:B$1696,A177,GERAL!AW$8:AW$1696)</f>
        <v>16</v>
      </c>
      <c r="J177" s="75">
        <f>SUMIF(GERAL!B$8:B$1696,A177,GERAL!AX$8:AX$1696)</f>
        <v>295</v>
      </c>
      <c r="K177" s="75">
        <f>COUNTIFS(GERAL!B$8:B$1696,A177,GERAL!AY$8:AY$1696,"&gt;0",GERAL!C$8:C$1696,"ESCOLA")</f>
        <v>1</v>
      </c>
      <c r="L177" s="75">
        <f>COUNTIFS(GERAL!B$8:B$1696,A177,GERAL!AY$8:AY$1696,"&gt;0",GERAL!C$8:C$1696,"ANEXO")</f>
        <v>0</v>
      </c>
      <c r="M177" s="100">
        <f>SUMIF(GERAL!B$8:B$1696,A177,GERAL!V$8:V$1696)+SUMIF(GERAL!B$8:B$1696,A177,GERAL!W$8:W$1696)</f>
        <v>0</v>
      </c>
      <c r="N177" s="100">
        <f>SUMIF(GERAL!B$8:B$1696,A177,GERAL!AA$8:AA$1696)+SUMIF(GERAL!B$8:B$1696,A177,GERAL!AB$8:AB$1696)</f>
        <v>0</v>
      </c>
      <c r="O177" s="100">
        <f>SUMIF(GERAL!B$8:B$1696,A177,GERAL!AF$8:AF$1696)+SUMIF(GERAL!B$8:B$1696,A177,GERAL!AG$8:AG$1696)</f>
        <v>25</v>
      </c>
      <c r="P177" s="100">
        <f>SUMIF(GERAL!B$8:B$1696,A177,GERAL!AK$8:AK$1696)+SUMIF(GERAL!B$8:B$1696,A177,GERAL!AL$8:AL$1696)</f>
        <v>0</v>
      </c>
      <c r="Q177" s="100">
        <f>SUMIF(GERAL!B$8:B$1696,A177,GERAL!AO$8:AO$1696)+SUMIF(GERAL!B$8:B$1696,A177,GERAL!AP$8:AP$1696)</f>
        <v>0</v>
      </c>
      <c r="R177" s="100">
        <f>SUMIF(GERAL!B$8:B$1696,A177,GERAL!AS$8:AS$1696)+SUMIF(GERAL!B$8:B$1696,A177,GERAL!AT$8:AT$1696)</f>
        <v>0</v>
      </c>
      <c r="S177" s="75">
        <f t="shared" si="39"/>
        <v>25</v>
      </c>
      <c r="T177" s="116">
        <f>COUNTIFS(GERAL!B$8:B$1696,A177,GERAL!AZ$8:AZ$1696,"&gt;0",GERAL!C$8:C$1696,"ESCOLA")</f>
        <v>1</v>
      </c>
      <c r="U177" s="75">
        <f>COUNTIFS(GERAL!B$8:B$1696,A177,GERAL!AZ$8:AZ$1696,"&gt;0",GERAL!C$8:C$1696,"ANEXO")</f>
        <v>0</v>
      </c>
      <c r="V177" s="85">
        <f>SUMIF(GERAL!B$8:B$1696,A177,GERAL!AH$8:AH$1696)</f>
        <v>0</v>
      </c>
      <c r="W177" s="85">
        <f>SUMIF(GERAL!B$8:B$1696,A177,GERAL!AM$8:AM$1696)</f>
        <v>0</v>
      </c>
      <c r="X177" s="85">
        <f>SUMIF(GERAL!B$8:B$1696,A177,GERAL!AQ$8:AQ$1696)</f>
        <v>47</v>
      </c>
      <c r="Y177" s="85">
        <f>SUMIF(GERAL!B$8:B$1696,A177,GERAL!AU$8:AU$1696)</f>
        <v>16</v>
      </c>
      <c r="Z177" s="88">
        <f t="shared" si="40"/>
        <v>63</v>
      </c>
      <c r="AA177" s="116">
        <f>COUNTIFS(GERAL!B$8:B$1696,A177,GERAL!BK$8:BK$1696,"&gt;0",GERAL!C$8:C$1696,"ESCOLA")</f>
        <v>1</v>
      </c>
      <c r="AB177" s="88">
        <f>COUNTIFS(GERAL!B$8:B$1696,A177,GERAL!BK$8:BK$1696,"&gt;0",GERAL!C$8:C$1696,"ANEXO")</f>
        <v>0</v>
      </c>
      <c r="AC177" s="121">
        <f>SUMIF(GERAL!B$8:B$1696,A177,GERAL!AD$8:AD$1696)</f>
        <v>0</v>
      </c>
      <c r="AD177" s="121">
        <f>SUMIF(GERAL!B$8:B$1696,A177,GERAL!AI$8:AI$1696)</f>
        <v>207</v>
      </c>
      <c r="AE177" s="121">
        <f>SUMIF(GERAL!B$8:B$1696,A177,GERAL!AV$8:AV$1696)</f>
        <v>0</v>
      </c>
      <c r="AF177" s="492">
        <f t="shared" si="41"/>
        <v>207</v>
      </c>
      <c r="AG177" s="178">
        <f>COUNTIFS(GERAL!B$8:B$1696,A177,GERAL!AW$8:AW$1696,"&gt;0",GERAL!C$8:C$1696,"ESCOLA")</f>
        <v>1</v>
      </c>
      <c r="AH177" s="118">
        <f>COUNTIFS(GERAL!B$8:B$1696,A177,GERAL!AW$8:AW$1696,"&gt;0",GERAL!C$8:C$1696,"ANEXO")</f>
        <v>0</v>
      </c>
      <c r="AI177" s="177">
        <f>SUMIF(GERAL!B$8:B$1696,A177,GERAL!AS$8:AS$1696)+SUMIF(GERAL!B$8:B$1696,A177,GERAL!AT$8:AT$1696)</f>
        <v>0</v>
      </c>
      <c r="AJ177" s="177">
        <f>SUMIF(GERAL!B$8:B$1696,A177,GERAL!AU$8:AU$1696)</f>
        <v>16</v>
      </c>
      <c r="AK177" s="177">
        <f>SUMIF(GERAL!B$8:B$1696,A177,GERAL!AV$8:AV$1696)</f>
        <v>0</v>
      </c>
      <c r="AL177" s="118">
        <f t="shared" si="42"/>
        <v>16</v>
      </c>
      <c r="AM177" s="493" t="s">
        <v>383</v>
      </c>
    </row>
    <row r="178">
      <c r="A178" s="484" t="s">
        <v>611</v>
      </c>
      <c r="B178" s="75">
        <f>COUNTIFS(GERAL!B$8:B$1696,A178,GERAL!C$8:C$1696,"ESCOLA")</f>
        <v>1</v>
      </c>
      <c r="C178" s="75">
        <f>COUNTIFS(GERAL!B$8:B$1696,A178,GERAL!C$8:C$1696,"ANEXO")</f>
        <v>0</v>
      </c>
      <c r="D178" s="85">
        <f>SUMIF(GERAL!B$8:B$1696,A178,GERAL!Z$8:Z$1696)</f>
        <v>0</v>
      </c>
      <c r="E178" s="85">
        <f>SUMIF(GERAL!B$8:B$1696,A178,GERAL!AE$8:AE$1696)</f>
        <v>0</v>
      </c>
      <c r="F178" s="85">
        <f>SUMIF(GERAL!B$8:B$1696,A178,GERAL!AJ$8:AJ$1696)</f>
        <v>429</v>
      </c>
      <c r="G178" s="85">
        <f>SUMIF(GERAL!B$8:B$1696,A178,GERAL!AN$8:AN$1696)</f>
        <v>0</v>
      </c>
      <c r="H178" s="85">
        <f>SUMIF(GERAL!B$8:B$1696,A178,GERAL!AR$8:AW$1696)</f>
        <v>44</v>
      </c>
      <c r="I178" s="85">
        <f>SUMIF(GERAL!B$8:B$1696,A178,GERAL!AW$8:AW$1696)</f>
        <v>144</v>
      </c>
      <c r="J178" s="75">
        <f>SUMIF(GERAL!B$8:B$1696,A178,GERAL!AX$8:AX$1696)</f>
        <v>617</v>
      </c>
      <c r="K178" s="75">
        <f>COUNTIFS(GERAL!B$8:B$1696,A178,GERAL!AY$8:AY$1696,"&gt;0",GERAL!C$8:C$1696,"ESCOLA")</f>
        <v>1</v>
      </c>
      <c r="L178" s="75">
        <f>COUNTIFS(GERAL!B$8:B$1696,A178,GERAL!AY$8:AY$1696,"&gt;0",GERAL!C$8:C$1696,"ANEXO")</f>
        <v>0</v>
      </c>
      <c r="M178" s="100">
        <f>SUMIF(GERAL!B$8:B$1696,A178,GERAL!V$8:V$1696)+SUMIF(GERAL!B$8:B$1696,A178,GERAL!W$8:W$1696)</f>
        <v>0</v>
      </c>
      <c r="N178" s="100">
        <f>SUMIF(GERAL!B$8:B$1696,A178,GERAL!AA$8:AA$1696)+SUMIF(GERAL!B$8:B$1696,A178,GERAL!AB$8:AB$1696)</f>
        <v>0</v>
      </c>
      <c r="O178" s="100">
        <f>SUMIF(GERAL!B$8:B$1696,A178,GERAL!AF$8:AF$1696)+SUMIF(GERAL!B$8:B$1696,A178,GERAL!AG$8:AG$1696)</f>
        <v>224</v>
      </c>
      <c r="P178" s="100">
        <f>SUMIF(GERAL!B$8:B$1696,A178,GERAL!AK$8:AK$1696)+SUMIF(GERAL!B$8:B$1696,A178,GERAL!AL$8:AL$1696)</f>
        <v>0</v>
      </c>
      <c r="Q178" s="100">
        <f>SUMIF(GERAL!B$8:B$1696,A178,GERAL!AO$8:AO$1696)+SUMIF(GERAL!B$8:B$1696,A178,GERAL!AP$8:AP$1696)</f>
        <v>0</v>
      </c>
      <c r="R178" s="100">
        <f>SUMIF(GERAL!B$8:B$1696,A178,GERAL!AS$8:AS$1696)+SUMIF(GERAL!B$8:B$1696,A178,GERAL!AT$8:AT$1696)</f>
        <v>72</v>
      </c>
      <c r="S178" s="75">
        <f t="shared" si="39"/>
        <v>296</v>
      </c>
      <c r="T178" s="116">
        <f>COUNTIFS(GERAL!B$8:B$1696,A178,GERAL!AZ$8:AZ$1696,"&gt;0",GERAL!C$8:C$1696,"ESCOLA")</f>
        <v>1</v>
      </c>
      <c r="U178" s="75">
        <f>COUNTIFS(GERAL!B$8:B$1696,A178,GERAL!AZ$8:AZ$1696,"&gt;0",GERAL!C$8:C$1696,"ANEXO")</f>
        <v>0</v>
      </c>
      <c r="V178" s="85">
        <f>SUMIF(GERAL!B$8:B$1696,A178,GERAL!AH$8:AH$1696)</f>
        <v>0</v>
      </c>
      <c r="W178" s="85">
        <f>SUMIF(GERAL!B$8:B$1696,A178,GERAL!AM$8:AM$1696)</f>
        <v>0</v>
      </c>
      <c r="X178" s="85">
        <f>SUMIF(GERAL!B$8:B$1696,A178,GERAL!AQ$8:AQ$1696)</f>
        <v>44</v>
      </c>
      <c r="Y178" s="85">
        <f>SUMIF(GERAL!B$8:B$1696,A178,GERAL!AU$8:AU$1696)</f>
        <v>54</v>
      </c>
      <c r="Z178" s="88">
        <f t="shared" si="40"/>
        <v>98</v>
      </c>
      <c r="AA178" s="116">
        <f>COUNTIFS(GERAL!B$8:B$1696,A178,GERAL!BK$8:BK$1696,"&gt;0",GERAL!C$8:C$1696,"ESCOLA")</f>
        <v>1</v>
      </c>
      <c r="AB178" s="88">
        <f>COUNTIFS(GERAL!B$8:B$1696,A178,GERAL!BK$8:BK$1696,"&gt;0",GERAL!C$8:C$1696,"ANEXO")</f>
        <v>0</v>
      </c>
      <c r="AC178" s="121">
        <f>SUMIF(GERAL!B$8:B$1696,A178,GERAL!AD$8:AD$1696)</f>
        <v>0</v>
      </c>
      <c r="AD178" s="121">
        <f>SUMIF(GERAL!B$8:B$1696,A178,GERAL!AI$8:AI$1696)</f>
        <v>205</v>
      </c>
      <c r="AE178" s="121">
        <f>SUMIF(GERAL!B$8:B$1696,A178,GERAL!AV$8:AV$1696)</f>
        <v>18</v>
      </c>
      <c r="AF178" s="492">
        <f t="shared" si="41"/>
        <v>223</v>
      </c>
      <c r="AG178" s="178">
        <f>COUNTIFS(GERAL!B$8:B$1696,A178,GERAL!AW$8:AW$1696,"&gt;0",GERAL!C$8:C$1696,"ESCOLA")</f>
        <v>1</v>
      </c>
      <c r="AH178" s="118">
        <f>COUNTIFS(GERAL!B$8:B$1696,A178,GERAL!AW$8:AW$1696,"&gt;0",GERAL!C$8:C$1696,"ANEXO")</f>
        <v>0</v>
      </c>
      <c r="AI178" s="177">
        <f>SUMIF(GERAL!B$8:B$1696,A178,GERAL!AS$8:AS$1696)+SUMIF(GERAL!B$8:B$1696,A178,GERAL!AT$8:AT$1696)</f>
        <v>72</v>
      </c>
      <c r="AJ178" s="177">
        <f>SUMIF(GERAL!B$8:B$1696,A178,GERAL!AU$8:AU$1696)</f>
        <v>54</v>
      </c>
      <c r="AK178" s="177">
        <f>SUMIF(GERAL!B$8:B$1696,A178,GERAL!AV$8:AV$1696)</f>
        <v>18</v>
      </c>
      <c r="AL178" s="118">
        <f t="shared" si="42"/>
        <v>144</v>
      </c>
      <c r="AM178" s="493" t="s">
        <v>205</v>
      </c>
    </row>
    <row r="179">
      <c r="A179" s="494" t="s">
        <v>1735</v>
      </c>
      <c r="B179" s="75">
        <f>COUNTIFS(GERAL!B$8:B$1696,A179,GERAL!C$8:C$1696,"ESCOLA")</f>
        <v>1</v>
      </c>
      <c r="C179" s="75">
        <f>COUNTIFS(GERAL!B$8:B$1696,A179,GERAL!C$8:C$1696,"ANEXO")</f>
        <v>3</v>
      </c>
      <c r="D179" s="85">
        <f>SUMIF(GERAL!B$8:B$1696,A179,GERAL!Z$8:Z$1696)</f>
        <v>0</v>
      </c>
      <c r="E179" s="85">
        <f>SUMIF(GERAL!B$8:B$1696,A179,GERAL!AE$8:AE$1696)</f>
        <v>0</v>
      </c>
      <c r="F179" s="85">
        <f>SUMIF(GERAL!B$8:B$1696,A179,GERAL!AJ$8:AJ$1696)</f>
        <v>414</v>
      </c>
      <c r="G179" s="85">
        <f>SUMIF(GERAL!B$8:B$1696,A179,GERAL!AN$8:AN$1696)</f>
        <v>0</v>
      </c>
      <c r="H179" s="85">
        <f>SUMIF(GERAL!B$8:B$1696,A179,GERAL!AR$8:AW$1696)</f>
        <v>46</v>
      </c>
      <c r="I179" s="85">
        <f>SUMIF(GERAL!B$8:B$1696,A179,GERAL!AW$8:AW$1696)</f>
        <v>51</v>
      </c>
      <c r="J179" s="75">
        <f>SUMIF(GERAL!B$8:B$1696,A179,GERAL!AX$8:AX$1696)</f>
        <v>511</v>
      </c>
      <c r="K179" s="75">
        <f>COUNTIFS(GERAL!B$8:B$1696,A179,GERAL!AY$8:AY$1696,"&gt;0",GERAL!C$8:C$1696,"ESCOLA")</f>
        <v>1</v>
      </c>
      <c r="L179" s="75">
        <f>COUNTIFS(GERAL!B$8:B$1696,A179,GERAL!AY$8:AY$1696,"&gt;0",GERAL!C$8:C$1696,"ANEXO")</f>
        <v>3</v>
      </c>
      <c r="M179" s="100">
        <f>SUMIF(GERAL!B$8:B$1696,A179,GERAL!V$8:V$1696)+SUMIF(GERAL!B$8:B$1696,A179,GERAL!W$8:W$1696)</f>
        <v>0</v>
      </c>
      <c r="N179" s="100">
        <f>SUMIF(GERAL!B$8:B$1696,A179,GERAL!AA$8:AA$1696)+SUMIF(GERAL!B$8:B$1696,A179,GERAL!AB$8:AB$1696)</f>
        <v>0</v>
      </c>
      <c r="O179" s="100">
        <f>SUMIF(GERAL!B$8:B$1696,A179,GERAL!AF$8:AF$1696)+SUMIF(GERAL!B$8:B$1696,A179,GERAL!AG$8:AG$1696)</f>
        <v>103</v>
      </c>
      <c r="P179" s="100">
        <f>SUMIF(GERAL!B$8:B$1696,A179,GERAL!AK$8:AK$1696)+SUMIF(GERAL!B$8:B$1696,A179,GERAL!AL$8:AL$1696)</f>
        <v>0</v>
      </c>
      <c r="Q179" s="100">
        <f>SUMIF(GERAL!B$8:B$1696,A179,GERAL!AO$8:AO$1696)+SUMIF(GERAL!B$8:B$1696,A179,GERAL!AP$8:AP$1696)</f>
        <v>0</v>
      </c>
      <c r="R179" s="100">
        <f>SUMIF(GERAL!B$8:B$1696,A179,GERAL!AS$8:AS$1696)+SUMIF(GERAL!B$8:B$1696,A179,GERAL!AT$8:AT$1696)</f>
        <v>0</v>
      </c>
      <c r="S179" s="75">
        <f t="shared" si="39"/>
        <v>103</v>
      </c>
      <c r="T179" s="116">
        <f>COUNTIFS(GERAL!B$8:B$1696,A179,GERAL!AZ$8:AZ$1696,"&gt;0",GERAL!C$8:C$1696,"ESCOLA")</f>
        <v>1</v>
      </c>
      <c r="U179" s="75">
        <f>COUNTIFS(GERAL!B$8:B$1696,A179,GERAL!AZ$8:AZ$1696,"&gt;0",GERAL!C$8:C$1696,"ANEXO")</f>
        <v>0</v>
      </c>
      <c r="V179" s="85">
        <f>SUMIF(GERAL!B$8:B$1696,A179,GERAL!AH$8:AH$1696)</f>
        <v>0</v>
      </c>
      <c r="W179" s="85">
        <f>SUMIF(GERAL!B$8:B$1696,A179,GERAL!AM$8:AM$1696)</f>
        <v>0</v>
      </c>
      <c r="X179" s="85">
        <f>SUMIF(GERAL!B$8:B$1696,A179,GERAL!AQ$8:AQ$1696)</f>
        <v>46</v>
      </c>
      <c r="Y179" s="85">
        <f>SUMIF(GERAL!B$8:B$1696,A179,GERAL!AU$8:AU$1696)</f>
        <v>0</v>
      </c>
      <c r="Z179" s="88">
        <f t="shared" si="40"/>
        <v>46</v>
      </c>
      <c r="AA179" s="116">
        <f>COUNTIFS(GERAL!B$8:B$1696,A179,GERAL!BK$8:BK$1696,"&gt;0",GERAL!C$8:C$1696,"ESCOLA")</f>
        <v>1</v>
      </c>
      <c r="AB179" s="88">
        <f>COUNTIFS(GERAL!B$8:B$1696,A179,GERAL!BK$8:BK$1696,"&gt;0",GERAL!C$8:C$1696,"ANEXO")</f>
        <v>0</v>
      </c>
      <c r="AC179" s="121">
        <f>SUMIF(GERAL!B$8:B$1696,A179,GERAL!AD$8:AD$1696)</f>
        <v>0</v>
      </c>
      <c r="AD179" s="121">
        <f>SUMIF(GERAL!B$8:B$1696,A179,GERAL!AI$8:AI$1696)</f>
        <v>311</v>
      </c>
      <c r="AE179" s="121">
        <f>SUMIF(GERAL!B$8:B$1696,A179,GERAL!AV$8:AV$1696)</f>
        <v>51</v>
      </c>
      <c r="AF179" s="492">
        <f t="shared" si="41"/>
        <v>362</v>
      </c>
      <c r="AG179" s="178">
        <f>COUNTIFS(GERAL!B$8:B$1696,A179,GERAL!AW$8:AW$1696,"&gt;0",GERAL!C$8:C$1696,"ESCOLA")</f>
        <v>1</v>
      </c>
      <c r="AH179" s="118">
        <f>COUNTIFS(GERAL!B$8:B$1696,A179,GERAL!AW$8:AW$1696,"&gt;0",GERAL!C$8:C$1696,"ANEXO")</f>
        <v>0</v>
      </c>
      <c r="AI179" s="177">
        <f>SUMIF(GERAL!B$8:B$1696,A179,GERAL!AS$8:AS$1696)+SUMIF(GERAL!B$8:B$1696,A179,GERAL!AT$8:AT$1696)</f>
        <v>0</v>
      </c>
      <c r="AJ179" s="177">
        <f>SUMIF(GERAL!B$8:B$1696,A179,GERAL!AU$8:AU$1696)</f>
        <v>0</v>
      </c>
      <c r="AK179" s="177">
        <f>SUMIF(GERAL!B$8:B$1696,A179,GERAL!AV$8:AV$1696)</f>
        <v>51</v>
      </c>
      <c r="AL179" s="118">
        <f t="shared" si="42"/>
        <v>51</v>
      </c>
      <c r="AM179" s="493" t="s">
        <v>540</v>
      </c>
    </row>
    <row r="180">
      <c r="A180" s="484" t="s">
        <v>2469</v>
      </c>
      <c r="B180" s="75">
        <f>COUNTIFS(GERAL!B$8:B$1696,A180,GERAL!C$8:C$1696,"ESCOLA")</f>
        <v>1</v>
      </c>
      <c r="C180" s="75">
        <f>COUNTIFS(GERAL!B$8:B$1696,A180,GERAL!C$8:C$1696,"ANEXO")</f>
        <v>0</v>
      </c>
      <c r="D180" s="85">
        <f>SUMIF(GERAL!B$8:B$1696,A180,GERAL!Z$8:Z$1696)</f>
        <v>0</v>
      </c>
      <c r="E180" s="85">
        <f>SUMIF(GERAL!B$8:B$1696,A180,GERAL!AE$8:AE$1696)</f>
        <v>0</v>
      </c>
      <c r="F180" s="85">
        <f>SUMIF(GERAL!B$8:B$1696,A180,GERAL!AJ$8:AJ$1696)</f>
        <v>628</v>
      </c>
      <c r="G180" s="85">
        <f>SUMIF(GERAL!B$8:B$1696,A180,GERAL!AN$8:AN$1696)</f>
        <v>0</v>
      </c>
      <c r="H180" s="85">
        <f>SUMIF(GERAL!B$8:B$1696,A180,GERAL!AR$8:AW$1696)</f>
        <v>96</v>
      </c>
      <c r="I180" s="85">
        <f>SUMIF(GERAL!B$8:B$1696,A180,GERAL!AW$8:AW$1696)</f>
        <v>45</v>
      </c>
      <c r="J180" s="75">
        <f>SUMIF(GERAL!B$8:B$1696,A180,GERAL!AX$8:AX$1696)</f>
        <v>769</v>
      </c>
      <c r="K180" s="75">
        <f>COUNTIFS(GERAL!B$8:B$1696,A180,GERAL!AY$8:AY$1696,"&gt;0",GERAL!C$8:C$1696,"ESCOLA")</f>
        <v>1</v>
      </c>
      <c r="L180" s="75">
        <f>COUNTIFS(GERAL!B$8:B$1696,A180,GERAL!AY$8:AY$1696,"&gt;0",GERAL!C$8:C$1696,"ANEXO")</f>
        <v>0</v>
      </c>
      <c r="M180" s="100">
        <f>SUMIF(GERAL!B$8:B$1696,A180,GERAL!V$8:V$1696)+SUMIF(GERAL!B$8:B$1696,A180,GERAL!W$8:W$1696)</f>
        <v>0</v>
      </c>
      <c r="N180" s="100">
        <f>SUMIF(GERAL!B$8:B$1696,A180,GERAL!AA$8:AA$1696)+SUMIF(GERAL!B$8:B$1696,A180,GERAL!AB$8:AB$1696)</f>
        <v>0</v>
      </c>
      <c r="O180" s="100">
        <f>SUMIF(GERAL!B$8:B$1696,A180,GERAL!AF$8:AF$1696)+SUMIF(GERAL!B$8:B$1696,A180,GERAL!AG$8:AG$1696)</f>
        <v>595</v>
      </c>
      <c r="P180" s="100">
        <f>SUMIF(GERAL!B$8:B$1696,A180,GERAL!AK$8:AK$1696)+SUMIF(GERAL!B$8:B$1696,A180,GERAL!AL$8:AL$1696)</f>
        <v>0</v>
      </c>
      <c r="Q180" s="100">
        <f>SUMIF(GERAL!B$8:B$1696,A180,GERAL!AO$8:AO$1696)+SUMIF(GERAL!B$8:B$1696,A180,GERAL!AP$8:AP$1696)</f>
        <v>0</v>
      </c>
      <c r="R180" s="100">
        <f>SUMIF(GERAL!B$8:B$1696,A180,GERAL!AS$8:AS$1696)+SUMIF(GERAL!B$8:B$1696,A180,GERAL!AT$8:AT$1696)</f>
        <v>0</v>
      </c>
      <c r="S180" s="75">
        <f t="shared" si="39"/>
        <v>595</v>
      </c>
      <c r="T180" s="116">
        <f>COUNTIFS(GERAL!B$8:B$1696,A180,GERAL!AZ$8:AZ$1696,"&gt;0",GERAL!C$8:C$1696,"ESCOLA")</f>
        <v>1</v>
      </c>
      <c r="U180" s="75">
        <f>COUNTIFS(GERAL!B$8:B$1696,A180,GERAL!AZ$8:AZ$1696,"&gt;0",GERAL!C$8:C$1696,"ANEXO")</f>
        <v>0</v>
      </c>
      <c r="V180" s="85">
        <f>SUMIF(GERAL!B$8:B$1696,A180,GERAL!AH$8:AH$1696)</f>
        <v>0</v>
      </c>
      <c r="W180" s="85">
        <f>SUMIF(GERAL!B$8:B$1696,A180,GERAL!AM$8:AM$1696)</f>
        <v>0</v>
      </c>
      <c r="X180" s="85">
        <f>SUMIF(GERAL!B$8:B$1696,A180,GERAL!AQ$8:AQ$1696)</f>
        <v>96</v>
      </c>
      <c r="Y180" s="85">
        <f>SUMIF(GERAL!B$8:B$1696,A180,GERAL!AU$8:AU$1696)</f>
        <v>13</v>
      </c>
      <c r="Z180" s="88">
        <f t="shared" si="40"/>
        <v>109</v>
      </c>
      <c r="AA180" s="116">
        <f>COUNTIFS(GERAL!B$8:B$1696,A180,GERAL!BK$8:BK$1696,"&gt;0",GERAL!C$8:C$1696,"ESCOLA")</f>
        <v>1</v>
      </c>
      <c r="AB180" s="88">
        <f>COUNTIFS(GERAL!B$8:B$1696,A180,GERAL!BK$8:BK$1696,"&gt;0",GERAL!C$8:C$1696,"ANEXO")</f>
        <v>0</v>
      </c>
      <c r="AC180" s="121">
        <f>SUMIF(GERAL!B$8:B$1696,A180,GERAL!AD$8:AD$1696)</f>
        <v>0</v>
      </c>
      <c r="AD180" s="121">
        <f>SUMIF(GERAL!B$8:B$1696,A180,GERAL!AI$8:AI$1696)</f>
        <v>33</v>
      </c>
      <c r="AE180" s="121">
        <f>SUMIF(GERAL!B$8:B$1696,A180,GERAL!AV$8:AV$1696)</f>
        <v>32</v>
      </c>
      <c r="AF180" s="492">
        <f t="shared" si="41"/>
        <v>65</v>
      </c>
      <c r="AG180" s="178">
        <f>COUNTIFS(GERAL!B$8:B$1696,A180,GERAL!AW$8:AW$1696,"&gt;0",GERAL!C$8:C$1696,"ESCOLA")</f>
        <v>1</v>
      </c>
      <c r="AH180" s="118">
        <f>COUNTIFS(GERAL!B$8:B$1696,A180,GERAL!AW$8:AW$1696,"&gt;0",GERAL!C$8:C$1696,"ANEXO")</f>
        <v>0</v>
      </c>
      <c r="AI180" s="177">
        <f>SUMIF(GERAL!B$8:B$1696,A180,GERAL!AS$8:AS$1696)+SUMIF(GERAL!B$8:B$1696,A180,GERAL!AT$8:AT$1696)</f>
        <v>0</v>
      </c>
      <c r="AJ180" s="177">
        <f>SUMIF(GERAL!B$8:B$1696,A180,GERAL!AU$8:AU$1696)</f>
        <v>13</v>
      </c>
      <c r="AK180" s="177">
        <f>SUMIF(GERAL!B$8:B$1696,A180,GERAL!AV$8:AV$1696)</f>
        <v>32</v>
      </c>
      <c r="AL180" s="118">
        <f t="shared" si="42"/>
        <v>45</v>
      </c>
      <c r="AM180" s="493" t="s">
        <v>673</v>
      </c>
    </row>
    <row r="181">
      <c r="A181" s="494" t="s">
        <v>1423</v>
      </c>
      <c r="B181" s="75">
        <f>COUNTIFS(GERAL!B$8:B$1696,A181,GERAL!C$8:C$1696,"ESCOLA")</f>
        <v>16</v>
      </c>
      <c r="C181" s="75">
        <f>COUNTIFS(GERAL!B$8:B$1696,A181,GERAL!C$8:C$1696,"ANEXO")</f>
        <v>19</v>
      </c>
      <c r="D181" s="85">
        <f>SUMIF(GERAL!B$8:B$1696,A181,GERAL!Z$8:Z$1696)</f>
        <v>203</v>
      </c>
      <c r="E181" s="85">
        <f>SUMIF(GERAL!B$8:B$1696,A181,GERAL!AE$8:AE$1696)</f>
        <v>1656</v>
      </c>
      <c r="F181" s="85">
        <f>SUMIF(GERAL!B$8:B$1696,A181,GERAL!AJ$8:AJ$1696)</f>
        <v>2293</v>
      </c>
      <c r="G181" s="85">
        <f>SUMIF(GERAL!B$8:B$1696,A181,GERAL!AN$8:AN$1696)</f>
        <v>302</v>
      </c>
      <c r="H181" s="85">
        <f>SUMIF(GERAL!B$8:B$1696,A181,GERAL!AR$8:AW$1696)</f>
        <v>455</v>
      </c>
      <c r="I181" s="85">
        <f>SUMIF(GERAL!B$8:B$1696,A181,GERAL!AW$8:AW$1696)</f>
        <v>2763</v>
      </c>
      <c r="J181" s="75">
        <f>SUMIF(GERAL!B$8:B$1696,A181,GERAL!AX$8:AX$1696)</f>
        <v>7672</v>
      </c>
      <c r="K181" s="75">
        <f>COUNTIFS(GERAL!B$8:B$1696,A181,GERAL!AY$8:AY$1696,"&gt;0",GERAL!C$8:C$1696,"ESCOLA")</f>
        <v>15</v>
      </c>
      <c r="L181" s="75">
        <f>COUNTIFS(GERAL!B$8:B$1696,A181,GERAL!AY$8:AY$1696,"&gt;0",GERAL!C$8:C$1696,"ANEXO")</f>
        <v>12</v>
      </c>
      <c r="M181" s="100">
        <f>SUMIF(GERAL!B$8:B$1696,A181,GERAL!V$8:V$1696)+SUMIF(GERAL!B$8:B$1696,A181,GERAL!W$8:W$1696)</f>
        <v>203</v>
      </c>
      <c r="N181" s="100">
        <f>SUMIF(GERAL!B$8:B$1696,A181,GERAL!AA$8:AA$1696)+SUMIF(GERAL!B$8:B$1696,A181,GERAL!AB$8:AB$1696)</f>
        <v>1656</v>
      </c>
      <c r="O181" s="100">
        <f>SUMIF(GERAL!B$8:B$1696,A181,GERAL!AF$8:AF$1696)+SUMIF(GERAL!B$8:B$1696,A181,GERAL!AG$8:AG$1696)</f>
        <v>974</v>
      </c>
      <c r="P181" s="100">
        <f>SUMIF(GERAL!B$8:B$1696,A181,GERAL!AK$8:AK$1696)+SUMIF(GERAL!B$8:B$1696,A181,GERAL!AL$8:AL$1696)</f>
        <v>14</v>
      </c>
      <c r="Q181" s="100">
        <f>SUMIF(GERAL!B$8:B$1696,A181,GERAL!AO$8:AO$1696)+SUMIF(GERAL!B$8:B$1696,A181,GERAL!AP$8:AP$1696)</f>
        <v>16</v>
      </c>
      <c r="R181" s="100">
        <f>SUMIF(GERAL!B$8:B$1696,A181,GERAL!AS$8:AS$1696)+SUMIF(GERAL!B$8:B$1696,A181,GERAL!AT$8:AT$1696)</f>
        <v>1969</v>
      </c>
      <c r="S181" s="75">
        <f t="shared" si="39"/>
        <v>4832</v>
      </c>
      <c r="T181" s="116">
        <f>COUNTIFS(GERAL!B$8:B$1696,A181,GERAL!AZ$8:AZ$1696,"&gt;0",GERAL!C$8:C$1696,"ESCOLA")</f>
        <v>14</v>
      </c>
      <c r="U181" s="75">
        <f>COUNTIFS(GERAL!B$8:B$1696,A181,GERAL!AZ$8:AZ$1696,"&gt;0",GERAL!C$8:C$1696,"ANEXO")</f>
        <v>12</v>
      </c>
      <c r="V181" s="85">
        <f>SUMIF(GERAL!B$8:B$1696,A181,GERAL!AH$8:AH$1696)</f>
        <v>255</v>
      </c>
      <c r="W181" s="85">
        <f>SUMIF(GERAL!B$8:B$1696,A181,GERAL!AM$8:AM$1696)</f>
        <v>288</v>
      </c>
      <c r="X181" s="85">
        <f>SUMIF(GERAL!B$8:B$1696,A181,GERAL!AQ$8:AQ$1696)</f>
        <v>439</v>
      </c>
      <c r="Y181" s="85">
        <f>SUMIF(GERAL!B$8:B$1696,A181,GERAL!AU$8:AU$1696)</f>
        <v>490</v>
      </c>
      <c r="Z181" s="88">
        <f t="shared" si="40"/>
        <v>1472</v>
      </c>
      <c r="AA181" s="116">
        <f>COUNTIFS(GERAL!B$8:B$1696,A181,GERAL!BK$8:BK$1696,"&gt;0",GERAL!C$8:C$1696,"ESCOLA")</f>
        <v>7</v>
      </c>
      <c r="AB181" s="88">
        <f>COUNTIFS(GERAL!B$8:B$1696,A181,GERAL!BK$8:BK$1696,"&gt;0",GERAL!C$8:C$1696,"ANEXO")</f>
        <v>0</v>
      </c>
      <c r="AC181" s="121">
        <f>SUMIF(GERAL!B$8:B$1696,A181,GERAL!AD$8:AD$1696)</f>
        <v>0</v>
      </c>
      <c r="AD181" s="121">
        <f>SUMIF(GERAL!B$8:B$1696,A181,GERAL!AI$8:AI$1696)</f>
        <v>1064</v>
      </c>
      <c r="AE181" s="121">
        <f>SUMIF(GERAL!B$8:B$1696,A181,GERAL!AV$8:AV$1696)</f>
        <v>304</v>
      </c>
      <c r="AF181" s="492">
        <f t="shared" si="41"/>
        <v>1368</v>
      </c>
      <c r="AG181" s="178">
        <f>COUNTIFS(GERAL!B$8:B$1696,A181,GERAL!AW$8:AW$1696,"&gt;0",GERAL!C$8:C$1696,"ESCOLA")</f>
        <v>8</v>
      </c>
      <c r="AH181" s="118">
        <f>COUNTIFS(GERAL!B$8:B$1696,A181,GERAL!AW$8:AW$1696,"&gt;0",GERAL!C$8:C$1696,"ANEXO")</f>
        <v>0</v>
      </c>
      <c r="AI181" s="177">
        <f>SUMIF(GERAL!B$8:B$1696,A181,GERAL!AS$8:AS$1696)+SUMIF(GERAL!B$8:B$1696,A181,GERAL!AT$8:AT$1696)</f>
        <v>1969</v>
      </c>
      <c r="AJ181" s="177">
        <f>SUMIF(GERAL!B$8:B$1696,A181,GERAL!AU$8:AU$1696)</f>
        <v>490</v>
      </c>
      <c r="AK181" s="177">
        <f>SUMIF(GERAL!B$8:B$1696,A181,GERAL!AV$8:AV$1696)</f>
        <v>304</v>
      </c>
      <c r="AL181" s="118">
        <f t="shared" si="42"/>
        <v>2763</v>
      </c>
      <c r="AM181" s="493" t="s">
        <v>451</v>
      </c>
    </row>
    <row r="182">
      <c r="A182" s="484" t="s">
        <v>5606</v>
      </c>
      <c r="B182" s="75">
        <f>COUNTIFS(GERAL!B$8:B$1696,A182,GERAL!C$8:C$1696,"ESCOLA")</f>
        <v>3</v>
      </c>
      <c r="C182" s="75">
        <f>COUNTIFS(GERAL!B$8:B$1696,A182,GERAL!C$8:C$1696,"ANEXO")</f>
        <v>3</v>
      </c>
      <c r="D182" s="85">
        <f>SUMIF(GERAL!B$8:B$1696,A182,GERAL!Z$8:Z$1696)</f>
        <v>0</v>
      </c>
      <c r="E182" s="85">
        <f>SUMIF(GERAL!B$8:B$1696,A182,GERAL!AE$8:AE$1696)</f>
        <v>0</v>
      </c>
      <c r="F182" s="85">
        <f>SUMIF(GERAL!B$8:B$1696,A182,GERAL!AJ$8:AJ$1696)</f>
        <v>1288</v>
      </c>
      <c r="G182" s="85">
        <f>SUMIF(GERAL!B$8:B$1696,A182,GERAL!AN$8:AN$1696)</f>
        <v>0</v>
      </c>
      <c r="H182" s="85">
        <f>SUMIF(GERAL!B$8:B$1696,A182,GERAL!AR$8:AW$1696)</f>
        <v>190</v>
      </c>
      <c r="I182" s="85">
        <f>SUMIF(GERAL!B$8:B$1696,A182,GERAL!AW$8:AW$1696)</f>
        <v>48</v>
      </c>
      <c r="J182" s="75">
        <f>SUMIF(GERAL!B$8:B$1696,A182,GERAL!AX$8:AX$1696)</f>
        <v>1526</v>
      </c>
      <c r="K182" s="75">
        <f>COUNTIFS(GERAL!B$8:B$1696,A182,GERAL!AY$8:AY$1696,"&gt;0",GERAL!C$8:C$1696,"ESCOLA")</f>
        <v>2</v>
      </c>
      <c r="L182" s="75">
        <f>COUNTIFS(GERAL!B$8:B$1696,A182,GERAL!AY$8:AY$1696,"&gt;0",GERAL!C$8:C$1696,"ANEXO")</f>
        <v>0</v>
      </c>
      <c r="M182" s="100">
        <f>SUMIF(GERAL!B$8:B$1696,A182,GERAL!V$8:V$1696)+SUMIF(GERAL!B$8:B$1696,A182,GERAL!W$8:W$1696)</f>
        <v>0</v>
      </c>
      <c r="N182" s="100">
        <f>SUMIF(GERAL!B$8:B$1696,A182,GERAL!AA$8:AA$1696)+SUMIF(GERAL!B$8:B$1696,A182,GERAL!AB$8:AB$1696)</f>
        <v>0</v>
      </c>
      <c r="O182" s="100">
        <f>SUMIF(GERAL!B$8:B$1696,A182,GERAL!AF$8:AF$1696)+SUMIF(GERAL!B$8:B$1696,A182,GERAL!AG$8:AG$1696)</f>
        <v>392</v>
      </c>
      <c r="P182" s="100">
        <f>SUMIF(GERAL!B$8:B$1696,A182,GERAL!AK$8:AK$1696)+SUMIF(GERAL!B$8:B$1696,A182,GERAL!AL$8:AL$1696)</f>
        <v>0</v>
      </c>
      <c r="Q182" s="100">
        <f>SUMIF(GERAL!B$8:B$1696,A182,GERAL!AO$8:AO$1696)+SUMIF(GERAL!B$8:B$1696,A182,GERAL!AP$8:AP$1696)</f>
        <v>0</v>
      </c>
      <c r="R182" s="100">
        <f>SUMIF(GERAL!B$8:B$1696,A182,GERAL!AS$8:AS$1696)+SUMIF(GERAL!B$8:B$1696,A182,GERAL!AT$8:AT$1696)</f>
        <v>22</v>
      </c>
      <c r="S182" s="75">
        <f t="shared" si="39"/>
        <v>414</v>
      </c>
      <c r="T182" s="116">
        <f>COUNTIFS(GERAL!B$8:B$1696,A182,GERAL!AZ$8:AZ$1696,"&gt;0",GERAL!C$8:C$1696,"ESCOLA")</f>
        <v>2</v>
      </c>
      <c r="U182" s="75">
        <f>COUNTIFS(GERAL!B$8:B$1696,A182,GERAL!AZ$8:AZ$1696,"&gt;0",GERAL!C$8:C$1696,"ANEXO")</f>
        <v>3</v>
      </c>
      <c r="V182" s="85">
        <f>SUMIF(GERAL!B$8:B$1696,A182,GERAL!AH$8:AH$1696)</f>
        <v>264</v>
      </c>
      <c r="W182" s="85">
        <f>SUMIF(GERAL!B$8:B$1696,A182,GERAL!AM$8:AM$1696)</f>
        <v>0</v>
      </c>
      <c r="X182" s="85">
        <f>SUMIF(GERAL!B$8:B$1696,A182,GERAL!AQ$8:AQ$1696)</f>
        <v>190</v>
      </c>
      <c r="Y182" s="85">
        <f>SUMIF(GERAL!B$8:B$1696,A182,GERAL!AU$8:AU$1696)</f>
        <v>0</v>
      </c>
      <c r="Z182" s="88">
        <f t="shared" si="40"/>
        <v>454</v>
      </c>
      <c r="AA182" s="116">
        <f>COUNTIFS(GERAL!B$8:B$1696,A182,GERAL!BK$8:BK$1696,"&gt;0",GERAL!C$8:C$1696,"ESCOLA")</f>
        <v>1</v>
      </c>
      <c r="AB182" s="88">
        <f>COUNTIFS(GERAL!B$8:B$1696,A182,GERAL!BK$8:BK$1696,"&gt;0",GERAL!C$8:C$1696,"ANEXO")</f>
        <v>0</v>
      </c>
      <c r="AC182" s="121">
        <f>SUMIF(GERAL!B$8:B$1696,A182,GERAL!AD$8:AD$1696)</f>
        <v>0</v>
      </c>
      <c r="AD182" s="121">
        <f>SUMIF(GERAL!B$8:B$1696,A182,GERAL!AI$8:AI$1696)</f>
        <v>632</v>
      </c>
      <c r="AE182" s="121">
        <f>SUMIF(GERAL!B$8:B$1696,A182,GERAL!AV$8:AV$1696)</f>
        <v>26</v>
      </c>
      <c r="AF182" s="492">
        <f t="shared" si="41"/>
        <v>658</v>
      </c>
      <c r="AG182" s="178">
        <f>COUNTIFS(GERAL!B$8:B$1696,A182,GERAL!AW$8:AW$1696,"&gt;0",GERAL!C$8:C$1696,"ESCOLA")</f>
        <v>1</v>
      </c>
      <c r="AH182" s="118">
        <f>COUNTIFS(GERAL!B$8:B$1696,A182,GERAL!AW$8:AW$1696,"&gt;0",GERAL!C$8:C$1696,"ANEXO")</f>
        <v>0</v>
      </c>
      <c r="AI182" s="177">
        <f>SUMIF(GERAL!B$8:B$1696,A182,GERAL!AS$8:AS$1696)+SUMIF(GERAL!B$8:B$1696,A182,GERAL!AT$8:AT$1696)</f>
        <v>22</v>
      </c>
      <c r="AJ182" s="177">
        <f>SUMIF(GERAL!B$8:B$1696,A182,GERAL!AU$8:AU$1696)</f>
        <v>0</v>
      </c>
      <c r="AK182" s="177">
        <f>SUMIF(GERAL!B$8:B$1696,A182,GERAL!AV$8:AV$1696)</f>
        <v>26</v>
      </c>
      <c r="AL182" s="118">
        <f t="shared" si="42"/>
        <v>48</v>
      </c>
      <c r="AM182" s="493" t="s">
        <v>1281</v>
      </c>
    </row>
    <row r="183">
      <c r="A183" s="494" t="s">
        <v>6010</v>
      </c>
      <c r="B183" s="75">
        <f>COUNTIFS(GERAL!B$8:B$1696,A183,GERAL!C$8:C$1696,"ESCOLA")</f>
        <v>1</v>
      </c>
      <c r="C183" s="75">
        <f>COUNTIFS(GERAL!B$8:B$1696,A183,GERAL!C$8:C$1696,"ANEXO")</f>
        <v>0</v>
      </c>
      <c r="D183" s="85">
        <f>SUMIF(GERAL!B$8:B$1696,A183,GERAL!Z$8:Z$1696)</f>
        <v>0</v>
      </c>
      <c r="E183" s="85">
        <f>SUMIF(GERAL!B$8:B$1696,A183,GERAL!AE$8:AE$1696)</f>
        <v>0</v>
      </c>
      <c r="F183" s="85">
        <f>SUMIF(GERAL!B$8:B$1696,A183,GERAL!AJ$8:AJ$1696)</f>
        <v>434</v>
      </c>
      <c r="G183" s="85">
        <f>SUMIF(GERAL!B$8:B$1696,A183,GERAL!AN$8:AN$1696)</f>
        <v>0</v>
      </c>
      <c r="H183" s="85">
        <f>SUMIF(GERAL!B$8:B$1696,A183,GERAL!AR$8:AW$1696)</f>
        <v>0</v>
      </c>
      <c r="I183" s="85">
        <f>SUMIF(GERAL!B$8:B$1696,A183,GERAL!AW$8:AW$1696)</f>
        <v>26</v>
      </c>
      <c r="J183" s="75">
        <f>SUMIF(GERAL!B$8:B$1696,A183,GERAL!AX$8:AX$1696)</f>
        <v>460</v>
      </c>
      <c r="K183" s="75">
        <f>COUNTIFS(GERAL!B$8:B$1696,A183,GERAL!AY$8:AY$1696,"&gt;0",GERAL!C$8:C$1696,"ESCOLA")</f>
        <v>1</v>
      </c>
      <c r="L183" s="75">
        <f>COUNTIFS(GERAL!B$8:B$1696,A183,GERAL!AY$8:AY$1696,"&gt;0",GERAL!C$8:C$1696,"ANEXO")</f>
        <v>0</v>
      </c>
      <c r="M183" s="100">
        <f>SUMIF(GERAL!B$8:B$1696,A183,GERAL!V$8:V$1696)+SUMIF(GERAL!B$8:B$1696,A183,GERAL!W$8:W$1696)</f>
        <v>0</v>
      </c>
      <c r="N183" s="100">
        <f>SUMIF(GERAL!B$8:B$1696,A183,GERAL!AA$8:AA$1696)+SUMIF(GERAL!B$8:B$1696,A183,GERAL!AB$8:AB$1696)</f>
        <v>0</v>
      </c>
      <c r="O183" s="100">
        <f>SUMIF(GERAL!B$8:B$1696,A183,GERAL!AF$8:AF$1696)+SUMIF(GERAL!B$8:B$1696,A183,GERAL!AG$8:AG$1696)</f>
        <v>54</v>
      </c>
      <c r="P183" s="100">
        <f>SUMIF(GERAL!B$8:B$1696,A183,GERAL!AK$8:AK$1696)+SUMIF(GERAL!B$8:B$1696,A183,GERAL!AL$8:AL$1696)</f>
        <v>0</v>
      </c>
      <c r="Q183" s="100">
        <f>SUMIF(GERAL!B$8:B$1696,A183,GERAL!AO$8:AO$1696)+SUMIF(GERAL!B$8:B$1696,A183,GERAL!AP$8:AP$1696)</f>
        <v>0</v>
      </c>
      <c r="R183" s="100">
        <f>SUMIF(GERAL!B$8:B$1696,A183,GERAL!AS$8:AS$1696)+SUMIF(GERAL!B$8:B$1696,A183,GERAL!AT$8:AT$1696)</f>
        <v>0</v>
      </c>
      <c r="S183" s="75">
        <f t="shared" si="39"/>
        <v>54</v>
      </c>
      <c r="T183" s="116">
        <f>COUNTIFS(GERAL!B$8:B$1696,A183,GERAL!AZ$8:AZ$1696,"&gt;0",GERAL!C$8:C$1696,"ESCOLA")</f>
        <v>0</v>
      </c>
      <c r="U183" s="75">
        <f>COUNTIFS(GERAL!B$8:B$1696,A183,GERAL!AZ$8:AZ$1696,"&gt;0",GERAL!C$8:C$1696,"ANEXO")</f>
        <v>0</v>
      </c>
      <c r="V183" s="85">
        <f>SUMIF(GERAL!B$8:B$1696,A183,GERAL!AH$8:AH$1696)</f>
        <v>0</v>
      </c>
      <c r="W183" s="85">
        <f>SUMIF(GERAL!B$8:B$1696,A183,GERAL!AM$8:AM$1696)</f>
        <v>0</v>
      </c>
      <c r="X183" s="85">
        <f>SUMIF(GERAL!B$8:B$1696,A183,GERAL!AQ$8:AQ$1696)</f>
        <v>0</v>
      </c>
      <c r="Y183" s="85">
        <f>SUMIF(GERAL!B$8:B$1696,A183,GERAL!AU$8:AU$1696)</f>
        <v>0</v>
      </c>
      <c r="Z183" s="88">
        <f t="shared" si="40"/>
        <v>0</v>
      </c>
      <c r="AA183" s="116">
        <f>COUNTIFS(GERAL!B$8:B$1696,A183,GERAL!BK$8:BK$1696,"&gt;0",GERAL!C$8:C$1696,"ESCOLA")</f>
        <v>1</v>
      </c>
      <c r="AB183" s="88">
        <f>COUNTIFS(GERAL!B$8:B$1696,A183,GERAL!BK$8:BK$1696,"&gt;0",GERAL!C$8:C$1696,"ANEXO")</f>
        <v>0</v>
      </c>
      <c r="AC183" s="121">
        <f>SUMIF(GERAL!B$8:B$1696,A183,GERAL!AD$8:AD$1696)</f>
        <v>0</v>
      </c>
      <c r="AD183" s="121">
        <f>SUMIF(GERAL!B$8:B$1696,A183,GERAL!AI$8:AI$1696)</f>
        <v>380</v>
      </c>
      <c r="AE183" s="121">
        <f>SUMIF(GERAL!B$8:B$1696,A183,GERAL!AV$8:AV$1696)</f>
        <v>26</v>
      </c>
      <c r="AF183" s="492">
        <f t="shared" si="41"/>
        <v>406</v>
      </c>
      <c r="AG183" s="178">
        <f>COUNTIFS(GERAL!B$8:B$1696,A183,GERAL!AW$8:AW$1696,"&gt;0",GERAL!C$8:C$1696,"ESCOLA")</f>
        <v>1</v>
      </c>
      <c r="AH183" s="118">
        <f>COUNTIFS(GERAL!B$8:B$1696,A183,GERAL!AW$8:AW$1696,"&gt;0",GERAL!C$8:C$1696,"ANEXO")</f>
        <v>0</v>
      </c>
      <c r="AI183" s="177">
        <f>SUMIF(GERAL!B$8:B$1696,A183,GERAL!AS$8:AS$1696)+SUMIF(GERAL!B$8:B$1696,A183,GERAL!AT$8:AT$1696)</f>
        <v>0</v>
      </c>
      <c r="AJ183" s="177">
        <f>SUMIF(GERAL!B$8:B$1696,A183,GERAL!AU$8:AU$1696)</f>
        <v>0</v>
      </c>
      <c r="AK183" s="177">
        <f>SUMIF(GERAL!B$8:B$1696,A183,GERAL!AV$8:AV$1696)</f>
        <v>26</v>
      </c>
      <c r="AL183" s="118">
        <f t="shared" si="42"/>
        <v>26</v>
      </c>
      <c r="AM183" s="493" t="s">
        <v>1335</v>
      </c>
    </row>
    <row r="184">
      <c r="A184" s="484" t="s">
        <v>6943</v>
      </c>
      <c r="B184" s="75">
        <f>COUNTIFS(GERAL!B$8:B$1696,A184,GERAL!C$8:C$1696,"ESCOLA")</f>
        <v>4</v>
      </c>
      <c r="C184" s="75">
        <f>COUNTIFS(GERAL!B$8:B$1696,A184,GERAL!C$8:C$1696,"ANEXO")</f>
        <v>1</v>
      </c>
      <c r="D184" s="85">
        <f>SUMIF(GERAL!B$8:B$1696,A184,GERAL!Z$8:Z$1696)</f>
        <v>0</v>
      </c>
      <c r="E184" s="85">
        <f>SUMIF(GERAL!B$8:B$1696,A184,GERAL!AE$8:AE$1696)</f>
        <v>0</v>
      </c>
      <c r="F184" s="85">
        <f>SUMIF(GERAL!B$8:B$1696,A184,GERAL!AJ$8:AJ$1696)</f>
        <v>500</v>
      </c>
      <c r="G184" s="85">
        <f>SUMIF(GERAL!B$8:B$1696,A184,GERAL!AN$8:AN$1696)</f>
        <v>0</v>
      </c>
      <c r="H184" s="85">
        <f>SUMIF(GERAL!B$8:B$1696,A184,GERAL!AR$8:AW$1696)</f>
        <v>289</v>
      </c>
      <c r="I184" s="85">
        <f>SUMIF(GERAL!B$8:B$1696,A184,GERAL!AW$8:AW$1696)</f>
        <v>1511</v>
      </c>
      <c r="J184" s="75">
        <f>SUMIF(GERAL!B$8:B$1696,A184,GERAL!AX$8:AX$1696)</f>
        <v>2300</v>
      </c>
      <c r="K184" s="75">
        <f>COUNTIFS(GERAL!B$8:B$1696,A184,GERAL!AY$8:AY$1696,"&gt;0",GERAL!C$8:C$1696,"ESCOLA")</f>
        <v>3</v>
      </c>
      <c r="L184" s="75">
        <f>COUNTIFS(GERAL!B$8:B$1696,A184,GERAL!AY$8:AY$1696,"&gt;0",GERAL!C$8:C$1696,"ANEXO")</f>
        <v>0</v>
      </c>
      <c r="M184" s="100">
        <f>SUMIF(GERAL!B$8:B$1696,A184,GERAL!V$8:V$1696)+SUMIF(GERAL!B$8:B$1696,A184,GERAL!W$8:W$1696)</f>
        <v>0</v>
      </c>
      <c r="N184" s="100">
        <f>SUMIF(GERAL!B$8:B$1696,A184,GERAL!AA$8:AA$1696)+SUMIF(GERAL!B$8:B$1696,A184,GERAL!AB$8:AB$1696)</f>
        <v>0</v>
      </c>
      <c r="O184" s="100">
        <f>SUMIF(GERAL!B$8:B$1696,A184,GERAL!AF$8:AF$1696)+SUMIF(GERAL!B$8:B$1696,A184,GERAL!AG$8:AG$1696)</f>
        <v>338</v>
      </c>
      <c r="P184" s="100">
        <f>SUMIF(GERAL!B$8:B$1696,A184,GERAL!AK$8:AK$1696)+SUMIF(GERAL!B$8:B$1696,A184,GERAL!AL$8:AL$1696)</f>
        <v>0</v>
      </c>
      <c r="Q184" s="100">
        <f>SUMIF(GERAL!B$8:B$1696,A184,GERAL!AO$8:AO$1696)+SUMIF(GERAL!B$8:B$1696,A184,GERAL!AP$8:AP$1696)</f>
        <v>0</v>
      </c>
      <c r="R184" s="100">
        <f>SUMIF(GERAL!B$8:B$1696,A184,GERAL!AS$8:AS$1696)+SUMIF(GERAL!B$8:B$1696,A184,GERAL!AT$8:AT$1696)</f>
        <v>512</v>
      </c>
      <c r="S184" s="75">
        <f t="shared" si="39"/>
        <v>850</v>
      </c>
      <c r="T184" s="116">
        <f>COUNTIFS(GERAL!B$8:B$1696,A184,GERAL!AZ$8:AZ$1696,"&gt;0",GERAL!C$8:C$1696,"ESCOLA")</f>
        <v>3</v>
      </c>
      <c r="U184" s="75">
        <f>COUNTIFS(GERAL!B$8:B$1696,A184,GERAL!AZ$8:AZ$1696,"&gt;0",GERAL!C$8:C$1696,"ANEXO")</f>
        <v>1</v>
      </c>
      <c r="V184" s="85">
        <f>SUMIF(GERAL!B$8:B$1696,A184,GERAL!AH$8:AH$1696)</f>
        <v>37</v>
      </c>
      <c r="W184" s="85">
        <f>SUMIF(GERAL!B$8:B$1696,A184,GERAL!AM$8:AM$1696)</f>
        <v>0</v>
      </c>
      <c r="X184" s="85">
        <f>SUMIF(GERAL!B$8:B$1696,A184,GERAL!AQ$8:AQ$1696)</f>
        <v>289</v>
      </c>
      <c r="Y184" s="85">
        <f>SUMIF(GERAL!B$8:B$1696,A184,GERAL!AU$8:AU$1696)</f>
        <v>545</v>
      </c>
      <c r="Z184" s="88">
        <f t="shared" si="40"/>
        <v>871</v>
      </c>
      <c r="AA184" s="116">
        <f>COUNTIFS(GERAL!B$8:B$1696,A184,GERAL!BK$8:BK$1696,"&gt;0",GERAL!C$8:C$1696,"ESCOLA")</f>
        <v>3</v>
      </c>
      <c r="AB184" s="88">
        <f>COUNTIFS(GERAL!B$8:B$1696,A184,GERAL!BK$8:BK$1696,"&gt;0",GERAL!C$8:C$1696,"ANEXO")</f>
        <v>0</v>
      </c>
      <c r="AC184" s="121">
        <f>SUMIF(GERAL!B$8:B$1696,A184,GERAL!AD$8:AD$1696)</f>
        <v>0</v>
      </c>
      <c r="AD184" s="121">
        <f>SUMIF(GERAL!B$8:B$1696,A184,GERAL!AI$8:AI$1696)</f>
        <v>125</v>
      </c>
      <c r="AE184" s="121">
        <f>SUMIF(GERAL!B$8:B$1696,A184,GERAL!AV$8:AV$1696)</f>
        <v>454</v>
      </c>
      <c r="AF184" s="492">
        <f t="shared" si="41"/>
        <v>579</v>
      </c>
      <c r="AG184" s="178">
        <f>COUNTIFS(GERAL!B$8:B$1696,A184,GERAL!AW$8:AW$1696,"&gt;0",GERAL!C$8:C$1696,"ESCOLA")</f>
        <v>2</v>
      </c>
      <c r="AH184" s="118">
        <f>COUNTIFS(GERAL!B$8:B$1696,A184,GERAL!AW$8:AW$1696,"&gt;0",GERAL!C$8:C$1696,"ANEXO")</f>
        <v>0</v>
      </c>
      <c r="AI184" s="177">
        <f>SUMIF(GERAL!B$8:B$1696,A184,GERAL!AS$8:AS$1696)+SUMIF(GERAL!B$8:B$1696,A184,GERAL!AT$8:AT$1696)</f>
        <v>512</v>
      </c>
      <c r="AJ184" s="177">
        <f>SUMIF(GERAL!B$8:B$1696,A184,GERAL!AU$8:AU$1696)</f>
        <v>545</v>
      </c>
      <c r="AK184" s="177">
        <f>SUMIF(GERAL!B$8:B$1696,A184,GERAL!AV$8:AV$1696)</f>
        <v>454</v>
      </c>
      <c r="AL184" s="118">
        <f t="shared" si="42"/>
        <v>1511</v>
      </c>
      <c r="AM184" s="493" t="s">
        <v>1535</v>
      </c>
    </row>
    <row r="185">
      <c r="A185" s="494" t="s">
        <v>2261</v>
      </c>
      <c r="B185" s="75">
        <f>COUNTIFS(GERAL!B$8:B$1696,A185,GERAL!C$8:C$1696,"ESCOLA")</f>
        <v>3</v>
      </c>
      <c r="C185" s="75">
        <f>COUNTIFS(GERAL!B$8:B$1696,A185,GERAL!C$8:C$1696,"ANEXO")</f>
        <v>5</v>
      </c>
      <c r="D185" s="85">
        <f>SUMIF(GERAL!B$8:B$1696,A185,GERAL!Z$8:Z$1696)</f>
        <v>0</v>
      </c>
      <c r="E185" s="85">
        <f>SUMIF(GERAL!B$8:B$1696,A185,GERAL!AE$8:AE$1696)</f>
        <v>0</v>
      </c>
      <c r="F185" s="85">
        <f>SUMIF(GERAL!B$8:B$1696,A185,GERAL!AJ$8:AJ$1696)</f>
        <v>1013</v>
      </c>
      <c r="G185" s="85">
        <f>SUMIF(GERAL!B$8:B$1696,A185,GERAL!AN$8:AN$1696)</f>
        <v>0</v>
      </c>
      <c r="H185" s="85">
        <f>SUMIF(GERAL!B$8:B$1696,A185,GERAL!AR$8:AW$1696)</f>
        <v>192</v>
      </c>
      <c r="I185" s="85">
        <f>SUMIF(GERAL!B$8:B$1696,A185,GERAL!AW$8:AW$1696)</f>
        <v>1000</v>
      </c>
      <c r="J185" s="75">
        <f>SUMIF(GERAL!B$8:B$1696,A185,GERAL!AX$8:AX$1696)</f>
        <v>2205</v>
      </c>
      <c r="K185" s="75">
        <f>COUNTIFS(GERAL!B$8:B$1696,A185,GERAL!AY$8:AY$1696,"&gt;0",GERAL!C$8:C$1696,"ESCOLA")</f>
        <v>2</v>
      </c>
      <c r="L185" s="75">
        <f>COUNTIFS(GERAL!B$8:B$1696,A185,GERAL!AY$8:AY$1696,"&gt;0",GERAL!C$8:C$1696,"ANEXO")</f>
        <v>2</v>
      </c>
      <c r="M185" s="100">
        <f>SUMIF(GERAL!B$8:B$1696,A185,GERAL!V$8:V$1696)+SUMIF(GERAL!B$8:B$1696,A185,GERAL!W$8:W$1696)</f>
        <v>0</v>
      </c>
      <c r="N185" s="100">
        <f>SUMIF(GERAL!B$8:B$1696,A185,GERAL!AA$8:AA$1696)+SUMIF(GERAL!B$8:B$1696,A185,GERAL!AB$8:AB$1696)</f>
        <v>0</v>
      </c>
      <c r="O185" s="100">
        <f>SUMIF(GERAL!B$8:B$1696,A185,GERAL!AF$8:AF$1696)+SUMIF(GERAL!B$8:B$1696,A185,GERAL!AG$8:AG$1696)</f>
        <v>405</v>
      </c>
      <c r="P185" s="100">
        <f>SUMIF(GERAL!B$8:B$1696,A185,GERAL!AK$8:AK$1696)+SUMIF(GERAL!B$8:B$1696,A185,GERAL!AL$8:AL$1696)</f>
        <v>0</v>
      </c>
      <c r="Q185" s="100">
        <f>SUMIF(GERAL!B$8:B$1696,A185,GERAL!AO$8:AO$1696)+SUMIF(GERAL!B$8:B$1696,A185,GERAL!AP$8:AP$1696)</f>
        <v>0</v>
      </c>
      <c r="R185" s="100">
        <f>SUMIF(GERAL!B$8:B$1696,A185,GERAL!AS$8:AS$1696)+SUMIF(GERAL!B$8:B$1696,A185,GERAL!AT$8:AT$1696)</f>
        <v>753</v>
      </c>
      <c r="S185" s="75">
        <f t="shared" si="39"/>
        <v>1158</v>
      </c>
      <c r="T185" s="116">
        <f>COUNTIFS(GERAL!B$8:B$1696,A185,GERAL!AZ$8:AZ$1696,"&gt;0",GERAL!C$8:C$1696,"ESCOLA")</f>
        <v>2</v>
      </c>
      <c r="U185" s="75">
        <f>COUNTIFS(GERAL!B$8:B$1696,A185,GERAL!AZ$8:AZ$1696,"&gt;0",GERAL!C$8:C$1696,"ANEXO")</f>
        <v>4</v>
      </c>
      <c r="V185" s="85">
        <f>SUMIF(GERAL!B$8:B$1696,A185,GERAL!AH$8:AH$1696)</f>
        <v>129</v>
      </c>
      <c r="W185" s="85">
        <f>SUMIF(GERAL!B$8:B$1696,A185,GERAL!AM$8:AM$1696)</f>
        <v>0</v>
      </c>
      <c r="X185" s="85">
        <f>SUMIF(GERAL!B$8:B$1696,A185,GERAL!AQ$8:AQ$1696)</f>
        <v>192</v>
      </c>
      <c r="Y185" s="85">
        <f>SUMIF(GERAL!B$8:B$1696,A185,GERAL!AU$8:AU$1696)</f>
        <v>247</v>
      </c>
      <c r="Z185" s="88">
        <f t="shared" si="40"/>
        <v>568</v>
      </c>
      <c r="AA185" s="116">
        <f>COUNTIFS(GERAL!B$8:B$1696,A185,GERAL!BK$8:BK$1696,"&gt;0",GERAL!C$8:C$1696,"ESCOLA")</f>
        <v>1</v>
      </c>
      <c r="AB185" s="88">
        <f>COUNTIFS(GERAL!B$8:B$1696,A185,GERAL!BK$8:BK$1696,"&gt;0",GERAL!C$8:C$1696,"ANEXO")</f>
        <v>0</v>
      </c>
      <c r="AC185" s="121">
        <f>SUMIF(GERAL!B$8:B$1696,A185,GERAL!AD$8:AD$1696)</f>
        <v>0</v>
      </c>
      <c r="AD185" s="121">
        <f>SUMIF(GERAL!B$8:B$1696,A185,GERAL!AI$8:AI$1696)</f>
        <v>479</v>
      </c>
      <c r="AE185" s="121">
        <f>SUMIF(GERAL!B$8:B$1696,A185,GERAL!AV$8:AV$1696)</f>
        <v>0</v>
      </c>
      <c r="AF185" s="492">
        <f t="shared" si="41"/>
        <v>479</v>
      </c>
      <c r="AG185" s="178">
        <f>COUNTIFS(GERAL!B$8:B$1696,A185,GERAL!AW$8:AW$1696,"&gt;0",GERAL!C$8:C$1696,"ESCOLA")</f>
        <v>1</v>
      </c>
      <c r="AH185" s="118">
        <f>COUNTIFS(GERAL!B$8:B$1696,A185,GERAL!AW$8:AW$1696,"&gt;0",GERAL!C$8:C$1696,"ANEXO")</f>
        <v>0</v>
      </c>
      <c r="AI185" s="177">
        <f>SUMIF(GERAL!B$8:B$1696,A185,GERAL!AS$8:AS$1696)+SUMIF(GERAL!B$8:B$1696,A185,GERAL!AT$8:AT$1696)</f>
        <v>753</v>
      </c>
      <c r="AJ185" s="177">
        <f>SUMIF(GERAL!B$8:B$1696,A185,GERAL!AU$8:AU$1696)</f>
        <v>247</v>
      </c>
      <c r="AK185" s="177">
        <f>SUMIF(GERAL!B$8:B$1696,A185,GERAL!AV$8:AV$1696)</f>
        <v>0</v>
      </c>
      <c r="AL185" s="118">
        <f t="shared" si="42"/>
        <v>1000</v>
      </c>
      <c r="AM185" s="493" t="s">
        <v>1090</v>
      </c>
    </row>
    <row r="186">
      <c r="A186" s="484" t="s">
        <v>266</v>
      </c>
      <c r="B186" s="75">
        <f>COUNTIFS(GERAL!B$8:B$1696,A186,GERAL!C$8:C$1696,"ESCOLA")</f>
        <v>1</v>
      </c>
      <c r="C186" s="75">
        <f>COUNTIFS(GERAL!B$8:B$1696,A186,GERAL!C$8:C$1696,"ANEXO")</f>
        <v>0</v>
      </c>
      <c r="D186" s="85">
        <f>SUMIF(GERAL!B$8:B$1696,A186,GERAL!Z$8:Z$1696)</f>
        <v>0</v>
      </c>
      <c r="E186" s="85">
        <f>SUMIF(GERAL!B$8:B$1696,A186,GERAL!AE$8:AE$1696)</f>
        <v>0</v>
      </c>
      <c r="F186" s="85">
        <f>SUMIF(GERAL!B$8:B$1696,A186,GERAL!AJ$8:AJ$1696)</f>
        <v>350</v>
      </c>
      <c r="G186" s="85">
        <f>SUMIF(GERAL!B$8:B$1696,A186,GERAL!AN$8:AN$1696)</f>
        <v>0</v>
      </c>
      <c r="H186" s="85">
        <f>SUMIF(GERAL!B$8:B$1696,A186,GERAL!AR$8:AW$1696)</f>
        <v>52</v>
      </c>
      <c r="I186" s="85">
        <f>SUMIF(GERAL!B$8:B$1696,A186,GERAL!AW$8:AW$1696)</f>
        <v>10</v>
      </c>
      <c r="J186" s="75">
        <f>SUMIF(GERAL!B$8:B$1696,A186,GERAL!AX$8:AX$1696)</f>
        <v>412</v>
      </c>
      <c r="K186" s="75">
        <f>COUNTIFS(GERAL!B$8:B$1696,A186,GERAL!AY$8:AY$1696,"&gt;0",GERAL!C$8:C$1696,"ESCOLA")</f>
        <v>1</v>
      </c>
      <c r="L186" s="75">
        <f>COUNTIFS(GERAL!B$8:B$1696,A186,GERAL!AY$8:AY$1696,"&gt;0",GERAL!C$8:C$1696,"ANEXO")</f>
        <v>0</v>
      </c>
      <c r="M186" s="100">
        <f>SUMIF(GERAL!B$8:B$1696,A186,GERAL!V$8:V$1696)+SUMIF(GERAL!B$8:B$1696,A186,GERAL!W$8:W$1696)</f>
        <v>0</v>
      </c>
      <c r="N186" s="100">
        <f>SUMIF(GERAL!B$8:B$1696,A186,GERAL!AA$8:AA$1696)+SUMIF(GERAL!B$8:B$1696,A186,GERAL!AB$8:AB$1696)</f>
        <v>0</v>
      </c>
      <c r="O186" s="100">
        <f>SUMIF(GERAL!B$8:B$1696,A186,GERAL!AF$8:AF$1696)+SUMIF(GERAL!B$8:B$1696,A186,GERAL!AG$8:AG$1696)</f>
        <v>350</v>
      </c>
      <c r="P186" s="100">
        <f>SUMIF(GERAL!B$8:B$1696,A186,GERAL!AK$8:AK$1696)+SUMIF(GERAL!B$8:B$1696,A186,GERAL!AL$8:AL$1696)</f>
        <v>0</v>
      </c>
      <c r="Q186" s="100">
        <f>SUMIF(GERAL!B$8:B$1696,A186,GERAL!AO$8:AO$1696)+SUMIF(GERAL!B$8:B$1696,A186,GERAL!AP$8:AP$1696)</f>
        <v>0</v>
      </c>
      <c r="R186" s="100">
        <f>SUMIF(GERAL!B$8:B$1696,A186,GERAL!AS$8:AS$1696)+SUMIF(GERAL!B$8:B$1696,A186,GERAL!AT$8:AT$1696)</f>
        <v>0</v>
      </c>
      <c r="S186" s="75">
        <f t="shared" si="39"/>
        <v>350</v>
      </c>
      <c r="T186" s="116">
        <f>COUNTIFS(GERAL!B$8:B$1696,A186,GERAL!AZ$8:AZ$1696,"&gt;0",GERAL!C$8:C$1696,"ESCOLA")</f>
        <v>1</v>
      </c>
      <c r="U186" s="75">
        <f>COUNTIFS(GERAL!B$8:B$1696,A186,GERAL!AZ$8:AZ$1696,"&gt;0",GERAL!C$8:C$1696,"ANEXO")</f>
        <v>0</v>
      </c>
      <c r="V186" s="85">
        <f>SUMIF(GERAL!B$8:B$1696,A186,GERAL!AH$8:AH$1696)</f>
        <v>0</v>
      </c>
      <c r="W186" s="85">
        <f>SUMIF(GERAL!B$8:B$1696,A186,GERAL!AM$8:AM$1696)</f>
        <v>0</v>
      </c>
      <c r="X186" s="85">
        <f>SUMIF(GERAL!B$8:B$1696,A186,GERAL!AQ$8:AQ$1696)</f>
        <v>52</v>
      </c>
      <c r="Y186" s="85">
        <f>SUMIF(GERAL!B$8:B$1696,A186,GERAL!AU$8:AU$1696)</f>
        <v>10</v>
      </c>
      <c r="Z186" s="88">
        <f t="shared" si="40"/>
        <v>62</v>
      </c>
      <c r="AA186" s="116">
        <f>COUNTIFS(GERAL!B$8:B$1696,A186,GERAL!BK$8:BK$1696,"&gt;0",GERAL!C$8:C$1696,"ESCOLA")</f>
        <v>0</v>
      </c>
      <c r="AB186" s="88">
        <f>COUNTIFS(GERAL!B$8:B$1696,A186,GERAL!BK$8:BK$1696,"&gt;0",GERAL!C$8:C$1696,"ANEXO")</f>
        <v>0</v>
      </c>
      <c r="AC186" s="121">
        <f>SUMIF(GERAL!B$8:B$1696,A186,GERAL!AD$8:AD$1696)</f>
        <v>0</v>
      </c>
      <c r="AD186" s="121">
        <f>SUMIF(GERAL!B$8:B$1696,A186,GERAL!AI$8:AI$1696)</f>
        <v>0</v>
      </c>
      <c r="AE186" s="121">
        <f>SUMIF(GERAL!B$8:B$1696,A186,GERAL!AV$8:AV$1696)</f>
        <v>0</v>
      </c>
      <c r="AF186" s="492">
        <f t="shared" si="41"/>
        <v>0</v>
      </c>
      <c r="AG186" s="178">
        <f>COUNTIFS(GERAL!B$8:B$1696,A186,GERAL!AW$8:AW$1696,"&gt;0",GERAL!C$8:C$1696,"ESCOLA")</f>
        <v>1</v>
      </c>
      <c r="AH186" s="118">
        <f>COUNTIFS(GERAL!B$8:B$1696,A186,GERAL!AW$8:AW$1696,"&gt;0",GERAL!C$8:C$1696,"ANEXO")</f>
        <v>0</v>
      </c>
      <c r="AI186" s="177">
        <f>SUMIF(GERAL!B$8:B$1696,A186,GERAL!AS$8:AS$1696)+SUMIF(GERAL!B$8:B$1696,A186,GERAL!AT$8:AT$1696)</f>
        <v>0</v>
      </c>
      <c r="AJ186" s="177">
        <f>SUMIF(GERAL!B$8:B$1696,A186,GERAL!AU$8:AU$1696)</f>
        <v>10</v>
      </c>
      <c r="AK186" s="177">
        <f>SUMIF(GERAL!B$8:B$1696,A186,GERAL!AV$8:AV$1696)</f>
        <v>0</v>
      </c>
      <c r="AL186" s="118">
        <f t="shared" si="42"/>
        <v>10</v>
      </c>
      <c r="AM186" s="493" t="s">
        <v>130</v>
      </c>
    </row>
    <row r="187">
      <c r="A187" s="494" t="s">
        <v>2678</v>
      </c>
      <c r="B187" s="75">
        <f>COUNTIFS(GERAL!B$8:B$1696,A187,GERAL!C$8:C$1696,"ESCOLA")</f>
        <v>1</v>
      </c>
      <c r="C187" s="75">
        <f>COUNTIFS(GERAL!B$8:B$1696,A187,GERAL!C$8:C$1696,"ANEXO")</f>
        <v>0</v>
      </c>
      <c r="D187" s="85">
        <f>SUMIF(GERAL!B$8:B$1696,A187,GERAL!Z$8:Z$1696)</f>
        <v>0</v>
      </c>
      <c r="E187" s="85">
        <f>SUMIF(GERAL!B$8:B$1696,A187,GERAL!AE$8:AE$1696)</f>
        <v>0</v>
      </c>
      <c r="F187" s="85">
        <f>SUMIF(GERAL!B$8:B$1696,A187,GERAL!AJ$8:AJ$1696)</f>
        <v>171</v>
      </c>
      <c r="G187" s="85">
        <f>SUMIF(GERAL!B$8:B$1696,A187,GERAL!AN$8:AN$1696)</f>
        <v>0</v>
      </c>
      <c r="H187" s="85">
        <f>SUMIF(GERAL!B$8:B$1696,A187,GERAL!AR$8:AW$1696)</f>
        <v>98</v>
      </c>
      <c r="I187" s="85">
        <f>SUMIF(GERAL!B$8:B$1696,A187,GERAL!AW$8:AW$1696)</f>
        <v>41</v>
      </c>
      <c r="J187" s="75">
        <f>SUMIF(GERAL!B$8:B$1696,A187,GERAL!AX$8:AX$1696)</f>
        <v>310</v>
      </c>
      <c r="K187" s="75">
        <f>COUNTIFS(GERAL!B$8:B$1696,A187,GERAL!AY$8:AY$1696,"&gt;0",GERAL!C$8:C$1696,"ESCOLA")</f>
        <v>1</v>
      </c>
      <c r="L187" s="75">
        <f>COUNTIFS(GERAL!B$8:B$1696,A187,GERAL!AY$8:AY$1696,"&gt;0",GERAL!C$8:C$1696,"ANEXO")</f>
        <v>0</v>
      </c>
      <c r="M187" s="100">
        <f>SUMIF(GERAL!B$8:B$1696,A187,GERAL!V$8:V$1696)+SUMIF(GERAL!B$8:B$1696,A187,GERAL!W$8:W$1696)</f>
        <v>0</v>
      </c>
      <c r="N187" s="100">
        <f>SUMIF(GERAL!B$8:B$1696,A187,GERAL!AA$8:AA$1696)+SUMIF(GERAL!B$8:B$1696,A187,GERAL!AB$8:AB$1696)</f>
        <v>0</v>
      </c>
      <c r="O187" s="100">
        <f>SUMIF(GERAL!B$8:B$1696,A187,GERAL!AF$8:AF$1696)+SUMIF(GERAL!B$8:B$1696,A187,GERAL!AG$8:AG$1696)</f>
        <v>117</v>
      </c>
      <c r="P187" s="100">
        <f>SUMIF(GERAL!B$8:B$1696,A187,GERAL!AK$8:AK$1696)+SUMIF(GERAL!B$8:B$1696,A187,GERAL!AL$8:AL$1696)</f>
        <v>0</v>
      </c>
      <c r="Q187" s="100">
        <f>SUMIF(GERAL!B$8:B$1696,A187,GERAL!AO$8:AO$1696)+SUMIF(GERAL!B$8:B$1696,A187,GERAL!AP$8:AP$1696)</f>
        <v>0</v>
      </c>
      <c r="R187" s="100">
        <f>SUMIF(GERAL!B$8:B$1696,A187,GERAL!AS$8:AS$1696)+SUMIF(GERAL!B$8:B$1696,A187,GERAL!AT$8:AT$1696)</f>
        <v>17</v>
      </c>
      <c r="S187" s="75">
        <f t="shared" si="39"/>
        <v>134</v>
      </c>
      <c r="T187" s="116">
        <f>COUNTIFS(GERAL!B$8:B$1696,A187,GERAL!AZ$8:AZ$1696,"&gt;0",GERAL!C$8:C$1696,"ESCOLA")</f>
        <v>1</v>
      </c>
      <c r="U187" s="75">
        <f>COUNTIFS(GERAL!B$8:B$1696,A187,GERAL!AZ$8:AZ$1696,"&gt;0",GERAL!C$8:C$1696,"ANEXO")</f>
        <v>0</v>
      </c>
      <c r="V187" s="85">
        <f>SUMIF(GERAL!B$8:B$1696,A187,GERAL!AH$8:AH$1696)</f>
        <v>0</v>
      </c>
      <c r="W187" s="85">
        <f>SUMIF(GERAL!B$8:B$1696,A187,GERAL!AM$8:AM$1696)</f>
        <v>0</v>
      </c>
      <c r="X187" s="85">
        <f>SUMIF(GERAL!B$8:B$1696,A187,GERAL!AQ$8:AQ$1696)</f>
        <v>98</v>
      </c>
      <c r="Y187" s="85">
        <f>SUMIF(GERAL!B$8:B$1696,A187,GERAL!AU$8:AU$1696)</f>
        <v>0</v>
      </c>
      <c r="Z187" s="88">
        <f t="shared" si="40"/>
        <v>98</v>
      </c>
      <c r="AA187" s="116">
        <f>COUNTIFS(GERAL!B$8:B$1696,A187,GERAL!BK$8:BK$1696,"&gt;0",GERAL!C$8:C$1696,"ESCOLA")</f>
        <v>1</v>
      </c>
      <c r="AB187" s="88">
        <f>COUNTIFS(GERAL!B$8:B$1696,A187,GERAL!BK$8:BK$1696,"&gt;0",GERAL!C$8:C$1696,"ANEXO")</f>
        <v>0</v>
      </c>
      <c r="AC187" s="121">
        <f>SUMIF(GERAL!B$8:B$1696,A187,GERAL!AD$8:AD$1696)</f>
        <v>0</v>
      </c>
      <c r="AD187" s="121">
        <f>SUMIF(GERAL!B$8:B$1696,A187,GERAL!AI$8:AI$1696)</f>
        <v>54</v>
      </c>
      <c r="AE187" s="121">
        <f>SUMIF(GERAL!B$8:B$1696,A187,GERAL!AV$8:AV$1696)</f>
        <v>24</v>
      </c>
      <c r="AF187" s="492">
        <f t="shared" si="41"/>
        <v>78</v>
      </c>
      <c r="AG187" s="178">
        <f>COUNTIFS(GERAL!B$8:B$1696,A187,GERAL!AW$8:AW$1696,"&gt;0",GERAL!C$8:C$1696,"ESCOLA")</f>
        <v>1</v>
      </c>
      <c r="AH187" s="118">
        <f>COUNTIFS(GERAL!B$8:B$1696,A187,GERAL!AW$8:AW$1696,"&gt;0",GERAL!C$8:C$1696,"ANEXO")</f>
        <v>0</v>
      </c>
      <c r="AI187" s="177">
        <f>SUMIF(GERAL!B$8:B$1696,A187,GERAL!AS$8:AS$1696)+SUMIF(GERAL!B$8:B$1696,A187,GERAL!AT$8:AT$1696)</f>
        <v>17</v>
      </c>
      <c r="AJ187" s="177">
        <f>SUMIF(GERAL!B$8:B$1696,A187,GERAL!AU$8:AU$1696)</f>
        <v>0</v>
      </c>
      <c r="AK187" s="177">
        <f>SUMIF(GERAL!B$8:B$1696,A187,GERAL!AV$8:AV$1696)</f>
        <v>24</v>
      </c>
      <c r="AL187" s="118">
        <f t="shared" si="42"/>
        <v>41</v>
      </c>
      <c r="AM187" s="493" t="s">
        <v>723</v>
      </c>
    </row>
    <row r="188">
      <c r="A188" s="484" t="s">
        <v>849</v>
      </c>
      <c r="B188" s="75">
        <f>COUNTIFS(GERAL!B$8:B$1696,A188,GERAL!C$8:C$1696,"ESCOLA")</f>
        <v>1</v>
      </c>
      <c r="C188" s="75">
        <f>COUNTIFS(GERAL!B$8:B$1696,A188,GERAL!C$8:C$1696,"ANEXO")</f>
        <v>6</v>
      </c>
      <c r="D188" s="85">
        <f>SUMIF(GERAL!B$8:B$1696,A188,GERAL!Z$8:Z$1696)</f>
        <v>0</v>
      </c>
      <c r="E188" s="85">
        <f>SUMIF(GERAL!B$8:B$1696,A188,GERAL!AE$8:AE$1696)</f>
        <v>0</v>
      </c>
      <c r="F188" s="85">
        <f>SUMIF(GERAL!B$8:B$1696,A188,GERAL!AJ$8:AJ$1696)</f>
        <v>326</v>
      </c>
      <c r="G188" s="85">
        <f>SUMIF(GERAL!B$8:B$1696,A188,GERAL!AN$8:AN$1696)</f>
        <v>0</v>
      </c>
      <c r="H188" s="85">
        <f>SUMIF(GERAL!B$8:B$1696,A188,GERAL!AR$8:AW$1696)</f>
        <v>16</v>
      </c>
      <c r="I188" s="85">
        <f>SUMIF(GERAL!B$8:B$1696,A188,GERAL!AW$8:AW$1696)</f>
        <v>62</v>
      </c>
      <c r="J188" s="75">
        <f>SUMIF(GERAL!B$8:B$1696,A188,GERAL!AX$8:AX$1696)</f>
        <v>404</v>
      </c>
      <c r="K188" s="75">
        <f>COUNTIFS(GERAL!B$8:B$1696,A188,GERAL!AY$8:AY$1696,"&gt;0",GERAL!C$8:C$1696,"ESCOLA")</f>
        <v>1</v>
      </c>
      <c r="L188" s="75">
        <f>COUNTIFS(GERAL!B$8:B$1696,A188,GERAL!AY$8:AY$1696,"&gt;0",GERAL!C$8:C$1696,"ANEXO")</f>
        <v>2</v>
      </c>
      <c r="M188" s="100">
        <f>SUMIF(GERAL!B$8:B$1696,A188,GERAL!V$8:V$1696)+SUMIF(GERAL!B$8:B$1696,A188,GERAL!W$8:W$1696)</f>
        <v>0</v>
      </c>
      <c r="N188" s="100">
        <f>SUMIF(GERAL!B$8:B$1696,A188,GERAL!AA$8:AA$1696)+SUMIF(GERAL!B$8:B$1696,A188,GERAL!AB$8:AB$1696)</f>
        <v>0</v>
      </c>
      <c r="O188" s="100">
        <f>SUMIF(GERAL!B$8:B$1696,A188,GERAL!AF$8:AF$1696)+SUMIF(GERAL!B$8:B$1696,A188,GERAL!AG$8:AG$1696)</f>
        <v>88</v>
      </c>
      <c r="P188" s="100">
        <f>SUMIF(GERAL!B$8:B$1696,A188,GERAL!AK$8:AK$1696)+SUMIF(GERAL!B$8:B$1696,A188,GERAL!AL$8:AL$1696)</f>
        <v>0</v>
      </c>
      <c r="Q188" s="100">
        <f>SUMIF(GERAL!B$8:B$1696,A188,GERAL!AO$8:AO$1696)+SUMIF(GERAL!B$8:B$1696,A188,GERAL!AP$8:AP$1696)</f>
        <v>0</v>
      </c>
      <c r="R188" s="100">
        <f>SUMIF(GERAL!B$8:B$1696,A188,GERAL!AS$8:AS$1696)+SUMIF(GERAL!B$8:B$1696,A188,GERAL!AT$8:AT$1696)</f>
        <v>0</v>
      </c>
      <c r="S188" s="75">
        <f t="shared" si="39"/>
        <v>88</v>
      </c>
      <c r="T188" s="116">
        <f>COUNTIFS(GERAL!B$8:B$1696,A188,GERAL!AZ$8:AZ$1696,"&gt;0",GERAL!C$8:C$1696,"ESCOLA")</f>
        <v>1</v>
      </c>
      <c r="U188" s="75">
        <f>COUNTIFS(GERAL!B$8:B$1696,A188,GERAL!AZ$8:AZ$1696,"&gt;0",GERAL!C$8:C$1696,"ANEXO")</f>
        <v>4</v>
      </c>
      <c r="V188" s="85">
        <f>SUMIF(GERAL!B$8:B$1696,A188,GERAL!AH$8:AH$1696)</f>
        <v>93</v>
      </c>
      <c r="W188" s="85">
        <f>SUMIF(GERAL!B$8:B$1696,A188,GERAL!AM$8:AM$1696)</f>
        <v>0</v>
      </c>
      <c r="X188" s="85">
        <f>SUMIF(GERAL!B$8:B$1696,A188,GERAL!AQ$8:AQ$1696)</f>
        <v>16</v>
      </c>
      <c r="Y188" s="85">
        <f>SUMIF(GERAL!B$8:B$1696,A188,GERAL!AU$8:AU$1696)</f>
        <v>16</v>
      </c>
      <c r="Z188" s="88">
        <f t="shared" si="40"/>
        <v>125</v>
      </c>
      <c r="AA188" s="116">
        <f>COUNTIFS(GERAL!B$8:B$1696,A188,GERAL!BK$8:BK$1696,"&gt;0",GERAL!C$8:C$1696,"ESCOLA")</f>
        <v>1</v>
      </c>
      <c r="AB188" s="88">
        <f>COUNTIFS(GERAL!B$8:B$1696,A188,GERAL!BK$8:BK$1696,"&gt;0",GERAL!C$8:C$1696,"ANEXO")</f>
        <v>0</v>
      </c>
      <c r="AC188" s="121">
        <f>SUMIF(GERAL!B$8:B$1696,A188,GERAL!AD$8:AD$1696)</f>
        <v>0</v>
      </c>
      <c r="AD188" s="121">
        <f>SUMIF(GERAL!B$8:B$1696,A188,GERAL!AI$8:AI$1696)</f>
        <v>145</v>
      </c>
      <c r="AE188" s="121">
        <f>SUMIF(GERAL!B$8:B$1696,A188,GERAL!AV$8:AV$1696)</f>
        <v>46</v>
      </c>
      <c r="AF188" s="492">
        <f t="shared" si="41"/>
        <v>191</v>
      </c>
      <c r="AG188" s="178">
        <f>COUNTIFS(GERAL!B$8:B$1696,A188,GERAL!AW$8:AW$1696,"&gt;0",GERAL!C$8:C$1696,"ESCOLA")</f>
        <v>1</v>
      </c>
      <c r="AH188" s="118">
        <f>COUNTIFS(GERAL!B$8:B$1696,A188,GERAL!AW$8:AW$1696,"&gt;0",GERAL!C$8:C$1696,"ANEXO")</f>
        <v>0</v>
      </c>
      <c r="AI188" s="177">
        <f>SUMIF(GERAL!B$8:B$1696,A188,GERAL!AS$8:AS$1696)+SUMIF(GERAL!B$8:B$1696,A188,GERAL!AT$8:AT$1696)</f>
        <v>0</v>
      </c>
      <c r="AJ188" s="177">
        <f>SUMIF(GERAL!B$8:B$1696,A188,GERAL!AU$8:AU$1696)</f>
        <v>16</v>
      </c>
      <c r="AK188" s="177">
        <f>SUMIF(GERAL!B$8:B$1696,A188,GERAL!AV$8:AV$1696)</f>
        <v>46</v>
      </c>
      <c r="AL188" s="118">
        <f t="shared" si="42"/>
        <v>62</v>
      </c>
      <c r="AM188" s="493" t="s">
        <v>285</v>
      </c>
    </row>
    <row r="189">
      <c r="A189" s="494" t="s">
        <v>869</v>
      </c>
      <c r="B189" s="75">
        <f>COUNTIFS(GERAL!B$8:B$1696,A189,GERAL!C$8:C$1696,"ESCOLA")</f>
        <v>2</v>
      </c>
      <c r="C189" s="75">
        <f>COUNTIFS(GERAL!B$8:B$1696,A189,GERAL!C$8:C$1696,"ANEXO")</f>
        <v>1</v>
      </c>
      <c r="D189" s="85">
        <f>SUMIF(GERAL!B$8:B$1696,A189,GERAL!Z$8:Z$1696)</f>
        <v>0</v>
      </c>
      <c r="E189" s="85">
        <f>SUMIF(GERAL!B$8:B$1696,A189,GERAL!AE$8:AE$1696)</f>
        <v>0</v>
      </c>
      <c r="F189" s="85">
        <f>SUMIF(GERAL!B$8:B$1696,A189,GERAL!AJ$8:AJ$1696)</f>
        <v>919</v>
      </c>
      <c r="G189" s="85">
        <f>SUMIF(GERAL!B$8:B$1696,A189,GERAL!AN$8:AN$1696)</f>
        <v>0</v>
      </c>
      <c r="H189" s="85">
        <f>SUMIF(GERAL!B$8:B$1696,A189,GERAL!AR$8:AW$1696)</f>
        <v>270</v>
      </c>
      <c r="I189" s="85">
        <f>SUMIF(GERAL!B$8:B$1696,A189,GERAL!AW$8:AW$1696)</f>
        <v>187</v>
      </c>
      <c r="J189" s="75">
        <f>SUMIF(GERAL!B$8:B$1696,A189,GERAL!AX$8:AX$1696)</f>
        <v>1376</v>
      </c>
      <c r="K189" s="75">
        <f>COUNTIFS(GERAL!B$8:B$1696,A189,GERAL!AY$8:AY$1696,"&gt;0",GERAL!C$8:C$1696,"ESCOLA")</f>
        <v>2</v>
      </c>
      <c r="L189" s="75">
        <f>COUNTIFS(GERAL!B$8:B$1696,A189,GERAL!AY$8:AY$1696,"&gt;0",GERAL!C$8:C$1696,"ANEXO")</f>
        <v>0</v>
      </c>
      <c r="M189" s="100">
        <f>SUMIF(GERAL!B$8:B$1696,A189,GERAL!V$8:V$1696)+SUMIF(GERAL!B$8:B$1696,A189,GERAL!W$8:W$1696)</f>
        <v>0</v>
      </c>
      <c r="N189" s="100">
        <f>SUMIF(GERAL!B$8:B$1696,A189,GERAL!AA$8:AA$1696)+SUMIF(GERAL!B$8:B$1696,A189,GERAL!AB$8:AB$1696)</f>
        <v>0</v>
      </c>
      <c r="O189" s="100">
        <f>SUMIF(GERAL!B$8:B$1696,A189,GERAL!AF$8:AF$1696)+SUMIF(GERAL!B$8:B$1696,A189,GERAL!AG$8:AG$1696)</f>
        <v>99</v>
      </c>
      <c r="P189" s="100">
        <f>SUMIF(GERAL!B$8:B$1696,A189,GERAL!AK$8:AK$1696)+SUMIF(GERAL!B$8:B$1696,A189,GERAL!AL$8:AL$1696)</f>
        <v>0</v>
      </c>
      <c r="Q189" s="100">
        <f>SUMIF(GERAL!B$8:B$1696,A189,GERAL!AO$8:AO$1696)+SUMIF(GERAL!B$8:B$1696,A189,GERAL!AP$8:AP$1696)</f>
        <v>0</v>
      </c>
      <c r="R189" s="100">
        <f>SUMIF(GERAL!B$8:B$1696,A189,GERAL!AS$8:AS$1696)+SUMIF(GERAL!B$8:B$1696,A189,GERAL!AT$8:AT$1696)</f>
        <v>0</v>
      </c>
      <c r="S189" s="75">
        <f t="shared" si="39"/>
        <v>99</v>
      </c>
      <c r="T189" s="116">
        <f>COUNTIFS(GERAL!B$8:B$1696,A189,GERAL!AZ$8:AZ$1696,"&gt;0",GERAL!C$8:C$1696,"ESCOLA")</f>
        <v>2</v>
      </c>
      <c r="U189" s="75">
        <f>COUNTIFS(GERAL!B$8:B$1696,A189,GERAL!AZ$8:AZ$1696,"&gt;0",GERAL!C$8:C$1696,"ANEXO")</f>
        <v>1</v>
      </c>
      <c r="V189" s="85">
        <f>SUMIF(GERAL!B$8:B$1696,A189,GERAL!AH$8:AH$1696)</f>
        <v>61</v>
      </c>
      <c r="W189" s="85">
        <f>SUMIF(GERAL!B$8:B$1696,A189,GERAL!AM$8:AM$1696)</f>
        <v>0</v>
      </c>
      <c r="X189" s="85">
        <f>SUMIF(GERAL!B$8:B$1696,A189,GERAL!AQ$8:AQ$1696)</f>
        <v>270</v>
      </c>
      <c r="Y189" s="85">
        <f>SUMIF(GERAL!B$8:B$1696,A189,GERAL!AU$8:AU$1696)</f>
        <v>99</v>
      </c>
      <c r="Z189" s="88">
        <f t="shared" si="40"/>
        <v>430</v>
      </c>
      <c r="AA189" s="116">
        <f>COUNTIFS(GERAL!B$8:B$1696,A189,GERAL!BK$8:BK$1696,"&gt;0",GERAL!C$8:C$1696,"ESCOLA")</f>
        <v>1</v>
      </c>
      <c r="AB189" s="88">
        <f>COUNTIFS(GERAL!B$8:B$1696,A189,GERAL!BK$8:BK$1696,"&gt;0",GERAL!C$8:C$1696,"ANEXO")</f>
        <v>0</v>
      </c>
      <c r="AC189" s="121">
        <f>SUMIF(GERAL!B$8:B$1696,A189,GERAL!AD$8:AD$1696)</f>
        <v>0</v>
      </c>
      <c r="AD189" s="121">
        <f>SUMIF(GERAL!B$8:B$1696,A189,GERAL!AI$8:AI$1696)</f>
        <v>759</v>
      </c>
      <c r="AE189" s="121">
        <f>SUMIF(GERAL!B$8:B$1696,A189,GERAL!AV$8:AV$1696)</f>
        <v>88</v>
      </c>
      <c r="AF189" s="492">
        <f t="shared" si="41"/>
        <v>847</v>
      </c>
      <c r="AG189" s="178">
        <f>COUNTIFS(GERAL!B$8:B$1696,A189,GERAL!AW$8:AW$1696,"&gt;0",GERAL!C$8:C$1696,"ESCOLA")</f>
        <v>1</v>
      </c>
      <c r="AH189" s="118">
        <f>COUNTIFS(GERAL!B$8:B$1696,A189,GERAL!AW$8:AW$1696,"&gt;0",GERAL!C$8:C$1696,"ANEXO")</f>
        <v>0</v>
      </c>
      <c r="AI189" s="177">
        <f>SUMIF(GERAL!B$8:B$1696,A189,GERAL!AS$8:AS$1696)+SUMIF(GERAL!B$8:B$1696,A189,GERAL!AT$8:AT$1696)</f>
        <v>0</v>
      </c>
      <c r="AJ189" s="177">
        <f>SUMIF(GERAL!B$8:B$1696,A189,GERAL!AU$8:AU$1696)</f>
        <v>99</v>
      </c>
      <c r="AK189" s="177">
        <f>SUMIF(GERAL!B$8:B$1696,A189,GERAL!AV$8:AV$1696)</f>
        <v>88</v>
      </c>
      <c r="AL189" s="118">
        <f t="shared" si="42"/>
        <v>187</v>
      </c>
      <c r="AM189" s="493" t="s">
        <v>285</v>
      </c>
    </row>
    <row r="190">
      <c r="A190" s="484" t="s">
        <v>6023</v>
      </c>
      <c r="B190" s="75">
        <f>COUNTIFS(GERAL!B$8:B$1696,A190,GERAL!C$8:C$1696,"ESCOLA")</f>
        <v>1</v>
      </c>
      <c r="C190" s="75">
        <f>COUNTIFS(GERAL!B$8:B$1696,A190,GERAL!C$8:C$1696,"ANEXO")</f>
        <v>2</v>
      </c>
      <c r="D190" s="85">
        <f>SUMIF(GERAL!B$8:B$1696,A190,GERAL!Z$8:Z$1696)</f>
        <v>0</v>
      </c>
      <c r="E190" s="85">
        <f>SUMIF(GERAL!B$8:B$1696,A190,GERAL!AE$8:AE$1696)</f>
        <v>112</v>
      </c>
      <c r="F190" s="85">
        <f>SUMIF(GERAL!B$8:B$1696,A190,GERAL!AJ$8:AJ$1696)</f>
        <v>959</v>
      </c>
      <c r="G190" s="85">
        <f>SUMIF(GERAL!B$8:B$1696,A190,GERAL!AN$8:AN$1696)</f>
        <v>0</v>
      </c>
      <c r="H190" s="85">
        <f>SUMIF(GERAL!B$8:B$1696,A190,GERAL!AR$8:AW$1696)</f>
        <v>267</v>
      </c>
      <c r="I190" s="85">
        <f>SUMIF(GERAL!B$8:B$1696,A190,GERAL!AW$8:AW$1696)</f>
        <v>89</v>
      </c>
      <c r="J190" s="75">
        <f>SUMIF(GERAL!B$8:B$1696,A190,GERAL!AX$8:AX$1696)</f>
        <v>1427</v>
      </c>
      <c r="K190" s="75">
        <f>COUNTIFS(GERAL!B$8:B$1696,A190,GERAL!AY$8:AY$1696,"&gt;0",GERAL!C$8:C$1696,"ESCOLA")</f>
        <v>1</v>
      </c>
      <c r="L190" s="75">
        <f>COUNTIFS(GERAL!B$8:B$1696,A190,GERAL!AY$8:AY$1696,"&gt;0",GERAL!C$8:C$1696,"ANEXO")</f>
        <v>2</v>
      </c>
      <c r="M190" s="100">
        <f>SUMIF(GERAL!B$8:B$1696,A190,GERAL!V$8:V$1696)+SUMIF(GERAL!B$8:B$1696,A190,GERAL!W$8:W$1696)</f>
        <v>0</v>
      </c>
      <c r="N190" s="100">
        <f>SUMIF(GERAL!B$8:B$1696,A190,GERAL!AA$8:AA$1696)+SUMIF(GERAL!B$8:B$1696,A190,GERAL!AB$8:AB$1696)</f>
        <v>0</v>
      </c>
      <c r="O190" s="100">
        <f>SUMIF(GERAL!B$8:B$1696,A190,GERAL!AF$8:AF$1696)+SUMIF(GERAL!B$8:B$1696,A190,GERAL!AG$8:AG$1696)</f>
        <v>294</v>
      </c>
      <c r="P190" s="100">
        <f>SUMIF(GERAL!B$8:B$1696,A190,GERAL!AK$8:AK$1696)+SUMIF(GERAL!B$8:B$1696,A190,GERAL!AL$8:AL$1696)</f>
        <v>0</v>
      </c>
      <c r="Q190" s="100">
        <f>SUMIF(GERAL!B$8:B$1696,A190,GERAL!AO$8:AO$1696)+SUMIF(GERAL!B$8:B$1696,A190,GERAL!AP$8:AP$1696)</f>
        <v>0</v>
      </c>
      <c r="R190" s="100">
        <f>SUMIF(GERAL!B$8:B$1696,A190,GERAL!AS$8:AS$1696)+SUMIF(GERAL!B$8:B$1696,A190,GERAL!AT$8:AT$1696)</f>
        <v>54</v>
      </c>
      <c r="S190" s="75">
        <f t="shared" si="39"/>
        <v>348</v>
      </c>
      <c r="T190" s="116">
        <f>COUNTIFS(GERAL!B$8:B$1696,A190,GERAL!AZ$8:AZ$1696,"&gt;0",GERAL!C$8:C$1696,"ESCOLA")</f>
        <v>1</v>
      </c>
      <c r="U190" s="75">
        <f>COUNTIFS(GERAL!B$8:B$1696,A190,GERAL!AZ$8:AZ$1696,"&gt;0",GERAL!C$8:C$1696,"ANEXO")</f>
        <v>1</v>
      </c>
      <c r="V190" s="85">
        <f>SUMIF(GERAL!B$8:B$1696,A190,GERAL!AH$8:AH$1696)</f>
        <v>49</v>
      </c>
      <c r="W190" s="85">
        <f>SUMIF(GERAL!B$8:B$1696,A190,GERAL!AM$8:AM$1696)</f>
        <v>0</v>
      </c>
      <c r="X190" s="85">
        <f>SUMIF(GERAL!B$8:B$1696,A190,GERAL!AQ$8:AQ$1696)</f>
        <v>267</v>
      </c>
      <c r="Y190" s="85">
        <f>SUMIF(GERAL!B$8:B$1696,A190,GERAL!AU$8:AU$1696)</f>
        <v>0</v>
      </c>
      <c r="Z190" s="88">
        <f t="shared" si="40"/>
        <v>316</v>
      </c>
      <c r="AA190" s="116">
        <f>COUNTIFS(GERAL!B$8:B$1696,A190,GERAL!BK$8:BK$1696,"&gt;0",GERAL!C$8:C$1696,"ESCOLA")</f>
        <v>1</v>
      </c>
      <c r="AB190" s="88">
        <f>COUNTIFS(GERAL!B$8:B$1696,A190,GERAL!BK$8:BK$1696,"&gt;0",GERAL!C$8:C$1696,"ANEXO")</f>
        <v>0</v>
      </c>
      <c r="AC190" s="121">
        <f>SUMIF(GERAL!B$8:B$1696,A190,GERAL!AD$8:AD$1696)</f>
        <v>112</v>
      </c>
      <c r="AD190" s="121">
        <f>SUMIF(GERAL!B$8:B$1696,A190,GERAL!AI$8:AI$1696)</f>
        <v>616</v>
      </c>
      <c r="AE190" s="121">
        <f>SUMIF(GERAL!B$8:B$1696,A190,GERAL!AV$8:AV$1696)</f>
        <v>35</v>
      </c>
      <c r="AF190" s="492">
        <f t="shared" si="41"/>
        <v>763</v>
      </c>
      <c r="AG190" s="178">
        <f>COUNTIFS(GERAL!B$8:B$1696,A190,GERAL!AW$8:AW$1696,"&gt;0",GERAL!C$8:C$1696,"ESCOLA")</f>
        <v>1</v>
      </c>
      <c r="AH190" s="118">
        <f>COUNTIFS(GERAL!B$8:B$1696,A190,GERAL!AW$8:AW$1696,"&gt;0",GERAL!C$8:C$1696,"ANEXO")</f>
        <v>0</v>
      </c>
      <c r="AI190" s="177">
        <f>SUMIF(GERAL!B$8:B$1696,A190,GERAL!AS$8:AS$1696)+SUMIF(GERAL!B$8:B$1696,A190,GERAL!AT$8:AT$1696)</f>
        <v>54</v>
      </c>
      <c r="AJ190" s="177">
        <f>SUMIF(GERAL!B$8:B$1696,A190,GERAL!AU$8:AU$1696)</f>
        <v>0</v>
      </c>
      <c r="AK190" s="177">
        <f>SUMIF(GERAL!B$8:B$1696,A190,GERAL!AV$8:AV$1696)</f>
        <v>35</v>
      </c>
      <c r="AL190" s="118">
        <f t="shared" si="42"/>
        <v>89</v>
      </c>
      <c r="AM190" s="493" t="s">
        <v>1335</v>
      </c>
    </row>
    <row r="191">
      <c r="A191" s="494" t="s">
        <v>271</v>
      </c>
      <c r="B191" s="75">
        <f>COUNTIFS(GERAL!B$8:B$1696,A191,GERAL!C$8:C$1696,"ESCOLA")</f>
        <v>6</v>
      </c>
      <c r="C191" s="75">
        <f>COUNTIFS(GERAL!B$8:B$1696,A191,GERAL!C$8:C$1696,"ANEXO")</f>
        <v>1</v>
      </c>
      <c r="D191" s="85">
        <f>SUMIF(GERAL!B$8:B$1696,A191,GERAL!Z$8:Z$1696)</f>
        <v>0</v>
      </c>
      <c r="E191" s="85">
        <f>SUMIF(GERAL!B$8:B$1696,A191,GERAL!AE$8:AE$1696)</f>
        <v>0</v>
      </c>
      <c r="F191" s="85">
        <f>SUMIF(GERAL!B$8:B$1696,A191,GERAL!AJ$8:AJ$1696)</f>
        <v>1302</v>
      </c>
      <c r="G191" s="85">
        <f>SUMIF(GERAL!B$8:B$1696,A191,GERAL!AN$8:AN$1696)</f>
        <v>0</v>
      </c>
      <c r="H191" s="85">
        <f>SUMIF(GERAL!B$8:B$1696,A191,GERAL!AR$8:AW$1696)</f>
        <v>274</v>
      </c>
      <c r="I191" s="85">
        <f>SUMIF(GERAL!B$8:B$1696,A191,GERAL!AW$8:AW$1696)</f>
        <v>1719</v>
      </c>
      <c r="J191" s="75">
        <f>SUMIF(GERAL!B$8:B$1696,A191,GERAL!AX$8:AX$1696)</f>
        <v>3295</v>
      </c>
      <c r="K191" s="75">
        <f>COUNTIFS(GERAL!B$8:B$1696,A191,GERAL!AY$8:AY$1696,"&gt;0",GERAL!C$8:C$1696,"ESCOLA")</f>
        <v>3</v>
      </c>
      <c r="L191" s="75">
        <f>COUNTIFS(GERAL!B$8:B$1696,A191,GERAL!AY$8:AY$1696,"&gt;0",GERAL!C$8:C$1696,"ANEXO")</f>
        <v>1</v>
      </c>
      <c r="M191" s="100">
        <f>SUMIF(GERAL!B$8:B$1696,A191,GERAL!V$8:V$1696)+SUMIF(GERAL!B$8:B$1696,A191,GERAL!W$8:W$1696)</f>
        <v>0</v>
      </c>
      <c r="N191" s="100">
        <f>SUMIF(GERAL!B$8:B$1696,A191,GERAL!AA$8:AA$1696)+SUMIF(GERAL!B$8:B$1696,A191,GERAL!AB$8:AB$1696)</f>
        <v>0</v>
      </c>
      <c r="O191" s="100">
        <f>SUMIF(GERAL!B$8:B$1696,A191,GERAL!AF$8:AF$1696)+SUMIF(GERAL!B$8:B$1696,A191,GERAL!AG$8:AG$1696)</f>
        <v>31</v>
      </c>
      <c r="P191" s="100">
        <f>SUMIF(GERAL!B$8:B$1696,A191,GERAL!AK$8:AK$1696)+SUMIF(GERAL!B$8:B$1696,A191,GERAL!AL$8:AL$1696)</f>
        <v>0</v>
      </c>
      <c r="Q191" s="100">
        <f>SUMIF(GERAL!B$8:B$1696,A191,GERAL!AO$8:AO$1696)+SUMIF(GERAL!B$8:B$1696,A191,GERAL!AP$8:AP$1696)</f>
        <v>78</v>
      </c>
      <c r="R191" s="100">
        <f>SUMIF(GERAL!B$8:B$1696,A191,GERAL!AS$8:AS$1696)+SUMIF(GERAL!B$8:B$1696,A191,GERAL!AT$8:AT$1696)</f>
        <v>1371</v>
      </c>
      <c r="S191" s="75">
        <f t="shared" si="39"/>
        <v>1480</v>
      </c>
      <c r="T191" s="116">
        <f>COUNTIFS(GERAL!B$8:B$1696,A191,GERAL!AZ$8:AZ$1696,"&gt;0",GERAL!C$8:C$1696,"ESCOLA")</f>
        <v>2</v>
      </c>
      <c r="U191" s="75">
        <f>COUNTIFS(GERAL!B$8:B$1696,A191,GERAL!AZ$8:AZ$1696,"&gt;0",GERAL!C$8:C$1696,"ANEXO")</f>
        <v>1</v>
      </c>
      <c r="V191" s="85">
        <f>SUMIF(GERAL!B$8:B$1696,A191,GERAL!AH$8:AH$1696)</f>
        <v>0</v>
      </c>
      <c r="W191" s="85">
        <f>SUMIF(GERAL!B$8:B$1696,A191,GERAL!AM$8:AM$1696)</f>
        <v>0</v>
      </c>
      <c r="X191" s="85">
        <f>SUMIF(GERAL!B$8:B$1696,A191,GERAL!AQ$8:AQ$1696)</f>
        <v>196</v>
      </c>
      <c r="Y191" s="85">
        <f>SUMIF(GERAL!B$8:B$1696,A191,GERAL!AU$8:AU$1696)</f>
        <v>348</v>
      </c>
      <c r="Z191" s="88">
        <f t="shared" si="40"/>
        <v>544</v>
      </c>
      <c r="AA191" s="116">
        <f>COUNTIFS(GERAL!B$8:B$1696,A191,GERAL!BK$8:BK$1696,"&gt;0",GERAL!C$8:C$1696,"ESCOLA")</f>
        <v>2</v>
      </c>
      <c r="AB191" s="88">
        <f>COUNTIFS(GERAL!B$8:B$1696,A191,GERAL!BK$8:BK$1696,"&gt;0",GERAL!C$8:C$1696,"ANEXO")</f>
        <v>0</v>
      </c>
      <c r="AC191" s="121">
        <f>SUMIF(GERAL!B$8:B$1696,A191,GERAL!AD$8:AD$1696)</f>
        <v>0</v>
      </c>
      <c r="AD191" s="121">
        <f>SUMIF(GERAL!B$8:B$1696,A191,GERAL!AI$8:AI$1696)</f>
        <v>1271</v>
      </c>
      <c r="AE191" s="121">
        <f>SUMIF(GERAL!B$8:B$1696,A191,GERAL!AV$8:AV$1696)</f>
        <v>0</v>
      </c>
      <c r="AF191" s="492">
        <f t="shared" si="41"/>
        <v>1271</v>
      </c>
      <c r="AG191" s="178">
        <f>COUNTIFS(GERAL!B$8:B$1696,A191,GERAL!AW$8:AW$1696,"&gt;0",GERAL!C$8:C$1696,"ESCOLA")</f>
        <v>1</v>
      </c>
      <c r="AH191" s="118">
        <f>COUNTIFS(GERAL!B$8:B$1696,A191,GERAL!AW$8:AW$1696,"&gt;0",GERAL!C$8:C$1696,"ANEXO")</f>
        <v>0</v>
      </c>
      <c r="AI191" s="177">
        <f>SUMIF(GERAL!B$8:B$1696,A191,GERAL!AS$8:AS$1696)+SUMIF(GERAL!B$8:B$1696,A191,GERAL!AT$8:AT$1696)</f>
        <v>1371</v>
      </c>
      <c r="AJ191" s="177">
        <f>SUMIF(GERAL!B$8:B$1696,A191,GERAL!AU$8:AU$1696)</f>
        <v>348</v>
      </c>
      <c r="AK191" s="177">
        <f>SUMIF(GERAL!B$8:B$1696,A191,GERAL!AV$8:AV$1696)</f>
        <v>0</v>
      </c>
      <c r="AL191" s="118">
        <f t="shared" si="42"/>
        <v>1719</v>
      </c>
      <c r="AM191" s="493" t="s">
        <v>130</v>
      </c>
    </row>
    <row r="192">
      <c r="A192" s="484" t="s">
        <v>9417</v>
      </c>
      <c r="B192" s="75">
        <f>COUNTIFS(GERAL!B$8:B$1696,A192,GERAL!C$8:C$1696,"ESCOLA")</f>
        <v>1</v>
      </c>
      <c r="C192" s="75">
        <f>COUNTIFS(GERAL!B$8:B$1696,A192,GERAL!C$8:C$1696,"ANEXO")</f>
        <v>3</v>
      </c>
      <c r="D192" s="85">
        <f>SUMIF(GERAL!B$8:B$1696,A192,GERAL!Z$8:Z$1696)</f>
        <v>0</v>
      </c>
      <c r="E192" s="85">
        <f>SUMIF(GERAL!B$8:B$1696,A192,GERAL!AE$8:AE$1696)</f>
        <v>0</v>
      </c>
      <c r="F192" s="85">
        <f>SUMIF(GERAL!B$8:B$1696,A192,GERAL!AJ$8:AJ$1696)</f>
        <v>502</v>
      </c>
      <c r="G192" s="85">
        <f>SUMIF(GERAL!B$8:B$1696,A192,GERAL!AN$8:AN$1696)</f>
        <v>0</v>
      </c>
      <c r="H192" s="85">
        <f>SUMIF(GERAL!B$8:B$1696,A192,GERAL!AR$8:AW$1696)</f>
        <v>350</v>
      </c>
      <c r="I192" s="85">
        <f>SUMIF(GERAL!B$8:B$1696,A192,GERAL!AW$8:AW$1696)</f>
        <v>77</v>
      </c>
      <c r="J192" s="75">
        <f>SUMIF(GERAL!B$8:B$1696,A192,GERAL!AX$8:AX$1696)</f>
        <v>929</v>
      </c>
      <c r="K192" s="75">
        <f>COUNTIFS(GERAL!B$8:B$1696,A192,GERAL!AY$8:AY$1696,"&gt;0",GERAL!C$8:C$1696,"ESCOLA")</f>
        <v>1</v>
      </c>
      <c r="L192" s="75">
        <f>COUNTIFS(GERAL!B$8:B$1696,A192,GERAL!AY$8:AY$1696,"&gt;0",GERAL!C$8:C$1696,"ANEXO")</f>
        <v>1</v>
      </c>
      <c r="M192" s="100">
        <f>SUMIF(GERAL!B$8:B$1696,A192,GERAL!V$8:V$1696)+SUMIF(GERAL!B$8:B$1696,A192,GERAL!W$8:W$1696)</f>
        <v>0</v>
      </c>
      <c r="N192" s="100">
        <f>SUMIF(GERAL!B$8:B$1696,A192,GERAL!AA$8:AA$1696)+SUMIF(GERAL!B$8:B$1696,A192,GERAL!AB$8:AB$1696)</f>
        <v>0</v>
      </c>
      <c r="O192" s="100">
        <f>SUMIF(GERAL!B$8:B$1696,A192,GERAL!AF$8:AF$1696)+SUMIF(GERAL!B$8:B$1696,A192,GERAL!AG$8:AG$1696)</f>
        <v>502</v>
      </c>
      <c r="P192" s="100">
        <f>SUMIF(GERAL!B$8:B$1696,A192,GERAL!AK$8:AK$1696)+SUMIF(GERAL!B$8:B$1696,A192,GERAL!AL$8:AL$1696)</f>
        <v>0</v>
      </c>
      <c r="Q192" s="100">
        <f>SUMIF(GERAL!B$8:B$1696,A192,GERAL!AO$8:AO$1696)+SUMIF(GERAL!B$8:B$1696,A192,GERAL!AP$8:AP$1696)</f>
        <v>0</v>
      </c>
      <c r="R192" s="100">
        <f>SUMIF(GERAL!B$8:B$1696,A192,GERAL!AS$8:AS$1696)+SUMIF(GERAL!B$8:B$1696,A192,GERAL!AT$8:AT$1696)</f>
        <v>77</v>
      </c>
      <c r="S192" s="75">
        <f t="shared" si="39"/>
        <v>579</v>
      </c>
      <c r="T192" s="116">
        <f>COUNTIFS(GERAL!B$8:B$1696,A192,GERAL!AZ$8:AZ$1696,"&gt;0",GERAL!C$8:C$1696,"ESCOLA")</f>
        <v>1</v>
      </c>
      <c r="U192" s="75">
        <f>COUNTIFS(GERAL!B$8:B$1696,A192,GERAL!AZ$8:AZ$1696,"&gt;0",GERAL!C$8:C$1696,"ANEXO")</f>
        <v>3</v>
      </c>
      <c r="V192" s="85">
        <f>SUMIF(GERAL!B$8:B$1696,A192,GERAL!AH$8:AH$1696)</f>
        <v>0</v>
      </c>
      <c r="W192" s="85">
        <f>SUMIF(GERAL!B$8:B$1696,A192,GERAL!AM$8:AM$1696)</f>
        <v>0</v>
      </c>
      <c r="X192" s="85">
        <f>SUMIF(GERAL!B$8:B$1696,A192,GERAL!AQ$8:AQ$1696)</f>
        <v>350</v>
      </c>
      <c r="Y192" s="85">
        <f>SUMIF(GERAL!B$8:B$1696,A192,GERAL!AU$8:AU$1696)</f>
        <v>0</v>
      </c>
      <c r="Z192" s="88">
        <f t="shared" si="40"/>
        <v>350</v>
      </c>
      <c r="AA192" s="116">
        <f>COUNTIFS(GERAL!B$8:B$1696,A192,GERAL!BK$8:BK$1696,"&gt;0",GERAL!C$8:C$1696,"ESCOLA")</f>
        <v>0</v>
      </c>
      <c r="AB192" s="88">
        <f>COUNTIFS(GERAL!B$8:B$1696,A192,GERAL!BK$8:BK$1696,"&gt;0",GERAL!C$8:C$1696,"ANEXO")</f>
        <v>0</v>
      </c>
      <c r="AC192" s="121">
        <f>SUMIF(GERAL!B$8:B$1696,A192,GERAL!AD$8:AD$1696)</f>
        <v>0</v>
      </c>
      <c r="AD192" s="121">
        <f>SUMIF(GERAL!B$8:B$1696,A192,GERAL!AI$8:AI$1696)</f>
        <v>0</v>
      </c>
      <c r="AE192" s="121">
        <f>SUMIF(GERAL!B$8:B$1696,A192,GERAL!AV$8:AV$1696)</f>
        <v>0</v>
      </c>
      <c r="AF192" s="492">
        <f t="shared" si="41"/>
        <v>0</v>
      </c>
      <c r="AG192" s="178">
        <f>COUNTIFS(GERAL!B$8:B$1696,A192,GERAL!AW$8:AW$1696,"&gt;0",GERAL!C$8:C$1696,"ESCOLA")</f>
        <v>1</v>
      </c>
      <c r="AH192" s="118">
        <f>COUNTIFS(GERAL!B$8:B$1696,A192,GERAL!AW$8:AW$1696,"&gt;0",GERAL!C$8:C$1696,"ANEXO")</f>
        <v>0</v>
      </c>
      <c r="AI192" s="177">
        <f>SUMIF(GERAL!B$8:B$1696,A192,GERAL!AS$8:AS$1696)+SUMIF(GERAL!B$8:B$1696,A192,GERAL!AT$8:AT$1696)</f>
        <v>77</v>
      </c>
      <c r="AJ192" s="177">
        <f>SUMIF(GERAL!B$8:B$1696,A192,GERAL!AU$8:AU$1696)</f>
        <v>0</v>
      </c>
      <c r="AK192" s="177">
        <f>SUMIF(GERAL!B$8:B$1696,A192,GERAL!AV$8:AV$1696)</f>
        <v>0</v>
      </c>
      <c r="AL192" s="118">
        <f t="shared" si="42"/>
        <v>77</v>
      </c>
      <c r="AM192" s="493" t="s">
        <v>1842</v>
      </c>
    </row>
    <row r="193">
      <c r="A193" s="494" t="s">
        <v>2536</v>
      </c>
      <c r="B193" s="75">
        <f>COUNTIFS(GERAL!B$8:B$1696,A193,GERAL!C$8:C$1696,"ESCOLA")</f>
        <v>3</v>
      </c>
      <c r="C193" s="75">
        <f>COUNTIFS(GERAL!B$8:B$1696,A193,GERAL!C$8:C$1696,"ANEXO")</f>
        <v>0</v>
      </c>
      <c r="D193" s="85">
        <f>SUMIF(GERAL!B$8:B$1696,A193,GERAL!Z$8:Z$1696)</f>
        <v>0</v>
      </c>
      <c r="E193" s="85">
        <f>SUMIF(GERAL!B$8:B$1696,A193,GERAL!AE$8:AE$1696)</f>
        <v>0</v>
      </c>
      <c r="F193" s="85">
        <f>SUMIF(GERAL!B$8:B$1696,A193,GERAL!AJ$8:AJ$1696)</f>
        <v>1269</v>
      </c>
      <c r="G193" s="85">
        <f>SUMIF(GERAL!B$8:B$1696,A193,GERAL!AN$8:AN$1696)</f>
        <v>0</v>
      </c>
      <c r="H193" s="85">
        <f>SUMIF(GERAL!B$8:B$1696,A193,GERAL!AR$8:AW$1696)</f>
        <v>576</v>
      </c>
      <c r="I193" s="85">
        <f>SUMIF(GERAL!B$8:B$1696,A193,GERAL!AW$8:AW$1696)</f>
        <v>1093</v>
      </c>
      <c r="J193" s="75">
        <f>SUMIF(GERAL!B$8:B$1696,A193,GERAL!AX$8:AX$1696)</f>
        <v>2938</v>
      </c>
      <c r="K193" s="75">
        <f>COUNTIFS(GERAL!B$8:B$1696,A193,GERAL!AY$8:AY$1696,"&gt;0",GERAL!C$8:C$1696,"ESCOLA")</f>
        <v>3</v>
      </c>
      <c r="L193" s="75">
        <f>COUNTIFS(GERAL!B$8:B$1696,A193,GERAL!AY$8:AY$1696,"&gt;0",GERAL!C$8:C$1696,"ANEXO")</f>
        <v>0</v>
      </c>
      <c r="M193" s="100">
        <f>SUMIF(GERAL!B$8:B$1696,A193,GERAL!V$8:V$1696)+SUMIF(GERAL!B$8:B$1696,A193,GERAL!W$8:W$1696)</f>
        <v>0</v>
      </c>
      <c r="N193" s="100">
        <f>SUMIF(GERAL!B$8:B$1696,A193,GERAL!AA$8:AA$1696)+SUMIF(GERAL!B$8:B$1696,A193,GERAL!AB$8:AB$1696)</f>
        <v>0</v>
      </c>
      <c r="O193" s="100">
        <f>SUMIF(GERAL!B$8:B$1696,A193,GERAL!AF$8:AF$1696)+SUMIF(GERAL!B$8:B$1696,A193,GERAL!AG$8:AG$1696)</f>
        <v>407</v>
      </c>
      <c r="P193" s="100">
        <f>SUMIF(GERAL!B$8:B$1696,A193,GERAL!AK$8:AK$1696)+SUMIF(GERAL!B$8:B$1696,A193,GERAL!AL$8:AL$1696)</f>
        <v>0</v>
      </c>
      <c r="Q193" s="100">
        <f>SUMIF(GERAL!B$8:B$1696,A193,GERAL!AO$8:AO$1696)+SUMIF(GERAL!B$8:B$1696,A193,GERAL!AP$8:AP$1696)</f>
        <v>0</v>
      </c>
      <c r="R193" s="100">
        <f>SUMIF(GERAL!B$8:B$1696,A193,GERAL!AS$8:AS$1696)+SUMIF(GERAL!B$8:B$1696,A193,GERAL!AT$8:AT$1696)</f>
        <v>826</v>
      </c>
      <c r="S193" s="75">
        <f t="shared" si="39"/>
        <v>1233</v>
      </c>
      <c r="T193" s="116">
        <f>COUNTIFS(GERAL!B$8:B$1696,A193,GERAL!AZ$8:AZ$1696,"&gt;0",GERAL!C$8:C$1696,"ESCOLA")</f>
        <v>3</v>
      </c>
      <c r="U193" s="75">
        <f>COUNTIFS(GERAL!B$8:B$1696,A193,GERAL!AZ$8:AZ$1696,"&gt;0",GERAL!C$8:C$1696,"ANEXO")</f>
        <v>0</v>
      </c>
      <c r="V193" s="85">
        <f>SUMIF(GERAL!B$8:B$1696,A193,GERAL!AH$8:AH$1696)</f>
        <v>0</v>
      </c>
      <c r="W193" s="85">
        <f>SUMIF(GERAL!B$8:B$1696,A193,GERAL!AM$8:AM$1696)</f>
        <v>0</v>
      </c>
      <c r="X193" s="85">
        <f>SUMIF(GERAL!B$8:B$1696,A193,GERAL!AQ$8:AQ$1696)</f>
        <v>576</v>
      </c>
      <c r="Y193" s="85">
        <f>SUMIF(GERAL!B$8:B$1696,A193,GERAL!AU$8:AU$1696)</f>
        <v>267</v>
      </c>
      <c r="Z193" s="88">
        <f t="shared" si="40"/>
        <v>843</v>
      </c>
      <c r="AA193" s="116">
        <f>COUNTIFS(GERAL!B$8:B$1696,A193,GERAL!BK$8:BK$1696,"&gt;0",GERAL!C$8:C$1696,"ESCOLA")</f>
        <v>2</v>
      </c>
      <c r="AB193" s="88">
        <f>COUNTIFS(GERAL!B$8:B$1696,A193,GERAL!BK$8:BK$1696,"&gt;0",GERAL!C$8:C$1696,"ANEXO")</f>
        <v>0</v>
      </c>
      <c r="AC193" s="121">
        <f>SUMIF(GERAL!B$8:B$1696,A193,GERAL!AD$8:AD$1696)</f>
        <v>0</v>
      </c>
      <c r="AD193" s="121">
        <f>SUMIF(GERAL!B$8:B$1696,A193,GERAL!AI$8:AI$1696)</f>
        <v>862</v>
      </c>
      <c r="AE193" s="121">
        <f>SUMIF(GERAL!B$8:B$1696,A193,GERAL!AV$8:AV$1696)</f>
        <v>0</v>
      </c>
      <c r="AF193" s="492">
        <f t="shared" si="41"/>
        <v>862</v>
      </c>
      <c r="AG193" s="178">
        <f>COUNTIFS(GERAL!B$8:B$1696,A193,GERAL!AW$8:AW$1696,"&gt;0",GERAL!C$8:C$1696,"ESCOLA")</f>
        <v>1</v>
      </c>
      <c r="AH193" s="118">
        <f>COUNTIFS(GERAL!B$8:B$1696,A193,GERAL!AW$8:AW$1696,"&gt;0",GERAL!C$8:C$1696,"ANEXO")</f>
        <v>0</v>
      </c>
      <c r="AI193" s="177">
        <f>SUMIF(GERAL!B$8:B$1696,A193,GERAL!AS$8:AS$1696)+SUMIF(GERAL!B$8:B$1696,A193,GERAL!AT$8:AT$1696)</f>
        <v>826</v>
      </c>
      <c r="AJ193" s="177">
        <f>SUMIF(GERAL!B$8:B$1696,A193,GERAL!AU$8:AU$1696)</f>
        <v>267</v>
      </c>
      <c r="AK193" s="177">
        <f>SUMIF(GERAL!B$8:B$1696,A193,GERAL!AV$8:AV$1696)</f>
        <v>0</v>
      </c>
      <c r="AL193" s="118">
        <f t="shared" si="42"/>
        <v>1093</v>
      </c>
      <c r="AM193" s="493" t="s">
        <v>1027</v>
      </c>
    </row>
    <row r="194">
      <c r="A194" s="484" t="s">
        <v>1529</v>
      </c>
      <c r="B194" s="75">
        <f>COUNTIFS(GERAL!B$8:B$1696,A194,GERAL!C$8:C$1696,"ESCOLA")</f>
        <v>10</v>
      </c>
      <c r="C194" s="75">
        <f>COUNTIFS(GERAL!B$8:B$1696,A194,GERAL!C$8:C$1696,"ANEXO")</f>
        <v>1</v>
      </c>
      <c r="D194" s="85">
        <f>SUMIF(GERAL!B$8:B$1696,A194,GERAL!Z$8:Z$1696)</f>
        <v>0</v>
      </c>
      <c r="E194" s="85">
        <f>SUMIF(GERAL!B$8:B$1696,A194,GERAL!AE$8:AE$1696)</f>
        <v>508</v>
      </c>
      <c r="F194" s="85">
        <f>SUMIF(GERAL!B$8:B$1696,A194,GERAL!AJ$8:AJ$1696)</f>
        <v>3475</v>
      </c>
      <c r="G194" s="85">
        <f>SUMIF(GERAL!B$8:B$1696,A194,GERAL!AN$8:AN$1696)</f>
        <v>33</v>
      </c>
      <c r="H194" s="85">
        <f>SUMIF(GERAL!B$8:B$1696,A194,GERAL!AR$8:AW$1696)</f>
        <v>537</v>
      </c>
      <c r="I194" s="85">
        <f>SUMIF(GERAL!B$8:B$1696,A194,GERAL!AW$8:AW$1696)</f>
        <v>1583</v>
      </c>
      <c r="J194" s="75">
        <f>SUMIF(GERAL!B$8:B$1696,A194,GERAL!AX$8:AX$1696)</f>
        <v>6136</v>
      </c>
      <c r="K194" s="75">
        <f>COUNTIFS(GERAL!B$8:B$1696,A194,GERAL!AY$8:AY$1696,"&gt;0",GERAL!C$8:C$1696,"ESCOLA")</f>
        <v>9</v>
      </c>
      <c r="L194" s="75">
        <f>COUNTIFS(GERAL!B$8:B$1696,A194,GERAL!AY$8:AY$1696,"&gt;0",GERAL!C$8:C$1696,"ANEXO")</f>
        <v>1</v>
      </c>
      <c r="M194" s="100">
        <f>SUMIF(GERAL!B$8:B$1696,A194,GERAL!V$8:V$1696)+SUMIF(GERAL!B$8:B$1696,A194,GERAL!W$8:W$1696)</f>
        <v>0</v>
      </c>
      <c r="N194" s="100">
        <f>SUMIF(GERAL!B$8:B$1696,A194,GERAL!AA$8:AA$1696)+SUMIF(GERAL!B$8:B$1696,A194,GERAL!AB$8:AB$1696)</f>
        <v>508</v>
      </c>
      <c r="O194" s="100">
        <f>SUMIF(GERAL!B$8:B$1696,A194,GERAL!AF$8:AF$1696)+SUMIF(GERAL!B$8:B$1696,A194,GERAL!AG$8:AG$1696)</f>
        <v>1464</v>
      </c>
      <c r="P194" s="100">
        <f>SUMIF(GERAL!B$8:B$1696,A194,GERAL!AK$8:AK$1696)+SUMIF(GERAL!B$8:B$1696,A194,GERAL!AL$8:AL$1696)</f>
        <v>30</v>
      </c>
      <c r="Q194" s="100">
        <f>SUMIF(GERAL!B$8:B$1696,A194,GERAL!AO$8:AO$1696)+SUMIF(GERAL!B$8:B$1696,A194,GERAL!AP$8:AP$1696)</f>
        <v>24</v>
      </c>
      <c r="R194" s="100">
        <f>SUMIF(GERAL!B$8:B$1696,A194,GERAL!AS$8:AS$1696)+SUMIF(GERAL!B$8:B$1696,A194,GERAL!AT$8:AT$1696)</f>
        <v>762</v>
      </c>
      <c r="S194" s="75">
        <f t="shared" si="39"/>
        <v>2788</v>
      </c>
      <c r="T194" s="116">
        <f>COUNTIFS(GERAL!B$8:B$1696,A194,GERAL!AZ$8:AZ$1696,"&gt;0",GERAL!C$8:C$1696,"ESCOLA")</f>
        <v>8</v>
      </c>
      <c r="U194" s="75">
        <f>COUNTIFS(GERAL!B$8:B$1696,A194,GERAL!AZ$8:AZ$1696,"&gt;0",GERAL!C$8:C$1696,"ANEXO")</f>
        <v>1</v>
      </c>
      <c r="V194" s="85">
        <f>SUMIF(GERAL!B$8:B$1696,A194,GERAL!AH$8:AH$1696)</f>
        <v>0</v>
      </c>
      <c r="W194" s="85">
        <f>SUMIF(GERAL!B$8:B$1696,A194,GERAL!AM$8:AM$1696)</f>
        <v>3</v>
      </c>
      <c r="X194" s="85">
        <f>SUMIF(GERAL!B$8:B$1696,A194,GERAL!AQ$8:AQ$1696)</f>
        <v>513</v>
      </c>
      <c r="Y194" s="85">
        <f>SUMIF(GERAL!B$8:B$1696,A194,GERAL!AU$8:AU$1696)</f>
        <v>525</v>
      </c>
      <c r="Z194" s="88">
        <f t="shared" si="40"/>
        <v>1041</v>
      </c>
      <c r="AA194" s="116">
        <f>COUNTIFS(GERAL!B$8:B$1696,A194,GERAL!BK$8:BK$1696,"&gt;0",GERAL!C$8:C$1696,"ESCOLA")</f>
        <v>7</v>
      </c>
      <c r="AB194" s="88">
        <f>COUNTIFS(GERAL!B$8:B$1696,A194,GERAL!BK$8:BK$1696,"&gt;0",GERAL!C$8:C$1696,"ANEXO")</f>
        <v>0</v>
      </c>
      <c r="AC194" s="121">
        <f>SUMIF(GERAL!B$8:B$1696,A194,GERAL!AD$8:AD$1696)</f>
        <v>0</v>
      </c>
      <c r="AD194" s="121">
        <f>SUMIF(GERAL!B$8:B$1696,A194,GERAL!AI$8:AI$1696)</f>
        <v>2011</v>
      </c>
      <c r="AE194" s="121">
        <f>SUMIF(GERAL!B$8:B$1696,A194,GERAL!AV$8:AV$1696)</f>
        <v>296</v>
      </c>
      <c r="AF194" s="492">
        <f t="shared" si="41"/>
        <v>2307</v>
      </c>
      <c r="AG194" s="178">
        <f>COUNTIFS(GERAL!B$8:B$1696,A194,GERAL!AW$8:AW$1696,"&gt;0",GERAL!C$8:C$1696,"ESCOLA")</f>
        <v>5</v>
      </c>
      <c r="AH194" s="118">
        <f>COUNTIFS(GERAL!B$8:B$1696,A194,GERAL!AW$8:AW$1696,"&gt;0",GERAL!C$8:C$1696,"ANEXO")</f>
        <v>1</v>
      </c>
      <c r="AI194" s="177">
        <f>SUMIF(GERAL!B$8:B$1696,A194,GERAL!AS$8:AS$1696)+SUMIF(GERAL!B$8:B$1696,A194,GERAL!AT$8:AT$1696)</f>
        <v>762</v>
      </c>
      <c r="AJ194" s="177">
        <f>SUMIF(GERAL!B$8:B$1696,A194,GERAL!AU$8:AU$1696)</f>
        <v>525</v>
      </c>
      <c r="AK194" s="177">
        <f>SUMIF(GERAL!B$8:B$1696,A194,GERAL!AV$8:AV$1696)</f>
        <v>296</v>
      </c>
      <c r="AL194" s="118">
        <f t="shared" si="42"/>
        <v>1583</v>
      </c>
      <c r="AM194" s="493" t="s">
        <v>451</v>
      </c>
    </row>
    <row r="195">
      <c r="A195" s="494" t="s">
        <v>1576</v>
      </c>
      <c r="B195" s="75">
        <f>COUNTIFS(GERAL!B$8:B$1696,A195,GERAL!C$8:C$1696,"ESCOLA")</f>
        <v>2</v>
      </c>
      <c r="C195" s="75">
        <f>COUNTIFS(GERAL!B$8:B$1696,A195,GERAL!C$8:C$1696,"ANEXO")</f>
        <v>0</v>
      </c>
      <c r="D195" s="85">
        <f>SUMIF(GERAL!B$8:B$1696,A195,GERAL!Z$8:Z$1696)</f>
        <v>0</v>
      </c>
      <c r="E195" s="85">
        <f>SUMIF(GERAL!B$8:B$1696,A195,GERAL!AE$8:AE$1696)</f>
        <v>0</v>
      </c>
      <c r="F195" s="85">
        <f>SUMIF(GERAL!B$8:B$1696,A195,GERAL!AJ$8:AJ$1696)</f>
        <v>791</v>
      </c>
      <c r="G195" s="85">
        <f>SUMIF(GERAL!B$8:B$1696,A195,GERAL!AN$8:AN$1696)</f>
        <v>0</v>
      </c>
      <c r="H195" s="85">
        <f>SUMIF(GERAL!B$8:B$1696,A195,GERAL!AR$8:AW$1696)</f>
        <v>222</v>
      </c>
      <c r="I195" s="85">
        <f>SUMIF(GERAL!B$8:B$1696,A195,GERAL!AW$8:AW$1696)</f>
        <v>85</v>
      </c>
      <c r="J195" s="75">
        <f>SUMIF(GERAL!B$8:B$1696,A195,GERAL!AX$8:AX$1696)</f>
        <v>1098</v>
      </c>
      <c r="K195" s="75">
        <f>COUNTIFS(GERAL!B$8:B$1696,A195,GERAL!AY$8:AY$1696,"&gt;0",GERAL!C$8:C$1696,"ESCOLA")</f>
        <v>2</v>
      </c>
      <c r="L195" s="75">
        <f>COUNTIFS(GERAL!B$8:B$1696,A195,GERAL!AY$8:AY$1696,"&gt;0",GERAL!C$8:C$1696,"ANEXO")</f>
        <v>0</v>
      </c>
      <c r="M195" s="100">
        <f>SUMIF(GERAL!B$8:B$1696,A195,GERAL!V$8:V$1696)+SUMIF(GERAL!B$8:B$1696,A195,GERAL!W$8:W$1696)</f>
        <v>0</v>
      </c>
      <c r="N195" s="100">
        <f>SUMIF(GERAL!B$8:B$1696,A195,GERAL!AA$8:AA$1696)+SUMIF(GERAL!B$8:B$1696,A195,GERAL!AB$8:AB$1696)</f>
        <v>0</v>
      </c>
      <c r="O195" s="100">
        <f>SUMIF(GERAL!B$8:B$1696,A195,GERAL!AF$8:AF$1696)+SUMIF(GERAL!B$8:B$1696,A195,GERAL!AG$8:AG$1696)</f>
        <v>537</v>
      </c>
      <c r="P195" s="100">
        <f>SUMIF(GERAL!B$8:B$1696,A195,GERAL!AK$8:AK$1696)+SUMIF(GERAL!B$8:B$1696,A195,GERAL!AL$8:AL$1696)</f>
        <v>0</v>
      </c>
      <c r="Q195" s="100">
        <f>SUMIF(GERAL!B$8:B$1696,A195,GERAL!AO$8:AO$1696)+SUMIF(GERAL!B$8:B$1696,A195,GERAL!AP$8:AP$1696)</f>
        <v>0</v>
      </c>
      <c r="R195" s="100">
        <f>SUMIF(GERAL!B$8:B$1696,A195,GERAL!AS$8:AS$1696)+SUMIF(GERAL!B$8:B$1696,A195,GERAL!AT$8:AT$1696)</f>
        <v>0</v>
      </c>
      <c r="S195" s="75">
        <f t="shared" si="39"/>
        <v>537</v>
      </c>
      <c r="T195" s="116">
        <f>COUNTIFS(GERAL!B$8:B$1696,A195,GERAL!AZ$8:AZ$1696,"&gt;0",GERAL!C$8:C$1696,"ESCOLA")</f>
        <v>2</v>
      </c>
      <c r="U195" s="75">
        <f>COUNTIFS(GERAL!B$8:B$1696,A195,GERAL!AZ$8:AZ$1696,"&gt;0",GERAL!C$8:C$1696,"ANEXO")</f>
        <v>0</v>
      </c>
      <c r="V195" s="85">
        <f>SUMIF(GERAL!B$8:B$1696,A195,GERAL!AH$8:AH$1696)</f>
        <v>0</v>
      </c>
      <c r="W195" s="85">
        <f>SUMIF(GERAL!B$8:B$1696,A195,GERAL!AM$8:AM$1696)</f>
        <v>0</v>
      </c>
      <c r="X195" s="85">
        <f>SUMIF(GERAL!B$8:B$1696,A195,GERAL!AQ$8:AQ$1696)</f>
        <v>222</v>
      </c>
      <c r="Y195" s="85">
        <f>SUMIF(GERAL!B$8:B$1696,A195,GERAL!AU$8:AU$1696)</f>
        <v>33</v>
      </c>
      <c r="Z195" s="88">
        <f t="shared" si="40"/>
        <v>255</v>
      </c>
      <c r="AA195" s="116">
        <f>COUNTIFS(GERAL!B$8:B$1696,A195,GERAL!BK$8:BK$1696,"&gt;0",GERAL!C$8:C$1696,"ESCOLA")</f>
        <v>2</v>
      </c>
      <c r="AB195" s="88">
        <f>COUNTIFS(GERAL!B$8:B$1696,A195,GERAL!BK$8:BK$1696,"&gt;0",GERAL!C$8:C$1696,"ANEXO")</f>
        <v>0</v>
      </c>
      <c r="AC195" s="121">
        <f>SUMIF(GERAL!B$8:B$1696,A195,GERAL!AD$8:AD$1696)</f>
        <v>0</v>
      </c>
      <c r="AD195" s="121">
        <f>SUMIF(GERAL!B$8:B$1696,A195,GERAL!AI$8:AI$1696)</f>
        <v>254</v>
      </c>
      <c r="AE195" s="121">
        <f>SUMIF(GERAL!B$8:B$1696,A195,GERAL!AV$8:AV$1696)</f>
        <v>52</v>
      </c>
      <c r="AF195" s="492">
        <f t="shared" si="41"/>
        <v>306</v>
      </c>
      <c r="AG195" s="178">
        <f>COUNTIFS(GERAL!B$8:B$1696,A195,GERAL!AW$8:AW$1696,"&gt;0",GERAL!C$8:C$1696,"ESCOLA")</f>
        <v>2</v>
      </c>
      <c r="AH195" s="118">
        <f>COUNTIFS(GERAL!B$8:B$1696,A195,GERAL!AW$8:AW$1696,"&gt;0",GERAL!C$8:C$1696,"ANEXO")</f>
        <v>0</v>
      </c>
      <c r="AI195" s="177">
        <f>SUMIF(GERAL!B$8:B$1696,A195,GERAL!AS$8:AS$1696)+SUMIF(GERAL!B$8:B$1696,A195,GERAL!AT$8:AT$1696)</f>
        <v>0</v>
      </c>
      <c r="AJ195" s="177">
        <f>SUMIF(GERAL!B$8:B$1696,A195,GERAL!AU$8:AU$1696)</f>
        <v>33</v>
      </c>
      <c r="AK195" s="177">
        <f>SUMIF(GERAL!B$8:B$1696,A195,GERAL!AV$8:AV$1696)</f>
        <v>52</v>
      </c>
      <c r="AL195" s="118">
        <f t="shared" si="42"/>
        <v>85</v>
      </c>
      <c r="AM195" s="493" t="s">
        <v>451</v>
      </c>
    </row>
    <row r="196">
      <c r="A196" s="484" t="s">
        <v>882</v>
      </c>
      <c r="B196" s="75">
        <f>COUNTIFS(GERAL!B$8:B$1696,A196,GERAL!C$8:C$1696,"ESCOLA")</f>
        <v>1</v>
      </c>
      <c r="C196" s="75">
        <f>COUNTIFS(GERAL!B$8:B$1696,A196,GERAL!C$8:C$1696,"ANEXO")</f>
        <v>2</v>
      </c>
      <c r="D196" s="85">
        <f>SUMIF(GERAL!B$8:B$1696,A196,GERAL!Z$8:Z$1696)</f>
        <v>0</v>
      </c>
      <c r="E196" s="85">
        <f>SUMIF(GERAL!B$8:B$1696,A196,GERAL!AE$8:AE$1696)</f>
        <v>0</v>
      </c>
      <c r="F196" s="85">
        <f>SUMIF(GERAL!B$8:B$1696,A196,GERAL!AJ$8:AJ$1696)</f>
        <v>585</v>
      </c>
      <c r="G196" s="85">
        <f>SUMIF(GERAL!B$8:B$1696,A196,GERAL!AN$8:AN$1696)</f>
        <v>0</v>
      </c>
      <c r="H196" s="85">
        <f>SUMIF(GERAL!B$8:B$1696,A196,GERAL!AR$8:AW$1696)</f>
        <v>99</v>
      </c>
      <c r="I196" s="85">
        <f>SUMIF(GERAL!B$8:B$1696,A196,GERAL!AW$8:AW$1696)</f>
        <v>21</v>
      </c>
      <c r="J196" s="75">
        <f>SUMIF(GERAL!B$8:B$1696,A196,GERAL!AX$8:AX$1696)</f>
        <v>705</v>
      </c>
      <c r="K196" s="75">
        <f>COUNTIFS(GERAL!B$8:B$1696,A196,GERAL!AY$8:AY$1696,"&gt;0",GERAL!C$8:C$1696,"ESCOLA")</f>
        <v>1</v>
      </c>
      <c r="L196" s="75">
        <f>COUNTIFS(GERAL!B$8:B$1696,A196,GERAL!AY$8:AY$1696,"&gt;0",GERAL!C$8:C$1696,"ANEXO")</f>
        <v>2</v>
      </c>
      <c r="M196" s="100">
        <f>SUMIF(GERAL!B$8:B$1696,A196,GERAL!V$8:V$1696)+SUMIF(GERAL!B$8:B$1696,A196,GERAL!W$8:W$1696)</f>
        <v>0</v>
      </c>
      <c r="N196" s="100">
        <f>SUMIF(GERAL!B$8:B$1696,A196,GERAL!AA$8:AA$1696)+SUMIF(GERAL!B$8:B$1696,A196,GERAL!AB$8:AB$1696)</f>
        <v>0</v>
      </c>
      <c r="O196" s="100">
        <f>SUMIF(GERAL!B$8:B$1696,A196,GERAL!AF$8:AF$1696)+SUMIF(GERAL!B$8:B$1696,A196,GERAL!AG$8:AG$1696)</f>
        <v>510</v>
      </c>
      <c r="P196" s="100">
        <f>SUMIF(GERAL!B$8:B$1696,A196,GERAL!AK$8:AK$1696)+SUMIF(GERAL!B$8:B$1696,A196,GERAL!AL$8:AL$1696)</f>
        <v>0</v>
      </c>
      <c r="Q196" s="100">
        <f>SUMIF(GERAL!B$8:B$1696,A196,GERAL!AO$8:AO$1696)+SUMIF(GERAL!B$8:B$1696,A196,GERAL!AP$8:AP$1696)</f>
        <v>0</v>
      </c>
      <c r="R196" s="100">
        <f>SUMIF(GERAL!B$8:B$1696,A196,GERAL!AS$8:AS$1696)+SUMIF(GERAL!B$8:B$1696,A196,GERAL!AT$8:AT$1696)</f>
        <v>0</v>
      </c>
      <c r="S196" s="75">
        <f t="shared" si="39"/>
        <v>510</v>
      </c>
      <c r="T196" s="116">
        <f>COUNTIFS(GERAL!B$8:B$1696,A196,GERAL!AZ$8:AZ$1696,"&gt;0",GERAL!C$8:C$1696,"ESCOLA")</f>
        <v>1</v>
      </c>
      <c r="U196" s="75">
        <f>COUNTIFS(GERAL!B$8:B$1696,A196,GERAL!AZ$8:AZ$1696,"&gt;0",GERAL!C$8:C$1696,"ANEXO")</f>
        <v>2</v>
      </c>
      <c r="V196" s="85">
        <f>SUMIF(GERAL!B$8:B$1696,A196,GERAL!AH$8:AH$1696)</f>
        <v>0</v>
      </c>
      <c r="W196" s="85">
        <f>SUMIF(GERAL!B$8:B$1696,A196,GERAL!AM$8:AM$1696)</f>
        <v>0</v>
      </c>
      <c r="X196" s="85">
        <f>SUMIF(GERAL!B$8:B$1696,A196,GERAL!AQ$8:AQ$1696)</f>
        <v>99</v>
      </c>
      <c r="Y196" s="85">
        <f>SUMIF(GERAL!B$8:B$1696,A196,GERAL!AU$8:AU$1696)</f>
        <v>21</v>
      </c>
      <c r="Z196" s="88">
        <f t="shared" si="40"/>
        <v>120</v>
      </c>
      <c r="AA196" s="116">
        <f>COUNTIFS(GERAL!B$8:B$1696,A196,GERAL!BK$8:BK$1696,"&gt;0",GERAL!C$8:C$1696,"ESCOLA")</f>
        <v>1</v>
      </c>
      <c r="AB196" s="88">
        <f>COUNTIFS(GERAL!B$8:B$1696,A196,GERAL!BK$8:BK$1696,"&gt;0",GERAL!C$8:C$1696,"ANEXO")</f>
        <v>0</v>
      </c>
      <c r="AC196" s="121">
        <f>SUMIF(GERAL!B$8:B$1696,A196,GERAL!AD$8:AD$1696)</f>
        <v>0</v>
      </c>
      <c r="AD196" s="121">
        <f>SUMIF(GERAL!B$8:B$1696,A196,GERAL!AI$8:AI$1696)</f>
        <v>75</v>
      </c>
      <c r="AE196" s="121">
        <f>SUMIF(GERAL!B$8:B$1696,A196,GERAL!AV$8:AV$1696)</f>
        <v>0</v>
      </c>
      <c r="AF196" s="492">
        <f t="shared" si="41"/>
        <v>75</v>
      </c>
      <c r="AG196" s="178">
        <f>COUNTIFS(GERAL!B$8:B$1696,A196,GERAL!AW$8:AW$1696,"&gt;0",GERAL!C$8:C$1696,"ESCOLA")</f>
        <v>1</v>
      </c>
      <c r="AH196" s="118">
        <f>COUNTIFS(GERAL!B$8:B$1696,A196,GERAL!AW$8:AW$1696,"&gt;0",GERAL!C$8:C$1696,"ANEXO")</f>
        <v>0</v>
      </c>
      <c r="AI196" s="177">
        <f>SUMIF(GERAL!B$8:B$1696,A196,GERAL!AS$8:AS$1696)+SUMIF(GERAL!B$8:B$1696,A196,GERAL!AT$8:AT$1696)</f>
        <v>0</v>
      </c>
      <c r="AJ196" s="177">
        <f>SUMIF(GERAL!B$8:B$1696,A196,GERAL!AU$8:AU$1696)</f>
        <v>21</v>
      </c>
      <c r="AK196" s="177">
        <f>SUMIF(GERAL!B$8:B$1696,A196,GERAL!AV$8:AV$1696)</f>
        <v>0</v>
      </c>
      <c r="AL196" s="118">
        <f t="shared" si="42"/>
        <v>21</v>
      </c>
      <c r="AM196" s="493" t="s">
        <v>285</v>
      </c>
    </row>
    <row r="197">
      <c r="A197" s="494" t="s">
        <v>6980</v>
      </c>
      <c r="B197" s="75">
        <f>COUNTIFS(GERAL!B$8:B$1696,A197,GERAL!C$8:C$1696,"ESCOLA")</f>
        <v>1</v>
      </c>
      <c r="C197" s="75">
        <f>COUNTIFS(GERAL!B$8:B$1696,A197,GERAL!C$8:C$1696,"ANEXO")</f>
        <v>0</v>
      </c>
      <c r="D197" s="85">
        <f>SUMIF(GERAL!B$8:B$1696,A197,GERAL!Z$8:Z$1696)</f>
        <v>0</v>
      </c>
      <c r="E197" s="85">
        <f>SUMIF(GERAL!B$8:B$1696,A197,GERAL!AE$8:AE$1696)</f>
        <v>0</v>
      </c>
      <c r="F197" s="85">
        <f>SUMIF(GERAL!B$8:B$1696,A197,GERAL!AJ$8:AJ$1696)</f>
        <v>321</v>
      </c>
      <c r="G197" s="85">
        <f>SUMIF(GERAL!B$8:B$1696,A197,GERAL!AN$8:AN$1696)</f>
        <v>0</v>
      </c>
      <c r="H197" s="85">
        <f>SUMIF(GERAL!B$8:B$1696,A197,GERAL!AR$8:AW$1696)</f>
        <v>100</v>
      </c>
      <c r="I197" s="85">
        <f>SUMIF(GERAL!B$8:B$1696,A197,GERAL!AW$8:AW$1696)</f>
        <v>39</v>
      </c>
      <c r="J197" s="75">
        <f>SUMIF(GERAL!B$8:B$1696,A197,GERAL!AX$8:AX$1696)</f>
        <v>460</v>
      </c>
      <c r="K197" s="75">
        <f>COUNTIFS(GERAL!B$8:B$1696,A197,GERAL!AY$8:AY$1696,"&gt;0",GERAL!C$8:C$1696,"ESCOLA")</f>
        <v>1</v>
      </c>
      <c r="L197" s="75">
        <f>COUNTIFS(GERAL!B$8:B$1696,A197,GERAL!AY$8:AY$1696,"&gt;0",GERAL!C$8:C$1696,"ANEXO")</f>
        <v>0</v>
      </c>
      <c r="M197" s="100">
        <f>SUMIF(GERAL!B$8:B$1696,A197,GERAL!V$8:V$1696)+SUMIF(GERAL!B$8:B$1696,A197,GERAL!W$8:W$1696)</f>
        <v>0</v>
      </c>
      <c r="N197" s="100">
        <f>SUMIF(GERAL!B$8:B$1696,A197,GERAL!AA$8:AA$1696)+SUMIF(GERAL!B$8:B$1696,A197,GERAL!AB$8:AB$1696)</f>
        <v>0</v>
      </c>
      <c r="O197" s="100">
        <f>SUMIF(GERAL!B$8:B$1696,A197,GERAL!AF$8:AF$1696)+SUMIF(GERAL!B$8:B$1696,A197,GERAL!AG$8:AG$1696)</f>
        <v>247</v>
      </c>
      <c r="P197" s="100">
        <f>SUMIF(GERAL!B$8:B$1696,A197,GERAL!AK$8:AK$1696)+SUMIF(GERAL!B$8:B$1696,A197,GERAL!AL$8:AL$1696)</f>
        <v>0</v>
      </c>
      <c r="Q197" s="100">
        <f>SUMIF(GERAL!B$8:B$1696,A197,GERAL!AO$8:AO$1696)+SUMIF(GERAL!B$8:B$1696,A197,GERAL!AP$8:AP$1696)</f>
        <v>0</v>
      </c>
      <c r="R197" s="100">
        <f>SUMIF(GERAL!B$8:B$1696,A197,GERAL!AS$8:AS$1696)+SUMIF(GERAL!B$8:B$1696,A197,GERAL!AT$8:AT$1696)</f>
        <v>0</v>
      </c>
      <c r="S197" s="75">
        <f t="shared" si="39"/>
        <v>247</v>
      </c>
      <c r="T197" s="116">
        <f>COUNTIFS(GERAL!B$8:B$1696,A197,GERAL!AZ$8:AZ$1696,"&gt;0",GERAL!C$8:C$1696,"ESCOLA")</f>
        <v>1</v>
      </c>
      <c r="U197" s="75">
        <f>COUNTIFS(GERAL!B$8:B$1696,A197,GERAL!AZ$8:AZ$1696,"&gt;0",GERAL!C$8:C$1696,"ANEXO")</f>
        <v>0</v>
      </c>
      <c r="V197" s="85">
        <f>SUMIF(GERAL!B$8:B$1696,A197,GERAL!AH$8:AH$1696)</f>
        <v>0</v>
      </c>
      <c r="W197" s="85">
        <f>SUMIF(GERAL!B$8:B$1696,A197,GERAL!AM$8:AM$1696)</f>
        <v>0</v>
      </c>
      <c r="X197" s="85">
        <f>SUMIF(GERAL!B$8:B$1696,A197,GERAL!AQ$8:AQ$1696)</f>
        <v>100</v>
      </c>
      <c r="Y197" s="85">
        <f>SUMIF(GERAL!B$8:B$1696,A197,GERAL!AU$8:AU$1696)</f>
        <v>13</v>
      </c>
      <c r="Z197" s="88">
        <f t="shared" si="40"/>
        <v>113</v>
      </c>
      <c r="AA197" s="116">
        <f>COUNTIFS(GERAL!B$8:B$1696,A197,GERAL!BK$8:BK$1696,"&gt;0",GERAL!C$8:C$1696,"ESCOLA")</f>
        <v>1</v>
      </c>
      <c r="AB197" s="88">
        <f>COUNTIFS(GERAL!B$8:B$1696,A197,GERAL!BK$8:BK$1696,"&gt;0",GERAL!C$8:C$1696,"ANEXO")</f>
        <v>0</v>
      </c>
      <c r="AC197" s="121">
        <f>SUMIF(GERAL!B$8:B$1696,A197,GERAL!AD$8:AD$1696)</f>
        <v>0</v>
      </c>
      <c r="AD197" s="121">
        <f>SUMIF(GERAL!B$8:B$1696,A197,GERAL!AI$8:AI$1696)</f>
        <v>74</v>
      </c>
      <c r="AE197" s="121">
        <f>SUMIF(GERAL!B$8:B$1696,A197,GERAL!AV$8:AV$1696)</f>
        <v>26</v>
      </c>
      <c r="AF197" s="492">
        <f t="shared" si="41"/>
        <v>100</v>
      </c>
      <c r="AG197" s="178">
        <f>COUNTIFS(GERAL!B$8:B$1696,A197,GERAL!AW$8:AW$1696,"&gt;0",GERAL!C$8:C$1696,"ESCOLA")</f>
        <v>1</v>
      </c>
      <c r="AH197" s="118">
        <f>COUNTIFS(GERAL!B$8:B$1696,A197,GERAL!AW$8:AW$1696,"&gt;0",GERAL!C$8:C$1696,"ANEXO")</f>
        <v>0</v>
      </c>
      <c r="AI197" s="177">
        <f>SUMIF(GERAL!B$8:B$1696,A197,GERAL!AS$8:AS$1696)+SUMIF(GERAL!B$8:B$1696,A197,GERAL!AT$8:AT$1696)</f>
        <v>0</v>
      </c>
      <c r="AJ197" s="177">
        <f>SUMIF(GERAL!B$8:B$1696,A197,GERAL!AU$8:AU$1696)</f>
        <v>13</v>
      </c>
      <c r="AK197" s="177">
        <f>SUMIF(GERAL!B$8:B$1696,A197,GERAL!AV$8:AV$1696)</f>
        <v>26</v>
      </c>
      <c r="AL197" s="118">
        <f t="shared" si="42"/>
        <v>39</v>
      </c>
      <c r="AM197" s="493" t="s">
        <v>1535</v>
      </c>
    </row>
    <row r="198">
      <c r="A198" s="484" t="s">
        <v>6986</v>
      </c>
      <c r="B198" s="75">
        <f>COUNTIFS(GERAL!B$8:B$1696,A198,GERAL!C$8:C$1696,"ESCOLA")</f>
        <v>1</v>
      </c>
      <c r="C198" s="75">
        <f>COUNTIFS(GERAL!B$8:B$1696,A198,GERAL!C$8:C$1696,"ANEXO")</f>
        <v>1</v>
      </c>
      <c r="D198" s="85">
        <f>SUMIF(GERAL!B$8:B$1696,A198,GERAL!Z$8:Z$1696)</f>
        <v>0</v>
      </c>
      <c r="E198" s="85">
        <f>SUMIF(GERAL!B$8:B$1696,A198,GERAL!AE$8:AE$1696)</f>
        <v>0</v>
      </c>
      <c r="F198" s="85">
        <f>SUMIF(GERAL!B$8:B$1696,A198,GERAL!AJ$8:AJ$1696)</f>
        <v>249</v>
      </c>
      <c r="G198" s="85">
        <f>SUMIF(GERAL!B$8:B$1696,A198,GERAL!AN$8:AN$1696)</f>
        <v>0</v>
      </c>
      <c r="H198" s="85">
        <f>SUMIF(GERAL!B$8:B$1696,A198,GERAL!AR$8:AW$1696)</f>
        <v>93</v>
      </c>
      <c r="I198" s="85">
        <f>SUMIF(GERAL!B$8:B$1696,A198,GERAL!AW$8:AW$1696)</f>
        <v>98</v>
      </c>
      <c r="J198" s="75">
        <f>SUMIF(GERAL!B$8:B$1696,A198,GERAL!AX$8:AX$1696)</f>
        <v>440</v>
      </c>
      <c r="K198" s="75">
        <f>COUNTIFS(GERAL!B$8:B$1696,A198,GERAL!AY$8:AY$1696,"&gt;0",GERAL!C$8:C$1696,"ESCOLA")</f>
        <v>1</v>
      </c>
      <c r="L198" s="75">
        <f>COUNTIFS(GERAL!B$8:B$1696,A198,GERAL!AY$8:AY$1696,"&gt;0",GERAL!C$8:C$1696,"ANEXO")</f>
        <v>0</v>
      </c>
      <c r="M198" s="100">
        <f>SUMIF(GERAL!B$8:B$1696,A198,GERAL!V$8:V$1696)+SUMIF(GERAL!B$8:B$1696,A198,GERAL!W$8:W$1696)</f>
        <v>0</v>
      </c>
      <c r="N198" s="100">
        <f>SUMIF(GERAL!B$8:B$1696,A198,GERAL!AA$8:AA$1696)+SUMIF(GERAL!B$8:B$1696,A198,GERAL!AB$8:AB$1696)</f>
        <v>0</v>
      </c>
      <c r="O198" s="100">
        <f>SUMIF(GERAL!B$8:B$1696,A198,GERAL!AF$8:AF$1696)+SUMIF(GERAL!B$8:B$1696,A198,GERAL!AG$8:AG$1696)</f>
        <v>0</v>
      </c>
      <c r="P198" s="100">
        <f>SUMIF(GERAL!B$8:B$1696,A198,GERAL!AK$8:AK$1696)+SUMIF(GERAL!B$8:B$1696,A198,GERAL!AL$8:AL$1696)</f>
        <v>0</v>
      </c>
      <c r="Q198" s="100">
        <f>SUMIF(GERAL!B$8:B$1696,A198,GERAL!AO$8:AO$1696)+SUMIF(GERAL!B$8:B$1696,A198,GERAL!AP$8:AP$1696)</f>
        <v>0</v>
      </c>
      <c r="R198" s="100">
        <f>SUMIF(GERAL!B$8:B$1696,A198,GERAL!AS$8:AS$1696)+SUMIF(GERAL!B$8:B$1696,A198,GERAL!AT$8:AT$1696)</f>
        <v>0</v>
      </c>
      <c r="S198" s="75">
        <f t="shared" si="39"/>
        <v>0</v>
      </c>
      <c r="T198" s="116">
        <f>COUNTIFS(GERAL!B$8:B$1696,A198,GERAL!AZ$8:AZ$1696,"&gt;0",GERAL!C$8:C$1696,"ESCOLA")</f>
        <v>1</v>
      </c>
      <c r="U198" s="75">
        <f>COUNTIFS(GERAL!B$8:B$1696,A198,GERAL!AZ$8:AZ$1696,"&gt;0",GERAL!C$8:C$1696,"ANEXO")</f>
        <v>1</v>
      </c>
      <c r="V198" s="85">
        <f>SUMIF(GERAL!B$8:B$1696,A198,GERAL!AH$8:AH$1696)</f>
        <v>12</v>
      </c>
      <c r="W198" s="85">
        <f>SUMIF(GERAL!B$8:B$1696,A198,GERAL!AM$8:AM$1696)</f>
        <v>0</v>
      </c>
      <c r="X198" s="85">
        <f>SUMIF(GERAL!B$8:B$1696,A198,GERAL!AQ$8:AQ$1696)</f>
        <v>93</v>
      </c>
      <c r="Y198" s="85">
        <f>SUMIF(GERAL!B$8:B$1696,A198,GERAL!AU$8:AU$1696)</f>
        <v>27</v>
      </c>
      <c r="Z198" s="88">
        <f t="shared" si="40"/>
        <v>132</v>
      </c>
      <c r="AA198" s="116">
        <f>COUNTIFS(GERAL!B$8:B$1696,A198,GERAL!BK$8:BK$1696,"&gt;0",GERAL!C$8:C$1696,"ESCOLA")</f>
        <v>1</v>
      </c>
      <c r="AB198" s="88">
        <f>COUNTIFS(GERAL!B$8:B$1696,A198,GERAL!BK$8:BK$1696,"&gt;0",GERAL!C$8:C$1696,"ANEXO")</f>
        <v>0</v>
      </c>
      <c r="AC198" s="121">
        <f>SUMIF(GERAL!B$8:B$1696,A198,GERAL!AD$8:AD$1696)</f>
        <v>0</v>
      </c>
      <c r="AD198" s="121">
        <f>SUMIF(GERAL!B$8:B$1696,A198,GERAL!AI$8:AI$1696)</f>
        <v>237</v>
      </c>
      <c r="AE198" s="121">
        <f>SUMIF(GERAL!B$8:B$1696,A198,GERAL!AV$8:AV$1696)</f>
        <v>71</v>
      </c>
      <c r="AF198" s="492">
        <f t="shared" si="41"/>
        <v>308</v>
      </c>
      <c r="AG198" s="178">
        <f>COUNTIFS(GERAL!B$8:B$1696,A198,GERAL!AW$8:AW$1696,"&gt;0",GERAL!C$8:C$1696,"ESCOLA")</f>
        <v>1</v>
      </c>
      <c r="AH198" s="118">
        <f>COUNTIFS(GERAL!B$8:B$1696,A198,GERAL!AW$8:AW$1696,"&gt;0",GERAL!C$8:C$1696,"ANEXO")</f>
        <v>0</v>
      </c>
      <c r="AI198" s="177">
        <f>SUMIF(GERAL!B$8:B$1696,A198,GERAL!AS$8:AS$1696)+SUMIF(GERAL!B$8:B$1696,A198,GERAL!AT$8:AT$1696)</f>
        <v>0</v>
      </c>
      <c r="AJ198" s="177">
        <f>SUMIF(GERAL!B$8:B$1696,A198,GERAL!AU$8:AU$1696)</f>
        <v>27</v>
      </c>
      <c r="AK198" s="177">
        <f>SUMIF(GERAL!B$8:B$1696,A198,GERAL!AV$8:AV$1696)</f>
        <v>71</v>
      </c>
      <c r="AL198" s="118">
        <f t="shared" si="42"/>
        <v>98</v>
      </c>
      <c r="AM198" s="493" t="s">
        <v>1535</v>
      </c>
    </row>
    <row r="199">
      <c r="A199" s="494" t="s">
        <v>9449</v>
      </c>
      <c r="B199" s="75">
        <f>COUNTIFS(GERAL!B$8:B$1696,A199,GERAL!C$8:C$1696,"ESCOLA")</f>
        <v>1</v>
      </c>
      <c r="C199" s="75">
        <f>COUNTIFS(GERAL!B$8:B$1696,A199,GERAL!C$8:C$1696,"ANEXO")</f>
        <v>1</v>
      </c>
      <c r="D199" s="85">
        <f>SUMIF(GERAL!B$8:B$1696,A199,GERAL!Z$8:Z$1696)</f>
        <v>0</v>
      </c>
      <c r="E199" s="85">
        <f>SUMIF(GERAL!B$8:B$1696,A199,GERAL!AE$8:AE$1696)</f>
        <v>0</v>
      </c>
      <c r="F199" s="85">
        <f>SUMIF(GERAL!B$8:B$1696,A199,GERAL!AJ$8:AJ$1696)</f>
        <v>68</v>
      </c>
      <c r="G199" s="85">
        <f>SUMIF(GERAL!B$8:B$1696,A199,GERAL!AN$8:AN$1696)</f>
        <v>0</v>
      </c>
      <c r="H199" s="85">
        <f>SUMIF(GERAL!B$8:B$1696,A199,GERAL!AR$8:AW$1696)</f>
        <v>86</v>
      </c>
      <c r="I199" s="85">
        <f>SUMIF(GERAL!B$8:B$1696,A199,GERAL!AW$8:AW$1696)</f>
        <v>64</v>
      </c>
      <c r="J199" s="75">
        <f>SUMIF(GERAL!B$8:B$1696,A199,GERAL!AX$8:AX$1696)</f>
        <v>218</v>
      </c>
      <c r="K199" s="75">
        <f>COUNTIFS(GERAL!B$8:B$1696,A199,GERAL!AY$8:AY$1696,"&gt;0",GERAL!C$8:C$1696,"ESCOLA")</f>
        <v>1</v>
      </c>
      <c r="L199" s="75">
        <f>COUNTIFS(GERAL!B$8:B$1696,A199,GERAL!AY$8:AY$1696,"&gt;0",GERAL!C$8:C$1696,"ANEXO")</f>
        <v>0</v>
      </c>
      <c r="M199" s="100">
        <f>SUMIF(GERAL!B$8:B$1696,A199,GERAL!V$8:V$1696)+SUMIF(GERAL!B$8:B$1696,A199,GERAL!W$8:W$1696)</f>
        <v>0</v>
      </c>
      <c r="N199" s="100">
        <f>SUMIF(GERAL!B$8:B$1696,A199,GERAL!AA$8:AA$1696)+SUMIF(GERAL!B$8:B$1696,A199,GERAL!AB$8:AB$1696)</f>
        <v>0</v>
      </c>
      <c r="O199" s="100">
        <f>SUMIF(GERAL!B$8:B$1696,A199,GERAL!AF$8:AF$1696)+SUMIF(GERAL!B$8:B$1696,A199,GERAL!AG$8:AG$1696)</f>
        <v>68</v>
      </c>
      <c r="P199" s="100">
        <f>SUMIF(GERAL!B$8:B$1696,A199,GERAL!AK$8:AK$1696)+SUMIF(GERAL!B$8:B$1696,A199,GERAL!AL$8:AL$1696)</f>
        <v>0</v>
      </c>
      <c r="Q199" s="100">
        <f>SUMIF(GERAL!B$8:B$1696,A199,GERAL!AO$8:AO$1696)+SUMIF(GERAL!B$8:B$1696,A199,GERAL!AP$8:AP$1696)</f>
        <v>0</v>
      </c>
      <c r="R199" s="100">
        <f>SUMIF(GERAL!B$8:B$1696,A199,GERAL!AS$8:AS$1696)+SUMIF(GERAL!B$8:B$1696,A199,GERAL!AT$8:AT$1696)</f>
        <v>64</v>
      </c>
      <c r="S199" s="75">
        <f t="shared" si="39"/>
        <v>132</v>
      </c>
      <c r="T199" s="116">
        <f>COUNTIFS(GERAL!B$8:B$1696,A199,GERAL!AZ$8:AZ$1696,"&gt;0",GERAL!C$8:C$1696,"ESCOLA")</f>
        <v>1</v>
      </c>
      <c r="U199" s="75">
        <f>COUNTIFS(GERAL!B$8:B$1696,A199,GERAL!AZ$8:AZ$1696,"&gt;0",GERAL!C$8:C$1696,"ANEXO")</f>
        <v>1</v>
      </c>
      <c r="V199" s="85">
        <f>SUMIF(GERAL!B$8:B$1696,A199,GERAL!AH$8:AH$1696)</f>
        <v>0</v>
      </c>
      <c r="W199" s="85">
        <f>SUMIF(GERAL!B$8:B$1696,A199,GERAL!AM$8:AM$1696)</f>
        <v>0</v>
      </c>
      <c r="X199" s="85">
        <f>SUMIF(GERAL!B$8:B$1696,A199,GERAL!AQ$8:AQ$1696)</f>
        <v>86</v>
      </c>
      <c r="Y199" s="85">
        <f>SUMIF(GERAL!B$8:B$1696,A199,GERAL!AU$8:AU$1696)</f>
        <v>0</v>
      </c>
      <c r="Z199" s="88">
        <f t="shared" si="40"/>
        <v>86</v>
      </c>
      <c r="AA199" s="116">
        <f>COUNTIFS(GERAL!B$8:B$1696,A199,GERAL!BK$8:BK$1696,"&gt;0",GERAL!C$8:C$1696,"ESCOLA")</f>
        <v>0</v>
      </c>
      <c r="AB199" s="88">
        <f>COUNTIFS(GERAL!B$8:B$1696,A199,GERAL!BK$8:BK$1696,"&gt;0",GERAL!C$8:C$1696,"ANEXO")</f>
        <v>0</v>
      </c>
      <c r="AC199" s="121">
        <f>SUMIF(GERAL!B$8:B$1696,A199,GERAL!AD$8:AD$1696)</f>
        <v>0</v>
      </c>
      <c r="AD199" s="121">
        <f>SUMIF(GERAL!B$8:B$1696,A199,GERAL!AI$8:AI$1696)</f>
        <v>0</v>
      </c>
      <c r="AE199" s="121">
        <f>SUMIF(GERAL!B$8:B$1696,A199,GERAL!AV$8:AV$1696)</f>
        <v>0</v>
      </c>
      <c r="AF199" s="492">
        <f t="shared" si="41"/>
        <v>0</v>
      </c>
      <c r="AG199" s="178">
        <f>COUNTIFS(GERAL!B$8:B$1696,A199,GERAL!AW$8:AW$1696,"&gt;0",GERAL!C$8:C$1696,"ESCOLA")</f>
        <v>1</v>
      </c>
      <c r="AH199" s="118">
        <f>COUNTIFS(GERAL!B$8:B$1696,A199,GERAL!AW$8:AW$1696,"&gt;0",GERAL!C$8:C$1696,"ANEXO")</f>
        <v>0</v>
      </c>
      <c r="AI199" s="177">
        <f>SUMIF(GERAL!B$8:B$1696,A199,GERAL!AS$8:AS$1696)+SUMIF(GERAL!B$8:B$1696,A199,GERAL!AT$8:AT$1696)</f>
        <v>64</v>
      </c>
      <c r="AJ199" s="177">
        <f>SUMIF(GERAL!B$8:B$1696,A199,GERAL!AU$8:AU$1696)</f>
        <v>0</v>
      </c>
      <c r="AK199" s="177">
        <f>SUMIF(GERAL!B$8:B$1696,A199,GERAL!AV$8:AV$1696)</f>
        <v>0</v>
      </c>
      <c r="AL199" s="118">
        <f t="shared" si="42"/>
        <v>64</v>
      </c>
      <c r="AM199" s="493" t="s">
        <v>1842</v>
      </c>
    </row>
    <row r="200">
      <c r="A200" s="484" t="s">
        <v>296</v>
      </c>
      <c r="B200" s="75">
        <f>COUNTIFS(GERAL!B$8:B$1696,A200,GERAL!C$8:C$1696,"ESCOLA")</f>
        <v>1</v>
      </c>
      <c r="C200" s="75">
        <f>COUNTIFS(GERAL!B$8:B$1696,A200,GERAL!C$8:C$1696,"ANEXO")</f>
        <v>6</v>
      </c>
      <c r="D200" s="85">
        <f>SUMIF(GERAL!B$8:B$1696,A200,GERAL!Z$8:Z$1696)</f>
        <v>0</v>
      </c>
      <c r="E200" s="85">
        <f>SUMIF(GERAL!B$8:B$1696,A200,GERAL!AE$8:AE$1696)</f>
        <v>0</v>
      </c>
      <c r="F200" s="85">
        <f>SUMIF(GERAL!B$8:B$1696,A200,GERAL!AJ$8:AJ$1696)</f>
        <v>484</v>
      </c>
      <c r="G200" s="85">
        <f>SUMIF(GERAL!B$8:B$1696,A200,GERAL!AN$8:AN$1696)</f>
        <v>0</v>
      </c>
      <c r="H200" s="85">
        <f>SUMIF(GERAL!B$8:B$1696,A200,GERAL!AR$8:AW$1696)</f>
        <v>0</v>
      </c>
      <c r="I200" s="85">
        <f>SUMIF(GERAL!B$8:B$1696,A200,GERAL!AW$8:AW$1696)</f>
        <v>76</v>
      </c>
      <c r="J200" s="75">
        <f>SUMIF(GERAL!B$8:B$1696,A200,GERAL!AX$8:AX$1696)</f>
        <v>560</v>
      </c>
      <c r="K200" s="75">
        <f>COUNTIFS(GERAL!B$8:B$1696,A200,GERAL!AY$8:AY$1696,"&gt;0",GERAL!C$8:C$1696,"ESCOLA")</f>
        <v>1</v>
      </c>
      <c r="L200" s="75">
        <f>COUNTIFS(GERAL!B$8:B$1696,A200,GERAL!AY$8:AY$1696,"&gt;0",GERAL!C$8:C$1696,"ANEXO")</f>
        <v>4</v>
      </c>
      <c r="M200" s="100">
        <f>SUMIF(GERAL!B$8:B$1696,A200,GERAL!V$8:V$1696)+SUMIF(GERAL!B$8:B$1696,A200,GERAL!W$8:W$1696)</f>
        <v>0</v>
      </c>
      <c r="N200" s="100">
        <f>SUMIF(GERAL!B$8:B$1696,A200,GERAL!AA$8:AA$1696)+SUMIF(GERAL!B$8:B$1696,A200,GERAL!AB$8:AB$1696)</f>
        <v>0</v>
      </c>
      <c r="O200" s="100">
        <f>SUMIF(GERAL!B$8:B$1696,A200,GERAL!AF$8:AF$1696)+SUMIF(GERAL!B$8:B$1696,A200,GERAL!AG$8:AG$1696)</f>
        <v>106</v>
      </c>
      <c r="P200" s="100">
        <f>SUMIF(GERAL!B$8:B$1696,A200,GERAL!AK$8:AK$1696)+SUMIF(GERAL!B$8:B$1696,A200,GERAL!AL$8:AL$1696)</f>
        <v>0</v>
      </c>
      <c r="Q200" s="100">
        <f>SUMIF(GERAL!B$8:B$1696,A200,GERAL!AO$8:AO$1696)+SUMIF(GERAL!B$8:B$1696,A200,GERAL!AP$8:AP$1696)</f>
        <v>0</v>
      </c>
      <c r="R200" s="100">
        <f>SUMIF(GERAL!B$8:B$1696,A200,GERAL!AS$8:AS$1696)+SUMIF(GERAL!B$8:B$1696,A200,GERAL!AT$8:AT$1696)</f>
        <v>0</v>
      </c>
      <c r="S200" s="75">
        <f t="shared" si="39"/>
        <v>106</v>
      </c>
      <c r="T200" s="116">
        <f>COUNTIFS(GERAL!B$8:B$1696,A200,GERAL!AZ$8:AZ$1696,"&gt;0",GERAL!C$8:C$1696,"ESCOLA")</f>
        <v>1</v>
      </c>
      <c r="U200" s="75">
        <f>COUNTIFS(GERAL!B$8:B$1696,A200,GERAL!AZ$8:AZ$1696,"&gt;0",GERAL!C$8:C$1696,"ANEXO")</f>
        <v>5</v>
      </c>
      <c r="V200" s="85">
        <f>SUMIF(GERAL!B$8:B$1696,A200,GERAL!AH$8:AH$1696)</f>
        <v>157</v>
      </c>
      <c r="W200" s="85">
        <f>SUMIF(GERAL!B$8:B$1696,A200,GERAL!AM$8:AM$1696)</f>
        <v>0</v>
      </c>
      <c r="X200" s="85">
        <f>SUMIF(GERAL!B$8:B$1696,A200,GERAL!AQ$8:AQ$1696)</f>
        <v>0</v>
      </c>
      <c r="Y200" s="85">
        <f>SUMIF(GERAL!B$8:B$1696,A200,GERAL!AU$8:AU$1696)</f>
        <v>15</v>
      </c>
      <c r="Z200" s="88">
        <f t="shared" si="40"/>
        <v>172</v>
      </c>
      <c r="AA200" s="116">
        <f>COUNTIFS(GERAL!B$8:B$1696,A200,GERAL!BK$8:BK$1696,"&gt;0",GERAL!C$8:C$1696,"ESCOLA")</f>
        <v>1</v>
      </c>
      <c r="AB200" s="88">
        <f>COUNTIFS(GERAL!B$8:B$1696,A200,GERAL!BK$8:BK$1696,"&gt;0",GERAL!C$8:C$1696,"ANEXO")</f>
        <v>0</v>
      </c>
      <c r="AC200" s="121">
        <f>SUMIF(GERAL!B$8:B$1696,A200,GERAL!AD$8:AD$1696)</f>
        <v>0</v>
      </c>
      <c r="AD200" s="121">
        <f>SUMIF(GERAL!B$8:B$1696,A200,GERAL!AI$8:AI$1696)</f>
        <v>221</v>
      </c>
      <c r="AE200" s="121">
        <f>SUMIF(GERAL!B$8:B$1696,A200,GERAL!AV$8:AV$1696)</f>
        <v>61</v>
      </c>
      <c r="AF200" s="492">
        <f t="shared" si="41"/>
        <v>282</v>
      </c>
      <c r="AG200" s="178">
        <f>COUNTIFS(GERAL!B$8:B$1696,A200,GERAL!AW$8:AW$1696,"&gt;0",GERAL!C$8:C$1696,"ESCOLA")</f>
        <v>1</v>
      </c>
      <c r="AH200" s="118">
        <f>COUNTIFS(GERAL!B$8:B$1696,A200,GERAL!AW$8:AW$1696,"&gt;0",GERAL!C$8:C$1696,"ANEXO")</f>
        <v>0</v>
      </c>
      <c r="AI200" s="177">
        <f>SUMIF(GERAL!B$8:B$1696,A200,GERAL!AS$8:AS$1696)+SUMIF(GERAL!B$8:B$1696,A200,GERAL!AT$8:AT$1696)</f>
        <v>0</v>
      </c>
      <c r="AJ200" s="177">
        <f>SUMIF(GERAL!B$8:B$1696,A200,GERAL!AU$8:AU$1696)</f>
        <v>15</v>
      </c>
      <c r="AK200" s="177">
        <f>SUMIF(GERAL!B$8:B$1696,A200,GERAL!AV$8:AV$1696)</f>
        <v>61</v>
      </c>
      <c r="AL200" s="118">
        <f t="shared" si="42"/>
        <v>76</v>
      </c>
      <c r="AM200" s="493" t="s">
        <v>130</v>
      </c>
    </row>
    <row r="201">
      <c r="A201" s="494" t="s">
        <v>1584</v>
      </c>
      <c r="B201" s="75">
        <f>COUNTIFS(GERAL!B$8:B$1696,A201,GERAL!C$8:C$1696,"ESCOLA")</f>
        <v>1</v>
      </c>
      <c r="C201" s="75">
        <f>COUNTIFS(GERAL!B$8:B$1696,A201,GERAL!C$8:C$1696,"ANEXO")</f>
        <v>1</v>
      </c>
      <c r="D201" s="85">
        <f>SUMIF(GERAL!B$8:B$1696,A201,GERAL!Z$8:Z$1696)</f>
        <v>0</v>
      </c>
      <c r="E201" s="85">
        <f>SUMIF(GERAL!B$8:B$1696,A201,GERAL!AE$8:AE$1696)</f>
        <v>0</v>
      </c>
      <c r="F201" s="85">
        <f>SUMIF(GERAL!B$8:B$1696,A201,GERAL!AJ$8:AJ$1696)</f>
        <v>165</v>
      </c>
      <c r="G201" s="85">
        <f>SUMIF(GERAL!B$8:B$1696,A201,GERAL!AN$8:AN$1696)</f>
        <v>0</v>
      </c>
      <c r="H201" s="85">
        <f>SUMIF(GERAL!B$8:B$1696,A201,GERAL!AR$8:AW$1696)</f>
        <v>66</v>
      </c>
      <c r="I201" s="85">
        <f>SUMIF(GERAL!B$8:B$1696,A201,GERAL!AW$8:AW$1696)</f>
        <v>78</v>
      </c>
      <c r="J201" s="75">
        <f>SUMIF(GERAL!B$8:B$1696,A201,GERAL!AX$8:AX$1696)</f>
        <v>309</v>
      </c>
      <c r="K201" s="75">
        <f>COUNTIFS(GERAL!B$8:B$1696,A201,GERAL!AY$8:AY$1696,"&gt;0",GERAL!C$8:C$1696,"ESCOLA")</f>
        <v>1</v>
      </c>
      <c r="L201" s="75">
        <f>COUNTIFS(GERAL!B$8:B$1696,A201,GERAL!AY$8:AY$1696,"&gt;0",GERAL!C$8:C$1696,"ANEXO")</f>
        <v>1</v>
      </c>
      <c r="M201" s="100">
        <f>SUMIF(GERAL!B$8:B$1696,A201,GERAL!V$8:V$1696)+SUMIF(GERAL!B$8:B$1696,A201,GERAL!W$8:W$1696)</f>
        <v>0</v>
      </c>
      <c r="N201" s="100">
        <f>SUMIF(GERAL!B$8:B$1696,A201,GERAL!AA$8:AA$1696)+SUMIF(GERAL!B$8:B$1696,A201,GERAL!AB$8:AB$1696)</f>
        <v>0</v>
      </c>
      <c r="O201" s="100">
        <f>SUMIF(GERAL!B$8:B$1696,A201,GERAL!AF$8:AF$1696)+SUMIF(GERAL!B$8:B$1696,A201,GERAL!AG$8:AG$1696)</f>
        <v>86</v>
      </c>
      <c r="P201" s="100">
        <f>SUMIF(GERAL!B$8:B$1696,A201,GERAL!AK$8:AK$1696)+SUMIF(GERAL!B$8:B$1696,A201,GERAL!AL$8:AL$1696)</f>
        <v>0</v>
      </c>
      <c r="Q201" s="100">
        <f>SUMIF(GERAL!B$8:B$1696,A201,GERAL!AO$8:AO$1696)+SUMIF(GERAL!B$8:B$1696,A201,GERAL!AP$8:AP$1696)</f>
        <v>0</v>
      </c>
      <c r="R201" s="100">
        <f>SUMIF(GERAL!B$8:B$1696,A201,GERAL!AS$8:AS$1696)+SUMIF(GERAL!B$8:B$1696,A201,GERAL!AT$8:AT$1696)</f>
        <v>0</v>
      </c>
      <c r="S201" s="75">
        <f t="shared" si="39"/>
        <v>86</v>
      </c>
      <c r="T201" s="116">
        <f>COUNTIFS(GERAL!B$8:B$1696,A201,GERAL!AZ$8:AZ$1696,"&gt;0",GERAL!C$8:C$1696,"ESCOLA")</f>
        <v>1</v>
      </c>
      <c r="U201" s="75">
        <f>COUNTIFS(GERAL!B$8:B$1696,A201,GERAL!AZ$8:AZ$1696,"&gt;0",GERAL!C$8:C$1696,"ANEXO")</f>
        <v>1</v>
      </c>
      <c r="V201" s="85">
        <f>SUMIF(GERAL!B$8:B$1696,A201,GERAL!AH$8:AH$1696)</f>
        <v>0</v>
      </c>
      <c r="W201" s="85">
        <f>SUMIF(GERAL!B$8:B$1696,A201,GERAL!AM$8:AM$1696)</f>
        <v>0</v>
      </c>
      <c r="X201" s="85">
        <f>SUMIF(GERAL!B$8:B$1696,A201,GERAL!AQ$8:AQ$1696)</f>
        <v>66</v>
      </c>
      <c r="Y201" s="85">
        <f>SUMIF(GERAL!B$8:B$1696,A201,GERAL!AU$8:AU$1696)</f>
        <v>28</v>
      </c>
      <c r="Z201" s="88">
        <f t="shared" si="40"/>
        <v>94</v>
      </c>
      <c r="AA201" s="116">
        <f>COUNTIFS(GERAL!B$8:B$1696,A201,GERAL!BK$8:BK$1696,"&gt;0",GERAL!C$8:C$1696,"ESCOLA")</f>
        <v>1</v>
      </c>
      <c r="AB201" s="88">
        <f>COUNTIFS(GERAL!B$8:B$1696,A201,GERAL!BK$8:BK$1696,"&gt;0",GERAL!C$8:C$1696,"ANEXO")</f>
        <v>0</v>
      </c>
      <c r="AC201" s="121">
        <f>SUMIF(GERAL!B$8:B$1696,A201,GERAL!AD$8:AD$1696)</f>
        <v>0</v>
      </c>
      <c r="AD201" s="121">
        <f>SUMIF(GERAL!B$8:B$1696,A201,GERAL!AI$8:AI$1696)</f>
        <v>79</v>
      </c>
      <c r="AE201" s="121">
        <f>SUMIF(GERAL!B$8:B$1696,A201,GERAL!AV$8:AV$1696)</f>
        <v>50</v>
      </c>
      <c r="AF201" s="492">
        <f t="shared" si="41"/>
        <v>129</v>
      </c>
      <c r="AG201" s="178">
        <f>COUNTIFS(GERAL!B$8:B$1696,A201,GERAL!AW$8:AW$1696,"&gt;0",GERAL!C$8:C$1696,"ESCOLA")</f>
        <v>1</v>
      </c>
      <c r="AH201" s="118">
        <f>COUNTIFS(GERAL!B$8:B$1696,A201,GERAL!AW$8:AW$1696,"&gt;0",GERAL!C$8:C$1696,"ANEXO")</f>
        <v>0</v>
      </c>
      <c r="AI201" s="177">
        <f>SUMIF(GERAL!B$8:B$1696,A201,GERAL!AS$8:AS$1696)+SUMIF(GERAL!B$8:B$1696,A201,GERAL!AT$8:AT$1696)</f>
        <v>0</v>
      </c>
      <c r="AJ201" s="177">
        <f>SUMIF(GERAL!B$8:B$1696,A201,GERAL!AU$8:AU$1696)</f>
        <v>28</v>
      </c>
      <c r="AK201" s="177">
        <f>SUMIF(GERAL!B$8:B$1696,A201,GERAL!AV$8:AV$1696)</f>
        <v>50</v>
      </c>
      <c r="AL201" s="118">
        <f t="shared" si="42"/>
        <v>78</v>
      </c>
      <c r="AM201" s="493" t="s">
        <v>451</v>
      </c>
    </row>
    <row r="202">
      <c r="A202" s="484" t="s">
        <v>1591</v>
      </c>
      <c r="B202" s="75">
        <f>COUNTIFS(GERAL!B$8:B$1696,A202,GERAL!C$8:C$1696,"ESCOLA")</f>
        <v>1</v>
      </c>
      <c r="C202" s="75">
        <f>COUNTIFS(GERAL!B$8:B$1696,A202,GERAL!C$8:C$1696,"ANEXO")</f>
        <v>0</v>
      </c>
      <c r="D202" s="85">
        <f>SUMIF(GERAL!B$8:B$1696,A202,GERAL!Z$8:Z$1696)</f>
        <v>0</v>
      </c>
      <c r="E202" s="85">
        <f>SUMIF(GERAL!B$8:B$1696,A202,GERAL!AE$8:AE$1696)</f>
        <v>0</v>
      </c>
      <c r="F202" s="85">
        <f>SUMIF(GERAL!B$8:B$1696,A202,GERAL!AJ$8:AJ$1696)</f>
        <v>432</v>
      </c>
      <c r="G202" s="85">
        <f>SUMIF(GERAL!B$8:B$1696,A202,GERAL!AN$8:AN$1696)</f>
        <v>0</v>
      </c>
      <c r="H202" s="85">
        <f>SUMIF(GERAL!B$8:B$1696,A202,GERAL!AR$8:AW$1696)</f>
        <v>98</v>
      </c>
      <c r="I202" s="85">
        <f>SUMIF(GERAL!B$8:B$1696,A202,GERAL!AW$8:AW$1696)</f>
        <v>27</v>
      </c>
      <c r="J202" s="75">
        <f>SUMIF(GERAL!B$8:B$1696,A202,GERAL!AX$8:AX$1696)</f>
        <v>557</v>
      </c>
      <c r="K202" s="75">
        <f>COUNTIFS(GERAL!B$8:B$1696,A202,GERAL!AY$8:AY$1696,"&gt;0",GERAL!C$8:C$1696,"ESCOLA")</f>
        <v>1</v>
      </c>
      <c r="L202" s="75">
        <f>COUNTIFS(GERAL!B$8:B$1696,A202,GERAL!AY$8:AY$1696,"&gt;0",GERAL!C$8:C$1696,"ANEXO")</f>
        <v>0</v>
      </c>
      <c r="M202" s="100">
        <f>SUMIF(GERAL!B$8:B$1696,A202,GERAL!V$8:V$1696)+SUMIF(GERAL!B$8:B$1696,A202,GERAL!W$8:W$1696)</f>
        <v>0</v>
      </c>
      <c r="N202" s="100">
        <f>SUMIF(GERAL!B$8:B$1696,A202,GERAL!AA$8:AA$1696)+SUMIF(GERAL!B$8:B$1696,A202,GERAL!AB$8:AB$1696)</f>
        <v>0</v>
      </c>
      <c r="O202" s="100">
        <f>SUMIF(GERAL!B$8:B$1696,A202,GERAL!AF$8:AF$1696)+SUMIF(GERAL!B$8:B$1696,A202,GERAL!AG$8:AG$1696)</f>
        <v>298</v>
      </c>
      <c r="P202" s="100">
        <f>SUMIF(GERAL!B$8:B$1696,A202,GERAL!AK$8:AK$1696)+SUMIF(GERAL!B$8:B$1696,A202,GERAL!AL$8:AL$1696)</f>
        <v>0</v>
      </c>
      <c r="Q202" s="100">
        <f>SUMIF(GERAL!B$8:B$1696,A202,GERAL!AO$8:AO$1696)+SUMIF(GERAL!B$8:B$1696,A202,GERAL!AP$8:AP$1696)</f>
        <v>0</v>
      </c>
      <c r="R202" s="100">
        <f>SUMIF(GERAL!B$8:B$1696,A202,GERAL!AS$8:AS$1696)+SUMIF(GERAL!B$8:B$1696,A202,GERAL!AT$8:AT$1696)</f>
        <v>0</v>
      </c>
      <c r="S202" s="75">
        <f t="shared" si="39"/>
        <v>298</v>
      </c>
      <c r="T202" s="116">
        <f>COUNTIFS(GERAL!B$8:B$1696,A202,GERAL!AZ$8:AZ$1696,"&gt;0",GERAL!C$8:C$1696,"ESCOLA")</f>
        <v>1</v>
      </c>
      <c r="U202" s="75">
        <f>COUNTIFS(GERAL!B$8:B$1696,A202,GERAL!AZ$8:AZ$1696,"&gt;0",GERAL!C$8:C$1696,"ANEXO")</f>
        <v>0</v>
      </c>
      <c r="V202" s="85">
        <f>SUMIF(GERAL!B$8:B$1696,A202,GERAL!AH$8:AH$1696)</f>
        <v>0</v>
      </c>
      <c r="W202" s="85">
        <f>SUMIF(GERAL!B$8:B$1696,A202,GERAL!AM$8:AM$1696)</f>
        <v>0</v>
      </c>
      <c r="X202" s="85">
        <f>SUMIF(GERAL!B$8:B$1696,A202,GERAL!AQ$8:AQ$1696)</f>
        <v>98</v>
      </c>
      <c r="Y202" s="85">
        <f>SUMIF(GERAL!B$8:B$1696,A202,GERAL!AU$8:AU$1696)</f>
        <v>27</v>
      </c>
      <c r="Z202" s="88">
        <f t="shared" si="40"/>
        <v>125</v>
      </c>
      <c r="AA202" s="116">
        <f>COUNTIFS(GERAL!B$8:B$1696,A202,GERAL!BK$8:BK$1696,"&gt;0",GERAL!C$8:C$1696,"ESCOLA")</f>
        <v>1</v>
      </c>
      <c r="AB202" s="88">
        <f>COUNTIFS(GERAL!B$8:B$1696,A202,GERAL!BK$8:BK$1696,"&gt;0",GERAL!C$8:C$1696,"ANEXO")</f>
        <v>0</v>
      </c>
      <c r="AC202" s="121">
        <f>SUMIF(GERAL!B$8:B$1696,A202,GERAL!AD$8:AD$1696)</f>
        <v>0</v>
      </c>
      <c r="AD202" s="121">
        <f>SUMIF(GERAL!B$8:B$1696,A202,GERAL!AI$8:AI$1696)</f>
        <v>134</v>
      </c>
      <c r="AE202" s="121">
        <f>SUMIF(GERAL!B$8:B$1696,A202,GERAL!AV$8:AV$1696)</f>
        <v>0</v>
      </c>
      <c r="AF202" s="492">
        <f t="shared" si="41"/>
        <v>134</v>
      </c>
      <c r="AG202" s="178">
        <f>COUNTIFS(GERAL!B$8:B$1696,A202,GERAL!AW$8:AW$1696,"&gt;0",GERAL!C$8:C$1696,"ESCOLA")</f>
        <v>1</v>
      </c>
      <c r="AH202" s="118">
        <f>COUNTIFS(GERAL!B$8:B$1696,A202,GERAL!AW$8:AW$1696,"&gt;0",GERAL!C$8:C$1696,"ANEXO")</f>
        <v>0</v>
      </c>
      <c r="AI202" s="177">
        <f>SUMIF(GERAL!B$8:B$1696,A202,GERAL!AS$8:AS$1696)+SUMIF(GERAL!B$8:B$1696,A202,GERAL!AT$8:AT$1696)</f>
        <v>0</v>
      </c>
      <c r="AJ202" s="177">
        <f>SUMIF(GERAL!B$8:B$1696,A202,GERAL!AU$8:AU$1696)</f>
        <v>27</v>
      </c>
      <c r="AK202" s="177">
        <f>SUMIF(GERAL!B$8:B$1696,A202,GERAL!AV$8:AV$1696)</f>
        <v>0</v>
      </c>
      <c r="AL202" s="118">
        <f t="shared" si="42"/>
        <v>27</v>
      </c>
      <c r="AM202" s="493" t="s">
        <v>451</v>
      </c>
    </row>
    <row r="203">
      <c r="A203" s="494" t="s">
        <v>1914</v>
      </c>
      <c r="B203" s="75">
        <f>COUNTIFS(GERAL!B$8:B$1696,A203,GERAL!C$8:C$1696,"ESCOLA")</f>
        <v>3</v>
      </c>
      <c r="C203" s="75">
        <f>COUNTIFS(GERAL!B$8:B$1696,A203,GERAL!C$8:C$1696,"ANEXO")</f>
        <v>10</v>
      </c>
      <c r="D203" s="85">
        <f>SUMIF(GERAL!B$8:B$1696,A203,GERAL!Z$8:Z$1696)</f>
        <v>0</v>
      </c>
      <c r="E203" s="85">
        <f>SUMIF(GERAL!B$8:B$1696,A203,GERAL!AE$8:AE$1696)</f>
        <v>0</v>
      </c>
      <c r="F203" s="85">
        <f>SUMIF(GERAL!B$8:B$1696,A203,GERAL!AJ$8:AJ$1696)</f>
        <v>1717</v>
      </c>
      <c r="G203" s="85">
        <f>SUMIF(GERAL!B$8:B$1696,A203,GERAL!AN$8:AN$1696)</f>
        <v>0</v>
      </c>
      <c r="H203" s="85">
        <f>SUMIF(GERAL!B$8:B$1696,A203,GERAL!AR$8:AW$1696)</f>
        <v>257</v>
      </c>
      <c r="I203" s="85">
        <f>SUMIF(GERAL!B$8:B$1696,A203,GERAL!AW$8:AW$1696)</f>
        <v>137</v>
      </c>
      <c r="J203" s="75">
        <f>SUMIF(GERAL!B$8:B$1696,A203,GERAL!AX$8:AX$1696)</f>
        <v>2111</v>
      </c>
      <c r="K203" s="75">
        <f>COUNTIFS(GERAL!B$8:B$1696,A203,GERAL!AY$8:AY$1696,"&gt;0",GERAL!C$8:C$1696,"ESCOLA")</f>
        <v>3</v>
      </c>
      <c r="L203" s="75">
        <f>COUNTIFS(GERAL!B$8:B$1696,A203,GERAL!AY$8:AY$1696,"&gt;0",GERAL!C$8:C$1696,"ANEXO")</f>
        <v>0</v>
      </c>
      <c r="M203" s="100">
        <f>SUMIF(GERAL!B$8:B$1696,A203,GERAL!V$8:V$1696)+SUMIF(GERAL!B$8:B$1696,A203,GERAL!W$8:W$1696)</f>
        <v>0</v>
      </c>
      <c r="N203" s="100">
        <f>SUMIF(GERAL!B$8:B$1696,A203,GERAL!AA$8:AA$1696)+SUMIF(GERAL!B$8:B$1696,A203,GERAL!AB$8:AB$1696)</f>
        <v>0</v>
      </c>
      <c r="O203" s="100">
        <f>SUMIF(GERAL!B$8:B$1696,A203,GERAL!AF$8:AF$1696)+SUMIF(GERAL!B$8:B$1696,A203,GERAL!AG$8:AG$1696)</f>
        <v>282</v>
      </c>
      <c r="P203" s="100">
        <f>SUMIF(GERAL!B$8:B$1696,A203,GERAL!AK$8:AK$1696)+SUMIF(GERAL!B$8:B$1696,A203,GERAL!AL$8:AL$1696)</f>
        <v>0</v>
      </c>
      <c r="Q203" s="100">
        <f>SUMIF(GERAL!B$8:B$1696,A203,GERAL!AO$8:AO$1696)+SUMIF(GERAL!B$8:B$1696,A203,GERAL!AP$8:AP$1696)</f>
        <v>0</v>
      </c>
      <c r="R203" s="100">
        <f>SUMIF(GERAL!B$8:B$1696,A203,GERAL!AS$8:AS$1696)+SUMIF(GERAL!B$8:B$1696,A203,GERAL!AT$8:AT$1696)</f>
        <v>0</v>
      </c>
      <c r="S203" s="75">
        <f t="shared" si="39"/>
        <v>282</v>
      </c>
      <c r="T203" s="116">
        <f>COUNTIFS(GERAL!B$8:B$1696,A203,GERAL!AZ$8:AZ$1696,"&gt;0",GERAL!C$8:C$1696,"ESCOLA")</f>
        <v>2</v>
      </c>
      <c r="U203" s="75">
        <f>COUNTIFS(GERAL!B$8:B$1696,A203,GERAL!AZ$8:AZ$1696,"&gt;0",GERAL!C$8:C$1696,"ANEXO")</f>
        <v>10</v>
      </c>
      <c r="V203" s="85">
        <f>SUMIF(GERAL!B$8:B$1696,A203,GERAL!AH$8:AH$1696)</f>
        <v>287</v>
      </c>
      <c r="W203" s="85">
        <f>SUMIF(GERAL!B$8:B$1696,A203,GERAL!AM$8:AM$1696)</f>
        <v>0</v>
      </c>
      <c r="X203" s="85">
        <f>SUMIF(GERAL!B$8:B$1696,A203,GERAL!AQ$8:AQ$1696)</f>
        <v>257</v>
      </c>
      <c r="Y203" s="85">
        <f>SUMIF(GERAL!B$8:B$1696,A203,GERAL!AU$8:AU$1696)</f>
        <v>17</v>
      </c>
      <c r="Z203" s="88">
        <f t="shared" si="40"/>
        <v>561</v>
      </c>
      <c r="AA203" s="116">
        <f>COUNTIFS(GERAL!B$8:B$1696,A203,GERAL!BK$8:BK$1696,"&gt;0",GERAL!C$8:C$1696,"ESCOLA")</f>
        <v>3</v>
      </c>
      <c r="AB203" s="88">
        <f>COUNTIFS(GERAL!B$8:B$1696,A203,GERAL!BK$8:BK$1696,"&gt;0",GERAL!C$8:C$1696,"ANEXO")</f>
        <v>0</v>
      </c>
      <c r="AC203" s="121">
        <f>SUMIF(GERAL!B$8:B$1696,A203,GERAL!AD$8:AD$1696)</f>
        <v>0</v>
      </c>
      <c r="AD203" s="121">
        <f>SUMIF(GERAL!B$8:B$1696,A203,GERAL!AI$8:AI$1696)</f>
        <v>1148</v>
      </c>
      <c r="AE203" s="121">
        <f>SUMIF(GERAL!B$8:B$1696,A203,GERAL!AV$8:AV$1696)</f>
        <v>120</v>
      </c>
      <c r="AF203" s="492">
        <f t="shared" si="41"/>
        <v>1268</v>
      </c>
      <c r="AG203" s="178">
        <f>COUNTIFS(GERAL!B$8:B$1696,A203,GERAL!AW$8:AW$1696,"&gt;0",GERAL!C$8:C$1696,"ESCOLA")</f>
        <v>1</v>
      </c>
      <c r="AH203" s="118">
        <f>COUNTIFS(GERAL!B$8:B$1696,A203,GERAL!AW$8:AW$1696,"&gt;0",GERAL!C$8:C$1696,"ANEXO")</f>
        <v>0</v>
      </c>
      <c r="AI203" s="177">
        <f>SUMIF(GERAL!B$8:B$1696,A203,GERAL!AS$8:AS$1696)+SUMIF(GERAL!B$8:B$1696,A203,GERAL!AT$8:AT$1696)</f>
        <v>0</v>
      </c>
      <c r="AJ203" s="177">
        <f>SUMIF(GERAL!B$8:B$1696,A203,GERAL!AU$8:AU$1696)</f>
        <v>17</v>
      </c>
      <c r="AK203" s="177">
        <f>SUMIF(GERAL!B$8:B$1696,A203,GERAL!AV$8:AV$1696)</f>
        <v>120</v>
      </c>
      <c r="AL203" s="118">
        <f t="shared" si="42"/>
        <v>137</v>
      </c>
      <c r="AM203" s="493" t="s">
        <v>605</v>
      </c>
    </row>
    <row r="204">
      <c r="A204" s="484" t="s">
        <v>7005</v>
      </c>
      <c r="B204" s="75">
        <f>COUNTIFS(GERAL!B$8:B$1696,A204,GERAL!C$8:C$1696,"ESCOLA")</f>
        <v>1</v>
      </c>
      <c r="C204" s="75">
        <f>COUNTIFS(GERAL!B$8:B$1696,A204,GERAL!C$8:C$1696,"ANEXO")</f>
        <v>0</v>
      </c>
      <c r="D204" s="85">
        <f>SUMIF(GERAL!B$8:B$1696,A204,GERAL!Z$8:Z$1696)</f>
        <v>0</v>
      </c>
      <c r="E204" s="85">
        <f>SUMIF(GERAL!B$8:B$1696,A204,GERAL!AE$8:AE$1696)</f>
        <v>0</v>
      </c>
      <c r="F204" s="85">
        <f>SUMIF(GERAL!B$8:B$1696,A204,GERAL!AJ$8:AJ$1696)</f>
        <v>70</v>
      </c>
      <c r="G204" s="85">
        <f>SUMIF(GERAL!B$8:B$1696,A204,GERAL!AN$8:AN$1696)</f>
        <v>0</v>
      </c>
      <c r="H204" s="85">
        <f>SUMIF(GERAL!B$8:B$1696,A204,GERAL!AR$8:AW$1696)</f>
        <v>64</v>
      </c>
      <c r="I204" s="85">
        <f>SUMIF(GERAL!B$8:B$1696,A204,GERAL!AW$8:AW$1696)</f>
        <v>113</v>
      </c>
      <c r="J204" s="75">
        <f>SUMIF(GERAL!B$8:B$1696,A204,GERAL!AX$8:AX$1696)</f>
        <v>247</v>
      </c>
      <c r="K204" s="75">
        <f>COUNTIFS(GERAL!B$8:B$1696,A204,GERAL!AY$8:AY$1696,"&gt;0",GERAL!C$8:C$1696,"ESCOLA")</f>
        <v>1</v>
      </c>
      <c r="L204" s="75">
        <f>COUNTIFS(GERAL!B$8:B$1696,A204,GERAL!AY$8:AY$1696,"&gt;0",GERAL!C$8:C$1696,"ANEXO")</f>
        <v>0</v>
      </c>
      <c r="M204" s="100">
        <f>SUMIF(GERAL!B$8:B$1696,A204,GERAL!V$8:V$1696)+SUMIF(GERAL!B$8:B$1696,A204,GERAL!W$8:W$1696)</f>
        <v>0</v>
      </c>
      <c r="N204" s="100">
        <f>SUMIF(GERAL!B$8:B$1696,A204,GERAL!AA$8:AA$1696)+SUMIF(GERAL!B$8:B$1696,A204,GERAL!AB$8:AB$1696)</f>
        <v>0</v>
      </c>
      <c r="O204" s="100">
        <f>SUMIF(GERAL!B$8:B$1696,A204,GERAL!AF$8:AF$1696)+SUMIF(GERAL!B$8:B$1696,A204,GERAL!AG$8:AG$1696)</f>
        <v>0</v>
      </c>
      <c r="P204" s="100">
        <f>SUMIF(GERAL!B$8:B$1696,A204,GERAL!AK$8:AK$1696)+SUMIF(GERAL!B$8:B$1696,A204,GERAL!AL$8:AL$1696)</f>
        <v>0</v>
      </c>
      <c r="Q204" s="100">
        <f>SUMIF(GERAL!B$8:B$1696,A204,GERAL!AO$8:AO$1696)+SUMIF(GERAL!B$8:B$1696,A204,GERAL!AP$8:AP$1696)</f>
        <v>0</v>
      </c>
      <c r="R204" s="100">
        <f>SUMIF(GERAL!B$8:B$1696,A204,GERAL!AS$8:AS$1696)+SUMIF(GERAL!B$8:B$1696,A204,GERAL!AT$8:AT$1696)</f>
        <v>84</v>
      </c>
      <c r="S204" s="75">
        <f t="shared" si="39"/>
        <v>84</v>
      </c>
      <c r="T204" s="116">
        <f>COUNTIFS(GERAL!B$8:B$1696,A204,GERAL!AZ$8:AZ$1696,"&gt;0",GERAL!C$8:C$1696,"ESCOLA")</f>
        <v>1</v>
      </c>
      <c r="U204" s="75">
        <f>COUNTIFS(GERAL!B$8:B$1696,A204,GERAL!AZ$8:AZ$1696,"&gt;0",GERAL!C$8:C$1696,"ANEXO")</f>
        <v>0</v>
      </c>
      <c r="V204" s="85">
        <f>SUMIF(GERAL!B$8:B$1696,A204,GERAL!AH$8:AH$1696)</f>
        <v>0</v>
      </c>
      <c r="W204" s="85">
        <f>SUMIF(GERAL!B$8:B$1696,A204,GERAL!AM$8:AM$1696)</f>
        <v>0</v>
      </c>
      <c r="X204" s="85">
        <f>SUMIF(GERAL!B$8:B$1696,A204,GERAL!AQ$8:AQ$1696)</f>
        <v>64</v>
      </c>
      <c r="Y204" s="85">
        <f>SUMIF(GERAL!B$8:B$1696,A204,GERAL!AU$8:AU$1696)</f>
        <v>0</v>
      </c>
      <c r="Z204" s="88">
        <f t="shared" si="40"/>
        <v>64</v>
      </c>
      <c r="AA204" s="116">
        <f>COUNTIFS(GERAL!B$8:B$1696,A204,GERAL!BK$8:BK$1696,"&gt;0",GERAL!C$8:C$1696,"ESCOLA")</f>
        <v>1</v>
      </c>
      <c r="AB204" s="88">
        <f>COUNTIFS(GERAL!B$8:B$1696,A204,GERAL!BK$8:BK$1696,"&gt;0",GERAL!C$8:C$1696,"ANEXO")</f>
        <v>0</v>
      </c>
      <c r="AC204" s="121">
        <f>SUMIF(GERAL!B$8:B$1696,A204,GERAL!AD$8:AD$1696)</f>
        <v>0</v>
      </c>
      <c r="AD204" s="121">
        <f>SUMIF(GERAL!B$8:B$1696,A204,GERAL!AI$8:AI$1696)</f>
        <v>70</v>
      </c>
      <c r="AE204" s="121">
        <f>SUMIF(GERAL!B$8:B$1696,A204,GERAL!AV$8:AV$1696)</f>
        <v>29</v>
      </c>
      <c r="AF204" s="492">
        <f t="shared" si="41"/>
        <v>99</v>
      </c>
      <c r="AG204" s="178">
        <f>COUNTIFS(GERAL!B$8:B$1696,A204,GERAL!AW$8:AW$1696,"&gt;0",GERAL!C$8:C$1696,"ESCOLA")</f>
        <v>1</v>
      </c>
      <c r="AH204" s="118">
        <f>COUNTIFS(GERAL!B$8:B$1696,A204,GERAL!AW$8:AW$1696,"&gt;0",GERAL!C$8:C$1696,"ANEXO")</f>
        <v>0</v>
      </c>
      <c r="AI204" s="177">
        <f>SUMIF(GERAL!B$8:B$1696,A204,GERAL!AS$8:AS$1696)+SUMIF(GERAL!B$8:B$1696,A204,GERAL!AT$8:AT$1696)</f>
        <v>84</v>
      </c>
      <c r="AJ204" s="177">
        <f>SUMIF(GERAL!B$8:B$1696,A204,GERAL!AU$8:AU$1696)</f>
        <v>0</v>
      </c>
      <c r="AK204" s="177">
        <f>SUMIF(GERAL!B$8:B$1696,A204,GERAL!AV$8:AV$1696)</f>
        <v>29</v>
      </c>
      <c r="AL204" s="118">
        <f t="shared" si="42"/>
        <v>113</v>
      </c>
      <c r="AM204" s="493" t="s">
        <v>1535</v>
      </c>
    </row>
    <row r="205">
      <c r="A205" s="494" t="s">
        <v>2482</v>
      </c>
      <c r="B205" s="75">
        <f>COUNTIFS(GERAL!B$8:B$1696,A205,GERAL!C$8:C$1696,"ESCOLA")</f>
        <v>1</v>
      </c>
      <c r="C205" s="75">
        <f>COUNTIFS(GERAL!B$8:B$1696,A205,GERAL!C$8:C$1696,"ANEXO")</f>
        <v>2</v>
      </c>
      <c r="D205" s="85">
        <f>SUMIF(GERAL!B$8:B$1696,A205,GERAL!Z$8:Z$1696)</f>
        <v>0</v>
      </c>
      <c r="E205" s="85">
        <f>SUMIF(GERAL!B$8:B$1696,A205,GERAL!AE$8:AE$1696)</f>
        <v>0</v>
      </c>
      <c r="F205" s="85">
        <f>SUMIF(GERAL!B$8:B$1696,A205,GERAL!AJ$8:AJ$1696)</f>
        <v>389</v>
      </c>
      <c r="G205" s="85">
        <f>SUMIF(GERAL!B$8:B$1696,A205,GERAL!AN$8:AN$1696)</f>
        <v>0</v>
      </c>
      <c r="H205" s="85">
        <f>SUMIF(GERAL!B$8:B$1696,A205,GERAL!AR$8:AW$1696)</f>
        <v>149</v>
      </c>
      <c r="I205" s="85">
        <f>SUMIF(GERAL!B$8:B$1696,A205,GERAL!AW$8:AW$1696)</f>
        <v>183</v>
      </c>
      <c r="J205" s="75">
        <f>SUMIF(GERAL!B$8:B$1696,A205,GERAL!AX$8:AX$1696)</f>
        <v>721</v>
      </c>
      <c r="K205" s="75">
        <f>COUNTIFS(GERAL!B$8:B$1696,A205,GERAL!AY$8:AY$1696,"&gt;0",GERAL!C$8:C$1696,"ESCOLA")</f>
        <v>1</v>
      </c>
      <c r="L205" s="75">
        <f>COUNTIFS(GERAL!B$8:B$1696,A205,GERAL!AY$8:AY$1696,"&gt;0",GERAL!C$8:C$1696,"ANEXO")</f>
        <v>1</v>
      </c>
      <c r="M205" s="100">
        <f>SUMIF(GERAL!B$8:B$1696,A205,GERAL!V$8:V$1696)+SUMIF(GERAL!B$8:B$1696,A205,GERAL!W$8:W$1696)</f>
        <v>0</v>
      </c>
      <c r="N205" s="100">
        <f>SUMIF(GERAL!B$8:B$1696,A205,GERAL!AA$8:AA$1696)+SUMIF(GERAL!B$8:B$1696,A205,GERAL!AB$8:AB$1696)</f>
        <v>0</v>
      </c>
      <c r="O205" s="100">
        <f>SUMIF(GERAL!B$8:B$1696,A205,GERAL!AF$8:AF$1696)+SUMIF(GERAL!B$8:B$1696,A205,GERAL!AG$8:AG$1696)</f>
        <v>103</v>
      </c>
      <c r="P205" s="100">
        <f>SUMIF(GERAL!B$8:B$1696,A205,GERAL!AK$8:AK$1696)+SUMIF(GERAL!B$8:B$1696,A205,GERAL!AL$8:AL$1696)</f>
        <v>0</v>
      </c>
      <c r="Q205" s="100">
        <f>SUMIF(GERAL!B$8:B$1696,A205,GERAL!AO$8:AO$1696)+SUMIF(GERAL!B$8:B$1696,A205,GERAL!AP$8:AP$1696)</f>
        <v>0</v>
      </c>
      <c r="R205" s="100">
        <f>SUMIF(GERAL!B$8:B$1696,A205,GERAL!AS$8:AS$1696)+SUMIF(GERAL!B$8:B$1696,A205,GERAL!AT$8:AT$1696)</f>
        <v>11</v>
      </c>
      <c r="S205" s="75">
        <f t="shared" si="39"/>
        <v>114</v>
      </c>
      <c r="T205" s="116">
        <f>COUNTIFS(GERAL!B$8:B$1696,A205,GERAL!AZ$8:AZ$1696,"&gt;0",GERAL!C$8:C$1696,"ESCOLA")</f>
        <v>1</v>
      </c>
      <c r="U205" s="75">
        <f>COUNTIFS(GERAL!B$8:B$1696,A205,GERAL!AZ$8:AZ$1696,"&gt;0",GERAL!C$8:C$1696,"ANEXO")</f>
        <v>2</v>
      </c>
      <c r="V205" s="85">
        <f>SUMIF(GERAL!B$8:B$1696,A205,GERAL!AH$8:AH$1696)</f>
        <v>22</v>
      </c>
      <c r="W205" s="85">
        <f>SUMIF(GERAL!B$8:B$1696,A205,GERAL!AM$8:AM$1696)</f>
        <v>0</v>
      </c>
      <c r="X205" s="85">
        <f>SUMIF(GERAL!B$8:B$1696,A205,GERAL!AQ$8:AQ$1696)</f>
        <v>149</v>
      </c>
      <c r="Y205" s="85">
        <f>SUMIF(GERAL!B$8:B$1696,A205,GERAL!AU$8:AU$1696)</f>
        <v>88</v>
      </c>
      <c r="Z205" s="88">
        <f t="shared" si="40"/>
        <v>259</v>
      </c>
      <c r="AA205" s="116">
        <f>COUNTIFS(GERAL!B$8:B$1696,A205,GERAL!BK$8:BK$1696,"&gt;0",GERAL!C$8:C$1696,"ESCOLA")</f>
        <v>1</v>
      </c>
      <c r="AB205" s="88">
        <f>COUNTIFS(GERAL!B$8:B$1696,A205,GERAL!BK$8:BK$1696,"&gt;0",GERAL!C$8:C$1696,"ANEXO")</f>
        <v>0</v>
      </c>
      <c r="AC205" s="121">
        <f>SUMIF(GERAL!B$8:B$1696,A205,GERAL!AD$8:AD$1696)</f>
        <v>0</v>
      </c>
      <c r="AD205" s="121">
        <f>SUMIF(GERAL!B$8:B$1696,A205,GERAL!AI$8:AI$1696)</f>
        <v>264</v>
      </c>
      <c r="AE205" s="121">
        <f>SUMIF(GERAL!B$8:B$1696,A205,GERAL!AV$8:AV$1696)</f>
        <v>84</v>
      </c>
      <c r="AF205" s="492">
        <f t="shared" si="41"/>
        <v>348</v>
      </c>
      <c r="AG205" s="178">
        <f>COUNTIFS(GERAL!B$8:B$1696,A205,GERAL!AW$8:AW$1696,"&gt;0",GERAL!C$8:C$1696,"ESCOLA")</f>
        <v>1</v>
      </c>
      <c r="AH205" s="118">
        <f>COUNTIFS(GERAL!B$8:B$1696,A205,GERAL!AW$8:AW$1696,"&gt;0",GERAL!C$8:C$1696,"ANEXO")</f>
        <v>0</v>
      </c>
      <c r="AI205" s="177">
        <f>SUMIF(GERAL!B$8:B$1696,A205,GERAL!AS$8:AS$1696)+SUMIF(GERAL!B$8:B$1696,A205,GERAL!AT$8:AT$1696)</f>
        <v>11</v>
      </c>
      <c r="AJ205" s="177">
        <f>SUMIF(GERAL!B$8:B$1696,A205,GERAL!AU$8:AU$1696)</f>
        <v>88</v>
      </c>
      <c r="AK205" s="177">
        <f>SUMIF(GERAL!B$8:B$1696,A205,GERAL!AV$8:AV$1696)</f>
        <v>84</v>
      </c>
      <c r="AL205" s="118">
        <f t="shared" si="42"/>
        <v>183</v>
      </c>
      <c r="AM205" s="493" t="s">
        <v>673</v>
      </c>
    </row>
    <row r="206">
      <c r="A206" s="484" t="s">
        <v>5632</v>
      </c>
      <c r="B206" s="75">
        <f>COUNTIFS(GERAL!B$8:B$1696,A206,GERAL!C$8:C$1696,"ESCOLA")</f>
        <v>1</v>
      </c>
      <c r="C206" s="75">
        <f>COUNTIFS(GERAL!B$8:B$1696,A206,GERAL!C$8:C$1696,"ANEXO")</f>
        <v>0</v>
      </c>
      <c r="D206" s="85">
        <f>SUMIF(GERAL!B$8:B$1696,A206,GERAL!Z$8:Z$1696)</f>
        <v>0</v>
      </c>
      <c r="E206" s="85">
        <f>SUMIF(GERAL!B$8:B$1696,A206,GERAL!AE$8:AE$1696)</f>
        <v>0</v>
      </c>
      <c r="F206" s="85">
        <f>SUMIF(GERAL!B$8:B$1696,A206,GERAL!AJ$8:AJ$1696)</f>
        <v>169</v>
      </c>
      <c r="G206" s="85">
        <f>SUMIF(GERAL!B$8:B$1696,A206,GERAL!AN$8:AN$1696)</f>
        <v>0</v>
      </c>
      <c r="H206" s="85">
        <f>SUMIF(GERAL!B$8:B$1696,A206,GERAL!AR$8:AW$1696)</f>
        <v>91</v>
      </c>
      <c r="I206" s="85">
        <f>SUMIF(GERAL!B$8:B$1696,A206,GERAL!AW$8:AW$1696)</f>
        <v>63</v>
      </c>
      <c r="J206" s="75">
        <f>SUMIF(GERAL!B$8:B$1696,A206,GERAL!AX$8:AX$1696)</f>
        <v>323</v>
      </c>
      <c r="K206" s="75">
        <f>COUNTIFS(GERAL!B$8:B$1696,A206,GERAL!AY$8:AY$1696,"&gt;0",GERAL!C$8:C$1696,"ESCOLA")</f>
        <v>1</v>
      </c>
      <c r="L206" s="75">
        <f>COUNTIFS(GERAL!B$8:B$1696,A206,GERAL!AY$8:AY$1696,"&gt;0",GERAL!C$8:C$1696,"ANEXO")</f>
        <v>0</v>
      </c>
      <c r="M206" s="100">
        <f>SUMIF(GERAL!B$8:B$1696,A206,GERAL!V$8:V$1696)+SUMIF(GERAL!B$8:B$1696,A206,GERAL!W$8:W$1696)</f>
        <v>0</v>
      </c>
      <c r="N206" s="100">
        <f>SUMIF(GERAL!B$8:B$1696,A206,GERAL!AA$8:AA$1696)+SUMIF(GERAL!B$8:B$1696,A206,GERAL!AB$8:AB$1696)</f>
        <v>0</v>
      </c>
      <c r="O206" s="100">
        <f>SUMIF(GERAL!B$8:B$1696,A206,GERAL!AF$8:AF$1696)+SUMIF(GERAL!B$8:B$1696,A206,GERAL!AG$8:AG$1696)</f>
        <v>0</v>
      </c>
      <c r="P206" s="100">
        <f>SUMIF(GERAL!B$8:B$1696,A206,GERAL!AK$8:AK$1696)+SUMIF(GERAL!B$8:B$1696,A206,GERAL!AL$8:AL$1696)</f>
        <v>0</v>
      </c>
      <c r="Q206" s="100">
        <f>SUMIF(GERAL!B$8:B$1696,A206,GERAL!AO$8:AO$1696)+SUMIF(GERAL!B$8:B$1696,A206,GERAL!AP$8:AP$1696)</f>
        <v>0</v>
      </c>
      <c r="R206" s="100">
        <f>SUMIF(GERAL!B$8:B$1696,A206,GERAL!AS$8:AS$1696)+SUMIF(GERAL!B$8:B$1696,A206,GERAL!AT$8:AT$1696)</f>
        <v>0</v>
      </c>
      <c r="S206" s="75">
        <f t="shared" si="39"/>
        <v>0</v>
      </c>
      <c r="T206" s="116">
        <f>COUNTIFS(GERAL!B$8:B$1696,A206,GERAL!AZ$8:AZ$1696,"&gt;0",GERAL!C$8:C$1696,"ESCOLA")</f>
        <v>1</v>
      </c>
      <c r="U206" s="75">
        <f>COUNTIFS(GERAL!B$8:B$1696,A206,GERAL!AZ$8:AZ$1696,"&gt;0",GERAL!C$8:C$1696,"ANEXO")</f>
        <v>0</v>
      </c>
      <c r="V206" s="85">
        <f>SUMIF(GERAL!B$8:B$1696,A206,GERAL!AH$8:AH$1696)</f>
        <v>0</v>
      </c>
      <c r="W206" s="85">
        <f>SUMIF(GERAL!B$8:B$1696,A206,GERAL!AM$8:AM$1696)</f>
        <v>0</v>
      </c>
      <c r="X206" s="85">
        <f>SUMIF(GERAL!B$8:B$1696,A206,GERAL!AQ$8:AQ$1696)</f>
        <v>91</v>
      </c>
      <c r="Y206" s="85">
        <f>SUMIF(GERAL!B$8:B$1696,A206,GERAL!AU$8:AU$1696)</f>
        <v>0</v>
      </c>
      <c r="Z206" s="88">
        <f t="shared" si="40"/>
        <v>91</v>
      </c>
      <c r="AA206" s="116">
        <f>COUNTIFS(GERAL!B$8:B$1696,A206,GERAL!BK$8:BK$1696,"&gt;0",GERAL!C$8:C$1696,"ESCOLA")</f>
        <v>1</v>
      </c>
      <c r="AB206" s="88">
        <f>COUNTIFS(GERAL!B$8:B$1696,A206,GERAL!BK$8:BK$1696,"&gt;0",GERAL!C$8:C$1696,"ANEXO")</f>
        <v>0</v>
      </c>
      <c r="AC206" s="121">
        <f>SUMIF(GERAL!B$8:B$1696,A206,GERAL!AD$8:AD$1696)</f>
        <v>0</v>
      </c>
      <c r="AD206" s="121">
        <f>SUMIF(GERAL!B$8:B$1696,A206,GERAL!AI$8:AI$1696)</f>
        <v>169</v>
      </c>
      <c r="AE206" s="121">
        <f>SUMIF(GERAL!B$8:B$1696,A206,GERAL!AV$8:AV$1696)</f>
        <v>63</v>
      </c>
      <c r="AF206" s="492">
        <f t="shared" si="41"/>
        <v>232</v>
      </c>
      <c r="AG206" s="178">
        <f>COUNTIFS(GERAL!B$8:B$1696,A206,GERAL!AW$8:AW$1696,"&gt;0",GERAL!C$8:C$1696,"ESCOLA")</f>
        <v>1</v>
      </c>
      <c r="AH206" s="118">
        <f>COUNTIFS(GERAL!B$8:B$1696,A206,GERAL!AW$8:AW$1696,"&gt;0",GERAL!C$8:C$1696,"ANEXO")</f>
        <v>0</v>
      </c>
      <c r="AI206" s="177">
        <f>SUMIF(GERAL!B$8:B$1696,A206,GERAL!AS$8:AS$1696)+SUMIF(GERAL!B$8:B$1696,A206,GERAL!AT$8:AT$1696)</f>
        <v>0</v>
      </c>
      <c r="AJ206" s="177">
        <f>SUMIF(GERAL!B$8:B$1696,A206,GERAL!AU$8:AU$1696)</f>
        <v>0</v>
      </c>
      <c r="AK206" s="177">
        <f>SUMIF(GERAL!B$8:B$1696,A206,GERAL!AV$8:AV$1696)</f>
        <v>63</v>
      </c>
      <c r="AL206" s="118">
        <f t="shared" si="42"/>
        <v>63</v>
      </c>
      <c r="AM206" s="493" t="s">
        <v>1281</v>
      </c>
    </row>
    <row r="207">
      <c r="A207" s="494" t="s">
        <v>1952</v>
      </c>
      <c r="B207" s="75">
        <f>COUNTIFS(GERAL!B$8:B$1696,A207,GERAL!C$8:C$1696,"ESCOLA")</f>
        <v>1</v>
      </c>
      <c r="C207" s="75">
        <f>COUNTIFS(GERAL!B$8:B$1696,A207,GERAL!C$8:C$1696,"ANEXO")</f>
        <v>7</v>
      </c>
      <c r="D207" s="85">
        <f>SUMIF(GERAL!B$8:B$1696,A207,GERAL!Z$8:Z$1696)</f>
        <v>0</v>
      </c>
      <c r="E207" s="85">
        <f>SUMIF(GERAL!B$8:B$1696,A207,GERAL!AE$8:AE$1696)</f>
        <v>0</v>
      </c>
      <c r="F207" s="85">
        <f>SUMIF(GERAL!B$8:B$1696,A207,GERAL!AJ$8:AJ$1696)</f>
        <v>286</v>
      </c>
      <c r="G207" s="85">
        <f>SUMIF(GERAL!B$8:B$1696,A207,GERAL!AN$8:AN$1696)</f>
        <v>0</v>
      </c>
      <c r="H207" s="85">
        <f>SUMIF(GERAL!B$8:B$1696,A207,GERAL!AR$8:AW$1696)</f>
        <v>155</v>
      </c>
      <c r="I207" s="85">
        <f>SUMIF(GERAL!B$8:B$1696,A207,GERAL!AW$8:AW$1696)</f>
        <v>67</v>
      </c>
      <c r="J207" s="75">
        <f>SUMIF(GERAL!B$8:B$1696,A207,GERAL!AX$8:AX$1696)</f>
        <v>508</v>
      </c>
      <c r="K207" s="75">
        <f>COUNTIFS(GERAL!B$8:B$1696,A207,GERAL!AY$8:AY$1696,"&gt;0",GERAL!C$8:C$1696,"ESCOLA")</f>
        <v>1</v>
      </c>
      <c r="L207" s="75">
        <f>COUNTIFS(GERAL!B$8:B$1696,A207,GERAL!AY$8:AY$1696,"&gt;0",GERAL!C$8:C$1696,"ANEXO")</f>
        <v>4</v>
      </c>
      <c r="M207" s="100">
        <f>SUMIF(GERAL!B$8:B$1696,A207,GERAL!V$8:V$1696)+SUMIF(GERAL!B$8:B$1696,A207,GERAL!W$8:W$1696)</f>
        <v>0</v>
      </c>
      <c r="N207" s="100">
        <f>SUMIF(GERAL!B$8:B$1696,A207,GERAL!AA$8:AA$1696)+SUMIF(GERAL!B$8:B$1696,A207,GERAL!AB$8:AB$1696)</f>
        <v>0</v>
      </c>
      <c r="O207" s="100">
        <f>SUMIF(GERAL!B$8:B$1696,A207,GERAL!AF$8:AF$1696)+SUMIF(GERAL!B$8:B$1696,A207,GERAL!AG$8:AG$1696)</f>
        <v>53</v>
      </c>
      <c r="P207" s="100">
        <f>SUMIF(GERAL!B$8:B$1696,A207,GERAL!AK$8:AK$1696)+SUMIF(GERAL!B$8:B$1696,A207,GERAL!AL$8:AL$1696)</f>
        <v>0</v>
      </c>
      <c r="Q207" s="100">
        <f>SUMIF(GERAL!B$8:B$1696,A207,GERAL!AO$8:AO$1696)+SUMIF(GERAL!B$8:B$1696,A207,GERAL!AP$8:AP$1696)</f>
        <v>0</v>
      </c>
      <c r="R207" s="100">
        <f>SUMIF(GERAL!B$8:B$1696,A207,GERAL!AS$8:AS$1696)+SUMIF(GERAL!B$8:B$1696,A207,GERAL!AT$8:AT$1696)</f>
        <v>0</v>
      </c>
      <c r="S207" s="75">
        <f t="shared" si="39"/>
        <v>53</v>
      </c>
      <c r="T207" s="116">
        <f>COUNTIFS(GERAL!B$8:B$1696,A207,GERAL!AZ$8:AZ$1696,"&gt;0",GERAL!C$8:C$1696,"ESCOLA")</f>
        <v>1</v>
      </c>
      <c r="U207" s="75">
        <f>COUNTIFS(GERAL!B$8:B$1696,A207,GERAL!AZ$8:AZ$1696,"&gt;0",GERAL!C$8:C$1696,"ANEXO")</f>
        <v>7</v>
      </c>
      <c r="V207" s="85">
        <f>SUMIF(GERAL!B$8:B$1696,A207,GERAL!AH$8:AH$1696)</f>
        <v>21</v>
      </c>
      <c r="W207" s="85">
        <f>SUMIF(GERAL!B$8:B$1696,A207,GERAL!AM$8:AM$1696)</f>
        <v>0</v>
      </c>
      <c r="X207" s="85">
        <f>SUMIF(GERAL!B$8:B$1696,A207,GERAL!AQ$8:AQ$1696)</f>
        <v>155</v>
      </c>
      <c r="Y207" s="85">
        <f>SUMIF(GERAL!B$8:B$1696,A207,GERAL!AU$8:AU$1696)</f>
        <v>0</v>
      </c>
      <c r="Z207" s="88">
        <f t="shared" si="40"/>
        <v>176</v>
      </c>
      <c r="AA207" s="116">
        <f>COUNTIFS(GERAL!B$8:B$1696,A207,GERAL!BK$8:BK$1696,"&gt;0",GERAL!C$8:C$1696,"ESCOLA")</f>
        <v>1</v>
      </c>
      <c r="AB207" s="88">
        <f>COUNTIFS(GERAL!B$8:B$1696,A207,GERAL!BK$8:BK$1696,"&gt;0",GERAL!C$8:C$1696,"ANEXO")</f>
        <v>0</v>
      </c>
      <c r="AC207" s="121">
        <f>SUMIF(GERAL!B$8:B$1696,A207,GERAL!AD$8:AD$1696)</f>
        <v>0</v>
      </c>
      <c r="AD207" s="121">
        <f>SUMIF(GERAL!B$8:B$1696,A207,GERAL!AI$8:AI$1696)</f>
        <v>212</v>
      </c>
      <c r="AE207" s="121">
        <f>SUMIF(GERAL!B$8:B$1696,A207,GERAL!AV$8:AV$1696)</f>
        <v>67</v>
      </c>
      <c r="AF207" s="492">
        <f t="shared" si="41"/>
        <v>279</v>
      </c>
      <c r="AG207" s="178">
        <f>COUNTIFS(GERAL!B$8:B$1696,A207,GERAL!AW$8:AW$1696,"&gt;0",GERAL!C$8:C$1696,"ESCOLA")</f>
        <v>1</v>
      </c>
      <c r="AH207" s="118">
        <f>COUNTIFS(GERAL!B$8:B$1696,A207,GERAL!AW$8:AW$1696,"&gt;0",GERAL!C$8:C$1696,"ANEXO")</f>
        <v>0</v>
      </c>
      <c r="AI207" s="177">
        <f>SUMIF(GERAL!B$8:B$1696,A207,GERAL!AS$8:AS$1696)+SUMIF(GERAL!B$8:B$1696,A207,GERAL!AT$8:AT$1696)</f>
        <v>0</v>
      </c>
      <c r="AJ207" s="177">
        <f>SUMIF(GERAL!B$8:B$1696,A207,GERAL!AU$8:AU$1696)</f>
        <v>0</v>
      </c>
      <c r="AK207" s="177">
        <f>SUMIF(GERAL!B$8:B$1696,A207,GERAL!AV$8:AV$1696)</f>
        <v>67</v>
      </c>
      <c r="AL207" s="118">
        <f t="shared" si="42"/>
        <v>67</v>
      </c>
      <c r="AM207" s="493" t="s">
        <v>605</v>
      </c>
    </row>
    <row r="208">
      <c r="A208" s="484" t="s">
        <v>2135</v>
      </c>
      <c r="B208" s="75">
        <f>COUNTIFS(GERAL!B$8:B$1696,A208,GERAL!C$8:C$1696,"ESCOLA")</f>
        <v>1</v>
      </c>
      <c r="C208" s="75">
        <f>COUNTIFS(GERAL!B$8:B$1696,A208,GERAL!C$8:C$1696,"ANEXO")</f>
        <v>0</v>
      </c>
      <c r="D208" s="85">
        <f>SUMIF(GERAL!B$8:B$1696,A208,GERAL!Z$8:Z$1696)</f>
        <v>0</v>
      </c>
      <c r="E208" s="85">
        <f>SUMIF(GERAL!B$8:B$1696,A208,GERAL!AE$8:AE$1696)</f>
        <v>0</v>
      </c>
      <c r="F208" s="85">
        <f>SUMIF(GERAL!B$8:B$1696,A208,GERAL!AJ$8:AJ$1696)</f>
        <v>692</v>
      </c>
      <c r="G208" s="85">
        <f>SUMIF(GERAL!B$8:B$1696,A208,GERAL!AN$8:AN$1696)</f>
        <v>0</v>
      </c>
      <c r="H208" s="85">
        <f>SUMIF(GERAL!B$8:B$1696,A208,GERAL!AR$8:AW$1696)</f>
        <v>187</v>
      </c>
      <c r="I208" s="85">
        <f>SUMIF(GERAL!B$8:B$1696,A208,GERAL!AW$8:AW$1696)</f>
        <v>109</v>
      </c>
      <c r="J208" s="75">
        <f>SUMIF(GERAL!B$8:B$1696,A208,GERAL!AX$8:AX$1696)</f>
        <v>988</v>
      </c>
      <c r="K208" s="75">
        <f>COUNTIFS(GERAL!B$8:B$1696,A208,GERAL!AY$8:AY$1696,"&gt;0",GERAL!C$8:C$1696,"ESCOLA")</f>
        <v>1</v>
      </c>
      <c r="L208" s="75">
        <f>COUNTIFS(GERAL!B$8:B$1696,A208,GERAL!AY$8:AY$1696,"&gt;0",GERAL!C$8:C$1696,"ANEXO")</f>
        <v>0</v>
      </c>
      <c r="M208" s="100">
        <f>SUMIF(GERAL!B$8:B$1696,A208,GERAL!V$8:V$1696)+SUMIF(GERAL!B$8:B$1696,A208,GERAL!W$8:W$1696)</f>
        <v>0</v>
      </c>
      <c r="N208" s="100">
        <f>SUMIF(GERAL!B$8:B$1696,A208,GERAL!AA$8:AA$1696)+SUMIF(GERAL!B$8:B$1696,A208,GERAL!AB$8:AB$1696)</f>
        <v>0</v>
      </c>
      <c r="O208" s="100">
        <f>SUMIF(GERAL!B$8:B$1696,A208,GERAL!AF$8:AF$1696)+SUMIF(GERAL!B$8:B$1696,A208,GERAL!AG$8:AG$1696)</f>
        <v>156</v>
      </c>
      <c r="P208" s="100">
        <f>SUMIF(GERAL!B$8:B$1696,A208,GERAL!AK$8:AK$1696)+SUMIF(GERAL!B$8:B$1696,A208,GERAL!AL$8:AL$1696)</f>
        <v>0</v>
      </c>
      <c r="Q208" s="100">
        <f>SUMIF(GERAL!B$8:B$1696,A208,GERAL!AO$8:AO$1696)+SUMIF(GERAL!B$8:B$1696,A208,GERAL!AP$8:AP$1696)</f>
        <v>0</v>
      </c>
      <c r="R208" s="100">
        <f>SUMIF(GERAL!B$8:B$1696,A208,GERAL!AS$8:AS$1696)+SUMIF(GERAL!B$8:B$1696,A208,GERAL!AT$8:AT$1696)</f>
        <v>0</v>
      </c>
      <c r="S208" s="75">
        <f t="shared" si="39"/>
        <v>156</v>
      </c>
      <c r="T208" s="116">
        <f>COUNTIFS(GERAL!B$8:B$1696,A208,GERAL!AZ$8:AZ$1696,"&gt;0",GERAL!C$8:C$1696,"ESCOLA")</f>
        <v>1</v>
      </c>
      <c r="U208" s="75">
        <f>COUNTIFS(GERAL!B$8:B$1696,A208,GERAL!AZ$8:AZ$1696,"&gt;0",GERAL!C$8:C$1696,"ANEXO")</f>
        <v>0</v>
      </c>
      <c r="V208" s="85">
        <f>SUMIF(GERAL!B$8:B$1696,A208,GERAL!AH$8:AH$1696)</f>
        <v>0</v>
      </c>
      <c r="W208" s="85">
        <f>SUMIF(GERAL!B$8:B$1696,A208,GERAL!AM$8:AM$1696)</f>
        <v>0</v>
      </c>
      <c r="X208" s="85">
        <f>SUMIF(GERAL!B$8:B$1696,A208,GERAL!AQ$8:AQ$1696)</f>
        <v>187</v>
      </c>
      <c r="Y208" s="85">
        <f>SUMIF(GERAL!B$8:B$1696,A208,GERAL!AU$8:AU$1696)</f>
        <v>11</v>
      </c>
      <c r="Z208" s="88">
        <f t="shared" si="40"/>
        <v>198</v>
      </c>
      <c r="AA208" s="116">
        <f>COUNTIFS(GERAL!B$8:B$1696,A208,GERAL!BK$8:BK$1696,"&gt;0",GERAL!C$8:C$1696,"ESCOLA")</f>
        <v>1</v>
      </c>
      <c r="AB208" s="88">
        <f>COUNTIFS(GERAL!B$8:B$1696,A208,GERAL!BK$8:BK$1696,"&gt;0",GERAL!C$8:C$1696,"ANEXO")</f>
        <v>0</v>
      </c>
      <c r="AC208" s="121">
        <f>SUMIF(GERAL!B$8:B$1696,A208,GERAL!AD$8:AD$1696)</f>
        <v>0</v>
      </c>
      <c r="AD208" s="121">
        <f>SUMIF(GERAL!B$8:B$1696,A208,GERAL!AI$8:AI$1696)</f>
        <v>536</v>
      </c>
      <c r="AE208" s="121">
        <f>SUMIF(GERAL!B$8:B$1696,A208,GERAL!AV$8:AV$1696)</f>
        <v>98</v>
      </c>
      <c r="AF208" s="492">
        <f t="shared" si="41"/>
        <v>634</v>
      </c>
      <c r="AG208" s="178">
        <f>COUNTIFS(GERAL!B$8:B$1696,A208,GERAL!AW$8:AW$1696,"&gt;0",GERAL!C$8:C$1696,"ESCOLA")</f>
        <v>1</v>
      </c>
      <c r="AH208" s="118">
        <f>COUNTIFS(GERAL!B$8:B$1696,A208,GERAL!AW$8:AW$1696,"&gt;0",GERAL!C$8:C$1696,"ANEXO")</f>
        <v>0</v>
      </c>
      <c r="AI208" s="177">
        <f>SUMIF(GERAL!B$8:B$1696,A208,GERAL!AS$8:AS$1696)+SUMIF(GERAL!B$8:B$1696,A208,GERAL!AT$8:AT$1696)</f>
        <v>0</v>
      </c>
      <c r="AJ208" s="177">
        <f>SUMIF(GERAL!B$8:B$1696,A208,GERAL!AU$8:AU$1696)</f>
        <v>11</v>
      </c>
      <c r="AK208" s="177">
        <f>SUMIF(GERAL!B$8:B$1696,A208,GERAL!AV$8:AV$1696)</f>
        <v>98</v>
      </c>
      <c r="AL208" s="118">
        <f t="shared" si="42"/>
        <v>109</v>
      </c>
      <c r="AM208" s="493" t="s">
        <v>1785</v>
      </c>
    </row>
    <row r="209">
      <c r="A209" s="494" t="s">
        <v>1596</v>
      </c>
      <c r="B209" s="75">
        <f>COUNTIFS(GERAL!B$8:B$1696,A209,GERAL!C$8:C$1696,"ESCOLA")</f>
        <v>1</v>
      </c>
      <c r="C209" s="75">
        <f>COUNTIFS(GERAL!B$8:B$1696,A209,GERAL!C$8:C$1696,"ANEXO")</f>
        <v>0</v>
      </c>
      <c r="D209" s="85">
        <f>SUMIF(GERAL!B$8:B$1696,A209,GERAL!Z$8:Z$1696)</f>
        <v>0</v>
      </c>
      <c r="E209" s="85">
        <f>SUMIF(GERAL!B$8:B$1696,A209,GERAL!AE$8:AE$1696)</f>
        <v>0</v>
      </c>
      <c r="F209" s="85">
        <f>SUMIF(GERAL!B$8:B$1696,A209,GERAL!AJ$8:AJ$1696)</f>
        <v>203</v>
      </c>
      <c r="G209" s="85">
        <f>SUMIF(GERAL!B$8:B$1696,A209,GERAL!AN$8:AN$1696)</f>
        <v>0</v>
      </c>
      <c r="H209" s="85">
        <f>SUMIF(GERAL!B$8:B$1696,A209,GERAL!AR$8:AW$1696)</f>
        <v>69</v>
      </c>
      <c r="I209" s="85">
        <f>SUMIF(GERAL!B$8:B$1696,A209,GERAL!AW$8:AW$1696)</f>
        <v>80</v>
      </c>
      <c r="J209" s="75">
        <f>SUMIF(GERAL!B$8:B$1696,A209,GERAL!AX$8:AX$1696)</f>
        <v>352</v>
      </c>
      <c r="K209" s="75">
        <f>COUNTIFS(GERAL!B$8:B$1696,A209,GERAL!AY$8:AY$1696,"&gt;0",GERAL!C$8:C$1696,"ESCOLA")</f>
        <v>1</v>
      </c>
      <c r="L209" s="75">
        <f>COUNTIFS(GERAL!B$8:B$1696,A209,GERAL!AY$8:AY$1696,"&gt;0",GERAL!C$8:C$1696,"ANEXO")</f>
        <v>0</v>
      </c>
      <c r="M209" s="100">
        <f>SUMIF(GERAL!B$8:B$1696,A209,GERAL!V$8:V$1696)+SUMIF(GERAL!B$8:B$1696,A209,GERAL!W$8:W$1696)</f>
        <v>0</v>
      </c>
      <c r="N209" s="100">
        <f>SUMIF(GERAL!B$8:B$1696,A209,GERAL!AA$8:AA$1696)+SUMIF(GERAL!B$8:B$1696,A209,GERAL!AB$8:AB$1696)</f>
        <v>0</v>
      </c>
      <c r="O209" s="100">
        <f>SUMIF(GERAL!B$8:B$1696,A209,GERAL!AF$8:AF$1696)+SUMIF(GERAL!B$8:B$1696,A209,GERAL!AG$8:AG$1696)</f>
        <v>0</v>
      </c>
      <c r="P209" s="100">
        <f>SUMIF(GERAL!B$8:B$1696,A209,GERAL!AK$8:AK$1696)+SUMIF(GERAL!B$8:B$1696,A209,GERAL!AL$8:AL$1696)</f>
        <v>0</v>
      </c>
      <c r="Q209" s="100">
        <f>SUMIF(GERAL!B$8:B$1696,A209,GERAL!AO$8:AO$1696)+SUMIF(GERAL!B$8:B$1696,A209,GERAL!AP$8:AP$1696)</f>
        <v>0</v>
      </c>
      <c r="R209" s="100">
        <f>SUMIF(GERAL!B$8:B$1696,A209,GERAL!AS$8:AS$1696)+SUMIF(GERAL!B$8:B$1696,A209,GERAL!AT$8:AT$1696)</f>
        <v>0</v>
      </c>
      <c r="S209" s="75">
        <f t="shared" si="39"/>
        <v>0</v>
      </c>
      <c r="T209" s="116">
        <f>COUNTIFS(GERAL!B$8:B$1696,A209,GERAL!AZ$8:AZ$1696,"&gt;0",GERAL!C$8:C$1696,"ESCOLA")</f>
        <v>1</v>
      </c>
      <c r="U209" s="75">
        <f>COUNTIFS(GERAL!B$8:B$1696,A209,GERAL!AZ$8:AZ$1696,"&gt;0",GERAL!C$8:C$1696,"ANEXO")</f>
        <v>0</v>
      </c>
      <c r="V209" s="85">
        <f>SUMIF(GERAL!B$8:B$1696,A209,GERAL!AH$8:AH$1696)</f>
        <v>0</v>
      </c>
      <c r="W209" s="85">
        <f>SUMIF(GERAL!B$8:B$1696,A209,GERAL!AM$8:AM$1696)</f>
        <v>0</v>
      </c>
      <c r="X209" s="85">
        <f>SUMIF(GERAL!B$8:B$1696,A209,GERAL!AQ$8:AQ$1696)</f>
        <v>69</v>
      </c>
      <c r="Y209" s="85">
        <f>SUMIF(GERAL!B$8:B$1696,A209,GERAL!AU$8:AU$1696)</f>
        <v>16</v>
      </c>
      <c r="Z209" s="88">
        <f t="shared" si="40"/>
        <v>85</v>
      </c>
      <c r="AA209" s="116">
        <f>COUNTIFS(GERAL!B$8:B$1696,A209,GERAL!BK$8:BK$1696,"&gt;0",GERAL!C$8:C$1696,"ESCOLA")</f>
        <v>1</v>
      </c>
      <c r="AB209" s="88">
        <f>COUNTIFS(GERAL!B$8:B$1696,A209,GERAL!BK$8:BK$1696,"&gt;0",GERAL!C$8:C$1696,"ANEXO")</f>
        <v>0</v>
      </c>
      <c r="AC209" s="121">
        <f>SUMIF(GERAL!B$8:B$1696,A209,GERAL!AD$8:AD$1696)</f>
        <v>0</v>
      </c>
      <c r="AD209" s="121">
        <f>SUMIF(GERAL!B$8:B$1696,A209,GERAL!AI$8:AI$1696)</f>
        <v>203</v>
      </c>
      <c r="AE209" s="121">
        <f>SUMIF(GERAL!B$8:B$1696,A209,GERAL!AV$8:AV$1696)</f>
        <v>64</v>
      </c>
      <c r="AF209" s="492">
        <f t="shared" si="41"/>
        <v>267</v>
      </c>
      <c r="AG209" s="178">
        <f>COUNTIFS(GERAL!B$8:B$1696,A209,GERAL!AW$8:AW$1696,"&gt;0",GERAL!C$8:C$1696,"ESCOLA")</f>
        <v>1</v>
      </c>
      <c r="AH209" s="118">
        <f>COUNTIFS(GERAL!B$8:B$1696,A209,GERAL!AW$8:AW$1696,"&gt;0",GERAL!C$8:C$1696,"ANEXO")</f>
        <v>0</v>
      </c>
      <c r="AI209" s="177">
        <f>SUMIF(GERAL!B$8:B$1696,A209,GERAL!AS$8:AS$1696)+SUMIF(GERAL!B$8:B$1696,A209,GERAL!AT$8:AT$1696)</f>
        <v>0</v>
      </c>
      <c r="AJ209" s="177">
        <f>SUMIF(GERAL!B$8:B$1696,A209,GERAL!AU$8:AU$1696)</f>
        <v>16</v>
      </c>
      <c r="AK209" s="177">
        <f>SUMIF(GERAL!B$8:B$1696,A209,GERAL!AV$8:AV$1696)</f>
        <v>64</v>
      </c>
      <c r="AL209" s="118">
        <f t="shared" si="42"/>
        <v>80</v>
      </c>
      <c r="AM209" s="493" t="s">
        <v>451</v>
      </c>
    </row>
    <row r="210">
      <c r="A210" s="484" t="s">
        <v>9464</v>
      </c>
      <c r="B210" s="75">
        <f>COUNTIFS(GERAL!B$8:B$1696,A210,GERAL!C$8:C$1696,"ESCOLA")</f>
        <v>1</v>
      </c>
      <c r="C210" s="75">
        <f>COUNTIFS(GERAL!B$8:B$1696,A210,GERAL!C$8:C$1696,"ANEXO")</f>
        <v>1</v>
      </c>
      <c r="D210" s="85">
        <f>SUMIF(GERAL!B$8:B$1696,A210,GERAL!Z$8:Z$1696)</f>
        <v>0</v>
      </c>
      <c r="E210" s="85">
        <f>SUMIF(GERAL!B$8:B$1696,A210,GERAL!AE$8:AE$1696)</f>
        <v>0</v>
      </c>
      <c r="F210" s="85">
        <f>SUMIF(GERAL!B$8:B$1696,A210,GERAL!AJ$8:AJ$1696)</f>
        <v>197</v>
      </c>
      <c r="G210" s="85">
        <f>SUMIF(GERAL!B$8:B$1696,A210,GERAL!AN$8:AN$1696)</f>
        <v>0</v>
      </c>
      <c r="H210" s="85">
        <f>SUMIF(GERAL!B$8:B$1696,A210,GERAL!AR$8:AW$1696)</f>
        <v>50</v>
      </c>
      <c r="I210" s="85">
        <f>SUMIF(GERAL!B$8:B$1696,A210,GERAL!AW$8:AW$1696)</f>
        <v>6</v>
      </c>
      <c r="J210" s="75">
        <f>SUMIF(GERAL!B$8:B$1696,A210,GERAL!AX$8:AX$1696)</f>
        <v>253</v>
      </c>
      <c r="K210" s="75">
        <f>COUNTIFS(GERAL!B$8:B$1696,A210,GERAL!AY$8:AY$1696,"&gt;0",GERAL!C$8:C$1696,"ESCOLA")</f>
        <v>1</v>
      </c>
      <c r="L210" s="75">
        <f>COUNTIFS(GERAL!B$8:B$1696,A210,GERAL!AY$8:AY$1696,"&gt;0",GERAL!C$8:C$1696,"ANEXO")</f>
        <v>1</v>
      </c>
      <c r="M210" s="100">
        <f>SUMIF(GERAL!B$8:B$1696,A210,GERAL!V$8:V$1696)+SUMIF(GERAL!B$8:B$1696,A210,GERAL!W$8:W$1696)</f>
        <v>0</v>
      </c>
      <c r="N210" s="100">
        <f>SUMIF(GERAL!B$8:B$1696,A210,GERAL!AA$8:AA$1696)+SUMIF(GERAL!B$8:B$1696,A210,GERAL!AB$8:AB$1696)</f>
        <v>0</v>
      </c>
      <c r="O210" s="100">
        <f>SUMIF(GERAL!B$8:B$1696,A210,GERAL!AF$8:AF$1696)+SUMIF(GERAL!B$8:B$1696,A210,GERAL!AG$8:AG$1696)</f>
        <v>7</v>
      </c>
      <c r="P210" s="100">
        <f>SUMIF(GERAL!B$8:B$1696,A210,GERAL!AK$8:AK$1696)+SUMIF(GERAL!B$8:B$1696,A210,GERAL!AL$8:AL$1696)</f>
        <v>0</v>
      </c>
      <c r="Q210" s="100">
        <f>SUMIF(GERAL!B$8:B$1696,A210,GERAL!AO$8:AO$1696)+SUMIF(GERAL!B$8:B$1696,A210,GERAL!AP$8:AP$1696)</f>
        <v>0</v>
      </c>
      <c r="R210" s="100">
        <f>SUMIF(GERAL!B$8:B$1696,A210,GERAL!AS$8:AS$1696)+SUMIF(GERAL!B$8:B$1696,A210,GERAL!AT$8:AT$1696)</f>
        <v>0</v>
      </c>
      <c r="S210" s="75">
        <f t="shared" si="39"/>
        <v>7</v>
      </c>
      <c r="T210" s="116">
        <f>COUNTIFS(GERAL!B$8:B$1696,A210,GERAL!AZ$8:AZ$1696,"&gt;0",GERAL!C$8:C$1696,"ESCOLA")</f>
        <v>1</v>
      </c>
      <c r="U210" s="75">
        <f>COUNTIFS(GERAL!B$8:B$1696,A210,GERAL!AZ$8:AZ$1696,"&gt;0",GERAL!C$8:C$1696,"ANEXO")</f>
        <v>1</v>
      </c>
      <c r="V210" s="85">
        <f>SUMIF(GERAL!B$8:B$1696,A210,GERAL!AH$8:AH$1696)</f>
        <v>9</v>
      </c>
      <c r="W210" s="85">
        <f>SUMIF(GERAL!B$8:B$1696,A210,GERAL!AM$8:AM$1696)</f>
        <v>0</v>
      </c>
      <c r="X210" s="85">
        <f>SUMIF(GERAL!B$8:B$1696,A210,GERAL!AQ$8:AQ$1696)</f>
        <v>50</v>
      </c>
      <c r="Y210" s="85">
        <f>SUMIF(GERAL!B$8:B$1696,A210,GERAL!AU$8:AU$1696)</f>
        <v>6</v>
      </c>
      <c r="Z210" s="88">
        <f t="shared" si="40"/>
        <v>65</v>
      </c>
      <c r="AA210" s="116">
        <f>COUNTIFS(GERAL!B$8:B$1696,A210,GERAL!BK$8:BK$1696,"&gt;0",GERAL!C$8:C$1696,"ESCOLA")</f>
        <v>1</v>
      </c>
      <c r="AB210" s="88">
        <f>COUNTIFS(GERAL!B$8:B$1696,A210,GERAL!BK$8:BK$1696,"&gt;0",GERAL!C$8:C$1696,"ANEXO")</f>
        <v>0</v>
      </c>
      <c r="AC210" s="121">
        <f>SUMIF(GERAL!B$8:B$1696,A210,GERAL!AD$8:AD$1696)</f>
        <v>0</v>
      </c>
      <c r="AD210" s="121">
        <f>SUMIF(GERAL!B$8:B$1696,A210,GERAL!AI$8:AI$1696)</f>
        <v>181</v>
      </c>
      <c r="AE210" s="121">
        <f>SUMIF(GERAL!B$8:B$1696,A210,GERAL!AV$8:AV$1696)</f>
        <v>0</v>
      </c>
      <c r="AF210" s="492">
        <f t="shared" si="41"/>
        <v>181</v>
      </c>
      <c r="AG210" s="178">
        <f>COUNTIFS(GERAL!B$8:B$1696,A210,GERAL!AW$8:AW$1696,"&gt;0",GERAL!C$8:C$1696,"ESCOLA")</f>
        <v>1</v>
      </c>
      <c r="AH210" s="118">
        <f>COUNTIFS(GERAL!B$8:B$1696,A210,GERAL!AW$8:AW$1696,"&gt;0",GERAL!C$8:C$1696,"ANEXO")</f>
        <v>0</v>
      </c>
      <c r="AI210" s="177">
        <f>SUMIF(GERAL!B$8:B$1696,A210,GERAL!AS$8:AS$1696)+SUMIF(GERAL!B$8:B$1696,A210,GERAL!AT$8:AT$1696)</f>
        <v>0</v>
      </c>
      <c r="AJ210" s="177">
        <f>SUMIF(GERAL!B$8:B$1696,A210,GERAL!AU$8:AU$1696)</f>
        <v>6</v>
      </c>
      <c r="AK210" s="177">
        <f>SUMIF(GERAL!B$8:B$1696,A210,GERAL!AV$8:AV$1696)</f>
        <v>0</v>
      </c>
      <c r="AL210" s="118">
        <f t="shared" si="42"/>
        <v>6</v>
      </c>
      <c r="AM210" s="493" t="s">
        <v>1842</v>
      </c>
    </row>
    <row r="211">
      <c r="A211" s="494" t="s">
        <v>2500</v>
      </c>
      <c r="B211" s="75">
        <f>COUNTIFS(GERAL!B$8:B$1696,A211,GERAL!C$8:C$1696,"ESCOLA")</f>
        <v>3</v>
      </c>
      <c r="C211" s="75">
        <f>COUNTIFS(GERAL!B$8:B$1696,A211,GERAL!C$8:C$1696,"ANEXO")</f>
        <v>0</v>
      </c>
      <c r="D211" s="85">
        <f>SUMIF(GERAL!B$8:B$1696,A211,GERAL!Z$8:Z$1696)</f>
        <v>0</v>
      </c>
      <c r="E211" s="85">
        <f>SUMIF(GERAL!B$8:B$1696,A211,GERAL!AE$8:AE$1696)</f>
        <v>0</v>
      </c>
      <c r="F211" s="85">
        <f>SUMIF(GERAL!B$8:B$1696,A211,GERAL!AJ$8:AJ$1696)</f>
        <v>829</v>
      </c>
      <c r="G211" s="85">
        <f>SUMIF(GERAL!B$8:B$1696,A211,GERAL!AN$8:AN$1696)</f>
        <v>0</v>
      </c>
      <c r="H211" s="85">
        <f>SUMIF(GERAL!B$8:B$1696,A211,GERAL!AR$8:AW$1696)</f>
        <v>301</v>
      </c>
      <c r="I211" s="85">
        <f>SUMIF(GERAL!B$8:B$1696,A211,GERAL!AW$8:AW$1696)</f>
        <v>805</v>
      </c>
      <c r="J211" s="75">
        <f>SUMIF(GERAL!B$8:B$1696,A211,GERAL!AX$8:AX$1696)</f>
        <v>1935</v>
      </c>
      <c r="K211" s="75">
        <f>COUNTIFS(GERAL!B$8:B$1696,A211,GERAL!AY$8:AY$1696,"&gt;0",GERAL!C$8:C$1696,"ESCOLA")</f>
        <v>3</v>
      </c>
      <c r="L211" s="75">
        <f>COUNTIFS(GERAL!B$8:B$1696,A211,GERAL!AY$8:AY$1696,"&gt;0",GERAL!C$8:C$1696,"ANEXO")</f>
        <v>0</v>
      </c>
      <c r="M211" s="100">
        <f>SUMIF(GERAL!B$8:B$1696,A211,GERAL!V$8:V$1696)+SUMIF(GERAL!B$8:B$1696,A211,GERAL!W$8:W$1696)</f>
        <v>0</v>
      </c>
      <c r="N211" s="100">
        <f>SUMIF(GERAL!B$8:B$1696,A211,GERAL!AA$8:AA$1696)+SUMIF(GERAL!B$8:B$1696,A211,GERAL!AB$8:AB$1696)</f>
        <v>0</v>
      </c>
      <c r="O211" s="100">
        <f>SUMIF(GERAL!B$8:B$1696,A211,GERAL!AF$8:AF$1696)+SUMIF(GERAL!B$8:B$1696,A211,GERAL!AG$8:AG$1696)</f>
        <v>777</v>
      </c>
      <c r="P211" s="100">
        <f>SUMIF(GERAL!B$8:B$1696,A211,GERAL!AK$8:AK$1696)+SUMIF(GERAL!B$8:B$1696,A211,GERAL!AL$8:AL$1696)</f>
        <v>0</v>
      </c>
      <c r="Q211" s="100">
        <f>SUMIF(GERAL!B$8:B$1696,A211,GERAL!AO$8:AO$1696)+SUMIF(GERAL!B$8:B$1696,A211,GERAL!AP$8:AP$1696)</f>
        <v>0</v>
      </c>
      <c r="R211" s="100">
        <f>SUMIF(GERAL!B$8:B$1696,A211,GERAL!AS$8:AS$1696)+SUMIF(GERAL!B$8:B$1696,A211,GERAL!AT$8:AT$1696)</f>
        <v>488</v>
      </c>
      <c r="S211" s="75">
        <f t="shared" si="39"/>
        <v>1265</v>
      </c>
      <c r="T211" s="116">
        <f>COUNTIFS(GERAL!B$8:B$1696,A211,GERAL!AZ$8:AZ$1696,"&gt;0",GERAL!C$8:C$1696,"ESCOLA")</f>
        <v>3</v>
      </c>
      <c r="U211" s="75">
        <f>COUNTIFS(GERAL!B$8:B$1696,A211,GERAL!AZ$8:AZ$1696,"&gt;0",GERAL!C$8:C$1696,"ANEXO")</f>
        <v>0</v>
      </c>
      <c r="V211" s="85">
        <f>SUMIF(GERAL!B$8:B$1696,A211,GERAL!AH$8:AH$1696)</f>
        <v>0</v>
      </c>
      <c r="W211" s="85">
        <f>SUMIF(GERAL!B$8:B$1696,A211,GERAL!AM$8:AM$1696)</f>
        <v>0</v>
      </c>
      <c r="X211" s="85">
        <f>SUMIF(GERAL!B$8:B$1696,A211,GERAL!AQ$8:AQ$1696)</f>
        <v>301</v>
      </c>
      <c r="Y211" s="85">
        <f>SUMIF(GERAL!B$8:B$1696,A211,GERAL!AU$8:AU$1696)</f>
        <v>216</v>
      </c>
      <c r="Z211" s="88">
        <f t="shared" si="40"/>
        <v>517</v>
      </c>
      <c r="AA211" s="116">
        <f>COUNTIFS(GERAL!B$8:B$1696,A211,GERAL!BK$8:BK$1696,"&gt;0",GERAL!C$8:C$1696,"ESCOLA")</f>
        <v>1</v>
      </c>
      <c r="AB211" s="88">
        <f>COUNTIFS(GERAL!B$8:B$1696,A211,GERAL!BK$8:BK$1696,"&gt;0",GERAL!C$8:C$1696,"ANEXO")</f>
        <v>0</v>
      </c>
      <c r="AC211" s="121">
        <f>SUMIF(GERAL!B$8:B$1696,A211,GERAL!AD$8:AD$1696)</f>
        <v>0</v>
      </c>
      <c r="AD211" s="121">
        <f>SUMIF(GERAL!B$8:B$1696,A211,GERAL!AI$8:AI$1696)</f>
        <v>52</v>
      </c>
      <c r="AE211" s="121">
        <f>SUMIF(GERAL!B$8:B$1696,A211,GERAL!AV$8:AV$1696)</f>
        <v>101</v>
      </c>
      <c r="AF211" s="492">
        <f t="shared" si="41"/>
        <v>153</v>
      </c>
      <c r="AG211" s="178">
        <f>COUNTIFS(GERAL!B$8:B$1696,A211,GERAL!AW$8:AW$1696,"&gt;0",GERAL!C$8:C$1696,"ESCOLA")</f>
        <v>2</v>
      </c>
      <c r="AH211" s="118">
        <f>COUNTIFS(GERAL!B$8:B$1696,A211,GERAL!AW$8:AW$1696,"&gt;0",GERAL!C$8:C$1696,"ANEXO")</f>
        <v>0</v>
      </c>
      <c r="AI211" s="177">
        <f>SUMIF(GERAL!B$8:B$1696,A211,GERAL!AS$8:AS$1696)+SUMIF(GERAL!B$8:B$1696,A211,GERAL!AT$8:AT$1696)</f>
        <v>488</v>
      </c>
      <c r="AJ211" s="177">
        <f>SUMIF(GERAL!B$8:B$1696,A211,GERAL!AU$8:AU$1696)</f>
        <v>216</v>
      </c>
      <c r="AK211" s="177">
        <f>SUMIF(GERAL!B$8:B$1696,A211,GERAL!AV$8:AV$1696)</f>
        <v>101</v>
      </c>
      <c r="AL211" s="118">
        <f t="shared" si="42"/>
        <v>805</v>
      </c>
      <c r="AM211" s="493" t="s">
        <v>673</v>
      </c>
    </row>
    <row r="212">
      <c r="A212" s="484" t="s">
        <v>5636</v>
      </c>
      <c r="B212" s="75">
        <f>COUNTIFS(GERAL!B$8:B$1696,A212,GERAL!C$8:C$1696,"ESCOLA")</f>
        <v>2</v>
      </c>
      <c r="C212" s="75">
        <f>COUNTIFS(GERAL!B$8:B$1696,A212,GERAL!C$8:C$1696,"ANEXO")</f>
        <v>0</v>
      </c>
      <c r="D212" s="85">
        <f>SUMIF(GERAL!B$8:B$1696,A212,GERAL!Z$8:Z$1696)</f>
        <v>0</v>
      </c>
      <c r="E212" s="85">
        <f>SUMIF(GERAL!B$8:B$1696,A212,GERAL!AE$8:AE$1696)</f>
        <v>0</v>
      </c>
      <c r="F212" s="85">
        <f>SUMIF(GERAL!B$8:B$1696,A212,GERAL!AJ$8:AJ$1696)</f>
        <v>965</v>
      </c>
      <c r="G212" s="85">
        <f>SUMIF(GERAL!B$8:B$1696,A212,GERAL!AN$8:AN$1696)</f>
        <v>0</v>
      </c>
      <c r="H212" s="85">
        <f>SUMIF(GERAL!B$8:B$1696,A212,GERAL!AR$8:AW$1696)</f>
        <v>341</v>
      </c>
      <c r="I212" s="85">
        <f>SUMIF(GERAL!B$8:B$1696,A212,GERAL!AW$8:AW$1696)</f>
        <v>37</v>
      </c>
      <c r="J212" s="75">
        <f>SUMIF(GERAL!B$8:B$1696,A212,GERAL!AX$8:AX$1696)</f>
        <v>1343</v>
      </c>
      <c r="K212" s="75">
        <f>COUNTIFS(GERAL!B$8:B$1696,A212,GERAL!AY$8:AY$1696,"&gt;0",GERAL!C$8:C$1696,"ESCOLA")</f>
        <v>2</v>
      </c>
      <c r="L212" s="75">
        <f>COUNTIFS(GERAL!B$8:B$1696,A212,GERAL!AY$8:AY$1696,"&gt;0",GERAL!C$8:C$1696,"ANEXO")</f>
        <v>0</v>
      </c>
      <c r="M212" s="100">
        <f>SUMIF(GERAL!B$8:B$1696,A212,GERAL!V$8:V$1696)+SUMIF(GERAL!B$8:B$1696,A212,GERAL!W$8:W$1696)</f>
        <v>0</v>
      </c>
      <c r="N212" s="100">
        <f>SUMIF(GERAL!B$8:B$1696,A212,GERAL!AA$8:AA$1696)+SUMIF(GERAL!B$8:B$1696,A212,GERAL!AB$8:AB$1696)</f>
        <v>0</v>
      </c>
      <c r="O212" s="100">
        <f>SUMIF(GERAL!B$8:B$1696,A212,GERAL!AF$8:AF$1696)+SUMIF(GERAL!B$8:B$1696,A212,GERAL!AG$8:AG$1696)</f>
        <v>965</v>
      </c>
      <c r="P212" s="100">
        <f>SUMIF(GERAL!B$8:B$1696,A212,GERAL!AK$8:AK$1696)+SUMIF(GERAL!B$8:B$1696,A212,GERAL!AL$8:AL$1696)</f>
        <v>0</v>
      </c>
      <c r="Q212" s="100">
        <f>SUMIF(GERAL!B$8:B$1696,A212,GERAL!AO$8:AO$1696)+SUMIF(GERAL!B$8:B$1696,A212,GERAL!AP$8:AP$1696)</f>
        <v>0</v>
      </c>
      <c r="R212" s="100">
        <f>SUMIF(GERAL!B$8:B$1696,A212,GERAL!AS$8:AS$1696)+SUMIF(GERAL!B$8:B$1696,A212,GERAL!AT$8:AT$1696)</f>
        <v>0</v>
      </c>
      <c r="S212" s="75">
        <f t="shared" si="39"/>
        <v>965</v>
      </c>
      <c r="T212" s="116">
        <f>COUNTIFS(GERAL!B$8:B$1696,A212,GERAL!AZ$8:AZ$1696,"&gt;0",GERAL!C$8:C$1696,"ESCOLA")</f>
        <v>2</v>
      </c>
      <c r="U212" s="75">
        <f>COUNTIFS(GERAL!B$8:B$1696,A212,GERAL!AZ$8:AZ$1696,"&gt;0",GERAL!C$8:C$1696,"ANEXO")</f>
        <v>0</v>
      </c>
      <c r="V212" s="85">
        <f>SUMIF(GERAL!B$8:B$1696,A212,GERAL!AH$8:AH$1696)</f>
        <v>0</v>
      </c>
      <c r="W212" s="85">
        <f>SUMIF(GERAL!B$8:B$1696,A212,GERAL!AM$8:AM$1696)</f>
        <v>0</v>
      </c>
      <c r="X212" s="85">
        <f>SUMIF(GERAL!B$8:B$1696,A212,GERAL!AQ$8:AQ$1696)</f>
        <v>341</v>
      </c>
      <c r="Y212" s="85">
        <f>SUMIF(GERAL!B$8:B$1696,A212,GERAL!AU$8:AU$1696)</f>
        <v>37</v>
      </c>
      <c r="Z212" s="88">
        <f t="shared" si="40"/>
        <v>378</v>
      </c>
      <c r="AA212" s="116">
        <f>COUNTIFS(GERAL!B$8:B$1696,A212,GERAL!BK$8:BK$1696,"&gt;0",GERAL!C$8:C$1696,"ESCOLA")</f>
        <v>0</v>
      </c>
      <c r="AB212" s="88">
        <f>COUNTIFS(GERAL!B$8:B$1696,A212,GERAL!BK$8:BK$1696,"&gt;0",GERAL!C$8:C$1696,"ANEXO")</f>
        <v>0</v>
      </c>
      <c r="AC212" s="121">
        <f>SUMIF(GERAL!B$8:B$1696,A212,GERAL!AD$8:AD$1696)</f>
        <v>0</v>
      </c>
      <c r="AD212" s="121">
        <f>SUMIF(GERAL!B$8:B$1696,A212,GERAL!AI$8:AI$1696)</f>
        <v>0</v>
      </c>
      <c r="AE212" s="121">
        <f>SUMIF(GERAL!B$8:B$1696,A212,GERAL!AV$8:AV$1696)</f>
        <v>0</v>
      </c>
      <c r="AF212" s="492">
        <f t="shared" si="41"/>
        <v>0</v>
      </c>
      <c r="AG212" s="178">
        <f>COUNTIFS(GERAL!B$8:B$1696,A212,GERAL!AW$8:AW$1696,"&gt;0",GERAL!C$8:C$1696,"ESCOLA")</f>
        <v>1</v>
      </c>
      <c r="AH212" s="118">
        <f>COUNTIFS(GERAL!B$8:B$1696,A212,GERAL!AW$8:AW$1696,"&gt;0",GERAL!C$8:C$1696,"ANEXO")</f>
        <v>0</v>
      </c>
      <c r="AI212" s="177">
        <f>SUMIF(GERAL!B$8:B$1696,A212,GERAL!AS$8:AS$1696)+SUMIF(GERAL!B$8:B$1696,A212,GERAL!AT$8:AT$1696)</f>
        <v>0</v>
      </c>
      <c r="AJ212" s="177">
        <f>SUMIF(GERAL!B$8:B$1696,A212,GERAL!AU$8:AU$1696)</f>
        <v>37</v>
      </c>
      <c r="AK212" s="177">
        <f>SUMIF(GERAL!B$8:B$1696,A212,GERAL!AV$8:AV$1696)</f>
        <v>0</v>
      </c>
      <c r="AL212" s="118">
        <f t="shared" si="42"/>
        <v>37</v>
      </c>
      <c r="AM212" s="493" t="s">
        <v>1281</v>
      </c>
    </row>
    <row r="213">
      <c r="A213" s="494" t="s">
        <v>1603</v>
      </c>
      <c r="B213" s="75">
        <f>COUNTIFS(GERAL!B$8:B$1696,A213,GERAL!C$8:C$1696,"ESCOLA")</f>
        <v>1</v>
      </c>
      <c r="C213" s="75">
        <f>COUNTIFS(GERAL!B$8:B$1696,A213,GERAL!C$8:C$1696,"ANEXO")</f>
        <v>0</v>
      </c>
      <c r="D213" s="85">
        <f>SUMIF(GERAL!B$8:B$1696,A213,GERAL!Z$8:Z$1696)</f>
        <v>0</v>
      </c>
      <c r="E213" s="85">
        <f>SUMIF(GERAL!B$8:B$1696,A213,GERAL!AE$8:AE$1696)</f>
        <v>0</v>
      </c>
      <c r="F213" s="85">
        <f>SUMIF(GERAL!B$8:B$1696,A213,GERAL!AJ$8:AJ$1696)</f>
        <v>155</v>
      </c>
      <c r="G213" s="85">
        <f>SUMIF(GERAL!B$8:B$1696,A213,GERAL!AN$8:AN$1696)</f>
        <v>0</v>
      </c>
      <c r="H213" s="85">
        <f>SUMIF(GERAL!B$8:B$1696,A213,GERAL!AR$8:AW$1696)</f>
        <v>14</v>
      </c>
      <c r="I213" s="85">
        <f>SUMIF(GERAL!B$8:B$1696,A213,GERAL!AW$8:AW$1696)</f>
        <v>19</v>
      </c>
      <c r="J213" s="75">
        <f>SUMIF(GERAL!B$8:B$1696,A213,GERAL!AX$8:AX$1696)</f>
        <v>188</v>
      </c>
      <c r="K213" s="75">
        <f>COUNTIFS(GERAL!B$8:B$1696,A213,GERAL!AY$8:AY$1696,"&gt;0",GERAL!C$8:C$1696,"ESCOLA")</f>
        <v>1</v>
      </c>
      <c r="L213" s="75">
        <f>COUNTIFS(GERAL!B$8:B$1696,A213,GERAL!AY$8:AY$1696,"&gt;0",GERAL!C$8:C$1696,"ANEXO")</f>
        <v>0</v>
      </c>
      <c r="M213" s="100">
        <f>SUMIF(GERAL!B$8:B$1696,A213,GERAL!V$8:V$1696)+SUMIF(GERAL!B$8:B$1696,A213,GERAL!W$8:W$1696)</f>
        <v>0</v>
      </c>
      <c r="N213" s="100">
        <f>SUMIF(GERAL!B$8:B$1696,A213,GERAL!AA$8:AA$1696)+SUMIF(GERAL!B$8:B$1696,A213,GERAL!AB$8:AB$1696)</f>
        <v>0</v>
      </c>
      <c r="O213" s="100">
        <f>SUMIF(GERAL!B$8:B$1696,A213,GERAL!AF$8:AF$1696)+SUMIF(GERAL!B$8:B$1696,A213,GERAL!AG$8:AG$1696)</f>
        <v>103</v>
      </c>
      <c r="P213" s="100">
        <f>SUMIF(GERAL!B$8:B$1696,A213,GERAL!AK$8:AK$1696)+SUMIF(GERAL!B$8:B$1696,A213,GERAL!AL$8:AL$1696)</f>
        <v>0</v>
      </c>
      <c r="Q213" s="100">
        <f>SUMIF(GERAL!B$8:B$1696,A213,GERAL!AO$8:AO$1696)+SUMIF(GERAL!B$8:B$1696,A213,GERAL!AP$8:AP$1696)</f>
        <v>0</v>
      </c>
      <c r="R213" s="100">
        <f>SUMIF(GERAL!B$8:B$1696,A213,GERAL!AS$8:AS$1696)+SUMIF(GERAL!B$8:B$1696,A213,GERAL!AT$8:AT$1696)</f>
        <v>0</v>
      </c>
      <c r="S213" s="75">
        <f t="shared" si="39"/>
        <v>103</v>
      </c>
      <c r="T213" s="116">
        <f>COUNTIFS(GERAL!B$8:B$1696,A213,GERAL!AZ$8:AZ$1696,"&gt;0",GERAL!C$8:C$1696,"ESCOLA")</f>
        <v>1</v>
      </c>
      <c r="U213" s="75">
        <f>COUNTIFS(GERAL!B$8:B$1696,A213,GERAL!AZ$8:AZ$1696,"&gt;0",GERAL!C$8:C$1696,"ANEXO")</f>
        <v>0</v>
      </c>
      <c r="V213" s="85">
        <f>SUMIF(GERAL!B$8:B$1696,A213,GERAL!AH$8:AH$1696)</f>
        <v>0</v>
      </c>
      <c r="W213" s="85">
        <f>SUMIF(GERAL!B$8:B$1696,A213,GERAL!AM$8:AM$1696)</f>
        <v>0</v>
      </c>
      <c r="X213" s="85">
        <f>SUMIF(GERAL!B$8:B$1696,A213,GERAL!AQ$8:AQ$1696)</f>
        <v>14</v>
      </c>
      <c r="Y213" s="85">
        <f>SUMIF(GERAL!B$8:B$1696,A213,GERAL!AU$8:AU$1696)</f>
        <v>19</v>
      </c>
      <c r="Z213" s="88">
        <f t="shared" si="40"/>
        <v>33</v>
      </c>
      <c r="AA213" s="116">
        <f>COUNTIFS(GERAL!B$8:B$1696,A213,GERAL!BK$8:BK$1696,"&gt;0",GERAL!C$8:C$1696,"ESCOLA")</f>
        <v>1</v>
      </c>
      <c r="AB213" s="88">
        <f>COUNTIFS(GERAL!B$8:B$1696,A213,GERAL!BK$8:BK$1696,"&gt;0",GERAL!C$8:C$1696,"ANEXO")</f>
        <v>0</v>
      </c>
      <c r="AC213" s="121">
        <f>SUMIF(GERAL!B$8:B$1696,A213,GERAL!AD$8:AD$1696)</f>
        <v>0</v>
      </c>
      <c r="AD213" s="121">
        <f>SUMIF(GERAL!B$8:B$1696,A213,GERAL!AI$8:AI$1696)</f>
        <v>52</v>
      </c>
      <c r="AE213" s="121">
        <f>SUMIF(GERAL!B$8:B$1696,A213,GERAL!AV$8:AV$1696)</f>
        <v>0</v>
      </c>
      <c r="AF213" s="492">
        <f t="shared" si="41"/>
        <v>52</v>
      </c>
      <c r="AG213" s="178">
        <f>COUNTIFS(GERAL!B$8:B$1696,A213,GERAL!AW$8:AW$1696,"&gt;0",GERAL!C$8:C$1696,"ESCOLA")</f>
        <v>1</v>
      </c>
      <c r="AH213" s="118">
        <f>COUNTIFS(GERAL!B$8:B$1696,A213,GERAL!AW$8:AW$1696,"&gt;0",GERAL!C$8:C$1696,"ANEXO")</f>
        <v>0</v>
      </c>
      <c r="AI213" s="177">
        <f>SUMIF(GERAL!B$8:B$1696,A213,GERAL!AS$8:AS$1696)+SUMIF(GERAL!B$8:B$1696,A213,GERAL!AT$8:AT$1696)</f>
        <v>0</v>
      </c>
      <c r="AJ213" s="177">
        <f>SUMIF(GERAL!B$8:B$1696,A213,GERAL!AU$8:AU$1696)</f>
        <v>19</v>
      </c>
      <c r="AK213" s="177">
        <f>SUMIF(GERAL!B$8:B$1696,A213,GERAL!AV$8:AV$1696)</f>
        <v>0</v>
      </c>
      <c r="AL213" s="118">
        <f t="shared" si="42"/>
        <v>19</v>
      </c>
      <c r="AM213" s="493" t="s">
        <v>451</v>
      </c>
    </row>
    <row r="214">
      <c r="A214" s="484" t="s">
        <v>2684</v>
      </c>
      <c r="B214" s="75">
        <f>COUNTIFS(GERAL!B$8:B$1696,A214,GERAL!C$8:C$1696,"ESCOLA")</f>
        <v>1</v>
      </c>
      <c r="C214" s="75">
        <f>COUNTIFS(GERAL!B$8:B$1696,A214,GERAL!C$8:C$1696,"ANEXO")</f>
        <v>0</v>
      </c>
      <c r="D214" s="85">
        <f>SUMIF(GERAL!B$8:B$1696,A214,GERAL!Z$8:Z$1696)</f>
        <v>0</v>
      </c>
      <c r="E214" s="85">
        <f>SUMIF(GERAL!B$8:B$1696,A214,GERAL!AE$8:AE$1696)</f>
        <v>0</v>
      </c>
      <c r="F214" s="85">
        <f>SUMIF(GERAL!B$8:B$1696,A214,GERAL!AJ$8:AJ$1696)</f>
        <v>175</v>
      </c>
      <c r="G214" s="85">
        <f>SUMIF(GERAL!B$8:B$1696,A214,GERAL!AN$8:AN$1696)</f>
        <v>0</v>
      </c>
      <c r="H214" s="85">
        <f>SUMIF(GERAL!B$8:B$1696,A214,GERAL!AR$8:AW$1696)</f>
        <v>65</v>
      </c>
      <c r="I214" s="85">
        <f>SUMIF(GERAL!B$8:B$1696,A214,GERAL!AW$8:AW$1696)</f>
        <v>90</v>
      </c>
      <c r="J214" s="75">
        <f>SUMIF(GERAL!B$8:B$1696,A214,GERAL!AX$8:AX$1696)</f>
        <v>330</v>
      </c>
      <c r="K214" s="75">
        <f>COUNTIFS(GERAL!B$8:B$1696,A214,GERAL!AY$8:AY$1696,"&gt;0",GERAL!C$8:C$1696,"ESCOLA")</f>
        <v>1</v>
      </c>
      <c r="L214" s="75">
        <f>COUNTIFS(GERAL!B$8:B$1696,A214,GERAL!AY$8:AY$1696,"&gt;0",GERAL!C$8:C$1696,"ANEXO")</f>
        <v>0</v>
      </c>
      <c r="M214" s="100">
        <f>SUMIF(GERAL!B$8:B$1696,A214,GERAL!V$8:V$1696)+SUMIF(GERAL!B$8:B$1696,A214,GERAL!W$8:W$1696)</f>
        <v>0</v>
      </c>
      <c r="N214" s="100">
        <f>SUMIF(GERAL!B$8:B$1696,A214,GERAL!AA$8:AA$1696)+SUMIF(GERAL!B$8:B$1696,A214,GERAL!AB$8:AB$1696)</f>
        <v>0</v>
      </c>
      <c r="O214" s="100">
        <f>SUMIF(GERAL!B$8:B$1696,A214,GERAL!AF$8:AF$1696)+SUMIF(GERAL!B$8:B$1696,A214,GERAL!AG$8:AG$1696)</f>
        <v>159</v>
      </c>
      <c r="P214" s="100">
        <f>SUMIF(GERAL!B$8:B$1696,A214,GERAL!AK$8:AK$1696)+SUMIF(GERAL!B$8:B$1696,A214,GERAL!AL$8:AL$1696)</f>
        <v>0</v>
      </c>
      <c r="Q214" s="100">
        <f>SUMIF(GERAL!B$8:B$1696,A214,GERAL!AO$8:AO$1696)+SUMIF(GERAL!B$8:B$1696,A214,GERAL!AP$8:AP$1696)</f>
        <v>0</v>
      </c>
      <c r="R214" s="100">
        <f>SUMIF(GERAL!B$8:B$1696,A214,GERAL!AS$8:AS$1696)+SUMIF(GERAL!B$8:B$1696,A214,GERAL!AT$8:AT$1696)</f>
        <v>19</v>
      </c>
      <c r="S214" s="75">
        <f t="shared" si="39"/>
        <v>178</v>
      </c>
      <c r="T214" s="116">
        <f>COUNTIFS(GERAL!B$8:B$1696,A214,GERAL!AZ$8:AZ$1696,"&gt;0",GERAL!C$8:C$1696,"ESCOLA")</f>
        <v>1</v>
      </c>
      <c r="U214" s="75">
        <f>COUNTIFS(GERAL!B$8:B$1696,A214,GERAL!AZ$8:AZ$1696,"&gt;0",GERAL!C$8:C$1696,"ANEXO")</f>
        <v>0</v>
      </c>
      <c r="V214" s="85">
        <f>SUMIF(GERAL!B$8:B$1696,A214,GERAL!AH$8:AH$1696)</f>
        <v>0</v>
      </c>
      <c r="W214" s="85">
        <f>SUMIF(GERAL!B$8:B$1696,A214,GERAL!AM$8:AM$1696)</f>
        <v>0</v>
      </c>
      <c r="X214" s="85">
        <f>SUMIF(GERAL!B$8:B$1696,A214,GERAL!AQ$8:AQ$1696)</f>
        <v>65</v>
      </c>
      <c r="Y214" s="85">
        <f>SUMIF(GERAL!B$8:B$1696,A214,GERAL!AU$8:AU$1696)</f>
        <v>50</v>
      </c>
      <c r="Z214" s="88">
        <f t="shared" si="40"/>
        <v>115</v>
      </c>
      <c r="AA214" s="116">
        <f>COUNTIFS(GERAL!B$8:B$1696,A214,GERAL!BK$8:BK$1696,"&gt;0",GERAL!C$8:C$1696,"ESCOLA")</f>
        <v>1</v>
      </c>
      <c r="AB214" s="88">
        <f>COUNTIFS(GERAL!B$8:B$1696,A214,GERAL!BK$8:BK$1696,"&gt;0",GERAL!C$8:C$1696,"ANEXO")</f>
        <v>0</v>
      </c>
      <c r="AC214" s="121">
        <f>SUMIF(GERAL!B$8:B$1696,A214,GERAL!AD$8:AD$1696)</f>
        <v>0</v>
      </c>
      <c r="AD214" s="121">
        <f>SUMIF(GERAL!B$8:B$1696,A214,GERAL!AI$8:AI$1696)</f>
        <v>16</v>
      </c>
      <c r="AE214" s="121">
        <f>SUMIF(GERAL!B$8:B$1696,A214,GERAL!AV$8:AV$1696)</f>
        <v>21</v>
      </c>
      <c r="AF214" s="492">
        <f t="shared" si="41"/>
        <v>37</v>
      </c>
      <c r="AG214" s="178">
        <f>COUNTIFS(GERAL!B$8:B$1696,A214,GERAL!AW$8:AW$1696,"&gt;0",GERAL!C$8:C$1696,"ESCOLA")</f>
        <v>1</v>
      </c>
      <c r="AH214" s="118">
        <f>COUNTIFS(GERAL!B$8:B$1696,A214,GERAL!AW$8:AW$1696,"&gt;0",GERAL!C$8:C$1696,"ANEXO")</f>
        <v>0</v>
      </c>
      <c r="AI214" s="177">
        <f>SUMIF(GERAL!B$8:B$1696,A214,GERAL!AS$8:AS$1696)+SUMIF(GERAL!B$8:B$1696,A214,GERAL!AT$8:AT$1696)</f>
        <v>19</v>
      </c>
      <c r="AJ214" s="177">
        <f>SUMIF(GERAL!B$8:B$1696,A214,GERAL!AU$8:AU$1696)</f>
        <v>50</v>
      </c>
      <c r="AK214" s="177">
        <f>SUMIF(GERAL!B$8:B$1696,A214,GERAL!AV$8:AV$1696)</f>
        <v>21</v>
      </c>
      <c r="AL214" s="118">
        <f t="shared" si="42"/>
        <v>90</v>
      </c>
      <c r="AM214" s="493" t="s">
        <v>723</v>
      </c>
    </row>
    <row r="215">
      <c r="A215" s="494" t="s">
        <v>2532</v>
      </c>
      <c r="B215" s="75">
        <f>COUNTIFS(GERAL!B$8:B$1696,A215,GERAL!C$8:C$1696,"ESCOLA")</f>
        <v>1</v>
      </c>
      <c r="C215" s="75">
        <f>COUNTIFS(GERAL!B$8:B$1696,A215,GERAL!C$8:C$1696,"ANEXO")</f>
        <v>1</v>
      </c>
      <c r="D215" s="85">
        <f>SUMIF(GERAL!B$8:B$1696,A215,GERAL!Z$8:Z$1696)</f>
        <v>0</v>
      </c>
      <c r="E215" s="85">
        <f>SUMIF(GERAL!B$8:B$1696,A215,GERAL!AE$8:AE$1696)</f>
        <v>0</v>
      </c>
      <c r="F215" s="85">
        <f>SUMIF(GERAL!B$8:B$1696,A215,GERAL!AJ$8:AJ$1696)</f>
        <v>365</v>
      </c>
      <c r="G215" s="85">
        <f>SUMIF(GERAL!B$8:B$1696,A215,GERAL!AN$8:AN$1696)</f>
        <v>0</v>
      </c>
      <c r="H215" s="85">
        <f>SUMIF(GERAL!B$8:B$1696,A215,GERAL!AR$8:AW$1696)</f>
        <v>173</v>
      </c>
      <c r="I215" s="85">
        <f>SUMIF(GERAL!B$8:B$1696,A215,GERAL!AW$8:AW$1696)</f>
        <v>98</v>
      </c>
      <c r="J215" s="75">
        <f>SUMIF(GERAL!B$8:B$1696,A215,GERAL!AX$8:AX$1696)</f>
        <v>636</v>
      </c>
      <c r="K215" s="75">
        <f>COUNTIFS(GERAL!B$8:B$1696,A215,GERAL!AY$8:AY$1696,"&gt;0",GERAL!C$8:C$1696,"ESCOLA")</f>
        <v>1</v>
      </c>
      <c r="L215" s="75">
        <f>COUNTIFS(GERAL!B$8:B$1696,A215,GERAL!AY$8:AY$1696,"&gt;0",GERAL!C$8:C$1696,"ANEXO")</f>
        <v>1</v>
      </c>
      <c r="M215" s="100">
        <f>SUMIF(GERAL!B$8:B$1696,A215,GERAL!V$8:V$1696)+SUMIF(GERAL!B$8:B$1696,A215,GERAL!W$8:W$1696)</f>
        <v>0</v>
      </c>
      <c r="N215" s="100">
        <f>SUMIF(GERAL!B$8:B$1696,A215,GERAL!AA$8:AA$1696)+SUMIF(GERAL!B$8:B$1696,A215,GERAL!AB$8:AB$1696)</f>
        <v>0</v>
      </c>
      <c r="O215" s="100">
        <f>SUMIF(GERAL!B$8:B$1696,A215,GERAL!AF$8:AF$1696)+SUMIF(GERAL!B$8:B$1696,A215,GERAL!AG$8:AG$1696)</f>
        <v>238</v>
      </c>
      <c r="P215" s="100">
        <f>SUMIF(GERAL!B$8:B$1696,A215,GERAL!AK$8:AK$1696)+SUMIF(GERAL!B$8:B$1696,A215,GERAL!AL$8:AL$1696)</f>
        <v>0</v>
      </c>
      <c r="Q215" s="100">
        <f>SUMIF(GERAL!B$8:B$1696,A215,GERAL!AO$8:AO$1696)+SUMIF(GERAL!B$8:B$1696,A215,GERAL!AP$8:AP$1696)</f>
        <v>0</v>
      </c>
      <c r="R215" s="100">
        <f>SUMIF(GERAL!B$8:B$1696,A215,GERAL!AS$8:AS$1696)+SUMIF(GERAL!B$8:B$1696,A215,GERAL!AT$8:AT$1696)</f>
        <v>0</v>
      </c>
      <c r="S215" s="75">
        <f t="shared" si="39"/>
        <v>238</v>
      </c>
      <c r="T215" s="116">
        <f>COUNTIFS(GERAL!B$8:B$1696,A215,GERAL!AZ$8:AZ$1696,"&gt;0",GERAL!C$8:C$1696,"ESCOLA")</f>
        <v>1</v>
      </c>
      <c r="U215" s="75">
        <f>COUNTIFS(GERAL!B$8:B$1696,A215,GERAL!AZ$8:AZ$1696,"&gt;0",GERAL!C$8:C$1696,"ANEXO")</f>
        <v>1</v>
      </c>
      <c r="V215" s="85">
        <f>SUMIF(GERAL!B$8:B$1696,A215,GERAL!AH$8:AH$1696)</f>
        <v>16</v>
      </c>
      <c r="W215" s="85">
        <f>SUMIF(GERAL!B$8:B$1696,A215,GERAL!AM$8:AM$1696)</f>
        <v>0</v>
      </c>
      <c r="X215" s="85">
        <f>SUMIF(GERAL!B$8:B$1696,A215,GERAL!AQ$8:AQ$1696)</f>
        <v>173</v>
      </c>
      <c r="Y215" s="85">
        <f>SUMIF(GERAL!B$8:B$1696,A215,GERAL!AU$8:AU$1696)</f>
        <v>46</v>
      </c>
      <c r="Z215" s="88">
        <f t="shared" si="40"/>
        <v>235</v>
      </c>
      <c r="AA215" s="116">
        <f>COUNTIFS(GERAL!B$8:B$1696,A215,GERAL!BK$8:BK$1696,"&gt;0",GERAL!C$8:C$1696,"ESCOLA")</f>
        <v>1</v>
      </c>
      <c r="AB215" s="88">
        <f>COUNTIFS(GERAL!B$8:B$1696,A215,GERAL!BK$8:BK$1696,"&gt;0",GERAL!C$8:C$1696,"ANEXO")</f>
        <v>0</v>
      </c>
      <c r="AC215" s="121">
        <f>SUMIF(GERAL!B$8:B$1696,A215,GERAL!AD$8:AD$1696)</f>
        <v>0</v>
      </c>
      <c r="AD215" s="121">
        <f>SUMIF(GERAL!B$8:B$1696,A215,GERAL!AI$8:AI$1696)</f>
        <v>111</v>
      </c>
      <c r="AE215" s="121">
        <f>SUMIF(GERAL!B$8:B$1696,A215,GERAL!AV$8:AV$1696)</f>
        <v>52</v>
      </c>
      <c r="AF215" s="492">
        <f t="shared" si="41"/>
        <v>163</v>
      </c>
      <c r="AG215" s="178">
        <f>COUNTIFS(GERAL!B$8:B$1696,A215,GERAL!AW$8:AW$1696,"&gt;0",GERAL!C$8:C$1696,"ESCOLA")</f>
        <v>1</v>
      </c>
      <c r="AH215" s="118">
        <f>COUNTIFS(GERAL!B$8:B$1696,A215,GERAL!AW$8:AW$1696,"&gt;0",GERAL!C$8:C$1696,"ANEXO")</f>
        <v>0</v>
      </c>
      <c r="AI215" s="177">
        <f>SUMIF(GERAL!B$8:B$1696,A215,GERAL!AS$8:AS$1696)+SUMIF(GERAL!B$8:B$1696,A215,GERAL!AT$8:AT$1696)</f>
        <v>0</v>
      </c>
      <c r="AJ215" s="177">
        <f>SUMIF(GERAL!B$8:B$1696,A215,GERAL!AU$8:AU$1696)</f>
        <v>46</v>
      </c>
      <c r="AK215" s="177">
        <f>SUMIF(GERAL!B$8:B$1696,A215,GERAL!AV$8:AV$1696)</f>
        <v>52</v>
      </c>
      <c r="AL215" s="118">
        <f t="shared" si="42"/>
        <v>98</v>
      </c>
      <c r="AM215" s="493" t="s">
        <v>673</v>
      </c>
    </row>
    <row r="216">
      <c r="A216" s="484" t="s">
        <v>4411</v>
      </c>
      <c r="B216" s="75">
        <f>COUNTIFS(GERAL!B$8:B$1696,A216,GERAL!C$8:C$1696,"ESCOLA")</f>
        <v>1</v>
      </c>
      <c r="C216" s="75">
        <f>COUNTIFS(GERAL!B$8:B$1696,A216,GERAL!C$8:C$1696,"ANEXO")</f>
        <v>0</v>
      </c>
      <c r="D216" s="85">
        <f>SUMIF(GERAL!B$8:B$1696,A216,GERAL!Z$8:Z$1696)</f>
        <v>0</v>
      </c>
      <c r="E216" s="85">
        <f>SUMIF(GERAL!B$8:B$1696,A216,GERAL!AE$8:AE$1696)</f>
        <v>0</v>
      </c>
      <c r="F216" s="85">
        <f>SUMIF(GERAL!B$8:B$1696,A216,GERAL!AJ$8:AJ$1696)</f>
        <v>708</v>
      </c>
      <c r="G216" s="85">
        <f>SUMIF(GERAL!B$8:B$1696,A216,GERAL!AN$8:AN$1696)</f>
        <v>0</v>
      </c>
      <c r="H216" s="85">
        <f>SUMIF(GERAL!B$8:B$1696,A216,GERAL!AR$8:AW$1696)</f>
        <v>113</v>
      </c>
      <c r="I216" s="85">
        <f>SUMIF(GERAL!B$8:B$1696,A216,GERAL!AW$8:AW$1696)</f>
        <v>97</v>
      </c>
      <c r="J216" s="75">
        <f>SUMIF(GERAL!B$8:B$1696,A216,GERAL!AX$8:AX$1696)</f>
        <v>918</v>
      </c>
      <c r="K216" s="75">
        <f>COUNTIFS(GERAL!B$8:B$1696,A216,GERAL!AY$8:AY$1696,"&gt;0",GERAL!C$8:C$1696,"ESCOLA")</f>
        <v>1</v>
      </c>
      <c r="L216" s="75">
        <f>COUNTIFS(GERAL!B$8:B$1696,A216,GERAL!AY$8:AY$1696,"&gt;0",GERAL!C$8:C$1696,"ANEXO")</f>
        <v>0</v>
      </c>
      <c r="M216" s="100">
        <f>SUMIF(GERAL!B$8:B$1696,A216,GERAL!V$8:V$1696)+SUMIF(GERAL!B$8:B$1696,A216,GERAL!W$8:W$1696)</f>
        <v>0</v>
      </c>
      <c r="N216" s="100">
        <f>SUMIF(GERAL!B$8:B$1696,A216,GERAL!AA$8:AA$1696)+SUMIF(GERAL!B$8:B$1696,A216,GERAL!AB$8:AB$1696)</f>
        <v>0</v>
      </c>
      <c r="O216" s="100">
        <f>SUMIF(GERAL!B$8:B$1696,A216,GERAL!AF$8:AF$1696)+SUMIF(GERAL!B$8:B$1696,A216,GERAL!AG$8:AG$1696)</f>
        <v>238</v>
      </c>
      <c r="P216" s="100">
        <f>SUMIF(GERAL!B$8:B$1696,A216,GERAL!AK$8:AK$1696)+SUMIF(GERAL!B$8:B$1696,A216,GERAL!AL$8:AL$1696)</f>
        <v>0</v>
      </c>
      <c r="Q216" s="100">
        <f>SUMIF(GERAL!B$8:B$1696,A216,GERAL!AO$8:AO$1696)+SUMIF(GERAL!B$8:B$1696,A216,GERAL!AP$8:AP$1696)</f>
        <v>0</v>
      </c>
      <c r="R216" s="100">
        <f>SUMIF(GERAL!B$8:B$1696,A216,GERAL!AS$8:AS$1696)+SUMIF(GERAL!B$8:B$1696,A216,GERAL!AT$8:AT$1696)</f>
        <v>0</v>
      </c>
      <c r="S216" s="75">
        <f t="shared" si="39"/>
        <v>238</v>
      </c>
      <c r="T216" s="116">
        <f>COUNTIFS(GERAL!B$8:B$1696,A216,GERAL!AZ$8:AZ$1696,"&gt;0",GERAL!C$8:C$1696,"ESCOLA")</f>
        <v>1</v>
      </c>
      <c r="U216" s="75">
        <f>COUNTIFS(GERAL!B$8:B$1696,A216,GERAL!AZ$8:AZ$1696,"&gt;0",GERAL!C$8:C$1696,"ANEXO")</f>
        <v>0</v>
      </c>
      <c r="V216" s="85">
        <f>SUMIF(GERAL!B$8:B$1696,A216,GERAL!AH$8:AH$1696)</f>
        <v>0</v>
      </c>
      <c r="W216" s="85">
        <f>SUMIF(GERAL!B$8:B$1696,A216,GERAL!AM$8:AM$1696)</f>
        <v>0</v>
      </c>
      <c r="X216" s="85">
        <f>SUMIF(GERAL!B$8:B$1696,A216,GERAL!AQ$8:AQ$1696)</f>
        <v>113</v>
      </c>
      <c r="Y216" s="85">
        <f>SUMIF(GERAL!B$8:B$1696,A216,GERAL!AU$8:AU$1696)</f>
        <v>0</v>
      </c>
      <c r="Z216" s="88">
        <f t="shared" si="40"/>
        <v>113</v>
      </c>
      <c r="AA216" s="116">
        <f>COUNTIFS(GERAL!B$8:B$1696,A216,GERAL!BK$8:BK$1696,"&gt;0",GERAL!C$8:C$1696,"ESCOLA")</f>
        <v>1</v>
      </c>
      <c r="AB216" s="88">
        <f>COUNTIFS(GERAL!B$8:B$1696,A216,GERAL!BK$8:BK$1696,"&gt;0",GERAL!C$8:C$1696,"ANEXO")</f>
        <v>0</v>
      </c>
      <c r="AC216" s="121">
        <f>SUMIF(GERAL!B$8:B$1696,A216,GERAL!AD$8:AD$1696)</f>
        <v>0</v>
      </c>
      <c r="AD216" s="121">
        <f>SUMIF(GERAL!B$8:B$1696,A216,GERAL!AI$8:AI$1696)</f>
        <v>470</v>
      </c>
      <c r="AE216" s="121">
        <f>SUMIF(GERAL!B$8:B$1696,A216,GERAL!AV$8:AV$1696)</f>
        <v>97</v>
      </c>
      <c r="AF216" s="492">
        <f t="shared" si="41"/>
        <v>567</v>
      </c>
      <c r="AG216" s="178">
        <f>COUNTIFS(GERAL!B$8:B$1696,A216,GERAL!AW$8:AW$1696,"&gt;0",GERAL!C$8:C$1696,"ESCOLA")</f>
        <v>1</v>
      </c>
      <c r="AH216" s="118">
        <f>COUNTIFS(GERAL!B$8:B$1696,A216,GERAL!AW$8:AW$1696,"&gt;0",GERAL!C$8:C$1696,"ANEXO")</f>
        <v>0</v>
      </c>
      <c r="AI216" s="177">
        <f>SUMIF(GERAL!B$8:B$1696,A216,GERAL!AS$8:AS$1696)+SUMIF(GERAL!B$8:B$1696,A216,GERAL!AT$8:AT$1696)</f>
        <v>0</v>
      </c>
      <c r="AJ216" s="177">
        <f>SUMIF(GERAL!B$8:B$1696,A216,GERAL!AU$8:AU$1696)</f>
        <v>0</v>
      </c>
      <c r="AK216" s="177">
        <f>SUMIF(GERAL!B$8:B$1696,A216,GERAL!AV$8:AV$1696)</f>
        <v>97</v>
      </c>
      <c r="AL216" s="118">
        <f t="shared" si="42"/>
        <v>97</v>
      </c>
      <c r="AM216" s="493" t="s">
        <v>1027</v>
      </c>
    </row>
    <row r="217">
      <c r="A217" s="494" t="s">
        <v>2688</v>
      </c>
      <c r="B217" s="75">
        <f>COUNTIFS(GERAL!B$8:B$1696,A217,GERAL!C$8:C$1696,"ESCOLA")</f>
        <v>1</v>
      </c>
      <c r="C217" s="75">
        <f>COUNTIFS(GERAL!B$8:B$1696,A217,GERAL!C$8:C$1696,"ANEXO")</f>
        <v>0</v>
      </c>
      <c r="D217" s="85">
        <f>SUMIF(GERAL!B$8:B$1696,A217,GERAL!Z$8:Z$1696)</f>
        <v>0</v>
      </c>
      <c r="E217" s="85">
        <f>SUMIF(GERAL!B$8:B$1696,A217,GERAL!AE$8:AE$1696)</f>
        <v>0</v>
      </c>
      <c r="F217" s="85">
        <f>SUMIF(GERAL!B$8:B$1696,A217,GERAL!AJ$8:AJ$1696)</f>
        <v>232</v>
      </c>
      <c r="G217" s="85">
        <f>SUMIF(GERAL!B$8:B$1696,A217,GERAL!AN$8:AN$1696)</f>
        <v>0</v>
      </c>
      <c r="H217" s="85">
        <f>SUMIF(GERAL!B$8:B$1696,A217,GERAL!AR$8:AW$1696)</f>
        <v>44</v>
      </c>
      <c r="I217" s="85">
        <f>SUMIF(GERAL!B$8:B$1696,A217,GERAL!AW$8:AW$1696)</f>
        <v>64</v>
      </c>
      <c r="J217" s="75">
        <f>SUMIF(GERAL!B$8:B$1696,A217,GERAL!AX$8:AX$1696)</f>
        <v>340</v>
      </c>
      <c r="K217" s="75">
        <f>COUNTIFS(GERAL!B$8:B$1696,A217,GERAL!AY$8:AY$1696,"&gt;0",GERAL!C$8:C$1696,"ESCOLA")</f>
        <v>1</v>
      </c>
      <c r="L217" s="75">
        <f>COUNTIFS(GERAL!B$8:B$1696,A217,GERAL!AY$8:AY$1696,"&gt;0",GERAL!C$8:C$1696,"ANEXO")</f>
        <v>0</v>
      </c>
      <c r="M217" s="100">
        <f>SUMIF(GERAL!B$8:B$1696,A217,GERAL!V$8:V$1696)+SUMIF(GERAL!B$8:B$1696,A217,GERAL!W$8:W$1696)</f>
        <v>0</v>
      </c>
      <c r="N217" s="100">
        <f>SUMIF(GERAL!B$8:B$1696,A217,GERAL!AA$8:AA$1696)+SUMIF(GERAL!B$8:B$1696,A217,GERAL!AB$8:AB$1696)</f>
        <v>0</v>
      </c>
      <c r="O217" s="100">
        <f>SUMIF(GERAL!B$8:B$1696,A217,GERAL!AF$8:AF$1696)+SUMIF(GERAL!B$8:B$1696,A217,GERAL!AG$8:AG$1696)</f>
        <v>131</v>
      </c>
      <c r="P217" s="100">
        <f>SUMIF(GERAL!B$8:B$1696,A217,GERAL!AK$8:AK$1696)+SUMIF(GERAL!B$8:B$1696,A217,GERAL!AL$8:AL$1696)</f>
        <v>0</v>
      </c>
      <c r="Q217" s="100">
        <f>SUMIF(GERAL!B$8:B$1696,A217,GERAL!AO$8:AO$1696)+SUMIF(GERAL!B$8:B$1696,A217,GERAL!AP$8:AP$1696)</f>
        <v>0</v>
      </c>
      <c r="R217" s="100">
        <f>SUMIF(GERAL!B$8:B$1696,A217,GERAL!AS$8:AS$1696)+SUMIF(GERAL!B$8:B$1696,A217,GERAL!AT$8:AT$1696)</f>
        <v>0</v>
      </c>
      <c r="S217" s="75">
        <f t="shared" si="39"/>
        <v>131</v>
      </c>
      <c r="T217" s="116">
        <f>COUNTIFS(GERAL!B$8:B$1696,A217,GERAL!AZ$8:AZ$1696,"&gt;0",GERAL!C$8:C$1696,"ESCOLA")</f>
        <v>1</v>
      </c>
      <c r="U217" s="75">
        <f>COUNTIFS(GERAL!B$8:B$1696,A217,GERAL!AZ$8:AZ$1696,"&gt;0",GERAL!C$8:C$1696,"ANEXO")</f>
        <v>0</v>
      </c>
      <c r="V217" s="85">
        <f>SUMIF(GERAL!B$8:B$1696,A217,GERAL!AH$8:AH$1696)</f>
        <v>0</v>
      </c>
      <c r="W217" s="85">
        <f>SUMIF(GERAL!B$8:B$1696,A217,GERAL!AM$8:AM$1696)</f>
        <v>0</v>
      </c>
      <c r="X217" s="85">
        <f>SUMIF(GERAL!B$8:B$1696,A217,GERAL!AQ$8:AQ$1696)</f>
        <v>44</v>
      </c>
      <c r="Y217" s="85">
        <f>SUMIF(GERAL!B$8:B$1696,A217,GERAL!AU$8:AU$1696)</f>
        <v>0</v>
      </c>
      <c r="Z217" s="88">
        <f t="shared" si="40"/>
        <v>44</v>
      </c>
      <c r="AA217" s="116">
        <f>COUNTIFS(GERAL!B$8:B$1696,A217,GERAL!BK$8:BK$1696,"&gt;0",GERAL!C$8:C$1696,"ESCOLA")</f>
        <v>1</v>
      </c>
      <c r="AB217" s="88">
        <f>COUNTIFS(GERAL!B$8:B$1696,A217,GERAL!BK$8:BK$1696,"&gt;0",GERAL!C$8:C$1696,"ANEXO")</f>
        <v>0</v>
      </c>
      <c r="AC217" s="121">
        <f>SUMIF(GERAL!B$8:B$1696,A217,GERAL!AD$8:AD$1696)</f>
        <v>0</v>
      </c>
      <c r="AD217" s="121">
        <f>SUMIF(GERAL!B$8:B$1696,A217,GERAL!AI$8:AI$1696)</f>
        <v>101</v>
      </c>
      <c r="AE217" s="121">
        <f>SUMIF(GERAL!B$8:B$1696,A217,GERAL!AV$8:AV$1696)</f>
        <v>64</v>
      </c>
      <c r="AF217" s="492">
        <f t="shared" si="41"/>
        <v>165</v>
      </c>
      <c r="AG217" s="178">
        <f>COUNTIFS(GERAL!B$8:B$1696,A217,GERAL!AW$8:AW$1696,"&gt;0",GERAL!C$8:C$1696,"ESCOLA")</f>
        <v>1</v>
      </c>
      <c r="AH217" s="118">
        <f>COUNTIFS(GERAL!B$8:B$1696,A217,GERAL!AW$8:AW$1696,"&gt;0",GERAL!C$8:C$1696,"ANEXO")</f>
        <v>0</v>
      </c>
      <c r="AI217" s="177">
        <f>SUMIF(GERAL!B$8:B$1696,A217,GERAL!AS$8:AS$1696)+SUMIF(GERAL!B$8:B$1696,A217,GERAL!AT$8:AT$1696)</f>
        <v>0</v>
      </c>
      <c r="AJ217" s="177">
        <f>SUMIF(GERAL!B$8:B$1696,A217,GERAL!AU$8:AU$1696)</f>
        <v>0</v>
      </c>
      <c r="AK217" s="177">
        <f>SUMIF(GERAL!B$8:B$1696,A217,GERAL!AV$8:AV$1696)</f>
        <v>64</v>
      </c>
      <c r="AL217" s="118">
        <f t="shared" si="42"/>
        <v>64</v>
      </c>
      <c r="AM217" s="493" t="s">
        <v>723</v>
      </c>
    </row>
    <row r="218">
      <c r="A218" s="484" t="s">
        <v>1163</v>
      </c>
      <c r="B218" s="75">
        <f>COUNTIFS(GERAL!B$8:B$1696,A218,GERAL!C$8:C$1696,"ESCOLA")</f>
        <v>2</v>
      </c>
      <c r="C218" s="75">
        <f>COUNTIFS(GERAL!B$8:B$1696,A218,GERAL!C$8:C$1696,"ANEXO")</f>
        <v>8</v>
      </c>
      <c r="D218" s="85">
        <f>SUMIF(GERAL!B$8:B$1696,A218,GERAL!Z$8:Z$1696)</f>
        <v>0</v>
      </c>
      <c r="E218" s="85">
        <f>SUMIF(GERAL!B$8:B$1696,A218,GERAL!AE$8:AE$1696)</f>
        <v>114</v>
      </c>
      <c r="F218" s="85">
        <f>SUMIF(GERAL!B$8:B$1696,A218,GERAL!AJ$8:AJ$1696)</f>
        <v>1198</v>
      </c>
      <c r="G218" s="85">
        <f>SUMIF(GERAL!B$8:B$1696,A218,GERAL!AN$8:AN$1696)</f>
        <v>0</v>
      </c>
      <c r="H218" s="85">
        <f>SUMIF(GERAL!B$8:B$1696,A218,GERAL!AR$8:AW$1696)</f>
        <v>189</v>
      </c>
      <c r="I218" s="85">
        <f>SUMIF(GERAL!B$8:B$1696,A218,GERAL!AW$8:AW$1696)</f>
        <v>280</v>
      </c>
      <c r="J218" s="75">
        <f>SUMIF(GERAL!B$8:B$1696,A218,GERAL!AX$8:AX$1696)</f>
        <v>1781</v>
      </c>
      <c r="K218" s="75">
        <f>COUNTIFS(GERAL!B$8:B$1696,A218,GERAL!AY$8:AY$1696,"&gt;0",GERAL!C$8:C$1696,"ESCOLA")</f>
        <v>2</v>
      </c>
      <c r="L218" s="75">
        <f>COUNTIFS(GERAL!B$8:B$1696,A218,GERAL!AY$8:AY$1696,"&gt;0",GERAL!C$8:C$1696,"ANEXO")</f>
        <v>8</v>
      </c>
      <c r="M218" s="100">
        <f>SUMIF(GERAL!B$8:B$1696,A218,GERAL!V$8:V$1696)+SUMIF(GERAL!B$8:B$1696,A218,GERAL!W$8:W$1696)</f>
        <v>0</v>
      </c>
      <c r="N218" s="100">
        <f>SUMIF(GERAL!B$8:B$1696,A218,GERAL!AA$8:AA$1696)+SUMIF(GERAL!B$8:B$1696,A218,GERAL!AB$8:AB$1696)</f>
        <v>0</v>
      </c>
      <c r="O218" s="100">
        <f>SUMIF(GERAL!B$8:B$1696,A218,GERAL!AF$8:AF$1696)+SUMIF(GERAL!B$8:B$1696,A218,GERAL!AG$8:AG$1696)</f>
        <v>460</v>
      </c>
      <c r="P218" s="100">
        <f>SUMIF(GERAL!B$8:B$1696,A218,GERAL!AK$8:AK$1696)+SUMIF(GERAL!B$8:B$1696,A218,GERAL!AL$8:AL$1696)</f>
        <v>0</v>
      </c>
      <c r="Q218" s="100">
        <f>SUMIF(GERAL!B$8:B$1696,A218,GERAL!AO$8:AO$1696)+SUMIF(GERAL!B$8:B$1696,A218,GERAL!AP$8:AP$1696)</f>
        <v>0</v>
      </c>
      <c r="R218" s="100">
        <f>SUMIF(GERAL!B$8:B$1696,A218,GERAL!AS$8:AS$1696)+SUMIF(GERAL!B$8:B$1696,A218,GERAL!AT$8:AT$1696)</f>
        <v>6</v>
      </c>
      <c r="S218" s="75">
        <f t="shared" si="39"/>
        <v>466</v>
      </c>
      <c r="T218" s="116">
        <f>COUNTIFS(GERAL!B$8:B$1696,A218,GERAL!AZ$8:AZ$1696,"&gt;0",GERAL!C$8:C$1696,"ESCOLA")</f>
        <v>2</v>
      </c>
      <c r="U218" s="75">
        <f>COUNTIFS(GERAL!B$8:B$1696,A218,GERAL!AZ$8:AZ$1696,"&gt;0",GERAL!C$8:C$1696,"ANEXO")</f>
        <v>5</v>
      </c>
      <c r="V218" s="85">
        <f>SUMIF(GERAL!B$8:B$1696,A218,GERAL!AH$8:AH$1696)</f>
        <v>6</v>
      </c>
      <c r="W218" s="85">
        <f>SUMIF(GERAL!B$8:B$1696,A218,GERAL!AM$8:AM$1696)</f>
        <v>0</v>
      </c>
      <c r="X218" s="85">
        <f>SUMIF(GERAL!B$8:B$1696,A218,GERAL!AQ$8:AQ$1696)</f>
        <v>189</v>
      </c>
      <c r="Y218" s="85">
        <f>SUMIF(GERAL!B$8:B$1696,A218,GERAL!AU$8:AU$1696)</f>
        <v>248</v>
      </c>
      <c r="Z218" s="88">
        <f t="shared" si="40"/>
        <v>443</v>
      </c>
      <c r="AA218" s="116">
        <f>COUNTIFS(GERAL!B$8:B$1696,A218,GERAL!BK$8:BK$1696,"&gt;0",GERAL!C$8:C$1696,"ESCOLA")</f>
        <v>2</v>
      </c>
      <c r="AB218" s="88">
        <f>COUNTIFS(GERAL!B$8:B$1696,A218,GERAL!BK$8:BK$1696,"&gt;0",GERAL!C$8:C$1696,"ANEXO")</f>
        <v>0</v>
      </c>
      <c r="AC218" s="121">
        <f>SUMIF(GERAL!B$8:B$1696,A218,GERAL!AD$8:AD$1696)</f>
        <v>114</v>
      </c>
      <c r="AD218" s="121">
        <f>SUMIF(GERAL!B$8:B$1696,A218,GERAL!AI$8:AI$1696)</f>
        <v>732</v>
      </c>
      <c r="AE218" s="121">
        <f>SUMIF(GERAL!B$8:B$1696,A218,GERAL!AV$8:AV$1696)</f>
        <v>26</v>
      </c>
      <c r="AF218" s="492">
        <f t="shared" si="41"/>
        <v>872</v>
      </c>
      <c r="AG218" s="178">
        <f>COUNTIFS(GERAL!B$8:B$1696,A218,GERAL!AW$8:AW$1696,"&gt;0",GERAL!C$8:C$1696,"ESCOLA")</f>
        <v>2</v>
      </c>
      <c r="AH218" s="118">
        <f>COUNTIFS(GERAL!B$8:B$1696,A218,GERAL!AW$8:AW$1696,"&gt;0",GERAL!C$8:C$1696,"ANEXO")</f>
        <v>2</v>
      </c>
      <c r="AI218" s="177">
        <f>SUMIF(GERAL!B$8:B$1696,A218,GERAL!AS$8:AS$1696)+SUMIF(GERAL!B$8:B$1696,A218,GERAL!AT$8:AT$1696)</f>
        <v>6</v>
      </c>
      <c r="AJ218" s="177">
        <f>SUMIF(GERAL!B$8:B$1696,A218,GERAL!AU$8:AU$1696)</f>
        <v>248</v>
      </c>
      <c r="AK218" s="177">
        <f>SUMIF(GERAL!B$8:B$1696,A218,GERAL!AV$8:AV$1696)</f>
        <v>26</v>
      </c>
      <c r="AL218" s="118">
        <f t="shared" si="42"/>
        <v>280</v>
      </c>
      <c r="AM218" s="493" t="s">
        <v>383</v>
      </c>
    </row>
    <row r="219">
      <c r="A219" s="494" t="s">
        <v>2545</v>
      </c>
      <c r="B219" s="75">
        <f>COUNTIFS(GERAL!B$8:B$1696,A219,GERAL!C$8:C$1696,"ESCOLA")</f>
        <v>2</v>
      </c>
      <c r="C219" s="75">
        <f>COUNTIFS(GERAL!B$8:B$1696,A219,GERAL!C$8:C$1696,"ANEXO")</f>
        <v>1</v>
      </c>
      <c r="D219" s="85">
        <f>SUMIF(GERAL!B$8:B$1696,A219,GERAL!Z$8:Z$1696)</f>
        <v>0</v>
      </c>
      <c r="E219" s="85">
        <f>SUMIF(GERAL!B$8:B$1696,A219,GERAL!AE$8:AE$1696)</f>
        <v>0</v>
      </c>
      <c r="F219" s="85">
        <f>SUMIF(GERAL!B$8:B$1696,A219,GERAL!AJ$8:AJ$1696)</f>
        <v>103</v>
      </c>
      <c r="G219" s="85">
        <f>SUMIF(GERAL!B$8:B$1696,A219,GERAL!AN$8:AN$1696)</f>
        <v>0</v>
      </c>
      <c r="H219" s="85">
        <f>SUMIF(GERAL!B$8:B$1696,A219,GERAL!AR$8:AW$1696)</f>
        <v>36</v>
      </c>
      <c r="I219" s="85">
        <f>SUMIF(GERAL!B$8:B$1696,A219,GERAL!AW$8:AW$1696)</f>
        <v>873</v>
      </c>
      <c r="J219" s="75">
        <f>SUMIF(GERAL!B$8:B$1696,A219,GERAL!AX$8:AX$1696)</f>
        <v>1012</v>
      </c>
      <c r="K219" s="75">
        <f>COUNTIFS(GERAL!B$8:B$1696,A219,GERAL!AY$8:AY$1696,"&gt;0",GERAL!C$8:C$1696,"ESCOLA")</f>
        <v>2</v>
      </c>
      <c r="L219" s="75">
        <f>COUNTIFS(GERAL!B$8:B$1696,A219,GERAL!AY$8:AY$1696,"&gt;0",GERAL!C$8:C$1696,"ANEXO")</f>
        <v>0</v>
      </c>
      <c r="M219" s="100">
        <f>SUMIF(GERAL!B$8:B$1696,A219,GERAL!V$8:V$1696)+SUMIF(GERAL!B$8:B$1696,A219,GERAL!W$8:W$1696)</f>
        <v>0</v>
      </c>
      <c r="N219" s="100">
        <f>SUMIF(GERAL!B$8:B$1696,A219,GERAL!AA$8:AA$1696)+SUMIF(GERAL!B$8:B$1696,A219,GERAL!AB$8:AB$1696)</f>
        <v>0</v>
      </c>
      <c r="O219" s="100">
        <f>SUMIF(GERAL!B$8:B$1696,A219,GERAL!AF$8:AF$1696)+SUMIF(GERAL!B$8:B$1696,A219,GERAL!AG$8:AG$1696)</f>
        <v>19</v>
      </c>
      <c r="P219" s="100">
        <f>SUMIF(GERAL!B$8:B$1696,A219,GERAL!AK$8:AK$1696)+SUMIF(GERAL!B$8:B$1696,A219,GERAL!AL$8:AL$1696)</f>
        <v>0</v>
      </c>
      <c r="Q219" s="100">
        <f>SUMIF(GERAL!B$8:B$1696,A219,GERAL!AO$8:AO$1696)+SUMIF(GERAL!B$8:B$1696,A219,GERAL!AP$8:AP$1696)</f>
        <v>0</v>
      </c>
      <c r="R219" s="100">
        <f>SUMIF(GERAL!B$8:B$1696,A219,GERAL!AS$8:AS$1696)+SUMIF(GERAL!B$8:B$1696,A219,GERAL!AT$8:AT$1696)</f>
        <v>218</v>
      </c>
      <c r="S219" s="75">
        <f t="shared" si="39"/>
        <v>237</v>
      </c>
      <c r="T219" s="116">
        <f>COUNTIFS(GERAL!B$8:B$1696,A219,GERAL!AZ$8:AZ$1696,"&gt;0",GERAL!C$8:C$1696,"ESCOLA")</f>
        <v>2</v>
      </c>
      <c r="U219" s="75">
        <f>COUNTIFS(GERAL!B$8:B$1696,A219,GERAL!AZ$8:AZ$1696,"&gt;0",GERAL!C$8:C$1696,"ANEXO")</f>
        <v>1</v>
      </c>
      <c r="V219" s="85">
        <f>SUMIF(GERAL!B$8:B$1696,A219,GERAL!AH$8:AH$1696)</f>
        <v>29</v>
      </c>
      <c r="W219" s="85">
        <f>SUMIF(GERAL!B$8:B$1696,A219,GERAL!AM$8:AM$1696)</f>
        <v>0</v>
      </c>
      <c r="X219" s="85">
        <f>SUMIF(GERAL!B$8:B$1696,A219,GERAL!AQ$8:AQ$1696)</f>
        <v>36</v>
      </c>
      <c r="Y219" s="85">
        <f>SUMIF(GERAL!B$8:B$1696,A219,GERAL!AU$8:AU$1696)</f>
        <v>306</v>
      </c>
      <c r="Z219" s="88">
        <f t="shared" si="40"/>
        <v>371</v>
      </c>
      <c r="AA219" s="116">
        <f>COUNTIFS(GERAL!B$8:B$1696,A219,GERAL!BK$8:BK$1696,"&gt;0",GERAL!C$8:C$1696,"ESCOLA")</f>
        <v>2</v>
      </c>
      <c r="AB219" s="88">
        <f>COUNTIFS(GERAL!B$8:B$1696,A219,GERAL!BK$8:BK$1696,"&gt;0",GERAL!C$8:C$1696,"ANEXO")</f>
        <v>0</v>
      </c>
      <c r="AC219" s="121">
        <f>SUMIF(GERAL!B$8:B$1696,A219,GERAL!AD$8:AD$1696)</f>
        <v>0</v>
      </c>
      <c r="AD219" s="121">
        <f>SUMIF(GERAL!B$8:B$1696,A219,GERAL!AI$8:AI$1696)</f>
        <v>55</v>
      </c>
      <c r="AE219" s="121">
        <f>SUMIF(GERAL!B$8:B$1696,A219,GERAL!AV$8:AV$1696)</f>
        <v>349</v>
      </c>
      <c r="AF219" s="492">
        <f t="shared" si="41"/>
        <v>404</v>
      </c>
      <c r="AG219" s="178">
        <f>COUNTIFS(GERAL!B$8:B$1696,A219,GERAL!AW$8:AW$1696,"&gt;0",GERAL!C$8:C$1696,"ESCOLA")</f>
        <v>1</v>
      </c>
      <c r="AH219" s="118">
        <f>COUNTIFS(GERAL!B$8:B$1696,A219,GERAL!AW$8:AW$1696,"&gt;0",GERAL!C$8:C$1696,"ANEXO")</f>
        <v>0</v>
      </c>
      <c r="AI219" s="177">
        <f>SUMIF(GERAL!B$8:B$1696,A219,GERAL!AS$8:AS$1696)+SUMIF(GERAL!B$8:B$1696,A219,GERAL!AT$8:AT$1696)</f>
        <v>218</v>
      </c>
      <c r="AJ219" s="177">
        <f>SUMIF(GERAL!B$8:B$1696,A219,GERAL!AU$8:AU$1696)</f>
        <v>306</v>
      </c>
      <c r="AK219" s="177">
        <f>SUMIF(GERAL!B$8:B$1696,A219,GERAL!AV$8:AV$1696)</f>
        <v>349</v>
      </c>
      <c r="AL219" s="118">
        <f t="shared" si="42"/>
        <v>873</v>
      </c>
      <c r="AM219" s="493" t="s">
        <v>673</v>
      </c>
    </row>
    <row r="220">
      <c r="A220" s="484" t="s">
        <v>4144</v>
      </c>
      <c r="B220" s="75">
        <f>COUNTIFS(GERAL!B$8:B$1696,A220,GERAL!C$8:C$1696,"ESCOLA")</f>
        <v>1</v>
      </c>
      <c r="C220" s="75">
        <f>COUNTIFS(GERAL!B$8:B$1696,A220,GERAL!C$8:C$1696,"ANEXO")</f>
        <v>3</v>
      </c>
      <c r="D220" s="85">
        <f>SUMIF(GERAL!B$8:B$1696,A220,GERAL!Z$8:Z$1696)</f>
        <v>0</v>
      </c>
      <c r="E220" s="85">
        <f>SUMIF(GERAL!B$8:B$1696,A220,GERAL!AE$8:AE$1696)</f>
        <v>0</v>
      </c>
      <c r="F220" s="85">
        <f>SUMIF(GERAL!B$8:B$1696,A220,GERAL!AJ$8:AJ$1696)</f>
        <v>460</v>
      </c>
      <c r="G220" s="85">
        <f>SUMIF(GERAL!B$8:B$1696,A220,GERAL!AN$8:AN$1696)</f>
        <v>0</v>
      </c>
      <c r="H220" s="85">
        <f>SUMIF(GERAL!B$8:B$1696,A220,GERAL!AR$8:AW$1696)</f>
        <v>99</v>
      </c>
      <c r="I220" s="85">
        <f>SUMIF(GERAL!B$8:B$1696,A220,GERAL!AW$8:AW$1696)</f>
        <v>96</v>
      </c>
      <c r="J220" s="75">
        <f>SUMIF(GERAL!B$8:B$1696,A220,GERAL!AX$8:AX$1696)</f>
        <v>655</v>
      </c>
      <c r="K220" s="75">
        <f>COUNTIFS(GERAL!B$8:B$1696,A220,GERAL!AY$8:AY$1696,"&gt;0",GERAL!C$8:C$1696,"ESCOLA")</f>
        <v>1</v>
      </c>
      <c r="L220" s="75">
        <f>COUNTIFS(GERAL!B$8:B$1696,A220,GERAL!AY$8:AY$1696,"&gt;0",GERAL!C$8:C$1696,"ANEXO")</f>
        <v>2</v>
      </c>
      <c r="M220" s="100">
        <f>SUMIF(GERAL!B$8:B$1696,A220,GERAL!V$8:V$1696)+SUMIF(GERAL!B$8:B$1696,A220,GERAL!W$8:W$1696)</f>
        <v>0</v>
      </c>
      <c r="N220" s="100">
        <f>SUMIF(GERAL!B$8:B$1696,A220,GERAL!AA$8:AA$1696)+SUMIF(GERAL!B$8:B$1696,A220,GERAL!AB$8:AB$1696)</f>
        <v>0</v>
      </c>
      <c r="O220" s="100">
        <f>SUMIF(GERAL!B$8:B$1696,A220,GERAL!AF$8:AF$1696)+SUMIF(GERAL!B$8:B$1696,A220,GERAL!AG$8:AG$1696)</f>
        <v>262</v>
      </c>
      <c r="P220" s="100">
        <f>SUMIF(GERAL!B$8:B$1696,A220,GERAL!AK$8:AK$1696)+SUMIF(GERAL!B$8:B$1696,A220,GERAL!AL$8:AL$1696)</f>
        <v>0</v>
      </c>
      <c r="Q220" s="100">
        <f>SUMIF(GERAL!B$8:B$1696,A220,GERAL!AO$8:AO$1696)+SUMIF(GERAL!B$8:B$1696,A220,GERAL!AP$8:AP$1696)</f>
        <v>0</v>
      </c>
      <c r="R220" s="100">
        <f>SUMIF(GERAL!B$8:B$1696,A220,GERAL!AS$8:AS$1696)+SUMIF(GERAL!B$8:B$1696,A220,GERAL!AT$8:AT$1696)</f>
        <v>0</v>
      </c>
      <c r="S220" s="75">
        <f t="shared" si="39"/>
        <v>262</v>
      </c>
      <c r="T220" s="116">
        <f>COUNTIFS(GERAL!B$8:B$1696,A220,GERAL!AZ$8:AZ$1696,"&gt;0",GERAL!C$8:C$1696,"ESCOLA")</f>
        <v>1</v>
      </c>
      <c r="U220" s="75">
        <f>COUNTIFS(GERAL!B$8:B$1696,A220,GERAL!AZ$8:AZ$1696,"&gt;0",GERAL!C$8:C$1696,"ANEXO")</f>
        <v>1</v>
      </c>
      <c r="V220" s="85">
        <f>SUMIF(GERAL!B$8:B$1696,A220,GERAL!AH$8:AH$1696)</f>
        <v>0</v>
      </c>
      <c r="W220" s="85">
        <f>SUMIF(GERAL!B$8:B$1696,A220,GERAL!AM$8:AM$1696)</f>
        <v>0</v>
      </c>
      <c r="X220" s="85">
        <f>SUMIF(GERAL!B$8:B$1696,A220,GERAL!AQ$8:AQ$1696)</f>
        <v>99</v>
      </c>
      <c r="Y220" s="85">
        <f>SUMIF(GERAL!B$8:B$1696,A220,GERAL!AU$8:AU$1696)</f>
        <v>28</v>
      </c>
      <c r="Z220" s="88">
        <f t="shared" si="40"/>
        <v>127</v>
      </c>
      <c r="AA220" s="116">
        <f>COUNTIFS(GERAL!B$8:B$1696,A220,GERAL!BK$8:BK$1696,"&gt;0",GERAL!C$8:C$1696,"ESCOLA")</f>
        <v>1</v>
      </c>
      <c r="AB220" s="88">
        <f>COUNTIFS(GERAL!B$8:B$1696,A220,GERAL!BK$8:BK$1696,"&gt;0",GERAL!C$8:C$1696,"ANEXO")</f>
        <v>0</v>
      </c>
      <c r="AC220" s="121">
        <f>SUMIF(GERAL!B$8:B$1696,A220,GERAL!AD$8:AD$1696)</f>
        <v>0</v>
      </c>
      <c r="AD220" s="121">
        <f>SUMIF(GERAL!B$8:B$1696,A220,GERAL!AI$8:AI$1696)</f>
        <v>198</v>
      </c>
      <c r="AE220" s="121">
        <f>SUMIF(GERAL!B$8:B$1696,A220,GERAL!AV$8:AV$1696)</f>
        <v>68</v>
      </c>
      <c r="AF220" s="492">
        <f t="shared" si="41"/>
        <v>266</v>
      </c>
      <c r="AG220" s="178">
        <f>COUNTIFS(GERAL!B$8:B$1696,A220,GERAL!AW$8:AW$1696,"&gt;0",GERAL!C$8:C$1696,"ESCOLA")</f>
        <v>1</v>
      </c>
      <c r="AH220" s="118">
        <f>COUNTIFS(GERAL!B$8:B$1696,A220,GERAL!AW$8:AW$1696,"&gt;0",GERAL!C$8:C$1696,"ANEXO")</f>
        <v>0</v>
      </c>
      <c r="AI220" s="177">
        <f>SUMIF(GERAL!B$8:B$1696,A220,GERAL!AS$8:AS$1696)+SUMIF(GERAL!B$8:B$1696,A220,GERAL!AT$8:AT$1696)</f>
        <v>0</v>
      </c>
      <c r="AJ220" s="177">
        <f>SUMIF(GERAL!B$8:B$1696,A220,GERAL!AU$8:AU$1696)</f>
        <v>28</v>
      </c>
      <c r="AK220" s="177">
        <f>SUMIF(GERAL!B$8:B$1696,A220,GERAL!AV$8:AV$1696)</f>
        <v>68</v>
      </c>
      <c r="AL220" s="118">
        <f t="shared" si="42"/>
        <v>96</v>
      </c>
      <c r="AM220" s="493" t="s">
        <v>973</v>
      </c>
    </row>
    <row r="221">
      <c r="A221" s="494" t="s">
        <v>1751</v>
      </c>
      <c r="B221" s="75">
        <f>COUNTIFS(GERAL!B$8:B$1696,A221,GERAL!C$8:C$1696,"ESCOLA")</f>
        <v>1</v>
      </c>
      <c r="C221" s="75">
        <f>COUNTIFS(GERAL!B$8:B$1696,A221,GERAL!C$8:C$1696,"ANEXO")</f>
        <v>1</v>
      </c>
      <c r="D221" s="85">
        <f>SUMIF(GERAL!B$8:B$1696,A221,GERAL!Z$8:Z$1696)</f>
        <v>0</v>
      </c>
      <c r="E221" s="85">
        <f>SUMIF(GERAL!B$8:B$1696,A221,GERAL!AE$8:AE$1696)</f>
        <v>0</v>
      </c>
      <c r="F221" s="85">
        <f>SUMIF(GERAL!B$8:B$1696,A221,GERAL!AJ$8:AJ$1696)</f>
        <v>482</v>
      </c>
      <c r="G221" s="85">
        <f>SUMIF(GERAL!B$8:B$1696,A221,GERAL!AN$8:AN$1696)</f>
        <v>0</v>
      </c>
      <c r="H221" s="85">
        <f>SUMIF(GERAL!B$8:B$1696,A221,GERAL!AR$8:AW$1696)</f>
        <v>110</v>
      </c>
      <c r="I221" s="85">
        <f>SUMIF(GERAL!B$8:B$1696,A221,GERAL!AW$8:AW$1696)</f>
        <v>109</v>
      </c>
      <c r="J221" s="75">
        <f>SUMIF(GERAL!B$8:B$1696,A221,GERAL!AX$8:AX$1696)</f>
        <v>701</v>
      </c>
      <c r="K221" s="75">
        <f>COUNTIFS(GERAL!B$8:B$1696,A221,GERAL!AY$8:AY$1696,"&gt;0",GERAL!C$8:C$1696,"ESCOLA")</f>
        <v>1</v>
      </c>
      <c r="L221" s="75">
        <f>COUNTIFS(GERAL!B$8:B$1696,A221,GERAL!AY$8:AY$1696,"&gt;0",GERAL!C$8:C$1696,"ANEXO")</f>
        <v>1</v>
      </c>
      <c r="M221" s="100">
        <f>SUMIF(GERAL!B$8:B$1696,A221,GERAL!V$8:V$1696)+SUMIF(GERAL!B$8:B$1696,A221,GERAL!W$8:W$1696)</f>
        <v>0</v>
      </c>
      <c r="N221" s="100">
        <f>SUMIF(GERAL!B$8:B$1696,A221,GERAL!AA$8:AA$1696)+SUMIF(GERAL!B$8:B$1696,A221,GERAL!AB$8:AB$1696)</f>
        <v>0</v>
      </c>
      <c r="O221" s="100">
        <f>SUMIF(GERAL!B$8:B$1696,A221,GERAL!AF$8:AF$1696)+SUMIF(GERAL!B$8:B$1696,A221,GERAL!AG$8:AG$1696)</f>
        <v>363</v>
      </c>
      <c r="P221" s="100">
        <f>SUMIF(GERAL!B$8:B$1696,A221,GERAL!AK$8:AK$1696)+SUMIF(GERAL!B$8:B$1696,A221,GERAL!AL$8:AL$1696)</f>
        <v>0</v>
      </c>
      <c r="Q221" s="100">
        <f>SUMIF(GERAL!B$8:B$1696,A221,GERAL!AO$8:AO$1696)+SUMIF(GERAL!B$8:B$1696,A221,GERAL!AP$8:AP$1696)</f>
        <v>0</v>
      </c>
      <c r="R221" s="100">
        <f>SUMIF(GERAL!B$8:B$1696,A221,GERAL!AS$8:AS$1696)+SUMIF(GERAL!B$8:B$1696,A221,GERAL!AT$8:AT$1696)</f>
        <v>63</v>
      </c>
      <c r="S221" s="75">
        <f t="shared" si="39"/>
        <v>426</v>
      </c>
      <c r="T221" s="116">
        <f>COUNTIFS(GERAL!B$8:B$1696,A221,GERAL!AZ$8:AZ$1696,"&gt;0",GERAL!C$8:C$1696,"ESCOLA")</f>
        <v>1</v>
      </c>
      <c r="U221" s="75">
        <f>COUNTIFS(GERAL!B$8:B$1696,A221,GERAL!AZ$8:AZ$1696,"&gt;0",GERAL!C$8:C$1696,"ANEXO")</f>
        <v>0</v>
      </c>
      <c r="V221" s="85">
        <f>SUMIF(GERAL!B$8:B$1696,A221,GERAL!AH$8:AH$1696)</f>
        <v>0</v>
      </c>
      <c r="W221" s="85">
        <f>SUMIF(GERAL!B$8:B$1696,A221,GERAL!AM$8:AM$1696)</f>
        <v>0</v>
      </c>
      <c r="X221" s="85">
        <f>SUMIF(GERAL!B$8:B$1696,A221,GERAL!AQ$8:AQ$1696)</f>
        <v>110</v>
      </c>
      <c r="Y221" s="85">
        <f>SUMIF(GERAL!B$8:B$1696,A221,GERAL!AU$8:AU$1696)</f>
        <v>23</v>
      </c>
      <c r="Z221" s="88">
        <f t="shared" si="40"/>
        <v>133</v>
      </c>
      <c r="AA221" s="116">
        <f>COUNTIFS(GERAL!B$8:B$1696,A221,GERAL!BK$8:BK$1696,"&gt;0",GERAL!C$8:C$1696,"ESCOLA")</f>
        <v>1</v>
      </c>
      <c r="AB221" s="88">
        <f>COUNTIFS(GERAL!B$8:B$1696,A221,GERAL!BK$8:BK$1696,"&gt;0",GERAL!C$8:C$1696,"ANEXO")</f>
        <v>0</v>
      </c>
      <c r="AC221" s="121">
        <f>SUMIF(GERAL!B$8:B$1696,A221,GERAL!AD$8:AD$1696)</f>
        <v>0</v>
      </c>
      <c r="AD221" s="121">
        <f>SUMIF(GERAL!B$8:B$1696,A221,GERAL!AI$8:AI$1696)</f>
        <v>119</v>
      </c>
      <c r="AE221" s="121">
        <f>SUMIF(GERAL!B$8:B$1696,A221,GERAL!AV$8:AV$1696)</f>
        <v>23</v>
      </c>
      <c r="AF221" s="492">
        <f t="shared" si="41"/>
        <v>142</v>
      </c>
      <c r="AG221" s="178">
        <f>COUNTIFS(GERAL!B$8:B$1696,A221,GERAL!AW$8:AW$1696,"&gt;0",GERAL!C$8:C$1696,"ESCOLA")</f>
        <v>1</v>
      </c>
      <c r="AH221" s="118">
        <f>COUNTIFS(GERAL!B$8:B$1696,A221,GERAL!AW$8:AW$1696,"&gt;0",GERAL!C$8:C$1696,"ANEXO")</f>
        <v>0</v>
      </c>
      <c r="AI221" s="177">
        <f>SUMIF(GERAL!B$8:B$1696,A221,GERAL!AS$8:AS$1696)+SUMIF(GERAL!B$8:B$1696,A221,GERAL!AT$8:AT$1696)</f>
        <v>63</v>
      </c>
      <c r="AJ221" s="177">
        <f>SUMIF(GERAL!B$8:B$1696,A221,GERAL!AU$8:AU$1696)</f>
        <v>23</v>
      </c>
      <c r="AK221" s="177">
        <f>SUMIF(GERAL!B$8:B$1696,A221,GERAL!AV$8:AV$1696)</f>
        <v>23</v>
      </c>
      <c r="AL221" s="118">
        <f t="shared" si="42"/>
        <v>109</v>
      </c>
      <c r="AM221" s="493" t="s">
        <v>540</v>
      </c>
    </row>
    <row r="222">
      <c r="A222" s="484" t="s">
        <v>4168</v>
      </c>
      <c r="B222" s="75">
        <f>COUNTIFS(GERAL!B$8:B$1696,A222,GERAL!C$8:C$1696,"ESCOLA")</f>
        <v>1</v>
      </c>
      <c r="C222" s="75">
        <f>COUNTIFS(GERAL!B$8:B$1696,A222,GERAL!C$8:C$1696,"ANEXO")</f>
        <v>0</v>
      </c>
      <c r="D222" s="85">
        <f>SUMIF(GERAL!B$8:B$1696,A222,GERAL!Z$8:Z$1696)</f>
        <v>0</v>
      </c>
      <c r="E222" s="85">
        <f>SUMIF(GERAL!B$8:B$1696,A222,GERAL!AE$8:AE$1696)</f>
        <v>0</v>
      </c>
      <c r="F222" s="85">
        <f>SUMIF(GERAL!B$8:B$1696,A222,GERAL!AJ$8:AJ$1696)</f>
        <v>243</v>
      </c>
      <c r="G222" s="85">
        <f>SUMIF(GERAL!B$8:B$1696,A222,GERAL!AN$8:AN$1696)</f>
        <v>0</v>
      </c>
      <c r="H222" s="85">
        <f>SUMIF(GERAL!B$8:B$1696,A222,GERAL!AR$8:AW$1696)</f>
        <v>51</v>
      </c>
      <c r="I222" s="85">
        <f>SUMIF(GERAL!B$8:B$1696,A222,GERAL!AW$8:AW$1696)</f>
        <v>82</v>
      </c>
      <c r="J222" s="75">
        <f>SUMIF(GERAL!B$8:B$1696,A222,GERAL!AX$8:AX$1696)</f>
        <v>376</v>
      </c>
      <c r="K222" s="75">
        <f>COUNTIFS(GERAL!B$8:B$1696,A222,GERAL!AY$8:AY$1696,"&gt;0",GERAL!C$8:C$1696,"ESCOLA")</f>
        <v>1</v>
      </c>
      <c r="L222" s="75">
        <f>COUNTIFS(GERAL!B$8:B$1696,A222,GERAL!AY$8:AY$1696,"&gt;0",GERAL!C$8:C$1696,"ANEXO")</f>
        <v>0</v>
      </c>
      <c r="M222" s="100">
        <f>SUMIF(GERAL!B$8:B$1696,A222,GERAL!V$8:V$1696)+SUMIF(GERAL!B$8:B$1696,A222,GERAL!W$8:W$1696)</f>
        <v>0</v>
      </c>
      <c r="N222" s="100">
        <f>SUMIF(GERAL!B$8:B$1696,A222,GERAL!AA$8:AA$1696)+SUMIF(GERAL!B$8:B$1696,A222,GERAL!AB$8:AB$1696)</f>
        <v>0</v>
      </c>
      <c r="O222" s="100">
        <f>SUMIF(GERAL!B$8:B$1696,A222,GERAL!AF$8:AF$1696)+SUMIF(GERAL!B$8:B$1696,A222,GERAL!AG$8:AG$1696)</f>
        <v>71</v>
      </c>
      <c r="P222" s="100">
        <f>SUMIF(GERAL!B$8:B$1696,A222,GERAL!AK$8:AK$1696)+SUMIF(GERAL!B$8:B$1696,A222,GERAL!AL$8:AL$1696)</f>
        <v>0</v>
      </c>
      <c r="Q222" s="100">
        <f>SUMIF(GERAL!B$8:B$1696,A222,GERAL!AO$8:AO$1696)+SUMIF(GERAL!B$8:B$1696,A222,GERAL!AP$8:AP$1696)</f>
        <v>0</v>
      </c>
      <c r="R222" s="100">
        <f>SUMIF(GERAL!B$8:B$1696,A222,GERAL!AS$8:AS$1696)+SUMIF(GERAL!B$8:B$1696,A222,GERAL!AT$8:AT$1696)</f>
        <v>82</v>
      </c>
      <c r="S222" s="75">
        <f t="shared" si="39"/>
        <v>153</v>
      </c>
      <c r="T222" s="116">
        <f>COUNTIFS(GERAL!B$8:B$1696,A222,GERAL!AZ$8:AZ$1696,"&gt;0",GERAL!C$8:C$1696,"ESCOLA")</f>
        <v>1</v>
      </c>
      <c r="U222" s="75">
        <f>COUNTIFS(GERAL!B$8:B$1696,A222,GERAL!AZ$8:AZ$1696,"&gt;0",GERAL!C$8:C$1696,"ANEXO")</f>
        <v>0</v>
      </c>
      <c r="V222" s="85">
        <f>SUMIF(GERAL!B$8:B$1696,A222,GERAL!AH$8:AH$1696)</f>
        <v>0</v>
      </c>
      <c r="W222" s="85">
        <f>SUMIF(GERAL!B$8:B$1696,A222,GERAL!AM$8:AM$1696)</f>
        <v>0</v>
      </c>
      <c r="X222" s="85">
        <f>SUMIF(GERAL!B$8:B$1696,A222,GERAL!AQ$8:AQ$1696)</f>
        <v>51</v>
      </c>
      <c r="Y222" s="85">
        <f>SUMIF(GERAL!B$8:B$1696,A222,GERAL!AU$8:AU$1696)</f>
        <v>0</v>
      </c>
      <c r="Z222" s="88">
        <f t="shared" si="40"/>
        <v>51</v>
      </c>
      <c r="AA222" s="116">
        <f>COUNTIFS(GERAL!B$8:B$1696,A222,GERAL!BK$8:BK$1696,"&gt;0",GERAL!C$8:C$1696,"ESCOLA")</f>
        <v>1</v>
      </c>
      <c r="AB222" s="88">
        <f>COUNTIFS(GERAL!B$8:B$1696,A222,GERAL!BK$8:BK$1696,"&gt;0",GERAL!C$8:C$1696,"ANEXO")</f>
        <v>0</v>
      </c>
      <c r="AC222" s="121">
        <f>SUMIF(GERAL!B$8:B$1696,A222,GERAL!AD$8:AD$1696)</f>
        <v>0</v>
      </c>
      <c r="AD222" s="121">
        <f>SUMIF(GERAL!B$8:B$1696,A222,GERAL!AI$8:AI$1696)</f>
        <v>172</v>
      </c>
      <c r="AE222" s="121">
        <f>SUMIF(GERAL!B$8:B$1696,A222,GERAL!AV$8:AV$1696)</f>
        <v>0</v>
      </c>
      <c r="AF222" s="492">
        <f t="shared" si="41"/>
        <v>172</v>
      </c>
      <c r="AG222" s="178">
        <f>COUNTIFS(GERAL!B$8:B$1696,A222,GERAL!AW$8:AW$1696,"&gt;0",GERAL!C$8:C$1696,"ESCOLA")</f>
        <v>1</v>
      </c>
      <c r="AH222" s="118">
        <f>COUNTIFS(GERAL!B$8:B$1696,A222,GERAL!AW$8:AW$1696,"&gt;0",GERAL!C$8:C$1696,"ANEXO")</f>
        <v>0</v>
      </c>
      <c r="AI222" s="177">
        <f>SUMIF(GERAL!B$8:B$1696,A222,GERAL!AS$8:AS$1696)+SUMIF(GERAL!B$8:B$1696,A222,GERAL!AT$8:AT$1696)</f>
        <v>82</v>
      </c>
      <c r="AJ222" s="177">
        <f>SUMIF(GERAL!B$8:B$1696,A222,GERAL!AU$8:AU$1696)</f>
        <v>0</v>
      </c>
      <c r="AK222" s="177">
        <f>SUMIF(GERAL!B$8:B$1696,A222,GERAL!AV$8:AV$1696)</f>
        <v>0</v>
      </c>
      <c r="AL222" s="118">
        <f t="shared" si="42"/>
        <v>82</v>
      </c>
      <c r="AM222" s="493" t="s">
        <v>973</v>
      </c>
    </row>
    <row r="223">
      <c r="A223" s="494" t="s">
        <v>7345</v>
      </c>
      <c r="B223" s="75">
        <f>COUNTIFS(GERAL!B$8:B$1696,A223,GERAL!C$8:C$1696,"ESCOLA")</f>
        <v>1</v>
      </c>
      <c r="C223" s="75">
        <f>COUNTIFS(GERAL!B$8:B$1696,A223,GERAL!C$8:C$1696,"ANEXO")</f>
        <v>1</v>
      </c>
      <c r="D223" s="85">
        <f>SUMIF(GERAL!B$8:B$1696,A223,GERAL!Z$8:Z$1696)</f>
        <v>0</v>
      </c>
      <c r="E223" s="85">
        <f>SUMIF(GERAL!B$8:B$1696,A223,GERAL!AE$8:AE$1696)</f>
        <v>0</v>
      </c>
      <c r="F223" s="85">
        <f>SUMIF(GERAL!B$8:B$1696,A223,GERAL!AJ$8:AJ$1696)</f>
        <v>338</v>
      </c>
      <c r="G223" s="85">
        <f>SUMIF(GERAL!B$8:B$1696,A223,GERAL!AN$8:AN$1696)</f>
        <v>0</v>
      </c>
      <c r="H223" s="85">
        <f>SUMIF(GERAL!B$8:B$1696,A223,GERAL!AR$8:AW$1696)</f>
        <v>49</v>
      </c>
      <c r="I223" s="85">
        <f>SUMIF(GERAL!B$8:B$1696,A223,GERAL!AW$8:AW$1696)</f>
        <v>60</v>
      </c>
      <c r="J223" s="75">
        <f>SUMIF(GERAL!B$8:B$1696,A223,GERAL!AX$8:AX$1696)</f>
        <v>447</v>
      </c>
      <c r="K223" s="75">
        <f>COUNTIFS(GERAL!B$8:B$1696,A223,GERAL!AY$8:AY$1696,"&gt;0",GERAL!C$8:C$1696,"ESCOLA")</f>
        <v>1</v>
      </c>
      <c r="L223" s="75">
        <f>COUNTIFS(GERAL!B$8:B$1696,A223,GERAL!AY$8:AY$1696,"&gt;0",GERAL!C$8:C$1696,"ANEXO")</f>
        <v>1</v>
      </c>
      <c r="M223" s="100">
        <f>SUMIF(GERAL!B$8:B$1696,A223,GERAL!V$8:V$1696)+SUMIF(GERAL!B$8:B$1696,A223,GERAL!W$8:W$1696)</f>
        <v>0</v>
      </c>
      <c r="N223" s="100">
        <f>SUMIF(GERAL!B$8:B$1696,A223,GERAL!AA$8:AA$1696)+SUMIF(GERAL!B$8:B$1696,A223,GERAL!AB$8:AB$1696)</f>
        <v>0</v>
      </c>
      <c r="O223" s="100">
        <f>SUMIF(GERAL!B$8:B$1696,A223,GERAL!AF$8:AF$1696)+SUMIF(GERAL!B$8:B$1696,A223,GERAL!AG$8:AG$1696)</f>
        <v>229</v>
      </c>
      <c r="P223" s="100">
        <f>SUMIF(GERAL!B$8:B$1696,A223,GERAL!AK$8:AK$1696)+SUMIF(GERAL!B$8:B$1696,A223,GERAL!AL$8:AL$1696)</f>
        <v>0</v>
      </c>
      <c r="Q223" s="100">
        <f>SUMIF(GERAL!B$8:B$1696,A223,GERAL!AO$8:AO$1696)+SUMIF(GERAL!B$8:B$1696,A223,GERAL!AP$8:AP$1696)</f>
        <v>0</v>
      </c>
      <c r="R223" s="100">
        <f>SUMIF(GERAL!B$8:B$1696,A223,GERAL!AS$8:AS$1696)+SUMIF(GERAL!B$8:B$1696,A223,GERAL!AT$8:AT$1696)</f>
        <v>0</v>
      </c>
      <c r="S223" s="75">
        <f t="shared" si="39"/>
        <v>229</v>
      </c>
      <c r="T223" s="116">
        <f>COUNTIFS(GERAL!B$8:B$1696,A223,GERAL!AZ$8:AZ$1696,"&gt;0",GERAL!C$8:C$1696,"ESCOLA")</f>
        <v>1</v>
      </c>
      <c r="U223" s="75">
        <f>COUNTIFS(GERAL!B$8:B$1696,A223,GERAL!AZ$8:AZ$1696,"&gt;0",GERAL!C$8:C$1696,"ANEXO")</f>
        <v>1</v>
      </c>
      <c r="V223" s="85">
        <f>SUMIF(GERAL!B$8:B$1696,A223,GERAL!AH$8:AH$1696)</f>
        <v>25</v>
      </c>
      <c r="W223" s="85">
        <f>SUMIF(GERAL!B$8:B$1696,A223,GERAL!AM$8:AM$1696)</f>
        <v>0</v>
      </c>
      <c r="X223" s="85">
        <f>SUMIF(GERAL!B$8:B$1696,A223,GERAL!AQ$8:AQ$1696)</f>
        <v>49</v>
      </c>
      <c r="Y223" s="85">
        <f>SUMIF(GERAL!B$8:B$1696,A223,GERAL!AU$8:AU$1696)</f>
        <v>0</v>
      </c>
      <c r="Z223" s="88">
        <f t="shared" si="40"/>
        <v>74</v>
      </c>
      <c r="AA223" s="116">
        <f>COUNTIFS(GERAL!B$8:B$1696,A223,GERAL!BK$8:BK$1696,"&gt;0",GERAL!C$8:C$1696,"ESCOLA")</f>
        <v>1</v>
      </c>
      <c r="AB223" s="88">
        <f>COUNTIFS(GERAL!B$8:B$1696,A223,GERAL!BK$8:BK$1696,"&gt;0",GERAL!C$8:C$1696,"ANEXO")</f>
        <v>0</v>
      </c>
      <c r="AC223" s="121">
        <f>SUMIF(GERAL!B$8:B$1696,A223,GERAL!AD$8:AD$1696)</f>
        <v>0</v>
      </c>
      <c r="AD223" s="121">
        <f>SUMIF(GERAL!B$8:B$1696,A223,GERAL!AI$8:AI$1696)</f>
        <v>84</v>
      </c>
      <c r="AE223" s="121">
        <f>SUMIF(GERAL!B$8:B$1696,A223,GERAL!AV$8:AV$1696)</f>
        <v>60</v>
      </c>
      <c r="AF223" s="492">
        <f t="shared" si="41"/>
        <v>144</v>
      </c>
      <c r="AG223" s="178">
        <f>COUNTIFS(GERAL!B$8:B$1696,A223,GERAL!AW$8:AW$1696,"&gt;0",GERAL!C$8:C$1696,"ESCOLA")</f>
        <v>1</v>
      </c>
      <c r="AH223" s="118">
        <f>COUNTIFS(GERAL!B$8:B$1696,A223,GERAL!AW$8:AW$1696,"&gt;0",GERAL!C$8:C$1696,"ANEXO")</f>
        <v>0</v>
      </c>
      <c r="AI223" s="177">
        <f>SUMIF(GERAL!B$8:B$1696,A223,GERAL!AS$8:AS$1696)+SUMIF(GERAL!B$8:B$1696,A223,GERAL!AT$8:AT$1696)</f>
        <v>0</v>
      </c>
      <c r="AJ223" s="177">
        <f>SUMIF(GERAL!B$8:B$1696,A223,GERAL!AU$8:AU$1696)</f>
        <v>0</v>
      </c>
      <c r="AK223" s="177">
        <f>SUMIF(GERAL!B$8:B$1696,A223,GERAL!AV$8:AV$1696)</f>
        <v>60</v>
      </c>
      <c r="AL223" s="118">
        <f t="shared" si="42"/>
        <v>60</v>
      </c>
      <c r="AM223" s="493" t="s">
        <v>1573</v>
      </c>
    </row>
    <row r="224">
      <c r="A224" s="484" t="s">
        <v>6231</v>
      </c>
      <c r="B224" s="75">
        <f>COUNTIFS(GERAL!B$8:B$1696,A224,GERAL!C$8:C$1696,"ESCOLA")</f>
        <v>1</v>
      </c>
      <c r="C224" s="75">
        <f>COUNTIFS(GERAL!B$8:B$1696,A224,GERAL!C$8:C$1696,"ANEXO")</f>
        <v>4</v>
      </c>
      <c r="D224" s="85">
        <f>SUMIF(GERAL!B$8:B$1696,A224,GERAL!Z$8:Z$1696)</f>
        <v>0</v>
      </c>
      <c r="E224" s="85">
        <f>SUMIF(GERAL!B$8:B$1696,A224,GERAL!AE$8:AE$1696)</f>
        <v>0</v>
      </c>
      <c r="F224" s="85">
        <f>SUMIF(GERAL!B$8:B$1696,A224,GERAL!AJ$8:AJ$1696)</f>
        <v>338</v>
      </c>
      <c r="G224" s="85">
        <f>SUMIF(GERAL!B$8:B$1696,A224,GERAL!AN$8:AN$1696)</f>
        <v>0</v>
      </c>
      <c r="H224" s="85">
        <f>SUMIF(GERAL!B$8:B$1696,A224,GERAL!AR$8:AW$1696)</f>
        <v>29</v>
      </c>
      <c r="I224" s="85">
        <f>SUMIF(GERAL!B$8:B$1696,A224,GERAL!AW$8:AW$1696)</f>
        <v>50</v>
      </c>
      <c r="J224" s="75">
        <f>SUMIF(GERAL!B$8:B$1696,A224,GERAL!AX$8:AX$1696)</f>
        <v>417</v>
      </c>
      <c r="K224" s="75">
        <f>COUNTIFS(GERAL!B$8:B$1696,A224,GERAL!AY$8:AY$1696,"&gt;0",GERAL!C$8:C$1696,"ESCOLA")</f>
        <v>1</v>
      </c>
      <c r="L224" s="75">
        <f>COUNTIFS(GERAL!B$8:B$1696,A224,GERAL!AY$8:AY$1696,"&gt;0",GERAL!C$8:C$1696,"ANEXO")</f>
        <v>4</v>
      </c>
      <c r="M224" s="100">
        <f>SUMIF(GERAL!B$8:B$1696,A224,GERAL!V$8:V$1696)+SUMIF(GERAL!B$8:B$1696,A224,GERAL!W$8:W$1696)</f>
        <v>0</v>
      </c>
      <c r="N224" s="100">
        <f>SUMIF(GERAL!B$8:B$1696,A224,GERAL!AA$8:AA$1696)+SUMIF(GERAL!B$8:B$1696,A224,GERAL!AB$8:AB$1696)</f>
        <v>0</v>
      </c>
      <c r="O224" s="100">
        <f>SUMIF(GERAL!B$8:B$1696,A224,GERAL!AF$8:AF$1696)+SUMIF(GERAL!B$8:B$1696,A224,GERAL!AG$8:AG$1696)</f>
        <v>0</v>
      </c>
      <c r="P224" s="100">
        <f>SUMIF(GERAL!B$8:B$1696,A224,GERAL!AK$8:AK$1696)+SUMIF(GERAL!B$8:B$1696,A224,GERAL!AL$8:AL$1696)</f>
        <v>0</v>
      </c>
      <c r="Q224" s="100">
        <f>SUMIF(GERAL!B$8:B$1696,A224,GERAL!AO$8:AO$1696)+SUMIF(GERAL!B$8:B$1696,A224,GERAL!AP$8:AP$1696)</f>
        <v>0</v>
      </c>
      <c r="R224" s="100">
        <f>SUMIF(GERAL!B$8:B$1696,A224,GERAL!AS$8:AS$1696)+SUMIF(GERAL!B$8:B$1696,A224,GERAL!AT$8:AT$1696)</f>
        <v>0</v>
      </c>
      <c r="S224" s="75">
        <f t="shared" si="39"/>
        <v>0</v>
      </c>
      <c r="T224" s="116">
        <f>COUNTIFS(GERAL!B$8:B$1696,A224,GERAL!AZ$8:AZ$1696,"&gt;0",GERAL!C$8:C$1696,"ESCOLA")</f>
        <v>1</v>
      </c>
      <c r="U224" s="75">
        <f>COUNTIFS(GERAL!B$8:B$1696,A224,GERAL!AZ$8:AZ$1696,"&gt;0",GERAL!C$8:C$1696,"ANEXO")</f>
        <v>1</v>
      </c>
      <c r="V224" s="85">
        <f>SUMIF(GERAL!B$8:B$1696,A224,GERAL!AH$8:AH$1696)</f>
        <v>0</v>
      </c>
      <c r="W224" s="85">
        <f>SUMIF(GERAL!B$8:B$1696,A224,GERAL!AM$8:AM$1696)</f>
        <v>0</v>
      </c>
      <c r="X224" s="85">
        <f>SUMIF(GERAL!B$8:B$1696,A224,GERAL!AQ$8:AQ$1696)</f>
        <v>29</v>
      </c>
      <c r="Y224" s="85">
        <f>SUMIF(GERAL!B$8:B$1696,A224,GERAL!AU$8:AU$1696)</f>
        <v>0</v>
      </c>
      <c r="Z224" s="88">
        <f t="shared" si="40"/>
        <v>29</v>
      </c>
      <c r="AA224" s="116">
        <f>COUNTIFS(GERAL!B$8:B$1696,A224,GERAL!BK$8:BK$1696,"&gt;0",GERAL!C$8:C$1696,"ESCOLA")</f>
        <v>1</v>
      </c>
      <c r="AB224" s="88">
        <f>COUNTIFS(GERAL!B$8:B$1696,A224,GERAL!BK$8:BK$1696,"&gt;0",GERAL!C$8:C$1696,"ANEXO")</f>
        <v>4</v>
      </c>
      <c r="AC224" s="121">
        <f>SUMIF(GERAL!B$8:B$1696,A224,GERAL!AD$8:AD$1696)</f>
        <v>0</v>
      </c>
      <c r="AD224" s="121">
        <f>SUMIF(GERAL!B$8:B$1696,A224,GERAL!AI$8:AI$1696)</f>
        <v>338</v>
      </c>
      <c r="AE224" s="121">
        <f>SUMIF(GERAL!B$8:B$1696,A224,GERAL!AV$8:AV$1696)</f>
        <v>50</v>
      </c>
      <c r="AF224" s="492">
        <f t="shared" si="41"/>
        <v>388</v>
      </c>
      <c r="AG224" s="178">
        <f>COUNTIFS(GERAL!B$8:B$1696,A224,GERAL!AW$8:AW$1696,"&gt;0",GERAL!C$8:C$1696,"ESCOLA")</f>
        <v>1</v>
      </c>
      <c r="AH224" s="118">
        <f>COUNTIFS(GERAL!B$8:B$1696,A224,GERAL!AW$8:AW$1696,"&gt;0",GERAL!C$8:C$1696,"ANEXO")</f>
        <v>0</v>
      </c>
      <c r="AI224" s="177">
        <f>SUMIF(GERAL!B$8:B$1696,A224,GERAL!AS$8:AS$1696)+SUMIF(GERAL!B$8:B$1696,A224,GERAL!AT$8:AT$1696)</f>
        <v>0</v>
      </c>
      <c r="AJ224" s="177">
        <f>SUMIF(GERAL!B$8:B$1696,A224,GERAL!AU$8:AU$1696)</f>
        <v>0</v>
      </c>
      <c r="AK224" s="177">
        <f>SUMIF(GERAL!B$8:B$1696,A224,GERAL!AV$8:AV$1696)</f>
        <v>50</v>
      </c>
      <c r="AL224" s="118">
        <f t="shared" si="42"/>
        <v>50</v>
      </c>
      <c r="AM224" s="493" t="s">
        <v>1393</v>
      </c>
    </row>
    <row r="225">
      <c r="A225" s="494" t="s">
        <v>2175</v>
      </c>
      <c r="B225" s="75">
        <f>COUNTIFS(GERAL!B$8:B$1696,A225,GERAL!C$8:C$1696,"ESCOLA")</f>
        <v>5</v>
      </c>
      <c r="C225" s="75">
        <f>COUNTIFS(GERAL!B$8:B$1696,A225,GERAL!C$8:C$1696,"ANEXO")</f>
        <v>2</v>
      </c>
      <c r="D225" s="85">
        <f>SUMIF(GERAL!B$8:B$1696,A225,GERAL!Z$8:Z$1696)</f>
        <v>0</v>
      </c>
      <c r="E225" s="85">
        <f>SUMIF(GERAL!B$8:B$1696,A225,GERAL!AE$8:AE$1696)</f>
        <v>0</v>
      </c>
      <c r="F225" s="85">
        <f>SUMIF(GERAL!B$8:B$1696,A225,GERAL!AJ$8:AJ$1696)</f>
        <v>1370</v>
      </c>
      <c r="G225" s="85">
        <f>SUMIF(GERAL!B$8:B$1696,A225,GERAL!AN$8:AN$1696)</f>
        <v>0</v>
      </c>
      <c r="H225" s="85">
        <f>SUMIF(GERAL!B$8:B$1696,A225,GERAL!AR$8:AW$1696)</f>
        <v>430</v>
      </c>
      <c r="I225" s="85">
        <f>SUMIF(GERAL!B$8:B$1696,A225,GERAL!AW$8:AW$1696)</f>
        <v>1163</v>
      </c>
      <c r="J225" s="75">
        <f>SUMIF(GERAL!B$8:B$1696,A225,GERAL!AX$8:AX$1696)</f>
        <v>2963</v>
      </c>
      <c r="K225" s="75">
        <f>COUNTIFS(GERAL!B$8:B$1696,A225,GERAL!AY$8:AY$1696,"&gt;0",GERAL!C$8:C$1696,"ESCOLA")</f>
        <v>5</v>
      </c>
      <c r="L225" s="75">
        <f>COUNTIFS(GERAL!B$8:B$1696,A225,GERAL!AY$8:AY$1696,"&gt;0",GERAL!C$8:C$1696,"ANEXO")</f>
        <v>0</v>
      </c>
      <c r="M225" s="100">
        <f>SUMIF(GERAL!B$8:B$1696,A225,GERAL!V$8:V$1696)+SUMIF(GERAL!B$8:B$1696,A225,GERAL!W$8:W$1696)</f>
        <v>0</v>
      </c>
      <c r="N225" s="100">
        <f>SUMIF(GERAL!B$8:B$1696,A225,GERAL!AA$8:AA$1696)+SUMIF(GERAL!B$8:B$1696,A225,GERAL!AB$8:AB$1696)</f>
        <v>0</v>
      </c>
      <c r="O225" s="100">
        <f>SUMIF(GERAL!B$8:B$1696,A225,GERAL!AF$8:AF$1696)+SUMIF(GERAL!B$8:B$1696,A225,GERAL!AG$8:AG$1696)</f>
        <v>344</v>
      </c>
      <c r="P225" s="100">
        <f>SUMIF(GERAL!B$8:B$1696,A225,GERAL!AK$8:AK$1696)+SUMIF(GERAL!B$8:B$1696,A225,GERAL!AL$8:AL$1696)</f>
        <v>0</v>
      </c>
      <c r="Q225" s="100">
        <f>SUMIF(GERAL!B$8:B$1696,A225,GERAL!AO$8:AO$1696)+SUMIF(GERAL!B$8:B$1696,A225,GERAL!AP$8:AP$1696)</f>
        <v>0</v>
      </c>
      <c r="R225" s="100">
        <f>SUMIF(GERAL!B$8:B$1696,A225,GERAL!AS$8:AS$1696)+SUMIF(GERAL!B$8:B$1696,A225,GERAL!AT$8:AT$1696)</f>
        <v>967</v>
      </c>
      <c r="S225" s="75">
        <f t="shared" si="39"/>
        <v>1311</v>
      </c>
      <c r="T225" s="116">
        <f>COUNTIFS(GERAL!B$8:B$1696,A225,GERAL!AZ$8:AZ$1696,"&gt;0",GERAL!C$8:C$1696,"ESCOLA")</f>
        <v>4</v>
      </c>
      <c r="U225" s="75">
        <f>COUNTIFS(GERAL!B$8:B$1696,A225,GERAL!AZ$8:AZ$1696,"&gt;0",GERAL!C$8:C$1696,"ANEXO")</f>
        <v>2</v>
      </c>
      <c r="V225" s="85">
        <f>SUMIF(GERAL!B$8:B$1696,A225,GERAL!AH$8:AH$1696)</f>
        <v>88</v>
      </c>
      <c r="W225" s="85">
        <f>SUMIF(GERAL!B$8:B$1696,A225,GERAL!AM$8:AM$1696)</f>
        <v>0</v>
      </c>
      <c r="X225" s="85">
        <f>SUMIF(GERAL!B$8:B$1696,A225,GERAL!AQ$8:AQ$1696)</f>
        <v>430</v>
      </c>
      <c r="Y225" s="85">
        <f>SUMIF(GERAL!B$8:B$1696,A225,GERAL!AU$8:AU$1696)</f>
        <v>196</v>
      </c>
      <c r="Z225" s="88">
        <f t="shared" si="40"/>
        <v>714</v>
      </c>
      <c r="AA225" s="116">
        <f>COUNTIFS(GERAL!B$8:B$1696,A225,GERAL!BK$8:BK$1696,"&gt;0",GERAL!C$8:C$1696,"ESCOLA")</f>
        <v>3</v>
      </c>
      <c r="AB225" s="88">
        <f>COUNTIFS(GERAL!B$8:B$1696,A225,GERAL!BK$8:BK$1696,"&gt;0",GERAL!C$8:C$1696,"ANEXO")</f>
        <v>0</v>
      </c>
      <c r="AC225" s="121">
        <f>SUMIF(GERAL!B$8:B$1696,A225,GERAL!AD$8:AD$1696)</f>
        <v>0</v>
      </c>
      <c r="AD225" s="121">
        <f>SUMIF(GERAL!B$8:B$1696,A225,GERAL!AI$8:AI$1696)</f>
        <v>938</v>
      </c>
      <c r="AE225" s="121">
        <f>SUMIF(GERAL!B$8:B$1696,A225,GERAL!AV$8:AV$1696)</f>
        <v>0</v>
      </c>
      <c r="AF225" s="492">
        <f t="shared" si="41"/>
        <v>938</v>
      </c>
      <c r="AG225" s="178">
        <f>COUNTIFS(GERAL!B$8:B$1696,A225,GERAL!AW$8:AW$1696,"&gt;0",GERAL!C$8:C$1696,"ESCOLA")</f>
        <v>1</v>
      </c>
      <c r="AH225" s="118">
        <f>COUNTIFS(GERAL!B$8:B$1696,A225,GERAL!AW$8:AW$1696,"&gt;0",GERAL!C$8:C$1696,"ANEXO")</f>
        <v>0</v>
      </c>
      <c r="AI225" s="177">
        <f>SUMIF(GERAL!B$8:B$1696,A225,GERAL!AS$8:AS$1696)+SUMIF(GERAL!B$8:B$1696,A225,GERAL!AT$8:AT$1696)</f>
        <v>967</v>
      </c>
      <c r="AJ225" s="177">
        <f>SUMIF(GERAL!B$8:B$1696,A225,GERAL!AU$8:AU$1696)</f>
        <v>196</v>
      </c>
      <c r="AK225" s="177">
        <f>SUMIF(GERAL!B$8:B$1696,A225,GERAL!AV$8:AV$1696)</f>
        <v>0</v>
      </c>
      <c r="AL225" s="118">
        <f t="shared" si="42"/>
        <v>1163</v>
      </c>
      <c r="AM225" s="493" t="s">
        <v>1161</v>
      </c>
    </row>
    <row r="226">
      <c r="A226" s="484" t="s">
        <v>2081</v>
      </c>
      <c r="B226" s="75">
        <f>COUNTIFS(GERAL!B$8:B$1696,A226,GERAL!C$8:C$1696,"ESCOLA")</f>
        <v>3</v>
      </c>
      <c r="C226" s="75">
        <f>COUNTIFS(GERAL!B$8:B$1696,A226,GERAL!C$8:C$1696,"ANEXO")</f>
        <v>1</v>
      </c>
      <c r="D226" s="85">
        <f>SUMIF(GERAL!B$8:B$1696,A226,GERAL!Z$8:Z$1696)</f>
        <v>0</v>
      </c>
      <c r="E226" s="85">
        <f>SUMIF(GERAL!B$8:B$1696,A226,GERAL!AE$8:AE$1696)</f>
        <v>0</v>
      </c>
      <c r="F226" s="85">
        <f>SUMIF(GERAL!B$8:B$1696,A226,GERAL!AJ$8:AJ$1696)</f>
        <v>895</v>
      </c>
      <c r="G226" s="85">
        <f>SUMIF(GERAL!B$8:B$1696,A226,GERAL!AN$8:AN$1696)</f>
        <v>0</v>
      </c>
      <c r="H226" s="85">
        <f>SUMIF(GERAL!B$8:B$1696,A226,GERAL!AR$8:AW$1696)</f>
        <v>276</v>
      </c>
      <c r="I226" s="85">
        <f>SUMIF(GERAL!B$8:B$1696,A226,GERAL!AW$8:AW$1696)</f>
        <v>847</v>
      </c>
      <c r="J226" s="75">
        <f>SUMIF(GERAL!B$8:B$1696,A226,GERAL!AX$8:AX$1696)</f>
        <v>2018</v>
      </c>
      <c r="K226" s="75">
        <f>COUNTIFS(GERAL!B$8:B$1696,A226,GERAL!AY$8:AY$1696,"&gt;0",GERAL!C$8:C$1696,"ESCOLA")</f>
        <v>3</v>
      </c>
      <c r="L226" s="75">
        <f>COUNTIFS(GERAL!B$8:B$1696,A226,GERAL!AY$8:AY$1696,"&gt;0",GERAL!C$8:C$1696,"ANEXO")</f>
        <v>1</v>
      </c>
      <c r="M226" s="100">
        <f>SUMIF(GERAL!B$8:B$1696,A226,GERAL!V$8:V$1696)+SUMIF(GERAL!B$8:B$1696,A226,GERAL!W$8:W$1696)</f>
        <v>0</v>
      </c>
      <c r="N226" s="100">
        <f>SUMIF(GERAL!B$8:B$1696,A226,GERAL!AA$8:AA$1696)+SUMIF(GERAL!B$8:B$1696,A226,GERAL!AB$8:AB$1696)</f>
        <v>0</v>
      </c>
      <c r="O226" s="100">
        <f>SUMIF(GERAL!B$8:B$1696,A226,GERAL!AF$8:AF$1696)+SUMIF(GERAL!B$8:B$1696,A226,GERAL!AG$8:AG$1696)</f>
        <v>779</v>
      </c>
      <c r="P226" s="100">
        <f>SUMIF(GERAL!B$8:B$1696,A226,GERAL!AK$8:AK$1696)+SUMIF(GERAL!B$8:B$1696,A226,GERAL!AL$8:AL$1696)</f>
        <v>0</v>
      </c>
      <c r="Q226" s="100">
        <f>SUMIF(GERAL!B$8:B$1696,A226,GERAL!AO$8:AO$1696)+SUMIF(GERAL!B$8:B$1696,A226,GERAL!AP$8:AP$1696)</f>
        <v>0</v>
      </c>
      <c r="R226" s="100">
        <f>SUMIF(GERAL!B$8:B$1696,A226,GERAL!AS$8:AS$1696)+SUMIF(GERAL!B$8:B$1696,A226,GERAL!AT$8:AT$1696)</f>
        <v>617</v>
      </c>
      <c r="S226" s="75">
        <f t="shared" si="39"/>
        <v>1396</v>
      </c>
      <c r="T226" s="116">
        <f>COUNTIFS(GERAL!B$8:B$1696,A226,GERAL!AZ$8:AZ$1696,"&gt;0",GERAL!C$8:C$1696,"ESCOLA")</f>
        <v>3</v>
      </c>
      <c r="U226" s="75">
        <f>COUNTIFS(GERAL!B$8:B$1696,A226,GERAL!AZ$8:AZ$1696,"&gt;0",GERAL!C$8:C$1696,"ANEXO")</f>
        <v>1</v>
      </c>
      <c r="V226" s="85">
        <f>SUMIF(GERAL!B$8:B$1696,A226,GERAL!AH$8:AH$1696)</f>
        <v>0</v>
      </c>
      <c r="W226" s="85">
        <f>SUMIF(GERAL!B$8:B$1696,A226,GERAL!AM$8:AM$1696)</f>
        <v>0</v>
      </c>
      <c r="X226" s="85">
        <f>SUMIF(GERAL!B$8:B$1696,A226,GERAL!AQ$8:AQ$1696)</f>
        <v>276</v>
      </c>
      <c r="Y226" s="85">
        <f>SUMIF(GERAL!B$8:B$1696,A226,GERAL!AU$8:AU$1696)</f>
        <v>230</v>
      </c>
      <c r="Z226" s="88">
        <f t="shared" si="40"/>
        <v>506</v>
      </c>
      <c r="AA226" s="116">
        <f>COUNTIFS(GERAL!B$8:B$1696,A226,GERAL!BK$8:BK$1696,"&gt;0",GERAL!C$8:C$1696,"ESCOLA")</f>
        <v>2</v>
      </c>
      <c r="AB226" s="88">
        <f>COUNTIFS(GERAL!B$8:B$1696,A226,GERAL!BK$8:BK$1696,"&gt;0",GERAL!C$8:C$1696,"ANEXO")</f>
        <v>0</v>
      </c>
      <c r="AC226" s="121">
        <f>SUMIF(GERAL!B$8:B$1696,A226,GERAL!AD$8:AD$1696)</f>
        <v>0</v>
      </c>
      <c r="AD226" s="121">
        <f>SUMIF(GERAL!B$8:B$1696,A226,GERAL!AI$8:AI$1696)</f>
        <v>116</v>
      </c>
      <c r="AE226" s="121">
        <f>SUMIF(GERAL!B$8:B$1696,A226,GERAL!AV$8:AV$1696)</f>
        <v>0</v>
      </c>
      <c r="AF226" s="492">
        <f t="shared" si="41"/>
        <v>116</v>
      </c>
      <c r="AG226" s="178">
        <f>COUNTIFS(GERAL!B$8:B$1696,A226,GERAL!AW$8:AW$1696,"&gt;0",GERAL!C$8:C$1696,"ESCOLA")</f>
        <v>1</v>
      </c>
      <c r="AH226" s="118">
        <f>COUNTIFS(GERAL!B$8:B$1696,A226,GERAL!AW$8:AW$1696,"&gt;0",GERAL!C$8:C$1696,"ANEXO")</f>
        <v>0</v>
      </c>
      <c r="AI226" s="177">
        <f>SUMIF(GERAL!B$8:B$1696,A226,GERAL!AS$8:AS$1696)+SUMIF(GERAL!B$8:B$1696,A226,GERAL!AT$8:AT$1696)</f>
        <v>617</v>
      </c>
      <c r="AJ226" s="177">
        <f>SUMIF(GERAL!B$8:B$1696,A226,GERAL!AU$8:AU$1696)</f>
        <v>230</v>
      </c>
      <c r="AK226" s="177">
        <f>SUMIF(GERAL!B$8:B$1696,A226,GERAL!AV$8:AV$1696)</f>
        <v>0</v>
      </c>
      <c r="AL226" s="118">
        <f t="shared" si="42"/>
        <v>847</v>
      </c>
      <c r="AM226" s="493" t="s">
        <v>723</v>
      </c>
    </row>
    <row r="227">
      <c r="A227" s="494" t="s">
        <v>7739</v>
      </c>
      <c r="B227" s="75">
        <f>COUNTIFS(GERAL!B$8:B$1696,A227,GERAL!C$8:C$1696,"ESCOLA")</f>
        <v>2</v>
      </c>
      <c r="C227" s="75">
        <f>COUNTIFS(GERAL!B$8:B$1696,A227,GERAL!C$8:C$1696,"ANEXO")</f>
        <v>2</v>
      </c>
      <c r="D227" s="85">
        <f>SUMIF(GERAL!B$8:B$1696,A227,GERAL!Z$8:Z$1696)</f>
        <v>0</v>
      </c>
      <c r="E227" s="85">
        <f>SUMIF(GERAL!B$8:B$1696,A227,GERAL!AE$8:AE$1696)</f>
        <v>0</v>
      </c>
      <c r="F227" s="85">
        <f>SUMIF(GERAL!B$8:B$1696,A227,GERAL!AJ$8:AJ$1696)</f>
        <v>470</v>
      </c>
      <c r="G227" s="85">
        <f>SUMIF(GERAL!B$8:B$1696,A227,GERAL!AN$8:AN$1696)</f>
        <v>0</v>
      </c>
      <c r="H227" s="85">
        <f>SUMIF(GERAL!B$8:B$1696,A227,GERAL!AR$8:AW$1696)</f>
        <v>52</v>
      </c>
      <c r="I227" s="85">
        <f>SUMIF(GERAL!B$8:B$1696,A227,GERAL!AW$8:AW$1696)</f>
        <v>802</v>
      </c>
      <c r="J227" s="75">
        <f>SUMIF(GERAL!B$8:B$1696,A227,GERAL!AX$8:AX$1696)</f>
        <v>1324</v>
      </c>
      <c r="K227" s="75">
        <f>COUNTIFS(GERAL!B$8:B$1696,A227,GERAL!AY$8:AY$1696,"&gt;0",GERAL!C$8:C$1696,"ESCOLA")</f>
        <v>2</v>
      </c>
      <c r="L227" s="75">
        <f>COUNTIFS(GERAL!B$8:B$1696,A227,GERAL!AY$8:AY$1696,"&gt;0",GERAL!C$8:C$1696,"ANEXO")</f>
        <v>0</v>
      </c>
      <c r="M227" s="100">
        <f>SUMIF(GERAL!B$8:B$1696,A227,GERAL!V$8:V$1696)+SUMIF(GERAL!B$8:B$1696,A227,GERAL!W$8:W$1696)</f>
        <v>0</v>
      </c>
      <c r="N227" s="100">
        <f>SUMIF(GERAL!B$8:B$1696,A227,GERAL!AA$8:AA$1696)+SUMIF(GERAL!B$8:B$1696,A227,GERAL!AB$8:AB$1696)</f>
        <v>0</v>
      </c>
      <c r="O227" s="100">
        <f>SUMIF(GERAL!B$8:B$1696,A227,GERAL!AF$8:AF$1696)+SUMIF(GERAL!B$8:B$1696,A227,GERAL!AG$8:AG$1696)</f>
        <v>0</v>
      </c>
      <c r="P227" s="100">
        <f>SUMIF(GERAL!B$8:B$1696,A227,GERAL!AK$8:AK$1696)+SUMIF(GERAL!B$8:B$1696,A227,GERAL!AL$8:AL$1696)</f>
        <v>0</v>
      </c>
      <c r="Q227" s="100">
        <f>SUMIF(GERAL!B$8:B$1696,A227,GERAL!AO$8:AO$1696)+SUMIF(GERAL!B$8:B$1696,A227,GERAL!AP$8:AP$1696)</f>
        <v>0</v>
      </c>
      <c r="R227" s="100">
        <f>SUMIF(GERAL!B$8:B$1696,A227,GERAL!AS$8:AS$1696)+SUMIF(GERAL!B$8:B$1696,A227,GERAL!AT$8:AT$1696)</f>
        <v>446</v>
      </c>
      <c r="S227" s="75">
        <f t="shared" si="39"/>
        <v>446</v>
      </c>
      <c r="T227" s="116">
        <f>COUNTIFS(GERAL!B$8:B$1696,A227,GERAL!AZ$8:AZ$1696,"&gt;0",GERAL!C$8:C$1696,"ESCOLA")</f>
        <v>1</v>
      </c>
      <c r="U227" s="75">
        <f>COUNTIFS(GERAL!B$8:B$1696,A227,GERAL!AZ$8:AZ$1696,"&gt;0",GERAL!C$8:C$1696,"ANEXO")</f>
        <v>2</v>
      </c>
      <c r="V227" s="85">
        <f>SUMIF(GERAL!B$8:B$1696,A227,GERAL!AH$8:AH$1696)</f>
        <v>89</v>
      </c>
      <c r="W227" s="85">
        <f>SUMIF(GERAL!B$8:B$1696,A227,GERAL!AM$8:AM$1696)</f>
        <v>0</v>
      </c>
      <c r="X227" s="85">
        <f>SUMIF(GERAL!B$8:B$1696,A227,GERAL!AQ$8:AQ$1696)</f>
        <v>52</v>
      </c>
      <c r="Y227" s="85">
        <f>SUMIF(GERAL!B$8:B$1696,A227,GERAL!AU$8:AU$1696)</f>
        <v>121</v>
      </c>
      <c r="Z227" s="88">
        <f t="shared" si="40"/>
        <v>262</v>
      </c>
      <c r="AA227" s="116">
        <f>COUNTIFS(GERAL!B$8:B$1696,A227,GERAL!BK$8:BK$1696,"&gt;0",GERAL!C$8:C$1696,"ESCOLA")</f>
        <v>2</v>
      </c>
      <c r="AB227" s="88">
        <f>COUNTIFS(GERAL!B$8:B$1696,A227,GERAL!BK$8:BK$1696,"&gt;0",GERAL!C$8:C$1696,"ANEXO")</f>
        <v>0</v>
      </c>
      <c r="AC227" s="121">
        <f>SUMIF(GERAL!B$8:B$1696,A227,GERAL!AD$8:AD$1696)</f>
        <v>0</v>
      </c>
      <c r="AD227" s="121">
        <f>SUMIF(GERAL!B$8:B$1696,A227,GERAL!AI$8:AI$1696)</f>
        <v>381</v>
      </c>
      <c r="AE227" s="121">
        <f>SUMIF(GERAL!B$8:B$1696,A227,GERAL!AV$8:AV$1696)</f>
        <v>235</v>
      </c>
      <c r="AF227" s="492">
        <f t="shared" si="41"/>
        <v>616</v>
      </c>
      <c r="AG227" s="178">
        <f>COUNTIFS(GERAL!B$8:B$1696,A227,GERAL!AW$8:AW$1696,"&gt;0",GERAL!C$8:C$1696,"ESCOLA")</f>
        <v>1</v>
      </c>
      <c r="AH227" s="118">
        <f>COUNTIFS(GERAL!B$8:B$1696,A227,GERAL!AW$8:AW$1696,"&gt;0",GERAL!C$8:C$1696,"ANEXO")</f>
        <v>0</v>
      </c>
      <c r="AI227" s="177">
        <f>SUMIF(GERAL!B$8:B$1696,A227,GERAL!AS$8:AS$1696)+SUMIF(GERAL!B$8:B$1696,A227,GERAL!AT$8:AT$1696)</f>
        <v>446</v>
      </c>
      <c r="AJ227" s="177">
        <f>SUMIF(GERAL!B$8:B$1696,A227,GERAL!AU$8:AU$1696)</f>
        <v>121</v>
      </c>
      <c r="AK227" s="177">
        <f>SUMIF(GERAL!B$8:B$1696,A227,GERAL!AV$8:AV$1696)</f>
        <v>235</v>
      </c>
      <c r="AL227" s="118">
        <f t="shared" si="42"/>
        <v>802</v>
      </c>
      <c r="AM227" s="493" t="s">
        <v>1707</v>
      </c>
    </row>
    <row r="228">
      <c r="A228" s="484" t="s">
        <v>1758</v>
      </c>
      <c r="B228" s="75">
        <f>COUNTIFS(GERAL!B$8:B$1696,A228,GERAL!C$8:C$1696,"ESCOLA")</f>
        <v>1</v>
      </c>
      <c r="C228" s="75">
        <f>COUNTIFS(GERAL!B$8:B$1696,A228,GERAL!C$8:C$1696,"ANEXO")</f>
        <v>1</v>
      </c>
      <c r="D228" s="85">
        <f>SUMIF(GERAL!B$8:B$1696,A228,GERAL!Z$8:Z$1696)</f>
        <v>0</v>
      </c>
      <c r="E228" s="85">
        <f>SUMIF(GERAL!B$8:B$1696,A228,GERAL!AE$8:AE$1696)</f>
        <v>0</v>
      </c>
      <c r="F228" s="85">
        <f>SUMIF(GERAL!B$8:B$1696,A228,GERAL!AJ$8:AJ$1696)</f>
        <v>238</v>
      </c>
      <c r="G228" s="85">
        <f>SUMIF(GERAL!B$8:B$1696,A228,GERAL!AN$8:AN$1696)</f>
        <v>0</v>
      </c>
      <c r="H228" s="85">
        <f>SUMIF(GERAL!B$8:B$1696,A228,GERAL!AR$8:AW$1696)</f>
        <v>105</v>
      </c>
      <c r="I228" s="85">
        <f>SUMIF(GERAL!B$8:B$1696,A228,GERAL!AW$8:AW$1696)</f>
        <v>57</v>
      </c>
      <c r="J228" s="75">
        <f>SUMIF(GERAL!B$8:B$1696,A228,GERAL!AX$8:AX$1696)</f>
        <v>400</v>
      </c>
      <c r="K228" s="75">
        <f>COUNTIFS(GERAL!B$8:B$1696,A228,GERAL!AY$8:AY$1696,"&gt;0",GERAL!C$8:C$1696,"ESCOLA")</f>
        <v>1</v>
      </c>
      <c r="L228" s="75">
        <f>COUNTIFS(GERAL!B$8:B$1696,A228,GERAL!AY$8:AY$1696,"&gt;0",GERAL!C$8:C$1696,"ANEXO")</f>
        <v>1</v>
      </c>
      <c r="M228" s="100">
        <f>SUMIF(GERAL!B$8:B$1696,A228,GERAL!V$8:V$1696)+SUMIF(GERAL!B$8:B$1696,A228,GERAL!W$8:W$1696)</f>
        <v>0</v>
      </c>
      <c r="N228" s="100">
        <f>SUMIF(GERAL!B$8:B$1696,A228,GERAL!AA$8:AA$1696)+SUMIF(GERAL!B$8:B$1696,A228,GERAL!AB$8:AB$1696)</f>
        <v>0</v>
      </c>
      <c r="O228" s="100">
        <f>SUMIF(GERAL!B$8:B$1696,A228,GERAL!AF$8:AF$1696)+SUMIF(GERAL!B$8:B$1696,A228,GERAL!AG$8:AG$1696)</f>
        <v>202</v>
      </c>
      <c r="P228" s="100">
        <f>SUMIF(GERAL!B$8:B$1696,A228,GERAL!AK$8:AK$1696)+SUMIF(GERAL!B$8:B$1696,A228,GERAL!AL$8:AL$1696)</f>
        <v>0</v>
      </c>
      <c r="Q228" s="100">
        <f>SUMIF(GERAL!B$8:B$1696,A228,GERAL!AO$8:AO$1696)+SUMIF(GERAL!B$8:B$1696,A228,GERAL!AP$8:AP$1696)</f>
        <v>0</v>
      </c>
      <c r="R228" s="100">
        <f>SUMIF(GERAL!B$8:B$1696,A228,GERAL!AS$8:AS$1696)+SUMIF(GERAL!B$8:B$1696,A228,GERAL!AT$8:AT$1696)</f>
        <v>0</v>
      </c>
      <c r="S228" s="75">
        <f t="shared" si="39"/>
        <v>202</v>
      </c>
      <c r="T228" s="116">
        <f>COUNTIFS(GERAL!B$8:B$1696,A228,GERAL!AZ$8:AZ$1696,"&gt;0",GERAL!C$8:C$1696,"ESCOLA")</f>
        <v>1</v>
      </c>
      <c r="U228" s="75">
        <f>COUNTIFS(GERAL!B$8:B$1696,A228,GERAL!AZ$8:AZ$1696,"&gt;0",GERAL!C$8:C$1696,"ANEXO")</f>
        <v>1</v>
      </c>
      <c r="V228" s="85">
        <f>SUMIF(GERAL!B$8:B$1696,A228,GERAL!AH$8:AH$1696)</f>
        <v>0</v>
      </c>
      <c r="W228" s="85">
        <f>SUMIF(GERAL!B$8:B$1696,A228,GERAL!AM$8:AM$1696)</f>
        <v>0</v>
      </c>
      <c r="X228" s="85">
        <f>SUMIF(GERAL!B$8:B$1696,A228,GERAL!AQ$8:AQ$1696)</f>
        <v>105</v>
      </c>
      <c r="Y228" s="85">
        <f>SUMIF(GERAL!B$8:B$1696,A228,GERAL!AU$8:AU$1696)</f>
        <v>0</v>
      </c>
      <c r="Z228" s="88">
        <f t="shared" si="40"/>
        <v>105</v>
      </c>
      <c r="AA228" s="116">
        <f>COUNTIFS(GERAL!B$8:B$1696,A228,GERAL!BK$8:BK$1696,"&gt;0",GERAL!C$8:C$1696,"ESCOLA")</f>
        <v>1</v>
      </c>
      <c r="AB228" s="88">
        <f>COUNTIFS(GERAL!B$8:B$1696,A228,GERAL!BK$8:BK$1696,"&gt;0",GERAL!C$8:C$1696,"ANEXO")</f>
        <v>0</v>
      </c>
      <c r="AC228" s="121">
        <f>SUMIF(GERAL!B$8:B$1696,A228,GERAL!AD$8:AD$1696)</f>
        <v>0</v>
      </c>
      <c r="AD228" s="121">
        <f>SUMIF(GERAL!B$8:B$1696,A228,GERAL!AI$8:AI$1696)</f>
        <v>36</v>
      </c>
      <c r="AE228" s="121">
        <f>SUMIF(GERAL!B$8:B$1696,A228,GERAL!AV$8:AV$1696)</f>
        <v>57</v>
      </c>
      <c r="AF228" s="492">
        <f t="shared" si="41"/>
        <v>93</v>
      </c>
      <c r="AG228" s="178">
        <f>COUNTIFS(GERAL!B$8:B$1696,A228,GERAL!AW$8:AW$1696,"&gt;0",GERAL!C$8:C$1696,"ESCOLA")</f>
        <v>1</v>
      </c>
      <c r="AH228" s="118">
        <f>COUNTIFS(GERAL!B$8:B$1696,A228,GERAL!AW$8:AW$1696,"&gt;0",GERAL!C$8:C$1696,"ANEXO")</f>
        <v>0</v>
      </c>
      <c r="AI228" s="177">
        <f>SUMIF(GERAL!B$8:B$1696,A228,GERAL!AS$8:AS$1696)+SUMIF(GERAL!B$8:B$1696,A228,GERAL!AT$8:AT$1696)</f>
        <v>0</v>
      </c>
      <c r="AJ228" s="177">
        <f>SUMIF(GERAL!B$8:B$1696,A228,GERAL!AU$8:AU$1696)</f>
        <v>0</v>
      </c>
      <c r="AK228" s="177">
        <f>SUMIF(GERAL!B$8:B$1696,A228,GERAL!AV$8:AV$1696)</f>
        <v>57</v>
      </c>
      <c r="AL228" s="118">
        <f t="shared" si="42"/>
        <v>57</v>
      </c>
      <c r="AM228" s="493" t="s">
        <v>540</v>
      </c>
    </row>
    <row r="229">
      <c r="A229" s="494" t="s">
        <v>5651</v>
      </c>
      <c r="B229" s="75">
        <f>COUNTIFS(GERAL!B$8:B$1696,A229,GERAL!C$8:C$1696,"ESCOLA")</f>
        <v>1</v>
      </c>
      <c r="C229" s="75">
        <f>COUNTIFS(GERAL!B$8:B$1696,A229,GERAL!C$8:C$1696,"ANEXO")</f>
        <v>4</v>
      </c>
      <c r="D229" s="85">
        <f>SUMIF(GERAL!B$8:B$1696,A229,GERAL!Z$8:Z$1696)</f>
        <v>0</v>
      </c>
      <c r="E229" s="85">
        <f>SUMIF(GERAL!B$8:B$1696,A229,GERAL!AE$8:AE$1696)</f>
        <v>0</v>
      </c>
      <c r="F229" s="85">
        <f>SUMIF(GERAL!B$8:B$1696,A229,GERAL!AJ$8:AJ$1696)</f>
        <v>304</v>
      </c>
      <c r="G229" s="85">
        <f>SUMIF(GERAL!B$8:B$1696,A229,GERAL!AN$8:AN$1696)</f>
        <v>0</v>
      </c>
      <c r="H229" s="85">
        <f>SUMIF(GERAL!B$8:B$1696,A229,GERAL!AR$8:AW$1696)</f>
        <v>63</v>
      </c>
      <c r="I229" s="85">
        <f>SUMIF(GERAL!B$8:B$1696,A229,GERAL!AW$8:AW$1696)</f>
        <v>83</v>
      </c>
      <c r="J229" s="75">
        <f>SUMIF(GERAL!B$8:B$1696,A229,GERAL!AX$8:AX$1696)</f>
        <v>450</v>
      </c>
      <c r="K229" s="75">
        <f>COUNTIFS(GERAL!B$8:B$1696,A229,GERAL!AY$8:AY$1696,"&gt;0",GERAL!C$8:C$1696,"ESCOLA")</f>
        <v>1</v>
      </c>
      <c r="L229" s="75">
        <f>COUNTIFS(GERAL!B$8:B$1696,A229,GERAL!AY$8:AY$1696,"&gt;0",GERAL!C$8:C$1696,"ANEXO")</f>
        <v>0</v>
      </c>
      <c r="M229" s="100">
        <f>SUMIF(GERAL!B$8:B$1696,A229,GERAL!V$8:V$1696)+SUMIF(GERAL!B$8:B$1696,A229,GERAL!W$8:W$1696)</f>
        <v>0</v>
      </c>
      <c r="N229" s="100">
        <f>SUMIF(GERAL!B$8:B$1696,A229,GERAL!AA$8:AA$1696)+SUMIF(GERAL!B$8:B$1696,A229,GERAL!AB$8:AB$1696)</f>
        <v>0</v>
      </c>
      <c r="O229" s="100">
        <f>SUMIF(GERAL!B$8:B$1696,A229,GERAL!AF$8:AF$1696)+SUMIF(GERAL!B$8:B$1696,A229,GERAL!AG$8:AG$1696)</f>
        <v>122</v>
      </c>
      <c r="P229" s="100">
        <f>SUMIF(GERAL!B$8:B$1696,A229,GERAL!AK$8:AK$1696)+SUMIF(GERAL!B$8:B$1696,A229,GERAL!AL$8:AL$1696)</f>
        <v>0</v>
      </c>
      <c r="Q229" s="100">
        <f>SUMIF(GERAL!B$8:B$1696,A229,GERAL!AO$8:AO$1696)+SUMIF(GERAL!B$8:B$1696,A229,GERAL!AP$8:AP$1696)</f>
        <v>0</v>
      </c>
      <c r="R229" s="100">
        <f>SUMIF(GERAL!B$8:B$1696,A229,GERAL!AS$8:AS$1696)+SUMIF(GERAL!B$8:B$1696,A229,GERAL!AT$8:AT$1696)</f>
        <v>72</v>
      </c>
      <c r="S229" s="75">
        <f t="shared" si="39"/>
        <v>194</v>
      </c>
      <c r="T229" s="116">
        <f>COUNTIFS(GERAL!B$8:B$1696,A229,GERAL!AZ$8:AZ$1696,"&gt;0",GERAL!C$8:C$1696,"ESCOLA")</f>
        <v>1</v>
      </c>
      <c r="U229" s="75">
        <f>COUNTIFS(GERAL!B$8:B$1696,A229,GERAL!AZ$8:AZ$1696,"&gt;0",GERAL!C$8:C$1696,"ANEXO")</f>
        <v>4</v>
      </c>
      <c r="V229" s="85">
        <f>SUMIF(GERAL!B$8:B$1696,A229,GERAL!AH$8:AH$1696)</f>
        <v>182</v>
      </c>
      <c r="W229" s="85">
        <f>SUMIF(GERAL!B$8:B$1696,A229,GERAL!AM$8:AM$1696)</f>
        <v>0</v>
      </c>
      <c r="X229" s="85">
        <f>SUMIF(GERAL!B$8:B$1696,A229,GERAL!AQ$8:AQ$1696)</f>
        <v>63</v>
      </c>
      <c r="Y229" s="85">
        <f>SUMIF(GERAL!B$8:B$1696,A229,GERAL!AU$8:AU$1696)</f>
        <v>11</v>
      </c>
      <c r="Z229" s="88">
        <f t="shared" si="40"/>
        <v>256</v>
      </c>
      <c r="AA229" s="116">
        <f>COUNTIFS(GERAL!B$8:B$1696,A229,GERAL!BK$8:BK$1696,"&gt;0",GERAL!C$8:C$1696,"ESCOLA")</f>
        <v>0</v>
      </c>
      <c r="AB229" s="88">
        <f>COUNTIFS(GERAL!B$8:B$1696,A229,GERAL!BK$8:BK$1696,"&gt;0",GERAL!C$8:C$1696,"ANEXO")</f>
        <v>0</v>
      </c>
      <c r="AC229" s="121">
        <f>SUMIF(GERAL!B$8:B$1696,A229,GERAL!AD$8:AD$1696)</f>
        <v>0</v>
      </c>
      <c r="AD229" s="121">
        <f>SUMIF(GERAL!B$8:B$1696,A229,GERAL!AI$8:AI$1696)</f>
        <v>0</v>
      </c>
      <c r="AE229" s="121">
        <f>SUMIF(GERAL!B$8:B$1696,A229,GERAL!AV$8:AV$1696)</f>
        <v>0</v>
      </c>
      <c r="AF229" s="492">
        <f t="shared" si="41"/>
        <v>0</v>
      </c>
      <c r="AG229" s="178">
        <f>COUNTIFS(GERAL!B$8:B$1696,A229,GERAL!AW$8:AW$1696,"&gt;0",GERAL!C$8:C$1696,"ESCOLA")</f>
        <v>1</v>
      </c>
      <c r="AH229" s="118">
        <f>COUNTIFS(GERAL!B$8:B$1696,A229,GERAL!AW$8:AW$1696,"&gt;0",GERAL!C$8:C$1696,"ANEXO")</f>
        <v>0</v>
      </c>
      <c r="AI229" s="177">
        <f>SUMIF(GERAL!B$8:B$1696,A229,GERAL!AS$8:AS$1696)+SUMIF(GERAL!B$8:B$1696,A229,GERAL!AT$8:AT$1696)</f>
        <v>72</v>
      </c>
      <c r="AJ229" s="177">
        <f>SUMIF(GERAL!B$8:B$1696,A229,GERAL!AU$8:AU$1696)</f>
        <v>11</v>
      </c>
      <c r="AK229" s="177">
        <f>SUMIF(GERAL!B$8:B$1696,A229,GERAL!AV$8:AV$1696)</f>
        <v>0</v>
      </c>
      <c r="AL229" s="118">
        <f t="shared" si="42"/>
        <v>83</v>
      </c>
      <c r="AM229" s="493" t="s">
        <v>1281</v>
      </c>
    </row>
    <row r="230">
      <c r="A230" s="484" t="s">
        <v>7016</v>
      </c>
      <c r="B230" s="75">
        <f>COUNTIFS(GERAL!B$8:B$1696,A230,GERAL!C$8:C$1696,"ESCOLA")</f>
        <v>13</v>
      </c>
      <c r="C230" s="75">
        <f>COUNTIFS(GERAL!B$8:B$1696,A230,GERAL!C$8:C$1696,"ANEXO")</f>
        <v>4</v>
      </c>
      <c r="D230" s="85">
        <f>SUMIF(GERAL!B$8:B$1696,A230,GERAL!Z$8:Z$1696)</f>
        <v>0</v>
      </c>
      <c r="E230" s="85">
        <f>SUMIF(GERAL!B$8:B$1696,A230,GERAL!AE$8:AE$1696)</f>
        <v>1006</v>
      </c>
      <c r="F230" s="85">
        <f>SUMIF(GERAL!B$8:B$1696,A230,GERAL!AJ$8:AJ$1696)</f>
        <v>3055</v>
      </c>
      <c r="G230" s="85">
        <f>SUMIF(GERAL!B$8:B$1696,A230,GERAL!AN$8:AN$1696)</f>
        <v>210</v>
      </c>
      <c r="H230" s="85">
        <f>SUMIF(GERAL!B$8:B$1696,A230,GERAL!AR$8:AW$1696)</f>
        <v>902</v>
      </c>
      <c r="I230" s="85">
        <f>SUMIF(GERAL!B$8:B$1696,A230,GERAL!AW$8:AW$1696)</f>
        <v>1885</v>
      </c>
      <c r="J230" s="75">
        <f>SUMIF(GERAL!B$8:B$1696,A230,GERAL!AX$8:AX$1696)</f>
        <v>7058</v>
      </c>
      <c r="K230" s="75">
        <f>COUNTIFS(GERAL!B$8:B$1696,A230,GERAL!AY$8:AY$1696,"&gt;0",GERAL!C$8:C$1696,"ESCOLA")</f>
        <v>10</v>
      </c>
      <c r="L230" s="75">
        <f>COUNTIFS(GERAL!B$8:B$1696,A230,GERAL!AY$8:AY$1696,"&gt;0",GERAL!C$8:C$1696,"ANEXO")</f>
        <v>3</v>
      </c>
      <c r="M230" s="100">
        <f>SUMIF(GERAL!B$8:B$1696,A230,GERAL!V$8:V$1696)+SUMIF(GERAL!B$8:B$1696,A230,GERAL!W$8:W$1696)</f>
        <v>0</v>
      </c>
      <c r="N230" s="100">
        <f>SUMIF(GERAL!B$8:B$1696,A230,GERAL!AA$8:AA$1696)+SUMIF(GERAL!B$8:B$1696,A230,GERAL!AB$8:AB$1696)</f>
        <v>946</v>
      </c>
      <c r="O230" s="100">
        <f>SUMIF(GERAL!B$8:B$1696,A230,GERAL!AF$8:AF$1696)+SUMIF(GERAL!B$8:B$1696,A230,GERAL!AG$8:AG$1696)</f>
        <v>2305</v>
      </c>
      <c r="P230" s="100">
        <f>SUMIF(GERAL!B$8:B$1696,A230,GERAL!AK$8:AK$1696)+SUMIF(GERAL!B$8:B$1696,A230,GERAL!AL$8:AL$1696)</f>
        <v>210</v>
      </c>
      <c r="Q230" s="100">
        <f>SUMIF(GERAL!B$8:B$1696,A230,GERAL!AO$8:AO$1696)+SUMIF(GERAL!B$8:B$1696,A230,GERAL!AP$8:AP$1696)</f>
        <v>78</v>
      </c>
      <c r="R230" s="100">
        <f>SUMIF(GERAL!B$8:B$1696,A230,GERAL!AS$8:AS$1696)+SUMIF(GERAL!B$8:B$1696,A230,GERAL!AT$8:AT$1696)</f>
        <v>893</v>
      </c>
      <c r="S230" s="75">
        <f t="shared" si="39"/>
        <v>4432</v>
      </c>
      <c r="T230" s="116">
        <f>COUNTIFS(GERAL!B$8:B$1696,A230,GERAL!AZ$8:AZ$1696,"&gt;0",GERAL!C$8:C$1696,"ESCOLA")</f>
        <v>8</v>
      </c>
      <c r="U230" s="75">
        <f>COUNTIFS(GERAL!B$8:B$1696,A230,GERAL!AZ$8:AZ$1696,"&gt;0",GERAL!C$8:C$1696,"ANEXO")</f>
        <v>2</v>
      </c>
      <c r="V230" s="85">
        <f>SUMIF(GERAL!B$8:B$1696,A230,GERAL!AH$8:AH$1696)</f>
        <v>0</v>
      </c>
      <c r="W230" s="85">
        <f>SUMIF(GERAL!B$8:B$1696,A230,GERAL!AM$8:AM$1696)</f>
        <v>0</v>
      </c>
      <c r="X230" s="85">
        <f>SUMIF(GERAL!B$8:B$1696,A230,GERAL!AQ$8:AQ$1696)</f>
        <v>824</v>
      </c>
      <c r="Y230" s="85">
        <f>SUMIF(GERAL!B$8:B$1696,A230,GERAL!AU$8:AU$1696)</f>
        <v>819</v>
      </c>
      <c r="Z230" s="88">
        <f t="shared" si="40"/>
        <v>1643</v>
      </c>
      <c r="AA230" s="116">
        <f>COUNTIFS(GERAL!B$8:B$1696,A230,GERAL!BK$8:BK$1696,"&gt;0",GERAL!C$8:C$1696,"ESCOLA")</f>
        <v>6</v>
      </c>
      <c r="AB230" s="88">
        <f>COUNTIFS(GERAL!B$8:B$1696,A230,GERAL!BK$8:BK$1696,"&gt;0",GERAL!C$8:C$1696,"ANEXO")</f>
        <v>0</v>
      </c>
      <c r="AC230" s="121">
        <f>SUMIF(GERAL!B$8:B$1696,A230,GERAL!AD$8:AD$1696)</f>
        <v>60</v>
      </c>
      <c r="AD230" s="121">
        <f>SUMIF(GERAL!B$8:B$1696,A230,GERAL!AI$8:AI$1696)</f>
        <v>750</v>
      </c>
      <c r="AE230" s="121">
        <f>SUMIF(GERAL!B$8:B$1696,A230,GERAL!AV$8:AV$1696)</f>
        <v>173</v>
      </c>
      <c r="AF230" s="492">
        <f t="shared" si="41"/>
        <v>983</v>
      </c>
      <c r="AG230" s="178">
        <f>COUNTIFS(GERAL!B$8:B$1696,A230,GERAL!AW$8:AW$1696,"&gt;0",GERAL!C$8:C$1696,"ESCOLA")</f>
        <v>5</v>
      </c>
      <c r="AH230" s="118">
        <f>COUNTIFS(GERAL!B$8:B$1696,A230,GERAL!AW$8:AW$1696,"&gt;0",GERAL!C$8:C$1696,"ANEXO")</f>
        <v>0</v>
      </c>
      <c r="AI230" s="177">
        <f>SUMIF(GERAL!B$8:B$1696,A230,GERAL!AS$8:AS$1696)+SUMIF(GERAL!B$8:B$1696,A230,GERAL!AT$8:AT$1696)</f>
        <v>893</v>
      </c>
      <c r="AJ230" s="177">
        <f>SUMIF(GERAL!B$8:B$1696,A230,GERAL!AU$8:AU$1696)</f>
        <v>819</v>
      </c>
      <c r="AK230" s="177">
        <f>SUMIF(GERAL!B$8:B$1696,A230,GERAL!AV$8:AV$1696)</f>
        <v>173</v>
      </c>
      <c r="AL230" s="118">
        <f t="shared" si="42"/>
        <v>1885</v>
      </c>
      <c r="AM230" s="493" t="s">
        <v>1535</v>
      </c>
    </row>
    <row r="231">
      <c r="A231" s="494" t="s">
        <v>2720</v>
      </c>
      <c r="B231" s="75">
        <f>COUNTIFS(GERAL!B$8:B$1696,A231,GERAL!C$8:C$1696,"ESCOLA")</f>
        <v>1</v>
      </c>
      <c r="C231" s="75">
        <f>COUNTIFS(GERAL!B$8:B$1696,A231,GERAL!C$8:C$1696,"ANEXO")</f>
        <v>0</v>
      </c>
      <c r="D231" s="85">
        <f>SUMIF(GERAL!B$8:B$1696,A231,GERAL!Z$8:Z$1696)</f>
        <v>0</v>
      </c>
      <c r="E231" s="85">
        <f>SUMIF(GERAL!B$8:B$1696,A231,GERAL!AE$8:AE$1696)</f>
        <v>0</v>
      </c>
      <c r="F231" s="85">
        <f>SUMIF(GERAL!B$8:B$1696,A231,GERAL!AJ$8:AJ$1696)</f>
        <v>370</v>
      </c>
      <c r="G231" s="85">
        <f>SUMIF(GERAL!B$8:B$1696,A231,GERAL!AN$8:AN$1696)</f>
        <v>0</v>
      </c>
      <c r="H231" s="85">
        <f>SUMIF(GERAL!B$8:B$1696,A231,GERAL!AR$8:AW$1696)</f>
        <v>193</v>
      </c>
      <c r="I231" s="85">
        <f>SUMIF(GERAL!B$8:B$1696,A231,GERAL!AW$8:AW$1696)</f>
        <v>49</v>
      </c>
      <c r="J231" s="75">
        <f>SUMIF(GERAL!B$8:B$1696,A231,GERAL!AX$8:AX$1696)</f>
        <v>612</v>
      </c>
      <c r="K231" s="75">
        <f>COUNTIFS(GERAL!B$8:B$1696,A231,GERAL!AY$8:AY$1696,"&gt;0",GERAL!C$8:C$1696,"ESCOLA")</f>
        <v>1</v>
      </c>
      <c r="L231" s="75">
        <f>COUNTIFS(GERAL!B$8:B$1696,A231,GERAL!AY$8:AY$1696,"&gt;0",GERAL!C$8:C$1696,"ANEXO")</f>
        <v>0</v>
      </c>
      <c r="M231" s="100">
        <f>SUMIF(GERAL!B$8:B$1696,A231,GERAL!V$8:V$1696)+SUMIF(GERAL!B$8:B$1696,A231,GERAL!W$8:W$1696)</f>
        <v>0</v>
      </c>
      <c r="N231" s="100">
        <f>SUMIF(GERAL!B$8:B$1696,A231,GERAL!AA$8:AA$1696)+SUMIF(GERAL!B$8:B$1696,A231,GERAL!AB$8:AB$1696)</f>
        <v>0</v>
      </c>
      <c r="O231" s="100">
        <f>SUMIF(GERAL!B$8:B$1696,A231,GERAL!AF$8:AF$1696)+SUMIF(GERAL!B$8:B$1696,A231,GERAL!AG$8:AG$1696)</f>
        <v>0</v>
      </c>
      <c r="P231" s="100">
        <f>SUMIF(GERAL!B$8:B$1696,A231,GERAL!AK$8:AK$1696)+SUMIF(GERAL!B$8:B$1696,A231,GERAL!AL$8:AL$1696)</f>
        <v>0</v>
      </c>
      <c r="Q231" s="100">
        <f>SUMIF(GERAL!B$8:B$1696,A231,GERAL!AO$8:AO$1696)+SUMIF(GERAL!B$8:B$1696,A231,GERAL!AP$8:AP$1696)</f>
        <v>0</v>
      </c>
      <c r="R231" s="100">
        <f>SUMIF(GERAL!B$8:B$1696,A231,GERAL!AS$8:AS$1696)+SUMIF(GERAL!B$8:B$1696,A231,GERAL!AT$8:AT$1696)</f>
        <v>0</v>
      </c>
      <c r="S231" s="75">
        <f t="shared" si="39"/>
        <v>0</v>
      </c>
      <c r="T231" s="116">
        <f>COUNTIFS(GERAL!B$8:B$1696,A231,GERAL!AZ$8:AZ$1696,"&gt;0",GERAL!C$8:C$1696,"ESCOLA")</f>
        <v>1</v>
      </c>
      <c r="U231" s="75">
        <f>COUNTIFS(GERAL!B$8:B$1696,A231,GERAL!AZ$8:AZ$1696,"&gt;0",GERAL!C$8:C$1696,"ANEXO")</f>
        <v>0</v>
      </c>
      <c r="V231" s="85">
        <f>SUMIF(GERAL!B$8:B$1696,A231,GERAL!AH$8:AH$1696)</f>
        <v>0</v>
      </c>
      <c r="W231" s="85">
        <f>SUMIF(GERAL!B$8:B$1696,A231,GERAL!AM$8:AM$1696)</f>
        <v>0</v>
      </c>
      <c r="X231" s="85">
        <f>SUMIF(GERAL!B$8:B$1696,A231,GERAL!AQ$8:AQ$1696)</f>
        <v>193</v>
      </c>
      <c r="Y231" s="85">
        <f>SUMIF(GERAL!B$8:B$1696,A231,GERAL!AU$8:AU$1696)</f>
        <v>0</v>
      </c>
      <c r="Z231" s="88">
        <f t="shared" si="40"/>
        <v>193</v>
      </c>
      <c r="AA231" s="116">
        <f>COUNTIFS(GERAL!B$8:B$1696,A231,GERAL!BK$8:BK$1696,"&gt;0",GERAL!C$8:C$1696,"ESCOLA")</f>
        <v>1</v>
      </c>
      <c r="AB231" s="88">
        <f>COUNTIFS(GERAL!B$8:B$1696,A231,GERAL!BK$8:BK$1696,"&gt;0",GERAL!C$8:C$1696,"ANEXO")</f>
        <v>0</v>
      </c>
      <c r="AC231" s="121">
        <f>SUMIF(GERAL!B$8:B$1696,A231,GERAL!AD$8:AD$1696)</f>
        <v>0</v>
      </c>
      <c r="AD231" s="121">
        <f>SUMIF(GERAL!B$8:B$1696,A231,GERAL!AI$8:AI$1696)</f>
        <v>370</v>
      </c>
      <c r="AE231" s="121">
        <f>SUMIF(GERAL!B$8:B$1696,A231,GERAL!AV$8:AV$1696)</f>
        <v>49</v>
      </c>
      <c r="AF231" s="492">
        <f t="shared" si="41"/>
        <v>419</v>
      </c>
      <c r="AG231" s="178">
        <f>COUNTIFS(GERAL!B$8:B$1696,A231,GERAL!AW$8:AW$1696,"&gt;0",GERAL!C$8:C$1696,"ESCOLA")</f>
        <v>1</v>
      </c>
      <c r="AH231" s="118">
        <f>COUNTIFS(GERAL!B$8:B$1696,A231,GERAL!AW$8:AW$1696,"&gt;0",GERAL!C$8:C$1696,"ANEXO")</f>
        <v>0</v>
      </c>
      <c r="AI231" s="177">
        <f>SUMIF(GERAL!B$8:B$1696,A231,GERAL!AS$8:AS$1696)+SUMIF(GERAL!B$8:B$1696,A231,GERAL!AT$8:AT$1696)</f>
        <v>0</v>
      </c>
      <c r="AJ231" s="177">
        <f>SUMIF(GERAL!B$8:B$1696,A231,GERAL!AU$8:AU$1696)</f>
        <v>0</v>
      </c>
      <c r="AK231" s="177">
        <f>SUMIF(GERAL!B$8:B$1696,A231,GERAL!AV$8:AV$1696)</f>
        <v>49</v>
      </c>
      <c r="AL231" s="118">
        <f t="shared" si="42"/>
        <v>49</v>
      </c>
      <c r="AM231" s="493" t="s">
        <v>1224</v>
      </c>
    </row>
    <row r="232">
      <c r="A232" s="484" t="s">
        <v>2223</v>
      </c>
      <c r="B232" s="75">
        <f>COUNTIFS(GERAL!B$8:B$1696,A232,GERAL!C$8:C$1696,"ESCOLA")</f>
        <v>1</v>
      </c>
      <c r="C232" s="75">
        <f>COUNTIFS(GERAL!B$8:B$1696,A232,GERAL!C$8:C$1696,"ANEXO")</f>
        <v>1</v>
      </c>
      <c r="D232" s="85">
        <f>SUMIF(GERAL!B$8:B$1696,A232,GERAL!Z$8:Z$1696)</f>
        <v>0</v>
      </c>
      <c r="E232" s="85">
        <f>SUMIF(GERAL!B$8:B$1696,A232,GERAL!AE$8:AE$1696)</f>
        <v>0</v>
      </c>
      <c r="F232" s="85">
        <f>SUMIF(GERAL!B$8:B$1696,A232,GERAL!AJ$8:AJ$1696)</f>
        <v>807</v>
      </c>
      <c r="G232" s="85">
        <f>SUMIF(GERAL!B$8:B$1696,A232,GERAL!AN$8:AN$1696)</f>
        <v>0</v>
      </c>
      <c r="H232" s="85">
        <f>SUMIF(GERAL!B$8:B$1696,A232,GERAL!AR$8:AW$1696)</f>
        <v>144</v>
      </c>
      <c r="I232" s="85">
        <f>SUMIF(GERAL!B$8:B$1696,A232,GERAL!AW$8:AW$1696)</f>
        <v>630</v>
      </c>
      <c r="J232" s="75">
        <f>SUMIF(GERAL!B$8:B$1696,A232,GERAL!AX$8:AX$1696)</f>
        <v>1581</v>
      </c>
      <c r="K232" s="75">
        <f>COUNTIFS(GERAL!B$8:B$1696,A232,GERAL!AY$8:AY$1696,"&gt;0",GERAL!C$8:C$1696,"ESCOLA")</f>
        <v>1</v>
      </c>
      <c r="L232" s="75">
        <f>COUNTIFS(GERAL!B$8:B$1696,A232,GERAL!AY$8:AY$1696,"&gt;0",GERAL!C$8:C$1696,"ANEXO")</f>
        <v>0</v>
      </c>
      <c r="M232" s="100">
        <f>SUMIF(GERAL!B$8:B$1696,A232,GERAL!V$8:V$1696)+SUMIF(GERAL!B$8:B$1696,A232,GERAL!W$8:W$1696)</f>
        <v>0</v>
      </c>
      <c r="N232" s="100">
        <f>SUMIF(GERAL!B$8:B$1696,A232,GERAL!AA$8:AA$1696)+SUMIF(GERAL!B$8:B$1696,A232,GERAL!AB$8:AB$1696)</f>
        <v>0</v>
      </c>
      <c r="O232" s="100">
        <f>SUMIF(GERAL!B$8:B$1696,A232,GERAL!AF$8:AF$1696)+SUMIF(GERAL!B$8:B$1696,A232,GERAL!AG$8:AG$1696)</f>
        <v>341</v>
      </c>
      <c r="P232" s="100">
        <f>SUMIF(GERAL!B$8:B$1696,A232,GERAL!AK$8:AK$1696)+SUMIF(GERAL!B$8:B$1696,A232,GERAL!AL$8:AL$1696)</f>
        <v>0</v>
      </c>
      <c r="Q232" s="100">
        <f>SUMIF(GERAL!B$8:B$1696,A232,GERAL!AO$8:AO$1696)+SUMIF(GERAL!B$8:B$1696,A232,GERAL!AP$8:AP$1696)</f>
        <v>0</v>
      </c>
      <c r="R232" s="100">
        <f>SUMIF(GERAL!B$8:B$1696,A232,GERAL!AS$8:AS$1696)+SUMIF(GERAL!B$8:B$1696,A232,GERAL!AT$8:AT$1696)</f>
        <v>117</v>
      </c>
      <c r="S232" s="75">
        <f t="shared" si="39"/>
        <v>458</v>
      </c>
      <c r="T232" s="116">
        <f>COUNTIFS(GERAL!B$8:B$1696,A232,GERAL!AZ$8:AZ$1696,"&gt;0",GERAL!C$8:C$1696,"ESCOLA")</f>
        <v>1</v>
      </c>
      <c r="U232" s="75">
        <f>COUNTIFS(GERAL!B$8:B$1696,A232,GERAL!AZ$8:AZ$1696,"&gt;0",GERAL!C$8:C$1696,"ANEXO")</f>
        <v>1</v>
      </c>
      <c r="V232" s="85">
        <f>SUMIF(GERAL!B$8:B$1696,A232,GERAL!AH$8:AH$1696)</f>
        <v>73</v>
      </c>
      <c r="W232" s="85">
        <f>SUMIF(GERAL!B$8:B$1696,A232,GERAL!AM$8:AM$1696)</f>
        <v>0</v>
      </c>
      <c r="X232" s="85">
        <f>SUMIF(GERAL!B$8:B$1696,A232,GERAL!AQ$8:AQ$1696)</f>
        <v>144</v>
      </c>
      <c r="Y232" s="85">
        <f>SUMIF(GERAL!B$8:B$1696,A232,GERAL!AU$8:AU$1696)</f>
        <v>246</v>
      </c>
      <c r="Z232" s="88">
        <f t="shared" si="40"/>
        <v>463</v>
      </c>
      <c r="AA232" s="116">
        <f>COUNTIFS(GERAL!B$8:B$1696,A232,GERAL!BK$8:BK$1696,"&gt;0",GERAL!C$8:C$1696,"ESCOLA")</f>
        <v>1</v>
      </c>
      <c r="AB232" s="88">
        <f>COUNTIFS(GERAL!B$8:B$1696,A232,GERAL!BK$8:BK$1696,"&gt;0",GERAL!C$8:C$1696,"ANEXO")</f>
        <v>0</v>
      </c>
      <c r="AC232" s="121">
        <f>SUMIF(GERAL!B$8:B$1696,A232,GERAL!AD$8:AD$1696)</f>
        <v>0</v>
      </c>
      <c r="AD232" s="121">
        <f>SUMIF(GERAL!B$8:B$1696,A232,GERAL!AI$8:AI$1696)</f>
        <v>393</v>
      </c>
      <c r="AE232" s="121">
        <f>SUMIF(GERAL!B$8:B$1696,A232,GERAL!AV$8:AV$1696)</f>
        <v>267</v>
      </c>
      <c r="AF232" s="492">
        <f t="shared" si="41"/>
        <v>660</v>
      </c>
      <c r="AG232" s="178">
        <f>COUNTIFS(GERAL!B$8:B$1696,A232,GERAL!AW$8:AW$1696,"&gt;0",GERAL!C$8:C$1696,"ESCOLA")</f>
        <v>1</v>
      </c>
      <c r="AH232" s="118">
        <f>COUNTIFS(GERAL!B$8:B$1696,A232,GERAL!AW$8:AW$1696,"&gt;0",GERAL!C$8:C$1696,"ANEXO")</f>
        <v>0</v>
      </c>
      <c r="AI232" s="177">
        <f>SUMIF(GERAL!B$8:B$1696,A232,GERAL!AS$8:AS$1696)+SUMIF(GERAL!B$8:B$1696,A232,GERAL!AT$8:AT$1696)</f>
        <v>117</v>
      </c>
      <c r="AJ232" s="177">
        <f>SUMIF(GERAL!B$8:B$1696,A232,GERAL!AU$8:AU$1696)</f>
        <v>246</v>
      </c>
      <c r="AK232" s="177">
        <f>SUMIF(GERAL!B$8:B$1696,A232,GERAL!AV$8:AV$1696)</f>
        <v>267</v>
      </c>
      <c r="AL232" s="118">
        <f t="shared" si="42"/>
        <v>630</v>
      </c>
      <c r="AM232" s="493" t="s">
        <v>723</v>
      </c>
    </row>
    <row r="233">
      <c r="A233" s="494" t="s">
        <v>7222</v>
      </c>
      <c r="B233" s="75">
        <f>COUNTIFS(GERAL!B$8:B$1696,A233,GERAL!C$8:C$1696,"ESCOLA")</f>
        <v>1</v>
      </c>
      <c r="C233" s="75">
        <f>COUNTIFS(GERAL!B$8:B$1696,A233,GERAL!C$8:C$1696,"ANEXO")</f>
        <v>0</v>
      </c>
      <c r="D233" s="85">
        <f>SUMIF(GERAL!B$8:B$1696,A233,GERAL!Z$8:Z$1696)</f>
        <v>0</v>
      </c>
      <c r="E233" s="85">
        <f>SUMIF(GERAL!B$8:B$1696,A233,GERAL!AE$8:AE$1696)</f>
        <v>0</v>
      </c>
      <c r="F233" s="85">
        <f>SUMIF(GERAL!B$8:B$1696,A233,GERAL!AJ$8:AJ$1696)</f>
        <v>354</v>
      </c>
      <c r="G233" s="85">
        <f>SUMIF(GERAL!B$8:B$1696,A233,GERAL!AN$8:AN$1696)</f>
        <v>0</v>
      </c>
      <c r="H233" s="85">
        <f>SUMIF(GERAL!B$8:B$1696,A233,GERAL!AR$8:AW$1696)</f>
        <v>146</v>
      </c>
      <c r="I233" s="85">
        <f>SUMIF(GERAL!B$8:B$1696,A233,GERAL!AW$8:AW$1696)</f>
        <v>27</v>
      </c>
      <c r="J233" s="75">
        <f>SUMIF(GERAL!B$8:B$1696,A233,GERAL!AX$8:AX$1696)</f>
        <v>527</v>
      </c>
      <c r="K233" s="75">
        <f>COUNTIFS(GERAL!B$8:B$1696,A233,GERAL!AY$8:AY$1696,"&gt;0",GERAL!C$8:C$1696,"ESCOLA")</f>
        <v>1</v>
      </c>
      <c r="L233" s="75">
        <f>COUNTIFS(GERAL!B$8:B$1696,A233,GERAL!AY$8:AY$1696,"&gt;0",GERAL!C$8:C$1696,"ANEXO")</f>
        <v>0</v>
      </c>
      <c r="M233" s="100">
        <f>SUMIF(GERAL!B$8:B$1696,A233,GERAL!V$8:V$1696)+SUMIF(GERAL!B$8:B$1696,A233,GERAL!W$8:W$1696)</f>
        <v>0</v>
      </c>
      <c r="N233" s="100">
        <f>SUMIF(GERAL!B$8:B$1696,A233,GERAL!AA$8:AA$1696)+SUMIF(GERAL!B$8:B$1696,A233,GERAL!AB$8:AB$1696)</f>
        <v>0</v>
      </c>
      <c r="O233" s="100">
        <f>SUMIF(GERAL!B$8:B$1696,A233,GERAL!AF$8:AF$1696)+SUMIF(GERAL!B$8:B$1696,A233,GERAL!AG$8:AG$1696)</f>
        <v>0</v>
      </c>
      <c r="P233" s="100">
        <f>SUMIF(GERAL!B$8:B$1696,A233,GERAL!AK$8:AK$1696)+SUMIF(GERAL!B$8:B$1696,A233,GERAL!AL$8:AL$1696)</f>
        <v>0</v>
      </c>
      <c r="Q233" s="100">
        <f>SUMIF(GERAL!B$8:B$1696,A233,GERAL!AO$8:AO$1696)+SUMIF(GERAL!B$8:B$1696,A233,GERAL!AP$8:AP$1696)</f>
        <v>0</v>
      </c>
      <c r="R233" s="100">
        <f>SUMIF(GERAL!B$8:B$1696,A233,GERAL!AS$8:AS$1696)+SUMIF(GERAL!B$8:B$1696,A233,GERAL!AT$8:AT$1696)</f>
        <v>0</v>
      </c>
      <c r="S233" s="75">
        <f t="shared" si="39"/>
        <v>0</v>
      </c>
      <c r="T233" s="116">
        <f>COUNTIFS(GERAL!B$8:B$1696,A233,GERAL!AZ$8:AZ$1696,"&gt;0",GERAL!C$8:C$1696,"ESCOLA")</f>
        <v>1</v>
      </c>
      <c r="U233" s="75">
        <f>COUNTIFS(GERAL!B$8:B$1696,A233,GERAL!AZ$8:AZ$1696,"&gt;0",GERAL!C$8:C$1696,"ANEXO")</f>
        <v>0</v>
      </c>
      <c r="V233" s="85">
        <f>SUMIF(GERAL!B$8:B$1696,A233,GERAL!AH$8:AH$1696)</f>
        <v>0</v>
      </c>
      <c r="W233" s="85">
        <f>SUMIF(GERAL!B$8:B$1696,A233,GERAL!AM$8:AM$1696)</f>
        <v>0</v>
      </c>
      <c r="X233" s="85">
        <f>SUMIF(GERAL!B$8:B$1696,A233,GERAL!AQ$8:AQ$1696)</f>
        <v>146</v>
      </c>
      <c r="Y233" s="85">
        <f>SUMIF(GERAL!B$8:B$1696,A233,GERAL!AU$8:AU$1696)</f>
        <v>27</v>
      </c>
      <c r="Z233" s="88">
        <f t="shared" si="40"/>
        <v>173</v>
      </c>
      <c r="AA233" s="116">
        <f>COUNTIFS(GERAL!B$8:B$1696,A233,GERAL!BK$8:BK$1696,"&gt;0",GERAL!C$8:C$1696,"ESCOLA")</f>
        <v>1</v>
      </c>
      <c r="AB233" s="88">
        <f>COUNTIFS(GERAL!B$8:B$1696,A233,GERAL!BK$8:BK$1696,"&gt;0",GERAL!C$8:C$1696,"ANEXO")</f>
        <v>0</v>
      </c>
      <c r="AC233" s="121">
        <f>SUMIF(GERAL!B$8:B$1696,A233,GERAL!AD$8:AD$1696)</f>
        <v>0</v>
      </c>
      <c r="AD233" s="121">
        <f>SUMIF(GERAL!B$8:B$1696,A233,GERAL!AI$8:AI$1696)</f>
        <v>354</v>
      </c>
      <c r="AE233" s="121">
        <f>SUMIF(GERAL!B$8:B$1696,A233,GERAL!AV$8:AV$1696)</f>
        <v>0</v>
      </c>
      <c r="AF233" s="492">
        <f t="shared" si="41"/>
        <v>354</v>
      </c>
      <c r="AG233" s="178">
        <f>COUNTIFS(GERAL!B$8:B$1696,A233,GERAL!AW$8:AW$1696,"&gt;0",GERAL!C$8:C$1696,"ESCOLA")</f>
        <v>1</v>
      </c>
      <c r="AH233" s="118">
        <f>COUNTIFS(GERAL!B$8:B$1696,A233,GERAL!AW$8:AW$1696,"&gt;0",GERAL!C$8:C$1696,"ANEXO")</f>
        <v>0</v>
      </c>
      <c r="AI233" s="177">
        <f>SUMIF(GERAL!B$8:B$1696,A233,GERAL!AS$8:AS$1696)+SUMIF(GERAL!B$8:B$1696,A233,GERAL!AT$8:AT$1696)</f>
        <v>0</v>
      </c>
      <c r="AJ233" s="177">
        <f>SUMIF(GERAL!B$8:B$1696,A233,GERAL!AU$8:AU$1696)</f>
        <v>27</v>
      </c>
      <c r="AK233" s="177">
        <f>SUMIF(GERAL!B$8:B$1696,A233,GERAL!AV$8:AV$1696)</f>
        <v>0</v>
      </c>
      <c r="AL233" s="118">
        <f t="shared" si="42"/>
        <v>27</v>
      </c>
      <c r="AM233" s="493" t="s">
        <v>1535</v>
      </c>
    </row>
    <row r="234">
      <c r="A234" s="484" t="s">
        <v>319</v>
      </c>
      <c r="B234" s="75">
        <f>COUNTIFS(GERAL!B$8:B$1696,A234,GERAL!C$8:C$1696,"ESCOLA")</f>
        <v>1</v>
      </c>
      <c r="C234" s="75">
        <f>COUNTIFS(GERAL!B$8:B$1696,A234,GERAL!C$8:C$1696,"ANEXO")</f>
        <v>4</v>
      </c>
      <c r="D234" s="85">
        <f>SUMIF(GERAL!B$8:B$1696,A234,GERAL!Z$8:Z$1696)</f>
        <v>0</v>
      </c>
      <c r="E234" s="85">
        <f>SUMIF(GERAL!B$8:B$1696,A234,GERAL!AE$8:AE$1696)</f>
        <v>0</v>
      </c>
      <c r="F234" s="85">
        <f>SUMIF(GERAL!B$8:B$1696,A234,GERAL!AJ$8:AJ$1696)</f>
        <v>823</v>
      </c>
      <c r="G234" s="85">
        <f>SUMIF(GERAL!B$8:B$1696,A234,GERAL!AN$8:AN$1696)</f>
        <v>0</v>
      </c>
      <c r="H234" s="85">
        <f>SUMIF(GERAL!B$8:B$1696,A234,GERAL!AR$8:AW$1696)</f>
        <v>118</v>
      </c>
      <c r="I234" s="85">
        <f>SUMIF(GERAL!B$8:B$1696,A234,GERAL!AW$8:AW$1696)</f>
        <v>69</v>
      </c>
      <c r="J234" s="75">
        <f>SUMIF(GERAL!B$8:B$1696,A234,GERAL!AX$8:AX$1696)</f>
        <v>1010</v>
      </c>
      <c r="K234" s="75">
        <f>COUNTIFS(GERAL!B$8:B$1696,A234,GERAL!AY$8:AY$1696,"&gt;0",GERAL!C$8:C$1696,"ESCOLA")</f>
        <v>1</v>
      </c>
      <c r="L234" s="75">
        <f>COUNTIFS(GERAL!B$8:B$1696,A234,GERAL!AY$8:AY$1696,"&gt;0",GERAL!C$8:C$1696,"ANEXO")</f>
        <v>0</v>
      </c>
      <c r="M234" s="100">
        <f>SUMIF(GERAL!B$8:B$1696,A234,GERAL!V$8:V$1696)+SUMIF(GERAL!B$8:B$1696,A234,GERAL!W$8:W$1696)</f>
        <v>0</v>
      </c>
      <c r="N234" s="100">
        <f>SUMIF(GERAL!B$8:B$1696,A234,GERAL!AA$8:AA$1696)+SUMIF(GERAL!B$8:B$1696,A234,GERAL!AB$8:AB$1696)</f>
        <v>0</v>
      </c>
      <c r="O234" s="100">
        <f>SUMIF(GERAL!B$8:B$1696,A234,GERAL!AF$8:AF$1696)+SUMIF(GERAL!B$8:B$1696,A234,GERAL!AG$8:AG$1696)</f>
        <v>696</v>
      </c>
      <c r="P234" s="100">
        <f>SUMIF(GERAL!B$8:B$1696,A234,GERAL!AK$8:AK$1696)+SUMIF(GERAL!B$8:B$1696,A234,GERAL!AL$8:AL$1696)</f>
        <v>0</v>
      </c>
      <c r="Q234" s="100">
        <f>SUMIF(GERAL!B$8:B$1696,A234,GERAL!AO$8:AO$1696)+SUMIF(GERAL!B$8:B$1696,A234,GERAL!AP$8:AP$1696)</f>
        <v>0</v>
      </c>
      <c r="R234" s="100">
        <f>SUMIF(GERAL!B$8:B$1696,A234,GERAL!AS$8:AS$1696)+SUMIF(GERAL!B$8:B$1696,A234,GERAL!AT$8:AT$1696)</f>
        <v>59</v>
      </c>
      <c r="S234" s="75">
        <f t="shared" si="39"/>
        <v>755</v>
      </c>
      <c r="T234" s="116">
        <f>COUNTIFS(GERAL!B$8:B$1696,A234,GERAL!AZ$8:AZ$1696,"&gt;0",GERAL!C$8:C$1696,"ESCOLA")</f>
        <v>1</v>
      </c>
      <c r="U234" s="75">
        <f>COUNTIFS(GERAL!B$8:B$1696,A234,GERAL!AZ$8:AZ$1696,"&gt;0",GERAL!C$8:C$1696,"ANEXO")</f>
        <v>4</v>
      </c>
      <c r="V234" s="85">
        <f>SUMIF(GERAL!B$8:B$1696,A234,GERAL!AH$8:AH$1696)</f>
        <v>127</v>
      </c>
      <c r="W234" s="85">
        <f>SUMIF(GERAL!B$8:B$1696,A234,GERAL!AM$8:AM$1696)</f>
        <v>0</v>
      </c>
      <c r="X234" s="85">
        <f>SUMIF(GERAL!B$8:B$1696,A234,GERAL!AQ$8:AQ$1696)</f>
        <v>118</v>
      </c>
      <c r="Y234" s="85">
        <f>SUMIF(GERAL!B$8:B$1696,A234,GERAL!AU$8:AU$1696)</f>
        <v>10</v>
      </c>
      <c r="Z234" s="88">
        <f t="shared" si="40"/>
        <v>255</v>
      </c>
      <c r="AA234" s="116">
        <f>COUNTIFS(GERAL!B$8:B$1696,A234,GERAL!BK$8:BK$1696,"&gt;0",GERAL!C$8:C$1696,"ESCOLA")</f>
        <v>0</v>
      </c>
      <c r="AB234" s="88">
        <f>COUNTIFS(GERAL!B$8:B$1696,A234,GERAL!BK$8:BK$1696,"&gt;0",GERAL!C$8:C$1696,"ANEXO")</f>
        <v>0</v>
      </c>
      <c r="AC234" s="121">
        <f>SUMIF(GERAL!B$8:B$1696,A234,GERAL!AD$8:AD$1696)</f>
        <v>0</v>
      </c>
      <c r="AD234" s="121">
        <f>SUMIF(GERAL!B$8:B$1696,A234,GERAL!AI$8:AI$1696)</f>
        <v>0</v>
      </c>
      <c r="AE234" s="121">
        <f>SUMIF(GERAL!B$8:B$1696,A234,GERAL!AV$8:AV$1696)</f>
        <v>0</v>
      </c>
      <c r="AF234" s="492">
        <f t="shared" si="41"/>
        <v>0</v>
      </c>
      <c r="AG234" s="178">
        <f>COUNTIFS(GERAL!B$8:B$1696,A234,GERAL!AW$8:AW$1696,"&gt;0",GERAL!C$8:C$1696,"ESCOLA")</f>
        <v>1</v>
      </c>
      <c r="AH234" s="118">
        <f>COUNTIFS(GERAL!B$8:B$1696,A234,GERAL!AW$8:AW$1696,"&gt;0",GERAL!C$8:C$1696,"ANEXO")</f>
        <v>0</v>
      </c>
      <c r="AI234" s="177">
        <f>SUMIF(GERAL!B$8:B$1696,A234,GERAL!AS$8:AS$1696)+SUMIF(GERAL!B$8:B$1696,A234,GERAL!AT$8:AT$1696)</f>
        <v>59</v>
      </c>
      <c r="AJ234" s="177">
        <f>SUMIF(GERAL!B$8:B$1696,A234,GERAL!AU$8:AU$1696)</f>
        <v>10</v>
      </c>
      <c r="AK234" s="177">
        <f>SUMIF(GERAL!B$8:B$1696,A234,GERAL!AV$8:AV$1696)</f>
        <v>0</v>
      </c>
      <c r="AL234" s="118">
        <f t="shared" si="42"/>
        <v>69</v>
      </c>
      <c r="AM234" s="493" t="s">
        <v>130</v>
      </c>
    </row>
    <row r="235">
      <c r="A235" s="494" t="s">
        <v>2087</v>
      </c>
      <c r="B235" s="75">
        <f>COUNTIFS(GERAL!B$8:B$1696,A235,GERAL!C$8:C$1696,"ESCOLA")</f>
        <v>20</v>
      </c>
      <c r="C235" s="75">
        <f>COUNTIFS(GERAL!B$8:B$1696,A235,GERAL!C$8:C$1696,"ANEXO")</f>
        <v>19</v>
      </c>
      <c r="D235" s="85">
        <f>SUMIF(GERAL!B$8:B$1696,A235,GERAL!Z$8:Z$1696)</f>
        <v>0</v>
      </c>
      <c r="E235" s="85">
        <f>SUMIF(GERAL!B$8:B$1696,A235,GERAL!AE$8:AE$1696)</f>
        <v>4833</v>
      </c>
      <c r="F235" s="85">
        <f>SUMIF(GERAL!B$8:B$1696,A235,GERAL!AJ$8:AJ$1696)</f>
        <v>5026</v>
      </c>
      <c r="G235" s="85">
        <f>SUMIF(GERAL!B$8:B$1696,A235,GERAL!AN$8:AN$1696)</f>
        <v>75</v>
      </c>
      <c r="H235" s="85">
        <f>SUMIF(GERAL!B$8:B$1696,A235,GERAL!AR$8:AW$1696)</f>
        <v>2227</v>
      </c>
      <c r="I235" s="85">
        <f>SUMIF(GERAL!B$8:B$1696,A235,GERAL!AW$8:AW$1696)</f>
        <v>1716</v>
      </c>
      <c r="J235" s="75">
        <f>SUMIF(GERAL!B$8:B$1696,A235,GERAL!AX$8:AX$1696)</f>
        <v>13877</v>
      </c>
      <c r="K235" s="75">
        <f>COUNTIFS(GERAL!B$8:B$1696,A235,GERAL!AY$8:AY$1696,"&gt;0",GERAL!C$8:C$1696,"ESCOLA")</f>
        <v>18</v>
      </c>
      <c r="L235" s="75">
        <f>COUNTIFS(GERAL!B$8:B$1696,A235,GERAL!AY$8:AY$1696,"&gt;0",GERAL!C$8:C$1696,"ANEXO")</f>
        <v>6</v>
      </c>
      <c r="M235" s="100">
        <f>SUMIF(GERAL!B$8:B$1696,A235,GERAL!V$8:V$1696)+SUMIF(GERAL!B$8:B$1696,A235,GERAL!W$8:W$1696)</f>
        <v>0</v>
      </c>
      <c r="N235" s="100">
        <f>SUMIF(GERAL!B$8:B$1696,A235,GERAL!AA$8:AA$1696)+SUMIF(GERAL!B$8:B$1696,A235,GERAL!AB$8:AB$1696)</f>
        <v>4302</v>
      </c>
      <c r="O235" s="100">
        <f>SUMIF(GERAL!B$8:B$1696,A235,GERAL!AF$8:AF$1696)+SUMIF(GERAL!B$8:B$1696,A235,GERAL!AG$8:AG$1696)</f>
        <v>2217</v>
      </c>
      <c r="P235" s="100">
        <f>SUMIF(GERAL!B$8:B$1696,A235,GERAL!AK$8:AK$1696)+SUMIF(GERAL!B$8:B$1696,A235,GERAL!AL$8:AL$1696)</f>
        <v>0</v>
      </c>
      <c r="Q235" s="100">
        <f>SUMIF(GERAL!B$8:B$1696,A235,GERAL!AO$8:AO$1696)+SUMIF(GERAL!B$8:B$1696,A235,GERAL!AP$8:AP$1696)</f>
        <v>85</v>
      </c>
      <c r="R235" s="100">
        <f>SUMIF(GERAL!B$8:B$1696,A235,GERAL!AS$8:AS$1696)+SUMIF(GERAL!B$8:B$1696,A235,GERAL!AT$8:AT$1696)</f>
        <v>1342</v>
      </c>
      <c r="S235" s="75">
        <f t="shared" si="39"/>
        <v>7946</v>
      </c>
      <c r="T235" s="116">
        <f>COUNTIFS(GERAL!B$8:B$1696,A235,GERAL!AZ$8:AZ$1696,"&gt;0",GERAL!C$8:C$1696,"ESCOLA")</f>
        <v>15</v>
      </c>
      <c r="U235" s="75">
        <f>COUNTIFS(GERAL!B$8:B$1696,A235,GERAL!AZ$8:AZ$1696,"&gt;0",GERAL!C$8:C$1696,"ANEXO")</f>
        <v>18</v>
      </c>
      <c r="V235" s="85">
        <f>SUMIF(GERAL!B$8:B$1696,A235,GERAL!AH$8:AH$1696)</f>
        <v>28</v>
      </c>
      <c r="W235" s="85">
        <f>SUMIF(GERAL!B$8:B$1696,A235,GERAL!AM$8:AM$1696)</f>
        <v>75</v>
      </c>
      <c r="X235" s="85">
        <f>SUMIF(GERAL!B$8:B$1696,A235,GERAL!AQ$8:AQ$1696)</f>
        <v>2142</v>
      </c>
      <c r="Y235" s="85">
        <f>SUMIF(GERAL!B$8:B$1696,A235,GERAL!AU$8:AU$1696)</f>
        <v>282</v>
      </c>
      <c r="Z235" s="88">
        <f t="shared" si="40"/>
        <v>2527</v>
      </c>
      <c r="AA235" s="116">
        <f>COUNTIFS(GERAL!B$8:B$1696,A235,GERAL!BK$8:BK$1696,"&gt;0",GERAL!C$8:C$1696,"ESCOLA")</f>
        <v>12</v>
      </c>
      <c r="AB235" s="88">
        <f>COUNTIFS(GERAL!B$8:B$1696,A235,GERAL!BK$8:BK$1696,"&gt;0",GERAL!C$8:C$1696,"ANEXO")</f>
        <v>0</v>
      </c>
      <c r="AC235" s="121">
        <f>SUMIF(GERAL!B$8:B$1696,A235,GERAL!AD$8:AD$1696)</f>
        <v>531</v>
      </c>
      <c r="AD235" s="121">
        <f>SUMIF(GERAL!B$8:B$1696,A235,GERAL!AI$8:AI$1696)</f>
        <v>2781</v>
      </c>
      <c r="AE235" s="121">
        <f>SUMIF(GERAL!B$8:B$1696,A235,GERAL!AV$8:AV$1696)</f>
        <v>92</v>
      </c>
      <c r="AF235" s="492">
        <f t="shared" si="41"/>
        <v>3404</v>
      </c>
      <c r="AG235" s="178">
        <f>COUNTIFS(GERAL!B$8:B$1696,A235,GERAL!AW$8:AW$1696,"&gt;0",GERAL!C$8:C$1696,"ESCOLA")</f>
        <v>6</v>
      </c>
      <c r="AH235" s="118">
        <f>COUNTIFS(GERAL!B$8:B$1696,A235,GERAL!AW$8:AW$1696,"&gt;0",GERAL!C$8:C$1696,"ANEXO")</f>
        <v>0</v>
      </c>
      <c r="AI235" s="177">
        <f>SUMIF(GERAL!B$8:B$1696,A235,GERAL!AS$8:AS$1696)+SUMIF(GERAL!B$8:B$1696,A235,GERAL!AT$8:AT$1696)</f>
        <v>1342</v>
      </c>
      <c r="AJ235" s="177">
        <f>SUMIF(GERAL!B$8:B$1696,A235,GERAL!AU$8:AU$1696)</f>
        <v>282</v>
      </c>
      <c r="AK235" s="177">
        <f>SUMIF(GERAL!B$8:B$1696,A235,GERAL!AV$8:AV$1696)</f>
        <v>92</v>
      </c>
      <c r="AL235" s="118">
        <f t="shared" si="42"/>
        <v>1716</v>
      </c>
      <c r="AM235" s="493" t="s">
        <v>796</v>
      </c>
    </row>
    <row r="236">
      <c r="A236" s="484" t="s">
        <v>1995</v>
      </c>
      <c r="B236" s="75">
        <f>COUNTIFS(GERAL!B$8:B$1696,A236,GERAL!C$8:C$1696,"ESCOLA")</f>
        <v>1</v>
      </c>
      <c r="C236" s="75">
        <f>COUNTIFS(GERAL!B$8:B$1696,A236,GERAL!C$8:C$1696,"ANEXO")</f>
        <v>3</v>
      </c>
      <c r="D236" s="85">
        <f>SUMIF(GERAL!B$8:B$1696,A236,GERAL!Z$8:Z$1696)</f>
        <v>0</v>
      </c>
      <c r="E236" s="85">
        <f>SUMIF(GERAL!B$8:B$1696,A236,GERAL!AE$8:AE$1696)</f>
        <v>0</v>
      </c>
      <c r="F236" s="85">
        <f>SUMIF(GERAL!B$8:B$1696,A236,GERAL!AJ$8:AJ$1696)</f>
        <v>90</v>
      </c>
      <c r="G236" s="85">
        <f>SUMIF(GERAL!B$8:B$1696,A236,GERAL!AN$8:AN$1696)</f>
        <v>0</v>
      </c>
      <c r="H236" s="85">
        <f>SUMIF(GERAL!B$8:B$1696,A236,GERAL!AR$8:AW$1696)</f>
        <v>149</v>
      </c>
      <c r="I236" s="85">
        <f>SUMIF(GERAL!B$8:B$1696,A236,GERAL!AW$8:AW$1696)</f>
        <v>78</v>
      </c>
      <c r="J236" s="75">
        <f>SUMIF(GERAL!B$8:B$1696,A236,GERAL!AX$8:AX$1696)</f>
        <v>317</v>
      </c>
      <c r="K236" s="75">
        <f>COUNTIFS(GERAL!B$8:B$1696,A236,GERAL!AY$8:AY$1696,"&gt;0",GERAL!C$8:C$1696,"ESCOLA")</f>
        <v>1</v>
      </c>
      <c r="L236" s="75">
        <f>COUNTIFS(GERAL!B$8:B$1696,A236,GERAL!AY$8:AY$1696,"&gt;0",GERAL!C$8:C$1696,"ANEXO")</f>
        <v>0</v>
      </c>
      <c r="M236" s="100">
        <f>SUMIF(GERAL!B$8:B$1696,A236,GERAL!V$8:V$1696)+SUMIF(GERAL!B$8:B$1696,A236,GERAL!W$8:W$1696)</f>
        <v>0</v>
      </c>
      <c r="N236" s="100">
        <f>SUMIF(GERAL!B$8:B$1696,A236,GERAL!AA$8:AA$1696)+SUMIF(GERAL!B$8:B$1696,A236,GERAL!AB$8:AB$1696)</f>
        <v>0</v>
      </c>
      <c r="O236" s="100">
        <f>SUMIF(GERAL!B$8:B$1696,A236,GERAL!AF$8:AF$1696)+SUMIF(GERAL!B$8:B$1696,A236,GERAL!AG$8:AG$1696)</f>
        <v>28</v>
      </c>
      <c r="P236" s="100">
        <f>SUMIF(GERAL!B$8:B$1696,A236,GERAL!AK$8:AK$1696)+SUMIF(GERAL!B$8:B$1696,A236,GERAL!AL$8:AL$1696)</f>
        <v>0</v>
      </c>
      <c r="Q236" s="100">
        <f>SUMIF(GERAL!B$8:B$1696,A236,GERAL!AO$8:AO$1696)+SUMIF(GERAL!B$8:B$1696,A236,GERAL!AP$8:AP$1696)</f>
        <v>0</v>
      </c>
      <c r="R236" s="100">
        <f>SUMIF(GERAL!B$8:B$1696,A236,GERAL!AS$8:AS$1696)+SUMIF(GERAL!B$8:B$1696,A236,GERAL!AT$8:AT$1696)</f>
        <v>78</v>
      </c>
      <c r="S236" s="75">
        <f t="shared" si="39"/>
        <v>106</v>
      </c>
      <c r="T236" s="116">
        <f>COUNTIFS(GERAL!B$8:B$1696,A236,GERAL!AZ$8:AZ$1696,"&gt;0",GERAL!C$8:C$1696,"ESCOLA")</f>
        <v>1</v>
      </c>
      <c r="U236" s="75">
        <f>COUNTIFS(GERAL!B$8:B$1696,A236,GERAL!AZ$8:AZ$1696,"&gt;0",GERAL!C$8:C$1696,"ANEXO")</f>
        <v>3</v>
      </c>
      <c r="V236" s="85">
        <f>SUMIF(GERAL!B$8:B$1696,A236,GERAL!AH$8:AH$1696)</f>
        <v>0</v>
      </c>
      <c r="W236" s="85">
        <f>SUMIF(GERAL!B$8:B$1696,A236,GERAL!AM$8:AM$1696)</f>
        <v>0</v>
      </c>
      <c r="X236" s="85">
        <f>SUMIF(GERAL!B$8:B$1696,A236,GERAL!AQ$8:AQ$1696)</f>
        <v>149</v>
      </c>
      <c r="Y236" s="85">
        <f>SUMIF(GERAL!B$8:B$1696,A236,GERAL!AU$8:AU$1696)</f>
        <v>0</v>
      </c>
      <c r="Z236" s="88">
        <f t="shared" si="40"/>
        <v>149</v>
      </c>
      <c r="AA236" s="116">
        <f>COUNTIFS(GERAL!B$8:B$1696,A236,GERAL!BK$8:BK$1696,"&gt;0",GERAL!C$8:C$1696,"ESCOLA")</f>
        <v>1</v>
      </c>
      <c r="AB236" s="88">
        <f>COUNTIFS(GERAL!B$8:B$1696,A236,GERAL!BK$8:BK$1696,"&gt;0",GERAL!C$8:C$1696,"ANEXO")</f>
        <v>0</v>
      </c>
      <c r="AC236" s="121">
        <f>SUMIF(GERAL!B$8:B$1696,A236,GERAL!AD$8:AD$1696)</f>
        <v>0</v>
      </c>
      <c r="AD236" s="121">
        <f>SUMIF(GERAL!B$8:B$1696,A236,GERAL!AI$8:AI$1696)</f>
        <v>62</v>
      </c>
      <c r="AE236" s="121">
        <f>SUMIF(GERAL!B$8:B$1696,A236,GERAL!AV$8:AV$1696)</f>
        <v>0</v>
      </c>
      <c r="AF236" s="492">
        <f t="shared" si="41"/>
        <v>62</v>
      </c>
      <c r="AG236" s="178">
        <f>COUNTIFS(GERAL!B$8:B$1696,A236,GERAL!AW$8:AW$1696,"&gt;0",GERAL!C$8:C$1696,"ESCOLA")</f>
        <v>1</v>
      </c>
      <c r="AH236" s="118">
        <f>COUNTIFS(GERAL!B$8:B$1696,A236,GERAL!AW$8:AW$1696,"&gt;0",GERAL!C$8:C$1696,"ANEXO")</f>
        <v>0</v>
      </c>
      <c r="AI236" s="177">
        <f>SUMIF(GERAL!B$8:B$1696,A236,GERAL!AS$8:AS$1696)+SUMIF(GERAL!B$8:B$1696,A236,GERAL!AT$8:AT$1696)</f>
        <v>78</v>
      </c>
      <c r="AJ236" s="177">
        <f>SUMIF(GERAL!B$8:B$1696,A236,GERAL!AU$8:AU$1696)</f>
        <v>0</v>
      </c>
      <c r="AK236" s="177">
        <f>SUMIF(GERAL!B$8:B$1696,A236,GERAL!AV$8:AV$1696)</f>
        <v>0</v>
      </c>
      <c r="AL236" s="118">
        <f t="shared" si="42"/>
        <v>78</v>
      </c>
      <c r="AM236" s="493" t="s">
        <v>605</v>
      </c>
    </row>
    <row r="237">
      <c r="A237" s="494" t="s">
        <v>339</v>
      </c>
      <c r="B237" s="75">
        <f>COUNTIFS(GERAL!B$8:B$1696,A237,GERAL!C$8:C$1696,"ESCOLA")</f>
        <v>1</v>
      </c>
      <c r="C237" s="75">
        <f>COUNTIFS(GERAL!B$8:B$1696,A237,GERAL!C$8:C$1696,"ANEXO")</f>
        <v>0</v>
      </c>
      <c r="D237" s="85">
        <f>SUMIF(GERAL!B$8:B$1696,A237,GERAL!Z$8:Z$1696)</f>
        <v>0</v>
      </c>
      <c r="E237" s="85">
        <f>SUMIF(GERAL!B$8:B$1696,A237,GERAL!AE$8:AE$1696)</f>
        <v>0</v>
      </c>
      <c r="F237" s="85">
        <f>SUMIF(GERAL!B$8:B$1696,A237,GERAL!AJ$8:AJ$1696)</f>
        <v>476</v>
      </c>
      <c r="G237" s="85">
        <f>SUMIF(GERAL!B$8:B$1696,A237,GERAL!AN$8:AN$1696)</f>
        <v>0</v>
      </c>
      <c r="H237" s="85">
        <f>SUMIF(GERAL!B$8:B$1696,A237,GERAL!AR$8:AW$1696)</f>
        <v>56</v>
      </c>
      <c r="I237" s="85">
        <f>SUMIF(GERAL!B$8:B$1696,A237,GERAL!AW$8:AW$1696)</f>
        <v>98</v>
      </c>
      <c r="J237" s="75">
        <f>SUMIF(GERAL!B$8:B$1696,A237,GERAL!AX$8:AX$1696)</f>
        <v>630</v>
      </c>
      <c r="K237" s="75">
        <f>COUNTIFS(GERAL!B$8:B$1696,A237,GERAL!AY$8:AY$1696,"&gt;0",GERAL!C$8:C$1696,"ESCOLA")</f>
        <v>1</v>
      </c>
      <c r="L237" s="75">
        <f>COUNTIFS(GERAL!B$8:B$1696,A237,GERAL!AY$8:AY$1696,"&gt;0",GERAL!C$8:C$1696,"ANEXO")</f>
        <v>0</v>
      </c>
      <c r="M237" s="100">
        <f>SUMIF(GERAL!B$8:B$1696,A237,GERAL!V$8:V$1696)+SUMIF(GERAL!B$8:B$1696,A237,GERAL!W$8:W$1696)</f>
        <v>0</v>
      </c>
      <c r="N237" s="100">
        <f>SUMIF(GERAL!B$8:B$1696,A237,GERAL!AA$8:AA$1696)+SUMIF(GERAL!B$8:B$1696,A237,GERAL!AB$8:AB$1696)</f>
        <v>0</v>
      </c>
      <c r="O237" s="100">
        <f>SUMIF(GERAL!B$8:B$1696,A237,GERAL!AF$8:AF$1696)+SUMIF(GERAL!B$8:B$1696,A237,GERAL!AG$8:AG$1696)</f>
        <v>0</v>
      </c>
      <c r="P237" s="100">
        <f>SUMIF(GERAL!B$8:B$1696,A237,GERAL!AK$8:AK$1696)+SUMIF(GERAL!B$8:B$1696,A237,GERAL!AL$8:AL$1696)</f>
        <v>0</v>
      </c>
      <c r="Q237" s="100">
        <f>SUMIF(GERAL!B$8:B$1696,A237,GERAL!AO$8:AO$1696)+SUMIF(GERAL!B$8:B$1696,A237,GERAL!AP$8:AP$1696)</f>
        <v>0</v>
      </c>
      <c r="R237" s="100">
        <f>SUMIF(GERAL!B$8:B$1696,A237,GERAL!AS$8:AS$1696)+SUMIF(GERAL!B$8:B$1696,A237,GERAL!AT$8:AT$1696)</f>
        <v>0</v>
      </c>
      <c r="S237" s="75">
        <f t="shared" si="39"/>
        <v>0</v>
      </c>
      <c r="T237" s="116">
        <f>COUNTIFS(GERAL!B$8:B$1696,A237,GERAL!AZ$8:AZ$1696,"&gt;0",GERAL!C$8:C$1696,"ESCOLA")</f>
        <v>1</v>
      </c>
      <c r="U237" s="75">
        <f>COUNTIFS(GERAL!B$8:B$1696,A237,GERAL!AZ$8:AZ$1696,"&gt;0",GERAL!C$8:C$1696,"ANEXO")</f>
        <v>0</v>
      </c>
      <c r="V237" s="85">
        <f>SUMIF(GERAL!B$8:B$1696,A237,GERAL!AH$8:AH$1696)</f>
        <v>0</v>
      </c>
      <c r="W237" s="85">
        <f>SUMIF(GERAL!B$8:B$1696,A237,GERAL!AM$8:AM$1696)</f>
        <v>0</v>
      </c>
      <c r="X237" s="85">
        <f>SUMIF(GERAL!B$8:B$1696,A237,GERAL!AQ$8:AQ$1696)</f>
        <v>56</v>
      </c>
      <c r="Y237" s="85">
        <f>SUMIF(GERAL!B$8:B$1696,A237,GERAL!AU$8:AU$1696)</f>
        <v>0</v>
      </c>
      <c r="Z237" s="88">
        <f t="shared" si="40"/>
        <v>56</v>
      </c>
      <c r="AA237" s="116">
        <f>COUNTIFS(GERAL!B$8:B$1696,A237,GERAL!BK$8:BK$1696,"&gt;0",GERAL!C$8:C$1696,"ESCOLA")</f>
        <v>1</v>
      </c>
      <c r="AB237" s="88">
        <f>COUNTIFS(GERAL!B$8:B$1696,A237,GERAL!BK$8:BK$1696,"&gt;0",GERAL!C$8:C$1696,"ANEXO")</f>
        <v>0</v>
      </c>
      <c r="AC237" s="121">
        <f>SUMIF(GERAL!B$8:B$1696,A237,GERAL!AD$8:AD$1696)</f>
        <v>0</v>
      </c>
      <c r="AD237" s="121">
        <f>SUMIF(GERAL!B$8:B$1696,A237,GERAL!AI$8:AI$1696)</f>
        <v>476</v>
      </c>
      <c r="AE237" s="121">
        <f>SUMIF(GERAL!B$8:B$1696,A237,GERAL!AV$8:AV$1696)</f>
        <v>98</v>
      </c>
      <c r="AF237" s="492">
        <f t="shared" si="41"/>
        <v>574</v>
      </c>
      <c r="AG237" s="178">
        <f>COUNTIFS(GERAL!B$8:B$1696,A237,GERAL!AW$8:AW$1696,"&gt;0",GERAL!C$8:C$1696,"ESCOLA")</f>
        <v>1</v>
      </c>
      <c r="AH237" s="118">
        <f>COUNTIFS(GERAL!B$8:B$1696,A237,GERAL!AW$8:AW$1696,"&gt;0",GERAL!C$8:C$1696,"ANEXO")</f>
        <v>0</v>
      </c>
      <c r="AI237" s="177">
        <f>SUMIF(GERAL!B$8:B$1696,A237,GERAL!AS$8:AS$1696)+SUMIF(GERAL!B$8:B$1696,A237,GERAL!AT$8:AT$1696)</f>
        <v>0</v>
      </c>
      <c r="AJ237" s="177">
        <f>SUMIF(GERAL!B$8:B$1696,A237,GERAL!AU$8:AU$1696)</f>
        <v>0</v>
      </c>
      <c r="AK237" s="177">
        <f>SUMIF(GERAL!B$8:B$1696,A237,GERAL!AV$8:AV$1696)</f>
        <v>98</v>
      </c>
      <c r="AL237" s="118">
        <f t="shared" si="42"/>
        <v>98</v>
      </c>
      <c r="AM237" s="493" t="s">
        <v>130</v>
      </c>
    </row>
    <row r="238">
      <c r="A238" s="484" t="s">
        <v>1607</v>
      </c>
      <c r="B238" s="75">
        <f>COUNTIFS(GERAL!B$8:B$1696,A238,GERAL!C$8:C$1696,"ESCOLA")</f>
        <v>1</v>
      </c>
      <c r="C238" s="75">
        <f>COUNTIFS(GERAL!B$8:B$1696,A238,GERAL!C$8:C$1696,"ANEXO")</f>
        <v>0</v>
      </c>
      <c r="D238" s="85">
        <f>SUMIF(GERAL!B$8:B$1696,A238,GERAL!Z$8:Z$1696)</f>
        <v>0</v>
      </c>
      <c r="E238" s="85">
        <f>SUMIF(GERAL!B$8:B$1696,A238,GERAL!AE$8:AE$1696)</f>
        <v>0</v>
      </c>
      <c r="F238" s="85">
        <f>SUMIF(GERAL!B$8:B$1696,A238,GERAL!AJ$8:AJ$1696)</f>
        <v>146</v>
      </c>
      <c r="G238" s="85">
        <f>SUMIF(GERAL!B$8:B$1696,A238,GERAL!AN$8:AN$1696)</f>
        <v>0</v>
      </c>
      <c r="H238" s="85">
        <f>SUMIF(GERAL!B$8:B$1696,A238,GERAL!AR$8:AW$1696)</f>
        <v>67</v>
      </c>
      <c r="I238" s="85">
        <f>SUMIF(GERAL!B$8:B$1696,A238,GERAL!AW$8:AW$1696)</f>
        <v>62</v>
      </c>
      <c r="J238" s="75">
        <f>SUMIF(GERAL!B$8:B$1696,A238,GERAL!AX$8:AX$1696)</f>
        <v>275</v>
      </c>
      <c r="K238" s="75">
        <f>COUNTIFS(GERAL!B$8:B$1696,A238,GERAL!AY$8:AY$1696,"&gt;0",GERAL!C$8:C$1696,"ESCOLA")</f>
        <v>1</v>
      </c>
      <c r="L238" s="75">
        <f>COUNTIFS(GERAL!B$8:B$1696,A238,GERAL!AY$8:AY$1696,"&gt;0",GERAL!C$8:C$1696,"ANEXO")</f>
        <v>0</v>
      </c>
      <c r="M238" s="100">
        <f>SUMIF(GERAL!B$8:B$1696,A238,GERAL!V$8:V$1696)+SUMIF(GERAL!B$8:B$1696,A238,GERAL!W$8:W$1696)</f>
        <v>0</v>
      </c>
      <c r="N238" s="100">
        <f>SUMIF(GERAL!B$8:B$1696,A238,GERAL!AA$8:AA$1696)+SUMIF(GERAL!B$8:B$1696,A238,GERAL!AB$8:AB$1696)</f>
        <v>0</v>
      </c>
      <c r="O238" s="100">
        <f>SUMIF(GERAL!B$8:B$1696,A238,GERAL!AF$8:AF$1696)+SUMIF(GERAL!B$8:B$1696,A238,GERAL!AG$8:AG$1696)</f>
        <v>0</v>
      </c>
      <c r="P238" s="100">
        <f>SUMIF(GERAL!B$8:B$1696,A238,GERAL!AK$8:AK$1696)+SUMIF(GERAL!B$8:B$1696,A238,GERAL!AL$8:AL$1696)</f>
        <v>0</v>
      </c>
      <c r="Q238" s="100">
        <f>SUMIF(GERAL!B$8:B$1696,A238,GERAL!AO$8:AO$1696)+SUMIF(GERAL!B$8:B$1696,A238,GERAL!AP$8:AP$1696)</f>
        <v>0</v>
      </c>
      <c r="R238" s="100">
        <f>SUMIF(GERAL!B$8:B$1696,A238,GERAL!AS$8:AS$1696)+SUMIF(GERAL!B$8:B$1696,A238,GERAL!AT$8:AT$1696)</f>
        <v>0</v>
      </c>
      <c r="S238" s="75">
        <f t="shared" si="39"/>
        <v>0</v>
      </c>
      <c r="T238" s="116">
        <f>COUNTIFS(GERAL!B$8:B$1696,A238,GERAL!AZ$8:AZ$1696,"&gt;0",GERAL!C$8:C$1696,"ESCOLA")</f>
        <v>1</v>
      </c>
      <c r="U238" s="75">
        <f>COUNTIFS(GERAL!B$8:B$1696,A238,GERAL!AZ$8:AZ$1696,"&gt;0",GERAL!C$8:C$1696,"ANEXO")</f>
        <v>0</v>
      </c>
      <c r="V238" s="85">
        <f>SUMIF(GERAL!B$8:B$1696,A238,GERAL!AH$8:AH$1696)</f>
        <v>0</v>
      </c>
      <c r="W238" s="85">
        <f>SUMIF(GERAL!B$8:B$1696,A238,GERAL!AM$8:AM$1696)</f>
        <v>0</v>
      </c>
      <c r="X238" s="85">
        <f>SUMIF(GERAL!B$8:B$1696,A238,GERAL!AQ$8:AQ$1696)</f>
        <v>67</v>
      </c>
      <c r="Y238" s="85">
        <f>SUMIF(GERAL!B$8:B$1696,A238,GERAL!AU$8:AU$1696)</f>
        <v>62</v>
      </c>
      <c r="Z238" s="88">
        <f t="shared" si="40"/>
        <v>129</v>
      </c>
      <c r="AA238" s="116">
        <f>COUNTIFS(GERAL!B$8:B$1696,A238,GERAL!BK$8:BK$1696,"&gt;0",GERAL!C$8:C$1696,"ESCOLA")</f>
        <v>1</v>
      </c>
      <c r="AB238" s="88">
        <f>COUNTIFS(GERAL!B$8:B$1696,A238,GERAL!BK$8:BK$1696,"&gt;0",GERAL!C$8:C$1696,"ANEXO")</f>
        <v>0</v>
      </c>
      <c r="AC238" s="121">
        <f>SUMIF(GERAL!B$8:B$1696,A238,GERAL!AD$8:AD$1696)</f>
        <v>0</v>
      </c>
      <c r="AD238" s="121">
        <f>SUMIF(GERAL!B$8:B$1696,A238,GERAL!AI$8:AI$1696)</f>
        <v>146</v>
      </c>
      <c r="AE238" s="121">
        <f>SUMIF(GERAL!B$8:B$1696,A238,GERAL!AV$8:AV$1696)</f>
        <v>0</v>
      </c>
      <c r="AF238" s="492">
        <f t="shared" si="41"/>
        <v>146</v>
      </c>
      <c r="AG238" s="178">
        <f>COUNTIFS(GERAL!B$8:B$1696,A238,GERAL!AW$8:AW$1696,"&gt;0",GERAL!C$8:C$1696,"ESCOLA")</f>
        <v>1</v>
      </c>
      <c r="AH238" s="118">
        <f>COUNTIFS(GERAL!B$8:B$1696,A238,GERAL!AW$8:AW$1696,"&gt;0",GERAL!C$8:C$1696,"ANEXO")</f>
        <v>0</v>
      </c>
      <c r="AI238" s="177">
        <f>SUMIF(GERAL!B$8:B$1696,A238,GERAL!AS$8:AS$1696)+SUMIF(GERAL!B$8:B$1696,A238,GERAL!AT$8:AT$1696)</f>
        <v>0</v>
      </c>
      <c r="AJ238" s="177">
        <f>SUMIF(GERAL!B$8:B$1696,A238,GERAL!AU$8:AU$1696)</f>
        <v>62</v>
      </c>
      <c r="AK238" s="177">
        <f>SUMIF(GERAL!B$8:B$1696,A238,GERAL!AV$8:AV$1696)</f>
        <v>0</v>
      </c>
      <c r="AL238" s="118">
        <f t="shared" si="42"/>
        <v>62</v>
      </c>
      <c r="AM238" s="493" t="s">
        <v>451</v>
      </c>
    </row>
    <row r="239">
      <c r="A239" s="494" t="s">
        <v>894</v>
      </c>
      <c r="B239" s="75">
        <f>COUNTIFS(GERAL!B$8:B$1696,A239,GERAL!C$8:C$1696,"ESCOLA")</f>
        <v>2</v>
      </c>
      <c r="C239" s="75">
        <f>COUNTIFS(GERAL!B$8:B$1696,A239,GERAL!C$8:C$1696,"ANEXO")</f>
        <v>0</v>
      </c>
      <c r="D239" s="85">
        <f>SUMIF(GERAL!B$8:B$1696,A239,GERAL!Z$8:Z$1696)</f>
        <v>0</v>
      </c>
      <c r="E239" s="85">
        <f>SUMIF(GERAL!B$8:B$1696,A239,GERAL!AE$8:AE$1696)</f>
        <v>0</v>
      </c>
      <c r="F239" s="85">
        <f>SUMIF(GERAL!B$8:B$1696,A239,GERAL!AJ$8:AJ$1696)</f>
        <v>237</v>
      </c>
      <c r="G239" s="85">
        <f>SUMIF(GERAL!B$8:B$1696,A239,GERAL!AN$8:AN$1696)</f>
        <v>0</v>
      </c>
      <c r="H239" s="85">
        <f>SUMIF(GERAL!B$8:B$1696,A239,GERAL!AR$8:AW$1696)</f>
        <v>78</v>
      </c>
      <c r="I239" s="85">
        <f>SUMIF(GERAL!B$8:B$1696,A239,GERAL!AW$8:AW$1696)</f>
        <v>43</v>
      </c>
      <c r="J239" s="75">
        <f>SUMIF(GERAL!B$8:B$1696,A239,GERAL!AX$8:AX$1696)</f>
        <v>358</v>
      </c>
      <c r="K239" s="75">
        <f>COUNTIFS(GERAL!B$8:B$1696,A239,GERAL!AY$8:AY$1696,"&gt;0",GERAL!C$8:C$1696,"ESCOLA")</f>
        <v>2</v>
      </c>
      <c r="L239" s="75">
        <f>COUNTIFS(GERAL!B$8:B$1696,A239,GERAL!AY$8:AY$1696,"&gt;0",GERAL!C$8:C$1696,"ANEXO")</f>
        <v>0</v>
      </c>
      <c r="M239" s="100">
        <f>SUMIF(GERAL!B$8:B$1696,A239,GERAL!V$8:V$1696)+SUMIF(GERAL!B$8:B$1696,A239,GERAL!W$8:W$1696)</f>
        <v>0</v>
      </c>
      <c r="N239" s="100">
        <f>SUMIF(GERAL!B$8:B$1696,A239,GERAL!AA$8:AA$1696)+SUMIF(GERAL!B$8:B$1696,A239,GERAL!AB$8:AB$1696)</f>
        <v>0</v>
      </c>
      <c r="O239" s="100">
        <f>SUMIF(GERAL!B$8:B$1696,A239,GERAL!AF$8:AF$1696)+SUMIF(GERAL!B$8:B$1696,A239,GERAL!AG$8:AG$1696)</f>
        <v>123</v>
      </c>
      <c r="P239" s="100">
        <f>SUMIF(GERAL!B$8:B$1696,A239,GERAL!AK$8:AK$1696)+SUMIF(GERAL!B$8:B$1696,A239,GERAL!AL$8:AL$1696)</f>
        <v>0</v>
      </c>
      <c r="Q239" s="100">
        <f>SUMIF(GERAL!B$8:B$1696,A239,GERAL!AO$8:AO$1696)+SUMIF(GERAL!B$8:B$1696,A239,GERAL!AP$8:AP$1696)</f>
        <v>0</v>
      </c>
      <c r="R239" s="100">
        <f>SUMIF(GERAL!B$8:B$1696,A239,GERAL!AS$8:AS$1696)+SUMIF(GERAL!B$8:B$1696,A239,GERAL!AT$8:AT$1696)</f>
        <v>21</v>
      </c>
      <c r="S239" s="75">
        <f t="shared" si="39"/>
        <v>144</v>
      </c>
      <c r="T239" s="116">
        <f>COUNTIFS(GERAL!B$8:B$1696,A239,GERAL!AZ$8:AZ$1696,"&gt;0",GERAL!C$8:C$1696,"ESCOLA")</f>
        <v>2</v>
      </c>
      <c r="U239" s="75">
        <f>COUNTIFS(GERAL!B$8:B$1696,A239,GERAL!AZ$8:AZ$1696,"&gt;0",GERAL!C$8:C$1696,"ANEXO")</f>
        <v>0</v>
      </c>
      <c r="V239" s="85">
        <f>SUMIF(GERAL!B$8:B$1696,A239,GERAL!AH$8:AH$1696)</f>
        <v>0</v>
      </c>
      <c r="W239" s="85">
        <f>SUMIF(GERAL!B$8:B$1696,A239,GERAL!AM$8:AM$1696)</f>
        <v>0</v>
      </c>
      <c r="X239" s="85">
        <f>SUMIF(GERAL!B$8:B$1696,A239,GERAL!AQ$8:AQ$1696)</f>
        <v>78</v>
      </c>
      <c r="Y239" s="85">
        <f>SUMIF(GERAL!B$8:B$1696,A239,GERAL!AU$8:AU$1696)</f>
        <v>22</v>
      </c>
      <c r="Z239" s="88">
        <f t="shared" si="40"/>
        <v>100</v>
      </c>
      <c r="AA239" s="116">
        <f>COUNTIFS(GERAL!B$8:B$1696,A239,GERAL!BK$8:BK$1696,"&gt;0",GERAL!C$8:C$1696,"ESCOLA")</f>
        <v>2</v>
      </c>
      <c r="AB239" s="88">
        <f>COUNTIFS(GERAL!B$8:B$1696,A239,GERAL!BK$8:BK$1696,"&gt;0",GERAL!C$8:C$1696,"ANEXO")</f>
        <v>0</v>
      </c>
      <c r="AC239" s="121">
        <f>SUMIF(GERAL!B$8:B$1696,A239,GERAL!AD$8:AD$1696)</f>
        <v>0</v>
      </c>
      <c r="AD239" s="121">
        <f>SUMIF(GERAL!B$8:B$1696,A239,GERAL!AI$8:AI$1696)</f>
        <v>114</v>
      </c>
      <c r="AE239" s="121">
        <f>SUMIF(GERAL!B$8:B$1696,A239,GERAL!AV$8:AV$1696)</f>
        <v>0</v>
      </c>
      <c r="AF239" s="492">
        <f t="shared" si="41"/>
        <v>114</v>
      </c>
      <c r="AG239" s="178">
        <f>COUNTIFS(GERAL!B$8:B$1696,A239,GERAL!AW$8:AW$1696,"&gt;0",GERAL!C$8:C$1696,"ESCOLA")</f>
        <v>2</v>
      </c>
      <c r="AH239" s="118">
        <f>COUNTIFS(GERAL!B$8:B$1696,A239,GERAL!AW$8:AW$1696,"&gt;0",GERAL!C$8:C$1696,"ANEXO")</f>
        <v>0</v>
      </c>
      <c r="AI239" s="177">
        <f>SUMIF(GERAL!B$8:B$1696,A239,GERAL!AS$8:AS$1696)+SUMIF(GERAL!B$8:B$1696,A239,GERAL!AT$8:AT$1696)</f>
        <v>21</v>
      </c>
      <c r="AJ239" s="177">
        <f>SUMIF(GERAL!B$8:B$1696,A239,GERAL!AU$8:AU$1696)</f>
        <v>22</v>
      </c>
      <c r="AK239" s="177">
        <f>SUMIF(GERAL!B$8:B$1696,A239,GERAL!AV$8:AV$1696)</f>
        <v>0</v>
      </c>
      <c r="AL239" s="118">
        <f t="shared" si="42"/>
        <v>43</v>
      </c>
      <c r="AM239" s="493" t="s">
        <v>285</v>
      </c>
    </row>
    <row r="240">
      <c r="A240" s="484" t="s">
        <v>2725</v>
      </c>
      <c r="B240" s="75">
        <f>COUNTIFS(GERAL!B$8:B$1696,A240,GERAL!C$8:C$1696,"ESCOLA")</f>
        <v>1</v>
      </c>
      <c r="C240" s="75">
        <f>COUNTIFS(GERAL!B$8:B$1696,A240,GERAL!C$8:C$1696,"ANEXO")</f>
        <v>0</v>
      </c>
      <c r="D240" s="85">
        <f>SUMIF(GERAL!B$8:B$1696,A240,GERAL!Z$8:Z$1696)</f>
        <v>0</v>
      </c>
      <c r="E240" s="85">
        <f>SUMIF(GERAL!B$8:B$1696,A240,GERAL!AE$8:AE$1696)</f>
        <v>0</v>
      </c>
      <c r="F240" s="85">
        <f>SUMIF(GERAL!B$8:B$1696,A240,GERAL!AJ$8:AJ$1696)</f>
        <v>64</v>
      </c>
      <c r="G240" s="85">
        <f>SUMIF(GERAL!B$8:B$1696,A240,GERAL!AN$8:AN$1696)</f>
        <v>0</v>
      </c>
      <c r="H240" s="85">
        <f>SUMIF(GERAL!B$8:B$1696,A240,GERAL!AR$8:AW$1696)</f>
        <v>40</v>
      </c>
      <c r="I240" s="85">
        <f>SUMIF(GERAL!B$8:B$1696,A240,GERAL!AW$8:AW$1696)</f>
        <v>89</v>
      </c>
      <c r="J240" s="75">
        <f>SUMIF(GERAL!B$8:B$1696,A240,GERAL!AX$8:AX$1696)</f>
        <v>193</v>
      </c>
      <c r="K240" s="75">
        <f>COUNTIFS(GERAL!B$8:B$1696,A240,GERAL!AY$8:AY$1696,"&gt;0",GERAL!C$8:C$1696,"ESCOLA")</f>
        <v>1</v>
      </c>
      <c r="L240" s="75">
        <f>COUNTIFS(GERAL!B$8:B$1696,A240,GERAL!AY$8:AY$1696,"&gt;0",GERAL!C$8:C$1696,"ANEXO")</f>
        <v>0</v>
      </c>
      <c r="M240" s="100">
        <f>SUMIF(GERAL!B$8:B$1696,A240,GERAL!V$8:V$1696)+SUMIF(GERAL!B$8:B$1696,A240,GERAL!W$8:W$1696)</f>
        <v>0</v>
      </c>
      <c r="N240" s="100">
        <f>SUMIF(GERAL!B$8:B$1696,A240,GERAL!AA$8:AA$1696)+SUMIF(GERAL!B$8:B$1696,A240,GERAL!AB$8:AB$1696)</f>
        <v>0</v>
      </c>
      <c r="O240" s="100">
        <f>SUMIF(GERAL!B$8:B$1696,A240,GERAL!AF$8:AF$1696)+SUMIF(GERAL!B$8:B$1696,A240,GERAL!AG$8:AG$1696)</f>
        <v>43</v>
      </c>
      <c r="P240" s="100">
        <f>SUMIF(GERAL!B$8:B$1696,A240,GERAL!AK$8:AK$1696)+SUMIF(GERAL!B$8:B$1696,A240,GERAL!AL$8:AL$1696)</f>
        <v>0</v>
      </c>
      <c r="Q240" s="100">
        <f>SUMIF(GERAL!B$8:B$1696,A240,GERAL!AO$8:AO$1696)+SUMIF(GERAL!B$8:B$1696,A240,GERAL!AP$8:AP$1696)</f>
        <v>0</v>
      </c>
      <c r="R240" s="100">
        <f>SUMIF(GERAL!B$8:B$1696,A240,GERAL!AS$8:AS$1696)+SUMIF(GERAL!B$8:B$1696,A240,GERAL!AT$8:AT$1696)</f>
        <v>0</v>
      </c>
      <c r="S240" s="75">
        <f t="shared" si="39"/>
        <v>43</v>
      </c>
      <c r="T240" s="116">
        <f>COUNTIFS(GERAL!B$8:B$1696,A240,GERAL!AZ$8:AZ$1696,"&gt;0",GERAL!C$8:C$1696,"ESCOLA")</f>
        <v>1</v>
      </c>
      <c r="U240" s="75">
        <f>COUNTIFS(GERAL!B$8:B$1696,A240,GERAL!AZ$8:AZ$1696,"&gt;0",GERAL!C$8:C$1696,"ANEXO")</f>
        <v>0</v>
      </c>
      <c r="V240" s="85">
        <f>SUMIF(GERAL!B$8:B$1696,A240,GERAL!AH$8:AH$1696)</f>
        <v>0</v>
      </c>
      <c r="W240" s="85">
        <f>SUMIF(GERAL!B$8:B$1696,A240,GERAL!AM$8:AM$1696)</f>
        <v>0</v>
      </c>
      <c r="X240" s="85">
        <f>SUMIF(GERAL!B$8:B$1696,A240,GERAL!AQ$8:AQ$1696)</f>
        <v>40</v>
      </c>
      <c r="Y240" s="85">
        <f>SUMIF(GERAL!B$8:B$1696,A240,GERAL!AU$8:AU$1696)</f>
        <v>27</v>
      </c>
      <c r="Z240" s="88">
        <f t="shared" si="40"/>
        <v>67</v>
      </c>
      <c r="AA240" s="116">
        <f>COUNTIFS(GERAL!B$8:B$1696,A240,GERAL!BK$8:BK$1696,"&gt;0",GERAL!C$8:C$1696,"ESCOLA")</f>
        <v>1</v>
      </c>
      <c r="AB240" s="88">
        <f>COUNTIFS(GERAL!B$8:B$1696,A240,GERAL!BK$8:BK$1696,"&gt;0",GERAL!C$8:C$1696,"ANEXO")</f>
        <v>0</v>
      </c>
      <c r="AC240" s="121">
        <f>SUMIF(GERAL!B$8:B$1696,A240,GERAL!AD$8:AD$1696)</f>
        <v>0</v>
      </c>
      <c r="AD240" s="121">
        <f>SUMIF(GERAL!B$8:B$1696,A240,GERAL!AI$8:AI$1696)</f>
        <v>21</v>
      </c>
      <c r="AE240" s="121">
        <f>SUMIF(GERAL!B$8:B$1696,A240,GERAL!AV$8:AV$1696)</f>
        <v>62</v>
      </c>
      <c r="AF240" s="492">
        <f t="shared" si="41"/>
        <v>83</v>
      </c>
      <c r="AG240" s="178">
        <f>COUNTIFS(GERAL!B$8:B$1696,A240,GERAL!AW$8:AW$1696,"&gt;0",GERAL!C$8:C$1696,"ESCOLA")</f>
        <v>1</v>
      </c>
      <c r="AH240" s="118">
        <f>COUNTIFS(GERAL!B$8:B$1696,A240,GERAL!AW$8:AW$1696,"&gt;0",GERAL!C$8:C$1696,"ANEXO")</f>
        <v>0</v>
      </c>
      <c r="AI240" s="177">
        <f>SUMIF(GERAL!B$8:B$1696,A240,GERAL!AS$8:AS$1696)+SUMIF(GERAL!B$8:B$1696,A240,GERAL!AT$8:AT$1696)</f>
        <v>0</v>
      </c>
      <c r="AJ240" s="177">
        <f>SUMIF(GERAL!B$8:B$1696,A240,GERAL!AU$8:AU$1696)</f>
        <v>27</v>
      </c>
      <c r="AK240" s="177">
        <f>SUMIF(GERAL!B$8:B$1696,A240,GERAL!AV$8:AV$1696)</f>
        <v>62</v>
      </c>
      <c r="AL240" s="118">
        <f t="shared" si="42"/>
        <v>89</v>
      </c>
      <c r="AM240" s="493" t="s">
        <v>723</v>
      </c>
    </row>
    <row r="241">
      <c r="A241" s="494" t="s">
        <v>4173</v>
      </c>
      <c r="B241" s="75">
        <f>COUNTIFS(GERAL!B$8:B$1696,A241,GERAL!C$8:C$1696,"ESCOLA")</f>
        <v>1</v>
      </c>
      <c r="C241" s="75">
        <f>COUNTIFS(GERAL!B$8:B$1696,A241,GERAL!C$8:C$1696,"ANEXO")</f>
        <v>0</v>
      </c>
      <c r="D241" s="85">
        <f>SUMIF(GERAL!B$8:B$1696,A241,GERAL!Z$8:Z$1696)</f>
        <v>0</v>
      </c>
      <c r="E241" s="85">
        <f>SUMIF(GERAL!B$8:B$1696,A241,GERAL!AE$8:AE$1696)</f>
        <v>0</v>
      </c>
      <c r="F241" s="85">
        <f>SUMIF(GERAL!B$8:B$1696,A241,GERAL!AJ$8:AJ$1696)</f>
        <v>289</v>
      </c>
      <c r="G241" s="85">
        <f>SUMIF(GERAL!B$8:B$1696,A241,GERAL!AN$8:AN$1696)</f>
        <v>0</v>
      </c>
      <c r="H241" s="85">
        <f>SUMIF(GERAL!B$8:B$1696,A241,GERAL!AR$8:AW$1696)</f>
        <v>76</v>
      </c>
      <c r="I241" s="85">
        <f>SUMIF(GERAL!B$8:B$1696,A241,GERAL!AW$8:AW$1696)</f>
        <v>48</v>
      </c>
      <c r="J241" s="75">
        <f>SUMIF(GERAL!B$8:B$1696,A241,GERAL!AX$8:AX$1696)</f>
        <v>413</v>
      </c>
      <c r="K241" s="75">
        <f>COUNTIFS(GERAL!B$8:B$1696,A241,GERAL!AY$8:AY$1696,"&gt;0",GERAL!C$8:C$1696,"ESCOLA")</f>
        <v>1</v>
      </c>
      <c r="L241" s="75">
        <f>COUNTIFS(GERAL!B$8:B$1696,A241,GERAL!AY$8:AY$1696,"&gt;0",GERAL!C$8:C$1696,"ANEXO")</f>
        <v>0</v>
      </c>
      <c r="M241" s="100">
        <f>SUMIF(GERAL!B$8:B$1696,A241,GERAL!V$8:V$1696)+SUMIF(GERAL!B$8:B$1696,A241,GERAL!W$8:W$1696)</f>
        <v>0</v>
      </c>
      <c r="N241" s="100">
        <f>SUMIF(GERAL!B$8:B$1696,A241,GERAL!AA$8:AA$1696)+SUMIF(GERAL!B$8:B$1696,A241,GERAL!AB$8:AB$1696)</f>
        <v>0</v>
      </c>
      <c r="O241" s="100">
        <f>SUMIF(GERAL!B$8:B$1696,A241,GERAL!AF$8:AF$1696)+SUMIF(GERAL!B$8:B$1696,A241,GERAL!AG$8:AG$1696)</f>
        <v>204</v>
      </c>
      <c r="P241" s="100">
        <f>SUMIF(GERAL!B$8:B$1696,A241,GERAL!AK$8:AK$1696)+SUMIF(GERAL!B$8:B$1696,A241,GERAL!AL$8:AL$1696)</f>
        <v>0</v>
      </c>
      <c r="Q241" s="100">
        <f>SUMIF(GERAL!B$8:B$1696,A241,GERAL!AO$8:AO$1696)+SUMIF(GERAL!B$8:B$1696,A241,GERAL!AP$8:AP$1696)</f>
        <v>0</v>
      </c>
      <c r="R241" s="100">
        <f>SUMIF(GERAL!B$8:B$1696,A241,GERAL!AS$8:AS$1696)+SUMIF(GERAL!B$8:B$1696,A241,GERAL!AT$8:AT$1696)</f>
        <v>19</v>
      </c>
      <c r="S241" s="75">
        <f t="shared" si="39"/>
        <v>223</v>
      </c>
      <c r="T241" s="116">
        <f>COUNTIFS(GERAL!B$8:B$1696,A241,GERAL!AZ$8:AZ$1696,"&gt;0",GERAL!C$8:C$1696,"ESCOLA")</f>
        <v>1</v>
      </c>
      <c r="U241" s="75">
        <f>COUNTIFS(GERAL!B$8:B$1696,A241,GERAL!AZ$8:AZ$1696,"&gt;0",GERAL!C$8:C$1696,"ANEXO")</f>
        <v>0</v>
      </c>
      <c r="V241" s="85">
        <f>SUMIF(GERAL!B$8:B$1696,A241,GERAL!AH$8:AH$1696)</f>
        <v>0</v>
      </c>
      <c r="W241" s="85">
        <f>SUMIF(GERAL!B$8:B$1696,A241,GERAL!AM$8:AM$1696)</f>
        <v>0</v>
      </c>
      <c r="X241" s="85">
        <f>SUMIF(GERAL!B$8:B$1696,A241,GERAL!AQ$8:AQ$1696)</f>
        <v>76</v>
      </c>
      <c r="Y241" s="85">
        <f>SUMIF(GERAL!B$8:B$1696,A241,GERAL!AU$8:AU$1696)</f>
        <v>0</v>
      </c>
      <c r="Z241" s="88">
        <f t="shared" si="40"/>
        <v>76</v>
      </c>
      <c r="AA241" s="116">
        <f>COUNTIFS(GERAL!B$8:B$1696,A241,GERAL!BK$8:BK$1696,"&gt;0",GERAL!C$8:C$1696,"ESCOLA")</f>
        <v>1</v>
      </c>
      <c r="AB241" s="88">
        <f>COUNTIFS(GERAL!B$8:B$1696,A241,GERAL!BK$8:BK$1696,"&gt;0",GERAL!C$8:C$1696,"ANEXO")</f>
        <v>0</v>
      </c>
      <c r="AC241" s="121">
        <f>SUMIF(GERAL!B$8:B$1696,A241,GERAL!AD$8:AD$1696)</f>
        <v>0</v>
      </c>
      <c r="AD241" s="121">
        <f>SUMIF(GERAL!B$8:B$1696,A241,GERAL!AI$8:AI$1696)</f>
        <v>85</v>
      </c>
      <c r="AE241" s="121">
        <f>SUMIF(GERAL!B$8:B$1696,A241,GERAL!AV$8:AV$1696)</f>
        <v>29</v>
      </c>
      <c r="AF241" s="492">
        <f t="shared" si="41"/>
        <v>114</v>
      </c>
      <c r="AG241" s="178">
        <f>COUNTIFS(GERAL!B$8:B$1696,A241,GERAL!AW$8:AW$1696,"&gt;0",GERAL!C$8:C$1696,"ESCOLA")</f>
        <v>1</v>
      </c>
      <c r="AH241" s="118">
        <f>COUNTIFS(GERAL!B$8:B$1696,A241,GERAL!AW$8:AW$1696,"&gt;0",GERAL!C$8:C$1696,"ANEXO")</f>
        <v>0</v>
      </c>
      <c r="AI241" s="177">
        <f>SUMIF(GERAL!B$8:B$1696,A241,GERAL!AS$8:AS$1696)+SUMIF(GERAL!B$8:B$1696,A241,GERAL!AT$8:AT$1696)</f>
        <v>19</v>
      </c>
      <c r="AJ241" s="177">
        <f>SUMIF(GERAL!B$8:B$1696,A241,GERAL!AU$8:AU$1696)</f>
        <v>0</v>
      </c>
      <c r="AK241" s="177">
        <f>SUMIF(GERAL!B$8:B$1696,A241,GERAL!AV$8:AV$1696)</f>
        <v>29</v>
      </c>
      <c r="AL241" s="118">
        <f t="shared" si="42"/>
        <v>48</v>
      </c>
      <c r="AM241" s="493" t="s">
        <v>973</v>
      </c>
    </row>
    <row r="242">
      <c r="A242" s="484" t="s">
        <v>2264</v>
      </c>
      <c r="B242" s="75">
        <f>COUNTIFS(GERAL!B$8:B$1696,A242,GERAL!C$8:C$1696,"ESCOLA")</f>
        <v>1</v>
      </c>
      <c r="C242" s="75">
        <f>COUNTIFS(GERAL!B$8:B$1696,A242,GERAL!C$8:C$1696,"ANEXO")</f>
        <v>0</v>
      </c>
      <c r="D242" s="85">
        <f>SUMIF(GERAL!B$8:B$1696,A242,GERAL!Z$8:Z$1696)</f>
        <v>0</v>
      </c>
      <c r="E242" s="85">
        <f>SUMIF(GERAL!B$8:B$1696,A242,GERAL!AE$8:AE$1696)</f>
        <v>0</v>
      </c>
      <c r="F242" s="85">
        <f>SUMIF(GERAL!B$8:B$1696,A242,GERAL!AJ$8:AJ$1696)</f>
        <v>899</v>
      </c>
      <c r="G242" s="85">
        <f>SUMIF(GERAL!B$8:B$1696,A242,GERAL!AN$8:AN$1696)</f>
        <v>0</v>
      </c>
      <c r="H242" s="85">
        <f>SUMIF(GERAL!B$8:B$1696,A242,GERAL!AR$8:AW$1696)</f>
        <v>118</v>
      </c>
      <c r="I242" s="85">
        <f>SUMIF(GERAL!B$8:B$1696,A242,GERAL!AW$8:AW$1696)</f>
        <v>82</v>
      </c>
      <c r="J242" s="75">
        <f>SUMIF(GERAL!B$8:B$1696,A242,GERAL!AX$8:AX$1696)</f>
        <v>1099</v>
      </c>
      <c r="K242" s="75">
        <f>COUNTIFS(GERAL!B$8:B$1696,A242,GERAL!AY$8:AY$1696,"&gt;0",GERAL!C$8:C$1696,"ESCOLA")</f>
        <v>1</v>
      </c>
      <c r="L242" s="75">
        <f>COUNTIFS(GERAL!B$8:B$1696,A242,GERAL!AY$8:AY$1696,"&gt;0",GERAL!C$8:C$1696,"ANEXO")</f>
        <v>0</v>
      </c>
      <c r="M242" s="100">
        <f>SUMIF(GERAL!B$8:B$1696,A242,GERAL!V$8:V$1696)+SUMIF(GERAL!B$8:B$1696,A242,GERAL!W$8:W$1696)</f>
        <v>0</v>
      </c>
      <c r="N242" s="100">
        <f>SUMIF(GERAL!B$8:B$1696,A242,GERAL!AA$8:AA$1696)+SUMIF(GERAL!B$8:B$1696,A242,GERAL!AB$8:AB$1696)</f>
        <v>0</v>
      </c>
      <c r="O242" s="100">
        <f>SUMIF(GERAL!B$8:B$1696,A242,GERAL!AF$8:AF$1696)+SUMIF(GERAL!B$8:B$1696,A242,GERAL!AG$8:AG$1696)</f>
        <v>822</v>
      </c>
      <c r="P242" s="100">
        <f>SUMIF(GERAL!B$8:B$1696,A242,GERAL!AK$8:AK$1696)+SUMIF(GERAL!B$8:B$1696,A242,GERAL!AL$8:AL$1696)</f>
        <v>0</v>
      </c>
      <c r="Q242" s="100">
        <f>SUMIF(GERAL!B$8:B$1696,A242,GERAL!AO$8:AO$1696)+SUMIF(GERAL!B$8:B$1696,A242,GERAL!AP$8:AP$1696)</f>
        <v>0</v>
      </c>
      <c r="R242" s="100">
        <f>SUMIF(GERAL!B$8:B$1696,A242,GERAL!AS$8:AS$1696)+SUMIF(GERAL!B$8:B$1696,A242,GERAL!AT$8:AT$1696)</f>
        <v>51</v>
      </c>
      <c r="S242" s="75">
        <f t="shared" si="39"/>
        <v>873</v>
      </c>
      <c r="T242" s="116">
        <f>COUNTIFS(GERAL!B$8:B$1696,A242,GERAL!AZ$8:AZ$1696,"&gt;0",GERAL!C$8:C$1696,"ESCOLA")</f>
        <v>1</v>
      </c>
      <c r="U242" s="75">
        <f>COUNTIFS(GERAL!B$8:B$1696,A242,GERAL!AZ$8:AZ$1696,"&gt;0",GERAL!C$8:C$1696,"ANEXO")</f>
        <v>0</v>
      </c>
      <c r="V242" s="85">
        <f>SUMIF(GERAL!B$8:B$1696,A242,GERAL!AH$8:AH$1696)</f>
        <v>0</v>
      </c>
      <c r="W242" s="85">
        <f>SUMIF(GERAL!B$8:B$1696,A242,GERAL!AM$8:AM$1696)</f>
        <v>0</v>
      </c>
      <c r="X242" s="85">
        <f>SUMIF(GERAL!B$8:B$1696,A242,GERAL!AQ$8:AQ$1696)</f>
        <v>118</v>
      </c>
      <c r="Y242" s="85">
        <f>SUMIF(GERAL!B$8:B$1696,A242,GERAL!AU$8:AU$1696)</f>
        <v>0</v>
      </c>
      <c r="Z242" s="88">
        <f t="shared" si="40"/>
        <v>118</v>
      </c>
      <c r="AA242" s="116">
        <f>COUNTIFS(GERAL!B$8:B$1696,A242,GERAL!BK$8:BK$1696,"&gt;0",GERAL!C$8:C$1696,"ESCOLA")</f>
        <v>1</v>
      </c>
      <c r="AB242" s="88">
        <f>COUNTIFS(GERAL!B$8:B$1696,A242,GERAL!BK$8:BK$1696,"&gt;0",GERAL!C$8:C$1696,"ANEXO")</f>
        <v>0</v>
      </c>
      <c r="AC242" s="121">
        <f>SUMIF(GERAL!B$8:B$1696,A242,GERAL!AD$8:AD$1696)</f>
        <v>0</v>
      </c>
      <c r="AD242" s="121">
        <f>SUMIF(GERAL!B$8:B$1696,A242,GERAL!AI$8:AI$1696)</f>
        <v>77</v>
      </c>
      <c r="AE242" s="121">
        <f>SUMIF(GERAL!B$8:B$1696,A242,GERAL!AV$8:AV$1696)</f>
        <v>31</v>
      </c>
      <c r="AF242" s="492">
        <f t="shared" si="41"/>
        <v>108</v>
      </c>
      <c r="AG242" s="178">
        <f>COUNTIFS(GERAL!B$8:B$1696,A242,GERAL!AW$8:AW$1696,"&gt;0",GERAL!C$8:C$1696,"ESCOLA")</f>
        <v>1</v>
      </c>
      <c r="AH242" s="118">
        <f>COUNTIFS(GERAL!B$8:B$1696,A242,GERAL!AW$8:AW$1696,"&gt;0",GERAL!C$8:C$1696,"ANEXO")</f>
        <v>0</v>
      </c>
      <c r="AI242" s="177">
        <f>SUMIF(GERAL!B$8:B$1696,A242,GERAL!AS$8:AS$1696)+SUMIF(GERAL!B$8:B$1696,A242,GERAL!AT$8:AT$1696)</f>
        <v>51</v>
      </c>
      <c r="AJ242" s="177">
        <f>SUMIF(GERAL!B$8:B$1696,A242,GERAL!AU$8:AU$1696)</f>
        <v>0</v>
      </c>
      <c r="AK242" s="177">
        <f>SUMIF(GERAL!B$8:B$1696,A242,GERAL!AV$8:AV$1696)</f>
        <v>31</v>
      </c>
      <c r="AL242" s="118">
        <f t="shared" si="42"/>
        <v>82</v>
      </c>
      <c r="AM242" s="493" t="s">
        <v>723</v>
      </c>
    </row>
    <row r="243">
      <c r="A243" s="494" t="s">
        <v>2043</v>
      </c>
      <c r="B243" s="75">
        <f>COUNTIFS(GERAL!B$8:B$1696,A243,GERAL!C$8:C$1696,"ESCOLA")</f>
        <v>1</v>
      </c>
      <c r="C243" s="75">
        <f>COUNTIFS(GERAL!B$8:B$1696,A243,GERAL!C$8:C$1696,"ANEXO")</f>
        <v>0</v>
      </c>
      <c r="D243" s="85">
        <f>SUMIF(GERAL!B$8:B$1696,A243,GERAL!Z$8:Z$1696)</f>
        <v>0</v>
      </c>
      <c r="E243" s="85">
        <f>SUMIF(GERAL!B$8:B$1696,A243,GERAL!AE$8:AE$1696)</f>
        <v>0</v>
      </c>
      <c r="F243" s="85">
        <f>SUMIF(GERAL!B$8:B$1696,A243,GERAL!AJ$8:AJ$1696)</f>
        <v>133</v>
      </c>
      <c r="G243" s="85">
        <f>SUMIF(GERAL!B$8:B$1696,A243,GERAL!AN$8:AN$1696)</f>
        <v>0</v>
      </c>
      <c r="H243" s="85">
        <f>SUMIF(GERAL!B$8:B$1696,A243,GERAL!AR$8:AW$1696)</f>
        <v>21</v>
      </c>
      <c r="I243" s="85">
        <f>SUMIF(GERAL!B$8:B$1696,A243,GERAL!AW$8:AW$1696)</f>
        <v>21</v>
      </c>
      <c r="J243" s="75">
        <f>SUMIF(GERAL!B$8:B$1696,A243,GERAL!AX$8:AX$1696)</f>
        <v>175</v>
      </c>
      <c r="K243" s="75">
        <f>COUNTIFS(GERAL!B$8:B$1696,A243,GERAL!AY$8:AY$1696,"&gt;0",GERAL!C$8:C$1696,"ESCOLA")</f>
        <v>1</v>
      </c>
      <c r="L243" s="75">
        <f>COUNTIFS(GERAL!B$8:B$1696,A243,GERAL!AY$8:AY$1696,"&gt;0",GERAL!C$8:C$1696,"ANEXO")</f>
        <v>0</v>
      </c>
      <c r="M243" s="100">
        <f>SUMIF(GERAL!B$8:B$1696,A243,GERAL!V$8:V$1696)+SUMIF(GERAL!B$8:B$1696,A243,GERAL!W$8:W$1696)</f>
        <v>0</v>
      </c>
      <c r="N243" s="100">
        <f>SUMIF(GERAL!B$8:B$1696,A243,GERAL!AA$8:AA$1696)+SUMIF(GERAL!B$8:B$1696,A243,GERAL!AB$8:AB$1696)</f>
        <v>0</v>
      </c>
      <c r="O243" s="100">
        <f>SUMIF(GERAL!B$8:B$1696,A243,GERAL!AF$8:AF$1696)+SUMIF(GERAL!B$8:B$1696,A243,GERAL!AG$8:AG$1696)</f>
        <v>133</v>
      </c>
      <c r="P243" s="100">
        <f>SUMIF(GERAL!B$8:B$1696,A243,GERAL!AK$8:AK$1696)+SUMIF(GERAL!B$8:B$1696,A243,GERAL!AL$8:AL$1696)</f>
        <v>0</v>
      </c>
      <c r="Q243" s="100">
        <f>SUMIF(GERAL!B$8:B$1696,A243,GERAL!AO$8:AO$1696)+SUMIF(GERAL!B$8:B$1696,A243,GERAL!AP$8:AP$1696)</f>
        <v>0</v>
      </c>
      <c r="R243" s="100">
        <f>SUMIF(GERAL!B$8:B$1696,A243,GERAL!AS$8:AS$1696)+SUMIF(GERAL!B$8:B$1696,A243,GERAL!AT$8:AT$1696)</f>
        <v>0</v>
      </c>
      <c r="S243" s="75">
        <f t="shared" si="39"/>
        <v>133</v>
      </c>
      <c r="T243" s="116">
        <f>COUNTIFS(GERAL!B$8:B$1696,A243,GERAL!AZ$8:AZ$1696,"&gt;0",GERAL!C$8:C$1696,"ESCOLA")</f>
        <v>1</v>
      </c>
      <c r="U243" s="75">
        <f>COUNTIFS(GERAL!B$8:B$1696,A243,GERAL!AZ$8:AZ$1696,"&gt;0",GERAL!C$8:C$1696,"ANEXO")</f>
        <v>0</v>
      </c>
      <c r="V243" s="85">
        <f>SUMIF(GERAL!B$8:B$1696,A243,GERAL!AH$8:AH$1696)</f>
        <v>0</v>
      </c>
      <c r="W243" s="85">
        <f>SUMIF(GERAL!B$8:B$1696,A243,GERAL!AM$8:AM$1696)</f>
        <v>0</v>
      </c>
      <c r="X243" s="85">
        <f>SUMIF(GERAL!B$8:B$1696,A243,GERAL!AQ$8:AQ$1696)</f>
        <v>21</v>
      </c>
      <c r="Y243" s="85">
        <f>SUMIF(GERAL!B$8:B$1696,A243,GERAL!AU$8:AU$1696)</f>
        <v>21</v>
      </c>
      <c r="Z243" s="88">
        <f t="shared" si="40"/>
        <v>42</v>
      </c>
      <c r="AA243" s="116">
        <f>COUNTIFS(GERAL!B$8:B$1696,A243,GERAL!BK$8:BK$1696,"&gt;0",GERAL!C$8:C$1696,"ESCOLA")</f>
        <v>0</v>
      </c>
      <c r="AB243" s="88">
        <f>COUNTIFS(GERAL!B$8:B$1696,A243,GERAL!BK$8:BK$1696,"&gt;0",GERAL!C$8:C$1696,"ANEXO")</f>
        <v>0</v>
      </c>
      <c r="AC243" s="121">
        <f>SUMIF(GERAL!B$8:B$1696,A243,GERAL!AD$8:AD$1696)</f>
        <v>0</v>
      </c>
      <c r="AD243" s="121">
        <f>SUMIF(GERAL!B$8:B$1696,A243,GERAL!AI$8:AI$1696)</f>
        <v>0</v>
      </c>
      <c r="AE243" s="121">
        <f>SUMIF(GERAL!B$8:B$1696,A243,GERAL!AV$8:AV$1696)</f>
        <v>0</v>
      </c>
      <c r="AF243" s="492">
        <f t="shared" si="41"/>
        <v>0</v>
      </c>
      <c r="AG243" s="178">
        <f>COUNTIFS(GERAL!B$8:B$1696,A243,GERAL!AW$8:AW$1696,"&gt;0",GERAL!C$8:C$1696,"ESCOLA")</f>
        <v>1</v>
      </c>
      <c r="AH243" s="118">
        <f>COUNTIFS(GERAL!B$8:B$1696,A243,GERAL!AW$8:AW$1696,"&gt;0",GERAL!C$8:C$1696,"ANEXO")</f>
        <v>0</v>
      </c>
      <c r="AI243" s="177">
        <f>SUMIF(GERAL!B$8:B$1696,A243,GERAL!AS$8:AS$1696)+SUMIF(GERAL!B$8:B$1696,A243,GERAL!AT$8:AT$1696)</f>
        <v>0</v>
      </c>
      <c r="AJ243" s="177">
        <f>SUMIF(GERAL!B$8:B$1696,A243,GERAL!AU$8:AU$1696)</f>
        <v>21</v>
      </c>
      <c r="AK243" s="177">
        <f>SUMIF(GERAL!B$8:B$1696,A243,GERAL!AV$8:AV$1696)</f>
        <v>0</v>
      </c>
      <c r="AL243" s="118">
        <f t="shared" si="42"/>
        <v>21</v>
      </c>
      <c r="AM243" s="493" t="s">
        <v>605</v>
      </c>
    </row>
    <row r="244">
      <c r="A244" s="484" t="s">
        <v>4424</v>
      </c>
      <c r="B244" s="75">
        <f>COUNTIFS(GERAL!B$8:B$1696,A244,GERAL!C$8:C$1696,"ESCOLA")</f>
        <v>1</v>
      </c>
      <c r="C244" s="75">
        <f>COUNTIFS(GERAL!B$8:B$1696,A244,GERAL!C$8:C$1696,"ANEXO")</f>
        <v>0</v>
      </c>
      <c r="D244" s="85">
        <f>SUMIF(GERAL!B$8:B$1696,A244,GERAL!Z$8:Z$1696)</f>
        <v>0</v>
      </c>
      <c r="E244" s="85">
        <f>SUMIF(GERAL!B$8:B$1696,A244,GERAL!AE$8:AE$1696)</f>
        <v>0</v>
      </c>
      <c r="F244" s="85">
        <f>SUMIF(GERAL!B$8:B$1696,A244,GERAL!AJ$8:AJ$1696)</f>
        <v>63</v>
      </c>
      <c r="G244" s="85">
        <f>SUMIF(GERAL!B$8:B$1696,A244,GERAL!AN$8:AN$1696)</f>
        <v>0</v>
      </c>
      <c r="H244" s="85">
        <f>SUMIF(GERAL!B$8:B$1696,A244,GERAL!AR$8:AW$1696)</f>
        <v>20</v>
      </c>
      <c r="I244" s="85">
        <f>SUMIF(GERAL!B$8:B$1696,A244,GERAL!AW$8:AW$1696)</f>
        <v>53</v>
      </c>
      <c r="J244" s="75">
        <f>SUMIF(GERAL!B$8:B$1696,A244,GERAL!AX$8:AX$1696)</f>
        <v>136</v>
      </c>
      <c r="K244" s="75">
        <f>COUNTIFS(GERAL!B$8:B$1696,A244,GERAL!AY$8:AY$1696,"&gt;0",GERAL!C$8:C$1696,"ESCOLA")</f>
        <v>1</v>
      </c>
      <c r="L244" s="75">
        <f>COUNTIFS(GERAL!B$8:B$1696,A244,GERAL!AY$8:AY$1696,"&gt;0",GERAL!C$8:C$1696,"ANEXO")</f>
        <v>0</v>
      </c>
      <c r="M244" s="100">
        <f>SUMIF(GERAL!B$8:B$1696,A244,GERAL!V$8:V$1696)+SUMIF(GERAL!B$8:B$1696,A244,GERAL!W$8:W$1696)</f>
        <v>0</v>
      </c>
      <c r="N244" s="100">
        <f>SUMIF(GERAL!B$8:B$1696,A244,GERAL!AA$8:AA$1696)+SUMIF(GERAL!B$8:B$1696,A244,GERAL!AB$8:AB$1696)</f>
        <v>0</v>
      </c>
      <c r="O244" s="100">
        <f>SUMIF(GERAL!B$8:B$1696,A244,GERAL!AF$8:AF$1696)+SUMIF(GERAL!B$8:B$1696,A244,GERAL!AG$8:AG$1696)</f>
        <v>0</v>
      </c>
      <c r="P244" s="100">
        <f>SUMIF(GERAL!B$8:B$1696,A244,GERAL!AK$8:AK$1696)+SUMIF(GERAL!B$8:B$1696,A244,GERAL!AL$8:AL$1696)</f>
        <v>0</v>
      </c>
      <c r="Q244" s="100">
        <f>SUMIF(GERAL!B$8:B$1696,A244,GERAL!AO$8:AO$1696)+SUMIF(GERAL!B$8:B$1696,A244,GERAL!AP$8:AP$1696)</f>
        <v>0</v>
      </c>
      <c r="R244" s="100">
        <f>SUMIF(GERAL!B$8:B$1696,A244,GERAL!AS$8:AS$1696)+SUMIF(GERAL!B$8:B$1696,A244,GERAL!AT$8:AT$1696)</f>
        <v>0</v>
      </c>
      <c r="S244" s="75">
        <f t="shared" si="39"/>
        <v>0</v>
      </c>
      <c r="T244" s="116">
        <f>COUNTIFS(GERAL!B$8:B$1696,A244,GERAL!AZ$8:AZ$1696,"&gt;0",GERAL!C$8:C$1696,"ESCOLA")</f>
        <v>1</v>
      </c>
      <c r="U244" s="75">
        <f>COUNTIFS(GERAL!B$8:B$1696,A244,GERAL!AZ$8:AZ$1696,"&gt;0",GERAL!C$8:C$1696,"ANEXO")</f>
        <v>0</v>
      </c>
      <c r="V244" s="85">
        <f>SUMIF(GERAL!B$8:B$1696,A244,GERAL!AH$8:AH$1696)</f>
        <v>0</v>
      </c>
      <c r="W244" s="85">
        <f>SUMIF(GERAL!B$8:B$1696,A244,GERAL!AM$8:AM$1696)</f>
        <v>0</v>
      </c>
      <c r="X244" s="85">
        <f>SUMIF(GERAL!B$8:B$1696,A244,GERAL!AQ$8:AQ$1696)</f>
        <v>20</v>
      </c>
      <c r="Y244" s="85">
        <f>SUMIF(GERAL!B$8:B$1696,A244,GERAL!AU$8:AU$1696)</f>
        <v>0</v>
      </c>
      <c r="Z244" s="88">
        <f t="shared" si="40"/>
        <v>20</v>
      </c>
      <c r="AA244" s="116">
        <f>COUNTIFS(GERAL!B$8:B$1696,A244,GERAL!BK$8:BK$1696,"&gt;0",GERAL!C$8:C$1696,"ESCOLA")</f>
        <v>1</v>
      </c>
      <c r="AB244" s="88">
        <f>COUNTIFS(GERAL!B$8:B$1696,A244,GERAL!BK$8:BK$1696,"&gt;0",GERAL!C$8:C$1696,"ANEXO")</f>
        <v>0</v>
      </c>
      <c r="AC244" s="121">
        <f>SUMIF(GERAL!B$8:B$1696,A244,GERAL!AD$8:AD$1696)</f>
        <v>0</v>
      </c>
      <c r="AD244" s="121">
        <f>SUMIF(GERAL!B$8:B$1696,A244,GERAL!AI$8:AI$1696)</f>
        <v>63</v>
      </c>
      <c r="AE244" s="121">
        <f>SUMIF(GERAL!B$8:B$1696,A244,GERAL!AV$8:AV$1696)</f>
        <v>53</v>
      </c>
      <c r="AF244" s="492">
        <f t="shared" si="41"/>
        <v>116</v>
      </c>
      <c r="AG244" s="178">
        <f>COUNTIFS(GERAL!B$8:B$1696,A244,GERAL!AW$8:AW$1696,"&gt;0",GERAL!C$8:C$1696,"ESCOLA")</f>
        <v>1</v>
      </c>
      <c r="AH244" s="118">
        <f>COUNTIFS(GERAL!B$8:B$1696,A244,GERAL!AW$8:AW$1696,"&gt;0",GERAL!C$8:C$1696,"ANEXO")</f>
        <v>0</v>
      </c>
      <c r="AI244" s="177">
        <f>SUMIF(GERAL!B$8:B$1696,A244,GERAL!AS$8:AS$1696)+SUMIF(GERAL!B$8:B$1696,A244,GERAL!AT$8:AT$1696)</f>
        <v>0</v>
      </c>
      <c r="AJ244" s="177">
        <f>SUMIF(GERAL!B$8:B$1696,A244,GERAL!AU$8:AU$1696)</f>
        <v>0</v>
      </c>
      <c r="AK244" s="177">
        <f>SUMIF(GERAL!B$8:B$1696,A244,GERAL!AV$8:AV$1696)</f>
        <v>53</v>
      </c>
      <c r="AL244" s="118">
        <f t="shared" si="42"/>
        <v>53</v>
      </c>
      <c r="AM244" s="493" t="s">
        <v>1027</v>
      </c>
    </row>
    <row r="245">
      <c r="A245" s="494" t="s">
        <v>2737</v>
      </c>
      <c r="B245" s="75">
        <f>COUNTIFS(GERAL!B$8:B$1696,A245,GERAL!C$8:C$1696,"ESCOLA")</f>
        <v>1</v>
      </c>
      <c r="C245" s="75">
        <f>COUNTIFS(GERAL!B$8:B$1696,A245,GERAL!C$8:C$1696,"ANEXO")</f>
        <v>0</v>
      </c>
      <c r="D245" s="85">
        <f>SUMIF(GERAL!B$8:B$1696,A245,GERAL!Z$8:Z$1696)</f>
        <v>0</v>
      </c>
      <c r="E245" s="85">
        <f>SUMIF(GERAL!B$8:B$1696,A245,GERAL!AE$8:AE$1696)</f>
        <v>0</v>
      </c>
      <c r="F245" s="85">
        <f>SUMIF(GERAL!B$8:B$1696,A245,GERAL!AJ$8:AJ$1696)</f>
        <v>173</v>
      </c>
      <c r="G245" s="85">
        <f>SUMIF(GERAL!B$8:B$1696,A245,GERAL!AN$8:AN$1696)</f>
        <v>0</v>
      </c>
      <c r="H245" s="85">
        <f>SUMIF(GERAL!B$8:B$1696,A245,GERAL!AR$8:AW$1696)</f>
        <v>94</v>
      </c>
      <c r="I245" s="85">
        <f>SUMIF(GERAL!B$8:B$1696,A245,GERAL!AW$8:AW$1696)</f>
        <v>38</v>
      </c>
      <c r="J245" s="75">
        <f>SUMIF(GERAL!B$8:B$1696,A245,GERAL!AX$8:AX$1696)</f>
        <v>305</v>
      </c>
      <c r="K245" s="75">
        <f>COUNTIFS(GERAL!B$8:B$1696,A245,GERAL!AY$8:AY$1696,"&gt;0",GERAL!C$8:C$1696,"ESCOLA")</f>
        <v>1</v>
      </c>
      <c r="L245" s="75">
        <f>COUNTIFS(GERAL!B$8:B$1696,A245,GERAL!AY$8:AY$1696,"&gt;0",GERAL!C$8:C$1696,"ANEXO")</f>
        <v>0</v>
      </c>
      <c r="M245" s="100">
        <f>SUMIF(GERAL!B$8:B$1696,A245,GERAL!V$8:V$1696)+SUMIF(GERAL!B$8:B$1696,A245,GERAL!W$8:W$1696)</f>
        <v>0</v>
      </c>
      <c r="N245" s="100">
        <f>SUMIF(GERAL!B$8:B$1696,A245,GERAL!AA$8:AA$1696)+SUMIF(GERAL!B$8:B$1696,A245,GERAL!AB$8:AB$1696)</f>
        <v>0</v>
      </c>
      <c r="O245" s="100">
        <f>SUMIF(GERAL!B$8:B$1696,A245,GERAL!AF$8:AF$1696)+SUMIF(GERAL!B$8:B$1696,A245,GERAL!AG$8:AG$1696)</f>
        <v>173</v>
      </c>
      <c r="P245" s="100">
        <f>SUMIF(GERAL!B$8:B$1696,A245,GERAL!AK$8:AK$1696)+SUMIF(GERAL!B$8:B$1696,A245,GERAL!AL$8:AL$1696)</f>
        <v>0</v>
      </c>
      <c r="Q245" s="100">
        <f>SUMIF(GERAL!B$8:B$1696,A245,GERAL!AO$8:AO$1696)+SUMIF(GERAL!B$8:B$1696,A245,GERAL!AP$8:AP$1696)</f>
        <v>0</v>
      </c>
      <c r="R245" s="100">
        <f>SUMIF(GERAL!B$8:B$1696,A245,GERAL!AS$8:AS$1696)+SUMIF(GERAL!B$8:B$1696,A245,GERAL!AT$8:AT$1696)</f>
        <v>38</v>
      </c>
      <c r="S245" s="75">
        <f t="shared" si="39"/>
        <v>211</v>
      </c>
      <c r="T245" s="116">
        <f>COUNTIFS(GERAL!B$8:B$1696,A245,GERAL!AZ$8:AZ$1696,"&gt;0",GERAL!C$8:C$1696,"ESCOLA")</f>
        <v>1</v>
      </c>
      <c r="U245" s="75">
        <f>COUNTIFS(GERAL!B$8:B$1696,A245,GERAL!AZ$8:AZ$1696,"&gt;0",GERAL!C$8:C$1696,"ANEXO")</f>
        <v>0</v>
      </c>
      <c r="V245" s="85">
        <f>SUMIF(GERAL!B$8:B$1696,A245,GERAL!AH$8:AH$1696)</f>
        <v>0</v>
      </c>
      <c r="W245" s="85">
        <f>SUMIF(GERAL!B$8:B$1696,A245,GERAL!AM$8:AM$1696)</f>
        <v>0</v>
      </c>
      <c r="X245" s="85">
        <f>SUMIF(GERAL!B$8:B$1696,A245,GERAL!AQ$8:AQ$1696)</f>
        <v>94</v>
      </c>
      <c r="Y245" s="85">
        <f>SUMIF(GERAL!B$8:B$1696,A245,GERAL!AU$8:AU$1696)</f>
        <v>0</v>
      </c>
      <c r="Z245" s="88">
        <f t="shared" si="40"/>
        <v>94</v>
      </c>
      <c r="AA245" s="116">
        <f>COUNTIFS(GERAL!B$8:B$1696,A245,GERAL!BK$8:BK$1696,"&gt;0",GERAL!C$8:C$1696,"ESCOLA")</f>
        <v>0</v>
      </c>
      <c r="AB245" s="88">
        <f>COUNTIFS(GERAL!B$8:B$1696,A245,GERAL!BK$8:BK$1696,"&gt;0",GERAL!C$8:C$1696,"ANEXO")</f>
        <v>0</v>
      </c>
      <c r="AC245" s="121">
        <f>SUMIF(GERAL!B$8:B$1696,A245,GERAL!AD$8:AD$1696)</f>
        <v>0</v>
      </c>
      <c r="AD245" s="121">
        <f>SUMIF(GERAL!B$8:B$1696,A245,GERAL!AI$8:AI$1696)</f>
        <v>0</v>
      </c>
      <c r="AE245" s="121">
        <f>SUMIF(GERAL!B$8:B$1696,A245,GERAL!AV$8:AV$1696)</f>
        <v>0</v>
      </c>
      <c r="AF245" s="492">
        <f t="shared" si="41"/>
        <v>0</v>
      </c>
      <c r="AG245" s="178">
        <f>COUNTIFS(GERAL!B$8:B$1696,A245,GERAL!AW$8:AW$1696,"&gt;0",GERAL!C$8:C$1696,"ESCOLA")</f>
        <v>1</v>
      </c>
      <c r="AH245" s="118">
        <f>COUNTIFS(GERAL!B$8:B$1696,A245,GERAL!AW$8:AW$1696,"&gt;0",GERAL!C$8:C$1696,"ANEXO")</f>
        <v>0</v>
      </c>
      <c r="AI245" s="177">
        <f>SUMIF(GERAL!B$8:B$1696,A245,GERAL!AS$8:AS$1696)+SUMIF(GERAL!B$8:B$1696,A245,GERAL!AT$8:AT$1696)</f>
        <v>38</v>
      </c>
      <c r="AJ245" s="177">
        <f>SUMIF(GERAL!B$8:B$1696,A245,GERAL!AU$8:AU$1696)</f>
        <v>0</v>
      </c>
      <c r="AK245" s="177">
        <f>SUMIF(GERAL!B$8:B$1696,A245,GERAL!AV$8:AV$1696)</f>
        <v>0</v>
      </c>
      <c r="AL245" s="118">
        <f t="shared" si="42"/>
        <v>38</v>
      </c>
      <c r="AM245" s="493" t="s">
        <v>723</v>
      </c>
    </row>
    <row r="246">
      <c r="A246" s="484" t="s">
        <v>1199</v>
      </c>
      <c r="B246" s="75">
        <f>COUNTIFS(GERAL!B$8:B$1696,A246,GERAL!C$8:C$1696,"ESCOLA")</f>
        <v>2</v>
      </c>
      <c r="C246" s="75">
        <f>COUNTIFS(GERAL!B$8:B$1696,A246,GERAL!C$8:C$1696,"ANEXO")</f>
        <v>0</v>
      </c>
      <c r="D246" s="85">
        <f>SUMIF(GERAL!B$8:B$1696,A246,GERAL!Z$8:Z$1696)</f>
        <v>0</v>
      </c>
      <c r="E246" s="85">
        <f>SUMIF(GERAL!B$8:B$1696,A246,GERAL!AE$8:AE$1696)</f>
        <v>0</v>
      </c>
      <c r="F246" s="85">
        <f>SUMIF(GERAL!B$8:B$1696,A246,GERAL!AJ$8:AJ$1696)</f>
        <v>137</v>
      </c>
      <c r="G246" s="85">
        <f>SUMIF(GERAL!B$8:B$1696,A246,GERAL!AN$8:AN$1696)</f>
        <v>0</v>
      </c>
      <c r="H246" s="85">
        <f>SUMIF(GERAL!B$8:B$1696,A246,GERAL!AR$8:AW$1696)</f>
        <v>19</v>
      </c>
      <c r="I246" s="85">
        <f>SUMIF(GERAL!B$8:B$1696,A246,GERAL!AW$8:AW$1696)</f>
        <v>126</v>
      </c>
      <c r="J246" s="75">
        <f>SUMIF(GERAL!B$8:B$1696,A246,GERAL!AX$8:AX$1696)</f>
        <v>282</v>
      </c>
      <c r="K246" s="75">
        <f>COUNTIFS(GERAL!B$8:B$1696,A246,GERAL!AY$8:AY$1696,"&gt;0",GERAL!C$8:C$1696,"ESCOLA")</f>
        <v>2</v>
      </c>
      <c r="L246" s="75">
        <f>COUNTIFS(GERAL!B$8:B$1696,A246,GERAL!AY$8:AY$1696,"&gt;0",GERAL!C$8:C$1696,"ANEXO")</f>
        <v>0</v>
      </c>
      <c r="M246" s="100">
        <f>SUMIF(GERAL!B$8:B$1696,A246,GERAL!V$8:V$1696)+SUMIF(GERAL!B$8:B$1696,A246,GERAL!W$8:W$1696)</f>
        <v>0</v>
      </c>
      <c r="N246" s="100">
        <f>SUMIF(GERAL!B$8:B$1696,A246,GERAL!AA$8:AA$1696)+SUMIF(GERAL!B$8:B$1696,A246,GERAL!AB$8:AB$1696)</f>
        <v>0</v>
      </c>
      <c r="O246" s="100">
        <f>SUMIF(GERAL!B$8:B$1696,A246,GERAL!AF$8:AF$1696)+SUMIF(GERAL!B$8:B$1696,A246,GERAL!AG$8:AG$1696)</f>
        <v>29</v>
      </c>
      <c r="P246" s="100">
        <f>SUMIF(GERAL!B$8:B$1696,A246,GERAL!AK$8:AK$1696)+SUMIF(GERAL!B$8:B$1696,A246,GERAL!AL$8:AL$1696)</f>
        <v>0</v>
      </c>
      <c r="Q246" s="100">
        <f>SUMIF(GERAL!B$8:B$1696,A246,GERAL!AO$8:AO$1696)+SUMIF(GERAL!B$8:B$1696,A246,GERAL!AP$8:AP$1696)</f>
        <v>0</v>
      </c>
      <c r="R246" s="100">
        <f>SUMIF(GERAL!B$8:B$1696,A246,GERAL!AS$8:AS$1696)+SUMIF(GERAL!B$8:B$1696,A246,GERAL!AT$8:AT$1696)</f>
        <v>33</v>
      </c>
      <c r="S246" s="75">
        <f t="shared" si="39"/>
        <v>62</v>
      </c>
      <c r="T246" s="116">
        <f>COUNTIFS(GERAL!B$8:B$1696,A246,GERAL!AZ$8:AZ$1696,"&gt;0",GERAL!C$8:C$1696,"ESCOLA")</f>
        <v>1</v>
      </c>
      <c r="U246" s="75">
        <f>COUNTIFS(GERAL!B$8:B$1696,A246,GERAL!AZ$8:AZ$1696,"&gt;0",GERAL!C$8:C$1696,"ANEXO")</f>
        <v>0</v>
      </c>
      <c r="V246" s="85">
        <f>SUMIF(GERAL!B$8:B$1696,A246,GERAL!AH$8:AH$1696)</f>
        <v>0</v>
      </c>
      <c r="W246" s="85">
        <f>SUMIF(GERAL!B$8:B$1696,A246,GERAL!AM$8:AM$1696)</f>
        <v>0</v>
      </c>
      <c r="X246" s="85">
        <f>SUMIF(GERAL!B$8:B$1696,A246,GERAL!AQ$8:AQ$1696)</f>
        <v>19</v>
      </c>
      <c r="Y246" s="85">
        <f>SUMIF(GERAL!B$8:B$1696,A246,GERAL!AU$8:AU$1696)</f>
        <v>0</v>
      </c>
      <c r="Z246" s="88">
        <f t="shared" si="40"/>
        <v>19</v>
      </c>
      <c r="AA246" s="116">
        <f>COUNTIFS(GERAL!B$8:B$1696,A246,GERAL!BK$8:BK$1696,"&gt;0",GERAL!C$8:C$1696,"ESCOLA")</f>
        <v>2</v>
      </c>
      <c r="AB246" s="88">
        <f>COUNTIFS(GERAL!B$8:B$1696,A246,GERAL!BK$8:BK$1696,"&gt;0",GERAL!C$8:C$1696,"ANEXO")</f>
        <v>0</v>
      </c>
      <c r="AC246" s="121">
        <f>SUMIF(GERAL!B$8:B$1696,A246,GERAL!AD$8:AD$1696)</f>
        <v>0</v>
      </c>
      <c r="AD246" s="121">
        <f>SUMIF(GERAL!B$8:B$1696,A246,GERAL!AI$8:AI$1696)</f>
        <v>108</v>
      </c>
      <c r="AE246" s="121">
        <f>SUMIF(GERAL!B$8:B$1696,A246,GERAL!AV$8:AV$1696)</f>
        <v>93</v>
      </c>
      <c r="AF246" s="492">
        <f t="shared" si="41"/>
        <v>201</v>
      </c>
      <c r="AG246" s="178">
        <f>COUNTIFS(GERAL!B$8:B$1696,A246,GERAL!AW$8:AW$1696,"&gt;0",GERAL!C$8:C$1696,"ESCOLA")</f>
        <v>2</v>
      </c>
      <c r="AH246" s="118">
        <f>COUNTIFS(GERAL!B$8:B$1696,A246,GERAL!AW$8:AW$1696,"&gt;0",GERAL!C$8:C$1696,"ANEXO")</f>
        <v>0</v>
      </c>
      <c r="AI246" s="177">
        <f>SUMIF(GERAL!B$8:B$1696,A246,GERAL!AS$8:AS$1696)+SUMIF(GERAL!B$8:B$1696,A246,GERAL!AT$8:AT$1696)</f>
        <v>33</v>
      </c>
      <c r="AJ246" s="177">
        <f>SUMIF(GERAL!B$8:B$1696,A246,GERAL!AU$8:AU$1696)</f>
        <v>0</v>
      </c>
      <c r="AK246" s="177">
        <f>SUMIF(GERAL!B$8:B$1696,A246,GERAL!AV$8:AV$1696)</f>
        <v>93</v>
      </c>
      <c r="AL246" s="118">
        <f t="shared" si="42"/>
        <v>126</v>
      </c>
      <c r="AM246" s="493" t="s">
        <v>383</v>
      </c>
    </row>
    <row r="247">
      <c r="A247" s="494" t="s">
        <v>344</v>
      </c>
      <c r="B247" s="75">
        <f>COUNTIFS(GERAL!B$8:B$1696,A247,GERAL!C$8:C$1696,"ESCOLA")</f>
        <v>2</v>
      </c>
      <c r="C247" s="75">
        <f>COUNTIFS(GERAL!B$8:B$1696,A247,GERAL!C$8:C$1696,"ANEXO")</f>
        <v>0</v>
      </c>
      <c r="D247" s="85">
        <f>SUMIF(GERAL!B$8:B$1696,A247,GERAL!Z$8:Z$1696)</f>
        <v>0</v>
      </c>
      <c r="E247" s="85">
        <f>SUMIF(GERAL!B$8:B$1696,A247,GERAL!AE$8:AE$1696)</f>
        <v>0</v>
      </c>
      <c r="F247" s="85">
        <f>SUMIF(GERAL!B$8:B$1696,A247,GERAL!AJ$8:AJ$1696)</f>
        <v>767</v>
      </c>
      <c r="G247" s="85">
        <f>SUMIF(GERAL!B$8:B$1696,A247,GERAL!AN$8:AN$1696)</f>
        <v>0</v>
      </c>
      <c r="H247" s="85">
        <f>SUMIF(GERAL!B$8:B$1696,A247,GERAL!AR$8:AW$1696)</f>
        <v>105</v>
      </c>
      <c r="I247" s="85">
        <f>SUMIF(GERAL!B$8:B$1696,A247,GERAL!AW$8:AW$1696)</f>
        <v>128</v>
      </c>
      <c r="J247" s="75">
        <f>SUMIF(GERAL!B$8:B$1696,A247,GERAL!AX$8:AX$1696)</f>
        <v>1000</v>
      </c>
      <c r="K247" s="75">
        <f>COUNTIFS(GERAL!B$8:B$1696,A247,GERAL!AY$8:AY$1696,"&gt;0",GERAL!C$8:C$1696,"ESCOLA")</f>
        <v>2</v>
      </c>
      <c r="L247" s="75">
        <f>COUNTIFS(GERAL!B$8:B$1696,A247,GERAL!AY$8:AY$1696,"&gt;0",GERAL!C$8:C$1696,"ANEXO")</f>
        <v>0</v>
      </c>
      <c r="M247" s="100">
        <f>SUMIF(GERAL!B$8:B$1696,A247,GERAL!V$8:V$1696)+SUMIF(GERAL!B$8:B$1696,A247,GERAL!W$8:W$1696)</f>
        <v>0</v>
      </c>
      <c r="N247" s="100">
        <f>SUMIF(GERAL!B$8:B$1696,A247,GERAL!AA$8:AA$1696)+SUMIF(GERAL!B$8:B$1696,A247,GERAL!AB$8:AB$1696)</f>
        <v>0</v>
      </c>
      <c r="O247" s="100">
        <f>SUMIF(GERAL!B$8:B$1696,A247,GERAL!AF$8:AF$1696)+SUMIF(GERAL!B$8:B$1696,A247,GERAL!AG$8:AG$1696)</f>
        <v>329</v>
      </c>
      <c r="P247" s="100">
        <f>SUMIF(GERAL!B$8:B$1696,A247,GERAL!AK$8:AK$1696)+SUMIF(GERAL!B$8:B$1696,A247,GERAL!AL$8:AL$1696)</f>
        <v>0</v>
      </c>
      <c r="Q247" s="100">
        <f>SUMIF(GERAL!B$8:B$1696,A247,GERAL!AO$8:AO$1696)+SUMIF(GERAL!B$8:B$1696,A247,GERAL!AP$8:AP$1696)</f>
        <v>0</v>
      </c>
      <c r="R247" s="100">
        <f>SUMIF(GERAL!B$8:B$1696,A247,GERAL!AS$8:AS$1696)+SUMIF(GERAL!B$8:B$1696,A247,GERAL!AT$8:AT$1696)</f>
        <v>0</v>
      </c>
      <c r="S247" s="75">
        <f t="shared" si="39"/>
        <v>329</v>
      </c>
      <c r="T247" s="116">
        <f>COUNTIFS(GERAL!B$8:B$1696,A247,GERAL!AZ$8:AZ$1696,"&gt;0",GERAL!C$8:C$1696,"ESCOLA")</f>
        <v>2</v>
      </c>
      <c r="U247" s="75">
        <f>COUNTIFS(GERAL!B$8:B$1696,A247,GERAL!AZ$8:AZ$1696,"&gt;0",GERAL!C$8:C$1696,"ANEXO")</f>
        <v>0</v>
      </c>
      <c r="V247" s="85">
        <f>SUMIF(GERAL!B$8:B$1696,A247,GERAL!AH$8:AH$1696)</f>
        <v>0</v>
      </c>
      <c r="W247" s="85">
        <f>SUMIF(GERAL!B$8:B$1696,A247,GERAL!AM$8:AM$1696)</f>
        <v>0</v>
      </c>
      <c r="X247" s="85">
        <f>SUMIF(GERAL!B$8:B$1696,A247,GERAL!AQ$8:AQ$1696)</f>
        <v>105</v>
      </c>
      <c r="Y247" s="85">
        <f>SUMIF(GERAL!B$8:B$1696,A247,GERAL!AU$8:AU$1696)</f>
        <v>18</v>
      </c>
      <c r="Z247" s="88">
        <f t="shared" si="40"/>
        <v>123</v>
      </c>
      <c r="AA247" s="116">
        <f>COUNTIFS(GERAL!B$8:B$1696,A247,GERAL!BK$8:BK$1696,"&gt;0",GERAL!C$8:C$1696,"ESCOLA")</f>
        <v>1</v>
      </c>
      <c r="AB247" s="88">
        <f>COUNTIFS(GERAL!B$8:B$1696,A247,GERAL!BK$8:BK$1696,"&gt;0",GERAL!C$8:C$1696,"ANEXO")</f>
        <v>0</v>
      </c>
      <c r="AC247" s="121">
        <f>SUMIF(GERAL!B$8:B$1696,A247,GERAL!AD$8:AD$1696)</f>
        <v>0</v>
      </c>
      <c r="AD247" s="121">
        <f>SUMIF(GERAL!B$8:B$1696,A247,GERAL!AI$8:AI$1696)</f>
        <v>438</v>
      </c>
      <c r="AE247" s="121">
        <f>SUMIF(GERAL!B$8:B$1696,A247,GERAL!AV$8:AV$1696)</f>
        <v>110</v>
      </c>
      <c r="AF247" s="492">
        <f t="shared" si="41"/>
        <v>548</v>
      </c>
      <c r="AG247" s="178">
        <f>COUNTIFS(GERAL!B$8:B$1696,A247,GERAL!AW$8:AW$1696,"&gt;0",GERAL!C$8:C$1696,"ESCOLA")</f>
        <v>1</v>
      </c>
      <c r="AH247" s="118">
        <f>COUNTIFS(GERAL!B$8:B$1696,A247,GERAL!AW$8:AW$1696,"&gt;0",GERAL!C$8:C$1696,"ANEXO")</f>
        <v>0</v>
      </c>
      <c r="AI247" s="177">
        <f>SUMIF(GERAL!B$8:B$1696,A247,GERAL!AS$8:AS$1696)+SUMIF(GERAL!B$8:B$1696,A247,GERAL!AT$8:AT$1696)</f>
        <v>0</v>
      </c>
      <c r="AJ247" s="177">
        <f>SUMIF(GERAL!B$8:B$1696,A247,GERAL!AU$8:AU$1696)</f>
        <v>18</v>
      </c>
      <c r="AK247" s="177">
        <f>SUMIF(GERAL!B$8:B$1696,A247,GERAL!AV$8:AV$1696)</f>
        <v>110</v>
      </c>
      <c r="AL247" s="118">
        <f t="shared" si="42"/>
        <v>128</v>
      </c>
      <c r="AM247" s="493" t="s">
        <v>130</v>
      </c>
    </row>
    <row r="248">
      <c r="A248" s="484" t="s">
        <v>2021</v>
      </c>
      <c r="B248" s="75">
        <f>COUNTIFS(GERAL!B$8:B$1696,A248,GERAL!C$8:C$1696,"ESCOLA")</f>
        <v>7</v>
      </c>
      <c r="C248" s="75">
        <f>COUNTIFS(GERAL!B$8:B$1696,A248,GERAL!C$8:C$1696,"ANEXO")</f>
        <v>1</v>
      </c>
      <c r="D248" s="85">
        <f>SUMIF(GERAL!B$8:B$1696,A248,GERAL!Z$8:Z$1696)</f>
        <v>0</v>
      </c>
      <c r="E248" s="85">
        <f>SUMIF(GERAL!B$8:B$1696,A248,GERAL!AE$8:AE$1696)</f>
        <v>0</v>
      </c>
      <c r="F248" s="85">
        <f>SUMIF(GERAL!B$8:B$1696,A248,GERAL!AJ$8:AJ$1696)</f>
        <v>4267</v>
      </c>
      <c r="G248" s="85">
        <f>SUMIF(GERAL!B$8:B$1696,A248,GERAL!AN$8:AN$1696)</f>
        <v>78</v>
      </c>
      <c r="H248" s="85">
        <f>SUMIF(GERAL!B$8:B$1696,A248,GERAL!AR$8:AW$1696)</f>
        <v>1042</v>
      </c>
      <c r="I248" s="85">
        <f>SUMIF(GERAL!B$8:B$1696,A248,GERAL!AW$8:AW$1696)</f>
        <v>1951</v>
      </c>
      <c r="J248" s="75">
        <f>SUMIF(GERAL!B$8:B$1696,A248,GERAL!AX$8:AX$1696)</f>
        <v>7338</v>
      </c>
      <c r="K248" s="75">
        <f>COUNTIFS(GERAL!B$8:B$1696,A248,GERAL!AY$8:AY$1696,"&gt;0",GERAL!C$8:C$1696,"ESCOLA")</f>
        <v>7</v>
      </c>
      <c r="L248" s="75">
        <f>COUNTIFS(GERAL!B$8:B$1696,A248,GERAL!AY$8:AY$1696,"&gt;0",GERAL!C$8:C$1696,"ANEXO")</f>
        <v>1</v>
      </c>
      <c r="M248" s="100">
        <f>SUMIF(GERAL!B$8:B$1696,A248,GERAL!V$8:V$1696)+SUMIF(GERAL!B$8:B$1696,A248,GERAL!W$8:W$1696)</f>
        <v>0</v>
      </c>
      <c r="N248" s="100">
        <f>SUMIF(GERAL!B$8:B$1696,A248,GERAL!AA$8:AA$1696)+SUMIF(GERAL!B$8:B$1696,A248,GERAL!AB$8:AB$1696)</f>
        <v>0</v>
      </c>
      <c r="O248" s="100">
        <f>SUMIF(GERAL!B$8:B$1696,A248,GERAL!AF$8:AF$1696)+SUMIF(GERAL!B$8:B$1696,A248,GERAL!AG$8:AG$1696)</f>
        <v>3756</v>
      </c>
      <c r="P248" s="100">
        <f>SUMIF(GERAL!B$8:B$1696,A248,GERAL!AK$8:AK$1696)+SUMIF(GERAL!B$8:B$1696,A248,GERAL!AL$8:AL$1696)</f>
        <v>78</v>
      </c>
      <c r="Q248" s="100">
        <f>SUMIF(GERAL!B$8:B$1696,A248,GERAL!AO$8:AO$1696)+SUMIF(GERAL!B$8:B$1696,A248,GERAL!AP$8:AP$1696)</f>
        <v>0</v>
      </c>
      <c r="R248" s="100">
        <f>SUMIF(GERAL!B$8:B$1696,A248,GERAL!AS$8:AS$1696)+SUMIF(GERAL!B$8:B$1696,A248,GERAL!AT$8:AT$1696)</f>
        <v>1787</v>
      </c>
      <c r="S248" s="75">
        <f t="shared" si="39"/>
        <v>5621</v>
      </c>
      <c r="T248" s="116">
        <f>COUNTIFS(GERAL!B$8:B$1696,A248,GERAL!AZ$8:AZ$1696,"&gt;0",GERAL!C$8:C$1696,"ESCOLA")</f>
        <v>7</v>
      </c>
      <c r="U248" s="75">
        <f>COUNTIFS(GERAL!B$8:B$1696,A248,GERAL!AZ$8:AZ$1696,"&gt;0",GERAL!C$8:C$1696,"ANEXO")</f>
        <v>0</v>
      </c>
      <c r="V248" s="85">
        <f>SUMIF(GERAL!B$8:B$1696,A248,GERAL!AH$8:AH$1696)</f>
        <v>0</v>
      </c>
      <c r="W248" s="85">
        <f>SUMIF(GERAL!B$8:B$1696,A248,GERAL!AM$8:AM$1696)</f>
        <v>0</v>
      </c>
      <c r="X248" s="85">
        <f>SUMIF(GERAL!B$8:B$1696,A248,GERAL!AQ$8:AQ$1696)</f>
        <v>1042</v>
      </c>
      <c r="Y248" s="85">
        <f>SUMIF(GERAL!B$8:B$1696,A248,GERAL!AU$8:AU$1696)</f>
        <v>99</v>
      </c>
      <c r="Z248" s="88">
        <f t="shared" si="40"/>
        <v>1141</v>
      </c>
      <c r="AA248" s="116">
        <f>COUNTIFS(GERAL!B$8:B$1696,A248,GERAL!BK$8:BK$1696,"&gt;0",GERAL!C$8:C$1696,"ESCOLA")</f>
        <v>2</v>
      </c>
      <c r="AB248" s="88">
        <f>COUNTIFS(GERAL!B$8:B$1696,A248,GERAL!BK$8:BK$1696,"&gt;0",GERAL!C$8:C$1696,"ANEXO")</f>
        <v>0</v>
      </c>
      <c r="AC248" s="121">
        <f>SUMIF(GERAL!B$8:B$1696,A248,GERAL!AD$8:AD$1696)</f>
        <v>0</v>
      </c>
      <c r="AD248" s="121">
        <f>SUMIF(GERAL!B$8:B$1696,A248,GERAL!AI$8:AI$1696)</f>
        <v>511</v>
      </c>
      <c r="AE248" s="121">
        <f>SUMIF(GERAL!B$8:B$1696,A248,GERAL!AV$8:AV$1696)</f>
        <v>65</v>
      </c>
      <c r="AF248" s="492">
        <f t="shared" si="41"/>
        <v>576</v>
      </c>
      <c r="AG248" s="178">
        <f>COUNTIFS(GERAL!B$8:B$1696,A248,GERAL!AW$8:AW$1696,"&gt;0",GERAL!C$8:C$1696,"ESCOLA")</f>
        <v>4</v>
      </c>
      <c r="AH248" s="118">
        <f>COUNTIFS(GERAL!B$8:B$1696,A248,GERAL!AW$8:AW$1696,"&gt;0",GERAL!C$8:C$1696,"ANEXO")</f>
        <v>0</v>
      </c>
      <c r="AI248" s="177">
        <f>SUMIF(GERAL!B$8:B$1696,A248,GERAL!AS$8:AS$1696)+SUMIF(GERAL!B$8:B$1696,A248,GERAL!AT$8:AT$1696)</f>
        <v>1787</v>
      </c>
      <c r="AJ248" s="177">
        <f>SUMIF(GERAL!B$8:B$1696,A248,GERAL!AU$8:AU$1696)</f>
        <v>99</v>
      </c>
      <c r="AK248" s="177">
        <f>SUMIF(GERAL!B$8:B$1696,A248,GERAL!AV$8:AV$1696)</f>
        <v>65</v>
      </c>
      <c r="AL248" s="118">
        <f t="shared" si="42"/>
        <v>1951</v>
      </c>
      <c r="AM248" s="493" t="s">
        <v>1785</v>
      </c>
    </row>
    <row r="249">
      <c r="A249" s="494" t="s">
        <v>902</v>
      </c>
      <c r="B249" s="75">
        <f>COUNTIFS(GERAL!B$8:B$1696,A249,GERAL!C$8:C$1696,"ESCOLA")</f>
        <v>1</v>
      </c>
      <c r="C249" s="75">
        <f>COUNTIFS(GERAL!B$8:B$1696,A249,GERAL!C$8:C$1696,"ANEXO")</f>
        <v>1</v>
      </c>
      <c r="D249" s="85">
        <f>SUMIF(GERAL!B$8:B$1696,A249,GERAL!Z$8:Z$1696)</f>
        <v>0</v>
      </c>
      <c r="E249" s="85">
        <f>SUMIF(GERAL!B$8:B$1696,A249,GERAL!AE$8:AE$1696)</f>
        <v>0</v>
      </c>
      <c r="F249" s="85">
        <f>SUMIF(GERAL!B$8:B$1696,A249,GERAL!AJ$8:AJ$1696)</f>
        <v>220</v>
      </c>
      <c r="G249" s="85">
        <f>SUMIF(GERAL!B$8:B$1696,A249,GERAL!AN$8:AN$1696)</f>
        <v>0</v>
      </c>
      <c r="H249" s="85">
        <f>SUMIF(GERAL!B$8:B$1696,A249,GERAL!AR$8:AW$1696)</f>
        <v>133</v>
      </c>
      <c r="I249" s="85">
        <f>SUMIF(GERAL!B$8:B$1696,A249,GERAL!AW$8:AW$1696)</f>
        <v>58</v>
      </c>
      <c r="J249" s="75">
        <f>SUMIF(GERAL!B$8:B$1696,A249,GERAL!AX$8:AX$1696)</f>
        <v>411</v>
      </c>
      <c r="K249" s="75">
        <f>COUNTIFS(GERAL!B$8:B$1696,A249,GERAL!AY$8:AY$1696,"&gt;0",GERAL!C$8:C$1696,"ESCOLA")</f>
        <v>1</v>
      </c>
      <c r="L249" s="75">
        <f>COUNTIFS(GERAL!B$8:B$1696,A249,GERAL!AY$8:AY$1696,"&gt;0",GERAL!C$8:C$1696,"ANEXO")</f>
        <v>1</v>
      </c>
      <c r="M249" s="100">
        <f>SUMIF(GERAL!B$8:B$1696,A249,GERAL!V$8:V$1696)+SUMIF(GERAL!B$8:B$1696,A249,GERAL!W$8:W$1696)</f>
        <v>0</v>
      </c>
      <c r="N249" s="100">
        <f>SUMIF(GERAL!B$8:B$1696,A249,GERAL!AA$8:AA$1696)+SUMIF(GERAL!B$8:B$1696,A249,GERAL!AB$8:AB$1696)</f>
        <v>0</v>
      </c>
      <c r="O249" s="100">
        <f>SUMIF(GERAL!B$8:B$1696,A249,GERAL!AF$8:AF$1696)+SUMIF(GERAL!B$8:B$1696,A249,GERAL!AG$8:AG$1696)</f>
        <v>145</v>
      </c>
      <c r="P249" s="100">
        <f>SUMIF(GERAL!B$8:B$1696,A249,GERAL!AK$8:AK$1696)+SUMIF(GERAL!B$8:B$1696,A249,GERAL!AL$8:AL$1696)</f>
        <v>0</v>
      </c>
      <c r="Q249" s="100">
        <f>SUMIF(GERAL!B$8:B$1696,A249,GERAL!AO$8:AO$1696)+SUMIF(GERAL!B$8:B$1696,A249,GERAL!AP$8:AP$1696)</f>
        <v>0</v>
      </c>
      <c r="R249" s="100">
        <f>SUMIF(GERAL!B$8:B$1696,A249,GERAL!AS$8:AS$1696)+SUMIF(GERAL!B$8:B$1696,A249,GERAL!AT$8:AT$1696)</f>
        <v>0</v>
      </c>
      <c r="S249" s="75">
        <f t="shared" si="39"/>
        <v>145</v>
      </c>
      <c r="T249" s="116">
        <f>COUNTIFS(GERAL!B$8:B$1696,A249,GERAL!AZ$8:AZ$1696,"&gt;0",GERAL!C$8:C$1696,"ESCOLA")</f>
        <v>1</v>
      </c>
      <c r="U249" s="75">
        <f>COUNTIFS(GERAL!B$8:B$1696,A249,GERAL!AZ$8:AZ$1696,"&gt;0",GERAL!C$8:C$1696,"ANEXO")</f>
        <v>1</v>
      </c>
      <c r="V249" s="85">
        <f>SUMIF(GERAL!B$8:B$1696,A249,GERAL!AH$8:AH$1696)</f>
        <v>0</v>
      </c>
      <c r="W249" s="85">
        <f>SUMIF(GERAL!B$8:B$1696,A249,GERAL!AM$8:AM$1696)</f>
        <v>0</v>
      </c>
      <c r="X249" s="85">
        <f>SUMIF(GERAL!B$8:B$1696,A249,GERAL!AQ$8:AQ$1696)</f>
        <v>133</v>
      </c>
      <c r="Y249" s="85">
        <f>SUMIF(GERAL!B$8:B$1696,A249,GERAL!AU$8:AU$1696)</f>
        <v>0</v>
      </c>
      <c r="Z249" s="88">
        <f t="shared" si="40"/>
        <v>133</v>
      </c>
      <c r="AA249" s="116">
        <f>COUNTIFS(GERAL!B$8:B$1696,A249,GERAL!BK$8:BK$1696,"&gt;0",GERAL!C$8:C$1696,"ESCOLA")</f>
        <v>1</v>
      </c>
      <c r="AB249" s="88">
        <f>COUNTIFS(GERAL!B$8:B$1696,A249,GERAL!BK$8:BK$1696,"&gt;0",GERAL!C$8:C$1696,"ANEXO")</f>
        <v>0</v>
      </c>
      <c r="AC249" s="121">
        <f>SUMIF(GERAL!B$8:B$1696,A249,GERAL!AD$8:AD$1696)</f>
        <v>0</v>
      </c>
      <c r="AD249" s="121">
        <f>SUMIF(GERAL!B$8:B$1696,A249,GERAL!AI$8:AI$1696)</f>
        <v>75</v>
      </c>
      <c r="AE249" s="121">
        <f>SUMIF(GERAL!B$8:B$1696,A249,GERAL!AV$8:AV$1696)</f>
        <v>58</v>
      </c>
      <c r="AF249" s="492">
        <f t="shared" si="41"/>
        <v>133</v>
      </c>
      <c r="AG249" s="178">
        <f>COUNTIFS(GERAL!B$8:B$1696,A249,GERAL!AW$8:AW$1696,"&gt;0",GERAL!C$8:C$1696,"ESCOLA")</f>
        <v>1</v>
      </c>
      <c r="AH249" s="118">
        <f>COUNTIFS(GERAL!B$8:B$1696,A249,GERAL!AW$8:AW$1696,"&gt;0",GERAL!C$8:C$1696,"ANEXO")</f>
        <v>0</v>
      </c>
      <c r="AI249" s="177">
        <f>SUMIF(GERAL!B$8:B$1696,A249,GERAL!AS$8:AS$1696)+SUMIF(GERAL!B$8:B$1696,A249,GERAL!AT$8:AT$1696)</f>
        <v>0</v>
      </c>
      <c r="AJ249" s="177">
        <f>SUMIF(GERAL!B$8:B$1696,A249,GERAL!AU$8:AU$1696)</f>
        <v>0</v>
      </c>
      <c r="AK249" s="177">
        <f>SUMIF(GERAL!B$8:B$1696,A249,GERAL!AV$8:AV$1696)</f>
        <v>58</v>
      </c>
      <c r="AL249" s="118">
        <f t="shared" si="42"/>
        <v>58</v>
      </c>
      <c r="AM249" s="493" t="s">
        <v>285</v>
      </c>
    </row>
    <row r="250">
      <c r="A250" s="484" t="s">
        <v>6282</v>
      </c>
      <c r="B250" s="75">
        <f>COUNTIFS(GERAL!B$8:B$1696,A250,GERAL!C$8:C$1696,"ESCOLA")</f>
        <v>1</v>
      </c>
      <c r="C250" s="75">
        <f>COUNTIFS(GERAL!B$8:B$1696,A250,GERAL!C$8:C$1696,"ANEXO")</f>
        <v>2</v>
      </c>
      <c r="D250" s="85">
        <f>SUMIF(GERAL!B$8:B$1696,A250,GERAL!Z$8:Z$1696)</f>
        <v>0</v>
      </c>
      <c r="E250" s="85">
        <f>SUMIF(GERAL!B$8:B$1696,A250,GERAL!AE$8:AE$1696)</f>
        <v>68</v>
      </c>
      <c r="F250" s="85">
        <f>SUMIF(GERAL!B$8:B$1696,A250,GERAL!AJ$8:AJ$1696)</f>
        <v>380</v>
      </c>
      <c r="G250" s="85">
        <f>SUMIF(GERAL!B$8:B$1696,A250,GERAL!AN$8:AN$1696)</f>
        <v>0</v>
      </c>
      <c r="H250" s="85">
        <f>SUMIF(GERAL!B$8:B$1696,A250,GERAL!AR$8:AW$1696)</f>
        <v>27</v>
      </c>
      <c r="I250" s="85">
        <f>SUMIF(GERAL!B$8:B$1696,A250,GERAL!AW$8:AW$1696)</f>
        <v>96</v>
      </c>
      <c r="J250" s="75">
        <f>SUMIF(GERAL!B$8:B$1696,A250,GERAL!AX$8:AX$1696)</f>
        <v>571</v>
      </c>
      <c r="K250" s="75">
        <f>COUNTIFS(GERAL!B$8:B$1696,A250,GERAL!AY$8:AY$1696,"&gt;0",GERAL!C$8:C$1696,"ESCOLA")</f>
        <v>1</v>
      </c>
      <c r="L250" s="75">
        <f>COUNTIFS(GERAL!B$8:B$1696,A250,GERAL!AY$8:AY$1696,"&gt;0",GERAL!C$8:C$1696,"ANEXO")</f>
        <v>2</v>
      </c>
      <c r="M250" s="100">
        <f>SUMIF(GERAL!B$8:B$1696,A250,GERAL!V$8:V$1696)+SUMIF(GERAL!B$8:B$1696,A250,GERAL!W$8:W$1696)</f>
        <v>0</v>
      </c>
      <c r="N250" s="100">
        <f>SUMIF(GERAL!B$8:B$1696,A250,GERAL!AA$8:AA$1696)+SUMIF(GERAL!B$8:B$1696,A250,GERAL!AB$8:AB$1696)</f>
        <v>0</v>
      </c>
      <c r="O250" s="100">
        <f>SUMIF(GERAL!B$8:B$1696,A250,GERAL!AF$8:AF$1696)+SUMIF(GERAL!B$8:B$1696,A250,GERAL!AG$8:AG$1696)</f>
        <v>252</v>
      </c>
      <c r="P250" s="100">
        <f>SUMIF(GERAL!B$8:B$1696,A250,GERAL!AK$8:AK$1696)+SUMIF(GERAL!B$8:B$1696,A250,GERAL!AL$8:AL$1696)</f>
        <v>0</v>
      </c>
      <c r="Q250" s="100">
        <f>SUMIF(GERAL!B$8:B$1696,A250,GERAL!AO$8:AO$1696)+SUMIF(GERAL!B$8:B$1696,A250,GERAL!AP$8:AP$1696)</f>
        <v>0</v>
      </c>
      <c r="R250" s="100">
        <f>SUMIF(GERAL!B$8:B$1696,A250,GERAL!AS$8:AS$1696)+SUMIF(GERAL!B$8:B$1696,A250,GERAL!AT$8:AT$1696)</f>
        <v>0</v>
      </c>
      <c r="S250" s="75">
        <f t="shared" si="39"/>
        <v>252</v>
      </c>
      <c r="T250" s="116">
        <f>COUNTIFS(GERAL!B$8:B$1696,A250,GERAL!AZ$8:AZ$1696,"&gt;0",GERAL!C$8:C$1696,"ESCOLA")</f>
        <v>1</v>
      </c>
      <c r="U250" s="75">
        <f>COUNTIFS(GERAL!B$8:B$1696,A250,GERAL!AZ$8:AZ$1696,"&gt;0",GERAL!C$8:C$1696,"ANEXO")</f>
        <v>0</v>
      </c>
      <c r="V250" s="85">
        <f>SUMIF(GERAL!B$8:B$1696,A250,GERAL!AH$8:AH$1696)</f>
        <v>0</v>
      </c>
      <c r="W250" s="85">
        <f>SUMIF(GERAL!B$8:B$1696,A250,GERAL!AM$8:AM$1696)</f>
        <v>0</v>
      </c>
      <c r="X250" s="85">
        <f>SUMIF(GERAL!B$8:B$1696,A250,GERAL!AQ$8:AQ$1696)</f>
        <v>27</v>
      </c>
      <c r="Y250" s="85">
        <f>SUMIF(GERAL!B$8:B$1696,A250,GERAL!AU$8:AU$1696)</f>
        <v>0</v>
      </c>
      <c r="Z250" s="88">
        <f t="shared" si="40"/>
        <v>27</v>
      </c>
      <c r="AA250" s="116">
        <f>COUNTIFS(GERAL!B$8:B$1696,A250,GERAL!BK$8:BK$1696,"&gt;0",GERAL!C$8:C$1696,"ESCOLA")</f>
        <v>1</v>
      </c>
      <c r="AB250" s="88">
        <f>COUNTIFS(GERAL!B$8:B$1696,A250,GERAL!BK$8:BK$1696,"&gt;0",GERAL!C$8:C$1696,"ANEXO")</f>
        <v>0</v>
      </c>
      <c r="AC250" s="121">
        <f>SUMIF(GERAL!B$8:B$1696,A250,GERAL!AD$8:AD$1696)</f>
        <v>68</v>
      </c>
      <c r="AD250" s="121">
        <f>SUMIF(GERAL!B$8:B$1696,A250,GERAL!AI$8:AI$1696)</f>
        <v>128</v>
      </c>
      <c r="AE250" s="121">
        <f>SUMIF(GERAL!B$8:B$1696,A250,GERAL!AV$8:AV$1696)</f>
        <v>96</v>
      </c>
      <c r="AF250" s="492">
        <f t="shared" si="41"/>
        <v>292</v>
      </c>
      <c r="AG250" s="178">
        <f>COUNTIFS(GERAL!B$8:B$1696,A250,GERAL!AW$8:AW$1696,"&gt;0",GERAL!C$8:C$1696,"ESCOLA")</f>
        <v>1</v>
      </c>
      <c r="AH250" s="118">
        <f>COUNTIFS(GERAL!B$8:B$1696,A250,GERAL!AW$8:AW$1696,"&gt;0",GERAL!C$8:C$1696,"ANEXO")</f>
        <v>0</v>
      </c>
      <c r="AI250" s="177">
        <f>SUMIF(GERAL!B$8:B$1696,A250,GERAL!AS$8:AS$1696)+SUMIF(GERAL!B$8:B$1696,A250,GERAL!AT$8:AT$1696)</f>
        <v>0</v>
      </c>
      <c r="AJ250" s="177">
        <f>SUMIF(GERAL!B$8:B$1696,A250,GERAL!AU$8:AU$1696)</f>
        <v>0</v>
      </c>
      <c r="AK250" s="177">
        <f>SUMIF(GERAL!B$8:B$1696,A250,GERAL!AV$8:AV$1696)</f>
        <v>96</v>
      </c>
      <c r="AL250" s="118">
        <f t="shared" si="42"/>
        <v>96</v>
      </c>
      <c r="AM250" s="493" t="s">
        <v>1393</v>
      </c>
    </row>
    <row r="251">
      <c r="A251" s="494" t="s">
        <v>4188</v>
      </c>
      <c r="B251" s="75">
        <f>COUNTIFS(GERAL!B$8:B$1696,A251,GERAL!C$8:C$1696,"ESCOLA")</f>
        <v>1</v>
      </c>
      <c r="C251" s="75">
        <f>COUNTIFS(GERAL!B$8:B$1696,A251,GERAL!C$8:C$1696,"ANEXO")</f>
        <v>4</v>
      </c>
      <c r="D251" s="85">
        <f>SUMIF(GERAL!B$8:B$1696,A251,GERAL!Z$8:Z$1696)</f>
        <v>0</v>
      </c>
      <c r="E251" s="85">
        <f>SUMIF(GERAL!B$8:B$1696,A251,GERAL!AE$8:AE$1696)</f>
        <v>0</v>
      </c>
      <c r="F251" s="85">
        <f>SUMIF(GERAL!B$8:B$1696,A251,GERAL!AJ$8:AJ$1696)</f>
        <v>1223</v>
      </c>
      <c r="G251" s="85">
        <f>SUMIF(GERAL!B$8:B$1696,A251,GERAL!AN$8:AN$1696)</f>
        <v>0</v>
      </c>
      <c r="H251" s="85">
        <f>SUMIF(GERAL!B$8:B$1696,A251,GERAL!AR$8:AW$1696)</f>
        <v>173</v>
      </c>
      <c r="I251" s="85">
        <f>SUMIF(GERAL!B$8:B$1696,A251,GERAL!AW$8:AW$1696)</f>
        <v>97</v>
      </c>
      <c r="J251" s="75">
        <f>SUMIF(GERAL!B$8:B$1696,A251,GERAL!AX$8:AX$1696)</f>
        <v>1493</v>
      </c>
      <c r="K251" s="75">
        <f>COUNTIFS(GERAL!B$8:B$1696,A251,GERAL!AY$8:AY$1696,"&gt;0",GERAL!C$8:C$1696,"ESCOLA")</f>
        <v>1</v>
      </c>
      <c r="L251" s="75">
        <f>COUNTIFS(GERAL!B$8:B$1696,A251,GERAL!AY$8:AY$1696,"&gt;0",GERAL!C$8:C$1696,"ANEXO")</f>
        <v>4</v>
      </c>
      <c r="M251" s="100">
        <f>SUMIF(GERAL!B$8:B$1696,A251,GERAL!V$8:V$1696)+SUMIF(GERAL!B$8:B$1696,A251,GERAL!W$8:W$1696)</f>
        <v>0</v>
      </c>
      <c r="N251" s="100">
        <f>SUMIF(GERAL!B$8:B$1696,A251,GERAL!AA$8:AA$1696)+SUMIF(GERAL!B$8:B$1696,A251,GERAL!AB$8:AB$1696)</f>
        <v>0</v>
      </c>
      <c r="O251" s="100">
        <f>SUMIF(GERAL!B$8:B$1696,A251,GERAL!AF$8:AF$1696)+SUMIF(GERAL!B$8:B$1696,A251,GERAL!AG$8:AG$1696)</f>
        <v>893</v>
      </c>
      <c r="P251" s="100">
        <f>SUMIF(GERAL!B$8:B$1696,A251,GERAL!AK$8:AK$1696)+SUMIF(GERAL!B$8:B$1696,A251,GERAL!AL$8:AL$1696)</f>
        <v>0</v>
      </c>
      <c r="Q251" s="100">
        <f>SUMIF(GERAL!B$8:B$1696,A251,GERAL!AO$8:AO$1696)+SUMIF(GERAL!B$8:B$1696,A251,GERAL!AP$8:AP$1696)</f>
        <v>0</v>
      </c>
      <c r="R251" s="100">
        <f>SUMIF(GERAL!B$8:B$1696,A251,GERAL!AS$8:AS$1696)+SUMIF(GERAL!B$8:B$1696,A251,GERAL!AT$8:AT$1696)</f>
        <v>0</v>
      </c>
      <c r="S251" s="75">
        <f t="shared" si="39"/>
        <v>893</v>
      </c>
      <c r="T251" s="116">
        <f>COUNTIFS(GERAL!B$8:B$1696,A251,GERAL!AZ$8:AZ$1696,"&gt;0",GERAL!C$8:C$1696,"ESCOLA")</f>
        <v>1</v>
      </c>
      <c r="U251" s="75">
        <f>COUNTIFS(GERAL!B$8:B$1696,A251,GERAL!AZ$8:AZ$1696,"&gt;0",GERAL!C$8:C$1696,"ANEXO")</f>
        <v>1</v>
      </c>
      <c r="V251" s="85">
        <f>SUMIF(GERAL!B$8:B$1696,A251,GERAL!AH$8:AH$1696)</f>
        <v>98</v>
      </c>
      <c r="W251" s="85">
        <f>SUMIF(GERAL!B$8:B$1696,A251,GERAL!AM$8:AM$1696)</f>
        <v>0</v>
      </c>
      <c r="X251" s="85">
        <f>SUMIF(GERAL!B$8:B$1696,A251,GERAL!AQ$8:AQ$1696)</f>
        <v>173</v>
      </c>
      <c r="Y251" s="85">
        <f>SUMIF(GERAL!B$8:B$1696,A251,GERAL!AU$8:AU$1696)</f>
        <v>25</v>
      </c>
      <c r="Z251" s="88">
        <f t="shared" si="40"/>
        <v>296</v>
      </c>
      <c r="AA251" s="116">
        <f>COUNTIFS(GERAL!B$8:B$1696,A251,GERAL!BK$8:BK$1696,"&gt;0",GERAL!C$8:C$1696,"ESCOLA")</f>
        <v>1</v>
      </c>
      <c r="AB251" s="88">
        <f>COUNTIFS(GERAL!B$8:B$1696,A251,GERAL!BK$8:BK$1696,"&gt;0",GERAL!C$8:C$1696,"ANEXO")</f>
        <v>0</v>
      </c>
      <c r="AC251" s="121">
        <f>SUMIF(GERAL!B$8:B$1696,A251,GERAL!AD$8:AD$1696)</f>
        <v>0</v>
      </c>
      <c r="AD251" s="121">
        <f>SUMIF(GERAL!B$8:B$1696,A251,GERAL!AI$8:AI$1696)</f>
        <v>232</v>
      </c>
      <c r="AE251" s="121">
        <f>SUMIF(GERAL!B$8:B$1696,A251,GERAL!AV$8:AV$1696)</f>
        <v>72</v>
      </c>
      <c r="AF251" s="492">
        <f t="shared" si="41"/>
        <v>304</v>
      </c>
      <c r="AG251" s="178">
        <f>COUNTIFS(GERAL!B$8:B$1696,A251,GERAL!AW$8:AW$1696,"&gt;0",GERAL!C$8:C$1696,"ESCOLA")</f>
        <v>1</v>
      </c>
      <c r="AH251" s="118">
        <f>COUNTIFS(GERAL!B$8:B$1696,A251,GERAL!AW$8:AW$1696,"&gt;0",GERAL!C$8:C$1696,"ANEXO")</f>
        <v>0</v>
      </c>
      <c r="AI251" s="177">
        <f>SUMIF(GERAL!B$8:B$1696,A251,GERAL!AS$8:AS$1696)+SUMIF(GERAL!B$8:B$1696,A251,GERAL!AT$8:AT$1696)</f>
        <v>0</v>
      </c>
      <c r="AJ251" s="177">
        <f>SUMIF(GERAL!B$8:B$1696,A251,GERAL!AU$8:AU$1696)</f>
        <v>25</v>
      </c>
      <c r="AK251" s="177">
        <f>SUMIF(GERAL!B$8:B$1696,A251,GERAL!AV$8:AV$1696)</f>
        <v>72</v>
      </c>
      <c r="AL251" s="118">
        <f t="shared" si="42"/>
        <v>97</v>
      </c>
      <c r="AM251" s="493" t="s">
        <v>973</v>
      </c>
    </row>
    <row r="252">
      <c r="A252" s="484" t="s">
        <v>2403</v>
      </c>
      <c r="B252" s="75">
        <f>COUNTIFS(GERAL!B$8:B$1696,A252,GERAL!C$8:C$1696,"ESCOLA")</f>
        <v>3</v>
      </c>
      <c r="C252" s="75">
        <f>COUNTIFS(GERAL!B$8:B$1696,A252,GERAL!C$8:C$1696,"ANEXO")</f>
        <v>3</v>
      </c>
      <c r="D252" s="85">
        <f>SUMIF(GERAL!B$8:B$1696,A252,GERAL!Z$8:Z$1696)</f>
        <v>0</v>
      </c>
      <c r="E252" s="85">
        <f>SUMIF(GERAL!B$8:B$1696,A252,GERAL!AE$8:AE$1696)</f>
        <v>0</v>
      </c>
      <c r="F252" s="85">
        <f>SUMIF(GERAL!B$8:B$1696,A252,GERAL!AJ$8:AJ$1696)</f>
        <v>3070</v>
      </c>
      <c r="G252" s="85">
        <f>SUMIF(GERAL!B$8:B$1696,A252,GERAL!AN$8:AN$1696)</f>
        <v>0</v>
      </c>
      <c r="H252" s="85">
        <f>SUMIF(GERAL!B$8:B$1696,A252,GERAL!AR$8:AW$1696)</f>
        <v>864</v>
      </c>
      <c r="I252" s="85">
        <f>SUMIF(GERAL!B$8:B$1696,A252,GERAL!AW$8:AW$1696)</f>
        <v>267</v>
      </c>
      <c r="J252" s="75">
        <f>SUMIF(GERAL!B$8:B$1696,A252,GERAL!AX$8:AX$1696)</f>
        <v>4201</v>
      </c>
      <c r="K252" s="75">
        <f>COUNTIFS(GERAL!B$8:B$1696,A252,GERAL!AY$8:AY$1696,"&gt;0",GERAL!C$8:C$1696,"ESCOLA")</f>
        <v>3</v>
      </c>
      <c r="L252" s="75">
        <f>COUNTIFS(GERAL!B$8:B$1696,A252,GERAL!AY$8:AY$1696,"&gt;0",GERAL!C$8:C$1696,"ANEXO")</f>
        <v>1</v>
      </c>
      <c r="M252" s="100">
        <f>SUMIF(GERAL!B$8:B$1696,A252,GERAL!V$8:V$1696)+SUMIF(GERAL!B$8:B$1696,A252,GERAL!W$8:W$1696)</f>
        <v>0</v>
      </c>
      <c r="N252" s="100">
        <f>SUMIF(GERAL!B$8:B$1696,A252,GERAL!AA$8:AA$1696)+SUMIF(GERAL!B$8:B$1696,A252,GERAL!AB$8:AB$1696)</f>
        <v>0</v>
      </c>
      <c r="O252" s="100">
        <f>SUMIF(GERAL!B$8:B$1696,A252,GERAL!AF$8:AF$1696)+SUMIF(GERAL!B$8:B$1696,A252,GERAL!AG$8:AG$1696)</f>
        <v>2963</v>
      </c>
      <c r="P252" s="100">
        <f>SUMIF(GERAL!B$8:B$1696,A252,GERAL!AK$8:AK$1696)+SUMIF(GERAL!B$8:B$1696,A252,GERAL!AL$8:AL$1696)</f>
        <v>0</v>
      </c>
      <c r="Q252" s="100">
        <f>SUMIF(GERAL!B$8:B$1696,A252,GERAL!AO$8:AO$1696)+SUMIF(GERAL!B$8:B$1696,A252,GERAL!AP$8:AP$1696)</f>
        <v>0</v>
      </c>
      <c r="R252" s="100">
        <f>SUMIF(GERAL!B$8:B$1696,A252,GERAL!AS$8:AS$1696)+SUMIF(GERAL!B$8:B$1696,A252,GERAL!AT$8:AT$1696)</f>
        <v>84</v>
      </c>
      <c r="S252" s="75">
        <f t="shared" si="39"/>
        <v>3047</v>
      </c>
      <c r="T252" s="116">
        <f>COUNTIFS(GERAL!B$8:B$1696,A252,GERAL!AZ$8:AZ$1696,"&gt;0",GERAL!C$8:C$1696,"ESCOLA")</f>
        <v>3</v>
      </c>
      <c r="U252" s="75">
        <f>COUNTIFS(GERAL!B$8:B$1696,A252,GERAL!AZ$8:AZ$1696,"&gt;0",GERAL!C$8:C$1696,"ANEXO")</f>
        <v>3</v>
      </c>
      <c r="V252" s="85">
        <f>SUMIF(GERAL!B$8:B$1696,A252,GERAL!AH$8:AH$1696)</f>
        <v>84</v>
      </c>
      <c r="W252" s="85">
        <f>SUMIF(GERAL!B$8:B$1696,A252,GERAL!AM$8:AM$1696)</f>
        <v>0</v>
      </c>
      <c r="X252" s="85">
        <f>SUMIF(GERAL!B$8:B$1696,A252,GERAL!AQ$8:AQ$1696)</f>
        <v>864</v>
      </c>
      <c r="Y252" s="85">
        <f>SUMIF(GERAL!B$8:B$1696,A252,GERAL!AU$8:AU$1696)</f>
        <v>11</v>
      </c>
      <c r="Z252" s="88">
        <f t="shared" si="40"/>
        <v>959</v>
      </c>
      <c r="AA252" s="116">
        <f>COUNTIFS(GERAL!B$8:B$1696,A252,GERAL!BK$8:BK$1696,"&gt;0",GERAL!C$8:C$1696,"ESCOLA")</f>
        <v>2</v>
      </c>
      <c r="AB252" s="88">
        <f>COUNTIFS(GERAL!B$8:B$1696,A252,GERAL!BK$8:BK$1696,"&gt;0",GERAL!C$8:C$1696,"ANEXO")</f>
        <v>0</v>
      </c>
      <c r="AC252" s="121">
        <f>SUMIF(GERAL!B$8:B$1696,A252,GERAL!AD$8:AD$1696)</f>
        <v>0</v>
      </c>
      <c r="AD252" s="121">
        <f>SUMIF(GERAL!B$8:B$1696,A252,GERAL!AI$8:AI$1696)</f>
        <v>23</v>
      </c>
      <c r="AE252" s="121">
        <f>SUMIF(GERAL!B$8:B$1696,A252,GERAL!AV$8:AV$1696)</f>
        <v>172</v>
      </c>
      <c r="AF252" s="492">
        <f t="shared" si="41"/>
        <v>195</v>
      </c>
      <c r="AG252" s="178">
        <f>COUNTIFS(GERAL!B$8:B$1696,A252,GERAL!AW$8:AW$1696,"&gt;0",GERAL!C$8:C$1696,"ESCOLA")</f>
        <v>2</v>
      </c>
      <c r="AH252" s="118">
        <f>COUNTIFS(GERAL!B$8:B$1696,A252,GERAL!AW$8:AW$1696,"&gt;0",GERAL!C$8:C$1696,"ANEXO")</f>
        <v>0</v>
      </c>
      <c r="AI252" s="177">
        <f>SUMIF(GERAL!B$8:B$1696,A252,GERAL!AS$8:AS$1696)+SUMIF(GERAL!B$8:B$1696,A252,GERAL!AT$8:AT$1696)</f>
        <v>84</v>
      </c>
      <c r="AJ252" s="177">
        <f>SUMIF(GERAL!B$8:B$1696,A252,GERAL!AU$8:AU$1696)</f>
        <v>11</v>
      </c>
      <c r="AK252" s="177">
        <f>SUMIF(GERAL!B$8:B$1696,A252,GERAL!AV$8:AV$1696)</f>
        <v>172</v>
      </c>
      <c r="AL252" s="118">
        <f t="shared" si="42"/>
        <v>267</v>
      </c>
      <c r="AM252" s="493" t="s">
        <v>860</v>
      </c>
    </row>
    <row r="253">
      <c r="A253" s="494" t="s">
        <v>4428</v>
      </c>
      <c r="B253" s="75">
        <f>COUNTIFS(GERAL!B$8:B$1696,A253,GERAL!C$8:C$1696,"ESCOLA")</f>
        <v>1</v>
      </c>
      <c r="C253" s="75">
        <f>COUNTIFS(GERAL!B$8:B$1696,A253,GERAL!C$8:C$1696,"ANEXO")</f>
        <v>0</v>
      </c>
      <c r="D253" s="85">
        <f>SUMIF(GERAL!B$8:B$1696,A253,GERAL!Z$8:Z$1696)</f>
        <v>0</v>
      </c>
      <c r="E253" s="85">
        <f>SUMIF(GERAL!B$8:B$1696,A253,GERAL!AE$8:AE$1696)</f>
        <v>0</v>
      </c>
      <c r="F253" s="85">
        <f>SUMIF(GERAL!B$8:B$1696,A253,GERAL!AJ$8:AJ$1696)</f>
        <v>138</v>
      </c>
      <c r="G253" s="85">
        <f>SUMIF(GERAL!B$8:B$1696,A253,GERAL!AN$8:AN$1696)</f>
        <v>0</v>
      </c>
      <c r="H253" s="85">
        <f>SUMIF(GERAL!B$8:B$1696,A253,GERAL!AR$8:AW$1696)</f>
        <v>133</v>
      </c>
      <c r="I253" s="85">
        <f>SUMIF(GERAL!B$8:B$1696,A253,GERAL!AW$8:AW$1696)</f>
        <v>308</v>
      </c>
      <c r="J253" s="75">
        <f>SUMIF(GERAL!B$8:B$1696,A253,GERAL!AX$8:AX$1696)</f>
        <v>579</v>
      </c>
      <c r="K253" s="75">
        <f>COUNTIFS(GERAL!B$8:B$1696,A253,GERAL!AY$8:AY$1696,"&gt;0",GERAL!C$8:C$1696,"ESCOLA")</f>
        <v>1</v>
      </c>
      <c r="L253" s="75">
        <f>COUNTIFS(GERAL!B$8:B$1696,A253,GERAL!AY$8:AY$1696,"&gt;0",GERAL!C$8:C$1696,"ANEXO")</f>
        <v>0</v>
      </c>
      <c r="M253" s="100">
        <f>SUMIF(GERAL!B$8:B$1696,A253,GERAL!V$8:V$1696)+SUMIF(GERAL!B$8:B$1696,A253,GERAL!W$8:W$1696)</f>
        <v>0</v>
      </c>
      <c r="N253" s="100">
        <f>SUMIF(GERAL!B$8:B$1696,A253,GERAL!AA$8:AA$1696)+SUMIF(GERAL!B$8:B$1696,A253,GERAL!AB$8:AB$1696)</f>
        <v>0</v>
      </c>
      <c r="O253" s="100">
        <f>SUMIF(GERAL!B$8:B$1696,A253,GERAL!AF$8:AF$1696)+SUMIF(GERAL!B$8:B$1696,A253,GERAL!AG$8:AG$1696)</f>
        <v>78</v>
      </c>
      <c r="P253" s="100">
        <f>SUMIF(GERAL!B$8:B$1696,A253,GERAL!AK$8:AK$1696)+SUMIF(GERAL!B$8:B$1696,A253,GERAL!AL$8:AL$1696)</f>
        <v>0</v>
      </c>
      <c r="Q253" s="100">
        <f>SUMIF(GERAL!B$8:B$1696,A253,GERAL!AO$8:AO$1696)+SUMIF(GERAL!B$8:B$1696,A253,GERAL!AP$8:AP$1696)</f>
        <v>0</v>
      </c>
      <c r="R253" s="100">
        <f>SUMIF(GERAL!B$8:B$1696,A253,GERAL!AS$8:AS$1696)+SUMIF(GERAL!B$8:B$1696,A253,GERAL!AT$8:AT$1696)</f>
        <v>168</v>
      </c>
      <c r="S253" s="75">
        <f t="shared" si="39"/>
        <v>246</v>
      </c>
      <c r="T253" s="116">
        <f>COUNTIFS(GERAL!B$8:B$1696,A253,GERAL!AZ$8:AZ$1696,"&gt;0",GERAL!C$8:C$1696,"ESCOLA")</f>
        <v>1</v>
      </c>
      <c r="U253" s="75">
        <f>COUNTIFS(GERAL!B$8:B$1696,A253,GERAL!AZ$8:AZ$1696,"&gt;0",GERAL!C$8:C$1696,"ANEXO")</f>
        <v>0</v>
      </c>
      <c r="V253" s="85">
        <f>SUMIF(GERAL!B$8:B$1696,A253,GERAL!AH$8:AH$1696)</f>
        <v>0</v>
      </c>
      <c r="W253" s="85">
        <f>SUMIF(GERAL!B$8:B$1696,A253,GERAL!AM$8:AM$1696)</f>
        <v>0</v>
      </c>
      <c r="X253" s="85">
        <f>SUMIF(GERAL!B$8:B$1696,A253,GERAL!AQ$8:AQ$1696)</f>
        <v>133</v>
      </c>
      <c r="Y253" s="85">
        <f>SUMIF(GERAL!B$8:B$1696,A253,GERAL!AU$8:AU$1696)</f>
        <v>41</v>
      </c>
      <c r="Z253" s="88">
        <f t="shared" si="40"/>
        <v>174</v>
      </c>
      <c r="AA253" s="116">
        <f>COUNTIFS(GERAL!B$8:B$1696,A253,GERAL!BK$8:BK$1696,"&gt;0",GERAL!C$8:C$1696,"ESCOLA")</f>
        <v>1</v>
      </c>
      <c r="AB253" s="88">
        <f>COUNTIFS(GERAL!B$8:B$1696,A253,GERAL!BK$8:BK$1696,"&gt;0",GERAL!C$8:C$1696,"ANEXO")</f>
        <v>0</v>
      </c>
      <c r="AC253" s="121">
        <f>SUMIF(GERAL!B$8:B$1696,A253,GERAL!AD$8:AD$1696)</f>
        <v>0</v>
      </c>
      <c r="AD253" s="121">
        <f>SUMIF(GERAL!B$8:B$1696,A253,GERAL!AI$8:AI$1696)</f>
        <v>60</v>
      </c>
      <c r="AE253" s="121">
        <f>SUMIF(GERAL!B$8:B$1696,A253,GERAL!AV$8:AV$1696)</f>
        <v>99</v>
      </c>
      <c r="AF253" s="492">
        <f t="shared" si="41"/>
        <v>159</v>
      </c>
      <c r="AG253" s="178">
        <f>COUNTIFS(GERAL!B$8:B$1696,A253,GERAL!AW$8:AW$1696,"&gt;0",GERAL!C$8:C$1696,"ESCOLA")</f>
        <v>1</v>
      </c>
      <c r="AH253" s="118">
        <f>COUNTIFS(GERAL!B$8:B$1696,A253,GERAL!AW$8:AW$1696,"&gt;0",GERAL!C$8:C$1696,"ANEXO")</f>
        <v>0</v>
      </c>
      <c r="AI253" s="177">
        <f>SUMIF(GERAL!B$8:B$1696,A253,GERAL!AS$8:AS$1696)+SUMIF(GERAL!B$8:B$1696,A253,GERAL!AT$8:AT$1696)</f>
        <v>168</v>
      </c>
      <c r="AJ253" s="177">
        <f>SUMIF(GERAL!B$8:B$1696,A253,GERAL!AU$8:AU$1696)</f>
        <v>41</v>
      </c>
      <c r="AK253" s="177">
        <f>SUMIF(GERAL!B$8:B$1696,A253,GERAL!AV$8:AV$1696)</f>
        <v>99</v>
      </c>
      <c r="AL253" s="118">
        <f t="shared" si="42"/>
        <v>308</v>
      </c>
      <c r="AM253" s="493" t="s">
        <v>1027</v>
      </c>
    </row>
    <row r="254">
      <c r="A254" s="484" t="s">
        <v>2557</v>
      </c>
      <c r="B254" s="75">
        <f>COUNTIFS(GERAL!B$8:B$1696,A254,GERAL!C$8:C$1696,"ESCOLA")</f>
        <v>1</v>
      </c>
      <c r="C254" s="75">
        <f>COUNTIFS(GERAL!B$8:B$1696,A254,GERAL!C$8:C$1696,"ANEXO")</f>
        <v>0</v>
      </c>
      <c r="D254" s="85">
        <f>SUMIF(GERAL!B$8:B$1696,A254,GERAL!Z$8:Z$1696)</f>
        <v>0</v>
      </c>
      <c r="E254" s="85">
        <f>SUMIF(GERAL!B$8:B$1696,A254,GERAL!AE$8:AE$1696)</f>
        <v>0</v>
      </c>
      <c r="F254" s="85">
        <f>SUMIF(GERAL!B$8:B$1696,A254,GERAL!AJ$8:AJ$1696)</f>
        <v>260</v>
      </c>
      <c r="G254" s="85">
        <f>SUMIF(GERAL!B$8:B$1696,A254,GERAL!AN$8:AN$1696)</f>
        <v>0</v>
      </c>
      <c r="H254" s="85">
        <f>SUMIF(GERAL!B$8:B$1696,A254,GERAL!AR$8:AW$1696)</f>
        <v>112</v>
      </c>
      <c r="I254" s="85">
        <f>SUMIF(GERAL!B$8:B$1696,A254,GERAL!AW$8:AW$1696)</f>
        <v>63</v>
      </c>
      <c r="J254" s="75">
        <f>SUMIF(GERAL!B$8:B$1696,A254,GERAL!AX$8:AX$1696)</f>
        <v>435</v>
      </c>
      <c r="K254" s="75">
        <f>COUNTIFS(GERAL!B$8:B$1696,A254,GERAL!AY$8:AY$1696,"&gt;0",GERAL!C$8:C$1696,"ESCOLA")</f>
        <v>1</v>
      </c>
      <c r="L254" s="75">
        <f>COUNTIFS(GERAL!B$8:B$1696,A254,GERAL!AY$8:AY$1696,"&gt;0",GERAL!C$8:C$1696,"ANEXO")</f>
        <v>0</v>
      </c>
      <c r="M254" s="100">
        <f>SUMIF(GERAL!B$8:B$1696,A254,GERAL!V$8:V$1696)+SUMIF(GERAL!B$8:B$1696,A254,GERAL!W$8:W$1696)</f>
        <v>0</v>
      </c>
      <c r="N254" s="100">
        <f>SUMIF(GERAL!B$8:B$1696,A254,GERAL!AA$8:AA$1696)+SUMIF(GERAL!B$8:B$1696,A254,GERAL!AB$8:AB$1696)</f>
        <v>0</v>
      </c>
      <c r="O254" s="100">
        <f>SUMIF(GERAL!B$8:B$1696,A254,GERAL!AF$8:AF$1696)+SUMIF(GERAL!B$8:B$1696,A254,GERAL!AG$8:AG$1696)</f>
        <v>152</v>
      </c>
      <c r="P254" s="100">
        <f>SUMIF(GERAL!B$8:B$1696,A254,GERAL!AK$8:AK$1696)+SUMIF(GERAL!B$8:B$1696,A254,GERAL!AL$8:AL$1696)</f>
        <v>0</v>
      </c>
      <c r="Q254" s="100">
        <f>SUMIF(GERAL!B$8:B$1696,A254,GERAL!AO$8:AO$1696)+SUMIF(GERAL!B$8:B$1696,A254,GERAL!AP$8:AP$1696)</f>
        <v>0</v>
      </c>
      <c r="R254" s="100">
        <f>SUMIF(GERAL!B$8:B$1696,A254,GERAL!AS$8:AS$1696)+SUMIF(GERAL!B$8:B$1696,A254,GERAL!AT$8:AT$1696)</f>
        <v>31</v>
      </c>
      <c r="S254" s="75">
        <f t="shared" si="39"/>
        <v>183</v>
      </c>
      <c r="T254" s="116">
        <f>COUNTIFS(GERAL!B$8:B$1696,A254,GERAL!AZ$8:AZ$1696,"&gt;0",GERAL!C$8:C$1696,"ESCOLA")</f>
        <v>1</v>
      </c>
      <c r="U254" s="75">
        <f>COUNTIFS(GERAL!B$8:B$1696,A254,GERAL!AZ$8:AZ$1696,"&gt;0",GERAL!C$8:C$1696,"ANEXO")</f>
        <v>0</v>
      </c>
      <c r="V254" s="85">
        <f>SUMIF(GERAL!B$8:B$1696,A254,GERAL!AH$8:AH$1696)</f>
        <v>0</v>
      </c>
      <c r="W254" s="85">
        <f>SUMIF(GERAL!B$8:B$1696,A254,GERAL!AM$8:AM$1696)</f>
        <v>0</v>
      </c>
      <c r="X254" s="85">
        <f>SUMIF(GERAL!B$8:B$1696,A254,GERAL!AQ$8:AQ$1696)</f>
        <v>112</v>
      </c>
      <c r="Y254" s="85">
        <f>SUMIF(GERAL!B$8:B$1696,A254,GERAL!AU$8:AU$1696)</f>
        <v>0</v>
      </c>
      <c r="Z254" s="88">
        <f t="shared" si="40"/>
        <v>112</v>
      </c>
      <c r="AA254" s="116">
        <f>COUNTIFS(GERAL!B$8:B$1696,A254,GERAL!BK$8:BK$1696,"&gt;0",GERAL!C$8:C$1696,"ESCOLA")</f>
        <v>1</v>
      </c>
      <c r="AB254" s="88">
        <f>COUNTIFS(GERAL!B$8:B$1696,A254,GERAL!BK$8:BK$1696,"&gt;0",GERAL!C$8:C$1696,"ANEXO")</f>
        <v>0</v>
      </c>
      <c r="AC254" s="121">
        <f>SUMIF(GERAL!B$8:B$1696,A254,GERAL!AD$8:AD$1696)</f>
        <v>0</v>
      </c>
      <c r="AD254" s="121">
        <f>SUMIF(GERAL!B$8:B$1696,A254,GERAL!AI$8:AI$1696)</f>
        <v>108</v>
      </c>
      <c r="AE254" s="121">
        <f>SUMIF(GERAL!B$8:B$1696,A254,GERAL!AV$8:AV$1696)</f>
        <v>32</v>
      </c>
      <c r="AF254" s="492">
        <f t="shared" si="41"/>
        <v>140</v>
      </c>
      <c r="AG254" s="178">
        <f>COUNTIFS(GERAL!B$8:B$1696,A254,GERAL!AW$8:AW$1696,"&gt;0",GERAL!C$8:C$1696,"ESCOLA")</f>
        <v>1</v>
      </c>
      <c r="AH254" s="118">
        <f>COUNTIFS(GERAL!B$8:B$1696,A254,GERAL!AW$8:AW$1696,"&gt;0",GERAL!C$8:C$1696,"ANEXO")</f>
        <v>0</v>
      </c>
      <c r="AI254" s="177">
        <f>SUMIF(GERAL!B$8:B$1696,A254,GERAL!AS$8:AS$1696)+SUMIF(GERAL!B$8:B$1696,A254,GERAL!AT$8:AT$1696)</f>
        <v>31</v>
      </c>
      <c r="AJ254" s="177">
        <f>SUMIF(GERAL!B$8:B$1696,A254,GERAL!AU$8:AU$1696)</f>
        <v>0</v>
      </c>
      <c r="AK254" s="177">
        <f>SUMIF(GERAL!B$8:B$1696,A254,GERAL!AV$8:AV$1696)</f>
        <v>32</v>
      </c>
      <c r="AL254" s="118">
        <f t="shared" si="42"/>
        <v>63</v>
      </c>
      <c r="AM254" s="493" t="s">
        <v>673</v>
      </c>
    </row>
    <row r="255">
      <c r="A255" s="494" t="s">
        <v>3924</v>
      </c>
      <c r="B255" s="75">
        <f>COUNTIFS(GERAL!B$8:B$1696,A255,GERAL!C$8:C$1696,"ESCOLA")</f>
        <v>3</v>
      </c>
      <c r="C255" s="75">
        <f>COUNTIFS(GERAL!B$8:B$1696,A255,GERAL!C$8:C$1696,"ANEXO")</f>
        <v>4</v>
      </c>
      <c r="D255" s="85">
        <f>SUMIF(GERAL!B$8:B$1696,A255,GERAL!Z$8:Z$1696)</f>
        <v>0</v>
      </c>
      <c r="E255" s="85">
        <f>SUMIF(GERAL!B$8:B$1696,A255,GERAL!AE$8:AE$1696)</f>
        <v>0</v>
      </c>
      <c r="F255" s="85">
        <f>SUMIF(GERAL!B$8:B$1696,A255,GERAL!AJ$8:AJ$1696)</f>
        <v>1044</v>
      </c>
      <c r="G255" s="85">
        <f>SUMIF(GERAL!B$8:B$1696,A255,GERAL!AN$8:AN$1696)</f>
        <v>0</v>
      </c>
      <c r="H255" s="85">
        <f>SUMIF(GERAL!B$8:B$1696,A255,GERAL!AR$8:AW$1696)</f>
        <v>62</v>
      </c>
      <c r="I255" s="85">
        <f>SUMIF(GERAL!B$8:B$1696,A255,GERAL!AW$8:AW$1696)</f>
        <v>518</v>
      </c>
      <c r="J255" s="75">
        <f>SUMIF(GERAL!B$8:B$1696,A255,GERAL!AX$8:AX$1696)</f>
        <v>1624</v>
      </c>
      <c r="K255" s="75">
        <f>COUNTIFS(GERAL!B$8:B$1696,A255,GERAL!AY$8:AY$1696,"&gt;0",GERAL!C$8:C$1696,"ESCOLA")</f>
        <v>2</v>
      </c>
      <c r="L255" s="75">
        <f>COUNTIFS(GERAL!B$8:B$1696,A255,GERAL!AY$8:AY$1696,"&gt;0",GERAL!C$8:C$1696,"ANEXO")</f>
        <v>4</v>
      </c>
      <c r="M255" s="100">
        <f>SUMIF(GERAL!B$8:B$1696,A255,GERAL!V$8:V$1696)+SUMIF(GERAL!B$8:B$1696,A255,GERAL!W$8:W$1696)</f>
        <v>0</v>
      </c>
      <c r="N255" s="100">
        <f>SUMIF(GERAL!B$8:B$1696,A255,GERAL!AA$8:AA$1696)+SUMIF(GERAL!B$8:B$1696,A255,GERAL!AB$8:AB$1696)</f>
        <v>0</v>
      </c>
      <c r="O255" s="100">
        <f>SUMIF(GERAL!B$8:B$1696,A255,GERAL!AF$8:AF$1696)+SUMIF(GERAL!B$8:B$1696,A255,GERAL!AG$8:AG$1696)</f>
        <v>806</v>
      </c>
      <c r="P255" s="100">
        <f>SUMIF(GERAL!B$8:B$1696,A255,GERAL!AK$8:AK$1696)+SUMIF(GERAL!B$8:B$1696,A255,GERAL!AL$8:AL$1696)</f>
        <v>0</v>
      </c>
      <c r="Q255" s="100">
        <f>SUMIF(GERAL!B$8:B$1696,A255,GERAL!AO$8:AO$1696)+SUMIF(GERAL!B$8:B$1696,A255,GERAL!AP$8:AP$1696)</f>
        <v>0</v>
      </c>
      <c r="R255" s="100">
        <f>SUMIF(GERAL!B$8:B$1696,A255,GERAL!AS$8:AS$1696)+SUMIF(GERAL!B$8:B$1696,A255,GERAL!AT$8:AT$1696)</f>
        <v>444</v>
      </c>
      <c r="S255" s="75">
        <f t="shared" si="39"/>
        <v>1250</v>
      </c>
      <c r="T255" s="116">
        <f>COUNTIFS(GERAL!B$8:B$1696,A255,GERAL!AZ$8:AZ$1696,"&gt;0",GERAL!C$8:C$1696,"ESCOLA")</f>
        <v>1</v>
      </c>
      <c r="U255" s="75">
        <f>COUNTIFS(GERAL!B$8:B$1696,A255,GERAL!AZ$8:AZ$1696,"&gt;0",GERAL!C$8:C$1696,"ANEXO")</f>
        <v>2</v>
      </c>
      <c r="V255" s="85">
        <f>SUMIF(GERAL!B$8:B$1696,A255,GERAL!AH$8:AH$1696)</f>
        <v>14</v>
      </c>
      <c r="W255" s="85">
        <f>SUMIF(GERAL!B$8:B$1696,A255,GERAL!AM$8:AM$1696)</f>
        <v>0</v>
      </c>
      <c r="X255" s="85">
        <f>SUMIF(GERAL!B$8:B$1696,A255,GERAL!AQ$8:AQ$1696)</f>
        <v>62</v>
      </c>
      <c r="Y255" s="85">
        <f>SUMIF(GERAL!B$8:B$1696,A255,GERAL!AU$8:AU$1696)</f>
        <v>74</v>
      </c>
      <c r="Z255" s="88">
        <f t="shared" si="40"/>
        <v>150</v>
      </c>
      <c r="AA255" s="116">
        <f>COUNTIFS(GERAL!B$8:B$1696,A255,GERAL!BK$8:BK$1696,"&gt;0",GERAL!C$8:C$1696,"ESCOLA")</f>
        <v>2</v>
      </c>
      <c r="AB255" s="88">
        <f>COUNTIFS(GERAL!B$8:B$1696,A255,GERAL!BK$8:BK$1696,"&gt;0",GERAL!C$8:C$1696,"ANEXO")</f>
        <v>0</v>
      </c>
      <c r="AC255" s="121">
        <f>SUMIF(GERAL!B$8:B$1696,A255,GERAL!AD$8:AD$1696)</f>
        <v>0</v>
      </c>
      <c r="AD255" s="121">
        <f>SUMIF(GERAL!B$8:B$1696,A255,GERAL!AI$8:AI$1696)</f>
        <v>224</v>
      </c>
      <c r="AE255" s="121">
        <f>SUMIF(GERAL!B$8:B$1696,A255,GERAL!AV$8:AV$1696)</f>
        <v>0</v>
      </c>
      <c r="AF255" s="492">
        <f t="shared" si="41"/>
        <v>224</v>
      </c>
      <c r="AG255" s="178">
        <f>COUNTIFS(GERAL!B$8:B$1696,A255,GERAL!AW$8:AW$1696,"&gt;0",GERAL!C$8:C$1696,"ESCOLA")</f>
        <v>1</v>
      </c>
      <c r="AH255" s="118">
        <f>COUNTIFS(GERAL!B$8:B$1696,A255,GERAL!AW$8:AW$1696,"&gt;0",GERAL!C$8:C$1696,"ANEXO")</f>
        <v>0</v>
      </c>
      <c r="AI255" s="177">
        <f>SUMIF(GERAL!B$8:B$1696,A255,GERAL!AS$8:AS$1696)+SUMIF(GERAL!B$8:B$1696,A255,GERAL!AT$8:AT$1696)</f>
        <v>444</v>
      </c>
      <c r="AJ255" s="177">
        <f>SUMIF(GERAL!B$8:B$1696,A255,GERAL!AU$8:AU$1696)</f>
        <v>74</v>
      </c>
      <c r="AK255" s="177">
        <f>SUMIF(GERAL!B$8:B$1696,A255,GERAL!AV$8:AV$1696)</f>
        <v>0</v>
      </c>
      <c r="AL255" s="118">
        <f t="shared" si="42"/>
        <v>518</v>
      </c>
      <c r="AM255" s="493" t="s">
        <v>914</v>
      </c>
    </row>
    <row r="256">
      <c r="A256" s="484" t="s">
        <v>7612</v>
      </c>
      <c r="B256" s="75">
        <f>COUNTIFS(GERAL!B$8:B$1696,A256,GERAL!C$8:C$1696,"ESCOLA")</f>
        <v>1</v>
      </c>
      <c r="C256" s="75">
        <f>COUNTIFS(GERAL!B$8:B$1696,A256,GERAL!C$8:C$1696,"ANEXO")</f>
        <v>4</v>
      </c>
      <c r="D256" s="85">
        <f>SUMIF(GERAL!B$8:B$1696,A256,GERAL!Z$8:Z$1696)</f>
        <v>0</v>
      </c>
      <c r="E256" s="85">
        <f>SUMIF(GERAL!B$8:B$1696,A256,GERAL!AE$8:AE$1696)</f>
        <v>0</v>
      </c>
      <c r="F256" s="85">
        <f>SUMIF(GERAL!B$8:B$1696,A256,GERAL!AJ$8:AJ$1696)</f>
        <v>273</v>
      </c>
      <c r="G256" s="85">
        <f>SUMIF(GERAL!B$8:B$1696,A256,GERAL!AN$8:AN$1696)</f>
        <v>0</v>
      </c>
      <c r="H256" s="85">
        <f>SUMIF(GERAL!B$8:B$1696,A256,GERAL!AR$8:AW$1696)</f>
        <v>50</v>
      </c>
      <c r="I256" s="85">
        <f>SUMIF(GERAL!B$8:B$1696,A256,GERAL!AW$8:AW$1696)</f>
        <v>43</v>
      </c>
      <c r="J256" s="75">
        <f>SUMIF(GERAL!B$8:B$1696,A256,GERAL!AX$8:AX$1696)</f>
        <v>366</v>
      </c>
      <c r="K256" s="75">
        <f>COUNTIFS(GERAL!B$8:B$1696,A256,GERAL!AY$8:AY$1696,"&gt;0",GERAL!C$8:C$1696,"ESCOLA")</f>
        <v>1</v>
      </c>
      <c r="L256" s="75">
        <f>COUNTIFS(GERAL!B$8:B$1696,A256,GERAL!AY$8:AY$1696,"&gt;0",GERAL!C$8:C$1696,"ANEXO")</f>
        <v>4</v>
      </c>
      <c r="M256" s="100">
        <f>SUMIF(GERAL!B$8:B$1696,A256,GERAL!V$8:V$1696)+SUMIF(GERAL!B$8:B$1696,A256,GERAL!W$8:W$1696)</f>
        <v>0</v>
      </c>
      <c r="N256" s="100">
        <f>SUMIF(GERAL!B$8:B$1696,A256,GERAL!AA$8:AA$1696)+SUMIF(GERAL!B$8:B$1696,A256,GERAL!AB$8:AB$1696)</f>
        <v>0</v>
      </c>
      <c r="O256" s="100">
        <f>SUMIF(GERAL!B$8:B$1696,A256,GERAL!AF$8:AF$1696)+SUMIF(GERAL!B$8:B$1696,A256,GERAL!AG$8:AG$1696)</f>
        <v>167</v>
      </c>
      <c r="P256" s="100">
        <f>SUMIF(GERAL!B$8:B$1696,A256,GERAL!AK$8:AK$1696)+SUMIF(GERAL!B$8:B$1696,A256,GERAL!AL$8:AL$1696)</f>
        <v>0</v>
      </c>
      <c r="Q256" s="100">
        <f>SUMIF(GERAL!B$8:B$1696,A256,GERAL!AO$8:AO$1696)+SUMIF(GERAL!B$8:B$1696,A256,GERAL!AP$8:AP$1696)</f>
        <v>0</v>
      </c>
      <c r="R256" s="100">
        <f>SUMIF(GERAL!B$8:B$1696,A256,GERAL!AS$8:AS$1696)+SUMIF(GERAL!B$8:B$1696,A256,GERAL!AT$8:AT$1696)</f>
        <v>0</v>
      </c>
      <c r="S256" s="75">
        <f t="shared" si="39"/>
        <v>167</v>
      </c>
      <c r="T256" s="116">
        <f>COUNTIFS(GERAL!B$8:B$1696,A256,GERAL!AZ$8:AZ$1696,"&gt;0",GERAL!C$8:C$1696,"ESCOLA")</f>
        <v>1</v>
      </c>
      <c r="U256" s="75">
        <f>COUNTIFS(GERAL!B$8:B$1696,A256,GERAL!AZ$8:AZ$1696,"&gt;0",GERAL!C$8:C$1696,"ANEXO")</f>
        <v>1</v>
      </c>
      <c r="V256" s="85">
        <f>SUMIF(GERAL!B$8:B$1696,A256,GERAL!AH$8:AH$1696)</f>
        <v>0</v>
      </c>
      <c r="W256" s="85">
        <f>SUMIF(GERAL!B$8:B$1696,A256,GERAL!AM$8:AM$1696)</f>
        <v>0</v>
      </c>
      <c r="X256" s="85">
        <f>SUMIF(GERAL!B$8:B$1696,A256,GERAL!AQ$8:AQ$1696)</f>
        <v>50</v>
      </c>
      <c r="Y256" s="85">
        <f>SUMIF(GERAL!B$8:B$1696,A256,GERAL!AU$8:AU$1696)</f>
        <v>15</v>
      </c>
      <c r="Z256" s="88">
        <f t="shared" si="40"/>
        <v>65</v>
      </c>
      <c r="AA256" s="116">
        <f>COUNTIFS(GERAL!B$8:B$1696,A256,GERAL!BK$8:BK$1696,"&gt;0",GERAL!C$8:C$1696,"ESCOLA")</f>
        <v>1</v>
      </c>
      <c r="AB256" s="88">
        <f>COUNTIFS(GERAL!B$8:B$1696,A256,GERAL!BK$8:BK$1696,"&gt;0",GERAL!C$8:C$1696,"ANEXO")</f>
        <v>0</v>
      </c>
      <c r="AC256" s="121">
        <f>SUMIF(GERAL!B$8:B$1696,A256,GERAL!AD$8:AD$1696)</f>
        <v>0</v>
      </c>
      <c r="AD256" s="121">
        <f>SUMIF(GERAL!B$8:B$1696,A256,GERAL!AI$8:AI$1696)</f>
        <v>106</v>
      </c>
      <c r="AE256" s="121">
        <f>SUMIF(GERAL!B$8:B$1696,A256,GERAL!AV$8:AV$1696)</f>
        <v>28</v>
      </c>
      <c r="AF256" s="492">
        <f t="shared" si="41"/>
        <v>134</v>
      </c>
      <c r="AG256" s="178">
        <f>COUNTIFS(GERAL!B$8:B$1696,A256,GERAL!AW$8:AW$1696,"&gt;0",GERAL!C$8:C$1696,"ESCOLA")</f>
        <v>1</v>
      </c>
      <c r="AH256" s="118">
        <f>COUNTIFS(GERAL!B$8:B$1696,A256,GERAL!AW$8:AW$1696,"&gt;0",GERAL!C$8:C$1696,"ANEXO")</f>
        <v>0</v>
      </c>
      <c r="AI256" s="177">
        <f>SUMIF(GERAL!B$8:B$1696,A256,GERAL!AS$8:AS$1696)+SUMIF(GERAL!B$8:B$1696,A256,GERAL!AT$8:AT$1696)</f>
        <v>0</v>
      </c>
      <c r="AJ256" s="177">
        <f>SUMIF(GERAL!B$8:B$1696,A256,GERAL!AU$8:AU$1696)</f>
        <v>15</v>
      </c>
      <c r="AK256" s="177">
        <f>SUMIF(GERAL!B$8:B$1696,A256,GERAL!AV$8:AV$1696)</f>
        <v>28</v>
      </c>
      <c r="AL256" s="118">
        <f t="shared" si="42"/>
        <v>43</v>
      </c>
      <c r="AM256" s="493" t="s">
        <v>1629</v>
      </c>
    </row>
    <row r="257">
      <c r="A257" s="494" t="s">
        <v>8086</v>
      </c>
      <c r="B257" s="75">
        <f>COUNTIFS(GERAL!B$8:B$1696,A257,GERAL!C$8:C$1696,"ESCOLA")</f>
        <v>1</v>
      </c>
      <c r="C257" s="75">
        <f>COUNTIFS(GERAL!B$8:B$1696,A257,GERAL!C$8:C$1696,"ANEXO")</f>
        <v>0</v>
      </c>
      <c r="D257" s="85">
        <f>SUMIF(GERAL!B$8:B$1696,A257,GERAL!Z$8:Z$1696)</f>
        <v>0</v>
      </c>
      <c r="E257" s="85">
        <f>SUMIF(GERAL!B$8:B$1696,A257,GERAL!AE$8:AE$1696)</f>
        <v>0</v>
      </c>
      <c r="F257" s="85">
        <f>SUMIF(GERAL!B$8:B$1696,A257,GERAL!AJ$8:AJ$1696)</f>
        <v>397</v>
      </c>
      <c r="G257" s="85">
        <f>SUMIF(GERAL!B$8:B$1696,A257,GERAL!AN$8:AN$1696)</f>
        <v>0</v>
      </c>
      <c r="H257" s="85">
        <f>SUMIF(GERAL!B$8:B$1696,A257,GERAL!AR$8:AW$1696)</f>
        <v>145</v>
      </c>
      <c r="I257" s="85">
        <f>SUMIF(GERAL!B$8:B$1696,A257,GERAL!AW$8:AW$1696)</f>
        <v>238</v>
      </c>
      <c r="J257" s="75">
        <f>SUMIF(GERAL!B$8:B$1696,A257,GERAL!AX$8:AX$1696)</f>
        <v>780</v>
      </c>
      <c r="K257" s="75">
        <f>COUNTIFS(GERAL!B$8:B$1696,A257,GERAL!AY$8:AY$1696,"&gt;0",GERAL!C$8:C$1696,"ESCOLA")</f>
        <v>1</v>
      </c>
      <c r="L257" s="75">
        <f>COUNTIFS(GERAL!B$8:B$1696,A257,GERAL!AY$8:AY$1696,"&gt;0",GERAL!C$8:C$1696,"ANEXO")</f>
        <v>0</v>
      </c>
      <c r="M257" s="100">
        <f>SUMIF(GERAL!B$8:B$1696,A257,GERAL!V$8:V$1696)+SUMIF(GERAL!B$8:B$1696,A257,GERAL!W$8:W$1696)</f>
        <v>0</v>
      </c>
      <c r="N257" s="100">
        <f>SUMIF(GERAL!B$8:B$1696,A257,GERAL!AA$8:AA$1696)+SUMIF(GERAL!B$8:B$1696,A257,GERAL!AB$8:AB$1696)</f>
        <v>0</v>
      </c>
      <c r="O257" s="100">
        <f>SUMIF(GERAL!B$8:B$1696,A257,GERAL!AF$8:AF$1696)+SUMIF(GERAL!B$8:B$1696,A257,GERAL!AG$8:AG$1696)</f>
        <v>292</v>
      </c>
      <c r="P257" s="100">
        <f>SUMIF(GERAL!B$8:B$1696,A257,GERAL!AK$8:AK$1696)+SUMIF(GERAL!B$8:B$1696,A257,GERAL!AL$8:AL$1696)</f>
        <v>0</v>
      </c>
      <c r="Q257" s="100">
        <f>SUMIF(GERAL!B$8:B$1696,A257,GERAL!AO$8:AO$1696)+SUMIF(GERAL!B$8:B$1696,A257,GERAL!AP$8:AP$1696)</f>
        <v>0</v>
      </c>
      <c r="R257" s="100">
        <f>SUMIF(GERAL!B$8:B$1696,A257,GERAL!AS$8:AS$1696)+SUMIF(GERAL!B$8:B$1696,A257,GERAL!AT$8:AT$1696)</f>
        <v>210</v>
      </c>
      <c r="S257" s="75">
        <f t="shared" si="39"/>
        <v>502</v>
      </c>
      <c r="T257" s="116">
        <f>COUNTIFS(GERAL!B$8:B$1696,A257,GERAL!AZ$8:AZ$1696,"&gt;0",GERAL!C$8:C$1696,"ESCOLA")</f>
        <v>1</v>
      </c>
      <c r="U257" s="75">
        <f>COUNTIFS(GERAL!B$8:B$1696,A257,GERAL!AZ$8:AZ$1696,"&gt;0",GERAL!C$8:C$1696,"ANEXO")</f>
        <v>0</v>
      </c>
      <c r="V257" s="85">
        <f>SUMIF(GERAL!B$8:B$1696,A257,GERAL!AH$8:AH$1696)</f>
        <v>0</v>
      </c>
      <c r="W257" s="85">
        <f>SUMIF(GERAL!B$8:B$1696,A257,GERAL!AM$8:AM$1696)</f>
        <v>0</v>
      </c>
      <c r="X257" s="85">
        <f>SUMIF(GERAL!B$8:B$1696,A257,GERAL!AQ$8:AQ$1696)</f>
        <v>145</v>
      </c>
      <c r="Y257" s="85">
        <f>SUMIF(GERAL!B$8:B$1696,A257,GERAL!AU$8:AU$1696)</f>
        <v>28</v>
      </c>
      <c r="Z257" s="88">
        <f t="shared" si="40"/>
        <v>173</v>
      </c>
      <c r="AA257" s="116">
        <f>COUNTIFS(GERAL!B$8:B$1696,A257,GERAL!BK$8:BK$1696,"&gt;0",GERAL!C$8:C$1696,"ESCOLA")</f>
        <v>1</v>
      </c>
      <c r="AB257" s="88">
        <f>COUNTIFS(GERAL!B$8:B$1696,A257,GERAL!BK$8:BK$1696,"&gt;0",GERAL!C$8:C$1696,"ANEXO")</f>
        <v>0</v>
      </c>
      <c r="AC257" s="121">
        <f>SUMIF(GERAL!B$8:B$1696,A257,GERAL!AD$8:AD$1696)</f>
        <v>0</v>
      </c>
      <c r="AD257" s="121">
        <f>SUMIF(GERAL!B$8:B$1696,A257,GERAL!AI$8:AI$1696)</f>
        <v>105</v>
      </c>
      <c r="AE257" s="121">
        <f>SUMIF(GERAL!B$8:B$1696,A257,GERAL!AV$8:AV$1696)</f>
        <v>0</v>
      </c>
      <c r="AF257" s="492">
        <f t="shared" si="41"/>
        <v>105</v>
      </c>
      <c r="AG257" s="178">
        <f>COUNTIFS(GERAL!B$8:B$1696,A257,GERAL!AW$8:AW$1696,"&gt;0",GERAL!C$8:C$1696,"ESCOLA")</f>
        <v>1</v>
      </c>
      <c r="AH257" s="118">
        <f>COUNTIFS(GERAL!B$8:B$1696,A257,GERAL!AW$8:AW$1696,"&gt;0",GERAL!C$8:C$1696,"ANEXO")</f>
        <v>0</v>
      </c>
      <c r="AI257" s="177">
        <f>SUMIF(GERAL!B$8:B$1696,A257,GERAL!AS$8:AS$1696)+SUMIF(GERAL!B$8:B$1696,A257,GERAL!AT$8:AT$1696)</f>
        <v>210</v>
      </c>
      <c r="AJ257" s="177">
        <f>SUMIF(GERAL!B$8:B$1696,A257,GERAL!AU$8:AU$1696)</f>
        <v>28</v>
      </c>
      <c r="AK257" s="177">
        <f>SUMIF(GERAL!B$8:B$1696,A257,GERAL!AV$8:AV$1696)</f>
        <v>0</v>
      </c>
      <c r="AL257" s="118">
        <f t="shared" si="42"/>
        <v>238</v>
      </c>
      <c r="AM257" s="493" t="s">
        <v>1785</v>
      </c>
    </row>
    <row r="258">
      <c r="A258" s="484" t="s">
        <v>6297</v>
      </c>
      <c r="B258" s="75">
        <f>COUNTIFS(GERAL!B$8:B$1696,A258,GERAL!C$8:C$1696,"ESCOLA")</f>
        <v>1</v>
      </c>
      <c r="C258" s="75">
        <f>COUNTIFS(GERAL!B$8:B$1696,A258,GERAL!C$8:C$1696,"ANEXO")</f>
        <v>0</v>
      </c>
      <c r="D258" s="85">
        <f>SUMIF(GERAL!B$8:B$1696,A258,GERAL!Z$8:Z$1696)</f>
        <v>0</v>
      </c>
      <c r="E258" s="85">
        <f>SUMIF(GERAL!B$8:B$1696,A258,GERAL!AE$8:AE$1696)</f>
        <v>0</v>
      </c>
      <c r="F258" s="85">
        <f>SUMIF(GERAL!B$8:B$1696,A258,GERAL!AJ$8:AJ$1696)</f>
        <v>86</v>
      </c>
      <c r="G258" s="85">
        <f>SUMIF(GERAL!B$8:B$1696,A258,GERAL!AN$8:AN$1696)</f>
        <v>0</v>
      </c>
      <c r="H258" s="85">
        <f>SUMIF(GERAL!B$8:B$1696,A258,GERAL!AR$8:AW$1696)</f>
        <v>36</v>
      </c>
      <c r="I258" s="85">
        <f>SUMIF(GERAL!B$8:B$1696,A258,GERAL!AW$8:AW$1696)</f>
        <v>75</v>
      </c>
      <c r="J258" s="75">
        <f>SUMIF(GERAL!B$8:B$1696,A258,GERAL!AX$8:AX$1696)</f>
        <v>197</v>
      </c>
      <c r="K258" s="75">
        <f>COUNTIFS(GERAL!B$8:B$1696,A258,GERAL!AY$8:AY$1696,"&gt;0",GERAL!C$8:C$1696,"ESCOLA")</f>
        <v>1</v>
      </c>
      <c r="L258" s="75">
        <f>COUNTIFS(GERAL!B$8:B$1696,A258,GERAL!AY$8:AY$1696,"&gt;0",GERAL!C$8:C$1696,"ANEXO")</f>
        <v>0</v>
      </c>
      <c r="M258" s="100">
        <f>SUMIF(GERAL!B$8:B$1696,A258,GERAL!V$8:V$1696)+SUMIF(GERAL!B$8:B$1696,A258,GERAL!W$8:W$1696)</f>
        <v>0</v>
      </c>
      <c r="N258" s="100">
        <f>SUMIF(GERAL!B$8:B$1696,A258,GERAL!AA$8:AA$1696)+SUMIF(GERAL!B$8:B$1696,A258,GERAL!AB$8:AB$1696)</f>
        <v>0</v>
      </c>
      <c r="O258" s="100">
        <f>SUMIF(GERAL!B$8:B$1696,A258,GERAL!AF$8:AF$1696)+SUMIF(GERAL!B$8:B$1696,A258,GERAL!AG$8:AG$1696)</f>
        <v>20</v>
      </c>
      <c r="P258" s="100">
        <f>SUMIF(GERAL!B$8:B$1696,A258,GERAL!AK$8:AK$1696)+SUMIF(GERAL!B$8:B$1696,A258,GERAL!AL$8:AL$1696)</f>
        <v>0</v>
      </c>
      <c r="Q258" s="100">
        <f>SUMIF(GERAL!B$8:B$1696,A258,GERAL!AO$8:AO$1696)+SUMIF(GERAL!B$8:B$1696,A258,GERAL!AP$8:AP$1696)</f>
        <v>0</v>
      </c>
      <c r="R258" s="100">
        <f>SUMIF(GERAL!B$8:B$1696,A258,GERAL!AS$8:AS$1696)+SUMIF(GERAL!B$8:B$1696,A258,GERAL!AT$8:AT$1696)</f>
        <v>47</v>
      </c>
      <c r="S258" s="75">
        <f t="shared" si="39"/>
        <v>67</v>
      </c>
      <c r="T258" s="116">
        <f>COUNTIFS(GERAL!B$8:B$1696,A258,GERAL!AZ$8:AZ$1696,"&gt;0",GERAL!C$8:C$1696,"ESCOLA")</f>
        <v>1</v>
      </c>
      <c r="U258" s="75">
        <f>COUNTIFS(GERAL!B$8:B$1696,A258,GERAL!AZ$8:AZ$1696,"&gt;0",GERAL!C$8:C$1696,"ANEXO")</f>
        <v>0</v>
      </c>
      <c r="V258" s="85">
        <f>SUMIF(GERAL!B$8:B$1696,A258,GERAL!AH$8:AH$1696)</f>
        <v>0</v>
      </c>
      <c r="W258" s="85">
        <f>SUMIF(GERAL!B$8:B$1696,A258,GERAL!AM$8:AM$1696)</f>
        <v>0</v>
      </c>
      <c r="X258" s="85">
        <f>SUMIF(GERAL!B$8:B$1696,A258,GERAL!AQ$8:AQ$1696)</f>
        <v>36</v>
      </c>
      <c r="Y258" s="85">
        <f>SUMIF(GERAL!B$8:B$1696,A258,GERAL!AU$8:AU$1696)</f>
        <v>0</v>
      </c>
      <c r="Z258" s="88">
        <f t="shared" si="40"/>
        <v>36</v>
      </c>
      <c r="AA258" s="116">
        <f>COUNTIFS(GERAL!B$8:B$1696,A258,GERAL!BK$8:BK$1696,"&gt;0",GERAL!C$8:C$1696,"ESCOLA")</f>
        <v>1</v>
      </c>
      <c r="AB258" s="88">
        <f>COUNTIFS(GERAL!B$8:B$1696,A258,GERAL!BK$8:BK$1696,"&gt;0",GERAL!C$8:C$1696,"ANEXO")</f>
        <v>0</v>
      </c>
      <c r="AC258" s="121">
        <f>SUMIF(GERAL!B$8:B$1696,A258,GERAL!AD$8:AD$1696)</f>
        <v>0</v>
      </c>
      <c r="AD258" s="121">
        <f>SUMIF(GERAL!B$8:B$1696,A258,GERAL!AI$8:AI$1696)</f>
        <v>66</v>
      </c>
      <c r="AE258" s="121">
        <f>SUMIF(GERAL!B$8:B$1696,A258,GERAL!AV$8:AV$1696)</f>
        <v>28</v>
      </c>
      <c r="AF258" s="492">
        <f t="shared" si="41"/>
        <v>94</v>
      </c>
      <c r="AG258" s="178">
        <f>COUNTIFS(GERAL!B$8:B$1696,A258,GERAL!AW$8:AW$1696,"&gt;0",GERAL!C$8:C$1696,"ESCOLA")</f>
        <v>1</v>
      </c>
      <c r="AH258" s="118">
        <f>COUNTIFS(GERAL!B$8:B$1696,A258,GERAL!AW$8:AW$1696,"&gt;0",GERAL!C$8:C$1696,"ANEXO")</f>
        <v>0</v>
      </c>
      <c r="AI258" s="177">
        <f>SUMIF(GERAL!B$8:B$1696,A258,GERAL!AS$8:AS$1696)+SUMIF(GERAL!B$8:B$1696,A258,GERAL!AT$8:AT$1696)</f>
        <v>47</v>
      </c>
      <c r="AJ258" s="177">
        <f>SUMIF(GERAL!B$8:B$1696,A258,GERAL!AU$8:AU$1696)</f>
        <v>0</v>
      </c>
      <c r="AK258" s="177">
        <f>SUMIF(GERAL!B$8:B$1696,A258,GERAL!AV$8:AV$1696)</f>
        <v>28</v>
      </c>
      <c r="AL258" s="118">
        <f t="shared" si="42"/>
        <v>75</v>
      </c>
      <c r="AM258" s="493" t="s">
        <v>1393</v>
      </c>
    </row>
    <row r="259">
      <c r="A259" s="494" t="s">
        <v>2561</v>
      </c>
      <c r="B259" s="75">
        <f>COUNTIFS(GERAL!B$8:B$1696,A259,GERAL!C$8:C$1696,"ESCOLA")</f>
        <v>1</v>
      </c>
      <c r="C259" s="75">
        <f>COUNTIFS(GERAL!B$8:B$1696,A259,GERAL!C$8:C$1696,"ANEXO")</f>
        <v>0</v>
      </c>
      <c r="D259" s="85">
        <f>SUMIF(GERAL!B$8:B$1696,A259,GERAL!Z$8:Z$1696)</f>
        <v>0</v>
      </c>
      <c r="E259" s="85">
        <f>SUMIF(GERAL!B$8:B$1696,A259,GERAL!AE$8:AE$1696)</f>
        <v>0</v>
      </c>
      <c r="F259" s="85">
        <f>SUMIF(GERAL!B$8:B$1696,A259,GERAL!AJ$8:AJ$1696)</f>
        <v>162</v>
      </c>
      <c r="G259" s="85">
        <f>SUMIF(GERAL!B$8:B$1696,A259,GERAL!AN$8:AN$1696)</f>
        <v>0</v>
      </c>
      <c r="H259" s="85">
        <f>SUMIF(GERAL!B$8:B$1696,A259,GERAL!AR$8:AW$1696)</f>
        <v>53</v>
      </c>
      <c r="I259" s="85">
        <f>SUMIF(GERAL!B$8:B$1696,A259,GERAL!AW$8:AW$1696)</f>
        <v>67</v>
      </c>
      <c r="J259" s="75">
        <f>SUMIF(GERAL!B$8:B$1696,A259,GERAL!AX$8:AX$1696)</f>
        <v>282</v>
      </c>
      <c r="K259" s="75">
        <f>COUNTIFS(GERAL!B$8:B$1696,A259,GERAL!AY$8:AY$1696,"&gt;0",GERAL!C$8:C$1696,"ESCOLA")</f>
        <v>1</v>
      </c>
      <c r="L259" s="75">
        <f>COUNTIFS(GERAL!B$8:B$1696,A259,GERAL!AY$8:AY$1696,"&gt;0",GERAL!C$8:C$1696,"ANEXO")</f>
        <v>0</v>
      </c>
      <c r="M259" s="100">
        <f>SUMIF(GERAL!B$8:B$1696,A259,GERAL!V$8:V$1696)+SUMIF(GERAL!B$8:B$1696,A259,GERAL!W$8:W$1696)</f>
        <v>0</v>
      </c>
      <c r="N259" s="100">
        <f>SUMIF(GERAL!B$8:B$1696,A259,GERAL!AA$8:AA$1696)+SUMIF(GERAL!B$8:B$1696,A259,GERAL!AB$8:AB$1696)</f>
        <v>0</v>
      </c>
      <c r="O259" s="100">
        <f>SUMIF(GERAL!B$8:B$1696,A259,GERAL!AF$8:AF$1696)+SUMIF(GERAL!B$8:B$1696,A259,GERAL!AG$8:AG$1696)</f>
        <v>162</v>
      </c>
      <c r="P259" s="100">
        <f>SUMIF(GERAL!B$8:B$1696,A259,GERAL!AK$8:AK$1696)+SUMIF(GERAL!B$8:B$1696,A259,GERAL!AL$8:AL$1696)</f>
        <v>0</v>
      </c>
      <c r="Q259" s="100">
        <f>SUMIF(GERAL!B$8:B$1696,A259,GERAL!AO$8:AO$1696)+SUMIF(GERAL!B$8:B$1696,A259,GERAL!AP$8:AP$1696)</f>
        <v>0</v>
      </c>
      <c r="R259" s="100">
        <f>SUMIF(GERAL!B$8:B$1696,A259,GERAL!AS$8:AS$1696)+SUMIF(GERAL!B$8:B$1696,A259,GERAL!AT$8:AT$1696)</f>
        <v>53</v>
      </c>
      <c r="S259" s="75">
        <f t="shared" si="39"/>
        <v>215</v>
      </c>
      <c r="T259" s="116">
        <f>COUNTIFS(GERAL!B$8:B$1696,A259,GERAL!AZ$8:AZ$1696,"&gt;0",GERAL!C$8:C$1696,"ESCOLA")</f>
        <v>1</v>
      </c>
      <c r="U259" s="75">
        <f>COUNTIFS(GERAL!B$8:B$1696,A259,GERAL!AZ$8:AZ$1696,"&gt;0",GERAL!C$8:C$1696,"ANEXO")</f>
        <v>0</v>
      </c>
      <c r="V259" s="85">
        <f>SUMIF(GERAL!B$8:B$1696,A259,GERAL!AH$8:AH$1696)</f>
        <v>0</v>
      </c>
      <c r="W259" s="85">
        <f>SUMIF(GERAL!B$8:B$1696,A259,GERAL!AM$8:AM$1696)</f>
        <v>0</v>
      </c>
      <c r="X259" s="85">
        <f>SUMIF(GERAL!B$8:B$1696,A259,GERAL!AQ$8:AQ$1696)</f>
        <v>53</v>
      </c>
      <c r="Y259" s="85">
        <f>SUMIF(GERAL!B$8:B$1696,A259,GERAL!AU$8:AU$1696)</f>
        <v>14</v>
      </c>
      <c r="Z259" s="88">
        <f t="shared" si="40"/>
        <v>67</v>
      </c>
      <c r="AA259" s="116">
        <f>COUNTIFS(GERAL!B$8:B$1696,A259,GERAL!BK$8:BK$1696,"&gt;0",GERAL!C$8:C$1696,"ESCOLA")</f>
        <v>0</v>
      </c>
      <c r="AB259" s="88">
        <f>COUNTIFS(GERAL!B$8:B$1696,A259,GERAL!BK$8:BK$1696,"&gt;0",GERAL!C$8:C$1696,"ANEXO")</f>
        <v>0</v>
      </c>
      <c r="AC259" s="121">
        <f>SUMIF(GERAL!B$8:B$1696,A259,GERAL!AD$8:AD$1696)</f>
        <v>0</v>
      </c>
      <c r="AD259" s="121">
        <f>SUMIF(GERAL!B$8:B$1696,A259,GERAL!AI$8:AI$1696)</f>
        <v>0</v>
      </c>
      <c r="AE259" s="121">
        <f>SUMIF(GERAL!B$8:B$1696,A259,GERAL!AV$8:AV$1696)</f>
        <v>0</v>
      </c>
      <c r="AF259" s="492">
        <f t="shared" si="41"/>
        <v>0</v>
      </c>
      <c r="AG259" s="178">
        <f>COUNTIFS(GERAL!B$8:B$1696,A259,GERAL!AW$8:AW$1696,"&gt;0",GERAL!C$8:C$1696,"ESCOLA")</f>
        <v>1</v>
      </c>
      <c r="AH259" s="118">
        <f>COUNTIFS(GERAL!B$8:B$1696,A259,GERAL!AW$8:AW$1696,"&gt;0",GERAL!C$8:C$1696,"ANEXO")</f>
        <v>0</v>
      </c>
      <c r="AI259" s="177">
        <f>SUMIF(GERAL!B$8:B$1696,A259,GERAL!AS$8:AS$1696)+SUMIF(GERAL!B$8:B$1696,A259,GERAL!AT$8:AT$1696)</f>
        <v>53</v>
      </c>
      <c r="AJ259" s="177">
        <f>SUMIF(GERAL!B$8:B$1696,A259,GERAL!AU$8:AU$1696)</f>
        <v>14</v>
      </c>
      <c r="AK259" s="177">
        <f>SUMIF(GERAL!B$8:B$1696,A259,GERAL!AV$8:AV$1696)</f>
        <v>0</v>
      </c>
      <c r="AL259" s="118">
        <f t="shared" si="42"/>
        <v>67</v>
      </c>
      <c r="AM259" s="493" t="s">
        <v>673</v>
      </c>
    </row>
    <row r="260">
      <c r="A260" s="484" t="s">
        <v>4619</v>
      </c>
      <c r="B260" s="75">
        <f>COUNTIFS(GERAL!B$8:B$1696,A260,GERAL!C$8:C$1696,"ESCOLA")</f>
        <v>1</v>
      </c>
      <c r="C260" s="75">
        <f>COUNTIFS(GERAL!B$8:B$1696,A260,GERAL!C$8:C$1696,"ANEXO")</f>
        <v>0</v>
      </c>
      <c r="D260" s="85">
        <f>SUMIF(GERAL!B$8:B$1696,A260,GERAL!Z$8:Z$1696)</f>
        <v>0</v>
      </c>
      <c r="E260" s="85">
        <f>SUMIF(GERAL!B$8:B$1696,A260,GERAL!AE$8:AE$1696)</f>
        <v>0</v>
      </c>
      <c r="F260" s="85">
        <f>SUMIF(GERAL!B$8:B$1696,A260,GERAL!AJ$8:AJ$1696)</f>
        <v>482</v>
      </c>
      <c r="G260" s="85">
        <f>SUMIF(GERAL!B$8:B$1696,A260,GERAL!AN$8:AN$1696)</f>
        <v>0</v>
      </c>
      <c r="H260" s="85">
        <f>SUMIF(GERAL!B$8:B$1696,A260,GERAL!AR$8:AW$1696)</f>
        <v>84</v>
      </c>
      <c r="I260" s="85">
        <f>SUMIF(GERAL!B$8:B$1696,A260,GERAL!AW$8:AW$1696)</f>
        <v>145</v>
      </c>
      <c r="J260" s="75">
        <f>SUMIF(GERAL!B$8:B$1696,A260,GERAL!AX$8:AX$1696)</f>
        <v>711</v>
      </c>
      <c r="K260" s="75">
        <f>COUNTIFS(GERAL!B$8:B$1696,A260,GERAL!AY$8:AY$1696,"&gt;0",GERAL!C$8:C$1696,"ESCOLA")</f>
        <v>1</v>
      </c>
      <c r="L260" s="75">
        <f>COUNTIFS(GERAL!B$8:B$1696,A260,GERAL!AY$8:AY$1696,"&gt;0",GERAL!C$8:C$1696,"ANEXO")</f>
        <v>0</v>
      </c>
      <c r="M260" s="100">
        <f>SUMIF(GERAL!B$8:B$1696,A260,GERAL!V$8:V$1696)+SUMIF(GERAL!B$8:B$1696,A260,GERAL!W$8:W$1696)</f>
        <v>0</v>
      </c>
      <c r="N260" s="100">
        <f>SUMIF(GERAL!B$8:B$1696,A260,GERAL!AA$8:AA$1696)+SUMIF(GERAL!B$8:B$1696,A260,GERAL!AB$8:AB$1696)</f>
        <v>0</v>
      </c>
      <c r="O260" s="100">
        <f>SUMIF(GERAL!B$8:B$1696,A260,GERAL!AF$8:AF$1696)+SUMIF(GERAL!B$8:B$1696,A260,GERAL!AG$8:AG$1696)</f>
        <v>120</v>
      </c>
      <c r="P260" s="100">
        <f>SUMIF(GERAL!B$8:B$1696,A260,GERAL!AK$8:AK$1696)+SUMIF(GERAL!B$8:B$1696,A260,GERAL!AL$8:AL$1696)</f>
        <v>0</v>
      </c>
      <c r="Q260" s="100">
        <f>SUMIF(GERAL!B$8:B$1696,A260,GERAL!AO$8:AO$1696)+SUMIF(GERAL!B$8:B$1696,A260,GERAL!AP$8:AP$1696)</f>
        <v>0</v>
      </c>
      <c r="R260" s="100">
        <f>SUMIF(GERAL!B$8:B$1696,A260,GERAL!AS$8:AS$1696)+SUMIF(GERAL!B$8:B$1696,A260,GERAL!AT$8:AT$1696)</f>
        <v>25</v>
      </c>
      <c r="S260" s="75">
        <f t="shared" si="39"/>
        <v>145</v>
      </c>
      <c r="T260" s="116">
        <f>COUNTIFS(GERAL!B$8:B$1696,A260,GERAL!AZ$8:AZ$1696,"&gt;0",GERAL!C$8:C$1696,"ESCOLA")</f>
        <v>1</v>
      </c>
      <c r="U260" s="75">
        <f>COUNTIFS(GERAL!B$8:B$1696,A260,GERAL!AZ$8:AZ$1696,"&gt;0",GERAL!C$8:C$1696,"ANEXO")</f>
        <v>0</v>
      </c>
      <c r="V260" s="85">
        <f>SUMIF(GERAL!B$8:B$1696,A260,GERAL!AH$8:AH$1696)</f>
        <v>0</v>
      </c>
      <c r="W260" s="85">
        <f>SUMIF(GERAL!B$8:B$1696,A260,GERAL!AM$8:AM$1696)</f>
        <v>0</v>
      </c>
      <c r="X260" s="85">
        <f>SUMIF(GERAL!B$8:B$1696,A260,GERAL!AQ$8:AQ$1696)</f>
        <v>84</v>
      </c>
      <c r="Y260" s="85">
        <f>SUMIF(GERAL!B$8:B$1696,A260,GERAL!AU$8:AU$1696)</f>
        <v>82</v>
      </c>
      <c r="Z260" s="88">
        <f t="shared" si="40"/>
        <v>166</v>
      </c>
      <c r="AA260" s="116">
        <f>COUNTIFS(GERAL!B$8:B$1696,A260,GERAL!BK$8:BK$1696,"&gt;0",GERAL!C$8:C$1696,"ESCOLA")</f>
        <v>1</v>
      </c>
      <c r="AB260" s="88">
        <f>COUNTIFS(GERAL!B$8:B$1696,A260,GERAL!BK$8:BK$1696,"&gt;0",GERAL!C$8:C$1696,"ANEXO")</f>
        <v>0</v>
      </c>
      <c r="AC260" s="121">
        <f>SUMIF(GERAL!B$8:B$1696,A260,GERAL!AD$8:AD$1696)</f>
        <v>0</v>
      </c>
      <c r="AD260" s="121">
        <f>SUMIF(GERAL!B$8:B$1696,A260,GERAL!AI$8:AI$1696)</f>
        <v>362</v>
      </c>
      <c r="AE260" s="121">
        <f>SUMIF(GERAL!B$8:B$1696,A260,GERAL!AV$8:AV$1696)</f>
        <v>38</v>
      </c>
      <c r="AF260" s="492">
        <f t="shared" si="41"/>
        <v>400</v>
      </c>
      <c r="AG260" s="178">
        <f>COUNTIFS(GERAL!B$8:B$1696,A260,GERAL!AW$8:AW$1696,"&gt;0",GERAL!C$8:C$1696,"ESCOLA")</f>
        <v>1</v>
      </c>
      <c r="AH260" s="118">
        <f>COUNTIFS(GERAL!B$8:B$1696,A260,GERAL!AW$8:AW$1696,"&gt;0",GERAL!C$8:C$1696,"ANEXO")</f>
        <v>0</v>
      </c>
      <c r="AI260" s="177">
        <f>SUMIF(GERAL!B$8:B$1696,A260,GERAL!AS$8:AS$1696)+SUMIF(GERAL!B$8:B$1696,A260,GERAL!AT$8:AT$1696)</f>
        <v>25</v>
      </c>
      <c r="AJ260" s="177">
        <f>SUMIF(GERAL!B$8:B$1696,A260,GERAL!AU$8:AU$1696)</f>
        <v>82</v>
      </c>
      <c r="AK260" s="177">
        <f>SUMIF(GERAL!B$8:B$1696,A260,GERAL!AV$8:AV$1696)</f>
        <v>38</v>
      </c>
      <c r="AL260" s="118">
        <f t="shared" si="42"/>
        <v>145</v>
      </c>
      <c r="AM260" s="493" t="s">
        <v>1090</v>
      </c>
    </row>
    <row r="261">
      <c r="A261" s="494" t="s">
        <v>616</v>
      </c>
      <c r="B261" s="75">
        <f>COUNTIFS(GERAL!B$8:B$1696,A261,GERAL!C$8:C$1696,"ESCOLA")</f>
        <v>1</v>
      </c>
      <c r="C261" s="75">
        <f>COUNTIFS(GERAL!B$8:B$1696,A261,GERAL!C$8:C$1696,"ANEXO")</f>
        <v>2</v>
      </c>
      <c r="D261" s="85">
        <f>SUMIF(GERAL!B$8:B$1696,A261,GERAL!Z$8:Z$1696)</f>
        <v>0</v>
      </c>
      <c r="E261" s="85">
        <f>SUMIF(GERAL!B$8:B$1696,A261,GERAL!AE$8:AE$1696)</f>
        <v>0</v>
      </c>
      <c r="F261" s="85">
        <f>SUMIF(GERAL!B$8:B$1696,A261,GERAL!AJ$8:AJ$1696)</f>
        <v>471</v>
      </c>
      <c r="G261" s="85">
        <f>SUMIF(GERAL!B$8:B$1696,A261,GERAL!AN$8:AN$1696)</f>
        <v>0</v>
      </c>
      <c r="H261" s="85">
        <f>SUMIF(GERAL!B$8:B$1696,A261,GERAL!AR$8:AW$1696)</f>
        <v>128</v>
      </c>
      <c r="I261" s="85">
        <f>SUMIF(GERAL!B$8:B$1696,A261,GERAL!AW$8:AW$1696)</f>
        <v>105</v>
      </c>
      <c r="J261" s="75">
        <f>SUMIF(GERAL!B$8:B$1696,A261,GERAL!AX$8:AX$1696)</f>
        <v>704</v>
      </c>
      <c r="K261" s="75">
        <f>COUNTIFS(GERAL!B$8:B$1696,A261,GERAL!AY$8:AY$1696,"&gt;0",GERAL!C$8:C$1696,"ESCOLA")</f>
        <v>1</v>
      </c>
      <c r="L261" s="75">
        <f>COUNTIFS(GERAL!B$8:B$1696,A261,GERAL!AY$8:AY$1696,"&gt;0",GERAL!C$8:C$1696,"ANEXO")</f>
        <v>2</v>
      </c>
      <c r="M261" s="100">
        <f>SUMIF(GERAL!B$8:B$1696,A261,GERAL!V$8:V$1696)+SUMIF(GERAL!B$8:B$1696,A261,GERAL!W$8:W$1696)</f>
        <v>0</v>
      </c>
      <c r="N261" s="100">
        <f>SUMIF(GERAL!B$8:B$1696,A261,GERAL!AA$8:AA$1696)+SUMIF(GERAL!B$8:B$1696,A261,GERAL!AB$8:AB$1696)</f>
        <v>0</v>
      </c>
      <c r="O261" s="100">
        <f>SUMIF(GERAL!B$8:B$1696,A261,GERAL!AF$8:AF$1696)+SUMIF(GERAL!B$8:B$1696,A261,GERAL!AG$8:AG$1696)</f>
        <v>331</v>
      </c>
      <c r="P261" s="100">
        <f>SUMIF(GERAL!B$8:B$1696,A261,GERAL!AK$8:AK$1696)+SUMIF(GERAL!B$8:B$1696,A261,GERAL!AL$8:AL$1696)</f>
        <v>0</v>
      </c>
      <c r="Q261" s="100">
        <f>SUMIF(GERAL!B$8:B$1696,A261,GERAL!AO$8:AO$1696)+SUMIF(GERAL!B$8:B$1696,A261,GERAL!AP$8:AP$1696)</f>
        <v>0</v>
      </c>
      <c r="R261" s="100">
        <f>SUMIF(GERAL!B$8:B$1696,A261,GERAL!AS$8:AS$1696)+SUMIF(GERAL!B$8:B$1696,A261,GERAL!AT$8:AT$1696)</f>
        <v>45</v>
      </c>
      <c r="S261" s="75">
        <f t="shared" si="39"/>
        <v>376</v>
      </c>
      <c r="T261" s="116">
        <f>COUNTIFS(GERAL!B$8:B$1696,A261,GERAL!AZ$8:AZ$1696,"&gt;0",GERAL!C$8:C$1696,"ESCOLA")</f>
        <v>1</v>
      </c>
      <c r="U261" s="75">
        <f>COUNTIFS(GERAL!B$8:B$1696,A261,GERAL!AZ$8:AZ$1696,"&gt;0",GERAL!C$8:C$1696,"ANEXO")</f>
        <v>1</v>
      </c>
      <c r="V261" s="85">
        <f>SUMIF(GERAL!B$8:B$1696,A261,GERAL!AH$8:AH$1696)</f>
        <v>0</v>
      </c>
      <c r="W261" s="85">
        <f>SUMIF(GERAL!B$8:B$1696,A261,GERAL!AM$8:AM$1696)</f>
        <v>0</v>
      </c>
      <c r="X261" s="85">
        <f>SUMIF(GERAL!B$8:B$1696,A261,GERAL!AQ$8:AQ$1696)</f>
        <v>128</v>
      </c>
      <c r="Y261" s="85">
        <f>SUMIF(GERAL!B$8:B$1696,A261,GERAL!AU$8:AU$1696)</f>
        <v>25</v>
      </c>
      <c r="Z261" s="88">
        <f t="shared" si="40"/>
        <v>153</v>
      </c>
      <c r="AA261" s="116">
        <f>COUNTIFS(GERAL!B$8:B$1696,A261,GERAL!BK$8:BK$1696,"&gt;0",GERAL!C$8:C$1696,"ESCOLA")</f>
        <v>1</v>
      </c>
      <c r="AB261" s="88">
        <f>COUNTIFS(GERAL!B$8:B$1696,A261,GERAL!BK$8:BK$1696,"&gt;0",GERAL!C$8:C$1696,"ANEXO")</f>
        <v>0</v>
      </c>
      <c r="AC261" s="121">
        <f>SUMIF(GERAL!B$8:B$1696,A261,GERAL!AD$8:AD$1696)</f>
        <v>0</v>
      </c>
      <c r="AD261" s="121">
        <f>SUMIF(GERAL!B$8:B$1696,A261,GERAL!AI$8:AI$1696)</f>
        <v>140</v>
      </c>
      <c r="AE261" s="121">
        <f>SUMIF(GERAL!B$8:B$1696,A261,GERAL!AV$8:AV$1696)</f>
        <v>35</v>
      </c>
      <c r="AF261" s="492">
        <f t="shared" si="41"/>
        <v>175</v>
      </c>
      <c r="AG261" s="178">
        <f>COUNTIFS(GERAL!B$8:B$1696,A261,GERAL!AW$8:AW$1696,"&gt;0",GERAL!C$8:C$1696,"ESCOLA")</f>
        <v>1</v>
      </c>
      <c r="AH261" s="118">
        <f>COUNTIFS(GERAL!B$8:B$1696,A261,GERAL!AW$8:AW$1696,"&gt;0",GERAL!C$8:C$1696,"ANEXO")</f>
        <v>0</v>
      </c>
      <c r="AI261" s="177">
        <f>SUMIF(GERAL!B$8:B$1696,A261,GERAL!AS$8:AS$1696)+SUMIF(GERAL!B$8:B$1696,A261,GERAL!AT$8:AT$1696)</f>
        <v>45</v>
      </c>
      <c r="AJ261" s="177">
        <f>SUMIF(GERAL!B$8:B$1696,A261,GERAL!AU$8:AU$1696)</f>
        <v>25</v>
      </c>
      <c r="AK261" s="177">
        <f>SUMIF(GERAL!B$8:B$1696,A261,GERAL!AV$8:AV$1696)</f>
        <v>35</v>
      </c>
      <c r="AL261" s="118">
        <f t="shared" si="42"/>
        <v>105</v>
      </c>
      <c r="AM261" s="493" t="s">
        <v>205</v>
      </c>
    </row>
    <row r="262">
      <c r="A262" s="484" t="s">
        <v>4216</v>
      </c>
      <c r="B262" s="75">
        <f>COUNTIFS(GERAL!B$8:B$1696,A262,GERAL!C$8:C$1696,"ESCOLA")</f>
        <v>1</v>
      </c>
      <c r="C262" s="75">
        <f>COUNTIFS(GERAL!B$8:B$1696,A262,GERAL!C$8:C$1696,"ANEXO")</f>
        <v>0</v>
      </c>
      <c r="D262" s="85">
        <f>SUMIF(GERAL!B$8:B$1696,A262,GERAL!Z$8:Z$1696)</f>
        <v>0</v>
      </c>
      <c r="E262" s="85">
        <f>SUMIF(GERAL!B$8:B$1696,A262,GERAL!AE$8:AE$1696)</f>
        <v>0</v>
      </c>
      <c r="F262" s="85">
        <f>SUMIF(GERAL!B$8:B$1696,A262,GERAL!AJ$8:AJ$1696)</f>
        <v>180</v>
      </c>
      <c r="G262" s="85">
        <f>SUMIF(GERAL!B$8:B$1696,A262,GERAL!AN$8:AN$1696)</f>
        <v>0</v>
      </c>
      <c r="H262" s="85">
        <f>SUMIF(GERAL!B$8:B$1696,A262,GERAL!AR$8:AW$1696)</f>
        <v>102</v>
      </c>
      <c r="I262" s="85">
        <f>SUMIF(GERAL!B$8:B$1696,A262,GERAL!AW$8:AW$1696)</f>
        <v>131</v>
      </c>
      <c r="J262" s="75">
        <f>SUMIF(GERAL!B$8:B$1696,A262,GERAL!AX$8:AX$1696)</f>
        <v>413</v>
      </c>
      <c r="K262" s="75">
        <f>COUNTIFS(GERAL!B$8:B$1696,A262,GERAL!AY$8:AY$1696,"&gt;0",GERAL!C$8:C$1696,"ESCOLA")</f>
        <v>1</v>
      </c>
      <c r="L262" s="75">
        <f>COUNTIFS(GERAL!B$8:B$1696,A262,GERAL!AY$8:AY$1696,"&gt;0",GERAL!C$8:C$1696,"ANEXO")</f>
        <v>0</v>
      </c>
      <c r="M262" s="100">
        <f>SUMIF(GERAL!B$8:B$1696,A262,GERAL!V$8:V$1696)+SUMIF(GERAL!B$8:B$1696,A262,GERAL!W$8:W$1696)</f>
        <v>0</v>
      </c>
      <c r="N262" s="100">
        <f>SUMIF(GERAL!B$8:B$1696,A262,GERAL!AA$8:AA$1696)+SUMIF(GERAL!B$8:B$1696,A262,GERAL!AB$8:AB$1696)</f>
        <v>0</v>
      </c>
      <c r="O262" s="100">
        <f>SUMIF(GERAL!B$8:B$1696,A262,GERAL!AF$8:AF$1696)+SUMIF(GERAL!B$8:B$1696,A262,GERAL!AG$8:AG$1696)</f>
        <v>0</v>
      </c>
      <c r="P262" s="100">
        <f>SUMIF(GERAL!B$8:B$1696,A262,GERAL!AK$8:AK$1696)+SUMIF(GERAL!B$8:B$1696,A262,GERAL!AL$8:AL$1696)</f>
        <v>0</v>
      </c>
      <c r="Q262" s="100">
        <f>SUMIF(GERAL!B$8:B$1696,A262,GERAL!AO$8:AO$1696)+SUMIF(GERAL!B$8:B$1696,A262,GERAL!AP$8:AP$1696)</f>
        <v>0</v>
      </c>
      <c r="R262" s="100">
        <f>SUMIF(GERAL!B$8:B$1696,A262,GERAL!AS$8:AS$1696)+SUMIF(GERAL!B$8:B$1696,A262,GERAL!AT$8:AT$1696)</f>
        <v>90</v>
      </c>
      <c r="S262" s="75">
        <f t="shared" si="39"/>
        <v>90</v>
      </c>
      <c r="T262" s="116">
        <f>COUNTIFS(GERAL!B$8:B$1696,A262,GERAL!AZ$8:AZ$1696,"&gt;0",GERAL!C$8:C$1696,"ESCOLA")</f>
        <v>1</v>
      </c>
      <c r="U262" s="75">
        <f>COUNTIFS(GERAL!B$8:B$1696,A262,GERAL!AZ$8:AZ$1696,"&gt;0",GERAL!C$8:C$1696,"ANEXO")</f>
        <v>0</v>
      </c>
      <c r="V262" s="85">
        <f>SUMIF(GERAL!B$8:B$1696,A262,GERAL!AH$8:AH$1696)</f>
        <v>0</v>
      </c>
      <c r="W262" s="85">
        <f>SUMIF(GERAL!B$8:B$1696,A262,GERAL!AM$8:AM$1696)</f>
        <v>0</v>
      </c>
      <c r="X262" s="85">
        <f>SUMIF(GERAL!B$8:B$1696,A262,GERAL!AQ$8:AQ$1696)</f>
        <v>102</v>
      </c>
      <c r="Y262" s="85">
        <f>SUMIF(GERAL!B$8:B$1696,A262,GERAL!AU$8:AU$1696)</f>
        <v>41</v>
      </c>
      <c r="Z262" s="88">
        <f t="shared" si="40"/>
        <v>143</v>
      </c>
      <c r="AA262" s="116">
        <f>COUNTIFS(GERAL!B$8:B$1696,A262,GERAL!BK$8:BK$1696,"&gt;0",GERAL!C$8:C$1696,"ESCOLA")</f>
        <v>1</v>
      </c>
      <c r="AB262" s="88">
        <f>COUNTIFS(GERAL!B$8:B$1696,A262,GERAL!BK$8:BK$1696,"&gt;0",GERAL!C$8:C$1696,"ANEXO")</f>
        <v>0</v>
      </c>
      <c r="AC262" s="121">
        <f>SUMIF(GERAL!B$8:B$1696,A262,GERAL!AD$8:AD$1696)</f>
        <v>0</v>
      </c>
      <c r="AD262" s="121">
        <f>SUMIF(GERAL!B$8:B$1696,A262,GERAL!AI$8:AI$1696)</f>
        <v>180</v>
      </c>
      <c r="AE262" s="121">
        <f>SUMIF(GERAL!B$8:B$1696,A262,GERAL!AV$8:AV$1696)</f>
        <v>0</v>
      </c>
      <c r="AF262" s="492">
        <f t="shared" si="41"/>
        <v>180</v>
      </c>
      <c r="AG262" s="178">
        <f>COUNTIFS(GERAL!B$8:B$1696,A262,GERAL!AW$8:AW$1696,"&gt;0",GERAL!C$8:C$1696,"ESCOLA")</f>
        <v>1</v>
      </c>
      <c r="AH262" s="118">
        <f>COUNTIFS(GERAL!B$8:B$1696,A262,GERAL!AW$8:AW$1696,"&gt;0",GERAL!C$8:C$1696,"ANEXO")</f>
        <v>0</v>
      </c>
      <c r="AI262" s="177">
        <f>SUMIF(GERAL!B$8:B$1696,A262,GERAL!AS$8:AS$1696)+SUMIF(GERAL!B$8:B$1696,A262,GERAL!AT$8:AT$1696)</f>
        <v>90</v>
      </c>
      <c r="AJ262" s="177">
        <f>SUMIF(GERAL!B$8:B$1696,A262,GERAL!AU$8:AU$1696)</f>
        <v>41</v>
      </c>
      <c r="AK262" s="177">
        <f>SUMIF(GERAL!B$8:B$1696,A262,GERAL!AV$8:AV$1696)</f>
        <v>0</v>
      </c>
      <c r="AL262" s="118">
        <f t="shared" si="42"/>
        <v>131</v>
      </c>
      <c r="AM262" s="493" t="s">
        <v>973</v>
      </c>
    </row>
    <row r="263">
      <c r="A263" s="494" t="s">
        <v>7233</v>
      </c>
      <c r="B263" s="75">
        <f>COUNTIFS(GERAL!B$8:B$1696,A263,GERAL!C$8:C$1696,"ESCOLA")</f>
        <v>1</v>
      </c>
      <c r="C263" s="75">
        <f>COUNTIFS(GERAL!B$8:B$1696,A263,GERAL!C$8:C$1696,"ANEXO")</f>
        <v>3</v>
      </c>
      <c r="D263" s="85">
        <f>SUMIF(GERAL!B$8:B$1696,A263,GERAL!Z$8:Z$1696)</f>
        <v>0</v>
      </c>
      <c r="E263" s="85">
        <f>SUMIF(GERAL!B$8:B$1696,A263,GERAL!AE$8:AE$1696)</f>
        <v>0</v>
      </c>
      <c r="F263" s="85">
        <f>SUMIF(GERAL!B$8:B$1696,A263,GERAL!AJ$8:AJ$1696)</f>
        <v>415</v>
      </c>
      <c r="G263" s="85">
        <f>SUMIF(GERAL!B$8:B$1696,A263,GERAL!AN$8:AN$1696)</f>
        <v>0</v>
      </c>
      <c r="H263" s="85">
        <f>SUMIF(GERAL!B$8:B$1696,A263,GERAL!AR$8:AW$1696)</f>
        <v>90</v>
      </c>
      <c r="I263" s="85">
        <f>SUMIF(GERAL!B$8:B$1696,A263,GERAL!AW$8:AW$1696)</f>
        <v>33</v>
      </c>
      <c r="J263" s="75">
        <f>SUMIF(GERAL!B$8:B$1696,A263,GERAL!AX$8:AX$1696)</f>
        <v>538</v>
      </c>
      <c r="K263" s="75">
        <f>COUNTIFS(GERAL!B$8:B$1696,A263,GERAL!AY$8:AY$1696,"&gt;0",GERAL!C$8:C$1696,"ESCOLA")</f>
        <v>1</v>
      </c>
      <c r="L263" s="75">
        <f>COUNTIFS(GERAL!B$8:B$1696,A263,GERAL!AY$8:AY$1696,"&gt;0",GERAL!C$8:C$1696,"ANEXO")</f>
        <v>2</v>
      </c>
      <c r="M263" s="100">
        <f>SUMIF(GERAL!B$8:B$1696,A263,GERAL!V$8:V$1696)+SUMIF(GERAL!B$8:B$1696,A263,GERAL!W$8:W$1696)</f>
        <v>0</v>
      </c>
      <c r="N263" s="100">
        <f>SUMIF(GERAL!B$8:B$1696,A263,GERAL!AA$8:AA$1696)+SUMIF(GERAL!B$8:B$1696,A263,GERAL!AB$8:AB$1696)</f>
        <v>0</v>
      </c>
      <c r="O263" s="100">
        <f>SUMIF(GERAL!B$8:B$1696,A263,GERAL!AF$8:AF$1696)+SUMIF(GERAL!B$8:B$1696,A263,GERAL!AG$8:AG$1696)</f>
        <v>128</v>
      </c>
      <c r="P263" s="100">
        <f>SUMIF(GERAL!B$8:B$1696,A263,GERAL!AK$8:AK$1696)+SUMIF(GERAL!B$8:B$1696,A263,GERAL!AL$8:AL$1696)</f>
        <v>0</v>
      </c>
      <c r="Q263" s="100">
        <f>SUMIF(GERAL!B$8:B$1696,A263,GERAL!AO$8:AO$1696)+SUMIF(GERAL!B$8:B$1696,A263,GERAL!AP$8:AP$1696)</f>
        <v>0</v>
      </c>
      <c r="R263" s="100">
        <f>SUMIF(GERAL!B$8:B$1696,A263,GERAL!AS$8:AS$1696)+SUMIF(GERAL!B$8:B$1696,A263,GERAL!AT$8:AT$1696)</f>
        <v>0</v>
      </c>
      <c r="S263" s="75">
        <f t="shared" si="39"/>
        <v>128</v>
      </c>
      <c r="T263" s="116">
        <f>COUNTIFS(GERAL!B$8:B$1696,A263,GERAL!AZ$8:AZ$1696,"&gt;0",GERAL!C$8:C$1696,"ESCOLA")</f>
        <v>1</v>
      </c>
      <c r="U263" s="75">
        <f>COUNTIFS(GERAL!B$8:B$1696,A263,GERAL!AZ$8:AZ$1696,"&gt;0",GERAL!C$8:C$1696,"ANEXO")</f>
        <v>2</v>
      </c>
      <c r="V263" s="85">
        <f>SUMIF(GERAL!B$8:B$1696,A263,GERAL!AH$8:AH$1696)</f>
        <v>46</v>
      </c>
      <c r="W263" s="85">
        <f>SUMIF(GERAL!B$8:B$1696,A263,GERAL!AM$8:AM$1696)</f>
        <v>0</v>
      </c>
      <c r="X263" s="85">
        <f>SUMIF(GERAL!B$8:B$1696,A263,GERAL!AQ$8:AQ$1696)</f>
        <v>90</v>
      </c>
      <c r="Y263" s="85">
        <f>SUMIF(GERAL!B$8:B$1696,A263,GERAL!AU$8:AU$1696)</f>
        <v>33</v>
      </c>
      <c r="Z263" s="88">
        <f t="shared" si="40"/>
        <v>169</v>
      </c>
      <c r="AA263" s="116">
        <f>COUNTIFS(GERAL!B$8:B$1696,A263,GERAL!BK$8:BK$1696,"&gt;0",GERAL!C$8:C$1696,"ESCOLA")</f>
        <v>1</v>
      </c>
      <c r="AB263" s="88">
        <f>COUNTIFS(GERAL!B$8:B$1696,A263,GERAL!BK$8:BK$1696,"&gt;0",GERAL!C$8:C$1696,"ANEXO")</f>
        <v>0</v>
      </c>
      <c r="AC263" s="121">
        <f>SUMIF(GERAL!B$8:B$1696,A263,GERAL!AD$8:AD$1696)</f>
        <v>0</v>
      </c>
      <c r="AD263" s="121">
        <f>SUMIF(GERAL!B$8:B$1696,A263,GERAL!AI$8:AI$1696)</f>
        <v>241</v>
      </c>
      <c r="AE263" s="121">
        <f>SUMIF(GERAL!B$8:B$1696,A263,GERAL!AV$8:AV$1696)</f>
        <v>0</v>
      </c>
      <c r="AF263" s="492">
        <f t="shared" si="41"/>
        <v>241</v>
      </c>
      <c r="AG263" s="178">
        <f>COUNTIFS(GERAL!B$8:B$1696,A263,GERAL!AW$8:AW$1696,"&gt;0",GERAL!C$8:C$1696,"ESCOLA")</f>
        <v>1</v>
      </c>
      <c r="AH263" s="118">
        <f>COUNTIFS(GERAL!B$8:B$1696,A263,GERAL!AW$8:AW$1696,"&gt;0",GERAL!C$8:C$1696,"ANEXO")</f>
        <v>0</v>
      </c>
      <c r="AI263" s="177">
        <f>SUMIF(GERAL!B$8:B$1696,A263,GERAL!AS$8:AS$1696)+SUMIF(GERAL!B$8:B$1696,A263,GERAL!AT$8:AT$1696)</f>
        <v>0</v>
      </c>
      <c r="AJ263" s="177">
        <f>SUMIF(GERAL!B$8:B$1696,A263,GERAL!AU$8:AU$1696)</f>
        <v>33</v>
      </c>
      <c r="AK263" s="177">
        <f>SUMIF(GERAL!B$8:B$1696,A263,GERAL!AV$8:AV$1696)</f>
        <v>0</v>
      </c>
      <c r="AL263" s="118">
        <f t="shared" si="42"/>
        <v>33</v>
      </c>
      <c r="AM263" s="493" t="s">
        <v>1535</v>
      </c>
    </row>
    <row r="264">
      <c r="A264" s="484" t="s">
        <v>3701</v>
      </c>
      <c r="B264" s="75">
        <f>COUNTIFS(GERAL!B$8:B$1696,A264,GERAL!C$8:C$1696,"ESCOLA")</f>
        <v>1</v>
      </c>
      <c r="C264" s="75">
        <f>COUNTIFS(GERAL!B$8:B$1696,A264,GERAL!C$8:C$1696,"ANEXO")</f>
        <v>4</v>
      </c>
      <c r="D264" s="85">
        <f>SUMIF(GERAL!B$8:B$1696,A264,GERAL!Z$8:Z$1696)</f>
        <v>0</v>
      </c>
      <c r="E264" s="85">
        <f>SUMIF(GERAL!B$8:B$1696,A264,GERAL!AE$8:AE$1696)</f>
        <v>0</v>
      </c>
      <c r="F264" s="85">
        <f>SUMIF(GERAL!B$8:B$1696,A264,GERAL!AJ$8:AJ$1696)</f>
        <v>233</v>
      </c>
      <c r="G264" s="85">
        <f>SUMIF(GERAL!B$8:B$1696,A264,GERAL!AN$8:AN$1696)</f>
        <v>0</v>
      </c>
      <c r="H264" s="85">
        <f>SUMIF(GERAL!B$8:B$1696,A264,GERAL!AR$8:AW$1696)</f>
        <v>156</v>
      </c>
      <c r="I264" s="85">
        <f>SUMIF(GERAL!B$8:B$1696,A264,GERAL!AW$8:AW$1696)</f>
        <v>25</v>
      </c>
      <c r="J264" s="75">
        <f>SUMIF(GERAL!B$8:B$1696,A264,GERAL!AX$8:AX$1696)</f>
        <v>414</v>
      </c>
      <c r="K264" s="75">
        <f>COUNTIFS(GERAL!B$8:B$1696,A264,GERAL!AY$8:AY$1696,"&gt;0",GERAL!C$8:C$1696,"ESCOLA")</f>
        <v>1</v>
      </c>
      <c r="L264" s="75">
        <f>COUNTIFS(GERAL!B$8:B$1696,A264,GERAL!AY$8:AY$1696,"&gt;0",GERAL!C$8:C$1696,"ANEXO")</f>
        <v>1</v>
      </c>
      <c r="M264" s="100">
        <f>SUMIF(GERAL!B$8:B$1696,A264,GERAL!V$8:V$1696)+SUMIF(GERAL!B$8:B$1696,A264,GERAL!W$8:W$1696)</f>
        <v>0</v>
      </c>
      <c r="N264" s="100">
        <f>SUMIF(GERAL!B$8:B$1696,A264,GERAL!AA$8:AA$1696)+SUMIF(GERAL!B$8:B$1696,A264,GERAL!AB$8:AB$1696)</f>
        <v>0</v>
      </c>
      <c r="O264" s="100">
        <f>SUMIF(GERAL!B$8:B$1696,A264,GERAL!AF$8:AF$1696)+SUMIF(GERAL!B$8:B$1696,A264,GERAL!AG$8:AG$1696)</f>
        <v>35</v>
      </c>
      <c r="P264" s="100">
        <f>SUMIF(GERAL!B$8:B$1696,A264,GERAL!AK$8:AK$1696)+SUMIF(GERAL!B$8:B$1696,A264,GERAL!AL$8:AL$1696)</f>
        <v>0</v>
      </c>
      <c r="Q264" s="100">
        <f>SUMIF(GERAL!B$8:B$1696,A264,GERAL!AO$8:AO$1696)+SUMIF(GERAL!B$8:B$1696,A264,GERAL!AP$8:AP$1696)</f>
        <v>0</v>
      </c>
      <c r="R264" s="100">
        <f>SUMIF(GERAL!B$8:B$1696,A264,GERAL!AS$8:AS$1696)+SUMIF(GERAL!B$8:B$1696,A264,GERAL!AT$8:AT$1696)</f>
        <v>0</v>
      </c>
      <c r="S264" s="75">
        <f t="shared" si="39"/>
        <v>35</v>
      </c>
      <c r="T264" s="116">
        <f>COUNTIFS(GERAL!B$8:B$1696,A264,GERAL!AZ$8:AZ$1696,"&gt;0",GERAL!C$8:C$1696,"ESCOLA")</f>
        <v>1</v>
      </c>
      <c r="U264" s="75">
        <f>COUNTIFS(GERAL!B$8:B$1696,A264,GERAL!AZ$8:AZ$1696,"&gt;0",GERAL!C$8:C$1696,"ANEXO")</f>
        <v>3</v>
      </c>
      <c r="V264" s="85">
        <f>SUMIF(GERAL!B$8:B$1696,A264,GERAL!AH$8:AH$1696)</f>
        <v>0</v>
      </c>
      <c r="W264" s="85">
        <f>SUMIF(GERAL!B$8:B$1696,A264,GERAL!AM$8:AM$1696)</f>
        <v>0</v>
      </c>
      <c r="X264" s="85">
        <f>SUMIF(GERAL!B$8:B$1696,A264,GERAL!AQ$8:AQ$1696)</f>
        <v>156</v>
      </c>
      <c r="Y264" s="85">
        <f>SUMIF(GERAL!B$8:B$1696,A264,GERAL!AU$8:AU$1696)</f>
        <v>0</v>
      </c>
      <c r="Z264" s="88">
        <f t="shared" si="40"/>
        <v>156</v>
      </c>
      <c r="AA264" s="116">
        <f>COUNTIFS(GERAL!B$8:B$1696,A264,GERAL!BK$8:BK$1696,"&gt;0",GERAL!C$8:C$1696,"ESCOLA")</f>
        <v>1</v>
      </c>
      <c r="AB264" s="88">
        <f>COUNTIFS(GERAL!B$8:B$1696,A264,GERAL!BK$8:BK$1696,"&gt;0",GERAL!C$8:C$1696,"ANEXO")</f>
        <v>0</v>
      </c>
      <c r="AC264" s="121">
        <f>SUMIF(GERAL!B$8:B$1696,A264,GERAL!AD$8:AD$1696)</f>
        <v>0</v>
      </c>
      <c r="AD264" s="121">
        <f>SUMIF(GERAL!B$8:B$1696,A264,GERAL!AI$8:AI$1696)</f>
        <v>198</v>
      </c>
      <c r="AE264" s="121">
        <f>SUMIF(GERAL!B$8:B$1696,A264,GERAL!AV$8:AV$1696)</f>
        <v>25</v>
      </c>
      <c r="AF264" s="492">
        <f t="shared" si="41"/>
        <v>223</v>
      </c>
      <c r="AG264" s="178">
        <f>COUNTIFS(GERAL!B$8:B$1696,A264,GERAL!AW$8:AW$1696,"&gt;0",GERAL!C$8:C$1696,"ESCOLA")</f>
        <v>1</v>
      </c>
      <c r="AH264" s="118">
        <f>COUNTIFS(GERAL!B$8:B$1696,A264,GERAL!AW$8:AW$1696,"&gt;0",GERAL!C$8:C$1696,"ANEXO")</f>
        <v>0</v>
      </c>
      <c r="AI264" s="177">
        <f>SUMIF(GERAL!B$8:B$1696,A264,GERAL!AS$8:AS$1696)+SUMIF(GERAL!B$8:B$1696,A264,GERAL!AT$8:AT$1696)</f>
        <v>0</v>
      </c>
      <c r="AJ264" s="177">
        <f>SUMIF(GERAL!B$8:B$1696,A264,GERAL!AU$8:AU$1696)</f>
        <v>0</v>
      </c>
      <c r="AK264" s="177">
        <f>SUMIF(GERAL!B$8:B$1696,A264,GERAL!AV$8:AV$1696)</f>
        <v>25</v>
      </c>
      <c r="AL264" s="118">
        <f t="shared" si="42"/>
        <v>25</v>
      </c>
      <c r="AM264" s="493" t="s">
        <v>860</v>
      </c>
    </row>
    <row r="265">
      <c r="A265" s="494" t="s">
        <v>2269</v>
      </c>
      <c r="B265" s="75">
        <f>COUNTIFS(GERAL!B$8:B$1696,A265,GERAL!C$8:C$1696,"ESCOLA")</f>
        <v>1</v>
      </c>
      <c r="C265" s="75">
        <f>COUNTIFS(GERAL!B$8:B$1696,A265,GERAL!C$8:C$1696,"ANEXO")</f>
        <v>1</v>
      </c>
      <c r="D265" s="85">
        <f>SUMIF(GERAL!B$8:B$1696,A265,GERAL!Z$8:Z$1696)</f>
        <v>0</v>
      </c>
      <c r="E265" s="85">
        <f>SUMIF(GERAL!B$8:B$1696,A265,GERAL!AE$8:AE$1696)</f>
        <v>0</v>
      </c>
      <c r="F265" s="85">
        <f>SUMIF(GERAL!B$8:B$1696,A265,GERAL!AJ$8:AJ$1696)</f>
        <v>622</v>
      </c>
      <c r="G265" s="85">
        <f>SUMIF(GERAL!B$8:B$1696,A265,GERAL!AN$8:AN$1696)</f>
        <v>0</v>
      </c>
      <c r="H265" s="85">
        <f>SUMIF(GERAL!B$8:B$1696,A265,GERAL!AR$8:AW$1696)</f>
        <v>122</v>
      </c>
      <c r="I265" s="85">
        <f>SUMIF(GERAL!B$8:B$1696,A265,GERAL!AW$8:AW$1696)</f>
        <v>403</v>
      </c>
      <c r="J265" s="75">
        <f>SUMIF(GERAL!B$8:B$1696,A265,GERAL!AX$8:AX$1696)</f>
        <v>1147</v>
      </c>
      <c r="K265" s="75">
        <f>COUNTIFS(GERAL!B$8:B$1696,A265,GERAL!AY$8:AY$1696,"&gt;0",GERAL!C$8:C$1696,"ESCOLA")</f>
        <v>1</v>
      </c>
      <c r="L265" s="75">
        <f>COUNTIFS(GERAL!B$8:B$1696,A265,GERAL!AY$8:AY$1696,"&gt;0",GERAL!C$8:C$1696,"ANEXO")</f>
        <v>1</v>
      </c>
      <c r="M265" s="100">
        <f>SUMIF(GERAL!B$8:B$1696,A265,GERAL!V$8:V$1696)+SUMIF(GERAL!B$8:B$1696,A265,GERAL!W$8:W$1696)</f>
        <v>0</v>
      </c>
      <c r="N265" s="100">
        <f>SUMIF(GERAL!B$8:B$1696,A265,GERAL!AA$8:AA$1696)+SUMIF(GERAL!B$8:B$1696,A265,GERAL!AB$8:AB$1696)</f>
        <v>0</v>
      </c>
      <c r="O265" s="100">
        <f>SUMIF(GERAL!B$8:B$1696,A265,GERAL!AF$8:AF$1696)+SUMIF(GERAL!B$8:B$1696,A265,GERAL!AG$8:AG$1696)</f>
        <v>249</v>
      </c>
      <c r="P265" s="100">
        <f>SUMIF(GERAL!B$8:B$1696,A265,GERAL!AK$8:AK$1696)+SUMIF(GERAL!B$8:B$1696,A265,GERAL!AL$8:AL$1696)</f>
        <v>0</v>
      </c>
      <c r="Q265" s="100">
        <f>SUMIF(GERAL!B$8:B$1696,A265,GERAL!AO$8:AO$1696)+SUMIF(GERAL!B$8:B$1696,A265,GERAL!AP$8:AP$1696)</f>
        <v>0</v>
      </c>
      <c r="R265" s="100">
        <f>SUMIF(GERAL!B$8:B$1696,A265,GERAL!AS$8:AS$1696)+SUMIF(GERAL!B$8:B$1696,A265,GERAL!AT$8:AT$1696)</f>
        <v>302</v>
      </c>
      <c r="S265" s="75">
        <f t="shared" si="39"/>
        <v>551</v>
      </c>
      <c r="T265" s="116">
        <f>COUNTIFS(GERAL!B$8:B$1696,A265,GERAL!AZ$8:AZ$1696,"&gt;0",GERAL!C$8:C$1696,"ESCOLA")</f>
        <v>1</v>
      </c>
      <c r="U265" s="75">
        <f>COUNTIFS(GERAL!B$8:B$1696,A265,GERAL!AZ$8:AZ$1696,"&gt;0",GERAL!C$8:C$1696,"ANEXO")</f>
        <v>1</v>
      </c>
      <c r="V265" s="85">
        <f>SUMIF(GERAL!B$8:B$1696,A265,GERAL!AH$8:AH$1696)</f>
        <v>0</v>
      </c>
      <c r="W265" s="85">
        <f>SUMIF(GERAL!B$8:B$1696,A265,GERAL!AM$8:AM$1696)</f>
        <v>0</v>
      </c>
      <c r="X265" s="85">
        <f>SUMIF(GERAL!B$8:B$1696,A265,GERAL!AQ$8:AQ$1696)</f>
        <v>122</v>
      </c>
      <c r="Y265" s="85">
        <f>SUMIF(GERAL!B$8:B$1696,A265,GERAL!AU$8:AU$1696)</f>
        <v>101</v>
      </c>
      <c r="Z265" s="88">
        <f t="shared" si="40"/>
        <v>223</v>
      </c>
      <c r="AA265" s="116">
        <f>COUNTIFS(GERAL!B$8:B$1696,A265,GERAL!BK$8:BK$1696,"&gt;0",GERAL!C$8:C$1696,"ESCOLA")</f>
        <v>1</v>
      </c>
      <c r="AB265" s="88">
        <f>COUNTIFS(GERAL!B$8:B$1696,A265,GERAL!BK$8:BK$1696,"&gt;0",GERAL!C$8:C$1696,"ANEXO")</f>
        <v>0</v>
      </c>
      <c r="AC265" s="121">
        <f>SUMIF(GERAL!B$8:B$1696,A265,GERAL!AD$8:AD$1696)</f>
        <v>0</v>
      </c>
      <c r="AD265" s="121">
        <f>SUMIF(GERAL!B$8:B$1696,A265,GERAL!AI$8:AI$1696)</f>
        <v>373</v>
      </c>
      <c r="AE265" s="121">
        <f>SUMIF(GERAL!B$8:B$1696,A265,GERAL!AV$8:AV$1696)</f>
        <v>0</v>
      </c>
      <c r="AF265" s="492">
        <f t="shared" si="41"/>
        <v>373</v>
      </c>
      <c r="AG265" s="178">
        <f>COUNTIFS(GERAL!B$8:B$1696,A265,GERAL!AW$8:AW$1696,"&gt;0",GERAL!C$8:C$1696,"ESCOLA")</f>
        <v>1</v>
      </c>
      <c r="AH265" s="118">
        <f>COUNTIFS(GERAL!B$8:B$1696,A265,GERAL!AW$8:AW$1696,"&gt;0",GERAL!C$8:C$1696,"ANEXO")</f>
        <v>1</v>
      </c>
      <c r="AI265" s="177">
        <f>SUMIF(GERAL!B$8:B$1696,A265,GERAL!AS$8:AS$1696)+SUMIF(GERAL!B$8:B$1696,A265,GERAL!AT$8:AT$1696)</f>
        <v>302</v>
      </c>
      <c r="AJ265" s="177">
        <f>SUMIF(GERAL!B$8:B$1696,A265,GERAL!AU$8:AU$1696)</f>
        <v>101</v>
      </c>
      <c r="AK265" s="177">
        <f>SUMIF(GERAL!B$8:B$1696,A265,GERAL!AV$8:AV$1696)</f>
        <v>0</v>
      </c>
      <c r="AL265" s="118">
        <f t="shared" si="42"/>
        <v>403</v>
      </c>
      <c r="AM265" s="493" t="s">
        <v>723</v>
      </c>
    </row>
    <row r="266">
      <c r="A266" s="484" t="s">
        <v>6630</v>
      </c>
      <c r="B266" s="75">
        <f>COUNTIFS(GERAL!B$8:B$1696,A266,GERAL!C$8:C$1696,"ESCOLA")</f>
        <v>4</v>
      </c>
      <c r="C266" s="75">
        <f>COUNTIFS(GERAL!B$8:B$1696,A266,GERAL!C$8:C$1696,"ANEXO")</f>
        <v>0</v>
      </c>
      <c r="D266" s="85">
        <f>SUMIF(GERAL!B$8:B$1696,A266,GERAL!Z$8:Z$1696)</f>
        <v>0</v>
      </c>
      <c r="E266" s="85">
        <f>SUMIF(GERAL!B$8:B$1696,A266,GERAL!AE$8:AE$1696)</f>
        <v>0</v>
      </c>
      <c r="F266" s="85">
        <f>SUMIF(GERAL!B$8:B$1696,A266,GERAL!AJ$8:AJ$1696)</f>
        <v>962</v>
      </c>
      <c r="G266" s="85">
        <f>SUMIF(GERAL!B$8:B$1696,A266,GERAL!AN$8:AN$1696)</f>
        <v>0</v>
      </c>
      <c r="H266" s="85">
        <f>SUMIF(GERAL!B$8:B$1696,A266,GERAL!AR$8:AW$1696)</f>
        <v>193</v>
      </c>
      <c r="I266" s="85">
        <f>SUMIF(GERAL!B$8:B$1696,A266,GERAL!AW$8:AW$1696)</f>
        <v>286</v>
      </c>
      <c r="J266" s="75">
        <f>SUMIF(GERAL!B$8:B$1696,A266,GERAL!AX$8:AX$1696)</f>
        <v>1441</v>
      </c>
      <c r="K266" s="75">
        <f>COUNTIFS(GERAL!B$8:B$1696,A266,GERAL!AY$8:AY$1696,"&gt;0",GERAL!C$8:C$1696,"ESCOLA")</f>
        <v>4</v>
      </c>
      <c r="L266" s="75">
        <f>COUNTIFS(GERAL!B$8:B$1696,A266,GERAL!AY$8:AY$1696,"&gt;0",GERAL!C$8:C$1696,"ANEXO")</f>
        <v>0</v>
      </c>
      <c r="M266" s="100">
        <f>SUMIF(GERAL!B$8:B$1696,A266,GERAL!V$8:V$1696)+SUMIF(GERAL!B$8:B$1696,A266,GERAL!W$8:W$1696)</f>
        <v>0</v>
      </c>
      <c r="N266" s="100">
        <f>SUMIF(GERAL!B$8:B$1696,A266,GERAL!AA$8:AA$1696)+SUMIF(GERAL!B$8:B$1696,A266,GERAL!AB$8:AB$1696)</f>
        <v>0</v>
      </c>
      <c r="O266" s="100">
        <f>SUMIF(GERAL!B$8:B$1696,A266,GERAL!AF$8:AF$1696)+SUMIF(GERAL!B$8:B$1696,A266,GERAL!AG$8:AG$1696)</f>
        <v>482</v>
      </c>
      <c r="P266" s="100">
        <f>SUMIF(GERAL!B$8:B$1696,A266,GERAL!AK$8:AK$1696)+SUMIF(GERAL!B$8:B$1696,A266,GERAL!AL$8:AL$1696)</f>
        <v>0</v>
      </c>
      <c r="Q266" s="100">
        <f>SUMIF(GERAL!B$8:B$1696,A266,GERAL!AO$8:AO$1696)+SUMIF(GERAL!B$8:B$1696,A266,GERAL!AP$8:AP$1696)</f>
        <v>0</v>
      </c>
      <c r="R266" s="100">
        <f>SUMIF(GERAL!B$8:B$1696,A266,GERAL!AS$8:AS$1696)+SUMIF(GERAL!B$8:B$1696,A266,GERAL!AT$8:AT$1696)</f>
        <v>209</v>
      </c>
      <c r="S266" s="75">
        <f t="shared" si="39"/>
        <v>691</v>
      </c>
      <c r="T266" s="116">
        <f>COUNTIFS(GERAL!B$8:B$1696,A266,GERAL!AZ$8:AZ$1696,"&gt;0",GERAL!C$8:C$1696,"ESCOLA")</f>
        <v>4</v>
      </c>
      <c r="U266" s="75">
        <f>COUNTIFS(GERAL!B$8:B$1696,A266,GERAL!AZ$8:AZ$1696,"&gt;0",GERAL!C$8:C$1696,"ANEXO")</f>
        <v>0</v>
      </c>
      <c r="V266" s="85">
        <f>SUMIF(GERAL!B$8:B$1696,A266,GERAL!AH$8:AH$1696)</f>
        <v>0</v>
      </c>
      <c r="W266" s="85">
        <f>SUMIF(GERAL!B$8:B$1696,A266,GERAL!AM$8:AM$1696)</f>
        <v>0</v>
      </c>
      <c r="X266" s="85">
        <f>SUMIF(GERAL!B$8:B$1696,A266,GERAL!AQ$8:AQ$1696)</f>
        <v>193</v>
      </c>
      <c r="Y266" s="85">
        <f>SUMIF(GERAL!B$8:B$1696,A266,GERAL!AU$8:AU$1696)</f>
        <v>77</v>
      </c>
      <c r="Z266" s="88">
        <f t="shared" si="40"/>
        <v>270</v>
      </c>
      <c r="AA266" s="116">
        <f>COUNTIFS(GERAL!B$8:B$1696,A266,GERAL!BK$8:BK$1696,"&gt;0",GERAL!C$8:C$1696,"ESCOLA")</f>
        <v>2</v>
      </c>
      <c r="AB266" s="88">
        <f>COUNTIFS(GERAL!B$8:B$1696,A266,GERAL!BK$8:BK$1696,"&gt;0",GERAL!C$8:C$1696,"ANEXO")</f>
        <v>0</v>
      </c>
      <c r="AC266" s="121">
        <f>SUMIF(GERAL!B$8:B$1696,A266,GERAL!AD$8:AD$1696)</f>
        <v>0</v>
      </c>
      <c r="AD266" s="121">
        <f>SUMIF(GERAL!B$8:B$1696,A266,GERAL!AI$8:AI$1696)</f>
        <v>480</v>
      </c>
      <c r="AE266" s="121">
        <f>SUMIF(GERAL!B$8:B$1696,A266,GERAL!AV$8:AV$1696)</f>
        <v>0</v>
      </c>
      <c r="AF266" s="492">
        <f t="shared" si="41"/>
        <v>480</v>
      </c>
      <c r="AG266" s="178">
        <f>COUNTIFS(GERAL!B$8:B$1696,A266,GERAL!AW$8:AW$1696,"&gt;0",GERAL!C$8:C$1696,"ESCOLA")</f>
        <v>1</v>
      </c>
      <c r="AH266" s="118">
        <f>COUNTIFS(GERAL!B$8:B$1696,A266,GERAL!AW$8:AW$1696,"&gt;0",GERAL!C$8:C$1696,"ANEXO")</f>
        <v>0</v>
      </c>
      <c r="AI266" s="177">
        <f>SUMIF(GERAL!B$8:B$1696,A266,GERAL!AS$8:AS$1696)+SUMIF(GERAL!B$8:B$1696,A266,GERAL!AT$8:AT$1696)</f>
        <v>209</v>
      </c>
      <c r="AJ266" s="177">
        <f>SUMIF(GERAL!B$8:B$1696,A266,GERAL!AU$8:AU$1696)</f>
        <v>77</v>
      </c>
      <c r="AK266" s="177">
        <f>SUMIF(GERAL!B$8:B$1696,A266,GERAL!AV$8:AV$1696)</f>
        <v>0</v>
      </c>
      <c r="AL266" s="118">
        <f t="shared" si="42"/>
        <v>286</v>
      </c>
      <c r="AM266" s="493" t="s">
        <v>1463</v>
      </c>
    </row>
    <row r="267">
      <c r="A267" s="494" t="s">
        <v>1612</v>
      </c>
      <c r="B267" s="75">
        <f>COUNTIFS(GERAL!B$8:B$1696,A267,GERAL!C$8:C$1696,"ESCOLA")</f>
        <v>3</v>
      </c>
      <c r="C267" s="75">
        <f>COUNTIFS(GERAL!B$8:B$1696,A267,GERAL!C$8:C$1696,"ANEXO")</f>
        <v>0</v>
      </c>
      <c r="D267" s="85">
        <f>SUMIF(GERAL!B$8:B$1696,A267,GERAL!Z$8:Z$1696)</f>
        <v>0</v>
      </c>
      <c r="E267" s="85">
        <f>SUMIF(GERAL!B$8:B$1696,A267,GERAL!AE$8:AE$1696)</f>
        <v>0</v>
      </c>
      <c r="F267" s="85">
        <f>SUMIF(GERAL!B$8:B$1696,A267,GERAL!AJ$8:AJ$1696)</f>
        <v>352</v>
      </c>
      <c r="G267" s="85">
        <f>SUMIF(GERAL!B$8:B$1696,A267,GERAL!AN$8:AN$1696)</f>
        <v>0</v>
      </c>
      <c r="H267" s="85">
        <f>SUMIF(GERAL!B$8:B$1696,A267,GERAL!AR$8:AW$1696)</f>
        <v>98</v>
      </c>
      <c r="I267" s="85">
        <f>SUMIF(GERAL!B$8:B$1696,A267,GERAL!AW$8:AW$1696)</f>
        <v>314</v>
      </c>
      <c r="J267" s="75">
        <f>SUMIF(GERAL!B$8:B$1696,A267,GERAL!AX$8:AX$1696)</f>
        <v>764</v>
      </c>
      <c r="K267" s="75">
        <f>COUNTIFS(GERAL!B$8:B$1696,A267,GERAL!AY$8:AY$1696,"&gt;0",GERAL!C$8:C$1696,"ESCOLA")</f>
        <v>3</v>
      </c>
      <c r="L267" s="75">
        <f>COUNTIFS(GERAL!B$8:B$1696,A267,GERAL!AY$8:AY$1696,"&gt;0",GERAL!C$8:C$1696,"ANEXO")</f>
        <v>0</v>
      </c>
      <c r="M267" s="100">
        <f>SUMIF(GERAL!B$8:B$1696,A267,GERAL!V$8:V$1696)+SUMIF(GERAL!B$8:B$1696,A267,GERAL!W$8:W$1696)</f>
        <v>0</v>
      </c>
      <c r="N267" s="100">
        <f>SUMIF(GERAL!B$8:B$1696,A267,GERAL!AA$8:AA$1696)+SUMIF(GERAL!B$8:B$1696,A267,GERAL!AB$8:AB$1696)</f>
        <v>0</v>
      </c>
      <c r="O267" s="100">
        <f>SUMIF(GERAL!B$8:B$1696,A267,GERAL!AF$8:AF$1696)+SUMIF(GERAL!B$8:B$1696,A267,GERAL!AG$8:AG$1696)</f>
        <v>0</v>
      </c>
      <c r="P267" s="100">
        <f>SUMIF(GERAL!B$8:B$1696,A267,GERAL!AK$8:AK$1696)+SUMIF(GERAL!B$8:B$1696,A267,GERAL!AL$8:AL$1696)</f>
        <v>0</v>
      </c>
      <c r="Q267" s="100">
        <f>SUMIF(GERAL!B$8:B$1696,A267,GERAL!AO$8:AO$1696)+SUMIF(GERAL!B$8:B$1696,A267,GERAL!AP$8:AP$1696)</f>
        <v>0</v>
      </c>
      <c r="R267" s="100">
        <f>SUMIF(GERAL!B$8:B$1696,A267,GERAL!AS$8:AS$1696)+SUMIF(GERAL!B$8:B$1696,A267,GERAL!AT$8:AT$1696)</f>
        <v>242</v>
      </c>
      <c r="S267" s="75">
        <f t="shared" si="39"/>
        <v>242</v>
      </c>
      <c r="T267" s="116">
        <f>COUNTIFS(GERAL!B$8:B$1696,A267,GERAL!AZ$8:AZ$1696,"&gt;0",GERAL!C$8:C$1696,"ESCOLA")</f>
        <v>2</v>
      </c>
      <c r="U267" s="75">
        <f>COUNTIFS(GERAL!B$8:B$1696,A267,GERAL!AZ$8:AZ$1696,"&gt;0",GERAL!C$8:C$1696,"ANEXO")</f>
        <v>0</v>
      </c>
      <c r="V267" s="85">
        <f>SUMIF(GERAL!B$8:B$1696,A267,GERAL!AH$8:AH$1696)</f>
        <v>0</v>
      </c>
      <c r="W267" s="85">
        <f>SUMIF(GERAL!B$8:B$1696,A267,GERAL!AM$8:AM$1696)</f>
        <v>0</v>
      </c>
      <c r="X267" s="85">
        <f>SUMIF(GERAL!B$8:B$1696,A267,GERAL!AQ$8:AQ$1696)</f>
        <v>98</v>
      </c>
      <c r="Y267" s="85">
        <f>SUMIF(GERAL!B$8:B$1696,A267,GERAL!AU$8:AU$1696)</f>
        <v>72</v>
      </c>
      <c r="Z267" s="88">
        <f t="shared" si="40"/>
        <v>170</v>
      </c>
      <c r="AA267" s="116">
        <f>COUNTIFS(GERAL!B$8:B$1696,A267,GERAL!BK$8:BK$1696,"&gt;0",GERAL!C$8:C$1696,"ESCOLA")</f>
        <v>2</v>
      </c>
      <c r="AB267" s="88">
        <f>COUNTIFS(GERAL!B$8:B$1696,A267,GERAL!BK$8:BK$1696,"&gt;0",GERAL!C$8:C$1696,"ANEXO")</f>
        <v>0</v>
      </c>
      <c r="AC267" s="121">
        <f>SUMIF(GERAL!B$8:B$1696,A267,GERAL!AD$8:AD$1696)</f>
        <v>0</v>
      </c>
      <c r="AD267" s="121">
        <f>SUMIF(GERAL!B$8:B$1696,A267,GERAL!AI$8:AI$1696)</f>
        <v>352</v>
      </c>
      <c r="AE267" s="121">
        <f>SUMIF(GERAL!B$8:B$1696,A267,GERAL!AV$8:AV$1696)</f>
        <v>0</v>
      </c>
      <c r="AF267" s="492">
        <f t="shared" si="41"/>
        <v>352</v>
      </c>
      <c r="AG267" s="178">
        <f>COUNTIFS(GERAL!B$8:B$1696,A267,GERAL!AW$8:AW$1696,"&gt;0",GERAL!C$8:C$1696,"ESCOLA")</f>
        <v>1</v>
      </c>
      <c r="AH267" s="118">
        <f>COUNTIFS(GERAL!B$8:B$1696,A267,GERAL!AW$8:AW$1696,"&gt;0",GERAL!C$8:C$1696,"ANEXO")</f>
        <v>0</v>
      </c>
      <c r="AI267" s="177">
        <f>SUMIF(GERAL!B$8:B$1696,A267,GERAL!AS$8:AS$1696)+SUMIF(GERAL!B$8:B$1696,A267,GERAL!AT$8:AT$1696)</f>
        <v>242</v>
      </c>
      <c r="AJ267" s="177">
        <f>SUMIF(GERAL!B$8:B$1696,A267,GERAL!AU$8:AU$1696)</f>
        <v>72</v>
      </c>
      <c r="AK267" s="177">
        <f>SUMIF(GERAL!B$8:B$1696,A267,GERAL!AV$8:AV$1696)</f>
        <v>0</v>
      </c>
      <c r="AL267" s="118">
        <f t="shared" si="42"/>
        <v>314</v>
      </c>
      <c r="AM267" s="493" t="s">
        <v>451</v>
      </c>
    </row>
    <row r="268">
      <c r="A268" s="484" t="s">
        <v>910</v>
      </c>
      <c r="B268" s="75">
        <f>COUNTIFS(GERAL!B$8:B$1696,A268,GERAL!C$8:C$1696,"ESCOLA")</f>
        <v>1</v>
      </c>
      <c r="C268" s="75">
        <f>COUNTIFS(GERAL!B$8:B$1696,A268,GERAL!C$8:C$1696,"ANEXO")</f>
        <v>1</v>
      </c>
      <c r="D268" s="85">
        <f>SUMIF(GERAL!B$8:B$1696,A268,GERAL!Z$8:Z$1696)</f>
        <v>0</v>
      </c>
      <c r="E268" s="85">
        <f>SUMIF(GERAL!B$8:B$1696,A268,GERAL!AE$8:AE$1696)</f>
        <v>0</v>
      </c>
      <c r="F268" s="85">
        <f>SUMIF(GERAL!B$8:B$1696,A268,GERAL!AJ$8:AJ$1696)</f>
        <v>203</v>
      </c>
      <c r="G268" s="85">
        <f>SUMIF(GERAL!B$8:B$1696,A268,GERAL!AN$8:AN$1696)</f>
        <v>0</v>
      </c>
      <c r="H268" s="85">
        <f>SUMIF(GERAL!B$8:B$1696,A268,GERAL!AR$8:AW$1696)</f>
        <v>159</v>
      </c>
      <c r="I268" s="85">
        <f>SUMIF(GERAL!B$8:B$1696,A268,GERAL!AW$8:AW$1696)</f>
        <v>67</v>
      </c>
      <c r="J268" s="75">
        <f>SUMIF(GERAL!B$8:B$1696,A268,GERAL!AX$8:AX$1696)</f>
        <v>429</v>
      </c>
      <c r="K268" s="75">
        <f>COUNTIFS(GERAL!B$8:B$1696,A268,GERAL!AY$8:AY$1696,"&gt;0",GERAL!C$8:C$1696,"ESCOLA")</f>
        <v>1</v>
      </c>
      <c r="L268" s="75">
        <f>COUNTIFS(GERAL!B$8:B$1696,A268,GERAL!AY$8:AY$1696,"&gt;0",GERAL!C$8:C$1696,"ANEXO")</f>
        <v>0</v>
      </c>
      <c r="M268" s="100">
        <f>SUMIF(GERAL!B$8:B$1696,A268,GERAL!V$8:V$1696)+SUMIF(GERAL!B$8:B$1696,A268,GERAL!W$8:W$1696)</f>
        <v>0</v>
      </c>
      <c r="N268" s="100">
        <f>SUMIF(GERAL!B$8:B$1696,A268,GERAL!AA$8:AA$1696)+SUMIF(GERAL!B$8:B$1696,A268,GERAL!AB$8:AB$1696)</f>
        <v>0</v>
      </c>
      <c r="O268" s="100">
        <f>SUMIF(GERAL!B$8:B$1696,A268,GERAL!AF$8:AF$1696)+SUMIF(GERAL!B$8:B$1696,A268,GERAL!AG$8:AG$1696)</f>
        <v>0</v>
      </c>
      <c r="P268" s="100">
        <f>SUMIF(GERAL!B$8:B$1696,A268,GERAL!AK$8:AK$1696)+SUMIF(GERAL!B$8:B$1696,A268,GERAL!AL$8:AL$1696)</f>
        <v>0</v>
      </c>
      <c r="Q268" s="100">
        <f>SUMIF(GERAL!B$8:B$1696,A268,GERAL!AO$8:AO$1696)+SUMIF(GERAL!B$8:B$1696,A268,GERAL!AP$8:AP$1696)</f>
        <v>0</v>
      </c>
      <c r="R268" s="100">
        <f>SUMIF(GERAL!B$8:B$1696,A268,GERAL!AS$8:AS$1696)+SUMIF(GERAL!B$8:B$1696,A268,GERAL!AT$8:AT$1696)</f>
        <v>0</v>
      </c>
      <c r="S268" s="75">
        <f t="shared" si="39"/>
        <v>0</v>
      </c>
      <c r="T268" s="116">
        <f>COUNTIFS(GERAL!B$8:B$1696,A268,GERAL!AZ$8:AZ$1696,"&gt;0",GERAL!C$8:C$1696,"ESCOLA")</f>
        <v>1</v>
      </c>
      <c r="U268" s="75">
        <f>COUNTIFS(GERAL!B$8:B$1696,A268,GERAL!AZ$8:AZ$1696,"&gt;0",GERAL!C$8:C$1696,"ANEXO")</f>
        <v>1</v>
      </c>
      <c r="V268" s="85">
        <f>SUMIF(GERAL!B$8:B$1696,A268,GERAL!AH$8:AH$1696)</f>
        <v>0</v>
      </c>
      <c r="W268" s="85">
        <f>SUMIF(GERAL!B$8:B$1696,A268,GERAL!AM$8:AM$1696)</f>
        <v>0</v>
      </c>
      <c r="X268" s="85">
        <f>SUMIF(GERAL!B$8:B$1696,A268,GERAL!AQ$8:AQ$1696)</f>
        <v>159</v>
      </c>
      <c r="Y268" s="85">
        <f>SUMIF(GERAL!B$8:B$1696,A268,GERAL!AU$8:AU$1696)</f>
        <v>0</v>
      </c>
      <c r="Z268" s="88">
        <f t="shared" si="40"/>
        <v>159</v>
      </c>
      <c r="AA268" s="116">
        <f>COUNTIFS(GERAL!B$8:B$1696,A268,GERAL!BK$8:BK$1696,"&gt;0",GERAL!C$8:C$1696,"ESCOLA")</f>
        <v>1</v>
      </c>
      <c r="AB268" s="88">
        <f>COUNTIFS(GERAL!B$8:B$1696,A268,GERAL!BK$8:BK$1696,"&gt;0",GERAL!C$8:C$1696,"ANEXO")</f>
        <v>0</v>
      </c>
      <c r="AC268" s="121">
        <f>SUMIF(GERAL!B$8:B$1696,A268,GERAL!AD$8:AD$1696)</f>
        <v>0</v>
      </c>
      <c r="AD268" s="121">
        <f>SUMIF(GERAL!B$8:B$1696,A268,GERAL!AI$8:AI$1696)</f>
        <v>203</v>
      </c>
      <c r="AE268" s="121">
        <f>SUMIF(GERAL!B$8:B$1696,A268,GERAL!AV$8:AV$1696)</f>
        <v>67</v>
      </c>
      <c r="AF268" s="492">
        <f t="shared" si="41"/>
        <v>270</v>
      </c>
      <c r="AG268" s="178">
        <f>COUNTIFS(GERAL!B$8:B$1696,A268,GERAL!AW$8:AW$1696,"&gt;0",GERAL!C$8:C$1696,"ESCOLA")</f>
        <v>1</v>
      </c>
      <c r="AH268" s="118">
        <f>COUNTIFS(GERAL!B$8:B$1696,A268,GERAL!AW$8:AW$1696,"&gt;0",GERAL!C$8:C$1696,"ANEXO")</f>
        <v>0</v>
      </c>
      <c r="AI268" s="177">
        <f>SUMIF(GERAL!B$8:B$1696,A268,GERAL!AS$8:AS$1696)+SUMIF(GERAL!B$8:B$1696,A268,GERAL!AT$8:AT$1696)</f>
        <v>0</v>
      </c>
      <c r="AJ268" s="177">
        <f>SUMIF(GERAL!B$8:B$1696,A268,GERAL!AU$8:AU$1696)</f>
        <v>0</v>
      </c>
      <c r="AK268" s="177">
        <f>SUMIF(GERAL!B$8:B$1696,A268,GERAL!AV$8:AV$1696)</f>
        <v>67</v>
      </c>
      <c r="AL268" s="118">
        <f t="shared" si="42"/>
        <v>67</v>
      </c>
      <c r="AM268" s="493" t="s">
        <v>285</v>
      </c>
    </row>
    <row r="269">
      <c r="A269" s="494" t="s">
        <v>1625</v>
      </c>
      <c r="B269" s="75">
        <f>COUNTIFS(GERAL!B$8:B$1696,A269,GERAL!C$8:C$1696,"ESCOLA")</f>
        <v>2</v>
      </c>
      <c r="C269" s="75">
        <f>COUNTIFS(GERAL!B$8:B$1696,A269,GERAL!C$8:C$1696,"ANEXO")</f>
        <v>0</v>
      </c>
      <c r="D269" s="85">
        <f>SUMIF(GERAL!B$8:B$1696,A269,GERAL!Z$8:Z$1696)</f>
        <v>0</v>
      </c>
      <c r="E269" s="85">
        <f>SUMIF(GERAL!B$8:B$1696,A269,GERAL!AE$8:AE$1696)</f>
        <v>0</v>
      </c>
      <c r="F269" s="85">
        <f>SUMIF(GERAL!B$8:B$1696,A269,GERAL!AJ$8:AJ$1696)</f>
        <v>319</v>
      </c>
      <c r="G269" s="85">
        <f>SUMIF(GERAL!B$8:B$1696,A269,GERAL!AN$8:AN$1696)</f>
        <v>0</v>
      </c>
      <c r="H269" s="85">
        <f>SUMIF(GERAL!B$8:B$1696,A269,GERAL!AR$8:AW$1696)</f>
        <v>138</v>
      </c>
      <c r="I269" s="85">
        <f>SUMIF(GERAL!B$8:B$1696,A269,GERAL!AW$8:AW$1696)</f>
        <v>113</v>
      </c>
      <c r="J269" s="75">
        <f>SUMIF(GERAL!B$8:B$1696,A269,GERAL!AX$8:AX$1696)</f>
        <v>570</v>
      </c>
      <c r="K269" s="75">
        <f>COUNTIFS(GERAL!B$8:B$1696,A269,GERAL!AY$8:AY$1696,"&gt;0",GERAL!C$8:C$1696,"ESCOLA")</f>
        <v>2</v>
      </c>
      <c r="L269" s="75">
        <f>COUNTIFS(GERAL!B$8:B$1696,A269,GERAL!AY$8:AY$1696,"&gt;0",GERAL!C$8:C$1696,"ANEXO")</f>
        <v>0</v>
      </c>
      <c r="M269" s="100">
        <f>SUMIF(GERAL!B$8:B$1696,A269,GERAL!V$8:V$1696)+SUMIF(GERAL!B$8:B$1696,A269,GERAL!W$8:W$1696)</f>
        <v>0</v>
      </c>
      <c r="N269" s="100">
        <f>SUMIF(GERAL!B$8:B$1696,A269,GERAL!AA$8:AA$1696)+SUMIF(GERAL!B$8:B$1696,A269,GERAL!AB$8:AB$1696)</f>
        <v>0</v>
      </c>
      <c r="O269" s="100">
        <f>SUMIF(GERAL!B$8:B$1696,A269,GERAL!AF$8:AF$1696)+SUMIF(GERAL!B$8:B$1696,A269,GERAL!AG$8:AG$1696)</f>
        <v>188</v>
      </c>
      <c r="P269" s="100">
        <f>SUMIF(GERAL!B$8:B$1696,A269,GERAL!AK$8:AK$1696)+SUMIF(GERAL!B$8:B$1696,A269,GERAL!AL$8:AL$1696)</f>
        <v>0</v>
      </c>
      <c r="Q269" s="100">
        <f>SUMIF(GERAL!B$8:B$1696,A269,GERAL!AO$8:AO$1696)+SUMIF(GERAL!B$8:B$1696,A269,GERAL!AP$8:AP$1696)</f>
        <v>0</v>
      </c>
      <c r="R269" s="100">
        <f>SUMIF(GERAL!B$8:B$1696,A269,GERAL!AS$8:AS$1696)+SUMIF(GERAL!B$8:B$1696,A269,GERAL!AT$8:AT$1696)</f>
        <v>0</v>
      </c>
      <c r="S269" s="75">
        <f t="shared" si="39"/>
        <v>188</v>
      </c>
      <c r="T269" s="116">
        <f>COUNTIFS(GERAL!B$8:B$1696,A269,GERAL!AZ$8:AZ$1696,"&gt;0",GERAL!C$8:C$1696,"ESCOLA")</f>
        <v>2</v>
      </c>
      <c r="U269" s="75">
        <f>COUNTIFS(GERAL!B$8:B$1696,A269,GERAL!AZ$8:AZ$1696,"&gt;0",GERAL!C$8:C$1696,"ANEXO")</f>
        <v>0</v>
      </c>
      <c r="V269" s="85">
        <f>SUMIF(GERAL!B$8:B$1696,A269,GERAL!AH$8:AH$1696)</f>
        <v>0</v>
      </c>
      <c r="W269" s="85">
        <f>SUMIF(GERAL!B$8:B$1696,A269,GERAL!AM$8:AM$1696)</f>
        <v>0</v>
      </c>
      <c r="X269" s="85">
        <f>SUMIF(GERAL!B$8:B$1696,A269,GERAL!AQ$8:AQ$1696)</f>
        <v>138</v>
      </c>
      <c r="Y269" s="85">
        <f>SUMIF(GERAL!B$8:B$1696,A269,GERAL!AU$8:AU$1696)</f>
        <v>23</v>
      </c>
      <c r="Z269" s="88">
        <f t="shared" si="40"/>
        <v>161</v>
      </c>
      <c r="AA269" s="116">
        <f>COUNTIFS(GERAL!B$8:B$1696,A269,GERAL!BK$8:BK$1696,"&gt;0",GERAL!C$8:C$1696,"ESCOLA")</f>
        <v>2</v>
      </c>
      <c r="AB269" s="88">
        <f>COUNTIFS(GERAL!B$8:B$1696,A269,GERAL!BK$8:BK$1696,"&gt;0",GERAL!C$8:C$1696,"ANEXO")</f>
        <v>0</v>
      </c>
      <c r="AC269" s="121">
        <f>SUMIF(GERAL!B$8:B$1696,A269,GERAL!AD$8:AD$1696)</f>
        <v>0</v>
      </c>
      <c r="AD269" s="121">
        <f>SUMIF(GERAL!B$8:B$1696,A269,GERAL!AI$8:AI$1696)</f>
        <v>131</v>
      </c>
      <c r="AE269" s="121">
        <f>SUMIF(GERAL!B$8:B$1696,A269,GERAL!AV$8:AV$1696)</f>
        <v>90</v>
      </c>
      <c r="AF269" s="492">
        <f t="shared" si="41"/>
        <v>221</v>
      </c>
      <c r="AG269" s="178">
        <f>COUNTIFS(GERAL!B$8:B$1696,A269,GERAL!AW$8:AW$1696,"&gt;0",GERAL!C$8:C$1696,"ESCOLA")</f>
        <v>2</v>
      </c>
      <c r="AH269" s="118">
        <f>COUNTIFS(GERAL!B$8:B$1696,A269,GERAL!AW$8:AW$1696,"&gt;0",GERAL!C$8:C$1696,"ANEXO")</f>
        <v>0</v>
      </c>
      <c r="AI269" s="177">
        <f>SUMIF(GERAL!B$8:B$1696,A269,GERAL!AS$8:AS$1696)+SUMIF(GERAL!B$8:B$1696,A269,GERAL!AT$8:AT$1696)</f>
        <v>0</v>
      </c>
      <c r="AJ269" s="177">
        <f>SUMIF(GERAL!B$8:B$1696,A269,GERAL!AU$8:AU$1696)</f>
        <v>23</v>
      </c>
      <c r="AK269" s="177">
        <f>SUMIF(GERAL!B$8:B$1696,A269,GERAL!AV$8:AV$1696)</f>
        <v>90</v>
      </c>
      <c r="AL269" s="118">
        <f t="shared" si="42"/>
        <v>113</v>
      </c>
      <c r="AM269" s="493" t="s">
        <v>451</v>
      </c>
    </row>
    <row r="270">
      <c r="A270" s="484" t="s">
        <v>2378</v>
      </c>
      <c r="B270" s="75">
        <f>COUNTIFS(GERAL!B$8:B$1696,A270,GERAL!C$8:C$1696,"ESCOLA")</f>
        <v>2</v>
      </c>
      <c r="C270" s="75">
        <f>COUNTIFS(GERAL!B$8:B$1696,A270,GERAL!C$8:C$1696,"ANEXO")</f>
        <v>0</v>
      </c>
      <c r="D270" s="85">
        <f>SUMIF(GERAL!B$8:B$1696,A270,GERAL!Z$8:Z$1696)</f>
        <v>0</v>
      </c>
      <c r="E270" s="85">
        <f>SUMIF(GERAL!B$8:B$1696,A270,GERAL!AE$8:AE$1696)</f>
        <v>0</v>
      </c>
      <c r="F270" s="85">
        <f>SUMIF(GERAL!B$8:B$1696,A270,GERAL!AJ$8:AJ$1696)</f>
        <v>1359</v>
      </c>
      <c r="G270" s="85">
        <f>SUMIF(GERAL!B$8:B$1696,A270,GERAL!AN$8:AN$1696)</f>
        <v>0</v>
      </c>
      <c r="H270" s="85">
        <f>SUMIF(GERAL!B$8:B$1696,A270,GERAL!AR$8:AW$1696)</f>
        <v>326</v>
      </c>
      <c r="I270" s="85">
        <f>SUMIF(GERAL!B$8:B$1696,A270,GERAL!AW$8:AW$1696)</f>
        <v>17</v>
      </c>
      <c r="J270" s="75">
        <f>SUMIF(GERAL!B$8:B$1696,A270,GERAL!AX$8:AX$1696)</f>
        <v>1702</v>
      </c>
      <c r="K270" s="75">
        <f>COUNTIFS(GERAL!B$8:B$1696,A270,GERAL!AY$8:AY$1696,"&gt;0",GERAL!C$8:C$1696,"ESCOLA")</f>
        <v>2</v>
      </c>
      <c r="L270" s="75">
        <f>COUNTIFS(GERAL!B$8:B$1696,A270,GERAL!AY$8:AY$1696,"&gt;0",GERAL!C$8:C$1696,"ANEXO")</f>
        <v>0</v>
      </c>
      <c r="M270" s="100">
        <f>SUMIF(GERAL!B$8:B$1696,A270,GERAL!V$8:V$1696)+SUMIF(GERAL!B$8:B$1696,A270,GERAL!W$8:W$1696)</f>
        <v>0</v>
      </c>
      <c r="N270" s="100">
        <f>SUMIF(GERAL!B$8:B$1696,A270,GERAL!AA$8:AA$1696)+SUMIF(GERAL!B$8:B$1696,A270,GERAL!AB$8:AB$1696)</f>
        <v>0</v>
      </c>
      <c r="O270" s="100">
        <f>SUMIF(GERAL!B$8:B$1696,A270,GERAL!AF$8:AF$1696)+SUMIF(GERAL!B$8:B$1696,A270,GERAL!AG$8:AG$1696)</f>
        <v>509</v>
      </c>
      <c r="P270" s="100">
        <f>SUMIF(GERAL!B$8:B$1696,A270,GERAL!AK$8:AK$1696)+SUMIF(GERAL!B$8:B$1696,A270,GERAL!AL$8:AL$1696)</f>
        <v>0</v>
      </c>
      <c r="Q270" s="100">
        <f>SUMIF(GERAL!B$8:B$1696,A270,GERAL!AO$8:AO$1696)+SUMIF(GERAL!B$8:B$1696,A270,GERAL!AP$8:AP$1696)</f>
        <v>0</v>
      </c>
      <c r="R270" s="100">
        <f>SUMIF(GERAL!B$8:B$1696,A270,GERAL!AS$8:AS$1696)+SUMIF(GERAL!B$8:B$1696,A270,GERAL!AT$8:AT$1696)</f>
        <v>0</v>
      </c>
      <c r="S270" s="75">
        <f t="shared" si="39"/>
        <v>509</v>
      </c>
      <c r="T270" s="116">
        <f>COUNTIFS(GERAL!B$8:B$1696,A270,GERAL!AZ$8:AZ$1696,"&gt;0",GERAL!C$8:C$1696,"ESCOLA")</f>
        <v>2</v>
      </c>
      <c r="U270" s="75">
        <f>COUNTIFS(GERAL!B$8:B$1696,A270,GERAL!AZ$8:AZ$1696,"&gt;0",GERAL!C$8:C$1696,"ANEXO")</f>
        <v>0</v>
      </c>
      <c r="V270" s="85">
        <f>SUMIF(GERAL!B$8:B$1696,A270,GERAL!AH$8:AH$1696)</f>
        <v>0</v>
      </c>
      <c r="W270" s="85">
        <f>SUMIF(GERAL!B$8:B$1696,A270,GERAL!AM$8:AM$1696)</f>
        <v>0</v>
      </c>
      <c r="X270" s="85">
        <f>SUMIF(GERAL!B$8:B$1696,A270,GERAL!AQ$8:AQ$1696)</f>
        <v>326</v>
      </c>
      <c r="Y270" s="85">
        <f>SUMIF(GERAL!B$8:B$1696,A270,GERAL!AU$8:AU$1696)</f>
        <v>17</v>
      </c>
      <c r="Z270" s="88">
        <f t="shared" si="40"/>
        <v>343</v>
      </c>
      <c r="AA270" s="116">
        <f>COUNTIFS(GERAL!B$8:B$1696,A270,GERAL!BK$8:BK$1696,"&gt;0",GERAL!C$8:C$1696,"ESCOLA")</f>
        <v>2</v>
      </c>
      <c r="AB270" s="88">
        <f>COUNTIFS(GERAL!B$8:B$1696,A270,GERAL!BK$8:BK$1696,"&gt;0",GERAL!C$8:C$1696,"ANEXO")</f>
        <v>0</v>
      </c>
      <c r="AC270" s="121">
        <f>SUMIF(GERAL!B$8:B$1696,A270,GERAL!AD$8:AD$1696)</f>
        <v>0</v>
      </c>
      <c r="AD270" s="121">
        <f>SUMIF(GERAL!B$8:B$1696,A270,GERAL!AI$8:AI$1696)</f>
        <v>850</v>
      </c>
      <c r="AE270" s="121">
        <f>SUMIF(GERAL!B$8:B$1696,A270,GERAL!AV$8:AV$1696)</f>
        <v>0</v>
      </c>
      <c r="AF270" s="492">
        <f t="shared" si="41"/>
        <v>850</v>
      </c>
      <c r="AG270" s="178">
        <f>COUNTIFS(GERAL!B$8:B$1696,A270,GERAL!AW$8:AW$1696,"&gt;0",GERAL!C$8:C$1696,"ESCOLA")</f>
        <v>2</v>
      </c>
      <c r="AH270" s="118">
        <f>COUNTIFS(GERAL!B$8:B$1696,A270,GERAL!AW$8:AW$1696,"&gt;0",GERAL!C$8:C$1696,"ANEXO")</f>
        <v>0</v>
      </c>
      <c r="AI270" s="177">
        <f>SUMIF(GERAL!B$8:B$1696,A270,GERAL!AS$8:AS$1696)+SUMIF(GERAL!B$8:B$1696,A270,GERAL!AT$8:AT$1696)</f>
        <v>0</v>
      </c>
      <c r="AJ270" s="177">
        <f>SUMIF(GERAL!B$8:B$1696,A270,GERAL!AU$8:AU$1696)</f>
        <v>17</v>
      </c>
      <c r="AK270" s="177">
        <f>SUMIF(GERAL!B$8:B$1696,A270,GERAL!AV$8:AV$1696)</f>
        <v>0</v>
      </c>
      <c r="AL270" s="118">
        <f t="shared" si="42"/>
        <v>17</v>
      </c>
      <c r="AM270" s="493" t="s">
        <v>1785</v>
      </c>
    </row>
    <row r="271">
      <c r="A271" s="494" t="s">
        <v>627</v>
      </c>
      <c r="B271" s="75">
        <f>COUNTIFS(GERAL!B$8:B$1696,A271,GERAL!C$8:C$1696,"ESCOLA")</f>
        <v>1</v>
      </c>
      <c r="C271" s="75">
        <f>COUNTIFS(GERAL!B$8:B$1696,A271,GERAL!C$8:C$1696,"ANEXO")</f>
        <v>0</v>
      </c>
      <c r="D271" s="85">
        <f>SUMIF(GERAL!B$8:B$1696,A271,GERAL!Z$8:Z$1696)</f>
        <v>0</v>
      </c>
      <c r="E271" s="85">
        <f>SUMIF(GERAL!B$8:B$1696,A271,GERAL!AE$8:AE$1696)</f>
        <v>0</v>
      </c>
      <c r="F271" s="85">
        <f>SUMIF(GERAL!B$8:B$1696,A271,GERAL!AJ$8:AJ$1696)</f>
        <v>337</v>
      </c>
      <c r="G271" s="85">
        <f>SUMIF(GERAL!B$8:B$1696,A271,GERAL!AN$8:AN$1696)</f>
        <v>0</v>
      </c>
      <c r="H271" s="85">
        <f>SUMIF(GERAL!B$8:B$1696,A271,GERAL!AR$8:AW$1696)</f>
        <v>61</v>
      </c>
      <c r="I271" s="85">
        <f>SUMIF(GERAL!B$8:B$1696,A271,GERAL!AW$8:AW$1696)</f>
        <v>74</v>
      </c>
      <c r="J271" s="75">
        <f>SUMIF(GERAL!B$8:B$1696,A271,GERAL!AX$8:AX$1696)</f>
        <v>472</v>
      </c>
      <c r="K271" s="75">
        <f>COUNTIFS(GERAL!B$8:B$1696,A271,GERAL!AY$8:AY$1696,"&gt;0",GERAL!C$8:C$1696,"ESCOLA")</f>
        <v>1</v>
      </c>
      <c r="L271" s="75">
        <f>COUNTIFS(GERAL!B$8:B$1696,A271,GERAL!AY$8:AY$1696,"&gt;0",GERAL!C$8:C$1696,"ANEXO")</f>
        <v>0</v>
      </c>
      <c r="M271" s="100">
        <f>SUMIF(GERAL!B$8:B$1696,A271,GERAL!V$8:V$1696)+SUMIF(GERAL!B$8:B$1696,A271,GERAL!W$8:W$1696)</f>
        <v>0</v>
      </c>
      <c r="N271" s="100">
        <f>SUMIF(GERAL!B$8:B$1696,A271,GERAL!AA$8:AA$1696)+SUMIF(GERAL!B$8:B$1696,A271,GERAL!AB$8:AB$1696)</f>
        <v>0</v>
      </c>
      <c r="O271" s="100">
        <f>SUMIF(GERAL!B$8:B$1696,A271,GERAL!AF$8:AF$1696)+SUMIF(GERAL!B$8:B$1696,A271,GERAL!AG$8:AG$1696)</f>
        <v>254</v>
      </c>
      <c r="P271" s="100">
        <f>SUMIF(GERAL!B$8:B$1696,A271,GERAL!AK$8:AK$1696)+SUMIF(GERAL!B$8:B$1696,A271,GERAL!AL$8:AL$1696)</f>
        <v>0</v>
      </c>
      <c r="Q271" s="100">
        <f>SUMIF(GERAL!B$8:B$1696,A271,GERAL!AO$8:AO$1696)+SUMIF(GERAL!B$8:B$1696,A271,GERAL!AP$8:AP$1696)</f>
        <v>0</v>
      </c>
      <c r="R271" s="100">
        <f>SUMIF(GERAL!B$8:B$1696,A271,GERAL!AS$8:AS$1696)+SUMIF(GERAL!B$8:B$1696,A271,GERAL!AT$8:AT$1696)</f>
        <v>0</v>
      </c>
      <c r="S271" s="75">
        <f t="shared" si="39"/>
        <v>254</v>
      </c>
      <c r="T271" s="116">
        <f>COUNTIFS(GERAL!B$8:B$1696,A271,GERAL!AZ$8:AZ$1696,"&gt;0",GERAL!C$8:C$1696,"ESCOLA")</f>
        <v>1</v>
      </c>
      <c r="U271" s="75">
        <f>COUNTIFS(GERAL!B$8:B$1696,A271,GERAL!AZ$8:AZ$1696,"&gt;0",GERAL!C$8:C$1696,"ANEXO")</f>
        <v>0</v>
      </c>
      <c r="V271" s="85">
        <f>SUMIF(GERAL!B$8:B$1696,A271,GERAL!AH$8:AH$1696)</f>
        <v>0</v>
      </c>
      <c r="W271" s="85">
        <f>SUMIF(GERAL!B$8:B$1696,A271,GERAL!AM$8:AM$1696)</f>
        <v>0</v>
      </c>
      <c r="X271" s="85">
        <f>SUMIF(GERAL!B$8:B$1696,A271,GERAL!AQ$8:AQ$1696)</f>
        <v>61</v>
      </c>
      <c r="Y271" s="85">
        <f>SUMIF(GERAL!B$8:B$1696,A271,GERAL!AU$8:AU$1696)</f>
        <v>8</v>
      </c>
      <c r="Z271" s="88">
        <f t="shared" si="40"/>
        <v>69</v>
      </c>
      <c r="AA271" s="116">
        <f>COUNTIFS(GERAL!B$8:B$1696,A271,GERAL!BK$8:BK$1696,"&gt;0",GERAL!C$8:C$1696,"ESCOLA")</f>
        <v>1</v>
      </c>
      <c r="AB271" s="88">
        <f>COUNTIFS(GERAL!B$8:B$1696,A271,GERAL!BK$8:BK$1696,"&gt;0",GERAL!C$8:C$1696,"ANEXO")</f>
        <v>0</v>
      </c>
      <c r="AC271" s="121">
        <f>SUMIF(GERAL!B$8:B$1696,A271,GERAL!AD$8:AD$1696)</f>
        <v>0</v>
      </c>
      <c r="AD271" s="121">
        <f>SUMIF(GERAL!B$8:B$1696,A271,GERAL!AI$8:AI$1696)</f>
        <v>83</v>
      </c>
      <c r="AE271" s="121">
        <f>SUMIF(GERAL!B$8:B$1696,A271,GERAL!AV$8:AV$1696)</f>
        <v>66</v>
      </c>
      <c r="AF271" s="492">
        <f t="shared" si="41"/>
        <v>149</v>
      </c>
      <c r="AG271" s="178">
        <f>COUNTIFS(GERAL!B$8:B$1696,A271,GERAL!AW$8:AW$1696,"&gt;0",GERAL!C$8:C$1696,"ESCOLA")</f>
        <v>1</v>
      </c>
      <c r="AH271" s="118">
        <f>COUNTIFS(GERAL!B$8:B$1696,A271,GERAL!AW$8:AW$1696,"&gt;0",GERAL!C$8:C$1696,"ANEXO")</f>
        <v>0</v>
      </c>
      <c r="AI271" s="177">
        <f>SUMIF(GERAL!B$8:B$1696,A271,GERAL!AS$8:AS$1696)+SUMIF(GERAL!B$8:B$1696,A271,GERAL!AT$8:AT$1696)</f>
        <v>0</v>
      </c>
      <c r="AJ271" s="177">
        <f>SUMIF(GERAL!B$8:B$1696,A271,GERAL!AU$8:AU$1696)</f>
        <v>8</v>
      </c>
      <c r="AK271" s="177">
        <f>SUMIF(GERAL!B$8:B$1696,A271,GERAL!AV$8:AV$1696)</f>
        <v>66</v>
      </c>
      <c r="AL271" s="118">
        <f t="shared" si="42"/>
        <v>74</v>
      </c>
      <c r="AM271" s="493" t="s">
        <v>205</v>
      </c>
    </row>
    <row r="272">
      <c r="A272" s="484" t="s">
        <v>2053</v>
      </c>
      <c r="B272" s="75">
        <f>COUNTIFS(GERAL!B$8:B$1696,A272,GERAL!C$8:C$1696,"ESCOLA")</f>
        <v>1</v>
      </c>
      <c r="C272" s="75">
        <f>COUNTIFS(GERAL!B$8:B$1696,A272,GERAL!C$8:C$1696,"ANEXO")</f>
        <v>3</v>
      </c>
      <c r="D272" s="85">
        <f>SUMIF(GERAL!B$8:B$1696,A272,GERAL!Z$8:Z$1696)</f>
        <v>0</v>
      </c>
      <c r="E272" s="85">
        <f>SUMIF(GERAL!B$8:B$1696,A272,GERAL!AE$8:AE$1696)</f>
        <v>0</v>
      </c>
      <c r="F272" s="85">
        <f>SUMIF(GERAL!B$8:B$1696,A272,GERAL!AJ$8:AJ$1696)</f>
        <v>115</v>
      </c>
      <c r="G272" s="85">
        <f>SUMIF(GERAL!B$8:B$1696,A272,GERAL!AN$8:AN$1696)</f>
        <v>0</v>
      </c>
      <c r="H272" s="85">
        <f>SUMIF(GERAL!B$8:B$1696,A272,GERAL!AR$8:AW$1696)</f>
        <v>160</v>
      </c>
      <c r="I272" s="85">
        <f>SUMIF(GERAL!B$8:B$1696,A272,GERAL!AW$8:AW$1696)</f>
        <v>462</v>
      </c>
      <c r="J272" s="75">
        <f>SUMIF(GERAL!B$8:B$1696,A272,GERAL!AX$8:AX$1696)</f>
        <v>737</v>
      </c>
      <c r="K272" s="75">
        <f>COUNTIFS(GERAL!B$8:B$1696,A272,GERAL!AY$8:AY$1696,"&gt;0",GERAL!C$8:C$1696,"ESCOLA")</f>
        <v>1</v>
      </c>
      <c r="L272" s="75">
        <f>COUNTIFS(GERAL!B$8:B$1696,A272,GERAL!AY$8:AY$1696,"&gt;0",GERAL!C$8:C$1696,"ANEXO")</f>
        <v>0</v>
      </c>
      <c r="M272" s="100">
        <f>SUMIF(GERAL!B$8:B$1696,A272,GERAL!V$8:V$1696)+SUMIF(GERAL!B$8:B$1696,A272,GERAL!W$8:W$1696)</f>
        <v>0</v>
      </c>
      <c r="N272" s="100">
        <f>SUMIF(GERAL!B$8:B$1696,A272,GERAL!AA$8:AA$1696)+SUMIF(GERAL!B$8:B$1696,A272,GERAL!AB$8:AB$1696)</f>
        <v>0</v>
      </c>
      <c r="O272" s="100">
        <f>SUMIF(GERAL!B$8:B$1696,A272,GERAL!AF$8:AF$1696)+SUMIF(GERAL!B$8:B$1696,A272,GERAL!AG$8:AG$1696)</f>
        <v>0</v>
      </c>
      <c r="P272" s="100">
        <f>SUMIF(GERAL!B$8:B$1696,A272,GERAL!AK$8:AK$1696)+SUMIF(GERAL!B$8:B$1696,A272,GERAL!AL$8:AL$1696)</f>
        <v>0</v>
      </c>
      <c r="Q272" s="100">
        <f>SUMIF(GERAL!B$8:B$1696,A272,GERAL!AO$8:AO$1696)+SUMIF(GERAL!B$8:B$1696,A272,GERAL!AP$8:AP$1696)</f>
        <v>0</v>
      </c>
      <c r="R272" s="100">
        <f>SUMIF(GERAL!B$8:B$1696,A272,GERAL!AS$8:AS$1696)+SUMIF(GERAL!B$8:B$1696,A272,GERAL!AT$8:AT$1696)</f>
        <v>462</v>
      </c>
      <c r="S272" s="75">
        <f t="shared" si="39"/>
        <v>462</v>
      </c>
      <c r="T272" s="116">
        <f>COUNTIFS(GERAL!B$8:B$1696,A272,GERAL!AZ$8:AZ$1696,"&gt;0",GERAL!C$8:C$1696,"ESCOLA")</f>
        <v>1</v>
      </c>
      <c r="U272" s="75">
        <f>COUNTIFS(GERAL!B$8:B$1696,A272,GERAL!AZ$8:AZ$1696,"&gt;0",GERAL!C$8:C$1696,"ANEXO")</f>
        <v>3</v>
      </c>
      <c r="V272" s="85">
        <f>SUMIF(GERAL!B$8:B$1696,A272,GERAL!AH$8:AH$1696)</f>
        <v>20</v>
      </c>
      <c r="W272" s="85">
        <f>SUMIF(GERAL!B$8:B$1696,A272,GERAL!AM$8:AM$1696)</f>
        <v>0</v>
      </c>
      <c r="X272" s="85">
        <f>SUMIF(GERAL!B$8:B$1696,A272,GERAL!AQ$8:AQ$1696)</f>
        <v>160</v>
      </c>
      <c r="Y272" s="85">
        <f>SUMIF(GERAL!B$8:B$1696,A272,GERAL!AU$8:AU$1696)</f>
        <v>0</v>
      </c>
      <c r="Z272" s="88">
        <f t="shared" si="40"/>
        <v>180</v>
      </c>
      <c r="AA272" s="116">
        <f>COUNTIFS(GERAL!B$8:B$1696,A272,GERAL!BK$8:BK$1696,"&gt;0",GERAL!C$8:C$1696,"ESCOLA")</f>
        <v>1</v>
      </c>
      <c r="AB272" s="88">
        <f>COUNTIFS(GERAL!B$8:B$1696,A272,GERAL!BK$8:BK$1696,"&gt;0",GERAL!C$8:C$1696,"ANEXO")</f>
        <v>0</v>
      </c>
      <c r="AC272" s="121">
        <f>SUMIF(GERAL!B$8:B$1696,A272,GERAL!AD$8:AD$1696)</f>
        <v>0</v>
      </c>
      <c r="AD272" s="121">
        <f>SUMIF(GERAL!B$8:B$1696,A272,GERAL!AI$8:AI$1696)</f>
        <v>95</v>
      </c>
      <c r="AE272" s="121">
        <f>SUMIF(GERAL!B$8:B$1696,A272,GERAL!AV$8:AV$1696)</f>
        <v>0</v>
      </c>
      <c r="AF272" s="492">
        <f t="shared" si="41"/>
        <v>95</v>
      </c>
      <c r="AG272" s="178">
        <f>COUNTIFS(GERAL!B$8:B$1696,A272,GERAL!AW$8:AW$1696,"&gt;0",GERAL!C$8:C$1696,"ESCOLA")</f>
        <v>1</v>
      </c>
      <c r="AH272" s="118">
        <f>COUNTIFS(GERAL!B$8:B$1696,A272,GERAL!AW$8:AW$1696,"&gt;0",GERAL!C$8:C$1696,"ANEXO")</f>
        <v>0</v>
      </c>
      <c r="AI272" s="177">
        <f>SUMIF(GERAL!B$8:B$1696,A272,GERAL!AS$8:AS$1696)+SUMIF(GERAL!B$8:B$1696,A272,GERAL!AT$8:AT$1696)</f>
        <v>462</v>
      </c>
      <c r="AJ272" s="177">
        <f>SUMIF(GERAL!B$8:B$1696,A272,GERAL!AU$8:AU$1696)</f>
        <v>0</v>
      </c>
      <c r="AK272" s="177">
        <f>SUMIF(GERAL!B$8:B$1696,A272,GERAL!AV$8:AV$1696)</f>
        <v>0</v>
      </c>
      <c r="AL272" s="118">
        <f t="shared" si="42"/>
        <v>462</v>
      </c>
      <c r="AM272" s="493" t="s">
        <v>605</v>
      </c>
    </row>
    <row r="273">
      <c r="A273" s="494" t="s">
        <v>4859</v>
      </c>
      <c r="B273" s="75">
        <f>COUNTIFS(GERAL!B$8:B$1696,A273,GERAL!C$8:C$1696,"ESCOLA")</f>
        <v>2</v>
      </c>
      <c r="C273" s="75">
        <f>COUNTIFS(GERAL!B$8:B$1696,A273,GERAL!C$8:C$1696,"ANEXO")</f>
        <v>1</v>
      </c>
      <c r="D273" s="85">
        <f>SUMIF(GERAL!B$8:B$1696,A273,GERAL!Z$8:Z$1696)</f>
        <v>0</v>
      </c>
      <c r="E273" s="85">
        <f>SUMIF(GERAL!B$8:B$1696,A273,GERAL!AE$8:AE$1696)</f>
        <v>0</v>
      </c>
      <c r="F273" s="85">
        <f>SUMIF(GERAL!B$8:B$1696,A273,GERAL!AJ$8:AJ$1696)</f>
        <v>626</v>
      </c>
      <c r="G273" s="85">
        <f>SUMIF(GERAL!B$8:B$1696,A273,GERAL!AN$8:AN$1696)</f>
        <v>0</v>
      </c>
      <c r="H273" s="85">
        <f>SUMIF(GERAL!B$8:B$1696,A273,GERAL!AR$8:AW$1696)</f>
        <v>163</v>
      </c>
      <c r="I273" s="85">
        <f>SUMIF(GERAL!B$8:B$1696,A273,GERAL!AW$8:AW$1696)</f>
        <v>96</v>
      </c>
      <c r="J273" s="75">
        <f>SUMIF(GERAL!B$8:B$1696,A273,GERAL!AX$8:AX$1696)</f>
        <v>885</v>
      </c>
      <c r="K273" s="75">
        <f>COUNTIFS(GERAL!B$8:B$1696,A273,GERAL!AY$8:AY$1696,"&gt;0",GERAL!C$8:C$1696,"ESCOLA")</f>
        <v>2</v>
      </c>
      <c r="L273" s="75">
        <f>COUNTIFS(GERAL!B$8:B$1696,A273,GERAL!AY$8:AY$1696,"&gt;0",GERAL!C$8:C$1696,"ANEXO")</f>
        <v>1</v>
      </c>
      <c r="M273" s="100">
        <f>SUMIF(GERAL!B$8:B$1696,A273,GERAL!V$8:V$1696)+SUMIF(GERAL!B$8:B$1696,A273,GERAL!W$8:W$1696)</f>
        <v>0</v>
      </c>
      <c r="N273" s="100">
        <f>SUMIF(GERAL!B$8:B$1696,A273,GERAL!AA$8:AA$1696)+SUMIF(GERAL!B$8:B$1696,A273,GERAL!AB$8:AB$1696)</f>
        <v>0</v>
      </c>
      <c r="O273" s="100">
        <f>SUMIF(GERAL!B$8:B$1696,A273,GERAL!AF$8:AF$1696)+SUMIF(GERAL!B$8:B$1696,A273,GERAL!AG$8:AG$1696)</f>
        <v>52</v>
      </c>
      <c r="P273" s="100">
        <f>SUMIF(GERAL!B$8:B$1696,A273,GERAL!AK$8:AK$1696)+SUMIF(GERAL!B$8:B$1696,A273,GERAL!AL$8:AL$1696)</f>
        <v>0</v>
      </c>
      <c r="Q273" s="100">
        <f>SUMIF(GERAL!B$8:B$1696,A273,GERAL!AO$8:AO$1696)+SUMIF(GERAL!B$8:B$1696,A273,GERAL!AP$8:AP$1696)</f>
        <v>0</v>
      </c>
      <c r="R273" s="100">
        <f>SUMIF(GERAL!B$8:B$1696,A273,GERAL!AS$8:AS$1696)+SUMIF(GERAL!B$8:B$1696,A273,GERAL!AT$8:AT$1696)</f>
        <v>0</v>
      </c>
      <c r="S273" s="75">
        <f t="shared" si="39"/>
        <v>52</v>
      </c>
      <c r="T273" s="116">
        <f>COUNTIFS(GERAL!B$8:B$1696,A273,GERAL!AZ$8:AZ$1696,"&gt;0",GERAL!C$8:C$1696,"ESCOLA")</f>
        <v>2</v>
      </c>
      <c r="U273" s="75">
        <f>COUNTIFS(GERAL!B$8:B$1696,A273,GERAL!AZ$8:AZ$1696,"&gt;0",GERAL!C$8:C$1696,"ANEXO")</f>
        <v>0</v>
      </c>
      <c r="V273" s="85">
        <f>SUMIF(GERAL!B$8:B$1696,A273,GERAL!AH$8:AH$1696)</f>
        <v>0</v>
      </c>
      <c r="W273" s="85">
        <f>SUMIF(GERAL!B$8:B$1696,A273,GERAL!AM$8:AM$1696)</f>
        <v>0</v>
      </c>
      <c r="X273" s="85">
        <f>SUMIF(GERAL!B$8:B$1696,A273,GERAL!AQ$8:AQ$1696)</f>
        <v>163</v>
      </c>
      <c r="Y273" s="85">
        <f>SUMIF(GERAL!B$8:B$1696,A273,GERAL!AU$8:AU$1696)</f>
        <v>37</v>
      </c>
      <c r="Z273" s="88">
        <f t="shared" si="40"/>
        <v>200</v>
      </c>
      <c r="AA273" s="116">
        <f>COUNTIFS(GERAL!B$8:B$1696,A273,GERAL!BK$8:BK$1696,"&gt;0",GERAL!C$8:C$1696,"ESCOLA")</f>
        <v>2</v>
      </c>
      <c r="AB273" s="88">
        <f>COUNTIFS(GERAL!B$8:B$1696,A273,GERAL!BK$8:BK$1696,"&gt;0",GERAL!C$8:C$1696,"ANEXO")</f>
        <v>0</v>
      </c>
      <c r="AC273" s="121">
        <f>SUMIF(GERAL!B$8:B$1696,A273,GERAL!AD$8:AD$1696)</f>
        <v>0</v>
      </c>
      <c r="AD273" s="121">
        <f>SUMIF(GERAL!B$8:B$1696,A273,GERAL!AI$8:AI$1696)</f>
        <v>574</v>
      </c>
      <c r="AE273" s="121">
        <f>SUMIF(GERAL!B$8:B$1696,A273,GERAL!AV$8:AV$1696)</f>
        <v>59</v>
      </c>
      <c r="AF273" s="492">
        <f t="shared" si="41"/>
        <v>633</v>
      </c>
      <c r="AG273" s="178">
        <f>COUNTIFS(GERAL!B$8:B$1696,A273,GERAL!AW$8:AW$1696,"&gt;0",GERAL!C$8:C$1696,"ESCOLA")</f>
        <v>1</v>
      </c>
      <c r="AH273" s="118">
        <f>COUNTIFS(GERAL!B$8:B$1696,A273,GERAL!AW$8:AW$1696,"&gt;0",GERAL!C$8:C$1696,"ANEXO")</f>
        <v>0</v>
      </c>
      <c r="AI273" s="177">
        <f>SUMIF(GERAL!B$8:B$1696,A273,GERAL!AS$8:AS$1696)+SUMIF(GERAL!B$8:B$1696,A273,GERAL!AT$8:AT$1696)</f>
        <v>0</v>
      </c>
      <c r="AJ273" s="177">
        <f>SUMIF(GERAL!B$8:B$1696,A273,GERAL!AU$8:AU$1696)</f>
        <v>37</v>
      </c>
      <c r="AK273" s="177">
        <f>SUMIF(GERAL!B$8:B$1696,A273,GERAL!AV$8:AV$1696)</f>
        <v>59</v>
      </c>
      <c r="AL273" s="118">
        <f t="shared" si="42"/>
        <v>96</v>
      </c>
      <c r="AM273" s="493" t="s">
        <v>1161</v>
      </c>
    </row>
    <row r="274">
      <c r="A274" s="484" t="s">
        <v>2753</v>
      </c>
      <c r="B274" s="75">
        <f>COUNTIFS(GERAL!B$8:B$1696,A274,GERAL!C$8:C$1696,"ESCOLA")</f>
        <v>1</v>
      </c>
      <c r="C274" s="75">
        <f>COUNTIFS(GERAL!B$8:B$1696,A274,GERAL!C$8:C$1696,"ANEXO")</f>
        <v>0</v>
      </c>
      <c r="D274" s="85">
        <f>SUMIF(GERAL!B$8:B$1696,A274,GERAL!Z$8:Z$1696)</f>
        <v>0</v>
      </c>
      <c r="E274" s="85">
        <f>SUMIF(GERAL!B$8:B$1696,A274,GERAL!AE$8:AE$1696)</f>
        <v>0</v>
      </c>
      <c r="F274" s="85">
        <f>SUMIF(GERAL!B$8:B$1696,A274,GERAL!AJ$8:AJ$1696)</f>
        <v>237</v>
      </c>
      <c r="G274" s="85">
        <f>SUMIF(GERAL!B$8:B$1696,A274,GERAL!AN$8:AN$1696)</f>
        <v>0</v>
      </c>
      <c r="H274" s="85">
        <f>SUMIF(GERAL!B$8:B$1696,A274,GERAL!AR$8:AW$1696)</f>
        <v>148</v>
      </c>
      <c r="I274" s="85">
        <f>SUMIF(GERAL!B$8:B$1696,A274,GERAL!AW$8:AW$1696)</f>
        <v>86</v>
      </c>
      <c r="J274" s="75">
        <f>SUMIF(GERAL!B$8:B$1696,A274,GERAL!AX$8:AX$1696)</f>
        <v>471</v>
      </c>
      <c r="K274" s="75">
        <f>COUNTIFS(GERAL!B$8:B$1696,A274,GERAL!AY$8:AY$1696,"&gt;0",GERAL!C$8:C$1696,"ESCOLA")</f>
        <v>1</v>
      </c>
      <c r="L274" s="75">
        <f>COUNTIFS(GERAL!B$8:B$1696,A274,GERAL!AY$8:AY$1696,"&gt;0",GERAL!C$8:C$1696,"ANEXO")</f>
        <v>0</v>
      </c>
      <c r="M274" s="100">
        <f>SUMIF(GERAL!B$8:B$1696,A274,GERAL!V$8:V$1696)+SUMIF(GERAL!B$8:B$1696,A274,GERAL!W$8:W$1696)</f>
        <v>0</v>
      </c>
      <c r="N274" s="100">
        <f>SUMIF(GERAL!B$8:B$1696,A274,GERAL!AA$8:AA$1696)+SUMIF(GERAL!B$8:B$1696,A274,GERAL!AB$8:AB$1696)</f>
        <v>0</v>
      </c>
      <c r="O274" s="100">
        <f>SUMIF(GERAL!B$8:B$1696,A274,GERAL!AF$8:AF$1696)+SUMIF(GERAL!B$8:B$1696,A274,GERAL!AG$8:AG$1696)</f>
        <v>0</v>
      </c>
      <c r="P274" s="100">
        <f>SUMIF(GERAL!B$8:B$1696,A274,GERAL!AK$8:AK$1696)+SUMIF(GERAL!B$8:B$1696,A274,GERAL!AL$8:AL$1696)</f>
        <v>0</v>
      </c>
      <c r="Q274" s="100">
        <f>SUMIF(GERAL!B$8:B$1696,A274,GERAL!AO$8:AO$1696)+SUMIF(GERAL!B$8:B$1696,A274,GERAL!AP$8:AP$1696)</f>
        <v>0</v>
      </c>
      <c r="R274" s="100">
        <f>SUMIF(GERAL!B$8:B$1696,A274,GERAL!AS$8:AS$1696)+SUMIF(GERAL!B$8:B$1696,A274,GERAL!AT$8:AT$1696)</f>
        <v>0</v>
      </c>
      <c r="S274" s="75">
        <f t="shared" si="39"/>
        <v>0</v>
      </c>
      <c r="T274" s="116">
        <f>COUNTIFS(GERAL!B$8:B$1696,A274,GERAL!AZ$8:AZ$1696,"&gt;0",GERAL!C$8:C$1696,"ESCOLA")</f>
        <v>1</v>
      </c>
      <c r="U274" s="75">
        <f>COUNTIFS(GERAL!B$8:B$1696,A274,GERAL!AZ$8:AZ$1696,"&gt;0",GERAL!C$8:C$1696,"ANEXO")</f>
        <v>0</v>
      </c>
      <c r="V274" s="85">
        <f>SUMIF(GERAL!B$8:B$1696,A274,GERAL!AH$8:AH$1696)</f>
        <v>0</v>
      </c>
      <c r="W274" s="85">
        <f>SUMIF(GERAL!B$8:B$1696,A274,GERAL!AM$8:AM$1696)</f>
        <v>0</v>
      </c>
      <c r="X274" s="85">
        <f>SUMIF(GERAL!B$8:B$1696,A274,GERAL!AQ$8:AQ$1696)</f>
        <v>148</v>
      </c>
      <c r="Y274" s="85">
        <f>SUMIF(GERAL!B$8:B$1696,A274,GERAL!AU$8:AU$1696)</f>
        <v>0</v>
      </c>
      <c r="Z274" s="88">
        <f t="shared" si="40"/>
        <v>148</v>
      </c>
      <c r="AA274" s="116">
        <f>COUNTIFS(GERAL!B$8:B$1696,A274,GERAL!BK$8:BK$1696,"&gt;0",GERAL!C$8:C$1696,"ESCOLA")</f>
        <v>1</v>
      </c>
      <c r="AB274" s="88">
        <f>COUNTIFS(GERAL!B$8:B$1696,A274,GERAL!BK$8:BK$1696,"&gt;0",GERAL!C$8:C$1696,"ANEXO")</f>
        <v>0</v>
      </c>
      <c r="AC274" s="121">
        <f>SUMIF(GERAL!B$8:B$1696,A274,GERAL!AD$8:AD$1696)</f>
        <v>0</v>
      </c>
      <c r="AD274" s="121">
        <f>SUMIF(GERAL!B$8:B$1696,A274,GERAL!AI$8:AI$1696)</f>
        <v>237</v>
      </c>
      <c r="AE274" s="121">
        <f>SUMIF(GERAL!B$8:B$1696,A274,GERAL!AV$8:AV$1696)</f>
        <v>86</v>
      </c>
      <c r="AF274" s="492">
        <f t="shared" si="41"/>
        <v>323</v>
      </c>
      <c r="AG274" s="178">
        <f>COUNTIFS(GERAL!B$8:B$1696,A274,GERAL!AW$8:AW$1696,"&gt;0",GERAL!C$8:C$1696,"ESCOLA")</f>
        <v>1</v>
      </c>
      <c r="AH274" s="118">
        <f>COUNTIFS(GERAL!B$8:B$1696,A274,GERAL!AW$8:AW$1696,"&gt;0",GERAL!C$8:C$1696,"ANEXO")</f>
        <v>0</v>
      </c>
      <c r="AI274" s="177">
        <f>SUMIF(GERAL!B$8:B$1696,A274,GERAL!AS$8:AS$1696)+SUMIF(GERAL!B$8:B$1696,A274,GERAL!AT$8:AT$1696)</f>
        <v>0</v>
      </c>
      <c r="AJ274" s="177">
        <f>SUMIF(GERAL!B$8:B$1696,A274,GERAL!AU$8:AU$1696)</f>
        <v>0</v>
      </c>
      <c r="AK274" s="177">
        <f>SUMIF(GERAL!B$8:B$1696,A274,GERAL!AV$8:AV$1696)</f>
        <v>86</v>
      </c>
      <c r="AL274" s="118">
        <f t="shared" si="42"/>
        <v>86</v>
      </c>
      <c r="AM274" s="493" t="s">
        <v>723</v>
      </c>
    </row>
    <row r="275">
      <c r="A275" s="494" t="s">
        <v>4895</v>
      </c>
      <c r="B275" s="75">
        <f>COUNTIFS(GERAL!B$8:B$1696,A275,GERAL!C$8:C$1696,"ESCOLA")</f>
        <v>1</v>
      </c>
      <c r="C275" s="75">
        <f>COUNTIFS(GERAL!B$8:B$1696,A275,GERAL!C$8:C$1696,"ANEXO")</f>
        <v>4</v>
      </c>
      <c r="D275" s="85">
        <f>SUMIF(GERAL!B$8:B$1696,A275,GERAL!Z$8:Z$1696)</f>
        <v>0</v>
      </c>
      <c r="E275" s="85">
        <f>SUMIF(GERAL!B$8:B$1696,A275,GERAL!AE$8:AE$1696)</f>
        <v>0</v>
      </c>
      <c r="F275" s="85">
        <f>SUMIF(GERAL!B$8:B$1696,A275,GERAL!AJ$8:AJ$1696)</f>
        <v>348</v>
      </c>
      <c r="G275" s="85">
        <f>SUMIF(GERAL!B$8:B$1696,A275,GERAL!AN$8:AN$1696)</f>
        <v>0</v>
      </c>
      <c r="H275" s="85">
        <f>SUMIF(GERAL!B$8:B$1696,A275,GERAL!AR$8:AW$1696)</f>
        <v>46</v>
      </c>
      <c r="I275" s="85">
        <f>SUMIF(GERAL!B$8:B$1696,A275,GERAL!AW$8:AW$1696)</f>
        <v>114</v>
      </c>
      <c r="J275" s="75">
        <f>SUMIF(GERAL!B$8:B$1696,A275,GERAL!AX$8:AX$1696)</f>
        <v>508</v>
      </c>
      <c r="K275" s="75">
        <f>COUNTIFS(GERAL!B$8:B$1696,A275,GERAL!AY$8:AY$1696,"&gt;0",GERAL!C$8:C$1696,"ESCOLA")</f>
        <v>1</v>
      </c>
      <c r="L275" s="75">
        <f>COUNTIFS(GERAL!B$8:B$1696,A275,GERAL!AY$8:AY$1696,"&gt;0",GERAL!C$8:C$1696,"ANEXO")</f>
        <v>1</v>
      </c>
      <c r="M275" s="100">
        <f>SUMIF(GERAL!B$8:B$1696,A275,GERAL!V$8:V$1696)+SUMIF(GERAL!B$8:B$1696,A275,GERAL!W$8:W$1696)</f>
        <v>0</v>
      </c>
      <c r="N275" s="100">
        <f>SUMIF(GERAL!B$8:B$1696,A275,GERAL!AA$8:AA$1696)+SUMIF(GERAL!B$8:B$1696,A275,GERAL!AB$8:AB$1696)</f>
        <v>0</v>
      </c>
      <c r="O275" s="100">
        <f>SUMIF(GERAL!B$8:B$1696,A275,GERAL!AF$8:AF$1696)+SUMIF(GERAL!B$8:B$1696,A275,GERAL!AG$8:AG$1696)</f>
        <v>211</v>
      </c>
      <c r="P275" s="100">
        <f>SUMIF(GERAL!B$8:B$1696,A275,GERAL!AK$8:AK$1696)+SUMIF(GERAL!B$8:B$1696,A275,GERAL!AL$8:AL$1696)</f>
        <v>0</v>
      </c>
      <c r="Q275" s="100">
        <f>SUMIF(GERAL!B$8:B$1696,A275,GERAL!AO$8:AO$1696)+SUMIF(GERAL!B$8:B$1696,A275,GERAL!AP$8:AP$1696)</f>
        <v>0</v>
      </c>
      <c r="R275" s="100">
        <f>SUMIF(GERAL!B$8:B$1696,A275,GERAL!AS$8:AS$1696)+SUMIF(GERAL!B$8:B$1696,A275,GERAL!AT$8:AT$1696)</f>
        <v>0</v>
      </c>
      <c r="S275" s="75">
        <f t="shared" si="39"/>
        <v>211</v>
      </c>
      <c r="T275" s="116">
        <f>COUNTIFS(GERAL!B$8:B$1696,A275,GERAL!AZ$8:AZ$1696,"&gt;0",GERAL!C$8:C$1696,"ESCOLA")</f>
        <v>1</v>
      </c>
      <c r="U275" s="75">
        <f>COUNTIFS(GERAL!B$8:B$1696,A275,GERAL!AZ$8:AZ$1696,"&gt;0",GERAL!C$8:C$1696,"ANEXO")</f>
        <v>3</v>
      </c>
      <c r="V275" s="85">
        <f>SUMIF(GERAL!B$8:B$1696,A275,GERAL!AH$8:AH$1696)</f>
        <v>68</v>
      </c>
      <c r="W275" s="85">
        <f>SUMIF(GERAL!B$8:B$1696,A275,GERAL!AM$8:AM$1696)</f>
        <v>0</v>
      </c>
      <c r="X275" s="85">
        <f>SUMIF(GERAL!B$8:B$1696,A275,GERAL!AQ$8:AQ$1696)</f>
        <v>46</v>
      </c>
      <c r="Y275" s="85">
        <f>SUMIF(GERAL!B$8:B$1696,A275,GERAL!AU$8:AU$1696)</f>
        <v>15</v>
      </c>
      <c r="Z275" s="88">
        <f t="shared" si="40"/>
        <v>129</v>
      </c>
      <c r="AA275" s="116">
        <f>COUNTIFS(GERAL!B$8:B$1696,A275,GERAL!BK$8:BK$1696,"&gt;0",GERAL!C$8:C$1696,"ESCOLA")</f>
        <v>1</v>
      </c>
      <c r="AB275" s="88">
        <f>COUNTIFS(GERAL!B$8:B$1696,A275,GERAL!BK$8:BK$1696,"&gt;0",GERAL!C$8:C$1696,"ANEXO")</f>
        <v>0</v>
      </c>
      <c r="AC275" s="121">
        <f>SUMIF(GERAL!B$8:B$1696,A275,GERAL!AD$8:AD$1696)</f>
        <v>0</v>
      </c>
      <c r="AD275" s="121">
        <f>SUMIF(GERAL!B$8:B$1696,A275,GERAL!AI$8:AI$1696)</f>
        <v>69</v>
      </c>
      <c r="AE275" s="121">
        <f>SUMIF(GERAL!B$8:B$1696,A275,GERAL!AV$8:AV$1696)</f>
        <v>99</v>
      </c>
      <c r="AF275" s="492">
        <f t="shared" si="41"/>
        <v>168</v>
      </c>
      <c r="AG275" s="178">
        <f>COUNTIFS(GERAL!B$8:B$1696,A275,GERAL!AW$8:AW$1696,"&gt;0",GERAL!C$8:C$1696,"ESCOLA")</f>
        <v>1</v>
      </c>
      <c r="AH275" s="118">
        <f>COUNTIFS(GERAL!B$8:B$1696,A275,GERAL!AW$8:AW$1696,"&gt;0",GERAL!C$8:C$1696,"ANEXO")</f>
        <v>0</v>
      </c>
      <c r="AI275" s="177">
        <f>SUMIF(GERAL!B$8:B$1696,A275,GERAL!AS$8:AS$1696)+SUMIF(GERAL!B$8:B$1696,A275,GERAL!AT$8:AT$1696)</f>
        <v>0</v>
      </c>
      <c r="AJ275" s="177">
        <f>SUMIF(GERAL!B$8:B$1696,A275,GERAL!AU$8:AU$1696)</f>
        <v>15</v>
      </c>
      <c r="AK275" s="177">
        <f>SUMIF(GERAL!B$8:B$1696,A275,GERAL!AV$8:AV$1696)</f>
        <v>99</v>
      </c>
      <c r="AL275" s="118">
        <f t="shared" si="42"/>
        <v>114</v>
      </c>
      <c r="AM275" s="493" t="s">
        <v>1161</v>
      </c>
    </row>
    <row r="276">
      <c r="A276" s="484" t="s">
        <v>6301</v>
      </c>
      <c r="B276" s="75">
        <f>COUNTIFS(GERAL!B$8:B$1696,A276,GERAL!C$8:C$1696,"ESCOLA")</f>
        <v>1</v>
      </c>
      <c r="C276" s="75">
        <f>COUNTIFS(GERAL!B$8:B$1696,A276,GERAL!C$8:C$1696,"ANEXO")</f>
        <v>0</v>
      </c>
      <c r="D276" s="85">
        <f>SUMIF(GERAL!B$8:B$1696,A276,GERAL!Z$8:Z$1696)</f>
        <v>0</v>
      </c>
      <c r="E276" s="85">
        <f>SUMIF(GERAL!B$8:B$1696,A276,GERAL!AE$8:AE$1696)</f>
        <v>0</v>
      </c>
      <c r="F276" s="85">
        <f>SUMIF(GERAL!B$8:B$1696,A276,GERAL!AJ$8:AJ$1696)</f>
        <v>163</v>
      </c>
      <c r="G276" s="85">
        <f>SUMIF(GERAL!B$8:B$1696,A276,GERAL!AN$8:AN$1696)</f>
        <v>0</v>
      </c>
      <c r="H276" s="85">
        <f>SUMIF(GERAL!B$8:B$1696,A276,GERAL!AR$8:AW$1696)</f>
        <v>43</v>
      </c>
      <c r="I276" s="85">
        <f>SUMIF(GERAL!B$8:B$1696,A276,GERAL!AW$8:AW$1696)</f>
        <v>55</v>
      </c>
      <c r="J276" s="75">
        <f>SUMIF(GERAL!B$8:B$1696,A276,GERAL!AX$8:AX$1696)</f>
        <v>261</v>
      </c>
      <c r="K276" s="75">
        <f>COUNTIFS(GERAL!B$8:B$1696,A276,GERAL!AY$8:AY$1696,"&gt;0",GERAL!C$8:C$1696,"ESCOLA")</f>
        <v>1</v>
      </c>
      <c r="L276" s="75">
        <f>COUNTIFS(GERAL!B$8:B$1696,A276,GERAL!AY$8:AY$1696,"&gt;0",GERAL!C$8:C$1696,"ANEXO")</f>
        <v>0</v>
      </c>
      <c r="M276" s="100">
        <f>SUMIF(GERAL!B$8:B$1696,A276,GERAL!V$8:V$1696)+SUMIF(GERAL!B$8:B$1696,A276,GERAL!W$8:W$1696)</f>
        <v>0</v>
      </c>
      <c r="N276" s="100">
        <f>SUMIF(GERAL!B$8:B$1696,A276,GERAL!AA$8:AA$1696)+SUMIF(GERAL!B$8:B$1696,A276,GERAL!AB$8:AB$1696)</f>
        <v>0</v>
      </c>
      <c r="O276" s="100">
        <f>SUMIF(GERAL!B$8:B$1696,A276,GERAL!AF$8:AF$1696)+SUMIF(GERAL!B$8:B$1696,A276,GERAL!AG$8:AG$1696)</f>
        <v>90</v>
      </c>
      <c r="P276" s="100">
        <f>SUMIF(GERAL!B$8:B$1696,A276,GERAL!AK$8:AK$1696)+SUMIF(GERAL!B$8:B$1696,A276,GERAL!AL$8:AL$1696)</f>
        <v>0</v>
      </c>
      <c r="Q276" s="100">
        <f>SUMIF(GERAL!B$8:B$1696,A276,GERAL!AO$8:AO$1696)+SUMIF(GERAL!B$8:B$1696,A276,GERAL!AP$8:AP$1696)</f>
        <v>0</v>
      </c>
      <c r="R276" s="100">
        <f>SUMIF(GERAL!B$8:B$1696,A276,GERAL!AS$8:AS$1696)+SUMIF(GERAL!B$8:B$1696,A276,GERAL!AT$8:AT$1696)</f>
        <v>0</v>
      </c>
      <c r="S276" s="75">
        <f t="shared" si="39"/>
        <v>90</v>
      </c>
      <c r="T276" s="116">
        <f>COUNTIFS(GERAL!B$8:B$1696,A276,GERAL!AZ$8:AZ$1696,"&gt;0",GERAL!C$8:C$1696,"ESCOLA")</f>
        <v>1</v>
      </c>
      <c r="U276" s="75">
        <f>COUNTIFS(GERAL!B$8:B$1696,A276,GERAL!AZ$8:AZ$1696,"&gt;0",GERAL!C$8:C$1696,"ANEXO")</f>
        <v>0</v>
      </c>
      <c r="V276" s="85">
        <f>SUMIF(GERAL!B$8:B$1696,A276,GERAL!AH$8:AH$1696)</f>
        <v>0</v>
      </c>
      <c r="W276" s="85">
        <f>SUMIF(GERAL!B$8:B$1696,A276,GERAL!AM$8:AM$1696)</f>
        <v>0</v>
      </c>
      <c r="X276" s="85">
        <f>SUMIF(GERAL!B$8:B$1696,A276,GERAL!AQ$8:AQ$1696)</f>
        <v>43</v>
      </c>
      <c r="Y276" s="85">
        <f>SUMIF(GERAL!B$8:B$1696,A276,GERAL!AU$8:AU$1696)</f>
        <v>0</v>
      </c>
      <c r="Z276" s="88">
        <f t="shared" si="40"/>
        <v>43</v>
      </c>
      <c r="AA276" s="116">
        <f>COUNTIFS(GERAL!B$8:B$1696,A276,GERAL!BK$8:BK$1696,"&gt;0",GERAL!C$8:C$1696,"ESCOLA")</f>
        <v>1</v>
      </c>
      <c r="AB276" s="88">
        <f>COUNTIFS(GERAL!B$8:B$1696,A276,GERAL!BK$8:BK$1696,"&gt;0",GERAL!C$8:C$1696,"ANEXO")</f>
        <v>0</v>
      </c>
      <c r="AC276" s="121">
        <f>SUMIF(GERAL!B$8:B$1696,A276,GERAL!AD$8:AD$1696)</f>
        <v>0</v>
      </c>
      <c r="AD276" s="121">
        <f>SUMIF(GERAL!B$8:B$1696,A276,GERAL!AI$8:AI$1696)</f>
        <v>73</v>
      </c>
      <c r="AE276" s="121">
        <f>SUMIF(GERAL!B$8:B$1696,A276,GERAL!AV$8:AV$1696)</f>
        <v>55</v>
      </c>
      <c r="AF276" s="492">
        <f t="shared" si="41"/>
        <v>128</v>
      </c>
      <c r="AG276" s="178">
        <f>COUNTIFS(GERAL!B$8:B$1696,A276,GERAL!AW$8:AW$1696,"&gt;0",GERAL!C$8:C$1696,"ESCOLA")</f>
        <v>1</v>
      </c>
      <c r="AH276" s="118">
        <f>COUNTIFS(GERAL!B$8:B$1696,A276,GERAL!AW$8:AW$1696,"&gt;0",GERAL!C$8:C$1696,"ANEXO")</f>
        <v>0</v>
      </c>
      <c r="AI276" s="177">
        <f>SUMIF(GERAL!B$8:B$1696,A276,GERAL!AS$8:AS$1696)+SUMIF(GERAL!B$8:B$1696,A276,GERAL!AT$8:AT$1696)</f>
        <v>0</v>
      </c>
      <c r="AJ276" s="177">
        <f>SUMIF(GERAL!B$8:B$1696,A276,GERAL!AU$8:AU$1696)</f>
        <v>0</v>
      </c>
      <c r="AK276" s="177">
        <f>SUMIF(GERAL!B$8:B$1696,A276,GERAL!AV$8:AV$1696)</f>
        <v>55</v>
      </c>
      <c r="AL276" s="118">
        <f t="shared" si="42"/>
        <v>55</v>
      </c>
      <c r="AM276" s="493" t="s">
        <v>1393</v>
      </c>
    </row>
    <row r="277">
      <c r="A277" s="494" t="s">
        <v>1207</v>
      </c>
      <c r="B277" s="75">
        <f>COUNTIFS(GERAL!B$8:B$1696,A277,GERAL!C$8:C$1696,"ESCOLA")</f>
        <v>2</v>
      </c>
      <c r="C277" s="75">
        <f>COUNTIFS(GERAL!B$8:B$1696,A277,GERAL!C$8:C$1696,"ANEXO")</f>
        <v>1</v>
      </c>
      <c r="D277" s="85">
        <f>SUMIF(GERAL!B$8:B$1696,A277,GERAL!Z$8:Z$1696)</f>
        <v>0</v>
      </c>
      <c r="E277" s="85">
        <f>SUMIF(GERAL!B$8:B$1696,A277,GERAL!AE$8:AE$1696)</f>
        <v>29</v>
      </c>
      <c r="F277" s="85">
        <f>SUMIF(GERAL!B$8:B$1696,A277,GERAL!AJ$8:AJ$1696)</f>
        <v>1541</v>
      </c>
      <c r="G277" s="85">
        <f>SUMIF(GERAL!B$8:B$1696,A277,GERAL!AN$8:AN$1696)</f>
        <v>0</v>
      </c>
      <c r="H277" s="85">
        <f>SUMIF(GERAL!B$8:B$1696,A277,GERAL!AR$8:AW$1696)</f>
        <v>116</v>
      </c>
      <c r="I277" s="85">
        <f>SUMIF(GERAL!B$8:B$1696,A277,GERAL!AW$8:AW$1696)</f>
        <v>117</v>
      </c>
      <c r="J277" s="75">
        <f>SUMIF(GERAL!B$8:B$1696,A277,GERAL!AX$8:AX$1696)</f>
        <v>1803</v>
      </c>
      <c r="K277" s="75">
        <f>COUNTIFS(GERAL!B$8:B$1696,A277,GERAL!AY$8:AY$1696,"&gt;0",GERAL!C$8:C$1696,"ESCOLA")</f>
        <v>2</v>
      </c>
      <c r="L277" s="75">
        <f>COUNTIFS(GERAL!B$8:B$1696,A277,GERAL!AY$8:AY$1696,"&gt;0",GERAL!C$8:C$1696,"ANEXO")</f>
        <v>0</v>
      </c>
      <c r="M277" s="100">
        <f>SUMIF(GERAL!B$8:B$1696,A277,GERAL!V$8:V$1696)+SUMIF(GERAL!B$8:B$1696,A277,GERAL!W$8:W$1696)</f>
        <v>0</v>
      </c>
      <c r="N277" s="100">
        <f>SUMIF(GERAL!B$8:B$1696,A277,GERAL!AA$8:AA$1696)+SUMIF(GERAL!B$8:B$1696,A277,GERAL!AB$8:AB$1696)</f>
        <v>0</v>
      </c>
      <c r="O277" s="100">
        <f>SUMIF(GERAL!B$8:B$1696,A277,GERAL!AF$8:AF$1696)+SUMIF(GERAL!B$8:B$1696,A277,GERAL!AG$8:AG$1696)</f>
        <v>908</v>
      </c>
      <c r="P277" s="100">
        <f>SUMIF(GERAL!B$8:B$1696,A277,GERAL!AK$8:AK$1696)+SUMIF(GERAL!B$8:B$1696,A277,GERAL!AL$8:AL$1696)</f>
        <v>0</v>
      </c>
      <c r="Q277" s="100">
        <f>SUMIF(GERAL!B$8:B$1696,A277,GERAL!AO$8:AO$1696)+SUMIF(GERAL!B$8:B$1696,A277,GERAL!AP$8:AP$1696)</f>
        <v>0</v>
      </c>
      <c r="R277" s="100">
        <f>SUMIF(GERAL!B$8:B$1696,A277,GERAL!AS$8:AS$1696)+SUMIF(GERAL!B$8:B$1696,A277,GERAL!AT$8:AT$1696)</f>
        <v>0</v>
      </c>
      <c r="S277" s="75">
        <f t="shared" si="39"/>
        <v>908</v>
      </c>
      <c r="T277" s="116">
        <f>COUNTIFS(GERAL!B$8:B$1696,A277,GERAL!AZ$8:AZ$1696,"&gt;0",GERAL!C$8:C$1696,"ESCOLA")</f>
        <v>2</v>
      </c>
      <c r="U277" s="75">
        <f>COUNTIFS(GERAL!B$8:B$1696,A277,GERAL!AZ$8:AZ$1696,"&gt;0",GERAL!C$8:C$1696,"ANEXO")</f>
        <v>0</v>
      </c>
      <c r="V277" s="85">
        <f>SUMIF(GERAL!B$8:B$1696,A277,GERAL!AH$8:AH$1696)</f>
        <v>0</v>
      </c>
      <c r="W277" s="85">
        <f>SUMIF(GERAL!B$8:B$1696,A277,GERAL!AM$8:AM$1696)</f>
        <v>0</v>
      </c>
      <c r="X277" s="85">
        <f>SUMIF(GERAL!B$8:B$1696,A277,GERAL!AQ$8:AQ$1696)</f>
        <v>116</v>
      </c>
      <c r="Y277" s="85">
        <f>SUMIF(GERAL!B$8:B$1696,A277,GERAL!AU$8:AU$1696)</f>
        <v>28</v>
      </c>
      <c r="Z277" s="88">
        <f t="shared" si="40"/>
        <v>144</v>
      </c>
      <c r="AA277" s="116">
        <f>COUNTIFS(GERAL!B$8:B$1696,A277,GERAL!BK$8:BK$1696,"&gt;0",GERAL!C$8:C$1696,"ESCOLA")</f>
        <v>1</v>
      </c>
      <c r="AB277" s="88">
        <f>COUNTIFS(GERAL!B$8:B$1696,A277,GERAL!BK$8:BK$1696,"&gt;0",GERAL!C$8:C$1696,"ANEXO")</f>
        <v>0</v>
      </c>
      <c r="AC277" s="121">
        <f>SUMIF(GERAL!B$8:B$1696,A277,GERAL!AD$8:AD$1696)</f>
        <v>29</v>
      </c>
      <c r="AD277" s="121">
        <f>SUMIF(GERAL!B$8:B$1696,A277,GERAL!AI$8:AI$1696)</f>
        <v>633</v>
      </c>
      <c r="AE277" s="121">
        <f>SUMIF(GERAL!B$8:B$1696,A277,GERAL!AV$8:AV$1696)</f>
        <v>89</v>
      </c>
      <c r="AF277" s="492">
        <f t="shared" si="41"/>
        <v>751</v>
      </c>
      <c r="AG277" s="178">
        <f>COUNTIFS(GERAL!B$8:B$1696,A277,GERAL!AW$8:AW$1696,"&gt;0",GERAL!C$8:C$1696,"ESCOLA")</f>
        <v>1</v>
      </c>
      <c r="AH277" s="118">
        <f>COUNTIFS(GERAL!B$8:B$1696,A277,GERAL!AW$8:AW$1696,"&gt;0",GERAL!C$8:C$1696,"ANEXO")</f>
        <v>0</v>
      </c>
      <c r="AI277" s="177">
        <f>SUMIF(GERAL!B$8:B$1696,A277,GERAL!AS$8:AS$1696)+SUMIF(GERAL!B$8:B$1696,A277,GERAL!AT$8:AT$1696)</f>
        <v>0</v>
      </c>
      <c r="AJ277" s="177">
        <f>SUMIF(GERAL!B$8:B$1696,A277,GERAL!AU$8:AU$1696)</f>
        <v>28</v>
      </c>
      <c r="AK277" s="177">
        <f>SUMIF(GERAL!B$8:B$1696,A277,GERAL!AV$8:AV$1696)</f>
        <v>89</v>
      </c>
      <c r="AL277" s="118">
        <f t="shared" si="42"/>
        <v>117</v>
      </c>
      <c r="AM277" s="493" t="s">
        <v>383</v>
      </c>
    </row>
    <row r="278">
      <c r="A278" s="484" t="s">
        <v>633</v>
      </c>
      <c r="B278" s="75">
        <f>COUNTIFS(GERAL!B$8:B$1696,A278,GERAL!C$8:C$1696,"ESCOLA")</f>
        <v>1</v>
      </c>
      <c r="C278" s="75">
        <f>COUNTIFS(GERAL!B$8:B$1696,A278,GERAL!C$8:C$1696,"ANEXO")</f>
        <v>2</v>
      </c>
      <c r="D278" s="85">
        <f>SUMIF(GERAL!B$8:B$1696,A278,GERAL!Z$8:Z$1696)</f>
        <v>0</v>
      </c>
      <c r="E278" s="85">
        <f>SUMIF(GERAL!B$8:B$1696,A278,GERAL!AE$8:AE$1696)</f>
        <v>0</v>
      </c>
      <c r="F278" s="85">
        <f>SUMIF(GERAL!B$8:B$1696,A278,GERAL!AJ$8:AJ$1696)</f>
        <v>198</v>
      </c>
      <c r="G278" s="85">
        <f>SUMIF(GERAL!B$8:B$1696,A278,GERAL!AN$8:AN$1696)</f>
        <v>0</v>
      </c>
      <c r="H278" s="85">
        <f>SUMIF(GERAL!B$8:B$1696,A278,GERAL!AR$8:AW$1696)</f>
        <v>64</v>
      </c>
      <c r="I278" s="85">
        <f>SUMIF(GERAL!B$8:B$1696,A278,GERAL!AW$8:AW$1696)</f>
        <v>116</v>
      </c>
      <c r="J278" s="75">
        <f>SUMIF(GERAL!B$8:B$1696,A278,GERAL!AX$8:AX$1696)</f>
        <v>378</v>
      </c>
      <c r="K278" s="75">
        <f>COUNTIFS(GERAL!B$8:B$1696,A278,GERAL!AY$8:AY$1696,"&gt;0",GERAL!C$8:C$1696,"ESCOLA")</f>
        <v>1</v>
      </c>
      <c r="L278" s="75">
        <f>COUNTIFS(GERAL!B$8:B$1696,A278,GERAL!AY$8:AY$1696,"&gt;0",GERAL!C$8:C$1696,"ANEXO")</f>
        <v>0</v>
      </c>
      <c r="M278" s="100">
        <f>SUMIF(GERAL!B$8:B$1696,A278,GERAL!V$8:V$1696)+SUMIF(GERAL!B$8:B$1696,A278,GERAL!W$8:W$1696)</f>
        <v>0</v>
      </c>
      <c r="N278" s="100">
        <f>SUMIF(GERAL!B$8:B$1696,A278,GERAL!AA$8:AA$1696)+SUMIF(GERAL!B$8:B$1696,A278,GERAL!AB$8:AB$1696)</f>
        <v>0</v>
      </c>
      <c r="O278" s="100">
        <f>SUMIF(GERAL!B$8:B$1696,A278,GERAL!AF$8:AF$1696)+SUMIF(GERAL!B$8:B$1696,A278,GERAL!AG$8:AG$1696)</f>
        <v>0</v>
      </c>
      <c r="P278" s="100">
        <f>SUMIF(GERAL!B$8:B$1696,A278,GERAL!AK$8:AK$1696)+SUMIF(GERAL!B$8:B$1696,A278,GERAL!AL$8:AL$1696)</f>
        <v>0</v>
      </c>
      <c r="Q278" s="100">
        <f>SUMIF(GERAL!B$8:B$1696,A278,GERAL!AO$8:AO$1696)+SUMIF(GERAL!B$8:B$1696,A278,GERAL!AP$8:AP$1696)</f>
        <v>0</v>
      </c>
      <c r="R278" s="100">
        <f>SUMIF(GERAL!B$8:B$1696,A278,GERAL!AS$8:AS$1696)+SUMIF(GERAL!B$8:B$1696,A278,GERAL!AT$8:AT$1696)</f>
        <v>84</v>
      </c>
      <c r="S278" s="75">
        <f t="shared" si="39"/>
        <v>84</v>
      </c>
      <c r="T278" s="116">
        <f>COUNTIFS(GERAL!B$8:B$1696,A278,GERAL!AZ$8:AZ$1696,"&gt;0",GERAL!C$8:C$1696,"ESCOLA")</f>
        <v>1</v>
      </c>
      <c r="U278" s="75">
        <f>COUNTIFS(GERAL!B$8:B$1696,A278,GERAL!AZ$8:AZ$1696,"&gt;0",GERAL!C$8:C$1696,"ANEXO")</f>
        <v>2</v>
      </c>
      <c r="V278" s="85">
        <f>SUMIF(GERAL!B$8:B$1696,A278,GERAL!AH$8:AH$1696)</f>
        <v>99</v>
      </c>
      <c r="W278" s="85">
        <f>SUMIF(GERAL!B$8:B$1696,A278,GERAL!AM$8:AM$1696)</f>
        <v>0</v>
      </c>
      <c r="X278" s="85">
        <f>SUMIF(GERAL!B$8:B$1696,A278,GERAL!AQ$8:AQ$1696)</f>
        <v>64</v>
      </c>
      <c r="Y278" s="85">
        <f>SUMIF(GERAL!B$8:B$1696,A278,GERAL!AU$8:AU$1696)</f>
        <v>0</v>
      </c>
      <c r="Z278" s="88">
        <f t="shared" si="40"/>
        <v>163</v>
      </c>
      <c r="AA278" s="116">
        <f>COUNTIFS(GERAL!B$8:B$1696,A278,GERAL!BK$8:BK$1696,"&gt;0",GERAL!C$8:C$1696,"ESCOLA")</f>
        <v>1</v>
      </c>
      <c r="AB278" s="88">
        <f>COUNTIFS(GERAL!B$8:B$1696,A278,GERAL!BK$8:BK$1696,"&gt;0",GERAL!C$8:C$1696,"ANEXO")</f>
        <v>0</v>
      </c>
      <c r="AC278" s="121">
        <f>SUMIF(GERAL!B$8:B$1696,A278,GERAL!AD$8:AD$1696)</f>
        <v>0</v>
      </c>
      <c r="AD278" s="121">
        <f>SUMIF(GERAL!B$8:B$1696,A278,GERAL!AI$8:AI$1696)</f>
        <v>99</v>
      </c>
      <c r="AE278" s="121">
        <f>SUMIF(GERAL!B$8:B$1696,A278,GERAL!AV$8:AV$1696)</f>
        <v>32</v>
      </c>
      <c r="AF278" s="492">
        <f t="shared" si="41"/>
        <v>131</v>
      </c>
      <c r="AG278" s="178">
        <f>COUNTIFS(GERAL!B$8:B$1696,A278,GERAL!AW$8:AW$1696,"&gt;0",GERAL!C$8:C$1696,"ESCOLA")</f>
        <v>1</v>
      </c>
      <c r="AH278" s="118">
        <f>COUNTIFS(GERAL!B$8:B$1696,A278,GERAL!AW$8:AW$1696,"&gt;0",GERAL!C$8:C$1696,"ANEXO")</f>
        <v>0</v>
      </c>
      <c r="AI278" s="177">
        <f>SUMIF(GERAL!B$8:B$1696,A278,GERAL!AS$8:AS$1696)+SUMIF(GERAL!B$8:B$1696,A278,GERAL!AT$8:AT$1696)</f>
        <v>84</v>
      </c>
      <c r="AJ278" s="177">
        <f>SUMIF(GERAL!B$8:B$1696,A278,GERAL!AU$8:AU$1696)</f>
        <v>0</v>
      </c>
      <c r="AK278" s="177">
        <f>SUMIF(GERAL!B$8:B$1696,A278,GERAL!AV$8:AV$1696)</f>
        <v>32</v>
      </c>
      <c r="AL278" s="118">
        <f t="shared" si="42"/>
        <v>116</v>
      </c>
      <c r="AM278" s="493" t="s">
        <v>205</v>
      </c>
    </row>
    <row r="279">
      <c r="A279" s="494" t="s">
        <v>919</v>
      </c>
      <c r="B279" s="75">
        <f>COUNTIFS(GERAL!B$8:B$1696,A279,GERAL!C$8:C$1696,"ESCOLA")</f>
        <v>3</v>
      </c>
      <c r="C279" s="75">
        <f>COUNTIFS(GERAL!B$8:B$1696,A279,GERAL!C$8:C$1696,"ANEXO")</f>
        <v>2</v>
      </c>
      <c r="D279" s="85">
        <f>SUMIF(GERAL!B$8:B$1696,A279,GERAL!Z$8:Z$1696)</f>
        <v>0</v>
      </c>
      <c r="E279" s="85">
        <f>SUMIF(GERAL!B$8:B$1696,A279,GERAL!AE$8:AE$1696)</f>
        <v>0</v>
      </c>
      <c r="F279" s="85">
        <f>SUMIF(GERAL!B$8:B$1696,A279,GERAL!AJ$8:AJ$1696)</f>
        <v>793</v>
      </c>
      <c r="G279" s="85">
        <f>SUMIF(GERAL!B$8:B$1696,A279,GERAL!AN$8:AN$1696)</f>
        <v>0</v>
      </c>
      <c r="H279" s="85">
        <f>SUMIF(GERAL!B$8:B$1696,A279,GERAL!AR$8:AW$1696)</f>
        <v>159</v>
      </c>
      <c r="I279" s="85">
        <f>SUMIF(GERAL!B$8:B$1696,A279,GERAL!AW$8:AW$1696)</f>
        <v>718</v>
      </c>
      <c r="J279" s="75">
        <f>SUMIF(GERAL!B$8:B$1696,A279,GERAL!AX$8:AX$1696)</f>
        <v>1670</v>
      </c>
      <c r="K279" s="75">
        <f>COUNTIFS(GERAL!B$8:B$1696,A279,GERAL!AY$8:AY$1696,"&gt;0",GERAL!C$8:C$1696,"ESCOLA")</f>
        <v>3</v>
      </c>
      <c r="L279" s="75">
        <f>COUNTIFS(GERAL!B$8:B$1696,A279,GERAL!AY$8:AY$1696,"&gt;0",GERAL!C$8:C$1696,"ANEXO")</f>
        <v>1</v>
      </c>
      <c r="M279" s="100">
        <f>SUMIF(GERAL!B$8:B$1696,A279,GERAL!V$8:V$1696)+SUMIF(GERAL!B$8:B$1696,A279,GERAL!W$8:W$1696)</f>
        <v>0</v>
      </c>
      <c r="N279" s="100">
        <f>SUMIF(GERAL!B$8:B$1696,A279,GERAL!AA$8:AA$1696)+SUMIF(GERAL!B$8:B$1696,A279,GERAL!AB$8:AB$1696)</f>
        <v>0</v>
      </c>
      <c r="O279" s="100">
        <f>SUMIF(GERAL!B$8:B$1696,A279,GERAL!AF$8:AF$1696)+SUMIF(GERAL!B$8:B$1696,A279,GERAL!AG$8:AG$1696)</f>
        <v>412</v>
      </c>
      <c r="P279" s="100">
        <f>SUMIF(GERAL!B$8:B$1696,A279,GERAL!AK$8:AK$1696)+SUMIF(GERAL!B$8:B$1696,A279,GERAL!AL$8:AL$1696)</f>
        <v>0</v>
      </c>
      <c r="Q279" s="100">
        <f>SUMIF(GERAL!B$8:B$1696,A279,GERAL!AO$8:AO$1696)+SUMIF(GERAL!B$8:B$1696,A279,GERAL!AP$8:AP$1696)</f>
        <v>0</v>
      </c>
      <c r="R279" s="100">
        <f>SUMIF(GERAL!B$8:B$1696,A279,GERAL!AS$8:AS$1696)+SUMIF(GERAL!B$8:B$1696,A279,GERAL!AT$8:AT$1696)</f>
        <v>503</v>
      </c>
      <c r="S279" s="75">
        <f t="shared" si="39"/>
        <v>915</v>
      </c>
      <c r="T279" s="116">
        <f>COUNTIFS(GERAL!B$8:B$1696,A279,GERAL!AZ$8:AZ$1696,"&gt;0",GERAL!C$8:C$1696,"ESCOLA")</f>
        <v>2</v>
      </c>
      <c r="U279" s="75">
        <f>COUNTIFS(GERAL!B$8:B$1696,A279,GERAL!AZ$8:AZ$1696,"&gt;0",GERAL!C$8:C$1696,"ANEXO")</f>
        <v>2</v>
      </c>
      <c r="V279" s="85">
        <f>SUMIF(GERAL!B$8:B$1696,A279,GERAL!AH$8:AH$1696)</f>
        <v>74</v>
      </c>
      <c r="W279" s="85">
        <f>SUMIF(GERAL!B$8:B$1696,A279,GERAL!AM$8:AM$1696)</f>
        <v>0</v>
      </c>
      <c r="X279" s="85">
        <f>SUMIF(GERAL!B$8:B$1696,A279,GERAL!AQ$8:AQ$1696)</f>
        <v>159</v>
      </c>
      <c r="Y279" s="85">
        <f>SUMIF(GERAL!B$8:B$1696,A279,GERAL!AU$8:AU$1696)</f>
        <v>180</v>
      </c>
      <c r="Z279" s="88">
        <f t="shared" si="40"/>
        <v>413</v>
      </c>
      <c r="AA279" s="116">
        <f>COUNTIFS(GERAL!B$8:B$1696,A279,GERAL!BK$8:BK$1696,"&gt;0",GERAL!C$8:C$1696,"ESCOLA")</f>
        <v>3</v>
      </c>
      <c r="AB279" s="88">
        <f>COUNTIFS(GERAL!B$8:B$1696,A279,GERAL!BK$8:BK$1696,"&gt;0",GERAL!C$8:C$1696,"ANEXO")</f>
        <v>0</v>
      </c>
      <c r="AC279" s="121">
        <f>SUMIF(GERAL!B$8:B$1696,A279,GERAL!AD$8:AD$1696)</f>
        <v>0</v>
      </c>
      <c r="AD279" s="121">
        <f>SUMIF(GERAL!B$8:B$1696,A279,GERAL!AI$8:AI$1696)</f>
        <v>307</v>
      </c>
      <c r="AE279" s="121">
        <f>SUMIF(GERAL!B$8:B$1696,A279,GERAL!AV$8:AV$1696)</f>
        <v>35</v>
      </c>
      <c r="AF279" s="492">
        <f t="shared" si="41"/>
        <v>342</v>
      </c>
      <c r="AG279" s="178">
        <f>COUNTIFS(GERAL!B$8:B$1696,A279,GERAL!AW$8:AW$1696,"&gt;0",GERAL!C$8:C$1696,"ESCOLA")</f>
        <v>2</v>
      </c>
      <c r="AH279" s="118">
        <f>COUNTIFS(GERAL!B$8:B$1696,A279,GERAL!AW$8:AW$1696,"&gt;0",GERAL!C$8:C$1696,"ANEXO")</f>
        <v>0</v>
      </c>
      <c r="AI279" s="177">
        <f>SUMIF(GERAL!B$8:B$1696,A279,GERAL!AS$8:AS$1696)+SUMIF(GERAL!B$8:B$1696,A279,GERAL!AT$8:AT$1696)</f>
        <v>503</v>
      </c>
      <c r="AJ279" s="177">
        <f>SUMIF(GERAL!B$8:B$1696,A279,GERAL!AU$8:AU$1696)</f>
        <v>180</v>
      </c>
      <c r="AK279" s="177">
        <f>SUMIF(GERAL!B$8:B$1696,A279,GERAL!AV$8:AV$1696)</f>
        <v>35</v>
      </c>
      <c r="AL279" s="118">
        <f t="shared" si="42"/>
        <v>718</v>
      </c>
      <c r="AM279" s="493" t="s">
        <v>285</v>
      </c>
    </row>
    <row r="280">
      <c r="A280" s="484" t="s">
        <v>6305</v>
      </c>
      <c r="B280" s="75">
        <f>COUNTIFS(GERAL!B$8:B$1696,A280,GERAL!C$8:C$1696,"ESCOLA")</f>
        <v>1</v>
      </c>
      <c r="C280" s="75">
        <f>COUNTIFS(GERAL!B$8:B$1696,A280,GERAL!C$8:C$1696,"ANEXO")</f>
        <v>0</v>
      </c>
      <c r="D280" s="85">
        <f>SUMIF(GERAL!B$8:B$1696,A280,GERAL!Z$8:Z$1696)</f>
        <v>0</v>
      </c>
      <c r="E280" s="85">
        <f>SUMIF(GERAL!B$8:B$1696,A280,GERAL!AE$8:AE$1696)</f>
        <v>0</v>
      </c>
      <c r="F280" s="85">
        <f>SUMIF(GERAL!B$8:B$1696,A280,GERAL!AJ$8:AJ$1696)</f>
        <v>391</v>
      </c>
      <c r="G280" s="85">
        <f>SUMIF(GERAL!B$8:B$1696,A280,GERAL!AN$8:AN$1696)</f>
        <v>0</v>
      </c>
      <c r="H280" s="85">
        <f>SUMIF(GERAL!B$8:B$1696,A280,GERAL!AR$8:AW$1696)</f>
        <v>94</v>
      </c>
      <c r="I280" s="85">
        <f>SUMIF(GERAL!B$8:B$1696,A280,GERAL!AW$8:AW$1696)</f>
        <v>54</v>
      </c>
      <c r="J280" s="75">
        <f>SUMIF(GERAL!B$8:B$1696,A280,GERAL!AX$8:AX$1696)</f>
        <v>539</v>
      </c>
      <c r="K280" s="75">
        <f>COUNTIFS(GERAL!B$8:B$1696,A280,GERAL!AY$8:AY$1696,"&gt;0",GERAL!C$8:C$1696,"ESCOLA")</f>
        <v>1</v>
      </c>
      <c r="L280" s="75">
        <f>COUNTIFS(GERAL!B$8:B$1696,A280,GERAL!AY$8:AY$1696,"&gt;0",GERAL!C$8:C$1696,"ANEXO")</f>
        <v>0</v>
      </c>
      <c r="M280" s="100">
        <f>SUMIF(GERAL!B$8:B$1696,A280,GERAL!V$8:V$1696)+SUMIF(GERAL!B$8:B$1696,A280,GERAL!W$8:W$1696)</f>
        <v>0</v>
      </c>
      <c r="N280" s="100">
        <f>SUMIF(GERAL!B$8:B$1696,A280,GERAL!AA$8:AA$1696)+SUMIF(GERAL!B$8:B$1696,A280,GERAL!AB$8:AB$1696)</f>
        <v>0</v>
      </c>
      <c r="O280" s="100">
        <f>SUMIF(GERAL!B$8:B$1696,A280,GERAL!AF$8:AF$1696)+SUMIF(GERAL!B$8:B$1696,A280,GERAL!AG$8:AG$1696)</f>
        <v>0</v>
      </c>
      <c r="P280" s="100">
        <f>SUMIF(GERAL!B$8:B$1696,A280,GERAL!AK$8:AK$1696)+SUMIF(GERAL!B$8:B$1696,A280,GERAL!AL$8:AL$1696)</f>
        <v>0</v>
      </c>
      <c r="Q280" s="100">
        <f>SUMIF(GERAL!B$8:B$1696,A280,GERAL!AO$8:AO$1696)+SUMIF(GERAL!B$8:B$1696,A280,GERAL!AP$8:AP$1696)</f>
        <v>0</v>
      </c>
      <c r="R280" s="100">
        <f>SUMIF(GERAL!B$8:B$1696,A280,GERAL!AS$8:AS$1696)+SUMIF(GERAL!B$8:B$1696,A280,GERAL!AT$8:AT$1696)</f>
        <v>0</v>
      </c>
      <c r="S280" s="75">
        <f t="shared" si="39"/>
        <v>0</v>
      </c>
      <c r="T280" s="116">
        <f>COUNTIFS(GERAL!B$8:B$1696,A280,GERAL!AZ$8:AZ$1696,"&gt;0",GERAL!C$8:C$1696,"ESCOLA")</f>
        <v>1</v>
      </c>
      <c r="U280" s="75">
        <f>COUNTIFS(GERAL!B$8:B$1696,A280,GERAL!AZ$8:AZ$1696,"&gt;0",GERAL!C$8:C$1696,"ANEXO")</f>
        <v>0</v>
      </c>
      <c r="V280" s="85">
        <f>SUMIF(GERAL!B$8:B$1696,A280,GERAL!AH$8:AH$1696)</f>
        <v>0</v>
      </c>
      <c r="W280" s="85">
        <f>SUMIF(GERAL!B$8:B$1696,A280,GERAL!AM$8:AM$1696)</f>
        <v>0</v>
      </c>
      <c r="X280" s="85">
        <f>SUMIF(GERAL!B$8:B$1696,A280,GERAL!AQ$8:AQ$1696)</f>
        <v>94</v>
      </c>
      <c r="Y280" s="85">
        <f>SUMIF(GERAL!B$8:B$1696,A280,GERAL!AU$8:AU$1696)</f>
        <v>0</v>
      </c>
      <c r="Z280" s="88">
        <f t="shared" si="40"/>
        <v>94</v>
      </c>
      <c r="AA280" s="116">
        <f>COUNTIFS(GERAL!B$8:B$1696,A280,GERAL!BK$8:BK$1696,"&gt;0",GERAL!C$8:C$1696,"ESCOLA")</f>
        <v>1</v>
      </c>
      <c r="AB280" s="88">
        <f>COUNTIFS(GERAL!B$8:B$1696,A280,GERAL!BK$8:BK$1696,"&gt;0",GERAL!C$8:C$1696,"ANEXO")</f>
        <v>0</v>
      </c>
      <c r="AC280" s="121">
        <f>SUMIF(GERAL!B$8:B$1696,A280,GERAL!AD$8:AD$1696)</f>
        <v>0</v>
      </c>
      <c r="AD280" s="121">
        <f>SUMIF(GERAL!B$8:B$1696,A280,GERAL!AI$8:AI$1696)</f>
        <v>391</v>
      </c>
      <c r="AE280" s="121">
        <f>SUMIF(GERAL!B$8:B$1696,A280,GERAL!AV$8:AV$1696)</f>
        <v>54</v>
      </c>
      <c r="AF280" s="492">
        <f t="shared" si="41"/>
        <v>445</v>
      </c>
      <c r="AG280" s="178">
        <f>COUNTIFS(GERAL!B$8:B$1696,A280,GERAL!AW$8:AW$1696,"&gt;0",GERAL!C$8:C$1696,"ESCOLA")</f>
        <v>1</v>
      </c>
      <c r="AH280" s="118">
        <f>COUNTIFS(GERAL!B$8:B$1696,A280,GERAL!AW$8:AW$1696,"&gt;0",GERAL!C$8:C$1696,"ANEXO")</f>
        <v>0</v>
      </c>
      <c r="AI280" s="177">
        <f>SUMIF(GERAL!B$8:B$1696,A280,GERAL!AS$8:AS$1696)+SUMIF(GERAL!B$8:B$1696,A280,GERAL!AT$8:AT$1696)</f>
        <v>0</v>
      </c>
      <c r="AJ280" s="177">
        <f>SUMIF(GERAL!B$8:B$1696,A280,GERAL!AU$8:AU$1696)</f>
        <v>0</v>
      </c>
      <c r="AK280" s="177">
        <f>SUMIF(GERAL!B$8:B$1696,A280,GERAL!AV$8:AV$1696)</f>
        <v>54</v>
      </c>
      <c r="AL280" s="118">
        <f t="shared" si="42"/>
        <v>54</v>
      </c>
      <c r="AM280" s="493" t="s">
        <v>1393</v>
      </c>
    </row>
    <row r="281">
      <c r="A281" s="494" t="s">
        <v>940</v>
      </c>
      <c r="B281" s="75">
        <f>COUNTIFS(GERAL!B$8:B$1696,A281,GERAL!C$8:C$1696,"ESCOLA")</f>
        <v>1</v>
      </c>
      <c r="C281" s="75">
        <f>COUNTIFS(GERAL!B$8:B$1696,A281,GERAL!C$8:C$1696,"ANEXO")</f>
        <v>2</v>
      </c>
      <c r="D281" s="85">
        <f>SUMIF(GERAL!B$8:B$1696,A281,GERAL!Z$8:Z$1696)</f>
        <v>0</v>
      </c>
      <c r="E281" s="85">
        <f>SUMIF(GERAL!B$8:B$1696,A281,GERAL!AE$8:AE$1696)</f>
        <v>0</v>
      </c>
      <c r="F281" s="85">
        <f>SUMIF(GERAL!B$8:B$1696,A281,GERAL!AJ$8:AJ$1696)</f>
        <v>354</v>
      </c>
      <c r="G281" s="85">
        <f>SUMIF(GERAL!B$8:B$1696,A281,GERAL!AN$8:AN$1696)</f>
        <v>0</v>
      </c>
      <c r="H281" s="85">
        <f>SUMIF(GERAL!B$8:B$1696,A281,GERAL!AR$8:AW$1696)</f>
        <v>70</v>
      </c>
      <c r="I281" s="85">
        <f>SUMIF(GERAL!B$8:B$1696,A281,GERAL!AW$8:AW$1696)</f>
        <v>116</v>
      </c>
      <c r="J281" s="75">
        <f>SUMIF(GERAL!B$8:B$1696,A281,GERAL!AX$8:AX$1696)</f>
        <v>540</v>
      </c>
      <c r="K281" s="75">
        <f>COUNTIFS(GERAL!B$8:B$1696,A281,GERAL!AY$8:AY$1696,"&gt;0",GERAL!C$8:C$1696,"ESCOLA")</f>
        <v>1</v>
      </c>
      <c r="L281" s="75">
        <f>COUNTIFS(GERAL!B$8:B$1696,A281,GERAL!AY$8:AY$1696,"&gt;0",GERAL!C$8:C$1696,"ANEXO")</f>
        <v>2</v>
      </c>
      <c r="M281" s="100">
        <f>SUMIF(GERAL!B$8:B$1696,A281,GERAL!V$8:V$1696)+SUMIF(GERAL!B$8:B$1696,A281,GERAL!W$8:W$1696)</f>
        <v>0</v>
      </c>
      <c r="N281" s="100">
        <f>SUMIF(GERAL!B$8:B$1696,A281,GERAL!AA$8:AA$1696)+SUMIF(GERAL!B$8:B$1696,A281,GERAL!AB$8:AB$1696)</f>
        <v>0</v>
      </c>
      <c r="O281" s="100">
        <f>SUMIF(GERAL!B$8:B$1696,A281,GERAL!AF$8:AF$1696)+SUMIF(GERAL!B$8:B$1696,A281,GERAL!AG$8:AG$1696)</f>
        <v>220</v>
      </c>
      <c r="P281" s="100">
        <f>SUMIF(GERAL!B$8:B$1696,A281,GERAL!AK$8:AK$1696)+SUMIF(GERAL!B$8:B$1696,A281,GERAL!AL$8:AL$1696)</f>
        <v>0</v>
      </c>
      <c r="Q281" s="100">
        <f>SUMIF(GERAL!B$8:B$1696,A281,GERAL!AO$8:AO$1696)+SUMIF(GERAL!B$8:B$1696,A281,GERAL!AP$8:AP$1696)</f>
        <v>0</v>
      </c>
      <c r="R281" s="100">
        <f>SUMIF(GERAL!B$8:B$1696,A281,GERAL!AS$8:AS$1696)+SUMIF(GERAL!B$8:B$1696,A281,GERAL!AT$8:AT$1696)</f>
        <v>57</v>
      </c>
      <c r="S281" s="75">
        <f t="shared" si="39"/>
        <v>277</v>
      </c>
      <c r="T281" s="116">
        <f>COUNTIFS(GERAL!B$8:B$1696,A281,GERAL!AZ$8:AZ$1696,"&gt;0",GERAL!C$8:C$1696,"ESCOLA")</f>
        <v>1</v>
      </c>
      <c r="U281" s="75">
        <f>COUNTIFS(GERAL!B$8:B$1696,A281,GERAL!AZ$8:AZ$1696,"&gt;0",GERAL!C$8:C$1696,"ANEXO")</f>
        <v>1</v>
      </c>
      <c r="V281" s="85">
        <f>SUMIF(GERAL!B$8:B$1696,A281,GERAL!AH$8:AH$1696)</f>
        <v>0</v>
      </c>
      <c r="W281" s="85">
        <f>SUMIF(GERAL!B$8:B$1696,A281,GERAL!AM$8:AM$1696)</f>
        <v>0</v>
      </c>
      <c r="X281" s="85">
        <f>SUMIF(GERAL!B$8:B$1696,A281,GERAL!AQ$8:AQ$1696)</f>
        <v>70</v>
      </c>
      <c r="Y281" s="85">
        <f>SUMIF(GERAL!B$8:B$1696,A281,GERAL!AU$8:AU$1696)</f>
        <v>0</v>
      </c>
      <c r="Z281" s="88">
        <f t="shared" si="40"/>
        <v>70</v>
      </c>
      <c r="AA281" s="116">
        <f>COUNTIFS(GERAL!B$8:B$1696,A281,GERAL!BK$8:BK$1696,"&gt;0",GERAL!C$8:C$1696,"ESCOLA")</f>
        <v>1</v>
      </c>
      <c r="AB281" s="88">
        <f>COUNTIFS(GERAL!B$8:B$1696,A281,GERAL!BK$8:BK$1696,"&gt;0",GERAL!C$8:C$1696,"ANEXO")</f>
        <v>0</v>
      </c>
      <c r="AC281" s="121">
        <f>SUMIF(GERAL!B$8:B$1696,A281,GERAL!AD$8:AD$1696)</f>
        <v>0</v>
      </c>
      <c r="AD281" s="121">
        <f>SUMIF(GERAL!B$8:B$1696,A281,GERAL!AI$8:AI$1696)</f>
        <v>134</v>
      </c>
      <c r="AE281" s="121">
        <f>SUMIF(GERAL!B$8:B$1696,A281,GERAL!AV$8:AV$1696)</f>
        <v>59</v>
      </c>
      <c r="AF281" s="492">
        <f t="shared" si="41"/>
        <v>193</v>
      </c>
      <c r="AG281" s="178">
        <f>COUNTIFS(GERAL!B$8:B$1696,A281,GERAL!AW$8:AW$1696,"&gt;0",GERAL!C$8:C$1696,"ESCOLA")</f>
        <v>1</v>
      </c>
      <c r="AH281" s="118">
        <f>COUNTIFS(GERAL!B$8:B$1696,A281,GERAL!AW$8:AW$1696,"&gt;0",GERAL!C$8:C$1696,"ANEXO")</f>
        <v>0</v>
      </c>
      <c r="AI281" s="177">
        <f>SUMIF(GERAL!B$8:B$1696,A281,GERAL!AS$8:AS$1696)+SUMIF(GERAL!B$8:B$1696,A281,GERAL!AT$8:AT$1696)</f>
        <v>57</v>
      </c>
      <c r="AJ281" s="177">
        <f>SUMIF(GERAL!B$8:B$1696,A281,GERAL!AU$8:AU$1696)</f>
        <v>0</v>
      </c>
      <c r="AK281" s="177">
        <f>SUMIF(GERAL!B$8:B$1696,A281,GERAL!AV$8:AV$1696)</f>
        <v>59</v>
      </c>
      <c r="AL281" s="118">
        <f t="shared" si="42"/>
        <v>116</v>
      </c>
      <c r="AM281" s="493" t="s">
        <v>285</v>
      </c>
    </row>
    <row r="282">
      <c r="A282" s="484" t="s">
        <v>2090</v>
      </c>
      <c r="B282" s="75">
        <f>COUNTIFS(GERAL!B$8:B$1696,A282,GERAL!C$8:C$1696,"ESCOLA")</f>
        <v>3</v>
      </c>
      <c r="C282" s="75">
        <f>COUNTIFS(GERAL!B$8:B$1696,A282,GERAL!C$8:C$1696,"ANEXO")</f>
        <v>4</v>
      </c>
      <c r="D282" s="85">
        <f>SUMIF(GERAL!B$8:B$1696,A282,GERAL!Z$8:Z$1696)</f>
        <v>0</v>
      </c>
      <c r="E282" s="85">
        <f>SUMIF(GERAL!B$8:B$1696,A282,GERAL!AE$8:AE$1696)</f>
        <v>0</v>
      </c>
      <c r="F282" s="85">
        <f>SUMIF(GERAL!B$8:B$1696,A282,GERAL!AJ$8:AJ$1696)</f>
        <v>797</v>
      </c>
      <c r="G282" s="85">
        <f>SUMIF(GERAL!B$8:B$1696,A282,GERAL!AN$8:AN$1696)</f>
        <v>0</v>
      </c>
      <c r="H282" s="85">
        <f>SUMIF(GERAL!B$8:B$1696,A282,GERAL!AR$8:AW$1696)</f>
        <v>331</v>
      </c>
      <c r="I282" s="85">
        <f>SUMIF(GERAL!B$8:B$1696,A282,GERAL!AW$8:AW$1696)</f>
        <v>18</v>
      </c>
      <c r="J282" s="75">
        <f>SUMIF(GERAL!B$8:B$1696,A282,GERAL!AX$8:AX$1696)</f>
        <v>1146</v>
      </c>
      <c r="K282" s="75">
        <f>COUNTIFS(GERAL!B$8:B$1696,A282,GERAL!AY$8:AY$1696,"&gt;0",GERAL!C$8:C$1696,"ESCOLA")</f>
        <v>3</v>
      </c>
      <c r="L282" s="75">
        <f>COUNTIFS(GERAL!B$8:B$1696,A282,GERAL!AY$8:AY$1696,"&gt;0",GERAL!C$8:C$1696,"ANEXO")</f>
        <v>0</v>
      </c>
      <c r="M282" s="100">
        <f>SUMIF(GERAL!B$8:B$1696,A282,GERAL!V$8:V$1696)+SUMIF(GERAL!B$8:B$1696,A282,GERAL!W$8:W$1696)</f>
        <v>0</v>
      </c>
      <c r="N282" s="100">
        <f>SUMIF(GERAL!B$8:B$1696,A282,GERAL!AA$8:AA$1696)+SUMIF(GERAL!B$8:B$1696,A282,GERAL!AB$8:AB$1696)</f>
        <v>0</v>
      </c>
      <c r="O282" s="100">
        <f>SUMIF(GERAL!B$8:B$1696,A282,GERAL!AF$8:AF$1696)+SUMIF(GERAL!B$8:B$1696,A282,GERAL!AG$8:AG$1696)</f>
        <v>611</v>
      </c>
      <c r="P282" s="100">
        <f>SUMIF(GERAL!B$8:B$1696,A282,GERAL!AK$8:AK$1696)+SUMIF(GERAL!B$8:B$1696,A282,GERAL!AL$8:AL$1696)</f>
        <v>0</v>
      </c>
      <c r="Q282" s="100">
        <f>SUMIF(GERAL!B$8:B$1696,A282,GERAL!AO$8:AO$1696)+SUMIF(GERAL!B$8:B$1696,A282,GERAL!AP$8:AP$1696)</f>
        <v>0</v>
      </c>
      <c r="R282" s="100">
        <f>SUMIF(GERAL!B$8:B$1696,A282,GERAL!AS$8:AS$1696)+SUMIF(GERAL!B$8:B$1696,A282,GERAL!AT$8:AT$1696)</f>
        <v>0</v>
      </c>
      <c r="S282" s="75">
        <f t="shared" si="39"/>
        <v>611</v>
      </c>
      <c r="T282" s="116">
        <f>COUNTIFS(GERAL!B$8:B$1696,A282,GERAL!AZ$8:AZ$1696,"&gt;0",GERAL!C$8:C$1696,"ESCOLA")</f>
        <v>3</v>
      </c>
      <c r="U282" s="75">
        <f>COUNTIFS(GERAL!B$8:B$1696,A282,GERAL!AZ$8:AZ$1696,"&gt;0",GERAL!C$8:C$1696,"ANEXO")</f>
        <v>4</v>
      </c>
      <c r="V282" s="85">
        <f>SUMIF(GERAL!B$8:B$1696,A282,GERAL!AH$8:AH$1696)</f>
        <v>0</v>
      </c>
      <c r="W282" s="85">
        <f>SUMIF(GERAL!B$8:B$1696,A282,GERAL!AM$8:AM$1696)</f>
        <v>0</v>
      </c>
      <c r="X282" s="85">
        <f>SUMIF(GERAL!B$8:B$1696,A282,GERAL!AQ$8:AQ$1696)</f>
        <v>331</v>
      </c>
      <c r="Y282" s="85">
        <f>SUMIF(GERAL!B$8:B$1696,A282,GERAL!AU$8:AU$1696)</f>
        <v>18</v>
      </c>
      <c r="Z282" s="88">
        <f t="shared" si="40"/>
        <v>349</v>
      </c>
      <c r="AA282" s="116">
        <f>COUNTIFS(GERAL!B$8:B$1696,A282,GERAL!BK$8:BK$1696,"&gt;0",GERAL!C$8:C$1696,"ESCOLA")</f>
        <v>1</v>
      </c>
      <c r="AB282" s="88">
        <f>COUNTIFS(GERAL!B$8:B$1696,A282,GERAL!BK$8:BK$1696,"&gt;0",GERAL!C$8:C$1696,"ANEXO")</f>
        <v>0</v>
      </c>
      <c r="AC282" s="121">
        <f>SUMIF(GERAL!B$8:B$1696,A282,GERAL!AD$8:AD$1696)</f>
        <v>0</v>
      </c>
      <c r="AD282" s="121">
        <f>SUMIF(GERAL!B$8:B$1696,A282,GERAL!AI$8:AI$1696)</f>
        <v>186</v>
      </c>
      <c r="AE282" s="121">
        <f>SUMIF(GERAL!B$8:B$1696,A282,GERAL!AV$8:AV$1696)</f>
        <v>0</v>
      </c>
      <c r="AF282" s="492">
        <f t="shared" si="41"/>
        <v>186</v>
      </c>
      <c r="AG282" s="178">
        <f>COUNTIFS(GERAL!B$8:B$1696,A282,GERAL!AW$8:AW$1696,"&gt;0",GERAL!C$8:C$1696,"ESCOLA")</f>
        <v>1</v>
      </c>
      <c r="AH282" s="118">
        <f>COUNTIFS(GERAL!B$8:B$1696,A282,GERAL!AW$8:AW$1696,"&gt;0",GERAL!C$8:C$1696,"ANEXO")</f>
        <v>0</v>
      </c>
      <c r="AI282" s="177">
        <f>SUMIF(GERAL!B$8:B$1696,A282,GERAL!AS$8:AS$1696)+SUMIF(GERAL!B$8:B$1696,A282,GERAL!AT$8:AT$1696)</f>
        <v>0</v>
      </c>
      <c r="AJ282" s="177">
        <f>SUMIF(GERAL!B$8:B$1696,A282,GERAL!AU$8:AU$1696)</f>
        <v>18</v>
      </c>
      <c r="AK282" s="177">
        <f>SUMIF(GERAL!B$8:B$1696,A282,GERAL!AV$8:AV$1696)</f>
        <v>0</v>
      </c>
      <c r="AL282" s="118">
        <f t="shared" si="42"/>
        <v>18</v>
      </c>
      <c r="AM282" s="493" t="s">
        <v>605</v>
      </c>
    </row>
    <row r="283">
      <c r="A283" s="494" t="s">
        <v>356</v>
      </c>
      <c r="B283" s="75">
        <f>COUNTIFS(GERAL!B$8:B$1696,A283,GERAL!C$8:C$1696,"ESCOLA")</f>
        <v>1</v>
      </c>
      <c r="C283" s="75">
        <f>COUNTIFS(GERAL!B$8:B$1696,A283,GERAL!C$8:C$1696,"ANEXO")</f>
        <v>1</v>
      </c>
      <c r="D283" s="85">
        <f>SUMIF(GERAL!B$8:B$1696,A283,GERAL!Z$8:Z$1696)</f>
        <v>0</v>
      </c>
      <c r="E283" s="85">
        <f>SUMIF(GERAL!B$8:B$1696,A283,GERAL!AE$8:AE$1696)</f>
        <v>0</v>
      </c>
      <c r="F283" s="85">
        <f>SUMIF(GERAL!B$8:B$1696,A283,GERAL!AJ$8:AJ$1696)</f>
        <v>413</v>
      </c>
      <c r="G283" s="85">
        <f>SUMIF(GERAL!B$8:B$1696,A283,GERAL!AN$8:AN$1696)</f>
        <v>0</v>
      </c>
      <c r="H283" s="85">
        <f>SUMIF(GERAL!B$8:B$1696,A283,GERAL!AR$8:AW$1696)</f>
        <v>93</v>
      </c>
      <c r="I283" s="85">
        <f>SUMIF(GERAL!B$8:B$1696,A283,GERAL!AW$8:AW$1696)</f>
        <v>112</v>
      </c>
      <c r="J283" s="75">
        <f>SUMIF(GERAL!B$8:B$1696,A283,GERAL!AX$8:AX$1696)</f>
        <v>618</v>
      </c>
      <c r="K283" s="75">
        <f>COUNTIFS(GERAL!B$8:B$1696,A283,GERAL!AY$8:AY$1696,"&gt;0",GERAL!C$8:C$1696,"ESCOLA")</f>
        <v>1</v>
      </c>
      <c r="L283" s="75">
        <f>COUNTIFS(GERAL!B$8:B$1696,A283,GERAL!AY$8:AY$1696,"&gt;0",GERAL!C$8:C$1696,"ANEXO")</f>
        <v>0</v>
      </c>
      <c r="M283" s="100">
        <f>SUMIF(GERAL!B$8:B$1696,A283,GERAL!V$8:V$1696)+SUMIF(GERAL!B$8:B$1696,A283,GERAL!W$8:W$1696)</f>
        <v>0</v>
      </c>
      <c r="N283" s="100">
        <f>SUMIF(GERAL!B$8:B$1696,A283,GERAL!AA$8:AA$1696)+SUMIF(GERAL!B$8:B$1696,A283,GERAL!AB$8:AB$1696)</f>
        <v>0</v>
      </c>
      <c r="O283" s="100">
        <f>SUMIF(GERAL!B$8:B$1696,A283,GERAL!AF$8:AF$1696)+SUMIF(GERAL!B$8:B$1696,A283,GERAL!AG$8:AG$1696)</f>
        <v>350</v>
      </c>
      <c r="P283" s="100">
        <f>SUMIF(GERAL!B$8:B$1696,A283,GERAL!AK$8:AK$1696)+SUMIF(GERAL!B$8:B$1696,A283,GERAL!AL$8:AL$1696)</f>
        <v>0</v>
      </c>
      <c r="Q283" s="100">
        <f>SUMIF(GERAL!B$8:B$1696,A283,GERAL!AO$8:AO$1696)+SUMIF(GERAL!B$8:B$1696,A283,GERAL!AP$8:AP$1696)</f>
        <v>0</v>
      </c>
      <c r="R283" s="100">
        <f>SUMIF(GERAL!B$8:B$1696,A283,GERAL!AS$8:AS$1696)+SUMIF(GERAL!B$8:B$1696,A283,GERAL!AT$8:AT$1696)</f>
        <v>112</v>
      </c>
      <c r="S283" s="75">
        <f t="shared" si="39"/>
        <v>462</v>
      </c>
      <c r="T283" s="116">
        <f>COUNTIFS(GERAL!B$8:B$1696,A283,GERAL!AZ$8:AZ$1696,"&gt;0",GERAL!C$8:C$1696,"ESCOLA")</f>
        <v>1</v>
      </c>
      <c r="U283" s="75">
        <f>COUNTIFS(GERAL!B$8:B$1696,A283,GERAL!AZ$8:AZ$1696,"&gt;0",GERAL!C$8:C$1696,"ANEXO")</f>
        <v>1</v>
      </c>
      <c r="V283" s="85">
        <f>SUMIF(GERAL!B$8:B$1696,A283,GERAL!AH$8:AH$1696)</f>
        <v>63</v>
      </c>
      <c r="W283" s="85">
        <f>SUMIF(GERAL!B$8:B$1696,A283,GERAL!AM$8:AM$1696)</f>
        <v>0</v>
      </c>
      <c r="X283" s="85">
        <f>SUMIF(GERAL!B$8:B$1696,A283,GERAL!AQ$8:AQ$1696)</f>
        <v>93</v>
      </c>
      <c r="Y283" s="85">
        <f>SUMIF(GERAL!B$8:B$1696,A283,GERAL!AU$8:AU$1696)</f>
        <v>0</v>
      </c>
      <c r="Z283" s="88">
        <f t="shared" si="40"/>
        <v>156</v>
      </c>
      <c r="AA283" s="116">
        <f>COUNTIFS(GERAL!B$8:B$1696,A283,GERAL!BK$8:BK$1696,"&gt;0",GERAL!C$8:C$1696,"ESCOLA")</f>
        <v>0</v>
      </c>
      <c r="AB283" s="88">
        <f>COUNTIFS(GERAL!B$8:B$1696,A283,GERAL!BK$8:BK$1696,"&gt;0",GERAL!C$8:C$1696,"ANEXO")</f>
        <v>0</v>
      </c>
      <c r="AC283" s="121">
        <f>SUMIF(GERAL!B$8:B$1696,A283,GERAL!AD$8:AD$1696)</f>
        <v>0</v>
      </c>
      <c r="AD283" s="121">
        <f>SUMIF(GERAL!B$8:B$1696,A283,GERAL!AI$8:AI$1696)</f>
        <v>0</v>
      </c>
      <c r="AE283" s="121">
        <f>SUMIF(GERAL!B$8:B$1696,A283,GERAL!AV$8:AV$1696)</f>
        <v>0</v>
      </c>
      <c r="AF283" s="492">
        <f t="shared" si="41"/>
        <v>0</v>
      </c>
      <c r="AG283" s="178">
        <f>COUNTIFS(GERAL!B$8:B$1696,A283,GERAL!AW$8:AW$1696,"&gt;0",GERAL!C$8:C$1696,"ESCOLA")</f>
        <v>1</v>
      </c>
      <c r="AH283" s="118">
        <f>COUNTIFS(GERAL!B$8:B$1696,A283,GERAL!AW$8:AW$1696,"&gt;0",GERAL!C$8:C$1696,"ANEXO")</f>
        <v>0</v>
      </c>
      <c r="AI283" s="177">
        <f>SUMIF(GERAL!B$8:B$1696,A283,GERAL!AS$8:AS$1696)+SUMIF(GERAL!B$8:B$1696,A283,GERAL!AT$8:AT$1696)</f>
        <v>112</v>
      </c>
      <c r="AJ283" s="177">
        <f>SUMIF(GERAL!B$8:B$1696,A283,GERAL!AU$8:AU$1696)</f>
        <v>0</v>
      </c>
      <c r="AK283" s="177">
        <f>SUMIF(GERAL!B$8:B$1696,A283,GERAL!AV$8:AV$1696)</f>
        <v>0</v>
      </c>
      <c r="AL283" s="118">
        <f t="shared" si="42"/>
        <v>112</v>
      </c>
      <c r="AM283" s="493" t="s">
        <v>130</v>
      </c>
    </row>
    <row r="284">
      <c r="A284" s="484" t="s">
        <v>2276</v>
      </c>
      <c r="B284" s="75">
        <f>COUNTIFS(GERAL!B$8:B$1696,A284,GERAL!C$8:C$1696,"ESCOLA")</f>
        <v>1</v>
      </c>
      <c r="C284" s="75">
        <f>COUNTIFS(GERAL!B$8:B$1696,A284,GERAL!C$8:C$1696,"ANEXO")</f>
        <v>2</v>
      </c>
      <c r="D284" s="85">
        <f>SUMIF(GERAL!B$8:B$1696,A284,GERAL!Z$8:Z$1696)</f>
        <v>0</v>
      </c>
      <c r="E284" s="85">
        <f>SUMIF(GERAL!B$8:B$1696,A284,GERAL!AE$8:AE$1696)</f>
        <v>0</v>
      </c>
      <c r="F284" s="85">
        <f>SUMIF(GERAL!B$8:B$1696,A284,GERAL!AJ$8:AJ$1696)</f>
        <v>342</v>
      </c>
      <c r="G284" s="85">
        <f>SUMIF(GERAL!B$8:B$1696,A284,GERAL!AN$8:AN$1696)</f>
        <v>0</v>
      </c>
      <c r="H284" s="85">
        <f>SUMIF(GERAL!B$8:B$1696,A284,GERAL!AR$8:AW$1696)</f>
        <v>88</v>
      </c>
      <c r="I284" s="85">
        <f>SUMIF(GERAL!B$8:B$1696,A284,GERAL!AW$8:AW$1696)</f>
        <v>516</v>
      </c>
      <c r="J284" s="75">
        <f>SUMIF(GERAL!B$8:B$1696,A284,GERAL!AX$8:AX$1696)</f>
        <v>946</v>
      </c>
      <c r="K284" s="75">
        <f>COUNTIFS(GERAL!B$8:B$1696,A284,GERAL!AY$8:AY$1696,"&gt;0",GERAL!C$8:C$1696,"ESCOLA")</f>
        <v>1</v>
      </c>
      <c r="L284" s="75">
        <f>COUNTIFS(GERAL!B$8:B$1696,A284,GERAL!AY$8:AY$1696,"&gt;0",GERAL!C$8:C$1696,"ANEXO")</f>
        <v>2</v>
      </c>
      <c r="M284" s="100">
        <f>SUMIF(GERAL!B$8:B$1696,A284,GERAL!V$8:V$1696)+SUMIF(GERAL!B$8:B$1696,A284,GERAL!W$8:W$1696)</f>
        <v>0</v>
      </c>
      <c r="N284" s="100">
        <f>SUMIF(GERAL!B$8:B$1696,A284,GERAL!AA$8:AA$1696)+SUMIF(GERAL!B$8:B$1696,A284,GERAL!AB$8:AB$1696)</f>
        <v>0</v>
      </c>
      <c r="O284" s="100">
        <f>SUMIF(GERAL!B$8:B$1696,A284,GERAL!AF$8:AF$1696)+SUMIF(GERAL!B$8:B$1696,A284,GERAL!AG$8:AG$1696)</f>
        <v>113</v>
      </c>
      <c r="P284" s="100">
        <f>SUMIF(GERAL!B$8:B$1696,A284,GERAL!AK$8:AK$1696)+SUMIF(GERAL!B$8:B$1696,A284,GERAL!AL$8:AL$1696)</f>
        <v>0</v>
      </c>
      <c r="Q284" s="100">
        <f>SUMIF(GERAL!B$8:B$1696,A284,GERAL!AO$8:AO$1696)+SUMIF(GERAL!B$8:B$1696,A284,GERAL!AP$8:AP$1696)</f>
        <v>0</v>
      </c>
      <c r="R284" s="100">
        <f>SUMIF(GERAL!B$8:B$1696,A284,GERAL!AS$8:AS$1696)+SUMIF(GERAL!B$8:B$1696,A284,GERAL!AT$8:AT$1696)</f>
        <v>258</v>
      </c>
      <c r="S284" s="75">
        <f t="shared" si="39"/>
        <v>371</v>
      </c>
      <c r="T284" s="116">
        <f>COUNTIFS(GERAL!B$8:B$1696,A284,GERAL!AZ$8:AZ$1696,"&gt;0",GERAL!C$8:C$1696,"ESCOLA")</f>
        <v>1</v>
      </c>
      <c r="U284" s="75">
        <f>COUNTIFS(GERAL!B$8:B$1696,A284,GERAL!AZ$8:AZ$1696,"&gt;0",GERAL!C$8:C$1696,"ANEXO")</f>
        <v>2</v>
      </c>
      <c r="V284" s="85">
        <f>SUMIF(GERAL!B$8:B$1696,A284,GERAL!AH$8:AH$1696)</f>
        <v>105</v>
      </c>
      <c r="W284" s="85">
        <f>SUMIF(GERAL!B$8:B$1696,A284,GERAL!AM$8:AM$1696)</f>
        <v>0</v>
      </c>
      <c r="X284" s="85">
        <f>SUMIF(GERAL!B$8:B$1696,A284,GERAL!AQ$8:AQ$1696)</f>
        <v>88</v>
      </c>
      <c r="Y284" s="85">
        <f>SUMIF(GERAL!B$8:B$1696,A284,GERAL!AU$8:AU$1696)</f>
        <v>106</v>
      </c>
      <c r="Z284" s="88">
        <f t="shared" si="40"/>
        <v>299</v>
      </c>
      <c r="AA284" s="116">
        <f>COUNTIFS(GERAL!B$8:B$1696,A284,GERAL!BK$8:BK$1696,"&gt;0",GERAL!C$8:C$1696,"ESCOLA")</f>
        <v>1</v>
      </c>
      <c r="AB284" s="88">
        <f>COUNTIFS(GERAL!B$8:B$1696,A284,GERAL!BK$8:BK$1696,"&gt;0",GERAL!C$8:C$1696,"ANEXO")</f>
        <v>0</v>
      </c>
      <c r="AC284" s="121">
        <f>SUMIF(GERAL!B$8:B$1696,A284,GERAL!AD$8:AD$1696)</f>
        <v>0</v>
      </c>
      <c r="AD284" s="121">
        <f>SUMIF(GERAL!B$8:B$1696,A284,GERAL!AI$8:AI$1696)</f>
        <v>124</v>
      </c>
      <c r="AE284" s="121">
        <f>SUMIF(GERAL!B$8:B$1696,A284,GERAL!AV$8:AV$1696)</f>
        <v>152</v>
      </c>
      <c r="AF284" s="492">
        <f t="shared" si="41"/>
        <v>276</v>
      </c>
      <c r="AG284" s="178">
        <f>COUNTIFS(GERAL!B$8:B$1696,A284,GERAL!AW$8:AW$1696,"&gt;0",GERAL!C$8:C$1696,"ESCOLA")</f>
        <v>1</v>
      </c>
      <c r="AH284" s="118">
        <f>COUNTIFS(GERAL!B$8:B$1696,A284,GERAL!AW$8:AW$1696,"&gt;0",GERAL!C$8:C$1696,"ANEXO")</f>
        <v>0</v>
      </c>
      <c r="AI284" s="177">
        <f>SUMIF(GERAL!B$8:B$1696,A284,GERAL!AS$8:AS$1696)+SUMIF(GERAL!B$8:B$1696,A284,GERAL!AT$8:AT$1696)</f>
        <v>258</v>
      </c>
      <c r="AJ284" s="177">
        <f>SUMIF(GERAL!B$8:B$1696,A284,GERAL!AU$8:AU$1696)</f>
        <v>106</v>
      </c>
      <c r="AK284" s="177">
        <f>SUMIF(GERAL!B$8:B$1696,A284,GERAL!AV$8:AV$1696)</f>
        <v>152</v>
      </c>
      <c r="AL284" s="118">
        <f t="shared" si="42"/>
        <v>516</v>
      </c>
      <c r="AM284" s="493" t="s">
        <v>1027</v>
      </c>
    </row>
    <row r="285">
      <c r="A285" s="494" t="s">
        <v>6654</v>
      </c>
      <c r="B285" s="75">
        <f>COUNTIFS(GERAL!B$8:B$1696,A285,GERAL!C$8:C$1696,"ESCOLA")</f>
        <v>1</v>
      </c>
      <c r="C285" s="75">
        <f>COUNTIFS(GERAL!B$8:B$1696,A285,GERAL!C$8:C$1696,"ANEXO")</f>
        <v>0</v>
      </c>
      <c r="D285" s="85">
        <f>SUMIF(GERAL!B$8:B$1696,A285,GERAL!Z$8:Z$1696)</f>
        <v>0</v>
      </c>
      <c r="E285" s="85">
        <f>SUMIF(GERAL!B$8:B$1696,A285,GERAL!AE$8:AE$1696)</f>
        <v>0</v>
      </c>
      <c r="F285" s="85">
        <f>SUMIF(GERAL!B$8:B$1696,A285,GERAL!AJ$8:AJ$1696)</f>
        <v>204</v>
      </c>
      <c r="G285" s="85">
        <f>SUMIF(GERAL!B$8:B$1696,A285,GERAL!AN$8:AN$1696)</f>
        <v>0</v>
      </c>
      <c r="H285" s="85">
        <f>SUMIF(GERAL!B$8:B$1696,A285,GERAL!AR$8:AW$1696)</f>
        <v>15</v>
      </c>
      <c r="I285" s="85">
        <f>SUMIF(GERAL!B$8:B$1696,A285,GERAL!AW$8:AW$1696)</f>
        <v>115</v>
      </c>
      <c r="J285" s="75">
        <f>SUMIF(GERAL!B$8:B$1696,A285,GERAL!AX$8:AX$1696)</f>
        <v>334</v>
      </c>
      <c r="K285" s="75">
        <f>COUNTIFS(GERAL!B$8:B$1696,A285,GERAL!AY$8:AY$1696,"&gt;0",GERAL!C$8:C$1696,"ESCOLA")</f>
        <v>1</v>
      </c>
      <c r="L285" s="75">
        <f>COUNTIFS(GERAL!B$8:B$1696,A285,GERAL!AY$8:AY$1696,"&gt;0",GERAL!C$8:C$1696,"ANEXO")</f>
        <v>0</v>
      </c>
      <c r="M285" s="100">
        <f>SUMIF(GERAL!B$8:B$1696,A285,GERAL!V$8:V$1696)+SUMIF(GERAL!B$8:B$1696,A285,GERAL!W$8:W$1696)</f>
        <v>0</v>
      </c>
      <c r="N285" s="100">
        <f>SUMIF(GERAL!B$8:B$1696,A285,GERAL!AA$8:AA$1696)+SUMIF(GERAL!B$8:B$1696,A285,GERAL!AB$8:AB$1696)</f>
        <v>0</v>
      </c>
      <c r="O285" s="100">
        <f>SUMIF(GERAL!B$8:B$1696,A285,GERAL!AF$8:AF$1696)+SUMIF(GERAL!B$8:B$1696,A285,GERAL!AG$8:AG$1696)</f>
        <v>143</v>
      </c>
      <c r="P285" s="100">
        <f>SUMIF(GERAL!B$8:B$1696,A285,GERAL!AK$8:AK$1696)+SUMIF(GERAL!B$8:B$1696,A285,GERAL!AL$8:AL$1696)</f>
        <v>0</v>
      </c>
      <c r="Q285" s="100">
        <f>SUMIF(GERAL!B$8:B$1696,A285,GERAL!AO$8:AO$1696)+SUMIF(GERAL!B$8:B$1696,A285,GERAL!AP$8:AP$1696)</f>
        <v>0</v>
      </c>
      <c r="R285" s="100">
        <f>SUMIF(GERAL!B$8:B$1696,A285,GERAL!AS$8:AS$1696)+SUMIF(GERAL!B$8:B$1696,A285,GERAL!AT$8:AT$1696)</f>
        <v>25</v>
      </c>
      <c r="S285" s="75">
        <f t="shared" si="39"/>
        <v>168</v>
      </c>
      <c r="T285" s="116">
        <f>COUNTIFS(GERAL!B$8:B$1696,A285,GERAL!AZ$8:AZ$1696,"&gt;0",GERAL!C$8:C$1696,"ESCOLA")</f>
        <v>1</v>
      </c>
      <c r="U285" s="75">
        <f>COUNTIFS(GERAL!B$8:B$1696,A285,GERAL!AZ$8:AZ$1696,"&gt;0",GERAL!C$8:C$1696,"ANEXO")</f>
        <v>0</v>
      </c>
      <c r="V285" s="85">
        <f>SUMIF(GERAL!B$8:B$1696,A285,GERAL!AH$8:AH$1696)</f>
        <v>0</v>
      </c>
      <c r="W285" s="85">
        <f>SUMIF(GERAL!B$8:B$1696,A285,GERAL!AM$8:AM$1696)</f>
        <v>0</v>
      </c>
      <c r="X285" s="85">
        <f>SUMIF(GERAL!B$8:B$1696,A285,GERAL!AQ$8:AQ$1696)</f>
        <v>15</v>
      </c>
      <c r="Y285" s="85">
        <f>SUMIF(GERAL!B$8:B$1696,A285,GERAL!AU$8:AU$1696)</f>
        <v>19</v>
      </c>
      <c r="Z285" s="88">
        <f t="shared" si="40"/>
        <v>34</v>
      </c>
      <c r="AA285" s="116">
        <f>COUNTIFS(GERAL!B$8:B$1696,A285,GERAL!BK$8:BK$1696,"&gt;0",GERAL!C$8:C$1696,"ESCOLA")</f>
        <v>1</v>
      </c>
      <c r="AB285" s="88">
        <f>COUNTIFS(GERAL!B$8:B$1696,A285,GERAL!BK$8:BK$1696,"&gt;0",GERAL!C$8:C$1696,"ANEXO")</f>
        <v>0</v>
      </c>
      <c r="AC285" s="121">
        <f>SUMIF(GERAL!B$8:B$1696,A285,GERAL!AD$8:AD$1696)</f>
        <v>0</v>
      </c>
      <c r="AD285" s="121">
        <f>SUMIF(GERAL!B$8:B$1696,A285,GERAL!AI$8:AI$1696)</f>
        <v>61</v>
      </c>
      <c r="AE285" s="121">
        <f>SUMIF(GERAL!B$8:B$1696,A285,GERAL!AV$8:AV$1696)</f>
        <v>71</v>
      </c>
      <c r="AF285" s="492">
        <f t="shared" si="41"/>
        <v>132</v>
      </c>
      <c r="AG285" s="178">
        <f>COUNTIFS(GERAL!B$8:B$1696,A285,GERAL!AW$8:AW$1696,"&gt;0",GERAL!C$8:C$1696,"ESCOLA")</f>
        <v>1</v>
      </c>
      <c r="AH285" s="118">
        <f>COUNTIFS(GERAL!B$8:B$1696,A285,GERAL!AW$8:AW$1696,"&gt;0",GERAL!C$8:C$1696,"ANEXO")</f>
        <v>0</v>
      </c>
      <c r="AI285" s="177">
        <f>SUMIF(GERAL!B$8:B$1696,A285,GERAL!AS$8:AS$1696)+SUMIF(GERAL!B$8:B$1696,A285,GERAL!AT$8:AT$1696)</f>
        <v>25</v>
      </c>
      <c r="AJ285" s="177">
        <f>SUMIF(GERAL!B$8:B$1696,A285,GERAL!AU$8:AU$1696)</f>
        <v>19</v>
      </c>
      <c r="AK285" s="177">
        <f>SUMIF(GERAL!B$8:B$1696,A285,GERAL!AV$8:AV$1696)</f>
        <v>71</v>
      </c>
      <c r="AL285" s="118">
        <f t="shared" si="42"/>
        <v>115</v>
      </c>
      <c r="AM285" s="493" t="s">
        <v>1463</v>
      </c>
    </row>
    <row r="286">
      <c r="A286" s="649" t="s">
        <v>644</v>
      </c>
      <c r="B286" s="75">
        <f>COUNTIFS(GERAL!B$8:B$1696,A286,GERAL!C$8:C$1696,"ESCOLA")</f>
        <v>3</v>
      </c>
      <c r="C286" s="75">
        <f>COUNTIFS(GERAL!B$8:B$1696,A286,GERAL!C$8:C$1696,"ANEXO")</f>
        <v>4</v>
      </c>
      <c r="D286" s="85">
        <f>SUMIF(GERAL!B$8:B$1696,A286,GERAL!Z$8:Z$1696)</f>
        <v>3</v>
      </c>
      <c r="E286" s="85">
        <f>SUMIF(GERAL!B$8:B$1696,A286,GERAL!AE$8:AE$1696)</f>
        <v>11</v>
      </c>
      <c r="F286" s="85">
        <f>SUMIF(GERAL!B$8:B$1696,A286,GERAL!AJ$8:AJ$1696)</f>
        <v>316</v>
      </c>
      <c r="G286" s="85">
        <f>SUMIF(GERAL!B$8:B$1696,A286,GERAL!AN$8:AN$1696)</f>
        <v>0</v>
      </c>
      <c r="H286" s="85">
        <f>SUMIF(GERAL!B$8:B$1696,A286,GERAL!AR$8:AW$1696)</f>
        <v>114</v>
      </c>
      <c r="I286" s="85">
        <f>SUMIF(GERAL!B$8:B$1696,A286,GERAL!AW$8:AW$1696)</f>
        <v>45</v>
      </c>
      <c r="J286" s="75">
        <f>SUMIF(GERAL!B$8:B$1696,A286,GERAL!AX$8:AX$1696)</f>
        <v>489</v>
      </c>
      <c r="K286" s="75">
        <f>COUNTIFS(GERAL!B$8:B$1696,A286,GERAL!AY$8:AY$1696,"&gt;0",GERAL!C$8:C$1696,"ESCOLA")</f>
        <v>3</v>
      </c>
      <c r="L286" s="75">
        <f>COUNTIFS(GERAL!B$8:B$1696,A286,GERAL!AY$8:AY$1696,"&gt;0",GERAL!C$8:C$1696,"ANEXO")</f>
        <v>2</v>
      </c>
      <c r="M286" s="100">
        <f>SUMIF(GERAL!B$8:B$1696,A286,GERAL!V$8:V$1696)+SUMIF(GERAL!B$8:B$1696,A286,GERAL!W$8:W$1696)</f>
        <v>3</v>
      </c>
      <c r="N286" s="100">
        <f>SUMIF(GERAL!B$8:B$1696,A286,GERAL!AA$8:AA$1696)+SUMIF(GERAL!B$8:B$1696,A286,GERAL!AB$8:AB$1696)</f>
        <v>11</v>
      </c>
      <c r="O286" s="100">
        <f>SUMIF(GERAL!B$8:B$1696,A286,GERAL!AF$8:AF$1696)+SUMIF(GERAL!B$8:B$1696,A286,GERAL!AG$8:AG$1696)</f>
        <v>301</v>
      </c>
      <c r="P286" s="100">
        <f>SUMIF(GERAL!B$8:B$1696,A286,GERAL!AK$8:AK$1696)+SUMIF(GERAL!B$8:B$1696,A286,GERAL!AL$8:AL$1696)</f>
        <v>0</v>
      </c>
      <c r="Q286" s="100">
        <f>SUMIF(GERAL!B$8:B$1696,A286,GERAL!AO$8:AO$1696)+SUMIF(GERAL!B$8:B$1696,A286,GERAL!AP$8:AP$1696)</f>
        <v>0</v>
      </c>
      <c r="R286" s="100">
        <f>SUMIF(GERAL!B$8:B$1696,A286,GERAL!AS$8:AS$1696)+SUMIF(GERAL!B$8:B$1696,A286,GERAL!AT$8:AT$1696)</f>
        <v>13</v>
      </c>
      <c r="S286" s="75">
        <f t="shared" si="39"/>
        <v>328</v>
      </c>
      <c r="T286" s="116">
        <f>COUNTIFS(GERAL!B$8:B$1696,A286,GERAL!AZ$8:AZ$1696,"&gt;0",GERAL!C$8:C$1696,"ESCOLA")</f>
        <v>3</v>
      </c>
      <c r="U286" s="75">
        <f>COUNTIFS(GERAL!B$8:B$1696,A286,GERAL!AZ$8:AZ$1696,"&gt;0",GERAL!C$8:C$1696,"ANEXO")</f>
        <v>2</v>
      </c>
      <c r="V286" s="85">
        <f>SUMIF(GERAL!B$8:B$1696,A286,GERAL!AH$8:AH$1696)</f>
        <v>0</v>
      </c>
      <c r="W286" s="85">
        <f>SUMIF(GERAL!B$8:B$1696,A286,GERAL!AM$8:AM$1696)</f>
        <v>0</v>
      </c>
      <c r="X286" s="85">
        <f>SUMIF(GERAL!B$8:B$1696,A286,GERAL!AQ$8:AQ$1696)</f>
        <v>114</v>
      </c>
      <c r="Y286" s="85">
        <f>SUMIF(GERAL!B$8:B$1696,A286,GERAL!AU$8:AU$1696)</f>
        <v>0</v>
      </c>
      <c r="Z286" s="88">
        <f t="shared" si="40"/>
        <v>114</v>
      </c>
      <c r="AA286" s="116">
        <f>COUNTIFS(GERAL!B$8:B$1696,A286,GERAL!BK$8:BK$1696,"&gt;0",GERAL!C$8:C$1696,"ESCOLA")</f>
        <v>2</v>
      </c>
      <c r="AB286" s="88">
        <f>COUNTIFS(GERAL!B$8:B$1696,A286,GERAL!BK$8:BK$1696,"&gt;0",GERAL!C$8:C$1696,"ANEXO")</f>
        <v>0</v>
      </c>
      <c r="AC286" s="121">
        <f>SUMIF(GERAL!B$8:B$1696,A286,GERAL!AD$8:AD$1696)</f>
        <v>0</v>
      </c>
      <c r="AD286" s="121">
        <f>SUMIF(GERAL!B$8:B$1696,A286,GERAL!AI$8:AI$1696)</f>
        <v>15</v>
      </c>
      <c r="AE286" s="121">
        <f>SUMIF(GERAL!B$8:B$1696,A286,GERAL!AV$8:AV$1696)</f>
        <v>32</v>
      </c>
      <c r="AF286" s="492">
        <f t="shared" si="41"/>
        <v>47</v>
      </c>
      <c r="AG286" s="178">
        <f>COUNTIFS(GERAL!B$8:B$1696,A286,GERAL!AW$8:AW$1696,"&gt;0",GERAL!C$8:C$1696,"ESCOLA")</f>
        <v>1</v>
      </c>
      <c r="AH286" s="118">
        <f>COUNTIFS(GERAL!B$8:B$1696,A286,GERAL!AW$8:AW$1696,"&gt;0",GERAL!C$8:C$1696,"ANEXO")</f>
        <v>0</v>
      </c>
      <c r="AI286" s="177">
        <f>SUMIF(GERAL!B$8:B$1696,A286,GERAL!AS$8:AS$1696)+SUMIF(GERAL!B$8:B$1696,A286,GERAL!AT$8:AT$1696)</f>
        <v>13</v>
      </c>
      <c r="AJ286" s="177">
        <f>SUMIF(GERAL!B$8:B$1696,A286,GERAL!AU$8:AU$1696)</f>
        <v>0</v>
      </c>
      <c r="AK286" s="177">
        <f>SUMIF(GERAL!B$8:B$1696,A286,GERAL!AV$8:AV$1696)</f>
        <v>32</v>
      </c>
      <c r="AL286" s="118">
        <f t="shared" si="42"/>
        <v>45</v>
      </c>
      <c r="AM286" s="493" t="s">
        <v>205</v>
      </c>
    </row>
    <row r="287">
      <c r="A287" s="494" t="s">
        <v>2709</v>
      </c>
      <c r="B287" s="75">
        <f>COUNTIFS(GERAL!B$8:B$1696,A287,GERAL!C$8:C$1696,"ESCOLA")</f>
        <v>2</v>
      </c>
      <c r="C287" s="75">
        <f>COUNTIFS(GERAL!B$8:B$1696,A287,GERAL!C$8:C$1696,"ANEXO")</f>
        <v>0</v>
      </c>
      <c r="D287" s="85">
        <f>SUMIF(GERAL!B$8:B$1696,A287,GERAL!Z$8:Z$1696)</f>
        <v>0</v>
      </c>
      <c r="E287" s="85">
        <f>SUMIF(GERAL!B$8:B$1696,A287,GERAL!AE$8:AE$1696)</f>
        <v>0</v>
      </c>
      <c r="F287" s="85">
        <f>SUMIF(GERAL!B$8:B$1696,A287,GERAL!AJ$8:AJ$1696)</f>
        <v>584</v>
      </c>
      <c r="G287" s="85">
        <f>SUMIF(GERAL!B$8:B$1696,A287,GERAL!AN$8:AN$1696)</f>
        <v>0</v>
      </c>
      <c r="H287" s="85">
        <f>SUMIF(GERAL!B$8:B$1696,A287,GERAL!AR$8:AW$1696)</f>
        <v>157</v>
      </c>
      <c r="I287" s="85">
        <f>SUMIF(GERAL!B$8:B$1696,A287,GERAL!AW$8:AW$1696)</f>
        <v>80</v>
      </c>
      <c r="J287" s="75">
        <f>SUMIF(GERAL!B$8:B$1696,A287,GERAL!AX$8:AX$1696)</f>
        <v>821</v>
      </c>
      <c r="K287" s="75">
        <f>COUNTIFS(GERAL!B$8:B$1696,A287,GERAL!AY$8:AY$1696,"&gt;0",GERAL!C$8:C$1696,"ESCOLA")</f>
        <v>2</v>
      </c>
      <c r="L287" s="75">
        <f>COUNTIFS(GERAL!B$8:B$1696,A287,GERAL!AY$8:AY$1696,"&gt;0",GERAL!C$8:C$1696,"ANEXO")</f>
        <v>0</v>
      </c>
      <c r="M287" s="100">
        <f>SUMIF(GERAL!B$8:B$1696,A287,GERAL!V$8:V$1696)+SUMIF(GERAL!B$8:B$1696,A287,GERAL!W$8:W$1696)</f>
        <v>0</v>
      </c>
      <c r="N287" s="100">
        <f>SUMIF(GERAL!B$8:B$1696,A287,GERAL!AA$8:AA$1696)+SUMIF(GERAL!B$8:B$1696,A287,GERAL!AB$8:AB$1696)</f>
        <v>0</v>
      </c>
      <c r="O287" s="100">
        <f>SUMIF(GERAL!B$8:B$1696,A287,GERAL!AF$8:AF$1696)+SUMIF(GERAL!B$8:B$1696,A287,GERAL!AG$8:AG$1696)</f>
        <v>199</v>
      </c>
      <c r="P287" s="100">
        <f>SUMIF(GERAL!B$8:B$1696,A287,GERAL!AK$8:AK$1696)+SUMIF(GERAL!B$8:B$1696,A287,GERAL!AL$8:AL$1696)</f>
        <v>0</v>
      </c>
      <c r="Q287" s="100">
        <f>SUMIF(GERAL!B$8:B$1696,A287,GERAL!AO$8:AO$1696)+SUMIF(GERAL!B$8:B$1696,A287,GERAL!AP$8:AP$1696)</f>
        <v>0</v>
      </c>
      <c r="R287" s="100">
        <f>SUMIF(GERAL!B$8:B$1696,A287,GERAL!AS$8:AS$1696)+SUMIF(GERAL!B$8:B$1696,A287,GERAL!AT$8:AT$1696)</f>
        <v>0</v>
      </c>
      <c r="S287" s="75">
        <f t="shared" si="39"/>
        <v>199</v>
      </c>
      <c r="T287" s="116">
        <f>COUNTIFS(GERAL!B$8:B$1696,A287,GERAL!AZ$8:AZ$1696,"&gt;0",GERAL!C$8:C$1696,"ESCOLA")</f>
        <v>2</v>
      </c>
      <c r="U287" s="75">
        <f>COUNTIFS(GERAL!B$8:B$1696,A287,GERAL!AZ$8:AZ$1696,"&gt;0",GERAL!C$8:C$1696,"ANEXO")</f>
        <v>0</v>
      </c>
      <c r="V287" s="85">
        <f>SUMIF(GERAL!B$8:B$1696,A287,GERAL!AH$8:AH$1696)</f>
        <v>0</v>
      </c>
      <c r="W287" s="85">
        <f>SUMIF(GERAL!B$8:B$1696,A287,GERAL!AM$8:AM$1696)</f>
        <v>0</v>
      </c>
      <c r="X287" s="85">
        <f>SUMIF(GERAL!B$8:B$1696,A287,GERAL!AQ$8:AQ$1696)</f>
        <v>157</v>
      </c>
      <c r="Y287" s="85">
        <f>SUMIF(GERAL!B$8:B$1696,A287,GERAL!AU$8:AU$1696)</f>
        <v>20</v>
      </c>
      <c r="Z287" s="88">
        <f t="shared" si="40"/>
        <v>177</v>
      </c>
      <c r="AA287" s="116">
        <f>COUNTIFS(GERAL!B$8:B$1696,A287,GERAL!BK$8:BK$1696,"&gt;0",GERAL!C$8:C$1696,"ESCOLA")</f>
        <v>2</v>
      </c>
      <c r="AB287" s="88">
        <f>COUNTIFS(GERAL!B$8:B$1696,A287,GERAL!BK$8:BK$1696,"&gt;0",GERAL!C$8:C$1696,"ANEXO")</f>
        <v>0</v>
      </c>
      <c r="AC287" s="121">
        <f>SUMIF(GERAL!B$8:B$1696,A287,GERAL!AD$8:AD$1696)</f>
        <v>0</v>
      </c>
      <c r="AD287" s="121">
        <f>SUMIF(GERAL!B$8:B$1696,A287,GERAL!AI$8:AI$1696)</f>
        <v>385</v>
      </c>
      <c r="AE287" s="121">
        <f>SUMIF(GERAL!B$8:B$1696,A287,GERAL!AV$8:AV$1696)</f>
        <v>60</v>
      </c>
      <c r="AF287" s="492">
        <f t="shared" si="41"/>
        <v>445</v>
      </c>
      <c r="AG287" s="178">
        <f>COUNTIFS(GERAL!B$8:B$1696,A287,GERAL!AW$8:AW$1696,"&gt;0",GERAL!C$8:C$1696,"ESCOLA")</f>
        <v>1</v>
      </c>
      <c r="AH287" s="118">
        <f>COUNTIFS(GERAL!B$8:B$1696,A287,GERAL!AW$8:AW$1696,"&gt;0",GERAL!C$8:C$1696,"ANEXO")</f>
        <v>0</v>
      </c>
      <c r="AI287" s="177">
        <f>SUMIF(GERAL!B$8:B$1696,A287,GERAL!AS$8:AS$1696)+SUMIF(GERAL!B$8:B$1696,A287,GERAL!AT$8:AT$1696)</f>
        <v>0</v>
      </c>
      <c r="AJ287" s="177">
        <f>SUMIF(GERAL!B$8:B$1696,A287,GERAL!AU$8:AU$1696)</f>
        <v>20</v>
      </c>
      <c r="AK287" s="177">
        <f>SUMIF(GERAL!B$8:B$1696,A287,GERAL!AV$8:AV$1696)</f>
        <v>60</v>
      </c>
      <c r="AL287" s="118">
        <f t="shared" si="42"/>
        <v>80</v>
      </c>
      <c r="AM287" s="493" t="s">
        <v>1463</v>
      </c>
    </row>
    <row r="288">
      <c r="A288" s="484" t="s">
        <v>2764</v>
      </c>
      <c r="B288" s="75">
        <f>COUNTIFS(GERAL!B$8:B$1696,A288,GERAL!C$8:C$1696,"ESCOLA")</f>
        <v>1</v>
      </c>
      <c r="C288" s="75">
        <f>COUNTIFS(GERAL!B$8:B$1696,A288,GERAL!C$8:C$1696,"ANEXO")</f>
        <v>0</v>
      </c>
      <c r="D288" s="85">
        <f>SUMIF(GERAL!B$8:B$1696,A288,GERAL!Z$8:Z$1696)</f>
        <v>0</v>
      </c>
      <c r="E288" s="85">
        <f>SUMIF(GERAL!B$8:B$1696,A288,GERAL!AE$8:AE$1696)</f>
        <v>0</v>
      </c>
      <c r="F288" s="85">
        <f>SUMIF(GERAL!B$8:B$1696,A288,GERAL!AJ$8:AJ$1696)</f>
        <v>585</v>
      </c>
      <c r="G288" s="85">
        <f>SUMIF(GERAL!B$8:B$1696,A288,GERAL!AN$8:AN$1696)</f>
        <v>0</v>
      </c>
      <c r="H288" s="85">
        <f>SUMIF(GERAL!B$8:B$1696,A288,GERAL!AR$8:AW$1696)</f>
        <v>132</v>
      </c>
      <c r="I288" s="85">
        <f>SUMIF(GERAL!B$8:B$1696,A288,GERAL!AW$8:AW$1696)</f>
        <v>107</v>
      </c>
      <c r="J288" s="75">
        <f>SUMIF(GERAL!B$8:B$1696,A288,GERAL!AX$8:AX$1696)</f>
        <v>824</v>
      </c>
      <c r="K288" s="75">
        <f>COUNTIFS(GERAL!B$8:B$1696,A288,GERAL!AY$8:AY$1696,"&gt;0",GERAL!C$8:C$1696,"ESCOLA")</f>
        <v>1</v>
      </c>
      <c r="L288" s="75">
        <f>COUNTIFS(GERAL!B$8:B$1696,A288,GERAL!AY$8:AY$1696,"&gt;0",GERAL!C$8:C$1696,"ANEXO")</f>
        <v>0</v>
      </c>
      <c r="M288" s="100">
        <f>SUMIF(GERAL!B$8:B$1696,A288,GERAL!V$8:V$1696)+SUMIF(GERAL!B$8:B$1696,A288,GERAL!W$8:W$1696)</f>
        <v>0</v>
      </c>
      <c r="N288" s="100">
        <f>SUMIF(GERAL!B$8:B$1696,A288,GERAL!AA$8:AA$1696)+SUMIF(GERAL!B$8:B$1696,A288,GERAL!AB$8:AB$1696)</f>
        <v>0</v>
      </c>
      <c r="O288" s="100">
        <f>SUMIF(GERAL!B$8:B$1696,A288,GERAL!AF$8:AF$1696)+SUMIF(GERAL!B$8:B$1696,A288,GERAL!AG$8:AG$1696)</f>
        <v>453</v>
      </c>
      <c r="P288" s="100">
        <f>SUMIF(GERAL!B$8:B$1696,A288,GERAL!AK$8:AK$1696)+SUMIF(GERAL!B$8:B$1696,A288,GERAL!AL$8:AL$1696)</f>
        <v>0</v>
      </c>
      <c r="Q288" s="100">
        <f>SUMIF(GERAL!B$8:B$1696,A288,GERAL!AO$8:AO$1696)+SUMIF(GERAL!B$8:B$1696,A288,GERAL!AP$8:AP$1696)</f>
        <v>0</v>
      </c>
      <c r="R288" s="100">
        <f>SUMIF(GERAL!B$8:B$1696,A288,GERAL!AS$8:AS$1696)+SUMIF(GERAL!B$8:B$1696,A288,GERAL!AT$8:AT$1696)</f>
        <v>0</v>
      </c>
      <c r="S288" s="75">
        <f t="shared" si="39"/>
        <v>453</v>
      </c>
      <c r="T288" s="116">
        <f>COUNTIFS(GERAL!B$8:B$1696,A288,GERAL!AZ$8:AZ$1696,"&gt;0",GERAL!C$8:C$1696,"ESCOLA")</f>
        <v>1</v>
      </c>
      <c r="U288" s="75">
        <f>COUNTIFS(GERAL!B$8:B$1696,A288,GERAL!AZ$8:AZ$1696,"&gt;0",GERAL!C$8:C$1696,"ANEXO")</f>
        <v>0</v>
      </c>
      <c r="V288" s="85">
        <f>SUMIF(GERAL!B$8:B$1696,A288,GERAL!AH$8:AH$1696)</f>
        <v>0</v>
      </c>
      <c r="W288" s="85">
        <f>SUMIF(GERAL!B$8:B$1696,A288,GERAL!AM$8:AM$1696)</f>
        <v>0</v>
      </c>
      <c r="X288" s="85">
        <f>SUMIF(GERAL!B$8:B$1696,A288,GERAL!AQ$8:AQ$1696)</f>
        <v>132</v>
      </c>
      <c r="Y288" s="85">
        <f>SUMIF(GERAL!B$8:B$1696,A288,GERAL!AU$8:AU$1696)</f>
        <v>43</v>
      </c>
      <c r="Z288" s="88">
        <f t="shared" si="40"/>
        <v>175</v>
      </c>
      <c r="AA288" s="116">
        <f>COUNTIFS(GERAL!B$8:B$1696,A288,GERAL!BK$8:BK$1696,"&gt;0",GERAL!C$8:C$1696,"ESCOLA")</f>
        <v>1</v>
      </c>
      <c r="AB288" s="88">
        <f>COUNTIFS(GERAL!B$8:B$1696,A288,GERAL!BK$8:BK$1696,"&gt;0",GERAL!C$8:C$1696,"ANEXO")</f>
        <v>0</v>
      </c>
      <c r="AC288" s="121">
        <f>SUMIF(GERAL!B$8:B$1696,A288,GERAL!AD$8:AD$1696)</f>
        <v>0</v>
      </c>
      <c r="AD288" s="121">
        <f>SUMIF(GERAL!B$8:B$1696,A288,GERAL!AI$8:AI$1696)</f>
        <v>132</v>
      </c>
      <c r="AE288" s="121">
        <f>SUMIF(GERAL!B$8:B$1696,A288,GERAL!AV$8:AV$1696)</f>
        <v>64</v>
      </c>
      <c r="AF288" s="492">
        <f t="shared" si="41"/>
        <v>196</v>
      </c>
      <c r="AG288" s="178">
        <f>COUNTIFS(GERAL!B$8:B$1696,A288,GERAL!AW$8:AW$1696,"&gt;0",GERAL!C$8:C$1696,"ESCOLA")</f>
        <v>1</v>
      </c>
      <c r="AH288" s="118">
        <f>COUNTIFS(GERAL!B$8:B$1696,A288,GERAL!AW$8:AW$1696,"&gt;0",GERAL!C$8:C$1696,"ANEXO")</f>
        <v>0</v>
      </c>
      <c r="AI288" s="177">
        <f>SUMIF(GERAL!B$8:B$1696,A288,GERAL!AS$8:AS$1696)+SUMIF(GERAL!B$8:B$1696,A288,GERAL!AT$8:AT$1696)</f>
        <v>0</v>
      </c>
      <c r="AJ288" s="177">
        <f>SUMIF(GERAL!B$8:B$1696,A288,GERAL!AU$8:AU$1696)</f>
        <v>43</v>
      </c>
      <c r="AK288" s="177">
        <f>SUMIF(GERAL!B$8:B$1696,A288,GERAL!AV$8:AV$1696)</f>
        <v>64</v>
      </c>
      <c r="AL288" s="118">
        <f t="shared" si="42"/>
        <v>107</v>
      </c>
      <c r="AM288" s="493" t="s">
        <v>723</v>
      </c>
    </row>
    <row r="289">
      <c r="A289" s="494" t="s">
        <v>4828</v>
      </c>
      <c r="B289" s="75">
        <f>COUNTIFS(GERAL!B$8:B$1696,A289,GERAL!C$8:C$1696,"ESCOLA")</f>
        <v>2</v>
      </c>
      <c r="C289" s="75">
        <f>COUNTIFS(GERAL!B$8:B$1696,A289,GERAL!C$8:C$1696,"ANEXO")</f>
        <v>0</v>
      </c>
      <c r="D289" s="85">
        <f>SUMIF(GERAL!B$8:B$1696,A289,GERAL!Z$8:Z$1696)</f>
        <v>0</v>
      </c>
      <c r="E289" s="85">
        <f>SUMIF(GERAL!B$8:B$1696,A289,GERAL!AE$8:AE$1696)</f>
        <v>0</v>
      </c>
      <c r="F289" s="85">
        <f>SUMIF(GERAL!B$8:B$1696,A289,GERAL!AJ$8:AJ$1696)</f>
        <v>349</v>
      </c>
      <c r="G289" s="85">
        <f>SUMIF(GERAL!B$8:B$1696,A289,GERAL!AN$8:AN$1696)</f>
        <v>0</v>
      </c>
      <c r="H289" s="85">
        <f>SUMIF(GERAL!B$8:B$1696,A289,GERAL!AR$8:AW$1696)</f>
        <v>182</v>
      </c>
      <c r="I289" s="85">
        <f>SUMIF(GERAL!B$8:B$1696,A289,GERAL!AW$8:AW$1696)</f>
        <v>1018</v>
      </c>
      <c r="J289" s="75">
        <f>SUMIF(GERAL!B$8:B$1696,A289,GERAL!AX$8:AX$1696)</f>
        <v>1549</v>
      </c>
      <c r="K289" s="75">
        <f>COUNTIFS(GERAL!B$8:B$1696,A289,GERAL!AY$8:AY$1696,"&gt;0",GERAL!C$8:C$1696,"ESCOLA")</f>
        <v>2</v>
      </c>
      <c r="L289" s="75">
        <f>COUNTIFS(GERAL!B$8:B$1696,A289,GERAL!AY$8:AY$1696,"&gt;0",GERAL!C$8:C$1696,"ANEXO")</f>
        <v>0</v>
      </c>
      <c r="M289" s="100">
        <f>SUMIF(GERAL!B$8:B$1696,A289,GERAL!V$8:V$1696)+SUMIF(GERAL!B$8:B$1696,A289,GERAL!W$8:W$1696)</f>
        <v>0</v>
      </c>
      <c r="N289" s="100">
        <f>SUMIF(GERAL!B$8:B$1696,A289,GERAL!AA$8:AA$1696)+SUMIF(GERAL!B$8:B$1696,A289,GERAL!AB$8:AB$1696)</f>
        <v>0</v>
      </c>
      <c r="O289" s="100">
        <f>SUMIF(GERAL!B$8:B$1696,A289,GERAL!AF$8:AF$1696)+SUMIF(GERAL!B$8:B$1696,A289,GERAL!AG$8:AG$1696)</f>
        <v>276</v>
      </c>
      <c r="P289" s="100">
        <f>SUMIF(GERAL!B$8:B$1696,A289,GERAL!AK$8:AK$1696)+SUMIF(GERAL!B$8:B$1696,A289,GERAL!AL$8:AL$1696)</f>
        <v>0</v>
      </c>
      <c r="Q289" s="100">
        <f>SUMIF(GERAL!B$8:B$1696,A289,GERAL!AO$8:AO$1696)+SUMIF(GERAL!B$8:B$1696,A289,GERAL!AP$8:AP$1696)</f>
        <v>0</v>
      </c>
      <c r="R289" s="100">
        <f>SUMIF(GERAL!B$8:B$1696,A289,GERAL!AS$8:AS$1696)+SUMIF(GERAL!B$8:B$1696,A289,GERAL!AT$8:AT$1696)</f>
        <v>768</v>
      </c>
      <c r="S289" s="75">
        <f t="shared" si="39"/>
        <v>1044</v>
      </c>
      <c r="T289" s="116">
        <f>COUNTIFS(GERAL!B$8:B$1696,A289,GERAL!AZ$8:AZ$1696,"&gt;0",GERAL!C$8:C$1696,"ESCOLA")</f>
        <v>2</v>
      </c>
      <c r="U289" s="75">
        <f>COUNTIFS(GERAL!B$8:B$1696,A289,GERAL!AZ$8:AZ$1696,"&gt;0",GERAL!C$8:C$1696,"ANEXO")</f>
        <v>0</v>
      </c>
      <c r="V289" s="85">
        <f>SUMIF(GERAL!B$8:B$1696,A289,GERAL!AH$8:AH$1696)</f>
        <v>0</v>
      </c>
      <c r="W289" s="85">
        <f>SUMIF(GERAL!B$8:B$1696,A289,GERAL!AM$8:AM$1696)</f>
        <v>0</v>
      </c>
      <c r="X289" s="85">
        <f>SUMIF(GERAL!B$8:B$1696,A289,GERAL!AQ$8:AQ$1696)</f>
        <v>182</v>
      </c>
      <c r="Y289" s="85">
        <f>SUMIF(GERAL!B$8:B$1696,A289,GERAL!AU$8:AU$1696)</f>
        <v>250</v>
      </c>
      <c r="Z289" s="88">
        <f t="shared" si="40"/>
        <v>432</v>
      </c>
      <c r="AA289" s="116">
        <f>COUNTIFS(GERAL!B$8:B$1696,A289,GERAL!BK$8:BK$1696,"&gt;0",GERAL!C$8:C$1696,"ESCOLA")</f>
        <v>1</v>
      </c>
      <c r="AB289" s="88">
        <f>COUNTIFS(GERAL!B$8:B$1696,A289,GERAL!BK$8:BK$1696,"&gt;0",GERAL!C$8:C$1696,"ANEXO")</f>
        <v>0</v>
      </c>
      <c r="AC289" s="121">
        <f>SUMIF(GERAL!B$8:B$1696,A289,GERAL!AD$8:AD$1696)</f>
        <v>0</v>
      </c>
      <c r="AD289" s="121">
        <f>SUMIF(GERAL!B$8:B$1696,A289,GERAL!AI$8:AI$1696)</f>
        <v>73</v>
      </c>
      <c r="AE289" s="121">
        <f>SUMIF(GERAL!B$8:B$1696,A289,GERAL!AV$8:AV$1696)</f>
        <v>0</v>
      </c>
      <c r="AF289" s="492">
        <f t="shared" si="41"/>
        <v>73</v>
      </c>
      <c r="AG289" s="178">
        <f>COUNTIFS(GERAL!B$8:B$1696,A289,GERAL!AW$8:AW$1696,"&gt;0",GERAL!C$8:C$1696,"ESCOLA")</f>
        <v>2</v>
      </c>
      <c r="AH289" s="118">
        <f>COUNTIFS(GERAL!B$8:B$1696,A289,GERAL!AW$8:AW$1696,"&gt;0",GERAL!C$8:C$1696,"ANEXO")</f>
        <v>0</v>
      </c>
      <c r="AI289" s="177">
        <f>SUMIF(GERAL!B$8:B$1696,A289,GERAL!AS$8:AS$1696)+SUMIF(GERAL!B$8:B$1696,A289,GERAL!AT$8:AT$1696)</f>
        <v>768</v>
      </c>
      <c r="AJ289" s="177">
        <f>SUMIF(GERAL!B$8:B$1696,A289,GERAL!AU$8:AU$1696)</f>
        <v>250</v>
      </c>
      <c r="AK289" s="177">
        <f>SUMIF(GERAL!B$8:B$1696,A289,GERAL!AV$8:AV$1696)</f>
        <v>0</v>
      </c>
      <c r="AL289" s="118">
        <f t="shared" si="42"/>
        <v>1018</v>
      </c>
      <c r="AM289" s="493" t="s">
        <v>1463</v>
      </c>
    </row>
    <row r="290">
      <c r="A290" s="484" t="s">
        <v>1766</v>
      </c>
      <c r="B290" s="75">
        <f>COUNTIFS(GERAL!B$8:B$1696,A290,GERAL!C$8:C$1696,"ESCOLA")</f>
        <v>1</v>
      </c>
      <c r="C290" s="75">
        <f>COUNTIFS(GERAL!B$8:B$1696,A290,GERAL!C$8:C$1696,"ANEXO")</f>
        <v>3</v>
      </c>
      <c r="D290" s="85">
        <f>SUMIF(GERAL!B$8:B$1696,A290,GERAL!Z$8:Z$1696)</f>
        <v>0</v>
      </c>
      <c r="E290" s="85">
        <f>SUMIF(GERAL!B$8:B$1696,A290,GERAL!AE$8:AE$1696)</f>
        <v>0</v>
      </c>
      <c r="F290" s="85">
        <f>SUMIF(GERAL!B$8:B$1696,A290,GERAL!AJ$8:AJ$1696)</f>
        <v>375</v>
      </c>
      <c r="G290" s="85">
        <f>SUMIF(GERAL!B$8:B$1696,A290,GERAL!AN$8:AN$1696)</f>
        <v>0</v>
      </c>
      <c r="H290" s="85">
        <f>SUMIF(GERAL!B$8:B$1696,A290,GERAL!AR$8:AW$1696)</f>
        <v>138</v>
      </c>
      <c r="I290" s="85">
        <f>SUMIF(GERAL!B$8:B$1696,A290,GERAL!AW$8:AW$1696)</f>
        <v>86</v>
      </c>
      <c r="J290" s="75">
        <f>SUMIF(GERAL!B$8:B$1696,A290,GERAL!AX$8:AX$1696)</f>
        <v>599</v>
      </c>
      <c r="K290" s="75">
        <f>COUNTIFS(GERAL!B$8:B$1696,A290,GERAL!AY$8:AY$1696,"&gt;0",GERAL!C$8:C$1696,"ESCOLA")</f>
        <v>1</v>
      </c>
      <c r="L290" s="75">
        <f>COUNTIFS(GERAL!B$8:B$1696,A290,GERAL!AY$8:AY$1696,"&gt;0",GERAL!C$8:C$1696,"ANEXO")</f>
        <v>1</v>
      </c>
      <c r="M290" s="100">
        <f>SUMIF(GERAL!B$8:B$1696,A290,GERAL!V$8:V$1696)+SUMIF(GERAL!B$8:B$1696,A290,GERAL!W$8:W$1696)</f>
        <v>0</v>
      </c>
      <c r="N290" s="100">
        <f>SUMIF(GERAL!B$8:B$1696,A290,GERAL!AA$8:AA$1696)+SUMIF(GERAL!B$8:B$1696,A290,GERAL!AB$8:AB$1696)</f>
        <v>0</v>
      </c>
      <c r="O290" s="100">
        <f>SUMIF(GERAL!B$8:B$1696,A290,GERAL!AF$8:AF$1696)+SUMIF(GERAL!B$8:B$1696,A290,GERAL!AG$8:AG$1696)</f>
        <v>102</v>
      </c>
      <c r="P290" s="100">
        <f>SUMIF(GERAL!B$8:B$1696,A290,GERAL!AK$8:AK$1696)+SUMIF(GERAL!B$8:B$1696,A290,GERAL!AL$8:AL$1696)</f>
        <v>0</v>
      </c>
      <c r="Q290" s="100">
        <f>SUMIF(GERAL!B$8:B$1696,A290,GERAL!AO$8:AO$1696)+SUMIF(GERAL!B$8:B$1696,A290,GERAL!AP$8:AP$1696)</f>
        <v>0</v>
      </c>
      <c r="R290" s="100">
        <f>SUMIF(GERAL!B$8:B$1696,A290,GERAL!AS$8:AS$1696)+SUMIF(GERAL!B$8:B$1696,A290,GERAL!AT$8:AT$1696)</f>
        <v>0</v>
      </c>
      <c r="S290" s="75">
        <f t="shared" si="39"/>
        <v>102</v>
      </c>
      <c r="T290" s="116">
        <f>COUNTIFS(GERAL!B$8:B$1696,A290,GERAL!AZ$8:AZ$1696,"&gt;0",GERAL!C$8:C$1696,"ESCOLA")</f>
        <v>1</v>
      </c>
      <c r="U290" s="75">
        <f>COUNTIFS(GERAL!B$8:B$1696,A290,GERAL!AZ$8:AZ$1696,"&gt;0",GERAL!C$8:C$1696,"ANEXO")</f>
        <v>3</v>
      </c>
      <c r="V290" s="85">
        <f>SUMIF(GERAL!B$8:B$1696,A290,GERAL!AH$8:AH$1696)</f>
        <v>36</v>
      </c>
      <c r="W290" s="85">
        <f>SUMIF(GERAL!B$8:B$1696,A290,GERAL!AM$8:AM$1696)</f>
        <v>0</v>
      </c>
      <c r="X290" s="85">
        <f>SUMIF(GERAL!B$8:B$1696,A290,GERAL!AQ$8:AQ$1696)</f>
        <v>138</v>
      </c>
      <c r="Y290" s="85">
        <f>SUMIF(GERAL!B$8:B$1696,A290,GERAL!AU$8:AU$1696)</f>
        <v>0</v>
      </c>
      <c r="Z290" s="88">
        <f t="shared" si="40"/>
        <v>174</v>
      </c>
      <c r="AA290" s="116">
        <f>COUNTIFS(GERAL!B$8:B$1696,A290,GERAL!BK$8:BK$1696,"&gt;0",GERAL!C$8:C$1696,"ESCOLA")</f>
        <v>1</v>
      </c>
      <c r="AB290" s="88">
        <f>COUNTIFS(GERAL!B$8:B$1696,A290,GERAL!BK$8:BK$1696,"&gt;0",GERAL!C$8:C$1696,"ANEXO")</f>
        <v>0</v>
      </c>
      <c r="AC290" s="121">
        <f>SUMIF(GERAL!B$8:B$1696,A290,GERAL!AD$8:AD$1696)</f>
        <v>0</v>
      </c>
      <c r="AD290" s="121">
        <f>SUMIF(GERAL!B$8:B$1696,A290,GERAL!AI$8:AI$1696)</f>
        <v>237</v>
      </c>
      <c r="AE290" s="121">
        <f>SUMIF(GERAL!B$8:B$1696,A290,GERAL!AV$8:AV$1696)</f>
        <v>86</v>
      </c>
      <c r="AF290" s="492">
        <f t="shared" si="41"/>
        <v>323</v>
      </c>
      <c r="AG290" s="178">
        <f>COUNTIFS(GERAL!B$8:B$1696,A290,GERAL!AW$8:AW$1696,"&gt;0",GERAL!C$8:C$1696,"ESCOLA")</f>
        <v>1</v>
      </c>
      <c r="AH290" s="118">
        <f>COUNTIFS(GERAL!B$8:B$1696,A290,GERAL!AW$8:AW$1696,"&gt;0",GERAL!C$8:C$1696,"ANEXO")</f>
        <v>0</v>
      </c>
      <c r="AI290" s="177">
        <f>SUMIF(GERAL!B$8:B$1696,A290,GERAL!AS$8:AS$1696)+SUMIF(GERAL!B$8:B$1696,A290,GERAL!AT$8:AT$1696)</f>
        <v>0</v>
      </c>
      <c r="AJ290" s="177">
        <f>SUMIF(GERAL!B$8:B$1696,A290,GERAL!AU$8:AU$1696)</f>
        <v>0</v>
      </c>
      <c r="AK290" s="177">
        <f>SUMIF(GERAL!B$8:B$1696,A290,GERAL!AV$8:AV$1696)</f>
        <v>86</v>
      </c>
      <c r="AL290" s="118">
        <f t="shared" si="42"/>
        <v>86</v>
      </c>
      <c r="AM290" s="493" t="s">
        <v>540</v>
      </c>
    </row>
    <row r="291">
      <c r="A291" s="494" t="s">
        <v>1221</v>
      </c>
      <c r="B291" s="75">
        <f>COUNTIFS(GERAL!B$8:B$1696,A291,GERAL!C$8:C$1696,"ESCOLA")</f>
        <v>1</v>
      </c>
      <c r="C291" s="75">
        <f>COUNTIFS(GERAL!B$8:B$1696,A291,GERAL!C$8:C$1696,"ANEXO")</f>
        <v>0</v>
      </c>
      <c r="D291" s="85">
        <f>SUMIF(GERAL!B$8:B$1696,A291,GERAL!Z$8:Z$1696)</f>
        <v>0</v>
      </c>
      <c r="E291" s="85">
        <f>SUMIF(GERAL!B$8:B$1696,A291,GERAL!AE$8:AE$1696)</f>
        <v>0</v>
      </c>
      <c r="F291" s="85">
        <f>SUMIF(GERAL!B$8:B$1696,A291,GERAL!AJ$8:AJ$1696)</f>
        <v>374</v>
      </c>
      <c r="G291" s="85">
        <f>SUMIF(GERAL!B$8:B$1696,A291,GERAL!AN$8:AN$1696)</f>
        <v>0</v>
      </c>
      <c r="H291" s="85">
        <f>SUMIF(GERAL!B$8:B$1696,A291,GERAL!AR$8:AW$1696)</f>
        <v>0</v>
      </c>
      <c r="I291" s="85">
        <f>SUMIF(GERAL!B$8:B$1696,A291,GERAL!AW$8:AW$1696)</f>
        <v>60</v>
      </c>
      <c r="J291" s="75">
        <f>SUMIF(GERAL!B$8:B$1696,A291,GERAL!AX$8:AX$1696)</f>
        <v>434</v>
      </c>
      <c r="K291" s="75">
        <f>COUNTIFS(GERAL!B$8:B$1696,A291,GERAL!AY$8:AY$1696,"&gt;0",GERAL!C$8:C$1696,"ESCOLA")</f>
        <v>1</v>
      </c>
      <c r="L291" s="75">
        <f>COUNTIFS(GERAL!B$8:B$1696,A291,GERAL!AY$8:AY$1696,"&gt;0",GERAL!C$8:C$1696,"ANEXO")</f>
        <v>0</v>
      </c>
      <c r="M291" s="100">
        <f>SUMIF(GERAL!B$8:B$1696,A291,GERAL!V$8:V$1696)+SUMIF(GERAL!B$8:B$1696,A291,GERAL!W$8:W$1696)</f>
        <v>0</v>
      </c>
      <c r="N291" s="100">
        <f>SUMIF(GERAL!B$8:B$1696,A291,GERAL!AA$8:AA$1696)+SUMIF(GERAL!B$8:B$1696,A291,GERAL!AB$8:AB$1696)</f>
        <v>0</v>
      </c>
      <c r="O291" s="100">
        <f>SUMIF(GERAL!B$8:B$1696,A291,GERAL!AF$8:AF$1696)+SUMIF(GERAL!B$8:B$1696,A291,GERAL!AG$8:AG$1696)</f>
        <v>301</v>
      </c>
      <c r="P291" s="100">
        <f>SUMIF(GERAL!B$8:B$1696,A291,GERAL!AK$8:AK$1696)+SUMIF(GERAL!B$8:B$1696,A291,GERAL!AL$8:AL$1696)</f>
        <v>0</v>
      </c>
      <c r="Q291" s="100">
        <f>SUMIF(GERAL!B$8:B$1696,A291,GERAL!AO$8:AO$1696)+SUMIF(GERAL!B$8:B$1696,A291,GERAL!AP$8:AP$1696)</f>
        <v>0</v>
      </c>
      <c r="R291" s="100">
        <f>SUMIF(GERAL!B$8:B$1696,A291,GERAL!AS$8:AS$1696)+SUMIF(GERAL!B$8:B$1696,A291,GERAL!AT$8:AT$1696)</f>
        <v>60</v>
      </c>
      <c r="S291" s="75">
        <f t="shared" si="39"/>
        <v>361</v>
      </c>
      <c r="T291" s="116">
        <f>COUNTIFS(GERAL!B$8:B$1696,A291,GERAL!AZ$8:AZ$1696,"&gt;0",GERAL!C$8:C$1696,"ESCOLA")</f>
        <v>0</v>
      </c>
      <c r="U291" s="75">
        <f>COUNTIFS(GERAL!B$8:B$1696,A291,GERAL!AZ$8:AZ$1696,"&gt;0",GERAL!C$8:C$1696,"ANEXO")</f>
        <v>0</v>
      </c>
      <c r="V291" s="85">
        <f>SUMIF(GERAL!B$8:B$1696,A291,GERAL!AH$8:AH$1696)</f>
        <v>0</v>
      </c>
      <c r="W291" s="85">
        <f>SUMIF(GERAL!B$8:B$1696,A291,GERAL!AM$8:AM$1696)</f>
        <v>0</v>
      </c>
      <c r="X291" s="85">
        <f>SUMIF(GERAL!B$8:B$1696,A291,GERAL!AQ$8:AQ$1696)</f>
        <v>0</v>
      </c>
      <c r="Y291" s="85">
        <f>SUMIF(GERAL!B$8:B$1696,A291,GERAL!AU$8:AU$1696)</f>
        <v>0</v>
      </c>
      <c r="Z291" s="88">
        <f t="shared" si="40"/>
        <v>0</v>
      </c>
      <c r="AA291" s="116">
        <f>COUNTIFS(GERAL!B$8:B$1696,A291,GERAL!BK$8:BK$1696,"&gt;0",GERAL!C$8:C$1696,"ESCOLA")</f>
        <v>1</v>
      </c>
      <c r="AB291" s="88">
        <f>COUNTIFS(GERAL!B$8:B$1696,A291,GERAL!BK$8:BK$1696,"&gt;0",GERAL!C$8:C$1696,"ANEXO")</f>
        <v>0</v>
      </c>
      <c r="AC291" s="121">
        <f>SUMIF(GERAL!B$8:B$1696,A291,GERAL!AD$8:AD$1696)</f>
        <v>0</v>
      </c>
      <c r="AD291" s="121">
        <f>SUMIF(GERAL!B$8:B$1696,A291,GERAL!AI$8:AI$1696)</f>
        <v>73</v>
      </c>
      <c r="AE291" s="121">
        <f>SUMIF(GERAL!B$8:B$1696,A291,GERAL!AV$8:AV$1696)</f>
        <v>0</v>
      </c>
      <c r="AF291" s="492">
        <f t="shared" si="41"/>
        <v>73</v>
      </c>
      <c r="AG291" s="178">
        <f>COUNTIFS(GERAL!B$8:B$1696,A291,GERAL!AW$8:AW$1696,"&gt;0",GERAL!C$8:C$1696,"ESCOLA")</f>
        <v>1</v>
      </c>
      <c r="AH291" s="118">
        <f>COUNTIFS(GERAL!B$8:B$1696,A291,GERAL!AW$8:AW$1696,"&gt;0",GERAL!C$8:C$1696,"ANEXO")</f>
        <v>0</v>
      </c>
      <c r="AI291" s="177">
        <f>SUMIF(GERAL!B$8:B$1696,A291,GERAL!AS$8:AS$1696)+SUMIF(GERAL!B$8:B$1696,A291,GERAL!AT$8:AT$1696)</f>
        <v>60</v>
      </c>
      <c r="AJ291" s="177">
        <f>SUMIF(GERAL!B$8:B$1696,A291,GERAL!AU$8:AU$1696)</f>
        <v>0</v>
      </c>
      <c r="AK291" s="177">
        <f>SUMIF(GERAL!B$8:B$1696,A291,GERAL!AV$8:AV$1696)</f>
        <v>0</v>
      </c>
      <c r="AL291" s="118">
        <f t="shared" si="42"/>
        <v>60</v>
      </c>
      <c r="AM291" s="493" t="s">
        <v>383</v>
      </c>
    </row>
    <row r="292">
      <c r="A292" s="484" t="s">
        <v>2166</v>
      </c>
      <c r="B292" s="75">
        <f>COUNTIFS(GERAL!B$8:B$1696,A292,GERAL!C$8:C$1696,"ESCOLA")</f>
        <v>1</v>
      </c>
      <c r="C292" s="75">
        <f>COUNTIFS(GERAL!B$8:B$1696,A292,GERAL!C$8:C$1696,"ANEXO")</f>
        <v>2</v>
      </c>
      <c r="D292" s="85">
        <f>SUMIF(GERAL!B$8:B$1696,A292,GERAL!Z$8:Z$1696)</f>
        <v>0</v>
      </c>
      <c r="E292" s="85">
        <f>SUMIF(GERAL!B$8:B$1696,A292,GERAL!AE$8:AE$1696)</f>
        <v>0</v>
      </c>
      <c r="F292" s="85">
        <f>SUMIF(GERAL!B$8:B$1696,A292,GERAL!AJ$8:AJ$1696)</f>
        <v>385</v>
      </c>
      <c r="G292" s="85">
        <f>SUMIF(GERAL!B$8:B$1696,A292,GERAL!AN$8:AN$1696)</f>
        <v>0</v>
      </c>
      <c r="H292" s="85">
        <f>SUMIF(GERAL!B$8:B$1696,A292,GERAL!AR$8:AW$1696)</f>
        <v>43</v>
      </c>
      <c r="I292" s="85">
        <f>SUMIF(GERAL!B$8:B$1696,A292,GERAL!AW$8:AW$1696)</f>
        <v>38</v>
      </c>
      <c r="J292" s="75">
        <f>SUMIF(GERAL!B$8:B$1696,A292,GERAL!AX$8:AX$1696)</f>
        <v>466</v>
      </c>
      <c r="K292" s="75">
        <f>COUNTIFS(GERAL!B$8:B$1696,A292,GERAL!AY$8:AY$1696,"&gt;0",GERAL!C$8:C$1696,"ESCOLA")</f>
        <v>1</v>
      </c>
      <c r="L292" s="75">
        <f>COUNTIFS(GERAL!B$8:B$1696,A292,GERAL!AY$8:AY$1696,"&gt;0",GERAL!C$8:C$1696,"ANEXO")</f>
        <v>0</v>
      </c>
      <c r="M292" s="100">
        <f>SUMIF(GERAL!B$8:B$1696,A292,GERAL!V$8:V$1696)+SUMIF(GERAL!B$8:B$1696,A292,GERAL!W$8:W$1696)</f>
        <v>0</v>
      </c>
      <c r="N292" s="100">
        <f>SUMIF(GERAL!B$8:B$1696,A292,GERAL!AA$8:AA$1696)+SUMIF(GERAL!B$8:B$1696,A292,GERAL!AB$8:AB$1696)</f>
        <v>0</v>
      </c>
      <c r="O292" s="100">
        <f>SUMIF(GERAL!B$8:B$1696,A292,GERAL!AF$8:AF$1696)+SUMIF(GERAL!B$8:B$1696,A292,GERAL!AG$8:AG$1696)</f>
        <v>103</v>
      </c>
      <c r="P292" s="100">
        <f>SUMIF(GERAL!B$8:B$1696,A292,GERAL!AK$8:AK$1696)+SUMIF(GERAL!B$8:B$1696,A292,GERAL!AL$8:AL$1696)</f>
        <v>0</v>
      </c>
      <c r="Q292" s="100">
        <f>SUMIF(GERAL!B$8:B$1696,A292,GERAL!AO$8:AO$1696)+SUMIF(GERAL!B$8:B$1696,A292,GERAL!AP$8:AP$1696)</f>
        <v>0</v>
      </c>
      <c r="R292" s="100">
        <f>SUMIF(GERAL!B$8:B$1696,A292,GERAL!AS$8:AS$1696)+SUMIF(GERAL!B$8:B$1696,A292,GERAL!AT$8:AT$1696)</f>
        <v>0</v>
      </c>
      <c r="S292" s="75">
        <f t="shared" si="39"/>
        <v>103</v>
      </c>
      <c r="T292" s="116">
        <f>COUNTIFS(GERAL!B$8:B$1696,A292,GERAL!AZ$8:AZ$1696,"&gt;0",GERAL!C$8:C$1696,"ESCOLA")</f>
        <v>1</v>
      </c>
      <c r="U292" s="75">
        <f>COUNTIFS(GERAL!B$8:B$1696,A292,GERAL!AZ$8:AZ$1696,"&gt;0",GERAL!C$8:C$1696,"ANEXO")</f>
        <v>2</v>
      </c>
      <c r="V292" s="85">
        <f>SUMIF(GERAL!B$8:B$1696,A292,GERAL!AH$8:AH$1696)</f>
        <v>83</v>
      </c>
      <c r="W292" s="85">
        <f>SUMIF(GERAL!B$8:B$1696,A292,GERAL!AM$8:AM$1696)</f>
        <v>0</v>
      </c>
      <c r="X292" s="85">
        <f>SUMIF(GERAL!B$8:B$1696,A292,GERAL!AQ$8:AQ$1696)</f>
        <v>43</v>
      </c>
      <c r="Y292" s="85">
        <f>SUMIF(GERAL!B$8:B$1696,A292,GERAL!AU$8:AU$1696)</f>
        <v>38</v>
      </c>
      <c r="Z292" s="88">
        <f t="shared" si="40"/>
        <v>164</v>
      </c>
      <c r="AA292" s="116">
        <f>COUNTIFS(GERAL!B$8:B$1696,A292,GERAL!BK$8:BK$1696,"&gt;0",GERAL!C$8:C$1696,"ESCOLA")</f>
        <v>1</v>
      </c>
      <c r="AB292" s="88">
        <f>COUNTIFS(GERAL!B$8:B$1696,A292,GERAL!BK$8:BK$1696,"&gt;0",GERAL!C$8:C$1696,"ANEXO")</f>
        <v>0</v>
      </c>
      <c r="AC292" s="121">
        <f>SUMIF(GERAL!B$8:B$1696,A292,GERAL!AD$8:AD$1696)</f>
        <v>0</v>
      </c>
      <c r="AD292" s="121">
        <f>SUMIF(GERAL!B$8:B$1696,A292,GERAL!AI$8:AI$1696)</f>
        <v>199</v>
      </c>
      <c r="AE292" s="121">
        <f>SUMIF(GERAL!B$8:B$1696,A292,GERAL!AV$8:AV$1696)</f>
        <v>0</v>
      </c>
      <c r="AF292" s="492">
        <f t="shared" si="41"/>
        <v>199</v>
      </c>
      <c r="AG292" s="178">
        <f>COUNTIFS(GERAL!B$8:B$1696,A292,GERAL!AW$8:AW$1696,"&gt;0",GERAL!C$8:C$1696,"ESCOLA")</f>
        <v>1</v>
      </c>
      <c r="AH292" s="118">
        <f>COUNTIFS(GERAL!B$8:B$1696,A292,GERAL!AW$8:AW$1696,"&gt;0",GERAL!C$8:C$1696,"ANEXO")</f>
        <v>0</v>
      </c>
      <c r="AI292" s="177">
        <f>SUMIF(GERAL!B$8:B$1696,A292,GERAL!AS$8:AS$1696)+SUMIF(GERAL!B$8:B$1696,A292,GERAL!AT$8:AT$1696)</f>
        <v>0</v>
      </c>
      <c r="AJ292" s="177">
        <f>SUMIF(GERAL!B$8:B$1696,A292,GERAL!AU$8:AU$1696)</f>
        <v>38</v>
      </c>
      <c r="AK292" s="177">
        <f>SUMIF(GERAL!B$8:B$1696,A292,GERAL!AV$8:AV$1696)</f>
        <v>0</v>
      </c>
      <c r="AL292" s="118">
        <f t="shared" si="42"/>
        <v>38</v>
      </c>
      <c r="AM292" s="493" t="s">
        <v>673</v>
      </c>
    </row>
    <row r="293">
      <c r="A293" s="494" t="s">
        <v>4625</v>
      </c>
      <c r="B293" s="75">
        <f>COUNTIFS(GERAL!B$8:B$1696,A293,GERAL!C$8:C$1696,"ESCOLA")</f>
        <v>1</v>
      </c>
      <c r="C293" s="75">
        <f>COUNTIFS(GERAL!B$8:B$1696,A293,GERAL!C$8:C$1696,"ANEXO")</f>
        <v>0</v>
      </c>
      <c r="D293" s="85">
        <f>SUMIF(GERAL!B$8:B$1696,A293,GERAL!Z$8:Z$1696)</f>
        <v>0</v>
      </c>
      <c r="E293" s="85">
        <f>SUMIF(GERAL!B$8:B$1696,A293,GERAL!AE$8:AE$1696)</f>
        <v>0</v>
      </c>
      <c r="F293" s="85">
        <f>SUMIF(GERAL!B$8:B$1696,A293,GERAL!AJ$8:AJ$1696)</f>
        <v>173</v>
      </c>
      <c r="G293" s="85">
        <f>SUMIF(GERAL!B$8:B$1696,A293,GERAL!AN$8:AN$1696)</f>
        <v>0</v>
      </c>
      <c r="H293" s="85">
        <f>SUMIF(GERAL!B$8:B$1696,A293,GERAL!AR$8:AW$1696)</f>
        <v>44</v>
      </c>
      <c r="I293" s="85">
        <f>SUMIF(GERAL!B$8:B$1696,A293,GERAL!AW$8:AW$1696)</f>
        <v>57</v>
      </c>
      <c r="J293" s="75">
        <f>SUMIF(GERAL!B$8:B$1696,A293,GERAL!AX$8:AX$1696)</f>
        <v>274</v>
      </c>
      <c r="K293" s="75">
        <f>COUNTIFS(GERAL!B$8:B$1696,A293,GERAL!AY$8:AY$1696,"&gt;0",GERAL!C$8:C$1696,"ESCOLA")</f>
        <v>1</v>
      </c>
      <c r="L293" s="75">
        <f>COUNTIFS(GERAL!B$8:B$1696,A293,GERAL!AY$8:AY$1696,"&gt;0",GERAL!C$8:C$1696,"ANEXO")</f>
        <v>0</v>
      </c>
      <c r="M293" s="100">
        <f>SUMIF(GERAL!B$8:B$1696,A293,GERAL!V$8:V$1696)+SUMIF(GERAL!B$8:B$1696,A293,GERAL!W$8:W$1696)</f>
        <v>0</v>
      </c>
      <c r="N293" s="100">
        <f>SUMIF(GERAL!B$8:B$1696,A293,GERAL!AA$8:AA$1696)+SUMIF(GERAL!B$8:B$1696,A293,GERAL!AB$8:AB$1696)</f>
        <v>0</v>
      </c>
      <c r="O293" s="100">
        <f>SUMIF(GERAL!B$8:B$1696,A293,GERAL!AF$8:AF$1696)+SUMIF(GERAL!B$8:B$1696,A293,GERAL!AG$8:AG$1696)</f>
        <v>0</v>
      </c>
      <c r="P293" s="100">
        <f>SUMIF(GERAL!B$8:B$1696,A293,GERAL!AK$8:AK$1696)+SUMIF(GERAL!B$8:B$1696,A293,GERAL!AL$8:AL$1696)</f>
        <v>0</v>
      </c>
      <c r="Q293" s="100">
        <f>SUMIF(GERAL!B$8:B$1696,A293,GERAL!AO$8:AO$1696)+SUMIF(GERAL!B$8:B$1696,A293,GERAL!AP$8:AP$1696)</f>
        <v>0</v>
      </c>
      <c r="R293" s="100">
        <f>SUMIF(GERAL!B$8:B$1696,A293,GERAL!AS$8:AS$1696)+SUMIF(GERAL!B$8:B$1696,A293,GERAL!AT$8:AT$1696)</f>
        <v>0</v>
      </c>
      <c r="S293" s="75">
        <f t="shared" si="39"/>
        <v>0</v>
      </c>
      <c r="T293" s="116">
        <f>COUNTIFS(GERAL!B$8:B$1696,A293,GERAL!AZ$8:AZ$1696,"&gt;0",GERAL!C$8:C$1696,"ESCOLA")</f>
        <v>1</v>
      </c>
      <c r="U293" s="75">
        <f>COUNTIFS(GERAL!B$8:B$1696,A293,GERAL!AZ$8:AZ$1696,"&gt;0",GERAL!C$8:C$1696,"ANEXO")</f>
        <v>0</v>
      </c>
      <c r="V293" s="85">
        <f>SUMIF(GERAL!B$8:B$1696,A293,GERAL!AH$8:AH$1696)</f>
        <v>0</v>
      </c>
      <c r="W293" s="85">
        <f>SUMIF(GERAL!B$8:B$1696,A293,GERAL!AM$8:AM$1696)</f>
        <v>0</v>
      </c>
      <c r="X293" s="85">
        <f>SUMIF(GERAL!B$8:B$1696,A293,GERAL!AQ$8:AQ$1696)</f>
        <v>44</v>
      </c>
      <c r="Y293" s="85">
        <f>SUMIF(GERAL!B$8:B$1696,A293,GERAL!AU$8:AU$1696)</f>
        <v>0</v>
      </c>
      <c r="Z293" s="88">
        <f t="shared" si="40"/>
        <v>44</v>
      </c>
      <c r="AA293" s="116">
        <f>COUNTIFS(GERAL!B$8:B$1696,A293,GERAL!BK$8:BK$1696,"&gt;0",GERAL!C$8:C$1696,"ESCOLA")</f>
        <v>1</v>
      </c>
      <c r="AB293" s="88">
        <f>COUNTIFS(GERAL!B$8:B$1696,A293,GERAL!BK$8:BK$1696,"&gt;0",GERAL!C$8:C$1696,"ANEXO")</f>
        <v>0</v>
      </c>
      <c r="AC293" s="121">
        <f>SUMIF(GERAL!B$8:B$1696,A293,GERAL!AD$8:AD$1696)</f>
        <v>0</v>
      </c>
      <c r="AD293" s="121">
        <f>SUMIF(GERAL!B$8:B$1696,A293,GERAL!AI$8:AI$1696)</f>
        <v>173</v>
      </c>
      <c r="AE293" s="121">
        <f>SUMIF(GERAL!B$8:B$1696,A293,GERAL!AV$8:AV$1696)</f>
        <v>57</v>
      </c>
      <c r="AF293" s="492">
        <f t="shared" si="41"/>
        <v>230</v>
      </c>
      <c r="AG293" s="178">
        <f>COUNTIFS(GERAL!B$8:B$1696,A293,GERAL!AW$8:AW$1696,"&gt;0",GERAL!C$8:C$1696,"ESCOLA")</f>
        <v>1</v>
      </c>
      <c r="AH293" s="118">
        <f>COUNTIFS(GERAL!B$8:B$1696,A293,GERAL!AW$8:AW$1696,"&gt;0",GERAL!C$8:C$1696,"ANEXO")</f>
        <v>0</v>
      </c>
      <c r="AI293" s="177">
        <f>SUMIF(GERAL!B$8:B$1696,A293,GERAL!AS$8:AS$1696)+SUMIF(GERAL!B$8:B$1696,A293,GERAL!AT$8:AT$1696)</f>
        <v>0</v>
      </c>
      <c r="AJ293" s="177">
        <f>SUMIF(GERAL!B$8:B$1696,A293,GERAL!AU$8:AU$1696)</f>
        <v>0</v>
      </c>
      <c r="AK293" s="177">
        <f>SUMIF(GERAL!B$8:B$1696,A293,GERAL!AV$8:AV$1696)</f>
        <v>57</v>
      </c>
      <c r="AL293" s="118">
        <f t="shared" si="42"/>
        <v>57</v>
      </c>
      <c r="AM293" s="493" t="s">
        <v>1090</v>
      </c>
    </row>
    <row r="294">
      <c r="A294" s="484" t="s">
        <v>7254</v>
      </c>
      <c r="B294" s="75">
        <f>COUNTIFS(GERAL!B$8:B$1696,A294,GERAL!C$8:C$1696,"ESCOLA")</f>
        <v>1</v>
      </c>
      <c r="C294" s="75">
        <f>COUNTIFS(GERAL!B$8:B$1696,A294,GERAL!C$8:C$1696,"ANEXO")</f>
        <v>0</v>
      </c>
      <c r="D294" s="85">
        <f>SUMIF(GERAL!B$8:B$1696,A294,GERAL!Z$8:Z$1696)</f>
        <v>0</v>
      </c>
      <c r="E294" s="85">
        <f>SUMIF(GERAL!B$8:B$1696,A294,GERAL!AE$8:AE$1696)</f>
        <v>0</v>
      </c>
      <c r="F294" s="85">
        <f>SUMIF(GERAL!B$8:B$1696,A294,GERAL!AJ$8:AJ$1696)</f>
        <v>49</v>
      </c>
      <c r="G294" s="85">
        <f>SUMIF(GERAL!B$8:B$1696,A294,GERAL!AN$8:AN$1696)</f>
        <v>0</v>
      </c>
      <c r="H294" s="85">
        <f>SUMIF(GERAL!B$8:B$1696,A294,GERAL!AR$8:AW$1696)</f>
        <v>39</v>
      </c>
      <c r="I294" s="85">
        <f>SUMIF(GERAL!B$8:B$1696,A294,GERAL!AW$8:AW$1696)</f>
        <v>117</v>
      </c>
      <c r="J294" s="75">
        <f>SUMIF(GERAL!B$8:B$1696,A294,GERAL!AX$8:AX$1696)</f>
        <v>205</v>
      </c>
      <c r="K294" s="75">
        <f>COUNTIFS(GERAL!B$8:B$1696,A294,GERAL!AY$8:AY$1696,"&gt;0",GERAL!C$8:C$1696,"ESCOLA")</f>
        <v>1</v>
      </c>
      <c r="L294" s="75">
        <f>COUNTIFS(GERAL!B$8:B$1696,A294,GERAL!AY$8:AY$1696,"&gt;0",GERAL!C$8:C$1696,"ANEXO")</f>
        <v>0</v>
      </c>
      <c r="M294" s="100">
        <f>SUMIF(GERAL!B$8:B$1696,A294,GERAL!V$8:V$1696)+SUMIF(GERAL!B$8:B$1696,A294,GERAL!W$8:W$1696)</f>
        <v>0</v>
      </c>
      <c r="N294" s="100">
        <f>SUMIF(GERAL!B$8:B$1696,A294,GERAL!AA$8:AA$1696)+SUMIF(GERAL!B$8:B$1696,A294,GERAL!AB$8:AB$1696)</f>
        <v>0</v>
      </c>
      <c r="O294" s="100">
        <f>SUMIF(GERAL!B$8:B$1696,A294,GERAL!AF$8:AF$1696)+SUMIF(GERAL!B$8:B$1696,A294,GERAL!AG$8:AG$1696)</f>
        <v>0</v>
      </c>
      <c r="P294" s="100">
        <f>SUMIF(GERAL!B$8:B$1696,A294,GERAL!AK$8:AK$1696)+SUMIF(GERAL!B$8:B$1696,A294,GERAL!AL$8:AL$1696)</f>
        <v>0</v>
      </c>
      <c r="Q294" s="100">
        <f>SUMIF(GERAL!B$8:B$1696,A294,GERAL!AO$8:AO$1696)+SUMIF(GERAL!B$8:B$1696,A294,GERAL!AP$8:AP$1696)</f>
        <v>0</v>
      </c>
      <c r="R294" s="100">
        <f>SUMIF(GERAL!B$8:B$1696,A294,GERAL!AS$8:AS$1696)+SUMIF(GERAL!B$8:B$1696,A294,GERAL!AT$8:AT$1696)</f>
        <v>0</v>
      </c>
      <c r="S294" s="75">
        <f t="shared" si="39"/>
        <v>0</v>
      </c>
      <c r="T294" s="116">
        <f>COUNTIFS(GERAL!B$8:B$1696,A294,GERAL!AZ$8:AZ$1696,"&gt;0",GERAL!C$8:C$1696,"ESCOLA")</f>
        <v>1</v>
      </c>
      <c r="U294" s="75">
        <f>COUNTIFS(GERAL!B$8:B$1696,A294,GERAL!AZ$8:AZ$1696,"&gt;0",GERAL!C$8:C$1696,"ANEXO")</f>
        <v>0</v>
      </c>
      <c r="V294" s="85">
        <f>SUMIF(GERAL!B$8:B$1696,A294,GERAL!AH$8:AH$1696)</f>
        <v>0</v>
      </c>
      <c r="W294" s="85">
        <f>SUMIF(GERAL!B$8:B$1696,A294,GERAL!AM$8:AM$1696)</f>
        <v>0</v>
      </c>
      <c r="X294" s="85">
        <f>SUMIF(GERAL!B$8:B$1696,A294,GERAL!AQ$8:AQ$1696)</f>
        <v>39</v>
      </c>
      <c r="Y294" s="85">
        <f>SUMIF(GERAL!B$8:B$1696,A294,GERAL!AU$8:AU$1696)</f>
        <v>23</v>
      </c>
      <c r="Z294" s="88">
        <f t="shared" si="40"/>
        <v>62</v>
      </c>
      <c r="AA294" s="116">
        <f>COUNTIFS(GERAL!B$8:B$1696,A294,GERAL!BK$8:BK$1696,"&gt;0",GERAL!C$8:C$1696,"ESCOLA")</f>
        <v>1</v>
      </c>
      <c r="AB294" s="88">
        <f>COUNTIFS(GERAL!B$8:B$1696,A294,GERAL!BK$8:BK$1696,"&gt;0",GERAL!C$8:C$1696,"ANEXO")</f>
        <v>0</v>
      </c>
      <c r="AC294" s="121">
        <f>SUMIF(GERAL!B$8:B$1696,A294,GERAL!AD$8:AD$1696)</f>
        <v>0</v>
      </c>
      <c r="AD294" s="121">
        <f>SUMIF(GERAL!B$8:B$1696,A294,GERAL!AI$8:AI$1696)</f>
        <v>49</v>
      </c>
      <c r="AE294" s="121">
        <f>SUMIF(GERAL!B$8:B$1696,A294,GERAL!AV$8:AV$1696)</f>
        <v>94</v>
      </c>
      <c r="AF294" s="492">
        <f t="shared" si="41"/>
        <v>143</v>
      </c>
      <c r="AG294" s="178">
        <f>COUNTIFS(GERAL!B$8:B$1696,A294,GERAL!AW$8:AW$1696,"&gt;0",GERAL!C$8:C$1696,"ESCOLA")</f>
        <v>1</v>
      </c>
      <c r="AH294" s="118">
        <f>COUNTIFS(GERAL!B$8:B$1696,A294,GERAL!AW$8:AW$1696,"&gt;0",GERAL!C$8:C$1696,"ANEXO")</f>
        <v>0</v>
      </c>
      <c r="AI294" s="177">
        <f>SUMIF(GERAL!B$8:B$1696,A294,GERAL!AS$8:AS$1696)+SUMIF(GERAL!B$8:B$1696,A294,GERAL!AT$8:AT$1696)</f>
        <v>0</v>
      </c>
      <c r="AJ294" s="177">
        <f>SUMIF(GERAL!B$8:B$1696,A294,GERAL!AU$8:AU$1696)</f>
        <v>23</v>
      </c>
      <c r="AK294" s="177">
        <f>SUMIF(GERAL!B$8:B$1696,A294,GERAL!AV$8:AV$1696)</f>
        <v>94</v>
      </c>
      <c r="AL294" s="118">
        <f t="shared" si="42"/>
        <v>117</v>
      </c>
      <c r="AM294" s="493" t="s">
        <v>1535</v>
      </c>
    </row>
    <row r="295">
      <c r="A295" s="494" t="s">
        <v>2771</v>
      </c>
      <c r="B295" s="75">
        <f>COUNTIFS(GERAL!B$8:B$1696,A295,GERAL!C$8:C$1696,"ESCOLA")</f>
        <v>1</v>
      </c>
      <c r="C295" s="75">
        <f>COUNTIFS(GERAL!B$8:B$1696,A295,GERAL!C$8:C$1696,"ANEXO")</f>
        <v>0</v>
      </c>
      <c r="D295" s="85">
        <f>SUMIF(GERAL!B$8:B$1696,A295,GERAL!Z$8:Z$1696)</f>
        <v>0</v>
      </c>
      <c r="E295" s="85">
        <f>SUMIF(GERAL!B$8:B$1696,A295,GERAL!AE$8:AE$1696)</f>
        <v>0</v>
      </c>
      <c r="F295" s="85">
        <f>SUMIF(GERAL!B$8:B$1696,A295,GERAL!AJ$8:AJ$1696)</f>
        <v>117</v>
      </c>
      <c r="G295" s="85">
        <f>SUMIF(GERAL!B$8:B$1696,A295,GERAL!AN$8:AN$1696)</f>
        <v>0</v>
      </c>
      <c r="H295" s="85">
        <f>SUMIF(GERAL!B$8:B$1696,A295,GERAL!AR$8:AW$1696)</f>
        <v>61</v>
      </c>
      <c r="I295" s="85">
        <f>SUMIF(GERAL!B$8:B$1696,A295,GERAL!AW$8:AW$1696)</f>
        <v>102</v>
      </c>
      <c r="J295" s="75">
        <f>SUMIF(GERAL!B$8:B$1696,A295,GERAL!AX$8:AX$1696)</f>
        <v>280</v>
      </c>
      <c r="K295" s="75">
        <f>COUNTIFS(GERAL!B$8:B$1696,A295,GERAL!AY$8:AY$1696,"&gt;0",GERAL!C$8:C$1696,"ESCOLA")</f>
        <v>1</v>
      </c>
      <c r="L295" s="75">
        <f>COUNTIFS(GERAL!B$8:B$1696,A295,GERAL!AY$8:AY$1696,"&gt;0",GERAL!C$8:C$1696,"ANEXO")</f>
        <v>0</v>
      </c>
      <c r="M295" s="100">
        <f>SUMIF(GERAL!B$8:B$1696,A295,GERAL!V$8:V$1696)+SUMIF(GERAL!B$8:B$1696,A295,GERAL!W$8:W$1696)</f>
        <v>0</v>
      </c>
      <c r="N295" s="100">
        <f>SUMIF(GERAL!B$8:B$1696,A295,GERAL!AA$8:AA$1696)+SUMIF(GERAL!B$8:B$1696,A295,GERAL!AB$8:AB$1696)</f>
        <v>0</v>
      </c>
      <c r="O295" s="100">
        <f>SUMIF(GERAL!B$8:B$1696,A295,GERAL!AF$8:AF$1696)+SUMIF(GERAL!B$8:B$1696,A295,GERAL!AG$8:AG$1696)</f>
        <v>0</v>
      </c>
      <c r="P295" s="100">
        <f>SUMIF(GERAL!B$8:B$1696,A295,GERAL!AK$8:AK$1696)+SUMIF(GERAL!B$8:B$1696,A295,GERAL!AL$8:AL$1696)</f>
        <v>0</v>
      </c>
      <c r="Q295" s="100">
        <f>SUMIF(GERAL!B$8:B$1696,A295,GERAL!AO$8:AO$1696)+SUMIF(GERAL!B$8:B$1696,A295,GERAL!AP$8:AP$1696)</f>
        <v>0</v>
      </c>
      <c r="R295" s="100">
        <f>SUMIF(GERAL!B$8:B$1696,A295,GERAL!AS$8:AS$1696)+SUMIF(GERAL!B$8:B$1696,A295,GERAL!AT$8:AT$1696)</f>
        <v>0</v>
      </c>
      <c r="S295" s="75">
        <f t="shared" si="39"/>
        <v>0</v>
      </c>
      <c r="T295" s="116">
        <f>COUNTIFS(GERAL!B$8:B$1696,A295,GERAL!AZ$8:AZ$1696,"&gt;0",GERAL!C$8:C$1696,"ESCOLA")</f>
        <v>1</v>
      </c>
      <c r="U295" s="75">
        <f>COUNTIFS(GERAL!B$8:B$1696,A295,GERAL!AZ$8:AZ$1696,"&gt;0",GERAL!C$8:C$1696,"ANEXO")</f>
        <v>0</v>
      </c>
      <c r="V295" s="85">
        <f>SUMIF(GERAL!B$8:B$1696,A295,GERAL!AH$8:AH$1696)</f>
        <v>0</v>
      </c>
      <c r="W295" s="85">
        <f>SUMIF(GERAL!B$8:B$1696,A295,GERAL!AM$8:AM$1696)</f>
        <v>0</v>
      </c>
      <c r="X295" s="85">
        <f>SUMIF(GERAL!B$8:B$1696,A295,GERAL!AQ$8:AQ$1696)</f>
        <v>61</v>
      </c>
      <c r="Y295" s="85">
        <f>SUMIF(GERAL!B$8:B$1696,A295,GERAL!AU$8:AU$1696)</f>
        <v>0</v>
      </c>
      <c r="Z295" s="88">
        <f t="shared" si="40"/>
        <v>61</v>
      </c>
      <c r="AA295" s="116">
        <f>COUNTIFS(GERAL!B$8:B$1696,A295,GERAL!BK$8:BK$1696,"&gt;0",GERAL!C$8:C$1696,"ESCOLA")</f>
        <v>1</v>
      </c>
      <c r="AB295" s="88">
        <f>COUNTIFS(GERAL!B$8:B$1696,A295,GERAL!BK$8:BK$1696,"&gt;0",GERAL!C$8:C$1696,"ANEXO")</f>
        <v>0</v>
      </c>
      <c r="AC295" s="121">
        <f>SUMIF(GERAL!B$8:B$1696,A295,GERAL!AD$8:AD$1696)</f>
        <v>0</v>
      </c>
      <c r="AD295" s="121">
        <f>SUMIF(GERAL!B$8:B$1696,A295,GERAL!AI$8:AI$1696)</f>
        <v>117</v>
      </c>
      <c r="AE295" s="121">
        <f>SUMIF(GERAL!B$8:B$1696,A295,GERAL!AV$8:AV$1696)</f>
        <v>102</v>
      </c>
      <c r="AF295" s="492">
        <f t="shared" si="41"/>
        <v>219</v>
      </c>
      <c r="AG295" s="178">
        <f>COUNTIFS(GERAL!B$8:B$1696,A295,GERAL!AW$8:AW$1696,"&gt;0",GERAL!C$8:C$1696,"ESCOLA")</f>
        <v>1</v>
      </c>
      <c r="AH295" s="118">
        <f>COUNTIFS(GERAL!B$8:B$1696,A295,GERAL!AW$8:AW$1696,"&gt;0",GERAL!C$8:C$1696,"ANEXO")</f>
        <v>0</v>
      </c>
      <c r="AI295" s="177">
        <f>SUMIF(GERAL!B$8:B$1696,A295,GERAL!AS$8:AS$1696)+SUMIF(GERAL!B$8:B$1696,A295,GERAL!AT$8:AT$1696)</f>
        <v>0</v>
      </c>
      <c r="AJ295" s="177">
        <f>SUMIF(GERAL!B$8:B$1696,A295,GERAL!AU$8:AU$1696)</f>
        <v>0</v>
      </c>
      <c r="AK295" s="177">
        <f>SUMIF(GERAL!B$8:B$1696,A295,GERAL!AV$8:AV$1696)</f>
        <v>102</v>
      </c>
      <c r="AL295" s="118">
        <f t="shared" si="42"/>
        <v>102</v>
      </c>
      <c r="AM295" s="493" t="s">
        <v>723</v>
      </c>
    </row>
    <row r="296">
      <c r="A296" s="484" t="s">
        <v>950</v>
      </c>
      <c r="B296" s="75">
        <f>COUNTIFS(GERAL!B$8:B$1696,A296,GERAL!C$8:C$1696,"ESCOLA")</f>
        <v>1</v>
      </c>
      <c r="C296" s="75">
        <f>COUNTIFS(GERAL!B$8:B$1696,A296,GERAL!C$8:C$1696,"ANEXO")</f>
        <v>0</v>
      </c>
      <c r="D296" s="85">
        <f>SUMIF(GERAL!B$8:B$1696,A296,GERAL!Z$8:Z$1696)</f>
        <v>0</v>
      </c>
      <c r="E296" s="85">
        <f>SUMIF(GERAL!B$8:B$1696,A296,GERAL!AE$8:AE$1696)</f>
        <v>0</v>
      </c>
      <c r="F296" s="85">
        <f>SUMIF(GERAL!B$8:B$1696,A296,GERAL!AJ$8:AJ$1696)</f>
        <v>245</v>
      </c>
      <c r="G296" s="85">
        <f>SUMIF(GERAL!B$8:B$1696,A296,GERAL!AN$8:AN$1696)</f>
        <v>0</v>
      </c>
      <c r="H296" s="85">
        <f>SUMIF(GERAL!B$8:B$1696,A296,GERAL!AR$8:AW$1696)</f>
        <v>47</v>
      </c>
      <c r="I296" s="85">
        <f>SUMIF(GERAL!B$8:B$1696,A296,GERAL!AW$8:AW$1696)</f>
        <v>58</v>
      </c>
      <c r="J296" s="75">
        <f>SUMIF(GERAL!B$8:B$1696,A296,GERAL!AX$8:AX$1696)</f>
        <v>350</v>
      </c>
      <c r="K296" s="75">
        <f>COUNTIFS(GERAL!B$8:B$1696,A296,GERAL!AY$8:AY$1696,"&gt;0",GERAL!C$8:C$1696,"ESCOLA")</f>
        <v>1</v>
      </c>
      <c r="L296" s="75">
        <f>COUNTIFS(GERAL!B$8:B$1696,A296,GERAL!AY$8:AY$1696,"&gt;0",GERAL!C$8:C$1696,"ANEXO")</f>
        <v>0</v>
      </c>
      <c r="M296" s="100">
        <f>SUMIF(GERAL!B$8:B$1696,A296,GERAL!V$8:V$1696)+SUMIF(GERAL!B$8:B$1696,A296,GERAL!W$8:W$1696)</f>
        <v>0</v>
      </c>
      <c r="N296" s="100">
        <f>SUMIF(GERAL!B$8:B$1696,A296,GERAL!AA$8:AA$1696)+SUMIF(GERAL!B$8:B$1696,A296,GERAL!AB$8:AB$1696)</f>
        <v>0</v>
      </c>
      <c r="O296" s="100">
        <f>SUMIF(GERAL!B$8:B$1696,A296,GERAL!AF$8:AF$1696)+SUMIF(GERAL!B$8:B$1696,A296,GERAL!AG$8:AG$1696)</f>
        <v>75</v>
      </c>
      <c r="P296" s="100">
        <f>SUMIF(GERAL!B$8:B$1696,A296,GERAL!AK$8:AK$1696)+SUMIF(GERAL!B$8:B$1696,A296,GERAL!AL$8:AL$1696)</f>
        <v>0</v>
      </c>
      <c r="Q296" s="100">
        <f>SUMIF(GERAL!B$8:B$1696,A296,GERAL!AO$8:AO$1696)+SUMIF(GERAL!B$8:B$1696,A296,GERAL!AP$8:AP$1696)</f>
        <v>0</v>
      </c>
      <c r="R296" s="100">
        <f>SUMIF(GERAL!B$8:B$1696,A296,GERAL!AS$8:AS$1696)+SUMIF(GERAL!B$8:B$1696,A296,GERAL!AT$8:AT$1696)</f>
        <v>0</v>
      </c>
      <c r="S296" s="75">
        <f t="shared" si="39"/>
        <v>75</v>
      </c>
      <c r="T296" s="116">
        <f>COUNTIFS(GERAL!B$8:B$1696,A296,GERAL!AZ$8:AZ$1696,"&gt;0",GERAL!C$8:C$1696,"ESCOLA")</f>
        <v>1</v>
      </c>
      <c r="U296" s="75">
        <f>COUNTIFS(GERAL!B$8:B$1696,A296,GERAL!AZ$8:AZ$1696,"&gt;0",GERAL!C$8:C$1696,"ANEXO")</f>
        <v>0</v>
      </c>
      <c r="V296" s="85">
        <f>SUMIF(GERAL!B$8:B$1696,A296,GERAL!AH$8:AH$1696)</f>
        <v>0</v>
      </c>
      <c r="W296" s="85">
        <f>SUMIF(GERAL!B$8:B$1696,A296,GERAL!AM$8:AM$1696)</f>
        <v>0</v>
      </c>
      <c r="X296" s="85">
        <f>SUMIF(GERAL!B$8:B$1696,A296,GERAL!AQ$8:AQ$1696)</f>
        <v>47</v>
      </c>
      <c r="Y296" s="85">
        <f>SUMIF(GERAL!B$8:B$1696,A296,GERAL!AU$8:AU$1696)</f>
        <v>23</v>
      </c>
      <c r="Z296" s="88">
        <f t="shared" si="40"/>
        <v>70</v>
      </c>
      <c r="AA296" s="116">
        <f>COUNTIFS(GERAL!B$8:B$1696,A296,GERAL!BK$8:BK$1696,"&gt;0",GERAL!C$8:C$1696,"ESCOLA")</f>
        <v>1</v>
      </c>
      <c r="AB296" s="88">
        <f>COUNTIFS(GERAL!B$8:B$1696,A296,GERAL!BK$8:BK$1696,"&gt;0",GERAL!C$8:C$1696,"ANEXO")</f>
        <v>0</v>
      </c>
      <c r="AC296" s="121">
        <f>SUMIF(GERAL!B$8:B$1696,A296,GERAL!AD$8:AD$1696)</f>
        <v>0</v>
      </c>
      <c r="AD296" s="121">
        <f>SUMIF(GERAL!B$8:B$1696,A296,GERAL!AI$8:AI$1696)</f>
        <v>170</v>
      </c>
      <c r="AE296" s="121">
        <f>SUMIF(GERAL!B$8:B$1696,A296,GERAL!AV$8:AV$1696)</f>
        <v>35</v>
      </c>
      <c r="AF296" s="492">
        <f t="shared" si="41"/>
        <v>205</v>
      </c>
      <c r="AG296" s="178">
        <f>COUNTIFS(GERAL!B$8:B$1696,A296,GERAL!AW$8:AW$1696,"&gt;0",GERAL!C$8:C$1696,"ESCOLA")</f>
        <v>1</v>
      </c>
      <c r="AH296" s="118">
        <f>COUNTIFS(GERAL!B$8:B$1696,A296,GERAL!AW$8:AW$1696,"&gt;0",GERAL!C$8:C$1696,"ANEXO")</f>
        <v>0</v>
      </c>
      <c r="AI296" s="177">
        <f>SUMIF(GERAL!B$8:B$1696,A296,GERAL!AS$8:AS$1696)+SUMIF(GERAL!B$8:B$1696,A296,GERAL!AT$8:AT$1696)</f>
        <v>0</v>
      </c>
      <c r="AJ296" s="177">
        <f>SUMIF(GERAL!B$8:B$1696,A296,GERAL!AU$8:AU$1696)</f>
        <v>23</v>
      </c>
      <c r="AK296" s="177">
        <f>SUMIF(GERAL!B$8:B$1696,A296,GERAL!AV$8:AV$1696)</f>
        <v>35</v>
      </c>
      <c r="AL296" s="118">
        <f t="shared" si="42"/>
        <v>58</v>
      </c>
      <c r="AM296" s="493" t="s">
        <v>285</v>
      </c>
    </row>
    <row r="297">
      <c r="A297" s="494" t="s">
        <v>5199</v>
      </c>
      <c r="B297" s="75">
        <f>COUNTIFS(GERAL!B$8:B$1696,A297,GERAL!C$8:C$1696,"ESCOLA")</f>
        <v>1</v>
      </c>
      <c r="C297" s="75">
        <f>COUNTIFS(GERAL!B$8:B$1696,A297,GERAL!C$8:C$1696,"ANEXO")</f>
        <v>0</v>
      </c>
      <c r="D297" s="85">
        <f>SUMIF(GERAL!B$8:B$1696,A297,GERAL!Z$8:Z$1696)</f>
        <v>0</v>
      </c>
      <c r="E297" s="85">
        <f>SUMIF(GERAL!B$8:B$1696,A297,GERAL!AE$8:AE$1696)</f>
        <v>0</v>
      </c>
      <c r="F297" s="85">
        <f>SUMIF(GERAL!B$8:B$1696,A297,GERAL!AJ$8:AJ$1696)</f>
        <v>559</v>
      </c>
      <c r="G297" s="85">
        <f>SUMIF(GERAL!B$8:B$1696,A297,GERAL!AN$8:AN$1696)</f>
        <v>0</v>
      </c>
      <c r="H297" s="85">
        <f>SUMIF(GERAL!B$8:B$1696,A297,GERAL!AR$8:AW$1696)</f>
        <v>264</v>
      </c>
      <c r="I297" s="85">
        <f>SUMIF(GERAL!B$8:B$1696,A297,GERAL!AW$8:AW$1696)</f>
        <v>230</v>
      </c>
      <c r="J297" s="75">
        <f>SUMIF(GERAL!B$8:B$1696,A297,GERAL!AX$8:AX$1696)</f>
        <v>1053</v>
      </c>
      <c r="K297" s="75">
        <f>COUNTIFS(GERAL!B$8:B$1696,A297,GERAL!AY$8:AY$1696,"&gt;0",GERAL!C$8:C$1696,"ESCOLA")</f>
        <v>1</v>
      </c>
      <c r="L297" s="75">
        <f>COUNTIFS(GERAL!B$8:B$1696,A297,GERAL!AY$8:AY$1696,"&gt;0",GERAL!C$8:C$1696,"ANEXO")</f>
        <v>0</v>
      </c>
      <c r="M297" s="100">
        <f>SUMIF(GERAL!B$8:B$1696,A297,GERAL!V$8:V$1696)+SUMIF(GERAL!B$8:B$1696,A297,GERAL!W$8:W$1696)</f>
        <v>0</v>
      </c>
      <c r="N297" s="100">
        <f>SUMIF(GERAL!B$8:B$1696,A297,GERAL!AA$8:AA$1696)+SUMIF(GERAL!B$8:B$1696,A297,GERAL!AB$8:AB$1696)</f>
        <v>0</v>
      </c>
      <c r="O297" s="100">
        <f>SUMIF(GERAL!B$8:B$1696,A297,GERAL!AF$8:AF$1696)+SUMIF(GERAL!B$8:B$1696,A297,GERAL!AG$8:AG$1696)</f>
        <v>0</v>
      </c>
      <c r="P297" s="100">
        <f>SUMIF(GERAL!B$8:B$1696,A297,GERAL!AK$8:AK$1696)+SUMIF(GERAL!B$8:B$1696,A297,GERAL!AL$8:AL$1696)</f>
        <v>0</v>
      </c>
      <c r="Q297" s="100">
        <f>SUMIF(GERAL!B$8:B$1696,A297,GERAL!AO$8:AO$1696)+SUMIF(GERAL!B$8:B$1696,A297,GERAL!AP$8:AP$1696)</f>
        <v>0</v>
      </c>
      <c r="R297" s="100">
        <f>SUMIF(GERAL!B$8:B$1696,A297,GERAL!AS$8:AS$1696)+SUMIF(GERAL!B$8:B$1696,A297,GERAL!AT$8:AT$1696)</f>
        <v>20</v>
      </c>
      <c r="S297" s="75">
        <f t="shared" si="39"/>
        <v>20</v>
      </c>
      <c r="T297" s="116">
        <f>COUNTIFS(GERAL!B$8:B$1696,A297,GERAL!AZ$8:AZ$1696,"&gt;0",GERAL!C$8:C$1696,"ESCOLA")</f>
        <v>1</v>
      </c>
      <c r="U297" s="75">
        <f>COUNTIFS(GERAL!B$8:B$1696,A297,GERAL!AZ$8:AZ$1696,"&gt;0",GERAL!C$8:C$1696,"ANEXO")</f>
        <v>0</v>
      </c>
      <c r="V297" s="85">
        <f>SUMIF(GERAL!B$8:B$1696,A297,GERAL!AH$8:AH$1696)</f>
        <v>0</v>
      </c>
      <c r="W297" s="85">
        <f>SUMIF(GERAL!B$8:B$1696,A297,GERAL!AM$8:AM$1696)</f>
        <v>0</v>
      </c>
      <c r="X297" s="85">
        <f>SUMIF(GERAL!B$8:B$1696,A297,GERAL!AQ$8:AQ$1696)</f>
        <v>264</v>
      </c>
      <c r="Y297" s="85">
        <f>SUMIF(GERAL!B$8:B$1696,A297,GERAL!AU$8:AU$1696)</f>
        <v>87</v>
      </c>
      <c r="Z297" s="88">
        <f t="shared" si="40"/>
        <v>351</v>
      </c>
      <c r="AA297" s="116">
        <f>COUNTIFS(GERAL!B$8:B$1696,A297,GERAL!BK$8:BK$1696,"&gt;0",GERAL!C$8:C$1696,"ESCOLA")</f>
        <v>1</v>
      </c>
      <c r="AB297" s="88">
        <f>COUNTIFS(GERAL!B$8:B$1696,A297,GERAL!BK$8:BK$1696,"&gt;0",GERAL!C$8:C$1696,"ANEXO")</f>
        <v>0</v>
      </c>
      <c r="AC297" s="121">
        <f>SUMIF(GERAL!B$8:B$1696,A297,GERAL!AD$8:AD$1696)</f>
        <v>0</v>
      </c>
      <c r="AD297" s="121">
        <f>SUMIF(GERAL!B$8:B$1696,A297,GERAL!AI$8:AI$1696)</f>
        <v>559</v>
      </c>
      <c r="AE297" s="121">
        <f>SUMIF(GERAL!B$8:B$1696,A297,GERAL!AV$8:AV$1696)</f>
        <v>123</v>
      </c>
      <c r="AF297" s="492">
        <f t="shared" si="41"/>
        <v>682</v>
      </c>
      <c r="AG297" s="178">
        <f>COUNTIFS(GERAL!B$8:B$1696,A297,GERAL!AW$8:AW$1696,"&gt;0",GERAL!C$8:C$1696,"ESCOLA")</f>
        <v>1</v>
      </c>
      <c r="AH297" s="118">
        <f>COUNTIFS(GERAL!B$8:B$1696,A297,GERAL!AW$8:AW$1696,"&gt;0",GERAL!C$8:C$1696,"ANEXO")</f>
        <v>0</v>
      </c>
      <c r="AI297" s="177">
        <f>SUMIF(GERAL!B$8:B$1696,A297,GERAL!AS$8:AS$1696)+SUMIF(GERAL!B$8:B$1696,A297,GERAL!AT$8:AT$1696)</f>
        <v>20</v>
      </c>
      <c r="AJ297" s="177">
        <f>SUMIF(GERAL!B$8:B$1696,A297,GERAL!AU$8:AU$1696)</f>
        <v>87</v>
      </c>
      <c r="AK297" s="177">
        <f>SUMIF(GERAL!B$8:B$1696,A297,GERAL!AV$8:AV$1696)</f>
        <v>123</v>
      </c>
      <c r="AL297" s="118">
        <f t="shared" si="42"/>
        <v>230</v>
      </c>
      <c r="AM297" s="493" t="s">
        <v>1224</v>
      </c>
    </row>
    <row r="298">
      <c r="A298" s="484" t="s">
        <v>2146</v>
      </c>
      <c r="B298" s="75">
        <f>COUNTIFS(GERAL!B$8:B$1696,A298,GERAL!C$8:C$1696,"ESCOLA")</f>
        <v>3</v>
      </c>
      <c r="C298" s="75">
        <f>COUNTIFS(GERAL!B$8:B$1696,A298,GERAL!C$8:C$1696,"ANEXO")</f>
        <v>2</v>
      </c>
      <c r="D298" s="85">
        <f>SUMIF(GERAL!B$8:B$1696,A298,GERAL!Z$8:Z$1696)</f>
        <v>0</v>
      </c>
      <c r="E298" s="85">
        <f>SUMIF(GERAL!B$8:B$1696,A298,GERAL!AE$8:AE$1696)</f>
        <v>0</v>
      </c>
      <c r="F298" s="85">
        <f>SUMIF(GERAL!B$8:B$1696,A298,GERAL!AJ$8:AJ$1696)</f>
        <v>1172</v>
      </c>
      <c r="G298" s="85">
        <f>SUMIF(GERAL!B$8:B$1696,A298,GERAL!AN$8:AN$1696)</f>
        <v>0</v>
      </c>
      <c r="H298" s="85">
        <f>SUMIF(GERAL!B$8:B$1696,A298,GERAL!AR$8:AW$1696)</f>
        <v>345</v>
      </c>
      <c r="I298" s="85">
        <f>SUMIF(GERAL!B$8:B$1696,A298,GERAL!AW$8:AW$1696)</f>
        <v>15</v>
      </c>
      <c r="J298" s="75">
        <f>SUMIF(GERAL!B$8:B$1696,A298,GERAL!AX$8:AX$1696)</f>
        <v>1532</v>
      </c>
      <c r="K298" s="75">
        <f>COUNTIFS(GERAL!B$8:B$1696,A298,GERAL!AY$8:AY$1696,"&gt;0",GERAL!C$8:C$1696,"ESCOLA")</f>
        <v>3</v>
      </c>
      <c r="L298" s="75">
        <f>COUNTIFS(GERAL!B$8:B$1696,A298,GERAL!AY$8:AY$1696,"&gt;0",GERAL!C$8:C$1696,"ANEXO")</f>
        <v>0</v>
      </c>
      <c r="M298" s="100">
        <f>SUMIF(GERAL!B$8:B$1696,A298,GERAL!V$8:V$1696)+SUMIF(GERAL!B$8:B$1696,A298,GERAL!W$8:W$1696)</f>
        <v>0</v>
      </c>
      <c r="N298" s="100">
        <f>SUMIF(GERAL!B$8:B$1696,A298,GERAL!AA$8:AA$1696)+SUMIF(GERAL!B$8:B$1696,A298,GERAL!AB$8:AB$1696)</f>
        <v>0</v>
      </c>
      <c r="O298" s="100">
        <f>SUMIF(GERAL!B$8:B$1696,A298,GERAL!AF$8:AF$1696)+SUMIF(GERAL!B$8:B$1696,A298,GERAL!AG$8:AG$1696)</f>
        <v>1071</v>
      </c>
      <c r="P298" s="100">
        <f>SUMIF(GERAL!B$8:B$1696,A298,GERAL!AK$8:AK$1696)+SUMIF(GERAL!B$8:B$1696,A298,GERAL!AL$8:AL$1696)</f>
        <v>0</v>
      </c>
      <c r="Q298" s="100">
        <f>SUMIF(GERAL!B$8:B$1696,A298,GERAL!AO$8:AO$1696)+SUMIF(GERAL!B$8:B$1696,A298,GERAL!AP$8:AP$1696)</f>
        <v>0</v>
      </c>
      <c r="R298" s="100">
        <f>SUMIF(GERAL!B$8:B$1696,A298,GERAL!AS$8:AS$1696)+SUMIF(GERAL!B$8:B$1696,A298,GERAL!AT$8:AT$1696)</f>
        <v>0</v>
      </c>
      <c r="S298" s="75">
        <f t="shared" si="39"/>
        <v>1071</v>
      </c>
      <c r="T298" s="116">
        <f>COUNTIFS(GERAL!B$8:B$1696,A298,GERAL!AZ$8:AZ$1696,"&gt;0",GERAL!C$8:C$1696,"ESCOLA")</f>
        <v>3</v>
      </c>
      <c r="U298" s="75">
        <f>COUNTIFS(GERAL!B$8:B$1696,A298,GERAL!AZ$8:AZ$1696,"&gt;0",GERAL!C$8:C$1696,"ANEXO")</f>
        <v>2</v>
      </c>
      <c r="V298" s="85">
        <f>SUMIF(GERAL!B$8:B$1696,A298,GERAL!AH$8:AH$1696)</f>
        <v>48</v>
      </c>
      <c r="W298" s="85">
        <f>SUMIF(GERAL!B$8:B$1696,A298,GERAL!AM$8:AM$1696)</f>
        <v>0</v>
      </c>
      <c r="X298" s="85">
        <f>SUMIF(GERAL!B$8:B$1696,A298,GERAL!AQ$8:AQ$1696)</f>
        <v>345</v>
      </c>
      <c r="Y298" s="85">
        <f>SUMIF(GERAL!B$8:B$1696,A298,GERAL!AU$8:AU$1696)</f>
        <v>0</v>
      </c>
      <c r="Z298" s="88">
        <f t="shared" si="40"/>
        <v>393</v>
      </c>
      <c r="AA298" s="116">
        <f>COUNTIFS(GERAL!B$8:B$1696,A298,GERAL!BK$8:BK$1696,"&gt;0",GERAL!C$8:C$1696,"ESCOLA")</f>
        <v>1</v>
      </c>
      <c r="AB298" s="88">
        <f>COUNTIFS(GERAL!B$8:B$1696,A298,GERAL!BK$8:BK$1696,"&gt;0",GERAL!C$8:C$1696,"ANEXO")</f>
        <v>0</v>
      </c>
      <c r="AC298" s="121">
        <f>SUMIF(GERAL!B$8:B$1696,A298,GERAL!AD$8:AD$1696)</f>
        <v>0</v>
      </c>
      <c r="AD298" s="121">
        <f>SUMIF(GERAL!B$8:B$1696,A298,GERAL!AI$8:AI$1696)</f>
        <v>53</v>
      </c>
      <c r="AE298" s="121">
        <f>SUMIF(GERAL!B$8:B$1696,A298,GERAL!AV$8:AV$1696)</f>
        <v>15</v>
      </c>
      <c r="AF298" s="492">
        <f t="shared" si="41"/>
        <v>68</v>
      </c>
      <c r="AG298" s="178">
        <f>COUNTIFS(GERAL!B$8:B$1696,A298,GERAL!AW$8:AW$1696,"&gt;0",GERAL!C$8:C$1696,"ESCOLA")</f>
        <v>1</v>
      </c>
      <c r="AH298" s="118">
        <f>COUNTIFS(GERAL!B$8:B$1696,A298,GERAL!AW$8:AW$1696,"&gt;0",GERAL!C$8:C$1696,"ANEXO")</f>
        <v>0</v>
      </c>
      <c r="AI298" s="177">
        <f>SUMIF(GERAL!B$8:B$1696,A298,GERAL!AS$8:AS$1696)+SUMIF(GERAL!B$8:B$1696,A298,GERAL!AT$8:AT$1696)</f>
        <v>0</v>
      </c>
      <c r="AJ298" s="177">
        <f>SUMIF(GERAL!B$8:B$1696,A298,GERAL!AU$8:AU$1696)</f>
        <v>0</v>
      </c>
      <c r="AK298" s="177">
        <f>SUMIF(GERAL!B$8:B$1696,A298,GERAL!AV$8:AV$1696)</f>
        <v>15</v>
      </c>
      <c r="AL298" s="118">
        <f t="shared" si="42"/>
        <v>15</v>
      </c>
      <c r="AM298" s="493" t="s">
        <v>605</v>
      </c>
    </row>
    <row r="299">
      <c r="A299" s="494" t="s">
        <v>955</v>
      </c>
      <c r="B299" s="75">
        <f>COUNTIFS(GERAL!B$8:B$1696,A299,GERAL!C$8:C$1696,"ESCOLA")</f>
        <v>1</v>
      </c>
      <c r="C299" s="75">
        <f>COUNTIFS(GERAL!B$8:B$1696,A299,GERAL!C$8:C$1696,"ANEXO")</f>
        <v>4</v>
      </c>
      <c r="D299" s="85">
        <f>SUMIF(GERAL!B$8:B$1696,A299,GERAL!Z$8:Z$1696)</f>
        <v>0</v>
      </c>
      <c r="E299" s="85">
        <f>SUMIF(GERAL!B$8:B$1696,A299,GERAL!AE$8:AE$1696)</f>
        <v>0</v>
      </c>
      <c r="F299" s="85">
        <f>SUMIF(GERAL!B$8:B$1696,A299,GERAL!AJ$8:AJ$1696)</f>
        <v>339</v>
      </c>
      <c r="G299" s="85">
        <f>SUMIF(GERAL!B$8:B$1696,A299,GERAL!AN$8:AN$1696)</f>
        <v>0</v>
      </c>
      <c r="H299" s="85">
        <f>SUMIF(GERAL!B$8:B$1696,A299,GERAL!AR$8:AW$1696)</f>
        <v>60</v>
      </c>
      <c r="I299" s="85">
        <f>SUMIF(GERAL!B$8:B$1696,A299,GERAL!AW$8:AW$1696)</f>
        <v>52</v>
      </c>
      <c r="J299" s="75">
        <f>SUMIF(GERAL!B$8:B$1696,A299,GERAL!AX$8:AX$1696)</f>
        <v>451</v>
      </c>
      <c r="K299" s="75">
        <f>COUNTIFS(GERAL!B$8:B$1696,A299,GERAL!AY$8:AY$1696,"&gt;0",GERAL!C$8:C$1696,"ESCOLA")</f>
        <v>1</v>
      </c>
      <c r="L299" s="75">
        <f>COUNTIFS(GERAL!B$8:B$1696,A299,GERAL!AY$8:AY$1696,"&gt;0",GERAL!C$8:C$1696,"ANEXO")</f>
        <v>2</v>
      </c>
      <c r="M299" s="100">
        <f>SUMIF(GERAL!B$8:B$1696,A299,GERAL!V$8:V$1696)+SUMIF(GERAL!B$8:B$1696,A299,GERAL!W$8:W$1696)</f>
        <v>0</v>
      </c>
      <c r="N299" s="100">
        <f>SUMIF(GERAL!B$8:B$1696,A299,GERAL!AA$8:AA$1696)+SUMIF(GERAL!B$8:B$1696,A299,GERAL!AB$8:AB$1696)</f>
        <v>0</v>
      </c>
      <c r="O299" s="100">
        <f>SUMIF(GERAL!B$8:B$1696,A299,GERAL!AF$8:AF$1696)+SUMIF(GERAL!B$8:B$1696,A299,GERAL!AG$8:AG$1696)</f>
        <v>213</v>
      </c>
      <c r="P299" s="100">
        <f>SUMIF(GERAL!B$8:B$1696,A299,GERAL!AK$8:AK$1696)+SUMIF(GERAL!B$8:B$1696,A299,GERAL!AL$8:AL$1696)</f>
        <v>0</v>
      </c>
      <c r="Q299" s="100">
        <f>SUMIF(GERAL!B$8:B$1696,A299,GERAL!AO$8:AO$1696)+SUMIF(GERAL!B$8:B$1696,A299,GERAL!AP$8:AP$1696)</f>
        <v>0</v>
      </c>
      <c r="R299" s="100">
        <f>SUMIF(GERAL!B$8:B$1696,A299,GERAL!AS$8:AS$1696)+SUMIF(GERAL!B$8:B$1696,A299,GERAL!AT$8:AT$1696)</f>
        <v>0</v>
      </c>
      <c r="S299" s="75">
        <f t="shared" si="39"/>
        <v>213</v>
      </c>
      <c r="T299" s="116">
        <f>COUNTIFS(GERAL!B$8:B$1696,A299,GERAL!AZ$8:AZ$1696,"&gt;0",GERAL!C$8:C$1696,"ESCOLA")</f>
        <v>1</v>
      </c>
      <c r="U299" s="75">
        <f>COUNTIFS(GERAL!B$8:B$1696,A299,GERAL!AZ$8:AZ$1696,"&gt;0",GERAL!C$8:C$1696,"ANEXO")</f>
        <v>3</v>
      </c>
      <c r="V299" s="85">
        <f>SUMIF(GERAL!B$8:B$1696,A299,GERAL!AH$8:AH$1696)</f>
        <v>47</v>
      </c>
      <c r="W299" s="85">
        <f>SUMIF(GERAL!B$8:B$1696,A299,GERAL!AM$8:AM$1696)</f>
        <v>0</v>
      </c>
      <c r="X299" s="85">
        <f>SUMIF(GERAL!B$8:B$1696,A299,GERAL!AQ$8:AQ$1696)</f>
        <v>60</v>
      </c>
      <c r="Y299" s="85">
        <f>SUMIF(GERAL!B$8:B$1696,A299,GERAL!AU$8:AU$1696)</f>
        <v>0</v>
      </c>
      <c r="Z299" s="88">
        <f t="shared" si="40"/>
        <v>107</v>
      </c>
      <c r="AA299" s="116">
        <f>COUNTIFS(GERAL!B$8:B$1696,A299,GERAL!BK$8:BK$1696,"&gt;0",GERAL!C$8:C$1696,"ESCOLA")</f>
        <v>1</v>
      </c>
      <c r="AB299" s="88">
        <f>COUNTIFS(GERAL!B$8:B$1696,A299,GERAL!BK$8:BK$1696,"&gt;0",GERAL!C$8:C$1696,"ANEXO")</f>
        <v>0</v>
      </c>
      <c r="AC299" s="121">
        <f>SUMIF(GERAL!B$8:B$1696,A299,GERAL!AD$8:AD$1696)</f>
        <v>0</v>
      </c>
      <c r="AD299" s="121">
        <f>SUMIF(GERAL!B$8:B$1696,A299,GERAL!AI$8:AI$1696)</f>
        <v>79</v>
      </c>
      <c r="AE299" s="121">
        <f>SUMIF(GERAL!B$8:B$1696,A299,GERAL!AV$8:AV$1696)</f>
        <v>52</v>
      </c>
      <c r="AF299" s="492">
        <f t="shared" si="41"/>
        <v>131</v>
      </c>
      <c r="AG299" s="178">
        <f>COUNTIFS(GERAL!B$8:B$1696,A299,GERAL!AW$8:AW$1696,"&gt;0",GERAL!C$8:C$1696,"ESCOLA")</f>
        <v>1</v>
      </c>
      <c r="AH299" s="118">
        <f>COUNTIFS(GERAL!B$8:B$1696,A299,GERAL!AW$8:AW$1696,"&gt;0",GERAL!C$8:C$1696,"ANEXO")</f>
        <v>0</v>
      </c>
      <c r="AI299" s="177">
        <f>SUMIF(GERAL!B$8:B$1696,A299,GERAL!AS$8:AS$1696)+SUMIF(GERAL!B$8:B$1696,A299,GERAL!AT$8:AT$1696)</f>
        <v>0</v>
      </c>
      <c r="AJ299" s="177">
        <f>SUMIF(GERAL!B$8:B$1696,A299,GERAL!AU$8:AU$1696)</f>
        <v>0</v>
      </c>
      <c r="AK299" s="177">
        <f>SUMIF(GERAL!B$8:B$1696,A299,GERAL!AV$8:AV$1696)</f>
        <v>52</v>
      </c>
      <c r="AL299" s="118">
        <f t="shared" si="42"/>
        <v>52</v>
      </c>
      <c r="AM299" s="493" t="s">
        <v>285</v>
      </c>
    </row>
    <row r="300">
      <c r="A300" s="484" t="s">
        <v>5205</v>
      </c>
      <c r="B300" s="75">
        <f>COUNTIFS(GERAL!B$8:B$1696,A300,GERAL!C$8:C$1696,"ESCOLA")</f>
        <v>1</v>
      </c>
      <c r="C300" s="75">
        <f>COUNTIFS(GERAL!B$8:B$1696,A300,GERAL!C$8:C$1696,"ANEXO")</f>
        <v>0</v>
      </c>
      <c r="D300" s="85">
        <f>SUMIF(GERAL!B$8:B$1696,A300,GERAL!Z$8:Z$1696)</f>
        <v>0</v>
      </c>
      <c r="E300" s="85">
        <f>SUMIF(GERAL!B$8:B$1696,A300,GERAL!AE$8:AE$1696)</f>
        <v>0</v>
      </c>
      <c r="F300" s="85">
        <f>SUMIF(GERAL!B$8:B$1696,A300,GERAL!AJ$8:AJ$1696)</f>
        <v>255</v>
      </c>
      <c r="G300" s="85">
        <f>SUMIF(GERAL!B$8:B$1696,A300,GERAL!AN$8:AN$1696)</f>
        <v>0</v>
      </c>
      <c r="H300" s="85">
        <f>SUMIF(GERAL!B$8:B$1696,A300,GERAL!AR$8:AW$1696)</f>
        <v>60</v>
      </c>
      <c r="I300" s="85">
        <f>SUMIF(GERAL!B$8:B$1696,A300,GERAL!AW$8:AW$1696)</f>
        <v>83</v>
      </c>
      <c r="J300" s="75">
        <f>SUMIF(GERAL!B$8:B$1696,A300,GERAL!AX$8:AX$1696)</f>
        <v>398</v>
      </c>
      <c r="K300" s="75">
        <f>COUNTIFS(GERAL!B$8:B$1696,A300,GERAL!AY$8:AY$1696,"&gt;0",GERAL!C$8:C$1696,"ESCOLA")</f>
        <v>1</v>
      </c>
      <c r="L300" s="75">
        <f>COUNTIFS(GERAL!B$8:B$1696,A300,GERAL!AY$8:AY$1696,"&gt;0",GERAL!C$8:C$1696,"ANEXO")</f>
        <v>0</v>
      </c>
      <c r="M300" s="100">
        <f>SUMIF(GERAL!B$8:B$1696,A300,GERAL!V$8:V$1696)+SUMIF(GERAL!B$8:B$1696,A300,GERAL!W$8:W$1696)</f>
        <v>0</v>
      </c>
      <c r="N300" s="100">
        <f>SUMIF(GERAL!B$8:B$1696,A300,GERAL!AA$8:AA$1696)+SUMIF(GERAL!B$8:B$1696,A300,GERAL!AB$8:AB$1696)</f>
        <v>0</v>
      </c>
      <c r="O300" s="100">
        <f>SUMIF(GERAL!B$8:B$1696,A300,GERAL!AF$8:AF$1696)+SUMIF(GERAL!B$8:B$1696,A300,GERAL!AG$8:AG$1696)</f>
        <v>0</v>
      </c>
      <c r="P300" s="100">
        <f>SUMIF(GERAL!B$8:B$1696,A300,GERAL!AK$8:AK$1696)+SUMIF(GERAL!B$8:B$1696,A300,GERAL!AL$8:AL$1696)</f>
        <v>0</v>
      </c>
      <c r="Q300" s="100">
        <f>SUMIF(GERAL!B$8:B$1696,A300,GERAL!AO$8:AO$1696)+SUMIF(GERAL!B$8:B$1696,A300,GERAL!AP$8:AP$1696)</f>
        <v>0</v>
      </c>
      <c r="R300" s="100">
        <f>SUMIF(GERAL!B$8:B$1696,A300,GERAL!AS$8:AS$1696)+SUMIF(GERAL!B$8:B$1696,A300,GERAL!AT$8:AT$1696)</f>
        <v>13</v>
      </c>
      <c r="S300" s="75">
        <f t="shared" si="39"/>
        <v>13</v>
      </c>
      <c r="T300" s="116">
        <f>COUNTIFS(GERAL!B$8:B$1696,A300,GERAL!AZ$8:AZ$1696,"&gt;0",GERAL!C$8:C$1696,"ESCOLA")</f>
        <v>1</v>
      </c>
      <c r="U300" s="75">
        <f>COUNTIFS(GERAL!B$8:B$1696,A300,GERAL!AZ$8:AZ$1696,"&gt;0",GERAL!C$8:C$1696,"ANEXO")</f>
        <v>0</v>
      </c>
      <c r="V300" s="85">
        <f>SUMIF(GERAL!B$8:B$1696,A300,GERAL!AH$8:AH$1696)</f>
        <v>0</v>
      </c>
      <c r="W300" s="85">
        <f>SUMIF(GERAL!B$8:B$1696,A300,GERAL!AM$8:AM$1696)</f>
        <v>0</v>
      </c>
      <c r="X300" s="85">
        <f>SUMIF(GERAL!B$8:B$1696,A300,GERAL!AQ$8:AQ$1696)</f>
        <v>60</v>
      </c>
      <c r="Y300" s="85">
        <f>SUMIF(GERAL!B$8:B$1696,A300,GERAL!AU$8:AU$1696)</f>
        <v>26</v>
      </c>
      <c r="Z300" s="88">
        <f t="shared" si="40"/>
        <v>86</v>
      </c>
      <c r="AA300" s="116">
        <f>COUNTIFS(GERAL!B$8:B$1696,A300,GERAL!BK$8:BK$1696,"&gt;0",GERAL!C$8:C$1696,"ESCOLA")</f>
        <v>1</v>
      </c>
      <c r="AB300" s="88">
        <f>COUNTIFS(GERAL!B$8:B$1696,A300,GERAL!BK$8:BK$1696,"&gt;0",GERAL!C$8:C$1696,"ANEXO")</f>
        <v>0</v>
      </c>
      <c r="AC300" s="121">
        <f>SUMIF(GERAL!B$8:B$1696,A300,GERAL!AD$8:AD$1696)</f>
        <v>0</v>
      </c>
      <c r="AD300" s="121">
        <f>SUMIF(GERAL!B$8:B$1696,A300,GERAL!AI$8:AI$1696)</f>
        <v>255</v>
      </c>
      <c r="AE300" s="121">
        <f>SUMIF(GERAL!B$8:B$1696,A300,GERAL!AV$8:AV$1696)</f>
        <v>44</v>
      </c>
      <c r="AF300" s="492">
        <f t="shared" si="41"/>
        <v>299</v>
      </c>
      <c r="AG300" s="178">
        <f>COUNTIFS(GERAL!B$8:B$1696,A300,GERAL!AW$8:AW$1696,"&gt;0",GERAL!C$8:C$1696,"ESCOLA")</f>
        <v>1</v>
      </c>
      <c r="AH300" s="118">
        <f>COUNTIFS(GERAL!B$8:B$1696,A300,GERAL!AW$8:AW$1696,"&gt;0",GERAL!C$8:C$1696,"ANEXO")</f>
        <v>0</v>
      </c>
      <c r="AI300" s="177">
        <f>SUMIF(GERAL!B$8:B$1696,A300,GERAL!AS$8:AS$1696)+SUMIF(GERAL!B$8:B$1696,A300,GERAL!AT$8:AT$1696)</f>
        <v>13</v>
      </c>
      <c r="AJ300" s="177">
        <f>SUMIF(GERAL!B$8:B$1696,A300,GERAL!AU$8:AU$1696)</f>
        <v>26</v>
      </c>
      <c r="AK300" s="177">
        <f>SUMIF(GERAL!B$8:B$1696,A300,GERAL!AV$8:AV$1696)</f>
        <v>44</v>
      </c>
      <c r="AL300" s="118">
        <f t="shared" si="42"/>
        <v>83</v>
      </c>
      <c r="AM300" s="493" t="s">
        <v>1224</v>
      </c>
    </row>
    <row r="301">
      <c r="A301" s="494" t="s">
        <v>2287</v>
      </c>
      <c r="B301" s="75">
        <f>COUNTIFS(GERAL!B$8:B$1696,A301,GERAL!C$8:C$1696,"ESCOLA")</f>
        <v>2</v>
      </c>
      <c r="C301" s="75">
        <f>COUNTIFS(GERAL!B$8:B$1696,A301,GERAL!C$8:C$1696,"ANEXO")</f>
        <v>0</v>
      </c>
      <c r="D301" s="85">
        <f>SUMIF(GERAL!B$8:B$1696,A301,GERAL!Z$8:Z$1696)</f>
        <v>0</v>
      </c>
      <c r="E301" s="85">
        <f>SUMIF(GERAL!B$8:B$1696,A301,GERAL!AE$8:AE$1696)</f>
        <v>0</v>
      </c>
      <c r="F301" s="85">
        <f>SUMIF(GERAL!B$8:B$1696,A301,GERAL!AJ$8:AJ$1696)</f>
        <v>411</v>
      </c>
      <c r="G301" s="85">
        <f>SUMIF(GERAL!B$8:B$1696,A301,GERAL!AN$8:AN$1696)</f>
        <v>0</v>
      </c>
      <c r="H301" s="85">
        <f>SUMIF(GERAL!B$8:B$1696,A301,GERAL!AR$8:AW$1696)</f>
        <v>156</v>
      </c>
      <c r="I301" s="85">
        <f>SUMIF(GERAL!B$8:B$1696,A301,GERAL!AW$8:AW$1696)</f>
        <v>476</v>
      </c>
      <c r="J301" s="75">
        <f>SUMIF(GERAL!B$8:B$1696,A301,GERAL!AX$8:AX$1696)</f>
        <v>1043</v>
      </c>
      <c r="K301" s="75">
        <f>COUNTIFS(GERAL!B$8:B$1696,A301,GERAL!AY$8:AY$1696,"&gt;0",GERAL!C$8:C$1696,"ESCOLA")</f>
        <v>2</v>
      </c>
      <c r="L301" s="75">
        <f>COUNTIFS(GERAL!B$8:B$1696,A301,GERAL!AY$8:AY$1696,"&gt;0",GERAL!C$8:C$1696,"ANEXO")</f>
        <v>0</v>
      </c>
      <c r="M301" s="100">
        <f>SUMIF(GERAL!B$8:B$1696,A301,GERAL!V$8:V$1696)+SUMIF(GERAL!B$8:B$1696,A301,GERAL!W$8:W$1696)</f>
        <v>0</v>
      </c>
      <c r="N301" s="100">
        <f>SUMIF(GERAL!B$8:B$1696,A301,GERAL!AA$8:AA$1696)+SUMIF(GERAL!B$8:B$1696,A301,GERAL!AB$8:AB$1696)</f>
        <v>0</v>
      </c>
      <c r="O301" s="100">
        <f>SUMIF(GERAL!B$8:B$1696,A301,GERAL!AF$8:AF$1696)+SUMIF(GERAL!B$8:B$1696,A301,GERAL!AG$8:AG$1696)</f>
        <v>35</v>
      </c>
      <c r="P301" s="100">
        <f>SUMIF(GERAL!B$8:B$1696,A301,GERAL!AK$8:AK$1696)+SUMIF(GERAL!B$8:B$1696,A301,GERAL!AL$8:AL$1696)</f>
        <v>0</v>
      </c>
      <c r="Q301" s="100">
        <f>SUMIF(GERAL!B$8:B$1696,A301,GERAL!AO$8:AO$1696)+SUMIF(GERAL!B$8:B$1696,A301,GERAL!AP$8:AP$1696)</f>
        <v>0</v>
      </c>
      <c r="R301" s="100">
        <f>SUMIF(GERAL!B$8:B$1696,A301,GERAL!AS$8:AS$1696)+SUMIF(GERAL!B$8:B$1696,A301,GERAL!AT$8:AT$1696)</f>
        <v>0</v>
      </c>
      <c r="S301" s="75">
        <f t="shared" si="39"/>
        <v>35</v>
      </c>
      <c r="T301" s="116">
        <f>COUNTIFS(GERAL!B$8:B$1696,A301,GERAL!AZ$8:AZ$1696,"&gt;0",GERAL!C$8:C$1696,"ESCOLA")</f>
        <v>2</v>
      </c>
      <c r="U301" s="75">
        <f>COUNTIFS(GERAL!B$8:B$1696,A301,GERAL!AZ$8:AZ$1696,"&gt;0",GERAL!C$8:C$1696,"ANEXO")</f>
        <v>0</v>
      </c>
      <c r="V301" s="85">
        <f>SUMIF(GERAL!B$8:B$1696,A301,GERAL!AH$8:AH$1696)</f>
        <v>0</v>
      </c>
      <c r="W301" s="85">
        <f>SUMIF(GERAL!B$8:B$1696,A301,GERAL!AM$8:AM$1696)</f>
        <v>0</v>
      </c>
      <c r="X301" s="85">
        <f>SUMIF(GERAL!B$8:B$1696,A301,GERAL!AQ$8:AQ$1696)</f>
        <v>156</v>
      </c>
      <c r="Y301" s="85">
        <f>SUMIF(GERAL!B$8:B$1696,A301,GERAL!AU$8:AU$1696)</f>
        <v>100</v>
      </c>
      <c r="Z301" s="88">
        <f t="shared" si="40"/>
        <v>256</v>
      </c>
      <c r="AA301" s="116">
        <f>COUNTIFS(GERAL!B$8:B$1696,A301,GERAL!BK$8:BK$1696,"&gt;0",GERAL!C$8:C$1696,"ESCOLA")</f>
        <v>2</v>
      </c>
      <c r="AB301" s="88">
        <f>COUNTIFS(GERAL!B$8:B$1696,A301,GERAL!BK$8:BK$1696,"&gt;0",GERAL!C$8:C$1696,"ANEXO")</f>
        <v>0</v>
      </c>
      <c r="AC301" s="121">
        <f>SUMIF(GERAL!B$8:B$1696,A301,GERAL!AD$8:AD$1696)</f>
        <v>0</v>
      </c>
      <c r="AD301" s="121">
        <f>SUMIF(GERAL!B$8:B$1696,A301,GERAL!AI$8:AI$1696)</f>
        <v>376</v>
      </c>
      <c r="AE301" s="121">
        <f>SUMIF(GERAL!B$8:B$1696,A301,GERAL!AV$8:AV$1696)</f>
        <v>376</v>
      </c>
      <c r="AF301" s="492">
        <f t="shared" si="41"/>
        <v>752</v>
      </c>
      <c r="AG301" s="178">
        <f>COUNTIFS(GERAL!B$8:B$1696,A301,GERAL!AW$8:AW$1696,"&gt;0",GERAL!C$8:C$1696,"ESCOLA")</f>
        <v>2</v>
      </c>
      <c r="AH301" s="118">
        <f>COUNTIFS(GERAL!B$8:B$1696,A301,GERAL!AW$8:AW$1696,"&gt;0",GERAL!C$8:C$1696,"ANEXO")</f>
        <v>0</v>
      </c>
      <c r="AI301" s="177">
        <f>SUMIF(GERAL!B$8:B$1696,A301,GERAL!AS$8:AS$1696)+SUMIF(GERAL!B$8:B$1696,A301,GERAL!AT$8:AT$1696)</f>
        <v>0</v>
      </c>
      <c r="AJ301" s="177">
        <f>SUMIF(GERAL!B$8:B$1696,A301,GERAL!AU$8:AU$1696)</f>
        <v>100</v>
      </c>
      <c r="AK301" s="177">
        <f>SUMIF(GERAL!B$8:B$1696,A301,GERAL!AV$8:AV$1696)</f>
        <v>376</v>
      </c>
      <c r="AL301" s="118">
        <f t="shared" si="42"/>
        <v>476</v>
      </c>
      <c r="AM301" s="493" t="s">
        <v>1281</v>
      </c>
    </row>
    <row r="302">
      <c r="A302" s="484" t="s">
        <v>665</v>
      </c>
      <c r="B302" s="75">
        <f>COUNTIFS(GERAL!B$8:B$1696,A302,GERAL!C$8:C$1696,"ESCOLA")</f>
        <v>1</v>
      </c>
      <c r="C302" s="75">
        <f>COUNTIFS(GERAL!B$8:B$1696,A302,GERAL!C$8:C$1696,"ANEXO")</f>
        <v>4</v>
      </c>
      <c r="D302" s="85">
        <f>SUMIF(GERAL!B$8:B$1696,A302,GERAL!Z$8:Z$1696)</f>
        <v>0</v>
      </c>
      <c r="E302" s="85">
        <f>SUMIF(GERAL!B$8:B$1696,A302,GERAL!AE$8:AE$1696)</f>
        <v>0</v>
      </c>
      <c r="F302" s="85">
        <f>SUMIF(GERAL!B$8:B$1696,A302,GERAL!AJ$8:AJ$1696)</f>
        <v>565</v>
      </c>
      <c r="G302" s="85">
        <f>SUMIF(GERAL!B$8:B$1696,A302,GERAL!AN$8:AN$1696)</f>
        <v>0</v>
      </c>
      <c r="H302" s="85">
        <f>SUMIF(GERAL!B$8:B$1696,A302,GERAL!AR$8:AW$1696)</f>
        <v>142</v>
      </c>
      <c r="I302" s="85">
        <f>SUMIF(GERAL!B$8:B$1696,A302,GERAL!AW$8:AW$1696)</f>
        <v>93</v>
      </c>
      <c r="J302" s="75">
        <f>SUMIF(GERAL!B$8:B$1696,A302,GERAL!AX$8:AX$1696)</f>
        <v>800</v>
      </c>
      <c r="K302" s="75">
        <f>COUNTIFS(GERAL!B$8:B$1696,A302,GERAL!AY$8:AY$1696,"&gt;0",GERAL!C$8:C$1696,"ESCOLA")</f>
        <v>1</v>
      </c>
      <c r="L302" s="75">
        <f>COUNTIFS(GERAL!B$8:B$1696,A302,GERAL!AY$8:AY$1696,"&gt;0",GERAL!C$8:C$1696,"ANEXO")</f>
        <v>0</v>
      </c>
      <c r="M302" s="100">
        <f>SUMIF(GERAL!B$8:B$1696,A302,GERAL!V$8:V$1696)+SUMIF(GERAL!B$8:B$1696,A302,GERAL!W$8:W$1696)</f>
        <v>0</v>
      </c>
      <c r="N302" s="100">
        <f>SUMIF(GERAL!B$8:B$1696,A302,GERAL!AA$8:AA$1696)+SUMIF(GERAL!B$8:B$1696,A302,GERAL!AB$8:AB$1696)</f>
        <v>0</v>
      </c>
      <c r="O302" s="100">
        <f>SUMIF(GERAL!B$8:B$1696,A302,GERAL!AF$8:AF$1696)+SUMIF(GERAL!B$8:B$1696,A302,GERAL!AG$8:AG$1696)</f>
        <v>319</v>
      </c>
      <c r="P302" s="100">
        <f>SUMIF(GERAL!B$8:B$1696,A302,GERAL!AK$8:AK$1696)+SUMIF(GERAL!B$8:B$1696,A302,GERAL!AL$8:AL$1696)</f>
        <v>0</v>
      </c>
      <c r="Q302" s="100">
        <f>SUMIF(GERAL!B$8:B$1696,A302,GERAL!AO$8:AO$1696)+SUMIF(GERAL!B$8:B$1696,A302,GERAL!AP$8:AP$1696)</f>
        <v>0</v>
      </c>
      <c r="R302" s="100">
        <f>SUMIF(GERAL!B$8:B$1696,A302,GERAL!AS$8:AS$1696)+SUMIF(GERAL!B$8:B$1696,A302,GERAL!AT$8:AT$1696)</f>
        <v>35</v>
      </c>
      <c r="S302" s="75">
        <f t="shared" si="39"/>
        <v>354</v>
      </c>
      <c r="T302" s="116">
        <f>COUNTIFS(GERAL!B$8:B$1696,A302,GERAL!AZ$8:AZ$1696,"&gt;0",GERAL!C$8:C$1696,"ESCOLA")</f>
        <v>1</v>
      </c>
      <c r="U302" s="75">
        <f>COUNTIFS(GERAL!B$8:B$1696,A302,GERAL!AZ$8:AZ$1696,"&gt;0",GERAL!C$8:C$1696,"ANEXO")</f>
        <v>4</v>
      </c>
      <c r="V302" s="85">
        <f>SUMIF(GERAL!B$8:B$1696,A302,GERAL!AH$8:AH$1696)</f>
        <v>110</v>
      </c>
      <c r="W302" s="85">
        <f>SUMIF(GERAL!B$8:B$1696,A302,GERAL!AM$8:AM$1696)</f>
        <v>0</v>
      </c>
      <c r="X302" s="85">
        <f>SUMIF(GERAL!B$8:B$1696,A302,GERAL!AQ$8:AQ$1696)</f>
        <v>142</v>
      </c>
      <c r="Y302" s="85">
        <f>SUMIF(GERAL!B$8:B$1696,A302,GERAL!AU$8:AU$1696)</f>
        <v>22</v>
      </c>
      <c r="Z302" s="88">
        <f t="shared" si="40"/>
        <v>274</v>
      </c>
      <c r="AA302" s="116">
        <f>COUNTIFS(GERAL!B$8:B$1696,A302,GERAL!BK$8:BK$1696,"&gt;0",GERAL!C$8:C$1696,"ESCOLA")</f>
        <v>1</v>
      </c>
      <c r="AB302" s="88">
        <f>COUNTIFS(GERAL!B$8:B$1696,A302,GERAL!BK$8:BK$1696,"&gt;0",GERAL!C$8:C$1696,"ANEXO")</f>
        <v>0</v>
      </c>
      <c r="AC302" s="121">
        <f>SUMIF(GERAL!B$8:B$1696,A302,GERAL!AD$8:AD$1696)</f>
        <v>0</v>
      </c>
      <c r="AD302" s="121">
        <f>SUMIF(GERAL!B$8:B$1696,A302,GERAL!AI$8:AI$1696)</f>
        <v>136</v>
      </c>
      <c r="AE302" s="121">
        <f>SUMIF(GERAL!B$8:B$1696,A302,GERAL!AV$8:AV$1696)</f>
        <v>36</v>
      </c>
      <c r="AF302" s="492">
        <f t="shared" si="41"/>
        <v>172</v>
      </c>
      <c r="AG302" s="178">
        <f>COUNTIFS(GERAL!B$8:B$1696,A302,GERAL!AW$8:AW$1696,"&gt;0",GERAL!C$8:C$1696,"ESCOLA")</f>
        <v>1</v>
      </c>
      <c r="AH302" s="118">
        <f>COUNTIFS(GERAL!B$8:B$1696,A302,GERAL!AW$8:AW$1696,"&gt;0",GERAL!C$8:C$1696,"ANEXO")</f>
        <v>0</v>
      </c>
      <c r="AI302" s="177">
        <f>SUMIF(GERAL!B$8:B$1696,A302,GERAL!AS$8:AS$1696)+SUMIF(GERAL!B$8:B$1696,A302,GERAL!AT$8:AT$1696)</f>
        <v>35</v>
      </c>
      <c r="AJ302" s="177">
        <f>SUMIF(GERAL!B$8:B$1696,A302,GERAL!AU$8:AU$1696)</f>
        <v>22</v>
      </c>
      <c r="AK302" s="177">
        <f>SUMIF(GERAL!B$8:B$1696,A302,GERAL!AV$8:AV$1696)</f>
        <v>36</v>
      </c>
      <c r="AL302" s="118">
        <f t="shared" si="42"/>
        <v>93</v>
      </c>
      <c r="AM302" s="493" t="s">
        <v>205</v>
      </c>
    </row>
    <row r="303">
      <c r="A303" s="494" t="s">
        <v>5688</v>
      </c>
      <c r="B303" s="75">
        <f>COUNTIFS(GERAL!B$8:B$1696,A303,GERAL!C$8:C$1696,"ESCOLA")</f>
        <v>1</v>
      </c>
      <c r="C303" s="75">
        <f>COUNTIFS(GERAL!B$8:B$1696,A303,GERAL!C$8:C$1696,"ANEXO")</f>
        <v>0</v>
      </c>
      <c r="D303" s="85">
        <f>SUMIF(GERAL!B$8:B$1696,A303,GERAL!Z$8:Z$1696)</f>
        <v>0</v>
      </c>
      <c r="E303" s="85">
        <f>SUMIF(GERAL!B$8:B$1696,A303,GERAL!AE$8:AE$1696)</f>
        <v>0</v>
      </c>
      <c r="F303" s="85">
        <f>SUMIF(GERAL!B$8:B$1696,A303,GERAL!AJ$8:AJ$1696)</f>
        <v>106</v>
      </c>
      <c r="G303" s="85">
        <f>SUMIF(GERAL!B$8:B$1696,A303,GERAL!AN$8:AN$1696)</f>
        <v>0</v>
      </c>
      <c r="H303" s="85">
        <f>SUMIF(GERAL!B$8:B$1696,A303,GERAL!AR$8:AW$1696)</f>
        <v>69</v>
      </c>
      <c r="I303" s="85">
        <f>SUMIF(GERAL!B$8:B$1696,A303,GERAL!AW$8:AW$1696)</f>
        <v>114</v>
      </c>
      <c r="J303" s="75">
        <f>SUMIF(GERAL!B$8:B$1696,A303,GERAL!AX$8:AX$1696)</f>
        <v>289</v>
      </c>
      <c r="K303" s="75">
        <f>COUNTIFS(GERAL!B$8:B$1696,A303,GERAL!AY$8:AY$1696,"&gt;0",GERAL!C$8:C$1696,"ESCOLA")</f>
        <v>1</v>
      </c>
      <c r="L303" s="75">
        <f>COUNTIFS(GERAL!B$8:B$1696,A303,GERAL!AY$8:AY$1696,"&gt;0",GERAL!C$8:C$1696,"ANEXO")</f>
        <v>0</v>
      </c>
      <c r="M303" s="100">
        <f>SUMIF(GERAL!B$8:B$1696,A303,GERAL!V$8:V$1696)+SUMIF(GERAL!B$8:B$1696,A303,GERAL!W$8:W$1696)</f>
        <v>0</v>
      </c>
      <c r="N303" s="100">
        <f>SUMIF(GERAL!B$8:B$1696,A303,GERAL!AA$8:AA$1696)+SUMIF(GERAL!B$8:B$1696,A303,GERAL!AB$8:AB$1696)</f>
        <v>0</v>
      </c>
      <c r="O303" s="100">
        <f>SUMIF(GERAL!B$8:B$1696,A303,GERAL!AF$8:AF$1696)+SUMIF(GERAL!B$8:B$1696,A303,GERAL!AG$8:AG$1696)</f>
        <v>0</v>
      </c>
      <c r="P303" s="100">
        <f>SUMIF(GERAL!B$8:B$1696,A303,GERAL!AK$8:AK$1696)+SUMIF(GERAL!B$8:B$1696,A303,GERAL!AL$8:AL$1696)</f>
        <v>0</v>
      </c>
      <c r="Q303" s="100">
        <f>SUMIF(GERAL!B$8:B$1696,A303,GERAL!AO$8:AO$1696)+SUMIF(GERAL!B$8:B$1696,A303,GERAL!AP$8:AP$1696)</f>
        <v>0</v>
      </c>
      <c r="R303" s="100">
        <f>SUMIF(GERAL!B$8:B$1696,A303,GERAL!AS$8:AS$1696)+SUMIF(GERAL!B$8:B$1696,A303,GERAL!AT$8:AT$1696)</f>
        <v>0</v>
      </c>
      <c r="S303" s="75">
        <f t="shared" si="39"/>
        <v>0</v>
      </c>
      <c r="T303" s="116">
        <f>COUNTIFS(GERAL!B$8:B$1696,A303,GERAL!AZ$8:AZ$1696,"&gt;0",GERAL!C$8:C$1696,"ESCOLA")</f>
        <v>1</v>
      </c>
      <c r="U303" s="75">
        <f>COUNTIFS(GERAL!B$8:B$1696,A303,GERAL!AZ$8:AZ$1696,"&gt;0",GERAL!C$8:C$1696,"ANEXO")</f>
        <v>0</v>
      </c>
      <c r="V303" s="85">
        <f>SUMIF(GERAL!B$8:B$1696,A303,GERAL!AH$8:AH$1696)</f>
        <v>0</v>
      </c>
      <c r="W303" s="85">
        <f>SUMIF(GERAL!B$8:B$1696,A303,GERAL!AM$8:AM$1696)</f>
        <v>0</v>
      </c>
      <c r="X303" s="85">
        <f>SUMIF(GERAL!B$8:B$1696,A303,GERAL!AQ$8:AQ$1696)</f>
        <v>69</v>
      </c>
      <c r="Y303" s="85">
        <f>SUMIF(GERAL!B$8:B$1696,A303,GERAL!AU$8:AU$1696)</f>
        <v>13</v>
      </c>
      <c r="Z303" s="88">
        <f t="shared" si="40"/>
        <v>82</v>
      </c>
      <c r="AA303" s="116">
        <f>COUNTIFS(GERAL!B$8:B$1696,A303,GERAL!BK$8:BK$1696,"&gt;0",GERAL!C$8:C$1696,"ESCOLA")</f>
        <v>1</v>
      </c>
      <c r="AB303" s="88">
        <f>COUNTIFS(GERAL!B$8:B$1696,A303,GERAL!BK$8:BK$1696,"&gt;0",GERAL!C$8:C$1696,"ANEXO")</f>
        <v>0</v>
      </c>
      <c r="AC303" s="121">
        <f>SUMIF(GERAL!B$8:B$1696,A303,GERAL!AD$8:AD$1696)</f>
        <v>0</v>
      </c>
      <c r="AD303" s="121">
        <f>SUMIF(GERAL!B$8:B$1696,A303,GERAL!AI$8:AI$1696)</f>
        <v>106</v>
      </c>
      <c r="AE303" s="121">
        <f>SUMIF(GERAL!B$8:B$1696,A303,GERAL!AV$8:AV$1696)</f>
        <v>101</v>
      </c>
      <c r="AF303" s="492">
        <f t="shared" si="41"/>
        <v>207</v>
      </c>
      <c r="AG303" s="178">
        <f>COUNTIFS(GERAL!B$8:B$1696,A303,GERAL!AW$8:AW$1696,"&gt;0",GERAL!C$8:C$1696,"ESCOLA")</f>
        <v>1</v>
      </c>
      <c r="AH303" s="118">
        <f>COUNTIFS(GERAL!B$8:B$1696,A303,GERAL!AW$8:AW$1696,"&gt;0",GERAL!C$8:C$1696,"ANEXO")</f>
        <v>0</v>
      </c>
      <c r="AI303" s="177">
        <f>SUMIF(GERAL!B$8:B$1696,A303,GERAL!AS$8:AS$1696)+SUMIF(GERAL!B$8:B$1696,A303,GERAL!AT$8:AT$1696)</f>
        <v>0</v>
      </c>
      <c r="AJ303" s="177">
        <f>SUMIF(GERAL!B$8:B$1696,A303,GERAL!AU$8:AU$1696)</f>
        <v>13</v>
      </c>
      <c r="AK303" s="177">
        <f>SUMIF(GERAL!B$8:B$1696,A303,GERAL!AV$8:AV$1696)</f>
        <v>101</v>
      </c>
      <c r="AL303" s="118">
        <f t="shared" si="42"/>
        <v>114</v>
      </c>
      <c r="AM303" s="493" t="s">
        <v>1281</v>
      </c>
    </row>
    <row r="304">
      <c r="A304" s="484" t="s">
        <v>2347</v>
      </c>
      <c r="B304" s="75">
        <f>COUNTIFS(GERAL!B$8:B$1696,A304,GERAL!C$8:C$1696,"ESCOLA")</f>
        <v>2</v>
      </c>
      <c r="C304" s="75">
        <f>COUNTIFS(GERAL!B$8:B$1696,A304,GERAL!C$8:C$1696,"ANEXO")</f>
        <v>0</v>
      </c>
      <c r="D304" s="85">
        <f>SUMIF(GERAL!B$8:B$1696,A304,GERAL!Z$8:Z$1696)</f>
        <v>0</v>
      </c>
      <c r="E304" s="85">
        <f>SUMIF(GERAL!B$8:B$1696,A304,GERAL!AE$8:AE$1696)</f>
        <v>0</v>
      </c>
      <c r="F304" s="85">
        <f>SUMIF(GERAL!B$8:B$1696,A304,GERAL!AJ$8:AJ$1696)</f>
        <v>461</v>
      </c>
      <c r="G304" s="85">
        <f>SUMIF(GERAL!B$8:B$1696,A304,GERAL!AN$8:AN$1696)</f>
        <v>0</v>
      </c>
      <c r="H304" s="85">
        <f>SUMIF(GERAL!B$8:B$1696,A304,GERAL!AR$8:AW$1696)</f>
        <v>93</v>
      </c>
      <c r="I304" s="85">
        <f>SUMIF(GERAL!B$8:B$1696,A304,GERAL!AW$8:AW$1696)</f>
        <v>98</v>
      </c>
      <c r="J304" s="75">
        <f>SUMIF(GERAL!B$8:B$1696,A304,GERAL!AX$8:AX$1696)</f>
        <v>652</v>
      </c>
      <c r="K304" s="75">
        <f>COUNTIFS(GERAL!B$8:B$1696,A304,GERAL!AY$8:AY$1696,"&gt;0",GERAL!C$8:C$1696,"ESCOLA")</f>
        <v>2</v>
      </c>
      <c r="L304" s="75">
        <f>COUNTIFS(GERAL!B$8:B$1696,A304,GERAL!AY$8:AY$1696,"&gt;0",GERAL!C$8:C$1696,"ANEXO")</f>
        <v>0</v>
      </c>
      <c r="M304" s="100">
        <f>SUMIF(GERAL!B$8:B$1696,A304,GERAL!V$8:V$1696)+SUMIF(GERAL!B$8:B$1696,A304,GERAL!W$8:W$1696)</f>
        <v>0</v>
      </c>
      <c r="N304" s="100">
        <f>SUMIF(GERAL!B$8:B$1696,A304,GERAL!AA$8:AA$1696)+SUMIF(GERAL!B$8:B$1696,A304,GERAL!AB$8:AB$1696)</f>
        <v>0</v>
      </c>
      <c r="O304" s="100">
        <f>SUMIF(GERAL!B$8:B$1696,A304,GERAL!AF$8:AF$1696)+SUMIF(GERAL!B$8:B$1696,A304,GERAL!AG$8:AG$1696)</f>
        <v>201</v>
      </c>
      <c r="P304" s="100">
        <f>SUMIF(GERAL!B$8:B$1696,A304,GERAL!AK$8:AK$1696)+SUMIF(GERAL!B$8:B$1696,A304,GERAL!AL$8:AL$1696)</f>
        <v>0</v>
      </c>
      <c r="Q304" s="100">
        <f>SUMIF(GERAL!B$8:B$1696,A304,GERAL!AO$8:AO$1696)+SUMIF(GERAL!B$8:B$1696,A304,GERAL!AP$8:AP$1696)</f>
        <v>0</v>
      </c>
      <c r="R304" s="100">
        <f>SUMIF(GERAL!B$8:B$1696,A304,GERAL!AS$8:AS$1696)+SUMIF(GERAL!B$8:B$1696,A304,GERAL!AT$8:AT$1696)</f>
        <v>0</v>
      </c>
      <c r="S304" s="75">
        <f t="shared" si="39"/>
        <v>201</v>
      </c>
      <c r="T304" s="116">
        <f>COUNTIFS(GERAL!B$8:B$1696,A304,GERAL!AZ$8:AZ$1696,"&gt;0",GERAL!C$8:C$1696,"ESCOLA")</f>
        <v>2</v>
      </c>
      <c r="U304" s="75">
        <f>COUNTIFS(GERAL!B$8:B$1696,A304,GERAL!AZ$8:AZ$1696,"&gt;0",GERAL!C$8:C$1696,"ANEXO")</f>
        <v>0</v>
      </c>
      <c r="V304" s="85">
        <f>SUMIF(GERAL!B$8:B$1696,A304,GERAL!AH$8:AH$1696)</f>
        <v>0</v>
      </c>
      <c r="W304" s="85">
        <f>SUMIF(GERAL!B$8:B$1696,A304,GERAL!AM$8:AM$1696)</f>
        <v>0</v>
      </c>
      <c r="X304" s="85">
        <f>SUMIF(GERAL!B$8:B$1696,A304,GERAL!AQ$8:AQ$1696)</f>
        <v>93</v>
      </c>
      <c r="Y304" s="85">
        <f>SUMIF(GERAL!B$8:B$1696,A304,GERAL!AU$8:AU$1696)</f>
        <v>28</v>
      </c>
      <c r="Z304" s="88">
        <f t="shared" si="40"/>
        <v>121</v>
      </c>
      <c r="AA304" s="116">
        <f>COUNTIFS(GERAL!B$8:B$1696,A304,GERAL!BK$8:BK$1696,"&gt;0",GERAL!C$8:C$1696,"ESCOLA")</f>
        <v>1</v>
      </c>
      <c r="AB304" s="88">
        <f>COUNTIFS(GERAL!B$8:B$1696,A304,GERAL!BK$8:BK$1696,"&gt;0",GERAL!C$8:C$1696,"ANEXO")</f>
        <v>0</v>
      </c>
      <c r="AC304" s="121">
        <f>SUMIF(GERAL!B$8:B$1696,A304,GERAL!AD$8:AD$1696)</f>
        <v>0</v>
      </c>
      <c r="AD304" s="121">
        <f>SUMIF(GERAL!B$8:B$1696,A304,GERAL!AI$8:AI$1696)</f>
        <v>260</v>
      </c>
      <c r="AE304" s="121">
        <f>SUMIF(GERAL!B$8:B$1696,A304,GERAL!AV$8:AV$1696)</f>
        <v>70</v>
      </c>
      <c r="AF304" s="492">
        <f t="shared" si="41"/>
        <v>330</v>
      </c>
      <c r="AG304" s="178">
        <f>COUNTIFS(GERAL!B$8:B$1696,A304,GERAL!AW$8:AW$1696,"&gt;0",GERAL!C$8:C$1696,"ESCOLA")</f>
        <v>1</v>
      </c>
      <c r="AH304" s="118">
        <f>COUNTIFS(GERAL!B$8:B$1696,A304,GERAL!AW$8:AW$1696,"&gt;0",GERAL!C$8:C$1696,"ANEXO")</f>
        <v>0</v>
      </c>
      <c r="AI304" s="177">
        <f>SUMIF(GERAL!B$8:B$1696,A304,GERAL!AS$8:AS$1696)+SUMIF(GERAL!B$8:B$1696,A304,GERAL!AT$8:AT$1696)</f>
        <v>0</v>
      </c>
      <c r="AJ304" s="177">
        <f>SUMIF(GERAL!B$8:B$1696,A304,GERAL!AU$8:AU$1696)</f>
        <v>28</v>
      </c>
      <c r="AK304" s="177">
        <f>SUMIF(GERAL!B$8:B$1696,A304,GERAL!AV$8:AV$1696)</f>
        <v>70</v>
      </c>
      <c r="AL304" s="118">
        <f t="shared" si="42"/>
        <v>98</v>
      </c>
      <c r="AM304" s="493" t="s">
        <v>1161</v>
      </c>
    </row>
    <row r="305">
      <c r="A305" s="494" t="s">
        <v>4227</v>
      </c>
      <c r="B305" s="75">
        <f>COUNTIFS(GERAL!B$8:B$1696,A305,GERAL!C$8:C$1696,"ESCOLA")</f>
        <v>1</v>
      </c>
      <c r="C305" s="75">
        <f>COUNTIFS(GERAL!B$8:B$1696,A305,GERAL!C$8:C$1696,"ANEXO")</f>
        <v>1</v>
      </c>
      <c r="D305" s="85">
        <f>SUMIF(GERAL!B$8:B$1696,A305,GERAL!Z$8:Z$1696)</f>
        <v>0</v>
      </c>
      <c r="E305" s="85">
        <f>SUMIF(GERAL!B$8:B$1696,A305,GERAL!AE$8:AE$1696)</f>
        <v>0</v>
      </c>
      <c r="F305" s="85">
        <f>SUMIF(GERAL!B$8:B$1696,A305,GERAL!AJ$8:AJ$1696)</f>
        <v>476</v>
      </c>
      <c r="G305" s="85">
        <f>SUMIF(GERAL!B$8:B$1696,A305,GERAL!AN$8:AN$1696)</f>
        <v>0</v>
      </c>
      <c r="H305" s="85">
        <f>SUMIF(GERAL!B$8:B$1696,A305,GERAL!AR$8:AW$1696)</f>
        <v>164</v>
      </c>
      <c r="I305" s="85">
        <f>SUMIF(GERAL!B$8:B$1696,A305,GERAL!AW$8:AW$1696)</f>
        <v>39</v>
      </c>
      <c r="J305" s="75">
        <f>SUMIF(GERAL!B$8:B$1696,A305,GERAL!AX$8:AX$1696)</f>
        <v>679</v>
      </c>
      <c r="K305" s="75">
        <f>COUNTIFS(GERAL!B$8:B$1696,A305,GERAL!AY$8:AY$1696,"&gt;0",GERAL!C$8:C$1696,"ESCOLA")</f>
        <v>1</v>
      </c>
      <c r="L305" s="75">
        <f>COUNTIFS(GERAL!B$8:B$1696,A305,GERAL!AY$8:AY$1696,"&gt;0",GERAL!C$8:C$1696,"ANEXO")</f>
        <v>0</v>
      </c>
      <c r="M305" s="100">
        <f>SUMIF(GERAL!B$8:B$1696,A305,GERAL!V$8:V$1696)+SUMIF(GERAL!B$8:B$1696,A305,GERAL!W$8:W$1696)</f>
        <v>0</v>
      </c>
      <c r="N305" s="100">
        <f>SUMIF(GERAL!B$8:B$1696,A305,GERAL!AA$8:AA$1696)+SUMIF(GERAL!B$8:B$1696,A305,GERAL!AB$8:AB$1696)</f>
        <v>0</v>
      </c>
      <c r="O305" s="100">
        <f>SUMIF(GERAL!B$8:B$1696,A305,GERAL!AF$8:AF$1696)+SUMIF(GERAL!B$8:B$1696,A305,GERAL!AG$8:AG$1696)</f>
        <v>261</v>
      </c>
      <c r="P305" s="100">
        <f>SUMIF(GERAL!B$8:B$1696,A305,GERAL!AK$8:AK$1696)+SUMIF(GERAL!B$8:B$1696,A305,GERAL!AL$8:AL$1696)</f>
        <v>0</v>
      </c>
      <c r="Q305" s="100">
        <f>SUMIF(GERAL!B$8:B$1696,A305,GERAL!AO$8:AO$1696)+SUMIF(GERAL!B$8:B$1696,A305,GERAL!AP$8:AP$1696)</f>
        <v>0</v>
      </c>
      <c r="R305" s="100">
        <f>SUMIF(GERAL!B$8:B$1696,A305,GERAL!AS$8:AS$1696)+SUMIF(GERAL!B$8:B$1696,A305,GERAL!AT$8:AT$1696)</f>
        <v>39</v>
      </c>
      <c r="S305" s="75">
        <f t="shared" si="39"/>
        <v>300</v>
      </c>
      <c r="T305" s="116">
        <f>COUNTIFS(GERAL!B$8:B$1696,A305,GERAL!AZ$8:AZ$1696,"&gt;0",GERAL!C$8:C$1696,"ESCOLA")</f>
        <v>1</v>
      </c>
      <c r="U305" s="75">
        <f>COUNTIFS(GERAL!B$8:B$1696,A305,GERAL!AZ$8:AZ$1696,"&gt;0",GERAL!C$8:C$1696,"ANEXO")</f>
        <v>1</v>
      </c>
      <c r="V305" s="85">
        <f>SUMIF(GERAL!B$8:B$1696,A305,GERAL!AH$8:AH$1696)</f>
        <v>0</v>
      </c>
      <c r="W305" s="85">
        <f>SUMIF(GERAL!B$8:B$1696,A305,GERAL!AM$8:AM$1696)</f>
        <v>0</v>
      </c>
      <c r="X305" s="85">
        <f>SUMIF(GERAL!B$8:B$1696,A305,GERAL!AQ$8:AQ$1696)</f>
        <v>164</v>
      </c>
      <c r="Y305" s="85">
        <f>SUMIF(GERAL!B$8:B$1696,A305,GERAL!AU$8:AU$1696)</f>
        <v>0</v>
      </c>
      <c r="Z305" s="88">
        <f t="shared" si="40"/>
        <v>164</v>
      </c>
      <c r="AA305" s="116">
        <f>COUNTIFS(GERAL!B$8:B$1696,A305,GERAL!BK$8:BK$1696,"&gt;0",GERAL!C$8:C$1696,"ESCOLA")</f>
        <v>1</v>
      </c>
      <c r="AB305" s="88">
        <f>COUNTIFS(GERAL!B$8:B$1696,A305,GERAL!BK$8:BK$1696,"&gt;0",GERAL!C$8:C$1696,"ANEXO")</f>
        <v>0</v>
      </c>
      <c r="AC305" s="121">
        <f>SUMIF(GERAL!B$8:B$1696,A305,GERAL!AD$8:AD$1696)</f>
        <v>0</v>
      </c>
      <c r="AD305" s="121">
        <f>SUMIF(GERAL!B$8:B$1696,A305,GERAL!AI$8:AI$1696)</f>
        <v>215</v>
      </c>
      <c r="AE305" s="121">
        <f>SUMIF(GERAL!B$8:B$1696,A305,GERAL!AV$8:AV$1696)</f>
        <v>0</v>
      </c>
      <c r="AF305" s="492">
        <f t="shared" si="41"/>
        <v>215</v>
      </c>
      <c r="AG305" s="178">
        <f>COUNTIFS(GERAL!B$8:B$1696,A305,GERAL!AW$8:AW$1696,"&gt;0",GERAL!C$8:C$1696,"ESCOLA")</f>
        <v>1</v>
      </c>
      <c r="AH305" s="118">
        <f>COUNTIFS(GERAL!B$8:B$1696,A305,GERAL!AW$8:AW$1696,"&gt;0",GERAL!C$8:C$1696,"ANEXO")</f>
        <v>0</v>
      </c>
      <c r="AI305" s="177">
        <f>SUMIF(GERAL!B$8:B$1696,A305,GERAL!AS$8:AS$1696)+SUMIF(GERAL!B$8:B$1696,A305,GERAL!AT$8:AT$1696)</f>
        <v>39</v>
      </c>
      <c r="AJ305" s="177">
        <f>SUMIF(GERAL!B$8:B$1696,A305,GERAL!AU$8:AU$1696)</f>
        <v>0</v>
      </c>
      <c r="AK305" s="177">
        <f>SUMIF(GERAL!B$8:B$1696,A305,GERAL!AV$8:AV$1696)</f>
        <v>0</v>
      </c>
      <c r="AL305" s="118">
        <f t="shared" si="42"/>
        <v>39</v>
      </c>
      <c r="AM305" s="493" t="s">
        <v>973</v>
      </c>
    </row>
    <row r="306">
      <c r="A306" s="484" t="s">
        <v>966</v>
      </c>
      <c r="B306" s="75">
        <f>COUNTIFS(GERAL!B$8:B$1696,A306,GERAL!C$8:C$1696,"ESCOLA")</f>
        <v>1</v>
      </c>
      <c r="C306" s="75">
        <f>COUNTIFS(GERAL!B$8:B$1696,A306,GERAL!C$8:C$1696,"ANEXO")</f>
        <v>1</v>
      </c>
      <c r="D306" s="85">
        <f>SUMIF(GERAL!B$8:B$1696,A306,GERAL!Z$8:Z$1696)</f>
        <v>0</v>
      </c>
      <c r="E306" s="85">
        <f>SUMIF(GERAL!B$8:B$1696,A306,GERAL!AE$8:AE$1696)</f>
        <v>0</v>
      </c>
      <c r="F306" s="85">
        <f>SUMIF(GERAL!B$8:B$1696,A306,GERAL!AJ$8:AJ$1696)</f>
        <v>335</v>
      </c>
      <c r="G306" s="85">
        <f>SUMIF(GERAL!B$8:B$1696,A306,GERAL!AN$8:AN$1696)</f>
        <v>0</v>
      </c>
      <c r="H306" s="85">
        <f>SUMIF(GERAL!B$8:B$1696,A306,GERAL!AR$8:AW$1696)</f>
        <v>52</v>
      </c>
      <c r="I306" s="85">
        <f>SUMIF(GERAL!B$8:B$1696,A306,GERAL!AW$8:AW$1696)</f>
        <v>28</v>
      </c>
      <c r="J306" s="75">
        <f>SUMIF(GERAL!B$8:B$1696,A306,GERAL!AX$8:AX$1696)</f>
        <v>415</v>
      </c>
      <c r="K306" s="75">
        <f>COUNTIFS(GERAL!B$8:B$1696,A306,GERAL!AY$8:AY$1696,"&gt;0",GERAL!C$8:C$1696,"ESCOLA")</f>
        <v>1</v>
      </c>
      <c r="L306" s="75">
        <f>COUNTIFS(GERAL!B$8:B$1696,A306,GERAL!AY$8:AY$1696,"&gt;0",GERAL!C$8:C$1696,"ANEXO")</f>
        <v>1</v>
      </c>
      <c r="M306" s="100">
        <f>SUMIF(GERAL!B$8:B$1696,A306,GERAL!V$8:V$1696)+SUMIF(GERAL!B$8:B$1696,A306,GERAL!W$8:W$1696)</f>
        <v>0</v>
      </c>
      <c r="N306" s="100">
        <f>SUMIF(GERAL!B$8:B$1696,A306,GERAL!AA$8:AA$1696)+SUMIF(GERAL!B$8:B$1696,A306,GERAL!AB$8:AB$1696)</f>
        <v>0</v>
      </c>
      <c r="O306" s="100">
        <f>SUMIF(GERAL!B$8:B$1696,A306,GERAL!AF$8:AF$1696)+SUMIF(GERAL!B$8:B$1696,A306,GERAL!AG$8:AG$1696)</f>
        <v>335</v>
      </c>
      <c r="P306" s="100">
        <f>SUMIF(GERAL!B$8:B$1696,A306,GERAL!AK$8:AK$1696)+SUMIF(GERAL!B$8:B$1696,A306,GERAL!AL$8:AL$1696)</f>
        <v>0</v>
      </c>
      <c r="Q306" s="100">
        <f>SUMIF(GERAL!B$8:B$1696,A306,GERAL!AO$8:AO$1696)+SUMIF(GERAL!B$8:B$1696,A306,GERAL!AP$8:AP$1696)</f>
        <v>0</v>
      </c>
      <c r="R306" s="100">
        <f>SUMIF(GERAL!B$8:B$1696,A306,GERAL!AS$8:AS$1696)+SUMIF(GERAL!B$8:B$1696,A306,GERAL!AT$8:AT$1696)</f>
        <v>0</v>
      </c>
      <c r="S306" s="75">
        <f t="shared" si="39"/>
        <v>335</v>
      </c>
      <c r="T306" s="116">
        <f>COUNTIFS(GERAL!B$8:B$1696,A306,GERAL!AZ$8:AZ$1696,"&gt;0",GERAL!C$8:C$1696,"ESCOLA")</f>
        <v>1</v>
      </c>
      <c r="U306" s="75">
        <f>COUNTIFS(GERAL!B$8:B$1696,A306,GERAL!AZ$8:AZ$1696,"&gt;0",GERAL!C$8:C$1696,"ANEXO")</f>
        <v>0</v>
      </c>
      <c r="V306" s="85">
        <f>SUMIF(GERAL!B$8:B$1696,A306,GERAL!AH$8:AH$1696)</f>
        <v>0</v>
      </c>
      <c r="W306" s="85">
        <f>SUMIF(GERAL!B$8:B$1696,A306,GERAL!AM$8:AM$1696)</f>
        <v>0</v>
      </c>
      <c r="X306" s="85">
        <f>SUMIF(GERAL!B$8:B$1696,A306,GERAL!AQ$8:AQ$1696)</f>
        <v>52</v>
      </c>
      <c r="Y306" s="85">
        <f>SUMIF(GERAL!B$8:B$1696,A306,GERAL!AU$8:AU$1696)</f>
        <v>28</v>
      </c>
      <c r="Z306" s="88">
        <f t="shared" si="40"/>
        <v>80</v>
      </c>
      <c r="AA306" s="116">
        <f>COUNTIFS(GERAL!B$8:B$1696,A306,GERAL!BK$8:BK$1696,"&gt;0",GERAL!C$8:C$1696,"ESCOLA")</f>
        <v>0</v>
      </c>
      <c r="AB306" s="88">
        <f>COUNTIFS(GERAL!B$8:B$1696,A306,GERAL!BK$8:BK$1696,"&gt;0",GERAL!C$8:C$1696,"ANEXO")</f>
        <v>0</v>
      </c>
      <c r="AC306" s="121">
        <f>SUMIF(GERAL!B$8:B$1696,A306,GERAL!AD$8:AD$1696)</f>
        <v>0</v>
      </c>
      <c r="AD306" s="121">
        <f>SUMIF(GERAL!B$8:B$1696,A306,GERAL!AI$8:AI$1696)</f>
        <v>0</v>
      </c>
      <c r="AE306" s="121">
        <f>SUMIF(GERAL!B$8:B$1696,A306,GERAL!AV$8:AV$1696)</f>
        <v>0</v>
      </c>
      <c r="AF306" s="492">
        <f t="shared" si="41"/>
        <v>0</v>
      </c>
      <c r="AG306" s="178">
        <f>COUNTIFS(GERAL!B$8:B$1696,A306,GERAL!AW$8:AW$1696,"&gt;0",GERAL!C$8:C$1696,"ESCOLA")</f>
        <v>1</v>
      </c>
      <c r="AH306" s="118">
        <f>COUNTIFS(GERAL!B$8:B$1696,A306,GERAL!AW$8:AW$1696,"&gt;0",GERAL!C$8:C$1696,"ANEXO")</f>
        <v>0</v>
      </c>
      <c r="AI306" s="177">
        <f>SUMIF(GERAL!B$8:B$1696,A306,GERAL!AS$8:AS$1696)+SUMIF(GERAL!B$8:B$1696,A306,GERAL!AT$8:AT$1696)</f>
        <v>0</v>
      </c>
      <c r="AJ306" s="177">
        <f>SUMIF(GERAL!B$8:B$1696,A306,GERAL!AU$8:AU$1696)</f>
        <v>28</v>
      </c>
      <c r="AK306" s="177">
        <f>SUMIF(GERAL!B$8:B$1696,A306,GERAL!AV$8:AV$1696)</f>
        <v>0</v>
      </c>
      <c r="AL306" s="118">
        <f t="shared" si="42"/>
        <v>28</v>
      </c>
      <c r="AM306" s="493" t="s">
        <v>285</v>
      </c>
    </row>
    <row r="307">
      <c r="A307" s="494" t="s">
        <v>3968</v>
      </c>
      <c r="B307" s="75">
        <f>COUNTIFS(GERAL!B$8:B$1696,A307,GERAL!C$8:C$1696,"ESCOLA")</f>
        <v>1</v>
      </c>
      <c r="C307" s="75">
        <f>COUNTIFS(GERAL!B$8:B$1696,A307,GERAL!C$8:C$1696,"ANEXO")</f>
        <v>1</v>
      </c>
      <c r="D307" s="85">
        <f>SUMIF(GERAL!B$8:B$1696,A307,GERAL!Z$8:Z$1696)</f>
        <v>0</v>
      </c>
      <c r="E307" s="85">
        <f>SUMIF(GERAL!B$8:B$1696,A307,GERAL!AE$8:AE$1696)</f>
        <v>40</v>
      </c>
      <c r="F307" s="85">
        <f>SUMIF(GERAL!B$8:B$1696,A307,GERAL!AJ$8:AJ$1696)</f>
        <v>673</v>
      </c>
      <c r="G307" s="85">
        <f>SUMIF(GERAL!B$8:B$1696,A307,GERAL!AN$8:AN$1696)</f>
        <v>0</v>
      </c>
      <c r="H307" s="85">
        <f>SUMIF(GERAL!B$8:B$1696,A307,GERAL!AR$8:AW$1696)</f>
        <v>93</v>
      </c>
      <c r="I307" s="85">
        <f>SUMIF(GERAL!B$8:B$1696,A307,GERAL!AW$8:AW$1696)</f>
        <v>11</v>
      </c>
      <c r="J307" s="75">
        <f>SUMIF(GERAL!B$8:B$1696,A307,GERAL!AX$8:AX$1696)</f>
        <v>817</v>
      </c>
      <c r="K307" s="75">
        <f>COUNTIFS(GERAL!B$8:B$1696,A307,GERAL!AY$8:AY$1696,"&gt;0",GERAL!C$8:C$1696,"ESCOLA")</f>
        <v>1</v>
      </c>
      <c r="L307" s="75">
        <f>COUNTIFS(GERAL!B$8:B$1696,A307,GERAL!AY$8:AY$1696,"&gt;0",GERAL!C$8:C$1696,"ANEXO")</f>
        <v>1</v>
      </c>
      <c r="M307" s="100">
        <f>SUMIF(GERAL!B$8:B$1696,A307,GERAL!V$8:V$1696)+SUMIF(GERAL!B$8:B$1696,A307,GERAL!W$8:W$1696)</f>
        <v>0</v>
      </c>
      <c r="N307" s="100">
        <f>SUMIF(GERAL!B$8:B$1696,A307,GERAL!AA$8:AA$1696)+SUMIF(GERAL!B$8:B$1696,A307,GERAL!AB$8:AB$1696)</f>
        <v>0</v>
      </c>
      <c r="O307" s="100">
        <f>SUMIF(GERAL!B$8:B$1696,A307,GERAL!AF$8:AF$1696)+SUMIF(GERAL!B$8:B$1696,A307,GERAL!AG$8:AG$1696)</f>
        <v>448</v>
      </c>
      <c r="P307" s="100">
        <f>SUMIF(GERAL!B$8:B$1696,A307,GERAL!AK$8:AK$1696)+SUMIF(GERAL!B$8:B$1696,A307,GERAL!AL$8:AL$1696)</f>
        <v>0</v>
      </c>
      <c r="Q307" s="100">
        <f>SUMIF(GERAL!B$8:B$1696,A307,GERAL!AO$8:AO$1696)+SUMIF(GERAL!B$8:B$1696,A307,GERAL!AP$8:AP$1696)</f>
        <v>0</v>
      </c>
      <c r="R307" s="100">
        <f>SUMIF(GERAL!B$8:B$1696,A307,GERAL!AS$8:AS$1696)+SUMIF(GERAL!B$8:B$1696,A307,GERAL!AT$8:AT$1696)</f>
        <v>0</v>
      </c>
      <c r="S307" s="75">
        <f t="shared" si="39"/>
        <v>448</v>
      </c>
      <c r="T307" s="116">
        <f>COUNTIFS(GERAL!B$8:B$1696,A307,GERAL!AZ$8:AZ$1696,"&gt;0",GERAL!C$8:C$1696,"ESCOLA")</f>
        <v>1</v>
      </c>
      <c r="U307" s="75">
        <f>COUNTIFS(GERAL!B$8:B$1696,A307,GERAL!AZ$8:AZ$1696,"&gt;0",GERAL!C$8:C$1696,"ANEXO")</f>
        <v>1</v>
      </c>
      <c r="V307" s="85">
        <f>SUMIF(GERAL!B$8:B$1696,A307,GERAL!AH$8:AH$1696)</f>
        <v>0</v>
      </c>
      <c r="W307" s="85">
        <f>SUMIF(GERAL!B$8:B$1696,A307,GERAL!AM$8:AM$1696)</f>
        <v>0</v>
      </c>
      <c r="X307" s="85">
        <f>SUMIF(GERAL!B$8:B$1696,A307,GERAL!AQ$8:AQ$1696)</f>
        <v>93</v>
      </c>
      <c r="Y307" s="85">
        <f>SUMIF(GERAL!B$8:B$1696,A307,GERAL!AU$8:AU$1696)</f>
        <v>11</v>
      </c>
      <c r="Z307" s="88">
        <f t="shared" si="40"/>
        <v>104</v>
      </c>
      <c r="AA307" s="116">
        <f>COUNTIFS(GERAL!B$8:B$1696,A307,GERAL!BK$8:BK$1696,"&gt;0",GERAL!C$8:C$1696,"ESCOLA")</f>
        <v>1</v>
      </c>
      <c r="AB307" s="88">
        <f>COUNTIFS(GERAL!B$8:B$1696,A307,GERAL!BK$8:BK$1696,"&gt;0",GERAL!C$8:C$1696,"ANEXO")</f>
        <v>0</v>
      </c>
      <c r="AC307" s="121">
        <f>SUMIF(GERAL!B$8:B$1696,A307,GERAL!AD$8:AD$1696)</f>
        <v>40</v>
      </c>
      <c r="AD307" s="121">
        <f>SUMIF(GERAL!B$8:B$1696,A307,GERAL!AI$8:AI$1696)</f>
        <v>225</v>
      </c>
      <c r="AE307" s="121">
        <f>SUMIF(GERAL!B$8:B$1696,A307,GERAL!AV$8:AV$1696)</f>
        <v>0</v>
      </c>
      <c r="AF307" s="492">
        <f t="shared" si="41"/>
        <v>265</v>
      </c>
      <c r="AG307" s="178">
        <f>COUNTIFS(GERAL!B$8:B$1696,A307,GERAL!AW$8:AW$1696,"&gt;0",GERAL!C$8:C$1696,"ESCOLA")</f>
        <v>1</v>
      </c>
      <c r="AH307" s="118">
        <f>COUNTIFS(GERAL!B$8:B$1696,A307,GERAL!AW$8:AW$1696,"&gt;0",GERAL!C$8:C$1696,"ANEXO")</f>
        <v>0</v>
      </c>
      <c r="AI307" s="177">
        <f>SUMIF(GERAL!B$8:B$1696,A307,GERAL!AS$8:AS$1696)+SUMIF(GERAL!B$8:B$1696,A307,GERAL!AT$8:AT$1696)</f>
        <v>0</v>
      </c>
      <c r="AJ307" s="177">
        <f>SUMIF(GERAL!B$8:B$1696,A307,GERAL!AU$8:AU$1696)</f>
        <v>11</v>
      </c>
      <c r="AK307" s="177">
        <f>SUMIF(GERAL!B$8:B$1696,A307,GERAL!AV$8:AV$1696)</f>
        <v>0</v>
      </c>
      <c r="AL307" s="118">
        <f t="shared" si="42"/>
        <v>11</v>
      </c>
      <c r="AM307" s="493" t="s">
        <v>914</v>
      </c>
    </row>
    <row r="308">
      <c r="A308" s="484" t="s">
        <v>681</v>
      </c>
      <c r="B308" s="75">
        <f>COUNTIFS(GERAL!B$8:B$1696,A308,GERAL!C$8:C$1696,"ESCOLA")</f>
        <v>1</v>
      </c>
      <c r="C308" s="75">
        <f>COUNTIFS(GERAL!B$8:B$1696,A308,GERAL!C$8:C$1696,"ANEXO")</f>
        <v>5</v>
      </c>
      <c r="D308" s="85">
        <f>SUMIF(GERAL!B$8:B$1696,A308,GERAL!Z$8:Z$1696)</f>
        <v>0</v>
      </c>
      <c r="E308" s="85">
        <f>SUMIF(GERAL!B$8:B$1696,A308,GERAL!AE$8:AE$1696)</f>
        <v>0</v>
      </c>
      <c r="F308" s="85">
        <f>SUMIF(GERAL!B$8:B$1696,A308,GERAL!AJ$8:AJ$1696)</f>
        <v>1084</v>
      </c>
      <c r="G308" s="85">
        <f>SUMIF(GERAL!B$8:B$1696,A308,GERAL!AN$8:AN$1696)</f>
        <v>0</v>
      </c>
      <c r="H308" s="85">
        <f>SUMIF(GERAL!B$8:B$1696,A308,GERAL!AR$8:AW$1696)</f>
        <v>163</v>
      </c>
      <c r="I308" s="85">
        <f>SUMIF(GERAL!B$8:B$1696,A308,GERAL!AW$8:AW$1696)</f>
        <v>97</v>
      </c>
      <c r="J308" s="75">
        <f>SUMIF(GERAL!B$8:B$1696,A308,GERAL!AX$8:AX$1696)</f>
        <v>1344</v>
      </c>
      <c r="K308" s="75">
        <f>COUNTIFS(GERAL!B$8:B$1696,A308,GERAL!AY$8:AY$1696,"&gt;0",GERAL!C$8:C$1696,"ESCOLA")</f>
        <v>1</v>
      </c>
      <c r="L308" s="75">
        <f>COUNTIFS(GERAL!B$8:B$1696,A308,GERAL!AY$8:AY$1696,"&gt;0",GERAL!C$8:C$1696,"ANEXO")</f>
        <v>5</v>
      </c>
      <c r="M308" s="100">
        <f>SUMIF(GERAL!B$8:B$1696,A308,GERAL!V$8:V$1696)+SUMIF(GERAL!B$8:B$1696,A308,GERAL!W$8:W$1696)</f>
        <v>0</v>
      </c>
      <c r="N308" s="100">
        <f>SUMIF(GERAL!B$8:B$1696,A308,GERAL!AA$8:AA$1696)+SUMIF(GERAL!B$8:B$1696,A308,GERAL!AB$8:AB$1696)</f>
        <v>0</v>
      </c>
      <c r="O308" s="100">
        <f>SUMIF(GERAL!B$8:B$1696,A308,GERAL!AF$8:AF$1696)+SUMIF(GERAL!B$8:B$1696,A308,GERAL!AG$8:AG$1696)</f>
        <v>556</v>
      </c>
      <c r="P308" s="100">
        <f>SUMIF(GERAL!B$8:B$1696,A308,GERAL!AK$8:AK$1696)+SUMIF(GERAL!B$8:B$1696,A308,GERAL!AL$8:AL$1696)</f>
        <v>0</v>
      </c>
      <c r="Q308" s="100">
        <f>SUMIF(GERAL!B$8:B$1696,A308,GERAL!AO$8:AO$1696)+SUMIF(GERAL!B$8:B$1696,A308,GERAL!AP$8:AP$1696)</f>
        <v>0</v>
      </c>
      <c r="R308" s="100">
        <f>SUMIF(GERAL!B$8:B$1696,A308,GERAL!AS$8:AS$1696)+SUMIF(GERAL!B$8:B$1696,A308,GERAL!AT$8:AT$1696)</f>
        <v>0</v>
      </c>
      <c r="S308" s="75">
        <f t="shared" si="39"/>
        <v>556</v>
      </c>
      <c r="T308" s="116">
        <f>COUNTIFS(GERAL!B$8:B$1696,A308,GERAL!AZ$8:AZ$1696,"&gt;0",GERAL!C$8:C$1696,"ESCOLA")</f>
        <v>1</v>
      </c>
      <c r="U308" s="75">
        <f>COUNTIFS(GERAL!B$8:B$1696,A308,GERAL!AZ$8:AZ$1696,"&gt;0",GERAL!C$8:C$1696,"ANEXO")</f>
        <v>4</v>
      </c>
      <c r="V308" s="85">
        <f>SUMIF(GERAL!B$8:B$1696,A308,GERAL!AH$8:AH$1696)</f>
        <v>0</v>
      </c>
      <c r="W308" s="85">
        <f>SUMIF(GERAL!B$8:B$1696,A308,GERAL!AM$8:AM$1696)</f>
        <v>0</v>
      </c>
      <c r="X308" s="85">
        <f>SUMIF(GERAL!B$8:B$1696,A308,GERAL!AQ$8:AQ$1696)</f>
        <v>163</v>
      </c>
      <c r="Y308" s="85">
        <f>SUMIF(GERAL!B$8:B$1696,A308,GERAL!AU$8:AU$1696)</f>
        <v>17</v>
      </c>
      <c r="Z308" s="88">
        <f t="shared" si="40"/>
        <v>180</v>
      </c>
      <c r="AA308" s="116">
        <f>COUNTIFS(GERAL!B$8:B$1696,A308,GERAL!BK$8:BK$1696,"&gt;0",GERAL!C$8:C$1696,"ESCOLA")</f>
        <v>1</v>
      </c>
      <c r="AB308" s="88">
        <f>COUNTIFS(GERAL!B$8:B$1696,A308,GERAL!BK$8:BK$1696,"&gt;0",GERAL!C$8:C$1696,"ANEXO")</f>
        <v>0</v>
      </c>
      <c r="AC308" s="121">
        <f>SUMIF(GERAL!B$8:B$1696,A308,GERAL!AD$8:AD$1696)</f>
        <v>0</v>
      </c>
      <c r="AD308" s="121">
        <f>SUMIF(GERAL!B$8:B$1696,A308,GERAL!AI$8:AI$1696)</f>
        <v>528</v>
      </c>
      <c r="AE308" s="121">
        <f>SUMIF(GERAL!B$8:B$1696,A308,GERAL!AV$8:AV$1696)</f>
        <v>80</v>
      </c>
      <c r="AF308" s="492">
        <f t="shared" si="41"/>
        <v>608</v>
      </c>
      <c r="AG308" s="178">
        <f>COUNTIFS(GERAL!B$8:B$1696,A308,GERAL!AW$8:AW$1696,"&gt;0",GERAL!C$8:C$1696,"ESCOLA")</f>
        <v>1</v>
      </c>
      <c r="AH308" s="118">
        <f>COUNTIFS(GERAL!B$8:B$1696,A308,GERAL!AW$8:AW$1696,"&gt;0",GERAL!C$8:C$1696,"ANEXO")</f>
        <v>0</v>
      </c>
      <c r="AI308" s="177">
        <f>SUMIF(GERAL!B$8:B$1696,A308,GERAL!AS$8:AS$1696)+SUMIF(GERAL!B$8:B$1696,A308,GERAL!AT$8:AT$1696)</f>
        <v>0</v>
      </c>
      <c r="AJ308" s="177">
        <f>SUMIF(GERAL!B$8:B$1696,A308,GERAL!AU$8:AU$1696)</f>
        <v>17</v>
      </c>
      <c r="AK308" s="177">
        <f>SUMIF(GERAL!B$8:B$1696,A308,GERAL!AV$8:AV$1696)</f>
        <v>80</v>
      </c>
      <c r="AL308" s="118">
        <f t="shared" si="42"/>
        <v>97</v>
      </c>
      <c r="AM308" s="493" t="s">
        <v>205</v>
      </c>
    </row>
    <row r="309">
      <c r="A309" s="494" t="s">
        <v>5210</v>
      </c>
      <c r="B309" s="75">
        <f>COUNTIFS(GERAL!B$8:B$1696,A309,GERAL!C$8:C$1696,"ESCOLA")</f>
        <v>1</v>
      </c>
      <c r="C309" s="75">
        <f>COUNTIFS(GERAL!B$8:B$1696,A309,GERAL!C$8:C$1696,"ANEXO")</f>
        <v>3</v>
      </c>
      <c r="D309" s="85">
        <f>SUMIF(GERAL!B$8:B$1696,A309,GERAL!Z$8:Z$1696)</f>
        <v>0</v>
      </c>
      <c r="E309" s="85">
        <f>SUMIF(GERAL!B$8:B$1696,A309,GERAL!AE$8:AE$1696)</f>
        <v>0</v>
      </c>
      <c r="F309" s="85">
        <f>SUMIF(GERAL!B$8:B$1696,A309,GERAL!AJ$8:AJ$1696)</f>
        <v>717</v>
      </c>
      <c r="G309" s="85">
        <f>SUMIF(GERAL!B$8:B$1696,A309,GERAL!AN$8:AN$1696)</f>
        <v>0</v>
      </c>
      <c r="H309" s="85">
        <f>SUMIF(GERAL!B$8:B$1696,A309,GERAL!AR$8:AW$1696)</f>
        <v>95</v>
      </c>
      <c r="I309" s="85">
        <f>SUMIF(GERAL!B$8:B$1696,A309,GERAL!AW$8:AW$1696)</f>
        <v>312</v>
      </c>
      <c r="J309" s="75">
        <f>SUMIF(GERAL!B$8:B$1696,A309,GERAL!AX$8:AX$1696)</f>
        <v>1124</v>
      </c>
      <c r="K309" s="75">
        <f>COUNTIFS(GERAL!B$8:B$1696,A309,GERAL!AY$8:AY$1696,"&gt;0",GERAL!C$8:C$1696,"ESCOLA")</f>
        <v>1</v>
      </c>
      <c r="L309" s="75">
        <f>COUNTIFS(GERAL!B$8:B$1696,A309,GERAL!AY$8:AY$1696,"&gt;0",GERAL!C$8:C$1696,"ANEXO")</f>
        <v>3</v>
      </c>
      <c r="M309" s="100">
        <f>SUMIF(GERAL!B$8:B$1696,A309,GERAL!V$8:V$1696)+SUMIF(GERAL!B$8:B$1696,A309,GERAL!W$8:W$1696)</f>
        <v>0</v>
      </c>
      <c r="N309" s="100">
        <f>SUMIF(GERAL!B$8:B$1696,A309,GERAL!AA$8:AA$1696)+SUMIF(GERAL!B$8:B$1696,A309,GERAL!AB$8:AB$1696)</f>
        <v>0</v>
      </c>
      <c r="O309" s="100">
        <f>SUMIF(GERAL!B$8:B$1696,A309,GERAL!AF$8:AF$1696)+SUMIF(GERAL!B$8:B$1696,A309,GERAL!AG$8:AG$1696)</f>
        <v>683</v>
      </c>
      <c r="P309" s="100">
        <f>SUMIF(GERAL!B$8:B$1696,A309,GERAL!AK$8:AK$1696)+SUMIF(GERAL!B$8:B$1696,A309,GERAL!AL$8:AL$1696)</f>
        <v>0</v>
      </c>
      <c r="Q309" s="100">
        <f>SUMIF(GERAL!B$8:B$1696,A309,GERAL!AO$8:AO$1696)+SUMIF(GERAL!B$8:B$1696,A309,GERAL!AP$8:AP$1696)</f>
        <v>0</v>
      </c>
      <c r="R309" s="100">
        <f>SUMIF(GERAL!B$8:B$1696,A309,GERAL!AS$8:AS$1696)+SUMIF(GERAL!B$8:B$1696,A309,GERAL!AT$8:AT$1696)</f>
        <v>234</v>
      </c>
      <c r="S309" s="75">
        <f t="shared" si="39"/>
        <v>917</v>
      </c>
      <c r="T309" s="116">
        <f>COUNTIFS(GERAL!B$8:B$1696,A309,GERAL!AZ$8:AZ$1696,"&gt;0",GERAL!C$8:C$1696,"ESCOLA")</f>
        <v>1</v>
      </c>
      <c r="U309" s="75">
        <f>COUNTIFS(GERAL!B$8:B$1696,A309,GERAL!AZ$8:AZ$1696,"&gt;0",GERAL!C$8:C$1696,"ANEXO")</f>
        <v>0</v>
      </c>
      <c r="V309" s="85">
        <f>SUMIF(GERAL!B$8:B$1696,A309,GERAL!AH$8:AH$1696)</f>
        <v>0</v>
      </c>
      <c r="W309" s="85">
        <f>SUMIF(GERAL!B$8:B$1696,A309,GERAL!AM$8:AM$1696)</f>
        <v>0</v>
      </c>
      <c r="X309" s="85">
        <f>SUMIF(GERAL!B$8:B$1696,A309,GERAL!AQ$8:AQ$1696)</f>
        <v>95</v>
      </c>
      <c r="Y309" s="85">
        <f>SUMIF(GERAL!B$8:B$1696,A309,GERAL!AU$8:AU$1696)</f>
        <v>29</v>
      </c>
      <c r="Z309" s="88">
        <f t="shared" si="40"/>
        <v>124</v>
      </c>
      <c r="AA309" s="116">
        <f>COUNTIFS(GERAL!B$8:B$1696,A309,GERAL!BK$8:BK$1696,"&gt;0",GERAL!C$8:C$1696,"ESCOLA")</f>
        <v>1</v>
      </c>
      <c r="AB309" s="88">
        <f>COUNTIFS(GERAL!B$8:B$1696,A309,GERAL!BK$8:BK$1696,"&gt;0",GERAL!C$8:C$1696,"ANEXO")</f>
        <v>2</v>
      </c>
      <c r="AC309" s="121">
        <f>SUMIF(GERAL!B$8:B$1696,A309,GERAL!AD$8:AD$1696)</f>
        <v>0</v>
      </c>
      <c r="AD309" s="121">
        <f>SUMIF(GERAL!B$8:B$1696,A309,GERAL!AI$8:AI$1696)</f>
        <v>34</v>
      </c>
      <c r="AE309" s="121">
        <f>SUMIF(GERAL!B$8:B$1696,A309,GERAL!AV$8:AV$1696)</f>
        <v>49</v>
      </c>
      <c r="AF309" s="492">
        <f t="shared" si="41"/>
        <v>83</v>
      </c>
      <c r="AG309" s="178">
        <f>COUNTIFS(GERAL!B$8:B$1696,A309,GERAL!AW$8:AW$1696,"&gt;0",GERAL!C$8:C$1696,"ESCOLA")</f>
        <v>1</v>
      </c>
      <c r="AH309" s="118">
        <f>COUNTIFS(GERAL!B$8:B$1696,A309,GERAL!AW$8:AW$1696,"&gt;0",GERAL!C$8:C$1696,"ANEXO")</f>
        <v>2</v>
      </c>
      <c r="AI309" s="177">
        <f>SUMIF(GERAL!B$8:B$1696,A309,GERAL!AS$8:AS$1696)+SUMIF(GERAL!B$8:B$1696,A309,GERAL!AT$8:AT$1696)</f>
        <v>234</v>
      </c>
      <c r="AJ309" s="177">
        <f>SUMIF(GERAL!B$8:B$1696,A309,GERAL!AU$8:AU$1696)</f>
        <v>29</v>
      </c>
      <c r="AK309" s="177">
        <f>SUMIF(GERAL!B$8:B$1696,A309,GERAL!AV$8:AV$1696)</f>
        <v>49</v>
      </c>
      <c r="AL309" s="118">
        <f t="shared" si="42"/>
        <v>312</v>
      </c>
      <c r="AM309" s="493" t="s">
        <v>1224</v>
      </c>
    </row>
    <row r="310">
      <c r="A310" s="484" t="s">
        <v>1634</v>
      </c>
      <c r="B310" s="75">
        <f>COUNTIFS(GERAL!B$8:B$1696,A310,GERAL!C$8:C$1696,"ESCOLA")</f>
        <v>2</v>
      </c>
      <c r="C310" s="75">
        <f>COUNTIFS(GERAL!B$8:B$1696,A310,GERAL!C$8:C$1696,"ANEXO")</f>
        <v>3</v>
      </c>
      <c r="D310" s="85">
        <f>SUMIF(GERAL!B$8:B$1696,A310,GERAL!Z$8:Z$1696)</f>
        <v>0</v>
      </c>
      <c r="E310" s="85">
        <f>SUMIF(GERAL!B$8:B$1696,A310,GERAL!AE$8:AE$1696)</f>
        <v>319</v>
      </c>
      <c r="F310" s="85">
        <f>SUMIF(GERAL!B$8:B$1696,A310,GERAL!AJ$8:AJ$1696)</f>
        <v>271</v>
      </c>
      <c r="G310" s="85">
        <f>SUMIF(GERAL!B$8:B$1696,A310,GERAL!AN$8:AN$1696)</f>
        <v>33</v>
      </c>
      <c r="H310" s="85">
        <f>SUMIF(GERAL!B$8:B$1696,A310,GERAL!AR$8:AW$1696)</f>
        <v>140</v>
      </c>
      <c r="I310" s="85">
        <f>SUMIF(GERAL!B$8:B$1696,A310,GERAL!AW$8:AW$1696)</f>
        <v>52</v>
      </c>
      <c r="J310" s="75">
        <f>SUMIF(GERAL!B$8:B$1696,A310,GERAL!AX$8:AX$1696)</f>
        <v>815</v>
      </c>
      <c r="K310" s="75">
        <f>COUNTIFS(GERAL!B$8:B$1696,A310,GERAL!AY$8:AY$1696,"&gt;0",GERAL!C$8:C$1696,"ESCOLA")</f>
        <v>2</v>
      </c>
      <c r="L310" s="75">
        <f>COUNTIFS(GERAL!B$8:B$1696,A310,GERAL!AY$8:AY$1696,"&gt;0",GERAL!C$8:C$1696,"ANEXO")</f>
        <v>3</v>
      </c>
      <c r="M310" s="100">
        <f>SUMIF(GERAL!B$8:B$1696,A310,GERAL!V$8:V$1696)+SUMIF(GERAL!B$8:B$1696,A310,GERAL!W$8:W$1696)</f>
        <v>0</v>
      </c>
      <c r="N310" s="100">
        <f>SUMIF(GERAL!B$8:B$1696,A310,GERAL!AA$8:AA$1696)+SUMIF(GERAL!B$8:B$1696,A310,GERAL!AB$8:AB$1696)</f>
        <v>319</v>
      </c>
      <c r="O310" s="100">
        <f>SUMIF(GERAL!B$8:B$1696,A310,GERAL!AF$8:AF$1696)+SUMIF(GERAL!B$8:B$1696,A310,GERAL!AG$8:AG$1696)</f>
        <v>147</v>
      </c>
      <c r="P310" s="100">
        <f>SUMIF(GERAL!B$8:B$1696,A310,GERAL!AK$8:AK$1696)+SUMIF(GERAL!B$8:B$1696,A310,GERAL!AL$8:AL$1696)</f>
        <v>0</v>
      </c>
      <c r="Q310" s="100">
        <f>SUMIF(GERAL!B$8:B$1696,A310,GERAL!AO$8:AO$1696)+SUMIF(GERAL!B$8:B$1696,A310,GERAL!AP$8:AP$1696)</f>
        <v>0</v>
      </c>
      <c r="R310" s="100">
        <f>SUMIF(GERAL!B$8:B$1696,A310,GERAL!AS$8:AS$1696)+SUMIF(GERAL!B$8:B$1696,A310,GERAL!AT$8:AT$1696)</f>
        <v>0</v>
      </c>
      <c r="S310" s="75">
        <f t="shared" si="39"/>
        <v>466</v>
      </c>
      <c r="T310" s="116">
        <f>COUNTIFS(GERAL!B$8:B$1696,A310,GERAL!AZ$8:AZ$1696,"&gt;0",GERAL!C$8:C$1696,"ESCOLA")</f>
        <v>2</v>
      </c>
      <c r="U310" s="75">
        <f>COUNTIFS(GERAL!B$8:B$1696,A310,GERAL!AZ$8:AZ$1696,"&gt;0",GERAL!C$8:C$1696,"ANEXO")</f>
        <v>0</v>
      </c>
      <c r="V310" s="85">
        <f>SUMIF(GERAL!B$8:B$1696,A310,GERAL!AH$8:AH$1696)</f>
        <v>0</v>
      </c>
      <c r="W310" s="85">
        <f>SUMIF(GERAL!B$8:B$1696,A310,GERAL!AM$8:AM$1696)</f>
        <v>33</v>
      </c>
      <c r="X310" s="85">
        <f>SUMIF(GERAL!B$8:B$1696,A310,GERAL!AQ$8:AQ$1696)</f>
        <v>140</v>
      </c>
      <c r="Y310" s="85">
        <f>SUMIF(GERAL!B$8:B$1696,A310,GERAL!AU$8:AU$1696)</f>
        <v>36</v>
      </c>
      <c r="Z310" s="88">
        <f t="shared" si="40"/>
        <v>209</v>
      </c>
      <c r="AA310" s="116">
        <f>COUNTIFS(GERAL!B$8:B$1696,A310,GERAL!BK$8:BK$1696,"&gt;0",GERAL!C$8:C$1696,"ESCOLA")</f>
        <v>2</v>
      </c>
      <c r="AB310" s="88">
        <f>COUNTIFS(GERAL!B$8:B$1696,A310,GERAL!BK$8:BK$1696,"&gt;0",GERAL!C$8:C$1696,"ANEXO")</f>
        <v>0</v>
      </c>
      <c r="AC310" s="121">
        <f>SUMIF(GERAL!B$8:B$1696,A310,GERAL!AD$8:AD$1696)</f>
        <v>0</v>
      </c>
      <c r="AD310" s="121">
        <f>SUMIF(GERAL!B$8:B$1696,A310,GERAL!AI$8:AI$1696)</f>
        <v>124</v>
      </c>
      <c r="AE310" s="121">
        <f>SUMIF(GERAL!B$8:B$1696,A310,GERAL!AV$8:AV$1696)</f>
        <v>16</v>
      </c>
      <c r="AF310" s="492">
        <f t="shared" si="41"/>
        <v>140</v>
      </c>
      <c r="AG310" s="178">
        <f>COUNTIFS(GERAL!B$8:B$1696,A310,GERAL!AW$8:AW$1696,"&gt;0",GERAL!C$8:C$1696,"ESCOLA")</f>
        <v>2</v>
      </c>
      <c r="AH310" s="118">
        <f>COUNTIFS(GERAL!B$8:B$1696,A310,GERAL!AW$8:AW$1696,"&gt;0",GERAL!C$8:C$1696,"ANEXO")</f>
        <v>0</v>
      </c>
      <c r="AI310" s="177">
        <f>SUMIF(GERAL!B$8:B$1696,A310,GERAL!AS$8:AS$1696)+SUMIF(GERAL!B$8:B$1696,A310,GERAL!AT$8:AT$1696)</f>
        <v>0</v>
      </c>
      <c r="AJ310" s="177">
        <f>SUMIF(GERAL!B$8:B$1696,A310,GERAL!AU$8:AU$1696)</f>
        <v>36</v>
      </c>
      <c r="AK310" s="177">
        <f>SUMIF(GERAL!B$8:B$1696,A310,GERAL!AV$8:AV$1696)</f>
        <v>16</v>
      </c>
      <c r="AL310" s="118">
        <f t="shared" si="42"/>
        <v>52</v>
      </c>
      <c r="AM310" s="493" t="s">
        <v>451</v>
      </c>
    </row>
    <row r="311">
      <c r="A311" s="494" t="s">
        <v>7625</v>
      </c>
      <c r="B311" s="75">
        <f>COUNTIFS(GERAL!B$8:B$1696,A311,GERAL!C$8:C$1696,"ESCOLA")</f>
        <v>6</v>
      </c>
      <c r="C311" s="75">
        <f>COUNTIFS(GERAL!B$8:B$1696,A311,GERAL!C$8:C$1696,"ANEXO")</f>
        <v>2</v>
      </c>
      <c r="D311" s="85">
        <f>SUMIF(GERAL!B$8:B$1696,A311,GERAL!Z$8:Z$1696)</f>
        <v>6</v>
      </c>
      <c r="E311" s="85">
        <f>SUMIF(GERAL!B$8:B$1696,A311,GERAL!AE$8:AE$1696)</f>
        <v>43</v>
      </c>
      <c r="F311" s="85">
        <f>SUMIF(GERAL!B$8:B$1696,A311,GERAL!AJ$8:AJ$1696)</f>
        <v>1152</v>
      </c>
      <c r="G311" s="85">
        <f>SUMIF(GERAL!B$8:B$1696,A311,GERAL!AN$8:AN$1696)</f>
        <v>52</v>
      </c>
      <c r="H311" s="85">
        <f>SUMIF(GERAL!B$8:B$1696,A311,GERAL!AR$8:AW$1696)</f>
        <v>126</v>
      </c>
      <c r="I311" s="85">
        <f>SUMIF(GERAL!B$8:B$1696,A311,GERAL!AW$8:AW$1696)</f>
        <v>3459</v>
      </c>
      <c r="J311" s="75">
        <f>SUMIF(GERAL!B$8:B$1696,A311,GERAL!AX$8:AX$1696)</f>
        <v>4838</v>
      </c>
      <c r="K311" s="75">
        <f>COUNTIFS(GERAL!B$8:B$1696,A311,GERAL!AY$8:AY$1696,"&gt;0",GERAL!C$8:C$1696,"ESCOLA")</f>
        <v>6</v>
      </c>
      <c r="L311" s="75">
        <f>COUNTIFS(GERAL!B$8:B$1696,A311,GERAL!AY$8:AY$1696,"&gt;0",GERAL!C$8:C$1696,"ANEXO")</f>
        <v>2</v>
      </c>
      <c r="M311" s="100">
        <f>SUMIF(GERAL!B$8:B$1696,A311,GERAL!V$8:V$1696)+SUMIF(GERAL!B$8:B$1696,A311,GERAL!W$8:W$1696)</f>
        <v>6</v>
      </c>
      <c r="N311" s="100">
        <f>SUMIF(GERAL!B$8:B$1696,A311,GERAL!AA$8:AA$1696)+SUMIF(GERAL!B$8:B$1696,A311,GERAL!AB$8:AB$1696)</f>
        <v>43</v>
      </c>
      <c r="O311" s="100">
        <f>SUMIF(GERAL!B$8:B$1696,A311,GERAL!AF$8:AF$1696)+SUMIF(GERAL!B$8:B$1696,A311,GERAL!AG$8:AG$1696)</f>
        <v>856</v>
      </c>
      <c r="P311" s="100">
        <f>SUMIF(GERAL!B$8:B$1696,A311,GERAL!AK$8:AK$1696)+SUMIF(GERAL!B$8:B$1696,A311,GERAL!AL$8:AL$1696)</f>
        <v>52</v>
      </c>
      <c r="Q311" s="100">
        <f>SUMIF(GERAL!B$8:B$1696,A311,GERAL!AO$8:AO$1696)+SUMIF(GERAL!B$8:B$1696,A311,GERAL!AP$8:AP$1696)</f>
        <v>11</v>
      </c>
      <c r="R311" s="100">
        <f>SUMIF(GERAL!B$8:B$1696,A311,GERAL!AS$8:AS$1696)+SUMIF(GERAL!B$8:B$1696,A311,GERAL!AT$8:AT$1696)</f>
        <v>2160</v>
      </c>
      <c r="S311" s="75">
        <f t="shared" si="39"/>
        <v>3128</v>
      </c>
      <c r="T311" s="116">
        <f>COUNTIFS(GERAL!B$8:B$1696,A311,GERAL!AZ$8:AZ$1696,"&gt;0",GERAL!C$8:C$1696,"ESCOLA")</f>
        <v>6</v>
      </c>
      <c r="U311" s="75">
        <f>COUNTIFS(GERAL!B$8:B$1696,A311,GERAL!AZ$8:AZ$1696,"&gt;0",GERAL!C$8:C$1696,"ANEXO")</f>
        <v>0</v>
      </c>
      <c r="V311" s="85">
        <f>SUMIF(GERAL!B$8:B$1696,A311,GERAL!AH$8:AH$1696)</f>
        <v>0</v>
      </c>
      <c r="W311" s="85">
        <f>SUMIF(GERAL!B$8:B$1696,A311,GERAL!AM$8:AM$1696)</f>
        <v>0</v>
      </c>
      <c r="X311" s="85">
        <f>SUMIF(GERAL!B$8:B$1696,A311,GERAL!AQ$8:AQ$1696)</f>
        <v>115</v>
      </c>
      <c r="Y311" s="85">
        <f>SUMIF(GERAL!B$8:B$1696,A311,GERAL!AU$8:AU$1696)</f>
        <v>923</v>
      </c>
      <c r="Z311" s="88">
        <f t="shared" si="40"/>
        <v>1038</v>
      </c>
      <c r="AA311" s="116">
        <f>COUNTIFS(GERAL!B$8:B$1696,A311,GERAL!BK$8:BK$1696,"&gt;0",GERAL!C$8:C$1696,"ESCOLA")</f>
        <v>4</v>
      </c>
      <c r="AB311" s="88">
        <f>COUNTIFS(GERAL!B$8:B$1696,A311,GERAL!BK$8:BK$1696,"&gt;0",GERAL!C$8:C$1696,"ANEXO")</f>
        <v>0</v>
      </c>
      <c r="AC311" s="121">
        <f>SUMIF(GERAL!B$8:B$1696,A311,GERAL!AD$8:AD$1696)</f>
        <v>0</v>
      </c>
      <c r="AD311" s="121">
        <f>SUMIF(GERAL!B$8:B$1696,A311,GERAL!AI$8:AI$1696)</f>
        <v>296</v>
      </c>
      <c r="AE311" s="121">
        <f>SUMIF(GERAL!B$8:B$1696,A311,GERAL!AV$8:AV$1696)</f>
        <v>376</v>
      </c>
      <c r="AF311" s="492">
        <f t="shared" si="41"/>
        <v>672</v>
      </c>
      <c r="AG311" s="178">
        <f>COUNTIFS(GERAL!B$8:B$1696,A311,GERAL!AW$8:AW$1696,"&gt;0",GERAL!C$8:C$1696,"ESCOLA")</f>
        <v>6</v>
      </c>
      <c r="AH311" s="118">
        <f>COUNTIFS(GERAL!B$8:B$1696,A311,GERAL!AW$8:AW$1696,"&gt;0",GERAL!C$8:C$1696,"ANEXO")</f>
        <v>0</v>
      </c>
      <c r="AI311" s="177">
        <f>SUMIF(GERAL!B$8:B$1696,A311,GERAL!AS$8:AS$1696)+SUMIF(GERAL!B$8:B$1696,A311,GERAL!AT$8:AT$1696)</f>
        <v>2160</v>
      </c>
      <c r="AJ311" s="177">
        <f>SUMIF(GERAL!B$8:B$1696,A311,GERAL!AU$8:AU$1696)</f>
        <v>923</v>
      </c>
      <c r="AK311" s="177">
        <f>SUMIF(GERAL!B$8:B$1696,A311,GERAL!AV$8:AV$1696)</f>
        <v>376</v>
      </c>
      <c r="AL311" s="118">
        <f t="shared" si="42"/>
        <v>3459</v>
      </c>
      <c r="AM311" s="493" t="s">
        <v>1629</v>
      </c>
    </row>
    <row r="312">
      <c r="A312" s="484" t="s">
        <v>4630</v>
      </c>
      <c r="B312" s="75">
        <f>COUNTIFS(GERAL!B$8:B$1696,A312,GERAL!C$8:C$1696,"ESCOLA")</f>
        <v>1</v>
      </c>
      <c r="C312" s="75">
        <f>COUNTIFS(GERAL!B$8:B$1696,A312,GERAL!C$8:C$1696,"ANEXO")</f>
        <v>0</v>
      </c>
      <c r="D312" s="85">
        <f>SUMIF(GERAL!B$8:B$1696,A312,GERAL!Z$8:Z$1696)</f>
        <v>0</v>
      </c>
      <c r="E312" s="85">
        <f>SUMIF(GERAL!B$8:B$1696,A312,GERAL!AE$8:AE$1696)</f>
        <v>0</v>
      </c>
      <c r="F312" s="85">
        <f>SUMIF(GERAL!B$8:B$1696,A312,GERAL!AJ$8:AJ$1696)</f>
        <v>456</v>
      </c>
      <c r="G312" s="85">
        <f>SUMIF(GERAL!B$8:B$1696,A312,GERAL!AN$8:AN$1696)</f>
        <v>0</v>
      </c>
      <c r="H312" s="85">
        <f>SUMIF(GERAL!B$8:B$1696,A312,GERAL!AR$8:AW$1696)</f>
        <v>129</v>
      </c>
      <c r="I312" s="85">
        <f>SUMIF(GERAL!B$8:B$1696,A312,GERAL!AW$8:AW$1696)</f>
        <v>26</v>
      </c>
      <c r="J312" s="75">
        <f>SUMIF(GERAL!B$8:B$1696,A312,GERAL!AX$8:AX$1696)</f>
        <v>611</v>
      </c>
      <c r="K312" s="75">
        <f>COUNTIFS(GERAL!B$8:B$1696,A312,GERAL!AY$8:AY$1696,"&gt;0",GERAL!C$8:C$1696,"ESCOLA")</f>
        <v>1</v>
      </c>
      <c r="L312" s="75">
        <f>COUNTIFS(GERAL!B$8:B$1696,A312,GERAL!AY$8:AY$1696,"&gt;0",GERAL!C$8:C$1696,"ANEXO")</f>
        <v>0</v>
      </c>
      <c r="M312" s="100">
        <f>SUMIF(GERAL!B$8:B$1696,A312,GERAL!V$8:V$1696)+SUMIF(GERAL!B$8:B$1696,A312,GERAL!W$8:W$1696)</f>
        <v>0</v>
      </c>
      <c r="N312" s="100">
        <f>SUMIF(GERAL!B$8:B$1696,A312,GERAL!AA$8:AA$1696)+SUMIF(GERAL!B$8:B$1696,A312,GERAL!AB$8:AB$1696)</f>
        <v>0</v>
      </c>
      <c r="O312" s="100">
        <f>SUMIF(GERAL!B$8:B$1696,A312,GERAL!AF$8:AF$1696)+SUMIF(GERAL!B$8:B$1696,A312,GERAL!AG$8:AG$1696)</f>
        <v>0</v>
      </c>
      <c r="P312" s="100">
        <f>SUMIF(GERAL!B$8:B$1696,A312,GERAL!AK$8:AK$1696)+SUMIF(GERAL!B$8:B$1696,A312,GERAL!AL$8:AL$1696)</f>
        <v>0</v>
      </c>
      <c r="Q312" s="100">
        <f>SUMIF(GERAL!B$8:B$1696,A312,GERAL!AO$8:AO$1696)+SUMIF(GERAL!B$8:B$1696,A312,GERAL!AP$8:AP$1696)</f>
        <v>0</v>
      </c>
      <c r="R312" s="100">
        <f>SUMIF(GERAL!B$8:B$1696,A312,GERAL!AS$8:AS$1696)+SUMIF(GERAL!B$8:B$1696,A312,GERAL!AT$8:AT$1696)</f>
        <v>0</v>
      </c>
      <c r="S312" s="75">
        <f t="shared" si="39"/>
        <v>0</v>
      </c>
      <c r="T312" s="116">
        <f>COUNTIFS(GERAL!B$8:B$1696,A312,GERAL!AZ$8:AZ$1696,"&gt;0",GERAL!C$8:C$1696,"ESCOLA")</f>
        <v>1</v>
      </c>
      <c r="U312" s="75">
        <f>COUNTIFS(GERAL!B$8:B$1696,A312,GERAL!AZ$8:AZ$1696,"&gt;0",GERAL!C$8:C$1696,"ANEXO")</f>
        <v>0</v>
      </c>
      <c r="V312" s="85">
        <f>SUMIF(GERAL!B$8:B$1696,A312,GERAL!AH$8:AH$1696)</f>
        <v>0</v>
      </c>
      <c r="W312" s="85">
        <f>SUMIF(GERAL!B$8:B$1696,A312,GERAL!AM$8:AM$1696)</f>
        <v>0</v>
      </c>
      <c r="X312" s="85">
        <f>SUMIF(GERAL!B$8:B$1696,A312,GERAL!AQ$8:AQ$1696)</f>
        <v>129</v>
      </c>
      <c r="Y312" s="85">
        <f>SUMIF(GERAL!B$8:B$1696,A312,GERAL!AU$8:AU$1696)</f>
        <v>0</v>
      </c>
      <c r="Z312" s="88">
        <f t="shared" si="40"/>
        <v>129</v>
      </c>
      <c r="AA312" s="116">
        <f>COUNTIFS(GERAL!B$8:B$1696,A312,GERAL!BK$8:BK$1696,"&gt;0",GERAL!C$8:C$1696,"ESCOLA")</f>
        <v>1</v>
      </c>
      <c r="AB312" s="88">
        <f>COUNTIFS(GERAL!B$8:B$1696,A312,GERAL!BK$8:BK$1696,"&gt;0",GERAL!C$8:C$1696,"ANEXO")</f>
        <v>0</v>
      </c>
      <c r="AC312" s="121">
        <f>SUMIF(GERAL!B$8:B$1696,A312,GERAL!AD$8:AD$1696)</f>
        <v>0</v>
      </c>
      <c r="AD312" s="121">
        <f>SUMIF(GERAL!B$8:B$1696,A312,GERAL!AI$8:AI$1696)</f>
        <v>456</v>
      </c>
      <c r="AE312" s="121">
        <f>SUMIF(GERAL!B$8:B$1696,A312,GERAL!AV$8:AV$1696)</f>
        <v>26</v>
      </c>
      <c r="AF312" s="492">
        <f t="shared" si="41"/>
        <v>482</v>
      </c>
      <c r="AG312" s="178">
        <f>COUNTIFS(GERAL!B$8:B$1696,A312,GERAL!AW$8:AW$1696,"&gt;0",GERAL!C$8:C$1696,"ESCOLA")</f>
        <v>1</v>
      </c>
      <c r="AH312" s="118">
        <f>COUNTIFS(GERAL!B$8:B$1696,A312,GERAL!AW$8:AW$1696,"&gt;0",GERAL!C$8:C$1696,"ANEXO")</f>
        <v>0</v>
      </c>
      <c r="AI312" s="177">
        <f>SUMIF(GERAL!B$8:B$1696,A312,GERAL!AS$8:AS$1696)+SUMIF(GERAL!B$8:B$1696,A312,GERAL!AT$8:AT$1696)</f>
        <v>0</v>
      </c>
      <c r="AJ312" s="177">
        <f>SUMIF(GERAL!B$8:B$1696,A312,GERAL!AU$8:AU$1696)</f>
        <v>0</v>
      </c>
      <c r="AK312" s="177">
        <f>SUMIF(GERAL!B$8:B$1696,A312,GERAL!AV$8:AV$1696)</f>
        <v>26</v>
      </c>
      <c r="AL312" s="118">
        <f t="shared" si="42"/>
        <v>26</v>
      </c>
      <c r="AM312" s="493" t="s">
        <v>1090</v>
      </c>
    </row>
    <row r="313">
      <c r="A313" s="494" t="s">
        <v>5693</v>
      </c>
      <c r="B313" s="75">
        <f>COUNTIFS(GERAL!B$8:B$1696,A313,GERAL!C$8:C$1696,"ESCOLA")</f>
        <v>1</v>
      </c>
      <c r="C313" s="75">
        <f>COUNTIFS(GERAL!B$8:B$1696,A313,GERAL!C$8:C$1696,"ANEXO")</f>
        <v>0</v>
      </c>
      <c r="D313" s="85">
        <f>SUMIF(GERAL!B$8:B$1696,A313,GERAL!Z$8:Z$1696)</f>
        <v>0</v>
      </c>
      <c r="E313" s="85">
        <f>SUMIF(GERAL!B$8:B$1696,A313,GERAL!AE$8:AE$1696)</f>
        <v>0</v>
      </c>
      <c r="F313" s="85">
        <f>SUMIF(GERAL!B$8:B$1696,A313,GERAL!AJ$8:AJ$1696)</f>
        <v>57</v>
      </c>
      <c r="G313" s="85">
        <f>SUMIF(GERAL!B$8:B$1696,A313,GERAL!AN$8:AN$1696)</f>
        <v>0</v>
      </c>
      <c r="H313" s="85">
        <f>SUMIF(GERAL!B$8:B$1696,A313,GERAL!AR$8:AW$1696)</f>
        <v>44</v>
      </c>
      <c r="I313" s="85">
        <f>SUMIF(GERAL!B$8:B$1696,A313,GERAL!AW$8:AW$1696)</f>
        <v>111</v>
      </c>
      <c r="J313" s="75">
        <f>SUMIF(GERAL!B$8:B$1696,A313,GERAL!AX$8:AX$1696)</f>
        <v>212</v>
      </c>
      <c r="K313" s="75">
        <f>COUNTIFS(GERAL!B$8:B$1696,A313,GERAL!AY$8:AY$1696,"&gt;0",GERAL!C$8:C$1696,"ESCOLA")</f>
        <v>1</v>
      </c>
      <c r="L313" s="75">
        <f>COUNTIFS(GERAL!B$8:B$1696,A313,GERAL!AY$8:AY$1696,"&gt;0",GERAL!C$8:C$1696,"ANEXO")</f>
        <v>0</v>
      </c>
      <c r="M313" s="100">
        <f>SUMIF(GERAL!B$8:B$1696,A313,GERAL!V$8:V$1696)+SUMIF(GERAL!B$8:B$1696,A313,GERAL!W$8:W$1696)</f>
        <v>0</v>
      </c>
      <c r="N313" s="100">
        <f>SUMIF(GERAL!B$8:B$1696,A313,GERAL!AA$8:AA$1696)+SUMIF(GERAL!B$8:B$1696,A313,GERAL!AB$8:AB$1696)</f>
        <v>0</v>
      </c>
      <c r="O313" s="100">
        <f>SUMIF(GERAL!B$8:B$1696,A313,GERAL!AF$8:AF$1696)+SUMIF(GERAL!B$8:B$1696,A313,GERAL!AG$8:AG$1696)</f>
        <v>0</v>
      </c>
      <c r="P313" s="100">
        <f>SUMIF(GERAL!B$8:B$1696,A313,GERAL!AK$8:AK$1696)+SUMIF(GERAL!B$8:B$1696,A313,GERAL!AL$8:AL$1696)</f>
        <v>0</v>
      </c>
      <c r="Q313" s="100">
        <f>SUMIF(GERAL!B$8:B$1696,A313,GERAL!AO$8:AO$1696)+SUMIF(GERAL!B$8:B$1696,A313,GERAL!AP$8:AP$1696)</f>
        <v>0</v>
      </c>
      <c r="R313" s="100">
        <f>SUMIF(GERAL!B$8:B$1696,A313,GERAL!AS$8:AS$1696)+SUMIF(GERAL!B$8:B$1696,A313,GERAL!AT$8:AT$1696)</f>
        <v>33</v>
      </c>
      <c r="S313" s="75">
        <f t="shared" si="39"/>
        <v>33</v>
      </c>
      <c r="T313" s="116">
        <f>COUNTIFS(GERAL!B$8:B$1696,A313,GERAL!AZ$8:AZ$1696,"&gt;0",GERAL!C$8:C$1696,"ESCOLA")</f>
        <v>1</v>
      </c>
      <c r="U313" s="75">
        <f>COUNTIFS(GERAL!B$8:B$1696,A313,GERAL!AZ$8:AZ$1696,"&gt;0",GERAL!C$8:C$1696,"ANEXO")</f>
        <v>0</v>
      </c>
      <c r="V313" s="85">
        <f>SUMIF(GERAL!B$8:B$1696,A313,GERAL!AH$8:AH$1696)</f>
        <v>0</v>
      </c>
      <c r="W313" s="85">
        <f>SUMIF(GERAL!B$8:B$1696,A313,GERAL!AM$8:AM$1696)</f>
        <v>0</v>
      </c>
      <c r="X313" s="85">
        <f>SUMIF(GERAL!B$8:B$1696,A313,GERAL!AQ$8:AQ$1696)</f>
        <v>44</v>
      </c>
      <c r="Y313" s="85">
        <f>SUMIF(GERAL!B$8:B$1696,A313,GERAL!AU$8:AU$1696)</f>
        <v>16</v>
      </c>
      <c r="Z313" s="88">
        <f t="shared" si="40"/>
        <v>60</v>
      </c>
      <c r="AA313" s="116">
        <f>COUNTIFS(GERAL!B$8:B$1696,A313,GERAL!BK$8:BK$1696,"&gt;0",GERAL!C$8:C$1696,"ESCOLA")</f>
        <v>1</v>
      </c>
      <c r="AB313" s="88">
        <f>COUNTIFS(GERAL!B$8:B$1696,A313,GERAL!BK$8:BK$1696,"&gt;0",GERAL!C$8:C$1696,"ANEXO")</f>
        <v>0</v>
      </c>
      <c r="AC313" s="121">
        <f>SUMIF(GERAL!B$8:B$1696,A313,GERAL!AD$8:AD$1696)</f>
        <v>0</v>
      </c>
      <c r="AD313" s="121">
        <f>SUMIF(GERAL!B$8:B$1696,A313,GERAL!AI$8:AI$1696)</f>
        <v>57</v>
      </c>
      <c r="AE313" s="121">
        <f>SUMIF(GERAL!B$8:B$1696,A313,GERAL!AV$8:AV$1696)</f>
        <v>62</v>
      </c>
      <c r="AF313" s="492">
        <f t="shared" si="41"/>
        <v>119</v>
      </c>
      <c r="AG313" s="178">
        <f>COUNTIFS(GERAL!B$8:B$1696,A313,GERAL!AW$8:AW$1696,"&gt;0",GERAL!C$8:C$1696,"ESCOLA")</f>
        <v>1</v>
      </c>
      <c r="AH313" s="118">
        <f>COUNTIFS(GERAL!B$8:B$1696,A313,GERAL!AW$8:AW$1696,"&gt;0",GERAL!C$8:C$1696,"ANEXO")</f>
        <v>0</v>
      </c>
      <c r="AI313" s="177">
        <f>SUMIF(GERAL!B$8:B$1696,A313,GERAL!AS$8:AS$1696)+SUMIF(GERAL!B$8:B$1696,A313,GERAL!AT$8:AT$1696)</f>
        <v>33</v>
      </c>
      <c r="AJ313" s="177">
        <f>SUMIF(GERAL!B$8:B$1696,A313,GERAL!AU$8:AU$1696)</f>
        <v>16</v>
      </c>
      <c r="AK313" s="177">
        <f>SUMIF(GERAL!B$8:B$1696,A313,GERAL!AV$8:AV$1696)</f>
        <v>62</v>
      </c>
      <c r="AL313" s="118">
        <f t="shared" si="42"/>
        <v>111</v>
      </c>
      <c r="AM313" s="493" t="s">
        <v>1281</v>
      </c>
    </row>
    <row r="314">
      <c r="A314" s="484" t="s">
        <v>5221</v>
      </c>
      <c r="B314" s="75">
        <f>COUNTIFS(GERAL!B$8:B$1696,A314,GERAL!C$8:C$1696,"ESCOLA")</f>
        <v>1</v>
      </c>
      <c r="C314" s="75">
        <f>COUNTIFS(GERAL!B$8:B$1696,A314,GERAL!C$8:C$1696,"ANEXO")</f>
        <v>0</v>
      </c>
      <c r="D314" s="85">
        <f>SUMIF(GERAL!B$8:B$1696,A314,GERAL!Z$8:Z$1696)</f>
        <v>0</v>
      </c>
      <c r="E314" s="85">
        <f>SUMIF(GERAL!B$8:B$1696,A314,GERAL!AE$8:AE$1696)</f>
        <v>0</v>
      </c>
      <c r="F314" s="85">
        <f>SUMIF(GERAL!B$8:B$1696,A314,GERAL!AJ$8:AJ$1696)</f>
        <v>227</v>
      </c>
      <c r="G314" s="85">
        <f>SUMIF(GERAL!B$8:B$1696,A314,GERAL!AN$8:AN$1696)</f>
        <v>0</v>
      </c>
      <c r="H314" s="85">
        <f>SUMIF(GERAL!B$8:B$1696,A314,GERAL!AR$8:AW$1696)</f>
        <v>46</v>
      </c>
      <c r="I314" s="85">
        <f>SUMIF(GERAL!B$8:B$1696,A314,GERAL!AW$8:AW$1696)</f>
        <v>287</v>
      </c>
      <c r="J314" s="75">
        <f>SUMIF(GERAL!B$8:B$1696,A314,GERAL!AX$8:AX$1696)</f>
        <v>560</v>
      </c>
      <c r="K314" s="75">
        <f>COUNTIFS(GERAL!B$8:B$1696,A314,GERAL!AY$8:AY$1696,"&gt;0",GERAL!C$8:C$1696,"ESCOLA")</f>
        <v>1</v>
      </c>
      <c r="L314" s="75">
        <f>COUNTIFS(GERAL!B$8:B$1696,A314,GERAL!AY$8:AY$1696,"&gt;0",GERAL!C$8:C$1696,"ANEXO")</f>
        <v>0</v>
      </c>
      <c r="M314" s="100">
        <f>SUMIF(GERAL!B$8:B$1696,A314,GERAL!V$8:V$1696)+SUMIF(GERAL!B$8:B$1696,A314,GERAL!W$8:W$1696)</f>
        <v>0</v>
      </c>
      <c r="N314" s="100">
        <f>SUMIF(GERAL!B$8:B$1696,A314,GERAL!AA$8:AA$1696)+SUMIF(GERAL!B$8:B$1696,A314,GERAL!AB$8:AB$1696)</f>
        <v>0</v>
      </c>
      <c r="O314" s="100">
        <f>SUMIF(GERAL!B$8:B$1696,A314,GERAL!AF$8:AF$1696)+SUMIF(GERAL!B$8:B$1696,A314,GERAL!AG$8:AG$1696)</f>
        <v>114</v>
      </c>
      <c r="P314" s="100">
        <f>SUMIF(GERAL!B$8:B$1696,A314,GERAL!AK$8:AK$1696)+SUMIF(GERAL!B$8:B$1696,A314,GERAL!AL$8:AL$1696)</f>
        <v>0</v>
      </c>
      <c r="Q314" s="100">
        <f>SUMIF(GERAL!B$8:B$1696,A314,GERAL!AO$8:AO$1696)+SUMIF(GERAL!B$8:B$1696,A314,GERAL!AP$8:AP$1696)</f>
        <v>0</v>
      </c>
      <c r="R314" s="100">
        <f>SUMIF(GERAL!B$8:B$1696,A314,GERAL!AS$8:AS$1696)+SUMIF(GERAL!B$8:B$1696,A314,GERAL!AT$8:AT$1696)</f>
        <v>189</v>
      </c>
      <c r="S314" s="75">
        <f t="shared" si="39"/>
        <v>303</v>
      </c>
      <c r="T314" s="116">
        <f>COUNTIFS(GERAL!B$8:B$1696,A314,GERAL!AZ$8:AZ$1696,"&gt;0",GERAL!C$8:C$1696,"ESCOLA")</f>
        <v>1</v>
      </c>
      <c r="U314" s="75">
        <f>COUNTIFS(GERAL!B$8:B$1696,A314,GERAL!AZ$8:AZ$1696,"&gt;0",GERAL!C$8:C$1696,"ANEXO")</f>
        <v>0</v>
      </c>
      <c r="V314" s="85">
        <f>SUMIF(GERAL!B$8:B$1696,A314,GERAL!AH$8:AH$1696)</f>
        <v>0</v>
      </c>
      <c r="W314" s="85">
        <f>SUMIF(GERAL!B$8:B$1696,A314,GERAL!AM$8:AM$1696)</f>
        <v>0</v>
      </c>
      <c r="X314" s="85">
        <f>SUMIF(GERAL!B$8:B$1696,A314,GERAL!AQ$8:AQ$1696)</f>
        <v>46</v>
      </c>
      <c r="Y314" s="85">
        <f>SUMIF(GERAL!B$8:B$1696,A314,GERAL!AU$8:AU$1696)</f>
        <v>63</v>
      </c>
      <c r="Z314" s="88">
        <f t="shared" si="40"/>
        <v>109</v>
      </c>
      <c r="AA314" s="116">
        <f>COUNTIFS(GERAL!B$8:B$1696,A314,GERAL!BK$8:BK$1696,"&gt;0",GERAL!C$8:C$1696,"ESCOLA")</f>
        <v>1</v>
      </c>
      <c r="AB314" s="88">
        <f>COUNTIFS(GERAL!B$8:B$1696,A314,GERAL!BK$8:BK$1696,"&gt;0",GERAL!C$8:C$1696,"ANEXO")</f>
        <v>0</v>
      </c>
      <c r="AC314" s="121">
        <f>SUMIF(GERAL!B$8:B$1696,A314,GERAL!AD$8:AD$1696)</f>
        <v>0</v>
      </c>
      <c r="AD314" s="121">
        <f>SUMIF(GERAL!B$8:B$1696,A314,GERAL!AI$8:AI$1696)</f>
        <v>113</v>
      </c>
      <c r="AE314" s="121">
        <f>SUMIF(GERAL!B$8:B$1696,A314,GERAL!AV$8:AV$1696)</f>
        <v>35</v>
      </c>
      <c r="AF314" s="492">
        <f t="shared" si="41"/>
        <v>148</v>
      </c>
      <c r="AG314" s="178">
        <f>COUNTIFS(GERAL!B$8:B$1696,A314,GERAL!AW$8:AW$1696,"&gt;0",GERAL!C$8:C$1696,"ESCOLA")</f>
        <v>1</v>
      </c>
      <c r="AH314" s="118">
        <f>COUNTIFS(GERAL!B$8:B$1696,A314,GERAL!AW$8:AW$1696,"&gt;0",GERAL!C$8:C$1696,"ANEXO")</f>
        <v>0</v>
      </c>
      <c r="AI314" s="177">
        <f>SUMIF(GERAL!B$8:B$1696,A314,GERAL!AS$8:AS$1696)+SUMIF(GERAL!B$8:B$1696,A314,GERAL!AT$8:AT$1696)</f>
        <v>189</v>
      </c>
      <c r="AJ314" s="177">
        <f>SUMIF(GERAL!B$8:B$1696,A314,GERAL!AU$8:AU$1696)</f>
        <v>63</v>
      </c>
      <c r="AK314" s="177">
        <f>SUMIF(GERAL!B$8:B$1696,A314,GERAL!AV$8:AV$1696)</f>
        <v>35</v>
      </c>
      <c r="AL314" s="118">
        <f t="shared" si="42"/>
        <v>287</v>
      </c>
      <c r="AM314" s="493" t="s">
        <v>1224</v>
      </c>
    </row>
    <row r="315">
      <c r="A315" s="494" t="s">
        <v>972</v>
      </c>
      <c r="B315" s="75">
        <f>COUNTIFS(GERAL!B$8:B$1696,A315,GERAL!C$8:C$1696,"ESCOLA")</f>
        <v>3</v>
      </c>
      <c r="C315" s="75">
        <f>COUNTIFS(GERAL!B$8:B$1696,A315,GERAL!C$8:C$1696,"ANEXO")</f>
        <v>0</v>
      </c>
      <c r="D315" s="85">
        <f>SUMIF(GERAL!B$8:B$1696,A315,GERAL!Z$8:Z$1696)</f>
        <v>0</v>
      </c>
      <c r="E315" s="85">
        <f>SUMIF(GERAL!B$8:B$1696,A315,GERAL!AE$8:AE$1696)</f>
        <v>0</v>
      </c>
      <c r="F315" s="85">
        <f>SUMIF(GERAL!B$8:B$1696,A315,GERAL!AJ$8:AJ$1696)</f>
        <v>698</v>
      </c>
      <c r="G315" s="85">
        <f>SUMIF(GERAL!B$8:B$1696,A315,GERAL!AN$8:AN$1696)</f>
        <v>0</v>
      </c>
      <c r="H315" s="85">
        <f>SUMIF(GERAL!B$8:B$1696,A315,GERAL!AR$8:AW$1696)</f>
        <v>97</v>
      </c>
      <c r="I315" s="85">
        <f>SUMIF(GERAL!B$8:B$1696,A315,GERAL!AW$8:AW$1696)</f>
        <v>53</v>
      </c>
      <c r="J315" s="75">
        <f>SUMIF(GERAL!B$8:B$1696,A315,GERAL!AX$8:AX$1696)</f>
        <v>848</v>
      </c>
      <c r="K315" s="75">
        <f>COUNTIFS(GERAL!B$8:B$1696,A315,GERAL!AY$8:AY$1696,"&gt;0",GERAL!C$8:C$1696,"ESCOLA")</f>
        <v>3</v>
      </c>
      <c r="L315" s="75">
        <f>COUNTIFS(GERAL!B$8:B$1696,A315,GERAL!AY$8:AY$1696,"&gt;0",GERAL!C$8:C$1696,"ANEXO")</f>
        <v>0</v>
      </c>
      <c r="M315" s="100">
        <f>SUMIF(GERAL!B$8:B$1696,A315,GERAL!V$8:V$1696)+SUMIF(GERAL!B$8:B$1696,A315,GERAL!W$8:W$1696)</f>
        <v>0</v>
      </c>
      <c r="N315" s="100">
        <f>SUMIF(GERAL!B$8:B$1696,A315,GERAL!AA$8:AA$1696)+SUMIF(GERAL!B$8:B$1696,A315,GERAL!AB$8:AB$1696)</f>
        <v>0</v>
      </c>
      <c r="O315" s="100">
        <f>SUMIF(GERAL!B$8:B$1696,A315,GERAL!AF$8:AF$1696)+SUMIF(GERAL!B$8:B$1696,A315,GERAL!AG$8:AG$1696)</f>
        <v>504</v>
      </c>
      <c r="P315" s="100">
        <f>SUMIF(GERAL!B$8:B$1696,A315,GERAL!AK$8:AK$1696)+SUMIF(GERAL!B$8:B$1696,A315,GERAL!AL$8:AL$1696)</f>
        <v>0</v>
      </c>
      <c r="Q315" s="100">
        <f>SUMIF(GERAL!B$8:B$1696,A315,GERAL!AO$8:AO$1696)+SUMIF(GERAL!B$8:B$1696,A315,GERAL!AP$8:AP$1696)</f>
        <v>0</v>
      </c>
      <c r="R315" s="100">
        <f>SUMIF(GERAL!B$8:B$1696,A315,GERAL!AS$8:AS$1696)+SUMIF(GERAL!B$8:B$1696,A315,GERAL!AT$8:AT$1696)</f>
        <v>53</v>
      </c>
      <c r="S315" s="75">
        <f t="shared" si="39"/>
        <v>557</v>
      </c>
      <c r="T315" s="116">
        <f>COUNTIFS(GERAL!B$8:B$1696,A315,GERAL!AZ$8:AZ$1696,"&gt;0",GERAL!C$8:C$1696,"ESCOLA")</f>
        <v>3</v>
      </c>
      <c r="U315" s="75">
        <f>COUNTIFS(GERAL!B$8:B$1696,A315,GERAL!AZ$8:AZ$1696,"&gt;0",GERAL!C$8:C$1696,"ANEXO")</f>
        <v>0</v>
      </c>
      <c r="V315" s="85">
        <f>SUMIF(GERAL!B$8:B$1696,A315,GERAL!AH$8:AH$1696)</f>
        <v>0</v>
      </c>
      <c r="W315" s="85">
        <f>SUMIF(GERAL!B$8:B$1696,A315,GERAL!AM$8:AM$1696)</f>
        <v>0</v>
      </c>
      <c r="X315" s="85">
        <f>SUMIF(GERAL!B$8:B$1696,A315,GERAL!AQ$8:AQ$1696)</f>
        <v>97</v>
      </c>
      <c r="Y315" s="85">
        <f>SUMIF(GERAL!B$8:B$1696,A315,GERAL!AU$8:AU$1696)</f>
        <v>0</v>
      </c>
      <c r="Z315" s="88">
        <f t="shared" si="40"/>
        <v>97</v>
      </c>
      <c r="AA315" s="116">
        <f>COUNTIFS(GERAL!B$8:B$1696,A315,GERAL!BK$8:BK$1696,"&gt;0",GERAL!C$8:C$1696,"ESCOLA")</f>
        <v>1</v>
      </c>
      <c r="AB315" s="88">
        <f>COUNTIFS(GERAL!B$8:B$1696,A315,GERAL!BK$8:BK$1696,"&gt;0",GERAL!C$8:C$1696,"ANEXO")</f>
        <v>0</v>
      </c>
      <c r="AC315" s="121">
        <f>SUMIF(GERAL!B$8:B$1696,A315,GERAL!AD$8:AD$1696)</f>
        <v>0</v>
      </c>
      <c r="AD315" s="121">
        <f>SUMIF(GERAL!B$8:B$1696,A315,GERAL!AI$8:AI$1696)</f>
        <v>194</v>
      </c>
      <c r="AE315" s="121">
        <f>SUMIF(GERAL!B$8:B$1696,A315,GERAL!AV$8:AV$1696)</f>
        <v>0</v>
      </c>
      <c r="AF315" s="492">
        <f t="shared" si="41"/>
        <v>194</v>
      </c>
      <c r="AG315" s="178">
        <f>COUNTIFS(GERAL!B$8:B$1696,A315,GERAL!AW$8:AW$1696,"&gt;0",GERAL!C$8:C$1696,"ESCOLA")</f>
        <v>1</v>
      </c>
      <c r="AH315" s="118">
        <f>COUNTIFS(GERAL!B$8:B$1696,A315,GERAL!AW$8:AW$1696,"&gt;0",GERAL!C$8:C$1696,"ANEXO")</f>
        <v>0</v>
      </c>
      <c r="AI315" s="177">
        <f>SUMIF(GERAL!B$8:B$1696,A315,GERAL!AS$8:AS$1696)+SUMIF(GERAL!B$8:B$1696,A315,GERAL!AT$8:AT$1696)</f>
        <v>53</v>
      </c>
      <c r="AJ315" s="177">
        <f>SUMIF(GERAL!B$8:B$1696,A315,GERAL!AU$8:AU$1696)</f>
        <v>0</v>
      </c>
      <c r="AK315" s="177">
        <f>SUMIF(GERAL!B$8:B$1696,A315,GERAL!AV$8:AV$1696)</f>
        <v>0</v>
      </c>
      <c r="AL315" s="118">
        <f t="shared" si="42"/>
        <v>53</v>
      </c>
      <c r="AM315" s="493" t="s">
        <v>285</v>
      </c>
    </row>
    <row r="316">
      <c r="A316" s="484" t="s">
        <v>3238</v>
      </c>
      <c r="B316" s="75">
        <f>COUNTIFS(GERAL!B$8:B$1696,A316,GERAL!C$8:C$1696,"ESCOLA")</f>
        <v>1</v>
      </c>
      <c r="C316" s="75">
        <f>COUNTIFS(GERAL!B$8:B$1696,A316,GERAL!C$8:C$1696,"ANEXO")</f>
        <v>12</v>
      </c>
      <c r="D316" s="85">
        <f>SUMIF(GERAL!B$8:B$1696,A316,GERAL!Z$8:Z$1696)</f>
        <v>0</v>
      </c>
      <c r="E316" s="85">
        <f>SUMIF(GERAL!B$8:B$1696,A316,GERAL!AE$8:AE$1696)</f>
        <v>0</v>
      </c>
      <c r="F316" s="85">
        <f>SUMIF(GERAL!B$8:B$1696,A316,GERAL!AJ$8:AJ$1696)</f>
        <v>833</v>
      </c>
      <c r="G316" s="85">
        <f>SUMIF(GERAL!B$8:B$1696,A316,GERAL!AN$8:AN$1696)</f>
        <v>0</v>
      </c>
      <c r="H316" s="85">
        <f>SUMIF(GERAL!B$8:B$1696,A316,GERAL!AR$8:AW$1696)</f>
        <v>349</v>
      </c>
      <c r="I316" s="85">
        <f>SUMIF(GERAL!B$8:B$1696,A316,GERAL!AW$8:AW$1696)</f>
        <v>33</v>
      </c>
      <c r="J316" s="75">
        <f>SUMIF(GERAL!B$8:B$1696,A316,GERAL!AX$8:AX$1696)</f>
        <v>1215</v>
      </c>
      <c r="K316" s="75">
        <f>COUNTIFS(GERAL!B$8:B$1696,A316,GERAL!AY$8:AY$1696,"&gt;0",GERAL!C$8:C$1696,"ESCOLA")</f>
        <v>1</v>
      </c>
      <c r="L316" s="75">
        <f>COUNTIFS(GERAL!B$8:B$1696,A316,GERAL!AY$8:AY$1696,"&gt;0",GERAL!C$8:C$1696,"ANEXO")</f>
        <v>7</v>
      </c>
      <c r="M316" s="100">
        <f>SUMIF(GERAL!B$8:B$1696,A316,GERAL!V$8:V$1696)+SUMIF(GERAL!B$8:B$1696,A316,GERAL!W$8:W$1696)</f>
        <v>0</v>
      </c>
      <c r="N316" s="100">
        <f>SUMIF(GERAL!B$8:B$1696,A316,GERAL!AA$8:AA$1696)+SUMIF(GERAL!B$8:B$1696,A316,GERAL!AB$8:AB$1696)</f>
        <v>0</v>
      </c>
      <c r="O316" s="100">
        <f>SUMIF(GERAL!B$8:B$1696,A316,GERAL!AF$8:AF$1696)+SUMIF(GERAL!B$8:B$1696,A316,GERAL!AG$8:AG$1696)</f>
        <v>461</v>
      </c>
      <c r="P316" s="100">
        <f>SUMIF(GERAL!B$8:B$1696,A316,GERAL!AK$8:AK$1696)+SUMIF(GERAL!B$8:B$1696,A316,GERAL!AL$8:AL$1696)</f>
        <v>0</v>
      </c>
      <c r="Q316" s="100">
        <f>SUMIF(GERAL!B$8:B$1696,A316,GERAL!AO$8:AO$1696)+SUMIF(GERAL!B$8:B$1696,A316,GERAL!AP$8:AP$1696)</f>
        <v>0</v>
      </c>
      <c r="R316" s="100">
        <f>SUMIF(GERAL!B$8:B$1696,A316,GERAL!AS$8:AS$1696)+SUMIF(GERAL!B$8:B$1696,A316,GERAL!AT$8:AT$1696)</f>
        <v>0</v>
      </c>
      <c r="S316" s="75">
        <f t="shared" si="39"/>
        <v>461</v>
      </c>
      <c r="T316" s="116">
        <f>COUNTIFS(GERAL!B$8:B$1696,A316,GERAL!AZ$8:AZ$1696,"&gt;0",GERAL!C$8:C$1696,"ESCOLA")</f>
        <v>1</v>
      </c>
      <c r="U316" s="75">
        <f>COUNTIFS(GERAL!B$8:B$1696,A316,GERAL!AZ$8:AZ$1696,"&gt;0",GERAL!C$8:C$1696,"ANEXO")</f>
        <v>6</v>
      </c>
      <c r="V316" s="85">
        <f>SUMIF(GERAL!B$8:B$1696,A316,GERAL!AH$8:AH$1696)</f>
        <v>0</v>
      </c>
      <c r="W316" s="85">
        <f>SUMIF(GERAL!B$8:B$1696,A316,GERAL!AM$8:AM$1696)</f>
        <v>0</v>
      </c>
      <c r="X316" s="85">
        <f>SUMIF(GERAL!B$8:B$1696,A316,GERAL!AQ$8:AQ$1696)</f>
        <v>349</v>
      </c>
      <c r="Y316" s="85">
        <f>SUMIF(GERAL!B$8:B$1696,A316,GERAL!AU$8:AU$1696)</f>
        <v>0</v>
      </c>
      <c r="Z316" s="88">
        <f t="shared" si="40"/>
        <v>349</v>
      </c>
      <c r="AA316" s="116">
        <f>COUNTIFS(GERAL!B$8:B$1696,A316,GERAL!BK$8:BK$1696,"&gt;0",GERAL!C$8:C$1696,"ESCOLA")</f>
        <v>1</v>
      </c>
      <c r="AB316" s="88">
        <f>COUNTIFS(GERAL!B$8:B$1696,A316,GERAL!BK$8:BK$1696,"&gt;0",GERAL!C$8:C$1696,"ANEXO")</f>
        <v>0</v>
      </c>
      <c r="AC316" s="121">
        <f>SUMIF(GERAL!B$8:B$1696,A316,GERAL!AD$8:AD$1696)</f>
        <v>0</v>
      </c>
      <c r="AD316" s="121">
        <f>SUMIF(GERAL!B$8:B$1696,A316,GERAL!AI$8:AI$1696)</f>
        <v>372</v>
      </c>
      <c r="AE316" s="121">
        <f>SUMIF(GERAL!B$8:B$1696,A316,GERAL!AV$8:AV$1696)</f>
        <v>33</v>
      </c>
      <c r="AF316" s="492">
        <f t="shared" si="41"/>
        <v>405</v>
      </c>
      <c r="AG316" s="178">
        <f>COUNTIFS(GERAL!B$8:B$1696,A316,GERAL!AW$8:AW$1696,"&gt;0",GERAL!C$8:C$1696,"ESCOLA")</f>
        <v>1</v>
      </c>
      <c r="AH316" s="118">
        <f>COUNTIFS(GERAL!B$8:B$1696,A316,GERAL!AW$8:AW$1696,"&gt;0",GERAL!C$8:C$1696,"ANEXO")</f>
        <v>0</v>
      </c>
      <c r="AI316" s="177">
        <f>SUMIF(GERAL!B$8:B$1696,A316,GERAL!AS$8:AS$1696)+SUMIF(GERAL!B$8:B$1696,A316,GERAL!AT$8:AT$1696)</f>
        <v>0</v>
      </c>
      <c r="AJ316" s="177">
        <f>SUMIF(GERAL!B$8:B$1696,A316,GERAL!AU$8:AU$1696)</f>
        <v>0</v>
      </c>
      <c r="AK316" s="177">
        <f>SUMIF(GERAL!B$8:B$1696,A316,GERAL!AV$8:AV$1696)</f>
        <v>33</v>
      </c>
      <c r="AL316" s="118">
        <f t="shared" si="42"/>
        <v>33</v>
      </c>
      <c r="AM316" s="493" t="s">
        <v>796</v>
      </c>
    </row>
    <row r="317">
      <c r="A317" s="494" t="s">
        <v>4235</v>
      </c>
      <c r="B317" s="75">
        <f>COUNTIFS(GERAL!B$8:B$1696,A317,GERAL!C$8:C$1696,"ESCOLA")</f>
        <v>1</v>
      </c>
      <c r="C317" s="75">
        <f>COUNTIFS(GERAL!B$8:B$1696,A317,GERAL!C$8:C$1696,"ANEXO")</f>
        <v>1</v>
      </c>
      <c r="D317" s="85">
        <f>SUMIF(GERAL!B$8:B$1696,A317,GERAL!Z$8:Z$1696)</f>
        <v>0</v>
      </c>
      <c r="E317" s="85">
        <f>SUMIF(GERAL!B$8:B$1696,A317,GERAL!AE$8:AE$1696)</f>
        <v>0</v>
      </c>
      <c r="F317" s="85">
        <f>SUMIF(GERAL!B$8:B$1696,A317,GERAL!AJ$8:AJ$1696)</f>
        <v>342</v>
      </c>
      <c r="G317" s="85">
        <f>SUMIF(GERAL!B$8:B$1696,A317,GERAL!AN$8:AN$1696)</f>
        <v>0</v>
      </c>
      <c r="H317" s="85">
        <f>SUMIF(GERAL!B$8:B$1696,A317,GERAL!AR$8:AW$1696)</f>
        <v>72</v>
      </c>
      <c r="I317" s="85">
        <f>SUMIF(GERAL!B$8:B$1696,A317,GERAL!AW$8:AW$1696)</f>
        <v>42</v>
      </c>
      <c r="J317" s="75">
        <f>SUMIF(GERAL!B$8:B$1696,A317,GERAL!AX$8:AX$1696)</f>
        <v>456</v>
      </c>
      <c r="K317" s="75">
        <f>COUNTIFS(GERAL!B$8:B$1696,A317,GERAL!AY$8:AY$1696,"&gt;0",GERAL!C$8:C$1696,"ESCOLA")</f>
        <v>1</v>
      </c>
      <c r="L317" s="75">
        <f>COUNTIFS(GERAL!B$8:B$1696,A317,GERAL!AY$8:AY$1696,"&gt;0",GERAL!C$8:C$1696,"ANEXO")</f>
        <v>0</v>
      </c>
      <c r="M317" s="100">
        <f>SUMIF(GERAL!B$8:B$1696,A317,GERAL!V$8:V$1696)+SUMIF(GERAL!B$8:B$1696,A317,GERAL!W$8:W$1696)</f>
        <v>0</v>
      </c>
      <c r="N317" s="100">
        <f>SUMIF(GERAL!B$8:B$1696,A317,GERAL!AA$8:AA$1696)+SUMIF(GERAL!B$8:B$1696,A317,GERAL!AB$8:AB$1696)</f>
        <v>0</v>
      </c>
      <c r="O317" s="100">
        <f>SUMIF(GERAL!B$8:B$1696,A317,GERAL!AF$8:AF$1696)+SUMIF(GERAL!B$8:B$1696,A317,GERAL!AG$8:AG$1696)</f>
        <v>0</v>
      </c>
      <c r="P317" s="100">
        <f>SUMIF(GERAL!B$8:B$1696,A317,GERAL!AK$8:AK$1696)+SUMIF(GERAL!B$8:B$1696,A317,GERAL!AL$8:AL$1696)</f>
        <v>0</v>
      </c>
      <c r="Q317" s="100">
        <f>SUMIF(GERAL!B$8:B$1696,A317,GERAL!AO$8:AO$1696)+SUMIF(GERAL!B$8:B$1696,A317,GERAL!AP$8:AP$1696)</f>
        <v>0</v>
      </c>
      <c r="R317" s="100">
        <f>SUMIF(GERAL!B$8:B$1696,A317,GERAL!AS$8:AS$1696)+SUMIF(GERAL!B$8:B$1696,A317,GERAL!AT$8:AT$1696)</f>
        <v>0</v>
      </c>
      <c r="S317" s="75">
        <f t="shared" si="39"/>
        <v>0</v>
      </c>
      <c r="T317" s="116">
        <f>COUNTIFS(GERAL!B$8:B$1696,A317,GERAL!AZ$8:AZ$1696,"&gt;0",GERAL!C$8:C$1696,"ESCOLA")</f>
        <v>1</v>
      </c>
      <c r="U317" s="75">
        <f>COUNTIFS(GERAL!B$8:B$1696,A317,GERAL!AZ$8:AZ$1696,"&gt;0",GERAL!C$8:C$1696,"ANEXO")</f>
        <v>1</v>
      </c>
      <c r="V317" s="85">
        <f>SUMIF(GERAL!B$8:B$1696,A317,GERAL!AH$8:AH$1696)</f>
        <v>62</v>
      </c>
      <c r="W317" s="85">
        <f>SUMIF(GERAL!B$8:B$1696,A317,GERAL!AM$8:AM$1696)</f>
        <v>0</v>
      </c>
      <c r="X317" s="85">
        <f>SUMIF(GERAL!B$8:B$1696,A317,GERAL!AQ$8:AQ$1696)</f>
        <v>72</v>
      </c>
      <c r="Y317" s="85">
        <f>SUMIF(GERAL!B$8:B$1696,A317,GERAL!AU$8:AU$1696)</f>
        <v>0</v>
      </c>
      <c r="Z317" s="88">
        <f t="shared" si="40"/>
        <v>134</v>
      </c>
      <c r="AA317" s="116">
        <f>COUNTIFS(GERAL!B$8:B$1696,A317,GERAL!BK$8:BK$1696,"&gt;0",GERAL!C$8:C$1696,"ESCOLA")</f>
        <v>1</v>
      </c>
      <c r="AB317" s="88">
        <f>COUNTIFS(GERAL!B$8:B$1696,A317,GERAL!BK$8:BK$1696,"&gt;0",GERAL!C$8:C$1696,"ANEXO")</f>
        <v>0</v>
      </c>
      <c r="AC317" s="121">
        <f>SUMIF(GERAL!B$8:B$1696,A317,GERAL!AD$8:AD$1696)</f>
        <v>0</v>
      </c>
      <c r="AD317" s="121">
        <f>SUMIF(GERAL!B$8:B$1696,A317,GERAL!AI$8:AI$1696)</f>
        <v>280</v>
      </c>
      <c r="AE317" s="121">
        <f>SUMIF(GERAL!B$8:B$1696,A317,GERAL!AV$8:AV$1696)</f>
        <v>42</v>
      </c>
      <c r="AF317" s="492">
        <f t="shared" si="41"/>
        <v>322</v>
      </c>
      <c r="AG317" s="178">
        <f>COUNTIFS(GERAL!B$8:B$1696,A317,GERAL!AW$8:AW$1696,"&gt;0",GERAL!C$8:C$1696,"ESCOLA")</f>
        <v>1</v>
      </c>
      <c r="AH317" s="118">
        <f>COUNTIFS(GERAL!B$8:B$1696,A317,GERAL!AW$8:AW$1696,"&gt;0",GERAL!C$8:C$1696,"ANEXO")</f>
        <v>0</v>
      </c>
      <c r="AI317" s="177">
        <f>SUMIF(GERAL!B$8:B$1696,A317,GERAL!AS$8:AS$1696)+SUMIF(GERAL!B$8:B$1696,A317,GERAL!AT$8:AT$1696)</f>
        <v>0</v>
      </c>
      <c r="AJ317" s="177">
        <f>SUMIF(GERAL!B$8:B$1696,A317,GERAL!AU$8:AU$1696)</f>
        <v>0</v>
      </c>
      <c r="AK317" s="177">
        <f>SUMIF(GERAL!B$8:B$1696,A317,GERAL!AV$8:AV$1696)</f>
        <v>42</v>
      </c>
      <c r="AL317" s="118">
        <f t="shared" si="42"/>
        <v>42</v>
      </c>
      <c r="AM317" s="493" t="s">
        <v>973</v>
      </c>
    </row>
    <row r="318">
      <c r="A318" s="484" t="s">
        <v>7757</v>
      </c>
      <c r="B318" s="75">
        <f>COUNTIFS(GERAL!B$8:B$1696,A318,GERAL!C$8:C$1696,"ESCOLA")</f>
        <v>2</v>
      </c>
      <c r="C318" s="75">
        <f>COUNTIFS(GERAL!B$8:B$1696,A318,GERAL!C$8:C$1696,"ANEXO")</f>
        <v>2</v>
      </c>
      <c r="D318" s="85">
        <f>SUMIF(GERAL!B$8:B$1696,A318,GERAL!Z$8:Z$1696)</f>
        <v>0</v>
      </c>
      <c r="E318" s="85">
        <f>SUMIF(GERAL!B$8:B$1696,A318,GERAL!AE$8:AE$1696)</f>
        <v>0</v>
      </c>
      <c r="F318" s="85">
        <f>SUMIF(GERAL!B$8:B$1696,A318,GERAL!AJ$8:AJ$1696)</f>
        <v>588</v>
      </c>
      <c r="G318" s="85">
        <f>SUMIF(GERAL!B$8:B$1696,A318,GERAL!AN$8:AN$1696)</f>
        <v>0</v>
      </c>
      <c r="H318" s="85">
        <f>SUMIF(GERAL!B$8:B$1696,A318,GERAL!AR$8:AW$1696)</f>
        <v>85</v>
      </c>
      <c r="I318" s="85">
        <f>SUMIF(GERAL!B$8:B$1696,A318,GERAL!AW$8:AW$1696)</f>
        <v>177</v>
      </c>
      <c r="J318" s="75">
        <f>SUMIF(GERAL!B$8:B$1696,A318,GERAL!AX$8:AX$1696)</f>
        <v>850</v>
      </c>
      <c r="K318" s="75">
        <f>COUNTIFS(GERAL!B$8:B$1696,A318,GERAL!AY$8:AY$1696,"&gt;0",GERAL!C$8:C$1696,"ESCOLA")</f>
        <v>2</v>
      </c>
      <c r="L318" s="75">
        <f>COUNTIFS(GERAL!B$8:B$1696,A318,GERAL!AY$8:AY$1696,"&gt;0",GERAL!C$8:C$1696,"ANEXO")</f>
        <v>0</v>
      </c>
      <c r="M318" s="100">
        <f>SUMIF(GERAL!B$8:B$1696,A318,GERAL!V$8:V$1696)+SUMIF(GERAL!B$8:B$1696,A318,GERAL!W$8:W$1696)</f>
        <v>0</v>
      </c>
      <c r="N318" s="100">
        <f>SUMIF(GERAL!B$8:B$1696,A318,GERAL!AA$8:AA$1696)+SUMIF(GERAL!B$8:B$1696,A318,GERAL!AB$8:AB$1696)</f>
        <v>0</v>
      </c>
      <c r="O318" s="100">
        <f>SUMIF(GERAL!B$8:B$1696,A318,GERAL!AF$8:AF$1696)+SUMIF(GERAL!B$8:B$1696,A318,GERAL!AG$8:AG$1696)</f>
        <v>136</v>
      </c>
      <c r="P318" s="100">
        <f>SUMIF(GERAL!B$8:B$1696,A318,GERAL!AK$8:AK$1696)+SUMIF(GERAL!B$8:B$1696,A318,GERAL!AL$8:AL$1696)</f>
        <v>0</v>
      </c>
      <c r="Q318" s="100">
        <f>SUMIF(GERAL!B$8:B$1696,A318,GERAL!AO$8:AO$1696)+SUMIF(GERAL!B$8:B$1696,A318,GERAL!AP$8:AP$1696)</f>
        <v>0</v>
      </c>
      <c r="R318" s="100">
        <f>SUMIF(GERAL!B$8:B$1696,A318,GERAL!AS$8:AS$1696)+SUMIF(GERAL!B$8:B$1696,A318,GERAL!AT$8:AT$1696)</f>
        <v>92</v>
      </c>
      <c r="S318" s="75">
        <f t="shared" si="39"/>
        <v>228</v>
      </c>
      <c r="T318" s="116">
        <f>COUNTIFS(GERAL!B$8:B$1696,A318,GERAL!AZ$8:AZ$1696,"&gt;0",GERAL!C$8:C$1696,"ESCOLA")</f>
        <v>2</v>
      </c>
      <c r="U318" s="75">
        <f>COUNTIFS(GERAL!B$8:B$1696,A318,GERAL!AZ$8:AZ$1696,"&gt;0",GERAL!C$8:C$1696,"ANEXO")</f>
        <v>2</v>
      </c>
      <c r="V318" s="85">
        <f>SUMIF(GERAL!B$8:B$1696,A318,GERAL!AH$8:AH$1696)</f>
        <v>41</v>
      </c>
      <c r="W318" s="85">
        <f>SUMIF(GERAL!B$8:B$1696,A318,GERAL!AM$8:AM$1696)</f>
        <v>0</v>
      </c>
      <c r="X318" s="85">
        <f>SUMIF(GERAL!B$8:B$1696,A318,GERAL!AQ$8:AQ$1696)</f>
        <v>85</v>
      </c>
      <c r="Y318" s="85">
        <f>SUMIF(GERAL!B$8:B$1696,A318,GERAL!AU$8:AU$1696)</f>
        <v>85</v>
      </c>
      <c r="Z318" s="88">
        <f t="shared" si="40"/>
        <v>211</v>
      </c>
      <c r="AA318" s="116">
        <f>COUNTIFS(GERAL!B$8:B$1696,A318,GERAL!BK$8:BK$1696,"&gt;0",GERAL!C$8:C$1696,"ESCOLA")</f>
        <v>2</v>
      </c>
      <c r="AB318" s="88">
        <f>COUNTIFS(GERAL!B$8:B$1696,A318,GERAL!BK$8:BK$1696,"&gt;0",GERAL!C$8:C$1696,"ANEXO")</f>
        <v>0</v>
      </c>
      <c r="AC318" s="121">
        <f>SUMIF(GERAL!B$8:B$1696,A318,GERAL!AD$8:AD$1696)</f>
        <v>0</v>
      </c>
      <c r="AD318" s="121">
        <f>SUMIF(GERAL!B$8:B$1696,A318,GERAL!AI$8:AI$1696)</f>
        <v>411</v>
      </c>
      <c r="AE318" s="121">
        <f>SUMIF(GERAL!B$8:B$1696,A318,GERAL!AV$8:AV$1696)</f>
        <v>0</v>
      </c>
      <c r="AF318" s="492">
        <f t="shared" si="41"/>
        <v>411</v>
      </c>
      <c r="AG318" s="178">
        <f>COUNTIFS(GERAL!B$8:B$1696,A318,GERAL!AW$8:AW$1696,"&gt;0",GERAL!C$8:C$1696,"ESCOLA")</f>
        <v>2</v>
      </c>
      <c r="AH318" s="118">
        <f>COUNTIFS(GERAL!B$8:B$1696,A318,GERAL!AW$8:AW$1696,"&gt;0",GERAL!C$8:C$1696,"ANEXO")</f>
        <v>0</v>
      </c>
      <c r="AI318" s="177">
        <f>SUMIF(GERAL!B$8:B$1696,A318,GERAL!AS$8:AS$1696)+SUMIF(GERAL!B$8:B$1696,A318,GERAL!AT$8:AT$1696)</f>
        <v>92</v>
      </c>
      <c r="AJ318" s="177">
        <f>SUMIF(GERAL!B$8:B$1696,A318,GERAL!AU$8:AU$1696)</f>
        <v>85</v>
      </c>
      <c r="AK318" s="177">
        <f>SUMIF(GERAL!B$8:B$1696,A318,GERAL!AV$8:AV$1696)</f>
        <v>0</v>
      </c>
      <c r="AL318" s="118">
        <f t="shared" si="42"/>
        <v>177</v>
      </c>
      <c r="AM318" s="493" t="s">
        <v>1707</v>
      </c>
    </row>
    <row r="319">
      <c r="A319" s="494" t="s">
        <v>4640</v>
      </c>
      <c r="B319" s="75">
        <f>COUNTIFS(GERAL!B$8:B$1696,A319,GERAL!C$8:C$1696,"ESCOLA")</f>
        <v>1</v>
      </c>
      <c r="C319" s="75">
        <f>COUNTIFS(GERAL!B$8:B$1696,A319,GERAL!C$8:C$1696,"ANEXO")</f>
        <v>0</v>
      </c>
      <c r="D319" s="85">
        <f>SUMIF(GERAL!B$8:B$1696,A319,GERAL!Z$8:Z$1696)</f>
        <v>0</v>
      </c>
      <c r="E319" s="85">
        <f>SUMIF(GERAL!B$8:B$1696,A319,GERAL!AE$8:AE$1696)</f>
        <v>0</v>
      </c>
      <c r="F319" s="85">
        <f>SUMIF(GERAL!B$8:B$1696,A319,GERAL!AJ$8:AJ$1696)</f>
        <v>270</v>
      </c>
      <c r="G319" s="85">
        <f>SUMIF(GERAL!B$8:B$1696,A319,GERAL!AN$8:AN$1696)</f>
        <v>0</v>
      </c>
      <c r="H319" s="85">
        <f>SUMIF(GERAL!B$8:B$1696,A319,GERAL!AR$8:AW$1696)</f>
        <v>33</v>
      </c>
      <c r="I319" s="85">
        <f>SUMIF(GERAL!B$8:B$1696,A319,GERAL!AW$8:AW$1696)</f>
        <v>43</v>
      </c>
      <c r="J319" s="75">
        <f>SUMIF(GERAL!B$8:B$1696,A319,GERAL!AX$8:AX$1696)</f>
        <v>346</v>
      </c>
      <c r="K319" s="75">
        <f>COUNTIFS(GERAL!B$8:B$1696,A319,GERAL!AY$8:AY$1696,"&gt;0",GERAL!C$8:C$1696,"ESCOLA")</f>
        <v>1</v>
      </c>
      <c r="L319" s="75">
        <f>COUNTIFS(GERAL!B$8:B$1696,A319,GERAL!AY$8:AY$1696,"&gt;0",GERAL!C$8:C$1696,"ANEXO")</f>
        <v>0</v>
      </c>
      <c r="M319" s="100">
        <f>SUMIF(GERAL!B$8:B$1696,A319,GERAL!V$8:V$1696)+SUMIF(GERAL!B$8:B$1696,A319,GERAL!W$8:W$1696)</f>
        <v>0</v>
      </c>
      <c r="N319" s="100">
        <f>SUMIF(GERAL!B$8:B$1696,A319,GERAL!AA$8:AA$1696)+SUMIF(GERAL!B$8:B$1696,A319,GERAL!AB$8:AB$1696)</f>
        <v>0</v>
      </c>
      <c r="O319" s="100">
        <f>SUMIF(GERAL!B$8:B$1696,A319,GERAL!AF$8:AF$1696)+SUMIF(GERAL!B$8:B$1696,A319,GERAL!AG$8:AG$1696)</f>
        <v>0</v>
      </c>
      <c r="P319" s="100">
        <f>SUMIF(GERAL!B$8:B$1696,A319,GERAL!AK$8:AK$1696)+SUMIF(GERAL!B$8:B$1696,A319,GERAL!AL$8:AL$1696)</f>
        <v>0</v>
      </c>
      <c r="Q319" s="100">
        <f>SUMIF(GERAL!B$8:B$1696,A319,GERAL!AO$8:AO$1696)+SUMIF(GERAL!B$8:B$1696,A319,GERAL!AP$8:AP$1696)</f>
        <v>0</v>
      </c>
      <c r="R319" s="100">
        <f>SUMIF(GERAL!B$8:B$1696,A319,GERAL!AS$8:AS$1696)+SUMIF(GERAL!B$8:B$1696,A319,GERAL!AT$8:AT$1696)</f>
        <v>0</v>
      </c>
      <c r="S319" s="75">
        <f t="shared" si="39"/>
        <v>0</v>
      </c>
      <c r="T319" s="116">
        <f>COUNTIFS(GERAL!B$8:B$1696,A319,GERAL!AZ$8:AZ$1696,"&gt;0",GERAL!C$8:C$1696,"ESCOLA")</f>
        <v>1</v>
      </c>
      <c r="U319" s="75">
        <f>COUNTIFS(GERAL!B$8:B$1696,A319,GERAL!AZ$8:AZ$1696,"&gt;0",GERAL!C$8:C$1696,"ANEXO")</f>
        <v>0</v>
      </c>
      <c r="V319" s="85">
        <f>SUMIF(GERAL!B$8:B$1696,A319,GERAL!AH$8:AH$1696)</f>
        <v>16</v>
      </c>
      <c r="W319" s="85">
        <f>SUMIF(GERAL!B$8:B$1696,A319,GERAL!AM$8:AM$1696)</f>
        <v>0</v>
      </c>
      <c r="X319" s="85">
        <f>SUMIF(GERAL!B$8:B$1696,A319,GERAL!AQ$8:AQ$1696)</f>
        <v>33</v>
      </c>
      <c r="Y319" s="85">
        <f>SUMIF(GERAL!B$8:B$1696,A319,GERAL!AU$8:AU$1696)</f>
        <v>0</v>
      </c>
      <c r="Z319" s="88">
        <f t="shared" si="40"/>
        <v>49</v>
      </c>
      <c r="AA319" s="116">
        <f>COUNTIFS(GERAL!B$8:B$1696,A319,GERAL!BK$8:BK$1696,"&gt;0",GERAL!C$8:C$1696,"ESCOLA")</f>
        <v>1</v>
      </c>
      <c r="AB319" s="88">
        <f>COUNTIFS(GERAL!B$8:B$1696,A319,GERAL!BK$8:BK$1696,"&gt;0",GERAL!C$8:C$1696,"ANEXO")</f>
        <v>0</v>
      </c>
      <c r="AC319" s="121">
        <f>SUMIF(GERAL!B$8:B$1696,A319,GERAL!AD$8:AD$1696)</f>
        <v>0</v>
      </c>
      <c r="AD319" s="121">
        <f>SUMIF(GERAL!B$8:B$1696,A319,GERAL!AI$8:AI$1696)</f>
        <v>254</v>
      </c>
      <c r="AE319" s="121">
        <f>SUMIF(GERAL!B$8:B$1696,A319,GERAL!AV$8:AV$1696)</f>
        <v>43</v>
      </c>
      <c r="AF319" s="492">
        <f t="shared" si="41"/>
        <v>297</v>
      </c>
      <c r="AG319" s="178">
        <f>COUNTIFS(GERAL!B$8:B$1696,A319,GERAL!AW$8:AW$1696,"&gt;0",GERAL!C$8:C$1696,"ESCOLA")</f>
        <v>1</v>
      </c>
      <c r="AH319" s="118">
        <f>COUNTIFS(GERAL!B$8:B$1696,A319,GERAL!AW$8:AW$1696,"&gt;0",GERAL!C$8:C$1696,"ANEXO")</f>
        <v>0</v>
      </c>
      <c r="AI319" s="177">
        <f>SUMIF(GERAL!B$8:B$1696,A319,GERAL!AS$8:AS$1696)+SUMIF(GERAL!B$8:B$1696,A319,GERAL!AT$8:AT$1696)</f>
        <v>0</v>
      </c>
      <c r="AJ319" s="177">
        <f>SUMIF(GERAL!B$8:B$1696,A319,GERAL!AU$8:AU$1696)</f>
        <v>0</v>
      </c>
      <c r="AK319" s="177">
        <f>SUMIF(GERAL!B$8:B$1696,A319,GERAL!AV$8:AV$1696)</f>
        <v>43</v>
      </c>
      <c r="AL319" s="118">
        <f t="shared" si="42"/>
        <v>43</v>
      </c>
      <c r="AM319" s="493" t="s">
        <v>1090</v>
      </c>
    </row>
    <row r="320">
      <c r="A320" s="484" t="s">
        <v>1781</v>
      </c>
      <c r="B320" s="75">
        <f>COUNTIFS(GERAL!B$8:B$1696,A320,GERAL!C$8:C$1696,"ESCOLA")</f>
        <v>1</v>
      </c>
      <c r="C320" s="75">
        <f>COUNTIFS(GERAL!B$8:B$1696,A320,GERAL!C$8:C$1696,"ANEXO")</f>
        <v>0</v>
      </c>
      <c r="D320" s="85">
        <f>SUMIF(GERAL!B$8:B$1696,A320,GERAL!Z$8:Z$1696)</f>
        <v>0</v>
      </c>
      <c r="E320" s="85">
        <f>SUMIF(GERAL!B$8:B$1696,A320,GERAL!AE$8:AE$1696)</f>
        <v>0</v>
      </c>
      <c r="F320" s="85">
        <f>SUMIF(GERAL!B$8:B$1696,A320,GERAL!AJ$8:AJ$1696)</f>
        <v>125</v>
      </c>
      <c r="G320" s="85">
        <f>SUMIF(GERAL!B$8:B$1696,A320,GERAL!AN$8:AN$1696)</f>
        <v>0</v>
      </c>
      <c r="H320" s="85">
        <f>SUMIF(GERAL!B$8:B$1696,A320,GERAL!AR$8:AW$1696)</f>
        <v>52</v>
      </c>
      <c r="I320" s="85">
        <f>SUMIF(GERAL!B$8:B$1696,A320,GERAL!AW$8:AW$1696)</f>
        <v>119</v>
      </c>
      <c r="J320" s="75">
        <f>SUMIF(GERAL!B$8:B$1696,A320,GERAL!AX$8:AX$1696)</f>
        <v>296</v>
      </c>
      <c r="K320" s="75">
        <f>COUNTIFS(GERAL!B$8:B$1696,A320,GERAL!AY$8:AY$1696,"&gt;0",GERAL!C$8:C$1696,"ESCOLA")</f>
        <v>1</v>
      </c>
      <c r="L320" s="75">
        <f>COUNTIFS(GERAL!B$8:B$1696,A320,GERAL!AY$8:AY$1696,"&gt;0",GERAL!C$8:C$1696,"ANEXO")</f>
        <v>0</v>
      </c>
      <c r="M320" s="100">
        <f>SUMIF(GERAL!B$8:B$1696,A320,GERAL!V$8:V$1696)+SUMIF(GERAL!B$8:B$1696,A320,GERAL!W$8:W$1696)</f>
        <v>0</v>
      </c>
      <c r="N320" s="100">
        <f>SUMIF(GERAL!B$8:B$1696,A320,GERAL!AA$8:AA$1696)+SUMIF(GERAL!B$8:B$1696,A320,GERAL!AB$8:AB$1696)</f>
        <v>0</v>
      </c>
      <c r="O320" s="100">
        <f>SUMIF(GERAL!B$8:B$1696,A320,GERAL!AF$8:AF$1696)+SUMIF(GERAL!B$8:B$1696,A320,GERAL!AG$8:AG$1696)</f>
        <v>0</v>
      </c>
      <c r="P320" s="100">
        <f>SUMIF(GERAL!B$8:B$1696,A320,GERAL!AK$8:AK$1696)+SUMIF(GERAL!B$8:B$1696,A320,GERAL!AL$8:AL$1696)</f>
        <v>0</v>
      </c>
      <c r="Q320" s="100">
        <f>SUMIF(GERAL!B$8:B$1696,A320,GERAL!AO$8:AO$1696)+SUMIF(GERAL!B$8:B$1696,A320,GERAL!AP$8:AP$1696)</f>
        <v>0</v>
      </c>
      <c r="R320" s="100">
        <f>SUMIF(GERAL!B$8:B$1696,A320,GERAL!AS$8:AS$1696)+SUMIF(GERAL!B$8:B$1696,A320,GERAL!AT$8:AT$1696)</f>
        <v>23</v>
      </c>
      <c r="S320" s="75">
        <f t="shared" si="39"/>
        <v>23</v>
      </c>
      <c r="T320" s="116">
        <f>COUNTIFS(GERAL!B$8:B$1696,A320,GERAL!AZ$8:AZ$1696,"&gt;0",GERAL!C$8:C$1696,"ESCOLA")</f>
        <v>1</v>
      </c>
      <c r="U320" s="75">
        <f>COUNTIFS(GERAL!B$8:B$1696,A320,GERAL!AZ$8:AZ$1696,"&gt;0",GERAL!C$8:C$1696,"ANEXO")</f>
        <v>0</v>
      </c>
      <c r="V320" s="85">
        <f>SUMIF(GERAL!B$8:B$1696,A320,GERAL!AH$8:AH$1696)</f>
        <v>0</v>
      </c>
      <c r="W320" s="85">
        <f>SUMIF(GERAL!B$8:B$1696,A320,GERAL!AM$8:AM$1696)</f>
        <v>0</v>
      </c>
      <c r="X320" s="85">
        <f>SUMIF(GERAL!B$8:B$1696,A320,GERAL!AQ$8:AQ$1696)</f>
        <v>52</v>
      </c>
      <c r="Y320" s="85">
        <f>SUMIF(GERAL!B$8:B$1696,A320,GERAL!AU$8:AU$1696)</f>
        <v>37</v>
      </c>
      <c r="Z320" s="88">
        <f t="shared" si="40"/>
        <v>89</v>
      </c>
      <c r="AA320" s="116">
        <f>COUNTIFS(GERAL!B$8:B$1696,A320,GERAL!BK$8:BK$1696,"&gt;0",GERAL!C$8:C$1696,"ESCOLA")</f>
        <v>1</v>
      </c>
      <c r="AB320" s="88">
        <f>COUNTIFS(GERAL!B$8:B$1696,A320,GERAL!BK$8:BK$1696,"&gt;0",GERAL!C$8:C$1696,"ANEXO")</f>
        <v>0</v>
      </c>
      <c r="AC320" s="121">
        <f>SUMIF(GERAL!B$8:B$1696,A320,GERAL!AD$8:AD$1696)</f>
        <v>0</v>
      </c>
      <c r="AD320" s="121">
        <f>SUMIF(GERAL!B$8:B$1696,A320,GERAL!AI$8:AI$1696)</f>
        <v>125</v>
      </c>
      <c r="AE320" s="121">
        <f>SUMIF(GERAL!B$8:B$1696,A320,GERAL!AV$8:AV$1696)</f>
        <v>59</v>
      </c>
      <c r="AF320" s="492">
        <f t="shared" si="41"/>
        <v>184</v>
      </c>
      <c r="AG320" s="178">
        <f>COUNTIFS(GERAL!B$8:B$1696,A320,GERAL!AW$8:AW$1696,"&gt;0",GERAL!C$8:C$1696,"ESCOLA")</f>
        <v>1</v>
      </c>
      <c r="AH320" s="118">
        <f>COUNTIFS(GERAL!B$8:B$1696,A320,GERAL!AW$8:AW$1696,"&gt;0",GERAL!C$8:C$1696,"ANEXO")</f>
        <v>0</v>
      </c>
      <c r="AI320" s="177">
        <f>SUMIF(GERAL!B$8:B$1696,A320,GERAL!AS$8:AS$1696)+SUMIF(GERAL!B$8:B$1696,A320,GERAL!AT$8:AT$1696)</f>
        <v>23</v>
      </c>
      <c r="AJ320" s="177">
        <f>SUMIF(GERAL!B$8:B$1696,A320,GERAL!AU$8:AU$1696)</f>
        <v>37</v>
      </c>
      <c r="AK320" s="177">
        <f>SUMIF(GERAL!B$8:B$1696,A320,GERAL!AV$8:AV$1696)</f>
        <v>59</v>
      </c>
      <c r="AL320" s="118">
        <f t="shared" si="42"/>
        <v>119</v>
      </c>
      <c r="AM320" s="493" t="s">
        <v>540</v>
      </c>
    </row>
    <row r="321">
      <c r="A321" s="494" t="s">
        <v>6313</v>
      </c>
      <c r="B321" s="75">
        <f>COUNTIFS(GERAL!B$8:B$1696,A321,GERAL!C$8:C$1696,"ESCOLA")</f>
        <v>1</v>
      </c>
      <c r="C321" s="75">
        <f>COUNTIFS(GERAL!B$8:B$1696,A321,GERAL!C$8:C$1696,"ANEXO")</f>
        <v>1</v>
      </c>
      <c r="D321" s="85">
        <f>SUMIF(GERAL!B$8:B$1696,A321,GERAL!Z$8:Z$1696)</f>
        <v>0</v>
      </c>
      <c r="E321" s="85">
        <f>SUMIF(GERAL!B$8:B$1696,A321,GERAL!AE$8:AE$1696)</f>
        <v>0</v>
      </c>
      <c r="F321" s="85">
        <f>SUMIF(GERAL!B$8:B$1696,A321,GERAL!AJ$8:AJ$1696)</f>
        <v>316</v>
      </c>
      <c r="G321" s="85">
        <f>SUMIF(GERAL!B$8:B$1696,A321,GERAL!AN$8:AN$1696)</f>
        <v>0</v>
      </c>
      <c r="H321" s="85">
        <f>SUMIF(GERAL!B$8:B$1696,A321,GERAL!AR$8:AW$1696)</f>
        <v>35</v>
      </c>
      <c r="I321" s="85">
        <f>SUMIF(GERAL!B$8:B$1696,A321,GERAL!AW$8:AW$1696)</f>
        <v>19</v>
      </c>
      <c r="J321" s="75">
        <f>SUMIF(GERAL!B$8:B$1696,A321,GERAL!AX$8:AX$1696)</f>
        <v>370</v>
      </c>
      <c r="K321" s="75">
        <f>COUNTIFS(GERAL!B$8:B$1696,A321,GERAL!AY$8:AY$1696,"&gt;0",GERAL!C$8:C$1696,"ESCOLA")</f>
        <v>1</v>
      </c>
      <c r="L321" s="75">
        <f>COUNTIFS(GERAL!B$8:B$1696,A321,GERAL!AY$8:AY$1696,"&gt;0",GERAL!C$8:C$1696,"ANEXO")</f>
        <v>0</v>
      </c>
      <c r="M321" s="100">
        <f>SUMIF(GERAL!B$8:B$1696,A321,GERAL!V$8:V$1696)+SUMIF(GERAL!B$8:B$1696,A321,GERAL!W$8:W$1696)</f>
        <v>0</v>
      </c>
      <c r="N321" s="100">
        <f>SUMIF(GERAL!B$8:B$1696,A321,GERAL!AA$8:AA$1696)+SUMIF(GERAL!B$8:B$1696,A321,GERAL!AB$8:AB$1696)</f>
        <v>0</v>
      </c>
      <c r="O321" s="100">
        <f>SUMIF(GERAL!B$8:B$1696,A321,GERAL!AF$8:AF$1696)+SUMIF(GERAL!B$8:B$1696,A321,GERAL!AG$8:AG$1696)</f>
        <v>190</v>
      </c>
      <c r="P321" s="100">
        <f>SUMIF(GERAL!B$8:B$1696,A321,GERAL!AK$8:AK$1696)+SUMIF(GERAL!B$8:B$1696,A321,GERAL!AL$8:AL$1696)</f>
        <v>0</v>
      </c>
      <c r="Q321" s="100">
        <f>SUMIF(GERAL!B$8:B$1696,A321,GERAL!AO$8:AO$1696)+SUMIF(GERAL!B$8:B$1696,A321,GERAL!AP$8:AP$1696)</f>
        <v>0</v>
      </c>
      <c r="R321" s="100">
        <f>SUMIF(GERAL!B$8:B$1696,A321,GERAL!AS$8:AS$1696)+SUMIF(GERAL!B$8:B$1696,A321,GERAL!AT$8:AT$1696)</f>
        <v>0</v>
      </c>
      <c r="S321" s="75">
        <f t="shared" si="39"/>
        <v>190</v>
      </c>
      <c r="T321" s="116">
        <f>COUNTIFS(GERAL!B$8:B$1696,A321,GERAL!AZ$8:AZ$1696,"&gt;0",GERAL!C$8:C$1696,"ESCOLA")</f>
        <v>1</v>
      </c>
      <c r="U321" s="75">
        <f>COUNTIFS(GERAL!B$8:B$1696,A321,GERAL!AZ$8:AZ$1696,"&gt;0",GERAL!C$8:C$1696,"ANEXO")</f>
        <v>1</v>
      </c>
      <c r="V321" s="85">
        <f>SUMIF(GERAL!B$8:B$1696,A321,GERAL!AH$8:AH$1696)</f>
        <v>21</v>
      </c>
      <c r="W321" s="85">
        <f>SUMIF(GERAL!B$8:B$1696,A321,GERAL!AM$8:AM$1696)</f>
        <v>0</v>
      </c>
      <c r="X321" s="85">
        <f>SUMIF(GERAL!B$8:B$1696,A321,GERAL!AQ$8:AQ$1696)</f>
        <v>35</v>
      </c>
      <c r="Y321" s="85">
        <f>SUMIF(GERAL!B$8:B$1696,A321,GERAL!AU$8:AU$1696)</f>
        <v>19</v>
      </c>
      <c r="Z321" s="88">
        <f t="shared" si="40"/>
        <v>75</v>
      </c>
      <c r="AA321" s="116">
        <f>COUNTIFS(GERAL!B$8:B$1696,A321,GERAL!BK$8:BK$1696,"&gt;0",GERAL!C$8:C$1696,"ESCOLA")</f>
        <v>1</v>
      </c>
      <c r="AB321" s="88">
        <f>COUNTIFS(GERAL!B$8:B$1696,A321,GERAL!BK$8:BK$1696,"&gt;0",GERAL!C$8:C$1696,"ANEXO")</f>
        <v>0</v>
      </c>
      <c r="AC321" s="121">
        <f>SUMIF(GERAL!B$8:B$1696,A321,GERAL!AD$8:AD$1696)</f>
        <v>0</v>
      </c>
      <c r="AD321" s="121">
        <f>SUMIF(GERAL!B$8:B$1696,A321,GERAL!AI$8:AI$1696)</f>
        <v>105</v>
      </c>
      <c r="AE321" s="121">
        <f>SUMIF(GERAL!B$8:B$1696,A321,GERAL!AV$8:AV$1696)</f>
        <v>0</v>
      </c>
      <c r="AF321" s="492">
        <f t="shared" si="41"/>
        <v>105</v>
      </c>
      <c r="AG321" s="178">
        <f>COUNTIFS(GERAL!B$8:B$1696,A321,GERAL!AW$8:AW$1696,"&gt;0",GERAL!C$8:C$1696,"ESCOLA")</f>
        <v>1</v>
      </c>
      <c r="AH321" s="118">
        <f>COUNTIFS(GERAL!B$8:B$1696,A321,GERAL!AW$8:AW$1696,"&gt;0",GERAL!C$8:C$1696,"ANEXO")</f>
        <v>0</v>
      </c>
      <c r="AI321" s="177">
        <f>SUMIF(GERAL!B$8:B$1696,A321,GERAL!AS$8:AS$1696)+SUMIF(GERAL!B$8:B$1696,A321,GERAL!AT$8:AT$1696)</f>
        <v>0</v>
      </c>
      <c r="AJ321" s="177">
        <f>SUMIF(GERAL!B$8:B$1696,A321,GERAL!AU$8:AU$1696)</f>
        <v>19</v>
      </c>
      <c r="AK321" s="177">
        <f>SUMIF(GERAL!B$8:B$1696,A321,GERAL!AV$8:AV$1696)</f>
        <v>0</v>
      </c>
      <c r="AL321" s="118">
        <f t="shared" si="42"/>
        <v>19</v>
      </c>
      <c r="AM321" s="493" t="s">
        <v>1393</v>
      </c>
    </row>
    <row r="322">
      <c r="A322" s="484" t="s">
        <v>4459</v>
      </c>
      <c r="B322" s="75">
        <f>COUNTIFS(GERAL!B$8:B$1696,A322,GERAL!C$8:C$1696,"ESCOLA")</f>
        <v>1</v>
      </c>
      <c r="C322" s="75">
        <f>COUNTIFS(GERAL!B$8:B$1696,A322,GERAL!C$8:C$1696,"ANEXO")</f>
        <v>0</v>
      </c>
      <c r="D322" s="85">
        <f>SUMIF(GERAL!B$8:B$1696,A322,GERAL!Z$8:Z$1696)</f>
        <v>0</v>
      </c>
      <c r="E322" s="85">
        <f>SUMIF(GERAL!B$8:B$1696,A322,GERAL!AE$8:AE$1696)</f>
        <v>0</v>
      </c>
      <c r="F322" s="85">
        <f>SUMIF(GERAL!B$8:B$1696,A322,GERAL!AJ$8:AJ$1696)</f>
        <v>376</v>
      </c>
      <c r="G322" s="85">
        <f>SUMIF(GERAL!B$8:B$1696,A322,GERAL!AN$8:AN$1696)</f>
        <v>0</v>
      </c>
      <c r="H322" s="85">
        <f>SUMIF(GERAL!B$8:B$1696,A322,GERAL!AR$8:AW$1696)</f>
        <v>41</v>
      </c>
      <c r="I322" s="85">
        <f>SUMIF(GERAL!B$8:B$1696,A322,GERAL!AW$8:AW$1696)</f>
        <v>268</v>
      </c>
      <c r="J322" s="75">
        <f>SUMIF(GERAL!B$8:B$1696,A322,GERAL!AX$8:AX$1696)</f>
        <v>685</v>
      </c>
      <c r="K322" s="75">
        <f>COUNTIFS(GERAL!B$8:B$1696,A322,GERAL!AY$8:AY$1696,"&gt;0",GERAL!C$8:C$1696,"ESCOLA")</f>
        <v>1</v>
      </c>
      <c r="L322" s="75">
        <f>COUNTIFS(GERAL!B$8:B$1696,A322,GERAL!AY$8:AY$1696,"&gt;0",GERAL!C$8:C$1696,"ANEXO")</f>
        <v>0</v>
      </c>
      <c r="M322" s="100">
        <f>SUMIF(GERAL!B$8:B$1696,A322,GERAL!V$8:V$1696)+SUMIF(GERAL!B$8:B$1696,A322,GERAL!W$8:W$1696)</f>
        <v>0</v>
      </c>
      <c r="N322" s="100">
        <f>SUMIF(GERAL!B$8:B$1696,A322,GERAL!AA$8:AA$1696)+SUMIF(GERAL!B$8:B$1696,A322,GERAL!AB$8:AB$1696)</f>
        <v>0</v>
      </c>
      <c r="O322" s="100">
        <f>SUMIF(GERAL!B$8:B$1696,A322,GERAL!AF$8:AF$1696)+SUMIF(GERAL!B$8:B$1696,A322,GERAL!AG$8:AG$1696)</f>
        <v>376</v>
      </c>
      <c r="P322" s="100">
        <f>SUMIF(GERAL!B$8:B$1696,A322,GERAL!AK$8:AK$1696)+SUMIF(GERAL!B$8:B$1696,A322,GERAL!AL$8:AL$1696)</f>
        <v>0</v>
      </c>
      <c r="Q322" s="100">
        <f>SUMIF(GERAL!B$8:B$1696,A322,GERAL!AO$8:AO$1696)+SUMIF(GERAL!B$8:B$1696,A322,GERAL!AP$8:AP$1696)</f>
        <v>0</v>
      </c>
      <c r="R322" s="100">
        <f>SUMIF(GERAL!B$8:B$1696,A322,GERAL!AS$8:AS$1696)+SUMIF(GERAL!B$8:B$1696,A322,GERAL!AT$8:AT$1696)</f>
        <v>233</v>
      </c>
      <c r="S322" s="75">
        <f t="shared" si="39"/>
        <v>609</v>
      </c>
      <c r="T322" s="116">
        <f>COUNTIFS(GERAL!B$8:B$1696,A322,GERAL!AZ$8:AZ$1696,"&gt;0",GERAL!C$8:C$1696,"ESCOLA")</f>
        <v>1</v>
      </c>
      <c r="U322" s="75">
        <f>COUNTIFS(GERAL!B$8:B$1696,A322,GERAL!AZ$8:AZ$1696,"&gt;0",GERAL!C$8:C$1696,"ANEXO")</f>
        <v>0</v>
      </c>
      <c r="V322" s="85">
        <f>SUMIF(GERAL!B$8:B$1696,A322,GERAL!AH$8:AH$1696)</f>
        <v>0</v>
      </c>
      <c r="W322" s="85">
        <f>SUMIF(GERAL!B$8:B$1696,A322,GERAL!AM$8:AM$1696)</f>
        <v>0</v>
      </c>
      <c r="X322" s="85">
        <f>SUMIF(GERAL!B$8:B$1696,A322,GERAL!AQ$8:AQ$1696)</f>
        <v>41</v>
      </c>
      <c r="Y322" s="85">
        <f>SUMIF(GERAL!B$8:B$1696,A322,GERAL!AU$8:AU$1696)</f>
        <v>35</v>
      </c>
      <c r="Z322" s="88">
        <f t="shared" si="40"/>
        <v>76</v>
      </c>
      <c r="AA322" s="116">
        <f>COUNTIFS(GERAL!B$8:B$1696,A322,GERAL!BK$8:BK$1696,"&gt;0",GERAL!C$8:C$1696,"ESCOLA")</f>
        <v>0</v>
      </c>
      <c r="AB322" s="88">
        <f>COUNTIFS(GERAL!B$8:B$1696,A322,GERAL!BK$8:BK$1696,"&gt;0",GERAL!C$8:C$1696,"ANEXO")</f>
        <v>0</v>
      </c>
      <c r="AC322" s="121">
        <f>SUMIF(GERAL!B$8:B$1696,A322,GERAL!AD$8:AD$1696)</f>
        <v>0</v>
      </c>
      <c r="AD322" s="121">
        <f>SUMIF(GERAL!B$8:B$1696,A322,GERAL!AI$8:AI$1696)</f>
        <v>0</v>
      </c>
      <c r="AE322" s="121">
        <f>SUMIF(GERAL!B$8:B$1696,A322,GERAL!AV$8:AV$1696)</f>
        <v>0</v>
      </c>
      <c r="AF322" s="492">
        <f t="shared" si="41"/>
        <v>0</v>
      </c>
      <c r="AG322" s="178">
        <f>COUNTIFS(GERAL!B$8:B$1696,A322,GERAL!AW$8:AW$1696,"&gt;0",GERAL!C$8:C$1696,"ESCOLA")</f>
        <v>1</v>
      </c>
      <c r="AH322" s="118">
        <f>COUNTIFS(GERAL!B$8:B$1696,A322,GERAL!AW$8:AW$1696,"&gt;0",GERAL!C$8:C$1696,"ANEXO")</f>
        <v>0</v>
      </c>
      <c r="AI322" s="177">
        <f>SUMIF(GERAL!B$8:B$1696,A322,GERAL!AS$8:AS$1696)+SUMIF(GERAL!B$8:B$1696,A322,GERAL!AT$8:AT$1696)</f>
        <v>233</v>
      </c>
      <c r="AJ322" s="177">
        <f>SUMIF(GERAL!B$8:B$1696,A322,GERAL!AU$8:AU$1696)</f>
        <v>35</v>
      </c>
      <c r="AK322" s="177">
        <f>SUMIF(GERAL!B$8:B$1696,A322,GERAL!AV$8:AV$1696)</f>
        <v>0</v>
      </c>
      <c r="AL322" s="118">
        <f t="shared" si="42"/>
        <v>268</v>
      </c>
      <c r="AM322" s="493" t="s">
        <v>1027</v>
      </c>
    </row>
    <row r="323">
      <c r="A323" s="494" t="s">
        <v>2161</v>
      </c>
      <c r="B323" s="75">
        <f>COUNTIFS(GERAL!B$8:B$1696,A323,GERAL!C$8:C$1696,"ESCOLA")</f>
        <v>1</v>
      </c>
      <c r="C323" s="75">
        <f>COUNTIFS(GERAL!B$8:B$1696,A323,GERAL!C$8:C$1696,"ANEXO")</f>
        <v>0</v>
      </c>
      <c r="D323" s="85">
        <f>SUMIF(GERAL!B$8:B$1696,A323,GERAL!Z$8:Z$1696)</f>
        <v>0</v>
      </c>
      <c r="E323" s="85">
        <f>SUMIF(GERAL!B$8:B$1696,A323,GERAL!AE$8:AE$1696)</f>
        <v>0</v>
      </c>
      <c r="F323" s="85">
        <f>SUMIF(GERAL!B$8:B$1696,A323,GERAL!AJ$8:AJ$1696)</f>
        <v>203</v>
      </c>
      <c r="G323" s="85">
        <f>SUMIF(GERAL!B$8:B$1696,A323,GERAL!AN$8:AN$1696)</f>
        <v>0</v>
      </c>
      <c r="H323" s="85">
        <f>SUMIF(GERAL!B$8:B$1696,A323,GERAL!AR$8:AW$1696)</f>
        <v>50</v>
      </c>
      <c r="I323" s="85">
        <f>SUMIF(GERAL!B$8:B$1696,A323,GERAL!AW$8:AW$1696)</f>
        <v>174</v>
      </c>
      <c r="J323" s="75">
        <f>SUMIF(GERAL!B$8:B$1696,A323,GERAL!AX$8:AX$1696)</f>
        <v>427</v>
      </c>
      <c r="K323" s="75">
        <f>COUNTIFS(GERAL!B$8:B$1696,A323,GERAL!AY$8:AY$1696,"&gt;0",GERAL!C$8:C$1696,"ESCOLA")</f>
        <v>1</v>
      </c>
      <c r="L323" s="75">
        <f>COUNTIFS(GERAL!B$8:B$1696,A323,GERAL!AY$8:AY$1696,"&gt;0",GERAL!C$8:C$1696,"ANEXO")</f>
        <v>0</v>
      </c>
      <c r="M323" s="100">
        <f>SUMIF(GERAL!B$8:B$1696,A323,GERAL!V$8:V$1696)+SUMIF(GERAL!B$8:B$1696,A323,GERAL!W$8:W$1696)</f>
        <v>0</v>
      </c>
      <c r="N323" s="100">
        <f>SUMIF(GERAL!B$8:B$1696,A323,GERAL!AA$8:AA$1696)+SUMIF(GERAL!B$8:B$1696,A323,GERAL!AB$8:AB$1696)</f>
        <v>0</v>
      </c>
      <c r="O323" s="100">
        <f>SUMIF(GERAL!B$8:B$1696,A323,GERAL!AF$8:AF$1696)+SUMIF(GERAL!B$8:B$1696,A323,GERAL!AG$8:AG$1696)</f>
        <v>171</v>
      </c>
      <c r="P323" s="100">
        <f>SUMIF(GERAL!B$8:B$1696,A323,GERAL!AK$8:AK$1696)+SUMIF(GERAL!B$8:B$1696,A323,GERAL!AL$8:AL$1696)</f>
        <v>0</v>
      </c>
      <c r="Q323" s="100">
        <f>SUMIF(GERAL!B$8:B$1696,A323,GERAL!AO$8:AO$1696)+SUMIF(GERAL!B$8:B$1696,A323,GERAL!AP$8:AP$1696)</f>
        <v>0</v>
      </c>
      <c r="R323" s="100">
        <f>SUMIF(GERAL!B$8:B$1696,A323,GERAL!AS$8:AS$1696)+SUMIF(GERAL!B$8:B$1696,A323,GERAL!AT$8:AT$1696)</f>
        <v>134</v>
      </c>
      <c r="S323" s="75">
        <f t="shared" si="39"/>
        <v>305</v>
      </c>
      <c r="T323" s="116">
        <f>COUNTIFS(GERAL!B$8:B$1696,A323,GERAL!AZ$8:AZ$1696,"&gt;0",GERAL!C$8:C$1696,"ESCOLA")</f>
        <v>1</v>
      </c>
      <c r="U323" s="75">
        <f>COUNTIFS(GERAL!B$8:B$1696,A323,GERAL!AZ$8:AZ$1696,"&gt;0",GERAL!C$8:C$1696,"ANEXO")</f>
        <v>0</v>
      </c>
      <c r="V323" s="85">
        <f>SUMIF(GERAL!B$8:B$1696,A323,GERAL!AH$8:AH$1696)</f>
        <v>0</v>
      </c>
      <c r="W323" s="85">
        <f>SUMIF(GERAL!B$8:B$1696,A323,GERAL!AM$8:AM$1696)</f>
        <v>0</v>
      </c>
      <c r="X323" s="85">
        <f>SUMIF(GERAL!B$8:B$1696,A323,GERAL!AQ$8:AQ$1696)</f>
        <v>50</v>
      </c>
      <c r="Y323" s="85">
        <f>SUMIF(GERAL!B$8:B$1696,A323,GERAL!AU$8:AU$1696)</f>
        <v>20</v>
      </c>
      <c r="Z323" s="88">
        <f t="shared" si="40"/>
        <v>70</v>
      </c>
      <c r="AA323" s="116">
        <f>COUNTIFS(GERAL!B$8:B$1696,A323,GERAL!BK$8:BK$1696,"&gt;0",GERAL!C$8:C$1696,"ESCOLA")</f>
        <v>1</v>
      </c>
      <c r="AB323" s="88">
        <f>COUNTIFS(GERAL!B$8:B$1696,A323,GERAL!BK$8:BK$1696,"&gt;0",GERAL!C$8:C$1696,"ANEXO")</f>
        <v>0</v>
      </c>
      <c r="AC323" s="121">
        <f>SUMIF(GERAL!B$8:B$1696,A323,GERAL!AD$8:AD$1696)</f>
        <v>0</v>
      </c>
      <c r="AD323" s="121">
        <f>SUMIF(GERAL!B$8:B$1696,A323,GERAL!AI$8:AI$1696)</f>
        <v>32</v>
      </c>
      <c r="AE323" s="121">
        <f>SUMIF(GERAL!B$8:B$1696,A323,GERAL!AV$8:AV$1696)</f>
        <v>20</v>
      </c>
      <c r="AF323" s="492">
        <f t="shared" si="41"/>
        <v>52</v>
      </c>
      <c r="AG323" s="178">
        <f>COUNTIFS(GERAL!B$8:B$1696,A323,GERAL!AW$8:AW$1696,"&gt;0",GERAL!C$8:C$1696,"ESCOLA")</f>
        <v>1</v>
      </c>
      <c r="AH323" s="118">
        <f>COUNTIFS(GERAL!B$8:B$1696,A323,GERAL!AW$8:AW$1696,"&gt;0",GERAL!C$8:C$1696,"ANEXO")</f>
        <v>0</v>
      </c>
      <c r="AI323" s="177">
        <f>SUMIF(GERAL!B$8:B$1696,A323,GERAL!AS$8:AS$1696)+SUMIF(GERAL!B$8:B$1696,A323,GERAL!AT$8:AT$1696)</f>
        <v>134</v>
      </c>
      <c r="AJ323" s="177">
        <f>SUMIF(GERAL!B$8:B$1696,A323,GERAL!AU$8:AU$1696)</f>
        <v>20</v>
      </c>
      <c r="AK323" s="177">
        <f>SUMIF(GERAL!B$8:B$1696,A323,GERAL!AV$8:AV$1696)</f>
        <v>20</v>
      </c>
      <c r="AL323" s="118">
        <f t="shared" si="42"/>
        <v>174</v>
      </c>
      <c r="AM323" s="493" t="s">
        <v>723</v>
      </c>
    </row>
    <row r="324">
      <c r="A324" s="484" t="s">
        <v>2352</v>
      </c>
      <c r="B324" s="75">
        <f>COUNTIFS(GERAL!B$8:B$1696,A324,GERAL!C$8:C$1696,"ESCOLA")</f>
        <v>1</v>
      </c>
      <c r="C324" s="75">
        <f>COUNTIFS(GERAL!B$8:B$1696,A324,GERAL!C$8:C$1696,"ANEXO")</f>
        <v>1</v>
      </c>
      <c r="D324" s="85">
        <f>SUMIF(GERAL!B$8:B$1696,A324,GERAL!Z$8:Z$1696)</f>
        <v>0</v>
      </c>
      <c r="E324" s="85">
        <f>SUMIF(GERAL!B$8:B$1696,A324,GERAL!AE$8:AE$1696)</f>
        <v>0</v>
      </c>
      <c r="F324" s="85">
        <f>SUMIF(GERAL!B$8:B$1696,A324,GERAL!AJ$8:AJ$1696)</f>
        <v>730</v>
      </c>
      <c r="G324" s="85">
        <f>SUMIF(GERAL!B$8:B$1696,A324,GERAL!AN$8:AN$1696)</f>
        <v>0</v>
      </c>
      <c r="H324" s="85">
        <f>SUMIF(GERAL!B$8:B$1696,A324,GERAL!AR$8:AW$1696)</f>
        <v>32</v>
      </c>
      <c r="I324" s="85">
        <f>SUMIF(GERAL!B$8:B$1696,A324,GERAL!AW$8:AW$1696)</f>
        <v>70</v>
      </c>
      <c r="J324" s="75">
        <f>SUMIF(GERAL!B$8:B$1696,A324,GERAL!AX$8:AX$1696)</f>
        <v>832</v>
      </c>
      <c r="K324" s="75">
        <f>COUNTIFS(GERAL!B$8:B$1696,A324,GERAL!AY$8:AY$1696,"&gt;0",GERAL!C$8:C$1696,"ESCOLA")</f>
        <v>1</v>
      </c>
      <c r="L324" s="75">
        <f>COUNTIFS(GERAL!B$8:B$1696,A324,GERAL!AY$8:AY$1696,"&gt;0",GERAL!C$8:C$1696,"ANEXO")</f>
        <v>1</v>
      </c>
      <c r="M324" s="100">
        <f>SUMIF(GERAL!B$8:B$1696,A324,GERAL!V$8:V$1696)+SUMIF(GERAL!B$8:B$1696,A324,GERAL!W$8:W$1696)</f>
        <v>0</v>
      </c>
      <c r="N324" s="100">
        <f>SUMIF(GERAL!B$8:B$1696,A324,GERAL!AA$8:AA$1696)+SUMIF(GERAL!B$8:B$1696,A324,GERAL!AB$8:AB$1696)</f>
        <v>0</v>
      </c>
      <c r="O324" s="100">
        <f>SUMIF(GERAL!B$8:B$1696,A324,GERAL!AF$8:AF$1696)+SUMIF(GERAL!B$8:B$1696,A324,GERAL!AG$8:AG$1696)</f>
        <v>475</v>
      </c>
      <c r="P324" s="100">
        <f>SUMIF(GERAL!B$8:B$1696,A324,GERAL!AK$8:AK$1696)+SUMIF(GERAL!B$8:B$1696,A324,GERAL!AL$8:AL$1696)</f>
        <v>0</v>
      </c>
      <c r="Q324" s="100">
        <f>SUMIF(GERAL!B$8:B$1696,A324,GERAL!AO$8:AO$1696)+SUMIF(GERAL!B$8:B$1696,A324,GERAL!AP$8:AP$1696)</f>
        <v>0</v>
      </c>
      <c r="R324" s="100">
        <f>SUMIF(GERAL!B$8:B$1696,A324,GERAL!AS$8:AS$1696)+SUMIF(GERAL!B$8:B$1696,A324,GERAL!AT$8:AT$1696)</f>
        <v>0</v>
      </c>
      <c r="S324" s="75">
        <f t="shared" si="39"/>
        <v>475</v>
      </c>
      <c r="T324" s="116">
        <f>COUNTIFS(GERAL!B$8:B$1696,A324,GERAL!AZ$8:AZ$1696,"&gt;0",GERAL!C$8:C$1696,"ESCOLA")</f>
        <v>1</v>
      </c>
      <c r="U324" s="75">
        <f>COUNTIFS(GERAL!B$8:B$1696,A324,GERAL!AZ$8:AZ$1696,"&gt;0",GERAL!C$8:C$1696,"ANEXO")</f>
        <v>1</v>
      </c>
      <c r="V324" s="85">
        <f>SUMIF(GERAL!B$8:B$1696,A324,GERAL!AH$8:AH$1696)</f>
        <v>0</v>
      </c>
      <c r="W324" s="85">
        <f>SUMIF(GERAL!B$8:B$1696,A324,GERAL!AM$8:AM$1696)</f>
        <v>0</v>
      </c>
      <c r="X324" s="85">
        <f>SUMIF(GERAL!B$8:B$1696,A324,GERAL!AQ$8:AQ$1696)</f>
        <v>32</v>
      </c>
      <c r="Y324" s="85">
        <f>SUMIF(GERAL!B$8:B$1696,A324,GERAL!AU$8:AU$1696)</f>
        <v>0</v>
      </c>
      <c r="Z324" s="88">
        <f t="shared" si="40"/>
        <v>32</v>
      </c>
      <c r="AA324" s="116">
        <f>COUNTIFS(GERAL!B$8:B$1696,A324,GERAL!BK$8:BK$1696,"&gt;0",GERAL!C$8:C$1696,"ESCOLA")</f>
        <v>1</v>
      </c>
      <c r="AB324" s="88">
        <f>COUNTIFS(GERAL!B$8:B$1696,A324,GERAL!BK$8:BK$1696,"&gt;0",GERAL!C$8:C$1696,"ANEXO")</f>
        <v>0</v>
      </c>
      <c r="AC324" s="121">
        <f>SUMIF(GERAL!B$8:B$1696,A324,GERAL!AD$8:AD$1696)</f>
        <v>0</v>
      </c>
      <c r="AD324" s="121">
        <f>SUMIF(GERAL!B$8:B$1696,A324,GERAL!AI$8:AI$1696)</f>
        <v>255</v>
      </c>
      <c r="AE324" s="121">
        <f>SUMIF(GERAL!B$8:B$1696,A324,GERAL!AV$8:AV$1696)</f>
        <v>70</v>
      </c>
      <c r="AF324" s="492">
        <f t="shared" si="41"/>
        <v>325</v>
      </c>
      <c r="AG324" s="178">
        <f>COUNTIFS(GERAL!B$8:B$1696,A324,GERAL!AW$8:AW$1696,"&gt;0",GERAL!C$8:C$1696,"ESCOLA")</f>
        <v>1</v>
      </c>
      <c r="AH324" s="118">
        <f>COUNTIFS(GERAL!B$8:B$1696,A324,GERAL!AW$8:AW$1696,"&gt;0",GERAL!C$8:C$1696,"ANEXO")</f>
        <v>0</v>
      </c>
      <c r="AI324" s="177">
        <f>SUMIF(GERAL!B$8:B$1696,A324,GERAL!AS$8:AS$1696)+SUMIF(GERAL!B$8:B$1696,A324,GERAL!AT$8:AT$1696)</f>
        <v>0</v>
      </c>
      <c r="AJ324" s="177">
        <f>SUMIF(GERAL!B$8:B$1696,A324,GERAL!AU$8:AU$1696)</f>
        <v>0</v>
      </c>
      <c r="AK324" s="177">
        <f>SUMIF(GERAL!B$8:B$1696,A324,GERAL!AV$8:AV$1696)</f>
        <v>70</v>
      </c>
      <c r="AL324" s="118">
        <f t="shared" si="42"/>
        <v>70</v>
      </c>
      <c r="AM324" s="493" t="s">
        <v>1393</v>
      </c>
    </row>
    <row r="325">
      <c r="A325" s="494" t="s">
        <v>2245</v>
      </c>
      <c r="B325" s="75">
        <f>COUNTIFS(GERAL!B$8:B$1696,A325,GERAL!C$8:C$1696,"ESCOLA")</f>
        <v>2</v>
      </c>
      <c r="C325" s="75">
        <f>COUNTIFS(GERAL!B$8:B$1696,A325,GERAL!C$8:C$1696,"ANEXO")</f>
        <v>3</v>
      </c>
      <c r="D325" s="85">
        <f>SUMIF(GERAL!B$8:B$1696,A325,GERAL!Z$8:Z$1696)</f>
        <v>0</v>
      </c>
      <c r="E325" s="85">
        <f>SUMIF(GERAL!B$8:B$1696,A325,GERAL!AE$8:AE$1696)</f>
        <v>0</v>
      </c>
      <c r="F325" s="85">
        <f>SUMIF(GERAL!B$8:B$1696,A325,GERAL!AJ$8:AJ$1696)</f>
        <v>1359</v>
      </c>
      <c r="G325" s="85">
        <f>SUMIF(GERAL!B$8:B$1696,A325,GERAL!AN$8:AN$1696)</f>
        <v>0</v>
      </c>
      <c r="H325" s="85">
        <f>SUMIF(GERAL!B$8:B$1696,A325,GERAL!AR$8:AW$1696)</f>
        <v>460</v>
      </c>
      <c r="I325" s="85">
        <f>SUMIF(GERAL!B$8:B$1696,A325,GERAL!AW$8:AW$1696)</f>
        <v>67</v>
      </c>
      <c r="J325" s="75">
        <f>SUMIF(GERAL!B$8:B$1696,A325,GERAL!AX$8:AX$1696)</f>
        <v>1886</v>
      </c>
      <c r="K325" s="75">
        <f>COUNTIFS(GERAL!B$8:B$1696,A325,GERAL!AY$8:AY$1696,"&gt;0",GERAL!C$8:C$1696,"ESCOLA")</f>
        <v>2</v>
      </c>
      <c r="L325" s="75">
        <f>COUNTIFS(GERAL!B$8:B$1696,A325,GERAL!AY$8:AY$1696,"&gt;0",GERAL!C$8:C$1696,"ANEXO")</f>
        <v>1</v>
      </c>
      <c r="M325" s="100">
        <f>SUMIF(GERAL!B$8:B$1696,A325,GERAL!V$8:V$1696)+SUMIF(GERAL!B$8:B$1696,A325,GERAL!W$8:W$1696)</f>
        <v>0</v>
      </c>
      <c r="N325" s="100">
        <f>SUMIF(GERAL!B$8:B$1696,A325,GERAL!AA$8:AA$1696)+SUMIF(GERAL!B$8:B$1696,A325,GERAL!AB$8:AB$1696)</f>
        <v>0</v>
      </c>
      <c r="O325" s="100">
        <f>SUMIF(GERAL!B$8:B$1696,A325,GERAL!AF$8:AF$1696)+SUMIF(GERAL!B$8:B$1696,A325,GERAL!AG$8:AG$1696)</f>
        <v>333</v>
      </c>
      <c r="P325" s="100">
        <f>SUMIF(GERAL!B$8:B$1696,A325,GERAL!AK$8:AK$1696)+SUMIF(GERAL!B$8:B$1696,A325,GERAL!AL$8:AL$1696)</f>
        <v>0</v>
      </c>
      <c r="Q325" s="100">
        <f>SUMIF(GERAL!B$8:B$1696,A325,GERAL!AO$8:AO$1696)+SUMIF(GERAL!B$8:B$1696,A325,GERAL!AP$8:AP$1696)</f>
        <v>0</v>
      </c>
      <c r="R325" s="100">
        <f>SUMIF(GERAL!B$8:B$1696,A325,GERAL!AS$8:AS$1696)+SUMIF(GERAL!B$8:B$1696,A325,GERAL!AT$8:AT$1696)</f>
        <v>0</v>
      </c>
      <c r="S325" s="75">
        <f t="shared" si="39"/>
        <v>333</v>
      </c>
      <c r="T325" s="116">
        <f>COUNTIFS(GERAL!B$8:B$1696,A325,GERAL!AZ$8:AZ$1696,"&gt;0",GERAL!C$8:C$1696,"ESCOLA")</f>
        <v>2</v>
      </c>
      <c r="U325" s="75">
        <f>COUNTIFS(GERAL!B$8:B$1696,A325,GERAL!AZ$8:AZ$1696,"&gt;0",GERAL!C$8:C$1696,"ANEXO")</f>
        <v>2</v>
      </c>
      <c r="V325" s="85">
        <f>SUMIF(GERAL!B$8:B$1696,A325,GERAL!AH$8:AH$1696)</f>
        <v>73</v>
      </c>
      <c r="W325" s="85">
        <f>SUMIF(GERAL!B$8:B$1696,A325,GERAL!AM$8:AM$1696)</f>
        <v>0</v>
      </c>
      <c r="X325" s="85">
        <f>SUMIF(GERAL!B$8:B$1696,A325,GERAL!AQ$8:AQ$1696)</f>
        <v>460</v>
      </c>
      <c r="Y325" s="85">
        <f>SUMIF(GERAL!B$8:B$1696,A325,GERAL!AU$8:AU$1696)</f>
        <v>0</v>
      </c>
      <c r="Z325" s="88">
        <f t="shared" si="40"/>
        <v>533</v>
      </c>
      <c r="AA325" s="116">
        <f>COUNTIFS(GERAL!B$8:B$1696,A325,GERAL!BK$8:BK$1696,"&gt;0",GERAL!C$8:C$1696,"ESCOLA")</f>
        <v>2</v>
      </c>
      <c r="AB325" s="88">
        <f>COUNTIFS(GERAL!B$8:B$1696,A325,GERAL!BK$8:BK$1696,"&gt;0",GERAL!C$8:C$1696,"ANEXO")</f>
        <v>0</v>
      </c>
      <c r="AC325" s="121">
        <f>SUMIF(GERAL!B$8:B$1696,A325,GERAL!AD$8:AD$1696)</f>
        <v>0</v>
      </c>
      <c r="AD325" s="121">
        <f>SUMIF(GERAL!B$8:B$1696,A325,GERAL!AI$8:AI$1696)</f>
        <v>953</v>
      </c>
      <c r="AE325" s="121">
        <f>SUMIF(GERAL!B$8:B$1696,A325,GERAL!AV$8:AV$1696)</f>
        <v>67</v>
      </c>
      <c r="AF325" s="492">
        <f t="shared" si="41"/>
        <v>1020</v>
      </c>
      <c r="AG325" s="178">
        <f>COUNTIFS(GERAL!B$8:B$1696,A325,GERAL!AW$8:AW$1696,"&gt;0",GERAL!C$8:C$1696,"ESCOLA")</f>
        <v>1</v>
      </c>
      <c r="AH325" s="118">
        <f>COUNTIFS(GERAL!B$8:B$1696,A325,GERAL!AW$8:AW$1696,"&gt;0",GERAL!C$8:C$1696,"ANEXO")</f>
        <v>0</v>
      </c>
      <c r="AI325" s="177">
        <f>SUMIF(GERAL!B$8:B$1696,A325,GERAL!AS$8:AS$1696)+SUMIF(GERAL!B$8:B$1696,A325,GERAL!AT$8:AT$1696)</f>
        <v>0</v>
      </c>
      <c r="AJ325" s="177">
        <f>SUMIF(GERAL!B$8:B$1696,A325,GERAL!AU$8:AU$1696)</f>
        <v>0</v>
      </c>
      <c r="AK325" s="177">
        <f>SUMIF(GERAL!B$8:B$1696,A325,GERAL!AV$8:AV$1696)</f>
        <v>67</v>
      </c>
      <c r="AL325" s="118">
        <f t="shared" si="42"/>
        <v>67</v>
      </c>
      <c r="AM325" s="493" t="s">
        <v>1393</v>
      </c>
    </row>
    <row r="326">
      <c r="A326" s="484" t="s">
        <v>8111</v>
      </c>
      <c r="B326" s="75">
        <f>COUNTIFS(GERAL!B$8:B$1696,A326,GERAL!C$8:C$1696,"ESCOLA")</f>
        <v>2</v>
      </c>
      <c r="C326" s="75">
        <f>COUNTIFS(GERAL!B$8:B$1696,A326,GERAL!C$8:C$1696,"ANEXO")</f>
        <v>0</v>
      </c>
      <c r="D326" s="85">
        <f>SUMIF(GERAL!B$8:B$1696,A326,GERAL!Z$8:Z$1696)</f>
        <v>0</v>
      </c>
      <c r="E326" s="85">
        <f>SUMIF(GERAL!B$8:B$1696,A326,GERAL!AE$8:AE$1696)</f>
        <v>0</v>
      </c>
      <c r="F326" s="85">
        <f>SUMIF(GERAL!B$8:B$1696,A326,GERAL!AJ$8:AJ$1696)</f>
        <v>1104</v>
      </c>
      <c r="G326" s="85">
        <f>SUMIF(GERAL!B$8:B$1696,A326,GERAL!AN$8:AN$1696)</f>
        <v>0</v>
      </c>
      <c r="H326" s="85">
        <f>SUMIF(GERAL!B$8:B$1696,A326,GERAL!AR$8:AW$1696)</f>
        <v>413</v>
      </c>
      <c r="I326" s="85">
        <f>SUMIF(GERAL!B$8:B$1696,A326,GERAL!AW$8:AW$1696)</f>
        <v>242</v>
      </c>
      <c r="J326" s="75">
        <f>SUMIF(GERAL!B$8:B$1696,A326,GERAL!AX$8:AX$1696)</f>
        <v>1759</v>
      </c>
      <c r="K326" s="75">
        <f>COUNTIFS(GERAL!B$8:B$1696,A326,GERAL!AY$8:AY$1696,"&gt;0",GERAL!C$8:C$1696,"ESCOLA")</f>
        <v>2</v>
      </c>
      <c r="L326" s="75">
        <f>COUNTIFS(GERAL!B$8:B$1696,A326,GERAL!AY$8:AY$1696,"&gt;0",GERAL!C$8:C$1696,"ANEXO")</f>
        <v>0</v>
      </c>
      <c r="M326" s="100">
        <f>SUMIF(GERAL!B$8:B$1696,A326,GERAL!V$8:V$1696)+SUMIF(GERAL!B$8:B$1696,A326,GERAL!W$8:W$1696)</f>
        <v>0</v>
      </c>
      <c r="N326" s="100">
        <f>SUMIF(GERAL!B$8:B$1696,A326,GERAL!AA$8:AA$1696)+SUMIF(GERAL!B$8:B$1696,A326,GERAL!AB$8:AB$1696)</f>
        <v>0</v>
      </c>
      <c r="O326" s="100">
        <f>SUMIF(GERAL!B$8:B$1696,A326,GERAL!AF$8:AF$1696)+SUMIF(GERAL!B$8:B$1696,A326,GERAL!AG$8:AG$1696)</f>
        <v>651</v>
      </c>
      <c r="P326" s="100">
        <f>SUMIF(GERAL!B$8:B$1696,A326,GERAL!AK$8:AK$1696)+SUMIF(GERAL!B$8:B$1696,A326,GERAL!AL$8:AL$1696)</f>
        <v>0</v>
      </c>
      <c r="Q326" s="100">
        <f>SUMIF(GERAL!B$8:B$1696,A326,GERAL!AO$8:AO$1696)+SUMIF(GERAL!B$8:B$1696,A326,GERAL!AP$8:AP$1696)</f>
        <v>0</v>
      </c>
      <c r="R326" s="100">
        <f>SUMIF(GERAL!B$8:B$1696,A326,GERAL!AS$8:AS$1696)+SUMIF(GERAL!B$8:B$1696,A326,GERAL!AT$8:AT$1696)</f>
        <v>0</v>
      </c>
      <c r="S326" s="75">
        <f t="shared" si="39"/>
        <v>651</v>
      </c>
      <c r="T326" s="116">
        <f>COUNTIFS(GERAL!B$8:B$1696,A326,GERAL!AZ$8:AZ$1696,"&gt;0",GERAL!C$8:C$1696,"ESCOLA")</f>
        <v>2</v>
      </c>
      <c r="U326" s="75">
        <f>COUNTIFS(GERAL!B$8:B$1696,A326,GERAL!AZ$8:AZ$1696,"&gt;0",GERAL!C$8:C$1696,"ANEXO")</f>
        <v>0</v>
      </c>
      <c r="V326" s="85">
        <f>SUMIF(GERAL!B$8:B$1696,A326,GERAL!AH$8:AH$1696)</f>
        <v>0</v>
      </c>
      <c r="W326" s="85">
        <f>SUMIF(GERAL!B$8:B$1696,A326,GERAL!AM$8:AM$1696)</f>
        <v>0</v>
      </c>
      <c r="X326" s="85">
        <f>SUMIF(GERAL!B$8:B$1696,A326,GERAL!AQ$8:AQ$1696)</f>
        <v>413</v>
      </c>
      <c r="Y326" s="85">
        <f>SUMIF(GERAL!B$8:B$1696,A326,GERAL!AU$8:AU$1696)</f>
        <v>213</v>
      </c>
      <c r="Z326" s="88">
        <f t="shared" si="40"/>
        <v>626</v>
      </c>
      <c r="AA326" s="116">
        <f>COUNTIFS(GERAL!B$8:B$1696,A326,GERAL!BK$8:BK$1696,"&gt;0",GERAL!C$8:C$1696,"ESCOLA")</f>
        <v>1</v>
      </c>
      <c r="AB326" s="88">
        <f>COUNTIFS(GERAL!B$8:B$1696,A326,GERAL!BK$8:BK$1696,"&gt;0",GERAL!C$8:C$1696,"ANEXO")</f>
        <v>0</v>
      </c>
      <c r="AC326" s="121">
        <f>SUMIF(GERAL!B$8:B$1696,A326,GERAL!AD$8:AD$1696)</f>
        <v>0</v>
      </c>
      <c r="AD326" s="121">
        <f>SUMIF(GERAL!B$8:B$1696,A326,GERAL!AI$8:AI$1696)</f>
        <v>453</v>
      </c>
      <c r="AE326" s="121">
        <f>SUMIF(GERAL!B$8:B$1696,A326,GERAL!AV$8:AV$1696)</f>
        <v>29</v>
      </c>
      <c r="AF326" s="492">
        <f t="shared" si="41"/>
        <v>482</v>
      </c>
      <c r="AG326" s="178">
        <f>COUNTIFS(GERAL!B$8:B$1696,A326,GERAL!AW$8:AW$1696,"&gt;0",GERAL!C$8:C$1696,"ESCOLA")</f>
        <v>1</v>
      </c>
      <c r="AH326" s="118">
        <f>COUNTIFS(GERAL!B$8:B$1696,A326,GERAL!AW$8:AW$1696,"&gt;0",GERAL!C$8:C$1696,"ANEXO")</f>
        <v>0</v>
      </c>
      <c r="AI326" s="177">
        <f>SUMIF(GERAL!B$8:B$1696,A326,GERAL!AS$8:AS$1696)+SUMIF(GERAL!B$8:B$1696,A326,GERAL!AT$8:AT$1696)</f>
        <v>0</v>
      </c>
      <c r="AJ326" s="177">
        <f>SUMIF(GERAL!B$8:B$1696,A326,GERAL!AU$8:AU$1696)</f>
        <v>213</v>
      </c>
      <c r="AK326" s="177">
        <f>SUMIF(GERAL!B$8:B$1696,A326,GERAL!AV$8:AV$1696)</f>
        <v>29</v>
      </c>
      <c r="AL326" s="118">
        <f t="shared" si="42"/>
        <v>242</v>
      </c>
      <c r="AM326" s="493" t="s">
        <v>1785</v>
      </c>
    </row>
    <row r="327">
      <c r="A327" s="494" t="s">
        <v>7774</v>
      </c>
      <c r="B327" s="75">
        <f>COUNTIFS(GERAL!B$8:B$1696,A327,GERAL!C$8:C$1696,"ESCOLA")</f>
        <v>1</v>
      </c>
      <c r="C327" s="75">
        <f>COUNTIFS(GERAL!B$8:B$1696,A327,GERAL!C$8:C$1696,"ANEXO")</f>
        <v>1</v>
      </c>
      <c r="D327" s="85">
        <f>SUMIF(GERAL!B$8:B$1696,A327,GERAL!Z$8:Z$1696)</f>
        <v>0</v>
      </c>
      <c r="E327" s="85">
        <f>SUMIF(GERAL!B$8:B$1696,A327,GERAL!AE$8:AE$1696)</f>
        <v>0</v>
      </c>
      <c r="F327" s="85">
        <f>SUMIF(GERAL!B$8:B$1696,A327,GERAL!AJ$8:AJ$1696)</f>
        <v>564</v>
      </c>
      <c r="G327" s="85">
        <f>SUMIF(GERAL!B$8:B$1696,A327,GERAL!AN$8:AN$1696)</f>
        <v>0</v>
      </c>
      <c r="H327" s="85">
        <f>SUMIF(GERAL!B$8:B$1696,A327,GERAL!AR$8:AW$1696)</f>
        <v>247</v>
      </c>
      <c r="I327" s="85">
        <f>SUMIF(GERAL!B$8:B$1696,A327,GERAL!AW$8:AW$1696)</f>
        <v>123</v>
      </c>
      <c r="J327" s="75">
        <f>SUMIF(GERAL!B$8:B$1696,A327,GERAL!AX$8:AX$1696)</f>
        <v>934</v>
      </c>
      <c r="K327" s="75">
        <f>COUNTIFS(GERAL!B$8:B$1696,A327,GERAL!AY$8:AY$1696,"&gt;0",GERAL!C$8:C$1696,"ESCOLA")</f>
        <v>1</v>
      </c>
      <c r="L327" s="75">
        <f>COUNTIFS(GERAL!B$8:B$1696,A327,GERAL!AY$8:AY$1696,"&gt;0",GERAL!C$8:C$1696,"ANEXO")</f>
        <v>1</v>
      </c>
      <c r="M327" s="100">
        <f>SUMIF(GERAL!B$8:B$1696,A327,GERAL!V$8:V$1696)+SUMIF(GERAL!B$8:B$1696,A327,GERAL!W$8:W$1696)</f>
        <v>0</v>
      </c>
      <c r="N327" s="100">
        <f>SUMIF(GERAL!B$8:B$1696,A327,GERAL!AA$8:AA$1696)+SUMIF(GERAL!B$8:B$1696,A327,GERAL!AB$8:AB$1696)</f>
        <v>0</v>
      </c>
      <c r="O327" s="100">
        <f>SUMIF(GERAL!B$8:B$1696,A327,GERAL!AF$8:AF$1696)+SUMIF(GERAL!B$8:B$1696,A327,GERAL!AG$8:AG$1696)</f>
        <v>25</v>
      </c>
      <c r="P327" s="100">
        <f>SUMIF(GERAL!B$8:B$1696,A327,GERAL!AK$8:AK$1696)+SUMIF(GERAL!B$8:B$1696,A327,GERAL!AL$8:AL$1696)</f>
        <v>0</v>
      </c>
      <c r="Q327" s="100">
        <f>SUMIF(GERAL!B$8:B$1696,A327,GERAL!AO$8:AO$1696)+SUMIF(GERAL!B$8:B$1696,A327,GERAL!AP$8:AP$1696)</f>
        <v>0</v>
      </c>
      <c r="R327" s="100">
        <f>SUMIF(GERAL!B$8:B$1696,A327,GERAL!AS$8:AS$1696)+SUMIF(GERAL!B$8:B$1696,A327,GERAL!AT$8:AT$1696)</f>
        <v>71</v>
      </c>
      <c r="S327" s="75">
        <f t="shared" si="39"/>
        <v>96</v>
      </c>
      <c r="T327" s="116">
        <f>COUNTIFS(GERAL!B$8:B$1696,A327,GERAL!AZ$8:AZ$1696,"&gt;0",GERAL!C$8:C$1696,"ESCOLA")</f>
        <v>1</v>
      </c>
      <c r="U327" s="75">
        <f>COUNTIFS(GERAL!B$8:B$1696,A327,GERAL!AZ$8:AZ$1696,"&gt;0",GERAL!C$8:C$1696,"ANEXO")</f>
        <v>1</v>
      </c>
      <c r="V327" s="85">
        <f>SUMIF(GERAL!B$8:B$1696,A327,GERAL!AH$8:AH$1696)</f>
        <v>0</v>
      </c>
      <c r="W327" s="85">
        <f>SUMIF(GERAL!B$8:B$1696,A327,GERAL!AM$8:AM$1696)</f>
        <v>0</v>
      </c>
      <c r="X327" s="85">
        <f>SUMIF(GERAL!B$8:B$1696,A327,GERAL!AQ$8:AQ$1696)</f>
        <v>247</v>
      </c>
      <c r="Y327" s="85">
        <f>SUMIF(GERAL!B$8:B$1696,A327,GERAL!AU$8:AU$1696)</f>
        <v>52</v>
      </c>
      <c r="Z327" s="88">
        <f t="shared" si="40"/>
        <v>299</v>
      </c>
      <c r="AA327" s="116">
        <f>COUNTIFS(GERAL!B$8:B$1696,A327,GERAL!BK$8:BK$1696,"&gt;0",GERAL!C$8:C$1696,"ESCOLA")</f>
        <v>1</v>
      </c>
      <c r="AB327" s="88">
        <f>COUNTIFS(GERAL!B$8:B$1696,A327,GERAL!BK$8:BK$1696,"&gt;0",GERAL!C$8:C$1696,"ANEXO")</f>
        <v>1</v>
      </c>
      <c r="AC327" s="121">
        <f>SUMIF(GERAL!B$8:B$1696,A327,GERAL!AD$8:AD$1696)</f>
        <v>0</v>
      </c>
      <c r="AD327" s="121">
        <f>SUMIF(GERAL!B$8:B$1696,A327,GERAL!AI$8:AI$1696)</f>
        <v>539</v>
      </c>
      <c r="AE327" s="121">
        <f>SUMIF(GERAL!B$8:B$1696,A327,GERAL!AV$8:AV$1696)</f>
        <v>0</v>
      </c>
      <c r="AF327" s="492">
        <f t="shared" si="41"/>
        <v>539</v>
      </c>
      <c r="AG327" s="178">
        <f>COUNTIFS(GERAL!B$8:B$1696,A327,GERAL!AW$8:AW$1696,"&gt;0",GERAL!C$8:C$1696,"ESCOLA")</f>
        <v>1</v>
      </c>
      <c r="AH327" s="118">
        <f>COUNTIFS(GERAL!B$8:B$1696,A327,GERAL!AW$8:AW$1696,"&gt;0",GERAL!C$8:C$1696,"ANEXO")</f>
        <v>0</v>
      </c>
      <c r="AI327" s="177">
        <f>SUMIF(GERAL!B$8:B$1696,A327,GERAL!AS$8:AS$1696)+SUMIF(GERAL!B$8:B$1696,A327,GERAL!AT$8:AT$1696)</f>
        <v>71</v>
      </c>
      <c r="AJ327" s="177">
        <f>SUMIF(GERAL!B$8:B$1696,A327,GERAL!AU$8:AU$1696)</f>
        <v>52</v>
      </c>
      <c r="AK327" s="177">
        <f>SUMIF(GERAL!B$8:B$1696,A327,GERAL!AV$8:AV$1696)</f>
        <v>0</v>
      </c>
      <c r="AL327" s="118">
        <f t="shared" si="42"/>
        <v>123</v>
      </c>
      <c r="AM327" s="493" t="s">
        <v>1707</v>
      </c>
    </row>
    <row r="328">
      <c r="A328" s="484" t="s">
        <v>2383</v>
      </c>
      <c r="B328" s="75">
        <f>COUNTIFS(GERAL!B$8:B$1696,A328,GERAL!C$8:C$1696,"ESCOLA")</f>
        <v>8</v>
      </c>
      <c r="C328" s="75">
        <f>COUNTIFS(GERAL!B$8:B$1696,A328,GERAL!C$8:C$1696,"ANEXO")</f>
        <v>9</v>
      </c>
      <c r="D328" s="85">
        <f>SUMIF(GERAL!B$8:B$1696,A328,GERAL!Z$8:Z$1696)</f>
        <v>0</v>
      </c>
      <c r="E328" s="85">
        <f>SUMIF(GERAL!B$8:B$1696,A328,GERAL!AE$8:AE$1696)</f>
        <v>0</v>
      </c>
      <c r="F328" s="85">
        <f>SUMIF(GERAL!B$8:B$1696,A328,GERAL!AJ$8:AJ$1696)</f>
        <v>3214</v>
      </c>
      <c r="G328" s="85">
        <f>SUMIF(GERAL!B$8:B$1696,A328,GERAL!AN$8:AN$1696)</f>
        <v>0</v>
      </c>
      <c r="H328" s="85">
        <f>SUMIF(GERAL!B$8:B$1696,A328,GERAL!AR$8:AW$1696)</f>
        <v>1323</v>
      </c>
      <c r="I328" s="85">
        <f>SUMIF(GERAL!B$8:B$1696,A328,GERAL!AW$8:AW$1696)</f>
        <v>843</v>
      </c>
      <c r="J328" s="75">
        <f>SUMIF(GERAL!B$8:B$1696,A328,GERAL!AX$8:AX$1696)</f>
        <v>5380</v>
      </c>
      <c r="K328" s="75">
        <f>COUNTIFS(GERAL!B$8:B$1696,A328,GERAL!AY$8:AY$1696,"&gt;0",GERAL!C$8:C$1696,"ESCOLA")</f>
        <v>8</v>
      </c>
      <c r="L328" s="75">
        <f>COUNTIFS(GERAL!B$8:B$1696,A328,GERAL!AY$8:AY$1696,"&gt;0",GERAL!C$8:C$1696,"ANEXO")</f>
        <v>1</v>
      </c>
      <c r="M328" s="100">
        <f>SUMIF(GERAL!B$8:B$1696,A328,GERAL!V$8:V$1696)+SUMIF(GERAL!B$8:B$1696,A328,GERAL!W$8:W$1696)</f>
        <v>0</v>
      </c>
      <c r="N328" s="100">
        <f>SUMIF(GERAL!B$8:B$1696,A328,GERAL!AA$8:AA$1696)+SUMIF(GERAL!B$8:B$1696,A328,GERAL!AB$8:AB$1696)</f>
        <v>0</v>
      </c>
      <c r="O328" s="100">
        <f>SUMIF(GERAL!B$8:B$1696,A328,GERAL!AF$8:AF$1696)+SUMIF(GERAL!B$8:B$1696,A328,GERAL!AG$8:AG$1696)</f>
        <v>2274</v>
      </c>
      <c r="P328" s="100">
        <f>SUMIF(GERAL!B$8:B$1696,A328,GERAL!AK$8:AK$1696)+SUMIF(GERAL!B$8:B$1696,A328,GERAL!AL$8:AL$1696)</f>
        <v>0</v>
      </c>
      <c r="Q328" s="100">
        <f>SUMIF(GERAL!B$8:B$1696,A328,GERAL!AO$8:AO$1696)+SUMIF(GERAL!B$8:B$1696,A328,GERAL!AP$8:AP$1696)</f>
        <v>0</v>
      </c>
      <c r="R328" s="100">
        <f>SUMIF(GERAL!B$8:B$1696,A328,GERAL!AS$8:AS$1696)+SUMIF(GERAL!B$8:B$1696,A328,GERAL!AT$8:AT$1696)</f>
        <v>465</v>
      </c>
      <c r="S328" s="75">
        <f t="shared" si="39"/>
        <v>2739</v>
      </c>
      <c r="T328" s="116">
        <f>COUNTIFS(GERAL!B$8:B$1696,A328,GERAL!AZ$8:AZ$1696,"&gt;0",GERAL!C$8:C$1696,"ESCOLA")</f>
        <v>6</v>
      </c>
      <c r="U328" s="75">
        <f>COUNTIFS(GERAL!B$8:B$1696,A328,GERAL!AZ$8:AZ$1696,"&gt;0",GERAL!C$8:C$1696,"ANEXO")</f>
        <v>9</v>
      </c>
      <c r="V328" s="85">
        <f>SUMIF(GERAL!B$8:B$1696,A328,GERAL!AH$8:AH$1696)</f>
        <v>143</v>
      </c>
      <c r="W328" s="85">
        <f>SUMIF(GERAL!B$8:B$1696,A328,GERAL!AM$8:AM$1696)</f>
        <v>0</v>
      </c>
      <c r="X328" s="85">
        <f>SUMIF(GERAL!B$8:B$1696,A328,GERAL!AQ$8:AQ$1696)</f>
        <v>1323</v>
      </c>
      <c r="Y328" s="85">
        <f>SUMIF(GERAL!B$8:B$1696,A328,GERAL!AU$8:AU$1696)</f>
        <v>163</v>
      </c>
      <c r="Z328" s="88">
        <f t="shared" si="40"/>
        <v>1629</v>
      </c>
      <c r="AA328" s="116">
        <f>COUNTIFS(GERAL!B$8:B$1696,A328,GERAL!BK$8:BK$1696,"&gt;0",GERAL!C$8:C$1696,"ESCOLA")</f>
        <v>3</v>
      </c>
      <c r="AB328" s="88">
        <f>COUNTIFS(GERAL!B$8:B$1696,A328,GERAL!BK$8:BK$1696,"&gt;0",GERAL!C$8:C$1696,"ANEXO")</f>
        <v>0</v>
      </c>
      <c r="AC328" s="121">
        <f>SUMIF(GERAL!B$8:B$1696,A328,GERAL!AD$8:AD$1696)</f>
        <v>0</v>
      </c>
      <c r="AD328" s="121">
        <f>SUMIF(GERAL!B$8:B$1696,A328,GERAL!AI$8:AI$1696)</f>
        <v>797</v>
      </c>
      <c r="AE328" s="121">
        <f>SUMIF(GERAL!B$8:B$1696,A328,GERAL!AV$8:AV$1696)</f>
        <v>215</v>
      </c>
      <c r="AF328" s="492">
        <f t="shared" si="41"/>
        <v>1012</v>
      </c>
      <c r="AG328" s="178">
        <f>COUNTIFS(GERAL!B$8:B$1696,A328,GERAL!AW$8:AW$1696,"&gt;0",GERAL!C$8:C$1696,"ESCOLA")</f>
        <v>3</v>
      </c>
      <c r="AH328" s="118">
        <f>COUNTIFS(GERAL!B$8:B$1696,A328,GERAL!AW$8:AW$1696,"&gt;0",GERAL!C$8:C$1696,"ANEXO")</f>
        <v>0</v>
      </c>
      <c r="AI328" s="177">
        <f>SUMIF(GERAL!B$8:B$1696,A328,GERAL!AS$8:AS$1696)+SUMIF(GERAL!B$8:B$1696,A328,GERAL!AT$8:AT$1696)</f>
        <v>465</v>
      </c>
      <c r="AJ328" s="177">
        <f>SUMIF(GERAL!B$8:B$1696,A328,GERAL!AU$8:AU$1696)</f>
        <v>163</v>
      </c>
      <c r="AK328" s="177">
        <f>SUMIF(GERAL!B$8:B$1696,A328,GERAL!AV$8:AV$1696)</f>
        <v>215</v>
      </c>
      <c r="AL328" s="118">
        <f t="shared" si="42"/>
        <v>843</v>
      </c>
      <c r="AM328" s="493" t="s">
        <v>1842</v>
      </c>
    </row>
    <row r="329">
      <c r="A329" s="494" t="s">
        <v>2576</v>
      </c>
      <c r="B329" s="75">
        <f>COUNTIFS(GERAL!B$8:B$1696,A329,GERAL!C$8:C$1696,"ESCOLA")</f>
        <v>1</v>
      </c>
      <c r="C329" s="75">
        <f>COUNTIFS(GERAL!B$8:B$1696,A329,GERAL!C$8:C$1696,"ANEXO")</f>
        <v>1</v>
      </c>
      <c r="D329" s="85">
        <f>SUMIF(GERAL!B$8:B$1696,A329,GERAL!Z$8:Z$1696)</f>
        <v>0</v>
      </c>
      <c r="E329" s="85">
        <f>SUMIF(GERAL!B$8:B$1696,A329,GERAL!AE$8:AE$1696)</f>
        <v>0</v>
      </c>
      <c r="F329" s="85">
        <f>SUMIF(GERAL!B$8:B$1696,A329,GERAL!AJ$8:AJ$1696)</f>
        <v>319</v>
      </c>
      <c r="G329" s="85">
        <f>SUMIF(GERAL!B$8:B$1696,A329,GERAL!AN$8:AN$1696)</f>
        <v>0</v>
      </c>
      <c r="H329" s="85">
        <f>SUMIF(GERAL!B$8:B$1696,A329,GERAL!AR$8:AW$1696)</f>
        <v>40</v>
      </c>
      <c r="I329" s="85">
        <f>SUMIF(GERAL!B$8:B$1696,A329,GERAL!AW$8:AW$1696)</f>
        <v>78</v>
      </c>
      <c r="J329" s="75">
        <f>SUMIF(GERAL!B$8:B$1696,A329,GERAL!AX$8:AX$1696)</f>
        <v>437</v>
      </c>
      <c r="K329" s="75">
        <f>COUNTIFS(GERAL!B$8:B$1696,A329,GERAL!AY$8:AY$1696,"&gt;0",GERAL!C$8:C$1696,"ESCOLA")</f>
        <v>1</v>
      </c>
      <c r="L329" s="75">
        <f>COUNTIFS(GERAL!B$8:B$1696,A329,GERAL!AY$8:AY$1696,"&gt;0",GERAL!C$8:C$1696,"ANEXO")</f>
        <v>1</v>
      </c>
      <c r="M329" s="100">
        <f>SUMIF(GERAL!B$8:B$1696,A329,GERAL!V$8:V$1696)+SUMIF(GERAL!B$8:B$1696,A329,GERAL!W$8:W$1696)</f>
        <v>0</v>
      </c>
      <c r="N329" s="100">
        <f>SUMIF(GERAL!B$8:B$1696,A329,GERAL!AA$8:AA$1696)+SUMIF(GERAL!B$8:B$1696,A329,GERAL!AB$8:AB$1696)</f>
        <v>0</v>
      </c>
      <c r="O329" s="100">
        <f>SUMIF(GERAL!B$8:B$1696,A329,GERAL!AF$8:AF$1696)+SUMIF(GERAL!B$8:B$1696,A329,GERAL!AG$8:AG$1696)</f>
        <v>160</v>
      </c>
      <c r="P329" s="100">
        <f>SUMIF(GERAL!B$8:B$1696,A329,GERAL!AK$8:AK$1696)+SUMIF(GERAL!B$8:B$1696,A329,GERAL!AL$8:AL$1696)</f>
        <v>0</v>
      </c>
      <c r="Q329" s="100">
        <f>SUMIF(GERAL!B$8:B$1696,A329,GERAL!AO$8:AO$1696)+SUMIF(GERAL!B$8:B$1696,A329,GERAL!AP$8:AP$1696)</f>
        <v>0</v>
      </c>
      <c r="R329" s="100">
        <f>SUMIF(GERAL!B$8:B$1696,A329,GERAL!AS$8:AS$1696)+SUMIF(GERAL!B$8:B$1696,A329,GERAL!AT$8:AT$1696)</f>
        <v>0</v>
      </c>
      <c r="S329" s="75">
        <f t="shared" si="39"/>
        <v>160</v>
      </c>
      <c r="T329" s="116">
        <f>COUNTIFS(GERAL!B$8:B$1696,A329,GERAL!AZ$8:AZ$1696,"&gt;0",GERAL!C$8:C$1696,"ESCOLA")</f>
        <v>1</v>
      </c>
      <c r="U329" s="75">
        <f>COUNTIFS(GERAL!B$8:B$1696,A329,GERAL!AZ$8:AZ$1696,"&gt;0",GERAL!C$8:C$1696,"ANEXO")</f>
        <v>0</v>
      </c>
      <c r="V329" s="85">
        <f>SUMIF(GERAL!B$8:B$1696,A329,GERAL!AH$8:AH$1696)</f>
        <v>0</v>
      </c>
      <c r="W329" s="85">
        <f>SUMIF(GERAL!B$8:B$1696,A329,GERAL!AM$8:AM$1696)</f>
        <v>0</v>
      </c>
      <c r="X329" s="85">
        <f>SUMIF(GERAL!B$8:B$1696,A329,GERAL!AQ$8:AQ$1696)</f>
        <v>40</v>
      </c>
      <c r="Y329" s="85">
        <f>SUMIF(GERAL!B$8:B$1696,A329,GERAL!AU$8:AU$1696)</f>
        <v>78</v>
      </c>
      <c r="Z329" s="88">
        <f t="shared" si="40"/>
        <v>118</v>
      </c>
      <c r="AA329" s="116">
        <f>COUNTIFS(GERAL!B$8:B$1696,A329,GERAL!BK$8:BK$1696,"&gt;0",GERAL!C$8:C$1696,"ESCOLA")</f>
        <v>1</v>
      </c>
      <c r="AB329" s="88">
        <f>COUNTIFS(GERAL!B$8:B$1696,A329,GERAL!BK$8:BK$1696,"&gt;0",GERAL!C$8:C$1696,"ANEXO")</f>
        <v>0</v>
      </c>
      <c r="AC329" s="121">
        <f>SUMIF(GERAL!B$8:B$1696,A329,GERAL!AD$8:AD$1696)</f>
        <v>0</v>
      </c>
      <c r="AD329" s="121">
        <f>SUMIF(GERAL!B$8:B$1696,A329,GERAL!AI$8:AI$1696)</f>
        <v>159</v>
      </c>
      <c r="AE329" s="121">
        <f>SUMIF(GERAL!B$8:B$1696,A329,GERAL!AV$8:AV$1696)</f>
        <v>0</v>
      </c>
      <c r="AF329" s="492">
        <f t="shared" si="41"/>
        <v>159</v>
      </c>
      <c r="AG329" s="178">
        <f>COUNTIFS(GERAL!B$8:B$1696,A329,GERAL!AW$8:AW$1696,"&gt;0",GERAL!C$8:C$1696,"ESCOLA")</f>
        <v>1</v>
      </c>
      <c r="AH329" s="118">
        <f>COUNTIFS(GERAL!B$8:B$1696,A329,GERAL!AW$8:AW$1696,"&gt;0",GERAL!C$8:C$1696,"ANEXO")</f>
        <v>0</v>
      </c>
      <c r="AI329" s="177">
        <f>SUMIF(GERAL!B$8:B$1696,A329,GERAL!AS$8:AS$1696)+SUMIF(GERAL!B$8:B$1696,A329,GERAL!AT$8:AT$1696)</f>
        <v>0</v>
      </c>
      <c r="AJ329" s="177">
        <f>SUMIF(GERAL!B$8:B$1696,A329,GERAL!AU$8:AU$1696)</f>
        <v>78</v>
      </c>
      <c r="AK329" s="177">
        <f>SUMIF(GERAL!B$8:B$1696,A329,GERAL!AV$8:AV$1696)</f>
        <v>0</v>
      </c>
      <c r="AL329" s="118">
        <f t="shared" si="42"/>
        <v>78</v>
      </c>
      <c r="AM329" s="493" t="s">
        <v>673</v>
      </c>
    </row>
    <row r="330">
      <c r="A330" s="484" t="s">
        <v>2180</v>
      </c>
      <c r="B330" s="75">
        <f>COUNTIFS(GERAL!B$8:B$1696,A330,GERAL!C$8:C$1696,"ESCOLA")</f>
        <v>9</v>
      </c>
      <c r="C330" s="75">
        <f>COUNTIFS(GERAL!B$8:B$1696,A330,GERAL!C$8:C$1696,"ANEXO")</f>
        <v>8</v>
      </c>
      <c r="D330" s="85">
        <f>SUMIF(GERAL!B$8:B$1696,A330,GERAL!Z$8:Z$1696)</f>
        <v>294</v>
      </c>
      <c r="E330" s="85">
        <f>SUMIF(GERAL!B$8:B$1696,A330,GERAL!AE$8:AE$1696)</f>
        <v>905</v>
      </c>
      <c r="F330" s="85">
        <f>SUMIF(GERAL!B$8:B$1696,A330,GERAL!AJ$8:AJ$1696)</f>
        <v>649</v>
      </c>
      <c r="G330" s="85">
        <f>SUMIF(GERAL!B$8:B$1696,A330,GERAL!AN$8:AN$1696)</f>
        <v>163</v>
      </c>
      <c r="H330" s="85">
        <f>SUMIF(GERAL!B$8:B$1696,A330,GERAL!AR$8:AW$1696)</f>
        <v>359</v>
      </c>
      <c r="I330" s="85">
        <f>SUMIF(GERAL!B$8:B$1696,A330,GERAL!AW$8:AW$1696)</f>
        <v>98</v>
      </c>
      <c r="J330" s="75">
        <f>SUMIF(GERAL!B$8:B$1696,A330,GERAL!AX$8:AX$1696)</f>
        <v>2468</v>
      </c>
      <c r="K330" s="75">
        <f>COUNTIFS(GERAL!B$8:B$1696,A330,GERAL!AY$8:AY$1696,"&gt;0",GERAL!C$8:C$1696,"ESCOLA")</f>
        <v>8</v>
      </c>
      <c r="L330" s="75">
        <f>COUNTIFS(GERAL!B$8:B$1696,A330,GERAL!AY$8:AY$1696,"&gt;0",GERAL!C$8:C$1696,"ANEXO")</f>
        <v>8</v>
      </c>
      <c r="M330" s="100">
        <f>SUMIF(GERAL!B$8:B$1696,A330,GERAL!V$8:V$1696)+SUMIF(GERAL!B$8:B$1696,A330,GERAL!W$8:W$1696)</f>
        <v>294</v>
      </c>
      <c r="N330" s="100">
        <f>SUMIF(GERAL!B$8:B$1696,A330,GERAL!AA$8:AA$1696)+SUMIF(GERAL!B$8:B$1696,A330,GERAL!AB$8:AB$1696)</f>
        <v>905</v>
      </c>
      <c r="O330" s="100">
        <f>SUMIF(GERAL!B$8:B$1696,A330,GERAL!AF$8:AF$1696)+SUMIF(GERAL!B$8:B$1696,A330,GERAL!AG$8:AG$1696)</f>
        <v>142</v>
      </c>
      <c r="P330" s="100">
        <f>SUMIF(GERAL!B$8:B$1696,A330,GERAL!AK$8:AK$1696)+SUMIF(GERAL!B$8:B$1696,A330,GERAL!AL$8:AL$1696)</f>
        <v>0</v>
      </c>
      <c r="Q330" s="100">
        <f>SUMIF(GERAL!B$8:B$1696,A330,GERAL!AO$8:AO$1696)+SUMIF(GERAL!B$8:B$1696,A330,GERAL!AP$8:AP$1696)</f>
        <v>0</v>
      </c>
      <c r="R330" s="100">
        <f>SUMIF(GERAL!B$8:B$1696,A330,GERAL!AS$8:AS$1696)+SUMIF(GERAL!B$8:B$1696,A330,GERAL!AT$8:AT$1696)</f>
        <v>0</v>
      </c>
      <c r="S330" s="75">
        <f t="shared" si="39"/>
        <v>1341</v>
      </c>
      <c r="T330" s="116">
        <f>COUNTIFS(GERAL!B$8:B$1696,A330,GERAL!AZ$8:AZ$1696,"&gt;0",GERAL!C$8:C$1696,"ESCOLA")</f>
        <v>8</v>
      </c>
      <c r="U330" s="75">
        <f>COUNTIFS(GERAL!B$8:B$1696,A330,GERAL!AZ$8:AZ$1696,"&gt;0",GERAL!C$8:C$1696,"ANEXO")</f>
        <v>7</v>
      </c>
      <c r="V330" s="85">
        <f>SUMIF(GERAL!B$8:B$1696,A330,GERAL!AH$8:AH$1696)</f>
        <v>10</v>
      </c>
      <c r="W330" s="85">
        <f>SUMIF(GERAL!B$8:B$1696,A330,GERAL!AM$8:AM$1696)</f>
        <v>163</v>
      </c>
      <c r="X330" s="85">
        <f>SUMIF(GERAL!B$8:B$1696,A330,GERAL!AQ$8:AQ$1696)</f>
        <v>359</v>
      </c>
      <c r="Y330" s="85">
        <f>SUMIF(GERAL!B$8:B$1696,A330,GERAL!AU$8:AU$1696)</f>
        <v>34</v>
      </c>
      <c r="Z330" s="88">
        <f t="shared" si="40"/>
        <v>566</v>
      </c>
      <c r="AA330" s="116">
        <f>COUNTIFS(GERAL!B$8:B$1696,A330,GERAL!BK$8:BK$1696,"&gt;0",GERAL!C$8:C$1696,"ESCOLA")</f>
        <v>2</v>
      </c>
      <c r="AB330" s="88">
        <f>COUNTIFS(GERAL!B$8:B$1696,A330,GERAL!BK$8:BK$1696,"&gt;0",GERAL!C$8:C$1696,"ANEXO")</f>
        <v>0</v>
      </c>
      <c r="AC330" s="121">
        <f>SUMIF(GERAL!B$8:B$1696,A330,GERAL!AD$8:AD$1696)</f>
        <v>0</v>
      </c>
      <c r="AD330" s="121">
        <f>SUMIF(GERAL!B$8:B$1696,A330,GERAL!AI$8:AI$1696)</f>
        <v>497</v>
      </c>
      <c r="AE330" s="121">
        <f>SUMIF(GERAL!B$8:B$1696,A330,GERAL!AV$8:AV$1696)</f>
        <v>64</v>
      </c>
      <c r="AF330" s="492">
        <f t="shared" si="41"/>
        <v>561</v>
      </c>
      <c r="AG330" s="178">
        <f>COUNTIFS(GERAL!B$8:B$1696,A330,GERAL!AW$8:AW$1696,"&gt;0",GERAL!C$8:C$1696,"ESCOLA")</f>
        <v>1</v>
      </c>
      <c r="AH330" s="118">
        <f>COUNTIFS(GERAL!B$8:B$1696,A330,GERAL!AW$8:AW$1696,"&gt;0",GERAL!C$8:C$1696,"ANEXO")</f>
        <v>0</v>
      </c>
      <c r="AI330" s="177">
        <f>SUMIF(GERAL!B$8:B$1696,A330,GERAL!AS$8:AS$1696)+SUMIF(GERAL!B$8:B$1696,A330,GERAL!AT$8:AT$1696)</f>
        <v>0</v>
      </c>
      <c r="AJ330" s="177">
        <f>SUMIF(GERAL!B$8:B$1696,A330,GERAL!AU$8:AU$1696)</f>
        <v>34</v>
      </c>
      <c r="AK330" s="177">
        <f>SUMIF(GERAL!B$8:B$1696,A330,GERAL!AV$8:AV$1696)</f>
        <v>64</v>
      </c>
      <c r="AL330" s="118">
        <f t="shared" si="42"/>
        <v>98</v>
      </c>
      <c r="AM330" s="493" t="s">
        <v>605</v>
      </c>
    </row>
    <row r="331">
      <c r="A331" s="494" t="s">
        <v>364</v>
      </c>
      <c r="B331" s="75">
        <f>COUNTIFS(GERAL!B$8:B$1696,A331,GERAL!C$8:C$1696,"ESCOLA")</f>
        <v>1</v>
      </c>
      <c r="C331" s="75">
        <f>COUNTIFS(GERAL!B$8:B$1696,A331,GERAL!C$8:C$1696,"ANEXO")</f>
        <v>0</v>
      </c>
      <c r="D331" s="85">
        <f>SUMIF(GERAL!B$8:B$1696,A331,GERAL!Z$8:Z$1696)</f>
        <v>0</v>
      </c>
      <c r="E331" s="85">
        <f>SUMIF(GERAL!B$8:B$1696,A331,GERAL!AE$8:AE$1696)</f>
        <v>0</v>
      </c>
      <c r="F331" s="85">
        <f>SUMIF(GERAL!B$8:B$1696,A331,GERAL!AJ$8:AJ$1696)</f>
        <v>316</v>
      </c>
      <c r="G331" s="85">
        <f>SUMIF(GERAL!B$8:B$1696,A331,GERAL!AN$8:AN$1696)</f>
        <v>0</v>
      </c>
      <c r="H331" s="85">
        <f>SUMIF(GERAL!B$8:B$1696,A331,GERAL!AR$8:AW$1696)</f>
        <v>78</v>
      </c>
      <c r="I331" s="85">
        <f>SUMIF(GERAL!B$8:B$1696,A331,GERAL!AW$8:AW$1696)</f>
        <v>95</v>
      </c>
      <c r="J331" s="75">
        <f>SUMIF(GERAL!B$8:B$1696,A331,GERAL!AX$8:AX$1696)</f>
        <v>489</v>
      </c>
      <c r="K331" s="75">
        <f>COUNTIFS(GERAL!B$8:B$1696,A331,GERAL!AY$8:AY$1696,"&gt;0",GERAL!C$8:C$1696,"ESCOLA")</f>
        <v>1</v>
      </c>
      <c r="L331" s="75">
        <f>COUNTIFS(GERAL!B$8:B$1696,A331,GERAL!AY$8:AY$1696,"&gt;0",GERAL!C$8:C$1696,"ANEXO")</f>
        <v>0</v>
      </c>
      <c r="M331" s="100">
        <f>SUMIF(GERAL!B$8:B$1696,A331,GERAL!V$8:V$1696)+SUMIF(GERAL!B$8:B$1696,A331,GERAL!W$8:W$1696)</f>
        <v>0</v>
      </c>
      <c r="N331" s="100">
        <f>SUMIF(GERAL!B$8:B$1696,A331,GERAL!AA$8:AA$1696)+SUMIF(GERAL!B$8:B$1696,A331,GERAL!AB$8:AB$1696)</f>
        <v>0</v>
      </c>
      <c r="O331" s="100">
        <f>SUMIF(GERAL!B$8:B$1696,A331,GERAL!AF$8:AF$1696)+SUMIF(GERAL!B$8:B$1696,A331,GERAL!AG$8:AG$1696)</f>
        <v>0</v>
      </c>
      <c r="P331" s="100">
        <f>SUMIF(GERAL!B$8:B$1696,A331,GERAL!AK$8:AK$1696)+SUMIF(GERAL!B$8:B$1696,A331,GERAL!AL$8:AL$1696)</f>
        <v>0</v>
      </c>
      <c r="Q331" s="100">
        <f>SUMIF(GERAL!B$8:B$1696,A331,GERAL!AO$8:AO$1696)+SUMIF(GERAL!B$8:B$1696,A331,GERAL!AP$8:AP$1696)</f>
        <v>0</v>
      </c>
      <c r="R331" s="100">
        <f>SUMIF(GERAL!B$8:B$1696,A331,GERAL!AS$8:AS$1696)+SUMIF(GERAL!B$8:B$1696,A331,GERAL!AT$8:AT$1696)</f>
        <v>0</v>
      </c>
      <c r="S331" s="75">
        <f t="shared" si="39"/>
        <v>0</v>
      </c>
      <c r="T331" s="116">
        <f>COUNTIFS(GERAL!B$8:B$1696,A331,GERAL!AZ$8:AZ$1696,"&gt;0",GERAL!C$8:C$1696,"ESCOLA")</f>
        <v>1</v>
      </c>
      <c r="U331" s="75">
        <f>COUNTIFS(GERAL!B$8:B$1696,A331,GERAL!AZ$8:AZ$1696,"&gt;0",GERAL!C$8:C$1696,"ANEXO")</f>
        <v>0</v>
      </c>
      <c r="V331" s="85">
        <f>SUMIF(GERAL!B$8:B$1696,A331,GERAL!AH$8:AH$1696)</f>
        <v>0</v>
      </c>
      <c r="W331" s="85">
        <f>SUMIF(GERAL!B$8:B$1696,A331,GERAL!AM$8:AM$1696)</f>
        <v>0</v>
      </c>
      <c r="X331" s="85">
        <f>SUMIF(GERAL!B$8:B$1696,A331,GERAL!AQ$8:AQ$1696)</f>
        <v>78</v>
      </c>
      <c r="Y331" s="85">
        <f>SUMIF(GERAL!B$8:B$1696,A331,GERAL!AU$8:AU$1696)</f>
        <v>33</v>
      </c>
      <c r="Z331" s="88">
        <f t="shared" si="40"/>
        <v>111</v>
      </c>
      <c r="AA331" s="116">
        <f>COUNTIFS(GERAL!B$8:B$1696,A331,GERAL!BK$8:BK$1696,"&gt;0",GERAL!C$8:C$1696,"ESCOLA")</f>
        <v>1</v>
      </c>
      <c r="AB331" s="88">
        <f>COUNTIFS(GERAL!B$8:B$1696,A331,GERAL!BK$8:BK$1696,"&gt;0",GERAL!C$8:C$1696,"ANEXO")</f>
        <v>0</v>
      </c>
      <c r="AC331" s="121">
        <f>SUMIF(GERAL!B$8:B$1696,A331,GERAL!AD$8:AD$1696)</f>
        <v>0</v>
      </c>
      <c r="AD331" s="121">
        <f>SUMIF(GERAL!B$8:B$1696,A331,GERAL!AI$8:AI$1696)</f>
        <v>316</v>
      </c>
      <c r="AE331" s="121">
        <f>SUMIF(GERAL!B$8:B$1696,A331,GERAL!AV$8:AV$1696)</f>
        <v>62</v>
      </c>
      <c r="AF331" s="492">
        <f t="shared" si="41"/>
        <v>378</v>
      </c>
      <c r="AG331" s="178">
        <f>COUNTIFS(GERAL!B$8:B$1696,A331,GERAL!AW$8:AW$1696,"&gt;0",GERAL!C$8:C$1696,"ESCOLA")</f>
        <v>1</v>
      </c>
      <c r="AH331" s="118">
        <f>COUNTIFS(GERAL!B$8:B$1696,A331,GERAL!AW$8:AW$1696,"&gt;0",GERAL!C$8:C$1696,"ANEXO")</f>
        <v>0</v>
      </c>
      <c r="AI331" s="177">
        <f>SUMIF(GERAL!B$8:B$1696,A331,GERAL!AS$8:AS$1696)+SUMIF(GERAL!B$8:B$1696,A331,GERAL!AT$8:AT$1696)</f>
        <v>0</v>
      </c>
      <c r="AJ331" s="177">
        <f>SUMIF(GERAL!B$8:B$1696,A331,GERAL!AU$8:AU$1696)</f>
        <v>33</v>
      </c>
      <c r="AK331" s="177">
        <f>SUMIF(GERAL!B$8:B$1696,A331,GERAL!AV$8:AV$1696)</f>
        <v>62</v>
      </c>
      <c r="AL331" s="118">
        <f t="shared" si="42"/>
        <v>95</v>
      </c>
      <c r="AM331" s="493" t="s">
        <v>130</v>
      </c>
    </row>
    <row r="332">
      <c r="A332" s="484" t="s">
        <v>6351</v>
      </c>
      <c r="B332" s="75">
        <f>COUNTIFS(GERAL!B$8:B$1696,A332,GERAL!C$8:C$1696,"ESCOLA")</f>
        <v>1</v>
      </c>
      <c r="C332" s="75">
        <f>COUNTIFS(GERAL!B$8:B$1696,A332,GERAL!C$8:C$1696,"ANEXO")</f>
        <v>0</v>
      </c>
      <c r="D332" s="85">
        <f>SUMIF(GERAL!B$8:B$1696,A332,GERAL!Z$8:Z$1696)</f>
        <v>0</v>
      </c>
      <c r="E332" s="85">
        <f>SUMIF(GERAL!B$8:B$1696,A332,GERAL!AE$8:AE$1696)</f>
        <v>0</v>
      </c>
      <c r="F332" s="85">
        <f>SUMIF(GERAL!B$8:B$1696,A332,GERAL!AJ$8:AJ$1696)</f>
        <v>295</v>
      </c>
      <c r="G332" s="85">
        <f>SUMIF(GERAL!B$8:B$1696,A332,GERAL!AN$8:AN$1696)</f>
        <v>0</v>
      </c>
      <c r="H332" s="85">
        <f>SUMIF(GERAL!B$8:B$1696,A332,GERAL!AR$8:AW$1696)</f>
        <v>60</v>
      </c>
      <c r="I332" s="85">
        <f>SUMIF(GERAL!B$8:B$1696,A332,GERAL!AW$8:AW$1696)</f>
        <v>63</v>
      </c>
      <c r="J332" s="75">
        <f>SUMIF(GERAL!B$8:B$1696,A332,GERAL!AX$8:AX$1696)</f>
        <v>418</v>
      </c>
      <c r="K332" s="75">
        <f>COUNTIFS(GERAL!B$8:B$1696,A332,GERAL!AY$8:AY$1696,"&gt;0",GERAL!C$8:C$1696,"ESCOLA")</f>
        <v>1</v>
      </c>
      <c r="L332" s="75">
        <f>COUNTIFS(GERAL!B$8:B$1696,A332,GERAL!AY$8:AY$1696,"&gt;0",GERAL!C$8:C$1696,"ANEXO")</f>
        <v>0</v>
      </c>
      <c r="M332" s="100">
        <f>SUMIF(GERAL!B$8:B$1696,A332,GERAL!V$8:V$1696)+SUMIF(GERAL!B$8:B$1696,A332,GERAL!W$8:W$1696)</f>
        <v>0</v>
      </c>
      <c r="N332" s="100">
        <f>SUMIF(GERAL!B$8:B$1696,A332,GERAL!AA$8:AA$1696)+SUMIF(GERAL!B$8:B$1696,A332,GERAL!AB$8:AB$1696)</f>
        <v>0</v>
      </c>
      <c r="O332" s="100">
        <f>SUMIF(GERAL!B$8:B$1696,A332,GERAL!AF$8:AF$1696)+SUMIF(GERAL!B$8:B$1696,A332,GERAL!AG$8:AG$1696)</f>
        <v>58</v>
      </c>
      <c r="P332" s="100">
        <f>SUMIF(GERAL!B$8:B$1696,A332,GERAL!AK$8:AK$1696)+SUMIF(GERAL!B$8:B$1696,A332,GERAL!AL$8:AL$1696)</f>
        <v>0</v>
      </c>
      <c r="Q332" s="100">
        <f>SUMIF(GERAL!B$8:B$1696,A332,GERAL!AO$8:AO$1696)+SUMIF(GERAL!B$8:B$1696,A332,GERAL!AP$8:AP$1696)</f>
        <v>0</v>
      </c>
      <c r="R332" s="100">
        <f>SUMIF(GERAL!B$8:B$1696,A332,GERAL!AS$8:AS$1696)+SUMIF(GERAL!B$8:B$1696,A332,GERAL!AT$8:AT$1696)</f>
        <v>0</v>
      </c>
      <c r="S332" s="75">
        <f t="shared" si="39"/>
        <v>58</v>
      </c>
      <c r="T332" s="116">
        <f>COUNTIFS(GERAL!B$8:B$1696,A332,GERAL!AZ$8:AZ$1696,"&gt;0",GERAL!C$8:C$1696,"ESCOLA")</f>
        <v>1</v>
      </c>
      <c r="U332" s="75">
        <f>COUNTIFS(GERAL!B$8:B$1696,A332,GERAL!AZ$8:AZ$1696,"&gt;0",GERAL!C$8:C$1696,"ANEXO")</f>
        <v>0</v>
      </c>
      <c r="V332" s="85">
        <f>SUMIF(GERAL!B$8:B$1696,A332,GERAL!AH$8:AH$1696)</f>
        <v>0</v>
      </c>
      <c r="W332" s="85">
        <f>SUMIF(GERAL!B$8:B$1696,A332,GERAL!AM$8:AM$1696)</f>
        <v>0</v>
      </c>
      <c r="X332" s="85">
        <f>SUMIF(GERAL!B$8:B$1696,A332,GERAL!AQ$8:AQ$1696)</f>
        <v>60</v>
      </c>
      <c r="Y332" s="85">
        <f>SUMIF(GERAL!B$8:B$1696,A332,GERAL!AU$8:AU$1696)</f>
        <v>0</v>
      </c>
      <c r="Z332" s="88">
        <f t="shared" si="40"/>
        <v>60</v>
      </c>
      <c r="AA332" s="116">
        <f>COUNTIFS(GERAL!B$8:B$1696,A332,GERAL!BK$8:BK$1696,"&gt;0",GERAL!C$8:C$1696,"ESCOLA")</f>
        <v>1</v>
      </c>
      <c r="AB332" s="88">
        <f>COUNTIFS(GERAL!B$8:B$1696,A332,GERAL!BK$8:BK$1696,"&gt;0",GERAL!C$8:C$1696,"ANEXO")</f>
        <v>0</v>
      </c>
      <c r="AC332" s="121">
        <f>SUMIF(GERAL!B$8:B$1696,A332,GERAL!AD$8:AD$1696)</f>
        <v>0</v>
      </c>
      <c r="AD332" s="121">
        <f>SUMIF(GERAL!B$8:B$1696,A332,GERAL!AI$8:AI$1696)</f>
        <v>237</v>
      </c>
      <c r="AE332" s="121">
        <f>SUMIF(GERAL!B$8:B$1696,A332,GERAL!AV$8:AV$1696)</f>
        <v>63</v>
      </c>
      <c r="AF332" s="492">
        <f t="shared" si="41"/>
        <v>300</v>
      </c>
      <c r="AG332" s="178">
        <f>COUNTIFS(GERAL!B$8:B$1696,A332,GERAL!AW$8:AW$1696,"&gt;0",GERAL!C$8:C$1696,"ESCOLA")</f>
        <v>1</v>
      </c>
      <c r="AH332" s="118">
        <f>COUNTIFS(GERAL!B$8:B$1696,A332,GERAL!AW$8:AW$1696,"&gt;0",GERAL!C$8:C$1696,"ANEXO")</f>
        <v>0</v>
      </c>
      <c r="AI332" s="177">
        <f>SUMIF(GERAL!B$8:B$1696,A332,GERAL!AS$8:AS$1696)+SUMIF(GERAL!B$8:B$1696,A332,GERAL!AT$8:AT$1696)</f>
        <v>0</v>
      </c>
      <c r="AJ332" s="177">
        <f>SUMIF(GERAL!B$8:B$1696,A332,GERAL!AU$8:AU$1696)</f>
        <v>0</v>
      </c>
      <c r="AK332" s="177">
        <f>SUMIF(GERAL!B$8:B$1696,A332,GERAL!AV$8:AV$1696)</f>
        <v>63</v>
      </c>
      <c r="AL332" s="118">
        <f t="shared" si="42"/>
        <v>63</v>
      </c>
      <c r="AM332" s="493" t="s">
        <v>1393</v>
      </c>
    </row>
    <row r="333">
      <c r="A333" s="494" t="s">
        <v>1787</v>
      </c>
      <c r="B333" s="75">
        <f>COUNTIFS(GERAL!B$8:B$1696,A333,GERAL!C$8:C$1696,"ESCOLA")</f>
        <v>1</v>
      </c>
      <c r="C333" s="75">
        <f>COUNTIFS(GERAL!B$8:B$1696,A333,GERAL!C$8:C$1696,"ANEXO")</f>
        <v>0</v>
      </c>
      <c r="D333" s="85">
        <f>SUMIF(GERAL!B$8:B$1696,A333,GERAL!Z$8:Z$1696)</f>
        <v>0</v>
      </c>
      <c r="E333" s="85">
        <f>SUMIF(GERAL!B$8:B$1696,A333,GERAL!AE$8:AE$1696)</f>
        <v>0</v>
      </c>
      <c r="F333" s="85">
        <f>SUMIF(GERAL!B$8:B$1696,A333,GERAL!AJ$8:AJ$1696)</f>
        <v>1064</v>
      </c>
      <c r="G333" s="85">
        <f>SUMIF(GERAL!B$8:B$1696,A333,GERAL!AN$8:AN$1696)</f>
        <v>0</v>
      </c>
      <c r="H333" s="85">
        <f>SUMIF(GERAL!B$8:B$1696,A333,GERAL!AR$8:AW$1696)</f>
        <v>104</v>
      </c>
      <c r="I333" s="85">
        <f>SUMIF(GERAL!B$8:B$1696,A333,GERAL!AW$8:AW$1696)</f>
        <v>86</v>
      </c>
      <c r="J333" s="75">
        <f>SUMIF(GERAL!B$8:B$1696,A333,GERAL!AX$8:AX$1696)</f>
        <v>1254</v>
      </c>
      <c r="K333" s="75">
        <f>COUNTIFS(GERAL!B$8:B$1696,A333,GERAL!AY$8:AY$1696,"&gt;0",GERAL!C$8:C$1696,"ESCOLA")</f>
        <v>1</v>
      </c>
      <c r="L333" s="75">
        <f>COUNTIFS(GERAL!B$8:B$1696,A333,GERAL!AY$8:AY$1696,"&gt;0",GERAL!C$8:C$1696,"ANEXO")</f>
        <v>0</v>
      </c>
      <c r="M333" s="100">
        <f>SUMIF(GERAL!B$8:B$1696,A333,GERAL!V$8:V$1696)+SUMIF(GERAL!B$8:B$1696,A333,GERAL!W$8:W$1696)</f>
        <v>0</v>
      </c>
      <c r="N333" s="100">
        <f>SUMIF(GERAL!B$8:B$1696,A333,GERAL!AA$8:AA$1696)+SUMIF(GERAL!B$8:B$1696,A333,GERAL!AB$8:AB$1696)</f>
        <v>0</v>
      </c>
      <c r="O333" s="100">
        <f>SUMIF(GERAL!B$8:B$1696,A333,GERAL!AF$8:AF$1696)+SUMIF(GERAL!B$8:B$1696,A333,GERAL!AG$8:AG$1696)</f>
        <v>886</v>
      </c>
      <c r="P333" s="100">
        <f>SUMIF(GERAL!B$8:B$1696,A333,GERAL!AK$8:AK$1696)+SUMIF(GERAL!B$8:B$1696,A333,GERAL!AL$8:AL$1696)</f>
        <v>0</v>
      </c>
      <c r="Q333" s="100">
        <f>SUMIF(GERAL!B$8:B$1696,A333,GERAL!AO$8:AO$1696)+SUMIF(GERAL!B$8:B$1696,A333,GERAL!AP$8:AP$1696)</f>
        <v>0</v>
      </c>
      <c r="R333" s="100">
        <f>SUMIF(GERAL!B$8:B$1696,A333,GERAL!AS$8:AS$1696)+SUMIF(GERAL!B$8:B$1696,A333,GERAL!AT$8:AT$1696)</f>
        <v>0</v>
      </c>
      <c r="S333" s="75">
        <f t="shared" si="39"/>
        <v>886</v>
      </c>
      <c r="T333" s="116">
        <f>COUNTIFS(GERAL!B$8:B$1696,A333,GERAL!AZ$8:AZ$1696,"&gt;0",GERAL!C$8:C$1696,"ESCOLA")</f>
        <v>1</v>
      </c>
      <c r="U333" s="75">
        <f>COUNTIFS(GERAL!B$8:B$1696,A333,GERAL!AZ$8:AZ$1696,"&gt;0",GERAL!C$8:C$1696,"ANEXO")</f>
        <v>0</v>
      </c>
      <c r="V333" s="85">
        <f>SUMIF(GERAL!B$8:B$1696,A333,GERAL!AH$8:AH$1696)</f>
        <v>0</v>
      </c>
      <c r="W333" s="85">
        <f>SUMIF(GERAL!B$8:B$1696,A333,GERAL!AM$8:AM$1696)</f>
        <v>0</v>
      </c>
      <c r="X333" s="85">
        <f>SUMIF(GERAL!B$8:B$1696,A333,GERAL!AQ$8:AQ$1696)</f>
        <v>104</v>
      </c>
      <c r="Y333" s="85">
        <f>SUMIF(GERAL!B$8:B$1696,A333,GERAL!AU$8:AU$1696)</f>
        <v>19</v>
      </c>
      <c r="Z333" s="88">
        <f t="shared" si="40"/>
        <v>123</v>
      </c>
      <c r="AA333" s="116">
        <f>COUNTIFS(GERAL!B$8:B$1696,A333,GERAL!BK$8:BK$1696,"&gt;0",GERAL!C$8:C$1696,"ESCOLA")</f>
        <v>1</v>
      </c>
      <c r="AB333" s="88">
        <f>COUNTIFS(GERAL!B$8:B$1696,A333,GERAL!BK$8:BK$1696,"&gt;0",GERAL!C$8:C$1696,"ANEXO")</f>
        <v>0</v>
      </c>
      <c r="AC333" s="121">
        <f>SUMIF(GERAL!B$8:B$1696,A333,GERAL!AD$8:AD$1696)</f>
        <v>0</v>
      </c>
      <c r="AD333" s="121">
        <f>SUMIF(GERAL!B$8:B$1696,A333,GERAL!AI$8:AI$1696)</f>
        <v>178</v>
      </c>
      <c r="AE333" s="121">
        <f>SUMIF(GERAL!B$8:B$1696,A333,GERAL!AV$8:AV$1696)</f>
        <v>67</v>
      </c>
      <c r="AF333" s="492">
        <f t="shared" si="41"/>
        <v>245</v>
      </c>
      <c r="AG333" s="178">
        <f>COUNTIFS(GERAL!B$8:B$1696,A333,GERAL!AW$8:AW$1696,"&gt;0",GERAL!C$8:C$1696,"ESCOLA")</f>
        <v>1</v>
      </c>
      <c r="AH333" s="118">
        <f>COUNTIFS(GERAL!B$8:B$1696,A333,GERAL!AW$8:AW$1696,"&gt;0",GERAL!C$8:C$1696,"ANEXO")</f>
        <v>0</v>
      </c>
      <c r="AI333" s="177">
        <f>SUMIF(GERAL!B$8:B$1696,A333,GERAL!AS$8:AS$1696)+SUMIF(GERAL!B$8:B$1696,A333,GERAL!AT$8:AT$1696)</f>
        <v>0</v>
      </c>
      <c r="AJ333" s="177">
        <f>SUMIF(GERAL!B$8:B$1696,A333,GERAL!AU$8:AU$1696)</f>
        <v>19</v>
      </c>
      <c r="AK333" s="177">
        <f>SUMIF(GERAL!B$8:B$1696,A333,GERAL!AV$8:AV$1696)</f>
        <v>67</v>
      </c>
      <c r="AL333" s="118">
        <f t="shared" si="42"/>
        <v>86</v>
      </c>
      <c r="AM333" s="493" t="s">
        <v>540</v>
      </c>
    </row>
    <row r="334">
      <c r="A334" s="484" t="s">
        <v>1227</v>
      </c>
      <c r="B334" s="75">
        <f>COUNTIFS(GERAL!B$8:B$1696,A334,GERAL!C$8:C$1696,"ESCOLA")</f>
        <v>1</v>
      </c>
      <c r="C334" s="75">
        <f>COUNTIFS(GERAL!B$8:B$1696,A334,GERAL!C$8:C$1696,"ANEXO")</f>
        <v>3</v>
      </c>
      <c r="D334" s="85">
        <f>SUMIF(GERAL!B$8:B$1696,A334,GERAL!Z$8:Z$1696)</f>
        <v>0</v>
      </c>
      <c r="E334" s="85">
        <f>SUMIF(GERAL!B$8:B$1696,A334,GERAL!AE$8:AE$1696)</f>
        <v>0</v>
      </c>
      <c r="F334" s="85">
        <f>SUMIF(GERAL!B$8:B$1696,A334,GERAL!AJ$8:AJ$1696)</f>
        <v>521</v>
      </c>
      <c r="G334" s="85">
        <f>SUMIF(GERAL!B$8:B$1696,A334,GERAL!AN$8:AN$1696)</f>
        <v>0</v>
      </c>
      <c r="H334" s="85">
        <f>SUMIF(GERAL!B$8:B$1696,A334,GERAL!AR$8:AW$1696)</f>
        <v>151</v>
      </c>
      <c r="I334" s="85">
        <f>SUMIF(GERAL!B$8:B$1696,A334,GERAL!AW$8:AW$1696)</f>
        <v>449</v>
      </c>
      <c r="J334" s="75">
        <f>SUMIF(GERAL!B$8:B$1696,A334,GERAL!AX$8:AX$1696)</f>
        <v>1121</v>
      </c>
      <c r="K334" s="75">
        <f>COUNTIFS(GERAL!B$8:B$1696,A334,GERAL!AY$8:AY$1696,"&gt;0",GERAL!C$8:C$1696,"ESCOLA")</f>
        <v>1</v>
      </c>
      <c r="L334" s="75">
        <f>COUNTIFS(GERAL!B$8:B$1696,A334,GERAL!AY$8:AY$1696,"&gt;0",GERAL!C$8:C$1696,"ANEXO")</f>
        <v>3</v>
      </c>
      <c r="M334" s="100">
        <f>SUMIF(GERAL!B$8:B$1696,A334,GERAL!V$8:V$1696)+SUMIF(GERAL!B$8:B$1696,A334,GERAL!W$8:W$1696)</f>
        <v>0</v>
      </c>
      <c r="N334" s="100">
        <f>SUMIF(GERAL!B$8:B$1696,A334,GERAL!AA$8:AA$1696)+SUMIF(GERAL!B$8:B$1696,A334,GERAL!AB$8:AB$1696)</f>
        <v>0</v>
      </c>
      <c r="O334" s="100">
        <f>SUMIF(GERAL!B$8:B$1696,A334,GERAL!AF$8:AF$1696)+SUMIF(GERAL!B$8:B$1696,A334,GERAL!AG$8:AG$1696)</f>
        <v>272</v>
      </c>
      <c r="P334" s="100">
        <f>SUMIF(GERAL!B$8:B$1696,A334,GERAL!AK$8:AK$1696)+SUMIF(GERAL!B$8:B$1696,A334,GERAL!AL$8:AL$1696)</f>
        <v>0</v>
      </c>
      <c r="Q334" s="100">
        <f>SUMIF(GERAL!B$8:B$1696,A334,GERAL!AO$8:AO$1696)+SUMIF(GERAL!B$8:B$1696,A334,GERAL!AP$8:AP$1696)</f>
        <v>0</v>
      </c>
      <c r="R334" s="100">
        <f>SUMIF(GERAL!B$8:B$1696,A334,GERAL!AS$8:AS$1696)+SUMIF(GERAL!B$8:B$1696,A334,GERAL!AT$8:AT$1696)</f>
        <v>211</v>
      </c>
      <c r="S334" s="75">
        <f t="shared" si="39"/>
        <v>483</v>
      </c>
      <c r="T334" s="116">
        <f>COUNTIFS(GERAL!B$8:B$1696,A334,GERAL!AZ$8:AZ$1696,"&gt;0",GERAL!C$8:C$1696,"ESCOLA")</f>
        <v>1</v>
      </c>
      <c r="U334" s="75">
        <f>COUNTIFS(GERAL!B$8:B$1696,A334,GERAL!AZ$8:AZ$1696,"&gt;0",GERAL!C$8:C$1696,"ANEXO")</f>
        <v>2</v>
      </c>
      <c r="V334" s="85">
        <f>SUMIF(GERAL!B$8:B$1696,A334,GERAL!AH$8:AH$1696)</f>
        <v>0</v>
      </c>
      <c r="W334" s="85">
        <f>SUMIF(GERAL!B$8:B$1696,A334,GERAL!AM$8:AM$1696)</f>
        <v>0</v>
      </c>
      <c r="X334" s="85">
        <f>SUMIF(GERAL!B$8:B$1696,A334,GERAL!AQ$8:AQ$1696)</f>
        <v>151</v>
      </c>
      <c r="Y334" s="85">
        <f>SUMIF(GERAL!B$8:B$1696,A334,GERAL!AU$8:AU$1696)</f>
        <v>138</v>
      </c>
      <c r="Z334" s="88">
        <f t="shared" si="40"/>
        <v>289</v>
      </c>
      <c r="AA334" s="116">
        <f>COUNTIFS(GERAL!B$8:B$1696,A334,GERAL!BK$8:BK$1696,"&gt;0",GERAL!C$8:C$1696,"ESCOLA")</f>
        <v>1</v>
      </c>
      <c r="AB334" s="88">
        <f>COUNTIFS(GERAL!B$8:B$1696,A334,GERAL!BK$8:BK$1696,"&gt;0",GERAL!C$8:C$1696,"ANEXO")</f>
        <v>0</v>
      </c>
      <c r="AC334" s="121">
        <f>SUMIF(GERAL!B$8:B$1696,A334,GERAL!AD$8:AD$1696)</f>
        <v>0</v>
      </c>
      <c r="AD334" s="121">
        <f>SUMIF(GERAL!B$8:B$1696,A334,GERAL!AI$8:AI$1696)</f>
        <v>249</v>
      </c>
      <c r="AE334" s="121">
        <f>SUMIF(GERAL!B$8:B$1696,A334,GERAL!AV$8:AV$1696)</f>
        <v>100</v>
      </c>
      <c r="AF334" s="492">
        <f t="shared" si="41"/>
        <v>349</v>
      </c>
      <c r="AG334" s="178">
        <f>COUNTIFS(GERAL!B$8:B$1696,A334,GERAL!AW$8:AW$1696,"&gt;0",GERAL!C$8:C$1696,"ESCOLA")</f>
        <v>1</v>
      </c>
      <c r="AH334" s="118">
        <f>COUNTIFS(GERAL!B$8:B$1696,A334,GERAL!AW$8:AW$1696,"&gt;0",GERAL!C$8:C$1696,"ANEXO")</f>
        <v>0</v>
      </c>
      <c r="AI334" s="177">
        <f>SUMIF(GERAL!B$8:B$1696,A334,GERAL!AS$8:AS$1696)+SUMIF(GERAL!B$8:B$1696,A334,GERAL!AT$8:AT$1696)</f>
        <v>211</v>
      </c>
      <c r="AJ334" s="177">
        <f>SUMIF(GERAL!B$8:B$1696,A334,GERAL!AU$8:AU$1696)</f>
        <v>138</v>
      </c>
      <c r="AK334" s="177">
        <f>SUMIF(GERAL!B$8:B$1696,A334,GERAL!AV$8:AV$1696)</f>
        <v>100</v>
      </c>
      <c r="AL334" s="118">
        <f t="shared" si="42"/>
        <v>449</v>
      </c>
      <c r="AM334" s="493" t="s">
        <v>383</v>
      </c>
    </row>
    <row r="335">
      <c r="A335" s="494" t="s">
        <v>1236</v>
      </c>
      <c r="B335" s="75">
        <f>COUNTIFS(GERAL!B$8:B$1696,A335,GERAL!C$8:C$1696,"ESCOLA")</f>
        <v>2</v>
      </c>
      <c r="C335" s="75">
        <f>COUNTIFS(GERAL!B$8:B$1696,A335,GERAL!C$8:C$1696,"ANEXO")</f>
        <v>2</v>
      </c>
      <c r="D335" s="85">
        <f>SUMIF(GERAL!B$8:B$1696,A335,GERAL!Z$8:Z$1696)</f>
        <v>0</v>
      </c>
      <c r="E335" s="85">
        <f>SUMIF(GERAL!B$8:B$1696,A335,GERAL!AE$8:AE$1696)</f>
        <v>0</v>
      </c>
      <c r="F335" s="85">
        <f>SUMIF(GERAL!B$8:B$1696,A335,GERAL!AJ$8:AJ$1696)</f>
        <v>747</v>
      </c>
      <c r="G335" s="85">
        <f>SUMIF(GERAL!B$8:B$1696,A335,GERAL!AN$8:AN$1696)</f>
        <v>0</v>
      </c>
      <c r="H335" s="85">
        <f>SUMIF(GERAL!B$8:B$1696,A335,GERAL!AR$8:AW$1696)</f>
        <v>124</v>
      </c>
      <c r="I335" s="85">
        <f>SUMIF(GERAL!B$8:B$1696,A335,GERAL!AW$8:AW$1696)</f>
        <v>54</v>
      </c>
      <c r="J335" s="75">
        <f>SUMIF(GERAL!B$8:B$1696,A335,GERAL!AX$8:AX$1696)</f>
        <v>925</v>
      </c>
      <c r="K335" s="75">
        <f>COUNTIFS(GERAL!B$8:B$1696,A335,GERAL!AY$8:AY$1696,"&gt;0",GERAL!C$8:C$1696,"ESCOLA")</f>
        <v>2</v>
      </c>
      <c r="L335" s="75">
        <f>COUNTIFS(GERAL!B$8:B$1696,A335,GERAL!AY$8:AY$1696,"&gt;0",GERAL!C$8:C$1696,"ANEXO")</f>
        <v>1</v>
      </c>
      <c r="M335" s="100">
        <f>SUMIF(GERAL!B$8:B$1696,A335,GERAL!V$8:V$1696)+SUMIF(GERAL!B$8:B$1696,A335,GERAL!W$8:W$1696)</f>
        <v>0</v>
      </c>
      <c r="N335" s="100">
        <f>SUMIF(GERAL!B$8:B$1696,A335,GERAL!AA$8:AA$1696)+SUMIF(GERAL!B$8:B$1696,A335,GERAL!AB$8:AB$1696)</f>
        <v>0</v>
      </c>
      <c r="O335" s="100">
        <f>SUMIF(GERAL!B$8:B$1696,A335,GERAL!AF$8:AF$1696)+SUMIF(GERAL!B$8:B$1696,A335,GERAL!AG$8:AG$1696)</f>
        <v>293</v>
      </c>
      <c r="P335" s="100">
        <f>SUMIF(GERAL!B$8:B$1696,A335,GERAL!AK$8:AK$1696)+SUMIF(GERAL!B$8:B$1696,A335,GERAL!AL$8:AL$1696)</f>
        <v>0</v>
      </c>
      <c r="Q335" s="100">
        <f>SUMIF(GERAL!B$8:B$1696,A335,GERAL!AO$8:AO$1696)+SUMIF(GERAL!B$8:B$1696,A335,GERAL!AP$8:AP$1696)</f>
        <v>0</v>
      </c>
      <c r="R335" s="100">
        <f>SUMIF(GERAL!B$8:B$1696,A335,GERAL!AS$8:AS$1696)+SUMIF(GERAL!B$8:B$1696,A335,GERAL!AT$8:AT$1696)</f>
        <v>0</v>
      </c>
      <c r="S335" s="75">
        <f t="shared" si="39"/>
        <v>293</v>
      </c>
      <c r="T335" s="116">
        <f>COUNTIFS(GERAL!B$8:B$1696,A335,GERAL!AZ$8:AZ$1696,"&gt;0",GERAL!C$8:C$1696,"ESCOLA")</f>
        <v>2</v>
      </c>
      <c r="U335" s="75">
        <f>COUNTIFS(GERAL!B$8:B$1696,A335,GERAL!AZ$8:AZ$1696,"&gt;0",GERAL!C$8:C$1696,"ANEXO")</f>
        <v>2</v>
      </c>
      <c r="V335" s="85">
        <f>SUMIF(GERAL!B$8:B$1696,A335,GERAL!AH$8:AH$1696)</f>
        <v>41</v>
      </c>
      <c r="W335" s="85">
        <f>SUMIF(GERAL!B$8:B$1696,A335,GERAL!AM$8:AM$1696)</f>
        <v>0</v>
      </c>
      <c r="X335" s="85">
        <f>SUMIF(GERAL!B$8:B$1696,A335,GERAL!AQ$8:AQ$1696)</f>
        <v>124</v>
      </c>
      <c r="Y335" s="85">
        <f>SUMIF(GERAL!B$8:B$1696,A335,GERAL!AU$8:AU$1696)</f>
        <v>0</v>
      </c>
      <c r="Z335" s="88">
        <f t="shared" si="40"/>
        <v>165</v>
      </c>
      <c r="AA335" s="116">
        <f>COUNTIFS(GERAL!B$8:B$1696,A335,GERAL!BK$8:BK$1696,"&gt;0",GERAL!C$8:C$1696,"ESCOLA")</f>
        <v>2</v>
      </c>
      <c r="AB335" s="88">
        <f>COUNTIFS(GERAL!B$8:B$1696,A335,GERAL!BK$8:BK$1696,"&gt;0",GERAL!C$8:C$1696,"ANEXO")</f>
        <v>0</v>
      </c>
      <c r="AC335" s="121">
        <f>SUMIF(GERAL!B$8:B$1696,A335,GERAL!AD$8:AD$1696)</f>
        <v>0</v>
      </c>
      <c r="AD335" s="121">
        <f>SUMIF(GERAL!B$8:B$1696,A335,GERAL!AI$8:AI$1696)</f>
        <v>413</v>
      </c>
      <c r="AE335" s="121">
        <f>SUMIF(GERAL!B$8:B$1696,A335,GERAL!AV$8:AV$1696)</f>
        <v>54</v>
      </c>
      <c r="AF335" s="492">
        <f t="shared" si="41"/>
        <v>467</v>
      </c>
      <c r="AG335" s="178">
        <f>COUNTIFS(GERAL!B$8:B$1696,A335,GERAL!AW$8:AW$1696,"&gt;0",GERAL!C$8:C$1696,"ESCOLA")</f>
        <v>1</v>
      </c>
      <c r="AH335" s="118">
        <f>COUNTIFS(GERAL!B$8:B$1696,A335,GERAL!AW$8:AW$1696,"&gt;0",GERAL!C$8:C$1696,"ANEXO")</f>
        <v>0</v>
      </c>
      <c r="AI335" s="177">
        <f>SUMIF(GERAL!B$8:B$1696,A335,GERAL!AS$8:AS$1696)+SUMIF(GERAL!B$8:B$1696,A335,GERAL!AT$8:AT$1696)</f>
        <v>0</v>
      </c>
      <c r="AJ335" s="177">
        <f>SUMIF(GERAL!B$8:B$1696,A335,GERAL!AU$8:AU$1696)</f>
        <v>0</v>
      </c>
      <c r="AK335" s="177">
        <f>SUMIF(GERAL!B$8:B$1696,A335,GERAL!AV$8:AV$1696)</f>
        <v>54</v>
      </c>
      <c r="AL335" s="118">
        <f t="shared" si="42"/>
        <v>54</v>
      </c>
      <c r="AM335" s="493" t="s">
        <v>383</v>
      </c>
    </row>
    <row r="336">
      <c r="A336" s="484" t="s">
        <v>4652</v>
      </c>
      <c r="B336" s="75">
        <f>COUNTIFS(GERAL!B$8:B$1696,A336,GERAL!C$8:C$1696,"ESCOLA")</f>
        <v>1</v>
      </c>
      <c r="C336" s="75">
        <f>COUNTIFS(GERAL!B$8:B$1696,A336,GERAL!C$8:C$1696,"ANEXO")</f>
        <v>0</v>
      </c>
      <c r="D336" s="85">
        <f>SUMIF(GERAL!B$8:B$1696,A336,GERAL!Z$8:Z$1696)</f>
        <v>0</v>
      </c>
      <c r="E336" s="85">
        <f>SUMIF(GERAL!B$8:B$1696,A336,GERAL!AE$8:AE$1696)</f>
        <v>51</v>
      </c>
      <c r="F336" s="85">
        <f>SUMIF(GERAL!B$8:B$1696,A336,GERAL!AJ$8:AJ$1696)</f>
        <v>376</v>
      </c>
      <c r="G336" s="85">
        <f>SUMIF(GERAL!B$8:B$1696,A336,GERAL!AN$8:AN$1696)</f>
        <v>0</v>
      </c>
      <c r="H336" s="85">
        <f>SUMIF(GERAL!B$8:B$1696,A336,GERAL!AR$8:AW$1696)</f>
        <v>84</v>
      </c>
      <c r="I336" s="85">
        <f>SUMIF(GERAL!B$8:B$1696,A336,GERAL!AW$8:AW$1696)</f>
        <v>75</v>
      </c>
      <c r="J336" s="75">
        <f>SUMIF(GERAL!B$8:B$1696,A336,GERAL!AX$8:AX$1696)</f>
        <v>586</v>
      </c>
      <c r="K336" s="75">
        <f>COUNTIFS(GERAL!B$8:B$1696,A336,GERAL!AY$8:AY$1696,"&gt;0",GERAL!C$8:C$1696,"ESCOLA")</f>
        <v>1</v>
      </c>
      <c r="L336" s="75">
        <f>COUNTIFS(GERAL!B$8:B$1696,A336,GERAL!AY$8:AY$1696,"&gt;0",GERAL!C$8:C$1696,"ANEXO")</f>
        <v>0</v>
      </c>
      <c r="M336" s="100">
        <f>SUMIF(GERAL!B$8:B$1696,A336,GERAL!V$8:V$1696)+SUMIF(GERAL!B$8:B$1696,A336,GERAL!W$8:W$1696)</f>
        <v>0</v>
      </c>
      <c r="N336" s="100">
        <f>SUMIF(GERAL!B$8:B$1696,A336,GERAL!AA$8:AA$1696)+SUMIF(GERAL!B$8:B$1696,A336,GERAL!AB$8:AB$1696)</f>
        <v>0</v>
      </c>
      <c r="O336" s="100">
        <f>SUMIF(GERAL!B$8:B$1696,A336,GERAL!AF$8:AF$1696)+SUMIF(GERAL!B$8:B$1696,A336,GERAL!AG$8:AG$1696)</f>
        <v>135</v>
      </c>
      <c r="P336" s="100">
        <f>SUMIF(GERAL!B$8:B$1696,A336,GERAL!AK$8:AK$1696)+SUMIF(GERAL!B$8:B$1696,A336,GERAL!AL$8:AL$1696)</f>
        <v>0</v>
      </c>
      <c r="Q336" s="100">
        <f>SUMIF(GERAL!B$8:B$1696,A336,GERAL!AO$8:AO$1696)+SUMIF(GERAL!B$8:B$1696,A336,GERAL!AP$8:AP$1696)</f>
        <v>0</v>
      </c>
      <c r="R336" s="100">
        <f>SUMIF(GERAL!B$8:B$1696,A336,GERAL!AS$8:AS$1696)+SUMIF(GERAL!B$8:B$1696,A336,GERAL!AT$8:AT$1696)</f>
        <v>0</v>
      </c>
      <c r="S336" s="75">
        <f t="shared" si="39"/>
        <v>135</v>
      </c>
      <c r="T336" s="116">
        <f>COUNTIFS(GERAL!B$8:B$1696,A336,GERAL!AZ$8:AZ$1696,"&gt;0",GERAL!C$8:C$1696,"ESCOLA")</f>
        <v>1</v>
      </c>
      <c r="U336" s="75">
        <f>COUNTIFS(GERAL!B$8:B$1696,A336,GERAL!AZ$8:AZ$1696,"&gt;0",GERAL!C$8:C$1696,"ANEXO")</f>
        <v>0</v>
      </c>
      <c r="V336" s="85">
        <f>SUMIF(GERAL!B$8:B$1696,A336,GERAL!AH$8:AH$1696)</f>
        <v>0</v>
      </c>
      <c r="W336" s="85">
        <f>SUMIF(GERAL!B$8:B$1696,A336,GERAL!AM$8:AM$1696)</f>
        <v>0</v>
      </c>
      <c r="X336" s="85">
        <f>SUMIF(GERAL!B$8:B$1696,A336,GERAL!AQ$8:AQ$1696)</f>
        <v>84</v>
      </c>
      <c r="Y336" s="85">
        <f>SUMIF(GERAL!B$8:B$1696,A336,GERAL!AU$8:AU$1696)</f>
        <v>0</v>
      </c>
      <c r="Z336" s="88">
        <f t="shared" si="40"/>
        <v>84</v>
      </c>
      <c r="AA336" s="116">
        <f>COUNTIFS(GERAL!B$8:B$1696,A336,GERAL!BK$8:BK$1696,"&gt;0",GERAL!C$8:C$1696,"ESCOLA")</f>
        <v>1</v>
      </c>
      <c r="AB336" s="88">
        <f>COUNTIFS(GERAL!B$8:B$1696,A336,GERAL!BK$8:BK$1696,"&gt;0",GERAL!C$8:C$1696,"ANEXO")</f>
        <v>0</v>
      </c>
      <c r="AC336" s="121">
        <f>SUMIF(GERAL!B$8:B$1696,A336,GERAL!AD$8:AD$1696)</f>
        <v>51</v>
      </c>
      <c r="AD336" s="121">
        <f>SUMIF(GERAL!B$8:B$1696,A336,GERAL!AI$8:AI$1696)</f>
        <v>241</v>
      </c>
      <c r="AE336" s="121">
        <f>SUMIF(GERAL!B$8:B$1696,A336,GERAL!AV$8:AV$1696)</f>
        <v>75</v>
      </c>
      <c r="AF336" s="492">
        <f t="shared" si="41"/>
        <v>367</v>
      </c>
      <c r="AG336" s="178">
        <f>COUNTIFS(GERAL!B$8:B$1696,A336,GERAL!AW$8:AW$1696,"&gt;0",GERAL!C$8:C$1696,"ESCOLA")</f>
        <v>1</v>
      </c>
      <c r="AH336" s="118">
        <f>COUNTIFS(GERAL!B$8:B$1696,A336,GERAL!AW$8:AW$1696,"&gt;0",GERAL!C$8:C$1696,"ANEXO")</f>
        <v>0</v>
      </c>
      <c r="AI336" s="177">
        <f>SUMIF(GERAL!B$8:B$1696,A336,GERAL!AS$8:AS$1696)+SUMIF(GERAL!B$8:B$1696,A336,GERAL!AT$8:AT$1696)</f>
        <v>0</v>
      </c>
      <c r="AJ336" s="177">
        <f>SUMIF(GERAL!B$8:B$1696,A336,GERAL!AU$8:AU$1696)</f>
        <v>0</v>
      </c>
      <c r="AK336" s="177">
        <f>SUMIF(GERAL!B$8:B$1696,A336,GERAL!AV$8:AV$1696)</f>
        <v>75</v>
      </c>
      <c r="AL336" s="118">
        <f t="shared" si="42"/>
        <v>75</v>
      </c>
      <c r="AM336" s="493" t="s">
        <v>1090</v>
      </c>
    </row>
    <row r="337">
      <c r="A337" s="494" t="s">
        <v>4464</v>
      </c>
      <c r="B337" s="75">
        <f>COUNTIFS(GERAL!B$8:B$1696,A337,GERAL!C$8:C$1696,"ESCOLA")</f>
        <v>2</v>
      </c>
      <c r="C337" s="75">
        <f>COUNTIFS(GERAL!B$8:B$1696,A337,GERAL!C$8:C$1696,"ANEXO")</f>
        <v>0</v>
      </c>
      <c r="D337" s="85">
        <f>SUMIF(GERAL!B$8:B$1696,A337,GERAL!Z$8:Z$1696)</f>
        <v>0</v>
      </c>
      <c r="E337" s="85">
        <f>SUMIF(GERAL!B$8:B$1696,A337,GERAL!AE$8:AE$1696)</f>
        <v>0</v>
      </c>
      <c r="F337" s="85">
        <f>SUMIF(GERAL!B$8:B$1696,A337,GERAL!AJ$8:AJ$1696)</f>
        <v>724</v>
      </c>
      <c r="G337" s="85">
        <f>SUMIF(GERAL!B$8:B$1696,A337,GERAL!AN$8:AN$1696)</f>
        <v>0</v>
      </c>
      <c r="H337" s="85">
        <f>SUMIF(GERAL!B$8:B$1696,A337,GERAL!AR$8:AW$1696)</f>
        <v>60</v>
      </c>
      <c r="I337" s="85">
        <f>SUMIF(GERAL!B$8:B$1696,A337,GERAL!AW$8:AW$1696)</f>
        <v>21</v>
      </c>
      <c r="J337" s="75">
        <f>SUMIF(GERAL!B$8:B$1696,A337,GERAL!AX$8:AX$1696)</f>
        <v>805</v>
      </c>
      <c r="K337" s="75">
        <f>COUNTIFS(GERAL!B$8:B$1696,A337,GERAL!AY$8:AY$1696,"&gt;0",GERAL!C$8:C$1696,"ESCOLA")</f>
        <v>2</v>
      </c>
      <c r="L337" s="75">
        <f>COUNTIFS(GERAL!B$8:B$1696,A337,GERAL!AY$8:AY$1696,"&gt;0",GERAL!C$8:C$1696,"ANEXO")</f>
        <v>0</v>
      </c>
      <c r="M337" s="100">
        <f>SUMIF(GERAL!B$8:B$1696,A337,GERAL!V$8:V$1696)+SUMIF(GERAL!B$8:B$1696,A337,GERAL!W$8:W$1696)</f>
        <v>0</v>
      </c>
      <c r="N337" s="100">
        <f>SUMIF(GERAL!B$8:B$1696,A337,GERAL!AA$8:AA$1696)+SUMIF(GERAL!B$8:B$1696,A337,GERAL!AB$8:AB$1696)</f>
        <v>0</v>
      </c>
      <c r="O337" s="100">
        <f>SUMIF(GERAL!B$8:B$1696,A337,GERAL!AF$8:AF$1696)+SUMIF(GERAL!B$8:B$1696,A337,GERAL!AG$8:AG$1696)</f>
        <v>724</v>
      </c>
      <c r="P337" s="100">
        <f>SUMIF(GERAL!B$8:B$1696,A337,GERAL!AK$8:AK$1696)+SUMIF(GERAL!B$8:B$1696,A337,GERAL!AL$8:AL$1696)</f>
        <v>0</v>
      </c>
      <c r="Q337" s="100">
        <f>SUMIF(GERAL!B$8:B$1696,A337,GERAL!AO$8:AO$1696)+SUMIF(GERAL!B$8:B$1696,A337,GERAL!AP$8:AP$1696)</f>
        <v>0</v>
      </c>
      <c r="R337" s="100">
        <f>SUMIF(GERAL!B$8:B$1696,A337,GERAL!AS$8:AS$1696)+SUMIF(GERAL!B$8:B$1696,A337,GERAL!AT$8:AT$1696)</f>
        <v>21</v>
      </c>
      <c r="S337" s="75">
        <f t="shared" si="39"/>
        <v>745</v>
      </c>
      <c r="T337" s="116">
        <f>COUNTIFS(GERAL!B$8:B$1696,A337,GERAL!AZ$8:AZ$1696,"&gt;0",GERAL!C$8:C$1696,"ESCOLA")</f>
        <v>2</v>
      </c>
      <c r="U337" s="75">
        <f>COUNTIFS(GERAL!B$8:B$1696,A337,GERAL!AZ$8:AZ$1696,"&gt;0",GERAL!C$8:C$1696,"ANEXO")</f>
        <v>0</v>
      </c>
      <c r="V337" s="85">
        <f>SUMIF(GERAL!B$8:B$1696,A337,GERAL!AH$8:AH$1696)</f>
        <v>0</v>
      </c>
      <c r="W337" s="85">
        <f>SUMIF(GERAL!B$8:B$1696,A337,GERAL!AM$8:AM$1696)</f>
        <v>0</v>
      </c>
      <c r="X337" s="85">
        <f>SUMIF(GERAL!B$8:B$1696,A337,GERAL!AQ$8:AQ$1696)</f>
        <v>60</v>
      </c>
      <c r="Y337" s="85">
        <f>SUMIF(GERAL!B$8:B$1696,A337,GERAL!AU$8:AU$1696)</f>
        <v>0</v>
      </c>
      <c r="Z337" s="88">
        <f t="shared" si="40"/>
        <v>60</v>
      </c>
      <c r="AA337" s="116">
        <f>COUNTIFS(GERAL!B$8:B$1696,A337,GERAL!BK$8:BK$1696,"&gt;0",GERAL!C$8:C$1696,"ESCOLA")</f>
        <v>0</v>
      </c>
      <c r="AB337" s="88">
        <f>COUNTIFS(GERAL!B$8:B$1696,A337,GERAL!BK$8:BK$1696,"&gt;0",GERAL!C$8:C$1696,"ANEXO")</f>
        <v>0</v>
      </c>
      <c r="AC337" s="121">
        <f>SUMIF(GERAL!B$8:B$1696,A337,GERAL!AD$8:AD$1696)</f>
        <v>0</v>
      </c>
      <c r="AD337" s="121">
        <f>SUMIF(GERAL!B$8:B$1696,A337,GERAL!AI$8:AI$1696)</f>
        <v>0</v>
      </c>
      <c r="AE337" s="121">
        <f>SUMIF(GERAL!B$8:B$1696,A337,GERAL!AV$8:AV$1696)</f>
        <v>0</v>
      </c>
      <c r="AF337" s="492">
        <f t="shared" si="41"/>
        <v>0</v>
      </c>
      <c r="AG337" s="178">
        <f>COUNTIFS(GERAL!B$8:B$1696,A337,GERAL!AW$8:AW$1696,"&gt;0",GERAL!C$8:C$1696,"ESCOLA")</f>
        <v>1</v>
      </c>
      <c r="AH337" s="118">
        <f>COUNTIFS(GERAL!B$8:B$1696,A337,GERAL!AW$8:AW$1696,"&gt;0",GERAL!C$8:C$1696,"ANEXO")</f>
        <v>0</v>
      </c>
      <c r="AI337" s="177">
        <f>SUMIF(GERAL!B$8:B$1696,A337,GERAL!AS$8:AS$1696)+SUMIF(GERAL!B$8:B$1696,A337,GERAL!AT$8:AT$1696)</f>
        <v>21</v>
      </c>
      <c r="AJ337" s="177">
        <f>SUMIF(GERAL!B$8:B$1696,A337,GERAL!AU$8:AU$1696)</f>
        <v>0</v>
      </c>
      <c r="AK337" s="177">
        <f>SUMIF(GERAL!B$8:B$1696,A337,GERAL!AV$8:AV$1696)</f>
        <v>0</v>
      </c>
      <c r="AL337" s="118">
        <f t="shared" si="42"/>
        <v>21</v>
      </c>
      <c r="AM337" s="493" t="s">
        <v>1027</v>
      </c>
    </row>
    <row r="338">
      <c r="A338" s="484" t="s">
        <v>2159</v>
      </c>
      <c r="B338" s="75">
        <f>COUNTIFS(GERAL!B$8:B$1696,A338,GERAL!C$8:C$1696,"ESCOLA")</f>
        <v>2</v>
      </c>
      <c r="C338" s="75">
        <f>COUNTIFS(GERAL!B$8:B$1696,A338,GERAL!C$8:C$1696,"ANEXO")</f>
        <v>7</v>
      </c>
      <c r="D338" s="85">
        <f>SUMIF(GERAL!B$8:B$1696,A338,GERAL!Z$8:Z$1696)</f>
        <v>0</v>
      </c>
      <c r="E338" s="85">
        <f>SUMIF(GERAL!B$8:B$1696,A338,GERAL!AE$8:AE$1696)</f>
        <v>0</v>
      </c>
      <c r="F338" s="85">
        <f>SUMIF(GERAL!B$8:B$1696,A338,GERAL!AJ$8:AJ$1696)</f>
        <v>1184</v>
      </c>
      <c r="G338" s="85">
        <f>SUMIF(GERAL!B$8:B$1696,A338,GERAL!AN$8:AN$1696)</f>
        <v>0</v>
      </c>
      <c r="H338" s="85">
        <f>SUMIF(GERAL!B$8:B$1696,A338,GERAL!AR$8:AW$1696)</f>
        <v>359</v>
      </c>
      <c r="I338" s="85">
        <f>SUMIF(GERAL!B$8:B$1696,A338,GERAL!AW$8:AW$1696)</f>
        <v>259</v>
      </c>
      <c r="J338" s="75">
        <f>SUMIF(GERAL!B$8:B$1696,A338,GERAL!AX$8:AX$1696)</f>
        <v>1802</v>
      </c>
      <c r="K338" s="75">
        <f>COUNTIFS(GERAL!B$8:B$1696,A338,GERAL!AY$8:AY$1696,"&gt;0",GERAL!C$8:C$1696,"ESCOLA")</f>
        <v>2</v>
      </c>
      <c r="L338" s="75">
        <f>COUNTIFS(GERAL!B$8:B$1696,A338,GERAL!AY$8:AY$1696,"&gt;0",GERAL!C$8:C$1696,"ANEXO")</f>
        <v>7</v>
      </c>
      <c r="M338" s="100">
        <f>SUMIF(GERAL!B$8:B$1696,A338,GERAL!V$8:V$1696)+SUMIF(GERAL!B$8:B$1696,A338,GERAL!W$8:W$1696)</f>
        <v>0</v>
      </c>
      <c r="N338" s="100">
        <f>SUMIF(GERAL!B$8:B$1696,A338,GERAL!AA$8:AA$1696)+SUMIF(GERAL!B$8:B$1696,A338,GERAL!AB$8:AB$1696)</f>
        <v>0</v>
      </c>
      <c r="O338" s="100">
        <f>SUMIF(GERAL!B$8:B$1696,A338,GERAL!AF$8:AF$1696)+SUMIF(GERAL!B$8:B$1696,A338,GERAL!AG$8:AG$1696)</f>
        <v>690</v>
      </c>
      <c r="P338" s="100">
        <f>SUMIF(GERAL!B$8:B$1696,A338,GERAL!AK$8:AK$1696)+SUMIF(GERAL!B$8:B$1696,A338,GERAL!AL$8:AL$1696)</f>
        <v>0</v>
      </c>
      <c r="Q338" s="100">
        <f>SUMIF(GERAL!B$8:B$1696,A338,GERAL!AO$8:AO$1696)+SUMIF(GERAL!B$8:B$1696,A338,GERAL!AP$8:AP$1696)</f>
        <v>0</v>
      </c>
      <c r="R338" s="100">
        <f>SUMIF(GERAL!B$8:B$1696,A338,GERAL!AS$8:AS$1696)+SUMIF(GERAL!B$8:B$1696,A338,GERAL!AT$8:AT$1696)</f>
        <v>169</v>
      </c>
      <c r="S338" s="75">
        <f t="shared" si="39"/>
        <v>859</v>
      </c>
      <c r="T338" s="116">
        <f>COUNTIFS(GERAL!B$8:B$1696,A338,GERAL!AZ$8:AZ$1696,"&gt;0",GERAL!C$8:C$1696,"ESCOLA")</f>
        <v>2</v>
      </c>
      <c r="U338" s="75">
        <f>COUNTIFS(GERAL!B$8:B$1696,A338,GERAL!AZ$8:AZ$1696,"&gt;0",GERAL!C$8:C$1696,"ANEXO")</f>
        <v>1</v>
      </c>
      <c r="V338" s="85">
        <f>SUMIF(GERAL!B$8:B$1696,A338,GERAL!AH$8:AH$1696)</f>
        <v>63</v>
      </c>
      <c r="W338" s="85">
        <f>SUMIF(GERAL!B$8:B$1696,A338,GERAL!AM$8:AM$1696)</f>
        <v>0</v>
      </c>
      <c r="X338" s="85">
        <f>SUMIF(GERAL!B$8:B$1696,A338,GERAL!AQ$8:AQ$1696)</f>
        <v>359</v>
      </c>
      <c r="Y338" s="85">
        <f>SUMIF(GERAL!B$8:B$1696,A338,GERAL!AU$8:AU$1696)</f>
        <v>90</v>
      </c>
      <c r="Z338" s="88">
        <f t="shared" si="40"/>
        <v>512</v>
      </c>
      <c r="AA338" s="116">
        <f>COUNTIFS(GERAL!B$8:B$1696,A338,GERAL!BK$8:BK$1696,"&gt;0",GERAL!C$8:C$1696,"ESCOLA")</f>
        <v>1</v>
      </c>
      <c r="AB338" s="88">
        <f>COUNTIFS(GERAL!B$8:B$1696,A338,GERAL!BK$8:BK$1696,"&gt;0",GERAL!C$8:C$1696,"ANEXO")</f>
        <v>0</v>
      </c>
      <c r="AC338" s="121">
        <f>SUMIF(GERAL!B$8:B$1696,A338,GERAL!AD$8:AD$1696)</f>
        <v>0</v>
      </c>
      <c r="AD338" s="121">
        <f>SUMIF(GERAL!B$8:B$1696,A338,GERAL!AI$8:AI$1696)</f>
        <v>431</v>
      </c>
      <c r="AE338" s="121">
        <f>SUMIF(GERAL!B$8:B$1696,A338,GERAL!AV$8:AV$1696)</f>
        <v>0</v>
      </c>
      <c r="AF338" s="492">
        <f t="shared" si="41"/>
        <v>431</v>
      </c>
      <c r="AG338" s="178">
        <f>COUNTIFS(GERAL!B$8:B$1696,A338,GERAL!AW$8:AW$1696,"&gt;0",GERAL!C$8:C$1696,"ESCOLA")</f>
        <v>1</v>
      </c>
      <c r="AH338" s="118">
        <f>COUNTIFS(GERAL!B$8:B$1696,A338,GERAL!AW$8:AW$1696,"&gt;0",GERAL!C$8:C$1696,"ANEXO")</f>
        <v>0</v>
      </c>
      <c r="AI338" s="177">
        <f>SUMIF(GERAL!B$8:B$1696,A338,GERAL!AS$8:AS$1696)+SUMIF(GERAL!B$8:B$1696,A338,GERAL!AT$8:AT$1696)</f>
        <v>169</v>
      </c>
      <c r="AJ338" s="177">
        <f>SUMIF(GERAL!B$8:B$1696,A338,GERAL!AU$8:AU$1696)</f>
        <v>90</v>
      </c>
      <c r="AK338" s="177">
        <f>SUMIF(GERAL!B$8:B$1696,A338,GERAL!AV$8:AV$1696)</f>
        <v>0</v>
      </c>
      <c r="AL338" s="118">
        <f t="shared" si="42"/>
        <v>259</v>
      </c>
      <c r="AM338" s="493" t="s">
        <v>796</v>
      </c>
    </row>
    <row r="339">
      <c r="A339" s="494" t="s">
        <v>1249</v>
      </c>
      <c r="B339" s="75">
        <f>COUNTIFS(GERAL!B$8:B$1696,A339,GERAL!C$8:C$1696,"ESCOLA")</f>
        <v>1</v>
      </c>
      <c r="C339" s="75">
        <f>COUNTIFS(GERAL!B$8:B$1696,A339,GERAL!C$8:C$1696,"ANEXO")</f>
        <v>0</v>
      </c>
      <c r="D339" s="85">
        <f>SUMIF(GERAL!B$8:B$1696,A339,GERAL!Z$8:Z$1696)</f>
        <v>0</v>
      </c>
      <c r="E339" s="85">
        <f>SUMIF(GERAL!B$8:B$1696,A339,GERAL!AE$8:AE$1696)</f>
        <v>0</v>
      </c>
      <c r="F339" s="85">
        <f>SUMIF(GERAL!B$8:B$1696,A339,GERAL!AJ$8:AJ$1696)</f>
        <v>350</v>
      </c>
      <c r="G339" s="85">
        <f>SUMIF(GERAL!B$8:B$1696,A339,GERAL!AN$8:AN$1696)</f>
        <v>0</v>
      </c>
      <c r="H339" s="85">
        <f>SUMIF(GERAL!B$8:B$1696,A339,GERAL!AR$8:AW$1696)</f>
        <v>103</v>
      </c>
      <c r="I339" s="85">
        <f>SUMIF(GERAL!B$8:B$1696,A339,GERAL!AW$8:AW$1696)</f>
        <v>95</v>
      </c>
      <c r="J339" s="75">
        <f>SUMIF(GERAL!B$8:B$1696,A339,GERAL!AX$8:AX$1696)</f>
        <v>548</v>
      </c>
      <c r="K339" s="75">
        <f>COUNTIFS(GERAL!B$8:B$1696,A339,GERAL!AY$8:AY$1696,"&gt;0",GERAL!C$8:C$1696,"ESCOLA")</f>
        <v>1</v>
      </c>
      <c r="L339" s="75">
        <f>COUNTIFS(GERAL!B$8:B$1696,A339,GERAL!AY$8:AY$1696,"&gt;0",GERAL!C$8:C$1696,"ANEXO")</f>
        <v>0</v>
      </c>
      <c r="M339" s="100">
        <f>SUMIF(GERAL!B$8:B$1696,A339,GERAL!V$8:V$1696)+SUMIF(GERAL!B$8:B$1696,A339,GERAL!W$8:W$1696)</f>
        <v>0</v>
      </c>
      <c r="N339" s="100">
        <f>SUMIF(GERAL!B$8:B$1696,A339,GERAL!AA$8:AA$1696)+SUMIF(GERAL!B$8:B$1696,A339,GERAL!AB$8:AB$1696)</f>
        <v>0</v>
      </c>
      <c r="O339" s="100">
        <f>SUMIF(GERAL!B$8:B$1696,A339,GERAL!AF$8:AF$1696)+SUMIF(GERAL!B$8:B$1696,A339,GERAL!AG$8:AG$1696)</f>
        <v>142</v>
      </c>
      <c r="P339" s="100">
        <f>SUMIF(GERAL!B$8:B$1696,A339,GERAL!AK$8:AK$1696)+SUMIF(GERAL!B$8:B$1696,A339,GERAL!AL$8:AL$1696)</f>
        <v>0</v>
      </c>
      <c r="Q339" s="100">
        <f>SUMIF(GERAL!B$8:B$1696,A339,GERAL!AO$8:AO$1696)+SUMIF(GERAL!B$8:B$1696,A339,GERAL!AP$8:AP$1696)</f>
        <v>0</v>
      </c>
      <c r="R339" s="100">
        <f>SUMIF(GERAL!B$8:B$1696,A339,GERAL!AS$8:AS$1696)+SUMIF(GERAL!B$8:B$1696,A339,GERAL!AT$8:AT$1696)</f>
        <v>32</v>
      </c>
      <c r="S339" s="75">
        <f t="shared" si="39"/>
        <v>174</v>
      </c>
      <c r="T339" s="116">
        <f>COUNTIFS(GERAL!B$8:B$1696,A339,GERAL!AZ$8:AZ$1696,"&gt;0",GERAL!C$8:C$1696,"ESCOLA")</f>
        <v>1</v>
      </c>
      <c r="U339" s="75">
        <f>COUNTIFS(GERAL!B$8:B$1696,A339,GERAL!AZ$8:AZ$1696,"&gt;0",GERAL!C$8:C$1696,"ANEXO")</f>
        <v>0</v>
      </c>
      <c r="V339" s="85">
        <f>SUMIF(GERAL!B$8:B$1696,A339,GERAL!AH$8:AH$1696)</f>
        <v>0</v>
      </c>
      <c r="W339" s="85">
        <f>SUMIF(GERAL!B$8:B$1696,A339,GERAL!AM$8:AM$1696)</f>
        <v>0</v>
      </c>
      <c r="X339" s="85">
        <f>SUMIF(GERAL!B$8:B$1696,A339,GERAL!AQ$8:AQ$1696)</f>
        <v>103</v>
      </c>
      <c r="Y339" s="85">
        <f>SUMIF(GERAL!B$8:B$1696,A339,GERAL!AU$8:AU$1696)</f>
        <v>0</v>
      </c>
      <c r="Z339" s="88">
        <f t="shared" si="40"/>
        <v>103</v>
      </c>
      <c r="AA339" s="116">
        <f>COUNTIFS(GERAL!B$8:B$1696,A339,GERAL!BK$8:BK$1696,"&gt;0",GERAL!C$8:C$1696,"ESCOLA")</f>
        <v>1</v>
      </c>
      <c r="AB339" s="88">
        <f>COUNTIFS(GERAL!B$8:B$1696,A339,GERAL!BK$8:BK$1696,"&gt;0",GERAL!C$8:C$1696,"ANEXO")</f>
        <v>0</v>
      </c>
      <c r="AC339" s="121">
        <f>SUMIF(GERAL!B$8:B$1696,A339,GERAL!AD$8:AD$1696)</f>
        <v>0</v>
      </c>
      <c r="AD339" s="121">
        <f>SUMIF(GERAL!B$8:B$1696,A339,GERAL!AI$8:AI$1696)</f>
        <v>208</v>
      </c>
      <c r="AE339" s="121">
        <f>SUMIF(GERAL!B$8:B$1696,A339,GERAL!AV$8:AV$1696)</f>
        <v>63</v>
      </c>
      <c r="AF339" s="492">
        <f t="shared" si="41"/>
        <v>271</v>
      </c>
      <c r="AG339" s="178">
        <f>COUNTIFS(GERAL!B$8:B$1696,A339,GERAL!AW$8:AW$1696,"&gt;0",GERAL!C$8:C$1696,"ESCOLA")</f>
        <v>1</v>
      </c>
      <c r="AH339" s="118">
        <f>COUNTIFS(GERAL!B$8:B$1696,A339,GERAL!AW$8:AW$1696,"&gt;0",GERAL!C$8:C$1696,"ANEXO")</f>
        <v>0</v>
      </c>
      <c r="AI339" s="177">
        <f>SUMIF(GERAL!B$8:B$1696,A339,GERAL!AS$8:AS$1696)+SUMIF(GERAL!B$8:B$1696,A339,GERAL!AT$8:AT$1696)</f>
        <v>32</v>
      </c>
      <c r="AJ339" s="177">
        <f>SUMIF(GERAL!B$8:B$1696,A339,GERAL!AU$8:AU$1696)</f>
        <v>0</v>
      </c>
      <c r="AK339" s="177">
        <f>SUMIF(GERAL!B$8:B$1696,A339,GERAL!AV$8:AV$1696)</f>
        <v>63</v>
      </c>
      <c r="AL339" s="118">
        <f t="shared" si="42"/>
        <v>95</v>
      </c>
      <c r="AM339" s="493" t="s">
        <v>383</v>
      </c>
    </row>
    <row r="340">
      <c r="A340" s="484" t="s">
        <v>2372</v>
      </c>
      <c r="B340" s="75">
        <f>COUNTIFS(GERAL!B$8:B$1696,A340,GERAL!C$8:C$1696,"ESCOLA")</f>
        <v>2</v>
      </c>
      <c r="C340" s="75">
        <f>COUNTIFS(GERAL!B$8:B$1696,A340,GERAL!C$8:C$1696,"ANEXO")</f>
        <v>3</v>
      </c>
      <c r="D340" s="85">
        <f>SUMIF(GERAL!B$8:B$1696,A340,GERAL!Z$8:Z$1696)</f>
        <v>0</v>
      </c>
      <c r="E340" s="85">
        <f>SUMIF(GERAL!B$8:B$1696,A340,GERAL!AE$8:AE$1696)</f>
        <v>0</v>
      </c>
      <c r="F340" s="85">
        <f>SUMIF(GERAL!B$8:B$1696,A340,GERAL!AJ$8:AJ$1696)</f>
        <v>507</v>
      </c>
      <c r="G340" s="85">
        <f>SUMIF(GERAL!B$8:B$1696,A340,GERAL!AN$8:AN$1696)</f>
        <v>0</v>
      </c>
      <c r="H340" s="85">
        <f>SUMIF(GERAL!B$8:B$1696,A340,GERAL!AR$8:AW$1696)</f>
        <v>192</v>
      </c>
      <c r="I340" s="85">
        <f>SUMIF(GERAL!B$8:B$1696,A340,GERAL!AW$8:AW$1696)</f>
        <v>0</v>
      </c>
      <c r="J340" s="75">
        <f>SUMIF(GERAL!B$8:B$1696,A340,GERAL!AX$8:AX$1696)</f>
        <v>699</v>
      </c>
      <c r="K340" s="75">
        <f>COUNTIFS(GERAL!B$8:B$1696,A340,GERAL!AY$8:AY$1696,"&gt;0",GERAL!C$8:C$1696,"ESCOLA")</f>
        <v>2</v>
      </c>
      <c r="L340" s="75">
        <f>COUNTIFS(GERAL!B$8:B$1696,A340,GERAL!AY$8:AY$1696,"&gt;0",GERAL!C$8:C$1696,"ANEXO")</f>
        <v>2</v>
      </c>
      <c r="M340" s="100">
        <f>SUMIF(GERAL!B$8:B$1696,A340,GERAL!V$8:V$1696)+SUMIF(GERAL!B$8:B$1696,A340,GERAL!W$8:W$1696)</f>
        <v>0</v>
      </c>
      <c r="N340" s="100">
        <f>SUMIF(GERAL!B$8:B$1696,A340,GERAL!AA$8:AA$1696)+SUMIF(GERAL!B$8:B$1696,A340,GERAL!AB$8:AB$1696)</f>
        <v>0</v>
      </c>
      <c r="O340" s="100">
        <f>SUMIF(GERAL!B$8:B$1696,A340,GERAL!AF$8:AF$1696)+SUMIF(GERAL!B$8:B$1696,A340,GERAL!AG$8:AG$1696)</f>
        <v>393</v>
      </c>
      <c r="P340" s="100">
        <f>SUMIF(GERAL!B$8:B$1696,A340,GERAL!AK$8:AK$1696)+SUMIF(GERAL!B$8:B$1696,A340,GERAL!AL$8:AL$1696)</f>
        <v>0</v>
      </c>
      <c r="Q340" s="100">
        <f>SUMIF(GERAL!B$8:B$1696,A340,GERAL!AO$8:AO$1696)+SUMIF(GERAL!B$8:B$1696,A340,GERAL!AP$8:AP$1696)</f>
        <v>0</v>
      </c>
      <c r="R340" s="100">
        <f>SUMIF(GERAL!B$8:B$1696,A340,GERAL!AS$8:AS$1696)+SUMIF(GERAL!B$8:B$1696,A340,GERAL!AT$8:AT$1696)</f>
        <v>0</v>
      </c>
      <c r="S340" s="75">
        <f t="shared" si="39"/>
        <v>393</v>
      </c>
      <c r="T340" s="116">
        <f>COUNTIFS(GERAL!B$8:B$1696,A340,GERAL!AZ$8:AZ$1696,"&gt;0",GERAL!C$8:C$1696,"ESCOLA")</f>
        <v>2</v>
      </c>
      <c r="U340" s="75">
        <f>COUNTIFS(GERAL!B$8:B$1696,A340,GERAL!AZ$8:AZ$1696,"&gt;0",GERAL!C$8:C$1696,"ANEXO")</f>
        <v>2</v>
      </c>
      <c r="V340" s="85">
        <f>SUMIF(GERAL!B$8:B$1696,A340,GERAL!AH$8:AH$1696)</f>
        <v>13</v>
      </c>
      <c r="W340" s="85">
        <f>SUMIF(GERAL!B$8:B$1696,A340,GERAL!AM$8:AM$1696)</f>
        <v>0</v>
      </c>
      <c r="X340" s="85">
        <f>SUMIF(GERAL!B$8:B$1696,A340,GERAL!AQ$8:AQ$1696)</f>
        <v>192</v>
      </c>
      <c r="Y340" s="85">
        <f>SUMIF(GERAL!B$8:B$1696,A340,GERAL!AU$8:AU$1696)</f>
        <v>0</v>
      </c>
      <c r="Z340" s="88">
        <f t="shared" si="40"/>
        <v>205</v>
      </c>
      <c r="AA340" s="116">
        <f>COUNTIFS(GERAL!B$8:B$1696,A340,GERAL!BK$8:BK$1696,"&gt;0",GERAL!C$8:C$1696,"ESCOLA")</f>
        <v>1</v>
      </c>
      <c r="AB340" s="88">
        <f>COUNTIFS(GERAL!B$8:B$1696,A340,GERAL!BK$8:BK$1696,"&gt;0",GERAL!C$8:C$1696,"ANEXO")</f>
        <v>0</v>
      </c>
      <c r="AC340" s="121">
        <f>SUMIF(GERAL!B$8:B$1696,A340,GERAL!AD$8:AD$1696)</f>
        <v>0</v>
      </c>
      <c r="AD340" s="121">
        <f>SUMIF(GERAL!B$8:B$1696,A340,GERAL!AI$8:AI$1696)</f>
        <v>101</v>
      </c>
      <c r="AE340" s="121">
        <f>SUMIF(GERAL!B$8:B$1696,A340,GERAL!AV$8:AV$1696)</f>
        <v>0</v>
      </c>
      <c r="AF340" s="492">
        <f t="shared" si="41"/>
        <v>101</v>
      </c>
      <c r="AG340" s="178">
        <f>COUNTIFS(GERAL!B$8:B$1696,A340,GERAL!AW$8:AW$1696,"&gt;0",GERAL!C$8:C$1696,"ESCOLA")</f>
        <v>0</v>
      </c>
      <c r="AH340" s="118">
        <f>COUNTIFS(GERAL!B$8:B$1696,A340,GERAL!AW$8:AW$1696,"&gt;0",GERAL!C$8:C$1696,"ANEXO")</f>
        <v>0</v>
      </c>
      <c r="AI340" s="177">
        <f>SUMIF(GERAL!B$8:B$1696,A340,GERAL!AS$8:AS$1696)+SUMIF(GERAL!B$8:B$1696,A340,GERAL!AT$8:AT$1696)</f>
        <v>0</v>
      </c>
      <c r="AJ340" s="177">
        <f>SUMIF(GERAL!B$8:B$1696,A340,GERAL!AU$8:AU$1696)</f>
        <v>0</v>
      </c>
      <c r="AK340" s="177">
        <f>SUMIF(GERAL!B$8:B$1696,A340,GERAL!AV$8:AV$1696)</f>
        <v>0</v>
      </c>
      <c r="AL340" s="118">
        <f t="shared" si="42"/>
        <v>0</v>
      </c>
      <c r="AM340" s="493" t="s">
        <v>860</v>
      </c>
    </row>
    <row r="341">
      <c r="A341" s="494" t="s">
        <v>4667</v>
      </c>
      <c r="B341" s="75">
        <f>COUNTIFS(GERAL!B$8:B$1696,A341,GERAL!C$8:C$1696,"ESCOLA")</f>
        <v>4</v>
      </c>
      <c r="C341" s="75">
        <f>COUNTIFS(GERAL!B$8:B$1696,A341,GERAL!C$8:C$1696,"ANEXO")</f>
        <v>0</v>
      </c>
      <c r="D341" s="85">
        <f>SUMIF(GERAL!B$8:B$1696,A341,GERAL!Z$8:Z$1696)</f>
        <v>0</v>
      </c>
      <c r="E341" s="85">
        <f>SUMIF(GERAL!B$8:B$1696,A341,GERAL!AE$8:AE$1696)</f>
        <v>0</v>
      </c>
      <c r="F341" s="85">
        <f>SUMIF(GERAL!B$8:B$1696,A341,GERAL!AJ$8:AJ$1696)</f>
        <v>565</v>
      </c>
      <c r="G341" s="85">
        <f>SUMIF(GERAL!B$8:B$1696,A341,GERAL!AN$8:AN$1696)</f>
        <v>21</v>
      </c>
      <c r="H341" s="85">
        <f>SUMIF(GERAL!B$8:B$1696,A341,GERAL!AR$8:AW$1696)</f>
        <v>203</v>
      </c>
      <c r="I341" s="85">
        <f>SUMIF(GERAL!B$8:B$1696,A341,GERAL!AW$8:AW$1696)</f>
        <v>521</v>
      </c>
      <c r="J341" s="75">
        <f>SUMIF(GERAL!B$8:B$1696,A341,GERAL!AX$8:AX$1696)</f>
        <v>1310</v>
      </c>
      <c r="K341" s="75">
        <f>COUNTIFS(GERAL!B$8:B$1696,A341,GERAL!AY$8:AY$1696,"&gt;0",GERAL!C$8:C$1696,"ESCOLA")</f>
        <v>4</v>
      </c>
      <c r="L341" s="75">
        <f>COUNTIFS(GERAL!B$8:B$1696,A341,GERAL!AY$8:AY$1696,"&gt;0",GERAL!C$8:C$1696,"ANEXO")</f>
        <v>0</v>
      </c>
      <c r="M341" s="100">
        <f>SUMIF(GERAL!B$8:B$1696,A341,GERAL!V$8:V$1696)+SUMIF(GERAL!B$8:B$1696,A341,GERAL!W$8:W$1696)</f>
        <v>0</v>
      </c>
      <c r="N341" s="100">
        <f>SUMIF(GERAL!B$8:B$1696,A341,GERAL!AA$8:AA$1696)+SUMIF(GERAL!B$8:B$1696,A341,GERAL!AB$8:AB$1696)</f>
        <v>0</v>
      </c>
      <c r="O341" s="100">
        <f>SUMIF(GERAL!B$8:B$1696,A341,GERAL!AF$8:AF$1696)+SUMIF(GERAL!B$8:B$1696,A341,GERAL!AG$8:AG$1696)</f>
        <v>216</v>
      </c>
      <c r="P341" s="100">
        <f>SUMIF(GERAL!B$8:B$1696,A341,GERAL!AK$8:AK$1696)+SUMIF(GERAL!B$8:B$1696,A341,GERAL!AL$8:AL$1696)</f>
        <v>0</v>
      </c>
      <c r="Q341" s="100">
        <f>SUMIF(GERAL!B$8:B$1696,A341,GERAL!AO$8:AO$1696)+SUMIF(GERAL!B$8:B$1696,A341,GERAL!AP$8:AP$1696)</f>
        <v>0</v>
      </c>
      <c r="R341" s="100">
        <f>SUMIF(GERAL!B$8:B$1696,A341,GERAL!AS$8:AS$1696)+SUMIF(GERAL!B$8:B$1696,A341,GERAL!AT$8:AT$1696)</f>
        <v>260</v>
      </c>
      <c r="S341" s="75">
        <f t="shared" si="39"/>
        <v>476</v>
      </c>
      <c r="T341" s="116">
        <f>COUNTIFS(GERAL!B$8:B$1696,A341,GERAL!AZ$8:AZ$1696,"&gt;0",GERAL!C$8:C$1696,"ESCOLA")</f>
        <v>4</v>
      </c>
      <c r="U341" s="75">
        <f>COUNTIFS(GERAL!B$8:B$1696,A341,GERAL!AZ$8:AZ$1696,"&gt;0",GERAL!C$8:C$1696,"ANEXO")</f>
        <v>0</v>
      </c>
      <c r="V341" s="85">
        <f>SUMIF(GERAL!B$8:B$1696,A341,GERAL!AH$8:AH$1696)</f>
        <v>0</v>
      </c>
      <c r="W341" s="85">
        <f>SUMIF(GERAL!B$8:B$1696,A341,GERAL!AM$8:AM$1696)</f>
        <v>21</v>
      </c>
      <c r="X341" s="85">
        <f>SUMIF(GERAL!B$8:B$1696,A341,GERAL!AQ$8:AQ$1696)</f>
        <v>203</v>
      </c>
      <c r="Y341" s="85">
        <f>SUMIF(GERAL!B$8:B$1696,A341,GERAL!AU$8:AU$1696)</f>
        <v>189</v>
      </c>
      <c r="Z341" s="88">
        <f t="shared" si="40"/>
        <v>413</v>
      </c>
      <c r="AA341" s="116">
        <f>COUNTIFS(GERAL!B$8:B$1696,A341,GERAL!BK$8:BK$1696,"&gt;0",GERAL!C$8:C$1696,"ESCOLA")</f>
        <v>4</v>
      </c>
      <c r="AB341" s="88">
        <f>COUNTIFS(GERAL!B$8:B$1696,A341,GERAL!BK$8:BK$1696,"&gt;0",GERAL!C$8:C$1696,"ANEXO")</f>
        <v>0</v>
      </c>
      <c r="AC341" s="121">
        <f>SUMIF(GERAL!B$8:B$1696,A341,GERAL!AD$8:AD$1696)</f>
        <v>0</v>
      </c>
      <c r="AD341" s="121">
        <f>SUMIF(GERAL!B$8:B$1696,A341,GERAL!AI$8:AI$1696)</f>
        <v>349</v>
      </c>
      <c r="AE341" s="121">
        <f>SUMIF(GERAL!B$8:B$1696,A341,GERAL!AV$8:AV$1696)</f>
        <v>72</v>
      </c>
      <c r="AF341" s="492">
        <f t="shared" si="41"/>
        <v>421</v>
      </c>
      <c r="AG341" s="178">
        <f>COUNTIFS(GERAL!B$8:B$1696,A341,GERAL!AW$8:AW$1696,"&gt;0",GERAL!C$8:C$1696,"ESCOLA")</f>
        <v>2</v>
      </c>
      <c r="AH341" s="118">
        <f>COUNTIFS(GERAL!B$8:B$1696,A341,GERAL!AW$8:AW$1696,"&gt;0",GERAL!C$8:C$1696,"ANEXO")</f>
        <v>0</v>
      </c>
      <c r="AI341" s="177">
        <f>SUMIF(GERAL!B$8:B$1696,A341,GERAL!AS$8:AS$1696)+SUMIF(GERAL!B$8:B$1696,A341,GERAL!AT$8:AT$1696)</f>
        <v>260</v>
      </c>
      <c r="AJ341" s="177">
        <f>SUMIF(GERAL!B$8:B$1696,A341,GERAL!AU$8:AU$1696)</f>
        <v>189</v>
      </c>
      <c r="AK341" s="177">
        <f>SUMIF(GERAL!B$8:B$1696,A341,GERAL!AV$8:AV$1696)</f>
        <v>72</v>
      </c>
      <c r="AL341" s="118">
        <f t="shared" si="42"/>
        <v>521</v>
      </c>
      <c r="AM341" s="493" t="s">
        <v>1090</v>
      </c>
    </row>
    <row r="342">
      <c r="A342" s="484" t="s">
        <v>706</v>
      </c>
      <c r="B342" s="75">
        <f>COUNTIFS(GERAL!B$8:B$1696,A342,GERAL!C$8:C$1696,"ESCOLA")</f>
        <v>1</v>
      </c>
      <c r="C342" s="75">
        <f>COUNTIFS(GERAL!B$8:B$1696,A342,GERAL!C$8:C$1696,"ANEXO")</f>
        <v>5</v>
      </c>
      <c r="D342" s="85">
        <f>SUMIF(GERAL!B$8:B$1696,A342,GERAL!Z$8:Z$1696)</f>
        <v>0</v>
      </c>
      <c r="E342" s="85">
        <f>SUMIF(GERAL!B$8:B$1696,A342,GERAL!AE$8:AE$1696)</f>
        <v>0</v>
      </c>
      <c r="F342" s="85">
        <f>SUMIF(GERAL!B$8:B$1696,A342,GERAL!AJ$8:AJ$1696)</f>
        <v>1276</v>
      </c>
      <c r="G342" s="85">
        <f>SUMIF(GERAL!B$8:B$1696,A342,GERAL!AN$8:AN$1696)</f>
        <v>0</v>
      </c>
      <c r="H342" s="85">
        <f>SUMIF(GERAL!B$8:B$1696,A342,GERAL!AR$8:AW$1696)</f>
        <v>136</v>
      </c>
      <c r="I342" s="85">
        <f>SUMIF(GERAL!B$8:B$1696,A342,GERAL!AW$8:AW$1696)</f>
        <v>74</v>
      </c>
      <c r="J342" s="75">
        <f>SUMIF(GERAL!B$8:B$1696,A342,GERAL!AX$8:AX$1696)</f>
        <v>1486</v>
      </c>
      <c r="K342" s="75">
        <f>COUNTIFS(GERAL!B$8:B$1696,A342,GERAL!AY$8:AY$1696,"&gt;0",GERAL!C$8:C$1696,"ESCOLA")</f>
        <v>1</v>
      </c>
      <c r="L342" s="75">
        <f>COUNTIFS(GERAL!B$8:B$1696,A342,GERAL!AY$8:AY$1696,"&gt;0",GERAL!C$8:C$1696,"ANEXO")</f>
        <v>4</v>
      </c>
      <c r="M342" s="100">
        <f>SUMIF(GERAL!B$8:B$1696,A342,GERAL!V$8:V$1696)+SUMIF(GERAL!B$8:B$1696,A342,GERAL!W$8:W$1696)</f>
        <v>0</v>
      </c>
      <c r="N342" s="100">
        <f>SUMIF(GERAL!B$8:B$1696,A342,GERAL!AA$8:AA$1696)+SUMIF(GERAL!B$8:B$1696,A342,GERAL!AB$8:AB$1696)</f>
        <v>0</v>
      </c>
      <c r="O342" s="100">
        <f>SUMIF(GERAL!B$8:B$1696,A342,GERAL!AF$8:AF$1696)+SUMIF(GERAL!B$8:B$1696,A342,GERAL!AG$8:AG$1696)</f>
        <v>569</v>
      </c>
      <c r="P342" s="100">
        <f>SUMIF(GERAL!B$8:B$1696,A342,GERAL!AK$8:AK$1696)+SUMIF(GERAL!B$8:B$1696,A342,GERAL!AL$8:AL$1696)</f>
        <v>0</v>
      </c>
      <c r="Q342" s="100">
        <f>SUMIF(GERAL!B$8:B$1696,A342,GERAL!AO$8:AO$1696)+SUMIF(GERAL!B$8:B$1696,A342,GERAL!AP$8:AP$1696)</f>
        <v>0</v>
      </c>
      <c r="R342" s="100">
        <f>SUMIF(GERAL!B$8:B$1696,A342,GERAL!AS$8:AS$1696)+SUMIF(GERAL!B$8:B$1696,A342,GERAL!AT$8:AT$1696)</f>
        <v>0</v>
      </c>
      <c r="S342" s="75">
        <f t="shared" si="39"/>
        <v>569</v>
      </c>
      <c r="T342" s="116">
        <f>COUNTIFS(GERAL!B$8:B$1696,A342,GERAL!AZ$8:AZ$1696,"&gt;0",GERAL!C$8:C$1696,"ESCOLA")</f>
        <v>1</v>
      </c>
      <c r="U342" s="75">
        <f>COUNTIFS(GERAL!B$8:B$1696,A342,GERAL!AZ$8:AZ$1696,"&gt;0",GERAL!C$8:C$1696,"ANEXO")</f>
        <v>3</v>
      </c>
      <c r="V342" s="85">
        <f>SUMIF(GERAL!B$8:B$1696,A342,GERAL!AH$8:AH$1696)</f>
        <v>22</v>
      </c>
      <c r="W342" s="85">
        <f>SUMIF(GERAL!B$8:B$1696,A342,GERAL!AM$8:AM$1696)</f>
        <v>0</v>
      </c>
      <c r="X342" s="85">
        <f>SUMIF(GERAL!B$8:B$1696,A342,GERAL!AQ$8:AQ$1696)</f>
        <v>136</v>
      </c>
      <c r="Y342" s="85">
        <f>SUMIF(GERAL!B$8:B$1696,A342,GERAL!AU$8:AU$1696)</f>
        <v>11</v>
      </c>
      <c r="Z342" s="88">
        <f t="shared" si="40"/>
        <v>169</v>
      </c>
      <c r="AA342" s="116">
        <f>COUNTIFS(GERAL!B$8:B$1696,A342,GERAL!BK$8:BK$1696,"&gt;0",GERAL!C$8:C$1696,"ESCOLA")</f>
        <v>1</v>
      </c>
      <c r="AB342" s="88">
        <f>COUNTIFS(GERAL!B$8:B$1696,A342,GERAL!BK$8:BK$1696,"&gt;0",GERAL!C$8:C$1696,"ANEXO")</f>
        <v>0</v>
      </c>
      <c r="AC342" s="121">
        <f>SUMIF(GERAL!B$8:B$1696,A342,GERAL!AD$8:AD$1696)</f>
        <v>0</v>
      </c>
      <c r="AD342" s="121">
        <f>SUMIF(GERAL!B$8:B$1696,A342,GERAL!AI$8:AI$1696)</f>
        <v>685</v>
      </c>
      <c r="AE342" s="121">
        <f>SUMIF(GERAL!B$8:B$1696,A342,GERAL!AV$8:AV$1696)</f>
        <v>63</v>
      </c>
      <c r="AF342" s="492">
        <f t="shared" si="41"/>
        <v>748</v>
      </c>
      <c r="AG342" s="178">
        <f>COUNTIFS(GERAL!B$8:B$1696,A342,GERAL!AW$8:AW$1696,"&gt;0",GERAL!C$8:C$1696,"ESCOLA")</f>
        <v>1</v>
      </c>
      <c r="AH342" s="118">
        <f>COUNTIFS(GERAL!B$8:B$1696,A342,GERAL!AW$8:AW$1696,"&gt;0",GERAL!C$8:C$1696,"ANEXO")</f>
        <v>0</v>
      </c>
      <c r="AI342" s="177">
        <f>SUMIF(GERAL!B$8:B$1696,A342,GERAL!AS$8:AS$1696)+SUMIF(GERAL!B$8:B$1696,A342,GERAL!AT$8:AT$1696)</f>
        <v>0</v>
      </c>
      <c r="AJ342" s="177">
        <f>SUMIF(GERAL!B$8:B$1696,A342,GERAL!AU$8:AU$1696)</f>
        <v>11</v>
      </c>
      <c r="AK342" s="177">
        <f>SUMIF(GERAL!B$8:B$1696,A342,GERAL!AV$8:AV$1696)</f>
        <v>63</v>
      </c>
      <c r="AL342" s="118">
        <f t="shared" si="42"/>
        <v>74</v>
      </c>
      <c r="AM342" s="493" t="s">
        <v>205</v>
      </c>
    </row>
    <row r="343">
      <c r="A343" s="494" t="s">
        <v>5226</v>
      </c>
      <c r="B343" s="75">
        <f>COUNTIFS(GERAL!B$8:B$1696,A343,GERAL!C$8:C$1696,"ESCOLA")</f>
        <v>1</v>
      </c>
      <c r="C343" s="75">
        <f>COUNTIFS(GERAL!B$8:B$1696,A343,GERAL!C$8:C$1696,"ANEXO")</f>
        <v>0</v>
      </c>
      <c r="D343" s="85">
        <f>SUMIF(GERAL!B$8:B$1696,A343,GERAL!Z$8:Z$1696)</f>
        <v>0</v>
      </c>
      <c r="E343" s="85">
        <f>SUMIF(GERAL!B$8:B$1696,A343,GERAL!AE$8:AE$1696)</f>
        <v>0</v>
      </c>
      <c r="F343" s="85">
        <f>SUMIF(GERAL!B$8:B$1696,A343,GERAL!AJ$8:AJ$1696)</f>
        <v>352</v>
      </c>
      <c r="G343" s="85">
        <f>SUMIF(GERAL!B$8:B$1696,A343,GERAL!AN$8:AN$1696)</f>
        <v>0</v>
      </c>
      <c r="H343" s="85">
        <f>SUMIF(GERAL!B$8:B$1696,A343,GERAL!AR$8:AW$1696)</f>
        <v>89</v>
      </c>
      <c r="I343" s="85">
        <f>SUMIF(GERAL!B$8:B$1696,A343,GERAL!AW$8:AW$1696)</f>
        <v>58</v>
      </c>
      <c r="J343" s="75">
        <f>SUMIF(GERAL!B$8:B$1696,A343,GERAL!AX$8:AX$1696)</f>
        <v>499</v>
      </c>
      <c r="K343" s="75">
        <f>COUNTIFS(GERAL!B$8:B$1696,A343,GERAL!AY$8:AY$1696,"&gt;0",GERAL!C$8:C$1696,"ESCOLA")</f>
        <v>1</v>
      </c>
      <c r="L343" s="75">
        <f>COUNTIFS(GERAL!B$8:B$1696,A343,GERAL!AY$8:AY$1696,"&gt;0",GERAL!C$8:C$1696,"ANEXO")</f>
        <v>0</v>
      </c>
      <c r="M343" s="100">
        <f>SUMIF(GERAL!B$8:B$1696,A343,GERAL!V$8:V$1696)+SUMIF(GERAL!B$8:B$1696,A343,GERAL!W$8:W$1696)</f>
        <v>0</v>
      </c>
      <c r="N343" s="100">
        <f>SUMIF(GERAL!B$8:B$1696,A343,GERAL!AA$8:AA$1696)+SUMIF(GERAL!B$8:B$1696,A343,GERAL!AB$8:AB$1696)</f>
        <v>0</v>
      </c>
      <c r="O343" s="100">
        <f>SUMIF(GERAL!B$8:B$1696,A343,GERAL!AF$8:AF$1696)+SUMIF(GERAL!B$8:B$1696,A343,GERAL!AG$8:AG$1696)</f>
        <v>352</v>
      </c>
      <c r="P343" s="100">
        <f>SUMIF(GERAL!B$8:B$1696,A343,GERAL!AK$8:AK$1696)+SUMIF(GERAL!B$8:B$1696,A343,GERAL!AL$8:AL$1696)</f>
        <v>0</v>
      </c>
      <c r="Q343" s="100">
        <f>SUMIF(GERAL!B$8:B$1696,A343,GERAL!AO$8:AO$1696)+SUMIF(GERAL!B$8:B$1696,A343,GERAL!AP$8:AP$1696)</f>
        <v>0</v>
      </c>
      <c r="R343" s="100">
        <f>SUMIF(GERAL!B$8:B$1696,A343,GERAL!AS$8:AS$1696)+SUMIF(GERAL!B$8:B$1696,A343,GERAL!AT$8:AT$1696)</f>
        <v>58</v>
      </c>
      <c r="S343" s="75">
        <f t="shared" si="39"/>
        <v>410</v>
      </c>
      <c r="T343" s="116">
        <f>COUNTIFS(GERAL!B$8:B$1696,A343,GERAL!AZ$8:AZ$1696,"&gt;0",GERAL!C$8:C$1696,"ESCOLA")</f>
        <v>1</v>
      </c>
      <c r="U343" s="75">
        <f>COUNTIFS(GERAL!B$8:B$1696,A343,GERAL!AZ$8:AZ$1696,"&gt;0",GERAL!C$8:C$1696,"ANEXO")</f>
        <v>0</v>
      </c>
      <c r="V343" s="85">
        <f>SUMIF(GERAL!B$8:B$1696,A343,GERAL!AH$8:AH$1696)</f>
        <v>0</v>
      </c>
      <c r="W343" s="85">
        <f>SUMIF(GERAL!B$8:B$1696,A343,GERAL!AM$8:AM$1696)</f>
        <v>0</v>
      </c>
      <c r="X343" s="85">
        <f>SUMIF(GERAL!B$8:B$1696,A343,GERAL!AQ$8:AQ$1696)</f>
        <v>89</v>
      </c>
      <c r="Y343" s="85">
        <f>SUMIF(GERAL!B$8:B$1696,A343,GERAL!AU$8:AU$1696)</f>
        <v>0</v>
      </c>
      <c r="Z343" s="88">
        <f t="shared" si="40"/>
        <v>89</v>
      </c>
      <c r="AA343" s="116">
        <f>COUNTIFS(GERAL!B$8:B$1696,A343,GERAL!BK$8:BK$1696,"&gt;0",GERAL!C$8:C$1696,"ESCOLA")</f>
        <v>0</v>
      </c>
      <c r="AB343" s="88">
        <f>COUNTIFS(GERAL!B$8:B$1696,A343,GERAL!BK$8:BK$1696,"&gt;0",GERAL!C$8:C$1696,"ANEXO")</f>
        <v>0</v>
      </c>
      <c r="AC343" s="121">
        <f>SUMIF(GERAL!B$8:B$1696,A343,GERAL!AD$8:AD$1696)</f>
        <v>0</v>
      </c>
      <c r="AD343" s="121">
        <f>SUMIF(GERAL!B$8:B$1696,A343,GERAL!AI$8:AI$1696)</f>
        <v>0</v>
      </c>
      <c r="AE343" s="121">
        <f>SUMIF(GERAL!B$8:B$1696,A343,GERAL!AV$8:AV$1696)</f>
        <v>0</v>
      </c>
      <c r="AF343" s="492">
        <f t="shared" si="41"/>
        <v>0</v>
      </c>
      <c r="AG343" s="178">
        <f>COUNTIFS(GERAL!B$8:B$1696,A343,GERAL!AW$8:AW$1696,"&gt;0",GERAL!C$8:C$1696,"ESCOLA")</f>
        <v>1</v>
      </c>
      <c r="AH343" s="118">
        <f>COUNTIFS(GERAL!B$8:B$1696,A343,GERAL!AW$8:AW$1696,"&gt;0",GERAL!C$8:C$1696,"ANEXO")</f>
        <v>0</v>
      </c>
      <c r="AI343" s="177">
        <f>SUMIF(GERAL!B$8:B$1696,A343,GERAL!AS$8:AS$1696)+SUMIF(GERAL!B$8:B$1696,A343,GERAL!AT$8:AT$1696)</f>
        <v>58</v>
      </c>
      <c r="AJ343" s="177">
        <f>SUMIF(GERAL!B$8:B$1696,A343,GERAL!AU$8:AU$1696)</f>
        <v>0</v>
      </c>
      <c r="AK343" s="177">
        <f>SUMIF(GERAL!B$8:B$1696,A343,GERAL!AV$8:AV$1696)</f>
        <v>0</v>
      </c>
      <c r="AL343" s="118">
        <f t="shared" si="42"/>
        <v>58</v>
      </c>
      <c r="AM343" s="493" t="s">
        <v>1224</v>
      </c>
    </row>
    <row r="344">
      <c r="A344" s="484" t="s">
        <v>5230</v>
      </c>
      <c r="B344" s="75">
        <f>COUNTIFS(GERAL!B$8:B$1696,A344,GERAL!C$8:C$1696,"ESCOLA")</f>
        <v>4</v>
      </c>
      <c r="C344" s="75">
        <f>COUNTIFS(GERAL!B$8:B$1696,A344,GERAL!C$8:C$1696,"ANEXO")</f>
        <v>0</v>
      </c>
      <c r="D344" s="85">
        <f>SUMIF(GERAL!B$8:B$1696,A344,GERAL!Z$8:Z$1696)</f>
        <v>0</v>
      </c>
      <c r="E344" s="85">
        <f>SUMIF(GERAL!B$8:B$1696,A344,GERAL!AE$8:AE$1696)</f>
        <v>130</v>
      </c>
      <c r="F344" s="85">
        <f>SUMIF(GERAL!B$8:B$1696,A344,GERAL!AJ$8:AJ$1696)</f>
        <v>1065</v>
      </c>
      <c r="G344" s="85">
        <f>SUMIF(GERAL!B$8:B$1696,A344,GERAL!AN$8:AN$1696)</f>
        <v>0</v>
      </c>
      <c r="H344" s="85">
        <f>SUMIF(GERAL!B$8:B$1696,A344,GERAL!AR$8:AW$1696)</f>
        <v>294</v>
      </c>
      <c r="I344" s="85">
        <f>SUMIF(GERAL!B$8:B$1696,A344,GERAL!AW$8:AW$1696)</f>
        <v>1305</v>
      </c>
      <c r="J344" s="75">
        <f>SUMIF(GERAL!B$8:B$1696,A344,GERAL!AX$8:AX$1696)</f>
        <v>2794</v>
      </c>
      <c r="K344" s="75">
        <f>COUNTIFS(GERAL!B$8:B$1696,A344,GERAL!AY$8:AY$1696,"&gt;0",GERAL!C$8:C$1696,"ESCOLA")</f>
        <v>4</v>
      </c>
      <c r="L344" s="75">
        <f>COUNTIFS(GERAL!B$8:B$1696,A344,GERAL!AY$8:AY$1696,"&gt;0",GERAL!C$8:C$1696,"ANEXO")</f>
        <v>0</v>
      </c>
      <c r="M344" s="100">
        <f>SUMIF(GERAL!B$8:B$1696,A344,GERAL!V$8:V$1696)+SUMIF(GERAL!B$8:B$1696,A344,GERAL!W$8:W$1696)</f>
        <v>0</v>
      </c>
      <c r="N344" s="100">
        <f>SUMIF(GERAL!B$8:B$1696,A344,GERAL!AA$8:AA$1696)+SUMIF(GERAL!B$8:B$1696,A344,GERAL!AB$8:AB$1696)</f>
        <v>0</v>
      </c>
      <c r="O344" s="100">
        <f>SUMIF(GERAL!B$8:B$1696,A344,GERAL!AF$8:AF$1696)+SUMIF(GERAL!B$8:B$1696,A344,GERAL!AG$8:AG$1696)</f>
        <v>942</v>
      </c>
      <c r="P344" s="100">
        <f>SUMIF(GERAL!B$8:B$1696,A344,GERAL!AK$8:AK$1696)+SUMIF(GERAL!B$8:B$1696,A344,GERAL!AL$8:AL$1696)</f>
        <v>0</v>
      </c>
      <c r="Q344" s="100">
        <f>SUMIF(GERAL!B$8:B$1696,A344,GERAL!AO$8:AO$1696)+SUMIF(GERAL!B$8:B$1696,A344,GERAL!AP$8:AP$1696)</f>
        <v>0</v>
      </c>
      <c r="R344" s="100">
        <f>SUMIF(GERAL!B$8:B$1696,A344,GERAL!AS$8:AS$1696)+SUMIF(GERAL!B$8:B$1696,A344,GERAL!AT$8:AT$1696)</f>
        <v>869</v>
      </c>
      <c r="S344" s="75">
        <f t="shared" si="39"/>
        <v>1811</v>
      </c>
      <c r="T344" s="116">
        <f>COUNTIFS(GERAL!B$8:B$1696,A344,GERAL!AZ$8:AZ$1696,"&gt;0",GERAL!C$8:C$1696,"ESCOLA")</f>
        <v>4</v>
      </c>
      <c r="U344" s="75">
        <f>COUNTIFS(GERAL!B$8:B$1696,A344,GERAL!AZ$8:AZ$1696,"&gt;0",GERAL!C$8:C$1696,"ANEXO")</f>
        <v>0</v>
      </c>
      <c r="V344" s="85">
        <f>SUMIF(GERAL!B$8:B$1696,A344,GERAL!AH$8:AH$1696)</f>
        <v>0</v>
      </c>
      <c r="W344" s="85">
        <f>SUMIF(GERAL!B$8:B$1696,A344,GERAL!AM$8:AM$1696)</f>
        <v>0</v>
      </c>
      <c r="X344" s="85">
        <f>SUMIF(GERAL!B$8:B$1696,A344,GERAL!AQ$8:AQ$1696)</f>
        <v>294</v>
      </c>
      <c r="Y344" s="85">
        <f>SUMIF(GERAL!B$8:B$1696,A344,GERAL!AU$8:AU$1696)</f>
        <v>348</v>
      </c>
      <c r="Z344" s="88">
        <f t="shared" si="40"/>
        <v>642</v>
      </c>
      <c r="AA344" s="116">
        <f>COUNTIFS(GERAL!B$8:B$1696,A344,GERAL!BK$8:BK$1696,"&gt;0",GERAL!C$8:C$1696,"ESCOLA")</f>
        <v>3</v>
      </c>
      <c r="AB344" s="88">
        <f>COUNTIFS(GERAL!B$8:B$1696,A344,GERAL!BK$8:BK$1696,"&gt;0",GERAL!C$8:C$1696,"ANEXO")</f>
        <v>0</v>
      </c>
      <c r="AC344" s="121">
        <f>SUMIF(GERAL!B$8:B$1696,A344,GERAL!AD$8:AD$1696)</f>
        <v>130</v>
      </c>
      <c r="AD344" s="121">
        <f>SUMIF(GERAL!B$8:B$1696,A344,GERAL!AI$8:AI$1696)</f>
        <v>123</v>
      </c>
      <c r="AE344" s="121">
        <f>SUMIF(GERAL!B$8:B$1696,A344,GERAL!AV$8:AV$1696)</f>
        <v>88</v>
      </c>
      <c r="AF344" s="492">
        <f t="shared" si="41"/>
        <v>341</v>
      </c>
      <c r="AG344" s="178">
        <f>COUNTIFS(GERAL!B$8:B$1696,A344,GERAL!AW$8:AW$1696,"&gt;0",GERAL!C$8:C$1696,"ESCOLA")</f>
        <v>2</v>
      </c>
      <c r="AH344" s="118">
        <f>COUNTIFS(GERAL!B$8:B$1696,A344,GERAL!AW$8:AW$1696,"&gt;0",GERAL!C$8:C$1696,"ANEXO")</f>
        <v>0</v>
      </c>
      <c r="AI344" s="177">
        <f>SUMIF(GERAL!B$8:B$1696,A344,GERAL!AS$8:AS$1696)+SUMIF(GERAL!B$8:B$1696,A344,GERAL!AT$8:AT$1696)</f>
        <v>869</v>
      </c>
      <c r="AJ344" s="177">
        <f>SUMIF(GERAL!B$8:B$1696,A344,GERAL!AU$8:AU$1696)</f>
        <v>348</v>
      </c>
      <c r="AK344" s="177">
        <f>SUMIF(GERAL!B$8:B$1696,A344,GERAL!AV$8:AV$1696)</f>
        <v>88</v>
      </c>
      <c r="AL344" s="118">
        <f t="shared" si="42"/>
        <v>1305</v>
      </c>
      <c r="AM344" s="493" t="s">
        <v>1224</v>
      </c>
    </row>
    <row r="345">
      <c r="A345" s="494" t="s">
        <v>6361</v>
      </c>
      <c r="B345" s="75">
        <f>COUNTIFS(GERAL!B$8:B$1696,A345,GERAL!C$8:C$1696,"ESCOLA")</f>
        <v>1</v>
      </c>
      <c r="C345" s="75">
        <f>COUNTIFS(GERAL!B$8:B$1696,A345,GERAL!C$8:C$1696,"ANEXO")</f>
        <v>3</v>
      </c>
      <c r="D345" s="85">
        <f>SUMIF(GERAL!B$8:B$1696,A345,GERAL!Z$8:Z$1696)</f>
        <v>0</v>
      </c>
      <c r="E345" s="85">
        <f>SUMIF(GERAL!B$8:B$1696,A345,GERAL!AE$8:AE$1696)</f>
        <v>0</v>
      </c>
      <c r="F345" s="85">
        <f>SUMIF(GERAL!B$8:B$1696,A345,GERAL!AJ$8:AJ$1696)</f>
        <v>202</v>
      </c>
      <c r="G345" s="85">
        <f>SUMIF(GERAL!B$8:B$1696,A345,GERAL!AN$8:AN$1696)</f>
        <v>0</v>
      </c>
      <c r="H345" s="85">
        <f>SUMIF(GERAL!B$8:B$1696,A345,GERAL!AR$8:AW$1696)</f>
        <v>72</v>
      </c>
      <c r="I345" s="85">
        <f>SUMIF(GERAL!B$8:B$1696,A345,GERAL!AW$8:AW$1696)</f>
        <v>48</v>
      </c>
      <c r="J345" s="75">
        <f>SUMIF(GERAL!B$8:B$1696,A345,GERAL!AX$8:AX$1696)</f>
        <v>322</v>
      </c>
      <c r="K345" s="75">
        <f>COUNTIFS(GERAL!B$8:B$1696,A345,GERAL!AY$8:AY$1696,"&gt;0",GERAL!C$8:C$1696,"ESCOLA")</f>
        <v>1</v>
      </c>
      <c r="L345" s="75">
        <f>COUNTIFS(GERAL!B$8:B$1696,A345,GERAL!AY$8:AY$1696,"&gt;0",GERAL!C$8:C$1696,"ANEXO")</f>
        <v>2</v>
      </c>
      <c r="M345" s="100">
        <f>SUMIF(GERAL!B$8:B$1696,A345,GERAL!V$8:V$1696)+SUMIF(GERAL!B$8:B$1696,A345,GERAL!W$8:W$1696)</f>
        <v>0</v>
      </c>
      <c r="N345" s="100">
        <f>SUMIF(GERAL!B$8:B$1696,A345,GERAL!AA$8:AA$1696)+SUMIF(GERAL!B$8:B$1696,A345,GERAL!AB$8:AB$1696)</f>
        <v>0</v>
      </c>
      <c r="O345" s="100">
        <f>SUMIF(GERAL!B$8:B$1696,A345,GERAL!AF$8:AF$1696)+SUMIF(GERAL!B$8:B$1696,A345,GERAL!AG$8:AG$1696)</f>
        <v>128</v>
      </c>
      <c r="P345" s="100">
        <f>SUMIF(GERAL!B$8:B$1696,A345,GERAL!AK$8:AK$1696)+SUMIF(GERAL!B$8:B$1696,A345,GERAL!AL$8:AL$1696)</f>
        <v>0</v>
      </c>
      <c r="Q345" s="100">
        <f>SUMIF(GERAL!B$8:B$1696,A345,GERAL!AO$8:AO$1696)+SUMIF(GERAL!B$8:B$1696,A345,GERAL!AP$8:AP$1696)</f>
        <v>0</v>
      </c>
      <c r="R345" s="100">
        <f>SUMIF(GERAL!B$8:B$1696,A345,GERAL!AS$8:AS$1696)+SUMIF(GERAL!B$8:B$1696,A345,GERAL!AT$8:AT$1696)</f>
        <v>0</v>
      </c>
      <c r="S345" s="75">
        <f t="shared" si="39"/>
        <v>128</v>
      </c>
      <c r="T345" s="116">
        <f>COUNTIFS(GERAL!B$8:B$1696,A345,GERAL!AZ$8:AZ$1696,"&gt;0",GERAL!C$8:C$1696,"ESCOLA")</f>
        <v>1</v>
      </c>
      <c r="U345" s="75">
        <f>COUNTIFS(GERAL!B$8:B$1696,A345,GERAL!AZ$8:AZ$1696,"&gt;0",GERAL!C$8:C$1696,"ANEXO")</f>
        <v>2</v>
      </c>
      <c r="V345" s="85">
        <f>SUMIF(GERAL!B$8:B$1696,A345,GERAL!AH$8:AH$1696)</f>
        <v>0</v>
      </c>
      <c r="W345" s="85">
        <f>SUMIF(GERAL!B$8:B$1696,A345,GERAL!AM$8:AM$1696)</f>
        <v>0</v>
      </c>
      <c r="X345" s="85">
        <f>SUMIF(GERAL!B$8:B$1696,A345,GERAL!AQ$8:AQ$1696)</f>
        <v>72</v>
      </c>
      <c r="Y345" s="85">
        <f>SUMIF(GERAL!B$8:B$1696,A345,GERAL!AU$8:AU$1696)</f>
        <v>0</v>
      </c>
      <c r="Z345" s="88">
        <f t="shared" si="40"/>
        <v>72</v>
      </c>
      <c r="AA345" s="116">
        <f>COUNTIFS(GERAL!B$8:B$1696,A345,GERAL!BK$8:BK$1696,"&gt;0",GERAL!C$8:C$1696,"ESCOLA")</f>
        <v>1</v>
      </c>
      <c r="AB345" s="88">
        <f>COUNTIFS(GERAL!B$8:B$1696,A345,GERAL!BK$8:BK$1696,"&gt;0",GERAL!C$8:C$1696,"ANEXO")</f>
        <v>0</v>
      </c>
      <c r="AC345" s="121">
        <f>SUMIF(GERAL!B$8:B$1696,A345,GERAL!AD$8:AD$1696)</f>
        <v>0</v>
      </c>
      <c r="AD345" s="121">
        <f>SUMIF(GERAL!B$8:B$1696,A345,GERAL!AI$8:AI$1696)</f>
        <v>74</v>
      </c>
      <c r="AE345" s="121">
        <f>SUMIF(GERAL!B$8:B$1696,A345,GERAL!AV$8:AV$1696)</f>
        <v>48</v>
      </c>
      <c r="AF345" s="492">
        <f t="shared" si="41"/>
        <v>122</v>
      </c>
      <c r="AG345" s="178">
        <f>COUNTIFS(GERAL!B$8:B$1696,A345,GERAL!AW$8:AW$1696,"&gt;0",GERAL!C$8:C$1696,"ESCOLA")</f>
        <v>1</v>
      </c>
      <c r="AH345" s="118">
        <f>COUNTIFS(GERAL!B$8:B$1696,A345,GERAL!AW$8:AW$1696,"&gt;0",GERAL!C$8:C$1696,"ANEXO")</f>
        <v>0</v>
      </c>
      <c r="AI345" s="177">
        <f>SUMIF(GERAL!B$8:B$1696,A345,GERAL!AS$8:AS$1696)+SUMIF(GERAL!B$8:B$1696,A345,GERAL!AT$8:AT$1696)</f>
        <v>0</v>
      </c>
      <c r="AJ345" s="177">
        <f>SUMIF(GERAL!B$8:B$1696,A345,GERAL!AU$8:AU$1696)</f>
        <v>0</v>
      </c>
      <c r="AK345" s="177">
        <f>SUMIF(GERAL!B$8:B$1696,A345,GERAL!AV$8:AV$1696)</f>
        <v>48</v>
      </c>
      <c r="AL345" s="118">
        <f t="shared" si="42"/>
        <v>48</v>
      </c>
      <c r="AM345" s="493" t="s">
        <v>1393</v>
      </c>
    </row>
    <row r="346">
      <c r="A346" s="484" t="s">
        <v>988</v>
      </c>
      <c r="B346" s="75">
        <f>COUNTIFS(GERAL!B$8:B$1696,A346,GERAL!C$8:C$1696,"ESCOLA")</f>
        <v>2</v>
      </c>
      <c r="C346" s="75">
        <f>COUNTIFS(GERAL!B$8:B$1696,A346,GERAL!C$8:C$1696,"ANEXO")</f>
        <v>3</v>
      </c>
      <c r="D346" s="85">
        <f>SUMIF(GERAL!B$8:B$1696,A346,GERAL!Z$8:Z$1696)</f>
        <v>0</v>
      </c>
      <c r="E346" s="85">
        <f>SUMIF(GERAL!B$8:B$1696,A346,GERAL!AE$8:AE$1696)</f>
        <v>0</v>
      </c>
      <c r="F346" s="85">
        <f>SUMIF(GERAL!B$8:B$1696,A346,GERAL!AJ$8:AJ$1696)</f>
        <v>369</v>
      </c>
      <c r="G346" s="85">
        <f>SUMIF(GERAL!B$8:B$1696,A346,GERAL!AN$8:AN$1696)</f>
        <v>0</v>
      </c>
      <c r="H346" s="85">
        <f>SUMIF(GERAL!B$8:B$1696,A346,GERAL!AR$8:AW$1696)</f>
        <v>21</v>
      </c>
      <c r="I346" s="85">
        <f>SUMIF(GERAL!B$8:B$1696,A346,GERAL!AW$8:AW$1696)</f>
        <v>30</v>
      </c>
      <c r="J346" s="75">
        <f>SUMIF(GERAL!B$8:B$1696,A346,GERAL!AX$8:AX$1696)</f>
        <v>420</v>
      </c>
      <c r="K346" s="75">
        <f>COUNTIFS(GERAL!B$8:B$1696,A346,GERAL!AY$8:AY$1696,"&gt;0",GERAL!C$8:C$1696,"ESCOLA")</f>
        <v>2</v>
      </c>
      <c r="L346" s="75">
        <f>COUNTIFS(GERAL!B$8:B$1696,A346,GERAL!AY$8:AY$1696,"&gt;0",GERAL!C$8:C$1696,"ANEXO")</f>
        <v>3</v>
      </c>
      <c r="M346" s="100">
        <f>SUMIF(GERAL!B$8:B$1696,A346,GERAL!V$8:V$1696)+SUMIF(GERAL!B$8:B$1696,A346,GERAL!W$8:W$1696)</f>
        <v>0</v>
      </c>
      <c r="N346" s="100">
        <f>SUMIF(GERAL!B$8:B$1696,A346,GERAL!AA$8:AA$1696)+SUMIF(GERAL!B$8:B$1696,A346,GERAL!AB$8:AB$1696)</f>
        <v>0</v>
      </c>
      <c r="O346" s="100">
        <f>SUMIF(GERAL!B$8:B$1696,A346,GERAL!AF$8:AF$1696)+SUMIF(GERAL!B$8:B$1696,A346,GERAL!AG$8:AG$1696)</f>
        <v>147</v>
      </c>
      <c r="P346" s="100">
        <f>SUMIF(GERAL!B$8:B$1696,A346,GERAL!AK$8:AK$1696)+SUMIF(GERAL!B$8:B$1696,A346,GERAL!AL$8:AL$1696)</f>
        <v>0</v>
      </c>
      <c r="Q346" s="100">
        <f>SUMIF(GERAL!B$8:B$1696,A346,GERAL!AO$8:AO$1696)+SUMIF(GERAL!B$8:B$1696,A346,GERAL!AP$8:AP$1696)</f>
        <v>0</v>
      </c>
      <c r="R346" s="100">
        <f>SUMIF(GERAL!B$8:B$1696,A346,GERAL!AS$8:AS$1696)+SUMIF(GERAL!B$8:B$1696,A346,GERAL!AT$8:AT$1696)</f>
        <v>0</v>
      </c>
      <c r="S346" s="75">
        <f t="shared" si="39"/>
        <v>147</v>
      </c>
      <c r="T346" s="116">
        <f>COUNTIFS(GERAL!B$8:B$1696,A346,GERAL!AZ$8:AZ$1696,"&gt;0",GERAL!C$8:C$1696,"ESCOLA")</f>
        <v>1</v>
      </c>
      <c r="U346" s="75">
        <f>COUNTIFS(GERAL!B$8:B$1696,A346,GERAL!AZ$8:AZ$1696,"&gt;0",GERAL!C$8:C$1696,"ANEXO")</f>
        <v>0</v>
      </c>
      <c r="V346" s="85">
        <f>SUMIF(GERAL!B$8:B$1696,A346,GERAL!AH$8:AH$1696)</f>
        <v>0</v>
      </c>
      <c r="W346" s="85">
        <f>SUMIF(GERAL!B$8:B$1696,A346,GERAL!AM$8:AM$1696)</f>
        <v>0</v>
      </c>
      <c r="X346" s="85">
        <f>SUMIF(GERAL!B$8:B$1696,A346,GERAL!AQ$8:AQ$1696)</f>
        <v>21</v>
      </c>
      <c r="Y346" s="85">
        <f>SUMIF(GERAL!B$8:B$1696,A346,GERAL!AU$8:AU$1696)</f>
        <v>0</v>
      </c>
      <c r="Z346" s="88">
        <f t="shared" si="40"/>
        <v>21</v>
      </c>
      <c r="AA346" s="116">
        <f>COUNTIFS(GERAL!B$8:B$1696,A346,GERAL!BK$8:BK$1696,"&gt;0",GERAL!C$8:C$1696,"ESCOLA")</f>
        <v>2</v>
      </c>
      <c r="AB346" s="88">
        <f>COUNTIFS(GERAL!B$8:B$1696,A346,GERAL!BK$8:BK$1696,"&gt;0",GERAL!C$8:C$1696,"ANEXO")</f>
        <v>0</v>
      </c>
      <c r="AC346" s="121">
        <f>SUMIF(GERAL!B$8:B$1696,A346,GERAL!AD$8:AD$1696)</f>
        <v>0</v>
      </c>
      <c r="AD346" s="121">
        <f>SUMIF(GERAL!B$8:B$1696,A346,GERAL!AI$8:AI$1696)</f>
        <v>222</v>
      </c>
      <c r="AE346" s="121">
        <f>SUMIF(GERAL!B$8:B$1696,A346,GERAL!AV$8:AV$1696)</f>
        <v>30</v>
      </c>
      <c r="AF346" s="492">
        <f t="shared" si="41"/>
        <v>252</v>
      </c>
      <c r="AG346" s="178">
        <f>COUNTIFS(GERAL!B$8:B$1696,A346,GERAL!AW$8:AW$1696,"&gt;0",GERAL!C$8:C$1696,"ESCOLA")</f>
        <v>1</v>
      </c>
      <c r="AH346" s="118">
        <f>COUNTIFS(GERAL!B$8:B$1696,A346,GERAL!AW$8:AW$1696,"&gt;0",GERAL!C$8:C$1696,"ANEXO")</f>
        <v>0</v>
      </c>
      <c r="AI346" s="177">
        <f>SUMIF(GERAL!B$8:B$1696,A346,GERAL!AS$8:AS$1696)+SUMIF(GERAL!B$8:B$1696,A346,GERAL!AT$8:AT$1696)</f>
        <v>0</v>
      </c>
      <c r="AJ346" s="177">
        <f>SUMIF(GERAL!B$8:B$1696,A346,GERAL!AU$8:AU$1696)</f>
        <v>0</v>
      </c>
      <c r="AK346" s="177">
        <f>SUMIF(GERAL!B$8:B$1696,A346,GERAL!AV$8:AV$1696)</f>
        <v>30</v>
      </c>
      <c r="AL346" s="118">
        <f t="shared" si="42"/>
        <v>30</v>
      </c>
      <c r="AM346" s="493" t="s">
        <v>285</v>
      </c>
    </row>
    <row r="347">
      <c r="A347" s="494" t="s">
        <v>4251</v>
      </c>
      <c r="B347" s="75">
        <f>COUNTIFS(GERAL!B$8:B$1696,A347,GERAL!C$8:C$1696,"ESCOLA")</f>
        <v>2</v>
      </c>
      <c r="C347" s="75">
        <f>COUNTIFS(GERAL!B$8:B$1696,A347,GERAL!C$8:C$1696,"ANEXO")</f>
        <v>0</v>
      </c>
      <c r="D347" s="85">
        <f>SUMIF(GERAL!B$8:B$1696,A347,GERAL!Z$8:Z$1696)</f>
        <v>0</v>
      </c>
      <c r="E347" s="85">
        <f>SUMIF(GERAL!B$8:B$1696,A347,GERAL!AE$8:AE$1696)</f>
        <v>0</v>
      </c>
      <c r="F347" s="85">
        <f>SUMIF(GERAL!B$8:B$1696,A347,GERAL!AJ$8:AJ$1696)</f>
        <v>322</v>
      </c>
      <c r="G347" s="85">
        <f>SUMIF(GERAL!B$8:B$1696,A347,GERAL!AN$8:AN$1696)</f>
        <v>0</v>
      </c>
      <c r="H347" s="85">
        <f>SUMIF(GERAL!B$8:B$1696,A347,GERAL!AR$8:AW$1696)</f>
        <v>81</v>
      </c>
      <c r="I347" s="85">
        <f>SUMIF(GERAL!B$8:B$1696,A347,GERAL!AW$8:AW$1696)</f>
        <v>49</v>
      </c>
      <c r="J347" s="75">
        <f>SUMIF(GERAL!B$8:B$1696,A347,GERAL!AX$8:AX$1696)</f>
        <v>452</v>
      </c>
      <c r="K347" s="75">
        <f>COUNTIFS(GERAL!B$8:B$1696,A347,GERAL!AY$8:AY$1696,"&gt;0",GERAL!C$8:C$1696,"ESCOLA")</f>
        <v>2</v>
      </c>
      <c r="L347" s="75">
        <f>COUNTIFS(GERAL!B$8:B$1696,A347,GERAL!AY$8:AY$1696,"&gt;0",GERAL!C$8:C$1696,"ANEXO")</f>
        <v>0</v>
      </c>
      <c r="M347" s="100">
        <f>SUMIF(GERAL!B$8:B$1696,A347,GERAL!V$8:V$1696)+SUMIF(GERAL!B$8:B$1696,A347,GERAL!W$8:W$1696)</f>
        <v>0</v>
      </c>
      <c r="N347" s="100">
        <f>SUMIF(GERAL!B$8:B$1696,A347,GERAL!AA$8:AA$1696)+SUMIF(GERAL!B$8:B$1696,A347,GERAL!AB$8:AB$1696)</f>
        <v>0</v>
      </c>
      <c r="O347" s="100">
        <f>SUMIF(GERAL!B$8:B$1696,A347,GERAL!AF$8:AF$1696)+SUMIF(GERAL!B$8:B$1696,A347,GERAL!AG$8:AG$1696)</f>
        <v>42</v>
      </c>
      <c r="P347" s="100">
        <f>SUMIF(GERAL!B$8:B$1696,A347,GERAL!AK$8:AK$1696)+SUMIF(GERAL!B$8:B$1696,A347,GERAL!AL$8:AL$1696)</f>
        <v>0</v>
      </c>
      <c r="Q347" s="100">
        <f>SUMIF(GERAL!B$8:B$1696,A347,GERAL!AO$8:AO$1696)+SUMIF(GERAL!B$8:B$1696,A347,GERAL!AP$8:AP$1696)</f>
        <v>0</v>
      </c>
      <c r="R347" s="100">
        <f>SUMIF(GERAL!B$8:B$1696,A347,GERAL!AS$8:AS$1696)+SUMIF(GERAL!B$8:B$1696,A347,GERAL!AT$8:AT$1696)</f>
        <v>0</v>
      </c>
      <c r="S347" s="75">
        <f t="shared" si="39"/>
        <v>42</v>
      </c>
      <c r="T347" s="116">
        <f>COUNTIFS(GERAL!B$8:B$1696,A347,GERAL!AZ$8:AZ$1696,"&gt;0",GERAL!C$8:C$1696,"ESCOLA")</f>
        <v>1</v>
      </c>
      <c r="U347" s="75">
        <f>COUNTIFS(GERAL!B$8:B$1696,A347,GERAL!AZ$8:AZ$1696,"&gt;0",GERAL!C$8:C$1696,"ANEXO")</f>
        <v>0</v>
      </c>
      <c r="V347" s="85">
        <f>SUMIF(GERAL!B$8:B$1696,A347,GERAL!AH$8:AH$1696)</f>
        <v>0</v>
      </c>
      <c r="W347" s="85">
        <f>SUMIF(GERAL!B$8:B$1696,A347,GERAL!AM$8:AM$1696)</f>
        <v>0</v>
      </c>
      <c r="X347" s="85">
        <f>SUMIF(GERAL!B$8:B$1696,A347,GERAL!AQ$8:AQ$1696)</f>
        <v>81</v>
      </c>
      <c r="Y347" s="85">
        <f>SUMIF(GERAL!B$8:B$1696,A347,GERAL!AU$8:AU$1696)</f>
        <v>0</v>
      </c>
      <c r="Z347" s="88">
        <f t="shared" si="40"/>
        <v>81</v>
      </c>
      <c r="AA347" s="116">
        <f>COUNTIFS(GERAL!B$8:B$1696,A347,GERAL!BK$8:BK$1696,"&gt;0",GERAL!C$8:C$1696,"ESCOLA")</f>
        <v>2</v>
      </c>
      <c r="AB347" s="88">
        <f>COUNTIFS(GERAL!B$8:B$1696,A347,GERAL!BK$8:BK$1696,"&gt;0",GERAL!C$8:C$1696,"ANEXO")</f>
        <v>0</v>
      </c>
      <c r="AC347" s="121">
        <f>SUMIF(GERAL!B$8:B$1696,A347,GERAL!AD$8:AD$1696)</f>
        <v>0</v>
      </c>
      <c r="AD347" s="121">
        <f>SUMIF(GERAL!B$8:B$1696,A347,GERAL!AI$8:AI$1696)</f>
        <v>280</v>
      </c>
      <c r="AE347" s="121">
        <f>SUMIF(GERAL!B$8:B$1696,A347,GERAL!AV$8:AV$1696)</f>
        <v>49</v>
      </c>
      <c r="AF347" s="492">
        <f t="shared" si="41"/>
        <v>329</v>
      </c>
      <c r="AG347" s="178">
        <f>COUNTIFS(GERAL!B$8:B$1696,A347,GERAL!AW$8:AW$1696,"&gt;0",GERAL!C$8:C$1696,"ESCOLA")</f>
        <v>1</v>
      </c>
      <c r="AH347" s="118">
        <f>COUNTIFS(GERAL!B$8:B$1696,A347,GERAL!AW$8:AW$1696,"&gt;0",GERAL!C$8:C$1696,"ANEXO")</f>
        <v>0</v>
      </c>
      <c r="AI347" s="177">
        <f>SUMIF(GERAL!B$8:B$1696,A347,GERAL!AS$8:AS$1696)+SUMIF(GERAL!B$8:B$1696,A347,GERAL!AT$8:AT$1696)</f>
        <v>0</v>
      </c>
      <c r="AJ347" s="177">
        <f>SUMIF(GERAL!B$8:B$1696,A347,GERAL!AU$8:AU$1696)</f>
        <v>0</v>
      </c>
      <c r="AK347" s="177">
        <f>SUMIF(GERAL!B$8:B$1696,A347,GERAL!AV$8:AV$1696)</f>
        <v>49</v>
      </c>
      <c r="AL347" s="118">
        <f t="shared" si="42"/>
        <v>49</v>
      </c>
      <c r="AM347" s="493" t="s">
        <v>973</v>
      </c>
    </row>
    <row r="348">
      <c r="A348" s="484" t="s">
        <v>4001</v>
      </c>
      <c r="B348" s="75">
        <f>COUNTIFS(GERAL!B$8:B$1696,A348,GERAL!C$8:C$1696,"ESCOLA")</f>
        <v>2</v>
      </c>
      <c r="C348" s="75">
        <f>COUNTIFS(GERAL!B$8:B$1696,A348,GERAL!C$8:C$1696,"ANEXO")</f>
        <v>2</v>
      </c>
      <c r="D348" s="85">
        <f>SUMIF(GERAL!B$8:B$1696,A348,GERAL!Z$8:Z$1696)</f>
        <v>0</v>
      </c>
      <c r="E348" s="85">
        <f>SUMIF(GERAL!B$8:B$1696,A348,GERAL!AE$8:AE$1696)</f>
        <v>68</v>
      </c>
      <c r="F348" s="85">
        <f>SUMIF(GERAL!B$8:B$1696,A348,GERAL!AJ$8:AJ$1696)</f>
        <v>342</v>
      </c>
      <c r="G348" s="85">
        <f>SUMIF(GERAL!B$8:B$1696,A348,GERAL!AN$8:AN$1696)</f>
        <v>0</v>
      </c>
      <c r="H348" s="85">
        <f>SUMIF(GERAL!B$8:B$1696,A348,GERAL!AR$8:AW$1696)</f>
        <v>74</v>
      </c>
      <c r="I348" s="85">
        <f>SUMIF(GERAL!B$8:B$1696,A348,GERAL!AW$8:AW$1696)</f>
        <v>62</v>
      </c>
      <c r="J348" s="75">
        <f>SUMIF(GERAL!B$8:B$1696,A348,GERAL!AX$8:AX$1696)</f>
        <v>546</v>
      </c>
      <c r="K348" s="75">
        <f>COUNTIFS(GERAL!B$8:B$1696,A348,GERAL!AY$8:AY$1696,"&gt;0",GERAL!C$8:C$1696,"ESCOLA")</f>
        <v>2</v>
      </c>
      <c r="L348" s="75">
        <f>COUNTIFS(GERAL!B$8:B$1696,A348,GERAL!AY$8:AY$1696,"&gt;0",GERAL!C$8:C$1696,"ANEXO")</f>
        <v>2</v>
      </c>
      <c r="M348" s="100">
        <f>SUMIF(GERAL!B$8:B$1696,A348,GERAL!V$8:V$1696)+SUMIF(GERAL!B$8:B$1696,A348,GERAL!W$8:W$1696)</f>
        <v>0</v>
      </c>
      <c r="N348" s="100">
        <f>SUMIF(GERAL!B$8:B$1696,A348,GERAL!AA$8:AA$1696)+SUMIF(GERAL!B$8:B$1696,A348,GERAL!AB$8:AB$1696)</f>
        <v>54</v>
      </c>
      <c r="O348" s="100">
        <f>SUMIF(GERAL!B$8:B$1696,A348,GERAL!AF$8:AF$1696)+SUMIF(GERAL!B$8:B$1696,A348,GERAL!AG$8:AG$1696)</f>
        <v>58</v>
      </c>
      <c r="P348" s="100">
        <f>SUMIF(GERAL!B$8:B$1696,A348,GERAL!AK$8:AK$1696)+SUMIF(GERAL!B$8:B$1696,A348,GERAL!AL$8:AL$1696)</f>
        <v>0</v>
      </c>
      <c r="Q348" s="100">
        <f>SUMIF(GERAL!B$8:B$1696,A348,GERAL!AO$8:AO$1696)+SUMIF(GERAL!B$8:B$1696,A348,GERAL!AP$8:AP$1696)</f>
        <v>0</v>
      </c>
      <c r="R348" s="100">
        <f>SUMIF(GERAL!B$8:B$1696,A348,GERAL!AS$8:AS$1696)+SUMIF(GERAL!B$8:B$1696,A348,GERAL!AT$8:AT$1696)</f>
        <v>0</v>
      </c>
      <c r="S348" s="75">
        <f t="shared" si="39"/>
        <v>112</v>
      </c>
      <c r="T348" s="116">
        <f>COUNTIFS(GERAL!B$8:B$1696,A348,GERAL!AZ$8:AZ$1696,"&gt;0",GERAL!C$8:C$1696,"ESCOLA")</f>
        <v>1</v>
      </c>
      <c r="U348" s="75">
        <f>COUNTIFS(GERAL!B$8:B$1696,A348,GERAL!AZ$8:AZ$1696,"&gt;0",GERAL!C$8:C$1696,"ANEXO")</f>
        <v>0</v>
      </c>
      <c r="V348" s="85">
        <f>SUMIF(GERAL!B$8:B$1696,A348,GERAL!AH$8:AH$1696)</f>
        <v>0</v>
      </c>
      <c r="W348" s="85">
        <f>SUMIF(GERAL!B$8:B$1696,A348,GERAL!AM$8:AM$1696)</f>
        <v>0</v>
      </c>
      <c r="X348" s="85">
        <f>SUMIF(GERAL!B$8:B$1696,A348,GERAL!AQ$8:AQ$1696)</f>
        <v>74</v>
      </c>
      <c r="Y348" s="85">
        <f>SUMIF(GERAL!B$8:B$1696,A348,GERAL!AU$8:AU$1696)</f>
        <v>0</v>
      </c>
      <c r="Z348" s="88">
        <f t="shared" si="40"/>
        <v>74</v>
      </c>
      <c r="AA348" s="116">
        <f>COUNTIFS(GERAL!B$8:B$1696,A348,GERAL!BK$8:BK$1696,"&gt;0",GERAL!C$8:C$1696,"ESCOLA")</f>
        <v>2</v>
      </c>
      <c r="AB348" s="88">
        <f>COUNTIFS(GERAL!B$8:B$1696,A348,GERAL!BK$8:BK$1696,"&gt;0",GERAL!C$8:C$1696,"ANEXO")</f>
        <v>0</v>
      </c>
      <c r="AC348" s="121">
        <f>SUMIF(GERAL!B$8:B$1696,A348,GERAL!AD$8:AD$1696)</f>
        <v>14</v>
      </c>
      <c r="AD348" s="121">
        <f>SUMIF(GERAL!B$8:B$1696,A348,GERAL!AI$8:AI$1696)</f>
        <v>284</v>
      </c>
      <c r="AE348" s="121">
        <f>SUMIF(GERAL!B$8:B$1696,A348,GERAL!AV$8:AV$1696)</f>
        <v>62</v>
      </c>
      <c r="AF348" s="492">
        <f t="shared" si="41"/>
        <v>360</v>
      </c>
      <c r="AG348" s="178">
        <f>COUNTIFS(GERAL!B$8:B$1696,A348,GERAL!AW$8:AW$1696,"&gt;0",GERAL!C$8:C$1696,"ESCOLA")</f>
        <v>1</v>
      </c>
      <c r="AH348" s="118">
        <f>COUNTIFS(GERAL!B$8:B$1696,A348,GERAL!AW$8:AW$1696,"&gt;0",GERAL!C$8:C$1696,"ANEXO")</f>
        <v>0</v>
      </c>
      <c r="AI348" s="177">
        <f>SUMIF(GERAL!B$8:B$1696,A348,GERAL!AS$8:AS$1696)+SUMIF(GERAL!B$8:B$1696,A348,GERAL!AT$8:AT$1696)</f>
        <v>0</v>
      </c>
      <c r="AJ348" s="177">
        <f>SUMIF(GERAL!B$8:B$1696,A348,GERAL!AU$8:AU$1696)</f>
        <v>0</v>
      </c>
      <c r="AK348" s="177">
        <f>SUMIF(GERAL!B$8:B$1696,A348,GERAL!AV$8:AV$1696)</f>
        <v>62</v>
      </c>
      <c r="AL348" s="118">
        <f t="shared" si="42"/>
        <v>62</v>
      </c>
      <c r="AM348" s="493" t="s">
        <v>914</v>
      </c>
    </row>
    <row r="349">
      <c r="A349" s="494" t="s">
        <v>2518</v>
      </c>
      <c r="B349" s="75">
        <f>COUNTIFS(GERAL!B$8:B$1696,A349,GERAL!C$8:C$1696,"ESCOLA")</f>
        <v>1</v>
      </c>
      <c r="C349" s="75">
        <f>COUNTIFS(GERAL!B$8:B$1696,A349,GERAL!C$8:C$1696,"ANEXO")</f>
        <v>0</v>
      </c>
      <c r="D349" s="85">
        <f>SUMIF(GERAL!B$8:B$1696,A349,GERAL!Z$8:Z$1696)</f>
        <v>0</v>
      </c>
      <c r="E349" s="85">
        <f>SUMIF(GERAL!B$8:B$1696,A349,GERAL!AE$8:AE$1696)</f>
        <v>0</v>
      </c>
      <c r="F349" s="85">
        <f>SUMIF(GERAL!B$8:B$1696,A349,GERAL!AJ$8:AJ$1696)</f>
        <v>1101</v>
      </c>
      <c r="G349" s="85">
        <f>SUMIF(GERAL!B$8:B$1696,A349,GERAL!AN$8:AN$1696)</f>
        <v>0</v>
      </c>
      <c r="H349" s="85">
        <f>SUMIF(GERAL!B$8:B$1696,A349,GERAL!AR$8:AW$1696)</f>
        <v>208</v>
      </c>
      <c r="I349" s="85">
        <f>SUMIF(GERAL!B$8:B$1696,A349,GERAL!AW$8:AW$1696)</f>
        <v>132</v>
      </c>
      <c r="J349" s="75">
        <f>SUMIF(GERAL!B$8:B$1696,A349,GERAL!AX$8:AX$1696)</f>
        <v>1441</v>
      </c>
      <c r="K349" s="75">
        <f>COUNTIFS(GERAL!B$8:B$1696,A349,GERAL!AY$8:AY$1696,"&gt;0",GERAL!C$8:C$1696,"ESCOLA")</f>
        <v>1</v>
      </c>
      <c r="L349" s="75">
        <f>COUNTIFS(GERAL!B$8:B$1696,A349,GERAL!AY$8:AY$1696,"&gt;0",GERAL!C$8:C$1696,"ANEXO")</f>
        <v>0</v>
      </c>
      <c r="M349" s="100">
        <f>SUMIF(GERAL!B$8:B$1696,A349,GERAL!V$8:V$1696)+SUMIF(GERAL!B$8:B$1696,A349,GERAL!W$8:W$1696)</f>
        <v>0</v>
      </c>
      <c r="N349" s="100">
        <f>SUMIF(GERAL!B$8:B$1696,A349,GERAL!AA$8:AA$1696)+SUMIF(GERAL!B$8:B$1696,A349,GERAL!AB$8:AB$1696)</f>
        <v>0</v>
      </c>
      <c r="O349" s="100">
        <f>SUMIF(GERAL!B$8:B$1696,A349,GERAL!AF$8:AF$1696)+SUMIF(GERAL!B$8:B$1696,A349,GERAL!AG$8:AG$1696)</f>
        <v>959</v>
      </c>
      <c r="P349" s="100">
        <f>SUMIF(GERAL!B$8:B$1696,A349,GERAL!AK$8:AK$1696)+SUMIF(GERAL!B$8:B$1696,A349,GERAL!AL$8:AL$1696)</f>
        <v>0</v>
      </c>
      <c r="Q349" s="100">
        <f>SUMIF(GERAL!B$8:B$1696,A349,GERAL!AO$8:AO$1696)+SUMIF(GERAL!B$8:B$1696,A349,GERAL!AP$8:AP$1696)</f>
        <v>0</v>
      </c>
      <c r="R349" s="100">
        <f>SUMIF(GERAL!B$8:B$1696,A349,GERAL!AS$8:AS$1696)+SUMIF(GERAL!B$8:B$1696,A349,GERAL!AT$8:AT$1696)</f>
        <v>132</v>
      </c>
      <c r="S349" s="75">
        <f t="shared" si="39"/>
        <v>1091</v>
      </c>
      <c r="T349" s="116">
        <f>COUNTIFS(GERAL!B$8:B$1696,A349,GERAL!AZ$8:AZ$1696,"&gt;0",GERAL!C$8:C$1696,"ESCOLA")</f>
        <v>1</v>
      </c>
      <c r="U349" s="75">
        <f>COUNTIFS(GERAL!B$8:B$1696,A349,GERAL!AZ$8:AZ$1696,"&gt;0",GERAL!C$8:C$1696,"ANEXO")</f>
        <v>0</v>
      </c>
      <c r="V349" s="85">
        <f>SUMIF(GERAL!B$8:B$1696,A349,GERAL!AH$8:AH$1696)</f>
        <v>0</v>
      </c>
      <c r="W349" s="85">
        <f>SUMIF(GERAL!B$8:B$1696,A349,GERAL!AM$8:AM$1696)</f>
        <v>0</v>
      </c>
      <c r="X349" s="85">
        <f>SUMIF(GERAL!B$8:B$1696,A349,GERAL!AQ$8:AQ$1696)</f>
        <v>208</v>
      </c>
      <c r="Y349" s="85">
        <f>SUMIF(GERAL!B$8:B$1696,A349,GERAL!AU$8:AU$1696)</f>
        <v>0</v>
      </c>
      <c r="Z349" s="88">
        <f t="shared" si="40"/>
        <v>208</v>
      </c>
      <c r="AA349" s="116">
        <f>COUNTIFS(GERAL!B$8:B$1696,A349,GERAL!BK$8:BK$1696,"&gt;0",GERAL!C$8:C$1696,"ESCOLA")</f>
        <v>1</v>
      </c>
      <c r="AB349" s="88">
        <f>COUNTIFS(GERAL!B$8:B$1696,A349,GERAL!BK$8:BK$1696,"&gt;0",GERAL!C$8:C$1696,"ANEXO")</f>
        <v>0</v>
      </c>
      <c r="AC349" s="121">
        <f>SUMIF(GERAL!B$8:B$1696,A349,GERAL!AD$8:AD$1696)</f>
        <v>0</v>
      </c>
      <c r="AD349" s="121">
        <f>SUMIF(GERAL!B$8:B$1696,A349,GERAL!AI$8:AI$1696)</f>
        <v>142</v>
      </c>
      <c r="AE349" s="121">
        <f>SUMIF(GERAL!B$8:B$1696,A349,GERAL!AV$8:AV$1696)</f>
        <v>0</v>
      </c>
      <c r="AF349" s="492">
        <f t="shared" si="41"/>
        <v>142</v>
      </c>
      <c r="AG349" s="178">
        <f>COUNTIFS(GERAL!B$8:B$1696,A349,GERAL!AW$8:AW$1696,"&gt;0",GERAL!C$8:C$1696,"ESCOLA")</f>
        <v>1</v>
      </c>
      <c r="AH349" s="118">
        <f>COUNTIFS(GERAL!B$8:B$1696,A349,GERAL!AW$8:AW$1696,"&gt;0",GERAL!C$8:C$1696,"ANEXO")</f>
        <v>0</v>
      </c>
      <c r="AI349" s="177">
        <f>SUMIF(GERAL!B$8:B$1696,A349,GERAL!AS$8:AS$1696)+SUMIF(GERAL!B$8:B$1696,A349,GERAL!AT$8:AT$1696)</f>
        <v>132</v>
      </c>
      <c r="AJ349" s="177">
        <f>SUMIF(GERAL!B$8:B$1696,A349,GERAL!AU$8:AU$1696)</f>
        <v>0</v>
      </c>
      <c r="AK349" s="177">
        <f>SUMIF(GERAL!B$8:B$1696,A349,GERAL!AV$8:AV$1696)</f>
        <v>0</v>
      </c>
      <c r="AL349" s="118">
        <f t="shared" si="42"/>
        <v>132</v>
      </c>
      <c r="AM349" s="493" t="s">
        <v>1281</v>
      </c>
    </row>
    <row r="350">
      <c r="A350" s="484" t="s">
        <v>7654</v>
      </c>
      <c r="B350" s="75">
        <f>COUNTIFS(GERAL!B$8:B$1696,A350,GERAL!C$8:C$1696,"ESCOLA")</f>
        <v>2</v>
      </c>
      <c r="C350" s="75">
        <f>COUNTIFS(GERAL!B$8:B$1696,A350,GERAL!C$8:C$1696,"ANEXO")</f>
        <v>0</v>
      </c>
      <c r="D350" s="85">
        <f>SUMIF(GERAL!B$8:B$1696,A350,GERAL!Z$8:Z$1696)</f>
        <v>34</v>
      </c>
      <c r="E350" s="85">
        <f>SUMIF(GERAL!B$8:B$1696,A350,GERAL!AE$8:AE$1696)</f>
        <v>153</v>
      </c>
      <c r="F350" s="85">
        <f>SUMIF(GERAL!B$8:B$1696,A350,GERAL!AJ$8:AJ$1696)</f>
        <v>319</v>
      </c>
      <c r="G350" s="85">
        <f>SUMIF(GERAL!B$8:B$1696,A350,GERAL!AN$8:AN$1696)</f>
        <v>5</v>
      </c>
      <c r="H350" s="85">
        <f>SUMIF(GERAL!B$8:B$1696,A350,GERAL!AR$8:AW$1696)</f>
        <v>47</v>
      </c>
      <c r="I350" s="85">
        <f>SUMIF(GERAL!B$8:B$1696,A350,GERAL!AW$8:AW$1696)</f>
        <v>37</v>
      </c>
      <c r="J350" s="75">
        <f>SUMIF(GERAL!B$8:B$1696,A350,GERAL!AX$8:AX$1696)</f>
        <v>595</v>
      </c>
      <c r="K350" s="75">
        <f>COUNTIFS(GERAL!B$8:B$1696,A350,GERAL!AY$8:AY$1696,"&gt;0",GERAL!C$8:C$1696,"ESCOLA")</f>
        <v>2</v>
      </c>
      <c r="L350" s="75">
        <f>COUNTIFS(GERAL!B$8:B$1696,A350,GERAL!AY$8:AY$1696,"&gt;0",GERAL!C$8:C$1696,"ANEXO")</f>
        <v>0</v>
      </c>
      <c r="M350" s="100">
        <f>SUMIF(GERAL!B$8:B$1696,A350,GERAL!V$8:V$1696)+SUMIF(GERAL!B$8:B$1696,A350,GERAL!W$8:W$1696)</f>
        <v>34</v>
      </c>
      <c r="N350" s="100">
        <f>SUMIF(GERAL!B$8:B$1696,A350,GERAL!AA$8:AA$1696)+SUMIF(GERAL!B$8:B$1696,A350,GERAL!AB$8:AB$1696)</f>
        <v>153</v>
      </c>
      <c r="O350" s="100">
        <f>SUMIF(GERAL!B$8:B$1696,A350,GERAL!AF$8:AF$1696)+SUMIF(GERAL!B$8:B$1696,A350,GERAL!AG$8:AG$1696)</f>
        <v>191</v>
      </c>
      <c r="P350" s="100">
        <f>SUMIF(GERAL!B$8:B$1696,A350,GERAL!AK$8:AK$1696)+SUMIF(GERAL!B$8:B$1696,A350,GERAL!AL$8:AL$1696)</f>
        <v>0</v>
      </c>
      <c r="Q350" s="100">
        <f>SUMIF(GERAL!B$8:B$1696,A350,GERAL!AO$8:AO$1696)+SUMIF(GERAL!B$8:B$1696,A350,GERAL!AP$8:AP$1696)</f>
        <v>0</v>
      </c>
      <c r="R350" s="100">
        <f>SUMIF(GERAL!B$8:B$1696,A350,GERAL!AS$8:AS$1696)+SUMIF(GERAL!B$8:B$1696,A350,GERAL!AT$8:AT$1696)</f>
        <v>37</v>
      </c>
      <c r="S350" s="75">
        <f t="shared" si="39"/>
        <v>415</v>
      </c>
      <c r="T350" s="116">
        <f>COUNTIFS(GERAL!B$8:B$1696,A350,GERAL!AZ$8:AZ$1696,"&gt;0",GERAL!C$8:C$1696,"ESCOLA")</f>
        <v>2</v>
      </c>
      <c r="U350" s="75">
        <f>COUNTIFS(GERAL!B$8:B$1696,A350,GERAL!AZ$8:AZ$1696,"&gt;0",GERAL!C$8:C$1696,"ANEXO")</f>
        <v>0</v>
      </c>
      <c r="V350" s="85">
        <f>SUMIF(GERAL!B$8:B$1696,A350,GERAL!AH$8:AH$1696)</f>
        <v>54</v>
      </c>
      <c r="W350" s="85">
        <f>SUMIF(GERAL!B$8:B$1696,A350,GERAL!AM$8:AM$1696)</f>
        <v>5</v>
      </c>
      <c r="X350" s="85">
        <f>SUMIF(GERAL!B$8:B$1696,A350,GERAL!AQ$8:AQ$1696)</f>
        <v>47</v>
      </c>
      <c r="Y350" s="85">
        <f>SUMIF(GERAL!B$8:B$1696,A350,GERAL!AU$8:AU$1696)</f>
        <v>0</v>
      </c>
      <c r="Z350" s="88">
        <f t="shared" si="40"/>
        <v>106</v>
      </c>
      <c r="AA350" s="116">
        <f>COUNTIFS(GERAL!B$8:B$1696,A350,GERAL!BK$8:BK$1696,"&gt;0",GERAL!C$8:C$1696,"ESCOLA")</f>
        <v>1</v>
      </c>
      <c r="AB350" s="88">
        <f>COUNTIFS(GERAL!B$8:B$1696,A350,GERAL!BK$8:BK$1696,"&gt;0",GERAL!C$8:C$1696,"ANEXO")</f>
        <v>0</v>
      </c>
      <c r="AC350" s="121">
        <f>SUMIF(GERAL!B$8:B$1696,A350,GERAL!AD$8:AD$1696)</f>
        <v>0</v>
      </c>
      <c r="AD350" s="121">
        <f>SUMIF(GERAL!B$8:B$1696,A350,GERAL!AI$8:AI$1696)</f>
        <v>74</v>
      </c>
      <c r="AE350" s="121">
        <f>SUMIF(GERAL!B$8:B$1696,A350,GERAL!AV$8:AV$1696)</f>
        <v>0</v>
      </c>
      <c r="AF350" s="492">
        <f t="shared" si="41"/>
        <v>74</v>
      </c>
      <c r="AG350" s="178">
        <f>COUNTIFS(GERAL!B$8:B$1696,A350,GERAL!AW$8:AW$1696,"&gt;0",GERAL!C$8:C$1696,"ESCOLA")</f>
        <v>1</v>
      </c>
      <c r="AH350" s="118">
        <f>COUNTIFS(GERAL!B$8:B$1696,A350,GERAL!AW$8:AW$1696,"&gt;0",GERAL!C$8:C$1696,"ANEXO")</f>
        <v>0</v>
      </c>
      <c r="AI350" s="177">
        <f>SUMIF(GERAL!B$8:B$1696,A350,GERAL!AS$8:AS$1696)+SUMIF(GERAL!B$8:B$1696,A350,GERAL!AT$8:AT$1696)</f>
        <v>37</v>
      </c>
      <c r="AJ350" s="177">
        <f>SUMIF(GERAL!B$8:B$1696,A350,GERAL!AU$8:AU$1696)</f>
        <v>0</v>
      </c>
      <c r="AK350" s="177">
        <f>SUMIF(GERAL!B$8:B$1696,A350,GERAL!AV$8:AV$1696)</f>
        <v>0</v>
      </c>
      <c r="AL350" s="118">
        <f t="shared" si="42"/>
        <v>37</v>
      </c>
      <c r="AM350" s="493" t="s">
        <v>1629</v>
      </c>
    </row>
    <row r="351">
      <c r="A351" s="494" t="s">
        <v>4478</v>
      </c>
      <c r="B351" s="75">
        <f>COUNTIFS(GERAL!B$8:B$1696,A351,GERAL!C$8:C$1696,"ESCOLA")</f>
        <v>1</v>
      </c>
      <c r="C351" s="75">
        <f>COUNTIFS(GERAL!B$8:B$1696,A351,GERAL!C$8:C$1696,"ANEXO")</f>
        <v>2</v>
      </c>
      <c r="D351" s="85">
        <f>SUMIF(GERAL!B$8:B$1696,A351,GERAL!Z$8:Z$1696)</f>
        <v>0</v>
      </c>
      <c r="E351" s="85">
        <f>SUMIF(GERAL!B$8:B$1696,A351,GERAL!AE$8:AE$1696)</f>
        <v>0</v>
      </c>
      <c r="F351" s="85">
        <f>SUMIF(GERAL!B$8:B$1696,A351,GERAL!AJ$8:AJ$1696)</f>
        <v>781</v>
      </c>
      <c r="G351" s="85">
        <f>SUMIF(GERAL!B$8:B$1696,A351,GERAL!AN$8:AN$1696)</f>
        <v>0</v>
      </c>
      <c r="H351" s="85">
        <f>SUMIF(GERAL!B$8:B$1696,A351,GERAL!AR$8:AW$1696)</f>
        <v>208</v>
      </c>
      <c r="I351" s="85">
        <f>SUMIF(GERAL!B$8:B$1696,A351,GERAL!AW$8:AW$1696)</f>
        <v>262</v>
      </c>
      <c r="J351" s="75">
        <f>SUMIF(GERAL!B$8:B$1696,A351,GERAL!AX$8:AX$1696)</f>
        <v>1251</v>
      </c>
      <c r="K351" s="75">
        <f>COUNTIFS(GERAL!B$8:B$1696,A351,GERAL!AY$8:AY$1696,"&gt;0",GERAL!C$8:C$1696,"ESCOLA")</f>
        <v>1</v>
      </c>
      <c r="L351" s="75">
        <f>COUNTIFS(GERAL!B$8:B$1696,A351,GERAL!AY$8:AY$1696,"&gt;0",GERAL!C$8:C$1696,"ANEXO")</f>
        <v>2</v>
      </c>
      <c r="M351" s="100">
        <f>SUMIF(GERAL!B$8:B$1696,A351,GERAL!V$8:V$1696)+SUMIF(GERAL!B$8:B$1696,A351,GERAL!W$8:W$1696)</f>
        <v>0</v>
      </c>
      <c r="N351" s="100">
        <f>SUMIF(GERAL!B$8:B$1696,A351,GERAL!AA$8:AA$1696)+SUMIF(GERAL!B$8:B$1696,A351,GERAL!AB$8:AB$1696)</f>
        <v>0</v>
      </c>
      <c r="O351" s="100">
        <f>SUMIF(GERAL!B$8:B$1696,A351,GERAL!AF$8:AF$1696)+SUMIF(GERAL!B$8:B$1696,A351,GERAL!AG$8:AG$1696)</f>
        <v>101</v>
      </c>
      <c r="P351" s="100">
        <f>SUMIF(GERAL!B$8:B$1696,A351,GERAL!AK$8:AK$1696)+SUMIF(GERAL!B$8:B$1696,A351,GERAL!AL$8:AL$1696)</f>
        <v>0</v>
      </c>
      <c r="Q351" s="100">
        <f>SUMIF(GERAL!B$8:B$1696,A351,GERAL!AO$8:AO$1696)+SUMIF(GERAL!B$8:B$1696,A351,GERAL!AP$8:AP$1696)</f>
        <v>0</v>
      </c>
      <c r="R351" s="100">
        <f>SUMIF(GERAL!B$8:B$1696,A351,GERAL!AS$8:AS$1696)+SUMIF(GERAL!B$8:B$1696,A351,GERAL!AT$8:AT$1696)</f>
        <v>83</v>
      </c>
      <c r="S351" s="75">
        <f t="shared" si="39"/>
        <v>184</v>
      </c>
      <c r="T351" s="116">
        <f>COUNTIFS(GERAL!B$8:B$1696,A351,GERAL!AZ$8:AZ$1696,"&gt;0",GERAL!C$8:C$1696,"ESCOLA")</f>
        <v>1</v>
      </c>
      <c r="U351" s="75">
        <f>COUNTIFS(GERAL!B$8:B$1696,A351,GERAL!AZ$8:AZ$1696,"&gt;0",GERAL!C$8:C$1696,"ANEXO")</f>
        <v>1</v>
      </c>
      <c r="V351" s="85">
        <f>SUMIF(GERAL!B$8:B$1696,A351,GERAL!AH$8:AH$1696)</f>
        <v>20</v>
      </c>
      <c r="W351" s="85">
        <f>SUMIF(GERAL!B$8:B$1696,A351,GERAL!AM$8:AM$1696)</f>
        <v>0</v>
      </c>
      <c r="X351" s="85">
        <f>SUMIF(GERAL!B$8:B$1696,A351,GERAL!AQ$8:AQ$1696)</f>
        <v>208</v>
      </c>
      <c r="Y351" s="85">
        <f>SUMIF(GERAL!B$8:B$1696,A351,GERAL!AU$8:AU$1696)</f>
        <v>0</v>
      </c>
      <c r="Z351" s="88">
        <f t="shared" si="40"/>
        <v>228</v>
      </c>
      <c r="AA351" s="116">
        <f>COUNTIFS(GERAL!B$8:B$1696,A351,GERAL!BK$8:BK$1696,"&gt;0",GERAL!C$8:C$1696,"ESCOLA")</f>
        <v>1</v>
      </c>
      <c r="AB351" s="88">
        <f>COUNTIFS(GERAL!B$8:B$1696,A351,GERAL!BK$8:BK$1696,"&gt;0",GERAL!C$8:C$1696,"ANEXO")</f>
        <v>0</v>
      </c>
      <c r="AC351" s="121">
        <f>SUMIF(GERAL!B$8:B$1696,A351,GERAL!AD$8:AD$1696)</f>
        <v>0</v>
      </c>
      <c r="AD351" s="121">
        <f>SUMIF(GERAL!B$8:B$1696,A351,GERAL!AI$8:AI$1696)</f>
        <v>660</v>
      </c>
      <c r="AE351" s="121">
        <f>SUMIF(GERAL!B$8:B$1696,A351,GERAL!AV$8:AV$1696)</f>
        <v>179</v>
      </c>
      <c r="AF351" s="492">
        <f t="shared" si="41"/>
        <v>839</v>
      </c>
      <c r="AG351" s="178">
        <f>COUNTIFS(GERAL!B$8:B$1696,A351,GERAL!AW$8:AW$1696,"&gt;0",GERAL!C$8:C$1696,"ESCOLA")</f>
        <v>1</v>
      </c>
      <c r="AH351" s="118">
        <f>COUNTIFS(GERAL!B$8:B$1696,A351,GERAL!AW$8:AW$1696,"&gt;0",GERAL!C$8:C$1696,"ANEXO")</f>
        <v>0</v>
      </c>
      <c r="AI351" s="177">
        <f>SUMIF(GERAL!B$8:B$1696,A351,GERAL!AS$8:AS$1696)+SUMIF(GERAL!B$8:B$1696,A351,GERAL!AT$8:AT$1696)</f>
        <v>83</v>
      </c>
      <c r="AJ351" s="177">
        <f>SUMIF(GERAL!B$8:B$1696,A351,GERAL!AU$8:AU$1696)</f>
        <v>0</v>
      </c>
      <c r="AK351" s="177">
        <f>SUMIF(GERAL!B$8:B$1696,A351,GERAL!AV$8:AV$1696)</f>
        <v>179</v>
      </c>
      <c r="AL351" s="118">
        <f t="shared" si="42"/>
        <v>262</v>
      </c>
      <c r="AM351" s="493" t="s">
        <v>1027</v>
      </c>
    </row>
    <row r="352">
      <c r="A352" s="484" t="s">
        <v>6679</v>
      </c>
      <c r="B352" s="75">
        <f>COUNTIFS(GERAL!B$8:B$1696,A352,GERAL!C$8:C$1696,"ESCOLA")</f>
        <v>1</v>
      </c>
      <c r="C352" s="75">
        <f>COUNTIFS(GERAL!B$8:B$1696,A352,GERAL!C$8:C$1696,"ANEXO")</f>
        <v>0</v>
      </c>
      <c r="D352" s="85">
        <f>SUMIF(GERAL!B$8:B$1696,A352,GERAL!Z$8:Z$1696)</f>
        <v>0</v>
      </c>
      <c r="E352" s="85">
        <f>SUMIF(GERAL!B$8:B$1696,A352,GERAL!AE$8:AE$1696)</f>
        <v>0</v>
      </c>
      <c r="F352" s="85">
        <f>SUMIF(GERAL!B$8:B$1696,A352,GERAL!AJ$8:AJ$1696)</f>
        <v>708</v>
      </c>
      <c r="G352" s="85">
        <f>SUMIF(GERAL!B$8:B$1696,A352,GERAL!AN$8:AN$1696)</f>
        <v>0</v>
      </c>
      <c r="H352" s="85">
        <f>SUMIF(GERAL!B$8:B$1696,A352,GERAL!AR$8:AW$1696)</f>
        <v>126</v>
      </c>
      <c r="I352" s="85">
        <f>SUMIF(GERAL!B$8:B$1696,A352,GERAL!AW$8:AW$1696)</f>
        <v>41</v>
      </c>
      <c r="J352" s="75">
        <f>SUMIF(GERAL!B$8:B$1696,A352,GERAL!AX$8:AX$1696)</f>
        <v>875</v>
      </c>
      <c r="K352" s="75">
        <f>COUNTIFS(GERAL!B$8:B$1696,A352,GERAL!AY$8:AY$1696,"&gt;0",GERAL!C$8:C$1696,"ESCOLA")</f>
        <v>1</v>
      </c>
      <c r="L352" s="75">
        <f>COUNTIFS(GERAL!B$8:B$1696,A352,GERAL!AY$8:AY$1696,"&gt;0",GERAL!C$8:C$1696,"ANEXO")</f>
        <v>0</v>
      </c>
      <c r="M352" s="100">
        <f>SUMIF(GERAL!B$8:B$1696,A352,GERAL!V$8:V$1696)+SUMIF(GERAL!B$8:B$1696,A352,GERAL!W$8:W$1696)</f>
        <v>0</v>
      </c>
      <c r="N352" s="100">
        <f>SUMIF(GERAL!B$8:B$1696,A352,GERAL!AA$8:AA$1696)+SUMIF(GERAL!B$8:B$1696,A352,GERAL!AB$8:AB$1696)</f>
        <v>0</v>
      </c>
      <c r="O352" s="100">
        <f>SUMIF(GERAL!B$8:B$1696,A352,GERAL!AF$8:AF$1696)+SUMIF(GERAL!B$8:B$1696,A352,GERAL!AG$8:AG$1696)</f>
        <v>74</v>
      </c>
      <c r="P352" s="100">
        <f>SUMIF(GERAL!B$8:B$1696,A352,GERAL!AK$8:AK$1696)+SUMIF(GERAL!B$8:B$1696,A352,GERAL!AL$8:AL$1696)</f>
        <v>0</v>
      </c>
      <c r="Q352" s="100">
        <f>SUMIF(GERAL!B$8:B$1696,A352,GERAL!AO$8:AO$1696)+SUMIF(GERAL!B$8:B$1696,A352,GERAL!AP$8:AP$1696)</f>
        <v>0</v>
      </c>
      <c r="R352" s="100">
        <f>SUMIF(GERAL!B$8:B$1696,A352,GERAL!AS$8:AS$1696)+SUMIF(GERAL!B$8:B$1696,A352,GERAL!AT$8:AT$1696)</f>
        <v>41</v>
      </c>
      <c r="S352" s="75">
        <f t="shared" si="39"/>
        <v>115</v>
      </c>
      <c r="T352" s="116">
        <f>COUNTIFS(GERAL!B$8:B$1696,A352,GERAL!AZ$8:AZ$1696,"&gt;0",GERAL!C$8:C$1696,"ESCOLA")</f>
        <v>1</v>
      </c>
      <c r="U352" s="75">
        <f>COUNTIFS(GERAL!B$8:B$1696,A352,GERAL!AZ$8:AZ$1696,"&gt;0",GERAL!C$8:C$1696,"ANEXO")</f>
        <v>0</v>
      </c>
      <c r="V352" s="85">
        <f>SUMIF(GERAL!B$8:B$1696,A352,GERAL!AH$8:AH$1696)</f>
        <v>0</v>
      </c>
      <c r="W352" s="85">
        <f>SUMIF(GERAL!B$8:B$1696,A352,GERAL!AM$8:AM$1696)</f>
        <v>0</v>
      </c>
      <c r="X352" s="85">
        <f>SUMIF(GERAL!B$8:B$1696,A352,GERAL!AQ$8:AQ$1696)</f>
        <v>126</v>
      </c>
      <c r="Y352" s="85">
        <f>SUMIF(GERAL!B$8:B$1696,A352,GERAL!AU$8:AU$1696)</f>
        <v>0</v>
      </c>
      <c r="Z352" s="88">
        <f t="shared" si="40"/>
        <v>126</v>
      </c>
      <c r="AA352" s="116">
        <f>COUNTIFS(GERAL!B$8:B$1696,A352,GERAL!BK$8:BK$1696,"&gt;0",GERAL!C$8:C$1696,"ESCOLA")</f>
        <v>1</v>
      </c>
      <c r="AB352" s="88">
        <f>COUNTIFS(GERAL!B$8:B$1696,A352,GERAL!BK$8:BK$1696,"&gt;0",GERAL!C$8:C$1696,"ANEXO")</f>
        <v>0</v>
      </c>
      <c r="AC352" s="121">
        <f>SUMIF(GERAL!B$8:B$1696,A352,GERAL!AD$8:AD$1696)</f>
        <v>0</v>
      </c>
      <c r="AD352" s="121">
        <f>SUMIF(GERAL!B$8:B$1696,A352,GERAL!AI$8:AI$1696)</f>
        <v>634</v>
      </c>
      <c r="AE352" s="121">
        <f>SUMIF(GERAL!B$8:B$1696,A352,GERAL!AV$8:AV$1696)</f>
        <v>0</v>
      </c>
      <c r="AF352" s="492">
        <f t="shared" si="41"/>
        <v>634</v>
      </c>
      <c r="AG352" s="178">
        <f>COUNTIFS(GERAL!B$8:B$1696,A352,GERAL!AW$8:AW$1696,"&gt;0",GERAL!C$8:C$1696,"ESCOLA")</f>
        <v>1</v>
      </c>
      <c r="AH352" s="118">
        <f>COUNTIFS(GERAL!B$8:B$1696,A352,GERAL!AW$8:AW$1696,"&gt;0",GERAL!C$8:C$1696,"ANEXO")</f>
        <v>0</v>
      </c>
      <c r="AI352" s="177">
        <f>SUMIF(GERAL!B$8:B$1696,A352,GERAL!AS$8:AS$1696)+SUMIF(GERAL!B$8:B$1696,A352,GERAL!AT$8:AT$1696)</f>
        <v>41</v>
      </c>
      <c r="AJ352" s="177">
        <f>SUMIF(GERAL!B$8:B$1696,A352,GERAL!AU$8:AU$1696)</f>
        <v>0</v>
      </c>
      <c r="AK352" s="177">
        <f>SUMIF(GERAL!B$8:B$1696,A352,GERAL!AV$8:AV$1696)</f>
        <v>0</v>
      </c>
      <c r="AL352" s="118">
        <f t="shared" si="42"/>
        <v>41</v>
      </c>
      <c r="AM352" s="493" t="s">
        <v>1463</v>
      </c>
    </row>
    <row r="353">
      <c r="A353" s="494" t="s">
        <v>1994</v>
      </c>
      <c r="B353" s="75">
        <f>COUNTIFS(GERAL!B$8:B$1696,A353,GERAL!C$8:C$1696,"ESCOLA")</f>
        <v>191</v>
      </c>
      <c r="C353" s="75">
        <f>COUNTIFS(GERAL!B$8:B$1696,A353,GERAL!C$8:C$1696,"ANEXO")</f>
        <v>2</v>
      </c>
      <c r="D353" s="85">
        <f>SUMIF(GERAL!B$8:B$1696,A353,GERAL!Z$8:Z$1696)</f>
        <v>0</v>
      </c>
      <c r="E353" s="85">
        <f>SUMIF(GERAL!B$8:B$1696,A353,GERAL!AE$8:AE$1696)</f>
        <v>53368</v>
      </c>
      <c r="F353" s="85">
        <f>SUMIF(GERAL!B$8:B$1696,A353,GERAL!AJ$8:AJ$1696)</f>
        <v>44708</v>
      </c>
      <c r="G353" s="85">
        <f>SUMIF(GERAL!B$8:B$1696,A353,GERAL!AN$8:AN$1696)</f>
        <v>4335</v>
      </c>
      <c r="H353" s="85">
        <f>SUMIF(GERAL!B$8:B$1696,A353,GERAL!AR$8:AW$1696)</f>
        <v>13141</v>
      </c>
      <c r="I353" s="85">
        <f>SUMIF(GERAL!B$8:B$1696,A353,GERAL!AW$8:AW$1696)</f>
        <v>23692</v>
      </c>
      <c r="J353" s="75">
        <f>SUMIF(GERAL!B$8:B$1696,A353,GERAL!AX$8:AX$1696)</f>
        <v>139244</v>
      </c>
      <c r="K353" s="75">
        <f>COUNTIFS(GERAL!B$8:B$1696,A353,GERAL!AY$8:AY$1696,"&gt;0",GERAL!C$8:C$1696,"ESCOLA")</f>
        <v>183</v>
      </c>
      <c r="L353" s="75">
        <f>COUNTIFS(GERAL!B$8:B$1696,A353,GERAL!AY$8:AY$1696,"&gt;0",GERAL!C$8:C$1696,"ANEXO")</f>
        <v>2</v>
      </c>
      <c r="M353" s="100">
        <f>SUMIF(GERAL!B$8:B$1696,A353,GERAL!V$8:V$1696)+SUMIF(GERAL!B$8:B$1696,A353,GERAL!W$8:W$1696)</f>
        <v>0</v>
      </c>
      <c r="N353" s="100">
        <f>SUMIF(GERAL!B$8:B$1696,A353,GERAL!AA$8:AA$1696)+SUMIF(GERAL!B$8:B$1696,A353,GERAL!AB$8:AB$1696)</f>
        <v>42885</v>
      </c>
      <c r="O353" s="100">
        <f>SUMIF(GERAL!B$8:B$1696,A353,GERAL!AF$8:AF$1696)+SUMIF(GERAL!B$8:B$1696,A353,GERAL!AG$8:AG$1696)</f>
        <v>35698</v>
      </c>
      <c r="P353" s="100">
        <f>SUMIF(GERAL!B$8:B$1696,A353,GERAL!AK$8:AK$1696)+SUMIF(GERAL!B$8:B$1696,A353,GERAL!AL$8:AL$1696)</f>
        <v>1219</v>
      </c>
      <c r="Q353" s="100">
        <f>SUMIF(GERAL!B$8:B$1696,A353,GERAL!AO$8:AO$1696)+SUMIF(GERAL!B$8:B$1696,A353,GERAL!AP$8:AP$1696)</f>
        <v>264</v>
      </c>
      <c r="R353" s="100">
        <f>SUMIF(GERAL!B$8:B$1696,A353,GERAL!AS$8:AS$1696)+SUMIF(GERAL!B$8:B$1696,A353,GERAL!AT$8:AT$1696)</f>
        <v>11737</v>
      </c>
      <c r="S353" s="75">
        <f t="shared" si="39"/>
        <v>91803</v>
      </c>
      <c r="T353" s="116">
        <f>COUNTIFS(GERAL!B$8:B$1696,A353,GERAL!AZ$8:AZ$1696,"&gt;0",GERAL!C$8:C$1696,"ESCOLA")</f>
        <v>122</v>
      </c>
      <c r="U353" s="75">
        <f>COUNTIFS(GERAL!B$8:B$1696,A353,GERAL!AZ$8:AZ$1696,"&gt;0",GERAL!C$8:C$1696,"ANEXO")</f>
        <v>1</v>
      </c>
      <c r="V353" s="85">
        <f>SUMIF(GERAL!B$8:B$1696,A353,GERAL!AH$8:AH$1696)</f>
        <v>0</v>
      </c>
      <c r="W353" s="85">
        <f>SUMIF(GERAL!B$8:B$1696,A353,GERAL!AM$8:AM$1696)</f>
        <v>3116</v>
      </c>
      <c r="X353" s="85">
        <f>SUMIF(GERAL!B$8:B$1696,A353,GERAL!AQ$8:AQ$1696)</f>
        <v>12877</v>
      </c>
      <c r="Y353" s="85">
        <f>SUMIF(GERAL!B$8:B$1696,A353,GERAL!AU$8:AU$1696)</f>
        <v>10006</v>
      </c>
      <c r="Z353" s="88">
        <f t="shared" si="40"/>
        <v>25999</v>
      </c>
      <c r="AA353" s="116">
        <f>COUNTIFS(GERAL!B$8:B$1696,A353,GERAL!BK$8:BK$1696,"&gt;0",GERAL!C$8:C$1696,"ESCOLA")</f>
        <v>102</v>
      </c>
      <c r="AB353" s="88">
        <f>COUNTIFS(GERAL!B$8:B$1696,A353,GERAL!BK$8:BK$1696,"&gt;0",GERAL!C$8:C$1696,"ANEXO")</f>
        <v>0</v>
      </c>
      <c r="AC353" s="121">
        <f>SUMIF(GERAL!B$8:B$1696,A353,GERAL!AD$8:AD$1696)</f>
        <v>10483</v>
      </c>
      <c r="AD353" s="121">
        <f>SUMIF(GERAL!B$8:B$1696,A353,GERAL!AI$8:AI$1696)</f>
        <v>9010</v>
      </c>
      <c r="AE353" s="121">
        <f>SUMIF(GERAL!B$8:B$1696,A353,GERAL!AV$8:AV$1696)</f>
        <v>1949</v>
      </c>
      <c r="AF353" s="492">
        <f t="shared" si="41"/>
        <v>21442</v>
      </c>
      <c r="AG353" s="178">
        <f>COUNTIFS(GERAL!B$8:B$1696,A353,GERAL!AW$8:AW$1696,"&gt;0",GERAL!C$8:C$1696,"ESCOLA")</f>
        <v>75</v>
      </c>
      <c r="AH353" s="118">
        <f>COUNTIFS(GERAL!B$8:B$1696,A353,GERAL!AW$8:AW$1696,"&gt;0",GERAL!C$8:C$1696,"ANEXO")</f>
        <v>0</v>
      </c>
      <c r="AI353" s="177">
        <f>SUMIF(GERAL!B$8:B$1696,A353,GERAL!AS$8:AS$1696)+SUMIF(GERAL!B$8:B$1696,A353,GERAL!AT$8:AT$1696)</f>
        <v>11737</v>
      </c>
      <c r="AJ353" s="177">
        <f>SUMIF(GERAL!B$8:B$1696,A353,GERAL!AU$8:AU$1696)</f>
        <v>10006</v>
      </c>
      <c r="AK353" s="177">
        <f>SUMIF(GERAL!B$8:B$1696,A353,GERAL!AV$8:AV$1696)</f>
        <v>1949</v>
      </c>
      <c r="AL353" s="118">
        <f t="shared" si="42"/>
        <v>23692</v>
      </c>
      <c r="AM353" s="493" t="s">
        <v>1785</v>
      </c>
    </row>
    <row r="354">
      <c r="A354" s="484" t="s">
        <v>6036</v>
      </c>
      <c r="B354" s="75">
        <f>COUNTIFS(GERAL!B$8:B$1696,A354,GERAL!C$8:C$1696,"ESCOLA")</f>
        <v>2</v>
      </c>
      <c r="C354" s="75">
        <f>COUNTIFS(GERAL!B$8:B$1696,A354,GERAL!C$8:C$1696,"ANEXO")</f>
        <v>0</v>
      </c>
      <c r="D354" s="85">
        <f>SUMIF(GERAL!B$8:B$1696,A354,GERAL!Z$8:Z$1696)</f>
        <v>0</v>
      </c>
      <c r="E354" s="85">
        <f>SUMIF(GERAL!B$8:B$1696,A354,GERAL!AE$8:AE$1696)</f>
        <v>0</v>
      </c>
      <c r="F354" s="85">
        <f>SUMIF(GERAL!B$8:B$1696,A354,GERAL!AJ$8:AJ$1696)</f>
        <v>562</v>
      </c>
      <c r="G354" s="85">
        <f>SUMIF(GERAL!B$8:B$1696,A354,GERAL!AN$8:AN$1696)</f>
        <v>0</v>
      </c>
      <c r="H354" s="85">
        <f>SUMIF(GERAL!B$8:B$1696,A354,GERAL!AR$8:AW$1696)</f>
        <v>138</v>
      </c>
      <c r="I354" s="85">
        <f>SUMIF(GERAL!B$8:B$1696,A354,GERAL!AW$8:AW$1696)</f>
        <v>441</v>
      </c>
      <c r="J354" s="75">
        <f>SUMIF(GERAL!B$8:B$1696,A354,GERAL!AX$8:AX$1696)</f>
        <v>1141</v>
      </c>
      <c r="K354" s="75">
        <f>COUNTIFS(GERAL!B$8:B$1696,A354,GERAL!AY$8:AY$1696,"&gt;0",GERAL!C$8:C$1696,"ESCOLA")</f>
        <v>2</v>
      </c>
      <c r="L354" s="75">
        <f>COUNTIFS(GERAL!B$8:B$1696,A354,GERAL!AY$8:AY$1696,"&gt;0",GERAL!C$8:C$1696,"ANEXO")</f>
        <v>0</v>
      </c>
      <c r="M354" s="100">
        <f>SUMIF(GERAL!B$8:B$1696,A354,GERAL!V$8:V$1696)+SUMIF(GERAL!B$8:B$1696,A354,GERAL!W$8:W$1696)</f>
        <v>0</v>
      </c>
      <c r="N354" s="100">
        <f>SUMIF(GERAL!B$8:B$1696,A354,GERAL!AA$8:AA$1696)+SUMIF(GERAL!B$8:B$1696,A354,GERAL!AB$8:AB$1696)</f>
        <v>0</v>
      </c>
      <c r="O354" s="100">
        <f>SUMIF(GERAL!B$8:B$1696,A354,GERAL!AF$8:AF$1696)+SUMIF(GERAL!B$8:B$1696,A354,GERAL!AG$8:AG$1696)</f>
        <v>281</v>
      </c>
      <c r="P354" s="100">
        <f>SUMIF(GERAL!B$8:B$1696,A354,GERAL!AK$8:AK$1696)+SUMIF(GERAL!B$8:B$1696,A354,GERAL!AL$8:AL$1696)</f>
        <v>0</v>
      </c>
      <c r="Q354" s="100">
        <f>SUMIF(GERAL!B$8:B$1696,A354,GERAL!AO$8:AO$1696)+SUMIF(GERAL!B$8:B$1696,A354,GERAL!AP$8:AP$1696)</f>
        <v>0</v>
      </c>
      <c r="R354" s="100">
        <f>SUMIF(GERAL!B$8:B$1696,A354,GERAL!AS$8:AS$1696)+SUMIF(GERAL!B$8:B$1696,A354,GERAL!AT$8:AT$1696)</f>
        <v>224</v>
      </c>
      <c r="S354" s="75">
        <f t="shared" si="39"/>
        <v>505</v>
      </c>
      <c r="T354" s="116">
        <f>COUNTIFS(GERAL!B$8:B$1696,A354,GERAL!AZ$8:AZ$1696,"&gt;0",GERAL!C$8:C$1696,"ESCOLA")</f>
        <v>2</v>
      </c>
      <c r="U354" s="75">
        <f>COUNTIFS(GERAL!B$8:B$1696,A354,GERAL!AZ$8:AZ$1696,"&gt;0",GERAL!C$8:C$1696,"ANEXO")</f>
        <v>0</v>
      </c>
      <c r="V354" s="85">
        <f>SUMIF(GERAL!B$8:B$1696,A354,GERAL!AH$8:AH$1696)</f>
        <v>0</v>
      </c>
      <c r="W354" s="85">
        <f>SUMIF(GERAL!B$8:B$1696,A354,GERAL!AM$8:AM$1696)</f>
        <v>0</v>
      </c>
      <c r="X354" s="85">
        <f>SUMIF(GERAL!B$8:B$1696,A354,GERAL!AQ$8:AQ$1696)</f>
        <v>138</v>
      </c>
      <c r="Y354" s="85">
        <f>SUMIF(GERAL!B$8:B$1696,A354,GERAL!AU$8:AU$1696)</f>
        <v>171</v>
      </c>
      <c r="Z354" s="88">
        <f t="shared" si="40"/>
        <v>309</v>
      </c>
      <c r="AA354" s="116">
        <f>COUNTIFS(GERAL!B$8:B$1696,A354,GERAL!BK$8:BK$1696,"&gt;0",GERAL!C$8:C$1696,"ESCOLA")</f>
        <v>2</v>
      </c>
      <c r="AB354" s="88">
        <f>COUNTIFS(GERAL!B$8:B$1696,A354,GERAL!BK$8:BK$1696,"&gt;0",GERAL!C$8:C$1696,"ANEXO")</f>
        <v>0</v>
      </c>
      <c r="AC354" s="121">
        <f>SUMIF(GERAL!B$8:B$1696,A354,GERAL!AD$8:AD$1696)</f>
        <v>0</v>
      </c>
      <c r="AD354" s="121">
        <f>SUMIF(GERAL!B$8:B$1696,A354,GERAL!AI$8:AI$1696)</f>
        <v>281</v>
      </c>
      <c r="AE354" s="121">
        <f>SUMIF(GERAL!B$8:B$1696,A354,GERAL!AV$8:AV$1696)</f>
        <v>46</v>
      </c>
      <c r="AF354" s="492">
        <f t="shared" si="41"/>
        <v>327</v>
      </c>
      <c r="AG354" s="178">
        <f>COUNTIFS(GERAL!B$8:B$1696,A354,GERAL!AW$8:AW$1696,"&gt;0",GERAL!C$8:C$1696,"ESCOLA")</f>
        <v>1</v>
      </c>
      <c r="AH354" s="118">
        <f>COUNTIFS(GERAL!B$8:B$1696,A354,GERAL!AW$8:AW$1696,"&gt;0",GERAL!C$8:C$1696,"ANEXO")</f>
        <v>0</v>
      </c>
      <c r="AI354" s="177">
        <f>SUMIF(GERAL!B$8:B$1696,A354,GERAL!AS$8:AS$1696)+SUMIF(GERAL!B$8:B$1696,A354,GERAL!AT$8:AT$1696)</f>
        <v>224</v>
      </c>
      <c r="AJ354" s="177">
        <f>SUMIF(GERAL!B$8:B$1696,A354,GERAL!AU$8:AU$1696)</f>
        <v>171</v>
      </c>
      <c r="AK354" s="177">
        <f>SUMIF(GERAL!B$8:B$1696,A354,GERAL!AV$8:AV$1696)</f>
        <v>46</v>
      </c>
      <c r="AL354" s="118">
        <f t="shared" si="42"/>
        <v>441</v>
      </c>
      <c r="AM354" s="493" t="s">
        <v>1335</v>
      </c>
    </row>
    <row r="355">
      <c r="A355" s="494" t="s">
        <v>5251</v>
      </c>
      <c r="B355" s="75">
        <f>COUNTIFS(GERAL!B$8:B$1696,A355,GERAL!C$8:C$1696,"ESCOLA")</f>
        <v>1</v>
      </c>
      <c r="C355" s="75">
        <f>COUNTIFS(GERAL!B$8:B$1696,A355,GERAL!C$8:C$1696,"ANEXO")</f>
        <v>0</v>
      </c>
      <c r="D355" s="85">
        <f>SUMIF(GERAL!B$8:B$1696,A355,GERAL!Z$8:Z$1696)</f>
        <v>0</v>
      </c>
      <c r="E355" s="85">
        <f>SUMIF(GERAL!B$8:B$1696,A355,GERAL!AE$8:AE$1696)</f>
        <v>0</v>
      </c>
      <c r="F355" s="85">
        <f>SUMIF(GERAL!B$8:B$1696,A355,GERAL!AJ$8:AJ$1696)</f>
        <v>255</v>
      </c>
      <c r="G355" s="85">
        <f>SUMIF(GERAL!B$8:B$1696,A355,GERAL!AN$8:AN$1696)</f>
        <v>0</v>
      </c>
      <c r="H355" s="85">
        <f>SUMIF(GERAL!B$8:B$1696,A355,GERAL!AR$8:AW$1696)</f>
        <v>78</v>
      </c>
      <c r="I355" s="85">
        <f>SUMIF(GERAL!B$8:B$1696,A355,GERAL!AW$8:AW$1696)</f>
        <v>173</v>
      </c>
      <c r="J355" s="75">
        <f>SUMIF(GERAL!B$8:B$1696,A355,GERAL!AX$8:AX$1696)</f>
        <v>506</v>
      </c>
      <c r="K355" s="75">
        <f>COUNTIFS(GERAL!B$8:B$1696,A355,GERAL!AY$8:AY$1696,"&gt;0",GERAL!C$8:C$1696,"ESCOLA")</f>
        <v>1</v>
      </c>
      <c r="L355" s="75">
        <f>COUNTIFS(GERAL!B$8:B$1696,A355,GERAL!AY$8:AY$1696,"&gt;0",GERAL!C$8:C$1696,"ANEXO")</f>
        <v>0</v>
      </c>
      <c r="M355" s="100">
        <f>SUMIF(GERAL!B$8:B$1696,A355,GERAL!V$8:V$1696)+SUMIF(GERAL!B$8:B$1696,A355,GERAL!W$8:W$1696)</f>
        <v>0</v>
      </c>
      <c r="N355" s="100">
        <f>SUMIF(GERAL!B$8:B$1696,A355,GERAL!AA$8:AA$1696)+SUMIF(GERAL!B$8:B$1696,A355,GERAL!AB$8:AB$1696)</f>
        <v>0</v>
      </c>
      <c r="O355" s="100">
        <f>SUMIF(GERAL!B$8:B$1696,A355,GERAL!AF$8:AF$1696)+SUMIF(GERAL!B$8:B$1696,A355,GERAL!AG$8:AG$1696)</f>
        <v>181</v>
      </c>
      <c r="P355" s="100">
        <f>SUMIF(GERAL!B$8:B$1696,A355,GERAL!AK$8:AK$1696)+SUMIF(GERAL!B$8:B$1696,A355,GERAL!AL$8:AL$1696)</f>
        <v>0</v>
      </c>
      <c r="Q355" s="100">
        <f>SUMIF(GERAL!B$8:B$1696,A355,GERAL!AO$8:AO$1696)+SUMIF(GERAL!B$8:B$1696,A355,GERAL!AP$8:AP$1696)</f>
        <v>0</v>
      </c>
      <c r="R355" s="100">
        <f>SUMIF(GERAL!B$8:B$1696,A355,GERAL!AS$8:AS$1696)+SUMIF(GERAL!B$8:B$1696,A355,GERAL!AT$8:AT$1696)</f>
        <v>94</v>
      </c>
      <c r="S355" s="75">
        <f t="shared" si="39"/>
        <v>275</v>
      </c>
      <c r="T355" s="116">
        <f>COUNTIFS(GERAL!B$8:B$1696,A355,GERAL!AZ$8:AZ$1696,"&gt;0",GERAL!C$8:C$1696,"ESCOLA")</f>
        <v>1</v>
      </c>
      <c r="U355" s="75">
        <f>COUNTIFS(GERAL!B$8:B$1696,A355,GERAL!AZ$8:AZ$1696,"&gt;0",GERAL!C$8:C$1696,"ANEXO")</f>
        <v>0</v>
      </c>
      <c r="V355" s="85">
        <f>SUMIF(GERAL!B$8:B$1696,A355,GERAL!AH$8:AH$1696)</f>
        <v>0</v>
      </c>
      <c r="W355" s="85">
        <f>SUMIF(GERAL!B$8:B$1696,A355,GERAL!AM$8:AM$1696)</f>
        <v>0</v>
      </c>
      <c r="X355" s="85">
        <f>SUMIF(GERAL!B$8:B$1696,A355,GERAL!AQ$8:AQ$1696)</f>
        <v>78</v>
      </c>
      <c r="Y355" s="85">
        <f>SUMIF(GERAL!B$8:B$1696,A355,GERAL!AU$8:AU$1696)</f>
        <v>0</v>
      </c>
      <c r="Z355" s="88">
        <f t="shared" si="40"/>
        <v>78</v>
      </c>
      <c r="AA355" s="116">
        <f>COUNTIFS(GERAL!B$8:B$1696,A355,GERAL!BK$8:BK$1696,"&gt;0",GERAL!C$8:C$1696,"ESCOLA")</f>
        <v>1</v>
      </c>
      <c r="AB355" s="88">
        <f>COUNTIFS(GERAL!B$8:B$1696,A355,GERAL!BK$8:BK$1696,"&gt;0",GERAL!C$8:C$1696,"ANEXO")</f>
        <v>0</v>
      </c>
      <c r="AC355" s="121">
        <f>SUMIF(GERAL!B$8:B$1696,A355,GERAL!AD$8:AD$1696)</f>
        <v>0</v>
      </c>
      <c r="AD355" s="121">
        <f>SUMIF(GERAL!B$8:B$1696,A355,GERAL!AI$8:AI$1696)</f>
        <v>74</v>
      </c>
      <c r="AE355" s="121">
        <f>SUMIF(GERAL!B$8:B$1696,A355,GERAL!AV$8:AV$1696)</f>
        <v>79</v>
      </c>
      <c r="AF355" s="492">
        <f t="shared" si="41"/>
        <v>153</v>
      </c>
      <c r="AG355" s="178">
        <f>COUNTIFS(GERAL!B$8:B$1696,A355,GERAL!AW$8:AW$1696,"&gt;0",GERAL!C$8:C$1696,"ESCOLA")</f>
        <v>1</v>
      </c>
      <c r="AH355" s="118">
        <f>COUNTIFS(GERAL!B$8:B$1696,A355,GERAL!AW$8:AW$1696,"&gt;0",GERAL!C$8:C$1696,"ANEXO")</f>
        <v>0</v>
      </c>
      <c r="AI355" s="177">
        <f>SUMIF(GERAL!B$8:B$1696,A355,GERAL!AS$8:AS$1696)+SUMIF(GERAL!B$8:B$1696,A355,GERAL!AT$8:AT$1696)</f>
        <v>94</v>
      </c>
      <c r="AJ355" s="177">
        <f>SUMIF(GERAL!B$8:B$1696,A355,GERAL!AU$8:AU$1696)</f>
        <v>0</v>
      </c>
      <c r="AK355" s="177">
        <f>SUMIF(GERAL!B$8:B$1696,A355,GERAL!AV$8:AV$1696)</f>
        <v>79</v>
      </c>
      <c r="AL355" s="118">
        <f t="shared" si="42"/>
        <v>173</v>
      </c>
      <c r="AM355" s="493" t="s">
        <v>1224</v>
      </c>
    </row>
    <row r="356">
      <c r="A356" s="484" t="s">
        <v>9624</v>
      </c>
      <c r="B356" s="75">
        <f>COUNTIFS(GERAL!B$8:B$1696,A356,GERAL!C$8:C$1696,"ESCOLA")</f>
        <v>2</v>
      </c>
      <c r="C356" s="75">
        <f>COUNTIFS(GERAL!B$8:B$1696,A356,GERAL!C$8:C$1696,"ANEXO")</f>
        <v>3</v>
      </c>
      <c r="D356" s="85">
        <f>SUMIF(GERAL!B$8:B$1696,A356,GERAL!Z$8:Z$1696)</f>
        <v>0</v>
      </c>
      <c r="E356" s="85">
        <f>SUMIF(GERAL!B$8:B$1696,A356,GERAL!AE$8:AE$1696)</f>
        <v>0</v>
      </c>
      <c r="F356" s="85">
        <f>SUMIF(GERAL!B$8:B$1696,A356,GERAL!AJ$8:AJ$1696)</f>
        <v>855</v>
      </c>
      <c r="G356" s="85">
        <f>SUMIF(GERAL!B$8:B$1696,A356,GERAL!AN$8:AN$1696)</f>
        <v>0</v>
      </c>
      <c r="H356" s="85">
        <f>SUMIF(GERAL!B$8:B$1696,A356,GERAL!AR$8:AW$1696)</f>
        <v>162</v>
      </c>
      <c r="I356" s="85">
        <f>SUMIF(GERAL!B$8:B$1696,A356,GERAL!AW$8:AW$1696)</f>
        <v>10</v>
      </c>
      <c r="J356" s="75">
        <f>SUMIF(GERAL!B$8:B$1696,A356,GERAL!AX$8:AX$1696)</f>
        <v>1027</v>
      </c>
      <c r="K356" s="75">
        <f>COUNTIFS(GERAL!B$8:B$1696,A356,GERAL!AY$8:AY$1696,"&gt;0",GERAL!C$8:C$1696,"ESCOLA")</f>
        <v>2</v>
      </c>
      <c r="L356" s="75">
        <f>COUNTIFS(GERAL!B$8:B$1696,A356,GERAL!AY$8:AY$1696,"&gt;0",GERAL!C$8:C$1696,"ANEXO")</f>
        <v>0</v>
      </c>
      <c r="M356" s="100">
        <f>SUMIF(GERAL!B$8:B$1696,A356,GERAL!V$8:V$1696)+SUMIF(GERAL!B$8:B$1696,A356,GERAL!W$8:W$1696)</f>
        <v>0</v>
      </c>
      <c r="N356" s="100">
        <f>SUMIF(GERAL!B$8:B$1696,A356,GERAL!AA$8:AA$1696)+SUMIF(GERAL!B$8:B$1696,A356,GERAL!AB$8:AB$1696)</f>
        <v>0</v>
      </c>
      <c r="O356" s="100">
        <f>SUMIF(GERAL!B$8:B$1696,A356,GERAL!AF$8:AF$1696)+SUMIF(GERAL!B$8:B$1696,A356,GERAL!AG$8:AG$1696)</f>
        <v>619</v>
      </c>
      <c r="P356" s="100">
        <f>SUMIF(GERAL!B$8:B$1696,A356,GERAL!AK$8:AK$1696)+SUMIF(GERAL!B$8:B$1696,A356,GERAL!AL$8:AL$1696)</f>
        <v>0</v>
      </c>
      <c r="Q356" s="100">
        <f>SUMIF(GERAL!B$8:B$1696,A356,GERAL!AO$8:AO$1696)+SUMIF(GERAL!B$8:B$1696,A356,GERAL!AP$8:AP$1696)</f>
        <v>0</v>
      </c>
      <c r="R356" s="100">
        <f>SUMIF(GERAL!B$8:B$1696,A356,GERAL!AS$8:AS$1696)+SUMIF(GERAL!B$8:B$1696,A356,GERAL!AT$8:AT$1696)</f>
        <v>0</v>
      </c>
      <c r="S356" s="75">
        <f t="shared" si="39"/>
        <v>619</v>
      </c>
      <c r="T356" s="116">
        <f>COUNTIFS(GERAL!B$8:B$1696,A356,GERAL!AZ$8:AZ$1696,"&gt;0",GERAL!C$8:C$1696,"ESCOLA")</f>
        <v>2</v>
      </c>
      <c r="U356" s="75">
        <f>COUNTIFS(GERAL!B$8:B$1696,A356,GERAL!AZ$8:AZ$1696,"&gt;0",GERAL!C$8:C$1696,"ANEXO")</f>
        <v>3</v>
      </c>
      <c r="V356" s="85">
        <f>SUMIF(GERAL!B$8:B$1696,A356,GERAL!AH$8:AH$1696)</f>
        <v>154</v>
      </c>
      <c r="W356" s="85">
        <f>SUMIF(GERAL!B$8:B$1696,A356,GERAL!AM$8:AM$1696)</f>
        <v>0</v>
      </c>
      <c r="X356" s="85">
        <f>SUMIF(GERAL!B$8:B$1696,A356,GERAL!AQ$8:AQ$1696)</f>
        <v>162</v>
      </c>
      <c r="Y356" s="85">
        <f>SUMIF(GERAL!B$8:B$1696,A356,GERAL!AU$8:AU$1696)</f>
        <v>10</v>
      </c>
      <c r="Z356" s="88">
        <f t="shared" si="40"/>
        <v>326</v>
      </c>
      <c r="AA356" s="116">
        <f>COUNTIFS(GERAL!B$8:B$1696,A356,GERAL!BK$8:BK$1696,"&gt;0",GERAL!C$8:C$1696,"ESCOLA")</f>
        <v>1</v>
      </c>
      <c r="AB356" s="88">
        <f>COUNTIFS(GERAL!B$8:B$1696,A356,GERAL!BK$8:BK$1696,"&gt;0",GERAL!C$8:C$1696,"ANEXO")</f>
        <v>0</v>
      </c>
      <c r="AC356" s="121">
        <f>SUMIF(GERAL!B$8:B$1696,A356,GERAL!AD$8:AD$1696)</f>
        <v>0</v>
      </c>
      <c r="AD356" s="121">
        <f>SUMIF(GERAL!B$8:B$1696,A356,GERAL!AI$8:AI$1696)</f>
        <v>82</v>
      </c>
      <c r="AE356" s="121">
        <f>SUMIF(GERAL!B$8:B$1696,A356,GERAL!AV$8:AV$1696)</f>
        <v>0</v>
      </c>
      <c r="AF356" s="492">
        <f t="shared" si="41"/>
        <v>82</v>
      </c>
      <c r="AG356" s="178">
        <f>COUNTIFS(GERAL!B$8:B$1696,A356,GERAL!AW$8:AW$1696,"&gt;0",GERAL!C$8:C$1696,"ESCOLA")</f>
        <v>1</v>
      </c>
      <c r="AH356" s="118">
        <f>COUNTIFS(GERAL!B$8:B$1696,A356,GERAL!AW$8:AW$1696,"&gt;0",GERAL!C$8:C$1696,"ANEXO")</f>
        <v>0</v>
      </c>
      <c r="AI356" s="177">
        <f>SUMIF(GERAL!B$8:B$1696,A356,GERAL!AS$8:AS$1696)+SUMIF(GERAL!B$8:B$1696,A356,GERAL!AT$8:AT$1696)</f>
        <v>0</v>
      </c>
      <c r="AJ356" s="177">
        <f>SUMIF(GERAL!B$8:B$1696,A356,GERAL!AU$8:AU$1696)</f>
        <v>10</v>
      </c>
      <c r="AK356" s="177">
        <f>SUMIF(GERAL!B$8:B$1696,A356,GERAL!AV$8:AV$1696)</f>
        <v>0</v>
      </c>
      <c r="AL356" s="118">
        <f t="shared" si="42"/>
        <v>10</v>
      </c>
      <c r="AM356" s="493" t="s">
        <v>1842</v>
      </c>
    </row>
    <row r="357">
      <c r="A357" s="494" t="s">
        <v>2620</v>
      </c>
      <c r="B357" s="75">
        <f>COUNTIFS(GERAL!B$8:B$1696,A357,GERAL!C$8:C$1696,"ESCOLA")</f>
        <v>1</v>
      </c>
      <c r="C357" s="75">
        <f>COUNTIFS(GERAL!B$8:B$1696,A357,GERAL!C$8:C$1696,"ANEXO")</f>
        <v>0</v>
      </c>
      <c r="D357" s="85">
        <f>SUMIF(GERAL!B$8:B$1696,A357,GERAL!Z$8:Z$1696)</f>
        <v>0</v>
      </c>
      <c r="E357" s="85">
        <f>SUMIF(GERAL!B$8:B$1696,A357,GERAL!AE$8:AE$1696)</f>
        <v>0</v>
      </c>
      <c r="F357" s="85">
        <f>SUMIF(GERAL!B$8:B$1696,A357,GERAL!AJ$8:AJ$1696)</f>
        <v>76</v>
      </c>
      <c r="G357" s="85">
        <f>SUMIF(GERAL!B$8:B$1696,A357,GERAL!AN$8:AN$1696)</f>
        <v>0</v>
      </c>
      <c r="H357" s="85">
        <f>SUMIF(GERAL!B$8:B$1696,A357,GERAL!AR$8:AW$1696)</f>
        <v>52</v>
      </c>
      <c r="I357" s="85">
        <f>SUMIF(GERAL!B$8:B$1696,A357,GERAL!AW$8:AW$1696)</f>
        <v>55</v>
      </c>
      <c r="J357" s="75">
        <f>SUMIF(GERAL!B$8:B$1696,A357,GERAL!AX$8:AX$1696)</f>
        <v>183</v>
      </c>
      <c r="K357" s="75">
        <f>COUNTIFS(GERAL!B$8:B$1696,A357,GERAL!AY$8:AY$1696,"&gt;0",GERAL!C$8:C$1696,"ESCOLA")</f>
        <v>1</v>
      </c>
      <c r="L357" s="75">
        <f>COUNTIFS(GERAL!B$8:B$1696,A357,GERAL!AY$8:AY$1696,"&gt;0",GERAL!C$8:C$1696,"ANEXO")</f>
        <v>0</v>
      </c>
      <c r="M357" s="100">
        <f>SUMIF(GERAL!B$8:B$1696,A357,GERAL!V$8:V$1696)+SUMIF(GERAL!B$8:B$1696,A357,GERAL!W$8:W$1696)</f>
        <v>0</v>
      </c>
      <c r="N357" s="100">
        <f>SUMIF(GERAL!B$8:B$1696,A357,GERAL!AA$8:AA$1696)+SUMIF(GERAL!B$8:B$1696,A357,GERAL!AB$8:AB$1696)</f>
        <v>0</v>
      </c>
      <c r="O357" s="100">
        <f>SUMIF(GERAL!B$8:B$1696,A357,GERAL!AF$8:AF$1696)+SUMIF(GERAL!B$8:B$1696,A357,GERAL!AG$8:AG$1696)</f>
        <v>76</v>
      </c>
      <c r="P357" s="100">
        <f>SUMIF(GERAL!B$8:B$1696,A357,GERAL!AK$8:AK$1696)+SUMIF(GERAL!B$8:B$1696,A357,GERAL!AL$8:AL$1696)</f>
        <v>0</v>
      </c>
      <c r="Q357" s="100">
        <f>SUMIF(GERAL!B$8:B$1696,A357,GERAL!AO$8:AO$1696)+SUMIF(GERAL!B$8:B$1696,A357,GERAL!AP$8:AP$1696)</f>
        <v>0</v>
      </c>
      <c r="R357" s="100">
        <f>SUMIF(GERAL!B$8:B$1696,A357,GERAL!AS$8:AS$1696)+SUMIF(GERAL!B$8:B$1696,A357,GERAL!AT$8:AT$1696)</f>
        <v>55</v>
      </c>
      <c r="S357" s="75">
        <f t="shared" si="39"/>
        <v>131</v>
      </c>
      <c r="T357" s="116">
        <f>COUNTIFS(GERAL!B$8:B$1696,A357,GERAL!AZ$8:AZ$1696,"&gt;0",GERAL!C$8:C$1696,"ESCOLA")</f>
        <v>1</v>
      </c>
      <c r="U357" s="75">
        <f>COUNTIFS(GERAL!B$8:B$1696,A357,GERAL!AZ$8:AZ$1696,"&gt;0",GERAL!C$8:C$1696,"ANEXO")</f>
        <v>0</v>
      </c>
      <c r="V357" s="85">
        <f>SUMIF(GERAL!B$8:B$1696,A357,GERAL!AH$8:AH$1696)</f>
        <v>0</v>
      </c>
      <c r="W357" s="85">
        <f>SUMIF(GERAL!B$8:B$1696,A357,GERAL!AM$8:AM$1696)</f>
        <v>0</v>
      </c>
      <c r="X357" s="85">
        <f>SUMIF(GERAL!B$8:B$1696,A357,GERAL!AQ$8:AQ$1696)</f>
        <v>52</v>
      </c>
      <c r="Y357" s="85">
        <f>SUMIF(GERAL!B$8:B$1696,A357,GERAL!AU$8:AU$1696)</f>
        <v>0</v>
      </c>
      <c r="Z357" s="88">
        <f t="shared" si="40"/>
        <v>52</v>
      </c>
      <c r="AA357" s="116">
        <f>COUNTIFS(GERAL!B$8:B$1696,A357,GERAL!BK$8:BK$1696,"&gt;0",GERAL!C$8:C$1696,"ESCOLA")</f>
        <v>0</v>
      </c>
      <c r="AB357" s="88">
        <f>COUNTIFS(GERAL!B$8:B$1696,A357,GERAL!BK$8:BK$1696,"&gt;0",GERAL!C$8:C$1696,"ANEXO")</f>
        <v>0</v>
      </c>
      <c r="AC357" s="121">
        <f>SUMIF(GERAL!B$8:B$1696,A357,GERAL!AD$8:AD$1696)</f>
        <v>0</v>
      </c>
      <c r="AD357" s="121">
        <f>SUMIF(GERAL!B$8:B$1696,A357,GERAL!AI$8:AI$1696)</f>
        <v>0</v>
      </c>
      <c r="AE357" s="121">
        <f>SUMIF(GERAL!B$8:B$1696,A357,GERAL!AV$8:AV$1696)</f>
        <v>0</v>
      </c>
      <c r="AF357" s="492">
        <f t="shared" si="41"/>
        <v>0</v>
      </c>
      <c r="AG357" s="178">
        <f>COUNTIFS(GERAL!B$8:B$1696,A357,GERAL!AW$8:AW$1696,"&gt;0",GERAL!C$8:C$1696,"ESCOLA")</f>
        <v>1</v>
      </c>
      <c r="AH357" s="118">
        <f>COUNTIFS(GERAL!B$8:B$1696,A357,GERAL!AW$8:AW$1696,"&gt;0",GERAL!C$8:C$1696,"ANEXO")</f>
        <v>0</v>
      </c>
      <c r="AI357" s="177">
        <f>SUMIF(GERAL!B$8:B$1696,A357,GERAL!AS$8:AS$1696)+SUMIF(GERAL!B$8:B$1696,A357,GERAL!AT$8:AT$1696)</f>
        <v>55</v>
      </c>
      <c r="AJ357" s="177">
        <f>SUMIF(GERAL!B$8:B$1696,A357,GERAL!AU$8:AU$1696)</f>
        <v>0</v>
      </c>
      <c r="AK357" s="177">
        <f>SUMIF(GERAL!B$8:B$1696,A357,GERAL!AV$8:AV$1696)</f>
        <v>0</v>
      </c>
      <c r="AL357" s="118">
        <f t="shared" si="42"/>
        <v>55</v>
      </c>
      <c r="AM357" s="493" t="s">
        <v>673</v>
      </c>
    </row>
    <row r="358">
      <c r="A358" s="484" t="s">
        <v>2784</v>
      </c>
      <c r="B358" s="75">
        <f>COUNTIFS(GERAL!B$8:B$1696,A358,GERAL!C$8:C$1696,"ESCOLA")</f>
        <v>1</v>
      </c>
      <c r="C358" s="75">
        <f>COUNTIFS(GERAL!B$8:B$1696,A358,GERAL!C$8:C$1696,"ANEXO")</f>
        <v>0</v>
      </c>
      <c r="D358" s="85">
        <f>SUMIF(GERAL!B$8:B$1696,A358,GERAL!Z$8:Z$1696)</f>
        <v>0</v>
      </c>
      <c r="E358" s="85">
        <f>SUMIF(GERAL!B$8:B$1696,A358,GERAL!AE$8:AE$1696)</f>
        <v>0</v>
      </c>
      <c r="F358" s="85">
        <f>SUMIF(GERAL!B$8:B$1696,A358,GERAL!AJ$8:AJ$1696)</f>
        <v>139</v>
      </c>
      <c r="G358" s="85">
        <f>SUMIF(GERAL!B$8:B$1696,A358,GERAL!AN$8:AN$1696)</f>
        <v>0</v>
      </c>
      <c r="H358" s="85">
        <f>SUMIF(GERAL!B$8:B$1696,A358,GERAL!AR$8:AW$1696)</f>
        <v>80</v>
      </c>
      <c r="I358" s="85">
        <f>SUMIF(GERAL!B$8:B$1696,A358,GERAL!AW$8:AW$1696)</f>
        <v>178</v>
      </c>
      <c r="J358" s="75">
        <f>SUMIF(GERAL!B$8:B$1696,A358,GERAL!AX$8:AX$1696)</f>
        <v>397</v>
      </c>
      <c r="K358" s="75">
        <f>COUNTIFS(GERAL!B$8:B$1696,A358,GERAL!AY$8:AY$1696,"&gt;0",GERAL!C$8:C$1696,"ESCOLA")</f>
        <v>1</v>
      </c>
      <c r="L358" s="75">
        <f>COUNTIFS(GERAL!B$8:B$1696,A358,GERAL!AY$8:AY$1696,"&gt;0",GERAL!C$8:C$1696,"ANEXO")</f>
        <v>0</v>
      </c>
      <c r="M358" s="100">
        <f>SUMIF(GERAL!B$8:B$1696,A358,GERAL!V$8:V$1696)+SUMIF(GERAL!B$8:B$1696,A358,GERAL!W$8:W$1696)</f>
        <v>0</v>
      </c>
      <c r="N358" s="100">
        <f>SUMIF(GERAL!B$8:B$1696,A358,GERAL!AA$8:AA$1696)+SUMIF(GERAL!B$8:B$1696,A358,GERAL!AB$8:AB$1696)</f>
        <v>0</v>
      </c>
      <c r="O358" s="100">
        <f>SUMIF(GERAL!B$8:B$1696,A358,GERAL!AF$8:AF$1696)+SUMIF(GERAL!B$8:B$1696,A358,GERAL!AG$8:AG$1696)</f>
        <v>0</v>
      </c>
      <c r="P358" s="100">
        <f>SUMIF(GERAL!B$8:B$1696,A358,GERAL!AK$8:AK$1696)+SUMIF(GERAL!B$8:B$1696,A358,GERAL!AL$8:AL$1696)</f>
        <v>0</v>
      </c>
      <c r="Q358" s="100">
        <f>SUMIF(GERAL!B$8:B$1696,A358,GERAL!AO$8:AO$1696)+SUMIF(GERAL!B$8:B$1696,A358,GERAL!AP$8:AP$1696)</f>
        <v>0</v>
      </c>
      <c r="R358" s="100">
        <f>SUMIF(GERAL!B$8:B$1696,A358,GERAL!AS$8:AS$1696)+SUMIF(GERAL!B$8:B$1696,A358,GERAL!AT$8:AT$1696)</f>
        <v>17</v>
      </c>
      <c r="S358" s="75">
        <f t="shared" si="39"/>
        <v>17</v>
      </c>
      <c r="T358" s="116">
        <f>COUNTIFS(GERAL!B$8:B$1696,A358,GERAL!AZ$8:AZ$1696,"&gt;0",GERAL!C$8:C$1696,"ESCOLA")</f>
        <v>1</v>
      </c>
      <c r="U358" s="75">
        <f>COUNTIFS(GERAL!B$8:B$1696,A358,GERAL!AZ$8:AZ$1696,"&gt;0",GERAL!C$8:C$1696,"ANEXO")</f>
        <v>0</v>
      </c>
      <c r="V358" s="85">
        <f>SUMIF(GERAL!B$8:B$1696,A358,GERAL!AH$8:AH$1696)</f>
        <v>0</v>
      </c>
      <c r="W358" s="85">
        <f>SUMIF(GERAL!B$8:B$1696,A358,GERAL!AM$8:AM$1696)</f>
        <v>0</v>
      </c>
      <c r="X358" s="85">
        <f>SUMIF(GERAL!B$8:B$1696,A358,GERAL!AQ$8:AQ$1696)</f>
        <v>80</v>
      </c>
      <c r="Y358" s="85">
        <f>SUMIF(GERAL!B$8:B$1696,A358,GERAL!AU$8:AU$1696)</f>
        <v>95</v>
      </c>
      <c r="Z358" s="88">
        <f t="shared" si="40"/>
        <v>175</v>
      </c>
      <c r="AA358" s="116">
        <f>COUNTIFS(GERAL!B$8:B$1696,A358,GERAL!BK$8:BK$1696,"&gt;0",GERAL!C$8:C$1696,"ESCOLA")</f>
        <v>1</v>
      </c>
      <c r="AB358" s="88">
        <f>COUNTIFS(GERAL!B$8:B$1696,A358,GERAL!BK$8:BK$1696,"&gt;0",GERAL!C$8:C$1696,"ANEXO")</f>
        <v>0</v>
      </c>
      <c r="AC358" s="121">
        <f>SUMIF(GERAL!B$8:B$1696,A358,GERAL!AD$8:AD$1696)</f>
        <v>0</v>
      </c>
      <c r="AD358" s="121">
        <f>SUMIF(GERAL!B$8:B$1696,A358,GERAL!AI$8:AI$1696)</f>
        <v>139</v>
      </c>
      <c r="AE358" s="121">
        <f>SUMIF(GERAL!B$8:B$1696,A358,GERAL!AV$8:AV$1696)</f>
        <v>66</v>
      </c>
      <c r="AF358" s="492">
        <f t="shared" si="41"/>
        <v>205</v>
      </c>
      <c r="AG358" s="178">
        <f>COUNTIFS(GERAL!B$8:B$1696,A358,GERAL!AW$8:AW$1696,"&gt;0",GERAL!C$8:C$1696,"ESCOLA")</f>
        <v>1</v>
      </c>
      <c r="AH358" s="118">
        <f>COUNTIFS(GERAL!B$8:B$1696,A358,GERAL!AW$8:AW$1696,"&gt;0",GERAL!C$8:C$1696,"ANEXO")</f>
        <v>0</v>
      </c>
      <c r="AI358" s="177">
        <f>SUMIF(GERAL!B$8:B$1696,A358,GERAL!AS$8:AS$1696)+SUMIF(GERAL!B$8:B$1696,A358,GERAL!AT$8:AT$1696)</f>
        <v>17</v>
      </c>
      <c r="AJ358" s="177">
        <f>SUMIF(GERAL!B$8:B$1696,A358,GERAL!AU$8:AU$1696)</f>
        <v>95</v>
      </c>
      <c r="AK358" s="177">
        <f>SUMIF(GERAL!B$8:B$1696,A358,GERAL!AV$8:AV$1696)</f>
        <v>66</v>
      </c>
      <c r="AL358" s="118">
        <f t="shared" si="42"/>
        <v>178</v>
      </c>
      <c r="AM358" s="493" t="s">
        <v>723</v>
      </c>
    </row>
    <row r="359">
      <c r="A359" s="494" t="s">
        <v>1650</v>
      </c>
      <c r="B359" s="75">
        <f>COUNTIFS(GERAL!B$8:B$1696,A359,GERAL!C$8:C$1696,"ESCOLA")</f>
        <v>1</v>
      </c>
      <c r="C359" s="75">
        <f>COUNTIFS(GERAL!B$8:B$1696,A359,GERAL!C$8:C$1696,"ANEXO")</f>
        <v>0</v>
      </c>
      <c r="D359" s="85">
        <f>SUMIF(GERAL!B$8:B$1696,A359,GERAL!Z$8:Z$1696)</f>
        <v>0</v>
      </c>
      <c r="E359" s="85">
        <f>SUMIF(GERAL!B$8:B$1696,A359,GERAL!AE$8:AE$1696)</f>
        <v>0</v>
      </c>
      <c r="F359" s="85">
        <f>SUMIF(GERAL!B$8:B$1696,A359,GERAL!AJ$8:AJ$1696)</f>
        <v>252</v>
      </c>
      <c r="G359" s="85">
        <f>SUMIF(GERAL!B$8:B$1696,A359,GERAL!AN$8:AN$1696)</f>
        <v>0</v>
      </c>
      <c r="H359" s="85">
        <f>SUMIF(GERAL!B$8:B$1696,A359,GERAL!AR$8:AW$1696)</f>
        <v>52</v>
      </c>
      <c r="I359" s="85">
        <f>SUMIF(GERAL!B$8:B$1696,A359,GERAL!AW$8:AW$1696)</f>
        <v>44</v>
      </c>
      <c r="J359" s="75">
        <f>SUMIF(GERAL!B$8:B$1696,A359,GERAL!AX$8:AX$1696)</f>
        <v>348</v>
      </c>
      <c r="K359" s="75">
        <f>COUNTIFS(GERAL!B$8:B$1696,A359,GERAL!AY$8:AY$1696,"&gt;0",GERAL!C$8:C$1696,"ESCOLA")</f>
        <v>1</v>
      </c>
      <c r="L359" s="75">
        <f>COUNTIFS(GERAL!B$8:B$1696,A359,GERAL!AY$8:AY$1696,"&gt;0",GERAL!C$8:C$1696,"ANEXO")</f>
        <v>0</v>
      </c>
      <c r="M359" s="100">
        <f>SUMIF(GERAL!B$8:B$1696,A359,GERAL!V$8:V$1696)+SUMIF(GERAL!B$8:B$1696,A359,GERAL!W$8:W$1696)</f>
        <v>0</v>
      </c>
      <c r="N359" s="100">
        <f>SUMIF(GERAL!B$8:B$1696,A359,GERAL!AA$8:AA$1696)+SUMIF(GERAL!B$8:B$1696,A359,GERAL!AB$8:AB$1696)</f>
        <v>0</v>
      </c>
      <c r="O359" s="100">
        <f>SUMIF(GERAL!B$8:B$1696,A359,GERAL!AF$8:AF$1696)+SUMIF(GERAL!B$8:B$1696,A359,GERAL!AG$8:AG$1696)</f>
        <v>252</v>
      </c>
      <c r="P359" s="100">
        <f>SUMIF(GERAL!B$8:B$1696,A359,GERAL!AK$8:AK$1696)+SUMIF(GERAL!B$8:B$1696,A359,GERAL!AL$8:AL$1696)</f>
        <v>0</v>
      </c>
      <c r="Q359" s="100">
        <f>SUMIF(GERAL!B$8:B$1696,A359,GERAL!AO$8:AO$1696)+SUMIF(GERAL!B$8:B$1696,A359,GERAL!AP$8:AP$1696)</f>
        <v>0</v>
      </c>
      <c r="R359" s="100">
        <f>SUMIF(GERAL!B$8:B$1696,A359,GERAL!AS$8:AS$1696)+SUMIF(GERAL!B$8:B$1696,A359,GERAL!AT$8:AT$1696)</f>
        <v>0</v>
      </c>
      <c r="S359" s="75">
        <f t="shared" si="39"/>
        <v>252</v>
      </c>
      <c r="T359" s="116">
        <f>COUNTIFS(GERAL!B$8:B$1696,A359,GERAL!AZ$8:AZ$1696,"&gt;0",GERAL!C$8:C$1696,"ESCOLA")</f>
        <v>1</v>
      </c>
      <c r="U359" s="75">
        <f>COUNTIFS(GERAL!B$8:B$1696,A359,GERAL!AZ$8:AZ$1696,"&gt;0",GERAL!C$8:C$1696,"ANEXO")</f>
        <v>0</v>
      </c>
      <c r="V359" s="85">
        <f>SUMIF(GERAL!B$8:B$1696,A359,GERAL!AH$8:AH$1696)</f>
        <v>0</v>
      </c>
      <c r="W359" s="85">
        <f>SUMIF(GERAL!B$8:B$1696,A359,GERAL!AM$8:AM$1696)</f>
        <v>0</v>
      </c>
      <c r="X359" s="85">
        <f>SUMIF(GERAL!B$8:B$1696,A359,GERAL!AQ$8:AQ$1696)</f>
        <v>52</v>
      </c>
      <c r="Y359" s="85">
        <f>SUMIF(GERAL!B$8:B$1696,A359,GERAL!AU$8:AU$1696)</f>
        <v>44</v>
      </c>
      <c r="Z359" s="88">
        <f t="shared" si="40"/>
        <v>96</v>
      </c>
      <c r="AA359" s="116">
        <f>COUNTIFS(GERAL!B$8:B$1696,A359,GERAL!BK$8:BK$1696,"&gt;0",GERAL!C$8:C$1696,"ESCOLA")</f>
        <v>0</v>
      </c>
      <c r="AB359" s="88">
        <f>COUNTIFS(GERAL!B$8:B$1696,A359,GERAL!BK$8:BK$1696,"&gt;0",GERAL!C$8:C$1696,"ANEXO")</f>
        <v>0</v>
      </c>
      <c r="AC359" s="121">
        <f>SUMIF(GERAL!B$8:B$1696,A359,GERAL!AD$8:AD$1696)</f>
        <v>0</v>
      </c>
      <c r="AD359" s="121">
        <f>SUMIF(GERAL!B$8:B$1696,A359,GERAL!AI$8:AI$1696)</f>
        <v>0</v>
      </c>
      <c r="AE359" s="121">
        <f>SUMIF(GERAL!B$8:B$1696,A359,GERAL!AV$8:AV$1696)</f>
        <v>0</v>
      </c>
      <c r="AF359" s="492">
        <f t="shared" si="41"/>
        <v>0</v>
      </c>
      <c r="AG359" s="178">
        <f>COUNTIFS(GERAL!B$8:B$1696,A359,GERAL!AW$8:AW$1696,"&gt;0",GERAL!C$8:C$1696,"ESCOLA")</f>
        <v>1</v>
      </c>
      <c r="AH359" s="118">
        <f>COUNTIFS(GERAL!B$8:B$1696,A359,GERAL!AW$8:AW$1696,"&gt;0",GERAL!C$8:C$1696,"ANEXO")</f>
        <v>0</v>
      </c>
      <c r="AI359" s="177">
        <f>SUMIF(GERAL!B$8:B$1696,A359,GERAL!AS$8:AS$1696)+SUMIF(GERAL!B$8:B$1696,A359,GERAL!AT$8:AT$1696)</f>
        <v>0</v>
      </c>
      <c r="AJ359" s="177">
        <f>SUMIF(GERAL!B$8:B$1696,A359,GERAL!AU$8:AU$1696)</f>
        <v>44</v>
      </c>
      <c r="AK359" s="177">
        <f>SUMIF(GERAL!B$8:B$1696,A359,GERAL!AV$8:AV$1696)</f>
        <v>0</v>
      </c>
      <c r="AL359" s="118">
        <f t="shared" si="42"/>
        <v>44</v>
      </c>
      <c r="AM359" s="493" t="s">
        <v>451</v>
      </c>
    </row>
    <row r="360">
      <c r="A360" s="484" t="s">
        <v>7353</v>
      </c>
      <c r="B360" s="75">
        <f>COUNTIFS(GERAL!B$8:B$1696,A360,GERAL!C$8:C$1696,"ESCOLA")</f>
        <v>3</v>
      </c>
      <c r="C360" s="75">
        <f>COUNTIFS(GERAL!B$8:B$1696,A360,GERAL!C$8:C$1696,"ANEXO")</f>
        <v>5</v>
      </c>
      <c r="D360" s="85">
        <f>SUMIF(GERAL!B$8:B$1696,A360,GERAL!Z$8:Z$1696)</f>
        <v>0</v>
      </c>
      <c r="E360" s="85">
        <f>SUMIF(GERAL!B$8:B$1696,A360,GERAL!AE$8:AE$1696)</f>
        <v>0</v>
      </c>
      <c r="F360" s="85">
        <f>SUMIF(GERAL!B$8:B$1696,A360,GERAL!AJ$8:AJ$1696)</f>
        <v>773</v>
      </c>
      <c r="G360" s="85">
        <f>SUMIF(GERAL!B$8:B$1696,A360,GERAL!AN$8:AN$1696)</f>
        <v>0</v>
      </c>
      <c r="H360" s="85">
        <f>SUMIF(GERAL!B$8:B$1696,A360,GERAL!AR$8:AW$1696)</f>
        <v>283</v>
      </c>
      <c r="I360" s="85">
        <f>SUMIF(GERAL!B$8:B$1696,A360,GERAL!AW$8:AW$1696)</f>
        <v>682</v>
      </c>
      <c r="J360" s="75">
        <f>SUMIF(GERAL!B$8:B$1696,A360,GERAL!AX$8:AX$1696)</f>
        <v>1738</v>
      </c>
      <c r="K360" s="75">
        <f>COUNTIFS(GERAL!B$8:B$1696,A360,GERAL!AY$8:AY$1696,"&gt;0",GERAL!C$8:C$1696,"ESCOLA")</f>
        <v>2</v>
      </c>
      <c r="L360" s="75">
        <f>COUNTIFS(GERAL!B$8:B$1696,A360,GERAL!AY$8:AY$1696,"&gt;0",GERAL!C$8:C$1696,"ANEXO")</f>
        <v>1</v>
      </c>
      <c r="M360" s="100">
        <f>SUMIF(GERAL!B$8:B$1696,A360,GERAL!V$8:V$1696)+SUMIF(GERAL!B$8:B$1696,A360,GERAL!W$8:W$1696)</f>
        <v>0</v>
      </c>
      <c r="N360" s="100">
        <f>SUMIF(GERAL!B$8:B$1696,A360,GERAL!AA$8:AA$1696)+SUMIF(GERAL!B$8:B$1696,A360,GERAL!AB$8:AB$1696)</f>
        <v>0</v>
      </c>
      <c r="O360" s="100">
        <f>SUMIF(GERAL!B$8:B$1696,A360,GERAL!AF$8:AF$1696)+SUMIF(GERAL!B$8:B$1696,A360,GERAL!AG$8:AG$1696)</f>
        <v>706</v>
      </c>
      <c r="P360" s="100">
        <f>SUMIF(GERAL!B$8:B$1696,A360,GERAL!AK$8:AK$1696)+SUMIF(GERAL!B$8:B$1696,A360,GERAL!AL$8:AL$1696)</f>
        <v>0</v>
      </c>
      <c r="Q360" s="100">
        <f>SUMIF(GERAL!B$8:B$1696,A360,GERAL!AO$8:AO$1696)+SUMIF(GERAL!B$8:B$1696,A360,GERAL!AP$8:AP$1696)</f>
        <v>0</v>
      </c>
      <c r="R360" s="100">
        <f>SUMIF(GERAL!B$8:B$1696,A360,GERAL!AS$8:AS$1696)+SUMIF(GERAL!B$8:B$1696,A360,GERAL!AT$8:AT$1696)</f>
        <v>525</v>
      </c>
      <c r="S360" s="75">
        <f t="shared" si="39"/>
        <v>1231</v>
      </c>
      <c r="T360" s="116">
        <f>COUNTIFS(GERAL!B$8:B$1696,A360,GERAL!AZ$8:AZ$1696,"&gt;0",GERAL!C$8:C$1696,"ESCOLA")</f>
        <v>2</v>
      </c>
      <c r="U360" s="75">
        <f>COUNTIFS(GERAL!B$8:B$1696,A360,GERAL!AZ$8:AZ$1696,"&gt;0",GERAL!C$8:C$1696,"ANEXO")</f>
        <v>4</v>
      </c>
      <c r="V360" s="85">
        <f>SUMIF(GERAL!B$8:B$1696,A360,GERAL!AH$8:AH$1696)</f>
        <v>67</v>
      </c>
      <c r="W360" s="85">
        <f>SUMIF(GERAL!B$8:B$1696,A360,GERAL!AM$8:AM$1696)</f>
        <v>0</v>
      </c>
      <c r="X360" s="85">
        <f>SUMIF(GERAL!B$8:B$1696,A360,GERAL!AQ$8:AQ$1696)</f>
        <v>283</v>
      </c>
      <c r="Y360" s="85">
        <f>SUMIF(GERAL!B$8:B$1696,A360,GERAL!AU$8:AU$1696)</f>
        <v>157</v>
      </c>
      <c r="Z360" s="88">
        <f t="shared" si="40"/>
        <v>507</v>
      </c>
      <c r="AA360" s="116">
        <f>COUNTIFS(GERAL!B$8:B$1696,A360,GERAL!BK$8:BK$1696,"&gt;0",GERAL!C$8:C$1696,"ESCOLA")</f>
        <v>0</v>
      </c>
      <c r="AB360" s="88">
        <f>COUNTIFS(GERAL!B$8:B$1696,A360,GERAL!BK$8:BK$1696,"&gt;0",GERAL!C$8:C$1696,"ANEXO")</f>
        <v>0</v>
      </c>
      <c r="AC360" s="121">
        <f>SUMIF(GERAL!B$8:B$1696,A360,GERAL!AD$8:AD$1696)</f>
        <v>0</v>
      </c>
      <c r="AD360" s="121">
        <f>SUMIF(GERAL!B$8:B$1696,A360,GERAL!AI$8:AI$1696)</f>
        <v>0</v>
      </c>
      <c r="AE360" s="121">
        <f>SUMIF(GERAL!B$8:B$1696,A360,GERAL!AV$8:AV$1696)</f>
        <v>0</v>
      </c>
      <c r="AF360" s="492">
        <f t="shared" si="41"/>
        <v>0</v>
      </c>
      <c r="AG360" s="178">
        <f>COUNTIFS(GERAL!B$8:B$1696,A360,GERAL!AW$8:AW$1696,"&gt;0",GERAL!C$8:C$1696,"ESCOLA")</f>
        <v>1</v>
      </c>
      <c r="AH360" s="118">
        <f>COUNTIFS(GERAL!B$8:B$1696,A360,GERAL!AW$8:AW$1696,"&gt;0",GERAL!C$8:C$1696,"ANEXO")</f>
        <v>0</v>
      </c>
      <c r="AI360" s="177">
        <f>SUMIF(GERAL!B$8:B$1696,A360,GERAL!AS$8:AS$1696)+SUMIF(GERAL!B$8:B$1696,A360,GERAL!AT$8:AT$1696)</f>
        <v>525</v>
      </c>
      <c r="AJ360" s="177">
        <f>SUMIF(GERAL!B$8:B$1696,A360,GERAL!AU$8:AU$1696)</f>
        <v>157</v>
      </c>
      <c r="AK360" s="177">
        <f>SUMIF(GERAL!B$8:B$1696,A360,GERAL!AV$8:AV$1696)</f>
        <v>0</v>
      </c>
      <c r="AL360" s="118">
        <f t="shared" si="42"/>
        <v>682</v>
      </c>
      <c r="AM360" s="493" t="s">
        <v>1573</v>
      </c>
    </row>
    <row r="361">
      <c r="A361" s="494" t="s">
        <v>2229</v>
      </c>
      <c r="B361" s="75">
        <f>COUNTIFS(GERAL!B$8:B$1696,A361,GERAL!C$8:C$1696,"ESCOLA")</f>
        <v>1</v>
      </c>
      <c r="C361" s="75">
        <f>COUNTIFS(GERAL!B$8:B$1696,A361,GERAL!C$8:C$1696,"ANEXO")</f>
        <v>6</v>
      </c>
      <c r="D361" s="85">
        <f>SUMIF(GERAL!B$8:B$1696,A361,GERAL!Z$8:Z$1696)</f>
        <v>0</v>
      </c>
      <c r="E361" s="85">
        <f>SUMIF(GERAL!B$8:B$1696,A361,GERAL!AE$8:AE$1696)</f>
        <v>0</v>
      </c>
      <c r="F361" s="85">
        <f>SUMIF(GERAL!B$8:B$1696,A361,GERAL!AJ$8:AJ$1696)</f>
        <v>509</v>
      </c>
      <c r="G361" s="85">
        <f>SUMIF(GERAL!B$8:B$1696,A361,GERAL!AN$8:AN$1696)</f>
        <v>0</v>
      </c>
      <c r="H361" s="85">
        <f>SUMIF(GERAL!B$8:B$1696,A361,GERAL!AR$8:AW$1696)</f>
        <v>102</v>
      </c>
      <c r="I361" s="85">
        <f>SUMIF(GERAL!B$8:B$1696,A361,GERAL!AW$8:AW$1696)</f>
        <v>1032</v>
      </c>
      <c r="J361" s="75">
        <f>SUMIF(GERAL!B$8:B$1696,A361,GERAL!AX$8:AX$1696)</f>
        <v>1643</v>
      </c>
      <c r="K361" s="75">
        <f>COUNTIFS(GERAL!B$8:B$1696,A361,GERAL!AY$8:AY$1696,"&gt;0",GERAL!C$8:C$1696,"ESCOLA")</f>
        <v>1</v>
      </c>
      <c r="L361" s="75">
        <f>COUNTIFS(GERAL!B$8:B$1696,A361,GERAL!AY$8:AY$1696,"&gt;0",GERAL!C$8:C$1696,"ANEXO")</f>
        <v>2</v>
      </c>
      <c r="M361" s="100">
        <f>SUMIF(GERAL!B$8:B$1696,A361,GERAL!V$8:V$1696)+SUMIF(GERAL!B$8:B$1696,A361,GERAL!W$8:W$1696)</f>
        <v>0</v>
      </c>
      <c r="N361" s="100">
        <f>SUMIF(GERAL!B$8:B$1696,A361,GERAL!AA$8:AA$1696)+SUMIF(GERAL!B$8:B$1696,A361,GERAL!AB$8:AB$1696)</f>
        <v>0</v>
      </c>
      <c r="O361" s="100">
        <f>SUMIF(GERAL!B$8:B$1696,A361,GERAL!AF$8:AF$1696)+SUMIF(GERAL!B$8:B$1696,A361,GERAL!AG$8:AG$1696)</f>
        <v>237</v>
      </c>
      <c r="P361" s="100">
        <f>SUMIF(GERAL!B$8:B$1696,A361,GERAL!AK$8:AK$1696)+SUMIF(GERAL!B$8:B$1696,A361,GERAL!AL$8:AL$1696)</f>
        <v>0</v>
      </c>
      <c r="Q361" s="100">
        <f>SUMIF(GERAL!B$8:B$1696,A361,GERAL!AO$8:AO$1696)+SUMIF(GERAL!B$8:B$1696,A361,GERAL!AP$8:AP$1696)</f>
        <v>0</v>
      </c>
      <c r="R361" s="100">
        <f>SUMIF(GERAL!B$8:B$1696,A361,GERAL!AS$8:AS$1696)+SUMIF(GERAL!B$8:B$1696,A361,GERAL!AT$8:AT$1696)</f>
        <v>544</v>
      </c>
      <c r="S361" s="75">
        <f t="shared" si="39"/>
        <v>781</v>
      </c>
      <c r="T361" s="116">
        <f>COUNTIFS(GERAL!B$8:B$1696,A361,GERAL!AZ$8:AZ$1696,"&gt;0",GERAL!C$8:C$1696,"ESCOLA")</f>
        <v>1</v>
      </c>
      <c r="U361" s="75">
        <f>COUNTIFS(GERAL!B$8:B$1696,A361,GERAL!AZ$8:AZ$1696,"&gt;0",GERAL!C$8:C$1696,"ANEXO")</f>
        <v>5</v>
      </c>
      <c r="V361" s="85">
        <f>SUMIF(GERAL!B$8:B$1696,A361,GERAL!AH$8:AH$1696)</f>
        <v>97</v>
      </c>
      <c r="W361" s="85">
        <f>SUMIF(GERAL!B$8:B$1696,A361,GERAL!AM$8:AM$1696)</f>
        <v>0</v>
      </c>
      <c r="X361" s="85">
        <f>SUMIF(GERAL!B$8:B$1696,A361,GERAL!AQ$8:AQ$1696)</f>
        <v>102</v>
      </c>
      <c r="Y361" s="85">
        <f>SUMIF(GERAL!B$8:B$1696,A361,GERAL!AU$8:AU$1696)</f>
        <v>325</v>
      </c>
      <c r="Z361" s="88">
        <f t="shared" si="40"/>
        <v>524</v>
      </c>
      <c r="AA361" s="116">
        <f>COUNTIFS(GERAL!B$8:B$1696,A361,GERAL!BK$8:BK$1696,"&gt;0",GERAL!C$8:C$1696,"ESCOLA")</f>
        <v>1</v>
      </c>
      <c r="AB361" s="88">
        <f>COUNTIFS(GERAL!B$8:B$1696,A361,GERAL!BK$8:BK$1696,"&gt;0",GERAL!C$8:C$1696,"ANEXO")</f>
        <v>0</v>
      </c>
      <c r="AC361" s="121">
        <f>SUMIF(GERAL!B$8:B$1696,A361,GERAL!AD$8:AD$1696)</f>
        <v>0</v>
      </c>
      <c r="AD361" s="121">
        <f>SUMIF(GERAL!B$8:B$1696,A361,GERAL!AI$8:AI$1696)</f>
        <v>175</v>
      </c>
      <c r="AE361" s="121">
        <f>SUMIF(GERAL!B$8:B$1696,A361,GERAL!AV$8:AV$1696)</f>
        <v>163</v>
      </c>
      <c r="AF361" s="492">
        <f t="shared" si="41"/>
        <v>338</v>
      </c>
      <c r="AG361" s="178">
        <f>COUNTIFS(GERAL!B$8:B$1696,A361,GERAL!AW$8:AW$1696,"&gt;0",GERAL!C$8:C$1696,"ESCOLA")</f>
        <v>1</v>
      </c>
      <c r="AH361" s="118">
        <f>COUNTIFS(GERAL!B$8:B$1696,A361,GERAL!AW$8:AW$1696,"&gt;0",GERAL!C$8:C$1696,"ANEXO")</f>
        <v>0</v>
      </c>
      <c r="AI361" s="177">
        <f>SUMIF(GERAL!B$8:B$1696,A361,GERAL!AS$8:AS$1696)+SUMIF(GERAL!B$8:B$1696,A361,GERAL!AT$8:AT$1696)</f>
        <v>544</v>
      </c>
      <c r="AJ361" s="177">
        <f>SUMIF(GERAL!B$8:B$1696,A361,GERAL!AU$8:AU$1696)</f>
        <v>325</v>
      </c>
      <c r="AK361" s="177">
        <f>SUMIF(GERAL!B$8:B$1696,A361,GERAL!AV$8:AV$1696)</f>
        <v>163</v>
      </c>
      <c r="AL361" s="118">
        <f t="shared" si="42"/>
        <v>1032</v>
      </c>
      <c r="AM361" s="493" t="s">
        <v>860</v>
      </c>
    </row>
    <row r="362">
      <c r="A362" s="484" t="s">
        <v>4513</v>
      </c>
      <c r="B362" s="75">
        <f>COUNTIFS(GERAL!B$8:B$1696,A362,GERAL!C$8:C$1696,"ESCOLA")</f>
        <v>1</v>
      </c>
      <c r="C362" s="75">
        <f>COUNTIFS(GERAL!B$8:B$1696,A362,GERAL!C$8:C$1696,"ANEXO")</f>
        <v>0</v>
      </c>
      <c r="D362" s="85">
        <f>SUMIF(GERAL!B$8:B$1696,A362,GERAL!Z$8:Z$1696)</f>
        <v>0</v>
      </c>
      <c r="E362" s="85">
        <f>SUMIF(GERAL!B$8:B$1696,A362,GERAL!AE$8:AE$1696)</f>
        <v>0</v>
      </c>
      <c r="F362" s="85">
        <f>SUMIF(GERAL!B$8:B$1696,A362,GERAL!AJ$8:AJ$1696)</f>
        <v>431</v>
      </c>
      <c r="G362" s="85">
        <f>SUMIF(GERAL!B$8:B$1696,A362,GERAL!AN$8:AN$1696)</f>
        <v>0</v>
      </c>
      <c r="H362" s="85">
        <f>SUMIF(GERAL!B$8:B$1696,A362,GERAL!AR$8:AW$1696)</f>
        <v>49</v>
      </c>
      <c r="I362" s="85">
        <f>SUMIF(GERAL!B$8:B$1696,A362,GERAL!AW$8:AW$1696)</f>
        <v>46</v>
      </c>
      <c r="J362" s="75">
        <f>SUMIF(GERAL!B$8:B$1696,A362,GERAL!AX$8:AX$1696)</f>
        <v>526</v>
      </c>
      <c r="K362" s="75">
        <f>COUNTIFS(GERAL!B$8:B$1696,A362,GERAL!AY$8:AY$1696,"&gt;0",GERAL!C$8:C$1696,"ESCOLA")</f>
        <v>1</v>
      </c>
      <c r="L362" s="75">
        <f>COUNTIFS(GERAL!B$8:B$1696,A362,GERAL!AY$8:AY$1696,"&gt;0",GERAL!C$8:C$1696,"ANEXO")</f>
        <v>0</v>
      </c>
      <c r="M362" s="100">
        <f>SUMIF(GERAL!B$8:B$1696,A362,GERAL!V$8:V$1696)+SUMIF(GERAL!B$8:B$1696,A362,GERAL!W$8:W$1696)</f>
        <v>0</v>
      </c>
      <c r="N362" s="100">
        <f>SUMIF(GERAL!B$8:B$1696,A362,GERAL!AA$8:AA$1696)+SUMIF(GERAL!B$8:B$1696,A362,GERAL!AB$8:AB$1696)</f>
        <v>0</v>
      </c>
      <c r="O362" s="100">
        <f>SUMIF(GERAL!B$8:B$1696,A362,GERAL!AF$8:AF$1696)+SUMIF(GERAL!B$8:B$1696,A362,GERAL!AG$8:AG$1696)</f>
        <v>352</v>
      </c>
      <c r="P362" s="100">
        <f>SUMIF(GERAL!B$8:B$1696,A362,GERAL!AK$8:AK$1696)+SUMIF(GERAL!B$8:B$1696,A362,GERAL!AL$8:AL$1696)</f>
        <v>0</v>
      </c>
      <c r="Q362" s="100">
        <f>SUMIF(GERAL!B$8:B$1696,A362,GERAL!AO$8:AO$1696)+SUMIF(GERAL!B$8:B$1696,A362,GERAL!AP$8:AP$1696)</f>
        <v>0</v>
      </c>
      <c r="R362" s="100">
        <f>SUMIF(GERAL!B$8:B$1696,A362,GERAL!AS$8:AS$1696)+SUMIF(GERAL!B$8:B$1696,A362,GERAL!AT$8:AT$1696)</f>
        <v>16</v>
      </c>
      <c r="S362" s="75">
        <f t="shared" si="39"/>
        <v>368</v>
      </c>
      <c r="T362" s="116">
        <f>COUNTIFS(GERAL!B$8:B$1696,A362,GERAL!AZ$8:AZ$1696,"&gt;0",GERAL!C$8:C$1696,"ESCOLA")</f>
        <v>1</v>
      </c>
      <c r="U362" s="75">
        <f>COUNTIFS(GERAL!B$8:B$1696,A362,GERAL!AZ$8:AZ$1696,"&gt;0",GERAL!C$8:C$1696,"ANEXO")</f>
        <v>0</v>
      </c>
      <c r="V362" s="85">
        <f>SUMIF(GERAL!B$8:B$1696,A362,GERAL!AH$8:AH$1696)</f>
        <v>0</v>
      </c>
      <c r="W362" s="85">
        <f>SUMIF(GERAL!B$8:B$1696,A362,GERAL!AM$8:AM$1696)</f>
        <v>0</v>
      </c>
      <c r="X362" s="85">
        <f>SUMIF(GERAL!B$8:B$1696,A362,GERAL!AQ$8:AQ$1696)</f>
        <v>49</v>
      </c>
      <c r="Y362" s="85">
        <f>SUMIF(GERAL!B$8:B$1696,A362,GERAL!AU$8:AU$1696)</f>
        <v>0</v>
      </c>
      <c r="Z362" s="88">
        <f t="shared" si="40"/>
        <v>49</v>
      </c>
      <c r="AA362" s="116">
        <f>COUNTIFS(GERAL!B$8:B$1696,A362,GERAL!BK$8:BK$1696,"&gt;0",GERAL!C$8:C$1696,"ESCOLA")</f>
        <v>1</v>
      </c>
      <c r="AB362" s="88">
        <f>COUNTIFS(GERAL!B$8:B$1696,A362,GERAL!BK$8:BK$1696,"&gt;0",GERAL!C$8:C$1696,"ANEXO")</f>
        <v>0</v>
      </c>
      <c r="AC362" s="121">
        <f>SUMIF(GERAL!B$8:B$1696,A362,GERAL!AD$8:AD$1696)</f>
        <v>0</v>
      </c>
      <c r="AD362" s="121">
        <f>SUMIF(GERAL!B$8:B$1696,A362,GERAL!AI$8:AI$1696)</f>
        <v>79</v>
      </c>
      <c r="AE362" s="121">
        <f>SUMIF(GERAL!B$8:B$1696,A362,GERAL!AV$8:AV$1696)</f>
        <v>30</v>
      </c>
      <c r="AF362" s="492">
        <f t="shared" si="41"/>
        <v>109</v>
      </c>
      <c r="AG362" s="178">
        <f>COUNTIFS(GERAL!B$8:B$1696,A362,GERAL!AW$8:AW$1696,"&gt;0",GERAL!C$8:C$1696,"ESCOLA")</f>
        <v>1</v>
      </c>
      <c r="AH362" s="118">
        <f>COUNTIFS(GERAL!B$8:B$1696,A362,GERAL!AW$8:AW$1696,"&gt;0",GERAL!C$8:C$1696,"ANEXO")</f>
        <v>0</v>
      </c>
      <c r="AI362" s="177">
        <f>SUMIF(GERAL!B$8:B$1696,A362,GERAL!AS$8:AS$1696)+SUMIF(GERAL!B$8:B$1696,A362,GERAL!AT$8:AT$1696)</f>
        <v>16</v>
      </c>
      <c r="AJ362" s="177">
        <f>SUMIF(GERAL!B$8:B$1696,A362,GERAL!AU$8:AU$1696)</f>
        <v>0</v>
      </c>
      <c r="AK362" s="177">
        <f>SUMIF(GERAL!B$8:B$1696,A362,GERAL!AV$8:AV$1696)</f>
        <v>30</v>
      </c>
      <c r="AL362" s="118">
        <f t="shared" si="42"/>
        <v>46</v>
      </c>
      <c r="AM362" s="493" t="s">
        <v>1027</v>
      </c>
    </row>
    <row r="363">
      <c r="A363" s="494" t="s">
        <v>1253</v>
      </c>
      <c r="B363" s="75">
        <f>COUNTIFS(GERAL!B$8:B$1696,A363,GERAL!C$8:C$1696,"ESCOLA")</f>
        <v>3</v>
      </c>
      <c r="C363" s="75">
        <f>COUNTIFS(GERAL!B$8:B$1696,A363,GERAL!C$8:C$1696,"ANEXO")</f>
        <v>1</v>
      </c>
      <c r="D363" s="85">
        <f>SUMIF(GERAL!B$8:B$1696,A363,GERAL!Z$8:Z$1696)</f>
        <v>0</v>
      </c>
      <c r="E363" s="85">
        <f>SUMIF(GERAL!B$8:B$1696,A363,GERAL!AE$8:AE$1696)</f>
        <v>0</v>
      </c>
      <c r="F363" s="85">
        <f>SUMIF(GERAL!B$8:B$1696,A363,GERAL!AJ$8:AJ$1696)</f>
        <v>778</v>
      </c>
      <c r="G363" s="85">
        <f>SUMIF(GERAL!B$8:B$1696,A363,GERAL!AN$8:AN$1696)</f>
        <v>0</v>
      </c>
      <c r="H363" s="85">
        <f>SUMIF(GERAL!B$8:B$1696,A363,GERAL!AR$8:AW$1696)</f>
        <v>250</v>
      </c>
      <c r="I363" s="85">
        <f>SUMIF(GERAL!B$8:B$1696,A363,GERAL!AW$8:AW$1696)</f>
        <v>800</v>
      </c>
      <c r="J363" s="75">
        <f>SUMIF(GERAL!B$8:B$1696,A363,GERAL!AX$8:AX$1696)</f>
        <v>1828</v>
      </c>
      <c r="K363" s="75">
        <f>COUNTIFS(GERAL!B$8:B$1696,A363,GERAL!AY$8:AY$1696,"&gt;0",GERAL!C$8:C$1696,"ESCOLA")</f>
        <v>3</v>
      </c>
      <c r="L363" s="75">
        <f>COUNTIFS(GERAL!B$8:B$1696,A363,GERAL!AY$8:AY$1696,"&gt;0",GERAL!C$8:C$1696,"ANEXO")</f>
        <v>1</v>
      </c>
      <c r="M363" s="100">
        <f>SUMIF(GERAL!B$8:B$1696,A363,GERAL!V$8:V$1696)+SUMIF(GERAL!B$8:B$1696,A363,GERAL!W$8:W$1696)</f>
        <v>0</v>
      </c>
      <c r="N363" s="100">
        <f>SUMIF(GERAL!B$8:B$1696,A363,GERAL!AA$8:AA$1696)+SUMIF(GERAL!B$8:B$1696,A363,GERAL!AB$8:AB$1696)</f>
        <v>0</v>
      </c>
      <c r="O363" s="100">
        <f>SUMIF(GERAL!B$8:B$1696,A363,GERAL!AF$8:AF$1696)+SUMIF(GERAL!B$8:B$1696,A363,GERAL!AG$8:AG$1696)</f>
        <v>181</v>
      </c>
      <c r="P363" s="100">
        <f>SUMIF(GERAL!B$8:B$1696,A363,GERAL!AK$8:AK$1696)+SUMIF(GERAL!B$8:B$1696,A363,GERAL!AL$8:AL$1696)</f>
        <v>0</v>
      </c>
      <c r="Q363" s="100">
        <f>SUMIF(GERAL!B$8:B$1696,A363,GERAL!AO$8:AO$1696)+SUMIF(GERAL!B$8:B$1696,A363,GERAL!AP$8:AP$1696)</f>
        <v>0</v>
      </c>
      <c r="R363" s="100">
        <f>SUMIF(GERAL!B$8:B$1696,A363,GERAL!AS$8:AS$1696)+SUMIF(GERAL!B$8:B$1696,A363,GERAL!AT$8:AT$1696)</f>
        <v>608</v>
      </c>
      <c r="S363" s="75">
        <f t="shared" si="39"/>
        <v>789</v>
      </c>
      <c r="T363" s="116">
        <f>COUNTIFS(GERAL!B$8:B$1696,A363,GERAL!AZ$8:AZ$1696,"&gt;0",GERAL!C$8:C$1696,"ESCOLA")</f>
        <v>3</v>
      </c>
      <c r="U363" s="75">
        <f>COUNTIFS(GERAL!B$8:B$1696,A363,GERAL!AZ$8:AZ$1696,"&gt;0",GERAL!C$8:C$1696,"ANEXO")</f>
        <v>1</v>
      </c>
      <c r="V363" s="85">
        <f>SUMIF(GERAL!B$8:B$1696,A363,GERAL!AH$8:AH$1696)</f>
        <v>41</v>
      </c>
      <c r="W363" s="85">
        <f>SUMIF(GERAL!B$8:B$1696,A363,GERAL!AM$8:AM$1696)</f>
        <v>0</v>
      </c>
      <c r="X363" s="85">
        <f>SUMIF(GERAL!B$8:B$1696,A363,GERAL!AQ$8:AQ$1696)</f>
        <v>250</v>
      </c>
      <c r="Y363" s="85">
        <f>SUMIF(GERAL!B$8:B$1696,A363,GERAL!AU$8:AU$1696)</f>
        <v>192</v>
      </c>
      <c r="Z363" s="88">
        <f t="shared" si="40"/>
        <v>483</v>
      </c>
      <c r="AA363" s="116">
        <f>COUNTIFS(GERAL!B$8:B$1696,A363,GERAL!BK$8:BK$1696,"&gt;0",GERAL!C$8:C$1696,"ESCOLA")</f>
        <v>2</v>
      </c>
      <c r="AB363" s="88">
        <f>COUNTIFS(GERAL!B$8:B$1696,A363,GERAL!BK$8:BK$1696,"&gt;0",GERAL!C$8:C$1696,"ANEXO")</f>
        <v>0</v>
      </c>
      <c r="AC363" s="121">
        <f>SUMIF(GERAL!B$8:B$1696,A363,GERAL!AD$8:AD$1696)</f>
        <v>0</v>
      </c>
      <c r="AD363" s="121">
        <f>SUMIF(GERAL!B$8:B$1696,A363,GERAL!AI$8:AI$1696)</f>
        <v>556</v>
      </c>
      <c r="AE363" s="121">
        <f>SUMIF(GERAL!B$8:B$1696,A363,GERAL!AV$8:AV$1696)</f>
        <v>0</v>
      </c>
      <c r="AF363" s="492">
        <f t="shared" si="41"/>
        <v>556</v>
      </c>
      <c r="AG363" s="178">
        <f>COUNTIFS(GERAL!B$8:B$1696,A363,GERAL!AW$8:AW$1696,"&gt;0",GERAL!C$8:C$1696,"ESCOLA")</f>
        <v>1</v>
      </c>
      <c r="AH363" s="118">
        <f>COUNTIFS(GERAL!B$8:B$1696,A363,GERAL!AW$8:AW$1696,"&gt;0",GERAL!C$8:C$1696,"ANEXO")</f>
        <v>0</v>
      </c>
      <c r="AI363" s="177">
        <f>SUMIF(GERAL!B$8:B$1696,A363,GERAL!AS$8:AS$1696)+SUMIF(GERAL!B$8:B$1696,A363,GERAL!AT$8:AT$1696)</f>
        <v>608</v>
      </c>
      <c r="AJ363" s="177">
        <f>SUMIF(GERAL!B$8:B$1696,A363,GERAL!AU$8:AU$1696)</f>
        <v>192</v>
      </c>
      <c r="AK363" s="177">
        <f>SUMIF(GERAL!B$8:B$1696,A363,GERAL!AV$8:AV$1696)</f>
        <v>0</v>
      </c>
      <c r="AL363" s="118">
        <f t="shared" si="42"/>
        <v>800</v>
      </c>
      <c r="AM363" s="493" t="s">
        <v>383</v>
      </c>
    </row>
    <row r="364">
      <c r="A364" s="484" t="s">
        <v>6946</v>
      </c>
      <c r="B364" s="75">
        <f>COUNTIFS(GERAL!B$8:B$1696,A364,GERAL!C$8:C$1696,"ESCOLA")</f>
        <v>1</v>
      </c>
      <c r="C364" s="75">
        <f>COUNTIFS(GERAL!B$8:B$1696,A364,GERAL!C$8:C$1696,"ANEXO")</f>
        <v>1</v>
      </c>
      <c r="D364" s="85">
        <f>SUMIF(GERAL!B$8:B$1696,A364,GERAL!Z$8:Z$1696)</f>
        <v>0</v>
      </c>
      <c r="E364" s="85">
        <f>SUMIF(GERAL!B$8:B$1696,A364,GERAL!AE$8:AE$1696)</f>
        <v>0</v>
      </c>
      <c r="F364" s="85">
        <f>SUMIF(GERAL!B$8:B$1696,A364,GERAL!AJ$8:AJ$1696)</f>
        <v>1043</v>
      </c>
      <c r="G364" s="85">
        <f>SUMIF(GERAL!B$8:B$1696,A364,GERAL!AN$8:AN$1696)</f>
        <v>0</v>
      </c>
      <c r="H364" s="85">
        <f>SUMIF(GERAL!B$8:B$1696,A364,GERAL!AR$8:AW$1696)</f>
        <v>64</v>
      </c>
      <c r="I364" s="85">
        <f>SUMIF(GERAL!B$8:B$1696,A364,GERAL!AW$8:AW$1696)</f>
        <v>149</v>
      </c>
      <c r="J364" s="75">
        <f>SUMIF(GERAL!B$8:B$1696,A364,GERAL!AX$8:AX$1696)</f>
        <v>1256</v>
      </c>
      <c r="K364" s="75">
        <f>COUNTIFS(GERAL!B$8:B$1696,A364,GERAL!AY$8:AY$1696,"&gt;0",GERAL!C$8:C$1696,"ESCOLA")</f>
        <v>1</v>
      </c>
      <c r="L364" s="75">
        <f>COUNTIFS(GERAL!B$8:B$1696,A364,GERAL!AY$8:AY$1696,"&gt;0",GERAL!C$8:C$1696,"ANEXO")</f>
        <v>1</v>
      </c>
      <c r="M364" s="100">
        <f>SUMIF(GERAL!B$8:B$1696,A364,GERAL!V$8:V$1696)+SUMIF(GERAL!B$8:B$1696,A364,GERAL!W$8:W$1696)</f>
        <v>0</v>
      </c>
      <c r="N364" s="100">
        <f>SUMIF(GERAL!B$8:B$1696,A364,GERAL!AA$8:AA$1696)+SUMIF(GERAL!B$8:B$1696,A364,GERAL!AB$8:AB$1696)</f>
        <v>0</v>
      </c>
      <c r="O364" s="100">
        <f>SUMIF(GERAL!B$8:B$1696,A364,GERAL!AF$8:AF$1696)+SUMIF(GERAL!B$8:B$1696,A364,GERAL!AG$8:AG$1696)</f>
        <v>489</v>
      </c>
      <c r="P364" s="100">
        <f>SUMIF(GERAL!B$8:B$1696,A364,GERAL!AK$8:AK$1696)+SUMIF(GERAL!B$8:B$1696,A364,GERAL!AL$8:AL$1696)</f>
        <v>0</v>
      </c>
      <c r="Q364" s="100">
        <f>SUMIF(GERAL!B$8:B$1696,A364,GERAL!AO$8:AO$1696)+SUMIF(GERAL!B$8:B$1696,A364,GERAL!AP$8:AP$1696)</f>
        <v>0</v>
      </c>
      <c r="R364" s="100">
        <f>SUMIF(GERAL!B$8:B$1696,A364,GERAL!AS$8:AS$1696)+SUMIF(GERAL!B$8:B$1696,A364,GERAL!AT$8:AT$1696)</f>
        <v>149</v>
      </c>
      <c r="S364" s="75">
        <f t="shared" si="39"/>
        <v>638</v>
      </c>
      <c r="T364" s="116">
        <f>COUNTIFS(GERAL!B$8:B$1696,A364,GERAL!AZ$8:AZ$1696,"&gt;0",GERAL!C$8:C$1696,"ESCOLA")</f>
        <v>1</v>
      </c>
      <c r="U364" s="75">
        <f>COUNTIFS(GERAL!B$8:B$1696,A364,GERAL!AZ$8:AZ$1696,"&gt;0",GERAL!C$8:C$1696,"ANEXO")</f>
        <v>1</v>
      </c>
      <c r="V364" s="85">
        <f>SUMIF(GERAL!B$8:B$1696,A364,GERAL!AH$8:AH$1696)</f>
        <v>0</v>
      </c>
      <c r="W364" s="85">
        <f>SUMIF(GERAL!B$8:B$1696,A364,GERAL!AM$8:AM$1696)</f>
        <v>0</v>
      </c>
      <c r="X364" s="85">
        <f>SUMIF(GERAL!B$8:B$1696,A364,GERAL!AQ$8:AQ$1696)</f>
        <v>64</v>
      </c>
      <c r="Y364" s="85">
        <f>SUMIF(GERAL!B$8:B$1696,A364,GERAL!AU$8:AU$1696)</f>
        <v>0</v>
      </c>
      <c r="Z364" s="88">
        <f t="shared" si="40"/>
        <v>64</v>
      </c>
      <c r="AA364" s="116">
        <f>COUNTIFS(GERAL!B$8:B$1696,A364,GERAL!BK$8:BK$1696,"&gt;0",GERAL!C$8:C$1696,"ESCOLA")</f>
        <v>1</v>
      </c>
      <c r="AB364" s="88">
        <f>COUNTIFS(GERAL!B$8:B$1696,A364,GERAL!BK$8:BK$1696,"&gt;0",GERAL!C$8:C$1696,"ANEXO")</f>
        <v>0</v>
      </c>
      <c r="AC364" s="121">
        <f>SUMIF(GERAL!B$8:B$1696,A364,GERAL!AD$8:AD$1696)</f>
        <v>0</v>
      </c>
      <c r="AD364" s="121">
        <f>SUMIF(GERAL!B$8:B$1696,A364,GERAL!AI$8:AI$1696)</f>
        <v>554</v>
      </c>
      <c r="AE364" s="121">
        <f>SUMIF(GERAL!B$8:B$1696,A364,GERAL!AV$8:AV$1696)</f>
        <v>0</v>
      </c>
      <c r="AF364" s="492">
        <f t="shared" si="41"/>
        <v>554</v>
      </c>
      <c r="AG364" s="178">
        <f>COUNTIFS(GERAL!B$8:B$1696,A364,GERAL!AW$8:AW$1696,"&gt;0",GERAL!C$8:C$1696,"ESCOLA")</f>
        <v>1</v>
      </c>
      <c r="AH364" s="118">
        <f>COUNTIFS(GERAL!B$8:B$1696,A364,GERAL!AW$8:AW$1696,"&gt;0",GERAL!C$8:C$1696,"ANEXO")</f>
        <v>0</v>
      </c>
      <c r="AI364" s="177">
        <f>SUMIF(GERAL!B$8:B$1696,A364,GERAL!AS$8:AS$1696)+SUMIF(GERAL!B$8:B$1696,A364,GERAL!AT$8:AT$1696)</f>
        <v>149</v>
      </c>
      <c r="AJ364" s="177">
        <f>SUMIF(GERAL!B$8:B$1696,A364,GERAL!AU$8:AU$1696)</f>
        <v>0</v>
      </c>
      <c r="AK364" s="177">
        <f>SUMIF(GERAL!B$8:B$1696,A364,GERAL!AV$8:AV$1696)</f>
        <v>0</v>
      </c>
      <c r="AL364" s="118">
        <f t="shared" si="42"/>
        <v>149</v>
      </c>
      <c r="AM364" s="493" t="s">
        <v>1573</v>
      </c>
    </row>
    <row r="365">
      <c r="A365" s="494" t="s">
        <v>6043</v>
      </c>
      <c r="B365" s="75">
        <f>COUNTIFS(GERAL!B$8:B$1696,A365,GERAL!C$8:C$1696,"ESCOLA")</f>
        <v>1</v>
      </c>
      <c r="C365" s="75">
        <f>COUNTIFS(GERAL!B$8:B$1696,A365,GERAL!C$8:C$1696,"ANEXO")</f>
        <v>0</v>
      </c>
      <c r="D365" s="85">
        <f>SUMIF(GERAL!B$8:B$1696,A365,GERAL!Z$8:Z$1696)</f>
        <v>0</v>
      </c>
      <c r="E365" s="85">
        <f>SUMIF(GERAL!B$8:B$1696,A365,GERAL!AE$8:AE$1696)</f>
        <v>0</v>
      </c>
      <c r="F365" s="85">
        <f>SUMIF(GERAL!B$8:B$1696,A365,GERAL!AJ$8:AJ$1696)</f>
        <v>227</v>
      </c>
      <c r="G365" s="85">
        <f>SUMIF(GERAL!B$8:B$1696,A365,GERAL!AN$8:AN$1696)</f>
        <v>0</v>
      </c>
      <c r="H365" s="85">
        <f>SUMIF(GERAL!B$8:B$1696,A365,GERAL!AR$8:AW$1696)</f>
        <v>52</v>
      </c>
      <c r="I365" s="85">
        <f>SUMIF(GERAL!B$8:B$1696,A365,GERAL!AW$8:AW$1696)</f>
        <v>121</v>
      </c>
      <c r="J365" s="75">
        <f>SUMIF(GERAL!B$8:B$1696,A365,GERAL!AX$8:AX$1696)</f>
        <v>400</v>
      </c>
      <c r="K365" s="75">
        <f>COUNTIFS(GERAL!B$8:B$1696,A365,GERAL!AY$8:AY$1696,"&gt;0",GERAL!C$8:C$1696,"ESCOLA")</f>
        <v>1</v>
      </c>
      <c r="L365" s="75">
        <f>COUNTIFS(GERAL!B$8:B$1696,A365,GERAL!AY$8:AY$1696,"&gt;0",GERAL!C$8:C$1696,"ANEXO")</f>
        <v>0</v>
      </c>
      <c r="M365" s="100">
        <f>SUMIF(GERAL!B$8:B$1696,A365,GERAL!V$8:V$1696)+SUMIF(GERAL!B$8:B$1696,A365,GERAL!W$8:W$1696)</f>
        <v>0</v>
      </c>
      <c r="N365" s="100">
        <f>SUMIF(GERAL!B$8:B$1696,A365,GERAL!AA$8:AA$1696)+SUMIF(GERAL!B$8:B$1696,A365,GERAL!AB$8:AB$1696)</f>
        <v>0</v>
      </c>
      <c r="O365" s="100">
        <f>SUMIF(GERAL!B$8:B$1696,A365,GERAL!AF$8:AF$1696)+SUMIF(GERAL!B$8:B$1696,A365,GERAL!AG$8:AG$1696)</f>
        <v>135</v>
      </c>
      <c r="P365" s="100">
        <f>SUMIF(GERAL!B$8:B$1696,A365,GERAL!AK$8:AK$1696)+SUMIF(GERAL!B$8:B$1696,A365,GERAL!AL$8:AL$1696)</f>
        <v>0</v>
      </c>
      <c r="Q365" s="100">
        <f>SUMIF(GERAL!B$8:B$1696,A365,GERAL!AO$8:AO$1696)+SUMIF(GERAL!B$8:B$1696,A365,GERAL!AP$8:AP$1696)</f>
        <v>0</v>
      </c>
      <c r="R365" s="100">
        <f>SUMIF(GERAL!B$8:B$1696,A365,GERAL!AS$8:AS$1696)+SUMIF(GERAL!B$8:B$1696,A365,GERAL!AT$8:AT$1696)</f>
        <v>88</v>
      </c>
      <c r="S365" s="75">
        <f t="shared" si="39"/>
        <v>223</v>
      </c>
      <c r="T365" s="116">
        <f>COUNTIFS(GERAL!B$8:B$1696,A365,GERAL!AZ$8:AZ$1696,"&gt;0",GERAL!C$8:C$1696,"ESCOLA")</f>
        <v>1</v>
      </c>
      <c r="U365" s="75">
        <f>COUNTIFS(GERAL!B$8:B$1696,A365,GERAL!AZ$8:AZ$1696,"&gt;0",GERAL!C$8:C$1696,"ANEXO")</f>
        <v>0</v>
      </c>
      <c r="V365" s="85">
        <f>SUMIF(GERAL!B$8:B$1696,A365,GERAL!AH$8:AH$1696)</f>
        <v>0</v>
      </c>
      <c r="W365" s="85">
        <f>SUMIF(GERAL!B$8:B$1696,A365,GERAL!AM$8:AM$1696)</f>
        <v>0</v>
      </c>
      <c r="X365" s="85">
        <f>SUMIF(GERAL!B$8:B$1696,A365,GERAL!AQ$8:AQ$1696)</f>
        <v>52</v>
      </c>
      <c r="Y365" s="85">
        <f>SUMIF(GERAL!B$8:B$1696,A365,GERAL!AU$8:AU$1696)</f>
        <v>33</v>
      </c>
      <c r="Z365" s="88">
        <f t="shared" si="40"/>
        <v>85</v>
      </c>
      <c r="AA365" s="116">
        <f>COUNTIFS(GERAL!B$8:B$1696,A365,GERAL!BK$8:BK$1696,"&gt;0",GERAL!C$8:C$1696,"ESCOLA")</f>
        <v>1</v>
      </c>
      <c r="AB365" s="88">
        <f>COUNTIFS(GERAL!B$8:B$1696,A365,GERAL!BK$8:BK$1696,"&gt;0",GERAL!C$8:C$1696,"ANEXO")</f>
        <v>0</v>
      </c>
      <c r="AC365" s="121">
        <f>SUMIF(GERAL!B$8:B$1696,A365,GERAL!AD$8:AD$1696)</f>
        <v>0</v>
      </c>
      <c r="AD365" s="121">
        <f>SUMIF(GERAL!B$8:B$1696,A365,GERAL!AI$8:AI$1696)</f>
        <v>92</v>
      </c>
      <c r="AE365" s="121">
        <f>SUMIF(GERAL!B$8:B$1696,A365,GERAL!AV$8:AV$1696)</f>
        <v>0</v>
      </c>
      <c r="AF365" s="492">
        <f t="shared" si="41"/>
        <v>92</v>
      </c>
      <c r="AG365" s="178">
        <f>COUNTIFS(GERAL!B$8:B$1696,A365,GERAL!AW$8:AW$1696,"&gt;0",GERAL!C$8:C$1696,"ESCOLA")</f>
        <v>1</v>
      </c>
      <c r="AH365" s="118">
        <f>COUNTIFS(GERAL!B$8:B$1696,A365,GERAL!AW$8:AW$1696,"&gt;0",GERAL!C$8:C$1696,"ANEXO")</f>
        <v>0</v>
      </c>
      <c r="AI365" s="177">
        <f>SUMIF(GERAL!B$8:B$1696,A365,GERAL!AS$8:AS$1696)+SUMIF(GERAL!B$8:B$1696,A365,GERAL!AT$8:AT$1696)</f>
        <v>88</v>
      </c>
      <c r="AJ365" s="177">
        <f>SUMIF(GERAL!B$8:B$1696,A365,GERAL!AU$8:AU$1696)</f>
        <v>33</v>
      </c>
      <c r="AK365" s="177">
        <f>SUMIF(GERAL!B$8:B$1696,A365,GERAL!AV$8:AV$1696)</f>
        <v>0</v>
      </c>
      <c r="AL365" s="118">
        <f t="shared" si="42"/>
        <v>121</v>
      </c>
      <c r="AM365" s="493" t="s">
        <v>1335</v>
      </c>
    </row>
    <row r="366">
      <c r="A366" s="484" t="s">
        <v>6690</v>
      </c>
      <c r="B366" s="75">
        <f>COUNTIFS(GERAL!B$8:B$1696,A366,GERAL!C$8:C$1696,"ESCOLA")</f>
        <v>4</v>
      </c>
      <c r="C366" s="75">
        <f>COUNTIFS(GERAL!B$8:B$1696,A366,GERAL!C$8:C$1696,"ANEXO")</f>
        <v>0</v>
      </c>
      <c r="D366" s="85">
        <f>SUMIF(GERAL!B$8:B$1696,A366,GERAL!Z$8:Z$1696)</f>
        <v>0</v>
      </c>
      <c r="E366" s="85">
        <f>SUMIF(GERAL!B$8:B$1696,A366,GERAL!AE$8:AE$1696)</f>
        <v>0</v>
      </c>
      <c r="F366" s="85">
        <f>SUMIF(GERAL!B$8:B$1696,A366,GERAL!AJ$8:AJ$1696)</f>
        <v>788</v>
      </c>
      <c r="G366" s="85">
        <f>SUMIF(GERAL!B$8:B$1696,A366,GERAL!AN$8:AN$1696)</f>
        <v>0</v>
      </c>
      <c r="H366" s="85">
        <f>SUMIF(GERAL!B$8:B$1696,A366,GERAL!AR$8:AW$1696)</f>
        <v>258</v>
      </c>
      <c r="I366" s="85">
        <f>SUMIF(GERAL!B$8:B$1696,A366,GERAL!AW$8:AW$1696)</f>
        <v>905</v>
      </c>
      <c r="J366" s="75">
        <f>SUMIF(GERAL!B$8:B$1696,A366,GERAL!AX$8:AX$1696)</f>
        <v>1951</v>
      </c>
      <c r="K366" s="75">
        <f>COUNTIFS(GERAL!B$8:B$1696,A366,GERAL!AY$8:AY$1696,"&gt;0",GERAL!C$8:C$1696,"ESCOLA")</f>
        <v>4</v>
      </c>
      <c r="L366" s="75">
        <f>COUNTIFS(GERAL!B$8:B$1696,A366,GERAL!AY$8:AY$1696,"&gt;0",GERAL!C$8:C$1696,"ANEXO")</f>
        <v>0</v>
      </c>
      <c r="M366" s="100">
        <f>SUMIF(GERAL!B$8:B$1696,A366,GERAL!V$8:V$1696)+SUMIF(GERAL!B$8:B$1696,A366,GERAL!W$8:W$1696)</f>
        <v>0</v>
      </c>
      <c r="N366" s="100">
        <f>SUMIF(GERAL!B$8:B$1696,A366,GERAL!AA$8:AA$1696)+SUMIF(GERAL!B$8:B$1696,A366,GERAL!AB$8:AB$1696)</f>
        <v>0</v>
      </c>
      <c r="O366" s="100">
        <f>SUMIF(GERAL!B$8:B$1696,A366,GERAL!AF$8:AF$1696)+SUMIF(GERAL!B$8:B$1696,A366,GERAL!AG$8:AG$1696)</f>
        <v>374</v>
      </c>
      <c r="P366" s="100">
        <f>SUMIF(GERAL!B$8:B$1696,A366,GERAL!AK$8:AK$1696)+SUMIF(GERAL!B$8:B$1696,A366,GERAL!AL$8:AL$1696)</f>
        <v>0</v>
      </c>
      <c r="Q366" s="100">
        <f>SUMIF(GERAL!B$8:B$1696,A366,GERAL!AO$8:AO$1696)+SUMIF(GERAL!B$8:B$1696,A366,GERAL!AP$8:AP$1696)</f>
        <v>0</v>
      </c>
      <c r="R366" s="100">
        <f>SUMIF(GERAL!B$8:B$1696,A366,GERAL!AS$8:AS$1696)+SUMIF(GERAL!B$8:B$1696,A366,GERAL!AT$8:AT$1696)</f>
        <v>663</v>
      </c>
      <c r="S366" s="75">
        <f t="shared" si="39"/>
        <v>1037</v>
      </c>
      <c r="T366" s="116">
        <f>COUNTIFS(GERAL!B$8:B$1696,A366,GERAL!AZ$8:AZ$1696,"&gt;0",GERAL!C$8:C$1696,"ESCOLA")</f>
        <v>4</v>
      </c>
      <c r="U366" s="75">
        <f>COUNTIFS(GERAL!B$8:B$1696,A366,GERAL!AZ$8:AZ$1696,"&gt;0",GERAL!C$8:C$1696,"ANEXO")</f>
        <v>0</v>
      </c>
      <c r="V366" s="85">
        <f>SUMIF(GERAL!B$8:B$1696,A366,GERAL!AH$8:AH$1696)</f>
        <v>0</v>
      </c>
      <c r="W366" s="85">
        <f>SUMIF(GERAL!B$8:B$1696,A366,GERAL!AM$8:AM$1696)</f>
        <v>0</v>
      </c>
      <c r="X366" s="85">
        <f>SUMIF(GERAL!B$8:B$1696,A366,GERAL!AQ$8:AQ$1696)</f>
        <v>258</v>
      </c>
      <c r="Y366" s="85">
        <f>SUMIF(GERAL!B$8:B$1696,A366,GERAL!AU$8:AU$1696)</f>
        <v>125</v>
      </c>
      <c r="Z366" s="88">
        <f t="shared" si="40"/>
        <v>383</v>
      </c>
      <c r="AA366" s="116">
        <f>COUNTIFS(GERAL!B$8:B$1696,A366,GERAL!BK$8:BK$1696,"&gt;0",GERAL!C$8:C$1696,"ESCOLA")</f>
        <v>2</v>
      </c>
      <c r="AB366" s="88">
        <f>COUNTIFS(GERAL!B$8:B$1696,A366,GERAL!BK$8:BK$1696,"&gt;0",GERAL!C$8:C$1696,"ANEXO")</f>
        <v>0</v>
      </c>
      <c r="AC366" s="121">
        <f>SUMIF(GERAL!B$8:B$1696,A366,GERAL!AD$8:AD$1696)</f>
        <v>0</v>
      </c>
      <c r="AD366" s="121">
        <f>SUMIF(GERAL!B$8:B$1696,A366,GERAL!AI$8:AI$1696)</f>
        <v>414</v>
      </c>
      <c r="AE366" s="121">
        <f>SUMIF(GERAL!B$8:B$1696,A366,GERAL!AV$8:AV$1696)</f>
        <v>117</v>
      </c>
      <c r="AF366" s="492">
        <f t="shared" si="41"/>
        <v>531</v>
      </c>
      <c r="AG366" s="178">
        <f>COUNTIFS(GERAL!B$8:B$1696,A366,GERAL!AW$8:AW$1696,"&gt;0",GERAL!C$8:C$1696,"ESCOLA")</f>
        <v>2</v>
      </c>
      <c r="AH366" s="118">
        <f>COUNTIFS(GERAL!B$8:B$1696,A366,GERAL!AW$8:AW$1696,"&gt;0",GERAL!C$8:C$1696,"ANEXO")</f>
        <v>0</v>
      </c>
      <c r="AI366" s="177">
        <f>SUMIF(GERAL!B$8:B$1696,A366,GERAL!AS$8:AS$1696)+SUMIF(GERAL!B$8:B$1696,A366,GERAL!AT$8:AT$1696)</f>
        <v>663</v>
      </c>
      <c r="AJ366" s="177">
        <f>SUMIF(GERAL!B$8:B$1696,A366,GERAL!AU$8:AU$1696)</f>
        <v>125</v>
      </c>
      <c r="AK366" s="177">
        <f>SUMIF(GERAL!B$8:B$1696,A366,GERAL!AV$8:AV$1696)</f>
        <v>117</v>
      </c>
      <c r="AL366" s="118">
        <f t="shared" si="42"/>
        <v>905</v>
      </c>
      <c r="AM366" s="493" t="s">
        <v>1463</v>
      </c>
    </row>
    <row r="367">
      <c r="A367" s="494" t="s">
        <v>6727</v>
      </c>
      <c r="B367" s="75">
        <f>COUNTIFS(GERAL!B$8:B$1696,A367,GERAL!C$8:C$1696,"ESCOLA")</f>
        <v>4</v>
      </c>
      <c r="C367" s="75">
        <f>COUNTIFS(GERAL!B$8:B$1696,A367,GERAL!C$8:C$1696,"ANEXO")</f>
        <v>0</v>
      </c>
      <c r="D367" s="85">
        <f>SUMIF(GERAL!B$8:B$1696,A367,GERAL!Z$8:Z$1696)</f>
        <v>0</v>
      </c>
      <c r="E367" s="85">
        <f>SUMIF(GERAL!B$8:B$1696,A367,GERAL!AE$8:AE$1696)</f>
        <v>0</v>
      </c>
      <c r="F367" s="85">
        <f>SUMIF(GERAL!B$8:B$1696,A367,GERAL!AJ$8:AJ$1696)</f>
        <v>1408</v>
      </c>
      <c r="G367" s="85">
        <f>SUMIF(GERAL!B$8:B$1696,A367,GERAL!AN$8:AN$1696)</f>
        <v>0</v>
      </c>
      <c r="H367" s="85">
        <f>SUMIF(GERAL!B$8:B$1696,A367,GERAL!AR$8:AW$1696)</f>
        <v>314</v>
      </c>
      <c r="I367" s="85">
        <f>SUMIF(GERAL!B$8:B$1696,A367,GERAL!AW$8:AW$1696)</f>
        <v>2017</v>
      </c>
      <c r="J367" s="75">
        <f>SUMIF(GERAL!B$8:B$1696,A367,GERAL!AX$8:AX$1696)</f>
        <v>3739</v>
      </c>
      <c r="K367" s="75">
        <f>COUNTIFS(GERAL!B$8:B$1696,A367,GERAL!AY$8:AY$1696,"&gt;0",GERAL!C$8:C$1696,"ESCOLA")</f>
        <v>3</v>
      </c>
      <c r="L367" s="75">
        <f>COUNTIFS(GERAL!B$8:B$1696,A367,GERAL!AY$8:AY$1696,"&gt;0",GERAL!C$8:C$1696,"ANEXO")</f>
        <v>0</v>
      </c>
      <c r="M367" s="100">
        <f>SUMIF(GERAL!B$8:B$1696,A367,GERAL!V$8:V$1696)+SUMIF(GERAL!B$8:B$1696,A367,GERAL!W$8:W$1696)</f>
        <v>0</v>
      </c>
      <c r="N367" s="100">
        <f>SUMIF(GERAL!B$8:B$1696,A367,GERAL!AA$8:AA$1696)+SUMIF(GERAL!B$8:B$1696,A367,GERAL!AB$8:AB$1696)</f>
        <v>0</v>
      </c>
      <c r="O367" s="100">
        <f>SUMIF(GERAL!B$8:B$1696,A367,GERAL!AF$8:AF$1696)+SUMIF(GERAL!B$8:B$1696,A367,GERAL!AG$8:AG$1696)</f>
        <v>800</v>
      </c>
      <c r="P367" s="100">
        <f>SUMIF(GERAL!B$8:B$1696,A367,GERAL!AK$8:AK$1696)+SUMIF(GERAL!B$8:B$1696,A367,GERAL!AL$8:AL$1696)</f>
        <v>0</v>
      </c>
      <c r="Q367" s="100">
        <f>SUMIF(GERAL!B$8:B$1696,A367,GERAL!AO$8:AO$1696)+SUMIF(GERAL!B$8:B$1696,A367,GERAL!AP$8:AP$1696)</f>
        <v>0</v>
      </c>
      <c r="R367" s="100">
        <f>SUMIF(GERAL!B$8:B$1696,A367,GERAL!AS$8:AS$1696)+SUMIF(GERAL!B$8:B$1696,A367,GERAL!AT$8:AT$1696)</f>
        <v>1517</v>
      </c>
      <c r="S367" s="75">
        <f t="shared" si="39"/>
        <v>2317</v>
      </c>
      <c r="T367" s="116">
        <f>COUNTIFS(GERAL!B$8:B$1696,A367,GERAL!AZ$8:AZ$1696,"&gt;0",GERAL!C$8:C$1696,"ESCOLA")</f>
        <v>3</v>
      </c>
      <c r="U367" s="75">
        <f>COUNTIFS(GERAL!B$8:B$1696,A367,GERAL!AZ$8:AZ$1696,"&gt;0",GERAL!C$8:C$1696,"ANEXO")</f>
        <v>0</v>
      </c>
      <c r="V367" s="85">
        <f>SUMIF(GERAL!B$8:B$1696,A367,GERAL!AH$8:AH$1696)</f>
        <v>0</v>
      </c>
      <c r="W367" s="85">
        <f>SUMIF(GERAL!B$8:B$1696,A367,GERAL!AM$8:AM$1696)</f>
        <v>0</v>
      </c>
      <c r="X367" s="85">
        <f>SUMIF(GERAL!B$8:B$1696,A367,GERAL!AQ$8:AQ$1696)</f>
        <v>314</v>
      </c>
      <c r="Y367" s="85">
        <f>SUMIF(GERAL!B$8:B$1696,A367,GERAL!AU$8:AU$1696)</f>
        <v>500</v>
      </c>
      <c r="Z367" s="88">
        <f t="shared" si="40"/>
        <v>814</v>
      </c>
      <c r="AA367" s="116">
        <f>COUNTIFS(GERAL!B$8:B$1696,A367,GERAL!BK$8:BK$1696,"&gt;0",GERAL!C$8:C$1696,"ESCOLA")</f>
        <v>2</v>
      </c>
      <c r="AB367" s="88">
        <f>COUNTIFS(GERAL!B$8:B$1696,A367,GERAL!BK$8:BK$1696,"&gt;0",GERAL!C$8:C$1696,"ANEXO")</f>
        <v>0</v>
      </c>
      <c r="AC367" s="121">
        <f>SUMIF(GERAL!B$8:B$1696,A367,GERAL!AD$8:AD$1696)</f>
        <v>0</v>
      </c>
      <c r="AD367" s="121">
        <f>SUMIF(GERAL!B$8:B$1696,A367,GERAL!AI$8:AI$1696)</f>
        <v>608</v>
      </c>
      <c r="AE367" s="121">
        <f>SUMIF(GERAL!B$8:B$1696,A367,GERAL!AV$8:AV$1696)</f>
        <v>0</v>
      </c>
      <c r="AF367" s="492">
        <f t="shared" si="41"/>
        <v>608</v>
      </c>
      <c r="AG367" s="178">
        <f>COUNTIFS(GERAL!B$8:B$1696,A367,GERAL!AW$8:AW$1696,"&gt;0",GERAL!C$8:C$1696,"ESCOLA")</f>
        <v>2</v>
      </c>
      <c r="AH367" s="118">
        <f>COUNTIFS(GERAL!B$8:B$1696,A367,GERAL!AW$8:AW$1696,"&gt;0",GERAL!C$8:C$1696,"ANEXO")</f>
        <v>0</v>
      </c>
      <c r="AI367" s="177">
        <f>SUMIF(GERAL!B$8:B$1696,A367,GERAL!AS$8:AS$1696)+SUMIF(GERAL!B$8:B$1696,A367,GERAL!AT$8:AT$1696)</f>
        <v>1517</v>
      </c>
      <c r="AJ367" s="177">
        <f>SUMIF(GERAL!B$8:B$1696,A367,GERAL!AU$8:AU$1696)</f>
        <v>500</v>
      </c>
      <c r="AK367" s="177">
        <f>SUMIF(GERAL!B$8:B$1696,A367,GERAL!AV$8:AV$1696)</f>
        <v>0</v>
      </c>
      <c r="AL367" s="118">
        <f t="shared" si="42"/>
        <v>2017</v>
      </c>
      <c r="AM367" s="493" t="s">
        <v>1463</v>
      </c>
    </row>
    <row r="368">
      <c r="A368" s="484" t="s">
        <v>6047</v>
      </c>
      <c r="B368" s="75">
        <f>COUNTIFS(GERAL!B$8:B$1696,A368,GERAL!C$8:C$1696,"ESCOLA")</f>
        <v>2</v>
      </c>
      <c r="C368" s="75">
        <f>COUNTIFS(GERAL!B$8:B$1696,A368,GERAL!C$8:C$1696,"ANEXO")</f>
        <v>0</v>
      </c>
      <c r="D368" s="85">
        <f>SUMIF(GERAL!B$8:B$1696,A368,GERAL!Z$8:Z$1696)</f>
        <v>0</v>
      </c>
      <c r="E368" s="85">
        <f>SUMIF(GERAL!B$8:B$1696,A368,GERAL!AE$8:AE$1696)</f>
        <v>0</v>
      </c>
      <c r="F368" s="85">
        <f>SUMIF(GERAL!B$8:B$1696,A368,GERAL!AJ$8:AJ$1696)</f>
        <v>1328</v>
      </c>
      <c r="G368" s="85">
        <f>SUMIF(GERAL!B$8:B$1696,A368,GERAL!AN$8:AN$1696)</f>
        <v>0</v>
      </c>
      <c r="H368" s="85">
        <f>SUMIF(GERAL!B$8:B$1696,A368,GERAL!AR$8:AW$1696)</f>
        <v>406</v>
      </c>
      <c r="I368" s="85">
        <f>SUMIF(GERAL!B$8:B$1696,A368,GERAL!AW$8:AW$1696)</f>
        <v>527</v>
      </c>
      <c r="J368" s="75">
        <f>SUMIF(GERAL!B$8:B$1696,A368,GERAL!AX$8:AX$1696)</f>
        <v>2261</v>
      </c>
      <c r="K368" s="75">
        <f>COUNTIFS(GERAL!B$8:B$1696,A368,GERAL!AY$8:AY$1696,"&gt;0",GERAL!C$8:C$1696,"ESCOLA")</f>
        <v>2</v>
      </c>
      <c r="L368" s="75">
        <f>COUNTIFS(GERAL!B$8:B$1696,A368,GERAL!AY$8:AY$1696,"&gt;0",GERAL!C$8:C$1696,"ANEXO")</f>
        <v>0</v>
      </c>
      <c r="M368" s="100">
        <f>SUMIF(GERAL!B$8:B$1696,A368,GERAL!V$8:V$1696)+SUMIF(GERAL!B$8:B$1696,A368,GERAL!W$8:W$1696)</f>
        <v>0</v>
      </c>
      <c r="N368" s="100">
        <f>SUMIF(GERAL!B$8:B$1696,A368,GERAL!AA$8:AA$1696)+SUMIF(GERAL!B$8:B$1696,A368,GERAL!AB$8:AB$1696)</f>
        <v>0</v>
      </c>
      <c r="O368" s="100">
        <f>SUMIF(GERAL!B$8:B$1696,A368,GERAL!AF$8:AF$1696)+SUMIF(GERAL!B$8:B$1696,A368,GERAL!AG$8:AG$1696)</f>
        <v>763</v>
      </c>
      <c r="P368" s="100">
        <f>SUMIF(GERAL!B$8:B$1696,A368,GERAL!AK$8:AK$1696)+SUMIF(GERAL!B$8:B$1696,A368,GERAL!AL$8:AL$1696)</f>
        <v>0</v>
      </c>
      <c r="Q368" s="100">
        <f>SUMIF(GERAL!B$8:B$1696,A368,GERAL!AO$8:AO$1696)+SUMIF(GERAL!B$8:B$1696,A368,GERAL!AP$8:AP$1696)</f>
        <v>0</v>
      </c>
      <c r="R368" s="100">
        <f>SUMIF(GERAL!B$8:B$1696,A368,GERAL!AS$8:AS$1696)+SUMIF(GERAL!B$8:B$1696,A368,GERAL!AT$8:AT$1696)</f>
        <v>196</v>
      </c>
      <c r="S368" s="75">
        <f t="shared" si="39"/>
        <v>959</v>
      </c>
      <c r="T368" s="116">
        <f>COUNTIFS(GERAL!B$8:B$1696,A368,GERAL!AZ$8:AZ$1696,"&gt;0",GERAL!C$8:C$1696,"ESCOLA")</f>
        <v>2</v>
      </c>
      <c r="U368" s="75">
        <f>COUNTIFS(GERAL!B$8:B$1696,A368,GERAL!AZ$8:AZ$1696,"&gt;0",GERAL!C$8:C$1696,"ANEXO")</f>
        <v>0</v>
      </c>
      <c r="V368" s="85">
        <f>SUMIF(GERAL!B$8:B$1696,A368,GERAL!AH$8:AH$1696)</f>
        <v>0</v>
      </c>
      <c r="W368" s="85">
        <f>SUMIF(GERAL!B$8:B$1696,A368,GERAL!AM$8:AM$1696)</f>
        <v>0</v>
      </c>
      <c r="X368" s="85">
        <f>SUMIF(GERAL!B$8:B$1696,A368,GERAL!AQ$8:AQ$1696)</f>
        <v>406</v>
      </c>
      <c r="Y368" s="85">
        <f>SUMIF(GERAL!B$8:B$1696,A368,GERAL!AU$8:AU$1696)</f>
        <v>144</v>
      </c>
      <c r="Z368" s="88">
        <f t="shared" si="40"/>
        <v>550</v>
      </c>
      <c r="AA368" s="116">
        <f>COUNTIFS(GERAL!B$8:B$1696,A368,GERAL!BK$8:BK$1696,"&gt;0",GERAL!C$8:C$1696,"ESCOLA")</f>
        <v>2</v>
      </c>
      <c r="AB368" s="88">
        <f>COUNTIFS(GERAL!B$8:B$1696,A368,GERAL!BK$8:BK$1696,"&gt;0",GERAL!C$8:C$1696,"ANEXO")</f>
        <v>0</v>
      </c>
      <c r="AC368" s="121">
        <f>SUMIF(GERAL!B$8:B$1696,A368,GERAL!AD$8:AD$1696)</f>
        <v>0</v>
      </c>
      <c r="AD368" s="121">
        <f>SUMIF(GERAL!B$8:B$1696,A368,GERAL!AI$8:AI$1696)</f>
        <v>565</v>
      </c>
      <c r="AE368" s="121">
        <f>SUMIF(GERAL!B$8:B$1696,A368,GERAL!AV$8:AV$1696)</f>
        <v>187</v>
      </c>
      <c r="AF368" s="492">
        <f t="shared" si="41"/>
        <v>752</v>
      </c>
      <c r="AG368" s="178">
        <f>COUNTIFS(GERAL!B$8:B$1696,A368,GERAL!AW$8:AW$1696,"&gt;0",GERAL!C$8:C$1696,"ESCOLA")</f>
        <v>2</v>
      </c>
      <c r="AH368" s="118">
        <f>COUNTIFS(GERAL!B$8:B$1696,A368,GERAL!AW$8:AW$1696,"&gt;0",GERAL!C$8:C$1696,"ANEXO")</f>
        <v>0</v>
      </c>
      <c r="AI368" s="177">
        <f>SUMIF(GERAL!B$8:B$1696,A368,GERAL!AS$8:AS$1696)+SUMIF(GERAL!B$8:B$1696,A368,GERAL!AT$8:AT$1696)</f>
        <v>196</v>
      </c>
      <c r="AJ368" s="177">
        <f>SUMIF(GERAL!B$8:B$1696,A368,GERAL!AU$8:AU$1696)</f>
        <v>144</v>
      </c>
      <c r="AK368" s="177">
        <f>SUMIF(GERAL!B$8:B$1696,A368,GERAL!AV$8:AV$1696)</f>
        <v>187</v>
      </c>
      <c r="AL368" s="118">
        <f t="shared" si="42"/>
        <v>527</v>
      </c>
      <c r="AM368" s="493" t="s">
        <v>1335</v>
      </c>
    </row>
    <row r="369">
      <c r="A369" s="494" t="s">
        <v>2405</v>
      </c>
      <c r="B369" s="75">
        <f>COUNTIFS(GERAL!B$8:B$1696,A369,GERAL!C$8:C$1696,"ESCOLA")</f>
        <v>2</v>
      </c>
      <c r="C369" s="75">
        <f>COUNTIFS(GERAL!B$8:B$1696,A369,GERAL!C$8:C$1696,"ANEXO")</f>
        <v>3</v>
      </c>
      <c r="D369" s="85">
        <f>SUMIF(GERAL!B$8:B$1696,A369,GERAL!Z$8:Z$1696)</f>
        <v>0</v>
      </c>
      <c r="E369" s="85">
        <f>SUMIF(GERAL!B$8:B$1696,A369,GERAL!AE$8:AE$1696)</f>
        <v>0</v>
      </c>
      <c r="F369" s="85">
        <f>SUMIF(GERAL!B$8:B$1696,A369,GERAL!AJ$8:AJ$1696)</f>
        <v>817</v>
      </c>
      <c r="G369" s="85">
        <f>SUMIF(GERAL!B$8:B$1696,A369,GERAL!AN$8:AN$1696)</f>
        <v>0</v>
      </c>
      <c r="H369" s="85">
        <f>SUMIF(GERAL!B$8:B$1696,A369,GERAL!AR$8:AW$1696)</f>
        <v>370</v>
      </c>
      <c r="I369" s="85">
        <f>SUMIF(GERAL!B$8:B$1696,A369,GERAL!AW$8:AW$1696)</f>
        <v>169</v>
      </c>
      <c r="J369" s="75">
        <f>SUMIF(GERAL!B$8:B$1696,A369,GERAL!AX$8:AX$1696)</f>
        <v>1356</v>
      </c>
      <c r="K369" s="75">
        <f>COUNTIFS(GERAL!B$8:B$1696,A369,GERAL!AY$8:AY$1696,"&gt;0",GERAL!C$8:C$1696,"ESCOLA")</f>
        <v>2</v>
      </c>
      <c r="L369" s="75">
        <f>COUNTIFS(GERAL!B$8:B$1696,A369,GERAL!AY$8:AY$1696,"&gt;0",GERAL!C$8:C$1696,"ANEXO")</f>
        <v>0</v>
      </c>
      <c r="M369" s="100">
        <f>SUMIF(GERAL!B$8:B$1696,A369,GERAL!V$8:V$1696)+SUMIF(GERAL!B$8:B$1696,A369,GERAL!W$8:W$1696)</f>
        <v>0</v>
      </c>
      <c r="N369" s="100">
        <f>SUMIF(GERAL!B$8:B$1696,A369,GERAL!AA$8:AA$1696)+SUMIF(GERAL!B$8:B$1696,A369,GERAL!AB$8:AB$1696)</f>
        <v>0</v>
      </c>
      <c r="O369" s="100">
        <f>SUMIF(GERAL!B$8:B$1696,A369,GERAL!AF$8:AF$1696)+SUMIF(GERAL!B$8:B$1696,A369,GERAL!AG$8:AG$1696)</f>
        <v>817</v>
      </c>
      <c r="P369" s="100">
        <f>SUMIF(GERAL!B$8:B$1696,A369,GERAL!AK$8:AK$1696)+SUMIF(GERAL!B$8:B$1696,A369,GERAL!AL$8:AL$1696)</f>
        <v>0</v>
      </c>
      <c r="Q369" s="100">
        <f>SUMIF(GERAL!B$8:B$1696,A369,GERAL!AO$8:AO$1696)+SUMIF(GERAL!B$8:B$1696,A369,GERAL!AP$8:AP$1696)</f>
        <v>0</v>
      </c>
      <c r="R369" s="100">
        <f>SUMIF(GERAL!B$8:B$1696,A369,GERAL!AS$8:AS$1696)+SUMIF(GERAL!B$8:B$1696,A369,GERAL!AT$8:AT$1696)</f>
        <v>158</v>
      </c>
      <c r="S369" s="75">
        <f t="shared" si="39"/>
        <v>975</v>
      </c>
      <c r="T369" s="116">
        <f>COUNTIFS(GERAL!B$8:B$1696,A369,GERAL!AZ$8:AZ$1696,"&gt;0",GERAL!C$8:C$1696,"ESCOLA")</f>
        <v>2</v>
      </c>
      <c r="U369" s="75">
        <f>COUNTIFS(GERAL!B$8:B$1696,A369,GERAL!AZ$8:AZ$1696,"&gt;0",GERAL!C$8:C$1696,"ANEXO")</f>
        <v>3</v>
      </c>
      <c r="V369" s="85">
        <f>SUMIF(GERAL!B$8:B$1696,A369,GERAL!AH$8:AH$1696)</f>
        <v>0</v>
      </c>
      <c r="W369" s="85">
        <f>SUMIF(GERAL!B$8:B$1696,A369,GERAL!AM$8:AM$1696)</f>
        <v>0</v>
      </c>
      <c r="X369" s="85">
        <f>SUMIF(GERAL!B$8:B$1696,A369,GERAL!AQ$8:AQ$1696)</f>
        <v>370</v>
      </c>
      <c r="Y369" s="85">
        <f>SUMIF(GERAL!B$8:B$1696,A369,GERAL!AU$8:AU$1696)</f>
        <v>11</v>
      </c>
      <c r="Z369" s="88">
        <f t="shared" si="40"/>
        <v>381</v>
      </c>
      <c r="AA369" s="116">
        <f>COUNTIFS(GERAL!B$8:B$1696,A369,GERAL!BK$8:BK$1696,"&gt;0",GERAL!C$8:C$1696,"ESCOLA")</f>
        <v>0</v>
      </c>
      <c r="AB369" s="88">
        <f>COUNTIFS(GERAL!B$8:B$1696,A369,GERAL!BK$8:BK$1696,"&gt;0",GERAL!C$8:C$1696,"ANEXO")</f>
        <v>0</v>
      </c>
      <c r="AC369" s="121">
        <f>SUMIF(GERAL!B$8:B$1696,A369,GERAL!AD$8:AD$1696)</f>
        <v>0</v>
      </c>
      <c r="AD369" s="121">
        <f>SUMIF(GERAL!B$8:B$1696,A369,GERAL!AI$8:AI$1696)</f>
        <v>0</v>
      </c>
      <c r="AE369" s="121">
        <f>SUMIF(GERAL!B$8:B$1696,A369,GERAL!AV$8:AV$1696)</f>
        <v>0</v>
      </c>
      <c r="AF369" s="492">
        <f t="shared" si="41"/>
        <v>0</v>
      </c>
      <c r="AG369" s="178">
        <f>COUNTIFS(GERAL!B$8:B$1696,A369,GERAL!AW$8:AW$1696,"&gt;0",GERAL!C$8:C$1696,"ESCOLA")</f>
        <v>1</v>
      </c>
      <c r="AH369" s="118">
        <f>COUNTIFS(GERAL!B$8:B$1696,A369,GERAL!AW$8:AW$1696,"&gt;0",GERAL!C$8:C$1696,"ANEXO")</f>
        <v>0</v>
      </c>
      <c r="AI369" s="177">
        <f>SUMIF(GERAL!B$8:B$1696,A369,GERAL!AS$8:AS$1696)+SUMIF(GERAL!B$8:B$1696,A369,GERAL!AT$8:AT$1696)</f>
        <v>158</v>
      </c>
      <c r="AJ369" s="177">
        <f>SUMIF(GERAL!B$8:B$1696,A369,GERAL!AU$8:AU$1696)</f>
        <v>11</v>
      </c>
      <c r="AK369" s="177">
        <f>SUMIF(GERAL!B$8:B$1696,A369,GERAL!AV$8:AV$1696)</f>
        <v>0</v>
      </c>
      <c r="AL369" s="118">
        <f t="shared" si="42"/>
        <v>169</v>
      </c>
      <c r="AM369" s="493" t="s">
        <v>860</v>
      </c>
    </row>
    <row r="370">
      <c r="A370" s="484" t="s">
        <v>1266</v>
      </c>
      <c r="B370" s="75">
        <f>COUNTIFS(GERAL!B$8:B$1696,A370,GERAL!C$8:C$1696,"ESCOLA")</f>
        <v>1</v>
      </c>
      <c r="C370" s="75">
        <f>COUNTIFS(GERAL!B$8:B$1696,A370,GERAL!C$8:C$1696,"ANEXO")</f>
        <v>0</v>
      </c>
      <c r="D370" s="85">
        <f>SUMIF(GERAL!B$8:B$1696,A370,GERAL!Z$8:Z$1696)</f>
        <v>0</v>
      </c>
      <c r="E370" s="85">
        <f>SUMIF(GERAL!B$8:B$1696,A370,GERAL!AE$8:AE$1696)</f>
        <v>0</v>
      </c>
      <c r="F370" s="85">
        <f>SUMIF(GERAL!B$8:B$1696,A370,GERAL!AJ$8:AJ$1696)</f>
        <v>137</v>
      </c>
      <c r="G370" s="85">
        <f>SUMIF(GERAL!B$8:B$1696,A370,GERAL!AN$8:AN$1696)</f>
        <v>0</v>
      </c>
      <c r="H370" s="85">
        <f>SUMIF(GERAL!B$8:B$1696,A370,GERAL!AR$8:AW$1696)</f>
        <v>37</v>
      </c>
      <c r="I370" s="85">
        <f>SUMIF(GERAL!B$8:B$1696,A370,GERAL!AW$8:AW$1696)</f>
        <v>322</v>
      </c>
      <c r="J370" s="75">
        <f>SUMIF(GERAL!B$8:B$1696,A370,GERAL!AX$8:AX$1696)</f>
        <v>496</v>
      </c>
      <c r="K370" s="75">
        <f>COUNTIFS(GERAL!B$8:B$1696,A370,GERAL!AY$8:AY$1696,"&gt;0",GERAL!C$8:C$1696,"ESCOLA")</f>
        <v>1</v>
      </c>
      <c r="L370" s="75">
        <f>COUNTIFS(GERAL!B$8:B$1696,A370,GERAL!AY$8:AY$1696,"&gt;0",GERAL!C$8:C$1696,"ANEXO")</f>
        <v>0</v>
      </c>
      <c r="M370" s="100">
        <f>SUMIF(GERAL!B$8:B$1696,A370,GERAL!V$8:V$1696)+SUMIF(GERAL!B$8:B$1696,A370,GERAL!W$8:W$1696)</f>
        <v>0</v>
      </c>
      <c r="N370" s="100">
        <f>SUMIF(GERAL!B$8:B$1696,A370,GERAL!AA$8:AA$1696)+SUMIF(GERAL!B$8:B$1696,A370,GERAL!AB$8:AB$1696)</f>
        <v>0</v>
      </c>
      <c r="O370" s="100">
        <f>SUMIF(GERAL!B$8:B$1696,A370,GERAL!AF$8:AF$1696)+SUMIF(GERAL!B$8:B$1696,A370,GERAL!AG$8:AG$1696)</f>
        <v>49</v>
      </c>
      <c r="P370" s="100">
        <f>SUMIF(GERAL!B$8:B$1696,A370,GERAL!AK$8:AK$1696)+SUMIF(GERAL!B$8:B$1696,A370,GERAL!AL$8:AL$1696)</f>
        <v>0</v>
      </c>
      <c r="Q370" s="100">
        <f>SUMIF(GERAL!B$8:B$1696,A370,GERAL!AO$8:AO$1696)+SUMIF(GERAL!B$8:B$1696,A370,GERAL!AP$8:AP$1696)</f>
        <v>0</v>
      </c>
      <c r="R370" s="100">
        <f>SUMIF(GERAL!B$8:B$1696,A370,GERAL!AS$8:AS$1696)+SUMIF(GERAL!B$8:B$1696,A370,GERAL!AT$8:AT$1696)</f>
        <v>159</v>
      </c>
      <c r="S370" s="75">
        <f t="shared" si="39"/>
        <v>208</v>
      </c>
      <c r="T370" s="116">
        <f>COUNTIFS(GERAL!B$8:B$1696,A370,GERAL!AZ$8:AZ$1696,"&gt;0",GERAL!C$8:C$1696,"ESCOLA")</f>
        <v>1</v>
      </c>
      <c r="U370" s="75">
        <f>COUNTIFS(GERAL!B$8:B$1696,A370,GERAL!AZ$8:AZ$1696,"&gt;0",GERAL!C$8:C$1696,"ANEXO")</f>
        <v>0</v>
      </c>
      <c r="V370" s="85">
        <f>SUMIF(GERAL!B$8:B$1696,A370,GERAL!AH$8:AH$1696)</f>
        <v>0</v>
      </c>
      <c r="W370" s="85">
        <f>SUMIF(GERAL!B$8:B$1696,A370,GERAL!AM$8:AM$1696)</f>
        <v>0</v>
      </c>
      <c r="X370" s="85">
        <f>SUMIF(GERAL!B$8:B$1696,A370,GERAL!AQ$8:AQ$1696)</f>
        <v>37</v>
      </c>
      <c r="Y370" s="85">
        <f>SUMIF(GERAL!B$8:B$1696,A370,GERAL!AU$8:AU$1696)</f>
        <v>163</v>
      </c>
      <c r="Z370" s="88">
        <f t="shared" si="40"/>
        <v>200</v>
      </c>
      <c r="AA370" s="116">
        <f>COUNTIFS(GERAL!B$8:B$1696,A370,GERAL!BK$8:BK$1696,"&gt;0",GERAL!C$8:C$1696,"ESCOLA")</f>
        <v>1</v>
      </c>
      <c r="AB370" s="88">
        <f>COUNTIFS(GERAL!B$8:B$1696,A370,GERAL!BK$8:BK$1696,"&gt;0",GERAL!C$8:C$1696,"ANEXO")</f>
        <v>0</v>
      </c>
      <c r="AC370" s="121">
        <f>SUMIF(GERAL!B$8:B$1696,A370,GERAL!AD$8:AD$1696)</f>
        <v>0</v>
      </c>
      <c r="AD370" s="121">
        <f>SUMIF(GERAL!B$8:B$1696,A370,GERAL!AI$8:AI$1696)</f>
        <v>88</v>
      </c>
      <c r="AE370" s="121">
        <f>SUMIF(GERAL!B$8:B$1696,A370,GERAL!AV$8:AV$1696)</f>
        <v>0</v>
      </c>
      <c r="AF370" s="492">
        <f t="shared" si="41"/>
        <v>88</v>
      </c>
      <c r="AG370" s="178">
        <f>COUNTIFS(GERAL!B$8:B$1696,A370,GERAL!AW$8:AW$1696,"&gt;0",GERAL!C$8:C$1696,"ESCOLA")</f>
        <v>1</v>
      </c>
      <c r="AH370" s="118">
        <f>COUNTIFS(GERAL!B$8:B$1696,A370,GERAL!AW$8:AW$1696,"&gt;0",GERAL!C$8:C$1696,"ANEXO")</f>
        <v>0</v>
      </c>
      <c r="AI370" s="177">
        <f>SUMIF(GERAL!B$8:B$1696,A370,GERAL!AS$8:AS$1696)+SUMIF(GERAL!B$8:B$1696,A370,GERAL!AT$8:AT$1696)</f>
        <v>159</v>
      </c>
      <c r="AJ370" s="177">
        <f>SUMIF(GERAL!B$8:B$1696,A370,GERAL!AU$8:AU$1696)</f>
        <v>163</v>
      </c>
      <c r="AK370" s="177">
        <f>SUMIF(GERAL!B$8:B$1696,A370,GERAL!AV$8:AV$1696)</f>
        <v>0</v>
      </c>
      <c r="AL370" s="118">
        <f t="shared" si="42"/>
        <v>322</v>
      </c>
      <c r="AM370" s="493" t="s">
        <v>383</v>
      </c>
    </row>
    <row r="371">
      <c r="A371" s="494" t="s">
        <v>6754</v>
      </c>
      <c r="B371" s="75">
        <f>COUNTIFS(GERAL!B$8:B$1696,A371,GERAL!C$8:C$1696,"ESCOLA")</f>
        <v>1</v>
      </c>
      <c r="C371" s="75">
        <f>COUNTIFS(GERAL!B$8:B$1696,A371,GERAL!C$8:C$1696,"ANEXO")</f>
        <v>0</v>
      </c>
      <c r="D371" s="85">
        <f>SUMIF(GERAL!B$8:B$1696,A371,GERAL!Z$8:Z$1696)</f>
        <v>0</v>
      </c>
      <c r="E371" s="85">
        <f>SUMIF(GERAL!B$8:B$1696,A371,GERAL!AE$8:AE$1696)</f>
        <v>0</v>
      </c>
      <c r="F371" s="85">
        <f>SUMIF(GERAL!B$8:B$1696,A371,GERAL!AJ$8:AJ$1696)</f>
        <v>686</v>
      </c>
      <c r="G371" s="85">
        <f>SUMIF(GERAL!B$8:B$1696,A371,GERAL!AN$8:AN$1696)</f>
        <v>0</v>
      </c>
      <c r="H371" s="85">
        <f>SUMIF(GERAL!B$8:B$1696,A371,GERAL!AR$8:AW$1696)</f>
        <v>159</v>
      </c>
      <c r="I371" s="85">
        <f>SUMIF(GERAL!B$8:B$1696,A371,GERAL!AW$8:AW$1696)</f>
        <v>141</v>
      </c>
      <c r="J371" s="75">
        <f>SUMIF(GERAL!B$8:B$1696,A371,GERAL!AX$8:AX$1696)</f>
        <v>986</v>
      </c>
      <c r="K371" s="75">
        <f>COUNTIFS(GERAL!B$8:B$1696,A371,GERAL!AY$8:AY$1696,"&gt;0",GERAL!C$8:C$1696,"ESCOLA")</f>
        <v>1</v>
      </c>
      <c r="L371" s="75">
        <f>COUNTIFS(GERAL!B$8:B$1696,A371,GERAL!AY$8:AY$1696,"&gt;0",GERAL!C$8:C$1696,"ANEXO")</f>
        <v>0</v>
      </c>
      <c r="M371" s="100">
        <f>SUMIF(GERAL!B$8:B$1696,A371,GERAL!V$8:V$1696)+SUMIF(GERAL!B$8:B$1696,A371,GERAL!W$8:W$1696)</f>
        <v>0</v>
      </c>
      <c r="N371" s="100">
        <f>SUMIF(GERAL!B$8:B$1696,A371,GERAL!AA$8:AA$1696)+SUMIF(GERAL!B$8:B$1696,A371,GERAL!AB$8:AB$1696)</f>
        <v>0</v>
      </c>
      <c r="O371" s="100">
        <f>SUMIF(GERAL!B$8:B$1696,A371,GERAL!AF$8:AF$1696)+SUMIF(GERAL!B$8:B$1696,A371,GERAL!AG$8:AG$1696)</f>
        <v>686</v>
      </c>
      <c r="P371" s="100">
        <f>SUMIF(GERAL!B$8:B$1696,A371,GERAL!AK$8:AK$1696)+SUMIF(GERAL!B$8:B$1696,A371,GERAL!AL$8:AL$1696)</f>
        <v>0</v>
      </c>
      <c r="Q371" s="100">
        <f>SUMIF(GERAL!B$8:B$1696,A371,GERAL!AO$8:AO$1696)+SUMIF(GERAL!B$8:B$1696,A371,GERAL!AP$8:AP$1696)</f>
        <v>0</v>
      </c>
      <c r="R371" s="100">
        <f>SUMIF(GERAL!B$8:B$1696,A371,GERAL!AS$8:AS$1696)+SUMIF(GERAL!B$8:B$1696,A371,GERAL!AT$8:AT$1696)</f>
        <v>68</v>
      </c>
      <c r="S371" s="75">
        <f t="shared" si="39"/>
        <v>754</v>
      </c>
      <c r="T371" s="116">
        <f>COUNTIFS(GERAL!B$8:B$1696,A371,GERAL!AZ$8:AZ$1696,"&gt;0",GERAL!C$8:C$1696,"ESCOLA")</f>
        <v>1</v>
      </c>
      <c r="U371" s="75">
        <f>COUNTIFS(GERAL!B$8:B$1696,A371,GERAL!AZ$8:AZ$1696,"&gt;0",GERAL!C$8:C$1696,"ANEXO")</f>
        <v>0</v>
      </c>
      <c r="V371" s="85">
        <f>SUMIF(GERAL!B$8:B$1696,A371,GERAL!AH$8:AH$1696)</f>
        <v>0</v>
      </c>
      <c r="W371" s="85">
        <f>SUMIF(GERAL!B$8:B$1696,A371,GERAL!AM$8:AM$1696)</f>
        <v>0</v>
      </c>
      <c r="X371" s="85">
        <f>SUMIF(GERAL!B$8:B$1696,A371,GERAL!AQ$8:AQ$1696)</f>
        <v>159</v>
      </c>
      <c r="Y371" s="85">
        <f>SUMIF(GERAL!B$8:B$1696,A371,GERAL!AU$8:AU$1696)</f>
        <v>73</v>
      </c>
      <c r="Z371" s="88">
        <f t="shared" si="40"/>
        <v>232</v>
      </c>
      <c r="AA371" s="116">
        <f>COUNTIFS(GERAL!B$8:B$1696,A371,GERAL!BK$8:BK$1696,"&gt;0",GERAL!C$8:C$1696,"ESCOLA")</f>
        <v>0</v>
      </c>
      <c r="AB371" s="88">
        <f>COUNTIFS(GERAL!B$8:B$1696,A371,GERAL!BK$8:BK$1696,"&gt;0",GERAL!C$8:C$1696,"ANEXO")</f>
        <v>0</v>
      </c>
      <c r="AC371" s="121">
        <f>SUMIF(GERAL!B$8:B$1696,A371,GERAL!AD$8:AD$1696)</f>
        <v>0</v>
      </c>
      <c r="AD371" s="121">
        <f>SUMIF(GERAL!B$8:B$1696,A371,GERAL!AI$8:AI$1696)</f>
        <v>0</v>
      </c>
      <c r="AE371" s="121">
        <f>SUMIF(GERAL!B$8:B$1696,A371,GERAL!AV$8:AV$1696)</f>
        <v>0</v>
      </c>
      <c r="AF371" s="492">
        <f t="shared" si="41"/>
        <v>0</v>
      </c>
      <c r="AG371" s="178">
        <f>COUNTIFS(GERAL!B$8:B$1696,A371,GERAL!AW$8:AW$1696,"&gt;0",GERAL!C$8:C$1696,"ESCOLA")</f>
        <v>1</v>
      </c>
      <c r="AH371" s="118">
        <f>COUNTIFS(GERAL!B$8:B$1696,A371,GERAL!AW$8:AW$1696,"&gt;0",GERAL!C$8:C$1696,"ANEXO")</f>
        <v>0</v>
      </c>
      <c r="AI371" s="177">
        <f>SUMIF(GERAL!B$8:B$1696,A371,GERAL!AS$8:AS$1696)+SUMIF(GERAL!B$8:B$1696,A371,GERAL!AT$8:AT$1696)</f>
        <v>68</v>
      </c>
      <c r="AJ371" s="177">
        <f>SUMIF(GERAL!B$8:B$1696,A371,GERAL!AU$8:AU$1696)</f>
        <v>73</v>
      </c>
      <c r="AK371" s="177">
        <f>SUMIF(GERAL!B$8:B$1696,A371,GERAL!AV$8:AV$1696)</f>
        <v>0</v>
      </c>
      <c r="AL371" s="118">
        <f t="shared" si="42"/>
        <v>141</v>
      </c>
      <c r="AM371" s="493" t="s">
        <v>1463</v>
      </c>
    </row>
    <row r="372">
      <c r="A372" s="484" t="s">
        <v>6758</v>
      </c>
      <c r="B372" s="75">
        <f>COUNTIFS(GERAL!B$8:B$1696,A372,GERAL!C$8:C$1696,"ESCOLA")</f>
        <v>1</v>
      </c>
      <c r="C372" s="75">
        <f>COUNTIFS(GERAL!B$8:B$1696,A372,GERAL!C$8:C$1696,"ANEXO")</f>
        <v>1</v>
      </c>
      <c r="D372" s="85">
        <f>SUMIF(GERAL!B$8:B$1696,A372,GERAL!Z$8:Z$1696)</f>
        <v>0</v>
      </c>
      <c r="E372" s="85">
        <f>SUMIF(GERAL!B$8:B$1696,A372,GERAL!AE$8:AE$1696)</f>
        <v>0</v>
      </c>
      <c r="F372" s="85">
        <f>SUMIF(GERAL!B$8:B$1696,A372,GERAL!AJ$8:AJ$1696)</f>
        <v>222</v>
      </c>
      <c r="G372" s="85">
        <f>SUMIF(GERAL!B$8:B$1696,A372,GERAL!AN$8:AN$1696)</f>
        <v>0</v>
      </c>
      <c r="H372" s="85">
        <f>SUMIF(GERAL!B$8:B$1696,A372,GERAL!AR$8:AW$1696)</f>
        <v>42</v>
      </c>
      <c r="I372" s="85">
        <f>SUMIF(GERAL!B$8:B$1696,A372,GERAL!AW$8:AW$1696)</f>
        <v>117</v>
      </c>
      <c r="J372" s="75">
        <f>SUMIF(GERAL!B$8:B$1696,A372,GERAL!AX$8:AX$1696)</f>
        <v>381</v>
      </c>
      <c r="K372" s="75">
        <f>COUNTIFS(GERAL!B$8:B$1696,A372,GERAL!AY$8:AY$1696,"&gt;0",GERAL!C$8:C$1696,"ESCOLA")</f>
        <v>1</v>
      </c>
      <c r="L372" s="75">
        <f>COUNTIFS(GERAL!B$8:B$1696,A372,GERAL!AY$8:AY$1696,"&gt;0",GERAL!C$8:C$1696,"ANEXO")</f>
        <v>1</v>
      </c>
      <c r="M372" s="100">
        <f>SUMIF(GERAL!B$8:B$1696,A372,GERAL!V$8:V$1696)+SUMIF(GERAL!B$8:B$1696,A372,GERAL!W$8:W$1696)</f>
        <v>0</v>
      </c>
      <c r="N372" s="100">
        <f>SUMIF(GERAL!B$8:B$1696,A372,GERAL!AA$8:AA$1696)+SUMIF(GERAL!B$8:B$1696,A372,GERAL!AB$8:AB$1696)</f>
        <v>0</v>
      </c>
      <c r="O372" s="100">
        <f>SUMIF(GERAL!B$8:B$1696,A372,GERAL!AF$8:AF$1696)+SUMIF(GERAL!B$8:B$1696,A372,GERAL!AG$8:AG$1696)</f>
        <v>107</v>
      </c>
      <c r="P372" s="100">
        <f>SUMIF(GERAL!B$8:B$1696,A372,GERAL!AK$8:AK$1696)+SUMIF(GERAL!B$8:B$1696,A372,GERAL!AL$8:AL$1696)</f>
        <v>0</v>
      </c>
      <c r="Q372" s="100">
        <f>SUMIF(GERAL!B$8:B$1696,A372,GERAL!AO$8:AO$1696)+SUMIF(GERAL!B$8:B$1696,A372,GERAL!AP$8:AP$1696)</f>
        <v>0</v>
      </c>
      <c r="R372" s="100">
        <f>SUMIF(GERAL!B$8:B$1696,A372,GERAL!AS$8:AS$1696)+SUMIF(GERAL!B$8:B$1696,A372,GERAL!AT$8:AT$1696)</f>
        <v>0</v>
      </c>
      <c r="S372" s="75">
        <f t="shared" si="39"/>
        <v>107</v>
      </c>
      <c r="T372" s="116">
        <f>COUNTIFS(GERAL!B$8:B$1696,A372,GERAL!AZ$8:AZ$1696,"&gt;0",GERAL!C$8:C$1696,"ESCOLA")</f>
        <v>1</v>
      </c>
      <c r="U372" s="75">
        <f>COUNTIFS(GERAL!B$8:B$1696,A372,GERAL!AZ$8:AZ$1696,"&gt;0",GERAL!C$8:C$1696,"ANEXO")</f>
        <v>0</v>
      </c>
      <c r="V372" s="85">
        <f>SUMIF(GERAL!B$8:B$1696,A372,GERAL!AH$8:AH$1696)</f>
        <v>0</v>
      </c>
      <c r="W372" s="85">
        <f>SUMIF(GERAL!B$8:B$1696,A372,GERAL!AM$8:AM$1696)</f>
        <v>0</v>
      </c>
      <c r="X372" s="85">
        <f>SUMIF(GERAL!B$8:B$1696,A372,GERAL!AQ$8:AQ$1696)</f>
        <v>42</v>
      </c>
      <c r="Y372" s="85">
        <f>SUMIF(GERAL!B$8:B$1696,A372,GERAL!AU$8:AU$1696)</f>
        <v>49</v>
      </c>
      <c r="Z372" s="88">
        <f t="shared" si="40"/>
        <v>91</v>
      </c>
      <c r="AA372" s="116">
        <f>COUNTIFS(GERAL!B$8:B$1696,A372,GERAL!BK$8:BK$1696,"&gt;0",GERAL!C$8:C$1696,"ESCOLA")</f>
        <v>1</v>
      </c>
      <c r="AB372" s="88">
        <f>COUNTIFS(GERAL!B$8:B$1696,A372,GERAL!BK$8:BK$1696,"&gt;0",GERAL!C$8:C$1696,"ANEXO")</f>
        <v>0</v>
      </c>
      <c r="AC372" s="121">
        <f>SUMIF(GERAL!B$8:B$1696,A372,GERAL!AD$8:AD$1696)</f>
        <v>0</v>
      </c>
      <c r="AD372" s="121">
        <f>SUMIF(GERAL!B$8:B$1696,A372,GERAL!AI$8:AI$1696)</f>
        <v>115</v>
      </c>
      <c r="AE372" s="121">
        <f>SUMIF(GERAL!B$8:B$1696,A372,GERAL!AV$8:AV$1696)</f>
        <v>68</v>
      </c>
      <c r="AF372" s="492">
        <f t="shared" si="41"/>
        <v>183</v>
      </c>
      <c r="AG372" s="178">
        <f>COUNTIFS(GERAL!B$8:B$1696,A372,GERAL!AW$8:AW$1696,"&gt;0",GERAL!C$8:C$1696,"ESCOLA")</f>
        <v>1</v>
      </c>
      <c r="AH372" s="118">
        <f>COUNTIFS(GERAL!B$8:B$1696,A372,GERAL!AW$8:AW$1696,"&gt;0",GERAL!C$8:C$1696,"ANEXO")</f>
        <v>0</v>
      </c>
      <c r="AI372" s="177">
        <f>SUMIF(GERAL!B$8:B$1696,A372,GERAL!AS$8:AS$1696)+SUMIF(GERAL!B$8:B$1696,A372,GERAL!AT$8:AT$1696)</f>
        <v>0</v>
      </c>
      <c r="AJ372" s="177">
        <f>SUMIF(GERAL!B$8:B$1696,A372,GERAL!AU$8:AU$1696)</f>
        <v>49</v>
      </c>
      <c r="AK372" s="177">
        <f>SUMIF(GERAL!B$8:B$1696,A372,GERAL!AV$8:AV$1696)</f>
        <v>68</v>
      </c>
      <c r="AL372" s="118">
        <f t="shared" si="42"/>
        <v>117</v>
      </c>
      <c r="AM372" s="493" t="s">
        <v>1463</v>
      </c>
    </row>
    <row r="373">
      <c r="A373" s="494" t="s">
        <v>7414</v>
      </c>
      <c r="B373" s="75">
        <f>COUNTIFS(GERAL!B$8:B$1696,A373,GERAL!C$8:C$1696,"ESCOLA")</f>
        <v>1</v>
      </c>
      <c r="C373" s="75">
        <f>COUNTIFS(GERAL!B$8:B$1696,A373,GERAL!C$8:C$1696,"ANEXO")</f>
        <v>2</v>
      </c>
      <c r="D373" s="85">
        <f>SUMIF(GERAL!B$8:B$1696,A373,GERAL!Z$8:Z$1696)</f>
        <v>0</v>
      </c>
      <c r="E373" s="85">
        <f>SUMIF(GERAL!B$8:B$1696,A373,GERAL!AE$8:AE$1696)</f>
        <v>0</v>
      </c>
      <c r="F373" s="85">
        <f>SUMIF(GERAL!B$8:B$1696,A373,GERAL!AJ$8:AJ$1696)</f>
        <v>330</v>
      </c>
      <c r="G373" s="85">
        <f>SUMIF(GERAL!B$8:B$1696,A373,GERAL!AN$8:AN$1696)</f>
        <v>0</v>
      </c>
      <c r="H373" s="85">
        <f>SUMIF(GERAL!B$8:B$1696,A373,GERAL!AR$8:AW$1696)</f>
        <v>37</v>
      </c>
      <c r="I373" s="85">
        <f>SUMIF(GERAL!B$8:B$1696,A373,GERAL!AW$8:AW$1696)</f>
        <v>251</v>
      </c>
      <c r="J373" s="75">
        <f>SUMIF(GERAL!B$8:B$1696,A373,GERAL!AX$8:AX$1696)</f>
        <v>618</v>
      </c>
      <c r="K373" s="75">
        <f>COUNTIFS(GERAL!B$8:B$1696,A373,GERAL!AY$8:AY$1696,"&gt;0",GERAL!C$8:C$1696,"ESCOLA")</f>
        <v>1</v>
      </c>
      <c r="L373" s="75">
        <f>COUNTIFS(GERAL!B$8:B$1696,A373,GERAL!AY$8:AY$1696,"&gt;0",GERAL!C$8:C$1696,"ANEXO")</f>
        <v>0</v>
      </c>
      <c r="M373" s="100">
        <f>SUMIF(GERAL!B$8:B$1696,A373,GERAL!V$8:V$1696)+SUMIF(GERAL!B$8:B$1696,A373,GERAL!W$8:W$1696)</f>
        <v>0</v>
      </c>
      <c r="N373" s="100">
        <f>SUMIF(GERAL!B$8:B$1696,A373,GERAL!AA$8:AA$1696)+SUMIF(GERAL!B$8:B$1696,A373,GERAL!AB$8:AB$1696)</f>
        <v>0</v>
      </c>
      <c r="O373" s="100">
        <f>SUMIF(GERAL!B$8:B$1696,A373,GERAL!AF$8:AF$1696)+SUMIF(GERAL!B$8:B$1696,A373,GERAL!AG$8:AG$1696)</f>
        <v>236</v>
      </c>
      <c r="P373" s="100">
        <f>SUMIF(GERAL!B$8:B$1696,A373,GERAL!AK$8:AK$1696)+SUMIF(GERAL!B$8:B$1696,A373,GERAL!AL$8:AL$1696)</f>
        <v>0</v>
      </c>
      <c r="Q373" s="100">
        <f>SUMIF(GERAL!B$8:B$1696,A373,GERAL!AO$8:AO$1696)+SUMIF(GERAL!B$8:B$1696,A373,GERAL!AP$8:AP$1696)</f>
        <v>0</v>
      </c>
      <c r="R373" s="100">
        <f>SUMIF(GERAL!B$8:B$1696,A373,GERAL!AS$8:AS$1696)+SUMIF(GERAL!B$8:B$1696,A373,GERAL!AT$8:AT$1696)</f>
        <v>124</v>
      </c>
      <c r="S373" s="75">
        <f t="shared" si="39"/>
        <v>360</v>
      </c>
      <c r="T373" s="116">
        <f>COUNTIFS(GERAL!B$8:B$1696,A373,GERAL!AZ$8:AZ$1696,"&gt;0",GERAL!C$8:C$1696,"ESCOLA")</f>
        <v>1</v>
      </c>
      <c r="U373" s="75">
        <f>COUNTIFS(GERAL!B$8:B$1696,A373,GERAL!AZ$8:AZ$1696,"&gt;0",GERAL!C$8:C$1696,"ANEXO")</f>
        <v>2</v>
      </c>
      <c r="V373" s="85">
        <f>SUMIF(GERAL!B$8:B$1696,A373,GERAL!AH$8:AH$1696)</f>
        <v>44</v>
      </c>
      <c r="W373" s="85">
        <f>SUMIF(GERAL!B$8:B$1696,A373,GERAL!AM$8:AM$1696)</f>
        <v>0</v>
      </c>
      <c r="X373" s="85">
        <f>SUMIF(GERAL!B$8:B$1696,A373,GERAL!AQ$8:AQ$1696)</f>
        <v>37</v>
      </c>
      <c r="Y373" s="85">
        <f>SUMIF(GERAL!B$8:B$1696,A373,GERAL!AU$8:AU$1696)</f>
        <v>20</v>
      </c>
      <c r="Z373" s="88">
        <f t="shared" si="40"/>
        <v>101</v>
      </c>
      <c r="AA373" s="116">
        <f>COUNTIFS(GERAL!B$8:B$1696,A373,GERAL!BK$8:BK$1696,"&gt;0",GERAL!C$8:C$1696,"ESCOLA")</f>
        <v>1</v>
      </c>
      <c r="AB373" s="88">
        <f>COUNTIFS(GERAL!B$8:B$1696,A373,GERAL!BK$8:BK$1696,"&gt;0",GERAL!C$8:C$1696,"ANEXO")</f>
        <v>0</v>
      </c>
      <c r="AC373" s="121">
        <f>SUMIF(GERAL!B$8:B$1696,A373,GERAL!AD$8:AD$1696)</f>
        <v>0</v>
      </c>
      <c r="AD373" s="121">
        <f>SUMIF(GERAL!B$8:B$1696,A373,GERAL!AI$8:AI$1696)</f>
        <v>50</v>
      </c>
      <c r="AE373" s="121">
        <f>SUMIF(GERAL!B$8:B$1696,A373,GERAL!AV$8:AV$1696)</f>
        <v>107</v>
      </c>
      <c r="AF373" s="492">
        <f t="shared" si="41"/>
        <v>157</v>
      </c>
      <c r="AG373" s="178">
        <f>COUNTIFS(GERAL!B$8:B$1696,A373,GERAL!AW$8:AW$1696,"&gt;0",GERAL!C$8:C$1696,"ESCOLA")</f>
        <v>1</v>
      </c>
      <c r="AH373" s="118">
        <f>COUNTIFS(GERAL!B$8:B$1696,A373,GERAL!AW$8:AW$1696,"&gt;0",GERAL!C$8:C$1696,"ANEXO")</f>
        <v>0</v>
      </c>
      <c r="AI373" s="177">
        <f>SUMIF(GERAL!B$8:B$1696,A373,GERAL!AS$8:AS$1696)+SUMIF(GERAL!B$8:B$1696,A373,GERAL!AT$8:AT$1696)</f>
        <v>124</v>
      </c>
      <c r="AJ373" s="177">
        <f>SUMIF(GERAL!B$8:B$1696,A373,GERAL!AU$8:AU$1696)</f>
        <v>20</v>
      </c>
      <c r="AK373" s="177">
        <f>SUMIF(GERAL!B$8:B$1696,A373,GERAL!AV$8:AV$1696)</f>
        <v>107</v>
      </c>
      <c r="AL373" s="118">
        <f t="shared" si="42"/>
        <v>251</v>
      </c>
      <c r="AM373" s="493" t="s">
        <v>1573</v>
      </c>
    </row>
    <row r="374">
      <c r="A374" s="484" t="s">
        <v>9135</v>
      </c>
      <c r="B374" s="75">
        <f>COUNTIFS(GERAL!B$8:B$1696,A374,GERAL!C$8:C$1696,"ESCOLA")</f>
        <v>2</v>
      </c>
      <c r="C374" s="75">
        <f>COUNTIFS(GERAL!B$8:B$1696,A374,GERAL!C$8:C$1696,"ANEXO")</f>
        <v>0</v>
      </c>
      <c r="D374" s="85">
        <f>SUMIF(GERAL!B$8:B$1696,A374,GERAL!Z$8:Z$1696)</f>
        <v>0</v>
      </c>
      <c r="E374" s="85">
        <f>SUMIF(GERAL!B$8:B$1696,A374,GERAL!AE$8:AE$1696)</f>
        <v>0</v>
      </c>
      <c r="F374" s="85">
        <f>SUMIF(GERAL!B$8:B$1696,A374,GERAL!AJ$8:AJ$1696)</f>
        <v>858</v>
      </c>
      <c r="G374" s="85">
        <f>SUMIF(GERAL!B$8:B$1696,A374,GERAL!AN$8:AN$1696)</f>
        <v>0</v>
      </c>
      <c r="H374" s="85">
        <f>SUMIF(GERAL!B$8:B$1696,A374,GERAL!AR$8:AW$1696)</f>
        <v>304</v>
      </c>
      <c r="I374" s="85">
        <f>SUMIF(GERAL!B$8:B$1696,A374,GERAL!AW$8:AW$1696)</f>
        <v>308</v>
      </c>
      <c r="J374" s="75">
        <f>SUMIF(GERAL!B$8:B$1696,A374,GERAL!AX$8:AX$1696)</f>
        <v>1470</v>
      </c>
      <c r="K374" s="75">
        <f>COUNTIFS(GERAL!B$8:B$1696,A374,GERAL!AY$8:AY$1696,"&gt;0",GERAL!C$8:C$1696,"ESCOLA")</f>
        <v>2</v>
      </c>
      <c r="L374" s="75">
        <f>COUNTIFS(GERAL!B$8:B$1696,A374,GERAL!AY$8:AY$1696,"&gt;0",GERAL!C$8:C$1696,"ANEXO")</f>
        <v>0</v>
      </c>
      <c r="M374" s="100">
        <f>SUMIF(GERAL!B$8:B$1696,A374,GERAL!V$8:V$1696)+SUMIF(GERAL!B$8:B$1696,A374,GERAL!W$8:W$1696)</f>
        <v>0</v>
      </c>
      <c r="N374" s="100">
        <f>SUMIF(GERAL!B$8:B$1696,A374,GERAL!AA$8:AA$1696)+SUMIF(GERAL!B$8:B$1696,A374,GERAL!AB$8:AB$1696)</f>
        <v>0</v>
      </c>
      <c r="O374" s="100">
        <f>SUMIF(GERAL!B$8:B$1696,A374,GERAL!AF$8:AF$1696)+SUMIF(GERAL!B$8:B$1696,A374,GERAL!AG$8:AG$1696)</f>
        <v>33</v>
      </c>
      <c r="P374" s="100">
        <f>SUMIF(GERAL!B$8:B$1696,A374,GERAL!AK$8:AK$1696)+SUMIF(GERAL!B$8:B$1696,A374,GERAL!AL$8:AL$1696)</f>
        <v>0</v>
      </c>
      <c r="Q374" s="100">
        <f>SUMIF(GERAL!B$8:B$1696,A374,GERAL!AO$8:AO$1696)+SUMIF(GERAL!B$8:B$1696,A374,GERAL!AP$8:AP$1696)</f>
        <v>0</v>
      </c>
      <c r="R374" s="100">
        <f>SUMIF(GERAL!B$8:B$1696,A374,GERAL!AS$8:AS$1696)+SUMIF(GERAL!B$8:B$1696,A374,GERAL!AT$8:AT$1696)</f>
        <v>199</v>
      </c>
      <c r="S374" s="75">
        <f t="shared" si="39"/>
        <v>232</v>
      </c>
      <c r="T374" s="116">
        <f>COUNTIFS(GERAL!B$8:B$1696,A374,GERAL!AZ$8:AZ$1696,"&gt;0",GERAL!C$8:C$1696,"ESCOLA")</f>
        <v>2</v>
      </c>
      <c r="U374" s="75">
        <f>COUNTIFS(GERAL!B$8:B$1696,A374,GERAL!AZ$8:AZ$1696,"&gt;0",GERAL!C$8:C$1696,"ANEXO")</f>
        <v>0</v>
      </c>
      <c r="V374" s="85">
        <f>SUMIF(GERAL!B$8:B$1696,A374,GERAL!AH$8:AH$1696)</f>
        <v>0</v>
      </c>
      <c r="W374" s="85">
        <f>SUMIF(GERAL!B$8:B$1696,A374,GERAL!AM$8:AM$1696)</f>
        <v>0</v>
      </c>
      <c r="X374" s="85">
        <f>SUMIF(GERAL!B$8:B$1696,A374,GERAL!AQ$8:AQ$1696)</f>
        <v>304</v>
      </c>
      <c r="Y374" s="85">
        <f>SUMIF(GERAL!B$8:B$1696,A374,GERAL!AU$8:AU$1696)</f>
        <v>76</v>
      </c>
      <c r="Z374" s="88">
        <f t="shared" si="40"/>
        <v>380</v>
      </c>
      <c r="AA374" s="116">
        <f>COUNTIFS(GERAL!B$8:B$1696,A374,GERAL!BK$8:BK$1696,"&gt;0",GERAL!C$8:C$1696,"ESCOLA")</f>
        <v>2</v>
      </c>
      <c r="AB374" s="88">
        <f>COUNTIFS(GERAL!B$8:B$1696,A374,GERAL!BK$8:BK$1696,"&gt;0",GERAL!C$8:C$1696,"ANEXO")</f>
        <v>0</v>
      </c>
      <c r="AC374" s="121">
        <f>SUMIF(GERAL!B$8:B$1696,A374,GERAL!AD$8:AD$1696)</f>
        <v>0</v>
      </c>
      <c r="AD374" s="121">
        <f>SUMIF(GERAL!B$8:B$1696,A374,GERAL!AI$8:AI$1696)</f>
        <v>825</v>
      </c>
      <c r="AE374" s="121">
        <f>SUMIF(GERAL!B$8:B$1696,A374,GERAL!AV$8:AV$1696)</f>
        <v>33</v>
      </c>
      <c r="AF374" s="492">
        <f t="shared" si="41"/>
        <v>858</v>
      </c>
      <c r="AG374" s="178">
        <f>COUNTIFS(GERAL!B$8:B$1696,A374,GERAL!AW$8:AW$1696,"&gt;0",GERAL!C$8:C$1696,"ESCOLA")</f>
        <v>2</v>
      </c>
      <c r="AH374" s="118">
        <f>COUNTIFS(GERAL!B$8:B$1696,A374,GERAL!AW$8:AW$1696,"&gt;0",GERAL!C$8:C$1696,"ANEXO")</f>
        <v>0</v>
      </c>
      <c r="AI374" s="177">
        <f>SUMIF(GERAL!B$8:B$1696,A374,GERAL!AS$8:AS$1696)+SUMIF(GERAL!B$8:B$1696,A374,GERAL!AT$8:AT$1696)</f>
        <v>199</v>
      </c>
      <c r="AJ374" s="177">
        <f>SUMIF(GERAL!B$8:B$1696,A374,GERAL!AU$8:AU$1696)</f>
        <v>76</v>
      </c>
      <c r="AK374" s="177">
        <f>SUMIF(GERAL!B$8:B$1696,A374,GERAL!AV$8:AV$1696)</f>
        <v>33</v>
      </c>
      <c r="AL374" s="118">
        <f t="shared" si="42"/>
        <v>308</v>
      </c>
      <c r="AM374" s="493" t="s">
        <v>1785</v>
      </c>
    </row>
    <row r="375">
      <c r="A375" s="494" t="s">
        <v>375</v>
      </c>
      <c r="B375" s="75">
        <f>COUNTIFS(GERAL!B$8:B$1696,A375,GERAL!C$8:C$1696,"ESCOLA")</f>
        <v>2</v>
      </c>
      <c r="C375" s="75">
        <f>COUNTIFS(GERAL!B$8:B$1696,A375,GERAL!C$8:C$1696,"ANEXO")</f>
        <v>0</v>
      </c>
      <c r="D375" s="85">
        <f>SUMIF(GERAL!B$8:B$1696,A375,GERAL!Z$8:Z$1696)</f>
        <v>0</v>
      </c>
      <c r="E375" s="85">
        <f>SUMIF(GERAL!B$8:B$1696,A375,GERAL!AE$8:AE$1696)</f>
        <v>0</v>
      </c>
      <c r="F375" s="85">
        <f>SUMIF(GERAL!B$8:B$1696,A375,GERAL!AJ$8:AJ$1696)</f>
        <v>392</v>
      </c>
      <c r="G375" s="85">
        <f>SUMIF(GERAL!B$8:B$1696,A375,GERAL!AN$8:AN$1696)</f>
        <v>0</v>
      </c>
      <c r="H375" s="85">
        <f>SUMIF(GERAL!B$8:B$1696,A375,GERAL!AR$8:AW$1696)</f>
        <v>125</v>
      </c>
      <c r="I375" s="85">
        <f>SUMIF(GERAL!B$8:B$1696,A375,GERAL!AW$8:AW$1696)</f>
        <v>196</v>
      </c>
      <c r="J375" s="75">
        <f>SUMIF(GERAL!B$8:B$1696,A375,GERAL!AX$8:AX$1696)</f>
        <v>713</v>
      </c>
      <c r="K375" s="75">
        <f>COUNTIFS(GERAL!B$8:B$1696,A375,GERAL!AY$8:AY$1696,"&gt;0",GERAL!C$8:C$1696,"ESCOLA")</f>
        <v>2</v>
      </c>
      <c r="L375" s="75">
        <f>COUNTIFS(GERAL!B$8:B$1696,A375,GERAL!AY$8:AY$1696,"&gt;0",GERAL!C$8:C$1696,"ANEXO")</f>
        <v>0</v>
      </c>
      <c r="M375" s="100">
        <f>SUMIF(GERAL!B$8:B$1696,A375,GERAL!V$8:V$1696)+SUMIF(GERAL!B$8:B$1696,A375,GERAL!W$8:W$1696)</f>
        <v>0</v>
      </c>
      <c r="N375" s="100">
        <f>SUMIF(GERAL!B$8:B$1696,A375,GERAL!AA$8:AA$1696)+SUMIF(GERAL!B$8:B$1696,A375,GERAL!AB$8:AB$1696)</f>
        <v>0</v>
      </c>
      <c r="O375" s="100">
        <f>SUMIF(GERAL!B$8:B$1696,A375,GERAL!AF$8:AF$1696)+SUMIF(GERAL!B$8:B$1696,A375,GERAL!AG$8:AG$1696)</f>
        <v>235</v>
      </c>
      <c r="P375" s="100">
        <f>SUMIF(GERAL!B$8:B$1696,A375,GERAL!AK$8:AK$1696)+SUMIF(GERAL!B$8:B$1696,A375,GERAL!AL$8:AL$1696)</f>
        <v>0</v>
      </c>
      <c r="Q375" s="100">
        <f>SUMIF(GERAL!B$8:B$1696,A375,GERAL!AO$8:AO$1696)+SUMIF(GERAL!B$8:B$1696,A375,GERAL!AP$8:AP$1696)</f>
        <v>0</v>
      </c>
      <c r="R375" s="100">
        <f>SUMIF(GERAL!B$8:B$1696,A375,GERAL!AS$8:AS$1696)+SUMIF(GERAL!B$8:B$1696,A375,GERAL!AT$8:AT$1696)</f>
        <v>0</v>
      </c>
      <c r="S375" s="75">
        <f t="shared" si="39"/>
        <v>235</v>
      </c>
      <c r="T375" s="116">
        <f>COUNTIFS(GERAL!B$8:B$1696,A375,GERAL!AZ$8:AZ$1696,"&gt;0",GERAL!C$8:C$1696,"ESCOLA")</f>
        <v>2</v>
      </c>
      <c r="U375" s="75">
        <f>COUNTIFS(GERAL!B$8:B$1696,A375,GERAL!AZ$8:AZ$1696,"&gt;0",GERAL!C$8:C$1696,"ANEXO")</f>
        <v>0</v>
      </c>
      <c r="V375" s="85">
        <f>SUMIF(GERAL!B$8:B$1696,A375,GERAL!AH$8:AH$1696)</f>
        <v>0</v>
      </c>
      <c r="W375" s="85">
        <f>SUMIF(GERAL!B$8:B$1696,A375,GERAL!AM$8:AM$1696)</f>
        <v>0</v>
      </c>
      <c r="X375" s="85">
        <f>SUMIF(GERAL!B$8:B$1696,A375,GERAL!AQ$8:AQ$1696)</f>
        <v>125</v>
      </c>
      <c r="Y375" s="85">
        <f>SUMIF(GERAL!B$8:B$1696,A375,GERAL!AU$8:AU$1696)</f>
        <v>74</v>
      </c>
      <c r="Z375" s="88">
        <f t="shared" si="40"/>
        <v>199</v>
      </c>
      <c r="AA375" s="116">
        <f>COUNTIFS(GERAL!B$8:B$1696,A375,GERAL!BK$8:BK$1696,"&gt;0",GERAL!C$8:C$1696,"ESCOLA")</f>
        <v>1</v>
      </c>
      <c r="AB375" s="88">
        <f>COUNTIFS(GERAL!B$8:B$1696,A375,GERAL!BK$8:BK$1696,"&gt;0",GERAL!C$8:C$1696,"ANEXO")</f>
        <v>0</v>
      </c>
      <c r="AC375" s="121">
        <f>SUMIF(GERAL!B$8:B$1696,A375,GERAL!AD$8:AD$1696)</f>
        <v>0</v>
      </c>
      <c r="AD375" s="121">
        <f>SUMIF(GERAL!B$8:B$1696,A375,GERAL!AI$8:AI$1696)</f>
        <v>157</v>
      </c>
      <c r="AE375" s="121">
        <f>SUMIF(GERAL!B$8:B$1696,A375,GERAL!AV$8:AV$1696)</f>
        <v>122</v>
      </c>
      <c r="AF375" s="492">
        <f t="shared" si="41"/>
        <v>279</v>
      </c>
      <c r="AG375" s="178">
        <f>COUNTIFS(GERAL!B$8:B$1696,A375,GERAL!AW$8:AW$1696,"&gt;0",GERAL!C$8:C$1696,"ESCOLA")</f>
        <v>1</v>
      </c>
      <c r="AH375" s="118">
        <f>COUNTIFS(GERAL!B$8:B$1696,A375,GERAL!AW$8:AW$1696,"&gt;0",GERAL!C$8:C$1696,"ANEXO")</f>
        <v>0</v>
      </c>
      <c r="AI375" s="177">
        <f>SUMIF(GERAL!B$8:B$1696,A375,GERAL!AS$8:AS$1696)+SUMIF(GERAL!B$8:B$1696,A375,GERAL!AT$8:AT$1696)</f>
        <v>0</v>
      </c>
      <c r="AJ375" s="177">
        <f>SUMIF(GERAL!B$8:B$1696,A375,GERAL!AU$8:AU$1696)</f>
        <v>74</v>
      </c>
      <c r="AK375" s="177">
        <f>SUMIF(GERAL!B$8:B$1696,A375,GERAL!AV$8:AV$1696)</f>
        <v>122</v>
      </c>
      <c r="AL375" s="118">
        <f t="shared" si="42"/>
        <v>196</v>
      </c>
      <c r="AM375" s="493" t="s">
        <v>130</v>
      </c>
    </row>
    <row r="376">
      <c r="A376" s="484" t="s">
        <v>6059</v>
      </c>
      <c r="B376" s="75">
        <f>COUNTIFS(GERAL!B$8:B$1696,A376,GERAL!C$8:C$1696,"ESCOLA")</f>
        <v>1</v>
      </c>
      <c r="C376" s="75">
        <f>COUNTIFS(GERAL!B$8:B$1696,A376,GERAL!C$8:C$1696,"ANEXO")</f>
        <v>0</v>
      </c>
      <c r="D376" s="85">
        <f>SUMIF(GERAL!B$8:B$1696,A376,GERAL!Z$8:Z$1696)</f>
        <v>0</v>
      </c>
      <c r="E376" s="85">
        <f>SUMIF(GERAL!B$8:B$1696,A376,GERAL!AE$8:AE$1696)</f>
        <v>0</v>
      </c>
      <c r="F376" s="85">
        <f>SUMIF(GERAL!B$8:B$1696,A376,GERAL!AJ$8:AJ$1696)</f>
        <v>637</v>
      </c>
      <c r="G376" s="85">
        <f>SUMIF(GERAL!B$8:B$1696,A376,GERAL!AN$8:AN$1696)</f>
        <v>0</v>
      </c>
      <c r="H376" s="85">
        <f>SUMIF(GERAL!B$8:B$1696,A376,GERAL!AR$8:AW$1696)</f>
        <v>245</v>
      </c>
      <c r="I376" s="85">
        <f>SUMIF(GERAL!B$8:B$1696,A376,GERAL!AW$8:AW$1696)</f>
        <v>96</v>
      </c>
      <c r="J376" s="75">
        <f>SUMIF(GERAL!B$8:B$1696,A376,GERAL!AX$8:AX$1696)</f>
        <v>978</v>
      </c>
      <c r="K376" s="75">
        <f>COUNTIFS(GERAL!B$8:B$1696,A376,GERAL!AY$8:AY$1696,"&gt;0",GERAL!C$8:C$1696,"ESCOLA")</f>
        <v>1</v>
      </c>
      <c r="L376" s="75">
        <f>COUNTIFS(GERAL!B$8:B$1696,A376,GERAL!AY$8:AY$1696,"&gt;0",GERAL!C$8:C$1696,"ANEXO")</f>
        <v>0</v>
      </c>
      <c r="M376" s="100">
        <f>SUMIF(GERAL!B$8:B$1696,A376,GERAL!V$8:V$1696)+SUMIF(GERAL!B$8:B$1696,A376,GERAL!W$8:W$1696)</f>
        <v>0</v>
      </c>
      <c r="N376" s="100">
        <f>SUMIF(GERAL!B$8:B$1696,A376,GERAL!AA$8:AA$1696)+SUMIF(GERAL!B$8:B$1696,A376,GERAL!AB$8:AB$1696)</f>
        <v>0</v>
      </c>
      <c r="O376" s="100">
        <f>SUMIF(GERAL!B$8:B$1696,A376,GERAL!AF$8:AF$1696)+SUMIF(GERAL!B$8:B$1696,A376,GERAL!AG$8:AG$1696)</f>
        <v>300</v>
      </c>
      <c r="P376" s="100">
        <f>SUMIF(GERAL!B$8:B$1696,A376,GERAL!AK$8:AK$1696)+SUMIF(GERAL!B$8:B$1696,A376,GERAL!AL$8:AL$1696)</f>
        <v>0</v>
      </c>
      <c r="Q376" s="100">
        <f>SUMIF(GERAL!B$8:B$1696,A376,GERAL!AO$8:AO$1696)+SUMIF(GERAL!B$8:B$1696,A376,GERAL!AP$8:AP$1696)</f>
        <v>119</v>
      </c>
      <c r="R376" s="100">
        <f>SUMIF(GERAL!B$8:B$1696,A376,GERAL!AS$8:AS$1696)+SUMIF(GERAL!B$8:B$1696,A376,GERAL!AT$8:AT$1696)</f>
        <v>0</v>
      </c>
      <c r="S376" s="75">
        <f t="shared" si="39"/>
        <v>419</v>
      </c>
      <c r="T376" s="116">
        <f>COUNTIFS(GERAL!B$8:B$1696,A376,GERAL!AZ$8:AZ$1696,"&gt;0",GERAL!C$8:C$1696,"ESCOLA")</f>
        <v>1</v>
      </c>
      <c r="U376" s="75">
        <f>COUNTIFS(GERAL!B$8:B$1696,A376,GERAL!AZ$8:AZ$1696,"&gt;0",GERAL!C$8:C$1696,"ANEXO")</f>
        <v>0</v>
      </c>
      <c r="V376" s="85">
        <f>SUMIF(GERAL!B$8:B$1696,A376,GERAL!AH$8:AH$1696)</f>
        <v>0</v>
      </c>
      <c r="W376" s="85">
        <f>SUMIF(GERAL!B$8:B$1696,A376,GERAL!AM$8:AM$1696)</f>
        <v>0</v>
      </c>
      <c r="X376" s="85">
        <f>SUMIF(GERAL!B$8:B$1696,A376,GERAL!AQ$8:AQ$1696)</f>
        <v>126</v>
      </c>
      <c r="Y376" s="85">
        <f>SUMIF(GERAL!B$8:B$1696,A376,GERAL!AU$8:AU$1696)</f>
        <v>19</v>
      </c>
      <c r="Z376" s="88">
        <f t="shared" si="40"/>
        <v>145</v>
      </c>
      <c r="AA376" s="116">
        <f>COUNTIFS(GERAL!B$8:B$1696,A376,GERAL!BK$8:BK$1696,"&gt;0",GERAL!C$8:C$1696,"ESCOLA")</f>
        <v>1</v>
      </c>
      <c r="AB376" s="88">
        <f>COUNTIFS(GERAL!B$8:B$1696,A376,GERAL!BK$8:BK$1696,"&gt;0",GERAL!C$8:C$1696,"ANEXO")</f>
        <v>0</v>
      </c>
      <c r="AC376" s="121">
        <f>SUMIF(GERAL!B$8:B$1696,A376,GERAL!AD$8:AD$1696)</f>
        <v>0</v>
      </c>
      <c r="AD376" s="121">
        <f>SUMIF(GERAL!B$8:B$1696,A376,GERAL!AI$8:AI$1696)</f>
        <v>337</v>
      </c>
      <c r="AE376" s="121">
        <f>SUMIF(GERAL!B$8:B$1696,A376,GERAL!AV$8:AV$1696)</f>
        <v>77</v>
      </c>
      <c r="AF376" s="492">
        <f t="shared" si="41"/>
        <v>414</v>
      </c>
      <c r="AG376" s="178">
        <f>COUNTIFS(GERAL!B$8:B$1696,A376,GERAL!AW$8:AW$1696,"&gt;0",GERAL!C$8:C$1696,"ESCOLA")</f>
        <v>1</v>
      </c>
      <c r="AH376" s="118">
        <f>COUNTIFS(GERAL!B$8:B$1696,A376,GERAL!AW$8:AW$1696,"&gt;0",GERAL!C$8:C$1696,"ANEXO")</f>
        <v>0</v>
      </c>
      <c r="AI376" s="177">
        <f>SUMIF(GERAL!B$8:B$1696,A376,GERAL!AS$8:AS$1696)+SUMIF(GERAL!B$8:B$1696,A376,GERAL!AT$8:AT$1696)</f>
        <v>0</v>
      </c>
      <c r="AJ376" s="177">
        <f>SUMIF(GERAL!B$8:B$1696,A376,GERAL!AU$8:AU$1696)</f>
        <v>19</v>
      </c>
      <c r="AK376" s="177">
        <f>SUMIF(GERAL!B$8:B$1696,A376,GERAL!AV$8:AV$1696)</f>
        <v>77</v>
      </c>
      <c r="AL376" s="118">
        <f t="shared" si="42"/>
        <v>96</v>
      </c>
      <c r="AM376" s="493" t="s">
        <v>1335</v>
      </c>
    </row>
    <row r="377">
      <c r="A377" s="494" t="s">
        <v>1654</v>
      </c>
      <c r="B377" s="75">
        <f>COUNTIFS(GERAL!B$8:B$1696,A377,GERAL!C$8:C$1696,"ESCOLA")</f>
        <v>1</v>
      </c>
      <c r="C377" s="75">
        <f>COUNTIFS(GERAL!B$8:B$1696,A377,GERAL!C$8:C$1696,"ANEXO")</f>
        <v>0</v>
      </c>
      <c r="D377" s="85">
        <f>SUMIF(GERAL!B$8:B$1696,A377,GERAL!Z$8:Z$1696)</f>
        <v>0</v>
      </c>
      <c r="E377" s="85">
        <f>SUMIF(GERAL!B$8:B$1696,A377,GERAL!AE$8:AE$1696)</f>
        <v>0</v>
      </c>
      <c r="F377" s="85">
        <f>SUMIF(GERAL!B$8:B$1696,A377,GERAL!AJ$8:AJ$1696)</f>
        <v>86</v>
      </c>
      <c r="G377" s="85">
        <f>SUMIF(GERAL!B$8:B$1696,A377,GERAL!AN$8:AN$1696)</f>
        <v>0</v>
      </c>
      <c r="H377" s="85">
        <f>SUMIF(GERAL!B$8:B$1696,A377,GERAL!AR$8:AW$1696)</f>
        <v>37</v>
      </c>
      <c r="I377" s="85">
        <f>SUMIF(GERAL!B$8:B$1696,A377,GERAL!AW$8:AW$1696)</f>
        <v>67</v>
      </c>
      <c r="J377" s="75">
        <f>SUMIF(GERAL!B$8:B$1696,A377,GERAL!AX$8:AX$1696)</f>
        <v>190</v>
      </c>
      <c r="K377" s="75">
        <f>COUNTIFS(GERAL!B$8:B$1696,A377,GERAL!AY$8:AY$1696,"&gt;0",GERAL!C$8:C$1696,"ESCOLA")</f>
        <v>1</v>
      </c>
      <c r="L377" s="75">
        <f>COUNTIFS(GERAL!B$8:B$1696,A377,GERAL!AY$8:AY$1696,"&gt;0",GERAL!C$8:C$1696,"ANEXO")</f>
        <v>0</v>
      </c>
      <c r="M377" s="100">
        <f>SUMIF(GERAL!B$8:B$1696,A377,GERAL!V$8:V$1696)+SUMIF(GERAL!B$8:B$1696,A377,GERAL!W$8:W$1696)</f>
        <v>0</v>
      </c>
      <c r="N377" s="100">
        <f>SUMIF(GERAL!B$8:B$1696,A377,GERAL!AA$8:AA$1696)+SUMIF(GERAL!B$8:B$1696,A377,GERAL!AB$8:AB$1696)</f>
        <v>0</v>
      </c>
      <c r="O377" s="100">
        <f>SUMIF(GERAL!B$8:B$1696,A377,GERAL!AF$8:AF$1696)+SUMIF(GERAL!B$8:B$1696,A377,GERAL!AG$8:AG$1696)</f>
        <v>0</v>
      </c>
      <c r="P377" s="100">
        <f>SUMIF(GERAL!B$8:B$1696,A377,GERAL!AK$8:AK$1696)+SUMIF(GERAL!B$8:B$1696,A377,GERAL!AL$8:AL$1696)</f>
        <v>0</v>
      </c>
      <c r="Q377" s="100">
        <f>SUMIF(GERAL!B$8:B$1696,A377,GERAL!AO$8:AO$1696)+SUMIF(GERAL!B$8:B$1696,A377,GERAL!AP$8:AP$1696)</f>
        <v>0</v>
      </c>
      <c r="R377" s="100">
        <f>SUMIF(GERAL!B$8:B$1696,A377,GERAL!AS$8:AS$1696)+SUMIF(GERAL!B$8:B$1696,A377,GERAL!AT$8:AT$1696)</f>
        <v>0</v>
      </c>
      <c r="S377" s="75">
        <f t="shared" si="39"/>
        <v>0</v>
      </c>
      <c r="T377" s="116">
        <f>COUNTIFS(GERAL!B$8:B$1696,A377,GERAL!AZ$8:AZ$1696,"&gt;0",GERAL!C$8:C$1696,"ESCOLA")</f>
        <v>1</v>
      </c>
      <c r="U377" s="75">
        <f>COUNTIFS(GERAL!B$8:B$1696,A377,GERAL!AZ$8:AZ$1696,"&gt;0",GERAL!C$8:C$1696,"ANEXO")</f>
        <v>0</v>
      </c>
      <c r="V377" s="85">
        <f>SUMIF(GERAL!B$8:B$1696,A377,GERAL!AH$8:AH$1696)</f>
        <v>0</v>
      </c>
      <c r="W377" s="85">
        <f>SUMIF(GERAL!B$8:B$1696,A377,GERAL!AM$8:AM$1696)</f>
        <v>0</v>
      </c>
      <c r="X377" s="85">
        <f>SUMIF(GERAL!B$8:B$1696,A377,GERAL!AQ$8:AQ$1696)</f>
        <v>37</v>
      </c>
      <c r="Y377" s="85">
        <f>SUMIF(GERAL!B$8:B$1696,A377,GERAL!AU$8:AU$1696)</f>
        <v>21</v>
      </c>
      <c r="Z377" s="88">
        <f t="shared" si="40"/>
        <v>58</v>
      </c>
      <c r="AA377" s="116">
        <f>COUNTIFS(GERAL!B$8:B$1696,A377,GERAL!BK$8:BK$1696,"&gt;0",GERAL!C$8:C$1696,"ESCOLA")</f>
        <v>1</v>
      </c>
      <c r="AB377" s="88">
        <f>COUNTIFS(GERAL!B$8:B$1696,A377,GERAL!BK$8:BK$1696,"&gt;0",GERAL!C$8:C$1696,"ANEXO")</f>
        <v>0</v>
      </c>
      <c r="AC377" s="121">
        <f>SUMIF(GERAL!B$8:B$1696,A377,GERAL!AD$8:AD$1696)</f>
        <v>0</v>
      </c>
      <c r="AD377" s="121">
        <f>SUMIF(GERAL!B$8:B$1696,A377,GERAL!AI$8:AI$1696)</f>
        <v>86</v>
      </c>
      <c r="AE377" s="121">
        <f>SUMIF(GERAL!B$8:B$1696,A377,GERAL!AV$8:AV$1696)</f>
        <v>46</v>
      </c>
      <c r="AF377" s="492">
        <f t="shared" si="41"/>
        <v>132</v>
      </c>
      <c r="AG377" s="178">
        <f>COUNTIFS(GERAL!B$8:B$1696,A377,GERAL!AW$8:AW$1696,"&gt;0",GERAL!C$8:C$1696,"ESCOLA")</f>
        <v>1</v>
      </c>
      <c r="AH377" s="118">
        <f>COUNTIFS(GERAL!B$8:B$1696,A377,GERAL!AW$8:AW$1696,"&gt;0",GERAL!C$8:C$1696,"ANEXO")</f>
        <v>0</v>
      </c>
      <c r="AI377" s="177">
        <f>SUMIF(GERAL!B$8:B$1696,A377,GERAL!AS$8:AS$1696)+SUMIF(GERAL!B$8:B$1696,A377,GERAL!AT$8:AT$1696)</f>
        <v>0</v>
      </c>
      <c r="AJ377" s="177">
        <f>SUMIF(GERAL!B$8:B$1696,A377,GERAL!AU$8:AU$1696)</f>
        <v>21</v>
      </c>
      <c r="AK377" s="177">
        <f>SUMIF(GERAL!B$8:B$1696,A377,GERAL!AV$8:AV$1696)</f>
        <v>46</v>
      </c>
      <c r="AL377" s="118">
        <f t="shared" si="42"/>
        <v>67</v>
      </c>
      <c r="AM377" s="493" t="s">
        <v>451</v>
      </c>
    </row>
    <row r="378">
      <c r="A378" s="484" t="s">
        <v>2239</v>
      </c>
      <c r="B378" s="75">
        <f>COUNTIFS(GERAL!B$8:B$1696,A378,GERAL!C$8:C$1696,"ESCOLA")</f>
        <v>2</v>
      </c>
      <c r="C378" s="75">
        <f>COUNTIFS(GERAL!B$8:B$1696,A378,GERAL!C$8:C$1696,"ANEXO")</f>
        <v>0</v>
      </c>
      <c r="D378" s="85">
        <f>SUMIF(GERAL!B$8:B$1696,A378,GERAL!Z$8:Z$1696)</f>
        <v>0</v>
      </c>
      <c r="E378" s="85">
        <f>SUMIF(GERAL!B$8:B$1696,A378,GERAL!AE$8:AE$1696)</f>
        <v>0</v>
      </c>
      <c r="F378" s="85">
        <f>SUMIF(GERAL!B$8:B$1696,A378,GERAL!AJ$8:AJ$1696)</f>
        <v>296</v>
      </c>
      <c r="G378" s="85">
        <f>SUMIF(GERAL!B$8:B$1696,A378,GERAL!AN$8:AN$1696)</f>
        <v>0</v>
      </c>
      <c r="H378" s="85">
        <f>SUMIF(GERAL!B$8:B$1696,A378,GERAL!AR$8:AW$1696)</f>
        <v>187</v>
      </c>
      <c r="I378" s="85">
        <f>SUMIF(GERAL!B$8:B$1696,A378,GERAL!AW$8:AW$1696)</f>
        <v>75</v>
      </c>
      <c r="J378" s="75">
        <f>SUMIF(GERAL!B$8:B$1696,A378,GERAL!AX$8:AX$1696)</f>
        <v>558</v>
      </c>
      <c r="K378" s="75">
        <f>COUNTIFS(GERAL!B$8:B$1696,A378,GERAL!AY$8:AY$1696,"&gt;0",GERAL!C$8:C$1696,"ESCOLA")</f>
        <v>2</v>
      </c>
      <c r="L378" s="75">
        <f>COUNTIFS(GERAL!B$8:B$1696,A378,GERAL!AY$8:AY$1696,"&gt;0",GERAL!C$8:C$1696,"ANEXO")</f>
        <v>0</v>
      </c>
      <c r="M378" s="100">
        <f>SUMIF(GERAL!B$8:B$1696,A378,GERAL!V$8:V$1696)+SUMIF(GERAL!B$8:B$1696,A378,GERAL!W$8:W$1696)</f>
        <v>0</v>
      </c>
      <c r="N378" s="100">
        <f>SUMIF(GERAL!B$8:B$1696,A378,GERAL!AA$8:AA$1696)+SUMIF(GERAL!B$8:B$1696,A378,GERAL!AB$8:AB$1696)</f>
        <v>0</v>
      </c>
      <c r="O378" s="100">
        <f>SUMIF(GERAL!B$8:B$1696,A378,GERAL!AF$8:AF$1696)+SUMIF(GERAL!B$8:B$1696,A378,GERAL!AG$8:AG$1696)</f>
        <v>53</v>
      </c>
      <c r="P378" s="100">
        <f>SUMIF(GERAL!B$8:B$1696,A378,GERAL!AK$8:AK$1696)+SUMIF(GERAL!B$8:B$1696,A378,GERAL!AL$8:AL$1696)</f>
        <v>0</v>
      </c>
      <c r="Q378" s="100">
        <f>SUMIF(GERAL!B$8:B$1696,A378,GERAL!AO$8:AO$1696)+SUMIF(GERAL!B$8:B$1696,A378,GERAL!AP$8:AP$1696)</f>
        <v>0</v>
      </c>
      <c r="R378" s="100">
        <f>SUMIF(GERAL!B$8:B$1696,A378,GERAL!AS$8:AS$1696)+SUMIF(GERAL!B$8:B$1696,A378,GERAL!AT$8:AT$1696)</f>
        <v>0</v>
      </c>
      <c r="S378" s="75">
        <f t="shared" si="39"/>
        <v>53</v>
      </c>
      <c r="T378" s="116">
        <f>COUNTIFS(GERAL!B$8:B$1696,A378,GERAL!AZ$8:AZ$1696,"&gt;0",GERAL!C$8:C$1696,"ESCOLA")</f>
        <v>2</v>
      </c>
      <c r="U378" s="75">
        <f>COUNTIFS(GERAL!B$8:B$1696,A378,GERAL!AZ$8:AZ$1696,"&gt;0",GERAL!C$8:C$1696,"ANEXO")</f>
        <v>0</v>
      </c>
      <c r="V378" s="85">
        <f>SUMIF(GERAL!B$8:B$1696,A378,GERAL!AH$8:AH$1696)</f>
        <v>0</v>
      </c>
      <c r="W378" s="85">
        <f>SUMIF(GERAL!B$8:B$1696,A378,GERAL!AM$8:AM$1696)</f>
        <v>0</v>
      </c>
      <c r="X378" s="85">
        <f>SUMIF(GERAL!B$8:B$1696,A378,GERAL!AQ$8:AQ$1696)</f>
        <v>187</v>
      </c>
      <c r="Y378" s="85">
        <f>SUMIF(GERAL!B$8:B$1696,A378,GERAL!AU$8:AU$1696)</f>
        <v>12</v>
      </c>
      <c r="Z378" s="88">
        <f t="shared" si="40"/>
        <v>199</v>
      </c>
      <c r="AA378" s="116">
        <f>COUNTIFS(GERAL!B$8:B$1696,A378,GERAL!BK$8:BK$1696,"&gt;0",GERAL!C$8:C$1696,"ESCOLA")</f>
        <v>2</v>
      </c>
      <c r="AB378" s="88">
        <f>COUNTIFS(GERAL!B$8:B$1696,A378,GERAL!BK$8:BK$1696,"&gt;0",GERAL!C$8:C$1696,"ANEXO")</f>
        <v>0</v>
      </c>
      <c r="AC378" s="121">
        <f>SUMIF(GERAL!B$8:B$1696,A378,GERAL!AD$8:AD$1696)</f>
        <v>0</v>
      </c>
      <c r="AD378" s="121">
        <f>SUMIF(GERAL!B$8:B$1696,A378,GERAL!AI$8:AI$1696)</f>
        <v>243</v>
      </c>
      <c r="AE378" s="121">
        <f>SUMIF(GERAL!B$8:B$1696,A378,GERAL!AV$8:AV$1696)</f>
        <v>63</v>
      </c>
      <c r="AF378" s="492">
        <f t="shared" si="41"/>
        <v>306</v>
      </c>
      <c r="AG378" s="178">
        <f>COUNTIFS(GERAL!B$8:B$1696,A378,GERAL!AW$8:AW$1696,"&gt;0",GERAL!C$8:C$1696,"ESCOLA")</f>
        <v>1</v>
      </c>
      <c r="AH378" s="118">
        <f>COUNTIFS(GERAL!B$8:B$1696,A378,GERAL!AW$8:AW$1696,"&gt;0",GERAL!C$8:C$1696,"ANEXO")</f>
        <v>0</v>
      </c>
      <c r="AI378" s="177">
        <f>SUMIF(GERAL!B$8:B$1696,A378,GERAL!AS$8:AS$1696)+SUMIF(GERAL!B$8:B$1696,A378,GERAL!AT$8:AT$1696)</f>
        <v>0</v>
      </c>
      <c r="AJ378" s="177">
        <f>SUMIF(GERAL!B$8:B$1696,A378,GERAL!AU$8:AU$1696)</f>
        <v>12</v>
      </c>
      <c r="AK378" s="177">
        <f>SUMIF(GERAL!B$8:B$1696,A378,GERAL!AV$8:AV$1696)</f>
        <v>63</v>
      </c>
      <c r="AL378" s="118">
        <f t="shared" si="42"/>
        <v>75</v>
      </c>
      <c r="AM378" s="493" t="s">
        <v>1090</v>
      </c>
    </row>
    <row r="379">
      <c r="A379" s="494" t="s">
        <v>2789</v>
      </c>
      <c r="B379" s="75">
        <f>COUNTIFS(GERAL!B$8:B$1696,A379,GERAL!C$8:C$1696,"ESCOLA")</f>
        <v>1</v>
      </c>
      <c r="C379" s="75">
        <f>COUNTIFS(GERAL!B$8:B$1696,A379,GERAL!C$8:C$1696,"ANEXO")</f>
        <v>0</v>
      </c>
      <c r="D379" s="85">
        <f>SUMIF(GERAL!B$8:B$1696,A379,GERAL!Z$8:Z$1696)</f>
        <v>0</v>
      </c>
      <c r="E379" s="85">
        <f>SUMIF(GERAL!B$8:B$1696,A379,GERAL!AE$8:AE$1696)</f>
        <v>0</v>
      </c>
      <c r="F379" s="85">
        <f>SUMIF(GERAL!B$8:B$1696,A379,GERAL!AJ$8:AJ$1696)</f>
        <v>275</v>
      </c>
      <c r="G379" s="85">
        <f>SUMIF(GERAL!B$8:B$1696,A379,GERAL!AN$8:AN$1696)</f>
        <v>0</v>
      </c>
      <c r="H379" s="85">
        <f>SUMIF(GERAL!B$8:B$1696,A379,GERAL!AR$8:AW$1696)</f>
        <v>43</v>
      </c>
      <c r="I379" s="85">
        <f>SUMIF(GERAL!B$8:B$1696,A379,GERAL!AW$8:AW$1696)</f>
        <v>10</v>
      </c>
      <c r="J379" s="75">
        <f>SUMIF(GERAL!B$8:B$1696,A379,GERAL!AX$8:AX$1696)</f>
        <v>328</v>
      </c>
      <c r="K379" s="75">
        <f>COUNTIFS(GERAL!B$8:B$1696,A379,GERAL!AY$8:AY$1696,"&gt;0",GERAL!C$8:C$1696,"ESCOLA")</f>
        <v>1</v>
      </c>
      <c r="L379" s="75">
        <f>COUNTIFS(GERAL!B$8:B$1696,A379,GERAL!AY$8:AY$1696,"&gt;0",GERAL!C$8:C$1696,"ANEXO")</f>
        <v>0</v>
      </c>
      <c r="M379" s="100">
        <f>SUMIF(GERAL!B$8:B$1696,A379,GERAL!V$8:V$1696)+SUMIF(GERAL!B$8:B$1696,A379,GERAL!W$8:W$1696)</f>
        <v>0</v>
      </c>
      <c r="N379" s="100">
        <f>SUMIF(GERAL!B$8:B$1696,A379,GERAL!AA$8:AA$1696)+SUMIF(GERAL!B$8:B$1696,A379,GERAL!AB$8:AB$1696)</f>
        <v>0</v>
      </c>
      <c r="O379" s="100">
        <f>SUMIF(GERAL!B$8:B$1696,A379,GERAL!AF$8:AF$1696)+SUMIF(GERAL!B$8:B$1696,A379,GERAL!AG$8:AG$1696)</f>
        <v>171</v>
      </c>
      <c r="P379" s="100">
        <f>SUMIF(GERAL!B$8:B$1696,A379,GERAL!AK$8:AK$1696)+SUMIF(GERAL!B$8:B$1696,A379,GERAL!AL$8:AL$1696)</f>
        <v>0</v>
      </c>
      <c r="Q379" s="100">
        <f>SUMIF(GERAL!B$8:B$1696,A379,GERAL!AO$8:AO$1696)+SUMIF(GERAL!B$8:B$1696,A379,GERAL!AP$8:AP$1696)</f>
        <v>0</v>
      </c>
      <c r="R379" s="100">
        <f>SUMIF(GERAL!B$8:B$1696,A379,GERAL!AS$8:AS$1696)+SUMIF(GERAL!B$8:B$1696,A379,GERAL!AT$8:AT$1696)</f>
        <v>0</v>
      </c>
      <c r="S379" s="75">
        <f t="shared" si="39"/>
        <v>171</v>
      </c>
      <c r="T379" s="116">
        <f>COUNTIFS(GERAL!B$8:B$1696,A379,GERAL!AZ$8:AZ$1696,"&gt;0",GERAL!C$8:C$1696,"ESCOLA")</f>
        <v>1</v>
      </c>
      <c r="U379" s="75">
        <f>COUNTIFS(GERAL!B$8:B$1696,A379,GERAL!AZ$8:AZ$1696,"&gt;0",GERAL!C$8:C$1696,"ANEXO")</f>
        <v>0</v>
      </c>
      <c r="V379" s="85">
        <f>SUMIF(GERAL!B$8:B$1696,A379,GERAL!AH$8:AH$1696)</f>
        <v>0</v>
      </c>
      <c r="W379" s="85">
        <f>SUMIF(GERAL!B$8:B$1696,A379,GERAL!AM$8:AM$1696)</f>
        <v>0</v>
      </c>
      <c r="X379" s="85">
        <f>SUMIF(GERAL!B$8:B$1696,A379,GERAL!AQ$8:AQ$1696)</f>
        <v>43</v>
      </c>
      <c r="Y379" s="85">
        <f>SUMIF(GERAL!B$8:B$1696,A379,GERAL!AU$8:AU$1696)</f>
        <v>0</v>
      </c>
      <c r="Z379" s="88">
        <f t="shared" si="40"/>
        <v>43</v>
      </c>
      <c r="AA379" s="116">
        <f>COUNTIFS(GERAL!B$8:B$1696,A379,GERAL!BK$8:BK$1696,"&gt;0",GERAL!C$8:C$1696,"ESCOLA")</f>
        <v>1</v>
      </c>
      <c r="AB379" s="88">
        <f>COUNTIFS(GERAL!B$8:B$1696,A379,GERAL!BK$8:BK$1696,"&gt;0",GERAL!C$8:C$1696,"ANEXO")</f>
        <v>0</v>
      </c>
      <c r="AC379" s="121">
        <f>SUMIF(GERAL!B$8:B$1696,A379,GERAL!AD$8:AD$1696)</f>
        <v>0</v>
      </c>
      <c r="AD379" s="121">
        <f>SUMIF(GERAL!B$8:B$1696,A379,GERAL!AI$8:AI$1696)</f>
        <v>104</v>
      </c>
      <c r="AE379" s="121">
        <f>SUMIF(GERAL!B$8:B$1696,A379,GERAL!AV$8:AV$1696)</f>
        <v>10</v>
      </c>
      <c r="AF379" s="492">
        <f t="shared" si="41"/>
        <v>114</v>
      </c>
      <c r="AG379" s="178">
        <f>COUNTIFS(GERAL!B$8:B$1696,A379,GERAL!AW$8:AW$1696,"&gt;0",GERAL!C$8:C$1696,"ESCOLA")</f>
        <v>1</v>
      </c>
      <c r="AH379" s="118">
        <f>COUNTIFS(GERAL!B$8:B$1696,A379,GERAL!AW$8:AW$1696,"&gt;0",GERAL!C$8:C$1696,"ANEXO")</f>
        <v>0</v>
      </c>
      <c r="AI379" s="177">
        <f>SUMIF(GERAL!B$8:B$1696,A379,GERAL!AS$8:AS$1696)+SUMIF(GERAL!B$8:B$1696,A379,GERAL!AT$8:AT$1696)</f>
        <v>0</v>
      </c>
      <c r="AJ379" s="177">
        <f>SUMIF(GERAL!B$8:B$1696,A379,GERAL!AU$8:AU$1696)</f>
        <v>0</v>
      </c>
      <c r="AK379" s="177">
        <f>SUMIF(GERAL!B$8:B$1696,A379,GERAL!AV$8:AV$1696)</f>
        <v>10</v>
      </c>
      <c r="AL379" s="118">
        <f t="shared" si="42"/>
        <v>10</v>
      </c>
      <c r="AM379" s="493" t="s">
        <v>723</v>
      </c>
    </row>
    <row r="380">
      <c r="A380" s="484" t="s">
        <v>9148</v>
      </c>
      <c r="B380" s="75">
        <f>COUNTIFS(GERAL!B$8:B$1696,A380,GERAL!C$8:C$1696,"ESCOLA")</f>
        <v>2</v>
      </c>
      <c r="C380" s="75">
        <f>COUNTIFS(GERAL!B$8:B$1696,A380,GERAL!C$8:C$1696,"ANEXO")</f>
        <v>1</v>
      </c>
      <c r="D380" s="85">
        <f>SUMIF(GERAL!B$8:B$1696,A380,GERAL!Z$8:Z$1696)</f>
        <v>0</v>
      </c>
      <c r="E380" s="85">
        <f>SUMIF(GERAL!B$8:B$1696,A380,GERAL!AE$8:AE$1696)</f>
        <v>0</v>
      </c>
      <c r="F380" s="85">
        <f>SUMIF(GERAL!B$8:B$1696,A380,GERAL!AJ$8:AJ$1696)</f>
        <v>1068</v>
      </c>
      <c r="G380" s="85">
        <f>SUMIF(GERAL!B$8:B$1696,A380,GERAL!AN$8:AN$1696)</f>
        <v>0</v>
      </c>
      <c r="H380" s="85">
        <f>SUMIF(GERAL!B$8:B$1696,A380,GERAL!AR$8:AW$1696)</f>
        <v>209</v>
      </c>
      <c r="I380" s="85">
        <f>SUMIF(GERAL!B$8:B$1696,A380,GERAL!AW$8:AW$1696)</f>
        <v>97</v>
      </c>
      <c r="J380" s="75">
        <f>SUMIF(GERAL!B$8:B$1696,A380,GERAL!AX$8:AX$1696)</f>
        <v>1374</v>
      </c>
      <c r="K380" s="75">
        <f>COUNTIFS(GERAL!B$8:B$1696,A380,GERAL!AY$8:AY$1696,"&gt;0",GERAL!C$8:C$1696,"ESCOLA")</f>
        <v>2</v>
      </c>
      <c r="L380" s="75">
        <f>COUNTIFS(GERAL!B$8:B$1696,A380,GERAL!AY$8:AY$1696,"&gt;0",GERAL!C$8:C$1696,"ANEXO")</f>
        <v>1</v>
      </c>
      <c r="M380" s="100">
        <f>SUMIF(GERAL!B$8:B$1696,A380,GERAL!V$8:V$1696)+SUMIF(GERAL!B$8:B$1696,A380,GERAL!W$8:W$1696)</f>
        <v>0</v>
      </c>
      <c r="N380" s="100">
        <f>SUMIF(GERAL!B$8:B$1696,A380,GERAL!AA$8:AA$1696)+SUMIF(GERAL!B$8:B$1696,A380,GERAL!AB$8:AB$1696)</f>
        <v>0</v>
      </c>
      <c r="O380" s="100">
        <f>SUMIF(GERAL!B$8:B$1696,A380,GERAL!AF$8:AF$1696)+SUMIF(GERAL!B$8:B$1696,A380,GERAL!AG$8:AG$1696)</f>
        <v>915</v>
      </c>
      <c r="P380" s="100">
        <f>SUMIF(GERAL!B$8:B$1696,A380,GERAL!AK$8:AK$1696)+SUMIF(GERAL!B$8:B$1696,A380,GERAL!AL$8:AL$1696)</f>
        <v>0</v>
      </c>
      <c r="Q380" s="100">
        <f>SUMIF(GERAL!B$8:B$1696,A380,GERAL!AO$8:AO$1696)+SUMIF(GERAL!B$8:B$1696,A380,GERAL!AP$8:AP$1696)</f>
        <v>0</v>
      </c>
      <c r="R380" s="100">
        <f>SUMIF(GERAL!B$8:B$1696,A380,GERAL!AS$8:AS$1696)+SUMIF(GERAL!B$8:B$1696,A380,GERAL!AT$8:AT$1696)</f>
        <v>0</v>
      </c>
      <c r="S380" s="75">
        <f t="shared" si="39"/>
        <v>915</v>
      </c>
      <c r="T380" s="116">
        <f>COUNTIFS(GERAL!B$8:B$1696,A380,GERAL!AZ$8:AZ$1696,"&gt;0",GERAL!C$8:C$1696,"ESCOLA")</f>
        <v>2</v>
      </c>
      <c r="U380" s="75">
        <f>COUNTIFS(GERAL!B$8:B$1696,A380,GERAL!AZ$8:AZ$1696,"&gt;0",GERAL!C$8:C$1696,"ANEXO")</f>
        <v>1</v>
      </c>
      <c r="V380" s="85">
        <f>SUMIF(GERAL!B$8:B$1696,A380,GERAL!AH$8:AH$1696)</f>
        <v>0</v>
      </c>
      <c r="W380" s="85">
        <f>SUMIF(GERAL!B$8:B$1696,A380,GERAL!AM$8:AM$1696)</f>
        <v>0</v>
      </c>
      <c r="X380" s="85">
        <f>SUMIF(GERAL!B$8:B$1696,A380,GERAL!AQ$8:AQ$1696)</f>
        <v>209</v>
      </c>
      <c r="Y380" s="85">
        <f>SUMIF(GERAL!B$8:B$1696,A380,GERAL!AU$8:AU$1696)</f>
        <v>97</v>
      </c>
      <c r="Z380" s="88">
        <f t="shared" si="40"/>
        <v>306</v>
      </c>
      <c r="AA380" s="116">
        <f>COUNTIFS(GERAL!B$8:B$1696,A380,GERAL!BK$8:BK$1696,"&gt;0",GERAL!C$8:C$1696,"ESCOLA")</f>
        <v>1</v>
      </c>
      <c r="AB380" s="88">
        <f>COUNTIFS(GERAL!B$8:B$1696,A380,GERAL!BK$8:BK$1696,"&gt;0",GERAL!C$8:C$1696,"ANEXO")</f>
        <v>0</v>
      </c>
      <c r="AC380" s="121">
        <f>SUMIF(GERAL!B$8:B$1696,A380,GERAL!AD$8:AD$1696)</f>
        <v>0</v>
      </c>
      <c r="AD380" s="121">
        <f>SUMIF(GERAL!B$8:B$1696,A380,GERAL!AI$8:AI$1696)</f>
        <v>153</v>
      </c>
      <c r="AE380" s="121">
        <f>SUMIF(GERAL!B$8:B$1696,A380,GERAL!AV$8:AV$1696)</f>
        <v>0</v>
      </c>
      <c r="AF380" s="492">
        <f t="shared" si="41"/>
        <v>153</v>
      </c>
      <c r="AG380" s="178">
        <f>COUNTIFS(GERAL!B$8:B$1696,A380,GERAL!AW$8:AW$1696,"&gt;0",GERAL!C$8:C$1696,"ESCOLA")</f>
        <v>1</v>
      </c>
      <c r="AH380" s="118">
        <f>COUNTIFS(GERAL!B$8:B$1696,A380,GERAL!AW$8:AW$1696,"&gt;0",GERAL!C$8:C$1696,"ANEXO")</f>
        <v>0</v>
      </c>
      <c r="AI380" s="177">
        <f>SUMIF(GERAL!B$8:B$1696,A380,GERAL!AS$8:AS$1696)+SUMIF(GERAL!B$8:B$1696,A380,GERAL!AT$8:AT$1696)</f>
        <v>0</v>
      </c>
      <c r="AJ380" s="177">
        <f>SUMIF(GERAL!B$8:B$1696,A380,GERAL!AU$8:AU$1696)</f>
        <v>97</v>
      </c>
      <c r="AK380" s="177">
        <f>SUMIF(GERAL!B$8:B$1696,A380,GERAL!AV$8:AV$1696)</f>
        <v>0</v>
      </c>
      <c r="AL380" s="118">
        <f t="shared" si="42"/>
        <v>97</v>
      </c>
      <c r="AM380" s="493" t="s">
        <v>1785</v>
      </c>
    </row>
    <row r="381">
      <c r="A381" s="494" t="s">
        <v>6770</v>
      </c>
      <c r="B381" s="75">
        <f>COUNTIFS(GERAL!B$8:B$1696,A381,GERAL!C$8:C$1696,"ESCOLA")</f>
        <v>3</v>
      </c>
      <c r="C381" s="75">
        <f>COUNTIFS(GERAL!B$8:B$1696,A381,GERAL!C$8:C$1696,"ANEXO")</f>
        <v>0</v>
      </c>
      <c r="D381" s="85">
        <f>SUMIF(GERAL!B$8:B$1696,A381,GERAL!Z$8:Z$1696)</f>
        <v>0</v>
      </c>
      <c r="E381" s="85">
        <f>SUMIF(GERAL!B$8:B$1696,A381,GERAL!AE$8:AE$1696)</f>
        <v>0</v>
      </c>
      <c r="F381" s="85">
        <f>SUMIF(GERAL!B$8:B$1696,A381,GERAL!AJ$8:AJ$1696)</f>
        <v>598</v>
      </c>
      <c r="G381" s="85">
        <f>SUMIF(GERAL!B$8:B$1696,A381,GERAL!AN$8:AN$1696)</f>
        <v>0</v>
      </c>
      <c r="H381" s="85">
        <f>SUMIF(GERAL!B$8:B$1696,A381,GERAL!AR$8:AW$1696)</f>
        <v>103</v>
      </c>
      <c r="I381" s="85">
        <f>SUMIF(GERAL!B$8:B$1696,A381,GERAL!AW$8:AW$1696)</f>
        <v>431</v>
      </c>
      <c r="J381" s="75">
        <f>SUMIF(GERAL!B$8:B$1696,A381,GERAL!AX$8:AX$1696)</f>
        <v>1132</v>
      </c>
      <c r="K381" s="75">
        <f>COUNTIFS(GERAL!B$8:B$1696,A381,GERAL!AY$8:AY$1696,"&gt;0",GERAL!C$8:C$1696,"ESCOLA")</f>
        <v>3</v>
      </c>
      <c r="L381" s="75">
        <f>COUNTIFS(GERAL!B$8:B$1696,A381,GERAL!AY$8:AY$1696,"&gt;0",GERAL!C$8:C$1696,"ANEXO")</f>
        <v>0</v>
      </c>
      <c r="M381" s="100">
        <f>SUMIF(GERAL!B$8:B$1696,A381,GERAL!V$8:V$1696)+SUMIF(GERAL!B$8:B$1696,A381,GERAL!W$8:W$1696)</f>
        <v>0</v>
      </c>
      <c r="N381" s="100">
        <f>SUMIF(GERAL!B$8:B$1696,A381,GERAL!AA$8:AA$1696)+SUMIF(GERAL!B$8:B$1696,A381,GERAL!AB$8:AB$1696)</f>
        <v>0</v>
      </c>
      <c r="O381" s="100">
        <f>SUMIF(GERAL!B$8:B$1696,A381,GERAL!AF$8:AF$1696)+SUMIF(GERAL!B$8:B$1696,A381,GERAL!AG$8:AG$1696)</f>
        <v>314</v>
      </c>
      <c r="P381" s="100">
        <f>SUMIF(GERAL!B$8:B$1696,A381,GERAL!AK$8:AK$1696)+SUMIF(GERAL!B$8:B$1696,A381,GERAL!AL$8:AL$1696)</f>
        <v>0</v>
      </c>
      <c r="Q381" s="100">
        <f>SUMIF(GERAL!B$8:B$1696,A381,GERAL!AO$8:AO$1696)+SUMIF(GERAL!B$8:B$1696,A381,GERAL!AP$8:AP$1696)</f>
        <v>0</v>
      </c>
      <c r="R381" s="100">
        <f>SUMIF(GERAL!B$8:B$1696,A381,GERAL!AS$8:AS$1696)+SUMIF(GERAL!B$8:B$1696,A381,GERAL!AT$8:AT$1696)</f>
        <v>266</v>
      </c>
      <c r="S381" s="75">
        <f t="shared" si="39"/>
        <v>580</v>
      </c>
      <c r="T381" s="116">
        <f>COUNTIFS(GERAL!B$8:B$1696,A381,GERAL!AZ$8:AZ$1696,"&gt;0",GERAL!C$8:C$1696,"ESCOLA")</f>
        <v>2</v>
      </c>
      <c r="U381" s="75">
        <f>COUNTIFS(GERAL!B$8:B$1696,A381,GERAL!AZ$8:AZ$1696,"&gt;0",GERAL!C$8:C$1696,"ANEXO")</f>
        <v>0</v>
      </c>
      <c r="V381" s="85">
        <f>SUMIF(GERAL!B$8:B$1696,A381,GERAL!AH$8:AH$1696)</f>
        <v>0</v>
      </c>
      <c r="W381" s="85">
        <f>SUMIF(GERAL!B$8:B$1696,A381,GERAL!AM$8:AM$1696)</f>
        <v>0</v>
      </c>
      <c r="X381" s="85">
        <f>SUMIF(GERAL!B$8:B$1696,A381,GERAL!AQ$8:AQ$1696)</f>
        <v>103</v>
      </c>
      <c r="Y381" s="85">
        <f>SUMIF(GERAL!B$8:B$1696,A381,GERAL!AU$8:AU$1696)</f>
        <v>165</v>
      </c>
      <c r="Z381" s="88">
        <f t="shared" si="40"/>
        <v>268</v>
      </c>
      <c r="AA381" s="116">
        <f>COUNTIFS(GERAL!B$8:B$1696,A381,GERAL!BK$8:BK$1696,"&gt;0",GERAL!C$8:C$1696,"ESCOLA")</f>
        <v>1</v>
      </c>
      <c r="AB381" s="88">
        <f>COUNTIFS(GERAL!B$8:B$1696,A381,GERAL!BK$8:BK$1696,"&gt;0",GERAL!C$8:C$1696,"ANEXO")</f>
        <v>0</v>
      </c>
      <c r="AC381" s="121">
        <f>SUMIF(GERAL!B$8:B$1696,A381,GERAL!AD$8:AD$1696)</f>
        <v>0</v>
      </c>
      <c r="AD381" s="121">
        <f>SUMIF(GERAL!B$8:B$1696,A381,GERAL!AI$8:AI$1696)</f>
        <v>284</v>
      </c>
      <c r="AE381" s="121">
        <f>SUMIF(GERAL!B$8:B$1696,A381,GERAL!AV$8:AV$1696)</f>
        <v>0</v>
      </c>
      <c r="AF381" s="492">
        <f t="shared" si="41"/>
        <v>284</v>
      </c>
      <c r="AG381" s="178">
        <f>COUNTIFS(GERAL!B$8:B$1696,A381,GERAL!AW$8:AW$1696,"&gt;0",GERAL!C$8:C$1696,"ESCOLA")</f>
        <v>1</v>
      </c>
      <c r="AH381" s="118">
        <f>COUNTIFS(GERAL!B$8:B$1696,A381,GERAL!AW$8:AW$1696,"&gt;0",GERAL!C$8:C$1696,"ANEXO")</f>
        <v>0</v>
      </c>
      <c r="AI381" s="177">
        <f>SUMIF(GERAL!B$8:B$1696,A381,GERAL!AS$8:AS$1696)+SUMIF(GERAL!B$8:B$1696,A381,GERAL!AT$8:AT$1696)</f>
        <v>266</v>
      </c>
      <c r="AJ381" s="177">
        <f>SUMIF(GERAL!B$8:B$1696,A381,GERAL!AU$8:AU$1696)</f>
        <v>165</v>
      </c>
      <c r="AK381" s="177">
        <f>SUMIF(GERAL!B$8:B$1696,A381,GERAL!AV$8:AV$1696)</f>
        <v>0</v>
      </c>
      <c r="AL381" s="118">
        <f t="shared" si="42"/>
        <v>431</v>
      </c>
      <c r="AM381" s="493" t="s">
        <v>1463</v>
      </c>
    </row>
    <row r="382">
      <c r="A382" s="484" t="s">
        <v>2524</v>
      </c>
      <c r="B382" s="75">
        <f>COUNTIFS(GERAL!B$8:B$1696,A382,GERAL!C$8:C$1696,"ESCOLA")</f>
        <v>1</v>
      </c>
      <c r="C382" s="75">
        <f>COUNTIFS(GERAL!B$8:B$1696,A382,GERAL!C$8:C$1696,"ANEXO")</f>
        <v>0</v>
      </c>
      <c r="D382" s="85">
        <f>SUMIF(GERAL!B$8:B$1696,A382,GERAL!Z$8:Z$1696)</f>
        <v>0</v>
      </c>
      <c r="E382" s="85">
        <f>SUMIF(GERAL!B$8:B$1696,A382,GERAL!AE$8:AE$1696)</f>
        <v>0</v>
      </c>
      <c r="F382" s="85">
        <f>SUMIF(GERAL!B$8:B$1696,A382,GERAL!AJ$8:AJ$1696)</f>
        <v>218</v>
      </c>
      <c r="G382" s="85">
        <f>SUMIF(GERAL!B$8:B$1696,A382,GERAL!AN$8:AN$1696)</f>
        <v>0</v>
      </c>
      <c r="H382" s="85">
        <f>SUMIF(GERAL!B$8:B$1696,A382,GERAL!AR$8:AW$1696)</f>
        <v>272</v>
      </c>
      <c r="I382" s="85">
        <f>SUMIF(GERAL!B$8:B$1696,A382,GERAL!AW$8:AW$1696)</f>
        <v>137</v>
      </c>
      <c r="J382" s="75">
        <f>SUMIF(GERAL!B$8:B$1696,A382,GERAL!AX$8:AX$1696)</f>
        <v>627</v>
      </c>
      <c r="K382" s="75">
        <f>COUNTIFS(GERAL!B$8:B$1696,A382,GERAL!AY$8:AY$1696,"&gt;0",GERAL!C$8:C$1696,"ESCOLA")</f>
        <v>1</v>
      </c>
      <c r="L382" s="75">
        <f>COUNTIFS(GERAL!B$8:B$1696,A382,GERAL!AY$8:AY$1696,"&gt;0",GERAL!C$8:C$1696,"ANEXO")</f>
        <v>0</v>
      </c>
      <c r="M382" s="100">
        <f>SUMIF(GERAL!B$8:B$1696,A382,GERAL!V$8:V$1696)+SUMIF(GERAL!B$8:B$1696,A382,GERAL!W$8:W$1696)</f>
        <v>0</v>
      </c>
      <c r="N382" s="100">
        <f>SUMIF(GERAL!B$8:B$1696,A382,GERAL!AA$8:AA$1696)+SUMIF(GERAL!B$8:B$1696,A382,GERAL!AB$8:AB$1696)</f>
        <v>0</v>
      </c>
      <c r="O382" s="100">
        <f>SUMIF(GERAL!B$8:B$1696,A382,GERAL!AF$8:AF$1696)+SUMIF(GERAL!B$8:B$1696,A382,GERAL!AG$8:AG$1696)</f>
        <v>38</v>
      </c>
      <c r="P382" s="100">
        <f>SUMIF(GERAL!B$8:B$1696,A382,GERAL!AK$8:AK$1696)+SUMIF(GERAL!B$8:B$1696,A382,GERAL!AL$8:AL$1696)</f>
        <v>0</v>
      </c>
      <c r="Q382" s="100">
        <f>SUMIF(GERAL!B$8:B$1696,A382,GERAL!AO$8:AO$1696)+SUMIF(GERAL!B$8:B$1696,A382,GERAL!AP$8:AP$1696)</f>
        <v>0</v>
      </c>
      <c r="R382" s="100">
        <f>SUMIF(GERAL!B$8:B$1696,A382,GERAL!AS$8:AS$1696)+SUMIF(GERAL!B$8:B$1696,A382,GERAL!AT$8:AT$1696)</f>
        <v>0</v>
      </c>
      <c r="S382" s="75">
        <f t="shared" si="39"/>
        <v>38</v>
      </c>
      <c r="T382" s="116">
        <f>COUNTIFS(GERAL!B$8:B$1696,A382,GERAL!AZ$8:AZ$1696,"&gt;0",GERAL!C$8:C$1696,"ESCOLA")</f>
        <v>1</v>
      </c>
      <c r="U382" s="75">
        <f>COUNTIFS(GERAL!B$8:B$1696,A382,GERAL!AZ$8:AZ$1696,"&gt;0",GERAL!C$8:C$1696,"ANEXO")</f>
        <v>0</v>
      </c>
      <c r="V382" s="85">
        <f>SUMIF(GERAL!B$8:B$1696,A382,GERAL!AH$8:AH$1696)</f>
        <v>0</v>
      </c>
      <c r="W382" s="85">
        <f>SUMIF(GERAL!B$8:B$1696,A382,GERAL!AM$8:AM$1696)</f>
        <v>0</v>
      </c>
      <c r="X382" s="85">
        <f>SUMIF(GERAL!B$8:B$1696,A382,GERAL!AQ$8:AQ$1696)</f>
        <v>272</v>
      </c>
      <c r="Y382" s="85">
        <f>SUMIF(GERAL!B$8:B$1696,A382,GERAL!AU$8:AU$1696)</f>
        <v>0</v>
      </c>
      <c r="Z382" s="88">
        <f t="shared" si="40"/>
        <v>272</v>
      </c>
      <c r="AA382" s="116">
        <f>COUNTIFS(GERAL!B$8:B$1696,A382,GERAL!BK$8:BK$1696,"&gt;0",GERAL!C$8:C$1696,"ESCOLA")</f>
        <v>1</v>
      </c>
      <c r="AB382" s="88">
        <f>COUNTIFS(GERAL!B$8:B$1696,A382,GERAL!BK$8:BK$1696,"&gt;0",GERAL!C$8:C$1696,"ANEXO")</f>
        <v>0</v>
      </c>
      <c r="AC382" s="121">
        <f>SUMIF(GERAL!B$8:B$1696,A382,GERAL!AD$8:AD$1696)</f>
        <v>0</v>
      </c>
      <c r="AD382" s="121">
        <f>SUMIF(GERAL!B$8:B$1696,A382,GERAL!AI$8:AI$1696)</f>
        <v>180</v>
      </c>
      <c r="AE382" s="121">
        <f>SUMIF(GERAL!B$8:B$1696,A382,GERAL!AV$8:AV$1696)</f>
        <v>137</v>
      </c>
      <c r="AF382" s="492">
        <f t="shared" si="41"/>
        <v>317</v>
      </c>
      <c r="AG382" s="178">
        <f>COUNTIFS(GERAL!B$8:B$1696,A382,GERAL!AW$8:AW$1696,"&gt;0",GERAL!C$8:C$1696,"ESCOLA")</f>
        <v>1</v>
      </c>
      <c r="AH382" s="118">
        <f>COUNTIFS(GERAL!B$8:B$1696,A382,GERAL!AW$8:AW$1696,"&gt;0",GERAL!C$8:C$1696,"ANEXO")</f>
        <v>0</v>
      </c>
      <c r="AI382" s="177">
        <f>SUMIF(GERAL!B$8:B$1696,A382,GERAL!AS$8:AS$1696)+SUMIF(GERAL!B$8:B$1696,A382,GERAL!AT$8:AT$1696)</f>
        <v>0</v>
      </c>
      <c r="AJ382" s="177">
        <f>SUMIF(GERAL!B$8:B$1696,A382,GERAL!AU$8:AU$1696)</f>
        <v>0</v>
      </c>
      <c r="AK382" s="177">
        <f>SUMIF(GERAL!B$8:B$1696,A382,GERAL!AV$8:AV$1696)</f>
        <v>137</v>
      </c>
      <c r="AL382" s="118">
        <f t="shared" si="42"/>
        <v>137</v>
      </c>
      <c r="AM382" s="493" t="s">
        <v>1281</v>
      </c>
    </row>
    <row r="383">
      <c r="A383" s="494" t="s">
        <v>6789</v>
      </c>
      <c r="B383" s="75">
        <f>COUNTIFS(GERAL!B$8:B$1696,A383,GERAL!C$8:C$1696,"ESCOLA")</f>
        <v>1</v>
      </c>
      <c r="C383" s="75">
        <f>COUNTIFS(GERAL!B$8:B$1696,A383,GERAL!C$8:C$1696,"ANEXO")</f>
        <v>0</v>
      </c>
      <c r="D383" s="85">
        <f>SUMIF(GERAL!B$8:B$1696,A383,GERAL!Z$8:Z$1696)</f>
        <v>0</v>
      </c>
      <c r="E383" s="85">
        <f>SUMIF(GERAL!B$8:B$1696,A383,GERAL!AE$8:AE$1696)</f>
        <v>0</v>
      </c>
      <c r="F383" s="85">
        <f>SUMIF(GERAL!B$8:B$1696,A383,GERAL!AJ$8:AJ$1696)</f>
        <v>168</v>
      </c>
      <c r="G383" s="85">
        <f>SUMIF(GERAL!B$8:B$1696,A383,GERAL!AN$8:AN$1696)</f>
        <v>0</v>
      </c>
      <c r="H383" s="85">
        <f>SUMIF(GERAL!B$8:B$1696,A383,GERAL!AR$8:AW$1696)</f>
        <v>71</v>
      </c>
      <c r="I383" s="85">
        <f>SUMIF(GERAL!B$8:B$1696,A383,GERAL!AW$8:AW$1696)</f>
        <v>280</v>
      </c>
      <c r="J383" s="75">
        <f>SUMIF(GERAL!B$8:B$1696,A383,GERAL!AX$8:AX$1696)</f>
        <v>519</v>
      </c>
      <c r="K383" s="75">
        <f>COUNTIFS(GERAL!B$8:B$1696,A383,GERAL!AY$8:AY$1696,"&gt;0",GERAL!C$8:C$1696,"ESCOLA")</f>
        <v>1</v>
      </c>
      <c r="L383" s="75">
        <f>COUNTIFS(GERAL!B$8:B$1696,A383,GERAL!AY$8:AY$1696,"&gt;0",GERAL!C$8:C$1696,"ANEXO")</f>
        <v>0</v>
      </c>
      <c r="M383" s="100">
        <f>SUMIF(GERAL!B$8:B$1696,A383,GERAL!V$8:V$1696)+SUMIF(GERAL!B$8:B$1696,A383,GERAL!W$8:W$1696)</f>
        <v>0</v>
      </c>
      <c r="N383" s="100">
        <f>SUMIF(GERAL!B$8:B$1696,A383,GERAL!AA$8:AA$1696)+SUMIF(GERAL!B$8:B$1696,A383,GERAL!AB$8:AB$1696)</f>
        <v>0</v>
      </c>
      <c r="O383" s="100">
        <f>SUMIF(GERAL!B$8:B$1696,A383,GERAL!AF$8:AF$1696)+SUMIF(GERAL!B$8:B$1696,A383,GERAL!AG$8:AG$1696)</f>
        <v>0</v>
      </c>
      <c r="P383" s="100">
        <f>SUMIF(GERAL!B$8:B$1696,A383,GERAL!AK$8:AK$1696)+SUMIF(GERAL!B$8:B$1696,A383,GERAL!AL$8:AL$1696)</f>
        <v>0</v>
      </c>
      <c r="Q383" s="100">
        <f>SUMIF(GERAL!B$8:B$1696,A383,GERAL!AO$8:AO$1696)+SUMIF(GERAL!B$8:B$1696,A383,GERAL!AP$8:AP$1696)</f>
        <v>0</v>
      </c>
      <c r="R383" s="100">
        <f>SUMIF(GERAL!B$8:B$1696,A383,GERAL!AS$8:AS$1696)+SUMIF(GERAL!B$8:B$1696,A383,GERAL!AT$8:AT$1696)</f>
        <v>50</v>
      </c>
      <c r="S383" s="75">
        <f t="shared" si="39"/>
        <v>50</v>
      </c>
      <c r="T383" s="116">
        <f>COUNTIFS(GERAL!B$8:B$1696,A383,GERAL!AZ$8:AZ$1696,"&gt;0",GERAL!C$8:C$1696,"ESCOLA")</f>
        <v>1</v>
      </c>
      <c r="U383" s="75">
        <f>COUNTIFS(GERAL!B$8:B$1696,A383,GERAL!AZ$8:AZ$1696,"&gt;0",GERAL!C$8:C$1696,"ANEXO")</f>
        <v>0</v>
      </c>
      <c r="V383" s="85">
        <f>SUMIF(GERAL!B$8:B$1696,A383,GERAL!AH$8:AH$1696)</f>
        <v>0</v>
      </c>
      <c r="W383" s="85">
        <f>SUMIF(GERAL!B$8:B$1696,A383,GERAL!AM$8:AM$1696)</f>
        <v>0</v>
      </c>
      <c r="X383" s="85">
        <f>SUMIF(GERAL!B$8:B$1696,A383,GERAL!AQ$8:AQ$1696)</f>
        <v>71</v>
      </c>
      <c r="Y383" s="85">
        <f>SUMIF(GERAL!B$8:B$1696,A383,GERAL!AU$8:AU$1696)</f>
        <v>58</v>
      </c>
      <c r="Z383" s="88">
        <f t="shared" si="40"/>
        <v>129</v>
      </c>
      <c r="AA383" s="116">
        <f>COUNTIFS(GERAL!B$8:B$1696,A383,GERAL!BK$8:BK$1696,"&gt;0",GERAL!C$8:C$1696,"ESCOLA")</f>
        <v>1</v>
      </c>
      <c r="AB383" s="88">
        <f>COUNTIFS(GERAL!B$8:B$1696,A383,GERAL!BK$8:BK$1696,"&gt;0",GERAL!C$8:C$1696,"ANEXO")</f>
        <v>0</v>
      </c>
      <c r="AC383" s="121">
        <f>SUMIF(GERAL!B$8:B$1696,A383,GERAL!AD$8:AD$1696)</f>
        <v>0</v>
      </c>
      <c r="AD383" s="121">
        <f>SUMIF(GERAL!B$8:B$1696,A383,GERAL!AI$8:AI$1696)</f>
        <v>168</v>
      </c>
      <c r="AE383" s="121">
        <f>SUMIF(GERAL!B$8:B$1696,A383,GERAL!AV$8:AV$1696)</f>
        <v>172</v>
      </c>
      <c r="AF383" s="492">
        <f t="shared" si="41"/>
        <v>340</v>
      </c>
      <c r="AG383" s="178">
        <f>COUNTIFS(GERAL!B$8:B$1696,A383,GERAL!AW$8:AW$1696,"&gt;0",GERAL!C$8:C$1696,"ESCOLA")</f>
        <v>1</v>
      </c>
      <c r="AH383" s="118">
        <f>COUNTIFS(GERAL!B$8:B$1696,A383,GERAL!AW$8:AW$1696,"&gt;0",GERAL!C$8:C$1696,"ANEXO")</f>
        <v>0</v>
      </c>
      <c r="AI383" s="177">
        <f>SUMIF(GERAL!B$8:B$1696,A383,GERAL!AS$8:AS$1696)+SUMIF(GERAL!B$8:B$1696,A383,GERAL!AT$8:AT$1696)</f>
        <v>50</v>
      </c>
      <c r="AJ383" s="177">
        <f>SUMIF(GERAL!B$8:B$1696,A383,GERAL!AU$8:AU$1696)</f>
        <v>58</v>
      </c>
      <c r="AK383" s="177">
        <f>SUMIF(GERAL!B$8:B$1696,A383,GERAL!AV$8:AV$1696)</f>
        <v>172</v>
      </c>
      <c r="AL383" s="118">
        <f t="shared" si="42"/>
        <v>280</v>
      </c>
      <c r="AM383" s="493" t="s">
        <v>1463</v>
      </c>
    </row>
    <row r="384">
      <c r="A384" s="484" t="s">
        <v>4960</v>
      </c>
      <c r="B384" s="75">
        <f>COUNTIFS(GERAL!B$8:B$1696,A384,GERAL!C$8:C$1696,"ESCOLA")</f>
        <v>1</v>
      </c>
      <c r="C384" s="75">
        <f>COUNTIFS(GERAL!B$8:B$1696,A384,GERAL!C$8:C$1696,"ANEXO")</f>
        <v>0</v>
      </c>
      <c r="D384" s="85">
        <f>SUMIF(GERAL!B$8:B$1696,A384,GERAL!Z$8:Z$1696)</f>
        <v>0</v>
      </c>
      <c r="E384" s="85">
        <f>SUMIF(GERAL!B$8:B$1696,A384,GERAL!AE$8:AE$1696)</f>
        <v>0</v>
      </c>
      <c r="F384" s="85">
        <f>SUMIF(GERAL!B$8:B$1696,A384,GERAL!AJ$8:AJ$1696)</f>
        <v>135</v>
      </c>
      <c r="G384" s="85">
        <f>SUMIF(GERAL!B$8:B$1696,A384,GERAL!AN$8:AN$1696)</f>
        <v>0</v>
      </c>
      <c r="H384" s="85">
        <f>SUMIF(GERAL!B$8:B$1696,A384,GERAL!AR$8:AW$1696)</f>
        <v>66</v>
      </c>
      <c r="I384" s="85">
        <f>SUMIF(GERAL!B$8:B$1696,A384,GERAL!AW$8:AW$1696)</f>
        <v>241</v>
      </c>
      <c r="J384" s="75">
        <f>SUMIF(GERAL!B$8:B$1696,A384,GERAL!AX$8:AX$1696)</f>
        <v>442</v>
      </c>
      <c r="K384" s="75">
        <f>COUNTIFS(GERAL!B$8:B$1696,A384,GERAL!AY$8:AY$1696,"&gt;0",GERAL!C$8:C$1696,"ESCOLA")</f>
        <v>1</v>
      </c>
      <c r="L384" s="75">
        <f>COUNTIFS(GERAL!B$8:B$1696,A384,GERAL!AY$8:AY$1696,"&gt;0",GERAL!C$8:C$1696,"ANEXO")</f>
        <v>0</v>
      </c>
      <c r="M384" s="100">
        <f>SUMIF(GERAL!B$8:B$1696,A384,GERAL!V$8:V$1696)+SUMIF(GERAL!B$8:B$1696,A384,GERAL!W$8:W$1696)</f>
        <v>0</v>
      </c>
      <c r="N384" s="100">
        <f>SUMIF(GERAL!B$8:B$1696,A384,GERAL!AA$8:AA$1696)+SUMIF(GERAL!B$8:B$1696,A384,GERAL!AB$8:AB$1696)</f>
        <v>0</v>
      </c>
      <c r="O384" s="100">
        <f>SUMIF(GERAL!B$8:B$1696,A384,GERAL!AF$8:AF$1696)+SUMIF(GERAL!B$8:B$1696,A384,GERAL!AG$8:AG$1696)</f>
        <v>0</v>
      </c>
      <c r="P384" s="100">
        <f>SUMIF(GERAL!B$8:B$1696,A384,GERAL!AK$8:AK$1696)+SUMIF(GERAL!B$8:B$1696,A384,GERAL!AL$8:AL$1696)</f>
        <v>0</v>
      </c>
      <c r="Q384" s="100">
        <f>SUMIF(GERAL!B$8:B$1696,A384,GERAL!AO$8:AO$1696)+SUMIF(GERAL!B$8:B$1696,A384,GERAL!AP$8:AP$1696)</f>
        <v>0</v>
      </c>
      <c r="R384" s="100">
        <f>SUMIF(GERAL!B$8:B$1696,A384,GERAL!AS$8:AS$1696)+SUMIF(GERAL!B$8:B$1696,A384,GERAL!AT$8:AT$1696)</f>
        <v>205</v>
      </c>
      <c r="S384" s="75">
        <f t="shared" si="39"/>
        <v>205</v>
      </c>
      <c r="T384" s="116">
        <f>COUNTIFS(GERAL!B$8:B$1696,A384,GERAL!AZ$8:AZ$1696,"&gt;0",GERAL!C$8:C$1696,"ESCOLA")</f>
        <v>1</v>
      </c>
      <c r="U384" s="75">
        <f>COUNTIFS(GERAL!B$8:B$1696,A384,GERAL!AZ$8:AZ$1696,"&gt;0",GERAL!C$8:C$1696,"ANEXO")</f>
        <v>0</v>
      </c>
      <c r="V384" s="85">
        <f>SUMIF(GERAL!B$8:B$1696,A384,GERAL!AH$8:AH$1696)</f>
        <v>0</v>
      </c>
      <c r="W384" s="85">
        <f>SUMIF(GERAL!B$8:B$1696,A384,GERAL!AM$8:AM$1696)</f>
        <v>0</v>
      </c>
      <c r="X384" s="85">
        <f>SUMIF(GERAL!B$8:B$1696,A384,GERAL!AQ$8:AQ$1696)</f>
        <v>66</v>
      </c>
      <c r="Y384" s="85">
        <f>SUMIF(GERAL!B$8:B$1696,A384,GERAL!AU$8:AU$1696)</f>
        <v>36</v>
      </c>
      <c r="Z384" s="88">
        <f t="shared" si="40"/>
        <v>102</v>
      </c>
      <c r="AA384" s="116">
        <f>COUNTIFS(GERAL!B$8:B$1696,A384,GERAL!BK$8:BK$1696,"&gt;0",GERAL!C$8:C$1696,"ESCOLA")</f>
        <v>1</v>
      </c>
      <c r="AB384" s="88">
        <f>COUNTIFS(GERAL!B$8:B$1696,A384,GERAL!BK$8:BK$1696,"&gt;0",GERAL!C$8:C$1696,"ANEXO")</f>
        <v>0</v>
      </c>
      <c r="AC384" s="121">
        <f>SUMIF(GERAL!B$8:B$1696,A384,GERAL!AD$8:AD$1696)</f>
        <v>0</v>
      </c>
      <c r="AD384" s="121">
        <f>SUMIF(GERAL!B$8:B$1696,A384,GERAL!AI$8:AI$1696)</f>
        <v>135</v>
      </c>
      <c r="AE384" s="121">
        <f>SUMIF(GERAL!B$8:B$1696,A384,GERAL!AV$8:AV$1696)</f>
        <v>0</v>
      </c>
      <c r="AF384" s="492">
        <f t="shared" si="41"/>
        <v>135</v>
      </c>
      <c r="AG384" s="178">
        <f>COUNTIFS(GERAL!B$8:B$1696,A384,GERAL!AW$8:AW$1696,"&gt;0",GERAL!C$8:C$1696,"ESCOLA")</f>
        <v>1</v>
      </c>
      <c r="AH384" s="118">
        <f>COUNTIFS(GERAL!B$8:B$1696,A384,GERAL!AW$8:AW$1696,"&gt;0",GERAL!C$8:C$1696,"ANEXO")</f>
        <v>0</v>
      </c>
      <c r="AI384" s="177">
        <f>SUMIF(GERAL!B$8:B$1696,A384,GERAL!AS$8:AS$1696)+SUMIF(GERAL!B$8:B$1696,A384,GERAL!AT$8:AT$1696)</f>
        <v>205</v>
      </c>
      <c r="AJ384" s="177">
        <f>SUMIF(GERAL!B$8:B$1696,A384,GERAL!AU$8:AU$1696)</f>
        <v>36</v>
      </c>
      <c r="AK384" s="177">
        <f>SUMIF(GERAL!B$8:B$1696,A384,GERAL!AV$8:AV$1696)</f>
        <v>0</v>
      </c>
      <c r="AL384" s="118">
        <f t="shared" si="42"/>
        <v>241</v>
      </c>
      <c r="AM384" s="493" t="s">
        <v>1161</v>
      </c>
    </row>
    <row r="385">
      <c r="A385" s="494" t="s">
        <v>1009</v>
      </c>
      <c r="B385" s="75">
        <f>COUNTIFS(GERAL!B$8:B$1696,A385,GERAL!C$8:C$1696,"ESCOLA")</f>
        <v>4</v>
      </c>
      <c r="C385" s="75">
        <f>COUNTIFS(GERAL!B$8:B$1696,A385,GERAL!C$8:C$1696,"ANEXO")</f>
        <v>4</v>
      </c>
      <c r="D385" s="85">
        <f>SUMIF(GERAL!B$8:B$1696,A385,GERAL!Z$8:Z$1696)</f>
        <v>0</v>
      </c>
      <c r="E385" s="85">
        <f>SUMIF(GERAL!B$8:B$1696,A385,GERAL!AE$8:AE$1696)</f>
        <v>71</v>
      </c>
      <c r="F385" s="85">
        <f>SUMIF(GERAL!B$8:B$1696,A385,GERAL!AJ$8:AJ$1696)</f>
        <v>1040</v>
      </c>
      <c r="G385" s="85">
        <f>SUMIF(GERAL!B$8:B$1696,A385,GERAL!AN$8:AN$1696)</f>
        <v>0</v>
      </c>
      <c r="H385" s="85">
        <f>SUMIF(GERAL!B$8:B$1696,A385,GERAL!AR$8:AW$1696)</f>
        <v>150</v>
      </c>
      <c r="I385" s="85">
        <f>SUMIF(GERAL!B$8:B$1696,A385,GERAL!AW$8:AW$1696)</f>
        <v>692</v>
      </c>
      <c r="J385" s="75">
        <f>SUMIF(GERAL!B$8:B$1696,A385,GERAL!AX$8:AX$1696)</f>
        <v>1953</v>
      </c>
      <c r="K385" s="75">
        <f>COUNTIFS(GERAL!B$8:B$1696,A385,GERAL!AY$8:AY$1696,"&gt;0",GERAL!C$8:C$1696,"ESCOLA")</f>
        <v>2</v>
      </c>
      <c r="L385" s="75">
        <f>COUNTIFS(GERAL!B$8:B$1696,A385,GERAL!AY$8:AY$1696,"&gt;0",GERAL!C$8:C$1696,"ANEXO")</f>
        <v>1</v>
      </c>
      <c r="M385" s="100">
        <f>SUMIF(GERAL!B$8:B$1696,A385,GERAL!V$8:V$1696)+SUMIF(GERAL!B$8:B$1696,A385,GERAL!W$8:W$1696)</f>
        <v>0</v>
      </c>
      <c r="N385" s="100">
        <f>SUMIF(GERAL!B$8:B$1696,A385,GERAL!AA$8:AA$1696)+SUMIF(GERAL!B$8:B$1696,A385,GERAL!AB$8:AB$1696)</f>
        <v>0</v>
      </c>
      <c r="O385" s="100">
        <f>SUMIF(GERAL!B$8:B$1696,A385,GERAL!AF$8:AF$1696)+SUMIF(GERAL!B$8:B$1696,A385,GERAL!AG$8:AG$1696)</f>
        <v>954</v>
      </c>
      <c r="P385" s="100">
        <f>SUMIF(GERAL!B$8:B$1696,A385,GERAL!AK$8:AK$1696)+SUMIF(GERAL!B$8:B$1696,A385,GERAL!AL$8:AL$1696)</f>
        <v>0</v>
      </c>
      <c r="Q385" s="100">
        <f>SUMIF(GERAL!B$8:B$1696,A385,GERAL!AO$8:AO$1696)+SUMIF(GERAL!B$8:B$1696,A385,GERAL!AP$8:AP$1696)</f>
        <v>0</v>
      </c>
      <c r="R385" s="100">
        <f>SUMIF(GERAL!B$8:B$1696,A385,GERAL!AS$8:AS$1696)+SUMIF(GERAL!B$8:B$1696,A385,GERAL!AT$8:AT$1696)</f>
        <v>525</v>
      </c>
      <c r="S385" s="75">
        <f t="shared" si="39"/>
        <v>1479</v>
      </c>
      <c r="T385" s="116">
        <f>COUNTIFS(GERAL!B$8:B$1696,A385,GERAL!AZ$8:AZ$1696,"&gt;0",GERAL!C$8:C$1696,"ESCOLA")</f>
        <v>1</v>
      </c>
      <c r="U385" s="75">
        <f>COUNTIFS(GERAL!B$8:B$1696,A385,GERAL!AZ$8:AZ$1696,"&gt;0",GERAL!C$8:C$1696,"ANEXO")</f>
        <v>3</v>
      </c>
      <c r="V385" s="85">
        <f>SUMIF(GERAL!B$8:B$1696,A385,GERAL!AH$8:AH$1696)</f>
        <v>0</v>
      </c>
      <c r="W385" s="85">
        <f>SUMIF(GERAL!B$8:B$1696,A385,GERAL!AM$8:AM$1696)</f>
        <v>0</v>
      </c>
      <c r="X385" s="85">
        <f>SUMIF(GERAL!B$8:B$1696,A385,GERAL!AQ$8:AQ$1696)</f>
        <v>150</v>
      </c>
      <c r="Y385" s="85">
        <f>SUMIF(GERAL!B$8:B$1696,A385,GERAL!AU$8:AU$1696)</f>
        <v>130</v>
      </c>
      <c r="Z385" s="88">
        <f t="shared" si="40"/>
        <v>280</v>
      </c>
      <c r="AA385" s="116">
        <f>COUNTIFS(GERAL!B$8:B$1696,A385,GERAL!BK$8:BK$1696,"&gt;0",GERAL!C$8:C$1696,"ESCOLA")</f>
        <v>1</v>
      </c>
      <c r="AB385" s="88">
        <f>COUNTIFS(GERAL!B$8:B$1696,A385,GERAL!BK$8:BK$1696,"&gt;0",GERAL!C$8:C$1696,"ANEXO")</f>
        <v>0</v>
      </c>
      <c r="AC385" s="121">
        <f>SUMIF(GERAL!B$8:B$1696,A385,GERAL!AD$8:AD$1696)</f>
        <v>71</v>
      </c>
      <c r="AD385" s="121">
        <f>SUMIF(GERAL!B$8:B$1696,A385,GERAL!AI$8:AI$1696)</f>
        <v>86</v>
      </c>
      <c r="AE385" s="121">
        <f>SUMIF(GERAL!B$8:B$1696,A385,GERAL!AV$8:AV$1696)</f>
        <v>37</v>
      </c>
      <c r="AF385" s="492">
        <f t="shared" si="41"/>
        <v>194</v>
      </c>
      <c r="AG385" s="178">
        <f>COUNTIFS(GERAL!B$8:B$1696,A385,GERAL!AW$8:AW$1696,"&gt;0",GERAL!C$8:C$1696,"ESCOLA")</f>
        <v>1</v>
      </c>
      <c r="AH385" s="118">
        <f>COUNTIFS(GERAL!B$8:B$1696,A385,GERAL!AW$8:AW$1696,"&gt;0",GERAL!C$8:C$1696,"ANEXO")</f>
        <v>0</v>
      </c>
      <c r="AI385" s="177">
        <f>SUMIF(GERAL!B$8:B$1696,A385,GERAL!AS$8:AS$1696)+SUMIF(GERAL!B$8:B$1696,A385,GERAL!AT$8:AT$1696)</f>
        <v>525</v>
      </c>
      <c r="AJ385" s="177">
        <f>SUMIF(GERAL!B$8:B$1696,A385,GERAL!AU$8:AU$1696)</f>
        <v>130</v>
      </c>
      <c r="AK385" s="177">
        <f>SUMIF(GERAL!B$8:B$1696,A385,GERAL!AV$8:AV$1696)</f>
        <v>37</v>
      </c>
      <c r="AL385" s="118">
        <f t="shared" si="42"/>
        <v>692</v>
      </c>
      <c r="AM385" s="493" t="s">
        <v>285</v>
      </c>
    </row>
    <row r="386">
      <c r="A386" s="484" t="s">
        <v>4267</v>
      </c>
      <c r="B386" s="75">
        <f>COUNTIFS(GERAL!B$8:B$1696,A386,GERAL!C$8:C$1696,"ESCOLA")</f>
        <v>1</v>
      </c>
      <c r="C386" s="75">
        <f>COUNTIFS(GERAL!B$8:B$1696,A386,GERAL!C$8:C$1696,"ANEXO")</f>
        <v>0</v>
      </c>
      <c r="D386" s="85">
        <f>SUMIF(GERAL!B$8:B$1696,A386,GERAL!Z$8:Z$1696)</f>
        <v>0</v>
      </c>
      <c r="E386" s="85">
        <f>SUMIF(GERAL!B$8:B$1696,A386,GERAL!AE$8:AE$1696)</f>
        <v>0</v>
      </c>
      <c r="F386" s="85">
        <f>SUMIF(GERAL!B$8:B$1696,A386,GERAL!AJ$8:AJ$1696)</f>
        <v>150</v>
      </c>
      <c r="G386" s="85">
        <f>SUMIF(GERAL!B$8:B$1696,A386,GERAL!AN$8:AN$1696)</f>
        <v>0</v>
      </c>
      <c r="H386" s="85">
        <f>SUMIF(GERAL!B$8:B$1696,A386,GERAL!AR$8:AW$1696)</f>
        <v>29</v>
      </c>
      <c r="I386" s="85">
        <f>SUMIF(GERAL!B$8:B$1696,A386,GERAL!AW$8:AW$1696)</f>
        <v>78</v>
      </c>
      <c r="J386" s="75">
        <f>SUMIF(GERAL!B$8:B$1696,A386,GERAL!AX$8:AX$1696)</f>
        <v>257</v>
      </c>
      <c r="K386" s="75">
        <f>COUNTIFS(GERAL!B$8:B$1696,A386,GERAL!AY$8:AY$1696,"&gt;0",GERAL!C$8:C$1696,"ESCOLA")</f>
        <v>1</v>
      </c>
      <c r="L386" s="75">
        <f>COUNTIFS(GERAL!B$8:B$1696,A386,GERAL!AY$8:AY$1696,"&gt;0",GERAL!C$8:C$1696,"ANEXO")</f>
        <v>0</v>
      </c>
      <c r="M386" s="100">
        <f>SUMIF(GERAL!B$8:B$1696,A386,GERAL!V$8:V$1696)+SUMIF(GERAL!B$8:B$1696,A386,GERAL!W$8:W$1696)</f>
        <v>0</v>
      </c>
      <c r="N386" s="100">
        <f>SUMIF(GERAL!B$8:B$1696,A386,GERAL!AA$8:AA$1696)+SUMIF(GERAL!B$8:B$1696,A386,GERAL!AB$8:AB$1696)</f>
        <v>0</v>
      </c>
      <c r="O386" s="100">
        <f>SUMIF(GERAL!B$8:B$1696,A386,GERAL!AF$8:AF$1696)+SUMIF(GERAL!B$8:B$1696,A386,GERAL!AG$8:AG$1696)</f>
        <v>83</v>
      </c>
      <c r="P386" s="100">
        <f>SUMIF(GERAL!B$8:B$1696,A386,GERAL!AK$8:AK$1696)+SUMIF(GERAL!B$8:B$1696,A386,GERAL!AL$8:AL$1696)</f>
        <v>0</v>
      </c>
      <c r="Q386" s="100">
        <f>SUMIF(GERAL!B$8:B$1696,A386,GERAL!AO$8:AO$1696)+SUMIF(GERAL!B$8:B$1696,A386,GERAL!AP$8:AP$1696)</f>
        <v>0</v>
      </c>
      <c r="R386" s="100">
        <f>SUMIF(GERAL!B$8:B$1696,A386,GERAL!AS$8:AS$1696)+SUMIF(GERAL!B$8:B$1696,A386,GERAL!AT$8:AT$1696)</f>
        <v>78</v>
      </c>
      <c r="S386" s="75">
        <f t="shared" si="39"/>
        <v>161</v>
      </c>
      <c r="T386" s="116">
        <f>COUNTIFS(GERAL!B$8:B$1696,A386,GERAL!AZ$8:AZ$1696,"&gt;0",GERAL!C$8:C$1696,"ESCOLA")</f>
        <v>1</v>
      </c>
      <c r="U386" s="75">
        <f>COUNTIFS(GERAL!B$8:B$1696,A386,GERAL!AZ$8:AZ$1696,"&gt;0",GERAL!C$8:C$1696,"ANEXO")</f>
        <v>0</v>
      </c>
      <c r="V386" s="85">
        <f>SUMIF(GERAL!B$8:B$1696,A386,GERAL!AH$8:AH$1696)</f>
        <v>0</v>
      </c>
      <c r="W386" s="85">
        <f>SUMIF(GERAL!B$8:B$1696,A386,GERAL!AM$8:AM$1696)</f>
        <v>0</v>
      </c>
      <c r="X386" s="85">
        <f>SUMIF(GERAL!B$8:B$1696,A386,GERAL!AQ$8:AQ$1696)</f>
        <v>29</v>
      </c>
      <c r="Y386" s="85">
        <f>SUMIF(GERAL!B$8:B$1696,A386,GERAL!AU$8:AU$1696)</f>
        <v>0</v>
      </c>
      <c r="Z386" s="88">
        <f t="shared" si="40"/>
        <v>29</v>
      </c>
      <c r="AA386" s="116">
        <f>COUNTIFS(GERAL!B$8:B$1696,A386,GERAL!BK$8:BK$1696,"&gt;0",GERAL!C$8:C$1696,"ESCOLA")</f>
        <v>1</v>
      </c>
      <c r="AB386" s="88">
        <f>COUNTIFS(GERAL!B$8:B$1696,A386,GERAL!BK$8:BK$1696,"&gt;0",GERAL!C$8:C$1696,"ANEXO")</f>
        <v>0</v>
      </c>
      <c r="AC386" s="121">
        <f>SUMIF(GERAL!B$8:B$1696,A386,GERAL!AD$8:AD$1696)</f>
        <v>0</v>
      </c>
      <c r="AD386" s="121">
        <f>SUMIF(GERAL!B$8:B$1696,A386,GERAL!AI$8:AI$1696)</f>
        <v>67</v>
      </c>
      <c r="AE386" s="121">
        <f>SUMIF(GERAL!B$8:B$1696,A386,GERAL!AV$8:AV$1696)</f>
        <v>0</v>
      </c>
      <c r="AF386" s="492">
        <f t="shared" si="41"/>
        <v>67</v>
      </c>
      <c r="AG386" s="178">
        <f>COUNTIFS(GERAL!B$8:B$1696,A386,GERAL!AW$8:AW$1696,"&gt;0",GERAL!C$8:C$1696,"ESCOLA")</f>
        <v>1</v>
      </c>
      <c r="AH386" s="118">
        <f>COUNTIFS(GERAL!B$8:B$1696,A386,GERAL!AW$8:AW$1696,"&gt;0",GERAL!C$8:C$1696,"ANEXO")</f>
        <v>0</v>
      </c>
      <c r="AI386" s="177">
        <f>SUMIF(GERAL!B$8:B$1696,A386,GERAL!AS$8:AS$1696)+SUMIF(GERAL!B$8:B$1696,A386,GERAL!AT$8:AT$1696)</f>
        <v>78</v>
      </c>
      <c r="AJ386" s="177">
        <f>SUMIF(GERAL!B$8:B$1696,A386,GERAL!AU$8:AU$1696)</f>
        <v>0</v>
      </c>
      <c r="AK386" s="177">
        <f>SUMIF(GERAL!B$8:B$1696,A386,GERAL!AV$8:AV$1696)</f>
        <v>0</v>
      </c>
      <c r="AL386" s="118">
        <f t="shared" si="42"/>
        <v>78</v>
      </c>
      <c r="AM386" s="493" t="s">
        <v>973</v>
      </c>
    </row>
    <row r="387">
      <c r="A387" s="494" t="s">
        <v>7792</v>
      </c>
      <c r="B387" s="75">
        <f>COUNTIFS(GERAL!B$8:B$1696,A387,GERAL!C$8:C$1696,"ESCOLA")</f>
        <v>8</v>
      </c>
      <c r="C387" s="75">
        <f>COUNTIFS(GERAL!B$8:B$1696,A387,GERAL!C$8:C$1696,"ANEXO")</f>
        <v>6</v>
      </c>
      <c r="D387" s="85">
        <f>SUMIF(GERAL!B$8:B$1696,A387,GERAL!Z$8:Z$1696)</f>
        <v>0</v>
      </c>
      <c r="E387" s="85">
        <f>SUMIF(GERAL!B$8:B$1696,A387,GERAL!AE$8:AE$1696)</f>
        <v>0</v>
      </c>
      <c r="F387" s="85">
        <f>SUMIF(GERAL!B$8:B$1696,A387,GERAL!AJ$8:AJ$1696)</f>
        <v>1381</v>
      </c>
      <c r="G387" s="85">
        <f>SUMIF(GERAL!B$8:B$1696,A387,GERAL!AN$8:AN$1696)</f>
        <v>0</v>
      </c>
      <c r="H387" s="85">
        <f>SUMIF(GERAL!B$8:B$1696,A387,GERAL!AR$8:AW$1696)</f>
        <v>456</v>
      </c>
      <c r="I387" s="85">
        <f>SUMIF(GERAL!B$8:B$1696,A387,GERAL!AW$8:AW$1696)</f>
        <v>1359</v>
      </c>
      <c r="J387" s="75">
        <f>SUMIF(GERAL!B$8:B$1696,A387,GERAL!AX$8:AX$1696)</f>
        <v>3196</v>
      </c>
      <c r="K387" s="75">
        <f>COUNTIFS(GERAL!B$8:B$1696,A387,GERAL!AY$8:AY$1696,"&gt;0",GERAL!C$8:C$1696,"ESCOLA")</f>
        <v>5</v>
      </c>
      <c r="L387" s="75">
        <f>COUNTIFS(GERAL!B$8:B$1696,A387,GERAL!AY$8:AY$1696,"&gt;0",GERAL!C$8:C$1696,"ANEXO")</f>
        <v>3</v>
      </c>
      <c r="M387" s="100">
        <f>SUMIF(GERAL!B$8:B$1696,A387,GERAL!V$8:V$1696)+SUMIF(GERAL!B$8:B$1696,A387,GERAL!W$8:W$1696)</f>
        <v>0</v>
      </c>
      <c r="N387" s="100">
        <f>SUMIF(GERAL!B$8:B$1696,A387,GERAL!AA$8:AA$1696)+SUMIF(GERAL!B$8:B$1696,A387,GERAL!AB$8:AB$1696)</f>
        <v>0</v>
      </c>
      <c r="O387" s="100">
        <f>SUMIF(GERAL!B$8:B$1696,A387,GERAL!AF$8:AF$1696)+SUMIF(GERAL!B$8:B$1696,A387,GERAL!AG$8:AG$1696)</f>
        <v>178</v>
      </c>
      <c r="P387" s="100">
        <f>SUMIF(GERAL!B$8:B$1696,A387,GERAL!AK$8:AK$1696)+SUMIF(GERAL!B$8:B$1696,A387,GERAL!AL$8:AL$1696)</f>
        <v>0</v>
      </c>
      <c r="Q387" s="100">
        <f>SUMIF(GERAL!B$8:B$1696,A387,GERAL!AO$8:AO$1696)+SUMIF(GERAL!B$8:B$1696,A387,GERAL!AP$8:AP$1696)</f>
        <v>0</v>
      </c>
      <c r="R387" s="100">
        <f>SUMIF(GERAL!B$8:B$1696,A387,GERAL!AS$8:AS$1696)+SUMIF(GERAL!B$8:B$1696,A387,GERAL!AT$8:AT$1696)</f>
        <v>811</v>
      </c>
      <c r="S387" s="75">
        <f t="shared" si="39"/>
        <v>989</v>
      </c>
      <c r="T387" s="116">
        <f>COUNTIFS(GERAL!B$8:B$1696,A387,GERAL!AZ$8:AZ$1696,"&gt;0",GERAL!C$8:C$1696,"ESCOLA")</f>
        <v>4</v>
      </c>
      <c r="U387" s="75">
        <f>COUNTIFS(GERAL!B$8:B$1696,A387,GERAL!AZ$8:AZ$1696,"&gt;0",GERAL!C$8:C$1696,"ANEXO")</f>
        <v>6</v>
      </c>
      <c r="V387" s="85">
        <f>SUMIF(GERAL!B$8:B$1696,A387,GERAL!AH$8:AH$1696)</f>
        <v>57</v>
      </c>
      <c r="W387" s="85">
        <f>SUMIF(GERAL!B$8:B$1696,A387,GERAL!AM$8:AM$1696)</f>
        <v>0</v>
      </c>
      <c r="X387" s="85">
        <f>SUMIF(GERAL!B$8:B$1696,A387,GERAL!AQ$8:AQ$1696)</f>
        <v>456</v>
      </c>
      <c r="Y387" s="85">
        <f>SUMIF(GERAL!B$8:B$1696,A387,GERAL!AU$8:AU$1696)</f>
        <v>352</v>
      </c>
      <c r="Z387" s="88">
        <f t="shared" si="40"/>
        <v>865</v>
      </c>
      <c r="AA387" s="116">
        <f>COUNTIFS(GERAL!B$8:B$1696,A387,GERAL!BK$8:BK$1696,"&gt;0",GERAL!C$8:C$1696,"ESCOLA")</f>
        <v>5</v>
      </c>
      <c r="AB387" s="88">
        <f>COUNTIFS(GERAL!B$8:B$1696,A387,GERAL!BK$8:BK$1696,"&gt;0",GERAL!C$8:C$1696,"ANEXO")</f>
        <v>0</v>
      </c>
      <c r="AC387" s="121">
        <f>SUMIF(GERAL!B$8:B$1696,A387,GERAL!AD$8:AD$1696)</f>
        <v>0</v>
      </c>
      <c r="AD387" s="121">
        <f>SUMIF(GERAL!B$8:B$1696,A387,GERAL!AI$8:AI$1696)</f>
        <v>1146</v>
      </c>
      <c r="AE387" s="121">
        <f>SUMIF(GERAL!B$8:B$1696,A387,GERAL!AV$8:AV$1696)</f>
        <v>196</v>
      </c>
      <c r="AF387" s="492">
        <f t="shared" si="41"/>
        <v>1342</v>
      </c>
      <c r="AG387" s="178">
        <f>COUNTIFS(GERAL!B$8:B$1696,A387,GERAL!AW$8:AW$1696,"&gt;0",GERAL!C$8:C$1696,"ESCOLA")</f>
        <v>2</v>
      </c>
      <c r="AH387" s="118">
        <f>COUNTIFS(GERAL!B$8:B$1696,A387,GERAL!AW$8:AW$1696,"&gt;0",GERAL!C$8:C$1696,"ANEXO")</f>
        <v>0</v>
      </c>
      <c r="AI387" s="177">
        <f>SUMIF(GERAL!B$8:B$1696,A387,GERAL!AS$8:AS$1696)+SUMIF(GERAL!B$8:B$1696,A387,GERAL!AT$8:AT$1696)</f>
        <v>811</v>
      </c>
      <c r="AJ387" s="177">
        <f>SUMIF(GERAL!B$8:B$1696,A387,GERAL!AU$8:AU$1696)</f>
        <v>352</v>
      </c>
      <c r="AK387" s="177">
        <f>SUMIF(GERAL!B$8:B$1696,A387,GERAL!AV$8:AV$1696)</f>
        <v>196</v>
      </c>
      <c r="AL387" s="118">
        <f t="shared" si="42"/>
        <v>1359</v>
      </c>
      <c r="AM387" s="493" t="s">
        <v>1707</v>
      </c>
    </row>
    <row r="388">
      <c r="A388" s="484" t="s">
        <v>2234</v>
      </c>
      <c r="B388" s="75">
        <f>COUNTIFS(GERAL!B$8:B$1696,A388,GERAL!C$8:C$1696,"ESCOLA")</f>
        <v>1</v>
      </c>
      <c r="C388" s="75">
        <f>COUNTIFS(GERAL!B$8:B$1696,A388,GERAL!C$8:C$1696,"ANEXO")</f>
        <v>13</v>
      </c>
      <c r="D388" s="85">
        <f>SUMIF(GERAL!B$8:B$1696,A388,GERAL!Z$8:Z$1696)</f>
        <v>0</v>
      </c>
      <c r="E388" s="85">
        <f>SUMIF(GERAL!B$8:B$1696,A388,GERAL!AE$8:AE$1696)</f>
        <v>0</v>
      </c>
      <c r="F388" s="85">
        <f>SUMIF(GERAL!B$8:B$1696,A388,GERAL!AJ$8:AJ$1696)</f>
        <v>1037</v>
      </c>
      <c r="G388" s="85">
        <f>SUMIF(GERAL!B$8:B$1696,A388,GERAL!AN$8:AN$1696)</f>
        <v>0</v>
      </c>
      <c r="H388" s="85">
        <f>SUMIF(GERAL!B$8:B$1696,A388,GERAL!AR$8:AW$1696)</f>
        <v>247</v>
      </c>
      <c r="I388" s="85">
        <f>SUMIF(GERAL!B$8:B$1696,A388,GERAL!AW$8:AW$1696)</f>
        <v>318</v>
      </c>
      <c r="J388" s="75">
        <f>SUMIF(GERAL!B$8:B$1696,A388,GERAL!AX$8:AX$1696)</f>
        <v>1602</v>
      </c>
      <c r="K388" s="75">
        <f>COUNTIFS(GERAL!B$8:B$1696,A388,GERAL!AY$8:AY$1696,"&gt;0",GERAL!C$8:C$1696,"ESCOLA")</f>
        <v>1</v>
      </c>
      <c r="L388" s="75">
        <f>COUNTIFS(GERAL!B$8:B$1696,A388,GERAL!AY$8:AY$1696,"&gt;0",GERAL!C$8:C$1696,"ANEXO")</f>
        <v>9</v>
      </c>
      <c r="M388" s="100">
        <f>SUMIF(GERAL!B$8:B$1696,A388,GERAL!V$8:V$1696)+SUMIF(GERAL!B$8:B$1696,A388,GERAL!W$8:W$1696)</f>
        <v>0</v>
      </c>
      <c r="N388" s="100">
        <f>SUMIF(GERAL!B$8:B$1696,A388,GERAL!AA$8:AA$1696)+SUMIF(GERAL!B$8:B$1696,A388,GERAL!AB$8:AB$1696)</f>
        <v>0</v>
      </c>
      <c r="O388" s="100">
        <f>SUMIF(GERAL!B$8:B$1696,A388,GERAL!AF$8:AF$1696)+SUMIF(GERAL!B$8:B$1696,A388,GERAL!AG$8:AG$1696)</f>
        <v>442</v>
      </c>
      <c r="P388" s="100">
        <f>SUMIF(GERAL!B$8:B$1696,A388,GERAL!AK$8:AK$1696)+SUMIF(GERAL!B$8:B$1696,A388,GERAL!AL$8:AL$1696)</f>
        <v>0</v>
      </c>
      <c r="Q388" s="100">
        <f>SUMIF(GERAL!B$8:B$1696,A388,GERAL!AO$8:AO$1696)+SUMIF(GERAL!B$8:B$1696,A388,GERAL!AP$8:AP$1696)</f>
        <v>0</v>
      </c>
      <c r="R388" s="100">
        <f>SUMIF(GERAL!B$8:B$1696,A388,GERAL!AS$8:AS$1696)+SUMIF(GERAL!B$8:B$1696,A388,GERAL!AT$8:AT$1696)</f>
        <v>255</v>
      </c>
      <c r="S388" s="75">
        <f t="shared" si="39"/>
        <v>697</v>
      </c>
      <c r="T388" s="116">
        <f>COUNTIFS(GERAL!B$8:B$1696,A388,GERAL!AZ$8:AZ$1696,"&gt;0",GERAL!C$8:C$1696,"ESCOLA")</f>
        <v>1</v>
      </c>
      <c r="U388" s="75">
        <f>COUNTIFS(GERAL!B$8:B$1696,A388,GERAL!AZ$8:AZ$1696,"&gt;0",GERAL!C$8:C$1696,"ANEXO")</f>
        <v>11</v>
      </c>
      <c r="V388" s="85">
        <f>SUMIF(GERAL!B$8:B$1696,A388,GERAL!AH$8:AH$1696)</f>
        <v>74</v>
      </c>
      <c r="W388" s="85">
        <f>SUMIF(GERAL!B$8:B$1696,A388,GERAL!AM$8:AM$1696)</f>
        <v>0</v>
      </c>
      <c r="X388" s="85">
        <f>SUMIF(GERAL!B$8:B$1696,A388,GERAL!AQ$8:AQ$1696)</f>
        <v>247</v>
      </c>
      <c r="Y388" s="85">
        <f>SUMIF(GERAL!B$8:B$1696,A388,GERAL!AU$8:AU$1696)</f>
        <v>63</v>
      </c>
      <c r="Z388" s="88">
        <f t="shared" si="40"/>
        <v>384</v>
      </c>
      <c r="AA388" s="116">
        <f>COUNTIFS(GERAL!B$8:B$1696,A388,GERAL!BK$8:BK$1696,"&gt;0",GERAL!C$8:C$1696,"ESCOLA")</f>
        <v>1</v>
      </c>
      <c r="AB388" s="88">
        <f>COUNTIFS(GERAL!B$8:B$1696,A388,GERAL!BK$8:BK$1696,"&gt;0",GERAL!C$8:C$1696,"ANEXO")</f>
        <v>0</v>
      </c>
      <c r="AC388" s="121">
        <f>SUMIF(GERAL!B$8:B$1696,A388,GERAL!AD$8:AD$1696)</f>
        <v>0</v>
      </c>
      <c r="AD388" s="121">
        <f>SUMIF(GERAL!B$8:B$1696,A388,GERAL!AI$8:AI$1696)</f>
        <v>521</v>
      </c>
      <c r="AE388" s="121">
        <f>SUMIF(GERAL!B$8:B$1696,A388,GERAL!AV$8:AV$1696)</f>
        <v>0</v>
      </c>
      <c r="AF388" s="492">
        <f t="shared" si="41"/>
        <v>521</v>
      </c>
      <c r="AG388" s="178">
        <f>COUNTIFS(GERAL!B$8:B$1696,A388,GERAL!AW$8:AW$1696,"&gt;0",GERAL!C$8:C$1696,"ESCOLA")</f>
        <v>1</v>
      </c>
      <c r="AH388" s="118">
        <f>COUNTIFS(GERAL!B$8:B$1696,A388,GERAL!AW$8:AW$1696,"&gt;0",GERAL!C$8:C$1696,"ANEXO")</f>
        <v>0</v>
      </c>
      <c r="AI388" s="177">
        <f>SUMIF(GERAL!B$8:B$1696,A388,GERAL!AS$8:AS$1696)+SUMIF(GERAL!B$8:B$1696,A388,GERAL!AT$8:AT$1696)</f>
        <v>255</v>
      </c>
      <c r="AJ388" s="177">
        <f>SUMIF(GERAL!B$8:B$1696,A388,GERAL!AU$8:AU$1696)</f>
        <v>63</v>
      </c>
      <c r="AK388" s="177">
        <f>SUMIF(GERAL!B$8:B$1696,A388,GERAL!AV$8:AV$1696)</f>
        <v>0</v>
      </c>
      <c r="AL388" s="118">
        <f t="shared" si="42"/>
        <v>318</v>
      </c>
      <c r="AM388" s="493" t="s">
        <v>796</v>
      </c>
    </row>
    <row r="389">
      <c r="A389" s="494" t="s">
        <v>732</v>
      </c>
      <c r="B389" s="75">
        <f>COUNTIFS(GERAL!B$8:B$1696,A389,GERAL!C$8:C$1696,"ESCOLA")</f>
        <v>2</v>
      </c>
      <c r="C389" s="75">
        <f>COUNTIFS(GERAL!B$8:B$1696,A389,GERAL!C$8:C$1696,"ANEXO")</f>
        <v>10</v>
      </c>
      <c r="D389" s="85">
        <f>SUMIF(GERAL!B$8:B$1696,A389,GERAL!Z$8:Z$1696)</f>
        <v>0</v>
      </c>
      <c r="E389" s="85">
        <f>SUMIF(GERAL!B$8:B$1696,A389,GERAL!AE$8:AE$1696)</f>
        <v>0</v>
      </c>
      <c r="F389" s="85">
        <f>SUMIF(GERAL!B$8:B$1696,A389,GERAL!AJ$8:AJ$1696)</f>
        <v>884</v>
      </c>
      <c r="G389" s="85">
        <f>SUMIF(GERAL!B$8:B$1696,A389,GERAL!AN$8:AN$1696)</f>
        <v>0</v>
      </c>
      <c r="H389" s="85">
        <f>SUMIF(GERAL!B$8:B$1696,A389,GERAL!AR$8:AW$1696)</f>
        <v>286</v>
      </c>
      <c r="I389" s="85">
        <f>SUMIF(GERAL!B$8:B$1696,A389,GERAL!AW$8:AW$1696)</f>
        <v>246</v>
      </c>
      <c r="J389" s="75">
        <f>SUMIF(GERAL!B$8:B$1696,A389,GERAL!AX$8:AX$1696)</f>
        <v>1416</v>
      </c>
      <c r="K389" s="75">
        <f>COUNTIFS(GERAL!B$8:B$1696,A389,GERAL!AY$8:AY$1696,"&gt;0",GERAL!C$8:C$1696,"ESCOLA")</f>
        <v>2</v>
      </c>
      <c r="L389" s="75">
        <f>COUNTIFS(GERAL!B$8:B$1696,A389,GERAL!AY$8:AY$1696,"&gt;0",GERAL!C$8:C$1696,"ANEXO")</f>
        <v>1</v>
      </c>
      <c r="M389" s="100">
        <f>SUMIF(GERAL!B$8:B$1696,A389,GERAL!V$8:V$1696)+SUMIF(GERAL!B$8:B$1696,A389,GERAL!W$8:W$1696)</f>
        <v>0</v>
      </c>
      <c r="N389" s="100">
        <f>SUMIF(GERAL!B$8:B$1696,A389,GERAL!AA$8:AA$1696)+SUMIF(GERAL!B$8:B$1696,A389,GERAL!AB$8:AB$1696)</f>
        <v>0</v>
      </c>
      <c r="O389" s="100">
        <f>SUMIF(GERAL!B$8:B$1696,A389,GERAL!AF$8:AF$1696)+SUMIF(GERAL!B$8:B$1696,A389,GERAL!AG$8:AG$1696)</f>
        <v>689</v>
      </c>
      <c r="P389" s="100">
        <f>SUMIF(GERAL!B$8:B$1696,A389,GERAL!AK$8:AK$1696)+SUMIF(GERAL!B$8:B$1696,A389,GERAL!AL$8:AL$1696)</f>
        <v>0</v>
      </c>
      <c r="Q389" s="100">
        <f>SUMIF(GERAL!B$8:B$1696,A389,GERAL!AO$8:AO$1696)+SUMIF(GERAL!B$8:B$1696,A389,GERAL!AP$8:AP$1696)</f>
        <v>0</v>
      </c>
      <c r="R389" s="100">
        <f>SUMIF(GERAL!B$8:B$1696,A389,GERAL!AS$8:AS$1696)+SUMIF(GERAL!B$8:B$1696,A389,GERAL!AT$8:AT$1696)</f>
        <v>33</v>
      </c>
      <c r="S389" s="75">
        <f t="shared" si="39"/>
        <v>722</v>
      </c>
      <c r="T389" s="116">
        <f>COUNTIFS(GERAL!B$8:B$1696,A389,GERAL!AZ$8:AZ$1696,"&gt;0",GERAL!C$8:C$1696,"ESCOLA")</f>
        <v>2</v>
      </c>
      <c r="U389" s="75">
        <f>COUNTIFS(GERAL!B$8:B$1696,A389,GERAL!AZ$8:AZ$1696,"&gt;0",GERAL!C$8:C$1696,"ANEXO")</f>
        <v>9</v>
      </c>
      <c r="V389" s="85">
        <f>SUMIF(GERAL!B$8:B$1696,A389,GERAL!AH$8:AH$1696)</f>
        <v>160</v>
      </c>
      <c r="W389" s="85">
        <f>SUMIF(GERAL!B$8:B$1696,A389,GERAL!AM$8:AM$1696)</f>
        <v>0</v>
      </c>
      <c r="X389" s="85">
        <f>SUMIF(GERAL!B$8:B$1696,A389,GERAL!AQ$8:AQ$1696)</f>
        <v>286</v>
      </c>
      <c r="Y389" s="85">
        <f>SUMIF(GERAL!B$8:B$1696,A389,GERAL!AU$8:AU$1696)</f>
        <v>0</v>
      </c>
      <c r="Z389" s="88">
        <f t="shared" si="40"/>
        <v>446</v>
      </c>
      <c r="AA389" s="116">
        <f>COUNTIFS(GERAL!B$8:B$1696,A389,GERAL!BK$8:BK$1696,"&gt;0",GERAL!C$8:C$1696,"ESCOLA")</f>
        <v>2</v>
      </c>
      <c r="AB389" s="88">
        <f>COUNTIFS(GERAL!B$8:B$1696,A389,GERAL!BK$8:BK$1696,"&gt;0",GERAL!C$8:C$1696,"ANEXO")</f>
        <v>0</v>
      </c>
      <c r="AC389" s="121">
        <f>SUMIF(GERAL!B$8:B$1696,A389,GERAL!AD$8:AD$1696)</f>
        <v>0</v>
      </c>
      <c r="AD389" s="121">
        <f>SUMIF(GERAL!B$8:B$1696,A389,GERAL!AI$8:AI$1696)</f>
        <v>35</v>
      </c>
      <c r="AE389" s="121">
        <f>SUMIF(GERAL!B$8:B$1696,A389,GERAL!AV$8:AV$1696)</f>
        <v>213</v>
      </c>
      <c r="AF389" s="492">
        <f t="shared" si="41"/>
        <v>248</v>
      </c>
      <c r="AG389" s="178">
        <f>COUNTIFS(GERAL!B$8:B$1696,A389,GERAL!AW$8:AW$1696,"&gt;0",GERAL!C$8:C$1696,"ESCOLA")</f>
        <v>2</v>
      </c>
      <c r="AH389" s="118">
        <f>COUNTIFS(GERAL!B$8:B$1696,A389,GERAL!AW$8:AW$1696,"&gt;0",GERAL!C$8:C$1696,"ANEXO")</f>
        <v>0</v>
      </c>
      <c r="AI389" s="177">
        <f>SUMIF(GERAL!B$8:B$1696,A389,GERAL!AS$8:AS$1696)+SUMIF(GERAL!B$8:B$1696,A389,GERAL!AT$8:AT$1696)</f>
        <v>33</v>
      </c>
      <c r="AJ389" s="177">
        <f>SUMIF(GERAL!B$8:B$1696,A389,GERAL!AU$8:AU$1696)</f>
        <v>0</v>
      </c>
      <c r="AK389" s="177">
        <f>SUMIF(GERAL!B$8:B$1696,A389,GERAL!AV$8:AV$1696)</f>
        <v>213</v>
      </c>
      <c r="AL389" s="118">
        <f t="shared" si="42"/>
        <v>246</v>
      </c>
      <c r="AM389" s="493" t="s">
        <v>205</v>
      </c>
    </row>
    <row r="390">
      <c r="A390" s="484" t="s">
        <v>7440</v>
      </c>
      <c r="B390" s="75">
        <f>COUNTIFS(GERAL!B$8:B$1696,A390,GERAL!C$8:C$1696,"ESCOLA")</f>
        <v>1</v>
      </c>
      <c r="C390" s="75">
        <f>COUNTIFS(GERAL!B$8:B$1696,A390,GERAL!C$8:C$1696,"ANEXO")</f>
        <v>1</v>
      </c>
      <c r="D390" s="85">
        <f>SUMIF(GERAL!B$8:B$1696,A390,GERAL!Z$8:Z$1696)</f>
        <v>0</v>
      </c>
      <c r="E390" s="85">
        <f>SUMIF(GERAL!B$8:B$1696,A390,GERAL!AE$8:AE$1696)</f>
        <v>0</v>
      </c>
      <c r="F390" s="85">
        <f>SUMIF(GERAL!B$8:B$1696,A390,GERAL!AJ$8:AJ$1696)</f>
        <v>518</v>
      </c>
      <c r="G390" s="85">
        <f>SUMIF(GERAL!B$8:B$1696,A390,GERAL!AN$8:AN$1696)</f>
        <v>0</v>
      </c>
      <c r="H390" s="85">
        <f>SUMIF(GERAL!B$8:B$1696,A390,GERAL!AR$8:AW$1696)</f>
        <v>45</v>
      </c>
      <c r="I390" s="85">
        <f>SUMIF(GERAL!B$8:B$1696,A390,GERAL!AW$8:AW$1696)</f>
        <v>76</v>
      </c>
      <c r="J390" s="75">
        <f>SUMIF(GERAL!B$8:B$1696,A390,GERAL!AX$8:AX$1696)</f>
        <v>639</v>
      </c>
      <c r="K390" s="75">
        <f>COUNTIFS(GERAL!B$8:B$1696,A390,GERAL!AY$8:AY$1696,"&gt;0",GERAL!C$8:C$1696,"ESCOLA")</f>
        <v>1</v>
      </c>
      <c r="L390" s="75">
        <f>COUNTIFS(GERAL!B$8:B$1696,A390,GERAL!AY$8:AY$1696,"&gt;0",GERAL!C$8:C$1696,"ANEXO")</f>
        <v>1</v>
      </c>
      <c r="M390" s="100">
        <f>SUMIF(GERAL!B$8:B$1696,A390,GERAL!V$8:V$1696)+SUMIF(GERAL!B$8:B$1696,A390,GERAL!W$8:W$1696)</f>
        <v>0</v>
      </c>
      <c r="N390" s="100">
        <f>SUMIF(GERAL!B$8:B$1696,A390,GERAL!AA$8:AA$1696)+SUMIF(GERAL!B$8:B$1696,A390,GERAL!AB$8:AB$1696)</f>
        <v>0</v>
      </c>
      <c r="O390" s="100">
        <f>SUMIF(GERAL!B$8:B$1696,A390,GERAL!AF$8:AF$1696)+SUMIF(GERAL!B$8:B$1696,A390,GERAL!AG$8:AG$1696)</f>
        <v>485</v>
      </c>
      <c r="P390" s="100">
        <f>SUMIF(GERAL!B$8:B$1696,A390,GERAL!AK$8:AK$1696)+SUMIF(GERAL!B$8:B$1696,A390,GERAL!AL$8:AL$1696)</f>
        <v>0</v>
      </c>
      <c r="Q390" s="100">
        <f>SUMIF(GERAL!B$8:B$1696,A390,GERAL!AO$8:AO$1696)+SUMIF(GERAL!B$8:B$1696,A390,GERAL!AP$8:AP$1696)</f>
        <v>0</v>
      </c>
      <c r="R390" s="100">
        <f>SUMIF(GERAL!B$8:B$1696,A390,GERAL!AS$8:AS$1696)+SUMIF(GERAL!B$8:B$1696,A390,GERAL!AT$8:AT$1696)</f>
        <v>67</v>
      </c>
      <c r="S390" s="75">
        <f t="shared" si="39"/>
        <v>552</v>
      </c>
      <c r="T390" s="116">
        <f>COUNTIFS(GERAL!B$8:B$1696,A390,GERAL!AZ$8:AZ$1696,"&gt;0",GERAL!C$8:C$1696,"ESCOLA")</f>
        <v>1</v>
      </c>
      <c r="U390" s="75">
        <f>COUNTIFS(GERAL!B$8:B$1696,A390,GERAL!AZ$8:AZ$1696,"&gt;0",GERAL!C$8:C$1696,"ANEXO")</f>
        <v>1</v>
      </c>
      <c r="V390" s="85">
        <f>SUMIF(GERAL!B$8:B$1696,A390,GERAL!AH$8:AH$1696)</f>
        <v>0</v>
      </c>
      <c r="W390" s="85">
        <f>SUMIF(GERAL!B$8:B$1696,A390,GERAL!AM$8:AM$1696)</f>
        <v>0</v>
      </c>
      <c r="X390" s="85">
        <f>SUMIF(GERAL!B$8:B$1696,A390,GERAL!AQ$8:AQ$1696)</f>
        <v>45</v>
      </c>
      <c r="Y390" s="85">
        <f>SUMIF(GERAL!B$8:B$1696,A390,GERAL!AU$8:AU$1696)</f>
        <v>9</v>
      </c>
      <c r="Z390" s="88">
        <f t="shared" si="40"/>
        <v>54</v>
      </c>
      <c r="AA390" s="116">
        <f>COUNTIFS(GERAL!B$8:B$1696,A390,GERAL!BK$8:BK$1696,"&gt;0",GERAL!C$8:C$1696,"ESCOLA")</f>
        <v>1</v>
      </c>
      <c r="AB390" s="88">
        <f>COUNTIFS(GERAL!B$8:B$1696,A390,GERAL!BK$8:BK$1696,"&gt;0",GERAL!C$8:C$1696,"ANEXO")</f>
        <v>0</v>
      </c>
      <c r="AC390" s="121">
        <f>SUMIF(GERAL!B$8:B$1696,A390,GERAL!AD$8:AD$1696)</f>
        <v>0</v>
      </c>
      <c r="AD390" s="121">
        <f>SUMIF(GERAL!B$8:B$1696,A390,GERAL!AI$8:AI$1696)</f>
        <v>33</v>
      </c>
      <c r="AE390" s="121">
        <f>SUMIF(GERAL!B$8:B$1696,A390,GERAL!AV$8:AV$1696)</f>
        <v>0</v>
      </c>
      <c r="AF390" s="492">
        <f t="shared" si="41"/>
        <v>33</v>
      </c>
      <c r="AG390" s="178">
        <f>COUNTIFS(GERAL!B$8:B$1696,A390,GERAL!AW$8:AW$1696,"&gt;0",GERAL!C$8:C$1696,"ESCOLA")</f>
        <v>1</v>
      </c>
      <c r="AH390" s="118">
        <f>COUNTIFS(GERAL!B$8:B$1696,A390,GERAL!AW$8:AW$1696,"&gt;0",GERAL!C$8:C$1696,"ANEXO")</f>
        <v>0</v>
      </c>
      <c r="AI390" s="177">
        <f>SUMIF(GERAL!B$8:B$1696,A390,GERAL!AS$8:AS$1696)+SUMIF(GERAL!B$8:B$1696,A390,GERAL!AT$8:AT$1696)</f>
        <v>67</v>
      </c>
      <c r="AJ390" s="177">
        <f>SUMIF(GERAL!B$8:B$1696,A390,GERAL!AU$8:AU$1696)</f>
        <v>9</v>
      </c>
      <c r="AK390" s="177">
        <f>SUMIF(GERAL!B$8:B$1696,A390,GERAL!AV$8:AV$1696)</f>
        <v>0</v>
      </c>
      <c r="AL390" s="118">
        <f t="shared" si="42"/>
        <v>76</v>
      </c>
      <c r="AM390" s="493" t="s">
        <v>1573</v>
      </c>
    </row>
    <row r="391">
      <c r="A391" s="494" t="s">
        <v>4725</v>
      </c>
      <c r="B391" s="75">
        <f>COUNTIFS(GERAL!B$8:B$1696,A391,GERAL!C$8:C$1696,"ESCOLA")</f>
        <v>2</v>
      </c>
      <c r="C391" s="75">
        <f>COUNTIFS(GERAL!B$8:B$1696,A391,GERAL!C$8:C$1696,"ANEXO")</f>
        <v>0</v>
      </c>
      <c r="D391" s="85">
        <f>SUMIF(GERAL!B$8:B$1696,A391,GERAL!Z$8:Z$1696)</f>
        <v>0</v>
      </c>
      <c r="E391" s="85">
        <f>SUMIF(GERAL!B$8:B$1696,A391,GERAL!AE$8:AE$1696)</f>
        <v>0</v>
      </c>
      <c r="F391" s="85">
        <f>SUMIF(GERAL!B$8:B$1696,A391,GERAL!AJ$8:AJ$1696)</f>
        <v>465</v>
      </c>
      <c r="G391" s="85">
        <f>SUMIF(GERAL!B$8:B$1696,A391,GERAL!AN$8:AN$1696)</f>
        <v>0</v>
      </c>
      <c r="H391" s="85">
        <f>SUMIF(GERAL!B$8:B$1696,A391,GERAL!AR$8:AW$1696)</f>
        <v>114</v>
      </c>
      <c r="I391" s="85">
        <f>SUMIF(GERAL!B$8:B$1696,A391,GERAL!AW$8:AW$1696)</f>
        <v>60</v>
      </c>
      <c r="J391" s="75">
        <f>SUMIF(GERAL!B$8:B$1696,A391,GERAL!AX$8:AX$1696)</f>
        <v>639</v>
      </c>
      <c r="K391" s="75">
        <f>COUNTIFS(GERAL!B$8:B$1696,A391,GERAL!AY$8:AY$1696,"&gt;0",GERAL!C$8:C$1696,"ESCOLA")</f>
        <v>2</v>
      </c>
      <c r="L391" s="75">
        <f>COUNTIFS(GERAL!B$8:B$1696,A391,GERAL!AY$8:AY$1696,"&gt;0",GERAL!C$8:C$1696,"ANEXO")</f>
        <v>0</v>
      </c>
      <c r="M391" s="100">
        <f>SUMIF(GERAL!B$8:B$1696,A391,GERAL!V$8:V$1696)+SUMIF(GERAL!B$8:B$1696,A391,GERAL!W$8:W$1696)</f>
        <v>0</v>
      </c>
      <c r="N391" s="100">
        <f>SUMIF(GERAL!B$8:B$1696,A391,GERAL!AA$8:AA$1696)+SUMIF(GERAL!B$8:B$1696,A391,GERAL!AB$8:AB$1696)</f>
        <v>0</v>
      </c>
      <c r="O391" s="100">
        <f>SUMIF(GERAL!B$8:B$1696,A391,GERAL!AF$8:AF$1696)+SUMIF(GERAL!B$8:B$1696,A391,GERAL!AG$8:AG$1696)</f>
        <v>130</v>
      </c>
      <c r="P391" s="100">
        <f>SUMIF(GERAL!B$8:B$1696,A391,GERAL!AK$8:AK$1696)+SUMIF(GERAL!B$8:B$1696,A391,GERAL!AL$8:AL$1696)</f>
        <v>0</v>
      </c>
      <c r="Q391" s="100">
        <f>SUMIF(GERAL!B$8:B$1696,A391,GERAL!AO$8:AO$1696)+SUMIF(GERAL!B$8:B$1696,A391,GERAL!AP$8:AP$1696)</f>
        <v>0</v>
      </c>
      <c r="R391" s="100">
        <f>SUMIF(GERAL!B$8:B$1696,A391,GERAL!AS$8:AS$1696)+SUMIF(GERAL!B$8:B$1696,A391,GERAL!AT$8:AT$1696)</f>
        <v>0</v>
      </c>
      <c r="S391" s="75">
        <f t="shared" si="39"/>
        <v>130</v>
      </c>
      <c r="T391" s="116">
        <f>COUNTIFS(GERAL!B$8:B$1696,A391,GERAL!AZ$8:AZ$1696,"&gt;0",GERAL!C$8:C$1696,"ESCOLA")</f>
        <v>2</v>
      </c>
      <c r="U391" s="75">
        <f>COUNTIFS(GERAL!B$8:B$1696,A391,GERAL!AZ$8:AZ$1696,"&gt;0",GERAL!C$8:C$1696,"ANEXO")</f>
        <v>0</v>
      </c>
      <c r="V391" s="85">
        <f>SUMIF(GERAL!B$8:B$1696,A391,GERAL!AH$8:AH$1696)</f>
        <v>0</v>
      </c>
      <c r="W391" s="85">
        <f>SUMIF(GERAL!B$8:B$1696,A391,GERAL!AM$8:AM$1696)</f>
        <v>0</v>
      </c>
      <c r="X391" s="85">
        <f>SUMIF(GERAL!B$8:B$1696,A391,GERAL!AQ$8:AQ$1696)</f>
        <v>114</v>
      </c>
      <c r="Y391" s="85">
        <f>SUMIF(GERAL!B$8:B$1696,A391,GERAL!AU$8:AU$1696)</f>
        <v>0</v>
      </c>
      <c r="Z391" s="88">
        <f t="shared" si="40"/>
        <v>114</v>
      </c>
      <c r="AA391" s="116">
        <f>COUNTIFS(GERAL!B$8:B$1696,A391,GERAL!BK$8:BK$1696,"&gt;0",GERAL!C$8:C$1696,"ESCOLA")</f>
        <v>2</v>
      </c>
      <c r="AB391" s="88">
        <f>COUNTIFS(GERAL!B$8:B$1696,A391,GERAL!BK$8:BK$1696,"&gt;0",GERAL!C$8:C$1696,"ANEXO")</f>
        <v>0</v>
      </c>
      <c r="AC391" s="121">
        <f>SUMIF(GERAL!B$8:B$1696,A391,GERAL!AD$8:AD$1696)</f>
        <v>0</v>
      </c>
      <c r="AD391" s="121">
        <f>SUMIF(GERAL!B$8:B$1696,A391,GERAL!AI$8:AI$1696)</f>
        <v>335</v>
      </c>
      <c r="AE391" s="121">
        <f>SUMIF(GERAL!B$8:B$1696,A391,GERAL!AV$8:AV$1696)</f>
        <v>60</v>
      </c>
      <c r="AF391" s="492">
        <f t="shared" si="41"/>
        <v>395</v>
      </c>
      <c r="AG391" s="178">
        <f>COUNTIFS(GERAL!B$8:B$1696,A391,GERAL!AW$8:AW$1696,"&gt;0",GERAL!C$8:C$1696,"ESCOLA")</f>
        <v>1</v>
      </c>
      <c r="AH391" s="118">
        <f>COUNTIFS(GERAL!B$8:B$1696,A391,GERAL!AW$8:AW$1696,"&gt;0",GERAL!C$8:C$1696,"ANEXO")</f>
        <v>0</v>
      </c>
      <c r="AI391" s="177">
        <f>SUMIF(GERAL!B$8:B$1696,A391,GERAL!AS$8:AS$1696)+SUMIF(GERAL!B$8:B$1696,A391,GERAL!AT$8:AT$1696)</f>
        <v>0</v>
      </c>
      <c r="AJ391" s="177">
        <f>SUMIF(GERAL!B$8:B$1696,A391,GERAL!AU$8:AU$1696)</f>
        <v>0</v>
      </c>
      <c r="AK391" s="177">
        <f>SUMIF(GERAL!B$8:B$1696,A391,GERAL!AV$8:AV$1696)</f>
        <v>60</v>
      </c>
      <c r="AL391" s="118">
        <f t="shared" si="42"/>
        <v>60</v>
      </c>
      <c r="AM391" s="493" t="s">
        <v>1090</v>
      </c>
    </row>
    <row r="392">
      <c r="A392" s="484" t="s">
        <v>1270</v>
      </c>
      <c r="B392" s="75">
        <f>COUNTIFS(GERAL!B$8:B$1696,A392,GERAL!C$8:C$1696,"ESCOLA")</f>
        <v>6</v>
      </c>
      <c r="C392" s="75">
        <f>COUNTIFS(GERAL!B$8:B$1696,A392,GERAL!C$8:C$1696,"ANEXO")</f>
        <v>4</v>
      </c>
      <c r="D392" s="85">
        <f>SUMIF(GERAL!B$8:B$1696,A392,GERAL!Z$8:Z$1696)</f>
        <v>0</v>
      </c>
      <c r="E392" s="85">
        <f>SUMIF(GERAL!B$8:B$1696,A392,GERAL!AE$8:AE$1696)</f>
        <v>0</v>
      </c>
      <c r="F392" s="85">
        <f>SUMIF(GERAL!B$8:B$1696,A392,GERAL!AJ$8:AJ$1696)</f>
        <v>769</v>
      </c>
      <c r="G392" s="85">
        <f>SUMIF(GERAL!B$8:B$1696,A392,GERAL!AN$8:AN$1696)</f>
        <v>0</v>
      </c>
      <c r="H392" s="85">
        <f>SUMIF(GERAL!B$8:B$1696,A392,GERAL!AR$8:AW$1696)</f>
        <v>450</v>
      </c>
      <c r="I392" s="85">
        <f>SUMIF(GERAL!B$8:B$1696,A392,GERAL!AW$8:AW$1696)</f>
        <v>2203</v>
      </c>
      <c r="J392" s="75">
        <f>SUMIF(GERAL!B$8:B$1696,A392,GERAL!AX$8:AX$1696)</f>
        <v>3422</v>
      </c>
      <c r="K392" s="75">
        <f>COUNTIFS(GERAL!B$8:B$1696,A392,GERAL!AY$8:AY$1696,"&gt;0",GERAL!C$8:C$1696,"ESCOLA")</f>
        <v>4</v>
      </c>
      <c r="L392" s="75">
        <f>COUNTIFS(GERAL!B$8:B$1696,A392,GERAL!AY$8:AY$1696,"&gt;0",GERAL!C$8:C$1696,"ANEXO")</f>
        <v>1</v>
      </c>
      <c r="M392" s="100">
        <f>SUMIF(GERAL!B$8:B$1696,A392,GERAL!V$8:V$1696)+SUMIF(GERAL!B$8:B$1696,A392,GERAL!W$8:W$1696)</f>
        <v>0</v>
      </c>
      <c r="N392" s="100">
        <f>SUMIF(GERAL!B$8:B$1696,A392,GERAL!AA$8:AA$1696)+SUMIF(GERAL!B$8:B$1696,A392,GERAL!AB$8:AB$1696)</f>
        <v>0</v>
      </c>
      <c r="O392" s="100">
        <f>SUMIF(GERAL!B$8:B$1696,A392,GERAL!AF$8:AF$1696)+SUMIF(GERAL!B$8:B$1696,A392,GERAL!AG$8:AG$1696)</f>
        <v>252</v>
      </c>
      <c r="P392" s="100">
        <f>SUMIF(GERAL!B$8:B$1696,A392,GERAL!AK$8:AK$1696)+SUMIF(GERAL!B$8:B$1696,A392,GERAL!AL$8:AL$1696)</f>
        <v>0</v>
      </c>
      <c r="Q392" s="100">
        <f>SUMIF(GERAL!B$8:B$1696,A392,GERAL!AO$8:AO$1696)+SUMIF(GERAL!B$8:B$1696,A392,GERAL!AP$8:AP$1696)</f>
        <v>0</v>
      </c>
      <c r="R392" s="100">
        <f>SUMIF(GERAL!B$8:B$1696,A392,GERAL!AS$8:AS$1696)+SUMIF(GERAL!B$8:B$1696,A392,GERAL!AT$8:AT$1696)</f>
        <v>1650</v>
      </c>
      <c r="S392" s="75">
        <f t="shared" si="39"/>
        <v>1902</v>
      </c>
      <c r="T392" s="116">
        <f>COUNTIFS(GERAL!B$8:B$1696,A392,GERAL!AZ$8:AZ$1696,"&gt;0",GERAL!C$8:C$1696,"ESCOLA")</f>
        <v>4</v>
      </c>
      <c r="U392" s="75">
        <f>COUNTIFS(GERAL!B$8:B$1696,A392,GERAL!AZ$8:AZ$1696,"&gt;0",GERAL!C$8:C$1696,"ANEXO")</f>
        <v>4</v>
      </c>
      <c r="V392" s="85">
        <f>SUMIF(GERAL!B$8:B$1696,A392,GERAL!AH$8:AH$1696)</f>
        <v>102</v>
      </c>
      <c r="W392" s="85">
        <f>SUMIF(GERAL!B$8:B$1696,A392,GERAL!AM$8:AM$1696)</f>
        <v>0</v>
      </c>
      <c r="X392" s="85">
        <f>SUMIF(GERAL!B$8:B$1696,A392,GERAL!AQ$8:AQ$1696)</f>
        <v>450</v>
      </c>
      <c r="Y392" s="85">
        <f>SUMIF(GERAL!B$8:B$1696,A392,GERAL!AU$8:AU$1696)</f>
        <v>459</v>
      </c>
      <c r="Z392" s="88">
        <f t="shared" si="40"/>
        <v>1011</v>
      </c>
      <c r="AA392" s="116">
        <f>COUNTIFS(GERAL!B$8:B$1696,A392,GERAL!BK$8:BK$1696,"&gt;0",GERAL!C$8:C$1696,"ESCOLA")</f>
        <v>2</v>
      </c>
      <c r="AB392" s="88">
        <f>COUNTIFS(GERAL!B$8:B$1696,A392,GERAL!BK$8:BK$1696,"&gt;0",GERAL!C$8:C$1696,"ANEXO")</f>
        <v>0</v>
      </c>
      <c r="AC392" s="121">
        <f>SUMIF(GERAL!B$8:B$1696,A392,GERAL!AD$8:AD$1696)</f>
        <v>0</v>
      </c>
      <c r="AD392" s="121">
        <f>SUMIF(GERAL!B$8:B$1696,A392,GERAL!AI$8:AI$1696)</f>
        <v>415</v>
      </c>
      <c r="AE392" s="121">
        <f>SUMIF(GERAL!B$8:B$1696,A392,GERAL!AV$8:AV$1696)</f>
        <v>94</v>
      </c>
      <c r="AF392" s="492">
        <f t="shared" si="41"/>
        <v>509</v>
      </c>
      <c r="AG392" s="178">
        <f>COUNTIFS(GERAL!B$8:B$1696,A392,GERAL!AW$8:AW$1696,"&gt;0",GERAL!C$8:C$1696,"ESCOLA")</f>
        <v>2</v>
      </c>
      <c r="AH392" s="118">
        <f>COUNTIFS(GERAL!B$8:B$1696,A392,GERAL!AW$8:AW$1696,"&gt;0",GERAL!C$8:C$1696,"ANEXO")</f>
        <v>0</v>
      </c>
      <c r="AI392" s="177">
        <f>SUMIF(GERAL!B$8:B$1696,A392,GERAL!AS$8:AS$1696)+SUMIF(GERAL!B$8:B$1696,A392,GERAL!AT$8:AT$1696)</f>
        <v>1650</v>
      </c>
      <c r="AJ392" s="177">
        <f>SUMIF(GERAL!B$8:B$1696,A392,GERAL!AU$8:AU$1696)</f>
        <v>459</v>
      </c>
      <c r="AK392" s="177">
        <f>SUMIF(GERAL!B$8:B$1696,A392,GERAL!AV$8:AV$1696)</f>
        <v>94</v>
      </c>
      <c r="AL392" s="118">
        <f t="shared" si="42"/>
        <v>2203</v>
      </c>
      <c r="AM392" s="493" t="s">
        <v>383</v>
      </c>
    </row>
    <row r="393">
      <c r="A393" s="494" t="s">
        <v>4973</v>
      </c>
      <c r="B393" s="75">
        <f>COUNTIFS(GERAL!B$8:B$1696,A393,GERAL!C$8:C$1696,"ESCOLA")</f>
        <v>1</v>
      </c>
      <c r="C393" s="75">
        <f>COUNTIFS(GERAL!B$8:B$1696,A393,GERAL!C$8:C$1696,"ANEXO")</f>
        <v>0</v>
      </c>
      <c r="D393" s="85">
        <f>SUMIF(GERAL!B$8:B$1696,A393,GERAL!Z$8:Z$1696)</f>
        <v>0</v>
      </c>
      <c r="E393" s="85">
        <f>SUMIF(GERAL!B$8:B$1696,A393,GERAL!AE$8:AE$1696)</f>
        <v>0</v>
      </c>
      <c r="F393" s="85">
        <f>SUMIF(GERAL!B$8:B$1696,A393,GERAL!AJ$8:AJ$1696)</f>
        <v>206</v>
      </c>
      <c r="G393" s="85">
        <f>SUMIF(GERAL!B$8:B$1696,A393,GERAL!AN$8:AN$1696)</f>
        <v>0</v>
      </c>
      <c r="H393" s="85">
        <f>SUMIF(GERAL!B$8:B$1696,A393,GERAL!AR$8:AW$1696)</f>
        <v>128</v>
      </c>
      <c r="I393" s="85">
        <f>SUMIF(GERAL!B$8:B$1696,A393,GERAL!AW$8:AW$1696)</f>
        <v>177</v>
      </c>
      <c r="J393" s="75">
        <f>SUMIF(GERAL!B$8:B$1696,A393,GERAL!AX$8:AX$1696)</f>
        <v>511</v>
      </c>
      <c r="K393" s="75">
        <f>COUNTIFS(GERAL!B$8:B$1696,A393,GERAL!AY$8:AY$1696,"&gt;0",GERAL!C$8:C$1696,"ESCOLA")</f>
        <v>1</v>
      </c>
      <c r="L393" s="75">
        <f>COUNTIFS(GERAL!B$8:B$1696,A393,GERAL!AY$8:AY$1696,"&gt;0",GERAL!C$8:C$1696,"ANEXO")</f>
        <v>0</v>
      </c>
      <c r="M393" s="100">
        <f>SUMIF(GERAL!B$8:B$1696,A393,GERAL!V$8:V$1696)+SUMIF(GERAL!B$8:B$1696,A393,GERAL!W$8:W$1696)</f>
        <v>0</v>
      </c>
      <c r="N393" s="100">
        <f>SUMIF(GERAL!B$8:B$1696,A393,GERAL!AA$8:AA$1696)+SUMIF(GERAL!B$8:B$1696,A393,GERAL!AB$8:AB$1696)</f>
        <v>0</v>
      </c>
      <c r="O393" s="100">
        <f>SUMIF(GERAL!B$8:B$1696,A393,GERAL!AF$8:AF$1696)+SUMIF(GERAL!B$8:B$1696,A393,GERAL!AG$8:AG$1696)</f>
        <v>0</v>
      </c>
      <c r="P393" s="100">
        <f>SUMIF(GERAL!B$8:B$1696,A393,GERAL!AK$8:AK$1696)+SUMIF(GERAL!B$8:B$1696,A393,GERAL!AL$8:AL$1696)</f>
        <v>0</v>
      </c>
      <c r="Q393" s="100">
        <f>SUMIF(GERAL!B$8:B$1696,A393,GERAL!AO$8:AO$1696)+SUMIF(GERAL!B$8:B$1696,A393,GERAL!AP$8:AP$1696)</f>
        <v>0</v>
      </c>
      <c r="R393" s="100">
        <f>SUMIF(GERAL!B$8:B$1696,A393,GERAL!AS$8:AS$1696)+SUMIF(GERAL!B$8:B$1696,A393,GERAL!AT$8:AT$1696)</f>
        <v>177</v>
      </c>
      <c r="S393" s="75">
        <f t="shared" si="39"/>
        <v>177</v>
      </c>
      <c r="T393" s="116">
        <f>COUNTIFS(GERAL!B$8:B$1696,A393,GERAL!AZ$8:AZ$1696,"&gt;0",GERAL!C$8:C$1696,"ESCOLA")</f>
        <v>1</v>
      </c>
      <c r="U393" s="75">
        <f>COUNTIFS(GERAL!B$8:B$1696,A393,GERAL!AZ$8:AZ$1696,"&gt;0",GERAL!C$8:C$1696,"ANEXO")</f>
        <v>0</v>
      </c>
      <c r="V393" s="85">
        <f>SUMIF(GERAL!B$8:B$1696,A393,GERAL!AH$8:AH$1696)</f>
        <v>0</v>
      </c>
      <c r="W393" s="85">
        <f>SUMIF(GERAL!B$8:B$1696,A393,GERAL!AM$8:AM$1696)</f>
        <v>0</v>
      </c>
      <c r="X393" s="85">
        <f>SUMIF(GERAL!B$8:B$1696,A393,GERAL!AQ$8:AQ$1696)</f>
        <v>128</v>
      </c>
      <c r="Y393" s="85">
        <f>SUMIF(GERAL!B$8:B$1696,A393,GERAL!AU$8:AU$1696)</f>
        <v>0</v>
      </c>
      <c r="Z393" s="88">
        <f t="shared" si="40"/>
        <v>128</v>
      </c>
      <c r="AA393" s="116">
        <f>COUNTIFS(GERAL!B$8:B$1696,A393,GERAL!BK$8:BK$1696,"&gt;0",GERAL!C$8:C$1696,"ESCOLA")</f>
        <v>1</v>
      </c>
      <c r="AB393" s="88">
        <f>COUNTIFS(GERAL!B$8:B$1696,A393,GERAL!BK$8:BK$1696,"&gt;0",GERAL!C$8:C$1696,"ANEXO")</f>
        <v>0</v>
      </c>
      <c r="AC393" s="121">
        <f>SUMIF(GERAL!B$8:B$1696,A393,GERAL!AD$8:AD$1696)</f>
        <v>0</v>
      </c>
      <c r="AD393" s="121">
        <f>SUMIF(GERAL!B$8:B$1696,A393,GERAL!AI$8:AI$1696)</f>
        <v>206</v>
      </c>
      <c r="AE393" s="121">
        <f>SUMIF(GERAL!B$8:B$1696,A393,GERAL!AV$8:AV$1696)</f>
        <v>0</v>
      </c>
      <c r="AF393" s="492">
        <f t="shared" si="41"/>
        <v>206</v>
      </c>
      <c r="AG393" s="178">
        <f>COUNTIFS(GERAL!B$8:B$1696,A393,GERAL!AW$8:AW$1696,"&gt;0",GERAL!C$8:C$1696,"ESCOLA")</f>
        <v>1</v>
      </c>
      <c r="AH393" s="118">
        <f>COUNTIFS(GERAL!B$8:B$1696,A393,GERAL!AW$8:AW$1696,"&gt;0",GERAL!C$8:C$1696,"ANEXO")</f>
        <v>0</v>
      </c>
      <c r="AI393" s="177">
        <f>SUMIF(GERAL!B$8:B$1696,A393,GERAL!AS$8:AS$1696)+SUMIF(GERAL!B$8:B$1696,A393,GERAL!AT$8:AT$1696)</f>
        <v>177</v>
      </c>
      <c r="AJ393" s="177">
        <f>SUMIF(GERAL!B$8:B$1696,A393,GERAL!AU$8:AU$1696)</f>
        <v>0</v>
      </c>
      <c r="AK393" s="177">
        <f>SUMIF(GERAL!B$8:B$1696,A393,GERAL!AV$8:AV$1696)</f>
        <v>0</v>
      </c>
      <c r="AL393" s="118">
        <f t="shared" si="42"/>
        <v>177</v>
      </c>
      <c r="AM393" s="493" t="s">
        <v>1161</v>
      </c>
    </row>
    <row r="394">
      <c r="A394" s="484" t="s">
        <v>2361</v>
      </c>
      <c r="B394" s="75">
        <f>COUNTIFS(GERAL!B$8:B$1696,A394,GERAL!C$8:C$1696,"ESCOLA")</f>
        <v>10</v>
      </c>
      <c r="C394" s="75">
        <f>COUNTIFS(GERAL!B$8:B$1696,A394,GERAL!C$8:C$1696,"ANEXO")</f>
        <v>3</v>
      </c>
      <c r="D394" s="85">
        <f>SUMIF(GERAL!B$8:B$1696,A394,GERAL!Z$8:Z$1696)</f>
        <v>0</v>
      </c>
      <c r="E394" s="85">
        <f>SUMIF(GERAL!B$8:B$1696,A394,GERAL!AE$8:AE$1696)</f>
        <v>1563</v>
      </c>
      <c r="F394" s="85">
        <f>SUMIF(GERAL!B$8:B$1696,A394,GERAL!AJ$8:AJ$1696)</f>
        <v>2352</v>
      </c>
      <c r="G394" s="85">
        <f>SUMIF(GERAL!B$8:B$1696,A394,GERAL!AN$8:AN$1696)</f>
        <v>72</v>
      </c>
      <c r="H394" s="85">
        <f>SUMIF(GERAL!B$8:B$1696,A394,GERAL!AR$8:AW$1696)</f>
        <v>828</v>
      </c>
      <c r="I394" s="85">
        <f>SUMIF(GERAL!B$8:B$1696,A394,GERAL!AW$8:AW$1696)</f>
        <v>2220</v>
      </c>
      <c r="J394" s="75">
        <f>SUMIF(GERAL!B$8:B$1696,A394,GERAL!AX$8:AX$1696)</f>
        <v>7035</v>
      </c>
      <c r="K394" s="75">
        <f>COUNTIFS(GERAL!B$8:B$1696,A394,GERAL!AY$8:AY$1696,"&gt;0",GERAL!C$8:C$1696,"ESCOLA")</f>
        <v>10</v>
      </c>
      <c r="L394" s="75">
        <f>COUNTIFS(GERAL!B$8:B$1696,A394,GERAL!AY$8:AY$1696,"&gt;0",GERAL!C$8:C$1696,"ANEXO")</f>
        <v>2</v>
      </c>
      <c r="M394" s="100">
        <f>SUMIF(GERAL!B$8:B$1696,A394,GERAL!V$8:V$1696)+SUMIF(GERAL!B$8:B$1696,A394,GERAL!W$8:W$1696)</f>
        <v>0</v>
      </c>
      <c r="N394" s="100">
        <f>SUMIF(GERAL!B$8:B$1696,A394,GERAL!AA$8:AA$1696)+SUMIF(GERAL!B$8:B$1696,A394,GERAL!AB$8:AB$1696)</f>
        <v>1563</v>
      </c>
      <c r="O394" s="100">
        <f>SUMIF(GERAL!B$8:B$1696,A394,GERAL!AF$8:AF$1696)+SUMIF(GERAL!B$8:B$1696,A394,GERAL!AG$8:AG$1696)</f>
        <v>2273</v>
      </c>
      <c r="P394" s="100">
        <f>SUMIF(GERAL!B$8:B$1696,A394,GERAL!AK$8:AK$1696)+SUMIF(GERAL!B$8:B$1696,A394,GERAL!AL$8:AL$1696)</f>
        <v>72</v>
      </c>
      <c r="Q394" s="100">
        <f>SUMIF(GERAL!B$8:B$1696,A394,GERAL!AO$8:AO$1696)+SUMIF(GERAL!B$8:B$1696,A394,GERAL!AP$8:AP$1696)</f>
        <v>48</v>
      </c>
      <c r="R394" s="100">
        <f>SUMIF(GERAL!B$8:B$1696,A394,GERAL!AS$8:AS$1696)+SUMIF(GERAL!B$8:B$1696,A394,GERAL!AT$8:AT$1696)</f>
        <v>1483</v>
      </c>
      <c r="S394" s="75">
        <f t="shared" si="39"/>
        <v>5439</v>
      </c>
      <c r="T394" s="116">
        <f>COUNTIFS(GERAL!B$8:B$1696,A394,GERAL!AZ$8:AZ$1696,"&gt;0",GERAL!C$8:C$1696,"ESCOLA")</f>
        <v>8</v>
      </c>
      <c r="U394" s="75">
        <f>COUNTIFS(GERAL!B$8:B$1696,A394,GERAL!AZ$8:AZ$1696,"&gt;0",GERAL!C$8:C$1696,"ANEXO")</f>
        <v>1</v>
      </c>
      <c r="V394" s="85">
        <f>SUMIF(GERAL!B$8:B$1696,A394,GERAL!AH$8:AH$1696)</f>
        <v>0</v>
      </c>
      <c r="W394" s="85">
        <f>SUMIF(GERAL!B$8:B$1696,A394,GERAL!AM$8:AM$1696)</f>
        <v>0</v>
      </c>
      <c r="X394" s="85">
        <f>SUMIF(GERAL!B$8:B$1696,A394,GERAL!AQ$8:AQ$1696)</f>
        <v>780</v>
      </c>
      <c r="Y394" s="85">
        <f>SUMIF(GERAL!B$8:B$1696,A394,GERAL!AU$8:AU$1696)</f>
        <v>737</v>
      </c>
      <c r="Z394" s="88">
        <f t="shared" si="40"/>
        <v>1517</v>
      </c>
      <c r="AA394" s="116">
        <f>COUNTIFS(GERAL!B$8:B$1696,A394,GERAL!BK$8:BK$1696,"&gt;0",GERAL!C$8:C$1696,"ESCOLA")</f>
        <v>2</v>
      </c>
      <c r="AB394" s="88">
        <f>COUNTIFS(GERAL!B$8:B$1696,A394,GERAL!BK$8:BK$1696,"&gt;0",GERAL!C$8:C$1696,"ANEXO")</f>
        <v>0</v>
      </c>
      <c r="AC394" s="121">
        <f>SUMIF(GERAL!B$8:B$1696,A394,GERAL!AD$8:AD$1696)</f>
        <v>0</v>
      </c>
      <c r="AD394" s="121">
        <f>SUMIF(GERAL!B$8:B$1696,A394,GERAL!AI$8:AI$1696)</f>
        <v>79</v>
      </c>
      <c r="AE394" s="121">
        <f>SUMIF(GERAL!B$8:B$1696,A394,GERAL!AV$8:AV$1696)</f>
        <v>0</v>
      </c>
      <c r="AF394" s="492">
        <f t="shared" si="41"/>
        <v>79</v>
      </c>
      <c r="AG394" s="178">
        <f>COUNTIFS(GERAL!B$8:B$1696,A394,GERAL!AW$8:AW$1696,"&gt;0",GERAL!C$8:C$1696,"ESCOLA")</f>
        <v>3</v>
      </c>
      <c r="AH394" s="118">
        <f>COUNTIFS(GERAL!B$8:B$1696,A394,GERAL!AW$8:AW$1696,"&gt;0",GERAL!C$8:C$1696,"ANEXO")</f>
        <v>0</v>
      </c>
      <c r="AI394" s="177">
        <f>SUMIF(GERAL!B$8:B$1696,A394,GERAL!AS$8:AS$1696)+SUMIF(GERAL!B$8:B$1696,A394,GERAL!AT$8:AT$1696)</f>
        <v>1483</v>
      </c>
      <c r="AJ394" s="177">
        <f>SUMIF(GERAL!B$8:B$1696,A394,GERAL!AU$8:AU$1696)</f>
        <v>737</v>
      </c>
      <c r="AK394" s="177">
        <f>SUMIF(GERAL!B$8:B$1696,A394,GERAL!AV$8:AV$1696)</f>
        <v>0</v>
      </c>
      <c r="AL394" s="118">
        <f t="shared" si="42"/>
        <v>2220</v>
      </c>
      <c r="AM394" s="493" t="s">
        <v>1785</v>
      </c>
    </row>
    <row r="395">
      <c r="A395" s="494" t="s">
        <v>764</v>
      </c>
      <c r="B395" s="75">
        <f>COUNTIFS(GERAL!B$8:B$1696,A395,GERAL!C$8:C$1696,"ESCOLA")</f>
        <v>2</v>
      </c>
      <c r="C395" s="75">
        <f>COUNTIFS(GERAL!B$8:B$1696,A395,GERAL!C$8:C$1696,"ANEXO")</f>
        <v>1</v>
      </c>
      <c r="D395" s="85">
        <f>SUMIF(GERAL!B$8:B$1696,A395,GERAL!Z$8:Z$1696)</f>
        <v>0</v>
      </c>
      <c r="E395" s="85">
        <f>SUMIF(GERAL!B$8:B$1696,A395,GERAL!AE$8:AE$1696)</f>
        <v>0</v>
      </c>
      <c r="F395" s="85">
        <f>SUMIF(GERAL!B$8:B$1696,A395,GERAL!AJ$8:AJ$1696)</f>
        <v>435</v>
      </c>
      <c r="G395" s="85">
        <f>SUMIF(GERAL!B$8:B$1696,A395,GERAL!AN$8:AN$1696)</f>
        <v>0</v>
      </c>
      <c r="H395" s="85">
        <f>SUMIF(GERAL!B$8:B$1696,A395,GERAL!AR$8:AW$1696)</f>
        <v>49</v>
      </c>
      <c r="I395" s="85">
        <f>SUMIF(GERAL!B$8:B$1696,A395,GERAL!AW$8:AW$1696)</f>
        <v>163</v>
      </c>
      <c r="J395" s="75">
        <f>SUMIF(GERAL!B$8:B$1696,A395,GERAL!AX$8:AX$1696)</f>
        <v>647</v>
      </c>
      <c r="K395" s="75">
        <f>COUNTIFS(GERAL!B$8:B$1696,A395,GERAL!AY$8:AY$1696,"&gt;0",GERAL!C$8:C$1696,"ESCOLA")</f>
        <v>2</v>
      </c>
      <c r="L395" s="75">
        <f>COUNTIFS(GERAL!B$8:B$1696,A395,GERAL!AY$8:AY$1696,"&gt;0",GERAL!C$8:C$1696,"ANEXO")</f>
        <v>1</v>
      </c>
      <c r="M395" s="100">
        <f>SUMIF(GERAL!B$8:B$1696,A395,GERAL!V$8:V$1696)+SUMIF(GERAL!B$8:B$1696,A395,GERAL!W$8:W$1696)</f>
        <v>0</v>
      </c>
      <c r="N395" s="100">
        <f>SUMIF(GERAL!B$8:B$1696,A395,GERAL!AA$8:AA$1696)+SUMIF(GERAL!B$8:B$1696,A395,GERAL!AB$8:AB$1696)</f>
        <v>0</v>
      </c>
      <c r="O395" s="100">
        <f>SUMIF(GERAL!B$8:B$1696,A395,GERAL!AF$8:AF$1696)+SUMIF(GERAL!B$8:B$1696,A395,GERAL!AG$8:AG$1696)</f>
        <v>322</v>
      </c>
      <c r="P395" s="100">
        <f>SUMIF(GERAL!B$8:B$1696,A395,GERAL!AK$8:AK$1696)+SUMIF(GERAL!B$8:B$1696,A395,GERAL!AL$8:AL$1696)</f>
        <v>0</v>
      </c>
      <c r="Q395" s="100">
        <f>SUMIF(GERAL!B$8:B$1696,A395,GERAL!AO$8:AO$1696)+SUMIF(GERAL!B$8:B$1696,A395,GERAL!AP$8:AP$1696)</f>
        <v>0</v>
      </c>
      <c r="R395" s="100">
        <f>SUMIF(GERAL!B$8:B$1696,A395,GERAL!AS$8:AS$1696)+SUMIF(GERAL!B$8:B$1696,A395,GERAL!AT$8:AT$1696)</f>
        <v>116</v>
      </c>
      <c r="S395" s="75">
        <f t="shared" si="39"/>
        <v>438</v>
      </c>
      <c r="T395" s="116">
        <f>COUNTIFS(GERAL!B$8:B$1696,A395,GERAL!AZ$8:AZ$1696,"&gt;0",GERAL!C$8:C$1696,"ESCOLA")</f>
        <v>2</v>
      </c>
      <c r="U395" s="75">
        <f>COUNTIFS(GERAL!B$8:B$1696,A395,GERAL!AZ$8:AZ$1696,"&gt;0",GERAL!C$8:C$1696,"ANEXO")</f>
        <v>0</v>
      </c>
      <c r="V395" s="85">
        <f>SUMIF(GERAL!B$8:B$1696,A395,GERAL!AH$8:AH$1696)</f>
        <v>0</v>
      </c>
      <c r="W395" s="85">
        <f>SUMIF(GERAL!B$8:B$1696,A395,GERAL!AM$8:AM$1696)</f>
        <v>0</v>
      </c>
      <c r="X395" s="85">
        <f>SUMIF(GERAL!B$8:B$1696,A395,GERAL!AQ$8:AQ$1696)</f>
        <v>49</v>
      </c>
      <c r="Y395" s="85">
        <f>SUMIF(GERAL!B$8:B$1696,A395,GERAL!AU$8:AU$1696)</f>
        <v>32</v>
      </c>
      <c r="Z395" s="88">
        <f t="shared" si="40"/>
        <v>81</v>
      </c>
      <c r="AA395" s="116">
        <f>COUNTIFS(GERAL!B$8:B$1696,A395,GERAL!BK$8:BK$1696,"&gt;0",GERAL!C$8:C$1696,"ESCOLA")</f>
        <v>2</v>
      </c>
      <c r="AB395" s="88">
        <f>COUNTIFS(GERAL!B$8:B$1696,A395,GERAL!BK$8:BK$1696,"&gt;0",GERAL!C$8:C$1696,"ANEXO")</f>
        <v>0</v>
      </c>
      <c r="AC395" s="121">
        <f>SUMIF(GERAL!B$8:B$1696,A395,GERAL!AD$8:AD$1696)</f>
        <v>0</v>
      </c>
      <c r="AD395" s="121">
        <f>SUMIF(GERAL!B$8:B$1696,A395,GERAL!AI$8:AI$1696)</f>
        <v>113</v>
      </c>
      <c r="AE395" s="121">
        <f>SUMIF(GERAL!B$8:B$1696,A395,GERAL!AV$8:AV$1696)</f>
        <v>15</v>
      </c>
      <c r="AF395" s="492">
        <f t="shared" si="41"/>
        <v>128</v>
      </c>
      <c r="AG395" s="178">
        <f>COUNTIFS(GERAL!B$8:B$1696,A395,GERAL!AW$8:AW$1696,"&gt;0",GERAL!C$8:C$1696,"ESCOLA")</f>
        <v>2</v>
      </c>
      <c r="AH395" s="118">
        <f>COUNTIFS(GERAL!B$8:B$1696,A395,GERAL!AW$8:AW$1696,"&gt;0",GERAL!C$8:C$1696,"ANEXO")</f>
        <v>0</v>
      </c>
      <c r="AI395" s="177">
        <f>SUMIF(GERAL!B$8:B$1696,A395,GERAL!AS$8:AS$1696)+SUMIF(GERAL!B$8:B$1696,A395,GERAL!AT$8:AT$1696)</f>
        <v>116</v>
      </c>
      <c r="AJ395" s="177">
        <f>SUMIF(GERAL!B$8:B$1696,A395,GERAL!AU$8:AU$1696)</f>
        <v>32</v>
      </c>
      <c r="AK395" s="177">
        <f>SUMIF(GERAL!B$8:B$1696,A395,GERAL!AV$8:AV$1696)</f>
        <v>15</v>
      </c>
      <c r="AL395" s="118">
        <f t="shared" si="42"/>
        <v>163</v>
      </c>
      <c r="AM395" s="493" t="s">
        <v>205</v>
      </c>
    </row>
    <row r="396">
      <c r="A396" s="484" t="s">
        <v>5263</v>
      </c>
      <c r="B396" s="75">
        <f>COUNTIFS(GERAL!B$8:B$1696,A396,GERAL!C$8:C$1696,"ESCOLA")</f>
        <v>1</v>
      </c>
      <c r="C396" s="75">
        <f>COUNTIFS(GERAL!B$8:B$1696,A396,GERAL!C$8:C$1696,"ANEXO")</f>
        <v>0</v>
      </c>
      <c r="D396" s="85">
        <f>SUMIF(GERAL!B$8:B$1696,A396,GERAL!Z$8:Z$1696)</f>
        <v>0</v>
      </c>
      <c r="E396" s="85">
        <f>SUMIF(GERAL!B$8:B$1696,A396,GERAL!AE$8:AE$1696)</f>
        <v>0</v>
      </c>
      <c r="F396" s="85">
        <f>SUMIF(GERAL!B$8:B$1696,A396,GERAL!AJ$8:AJ$1696)</f>
        <v>148</v>
      </c>
      <c r="G396" s="85">
        <f>SUMIF(GERAL!B$8:B$1696,A396,GERAL!AN$8:AN$1696)</f>
        <v>0</v>
      </c>
      <c r="H396" s="85">
        <f>SUMIF(GERAL!B$8:B$1696,A396,GERAL!AR$8:AW$1696)</f>
        <v>154</v>
      </c>
      <c r="I396" s="85">
        <f>SUMIF(GERAL!B$8:B$1696,A396,GERAL!AW$8:AW$1696)</f>
        <v>218</v>
      </c>
      <c r="J396" s="75">
        <f>SUMIF(GERAL!B$8:B$1696,A396,GERAL!AX$8:AX$1696)</f>
        <v>520</v>
      </c>
      <c r="K396" s="75">
        <f>COUNTIFS(GERAL!B$8:B$1696,A396,GERAL!AY$8:AY$1696,"&gt;0",GERAL!C$8:C$1696,"ESCOLA")</f>
        <v>1</v>
      </c>
      <c r="L396" s="75">
        <f>COUNTIFS(GERAL!B$8:B$1696,A396,GERAL!AY$8:AY$1696,"&gt;0",GERAL!C$8:C$1696,"ANEXO")</f>
        <v>0</v>
      </c>
      <c r="M396" s="100">
        <f>SUMIF(GERAL!B$8:B$1696,A396,GERAL!V$8:V$1696)+SUMIF(GERAL!B$8:B$1696,A396,GERAL!W$8:W$1696)</f>
        <v>0</v>
      </c>
      <c r="N396" s="100">
        <f>SUMIF(GERAL!B$8:B$1696,A396,GERAL!AA$8:AA$1696)+SUMIF(GERAL!B$8:B$1696,A396,GERAL!AB$8:AB$1696)</f>
        <v>0</v>
      </c>
      <c r="O396" s="100">
        <f>SUMIF(GERAL!B$8:B$1696,A396,GERAL!AF$8:AF$1696)+SUMIF(GERAL!B$8:B$1696,A396,GERAL!AG$8:AG$1696)</f>
        <v>0</v>
      </c>
      <c r="P396" s="100">
        <f>SUMIF(GERAL!B$8:B$1696,A396,GERAL!AK$8:AK$1696)+SUMIF(GERAL!B$8:B$1696,A396,GERAL!AL$8:AL$1696)</f>
        <v>0</v>
      </c>
      <c r="Q396" s="100">
        <f>SUMIF(GERAL!B$8:B$1696,A396,GERAL!AO$8:AO$1696)+SUMIF(GERAL!B$8:B$1696,A396,GERAL!AP$8:AP$1696)</f>
        <v>0</v>
      </c>
      <c r="R396" s="100">
        <f>SUMIF(GERAL!B$8:B$1696,A396,GERAL!AS$8:AS$1696)+SUMIF(GERAL!B$8:B$1696,A396,GERAL!AT$8:AT$1696)</f>
        <v>0</v>
      </c>
      <c r="S396" s="75">
        <f t="shared" si="39"/>
        <v>0</v>
      </c>
      <c r="T396" s="116">
        <f>COUNTIFS(GERAL!B$8:B$1696,A396,GERAL!AZ$8:AZ$1696,"&gt;0",GERAL!C$8:C$1696,"ESCOLA")</f>
        <v>1</v>
      </c>
      <c r="U396" s="75">
        <f>COUNTIFS(GERAL!B$8:B$1696,A396,GERAL!AZ$8:AZ$1696,"&gt;0",GERAL!C$8:C$1696,"ANEXO")</f>
        <v>0</v>
      </c>
      <c r="V396" s="85">
        <f>SUMIF(GERAL!B$8:B$1696,A396,GERAL!AH$8:AH$1696)</f>
        <v>0</v>
      </c>
      <c r="W396" s="85">
        <f>SUMIF(GERAL!B$8:B$1696,A396,GERAL!AM$8:AM$1696)</f>
        <v>0</v>
      </c>
      <c r="X396" s="85">
        <f>SUMIF(GERAL!B$8:B$1696,A396,GERAL!AQ$8:AQ$1696)</f>
        <v>154</v>
      </c>
      <c r="Y396" s="85">
        <f>SUMIF(GERAL!B$8:B$1696,A396,GERAL!AU$8:AU$1696)</f>
        <v>27</v>
      </c>
      <c r="Z396" s="88">
        <f t="shared" si="40"/>
        <v>181</v>
      </c>
      <c r="AA396" s="116">
        <f>COUNTIFS(GERAL!B$8:B$1696,A396,GERAL!BK$8:BK$1696,"&gt;0",GERAL!C$8:C$1696,"ESCOLA")</f>
        <v>1</v>
      </c>
      <c r="AB396" s="88">
        <f>COUNTIFS(GERAL!B$8:B$1696,A396,GERAL!BK$8:BK$1696,"&gt;0",GERAL!C$8:C$1696,"ANEXO")</f>
        <v>0</v>
      </c>
      <c r="AC396" s="121">
        <f>SUMIF(GERAL!B$8:B$1696,A396,GERAL!AD$8:AD$1696)</f>
        <v>0</v>
      </c>
      <c r="AD396" s="121">
        <f>SUMIF(GERAL!B$8:B$1696,A396,GERAL!AI$8:AI$1696)</f>
        <v>148</v>
      </c>
      <c r="AE396" s="121">
        <f>SUMIF(GERAL!B$8:B$1696,A396,GERAL!AV$8:AV$1696)</f>
        <v>191</v>
      </c>
      <c r="AF396" s="492">
        <f t="shared" si="41"/>
        <v>339</v>
      </c>
      <c r="AG396" s="178">
        <f>COUNTIFS(GERAL!B$8:B$1696,A396,GERAL!AW$8:AW$1696,"&gt;0",GERAL!C$8:C$1696,"ESCOLA")</f>
        <v>1</v>
      </c>
      <c r="AH396" s="118">
        <f>COUNTIFS(GERAL!B$8:B$1696,A396,GERAL!AW$8:AW$1696,"&gt;0",GERAL!C$8:C$1696,"ANEXO")</f>
        <v>0</v>
      </c>
      <c r="AI396" s="177">
        <f>SUMIF(GERAL!B$8:B$1696,A396,GERAL!AS$8:AS$1696)+SUMIF(GERAL!B$8:B$1696,A396,GERAL!AT$8:AT$1696)</f>
        <v>0</v>
      </c>
      <c r="AJ396" s="177">
        <f>SUMIF(GERAL!B$8:B$1696,A396,GERAL!AU$8:AU$1696)</f>
        <v>27</v>
      </c>
      <c r="AK396" s="177">
        <f>SUMIF(GERAL!B$8:B$1696,A396,GERAL!AV$8:AV$1696)</f>
        <v>191</v>
      </c>
      <c r="AL396" s="118">
        <f t="shared" si="42"/>
        <v>218</v>
      </c>
      <c r="AM396" s="493" t="s">
        <v>1224</v>
      </c>
    </row>
    <row r="397">
      <c r="A397" s="494" t="s">
        <v>3366</v>
      </c>
      <c r="B397" s="75">
        <f>COUNTIFS(GERAL!B$8:B$1696,A397,GERAL!C$8:C$1696,"ESCOLA")</f>
        <v>2</v>
      </c>
      <c r="C397" s="75">
        <f>COUNTIFS(GERAL!B$8:B$1696,A397,GERAL!C$8:C$1696,"ANEXO")</f>
        <v>1</v>
      </c>
      <c r="D397" s="85">
        <f>SUMIF(GERAL!B$8:B$1696,A397,GERAL!Z$8:Z$1696)</f>
        <v>0</v>
      </c>
      <c r="E397" s="85">
        <f>SUMIF(GERAL!B$8:B$1696,A397,GERAL!AE$8:AE$1696)</f>
        <v>97</v>
      </c>
      <c r="F397" s="85">
        <f>SUMIF(GERAL!B$8:B$1696,A397,GERAL!AJ$8:AJ$1696)</f>
        <v>645</v>
      </c>
      <c r="G397" s="85">
        <f>SUMIF(GERAL!B$8:B$1696,A397,GERAL!AN$8:AN$1696)</f>
        <v>0</v>
      </c>
      <c r="H397" s="85">
        <f>SUMIF(GERAL!B$8:B$1696,A397,GERAL!AR$8:AW$1696)</f>
        <v>211</v>
      </c>
      <c r="I397" s="85">
        <f>SUMIF(GERAL!B$8:B$1696,A397,GERAL!AW$8:AW$1696)</f>
        <v>157</v>
      </c>
      <c r="J397" s="75">
        <f>SUMIF(GERAL!B$8:B$1696,A397,GERAL!AX$8:AX$1696)</f>
        <v>1110</v>
      </c>
      <c r="K397" s="75">
        <f>COUNTIFS(GERAL!B$8:B$1696,A397,GERAL!AY$8:AY$1696,"&gt;0",GERAL!C$8:C$1696,"ESCOLA")</f>
        <v>2</v>
      </c>
      <c r="L397" s="75">
        <f>COUNTIFS(GERAL!B$8:B$1696,A397,GERAL!AY$8:AY$1696,"&gt;0",GERAL!C$8:C$1696,"ANEXO")</f>
        <v>0</v>
      </c>
      <c r="M397" s="100">
        <f>SUMIF(GERAL!B$8:B$1696,A397,GERAL!V$8:V$1696)+SUMIF(GERAL!B$8:B$1696,A397,GERAL!W$8:W$1696)</f>
        <v>0</v>
      </c>
      <c r="N397" s="100">
        <f>SUMIF(GERAL!B$8:B$1696,A397,GERAL!AA$8:AA$1696)+SUMIF(GERAL!B$8:B$1696,A397,GERAL!AB$8:AB$1696)</f>
        <v>0</v>
      </c>
      <c r="O397" s="100">
        <f>SUMIF(GERAL!B$8:B$1696,A397,GERAL!AF$8:AF$1696)+SUMIF(GERAL!B$8:B$1696,A397,GERAL!AG$8:AG$1696)</f>
        <v>164</v>
      </c>
      <c r="P397" s="100">
        <f>SUMIF(GERAL!B$8:B$1696,A397,GERAL!AK$8:AK$1696)+SUMIF(GERAL!B$8:B$1696,A397,GERAL!AL$8:AL$1696)</f>
        <v>0</v>
      </c>
      <c r="Q397" s="100">
        <f>SUMIF(GERAL!B$8:B$1696,A397,GERAL!AO$8:AO$1696)+SUMIF(GERAL!B$8:B$1696,A397,GERAL!AP$8:AP$1696)</f>
        <v>0</v>
      </c>
      <c r="R397" s="100">
        <f>SUMIF(GERAL!B$8:B$1696,A397,GERAL!AS$8:AS$1696)+SUMIF(GERAL!B$8:B$1696,A397,GERAL!AT$8:AT$1696)</f>
        <v>0</v>
      </c>
      <c r="S397" s="75">
        <f t="shared" si="39"/>
        <v>164</v>
      </c>
      <c r="T397" s="116">
        <f>COUNTIFS(GERAL!B$8:B$1696,A397,GERAL!AZ$8:AZ$1696,"&gt;0",GERAL!C$8:C$1696,"ESCOLA")</f>
        <v>2</v>
      </c>
      <c r="U397" s="75">
        <f>COUNTIFS(GERAL!B$8:B$1696,A397,GERAL!AZ$8:AZ$1696,"&gt;0",GERAL!C$8:C$1696,"ANEXO")</f>
        <v>1</v>
      </c>
      <c r="V397" s="85">
        <f>SUMIF(GERAL!B$8:B$1696,A397,GERAL!AH$8:AH$1696)</f>
        <v>0</v>
      </c>
      <c r="W397" s="85">
        <f>SUMIF(GERAL!B$8:B$1696,A397,GERAL!AM$8:AM$1696)</f>
        <v>0</v>
      </c>
      <c r="X397" s="85">
        <f>SUMIF(GERAL!B$8:B$1696,A397,GERAL!AQ$8:AQ$1696)</f>
        <v>211</v>
      </c>
      <c r="Y397" s="85">
        <f>SUMIF(GERAL!B$8:B$1696,A397,GERAL!AU$8:AU$1696)</f>
        <v>35</v>
      </c>
      <c r="Z397" s="88">
        <f t="shared" si="40"/>
        <v>246</v>
      </c>
      <c r="AA397" s="116">
        <f>COUNTIFS(GERAL!B$8:B$1696,A397,GERAL!BK$8:BK$1696,"&gt;0",GERAL!C$8:C$1696,"ESCOLA")</f>
        <v>2</v>
      </c>
      <c r="AB397" s="88">
        <f>COUNTIFS(GERAL!B$8:B$1696,A397,GERAL!BK$8:BK$1696,"&gt;0",GERAL!C$8:C$1696,"ANEXO")</f>
        <v>0</v>
      </c>
      <c r="AC397" s="121">
        <f>SUMIF(GERAL!B$8:B$1696,A397,GERAL!AD$8:AD$1696)</f>
        <v>97</v>
      </c>
      <c r="AD397" s="121">
        <f>SUMIF(GERAL!B$8:B$1696,A397,GERAL!AI$8:AI$1696)</f>
        <v>481</v>
      </c>
      <c r="AE397" s="121">
        <f>SUMIF(GERAL!B$8:B$1696,A397,GERAL!AV$8:AV$1696)</f>
        <v>122</v>
      </c>
      <c r="AF397" s="492">
        <f t="shared" si="41"/>
        <v>700</v>
      </c>
      <c r="AG397" s="178">
        <f>COUNTIFS(GERAL!B$8:B$1696,A397,GERAL!AW$8:AW$1696,"&gt;0",GERAL!C$8:C$1696,"ESCOLA")</f>
        <v>1</v>
      </c>
      <c r="AH397" s="118">
        <f>COUNTIFS(GERAL!B$8:B$1696,A397,GERAL!AW$8:AW$1696,"&gt;0",GERAL!C$8:C$1696,"ANEXO")</f>
        <v>1</v>
      </c>
      <c r="AI397" s="177">
        <f>SUMIF(GERAL!B$8:B$1696,A397,GERAL!AS$8:AS$1696)+SUMIF(GERAL!B$8:B$1696,A397,GERAL!AT$8:AT$1696)</f>
        <v>0</v>
      </c>
      <c r="AJ397" s="177">
        <f>SUMIF(GERAL!B$8:B$1696,A397,GERAL!AU$8:AU$1696)</f>
        <v>35</v>
      </c>
      <c r="AK397" s="177">
        <f>SUMIF(GERAL!B$8:B$1696,A397,GERAL!AV$8:AV$1696)</f>
        <v>122</v>
      </c>
      <c r="AL397" s="118">
        <f t="shared" si="42"/>
        <v>157</v>
      </c>
      <c r="AM397" s="493" t="s">
        <v>796</v>
      </c>
    </row>
    <row r="398">
      <c r="A398" s="484" t="s">
        <v>1043</v>
      </c>
      <c r="B398" s="75">
        <f>COUNTIFS(GERAL!B$8:B$1696,A398,GERAL!C$8:C$1696,"ESCOLA")</f>
        <v>2</v>
      </c>
      <c r="C398" s="75">
        <f>COUNTIFS(GERAL!B$8:B$1696,A398,GERAL!C$8:C$1696,"ANEXO")</f>
        <v>0</v>
      </c>
      <c r="D398" s="85">
        <f>SUMIF(GERAL!B$8:B$1696,A398,GERAL!Z$8:Z$1696)</f>
        <v>0</v>
      </c>
      <c r="E398" s="85">
        <f>SUMIF(GERAL!B$8:B$1696,A398,GERAL!AE$8:AE$1696)</f>
        <v>0</v>
      </c>
      <c r="F398" s="85">
        <f>SUMIF(GERAL!B$8:B$1696,A398,GERAL!AJ$8:AJ$1696)</f>
        <v>645</v>
      </c>
      <c r="G398" s="85">
        <f>SUMIF(GERAL!B$8:B$1696,A398,GERAL!AN$8:AN$1696)</f>
        <v>0</v>
      </c>
      <c r="H398" s="85">
        <f>SUMIF(GERAL!B$8:B$1696,A398,GERAL!AR$8:AW$1696)</f>
        <v>177</v>
      </c>
      <c r="I398" s="85">
        <f>SUMIF(GERAL!B$8:B$1696,A398,GERAL!AW$8:AW$1696)</f>
        <v>89</v>
      </c>
      <c r="J398" s="75">
        <f>SUMIF(GERAL!B$8:B$1696,A398,GERAL!AX$8:AX$1696)</f>
        <v>911</v>
      </c>
      <c r="K398" s="75">
        <f>COUNTIFS(GERAL!B$8:B$1696,A398,GERAL!AY$8:AY$1696,"&gt;0",GERAL!C$8:C$1696,"ESCOLA")</f>
        <v>2</v>
      </c>
      <c r="L398" s="75">
        <f>COUNTIFS(GERAL!B$8:B$1696,A398,GERAL!AY$8:AY$1696,"&gt;0",GERAL!C$8:C$1696,"ANEXO")</f>
        <v>0</v>
      </c>
      <c r="M398" s="100">
        <f>SUMIF(GERAL!B$8:B$1696,A398,GERAL!V$8:V$1696)+SUMIF(GERAL!B$8:B$1696,A398,GERAL!W$8:W$1696)</f>
        <v>0</v>
      </c>
      <c r="N398" s="100">
        <f>SUMIF(GERAL!B$8:B$1696,A398,GERAL!AA$8:AA$1696)+SUMIF(GERAL!B$8:B$1696,A398,GERAL!AB$8:AB$1696)</f>
        <v>0</v>
      </c>
      <c r="O398" s="100">
        <f>SUMIF(GERAL!B$8:B$1696,A398,GERAL!AF$8:AF$1696)+SUMIF(GERAL!B$8:B$1696,A398,GERAL!AG$8:AG$1696)</f>
        <v>219</v>
      </c>
      <c r="P398" s="100">
        <f>SUMIF(GERAL!B$8:B$1696,A398,GERAL!AK$8:AK$1696)+SUMIF(GERAL!B$8:B$1696,A398,GERAL!AL$8:AL$1696)</f>
        <v>0</v>
      </c>
      <c r="Q398" s="100">
        <f>SUMIF(GERAL!B$8:B$1696,A398,GERAL!AO$8:AO$1696)+SUMIF(GERAL!B$8:B$1696,A398,GERAL!AP$8:AP$1696)</f>
        <v>0</v>
      </c>
      <c r="R398" s="100">
        <f>SUMIF(GERAL!B$8:B$1696,A398,GERAL!AS$8:AS$1696)+SUMIF(GERAL!B$8:B$1696,A398,GERAL!AT$8:AT$1696)</f>
        <v>0</v>
      </c>
      <c r="S398" s="75">
        <f t="shared" si="39"/>
        <v>219</v>
      </c>
      <c r="T398" s="116">
        <f>COUNTIFS(GERAL!B$8:B$1696,A398,GERAL!AZ$8:AZ$1696,"&gt;0",GERAL!C$8:C$1696,"ESCOLA")</f>
        <v>2</v>
      </c>
      <c r="U398" s="75">
        <f>COUNTIFS(GERAL!B$8:B$1696,A398,GERAL!AZ$8:AZ$1696,"&gt;0",GERAL!C$8:C$1696,"ANEXO")</f>
        <v>0</v>
      </c>
      <c r="V398" s="85">
        <f>SUMIF(GERAL!B$8:B$1696,A398,GERAL!AH$8:AH$1696)</f>
        <v>0</v>
      </c>
      <c r="W398" s="85">
        <f>SUMIF(GERAL!B$8:B$1696,A398,GERAL!AM$8:AM$1696)</f>
        <v>0</v>
      </c>
      <c r="X398" s="85">
        <f>SUMIF(GERAL!B$8:B$1696,A398,GERAL!AQ$8:AQ$1696)</f>
        <v>177</v>
      </c>
      <c r="Y398" s="85">
        <f>SUMIF(GERAL!B$8:B$1696,A398,GERAL!AU$8:AU$1696)</f>
        <v>20</v>
      </c>
      <c r="Z398" s="88">
        <f t="shared" si="40"/>
        <v>197</v>
      </c>
      <c r="AA398" s="116">
        <f>COUNTIFS(GERAL!B$8:B$1696,A398,GERAL!BK$8:BK$1696,"&gt;0",GERAL!C$8:C$1696,"ESCOLA")</f>
        <v>2</v>
      </c>
      <c r="AB398" s="88">
        <f>COUNTIFS(GERAL!B$8:B$1696,A398,GERAL!BK$8:BK$1696,"&gt;0",GERAL!C$8:C$1696,"ANEXO")</f>
        <v>0</v>
      </c>
      <c r="AC398" s="121">
        <f>SUMIF(GERAL!B$8:B$1696,A398,GERAL!AD$8:AD$1696)</f>
        <v>0</v>
      </c>
      <c r="AD398" s="121">
        <f>SUMIF(GERAL!B$8:B$1696,A398,GERAL!AI$8:AI$1696)</f>
        <v>426</v>
      </c>
      <c r="AE398" s="121">
        <f>SUMIF(GERAL!B$8:B$1696,A398,GERAL!AV$8:AV$1696)</f>
        <v>69</v>
      </c>
      <c r="AF398" s="492">
        <f t="shared" si="41"/>
        <v>495</v>
      </c>
      <c r="AG398" s="178">
        <f>COUNTIFS(GERAL!B$8:B$1696,A398,GERAL!AW$8:AW$1696,"&gt;0",GERAL!C$8:C$1696,"ESCOLA")</f>
        <v>1</v>
      </c>
      <c r="AH398" s="118">
        <f>COUNTIFS(GERAL!B$8:B$1696,A398,GERAL!AW$8:AW$1696,"&gt;0",GERAL!C$8:C$1696,"ANEXO")</f>
        <v>0</v>
      </c>
      <c r="AI398" s="177">
        <f>SUMIF(GERAL!B$8:B$1696,A398,GERAL!AS$8:AS$1696)+SUMIF(GERAL!B$8:B$1696,A398,GERAL!AT$8:AT$1696)</f>
        <v>0</v>
      </c>
      <c r="AJ398" s="177">
        <f>SUMIF(GERAL!B$8:B$1696,A398,GERAL!AU$8:AU$1696)</f>
        <v>20</v>
      </c>
      <c r="AK398" s="177">
        <f>SUMIF(GERAL!B$8:B$1696,A398,GERAL!AV$8:AV$1696)</f>
        <v>69</v>
      </c>
      <c r="AL398" s="118">
        <f t="shared" si="42"/>
        <v>89</v>
      </c>
      <c r="AM398" s="493" t="s">
        <v>285</v>
      </c>
    </row>
    <row r="399">
      <c r="A399" s="494" t="s">
        <v>2437</v>
      </c>
      <c r="B399" s="75">
        <f>COUNTIFS(GERAL!B$8:B$1696,A399,GERAL!C$8:C$1696,"ESCOLA")</f>
        <v>1</v>
      </c>
      <c r="C399" s="75">
        <f>COUNTIFS(GERAL!B$8:B$1696,A399,GERAL!C$8:C$1696,"ANEXO")</f>
        <v>2</v>
      </c>
      <c r="D399" s="85">
        <f>SUMIF(GERAL!B$8:B$1696,A399,GERAL!Z$8:Z$1696)</f>
        <v>0</v>
      </c>
      <c r="E399" s="85">
        <f>SUMIF(GERAL!B$8:B$1696,A399,GERAL!AE$8:AE$1696)</f>
        <v>0</v>
      </c>
      <c r="F399" s="85">
        <f>SUMIF(GERAL!B$8:B$1696,A399,GERAL!AJ$8:AJ$1696)</f>
        <v>496</v>
      </c>
      <c r="G399" s="85">
        <f>SUMIF(GERAL!B$8:B$1696,A399,GERAL!AN$8:AN$1696)</f>
        <v>0</v>
      </c>
      <c r="H399" s="85">
        <f>SUMIF(GERAL!B$8:B$1696,A399,GERAL!AR$8:AW$1696)</f>
        <v>0</v>
      </c>
      <c r="I399" s="85">
        <f>SUMIF(GERAL!B$8:B$1696,A399,GERAL!AW$8:AW$1696)</f>
        <v>48</v>
      </c>
      <c r="J399" s="75">
        <f>SUMIF(GERAL!B$8:B$1696,A399,GERAL!AX$8:AX$1696)</f>
        <v>544</v>
      </c>
      <c r="K399" s="75">
        <f>COUNTIFS(GERAL!B$8:B$1696,A399,GERAL!AY$8:AY$1696,"&gt;0",GERAL!C$8:C$1696,"ESCOLA")</f>
        <v>1</v>
      </c>
      <c r="L399" s="75">
        <f>COUNTIFS(GERAL!B$8:B$1696,A399,GERAL!AY$8:AY$1696,"&gt;0",GERAL!C$8:C$1696,"ANEXO")</f>
        <v>2</v>
      </c>
      <c r="M399" s="100">
        <f>SUMIF(GERAL!B$8:B$1696,A399,GERAL!V$8:V$1696)+SUMIF(GERAL!B$8:B$1696,A399,GERAL!W$8:W$1696)</f>
        <v>0</v>
      </c>
      <c r="N399" s="100">
        <f>SUMIF(GERAL!B$8:B$1696,A399,GERAL!AA$8:AA$1696)+SUMIF(GERAL!B$8:B$1696,A399,GERAL!AB$8:AB$1696)</f>
        <v>0</v>
      </c>
      <c r="O399" s="100">
        <f>SUMIF(GERAL!B$8:B$1696,A399,GERAL!AF$8:AF$1696)+SUMIF(GERAL!B$8:B$1696,A399,GERAL!AG$8:AG$1696)</f>
        <v>496</v>
      </c>
      <c r="P399" s="100">
        <f>SUMIF(GERAL!B$8:B$1696,A399,GERAL!AK$8:AK$1696)+SUMIF(GERAL!B$8:B$1696,A399,GERAL!AL$8:AL$1696)</f>
        <v>0</v>
      </c>
      <c r="Q399" s="100">
        <f>SUMIF(GERAL!B$8:B$1696,A399,GERAL!AO$8:AO$1696)+SUMIF(GERAL!B$8:B$1696,A399,GERAL!AP$8:AP$1696)</f>
        <v>0</v>
      </c>
      <c r="R399" s="100">
        <f>SUMIF(GERAL!B$8:B$1696,A399,GERAL!AS$8:AS$1696)+SUMIF(GERAL!B$8:B$1696,A399,GERAL!AT$8:AT$1696)</f>
        <v>29</v>
      </c>
      <c r="S399" s="75">
        <f t="shared" si="39"/>
        <v>525</v>
      </c>
      <c r="T399" s="116">
        <f>COUNTIFS(GERAL!B$8:B$1696,A399,GERAL!AZ$8:AZ$1696,"&gt;0",GERAL!C$8:C$1696,"ESCOLA")</f>
        <v>1</v>
      </c>
      <c r="U399" s="75">
        <f>COUNTIFS(GERAL!B$8:B$1696,A399,GERAL!AZ$8:AZ$1696,"&gt;0",GERAL!C$8:C$1696,"ANEXO")</f>
        <v>0</v>
      </c>
      <c r="V399" s="85">
        <f>SUMIF(GERAL!B$8:B$1696,A399,GERAL!AH$8:AH$1696)</f>
        <v>0</v>
      </c>
      <c r="W399" s="85">
        <f>SUMIF(GERAL!B$8:B$1696,A399,GERAL!AM$8:AM$1696)</f>
        <v>0</v>
      </c>
      <c r="X399" s="85">
        <f>SUMIF(GERAL!B$8:B$1696,A399,GERAL!AQ$8:AQ$1696)</f>
        <v>0</v>
      </c>
      <c r="Y399" s="85">
        <f>SUMIF(GERAL!B$8:B$1696,A399,GERAL!AU$8:AU$1696)</f>
        <v>19</v>
      </c>
      <c r="Z399" s="88">
        <f t="shared" si="40"/>
        <v>19</v>
      </c>
      <c r="AA399" s="116">
        <f>COUNTIFS(GERAL!B$8:B$1696,A399,GERAL!BK$8:BK$1696,"&gt;0",GERAL!C$8:C$1696,"ESCOLA")</f>
        <v>0</v>
      </c>
      <c r="AB399" s="88">
        <f>COUNTIFS(GERAL!B$8:B$1696,A399,GERAL!BK$8:BK$1696,"&gt;0",GERAL!C$8:C$1696,"ANEXO")</f>
        <v>0</v>
      </c>
      <c r="AC399" s="121">
        <f>SUMIF(GERAL!B$8:B$1696,A399,GERAL!AD$8:AD$1696)</f>
        <v>0</v>
      </c>
      <c r="AD399" s="121">
        <f>SUMIF(GERAL!B$8:B$1696,A399,GERAL!AI$8:AI$1696)</f>
        <v>0</v>
      </c>
      <c r="AE399" s="121">
        <f>SUMIF(GERAL!B$8:B$1696,A399,GERAL!AV$8:AV$1696)</f>
        <v>0</v>
      </c>
      <c r="AF399" s="492">
        <f t="shared" si="41"/>
        <v>0</v>
      </c>
      <c r="AG399" s="178">
        <f>COUNTIFS(GERAL!B$8:B$1696,A399,GERAL!AW$8:AW$1696,"&gt;0",GERAL!C$8:C$1696,"ESCOLA")</f>
        <v>1</v>
      </c>
      <c r="AH399" s="118">
        <f>COUNTIFS(GERAL!B$8:B$1696,A399,GERAL!AW$8:AW$1696,"&gt;0",GERAL!C$8:C$1696,"ANEXO")</f>
        <v>0</v>
      </c>
      <c r="AI399" s="177">
        <f>SUMIF(GERAL!B$8:B$1696,A399,GERAL!AS$8:AS$1696)+SUMIF(GERAL!B$8:B$1696,A399,GERAL!AT$8:AT$1696)</f>
        <v>29</v>
      </c>
      <c r="AJ399" s="177">
        <f>SUMIF(GERAL!B$8:B$1696,A399,GERAL!AU$8:AU$1696)</f>
        <v>19</v>
      </c>
      <c r="AK399" s="177">
        <f>SUMIF(GERAL!B$8:B$1696,A399,GERAL!AV$8:AV$1696)</f>
        <v>0</v>
      </c>
      <c r="AL399" s="118">
        <f t="shared" si="42"/>
        <v>48</v>
      </c>
      <c r="AM399" s="493" t="s">
        <v>1573</v>
      </c>
    </row>
    <row r="400">
      <c r="A400" s="484" t="s">
        <v>4278</v>
      </c>
      <c r="B400" s="75">
        <f>COUNTIFS(GERAL!B$8:B$1696,A400,GERAL!C$8:C$1696,"ESCOLA")</f>
        <v>2</v>
      </c>
      <c r="C400" s="75">
        <f>COUNTIFS(GERAL!B$8:B$1696,A400,GERAL!C$8:C$1696,"ANEXO")</f>
        <v>0</v>
      </c>
      <c r="D400" s="85">
        <f>SUMIF(GERAL!B$8:B$1696,A400,GERAL!Z$8:Z$1696)</f>
        <v>0</v>
      </c>
      <c r="E400" s="85">
        <f>SUMIF(GERAL!B$8:B$1696,A400,GERAL!AE$8:AE$1696)</f>
        <v>0</v>
      </c>
      <c r="F400" s="85">
        <f>SUMIF(GERAL!B$8:B$1696,A400,GERAL!AJ$8:AJ$1696)</f>
        <v>473</v>
      </c>
      <c r="G400" s="85">
        <f>SUMIF(GERAL!B$8:B$1696,A400,GERAL!AN$8:AN$1696)</f>
        <v>0</v>
      </c>
      <c r="H400" s="85">
        <f>SUMIF(GERAL!B$8:B$1696,A400,GERAL!AR$8:AW$1696)</f>
        <v>68</v>
      </c>
      <c r="I400" s="85">
        <f>SUMIF(GERAL!B$8:B$1696,A400,GERAL!AW$8:AW$1696)</f>
        <v>153</v>
      </c>
      <c r="J400" s="75">
        <f>SUMIF(GERAL!B$8:B$1696,A400,GERAL!AX$8:AX$1696)</f>
        <v>694</v>
      </c>
      <c r="K400" s="75">
        <f>COUNTIFS(GERAL!B$8:B$1696,A400,GERAL!AY$8:AY$1696,"&gt;0",GERAL!C$8:C$1696,"ESCOLA")</f>
        <v>2</v>
      </c>
      <c r="L400" s="75">
        <f>COUNTIFS(GERAL!B$8:B$1696,A400,GERAL!AY$8:AY$1696,"&gt;0",GERAL!C$8:C$1696,"ANEXO")</f>
        <v>0</v>
      </c>
      <c r="M400" s="100">
        <f>SUMIF(GERAL!B$8:B$1696,A400,GERAL!V$8:V$1696)+SUMIF(GERAL!B$8:B$1696,A400,GERAL!W$8:W$1696)</f>
        <v>0</v>
      </c>
      <c r="N400" s="100">
        <f>SUMIF(GERAL!B$8:B$1696,A400,GERAL!AA$8:AA$1696)+SUMIF(GERAL!B$8:B$1696,A400,GERAL!AB$8:AB$1696)</f>
        <v>0</v>
      </c>
      <c r="O400" s="100">
        <f>SUMIF(GERAL!B$8:B$1696,A400,GERAL!AF$8:AF$1696)+SUMIF(GERAL!B$8:B$1696,A400,GERAL!AG$8:AG$1696)</f>
        <v>355</v>
      </c>
      <c r="P400" s="100">
        <f>SUMIF(GERAL!B$8:B$1696,A400,GERAL!AK$8:AK$1696)+SUMIF(GERAL!B$8:B$1696,A400,GERAL!AL$8:AL$1696)</f>
        <v>0</v>
      </c>
      <c r="Q400" s="100">
        <f>SUMIF(GERAL!B$8:B$1696,A400,GERAL!AO$8:AO$1696)+SUMIF(GERAL!B$8:B$1696,A400,GERAL!AP$8:AP$1696)</f>
        <v>0</v>
      </c>
      <c r="R400" s="100">
        <f>SUMIF(GERAL!B$8:B$1696,A400,GERAL!AS$8:AS$1696)+SUMIF(GERAL!B$8:B$1696,A400,GERAL!AT$8:AT$1696)</f>
        <v>17</v>
      </c>
      <c r="S400" s="75">
        <f t="shared" si="39"/>
        <v>372</v>
      </c>
      <c r="T400" s="116">
        <f>COUNTIFS(GERAL!B$8:B$1696,A400,GERAL!AZ$8:AZ$1696,"&gt;0",GERAL!C$8:C$1696,"ESCOLA")</f>
        <v>2</v>
      </c>
      <c r="U400" s="75">
        <f>COUNTIFS(GERAL!B$8:B$1696,A400,GERAL!AZ$8:AZ$1696,"&gt;0",GERAL!C$8:C$1696,"ANEXO")</f>
        <v>0</v>
      </c>
      <c r="V400" s="85">
        <f>SUMIF(GERAL!B$8:B$1696,A400,GERAL!AH$8:AH$1696)</f>
        <v>0</v>
      </c>
      <c r="W400" s="85">
        <f>SUMIF(GERAL!B$8:B$1696,A400,GERAL!AM$8:AM$1696)</f>
        <v>0</v>
      </c>
      <c r="X400" s="85">
        <f>SUMIF(GERAL!B$8:B$1696,A400,GERAL!AQ$8:AQ$1696)</f>
        <v>68</v>
      </c>
      <c r="Y400" s="85">
        <f>SUMIF(GERAL!B$8:B$1696,A400,GERAL!AU$8:AU$1696)</f>
        <v>56</v>
      </c>
      <c r="Z400" s="88">
        <f t="shared" si="40"/>
        <v>124</v>
      </c>
      <c r="AA400" s="116">
        <f>COUNTIFS(GERAL!B$8:B$1696,A400,GERAL!BK$8:BK$1696,"&gt;0",GERAL!C$8:C$1696,"ESCOLA")</f>
        <v>2</v>
      </c>
      <c r="AB400" s="88">
        <f>COUNTIFS(GERAL!B$8:B$1696,A400,GERAL!BK$8:BK$1696,"&gt;0",GERAL!C$8:C$1696,"ANEXO")</f>
        <v>0</v>
      </c>
      <c r="AC400" s="121">
        <f>SUMIF(GERAL!B$8:B$1696,A400,GERAL!AD$8:AD$1696)</f>
        <v>0</v>
      </c>
      <c r="AD400" s="121">
        <f>SUMIF(GERAL!B$8:B$1696,A400,GERAL!AI$8:AI$1696)</f>
        <v>118</v>
      </c>
      <c r="AE400" s="121">
        <f>SUMIF(GERAL!B$8:B$1696,A400,GERAL!AV$8:AV$1696)</f>
        <v>80</v>
      </c>
      <c r="AF400" s="492">
        <f t="shared" si="41"/>
        <v>198</v>
      </c>
      <c r="AG400" s="178">
        <f>COUNTIFS(GERAL!B$8:B$1696,A400,GERAL!AW$8:AW$1696,"&gt;0",GERAL!C$8:C$1696,"ESCOLA")</f>
        <v>2</v>
      </c>
      <c r="AH400" s="118">
        <f>COUNTIFS(GERAL!B$8:B$1696,A400,GERAL!AW$8:AW$1696,"&gt;0",GERAL!C$8:C$1696,"ANEXO")</f>
        <v>0</v>
      </c>
      <c r="AI400" s="177">
        <f>SUMIF(GERAL!B$8:B$1696,A400,GERAL!AS$8:AS$1696)+SUMIF(GERAL!B$8:B$1696,A400,GERAL!AT$8:AT$1696)</f>
        <v>17</v>
      </c>
      <c r="AJ400" s="177">
        <f>SUMIF(GERAL!B$8:B$1696,A400,GERAL!AU$8:AU$1696)</f>
        <v>56</v>
      </c>
      <c r="AK400" s="177">
        <f>SUMIF(GERAL!B$8:B$1696,A400,GERAL!AV$8:AV$1696)</f>
        <v>80</v>
      </c>
      <c r="AL400" s="118">
        <f t="shared" si="42"/>
        <v>153</v>
      </c>
      <c r="AM400" s="493" t="s">
        <v>973</v>
      </c>
    </row>
    <row r="401">
      <c r="A401" s="494" t="s">
        <v>4296</v>
      </c>
      <c r="B401" s="75">
        <f>COUNTIFS(GERAL!B$8:B$1696,A401,GERAL!C$8:C$1696,"ESCOLA")</f>
        <v>1</v>
      </c>
      <c r="C401" s="75">
        <f>COUNTIFS(GERAL!B$8:B$1696,A401,GERAL!C$8:C$1696,"ANEXO")</f>
        <v>0</v>
      </c>
      <c r="D401" s="85">
        <f>SUMIF(GERAL!B$8:B$1696,A401,GERAL!Z$8:Z$1696)</f>
        <v>0</v>
      </c>
      <c r="E401" s="85">
        <f>SUMIF(GERAL!B$8:B$1696,A401,GERAL!AE$8:AE$1696)</f>
        <v>81</v>
      </c>
      <c r="F401" s="85">
        <f>SUMIF(GERAL!B$8:B$1696,A401,GERAL!AJ$8:AJ$1696)</f>
        <v>554</v>
      </c>
      <c r="G401" s="85">
        <f>SUMIF(GERAL!B$8:B$1696,A401,GERAL!AN$8:AN$1696)</f>
        <v>0</v>
      </c>
      <c r="H401" s="85">
        <f>SUMIF(GERAL!B$8:B$1696,A401,GERAL!AR$8:AW$1696)</f>
        <v>114</v>
      </c>
      <c r="I401" s="85">
        <f>SUMIF(GERAL!B$8:B$1696,A401,GERAL!AW$8:AW$1696)</f>
        <v>33</v>
      </c>
      <c r="J401" s="75">
        <f>SUMIF(GERAL!B$8:B$1696,A401,GERAL!AX$8:AX$1696)</f>
        <v>782</v>
      </c>
      <c r="K401" s="75">
        <f>COUNTIFS(GERAL!B$8:B$1696,A401,GERAL!AY$8:AY$1696,"&gt;0",GERAL!C$8:C$1696,"ESCOLA")</f>
        <v>1</v>
      </c>
      <c r="L401" s="75">
        <f>COUNTIFS(GERAL!B$8:B$1696,A401,GERAL!AY$8:AY$1696,"&gt;0",GERAL!C$8:C$1696,"ANEXO")</f>
        <v>0</v>
      </c>
      <c r="M401" s="100">
        <f>SUMIF(GERAL!B$8:B$1696,A401,GERAL!V$8:V$1696)+SUMIF(GERAL!B$8:B$1696,A401,GERAL!W$8:W$1696)</f>
        <v>0</v>
      </c>
      <c r="N401" s="100">
        <f>SUMIF(GERAL!B$8:B$1696,A401,GERAL!AA$8:AA$1696)+SUMIF(GERAL!B$8:B$1696,A401,GERAL!AB$8:AB$1696)</f>
        <v>0</v>
      </c>
      <c r="O401" s="100">
        <f>SUMIF(GERAL!B$8:B$1696,A401,GERAL!AF$8:AF$1696)+SUMIF(GERAL!B$8:B$1696,A401,GERAL!AG$8:AG$1696)</f>
        <v>0</v>
      </c>
      <c r="P401" s="100">
        <f>SUMIF(GERAL!B$8:B$1696,A401,GERAL!AK$8:AK$1696)+SUMIF(GERAL!B$8:B$1696,A401,GERAL!AL$8:AL$1696)</f>
        <v>0</v>
      </c>
      <c r="Q401" s="100">
        <f>SUMIF(GERAL!B$8:B$1696,A401,GERAL!AO$8:AO$1696)+SUMIF(GERAL!B$8:B$1696,A401,GERAL!AP$8:AP$1696)</f>
        <v>0</v>
      </c>
      <c r="R401" s="100">
        <f>SUMIF(GERAL!B$8:B$1696,A401,GERAL!AS$8:AS$1696)+SUMIF(GERAL!B$8:B$1696,A401,GERAL!AT$8:AT$1696)</f>
        <v>0</v>
      </c>
      <c r="S401" s="75">
        <f t="shared" si="39"/>
        <v>0</v>
      </c>
      <c r="T401" s="116">
        <f>COUNTIFS(GERAL!B$8:B$1696,A401,GERAL!AZ$8:AZ$1696,"&gt;0",GERAL!C$8:C$1696,"ESCOLA")</f>
        <v>1</v>
      </c>
      <c r="U401" s="75">
        <f>COUNTIFS(GERAL!B$8:B$1696,A401,GERAL!AZ$8:AZ$1696,"&gt;0",GERAL!C$8:C$1696,"ANEXO")</f>
        <v>0</v>
      </c>
      <c r="V401" s="85">
        <f>SUMIF(GERAL!B$8:B$1696,A401,GERAL!AH$8:AH$1696)</f>
        <v>0</v>
      </c>
      <c r="W401" s="85">
        <f>SUMIF(GERAL!B$8:B$1696,A401,GERAL!AM$8:AM$1696)</f>
        <v>0</v>
      </c>
      <c r="X401" s="85">
        <f>SUMIF(GERAL!B$8:B$1696,A401,GERAL!AQ$8:AQ$1696)</f>
        <v>114</v>
      </c>
      <c r="Y401" s="85">
        <f>SUMIF(GERAL!B$8:B$1696,A401,GERAL!AU$8:AU$1696)</f>
        <v>0</v>
      </c>
      <c r="Z401" s="88">
        <f t="shared" si="40"/>
        <v>114</v>
      </c>
      <c r="AA401" s="116">
        <f>COUNTIFS(GERAL!B$8:B$1696,A401,GERAL!BK$8:BK$1696,"&gt;0",GERAL!C$8:C$1696,"ESCOLA")</f>
        <v>1</v>
      </c>
      <c r="AB401" s="88">
        <f>COUNTIFS(GERAL!B$8:B$1696,A401,GERAL!BK$8:BK$1696,"&gt;0",GERAL!C$8:C$1696,"ANEXO")</f>
        <v>0</v>
      </c>
      <c r="AC401" s="121">
        <f>SUMIF(GERAL!B$8:B$1696,A401,GERAL!AD$8:AD$1696)</f>
        <v>81</v>
      </c>
      <c r="AD401" s="121">
        <f>SUMIF(GERAL!B$8:B$1696,A401,GERAL!AI$8:AI$1696)</f>
        <v>554</v>
      </c>
      <c r="AE401" s="121">
        <f>SUMIF(GERAL!B$8:B$1696,A401,GERAL!AV$8:AV$1696)</f>
        <v>33</v>
      </c>
      <c r="AF401" s="492">
        <f t="shared" si="41"/>
        <v>668</v>
      </c>
      <c r="AG401" s="178">
        <f>COUNTIFS(GERAL!B$8:B$1696,A401,GERAL!AW$8:AW$1696,"&gt;0",GERAL!C$8:C$1696,"ESCOLA")</f>
        <v>1</v>
      </c>
      <c r="AH401" s="118">
        <f>COUNTIFS(GERAL!B$8:B$1696,A401,GERAL!AW$8:AW$1696,"&gt;0",GERAL!C$8:C$1696,"ANEXO")</f>
        <v>0</v>
      </c>
      <c r="AI401" s="177">
        <f>SUMIF(GERAL!B$8:B$1696,A401,GERAL!AS$8:AS$1696)+SUMIF(GERAL!B$8:B$1696,A401,GERAL!AT$8:AT$1696)</f>
        <v>0</v>
      </c>
      <c r="AJ401" s="177">
        <f>SUMIF(GERAL!B$8:B$1696,A401,GERAL!AU$8:AU$1696)</f>
        <v>0</v>
      </c>
      <c r="AK401" s="177">
        <f>SUMIF(GERAL!B$8:B$1696,A401,GERAL!AV$8:AV$1696)</f>
        <v>33</v>
      </c>
      <c r="AL401" s="118">
        <f t="shared" si="42"/>
        <v>33</v>
      </c>
      <c r="AM401" s="493" t="s">
        <v>973</v>
      </c>
    </row>
    <row r="402">
      <c r="A402" s="484" t="s">
        <v>6068</v>
      </c>
      <c r="B402" s="75">
        <f>COUNTIFS(GERAL!B$8:B$1696,A402,GERAL!C$8:C$1696,"ESCOLA")</f>
        <v>1</v>
      </c>
      <c r="C402" s="75">
        <f>COUNTIFS(GERAL!B$8:B$1696,A402,GERAL!C$8:C$1696,"ANEXO")</f>
        <v>0</v>
      </c>
      <c r="D402" s="85">
        <f>SUMIF(GERAL!B$8:B$1696,A402,GERAL!Z$8:Z$1696)</f>
        <v>0</v>
      </c>
      <c r="E402" s="85">
        <f>SUMIF(GERAL!B$8:B$1696,A402,GERAL!AE$8:AE$1696)</f>
        <v>0</v>
      </c>
      <c r="F402" s="85">
        <f>SUMIF(GERAL!B$8:B$1696,A402,GERAL!AJ$8:AJ$1696)</f>
        <v>139</v>
      </c>
      <c r="G402" s="85">
        <f>SUMIF(GERAL!B$8:B$1696,A402,GERAL!AN$8:AN$1696)</f>
        <v>0</v>
      </c>
      <c r="H402" s="85">
        <f>SUMIF(GERAL!B$8:B$1696,A402,GERAL!AR$8:AW$1696)</f>
        <v>37</v>
      </c>
      <c r="I402" s="85">
        <f>SUMIF(GERAL!B$8:B$1696,A402,GERAL!AW$8:AW$1696)</f>
        <v>139</v>
      </c>
      <c r="J402" s="75">
        <f>SUMIF(GERAL!B$8:B$1696,A402,GERAL!AX$8:AX$1696)</f>
        <v>315</v>
      </c>
      <c r="K402" s="75">
        <f>COUNTIFS(GERAL!B$8:B$1696,A402,GERAL!AY$8:AY$1696,"&gt;0",GERAL!C$8:C$1696,"ESCOLA")</f>
        <v>1</v>
      </c>
      <c r="L402" s="75">
        <f>COUNTIFS(GERAL!B$8:B$1696,A402,GERAL!AY$8:AY$1696,"&gt;0",GERAL!C$8:C$1696,"ANEXO")</f>
        <v>0</v>
      </c>
      <c r="M402" s="100">
        <f>SUMIF(GERAL!B$8:B$1696,A402,GERAL!V$8:V$1696)+SUMIF(GERAL!B$8:B$1696,A402,GERAL!W$8:W$1696)</f>
        <v>0</v>
      </c>
      <c r="N402" s="100">
        <f>SUMIF(GERAL!B$8:B$1696,A402,GERAL!AA$8:AA$1696)+SUMIF(GERAL!B$8:B$1696,A402,GERAL!AB$8:AB$1696)</f>
        <v>0</v>
      </c>
      <c r="O402" s="100">
        <f>SUMIF(GERAL!B$8:B$1696,A402,GERAL!AF$8:AF$1696)+SUMIF(GERAL!B$8:B$1696,A402,GERAL!AG$8:AG$1696)</f>
        <v>41</v>
      </c>
      <c r="P402" s="100">
        <f>SUMIF(GERAL!B$8:B$1696,A402,GERAL!AK$8:AK$1696)+SUMIF(GERAL!B$8:B$1696,A402,GERAL!AL$8:AL$1696)</f>
        <v>0</v>
      </c>
      <c r="Q402" s="100">
        <f>SUMIF(GERAL!B$8:B$1696,A402,GERAL!AO$8:AO$1696)+SUMIF(GERAL!B$8:B$1696,A402,GERAL!AP$8:AP$1696)</f>
        <v>0</v>
      </c>
      <c r="R402" s="100">
        <f>SUMIF(GERAL!B$8:B$1696,A402,GERAL!AS$8:AS$1696)+SUMIF(GERAL!B$8:B$1696,A402,GERAL!AT$8:AT$1696)</f>
        <v>21</v>
      </c>
      <c r="S402" s="75">
        <f t="shared" si="39"/>
        <v>62</v>
      </c>
      <c r="T402" s="116">
        <f>COUNTIFS(GERAL!B$8:B$1696,A402,GERAL!AZ$8:AZ$1696,"&gt;0",GERAL!C$8:C$1696,"ESCOLA")</f>
        <v>1</v>
      </c>
      <c r="U402" s="75">
        <f>COUNTIFS(GERAL!B$8:B$1696,A402,GERAL!AZ$8:AZ$1696,"&gt;0",GERAL!C$8:C$1696,"ANEXO")</f>
        <v>0</v>
      </c>
      <c r="V402" s="85">
        <f>SUMIF(GERAL!B$8:B$1696,A402,GERAL!AH$8:AH$1696)</f>
        <v>0</v>
      </c>
      <c r="W402" s="85">
        <f>SUMIF(GERAL!B$8:B$1696,A402,GERAL!AM$8:AM$1696)</f>
        <v>0</v>
      </c>
      <c r="X402" s="85">
        <f>SUMIF(GERAL!B$8:B$1696,A402,GERAL!AQ$8:AQ$1696)</f>
        <v>37</v>
      </c>
      <c r="Y402" s="85">
        <f>SUMIF(GERAL!B$8:B$1696,A402,GERAL!AU$8:AU$1696)</f>
        <v>83</v>
      </c>
      <c r="Z402" s="88">
        <f t="shared" si="40"/>
        <v>120</v>
      </c>
      <c r="AA402" s="116">
        <f>COUNTIFS(GERAL!B$8:B$1696,A402,GERAL!BK$8:BK$1696,"&gt;0",GERAL!C$8:C$1696,"ESCOLA")</f>
        <v>1</v>
      </c>
      <c r="AB402" s="88">
        <f>COUNTIFS(GERAL!B$8:B$1696,A402,GERAL!BK$8:BK$1696,"&gt;0",GERAL!C$8:C$1696,"ANEXO")</f>
        <v>0</v>
      </c>
      <c r="AC402" s="121">
        <f>SUMIF(GERAL!B$8:B$1696,A402,GERAL!AD$8:AD$1696)</f>
        <v>0</v>
      </c>
      <c r="AD402" s="121">
        <f>SUMIF(GERAL!B$8:B$1696,A402,GERAL!AI$8:AI$1696)</f>
        <v>98</v>
      </c>
      <c r="AE402" s="121">
        <f>SUMIF(GERAL!B$8:B$1696,A402,GERAL!AV$8:AV$1696)</f>
        <v>35</v>
      </c>
      <c r="AF402" s="492">
        <f t="shared" si="41"/>
        <v>133</v>
      </c>
      <c r="AG402" s="178">
        <f>COUNTIFS(GERAL!B$8:B$1696,A402,GERAL!AW$8:AW$1696,"&gt;0",GERAL!C$8:C$1696,"ESCOLA")</f>
        <v>1</v>
      </c>
      <c r="AH402" s="118">
        <f>COUNTIFS(GERAL!B$8:B$1696,A402,GERAL!AW$8:AW$1696,"&gt;0",GERAL!C$8:C$1696,"ANEXO")</f>
        <v>0</v>
      </c>
      <c r="AI402" s="177">
        <f>SUMIF(GERAL!B$8:B$1696,A402,GERAL!AS$8:AS$1696)+SUMIF(GERAL!B$8:B$1696,A402,GERAL!AT$8:AT$1696)</f>
        <v>21</v>
      </c>
      <c r="AJ402" s="177">
        <f>SUMIF(GERAL!B$8:B$1696,A402,GERAL!AU$8:AU$1696)</f>
        <v>83</v>
      </c>
      <c r="AK402" s="177">
        <f>SUMIF(GERAL!B$8:B$1696,A402,GERAL!AV$8:AV$1696)</f>
        <v>35</v>
      </c>
      <c r="AL402" s="118">
        <f t="shared" si="42"/>
        <v>139</v>
      </c>
      <c r="AM402" s="493" t="s">
        <v>1335</v>
      </c>
    </row>
    <row r="403">
      <c r="A403" s="494" t="s">
        <v>1796</v>
      </c>
      <c r="B403" s="75">
        <f>COUNTIFS(GERAL!B$8:B$1696,A403,GERAL!C$8:C$1696,"ESCOLA")</f>
        <v>1</v>
      </c>
      <c r="C403" s="75">
        <f>COUNTIFS(GERAL!B$8:B$1696,A403,GERAL!C$8:C$1696,"ANEXO")</f>
        <v>5</v>
      </c>
      <c r="D403" s="85">
        <f>SUMIF(GERAL!B$8:B$1696,A403,GERAL!Z$8:Z$1696)</f>
        <v>0</v>
      </c>
      <c r="E403" s="85">
        <f>SUMIF(GERAL!B$8:B$1696,A403,GERAL!AE$8:AE$1696)</f>
        <v>0</v>
      </c>
      <c r="F403" s="85">
        <f>SUMIF(GERAL!B$8:B$1696,A403,GERAL!AJ$8:AJ$1696)</f>
        <v>331</v>
      </c>
      <c r="G403" s="85">
        <f>SUMIF(GERAL!B$8:B$1696,A403,GERAL!AN$8:AN$1696)</f>
        <v>0</v>
      </c>
      <c r="H403" s="85">
        <f>SUMIF(GERAL!B$8:B$1696,A403,GERAL!AR$8:AW$1696)</f>
        <v>116</v>
      </c>
      <c r="I403" s="85">
        <f>SUMIF(GERAL!B$8:B$1696,A403,GERAL!AW$8:AW$1696)</f>
        <v>52</v>
      </c>
      <c r="J403" s="75">
        <f>SUMIF(GERAL!B$8:B$1696,A403,GERAL!AX$8:AX$1696)</f>
        <v>499</v>
      </c>
      <c r="K403" s="75">
        <f>COUNTIFS(GERAL!B$8:B$1696,A403,GERAL!AY$8:AY$1696,"&gt;0",GERAL!C$8:C$1696,"ESCOLA")</f>
        <v>1</v>
      </c>
      <c r="L403" s="75">
        <f>COUNTIFS(GERAL!B$8:B$1696,A403,GERAL!AY$8:AY$1696,"&gt;0",GERAL!C$8:C$1696,"ANEXO")</f>
        <v>0</v>
      </c>
      <c r="M403" s="100">
        <f>SUMIF(GERAL!B$8:B$1696,A403,GERAL!V$8:V$1696)+SUMIF(GERAL!B$8:B$1696,A403,GERAL!W$8:W$1696)</f>
        <v>0</v>
      </c>
      <c r="N403" s="100">
        <f>SUMIF(GERAL!B$8:B$1696,A403,GERAL!AA$8:AA$1696)+SUMIF(GERAL!B$8:B$1696,A403,GERAL!AB$8:AB$1696)</f>
        <v>0</v>
      </c>
      <c r="O403" s="100">
        <f>SUMIF(GERAL!B$8:B$1696,A403,GERAL!AF$8:AF$1696)+SUMIF(GERAL!B$8:B$1696,A403,GERAL!AG$8:AG$1696)</f>
        <v>0</v>
      </c>
      <c r="P403" s="100">
        <f>SUMIF(GERAL!B$8:B$1696,A403,GERAL!AK$8:AK$1696)+SUMIF(GERAL!B$8:B$1696,A403,GERAL!AL$8:AL$1696)</f>
        <v>0</v>
      </c>
      <c r="Q403" s="100">
        <f>SUMIF(GERAL!B$8:B$1696,A403,GERAL!AO$8:AO$1696)+SUMIF(GERAL!B$8:B$1696,A403,GERAL!AP$8:AP$1696)</f>
        <v>0</v>
      </c>
      <c r="R403" s="100">
        <f>SUMIF(GERAL!B$8:B$1696,A403,GERAL!AS$8:AS$1696)+SUMIF(GERAL!B$8:B$1696,A403,GERAL!AT$8:AT$1696)</f>
        <v>0</v>
      </c>
      <c r="S403" s="75">
        <f t="shared" si="39"/>
        <v>0</v>
      </c>
      <c r="T403" s="116">
        <f>COUNTIFS(GERAL!B$8:B$1696,A403,GERAL!AZ$8:AZ$1696,"&gt;0",GERAL!C$8:C$1696,"ESCOLA")</f>
        <v>1</v>
      </c>
      <c r="U403" s="75">
        <f>COUNTIFS(GERAL!B$8:B$1696,A403,GERAL!AZ$8:AZ$1696,"&gt;0",GERAL!C$8:C$1696,"ANEXO")</f>
        <v>4</v>
      </c>
      <c r="V403" s="85">
        <f>SUMIF(GERAL!B$8:B$1696,A403,GERAL!AH$8:AH$1696)</f>
        <v>100</v>
      </c>
      <c r="W403" s="85">
        <f>SUMIF(GERAL!B$8:B$1696,A403,GERAL!AM$8:AM$1696)</f>
        <v>0</v>
      </c>
      <c r="X403" s="85">
        <f>SUMIF(GERAL!B$8:B$1696,A403,GERAL!AQ$8:AQ$1696)</f>
        <v>116</v>
      </c>
      <c r="Y403" s="85">
        <f>SUMIF(GERAL!B$8:B$1696,A403,GERAL!AU$8:AU$1696)</f>
        <v>0</v>
      </c>
      <c r="Z403" s="88">
        <f t="shared" si="40"/>
        <v>216</v>
      </c>
      <c r="AA403" s="116">
        <f>COUNTIFS(GERAL!B$8:B$1696,A403,GERAL!BK$8:BK$1696,"&gt;0",GERAL!C$8:C$1696,"ESCOLA")</f>
        <v>1</v>
      </c>
      <c r="AB403" s="88">
        <f>COUNTIFS(GERAL!B$8:B$1696,A403,GERAL!BK$8:BK$1696,"&gt;0",GERAL!C$8:C$1696,"ANEXO")</f>
        <v>0</v>
      </c>
      <c r="AC403" s="121">
        <f>SUMIF(GERAL!B$8:B$1696,A403,GERAL!AD$8:AD$1696)</f>
        <v>0</v>
      </c>
      <c r="AD403" s="121">
        <f>SUMIF(GERAL!B$8:B$1696,A403,GERAL!AI$8:AI$1696)</f>
        <v>231</v>
      </c>
      <c r="AE403" s="121">
        <f>SUMIF(GERAL!B$8:B$1696,A403,GERAL!AV$8:AV$1696)</f>
        <v>52</v>
      </c>
      <c r="AF403" s="492">
        <f t="shared" si="41"/>
        <v>283</v>
      </c>
      <c r="AG403" s="178">
        <f>COUNTIFS(GERAL!B$8:B$1696,A403,GERAL!AW$8:AW$1696,"&gt;0",GERAL!C$8:C$1696,"ESCOLA")</f>
        <v>1</v>
      </c>
      <c r="AH403" s="118">
        <f>COUNTIFS(GERAL!B$8:B$1696,A403,GERAL!AW$8:AW$1696,"&gt;0",GERAL!C$8:C$1696,"ANEXO")</f>
        <v>0</v>
      </c>
      <c r="AI403" s="177">
        <f>SUMIF(GERAL!B$8:B$1696,A403,GERAL!AS$8:AS$1696)+SUMIF(GERAL!B$8:B$1696,A403,GERAL!AT$8:AT$1696)</f>
        <v>0</v>
      </c>
      <c r="AJ403" s="177">
        <f>SUMIF(GERAL!B$8:B$1696,A403,GERAL!AU$8:AU$1696)</f>
        <v>0</v>
      </c>
      <c r="AK403" s="177">
        <f>SUMIF(GERAL!B$8:B$1696,A403,GERAL!AV$8:AV$1696)</f>
        <v>52</v>
      </c>
      <c r="AL403" s="118">
        <f t="shared" si="42"/>
        <v>52</v>
      </c>
      <c r="AM403" s="493" t="s">
        <v>540</v>
      </c>
    </row>
    <row r="404">
      <c r="A404" s="484" t="s">
        <v>4525</v>
      </c>
      <c r="B404" s="75">
        <f>COUNTIFS(GERAL!B$8:B$1696,A404,GERAL!C$8:C$1696,"ESCOLA")</f>
        <v>1</v>
      </c>
      <c r="C404" s="75">
        <f>COUNTIFS(GERAL!B$8:B$1696,A404,GERAL!C$8:C$1696,"ANEXO")</f>
        <v>0</v>
      </c>
      <c r="D404" s="85">
        <f>SUMIF(GERAL!B$8:B$1696,A404,GERAL!Z$8:Z$1696)</f>
        <v>0</v>
      </c>
      <c r="E404" s="85">
        <f>SUMIF(GERAL!B$8:B$1696,A404,GERAL!AE$8:AE$1696)</f>
        <v>0</v>
      </c>
      <c r="F404" s="85">
        <f>SUMIF(GERAL!B$8:B$1696,A404,GERAL!AJ$8:AJ$1696)</f>
        <v>473</v>
      </c>
      <c r="G404" s="85">
        <f>SUMIF(GERAL!B$8:B$1696,A404,GERAL!AN$8:AN$1696)</f>
        <v>0</v>
      </c>
      <c r="H404" s="85">
        <f>SUMIF(GERAL!B$8:B$1696,A404,GERAL!AR$8:AW$1696)</f>
        <v>145</v>
      </c>
      <c r="I404" s="85">
        <f>SUMIF(GERAL!B$8:B$1696,A404,GERAL!AW$8:AW$1696)</f>
        <v>147</v>
      </c>
      <c r="J404" s="75">
        <f>SUMIF(GERAL!B$8:B$1696,A404,GERAL!AX$8:AX$1696)</f>
        <v>765</v>
      </c>
      <c r="K404" s="75">
        <f>COUNTIFS(GERAL!B$8:B$1696,A404,GERAL!AY$8:AY$1696,"&gt;0",GERAL!C$8:C$1696,"ESCOLA")</f>
        <v>1</v>
      </c>
      <c r="L404" s="75">
        <f>COUNTIFS(GERAL!B$8:B$1696,A404,GERAL!AY$8:AY$1696,"&gt;0",GERAL!C$8:C$1696,"ANEXO")</f>
        <v>0</v>
      </c>
      <c r="M404" s="100">
        <f>SUMIF(GERAL!B$8:B$1696,A404,GERAL!V$8:V$1696)+SUMIF(GERAL!B$8:B$1696,A404,GERAL!W$8:W$1696)</f>
        <v>0</v>
      </c>
      <c r="N404" s="100">
        <f>SUMIF(GERAL!B$8:B$1696,A404,GERAL!AA$8:AA$1696)+SUMIF(GERAL!B$8:B$1696,A404,GERAL!AB$8:AB$1696)</f>
        <v>0</v>
      </c>
      <c r="O404" s="100">
        <f>SUMIF(GERAL!B$8:B$1696,A404,GERAL!AF$8:AF$1696)+SUMIF(GERAL!B$8:B$1696,A404,GERAL!AG$8:AG$1696)</f>
        <v>409</v>
      </c>
      <c r="P404" s="100">
        <f>SUMIF(GERAL!B$8:B$1696,A404,GERAL!AK$8:AK$1696)+SUMIF(GERAL!B$8:B$1696,A404,GERAL!AL$8:AL$1696)</f>
        <v>0</v>
      </c>
      <c r="Q404" s="100">
        <f>SUMIF(GERAL!B$8:B$1696,A404,GERAL!AO$8:AO$1696)+SUMIF(GERAL!B$8:B$1696,A404,GERAL!AP$8:AP$1696)</f>
        <v>0</v>
      </c>
      <c r="R404" s="100">
        <f>SUMIF(GERAL!B$8:B$1696,A404,GERAL!AS$8:AS$1696)+SUMIF(GERAL!B$8:B$1696,A404,GERAL!AT$8:AT$1696)</f>
        <v>63</v>
      </c>
      <c r="S404" s="75">
        <f t="shared" si="39"/>
        <v>472</v>
      </c>
      <c r="T404" s="116">
        <f>COUNTIFS(GERAL!B$8:B$1696,A404,GERAL!AZ$8:AZ$1696,"&gt;0",GERAL!C$8:C$1696,"ESCOLA")</f>
        <v>1</v>
      </c>
      <c r="U404" s="75">
        <f>COUNTIFS(GERAL!B$8:B$1696,A404,GERAL!AZ$8:AZ$1696,"&gt;0",GERAL!C$8:C$1696,"ANEXO")</f>
        <v>0</v>
      </c>
      <c r="V404" s="85">
        <f>SUMIF(GERAL!B$8:B$1696,A404,GERAL!AH$8:AH$1696)</f>
        <v>0</v>
      </c>
      <c r="W404" s="85">
        <f>SUMIF(GERAL!B$8:B$1696,A404,GERAL!AM$8:AM$1696)</f>
        <v>0</v>
      </c>
      <c r="X404" s="85">
        <f>SUMIF(GERAL!B$8:B$1696,A404,GERAL!AQ$8:AQ$1696)</f>
        <v>145</v>
      </c>
      <c r="Y404" s="85">
        <f>SUMIF(GERAL!B$8:B$1696,A404,GERAL!AU$8:AU$1696)</f>
        <v>46</v>
      </c>
      <c r="Z404" s="88">
        <f t="shared" si="40"/>
        <v>191</v>
      </c>
      <c r="AA404" s="116">
        <f>COUNTIFS(GERAL!B$8:B$1696,A404,GERAL!BK$8:BK$1696,"&gt;0",GERAL!C$8:C$1696,"ESCOLA")</f>
        <v>1</v>
      </c>
      <c r="AB404" s="88">
        <f>COUNTIFS(GERAL!B$8:B$1696,A404,GERAL!BK$8:BK$1696,"&gt;0",GERAL!C$8:C$1696,"ANEXO")</f>
        <v>0</v>
      </c>
      <c r="AC404" s="121">
        <f>SUMIF(GERAL!B$8:B$1696,A404,GERAL!AD$8:AD$1696)</f>
        <v>0</v>
      </c>
      <c r="AD404" s="121">
        <f>SUMIF(GERAL!B$8:B$1696,A404,GERAL!AI$8:AI$1696)</f>
        <v>64</v>
      </c>
      <c r="AE404" s="121">
        <f>SUMIF(GERAL!B$8:B$1696,A404,GERAL!AV$8:AV$1696)</f>
        <v>38</v>
      </c>
      <c r="AF404" s="492">
        <f t="shared" si="41"/>
        <v>102</v>
      </c>
      <c r="AG404" s="178">
        <f>COUNTIFS(GERAL!B$8:B$1696,A404,GERAL!AW$8:AW$1696,"&gt;0",GERAL!C$8:C$1696,"ESCOLA")</f>
        <v>1</v>
      </c>
      <c r="AH404" s="118">
        <f>COUNTIFS(GERAL!B$8:B$1696,A404,GERAL!AW$8:AW$1696,"&gt;0",GERAL!C$8:C$1696,"ANEXO")</f>
        <v>0</v>
      </c>
      <c r="AI404" s="177">
        <f>SUMIF(GERAL!B$8:B$1696,A404,GERAL!AS$8:AS$1696)+SUMIF(GERAL!B$8:B$1696,A404,GERAL!AT$8:AT$1696)</f>
        <v>63</v>
      </c>
      <c r="AJ404" s="177">
        <f>SUMIF(GERAL!B$8:B$1696,A404,GERAL!AU$8:AU$1696)</f>
        <v>46</v>
      </c>
      <c r="AK404" s="177">
        <f>SUMIF(GERAL!B$8:B$1696,A404,GERAL!AV$8:AV$1696)</f>
        <v>38</v>
      </c>
      <c r="AL404" s="118">
        <f t="shared" si="42"/>
        <v>147</v>
      </c>
      <c r="AM404" s="493" t="s">
        <v>1027</v>
      </c>
    </row>
    <row r="405">
      <c r="A405" s="494" t="s">
        <v>2296</v>
      </c>
      <c r="B405" s="75">
        <f>COUNTIFS(GERAL!B$8:B$1696,A405,GERAL!C$8:C$1696,"ESCOLA")</f>
        <v>7</v>
      </c>
      <c r="C405" s="75">
        <f>COUNTIFS(GERAL!B$8:B$1696,A405,GERAL!C$8:C$1696,"ANEXO")</f>
        <v>4</v>
      </c>
      <c r="D405" s="85">
        <f>SUMIF(GERAL!B$8:B$1696,A405,GERAL!Z$8:Z$1696)</f>
        <v>0</v>
      </c>
      <c r="E405" s="85">
        <f>SUMIF(GERAL!B$8:B$1696,A405,GERAL!AE$8:AE$1696)</f>
        <v>480</v>
      </c>
      <c r="F405" s="85">
        <f>SUMIF(GERAL!B$8:B$1696,A405,GERAL!AJ$8:AJ$1696)</f>
        <v>2568</v>
      </c>
      <c r="G405" s="85">
        <f>SUMIF(GERAL!B$8:B$1696,A405,GERAL!AN$8:AN$1696)</f>
        <v>82</v>
      </c>
      <c r="H405" s="85">
        <f>SUMIF(GERAL!B$8:B$1696,A405,GERAL!AR$8:AW$1696)</f>
        <v>1194</v>
      </c>
      <c r="I405" s="85">
        <f>SUMIF(GERAL!B$8:B$1696,A405,GERAL!AW$8:AW$1696)</f>
        <v>1010</v>
      </c>
      <c r="J405" s="75">
        <f>SUMIF(GERAL!B$8:B$1696,A405,GERAL!AX$8:AX$1696)</f>
        <v>5334</v>
      </c>
      <c r="K405" s="75">
        <f>COUNTIFS(GERAL!B$8:B$1696,A405,GERAL!AY$8:AY$1696,"&gt;0",GERAL!C$8:C$1696,"ESCOLA")</f>
        <v>6</v>
      </c>
      <c r="L405" s="75">
        <f>COUNTIFS(GERAL!B$8:B$1696,A405,GERAL!AY$8:AY$1696,"&gt;0",GERAL!C$8:C$1696,"ANEXO")</f>
        <v>1</v>
      </c>
      <c r="M405" s="100">
        <f>SUMIF(GERAL!B$8:B$1696,A405,GERAL!V$8:V$1696)+SUMIF(GERAL!B$8:B$1696,A405,GERAL!W$8:W$1696)</f>
        <v>0</v>
      </c>
      <c r="N405" s="100">
        <f>SUMIF(GERAL!B$8:B$1696,A405,GERAL!AA$8:AA$1696)+SUMIF(GERAL!B$8:B$1696,A405,GERAL!AB$8:AB$1696)</f>
        <v>284</v>
      </c>
      <c r="O405" s="100">
        <f>SUMIF(GERAL!B$8:B$1696,A405,GERAL!AF$8:AF$1696)+SUMIF(GERAL!B$8:B$1696,A405,GERAL!AG$8:AG$1696)</f>
        <v>274</v>
      </c>
      <c r="P405" s="100">
        <f>SUMIF(GERAL!B$8:B$1696,A405,GERAL!AK$8:AK$1696)+SUMIF(GERAL!B$8:B$1696,A405,GERAL!AL$8:AL$1696)</f>
        <v>82</v>
      </c>
      <c r="Q405" s="100">
        <f>SUMIF(GERAL!B$8:B$1696,A405,GERAL!AO$8:AO$1696)+SUMIF(GERAL!B$8:B$1696,A405,GERAL!AP$8:AP$1696)</f>
        <v>126</v>
      </c>
      <c r="R405" s="100">
        <f>SUMIF(GERAL!B$8:B$1696,A405,GERAL!AS$8:AS$1696)+SUMIF(GERAL!B$8:B$1696,A405,GERAL!AT$8:AT$1696)</f>
        <v>523</v>
      </c>
      <c r="S405" s="75">
        <f t="shared" si="39"/>
        <v>1289</v>
      </c>
      <c r="T405" s="116">
        <f>COUNTIFS(GERAL!B$8:B$1696,A405,GERAL!AZ$8:AZ$1696,"&gt;0",GERAL!C$8:C$1696,"ESCOLA")</f>
        <v>5</v>
      </c>
      <c r="U405" s="75">
        <f>COUNTIFS(GERAL!B$8:B$1696,A405,GERAL!AZ$8:AZ$1696,"&gt;0",GERAL!C$8:C$1696,"ANEXO")</f>
        <v>3</v>
      </c>
      <c r="V405" s="85">
        <f>SUMIF(GERAL!B$8:B$1696,A405,GERAL!AH$8:AH$1696)</f>
        <v>0</v>
      </c>
      <c r="W405" s="85">
        <f>SUMIF(GERAL!B$8:B$1696,A405,GERAL!AM$8:AM$1696)</f>
        <v>0</v>
      </c>
      <c r="X405" s="85">
        <f>SUMIF(GERAL!B$8:B$1696,A405,GERAL!AQ$8:AQ$1696)</f>
        <v>1068</v>
      </c>
      <c r="Y405" s="85">
        <f>SUMIF(GERAL!B$8:B$1696,A405,GERAL!AU$8:AU$1696)</f>
        <v>246</v>
      </c>
      <c r="Z405" s="88">
        <f t="shared" si="40"/>
        <v>1314</v>
      </c>
      <c r="AA405" s="116">
        <f>COUNTIFS(GERAL!B$8:B$1696,A405,GERAL!BK$8:BK$1696,"&gt;0",GERAL!C$8:C$1696,"ESCOLA")</f>
        <v>6</v>
      </c>
      <c r="AB405" s="88">
        <f>COUNTIFS(GERAL!B$8:B$1696,A405,GERAL!BK$8:BK$1696,"&gt;0",GERAL!C$8:C$1696,"ANEXO")</f>
        <v>0</v>
      </c>
      <c r="AC405" s="121">
        <f>SUMIF(GERAL!B$8:B$1696,A405,GERAL!AD$8:AD$1696)</f>
        <v>196</v>
      </c>
      <c r="AD405" s="121">
        <f>SUMIF(GERAL!B$8:B$1696,A405,GERAL!AI$8:AI$1696)</f>
        <v>2294</v>
      </c>
      <c r="AE405" s="121">
        <f>SUMIF(GERAL!B$8:B$1696,A405,GERAL!AV$8:AV$1696)</f>
        <v>241</v>
      </c>
      <c r="AF405" s="492">
        <f t="shared" si="41"/>
        <v>2731</v>
      </c>
      <c r="AG405" s="178">
        <f>COUNTIFS(GERAL!B$8:B$1696,A405,GERAL!AW$8:AW$1696,"&gt;0",GERAL!C$8:C$1696,"ESCOLA")</f>
        <v>2</v>
      </c>
      <c r="AH405" s="118">
        <f>COUNTIFS(GERAL!B$8:B$1696,A405,GERAL!AW$8:AW$1696,"&gt;0",GERAL!C$8:C$1696,"ANEXO")</f>
        <v>0</v>
      </c>
      <c r="AI405" s="177">
        <f>SUMIF(GERAL!B$8:B$1696,A405,GERAL!AS$8:AS$1696)+SUMIF(GERAL!B$8:B$1696,A405,GERAL!AT$8:AT$1696)</f>
        <v>523</v>
      </c>
      <c r="AJ405" s="177">
        <f>SUMIF(GERAL!B$8:B$1696,A405,GERAL!AU$8:AU$1696)</f>
        <v>246</v>
      </c>
      <c r="AK405" s="177">
        <f>SUMIF(GERAL!B$8:B$1696,A405,GERAL!AV$8:AV$1696)</f>
        <v>241</v>
      </c>
      <c r="AL405" s="118">
        <f t="shared" si="42"/>
        <v>1010</v>
      </c>
      <c r="AM405" s="493" t="s">
        <v>605</v>
      </c>
    </row>
    <row r="406">
      <c r="A406" s="484" t="s">
        <v>6077</v>
      </c>
      <c r="B406" s="75">
        <f>COUNTIFS(GERAL!B$8:B$1696,A406,GERAL!C$8:C$1696,"ESCOLA")</f>
        <v>1</v>
      </c>
      <c r="C406" s="75">
        <f>COUNTIFS(GERAL!B$8:B$1696,A406,GERAL!C$8:C$1696,"ANEXO")</f>
        <v>0</v>
      </c>
      <c r="D406" s="85">
        <f>SUMIF(GERAL!B$8:B$1696,A406,GERAL!Z$8:Z$1696)</f>
        <v>0</v>
      </c>
      <c r="E406" s="85">
        <f>SUMIF(GERAL!B$8:B$1696,A406,GERAL!AE$8:AE$1696)</f>
        <v>0</v>
      </c>
      <c r="F406" s="85">
        <f>SUMIF(GERAL!B$8:B$1696,A406,GERAL!AJ$8:AJ$1696)</f>
        <v>51</v>
      </c>
      <c r="G406" s="85">
        <f>SUMIF(GERAL!B$8:B$1696,A406,GERAL!AN$8:AN$1696)</f>
        <v>0</v>
      </c>
      <c r="H406" s="85">
        <f>SUMIF(GERAL!B$8:B$1696,A406,GERAL!AR$8:AW$1696)</f>
        <v>44</v>
      </c>
      <c r="I406" s="85">
        <f>SUMIF(GERAL!B$8:B$1696,A406,GERAL!AW$8:AW$1696)</f>
        <v>137</v>
      </c>
      <c r="J406" s="75">
        <f>SUMIF(GERAL!B$8:B$1696,A406,GERAL!AX$8:AX$1696)</f>
        <v>232</v>
      </c>
      <c r="K406" s="75">
        <f>COUNTIFS(GERAL!B$8:B$1696,A406,GERAL!AY$8:AY$1696,"&gt;0",GERAL!C$8:C$1696,"ESCOLA")</f>
        <v>1</v>
      </c>
      <c r="L406" s="75">
        <f>COUNTIFS(GERAL!B$8:B$1696,A406,GERAL!AY$8:AY$1696,"&gt;0",GERAL!C$8:C$1696,"ANEXO")</f>
        <v>0</v>
      </c>
      <c r="M406" s="100">
        <f>SUMIF(GERAL!B$8:B$1696,A406,GERAL!V$8:V$1696)+SUMIF(GERAL!B$8:B$1696,A406,GERAL!W$8:W$1696)</f>
        <v>0</v>
      </c>
      <c r="N406" s="100">
        <f>SUMIF(GERAL!B$8:B$1696,A406,GERAL!AA$8:AA$1696)+SUMIF(GERAL!B$8:B$1696,A406,GERAL!AB$8:AB$1696)</f>
        <v>0</v>
      </c>
      <c r="O406" s="100">
        <f>SUMIF(GERAL!B$8:B$1696,A406,GERAL!AF$8:AF$1696)+SUMIF(GERAL!B$8:B$1696,A406,GERAL!AG$8:AG$1696)</f>
        <v>17</v>
      </c>
      <c r="P406" s="100">
        <f>SUMIF(GERAL!B$8:B$1696,A406,GERAL!AK$8:AK$1696)+SUMIF(GERAL!B$8:B$1696,A406,GERAL!AL$8:AL$1696)</f>
        <v>0</v>
      </c>
      <c r="Q406" s="100">
        <f>SUMIF(GERAL!B$8:B$1696,A406,GERAL!AO$8:AO$1696)+SUMIF(GERAL!B$8:B$1696,A406,GERAL!AP$8:AP$1696)</f>
        <v>0</v>
      </c>
      <c r="R406" s="100">
        <f>SUMIF(GERAL!B$8:B$1696,A406,GERAL!AS$8:AS$1696)+SUMIF(GERAL!B$8:B$1696,A406,GERAL!AT$8:AT$1696)</f>
        <v>137</v>
      </c>
      <c r="S406" s="75">
        <f t="shared" si="39"/>
        <v>154</v>
      </c>
      <c r="T406" s="116">
        <f>COUNTIFS(GERAL!B$8:B$1696,A406,GERAL!AZ$8:AZ$1696,"&gt;0",GERAL!C$8:C$1696,"ESCOLA")</f>
        <v>1</v>
      </c>
      <c r="U406" s="75">
        <f>COUNTIFS(GERAL!B$8:B$1696,A406,GERAL!AZ$8:AZ$1696,"&gt;0",GERAL!C$8:C$1696,"ANEXO")</f>
        <v>0</v>
      </c>
      <c r="V406" s="85">
        <f>SUMIF(GERAL!B$8:B$1696,A406,GERAL!AH$8:AH$1696)</f>
        <v>0</v>
      </c>
      <c r="W406" s="85">
        <f>SUMIF(GERAL!B$8:B$1696,A406,GERAL!AM$8:AM$1696)</f>
        <v>0</v>
      </c>
      <c r="X406" s="85">
        <f>SUMIF(GERAL!B$8:B$1696,A406,GERAL!AQ$8:AQ$1696)</f>
        <v>44</v>
      </c>
      <c r="Y406" s="85">
        <f>SUMIF(GERAL!B$8:B$1696,A406,GERAL!AU$8:AU$1696)</f>
        <v>0</v>
      </c>
      <c r="Z406" s="88">
        <f t="shared" si="40"/>
        <v>44</v>
      </c>
      <c r="AA406" s="116">
        <f>COUNTIFS(GERAL!B$8:B$1696,A406,GERAL!BK$8:BK$1696,"&gt;0",GERAL!C$8:C$1696,"ESCOLA")</f>
        <v>1</v>
      </c>
      <c r="AB406" s="88">
        <f>COUNTIFS(GERAL!B$8:B$1696,A406,GERAL!BK$8:BK$1696,"&gt;0",GERAL!C$8:C$1696,"ANEXO")</f>
        <v>0</v>
      </c>
      <c r="AC406" s="121">
        <f>SUMIF(GERAL!B$8:B$1696,A406,GERAL!AD$8:AD$1696)</f>
        <v>0</v>
      </c>
      <c r="AD406" s="121">
        <f>SUMIF(GERAL!B$8:B$1696,A406,GERAL!AI$8:AI$1696)</f>
        <v>34</v>
      </c>
      <c r="AE406" s="121">
        <f>SUMIF(GERAL!B$8:B$1696,A406,GERAL!AV$8:AV$1696)</f>
        <v>0</v>
      </c>
      <c r="AF406" s="492">
        <f t="shared" si="41"/>
        <v>34</v>
      </c>
      <c r="AG406" s="178">
        <f>COUNTIFS(GERAL!B$8:B$1696,A406,GERAL!AW$8:AW$1696,"&gt;0",GERAL!C$8:C$1696,"ESCOLA")</f>
        <v>1</v>
      </c>
      <c r="AH406" s="118">
        <f>COUNTIFS(GERAL!B$8:B$1696,A406,GERAL!AW$8:AW$1696,"&gt;0",GERAL!C$8:C$1696,"ANEXO")</f>
        <v>0</v>
      </c>
      <c r="AI406" s="177">
        <f>SUMIF(GERAL!B$8:B$1696,A406,GERAL!AS$8:AS$1696)+SUMIF(GERAL!B$8:B$1696,A406,GERAL!AT$8:AT$1696)</f>
        <v>137</v>
      </c>
      <c r="AJ406" s="177">
        <f>SUMIF(GERAL!B$8:B$1696,A406,GERAL!AU$8:AU$1696)</f>
        <v>0</v>
      </c>
      <c r="AK406" s="177">
        <f>SUMIF(GERAL!B$8:B$1696,A406,GERAL!AV$8:AV$1696)</f>
        <v>0</v>
      </c>
      <c r="AL406" s="118">
        <f t="shared" si="42"/>
        <v>137</v>
      </c>
      <c r="AM406" s="493" t="s">
        <v>1335</v>
      </c>
    </row>
    <row r="407">
      <c r="A407" s="494" t="s">
        <v>1309</v>
      </c>
      <c r="B407" s="75">
        <f>COUNTIFS(GERAL!B$8:B$1696,A407,GERAL!C$8:C$1696,"ESCOLA")</f>
        <v>1</v>
      </c>
      <c r="C407" s="75">
        <f>COUNTIFS(GERAL!B$8:B$1696,A407,GERAL!C$8:C$1696,"ANEXO")</f>
        <v>1</v>
      </c>
      <c r="D407" s="85">
        <f>SUMIF(GERAL!B$8:B$1696,A407,GERAL!Z$8:Z$1696)</f>
        <v>0</v>
      </c>
      <c r="E407" s="85">
        <f>SUMIF(GERAL!B$8:B$1696,A407,GERAL!AE$8:AE$1696)</f>
        <v>0</v>
      </c>
      <c r="F407" s="85">
        <f>SUMIF(GERAL!B$8:B$1696,A407,GERAL!AJ$8:AJ$1696)</f>
        <v>413</v>
      </c>
      <c r="G407" s="85">
        <f>SUMIF(GERAL!B$8:B$1696,A407,GERAL!AN$8:AN$1696)</f>
        <v>0</v>
      </c>
      <c r="H407" s="85">
        <f>SUMIF(GERAL!B$8:B$1696,A407,GERAL!AR$8:AW$1696)</f>
        <v>65</v>
      </c>
      <c r="I407" s="85">
        <f>SUMIF(GERAL!B$8:B$1696,A407,GERAL!AW$8:AW$1696)</f>
        <v>341</v>
      </c>
      <c r="J407" s="75">
        <f>SUMIF(GERAL!B$8:B$1696,A407,GERAL!AX$8:AX$1696)</f>
        <v>819</v>
      </c>
      <c r="K407" s="75">
        <f>COUNTIFS(GERAL!B$8:B$1696,A407,GERAL!AY$8:AY$1696,"&gt;0",GERAL!C$8:C$1696,"ESCOLA")</f>
        <v>1</v>
      </c>
      <c r="L407" s="75">
        <f>COUNTIFS(GERAL!B$8:B$1696,A407,GERAL!AY$8:AY$1696,"&gt;0",GERAL!C$8:C$1696,"ANEXO")</f>
        <v>0</v>
      </c>
      <c r="M407" s="100">
        <f>SUMIF(GERAL!B$8:B$1696,A407,GERAL!V$8:V$1696)+SUMIF(GERAL!B$8:B$1696,A407,GERAL!W$8:W$1696)</f>
        <v>0</v>
      </c>
      <c r="N407" s="100">
        <f>SUMIF(GERAL!B$8:B$1696,A407,GERAL!AA$8:AA$1696)+SUMIF(GERAL!B$8:B$1696,A407,GERAL!AB$8:AB$1696)</f>
        <v>0</v>
      </c>
      <c r="O407" s="100">
        <f>SUMIF(GERAL!B$8:B$1696,A407,GERAL!AF$8:AF$1696)+SUMIF(GERAL!B$8:B$1696,A407,GERAL!AG$8:AG$1696)</f>
        <v>44</v>
      </c>
      <c r="P407" s="100">
        <f>SUMIF(GERAL!B$8:B$1696,A407,GERAL!AK$8:AK$1696)+SUMIF(GERAL!B$8:B$1696,A407,GERAL!AL$8:AL$1696)</f>
        <v>0</v>
      </c>
      <c r="Q407" s="100">
        <f>SUMIF(GERAL!B$8:B$1696,A407,GERAL!AO$8:AO$1696)+SUMIF(GERAL!B$8:B$1696,A407,GERAL!AP$8:AP$1696)</f>
        <v>0</v>
      </c>
      <c r="R407" s="100">
        <f>SUMIF(GERAL!B$8:B$1696,A407,GERAL!AS$8:AS$1696)+SUMIF(GERAL!B$8:B$1696,A407,GERAL!AT$8:AT$1696)</f>
        <v>46</v>
      </c>
      <c r="S407" s="75">
        <f t="shared" si="39"/>
        <v>90</v>
      </c>
      <c r="T407" s="116">
        <f>COUNTIFS(GERAL!B$8:B$1696,A407,GERAL!AZ$8:AZ$1696,"&gt;0",GERAL!C$8:C$1696,"ESCOLA")</f>
        <v>1</v>
      </c>
      <c r="U407" s="75">
        <f>COUNTIFS(GERAL!B$8:B$1696,A407,GERAL!AZ$8:AZ$1696,"&gt;0",GERAL!C$8:C$1696,"ANEXO")</f>
        <v>1</v>
      </c>
      <c r="V407" s="85">
        <f>SUMIF(GERAL!B$8:B$1696,A407,GERAL!AH$8:AH$1696)</f>
        <v>57</v>
      </c>
      <c r="W407" s="85">
        <f>SUMIF(GERAL!B$8:B$1696,A407,GERAL!AM$8:AM$1696)</f>
        <v>0</v>
      </c>
      <c r="X407" s="85">
        <f>SUMIF(GERAL!B$8:B$1696,A407,GERAL!AQ$8:AQ$1696)</f>
        <v>65</v>
      </c>
      <c r="Y407" s="85">
        <f>SUMIF(GERAL!B$8:B$1696,A407,GERAL!AU$8:AU$1696)</f>
        <v>70</v>
      </c>
      <c r="Z407" s="88">
        <f t="shared" si="40"/>
        <v>192</v>
      </c>
      <c r="AA407" s="116">
        <f>COUNTIFS(GERAL!B$8:B$1696,A407,GERAL!BK$8:BK$1696,"&gt;0",GERAL!C$8:C$1696,"ESCOLA")</f>
        <v>1</v>
      </c>
      <c r="AB407" s="88">
        <f>COUNTIFS(GERAL!B$8:B$1696,A407,GERAL!BK$8:BK$1696,"&gt;0",GERAL!C$8:C$1696,"ANEXO")</f>
        <v>0</v>
      </c>
      <c r="AC407" s="121">
        <f>SUMIF(GERAL!B$8:B$1696,A407,GERAL!AD$8:AD$1696)</f>
        <v>0</v>
      </c>
      <c r="AD407" s="121">
        <f>SUMIF(GERAL!B$8:B$1696,A407,GERAL!AI$8:AI$1696)</f>
        <v>312</v>
      </c>
      <c r="AE407" s="121">
        <f>SUMIF(GERAL!B$8:B$1696,A407,GERAL!AV$8:AV$1696)</f>
        <v>225</v>
      </c>
      <c r="AF407" s="492">
        <f t="shared" si="41"/>
        <v>537</v>
      </c>
      <c r="AG407" s="178">
        <f>COUNTIFS(GERAL!B$8:B$1696,A407,GERAL!AW$8:AW$1696,"&gt;0",GERAL!C$8:C$1696,"ESCOLA")</f>
        <v>1</v>
      </c>
      <c r="AH407" s="118">
        <f>COUNTIFS(GERAL!B$8:B$1696,A407,GERAL!AW$8:AW$1696,"&gt;0",GERAL!C$8:C$1696,"ANEXO")</f>
        <v>0</v>
      </c>
      <c r="AI407" s="177">
        <f>SUMIF(GERAL!B$8:B$1696,A407,GERAL!AS$8:AS$1696)+SUMIF(GERAL!B$8:B$1696,A407,GERAL!AT$8:AT$1696)</f>
        <v>46</v>
      </c>
      <c r="AJ407" s="177">
        <f>SUMIF(GERAL!B$8:B$1696,A407,GERAL!AU$8:AU$1696)</f>
        <v>70</v>
      </c>
      <c r="AK407" s="177">
        <f>SUMIF(GERAL!B$8:B$1696,A407,GERAL!AV$8:AV$1696)</f>
        <v>225</v>
      </c>
      <c r="AL407" s="118">
        <f t="shared" si="42"/>
        <v>341</v>
      </c>
      <c r="AM407" s="493" t="s">
        <v>383</v>
      </c>
    </row>
    <row r="408">
      <c r="A408" s="484" t="s">
        <v>1812</v>
      </c>
      <c r="B408" s="75">
        <f>COUNTIFS(GERAL!B$8:B$1696,A408,GERAL!C$8:C$1696,"ESCOLA")</f>
        <v>1</v>
      </c>
      <c r="C408" s="75">
        <f>COUNTIFS(GERAL!B$8:B$1696,A408,GERAL!C$8:C$1696,"ANEXO")</f>
        <v>2</v>
      </c>
      <c r="D408" s="85">
        <f>SUMIF(GERAL!B$8:B$1696,A408,GERAL!Z$8:Z$1696)</f>
        <v>0</v>
      </c>
      <c r="E408" s="85">
        <f>SUMIF(GERAL!B$8:B$1696,A408,GERAL!AE$8:AE$1696)</f>
        <v>0</v>
      </c>
      <c r="F408" s="85">
        <f>SUMIF(GERAL!B$8:B$1696,A408,GERAL!AJ$8:AJ$1696)</f>
        <v>454</v>
      </c>
      <c r="G408" s="85">
        <f>SUMIF(GERAL!B$8:B$1696,A408,GERAL!AN$8:AN$1696)</f>
        <v>0</v>
      </c>
      <c r="H408" s="85">
        <f>SUMIF(GERAL!B$8:B$1696,A408,GERAL!AR$8:AW$1696)</f>
        <v>109</v>
      </c>
      <c r="I408" s="85">
        <f>SUMIF(GERAL!B$8:B$1696,A408,GERAL!AW$8:AW$1696)</f>
        <v>18</v>
      </c>
      <c r="J408" s="75">
        <f>SUMIF(GERAL!B$8:B$1696,A408,GERAL!AX$8:AX$1696)</f>
        <v>581</v>
      </c>
      <c r="K408" s="75">
        <f>COUNTIFS(GERAL!B$8:B$1696,A408,GERAL!AY$8:AY$1696,"&gt;0",GERAL!C$8:C$1696,"ESCOLA")</f>
        <v>1</v>
      </c>
      <c r="L408" s="75">
        <f>COUNTIFS(GERAL!B$8:B$1696,A408,GERAL!AY$8:AY$1696,"&gt;0",GERAL!C$8:C$1696,"ANEXO")</f>
        <v>1</v>
      </c>
      <c r="M408" s="100">
        <f>SUMIF(GERAL!B$8:B$1696,A408,GERAL!V$8:V$1696)+SUMIF(GERAL!B$8:B$1696,A408,GERAL!W$8:W$1696)</f>
        <v>0</v>
      </c>
      <c r="N408" s="100">
        <f>SUMIF(GERAL!B$8:B$1696,A408,GERAL!AA$8:AA$1696)+SUMIF(GERAL!B$8:B$1696,A408,GERAL!AB$8:AB$1696)</f>
        <v>0</v>
      </c>
      <c r="O408" s="100">
        <f>SUMIF(GERAL!B$8:B$1696,A408,GERAL!AF$8:AF$1696)+SUMIF(GERAL!B$8:B$1696,A408,GERAL!AG$8:AG$1696)</f>
        <v>322</v>
      </c>
      <c r="P408" s="100">
        <f>SUMIF(GERAL!B$8:B$1696,A408,GERAL!AK$8:AK$1696)+SUMIF(GERAL!B$8:B$1696,A408,GERAL!AL$8:AL$1696)</f>
        <v>0</v>
      </c>
      <c r="Q408" s="100">
        <f>SUMIF(GERAL!B$8:B$1696,A408,GERAL!AO$8:AO$1696)+SUMIF(GERAL!B$8:B$1696,A408,GERAL!AP$8:AP$1696)</f>
        <v>0</v>
      </c>
      <c r="R408" s="100">
        <f>SUMIF(GERAL!B$8:B$1696,A408,GERAL!AS$8:AS$1696)+SUMIF(GERAL!B$8:B$1696,A408,GERAL!AT$8:AT$1696)</f>
        <v>0</v>
      </c>
      <c r="S408" s="75">
        <f t="shared" si="39"/>
        <v>322</v>
      </c>
      <c r="T408" s="116">
        <f>COUNTIFS(GERAL!B$8:B$1696,A408,GERAL!AZ$8:AZ$1696,"&gt;0",GERAL!C$8:C$1696,"ESCOLA")</f>
        <v>1</v>
      </c>
      <c r="U408" s="75">
        <f>COUNTIFS(GERAL!B$8:B$1696,A408,GERAL!AZ$8:AZ$1696,"&gt;0",GERAL!C$8:C$1696,"ANEXO")</f>
        <v>1</v>
      </c>
      <c r="V408" s="85">
        <f>SUMIF(GERAL!B$8:B$1696,A408,GERAL!AH$8:AH$1696)</f>
        <v>24</v>
      </c>
      <c r="W408" s="85">
        <f>SUMIF(GERAL!B$8:B$1696,A408,GERAL!AM$8:AM$1696)</f>
        <v>0</v>
      </c>
      <c r="X408" s="85">
        <f>SUMIF(GERAL!B$8:B$1696,A408,GERAL!AQ$8:AQ$1696)</f>
        <v>109</v>
      </c>
      <c r="Y408" s="85">
        <f>SUMIF(GERAL!B$8:B$1696,A408,GERAL!AU$8:AU$1696)</f>
        <v>18</v>
      </c>
      <c r="Z408" s="88">
        <f t="shared" si="40"/>
        <v>151</v>
      </c>
      <c r="AA408" s="116">
        <f>COUNTIFS(GERAL!B$8:B$1696,A408,GERAL!BK$8:BK$1696,"&gt;0",GERAL!C$8:C$1696,"ESCOLA")</f>
        <v>1</v>
      </c>
      <c r="AB408" s="88">
        <f>COUNTIFS(GERAL!B$8:B$1696,A408,GERAL!BK$8:BK$1696,"&gt;0",GERAL!C$8:C$1696,"ANEXO")</f>
        <v>0</v>
      </c>
      <c r="AC408" s="121">
        <f>SUMIF(GERAL!B$8:B$1696,A408,GERAL!AD$8:AD$1696)</f>
        <v>0</v>
      </c>
      <c r="AD408" s="121">
        <f>SUMIF(GERAL!B$8:B$1696,A408,GERAL!AI$8:AI$1696)</f>
        <v>108</v>
      </c>
      <c r="AE408" s="121">
        <f>SUMIF(GERAL!B$8:B$1696,A408,GERAL!AV$8:AV$1696)</f>
        <v>0</v>
      </c>
      <c r="AF408" s="492">
        <f t="shared" si="41"/>
        <v>108</v>
      </c>
      <c r="AG408" s="178">
        <f>COUNTIFS(GERAL!B$8:B$1696,A408,GERAL!AW$8:AW$1696,"&gt;0",GERAL!C$8:C$1696,"ESCOLA")</f>
        <v>1</v>
      </c>
      <c r="AH408" s="118">
        <f>COUNTIFS(GERAL!B$8:B$1696,A408,GERAL!AW$8:AW$1696,"&gt;0",GERAL!C$8:C$1696,"ANEXO")</f>
        <v>0</v>
      </c>
      <c r="AI408" s="177">
        <f>SUMIF(GERAL!B$8:B$1696,A408,GERAL!AS$8:AS$1696)+SUMIF(GERAL!B$8:B$1696,A408,GERAL!AT$8:AT$1696)</f>
        <v>0</v>
      </c>
      <c r="AJ408" s="177">
        <f>SUMIF(GERAL!B$8:B$1696,A408,GERAL!AU$8:AU$1696)</f>
        <v>18</v>
      </c>
      <c r="AK408" s="177">
        <f>SUMIF(GERAL!B$8:B$1696,A408,GERAL!AV$8:AV$1696)</f>
        <v>0</v>
      </c>
      <c r="AL408" s="118">
        <f t="shared" si="42"/>
        <v>18</v>
      </c>
      <c r="AM408" s="493" t="s">
        <v>540</v>
      </c>
    </row>
    <row r="409">
      <c r="A409" s="494" t="s">
        <v>6081</v>
      </c>
      <c r="B409" s="75">
        <f>COUNTIFS(GERAL!B$8:B$1696,A409,GERAL!C$8:C$1696,"ESCOLA")</f>
        <v>1</v>
      </c>
      <c r="C409" s="75">
        <f>COUNTIFS(GERAL!B$8:B$1696,A409,GERAL!C$8:C$1696,"ANEXO")</f>
        <v>0</v>
      </c>
      <c r="D409" s="85">
        <f>SUMIF(GERAL!B$8:B$1696,A409,GERAL!Z$8:Z$1696)</f>
        <v>0</v>
      </c>
      <c r="E409" s="85">
        <f>SUMIF(GERAL!B$8:B$1696,A409,GERAL!AE$8:AE$1696)</f>
        <v>0</v>
      </c>
      <c r="F409" s="85">
        <f>SUMIF(GERAL!B$8:B$1696,A409,GERAL!AJ$8:AJ$1696)</f>
        <v>249</v>
      </c>
      <c r="G409" s="85">
        <f>SUMIF(GERAL!B$8:B$1696,A409,GERAL!AN$8:AN$1696)</f>
        <v>0</v>
      </c>
      <c r="H409" s="85">
        <f>SUMIF(GERAL!B$8:B$1696,A409,GERAL!AR$8:AW$1696)</f>
        <v>73</v>
      </c>
      <c r="I409" s="85">
        <f>SUMIF(GERAL!B$8:B$1696,A409,GERAL!AW$8:AW$1696)</f>
        <v>98</v>
      </c>
      <c r="J409" s="75">
        <f>SUMIF(GERAL!B$8:B$1696,A409,GERAL!AX$8:AX$1696)</f>
        <v>420</v>
      </c>
      <c r="K409" s="75">
        <f>COUNTIFS(GERAL!B$8:B$1696,A409,GERAL!AY$8:AY$1696,"&gt;0",GERAL!C$8:C$1696,"ESCOLA")</f>
        <v>1</v>
      </c>
      <c r="L409" s="75">
        <f>COUNTIFS(GERAL!B$8:B$1696,A409,GERAL!AY$8:AY$1696,"&gt;0",GERAL!C$8:C$1696,"ANEXO")</f>
        <v>0</v>
      </c>
      <c r="M409" s="100">
        <f>SUMIF(GERAL!B$8:B$1696,A409,GERAL!V$8:V$1696)+SUMIF(GERAL!B$8:B$1696,A409,GERAL!W$8:W$1696)</f>
        <v>0</v>
      </c>
      <c r="N409" s="100">
        <f>SUMIF(GERAL!B$8:B$1696,A409,GERAL!AA$8:AA$1696)+SUMIF(GERAL!B$8:B$1696,A409,GERAL!AB$8:AB$1696)</f>
        <v>0</v>
      </c>
      <c r="O409" s="100">
        <f>SUMIF(GERAL!B$8:B$1696,A409,GERAL!AF$8:AF$1696)+SUMIF(GERAL!B$8:B$1696,A409,GERAL!AG$8:AG$1696)</f>
        <v>151</v>
      </c>
      <c r="P409" s="100">
        <f>SUMIF(GERAL!B$8:B$1696,A409,GERAL!AK$8:AK$1696)+SUMIF(GERAL!B$8:B$1696,A409,GERAL!AL$8:AL$1696)</f>
        <v>0</v>
      </c>
      <c r="Q409" s="100">
        <f>SUMIF(GERAL!B$8:B$1696,A409,GERAL!AO$8:AO$1696)+SUMIF(GERAL!B$8:B$1696,A409,GERAL!AP$8:AP$1696)</f>
        <v>0</v>
      </c>
      <c r="R409" s="100">
        <f>SUMIF(GERAL!B$8:B$1696,A409,GERAL!AS$8:AS$1696)+SUMIF(GERAL!B$8:B$1696,A409,GERAL!AT$8:AT$1696)</f>
        <v>80</v>
      </c>
      <c r="S409" s="75">
        <f t="shared" si="39"/>
        <v>231</v>
      </c>
      <c r="T409" s="116">
        <f>COUNTIFS(GERAL!B$8:B$1696,A409,GERAL!AZ$8:AZ$1696,"&gt;0",GERAL!C$8:C$1696,"ESCOLA")</f>
        <v>1</v>
      </c>
      <c r="U409" s="75">
        <f>COUNTIFS(GERAL!B$8:B$1696,A409,GERAL!AZ$8:AZ$1696,"&gt;0",GERAL!C$8:C$1696,"ANEXO")</f>
        <v>0</v>
      </c>
      <c r="V409" s="85">
        <f>SUMIF(GERAL!B$8:B$1696,A409,GERAL!AH$8:AH$1696)</f>
        <v>0</v>
      </c>
      <c r="W409" s="85">
        <f>SUMIF(GERAL!B$8:B$1696,A409,GERAL!AM$8:AM$1696)</f>
        <v>0</v>
      </c>
      <c r="X409" s="85">
        <f>SUMIF(GERAL!B$8:B$1696,A409,GERAL!AQ$8:AQ$1696)</f>
        <v>73</v>
      </c>
      <c r="Y409" s="85">
        <f>SUMIF(GERAL!B$8:B$1696,A409,GERAL!AU$8:AU$1696)</f>
        <v>18</v>
      </c>
      <c r="Z409" s="88">
        <f t="shared" si="40"/>
        <v>91</v>
      </c>
      <c r="AA409" s="116">
        <f>COUNTIFS(GERAL!B$8:B$1696,A409,GERAL!BK$8:BK$1696,"&gt;0",GERAL!C$8:C$1696,"ESCOLA")</f>
        <v>1</v>
      </c>
      <c r="AB409" s="88">
        <f>COUNTIFS(GERAL!B$8:B$1696,A409,GERAL!BK$8:BK$1696,"&gt;0",GERAL!C$8:C$1696,"ANEXO")</f>
        <v>0</v>
      </c>
      <c r="AC409" s="121">
        <f>SUMIF(GERAL!B$8:B$1696,A409,GERAL!AD$8:AD$1696)</f>
        <v>0</v>
      </c>
      <c r="AD409" s="121">
        <f>SUMIF(GERAL!B$8:B$1696,A409,GERAL!AI$8:AI$1696)</f>
        <v>98</v>
      </c>
      <c r="AE409" s="121">
        <f>SUMIF(GERAL!B$8:B$1696,A409,GERAL!AV$8:AV$1696)</f>
        <v>0</v>
      </c>
      <c r="AF409" s="492">
        <f t="shared" si="41"/>
        <v>98</v>
      </c>
      <c r="AG409" s="178">
        <f>COUNTIFS(GERAL!B$8:B$1696,A409,GERAL!AW$8:AW$1696,"&gt;0",GERAL!C$8:C$1696,"ESCOLA")</f>
        <v>1</v>
      </c>
      <c r="AH409" s="118">
        <f>COUNTIFS(GERAL!B$8:B$1696,A409,GERAL!AW$8:AW$1696,"&gt;0",GERAL!C$8:C$1696,"ANEXO")</f>
        <v>0</v>
      </c>
      <c r="AI409" s="177">
        <f>SUMIF(GERAL!B$8:B$1696,A409,GERAL!AS$8:AS$1696)+SUMIF(GERAL!B$8:B$1696,A409,GERAL!AT$8:AT$1696)</f>
        <v>80</v>
      </c>
      <c r="AJ409" s="177">
        <f>SUMIF(GERAL!B$8:B$1696,A409,GERAL!AU$8:AU$1696)</f>
        <v>18</v>
      </c>
      <c r="AK409" s="177">
        <f>SUMIF(GERAL!B$8:B$1696,A409,GERAL!AV$8:AV$1696)</f>
        <v>0</v>
      </c>
      <c r="AL409" s="118">
        <f t="shared" si="42"/>
        <v>98</v>
      </c>
      <c r="AM409" s="493" t="s">
        <v>1335</v>
      </c>
    </row>
    <row r="410">
      <c r="A410" s="484" t="s">
        <v>6375</v>
      </c>
      <c r="B410" s="75">
        <f>COUNTIFS(GERAL!B$8:B$1696,A410,GERAL!C$8:C$1696,"ESCOLA")</f>
        <v>1</v>
      </c>
      <c r="C410" s="75">
        <f>COUNTIFS(GERAL!B$8:B$1696,A410,GERAL!C$8:C$1696,"ANEXO")</f>
        <v>2</v>
      </c>
      <c r="D410" s="85">
        <f>SUMIF(GERAL!B$8:B$1696,A410,GERAL!Z$8:Z$1696)</f>
        <v>0</v>
      </c>
      <c r="E410" s="85">
        <f>SUMIF(GERAL!B$8:B$1696,A410,GERAL!AE$8:AE$1696)</f>
        <v>0</v>
      </c>
      <c r="F410" s="85">
        <f>SUMIF(GERAL!B$8:B$1696,A410,GERAL!AJ$8:AJ$1696)</f>
        <v>348</v>
      </c>
      <c r="G410" s="85">
        <f>SUMIF(GERAL!B$8:B$1696,A410,GERAL!AN$8:AN$1696)</f>
        <v>0</v>
      </c>
      <c r="H410" s="85">
        <f>SUMIF(GERAL!B$8:B$1696,A410,GERAL!AR$8:AW$1696)</f>
        <v>23</v>
      </c>
      <c r="I410" s="85">
        <f>SUMIF(GERAL!B$8:B$1696,A410,GERAL!AW$8:AW$1696)</f>
        <v>62</v>
      </c>
      <c r="J410" s="75">
        <f>SUMIF(GERAL!B$8:B$1696,A410,GERAL!AX$8:AX$1696)</f>
        <v>433</v>
      </c>
      <c r="K410" s="75">
        <f>COUNTIFS(GERAL!B$8:B$1696,A410,GERAL!AY$8:AY$1696,"&gt;0",GERAL!C$8:C$1696,"ESCOLA")</f>
        <v>1</v>
      </c>
      <c r="L410" s="75">
        <f>COUNTIFS(GERAL!B$8:B$1696,A410,GERAL!AY$8:AY$1696,"&gt;0",GERAL!C$8:C$1696,"ANEXO")</f>
        <v>2</v>
      </c>
      <c r="M410" s="100">
        <f>SUMIF(GERAL!B$8:B$1696,A410,GERAL!V$8:V$1696)+SUMIF(GERAL!B$8:B$1696,A410,GERAL!W$8:W$1696)</f>
        <v>0</v>
      </c>
      <c r="N410" s="100">
        <f>SUMIF(GERAL!B$8:B$1696,A410,GERAL!AA$8:AA$1696)+SUMIF(GERAL!B$8:B$1696,A410,GERAL!AB$8:AB$1696)</f>
        <v>0</v>
      </c>
      <c r="O410" s="100">
        <f>SUMIF(GERAL!B$8:B$1696,A410,GERAL!AF$8:AF$1696)+SUMIF(GERAL!B$8:B$1696,A410,GERAL!AG$8:AG$1696)</f>
        <v>292</v>
      </c>
      <c r="P410" s="100">
        <f>SUMIF(GERAL!B$8:B$1696,A410,GERAL!AK$8:AK$1696)+SUMIF(GERAL!B$8:B$1696,A410,GERAL!AL$8:AL$1696)</f>
        <v>0</v>
      </c>
      <c r="Q410" s="100">
        <f>SUMIF(GERAL!B$8:B$1696,A410,GERAL!AO$8:AO$1696)+SUMIF(GERAL!B$8:B$1696,A410,GERAL!AP$8:AP$1696)</f>
        <v>0</v>
      </c>
      <c r="R410" s="100">
        <f>SUMIF(GERAL!B$8:B$1696,A410,GERAL!AS$8:AS$1696)+SUMIF(GERAL!B$8:B$1696,A410,GERAL!AT$8:AT$1696)</f>
        <v>0</v>
      </c>
      <c r="S410" s="75">
        <f t="shared" si="39"/>
        <v>292</v>
      </c>
      <c r="T410" s="116">
        <f>COUNTIFS(GERAL!B$8:B$1696,A410,GERAL!AZ$8:AZ$1696,"&gt;0",GERAL!C$8:C$1696,"ESCOLA")</f>
        <v>1</v>
      </c>
      <c r="U410" s="75">
        <f>COUNTIFS(GERAL!B$8:B$1696,A410,GERAL!AZ$8:AZ$1696,"&gt;0",GERAL!C$8:C$1696,"ANEXO")</f>
        <v>1</v>
      </c>
      <c r="V410" s="85">
        <f>SUMIF(GERAL!B$8:B$1696,A410,GERAL!AH$8:AH$1696)</f>
        <v>0</v>
      </c>
      <c r="W410" s="85">
        <f>SUMIF(GERAL!B$8:B$1696,A410,GERAL!AM$8:AM$1696)</f>
        <v>0</v>
      </c>
      <c r="X410" s="85">
        <f>SUMIF(GERAL!B$8:B$1696,A410,GERAL!AQ$8:AQ$1696)</f>
        <v>23</v>
      </c>
      <c r="Y410" s="85">
        <f>SUMIF(GERAL!B$8:B$1696,A410,GERAL!AU$8:AU$1696)</f>
        <v>12</v>
      </c>
      <c r="Z410" s="88">
        <f t="shared" si="40"/>
        <v>35</v>
      </c>
      <c r="AA410" s="116">
        <f>COUNTIFS(GERAL!B$8:B$1696,A410,GERAL!BK$8:BK$1696,"&gt;0",GERAL!C$8:C$1696,"ESCOLA")</f>
        <v>1</v>
      </c>
      <c r="AB410" s="88">
        <f>COUNTIFS(GERAL!B$8:B$1696,A410,GERAL!BK$8:BK$1696,"&gt;0",GERAL!C$8:C$1696,"ANEXO")</f>
        <v>0</v>
      </c>
      <c r="AC410" s="121">
        <f>SUMIF(GERAL!B$8:B$1696,A410,GERAL!AD$8:AD$1696)</f>
        <v>0</v>
      </c>
      <c r="AD410" s="121">
        <f>SUMIF(GERAL!B$8:B$1696,A410,GERAL!AI$8:AI$1696)</f>
        <v>56</v>
      </c>
      <c r="AE410" s="121">
        <f>SUMIF(GERAL!B$8:B$1696,A410,GERAL!AV$8:AV$1696)</f>
        <v>50</v>
      </c>
      <c r="AF410" s="492">
        <f t="shared" si="41"/>
        <v>106</v>
      </c>
      <c r="AG410" s="178">
        <f>COUNTIFS(GERAL!B$8:B$1696,A410,GERAL!AW$8:AW$1696,"&gt;0",GERAL!C$8:C$1696,"ESCOLA")</f>
        <v>1</v>
      </c>
      <c r="AH410" s="118">
        <f>COUNTIFS(GERAL!B$8:B$1696,A410,GERAL!AW$8:AW$1696,"&gt;0",GERAL!C$8:C$1696,"ANEXO")</f>
        <v>0</v>
      </c>
      <c r="AI410" s="177">
        <f>SUMIF(GERAL!B$8:B$1696,A410,GERAL!AS$8:AS$1696)+SUMIF(GERAL!B$8:B$1696,A410,GERAL!AT$8:AT$1696)</f>
        <v>0</v>
      </c>
      <c r="AJ410" s="177">
        <f>SUMIF(GERAL!B$8:B$1696,A410,GERAL!AU$8:AU$1696)</f>
        <v>12</v>
      </c>
      <c r="AK410" s="177">
        <f>SUMIF(GERAL!B$8:B$1696,A410,GERAL!AV$8:AV$1696)</f>
        <v>50</v>
      </c>
      <c r="AL410" s="118">
        <f t="shared" si="42"/>
        <v>62</v>
      </c>
      <c r="AM410" s="493" t="s">
        <v>1393</v>
      </c>
    </row>
    <row r="411">
      <c r="A411" s="494" t="s">
        <v>1317</v>
      </c>
      <c r="B411" s="75">
        <f>COUNTIFS(GERAL!B$8:B$1696,A411,GERAL!C$8:C$1696,"ESCOLA")</f>
        <v>2</v>
      </c>
      <c r="C411" s="75">
        <f>COUNTIFS(GERAL!B$8:B$1696,A411,GERAL!C$8:C$1696,"ANEXO")</f>
        <v>0</v>
      </c>
      <c r="D411" s="85">
        <f>SUMIF(GERAL!B$8:B$1696,A411,GERAL!Z$8:Z$1696)</f>
        <v>0</v>
      </c>
      <c r="E411" s="85">
        <f>SUMIF(GERAL!B$8:B$1696,A411,GERAL!AE$8:AE$1696)</f>
        <v>0</v>
      </c>
      <c r="F411" s="85">
        <f>SUMIF(GERAL!B$8:B$1696,A411,GERAL!AJ$8:AJ$1696)</f>
        <v>1153</v>
      </c>
      <c r="G411" s="85">
        <f>SUMIF(GERAL!B$8:B$1696,A411,GERAL!AN$8:AN$1696)</f>
        <v>0</v>
      </c>
      <c r="H411" s="85">
        <f>SUMIF(GERAL!B$8:B$1696,A411,GERAL!AR$8:AW$1696)</f>
        <v>204</v>
      </c>
      <c r="I411" s="85">
        <f>SUMIF(GERAL!B$8:B$1696,A411,GERAL!AW$8:AW$1696)</f>
        <v>334</v>
      </c>
      <c r="J411" s="75">
        <f>SUMIF(GERAL!B$8:B$1696,A411,GERAL!AX$8:AX$1696)</f>
        <v>1691</v>
      </c>
      <c r="K411" s="75">
        <f>COUNTIFS(GERAL!B$8:B$1696,A411,GERAL!AY$8:AY$1696,"&gt;0",GERAL!C$8:C$1696,"ESCOLA")</f>
        <v>2</v>
      </c>
      <c r="L411" s="75">
        <f>COUNTIFS(GERAL!B$8:B$1696,A411,GERAL!AY$8:AY$1696,"&gt;0",GERAL!C$8:C$1696,"ANEXO")</f>
        <v>0</v>
      </c>
      <c r="M411" s="100">
        <f>SUMIF(GERAL!B$8:B$1696,A411,GERAL!V$8:V$1696)+SUMIF(GERAL!B$8:B$1696,A411,GERAL!W$8:W$1696)</f>
        <v>0</v>
      </c>
      <c r="N411" s="100">
        <f>SUMIF(GERAL!B$8:B$1696,A411,GERAL!AA$8:AA$1696)+SUMIF(GERAL!B$8:B$1696,A411,GERAL!AB$8:AB$1696)</f>
        <v>0</v>
      </c>
      <c r="O411" s="100">
        <f>SUMIF(GERAL!B$8:B$1696,A411,GERAL!AF$8:AF$1696)+SUMIF(GERAL!B$8:B$1696,A411,GERAL!AG$8:AG$1696)</f>
        <v>352</v>
      </c>
      <c r="P411" s="100">
        <f>SUMIF(GERAL!B$8:B$1696,A411,GERAL!AK$8:AK$1696)+SUMIF(GERAL!B$8:B$1696,A411,GERAL!AL$8:AL$1696)</f>
        <v>0</v>
      </c>
      <c r="Q411" s="100">
        <f>SUMIF(GERAL!B$8:B$1696,A411,GERAL!AO$8:AO$1696)+SUMIF(GERAL!B$8:B$1696,A411,GERAL!AP$8:AP$1696)</f>
        <v>0</v>
      </c>
      <c r="R411" s="100">
        <f>SUMIF(GERAL!B$8:B$1696,A411,GERAL!AS$8:AS$1696)+SUMIF(GERAL!B$8:B$1696,A411,GERAL!AT$8:AT$1696)</f>
        <v>143</v>
      </c>
      <c r="S411" s="75">
        <f t="shared" si="39"/>
        <v>495</v>
      </c>
      <c r="T411" s="116">
        <f>COUNTIFS(GERAL!B$8:B$1696,A411,GERAL!AZ$8:AZ$1696,"&gt;0",GERAL!C$8:C$1696,"ESCOLA")</f>
        <v>2</v>
      </c>
      <c r="U411" s="75">
        <f>COUNTIFS(GERAL!B$8:B$1696,A411,GERAL!AZ$8:AZ$1696,"&gt;0",GERAL!C$8:C$1696,"ANEXO")</f>
        <v>0</v>
      </c>
      <c r="V411" s="85">
        <f>SUMIF(GERAL!B$8:B$1696,A411,GERAL!AH$8:AH$1696)</f>
        <v>0</v>
      </c>
      <c r="W411" s="85">
        <f>SUMIF(GERAL!B$8:B$1696,A411,GERAL!AM$8:AM$1696)</f>
        <v>0</v>
      </c>
      <c r="X411" s="85">
        <f>SUMIF(GERAL!B$8:B$1696,A411,GERAL!AQ$8:AQ$1696)</f>
        <v>204</v>
      </c>
      <c r="Y411" s="85">
        <f>SUMIF(GERAL!B$8:B$1696,A411,GERAL!AU$8:AU$1696)</f>
        <v>16</v>
      </c>
      <c r="Z411" s="88">
        <f t="shared" si="40"/>
        <v>220</v>
      </c>
      <c r="AA411" s="116">
        <f>COUNTIFS(GERAL!B$8:B$1696,A411,GERAL!BK$8:BK$1696,"&gt;0",GERAL!C$8:C$1696,"ESCOLA")</f>
        <v>2</v>
      </c>
      <c r="AB411" s="88">
        <f>COUNTIFS(GERAL!B$8:B$1696,A411,GERAL!BK$8:BK$1696,"&gt;0",GERAL!C$8:C$1696,"ANEXO")</f>
        <v>0</v>
      </c>
      <c r="AC411" s="121">
        <f>SUMIF(GERAL!B$8:B$1696,A411,GERAL!AD$8:AD$1696)</f>
        <v>0</v>
      </c>
      <c r="AD411" s="121">
        <f>SUMIF(GERAL!B$8:B$1696,A411,GERAL!AI$8:AI$1696)</f>
        <v>801</v>
      </c>
      <c r="AE411" s="121">
        <f>SUMIF(GERAL!B$8:B$1696,A411,GERAL!AV$8:AV$1696)</f>
        <v>175</v>
      </c>
      <c r="AF411" s="492">
        <f t="shared" si="41"/>
        <v>976</v>
      </c>
      <c r="AG411" s="178">
        <f>COUNTIFS(GERAL!B$8:B$1696,A411,GERAL!AW$8:AW$1696,"&gt;0",GERAL!C$8:C$1696,"ESCOLA")</f>
        <v>1</v>
      </c>
      <c r="AH411" s="118">
        <f>COUNTIFS(GERAL!B$8:B$1696,A411,GERAL!AW$8:AW$1696,"&gt;0",GERAL!C$8:C$1696,"ANEXO")</f>
        <v>0</v>
      </c>
      <c r="AI411" s="177">
        <f>SUMIF(GERAL!B$8:B$1696,A411,GERAL!AS$8:AS$1696)+SUMIF(GERAL!B$8:B$1696,A411,GERAL!AT$8:AT$1696)</f>
        <v>143</v>
      </c>
      <c r="AJ411" s="177">
        <f>SUMIF(GERAL!B$8:B$1696,A411,GERAL!AU$8:AU$1696)</f>
        <v>16</v>
      </c>
      <c r="AK411" s="177">
        <f>SUMIF(GERAL!B$8:B$1696,A411,GERAL!AV$8:AV$1696)</f>
        <v>175</v>
      </c>
      <c r="AL411" s="118">
        <f t="shared" si="42"/>
        <v>334</v>
      </c>
      <c r="AM411" s="493" t="s">
        <v>383</v>
      </c>
    </row>
    <row r="412">
      <c r="A412" s="484" t="s">
        <v>3417</v>
      </c>
      <c r="B412" s="75">
        <f>COUNTIFS(GERAL!B$8:B$1696,A412,GERAL!C$8:C$1696,"ESCOLA")</f>
        <v>4</v>
      </c>
      <c r="C412" s="75">
        <f>COUNTIFS(GERAL!B$8:B$1696,A412,GERAL!C$8:C$1696,"ANEXO")</f>
        <v>2</v>
      </c>
      <c r="D412" s="85">
        <f>SUMIF(GERAL!B$8:B$1696,A412,GERAL!Z$8:Z$1696)</f>
        <v>0</v>
      </c>
      <c r="E412" s="85">
        <f>SUMIF(GERAL!B$8:B$1696,A412,GERAL!AE$8:AE$1696)</f>
        <v>0</v>
      </c>
      <c r="F412" s="85">
        <f>SUMIF(GERAL!B$8:B$1696,A412,GERAL!AJ$8:AJ$1696)</f>
        <v>294</v>
      </c>
      <c r="G412" s="85">
        <f>SUMIF(GERAL!B$8:B$1696,A412,GERAL!AN$8:AN$1696)</f>
        <v>0</v>
      </c>
      <c r="H412" s="85">
        <f>SUMIF(GERAL!B$8:B$1696,A412,GERAL!AR$8:AW$1696)</f>
        <v>74</v>
      </c>
      <c r="I412" s="85">
        <f>SUMIF(GERAL!B$8:B$1696,A412,GERAL!AW$8:AW$1696)</f>
        <v>1040</v>
      </c>
      <c r="J412" s="75">
        <f>SUMIF(GERAL!B$8:B$1696,A412,GERAL!AX$8:AX$1696)</f>
        <v>1408</v>
      </c>
      <c r="K412" s="75">
        <f>COUNTIFS(GERAL!B$8:B$1696,A412,GERAL!AY$8:AY$1696,"&gt;0",GERAL!C$8:C$1696,"ESCOLA")</f>
        <v>4</v>
      </c>
      <c r="L412" s="75">
        <f>COUNTIFS(GERAL!B$8:B$1696,A412,GERAL!AY$8:AY$1696,"&gt;0",GERAL!C$8:C$1696,"ANEXO")</f>
        <v>2</v>
      </c>
      <c r="M412" s="100">
        <f>SUMIF(GERAL!B$8:B$1696,A412,GERAL!V$8:V$1696)+SUMIF(GERAL!B$8:B$1696,A412,GERAL!W$8:W$1696)</f>
        <v>0</v>
      </c>
      <c r="N412" s="100">
        <f>SUMIF(GERAL!B$8:B$1696,A412,GERAL!AA$8:AA$1696)+SUMIF(GERAL!B$8:B$1696,A412,GERAL!AB$8:AB$1696)</f>
        <v>0</v>
      </c>
      <c r="O412" s="100">
        <f>SUMIF(GERAL!B$8:B$1696,A412,GERAL!AF$8:AF$1696)+SUMIF(GERAL!B$8:B$1696,A412,GERAL!AG$8:AG$1696)</f>
        <v>217</v>
      </c>
      <c r="P412" s="100">
        <f>SUMIF(GERAL!B$8:B$1696,A412,GERAL!AK$8:AK$1696)+SUMIF(GERAL!B$8:B$1696,A412,GERAL!AL$8:AL$1696)</f>
        <v>0</v>
      </c>
      <c r="Q412" s="100">
        <f>SUMIF(GERAL!B$8:B$1696,A412,GERAL!AO$8:AO$1696)+SUMIF(GERAL!B$8:B$1696,A412,GERAL!AP$8:AP$1696)</f>
        <v>0</v>
      </c>
      <c r="R412" s="100">
        <f>SUMIF(GERAL!B$8:B$1696,A412,GERAL!AS$8:AS$1696)+SUMIF(GERAL!B$8:B$1696,A412,GERAL!AT$8:AT$1696)</f>
        <v>846</v>
      </c>
      <c r="S412" s="75">
        <f t="shared" si="39"/>
        <v>1063</v>
      </c>
      <c r="T412" s="116">
        <f>COUNTIFS(GERAL!B$8:B$1696,A412,GERAL!AZ$8:AZ$1696,"&gt;0",GERAL!C$8:C$1696,"ESCOLA")</f>
        <v>4</v>
      </c>
      <c r="U412" s="75">
        <f>COUNTIFS(GERAL!B$8:B$1696,A412,GERAL!AZ$8:AZ$1696,"&gt;0",GERAL!C$8:C$1696,"ANEXO")</f>
        <v>0</v>
      </c>
      <c r="V412" s="85">
        <f>SUMIF(GERAL!B$8:B$1696,A412,GERAL!AH$8:AH$1696)</f>
        <v>0</v>
      </c>
      <c r="W412" s="85">
        <f>SUMIF(GERAL!B$8:B$1696,A412,GERAL!AM$8:AM$1696)</f>
        <v>0</v>
      </c>
      <c r="X412" s="85">
        <f>SUMIF(GERAL!B$8:B$1696,A412,GERAL!AQ$8:AQ$1696)</f>
        <v>74</v>
      </c>
      <c r="Y412" s="85">
        <f>SUMIF(GERAL!B$8:B$1696,A412,GERAL!AU$8:AU$1696)</f>
        <v>194</v>
      </c>
      <c r="Z412" s="88">
        <f t="shared" si="40"/>
        <v>268</v>
      </c>
      <c r="AA412" s="116">
        <f>COUNTIFS(GERAL!B$8:B$1696,A412,GERAL!BK$8:BK$1696,"&gt;0",GERAL!C$8:C$1696,"ESCOLA")</f>
        <v>2</v>
      </c>
      <c r="AB412" s="88">
        <f>COUNTIFS(GERAL!B$8:B$1696,A412,GERAL!BK$8:BK$1696,"&gt;0",GERAL!C$8:C$1696,"ANEXO")</f>
        <v>0</v>
      </c>
      <c r="AC412" s="121">
        <f>SUMIF(GERAL!B$8:B$1696,A412,GERAL!AD$8:AD$1696)</f>
        <v>0</v>
      </c>
      <c r="AD412" s="121">
        <f>SUMIF(GERAL!B$8:B$1696,A412,GERAL!AI$8:AI$1696)</f>
        <v>77</v>
      </c>
      <c r="AE412" s="121">
        <f>SUMIF(GERAL!B$8:B$1696,A412,GERAL!AV$8:AV$1696)</f>
        <v>0</v>
      </c>
      <c r="AF412" s="492">
        <f t="shared" si="41"/>
        <v>77</v>
      </c>
      <c r="AG412" s="178">
        <f>COUNTIFS(GERAL!B$8:B$1696,A412,GERAL!AW$8:AW$1696,"&gt;0",GERAL!C$8:C$1696,"ESCOLA")</f>
        <v>2</v>
      </c>
      <c r="AH412" s="118">
        <f>COUNTIFS(GERAL!B$8:B$1696,A412,GERAL!AW$8:AW$1696,"&gt;0",GERAL!C$8:C$1696,"ANEXO")</f>
        <v>0</v>
      </c>
      <c r="AI412" s="177">
        <f>SUMIF(GERAL!B$8:B$1696,A412,GERAL!AS$8:AS$1696)+SUMIF(GERAL!B$8:B$1696,A412,GERAL!AT$8:AT$1696)</f>
        <v>846</v>
      </c>
      <c r="AJ412" s="177">
        <f>SUMIF(GERAL!B$8:B$1696,A412,GERAL!AU$8:AU$1696)</f>
        <v>194</v>
      </c>
      <c r="AK412" s="177">
        <f>SUMIF(GERAL!B$8:B$1696,A412,GERAL!AV$8:AV$1696)</f>
        <v>0</v>
      </c>
      <c r="AL412" s="118">
        <f t="shared" si="42"/>
        <v>1040</v>
      </c>
      <c r="AM412" s="493" t="s">
        <v>796</v>
      </c>
    </row>
    <row r="413">
      <c r="A413" s="494" t="s">
        <v>2806</v>
      </c>
      <c r="B413" s="75">
        <f>COUNTIFS(GERAL!B$8:B$1696,A413,GERAL!C$8:C$1696,"ESCOLA")</f>
        <v>1</v>
      </c>
      <c r="C413" s="75">
        <f>COUNTIFS(GERAL!B$8:B$1696,A413,GERAL!C$8:C$1696,"ANEXO")</f>
        <v>1</v>
      </c>
      <c r="D413" s="85">
        <f>SUMIF(GERAL!B$8:B$1696,A413,GERAL!Z$8:Z$1696)</f>
        <v>0</v>
      </c>
      <c r="E413" s="85">
        <f>SUMIF(GERAL!B$8:B$1696,A413,GERAL!AE$8:AE$1696)</f>
        <v>0</v>
      </c>
      <c r="F413" s="85">
        <f>SUMIF(GERAL!B$8:B$1696,A413,GERAL!AJ$8:AJ$1696)</f>
        <v>473</v>
      </c>
      <c r="G413" s="85">
        <f>SUMIF(GERAL!B$8:B$1696,A413,GERAL!AN$8:AN$1696)</f>
        <v>0</v>
      </c>
      <c r="H413" s="85">
        <f>SUMIF(GERAL!B$8:B$1696,A413,GERAL!AR$8:AW$1696)</f>
        <v>96</v>
      </c>
      <c r="I413" s="85">
        <f>SUMIF(GERAL!B$8:B$1696,A413,GERAL!AW$8:AW$1696)</f>
        <v>133</v>
      </c>
      <c r="J413" s="75">
        <f>SUMIF(GERAL!B$8:B$1696,A413,GERAL!AX$8:AX$1696)</f>
        <v>702</v>
      </c>
      <c r="K413" s="75">
        <f>COUNTIFS(GERAL!B$8:B$1696,A413,GERAL!AY$8:AY$1696,"&gt;0",GERAL!C$8:C$1696,"ESCOLA")</f>
        <v>1</v>
      </c>
      <c r="L413" s="75">
        <f>COUNTIFS(GERAL!B$8:B$1696,A413,GERAL!AY$8:AY$1696,"&gt;0",GERAL!C$8:C$1696,"ANEXO")</f>
        <v>0</v>
      </c>
      <c r="M413" s="100">
        <f>SUMIF(GERAL!B$8:B$1696,A413,GERAL!V$8:V$1696)+SUMIF(GERAL!B$8:B$1696,A413,GERAL!W$8:W$1696)</f>
        <v>0</v>
      </c>
      <c r="N413" s="100">
        <f>SUMIF(GERAL!B$8:B$1696,A413,GERAL!AA$8:AA$1696)+SUMIF(GERAL!B$8:B$1696,A413,GERAL!AB$8:AB$1696)</f>
        <v>0</v>
      </c>
      <c r="O413" s="100">
        <f>SUMIF(GERAL!B$8:B$1696,A413,GERAL!AF$8:AF$1696)+SUMIF(GERAL!B$8:B$1696,A413,GERAL!AG$8:AG$1696)</f>
        <v>386</v>
      </c>
      <c r="P413" s="100">
        <f>SUMIF(GERAL!B$8:B$1696,A413,GERAL!AK$8:AK$1696)+SUMIF(GERAL!B$8:B$1696,A413,GERAL!AL$8:AL$1696)</f>
        <v>0</v>
      </c>
      <c r="Q413" s="100">
        <f>SUMIF(GERAL!B$8:B$1696,A413,GERAL!AO$8:AO$1696)+SUMIF(GERAL!B$8:B$1696,A413,GERAL!AP$8:AP$1696)</f>
        <v>0</v>
      </c>
      <c r="R413" s="100">
        <f>SUMIF(GERAL!B$8:B$1696,A413,GERAL!AS$8:AS$1696)+SUMIF(GERAL!B$8:B$1696,A413,GERAL!AT$8:AT$1696)</f>
        <v>0</v>
      </c>
      <c r="S413" s="75">
        <f t="shared" si="39"/>
        <v>386</v>
      </c>
      <c r="T413" s="116">
        <f>COUNTIFS(GERAL!B$8:B$1696,A413,GERAL!AZ$8:AZ$1696,"&gt;0",GERAL!C$8:C$1696,"ESCOLA")</f>
        <v>1</v>
      </c>
      <c r="U413" s="75">
        <f>COUNTIFS(GERAL!B$8:B$1696,A413,GERAL!AZ$8:AZ$1696,"&gt;0",GERAL!C$8:C$1696,"ANEXO")</f>
        <v>1</v>
      </c>
      <c r="V413" s="85">
        <f>SUMIF(GERAL!B$8:B$1696,A413,GERAL!AH$8:AH$1696)</f>
        <v>0</v>
      </c>
      <c r="W413" s="85">
        <f>SUMIF(GERAL!B$8:B$1696,A413,GERAL!AM$8:AM$1696)</f>
        <v>0</v>
      </c>
      <c r="X413" s="85">
        <f>SUMIF(GERAL!B$8:B$1696,A413,GERAL!AQ$8:AQ$1696)</f>
        <v>96</v>
      </c>
      <c r="Y413" s="85">
        <f>SUMIF(GERAL!B$8:B$1696,A413,GERAL!AU$8:AU$1696)</f>
        <v>75</v>
      </c>
      <c r="Z413" s="88">
        <f t="shared" si="40"/>
        <v>171</v>
      </c>
      <c r="AA413" s="116">
        <f>COUNTIFS(GERAL!B$8:B$1696,A413,GERAL!BK$8:BK$1696,"&gt;0",GERAL!C$8:C$1696,"ESCOLA")</f>
        <v>1</v>
      </c>
      <c r="AB413" s="88">
        <f>COUNTIFS(GERAL!B$8:B$1696,A413,GERAL!BK$8:BK$1696,"&gt;0",GERAL!C$8:C$1696,"ANEXO")</f>
        <v>0</v>
      </c>
      <c r="AC413" s="121">
        <f>SUMIF(GERAL!B$8:B$1696,A413,GERAL!AD$8:AD$1696)</f>
        <v>0</v>
      </c>
      <c r="AD413" s="121">
        <f>SUMIF(GERAL!B$8:B$1696,A413,GERAL!AI$8:AI$1696)</f>
        <v>87</v>
      </c>
      <c r="AE413" s="121">
        <f>SUMIF(GERAL!B$8:B$1696,A413,GERAL!AV$8:AV$1696)</f>
        <v>58</v>
      </c>
      <c r="AF413" s="492">
        <f t="shared" si="41"/>
        <v>145</v>
      </c>
      <c r="AG413" s="178">
        <f>COUNTIFS(GERAL!B$8:B$1696,A413,GERAL!AW$8:AW$1696,"&gt;0",GERAL!C$8:C$1696,"ESCOLA")</f>
        <v>1</v>
      </c>
      <c r="AH413" s="118">
        <f>COUNTIFS(GERAL!B$8:B$1696,A413,GERAL!AW$8:AW$1696,"&gt;0",GERAL!C$8:C$1696,"ANEXO")</f>
        <v>0</v>
      </c>
      <c r="AI413" s="177">
        <f>SUMIF(GERAL!B$8:B$1696,A413,GERAL!AS$8:AS$1696)+SUMIF(GERAL!B$8:B$1696,A413,GERAL!AT$8:AT$1696)</f>
        <v>0</v>
      </c>
      <c r="AJ413" s="177">
        <f>SUMIF(GERAL!B$8:B$1696,A413,GERAL!AU$8:AU$1696)</f>
        <v>75</v>
      </c>
      <c r="AK413" s="177">
        <f>SUMIF(GERAL!B$8:B$1696,A413,GERAL!AV$8:AV$1696)</f>
        <v>58</v>
      </c>
      <c r="AL413" s="118">
        <f t="shared" si="42"/>
        <v>133</v>
      </c>
      <c r="AM413" s="493" t="s">
        <v>723</v>
      </c>
    </row>
    <row r="414">
      <c r="A414" s="484" t="s">
        <v>1658</v>
      </c>
      <c r="B414" s="75">
        <f>COUNTIFS(GERAL!B$8:B$1696,A414,GERAL!C$8:C$1696,"ESCOLA")</f>
        <v>1</v>
      </c>
      <c r="C414" s="75">
        <f>COUNTIFS(GERAL!B$8:B$1696,A414,GERAL!C$8:C$1696,"ANEXO")</f>
        <v>0</v>
      </c>
      <c r="D414" s="85">
        <f>SUMIF(GERAL!B$8:B$1696,A414,GERAL!Z$8:Z$1696)</f>
        <v>0</v>
      </c>
      <c r="E414" s="85">
        <f>SUMIF(GERAL!B$8:B$1696,A414,GERAL!AE$8:AE$1696)</f>
        <v>0</v>
      </c>
      <c r="F414" s="85">
        <f>SUMIF(GERAL!B$8:B$1696,A414,GERAL!AJ$8:AJ$1696)</f>
        <v>436</v>
      </c>
      <c r="G414" s="85">
        <f>SUMIF(GERAL!B$8:B$1696,A414,GERAL!AN$8:AN$1696)</f>
        <v>0</v>
      </c>
      <c r="H414" s="85">
        <f>SUMIF(GERAL!B$8:B$1696,A414,GERAL!AR$8:AW$1696)</f>
        <v>85</v>
      </c>
      <c r="I414" s="85">
        <f>SUMIF(GERAL!B$8:B$1696,A414,GERAL!AW$8:AW$1696)</f>
        <v>122</v>
      </c>
      <c r="J414" s="75">
        <f>SUMIF(GERAL!B$8:B$1696,A414,GERAL!AX$8:AX$1696)</f>
        <v>643</v>
      </c>
      <c r="K414" s="75">
        <f>COUNTIFS(GERAL!B$8:B$1696,A414,GERAL!AY$8:AY$1696,"&gt;0",GERAL!C$8:C$1696,"ESCOLA")</f>
        <v>1</v>
      </c>
      <c r="L414" s="75">
        <f>COUNTIFS(GERAL!B$8:B$1696,A414,GERAL!AY$8:AY$1696,"&gt;0",GERAL!C$8:C$1696,"ANEXO")</f>
        <v>0</v>
      </c>
      <c r="M414" s="100">
        <f>SUMIF(GERAL!B$8:B$1696,A414,GERAL!V$8:V$1696)+SUMIF(GERAL!B$8:B$1696,A414,GERAL!W$8:W$1696)</f>
        <v>0</v>
      </c>
      <c r="N414" s="100">
        <f>SUMIF(GERAL!B$8:B$1696,A414,GERAL!AA$8:AA$1696)+SUMIF(GERAL!B$8:B$1696,A414,GERAL!AB$8:AB$1696)</f>
        <v>0</v>
      </c>
      <c r="O414" s="100">
        <f>SUMIF(GERAL!B$8:B$1696,A414,GERAL!AF$8:AF$1696)+SUMIF(GERAL!B$8:B$1696,A414,GERAL!AG$8:AG$1696)</f>
        <v>420</v>
      </c>
      <c r="P414" s="100">
        <f>SUMIF(GERAL!B$8:B$1696,A414,GERAL!AK$8:AK$1696)+SUMIF(GERAL!B$8:B$1696,A414,GERAL!AL$8:AL$1696)</f>
        <v>0</v>
      </c>
      <c r="Q414" s="100">
        <f>SUMIF(GERAL!B$8:B$1696,A414,GERAL!AO$8:AO$1696)+SUMIF(GERAL!B$8:B$1696,A414,GERAL!AP$8:AP$1696)</f>
        <v>0</v>
      </c>
      <c r="R414" s="100">
        <f>SUMIF(GERAL!B$8:B$1696,A414,GERAL!AS$8:AS$1696)+SUMIF(GERAL!B$8:B$1696,A414,GERAL!AT$8:AT$1696)</f>
        <v>68</v>
      </c>
      <c r="S414" s="75">
        <f t="shared" si="39"/>
        <v>488</v>
      </c>
      <c r="T414" s="116">
        <f>COUNTIFS(GERAL!B$8:B$1696,A414,GERAL!AZ$8:AZ$1696,"&gt;0",GERAL!C$8:C$1696,"ESCOLA")</f>
        <v>1</v>
      </c>
      <c r="U414" s="75">
        <f>COUNTIFS(GERAL!B$8:B$1696,A414,GERAL!AZ$8:AZ$1696,"&gt;0",GERAL!C$8:C$1696,"ANEXO")</f>
        <v>0</v>
      </c>
      <c r="V414" s="85">
        <f>SUMIF(GERAL!B$8:B$1696,A414,GERAL!AH$8:AH$1696)</f>
        <v>0</v>
      </c>
      <c r="W414" s="85">
        <f>SUMIF(GERAL!B$8:B$1696,A414,GERAL!AM$8:AM$1696)</f>
        <v>0</v>
      </c>
      <c r="X414" s="85">
        <f>SUMIF(GERAL!B$8:B$1696,A414,GERAL!AQ$8:AQ$1696)</f>
        <v>85</v>
      </c>
      <c r="Y414" s="85">
        <f>SUMIF(GERAL!B$8:B$1696,A414,GERAL!AU$8:AU$1696)</f>
        <v>24</v>
      </c>
      <c r="Z414" s="88">
        <f t="shared" si="40"/>
        <v>109</v>
      </c>
      <c r="AA414" s="116">
        <f>COUNTIFS(GERAL!B$8:B$1696,A414,GERAL!BK$8:BK$1696,"&gt;0",GERAL!C$8:C$1696,"ESCOLA")</f>
        <v>1</v>
      </c>
      <c r="AB414" s="88">
        <f>COUNTIFS(GERAL!B$8:B$1696,A414,GERAL!BK$8:BK$1696,"&gt;0",GERAL!C$8:C$1696,"ANEXO")</f>
        <v>0</v>
      </c>
      <c r="AC414" s="121">
        <f>SUMIF(GERAL!B$8:B$1696,A414,GERAL!AD$8:AD$1696)</f>
        <v>0</v>
      </c>
      <c r="AD414" s="121">
        <f>SUMIF(GERAL!B$8:B$1696,A414,GERAL!AI$8:AI$1696)</f>
        <v>16</v>
      </c>
      <c r="AE414" s="121">
        <f>SUMIF(GERAL!B$8:B$1696,A414,GERAL!AV$8:AV$1696)</f>
        <v>30</v>
      </c>
      <c r="AF414" s="492">
        <f t="shared" si="41"/>
        <v>46</v>
      </c>
      <c r="AG414" s="178">
        <f>COUNTIFS(GERAL!B$8:B$1696,A414,GERAL!AW$8:AW$1696,"&gt;0",GERAL!C$8:C$1696,"ESCOLA")</f>
        <v>1</v>
      </c>
      <c r="AH414" s="118">
        <f>COUNTIFS(GERAL!B$8:B$1696,A414,GERAL!AW$8:AW$1696,"&gt;0",GERAL!C$8:C$1696,"ANEXO")</f>
        <v>0</v>
      </c>
      <c r="AI414" s="177">
        <f>SUMIF(GERAL!B$8:B$1696,A414,GERAL!AS$8:AS$1696)+SUMIF(GERAL!B$8:B$1696,A414,GERAL!AT$8:AT$1696)</f>
        <v>68</v>
      </c>
      <c r="AJ414" s="177">
        <f>SUMIF(GERAL!B$8:B$1696,A414,GERAL!AU$8:AU$1696)</f>
        <v>24</v>
      </c>
      <c r="AK414" s="177">
        <f>SUMIF(GERAL!B$8:B$1696,A414,GERAL!AV$8:AV$1696)</f>
        <v>30</v>
      </c>
      <c r="AL414" s="118">
        <f t="shared" si="42"/>
        <v>122</v>
      </c>
      <c r="AM414" s="493" t="s">
        <v>451</v>
      </c>
    </row>
    <row r="415">
      <c r="A415" s="494" t="s">
        <v>7266</v>
      </c>
      <c r="B415" s="75">
        <f>COUNTIFS(GERAL!B$8:B$1696,A415,GERAL!C$8:C$1696,"ESCOLA")</f>
        <v>1</v>
      </c>
      <c r="C415" s="75">
        <f>COUNTIFS(GERAL!B$8:B$1696,A415,GERAL!C$8:C$1696,"ANEXO")</f>
        <v>0</v>
      </c>
      <c r="D415" s="85">
        <f>SUMIF(GERAL!B$8:B$1696,A415,GERAL!Z$8:Z$1696)</f>
        <v>0</v>
      </c>
      <c r="E415" s="85">
        <f>SUMIF(GERAL!B$8:B$1696,A415,GERAL!AE$8:AE$1696)</f>
        <v>0</v>
      </c>
      <c r="F415" s="85">
        <f>SUMIF(GERAL!B$8:B$1696,A415,GERAL!AJ$8:AJ$1696)</f>
        <v>273</v>
      </c>
      <c r="G415" s="85">
        <f>SUMIF(GERAL!B$8:B$1696,A415,GERAL!AN$8:AN$1696)</f>
        <v>0</v>
      </c>
      <c r="H415" s="85">
        <f>SUMIF(GERAL!B$8:B$1696,A415,GERAL!AR$8:AW$1696)</f>
        <v>178</v>
      </c>
      <c r="I415" s="85">
        <f>SUMIF(GERAL!B$8:B$1696,A415,GERAL!AW$8:AW$1696)</f>
        <v>49</v>
      </c>
      <c r="J415" s="75">
        <f>SUMIF(GERAL!B$8:B$1696,A415,GERAL!AX$8:AX$1696)</f>
        <v>500</v>
      </c>
      <c r="K415" s="75">
        <f>COUNTIFS(GERAL!B$8:B$1696,A415,GERAL!AY$8:AY$1696,"&gt;0",GERAL!C$8:C$1696,"ESCOLA")</f>
        <v>1</v>
      </c>
      <c r="L415" s="75">
        <f>COUNTIFS(GERAL!B$8:B$1696,A415,GERAL!AY$8:AY$1696,"&gt;0",GERAL!C$8:C$1696,"ANEXO")</f>
        <v>0</v>
      </c>
      <c r="M415" s="100">
        <f>SUMIF(GERAL!B$8:B$1696,A415,GERAL!V$8:V$1696)+SUMIF(GERAL!B$8:B$1696,A415,GERAL!W$8:W$1696)</f>
        <v>0</v>
      </c>
      <c r="N415" s="100">
        <f>SUMIF(GERAL!B$8:B$1696,A415,GERAL!AA$8:AA$1696)+SUMIF(GERAL!B$8:B$1696,A415,GERAL!AB$8:AB$1696)</f>
        <v>0</v>
      </c>
      <c r="O415" s="100">
        <f>SUMIF(GERAL!B$8:B$1696,A415,GERAL!AF$8:AF$1696)+SUMIF(GERAL!B$8:B$1696,A415,GERAL!AG$8:AG$1696)</f>
        <v>0</v>
      </c>
      <c r="P415" s="100">
        <f>SUMIF(GERAL!B$8:B$1696,A415,GERAL!AK$8:AK$1696)+SUMIF(GERAL!B$8:B$1696,A415,GERAL!AL$8:AL$1696)</f>
        <v>0</v>
      </c>
      <c r="Q415" s="100">
        <f>SUMIF(GERAL!B$8:B$1696,A415,GERAL!AO$8:AO$1696)+SUMIF(GERAL!B$8:B$1696,A415,GERAL!AP$8:AP$1696)</f>
        <v>0</v>
      </c>
      <c r="R415" s="100">
        <f>SUMIF(GERAL!B$8:B$1696,A415,GERAL!AS$8:AS$1696)+SUMIF(GERAL!B$8:B$1696,A415,GERAL!AT$8:AT$1696)</f>
        <v>0</v>
      </c>
      <c r="S415" s="75">
        <f t="shared" si="39"/>
        <v>0</v>
      </c>
      <c r="T415" s="116">
        <f>COUNTIFS(GERAL!B$8:B$1696,A415,GERAL!AZ$8:AZ$1696,"&gt;0",GERAL!C$8:C$1696,"ESCOLA")</f>
        <v>1</v>
      </c>
      <c r="U415" s="75">
        <f>COUNTIFS(GERAL!B$8:B$1696,A415,GERAL!AZ$8:AZ$1696,"&gt;0",GERAL!C$8:C$1696,"ANEXO")</f>
        <v>0</v>
      </c>
      <c r="V415" s="85">
        <f>SUMIF(GERAL!B$8:B$1696,A415,GERAL!AH$8:AH$1696)</f>
        <v>0</v>
      </c>
      <c r="W415" s="85">
        <f>SUMIF(GERAL!B$8:B$1696,A415,GERAL!AM$8:AM$1696)</f>
        <v>0</v>
      </c>
      <c r="X415" s="85">
        <f>SUMIF(GERAL!B$8:B$1696,A415,GERAL!AQ$8:AQ$1696)</f>
        <v>178</v>
      </c>
      <c r="Y415" s="85">
        <f>SUMIF(GERAL!B$8:B$1696,A415,GERAL!AU$8:AU$1696)</f>
        <v>16</v>
      </c>
      <c r="Z415" s="88">
        <f t="shared" si="40"/>
        <v>194</v>
      </c>
      <c r="AA415" s="116">
        <f>COUNTIFS(GERAL!B$8:B$1696,A415,GERAL!BK$8:BK$1696,"&gt;0",GERAL!C$8:C$1696,"ESCOLA")</f>
        <v>1</v>
      </c>
      <c r="AB415" s="88">
        <f>COUNTIFS(GERAL!B$8:B$1696,A415,GERAL!BK$8:BK$1696,"&gt;0",GERAL!C$8:C$1696,"ANEXO")</f>
        <v>0</v>
      </c>
      <c r="AC415" s="121">
        <f>SUMIF(GERAL!B$8:B$1696,A415,GERAL!AD$8:AD$1696)</f>
        <v>0</v>
      </c>
      <c r="AD415" s="121">
        <f>SUMIF(GERAL!B$8:B$1696,A415,GERAL!AI$8:AI$1696)</f>
        <v>273</v>
      </c>
      <c r="AE415" s="121">
        <f>SUMIF(GERAL!B$8:B$1696,A415,GERAL!AV$8:AV$1696)</f>
        <v>33</v>
      </c>
      <c r="AF415" s="492">
        <f t="shared" si="41"/>
        <v>306</v>
      </c>
      <c r="AG415" s="178">
        <f>COUNTIFS(GERAL!B$8:B$1696,A415,GERAL!AW$8:AW$1696,"&gt;0",GERAL!C$8:C$1696,"ESCOLA")</f>
        <v>1</v>
      </c>
      <c r="AH415" s="118">
        <f>COUNTIFS(GERAL!B$8:B$1696,A415,GERAL!AW$8:AW$1696,"&gt;0",GERAL!C$8:C$1696,"ANEXO")</f>
        <v>0</v>
      </c>
      <c r="AI415" s="177">
        <f>SUMIF(GERAL!B$8:B$1696,A415,GERAL!AS$8:AS$1696)+SUMIF(GERAL!B$8:B$1696,A415,GERAL!AT$8:AT$1696)</f>
        <v>0</v>
      </c>
      <c r="AJ415" s="177">
        <f>SUMIF(GERAL!B$8:B$1696,A415,GERAL!AU$8:AU$1696)</f>
        <v>16</v>
      </c>
      <c r="AK415" s="177">
        <f>SUMIF(GERAL!B$8:B$1696,A415,GERAL!AV$8:AV$1696)</f>
        <v>33</v>
      </c>
      <c r="AL415" s="118">
        <f t="shared" si="42"/>
        <v>49</v>
      </c>
      <c r="AM415" s="493" t="s">
        <v>1535</v>
      </c>
    </row>
    <row r="416">
      <c r="A416" s="484" t="s">
        <v>412</v>
      </c>
      <c r="B416" s="75">
        <f>COUNTIFS(GERAL!B$8:B$1696,A416,GERAL!C$8:C$1696,"ESCOLA")</f>
        <v>1</v>
      </c>
      <c r="C416" s="75">
        <f>COUNTIFS(GERAL!B$8:B$1696,A416,GERAL!C$8:C$1696,"ANEXO")</f>
        <v>0</v>
      </c>
      <c r="D416" s="85">
        <f>SUMIF(GERAL!B$8:B$1696,A416,GERAL!Z$8:Z$1696)</f>
        <v>0</v>
      </c>
      <c r="E416" s="85">
        <f>SUMIF(GERAL!B$8:B$1696,A416,GERAL!AE$8:AE$1696)</f>
        <v>0</v>
      </c>
      <c r="F416" s="85">
        <f>SUMIF(GERAL!B$8:B$1696,A416,GERAL!AJ$8:AJ$1696)</f>
        <v>323</v>
      </c>
      <c r="G416" s="85">
        <f>SUMIF(GERAL!B$8:B$1696,A416,GERAL!AN$8:AN$1696)</f>
        <v>0</v>
      </c>
      <c r="H416" s="85">
        <f>SUMIF(GERAL!B$8:B$1696,A416,GERAL!AR$8:AW$1696)</f>
        <v>38</v>
      </c>
      <c r="I416" s="85">
        <f>SUMIF(GERAL!B$8:B$1696,A416,GERAL!AW$8:AW$1696)</f>
        <v>77</v>
      </c>
      <c r="J416" s="75">
        <f>SUMIF(GERAL!B$8:B$1696,A416,GERAL!AX$8:AX$1696)</f>
        <v>438</v>
      </c>
      <c r="K416" s="75">
        <f>COUNTIFS(GERAL!B$8:B$1696,A416,GERAL!AY$8:AY$1696,"&gt;0",GERAL!C$8:C$1696,"ESCOLA")</f>
        <v>1</v>
      </c>
      <c r="L416" s="75">
        <f>COUNTIFS(GERAL!B$8:B$1696,A416,GERAL!AY$8:AY$1696,"&gt;0",GERAL!C$8:C$1696,"ANEXO")</f>
        <v>0</v>
      </c>
      <c r="M416" s="100">
        <f>SUMIF(GERAL!B$8:B$1696,A416,GERAL!V$8:V$1696)+SUMIF(GERAL!B$8:B$1696,A416,GERAL!W$8:W$1696)</f>
        <v>0</v>
      </c>
      <c r="N416" s="100">
        <f>SUMIF(GERAL!B$8:B$1696,A416,GERAL!AA$8:AA$1696)+SUMIF(GERAL!B$8:B$1696,A416,GERAL!AB$8:AB$1696)</f>
        <v>0</v>
      </c>
      <c r="O416" s="100">
        <f>SUMIF(GERAL!B$8:B$1696,A416,GERAL!AF$8:AF$1696)+SUMIF(GERAL!B$8:B$1696,A416,GERAL!AG$8:AG$1696)</f>
        <v>39</v>
      </c>
      <c r="P416" s="100">
        <f>SUMIF(GERAL!B$8:B$1696,A416,GERAL!AK$8:AK$1696)+SUMIF(GERAL!B$8:B$1696,A416,GERAL!AL$8:AL$1696)</f>
        <v>0</v>
      </c>
      <c r="Q416" s="100">
        <f>SUMIF(GERAL!B$8:B$1696,A416,GERAL!AO$8:AO$1696)+SUMIF(GERAL!B$8:B$1696,A416,GERAL!AP$8:AP$1696)</f>
        <v>0</v>
      </c>
      <c r="R416" s="100">
        <f>SUMIF(GERAL!B$8:B$1696,A416,GERAL!AS$8:AS$1696)+SUMIF(GERAL!B$8:B$1696,A416,GERAL!AT$8:AT$1696)</f>
        <v>0</v>
      </c>
      <c r="S416" s="75">
        <f t="shared" si="39"/>
        <v>39</v>
      </c>
      <c r="T416" s="116">
        <f>COUNTIFS(GERAL!B$8:B$1696,A416,GERAL!AZ$8:AZ$1696,"&gt;0",GERAL!C$8:C$1696,"ESCOLA")</f>
        <v>1</v>
      </c>
      <c r="U416" s="75">
        <f>COUNTIFS(GERAL!B$8:B$1696,A416,GERAL!AZ$8:AZ$1696,"&gt;0",GERAL!C$8:C$1696,"ANEXO")</f>
        <v>0</v>
      </c>
      <c r="V416" s="85">
        <f>SUMIF(GERAL!B$8:B$1696,A416,GERAL!AH$8:AH$1696)</f>
        <v>0</v>
      </c>
      <c r="W416" s="85">
        <f>SUMIF(GERAL!B$8:B$1696,A416,GERAL!AM$8:AM$1696)</f>
        <v>0</v>
      </c>
      <c r="X416" s="85">
        <f>SUMIF(GERAL!B$8:B$1696,A416,GERAL!AQ$8:AQ$1696)</f>
        <v>38</v>
      </c>
      <c r="Y416" s="85">
        <f>SUMIF(GERAL!B$8:B$1696,A416,GERAL!AU$8:AU$1696)</f>
        <v>18</v>
      </c>
      <c r="Z416" s="88">
        <f t="shared" si="40"/>
        <v>56</v>
      </c>
      <c r="AA416" s="116">
        <f>COUNTIFS(GERAL!B$8:B$1696,A416,GERAL!BK$8:BK$1696,"&gt;0",GERAL!C$8:C$1696,"ESCOLA")</f>
        <v>1</v>
      </c>
      <c r="AB416" s="88">
        <f>COUNTIFS(GERAL!B$8:B$1696,A416,GERAL!BK$8:BK$1696,"&gt;0",GERAL!C$8:C$1696,"ANEXO")</f>
        <v>0</v>
      </c>
      <c r="AC416" s="121">
        <f>SUMIF(GERAL!B$8:B$1696,A416,GERAL!AD$8:AD$1696)</f>
        <v>0</v>
      </c>
      <c r="AD416" s="121">
        <f>SUMIF(GERAL!B$8:B$1696,A416,GERAL!AI$8:AI$1696)</f>
        <v>284</v>
      </c>
      <c r="AE416" s="121">
        <f>SUMIF(GERAL!B$8:B$1696,A416,GERAL!AV$8:AV$1696)</f>
        <v>59</v>
      </c>
      <c r="AF416" s="492">
        <f t="shared" si="41"/>
        <v>343</v>
      </c>
      <c r="AG416" s="178">
        <f>COUNTIFS(GERAL!B$8:B$1696,A416,GERAL!AW$8:AW$1696,"&gt;0",GERAL!C$8:C$1696,"ESCOLA")</f>
        <v>1</v>
      </c>
      <c r="AH416" s="118">
        <f>COUNTIFS(GERAL!B$8:B$1696,A416,GERAL!AW$8:AW$1696,"&gt;0",GERAL!C$8:C$1696,"ANEXO")</f>
        <v>0</v>
      </c>
      <c r="AI416" s="177">
        <f>SUMIF(GERAL!B$8:B$1696,A416,GERAL!AS$8:AS$1696)+SUMIF(GERAL!B$8:B$1696,A416,GERAL!AT$8:AT$1696)</f>
        <v>0</v>
      </c>
      <c r="AJ416" s="177">
        <f>SUMIF(GERAL!B$8:B$1696,A416,GERAL!AU$8:AU$1696)</f>
        <v>18</v>
      </c>
      <c r="AK416" s="177">
        <f>SUMIF(GERAL!B$8:B$1696,A416,GERAL!AV$8:AV$1696)</f>
        <v>59</v>
      </c>
      <c r="AL416" s="118">
        <f t="shared" si="42"/>
        <v>77</v>
      </c>
      <c r="AM416" s="493" t="s">
        <v>130</v>
      </c>
    </row>
    <row r="417">
      <c r="A417" s="494" t="s">
        <v>4978</v>
      </c>
      <c r="B417" s="75">
        <f>COUNTIFS(GERAL!B$8:B$1696,A417,GERAL!C$8:C$1696,"ESCOLA")</f>
        <v>1</v>
      </c>
      <c r="C417" s="75">
        <f>COUNTIFS(GERAL!B$8:B$1696,A417,GERAL!C$8:C$1696,"ANEXO")</f>
        <v>1</v>
      </c>
      <c r="D417" s="85">
        <f>SUMIF(GERAL!B$8:B$1696,A417,GERAL!Z$8:Z$1696)</f>
        <v>0</v>
      </c>
      <c r="E417" s="85">
        <f>SUMIF(GERAL!B$8:B$1696,A417,GERAL!AE$8:AE$1696)</f>
        <v>0</v>
      </c>
      <c r="F417" s="85">
        <f>SUMIF(GERAL!B$8:B$1696,A417,GERAL!AJ$8:AJ$1696)</f>
        <v>289</v>
      </c>
      <c r="G417" s="85">
        <f>SUMIF(GERAL!B$8:B$1696,A417,GERAL!AN$8:AN$1696)</f>
        <v>0</v>
      </c>
      <c r="H417" s="85">
        <f>SUMIF(GERAL!B$8:B$1696,A417,GERAL!AR$8:AW$1696)</f>
        <v>125</v>
      </c>
      <c r="I417" s="85">
        <f>SUMIF(GERAL!B$8:B$1696,A417,GERAL!AW$8:AW$1696)</f>
        <v>85</v>
      </c>
      <c r="J417" s="75">
        <f>SUMIF(GERAL!B$8:B$1696,A417,GERAL!AX$8:AX$1696)</f>
        <v>499</v>
      </c>
      <c r="K417" s="75">
        <f>COUNTIFS(GERAL!B$8:B$1696,A417,GERAL!AY$8:AY$1696,"&gt;0",GERAL!C$8:C$1696,"ESCOLA")</f>
        <v>1</v>
      </c>
      <c r="L417" s="75">
        <f>COUNTIFS(GERAL!B$8:B$1696,A417,GERAL!AY$8:AY$1696,"&gt;0",GERAL!C$8:C$1696,"ANEXO")</f>
        <v>1</v>
      </c>
      <c r="M417" s="100">
        <f>SUMIF(GERAL!B$8:B$1696,A417,GERAL!V$8:V$1696)+SUMIF(GERAL!B$8:B$1696,A417,GERAL!W$8:W$1696)</f>
        <v>0</v>
      </c>
      <c r="N417" s="100">
        <f>SUMIF(GERAL!B$8:B$1696,A417,GERAL!AA$8:AA$1696)+SUMIF(GERAL!B$8:B$1696,A417,GERAL!AB$8:AB$1696)</f>
        <v>0</v>
      </c>
      <c r="O417" s="100">
        <f>SUMIF(GERAL!B$8:B$1696,A417,GERAL!AF$8:AF$1696)+SUMIF(GERAL!B$8:B$1696,A417,GERAL!AG$8:AG$1696)</f>
        <v>58</v>
      </c>
      <c r="P417" s="100">
        <f>SUMIF(GERAL!B$8:B$1696,A417,GERAL!AK$8:AK$1696)+SUMIF(GERAL!B$8:B$1696,A417,GERAL!AL$8:AL$1696)</f>
        <v>0</v>
      </c>
      <c r="Q417" s="100">
        <f>SUMIF(GERAL!B$8:B$1696,A417,GERAL!AO$8:AO$1696)+SUMIF(GERAL!B$8:B$1696,A417,GERAL!AP$8:AP$1696)</f>
        <v>0</v>
      </c>
      <c r="R417" s="100">
        <f>SUMIF(GERAL!B$8:B$1696,A417,GERAL!AS$8:AS$1696)+SUMIF(GERAL!B$8:B$1696,A417,GERAL!AT$8:AT$1696)</f>
        <v>0</v>
      </c>
      <c r="S417" s="75">
        <f t="shared" si="39"/>
        <v>58</v>
      </c>
      <c r="T417" s="116">
        <f>COUNTIFS(GERAL!B$8:B$1696,A417,GERAL!AZ$8:AZ$1696,"&gt;0",GERAL!C$8:C$1696,"ESCOLA")</f>
        <v>1</v>
      </c>
      <c r="U417" s="75">
        <f>COUNTIFS(GERAL!B$8:B$1696,A417,GERAL!AZ$8:AZ$1696,"&gt;0",GERAL!C$8:C$1696,"ANEXO")</f>
        <v>1</v>
      </c>
      <c r="V417" s="85">
        <f>SUMIF(GERAL!B$8:B$1696,A417,GERAL!AH$8:AH$1696)</f>
        <v>0</v>
      </c>
      <c r="W417" s="85">
        <f>SUMIF(GERAL!B$8:B$1696,A417,GERAL!AM$8:AM$1696)</f>
        <v>0</v>
      </c>
      <c r="X417" s="85">
        <f>SUMIF(GERAL!B$8:B$1696,A417,GERAL!AQ$8:AQ$1696)</f>
        <v>125</v>
      </c>
      <c r="Y417" s="85">
        <f>SUMIF(GERAL!B$8:B$1696,A417,GERAL!AU$8:AU$1696)</f>
        <v>0</v>
      </c>
      <c r="Z417" s="88">
        <f t="shared" si="40"/>
        <v>125</v>
      </c>
      <c r="AA417" s="116">
        <f>COUNTIFS(GERAL!B$8:B$1696,A417,GERAL!BK$8:BK$1696,"&gt;0",GERAL!C$8:C$1696,"ESCOLA")</f>
        <v>1</v>
      </c>
      <c r="AB417" s="88">
        <f>COUNTIFS(GERAL!B$8:B$1696,A417,GERAL!BK$8:BK$1696,"&gt;0",GERAL!C$8:C$1696,"ANEXO")</f>
        <v>0</v>
      </c>
      <c r="AC417" s="121">
        <f>SUMIF(GERAL!B$8:B$1696,A417,GERAL!AD$8:AD$1696)</f>
        <v>0</v>
      </c>
      <c r="AD417" s="121">
        <f>SUMIF(GERAL!B$8:B$1696,A417,GERAL!AI$8:AI$1696)</f>
        <v>231</v>
      </c>
      <c r="AE417" s="121">
        <f>SUMIF(GERAL!B$8:B$1696,A417,GERAL!AV$8:AV$1696)</f>
        <v>85</v>
      </c>
      <c r="AF417" s="492">
        <f t="shared" si="41"/>
        <v>316</v>
      </c>
      <c r="AG417" s="178">
        <f>COUNTIFS(GERAL!B$8:B$1696,A417,GERAL!AW$8:AW$1696,"&gt;0",GERAL!C$8:C$1696,"ESCOLA")</f>
        <v>1</v>
      </c>
      <c r="AH417" s="118">
        <f>COUNTIFS(GERAL!B$8:B$1696,A417,GERAL!AW$8:AW$1696,"&gt;0",GERAL!C$8:C$1696,"ANEXO")</f>
        <v>0</v>
      </c>
      <c r="AI417" s="177">
        <f>SUMIF(GERAL!B$8:B$1696,A417,GERAL!AS$8:AS$1696)+SUMIF(GERAL!B$8:B$1696,A417,GERAL!AT$8:AT$1696)</f>
        <v>0</v>
      </c>
      <c r="AJ417" s="177">
        <f>SUMIF(GERAL!B$8:B$1696,A417,GERAL!AU$8:AU$1696)</f>
        <v>0</v>
      </c>
      <c r="AK417" s="177">
        <f>SUMIF(GERAL!B$8:B$1696,A417,GERAL!AV$8:AV$1696)</f>
        <v>85</v>
      </c>
      <c r="AL417" s="118">
        <f t="shared" si="42"/>
        <v>85</v>
      </c>
      <c r="AM417" s="493" t="s">
        <v>1161</v>
      </c>
    </row>
    <row r="418">
      <c r="A418" s="484" t="s">
        <v>1663</v>
      </c>
      <c r="B418" s="75">
        <f>COUNTIFS(GERAL!B$8:B$1696,A418,GERAL!C$8:C$1696,"ESCOLA")</f>
        <v>1</v>
      </c>
      <c r="C418" s="75">
        <f>COUNTIFS(GERAL!B$8:B$1696,A418,GERAL!C$8:C$1696,"ANEXO")</f>
        <v>1</v>
      </c>
      <c r="D418" s="85">
        <f>SUMIF(GERAL!B$8:B$1696,A418,GERAL!Z$8:Z$1696)</f>
        <v>0</v>
      </c>
      <c r="E418" s="85">
        <f>SUMIF(GERAL!B$8:B$1696,A418,GERAL!AE$8:AE$1696)</f>
        <v>0</v>
      </c>
      <c r="F418" s="85">
        <f>SUMIF(GERAL!B$8:B$1696,A418,GERAL!AJ$8:AJ$1696)</f>
        <v>576</v>
      </c>
      <c r="G418" s="85">
        <f>SUMIF(GERAL!B$8:B$1696,A418,GERAL!AN$8:AN$1696)</f>
        <v>0</v>
      </c>
      <c r="H418" s="85">
        <f>SUMIF(GERAL!B$8:B$1696,A418,GERAL!AR$8:AW$1696)</f>
        <v>105</v>
      </c>
      <c r="I418" s="85">
        <f>SUMIF(GERAL!B$8:B$1696,A418,GERAL!AW$8:AW$1696)</f>
        <v>19</v>
      </c>
      <c r="J418" s="75">
        <f>SUMIF(GERAL!B$8:B$1696,A418,GERAL!AX$8:AX$1696)</f>
        <v>700</v>
      </c>
      <c r="K418" s="75">
        <f>COUNTIFS(GERAL!B$8:B$1696,A418,GERAL!AY$8:AY$1696,"&gt;0",GERAL!C$8:C$1696,"ESCOLA")</f>
        <v>1</v>
      </c>
      <c r="L418" s="75">
        <f>COUNTIFS(GERAL!B$8:B$1696,A418,GERAL!AY$8:AY$1696,"&gt;0",GERAL!C$8:C$1696,"ANEXO")</f>
        <v>1</v>
      </c>
      <c r="M418" s="100">
        <f>SUMIF(GERAL!B$8:B$1696,A418,GERAL!V$8:V$1696)+SUMIF(GERAL!B$8:B$1696,A418,GERAL!W$8:W$1696)</f>
        <v>0</v>
      </c>
      <c r="N418" s="100">
        <f>SUMIF(GERAL!B$8:B$1696,A418,GERAL!AA$8:AA$1696)+SUMIF(GERAL!B$8:B$1696,A418,GERAL!AB$8:AB$1696)</f>
        <v>0</v>
      </c>
      <c r="O418" s="100">
        <f>SUMIF(GERAL!B$8:B$1696,A418,GERAL!AF$8:AF$1696)+SUMIF(GERAL!B$8:B$1696,A418,GERAL!AG$8:AG$1696)</f>
        <v>564</v>
      </c>
      <c r="P418" s="100">
        <f>SUMIF(GERAL!B$8:B$1696,A418,GERAL!AK$8:AK$1696)+SUMIF(GERAL!B$8:B$1696,A418,GERAL!AL$8:AL$1696)</f>
        <v>0</v>
      </c>
      <c r="Q418" s="100">
        <f>SUMIF(GERAL!B$8:B$1696,A418,GERAL!AO$8:AO$1696)+SUMIF(GERAL!B$8:B$1696,A418,GERAL!AP$8:AP$1696)</f>
        <v>0</v>
      </c>
      <c r="R418" s="100">
        <f>SUMIF(GERAL!B$8:B$1696,A418,GERAL!AS$8:AS$1696)+SUMIF(GERAL!B$8:B$1696,A418,GERAL!AT$8:AT$1696)</f>
        <v>0</v>
      </c>
      <c r="S418" s="75">
        <f t="shared" si="39"/>
        <v>564</v>
      </c>
      <c r="T418" s="116">
        <f>COUNTIFS(GERAL!B$8:B$1696,A418,GERAL!AZ$8:AZ$1696,"&gt;0",GERAL!C$8:C$1696,"ESCOLA")</f>
        <v>1</v>
      </c>
      <c r="U418" s="75">
        <f>COUNTIFS(GERAL!B$8:B$1696,A418,GERAL!AZ$8:AZ$1696,"&gt;0",GERAL!C$8:C$1696,"ANEXO")</f>
        <v>0</v>
      </c>
      <c r="V418" s="85">
        <f>SUMIF(GERAL!B$8:B$1696,A418,GERAL!AH$8:AH$1696)</f>
        <v>0</v>
      </c>
      <c r="W418" s="85">
        <f>SUMIF(GERAL!B$8:B$1696,A418,GERAL!AM$8:AM$1696)</f>
        <v>0</v>
      </c>
      <c r="X418" s="85">
        <f>SUMIF(GERAL!B$8:B$1696,A418,GERAL!AQ$8:AQ$1696)</f>
        <v>105</v>
      </c>
      <c r="Y418" s="85">
        <f>SUMIF(GERAL!B$8:B$1696,A418,GERAL!AU$8:AU$1696)</f>
        <v>19</v>
      </c>
      <c r="Z418" s="88">
        <f t="shared" si="40"/>
        <v>124</v>
      </c>
      <c r="AA418" s="116">
        <f>COUNTIFS(GERAL!B$8:B$1696,A418,GERAL!BK$8:BK$1696,"&gt;0",GERAL!C$8:C$1696,"ESCOLA")</f>
        <v>1</v>
      </c>
      <c r="AB418" s="88">
        <f>COUNTIFS(GERAL!B$8:B$1696,A418,GERAL!BK$8:BK$1696,"&gt;0",GERAL!C$8:C$1696,"ANEXO")</f>
        <v>0</v>
      </c>
      <c r="AC418" s="121">
        <f>SUMIF(GERAL!B$8:B$1696,A418,GERAL!AD$8:AD$1696)</f>
        <v>0</v>
      </c>
      <c r="AD418" s="121">
        <f>SUMIF(GERAL!B$8:B$1696,A418,GERAL!AI$8:AI$1696)</f>
        <v>12</v>
      </c>
      <c r="AE418" s="121">
        <f>SUMIF(GERAL!B$8:B$1696,A418,GERAL!AV$8:AV$1696)</f>
        <v>0</v>
      </c>
      <c r="AF418" s="492">
        <f t="shared" si="41"/>
        <v>12</v>
      </c>
      <c r="AG418" s="178">
        <f>COUNTIFS(GERAL!B$8:B$1696,A418,GERAL!AW$8:AW$1696,"&gt;0",GERAL!C$8:C$1696,"ESCOLA")</f>
        <v>1</v>
      </c>
      <c r="AH418" s="118">
        <f>COUNTIFS(GERAL!B$8:B$1696,A418,GERAL!AW$8:AW$1696,"&gt;0",GERAL!C$8:C$1696,"ANEXO")</f>
        <v>0</v>
      </c>
      <c r="AI418" s="177">
        <f>SUMIF(GERAL!B$8:B$1696,A418,GERAL!AS$8:AS$1696)+SUMIF(GERAL!B$8:B$1696,A418,GERAL!AT$8:AT$1696)</f>
        <v>0</v>
      </c>
      <c r="AJ418" s="177">
        <f>SUMIF(GERAL!B$8:B$1696,A418,GERAL!AU$8:AU$1696)</f>
        <v>19</v>
      </c>
      <c r="AK418" s="177">
        <f>SUMIF(GERAL!B$8:B$1696,A418,GERAL!AV$8:AV$1696)</f>
        <v>0</v>
      </c>
      <c r="AL418" s="118">
        <f t="shared" si="42"/>
        <v>19</v>
      </c>
      <c r="AM418" s="493" t="s">
        <v>451</v>
      </c>
    </row>
    <row r="419">
      <c r="A419" s="494" t="s">
        <v>4306</v>
      </c>
      <c r="B419" s="75">
        <f>COUNTIFS(GERAL!B$8:B$1696,A419,GERAL!C$8:C$1696,"ESCOLA")</f>
        <v>1</v>
      </c>
      <c r="C419" s="75">
        <f>COUNTIFS(GERAL!B$8:B$1696,A419,GERAL!C$8:C$1696,"ANEXO")</f>
        <v>0</v>
      </c>
      <c r="D419" s="85">
        <f>SUMIF(GERAL!B$8:B$1696,A419,GERAL!Z$8:Z$1696)</f>
        <v>0</v>
      </c>
      <c r="E419" s="85">
        <f>SUMIF(GERAL!B$8:B$1696,A419,GERAL!AE$8:AE$1696)</f>
        <v>0</v>
      </c>
      <c r="F419" s="85">
        <f>SUMIF(GERAL!B$8:B$1696,A419,GERAL!AJ$8:AJ$1696)</f>
        <v>386</v>
      </c>
      <c r="G419" s="85">
        <f>SUMIF(GERAL!B$8:B$1696,A419,GERAL!AN$8:AN$1696)</f>
        <v>0</v>
      </c>
      <c r="H419" s="85">
        <f>SUMIF(GERAL!B$8:B$1696,A419,GERAL!AR$8:AW$1696)</f>
        <v>90</v>
      </c>
      <c r="I419" s="85">
        <f>SUMIF(GERAL!B$8:B$1696,A419,GERAL!AW$8:AW$1696)</f>
        <v>91</v>
      </c>
      <c r="J419" s="75">
        <f>SUMIF(GERAL!B$8:B$1696,A419,GERAL!AX$8:AX$1696)</f>
        <v>567</v>
      </c>
      <c r="K419" s="75">
        <f>COUNTIFS(GERAL!B$8:B$1696,A419,GERAL!AY$8:AY$1696,"&gt;0",GERAL!C$8:C$1696,"ESCOLA")</f>
        <v>1</v>
      </c>
      <c r="L419" s="75">
        <f>COUNTIFS(GERAL!B$8:B$1696,A419,GERAL!AY$8:AY$1696,"&gt;0",GERAL!C$8:C$1696,"ANEXO")</f>
        <v>0</v>
      </c>
      <c r="M419" s="100">
        <f>SUMIF(GERAL!B$8:B$1696,A419,GERAL!V$8:V$1696)+SUMIF(GERAL!B$8:B$1696,A419,GERAL!W$8:W$1696)</f>
        <v>0</v>
      </c>
      <c r="N419" s="100">
        <f>SUMIF(GERAL!B$8:B$1696,A419,GERAL!AA$8:AA$1696)+SUMIF(GERAL!B$8:B$1696,A419,GERAL!AB$8:AB$1696)</f>
        <v>0</v>
      </c>
      <c r="O419" s="100">
        <f>SUMIF(GERAL!B$8:B$1696,A419,GERAL!AF$8:AF$1696)+SUMIF(GERAL!B$8:B$1696,A419,GERAL!AG$8:AG$1696)</f>
        <v>0</v>
      </c>
      <c r="P419" s="100">
        <f>SUMIF(GERAL!B$8:B$1696,A419,GERAL!AK$8:AK$1696)+SUMIF(GERAL!B$8:B$1696,A419,GERAL!AL$8:AL$1696)</f>
        <v>0</v>
      </c>
      <c r="Q419" s="100">
        <f>SUMIF(GERAL!B$8:B$1696,A419,GERAL!AO$8:AO$1696)+SUMIF(GERAL!B$8:B$1696,A419,GERAL!AP$8:AP$1696)</f>
        <v>0</v>
      </c>
      <c r="R419" s="100">
        <f>SUMIF(GERAL!B$8:B$1696,A419,GERAL!AS$8:AS$1696)+SUMIF(GERAL!B$8:B$1696,A419,GERAL!AT$8:AT$1696)</f>
        <v>0</v>
      </c>
      <c r="S419" s="75">
        <f t="shared" si="39"/>
        <v>0</v>
      </c>
      <c r="T419" s="116">
        <f>COUNTIFS(GERAL!B$8:B$1696,A419,GERAL!AZ$8:AZ$1696,"&gt;0",GERAL!C$8:C$1696,"ESCOLA")</f>
        <v>1</v>
      </c>
      <c r="U419" s="75">
        <f>COUNTIFS(GERAL!B$8:B$1696,A419,GERAL!AZ$8:AZ$1696,"&gt;0",GERAL!C$8:C$1696,"ANEXO")</f>
        <v>0</v>
      </c>
      <c r="V419" s="85">
        <f>SUMIF(GERAL!B$8:B$1696,A419,GERAL!AH$8:AH$1696)</f>
        <v>0</v>
      </c>
      <c r="W419" s="85">
        <f>SUMIF(GERAL!B$8:B$1696,A419,GERAL!AM$8:AM$1696)</f>
        <v>0</v>
      </c>
      <c r="X419" s="85">
        <f>SUMIF(GERAL!B$8:B$1696,A419,GERAL!AQ$8:AQ$1696)</f>
        <v>90</v>
      </c>
      <c r="Y419" s="85">
        <f>SUMIF(GERAL!B$8:B$1696,A419,GERAL!AU$8:AU$1696)</f>
        <v>23</v>
      </c>
      <c r="Z419" s="88">
        <f t="shared" si="40"/>
        <v>113</v>
      </c>
      <c r="AA419" s="116">
        <f>COUNTIFS(GERAL!B$8:B$1696,A419,GERAL!BK$8:BK$1696,"&gt;0",GERAL!C$8:C$1696,"ESCOLA")</f>
        <v>1</v>
      </c>
      <c r="AB419" s="88">
        <f>COUNTIFS(GERAL!B$8:B$1696,A419,GERAL!BK$8:BK$1696,"&gt;0",GERAL!C$8:C$1696,"ANEXO")</f>
        <v>0</v>
      </c>
      <c r="AC419" s="121">
        <f>SUMIF(GERAL!B$8:B$1696,A419,GERAL!AD$8:AD$1696)</f>
        <v>0</v>
      </c>
      <c r="AD419" s="121">
        <f>SUMIF(GERAL!B$8:B$1696,A419,GERAL!AI$8:AI$1696)</f>
        <v>386</v>
      </c>
      <c r="AE419" s="121">
        <f>SUMIF(GERAL!B$8:B$1696,A419,GERAL!AV$8:AV$1696)</f>
        <v>68</v>
      </c>
      <c r="AF419" s="492">
        <f t="shared" si="41"/>
        <v>454</v>
      </c>
      <c r="AG419" s="178">
        <f>COUNTIFS(GERAL!B$8:B$1696,A419,GERAL!AW$8:AW$1696,"&gt;0",GERAL!C$8:C$1696,"ESCOLA")</f>
        <v>1</v>
      </c>
      <c r="AH419" s="118">
        <f>COUNTIFS(GERAL!B$8:B$1696,A419,GERAL!AW$8:AW$1696,"&gt;0",GERAL!C$8:C$1696,"ANEXO")</f>
        <v>0</v>
      </c>
      <c r="AI419" s="177">
        <f>SUMIF(GERAL!B$8:B$1696,A419,GERAL!AS$8:AS$1696)+SUMIF(GERAL!B$8:B$1696,A419,GERAL!AT$8:AT$1696)</f>
        <v>0</v>
      </c>
      <c r="AJ419" s="177">
        <f>SUMIF(GERAL!B$8:B$1696,A419,GERAL!AU$8:AU$1696)</f>
        <v>23</v>
      </c>
      <c r="AK419" s="177">
        <f>SUMIF(GERAL!B$8:B$1696,A419,GERAL!AV$8:AV$1696)</f>
        <v>68</v>
      </c>
      <c r="AL419" s="118">
        <f t="shared" si="42"/>
        <v>91</v>
      </c>
      <c r="AM419" s="493" t="s">
        <v>973</v>
      </c>
    </row>
    <row r="420">
      <c r="A420" s="484" t="s">
        <v>1669</v>
      </c>
      <c r="B420" s="75">
        <f>COUNTIFS(GERAL!B$8:B$1696,A420,GERAL!C$8:C$1696,"ESCOLA")</f>
        <v>2</v>
      </c>
      <c r="C420" s="75">
        <f>COUNTIFS(GERAL!B$8:B$1696,A420,GERAL!C$8:C$1696,"ANEXO")</f>
        <v>0</v>
      </c>
      <c r="D420" s="85">
        <f>SUMIF(GERAL!B$8:B$1696,A420,GERAL!Z$8:Z$1696)</f>
        <v>0</v>
      </c>
      <c r="E420" s="85">
        <f>SUMIF(GERAL!B$8:B$1696,A420,GERAL!AE$8:AE$1696)</f>
        <v>0</v>
      </c>
      <c r="F420" s="85">
        <f>SUMIF(GERAL!B$8:B$1696,A420,GERAL!AJ$8:AJ$1696)</f>
        <v>553</v>
      </c>
      <c r="G420" s="85">
        <f>SUMIF(GERAL!B$8:B$1696,A420,GERAL!AN$8:AN$1696)</f>
        <v>0</v>
      </c>
      <c r="H420" s="85">
        <f>SUMIF(GERAL!B$8:B$1696,A420,GERAL!AR$8:AW$1696)</f>
        <v>165</v>
      </c>
      <c r="I420" s="85">
        <f>SUMIF(GERAL!B$8:B$1696,A420,GERAL!AW$8:AW$1696)</f>
        <v>50</v>
      </c>
      <c r="J420" s="75">
        <f>SUMIF(GERAL!B$8:B$1696,A420,GERAL!AX$8:AX$1696)</f>
        <v>768</v>
      </c>
      <c r="K420" s="75">
        <f>COUNTIFS(GERAL!B$8:B$1696,A420,GERAL!AY$8:AY$1696,"&gt;0",GERAL!C$8:C$1696,"ESCOLA")</f>
        <v>2</v>
      </c>
      <c r="L420" s="75">
        <f>COUNTIFS(GERAL!B$8:B$1696,A420,GERAL!AY$8:AY$1696,"&gt;0",GERAL!C$8:C$1696,"ANEXO")</f>
        <v>0</v>
      </c>
      <c r="M420" s="100">
        <f>SUMIF(GERAL!B$8:B$1696,A420,GERAL!V$8:V$1696)+SUMIF(GERAL!B$8:B$1696,A420,GERAL!W$8:W$1696)</f>
        <v>0</v>
      </c>
      <c r="N420" s="100">
        <f>SUMIF(GERAL!B$8:B$1696,A420,GERAL!AA$8:AA$1696)+SUMIF(GERAL!B$8:B$1696,A420,GERAL!AB$8:AB$1696)</f>
        <v>0</v>
      </c>
      <c r="O420" s="100">
        <f>SUMIF(GERAL!B$8:B$1696,A420,GERAL!AF$8:AF$1696)+SUMIF(GERAL!B$8:B$1696,A420,GERAL!AG$8:AG$1696)</f>
        <v>340</v>
      </c>
      <c r="P420" s="100">
        <f>SUMIF(GERAL!B$8:B$1696,A420,GERAL!AK$8:AK$1696)+SUMIF(GERAL!B$8:B$1696,A420,GERAL!AL$8:AL$1696)</f>
        <v>0</v>
      </c>
      <c r="Q420" s="100">
        <f>SUMIF(GERAL!B$8:B$1696,A420,GERAL!AO$8:AO$1696)+SUMIF(GERAL!B$8:B$1696,A420,GERAL!AP$8:AP$1696)</f>
        <v>0</v>
      </c>
      <c r="R420" s="100">
        <f>SUMIF(GERAL!B$8:B$1696,A420,GERAL!AS$8:AS$1696)+SUMIF(GERAL!B$8:B$1696,A420,GERAL!AT$8:AT$1696)</f>
        <v>0</v>
      </c>
      <c r="S420" s="75">
        <f t="shared" si="39"/>
        <v>340</v>
      </c>
      <c r="T420" s="116">
        <f>COUNTIFS(GERAL!B$8:B$1696,A420,GERAL!AZ$8:AZ$1696,"&gt;0",GERAL!C$8:C$1696,"ESCOLA")</f>
        <v>2</v>
      </c>
      <c r="U420" s="75">
        <f>COUNTIFS(GERAL!B$8:B$1696,A420,GERAL!AZ$8:AZ$1696,"&gt;0",GERAL!C$8:C$1696,"ANEXO")</f>
        <v>0</v>
      </c>
      <c r="V420" s="85">
        <f>SUMIF(GERAL!B$8:B$1696,A420,GERAL!AH$8:AH$1696)</f>
        <v>0</v>
      </c>
      <c r="W420" s="85">
        <f>SUMIF(GERAL!B$8:B$1696,A420,GERAL!AM$8:AM$1696)</f>
        <v>0</v>
      </c>
      <c r="X420" s="85">
        <f>SUMIF(GERAL!B$8:B$1696,A420,GERAL!AQ$8:AQ$1696)</f>
        <v>165</v>
      </c>
      <c r="Y420" s="85">
        <f>SUMIF(GERAL!B$8:B$1696,A420,GERAL!AU$8:AU$1696)</f>
        <v>0</v>
      </c>
      <c r="Z420" s="88">
        <f t="shared" si="40"/>
        <v>165</v>
      </c>
      <c r="AA420" s="116">
        <f>COUNTIFS(GERAL!B$8:B$1696,A420,GERAL!BK$8:BK$1696,"&gt;0",GERAL!C$8:C$1696,"ESCOLA")</f>
        <v>2</v>
      </c>
      <c r="AB420" s="88">
        <f>COUNTIFS(GERAL!B$8:B$1696,A420,GERAL!BK$8:BK$1696,"&gt;0",GERAL!C$8:C$1696,"ANEXO")</f>
        <v>0</v>
      </c>
      <c r="AC420" s="121">
        <f>SUMIF(GERAL!B$8:B$1696,A420,GERAL!AD$8:AD$1696)</f>
        <v>0</v>
      </c>
      <c r="AD420" s="121">
        <f>SUMIF(GERAL!B$8:B$1696,A420,GERAL!AI$8:AI$1696)</f>
        <v>213</v>
      </c>
      <c r="AE420" s="121">
        <f>SUMIF(GERAL!B$8:B$1696,A420,GERAL!AV$8:AV$1696)</f>
        <v>50</v>
      </c>
      <c r="AF420" s="492">
        <f t="shared" si="41"/>
        <v>263</v>
      </c>
      <c r="AG420" s="178">
        <f>COUNTIFS(GERAL!B$8:B$1696,A420,GERAL!AW$8:AW$1696,"&gt;0",GERAL!C$8:C$1696,"ESCOLA")</f>
        <v>1</v>
      </c>
      <c r="AH420" s="118">
        <f>COUNTIFS(GERAL!B$8:B$1696,A420,GERAL!AW$8:AW$1696,"&gt;0",GERAL!C$8:C$1696,"ANEXO")</f>
        <v>0</v>
      </c>
      <c r="AI420" s="177">
        <f>SUMIF(GERAL!B$8:B$1696,A420,GERAL!AS$8:AS$1696)+SUMIF(GERAL!B$8:B$1696,A420,GERAL!AT$8:AT$1696)</f>
        <v>0</v>
      </c>
      <c r="AJ420" s="177">
        <f>SUMIF(GERAL!B$8:B$1696,A420,GERAL!AU$8:AU$1696)</f>
        <v>0</v>
      </c>
      <c r="AK420" s="177">
        <f>SUMIF(GERAL!B$8:B$1696,A420,GERAL!AV$8:AV$1696)</f>
        <v>50</v>
      </c>
      <c r="AL420" s="118">
        <f t="shared" si="42"/>
        <v>50</v>
      </c>
      <c r="AM420" s="493" t="s">
        <v>451</v>
      </c>
    </row>
    <row r="421">
      <c r="A421" s="494" t="s">
        <v>1053</v>
      </c>
      <c r="B421" s="75">
        <f>COUNTIFS(GERAL!B$8:B$1696,A421,GERAL!C$8:C$1696,"ESCOLA")</f>
        <v>1</v>
      </c>
      <c r="C421" s="75">
        <f>COUNTIFS(GERAL!B$8:B$1696,A421,GERAL!C$8:C$1696,"ANEXO")</f>
        <v>2</v>
      </c>
      <c r="D421" s="85">
        <f>SUMIF(GERAL!B$8:B$1696,A421,GERAL!Z$8:Z$1696)</f>
        <v>0</v>
      </c>
      <c r="E421" s="85">
        <f>SUMIF(GERAL!B$8:B$1696,A421,GERAL!AE$8:AE$1696)</f>
        <v>0</v>
      </c>
      <c r="F421" s="85">
        <f>SUMIF(GERAL!B$8:B$1696,A421,GERAL!AJ$8:AJ$1696)</f>
        <v>410</v>
      </c>
      <c r="G421" s="85">
        <f>SUMIF(GERAL!B$8:B$1696,A421,GERAL!AN$8:AN$1696)</f>
        <v>0</v>
      </c>
      <c r="H421" s="85">
        <f>SUMIF(GERAL!B$8:B$1696,A421,GERAL!AR$8:AW$1696)</f>
        <v>156</v>
      </c>
      <c r="I421" s="85">
        <f>SUMIF(GERAL!B$8:B$1696,A421,GERAL!AW$8:AW$1696)</f>
        <v>78</v>
      </c>
      <c r="J421" s="75">
        <f>SUMIF(GERAL!B$8:B$1696,A421,GERAL!AX$8:AX$1696)</f>
        <v>644</v>
      </c>
      <c r="K421" s="75">
        <f>COUNTIFS(GERAL!B$8:B$1696,A421,GERAL!AY$8:AY$1696,"&gt;0",GERAL!C$8:C$1696,"ESCOLA")</f>
        <v>1</v>
      </c>
      <c r="L421" s="75">
        <f>COUNTIFS(GERAL!B$8:B$1696,A421,GERAL!AY$8:AY$1696,"&gt;0",GERAL!C$8:C$1696,"ANEXO")</f>
        <v>0</v>
      </c>
      <c r="M421" s="100">
        <f>SUMIF(GERAL!B$8:B$1696,A421,GERAL!V$8:V$1696)+SUMIF(GERAL!B$8:B$1696,A421,GERAL!W$8:W$1696)</f>
        <v>0</v>
      </c>
      <c r="N421" s="100">
        <f>SUMIF(GERAL!B$8:B$1696,A421,GERAL!AA$8:AA$1696)+SUMIF(GERAL!B$8:B$1696,A421,GERAL!AB$8:AB$1696)</f>
        <v>0</v>
      </c>
      <c r="O421" s="100">
        <f>SUMIF(GERAL!B$8:B$1696,A421,GERAL!AF$8:AF$1696)+SUMIF(GERAL!B$8:B$1696,A421,GERAL!AG$8:AG$1696)</f>
        <v>158</v>
      </c>
      <c r="P421" s="100">
        <f>SUMIF(GERAL!B$8:B$1696,A421,GERAL!AK$8:AK$1696)+SUMIF(GERAL!B$8:B$1696,A421,GERAL!AL$8:AL$1696)</f>
        <v>0</v>
      </c>
      <c r="Q421" s="100">
        <f>SUMIF(GERAL!B$8:B$1696,A421,GERAL!AO$8:AO$1696)+SUMIF(GERAL!B$8:B$1696,A421,GERAL!AP$8:AP$1696)</f>
        <v>0</v>
      </c>
      <c r="R421" s="100">
        <f>SUMIF(GERAL!B$8:B$1696,A421,GERAL!AS$8:AS$1696)+SUMIF(GERAL!B$8:B$1696,A421,GERAL!AT$8:AT$1696)</f>
        <v>0</v>
      </c>
      <c r="S421" s="75">
        <f t="shared" si="39"/>
        <v>158</v>
      </c>
      <c r="T421" s="116">
        <f>COUNTIFS(GERAL!B$8:B$1696,A421,GERAL!AZ$8:AZ$1696,"&gt;0",GERAL!C$8:C$1696,"ESCOLA")</f>
        <v>1</v>
      </c>
      <c r="U421" s="75">
        <f>COUNTIFS(GERAL!B$8:B$1696,A421,GERAL!AZ$8:AZ$1696,"&gt;0",GERAL!C$8:C$1696,"ANEXO")</f>
        <v>2</v>
      </c>
      <c r="V421" s="85">
        <f>SUMIF(GERAL!B$8:B$1696,A421,GERAL!AH$8:AH$1696)</f>
        <v>56</v>
      </c>
      <c r="W421" s="85">
        <f>SUMIF(GERAL!B$8:B$1696,A421,GERAL!AM$8:AM$1696)</f>
        <v>0</v>
      </c>
      <c r="X421" s="85">
        <f>SUMIF(GERAL!B$8:B$1696,A421,GERAL!AQ$8:AQ$1696)</f>
        <v>156</v>
      </c>
      <c r="Y421" s="85">
        <f>SUMIF(GERAL!B$8:B$1696,A421,GERAL!AU$8:AU$1696)</f>
        <v>10</v>
      </c>
      <c r="Z421" s="88">
        <f t="shared" si="40"/>
        <v>222</v>
      </c>
      <c r="AA421" s="116">
        <f>COUNTIFS(GERAL!B$8:B$1696,A421,GERAL!BK$8:BK$1696,"&gt;0",GERAL!C$8:C$1696,"ESCOLA")</f>
        <v>1</v>
      </c>
      <c r="AB421" s="88">
        <f>COUNTIFS(GERAL!B$8:B$1696,A421,GERAL!BK$8:BK$1696,"&gt;0",GERAL!C$8:C$1696,"ANEXO")</f>
        <v>0</v>
      </c>
      <c r="AC421" s="121">
        <f>SUMIF(GERAL!B$8:B$1696,A421,GERAL!AD$8:AD$1696)</f>
        <v>0</v>
      </c>
      <c r="AD421" s="121">
        <f>SUMIF(GERAL!B$8:B$1696,A421,GERAL!AI$8:AI$1696)</f>
        <v>196</v>
      </c>
      <c r="AE421" s="121">
        <f>SUMIF(GERAL!B$8:B$1696,A421,GERAL!AV$8:AV$1696)</f>
        <v>68</v>
      </c>
      <c r="AF421" s="492">
        <f t="shared" si="41"/>
        <v>264</v>
      </c>
      <c r="AG421" s="178">
        <f>COUNTIFS(GERAL!B$8:B$1696,A421,GERAL!AW$8:AW$1696,"&gt;0",GERAL!C$8:C$1696,"ESCOLA")</f>
        <v>1</v>
      </c>
      <c r="AH421" s="118">
        <f>COUNTIFS(GERAL!B$8:B$1696,A421,GERAL!AW$8:AW$1696,"&gt;0",GERAL!C$8:C$1696,"ANEXO")</f>
        <v>0</v>
      </c>
      <c r="AI421" s="177">
        <f>SUMIF(GERAL!B$8:B$1696,A421,GERAL!AS$8:AS$1696)+SUMIF(GERAL!B$8:B$1696,A421,GERAL!AT$8:AT$1696)</f>
        <v>0</v>
      </c>
      <c r="AJ421" s="177">
        <f>SUMIF(GERAL!B$8:B$1696,A421,GERAL!AU$8:AU$1696)</f>
        <v>10</v>
      </c>
      <c r="AK421" s="177">
        <f>SUMIF(GERAL!B$8:B$1696,A421,GERAL!AV$8:AV$1696)</f>
        <v>68</v>
      </c>
      <c r="AL421" s="118">
        <f t="shared" si="42"/>
        <v>78</v>
      </c>
      <c r="AM421" s="493" t="s">
        <v>285</v>
      </c>
    </row>
    <row r="422">
      <c r="A422" s="484" t="s">
        <v>1822</v>
      </c>
      <c r="B422" s="75">
        <f>COUNTIFS(GERAL!B$8:B$1696,A422,GERAL!C$8:C$1696,"ESCOLA")</f>
        <v>8</v>
      </c>
      <c r="C422" s="75">
        <f>COUNTIFS(GERAL!B$8:B$1696,A422,GERAL!C$8:C$1696,"ANEXO")</f>
        <v>2</v>
      </c>
      <c r="D422" s="85">
        <f>SUMIF(GERAL!B$8:B$1696,A422,GERAL!Z$8:Z$1696)</f>
        <v>0</v>
      </c>
      <c r="E422" s="85">
        <f>SUMIF(GERAL!B$8:B$1696,A422,GERAL!AE$8:AE$1696)</f>
        <v>0</v>
      </c>
      <c r="F422" s="85">
        <f>SUMIF(GERAL!B$8:B$1696,A422,GERAL!AJ$8:AJ$1696)</f>
        <v>673</v>
      </c>
      <c r="G422" s="85">
        <f>SUMIF(GERAL!B$8:B$1696,A422,GERAL!AN$8:AN$1696)</f>
        <v>0</v>
      </c>
      <c r="H422" s="85">
        <f>SUMIF(GERAL!B$8:B$1696,A422,GERAL!AR$8:AW$1696)</f>
        <v>560</v>
      </c>
      <c r="I422" s="85">
        <f>SUMIF(GERAL!B$8:B$1696,A422,GERAL!AW$8:AW$1696)</f>
        <v>1172</v>
      </c>
      <c r="J422" s="75">
        <f>SUMIF(GERAL!B$8:B$1696,A422,GERAL!AX$8:AX$1696)</f>
        <v>2405</v>
      </c>
      <c r="K422" s="75">
        <f>COUNTIFS(GERAL!B$8:B$1696,A422,GERAL!AY$8:AY$1696,"&gt;0",GERAL!C$8:C$1696,"ESCOLA")</f>
        <v>6</v>
      </c>
      <c r="L422" s="75">
        <f>COUNTIFS(GERAL!B$8:B$1696,A422,GERAL!AY$8:AY$1696,"&gt;0",GERAL!C$8:C$1696,"ANEXO")</f>
        <v>1</v>
      </c>
      <c r="M422" s="100">
        <f>SUMIF(GERAL!B$8:B$1696,A422,GERAL!V$8:V$1696)+SUMIF(GERAL!B$8:B$1696,A422,GERAL!W$8:W$1696)</f>
        <v>0</v>
      </c>
      <c r="N422" s="100">
        <f>SUMIF(GERAL!B$8:B$1696,A422,GERAL!AA$8:AA$1696)+SUMIF(GERAL!B$8:B$1696,A422,GERAL!AB$8:AB$1696)</f>
        <v>0</v>
      </c>
      <c r="O422" s="100">
        <f>SUMIF(GERAL!B$8:B$1696,A422,GERAL!AF$8:AF$1696)+SUMIF(GERAL!B$8:B$1696,A422,GERAL!AG$8:AG$1696)</f>
        <v>19</v>
      </c>
      <c r="P422" s="100">
        <f>SUMIF(GERAL!B$8:B$1696,A422,GERAL!AK$8:AK$1696)+SUMIF(GERAL!B$8:B$1696,A422,GERAL!AL$8:AL$1696)</f>
        <v>0</v>
      </c>
      <c r="Q422" s="100">
        <f>SUMIF(GERAL!B$8:B$1696,A422,GERAL!AO$8:AO$1696)+SUMIF(GERAL!B$8:B$1696,A422,GERAL!AP$8:AP$1696)</f>
        <v>0</v>
      </c>
      <c r="R422" s="100">
        <f>SUMIF(GERAL!B$8:B$1696,A422,GERAL!AS$8:AS$1696)+SUMIF(GERAL!B$8:B$1696,A422,GERAL!AT$8:AT$1696)</f>
        <v>748</v>
      </c>
      <c r="S422" s="75">
        <f t="shared" si="39"/>
        <v>767</v>
      </c>
      <c r="T422" s="116">
        <f>COUNTIFS(GERAL!B$8:B$1696,A422,GERAL!AZ$8:AZ$1696,"&gt;0",GERAL!C$8:C$1696,"ESCOLA")</f>
        <v>6</v>
      </c>
      <c r="U422" s="75">
        <f>COUNTIFS(GERAL!B$8:B$1696,A422,GERAL!AZ$8:AZ$1696,"&gt;0",GERAL!C$8:C$1696,"ANEXO")</f>
        <v>2</v>
      </c>
      <c r="V422" s="85">
        <f>SUMIF(GERAL!B$8:B$1696,A422,GERAL!AH$8:AH$1696)</f>
        <v>0</v>
      </c>
      <c r="W422" s="85">
        <f>SUMIF(GERAL!B$8:B$1696,A422,GERAL!AM$8:AM$1696)</f>
        <v>0</v>
      </c>
      <c r="X422" s="85">
        <f>SUMIF(GERAL!B$8:B$1696,A422,GERAL!AQ$8:AQ$1696)</f>
        <v>560</v>
      </c>
      <c r="Y422" s="85">
        <f>SUMIF(GERAL!B$8:B$1696,A422,GERAL!AU$8:AU$1696)</f>
        <v>424</v>
      </c>
      <c r="Z422" s="88">
        <f t="shared" si="40"/>
        <v>984</v>
      </c>
      <c r="AA422" s="116">
        <f>COUNTIFS(GERAL!B$8:B$1696,A422,GERAL!BK$8:BK$1696,"&gt;0",GERAL!C$8:C$1696,"ESCOLA")</f>
        <v>5</v>
      </c>
      <c r="AB422" s="88">
        <f>COUNTIFS(GERAL!B$8:B$1696,A422,GERAL!BK$8:BK$1696,"&gt;0",GERAL!C$8:C$1696,"ANEXO")</f>
        <v>0</v>
      </c>
      <c r="AC422" s="121">
        <f>SUMIF(GERAL!B$8:B$1696,A422,GERAL!AD$8:AD$1696)</f>
        <v>0</v>
      </c>
      <c r="AD422" s="121">
        <f>SUMIF(GERAL!B$8:B$1696,A422,GERAL!AI$8:AI$1696)</f>
        <v>654</v>
      </c>
      <c r="AE422" s="121">
        <f>SUMIF(GERAL!B$8:B$1696,A422,GERAL!AV$8:AV$1696)</f>
        <v>0</v>
      </c>
      <c r="AF422" s="492">
        <f t="shared" si="41"/>
        <v>654</v>
      </c>
      <c r="AG422" s="178">
        <f>COUNTIFS(GERAL!B$8:B$1696,A422,GERAL!AW$8:AW$1696,"&gt;0",GERAL!C$8:C$1696,"ESCOLA")</f>
        <v>2</v>
      </c>
      <c r="AH422" s="118">
        <f>COUNTIFS(GERAL!B$8:B$1696,A422,GERAL!AW$8:AW$1696,"&gt;0",GERAL!C$8:C$1696,"ANEXO")</f>
        <v>1</v>
      </c>
      <c r="AI422" s="177">
        <f>SUMIF(GERAL!B$8:B$1696,A422,GERAL!AS$8:AS$1696)+SUMIF(GERAL!B$8:B$1696,A422,GERAL!AT$8:AT$1696)</f>
        <v>748</v>
      </c>
      <c r="AJ422" s="177">
        <f>SUMIF(GERAL!B$8:B$1696,A422,GERAL!AU$8:AU$1696)</f>
        <v>424</v>
      </c>
      <c r="AK422" s="177">
        <f>SUMIF(GERAL!B$8:B$1696,A422,GERAL!AV$8:AV$1696)</f>
        <v>0</v>
      </c>
      <c r="AL422" s="118">
        <f t="shared" si="42"/>
        <v>1172</v>
      </c>
      <c r="AM422" s="493" t="s">
        <v>540</v>
      </c>
    </row>
    <row r="423">
      <c r="A423" s="494" t="s">
        <v>1328</v>
      </c>
      <c r="B423" s="75">
        <f>COUNTIFS(GERAL!B$8:B$1696,A423,GERAL!C$8:C$1696,"ESCOLA")</f>
        <v>3</v>
      </c>
      <c r="C423" s="75">
        <f>COUNTIFS(GERAL!B$8:B$1696,A423,GERAL!C$8:C$1696,"ANEXO")</f>
        <v>1</v>
      </c>
      <c r="D423" s="85">
        <f>SUMIF(GERAL!B$8:B$1696,A423,GERAL!Z$8:Z$1696)</f>
        <v>0</v>
      </c>
      <c r="E423" s="85">
        <f>SUMIF(GERAL!B$8:B$1696,A423,GERAL!AE$8:AE$1696)</f>
        <v>122</v>
      </c>
      <c r="F423" s="85">
        <f>SUMIF(GERAL!B$8:B$1696,A423,GERAL!AJ$8:AJ$1696)</f>
        <v>929</v>
      </c>
      <c r="G423" s="85">
        <f>SUMIF(GERAL!B$8:B$1696,A423,GERAL!AN$8:AN$1696)</f>
        <v>0</v>
      </c>
      <c r="H423" s="85">
        <f>SUMIF(GERAL!B$8:B$1696,A423,GERAL!AR$8:AW$1696)</f>
        <v>168</v>
      </c>
      <c r="I423" s="85">
        <f>SUMIF(GERAL!B$8:B$1696,A423,GERAL!AW$8:AW$1696)</f>
        <v>90</v>
      </c>
      <c r="J423" s="75">
        <f>SUMIF(GERAL!B$8:B$1696,A423,GERAL!AX$8:AX$1696)</f>
        <v>1309</v>
      </c>
      <c r="K423" s="75">
        <f>COUNTIFS(GERAL!B$8:B$1696,A423,GERAL!AY$8:AY$1696,"&gt;0",GERAL!C$8:C$1696,"ESCOLA")</f>
        <v>3</v>
      </c>
      <c r="L423" s="75">
        <f>COUNTIFS(GERAL!B$8:B$1696,A423,GERAL!AY$8:AY$1696,"&gt;0",GERAL!C$8:C$1696,"ANEXO")</f>
        <v>0</v>
      </c>
      <c r="M423" s="100">
        <f>SUMIF(GERAL!B$8:B$1696,A423,GERAL!V$8:V$1696)+SUMIF(GERAL!B$8:B$1696,A423,GERAL!W$8:W$1696)</f>
        <v>0</v>
      </c>
      <c r="N423" s="100">
        <f>SUMIF(GERAL!B$8:B$1696,A423,GERAL!AA$8:AA$1696)+SUMIF(GERAL!B$8:B$1696,A423,GERAL!AB$8:AB$1696)</f>
        <v>0</v>
      </c>
      <c r="O423" s="100">
        <f>SUMIF(GERAL!B$8:B$1696,A423,GERAL!AF$8:AF$1696)+SUMIF(GERAL!B$8:B$1696,A423,GERAL!AG$8:AG$1696)</f>
        <v>418</v>
      </c>
      <c r="P423" s="100">
        <f>SUMIF(GERAL!B$8:B$1696,A423,GERAL!AK$8:AK$1696)+SUMIF(GERAL!B$8:B$1696,A423,GERAL!AL$8:AL$1696)</f>
        <v>0</v>
      </c>
      <c r="Q423" s="100">
        <f>SUMIF(GERAL!B$8:B$1696,A423,GERAL!AO$8:AO$1696)+SUMIF(GERAL!B$8:B$1696,A423,GERAL!AP$8:AP$1696)</f>
        <v>0</v>
      </c>
      <c r="R423" s="100">
        <f>SUMIF(GERAL!B$8:B$1696,A423,GERAL!AS$8:AS$1696)+SUMIF(GERAL!B$8:B$1696,A423,GERAL!AT$8:AT$1696)</f>
        <v>0</v>
      </c>
      <c r="S423" s="75">
        <f t="shared" si="39"/>
        <v>418</v>
      </c>
      <c r="T423" s="116">
        <f>COUNTIFS(GERAL!B$8:B$1696,A423,GERAL!AZ$8:AZ$1696,"&gt;0",GERAL!C$8:C$1696,"ESCOLA")</f>
        <v>3</v>
      </c>
      <c r="U423" s="75">
        <f>COUNTIFS(GERAL!B$8:B$1696,A423,GERAL!AZ$8:AZ$1696,"&gt;0",GERAL!C$8:C$1696,"ANEXO")</f>
        <v>1</v>
      </c>
      <c r="V423" s="85">
        <f>SUMIF(GERAL!B$8:B$1696,A423,GERAL!AH$8:AH$1696)</f>
        <v>76</v>
      </c>
      <c r="W423" s="85">
        <f>SUMIF(GERAL!B$8:B$1696,A423,GERAL!AM$8:AM$1696)</f>
        <v>0</v>
      </c>
      <c r="X423" s="85">
        <f>SUMIF(GERAL!B$8:B$1696,A423,GERAL!AQ$8:AQ$1696)</f>
        <v>168</v>
      </c>
      <c r="Y423" s="85">
        <f>SUMIF(GERAL!B$8:B$1696,A423,GERAL!AU$8:AU$1696)</f>
        <v>0</v>
      </c>
      <c r="Z423" s="88">
        <f t="shared" si="40"/>
        <v>244</v>
      </c>
      <c r="AA423" s="116">
        <f>COUNTIFS(GERAL!B$8:B$1696,A423,GERAL!BK$8:BK$1696,"&gt;0",GERAL!C$8:C$1696,"ESCOLA")</f>
        <v>1</v>
      </c>
      <c r="AB423" s="88">
        <f>COUNTIFS(GERAL!B$8:B$1696,A423,GERAL!BK$8:BK$1696,"&gt;0",GERAL!C$8:C$1696,"ANEXO")</f>
        <v>0</v>
      </c>
      <c r="AC423" s="121">
        <f>SUMIF(GERAL!B$8:B$1696,A423,GERAL!AD$8:AD$1696)</f>
        <v>122</v>
      </c>
      <c r="AD423" s="121">
        <f>SUMIF(GERAL!B$8:B$1696,A423,GERAL!AI$8:AI$1696)</f>
        <v>435</v>
      </c>
      <c r="AE423" s="121">
        <f>SUMIF(GERAL!B$8:B$1696,A423,GERAL!AV$8:AV$1696)</f>
        <v>90</v>
      </c>
      <c r="AF423" s="492">
        <f t="shared" si="41"/>
        <v>647</v>
      </c>
      <c r="AG423" s="178">
        <f>COUNTIFS(GERAL!B$8:B$1696,A423,GERAL!AW$8:AW$1696,"&gt;0",GERAL!C$8:C$1696,"ESCOLA")</f>
        <v>1</v>
      </c>
      <c r="AH423" s="118">
        <f>COUNTIFS(GERAL!B$8:B$1696,A423,GERAL!AW$8:AW$1696,"&gt;0",GERAL!C$8:C$1696,"ANEXO")</f>
        <v>0</v>
      </c>
      <c r="AI423" s="177">
        <f>SUMIF(GERAL!B$8:B$1696,A423,GERAL!AS$8:AS$1696)+SUMIF(GERAL!B$8:B$1696,A423,GERAL!AT$8:AT$1696)</f>
        <v>0</v>
      </c>
      <c r="AJ423" s="177">
        <f>SUMIF(GERAL!B$8:B$1696,A423,GERAL!AU$8:AU$1696)</f>
        <v>0</v>
      </c>
      <c r="AK423" s="177">
        <f>SUMIF(GERAL!B$8:B$1696,A423,GERAL!AV$8:AV$1696)</f>
        <v>90</v>
      </c>
      <c r="AL423" s="118">
        <f t="shared" si="42"/>
        <v>90</v>
      </c>
      <c r="AM423" s="493" t="s">
        <v>383</v>
      </c>
    </row>
    <row r="424">
      <c r="A424" s="484" t="s">
        <v>4754</v>
      </c>
      <c r="B424" s="75">
        <f>COUNTIFS(GERAL!B$8:B$1696,A424,GERAL!C$8:C$1696,"ESCOLA")</f>
        <v>1</v>
      </c>
      <c r="C424" s="75">
        <f>COUNTIFS(GERAL!B$8:B$1696,A424,GERAL!C$8:C$1696,"ANEXO")</f>
        <v>0</v>
      </c>
      <c r="D424" s="85">
        <f>SUMIF(GERAL!B$8:B$1696,A424,GERAL!Z$8:Z$1696)</f>
        <v>0</v>
      </c>
      <c r="E424" s="85">
        <f>SUMIF(GERAL!B$8:B$1696,A424,GERAL!AE$8:AE$1696)</f>
        <v>0</v>
      </c>
      <c r="F424" s="85">
        <f>SUMIF(GERAL!B$8:B$1696,A424,GERAL!AJ$8:AJ$1696)</f>
        <v>321</v>
      </c>
      <c r="G424" s="85">
        <f>SUMIF(GERAL!B$8:B$1696,A424,GERAL!AN$8:AN$1696)</f>
        <v>0</v>
      </c>
      <c r="H424" s="85">
        <f>SUMIF(GERAL!B$8:B$1696,A424,GERAL!AR$8:AW$1696)</f>
        <v>49</v>
      </c>
      <c r="I424" s="85">
        <f>SUMIF(GERAL!B$8:B$1696,A424,GERAL!AW$8:AW$1696)</f>
        <v>17</v>
      </c>
      <c r="J424" s="75">
        <f>SUMIF(GERAL!B$8:B$1696,A424,GERAL!AX$8:AX$1696)</f>
        <v>387</v>
      </c>
      <c r="K424" s="75">
        <f>COUNTIFS(GERAL!B$8:B$1696,A424,GERAL!AY$8:AY$1696,"&gt;0",GERAL!C$8:C$1696,"ESCOLA")</f>
        <v>1</v>
      </c>
      <c r="L424" s="75">
        <f>COUNTIFS(GERAL!B$8:B$1696,A424,GERAL!AY$8:AY$1696,"&gt;0",GERAL!C$8:C$1696,"ANEXO")</f>
        <v>0</v>
      </c>
      <c r="M424" s="100">
        <f>SUMIF(GERAL!B$8:B$1696,A424,GERAL!V$8:V$1696)+SUMIF(GERAL!B$8:B$1696,A424,GERAL!W$8:W$1696)</f>
        <v>0</v>
      </c>
      <c r="N424" s="100">
        <f>SUMIF(GERAL!B$8:B$1696,A424,GERAL!AA$8:AA$1696)+SUMIF(GERAL!B$8:B$1696,A424,GERAL!AB$8:AB$1696)</f>
        <v>0</v>
      </c>
      <c r="O424" s="100">
        <f>SUMIF(GERAL!B$8:B$1696,A424,GERAL!AF$8:AF$1696)+SUMIF(GERAL!B$8:B$1696,A424,GERAL!AG$8:AG$1696)</f>
        <v>204</v>
      </c>
      <c r="P424" s="100">
        <f>SUMIF(GERAL!B$8:B$1696,A424,GERAL!AK$8:AK$1696)+SUMIF(GERAL!B$8:B$1696,A424,GERAL!AL$8:AL$1696)</f>
        <v>0</v>
      </c>
      <c r="Q424" s="100">
        <f>SUMIF(GERAL!B$8:B$1696,A424,GERAL!AO$8:AO$1696)+SUMIF(GERAL!B$8:B$1696,A424,GERAL!AP$8:AP$1696)</f>
        <v>0</v>
      </c>
      <c r="R424" s="100">
        <f>SUMIF(GERAL!B$8:B$1696,A424,GERAL!AS$8:AS$1696)+SUMIF(GERAL!B$8:B$1696,A424,GERAL!AT$8:AT$1696)</f>
        <v>0</v>
      </c>
      <c r="S424" s="75">
        <f t="shared" si="39"/>
        <v>204</v>
      </c>
      <c r="T424" s="116">
        <f>COUNTIFS(GERAL!B$8:B$1696,A424,GERAL!AZ$8:AZ$1696,"&gt;0",GERAL!C$8:C$1696,"ESCOLA")</f>
        <v>1</v>
      </c>
      <c r="U424" s="75">
        <f>COUNTIFS(GERAL!B$8:B$1696,A424,GERAL!AZ$8:AZ$1696,"&gt;0",GERAL!C$8:C$1696,"ANEXO")</f>
        <v>0</v>
      </c>
      <c r="V424" s="85">
        <f>SUMIF(GERAL!B$8:B$1696,A424,GERAL!AH$8:AH$1696)</f>
        <v>0</v>
      </c>
      <c r="W424" s="85">
        <f>SUMIF(GERAL!B$8:B$1696,A424,GERAL!AM$8:AM$1696)</f>
        <v>0</v>
      </c>
      <c r="X424" s="85">
        <f>SUMIF(GERAL!B$8:B$1696,A424,GERAL!AQ$8:AQ$1696)</f>
        <v>49</v>
      </c>
      <c r="Y424" s="85">
        <f>SUMIF(GERAL!B$8:B$1696,A424,GERAL!AU$8:AU$1696)</f>
        <v>0</v>
      </c>
      <c r="Z424" s="88">
        <f t="shared" si="40"/>
        <v>49</v>
      </c>
      <c r="AA424" s="116">
        <f>COUNTIFS(GERAL!B$8:B$1696,A424,GERAL!BK$8:BK$1696,"&gt;0",GERAL!C$8:C$1696,"ESCOLA")</f>
        <v>1</v>
      </c>
      <c r="AB424" s="88">
        <f>COUNTIFS(GERAL!B$8:B$1696,A424,GERAL!BK$8:BK$1696,"&gt;0",GERAL!C$8:C$1696,"ANEXO")</f>
        <v>0</v>
      </c>
      <c r="AC424" s="121">
        <f>SUMIF(GERAL!B$8:B$1696,A424,GERAL!AD$8:AD$1696)</f>
        <v>0</v>
      </c>
      <c r="AD424" s="121">
        <f>SUMIF(GERAL!B$8:B$1696,A424,GERAL!AI$8:AI$1696)</f>
        <v>117</v>
      </c>
      <c r="AE424" s="121">
        <f>SUMIF(GERAL!B$8:B$1696,A424,GERAL!AV$8:AV$1696)</f>
        <v>17</v>
      </c>
      <c r="AF424" s="492">
        <f t="shared" si="41"/>
        <v>134</v>
      </c>
      <c r="AG424" s="178">
        <f>COUNTIFS(GERAL!B$8:B$1696,A424,GERAL!AW$8:AW$1696,"&gt;0",GERAL!C$8:C$1696,"ESCOLA")</f>
        <v>1</v>
      </c>
      <c r="AH424" s="118">
        <f>COUNTIFS(GERAL!B$8:B$1696,A424,GERAL!AW$8:AW$1696,"&gt;0",GERAL!C$8:C$1696,"ANEXO")</f>
        <v>0</v>
      </c>
      <c r="AI424" s="177">
        <f>SUMIF(GERAL!B$8:B$1696,A424,GERAL!AS$8:AS$1696)+SUMIF(GERAL!B$8:B$1696,A424,GERAL!AT$8:AT$1696)</f>
        <v>0</v>
      </c>
      <c r="AJ424" s="177">
        <f>SUMIF(GERAL!B$8:B$1696,A424,GERAL!AU$8:AU$1696)</f>
        <v>0</v>
      </c>
      <c r="AK424" s="177">
        <f>SUMIF(GERAL!B$8:B$1696,A424,GERAL!AV$8:AV$1696)</f>
        <v>17</v>
      </c>
      <c r="AL424" s="118">
        <f t="shared" si="42"/>
        <v>17</v>
      </c>
      <c r="AM424" s="493" t="s">
        <v>1090</v>
      </c>
    </row>
    <row r="425">
      <c r="A425" s="494" t="s">
        <v>4765</v>
      </c>
      <c r="B425" s="75">
        <f>COUNTIFS(GERAL!B$8:B$1696,A425,GERAL!C$8:C$1696,"ESCOLA")</f>
        <v>1</v>
      </c>
      <c r="C425" s="75">
        <f>COUNTIFS(GERAL!B$8:B$1696,A425,GERAL!C$8:C$1696,"ANEXO")</f>
        <v>0</v>
      </c>
      <c r="D425" s="85">
        <f>SUMIF(GERAL!B$8:B$1696,A425,GERAL!Z$8:Z$1696)</f>
        <v>0</v>
      </c>
      <c r="E425" s="85">
        <f>SUMIF(GERAL!B$8:B$1696,A425,GERAL!AE$8:AE$1696)</f>
        <v>0</v>
      </c>
      <c r="F425" s="85">
        <f>SUMIF(GERAL!B$8:B$1696,A425,GERAL!AJ$8:AJ$1696)</f>
        <v>155</v>
      </c>
      <c r="G425" s="85">
        <f>SUMIF(GERAL!B$8:B$1696,A425,GERAL!AN$8:AN$1696)</f>
        <v>0</v>
      </c>
      <c r="H425" s="85">
        <f>SUMIF(GERAL!B$8:B$1696,A425,GERAL!AR$8:AW$1696)</f>
        <v>49</v>
      </c>
      <c r="I425" s="85">
        <f>SUMIF(GERAL!B$8:B$1696,A425,GERAL!AW$8:AW$1696)</f>
        <v>69</v>
      </c>
      <c r="J425" s="75">
        <f>SUMIF(GERAL!B$8:B$1696,A425,GERAL!AX$8:AX$1696)</f>
        <v>273</v>
      </c>
      <c r="K425" s="75">
        <f>COUNTIFS(GERAL!B$8:B$1696,A425,GERAL!AY$8:AY$1696,"&gt;0",GERAL!C$8:C$1696,"ESCOLA")</f>
        <v>1</v>
      </c>
      <c r="L425" s="75">
        <f>COUNTIFS(GERAL!B$8:B$1696,A425,GERAL!AY$8:AY$1696,"&gt;0",GERAL!C$8:C$1696,"ANEXO")</f>
        <v>0</v>
      </c>
      <c r="M425" s="100">
        <f>SUMIF(GERAL!B$8:B$1696,A425,GERAL!V$8:V$1696)+SUMIF(GERAL!B$8:B$1696,A425,GERAL!W$8:W$1696)</f>
        <v>0</v>
      </c>
      <c r="N425" s="100">
        <f>SUMIF(GERAL!B$8:B$1696,A425,GERAL!AA$8:AA$1696)+SUMIF(GERAL!B$8:B$1696,A425,GERAL!AB$8:AB$1696)</f>
        <v>0</v>
      </c>
      <c r="O425" s="100">
        <f>SUMIF(GERAL!B$8:B$1696,A425,GERAL!AF$8:AF$1696)+SUMIF(GERAL!B$8:B$1696,A425,GERAL!AG$8:AG$1696)</f>
        <v>62</v>
      </c>
      <c r="P425" s="100">
        <f>SUMIF(GERAL!B$8:B$1696,A425,GERAL!AK$8:AK$1696)+SUMIF(GERAL!B$8:B$1696,A425,GERAL!AL$8:AL$1696)</f>
        <v>0</v>
      </c>
      <c r="Q425" s="100">
        <f>SUMIF(GERAL!B$8:B$1696,A425,GERAL!AO$8:AO$1696)+SUMIF(GERAL!B$8:B$1696,A425,GERAL!AP$8:AP$1696)</f>
        <v>0</v>
      </c>
      <c r="R425" s="100">
        <f>SUMIF(GERAL!B$8:B$1696,A425,GERAL!AS$8:AS$1696)+SUMIF(GERAL!B$8:B$1696,A425,GERAL!AT$8:AT$1696)</f>
        <v>0</v>
      </c>
      <c r="S425" s="75">
        <f t="shared" si="39"/>
        <v>62</v>
      </c>
      <c r="T425" s="116">
        <f>COUNTIFS(GERAL!B$8:B$1696,A425,GERAL!AZ$8:AZ$1696,"&gt;0",GERAL!C$8:C$1696,"ESCOLA")</f>
        <v>1</v>
      </c>
      <c r="U425" s="75">
        <f>COUNTIFS(GERAL!B$8:B$1696,A425,GERAL!AZ$8:AZ$1696,"&gt;0",GERAL!C$8:C$1696,"ANEXO")</f>
        <v>0</v>
      </c>
      <c r="V425" s="85">
        <f>SUMIF(GERAL!B$8:B$1696,A425,GERAL!AH$8:AH$1696)</f>
        <v>0</v>
      </c>
      <c r="W425" s="85">
        <f>SUMIF(GERAL!B$8:B$1696,A425,GERAL!AM$8:AM$1696)</f>
        <v>0</v>
      </c>
      <c r="X425" s="85">
        <f>SUMIF(GERAL!B$8:B$1696,A425,GERAL!AQ$8:AQ$1696)</f>
        <v>49</v>
      </c>
      <c r="Y425" s="85">
        <f>SUMIF(GERAL!B$8:B$1696,A425,GERAL!AU$8:AU$1696)</f>
        <v>0</v>
      </c>
      <c r="Z425" s="88">
        <f t="shared" si="40"/>
        <v>49</v>
      </c>
      <c r="AA425" s="116">
        <f>COUNTIFS(GERAL!B$8:B$1696,A425,GERAL!BK$8:BK$1696,"&gt;0",GERAL!C$8:C$1696,"ESCOLA")</f>
        <v>1</v>
      </c>
      <c r="AB425" s="88">
        <f>COUNTIFS(GERAL!B$8:B$1696,A425,GERAL!BK$8:BK$1696,"&gt;0",GERAL!C$8:C$1696,"ANEXO")</f>
        <v>0</v>
      </c>
      <c r="AC425" s="121">
        <f>SUMIF(GERAL!B$8:B$1696,A425,GERAL!AD$8:AD$1696)</f>
        <v>0</v>
      </c>
      <c r="AD425" s="121">
        <f>SUMIF(GERAL!B$8:B$1696,A425,GERAL!AI$8:AI$1696)</f>
        <v>93</v>
      </c>
      <c r="AE425" s="121">
        <f>SUMIF(GERAL!B$8:B$1696,A425,GERAL!AV$8:AV$1696)</f>
        <v>69</v>
      </c>
      <c r="AF425" s="492">
        <f t="shared" si="41"/>
        <v>162</v>
      </c>
      <c r="AG425" s="178">
        <f>COUNTIFS(GERAL!B$8:B$1696,A425,GERAL!AW$8:AW$1696,"&gt;0",GERAL!C$8:C$1696,"ESCOLA")</f>
        <v>1</v>
      </c>
      <c r="AH425" s="118">
        <f>COUNTIFS(GERAL!B$8:B$1696,A425,GERAL!AW$8:AW$1696,"&gt;0",GERAL!C$8:C$1696,"ANEXO")</f>
        <v>0</v>
      </c>
      <c r="AI425" s="177">
        <f>SUMIF(GERAL!B$8:B$1696,A425,GERAL!AS$8:AS$1696)+SUMIF(GERAL!B$8:B$1696,A425,GERAL!AT$8:AT$1696)</f>
        <v>0</v>
      </c>
      <c r="AJ425" s="177">
        <f>SUMIF(GERAL!B$8:B$1696,A425,GERAL!AU$8:AU$1696)</f>
        <v>0</v>
      </c>
      <c r="AK425" s="177">
        <f>SUMIF(GERAL!B$8:B$1696,A425,GERAL!AV$8:AV$1696)</f>
        <v>69</v>
      </c>
      <c r="AL425" s="118">
        <f t="shared" si="42"/>
        <v>69</v>
      </c>
      <c r="AM425" s="493" t="s">
        <v>1090</v>
      </c>
    </row>
    <row r="426">
      <c r="A426" s="484" t="s">
        <v>4992</v>
      </c>
      <c r="B426" s="75">
        <f>COUNTIFS(GERAL!B$8:B$1696,A426,GERAL!C$8:C$1696,"ESCOLA")</f>
        <v>1</v>
      </c>
      <c r="C426" s="75">
        <f>COUNTIFS(GERAL!B$8:B$1696,A426,GERAL!C$8:C$1696,"ANEXO")</f>
        <v>0</v>
      </c>
      <c r="D426" s="85">
        <f>SUMIF(GERAL!B$8:B$1696,A426,GERAL!Z$8:Z$1696)</f>
        <v>0</v>
      </c>
      <c r="E426" s="85">
        <f>SUMIF(GERAL!B$8:B$1696,A426,GERAL!AE$8:AE$1696)</f>
        <v>0</v>
      </c>
      <c r="F426" s="85">
        <f>SUMIF(GERAL!B$8:B$1696,A426,GERAL!AJ$8:AJ$1696)</f>
        <v>368</v>
      </c>
      <c r="G426" s="85">
        <f>SUMIF(GERAL!B$8:B$1696,A426,GERAL!AN$8:AN$1696)</f>
        <v>0</v>
      </c>
      <c r="H426" s="85">
        <f>SUMIF(GERAL!B$8:B$1696,A426,GERAL!AR$8:AW$1696)</f>
        <v>100</v>
      </c>
      <c r="I426" s="85">
        <f>SUMIF(GERAL!B$8:B$1696,A426,GERAL!AW$8:AW$1696)</f>
        <v>54</v>
      </c>
      <c r="J426" s="75">
        <f>SUMIF(GERAL!B$8:B$1696,A426,GERAL!AX$8:AX$1696)</f>
        <v>522</v>
      </c>
      <c r="K426" s="75">
        <f>COUNTIFS(GERAL!B$8:B$1696,A426,GERAL!AY$8:AY$1696,"&gt;0",GERAL!C$8:C$1696,"ESCOLA")</f>
        <v>1</v>
      </c>
      <c r="L426" s="75">
        <f>COUNTIFS(GERAL!B$8:B$1696,A426,GERAL!AY$8:AY$1696,"&gt;0",GERAL!C$8:C$1696,"ANEXO")</f>
        <v>0</v>
      </c>
      <c r="M426" s="100">
        <f>SUMIF(GERAL!B$8:B$1696,A426,GERAL!V$8:V$1696)+SUMIF(GERAL!B$8:B$1696,A426,GERAL!W$8:W$1696)</f>
        <v>0</v>
      </c>
      <c r="N426" s="100">
        <f>SUMIF(GERAL!B$8:B$1696,A426,GERAL!AA$8:AA$1696)+SUMIF(GERAL!B$8:B$1696,A426,GERAL!AB$8:AB$1696)</f>
        <v>0</v>
      </c>
      <c r="O426" s="100">
        <f>SUMIF(GERAL!B$8:B$1696,A426,GERAL!AF$8:AF$1696)+SUMIF(GERAL!B$8:B$1696,A426,GERAL!AG$8:AG$1696)</f>
        <v>211</v>
      </c>
      <c r="P426" s="100">
        <f>SUMIF(GERAL!B$8:B$1696,A426,GERAL!AK$8:AK$1696)+SUMIF(GERAL!B$8:B$1696,A426,GERAL!AL$8:AL$1696)</f>
        <v>0</v>
      </c>
      <c r="Q426" s="100">
        <f>SUMIF(GERAL!B$8:B$1696,A426,GERAL!AO$8:AO$1696)+SUMIF(GERAL!B$8:B$1696,A426,GERAL!AP$8:AP$1696)</f>
        <v>0</v>
      </c>
      <c r="R426" s="100">
        <f>SUMIF(GERAL!B$8:B$1696,A426,GERAL!AS$8:AS$1696)+SUMIF(GERAL!B$8:B$1696,A426,GERAL!AT$8:AT$1696)</f>
        <v>0</v>
      </c>
      <c r="S426" s="75">
        <f t="shared" si="39"/>
        <v>211</v>
      </c>
      <c r="T426" s="116">
        <f>COUNTIFS(GERAL!B$8:B$1696,A426,GERAL!AZ$8:AZ$1696,"&gt;0",GERAL!C$8:C$1696,"ESCOLA")</f>
        <v>1</v>
      </c>
      <c r="U426" s="75">
        <f>COUNTIFS(GERAL!B$8:B$1696,A426,GERAL!AZ$8:AZ$1696,"&gt;0",GERAL!C$8:C$1696,"ANEXO")</f>
        <v>0</v>
      </c>
      <c r="V426" s="85">
        <f>SUMIF(GERAL!B$8:B$1696,A426,GERAL!AH$8:AH$1696)</f>
        <v>0</v>
      </c>
      <c r="W426" s="85">
        <f>SUMIF(GERAL!B$8:B$1696,A426,GERAL!AM$8:AM$1696)</f>
        <v>0</v>
      </c>
      <c r="X426" s="85">
        <f>SUMIF(GERAL!B$8:B$1696,A426,GERAL!AQ$8:AQ$1696)</f>
        <v>100</v>
      </c>
      <c r="Y426" s="85">
        <f>SUMIF(GERAL!B$8:B$1696,A426,GERAL!AU$8:AU$1696)</f>
        <v>14</v>
      </c>
      <c r="Z426" s="88">
        <f t="shared" si="40"/>
        <v>114</v>
      </c>
      <c r="AA426" s="116">
        <f>COUNTIFS(GERAL!B$8:B$1696,A426,GERAL!BK$8:BK$1696,"&gt;0",GERAL!C$8:C$1696,"ESCOLA")</f>
        <v>1</v>
      </c>
      <c r="AB426" s="88">
        <f>COUNTIFS(GERAL!B$8:B$1696,A426,GERAL!BK$8:BK$1696,"&gt;0",GERAL!C$8:C$1696,"ANEXO")</f>
        <v>0</v>
      </c>
      <c r="AC426" s="121">
        <f>SUMIF(GERAL!B$8:B$1696,A426,GERAL!AD$8:AD$1696)</f>
        <v>0</v>
      </c>
      <c r="AD426" s="121">
        <f>SUMIF(GERAL!B$8:B$1696,A426,GERAL!AI$8:AI$1696)</f>
        <v>157</v>
      </c>
      <c r="AE426" s="121">
        <f>SUMIF(GERAL!B$8:B$1696,A426,GERAL!AV$8:AV$1696)</f>
        <v>40</v>
      </c>
      <c r="AF426" s="492">
        <f t="shared" si="41"/>
        <v>197</v>
      </c>
      <c r="AG426" s="178">
        <f>COUNTIFS(GERAL!B$8:B$1696,A426,GERAL!AW$8:AW$1696,"&gt;0",GERAL!C$8:C$1696,"ESCOLA")</f>
        <v>1</v>
      </c>
      <c r="AH426" s="118">
        <f>COUNTIFS(GERAL!B$8:B$1696,A426,GERAL!AW$8:AW$1696,"&gt;0",GERAL!C$8:C$1696,"ANEXO")</f>
        <v>0</v>
      </c>
      <c r="AI426" s="177">
        <f>SUMIF(GERAL!B$8:B$1696,A426,GERAL!AS$8:AS$1696)+SUMIF(GERAL!B$8:B$1696,A426,GERAL!AT$8:AT$1696)</f>
        <v>0</v>
      </c>
      <c r="AJ426" s="177">
        <f>SUMIF(GERAL!B$8:B$1696,A426,GERAL!AU$8:AU$1696)</f>
        <v>14</v>
      </c>
      <c r="AK426" s="177">
        <f>SUMIF(GERAL!B$8:B$1696,A426,GERAL!AV$8:AV$1696)</f>
        <v>40</v>
      </c>
      <c r="AL426" s="118">
        <f t="shared" si="42"/>
        <v>54</v>
      </c>
      <c r="AM426" s="493" t="s">
        <v>1161</v>
      </c>
    </row>
    <row r="427">
      <c r="A427" s="494" t="s">
        <v>6802</v>
      </c>
      <c r="B427" s="75">
        <f>COUNTIFS(GERAL!B$8:B$1696,A427,GERAL!C$8:C$1696,"ESCOLA")</f>
        <v>1</v>
      </c>
      <c r="C427" s="75">
        <f>COUNTIFS(GERAL!B$8:B$1696,A427,GERAL!C$8:C$1696,"ANEXO")</f>
        <v>0</v>
      </c>
      <c r="D427" s="85">
        <f>SUMIF(GERAL!B$8:B$1696,A427,GERAL!Z$8:Z$1696)</f>
        <v>0</v>
      </c>
      <c r="E427" s="85">
        <f>SUMIF(GERAL!B$8:B$1696,A427,GERAL!AE$8:AE$1696)</f>
        <v>0</v>
      </c>
      <c r="F427" s="85">
        <f>SUMIF(GERAL!B$8:B$1696,A427,GERAL!AJ$8:AJ$1696)</f>
        <v>321</v>
      </c>
      <c r="G427" s="85">
        <f>SUMIF(GERAL!B$8:B$1696,A427,GERAL!AN$8:AN$1696)</f>
        <v>0</v>
      </c>
      <c r="H427" s="85">
        <f>SUMIF(GERAL!B$8:B$1696,A427,GERAL!AR$8:AW$1696)</f>
        <v>45</v>
      </c>
      <c r="I427" s="85">
        <f>SUMIF(GERAL!B$8:B$1696,A427,GERAL!AW$8:AW$1696)</f>
        <v>38</v>
      </c>
      <c r="J427" s="75">
        <f>SUMIF(GERAL!B$8:B$1696,A427,GERAL!AX$8:AX$1696)</f>
        <v>404</v>
      </c>
      <c r="K427" s="75">
        <f>COUNTIFS(GERAL!B$8:B$1696,A427,GERAL!AY$8:AY$1696,"&gt;0",GERAL!C$8:C$1696,"ESCOLA")</f>
        <v>1</v>
      </c>
      <c r="L427" s="75">
        <f>COUNTIFS(GERAL!B$8:B$1696,A427,GERAL!AY$8:AY$1696,"&gt;0",GERAL!C$8:C$1696,"ANEXO")</f>
        <v>0</v>
      </c>
      <c r="M427" s="100">
        <f>SUMIF(GERAL!B$8:B$1696,A427,GERAL!V$8:V$1696)+SUMIF(GERAL!B$8:B$1696,A427,GERAL!W$8:W$1696)</f>
        <v>0</v>
      </c>
      <c r="N427" s="100">
        <f>SUMIF(GERAL!B$8:B$1696,A427,GERAL!AA$8:AA$1696)+SUMIF(GERAL!B$8:B$1696,A427,GERAL!AB$8:AB$1696)</f>
        <v>0</v>
      </c>
      <c r="O427" s="100">
        <f>SUMIF(GERAL!B$8:B$1696,A427,GERAL!AF$8:AF$1696)+SUMIF(GERAL!B$8:B$1696,A427,GERAL!AG$8:AG$1696)</f>
        <v>321</v>
      </c>
      <c r="P427" s="100">
        <f>SUMIF(GERAL!B$8:B$1696,A427,GERAL!AK$8:AK$1696)+SUMIF(GERAL!B$8:B$1696,A427,GERAL!AL$8:AL$1696)</f>
        <v>0</v>
      </c>
      <c r="Q427" s="100">
        <f>SUMIF(GERAL!B$8:B$1696,A427,GERAL!AO$8:AO$1696)+SUMIF(GERAL!B$8:B$1696,A427,GERAL!AP$8:AP$1696)</f>
        <v>0</v>
      </c>
      <c r="R427" s="100">
        <f>SUMIF(GERAL!B$8:B$1696,A427,GERAL!AS$8:AS$1696)+SUMIF(GERAL!B$8:B$1696,A427,GERAL!AT$8:AT$1696)</f>
        <v>31</v>
      </c>
      <c r="S427" s="75">
        <f t="shared" si="39"/>
        <v>352</v>
      </c>
      <c r="T427" s="116">
        <f>COUNTIFS(GERAL!B$8:B$1696,A427,GERAL!AZ$8:AZ$1696,"&gt;0",GERAL!C$8:C$1696,"ESCOLA")</f>
        <v>1</v>
      </c>
      <c r="U427" s="75">
        <f>COUNTIFS(GERAL!B$8:B$1696,A427,GERAL!AZ$8:AZ$1696,"&gt;0",GERAL!C$8:C$1696,"ANEXO")</f>
        <v>0</v>
      </c>
      <c r="V427" s="85">
        <f>SUMIF(GERAL!B$8:B$1696,A427,GERAL!AH$8:AH$1696)</f>
        <v>0</v>
      </c>
      <c r="W427" s="85">
        <f>SUMIF(GERAL!B$8:B$1696,A427,GERAL!AM$8:AM$1696)</f>
        <v>0</v>
      </c>
      <c r="X427" s="85">
        <f>SUMIF(GERAL!B$8:B$1696,A427,GERAL!AQ$8:AQ$1696)</f>
        <v>45</v>
      </c>
      <c r="Y427" s="85">
        <f>SUMIF(GERAL!B$8:B$1696,A427,GERAL!AU$8:AU$1696)</f>
        <v>7</v>
      </c>
      <c r="Z427" s="88">
        <f t="shared" si="40"/>
        <v>52</v>
      </c>
      <c r="AA427" s="116">
        <f>COUNTIFS(GERAL!B$8:B$1696,A427,GERAL!BK$8:BK$1696,"&gt;0",GERAL!C$8:C$1696,"ESCOLA")</f>
        <v>0</v>
      </c>
      <c r="AB427" s="88">
        <f>COUNTIFS(GERAL!B$8:B$1696,A427,GERAL!BK$8:BK$1696,"&gt;0",GERAL!C$8:C$1696,"ANEXO")</f>
        <v>0</v>
      </c>
      <c r="AC427" s="121">
        <f>SUMIF(GERAL!B$8:B$1696,A427,GERAL!AD$8:AD$1696)</f>
        <v>0</v>
      </c>
      <c r="AD427" s="121">
        <f>SUMIF(GERAL!B$8:B$1696,A427,GERAL!AI$8:AI$1696)</f>
        <v>0</v>
      </c>
      <c r="AE427" s="121">
        <f>SUMIF(GERAL!B$8:B$1696,A427,GERAL!AV$8:AV$1696)</f>
        <v>0</v>
      </c>
      <c r="AF427" s="492">
        <f t="shared" si="41"/>
        <v>0</v>
      </c>
      <c r="AG427" s="178">
        <f>COUNTIFS(GERAL!B$8:B$1696,A427,GERAL!AW$8:AW$1696,"&gt;0",GERAL!C$8:C$1696,"ESCOLA")</f>
        <v>1</v>
      </c>
      <c r="AH427" s="118">
        <f>COUNTIFS(GERAL!B$8:B$1696,A427,GERAL!AW$8:AW$1696,"&gt;0",GERAL!C$8:C$1696,"ANEXO")</f>
        <v>0</v>
      </c>
      <c r="AI427" s="177">
        <f>SUMIF(GERAL!B$8:B$1696,A427,GERAL!AS$8:AS$1696)+SUMIF(GERAL!B$8:B$1696,A427,GERAL!AT$8:AT$1696)</f>
        <v>31</v>
      </c>
      <c r="AJ427" s="177">
        <f>SUMIF(GERAL!B$8:B$1696,A427,GERAL!AU$8:AU$1696)</f>
        <v>7</v>
      </c>
      <c r="AK427" s="177">
        <f>SUMIF(GERAL!B$8:B$1696,A427,GERAL!AV$8:AV$1696)</f>
        <v>0</v>
      </c>
      <c r="AL427" s="118">
        <f t="shared" si="42"/>
        <v>38</v>
      </c>
      <c r="AM427" s="493" t="s">
        <v>1463</v>
      </c>
    </row>
    <row r="428">
      <c r="A428" s="484" t="s">
        <v>9236</v>
      </c>
      <c r="B428" s="75">
        <f>COUNTIFS(GERAL!B$8:B$1696,A428,GERAL!C$8:C$1696,"ESCOLA")</f>
        <v>3</v>
      </c>
      <c r="C428" s="75">
        <f>COUNTIFS(GERAL!B$8:B$1696,A428,GERAL!C$8:C$1696,"ANEXO")</f>
        <v>0</v>
      </c>
      <c r="D428" s="85">
        <f>SUMIF(GERAL!B$8:B$1696,A428,GERAL!Z$8:Z$1696)</f>
        <v>0</v>
      </c>
      <c r="E428" s="85">
        <f>SUMIF(GERAL!B$8:B$1696,A428,GERAL!AE$8:AE$1696)</f>
        <v>0</v>
      </c>
      <c r="F428" s="85">
        <f>SUMIF(GERAL!B$8:B$1696,A428,GERAL!AJ$8:AJ$1696)</f>
        <v>1082</v>
      </c>
      <c r="G428" s="85">
        <f>SUMIF(GERAL!B$8:B$1696,A428,GERAL!AN$8:AN$1696)</f>
        <v>0</v>
      </c>
      <c r="H428" s="85">
        <f>SUMIF(GERAL!B$8:B$1696,A428,GERAL!AR$8:AW$1696)</f>
        <v>312</v>
      </c>
      <c r="I428" s="85">
        <f>SUMIF(GERAL!B$8:B$1696,A428,GERAL!AW$8:AW$1696)</f>
        <v>460</v>
      </c>
      <c r="J428" s="75">
        <f>SUMIF(GERAL!B$8:B$1696,A428,GERAL!AX$8:AX$1696)</f>
        <v>1854</v>
      </c>
      <c r="K428" s="75">
        <f>COUNTIFS(GERAL!B$8:B$1696,A428,GERAL!AY$8:AY$1696,"&gt;0",GERAL!C$8:C$1696,"ESCOLA")</f>
        <v>3</v>
      </c>
      <c r="L428" s="75">
        <f>COUNTIFS(GERAL!B$8:B$1696,A428,GERAL!AY$8:AY$1696,"&gt;0",GERAL!C$8:C$1696,"ANEXO")</f>
        <v>0</v>
      </c>
      <c r="M428" s="100">
        <f>SUMIF(GERAL!B$8:B$1696,A428,GERAL!V$8:V$1696)+SUMIF(GERAL!B$8:B$1696,A428,GERAL!W$8:W$1696)</f>
        <v>0</v>
      </c>
      <c r="N428" s="100">
        <f>SUMIF(GERAL!B$8:B$1696,A428,GERAL!AA$8:AA$1696)+SUMIF(GERAL!B$8:B$1696,A428,GERAL!AB$8:AB$1696)</f>
        <v>0</v>
      </c>
      <c r="O428" s="100">
        <f>SUMIF(GERAL!B$8:B$1696,A428,GERAL!AF$8:AF$1696)+SUMIF(GERAL!B$8:B$1696,A428,GERAL!AG$8:AG$1696)</f>
        <v>849</v>
      </c>
      <c r="P428" s="100">
        <f>SUMIF(GERAL!B$8:B$1696,A428,GERAL!AK$8:AK$1696)+SUMIF(GERAL!B$8:B$1696,A428,GERAL!AL$8:AL$1696)</f>
        <v>0</v>
      </c>
      <c r="Q428" s="100">
        <f>SUMIF(GERAL!B$8:B$1696,A428,GERAL!AO$8:AO$1696)+SUMIF(GERAL!B$8:B$1696,A428,GERAL!AP$8:AP$1696)</f>
        <v>0</v>
      </c>
      <c r="R428" s="100">
        <f>SUMIF(GERAL!B$8:B$1696,A428,GERAL!AS$8:AS$1696)+SUMIF(GERAL!B$8:B$1696,A428,GERAL!AT$8:AT$1696)</f>
        <v>367</v>
      </c>
      <c r="S428" s="75">
        <f t="shared" si="39"/>
        <v>1216</v>
      </c>
      <c r="T428" s="116">
        <f>COUNTIFS(GERAL!B$8:B$1696,A428,GERAL!AZ$8:AZ$1696,"&gt;0",GERAL!C$8:C$1696,"ESCOLA")</f>
        <v>3</v>
      </c>
      <c r="U428" s="75">
        <f>COUNTIFS(GERAL!B$8:B$1696,A428,GERAL!AZ$8:AZ$1696,"&gt;0",GERAL!C$8:C$1696,"ANEXO")</f>
        <v>0</v>
      </c>
      <c r="V428" s="85">
        <f>SUMIF(GERAL!B$8:B$1696,A428,GERAL!AH$8:AH$1696)</f>
        <v>0</v>
      </c>
      <c r="W428" s="85">
        <f>SUMIF(GERAL!B$8:B$1696,A428,GERAL!AM$8:AM$1696)</f>
        <v>0</v>
      </c>
      <c r="X428" s="85">
        <f>SUMIF(GERAL!B$8:B$1696,A428,GERAL!AQ$8:AQ$1696)</f>
        <v>312</v>
      </c>
      <c r="Y428" s="85">
        <f>SUMIF(GERAL!B$8:B$1696,A428,GERAL!AU$8:AU$1696)</f>
        <v>93</v>
      </c>
      <c r="Z428" s="88">
        <f t="shared" si="40"/>
        <v>405</v>
      </c>
      <c r="AA428" s="116">
        <f>COUNTIFS(GERAL!B$8:B$1696,A428,GERAL!BK$8:BK$1696,"&gt;0",GERAL!C$8:C$1696,"ESCOLA")</f>
        <v>2</v>
      </c>
      <c r="AB428" s="88">
        <f>COUNTIFS(GERAL!B$8:B$1696,A428,GERAL!BK$8:BK$1696,"&gt;0",GERAL!C$8:C$1696,"ANEXO")</f>
        <v>0</v>
      </c>
      <c r="AC428" s="121">
        <f>SUMIF(GERAL!B$8:B$1696,A428,GERAL!AD$8:AD$1696)</f>
        <v>0</v>
      </c>
      <c r="AD428" s="121">
        <f>SUMIF(GERAL!B$8:B$1696,A428,GERAL!AI$8:AI$1696)</f>
        <v>233</v>
      </c>
      <c r="AE428" s="121">
        <f>SUMIF(GERAL!B$8:B$1696,A428,GERAL!AV$8:AV$1696)</f>
        <v>0</v>
      </c>
      <c r="AF428" s="492">
        <f t="shared" si="41"/>
        <v>233</v>
      </c>
      <c r="AG428" s="178">
        <f>COUNTIFS(GERAL!B$8:B$1696,A428,GERAL!AW$8:AW$1696,"&gt;0",GERAL!C$8:C$1696,"ESCOLA")</f>
        <v>1</v>
      </c>
      <c r="AH428" s="118">
        <f>COUNTIFS(GERAL!B$8:B$1696,A428,GERAL!AW$8:AW$1696,"&gt;0",GERAL!C$8:C$1696,"ANEXO")</f>
        <v>0</v>
      </c>
      <c r="AI428" s="177">
        <f>SUMIF(GERAL!B$8:B$1696,A428,GERAL!AS$8:AS$1696)+SUMIF(GERAL!B$8:B$1696,A428,GERAL!AT$8:AT$1696)</f>
        <v>367</v>
      </c>
      <c r="AJ428" s="177">
        <f>SUMIF(GERAL!B$8:B$1696,A428,GERAL!AU$8:AU$1696)</f>
        <v>93</v>
      </c>
      <c r="AK428" s="177">
        <f>SUMIF(GERAL!B$8:B$1696,A428,GERAL!AV$8:AV$1696)</f>
        <v>0</v>
      </c>
      <c r="AL428" s="118">
        <f t="shared" si="42"/>
        <v>460</v>
      </c>
      <c r="AM428" s="493" t="s">
        <v>1785</v>
      </c>
    </row>
    <row r="429">
      <c r="A429" s="494" t="s">
        <v>2398</v>
      </c>
      <c r="B429" s="75">
        <f>COUNTIFS(GERAL!B$8:B$1696,A429,GERAL!C$8:C$1696,"ESCOLA")</f>
        <v>2</v>
      </c>
      <c r="C429" s="75">
        <f>COUNTIFS(GERAL!B$8:B$1696,A429,GERAL!C$8:C$1696,"ANEXO")</f>
        <v>3</v>
      </c>
      <c r="D429" s="85">
        <f>SUMIF(GERAL!B$8:B$1696,A429,GERAL!Z$8:Z$1696)</f>
        <v>0</v>
      </c>
      <c r="E429" s="85">
        <f>SUMIF(GERAL!B$8:B$1696,A429,GERAL!AE$8:AE$1696)</f>
        <v>0</v>
      </c>
      <c r="F429" s="85">
        <f>SUMIF(GERAL!B$8:B$1696,A429,GERAL!AJ$8:AJ$1696)</f>
        <v>159</v>
      </c>
      <c r="G429" s="85">
        <f>SUMIF(GERAL!B$8:B$1696,A429,GERAL!AN$8:AN$1696)</f>
        <v>0</v>
      </c>
      <c r="H429" s="85">
        <f>SUMIF(GERAL!B$8:B$1696,A429,GERAL!AR$8:AW$1696)</f>
        <v>71</v>
      </c>
      <c r="I429" s="85">
        <f>SUMIF(GERAL!B$8:B$1696,A429,GERAL!AW$8:AW$1696)</f>
        <v>18</v>
      </c>
      <c r="J429" s="75">
        <f>SUMIF(GERAL!B$8:B$1696,A429,GERAL!AX$8:AX$1696)</f>
        <v>248</v>
      </c>
      <c r="K429" s="75">
        <f>COUNTIFS(GERAL!B$8:B$1696,A429,GERAL!AY$8:AY$1696,"&gt;0",GERAL!C$8:C$1696,"ESCOLA")</f>
        <v>2</v>
      </c>
      <c r="L429" s="75">
        <f>COUNTIFS(GERAL!B$8:B$1696,A429,GERAL!AY$8:AY$1696,"&gt;0",GERAL!C$8:C$1696,"ANEXO")</f>
        <v>0</v>
      </c>
      <c r="M429" s="100">
        <f>SUMIF(GERAL!B$8:B$1696,A429,GERAL!V$8:V$1696)+SUMIF(GERAL!B$8:B$1696,A429,GERAL!W$8:W$1696)</f>
        <v>0</v>
      </c>
      <c r="N429" s="100">
        <f>SUMIF(GERAL!B$8:B$1696,A429,GERAL!AA$8:AA$1696)+SUMIF(GERAL!B$8:B$1696,A429,GERAL!AB$8:AB$1696)</f>
        <v>0</v>
      </c>
      <c r="O429" s="100">
        <f>SUMIF(GERAL!B$8:B$1696,A429,GERAL!AF$8:AF$1696)+SUMIF(GERAL!B$8:B$1696,A429,GERAL!AG$8:AG$1696)</f>
        <v>49</v>
      </c>
      <c r="P429" s="100">
        <f>SUMIF(GERAL!B$8:B$1696,A429,GERAL!AK$8:AK$1696)+SUMIF(GERAL!B$8:B$1696,A429,GERAL!AL$8:AL$1696)</f>
        <v>0</v>
      </c>
      <c r="Q429" s="100">
        <f>SUMIF(GERAL!B$8:B$1696,A429,GERAL!AO$8:AO$1696)+SUMIF(GERAL!B$8:B$1696,A429,GERAL!AP$8:AP$1696)</f>
        <v>0</v>
      </c>
      <c r="R429" s="100">
        <f>SUMIF(GERAL!B$8:B$1696,A429,GERAL!AS$8:AS$1696)+SUMIF(GERAL!B$8:B$1696,A429,GERAL!AT$8:AT$1696)</f>
        <v>0</v>
      </c>
      <c r="S429" s="75">
        <f t="shared" si="39"/>
        <v>49</v>
      </c>
      <c r="T429" s="116">
        <f>COUNTIFS(GERAL!B$8:B$1696,A429,GERAL!AZ$8:AZ$1696,"&gt;0",GERAL!C$8:C$1696,"ESCOLA")</f>
        <v>2</v>
      </c>
      <c r="U429" s="75">
        <f>COUNTIFS(GERAL!B$8:B$1696,A429,GERAL!AZ$8:AZ$1696,"&gt;0",GERAL!C$8:C$1696,"ANEXO")</f>
        <v>3</v>
      </c>
      <c r="V429" s="85">
        <f>SUMIF(GERAL!B$8:B$1696,A429,GERAL!AH$8:AH$1696)</f>
        <v>45</v>
      </c>
      <c r="W429" s="85">
        <f>SUMIF(GERAL!B$8:B$1696,A429,GERAL!AM$8:AM$1696)</f>
        <v>0</v>
      </c>
      <c r="X429" s="85">
        <f>SUMIF(GERAL!B$8:B$1696,A429,GERAL!AQ$8:AQ$1696)</f>
        <v>71</v>
      </c>
      <c r="Y429" s="85">
        <f>SUMIF(GERAL!B$8:B$1696,A429,GERAL!AU$8:AU$1696)</f>
        <v>18</v>
      </c>
      <c r="Z429" s="88">
        <f t="shared" si="40"/>
        <v>134</v>
      </c>
      <c r="AA429" s="116">
        <f>COUNTIFS(GERAL!B$8:B$1696,A429,GERAL!BK$8:BK$1696,"&gt;0",GERAL!C$8:C$1696,"ESCOLA")</f>
        <v>1</v>
      </c>
      <c r="AB429" s="88">
        <f>COUNTIFS(GERAL!B$8:B$1696,A429,GERAL!BK$8:BK$1696,"&gt;0",GERAL!C$8:C$1696,"ANEXO")</f>
        <v>0</v>
      </c>
      <c r="AC429" s="121">
        <f>SUMIF(GERAL!B$8:B$1696,A429,GERAL!AD$8:AD$1696)</f>
        <v>0</v>
      </c>
      <c r="AD429" s="121">
        <f>SUMIF(GERAL!B$8:B$1696,A429,GERAL!AI$8:AI$1696)</f>
        <v>65</v>
      </c>
      <c r="AE429" s="121">
        <f>SUMIF(GERAL!B$8:B$1696,A429,GERAL!AV$8:AV$1696)</f>
        <v>0</v>
      </c>
      <c r="AF429" s="492">
        <f t="shared" si="41"/>
        <v>65</v>
      </c>
      <c r="AG429" s="178">
        <f>COUNTIFS(GERAL!B$8:B$1696,A429,GERAL!AW$8:AW$1696,"&gt;0",GERAL!C$8:C$1696,"ESCOLA")</f>
        <v>1</v>
      </c>
      <c r="AH429" s="118">
        <f>COUNTIFS(GERAL!B$8:B$1696,A429,GERAL!AW$8:AW$1696,"&gt;0",GERAL!C$8:C$1696,"ANEXO")</f>
        <v>0</v>
      </c>
      <c r="AI429" s="177">
        <f>SUMIF(GERAL!B$8:B$1696,A429,GERAL!AS$8:AS$1696)+SUMIF(GERAL!B$8:B$1696,A429,GERAL!AT$8:AT$1696)</f>
        <v>0</v>
      </c>
      <c r="AJ429" s="177">
        <f>SUMIF(GERAL!B$8:B$1696,A429,GERAL!AU$8:AU$1696)</f>
        <v>18</v>
      </c>
      <c r="AK429" s="177">
        <f>SUMIF(GERAL!B$8:B$1696,A429,GERAL!AV$8:AV$1696)</f>
        <v>0</v>
      </c>
      <c r="AL429" s="118">
        <f t="shared" si="42"/>
        <v>18</v>
      </c>
      <c r="AM429" s="493" t="s">
        <v>605</v>
      </c>
    </row>
    <row r="430">
      <c r="A430" s="484" t="s">
        <v>2282</v>
      </c>
      <c r="B430" s="75">
        <f>COUNTIFS(GERAL!B$8:B$1696,A430,GERAL!C$8:C$1696,"ESCOLA")</f>
        <v>18</v>
      </c>
      <c r="C430" s="75">
        <f>COUNTIFS(GERAL!B$8:B$1696,A430,GERAL!C$8:C$1696,"ANEXO")</f>
        <v>5</v>
      </c>
      <c r="D430" s="85">
        <f>SUMIF(GERAL!B$8:B$1696,A430,GERAL!Z$8:Z$1696)</f>
        <v>0</v>
      </c>
      <c r="E430" s="85">
        <f>SUMIF(GERAL!B$8:B$1696,A430,GERAL!AE$8:AE$1696)</f>
        <v>491</v>
      </c>
      <c r="F430" s="85">
        <f>SUMIF(GERAL!B$8:B$1696,A430,GERAL!AJ$8:AJ$1696)</f>
        <v>6973</v>
      </c>
      <c r="G430" s="85">
        <f>SUMIF(GERAL!B$8:B$1696,A430,GERAL!AN$8:AN$1696)</f>
        <v>155</v>
      </c>
      <c r="H430" s="85">
        <f>SUMIF(GERAL!B$8:B$1696,A430,GERAL!AR$8:AW$1696)</f>
        <v>2354</v>
      </c>
      <c r="I430" s="85">
        <f>SUMIF(GERAL!B$8:B$1696,A430,GERAL!AW$8:AW$1696)</f>
        <v>2439</v>
      </c>
      <c r="J430" s="75">
        <f>SUMIF(GERAL!B$8:B$1696,A430,GERAL!AX$8:AX$1696)</f>
        <v>12412</v>
      </c>
      <c r="K430" s="75">
        <f>COUNTIFS(GERAL!B$8:B$1696,A430,GERAL!AY$8:AY$1696,"&gt;0",GERAL!C$8:C$1696,"ESCOLA")</f>
        <v>14</v>
      </c>
      <c r="L430" s="75">
        <f>COUNTIFS(GERAL!B$8:B$1696,A430,GERAL!AY$8:AY$1696,"&gt;0",GERAL!C$8:C$1696,"ANEXO")</f>
        <v>2</v>
      </c>
      <c r="M430" s="100">
        <f>SUMIF(GERAL!B$8:B$1696,A430,GERAL!V$8:V$1696)+SUMIF(GERAL!B$8:B$1696,A430,GERAL!W$8:W$1696)</f>
        <v>0</v>
      </c>
      <c r="N430" s="100">
        <f>SUMIF(GERAL!B$8:B$1696,A430,GERAL!AA$8:AA$1696)+SUMIF(GERAL!B$8:B$1696,A430,GERAL!AB$8:AB$1696)</f>
        <v>491</v>
      </c>
      <c r="O430" s="100">
        <f>SUMIF(GERAL!B$8:B$1696,A430,GERAL!AF$8:AF$1696)+SUMIF(GERAL!B$8:B$1696,A430,GERAL!AG$8:AG$1696)</f>
        <v>1794</v>
      </c>
      <c r="P430" s="100">
        <f>SUMIF(GERAL!B$8:B$1696,A430,GERAL!AK$8:AK$1696)+SUMIF(GERAL!B$8:B$1696,A430,GERAL!AL$8:AL$1696)</f>
        <v>155</v>
      </c>
      <c r="Q430" s="100">
        <f>SUMIF(GERAL!B$8:B$1696,A430,GERAL!AO$8:AO$1696)+SUMIF(GERAL!B$8:B$1696,A430,GERAL!AP$8:AP$1696)</f>
        <v>127</v>
      </c>
      <c r="R430" s="100">
        <f>SUMIF(GERAL!B$8:B$1696,A430,GERAL!AS$8:AS$1696)+SUMIF(GERAL!B$8:B$1696,A430,GERAL!AT$8:AT$1696)</f>
        <v>1563</v>
      </c>
      <c r="S430" s="75">
        <f t="shared" si="39"/>
        <v>4130</v>
      </c>
      <c r="T430" s="116">
        <f>COUNTIFS(GERAL!B$8:B$1696,A430,GERAL!AZ$8:AZ$1696,"&gt;0",GERAL!C$8:C$1696,"ESCOLA")</f>
        <v>11</v>
      </c>
      <c r="U430" s="75">
        <f>COUNTIFS(GERAL!B$8:B$1696,A430,GERAL!AZ$8:AZ$1696,"&gt;0",GERAL!C$8:C$1696,"ANEXO")</f>
        <v>3</v>
      </c>
      <c r="V430" s="85">
        <f>SUMIF(GERAL!B$8:B$1696,A430,GERAL!AH$8:AH$1696)</f>
        <v>20</v>
      </c>
      <c r="W430" s="85">
        <f>SUMIF(GERAL!B$8:B$1696,A430,GERAL!AM$8:AM$1696)</f>
        <v>0</v>
      </c>
      <c r="X430" s="85">
        <f>SUMIF(GERAL!B$8:B$1696,A430,GERAL!AQ$8:AQ$1696)</f>
        <v>2227</v>
      </c>
      <c r="Y430" s="85">
        <f>SUMIF(GERAL!B$8:B$1696,A430,GERAL!AU$8:AU$1696)</f>
        <v>396</v>
      </c>
      <c r="Z430" s="88">
        <f t="shared" si="40"/>
        <v>2643</v>
      </c>
      <c r="AA430" s="116">
        <f>COUNTIFS(GERAL!B$8:B$1696,A430,GERAL!BK$8:BK$1696,"&gt;0",GERAL!C$8:C$1696,"ESCOLA")</f>
        <v>10</v>
      </c>
      <c r="AB430" s="88">
        <f>COUNTIFS(GERAL!B$8:B$1696,A430,GERAL!BK$8:BK$1696,"&gt;0",GERAL!C$8:C$1696,"ANEXO")</f>
        <v>0</v>
      </c>
      <c r="AC430" s="121">
        <f>SUMIF(GERAL!B$8:B$1696,A430,GERAL!AD$8:AD$1696)</f>
        <v>0</v>
      </c>
      <c r="AD430" s="121">
        <f>SUMIF(GERAL!B$8:B$1696,A430,GERAL!AI$8:AI$1696)</f>
        <v>5159</v>
      </c>
      <c r="AE430" s="121">
        <f>SUMIF(GERAL!B$8:B$1696,A430,GERAL!AV$8:AV$1696)</f>
        <v>480</v>
      </c>
      <c r="AF430" s="492">
        <f t="shared" si="41"/>
        <v>5639</v>
      </c>
      <c r="AG430" s="178">
        <f>COUNTIFS(GERAL!B$8:B$1696,A430,GERAL!AW$8:AW$1696,"&gt;0",GERAL!C$8:C$1696,"ESCOLA")</f>
        <v>5</v>
      </c>
      <c r="AH430" s="118">
        <f>COUNTIFS(GERAL!B$8:B$1696,A430,GERAL!AW$8:AW$1696,"&gt;0",GERAL!C$8:C$1696,"ANEXO")</f>
        <v>0</v>
      </c>
      <c r="AI430" s="177">
        <f>SUMIF(GERAL!B$8:B$1696,A430,GERAL!AS$8:AS$1696)+SUMIF(GERAL!B$8:B$1696,A430,GERAL!AT$8:AT$1696)</f>
        <v>1563</v>
      </c>
      <c r="AJ430" s="177">
        <f>SUMIF(GERAL!B$8:B$1696,A430,GERAL!AU$8:AU$1696)</f>
        <v>396</v>
      </c>
      <c r="AK430" s="177">
        <f>SUMIF(GERAL!B$8:B$1696,A430,GERAL!AV$8:AV$1696)</f>
        <v>480</v>
      </c>
      <c r="AL430" s="118">
        <f t="shared" si="42"/>
        <v>2439</v>
      </c>
      <c r="AM430" s="493" t="s">
        <v>1393</v>
      </c>
    </row>
    <row r="431">
      <c r="A431" s="494" t="s">
        <v>1063</v>
      </c>
      <c r="B431" s="75">
        <f>COUNTIFS(GERAL!B$8:B$1696,A431,GERAL!C$8:C$1696,"ESCOLA")</f>
        <v>1</v>
      </c>
      <c r="C431" s="75">
        <f>COUNTIFS(GERAL!B$8:B$1696,A431,GERAL!C$8:C$1696,"ANEXO")</f>
        <v>0</v>
      </c>
      <c r="D431" s="85">
        <f>SUMIF(GERAL!B$8:B$1696,A431,GERAL!Z$8:Z$1696)</f>
        <v>0</v>
      </c>
      <c r="E431" s="85">
        <f>SUMIF(GERAL!B$8:B$1696,A431,GERAL!AE$8:AE$1696)</f>
        <v>0</v>
      </c>
      <c r="F431" s="85">
        <f>SUMIF(GERAL!B$8:B$1696,A431,GERAL!AJ$8:AJ$1696)</f>
        <v>93</v>
      </c>
      <c r="G431" s="85">
        <f>SUMIF(GERAL!B$8:B$1696,A431,GERAL!AN$8:AN$1696)</f>
        <v>0</v>
      </c>
      <c r="H431" s="85">
        <f>SUMIF(GERAL!B$8:B$1696,A431,GERAL!AR$8:AW$1696)</f>
        <v>56</v>
      </c>
      <c r="I431" s="85">
        <f>SUMIF(GERAL!B$8:B$1696,A431,GERAL!AW$8:AW$1696)</f>
        <v>452</v>
      </c>
      <c r="J431" s="75">
        <f>SUMIF(GERAL!B$8:B$1696,A431,GERAL!AX$8:AX$1696)</f>
        <v>601</v>
      </c>
      <c r="K431" s="75">
        <f>COUNTIFS(GERAL!B$8:B$1696,A431,GERAL!AY$8:AY$1696,"&gt;0",GERAL!C$8:C$1696,"ESCOLA")</f>
        <v>1</v>
      </c>
      <c r="L431" s="75">
        <f>COUNTIFS(GERAL!B$8:B$1696,A431,GERAL!AY$8:AY$1696,"&gt;0",GERAL!C$8:C$1696,"ANEXO")</f>
        <v>0</v>
      </c>
      <c r="M431" s="100">
        <f>SUMIF(GERAL!B$8:B$1696,A431,GERAL!V$8:V$1696)+SUMIF(GERAL!B$8:B$1696,A431,GERAL!W$8:W$1696)</f>
        <v>0</v>
      </c>
      <c r="N431" s="100">
        <f>SUMIF(GERAL!B$8:B$1696,A431,GERAL!AA$8:AA$1696)+SUMIF(GERAL!B$8:B$1696,A431,GERAL!AB$8:AB$1696)</f>
        <v>0</v>
      </c>
      <c r="O431" s="100">
        <f>SUMIF(GERAL!B$8:B$1696,A431,GERAL!AF$8:AF$1696)+SUMIF(GERAL!B$8:B$1696,A431,GERAL!AG$8:AG$1696)</f>
        <v>81</v>
      </c>
      <c r="P431" s="100">
        <f>SUMIF(GERAL!B$8:B$1696,A431,GERAL!AK$8:AK$1696)+SUMIF(GERAL!B$8:B$1696,A431,GERAL!AL$8:AL$1696)</f>
        <v>0</v>
      </c>
      <c r="Q431" s="100">
        <f>SUMIF(GERAL!B$8:B$1696,A431,GERAL!AO$8:AO$1696)+SUMIF(GERAL!B$8:B$1696,A431,GERAL!AP$8:AP$1696)</f>
        <v>0</v>
      </c>
      <c r="R431" s="100">
        <f>SUMIF(GERAL!B$8:B$1696,A431,GERAL!AS$8:AS$1696)+SUMIF(GERAL!B$8:B$1696,A431,GERAL!AT$8:AT$1696)</f>
        <v>295</v>
      </c>
      <c r="S431" s="75">
        <f t="shared" si="39"/>
        <v>376</v>
      </c>
      <c r="T431" s="116">
        <f>COUNTIFS(GERAL!B$8:B$1696,A431,GERAL!AZ$8:AZ$1696,"&gt;0",GERAL!C$8:C$1696,"ESCOLA")</f>
        <v>1</v>
      </c>
      <c r="U431" s="75">
        <f>COUNTIFS(GERAL!B$8:B$1696,A431,GERAL!AZ$8:AZ$1696,"&gt;0",GERAL!C$8:C$1696,"ANEXO")</f>
        <v>0</v>
      </c>
      <c r="V431" s="85">
        <f>SUMIF(GERAL!B$8:B$1696,A431,GERAL!AH$8:AH$1696)</f>
        <v>0</v>
      </c>
      <c r="W431" s="85">
        <f>SUMIF(GERAL!B$8:B$1696,A431,GERAL!AM$8:AM$1696)</f>
        <v>0</v>
      </c>
      <c r="X431" s="85">
        <f>SUMIF(GERAL!B$8:B$1696,A431,GERAL!AQ$8:AQ$1696)</f>
        <v>56</v>
      </c>
      <c r="Y431" s="85">
        <f>SUMIF(GERAL!B$8:B$1696,A431,GERAL!AU$8:AU$1696)</f>
        <v>93</v>
      </c>
      <c r="Z431" s="88">
        <f t="shared" si="40"/>
        <v>149</v>
      </c>
      <c r="AA431" s="116">
        <f>COUNTIFS(GERAL!B$8:B$1696,A431,GERAL!BK$8:BK$1696,"&gt;0",GERAL!C$8:C$1696,"ESCOLA")</f>
        <v>1</v>
      </c>
      <c r="AB431" s="88">
        <f>COUNTIFS(GERAL!B$8:B$1696,A431,GERAL!BK$8:BK$1696,"&gt;0",GERAL!C$8:C$1696,"ANEXO")</f>
        <v>0</v>
      </c>
      <c r="AC431" s="121">
        <f>SUMIF(GERAL!B$8:B$1696,A431,GERAL!AD$8:AD$1696)</f>
        <v>0</v>
      </c>
      <c r="AD431" s="121">
        <f>SUMIF(GERAL!B$8:B$1696,A431,GERAL!AI$8:AI$1696)</f>
        <v>12</v>
      </c>
      <c r="AE431" s="121">
        <f>SUMIF(GERAL!B$8:B$1696,A431,GERAL!AV$8:AV$1696)</f>
        <v>64</v>
      </c>
      <c r="AF431" s="492">
        <f t="shared" si="41"/>
        <v>76</v>
      </c>
      <c r="AG431" s="178">
        <f>COUNTIFS(GERAL!B$8:B$1696,A431,GERAL!AW$8:AW$1696,"&gt;0",GERAL!C$8:C$1696,"ESCOLA")</f>
        <v>1</v>
      </c>
      <c r="AH431" s="118">
        <f>COUNTIFS(GERAL!B$8:B$1696,A431,GERAL!AW$8:AW$1696,"&gt;0",GERAL!C$8:C$1696,"ANEXO")</f>
        <v>0</v>
      </c>
      <c r="AI431" s="177">
        <f>SUMIF(GERAL!B$8:B$1696,A431,GERAL!AS$8:AS$1696)+SUMIF(GERAL!B$8:B$1696,A431,GERAL!AT$8:AT$1696)</f>
        <v>295</v>
      </c>
      <c r="AJ431" s="177">
        <f>SUMIF(GERAL!B$8:B$1696,A431,GERAL!AU$8:AU$1696)</f>
        <v>93</v>
      </c>
      <c r="AK431" s="177">
        <f>SUMIF(GERAL!B$8:B$1696,A431,GERAL!AV$8:AV$1696)</f>
        <v>64</v>
      </c>
      <c r="AL431" s="118">
        <f t="shared" si="42"/>
        <v>452</v>
      </c>
      <c r="AM431" s="493" t="s">
        <v>285</v>
      </c>
    </row>
    <row r="432">
      <c r="A432" s="484" t="s">
        <v>3822</v>
      </c>
      <c r="B432" s="75">
        <f>COUNTIFS(GERAL!B$8:B$1696,A432,GERAL!C$8:C$1696,"ESCOLA")</f>
        <v>1</v>
      </c>
      <c r="C432" s="75">
        <f>COUNTIFS(GERAL!B$8:B$1696,A432,GERAL!C$8:C$1696,"ANEXO")</f>
        <v>2</v>
      </c>
      <c r="D432" s="85">
        <f>SUMIF(GERAL!B$8:B$1696,A432,GERAL!Z$8:Z$1696)</f>
        <v>0</v>
      </c>
      <c r="E432" s="85">
        <f>SUMIF(GERAL!B$8:B$1696,A432,GERAL!AE$8:AE$1696)</f>
        <v>0</v>
      </c>
      <c r="F432" s="85">
        <f>SUMIF(GERAL!B$8:B$1696,A432,GERAL!AJ$8:AJ$1696)</f>
        <v>461</v>
      </c>
      <c r="G432" s="85">
        <f>SUMIF(GERAL!B$8:B$1696,A432,GERAL!AN$8:AN$1696)</f>
        <v>0</v>
      </c>
      <c r="H432" s="85">
        <f>SUMIF(GERAL!B$8:B$1696,A432,GERAL!AR$8:AW$1696)</f>
        <v>48</v>
      </c>
      <c r="I432" s="85">
        <f>SUMIF(GERAL!B$8:B$1696,A432,GERAL!AW$8:AW$1696)</f>
        <v>6</v>
      </c>
      <c r="J432" s="75">
        <f>SUMIF(GERAL!B$8:B$1696,A432,GERAL!AX$8:AX$1696)</f>
        <v>515</v>
      </c>
      <c r="K432" s="75">
        <f>COUNTIFS(GERAL!B$8:B$1696,A432,GERAL!AY$8:AY$1696,"&gt;0",GERAL!C$8:C$1696,"ESCOLA")</f>
        <v>1</v>
      </c>
      <c r="L432" s="75">
        <f>COUNTIFS(GERAL!B$8:B$1696,A432,GERAL!AY$8:AY$1696,"&gt;0",GERAL!C$8:C$1696,"ANEXO")</f>
        <v>1</v>
      </c>
      <c r="M432" s="100">
        <f>SUMIF(GERAL!B$8:B$1696,A432,GERAL!V$8:V$1696)+SUMIF(GERAL!B$8:B$1696,A432,GERAL!W$8:W$1696)</f>
        <v>0</v>
      </c>
      <c r="N432" s="100">
        <f>SUMIF(GERAL!B$8:B$1696,A432,GERAL!AA$8:AA$1696)+SUMIF(GERAL!B$8:B$1696,A432,GERAL!AB$8:AB$1696)</f>
        <v>0</v>
      </c>
      <c r="O432" s="100">
        <f>SUMIF(GERAL!B$8:B$1696,A432,GERAL!AF$8:AF$1696)+SUMIF(GERAL!B$8:B$1696,A432,GERAL!AG$8:AG$1696)</f>
        <v>371</v>
      </c>
      <c r="P432" s="100">
        <f>SUMIF(GERAL!B$8:B$1696,A432,GERAL!AK$8:AK$1696)+SUMIF(GERAL!B$8:B$1696,A432,GERAL!AL$8:AL$1696)</f>
        <v>0</v>
      </c>
      <c r="Q432" s="100">
        <f>SUMIF(GERAL!B$8:B$1696,A432,GERAL!AO$8:AO$1696)+SUMIF(GERAL!B$8:B$1696,A432,GERAL!AP$8:AP$1696)</f>
        <v>0</v>
      </c>
      <c r="R432" s="100">
        <f>SUMIF(GERAL!B$8:B$1696,A432,GERAL!AS$8:AS$1696)+SUMIF(GERAL!B$8:B$1696,A432,GERAL!AT$8:AT$1696)</f>
        <v>0</v>
      </c>
      <c r="S432" s="75">
        <f t="shared" si="39"/>
        <v>371</v>
      </c>
      <c r="T432" s="116">
        <f>COUNTIFS(GERAL!B$8:B$1696,A432,GERAL!AZ$8:AZ$1696,"&gt;0",GERAL!C$8:C$1696,"ESCOLA")</f>
        <v>1</v>
      </c>
      <c r="U432" s="75">
        <f>COUNTIFS(GERAL!B$8:B$1696,A432,GERAL!AZ$8:AZ$1696,"&gt;0",GERAL!C$8:C$1696,"ANEXO")</f>
        <v>1</v>
      </c>
      <c r="V432" s="85">
        <f>SUMIF(GERAL!B$8:B$1696,A432,GERAL!AH$8:AH$1696)</f>
        <v>8</v>
      </c>
      <c r="W432" s="85">
        <f>SUMIF(GERAL!B$8:B$1696,A432,GERAL!AM$8:AM$1696)</f>
        <v>0</v>
      </c>
      <c r="X432" s="85">
        <f>SUMIF(GERAL!B$8:B$1696,A432,GERAL!AQ$8:AQ$1696)</f>
        <v>48</v>
      </c>
      <c r="Y432" s="85">
        <f>SUMIF(GERAL!B$8:B$1696,A432,GERAL!AU$8:AU$1696)</f>
        <v>6</v>
      </c>
      <c r="Z432" s="88">
        <f t="shared" si="40"/>
        <v>62</v>
      </c>
      <c r="AA432" s="116">
        <f>COUNTIFS(GERAL!B$8:B$1696,A432,GERAL!BK$8:BK$1696,"&gt;0",GERAL!C$8:C$1696,"ESCOLA")</f>
        <v>1</v>
      </c>
      <c r="AB432" s="88">
        <f>COUNTIFS(GERAL!B$8:B$1696,A432,GERAL!BK$8:BK$1696,"&gt;0",GERAL!C$8:C$1696,"ANEXO")</f>
        <v>0</v>
      </c>
      <c r="AC432" s="121">
        <f>SUMIF(GERAL!B$8:B$1696,A432,GERAL!AD$8:AD$1696)</f>
        <v>0</v>
      </c>
      <c r="AD432" s="121">
        <f>SUMIF(GERAL!B$8:B$1696,A432,GERAL!AI$8:AI$1696)</f>
        <v>82</v>
      </c>
      <c r="AE432" s="121">
        <f>SUMIF(GERAL!B$8:B$1696,A432,GERAL!AV$8:AV$1696)</f>
        <v>0</v>
      </c>
      <c r="AF432" s="492">
        <f t="shared" si="41"/>
        <v>82</v>
      </c>
      <c r="AG432" s="178">
        <f>COUNTIFS(GERAL!B$8:B$1696,A432,GERAL!AW$8:AW$1696,"&gt;0",GERAL!C$8:C$1696,"ESCOLA")</f>
        <v>1</v>
      </c>
      <c r="AH432" s="118">
        <f>COUNTIFS(GERAL!B$8:B$1696,A432,GERAL!AW$8:AW$1696,"&gt;0",GERAL!C$8:C$1696,"ANEXO")</f>
        <v>0</v>
      </c>
      <c r="AI432" s="177">
        <f>SUMIF(GERAL!B$8:B$1696,A432,GERAL!AS$8:AS$1696)+SUMIF(GERAL!B$8:B$1696,A432,GERAL!AT$8:AT$1696)</f>
        <v>0</v>
      </c>
      <c r="AJ432" s="177">
        <f>SUMIF(GERAL!B$8:B$1696,A432,GERAL!AU$8:AU$1696)</f>
        <v>6</v>
      </c>
      <c r="AK432" s="177">
        <f>SUMIF(GERAL!B$8:B$1696,A432,GERAL!AV$8:AV$1696)</f>
        <v>0</v>
      </c>
      <c r="AL432" s="118">
        <f t="shared" si="42"/>
        <v>6</v>
      </c>
      <c r="AM432" s="493" t="s">
        <v>860</v>
      </c>
    </row>
    <row r="433">
      <c r="A433" s="494" t="s">
        <v>1859</v>
      </c>
      <c r="B433" s="75">
        <f>COUNTIFS(GERAL!B$8:B$1696,A433,GERAL!C$8:C$1696,"ESCOLA")</f>
        <v>1</v>
      </c>
      <c r="C433" s="75">
        <f>COUNTIFS(GERAL!B$8:B$1696,A433,GERAL!C$8:C$1696,"ANEXO")</f>
        <v>4</v>
      </c>
      <c r="D433" s="85">
        <f>SUMIF(GERAL!B$8:B$1696,A433,GERAL!Z$8:Z$1696)</f>
        <v>0</v>
      </c>
      <c r="E433" s="85">
        <f>SUMIF(GERAL!B$8:B$1696,A433,GERAL!AE$8:AE$1696)</f>
        <v>0</v>
      </c>
      <c r="F433" s="85">
        <f>SUMIF(GERAL!B$8:B$1696,A433,GERAL!AJ$8:AJ$1696)</f>
        <v>278</v>
      </c>
      <c r="G433" s="85">
        <f>SUMIF(GERAL!B$8:B$1696,A433,GERAL!AN$8:AN$1696)</f>
        <v>0</v>
      </c>
      <c r="H433" s="85">
        <f>SUMIF(GERAL!B$8:B$1696,A433,GERAL!AR$8:AW$1696)</f>
        <v>135</v>
      </c>
      <c r="I433" s="85">
        <f>SUMIF(GERAL!B$8:B$1696,A433,GERAL!AW$8:AW$1696)</f>
        <v>109</v>
      </c>
      <c r="J433" s="75">
        <f>SUMIF(GERAL!B$8:B$1696,A433,GERAL!AX$8:AX$1696)</f>
        <v>522</v>
      </c>
      <c r="K433" s="75">
        <f>COUNTIFS(GERAL!B$8:B$1696,A433,GERAL!AY$8:AY$1696,"&gt;0",GERAL!C$8:C$1696,"ESCOLA")</f>
        <v>1</v>
      </c>
      <c r="L433" s="75">
        <f>COUNTIFS(GERAL!B$8:B$1696,A433,GERAL!AY$8:AY$1696,"&gt;0",GERAL!C$8:C$1696,"ANEXO")</f>
        <v>1</v>
      </c>
      <c r="M433" s="100">
        <f>SUMIF(GERAL!B$8:B$1696,A433,GERAL!V$8:V$1696)+SUMIF(GERAL!B$8:B$1696,A433,GERAL!W$8:W$1696)</f>
        <v>0</v>
      </c>
      <c r="N433" s="100">
        <f>SUMIF(GERAL!B$8:B$1696,A433,GERAL!AA$8:AA$1696)+SUMIF(GERAL!B$8:B$1696,A433,GERAL!AB$8:AB$1696)</f>
        <v>0</v>
      </c>
      <c r="O433" s="100">
        <f>SUMIF(GERAL!B$8:B$1696,A433,GERAL!AF$8:AF$1696)+SUMIF(GERAL!B$8:B$1696,A433,GERAL!AG$8:AG$1696)</f>
        <v>73</v>
      </c>
      <c r="P433" s="100">
        <f>SUMIF(GERAL!B$8:B$1696,A433,GERAL!AK$8:AK$1696)+SUMIF(GERAL!B$8:B$1696,A433,GERAL!AL$8:AL$1696)</f>
        <v>0</v>
      </c>
      <c r="Q433" s="100">
        <f>SUMIF(GERAL!B$8:B$1696,A433,GERAL!AO$8:AO$1696)+SUMIF(GERAL!B$8:B$1696,A433,GERAL!AP$8:AP$1696)</f>
        <v>0</v>
      </c>
      <c r="R433" s="100">
        <f>SUMIF(GERAL!B$8:B$1696,A433,GERAL!AS$8:AS$1696)+SUMIF(GERAL!B$8:B$1696,A433,GERAL!AT$8:AT$1696)</f>
        <v>0</v>
      </c>
      <c r="S433" s="75">
        <f t="shared" si="39"/>
        <v>73</v>
      </c>
      <c r="T433" s="116">
        <f>COUNTIFS(GERAL!B$8:B$1696,A433,GERAL!AZ$8:AZ$1696,"&gt;0",GERAL!C$8:C$1696,"ESCOLA")</f>
        <v>1</v>
      </c>
      <c r="U433" s="75">
        <f>COUNTIFS(GERAL!B$8:B$1696,A433,GERAL!AZ$8:AZ$1696,"&gt;0",GERAL!C$8:C$1696,"ANEXO")</f>
        <v>4</v>
      </c>
      <c r="V433" s="85">
        <f>SUMIF(GERAL!B$8:B$1696,A433,GERAL!AH$8:AH$1696)</f>
        <v>65</v>
      </c>
      <c r="W433" s="85">
        <f>SUMIF(GERAL!B$8:B$1696,A433,GERAL!AM$8:AM$1696)</f>
        <v>0</v>
      </c>
      <c r="X433" s="85">
        <f>SUMIF(GERAL!B$8:B$1696,A433,GERAL!AQ$8:AQ$1696)</f>
        <v>135</v>
      </c>
      <c r="Y433" s="85">
        <f>SUMIF(GERAL!B$8:B$1696,A433,GERAL!AU$8:AU$1696)</f>
        <v>49</v>
      </c>
      <c r="Z433" s="88">
        <f t="shared" si="40"/>
        <v>249</v>
      </c>
      <c r="AA433" s="116">
        <f>COUNTIFS(GERAL!B$8:B$1696,A433,GERAL!BK$8:BK$1696,"&gt;0",GERAL!C$8:C$1696,"ESCOLA")</f>
        <v>1</v>
      </c>
      <c r="AB433" s="88">
        <f>COUNTIFS(GERAL!B$8:B$1696,A433,GERAL!BK$8:BK$1696,"&gt;0",GERAL!C$8:C$1696,"ANEXO")</f>
        <v>0</v>
      </c>
      <c r="AC433" s="121">
        <f>SUMIF(GERAL!B$8:B$1696,A433,GERAL!AD$8:AD$1696)</f>
        <v>0</v>
      </c>
      <c r="AD433" s="121">
        <f>SUMIF(GERAL!B$8:B$1696,A433,GERAL!AI$8:AI$1696)</f>
        <v>140</v>
      </c>
      <c r="AE433" s="121">
        <f>SUMIF(GERAL!B$8:B$1696,A433,GERAL!AV$8:AV$1696)</f>
        <v>60</v>
      </c>
      <c r="AF433" s="492">
        <f t="shared" si="41"/>
        <v>200</v>
      </c>
      <c r="AG433" s="178">
        <f>COUNTIFS(GERAL!B$8:B$1696,A433,GERAL!AW$8:AW$1696,"&gt;0",GERAL!C$8:C$1696,"ESCOLA")</f>
        <v>1</v>
      </c>
      <c r="AH433" s="118">
        <f>COUNTIFS(GERAL!B$8:B$1696,A433,GERAL!AW$8:AW$1696,"&gt;0",GERAL!C$8:C$1696,"ANEXO")</f>
        <v>0</v>
      </c>
      <c r="AI433" s="177">
        <f>SUMIF(GERAL!B$8:B$1696,A433,GERAL!AS$8:AS$1696)+SUMIF(GERAL!B$8:B$1696,A433,GERAL!AT$8:AT$1696)</f>
        <v>0</v>
      </c>
      <c r="AJ433" s="177">
        <f>SUMIF(GERAL!B$8:B$1696,A433,GERAL!AU$8:AU$1696)</f>
        <v>49</v>
      </c>
      <c r="AK433" s="177">
        <f>SUMIF(GERAL!B$8:B$1696,A433,GERAL!AV$8:AV$1696)</f>
        <v>60</v>
      </c>
      <c r="AL433" s="118">
        <f t="shared" si="42"/>
        <v>109</v>
      </c>
      <c r="AM433" s="493" t="s">
        <v>540</v>
      </c>
    </row>
    <row r="434">
      <c r="A434" s="484" t="s">
        <v>417</v>
      </c>
      <c r="B434" s="75">
        <f>COUNTIFS(GERAL!B$8:B$1696,A434,GERAL!C$8:C$1696,"ESCOLA")</f>
        <v>2</v>
      </c>
      <c r="C434" s="75">
        <f>COUNTIFS(GERAL!B$8:B$1696,A434,GERAL!C$8:C$1696,"ANEXO")</f>
        <v>0</v>
      </c>
      <c r="D434" s="85">
        <f>SUMIF(GERAL!B$8:B$1696,A434,GERAL!Z$8:Z$1696)</f>
        <v>0</v>
      </c>
      <c r="E434" s="85">
        <f>SUMIF(GERAL!B$8:B$1696,A434,GERAL!AE$8:AE$1696)</f>
        <v>0</v>
      </c>
      <c r="F434" s="85">
        <f>SUMIF(GERAL!B$8:B$1696,A434,GERAL!AJ$8:AJ$1696)</f>
        <v>512</v>
      </c>
      <c r="G434" s="85">
        <f>SUMIF(GERAL!B$8:B$1696,A434,GERAL!AN$8:AN$1696)</f>
        <v>0</v>
      </c>
      <c r="H434" s="85">
        <f>SUMIF(GERAL!B$8:B$1696,A434,GERAL!AR$8:AW$1696)</f>
        <v>174</v>
      </c>
      <c r="I434" s="85">
        <f>SUMIF(GERAL!B$8:B$1696,A434,GERAL!AW$8:AW$1696)</f>
        <v>1041</v>
      </c>
      <c r="J434" s="75">
        <f>SUMIF(GERAL!B$8:B$1696,A434,GERAL!AX$8:AX$1696)</f>
        <v>1727</v>
      </c>
      <c r="K434" s="75">
        <f>COUNTIFS(GERAL!B$8:B$1696,A434,GERAL!AY$8:AY$1696,"&gt;0",GERAL!C$8:C$1696,"ESCOLA")</f>
        <v>2</v>
      </c>
      <c r="L434" s="75">
        <f>COUNTIFS(GERAL!B$8:B$1696,A434,GERAL!AY$8:AY$1696,"&gt;0",GERAL!C$8:C$1696,"ANEXO")</f>
        <v>0</v>
      </c>
      <c r="M434" s="100">
        <f>SUMIF(GERAL!B$8:B$1696,A434,GERAL!V$8:V$1696)+SUMIF(GERAL!B$8:B$1696,A434,GERAL!W$8:W$1696)</f>
        <v>0</v>
      </c>
      <c r="N434" s="100">
        <f>SUMIF(GERAL!B$8:B$1696,A434,GERAL!AA$8:AA$1696)+SUMIF(GERAL!B$8:B$1696,A434,GERAL!AB$8:AB$1696)</f>
        <v>0</v>
      </c>
      <c r="O434" s="100">
        <f>SUMIF(GERAL!B$8:B$1696,A434,GERAL!AF$8:AF$1696)+SUMIF(GERAL!B$8:B$1696,A434,GERAL!AG$8:AG$1696)</f>
        <v>501</v>
      </c>
      <c r="P434" s="100">
        <f>SUMIF(GERAL!B$8:B$1696,A434,GERAL!AK$8:AK$1696)+SUMIF(GERAL!B$8:B$1696,A434,GERAL!AL$8:AL$1696)</f>
        <v>0</v>
      </c>
      <c r="Q434" s="100">
        <f>SUMIF(GERAL!B$8:B$1696,A434,GERAL!AO$8:AO$1696)+SUMIF(GERAL!B$8:B$1696,A434,GERAL!AP$8:AP$1696)</f>
        <v>0</v>
      </c>
      <c r="R434" s="100">
        <f>SUMIF(GERAL!B$8:B$1696,A434,GERAL!AS$8:AS$1696)+SUMIF(GERAL!B$8:B$1696,A434,GERAL!AT$8:AT$1696)</f>
        <v>815</v>
      </c>
      <c r="S434" s="75">
        <f t="shared" si="39"/>
        <v>1316</v>
      </c>
      <c r="T434" s="116">
        <f>COUNTIFS(GERAL!B$8:B$1696,A434,GERAL!AZ$8:AZ$1696,"&gt;0",GERAL!C$8:C$1696,"ESCOLA")</f>
        <v>2</v>
      </c>
      <c r="U434" s="75">
        <f>COUNTIFS(GERAL!B$8:B$1696,A434,GERAL!AZ$8:AZ$1696,"&gt;0",GERAL!C$8:C$1696,"ANEXO")</f>
        <v>0</v>
      </c>
      <c r="V434" s="85">
        <f>SUMIF(GERAL!B$8:B$1696,A434,GERAL!AH$8:AH$1696)</f>
        <v>0</v>
      </c>
      <c r="W434" s="85">
        <f>SUMIF(GERAL!B$8:B$1696,A434,GERAL!AM$8:AM$1696)</f>
        <v>0</v>
      </c>
      <c r="X434" s="85">
        <f>SUMIF(GERAL!B$8:B$1696,A434,GERAL!AQ$8:AQ$1696)</f>
        <v>174</v>
      </c>
      <c r="Y434" s="85">
        <f>SUMIF(GERAL!B$8:B$1696,A434,GERAL!AU$8:AU$1696)</f>
        <v>226</v>
      </c>
      <c r="Z434" s="88">
        <f t="shared" si="40"/>
        <v>400</v>
      </c>
      <c r="AA434" s="116">
        <f>COUNTIFS(GERAL!B$8:B$1696,A434,GERAL!BK$8:BK$1696,"&gt;0",GERAL!C$8:C$1696,"ESCOLA")</f>
        <v>1</v>
      </c>
      <c r="AB434" s="88">
        <f>COUNTIFS(GERAL!B$8:B$1696,A434,GERAL!BK$8:BK$1696,"&gt;0",GERAL!C$8:C$1696,"ANEXO")</f>
        <v>0</v>
      </c>
      <c r="AC434" s="121">
        <f>SUMIF(GERAL!B$8:B$1696,A434,GERAL!AD$8:AD$1696)</f>
        <v>0</v>
      </c>
      <c r="AD434" s="121">
        <f>SUMIF(GERAL!B$8:B$1696,A434,GERAL!AI$8:AI$1696)</f>
        <v>11</v>
      </c>
      <c r="AE434" s="121">
        <f>SUMIF(GERAL!B$8:B$1696,A434,GERAL!AV$8:AV$1696)</f>
        <v>0</v>
      </c>
      <c r="AF434" s="492">
        <f t="shared" si="41"/>
        <v>11</v>
      </c>
      <c r="AG434" s="178">
        <f>COUNTIFS(GERAL!B$8:B$1696,A434,GERAL!AW$8:AW$1696,"&gt;0",GERAL!C$8:C$1696,"ESCOLA")</f>
        <v>1</v>
      </c>
      <c r="AH434" s="118">
        <f>COUNTIFS(GERAL!B$8:B$1696,A434,GERAL!AW$8:AW$1696,"&gt;0",GERAL!C$8:C$1696,"ANEXO")</f>
        <v>0</v>
      </c>
      <c r="AI434" s="177">
        <f>SUMIF(GERAL!B$8:B$1696,A434,GERAL!AS$8:AS$1696)+SUMIF(GERAL!B$8:B$1696,A434,GERAL!AT$8:AT$1696)</f>
        <v>815</v>
      </c>
      <c r="AJ434" s="177">
        <f>SUMIF(GERAL!B$8:B$1696,A434,GERAL!AU$8:AU$1696)</f>
        <v>226</v>
      </c>
      <c r="AK434" s="177">
        <f>SUMIF(GERAL!B$8:B$1696,A434,GERAL!AV$8:AV$1696)</f>
        <v>0</v>
      </c>
      <c r="AL434" s="118">
        <f t="shared" si="42"/>
        <v>1041</v>
      </c>
      <c r="AM434" s="493" t="s">
        <v>130</v>
      </c>
    </row>
    <row r="435">
      <c r="A435" s="649" t="s">
        <v>171</v>
      </c>
      <c r="B435" s="650" t="s">
        <v>171</v>
      </c>
      <c r="C435" s="650" t="s">
        <v>171</v>
      </c>
      <c r="D435" s="651" t="s">
        <v>171</v>
      </c>
      <c r="E435" s="651" t="s">
        <v>171</v>
      </c>
      <c r="F435" s="651" t="s">
        <v>171</v>
      </c>
      <c r="G435" s="651" t="s">
        <v>171</v>
      </c>
      <c r="H435" s="651" t="s">
        <v>171</v>
      </c>
      <c r="I435" s="651" t="s">
        <v>171</v>
      </c>
      <c r="J435" s="650" t="s">
        <v>171</v>
      </c>
      <c r="K435" s="650" t="s">
        <v>171</v>
      </c>
      <c r="L435" s="650" t="s">
        <v>171</v>
      </c>
      <c r="M435" s="652" t="s">
        <v>171</v>
      </c>
      <c r="N435" s="652" t="s">
        <v>171</v>
      </c>
      <c r="O435" s="652" t="s">
        <v>5546</v>
      </c>
      <c r="P435" s="652" t="s">
        <v>171</v>
      </c>
      <c r="Q435" s="652" t="s">
        <v>171</v>
      </c>
      <c r="R435" s="652" t="s">
        <v>171</v>
      </c>
      <c r="S435" s="650" t="s">
        <v>171</v>
      </c>
      <c r="T435" s="653" t="s">
        <v>171</v>
      </c>
      <c r="U435" s="650" t="s">
        <v>171</v>
      </c>
      <c r="V435" s="651" t="s">
        <v>171</v>
      </c>
      <c r="W435" s="651" t="s">
        <v>171</v>
      </c>
      <c r="X435" s="651" t="s">
        <v>171</v>
      </c>
      <c r="Y435" s="651" t="s">
        <v>171</v>
      </c>
      <c r="Z435" s="654" t="s">
        <v>171</v>
      </c>
      <c r="AA435" s="653" t="s">
        <v>171</v>
      </c>
      <c r="AB435" s="654" t="s">
        <v>171</v>
      </c>
      <c r="AC435" s="655" t="s">
        <v>171</v>
      </c>
      <c r="AD435" s="655" t="s">
        <v>171</v>
      </c>
      <c r="AE435" s="655" t="s">
        <v>171</v>
      </c>
      <c r="AF435" s="656" t="s">
        <v>171</v>
      </c>
      <c r="AG435" s="653" t="s">
        <v>171</v>
      </c>
      <c r="AH435" s="657" t="s">
        <v>171</v>
      </c>
      <c r="AI435" s="642" t="s">
        <v>171</v>
      </c>
      <c r="AJ435" s="642" t="s">
        <v>171</v>
      </c>
      <c r="AK435" s="642" t="s">
        <v>171</v>
      </c>
      <c r="AL435" s="657" t="s">
        <v>171</v>
      </c>
      <c r="AM435" s="658"/>
    </row>
    <row r="436">
      <c r="A436" s="659" t="s">
        <v>13954</v>
      </c>
      <c r="B436" s="660">
        <f t="shared" ref="B436:AL436" si="43">SUM(B18:B435)</f>
        <v>1025</v>
      </c>
      <c r="C436" s="660">
        <f t="shared" si="43"/>
        <v>631</v>
      </c>
      <c r="D436" s="660">
        <f t="shared" si="43"/>
        <v>903</v>
      </c>
      <c r="E436" s="660">
        <f t="shared" si="43"/>
        <v>81328</v>
      </c>
      <c r="F436" s="660">
        <f t="shared" si="43"/>
        <v>310080</v>
      </c>
      <c r="G436" s="660">
        <f t="shared" si="43"/>
        <v>6730</v>
      </c>
      <c r="H436" s="660">
        <f t="shared" si="43"/>
        <v>84575</v>
      </c>
      <c r="I436" s="660">
        <f t="shared" si="43"/>
        <v>144345</v>
      </c>
      <c r="J436" s="660">
        <f t="shared" si="43"/>
        <v>627961</v>
      </c>
      <c r="K436" s="660">
        <f t="shared" si="43"/>
        <v>977</v>
      </c>
      <c r="L436" s="660">
        <f t="shared" si="43"/>
        <v>346</v>
      </c>
      <c r="M436" s="660">
        <f t="shared" si="43"/>
        <v>903</v>
      </c>
      <c r="N436" s="660">
        <f t="shared" si="43"/>
        <v>66584</v>
      </c>
      <c r="O436" s="660">
        <f t="shared" si="43"/>
        <v>175551</v>
      </c>
      <c r="P436" s="660">
        <f t="shared" si="43"/>
        <v>2438</v>
      </c>
      <c r="Q436" s="660">
        <f t="shared" si="43"/>
        <v>1410</v>
      </c>
      <c r="R436" s="660">
        <f t="shared" si="43"/>
        <v>78457</v>
      </c>
      <c r="S436" s="660">
        <f t="shared" si="43"/>
        <v>325343</v>
      </c>
      <c r="T436" s="660">
        <f t="shared" si="43"/>
        <v>850</v>
      </c>
      <c r="U436" s="660">
        <f t="shared" si="43"/>
        <v>449</v>
      </c>
      <c r="V436" s="660">
        <f t="shared" si="43"/>
        <v>8346</v>
      </c>
      <c r="W436" s="660">
        <f t="shared" si="43"/>
        <v>4292</v>
      </c>
      <c r="X436" s="660">
        <f t="shared" si="43"/>
        <v>83165</v>
      </c>
      <c r="Y436" s="660">
        <f t="shared" si="43"/>
        <v>39420</v>
      </c>
      <c r="Z436" s="660">
        <f t="shared" si="43"/>
        <v>135223</v>
      </c>
      <c r="AA436" s="660">
        <f t="shared" si="43"/>
        <v>681</v>
      </c>
      <c r="AB436" s="660">
        <f t="shared" si="43"/>
        <v>12</v>
      </c>
      <c r="AC436" s="660">
        <f t="shared" si="43"/>
        <v>14744</v>
      </c>
      <c r="AD436" s="660">
        <f t="shared" si="43"/>
        <v>126183</v>
      </c>
      <c r="AE436" s="660">
        <f t="shared" si="43"/>
        <v>26468</v>
      </c>
      <c r="AF436" s="660">
        <f t="shared" si="43"/>
        <v>167395</v>
      </c>
      <c r="AG436" s="660">
        <f t="shared" si="43"/>
        <v>610</v>
      </c>
      <c r="AH436" s="660">
        <f t="shared" si="43"/>
        <v>15</v>
      </c>
      <c r="AI436" s="660">
        <f t="shared" si="43"/>
        <v>78457</v>
      </c>
      <c r="AJ436" s="660">
        <f t="shared" si="43"/>
        <v>39420</v>
      </c>
      <c r="AK436" s="660">
        <f t="shared" si="43"/>
        <v>26468</v>
      </c>
      <c r="AL436" s="660">
        <f t="shared" si="43"/>
        <v>144345</v>
      </c>
    </row>
    <row r="437">
      <c r="A437" s="661"/>
      <c r="B437" s="661"/>
      <c r="C437" s="661"/>
      <c r="D437" s="661"/>
      <c r="E437" s="661"/>
      <c r="F437" s="661"/>
      <c r="G437" s="661"/>
      <c r="H437" s="661"/>
      <c r="I437" s="661"/>
      <c r="J437" s="661"/>
      <c r="K437" s="661"/>
      <c r="L437" s="661"/>
      <c r="M437" s="661"/>
      <c r="N437" s="661"/>
      <c r="O437" s="661"/>
      <c r="P437" s="661"/>
      <c r="Q437" s="661"/>
      <c r="R437" s="661"/>
      <c r="S437" s="661"/>
      <c r="T437" s="661"/>
      <c r="U437" s="661"/>
      <c r="V437" s="661"/>
      <c r="W437" s="661"/>
      <c r="X437" s="661"/>
      <c r="Y437" s="661"/>
      <c r="Z437" s="661"/>
      <c r="AA437" s="661"/>
      <c r="AB437" s="661"/>
      <c r="AC437" s="661"/>
      <c r="AD437" s="661"/>
      <c r="AE437" s="661"/>
      <c r="AF437" s="661"/>
      <c r="AG437" s="661"/>
      <c r="AH437" s="661"/>
      <c r="AI437" s="661"/>
      <c r="AJ437" s="661"/>
      <c r="AK437" s="661"/>
      <c r="AL437" s="661"/>
    </row>
  </sheetData>
  <customSheetViews>
    <customSheetView guid="{155F24BD-BF2D-46E6-AADD-C5714EA5DFA0}" filter="1" showAutoFilter="1">
      <autoFilter ref="$A$17:$AW$436">
        <filterColumn colId="38">
          <filters>
            <filter val="NTE 19 - PORTAL DO SERTÃO"/>
          </filters>
        </filterColumn>
      </autoFilter>
    </customSheetView>
  </customSheetViews>
  <mergeCells count="15">
    <mergeCell ref="A1:A3"/>
    <mergeCell ref="A15:A17"/>
    <mergeCell ref="B15:AF15"/>
    <mergeCell ref="B16:J16"/>
    <mergeCell ref="K16:S16"/>
    <mergeCell ref="T16:Z16"/>
    <mergeCell ref="AA16:AF16"/>
    <mergeCell ref="AG16:AL16"/>
    <mergeCell ref="B1:J1"/>
    <mergeCell ref="K1:AL1"/>
    <mergeCell ref="B2:J2"/>
    <mergeCell ref="K2:S2"/>
    <mergeCell ref="T2:Z2"/>
    <mergeCell ref="AA2:AF2"/>
    <mergeCell ref="AG2:AL2"/>
  </mergeCells>
  <conditionalFormatting sqref="A4:A14">
    <cfRule type="notContainsBlanks" dxfId="11" priority="1">
      <formula>LEN(TRIM(A4))&gt;0</formula>
    </cfRule>
  </conditionalFormatting>
  <conditionalFormatting sqref="A1">
    <cfRule type="notContainsBlanks" dxfId="11" priority="2">
      <formula>LEN(TRIM(A1))&gt;0</formula>
    </cfRule>
  </conditionalFormatting>
  <dataValidations>
    <dataValidation type="list" allowBlank="1" showErrorMessage="1" sqref="A4:A13">
      <formula1>$A$18:$A$436</formula1>
    </dataValidation>
  </dataValidations>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M2" s="537" t="s">
        <v>2119</v>
      </c>
      <c r="N2" s="538">
        <f t="shared" ref="N2:N23" si="1">COUNTIF(A3:A204,M2)</f>
        <v>26</v>
      </c>
    </row>
    <row r="3">
      <c r="A3" s="539" t="s">
        <v>2119</v>
      </c>
      <c r="M3" s="537" t="s">
        <v>2068</v>
      </c>
      <c r="N3" s="538">
        <f t="shared" si="1"/>
        <v>6</v>
      </c>
    </row>
    <row r="4">
      <c r="A4" s="539" t="s">
        <v>2119</v>
      </c>
      <c r="M4" s="537" t="s">
        <v>2071</v>
      </c>
      <c r="N4" s="538">
        <f t="shared" si="1"/>
        <v>15</v>
      </c>
    </row>
    <row r="5">
      <c r="A5" s="540" t="s">
        <v>2119</v>
      </c>
      <c r="M5" s="537" t="s">
        <v>2143</v>
      </c>
      <c r="N5" s="538">
        <f t="shared" si="1"/>
        <v>8</v>
      </c>
    </row>
    <row r="6">
      <c r="A6" s="539" t="s">
        <v>2119</v>
      </c>
      <c r="M6" s="537" t="s">
        <v>10028</v>
      </c>
      <c r="N6" s="538">
        <f t="shared" si="1"/>
        <v>3</v>
      </c>
    </row>
    <row r="7">
      <c r="A7" s="539" t="s">
        <v>2119</v>
      </c>
      <c r="M7" s="537" t="s">
        <v>10029</v>
      </c>
      <c r="N7" s="538">
        <f t="shared" si="1"/>
        <v>6</v>
      </c>
    </row>
    <row r="8">
      <c r="A8" s="539" t="s">
        <v>2119</v>
      </c>
      <c r="M8" s="537" t="s">
        <v>10030</v>
      </c>
      <c r="N8" s="538">
        <f t="shared" si="1"/>
        <v>1</v>
      </c>
    </row>
    <row r="9">
      <c r="A9" s="539" t="s">
        <v>2119</v>
      </c>
      <c r="M9" s="537" t="s">
        <v>2080</v>
      </c>
      <c r="N9" s="538">
        <f t="shared" si="1"/>
        <v>4</v>
      </c>
    </row>
    <row r="10">
      <c r="A10" s="539" t="s">
        <v>2119</v>
      </c>
      <c r="M10" s="537" t="s">
        <v>2009</v>
      </c>
      <c r="N10" s="538">
        <f t="shared" si="1"/>
        <v>1</v>
      </c>
    </row>
    <row r="11">
      <c r="A11" s="539" t="s">
        <v>2119</v>
      </c>
      <c r="M11" s="537" t="s">
        <v>2029</v>
      </c>
      <c r="N11" s="538">
        <f t="shared" si="1"/>
        <v>45</v>
      </c>
    </row>
    <row r="12">
      <c r="A12" s="539" t="s">
        <v>2119</v>
      </c>
      <c r="M12" s="537" t="s">
        <v>10035</v>
      </c>
      <c r="N12" s="538">
        <f t="shared" si="1"/>
        <v>1</v>
      </c>
    </row>
    <row r="13">
      <c r="A13" s="539" t="s">
        <v>2119</v>
      </c>
      <c r="M13" s="537" t="s">
        <v>10036</v>
      </c>
      <c r="N13" s="538">
        <f t="shared" si="1"/>
        <v>9</v>
      </c>
    </row>
    <row r="14">
      <c r="A14" s="539" t="s">
        <v>2119</v>
      </c>
      <c r="M14" s="537" t="s">
        <v>10037</v>
      </c>
      <c r="N14" s="538">
        <f t="shared" si="1"/>
        <v>15</v>
      </c>
    </row>
    <row r="15">
      <c r="A15" s="539" t="s">
        <v>2119</v>
      </c>
      <c r="M15" s="537" t="s">
        <v>10038</v>
      </c>
      <c r="N15" s="538">
        <f t="shared" si="1"/>
        <v>16</v>
      </c>
    </row>
    <row r="16">
      <c r="A16" s="540" t="s">
        <v>2119</v>
      </c>
      <c r="M16" s="537" t="s">
        <v>10039</v>
      </c>
      <c r="N16" s="538">
        <f t="shared" si="1"/>
        <v>5</v>
      </c>
    </row>
    <row r="17">
      <c r="A17" s="540" t="s">
        <v>2119</v>
      </c>
      <c r="M17" s="537" t="s">
        <v>10040</v>
      </c>
      <c r="N17" s="538">
        <f t="shared" si="1"/>
        <v>4</v>
      </c>
    </row>
    <row r="18">
      <c r="A18" s="539" t="s">
        <v>2119</v>
      </c>
      <c r="M18" s="537" t="s">
        <v>10041</v>
      </c>
      <c r="N18" s="538">
        <f t="shared" si="1"/>
        <v>2</v>
      </c>
    </row>
    <row r="19">
      <c r="A19" s="539" t="s">
        <v>2119</v>
      </c>
      <c r="M19" s="537" t="s">
        <v>2062</v>
      </c>
      <c r="N19" s="538">
        <f t="shared" si="1"/>
        <v>21</v>
      </c>
    </row>
    <row r="20">
      <c r="A20" s="539" t="s">
        <v>2119</v>
      </c>
      <c r="M20" s="537" t="s">
        <v>10042</v>
      </c>
      <c r="N20" s="538">
        <f t="shared" si="1"/>
        <v>1</v>
      </c>
    </row>
    <row r="21">
      <c r="A21" s="539" t="s">
        <v>2119</v>
      </c>
      <c r="M21" s="537" t="s">
        <v>10045</v>
      </c>
      <c r="N21" s="538">
        <f t="shared" si="1"/>
        <v>7</v>
      </c>
    </row>
    <row r="22">
      <c r="A22" s="539" t="s">
        <v>2119</v>
      </c>
      <c r="M22" s="537" t="s">
        <v>2056</v>
      </c>
      <c r="N22" s="538">
        <f t="shared" si="1"/>
        <v>5</v>
      </c>
    </row>
    <row r="23">
      <c r="A23" s="539" t="s">
        <v>2119</v>
      </c>
      <c r="M23" s="537" t="s">
        <v>1993</v>
      </c>
      <c r="N23" s="538">
        <f t="shared" si="1"/>
        <v>1</v>
      </c>
    </row>
    <row r="24">
      <c r="A24" s="539" t="s">
        <v>2119</v>
      </c>
    </row>
    <row r="25">
      <c r="A25" s="539" t="s">
        <v>2119</v>
      </c>
    </row>
    <row r="26">
      <c r="A26" s="540" t="s">
        <v>2119</v>
      </c>
    </row>
    <row r="27">
      <c r="A27" s="539" t="s">
        <v>2119</v>
      </c>
    </row>
    <row r="28">
      <c r="A28" s="539" t="s">
        <v>2119</v>
      </c>
    </row>
    <row r="29">
      <c r="A29" s="540" t="s">
        <v>2068</v>
      </c>
    </row>
    <row r="30">
      <c r="A30" s="539" t="s">
        <v>2068</v>
      </c>
    </row>
    <row r="31">
      <c r="A31" s="540" t="s">
        <v>2068</v>
      </c>
    </row>
    <row r="32">
      <c r="A32" s="540" t="s">
        <v>2068</v>
      </c>
    </row>
    <row r="33">
      <c r="A33" s="540" t="s">
        <v>2068</v>
      </c>
    </row>
    <row r="34">
      <c r="A34" s="540" t="s">
        <v>2068</v>
      </c>
    </row>
    <row r="35">
      <c r="A35" s="539" t="s">
        <v>2071</v>
      </c>
    </row>
    <row r="36">
      <c r="A36" s="539" t="s">
        <v>2071</v>
      </c>
    </row>
    <row r="37">
      <c r="A37" s="539" t="s">
        <v>2071</v>
      </c>
    </row>
    <row r="38">
      <c r="A38" s="539" t="s">
        <v>2071</v>
      </c>
    </row>
    <row r="39">
      <c r="A39" s="539" t="s">
        <v>2071</v>
      </c>
    </row>
    <row r="40">
      <c r="A40" s="539" t="s">
        <v>2071</v>
      </c>
    </row>
    <row r="41">
      <c r="A41" s="539" t="s">
        <v>2071</v>
      </c>
    </row>
    <row r="42">
      <c r="A42" s="539" t="s">
        <v>2071</v>
      </c>
    </row>
    <row r="43">
      <c r="A43" s="539" t="s">
        <v>2071</v>
      </c>
    </row>
    <row r="44">
      <c r="A44" s="540" t="s">
        <v>2071</v>
      </c>
    </row>
    <row r="45">
      <c r="A45" s="539" t="s">
        <v>2071</v>
      </c>
    </row>
    <row r="46">
      <c r="A46" s="539" t="s">
        <v>2071</v>
      </c>
    </row>
    <row r="47">
      <c r="A47" s="539" t="s">
        <v>2071</v>
      </c>
    </row>
    <row r="48">
      <c r="A48" s="539" t="s">
        <v>2071</v>
      </c>
    </row>
    <row r="49">
      <c r="A49" s="539" t="s">
        <v>2071</v>
      </c>
    </row>
    <row r="50">
      <c r="A50" s="541" t="s">
        <v>2143</v>
      </c>
    </row>
    <row r="51">
      <c r="A51" s="541" t="s">
        <v>2143</v>
      </c>
    </row>
    <row r="52">
      <c r="A52" s="540" t="s">
        <v>2143</v>
      </c>
    </row>
    <row r="53">
      <c r="A53" s="541" t="s">
        <v>2143</v>
      </c>
    </row>
    <row r="54">
      <c r="A54" s="540" t="s">
        <v>2143</v>
      </c>
    </row>
    <row r="55">
      <c r="A55" s="540" t="s">
        <v>2143</v>
      </c>
    </row>
    <row r="56">
      <c r="A56" s="540" t="s">
        <v>2143</v>
      </c>
    </row>
    <row r="57">
      <c r="A57" s="540" t="s">
        <v>2143</v>
      </c>
    </row>
    <row r="58">
      <c r="A58" s="539" t="s">
        <v>10028</v>
      </c>
    </row>
    <row r="59">
      <c r="A59" s="539" t="s">
        <v>10028</v>
      </c>
    </row>
    <row r="60">
      <c r="A60" s="539" t="s">
        <v>10028</v>
      </c>
    </row>
    <row r="61">
      <c r="A61" s="540" t="s">
        <v>10029</v>
      </c>
    </row>
    <row r="62">
      <c r="A62" s="539" t="s">
        <v>10029</v>
      </c>
    </row>
    <row r="63">
      <c r="A63" s="539" t="s">
        <v>10029</v>
      </c>
    </row>
    <row r="64">
      <c r="A64" s="539" t="s">
        <v>10029</v>
      </c>
    </row>
    <row r="65">
      <c r="A65" s="539" t="s">
        <v>10029</v>
      </c>
    </row>
    <row r="66">
      <c r="A66" s="541" t="s">
        <v>10029</v>
      </c>
    </row>
    <row r="67">
      <c r="A67" s="539" t="s">
        <v>10030</v>
      </c>
    </row>
    <row r="68">
      <c r="A68" s="539" t="s">
        <v>2080</v>
      </c>
    </row>
    <row r="69">
      <c r="A69" s="539" t="s">
        <v>2080</v>
      </c>
    </row>
    <row r="70">
      <c r="A70" s="539" t="s">
        <v>2080</v>
      </c>
    </row>
    <row r="71">
      <c r="A71" s="541" t="s">
        <v>2080</v>
      </c>
    </row>
    <row r="72">
      <c r="A72" s="541" t="s">
        <v>2009</v>
      </c>
    </row>
    <row r="73">
      <c r="A73" s="541" t="s">
        <v>2029</v>
      </c>
    </row>
    <row r="74">
      <c r="A74" s="540" t="s">
        <v>2029</v>
      </c>
    </row>
    <row r="75">
      <c r="A75" s="539" t="s">
        <v>2029</v>
      </c>
    </row>
    <row r="76">
      <c r="A76" s="540" t="s">
        <v>2029</v>
      </c>
    </row>
    <row r="77">
      <c r="A77" s="539" t="s">
        <v>2029</v>
      </c>
    </row>
    <row r="78">
      <c r="A78" s="539" t="s">
        <v>2029</v>
      </c>
    </row>
    <row r="79">
      <c r="A79" s="539" t="s">
        <v>2029</v>
      </c>
    </row>
    <row r="80">
      <c r="A80" s="539" t="s">
        <v>2029</v>
      </c>
    </row>
    <row r="81">
      <c r="A81" s="539" t="s">
        <v>2029</v>
      </c>
    </row>
    <row r="82">
      <c r="A82" s="539" t="s">
        <v>2029</v>
      </c>
    </row>
    <row r="83">
      <c r="A83" s="539" t="s">
        <v>2029</v>
      </c>
    </row>
    <row r="84">
      <c r="A84" s="539" t="s">
        <v>2029</v>
      </c>
    </row>
    <row r="85">
      <c r="A85" s="539" t="s">
        <v>2029</v>
      </c>
    </row>
    <row r="86">
      <c r="A86" s="539" t="s">
        <v>2029</v>
      </c>
    </row>
    <row r="87">
      <c r="A87" s="539" t="s">
        <v>2029</v>
      </c>
    </row>
    <row r="88">
      <c r="A88" s="539" t="s">
        <v>2029</v>
      </c>
    </row>
    <row r="89">
      <c r="A89" s="539" t="s">
        <v>2029</v>
      </c>
    </row>
    <row r="90">
      <c r="A90" s="539" t="s">
        <v>2029</v>
      </c>
    </row>
    <row r="91">
      <c r="A91" s="539" t="s">
        <v>2029</v>
      </c>
    </row>
    <row r="92">
      <c r="A92" s="539" t="s">
        <v>2029</v>
      </c>
    </row>
    <row r="93">
      <c r="A93" s="539" t="s">
        <v>2029</v>
      </c>
    </row>
    <row r="94">
      <c r="A94" s="540" t="s">
        <v>2029</v>
      </c>
    </row>
    <row r="95">
      <c r="A95" s="539" t="s">
        <v>2029</v>
      </c>
    </row>
    <row r="96">
      <c r="A96" s="539" t="s">
        <v>2029</v>
      </c>
    </row>
    <row r="97">
      <c r="A97" s="539" t="s">
        <v>2029</v>
      </c>
    </row>
    <row r="98">
      <c r="A98" s="540" t="s">
        <v>2029</v>
      </c>
    </row>
    <row r="99">
      <c r="A99" s="539" t="s">
        <v>2029</v>
      </c>
    </row>
    <row r="100">
      <c r="A100" s="540" t="s">
        <v>2029</v>
      </c>
    </row>
    <row r="101">
      <c r="A101" s="539" t="s">
        <v>2029</v>
      </c>
    </row>
    <row r="102">
      <c r="A102" s="539" t="s">
        <v>2029</v>
      </c>
    </row>
    <row r="103">
      <c r="A103" s="540" t="s">
        <v>2029</v>
      </c>
    </row>
    <row r="104">
      <c r="A104" s="539" t="s">
        <v>2029</v>
      </c>
    </row>
    <row r="105">
      <c r="A105" s="540" t="s">
        <v>2029</v>
      </c>
    </row>
    <row r="106">
      <c r="A106" s="539" t="s">
        <v>2029</v>
      </c>
    </row>
    <row r="107">
      <c r="A107" s="539" t="s">
        <v>2029</v>
      </c>
    </row>
    <row r="108">
      <c r="A108" s="539" t="s">
        <v>2029</v>
      </c>
    </row>
    <row r="109">
      <c r="A109" s="539" t="s">
        <v>2029</v>
      </c>
    </row>
    <row r="110">
      <c r="A110" s="540" t="s">
        <v>2029</v>
      </c>
    </row>
    <row r="111">
      <c r="A111" s="540" t="s">
        <v>2029</v>
      </c>
    </row>
    <row r="112">
      <c r="A112" s="540" t="s">
        <v>2029</v>
      </c>
    </row>
    <row r="113">
      <c r="A113" s="539" t="s">
        <v>2029</v>
      </c>
    </row>
    <row r="114">
      <c r="A114" s="539" t="s">
        <v>2029</v>
      </c>
    </row>
    <row r="115">
      <c r="A115" s="539" t="s">
        <v>2029</v>
      </c>
    </row>
    <row r="116">
      <c r="A116" s="540" t="s">
        <v>2029</v>
      </c>
    </row>
    <row r="117">
      <c r="A117" s="539" t="s">
        <v>2029</v>
      </c>
    </row>
    <row r="118">
      <c r="A118" s="540" t="s">
        <v>10035</v>
      </c>
    </row>
    <row r="119">
      <c r="A119" s="539" t="s">
        <v>10036</v>
      </c>
    </row>
    <row r="120">
      <c r="A120" s="541" t="s">
        <v>10036</v>
      </c>
    </row>
    <row r="121">
      <c r="A121" s="539" t="s">
        <v>10036</v>
      </c>
    </row>
    <row r="122">
      <c r="A122" s="541" t="s">
        <v>10036</v>
      </c>
    </row>
    <row r="123">
      <c r="A123" s="539" t="s">
        <v>10036</v>
      </c>
    </row>
    <row r="124">
      <c r="A124" s="539" t="s">
        <v>10036</v>
      </c>
    </row>
    <row r="125">
      <c r="A125" s="539" t="s">
        <v>10036</v>
      </c>
    </row>
    <row r="126">
      <c r="A126" s="541" t="s">
        <v>10036</v>
      </c>
    </row>
    <row r="127">
      <c r="A127" s="539" t="s">
        <v>10036</v>
      </c>
    </row>
    <row r="128">
      <c r="A128" s="539" t="s">
        <v>10037</v>
      </c>
    </row>
    <row r="129">
      <c r="A129" s="541" t="s">
        <v>10037</v>
      </c>
    </row>
    <row r="130">
      <c r="A130" s="539" t="s">
        <v>10037</v>
      </c>
    </row>
    <row r="131">
      <c r="A131" s="540" t="s">
        <v>10037</v>
      </c>
    </row>
    <row r="132">
      <c r="A132" s="540" t="s">
        <v>10037</v>
      </c>
    </row>
    <row r="133">
      <c r="A133" s="540" t="s">
        <v>10037</v>
      </c>
    </row>
    <row r="134">
      <c r="A134" s="539" t="s">
        <v>10037</v>
      </c>
    </row>
    <row r="135">
      <c r="A135" s="539" t="s">
        <v>10037</v>
      </c>
    </row>
    <row r="136">
      <c r="A136" s="539" t="s">
        <v>10037</v>
      </c>
    </row>
    <row r="137">
      <c r="A137" s="539" t="s">
        <v>10037</v>
      </c>
    </row>
    <row r="138">
      <c r="A138" s="539" t="s">
        <v>10037</v>
      </c>
    </row>
    <row r="139">
      <c r="A139" s="539" t="s">
        <v>10037</v>
      </c>
    </row>
    <row r="140">
      <c r="A140" s="539" t="s">
        <v>10037</v>
      </c>
    </row>
    <row r="141">
      <c r="A141" s="539" t="s">
        <v>10037</v>
      </c>
    </row>
    <row r="142">
      <c r="A142" s="540" t="s">
        <v>10037</v>
      </c>
    </row>
    <row r="143">
      <c r="A143" s="539" t="s">
        <v>10038</v>
      </c>
    </row>
    <row r="144">
      <c r="A144" s="539" t="s">
        <v>10038</v>
      </c>
    </row>
    <row r="145">
      <c r="A145" s="539" t="s">
        <v>10038</v>
      </c>
    </row>
    <row r="146">
      <c r="A146" s="540" t="s">
        <v>10038</v>
      </c>
    </row>
    <row r="147">
      <c r="A147" s="539" t="s">
        <v>10038</v>
      </c>
    </row>
    <row r="148">
      <c r="A148" s="539" t="s">
        <v>10038</v>
      </c>
    </row>
    <row r="149">
      <c r="A149" s="539" t="s">
        <v>10038</v>
      </c>
    </row>
    <row r="150">
      <c r="A150" s="540" t="s">
        <v>10038</v>
      </c>
    </row>
    <row r="151">
      <c r="A151" s="540" t="s">
        <v>10038</v>
      </c>
    </row>
    <row r="152">
      <c r="A152" s="539" t="s">
        <v>10038</v>
      </c>
    </row>
    <row r="153">
      <c r="A153" s="539" t="s">
        <v>10038</v>
      </c>
    </row>
    <row r="154">
      <c r="A154" s="539" t="s">
        <v>10038</v>
      </c>
    </row>
    <row r="155">
      <c r="A155" s="539" t="s">
        <v>10038</v>
      </c>
    </row>
    <row r="156">
      <c r="A156" s="540" t="s">
        <v>10038</v>
      </c>
    </row>
    <row r="157">
      <c r="A157" s="539" t="s">
        <v>10038</v>
      </c>
    </row>
    <row r="158">
      <c r="A158" s="539" t="s">
        <v>10038</v>
      </c>
    </row>
    <row r="159">
      <c r="A159" s="539" t="s">
        <v>10039</v>
      </c>
    </row>
    <row r="160">
      <c r="A160" s="539" t="s">
        <v>10039</v>
      </c>
    </row>
    <row r="161">
      <c r="A161" s="541" t="s">
        <v>10039</v>
      </c>
    </row>
    <row r="162">
      <c r="A162" s="541" t="s">
        <v>10039</v>
      </c>
    </row>
    <row r="163">
      <c r="A163" s="541" t="s">
        <v>10039</v>
      </c>
    </row>
    <row r="164">
      <c r="A164" s="539" t="s">
        <v>10040</v>
      </c>
    </row>
    <row r="165">
      <c r="A165" s="541" t="s">
        <v>10040</v>
      </c>
    </row>
    <row r="166">
      <c r="A166" s="539" t="s">
        <v>10040</v>
      </c>
    </row>
    <row r="167">
      <c r="A167" s="539" t="s">
        <v>10040</v>
      </c>
    </row>
    <row r="168">
      <c r="A168" s="539" t="s">
        <v>10041</v>
      </c>
    </row>
    <row r="169">
      <c r="A169" s="539" t="s">
        <v>10041</v>
      </c>
    </row>
    <row r="170">
      <c r="A170" s="539" t="s">
        <v>2062</v>
      </c>
    </row>
    <row r="171">
      <c r="A171" s="539" t="s">
        <v>2062</v>
      </c>
    </row>
    <row r="172">
      <c r="A172" s="539" t="s">
        <v>2062</v>
      </c>
    </row>
    <row r="173">
      <c r="A173" s="539" t="s">
        <v>2062</v>
      </c>
    </row>
    <row r="174">
      <c r="A174" s="539" t="s">
        <v>2062</v>
      </c>
    </row>
    <row r="175">
      <c r="A175" s="539" t="s">
        <v>2062</v>
      </c>
    </row>
    <row r="176">
      <c r="A176" s="539" t="s">
        <v>2062</v>
      </c>
    </row>
    <row r="177">
      <c r="A177" s="539" t="s">
        <v>2062</v>
      </c>
    </row>
    <row r="178">
      <c r="A178" s="541" t="s">
        <v>2062</v>
      </c>
    </row>
    <row r="179">
      <c r="A179" s="539" t="s">
        <v>2062</v>
      </c>
    </row>
    <row r="180">
      <c r="A180" s="539" t="s">
        <v>2062</v>
      </c>
    </row>
    <row r="181">
      <c r="A181" s="539" t="s">
        <v>2062</v>
      </c>
    </row>
    <row r="182">
      <c r="A182" s="539" t="s">
        <v>2062</v>
      </c>
    </row>
    <row r="183">
      <c r="A183" s="539" t="s">
        <v>2062</v>
      </c>
    </row>
    <row r="184">
      <c r="A184" s="539" t="s">
        <v>2062</v>
      </c>
    </row>
    <row r="185">
      <c r="A185" s="539" t="s">
        <v>2062</v>
      </c>
    </row>
    <row r="186">
      <c r="A186" s="539" t="s">
        <v>2062</v>
      </c>
    </row>
    <row r="187">
      <c r="A187" s="539" t="s">
        <v>2062</v>
      </c>
    </row>
    <row r="188">
      <c r="A188" s="539" t="s">
        <v>2062</v>
      </c>
    </row>
    <row r="189">
      <c r="A189" s="539" t="s">
        <v>2062</v>
      </c>
    </row>
    <row r="190">
      <c r="A190" s="539" t="s">
        <v>2062</v>
      </c>
    </row>
    <row r="191">
      <c r="A191" s="539" t="s">
        <v>10042</v>
      </c>
    </row>
    <row r="192">
      <c r="A192" s="539" t="s">
        <v>10045</v>
      </c>
    </row>
    <row r="193">
      <c r="A193" s="539" t="s">
        <v>10045</v>
      </c>
    </row>
    <row r="194">
      <c r="A194" s="541" t="s">
        <v>10045</v>
      </c>
    </row>
    <row r="195">
      <c r="A195" s="539" t="s">
        <v>10045</v>
      </c>
    </row>
    <row r="196">
      <c r="A196" s="539" t="s">
        <v>10045</v>
      </c>
    </row>
    <row r="197">
      <c r="A197" s="539" t="s">
        <v>10045</v>
      </c>
    </row>
    <row r="198">
      <c r="A198" s="539" t="s">
        <v>10045</v>
      </c>
    </row>
    <row r="199">
      <c r="A199" s="539" t="s">
        <v>2056</v>
      </c>
    </row>
    <row r="200">
      <c r="A200" s="539" t="s">
        <v>2056</v>
      </c>
    </row>
    <row r="201">
      <c r="A201" s="539" t="s">
        <v>2056</v>
      </c>
    </row>
    <row r="202">
      <c r="A202" s="539" t="s">
        <v>2056</v>
      </c>
    </row>
    <row r="203">
      <c r="A203" s="539" t="s">
        <v>2056</v>
      </c>
    </row>
    <row r="204">
      <c r="A204" s="542" t="s">
        <v>1993</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5.0"/>
  </cols>
  <sheetData>
    <row r="1">
      <c r="A1" s="544">
        <v>1178573.0</v>
      </c>
      <c r="B1" s="545" t="s">
        <v>10131</v>
      </c>
    </row>
    <row r="2">
      <c r="A2" s="544">
        <v>1178594.0</v>
      </c>
      <c r="B2" s="545" t="s">
        <v>10137</v>
      </c>
    </row>
    <row r="3">
      <c r="A3" s="546">
        <v>1178599.0</v>
      </c>
      <c r="B3" s="545" t="s">
        <v>10131</v>
      </c>
    </row>
    <row r="4">
      <c r="A4" s="546">
        <v>1178630.0</v>
      </c>
      <c r="B4" s="545" t="s">
        <v>563</v>
      </c>
    </row>
    <row r="5">
      <c r="A5" s="546">
        <v>1178675.0</v>
      </c>
      <c r="B5" s="545" t="s">
        <v>10131</v>
      </c>
    </row>
    <row r="6">
      <c r="A6" s="546">
        <v>1179068.0</v>
      </c>
      <c r="B6" s="545" t="s">
        <v>10138</v>
      </c>
    </row>
    <row r="7">
      <c r="A7" s="546">
        <v>1179290.0</v>
      </c>
      <c r="B7" s="545" t="s">
        <v>10139</v>
      </c>
    </row>
    <row r="8">
      <c r="A8" s="546">
        <v>1179297.0</v>
      </c>
      <c r="B8" s="545" t="s">
        <v>10138</v>
      </c>
    </row>
    <row r="9">
      <c r="A9" s="546">
        <v>1179393.0</v>
      </c>
      <c r="B9" s="545" t="s">
        <v>10131</v>
      </c>
    </row>
    <row r="10">
      <c r="A10" s="546">
        <v>1179538.0</v>
      </c>
      <c r="B10" s="545" t="s">
        <v>10131</v>
      </c>
    </row>
    <row r="11">
      <c r="A11" s="546">
        <v>1179617.0</v>
      </c>
      <c r="B11" s="545" t="s">
        <v>10131</v>
      </c>
    </row>
    <row r="12" ht="37.5" customHeight="1">
      <c r="A12" s="547">
        <v>1179637.0</v>
      </c>
      <c r="B12" s="548" t="s">
        <v>10147</v>
      </c>
      <c r="C12" s="549"/>
      <c r="D12" s="549"/>
      <c r="E12" s="549"/>
      <c r="F12" s="549"/>
      <c r="G12" s="549"/>
      <c r="H12" s="549"/>
      <c r="I12" s="549"/>
      <c r="J12" s="549"/>
      <c r="K12" s="549"/>
      <c r="L12" s="549"/>
      <c r="M12" s="549"/>
      <c r="N12" s="549"/>
      <c r="O12" s="549"/>
      <c r="P12" s="549"/>
      <c r="Q12" s="549"/>
      <c r="R12" s="549"/>
      <c r="S12" s="549"/>
      <c r="T12" s="549"/>
      <c r="U12" s="549"/>
      <c r="V12" s="549"/>
      <c r="W12" s="549"/>
    </row>
    <row r="13">
      <c r="A13" s="546">
        <v>1179650.0</v>
      </c>
      <c r="B13" s="545" t="s">
        <v>10139</v>
      </c>
    </row>
    <row r="14">
      <c r="A14" s="546">
        <v>1179673.0</v>
      </c>
      <c r="B14" s="545" t="s">
        <v>10131</v>
      </c>
    </row>
    <row r="15">
      <c r="A15" s="546">
        <v>1179700.0</v>
      </c>
      <c r="B15" s="545" t="s">
        <v>10138</v>
      </c>
    </row>
    <row r="16">
      <c r="A16" s="550"/>
    </row>
    <row r="17">
      <c r="A17" s="550"/>
    </row>
    <row r="18">
      <c r="A18" s="550"/>
    </row>
    <row r="19">
      <c r="A19" s="550"/>
    </row>
    <row r="20">
      <c r="A20" s="550"/>
    </row>
    <row r="21">
      <c r="A21" s="550"/>
    </row>
    <row r="22">
      <c r="A22" s="550"/>
    </row>
    <row r="23">
      <c r="A23" s="550"/>
    </row>
    <row r="24">
      <c r="A24" s="550"/>
    </row>
    <row r="25">
      <c r="A25" s="550"/>
    </row>
    <row r="26">
      <c r="A26" s="550"/>
    </row>
    <row r="27">
      <c r="A27" s="550"/>
    </row>
    <row r="28">
      <c r="A28" s="550"/>
    </row>
    <row r="29">
      <c r="A29" s="550"/>
    </row>
    <row r="30">
      <c r="A30" s="550"/>
    </row>
    <row r="31">
      <c r="A31" s="550"/>
    </row>
    <row r="32">
      <c r="A32" s="550"/>
    </row>
    <row r="33">
      <c r="A33" s="550"/>
    </row>
    <row r="34">
      <c r="A34" s="550"/>
    </row>
    <row r="35">
      <c r="A35" s="550"/>
    </row>
    <row r="36">
      <c r="A36" s="550"/>
    </row>
    <row r="37">
      <c r="A37" s="550"/>
    </row>
    <row r="38">
      <c r="A38" s="550"/>
    </row>
    <row r="39">
      <c r="A39" s="550"/>
    </row>
    <row r="40">
      <c r="A40" s="550"/>
    </row>
    <row r="41">
      <c r="A41" s="550"/>
    </row>
    <row r="42">
      <c r="A42" s="550"/>
    </row>
    <row r="43">
      <c r="A43" s="550"/>
    </row>
    <row r="44">
      <c r="A44" s="550"/>
    </row>
    <row r="45">
      <c r="A45" s="550"/>
    </row>
    <row r="46">
      <c r="A46" s="550"/>
    </row>
    <row r="47">
      <c r="A47" s="550"/>
    </row>
    <row r="48">
      <c r="A48" s="550"/>
    </row>
    <row r="49">
      <c r="A49" s="550"/>
    </row>
    <row r="50">
      <c r="A50" s="550"/>
    </row>
    <row r="51">
      <c r="A51" s="550"/>
    </row>
    <row r="52">
      <c r="A52" s="550"/>
    </row>
    <row r="53">
      <c r="A53" s="550"/>
    </row>
    <row r="54">
      <c r="A54" s="550"/>
    </row>
    <row r="55">
      <c r="A55" s="550"/>
    </row>
    <row r="56">
      <c r="A56" s="550"/>
    </row>
    <row r="57">
      <c r="A57" s="550"/>
    </row>
    <row r="58">
      <c r="A58" s="550"/>
    </row>
    <row r="59">
      <c r="A59" s="550"/>
    </row>
    <row r="60">
      <c r="A60" s="550"/>
    </row>
    <row r="61">
      <c r="A61" s="550"/>
    </row>
    <row r="62">
      <c r="A62" s="550"/>
    </row>
    <row r="63">
      <c r="A63" s="550"/>
    </row>
    <row r="64">
      <c r="A64" s="550"/>
    </row>
    <row r="65">
      <c r="A65" s="550"/>
    </row>
    <row r="66">
      <c r="A66" s="550"/>
    </row>
    <row r="67">
      <c r="A67" s="550"/>
    </row>
    <row r="68">
      <c r="A68" s="550"/>
    </row>
    <row r="69">
      <c r="A69" s="550"/>
    </row>
    <row r="70">
      <c r="A70" s="550"/>
    </row>
    <row r="71">
      <c r="A71" s="550"/>
    </row>
    <row r="72">
      <c r="A72" s="550"/>
    </row>
    <row r="73">
      <c r="A73" s="550"/>
    </row>
    <row r="74">
      <c r="A74" s="550"/>
    </row>
    <row r="75">
      <c r="A75" s="550"/>
    </row>
    <row r="76">
      <c r="A76" s="550"/>
    </row>
    <row r="77">
      <c r="A77" s="550"/>
    </row>
    <row r="78">
      <c r="A78" s="550"/>
    </row>
    <row r="79">
      <c r="A79" s="550"/>
    </row>
    <row r="80">
      <c r="A80" s="550"/>
    </row>
    <row r="81">
      <c r="A81" s="550"/>
    </row>
    <row r="82">
      <c r="A82" s="550"/>
    </row>
    <row r="83">
      <c r="A83" s="550"/>
    </row>
    <row r="84">
      <c r="A84" s="550"/>
    </row>
    <row r="85">
      <c r="A85" s="550"/>
    </row>
    <row r="86">
      <c r="A86" s="550"/>
    </row>
    <row r="87">
      <c r="A87" s="550"/>
    </row>
    <row r="88">
      <c r="A88" s="550"/>
    </row>
    <row r="89">
      <c r="A89" s="550"/>
    </row>
    <row r="90">
      <c r="A90" s="550"/>
    </row>
    <row r="91">
      <c r="A91" s="550"/>
    </row>
    <row r="92">
      <c r="A92" s="550"/>
    </row>
    <row r="93">
      <c r="A93" s="550"/>
    </row>
    <row r="94">
      <c r="A94" s="550"/>
    </row>
    <row r="95">
      <c r="A95" s="550"/>
    </row>
    <row r="96">
      <c r="A96" s="550"/>
    </row>
    <row r="97">
      <c r="A97" s="550"/>
    </row>
    <row r="98">
      <c r="A98" s="550"/>
    </row>
    <row r="99">
      <c r="A99" s="550"/>
    </row>
    <row r="100">
      <c r="A100" s="550"/>
    </row>
    <row r="101">
      <c r="A101" s="550"/>
    </row>
    <row r="102">
      <c r="A102" s="550"/>
    </row>
    <row r="103">
      <c r="A103" s="550"/>
    </row>
    <row r="104">
      <c r="A104" s="550"/>
    </row>
    <row r="105">
      <c r="A105" s="550"/>
    </row>
    <row r="106">
      <c r="A106" s="550"/>
    </row>
    <row r="107">
      <c r="A107" s="550"/>
    </row>
    <row r="108">
      <c r="A108" s="550"/>
    </row>
    <row r="109">
      <c r="A109" s="550"/>
    </row>
    <row r="110">
      <c r="A110" s="550"/>
    </row>
    <row r="111">
      <c r="A111" s="550"/>
    </row>
    <row r="112">
      <c r="A112" s="550"/>
    </row>
    <row r="113">
      <c r="A113" s="550"/>
    </row>
    <row r="114">
      <c r="A114" s="550"/>
    </row>
    <row r="115">
      <c r="A115" s="550"/>
    </row>
    <row r="116">
      <c r="A116" s="550"/>
    </row>
    <row r="117">
      <c r="A117" s="550"/>
    </row>
    <row r="118">
      <c r="A118" s="550"/>
    </row>
    <row r="119">
      <c r="A119" s="550"/>
    </row>
    <row r="120">
      <c r="A120" s="550"/>
    </row>
    <row r="121">
      <c r="A121" s="550"/>
    </row>
    <row r="122">
      <c r="A122" s="550"/>
    </row>
    <row r="123">
      <c r="A123" s="550"/>
    </row>
    <row r="124">
      <c r="A124" s="550"/>
    </row>
    <row r="125">
      <c r="A125" s="550"/>
    </row>
    <row r="126">
      <c r="A126" s="550"/>
    </row>
    <row r="127">
      <c r="A127" s="550"/>
    </row>
    <row r="128">
      <c r="A128" s="550"/>
    </row>
    <row r="129">
      <c r="A129" s="550"/>
    </row>
    <row r="130">
      <c r="A130" s="550"/>
    </row>
    <row r="131">
      <c r="A131" s="550"/>
    </row>
    <row r="132">
      <c r="A132" s="550"/>
    </row>
    <row r="133">
      <c r="A133" s="550"/>
    </row>
    <row r="134">
      <c r="A134" s="550"/>
    </row>
    <row r="135">
      <c r="A135" s="550"/>
    </row>
    <row r="136">
      <c r="A136" s="550"/>
    </row>
    <row r="137">
      <c r="A137" s="550"/>
    </row>
    <row r="138">
      <c r="A138" s="550"/>
    </row>
    <row r="139">
      <c r="A139" s="550"/>
    </row>
    <row r="140">
      <c r="A140" s="550"/>
    </row>
    <row r="141">
      <c r="A141" s="550"/>
    </row>
    <row r="142">
      <c r="A142" s="550"/>
    </row>
    <row r="143">
      <c r="A143" s="550"/>
    </row>
    <row r="144">
      <c r="A144" s="550"/>
    </row>
    <row r="145">
      <c r="A145" s="550"/>
    </row>
    <row r="146">
      <c r="A146" s="550"/>
    </row>
    <row r="147">
      <c r="A147" s="550"/>
    </row>
    <row r="148">
      <c r="A148" s="550"/>
    </row>
    <row r="149">
      <c r="A149" s="550"/>
    </row>
    <row r="150">
      <c r="A150" s="550"/>
    </row>
    <row r="151">
      <c r="A151" s="550"/>
    </row>
    <row r="152">
      <c r="A152" s="550"/>
    </row>
    <row r="153">
      <c r="A153" s="550"/>
    </row>
    <row r="154">
      <c r="A154" s="550"/>
    </row>
    <row r="155">
      <c r="A155" s="550"/>
    </row>
    <row r="156">
      <c r="A156" s="550"/>
    </row>
    <row r="157">
      <c r="A157" s="550"/>
    </row>
    <row r="158">
      <c r="A158" s="550"/>
    </row>
    <row r="159">
      <c r="A159" s="550"/>
    </row>
    <row r="160">
      <c r="A160" s="550"/>
    </row>
    <row r="161">
      <c r="A161" s="550"/>
    </row>
    <row r="162">
      <c r="A162" s="550"/>
    </row>
    <row r="163">
      <c r="A163" s="550"/>
    </row>
    <row r="164">
      <c r="A164" s="550"/>
    </row>
    <row r="165">
      <c r="A165" s="550"/>
    </row>
    <row r="166">
      <c r="A166" s="550"/>
    </row>
    <row r="167">
      <c r="A167" s="550"/>
    </row>
    <row r="168">
      <c r="A168" s="550"/>
    </row>
    <row r="169">
      <c r="A169" s="550"/>
    </row>
    <row r="170">
      <c r="A170" s="550"/>
    </row>
    <row r="171">
      <c r="A171" s="550"/>
    </row>
    <row r="172">
      <c r="A172" s="550"/>
    </row>
    <row r="173">
      <c r="A173" s="550"/>
    </row>
    <row r="174">
      <c r="A174" s="550"/>
    </row>
    <row r="175">
      <c r="A175" s="550"/>
    </row>
    <row r="176">
      <c r="A176" s="550"/>
    </row>
    <row r="177">
      <c r="A177" s="550"/>
    </row>
    <row r="178">
      <c r="A178" s="550"/>
    </row>
    <row r="179">
      <c r="A179" s="550"/>
    </row>
    <row r="180">
      <c r="A180" s="550"/>
    </row>
    <row r="181">
      <c r="A181" s="550"/>
    </row>
    <row r="182">
      <c r="A182" s="550"/>
    </row>
    <row r="183">
      <c r="A183" s="550"/>
    </row>
    <row r="184">
      <c r="A184" s="550"/>
    </row>
    <row r="185">
      <c r="A185" s="550"/>
    </row>
    <row r="186">
      <c r="A186" s="550"/>
    </row>
    <row r="187">
      <c r="A187" s="550"/>
    </row>
    <row r="188">
      <c r="A188" s="550"/>
    </row>
    <row r="189">
      <c r="A189" s="550"/>
    </row>
    <row r="190">
      <c r="A190" s="550"/>
    </row>
    <row r="191">
      <c r="A191" s="550"/>
    </row>
    <row r="192">
      <c r="A192" s="550"/>
    </row>
    <row r="193">
      <c r="A193" s="550"/>
    </row>
    <row r="194">
      <c r="A194" s="550"/>
    </row>
    <row r="195">
      <c r="A195" s="550"/>
    </row>
    <row r="196">
      <c r="A196" s="550"/>
    </row>
    <row r="197">
      <c r="A197" s="550"/>
    </row>
    <row r="198">
      <c r="A198" s="550"/>
    </row>
    <row r="199">
      <c r="A199" s="550"/>
    </row>
    <row r="200">
      <c r="A200" s="550"/>
    </row>
    <row r="201">
      <c r="A201" s="550"/>
    </row>
    <row r="202">
      <c r="A202" s="550"/>
    </row>
    <row r="203">
      <c r="A203" s="550"/>
    </row>
    <row r="204">
      <c r="A204" s="550"/>
    </row>
    <row r="205">
      <c r="A205" s="550"/>
    </row>
    <row r="206">
      <c r="A206" s="550"/>
    </row>
    <row r="207">
      <c r="A207" s="550"/>
    </row>
    <row r="208">
      <c r="A208" s="550"/>
    </row>
    <row r="209">
      <c r="A209" s="550"/>
    </row>
    <row r="210">
      <c r="A210" s="550"/>
    </row>
    <row r="211">
      <c r="A211" s="550"/>
    </row>
    <row r="212">
      <c r="A212" s="550"/>
    </row>
    <row r="213">
      <c r="A213" s="550"/>
    </row>
    <row r="214">
      <c r="A214" s="550"/>
    </row>
    <row r="215">
      <c r="A215" s="550"/>
    </row>
    <row r="216">
      <c r="A216" s="550"/>
    </row>
    <row r="217">
      <c r="A217" s="550"/>
    </row>
    <row r="218">
      <c r="A218" s="550"/>
    </row>
    <row r="219">
      <c r="A219" s="550"/>
    </row>
    <row r="220">
      <c r="A220" s="550"/>
    </row>
    <row r="221">
      <c r="A221" s="550"/>
    </row>
    <row r="222">
      <c r="A222" s="550"/>
    </row>
    <row r="223">
      <c r="A223" s="550"/>
    </row>
    <row r="224">
      <c r="A224" s="550"/>
    </row>
    <row r="225">
      <c r="A225" s="550"/>
    </row>
    <row r="226">
      <c r="A226" s="550"/>
    </row>
    <row r="227">
      <c r="A227" s="550"/>
    </row>
    <row r="228">
      <c r="A228" s="550"/>
    </row>
    <row r="229">
      <c r="A229" s="550"/>
    </row>
    <row r="230">
      <c r="A230" s="550"/>
    </row>
    <row r="231">
      <c r="A231" s="550"/>
    </row>
    <row r="232">
      <c r="A232" s="550"/>
    </row>
    <row r="233">
      <c r="A233" s="550"/>
    </row>
    <row r="234">
      <c r="A234" s="550"/>
    </row>
    <row r="235">
      <c r="A235" s="550"/>
    </row>
    <row r="236">
      <c r="A236" s="550"/>
    </row>
    <row r="237">
      <c r="A237" s="550"/>
    </row>
    <row r="238">
      <c r="A238" s="550"/>
    </row>
    <row r="239">
      <c r="A239" s="550"/>
    </row>
    <row r="240">
      <c r="A240" s="550"/>
    </row>
    <row r="241">
      <c r="A241" s="550"/>
    </row>
    <row r="242">
      <c r="A242" s="550"/>
    </row>
    <row r="243">
      <c r="A243" s="550"/>
    </row>
    <row r="244">
      <c r="A244" s="550"/>
    </row>
    <row r="245">
      <c r="A245" s="550"/>
    </row>
    <row r="246">
      <c r="A246" s="550"/>
    </row>
    <row r="247">
      <c r="A247" s="550"/>
    </row>
    <row r="248">
      <c r="A248" s="550"/>
    </row>
    <row r="249">
      <c r="A249" s="550"/>
    </row>
    <row r="250">
      <c r="A250" s="550"/>
    </row>
    <row r="251">
      <c r="A251" s="550"/>
    </row>
    <row r="252">
      <c r="A252" s="550"/>
    </row>
    <row r="253">
      <c r="A253" s="550"/>
    </row>
    <row r="254">
      <c r="A254" s="550"/>
    </row>
    <row r="255">
      <c r="A255" s="550"/>
    </row>
    <row r="256">
      <c r="A256" s="550"/>
    </row>
    <row r="257">
      <c r="A257" s="550"/>
    </row>
    <row r="258">
      <c r="A258" s="550"/>
    </row>
    <row r="259">
      <c r="A259" s="550"/>
    </row>
    <row r="260">
      <c r="A260" s="550"/>
    </row>
    <row r="261">
      <c r="A261" s="550"/>
    </row>
    <row r="262">
      <c r="A262" s="550"/>
    </row>
    <row r="263">
      <c r="A263" s="550"/>
    </row>
    <row r="264">
      <c r="A264" s="550"/>
    </row>
    <row r="265">
      <c r="A265" s="550"/>
    </row>
    <row r="266">
      <c r="A266" s="550"/>
    </row>
    <row r="267">
      <c r="A267" s="550"/>
    </row>
    <row r="268">
      <c r="A268" s="550"/>
    </row>
    <row r="269">
      <c r="A269" s="550"/>
    </row>
    <row r="270">
      <c r="A270" s="550"/>
    </row>
    <row r="271">
      <c r="A271" s="550"/>
    </row>
    <row r="272">
      <c r="A272" s="550"/>
    </row>
    <row r="273">
      <c r="A273" s="550"/>
    </row>
    <row r="274">
      <c r="A274" s="550"/>
    </row>
    <row r="275">
      <c r="A275" s="550"/>
    </row>
    <row r="276">
      <c r="A276" s="550"/>
    </row>
    <row r="277">
      <c r="A277" s="550"/>
    </row>
    <row r="278">
      <c r="A278" s="550"/>
    </row>
    <row r="279">
      <c r="A279" s="550"/>
    </row>
    <row r="280">
      <c r="A280" s="550"/>
    </row>
    <row r="281">
      <c r="A281" s="550"/>
    </row>
    <row r="282">
      <c r="A282" s="550"/>
    </row>
    <row r="283">
      <c r="A283" s="550"/>
    </row>
    <row r="284">
      <c r="A284" s="550"/>
    </row>
    <row r="285">
      <c r="A285" s="550"/>
    </row>
    <row r="286">
      <c r="A286" s="550"/>
    </row>
    <row r="287">
      <c r="A287" s="550"/>
    </row>
    <row r="288">
      <c r="A288" s="550"/>
    </row>
    <row r="289">
      <c r="A289" s="550"/>
    </row>
    <row r="290">
      <c r="A290" s="550"/>
    </row>
    <row r="291">
      <c r="A291" s="550"/>
    </row>
    <row r="292">
      <c r="A292" s="550"/>
    </row>
    <row r="293">
      <c r="A293" s="550"/>
    </row>
    <row r="294">
      <c r="A294" s="550"/>
    </row>
    <row r="295">
      <c r="A295" s="550"/>
    </row>
    <row r="296">
      <c r="A296" s="550"/>
    </row>
    <row r="297">
      <c r="A297" s="550"/>
    </row>
    <row r="298">
      <c r="A298" s="550"/>
    </row>
    <row r="299">
      <c r="A299" s="550"/>
    </row>
    <row r="300">
      <c r="A300" s="550"/>
    </row>
    <row r="301">
      <c r="A301" s="550"/>
    </row>
    <row r="302">
      <c r="A302" s="550"/>
    </row>
    <row r="303">
      <c r="A303" s="550"/>
    </row>
    <row r="304">
      <c r="A304" s="550"/>
    </row>
    <row r="305">
      <c r="A305" s="550"/>
    </row>
    <row r="306">
      <c r="A306" s="550"/>
    </row>
    <row r="307">
      <c r="A307" s="550"/>
    </row>
    <row r="308">
      <c r="A308" s="550"/>
    </row>
    <row r="309">
      <c r="A309" s="550"/>
    </row>
    <row r="310">
      <c r="A310" s="550"/>
    </row>
    <row r="311">
      <c r="A311" s="550"/>
    </row>
    <row r="312">
      <c r="A312" s="550"/>
    </row>
    <row r="313">
      <c r="A313" s="550"/>
    </row>
    <row r="314">
      <c r="A314" s="550"/>
    </row>
    <row r="315">
      <c r="A315" s="550"/>
    </row>
    <row r="316">
      <c r="A316" s="550"/>
    </row>
    <row r="317">
      <c r="A317" s="550"/>
    </row>
    <row r="318">
      <c r="A318" s="550"/>
    </row>
    <row r="319">
      <c r="A319" s="550"/>
    </row>
    <row r="320">
      <c r="A320" s="550"/>
    </row>
    <row r="321">
      <c r="A321" s="550"/>
    </row>
    <row r="322">
      <c r="A322" s="550"/>
    </row>
    <row r="323">
      <c r="A323" s="550"/>
    </row>
    <row r="324">
      <c r="A324" s="550"/>
    </row>
    <row r="325">
      <c r="A325" s="550"/>
    </row>
    <row r="326">
      <c r="A326" s="550"/>
    </row>
    <row r="327">
      <c r="A327" s="550"/>
    </row>
    <row r="328">
      <c r="A328" s="550"/>
    </row>
    <row r="329">
      <c r="A329" s="550"/>
    </row>
    <row r="330">
      <c r="A330" s="550"/>
    </row>
    <row r="331">
      <c r="A331" s="550"/>
    </row>
    <row r="332">
      <c r="A332" s="550"/>
    </row>
    <row r="333">
      <c r="A333" s="550"/>
    </row>
    <row r="334">
      <c r="A334" s="550"/>
    </row>
    <row r="335">
      <c r="A335" s="550"/>
    </row>
    <row r="336">
      <c r="A336" s="550"/>
    </row>
    <row r="337">
      <c r="A337" s="550"/>
    </row>
    <row r="338">
      <c r="A338" s="550"/>
    </row>
    <row r="339">
      <c r="A339" s="550"/>
    </row>
    <row r="340">
      <c r="A340" s="550"/>
    </row>
    <row r="341">
      <c r="A341" s="550"/>
    </row>
    <row r="342">
      <c r="A342" s="550"/>
    </row>
    <row r="343">
      <c r="A343" s="550"/>
    </row>
    <row r="344">
      <c r="A344" s="550"/>
    </row>
    <row r="345">
      <c r="A345" s="550"/>
    </row>
    <row r="346">
      <c r="A346" s="550"/>
    </row>
    <row r="347">
      <c r="A347" s="550"/>
    </row>
    <row r="348">
      <c r="A348" s="550"/>
    </row>
    <row r="349">
      <c r="A349" s="550"/>
    </row>
    <row r="350">
      <c r="A350" s="550"/>
    </row>
    <row r="351">
      <c r="A351" s="550"/>
    </row>
    <row r="352">
      <c r="A352" s="550"/>
    </row>
    <row r="353">
      <c r="A353" s="550"/>
    </row>
    <row r="354">
      <c r="A354" s="550"/>
    </row>
    <row r="355">
      <c r="A355" s="550"/>
    </row>
    <row r="356">
      <c r="A356" s="550"/>
    </row>
    <row r="357">
      <c r="A357" s="550"/>
    </row>
    <row r="358">
      <c r="A358" s="550"/>
    </row>
    <row r="359">
      <c r="A359" s="550"/>
    </row>
    <row r="360">
      <c r="A360" s="550"/>
    </row>
    <row r="361">
      <c r="A361" s="550"/>
    </row>
    <row r="362">
      <c r="A362" s="550"/>
    </row>
    <row r="363">
      <c r="A363" s="550"/>
    </row>
    <row r="364">
      <c r="A364" s="550"/>
    </row>
    <row r="365">
      <c r="A365" s="550"/>
    </row>
    <row r="366">
      <c r="A366" s="550"/>
    </row>
    <row r="367">
      <c r="A367" s="550"/>
    </row>
    <row r="368">
      <c r="A368" s="550"/>
    </row>
    <row r="369">
      <c r="A369" s="550"/>
    </row>
    <row r="370">
      <c r="A370" s="550"/>
    </row>
    <row r="371">
      <c r="A371" s="550"/>
    </row>
    <row r="372">
      <c r="A372" s="550"/>
    </row>
    <row r="373">
      <c r="A373" s="550"/>
    </row>
    <row r="374">
      <c r="A374" s="550"/>
    </row>
    <row r="375">
      <c r="A375" s="550"/>
    </row>
    <row r="376">
      <c r="A376" s="550"/>
    </row>
    <row r="377">
      <c r="A377" s="550"/>
    </row>
    <row r="378">
      <c r="A378" s="550"/>
    </row>
    <row r="379">
      <c r="A379" s="550"/>
    </row>
    <row r="380">
      <c r="A380" s="550"/>
    </row>
    <row r="381">
      <c r="A381" s="550"/>
    </row>
    <row r="382">
      <c r="A382" s="550"/>
    </row>
    <row r="383">
      <c r="A383" s="550"/>
    </row>
    <row r="384">
      <c r="A384" s="550"/>
    </row>
    <row r="385">
      <c r="A385" s="550"/>
    </row>
    <row r="386">
      <c r="A386" s="550"/>
    </row>
    <row r="387">
      <c r="A387" s="550"/>
    </row>
    <row r="388">
      <c r="A388" s="550"/>
    </row>
    <row r="389">
      <c r="A389" s="550"/>
    </row>
    <row r="390">
      <c r="A390" s="550"/>
    </row>
    <row r="391">
      <c r="A391" s="550"/>
    </row>
    <row r="392">
      <c r="A392" s="550"/>
    </row>
    <row r="393">
      <c r="A393" s="550"/>
    </row>
    <row r="394">
      <c r="A394" s="550"/>
    </row>
    <row r="395">
      <c r="A395" s="550"/>
    </row>
    <row r="396">
      <c r="A396" s="550"/>
    </row>
    <row r="397">
      <c r="A397" s="550"/>
    </row>
    <row r="398">
      <c r="A398" s="550"/>
    </row>
    <row r="399">
      <c r="A399" s="550"/>
    </row>
    <row r="400">
      <c r="A400" s="550"/>
    </row>
    <row r="401">
      <c r="A401" s="550"/>
    </row>
    <row r="402">
      <c r="A402" s="550"/>
    </row>
    <row r="403">
      <c r="A403" s="550"/>
    </row>
    <row r="404">
      <c r="A404" s="550"/>
    </row>
    <row r="405">
      <c r="A405" s="550"/>
    </row>
    <row r="406">
      <c r="A406" s="550"/>
    </row>
    <row r="407">
      <c r="A407" s="550"/>
    </row>
    <row r="408">
      <c r="A408" s="550"/>
    </row>
    <row r="409">
      <c r="A409" s="550"/>
    </row>
    <row r="410">
      <c r="A410" s="550"/>
    </row>
    <row r="411">
      <c r="A411" s="550"/>
    </row>
    <row r="412">
      <c r="A412" s="550"/>
    </row>
    <row r="413">
      <c r="A413" s="550"/>
    </row>
    <row r="414">
      <c r="A414" s="550"/>
    </row>
    <row r="415">
      <c r="A415" s="550"/>
    </row>
    <row r="416">
      <c r="A416" s="550"/>
    </row>
    <row r="417">
      <c r="A417" s="550"/>
    </row>
    <row r="418">
      <c r="A418" s="550"/>
    </row>
    <row r="419">
      <c r="A419" s="550"/>
    </row>
    <row r="420">
      <c r="A420" s="550"/>
    </row>
    <row r="421">
      <c r="A421" s="550"/>
    </row>
    <row r="422">
      <c r="A422" s="550"/>
    </row>
    <row r="423">
      <c r="A423" s="550"/>
    </row>
    <row r="424">
      <c r="A424" s="550"/>
    </row>
    <row r="425">
      <c r="A425" s="550"/>
    </row>
    <row r="426">
      <c r="A426" s="550"/>
    </row>
    <row r="427">
      <c r="A427" s="550"/>
    </row>
    <row r="428">
      <c r="A428" s="550"/>
    </row>
    <row r="429">
      <c r="A429" s="550"/>
    </row>
    <row r="430">
      <c r="A430" s="550"/>
    </row>
    <row r="431">
      <c r="A431" s="550"/>
    </row>
    <row r="432">
      <c r="A432" s="550"/>
    </row>
    <row r="433">
      <c r="A433" s="550"/>
    </row>
    <row r="434">
      <c r="A434" s="550"/>
    </row>
    <row r="435">
      <c r="A435" s="550"/>
    </row>
    <row r="436">
      <c r="A436" s="550"/>
    </row>
    <row r="437">
      <c r="A437" s="550"/>
    </row>
    <row r="438">
      <c r="A438" s="550"/>
    </row>
    <row r="439">
      <c r="A439" s="550"/>
    </row>
    <row r="440">
      <c r="A440" s="550"/>
    </row>
    <row r="441">
      <c r="A441" s="550"/>
    </row>
    <row r="442">
      <c r="A442" s="550"/>
    </row>
    <row r="443">
      <c r="A443" s="550"/>
    </row>
    <row r="444">
      <c r="A444" s="550"/>
    </row>
    <row r="445">
      <c r="A445" s="550"/>
    </row>
    <row r="446">
      <c r="A446" s="550"/>
    </row>
    <row r="447">
      <c r="A447" s="550"/>
    </row>
    <row r="448">
      <c r="A448" s="550"/>
    </row>
    <row r="449">
      <c r="A449" s="550"/>
    </row>
    <row r="450">
      <c r="A450" s="550"/>
    </row>
    <row r="451">
      <c r="A451" s="550"/>
    </row>
    <row r="452">
      <c r="A452" s="550"/>
    </row>
    <row r="453">
      <c r="A453" s="550"/>
    </row>
    <row r="454">
      <c r="A454" s="550"/>
    </row>
    <row r="455">
      <c r="A455" s="550"/>
    </row>
    <row r="456">
      <c r="A456" s="550"/>
    </row>
    <row r="457">
      <c r="A457" s="550"/>
    </row>
    <row r="458">
      <c r="A458" s="550"/>
    </row>
    <row r="459">
      <c r="A459" s="550"/>
    </row>
    <row r="460">
      <c r="A460" s="550"/>
    </row>
    <row r="461">
      <c r="A461" s="550"/>
    </row>
    <row r="462">
      <c r="A462" s="550"/>
    </row>
    <row r="463">
      <c r="A463" s="550"/>
    </row>
    <row r="464">
      <c r="A464" s="550"/>
    </row>
    <row r="465">
      <c r="A465" s="550"/>
    </row>
    <row r="466">
      <c r="A466" s="550"/>
    </row>
    <row r="467">
      <c r="A467" s="550"/>
    </row>
    <row r="468">
      <c r="A468" s="550"/>
    </row>
    <row r="469">
      <c r="A469" s="550"/>
    </row>
    <row r="470">
      <c r="A470" s="550"/>
    </row>
    <row r="471">
      <c r="A471" s="550"/>
    </row>
    <row r="472">
      <c r="A472" s="550"/>
    </row>
    <row r="473">
      <c r="A473" s="550"/>
    </row>
    <row r="474">
      <c r="A474" s="550"/>
    </row>
    <row r="475">
      <c r="A475" s="550"/>
    </row>
    <row r="476">
      <c r="A476" s="550"/>
    </row>
    <row r="477">
      <c r="A477" s="550"/>
    </row>
    <row r="478">
      <c r="A478" s="550"/>
    </row>
    <row r="479">
      <c r="A479" s="550"/>
    </row>
    <row r="480">
      <c r="A480" s="550"/>
    </row>
    <row r="481">
      <c r="A481" s="550"/>
    </row>
    <row r="482">
      <c r="A482" s="550"/>
    </row>
    <row r="483">
      <c r="A483" s="550"/>
    </row>
    <row r="484">
      <c r="A484" s="550"/>
    </row>
    <row r="485">
      <c r="A485" s="550"/>
    </row>
    <row r="486">
      <c r="A486" s="550"/>
    </row>
    <row r="487">
      <c r="A487" s="550"/>
    </row>
    <row r="488">
      <c r="A488" s="550"/>
    </row>
    <row r="489">
      <c r="A489" s="550"/>
    </row>
    <row r="490">
      <c r="A490" s="550"/>
    </row>
    <row r="491">
      <c r="A491" s="550"/>
    </row>
    <row r="492">
      <c r="A492" s="550"/>
    </row>
    <row r="493">
      <c r="A493" s="550"/>
    </row>
    <row r="494">
      <c r="A494" s="550"/>
    </row>
    <row r="495">
      <c r="A495" s="550"/>
    </row>
    <row r="496">
      <c r="A496" s="550"/>
    </row>
    <row r="497">
      <c r="A497" s="550"/>
    </row>
    <row r="498">
      <c r="A498" s="550"/>
    </row>
    <row r="499">
      <c r="A499" s="550"/>
    </row>
    <row r="500">
      <c r="A500" s="550"/>
    </row>
    <row r="501">
      <c r="A501" s="550"/>
    </row>
    <row r="502">
      <c r="A502" s="550"/>
    </row>
    <row r="503">
      <c r="A503" s="550"/>
    </row>
    <row r="504">
      <c r="A504" s="550"/>
    </row>
    <row r="505">
      <c r="A505" s="550"/>
    </row>
    <row r="506">
      <c r="A506" s="550"/>
    </row>
    <row r="507">
      <c r="A507" s="550"/>
    </row>
    <row r="508">
      <c r="A508" s="550"/>
    </row>
    <row r="509">
      <c r="A509" s="550"/>
    </row>
    <row r="510">
      <c r="A510" s="550"/>
    </row>
    <row r="511">
      <c r="A511" s="550"/>
    </row>
    <row r="512">
      <c r="A512" s="550"/>
    </row>
    <row r="513">
      <c r="A513" s="550"/>
    </row>
    <row r="514">
      <c r="A514" s="550"/>
    </row>
    <row r="515">
      <c r="A515" s="550"/>
    </row>
    <row r="516">
      <c r="A516" s="550"/>
    </row>
    <row r="517">
      <c r="A517" s="550"/>
    </row>
    <row r="518">
      <c r="A518" s="550"/>
    </row>
    <row r="519">
      <c r="A519" s="550"/>
    </row>
    <row r="520">
      <c r="A520" s="550"/>
    </row>
    <row r="521">
      <c r="A521" s="550"/>
    </row>
    <row r="522">
      <c r="A522" s="550"/>
    </row>
    <row r="523">
      <c r="A523" s="550"/>
    </row>
    <row r="524">
      <c r="A524" s="550"/>
    </row>
    <row r="525">
      <c r="A525" s="550"/>
    </row>
    <row r="526">
      <c r="A526" s="550"/>
    </row>
    <row r="527">
      <c r="A527" s="550"/>
    </row>
    <row r="528">
      <c r="A528" s="550"/>
    </row>
    <row r="529">
      <c r="A529" s="550"/>
    </row>
    <row r="530">
      <c r="A530" s="550"/>
    </row>
    <row r="531">
      <c r="A531" s="550"/>
    </row>
    <row r="532">
      <c r="A532" s="550"/>
    </row>
    <row r="533">
      <c r="A533" s="550"/>
    </row>
    <row r="534">
      <c r="A534" s="550"/>
    </row>
    <row r="535">
      <c r="A535" s="550"/>
    </row>
    <row r="536">
      <c r="A536" s="550"/>
    </row>
    <row r="537">
      <c r="A537" s="550"/>
    </row>
    <row r="538">
      <c r="A538" s="550"/>
    </row>
    <row r="539">
      <c r="A539" s="550"/>
    </row>
    <row r="540">
      <c r="A540" s="550"/>
    </row>
    <row r="541">
      <c r="A541" s="550"/>
    </row>
    <row r="542">
      <c r="A542" s="550"/>
    </row>
    <row r="543">
      <c r="A543" s="550"/>
    </row>
    <row r="544">
      <c r="A544" s="550"/>
    </row>
    <row r="545">
      <c r="A545" s="550"/>
    </row>
    <row r="546">
      <c r="A546" s="550"/>
    </row>
    <row r="547">
      <c r="A547" s="550"/>
    </row>
    <row r="548">
      <c r="A548" s="550"/>
    </row>
    <row r="549">
      <c r="A549" s="550"/>
    </row>
    <row r="550">
      <c r="A550" s="550"/>
    </row>
    <row r="551">
      <c r="A551" s="550"/>
    </row>
    <row r="552">
      <c r="A552" s="550"/>
    </row>
    <row r="553">
      <c r="A553" s="550"/>
    </row>
    <row r="554">
      <c r="A554" s="550"/>
    </row>
    <row r="555">
      <c r="A555" s="550"/>
    </row>
    <row r="556">
      <c r="A556" s="550"/>
    </row>
    <row r="557">
      <c r="A557" s="550"/>
    </row>
    <row r="558">
      <c r="A558" s="550"/>
    </row>
    <row r="559">
      <c r="A559" s="550"/>
    </row>
    <row r="560">
      <c r="A560" s="550"/>
    </row>
    <row r="561">
      <c r="A561" s="550"/>
    </row>
    <row r="562">
      <c r="A562" s="550"/>
    </row>
    <row r="563">
      <c r="A563" s="550"/>
    </row>
    <row r="564">
      <c r="A564" s="550"/>
    </row>
    <row r="565">
      <c r="A565" s="550"/>
    </row>
    <row r="566">
      <c r="A566" s="550"/>
    </row>
    <row r="567">
      <c r="A567" s="550"/>
    </row>
    <row r="568">
      <c r="A568" s="550"/>
    </row>
    <row r="569">
      <c r="A569" s="550"/>
    </row>
    <row r="570">
      <c r="A570" s="550"/>
    </row>
    <row r="571">
      <c r="A571" s="550"/>
    </row>
    <row r="572">
      <c r="A572" s="550"/>
    </row>
    <row r="573">
      <c r="A573" s="550"/>
    </row>
    <row r="574">
      <c r="A574" s="550"/>
    </row>
    <row r="575">
      <c r="A575" s="550"/>
    </row>
    <row r="576">
      <c r="A576" s="550"/>
    </row>
    <row r="577">
      <c r="A577" s="550"/>
    </row>
    <row r="578">
      <c r="A578" s="550"/>
    </row>
    <row r="579">
      <c r="A579" s="550"/>
    </row>
    <row r="580">
      <c r="A580" s="550"/>
    </row>
    <row r="581">
      <c r="A581" s="550"/>
    </row>
    <row r="582">
      <c r="A582" s="550"/>
    </row>
    <row r="583">
      <c r="A583" s="550"/>
    </row>
    <row r="584">
      <c r="A584" s="550"/>
    </row>
    <row r="585">
      <c r="A585" s="550"/>
    </row>
    <row r="586">
      <c r="A586" s="550"/>
    </row>
    <row r="587">
      <c r="A587" s="550"/>
    </row>
    <row r="588">
      <c r="A588" s="550"/>
    </row>
    <row r="589">
      <c r="A589" s="550"/>
    </row>
    <row r="590">
      <c r="A590" s="550"/>
    </row>
    <row r="591">
      <c r="A591" s="550"/>
    </row>
    <row r="592">
      <c r="A592" s="550"/>
    </row>
    <row r="593">
      <c r="A593" s="550"/>
    </row>
    <row r="594">
      <c r="A594" s="550"/>
    </row>
    <row r="595">
      <c r="A595" s="550"/>
    </row>
    <row r="596">
      <c r="A596" s="550"/>
    </row>
    <row r="597">
      <c r="A597" s="550"/>
    </row>
    <row r="598">
      <c r="A598" s="550"/>
    </row>
    <row r="599">
      <c r="A599" s="550"/>
    </row>
    <row r="600">
      <c r="A600" s="550"/>
    </row>
    <row r="601">
      <c r="A601" s="550"/>
    </row>
    <row r="602">
      <c r="A602" s="550"/>
    </row>
    <row r="603">
      <c r="A603" s="550"/>
    </row>
    <row r="604">
      <c r="A604" s="550"/>
    </row>
    <row r="605">
      <c r="A605" s="550"/>
    </row>
    <row r="606">
      <c r="A606" s="550"/>
    </row>
    <row r="607">
      <c r="A607" s="550"/>
    </row>
    <row r="608">
      <c r="A608" s="550"/>
    </row>
    <row r="609">
      <c r="A609" s="550"/>
    </row>
    <row r="610">
      <c r="A610" s="550"/>
    </row>
    <row r="611">
      <c r="A611" s="550"/>
    </row>
    <row r="612">
      <c r="A612" s="550"/>
    </row>
    <row r="613">
      <c r="A613" s="550"/>
    </row>
    <row r="614">
      <c r="A614" s="550"/>
    </row>
    <row r="615">
      <c r="A615" s="550"/>
    </row>
    <row r="616">
      <c r="A616" s="550"/>
    </row>
    <row r="617">
      <c r="A617" s="550"/>
    </row>
    <row r="618">
      <c r="A618" s="550"/>
    </row>
    <row r="619">
      <c r="A619" s="550"/>
    </row>
    <row r="620">
      <c r="A620" s="550"/>
    </row>
    <row r="621">
      <c r="A621" s="550"/>
    </row>
    <row r="622">
      <c r="A622" s="550"/>
    </row>
    <row r="623">
      <c r="A623" s="550"/>
    </row>
    <row r="624">
      <c r="A624" s="550"/>
    </row>
    <row r="625">
      <c r="A625" s="550"/>
    </row>
    <row r="626">
      <c r="A626" s="550"/>
    </row>
    <row r="627">
      <c r="A627" s="550"/>
    </row>
    <row r="628">
      <c r="A628" s="550"/>
    </row>
    <row r="629">
      <c r="A629" s="550"/>
    </row>
    <row r="630">
      <c r="A630" s="550"/>
    </row>
    <row r="631">
      <c r="A631" s="550"/>
    </row>
    <row r="632">
      <c r="A632" s="550"/>
    </row>
    <row r="633">
      <c r="A633" s="550"/>
    </row>
    <row r="634">
      <c r="A634" s="550"/>
    </row>
    <row r="635">
      <c r="A635" s="550"/>
    </row>
    <row r="636">
      <c r="A636" s="550"/>
    </row>
    <row r="637">
      <c r="A637" s="550"/>
    </row>
    <row r="638">
      <c r="A638" s="550"/>
    </row>
    <row r="639">
      <c r="A639" s="550"/>
    </row>
    <row r="640">
      <c r="A640" s="550"/>
    </row>
    <row r="641">
      <c r="A641" s="550"/>
    </row>
    <row r="642">
      <c r="A642" s="550"/>
    </row>
    <row r="643">
      <c r="A643" s="550"/>
    </row>
    <row r="644">
      <c r="A644" s="550"/>
    </row>
    <row r="645">
      <c r="A645" s="550"/>
    </row>
    <row r="646">
      <c r="A646" s="550"/>
    </row>
    <row r="647">
      <c r="A647" s="550"/>
    </row>
    <row r="648">
      <c r="A648" s="550"/>
    </row>
    <row r="649">
      <c r="A649" s="550"/>
    </row>
    <row r="650">
      <c r="A650" s="550"/>
    </row>
    <row r="651">
      <c r="A651" s="550"/>
    </row>
    <row r="652">
      <c r="A652" s="550"/>
    </row>
    <row r="653">
      <c r="A653" s="550"/>
    </row>
    <row r="654">
      <c r="A654" s="550"/>
    </row>
    <row r="655">
      <c r="A655" s="550"/>
    </row>
    <row r="656">
      <c r="A656" s="550"/>
    </row>
    <row r="657">
      <c r="A657" s="550"/>
    </row>
    <row r="658">
      <c r="A658" s="550"/>
    </row>
    <row r="659">
      <c r="A659" s="550"/>
    </row>
    <row r="660">
      <c r="A660" s="550"/>
    </row>
    <row r="661">
      <c r="A661" s="550"/>
    </row>
    <row r="662">
      <c r="A662" s="550"/>
    </row>
    <row r="663">
      <c r="A663" s="550"/>
    </row>
    <row r="664">
      <c r="A664" s="550"/>
    </row>
    <row r="665">
      <c r="A665" s="550"/>
    </row>
    <row r="666">
      <c r="A666" s="550"/>
    </row>
    <row r="667">
      <c r="A667" s="550"/>
    </row>
    <row r="668">
      <c r="A668" s="550"/>
    </row>
    <row r="669">
      <c r="A669" s="550"/>
    </row>
    <row r="670">
      <c r="A670" s="550"/>
    </row>
    <row r="671">
      <c r="A671" s="550"/>
    </row>
    <row r="672">
      <c r="A672" s="550"/>
    </row>
    <row r="673">
      <c r="A673" s="550"/>
    </row>
    <row r="674">
      <c r="A674" s="550"/>
    </row>
    <row r="675">
      <c r="A675" s="550"/>
    </row>
    <row r="676">
      <c r="A676" s="550"/>
    </row>
    <row r="677">
      <c r="A677" s="550"/>
    </row>
    <row r="678">
      <c r="A678" s="550"/>
    </row>
    <row r="679">
      <c r="A679" s="550"/>
    </row>
    <row r="680">
      <c r="A680" s="550"/>
    </row>
    <row r="681">
      <c r="A681" s="550"/>
    </row>
    <row r="682">
      <c r="A682" s="550"/>
    </row>
    <row r="683">
      <c r="A683" s="550"/>
    </row>
    <row r="684">
      <c r="A684" s="550"/>
    </row>
    <row r="685">
      <c r="A685" s="550"/>
    </row>
    <row r="686">
      <c r="A686" s="550"/>
    </row>
    <row r="687">
      <c r="A687" s="550"/>
    </row>
    <row r="688">
      <c r="A688" s="550"/>
    </row>
    <row r="689">
      <c r="A689" s="550"/>
    </row>
    <row r="690">
      <c r="A690" s="550"/>
    </row>
    <row r="691">
      <c r="A691" s="550"/>
    </row>
    <row r="692">
      <c r="A692" s="550"/>
    </row>
    <row r="693">
      <c r="A693" s="550"/>
    </row>
    <row r="694">
      <c r="A694" s="550"/>
    </row>
    <row r="695">
      <c r="A695" s="550"/>
    </row>
    <row r="696">
      <c r="A696" s="550"/>
    </row>
    <row r="697">
      <c r="A697" s="550"/>
    </row>
    <row r="698">
      <c r="A698" s="550"/>
    </row>
    <row r="699">
      <c r="A699" s="550"/>
    </row>
    <row r="700">
      <c r="A700" s="550"/>
    </row>
    <row r="701">
      <c r="A701" s="550"/>
    </row>
    <row r="702">
      <c r="A702" s="550"/>
    </row>
    <row r="703">
      <c r="A703" s="550"/>
    </row>
    <row r="704">
      <c r="A704" s="550"/>
    </row>
    <row r="705">
      <c r="A705" s="550"/>
    </row>
    <row r="706">
      <c r="A706" s="550"/>
    </row>
    <row r="707">
      <c r="A707" s="550"/>
    </row>
    <row r="708">
      <c r="A708" s="550"/>
    </row>
    <row r="709">
      <c r="A709" s="550"/>
    </row>
    <row r="710">
      <c r="A710" s="550"/>
    </row>
    <row r="711">
      <c r="A711" s="550"/>
    </row>
    <row r="712">
      <c r="A712" s="550"/>
    </row>
    <row r="713">
      <c r="A713" s="550"/>
    </row>
    <row r="714">
      <c r="A714" s="550"/>
    </row>
    <row r="715">
      <c r="A715" s="550"/>
    </row>
    <row r="716">
      <c r="A716" s="550"/>
    </row>
    <row r="717">
      <c r="A717" s="550"/>
    </row>
    <row r="718">
      <c r="A718" s="550"/>
    </row>
    <row r="719">
      <c r="A719" s="550"/>
    </row>
    <row r="720">
      <c r="A720" s="550"/>
    </row>
    <row r="721">
      <c r="A721" s="550"/>
    </row>
    <row r="722">
      <c r="A722" s="550"/>
    </row>
    <row r="723">
      <c r="A723" s="550"/>
    </row>
    <row r="724">
      <c r="A724" s="550"/>
    </row>
    <row r="725">
      <c r="A725" s="550"/>
    </row>
    <row r="726">
      <c r="A726" s="550"/>
    </row>
    <row r="727">
      <c r="A727" s="550"/>
    </row>
    <row r="728">
      <c r="A728" s="550"/>
    </row>
    <row r="729">
      <c r="A729" s="550"/>
    </row>
    <row r="730">
      <c r="A730" s="550"/>
    </row>
    <row r="731">
      <c r="A731" s="550"/>
    </row>
    <row r="732">
      <c r="A732" s="550"/>
    </row>
    <row r="733">
      <c r="A733" s="550"/>
    </row>
    <row r="734">
      <c r="A734" s="550"/>
    </row>
    <row r="735">
      <c r="A735" s="550"/>
    </row>
    <row r="736">
      <c r="A736" s="550"/>
    </row>
    <row r="737">
      <c r="A737" s="550"/>
    </row>
    <row r="738">
      <c r="A738" s="550"/>
    </row>
    <row r="739">
      <c r="A739" s="550"/>
    </row>
    <row r="740">
      <c r="A740" s="550"/>
    </row>
    <row r="741">
      <c r="A741" s="550"/>
    </row>
    <row r="742">
      <c r="A742" s="550"/>
    </row>
    <row r="743">
      <c r="A743" s="550"/>
    </row>
    <row r="744">
      <c r="A744" s="550"/>
    </row>
    <row r="745">
      <c r="A745" s="550"/>
    </row>
    <row r="746">
      <c r="A746" s="550"/>
    </row>
    <row r="747">
      <c r="A747" s="550"/>
    </row>
    <row r="748">
      <c r="A748" s="550"/>
    </row>
    <row r="749">
      <c r="A749" s="550"/>
    </row>
    <row r="750">
      <c r="A750" s="550"/>
    </row>
    <row r="751">
      <c r="A751" s="550"/>
    </row>
    <row r="752">
      <c r="A752" s="550"/>
    </row>
    <row r="753">
      <c r="A753" s="550"/>
    </row>
    <row r="754">
      <c r="A754" s="550"/>
    </row>
    <row r="755">
      <c r="A755" s="550"/>
    </row>
    <row r="756">
      <c r="A756" s="550"/>
    </row>
    <row r="757">
      <c r="A757" s="550"/>
    </row>
    <row r="758">
      <c r="A758" s="550"/>
    </row>
    <row r="759">
      <c r="A759" s="550"/>
    </row>
    <row r="760">
      <c r="A760" s="550"/>
    </row>
    <row r="761">
      <c r="A761" s="550"/>
    </row>
    <row r="762">
      <c r="A762" s="550"/>
    </row>
    <row r="763">
      <c r="A763" s="550"/>
    </row>
    <row r="764">
      <c r="A764" s="550"/>
    </row>
    <row r="765">
      <c r="A765" s="550"/>
    </row>
    <row r="766">
      <c r="A766" s="550"/>
    </row>
    <row r="767">
      <c r="A767" s="550"/>
    </row>
    <row r="768">
      <c r="A768" s="550"/>
    </row>
    <row r="769">
      <c r="A769" s="550"/>
    </row>
    <row r="770">
      <c r="A770" s="550"/>
    </row>
    <row r="771">
      <c r="A771" s="550"/>
    </row>
    <row r="772">
      <c r="A772" s="550"/>
    </row>
    <row r="773">
      <c r="A773" s="550"/>
    </row>
    <row r="774">
      <c r="A774" s="550"/>
    </row>
    <row r="775">
      <c r="A775" s="550"/>
    </row>
    <row r="776">
      <c r="A776" s="550"/>
    </row>
    <row r="777">
      <c r="A777" s="550"/>
    </row>
    <row r="778">
      <c r="A778" s="550"/>
    </row>
    <row r="779">
      <c r="A779" s="550"/>
    </row>
    <row r="780">
      <c r="A780" s="550"/>
    </row>
    <row r="781">
      <c r="A781" s="550"/>
    </row>
    <row r="782">
      <c r="A782" s="550"/>
    </row>
    <row r="783">
      <c r="A783" s="550"/>
    </row>
    <row r="784">
      <c r="A784" s="550"/>
    </row>
    <row r="785">
      <c r="A785" s="550"/>
    </row>
    <row r="786">
      <c r="A786" s="550"/>
    </row>
    <row r="787">
      <c r="A787" s="550"/>
    </row>
    <row r="788">
      <c r="A788" s="550"/>
    </row>
    <row r="789">
      <c r="A789" s="550"/>
    </row>
    <row r="790">
      <c r="A790" s="550"/>
    </row>
    <row r="791">
      <c r="A791" s="550"/>
    </row>
    <row r="792">
      <c r="A792" s="550"/>
    </row>
    <row r="793">
      <c r="A793" s="550"/>
    </row>
    <row r="794">
      <c r="A794" s="550"/>
    </row>
    <row r="795">
      <c r="A795" s="550"/>
    </row>
    <row r="796">
      <c r="A796" s="550"/>
    </row>
    <row r="797">
      <c r="A797" s="550"/>
    </row>
    <row r="798">
      <c r="A798" s="550"/>
    </row>
    <row r="799">
      <c r="A799" s="550"/>
    </row>
    <row r="800">
      <c r="A800" s="550"/>
    </row>
    <row r="801">
      <c r="A801" s="550"/>
    </row>
    <row r="802">
      <c r="A802" s="550"/>
    </row>
    <row r="803">
      <c r="A803" s="550"/>
    </row>
    <row r="804">
      <c r="A804" s="550"/>
    </row>
    <row r="805">
      <c r="A805" s="550"/>
    </row>
    <row r="806">
      <c r="A806" s="550"/>
    </row>
    <row r="807">
      <c r="A807" s="550"/>
    </row>
    <row r="808">
      <c r="A808" s="550"/>
    </row>
    <row r="809">
      <c r="A809" s="550"/>
    </row>
    <row r="810">
      <c r="A810" s="550"/>
    </row>
    <row r="811">
      <c r="A811" s="550"/>
    </row>
    <row r="812">
      <c r="A812" s="550"/>
    </row>
    <row r="813">
      <c r="A813" s="550"/>
    </row>
    <row r="814">
      <c r="A814" s="550"/>
    </row>
    <row r="815">
      <c r="A815" s="550"/>
    </row>
    <row r="816">
      <c r="A816" s="550"/>
    </row>
    <row r="817">
      <c r="A817" s="550"/>
    </row>
    <row r="818">
      <c r="A818" s="550"/>
    </row>
    <row r="819">
      <c r="A819" s="550"/>
    </row>
    <row r="820">
      <c r="A820" s="550"/>
    </row>
    <row r="821">
      <c r="A821" s="550"/>
    </row>
    <row r="822">
      <c r="A822" s="550"/>
    </row>
    <row r="823">
      <c r="A823" s="550"/>
    </row>
    <row r="824">
      <c r="A824" s="550"/>
    </row>
    <row r="825">
      <c r="A825" s="550"/>
    </row>
    <row r="826">
      <c r="A826" s="550"/>
    </row>
    <row r="827">
      <c r="A827" s="550"/>
    </row>
    <row r="828">
      <c r="A828" s="550"/>
    </row>
    <row r="829">
      <c r="A829" s="550"/>
    </row>
    <row r="830">
      <c r="A830" s="550"/>
    </row>
    <row r="831">
      <c r="A831" s="550"/>
    </row>
    <row r="832">
      <c r="A832" s="550"/>
    </row>
    <row r="833">
      <c r="A833" s="550"/>
    </row>
    <row r="834">
      <c r="A834" s="550"/>
    </row>
    <row r="835">
      <c r="A835" s="550"/>
    </row>
    <row r="836">
      <c r="A836" s="550"/>
    </row>
    <row r="837">
      <c r="A837" s="550"/>
    </row>
    <row r="838">
      <c r="A838" s="550"/>
    </row>
    <row r="839">
      <c r="A839" s="550"/>
    </row>
    <row r="840">
      <c r="A840" s="550"/>
    </row>
    <row r="841">
      <c r="A841" s="550"/>
    </row>
    <row r="842">
      <c r="A842" s="550"/>
    </row>
    <row r="843">
      <c r="A843" s="550"/>
    </row>
    <row r="844">
      <c r="A844" s="550"/>
    </row>
    <row r="845">
      <c r="A845" s="550"/>
    </row>
    <row r="846">
      <c r="A846" s="550"/>
    </row>
    <row r="847">
      <c r="A847" s="550"/>
    </row>
    <row r="848">
      <c r="A848" s="550"/>
    </row>
    <row r="849">
      <c r="A849" s="550"/>
    </row>
    <row r="850">
      <c r="A850" s="550"/>
    </row>
    <row r="851">
      <c r="A851" s="550"/>
    </row>
    <row r="852">
      <c r="A852" s="550"/>
    </row>
    <row r="853">
      <c r="A853" s="550"/>
    </row>
    <row r="854">
      <c r="A854" s="550"/>
    </row>
    <row r="855">
      <c r="A855" s="550"/>
    </row>
    <row r="856">
      <c r="A856" s="550"/>
    </row>
    <row r="857">
      <c r="A857" s="550"/>
    </row>
    <row r="858">
      <c r="A858" s="550"/>
    </row>
    <row r="859">
      <c r="A859" s="550"/>
    </row>
    <row r="860">
      <c r="A860" s="550"/>
    </row>
    <row r="861">
      <c r="A861" s="550"/>
    </row>
    <row r="862">
      <c r="A862" s="550"/>
    </row>
    <row r="863">
      <c r="A863" s="550"/>
    </row>
    <row r="864">
      <c r="A864" s="550"/>
    </row>
    <row r="865">
      <c r="A865" s="550"/>
    </row>
    <row r="866">
      <c r="A866" s="550"/>
    </row>
    <row r="867">
      <c r="A867" s="550"/>
    </row>
    <row r="868">
      <c r="A868" s="550"/>
    </row>
    <row r="869">
      <c r="A869" s="550"/>
    </row>
    <row r="870">
      <c r="A870" s="550"/>
    </row>
    <row r="871">
      <c r="A871" s="550"/>
    </row>
    <row r="872">
      <c r="A872" s="550"/>
    </row>
    <row r="873">
      <c r="A873" s="550"/>
    </row>
    <row r="874">
      <c r="A874" s="550"/>
    </row>
    <row r="875">
      <c r="A875" s="550"/>
    </row>
    <row r="876">
      <c r="A876" s="550"/>
    </row>
    <row r="877">
      <c r="A877" s="550"/>
    </row>
    <row r="878">
      <c r="A878" s="550"/>
    </row>
    <row r="879">
      <c r="A879" s="550"/>
    </row>
    <row r="880">
      <c r="A880" s="550"/>
    </row>
    <row r="881">
      <c r="A881" s="550"/>
    </row>
    <row r="882">
      <c r="A882" s="550"/>
    </row>
    <row r="883">
      <c r="A883" s="550"/>
    </row>
    <row r="884">
      <c r="A884" s="550"/>
    </row>
    <row r="885">
      <c r="A885" s="550"/>
    </row>
    <row r="886">
      <c r="A886" s="550"/>
    </row>
    <row r="887">
      <c r="A887" s="550"/>
    </row>
    <row r="888">
      <c r="A888" s="550"/>
    </row>
    <row r="889">
      <c r="A889" s="550"/>
    </row>
    <row r="890">
      <c r="A890" s="550"/>
    </row>
    <row r="891">
      <c r="A891" s="550"/>
    </row>
    <row r="892">
      <c r="A892" s="550"/>
    </row>
    <row r="893">
      <c r="A893" s="550"/>
    </row>
    <row r="894">
      <c r="A894" s="550"/>
    </row>
    <row r="895">
      <c r="A895" s="550"/>
    </row>
    <row r="896">
      <c r="A896" s="550"/>
    </row>
    <row r="897">
      <c r="A897" s="550"/>
    </row>
    <row r="898">
      <c r="A898" s="550"/>
    </row>
    <row r="899">
      <c r="A899" s="550"/>
    </row>
    <row r="900">
      <c r="A900" s="550"/>
    </row>
    <row r="901">
      <c r="A901" s="550"/>
    </row>
    <row r="902">
      <c r="A902" s="550"/>
    </row>
    <row r="903">
      <c r="A903" s="550"/>
    </row>
    <row r="904">
      <c r="A904" s="550"/>
    </row>
    <row r="905">
      <c r="A905" s="550"/>
    </row>
    <row r="906">
      <c r="A906" s="550"/>
    </row>
    <row r="907">
      <c r="A907" s="550"/>
    </row>
    <row r="908">
      <c r="A908" s="550"/>
    </row>
    <row r="909">
      <c r="A909" s="550"/>
    </row>
    <row r="910">
      <c r="A910" s="550"/>
    </row>
    <row r="911">
      <c r="A911" s="550"/>
    </row>
    <row r="912">
      <c r="A912" s="550"/>
    </row>
    <row r="913">
      <c r="A913" s="550"/>
    </row>
    <row r="914">
      <c r="A914" s="550"/>
    </row>
    <row r="915">
      <c r="A915" s="550"/>
    </row>
    <row r="916">
      <c r="A916" s="550"/>
    </row>
    <row r="917">
      <c r="A917" s="550"/>
    </row>
    <row r="918">
      <c r="A918" s="550"/>
    </row>
    <row r="919">
      <c r="A919" s="550"/>
    </row>
    <row r="920">
      <c r="A920" s="550"/>
    </row>
    <row r="921">
      <c r="A921" s="550"/>
    </row>
    <row r="922">
      <c r="A922" s="550"/>
    </row>
    <row r="923">
      <c r="A923" s="550"/>
    </row>
    <row r="924">
      <c r="A924" s="550"/>
    </row>
    <row r="925">
      <c r="A925" s="550"/>
    </row>
    <row r="926">
      <c r="A926" s="550"/>
    </row>
    <row r="927">
      <c r="A927" s="550"/>
    </row>
    <row r="928">
      <c r="A928" s="550"/>
    </row>
    <row r="929">
      <c r="A929" s="550"/>
    </row>
    <row r="930">
      <c r="A930" s="550"/>
    </row>
    <row r="931">
      <c r="A931" s="550"/>
    </row>
    <row r="932">
      <c r="A932" s="550"/>
    </row>
    <row r="933">
      <c r="A933" s="550"/>
    </row>
    <row r="934">
      <c r="A934" s="550"/>
    </row>
    <row r="935">
      <c r="A935" s="550"/>
    </row>
    <row r="936">
      <c r="A936" s="550"/>
    </row>
    <row r="937">
      <c r="A937" s="550"/>
    </row>
    <row r="938">
      <c r="A938" s="550"/>
    </row>
    <row r="939">
      <c r="A939" s="550"/>
    </row>
    <row r="940">
      <c r="A940" s="550"/>
    </row>
    <row r="941">
      <c r="A941" s="550"/>
    </row>
    <row r="942">
      <c r="A942" s="550"/>
    </row>
    <row r="943">
      <c r="A943" s="550"/>
    </row>
    <row r="944">
      <c r="A944" s="550"/>
    </row>
    <row r="945">
      <c r="A945" s="550"/>
    </row>
    <row r="946">
      <c r="A946" s="550"/>
    </row>
    <row r="947">
      <c r="A947" s="550"/>
    </row>
    <row r="948">
      <c r="A948" s="550"/>
    </row>
    <row r="949">
      <c r="A949" s="550"/>
    </row>
    <row r="950">
      <c r="A950" s="550"/>
    </row>
    <row r="951">
      <c r="A951" s="550"/>
    </row>
    <row r="952">
      <c r="A952" s="550"/>
    </row>
    <row r="953">
      <c r="A953" s="550"/>
    </row>
    <row r="954">
      <c r="A954" s="550"/>
    </row>
    <row r="955">
      <c r="A955" s="550"/>
    </row>
    <row r="956">
      <c r="A956" s="550"/>
    </row>
    <row r="957">
      <c r="A957" s="550"/>
    </row>
    <row r="958">
      <c r="A958" s="550"/>
    </row>
    <row r="959">
      <c r="A959" s="550"/>
    </row>
    <row r="960">
      <c r="A960" s="550"/>
    </row>
    <row r="961">
      <c r="A961" s="550"/>
    </row>
    <row r="962">
      <c r="A962" s="550"/>
    </row>
    <row r="963">
      <c r="A963" s="550"/>
    </row>
    <row r="964">
      <c r="A964" s="550"/>
    </row>
    <row r="965">
      <c r="A965" s="550"/>
    </row>
    <row r="966">
      <c r="A966" s="550"/>
    </row>
    <row r="967">
      <c r="A967" s="550"/>
    </row>
    <row r="968">
      <c r="A968" s="550"/>
    </row>
    <row r="969">
      <c r="A969" s="550"/>
    </row>
    <row r="970">
      <c r="A970" s="550"/>
    </row>
    <row r="971">
      <c r="A971" s="550"/>
    </row>
    <row r="972">
      <c r="A972" s="550"/>
    </row>
    <row r="973">
      <c r="A973" s="550"/>
    </row>
    <row r="974">
      <c r="A974" s="550"/>
    </row>
    <row r="975">
      <c r="A975" s="550"/>
    </row>
    <row r="976">
      <c r="A976" s="550"/>
    </row>
    <row r="977">
      <c r="A977" s="550"/>
    </row>
    <row r="978">
      <c r="A978" s="550"/>
    </row>
    <row r="979">
      <c r="A979" s="550"/>
    </row>
    <row r="980">
      <c r="A980" s="550"/>
    </row>
    <row r="981">
      <c r="A981" s="550"/>
    </row>
    <row r="982">
      <c r="A982" s="550"/>
    </row>
    <row r="983">
      <c r="A983" s="550"/>
    </row>
    <row r="984">
      <c r="A984" s="550"/>
    </row>
    <row r="985">
      <c r="A985" s="550"/>
    </row>
    <row r="986">
      <c r="A986" s="550"/>
    </row>
    <row r="987">
      <c r="A987" s="550"/>
    </row>
    <row r="988">
      <c r="A988" s="550"/>
    </row>
    <row r="989">
      <c r="A989" s="550"/>
    </row>
    <row r="990">
      <c r="A990" s="550"/>
    </row>
    <row r="991">
      <c r="A991" s="550"/>
    </row>
    <row r="992">
      <c r="A992" s="550"/>
    </row>
    <row r="993">
      <c r="A993" s="550"/>
    </row>
    <row r="994">
      <c r="A994" s="550"/>
    </row>
    <row r="995">
      <c r="A995" s="550"/>
    </row>
    <row r="996">
      <c r="A996" s="550"/>
    </row>
    <row r="997">
      <c r="A997" s="550"/>
    </row>
    <row r="998">
      <c r="A998" s="550"/>
    </row>
    <row r="999">
      <c r="A999" s="550"/>
    </row>
    <row r="1000">
      <c r="A1000" s="550"/>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21.57"/>
    <col customWidth="1" min="3" max="3" width="3.0"/>
    <col customWidth="1" min="4" max="4" width="9.14"/>
    <col customWidth="1" min="5" max="5" width="19.29"/>
    <col customWidth="1" min="6" max="10" width="9.14"/>
    <col customWidth="1" min="11" max="25" width="8.0"/>
  </cols>
  <sheetData>
    <row r="1" ht="46.5" customHeight="1">
      <c r="A1" s="552" t="s">
        <v>10321</v>
      </c>
      <c r="K1" s="553"/>
      <c r="L1" s="553"/>
      <c r="M1" s="553"/>
      <c r="N1" s="553"/>
      <c r="O1" s="553"/>
      <c r="P1" s="553"/>
      <c r="Q1" s="553"/>
      <c r="R1" s="553"/>
      <c r="S1" s="553"/>
      <c r="T1" s="553"/>
      <c r="U1" s="553"/>
      <c r="V1" s="553"/>
      <c r="W1" s="553"/>
      <c r="X1" s="553"/>
      <c r="Y1" s="553"/>
    </row>
    <row r="2">
      <c r="A2" s="554" t="s">
        <v>10325</v>
      </c>
      <c r="B2" s="554" t="s">
        <v>142</v>
      </c>
      <c r="C2" s="553"/>
      <c r="D2" s="553"/>
      <c r="E2" s="555" t="s">
        <v>10328</v>
      </c>
      <c r="F2" s="553"/>
      <c r="G2" s="553"/>
      <c r="H2" s="553"/>
      <c r="I2" s="553"/>
      <c r="J2" s="553"/>
      <c r="K2" s="553"/>
      <c r="L2" s="553"/>
      <c r="M2" s="553"/>
      <c r="N2" s="553"/>
      <c r="O2" s="553"/>
      <c r="P2" s="553"/>
      <c r="Q2" s="553"/>
      <c r="R2" s="553"/>
      <c r="S2" s="553"/>
      <c r="T2" s="553"/>
      <c r="U2" s="553"/>
      <c r="V2" s="553"/>
      <c r="W2" s="553"/>
      <c r="X2" s="553"/>
      <c r="Y2" s="553"/>
    </row>
    <row r="3">
      <c r="A3" s="556"/>
      <c r="B3" s="556"/>
      <c r="C3" s="553"/>
      <c r="D3" s="553"/>
      <c r="E3" s="557">
        <f>B421</f>
        <v>898999</v>
      </c>
      <c r="F3" s="553"/>
      <c r="G3" s="553"/>
      <c r="H3" s="553"/>
      <c r="I3" s="553"/>
      <c r="J3" s="553"/>
      <c r="K3" s="553"/>
      <c r="L3" s="553"/>
      <c r="M3" s="553"/>
      <c r="N3" s="553"/>
      <c r="O3" s="553"/>
      <c r="P3" s="553"/>
      <c r="Q3" s="553"/>
      <c r="R3" s="553"/>
      <c r="S3" s="553"/>
      <c r="T3" s="553"/>
      <c r="U3" s="553"/>
      <c r="V3" s="553"/>
      <c r="W3" s="553"/>
      <c r="X3" s="553"/>
      <c r="Y3" s="553"/>
    </row>
    <row r="4">
      <c r="A4" s="123" t="s">
        <v>775</v>
      </c>
      <c r="B4" s="558">
        <v>253.0</v>
      </c>
      <c r="C4" s="553"/>
      <c r="D4" s="553"/>
      <c r="E4" s="42"/>
      <c r="F4" s="553"/>
      <c r="G4" s="553"/>
      <c r="H4" s="553"/>
      <c r="I4" s="553"/>
      <c r="J4" s="553"/>
      <c r="K4" s="553"/>
      <c r="L4" s="553"/>
      <c r="M4" s="553"/>
      <c r="N4" s="553"/>
      <c r="O4" s="553"/>
      <c r="P4" s="553"/>
      <c r="Q4" s="553"/>
      <c r="R4" s="553"/>
      <c r="S4" s="553"/>
      <c r="T4" s="553"/>
      <c r="U4" s="553"/>
      <c r="V4" s="553"/>
      <c r="W4" s="553"/>
      <c r="X4" s="553"/>
      <c r="Y4" s="553"/>
    </row>
    <row r="5">
      <c r="A5" s="123" t="s">
        <v>7471</v>
      </c>
      <c r="B5" s="558">
        <v>1009.0</v>
      </c>
      <c r="C5" s="553"/>
      <c r="D5" s="553"/>
      <c r="E5" s="553"/>
      <c r="F5" s="553"/>
      <c r="G5" s="553"/>
      <c r="H5" s="553"/>
      <c r="I5" s="553"/>
      <c r="J5" s="553"/>
      <c r="K5" s="553"/>
      <c r="L5" s="553"/>
      <c r="M5" s="553"/>
      <c r="N5" s="553"/>
      <c r="O5" s="553"/>
      <c r="P5" s="553"/>
      <c r="Q5" s="553"/>
      <c r="R5" s="553"/>
      <c r="S5" s="553"/>
      <c r="T5" s="553"/>
      <c r="U5" s="553"/>
      <c r="V5" s="553"/>
      <c r="W5" s="553"/>
      <c r="X5" s="553"/>
      <c r="Y5" s="553"/>
    </row>
    <row r="6">
      <c r="A6" s="123" t="s">
        <v>5277</v>
      </c>
      <c r="B6" s="558">
        <v>1015.0</v>
      </c>
      <c r="C6" s="553"/>
      <c r="D6" s="553"/>
      <c r="E6" s="553"/>
      <c r="F6" s="553"/>
      <c r="G6" s="553"/>
      <c r="H6" s="553"/>
      <c r="I6" s="553"/>
      <c r="J6" s="553"/>
      <c r="K6" s="553"/>
      <c r="L6" s="553"/>
      <c r="M6" s="553"/>
      <c r="N6" s="553"/>
      <c r="O6" s="553"/>
      <c r="P6" s="553"/>
      <c r="Q6" s="553"/>
      <c r="R6" s="553"/>
      <c r="S6" s="553"/>
      <c r="T6" s="553"/>
      <c r="U6" s="553"/>
      <c r="V6" s="553"/>
      <c r="W6" s="553"/>
      <c r="X6" s="553"/>
      <c r="Y6" s="553"/>
    </row>
    <row r="7">
      <c r="A7" s="123" t="s">
        <v>5004</v>
      </c>
      <c r="B7" s="558">
        <v>704.0</v>
      </c>
      <c r="C7" s="553"/>
      <c r="D7" s="553"/>
      <c r="E7" s="553"/>
      <c r="F7" s="553"/>
      <c r="G7" s="553"/>
      <c r="H7" s="553"/>
      <c r="I7" s="553"/>
      <c r="J7" s="553"/>
      <c r="K7" s="553"/>
      <c r="L7" s="553"/>
      <c r="M7" s="553"/>
      <c r="N7" s="553"/>
      <c r="O7" s="553"/>
      <c r="P7" s="553"/>
      <c r="Q7" s="553"/>
      <c r="R7" s="553"/>
      <c r="S7" s="553"/>
      <c r="T7" s="553"/>
      <c r="U7" s="553"/>
      <c r="V7" s="553"/>
      <c r="W7" s="553"/>
      <c r="X7" s="553"/>
      <c r="Y7" s="553"/>
    </row>
    <row r="8">
      <c r="A8" s="123" t="s">
        <v>5710</v>
      </c>
      <c r="B8" s="558">
        <v>799.0</v>
      </c>
      <c r="C8" s="553"/>
      <c r="D8" s="553"/>
      <c r="E8" s="553"/>
      <c r="F8" s="553"/>
      <c r="G8" s="553"/>
      <c r="H8" s="553"/>
      <c r="I8" s="553"/>
      <c r="J8" s="553"/>
      <c r="K8" s="553"/>
      <c r="L8" s="553"/>
      <c r="M8" s="553"/>
      <c r="N8" s="553"/>
      <c r="O8" s="553"/>
      <c r="P8" s="553"/>
      <c r="Q8" s="553"/>
      <c r="R8" s="553"/>
      <c r="S8" s="553"/>
      <c r="T8" s="553"/>
      <c r="U8" s="553"/>
      <c r="V8" s="553"/>
      <c r="W8" s="553"/>
      <c r="X8" s="553"/>
      <c r="Y8" s="553"/>
    </row>
    <row r="9">
      <c r="A9" s="123" t="s">
        <v>6809</v>
      </c>
      <c r="B9" s="558">
        <v>245.0</v>
      </c>
      <c r="C9" s="553"/>
      <c r="D9" s="553"/>
      <c r="E9" s="553"/>
      <c r="F9" s="553"/>
      <c r="G9" s="553"/>
      <c r="H9" s="553"/>
      <c r="I9" s="553"/>
      <c r="J9" s="553"/>
      <c r="K9" s="553"/>
      <c r="L9" s="553"/>
      <c r="M9" s="553"/>
      <c r="N9" s="553"/>
      <c r="O9" s="553"/>
      <c r="P9" s="553"/>
      <c r="Q9" s="553"/>
      <c r="R9" s="553"/>
      <c r="S9" s="553"/>
      <c r="T9" s="553"/>
      <c r="U9" s="553"/>
      <c r="V9" s="553"/>
      <c r="W9" s="553"/>
      <c r="X9" s="553"/>
      <c r="Y9" s="553"/>
    </row>
    <row r="10">
      <c r="A10" s="123" t="s">
        <v>2476</v>
      </c>
      <c r="B10" s="558">
        <v>14382.0</v>
      </c>
      <c r="C10" s="553"/>
      <c r="D10" s="553"/>
      <c r="E10" s="553"/>
      <c r="F10" s="553"/>
      <c r="G10" s="553"/>
      <c r="H10" s="553"/>
      <c r="I10" s="553"/>
      <c r="J10" s="553"/>
      <c r="K10" s="553"/>
      <c r="L10" s="553"/>
      <c r="M10" s="553"/>
      <c r="N10" s="553"/>
      <c r="O10" s="553"/>
      <c r="P10" s="553"/>
      <c r="Q10" s="553"/>
      <c r="R10" s="553"/>
      <c r="S10" s="553"/>
      <c r="T10" s="553"/>
      <c r="U10" s="553"/>
      <c r="V10" s="553"/>
      <c r="W10" s="553"/>
      <c r="X10" s="553"/>
      <c r="Y10" s="553"/>
    </row>
    <row r="11">
      <c r="A11" s="123" t="s">
        <v>1873</v>
      </c>
      <c r="B11" s="558">
        <v>1147.0</v>
      </c>
      <c r="C11" s="553"/>
      <c r="D11" s="553"/>
      <c r="E11" s="553"/>
      <c r="F11" s="553"/>
      <c r="G11" s="553"/>
      <c r="H11" s="553"/>
      <c r="I11" s="553"/>
      <c r="J11" s="553"/>
      <c r="K11" s="553"/>
      <c r="L11" s="553"/>
      <c r="M11" s="553"/>
      <c r="N11" s="553"/>
      <c r="O11" s="553"/>
      <c r="P11" s="553"/>
      <c r="Q11" s="553"/>
      <c r="R11" s="553"/>
      <c r="S11" s="553"/>
      <c r="T11" s="553"/>
      <c r="U11" s="553"/>
      <c r="V11" s="553"/>
      <c r="W11" s="553"/>
      <c r="X11" s="553"/>
      <c r="Y11" s="553"/>
    </row>
    <row r="12">
      <c r="A12" s="123" t="s">
        <v>1348</v>
      </c>
      <c r="B12" s="558">
        <v>311.0</v>
      </c>
      <c r="C12" s="553"/>
      <c r="D12" s="553"/>
      <c r="E12" s="553"/>
      <c r="F12" s="553"/>
      <c r="G12" s="553"/>
      <c r="H12" s="553"/>
      <c r="I12" s="553"/>
      <c r="J12" s="553"/>
      <c r="K12" s="553"/>
      <c r="L12" s="553"/>
      <c r="M12" s="553"/>
      <c r="N12" s="553"/>
      <c r="O12" s="553"/>
      <c r="P12" s="553"/>
      <c r="Q12" s="553"/>
      <c r="R12" s="553"/>
      <c r="S12" s="553"/>
      <c r="T12" s="553"/>
      <c r="U12" s="553"/>
      <c r="V12" s="553"/>
      <c r="W12" s="553"/>
      <c r="X12" s="553"/>
      <c r="Y12" s="553"/>
    </row>
    <row r="13">
      <c r="A13" s="123" t="s">
        <v>2442</v>
      </c>
      <c r="B13" s="558">
        <v>3417.0</v>
      </c>
      <c r="C13" s="553"/>
      <c r="D13" s="553"/>
      <c r="E13" s="553"/>
      <c r="F13" s="553"/>
      <c r="G13" s="553"/>
      <c r="H13" s="553"/>
      <c r="I13" s="553"/>
      <c r="J13" s="553"/>
      <c r="K13" s="553"/>
      <c r="L13" s="553"/>
      <c r="M13" s="553"/>
      <c r="N13" s="553"/>
      <c r="O13" s="553"/>
      <c r="P13" s="553"/>
      <c r="Q13" s="553"/>
      <c r="R13" s="553"/>
      <c r="S13" s="553"/>
      <c r="T13" s="553"/>
      <c r="U13" s="553"/>
      <c r="V13" s="553"/>
      <c r="W13" s="553"/>
      <c r="X13" s="553"/>
      <c r="Y13" s="553"/>
    </row>
    <row r="14">
      <c r="A14" s="123" t="s">
        <v>5717</v>
      </c>
      <c r="B14" s="558">
        <v>1539.0</v>
      </c>
      <c r="C14" s="553"/>
      <c r="D14" s="553"/>
      <c r="E14" s="553"/>
      <c r="F14" s="553"/>
      <c r="G14" s="553"/>
      <c r="H14" s="553"/>
      <c r="I14" s="553"/>
      <c r="J14" s="553"/>
      <c r="K14" s="553"/>
      <c r="L14" s="553"/>
      <c r="M14" s="553"/>
      <c r="N14" s="553"/>
      <c r="O14" s="553"/>
      <c r="P14" s="553"/>
      <c r="Q14" s="553"/>
      <c r="R14" s="553"/>
      <c r="S14" s="553"/>
      <c r="T14" s="553"/>
      <c r="U14" s="553"/>
      <c r="V14" s="553"/>
      <c r="W14" s="553"/>
      <c r="X14" s="553"/>
      <c r="Y14" s="553"/>
    </row>
    <row r="15">
      <c r="A15" s="123" t="s">
        <v>146</v>
      </c>
      <c r="B15" s="558">
        <v>1016.0</v>
      </c>
      <c r="C15" s="553"/>
      <c r="D15" s="553"/>
      <c r="E15" s="553"/>
      <c r="F15" s="553"/>
      <c r="G15" s="553"/>
      <c r="H15" s="553"/>
      <c r="I15" s="553"/>
      <c r="J15" s="553"/>
      <c r="K15" s="553"/>
      <c r="L15" s="553"/>
      <c r="M15" s="553"/>
      <c r="N15" s="553"/>
      <c r="O15" s="553"/>
      <c r="P15" s="553"/>
      <c r="Q15" s="553"/>
      <c r="R15" s="553"/>
      <c r="S15" s="553"/>
      <c r="T15" s="553"/>
      <c r="U15" s="553"/>
      <c r="V15" s="553"/>
      <c r="W15" s="553"/>
      <c r="X15" s="553"/>
      <c r="Y15" s="553"/>
    </row>
    <row r="16">
      <c r="A16" s="123" t="s">
        <v>6091</v>
      </c>
      <c r="B16" s="558">
        <v>877.0</v>
      </c>
      <c r="C16" s="553"/>
      <c r="D16" s="553"/>
      <c r="E16" s="553"/>
      <c r="F16" s="553"/>
      <c r="G16" s="553"/>
      <c r="H16" s="553"/>
      <c r="I16" s="553"/>
      <c r="J16" s="553"/>
      <c r="K16" s="553"/>
      <c r="L16" s="553"/>
      <c r="M16" s="553"/>
      <c r="N16" s="553"/>
      <c r="O16" s="553"/>
      <c r="P16" s="553"/>
      <c r="Q16" s="553"/>
      <c r="R16" s="553"/>
      <c r="S16" s="553"/>
      <c r="T16" s="553"/>
      <c r="U16" s="553"/>
      <c r="V16" s="553"/>
      <c r="W16" s="553"/>
      <c r="X16" s="553"/>
      <c r="Y16" s="553"/>
    </row>
    <row r="17">
      <c r="A17" s="123" t="s">
        <v>788</v>
      </c>
      <c r="B17" s="558">
        <v>820.0</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row>
    <row r="18">
      <c r="A18" s="123" t="s">
        <v>2110</v>
      </c>
      <c r="B18" s="558">
        <v>734.0</v>
      </c>
      <c r="C18" s="553"/>
      <c r="D18" s="553"/>
      <c r="E18" s="553"/>
      <c r="F18" s="553"/>
      <c r="G18" s="553"/>
      <c r="H18" s="553"/>
      <c r="I18" s="553"/>
      <c r="J18" s="553"/>
      <c r="K18" s="553"/>
      <c r="L18" s="553"/>
      <c r="M18" s="553"/>
      <c r="N18" s="553"/>
      <c r="O18" s="553"/>
      <c r="P18" s="553"/>
      <c r="Q18" s="553"/>
      <c r="R18" s="553"/>
      <c r="S18" s="553"/>
      <c r="T18" s="553"/>
      <c r="U18" s="553"/>
      <c r="V18" s="553"/>
      <c r="W18" s="553"/>
      <c r="X18" s="553"/>
      <c r="Y18" s="553"/>
    </row>
    <row r="19">
      <c r="A19" s="123" t="s">
        <v>3463</v>
      </c>
      <c r="B19" s="558">
        <v>807.0</v>
      </c>
      <c r="C19" s="553"/>
      <c r="D19" s="553"/>
      <c r="E19" s="553"/>
      <c r="F19" s="553"/>
      <c r="G19" s="553"/>
      <c r="H19" s="553"/>
      <c r="I19" s="553"/>
      <c r="J19" s="553"/>
      <c r="K19" s="553"/>
      <c r="L19" s="553"/>
      <c r="M19" s="553"/>
      <c r="N19" s="553"/>
      <c r="O19" s="553"/>
      <c r="P19" s="553"/>
      <c r="Q19" s="553"/>
      <c r="R19" s="553"/>
      <c r="S19" s="553"/>
      <c r="T19" s="553"/>
      <c r="U19" s="553"/>
      <c r="V19" s="553"/>
      <c r="W19" s="553"/>
      <c r="X19" s="553"/>
      <c r="Y19" s="553"/>
    </row>
    <row r="20">
      <c r="A20" s="123" t="s">
        <v>5728</v>
      </c>
      <c r="B20" s="558">
        <v>589.0</v>
      </c>
      <c r="C20" s="553"/>
      <c r="D20" s="553"/>
      <c r="E20" s="553"/>
      <c r="F20" s="553"/>
      <c r="G20" s="553"/>
      <c r="H20" s="553"/>
      <c r="I20" s="553"/>
      <c r="J20" s="553"/>
      <c r="K20" s="553"/>
      <c r="L20" s="553"/>
      <c r="M20" s="553"/>
      <c r="N20" s="553"/>
      <c r="O20" s="553"/>
      <c r="P20" s="553"/>
      <c r="Q20" s="553"/>
      <c r="R20" s="553"/>
      <c r="S20" s="553"/>
      <c r="T20" s="553"/>
      <c r="U20" s="553"/>
      <c r="V20" s="553"/>
      <c r="W20" s="553"/>
      <c r="X20" s="553"/>
      <c r="Y20" s="553"/>
    </row>
    <row r="21" ht="15.75" customHeight="1">
      <c r="A21" s="123" t="s">
        <v>5015</v>
      </c>
      <c r="B21" s="558">
        <v>532.0</v>
      </c>
      <c r="C21" s="553"/>
      <c r="D21" s="553"/>
      <c r="E21" s="553"/>
      <c r="F21" s="553"/>
      <c r="G21" s="553"/>
      <c r="H21" s="553"/>
      <c r="I21" s="553"/>
      <c r="J21" s="553"/>
      <c r="K21" s="553"/>
      <c r="L21" s="553"/>
      <c r="M21" s="553"/>
      <c r="N21" s="553"/>
      <c r="O21" s="553"/>
      <c r="P21" s="553"/>
      <c r="Q21" s="553"/>
      <c r="R21" s="553"/>
      <c r="S21" s="553"/>
      <c r="T21" s="553"/>
      <c r="U21" s="553"/>
      <c r="V21" s="553"/>
      <c r="W21" s="553"/>
      <c r="X21" s="553"/>
      <c r="Y21" s="553"/>
    </row>
    <row r="22" ht="15.75" customHeight="1">
      <c r="A22" s="123" t="s">
        <v>5732</v>
      </c>
      <c r="B22" s="558">
        <v>341.0</v>
      </c>
      <c r="C22" s="553"/>
      <c r="D22" s="553"/>
      <c r="E22" s="553"/>
      <c r="F22" s="553"/>
      <c r="G22" s="553"/>
      <c r="H22" s="553"/>
      <c r="I22" s="553"/>
      <c r="J22" s="553"/>
      <c r="K22" s="553"/>
      <c r="L22" s="553"/>
      <c r="M22" s="553"/>
      <c r="N22" s="553"/>
      <c r="O22" s="553"/>
      <c r="P22" s="553"/>
      <c r="Q22" s="553"/>
      <c r="R22" s="553"/>
      <c r="S22" s="553"/>
      <c r="T22" s="553"/>
      <c r="U22" s="553"/>
      <c r="V22" s="553"/>
      <c r="W22" s="553"/>
      <c r="X22" s="553"/>
      <c r="Y22" s="553"/>
    </row>
    <row r="23" ht="15.75" customHeight="1">
      <c r="A23" s="123" t="s">
        <v>7670</v>
      </c>
      <c r="B23" s="558">
        <v>523.0</v>
      </c>
      <c r="C23" s="553"/>
      <c r="D23" s="553"/>
      <c r="E23" s="553"/>
      <c r="F23" s="553"/>
      <c r="G23" s="553"/>
      <c r="H23" s="553"/>
      <c r="I23" s="553"/>
      <c r="J23" s="553"/>
      <c r="K23" s="553"/>
      <c r="L23" s="553"/>
      <c r="M23" s="553"/>
      <c r="N23" s="553"/>
      <c r="O23" s="553"/>
      <c r="P23" s="553"/>
      <c r="Q23" s="553"/>
      <c r="R23" s="553"/>
      <c r="S23" s="553"/>
      <c r="T23" s="553"/>
      <c r="U23" s="553"/>
      <c r="V23" s="553"/>
      <c r="W23" s="553"/>
      <c r="X23" s="553"/>
      <c r="Y23" s="553"/>
    </row>
    <row r="24" ht="15.75" customHeight="1">
      <c r="A24" s="123" t="s">
        <v>5447</v>
      </c>
      <c r="B24" s="558">
        <v>850.0</v>
      </c>
      <c r="C24" s="553"/>
      <c r="D24" s="553"/>
      <c r="E24" s="553"/>
      <c r="F24" s="553"/>
      <c r="G24" s="553"/>
      <c r="H24" s="553"/>
      <c r="I24" s="553"/>
      <c r="J24" s="553"/>
      <c r="K24" s="553"/>
      <c r="L24" s="553"/>
      <c r="M24" s="553"/>
      <c r="N24" s="553"/>
      <c r="O24" s="553"/>
      <c r="P24" s="553"/>
      <c r="Q24" s="553"/>
      <c r="R24" s="553"/>
      <c r="S24" s="553"/>
      <c r="T24" s="553"/>
      <c r="U24" s="553"/>
      <c r="V24" s="553"/>
      <c r="W24" s="553"/>
      <c r="X24" s="553"/>
      <c r="Y24" s="553"/>
    </row>
    <row r="25" ht="15.75" customHeight="1">
      <c r="A25" s="123" t="s">
        <v>6821</v>
      </c>
      <c r="B25" s="558">
        <v>366.0</v>
      </c>
      <c r="C25" s="553"/>
      <c r="D25" s="553"/>
      <c r="E25" s="553"/>
      <c r="F25" s="553"/>
      <c r="G25" s="553"/>
      <c r="H25" s="553"/>
      <c r="I25" s="553"/>
      <c r="J25" s="553"/>
      <c r="K25" s="553"/>
      <c r="L25" s="553"/>
      <c r="M25" s="553"/>
      <c r="N25" s="553"/>
      <c r="O25" s="553"/>
      <c r="P25" s="553"/>
      <c r="Q25" s="553"/>
      <c r="R25" s="553"/>
      <c r="S25" s="553"/>
      <c r="T25" s="553"/>
      <c r="U25" s="553"/>
      <c r="V25" s="553"/>
      <c r="W25" s="553"/>
      <c r="X25" s="553"/>
      <c r="Y25" s="553"/>
    </row>
    <row r="26" ht="15.75" customHeight="1">
      <c r="A26" s="123" t="s">
        <v>5044</v>
      </c>
      <c r="B26" s="558">
        <v>657.0</v>
      </c>
      <c r="C26" s="553"/>
      <c r="D26" s="553"/>
      <c r="E26" s="553"/>
      <c r="F26" s="553"/>
      <c r="G26" s="553"/>
      <c r="H26" s="553"/>
      <c r="I26" s="553"/>
      <c r="J26" s="553"/>
      <c r="K26" s="553"/>
      <c r="L26" s="553"/>
      <c r="M26" s="553"/>
      <c r="N26" s="553"/>
      <c r="O26" s="553"/>
      <c r="P26" s="553"/>
      <c r="Q26" s="553"/>
      <c r="R26" s="553"/>
      <c r="S26" s="553"/>
      <c r="T26" s="553"/>
      <c r="U26" s="553"/>
      <c r="V26" s="553"/>
      <c r="W26" s="553"/>
      <c r="X26" s="553"/>
      <c r="Y26" s="553"/>
    </row>
    <row r="27" ht="15.75" customHeight="1">
      <c r="A27" s="123" t="s">
        <v>6116</v>
      </c>
      <c r="B27" s="558">
        <v>621.0</v>
      </c>
      <c r="C27" s="553"/>
      <c r="D27" s="553"/>
      <c r="E27" s="553"/>
      <c r="F27" s="553"/>
      <c r="G27" s="553"/>
      <c r="H27" s="553"/>
      <c r="I27" s="553"/>
      <c r="J27" s="553"/>
      <c r="K27" s="553"/>
      <c r="L27" s="553"/>
      <c r="M27" s="553"/>
      <c r="N27" s="553"/>
      <c r="O27" s="553"/>
      <c r="P27" s="553"/>
      <c r="Q27" s="553"/>
      <c r="R27" s="553"/>
      <c r="S27" s="553"/>
      <c r="T27" s="553"/>
      <c r="U27" s="553"/>
      <c r="V27" s="553"/>
      <c r="W27" s="553"/>
      <c r="X27" s="553"/>
      <c r="Y27" s="553"/>
    </row>
    <row r="28" ht="15.75" customHeight="1">
      <c r="A28" s="123" t="s">
        <v>1066</v>
      </c>
      <c r="B28" s="558">
        <v>3473.0</v>
      </c>
      <c r="C28" s="553"/>
      <c r="D28" s="553"/>
      <c r="E28" s="553"/>
      <c r="F28" s="553"/>
      <c r="G28" s="553"/>
      <c r="H28" s="553"/>
      <c r="I28" s="553"/>
      <c r="J28" s="553"/>
      <c r="K28" s="553"/>
      <c r="L28" s="553"/>
      <c r="M28" s="553"/>
      <c r="N28" s="553"/>
      <c r="O28" s="553"/>
      <c r="P28" s="553"/>
      <c r="Q28" s="553"/>
      <c r="R28" s="553"/>
      <c r="S28" s="553"/>
      <c r="T28" s="553"/>
      <c r="U28" s="553"/>
      <c r="V28" s="553"/>
      <c r="W28" s="553"/>
      <c r="X28" s="553"/>
      <c r="Y28" s="553"/>
    </row>
    <row r="29" ht="15.75" customHeight="1">
      <c r="A29" s="123" t="s">
        <v>5464</v>
      </c>
      <c r="B29" s="558">
        <v>726.0</v>
      </c>
      <c r="C29" s="553"/>
      <c r="D29" s="553"/>
      <c r="E29" s="553"/>
      <c r="F29" s="553"/>
      <c r="G29" s="553"/>
      <c r="H29" s="553"/>
      <c r="I29" s="553"/>
      <c r="J29" s="553"/>
      <c r="K29" s="553"/>
      <c r="L29" s="553"/>
      <c r="M29" s="553"/>
      <c r="N29" s="553"/>
      <c r="O29" s="553"/>
      <c r="P29" s="553"/>
      <c r="Q29" s="553"/>
      <c r="R29" s="553"/>
      <c r="S29" s="553"/>
      <c r="T29" s="553"/>
      <c r="U29" s="553"/>
      <c r="V29" s="553"/>
      <c r="W29" s="553"/>
      <c r="X29" s="553"/>
      <c r="Y29" s="553"/>
    </row>
    <row r="30" ht="15.75" customHeight="1">
      <c r="A30" s="123" t="s">
        <v>1352</v>
      </c>
      <c r="B30" s="558">
        <v>959.0</v>
      </c>
      <c r="C30" s="553"/>
      <c r="D30" s="553"/>
      <c r="E30" s="553"/>
      <c r="F30" s="553"/>
      <c r="G30" s="553"/>
      <c r="H30" s="553"/>
      <c r="I30" s="553"/>
      <c r="J30" s="553"/>
      <c r="K30" s="553"/>
      <c r="L30" s="553"/>
      <c r="M30" s="553"/>
      <c r="N30" s="553"/>
      <c r="O30" s="553"/>
      <c r="P30" s="553"/>
      <c r="Q30" s="553"/>
      <c r="R30" s="553"/>
      <c r="S30" s="553"/>
      <c r="T30" s="553"/>
      <c r="U30" s="553"/>
      <c r="V30" s="553"/>
      <c r="W30" s="553"/>
      <c r="X30" s="553"/>
      <c r="Y30" s="553"/>
    </row>
    <row r="31" ht="15.75" customHeight="1">
      <c r="A31" s="123" t="s">
        <v>1678</v>
      </c>
      <c r="B31" s="558">
        <v>584.0</v>
      </c>
      <c r="C31" s="553"/>
      <c r="D31" s="553"/>
      <c r="E31" s="553"/>
      <c r="F31" s="553"/>
      <c r="G31" s="553"/>
      <c r="H31" s="553"/>
      <c r="I31" s="553"/>
      <c r="J31" s="553"/>
      <c r="K31" s="553"/>
      <c r="L31" s="553"/>
      <c r="M31" s="553"/>
      <c r="N31" s="553"/>
      <c r="O31" s="553"/>
      <c r="P31" s="553"/>
      <c r="Q31" s="553"/>
      <c r="R31" s="553"/>
      <c r="S31" s="553"/>
      <c r="T31" s="553"/>
      <c r="U31" s="553"/>
      <c r="V31" s="553"/>
      <c r="W31" s="553"/>
      <c r="X31" s="553"/>
      <c r="Y31" s="553"/>
    </row>
    <row r="32" ht="15.75" customHeight="1">
      <c r="A32" s="123" t="s">
        <v>1359</v>
      </c>
      <c r="B32" s="558">
        <v>606.0</v>
      </c>
      <c r="C32" s="553"/>
      <c r="D32" s="553"/>
      <c r="E32" s="553"/>
      <c r="F32" s="553"/>
      <c r="G32" s="553"/>
      <c r="H32" s="553"/>
      <c r="I32" s="553"/>
      <c r="J32" s="553"/>
      <c r="K32" s="553"/>
      <c r="L32" s="553"/>
      <c r="M32" s="553"/>
      <c r="N32" s="553"/>
      <c r="O32" s="553"/>
      <c r="P32" s="553"/>
      <c r="Q32" s="553"/>
      <c r="R32" s="553"/>
      <c r="S32" s="553"/>
      <c r="T32" s="553"/>
      <c r="U32" s="553"/>
      <c r="V32" s="553"/>
      <c r="W32" s="553"/>
      <c r="X32" s="553"/>
      <c r="Y32" s="553"/>
    </row>
    <row r="33" ht="15.75" customHeight="1">
      <c r="A33" s="123" t="s">
        <v>3486</v>
      </c>
      <c r="B33" s="558">
        <v>669.0</v>
      </c>
      <c r="C33" s="553"/>
      <c r="D33" s="553"/>
      <c r="E33" s="553"/>
      <c r="F33" s="553"/>
      <c r="G33" s="553"/>
      <c r="H33" s="553"/>
      <c r="I33" s="553"/>
      <c r="J33" s="553"/>
      <c r="K33" s="553"/>
      <c r="L33" s="553"/>
      <c r="M33" s="553"/>
      <c r="N33" s="553"/>
      <c r="O33" s="553"/>
      <c r="P33" s="553"/>
      <c r="Q33" s="553"/>
      <c r="R33" s="553"/>
      <c r="S33" s="553"/>
      <c r="T33" s="553"/>
      <c r="U33" s="553"/>
      <c r="V33" s="553"/>
      <c r="W33" s="553"/>
      <c r="X33" s="553"/>
      <c r="Y33" s="553"/>
    </row>
    <row r="34" ht="15.75" customHeight="1">
      <c r="A34" s="123" t="s">
        <v>4530</v>
      </c>
      <c r="B34" s="558">
        <v>915.0</v>
      </c>
      <c r="C34" s="553"/>
      <c r="D34" s="553"/>
      <c r="E34" s="553"/>
      <c r="F34" s="553"/>
      <c r="G34" s="553"/>
      <c r="H34" s="553"/>
      <c r="I34" s="553"/>
      <c r="J34" s="553"/>
      <c r="K34" s="553"/>
      <c r="L34" s="553"/>
      <c r="M34" s="553"/>
      <c r="N34" s="553"/>
      <c r="O34" s="553"/>
      <c r="P34" s="553"/>
      <c r="Q34" s="553"/>
      <c r="R34" s="553"/>
      <c r="S34" s="553"/>
      <c r="T34" s="553"/>
      <c r="U34" s="553"/>
      <c r="V34" s="553"/>
      <c r="W34" s="553"/>
      <c r="X34" s="553"/>
      <c r="Y34" s="553"/>
    </row>
    <row r="35" ht="15.75" customHeight="1">
      <c r="A35" s="123" t="s">
        <v>5024</v>
      </c>
      <c r="B35" s="558">
        <v>2001.0</v>
      </c>
      <c r="C35" s="553"/>
      <c r="D35" s="553"/>
      <c r="E35" s="553"/>
      <c r="F35" s="553"/>
      <c r="G35" s="553"/>
      <c r="H35" s="553"/>
      <c r="I35" s="553"/>
      <c r="J35" s="553"/>
      <c r="K35" s="553"/>
      <c r="L35" s="553"/>
      <c r="M35" s="553"/>
      <c r="N35" s="553"/>
      <c r="O35" s="553"/>
      <c r="P35" s="553"/>
      <c r="Q35" s="553"/>
      <c r="R35" s="553"/>
      <c r="S35" s="553"/>
      <c r="T35" s="553"/>
      <c r="U35" s="553"/>
      <c r="V35" s="553"/>
      <c r="W35" s="553"/>
      <c r="X35" s="553"/>
      <c r="Y35" s="553"/>
    </row>
    <row r="36" ht="15.75" customHeight="1">
      <c r="A36" s="123" t="s">
        <v>426</v>
      </c>
      <c r="B36" s="558">
        <v>3675.0</v>
      </c>
      <c r="C36" s="553"/>
      <c r="D36" s="553"/>
      <c r="E36" s="553"/>
      <c r="F36" s="553"/>
      <c r="G36" s="553"/>
      <c r="H36" s="553"/>
      <c r="I36" s="553"/>
      <c r="J36" s="553"/>
      <c r="K36" s="553"/>
      <c r="L36" s="553"/>
      <c r="M36" s="553"/>
      <c r="N36" s="553"/>
      <c r="O36" s="553"/>
      <c r="P36" s="553"/>
      <c r="Q36" s="553"/>
      <c r="R36" s="553"/>
      <c r="S36" s="553"/>
      <c r="T36" s="553"/>
      <c r="U36" s="553"/>
      <c r="V36" s="553"/>
      <c r="W36" s="553"/>
      <c r="X36" s="553"/>
      <c r="Y36" s="553"/>
    </row>
    <row r="37" ht="15.75" customHeight="1">
      <c r="A37" s="123" t="s">
        <v>795</v>
      </c>
      <c r="B37" s="558">
        <v>1417.0</v>
      </c>
      <c r="C37" s="553"/>
      <c r="D37" s="553"/>
      <c r="E37" s="553"/>
      <c r="F37" s="553"/>
      <c r="G37" s="553"/>
      <c r="H37" s="553"/>
      <c r="I37" s="553"/>
      <c r="J37" s="553"/>
      <c r="K37" s="553"/>
      <c r="L37" s="553"/>
      <c r="M37" s="553"/>
      <c r="N37" s="553"/>
      <c r="O37" s="553"/>
      <c r="P37" s="553"/>
      <c r="Q37" s="553"/>
      <c r="R37" s="553"/>
      <c r="S37" s="553"/>
      <c r="T37" s="553"/>
      <c r="U37" s="553"/>
      <c r="V37" s="553"/>
      <c r="W37" s="553"/>
      <c r="X37" s="553"/>
      <c r="Y37" s="553"/>
    </row>
    <row r="38" ht="15.75" customHeight="1">
      <c r="A38" s="123" t="s">
        <v>6120</v>
      </c>
      <c r="B38" s="558">
        <v>1913.0</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row>
    <row r="39" ht="15.75" customHeight="1">
      <c r="A39" s="123" t="s">
        <v>172</v>
      </c>
      <c r="B39" s="558">
        <v>793.0</v>
      </c>
      <c r="C39" s="553"/>
      <c r="D39" s="553"/>
      <c r="E39" s="553"/>
      <c r="F39" s="553"/>
      <c r="G39" s="553"/>
      <c r="H39" s="553"/>
      <c r="I39" s="553"/>
      <c r="J39" s="553"/>
      <c r="K39" s="553"/>
      <c r="L39" s="553"/>
      <c r="M39" s="553"/>
      <c r="N39" s="553"/>
      <c r="O39" s="553"/>
      <c r="P39" s="553"/>
      <c r="Q39" s="553"/>
      <c r="R39" s="553"/>
      <c r="S39" s="553"/>
      <c r="T39" s="553"/>
      <c r="U39" s="553"/>
      <c r="V39" s="553"/>
      <c r="W39" s="553"/>
      <c r="X39" s="553"/>
      <c r="Y39" s="553"/>
    </row>
    <row r="40" ht="15.75" customHeight="1">
      <c r="A40" s="123" t="s">
        <v>6833</v>
      </c>
      <c r="B40" s="558">
        <v>332.0</v>
      </c>
      <c r="C40" s="553"/>
      <c r="D40" s="553"/>
      <c r="E40" s="553"/>
      <c r="F40" s="553"/>
      <c r="G40" s="553"/>
      <c r="H40" s="553"/>
      <c r="I40" s="553"/>
      <c r="J40" s="553"/>
      <c r="K40" s="553"/>
      <c r="L40" s="553"/>
      <c r="M40" s="553"/>
      <c r="N40" s="553"/>
      <c r="O40" s="553"/>
      <c r="P40" s="553"/>
      <c r="Q40" s="553"/>
      <c r="R40" s="553"/>
      <c r="S40" s="553"/>
      <c r="T40" s="553"/>
      <c r="U40" s="553"/>
      <c r="V40" s="553"/>
      <c r="W40" s="553"/>
      <c r="X40" s="553"/>
      <c r="Y40" s="553"/>
    </row>
    <row r="41" ht="15.75" customHeight="1">
      <c r="A41" s="123" t="s">
        <v>3497</v>
      </c>
      <c r="B41" s="558">
        <v>8454.0</v>
      </c>
      <c r="C41" s="553"/>
      <c r="D41" s="553"/>
      <c r="E41" s="553"/>
      <c r="F41" s="553"/>
      <c r="G41" s="553"/>
      <c r="H41" s="553"/>
      <c r="I41" s="553"/>
      <c r="J41" s="553"/>
      <c r="K41" s="553"/>
      <c r="L41" s="553"/>
      <c r="M41" s="553"/>
      <c r="N41" s="553"/>
      <c r="O41" s="553"/>
      <c r="P41" s="553"/>
      <c r="Q41" s="553"/>
      <c r="R41" s="553"/>
      <c r="S41" s="553"/>
      <c r="T41" s="553"/>
      <c r="U41" s="553"/>
      <c r="V41" s="553"/>
      <c r="W41" s="553"/>
      <c r="X41" s="553"/>
      <c r="Y41" s="553"/>
    </row>
    <row r="42" ht="15.75" customHeight="1">
      <c r="A42" s="123" t="s">
        <v>192</v>
      </c>
      <c r="B42" s="558">
        <v>597.0</v>
      </c>
      <c r="C42" s="553"/>
      <c r="D42" s="553"/>
      <c r="E42" s="553"/>
      <c r="F42" s="553"/>
      <c r="G42" s="553"/>
      <c r="H42" s="553"/>
      <c r="I42" s="553"/>
      <c r="J42" s="553"/>
      <c r="K42" s="553"/>
      <c r="L42" s="553"/>
      <c r="M42" s="553"/>
      <c r="N42" s="553"/>
      <c r="O42" s="553"/>
      <c r="P42" s="553"/>
      <c r="Q42" s="553"/>
      <c r="R42" s="553"/>
      <c r="S42" s="553"/>
      <c r="T42" s="553"/>
      <c r="U42" s="553"/>
      <c r="V42" s="553"/>
      <c r="W42" s="553"/>
      <c r="X42" s="553"/>
      <c r="Y42" s="553"/>
    </row>
    <row r="43" ht="15.75" customHeight="1">
      <c r="A43" s="123" t="s">
        <v>1366</v>
      </c>
      <c r="B43" s="558">
        <v>335.0</v>
      </c>
      <c r="C43" s="553"/>
      <c r="D43" s="553"/>
      <c r="E43" s="553"/>
      <c r="F43" s="553"/>
      <c r="G43" s="553"/>
      <c r="H43" s="553"/>
      <c r="I43" s="553"/>
      <c r="J43" s="553"/>
      <c r="K43" s="553"/>
      <c r="L43" s="553"/>
      <c r="M43" s="553"/>
      <c r="N43" s="553"/>
      <c r="O43" s="553"/>
      <c r="P43" s="553"/>
      <c r="Q43" s="553"/>
      <c r="R43" s="553"/>
      <c r="S43" s="553"/>
      <c r="T43" s="553"/>
      <c r="U43" s="553"/>
      <c r="V43" s="553"/>
      <c r="W43" s="553"/>
      <c r="X43" s="553"/>
      <c r="Y43" s="553"/>
    </row>
    <row r="44" ht="15.75" customHeight="1">
      <c r="A44" s="123" t="s">
        <v>1097</v>
      </c>
      <c r="B44" s="558">
        <v>657.0</v>
      </c>
      <c r="C44" s="553"/>
      <c r="D44" s="553"/>
      <c r="E44" s="553"/>
      <c r="F44" s="553"/>
      <c r="G44" s="553"/>
      <c r="H44" s="553"/>
      <c r="I44" s="553"/>
      <c r="J44" s="553"/>
      <c r="K44" s="553"/>
      <c r="L44" s="553"/>
      <c r="M44" s="553"/>
      <c r="N44" s="553"/>
      <c r="O44" s="553"/>
      <c r="P44" s="553"/>
      <c r="Q44" s="553"/>
      <c r="R44" s="553"/>
      <c r="S44" s="553"/>
      <c r="T44" s="553"/>
      <c r="U44" s="553"/>
      <c r="V44" s="553"/>
      <c r="W44" s="553"/>
      <c r="X44" s="553"/>
      <c r="Y44" s="553"/>
    </row>
    <row r="45" ht="15.75" customHeight="1">
      <c r="A45" s="123" t="s">
        <v>2516</v>
      </c>
      <c r="B45" s="558">
        <v>702.0</v>
      </c>
      <c r="C45" s="553"/>
      <c r="D45" s="553"/>
      <c r="E45" s="553"/>
      <c r="F45" s="553"/>
      <c r="G45" s="553"/>
      <c r="H45" s="553"/>
      <c r="I45" s="553"/>
      <c r="J45" s="553"/>
      <c r="K45" s="553"/>
      <c r="L45" s="553"/>
      <c r="M45" s="553"/>
      <c r="N45" s="553"/>
      <c r="O45" s="553"/>
      <c r="P45" s="553"/>
      <c r="Q45" s="553"/>
      <c r="R45" s="553"/>
      <c r="S45" s="553"/>
      <c r="T45" s="553"/>
      <c r="U45" s="553"/>
      <c r="V45" s="553"/>
      <c r="W45" s="553"/>
      <c r="X45" s="553"/>
      <c r="Y45" s="553"/>
    </row>
    <row r="46" ht="15.75" customHeight="1">
      <c r="A46" s="123" t="s">
        <v>6149</v>
      </c>
      <c r="B46" s="558">
        <v>670.0</v>
      </c>
      <c r="C46" s="553"/>
      <c r="D46" s="553"/>
      <c r="E46" s="553"/>
      <c r="F46" s="553"/>
      <c r="G46" s="553"/>
      <c r="H46" s="553"/>
      <c r="I46" s="553"/>
      <c r="J46" s="553"/>
      <c r="K46" s="553"/>
      <c r="L46" s="553"/>
      <c r="M46" s="553"/>
      <c r="N46" s="553"/>
      <c r="O46" s="553"/>
      <c r="P46" s="553"/>
      <c r="Q46" s="553"/>
      <c r="R46" s="553"/>
      <c r="S46" s="553"/>
      <c r="T46" s="553"/>
      <c r="U46" s="553"/>
      <c r="V46" s="553"/>
      <c r="W46" s="553"/>
      <c r="X46" s="553"/>
      <c r="Y46" s="553"/>
    </row>
    <row r="47" ht="15.75" customHeight="1">
      <c r="A47" s="123" t="s">
        <v>1101</v>
      </c>
      <c r="B47" s="558">
        <v>588.0</v>
      </c>
      <c r="C47" s="553"/>
      <c r="D47" s="553"/>
      <c r="E47" s="553"/>
      <c r="F47" s="553"/>
      <c r="G47" s="553"/>
      <c r="H47" s="553"/>
      <c r="I47" s="553"/>
      <c r="J47" s="553"/>
      <c r="K47" s="553"/>
      <c r="L47" s="553"/>
      <c r="M47" s="553"/>
      <c r="N47" s="553"/>
      <c r="O47" s="553"/>
      <c r="P47" s="553"/>
      <c r="Q47" s="553"/>
      <c r="R47" s="553"/>
      <c r="S47" s="553"/>
      <c r="T47" s="553"/>
      <c r="U47" s="553"/>
      <c r="V47" s="553"/>
      <c r="W47" s="553"/>
      <c r="X47" s="553"/>
      <c r="Y47" s="553"/>
    </row>
    <row r="48" ht="15.75" customHeight="1">
      <c r="A48" s="123" t="s">
        <v>2366</v>
      </c>
      <c r="B48" s="558">
        <v>833.0</v>
      </c>
      <c r="C48" s="553"/>
      <c r="D48" s="553"/>
      <c r="E48" s="553"/>
      <c r="F48" s="553"/>
      <c r="G48" s="553"/>
      <c r="H48" s="553"/>
      <c r="I48" s="553"/>
      <c r="J48" s="553"/>
      <c r="K48" s="553"/>
      <c r="L48" s="553"/>
      <c r="M48" s="553"/>
      <c r="N48" s="553"/>
      <c r="O48" s="553"/>
      <c r="P48" s="553"/>
      <c r="Q48" s="553"/>
      <c r="R48" s="553"/>
      <c r="S48" s="553"/>
      <c r="T48" s="553"/>
      <c r="U48" s="553"/>
      <c r="V48" s="553"/>
      <c r="W48" s="553"/>
      <c r="X48" s="553"/>
      <c r="Y48" s="553"/>
    </row>
    <row r="49" ht="15.75" customHeight="1">
      <c r="A49" s="123" t="s">
        <v>4311</v>
      </c>
      <c r="B49" s="558">
        <v>1140.0</v>
      </c>
      <c r="C49" s="553"/>
      <c r="D49" s="553"/>
      <c r="E49" s="553"/>
      <c r="F49" s="553"/>
      <c r="G49" s="553"/>
      <c r="H49" s="553"/>
      <c r="I49" s="553"/>
      <c r="J49" s="553"/>
      <c r="K49" s="553"/>
      <c r="L49" s="553"/>
      <c r="M49" s="553"/>
      <c r="N49" s="553"/>
      <c r="O49" s="553"/>
      <c r="P49" s="553"/>
      <c r="Q49" s="553"/>
      <c r="R49" s="553"/>
      <c r="S49" s="553"/>
      <c r="T49" s="553"/>
      <c r="U49" s="553"/>
      <c r="V49" s="553"/>
      <c r="W49" s="553"/>
      <c r="X49" s="553"/>
      <c r="Y49" s="553"/>
    </row>
    <row r="50" ht="15.75" customHeight="1">
      <c r="A50" s="123" t="s">
        <v>472</v>
      </c>
      <c r="B50" s="558">
        <v>4066.0</v>
      </c>
      <c r="C50" s="553"/>
      <c r="D50" s="553"/>
      <c r="E50" s="553"/>
      <c r="F50" s="553"/>
      <c r="G50" s="553"/>
      <c r="H50" s="553"/>
      <c r="I50" s="553"/>
      <c r="J50" s="553"/>
      <c r="K50" s="553"/>
      <c r="L50" s="553"/>
      <c r="M50" s="553"/>
      <c r="N50" s="553"/>
      <c r="O50" s="553"/>
      <c r="P50" s="553"/>
      <c r="Q50" s="553"/>
      <c r="R50" s="553"/>
      <c r="S50" s="553"/>
      <c r="T50" s="553"/>
      <c r="U50" s="553"/>
      <c r="V50" s="553"/>
      <c r="W50" s="553"/>
      <c r="X50" s="553"/>
      <c r="Y50" s="553"/>
    </row>
    <row r="51" ht="15.75" customHeight="1">
      <c r="A51" s="123" t="s">
        <v>6157</v>
      </c>
      <c r="B51" s="558">
        <v>608.0</v>
      </c>
      <c r="C51" s="553"/>
      <c r="D51" s="553"/>
      <c r="E51" s="553"/>
      <c r="F51" s="553"/>
      <c r="G51" s="553"/>
      <c r="H51" s="553"/>
      <c r="I51" s="553"/>
      <c r="J51" s="553"/>
      <c r="K51" s="553"/>
      <c r="L51" s="553"/>
      <c r="M51" s="553"/>
      <c r="N51" s="553"/>
      <c r="O51" s="553"/>
      <c r="P51" s="553"/>
      <c r="Q51" s="553"/>
      <c r="R51" s="553"/>
      <c r="S51" s="553"/>
      <c r="T51" s="553"/>
      <c r="U51" s="553"/>
      <c r="V51" s="553"/>
      <c r="W51" s="553"/>
      <c r="X51" s="553"/>
      <c r="Y51" s="553"/>
    </row>
    <row r="52" ht="15.75" customHeight="1">
      <c r="A52" s="123" t="s">
        <v>806</v>
      </c>
      <c r="B52" s="558">
        <v>583.0</v>
      </c>
      <c r="C52" s="553"/>
      <c r="D52" s="553"/>
      <c r="E52" s="553"/>
      <c r="F52" s="553"/>
      <c r="G52" s="553"/>
      <c r="H52" s="553"/>
      <c r="I52" s="553"/>
      <c r="J52" s="553"/>
      <c r="K52" s="553"/>
      <c r="L52" s="553"/>
      <c r="M52" s="553"/>
      <c r="N52" s="553"/>
      <c r="O52" s="553"/>
      <c r="P52" s="553"/>
      <c r="Q52" s="553"/>
      <c r="R52" s="553"/>
      <c r="S52" s="553"/>
      <c r="T52" s="553"/>
      <c r="U52" s="553"/>
      <c r="V52" s="553"/>
      <c r="W52" s="553"/>
      <c r="X52" s="553"/>
      <c r="Y52" s="553"/>
    </row>
    <row r="53" ht="15.75" customHeight="1">
      <c r="A53" s="123" t="s">
        <v>812</v>
      </c>
      <c r="B53" s="558">
        <v>888.0</v>
      </c>
      <c r="C53" s="553"/>
      <c r="D53" s="553"/>
      <c r="E53" s="553"/>
      <c r="F53" s="553"/>
      <c r="G53" s="553"/>
      <c r="H53" s="553"/>
      <c r="I53" s="553"/>
      <c r="J53" s="553"/>
      <c r="K53" s="553"/>
      <c r="L53" s="553"/>
      <c r="M53" s="553"/>
      <c r="N53" s="553"/>
      <c r="O53" s="553"/>
      <c r="P53" s="553"/>
      <c r="Q53" s="553"/>
      <c r="R53" s="553"/>
      <c r="S53" s="553"/>
      <c r="T53" s="553"/>
      <c r="U53" s="553"/>
      <c r="V53" s="553"/>
      <c r="W53" s="553"/>
      <c r="X53" s="553"/>
      <c r="Y53" s="553"/>
    </row>
    <row r="54" ht="15.75" customHeight="1">
      <c r="A54" s="123" t="s">
        <v>3851</v>
      </c>
      <c r="B54" s="558">
        <v>1271.0</v>
      </c>
      <c r="C54" s="553"/>
      <c r="D54" s="553"/>
      <c r="E54" s="553"/>
      <c r="F54" s="553"/>
      <c r="G54" s="553"/>
      <c r="H54" s="553"/>
      <c r="I54" s="553"/>
      <c r="J54" s="553"/>
      <c r="K54" s="553"/>
      <c r="L54" s="553"/>
      <c r="M54" s="553"/>
      <c r="N54" s="553"/>
      <c r="O54" s="553"/>
      <c r="P54" s="553"/>
      <c r="Q54" s="553"/>
      <c r="R54" s="553"/>
      <c r="S54" s="553"/>
      <c r="T54" s="553"/>
      <c r="U54" s="553"/>
      <c r="V54" s="553"/>
      <c r="W54" s="553"/>
      <c r="X54" s="553"/>
      <c r="Y54" s="553"/>
    </row>
    <row r="55" ht="15.75" customHeight="1">
      <c r="A55" s="123" t="s">
        <v>3866</v>
      </c>
      <c r="B55" s="558">
        <v>467.0</v>
      </c>
      <c r="C55" s="553"/>
      <c r="D55" s="553"/>
      <c r="E55" s="553"/>
      <c r="F55" s="553"/>
      <c r="G55" s="553"/>
      <c r="H55" s="553"/>
      <c r="I55" s="553"/>
      <c r="J55" s="553"/>
      <c r="K55" s="553"/>
      <c r="L55" s="553"/>
      <c r="M55" s="553"/>
      <c r="N55" s="553"/>
      <c r="O55" s="553"/>
      <c r="P55" s="553"/>
      <c r="Q55" s="553"/>
      <c r="R55" s="553"/>
      <c r="S55" s="553"/>
      <c r="T55" s="553"/>
      <c r="U55" s="553"/>
      <c r="V55" s="553"/>
      <c r="W55" s="553"/>
      <c r="X55" s="553"/>
      <c r="Y55" s="553"/>
    </row>
    <row r="56" ht="15.75" customHeight="1">
      <c r="A56" s="123" t="s">
        <v>2654</v>
      </c>
      <c r="B56" s="558">
        <v>1251.0</v>
      </c>
      <c r="C56" s="553"/>
      <c r="D56" s="553"/>
      <c r="E56" s="553"/>
      <c r="F56" s="553"/>
      <c r="G56" s="553"/>
      <c r="H56" s="553"/>
      <c r="I56" s="553"/>
      <c r="J56" s="553"/>
      <c r="K56" s="553"/>
      <c r="L56" s="553"/>
      <c r="M56" s="553"/>
      <c r="N56" s="553"/>
      <c r="O56" s="553"/>
      <c r="P56" s="553"/>
      <c r="Q56" s="553"/>
      <c r="R56" s="553"/>
      <c r="S56" s="553"/>
      <c r="T56" s="553"/>
      <c r="U56" s="553"/>
      <c r="V56" s="553"/>
      <c r="W56" s="553"/>
      <c r="X56" s="553"/>
      <c r="Y56" s="553"/>
    </row>
    <row r="57" ht="15.75" customHeight="1">
      <c r="A57" s="123" t="s">
        <v>2426</v>
      </c>
      <c r="B57" s="558">
        <v>442.0</v>
      </c>
      <c r="C57" s="553"/>
      <c r="D57" s="553"/>
      <c r="E57" s="553"/>
      <c r="F57" s="553"/>
      <c r="G57" s="553"/>
      <c r="H57" s="553"/>
      <c r="I57" s="553"/>
      <c r="J57" s="553"/>
      <c r="K57" s="553"/>
      <c r="L57" s="553"/>
      <c r="M57" s="553"/>
      <c r="N57" s="553"/>
      <c r="O57" s="553"/>
      <c r="P57" s="553"/>
      <c r="Q57" s="553"/>
      <c r="R57" s="553"/>
      <c r="S57" s="553"/>
      <c r="T57" s="553"/>
      <c r="U57" s="553"/>
      <c r="V57" s="553"/>
      <c r="W57" s="553"/>
      <c r="X57" s="553"/>
      <c r="Y57" s="553"/>
    </row>
    <row r="58" ht="15.75" customHeight="1">
      <c r="A58" s="123" t="s">
        <v>539</v>
      </c>
      <c r="B58" s="558">
        <v>660.0</v>
      </c>
      <c r="C58" s="553"/>
      <c r="D58" s="553"/>
      <c r="E58" s="553"/>
      <c r="F58" s="553"/>
      <c r="G58" s="553"/>
      <c r="H58" s="553"/>
      <c r="I58" s="553"/>
      <c r="J58" s="553"/>
      <c r="K58" s="553"/>
      <c r="L58" s="553"/>
      <c r="M58" s="553"/>
      <c r="N58" s="553"/>
      <c r="O58" s="553"/>
      <c r="P58" s="553"/>
      <c r="Q58" s="553"/>
      <c r="R58" s="553"/>
      <c r="S58" s="553"/>
      <c r="T58" s="553"/>
      <c r="U58" s="553"/>
      <c r="V58" s="553"/>
      <c r="W58" s="553"/>
      <c r="X58" s="553"/>
      <c r="Y58" s="553"/>
    </row>
    <row r="59" ht="15.75" customHeight="1">
      <c r="A59" s="123" t="s">
        <v>2038</v>
      </c>
      <c r="B59" s="558">
        <v>3208.0</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row>
    <row r="60" ht="15.75" customHeight="1">
      <c r="A60" s="123" t="s">
        <v>1370</v>
      </c>
      <c r="B60" s="558">
        <v>1099.0</v>
      </c>
      <c r="C60" s="553"/>
      <c r="D60" s="553"/>
      <c r="E60" s="553"/>
      <c r="F60" s="553"/>
      <c r="G60" s="553"/>
      <c r="H60" s="553"/>
      <c r="I60" s="553"/>
      <c r="J60" s="553"/>
      <c r="K60" s="553"/>
      <c r="L60" s="553"/>
      <c r="M60" s="553"/>
      <c r="N60" s="553"/>
      <c r="O60" s="553"/>
      <c r="P60" s="553"/>
      <c r="Q60" s="553"/>
      <c r="R60" s="553"/>
      <c r="S60" s="553"/>
      <c r="T60" s="553"/>
      <c r="U60" s="553"/>
      <c r="V60" s="553"/>
      <c r="W60" s="553"/>
      <c r="X60" s="553"/>
      <c r="Y60" s="553"/>
    </row>
    <row r="61" ht="15.75" customHeight="1">
      <c r="A61" s="123" t="s">
        <v>3591</v>
      </c>
      <c r="B61" s="558">
        <v>1644.0</v>
      </c>
      <c r="C61" s="553"/>
      <c r="D61" s="553"/>
      <c r="E61" s="553"/>
      <c r="F61" s="553"/>
      <c r="G61" s="553"/>
      <c r="H61" s="553"/>
      <c r="I61" s="553"/>
      <c r="J61" s="553"/>
      <c r="K61" s="553"/>
      <c r="L61" s="553"/>
      <c r="M61" s="553"/>
      <c r="N61" s="553"/>
      <c r="O61" s="553"/>
      <c r="P61" s="553"/>
      <c r="Q61" s="553"/>
      <c r="R61" s="553"/>
      <c r="S61" s="553"/>
      <c r="T61" s="553"/>
      <c r="U61" s="553"/>
      <c r="V61" s="553"/>
      <c r="W61" s="553"/>
      <c r="X61" s="553"/>
      <c r="Y61" s="553"/>
    </row>
    <row r="62" ht="15.75" customHeight="1">
      <c r="A62" s="123" t="s">
        <v>2425</v>
      </c>
      <c r="B62" s="558">
        <v>292.0</v>
      </c>
      <c r="C62" s="553"/>
      <c r="D62" s="553"/>
      <c r="E62" s="553"/>
      <c r="F62" s="553"/>
      <c r="G62" s="553"/>
      <c r="H62" s="553"/>
      <c r="I62" s="553"/>
      <c r="J62" s="553"/>
      <c r="K62" s="553"/>
      <c r="L62" s="553"/>
      <c r="M62" s="553"/>
      <c r="N62" s="553"/>
      <c r="O62" s="553"/>
      <c r="P62" s="553"/>
      <c r="Q62" s="553"/>
      <c r="R62" s="553"/>
      <c r="S62" s="553"/>
      <c r="T62" s="553"/>
      <c r="U62" s="553"/>
      <c r="V62" s="553"/>
      <c r="W62" s="553"/>
      <c r="X62" s="553"/>
      <c r="Y62" s="553"/>
    </row>
    <row r="63" ht="15.75" customHeight="1">
      <c r="A63" s="123" t="s">
        <v>6541</v>
      </c>
      <c r="B63" s="558">
        <v>1356.0</v>
      </c>
      <c r="C63" s="553"/>
      <c r="D63" s="553"/>
      <c r="E63" s="553"/>
      <c r="F63" s="553"/>
      <c r="G63" s="553"/>
      <c r="H63" s="553"/>
      <c r="I63" s="553"/>
      <c r="J63" s="553"/>
      <c r="K63" s="553"/>
      <c r="L63" s="553"/>
      <c r="M63" s="553"/>
      <c r="N63" s="553"/>
      <c r="O63" s="553"/>
      <c r="P63" s="553"/>
      <c r="Q63" s="553"/>
      <c r="R63" s="553"/>
      <c r="S63" s="553"/>
      <c r="T63" s="553"/>
      <c r="U63" s="553"/>
      <c r="V63" s="553"/>
      <c r="W63" s="553"/>
      <c r="X63" s="553"/>
      <c r="Y63" s="553"/>
    </row>
    <row r="64" ht="15.75" customHeight="1">
      <c r="A64" s="123" t="s">
        <v>6556</v>
      </c>
      <c r="B64" s="558">
        <v>1368.0</v>
      </c>
      <c r="C64" s="553"/>
      <c r="D64" s="553"/>
      <c r="E64" s="553"/>
      <c r="F64" s="553"/>
      <c r="G64" s="553"/>
      <c r="H64" s="553"/>
      <c r="I64" s="553"/>
      <c r="J64" s="553"/>
      <c r="K64" s="553"/>
      <c r="L64" s="553"/>
      <c r="M64" s="553"/>
      <c r="N64" s="553"/>
      <c r="O64" s="553"/>
      <c r="P64" s="553"/>
      <c r="Q64" s="553"/>
      <c r="R64" s="553"/>
      <c r="S64" s="553"/>
      <c r="T64" s="553"/>
      <c r="U64" s="553"/>
      <c r="V64" s="553"/>
      <c r="W64" s="553"/>
      <c r="X64" s="553"/>
      <c r="Y64" s="553"/>
    </row>
    <row r="65" ht="15.75" customHeight="1">
      <c r="A65" s="123" t="s">
        <v>4035</v>
      </c>
      <c r="B65" s="558">
        <v>1512.0</v>
      </c>
      <c r="C65" s="553"/>
      <c r="D65" s="553"/>
      <c r="E65" s="553"/>
      <c r="F65" s="553"/>
      <c r="G65" s="553"/>
      <c r="H65" s="553"/>
      <c r="I65" s="553"/>
      <c r="J65" s="553"/>
      <c r="K65" s="553"/>
      <c r="L65" s="553"/>
      <c r="M65" s="553"/>
      <c r="N65" s="553"/>
      <c r="O65" s="553"/>
      <c r="P65" s="553"/>
      <c r="Q65" s="553"/>
      <c r="R65" s="553"/>
      <c r="S65" s="553"/>
      <c r="T65" s="553"/>
      <c r="U65" s="553"/>
      <c r="V65" s="553"/>
      <c r="W65" s="553"/>
      <c r="X65" s="553"/>
      <c r="Y65" s="553"/>
    </row>
    <row r="66" ht="15.75" customHeight="1">
      <c r="A66" s="123" t="s">
        <v>4771</v>
      </c>
      <c r="B66" s="558">
        <v>500.0</v>
      </c>
      <c r="C66" s="553"/>
      <c r="D66" s="553"/>
      <c r="E66" s="553"/>
      <c r="F66" s="553"/>
      <c r="G66" s="553"/>
      <c r="H66" s="553"/>
      <c r="I66" s="553"/>
      <c r="J66" s="553"/>
      <c r="K66" s="553"/>
      <c r="L66" s="553"/>
      <c r="M66" s="553"/>
      <c r="N66" s="553"/>
      <c r="O66" s="553"/>
      <c r="P66" s="553"/>
      <c r="Q66" s="553"/>
      <c r="R66" s="553"/>
      <c r="S66" s="553"/>
      <c r="T66" s="553"/>
      <c r="U66" s="553"/>
      <c r="V66" s="553"/>
      <c r="W66" s="553"/>
      <c r="X66" s="553"/>
      <c r="Y66" s="553"/>
    </row>
    <row r="67" ht="15.75" customHeight="1">
      <c r="A67" s="123" t="s">
        <v>6161</v>
      </c>
      <c r="B67" s="558">
        <v>805.0</v>
      </c>
      <c r="C67" s="553"/>
      <c r="D67" s="553"/>
      <c r="E67" s="553"/>
      <c r="F67" s="553"/>
      <c r="G67" s="553"/>
      <c r="H67" s="553"/>
      <c r="I67" s="553"/>
      <c r="J67" s="553"/>
      <c r="K67" s="553"/>
      <c r="L67" s="553"/>
      <c r="M67" s="553"/>
      <c r="N67" s="553"/>
      <c r="O67" s="553"/>
      <c r="P67" s="553"/>
      <c r="Q67" s="553"/>
      <c r="R67" s="553"/>
      <c r="S67" s="553"/>
      <c r="T67" s="553"/>
      <c r="U67" s="553"/>
      <c r="V67" s="553"/>
      <c r="W67" s="553"/>
      <c r="X67" s="553"/>
      <c r="Y67" s="553"/>
    </row>
    <row r="68" ht="15.75" customHeight="1">
      <c r="A68" s="123" t="s">
        <v>2170</v>
      </c>
      <c r="B68" s="558">
        <v>3529.0</v>
      </c>
      <c r="C68" s="553"/>
      <c r="D68" s="553"/>
      <c r="E68" s="553"/>
      <c r="F68" s="553"/>
      <c r="G68" s="553"/>
      <c r="H68" s="553"/>
      <c r="I68" s="553"/>
      <c r="J68" s="553"/>
      <c r="K68" s="553"/>
      <c r="L68" s="553"/>
      <c r="M68" s="553"/>
      <c r="N68" s="553"/>
      <c r="O68" s="553"/>
      <c r="P68" s="553"/>
      <c r="Q68" s="553"/>
      <c r="R68" s="553"/>
      <c r="S68" s="553"/>
      <c r="T68" s="553"/>
      <c r="U68" s="553"/>
      <c r="V68" s="553"/>
      <c r="W68" s="553"/>
      <c r="X68" s="553"/>
      <c r="Y68" s="553"/>
    </row>
    <row r="69" ht="15.75" customHeight="1">
      <c r="A69" s="123" t="s">
        <v>200</v>
      </c>
      <c r="B69" s="558">
        <v>1041.0</v>
      </c>
      <c r="C69" s="553"/>
      <c r="D69" s="553"/>
      <c r="E69" s="553"/>
      <c r="F69" s="553"/>
      <c r="G69" s="553"/>
      <c r="H69" s="553"/>
      <c r="I69" s="553"/>
      <c r="J69" s="553"/>
      <c r="K69" s="553"/>
      <c r="L69" s="553"/>
      <c r="M69" s="553"/>
      <c r="N69" s="553"/>
      <c r="O69" s="553"/>
      <c r="P69" s="553"/>
      <c r="Q69" s="553"/>
      <c r="R69" s="553"/>
      <c r="S69" s="553"/>
      <c r="T69" s="553"/>
      <c r="U69" s="553"/>
      <c r="V69" s="553"/>
      <c r="W69" s="553"/>
      <c r="X69" s="553"/>
      <c r="Y69" s="553"/>
    </row>
    <row r="70" ht="15.75" customHeight="1">
      <c r="A70" s="123" t="s">
        <v>1682</v>
      </c>
      <c r="B70" s="558">
        <v>793.0</v>
      </c>
      <c r="C70" s="553"/>
      <c r="D70" s="553"/>
      <c r="E70" s="553"/>
      <c r="F70" s="553"/>
      <c r="G70" s="553"/>
      <c r="H70" s="553"/>
      <c r="I70" s="553"/>
      <c r="J70" s="553"/>
      <c r="K70" s="553"/>
      <c r="L70" s="553"/>
      <c r="M70" s="553"/>
      <c r="N70" s="553"/>
      <c r="O70" s="553"/>
      <c r="P70" s="553"/>
      <c r="Q70" s="553"/>
      <c r="R70" s="553"/>
      <c r="S70" s="553"/>
      <c r="T70" s="553"/>
      <c r="U70" s="553"/>
      <c r="V70" s="553"/>
      <c r="W70" s="553"/>
      <c r="X70" s="553"/>
      <c r="Y70" s="553"/>
    </row>
    <row r="71" ht="15.75" customHeight="1">
      <c r="A71" s="123" t="s">
        <v>7678</v>
      </c>
      <c r="B71" s="558">
        <v>800.0</v>
      </c>
      <c r="C71" s="553"/>
      <c r="D71" s="553"/>
      <c r="E71" s="553"/>
      <c r="F71" s="553"/>
      <c r="G71" s="553"/>
      <c r="H71" s="553"/>
      <c r="I71" s="553"/>
      <c r="J71" s="553"/>
      <c r="K71" s="553"/>
      <c r="L71" s="553"/>
      <c r="M71" s="553"/>
      <c r="N71" s="553"/>
      <c r="O71" s="553"/>
      <c r="P71" s="553"/>
      <c r="Q71" s="553"/>
      <c r="R71" s="553"/>
      <c r="S71" s="553"/>
      <c r="T71" s="553"/>
      <c r="U71" s="553"/>
      <c r="V71" s="553"/>
      <c r="W71" s="553"/>
      <c r="X71" s="553"/>
      <c r="Y71" s="553"/>
    </row>
    <row r="72" ht="15.75" customHeight="1">
      <c r="A72" s="123" t="s">
        <v>1378</v>
      </c>
      <c r="B72" s="558">
        <v>915.0</v>
      </c>
      <c r="C72" s="553"/>
      <c r="D72" s="553"/>
      <c r="E72" s="553"/>
      <c r="F72" s="553"/>
      <c r="G72" s="553"/>
      <c r="H72" s="553"/>
      <c r="I72" s="553"/>
      <c r="J72" s="553"/>
      <c r="K72" s="553"/>
      <c r="L72" s="553"/>
      <c r="M72" s="553"/>
      <c r="N72" s="553"/>
      <c r="O72" s="553"/>
      <c r="P72" s="553"/>
      <c r="Q72" s="553"/>
      <c r="R72" s="553"/>
      <c r="S72" s="553"/>
      <c r="T72" s="553"/>
      <c r="U72" s="553"/>
      <c r="V72" s="553"/>
      <c r="W72" s="553"/>
      <c r="X72" s="553"/>
      <c r="Y72" s="553"/>
    </row>
    <row r="73" ht="15.75" customHeight="1">
      <c r="A73" s="123" t="s">
        <v>2197</v>
      </c>
      <c r="B73" s="558">
        <v>17845.0</v>
      </c>
      <c r="C73" s="553"/>
      <c r="D73" s="553"/>
      <c r="E73" s="553"/>
      <c r="F73" s="553"/>
      <c r="G73" s="553"/>
      <c r="H73" s="553"/>
      <c r="I73" s="553"/>
      <c r="J73" s="553"/>
      <c r="K73" s="553"/>
      <c r="L73" s="553"/>
      <c r="M73" s="553"/>
      <c r="N73" s="553"/>
      <c r="O73" s="553"/>
      <c r="P73" s="553"/>
      <c r="Q73" s="553"/>
      <c r="R73" s="553"/>
      <c r="S73" s="553"/>
      <c r="T73" s="553"/>
      <c r="U73" s="553"/>
      <c r="V73" s="553"/>
      <c r="W73" s="553"/>
      <c r="X73" s="553"/>
      <c r="Y73" s="553"/>
    </row>
    <row r="74" ht="15.75" customHeight="1">
      <c r="A74" s="123" t="s">
        <v>1706</v>
      </c>
      <c r="B74" s="558">
        <v>2040.0</v>
      </c>
      <c r="C74" s="553"/>
      <c r="D74" s="553"/>
      <c r="E74" s="553"/>
      <c r="F74" s="553"/>
      <c r="G74" s="553"/>
      <c r="H74" s="553"/>
      <c r="I74" s="553"/>
      <c r="J74" s="553"/>
      <c r="K74" s="553"/>
      <c r="L74" s="553"/>
      <c r="M74" s="553"/>
      <c r="N74" s="553"/>
      <c r="O74" s="553"/>
      <c r="P74" s="553"/>
      <c r="Q74" s="553"/>
      <c r="R74" s="553"/>
      <c r="S74" s="553"/>
      <c r="T74" s="553"/>
      <c r="U74" s="553"/>
      <c r="V74" s="553"/>
      <c r="W74" s="553"/>
      <c r="X74" s="553"/>
      <c r="Y74" s="553"/>
    </row>
    <row r="75" ht="15.75" customHeight="1">
      <c r="A75" s="123" t="s">
        <v>2830</v>
      </c>
      <c r="B75" s="558">
        <v>1604.0</v>
      </c>
      <c r="C75" s="553"/>
      <c r="D75" s="553"/>
      <c r="E75" s="553"/>
      <c r="F75" s="553"/>
      <c r="G75" s="553"/>
      <c r="H75" s="553"/>
      <c r="I75" s="553"/>
      <c r="J75" s="553"/>
      <c r="K75" s="553"/>
      <c r="L75" s="553"/>
      <c r="M75" s="553"/>
      <c r="N75" s="553"/>
      <c r="O75" s="553"/>
      <c r="P75" s="553"/>
      <c r="Q75" s="553"/>
      <c r="R75" s="553"/>
      <c r="S75" s="553"/>
      <c r="T75" s="553"/>
      <c r="U75" s="553"/>
      <c r="V75" s="553"/>
      <c r="W75" s="553"/>
      <c r="X75" s="553"/>
      <c r="Y75" s="553"/>
    </row>
    <row r="76" ht="15.75" customHeight="1">
      <c r="A76" s="123" t="s">
        <v>7682</v>
      </c>
      <c r="B76" s="558">
        <v>3958.0</v>
      </c>
      <c r="C76" s="553"/>
      <c r="D76" s="553"/>
      <c r="E76" s="553"/>
      <c r="F76" s="553"/>
      <c r="G76" s="553"/>
      <c r="H76" s="553"/>
      <c r="I76" s="553"/>
      <c r="J76" s="553"/>
      <c r="K76" s="553"/>
      <c r="L76" s="553"/>
      <c r="M76" s="553"/>
      <c r="N76" s="553"/>
      <c r="O76" s="553"/>
      <c r="P76" s="553"/>
      <c r="Q76" s="553"/>
      <c r="R76" s="553"/>
      <c r="S76" s="553"/>
      <c r="T76" s="553"/>
      <c r="U76" s="553"/>
      <c r="V76" s="553"/>
      <c r="W76" s="553"/>
      <c r="X76" s="553"/>
      <c r="Y76" s="553"/>
    </row>
    <row r="77" ht="15.75" customHeight="1">
      <c r="A77" s="123" t="s">
        <v>7288</v>
      </c>
      <c r="B77" s="558">
        <v>478.0</v>
      </c>
      <c r="C77" s="553"/>
      <c r="D77" s="553"/>
      <c r="E77" s="553"/>
      <c r="F77" s="553"/>
      <c r="G77" s="553"/>
      <c r="H77" s="553"/>
      <c r="I77" s="553"/>
      <c r="J77" s="553"/>
      <c r="K77" s="553"/>
      <c r="L77" s="553"/>
      <c r="M77" s="553"/>
      <c r="N77" s="553"/>
      <c r="O77" s="553"/>
      <c r="P77" s="553"/>
      <c r="Q77" s="553"/>
      <c r="R77" s="553"/>
      <c r="S77" s="553"/>
      <c r="T77" s="553"/>
      <c r="U77" s="553"/>
      <c r="V77" s="553"/>
      <c r="W77" s="553"/>
      <c r="X77" s="553"/>
      <c r="Y77" s="553"/>
    </row>
    <row r="78" ht="15.75" customHeight="1">
      <c r="A78" s="123" t="s">
        <v>210</v>
      </c>
      <c r="B78" s="558">
        <v>1723.0</v>
      </c>
      <c r="C78" s="553"/>
      <c r="D78" s="553"/>
      <c r="E78" s="553"/>
      <c r="F78" s="553"/>
      <c r="G78" s="553"/>
      <c r="H78" s="553"/>
      <c r="I78" s="553"/>
      <c r="J78" s="553"/>
      <c r="K78" s="553"/>
      <c r="L78" s="553"/>
      <c r="M78" s="553"/>
      <c r="N78" s="553"/>
      <c r="O78" s="553"/>
      <c r="P78" s="553"/>
      <c r="Q78" s="553"/>
      <c r="R78" s="553"/>
      <c r="S78" s="553"/>
      <c r="T78" s="553"/>
      <c r="U78" s="553"/>
      <c r="V78" s="553"/>
      <c r="W78" s="553"/>
      <c r="X78" s="553"/>
      <c r="Y78" s="553"/>
    </row>
    <row r="79" ht="15.75" customHeight="1">
      <c r="A79" s="123" t="s">
        <v>1388</v>
      </c>
      <c r="B79" s="558">
        <v>1512.0</v>
      </c>
      <c r="C79" s="553"/>
      <c r="D79" s="553"/>
      <c r="E79" s="553"/>
      <c r="F79" s="553"/>
      <c r="G79" s="553"/>
      <c r="H79" s="553"/>
      <c r="I79" s="553"/>
      <c r="J79" s="553"/>
      <c r="K79" s="553"/>
      <c r="L79" s="553"/>
      <c r="M79" s="553"/>
      <c r="N79" s="553"/>
      <c r="O79" s="553"/>
      <c r="P79" s="553"/>
      <c r="Q79" s="553"/>
      <c r="R79" s="553"/>
      <c r="S79" s="553"/>
      <c r="T79" s="553"/>
      <c r="U79" s="553"/>
      <c r="V79" s="553"/>
      <c r="W79" s="553"/>
      <c r="X79" s="553"/>
      <c r="Y79" s="553"/>
    </row>
    <row r="80" ht="15.75" customHeight="1">
      <c r="A80" s="123" t="s">
        <v>1105</v>
      </c>
      <c r="B80" s="558">
        <v>523.0</v>
      </c>
      <c r="C80" s="553"/>
      <c r="D80" s="553"/>
      <c r="E80" s="553"/>
      <c r="F80" s="553"/>
      <c r="G80" s="553"/>
      <c r="H80" s="553"/>
      <c r="I80" s="553"/>
      <c r="J80" s="553"/>
      <c r="K80" s="553"/>
      <c r="L80" s="553"/>
      <c r="M80" s="553"/>
      <c r="N80" s="553"/>
      <c r="O80" s="553"/>
      <c r="P80" s="553"/>
      <c r="Q80" s="553"/>
      <c r="R80" s="553"/>
      <c r="S80" s="553"/>
      <c r="T80" s="553"/>
      <c r="U80" s="553"/>
      <c r="V80" s="553"/>
      <c r="W80" s="553"/>
      <c r="X80" s="553"/>
      <c r="Y80" s="553"/>
    </row>
    <row r="81" ht="15.75" customHeight="1">
      <c r="A81" s="123" t="s">
        <v>6403</v>
      </c>
      <c r="B81" s="558">
        <v>4695.0</v>
      </c>
      <c r="C81" s="553"/>
      <c r="D81" s="553"/>
      <c r="E81" s="553"/>
      <c r="F81" s="553"/>
      <c r="G81" s="553"/>
      <c r="H81" s="553"/>
      <c r="I81" s="553"/>
      <c r="J81" s="553"/>
      <c r="K81" s="553"/>
      <c r="L81" s="553"/>
      <c r="M81" s="553"/>
      <c r="N81" s="553"/>
      <c r="O81" s="553"/>
      <c r="P81" s="553"/>
      <c r="Q81" s="553"/>
      <c r="R81" s="553"/>
      <c r="S81" s="553"/>
      <c r="T81" s="553"/>
      <c r="U81" s="553"/>
      <c r="V81" s="553"/>
      <c r="W81" s="553"/>
      <c r="X81" s="553"/>
      <c r="Y81" s="553"/>
    </row>
    <row r="82" ht="15.75" customHeight="1">
      <c r="A82" s="123" t="s">
        <v>4069</v>
      </c>
      <c r="B82" s="558">
        <v>544.0</v>
      </c>
      <c r="C82" s="553"/>
      <c r="D82" s="553"/>
      <c r="E82" s="553"/>
      <c r="F82" s="553"/>
      <c r="G82" s="553"/>
      <c r="H82" s="553"/>
      <c r="I82" s="553"/>
      <c r="J82" s="553"/>
      <c r="K82" s="553"/>
      <c r="L82" s="553"/>
      <c r="M82" s="553"/>
      <c r="N82" s="553"/>
      <c r="O82" s="553"/>
      <c r="P82" s="553"/>
      <c r="Q82" s="553"/>
      <c r="R82" s="553"/>
      <c r="S82" s="553"/>
      <c r="T82" s="553"/>
      <c r="U82" s="553"/>
      <c r="V82" s="553"/>
      <c r="W82" s="553"/>
      <c r="X82" s="553"/>
      <c r="Y82" s="553"/>
    </row>
    <row r="83" ht="15.75" customHeight="1">
      <c r="A83" s="123" t="s">
        <v>6178</v>
      </c>
      <c r="B83" s="558">
        <v>1396.0</v>
      </c>
      <c r="C83" s="553"/>
      <c r="D83" s="553"/>
      <c r="E83" s="553"/>
      <c r="F83" s="553"/>
      <c r="G83" s="553"/>
      <c r="H83" s="553"/>
      <c r="I83" s="553"/>
      <c r="J83" s="553"/>
      <c r="K83" s="553"/>
      <c r="L83" s="553"/>
      <c r="M83" s="553"/>
      <c r="N83" s="553"/>
      <c r="O83" s="553"/>
      <c r="P83" s="553"/>
      <c r="Q83" s="553"/>
      <c r="R83" s="553"/>
      <c r="S83" s="553"/>
      <c r="T83" s="553"/>
      <c r="U83" s="553"/>
      <c r="V83" s="553"/>
      <c r="W83" s="553"/>
      <c r="X83" s="553"/>
      <c r="Y83" s="553"/>
    </row>
    <row r="84" ht="15.75" customHeight="1">
      <c r="A84" s="123" t="s">
        <v>1110</v>
      </c>
      <c r="B84" s="558">
        <v>1642.0</v>
      </c>
      <c r="C84" s="553"/>
      <c r="D84" s="553"/>
      <c r="E84" s="553"/>
      <c r="F84" s="553"/>
      <c r="G84" s="553"/>
      <c r="H84" s="553"/>
      <c r="I84" s="553"/>
      <c r="J84" s="553"/>
      <c r="K84" s="553"/>
      <c r="L84" s="553"/>
      <c r="M84" s="553"/>
      <c r="N84" s="553"/>
      <c r="O84" s="553"/>
      <c r="P84" s="553"/>
      <c r="Q84" s="553"/>
      <c r="R84" s="553"/>
      <c r="S84" s="553"/>
      <c r="T84" s="553"/>
      <c r="U84" s="553"/>
      <c r="V84" s="553"/>
      <c r="W84" s="553"/>
      <c r="X84" s="553"/>
      <c r="Y84" s="553"/>
    </row>
    <row r="85" ht="15.75" customHeight="1">
      <c r="A85" s="123" t="s">
        <v>2911</v>
      </c>
      <c r="B85" s="558">
        <v>1075.0</v>
      </c>
      <c r="C85" s="553"/>
      <c r="D85" s="553"/>
      <c r="E85" s="553"/>
      <c r="F85" s="553"/>
      <c r="G85" s="553"/>
      <c r="H85" s="553"/>
      <c r="I85" s="553"/>
      <c r="J85" s="553"/>
      <c r="K85" s="553"/>
      <c r="L85" s="553"/>
      <c r="M85" s="553"/>
      <c r="N85" s="553"/>
      <c r="O85" s="553"/>
      <c r="P85" s="553"/>
      <c r="Q85" s="553"/>
      <c r="R85" s="553"/>
      <c r="S85" s="553"/>
      <c r="T85" s="553"/>
      <c r="U85" s="553"/>
      <c r="V85" s="553"/>
      <c r="W85" s="553"/>
      <c r="X85" s="553"/>
      <c r="Y85" s="553"/>
    </row>
    <row r="86" ht="15.75" customHeight="1">
      <c r="A86" s="123" t="s">
        <v>4536</v>
      </c>
      <c r="B86" s="558">
        <v>231.0</v>
      </c>
      <c r="C86" s="553"/>
      <c r="D86" s="553"/>
      <c r="E86" s="553"/>
      <c r="F86" s="553"/>
      <c r="G86" s="553"/>
      <c r="H86" s="553"/>
      <c r="I86" s="553"/>
      <c r="J86" s="553"/>
      <c r="K86" s="553"/>
      <c r="L86" s="553"/>
      <c r="M86" s="553"/>
      <c r="N86" s="553"/>
      <c r="O86" s="553"/>
      <c r="P86" s="553"/>
      <c r="Q86" s="553"/>
      <c r="R86" s="553"/>
      <c r="S86" s="553"/>
      <c r="T86" s="553"/>
      <c r="U86" s="553"/>
      <c r="V86" s="553"/>
      <c r="W86" s="553"/>
      <c r="X86" s="553"/>
      <c r="Y86" s="553"/>
    </row>
    <row r="87" ht="15.75" customHeight="1">
      <c r="A87" s="123" t="s">
        <v>2332</v>
      </c>
      <c r="B87" s="558">
        <v>1853.0</v>
      </c>
      <c r="C87" s="553"/>
      <c r="D87" s="553"/>
      <c r="E87" s="553"/>
      <c r="F87" s="553"/>
      <c r="G87" s="553"/>
      <c r="H87" s="553"/>
      <c r="I87" s="553"/>
      <c r="J87" s="553"/>
      <c r="K87" s="553"/>
      <c r="L87" s="553"/>
      <c r="M87" s="553"/>
      <c r="N87" s="553"/>
      <c r="O87" s="553"/>
      <c r="P87" s="553"/>
      <c r="Q87" s="553"/>
      <c r="R87" s="553"/>
      <c r="S87" s="553"/>
      <c r="T87" s="553"/>
      <c r="U87" s="553"/>
      <c r="V87" s="553"/>
      <c r="W87" s="553"/>
      <c r="X87" s="553"/>
      <c r="Y87" s="553"/>
    </row>
    <row r="88" ht="15.75" customHeight="1">
      <c r="A88" s="123" t="s">
        <v>6195</v>
      </c>
      <c r="B88" s="558">
        <v>500.0</v>
      </c>
      <c r="C88" s="553"/>
      <c r="D88" s="553"/>
      <c r="E88" s="553"/>
      <c r="F88" s="553"/>
      <c r="G88" s="553"/>
      <c r="H88" s="553"/>
      <c r="I88" s="553"/>
      <c r="J88" s="553"/>
      <c r="K88" s="553"/>
      <c r="L88" s="553"/>
      <c r="M88" s="553"/>
      <c r="N88" s="553"/>
      <c r="O88" s="553"/>
      <c r="P88" s="553"/>
      <c r="Q88" s="553"/>
      <c r="R88" s="553"/>
      <c r="S88" s="553"/>
      <c r="T88" s="553"/>
      <c r="U88" s="553"/>
      <c r="V88" s="553"/>
      <c r="W88" s="553"/>
      <c r="X88" s="553"/>
      <c r="Y88" s="553"/>
    </row>
    <row r="89" ht="15.75" customHeight="1">
      <c r="A89" s="123" t="s">
        <v>1893</v>
      </c>
      <c r="B89" s="558">
        <v>1111.0</v>
      </c>
      <c r="C89" s="553"/>
      <c r="D89" s="553"/>
      <c r="E89" s="553"/>
      <c r="F89" s="553"/>
      <c r="G89" s="553"/>
      <c r="H89" s="553"/>
      <c r="I89" s="553"/>
      <c r="J89" s="553"/>
      <c r="K89" s="553"/>
      <c r="L89" s="553"/>
      <c r="M89" s="553"/>
      <c r="N89" s="553"/>
      <c r="O89" s="553"/>
      <c r="P89" s="553"/>
      <c r="Q89" s="553"/>
      <c r="R89" s="553"/>
      <c r="S89" s="553"/>
      <c r="T89" s="553"/>
      <c r="U89" s="553"/>
      <c r="V89" s="553"/>
      <c r="W89" s="553"/>
      <c r="X89" s="553"/>
      <c r="Y89" s="553"/>
    </row>
    <row r="90" ht="15.75" customHeight="1">
      <c r="A90" s="123" t="s">
        <v>5476</v>
      </c>
      <c r="B90" s="558">
        <v>696.0</v>
      </c>
      <c r="C90" s="553"/>
      <c r="D90" s="553"/>
      <c r="E90" s="553"/>
      <c r="F90" s="553"/>
      <c r="G90" s="553"/>
      <c r="H90" s="553"/>
      <c r="I90" s="553"/>
      <c r="J90" s="553"/>
      <c r="K90" s="553"/>
      <c r="L90" s="553"/>
      <c r="M90" s="553"/>
      <c r="N90" s="553"/>
      <c r="O90" s="553"/>
      <c r="P90" s="553"/>
      <c r="Q90" s="553"/>
      <c r="R90" s="553"/>
      <c r="S90" s="553"/>
      <c r="T90" s="553"/>
      <c r="U90" s="553"/>
      <c r="V90" s="553"/>
      <c r="W90" s="553"/>
      <c r="X90" s="553"/>
      <c r="Y90" s="553"/>
    </row>
    <row r="91" ht="15.75" customHeight="1">
      <c r="A91" s="123" t="s">
        <v>558</v>
      </c>
      <c r="B91" s="558">
        <v>1856.0</v>
      </c>
      <c r="C91" s="553"/>
      <c r="D91" s="553"/>
      <c r="E91" s="553"/>
      <c r="F91" s="553"/>
      <c r="G91" s="553"/>
      <c r="H91" s="553"/>
      <c r="I91" s="553"/>
      <c r="J91" s="553"/>
      <c r="K91" s="553"/>
      <c r="L91" s="553"/>
      <c r="M91" s="553"/>
      <c r="N91" s="553"/>
      <c r="O91" s="553"/>
      <c r="P91" s="553"/>
      <c r="Q91" s="553"/>
      <c r="R91" s="553"/>
      <c r="S91" s="553"/>
      <c r="T91" s="553"/>
      <c r="U91" s="553"/>
      <c r="V91" s="553"/>
      <c r="W91" s="553"/>
      <c r="X91" s="553"/>
      <c r="Y91" s="553"/>
    </row>
    <row r="92" ht="15.75" customHeight="1">
      <c r="A92" s="123" t="s">
        <v>2925</v>
      </c>
      <c r="B92" s="558">
        <v>3987.0</v>
      </c>
      <c r="C92" s="553"/>
      <c r="D92" s="553"/>
      <c r="E92" s="553"/>
      <c r="F92" s="553"/>
      <c r="G92" s="553"/>
      <c r="H92" s="553"/>
      <c r="I92" s="553"/>
      <c r="J92" s="553"/>
      <c r="K92" s="553"/>
      <c r="L92" s="553"/>
      <c r="M92" s="553"/>
      <c r="N92" s="553"/>
      <c r="O92" s="553"/>
      <c r="P92" s="553"/>
      <c r="Q92" s="553"/>
      <c r="R92" s="553"/>
      <c r="S92" s="553"/>
      <c r="T92" s="553"/>
      <c r="U92" s="553"/>
      <c r="V92" s="553"/>
      <c r="W92" s="553"/>
      <c r="X92" s="553"/>
      <c r="Y92" s="553"/>
    </row>
    <row r="93" ht="15.75" customHeight="1">
      <c r="A93" s="123" t="s">
        <v>6564</v>
      </c>
      <c r="B93" s="558">
        <v>1598.0</v>
      </c>
      <c r="C93" s="553"/>
      <c r="D93" s="553"/>
      <c r="E93" s="553"/>
      <c r="F93" s="553"/>
      <c r="G93" s="553"/>
      <c r="H93" s="553"/>
      <c r="I93" s="553"/>
      <c r="J93" s="553"/>
      <c r="K93" s="553"/>
      <c r="L93" s="553"/>
      <c r="M93" s="553"/>
      <c r="N93" s="553"/>
      <c r="O93" s="553"/>
      <c r="P93" s="553"/>
      <c r="Q93" s="553"/>
      <c r="R93" s="553"/>
      <c r="S93" s="553"/>
      <c r="T93" s="553"/>
      <c r="U93" s="553"/>
      <c r="V93" s="553"/>
      <c r="W93" s="553"/>
      <c r="X93" s="553"/>
      <c r="Y93" s="553"/>
    </row>
    <row r="94" ht="15.75" customHeight="1">
      <c r="A94" s="123" t="s">
        <v>3630</v>
      </c>
      <c r="B94" s="558">
        <v>140.0</v>
      </c>
      <c r="C94" s="553"/>
      <c r="D94" s="553"/>
      <c r="E94" s="553"/>
      <c r="F94" s="553"/>
      <c r="G94" s="553"/>
      <c r="H94" s="553"/>
      <c r="I94" s="553"/>
      <c r="J94" s="553"/>
      <c r="K94" s="553"/>
      <c r="L94" s="553"/>
      <c r="M94" s="553"/>
      <c r="N94" s="553"/>
      <c r="O94" s="553"/>
      <c r="P94" s="553"/>
      <c r="Q94" s="553"/>
      <c r="R94" s="553"/>
      <c r="S94" s="553"/>
      <c r="T94" s="553"/>
      <c r="U94" s="553"/>
      <c r="V94" s="553"/>
      <c r="W94" s="553"/>
      <c r="X94" s="553"/>
      <c r="Y94" s="553"/>
    </row>
    <row r="95" ht="15.75" customHeight="1">
      <c r="A95" s="123" t="s">
        <v>2307</v>
      </c>
      <c r="B95" s="558">
        <v>3167.0</v>
      </c>
      <c r="C95" s="553"/>
      <c r="D95" s="553"/>
      <c r="E95" s="553"/>
      <c r="F95" s="553"/>
      <c r="G95" s="553"/>
      <c r="H95" s="553"/>
      <c r="I95" s="553"/>
      <c r="J95" s="553"/>
      <c r="K95" s="553"/>
      <c r="L95" s="553"/>
      <c r="M95" s="553"/>
      <c r="N95" s="553"/>
      <c r="O95" s="553"/>
      <c r="P95" s="553"/>
      <c r="Q95" s="553"/>
      <c r="R95" s="553"/>
      <c r="S95" s="553"/>
      <c r="T95" s="553"/>
      <c r="U95" s="553"/>
      <c r="V95" s="553"/>
      <c r="W95" s="553"/>
      <c r="X95" s="553"/>
      <c r="Y95" s="553"/>
    </row>
    <row r="96" ht="15.75" customHeight="1">
      <c r="A96" s="123" t="s">
        <v>3873</v>
      </c>
      <c r="B96" s="558">
        <v>280.0</v>
      </c>
      <c r="C96" s="553"/>
      <c r="D96" s="553"/>
      <c r="E96" s="553"/>
      <c r="F96" s="553"/>
      <c r="G96" s="553"/>
      <c r="H96" s="553"/>
      <c r="I96" s="553"/>
      <c r="J96" s="553"/>
      <c r="K96" s="553"/>
      <c r="L96" s="553"/>
      <c r="M96" s="553"/>
      <c r="N96" s="553"/>
      <c r="O96" s="553"/>
      <c r="P96" s="553"/>
      <c r="Q96" s="553"/>
      <c r="R96" s="553"/>
      <c r="S96" s="553"/>
      <c r="T96" s="553"/>
      <c r="U96" s="553"/>
      <c r="V96" s="553"/>
      <c r="W96" s="553"/>
      <c r="X96" s="553"/>
      <c r="Y96" s="553"/>
    </row>
    <row r="97" ht="15.75" customHeight="1">
      <c r="A97" s="123" t="s">
        <v>226</v>
      </c>
      <c r="B97" s="558">
        <v>668.0</v>
      </c>
      <c r="C97" s="553"/>
      <c r="D97" s="553"/>
      <c r="E97" s="553"/>
      <c r="F97" s="553"/>
      <c r="G97" s="553"/>
      <c r="H97" s="553"/>
      <c r="I97" s="553"/>
      <c r="J97" s="553"/>
      <c r="K97" s="553"/>
      <c r="L97" s="553"/>
      <c r="M97" s="553"/>
      <c r="N97" s="553"/>
      <c r="O97" s="553"/>
      <c r="P97" s="553"/>
      <c r="Q97" s="553"/>
      <c r="R97" s="553"/>
      <c r="S97" s="553"/>
      <c r="T97" s="553"/>
      <c r="U97" s="553"/>
      <c r="V97" s="553"/>
      <c r="W97" s="553"/>
      <c r="X97" s="553"/>
      <c r="Y97" s="553"/>
    </row>
    <row r="98" ht="15.75" customHeight="1">
      <c r="A98" s="123" t="s">
        <v>2190</v>
      </c>
      <c r="B98" s="558">
        <v>729.0</v>
      </c>
      <c r="C98" s="553"/>
      <c r="D98" s="553"/>
      <c r="E98" s="553"/>
      <c r="F98" s="553"/>
      <c r="G98" s="553"/>
      <c r="H98" s="553"/>
      <c r="I98" s="553"/>
      <c r="J98" s="553"/>
      <c r="K98" s="553"/>
      <c r="L98" s="553"/>
      <c r="M98" s="553"/>
      <c r="N98" s="553"/>
      <c r="O98" s="553"/>
      <c r="P98" s="553"/>
      <c r="Q98" s="553"/>
      <c r="R98" s="553"/>
      <c r="S98" s="553"/>
      <c r="T98" s="553"/>
      <c r="U98" s="553"/>
      <c r="V98" s="553"/>
      <c r="W98" s="553"/>
      <c r="X98" s="553"/>
      <c r="Y98" s="553"/>
    </row>
    <row r="99" ht="15.75" customHeight="1">
      <c r="A99" s="123" t="s">
        <v>5101</v>
      </c>
      <c r="B99" s="558">
        <v>1898.0</v>
      </c>
      <c r="C99" s="553"/>
      <c r="D99" s="553"/>
      <c r="E99" s="553"/>
      <c r="F99" s="553"/>
      <c r="G99" s="553"/>
      <c r="H99" s="553"/>
      <c r="I99" s="553"/>
      <c r="J99" s="553"/>
      <c r="K99" s="553"/>
      <c r="L99" s="553"/>
      <c r="M99" s="553"/>
      <c r="N99" s="553"/>
      <c r="O99" s="553"/>
      <c r="P99" s="553"/>
      <c r="Q99" s="553"/>
      <c r="R99" s="553"/>
      <c r="S99" s="553"/>
      <c r="T99" s="553"/>
      <c r="U99" s="553"/>
      <c r="V99" s="553"/>
      <c r="W99" s="553"/>
      <c r="X99" s="553"/>
      <c r="Y99" s="553"/>
    </row>
    <row r="100" ht="15.75" customHeight="1">
      <c r="A100" s="123" t="s">
        <v>2005</v>
      </c>
      <c r="B100" s="558">
        <v>1046.0</v>
      </c>
      <c r="C100" s="553"/>
      <c r="D100" s="553"/>
      <c r="E100" s="553"/>
      <c r="F100" s="553"/>
      <c r="G100" s="553"/>
      <c r="H100" s="553"/>
      <c r="I100" s="553"/>
      <c r="J100" s="553"/>
      <c r="K100" s="553"/>
      <c r="L100" s="553"/>
      <c r="M100" s="553"/>
      <c r="N100" s="553"/>
      <c r="O100" s="553"/>
      <c r="P100" s="553"/>
      <c r="Q100" s="553"/>
      <c r="R100" s="553"/>
      <c r="S100" s="553"/>
      <c r="T100" s="553"/>
      <c r="U100" s="553"/>
      <c r="V100" s="553"/>
      <c r="W100" s="553"/>
      <c r="X100" s="553"/>
      <c r="Y100" s="553"/>
    </row>
    <row r="101" ht="15.75" customHeight="1">
      <c r="A101" s="123" t="s">
        <v>1401</v>
      </c>
      <c r="B101" s="558">
        <v>900.0</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c r="Y101" s="553"/>
    </row>
    <row r="102" ht="15.75" customHeight="1">
      <c r="A102" s="123" t="s">
        <v>7291</v>
      </c>
      <c r="B102" s="558">
        <v>978.0</v>
      </c>
      <c r="C102" s="553"/>
      <c r="D102" s="553"/>
      <c r="E102" s="553"/>
      <c r="F102" s="553"/>
      <c r="G102" s="553"/>
      <c r="H102" s="553"/>
      <c r="I102" s="553"/>
      <c r="J102" s="553"/>
      <c r="K102" s="553"/>
      <c r="L102" s="553"/>
      <c r="M102" s="553"/>
      <c r="N102" s="553"/>
      <c r="O102" s="553"/>
      <c r="P102" s="553"/>
      <c r="Q102" s="553"/>
      <c r="R102" s="553"/>
      <c r="S102" s="553"/>
      <c r="T102" s="553"/>
      <c r="U102" s="553"/>
      <c r="V102" s="553"/>
      <c r="W102" s="553"/>
      <c r="X102" s="553"/>
      <c r="Y102" s="553"/>
    </row>
    <row r="103" ht="15.75" customHeight="1">
      <c r="A103" s="123" t="s">
        <v>5736</v>
      </c>
      <c r="B103" s="558">
        <v>1234.0</v>
      </c>
      <c r="C103" s="553"/>
      <c r="D103" s="553"/>
      <c r="E103" s="553"/>
      <c r="F103" s="553"/>
      <c r="G103" s="553"/>
      <c r="H103" s="553"/>
      <c r="I103" s="553"/>
      <c r="J103" s="553"/>
      <c r="K103" s="553"/>
      <c r="L103" s="553"/>
      <c r="M103" s="553"/>
      <c r="N103" s="553"/>
      <c r="O103" s="553"/>
      <c r="P103" s="553"/>
      <c r="Q103" s="553"/>
      <c r="R103" s="553"/>
      <c r="S103" s="553"/>
      <c r="T103" s="553"/>
      <c r="U103" s="553"/>
      <c r="V103" s="553"/>
      <c r="W103" s="553"/>
      <c r="X103" s="553"/>
      <c r="Y103" s="553"/>
    </row>
    <row r="104" ht="15.75" customHeight="1">
      <c r="A104" s="123" t="s">
        <v>6569</v>
      </c>
      <c r="B104" s="558">
        <v>715.0</v>
      </c>
      <c r="C104" s="553"/>
      <c r="D104" s="553"/>
      <c r="E104" s="553"/>
      <c r="F104" s="553"/>
      <c r="G104" s="553"/>
      <c r="H104" s="553"/>
      <c r="I104" s="553"/>
      <c r="J104" s="553"/>
      <c r="K104" s="553"/>
      <c r="L104" s="553"/>
      <c r="M104" s="553"/>
      <c r="N104" s="553"/>
      <c r="O104" s="553"/>
      <c r="P104" s="553"/>
      <c r="Q104" s="553"/>
      <c r="R104" s="553"/>
      <c r="S104" s="553"/>
      <c r="T104" s="553"/>
      <c r="U104" s="553"/>
      <c r="V104" s="553"/>
      <c r="W104" s="553"/>
      <c r="X104" s="553"/>
      <c r="Y104" s="553"/>
    </row>
    <row r="105" ht="15.75" customHeight="1">
      <c r="A105" s="123" t="s">
        <v>1124</v>
      </c>
      <c r="B105" s="558">
        <v>5133.0</v>
      </c>
      <c r="C105" s="553"/>
      <c r="D105" s="553"/>
      <c r="E105" s="553"/>
      <c r="F105" s="553"/>
      <c r="G105" s="553"/>
      <c r="H105" s="553"/>
      <c r="I105" s="553"/>
      <c r="J105" s="553"/>
      <c r="K105" s="553"/>
      <c r="L105" s="553"/>
      <c r="M105" s="553"/>
      <c r="N105" s="553"/>
      <c r="O105" s="553"/>
      <c r="P105" s="553"/>
      <c r="Q105" s="553"/>
      <c r="R105" s="553"/>
      <c r="S105" s="553"/>
      <c r="T105" s="553"/>
      <c r="U105" s="553"/>
      <c r="V105" s="553"/>
      <c r="W105" s="553"/>
      <c r="X105" s="553"/>
      <c r="Y105" s="553"/>
    </row>
    <row r="106" ht="15.75" customHeight="1">
      <c r="A106" s="123" t="s">
        <v>2113</v>
      </c>
      <c r="B106" s="558">
        <v>1994.0</v>
      </c>
      <c r="C106" s="553"/>
      <c r="D106" s="553"/>
      <c r="E106" s="553"/>
      <c r="F106" s="553"/>
      <c r="G106" s="553"/>
      <c r="H106" s="553"/>
      <c r="I106" s="553"/>
      <c r="J106" s="553"/>
      <c r="K106" s="553"/>
      <c r="L106" s="553"/>
      <c r="M106" s="553"/>
      <c r="N106" s="553"/>
      <c r="O106" s="553"/>
      <c r="P106" s="553"/>
      <c r="Q106" s="553"/>
      <c r="R106" s="553"/>
      <c r="S106" s="553"/>
      <c r="T106" s="553"/>
      <c r="U106" s="553"/>
      <c r="V106" s="553"/>
      <c r="W106" s="553"/>
      <c r="X106" s="553"/>
      <c r="Y106" s="553"/>
    </row>
    <row r="107" ht="15.75" customHeight="1">
      <c r="A107" s="123" t="s">
        <v>5517</v>
      </c>
      <c r="B107" s="558">
        <v>1689.0</v>
      </c>
      <c r="C107" s="553"/>
      <c r="D107" s="553"/>
      <c r="E107" s="553"/>
      <c r="F107" s="553"/>
      <c r="G107" s="553"/>
      <c r="H107" s="553"/>
      <c r="I107" s="553"/>
      <c r="J107" s="553"/>
      <c r="K107" s="553"/>
      <c r="L107" s="553"/>
      <c r="M107" s="553"/>
      <c r="N107" s="553"/>
      <c r="O107" s="553"/>
      <c r="P107" s="553"/>
      <c r="Q107" s="553"/>
      <c r="R107" s="553"/>
      <c r="S107" s="553"/>
      <c r="T107" s="553"/>
      <c r="U107" s="553"/>
      <c r="V107" s="553"/>
      <c r="W107" s="553"/>
      <c r="X107" s="553"/>
      <c r="Y107" s="553"/>
    </row>
    <row r="108" ht="15.75" customHeight="1">
      <c r="A108" s="123" t="s">
        <v>2349</v>
      </c>
      <c r="B108" s="558">
        <v>756.0</v>
      </c>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553"/>
      <c r="Y108" s="553"/>
    </row>
    <row r="109" ht="15.75" customHeight="1">
      <c r="A109" s="123" t="s">
        <v>4080</v>
      </c>
      <c r="B109" s="558">
        <v>248.0</v>
      </c>
      <c r="C109" s="553"/>
      <c r="D109" s="553"/>
      <c r="E109" s="553"/>
      <c r="F109" s="553"/>
      <c r="G109" s="553"/>
      <c r="H109" s="553"/>
      <c r="I109" s="553"/>
      <c r="J109" s="553"/>
      <c r="K109" s="553"/>
      <c r="L109" s="553"/>
      <c r="M109" s="553"/>
      <c r="N109" s="553"/>
      <c r="O109" s="553"/>
      <c r="P109" s="553"/>
      <c r="Q109" s="553"/>
      <c r="R109" s="553"/>
      <c r="S109" s="553"/>
      <c r="T109" s="553"/>
      <c r="U109" s="553"/>
      <c r="V109" s="553"/>
      <c r="W109" s="553"/>
      <c r="X109" s="553"/>
      <c r="Y109" s="553"/>
    </row>
    <row r="110" ht="15.75" customHeight="1">
      <c r="A110" s="123" t="s">
        <v>5743</v>
      </c>
      <c r="B110" s="558">
        <v>1501.0</v>
      </c>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553"/>
      <c r="Y110" s="553"/>
    </row>
    <row r="111" ht="15.75" customHeight="1">
      <c r="A111" s="123" t="s">
        <v>6206</v>
      </c>
      <c r="B111" s="558">
        <v>344.0</v>
      </c>
      <c r="C111" s="553"/>
      <c r="D111" s="553"/>
      <c r="E111" s="553"/>
      <c r="F111" s="553"/>
      <c r="G111" s="553"/>
      <c r="H111" s="553"/>
      <c r="I111" s="553"/>
      <c r="J111" s="553"/>
      <c r="K111" s="553"/>
      <c r="L111" s="553"/>
      <c r="M111" s="553"/>
      <c r="N111" s="553"/>
      <c r="O111" s="553"/>
      <c r="P111" s="553"/>
      <c r="Q111" s="553"/>
      <c r="R111" s="553"/>
      <c r="S111" s="553"/>
      <c r="T111" s="553"/>
      <c r="U111" s="553"/>
      <c r="V111" s="553"/>
      <c r="W111" s="553"/>
      <c r="X111" s="553"/>
      <c r="Y111" s="553"/>
    </row>
    <row r="112" ht="15.75" customHeight="1">
      <c r="A112" s="123" t="s">
        <v>7306</v>
      </c>
      <c r="B112" s="558">
        <v>770.0</v>
      </c>
      <c r="C112" s="553"/>
      <c r="D112" s="553"/>
      <c r="E112" s="553"/>
      <c r="F112" s="553"/>
      <c r="G112" s="553"/>
      <c r="H112" s="553"/>
      <c r="I112" s="553"/>
      <c r="J112" s="553"/>
      <c r="K112" s="553"/>
      <c r="L112" s="553"/>
      <c r="M112" s="553"/>
      <c r="N112" s="553"/>
      <c r="O112" s="553"/>
      <c r="P112" s="553"/>
      <c r="Q112" s="553"/>
      <c r="R112" s="553"/>
      <c r="S112" s="553"/>
      <c r="T112" s="553"/>
      <c r="U112" s="553"/>
      <c r="V112" s="553"/>
      <c r="W112" s="553"/>
      <c r="X112" s="553"/>
      <c r="Y112" s="553"/>
    </row>
    <row r="113" ht="15.75" customHeight="1">
      <c r="A113" s="123" t="s">
        <v>5148</v>
      </c>
      <c r="B113" s="558">
        <v>977.0</v>
      </c>
      <c r="C113" s="553"/>
      <c r="D113" s="553"/>
      <c r="E113" s="553"/>
      <c r="F113" s="553"/>
      <c r="G113" s="553"/>
      <c r="H113" s="553"/>
      <c r="I113" s="553"/>
      <c r="J113" s="553"/>
      <c r="K113" s="553"/>
      <c r="L113" s="553"/>
      <c r="M113" s="553"/>
      <c r="N113" s="553"/>
      <c r="O113" s="553"/>
      <c r="P113" s="553"/>
      <c r="Q113" s="553"/>
      <c r="R113" s="553"/>
      <c r="S113" s="553"/>
      <c r="T113" s="553"/>
      <c r="U113" s="553"/>
      <c r="V113" s="553"/>
      <c r="W113" s="553"/>
      <c r="X113" s="553"/>
      <c r="Y113" s="553"/>
    </row>
    <row r="114" ht="15.75" customHeight="1">
      <c r="A114" s="123" t="s">
        <v>2297</v>
      </c>
      <c r="B114" s="558">
        <v>1739.0</v>
      </c>
      <c r="C114" s="553"/>
      <c r="D114" s="553"/>
      <c r="E114" s="553"/>
      <c r="F114" s="553"/>
      <c r="G114" s="553"/>
      <c r="H114" s="553"/>
      <c r="I114" s="553"/>
      <c r="J114" s="553"/>
      <c r="K114" s="553"/>
      <c r="L114" s="553"/>
      <c r="M114" s="553"/>
      <c r="N114" s="553"/>
      <c r="O114" s="553"/>
      <c r="P114" s="553"/>
      <c r="Q114" s="553"/>
      <c r="R114" s="553"/>
      <c r="S114" s="553"/>
      <c r="T114" s="553"/>
      <c r="U114" s="553"/>
      <c r="V114" s="553"/>
      <c r="W114" s="553"/>
      <c r="X114" s="553"/>
      <c r="Y114" s="553"/>
    </row>
    <row r="115" ht="15.75" customHeight="1">
      <c r="A115" s="123" t="s">
        <v>2218</v>
      </c>
      <c r="B115" s="558">
        <v>774.0</v>
      </c>
      <c r="C115" s="553"/>
      <c r="D115" s="553"/>
      <c r="E115" s="553"/>
      <c r="F115" s="553"/>
      <c r="G115" s="553"/>
      <c r="H115" s="553"/>
      <c r="I115" s="553"/>
      <c r="J115" s="553"/>
      <c r="K115" s="553"/>
      <c r="L115" s="553"/>
      <c r="M115" s="553"/>
      <c r="N115" s="553"/>
      <c r="O115" s="553"/>
      <c r="P115" s="553"/>
      <c r="Q115" s="553"/>
      <c r="R115" s="553"/>
      <c r="S115" s="553"/>
      <c r="T115" s="553"/>
      <c r="U115" s="553"/>
      <c r="V115" s="553"/>
      <c r="W115" s="553"/>
      <c r="X115" s="553"/>
      <c r="Y115" s="553"/>
    </row>
    <row r="116" ht="15.75" customHeight="1">
      <c r="A116" s="123" t="s">
        <v>2661</v>
      </c>
      <c r="B116" s="558">
        <v>303.0</v>
      </c>
      <c r="C116" s="553"/>
      <c r="D116" s="553"/>
      <c r="E116" s="553"/>
      <c r="F116" s="553"/>
      <c r="G116" s="553"/>
      <c r="H116" s="553"/>
      <c r="I116" s="553"/>
      <c r="J116" s="553"/>
      <c r="K116" s="553"/>
      <c r="L116" s="553"/>
      <c r="M116" s="553"/>
      <c r="N116" s="553"/>
      <c r="O116" s="553"/>
      <c r="P116" s="553"/>
      <c r="Q116" s="553"/>
      <c r="R116" s="553"/>
      <c r="S116" s="553"/>
      <c r="T116" s="553"/>
      <c r="U116" s="553"/>
      <c r="V116" s="553"/>
      <c r="W116" s="553"/>
      <c r="X116" s="553"/>
      <c r="Y116" s="553"/>
    </row>
    <row r="117" ht="15.75" customHeight="1">
      <c r="A117" s="123" t="s">
        <v>2328</v>
      </c>
      <c r="B117" s="558">
        <v>1212.0</v>
      </c>
      <c r="C117" s="553"/>
      <c r="D117" s="553"/>
      <c r="E117" s="553"/>
      <c r="F117" s="553"/>
      <c r="G117" s="553"/>
      <c r="H117" s="553"/>
      <c r="I117" s="553"/>
      <c r="J117" s="553"/>
      <c r="K117" s="553"/>
      <c r="L117" s="553"/>
      <c r="M117" s="553"/>
      <c r="N117" s="553"/>
      <c r="O117" s="553"/>
      <c r="P117" s="553"/>
      <c r="Q117" s="553"/>
      <c r="R117" s="553"/>
      <c r="S117" s="553"/>
      <c r="T117" s="553"/>
      <c r="U117" s="553"/>
      <c r="V117" s="553"/>
      <c r="W117" s="553"/>
      <c r="X117" s="553"/>
      <c r="Y117" s="553"/>
    </row>
    <row r="118" ht="15.75" customHeight="1">
      <c r="A118" s="123" t="s">
        <v>2173</v>
      </c>
      <c r="B118" s="558">
        <v>679.0</v>
      </c>
      <c r="C118" s="553"/>
      <c r="D118" s="553"/>
      <c r="E118" s="553"/>
      <c r="F118" s="553"/>
      <c r="G118" s="553"/>
      <c r="H118" s="553"/>
      <c r="I118" s="553"/>
      <c r="J118" s="553"/>
      <c r="K118" s="553"/>
      <c r="L118" s="553"/>
      <c r="M118" s="553"/>
      <c r="N118" s="553"/>
      <c r="O118" s="553"/>
      <c r="P118" s="553"/>
      <c r="Q118" s="553"/>
      <c r="R118" s="553"/>
      <c r="S118" s="553"/>
      <c r="T118" s="553"/>
      <c r="U118" s="553"/>
      <c r="V118" s="553"/>
      <c r="W118" s="553"/>
      <c r="X118" s="553"/>
      <c r="Y118" s="553"/>
    </row>
    <row r="119" ht="15.75" customHeight="1">
      <c r="A119" s="123" t="s">
        <v>6573</v>
      </c>
      <c r="B119" s="558">
        <v>4411.0</v>
      </c>
      <c r="C119" s="553"/>
      <c r="D119" s="553"/>
      <c r="E119" s="553"/>
      <c r="F119" s="553"/>
      <c r="G119" s="553"/>
      <c r="H119" s="553"/>
      <c r="I119" s="553"/>
      <c r="J119" s="553"/>
      <c r="K119" s="553"/>
      <c r="L119" s="553"/>
      <c r="M119" s="553"/>
      <c r="N119" s="553"/>
      <c r="O119" s="553"/>
      <c r="P119" s="553"/>
      <c r="Q119" s="553"/>
      <c r="R119" s="553"/>
      <c r="S119" s="553"/>
      <c r="T119" s="553"/>
      <c r="U119" s="553"/>
      <c r="V119" s="553"/>
      <c r="W119" s="553"/>
      <c r="X119" s="553"/>
      <c r="Y119" s="553"/>
    </row>
    <row r="120" ht="15.75" customHeight="1">
      <c r="A120" s="123" t="s">
        <v>2205</v>
      </c>
      <c r="B120" s="558">
        <v>1580.0</v>
      </c>
      <c r="C120" s="553"/>
      <c r="D120" s="553"/>
      <c r="E120" s="553"/>
      <c r="F120" s="553"/>
      <c r="G120" s="553"/>
      <c r="H120" s="553"/>
      <c r="I120" s="553"/>
      <c r="J120" s="553"/>
      <c r="K120" s="553"/>
      <c r="L120" s="553"/>
      <c r="M120" s="553"/>
      <c r="N120" s="553"/>
      <c r="O120" s="553"/>
      <c r="P120" s="553"/>
      <c r="Q120" s="553"/>
      <c r="R120" s="553"/>
      <c r="S120" s="553"/>
      <c r="T120" s="553"/>
      <c r="U120" s="553"/>
      <c r="V120" s="553"/>
      <c r="W120" s="553"/>
      <c r="X120" s="553"/>
      <c r="Y120" s="553"/>
    </row>
    <row r="121" ht="15.75" customHeight="1">
      <c r="A121" s="123" t="s">
        <v>6870</v>
      </c>
      <c r="B121" s="558">
        <v>635.0</v>
      </c>
      <c r="C121" s="553"/>
      <c r="D121" s="553"/>
      <c r="E121" s="553"/>
      <c r="F121" s="553"/>
      <c r="G121" s="553"/>
      <c r="H121" s="553"/>
      <c r="I121" s="553"/>
      <c r="J121" s="553"/>
      <c r="K121" s="553"/>
      <c r="L121" s="553"/>
      <c r="M121" s="553"/>
      <c r="N121" s="553"/>
      <c r="O121" s="553"/>
      <c r="P121" s="553"/>
      <c r="Q121" s="553"/>
      <c r="R121" s="553"/>
      <c r="S121" s="553"/>
      <c r="T121" s="553"/>
      <c r="U121" s="553"/>
      <c r="V121" s="553"/>
      <c r="W121" s="553"/>
      <c r="X121" s="553"/>
      <c r="Y121" s="553"/>
    </row>
    <row r="122" ht="15.75" customHeight="1">
      <c r="A122" s="123" t="s">
        <v>7989</v>
      </c>
      <c r="B122" s="558">
        <v>4922.0</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row>
    <row r="123" ht="15.75" customHeight="1">
      <c r="A123" s="123" t="s">
        <v>4086</v>
      </c>
      <c r="B123" s="558">
        <v>518.0</v>
      </c>
      <c r="C123" s="553"/>
      <c r="D123" s="553"/>
      <c r="E123" s="553"/>
      <c r="F123" s="553"/>
      <c r="G123" s="553"/>
      <c r="H123" s="553"/>
      <c r="I123" s="553"/>
      <c r="J123" s="553"/>
      <c r="K123" s="553"/>
      <c r="L123" s="553"/>
      <c r="M123" s="553"/>
      <c r="N123" s="553"/>
      <c r="O123" s="553"/>
      <c r="P123" s="553"/>
      <c r="Q123" s="553"/>
      <c r="R123" s="553"/>
      <c r="S123" s="553"/>
      <c r="T123" s="553"/>
      <c r="U123" s="553"/>
      <c r="V123" s="553"/>
      <c r="W123" s="553"/>
      <c r="X123" s="553"/>
      <c r="Y123" s="553"/>
    </row>
    <row r="124" ht="15.75" customHeight="1">
      <c r="A124" s="123" t="s">
        <v>6611</v>
      </c>
      <c r="B124" s="558">
        <v>312.0</v>
      </c>
      <c r="C124" s="553"/>
      <c r="D124" s="553"/>
      <c r="E124" s="553"/>
      <c r="F124" s="553"/>
      <c r="G124" s="553"/>
      <c r="H124" s="553"/>
      <c r="I124" s="553"/>
      <c r="J124" s="553"/>
      <c r="K124" s="553"/>
      <c r="L124" s="553"/>
      <c r="M124" s="553"/>
      <c r="N124" s="553"/>
      <c r="O124" s="553"/>
      <c r="P124" s="553"/>
      <c r="Q124" s="553"/>
      <c r="R124" s="553"/>
      <c r="S124" s="553"/>
      <c r="T124" s="553"/>
      <c r="U124" s="553"/>
      <c r="V124" s="553"/>
      <c r="W124" s="553"/>
      <c r="X124" s="553"/>
      <c r="Y124" s="553"/>
    </row>
    <row r="125" ht="15.75" customHeight="1">
      <c r="A125" s="123" t="s">
        <v>2670</v>
      </c>
      <c r="B125" s="558">
        <v>408.0</v>
      </c>
      <c r="C125" s="553"/>
      <c r="D125" s="553"/>
      <c r="E125" s="553"/>
      <c r="F125" s="553"/>
      <c r="G125" s="553"/>
      <c r="H125" s="553"/>
      <c r="I125" s="553"/>
      <c r="J125" s="553"/>
      <c r="K125" s="553"/>
      <c r="L125" s="553"/>
      <c r="M125" s="553"/>
      <c r="N125" s="553"/>
      <c r="O125" s="553"/>
      <c r="P125" s="553"/>
      <c r="Q125" s="553"/>
      <c r="R125" s="553"/>
      <c r="S125" s="553"/>
      <c r="T125" s="553"/>
      <c r="U125" s="553"/>
      <c r="V125" s="553"/>
      <c r="W125" s="553"/>
      <c r="X125" s="553"/>
      <c r="Y125" s="553"/>
    </row>
    <row r="126" ht="15.75" customHeight="1">
      <c r="A126" s="123" t="s">
        <v>6214</v>
      </c>
      <c r="B126" s="558">
        <v>685.0</v>
      </c>
      <c r="C126" s="553"/>
      <c r="D126" s="553"/>
      <c r="E126" s="553"/>
      <c r="F126" s="553"/>
      <c r="G126" s="553"/>
      <c r="H126" s="553"/>
      <c r="I126" s="553"/>
      <c r="J126" s="553"/>
      <c r="K126" s="553"/>
      <c r="L126" s="553"/>
      <c r="M126" s="553"/>
      <c r="N126" s="553"/>
      <c r="O126" s="553"/>
      <c r="P126" s="553"/>
      <c r="Q126" s="553"/>
      <c r="R126" s="553"/>
      <c r="S126" s="553"/>
      <c r="T126" s="553"/>
      <c r="U126" s="553"/>
      <c r="V126" s="553"/>
      <c r="W126" s="553"/>
      <c r="X126" s="553"/>
      <c r="Y126" s="553"/>
    </row>
    <row r="127" ht="15.75" customHeight="1">
      <c r="A127" s="123" t="s">
        <v>2148</v>
      </c>
      <c r="B127" s="558">
        <v>2759.0</v>
      </c>
      <c r="C127" s="553"/>
      <c r="D127" s="553"/>
      <c r="E127" s="553"/>
      <c r="F127" s="553"/>
      <c r="G127" s="553"/>
      <c r="H127" s="553"/>
      <c r="I127" s="553"/>
      <c r="J127" s="553"/>
      <c r="K127" s="553"/>
      <c r="L127" s="553"/>
      <c r="M127" s="553"/>
      <c r="N127" s="553"/>
      <c r="O127" s="553"/>
      <c r="P127" s="553"/>
      <c r="Q127" s="553"/>
      <c r="R127" s="553"/>
      <c r="S127" s="553"/>
      <c r="T127" s="553"/>
      <c r="U127" s="553"/>
      <c r="V127" s="553"/>
      <c r="W127" s="553"/>
      <c r="X127" s="553"/>
      <c r="Y127" s="553"/>
    </row>
    <row r="128" ht="15.75" customHeight="1">
      <c r="A128" s="123" t="s">
        <v>3878</v>
      </c>
      <c r="B128" s="558">
        <v>342.0</v>
      </c>
      <c r="C128" s="553"/>
      <c r="D128" s="553"/>
      <c r="E128" s="553"/>
      <c r="F128" s="553"/>
      <c r="G128" s="553"/>
      <c r="H128" s="553"/>
      <c r="I128" s="553"/>
      <c r="J128" s="553"/>
      <c r="K128" s="553"/>
      <c r="L128" s="553"/>
      <c r="M128" s="553"/>
      <c r="N128" s="553"/>
      <c r="O128" s="553"/>
      <c r="P128" s="553"/>
      <c r="Q128" s="553"/>
      <c r="R128" s="553"/>
      <c r="S128" s="553"/>
      <c r="T128" s="553"/>
      <c r="U128" s="553"/>
      <c r="V128" s="553"/>
      <c r="W128" s="553"/>
      <c r="X128" s="553"/>
      <c r="Y128" s="553"/>
    </row>
    <row r="129" ht="15.75" customHeight="1">
      <c r="A129" s="123" t="s">
        <v>5587</v>
      </c>
      <c r="B129" s="558">
        <v>2089.0</v>
      </c>
      <c r="C129" s="553"/>
      <c r="D129" s="553"/>
      <c r="E129" s="553"/>
      <c r="F129" s="553"/>
      <c r="G129" s="553"/>
      <c r="H129" s="553"/>
      <c r="I129" s="553"/>
      <c r="J129" s="553"/>
      <c r="K129" s="553"/>
      <c r="L129" s="553"/>
      <c r="M129" s="553"/>
      <c r="N129" s="553"/>
      <c r="O129" s="553"/>
      <c r="P129" s="553"/>
      <c r="Q129" s="553"/>
      <c r="R129" s="553"/>
      <c r="S129" s="553"/>
      <c r="T129" s="553"/>
      <c r="U129" s="553"/>
      <c r="V129" s="553"/>
      <c r="W129" s="553"/>
      <c r="X129" s="553"/>
      <c r="Y129" s="553"/>
    </row>
    <row r="130" ht="15.75" customHeight="1">
      <c r="A130" s="123" t="s">
        <v>2000</v>
      </c>
      <c r="B130" s="558">
        <v>3610.0</v>
      </c>
      <c r="C130" s="553"/>
      <c r="D130" s="553"/>
      <c r="E130" s="553"/>
      <c r="F130" s="553"/>
      <c r="G130" s="553"/>
      <c r="H130" s="553"/>
      <c r="I130" s="553"/>
      <c r="J130" s="553"/>
      <c r="K130" s="553"/>
      <c r="L130" s="553"/>
      <c r="M130" s="553"/>
      <c r="N130" s="553"/>
      <c r="O130" s="553"/>
      <c r="P130" s="553"/>
      <c r="Q130" s="553"/>
      <c r="R130" s="553"/>
      <c r="S130" s="553"/>
      <c r="T130" s="553"/>
      <c r="U130" s="553"/>
      <c r="V130" s="553"/>
      <c r="W130" s="553"/>
      <c r="X130" s="553"/>
      <c r="Y130" s="553"/>
    </row>
    <row r="131" ht="15.75" customHeight="1">
      <c r="A131" s="123" t="s">
        <v>2042</v>
      </c>
      <c r="B131" s="558">
        <v>3869.0</v>
      </c>
      <c r="C131" s="553"/>
      <c r="D131" s="553"/>
      <c r="E131" s="553"/>
      <c r="F131" s="553"/>
      <c r="G131" s="553"/>
      <c r="H131" s="553"/>
      <c r="I131" s="553"/>
      <c r="J131" s="553"/>
      <c r="K131" s="553"/>
      <c r="L131" s="553"/>
      <c r="M131" s="553"/>
      <c r="N131" s="553"/>
      <c r="O131" s="553"/>
      <c r="P131" s="553"/>
      <c r="Q131" s="553"/>
      <c r="R131" s="553"/>
      <c r="S131" s="553"/>
      <c r="T131" s="553"/>
      <c r="U131" s="553"/>
      <c r="V131" s="553"/>
      <c r="W131" s="553"/>
      <c r="X131" s="553"/>
      <c r="Y131" s="553"/>
    </row>
    <row r="132" ht="15.75" customHeight="1">
      <c r="A132" s="123" t="s">
        <v>2097</v>
      </c>
      <c r="B132" s="558">
        <v>820.0</v>
      </c>
      <c r="C132" s="553"/>
      <c r="D132" s="553"/>
      <c r="E132" s="553"/>
      <c r="F132" s="553"/>
      <c r="G132" s="553"/>
      <c r="H132" s="553"/>
      <c r="I132" s="553"/>
      <c r="J132" s="553"/>
      <c r="K132" s="553"/>
      <c r="L132" s="553"/>
      <c r="M132" s="553"/>
      <c r="N132" s="553"/>
      <c r="O132" s="553"/>
      <c r="P132" s="553"/>
      <c r="Q132" s="553"/>
      <c r="R132" s="553"/>
      <c r="S132" s="553"/>
      <c r="T132" s="553"/>
      <c r="U132" s="553"/>
      <c r="V132" s="553"/>
      <c r="W132" s="553"/>
      <c r="X132" s="553"/>
      <c r="Y132" s="553"/>
    </row>
    <row r="133" ht="15.75" customHeight="1">
      <c r="A133" s="123" t="s">
        <v>589</v>
      </c>
      <c r="B133" s="558">
        <v>304.0</v>
      </c>
      <c r="C133" s="553"/>
      <c r="D133" s="553"/>
      <c r="E133" s="553"/>
      <c r="F133" s="553"/>
      <c r="G133" s="553"/>
      <c r="H133" s="553"/>
      <c r="I133" s="553"/>
      <c r="J133" s="553"/>
      <c r="K133" s="553"/>
      <c r="L133" s="553"/>
      <c r="M133" s="553"/>
      <c r="N133" s="553"/>
      <c r="O133" s="553"/>
      <c r="P133" s="553"/>
      <c r="Q133" s="553"/>
      <c r="R133" s="553"/>
      <c r="S133" s="553"/>
      <c r="T133" s="553"/>
      <c r="U133" s="553"/>
      <c r="V133" s="553"/>
      <c r="W133" s="553"/>
      <c r="X133" s="553"/>
      <c r="Y133" s="553"/>
    </row>
    <row r="134" ht="15.75" customHeight="1">
      <c r="A134" s="123" t="s">
        <v>2050</v>
      </c>
      <c r="B134" s="558">
        <v>49785.0</v>
      </c>
      <c r="C134" s="553"/>
      <c r="D134" s="553"/>
      <c r="E134" s="553"/>
      <c r="F134" s="553"/>
      <c r="G134" s="553"/>
      <c r="H134" s="553"/>
      <c r="I134" s="553"/>
      <c r="J134" s="553"/>
      <c r="K134" s="553"/>
      <c r="L134" s="553"/>
      <c r="M134" s="553"/>
      <c r="N134" s="553"/>
      <c r="O134" s="553"/>
      <c r="P134" s="553"/>
      <c r="Q134" s="553"/>
      <c r="R134" s="553"/>
      <c r="S134" s="553"/>
      <c r="T134" s="553"/>
      <c r="U134" s="553"/>
      <c r="V134" s="553"/>
      <c r="W134" s="553"/>
      <c r="X134" s="553"/>
      <c r="Y134" s="553"/>
    </row>
    <row r="135" ht="15.75" customHeight="1">
      <c r="A135" s="123" t="s">
        <v>7735</v>
      </c>
      <c r="B135" s="558">
        <v>727.0</v>
      </c>
      <c r="C135" s="553"/>
      <c r="D135" s="553"/>
      <c r="E135" s="553"/>
      <c r="F135" s="553"/>
      <c r="G135" s="553"/>
      <c r="H135" s="553"/>
      <c r="I135" s="553"/>
      <c r="J135" s="553"/>
      <c r="K135" s="553"/>
      <c r="L135" s="553"/>
      <c r="M135" s="553"/>
      <c r="N135" s="553"/>
      <c r="O135" s="553"/>
      <c r="P135" s="553"/>
      <c r="Q135" s="553"/>
      <c r="R135" s="553"/>
      <c r="S135" s="553"/>
      <c r="T135" s="553"/>
      <c r="U135" s="553"/>
      <c r="V135" s="553"/>
      <c r="W135" s="553"/>
      <c r="X135" s="553"/>
      <c r="Y135" s="553"/>
    </row>
    <row r="136" ht="15.75" customHeight="1">
      <c r="A136" s="123" t="s">
        <v>2431</v>
      </c>
      <c r="B136" s="558">
        <v>234.0</v>
      </c>
      <c r="C136" s="553"/>
      <c r="D136" s="553"/>
      <c r="E136" s="553"/>
      <c r="F136" s="553"/>
      <c r="G136" s="553"/>
      <c r="H136" s="553"/>
      <c r="I136" s="553"/>
      <c r="J136" s="553"/>
      <c r="K136" s="553"/>
      <c r="L136" s="553"/>
      <c r="M136" s="553"/>
      <c r="N136" s="553"/>
      <c r="O136" s="553"/>
      <c r="P136" s="553"/>
      <c r="Q136" s="553"/>
      <c r="R136" s="553"/>
      <c r="S136" s="553"/>
      <c r="T136" s="553"/>
      <c r="U136" s="553"/>
      <c r="V136" s="553"/>
      <c r="W136" s="553"/>
      <c r="X136" s="553"/>
      <c r="Y136" s="553"/>
    </row>
    <row r="137" ht="15.75" customHeight="1">
      <c r="A137" s="123" t="s">
        <v>1408</v>
      </c>
      <c r="B137" s="558">
        <v>434.0</v>
      </c>
      <c r="C137" s="553"/>
      <c r="D137" s="553"/>
      <c r="E137" s="553"/>
      <c r="F137" s="553"/>
      <c r="G137" s="553"/>
      <c r="H137" s="553"/>
      <c r="I137" s="553"/>
      <c r="J137" s="553"/>
      <c r="K137" s="553"/>
      <c r="L137" s="553"/>
      <c r="M137" s="553"/>
      <c r="N137" s="553"/>
      <c r="O137" s="553"/>
      <c r="P137" s="553"/>
      <c r="Q137" s="553"/>
      <c r="R137" s="553"/>
      <c r="S137" s="553"/>
      <c r="T137" s="553"/>
      <c r="U137" s="553"/>
      <c r="V137" s="553"/>
      <c r="W137" s="553"/>
      <c r="X137" s="553"/>
      <c r="Y137" s="553"/>
    </row>
    <row r="138" ht="15.75" customHeight="1">
      <c r="A138" s="123" t="s">
        <v>2030</v>
      </c>
      <c r="B138" s="558">
        <v>1779.0</v>
      </c>
      <c r="C138" s="553"/>
      <c r="D138" s="553"/>
      <c r="E138" s="553"/>
      <c r="F138" s="553"/>
      <c r="G138" s="553"/>
      <c r="H138" s="553"/>
      <c r="I138" s="553"/>
      <c r="J138" s="553"/>
      <c r="K138" s="553"/>
      <c r="L138" s="553"/>
      <c r="M138" s="553"/>
      <c r="N138" s="553"/>
      <c r="O138" s="553"/>
      <c r="P138" s="553"/>
      <c r="Q138" s="553"/>
      <c r="R138" s="553"/>
      <c r="S138" s="553"/>
      <c r="T138" s="553"/>
      <c r="U138" s="553"/>
      <c r="V138" s="553"/>
      <c r="W138" s="553"/>
      <c r="X138" s="553"/>
      <c r="Y138" s="553"/>
    </row>
    <row r="139" ht="15.75" customHeight="1">
      <c r="A139" s="123" t="s">
        <v>1716</v>
      </c>
      <c r="B139" s="558">
        <v>2234.0</v>
      </c>
      <c r="C139" s="553"/>
      <c r="D139" s="553"/>
      <c r="E139" s="553"/>
      <c r="F139" s="553"/>
      <c r="G139" s="553"/>
      <c r="H139" s="553"/>
      <c r="I139" s="553"/>
      <c r="J139" s="553"/>
      <c r="K139" s="553"/>
      <c r="L139" s="553"/>
      <c r="M139" s="553"/>
      <c r="N139" s="553"/>
      <c r="O139" s="553"/>
      <c r="P139" s="553"/>
      <c r="Q139" s="553"/>
      <c r="R139" s="553"/>
      <c r="S139" s="553"/>
      <c r="T139" s="553"/>
      <c r="U139" s="553"/>
      <c r="V139" s="553"/>
      <c r="W139" s="553"/>
      <c r="X139" s="553"/>
      <c r="Y139" s="553"/>
    </row>
    <row r="140" ht="15.75" customHeight="1">
      <c r="A140" s="123" t="s">
        <v>4553</v>
      </c>
      <c r="B140" s="558">
        <v>186.0</v>
      </c>
      <c r="C140" s="553"/>
      <c r="D140" s="553"/>
      <c r="E140" s="553"/>
      <c r="F140" s="553"/>
      <c r="G140" s="553"/>
      <c r="H140" s="553"/>
      <c r="I140" s="553"/>
      <c r="J140" s="553"/>
      <c r="K140" s="553"/>
      <c r="L140" s="553"/>
      <c r="M140" s="553"/>
      <c r="N140" s="553"/>
      <c r="O140" s="553"/>
      <c r="P140" s="553"/>
      <c r="Q140" s="553"/>
      <c r="R140" s="553"/>
      <c r="S140" s="553"/>
      <c r="T140" s="553"/>
      <c r="U140" s="553"/>
      <c r="V140" s="553"/>
      <c r="W140" s="553"/>
      <c r="X140" s="553"/>
      <c r="Y140" s="553"/>
    </row>
    <row r="141" ht="15.75" customHeight="1">
      <c r="A141" s="123" t="s">
        <v>233</v>
      </c>
      <c r="B141" s="558">
        <v>643.0</v>
      </c>
      <c r="C141" s="553"/>
      <c r="D141" s="553"/>
      <c r="E141" s="553"/>
      <c r="F141" s="553"/>
      <c r="G141" s="553"/>
      <c r="H141" s="553"/>
      <c r="I141" s="553"/>
      <c r="J141" s="553"/>
      <c r="K141" s="553"/>
      <c r="L141" s="553"/>
      <c r="M141" s="553"/>
      <c r="N141" s="553"/>
      <c r="O141" s="553"/>
      <c r="P141" s="553"/>
      <c r="Q141" s="553"/>
      <c r="R141" s="553"/>
      <c r="S141" s="553"/>
      <c r="T141" s="553"/>
      <c r="U141" s="553"/>
      <c r="V141" s="553"/>
      <c r="W141" s="553"/>
      <c r="X141" s="553"/>
      <c r="Y141" s="553"/>
    </row>
    <row r="142" ht="15.75" customHeight="1">
      <c r="A142" s="123" t="s">
        <v>2381</v>
      </c>
      <c r="B142" s="558">
        <v>1226.0</v>
      </c>
      <c r="C142" s="553"/>
      <c r="D142" s="553"/>
      <c r="E142" s="553"/>
      <c r="F142" s="553"/>
      <c r="G142" s="553"/>
      <c r="H142" s="553"/>
      <c r="I142" s="553"/>
      <c r="J142" s="553"/>
      <c r="K142" s="553"/>
      <c r="L142" s="553"/>
      <c r="M142" s="553"/>
      <c r="N142" s="553"/>
      <c r="O142" s="553"/>
      <c r="P142" s="553"/>
      <c r="Q142" s="553"/>
      <c r="R142" s="553"/>
      <c r="S142" s="553"/>
      <c r="T142" s="553"/>
      <c r="U142" s="553"/>
      <c r="V142" s="553"/>
      <c r="W142" s="553"/>
      <c r="X142" s="553"/>
      <c r="Y142" s="553"/>
    </row>
    <row r="143" ht="15.75" customHeight="1">
      <c r="A143" s="123" t="s">
        <v>6892</v>
      </c>
      <c r="B143" s="558">
        <v>396.0</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row>
    <row r="144" ht="15.75" customHeight="1">
      <c r="A144" s="123" t="s">
        <v>6619</v>
      </c>
      <c r="B144" s="558">
        <v>1334.0</v>
      </c>
      <c r="C144" s="553"/>
      <c r="D144" s="553"/>
      <c r="E144" s="553"/>
      <c r="F144" s="553"/>
      <c r="G144" s="553"/>
      <c r="H144" s="553"/>
      <c r="I144" s="553"/>
      <c r="J144" s="553"/>
      <c r="K144" s="553"/>
      <c r="L144" s="553"/>
      <c r="M144" s="553"/>
      <c r="N144" s="553"/>
      <c r="O144" s="553"/>
      <c r="P144" s="553"/>
      <c r="Q144" s="553"/>
      <c r="R144" s="553"/>
      <c r="S144" s="553"/>
      <c r="T144" s="553"/>
      <c r="U144" s="553"/>
      <c r="V144" s="553"/>
      <c r="W144" s="553"/>
      <c r="X144" s="553"/>
      <c r="Y144" s="553"/>
    </row>
    <row r="145" ht="15.75" customHeight="1">
      <c r="A145" s="123" t="s">
        <v>6225</v>
      </c>
      <c r="B145" s="558">
        <v>261.0</v>
      </c>
      <c r="C145" s="553"/>
      <c r="D145" s="553"/>
      <c r="E145" s="553"/>
      <c r="F145" s="553"/>
      <c r="G145" s="553"/>
      <c r="H145" s="553"/>
      <c r="I145" s="553"/>
      <c r="J145" s="553"/>
      <c r="K145" s="553"/>
      <c r="L145" s="553"/>
      <c r="M145" s="553"/>
      <c r="N145" s="553"/>
      <c r="O145" s="553"/>
      <c r="P145" s="553"/>
      <c r="Q145" s="553"/>
      <c r="R145" s="553"/>
      <c r="S145" s="553"/>
      <c r="T145" s="553"/>
      <c r="U145" s="553"/>
      <c r="V145" s="553"/>
      <c r="W145" s="553"/>
      <c r="X145" s="553"/>
      <c r="Y145" s="553"/>
    </row>
    <row r="146" ht="15.75" customHeight="1">
      <c r="A146" s="123" t="s">
        <v>4108</v>
      </c>
      <c r="B146" s="558">
        <v>5157.0</v>
      </c>
      <c r="C146" s="553"/>
      <c r="D146" s="553"/>
      <c r="E146" s="553"/>
      <c r="F146" s="553"/>
      <c r="G146" s="553"/>
      <c r="H146" s="553"/>
      <c r="I146" s="553"/>
      <c r="J146" s="553"/>
      <c r="K146" s="553"/>
      <c r="L146" s="553"/>
      <c r="M146" s="553"/>
      <c r="N146" s="553"/>
      <c r="O146" s="553"/>
      <c r="P146" s="553"/>
      <c r="Q146" s="553"/>
      <c r="R146" s="553"/>
      <c r="S146" s="553"/>
      <c r="T146" s="553"/>
      <c r="U146" s="553"/>
      <c r="V146" s="553"/>
      <c r="W146" s="553"/>
      <c r="X146" s="553"/>
      <c r="Y146" s="553"/>
    </row>
    <row r="147" ht="15.75" customHeight="1">
      <c r="A147" s="123" t="s">
        <v>9378</v>
      </c>
      <c r="B147" s="558">
        <v>608.0</v>
      </c>
      <c r="C147" s="553"/>
      <c r="D147" s="553"/>
      <c r="E147" s="553"/>
      <c r="F147" s="553"/>
      <c r="G147" s="553"/>
      <c r="H147" s="553"/>
      <c r="I147" s="553"/>
      <c r="J147" s="553"/>
      <c r="K147" s="553"/>
      <c r="L147" s="553"/>
      <c r="M147" s="553"/>
      <c r="N147" s="553"/>
      <c r="O147" s="553"/>
      <c r="P147" s="553"/>
      <c r="Q147" s="553"/>
      <c r="R147" s="553"/>
      <c r="S147" s="553"/>
      <c r="T147" s="553"/>
      <c r="U147" s="553"/>
      <c r="V147" s="553"/>
      <c r="W147" s="553"/>
      <c r="X147" s="553"/>
      <c r="Y147" s="553"/>
    </row>
    <row r="148" ht="15.75" customHeight="1">
      <c r="A148" s="123" t="s">
        <v>5190</v>
      </c>
      <c r="B148" s="558">
        <v>544.0</v>
      </c>
      <c r="C148" s="553"/>
      <c r="D148" s="553"/>
      <c r="E148" s="553"/>
      <c r="F148" s="553"/>
      <c r="G148" s="553"/>
      <c r="H148" s="553"/>
      <c r="I148" s="553"/>
      <c r="J148" s="553"/>
      <c r="K148" s="553"/>
      <c r="L148" s="553"/>
      <c r="M148" s="553"/>
      <c r="N148" s="553"/>
      <c r="O148" s="553"/>
      <c r="P148" s="553"/>
      <c r="Q148" s="553"/>
      <c r="R148" s="553"/>
      <c r="S148" s="553"/>
      <c r="T148" s="553"/>
      <c r="U148" s="553"/>
      <c r="V148" s="553"/>
      <c r="W148" s="553"/>
      <c r="X148" s="553"/>
      <c r="Y148" s="553"/>
    </row>
    <row r="149" ht="15.75" customHeight="1">
      <c r="A149" s="123" t="s">
        <v>4344</v>
      </c>
      <c r="B149" s="558">
        <v>1544.0</v>
      </c>
      <c r="C149" s="553"/>
      <c r="D149" s="553"/>
      <c r="E149" s="553"/>
      <c r="F149" s="553"/>
      <c r="G149" s="553"/>
      <c r="H149" s="553"/>
      <c r="I149" s="553"/>
      <c r="J149" s="553"/>
      <c r="K149" s="553"/>
      <c r="L149" s="553"/>
      <c r="M149" s="553"/>
      <c r="N149" s="553"/>
      <c r="O149" s="553"/>
      <c r="P149" s="553"/>
      <c r="Q149" s="553"/>
      <c r="R149" s="553"/>
      <c r="S149" s="553"/>
      <c r="T149" s="553"/>
      <c r="U149" s="553"/>
      <c r="V149" s="553"/>
      <c r="W149" s="553"/>
      <c r="X149" s="553"/>
      <c r="Y149" s="553"/>
    </row>
    <row r="150" ht="15.75" customHeight="1">
      <c r="A150" s="123" t="s">
        <v>4140</v>
      </c>
      <c r="B150" s="558">
        <v>526.0</v>
      </c>
      <c r="C150" s="553"/>
      <c r="D150" s="553"/>
      <c r="E150" s="553"/>
      <c r="F150" s="553"/>
      <c r="G150" s="553"/>
      <c r="H150" s="553"/>
      <c r="I150" s="553"/>
      <c r="J150" s="553"/>
      <c r="K150" s="553"/>
      <c r="L150" s="553"/>
      <c r="M150" s="553"/>
      <c r="N150" s="553"/>
      <c r="O150" s="553"/>
      <c r="P150" s="553"/>
      <c r="Q150" s="553"/>
      <c r="R150" s="553"/>
      <c r="S150" s="553"/>
      <c r="T150" s="553"/>
      <c r="U150" s="553"/>
      <c r="V150" s="553"/>
      <c r="W150" s="553"/>
      <c r="X150" s="553"/>
      <c r="Y150" s="553"/>
    </row>
    <row r="151" ht="15.75" customHeight="1">
      <c r="A151" s="123" t="s">
        <v>1413</v>
      </c>
      <c r="B151" s="558">
        <v>1524.0</v>
      </c>
      <c r="C151" s="553"/>
      <c r="D151" s="553"/>
      <c r="E151" s="553"/>
      <c r="F151" s="553"/>
      <c r="G151" s="553"/>
      <c r="H151" s="553"/>
      <c r="I151" s="553"/>
      <c r="J151" s="553"/>
      <c r="K151" s="553"/>
      <c r="L151" s="553"/>
      <c r="M151" s="553"/>
      <c r="N151" s="553"/>
      <c r="O151" s="553"/>
      <c r="P151" s="553"/>
      <c r="Q151" s="553"/>
      <c r="R151" s="553"/>
      <c r="S151" s="553"/>
      <c r="T151" s="553"/>
      <c r="U151" s="553"/>
      <c r="V151" s="553"/>
      <c r="W151" s="553"/>
      <c r="X151" s="553"/>
      <c r="Y151" s="553"/>
    </row>
    <row r="152" ht="15.75" customHeight="1">
      <c r="A152" s="123" t="s">
        <v>826</v>
      </c>
      <c r="B152" s="558">
        <v>1095.0</v>
      </c>
      <c r="C152" s="553"/>
      <c r="D152" s="553"/>
      <c r="E152" s="553"/>
      <c r="F152" s="553"/>
      <c r="G152" s="553"/>
      <c r="H152" s="553"/>
      <c r="I152" s="553"/>
      <c r="J152" s="553"/>
      <c r="K152" s="553"/>
      <c r="L152" s="553"/>
      <c r="M152" s="553"/>
      <c r="N152" s="553"/>
      <c r="O152" s="553"/>
      <c r="P152" s="553"/>
      <c r="Q152" s="553"/>
      <c r="R152" s="553"/>
      <c r="S152" s="553"/>
      <c r="T152" s="553"/>
      <c r="U152" s="553"/>
      <c r="V152" s="553"/>
      <c r="W152" s="553"/>
      <c r="X152" s="553"/>
      <c r="Y152" s="553"/>
    </row>
    <row r="153" ht="15.75" customHeight="1">
      <c r="A153" s="123" t="s">
        <v>2446</v>
      </c>
      <c r="B153" s="558">
        <v>599.0</v>
      </c>
      <c r="C153" s="553"/>
      <c r="D153" s="553"/>
      <c r="E153" s="553"/>
      <c r="F153" s="553"/>
      <c r="G153" s="553"/>
      <c r="H153" s="553"/>
      <c r="I153" s="553"/>
      <c r="J153" s="553"/>
      <c r="K153" s="553"/>
      <c r="L153" s="553"/>
      <c r="M153" s="553"/>
      <c r="N153" s="553"/>
      <c r="O153" s="553"/>
      <c r="P153" s="553"/>
      <c r="Q153" s="553"/>
      <c r="R153" s="553"/>
      <c r="S153" s="553"/>
      <c r="T153" s="553"/>
      <c r="U153" s="553"/>
      <c r="V153" s="553"/>
      <c r="W153" s="553"/>
      <c r="X153" s="553"/>
      <c r="Y153" s="553"/>
    </row>
    <row r="154" ht="15.75" customHeight="1">
      <c r="A154" s="123" t="s">
        <v>248</v>
      </c>
      <c r="B154" s="558">
        <v>764.0</v>
      </c>
      <c r="C154" s="553"/>
      <c r="D154" s="553"/>
      <c r="E154" s="553"/>
      <c r="F154" s="553"/>
      <c r="G154" s="553"/>
      <c r="H154" s="553"/>
      <c r="I154" s="553"/>
      <c r="J154" s="553"/>
      <c r="K154" s="553"/>
      <c r="L154" s="553"/>
      <c r="M154" s="553"/>
      <c r="N154" s="553"/>
      <c r="O154" s="553"/>
      <c r="P154" s="553"/>
      <c r="Q154" s="553"/>
      <c r="R154" s="553"/>
      <c r="S154" s="553"/>
      <c r="T154" s="553"/>
      <c r="U154" s="553"/>
      <c r="V154" s="553"/>
      <c r="W154" s="553"/>
      <c r="X154" s="553"/>
      <c r="Y154" s="553"/>
    </row>
    <row r="155" ht="15.75" customHeight="1">
      <c r="A155" s="123" t="s">
        <v>3900</v>
      </c>
      <c r="B155" s="558">
        <v>675.0</v>
      </c>
      <c r="C155" s="553"/>
      <c r="D155" s="553"/>
      <c r="E155" s="553"/>
      <c r="F155" s="553"/>
      <c r="G155" s="553"/>
      <c r="H155" s="553"/>
      <c r="I155" s="553"/>
      <c r="J155" s="553"/>
      <c r="K155" s="553"/>
      <c r="L155" s="553"/>
      <c r="M155" s="553"/>
      <c r="N155" s="553"/>
      <c r="O155" s="553"/>
      <c r="P155" s="553"/>
      <c r="Q155" s="553"/>
      <c r="R155" s="553"/>
      <c r="S155" s="553"/>
      <c r="T155" s="553"/>
      <c r="U155" s="553"/>
      <c r="V155" s="553"/>
      <c r="W155" s="553"/>
      <c r="X155" s="553"/>
      <c r="Y155" s="553"/>
    </row>
    <row r="156" ht="15.75" customHeight="1">
      <c r="A156" s="123" t="s">
        <v>4358</v>
      </c>
      <c r="B156" s="558">
        <v>288.0</v>
      </c>
      <c r="C156" s="553"/>
      <c r="D156" s="553"/>
      <c r="E156" s="553"/>
      <c r="F156" s="553"/>
      <c r="G156" s="553"/>
      <c r="H156" s="553"/>
      <c r="I156" s="553"/>
      <c r="J156" s="553"/>
      <c r="K156" s="553"/>
      <c r="L156" s="553"/>
      <c r="M156" s="553"/>
      <c r="N156" s="553"/>
      <c r="O156" s="553"/>
      <c r="P156" s="553"/>
      <c r="Q156" s="553"/>
      <c r="R156" s="553"/>
      <c r="S156" s="553"/>
      <c r="T156" s="553"/>
      <c r="U156" s="553"/>
      <c r="V156" s="553"/>
      <c r="W156" s="553"/>
      <c r="X156" s="553"/>
      <c r="Y156" s="553"/>
    </row>
    <row r="157" ht="15.75" customHeight="1">
      <c r="A157" s="123" t="s">
        <v>1725</v>
      </c>
      <c r="B157" s="558">
        <v>822.0</v>
      </c>
      <c r="C157" s="553"/>
      <c r="D157" s="553"/>
      <c r="E157" s="553"/>
      <c r="F157" s="553"/>
      <c r="G157" s="553"/>
      <c r="H157" s="553"/>
      <c r="I157" s="553"/>
      <c r="J157" s="553"/>
      <c r="K157" s="553"/>
      <c r="L157" s="553"/>
      <c r="M157" s="553"/>
      <c r="N157" s="553"/>
      <c r="O157" s="553"/>
      <c r="P157" s="553"/>
      <c r="Q157" s="553"/>
      <c r="R157" s="553"/>
      <c r="S157" s="553"/>
      <c r="T157" s="553"/>
      <c r="U157" s="553"/>
      <c r="V157" s="553"/>
      <c r="W157" s="553"/>
      <c r="X157" s="553"/>
      <c r="Y157" s="553"/>
    </row>
    <row r="158" ht="15.75" customHeight="1">
      <c r="A158" s="123" t="s">
        <v>1910</v>
      </c>
      <c r="B158" s="558">
        <v>489.0</v>
      </c>
      <c r="C158" s="553"/>
      <c r="D158" s="553"/>
      <c r="E158" s="553"/>
      <c r="F158" s="553"/>
      <c r="G158" s="553"/>
      <c r="H158" s="553"/>
      <c r="I158" s="553"/>
      <c r="J158" s="553"/>
      <c r="K158" s="553"/>
      <c r="L158" s="553"/>
      <c r="M158" s="553"/>
      <c r="N158" s="553"/>
      <c r="O158" s="553"/>
      <c r="P158" s="553"/>
      <c r="Q158" s="553"/>
      <c r="R158" s="553"/>
      <c r="S158" s="553"/>
      <c r="T158" s="553"/>
      <c r="U158" s="553"/>
      <c r="V158" s="553"/>
      <c r="W158" s="553"/>
      <c r="X158" s="553"/>
      <c r="Y158" s="553"/>
    </row>
    <row r="159" ht="15.75" customHeight="1">
      <c r="A159" s="123" t="s">
        <v>6910</v>
      </c>
      <c r="B159" s="558">
        <v>893.0</v>
      </c>
      <c r="C159" s="553"/>
      <c r="D159" s="553"/>
      <c r="E159" s="553"/>
      <c r="F159" s="553"/>
      <c r="G159" s="553"/>
      <c r="H159" s="553"/>
      <c r="I159" s="553"/>
      <c r="J159" s="553"/>
      <c r="K159" s="553"/>
      <c r="L159" s="553"/>
      <c r="M159" s="553"/>
      <c r="N159" s="553"/>
      <c r="O159" s="553"/>
      <c r="P159" s="553"/>
      <c r="Q159" s="553"/>
      <c r="R159" s="553"/>
      <c r="S159" s="553"/>
      <c r="T159" s="553"/>
      <c r="U159" s="553"/>
      <c r="V159" s="553"/>
      <c r="W159" s="553"/>
      <c r="X159" s="553"/>
      <c r="Y159" s="553"/>
    </row>
    <row r="160" ht="15.75" customHeight="1">
      <c r="A160" s="123" t="s">
        <v>836</v>
      </c>
      <c r="B160" s="558">
        <v>734.0</v>
      </c>
      <c r="C160" s="553"/>
      <c r="D160" s="553"/>
      <c r="E160" s="553"/>
      <c r="F160" s="553"/>
      <c r="G160" s="553"/>
      <c r="H160" s="553"/>
      <c r="I160" s="553"/>
      <c r="J160" s="553"/>
      <c r="K160" s="553"/>
      <c r="L160" s="553"/>
      <c r="M160" s="553"/>
      <c r="N160" s="553"/>
      <c r="O160" s="553"/>
      <c r="P160" s="553"/>
      <c r="Q160" s="553"/>
      <c r="R160" s="553"/>
      <c r="S160" s="553"/>
      <c r="T160" s="553"/>
      <c r="U160" s="553"/>
      <c r="V160" s="553"/>
      <c r="W160" s="553"/>
      <c r="X160" s="553"/>
      <c r="Y160" s="553"/>
    </row>
    <row r="161" ht="15.75" customHeight="1">
      <c r="A161" s="123" t="s">
        <v>258</v>
      </c>
      <c r="B161" s="558">
        <v>951.0</v>
      </c>
      <c r="C161" s="553"/>
      <c r="D161" s="553"/>
      <c r="E161" s="553"/>
      <c r="F161" s="553"/>
      <c r="G161" s="553"/>
      <c r="H161" s="553"/>
      <c r="I161" s="553"/>
      <c r="J161" s="553"/>
      <c r="K161" s="553"/>
      <c r="L161" s="553"/>
      <c r="M161" s="553"/>
      <c r="N161" s="553"/>
      <c r="O161" s="553"/>
      <c r="P161" s="553"/>
      <c r="Q161" s="553"/>
      <c r="R161" s="553"/>
      <c r="S161" s="553"/>
      <c r="T161" s="553"/>
      <c r="U161" s="553"/>
      <c r="V161" s="553"/>
      <c r="W161" s="553"/>
      <c r="X161" s="553"/>
      <c r="Y161" s="553"/>
    </row>
    <row r="162" ht="15.75" customHeight="1">
      <c r="A162" s="123" t="s">
        <v>597</v>
      </c>
      <c r="B162" s="558">
        <v>1937.0</v>
      </c>
      <c r="C162" s="553"/>
      <c r="D162" s="553"/>
      <c r="E162" s="553"/>
      <c r="F162" s="553"/>
      <c r="G162" s="553"/>
      <c r="H162" s="553"/>
      <c r="I162" s="553"/>
      <c r="J162" s="553"/>
      <c r="K162" s="553"/>
      <c r="L162" s="553"/>
      <c r="M162" s="553"/>
      <c r="N162" s="553"/>
      <c r="O162" s="553"/>
      <c r="P162" s="553"/>
      <c r="Q162" s="553"/>
      <c r="R162" s="553"/>
      <c r="S162" s="553"/>
      <c r="T162" s="553"/>
      <c r="U162" s="553"/>
      <c r="V162" s="553"/>
      <c r="W162" s="553"/>
      <c r="X162" s="553"/>
      <c r="Y162" s="553"/>
    </row>
    <row r="163" ht="15.75" customHeight="1">
      <c r="A163" s="123" t="s">
        <v>1157</v>
      </c>
      <c r="B163" s="558">
        <v>427.0</v>
      </c>
      <c r="C163" s="553"/>
      <c r="D163" s="553"/>
      <c r="E163" s="553"/>
      <c r="F163" s="553"/>
      <c r="G163" s="553"/>
      <c r="H163" s="553"/>
      <c r="I163" s="553"/>
      <c r="J163" s="553"/>
      <c r="K163" s="553"/>
      <c r="L163" s="553"/>
      <c r="M163" s="553"/>
      <c r="N163" s="553"/>
      <c r="O163" s="553"/>
      <c r="P163" s="553"/>
      <c r="Q163" s="553"/>
      <c r="R163" s="553"/>
      <c r="S163" s="553"/>
      <c r="T163" s="553"/>
      <c r="U163" s="553"/>
      <c r="V163" s="553"/>
      <c r="W163" s="553"/>
      <c r="X163" s="553"/>
      <c r="Y163" s="553"/>
    </row>
    <row r="164" ht="15.75" customHeight="1">
      <c r="A164" s="123" t="s">
        <v>611</v>
      </c>
      <c r="B164" s="558">
        <v>776.0</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row>
    <row r="165" ht="15.75" customHeight="1">
      <c r="A165" s="123" t="s">
        <v>1735</v>
      </c>
      <c r="B165" s="558">
        <v>789.0</v>
      </c>
      <c r="C165" s="553"/>
      <c r="D165" s="553"/>
      <c r="E165" s="553"/>
      <c r="F165" s="553"/>
      <c r="G165" s="553"/>
      <c r="H165" s="553"/>
      <c r="I165" s="553"/>
      <c r="J165" s="553"/>
      <c r="K165" s="553"/>
      <c r="L165" s="553"/>
      <c r="M165" s="553"/>
      <c r="N165" s="553"/>
      <c r="O165" s="553"/>
      <c r="P165" s="553"/>
      <c r="Q165" s="553"/>
      <c r="R165" s="553"/>
      <c r="S165" s="553"/>
      <c r="T165" s="553"/>
      <c r="U165" s="553"/>
      <c r="V165" s="553"/>
      <c r="W165" s="553"/>
      <c r="X165" s="553"/>
      <c r="Y165" s="553"/>
    </row>
    <row r="166" ht="15.75" customHeight="1">
      <c r="A166" s="123" t="s">
        <v>2469</v>
      </c>
      <c r="B166" s="558">
        <v>1240.0</v>
      </c>
      <c r="C166" s="553"/>
      <c r="D166" s="553"/>
      <c r="E166" s="553"/>
      <c r="F166" s="553"/>
      <c r="G166" s="553"/>
      <c r="H166" s="553"/>
      <c r="I166" s="553"/>
      <c r="J166" s="553"/>
      <c r="K166" s="553"/>
      <c r="L166" s="553"/>
      <c r="M166" s="553"/>
      <c r="N166" s="553"/>
      <c r="O166" s="553"/>
      <c r="P166" s="553"/>
      <c r="Q166" s="553"/>
      <c r="R166" s="553"/>
      <c r="S166" s="553"/>
      <c r="T166" s="553"/>
      <c r="U166" s="553"/>
      <c r="V166" s="553"/>
      <c r="W166" s="553"/>
      <c r="X166" s="553"/>
      <c r="Y166" s="553"/>
    </row>
    <row r="167" ht="15.75" customHeight="1">
      <c r="A167" s="123" t="s">
        <v>1423</v>
      </c>
      <c r="B167" s="558">
        <v>13731.0</v>
      </c>
      <c r="C167" s="553"/>
      <c r="D167" s="553"/>
      <c r="E167" s="553"/>
      <c r="F167" s="553"/>
      <c r="G167" s="553"/>
      <c r="H167" s="553"/>
      <c r="I167" s="553"/>
      <c r="J167" s="553"/>
      <c r="K167" s="553"/>
      <c r="L167" s="553"/>
      <c r="M167" s="553"/>
      <c r="N167" s="553"/>
      <c r="O167" s="553"/>
      <c r="P167" s="553"/>
      <c r="Q167" s="553"/>
      <c r="R167" s="553"/>
      <c r="S167" s="553"/>
      <c r="T167" s="553"/>
      <c r="U167" s="553"/>
      <c r="V167" s="553"/>
      <c r="W167" s="553"/>
      <c r="X167" s="553"/>
      <c r="Y167" s="553"/>
    </row>
    <row r="168" ht="15.75" customHeight="1">
      <c r="A168" s="123" t="s">
        <v>5606</v>
      </c>
      <c r="B168" s="558">
        <v>1985.0</v>
      </c>
      <c r="C168" s="553"/>
      <c r="D168" s="553"/>
      <c r="E168" s="553"/>
      <c r="F168" s="553"/>
      <c r="G168" s="553"/>
      <c r="H168" s="553"/>
      <c r="I168" s="553"/>
      <c r="J168" s="553"/>
      <c r="K168" s="553"/>
      <c r="L168" s="553"/>
      <c r="M168" s="553"/>
      <c r="N168" s="553"/>
      <c r="O168" s="553"/>
      <c r="P168" s="553"/>
      <c r="Q168" s="553"/>
      <c r="R168" s="553"/>
      <c r="S168" s="553"/>
      <c r="T168" s="553"/>
      <c r="U168" s="553"/>
      <c r="V168" s="553"/>
      <c r="W168" s="553"/>
      <c r="X168" s="553"/>
      <c r="Y168" s="553"/>
    </row>
    <row r="169" ht="15.75" customHeight="1">
      <c r="A169" s="123" t="s">
        <v>6010</v>
      </c>
      <c r="B169" s="558">
        <v>626.0</v>
      </c>
      <c r="C169" s="553"/>
      <c r="D169" s="553"/>
      <c r="E169" s="553"/>
      <c r="F169" s="553"/>
      <c r="G169" s="553"/>
      <c r="H169" s="553"/>
      <c r="I169" s="553"/>
      <c r="J169" s="553"/>
      <c r="K169" s="553"/>
      <c r="L169" s="553"/>
      <c r="M169" s="553"/>
      <c r="N169" s="553"/>
      <c r="O169" s="553"/>
      <c r="P169" s="553"/>
      <c r="Q169" s="553"/>
      <c r="R169" s="553"/>
      <c r="S169" s="553"/>
      <c r="T169" s="553"/>
      <c r="U169" s="553"/>
      <c r="V169" s="553"/>
      <c r="W169" s="553"/>
      <c r="X169" s="553"/>
      <c r="Y169" s="553"/>
    </row>
    <row r="170" ht="15.75" customHeight="1">
      <c r="A170" s="123" t="s">
        <v>6943</v>
      </c>
      <c r="B170" s="558">
        <v>2613.0</v>
      </c>
      <c r="C170" s="553"/>
      <c r="D170" s="553"/>
      <c r="E170" s="553"/>
      <c r="F170" s="553"/>
      <c r="G170" s="553"/>
      <c r="H170" s="553"/>
      <c r="I170" s="553"/>
      <c r="J170" s="553"/>
      <c r="K170" s="553"/>
      <c r="L170" s="553"/>
      <c r="M170" s="553"/>
      <c r="N170" s="553"/>
      <c r="O170" s="553"/>
      <c r="P170" s="553"/>
      <c r="Q170" s="553"/>
      <c r="R170" s="553"/>
      <c r="S170" s="553"/>
      <c r="T170" s="553"/>
      <c r="U170" s="553"/>
      <c r="V170" s="553"/>
      <c r="W170" s="553"/>
      <c r="X170" s="553"/>
      <c r="Y170" s="553"/>
    </row>
    <row r="171" ht="15.75" customHeight="1">
      <c r="A171" s="123" t="s">
        <v>2261</v>
      </c>
      <c r="B171" s="558">
        <v>3104.0</v>
      </c>
      <c r="C171" s="553"/>
      <c r="D171" s="553"/>
      <c r="E171" s="553"/>
      <c r="F171" s="553"/>
      <c r="G171" s="553"/>
      <c r="H171" s="553"/>
      <c r="I171" s="553"/>
      <c r="J171" s="553"/>
      <c r="K171" s="553"/>
      <c r="L171" s="553"/>
      <c r="M171" s="553"/>
      <c r="N171" s="553"/>
      <c r="O171" s="553"/>
      <c r="P171" s="553"/>
      <c r="Q171" s="553"/>
      <c r="R171" s="553"/>
      <c r="S171" s="553"/>
      <c r="T171" s="553"/>
      <c r="U171" s="553"/>
      <c r="V171" s="553"/>
      <c r="W171" s="553"/>
      <c r="X171" s="553"/>
      <c r="Y171" s="553"/>
    </row>
    <row r="172" ht="15.75" customHeight="1">
      <c r="A172" s="123" t="s">
        <v>266</v>
      </c>
      <c r="B172" s="558">
        <v>438.0</v>
      </c>
      <c r="C172" s="553"/>
      <c r="D172" s="553"/>
      <c r="E172" s="553"/>
      <c r="F172" s="553"/>
      <c r="G172" s="553"/>
      <c r="H172" s="553"/>
      <c r="I172" s="553"/>
      <c r="J172" s="553"/>
      <c r="K172" s="553"/>
      <c r="L172" s="553"/>
      <c r="M172" s="553"/>
      <c r="N172" s="553"/>
      <c r="O172" s="553"/>
      <c r="P172" s="553"/>
      <c r="Q172" s="553"/>
      <c r="R172" s="553"/>
      <c r="S172" s="553"/>
      <c r="T172" s="553"/>
      <c r="U172" s="553"/>
      <c r="V172" s="553"/>
      <c r="W172" s="553"/>
      <c r="X172" s="553"/>
      <c r="Y172" s="553"/>
    </row>
    <row r="173" ht="15.75" customHeight="1">
      <c r="A173" s="123" t="s">
        <v>2678</v>
      </c>
      <c r="B173" s="558">
        <v>239.0</v>
      </c>
      <c r="C173" s="553"/>
      <c r="D173" s="553"/>
      <c r="E173" s="553"/>
      <c r="F173" s="553"/>
      <c r="G173" s="553"/>
      <c r="H173" s="553"/>
      <c r="I173" s="553"/>
      <c r="J173" s="553"/>
      <c r="K173" s="553"/>
      <c r="L173" s="553"/>
      <c r="M173" s="553"/>
      <c r="N173" s="553"/>
      <c r="O173" s="553"/>
      <c r="P173" s="553"/>
      <c r="Q173" s="553"/>
      <c r="R173" s="553"/>
      <c r="S173" s="553"/>
      <c r="T173" s="553"/>
      <c r="U173" s="553"/>
      <c r="V173" s="553"/>
      <c r="W173" s="553"/>
      <c r="X173" s="553"/>
      <c r="Y173" s="553"/>
    </row>
    <row r="174" ht="15.75" customHeight="1">
      <c r="A174" s="123" t="s">
        <v>849</v>
      </c>
      <c r="B174" s="558">
        <v>493.0</v>
      </c>
      <c r="C174" s="553"/>
      <c r="D174" s="553"/>
      <c r="E174" s="553"/>
      <c r="F174" s="553"/>
      <c r="G174" s="553"/>
      <c r="H174" s="553"/>
      <c r="I174" s="553"/>
      <c r="J174" s="553"/>
      <c r="K174" s="553"/>
      <c r="L174" s="553"/>
      <c r="M174" s="553"/>
      <c r="N174" s="553"/>
      <c r="O174" s="553"/>
      <c r="P174" s="553"/>
      <c r="Q174" s="553"/>
      <c r="R174" s="553"/>
      <c r="S174" s="553"/>
      <c r="T174" s="553"/>
      <c r="U174" s="553"/>
      <c r="V174" s="553"/>
      <c r="W174" s="553"/>
      <c r="X174" s="553"/>
      <c r="Y174" s="553"/>
    </row>
    <row r="175" ht="15.75" customHeight="1">
      <c r="A175" s="123" t="s">
        <v>869</v>
      </c>
      <c r="B175" s="558">
        <v>1631.0</v>
      </c>
      <c r="C175" s="553"/>
      <c r="D175" s="553"/>
      <c r="E175" s="553"/>
      <c r="F175" s="553"/>
      <c r="G175" s="553"/>
      <c r="H175" s="553"/>
      <c r="I175" s="553"/>
      <c r="J175" s="553"/>
      <c r="K175" s="553"/>
      <c r="L175" s="553"/>
      <c r="M175" s="553"/>
      <c r="N175" s="553"/>
      <c r="O175" s="553"/>
      <c r="P175" s="553"/>
      <c r="Q175" s="553"/>
      <c r="R175" s="553"/>
      <c r="S175" s="553"/>
      <c r="T175" s="553"/>
      <c r="U175" s="553"/>
      <c r="V175" s="553"/>
      <c r="W175" s="553"/>
      <c r="X175" s="553"/>
      <c r="Y175" s="553"/>
    </row>
    <row r="176" ht="15.75" customHeight="1">
      <c r="A176" s="123" t="s">
        <v>6023</v>
      </c>
      <c r="B176" s="558">
        <v>1280.0</v>
      </c>
      <c r="C176" s="553"/>
      <c r="D176" s="553"/>
      <c r="E176" s="553"/>
      <c r="F176" s="553"/>
      <c r="G176" s="553"/>
      <c r="H176" s="553"/>
      <c r="I176" s="553"/>
      <c r="J176" s="553"/>
      <c r="K176" s="553"/>
      <c r="L176" s="553"/>
      <c r="M176" s="553"/>
      <c r="N176" s="553"/>
      <c r="O176" s="553"/>
      <c r="P176" s="553"/>
      <c r="Q176" s="553"/>
      <c r="R176" s="553"/>
      <c r="S176" s="553"/>
      <c r="T176" s="553"/>
      <c r="U176" s="553"/>
      <c r="V176" s="553"/>
      <c r="W176" s="553"/>
      <c r="X176" s="553"/>
      <c r="Y176" s="553"/>
    </row>
    <row r="177" ht="15.75" customHeight="1">
      <c r="A177" s="123" t="s">
        <v>271</v>
      </c>
      <c r="B177" s="558">
        <v>4314.0</v>
      </c>
      <c r="C177" s="553"/>
      <c r="D177" s="553"/>
      <c r="E177" s="553"/>
      <c r="F177" s="553"/>
      <c r="G177" s="553"/>
      <c r="H177" s="553"/>
      <c r="I177" s="553"/>
      <c r="J177" s="553"/>
      <c r="K177" s="553"/>
      <c r="L177" s="553"/>
      <c r="M177" s="553"/>
      <c r="N177" s="553"/>
      <c r="O177" s="553"/>
      <c r="P177" s="553"/>
      <c r="Q177" s="553"/>
      <c r="R177" s="553"/>
      <c r="S177" s="553"/>
      <c r="T177" s="553"/>
      <c r="U177" s="553"/>
      <c r="V177" s="553"/>
      <c r="W177" s="553"/>
      <c r="X177" s="553"/>
      <c r="Y177" s="553"/>
    </row>
    <row r="178" ht="15.75" customHeight="1">
      <c r="A178" s="123" t="s">
        <v>9417</v>
      </c>
      <c r="B178" s="558">
        <v>1103.0</v>
      </c>
      <c r="C178" s="553"/>
      <c r="D178" s="553"/>
      <c r="E178" s="553"/>
      <c r="F178" s="553"/>
      <c r="G178" s="553"/>
      <c r="H178" s="553"/>
      <c r="I178" s="553"/>
      <c r="J178" s="553"/>
      <c r="K178" s="553"/>
      <c r="L178" s="553"/>
      <c r="M178" s="553"/>
      <c r="N178" s="553"/>
      <c r="O178" s="553"/>
      <c r="P178" s="553"/>
      <c r="Q178" s="553"/>
      <c r="R178" s="553"/>
      <c r="S178" s="553"/>
      <c r="T178" s="553"/>
      <c r="U178" s="553"/>
      <c r="V178" s="553"/>
      <c r="W178" s="553"/>
      <c r="X178" s="553"/>
      <c r="Y178" s="553"/>
    </row>
    <row r="179" ht="15.75" customHeight="1">
      <c r="A179" s="123" t="s">
        <v>2536</v>
      </c>
      <c r="B179" s="558">
        <v>4977.0</v>
      </c>
      <c r="C179" s="553"/>
      <c r="D179" s="553"/>
      <c r="E179" s="553"/>
      <c r="F179" s="553"/>
      <c r="G179" s="553"/>
      <c r="H179" s="553"/>
      <c r="I179" s="553"/>
      <c r="J179" s="553"/>
      <c r="K179" s="553"/>
      <c r="L179" s="553"/>
      <c r="M179" s="553"/>
      <c r="N179" s="553"/>
      <c r="O179" s="553"/>
      <c r="P179" s="553"/>
      <c r="Q179" s="553"/>
      <c r="R179" s="553"/>
      <c r="S179" s="553"/>
      <c r="T179" s="553"/>
      <c r="U179" s="553"/>
      <c r="V179" s="553"/>
      <c r="W179" s="553"/>
      <c r="X179" s="553"/>
      <c r="Y179" s="553"/>
    </row>
    <row r="180" ht="15.75" customHeight="1">
      <c r="A180" s="123" t="s">
        <v>1529</v>
      </c>
      <c r="B180" s="558">
        <v>11878.0</v>
      </c>
      <c r="C180" s="553"/>
      <c r="D180" s="553"/>
      <c r="E180" s="553"/>
      <c r="F180" s="553"/>
      <c r="G180" s="553"/>
      <c r="H180" s="553"/>
      <c r="I180" s="553"/>
      <c r="J180" s="553"/>
      <c r="K180" s="553"/>
      <c r="L180" s="553"/>
      <c r="M180" s="553"/>
      <c r="N180" s="553"/>
      <c r="O180" s="553"/>
      <c r="P180" s="553"/>
      <c r="Q180" s="553"/>
      <c r="R180" s="553"/>
      <c r="S180" s="553"/>
      <c r="T180" s="553"/>
      <c r="U180" s="553"/>
      <c r="V180" s="553"/>
      <c r="W180" s="553"/>
      <c r="X180" s="553"/>
      <c r="Y180" s="553"/>
    </row>
    <row r="181" ht="15.75" customHeight="1">
      <c r="A181" s="123" t="s">
        <v>1576</v>
      </c>
      <c r="B181" s="558">
        <v>1317.0</v>
      </c>
      <c r="C181" s="553"/>
      <c r="D181" s="553"/>
      <c r="E181" s="553"/>
      <c r="F181" s="553"/>
      <c r="G181" s="553"/>
      <c r="H181" s="553"/>
      <c r="I181" s="553"/>
      <c r="J181" s="553"/>
      <c r="K181" s="553"/>
      <c r="L181" s="553"/>
      <c r="M181" s="553"/>
      <c r="N181" s="553"/>
      <c r="O181" s="553"/>
      <c r="P181" s="553"/>
      <c r="Q181" s="553"/>
      <c r="R181" s="553"/>
      <c r="S181" s="553"/>
      <c r="T181" s="553"/>
      <c r="U181" s="553"/>
      <c r="V181" s="553"/>
      <c r="W181" s="553"/>
      <c r="X181" s="553"/>
      <c r="Y181" s="553"/>
    </row>
    <row r="182" ht="15.75" customHeight="1">
      <c r="A182" s="123" t="s">
        <v>882</v>
      </c>
      <c r="B182" s="558">
        <v>900.0</v>
      </c>
      <c r="C182" s="553"/>
      <c r="D182" s="553"/>
      <c r="E182" s="553"/>
      <c r="F182" s="553"/>
      <c r="G182" s="553"/>
      <c r="H182" s="553"/>
      <c r="I182" s="553"/>
      <c r="J182" s="553"/>
      <c r="K182" s="553"/>
      <c r="L182" s="553"/>
      <c r="M182" s="553"/>
      <c r="N182" s="553"/>
      <c r="O182" s="553"/>
      <c r="P182" s="553"/>
      <c r="Q182" s="553"/>
      <c r="R182" s="553"/>
      <c r="S182" s="553"/>
      <c r="T182" s="553"/>
      <c r="U182" s="553"/>
      <c r="V182" s="553"/>
      <c r="W182" s="553"/>
      <c r="X182" s="553"/>
      <c r="Y182" s="553"/>
    </row>
    <row r="183" ht="15.75" customHeight="1">
      <c r="A183" s="123" t="s">
        <v>6980</v>
      </c>
      <c r="B183" s="558">
        <v>738.0</v>
      </c>
      <c r="C183" s="553"/>
      <c r="D183" s="553"/>
      <c r="E183" s="553"/>
      <c r="F183" s="553"/>
      <c r="G183" s="553"/>
      <c r="H183" s="553"/>
      <c r="I183" s="553"/>
      <c r="J183" s="553"/>
      <c r="K183" s="553"/>
      <c r="L183" s="553"/>
      <c r="M183" s="553"/>
      <c r="N183" s="553"/>
      <c r="O183" s="553"/>
      <c r="P183" s="553"/>
      <c r="Q183" s="553"/>
      <c r="R183" s="553"/>
      <c r="S183" s="553"/>
      <c r="T183" s="553"/>
      <c r="U183" s="553"/>
      <c r="V183" s="553"/>
      <c r="W183" s="553"/>
      <c r="X183" s="553"/>
      <c r="Y183" s="553"/>
    </row>
    <row r="184" ht="15.75" customHeight="1">
      <c r="A184" s="123" t="s">
        <v>6986</v>
      </c>
      <c r="B184" s="558">
        <v>633.0</v>
      </c>
      <c r="C184" s="553"/>
      <c r="D184" s="553"/>
      <c r="E184" s="553"/>
      <c r="F184" s="553"/>
      <c r="G184" s="553"/>
      <c r="H184" s="553"/>
      <c r="I184" s="553"/>
      <c r="J184" s="553"/>
      <c r="K184" s="553"/>
      <c r="L184" s="553"/>
      <c r="M184" s="553"/>
      <c r="N184" s="553"/>
      <c r="O184" s="553"/>
      <c r="P184" s="553"/>
      <c r="Q184" s="553"/>
      <c r="R184" s="553"/>
      <c r="S184" s="553"/>
      <c r="T184" s="553"/>
      <c r="U184" s="553"/>
      <c r="V184" s="553"/>
      <c r="W184" s="553"/>
      <c r="X184" s="553"/>
      <c r="Y184" s="553"/>
    </row>
    <row r="185" ht="15.75" customHeight="1">
      <c r="A185" s="123" t="s">
        <v>9449</v>
      </c>
      <c r="B185" s="558">
        <v>249.0</v>
      </c>
      <c r="C185" s="553"/>
      <c r="D185" s="553"/>
      <c r="E185" s="553"/>
      <c r="F185" s="553"/>
      <c r="G185" s="553"/>
      <c r="H185" s="553"/>
      <c r="I185" s="553"/>
      <c r="J185" s="553"/>
      <c r="K185" s="553"/>
      <c r="L185" s="553"/>
      <c r="M185" s="553"/>
      <c r="N185" s="553"/>
      <c r="O185" s="553"/>
      <c r="P185" s="553"/>
      <c r="Q185" s="553"/>
      <c r="R185" s="553"/>
      <c r="S185" s="553"/>
      <c r="T185" s="553"/>
      <c r="U185" s="553"/>
      <c r="V185" s="553"/>
      <c r="W185" s="553"/>
      <c r="X185" s="553"/>
      <c r="Y185" s="553"/>
    </row>
    <row r="186" ht="15.75" customHeight="1">
      <c r="A186" s="123" t="s">
        <v>296</v>
      </c>
      <c r="B186" s="558">
        <v>546.0</v>
      </c>
      <c r="C186" s="553"/>
      <c r="D186" s="553"/>
      <c r="E186" s="553"/>
      <c r="F186" s="553"/>
      <c r="G186" s="553"/>
      <c r="H186" s="553"/>
      <c r="I186" s="553"/>
      <c r="J186" s="553"/>
      <c r="K186" s="553"/>
      <c r="L186" s="553"/>
      <c r="M186" s="553"/>
      <c r="N186" s="553"/>
      <c r="O186" s="553"/>
      <c r="P186" s="553"/>
      <c r="Q186" s="553"/>
      <c r="R186" s="553"/>
      <c r="S186" s="553"/>
      <c r="T186" s="553"/>
      <c r="U186" s="553"/>
      <c r="V186" s="553"/>
      <c r="W186" s="553"/>
      <c r="X186" s="553"/>
      <c r="Y186" s="553"/>
    </row>
    <row r="187" ht="15.75" customHeight="1">
      <c r="A187" s="123" t="s">
        <v>1584</v>
      </c>
      <c r="B187" s="558">
        <v>370.0</v>
      </c>
      <c r="C187" s="553"/>
      <c r="D187" s="553"/>
      <c r="E187" s="553"/>
      <c r="F187" s="553"/>
      <c r="G187" s="553"/>
      <c r="H187" s="553"/>
      <c r="I187" s="553"/>
      <c r="J187" s="553"/>
      <c r="K187" s="553"/>
      <c r="L187" s="553"/>
      <c r="M187" s="553"/>
      <c r="N187" s="553"/>
      <c r="O187" s="553"/>
      <c r="P187" s="553"/>
      <c r="Q187" s="553"/>
      <c r="R187" s="553"/>
      <c r="S187" s="553"/>
      <c r="T187" s="553"/>
      <c r="U187" s="553"/>
      <c r="V187" s="553"/>
      <c r="W187" s="553"/>
      <c r="X187" s="553"/>
      <c r="Y187" s="553"/>
    </row>
    <row r="188" ht="15.75" customHeight="1">
      <c r="A188" s="123" t="s">
        <v>1591</v>
      </c>
      <c r="B188" s="558">
        <v>1125.0</v>
      </c>
      <c r="C188" s="553"/>
      <c r="D188" s="553"/>
      <c r="E188" s="553"/>
      <c r="F188" s="553"/>
      <c r="G188" s="553"/>
      <c r="H188" s="553"/>
      <c r="I188" s="553"/>
      <c r="J188" s="553"/>
      <c r="K188" s="553"/>
      <c r="L188" s="553"/>
      <c r="M188" s="553"/>
      <c r="N188" s="553"/>
      <c r="O188" s="553"/>
      <c r="P188" s="553"/>
      <c r="Q188" s="553"/>
      <c r="R188" s="553"/>
      <c r="S188" s="553"/>
      <c r="T188" s="553"/>
      <c r="U188" s="553"/>
      <c r="V188" s="553"/>
      <c r="W188" s="553"/>
      <c r="X188" s="553"/>
      <c r="Y188" s="553"/>
    </row>
    <row r="189" ht="15.75" customHeight="1">
      <c r="A189" s="123" t="s">
        <v>1914</v>
      </c>
      <c r="B189" s="558">
        <v>3111.0</v>
      </c>
      <c r="C189" s="553"/>
      <c r="D189" s="553"/>
      <c r="E189" s="553"/>
      <c r="F189" s="553"/>
      <c r="G189" s="553"/>
      <c r="H189" s="553"/>
      <c r="I189" s="553"/>
      <c r="J189" s="553"/>
      <c r="K189" s="553"/>
      <c r="L189" s="553"/>
      <c r="M189" s="553"/>
      <c r="N189" s="553"/>
      <c r="O189" s="553"/>
      <c r="P189" s="553"/>
      <c r="Q189" s="553"/>
      <c r="R189" s="553"/>
      <c r="S189" s="553"/>
      <c r="T189" s="553"/>
      <c r="U189" s="553"/>
      <c r="V189" s="553"/>
      <c r="W189" s="553"/>
      <c r="X189" s="553"/>
      <c r="Y189" s="553"/>
    </row>
    <row r="190" ht="15.75" customHeight="1">
      <c r="A190" s="123" t="s">
        <v>7005</v>
      </c>
      <c r="B190" s="558">
        <v>355.0</v>
      </c>
      <c r="C190" s="553"/>
      <c r="D190" s="553"/>
      <c r="E190" s="553"/>
      <c r="F190" s="553"/>
      <c r="G190" s="553"/>
      <c r="H190" s="553"/>
      <c r="I190" s="553"/>
      <c r="J190" s="553"/>
      <c r="K190" s="553"/>
      <c r="L190" s="553"/>
      <c r="M190" s="553"/>
      <c r="N190" s="553"/>
      <c r="O190" s="553"/>
      <c r="P190" s="553"/>
      <c r="Q190" s="553"/>
      <c r="R190" s="553"/>
      <c r="S190" s="553"/>
      <c r="T190" s="553"/>
      <c r="U190" s="553"/>
      <c r="V190" s="553"/>
      <c r="W190" s="553"/>
      <c r="X190" s="553"/>
      <c r="Y190" s="553"/>
    </row>
    <row r="191" ht="15.75" customHeight="1">
      <c r="A191" s="123" t="s">
        <v>2482</v>
      </c>
      <c r="B191" s="558">
        <v>1266.0</v>
      </c>
      <c r="C191" s="553"/>
      <c r="D191" s="553"/>
      <c r="E191" s="553"/>
      <c r="F191" s="553"/>
      <c r="G191" s="553"/>
      <c r="H191" s="553"/>
      <c r="I191" s="553"/>
      <c r="J191" s="553"/>
      <c r="K191" s="553"/>
      <c r="L191" s="553"/>
      <c r="M191" s="553"/>
      <c r="N191" s="553"/>
      <c r="O191" s="553"/>
      <c r="P191" s="553"/>
      <c r="Q191" s="553"/>
      <c r="R191" s="553"/>
      <c r="S191" s="553"/>
      <c r="T191" s="553"/>
      <c r="U191" s="553"/>
      <c r="V191" s="553"/>
      <c r="W191" s="553"/>
      <c r="X191" s="553"/>
      <c r="Y191" s="553"/>
    </row>
    <row r="192" ht="15.75" customHeight="1">
      <c r="A192" s="123" t="s">
        <v>5632</v>
      </c>
      <c r="B192" s="558">
        <v>372.0</v>
      </c>
      <c r="C192" s="553"/>
      <c r="D192" s="553"/>
      <c r="E192" s="553"/>
      <c r="F192" s="553"/>
      <c r="G192" s="553"/>
      <c r="H192" s="553"/>
      <c r="I192" s="553"/>
      <c r="J192" s="553"/>
      <c r="K192" s="553"/>
      <c r="L192" s="553"/>
      <c r="M192" s="553"/>
      <c r="N192" s="553"/>
      <c r="O192" s="553"/>
      <c r="P192" s="553"/>
      <c r="Q192" s="553"/>
      <c r="R192" s="553"/>
      <c r="S192" s="553"/>
      <c r="T192" s="553"/>
      <c r="U192" s="553"/>
      <c r="V192" s="553"/>
      <c r="W192" s="553"/>
      <c r="X192" s="553"/>
      <c r="Y192" s="553"/>
    </row>
    <row r="193" ht="15.75" customHeight="1">
      <c r="A193" s="123" t="s">
        <v>1952</v>
      </c>
      <c r="B193" s="558">
        <v>706.0</v>
      </c>
      <c r="C193" s="553"/>
      <c r="D193" s="553"/>
      <c r="E193" s="553"/>
      <c r="F193" s="553"/>
      <c r="G193" s="553"/>
      <c r="H193" s="553"/>
      <c r="I193" s="553"/>
      <c r="J193" s="553"/>
      <c r="K193" s="553"/>
      <c r="L193" s="553"/>
      <c r="M193" s="553"/>
      <c r="N193" s="553"/>
      <c r="O193" s="553"/>
      <c r="P193" s="553"/>
      <c r="Q193" s="553"/>
      <c r="R193" s="553"/>
      <c r="S193" s="553"/>
      <c r="T193" s="553"/>
      <c r="U193" s="553"/>
      <c r="V193" s="553"/>
      <c r="W193" s="553"/>
      <c r="X193" s="553"/>
      <c r="Y193" s="553"/>
    </row>
    <row r="194" ht="15.75" customHeight="1">
      <c r="A194" s="123" t="s">
        <v>2135</v>
      </c>
      <c r="B194" s="558">
        <v>1836.0</v>
      </c>
      <c r="C194" s="553"/>
      <c r="D194" s="553"/>
      <c r="E194" s="553"/>
      <c r="F194" s="553"/>
      <c r="G194" s="553"/>
      <c r="H194" s="553"/>
      <c r="I194" s="553"/>
      <c r="J194" s="553"/>
      <c r="K194" s="553"/>
      <c r="L194" s="553"/>
      <c r="M194" s="553"/>
      <c r="N194" s="553"/>
      <c r="O194" s="553"/>
      <c r="P194" s="553"/>
      <c r="Q194" s="553"/>
      <c r="R194" s="553"/>
      <c r="S194" s="553"/>
      <c r="T194" s="553"/>
      <c r="U194" s="553"/>
      <c r="V194" s="553"/>
      <c r="W194" s="553"/>
      <c r="X194" s="553"/>
      <c r="Y194" s="553"/>
    </row>
    <row r="195" ht="15.75" customHeight="1">
      <c r="A195" s="123" t="s">
        <v>1596</v>
      </c>
      <c r="B195" s="558">
        <v>521.0</v>
      </c>
      <c r="C195" s="553"/>
      <c r="D195" s="553"/>
      <c r="E195" s="553"/>
      <c r="F195" s="553"/>
      <c r="G195" s="553"/>
      <c r="H195" s="553"/>
      <c r="I195" s="553"/>
      <c r="J195" s="553"/>
      <c r="K195" s="553"/>
      <c r="L195" s="553"/>
      <c r="M195" s="553"/>
      <c r="N195" s="553"/>
      <c r="O195" s="553"/>
      <c r="P195" s="553"/>
      <c r="Q195" s="553"/>
      <c r="R195" s="553"/>
      <c r="S195" s="553"/>
      <c r="T195" s="553"/>
      <c r="U195" s="553"/>
      <c r="V195" s="553"/>
      <c r="W195" s="553"/>
      <c r="X195" s="553"/>
      <c r="Y195" s="553"/>
    </row>
    <row r="196" ht="15.75" customHeight="1">
      <c r="A196" s="123" t="s">
        <v>9464</v>
      </c>
      <c r="B196" s="558">
        <v>456.0</v>
      </c>
      <c r="C196" s="553"/>
      <c r="D196" s="553"/>
      <c r="E196" s="553"/>
      <c r="F196" s="553"/>
      <c r="G196" s="553"/>
      <c r="H196" s="553"/>
      <c r="I196" s="553"/>
      <c r="J196" s="553"/>
      <c r="K196" s="553"/>
      <c r="L196" s="553"/>
      <c r="M196" s="553"/>
      <c r="N196" s="553"/>
      <c r="O196" s="553"/>
      <c r="P196" s="553"/>
      <c r="Q196" s="553"/>
      <c r="R196" s="553"/>
      <c r="S196" s="553"/>
      <c r="T196" s="553"/>
      <c r="U196" s="553"/>
      <c r="V196" s="553"/>
      <c r="W196" s="553"/>
      <c r="X196" s="553"/>
      <c r="Y196" s="553"/>
    </row>
    <row r="197" ht="15.75" customHeight="1">
      <c r="A197" s="123" t="s">
        <v>2500</v>
      </c>
      <c r="B197" s="558">
        <v>2908.0</v>
      </c>
      <c r="C197" s="553"/>
      <c r="D197" s="553"/>
      <c r="E197" s="553"/>
      <c r="F197" s="553"/>
      <c r="G197" s="553"/>
      <c r="H197" s="553"/>
      <c r="I197" s="553"/>
      <c r="J197" s="553"/>
      <c r="K197" s="553"/>
      <c r="L197" s="553"/>
      <c r="M197" s="553"/>
      <c r="N197" s="553"/>
      <c r="O197" s="553"/>
      <c r="P197" s="553"/>
      <c r="Q197" s="553"/>
      <c r="R197" s="553"/>
      <c r="S197" s="553"/>
      <c r="T197" s="553"/>
      <c r="U197" s="553"/>
      <c r="V197" s="553"/>
      <c r="W197" s="553"/>
      <c r="X197" s="553"/>
      <c r="Y197" s="553"/>
    </row>
    <row r="198" ht="15.75" customHeight="1">
      <c r="A198" s="123" t="s">
        <v>5636</v>
      </c>
      <c r="B198" s="558">
        <v>1488.0</v>
      </c>
      <c r="C198" s="553"/>
      <c r="D198" s="553"/>
      <c r="E198" s="553"/>
      <c r="F198" s="553"/>
      <c r="G198" s="553"/>
      <c r="H198" s="553"/>
      <c r="I198" s="553"/>
      <c r="J198" s="553"/>
      <c r="K198" s="553"/>
      <c r="L198" s="553"/>
      <c r="M198" s="553"/>
      <c r="N198" s="553"/>
      <c r="O198" s="553"/>
      <c r="P198" s="553"/>
      <c r="Q198" s="553"/>
      <c r="R198" s="553"/>
      <c r="S198" s="553"/>
      <c r="T198" s="553"/>
      <c r="U198" s="553"/>
      <c r="V198" s="553"/>
      <c r="W198" s="553"/>
      <c r="X198" s="553"/>
      <c r="Y198" s="553"/>
    </row>
    <row r="199" ht="15.75" customHeight="1">
      <c r="A199" s="123" t="s">
        <v>1603</v>
      </c>
      <c r="B199" s="558">
        <v>254.0</v>
      </c>
      <c r="C199" s="553"/>
      <c r="D199" s="553"/>
      <c r="E199" s="553"/>
      <c r="F199" s="553"/>
      <c r="G199" s="553"/>
      <c r="H199" s="553"/>
      <c r="I199" s="553"/>
      <c r="J199" s="553"/>
      <c r="K199" s="553"/>
      <c r="L199" s="553"/>
      <c r="M199" s="553"/>
      <c r="N199" s="553"/>
      <c r="O199" s="553"/>
      <c r="P199" s="553"/>
      <c r="Q199" s="553"/>
      <c r="R199" s="553"/>
      <c r="S199" s="553"/>
      <c r="T199" s="553"/>
      <c r="U199" s="553"/>
      <c r="V199" s="553"/>
      <c r="W199" s="553"/>
      <c r="X199" s="553"/>
      <c r="Y199" s="553"/>
    </row>
    <row r="200" ht="15.75" customHeight="1">
      <c r="A200" s="123" t="s">
        <v>2684</v>
      </c>
      <c r="B200" s="558">
        <v>371.0</v>
      </c>
      <c r="C200" s="553"/>
      <c r="D200" s="553"/>
      <c r="E200" s="553"/>
      <c r="F200" s="553"/>
      <c r="G200" s="553"/>
      <c r="H200" s="553"/>
      <c r="I200" s="553"/>
      <c r="J200" s="553"/>
      <c r="K200" s="553"/>
      <c r="L200" s="553"/>
      <c r="M200" s="553"/>
      <c r="N200" s="553"/>
      <c r="O200" s="553"/>
      <c r="P200" s="553"/>
      <c r="Q200" s="553"/>
      <c r="R200" s="553"/>
      <c r="S200" s="553"/>
      <c r="T200" s="553"/>
      <c r="U200" s="553"/>
      <c r="V200" s="553"/>
      <c r="W200" s="553"/>
      <c r="X200" s="553"/>
      <c r="Y200" s="553"/>
    </row>
    <row r="201" ht="15.75" customHeight="1">
      <c r="A201" s="123" t="s">
        <v>2532</v>
      </c>
      <c r="B201" s="558">
        <v>504.0</v>
      </c>
      <c r="C201" s="553"/>
      <c r="D201" s="553"/>
      <c r="E201" s="553"/>
      <c r="F201" s="553"/>
      <c r="G201" s="553"/>
      <c r="H201" s="553"/>
      <c r="I201" s="553"/>
      <c r="J201" s="553"/>
      <c r="K201" s="553"/>
      <c r="L201" s="553"/>
      <c r="M201" s="553"/>
      <c r="N201" s="553"/>
      <c r="O201" s="553"/>
      <c r="P201" s="553"/>
      <c r="Q201" s="553"/>
      <c r="R201" s="553"/>
      <c r="S201" s="553"/>
      <c r="T201" s="553"/>
      <c r="U201" s="553"/>
      <c r="V201" s="553"/>
      <c r="W201" s="553"/>
      <c r="X201" s="553"/>
      <c r="Y201" s="553"/>
    </row>
    <row r="202" ht="15.75" customHeight="1">
      <c r="A202" s="123" t="s">
        <v>4411</v>
      </c>
      <c r="B202" s="558">
        <v>1429.0</v>
      </c>
      <c r="C202" s="553"/>
      <c r="D202" s="553"/>
      <c r="E202" s="553"/>
      <c r="F202" s="553"/>
      <c r="G202" s="553"/>
      <c r="H202" s="553"/>
      <c r="I202" s="553"/>
      <c r="J202" s="553"/>
      <c r="K202" s="553"/>
      <c r="L202" s="553"/>
      <c r="M202" s="553"/>
      <c r="N202" s="553"/>
      <c r="O202" s="553"/>
      <c r="P202" s="553"/>
      <c r="Q202" s="553"/>
      <c r="R202" s="553"/>
      <c r="S202" s="553"/>
      <c r="T202" s="553"/>
      <c r="U202" s="553"/>
      <c r="V202" s="553"/>
      <c r="W202" s="553"/>
      <c r="X202" s="553"/>
      <c r="Y202" s="553"/>
    </row>
    <row r="203" ht="15.75" customHeight="1">
      <c r="A203" s="123" t="s">
        <v>2688</v>
      </c>
      <c r="B203" s="558">
        <v>623.0</v>
      </c>
      <c r="C203" s="553"/>
      <c r="D203" s="553"/>
      <c r="E203" s="553"/>
      <c r="F203" s="553"/>
      <c r="G203" s="553"/>
      <c r="H203" s="553"/>
      <c r="I203" s="553"/>
      <c r="J203" s="553"/>
      <c r="K203" s="553"/>
      <c r="L203" s="553"/>
      <c r="M203" s="553"/>
      <c r="N203" s="553"/>
      <c r="O203" s="553"/>
      <c r="P203" s="553"/>
      <c r="Q203" s="553"/>
      <c r="R203" s="553"/>
      <c r="S203" s="553"/>
      <c r="T203" s="553"/>
      <c r="U203" s="553"/>
      <c r="V203" s="553"/>
      <c r="W203" s="553"/>
      <c r="X203" s="553"/>
      <c r="Y203" s="553"/>
    </row>
    <row r="204" ht="15.75" customHeight="1">
      <c r="A204" s="123" t="s">
        <v>1163</v>
      </c>
      <c r="B204" s="558">
        <v>1981.0</v>
      </c>
      <c r="C204" s="553"/>
      <c r="D204" s="553"/>
      <c r="E204" s="553"/>
      <c r="F204" s="553"/>
      <c r="G204" s="553"/>
      <c r="H204" s="553"/>
      <c r="I204" s="553"/>
      <c r="J204" s="553"/>
      <c r="K204" s="553"/>
      <c r="L204" s="553"/>
      <c r="M204" s="553"/>
      <c r="N204" s="553"/>
      <c r="O204" s="553"/>
      <c r="P204" s="553"/>
      <c r="Q204" s="553"/>
      <c r="R204" s="553"/>
      <c r="S204" s="553"/>
      <c r="T204" s="553"/>
      <c r="U204" s="553"/>
      <c r="V204" s="553"/>
      <c r="W204" s="553"/>
      <c r="X204" s="553"/>
      <c r="Y204" s="553"/>
    </row>
    <row r="205" ht="15.75" customHeight="1">
      <c r="A205" s="123" t="s">
        <v>2545</v>
      </c>
      <c r="B205" s="558">
        <v>1615.0</v>
      </c>
      <c r="C205" s="553"/>
      <c r="D205" s="553"/>
      <c r="E205" s="553"/>
      <c r="F205" s="553"/>
      <c r="G205" s="553"/>
      <c r="H205" s="553"/>
      <c r="I205" s="553"/>
      <c r="J205" s="553"/>
      <c r="K205" s="553"/>
      <c r="L205" s="553"/>
      <c r="M205" s="553"/>
      <c r="N205" s="553"/>
      <c r="O205" s="553"/>
      <c r="P205" s="553"/>
      <c r="Q205" s="553"/>
      <c r="R205" s="553"/>
      <c r="S205" s="553"/>
      <c r="T205" s="553"/>
      <c r="U205" s="553"/>
      <c r="V205" s="553"/>
      <c r="W205" s="553"/>
      <c r="X205" s="553"/>
      <c r="Y205" s="553"/>
    </row>
    <row r="206" ht="15.75" customHeight="1">
      <c r="A206" s="123" t="s">
        <v>4144</v>
      </c>
      <c r="B206" s="558">
        <v>757.0</v>
      </c>
      <c r="C206" s="553"/>
      <c r="D206" s="553"/>
      <c r="E206" s="553"/>
      <c r="F206" s="553"/>
      <c r="G206" s="553"/>
      <c r="H206" s="553"/>
      <c r="I206" s="553"/>
      <c r="J206" s="553"/>
      <c r="K206" s="553"/>
      <c r="L206" s="553"/>
      <c r="M206" s="553"/>
      <c r="N206" s="553"/>
      <c r="O206" s="553"/>
      <c r="P206" s="553"/>
      <c r="Q206" s="553"/>
      <c r="R206" s="553"/>
      <c r="S206" s="553"/>
      <c r="T206" s="553"/>
      <c r="U206" s="553"/>
      <c r="V206" s="553"/>
      <c r="W206" s="553"/>
      <c r="X206" s="553"/>
      <c r="Y206" s="553"/>
    </row>
    <row r="207" ht="15.75" customHeight="1">
      <c r="A207" s="123" t="s">
        <v>1751</v>
      </c>
      <c r="B207" s="558">
        <v>904.0</v>
      </c>
      <c r="C207" s="553"/>
      <c r="D207" s="553"/>
      <c r="E207" s="553"/>
      <c r="F207" s="553"/>
      <c r="G207" s="553"/>
      <c r="H207" s="553"/>
      <c r="I207" s="553"/>
      <c r="J207" s="553"/>
      <c r="K207" s="553"/>
      <c r="L207" s="553"/>
      <c r="M207" s="553"/>
      <c r="N207" s="553"/>
      <c r="O207" s="553"/>
      <c r="P207" s="553"/>
      <c r="Q207" s="553"/>
      <c r="R207" s="553"/>
      <c r="S207" s="553"/>
      <c r="T207" s="553"/>
      <c r="U207" s="553"/>
      <c r="V207" s="553"/>
      <c r="W207" s="553"/>
      <c r="X207" s="553"/>
      <c r="Y207" s="553"/>
    </row>
    <row r="208" ht="15.75" customHeight="1">
      <c r="A208" s="123" t="s">
        <v>4168</v>
      </c>
      <c r="B208" s="558">
        <v>607.0</v>
      </c>
      <c r="C208" s="553"/>
      <c r="D208" s="553"/>
      <c r="E208" s="553"/>
      <c r="F208" s="553"/>
      <c r="G208" s="553"/>
      <c r="H208" s="553"/>
      <c r="I208" s="553"/>
      <c r="J208" s="553"/>
      <c r="K208" s="553"/>
      <c r="L208" s="553"/>
      <c r="M208" s="553"/>
      <c r="N208" s="553"/>
      <c r="O208" s="553"/>
      <c r="P208" s="553"/>
      <c r="Q208" s="553"/>
      <c r="R208" s="553"/>
      <c r="S208" s="553"/>
      <c r="T208" s="553"/>
      <c r="U208" s="553"/>
      <c r="V208" s="553"/>
      <c r="W208" s="553"/>
      <c r="X208" s="553"/>
      <c r="Y208" s="553"/>
    </row>
    <row r="209" ht="15.75" customHeight="1">
      <c r="A209" s="123" t="s">
        <v>7345</v>
      </c>
      <c r="B209" s="558">
        <v>361.0</v>
      </c>
      <c r="C209" s="553"/>
      <c r="D209" s="553"/>
      <c r="E209" s="553"/>
      <c r="F209" s="553"/>
      <c r="G209" s="553"/>
      <c r="H209" s="553"/>
      <c r="I209" s="553"/>
      <c r="J209" s="553"/>
      <c r="K209" s="553"/>
      <c r="L209" s="553"/>
      <c r="M209" s="553"/>
      <c r="N209" s="553"/>
      <c r="O209" s="553"/>
      <c r="P209" s="553"/>
      <c r="Q209" s="553"/>
      <c r="R209" s="553"/>
      <c r="S209" s="553"/>
      <c r="T209" s="553"/>
      <c r="U209" s="553"/>
      <c r="V209" s="553"/>
      <c r="W209" s="553"/>
      <c r="X209" s="553"/>
      <c r="Y209" s="553"/>
    </row>
    <row r="210" ht="15.75" customHeight="1">
      <c r="A210" s="123" t="s">
        <v>6231</v>
      </c>
      <c r="B210" s="558">
        <v>558.0</v>
      </c>
      <c r="C210" s="553"/>
      <c r="D210" s="553"/>
      <c r="E210" s="553"/>
      <c r="F210" s="553"/>
      <c r="G210" s="553"/>
      <c r="H210" s="553"/>
      <c r="I210" s="553"/>
      <c r="J210" s="553"/>
      <c r="K210" s="553"/>
      <c r="L210" s="553"/>
      <c r="M210" s="553"/>
      <c r="N210" s="553"/>
      <c r="O210" s="553"/>
      <c r="P210" s="553"/>
      <c r="Q210" s="553"/>
      <c r="R210" s="553"/>
      <c r="S210" s="553"/>
      <c r="T210" s="553"/>
      <c r="U210" s="553"/>
      <c r="V210" s="553"/>
      <c r="W210" s="553"/>
      <c r="X210" s="553"/>
      <c r="Y210" s="553"/>
    </row>
    <row r="211" ht="15.75" customHeight="1">
      <c r="A211" s="123" t="s">
        <v>2175</v>
      </c>
      <c r="B211" s="558">
        <v>4362.0</v>
      </c>
      <c r="C211" s="553"/>
      <c r="D211" s="553"/>
      <c r="E211" s="553"/>
      <c r="F211" s="553"/>
      <c r="G211" s="553"/>
      <c r="H211" s="553"/>
      <c r="I211" s="553"/>
      <c r="J211" s="553"/>
      <c r="K211" s="553"/>
      <c r="L211" s="553"/>
      <c r="M211" s="553"/>
      <c r="N211" s="553"/>
      <c r="O211" s="553"/>
      <c r="P211" s="553"/>
      <c r="Q211" s="553"/>
      <c r="R211" s="553"/>
      <c r="S211" s="553"/>
      <c r="T211" s="553"/>
      <c r="U211" s="553"/>
      <c r="V211" s="553"/>
      <c r="W211" s="553"/>
      <c r="X211" s="553"/>
      <c r="Y211" s="553"/>
    </row>
    <row r="212" ht="15.75" customHeight="1">
      <c r="A212" s="123" t="s">
        <v>2081</v>
      </c>
      <c r="B212" s="558">
        <v>3932.0</v>
      </c>
      <c r="C212" s="553"/>
      <c r="D212" s="553"/>
      <c r="E212" s="553"/>
      <c r="F212" s="553"/>
      <c r="G212" s="553"/>
      <c r="H212" s="553"/>
      <c r="I212" s="553"/>
      <c r="J212" s="553"/>
      <c r="K212" s="553"/>
      <c r="L212" s="553"/>
      <c r="M212" s="553"/>
      <c r="N212" s="553"/>
      <c r="O212" s="553"/>
      <c r="P212" s="553"/>
      <c r="Q212" s="553"/>
      <c r="R212" s="553"/>
      <c r="S212" s="553"/>
      <c r="T212" s="553"/>
      <c r="U212" s="553"/>
      <c r="V212" s="553"/>
      <c r="W212" s="553"/>
      <c r="X212" s="553"/>
      <c r="Y212" s="553"/>
    </row>
    <row r="213" ht="15.75" customHeight="1">
      <c r="A213" s="123" t="s">
        <v>7739</v>
      </c>
      <c r="B213" s="558">
        <v>2127.0</v>
      </c>
      <c r="C213" s="553"/>
      <c r="D213" s="553"/>
      <c r="E213" s="553"/>
      <c r="F213" s="553"/>
      <c r="G213" s="553"/>
      <c r="H213" s="553"/>
      <c r="I213" s="553"/>
      <c r="J213" s="553"/>
      <c r="K213" s="553"/>
      <c r="L213" s="553"/>
      <c r="M213" s="553"/>
      <c r="N213" s="553"/>
      <c r="O213" s="553"/>
      <c r="P213" s="553"/>
      <c r="Q213" s="553"/>
      <c r="R213" s="553"/>
      <c r="S213" s="553"/>
      <c r="T213" s="553"/>
      <c r="U213" s="553"/>
      <c r="V213" s="553"/>
      <c r="W213" s="553"/>
      <c r="X213" s="553"/>
      <c r="Y213" s="553"/>
    </row>
    <row r="214" ht="15.75" customHeight="1">
      <c r="A214" s="123" t="s">
        <v>1758</v>
      </c>
      <c r="B214" s="558">
        <v>438.0</v>
      </c>
      <c r="C214" s="553"/>
      <c r="D214" s="553"/>
      <c r="E214" s="553"/>
      <c r="F214" s="553"/>
      <c r="G214" s="553"/>
      <c r="H214" s="553"/>
      <c r="I214" s="553"/>
      <c r="J214" s="553"/>
      <c r="K214" s="553"/>
      <c r="L214" s="553"/>
      <c r="M214" s="553"/>
      <c r="N214" s="553"/>
      <c r="O214" s="553"/>
      <c r="P214" s="553"/>
      <c r="Q214" s="553"/>
      <c r="R214" s="553"/>
      <c r="S214" s="553"/>
      <c r="T214" s="553"/>
      <c r="U214" s="553"/>
      <c r="V214" s="553"/>
      <c r="W214" s="553"/>
      <c r="X214" s="553"/>
      <c r="Y214" s="553"/>
    </row>
    <row r="215" ht="15.75" customHeight="1">
      <c r="A215" s="123" t="s">
        <v>5651</v>
      </c>
      <c r="B215" s="558">
        <v>678.0</v>
      </c>
      <c r="C215" s="553"/>
      <c r="D215" s="553"/>
      <c r="E215" s="553"/>
      <c r="F215" s="553"/>
      <c r="G215" s="553"/>
      <c r="H215" s="553"/>
      <c r="I215" s="553"/>
      <c r="J215" s="553"/>
      <c r="K215" s="553"/>
      <c r="L215" s="553"/>
      <c r="M215" s="553"/>
      <c r="N215" s="553"/>
      <c r="O215" s="553"/>
      <c r="P215" s="553"/>
      <c r="Q215" s="553"/>
      <c r="R215" s="553"/>
      <c r="S215" s="553"/>
      <c r="T215" s="553"/>
      <c r="U215" s="553"/>
      <c r="V215" s="553"/>
      <c r="W215" s="553"/>
      <c r="X215" s="553"/>
      <c r="Y215" s="553"/>
    </row>
    <row r="216" ht="15.75" customHeight="1">
      <c r="A216" s="123" t="s">
        <v>7016</v>
      </c>
      <c r="B216" s="558">
        <v>10727.0</v>
      </c>
      <c r="C216" s="553"/>
      <c r="D216" s="553"/>
      <c r="E216" s="553"/>
      <c r="F216" s="553"/>
      <c r="G216" s="553"/>
      <c r="H216" s="553"/>
      <c r="I216" s="553"/>
      <c r="J216" s="553"/>
      <c r="K216" s="553"/>
      <c r="L216" s="553"/>
      <c r="M216" s="553"/>
      <c r="N216" s="553"/>
      <c r="O216" s="553"/>
      <c r="P216" s="553"/>
      <c r="Q216" s="553"/>
      <c r="R216" s="553"/>
      <c r="S216" s="553"/>
      <c r="T216" s="553"/>
      <c r="U216" s="553"/>
      <c r="V216" s="553"/>
      <c r="W216" s="553"/>
      <c r="X216" s="553"/>
      <c r="Y216" s="553"/>
    </row>
    <row r="217" ht="15.75" customHeight="1">
      <c r="A217" s="123" t="s">
        <v>10520</v>
      </c>
      <c r="B217" s="558">
        <v>782.0</v>
      </c>
      <c r="C217" s="553"/>
      <c r="D217" s="553"/>
      <c r="E217" s="553"/>
      <c r="F217" s="553"/>
      <c r="G217" s="553"/>
      <c r="H217" s="553"/>
      <c r="I217" s="553"/>
      <c r="J217" s="553"/>
      <c r="K217" s="553"/>
      <c r="L217" s="553"/>
      <c r="M217" s="553"/>
      <c r="N217" s="553"/>
      <c r="O217" s="553"/>
      <c r="P217" s="553"/>
      <c r="Q217" s="553"/>
      <c r="R217" s="553"/>
      <c r="S217" s="553"/>
      <c r="T217" s="553"/>
      <c r="U217" s="553"/>
      <c r="V217" s="553"/>
      <c r="W217" s="553"/>
      <c r="X217" s="553"/>
      <c r="Y217" s="553"/>
    </row>
    <row r="218" ht="15.75" customHeight="1">
      <c r="A218" s="123" t="s">
        <v>2223</v>
      </c>
      <c r="B218" s="558">
        <v>2152.0</v>
      </c>
      <c r="C218" s="553"/>
      <c r="D218" s="553"/>
      <c r="E218" s="553"/>
      <c r="F218" s="553"/>
      <c r="G218" s="553"/>
      <c r="H218" s="553"/>
      <c r="I218" s="553"/>
      <c r="J218" s="553"/>
      <c r="K218" s="553"/>
      <c r="L218" s="553"/>
      <c r="M218" s="553"/>
      <c r="N218" s="553"/>
      <c r="O218" s="553"/>
      <c r="P218" s="553"/>
      <c r="Q218" s="553"/>
      <c r="R218" s="553"/>
      <c r="S218" s="553"/>
      <c r="T218" s="553"/>
      <c r="U218" s="553"/>
      <c r="V218" s="553"/>
      <c r="W218" s="553"/>
      <c r="X218" s="553"/>
      <c r="Y218" s="553"/>
    </row>
    <row r="219" ht="15.75" customHeight="1">
      <c r="A219" s="123" t="s">
        <v>7222</v>
      </c>
      <c r="B219" s="558">
        <v>940.0</v>
      </c>
      <c r="C219" s="553"/>
      <c r="D219" s="553"/>
      <c r="E219" s="553"/>
      <c r="F219" s="553"/>
      <c r="G219" s="553"/>
      <c r="H219" s="553"/>
      <c r="I219" s="553"/>
      <c r="J219" s="553"/>
      <c r="K219" s="553"/>
      <c r="L219" s="553"/>
      <c r="M219" s="553"/>
      <c r="N219" s="553"/>
      <c r="O219" s="553"/>
      <c r="P219" s="553"/>
      <c r="Q219" s="553"/>
      <c r="R219" s="553"/>
      <c r="S219" s="553"/>
      <c r="T219" s="553"/>
      <c r="U219" s="553"/>
      <c r="V219" s="553"/>
      <c r="W219" s="553"/>
      <c r="X219" s="553"/>
      <c r="Y219" s="553"/>
    </row>
    <row r="220" ht="15.75" customHeight="1">
      <c r="A220" s="123" t="s">
        <v>319</v>
      </c>
      <c r="B220" s="558">
        <v>1458.0</v>
      </c>
      <c r="C220" s="553"/>
      <c r="D220" s="553"/>
      <c r="E220" s="553"/>
      <c r="F220" s="553"/>
      <c r="G220" s="553"/>
      <c r="H220" s="553"/>
      <c r="I220" s="553"/>
      <c r="J220" s="553"/>
      <c r="K220" s="553"/>
      <c r="L220" s="553"/>
      <c r="M220" s="553"/>
      <c r="N220" s="553"/>
      <c r="O220" s="553"/>
      <c r="P220" s="553"/>
      <c r="Q220" s="553"/>
      <c r="R220" s="553"/>
      <c r="S220" s="553"/>
      <c r="T220" s="553"/>
      <c r="U220" s="553"/>
      <c r="V220" s="553"/>
      <c r="W220" s="553"/>
      <c r="X220" s="553"/>
      <c r="Y220" s="553"/>
    </row>
    <row r="221" ht="15.75" customHeight="1">
      <c r="A221" s="123" t="s">
        <v>2087</v>
      </c>
      <c r="B221" s="558">
        <v>19958.0</v>
      </c>
      <c r="C221" s="553"/>
      <c r="D221" s="553"/>
      <c r="E221" s="553"/>
      <c r="F221" s="553"/>
      <c r="G221" s="553"/>
      <c r="H221" s="553"/>
      <c r="I221" s="553"/>
      <c r="J221" s="553"/>
      <c r="K221" s="553"/>
      <c r="L221" s="553"/>
      <c r="M221" s="553"/>
      <c r="N221" s="553"/>
      <c r="O221" s="553"/>
      <c r="P221" s="553"/>
      <c r="Q221" s="553"/>
      <c r="R221" s="553"/>
      <c r="S221" s="553"/>
      <c r="T221" s="553"/>
      <c r="U221" s="553"/>
      <c r="V221" s="553"/>
      <c r="W221" s="553"/>
      <c r="X221" s="553"/>
      <c r="Y221" s="553"/>
    </row>
    <row r="222" ht="15.75" customHeight="1">
      <c r="A222" s="123" t="s">
        <v>1995</v>
      </c>
      <c r="B222" s="558">
        <v>434.0</v>
      </c>
      <c r="C222" s="553"/>
      <c r="D222" s="553"/>
      <c r="E222" s="553"/>
      <c r="F222" s="553"/>
      <c r="G222" s="553"/>
      <c r="H222" s="553"/>
      <c r="I222" s="553"/>
      <c r="J222" s="553"/>
      <c r="K222" s="553"/>
      <c r="L222" s="553"/>
      <c r="M222" s="553"/>
      <c r="N222" s="553"/>
      <c r="O222" s="553"/>
      <c r="P222" s="553"/>
      <c r="Q222" s="553"/>
      <c r="R222" s="553"/>
      <c r="S222" s="553"/>
      <c r="T222" s="553"/>
      <c r="U222" s="553"/>
      <c r="V222" s="553"/>
      <c r="W222" s="553"/>
      <c r="X222" s="553"/>
      <c r="Y222" s="553"/>
    </row>
    <row r="223" ht="15.75" customHeight="1">
      <c r="A223" s="123" t="s">
        <v>339</v>
      </c>
      <c r="B223" s="558">
        <v>723.0</v>
      </c>
      <c r="C223" s="553"/>
      <c r="D223" s="553"/>
      <c r="E223" s="553"/>
      <c r="F223" s="553"/>
      <c r="G223" s="553"/>
      <c r="H223" s="553"/>
      <c r="I223" s="553"/>
      <c r="J223" s="553"/>
      <c r="K223" s="553"/>
      <c r="L223" s="553"/>
      <c r="M223" s="553"/>
      <c r="N223" s="553"/>
      <c r="O223" s="553"/>
      <c r="P223" s="553"/>
      <c r="Q223" s="553"/>
      <c r="R223" s="553"/>
      <c r="S223" s="553"/>
      <c r="T223" s="553"/>
      <c r="U223" s="553"/>
      <c r="V223" s="553"/>
      <c r="W223" s="553"/>
      <c r="X223" s="553"/>
      <c r="Y223" s="553"/>
    </row>
    <row r="224" ht="15.75" customHeight="1">
      <c r="A224" s="123" t="s">
        <v>1607</v>
      </c>
      <c r="B224" s="558">
        <v>399.0</v>
      </c>
      <c r="C224" s="553"/>
      <c r="D224" s="553"/>
      <c r="E224" s="553"/>
      <c r="F224" s="553"/>
      <c r="G224" s="553"/>
      <c r="H224" s="553"/>
      <c r="I224" s="553"/>
      <c r="J224" s="553"/>
      <c r="K224" s="553"/>
      <c r="L224" s="553"/>
      <c r="M224" s="553"/>
      <c r="N224" s="553"/>
      <c r="O224" s="553"/>
      <c r="P224" s="553"/>
      <c r="Q224" s="553"/>
      <c r="R224" s="553"/>
      <c r="S224" s="553"/>
      <c r="T224" s="553"/>
      <c r="U224" s="553"/>
      <c r="V224" s="553"/>
      <c r="W224" s="553"/>
      <c r="X224" s="553"/>
      <c r="Y224" s="553"/>
    </row>
    <row r="225" ht="15.75" customHeight="1">
      <c r="A225" s="123" t="s">
        <v>894</v>
      </c>
      <c r="B225" s="558">
        <v>365.0</v>
      </c>
      <c r="C225" s="553"/>
      <c r="D225" s="553"/>
      <c r="E225" s="553"/>
      <c r="F225" s="553"/>
      <c r="G225" s="553"/>
      <c r="H225" s="553"/>
      <c r="I225" s="553"/>
      <c r="J225" s="553"/>
      <c r="K225" s="553"/>
      <c r="L225" s="553"/>
      <c r="M225" s="553"/>
      <c r="N225" s="553"/>
      <c r="O225" s="553"/>
      <c r="P225" s="553"/>
      <c r="Q225" s="553"/>
      <c r="R225" s="553"/>
      <c r="S225" s="553"/>
      <c r="T225" s="553"/>
      <c r="U225" s="553"/>
      <c r="V225" s="553"/>
      <c r="W225" s="553"/>
      <c r="X225" s="553"/>
      <c r="Y225" s="553"/>
    </row>
    <row r="226" ht="15.75" customHeight="1">
      <c r="A226" s="123" t="s">
        <v>2725</v>
      </c>
      <c r="B226" s="558">
        <v>239.0</v>
      </c>
      <c r="C226" s="553"/>
      <c r="D226" s="553"/>
      <c r="E226" s="553"/>
      <c r="F226" s="553"/>
      <c r="G226" s="553"/>
      <c r="H226" s="553"/>
      <c r="I226" s="553"/>
      <c r="J226" s="553"/>
      <c r="K226" s="553"/>
      <c r="L226" s="553"/>
      <c r="M226" s="553"/>
      <c r="N226" s="553"/>
      <c r="O226" s="553"/>
      <c r="P226" s="553"/>
      <c r="Q226" s="553"/>
      <c r="R226" s="553"/>
      <c r="S226" s="553"/>
      <c r="T226" s="553"/>
      <c r="U226" s="553"/>
      <c r="V226" s="553"/>
      <c r="W226" s="553"/>
      <c r="X226" s="553"/>
      <c r="Y226" s="553"/>
    </row>
    <row r="227" ht="15.75" customHeight="1">
      <c r="A227" s="123" t="s">
        <v>4173</v>
      </c>
      <c r="B227" s="558">
        <v>638.0</v>
      </c>
      <c r="C227" s="553"/>
      <c r="D227" s="553"/>
      <c r="E227" s="553"/>
      <c r="F227" s="553"/>
      <c r="G227" s="553"/>
      <c r="H227" s="553"/>
      <c r="I227" s="553"/>
      <c r="J227" s="553"/>
      <c r="K227" s="553"/>
      <c r="L227" s="553"/>
      <c r="M227" s="553"/>
      <c r="N227" s="553"/>
      <c r="O227" s="553"/>
      <c r="P227" s="553"/>
      <c r="Q227" s="553"/>
      <c r="R227" s="553"/>
      <c r="S227" s="553"/>
      <c r="T227" s="553"/>
      <c r="U227" s="553"/>
      <c r="V227" s="553"/>
      <c r="W227" s="553"/>
      <c r="X227" s="553"/>
      <c r="Y227" s="553"/>
    </row>
    <row r="228" ht="15.75" customHeight="1">
      <c r="A228" s="123" t="s">
        <v>2264</v>
      </c>
      <c r="B228" s="558">
        <v>1476.0</v>
      </c>
      <c r="C228" s="553"/>
      <c r="D228" s="553"/>
      <c r="E228" s="553"/>
      <c r="F228" s="553"/>
      <c r="G228" s="553"/>
      <c r="H228" s="553"/>
      <c r="I228" s="553"/>
      <c r="J228" s="553"/>
      <c r="K228" s="553"/>
      <c r="L228" s="553"/>
      <c r="M228" s="553"/>
      <c r="N228" s="553"/>
      <c r="O228" s="553"/>
      <c r="P228" s="553"/>
      <c r="Q228" s="553"/>
      <c r="R228" s="553"/>
      <c r="S228" s="553"/>
      <c r="T228" s="553"/>
      <c r="U228" s="553"/>
      <c r="V228" s="553"/>
      <c r="W228" s="553"/>
      <c r="X228" s="553"/>
      <c r="Y228" s="553"/>
    </row>
    <row r="229" ht="15.75" customHeight="1">
      <c r="A229" s="123" t="s">
        <v>2043</v>
      </c>
      <c r="B229" s="558">
        <v>205.0</v>
      </c>
      <c r="C229" s="553"/>
      <c r="D229" s="553"/>
      <c r="E229" s="553"/>
      <c r="F229" s="553"/>
      <c r="G229" s="553"/>
      <c r="H229" s="553"/>
      <c r="I229" s="553"/>
      <c r="J229" s="553"/>
      <c r="K229" s="553"/>
      <c r="L229" s="553"/>
      <c r="M229" s="553"/>
      <c r="N229" s="553"/>
      <c r="O229" s="553"/>
      <c r="P229" s="553"/>
      <c r="Q229" s="553"/>
      <c r="R229" s="553"/>
      <c r="S229" s="553"/>
      <c r="T229" s="553"/>
      <c r="U229" s="553"/>
      <c r="V229" s="553"/>
      <c r="W229" s="553"/>
      <c r="X229" s="553"/>
      <c r="Y229" s="553"/>
    </row>
    <row r="230" ht="15.75" customHeight="1">
      <c r="A230" s="123" t="s">
        <v>4424</v>
      </c>
      <c r="B230" s="558">
        <v>220.0</v>
      </c>
      <c r="C230" s="553"/>
      <c r="D230" s="553"/>
      <c r="E230" s="553"/>
      <c r="F230" s="553"/>
      <c r="G230" s="553"/>
      <c r="H230" s="553"/>
      <c r="I230" s="553"/>
      <c r="J230" s="553"/>
      <c r="K230" s="553"/>
      <c r="L230" s="553"/>
      <c r="M230" s="553"/>
      <c r="N230" s="553"/>
      <c r="O230" s="553"/>
      <c r="P230" s="553"/>
      <c r="Q230" s="553"/>
      <c r="R230" s="553"/>
      <c r="S230" s="553"/>
      <c r="T230" s="553"/>
      <c r="U230" s="553"/>
      <c r="V230" s="553"/>
      <c r="W230" s="553"/>
      <c r="X230" s="553"/>
      <c r="Y230" s="553"/>
    </row>
    <row r="231" ht="15.75" customHeight="1">
      <c r="A231" s="123" t="s">
        <v>2737</v>
      </c>
      <c r="B231" s="558">
        <v>435.0</v>
      </c>
      <c r="C231" s="553"/>
      <c r="D231" s="553"/>
      <c r="E231" s="553"/>
      <c r="F231" s="553"/>
      <c r="G231" s="553"/>
      <c r="H231" s="553"/>
      <c r="I231" s="553"/>
      <c r="J231" s="553"/>
      <c r="K231" s="553"/>
      <c r="L231" s="553"/>
      <c r="M231" s="553"/>
      <c r="N231" s="553"/>
      <c r="O231" s="553"/>
      <c r="P231" s="553"/>
      <c r="Q231" s="553"/>
      <c r="R231" s="553"/>
      <c r="S231" s="553"/>
      <c r="T231" s="553"/>
      <c r="U231" s="553"/>
      <c r="V231" s="553"/>
      <c r="W231" s="553"/>
      <c r="X231" s="553"/>
      <c r="Y231" s="553"/>
    </row>
    <row r="232" ht="15.75" customHeight="1">
      <c r="A232" s="123" t="s">
        <v>1199</v>
      </c>
      <c r="B232" s="558">
        <v>553.0</v>
      </c>
      <c r="C232" s="553"/>
      <c r="D232" s="553"/>
      <c r="E232" s="553"/>
      <c r="F232" s="553"/>
      <c r="G232" s="553"/>
      <c r="H232" s="553"/>
      <c r="I232" s="553"/>
      <c r="J232" s="553"/>
      <c r="K232" s="553"/>
      <c r="L232" s="553"/>
      <c r="M232" s="553"/>
      <c r="N232" s="553"/>
      <c r="O232" s="553"/>
      <c r="P232" s="553"/>
      <c r="Q232" s="553"/>
      <c r="R232" s="553"/>
      <c r="S232" s="553"/>
      <c r="T232" s="553"/>
      <c r="U232" s="553"/>
      <c r="V232" s="553"/>
      <c r="W232" s="553"/>
      <c r="X232" s="553"/>
      <c r="Y232" s="553"/>
    </row>
    <row r="233" ht="15.75" customHeight="1">
      <c r="A233" s="123" t="s">
        <v>344</v>
      </c>
      <c r="B233" s="558">
        <v>1545.0</v>
      </c>
      <c r="C233" s="553"/>
      <c r="D233" s="553"/>
      <c r="E233" s="553"/>
      <c r="F233" s="553"/>
      <c r="G233" s="553"/>
      <c r="H233" s="553"/>
      <c r="I233" s="553"/>
      <c r="J233" s="553"/>
      <c r="K233" s="553"/>
      <c r="L233" s="553"/>
      <c r="M233" s="553"/>
      <c r="N233" s="553"/>
      <c r="O233" s="553"/>
      <c r="P233" s="553"/>
      <c r="Q233" s="553"/>
      <c r="R233" s="553"/>
      <c r="S233" s="553"/>
      <c r="T233" s="553"/>
      <c r="U233" s="553"/>
      <c r="V233" s="553"/>
      <c r="W233" s="553"/>
      <c r="X233" s="553"/>
      <c r="Y233" s="553"/>
    </row>
    <row r="234" ht="15.75" customHeight="1">
      <c r="A234" s="123" t="s">
        <v>2021</v>
      </c>
      <c r="B234" s="558">
        <v>11207.0</v>
      </c>
      <c r="C234" s="553"/>
      <c r="D234" s="553"/>
      <c r="E234" s="553"/>
      <c r="F234" s="553"/>
      <c r="G234" s="553"/>
      <c r="H234" s="553"/>
      <c r="I234" s="553"/>
      <c r="J234" s="553"/>
      <c r="K234" s="553"/>
      <c r="L234" s="553"/>
      <c r="M234" s="553"/>
      <c r="N234" s="553"/>
      <c r="O234" s="553"/>
      <c r="P234" s="553"/>
      <c r="Q234" s="553"/>
      <c r="R234" s="553"/>
      <c r="S234" s="553"/>
      <c r="T234" s="553"/>
      <c r="U234" s="553"/>
      <c r="V234" s="553"/>
      <c r="W234" s="553"/>
      <c r="X234" s="553"/>
      <c r="Y234" s="553"/>
    </row>
    <row r="235" ht="15.75" customHeight="1">
      <c r="A235" s="123" t="s">
        <v>902</v>
      </c>
      <c r="B235" s="558">
        <v>560.0</v>
      </c>
      <c r="C235" s="553"/>
      <c r="D235" s="553"/>
      <c r="E235" s="553"/>
      <c r="F235" s="553"/>
      <c r="G235" s="553"/>
      <c r="H235" s="553"/>
      <c r="I235" s="553"/>
      <c r="J235" s="553"/>
      <c r="K235" s="553"/>
      <c r="L235" s="553"/>
      <c r="M235" s="553"/>
      <c r="N235" s="553"/>
      <c r="O235" s="553"/>
      <c r="P235" s="553"/>
      <c r="Q235" s="553"/>
      <c r="R235" s="553"/>
      <c r="S235" s="553"/>
      <c r="T235" s="553"/>
      <c r="U235" s="553"/>
      <c r="V235" s="553"/>
      <c r="W235" s="553"/>
      <c r="X235" s="553"/>
      <c r="Y235" s="553"/>
    </row>
    <row r="236" ht="15.75" customHeight="1">
      <c r="A236" s="123" t="s">
        <v>6282</v>
      </c>
      <c r="B236" s="558">
        <v>602.0</v>
      </c>
      <c r="C236" s="553"/>
      <c r="D236" s="553"/>
      <c r="E236" s="553"/>
      <c r="F236" s="553"/>
      <c r="G236" s="553"/>
      <c r="H236" s="553"/>
      <c r="I236" s="553"/>
      <c r="J236" s="553"/>
      <c r="K236" s="553"/>
      <c r="L236" s="553"/>
      <c r="M236" s="553"/>
      <c r="N236" s="553"/>
      <c r="O236" s="553"/>
      <c r="P236" s="553"/>
      <c r="Q236" s="553"/>
      <c r="R236" s="553"/>
      <c r="S236" s="553"/>
      <c r="T236" s="553"/>
      <c r="U236" s="553"/>
      <c r="V236" s="553"/>
      <c r="W236" s="553"/>
      <c r="X236" s="553"/>
      <c r="Y236" s="553"/>
    </row>
    <row r="237" ht="15.75" customHeight="1">
      <c r="A237" s="123" t="s">
        <v>4188</v>
      </c>
      <c r="B237" s="558">
        <v>1696.0</v>
      </c>
      <c r="C237" s="553"/>
      <c r="D237" s="553"/>
      <c r="E237" s="553"/>
      <c r="F237" s="553"/>
      <c r="G237" s="553"/>
      <c r="H237" s="553"/>
      <c r="I237" s="553"/>
      <c r="J237" s="553"/>
      <c r="K237" s="553"/>
      <c r="L237" s="553"/>
      <c r="M237" s="553"/>
      <c r="N237" s="553"/>
      <c r="O237" s="553"/>
      <c r="P237" s="553"/>
      <c r="Q237" s="553"/>
      <c r="R237" s="553"/>
      <c r="S237" s="553"/>
      <c r="T237" s="553"/>
      <c r="U237" s="553"/>
      <c r="V237" s="553"/>
      <c r="W237" s="553"/>
      <c r="X237" s="553"/>
      <c r="Y237" s="553"/>
    </row>
    <row r="238" ht="15.75" customHeight="1">
      <c r="A238" s="123" t="s">
        <v>2403</v>
      </c>
      <c r="B238" s="558">
        <v>4464.0</v>
      </c>
      <c r="C238" s="553"/>
      <c r="D238" s="553"/>
      <c r="E238" s="553"/>
      <c r="F238" s="553"/>
      <c r="G238" s="553"/>
      <c r="H238" s="553"/>
      <c r="I238" s="553"/>
      <c r="J238" s="553"/>
      <c r="K238" s="553"/>
      <c r="L238" s="553"/>
      <c r="M238" s="553"/>
      <c r="N238" s="553"/>
      <c r="O238" s="553"/>
      <c r="P238" s="553"/>
      <c r="Q238" s="553"/>
      <c r="R238" s="553"/>
      <c r="S238" s="553"/>
      <c r="T238" s="553"/>
      <c r="U238" s="553"/>
      <c r="V238" s="553"/>
      <c r="W238" s="553"/>
      <c r="X238" s="553"/>
      <c r="Y238" s="553"/>
    </row>
    <row r="239" ht="15.75" customHeight="1">
      <c r="A239" s="123" t="s">
        <v>4428</v>
      </c>
      <c r="B239" s="558">
        <v>485.0</v>
      </c>
      <c r="C239" s="553"/>
      <c r="D239" s="553"/>
      <c r="E239" s="553"/>
      <c r="F239" s="553"/>
      <c r="G239" s="553"/>
      <c r="H239" s="553"/>
      <c r="I239" s="553"/>
      <c r="J239" s="553"/>
      <c r="K239" s="553"/>
      <c r="L239" s="553"/>
      <c r="M239" s="553"/>
      <c r="N239" s="553"/>
      <c r="O239" s="553"/>
      <c r="P239" s="553"/>
      <c r="Q239" s="553"/>
      <c r="R239" s="553"/>
      <c r="S239" s="553"/>
      <c r="T239" s="553"/>
      <c r="U239" s="553"/>
      <c r="V239" s="553"/>
      <c r="W239" s="553"/>
      <c r="X239" s="553"/>
      <c r="Y239" s="553"/>
    </row>
    <row r="240" ht="15.75" customHeight="1">
      <c r="A240" s="123" t="s">
        <v>2557</v>
      </c>
      <c r="B240" s="558">
        <v>589.0</v>
      </c>
      <c r="C240" s="553"/>
      <c r="D240" s="553"/>
      <c r="E240" s="553"/>
      <c r="F240" s="553"/>
      <c r="G240" s="553"/>
      <c r="H240" s="553"/>
      <c r="I240" s="553"/>
      <c r="J240" s="553"/>
      <c r="K240" s="553"/>
      <c r="L240" s="553"/>
      <c r="M240" s="553"/>
      <c r="N240" s="553"/>
      <c r="O240" s="553"/>
      <c r="P240" s="553"/>
      <c r="Q240" s="553"/>
      <c r="R240" s="553"/>
      <c r="S240" s="553"/>
      <c r="T240" s="553"/>
      <c r="U240" s="553"/>
      <c r="V240" s="553"/>
      <c r="W240" s="553"/>
      <c r="X240" s="553"/>
      <c r="Y240" s="553"/>
    </row>
    <row r="241" ht="15.75" customHeight="1">
      <c r="A241" s="123" t="s">
        <v>3924</v>
      </c>
      <c r="B241" s="558">
        <v>2521.0</v>
      </c>
      <c r="C241" s="553"/>
      <c r="D241" s="553"/>
      <c r="E241" s="553"/>
      <c r="F241" s="553"/>
      <c r="G241" s="553"/>
      <c r="H241" s="553"/>
      <c r="I241" s="553"/>
      <c r="J241" s="553"/>
      <c r="K241" s="553"/>
      <c r="L241" s="553"/>
      <c r="M241" s="553"/>
      <c r="N241" s="553"/>
      <c r="O241" s="553"/>
      <c r="P241" s="553"/>
      <c r="Q241" s="553"/>
      <c r="R241" s="553"/>
      <c r="S241" s="553"/>
      <c r="T241" s="553"/>
      <c r="U241" s="553"/>
      <c r="V241" s="553"/>
      <c r="W241" s="553"/>
      <c r="X241" s="553"/>
      <c r="Y241" s="553"/>
    </row>
    <row r="242" ht="15.75" customHeight="1">
      <c r="A242" s="123" t="s">
        <v>7612</v>
      </c>
      <c r="B242" s="558">
        <v>341.0</v>
      </c>
      <c r="C242" s="553"/>
      <c r="D242" s="553"/>
      <c r="E242" s="553"/>
      <c r="F242" s="553"/>
      <c r="G242" s="553"/>
      <c r="H242" s="553"/>
      <c r="I242" s="553"/>
      <c r="J242" s="553"/>
      <c r="K242" s="553"/>
      <c r="L242" s="553"/>
      <c r="M242" s="553"/>
      <c r="N242" s="553"/>
      <c r="O242" s="553"/>
      <c r="P242" s="553"/>
      <c r="Q242" s="553"/>
      <c r="R242" s="553"/>
      <c r="S242" s="553"/>
      <c r="T242" s="553"/>
      <c r="U242" s="553"/>
      <c r="V242" s="553"/>
      <c r="W242" s="553"/>
      <c r="X242" s="553"/>
      <c r="Y242" s="553"/>
    </row>
    <row r="243" ht="15.75" customHeight="1">
      <c r="A243" s="123" t="s">
        <v>8086</v>
      </c>
      <c r="B243" s="558">
        <v>1145.0</v>
      </c>
      <c r="C243" s="553"/>
      <c r="D243" s="553"/>
      <c r="E243" s="553"/>
      <c r="F243" s="553"/>
      <c r="G243" s="553"/>
      <c r="H243" s="553"/>
      <c r="I243" s="553"/>
      <c r="J243" s="553"/>
      <c r="K243" s="553"/>
      <c r="L243" s="553"/>
      <c r="M243" s="553"/>
      <c r="N243" s="553"/>
      <c r="O243" s="553"/>
      <c r="P243" s="553"/>
      <c r="Q243" s="553"/>
      <c r="R243" s="553"/>
      <c r="S243" s="553"/>
      <c r="T243" s="553"/>
      <c r="U243" s="553"/>
      <c r="V243" s="553"/>
      <c r="W243" s="553"/>
      <c r="X243" s="553"/>
      <c r="Y243" s="553"/>
    </row>
    <row r="244" ht="15.75" customHeight="1">
      <c r="A244" s="123" t="s">
        <v>6297</v>
      </c>
      <c r="B244" s="558">
        <v>418.0</v>
      </c>
      <c r="C244" s="553"/>
      <c r="D244" s="553"/>
      <c r="E244" s="553"/>
      <c r="F244" s="553"/>
      <c r="G244" s="553"/>
      <c r="H244" s="553"/>
      <c r="I244" s="553"/>
      <c r="J244" s="553"/>
      <c r="K244" s="553"/>
      <c r="L244" s="553"/>
      <c r="M244" s="553"/>
      <c r="N244" s="553"/>
      <c r="O244" s="553"/>
      <c r="P244" s="553"/>
      <c r="Q244" s="553"/>
      <c r="R244" s="553"/>
      <c r="S244" s="553"/>
      <c r="T244" s="553"/>
      <c r="U244" s="553"/>
      <c r="V244" s="553"/>
      <c r="W244" s="553"/>
      <c r="X244" s="553"/>
      <c r="Y244" s="553"/>
    </row>
    <row r="245" ht="15.75" customHeight="1">
      <c r="A245" s="123" t="s">
        <v>2561</v>
      </c>
      <c r="B245" s="558">
        <v>384.0</v>
      </c>
      <c r="C245" s="553"/>
      <c r="D245" s="553"/>
      <c r="E245" s="553"/>
      <c r="F245" s="553"/>
      <c r="G245" s="553"/>
      <c r="H245" s="553"/>
      <c r="I245" s="553"/>
      <c r="J245" s="553"/>
      <c r="K245" s="553"/>
      <c r="L245" s="553"/>
      <c r="M245" s="553"/>
      <c r="N245" s="553"/>
      <c r="O245" s="553"/>
      <c r="P245" s="553"/>
      <c r="Q245" s="553"/>
      <c r="R245" s="553"/>
      <c r="S245" s="553"/>
      <c r="T245" s="553"/>
      <c r="U245" s="553"/>
      <c r="V245" s="553"/>
      <c r="W245" s="553"/>
      <c r="X245" s="553"/>
      <c r="Y245" s="553"/>
    </row>
    <row r="246" ht="15.75" customHeight="1">
      <c r="A246" s="123" t="s">
        <v>4619</v>
      </c>
      <c r="B246" s="558">
        <v>730.0</v>
      </c>
      <c r="C246" s="553"/>
      <c r="D246" s="553"/>
      <c r="E246" s="553"/>
      <c r="F246" s="553"/>
      <c r="G246" s="553"/>
      <c r="H246" s="553"/>
      <c r="I246" s="553"/>
      <c r="J246" s="553"/>
      <c r="K246" s="553"/>
      <c r="L246" s="553"/>
      <c r="M246" s="553"/>
      <c r="N246" s="553"/>
      <c r="O246" s="553"/>
      <c r="P246" s="553"/>
      <c r="Q246" s="553"/>
      <c r="R246" s="553"/>
      <c r="S246" s="553"/>
      <c r="T246" s="553"/>
      <c r="U246" s="553"/>
      <c r="V246" s="553"/>
      <c r="W246" s="553"/>
      <c r="X246" s="553"/>
      <c r="Y246" s="553"/>
    </row>
    <row r="247" ht="15.75" customHeight="1">
      <c r="A247" s="123" t="s">
        <v>616</v>
      </c>
      <c r="B247" s="558">
        <v>1021.0</v>
      </c>
      <c r="C247" s="553"/>
      <c r="D247" s="553"/>
      <c r="E247" s="553"/>
      <c r="F247" s="553"/>
      <c r="G247" s="553"/>
      <c r="H247" s="553"/>
      <c r="I247" s="553"/>
      <c r="J247" s="553"/>
      <c r="K247" s="553"/>
      <c r="L247" s="553"/>
      <c r="M247" s="553"/>
      <c r="N247" s="553"/>
      <c r="O247" s="553"/>
      <c r="P247" s="553"/>
      <c r="Q247" s="553"/>
      <c r="R247" s="553"/>
      <c r="S247" s="553"/>
      <c r="T247" s="553"/>
      <c r="U247" s="553"/>
      <c r="V247" s="553"/>
      <c r="W247" s="553"/>
      <c r="X247" s="553"/>
      <c r="Y247" s="553"/>
    </row>
    <row r="248" ht="15.75" customHeight="1">
      <c r="A248" s="123" t="s">
        <v>4216</v>
      </c>
      <c r="B248" s="558">
        <v>452.0</v>
      </c>
      <c r="C248" s="553"/>
      <c r="D248" s="553"/>
      <c r="E248" s="553"/>
      <c r="F248" s="553"/>
      <c r="G248" s="553"/>
      <c r="H248" s="553"/>
      <c r="I248" s="553"/>
      <c r="J248" s="553"/>
      <c r="K248" s="553"/>
      <c r="L248" s="553"/>
      <c r="M248" s="553"/>
      <c r="N248" s="553"/>
      <c r="O248" s="553"/>
      <c r="P248" s="553"/>
      <c r="Q248" s="553"/>
      <c r="R248" s="553"/>
      <c r="S248" s="553"/>
      <c r="T248" s="553"/>
      <c r="U248" s="553"/>
      <c r="V248" s="553"/>
      <c r="W248" s="553"/>
      <c r="X248" s="553"/>
      <c r="Y248" s="553"/>
    </row>
    <row r="249" ht="15.75" customHeight="1">
      <c r="A249" s="123" t="s">
        <v>7233</v>
      </c>
      <c r="B249" s="558">
        <v>474.0</v>
      </c>
      <c r="C249" s="553"/>
      <c r="D249" s="553"/>
      <c r="E249" s="553"/>
      <c r="F249" s="553"/>
      <c r="G249" s="553"/>
      <c r="H249" s="553"/>
      <c r="I249" s="553"/>
      <c r="J249" s="553"/>
      <c r="K249" s="553"/>
      <c r="L249" s="553"/>
      <c r="M249" s="553"/>
      <c r="N249" s="553"/>
      <c r="O249" s="553"/>
      <c r="P249" s="553"/>
      <c r="Q249" s="553"/>
      <c r="R249" s="553"/>
      <c r="S249" s="553"/>
      <c r="T249" s="553"/>
      <c r="U249" s="553"/>
      <c r="V249" s="553"/>
      <c r="W249" s="553"/>
      <c r="X249" s="553"/>
      <c r="Y249" s="553"/>
    </row>
    <row r="250" ht="15.75" customHeight="1">
      <c r="A250" s="123" t="s">
        <v>3701</v>
      </c>
      <c r="B250" s="558">
        <v>547.0</v>
      </c>
      <c r="C250" s="553"/>
      <c r="D250" s="553"/>
      <c r="E250" s="553"/>
      <c r="F250" s="553"/>
      <c r="G250" s="553"/>
      <c r="H250" s="553"/>
      <c r="I250" s="553"/>
      <c r="J250" s="553"/>
      <c r="K250" s="553"/>
      <c r="L250" s="553"/>
      <c r="M250" s="553"/>
      <c r="N250" s="553"/>
      <c r="O250" s="553"/>
      <c r="P250" s="553"/>
      <c r="Q250" s="553"/>
      <c r="R250" s="553"/>
      <c r="S250" s="553"/>
      <c r="T250" s="553"/>
      <c r="U250" s="553"/>
      <c r="V250" s="553"/>
      <c r="W250" s="553"/>
      <c r="X250" s="553"/>
      <c r="Y250" s="553"/>
    </row>
    <row r="251" ht="15.75" customHeight="1">
      <c r="A251" s="123" t="s">
        <v>2269</v>
      </c>
      <c r="B251" s="558">
        <v>1255.0</v>
      </c>
      <c r="C251" s="553"/>
      <c r="D251" s="553"/>
      <c r="E251" s="553"/>
      <c r="F251" s="553"/>
      <c r="G251" s="553"/>
      <c r="H251" s="553"/>
      <c r="I251" s="553"/>
      <c r="J251" s="553"/>
      <c r="K251" s="553"/>
      <c r="L251" s="553"/>
      <c r="M251" s="553"/>
      <c r="N251" s="553"/>
      <c r="O251" s="553"/>
      <c r="P251" s="553"/>
      <c r="Q251" s="553"/>
      <c r="R251" s="553"/>
      <c r="S251" s="553"/>
      <c r="T251" s="553"/>
      <c r="U251" s="553"/>
      <c r="V251" s="553"/>
      <c r="W251" s="553"/>
      <c r="X251" s="553"/>
      <c r="Y251" s="553"/>
    </row>
    <row r="252" ht="15.75" customHeight="1">
      <c r="A252" s="123" t="s">
        <v>6630</v>
      </c>
      <c r="B252" s="558">
        <v>2170.0</v>
      </c>
      <c r="C252" s="553"/>
      <c r="D252" s="553"/>
      <c r="E252" s="553"/>
      <c r="F252" s="553"/>
      <c r="G252" s="553"/>
      <c r="H252" s="553"/>
      <c r="I252" s="553"/>
      <c r="J252" s="553"/>
      <c r="K252" s="553"/>
      <c r="L252" s="553"/>
      <c r="M252" s="553"/>
      <c r="N252" s="553"/>
      <c r="O252" s="553"/>
      <c r="P252" s="553"/>
      <c r="Q252" s="553"/>
      <c r="R252" s="553"/>
      <c r="S252" s="553"/>
      <c r="T252" s="553"/>
      <c r="U252" s="553"/>
      <c r="V252" s="553"/>
      <c r="W252" s="553"/>
      <c r="X252" s="553"/>
      <c r="Y252" s="553"/>
    </row>
    <row r="253" ht="15.75" customHeight="1">
      <c r="A253" s="123" t="s">
        <v>1612</v>
      </c>
      <c r="B253" s="558">
        <v>1008.0</v>
      </c>
      <c r="C253" s="553"/>
      <c r="D253" s="553"/>
      <c r="E253" s="553"/>
      <c r="F253" s="553"/>
      <c r="G253" s="553"/>
      <c r="H253" s="553"/>
      <c r="I253" s="553"/>
      <c r="J253" s="553"/>
      <c r="K253" s="553"/>
      <c r="L253" s="553"/>
      <c r="M253" s="553"/>
      <c r="N253" s="553"/>
      <c r="O253" s="553"/>
      <c r="P253" s="553"/>
      <c r="Q253" s="553"/>
      <c r="R253" s="553"/>
      <c r="S253" s="553"/>
      <c r="T253" s="553"/>
      <c r="U253" s="553"/>
      <c r="V253" s="553"/>
      <c r="W253" s="553"/>
      <c r="X253" s="553"/>
      <c r="Y253" s="553"/>
    </row>
    <row r="254" ht="15.75" customHeight="1">
      <c r="A254" s="123" t="s">
        <v>910</v>
      </c>
      <c r="B254" s="558">
        <v>551.0</v>
      </c>
      <c r="C254" s="553"/>
      <c r="D254" s="553"/>
      <c r="E254" s="553"/>
      <c r="F254" s="553"/>
      <c r="G254" s="553"/>
      <c r="H254" s="553"/>
      <c r="I254" s="553"/>
      <c r="J254" s="553"/>
      <c r="K254" s="553"/>
      <c r="L254" s="553"/>
      <c r="M254" s="553"/>
      <c r="N254" s="553"/>
      <c r="O254" s="553"/>
      <c r="P254" s="553"/>
      <c r="Q254" s="553"/>
      <c r="R254" s="553"/>
      <c r="S254" s="553"/>
      <c r="T254" s="553"/>
      <c r="U254" s="553"/>
      <c r="V254" s="553"/>
      <c r="W254" s="553"/>
      <c r="X254" s="553"/>
      <c r="Y254" s="553"/>
    </row>
    <row r="255" ht="15.75" customHeight="1">
      <c r="A255" s="123" t="s">
        <v>1625</v>
      </c>
      <c r="B255" s="558">
        <v>777.0</v>
      </c>
      <c r="C255" s="553"/>
      <c r="D255" s="553"/>
      <c r="E255" s="553"/>
      <c r="F255" s="553"/>
      <c r="G255" s="553"/>
      <c r="H255" s="553"/>
      <c r="I255" s="553"/>
      <c r="J255" s="553"/>
      <c r="K255" s="553"/>
      <c r="L255" s="553"/>
      <c r="M255" s="553"/>
      <c r="N255" s="553"/>
      <c r="O255" s="553"/>
      <c r="P255" s="553"/>
      <c r="Q255" s="553"/>
      <c r="R255" s="553"/>
      <c r="S255" s="553"/>
      <c r="T255" s="553"/>
      <c r="U255" s="553"/>
      <c r="V255" s="553"/>
      <c r="W255" s="553"/>
      <c r="X255" s="553"/>
      <c r="Y255" s="553"/>
    </row>
    <row r="256" ht="15.75" customHeight="1">
      <c r="A256" s="123" t="s">
        <v>2378</v>
      </c>
      <c r="B256" s="558">
        <v>3202.0</v>
      </c>
      <c r="C256" s="553"/>
      <c r="D256" s="553"/>
      <c r="E256" s="553"/>
      <c r="F256" s="553"/>
      <c r="G256" s="553"/>
      <c r="H256" s="553"/>
      <c r="I256" s="553"/>
      <c r="J256" s="553"/>
      <c r="K256" s="553"/>
      <c r="L256" s="553"/>
      <c r="M256" s="553"/>
      <c r="N256" s="553"/>
      <c r="O256" s="553"/>
      <c r="P256" s="553"/>
      <c r="Q256" s="553"/>
      <c r="R256" s="553"/>
      <c r="S256" s="553"/>
      <c r="T256" s="553"/>
      <c r="U256" s="553"/>
      <c r="V256" s="553"/>
      <c r="W256" s="553"/>
      <c r="X256" s="553"/>
      <c r="Y256" s="553"/>
    </row>
    <row r="257" ht="15.75" customHeight="1">
      <c r="A257" s="123" t="s">
        <v>627</v>
      </c>
      <c r="B257" s="558">
        <v>649.0</v>
      </c>
      <c r="C257" s="553"/>
      <c r="D257" s="553"/>
      <c r="E257" s="553"/>
      <c r="F257" s="553"/>
      <c r="G257" s="553"/>
      <c r="H257" s="553"/>
      <c r="I257" s="553"/>
      <c r="J257" s="553"/>
      <c r="K257" s="553"/>
      <c r="L257" s="553"/>
      <c r="M257" s="553"/>
      <c r="N257" s="553"/>
      <c r="O257" s="553"/>
      <c r="P257" s="553"/>
      <c r="Q257" s="553"/>
      <c r="R257" s="553"/>
      <c r="S257" s="553"/>
      <c r="T257" s="553"/>
      <c r="U257" s="553"/>
      <c r="V257" s="553"/>
      <c r="W257" s="553"/>
      <c r="X257" s="553"/>
      <c r="Y257" s="553"/>
    </row>
    <row r="258" ht="15.75" customHeight="1">
      <c r="A258" s="123" t="s">
        <v>2053</v>
      </c>
      <c r="B258" s="558">
        <v>729.0</v>
      </c>
      <c r="C258" s="553"/>
      <c r="D258" s="553"/>
      <c r="E258" s="553"/>
      <c r="F258" s="553"/>
      <c r="G258" s="553"/>
      <c r="H258" s="553"/>
      <c r="I258" s="553"/>
      <c r="J258" s="553"/>
      <c r="K258" s="553"/>
      <c r="L258" s="553"/>
      <c r="M258" s="553"/>
      <c r="N258" s="553"/>
      <c r="O258" s="553"/>
      <c r="P258" s="553"/>
      <c r="Q258" s="553"/>
      <c r="R258" s="553"/>
      <c r="S258" s="553"/>
      <c r="T258" s="553"/>
      <c r="U258" s="553"/>
      <c r="V258" s="553"/>
      <c r="W258" s="553"/>
      <c r="X258" s="553"/>
      <c r="Y258" s="553"/>
    </row>
    <row r="259" ht="15.75" customHeight="1">
      <c r="A259" s="123" t="s">
        <v>4859</v>
      </c>
      <c r="B259" s="558">
        <v>1278.0</v>
      </c>
      <c r="C259" s="553"/>
      <c r="D259" s="553"/>
      <c r="E259" s="553"/>
      <c r="F259" s="553"/>
      <c r="G259" s="553"/>
      <c r="H259" s="553"/>
      <c r="I259" s="553"/>
      <c r="J259" s="553"/>
      <c r="K259" s="553"/>
      <c r="L259" s="553"/>
      <c r="M259" s="553"/>
      <c r="N259" s="553"/>
      <c r="O259" s="553"/>
      <c r="P259" s="553"/>
      <c r="Q259" s="553"/>
      <c r="R259" s="553"/>
      <c r="S259" s="553"/>
      <c r="T259" s="553"/>
      <c r="U259" s="553"/>
      <c r="V259" s="553"/>
      <c r="W259" s="553"/>
      <c r="X259" s="553"/>
      <c r="Y259" s="553"/>
    </row>
    <row r="260" ht="15.75" customHeight="1">
      <c r="A260" s="123" t="s">
        <v>2753</v>
      </c>
      <c r="B260" s="558">
        <v>580.0</v>
      </c>
      <c r="C260" s="553"/>
      <c r="D260" s="553"/>
      <c r="E260" s="553"/>
      <c r="F260" s="553"/>
      <c r="G260" s="553"/>
      <c r="H260" s="553"/>
      <c r="I260" s="553"/>
      <c r="J260" s="553"/>
      <c r="K260" s="553"/>
      <c r="L260" s="553"/>
      <c r="M260" s="553"/>
      <c r="N260" s="553"/>
      <c r="O260" s="553"/>
      <c r="P260" s="553"/>
      <c r="Q260" s="553"/>
      <c r="R260" s="553"/>
      <c r="S260" s="553"/>
      <c r="T260" s="553"/>
      <c r="U260" s="553"/>
      <c r="V260" s="553"/>
      <c r="W260" s="553"/>
      <c r="X260" s="553"/>
      <c r="Y260" s="553"/>
    </row>
    <row r="261" ht="15.75" customHeight="1">
      <c r="A261" s="123" t="s">
        <v>4895</v>
      </c>
      <c r="B261" s="558">
        <v>703.0</v>
      </c>
      <c r="C261" s="553"/>
      <c r="D261" s="553"/>
      <c r="E261" s="553"/>
      <c r="F261" s="553"/>
      <c r="G261" s="553"/>
      <c r="H261" s="553"/>
      <c r="I261" s="553"/>
      <c r="J261" s="553"/>
      <c r="K261" s="553"/>
      <c r="L261" s="553"/>
      <c r="M261" s="553"/>
      <c r="N261" s="553"/>
      <c r="O261" s="553"/>
      <c r="P261" s="553"/>
      <c r="Q261" s="553"/>
      <c r="R261" s="553"/>
      <c r="S261" s="553"/>
      <c r="T261" s="553"/>
      <c r="U261" s="553"/>
      <c r="V261" s="553"/>
      <c r="W261" s="553"/>
      <c r="X261" s="553"/>
      <c r="Y261" s="553"/>
    </row>
    <row r="262" ht="15.75" customHeight="1">
      <c r="A262" s="123" t="s">
        <v>6301</v>
      </c>
      <c r="B262" s="558">
        <v>425.0</v>
      </c>
      <c r="C262" s="553"/>
      <c r="D262" s="553"/>
      <c r="E262" s="553"/>
      <c r="F262" s="553"/>
      <c r="G262" s="553"/>
      <c r="H262" s="553"/>
      <c r="I262" s="553"/>
      <c r="J262" s="553"/>
      <c r="K262" s="553"/>
      <c r="L262" s="553"/>
      <c r="M262" s="553"/>
      <c r="N262" s="553"/>
      <c r="O262" s="553"/>
      <c r="P262" s="553"/>
      <c r="Q262" s="553"/>
      <c r="R262" s="553"/>
      <c r="S262" s="553"/>
      <c r="T262" s="553"/>
      <c r="U262" s="553"/>
      <c r="V262" s="553"/>
      <c r="W262" s="553"/>
      <c r="X262" s="553"/>
      <c r="Y262" s="553"/>
    </row>
    <row r="263" ht="15.75" customHeight="1">
      <c r="A263" s="123" t="s">
        <v>1207</v>
      </c>
      <c r="B263" s="558">
        <v>2819.0</v>
      </c>
      <c r="C263" s="553"/>
      <c r="D263" s="553"/>
      <c r="E263" s="553"/>
      <c r="F263" s="553"/>
      <c r="G263" s="553"/>
      <c r="H263" s="553"/>
      <c r="I263" s="553"/>
      <c r="J263" s="553"/>
      <c r="K263" s="553"/>
      <c r="L263" s="553"/>
      <c r="M263" s="553"/>
      <c r="N263" s="553"/>
      <c r="O263" s="553"/>
      <c r="P263" s="553"/>
      <c r="Q263" s="553"/>
      <c r="R263" s="553"/>
      <c r="S263" s="553"/>
      <c r="T263" s="553"/>
      <c r="U263" s="553"/>
      <c r="V263" s="553"/>
      <c r="W263" s="553"/>
      <c r="X263" s="553"/>
      <c r="Y263" s="553"/>
    </row>
    <row r="264" ht="15.75" customHeight="1">
      <c r="A264" s="123" t="s">
        <v>633</v>
      </c>
      <c r="B264" s="558">
        <v>559.0</v>
      </c>
      <c r="C264" s="553"/>
      <c r="D264" s="553"/>
      <c r="E264" s="553"/>
      <c r="F264" s="553"/>
      <c r="G264" s="553"/>
      <c r="H264" s="553"/>
      <c r="I264" s="553"/>
      <c r="J264" s="553"/>
      <c r="K264" s="553"/>
      <c r="L264" s="553"/>
      <c r="M264" s="553"/>
      <c r="N264" s="553"/>
      <c r="O264" s="553"/>
      <c r="P264" s="553"/>
      <c r="Q264" s="553"/>
      <c r="R264" s="553"/>
      <c r="S264" s="553"/>
      <c r="T264" s="553"/>
      <c r="U264" s="553"/>
      <c r="V264" s="553"/>
      <c r="W264" s="553"/>
      <c r="X264" s="553"/>
      <c r="Y264" s="553"/>
    </row>
    <row r="265" ht="15.75" customHeight="1">
      <c r="A265" s="123" t="s">
        <v>919</v>
      </c>
      <c r="B265" s="558">
        <v>2086.0</v>
      </c>
      <c r="C265" s="553"/>
      <c r="D265" s="553"/>
      <c r="E265" s="553"/>
      <c r="F265" s="553"/>
      <c r="G265" s="553"/>
      <c r="H265" s="553"/>
      <c r="I265" s="553"/>
      <c r="J265" s="553"/>
      <c r="K265" s="553"/>
      <c r="L265" s="553"/>
      <c r="M265" s="553"/>
      <c r="N265" s="553"/>
      <c r="O265" s="553"/>
      <c r="P265" s="553"/>
      <c r="Q265" s="553"/>
      <c r="R265" s="553"/>
      <c r="S265" s="553"/>
      <c r="T265" s="553"/>
      <c r="U265" s="553"/>
      <c r="V265" s="553"/>
      <c r="W265" s="553"/>
      <c r="X265" s="553"/>
      <c r="Y265" s="553"/>
    </row>
    <row r="266" ht="15.75" customHeight="1">
      <c r="A266" s="123" t="s">
        <v>6305</v>
      </c>
      <c r="B266" s="558">
        <v>528.0</v>
      </c>
      <c r="C266" s="553"/>
      <c r="D266" s="553"/>
      <c r="E266" s="553"/>
      <c r="F266" s="553"/>
      <c r="G266" s="553"/>
      <c r="H266" s="553"/>
      <c r="I266" s="553"/>
      <c r="J266" s="553"/>
      <c r="K266" s="553"/>
      <c r="L266" s="553"/>
      <c r="M266" s="553"/>
      <c r="N266" s="553"/>
      <c r="O266" s="553"/>
      <c r="P266" s="553"/>
      <c r="Q266" s="553"/>
      <c r="R266" s="553"/>
      <c r="S266" s="553"/>
      <c r="T266" s="553"/>
      <c r="U266" s="553"/>
      <c r="V266" s="553"/>
      <c r="W266" s="553"/>
      <c r="X266" s="553"/>
      <c r="Y266" s="553"/>
    </row>
    <row r="267" ht="15.75" customHeight="1">
      <c r="A267" s="123" t="s">
        <v>940</v>
      </c>
      <c r="B267" s="558">
        <v>984.0</v>
      </c>
      <c r="C267" s="553"/>
      <c r="D267" s="553"/>
      <c r="E267" s="553"/>
      <c r="F267" s="553"/>
      <c r="G267" s="553"/>
      <c r="H267" s="553"/>
      <c r="I267" s="553"/>
      <c r="J267" s="553"/>
      <c r="K267" s="553"/>
      <c r="L267" s="553"/>
      <c r="M267" s="553"/>
      <c r="N267" s="553"/>
      <c r="O267" s="553"/>
      <c r="P267" s="553"/>
      <c r="Q267" s="553"/>
      <c r="R267" s="553"/>
      <c r="S267" s="553"/>
      <c r="T267" s="553"/>
      <c r="U267" s="553"/>
      <c r="V267" s="553"/>
      <c r="W267" s="553"/>
      <c r="X267" s="553"/>
      <c r="Y267" s="553"/>
    </row>
    <row r="268" ht="15.75" customHeight="1">
      <c r="A268" s="123" t="s">
        <v>2090</v>
      </c>
      <c r="B268" s="558">
        <v>1876.0</v>
      </c>
      <c r="C268" s="553"/>
      <c r="D268" s="553"/>
      <c r="E268" s="553"/>
      <c r="F268" s="553"/>
      <c r="G268" s="553"/>
      <c r="H268" s="553"/>
      <c r="I268" s="553"/>
      <c r="J268" s="553"/>
      <c r="K268" s="553"/>
      <c r="L268" s="553"/>
      <c r="M268" s="553"/>
      <c r="N268" s="553"/>
      <c r="O268" s="553"/>
      <c r="P268" s="553"/>
      <c r="Q268" s="553"/>
      <c r="R268" s="553"/>
      <c r="S268" s="553"/>
      <c r="T268" s="553"/>
      <c r="U268" s="553"/>
      <c r="V268" s="553"/>
      <c r="W268" s="553"/>
      <c r="X268" s="553"/>
      <c r="Y268" s="553"/>
    </row>
    <row r="269" ht="15.75" customHeight="1">
      <c r="A269" s="123" t="s">
        <v>356</v>
      </c>
      <c r="B269" s="558">
        <v>872.0</v>
      </c>
      <c r="C269" s="553"/>
      <c r="D269" s="553"/>
      <c r="E269" s="553"/>
      <c r="F269" s="553"/>
      <c r="G269" s="553"/>
      <c r="H269" s="553"/>
      <c r="I269" s="553"/>
      <c r="J269" s="553"/>
      <c r="K269" s="553"/>
      <c r="L269" s="553"/>
      <c r="M269" s="553"/>
      <c r="N269" s="553"/>
      <c r="O269" s="553"/>
      <c r="P269" s="553"/>
      <c r="Q269" s="553"/>
      <c r="R269" s="553"/>
      <c r="S269" s="553"/>
      <c r="T269" s="553"/>
      <c r="U269" s="553"/>
      <c r="V269" s="553"/>
      <c r="W269" s="553"/>
      <c r="X269" s="553"/>
      <c r="Y269" s="553"/>
    </row>
    <row r="270" ht="15.75" customHeight="1">
      <c r="A270" s="123" t="s">
        <v>2276</v>
      </c>
      <c r="B270" s="558">
        <v>1582.0</v>
      </c>
      <c r="C270" s="553"/>
      <c r="D270" s="553"/>
      <c r="E270" s="553"/>
      <c r="F270" s="553"/>
      <c r="G270" s="553"/>
      <c r="H270" s="553"/>
      <c r="I270" s="553"/>
      <c r="J270" s="553"/>
      <c r="K270" s="553"/>
      <c r="L270" s="553"/>
      <c r="M270" s="553"/>
      <c r="N270" s="553"/>
      <c r="O270" s="553"/>
      <c r="P270" s="553"/>
      <c r="Q270" s="553"/>
      <c r="R270" s="553"/>
      <c r="S270" s="553"/>
      <c r="T270" s="553"/>
      <c r="U270" s="553"/>
      <c r="V270" s="553"/>
      <c r="W270" s="553"/>
      <c r="X270" s="553"/>
      <c r="Y270" s="553"/>
    </row>
    <row r="271" ht="15.75" customHeight="1">
      <c r="A271" s="123" t="s">
        <v>6654</v>
      </c>
      <c r="B271" s="558">
        <v>385.0</v>
      </c>
      <c r="C271" s="553"/>
      <c r="D271" s="553"/>
      <c r="E271" s="553"/>
      <c r="F271" s="553"/>
      <c r="G271" s="553"/>
      <c r="H271" s="553"/>
      <c r="I271" s="553"/>
      <c r="J271" s="553"/>
      <c r="K271" s="553"/>
      <c r="L271" s="553"/>
      <c r="M271" s="553"/>
      <c r="N271" s="553"/>
      <c r="O271" s="553"/>
      <c r="P271" s="553"/>
      <c r="Q271" s="553"/>
      <c r="R271" s="553"/>
      <c r="S271" s="553"/>
      <c r="T271" s="553"/>
      <c r="U271" s="553"/>
      <c r="V271" s="553"/>
      <c r="W271" s="553"/>
      <c r="X271" s="553"/>
      <c r="Y271" s="553"/>
    </row>
    <row r="272" ht="15.75" customHeight="1">
      <c r="A272" s="123" t="s">
        <v>10578</v>
      </c>
      <c r="B272" s="558">
        <v>756.0</v>
      </c>
      <c r="C272" s="553"/>
      <c r="D272" s="553"/>
      <c r="E272" s="553"/>
      <c r="F272" s="553"/>
      <c r="G272" s="553"/>
      <c r="H272" s="553"/>
      <c r="I272" s="553"/>
      <c r="J272" s="553"/>
      <c r="K272" s="553"/>
      <c r="L272" s="553"/>
      <c r="M272" s="553"/>
      <c r="N272" s="553"/>
      <c r="O272" s="553"/>
      <c r="P272" s="553"/>
      <c r="Q272" s="553"/>
      <c r="R272" s="553"/>
      <c r="S272" s="553"/>
      <c r="T272" s="553"/>
      <c r="U272" s="553"/>
      <c r="V272" s="553"/>
      <c r="W272" s="553"/>
      <c r="X272" s="553"/>
      <c r="Y272" s="553"/>
    </row>
    <row r="273" ht="15.75" customHeight="1">
      <c r="A273" s="123" t="s">
        <v>2709</v>
      </c>
      <c r="B273" s="558">
        <v>1337.0</v>
      </c>
      <c r="C273" s="553"/>
      <c r="D273" s="553"/>
      <c r="E273" s="553"/>
      <c r="F273" s="553"/>
      <c r="G273" s="553"/>
      <c r="H273" s="553"/>
      <c r="I273" s="553"/>
      <c r="J273" s="553"/>
      <c r="K273" s="553"/>
      <c r="L273" s="553"/>
      <c r="M273" s="553"/>
      <c r="N273" s="553"/>
      <c r="O273" s="553"/>
      <c r="P273" s="553"/>
      <c r="Q273" s="553"/>
      <c r="R273" s="553"/>
      <c r="S273" s="553"/>
      <c r="T273" s="553"/>
      <c r="U273" s="553"/>
      <c r="V273" s="553"/>
      <c r="W273" s="553"/>
      <c r="X273" s="553"/>
      <c r="Y273" s="553"/>
    </row>
    <row r="274" ht="15.75" customHeight="1">
      <c r="A274" s="123" t="s">
        <v>2764</v>
      </c>
      <c r="B274" s="558">
        <v>1133.0</v>
      </c>
      <c r="C274" s="553"/>
      <c r="D274" s="553"/>
      <c r="E274" s="553"/>
      <c r="F274" s="553"/>
      <c r="G274" s="553"/>
      <c r="H274" s="553"/>
      <c r="I274" s="553"/>
      <c r="J274" s="553"/>
      <c r="K274" s="553"/>
      <c r="L274" s="553"/>
      <c r="M274" s="553"/>
      <c r="N274" s="553"/>
      <c r="O274" s="553"/>
      <c r="P274" s="553"/>
      <c r="Q274" s="553"/>
      <c r="R274" s="553"/>
      <c r="S274" s="553"/>
      <c r="T274" s="553"/>
      <c r="U274" s="553"/>
      <c r="V274" s="553"/>
      <c r="W274" s="553"/>
      <c r="X274" s="553"/>
      <c r="Y274" s="553"/>
    </row>
    <row r="275" ht="15.75" customHeight="1">
      <c r="A275" s="123" t="s">
        <v>4828</v>
      </c>
      <c r="B275" s="558">
        <v>1890.0</v>
      </c>
      <c r="C275" s="553"/>
      <c r="D275" s="553"/>
      <c r="E275" s="553"/>
      <c r="F275" s="553"/>
      <c r="G275" s="553"/>
      <c r="H275" s="553"/>
      <c r="I275" s="553"/>
      <c r="J275" s="553"/>
      <c r="K275" s="553"/>
      <c r="L275" s="553"/>
      <c r="M275" s="553"/>
      <c r="N275" s="553"/>
      <c r="O275" s="553"/>
      <c r="P275" s="553"/>
      <c r="Q275" s="553"/>
      <c r="R275" s="553"/>
      <c r="S275" s="553"/>
      <c r="T275" s="553"/>
      <c r="U275" s="553"/>
      <c r="V275" s="553"/>
      <c r="W275" s="553"/>
      <c r="X275" s="553"/>
      <c r="Y275" s="553"/>
    </row>
    <row r="276" ht="15.75" customHeight="1">
      <c r="A276" s="123" t="s">
        <v>1766</v>
      </c>
      <c r="B276" s="558">
        <v>668.0</v>
      </c>
      <c r="C276" s="553"/>
      <c r="D276" s="553"/>
      <c r="E276" s="553"/>
      <c r="F276" s="553"/>
      <c r="G276" s="553"/>
      <c r="H276" s="553"/>
      <c r="I276" s="553"/>
      <c r="J276" s="553"/>
      <c r="K276" s="553"/>
      <c r="L276" s="553"/>
      <c r="M276" s="553"/>
      <c r="N276" s="553"/>
      <c r="O276" s="553"/>
      <c r="P276" s="553"/>
      <c r="Q276" s="553"/>
      <c r="R276" s="553"/>
      <c r="S276" s="553"/>
      <c r="T276" s="553"/>
      <c r="U276" s="553"/>
      <c r="V276" s="553"/>
      <c r="W276" s="553"/>
      <c r="X276" s="553"/>
      <c r="Y276" s="553"/>
    </row>
    <row r="277" ht="15.75" customHeight="1">
      <c r="A277" s="123" t="s">
        <v>1221</v>
      </c>
      <c r="B277" s="558">
        <v>696.0</v>
      </c>
      <c r="C277" s="553"/>
      <c r="D277" s="553"/>
      <c r="E277" s="553"/>
      <c r="F277" s="553"/>
      <c r="G277" s="553"/>
      <c r="H277" s="553"/>
      <c r="I277" s="553"/>
      <c r="J277" s="553"/>
      <c r="K277" s="553"/>
      <c r="L277" s="553"/>
      <c r="M277" s="553"/>
      <c r="N277" s="553"/>
      <c r="O277" s="553"/>
      <c r="P277" s="553"/>
      <c r="Q277" s="553"/>
      <c r="R277" s="553"/>
      <c r="S277" s="553"/>
      <c r="T277" s="553"/>
      <c r="U277" s="553"/>
      <c r="V277" s="553"/>
      <c r="W277" s="553"/>
      <c r="X277" s="553"/>
      <c r="Y277" s="553"/>
    </row>
    <row r="278" ht="15.75" customHeight="1">
      <c r="A278" s="123" t="s">
        <v>2166</v>
      </c>
      <c r="B278" s="558">
        <v>799.0</v>
      </c>
      <c r="C278" s="553"/>
      <c r="D278" s="553"/>
      <c r="E278" s="553"/>
      <c r="F278" s="553"/>
      <c r="G278" s="553"/>
      <c r="H278" s="553"/>
      <c r="I278" s="553"/>
      <c r="J278" s="553"/>
      <c r="K278" s="553"/>
      <c r="L278" s="553"/>
      <c r="M278" s="553"/>
      <c r="N278" s="553"/>
      <c r="O278" s="553"/>
      <c r="P278" s="553"/>
      <c r="Q278" s="553"/>
      <c r="R278" s="553"/>
      <c r="S278" s="553"/>
      <c r="T278" s="553"/>
      <c r="U278" s="553"/>
      <c r="V278" s="553"/>
      <c r="W278" s="553"/>
      <c r="X278" s="553"/>
      <c r="Y278" s="553"/>
    </row>
    <row r="279" ht="15.75" customHeight="1">
      <c r="A279" s="123" t="s">
        <v>4625</v>
      </c>
      <c r="B279" s="558">
        <v>405.0</v>
      </c>
      <c r="C279" s="553"/>
      <c r="D279" s="553"/>
      <c r="E279" s="553"/>
      <c r="F279" s="553"/>
      <c r="G279" s="553"/>
      <c r="H279" s="553"/>
      <c r="I279" s="553"/>
      <c r="J279" s="553"/>
      <c r="K279" s="553"/>
      <c r="L279" s="553"/>
      <c r="M279" s="553"/>
      <c r="N279" s="553"/>
      <c r="O279" s="553"/>
      <c r="P279" s="553"/>
      <c r="Q279" s="553"/>
      <c r="R279" s="553"/>
      <c r="S279" s="553"/>
      <c r="T279" s="553"/>
      <c r="U279" s="553"/>
      <c r="V279" s="553"/>
      <c r="W279" s="553"/>
      <c r="X279" s="553"/>
      <c r="Y279" s="553"/>
    </row>
    <row r="280" ht="15.75" customHeight="1">
      <c r="A280" s="123" t="s">
        <v>7254</v>
      </c>
      <c r="B280" s="558">
        <v>297.0</v>
      </c>
      <c r="C280" s="553"/>
      <c r="D280" s="553"/>
      <c r="E280" s="553"/>
      <c r="F280" s="553"/>
      <c r="G280" s="553"/>
      <c r="H280" s="553"/>
      <c r="I280" s="553"/>
      <c r="J280" s="553"/>
      <c r="K280" s="553"/>
      <c r="L280" s="553"/>
      <c r="M280" s="553"/>
      <c r="N280" s="553"/>
      <c r="O280" s="553"/>
      <c r="P280" s="553"/>
      <c r="Q280" s="553"/>
      <c r="R280" s="553"/>
      <c r="S280" s="553"/>
      <c r="T280" s="553"/>
      <c r="U280" s="553"/>
      <c r="V280" s="553"/>
      <c r="W280" s="553"/>
      <c r="X280" s="553"/>
      <c r="Y280" s="553"/>
    </row>
    <row r="281" ht="15.75" customHeight="1">
      <c r="A281" s="123" t="s">
        <v>2771</v>
      </c>
      <c r="B281" s="558">
        <v>362.0</v>
      </c>
      <c r="C281" s="553"/>
      <c r="D281" s="553"/>
      <c r="E281" s="553"/>
      <c r="F281" s="553"/>
      <c r="G281" s="553"/>
      <c r="H281" s="553"/>
      <c r="I281" s="553"/>
      <c r="J281" s="553"/>
      <c r="K281" s="553"/>
      <c r="L281" s="553"/>
      <c r="M281" s="553"/>
      <c r="N281" s="553"/>
      <c r="O281" s="553"/>
      <c r="P281" s="553"/>
      <c r="Q281" s="553"/>
      <c r="R281" s="553"/>
      <c r="S281" s="553"/>
      <c r="T281" s="553"/>
      <c r="U281" s="553"/>
      <c r="V281" s="553"/>
      <c r="W281" s="553"/>
      <c r="X281" s="553"/>
      <c r="Y281" s="553"/>
    </row>
    <row r="282" ht="15.75" customHeight="1">
      <c r="A282" s="123" t="s">
        <v>950</v>
      </c>
      <c r="B282" s="558">
        <v>767.0</v>
      </c>
      <c r="C282" s="553"/>
      <c r="D282" s="553"/>
      <c r="E282" s="553"/>
      <c r="F282" s="553"/>
      <c r="G282" s="553"/>
      <c r="H282" s="553"/>
      <c r="I282" s="553"/>
      <c r="J282" s="553"/>
      <c r="K282" s="553"/>
      <c r="L282" s="553"/>
      <c r="M282" s="553"/>
      <c r="N282" s="553"/>
      <c r="O282" s="553"/>
      <c r="P282" s="553"/>
      <c r="Q282" s="553"/>
      <c r="R282" s="553"/>
      <c r="S282" s="553"/>
      <c r="T282" s="553"/>
      <c r="U282" s="553"/>
      <c r="V282" s="553"/>
      <c r="W282" s="553"/>
      <c r="X282" s="553"/>
      <c r="Y282" s="553"/>
    </row>
    <row r="283" ht="15.75" customHeight="1">
      <c r="A283" s="123" t="s">
        <v>5199</v>
      </c>
      <c r="B283" s="558">
        <v>1320.0</v>
      </c>
      <c r="C283" s="553"/>
      <c r="D283" s="553"/>
      <c r="E283" s="553"/>
      <c r="F283" s="553"/>
      <c r="G283" s="553"/>
      <c r="H283" s="553"/>
      <c r="I283" s="553"/>
      <c r="J283" s="553"/>
      <c r="K283" s="553"/>
      <c r="L283" s="553"/>
      <c r="M283" s="553"/>
      <c r="N283" s="553"/>
      <c r="O283" s="553"/>
      <c r="P283" s="553"/>
      <c r="Q283" s="553"/>
      <c r="R283" s="553"/>
      <c r="S283" s="553"/>
      <c r="T283" s="553"/>
      <c r="U283" s="553"/>
      <c r="V283" s="553"/>
      <c r="W283" s="553"/>
      <c r="X283" s="553"/>
      <c r="Y283" s="553"/>
    </row>
    <row r="284" ht="15.75" customHeight="1">
      <c r="A284" s="123" t="s">
        <v>2146</v>
      </c>
      <c r="B284" s="558">
        <v>2069.0</v>
      </c>
      <c r="C284" s="553"/>
      <c r="D284" s="553"/>
      <c r="E284" s="553"/>
      <c r="F284" s="553"/>
      <c r="G284" s="553"/>
      <c r="H284" s="553"/>
      <c r="I284" s="553"/>
      <c r="J284" s="553"/>
      <c r="K284" s="553"/>
      <c r="L284" s="553"/>
      <c r="M284" s="553"/>
      <c r="N284" s="553"/>
      <c r="O284" s="553"/>
      <c r="P284" s="553"/>
      <c r="Q284" s="553"/>
      <c r="R284" s="553"/>
      <c r="S284" s="553"/>
      <c r="T284" s="553"/>
      <c r="U284" s="553"/>
      <c r="V284" s="553"/>
      <c r="W284" s="553"/>
      <c r="X284" s="553"/>
      <c r="Y284" s="553"/>
    </row>
    <row r="285" ht="15.75" customHeight="1">
      <c r="A285" s="123" t="s">
        <v>955</v>
      </c>
      <c r="B285" s="558">
        <v>584.0</v>
      </c>
      <c r="C285" s="553"/>
      <c r="D285" s="553"/>
      <c r="E285" s="553"/>
      <c r="F285" s="553"/>
      <c r="G285" s="553"/>
      <c r="H285" s="553"/>
      <c r="I285" s="553"/>
      <c r="J285" s="553"/>
      <c r="K285" s="553"/>
      <c r="L285" s="553"/>
      <c r="M285" s="553"/>
      <c r="N285" s="553"/>
      <c r="O285" s="553"/>
      <c r="P285" s="553"/>
      <c r="Q285" s="553"/>
      <c r="R285" s="553"/>
      <c r="S285" s="553"/>
      <c r="T285" s="553"/>
      <c r="U285" s="553"/>
      <c r="V285" s="553"/>
      <c r="W285" s="553"/>
      <c r="X285" s="553"/>
      <c r="Y285" s="553"/>
    </row>
    <row r="286" ht="15.75" customHeight="1">
      <c r="A286" s="123" t="s">
        <v>5205</v>
      </c>
      <c r="B286" s="558">
        <v>385.0</v>
      </c>
      <c r="C286" s="553"/>
      <c r="D286" s="553"/>
      <c r="E286" s="553"/>
      <c r="F286" s="553"/>
      <c r="G286" s="553"/>
      <c r="H286" s="553"/>
      <c r="I286" s="553"/>
      <c r="J286" s="553"/>
      <c r="K286" s="553"/>
      <c r="L286" s="553"/>
      <c r="M286" s="553"/>
      <c r="N286" s="553"/>
      <c r="O286" s="553"/>
      <c r="P286" s="553"/>
      <c r="Q286" s="553"/>
      <c r="R286" s="553"/>
      <c r="S286" s="553"/>
      <c r="T286" s="553"/>
      <c r="U286" s="553"/>
      <c r="V286" s="553"/>
      <c r="W286" s="553"/>
      <c r="X286" s="553"/>
      <c r="Y286" s="553"/>
    </row>
    <row r="287" ht="15.75" customHeight="1">
      <c r="A287" s="123" t="s">
        <v>2287</v>
      </c>
      <c r="B287" s="558">
        <v>1174.0</v>
      </c>
      <c r="C287" s="553"/>
      <c r="D287" s="553"/>
      <c r="E287" s="553"/>
      <c r="F287" s="553"/>
      <c r="G287" s="553"/>
      <c r="H287" s="553"/>
      <c r="I287" s="553"/>
      <c r="J287" s="553"/>
      <c r="K287" s="553"/>
      <c r="L287" s="553"/>
      <c r="M287" s="553"/>
      <c r="N287" s="553"/>
      <c r="O287" s="553"/>
      <c r="P287" s="553"/>
      <c r="Q287" s="553"/>
      <c r="R287" s="553"/>
      <c r="S287" s="553"/>
      <c r="T287" s="553"/>
      <c r="U287" s="553"/>
      <c r="V287" s="553"/>
      <c r="W287" s="553"/>
      <c r="X287" s="553"/>
      <c r="Y287" s="553"/>
    </row>
    <row r="288" ht="15.75" customHeight="1">
      <c r="A288" s="123" t="s">
        <v>665</v>
      </c>
      <c r="B288" s="558">
        <v>889.0</v>
      </c>
      <c r="C288" s="553"/>
      <c r="D288" s="553"/>
      <c r="E288" s="553"/>
      <c r="F288" s="553"/>
      <c r="G288" s="553"/>
      <c r="H288" s="553"/>
      <c r="I288" s="553"/>
      <c r="J288" s="553"/>
      <c r="K288" s="553"/>
      <c r="L288" s="553"/>
      <c r="M288" s="553"/>
      <c r="N288" s="553"/>
      <c r="O288" s="553"/>
      <c r="P288" s="553"/>
      <c r="Q288" s="553"/>
      <c r="R288" s="553"/>
      <c r="S288" s="553"/>
      <c r="T288" s="553"/>
      <c r="U288" s="553"/>
      <c r="V288" s="553"/>
      <c r="W288" s="553"/>
      <c r="X288" s="553"/>
      <c r="Y288" s="553"/>
    </row>
    <row r="289" ht="15.75" customHeight="1">
      <c r="A289" s="123" t="s">
        <v>5688</v>
      </c>
      <c r="B289" s="558">
        <v>318.0</v>
      </c>
      <c r="C289" s="553"/>
      <c r="D289" s="553"/>
      <c r="E289" s="553"/>
      <c r="F289" s="553"/>
      <c r="G289" s="553"/>
      <c r="H289" s="553"/>
      <c r="I289" s="553"/>
      <c r="J289" s="553"/>
      <c r="K289" s="553"/>
      <c r="L289" s="553"/>
      <c r="M289" s="553"/>
      <c r="N289" s="553"/>
      <c r="O289" s="553"/>
      <c r="P289" s="553"/>
      <c r="Q289" s="553"/>
      <c r="R289" s="553"/>
      <c r="S289" s="553"/>
      <c r="T289" s="553"/>
      <c r="U289" s="553"/>
      <c r="V289" s="553"/>
      <c r="W289" s="553"/>
      <c r="X289" s="553"/>
      <c r="Y289" s="553"/>
    </row>
    <row r="290" ht="15.75" customHeight="1">
      <c r="A290" s="123" t="s">
        <v>2347</v>
      </c>
      <c r="B290" s="558">
        <v>1074.0</v>
      </c>
      <c r="C290" s="553"/>
      <c r="D290" s="553"/>
      <c r="E290" s="553"/>
      <c r="F290" s="553"/>
      <c r="G290" s="553"/>
      <c r="H290" s="553"/>
      <c r="I290" s="553"/>
      <c r="J290" s="553"/>
      <c r="K290" s="553"/>
      <c r="L290" s="553"/>
      <c r="M290" s="553"/>
      <c r="N290" s="553"/>
      <c r="O290" s="553"/>
      <c r="P290" s="553"/>
      <c r="Q290" s="553"/>
      <c r="R290" s="553"/>
      <c r="S290" s="553"/>
      <c r="T290" s="553"/>
      <c r="U290" s="553"/>
      <c r="V290" s="553"/>
      <c r="W290" s="553"/>
      <c r="X290" s="553"/>
      <c r="Y290" s="553"/>
    </row>
    <row r="291" ht="15.75" customHeight="1">
      <c r="A291" s="123" t="s">
        <v>4227</v>
      </c>
      <c r="B291" s="558">
        <v>800.0</v>
      </c>
      <c r="C291" s="553"/>
      <c r="D291" s="553"/>
      <c r="E291" s="553"/>
      <c r="F291" s="553"/>
      <c r="G291" s="553"/>
      <c r="H291" s="553"/>
      <c r="I291" s="553"/>
      <c r="J291" s="553"/>
      <c r="K291" s="553"/>
      <c r="L291" s="553"/>
      <c r="M291" s="553"/>
      <c r="N291" s="553"/>
      <c r="O291" s="553"/>
      <c r="P291" s="553"/>
      <c r="Q291" s="553"/>
      <c r="R291" s="553"/>
      <c r="S291" s="553"/>
      <c r="T291" s="553"/>
      <c r="U291" s="553"/>
      <c r="V291" s="553"/>
      <c r="W291" s="553"/>
      <c r="X291" s="553"/>
      <c r="Y291" s="553"/>
    </row>
    <row r="292" ht="15.75" customHeight="1">
      <c r="A292" s="123" t="s">
        <v>966</v>
      </c>
      <c r="B292" s="558">
        <v>478.0</v>
      </c>
      <c r="C292" s="553"/>
      <c r="D292" s="553"/>
      <c r="E292" s="553"/>
      <c r="F292" s="553"/>
      <c r="G292" s="553"/>
      <c r="H292" s="553"/>
      <c r="I292" s="553"/>
      <c r="J292" s="553"/>
      <c r="K292" s="553"/>
      <c r="L292" s="553"/>
      <c r="M292" s="553"/>
      <c r="N292" s="553"/>
      <c r="O292" s="553"/>
      <c r="P292" s="553"/>
      <c r="Q292" s="553"/>
      <c r="R292" s="553"/>
      <c r="S292" s="553"/>
      <c r="T292" s="553"/>
      <c r="U292" s="553"/>
      <c r="V292" s="553"/>
      <c r="W292" s="553"/>
      <c r="X292" s="553"/>
      <c r="Y292" s="553"/>
    </row>
    <row r="293" ht="15.75" customHeight="1">
      <c r="A293" s="123" t="s">
        <v>3968</v>
      </c>
      <c r="B293" s="558">
        <v>996.0</v>
      </c>
      <c r="C293" s="553"/>
      <c r="D293" s="553"/>
      <c r="E293" s="553"/>
      <c r="F293" s="553"/>
      <c r="G293" s="553"/>
      <c r="H293" s="553"/>
      <c r="I293" s="553"/>
      <c r="J293" s="553"/>
      <c r="K293" s="553"/>
      <c r="L293" s="553"/>
      <c r="M293" s="553"/>
      <c r="N293" s="553"/>
      <c r="O293" s="553"/>
      <c r="P293" s="553"/>
      <c r="Q293" s="553"/>
      <c r="R293" s="553"/>
      <c r="S293" s="553"/>
      <c r="T293" s="553"/>
      <c r="U293" s="553"/>
      <c r="V293" s="553"/>
      <c r="W293" s="553"/>
      <c r="X293" s="553"/>
      <c r="Y293" s="553"/>
    </row>
    <row r="294" ht="15.75" customHeight="1">
      <c r="A294" s="123" t="s">
        <v>681</v>
      </c>
      <c r="B294" s="558">
        <v>884.0</v>
      </c>
      <c r="C294" s="553"/>
      <c r="D294" s="553"/>
      <c r="E294" s="553"/>
      <c r="F294" s="553"/>
      <c r="G294" s="553"/>
      <c r="H294" s="553"/>
      <c r="I294" s="553"/>
      <c r="J294" s="553"/>
      <c r="K294" s="553"/>
      <c r="L294" s="553"/>
      <c r="M294" s="553"/>
      <c r="N294" s="553"/>
      <c r="O294" s="553"/>
      <c r="P294" s="553"/>
      <c r="Q294" s="553"/>
      <c r="R294" s="553"/>
      <c r="S294" s="553"/>
      <c r="T294" s="553"/>
      <c r="U294" s="553"/>
      <c r="V294" s="553"/>
      <c r="W294" s="553"/>
      <c r="X294" s="553"/>
      <c r="Y294" s="553"/>
    </row>
    <row r="295" ht="15.75" customHeight="1">
      <c r="A295" s="123" t="s">
        <v>5210</v>
      </c>
      <c r="B295" s="558">
        <v>1270.0</v>
      </c>
      <c r="C295" s="553"/>
      <c r="D295" s="553"/>
      <c r="E295" s="553"/>
      <c r="F295" s="553"/>
      <c r="G295" s="553"/>
      <c r="H295" s="553"/>
      <c r="I295" s="553"/>
      <c r="J295" s="553"/>
      <c r="K295" s="553"/>
      <c r="L295" s="553"/>
      <c r="M295" s="553"/>
      <c r="N295" s="553"/>
      <c r="O295" s="553"/>
      <c r="P295" s="553"/>
      <c r="Q295" s="553"/>
      <c r="R295" s="553"/>
      <c r="S295" s="553"/>
      <c r="T295" s="553"/>
      <c r="U295" s="553"/>
      <c r="V295" s="553"/>
      <c r="W295" s="553"/>
      <c r="X295" s="553"/>
      <c r="Y295" s="553"/>
    </row>
    <row r="296" ht="15.75" customHeight="1">
      <c r="A296" s="123" t="s">
        <v>1634</v>
      </c>
      <c r="B296" s="558">
        <v>1199.0</v>
      </c>
      <c r="C296" s="553"/>
      <c r="D296" s="553"/>
      <c r="E296" s="553"/>
      <c r="F296" s="553"/>
      <c r="G296" s="553"/>
      <c r="H296" s="553"/>
      <c r="I296" s="553"/>
      <c r="J296" s="553"/>
      <c r="K296" s="553"/>
      <c r="L296" s="553"/>
      <c r="M296" s="553"/>
      <c r="N296" s="553"/>
      <c r="O296" s="553"/>
      <c r="P296" s="553"/>
      <c r="Q296" s="553"/>
      <c r="R296" s="553"/>
      <c r="S296" s="553"/>
      <c r="T296" s="553"/>
      <c r="U296" s="553"/>
      <c r="V296" s="553"/>
      <c r="W296" s="553"/>
      <c r="X296" s="553"/>
      <c r="Y296" s="553"/>
    </row>
    <row r="297" ht="15.75" customHeight="1">
      <c r="A297" s="123" t="s">
        <v>7625</v>
      </c>
      <c r="B297" s="558">
        <v>6974.0</v>
      </c>
      <c r="C297" s="553"/>
      <c r="D297" s="553"/>
      <c r="E297" s="553"/>
      <c r="F297" s="553"/>
      <c r="G297" s="553"/>
      <c r="H297" s="553"/>
      <c r="I297" s="553"/>
      <c r="J297" s="553"/>
      <c r="K297" s="553"/>
      <c r="L297" s="553"/>
      <c r="M297" s="553"/>
      <c r="N297" s="553"/>
      <c r="O297" s="553"/>
      <c r="P297" s="553"/>
      <c r="Q297" s="553"/>
      <c r="R297" s="553"/>
      <c r="S297" s="553"/>
      <c r="T297" s="553"/>
      <c r="U297" s="553"/>
      <c r="V297" s="553"/>
      <c r="W297" s="553"/>
      <c r="X297" s="553"/>
      <c r="Y297" s="553"/>
    </row>
    <row r="298" ht="15.75" customHeight="1">
      <c r="A298" s="123" t="s">
        <v>4630</v>
      </c>
      <c r="B298" s="558">
        <v>804.0</v>
      </c>
      <c r="C298" s="553"/>
      <c r="D298" s="553"/>
      <c r="E298" s="553"/>
      <c r="F298" s="553"/>
      <c r="G298" s="553"/>
      <c r="H298" s="553"/>
      <c r="I298" s="553"/>
      <c r="J298" s="553"/>
      <c r="K298" s="553"/>
      <c r="L298" s="553"/>
      <c r="M298" s="553"/>
      <c r="N298" s="553"/>
      <c r="O298" s="553"/>
      <c r="P298" s="553"/>
      <c r="Q298" s="553"/>
      <c r="R298" s="553"/>
      <c r="S298" s="553"/>
      <c r="T298" s="553"/>
      <c r="U298" s="553"/>
      <c r="V298" s="553"/>
      <c r="W298" s="553"/>
      <c r="X298" s="553"/>
      <c r="Y298" s="553"/>
    </row>
    <row r="299" ht="15.75" customHeight="1">
      <c r="A299" s="123" t="s">
        <v>5693</v>
      </c>
      <c r="B299" s="558">
        <v>426.0</v>
      </c>
      <c r="C299" s="553"/>
      <c r="D299" s="553"/>
      <c r="E299" s="553"/>
      <c r="F299" s="553"/>
      <c r="G299" s="553"/>
      <c r="H299" s="553"/>
      <c r="I299" s="553"/>
      <c r="J299" s="553"/>
      <c r="K299" s="553"/>
      <c r="L299" s="553"/>
      <c r="M299" s="553"/>
      <c r="N299" s="553"/>
      <c r="O299" s="553"/>
      <c r="P299" s="553"/>
      <c r="Q299" s="553"/>
      <c r="R299" s="553"/>
      <c r="S299" s="553"/>
      <c r="T299" s="553"/>
      <c r="U299" s="553"/>
      <c r="V299" s="553"/>
      <c r="W299" s="553"/>
      <c r="X299" s="553"/>
      <c r="Y299" s="553"/>
    </row>
    <row r="300" ht="15.75" customHeight="1">
      <c r="A300" s="123" t="s">
        <v>5221</v>
      </c>
      <c r="B300" s="558">
        <v>571.0</v>
      </c>
      <c r="C300" s="553"/>
      <c r="D300" s="553"/>
      <c r="E300" s="553"/>
      <c r="F300" s="553"/>
      <c r="G300" s="553"/>
      <c r="H300" s="553"/>
      <c r="I300" s="553"/>
      <c r="J300" s="553"/>
      <c r="K300" s="553"/>
      <c r="L300" s="553"/>
      <c r="M300" s="553"/>
      <c r="N300" s="553"/>
      <c r="O300" s="553"/>
      <c r="P300" s="553"/>
      <c r="Q300" s="553"/>
      <c r="R300" s="553"/>
      <c r="S300" s="553"/>
      <c r="T300" s="553"/>
      <c r="U300" s="553"/>
      <c r="V300" s="553"/>
      <c r="W300" s="553"/>
      <c r="X300" s="553"/>
      <c r="Y300" s="553"/>
    </row>
    <row r="301" ht="15.75" customHeight="1">
      <c r="A301" s="123" t="s">
        <v>972</v>
      </c>
      <c r="B301" s="558">
        <v>1001.0</v>
      </c>
      <c r="C301" s="553"/>
      <c r="D301" s="553"/>
      <c r="E301" s="553"/>
      <c r="F301" s="553"/>
      <c r="G301" s="553"/>
      <c r="H301" s="553"/>
      <c r="I301" s="553"/>
      <c r="J301" s="553"/>
      <c r="K301" s="553"/>
      <c r="L301" s="553"/>
      <c r="M301" s="553"/>
      <c r="N301" s="553"/>
      <c r="O301" s="553"/>
      <c r="P301" s="553"/>
      <c r="Q301" s="553"/>
      <c r="R301" s="553"/>
      <c r="S301" s="553"/>
      <c r="T301" s="553"/>
      <c r="U301" s="553"/>
      <c r="V301" s="553"/>
      <c r="W301" s="553"/>
      <c r="X301" s="553"/>
      <c r="Y301" s="553"/>
    </row>
    <row r="302" ht="15.75" customHeight="1">
      <c r="A302" s="123" t="s">
        <v>3238</v>
      </c>
      <c r="B302" s="558">
        <v>2024.0</v>
      </c>
      <c r="C302" s="553"/>
      <c r="D302" s="553"/>
      <c r="E302" s="553"/>
      <c r="F302" s="553"/>
      <c r="G302" s="553"/>
      <c r="H302" s="553"/>
      <c r="I302" s="553"/>
      <c r="J302" s="553"/>
      <c r="K302" s="553"/>
      <c r="L302" s="553"/>
      <c r="M302" s="553"/>
      <c r="N302" s="553"/>
      <c r="O302" s="553"/>
      <c r="P302" s="553"/>
      <c r="Q302" s="553"/>
      <c r="R302" s="553"/>
      <c r="S302" s="553"/>
      <c r="T302" s="553"/>
      <c r="U302" s="553"/>
      <c r="V302" s="553"/>
      <c r="W302" s="553"/>
      <c r="X302" s="553"/>
      <c r="Y302" s="553"/>
    </row>
    <row r="303" ht="15.75" customHeight="1">
      <c r="A303" s="123" t="s">
        <v>4235</v>
      </c>
      <c r="B303" s="558">
        <v>577.0</v>
      </c>
      <c r="C303" s="553"/>
      <c r="D303" s="553"/>
      <c r="E303" s="553"/>
      <c r="F303" s="553"/>
      <c r="G303" s="553"/>
      <c r="H303" s="553"/>
      <c r="I303" s="553"/>
      <c r="J303" s="553"/>
      <c r="K303" s="553"/>
      <c r="L303" s="553"/>
      <c r="M303" s="553"/>
      <c r="N303" s="553"/>
      <c r="O303" s="553"/>
      <c r="P303" s="553"/>
      <c r="Q303" s="553"/>
      <c r="R303" s="553"/>
      <c r="S303" s="553"/>
      <c r="T303" s="553"/>
      <c r="U303" s="553"/>
      <c r="V303" s="553"/>
      <c r="W303" s="553"/>
      <c r="X303" s="553"/>
      <c r="Y303" s="553"/>
    </row>
    <row r="304" ht="15.75" customHeight="1">
      <c r="A304" s="123" t="s">
        <v>7757</v>
      </c>
      <c r="B304" s="558">
        <v>827.0</v>
      </c>
      <c r="C304" s="553"/>
      <c r="D304" s="553"/>
      <c r="E304" s="553"/>
      <c r="F304" s="553"/>
      <c r="G304" s="553"/>
      <c r="H304" s="553"/>
      <c r="I304" s="553"/>
      <c r="J304" s="553"/>
      <c r="K304" s="553"/>
      <c r="L304" s="553"/>
      <c r="M304" s="553"/>
      <c r="N304" s="553"/>
      <c r="O304" s="553"/>
      <c r="P304" s="553"/>
      <c r="Q304" s="553"/>
      <c r="R304" s="553"/>
      <c r="S304" s="553"/>
      <c r="T304" s="553"/>
      <c r="U304" s="553"/>
      <c r="V304" s="553"/>
      <c r="W304" s="553"/>
      <c r="X304" s="553"/>
      <c r="Y304" s="553"/>
    </row>
    <row r="305" ht="15.75" customHeight="1">
      <c r="A305" s="123" t="s">
        <v>4640</v>
      </c>
      <c r="B305" s="558">
        <v>480.0</v>
      </c>
      <c r="C305" s="553"/>
      <c r="D305" s="553"/>
      <c r="E305" s="553"/>
      <c r="F305" s="553"/>
      <c r="G305" s="553"/>
      <c r="H305" s="553"/>
      <c r="I305" s="553"/>
      <c r="J305" s="553"/>
      <c r="K305" s="553"/>
      <c r="L305" s="553"/>
      <c r="M305" s="553"/>
      <c r="N305" s="553"/>
      <c r="O305" s="553"/>
      <c r="P305" s="553"/>
      <c r="Q305" s="553"/>
      <c r="R305" s="553"/>
      <c r="S305" s="553"/>
      <c r="T305" s="553"/>
      <c r="U305" s="553"/>
      <c r="V305" s="553"/>
      <c r="W305" s="553"/>
      <c r="X305" s="553"/>
      <c r="Y305" s="553"/>
    </row>
    <row r="306" ht="15.75" customHeight="1">
      <c r="A306" s="123" t="s">
        <v>1781</v>
      </c>
      <c r="B306" s="558">
        <v>320.0</v>
      </c>
      <c r="C306" s="553"/>
      <c r="D306" s="553"/>
      <c r="E306" s="553"/>
      <c r="F306" s="553"/>
      <c r="G306" s="553"/>
      <c r="H306" s="553"/>
      <c r="I306" s="553"/>
      <c r="J306" s="553"/>
      <c r="K306" s="553"/>
      <c r="L306" s="553"/>
      <c r="M306" s="553"/>
      <c r="N306" s="553"/>
      <c r="O306" s="553"/>
      <c r="P306" s="553"/>
      <c r="Q306" s="553"/>
      <c r="R306" s="553"/>
      <c r="S306" s="553"/>
      <c r="T306" s="553"/>
      <c r="U306" s="553"/>
      <c r="V306" s="553"/>
      <c r="W306" s="553"/>
      <c r="X306" s="553"/>
      <c r="Y306" s="553"/>
    </row>
    <row r="307" ht="15.75" customHeight="1">
      <c r="A307" s="123" t="s">
        <v>6313</v>
      </c>
      <c r="B307" s="558">
        <v>432.0</v>
      </c>
      <c r="C307" s="553"/>
      <c r="D307" s="553"/>
      <c r="E307" s="553"/>
      <c r="F307" s="553"/>
      <c r="G307" s="553"/>
      <c r="H307" s="553"/>
      <c r="I307" s="553"/>
      <c r="J307" s="553"/>
      <c r="K307" s="553"/>
      <c r="L307" s="553"/>
      <c r="M307" s="553"/>
      <c r="N307" s="553"/>
      <c r="O307" s="553"/>
      <c r="P307" s="553"/>
      <c r="Q307" s="553"/>
      <c r="R307" s="553"/>
      <c r="S307" s="553"/>
      <c r="T307" s="553"/>
      <c r="U307" s="553"/>
      <c r="V307" s="553"/>
      <c r="W307" s="553"/>
      <c r="X307" s="553"/>
      <c r="Y307" s="553"/>
    </row>
    <row r="308" ht="15.75" customHeight="1">
      <c r="A308" s="123" t="s">
        <v>4459</v>
      </c>
      <c r="B308" s="558">
        <v>1017.0</v>
      </c>
      <c r="C308" s="553"/>
      <c r="D308" s="553"/>
      <c r="E308" s="553"/>
      <c r="F308" s="553"/>
      <c r="G308" s="553"/>
      <c r="H308" s="553"/>
      <c r="I308" s="553"/>
      <c r="J308" s="553"/>
      <c r="K308" s="553"/>
      <c r="L308" s="553"/>
      <c r="M308" s="553"/>
      <c r="N308" s="553"/>
      <c r="O308" s="553"/>
      <c r="P308" s="553"/>
      <c r="Q308" s="553"/>
      <c r="R308" s="553"/>
      <c r="S308" s="553"/>
      <c r="T308" s="553"/>
      <c r="U308" s="553"/>
      <c r="V308" s="553"/>
      <c r="W308" s="553"/>
      <c r="X308" s="553"/>
      <c r="Y308" s="553"/>
    </row>
    <row r="309" ht="15.75" customHeight="1">
      <c r="A309" s="123" t="s">
        <v>2161</v>
      </c>
      <c r="B309" s="558">
        <v>479.0</v>
      </c>
      <c r="C309" s="553"/>
      <c r="D309" s="553"/>
      <c r="E309" s="553"/>
      <c r="F309" s="553"/>
      <c r="G309" s="553"/>
      <c r="H309" s="553"/>
      <c r="I309" s="553"/>
      <c r="J309" s="553"/>
      <c r="K309" s="553"/>
      <c r="L309" s="553"/>
      <c r="M309" s="553"/>
      <c r="N309" s="553"/>
      <c r="O309" s="553"/>
      <c r="P309" s="553"/>
      <c r="Q309" s="553"/>
      <c r="R309" s="553"/>
      <c r="S309" s="553"/>
      <c r="T309" s="553"/>
      <c r="U309" s="553"/>
      <c r="V309" s="553"/>
      <c r="W309" s="553"/>
      <c r="X309" s="553"/>
      <c r="Y309" s="553"/>
    </row>
    <row r="310" ht="15.75" customHeight="1">
      <c r="A310" s="123" t="s">
        <v>2352</v>
      </c>
      <c r="B310" s="558">
        <v>1112.0</v>
      </c>
      <c r="C310" s="553"/>
      <c r="D310" s="553"/>
      <c r="E310" s="553"/>
      <c r="F310" s="553"/>
      <c r="G310" s="553"/>
      <c r="H310" s="553"/>
      <c r="I310" s="553"/>
      <c r="J310" s="553"/>
      <c r="K310" s="553"/>
      <c r="L310" s="553"/>
      <c r="M310" s="553"/>
      <c r="N310" s="553"/>
      <c r="O310" s="553"/>
      <c r="P310" s="553"/>
      <c r="Q310" s="553"/>
      <c r="R310" s="553"/>
      <c r="S310" s="553"/>
      <c r="T310" s="553"/>
      <c r="U310" s="553"/>
      <c r="V310" s="553"/>
      <c r="W310" s="553"/>
      <c r="X310" s="553"/>
      <c r="Y310" s="553"/>
    </row>
    <row r="311" ht="15.75" customHeight="1">
      <c r="A311" s="123" t="s">
        <v>2245</v>
      </c>
      <c r="B311" s="558">
        <v>2519.0</v>
      </c>
      <c r="C311" s="553"/>
      <c r="D311" s="553"/>
      <c r="E311" s="553"/>
      <c r="F311" s="553"/>
      <c r="G311" s="553"/>
      <c r="H311" s="553"/>
      <c r="I311" s="553"/>
      <c r="J311" s="553"/>
      <c r="K311" s="553"/>
      <c r="L311" s="553"/>
      <c r="M311" s="553"/>
      <c r="N311" s="553"/>
      <c r="O311" s="553"/>
      <c r="P311" s="553"/>
      <c r="Q311" s="553"/>
      <c r="R311" s="553"/>
      <c r="S311" s="553"/>
      <c r="T311" s="553"/>
      <c r="U311" s="553"/>
      <c r="V311" s="553"/>
      <c r="W311" s="553"/>
      <c r="X311" s="553"/>
      <c r="Y311" s="553"/>
    </row>
    <row r="312" ht="15.75" customHeight="1">
      <c r="A312" s="123" t="s">
        <v>8111</v>
      </c>
      <c r="B312" s="558">
        <v>1984.0</v>
      </c>
      <c r="C312" s="553"/>
      <c r="D312" s="553"/>
      <c r="E312" s="553"/>
      <c r="F312" s="553"/>
      <c r="G312" s="553"/>
      <c r="H312" s="553"/>
      <c r="I312" s="553"/>
      <c r="J312" s="553"/>
      <c r="K312" s="553"/>
      <c r="L312" s="553"/>
      <c r="M312" s="553"/>
      <c r="N312" s="553"/>
      <c r="O312" s="553"/>
      <c r="P312" s="553"/>
      <c r="Q312" s="553"/>
      <c r="R312" s="553"/>
      <c r="S312" s="553"/>
      <c r="T312" s="553"/>
      <c r="U312" s="553"/>
      <c r="V312" s="553"/>
      <c r="W312" s="553"/>
      <c r="X312" s="553"/>
      <c r="Y312" s="553"/>
    </row>
    <row r="313" ht="15.75" customHeight="1">
      <c r="A313" s="123" t="s">
        <v>7774</v>
      </c>
      <c r="B313" s="558">
        <v>665.0</v>
      </c>
      <c r="C313" s="553"/>
      <c r="D313" s="553"/>
      <c r="E313" s="553"/>
      <c r="F313" s="553"/>
      <c r="G313" s="553"/>
      <c r="H313" s="553"/>
      <c r="I313" s="553"/>
      <c r="J313" s="553"/>
      <c r="K313" s="553"/>
      <c r="L313" s="553"/>
      <c r="M313" s="553"/>
      <c r="N313" s="553"/>
      <c r="O313" s="553"/>
      <c r="P313" s="553"/>
      <c r="Q313" s="553"/>
      <c r="R313" s="553"/>
      <c r="S313" s="553"/>
      <c r="T313" s="553"/>
      <c r="U313" s="553"/>
      <c r="V313" s="553"/>
      <c r="W313" s="553"/>
      <c r="X313" s="553"/>
      <c r="Y313" s="553"/>
    </row>
    <row r="314" ht="15.75" customHeight="1">
      <c r="A314" s="123" t="s">
        <v>2383</v>
      </c>
      <c r="B314" s="558">
        <v>5518.0</v>
      </c>
      <c r="C314" s="553"/>
      <c r="D314" s="553"/>
      <c r="E314" s="553"/>
      <c r="F314" s="553"/>
      <c r="G314" s="553"/>
      <c r="H314" s="553"/>
      <c r="I314" s="553"/>
      <c r="J314" s="553"/>
      <c r="K314" s="553"/>
      <c r="L314" s="553"/>
      <c r="M314" s="553"/>
      <c r="N314" s="553"/>
      <c r="O314" s="553"/>
      <c r="P314" s="553"/>
      <c r="Q314" s="553"/>
      <c r="R314" s="553"/>
      <c r="S314" s="553"/>
      <c r="T314" s="553"/>
      <c r="U314" s="553"/>
      <c r="V314" s="553"/>
      <c r="W314" s="553"/>
      <c r="X314" s="553"/>
      <c r="Y314" s="553"/>
    </row>
    <row r="315" ht="15.75" customHeight="1">
      <c r="A315" s="123" t="s">
        <v>2576</v>
      </c>
      <c r="B315" s="558">
        <v>494.0</v>
      </c>
      <c r="C315" s="553"/>
      <c r="D315" s="553"/>
      <c r="E315" s="553"/>
      <c r="F315" s="553"/>
      <c r="G315" s="553"/>
      <c r="H315" s="553"/>
      <c r="I315" s="553"/>
      <c r="J315" s="553"/>
      <c r="K315" s="553"/>
      <c r="L315" s="553"/>
      <c r="M315" s="553"/>
      <c r="N315" s="553"/>
      <c r="O315" s="553"/>
      <c r="P315" s="553"/>
      <c r="Q315" s="553"/>
      <c r="R315" s="553"/>
      <c r="S315" s="553"/>
      <c r="T315" s="553"/>
      <c r="U315" s="553"/>
      <c r="V315" s="553"/>
      <c r="W315" s="553"/>
      <c r="X315" s="553"/>
      <c r="Y315" s="553"/>
    </row>
    <row r="316" ht="15.75" customHeight="1">
      <c r="A316" s="123" t="s">
        <v>2180</v>
      </c>
      <c r="B316" s="558">
        <v>2355.0</v>
      </c>
      <c r="C316" s="553"/>
      <c r="D316" s="553"/>
      <c r="E316" s="553"/>
      <c r="F316" s="553"/>
      <c r="G316" s="553"/>
      <c r="H316" s="553"/>
      <c r="I316" s="553"/>
      <c r="J316" s="553"/>
      <c r="K316" s="553"/>
      <c r="L316" s="553"/>
      <c r="M316" s="553"/>
      <c r="N316" s="553"/>
      <c r="O316" s="553"/>
      <c r="P316" s="553"/>
      <c r="Q316" s="553"/>
      <c r="R316" s="553"/>
      <c r="S316" s="553"/>
      <c r="T316" s="553"/>
      <c r="U316" s="553"/>
      <c r="V316" s="553"/>
      <c r="W316" s="553"/>
      <c r="X316" s="553"/>
      <c r="Y316" s="553"/>
    </row>
    <row r="317" ht="15.75" customHeight="1">
      <c r="A317" s="123" t="s">
        <v>364</v>
      </c>
      <c r="B317" s="558">
        <v>712.0</v>
      </c>
      <c r="C317" s="553"/>
      <c r="D317" s="553"/>
      <c r="E317" s="553"/>
      <c r="F317" s="553"/>
      <c r="G317" s="553"/>
      <c r="H317" s="553"/>
      <c r="I317" s="553"/>
      <c r="J317" s="553"/>
      <c r="K317" s="553"/>
      <c r="L317" s="553"/>
      <c r="M317" s="553"/>
      <c r="N317" s="553"/>
      <c r="O317" s="553"/>
      <c r="P317" s="553"/>
      <c r="Q317" s="553"/>
      <c r="R317" s="553"/>
      <c r="S317" s="553"/>
      <c r="T317" s="553"/>
      <c r="U317" s="553"/>
      <c r="V317" s="553"/>
      <c r="W317" s="553"/>
      <c r="X317" s="553"/>
      <c r="Y317" s="553"/>
    </row>
    <row r="318" ht="15.75" customHeight="1">
      <c r="A318" s="123" t="s">
        <v>6351</v>
      </c>
      <c r="B318" s="558">
        <v>493.0</v>
      </c>
      <c r="C318" s="553"/>
      <c r="D318" s="553"/>
      <c r="E318" s="553"/>
      <c r="F318" s="553"/>
      <c r="G318" s="553"/>
      <c r="H318" s="553"/>
      <c r="I318" s="553"/>
      <c r="J318" s="553"/>
      <c r="K318" s="553"/>
      <c r="L318" s="553"/>
      <c r="M318" s="553"/>
      <c r="N318" s="553"/>
      <c r="O318" s="553"/>
      <c r="P318" s="553"/>
      <c r="Q318" s="553"/>
      <c r="R318" s="553"/>
      <c r="S318" s="553"/>
      <c r="T318" s="553"/>
      <c r="U318" s="553"/>
      <c r="V318" s="553"/>
      <c r="W318" s="553"/>
      <c r="X318" s="553"/>
      <c r="Y318" s="553"/>
    </row>
    <row r="319" ht="15.75" customHeight="1">
      <c r="A319" s="123" t="s">
        <v>1787</v>
      </c>
      <c r="B319" s="558">
        <v>1643.0</v>
      </c>
      <c r="C319" s="553"/>
      <c r="D319" s="553"/>
      <c r="E319" s="553"/>
      <c r="F319" s="553"/>
      <c r="G319" s="553"/>
      <c r="H319" s="553"/>
      <c r="I319" s="553"/>
      <c r="J319" s="553"/>
      <c r="K319" s="553"/>
      <c r="L319" s="553"/>
      <c r="M319" s="553"/>
      <c r="N319" s="553"/>
      <c r="O319" s="553"/>
      <c r="P319" s="553"/>
      <c r="Q319" s="553"/>
      <c r="R319" s="553"/>
      <c r="S319" s="553"/>
      <c r="T319" s="553"/>
      <c r="U319" s="553"/>
      <c r="V319" s="553"/>
      <c r="W319" s="553"/>
      <c r="X319" s="553"/>
      <c r="Y319" s="553"/>
    </row>
    <row r="320" ht="15.75" customHeight="1">
      <c r="A320" s="123" t="s">
        <v>1227</v>
      </c>
      <c r="B320" s="558">
        <v>1568.0</v>
      </c>
      <c r="C320" s="553"/>
      <c r="D320" s="553"/>
      <c r="E320" s="553"/>
      <c r="F320" s="553"/>
      <c r="G320" s="553"/>
      <c r="H320" s="553"/>
      <c r="I320" s="553"/>
      <c r="J320" s="553"/>
      <c r="K320" s="553"/>
      <c r="L320" s="553"/>
      <c r="M320" s="553"/>
      <c r="N320" s="553"/>
      <c r="O320" s="553"/>
      <c r="P320" s="553"/>
      <c r="Q320" s="553"/>
      <c r="R320" s="553"/>
      <c r="S320" s="553"/>
      <c r="T320" s="553"/>
      <c r="U320" s="553"/>
      <c r="V320" s="553"/>
      <c r="W320" s="553"/>
      <c r="X320" s="553"/>
      <c r="Y320" s="553"/>
    </row>
    <row r="321" ht="15.75" customHeight="1">
      <c r="A321" s="123" t="s">
        <v>1236</v>
      </c>
      <c r="B321" s="558">
        <v>1445.0</v>
      </c>
      <c r="C321" s="553"/>
      <c r="D321" s="553"/>
      <c r="E321" s="553"/>
      <c r="F321" s="553"/>
      <c r="G321" s="553"/>
      <c r="H321" s="553"/>
      <c r="I321" s="553"/>
      <c r="J321" s="553"/>
      <c r="K321" s="553"/>
      <c r="L321" s="553"/>
      <c r="M321" s="553"/>
      <c r="N321" s="553"/>
      <c r="O321" s="553"/>
      <c r="P321" s="553"/>
      <c r="Q321" s="553"/>
      <c r="R321" s="553"/>
      <c r="S321" s="553"/>
      <c r="T321" s="553"/>
      <c r="U321" s="553"/>
      <c r="V321" s="553"/>
      <c r="W321" s="553"/>
      <c r="X321" s="553"/>
      <c r="Y321" s="553"/>
    </row>
    <row r="322" ht="15.75" customHeight="1">
      <c r="A322" s="123" t="s">
        <v>4652</v>
      </c>
      <c r="B322" s="558">
        <v>677.0</v>
      </c>
      <c r="C322" s="553"/>
      <c r="D322" s="553"/>
      <c r="E322" s="553"/>
      <c r="F322" s="553"/>
      <c r="G322" s="553"/>
      <c r="H322" s="553"/>
      <c r="I322" s="553"/>
      <c r="J322" s="553"/>
      <c r="K322" s="553"/>
      <c r="L322" s="553"/>
      <c r="M322" s="553"/>
      <c r="N322" s="553"/>
      <c r="O322" s="553"/>
      <c r="P322" s="553"/>
      <c r="Q322" s="553"/>
      <c r="R322" s="553"/>
      <c r="S322" s="553"/>
      <c r="T322" s="553"/>
      <c r="U322" s="553"/>
      <c r="V322" s="553"/>
      <c r="W322" s="553"/>
      <c r="X322" s="553"/>
      <c r="Y322" s="553"/>
    </row>
    <row r="323" ht="15.75" customHeight="1">
      <c r="A323" s="123" t="s">
        <v>4464</v>
      </c>
      <c r="B323" s="558">
        <v>1500.0</v>
      </c>
      <c r="C323" s="553"/>
      <c r="D323" s="553"/>
      <c r="E323" s="553"/>
      <c r="F323" s="553"/>
      <c r="G323" s="553"/>
      <c r="H323" s="553"/>
      <c r="I323" s="553"/>
      <c r="J323" s="553"/>
      <c r="K323" s="553"/>
      <c r="L323" s="553"/>
      <c r="M323" s="553"/>
      <c r="N323" s="553"/>
      <c r="O323" s="553"/>
      <c r="P323" s="553"/>
      <c r="Q323" s="553"/>
      <c r="R323" s="553"/>
      <c r="S323" s="553"/>
      <c r="T323" s="553"/>
      <c r="U323" s="553"/>
      <c r="V323" s="553"/>
      <c r="W323" s="553"/>
      <c r="X323" s="553"/>
      <c r="Y323" s="553"/>
    </row>
    <row r="324" ht="15.75" customHeight="1">
      <c r="A324" s="123" t="s">
        <v>2159</v>
      </c>
      <c r="B324" s="558">
        <v>2082.0</v>
      </c>
      <c r="C324" s="553"/>
      <c r="D324" s="553"/>
      <c r="E324" s="553"/>
      <c r="F324" s="553"/>
      <c r="G324" s="553"/>
      <c r="H324" s="553"/>
      <c r="I324" s="553"/>
      <c r="J324" s="553"/>
      <c r="K324" s="553"/>
      <c r="L324" s="553"/>
      <c r="M324" s="553"/>
      <c r="N324" s="553"/>
      <c r="O324" s="553"/>
      <c r="P324" s="553"/>
      <c r="Q324" s="553"/>
      <c r="R324" s="553"/>
      <c r="S324" s="553"/>
      <c r="T324" s="553"/>
      <c r="U324" s="553"/>
      <c r="V324" s="553"/>
      <c r="W324" s="553"/>
      <c r="X324" s="553"/>
      <c r="Y324" s="553"/>
    </row>
    <row r="325" ht="15.75" customHeight="1">
      <c r="A325" s="123" t="s">
        <v>1249</v>
      </c>
      <c r="B325" s="558">
        <v>657.0</v>
      </c>
      <c r="C325" s="553"/>
      <c r="D325" s="553"/>
      <c r="E325" s="553"/>
      <c r="F325" s="553"/>
      <c r="G325" s="553"/>
      <c r="H325" s="553"/>
      <c r="I325" s="553"/>
      <c r="J325" s="553"/>
      <c r="K325" s="553"/>
      <c r="L325" s="553"/>
      <c r="M325" s="553"/>
      <c r="N325" s="553"/>
      <c r="O325" s="553"/>
      <c r="P325" s="553"/>
      <c r="Q325" s="553"/>
      <c r="R325" s="553"/>
      <c r="S325" s="553"/>
      <c r="T325" s="553"/>
      <c r="U325" s="553"/>
      <c r="V325" s="553"/>
      <c r="W325" s="553"/>
      <c r="X325" s="553"/>
      <c r="Y325" s="553"/>
    </row>
    <row r="326" ht="15.75" customHeight="1">
      <c r="A326" s="123" t="s">
        <v>2372</v>
      </c>
      <c r="B326" s="558">
        <v>990.0</v>
      </c>
      <c r="C326" s="553"/>
      <c r="D326" s="553"/>
      <c r="E326" s="553"/>
      <c r="F326" s="553"/>
      <c r="G326" s="553"/>
      <c r="H326" s="553"/>
      <c r="I326" s="553"/>
      <c r="J326" s="553"/>
      <c r="K326" s="553"/>
      <c r="L326" s="553"/>
      <c r="M326" s="553"/>
      <c r="N326" s="553"/>
      <c r="O326" s="553"/>
      <c r="P326" s="553"/>
      <c r="Q326" s="553"/>
      <c r="R326" s="553"/>
      <c r="S326" s="553"/>
      <c r="T326" s="553"/>
      <c r="U326" s="553"/>
      <c r="V326" s="553"/>
      <c r="W326" s="553"/>
      <c r="X326" s="553"/>
      <c r="Y326" s="553"/>
    </row>
    <row r="327" ht="15.75" customHeight="1">
      <c r="A327" s="123" t="s">
        <v>4667</v>
      </c>
      <c r="B327" s="558">
        <v>2116.0</v>
      </c>
      <c r="C327" s="553"/>
      <c r="D327" s="553"/>
      <c r="E327" s="553"/>
      <c r="F327" s="553"/>
      <c r="G327" s="553"/>
      <c r="H327" s="553"/>
      <c r="I327" s="553"/>
      <c r="J327" s="553"/>
      <c r="K327" s="553"/>
      <c r="L327" s="553"/>
      <c r="M327" s="553"/>
      <c r="N327" s="553"/>
      <c r="O327" s="553"/>
      <c r="P327" s="553"/>
      <c r="Q327" s="553"/>
      <c r="R327" s="553"/>
      <c r="S327" s="553"/>
      <c r="T327" s="553"/>
      <c r="U327" s="553"/>
      <c r="V327" s="553"/>
      <c r="W327" s="553"/>
      <c r="X327" s="553"/>
      <c r="Y327" s="553"/>
    </row>
    <row r="328" ht="15.75" customHeight="1">
      <c r="A328" s="123" t="s">
        <v>706</v>
      </c>
      <c r="B328" s="558">
        <v>1736.0</v>
      </c>
      <c r="C328" s="553"/>
      <c r="D328" s="553"/>
      <c r="E328" s="553"/>
      <c r="F328" s="553"/>
      <c r="G328" s="553"/>
      <c r="H328" s="553"/>
      <c r="I328" s="553"/>
      <c r="J328" s="553"/>
      <c r="K328" s="553"/>
      <c r="L328" s="553"/>
      <c r="M328" s="553"/>
      <c r="N328" s="553"/>
      <c r="O328" s="553"/>
      <c r="P328" s="553"/>
      <c r="Q328" s="553"/>
      <c r="R328" s="553"/>
      <c r="S328" s="553"/>
      <c r="T328" s="553"/>
      <c r="U328" s="553"/>
      <c r="V328" s="553"/>
      <c r="W328" s="553"/>
      <c r="X328" s="553"/>
      <c r="Y328" s="553"/>
    </row>
    <row r="329" ht="15.75" customHeight="1">
      <c r="A329" s="123" t="s">
        <v>5226</v>
      </c>
      <c r="B329" s="558">
        <v>616.0</v>
      </c>
      <c r="C329" s="553"/>
      <c r="D329" s="553"/>
      <c r="E329" s="553"/>
      <c r="F329" s="553"/>
      <c r="G329" s="553"/>
      <c r="H329" s="553"/>
      <c r="I329" s="553"/>
      <c r="J329" s="553"/>
      <c r="K329" s="553"/>
      <c r="L329" s="553"/>
      <c r="M329" s="553"/>
      <c r="N329" s="553"/>
      <c r="O329" s="553"/>
      <c r="P329" s="553"/>
      <c r="Q329" s="553"/>
      <c r="R329" s="553"/>
      <c r="S329" s="553"/>
      <c r="T329" s="553"/>
      <c r="U329" s="553"/>
      <c r="V329" s="553"/>
      <c r="W329" s="553"/>
      <c r="X329" s="553"/>
      <c r="Y329" s="553"/>
    </row>
    <row r="330" ht="15.75" customHeight="1">
      <c r="A330" s="123" t="s">
        <v>5230</v>
      </c>
      <c r="B330" s="558">
        <v>3644.0</v>
      </c>
      <c r="C330" s="553"/>
      <c r="D330" s="553"/>
      <c r="E330" s="553"/>
      <c r="F330" s="553"/>
      <c r="G330" s="553"/>
      <c r="H330" s="553"/>
      <c r="I330" s="553"/>
      <c r="J330" s="553"/>
      <c r="K330" s="553"/>
      <c r="L330" s="553"/>
      <c r="M330" s="553"/>
      <c r="N330" s="553"/>
      <c r="O330" s="553"/>
      <c r="P330" s="553"/>
      <c r="Q330" s="553"/>
      <c r="R330" s="553"/>
      <c r="S330" s="553"/>
      <c r="T330" s="553"/>
      <c r="U330" s="553"/>
      <c r="V330" s="553"/>
      <c r="W330" s="553"/>
      <c r="X330" s="553"/>
      <c r="Y330" s="553"/>
    </row>
    <row r="331" ht="15.75" customHeight="1">
      <c r="A331" s="123" t="s">
        <v>6361</v>
      </c>
      <c r="B331" s="558">
        <v>292.0</v>
      </c>
      <c r="C331" s="553"/>
      <c r="D331" s="553"/>
      <c r="E331" s="553"/>
      <c r="F331" s="553"/>
      <c r="G331" s="553"/>
      <c r="H331" s="553"/>
      <c r="I331" s="553"/>
      <c r="J331" s="553"/>
      <c r="K331" s="553"/>
      <c r="L331" s="553"/>
      <c r="M331" s="553"/>
      <c r="N331" s="553"/>
      <c r="O331" s="553"/>
      <c r="P331" s="553"/>
      <c r="Q331" s="553"/>
      <c r="R331" s="553"/>
      <c r="S331" s="553"/>
      <c r="T331" s="553"/>
      <c r="U331" s="553"/>
      <c r="V331" s="553"/>
      <c r="W331" s="553"/>
      <c r="X331" s="553"/>
      <c r="Y331" s="553"/>
    </row>
    <row r="332" ht="15.75" customHeight="1">
      <c r="A332" s="123" t="s">
        <v>988</v>
      </c>
      <c r="B332" s="558">
        <v>447.0</v>
      </c>
      <c r="C332" s="553"/>
      <c r="D332" s="553"/>
      <c r="E332" s="553"/>
      <c r="F332" s="553"/>
      <c r="G332" s="553"/>
      <c r="H332" s="553"/>
      <c r="I332" s="553"/>
      <c r="J332" s="553"/>
      <c r="K332" s="553"/>
      <c r="L332" s="553"/>
      <c r="M332" s="553"/>
      <c r="N332" s="553"/>
      <c r="O332" s="553"/>
      <c r="P332" s="553"/>
      <c r="Q332" s="553"/>
      <c r="R332" s="553"/>
      <c r="S332" s="553"/>
      <c r="T332" s="553"/>
      <c r="U332" s="553"/>
      <c r="V332" s="553"/>
      <c r="W332" s="553"/>
      <c r="X332" s="553"/>
      <c r="Y332" s="553"/>
    </row>
    <row r="333" ht="15.75" customHeight="1">
      <c r="A333" s="123" t="s">
        <v>4251</v>
      </c>
      <c r="B333" s="558">
        <v>700.0</v>
      </c>
      <c r="C333" s="553"/>
      <c r="D333" s="553"/>
      <c r="E333" s="553"/>
      <c r="F333" s="553"/>
      <c r="G333" s="553"/>
      <c r="H333" s="553"/>
      <c r="I333" s="553"/>
      <c r="J333" s="553"/>
      <c r="K333" s="553"/>
      <c r="L333" s="553"/>
      <c r="M333" s="553"/>
      <c r="N333" s="553"/>
      <c r="O333" s="553"/>
      <c r="P333" s="553"/>
      <c r="Q333" s="553"/>
      <c r="R333" s="553"/>
      <c r="S333" s="553"/>
      <c r="T333" s="553"/>
      <c r="U333" s="553"/>
      <c r="V333" s="553"/>
      <c r="W333" s="553"/>
      <c r="X333" s="553"/>
      <c r="Y333" s="553"/>
    </row>
    <row r="334" ht="15.75" customHeight="1">
      <c r="A334" s="123" t="s">
        <v>4001</v>
      </c>
      <c r="B334" s="558">
        <v>524.0</v>
      </c>
      <c r="C334" s="553"/>
      <c r="D334" s="553"/>
      <c r="E334" s="553"/>
      <c r="F334" s="553"/>
      <c r="G334" s="553"/>
      <c r="H334" s="553"/>
      <c r="I334" s="553"/>
      <c r="J334" s="553"/>
      <c r="K334" s="553"/>
      <c r="L334" s="553"/>
      <c r="M334" s="553"/>
      <c r="N334" s="553"/>
      <c r="O334" s="553"/>
      <c r="P334" s="553"/>
      <c r="Q334" s="553"/>
      <c r="R334" s="553"/>
      <c r="S334" s="553"/>
      <c r="T334" s="553"/>
      <c r="U334" s="553"/>
      <c r="V334" s="553"/>
      <c r="W334" s="553"/>
      <c r="X334" s="553"/>
      <c r="Y334" s="553"/>
    </row>
    <row r="335" ht="15.75" customHeight="1">
      <c r="A335" s="123" t="s">
        <v>2518</v>
      </c>
      <c r="B335" s="558">
        <v>2085.0</v>
      </c>
      <c r="C335" s="553"/>
      <c r="D335" s="553"/>
      <c r="E335" s="553"/>
      <c r="F335" s="553"/>
      <c r="G335" s="553"/>
      <c r="H335" s="553"/>
      <c r="I335" s="553"/>
      <c r="J335" s="553"/>
      <c r="K335" s="553"/>
      <c r="L335" s="553"/>
      <c r="M335" s="553"/>
      <c r="N335" s="553"/>
      <c r="O335" s="553"/>
      <c r="P335" s="553"/>
      <c r="Q335" s="553"/>
      <c r="R335" s="553"/>
      <c r="S335" s="553"/>
      <c r="T335" s="553"/>
      <c r="U335" s="553"/>
      <c r="V335" s="553"/>
      <c r="W335" s="553"/>
      <c r="X335" s="553"/>
      <c r="Y335" s="553"/>
    </row>
    <row r="336" ht="15.75" customHeight="1">
      <c r="A336" s="123" t="s">
        <v>7654</v>
      </c>
      <c r="B336" s="558">
        <v>667.0</v>
      </c>
      <c r="C336" s="553"/>
      <c r="D336" s="553"/>
      <c r="E336" s="553"/>
      <c r="F336" s="553"/>
      <c r="G336" s="553"/>
      <c r="H336" s="553"/>
      <c r="I336" s="553"/>
      <c r="J336" s="553"/>
      <c r="K336" s="553"/>
      <c r="L336" s="553"/>
      <c r="M336" s="553"/>
      <c r="N336" s="553"/>
      <c r="O336" s="553"/>
      <c r="P336" s="553"/>
      <c r="Q336" s="553"/>
      <c r="R336" s="553"/>
      <c r="S336" s="553"/>
      <c r="T336" s="553"/>
      <c r="U336" s="553"/>
      <c r="V336" s="553"/>
      <c r="W336" s="553"/>
      <c r="X336" s="553"/>
      <c r="Y336" s="553"/>
    </row>
    <row r="337" ht="15.75" customHeight="1">
      <c r="A337" s="123" t="s">
        <v>4478</v>
      </c>
      <c r="B337" s="558">
        <v>2098.0</v>
      </c>
      <c r="C337" s="553"/>
      <c r="D337" s="553"/>
      <c r="E337" s="553"/>
      <c r="F337" s="553"/>
      <c r="G337" s="553"/>
      <c r="H337" s="553"/>
      <c r="I337" s="553"/>
      <c r="J337" s="553"/>
      <c r="K337" s="553"/>
      <c r="L337" s="553"/>
      <c r="M337" s="553"/>
      <c r="N337" s="553"/>
      <c r="O337" s="553"/>
      <c r="P337" s="553"/>
      <c r="Q337" s="553"/>
      <c r="R337" s="553"/>
      <c r="S337" s="553"/>
      <c r="T337" s="553"/>
      <c r="U337" s="553"/>
      <c r="V337" s="553"/>
      <c r="W337" s="553"/>
      <c r="X337" s="553"/>
      <c r="Y337" s="553"/>
    </row>
    <row r="338" ht="15.75" customHeight="1">
      <c r="A338" s="123" t="s">
        <v>6679</v>
      </c>
      <c r="B338" s="558">
        <v>1140.0</v>
      </c>
      <c r="C338" s="553"/>
      <c r="D338" s="553"/>
      <c r="E338" s="553"/>
      <c r="F338" s="553"/>
      <c r="G338" s="553"/>
      <c r="H338" s="553"/>
      <c r="I338" s="553"/>
      <c r="J338" s="553"/>
      <c r="K338" s="553"/>
      <c r="L338" s="553"/>
      <c r="M338" s="553"/>
      <c r="N338" s="553"/>
      <c r="O338" s="553"/>
      <c r="P338" s="553"/>
      <c r="Q338" s="553"/>
      <c r="R338" s="553"/>
      <c r="S338" s="553"/>
      <c r="T338" s="553"/>
      <c r="U338" s="553"/>
      <c r="V338" s="553"/>
      <c r="W338" s="553"/>
      <c r="X338" s="553"/>
      <c r="Y338" s="553"/>
    </row>
    <row r="339" ht="15.75" customHeight="1">
      <c r="A339" s="123" t="s">
        <v>1994</v>
      </c>
      <c r="B339" s="558">
        <v>209108.0</v>
      </c>
      <c r="C339" s="553"/>
      <c r="D339" s="553"/>
      <c r="E339" s="553"/>
      <c r="F339" s="553"/>
      <c r="G339" s="553"/>
      <c r="H339" s="553"/>
      <c r="I339" s="553"/>
      <c r="J339" s="553"/>
      <c r="K339" s="553"/>
      <c r="L339" s="553"/>
      <c r="M339" s="553"/>
      <c r="N339" s="553"/>
      <c r="O339" s="553"/>
      <c r="P339" s="553"/>
      <c r="Q339" s="553"/>
      <c r="R339" s="553"/>
      <c r="S339" s="553"/>
      <c r="T339" s="553"/>
      <c r="U339" s="553"/>
      <c r="V339" s="553"/>
      <c r="W339" s="553"/>
      <c r="X339" s="553"/>
      <c r="Y339" s="553"/>
    </row>
    <row r="340" ht="15.75" customHeight="1">
      <c r="A340" s="123" t="s">
        <v>6036</v>
      </c>
      <c r="B340" s="558">
        <v>1832.0</v>
      </c>
      <c r="C340" s="553"/>
      <c r="D340" s="553"/>
      <c r="E340" s="553"/>
      <c r="F340" s="553"/>
      <c r="G340" s="553"/>
      <c r="H340" s="553"/>
      <c r="I340" s="553"/>
      <c r="J340" s="553"/>
      <c r="K340" s="553"/>
      <c r="L340" s="553"/>
      <c r="M340" s="553"/>
      <c r="N340" s="553"/>
      <c r="O340" s="553"/>
      <c r="P340" s="553"/>
      <c r="Q340" s="553"/>
      <c r="R340" s="553"/>
      <c r="S340" s="553"/>
      <c r="T340" s="553"/>
      <c r="U340" s="553"/>
      <c r="V340" s="553"/>
      <c r="W340" s="553"/>
      <c r="X340" s="553"/>
      <c r="Y340" s="553"/>
    </row>
    <row r="341" ht="15.75" customHeight="1">
      <c r="A341" s="123" t="s">
        <v>5251</v>
      </c>
      <c r="B341" s="558">
        <v>669.0</v>
      </c>
      <c r="C341" s="553"/>
      <c r="D341" s="553"/>
      <c r="E341" s="553"/>
      <c r="F341" s="553"/>
      <c r="G341" s="553"/>
      <c r="H341" s="553"/>
      <c r="I341" s="553"/>
      <c r="J341" s="553"/>
      <c r="K341" s="553"/>
      <c r="L341" s="553"/>
      <c r="M341" s="553"/>
      <c r="N341" s="553"/>
      <c r="O341" s="553"/>
      <c r="P341" s="553"/>
      <c r="Q341" s="553"/>
      <c r="R341" s="553"/>
      <c r="S341" s="553"/>
      <c r="T341" s="553"/>
      <c r="U341" s="553"/>
      <c r="V341" s="553"/>
      <c r="W341" s="553"/>
      <c r="X341" s="553"/>
      <c r="Y341" s="553"/>
    </row>
    <row r="342" ht="15.75" customHeight="1">
      <c r="A342" s="123" t="s">
        <v>9624</v>
      </c>
      <c r="B342" s="558">
        <v>1125.0</v>
      </c>
      <c r="C342" s="553"/>
      <c r="D342" s="553"/>
      <c r="E342" s="553"/>
      <c r="F342" s="553"/>
      <c r="G342" s="553"/>
      <c r="H342" s="553"/>
      <c r="I342" s="553"/>
      <c r="J342" s="553"/>
      <c r="K342" s="553"/>
      <c r="L342" s="553"/>
      <c r="M342" s="553"/>
      <c r="N342" s="553"/>
      <c r="O342" s="553"/>
      <c r="P342" s="553"/>
      <c r="Q342" s="553"/>
      <c r="R342" s="553"/>
      <c r="S342" s="553"/>
      <c r="T342" s="553"/>
      <c r="U342" s="553"/>
      <c r="V342" s="553"/>
      <c r="W342" s="553"/>
      <c r="X342" s="553"/>
      <c r="Y342" s="553"/>
    </row>
    <row r="343" ht="15.75" customHeight="1">
      <c r="A343" s="123" t="s">
        <v>2620</v>
      </c>
      <c r="B343" s="558">
        <v>219.0</v>
      </c>
      <c r="C343" s="553"/>
      <c r="D343" s="553"/>
      <c r="E343" s="553"/>
      <c r="F343" s="553"/>
      <c r="G343" s="553"/>
      <c r="H343" s="553"/>
      <c r="I343" s="553"/>
      <c r="J343" s="553"/>
      <c r="K343" s="553"/>
      <c r="L343" s="553"/>
      <c r="M343" s="553"/>
      <c r="N343" s="553"/>
      <c r="O343" s="553"/>
      <c r="P343" s="553"/>
      <c r="Q343" s="553"/>
      <c r="R343" s="553"/>
      <c r="S343" s="553"/>
      <c r="T343" s="553"/>
      <c r="U343" s="553"/>
      <c r="V343" s="553"/>
      <c r="W343" s="553"/>
      <c r="X343" s="553"/>
      <c r="Y343" s="553"/>
    </row>
    <row r="344" ht="15.75" customHeight="1">
      <c r="A344" s="123" t="s">
        <v>2784</v>
      </c>
      <c r="B344" s="558">
        <v>472.0</v>
      </c>
      <c r="C344" s="553"/>
      <c r="D344" s="553"/>
      <c r="E344" s="553"/>
      <c r="F344" s="553"/>
      <c r="G344" s="553"/>
      <c r="H344" s="553"/>
      <c r="I344" s="553"/>
      <c r="J344" s="553"/>
      <c r="K344" s="553"/>
      <c r="L344" s="553"/>
      <c r="M344" s="553"/>
      <c r="N344" s="553"/>
      <c r="O344" s="553"/>
      <c r="P344" s="553"/>
      <c r="Q344" s="553"/>
      <c r="R344" s="553"/>
      <c r="S344" s="553"/>
      <c r="T344" s="553"/>
      <c r="U344" s="553"/>
      <c r="V344" s="553"/>
      <c r="W344" s="553"/>
      <c r="X344" s="553"/>
      <c r="Y344" s="553"/>
    </row>
    <row r="345" ht="15.75" customHeight="1">
      <c r="A345" s="123" t="s">
        <v>1650</v>
      </c>
      <c r="B345" s="558">
        <v>404.0</v>
      </c>
      <c r="C345" s="553"/>
      <c r="D345" s="553"/>
      <c r="E345" s="553"/>
      <c r="F345" s="553"/>
      <c r="G345" s="553"/>
      <c r="H345" s="553"/>
      <c r="I345" s="553"/>
      <c r="J345" s="553"/>
      <c r="K345" s="553"/>
      <c r="L345" s="553"/>
      <c r="M345" s="553"/>
      <c r="N345" s="553"/>
      <c r="O345" s="553"/>
      <c r="P345" s="553"/>
      <c r="Q345" s="553"/>
      <c r="R345" s="553"/>
      <c r="S345" s="553"/>
      <c r="T345" s="553"/>
      <c r="U345" s="553"/>
      <c r="V345" s="553"/>
      <c r="W345" s="553"/>
      <c r="X345" s="553"/>
      <c r="Y345" s="553"/>
    </row>
    <row r="346" ht="15.75" customHeight="1">
      <c r="A346" s="123" t="s">
        <v>7353</v>
      </c>
      <c r="B346" s="558">
        <v>2582.0</v>
      </c>
      <c r="C346" s="553"/>
      <c r="D346" s="553"/>
      <c r="E346" s="553"/>
      <c r="F346" s="553"/>
      <c r="G346" s="553"/>
      <c r="H346" s="553"/>
      <c r="I346" s="553"/>
      <c r="J346" s="553"/>
      <c r="K346" s="553"/>
      <c r="L346" s="553"/>
      <c r="M346" s="553"/>
      <c r="N346" s="553"/>
      <c r="O346" s="553"/>
      <c r="P346" s="553"/>
      <c r="Q346" s="553"/>
      <c r="R346" s="553"/>
      <c r="S346" s="553"/>
      <c r="T346" s="553"/>
      <c r="U346" s="553"/>
      <c r="V346" s="553"/>
      <c r="W346" s="553"/>
      <c r="X346" s="553"/>
      <c r="Y346" s="553"/>
    </row>
    <row r="347" ht="15.75" customHeight="1">
      <c r="A347" s="123" t="s">
        <v>2229</v>
      </c>
      <c r="B347" s="558">
        <v>1918.0</v>
      </c>
      <c r="C347" s="553"/>
      <c r="D347" s="553"/>
      <c r="E347" s="553"/>
      <c r="F347" s="553"/>
      <c r="G347" s="553"/>
      <c r="H347" s="553"/>
      <c r="I347" s="553"/>
      <c r="J347" s="553"/>
      <c r="K347" s="553"/>
      <c r="L347" s="553"/>
      <c r="M347" s="553"/>
      <c r="N347" s="553"/>
      <c r="O347" s="553"/>
      <c r="P347" s="553"/>
      <c r="Q347" s="553"/>
      <c r="R347" s="553"/>
      <c r="S347" s="553"/>
      <c r="T347" s="553"/>
      <c r="U347" s="553"/>
      <c r="V347" s="553"/>
      <c r="W347" s="553"/>
      <c r="X347" s="553"/>
      <c r="Y347" s="553"/>
    </row>
    <row r="348" ht="15.75" customHeight="1">
      <c r="A348" s="123" t="s">
        <v>4513</v>
      </c>
      <c r="B348" s="558">
        <v>658.0</v>
      </c>
      <c r="C348" s="553"/>
      <c r="D348" s="553"/>
      <c r="E348" s="553"/>
      <c r="F348" s="553"/>
      <c r="G348" s="553"/>
      <c r="H348" s="553"/>
      <c r="I348" s="553"/>
      <c r="J348" s="553"/>
      <c r="K348" s="553"/>
      <c r="L348" s="553"/>
      <c r="M348" s="553"/>
      <c r="N348" s="553"/>
      <c r="O348" s="553"/>
      <c r="P348" s="553"/>
      <c r="Q348" s="553"/>
      <c r="R348" s="553"/>
      <c r="S348" s="553"/>
      <c r="T348" s="553"/>
      <c r="U348" s="553"/>
      <c r="V348" s="553"/>
      <c r="W348" s="553"/>
      <c r="X348" s="553"/>
      <c r="Y348" s="553"/>
    </row>
    <row r="349" ht="15.75" customHeight="1">
      <c r="A349" s="123" t="s">
        <v>1253</v>
      </c>
      <c r="B349" s="558">
        <v>2724.0</v>
      </c>
      <c r="C349" s="553"/>
      <c r="D349" s="553"/>
      <c r="E349" s="553"/>
      <c r="F349" s="553"/>
      <c r="G349" s="553"/>
      <c r="H349" s="553"/>
      <c r="I349" s="553"/>
      <c r="J349" s="553"/>
      <c r="K349" s="553"/>
      <c r="L349" s="553"/>
      <c r="M349" s="553"/>
      <c r="N349" s="553"/>
      <c r="O349" s="553"/>
      <c r="P349" s="553"/>
      <c r="Q349" s="553"/>
      <c r="R349" s="553"/>
      <c r="S349" s="553"/>
      <c r="T349" s="553"/>
      <c r="U349" s="553"/>
      <c r="V349" s="553"/>
      <c r="W349" s="553"/>
      <c r="X349" s="553"/>
      <c r="Y349" s="553"/>
    </row>
    <row r="350" ht="15.75" customHeight="1">
      <c r="A350" s="123" t="s">
        <v>6946</v>
      </c>
      <c r="B350" s="558">
        <v>1611.0</v>
      </c>
      <c r="C350" s="553"/>
      <c r="D350" s="553"/>
      <c r="E350" s="553"/>
      <c r="F350" s="553"/>
      <c r="G350" s="553"/>
      <c r="H350" s="553"/>
      <c r="I350" s="553"/>
      <c r="J350" s="553"/>
      <c r="K350" s="553"/>
      <c r="L350" s="553"/>
      <c r="M350" s="553"/>
      <c r="N350" s="553"/>
      <c r="O350" s="553"/>
      <c r="P350" s="553"/>
      <c r="Q350" s="553"/>
      <c r="R350" s="553"/>
      <c r="S350" s="553"/>
      <c r="T350" s="553"/>
      <c r="U350" s="553"/>
      <c r="V350" s="553"/>
      <c r="W350" s="553"/>
      <c r="X350" s="553"/>
      <c r="Y350" s="553"/>
    </row>
    <row r="351" ht="15.75" customHeight="1">
      <c r="A351" s="123" t="s">
        <v>6043</v>
      </c>
      <c r="B351" s="558">
        <v>551.0</v>
      </c>
      <c r="C351" s="553"/>
      <c r="D351" s="553"/>
      <c r="E351" s="553"/>
      <c r="F351" s="553"/>
      <c r="G351" s="553"/>
      <c r="H351" s="553"/>
      <c r="I351" s="553"/>
      <c r="J351" s="553"/>
      <c r="K351" s="553"/>
      <c r="L351" s="553"/>
      <c r="M351" s="553"/>
      <c r="N351" s="553"/>
      <c r="O351" s="553"/>
      <c r="P351" s="553"/>
      <c r="Q351" s="553"/>
      <c r="R351" s="553"/>
      <c r="S351" s="553"/>
      <c r="T351" s="553"/>
      <c r="U351" s="553"/>
      <c r="V351" s="553"/>
      <c r="W351" s="553"/>
      <c r="X351" s="553"/>
      <c r="Y351" s="553"/>
    </row>
    <row r="352" ht="15.75" customHeight="1">
      <c r="A352" s="123" t="s">
        <v>6690</v>
      </c>
      <c r="B352" s="558">
        <v>3012.0</v>
      </c>
      <c r="C352" s="553"/>
      <c r="D352" s="553"/>
      <c r="E352" s="553"/>
      <c r="F352" s="553"/>
      <c r="G352" s="553"/>
      <c r="H352" s="553"/>
      <c r="I352" s="553"/>
      <c r="J352" s="553"/>
      <c r="K352" s="553"/>
      <c r="L352" s="553"/>
      <c r="M352" s="553"/>
      <c r="N352" s="553"/>
      <c r="O352" s="553"/>
      <c r="P352" s="553"/>
      <c r="Q352" s="553"/>
      <c r="R352" s="553"/>
      <c r="S352" s="553"/>
      <c r="T352" s="553"/>
      <c r="U352" s="553"/>
      <c r="V352" s="553"/>
      <c r="W352" s="553"/>
      <c r="X352" s="553"/>
      <c r="Y352" s="553"/>
    </row>
    <row r="353" ht="15.75" customHeight="1">
      <c r="A353" s="123" t="s">
        <v>6727</v>
      </c>
      <c r="B353" s="558">
        <v>6461.0</v>
      </c>
      <c r="C353" s="553"/>
      <c r="D353" s="553"/>
      <c r="E353" s="553"/>
      <c r="F353" s="553"/>
      <c r="G353" s="553"/>
      <c r="H353" s="553"/>
      <c r="I353" s="553"/>
      <c r="J353" s="553"/>
      <c r="K353" s="553"/>
      <c r="L353" s="553"/>
      <c r="M353" s="553"/>
      <c r="N353" s="553"/>
      <c r="O353" s="553"/>
      <c r="P353" s="553"/>
      <c r="Q353" s="553"/>
      <c r="R353" s="553"/>
      <c r="S353" s="553"/>
      <c r="T353" s="553"/>
      <c r="U353" s="553"/>
      <c r="V353" s="553"/>
      <c r="W353" s="553"/>
      <c r="X353" s="553"/>
      <c r="Y353" s="553"/>
    </row>
    <row r="354" ht="15.75" customHeight="1">
      <c r="A354" s="123" t="s">
        <v>6047</v>
      </c>
      <c r="B354" s="558">
        <v>3172.0</v>
      </c>
      <c r="C354" s="553"/>
      <c r="D354" s="553"/>
      <c r="E354" s="553"/>
      <c r="F354" s="553"/>
      <c r="G354" s="553"/>
      <c r="H354" s="553"/>
      <c r="I354" s="553"/>
      <c r="J354" s="553"/>
      <c r="K354" s="553"/>
      <c r="L354" s="553"/>
      <c r="M354" s="553"/>
      <c r="N354" s="553"/>
      <c r="O354" s="553"/>
      <c r="P354" s="553"/>
      <c r="Q354" s="553"/>
      <c r="R354" s="553"/>
      <c r="S354" s="553"/>
      <c r="T354" s="553"/>
      <c r="U354" s="553"/>
      <c r="V354" s="553"/>
      <c r="W354" s="553"/>
      <c r="X354" s="553"/>
      <c r="Y354" s="553"/>
    </row>
    <row r="355" ht="15.75" customHeight="1">
      <c r="A355" s="123" t="s">
        <v>2405</v>
      </c>
      <c r="B355" s="558">
        <v>1259.0</v>
      </c>
      <c r="C355" s="553"/>
      <c r="D355" s="553"/>
      <c r="E355" s="553"/>
      <c r="F355" s="553"/>
      <c r="G355" s="553"/>
      <c r="H355" s="553"/>
      <c r="I355" s="553"/>
      <c r="J355" s="553"/>
      <c r="K355" s="553"/>
      <c r="L355" s="553"/>
      <c r="M355" s="553"/>
      <c r="N355" s="553"/>
      <c r="O355" s="553"/>
      <c r="P355" s="553"/>
      <c r="Q355" s="553"/>
      <c r="R355" s="553"/>
      <c r="S355" s="553"/>
      <c r="T355" s="553"/>
      <c r="U355" s="553"/>
      <c r="V355" s="553"/>
      <c r="W355" s="553"/>
      <c r="X355" s="553"/>
      <c r="Y355" s="553"/>
    </row>
    <row r="356" ht="15.75" customHeight="1">
      <c r="A356" s="123" t="s">
        <v>1266</v>
      </c>
      <c r="B356" s="558">
        <v>777.0</v>
      </c>
      <c r="C356" s="553"/>
      <c r="D356" s="553"/>
      <c r="E356" s="553"/>
      <c r="F356" s="553"/>
      <c r="G356" s="553"/>
      <c r="H356" s="553"/>
      <c r="I356" s="553"/>
      <c r="J356" s="553"/>
      <c r="K356" s="553"/>
      <c r="L356" s="553"/>
      <c r="M356" s="553"/>
      <c r="N356" s="553"/>
      <c r="O356" s="553"/>
      <c r="P356" s="553"/>
      <c r="Q356" s="553"/>
      <c r="R356" s="553"/>
      <c r="S356" s="553"/>
      <c r="T356" s="553"/>
      <c r="U356" s="553"/>
      <c r="V356" s="553"/>
      <c r="W356" s="553"/>
      <c r="X356" s="553"/>
      <c r="Y356" s="553"/>
    </row>
    <row r="357" ht="15.75" customHeight="1">
      <c r="A357" s="123" t="s">
        <v>6754</v>
      </c>
      <c r="B357" s="558">
        <v>1265.0</v>
      </c>
      <c r="C357" s="553"/>
      <c r="D357" s="553"/>
      <c r="E357" s="553"/>
      <c r="F357" s="553"/>
      <c r="G357" s="553"/>
      <c r="H357" s="553"/>
      <c r="I357" s="553"/>
      <c r="J357" s="553"/>
      <c r="K357" s="553"/>
      <c r="L357" s="553"/>
      <c r="M357" s="553"/>
      <c r="N357" s="553"/>
      <c r="O357" s="553"/>
      <c r="P357" s="553"/>
      <c r="Q357" s="553"/>
      <c r="R357" s="553"/>
      <c r="S357" s="553"/>
      <c r="T357" s="553"/>
      <c r="U357" s="553"/>
      <c r="V357" s="553"/>
      <c r="W357" s="553"/>
      <c r="X357" s="553"/>
      <c r="Y357" s="553"/>
    </row>
    <row r="358" ht="15.75" customHeight="1">
      <c r="A358" s="123" t="s">
        <v>6758</v>
      </c>
      <c r="B358" s="558">
        <v>544.0</v>
      </c>
      <c r="C358" s="553"/>
      <c r="D358" s="553"/>
      <c r="E358" s="553"/>
      <c r="F358" s="553"/>
      <c r="G358" s="553"/>
      <c r="H358" s="553"/>
      <c r="I358" s="553"/>
      <c r="J358" s="553"/>
      <c r="K358" s="553"/>
      <c r="L358" s="553"/>
      <c r="M358" s="553"/>
      <c r="N358" s="553"/>
      <c r="O358" s="553"/>
      <c r="P358" s="553"/>
      <c r="Q358" s="553"/>
      <c r="R358" s="553"/>
      <c r="S358" s="553"/>
      <c r="T358" s="553"/>
      <c r="U358" s="553"/>
      <c r="V358" s="553"/>
      <c r="W358" s="553"/>
      <c r="X358" s="553"/>
      <c r="Y358" s="553"/>
    </row>
    <row r="359" ht="15.75" customHeight="1">
      <c r="A359" s="123" t="s">
        <v>7414</v>
      </c>
      <c r="B359" s="558">
        <v>877.0</v>
      </c>
      <c r="C359" s="553"/>
      <c r="D359" s="553"/>
      <c r="E359" s="553"/>
      <c r="F359" s="553"/>
      <c r="G359" s="553"/>
      <c r="H359" s="553"/>
      <c r="I359" s="553"/>
      <c r="J359" s="553"/>
      <c r="K359" s="553"/>
      <c r="L359" s="553"/>
      <c r="M359" s="553"/>
      <c r="N359" s="553"/>
      <c r="O359" s="553"/>
      <c r="P359" s="553"/>
      <c r="Q359" s="553"/>
      <c r="R359" s="553"/>
      <c r="S359" s="553"/>
      <c r="T359" s="553"/>
      <c r="U359" s="553"/>
      <c r="V359" s="553"/>
      <c r="W359" s="553"/>
      <c r="X359" s="553"/>
      <c r="Y359" s="553"/>
    </row>
    <row r="360" ht="15.75" customHeight="1">
      <c r="A360" s="123" t="s">
        <v>9135</v>
      </c>
      <c r="B360" s="558">
        <v>2198.0</v>
      </c>
      <c r="C360" s="553"/>
      <c r="D360" s="553"/>
      <c r="E360" s="553"/>
      <c r="F360" s="553"/>
      <c r="G360" s="553"/>
      <c r="H360" s="553"/>
      <c r="I360" s="553"/>
      <c r="J360" s="553"/>
      <c r="K360" s="553"/>
      <c r="L360" s="553"/>
      <c r="M360" s="553"/>
      <c r="N360" s="553"/>
      <c r="O360" s="553"/>
      <c r="P360" s="553"/>
      <c r="Q360" s="553"/>
      <c r="R360" s="553"/>
      <c r="S360" s="553"/>
      <c r="T360" s="553"/>
      <c r="U360" s="553"/>
      <c r="V360" s="553"/>
      <c r="W360" s="553"/>
      <c r="X360" s="553"/>
      <c r="Y360" s="553"/>
    </row>
    <row r="361" ht="15.75" customHeight="1">
      <c r="A361" s="123" t="s">
        <v>375</v>
      </c>
      <c r="B361" s="558">
        <v>930.0</v>
      </c>
      <c r="C361" s="553"/>
      <c r="D361" s="553"/>
      <c r="E361" s="553"/>
      <c r="F361" s="553"/>
      <c r="G361" s="553"/>
      <c r="H361" s="553"/>
      <c r="I361" s="553"/>
      <c r="J361" s="553"/>
      <c r="K361" s="553"/>
      <c r="L361" s="553"/>
      <c r="M361" s="553"/>
      <c r="N361" s="553"/>
      <c r="O361" s="553"/>
      <c r="P361" s="553"/>
      <c r="Q361" s="553"/>
      <c r="R361" s="553"/>
      <c r="S361" s="553"/>
      <c r="T361" s="553"/>
      <c r="U361" s="553"/>
      <c r="V361" s="553"/>
      <c r="W361" s="553"/>
      <c r="X361" s="553"/>
      <c r="Y361" s="553"/>
    </row>
    <row r="362" ht="15.75" customHeight="1">
      <c r="A362" s="123" t="s">
        <v>6059</v>
      </c>
      <c r="B362" s="558">
        <v>1539.0</v>
      </c>
      <c r="C362" s="553"/>
      <c r="D362" s="553"/>
      <c r="E362" s="553"/>
      <c r="F362" s="553"/>
      <c r="G362" s="553"/>
      <c r="H362" s="553"/>
      <c r="I362" s="553"/>
      <c r="J362" s="553"/>
      <c r="K362" s="553"/>
      <c r="L362" s="553"/>
      <c r="M362" s="553"/>
      <c r="N362" s="553"/>
      <c r="O362" s="553"/>
      <c r="P362" s="553"/>
      <c r="Q362" s="553"/>
      <c r="R362" s="553"/>
      <c r="S362" s="553"/>
      <c r="T362" s="553"/>
      <c r="U362" s="553"/>
      <c r="V362" s="553"/>
      <c r="W362" s="553"/>
      <c r="X362" s="553"/>
      <c r="Y362" s="553"/>
    </row>
    <row r="363" ht="15.75" customHeight="1">
      <c r="A363" s="123" t="s">
        <v>1654</v>
      </c>
      <c r="B363" s="558">
        <v>294.0</v>
      </c>
      <c r="C363" s="553"/>
      <c r="D363" s="553"/>
      <c r="E363" s="553"/>
      <c r="F363" s="553"/>
      <c r="G363" s="553"/>
      <c r="H363" s="553"/>
      <c r="I363" s="553"/>
      <c r="J363" s="553"/>
      <c r="K363" s="553"/>
      <c r="L363" s="553"/>
      <c r="M363" s="553"/>
      <c r="N363" s="553"/>
      <c r="O363" s="553"/>
      <c r="P363" s="553"/>
      <c r="Q363" s="553"/>
      <c r="R363" s="553"/>
      <c r="S363" s="553"/>
      <c r="T363" s="553"/>
      <c r="U363" s="553"/>
      <c r="V363" s="553"/>
      <c r="W363" s="553"/>
      <c r="X363" s="553"/>
      <c r="Y363" s="553"/>
    </row>
    <row r="364" ht="15.75" customHeight="1">
      <c r="A364" s="123" t="s">
        <v>2239</v>
      </c>
      <c r="B364" s="558">
        <v>524.0</v>
      </c>
      <c r="C364" s="553"/>
      <c r="D364" s="553"/>
      <c r="E364" s="553"/>
      <c r="F364" s="553"/>
      <c r="G364" s="553"/>
      <c r="H364" s="553"/>
      <c r="I364" s="553"/>
      <c r="J364" s="553"/>
      <c r="K364" s="553"/>
      <c r="L364" s="553"/>
      <c r="M364" s="553"/>
      <c r="N364" s="553"/>
      <c r="O364" s="553"/>
      <c r="P364" s="553"/>
      <c r="Q364" s="553"/>
      <c r="R364" s="553"/>
      <c r="S364" s="553"/>
      <c r="T364" s="553"/>
      <c r="U364" s="553"/>
      <c r="V364" s="553"/>
      <c r="W364" s="553"/>
      <c r="X364" s="553"/>
      <c r="Y364" s="553"/>
    </row>
    <row r="365" ht="15.75" customHeight="1">
      <c r="A365" s="123" t="s">
        <v>2789</v>
      </c>
      <c r="B365" s="558">
        <v>532.0</v>
      </c>
      <c r="C365" s="553"/>
      <c r="D365" s="553"/>
      <c r="E365" s="553"/>
      <c r="F365" s="553"/>
      <c r="G365" s="553"/>
      <c r="H365" s="553"/>
      <c r="I365" s="553"/>
      <c r="J365" s="553"/>
      <c r="K365" s="553"/>
      <c r="L365" s="553"/>
      <c r="M365" s="553"/>
      <c r="N365" s="553"/>
      <c r="O365" s="553"/>
      <c r="P365" s="553"/>
      <c r="Q365" s="553"/>
      <c r="R365" s="553"/>
      <c r="S365" s="553"/>
      <c r="T365" s="553"/>
      <c r="U365" s="553"/>
      <c r="V365" s="553"/>
      <c r="W365" s="553"/>
      <c r="X365" s="553"/>
      <c r="Y365" s="553"/>
    </row>
    <row r="366" ht="15.75" customHeight="1">
      <c r="A366" s="123" t="s">
        <v>9148</v>
      </c>
      <c r="B366" s="558">
        <v>1796.0</v>
      </c>
      <c r="C366" s="553"/>
      <c r="D366" s="553"/>
      <c r="E366" s="553"/>
      <c r="F366" s="553"/>
      <c r="G366" s="553"/>
      <c r="H366" s="553"/>
      <c r="I366" s="553"/>
      <c r="J366" s="553"/>
      <c r="K366" s="553"/>
      <c r="L366" s="553"/>
      <c r="M366" s="553"/>
      <c r="N366" s="553"/>
      <c r="O366" s="553"/>
      <c r="P366" s="553"/>
      <c r="Q366" s="553"/>
      <c r="R366" s="553"/>
      <c r="S366" s="553"/>
      <c r="T366" s="553"/>
      <c r="U366" s="553"/>
      <c r="V366" s="553"/>
      <c r="W366" s="553"/>
      <c r="X366" s="553"/>
      <c r="Y366" s="553"/>
    </row>
    <row r="367" ht="15.75" customHeight="1">
      <c r="A367" s="123" t="s">
        <v>6770</v>
      </c>
      <c r="B367" s="558">
        <v>1503.0</v>
      </c>
      <c r="C367" s="553"/>
      <c r="D367" s="553"/>
      <c r="E367" s="553"/>
      <c r="F367" s="553"/>
      <c r="G367" s="553"/>
      <c r="H367" s="553"/>
      <c r="I367" s="553"/>
      <c r="J367" s="553"/>
      <c r="K367" s="553"/>
      <c r="L367" s="553"/>
      <c r="M367" s="553"/>
      <c r="N367" s="553"/>
      <c r="O367" s="553"/>
      <c r="P367" s="553"/>
      <c r="Q367" s="553"/>
      <c r="R367" s="553"/>
      <c r="S367" s="553"/>
      <c r="T367" s="553"/>
      <c r="U367" s="553"/>
      <c r="V367" s="553"/>
      <c r="W367" s="553"/>
      <c r="X367" s="553"/>
      <c r="Y367" s="553"/>
    </row>
    <row r="368" ht="15.75" customHeight="1">
      <c r="A368" s="123" t="s">
        <v>2524</v>
      </c>
      <c r="B368" s="558">
        <v>757.0</v>
      </c>
      <c r="C368" s="553"/>
      <c r="D368" s="553"/>
      <c r="E368" s="553"/>
      <c r="F368" s="553"/>
      <c r="G368" s="553"/>
      <c r="H368" s="553"/>
      <c r="I368" s="553"/>
      <c r="J368" s="553"/>
      <c r="K368" s="553"/>
      <c r="L368" s="553"/>
      <c r="M368" s="553"/>
      <c r="N368" s="553"/>
      <c r="O368" s="553"/>
      <c r="P368" s="553"/>
      <c r="Q368" s="553"/>
      <c r="R368" s="553"/>
      <c r="S368" s="553"/>
      <c r="T368" s="553"/>
      <c r="U368" s="553"/>
      <c r="V368" s="553"/>
      <c r="W368" s="553"/>
      <c r="X368" s="553"/>
      <c r="Y368" s="553"/>
    </row>
    <row r="369" ht="15.75" customHeight="1">
      <c r="A369" s="123" t="s">
        <v>6789</v>
      </c>
      <c r="B369" s="558">
        <v>719.0</v>
      </c>
      <c r="C369" s="553"/>
      <c r="D369" s="553"/>
      <c r="E369" s="553"/>
      <c r="F369" s="553"/>
      <c r="G369" s="553"/>
      <c r="H369" s="553"/>
      <c r="I369" s="553"/>
      <c r="J369" s="553"/>
      <c r="K369" s="553"/>
      <c r="L369" s="553"/>
      <c r="M369" s="553"/>
      <c r="N369" s="553"/>
      <c r="O369" s="553"/>
      <c r="P369" s="553"/>
      <c r="Q369" s="553"/>
      <c r="R369" s="553"/>
      <c r="S369" s="553"/>
      <c r="T369" s="553"/>
      <c r="U369" s="553"/>
      <c r="V369" s="553"/>
      <c r="W369" s="553"/>
      <c r="X369" s="553"/>
      <c r="Y369" s="553"/>
    </row>
    <row r="370" ht="15.75" customHeight="1">
      <c r="A370" s="123" t="s">
        <v>4960</v>
      </c>
      <c r="B370" s="558">
        <v>611.0</v>
      </c>
      <c r="C370" s="553"/>
      <c r="D370" s="553"/>
      <c r="E370" s="553"/>
      <c r="F370" s="553"/>
      <c r="G370" s="553"/>
      <c r="H370" s="553"/>
      <c r="I370" s="553"/>
      <c r="J370" s="553"/>
      <c r="K370" s="553"/>
      <c r="L370" s="553"/>
      <c r="M370" s="553"/>
      <c r="N370" s="553"/>
      <c r="O370" s="553"/>
      <c r="P370" s="553"/>
      <c r="Q370" s="553"/>
      <c r="R370" s="553"/>
      <c r="S370" s="553"/>
      <c r="T370" s="553"/>
      <c r="U370" s="553"/>
      <c r="V370" s="553"/>
      <c r="W370" s="553"/>
      <c r="X370" s="553"/>
      <c r="Y370" s="553"/>
    </row>
    <row r="371" ht="15.75" customHeight="1">
      <c r="A371" s="123" t="s">
        <v>1009</v>
      </c>
      <c r="B371" s="558">
        <v>2792.0</v>
      </c>
      <c r="C371" s="553"/>
      <c r="D371" s="553"/>
      <c r="E371" s="553"/>
      <c r="F371" s="553"/>
      <c r="G371" s="553"/>
      <c r="H371" s="553"/>
      <c r="I371" s="553"/>
      <c r="J371" s="553"/>
      <c r="K371" s="553"/>
      <c r="L371" s="553"/>
      <c r="M371" s="553"/>
      <c r="N371" s="553"/>
      <c r="O371" s="553"/>
      <c r="P371" s="553"/>
      <c r="Q371" s="553"/>
      <c r="R371" s="553"/>
      <c r="S371" s="553"/>
      <c r="T371" s="553"/>
      <c r="U371" s="553"/>
      <c r="V371" s="553"/>
      <c r="W371" s="553"/>
      <c r="X371" s="553"/>
      <c r="Y371" s="553"/>
    </row>
    <row r="372" ht="15.75" customHeight="1">
      <c r="A372" s="123" t="s">
        <v>4267</v>
      </c>
      <c r="B372" s="558">
        <v>392.0</v>
      </c>
      <c r="C372" s="553"/>
      <c r="D372" s="553"/>
      <c r="E372" s="553"/>
      <c r="F372" s="553"/>
      <c r="G372" s="553"/>
      <c r="H372" s="553"/>
      <c r="I372" s="553"/>
      <c r="J372" s="553"/>
      <c r="K372" s="553"/>
      <c r="L372" s="553"/>
      <c r="M372" s="553"/>
      <c r="N372" s="553"/>
      <c r="O372" s="553"/>
      <c r="P372" s="553"/>
      <c r="Q372" s="553"/>
      <c r="R372" s="553"/>
      <c r="S372" s="553"/>
      <c r="T372" s="553"/>
      <c r="U372" s="553"/>
      <c r="V372" s="553"/>
      <c r="W372" s="553"/>
      <c r="X372" s="553"/>
      <c r="Y372" s="553"/>
    </row>
    <row r="373" ht="15.75" customHeight="1">
      <c r="A373" s="123" t="s">
        <v>7792</v>
      </c>
      <c r="B373" s="558">
        <v>4731.0</v>
      </c>
      <c r="C373" s="553"/>
      <c r="D373" s="553"/>
      <c r="E373" s="553"/>
      <c r="F373" s="553"/>
      <c r="G373" s="553"/>
      <c r="H373" s="553"/>
      <c r="I373" s="553"/>
      <c r="J373" s="553"/>
      <c r="K373" s="553"/>
      <c r="L373" s="553"/>
      <c r="M373" s="553"/>
      <c r="N373" s="553"/>
      <c r="O373" s="553"/>
      <c r="P373" s="553"/>
      <c r="Q373" s="553"/>
      <c r="R373" s="553"/>
      <c r="S373" s="553"/>
      <c r="T373" s="553"/>
      <c r="U373" s="553"/>
      <c r="V373" s="553"/>
      <c r="W373" s="553"/>
      <c r="X373" s="553"/>
      <c r="Y373" s="553"/>
    </row>
    <row r="374" ht="15.75" customHeight="1">
      <c r="A374" s="123" t="s">
        <v>2234</v>
      </c>
      <c r="B374" s="558">
        <v>2027.0</v>
      </c>
      <c r="C374" s="553"/>
      <c r="D374" s="553"/>
      <c r="E374" s="553"/>
      <c r="F374" s="553"/>
      <c r="G374" s="553"/>
      <c r="H374" s="553"/>
      <c r="I374" s="553"/>
      <c r="J374" s="553"/>
      <c r="K374" s="553"/>
      <c r="L374" s="553"/>
      <c r="M374" s="553"/>
      <c r="N374" s="553"/>
      <c r="O374" s="553"/>
      <c r="P374" s="553"/>
      <c r="Q374" s="553"/>
      <c r="R374" s="553"/>
      <c r="S374" s="553"/>
      <c r="T374" s="553"/>
      <c r="U374" s="553"/>
      <c r="V374" s="553"/>
      <c r="W374" s="553"/>
      <c r="X374" s="553"/>
      <c r="Y374" s="553"/>
    </row>
    <row r="375" ht="15.75" customHeight="1">
      <c r="A375" s="123" t="s">
        <v>732</v>
      </c>
      <c r="B375" s="558">
        <v>1715.0</v>
      </c>
      <c r="C375" s="553"/>
      <c r="D375" s="553"/>
      <c r="E375" s="553"/>
      <c r="F375" s="553"/>
      <c r="G375" s="553"/>
      <c r="H375" s="553"/>
      <c r="I375" s="553"/>
      <c r="J375" s="553"/>
      <c r="K375" s="553"/>
      <c r="L375" s="553"/>
      <c r="M375" s="553"/>
      <c r="N375" s="553"/>
      <c r="O375" s="553"/>
      <c r="P375" s="553"/>
      <c r="Q375" s="553"/>
      <c r="R375" s="553"/>
      <c r="S375" s="553"/>
      <c r="T375" s="553"/>
      <c r="U375" s="553"/>
      <c r="V375" s="553"/>
      <c r="W375" s="553"/>
      <c r="X375" s="553"/>
      <c r="Y375" s="553"/>
    </row>
    <row r="376" ht="15.75" customHeight="1">
      <c r="A376" s="123" t="s">
        <v>7440</v>
      </c>
      <c r="B376" s="558">
        <v>815.0</v>
      </c>
      <c r="C376" s="553"/>
      <c r="D376" s="553"/>
      <c r="E376" s="553"/>
      <c r="F376" s="553"/>
      <c r="G376" s="553"/>
      <c r="H376" s="553"/>
      <c r="I376" s="553"/>
      <c r="J376" s="553"/>
      <c r="K376" s="553"/>
      <c r="L376" s="553"/>
      <c r="M376" s="553"/>
      <c r="N376" s="553"/>
      <c r="O376" s="553"/>
      <c r="P376" s="553"/>
      <c r="Q376" s="553"/>
      <c r="R376" s="553"/>
      <c r="S376" s="553"/>
      <c r="T376" s="553"/>
      <c r="U376" s="553"/>
      <c r="V376" s="553"/>
      <c r="W376" s="553"/>
      <c r="X376" s="553"/>
      <c r="Y376" s="553"/>
    </row>
    <row r="377" ht="15.75" customHeight="1">
      <c r="A377" s="123" t="s">
        <v>4725</v>
      </c>
      <c r="B377" s="558">
        <v>1030.0</v>
      </c>
      <c r="C377" s="553"/>
      <c r="D377" s="553"/>
      <c r="E377" s="553"/>
      <c r="F377" s="553"/>
      <c r="G377" s="553"/>
      <c r="H377" s="553"/>
      <c r="I377" s="553"/>
      <c r="J377" s="553"/>
      <c r="K377" s="553"/>
      <c r="L377" s="553"/>
      <c r="M377" s="553"/>
      <c r="N377" s="553"/>
      <c r="O377" s="553"/>
      <c r="P377" s="553"/>
      <c r="Q377" s="553"/>
      <c r="R377" s="553"/>
      <c r="S377" s="553"/>
      <c r="T377" s="553"/>
      <c r="U377" s="553"/>
      <c r="V377" s="553"/>
      <c r="W377" s="553"/>
      <c r="X377" s="553"/>
      <c r="Y377" s="553"/>
    </row>
    <row r="378" ht="15.75" customHeight="1">
      <c r="A378" s="123" t="s">
        <v>1270</v>
      </c>
      <c r="B378" s="558">
        <v>5133.0</v>
      </c>
      <c r="C378" s="553"/>
      <c r="D378" s="553"/>
      <c r="E378" s="553"/>
      <c r="F378" s="553"/>
      <c r="G378" s="553"/>
      <c r="H378" s="553"/>
      <c r="I378" s="553"/>
      <c r="J378" s="553"/>
      <c r="K378" s="553"/>
      <c r="L378" s="553"/>
      <c r="M378" s="553"/>
      <c r="N378" s="553"/>
      <c r="O378" s="553"/>
      <c r="P378" s="553"/>
      <c r="Q378" s="553"/>
      <c r="R378" s="553"/>
      <c r="S378" s="553"/>
      <c r="T378" s="553"/>
      <c r="U378" s="553"/>
      <c r="V378" s="553"/>
      <c r="W378" s="553"/>
      <c r="X378" s="553"/>
      <c r="Y378" s="553"/>
    </row>
    <row r="379" ht="15.75" customHeight="1">
      <c r="A379" s="123" t="s">
        <v>4973</v>
      </c>
      <c r="B379" s="558">
        <v>738.0</v>
      </c>
      <c r="C379" s="553"/>
      <c r="D379" s="553"/>
      <c r="E379" s="553"/>
      <c r="F379" s="553"/>
      <c r="G379" s="553"/>
      <c r="H379" s="553"/>
      <c r="I379" s="553"/>
      <c r="J379" s="553"/>
      <c r="K379" s="553"/>
      <c r="L379" s="553"/>
      <c r="M379" s="553"/>
      <c r="N379" s="553"/>
      <c r="O379" s="553"/>
      <c r="P379" s="553"/>
      <c r="Q379" s="553"/>
      <c r="R379" s="553"/>
      <c r="S379" s="553"/>
      <c r="T379" s="553"/>
      <c r="U379" s="553"/>
      <c r="V379" s="553"/>
      <c r="W379" s="553"/>
      <c r="X379" s="553"/>
      <c r="Y379" s="553"/>
    </row>
    <row r="380" ht="15.75" customHeight="1">
      <c r="A380" s="123" t="s">
        <v>2361</v>
      </c>
      <c r="B380" s="558">
        <v>10091.0</v>
      </c>
      <c r="C380" s="553"/>
      <c r="D380" s="553"/>
      <c r="E380" s="553"/>
      <c r="F380" s="553"/>
      <c r="G380" s="553"/>
      <c r="H380" s="553"/>
      <c r="I380" s="553"/>
      <c r="J380" s="553"/>
      <c r="K380" s="553"/>
      <c r="L380" s="553"/>
      <c r="M380" s="553"/>
      <c r="N380" s="553"/>
      <c r="O380" s="553"/>
      <c r="P380" s="553"/>
      <c r="Q380" s="553"/>
      <c r="R380" s="553"/>
      <c r="S380" s="553"/>
      <c r="T380" s="553"/>
      <c r="U380" s="553"/>
      <c r="V380" s="553"/>
      <c r="W380" s="553"/>
      <c r="X380" s="553"/>
      <c r="Y380" s="553"/>
    </row>
    <row r="381" ht="15.75" customHeight="1">
      <c r="A381" s="123" t="s">
        <v>764</v>
      </c>
      <c r="B381" s="558">
        <v>776.0</v>
      </c>
      <c r="C381" s="553"/>
      <c r="D381" s="553"/>
      <c r="E381" s="553"/>
      <c r="F381" s="553"/>
      <c r="G381" s="553"/>
      <c r="H381" s="553"/>
      <c r="I381" s="553"/>
      <c r="J381" s="553"/>
      <c r="K381" s="553"/>
      <c r="L381" s="553"/>
      <c r="M381" s="553"/>
      <c r="N381" s="553"/>
      <c r="O381" s="553"/>
      <c r="P381" s="553"/>
      <c r="Q381" s="553"/>
      <c r="R381" s="553"/>
      <c r="S381" s="553"/>
      <c r="T381" s="553"/>
      <c r="U381" s="553"/>
      <c r="V381" s="553"/>
      <c r="W381" s="553"/>
      <c r="X381" s="553"/>
      <c r="Y381" s="553"/>
    </row>
    <row r="382" ht="15.75" customHeight="1">
      <c r="A382" s="123" t="s">
        <v>5263</v>
      </c>
      <c r="B382" s="558">
        <v>376.0</v>
      </c>
      <c r="C382" s="553"/>
      <c r="D382" s="553"/>
      <c r="E382" s="553"/>
      <c r="F382" s="553"/>
      <c r="G382" s="553"/>
      <c r="H382" s="553"/>
      <c r="I382" s="553"/>
      <c r="J382" s="553"/>
      <c r="K382" s="553"/>
      <c r="L382" s="553"/>
      <c r="M382" s="553"/>
      <c r="N382" s="553"/>
      <c r="O382" s="553"/>
      <c r="P382" s="553"/>
      <c r="Q382" s="553"/>
      <c r="R382" s="553"/>
      <c r="S382" s="553"/>
      <c r="T382" s="553"/>
      <c r="U382" s="553"/>
      <c r="V382" s="553"/>
      <c r="W382" s="553"/>
      <c r="X382" s="553"/>
      <c r="Y382" s="553"/>
    </row>
    <row r="383" ht="15.75" customHeight="1">
      <c r="A383" s="123" t="s">
        <v>3366</v>
      </c>
      <c r="B383" s="558">
        <v>2008.0</v>
      </c>
      <c r="C383" s="553"/>
      <c r="D383" s="553"/>
      <c r="E383" s="553"/>
      <c r="F383" s="553"/>
      <c r="G383" s="553"/>
      <c r="H383" s="553"/>
      <c r="I383" s="553"/>
      <c r="J383" s="553"/>
      <c r="K383" s="553"/>
      <c r="L383" s="553"/>
      <c r="M383" s="553"/>
      <c r="N383" s="553"/>
      <c r="O383" s="553"/>
      <c r="P383" s="553"/>
      <c r="Q383" s="553"/>
      <c r="R383" s="553"/>
      <c r="S383" s="553"/>
      <c r="T383" s="553"/>
      <c r="U383" s="553"/>
      <c r="V383" s="553"/>
      <c r="W383" s="553"/>
      <c r="X383" s="553"/>
      <c r="Y383" s="553"/>
    </row>
    <row r="384" ht="15.75" customHeight="1">
      <c r="A384" s="123" t="s">
        <v>1043</v>
      </c>
      <c r="B384" s="558">
        <v>1138.0</v>
      </c>
      <c r="C384" s="553"/>
      <c r="D384" s="553"/>
      <c r="E384" s="553"/>
      <c r="F384" s="553"/>
      <c r="G384" s="553"/>
      <c r="H384" s="553"/>
      <c r="I384" s="553"/>
      <c r="J384" s="553"/>
      <c r="K384" s="553"/>
      <c r="L384" s="553"/>
      <c r="M384" s="553"/>
      <c r="N384" s="553"/>
      <c r="O384" s="553"/>
      <c r="P384" s="553"/>
      <c r="Q384" s="553"/>
      <c r="R384" s="553"/>
      <c r="S384" s="553"/>
      <c r="T384" s="553"/>
      <c r="U384" s="553"/>
      <c r="V384" s="553"/>
      <c r="W384" s="553"/>
      <c r="X384" s="553"/>
      <c r="Y384" s="553"/>
    </row>
    <row r="385" ht="15.75" customHeight="1">
      <c r="A385" s="123" t="s">
        <v>2437</v>
      </c>
      <c r="B385" s="558">
        <v>691.0</v>
      </c>
      <c r="C385" s="553"/>
      <c r="D385" s="553"/>
      <c r="E385" s="553"/>
      <c r="F385" s="553"/>
      <c r="G385" s="553"/>
      <c r="H385" s="553"/>
      <c r="I385" s="553"/>
      <c r="J385" s="553"/>
      <c r="K385" s="553"/>
      <c r="L385" s="553"/>
      <c r="M385" s="553"/>
      <c r="N385" s="553"/>
      <c r="O385" s="553"/>
      <c r="P385" s="553"/>
      <c r="Q385" s="553"/>
      <c r="R385" s="553"/>
      <c r="S385" s="553"/>
      <c r="T385" s="553"/>
      <c r="U385" s="553"/>
      <c r="V385" s="553"/>
      <c r="W385" s="553"/>
      <c r="X385" s="553"/>
      <c r="Y385" s="553"/>
    </row>
    <row r="386" ht="15.75" customHeight="1">
      <c r="A386" s="123" t="s">
        <v>4278</v>
      </c>
      <c r="B386" s="558">
        <v>1059.0</v>
      </c>
      <c r="C386" s="553"/>
      <c r="D386" s="553"/>
      <c r="E386" s="553"/>
      <c r="F386" s="553"/>
      <c r="G386" s="553"/>
      <c r="H386" s="553"/>
      <c r="I386" s="553"/>
      <c r="J386" s="553"/>
      <c r="K386" s="553"/>
      <c r="L386" s="553"/>
      <c r="M386" s="553"/>
      <c r="N386" s="553"/>
      <c r="O386" s="553"/>
      <c r="P386" s="553"/>
      <c r="Q386" s="553"/>
      <c r="R386" s="553"/>
      <c r="S386" s="553"/>
      <c r="T386" s="553"/>
      <c r="U386" s="553"/>
      <c r="V386" s="553"/>
      <c r="W386" s="553"/>
      <c r="X386" s="553"/>
      <c r="Y386" s="553"/>
    </row>
    <row r="387" ht="15.75" customHeight="1">
      <c r="A387" s="123" t="s">
        <v>4296</v>
      </c>
      <c r="B387" s="558">
        <v>1021.0</v>
      </c>
      <c r="C387" s="553"/>
      <c r="D387" s="553"/>
      <c r="E387" s="553"/>
      <c r="F387" s="553"/>
      <c r="G387" s="553"/>
      <c r="H387" s="553"/>
      <c r="I387" s="553"/>
      <c r="J387" s="553"/>
      <c r="K387" s="553"/>
      <c r="L387" s="553"/>
      <c r="M387" s="553"/>
      <c r="N387" s="553"/>
      <c r="O387" s="553"/>
      <c r="P387" s="553"/>
      <c r="Q387" s="553"/>
      <c r="R387" s="553"/>
      <c r="S387" s="553"/>
      <c r="T387" s="553"/>
      <c r="U387" s="553"/>
      <c r="V387" s="553"/>
      <c r="W387" s="553"/>
      <c r="X387" s="553"/>
      <c r="Y387" s="553"/>
    </row>
    <row r="388" ht="15.75" customHeight="1">
      <c r="A388" s="123" t="s">
        <v>6068</v>
      </c>
      <c r="B388" s="558">
        <v>618.0</v>
      </c>
      <c r="C388" s="553"/>
      <c r="D388" s="553"/>
      <c r="E388" s="553"/>
      <c r="F388" s="553"/>
      <c r="G388" s="553"/>
      <c r="H388" s="553"/>
      <c r="I388" s="553"/>
      <c r="J388" s="553"/>
      <c r="K388" s="553"/>
      <c r="L388" s="553"/>
      <c r="M388" s="553"/>
      <c r="N388" s="553"/>
      <c r="O388" s="553"/>
      <c r="P388" s="553"/>
      <c r="Q388" s="553"/>
      <c r="R388" s="553"/>
      <c r="S388" s="553"/>
      <c r="T388" s="553"/>
      <c r="U388" s="553"/>
      <c r="V388" s="553"/>
      <c r="W388" s="553"/>
      <c r="X388" s="553"/>
      <c r="Y388" s="553"/>
    </row>
    <row r="389" ht="15.75" customHeight="1">
      <c r="A389" s="123" t="s">
        <v>1796</v>
      </c>
      <c r="B389" s="558">
        <v>1252.0</v>
      </c>
      <c r="C389" s="553"/>
      <c r="D389" s="553"/>
      <c r="E389" s="553"/>
      <c r="F389" s="553"/>
      <c r="G389" s="553"/>
      <c r="H389" s="553"/>
      <c r="I389" s="553"/>
      <c r="J389" s="553"/>
      <c r="K389" s="553"/>
      <c r="L389" s="553"/>
      <c r="M389" s="553"/>
      <c r="N389" s="553"/>
      <c r="O389" s="553"/>
      <c r="P389" s="553"/>
      <c r="Q389" s="553"/>
      <c r="R389" s="553"/>
      <c r="S389" s="553"/>
      <c r="T389" s="553"/>
      <c r="U389" s="553"/>
      <c r="V389" s="553"/>
      <c r="W389" s="553"/>
      <c r="X389" s="553"/>
      <c r="Y389" s="553"/>
    </row>
    <row r="390" ht="15.75" customHeight="1">
      <c r="A390" s="123" t="s">
        <v>4525</v>
      </c>
      <c r="B390" s="558">
        <v>906.0</v>
      </c>
      <c r="C390" s="553"/>
      <c r="D390" s="553"/>
      <c r="E390" s="553"/>
      <c r="F390" s="553"/>
      <c r="G390" s="553"/>
      <c r="H390" s="553"/>
      <c r="I390" s="553"/>
      <c r="J390" s="553"/>
      <c r="K390" s="553"/>
      <c r="L390" s="553"/>
      <c r="M390" s="553"/>
      <c r="N390" s="553"/>
      <c r="O390" s="553"/>
      <c r="P390" s="553"/>
      <c r="Q390" s="553"/>
      <c r="R390" s="553"/>
      <c r="S390" s="553"/>
      <c r="T390" s="553"/>
      <c r="U390" s="553"/>
      <c r="V390" s="553"/>
      <c r="W390" s="553"/>
      <c r="X390" s="553"/>
      <c r="Y390" s="553"/>
    </row>
    <row r="391" ht="15.75" customHeight="1">
      <c r="A391" s="123" t="s">
        <v>2296</v>
      </c>
      <c r="B391" s="558">
        <v>7102.0</v>
      </c>
      <c r="C391" s="553"/>
      <c r="D391" s="553"/>
      <c r="E391" s="553"/>
      <c r="F391" s="553"/>
      <c r="G391" s="553"/>
      <c r="H391" s="553"/>
      <c r="I391" s="553"/>
      <c r="J391" s="553"/>
      <c r="K391" s="553"/>
      <c r="L391" s="553"/>
      <c r="M391" s="553"/>
      <c r="N391" s="553"/>
      <c r="O391" s="553"/>
      <c r="P391" s="553"/>
      <c r="Q391" s="553"/>
      <c r="R391" s="553"/>
      <c r="S391" s="553"/>
      <c r="T391" s="553"/>
      <c r="U391" s="553"/>
      <c r="V391" s="553"/>
      <c r="W391" s="553"/>
      <c r="X391" s="553"/>
      <c r="Y391" s="553"/>
    </row>
    <row r="392" ht="15.75" customHeight="1">
      <c r="A392" s="123" t="s">
        <v>6077</v>
      </c>
      <c r="B392" s="558">
        <v>371.0</v>
      </c>
      <c r="C392" s="553"/>
      <c r="D392" s="553"/>
      <c r="E392" s="553"/>
      <c r="F392" s="553"/>
      <c r="G392" s="553"/>
      <c r="H392" s="553"/>
      <c r="I392" s="553"/>
      <c r="J392" s="553"/>
      <c r="K392" s="553"/>
      <c r="L392" s="553"/>
      <c r="M392" s="553"/>
      <c r="N392" s="553"/>
      <c r="O392" s="553"/>
      <c r="P392" s="553"/>
      <c r="Q392" s="553"/>
      <c r="R392" s="553"/>
      <c r="S392" s="553"/>
      <c r="T392" s="553"/>
      <c r="U392" s="553"/>
      <c r="V392" s="553"/>
      <c r="W392" s="553"/>
      <c r="X392" s="553"/>
      <c r="Y392" s="553"/>
    </row>
    <row r="393" ht="15.75" customHeight="1">
      <c r="A393" s="123" t="s">
        <v>1309</v>
      </c>
      <c r="B393" s="558">
        <v>940.0</v>
      </c>
      <c r="C393" s="553"/>
      <c r="D393" s="553"/>
      <c r="E393" s="553"/>
      <c r="F393" s="553"/>
      <c r="G393" s="553"/>
      <c r="H393" s="553"/>
      <c r="I393" s="553"/>
      <c r="J393" s="553"/>
      <c r="K393" s="553"/>
      <c r="L393" s="553"/>
      <c r="M393" s="553"/>
      <c r="N393" s="553"/>
      <c r="O393" s="553"/>
      <c r="P393" s="553"/>
      <c r="Q393" s="553"/>
      <c r="R393" s="553"/>
      <c r="S393" s="553"/>
      <c r="T393" s="553"/>
      <c r="U393" s="553"/>
      <c r="V393" s="553"/>
      <c r="W393" s="553"/>
      <c r="X393" s="553"/>
      <c r="Y393" s="553"/>
    </row>
    <row r="394" ht="15.75" customHeight="1">
      <c r="A394" s="123" t="s">
        <v>1812</v>
      </c>
      <c r="B394" s="558">
        <v>438.0</v>
      </c>
      <c r="C394" s="553"/>
      <c r="D394" s="553"/>
      <c r="E394" s="553"/>
      <c r="F394" s="553"/>
      <c r="G394" s="553"/>
      <c r="H394" s="553"/>
      <c r="I394" s="553"/>
      <c r="J394" s="553"/>
      <c r="K394" s="553"/>
      <c r="L394" s="553"/>
      <c r="M394" s="553"/>
      <c r="N394" s="553"/>
      <c r="O394" s="553"/>
      <c r="P394" s="553"/>
      <c r="Q394" s="553"/>
      <c r="R394" s="553"/>
      <c r="S394" s="553"/>
      <c r="T394" s="553"/>
      <c r="U394" s="553"/>
      <c r="V394" s="553"/>
      <c r="W394" s="553"/>
      <c r="X394" s="553"/>
      <c r="Y394" s="553"/>
    </row>
    <row r="395" ht="15.75" customHeight="1">
      <c r="A395" s="123" t="s">
        <v>6081</v>
      </c>
      <c r="B395" s="558">
        <v>800.0</v>
      </c>
      <c r="C395" s="553"/>
      <c r="D395" s="553"/>
      <c r="E395" s="553"/>
      <c r="F395" s="553"/>
      <c r="G395" s="553"/>
      <c r="H395" s="553"/>
      <c r="I395" s="553"/>
      <c r="J395" s="553"/>
      <c r="K395" s="553"/>
      <c r="L395" s="553"/>
      <c r="M395" s="553"/>
      <c r="N395" s="553"/>
      <c r="O395" s="553"/>
      <c r="P395" s="553"/>
      <c r="Q395" s="553"/>
      <c r="R395" s="553"/>
      <c r="S395" s="553"/>
      <c r="T395" s="553"/>
      <c r="U395" s="553"/>
      <c r="V395" s="553"/>
      <c r="W395" s="553"/>
      <c r="X395" s="553"/>
      <c r="Y395" s="553"/>
    </row>
    <row r="396" ht="15.75" customHeight="1">
      <c r="A396" s="123" t="s">
        <v>6375</v>
      </c>
      <c r="B396" s="558">
        <v>834.0</v>
      </c>
      <c r="C396" s="553"/>
      <c r="D396" s="553"/>
      <c r="E396" s="553"/>
      <c r="F396" s="553"/>
      <c r="G396" s="553"/>
      <c r="H396" s="553"/>
      <c r="I396" s="553"/>
      <c r="J396" s="553"/>
      <c r="K396" s="553"/>
      <c r="L396" s="553"/>
      <c r="M396" s="553"/>
      <c r="N396" s="553"/>
      <c r="O396" s="553"/>
      <c r="P396" s="553"/>
      <c r="Q396" s="553"/>
      <c r="R396" s="553"/>
      <c r="S396" s="553"/>
      <c r="T396" s="553"/>
      <c r="U396" s="553"/>
      <c r="V396" s="553"/>
      <c r="W396" s="553"/>
      <c r="X396" s="553"/>
      <c r="Y396" s="553"/>
    </row>
    <row r="397" ht="15.75" customHeight="1">
      <c r="A397" s="123" t="s">
        <v>1317</v>
      </c>
      <c r="B397" s="558">
        <v>2663.0</v>
      </c>
      <c r="C397" s="553"/>
      <c r="D397" s="553"/>
      <c r="E397" s="553"/>
      <c r="F397" s="553"/>
      <c r="G397" s="553"/>
      <c r="H397" s="553"/>
      <c r="I397" s="553"/>
      <c r="J397" s="553"/>
      <c r="K397" s="553"/>
      <c r="L397" s="553"/>
      <c r="M397" s="553"/>
      <c r="N397" s="553"/>
      <c r="O397" s="553"/>
      <c r="P397" s="553"/>
      <c r="Q397" s="553"/>
      <c r="R397" s="553"/>
      <c r="S397" s="553"/>
      <c r="T397" s="553"/>
      <c r="U397" s="553"/>
      <c r="V397" s="553"/>
      <c r="W397" s="553"/>
      <c r="X397" s="553"/>
      <c r="Y397" s="553"/>
    </row>
    <row r="398" ht="15.75" customHeight="1">
      <c r="A398" s="123" t="s">
        <v>3417</v>
      </c>
      <c r="B398" s="558">
        <v>1503.0</v>
      </c>
      <c r="C398" s="553"/>
      <c r="D398" s="553"/>
      <c r="E398" s="553"/>
      <c r="F398" s="553"/>
      <c r="G398" s="553"/>
      <c r="H398" s="553"/>
      <c r="I398" s="553"/>
      <c r="J398" s="553"/>
      <c r="K398" s="553"/>
      <c r="L398" s="553"/>
      <c r="M398" s="553"/>
      <c r="N398" s="553"/>
      <c r="O398" s="553"/>
      <c r="P398" s="553"/>
      <c r="Q398" s="553"/>
      <c r="R398" s="553"/>
      <c r="S398" s="553"/>
      <c r="T398" s="553"/>
      <c r="U398" s="553"/>
      <c r="V398" s="553"/>
      <c r="W398" s="553"/>
      <c r="X398" s="553"/>
      <c r="Y398" s="553"/>
    </row>
    <row r="399" ht="15.75" customHeight="1">
      <c r="A399" s="123" t="s">
        <v>2806</v>
      </c>
      <c r="B399" s="558">
        <v>769.0</v>
      </c>
      <c r="C399" s="553"/>
      <c r="D399" s="553"/>
      <c r="E399" s="553"/>
      <c r="F399" s="553"/>
      <c r="G399" s="553"/>
      <c r="H399" s="553"/>
      <c r="I399" s="553"/>
      <c r="J399" s="553"/>
      <c r="K399" s="553"/>
      <c r="L399" s="553"/>
      <c r="M399" s="553"/>
      <c r="N399" s="553"/>
      <c r="O399" s="553"/>
      <c r="P399" s="553"/>
      <c r="Q399" s="553"/>
      <c r="R399" s="553"/>
      <c r="S399" s="553"/>
      <c r="T399" s="553"/>
      <c r="U399" s="553"/>
      <c r="V399" s="553"/>
      <c r="W399" s="553"/>
      <c r="X399" s="553"/>
      <c r="Y399" s="553"/>
    </row>
    <row r="400" ht="15.75" customHeight="1">
      <c r="A400" s="123" t="s">
        <v>1658</v>
      </c>
      <c r="B400" s="558">
        <v>1027.0</v>
      </c>
      <c r="C400" s="553"/>
      <c r="D400" s="553"/>
      <c r="E400" s="553"/>
      <c r="F400" s="553"/>
      <c r="G400" s="553"/>
      <c r="H400" s="553"/>
      <c r="I400" s="553"/>
      <c r="J400" s="553"/>
      <c r="K400" s="553"/>
      <c r="L400" s="553"/>
      <c r="M400" s="553"/>
      <c r="N400" s="553"/>
      <c r="O400" s="553"/>
      <c r="P400" s="553"/>
      <c r="Q400" s="553"/>
      <c r="R400" s="553"/>
      <c r="S400" s="553"/>
      <c r="T400" s="553"/>
      <c r="U400" s="553"/>
      <c r="V400" s="553"/>
      <c r="W400" s="553"/>
      <c r="X400" s="553"/>
      <c r="Y400" s="553"/>
    </row>
    <row r="401" ht="15.75" customHeight="1">
      <c r="A401" s="123" t="s">
        <v>7266</v>
      </c>
      <c r="B401" s="558">
        <v>765.0</v>
      </c>
      <c r="C401" s="553"/>
      <c r="D401" s="553"/>
      <c r="E401" s="553"/>
      <c r="F401" s="553"/>
      <c r="G401" s="553"/>
      <c r="H401" s="553"/>
      <c r="I401" s="553"/>
      <c r="J401" s="553"/>
      <c r="K401" s="553"/>
      <c r="L401" s="553"/>
      <c r="M401" s="553"/>
      <c r="N401" s="553"/>
      <c r="O401" s="553"/>
      <c r="P401" s="553"/>
      <c r="Q401" s="553"/>
      <c r="R401" s="553"/>
      <c r="S401" s="553"/>
      <c r="T401" s="553"/>
      <c r="U401" s="553"/>
      <c r="V401" s="553"/>
      <c r="W401" s="553"/>
      <c r="X401" s="553"/>
      <c r="Y401" s="553"/>
    </row>
    <row r="402" ht="15.75" customHeight="1">
      <c r="A402" s="123" t="s">
        <v>412</v>
      </c>
      <c r="B402" s="558">
        <v>690.0</v>
      </c>
      <c r="C402" s="553"/>
      <c r="D402" s="553"/>
      <c r="E402" s="553"/>
      <c r="F402" s="553"/>
      <c r="G402" s="553"/>
      <c r="H402" s="553"/>
      <c r="I402" s="553"/>
      <c r="J402" s="553"/>
      <c r="K402" s="553"/>
      <c r="L402" s="553"/>
      <c r="M402" s="553"/>
      <c r="N402" s="553"/>
      <c r="O402" s="553"/>
      <c r="P402" s="553"/>
      <c r="Q402" s="553"/>
      <c r="R402" s="553"/>
      <c r="S402" s="553"/>
      <c r="T402" s="553"/>
      <c r="U402" s="553"/>
      <c r="V402" s="553"/>
      <c r="W402" s="553"/>
      <c r="X402" s="553"/>
      <c r="Y402" s="553"/>
    </row>
    <row r="403" ht="15.75" customHeight="1">
      <c r="A403" s="123" t="s">
        <v>4978</v>
      </c>
      <c r="B403" s="558">
        <v>805.0</v>
      </c>
      <c r="C403" s="553"/>
      <c r="D403" s="553"/>
      <c r="E403" s="553"/>
      <c r="F403" s="553"/>
      <c r="G403" s="553"/>
      <c r="H403" s="553"/>
      <c r="I403" s="553"/>
      <c r="J403" s="553"/>
      <c r="K403" s="553"/>
      <c r="L403" s="553"/>
      <c r="M403" s="553"/>
      <c r="N403" s="553"/>
      <c r="O403" s="553"/>
      <c r="P403" s="553"/>
      <c r="Q403" s="553"/>
      <c r="R403" s="553"/>
      <c r="S403" s="553"/>
      <c r="T403" s="553"/>
      <c r="U403" s="553"/>
      <c r="V403" s="553"/>
      <c r="W403" s="553"/>
      <c r="X403" s="553"/>
      <c r="Y403" s="553"/>
    </row>
    <row r="404" ht="15.75" customHeight="1">
      <c r="A404" s="123" t="s">
        <v>1663</v>
      </c>
      <c r="B404" s="558">
        <v>1105.0</v>
      </c>
      <c r="C404" s="553"/>
      <c r="D404" s="553"/>
      <c r="E404" s="553"/>
      <c r="F404" s="553"/>
      <c r="G404" s="553"/>
      <c r="H404" s="553"/>
      <c r="I404" s="553"/>
      <c r="J404" s="553"/>
      <c r="K404" s="553"/>
      <c r="L404" s="553"/>
      <c r="M404" s="553"/>
      <c r="N404" s="553"/>
      <c r="O404" s="553"/>
      <c r="P404" s="553"/>
      <c r="Q404" s="553"/>
      <c r="R404" s="553"/>
      <c r="S404" s="553"/>
      <c r="T404" s="553"/>
      <c r="U404" s="553"/>
      <c r="V404" s="553"/>
      <c r="W404" s="553"/>
      <c r="X404" s="553"/>
      <c r="Y404" s="553"/>
    </row>
    <row r="405" ht="15.75" customHeight="1">
      <c r="A405" s="123" t="s">
        <v>4306</v>
      </c>
      <c r="B405" s="558">
        <v>451.0</v>
      </c>
      <c r="C405" s="553"/>
      <c r="D405" s="553"/>
      <c r="E405" s="553"/>
      <c r="F405" s="553"/>
      <c r="G405" s="553"/>
      <c r="H405" s="553"/>
      <c r="I405" s="553"/>
      <c r="J405" s="553"/>
      <c r="K405" s="553"/>
      <c r="L405" s="553"/>
      <c r="M405" s="553"/>
      <c r="N405" s="553"/>
      <c r="O405" s="553"/>
      <c r="P405" s="553"/>
      <c r="Q405" s="553"/>
      <c r="R405" s="553"/>
      <c r="S405" s="553"/>
      <c r="T405" s="553"/>
      <c r="U405" s="553"/>
      <c r="V405" s="553"/>
      <c r="W405" s="553"/>
      <c r="X405" s="553"/>
      <c r="Y405" s="553"/>
    </row>
    <row r="406" ht="15.75" customHeight="1">
      <c r="A406" s="123" t="s">
        <v>1669</v>
      </c>
      <c r="B406" s="558">
        <v>1335.0</v>
      </c>
      <c r="C406" s="553"/>
      <c r="D406" s="553"/>
      <c r="E406" s="553"/>
      <c r="F406" s="553"/>
      <c r="G406" s="553"/>
      <c r="H406" s="553"/>
      <c r="I406" s="553"/>
      <c r="J406" s="553"/>
      <c r="K406" s="553"/>
      <c r="L406" s="553"/>
      <c r="M406" s="553"/>
      <c r="N406" s="553"/>
      <c r="O406" s="553"/>
      <c r="P406" s="553"/>
      <c r="Q406" s="553"/>
      <c r="R406" s="553"/>
      <c r="S406" s="553"/>
      <c r="T406" s="553"/>
      <c r="U406" s="553"/>
      <c r="V406" s="553"/>
      <c r="W406" s="553"/>
      <c r="X406" s="553"/>
      <c r="Y406" s="553"/>
    </row>
    <row r="407" ht="15.75" customHeight="1">
      <c r="A407" s="123" t="s">
        <v>1053</v>
      </c>
      <c r="B407" s="558">
        <v>730.0</v>
      </c>
      <c r="C407" s="553"/>
      <c r="D407" s="553"/>
      <c r="E407" s="553"/>
      <c r="F407" s="553"/>
      <c r="G407" s="553"/>
      <c r="H407" s="553"/>
      <c r="I407" s="553"/>
      <c r="J407" s="553"/>
      <c r="K407" s="553"/>
      <c r="L407" s="553"/>
      <c r="M407" s="553"/>
      <c r="N407" s="553"/>
      <c r="O407" s="553"/>
      <c r="P407" s="553"/>
      <c r="Q407" s="553"/>
      <c r="R407" s="553"/>
      <c r="S407" s="553"/>
      <c r="T407" s="553"/>
      <c r="U407" s="553"/>
      <c r="V407" s="553"/>
      <c r="W407" s="553"/>
      <c r="X407" s="553"/>
      <c r="Y407" s="553"/>
    </row>
    <row r="408" ht="15.75" customHeight="1">
      <c r="A408" s="123" t="s">
        <v>1822</v>
      </c>
      <c r="B408" s="558">
        <v>3977.0</v>
      </c>
      <c r="C408" s="553"/>
      <c r="D408" s="553"/>
      <c r="E408" s="553"/>
      <c r="F408" s="553"/>
      <c r="G408" s="553"/>
      <c r="H408" s="553"/>
      <c r="I408" s="553"/>
      <c r="J408" s="553"/>
      <c r="K408" s="553"/>
      <c r="L408" s="553"/>
      <c r="M408" s="553"/>
      <c r="N408" s="553"/>
      <c r="O408" s="553"/>
      <c r="P408" s="553"/>
      <c r="Q408" s="553"/>
      <c r="R408" s="553"/>
      <c r="S408" s="553"/>
      <c r="T408" s="553"/>
      <c r="U408" s="553"/>
      <c r="V408" s="553"/>
      <c r="W408" s="553"/>
      <c r="X408" s="553"/>
      <c r="Y408" s="553"/>
    </row>
    <row r="409" ht="15.75" customHeight="1">
      <c r="A409" s="123" t="s">
        <v>1328</v>
      </c>
      <c r="B409" s="558">
        <v>1463.0</v>
      </c>
      <c r="C409" s="553"/>
      <c r="D409" s="553"/>
      <c r="E409" s="553"/>
      <c r="F409" s="553"/>
      <c r="G409" s="553"/>
      <c r="H409" s="553"/>
      <c r="I409" s="553"/>
      <c r="J409" s="553"/>
      <c r="K409" s="553"/>
      <c r="L409" s="553"/>
      <c r="M409" s="553"/>
      <c r="N409" s="553"/>
      <c r="O409" s="553"/>
      <c r="P409" s="553"/>
      <c r="Q409" s="553"/>
      <c r="R409" s="553"/>
      <c r="S409" s="553"/>
      <c r="T409" s="553"/>
      <c r="U409" s="553"/>
      <c r="V409" s="553"/>
      <c r="W409" s="553"/>
      <c r="X409" s="553"/>
      <c r="Y409" s="553"/>
    </row>
    <row r="410" ht="15.75" customHeight="1">
      <c r="A410" s="123" t="s">
        <v>4754</v>
      </c>
      <c r="B410" s="558">
        <v>579.0</v>
      </c>
      <c r="C410" s="553"/>
      <c r="D410" s="553"/>
      <c r="E410" s="553"/>
      <c r="F410" s="553"/>
      <c r="G410" s="553"/>
      <c r="H410" s="553"/>
      <c r="I410" s="553"/>
      <c r="J410" s="553"/>
      <c r="K410" s="553"/>
      <c r="L410" s="553"/>
      <c r="M410" s="553"/>
      <c r="N410" s="553"/>
      <c r="O410" s="553"/>
      <c r="P410" s="553"/>
      <c r="Q410" s="553"/>
      <c r="R410" s="553"/>
      <c r="S410" s="553"/>
      <c r="T410" s="553"/>
      <c r="U410" s="553"/>
      <c r="V410" s="553"/>
      <c r="W410" s="553"/>
      <c r="X410" s="553"/>
      <c r="Y410" s="553"/>
    </row>
    <row r="411" ht="15.75" customHeight="1">
      <c r="A411" s="123" t="s">
        <v>4765</v>
      </c>
      <c r="B411" s="558">
        <v>274.0</v>
      </c>
      <c r="C411" s="553"/>
      <c r="D411" s="553"/>
      <c r="E411" s="553"/>
      <c r="F411" s="553"/>
      <c r="G411" s="553"/>
      <c r="H411" s="553"/>
      <c r="I411" s="553"/>
      <c r="J411" s="553"/>
      <c r="K411" s="553"/>
      <c r="L411" s="553"/>
      <c r="M411" s="553"/>
      <c r="N411" s="553"/>
      <c r="O411" s="553"/>
      <c r="P411" s="553"/>
      <c r="Q411" s="553"/>
      <c r="R411" s="553"/>
      <c r="S411" s="553"/>
      <c r="T411" s="553"/>
      <c r="U411" s="553"/>
      <c r="V411" s="553"/>
      <c r="W411" s="553"/>
      <c r="X411" s="553"/>
      <c r="Y411" s="553"/>
    </row>
    <row r="412" ht="15.75" customHeight="1">
      <c r="A412" s="123" t="s">
        <v>4992</v>
      </c>
      <c r="B412" s="558">
        <v>709.0</v>
      </c>
      <c r="C412" s="553"/>
      <c r="D412" s="553"/>
      <c r="E412" s="553"/>
      <c r="F412" s="553"/>
      <c r="G412" s="553"/>
      <c r="H412" s="553"/>
      <c r="I412" s="553"/>
      <c r="J412" s="553"/>
      <c r="K412" s="553"/>
      <c r="L412" s="553"/>
      <c r="M412" s="553"/>
      <c r="N412" s="553"/>
      <c r="O412" s="553"/>
      <c r="P412" s="553"/>
      <c r="Q412" s="553"/>
      <c r="R412" s="553"/>
      <c r="S412" s="553"/>
      <c r="T412" s="553"/>
      <c r="U412" s="553"/>
      <c r="V412" s="553"/>
      <c r="W412" s="553"/>
      <c r="X412" s="553"/>
      <c r="Y412" s="553"/>
    </row>
    <row r="413" ht="15.75" customHeight="1">
      <c r="A413" s="123" t="s">
        <v>6802</v>
      </c>
      <c r="B413" s="558">
        <v>610.0</v>
      </c>
      <c r="C413" s="553"/>
      <c r="D413" s="553"/>
      <c r="E413" s="553"/>
      <c r="F413" s="553"/>
      <c r="G413" s="553"/>
      <c r="H413" s="553"/>
      <c r="I413" s="553"/>
      <c r="J413" s="553"/>
      <c r="K413" s="553"/>
      <c r="L413" s="553"/>
      <c r="M413" s="553"/>
      <c r="N413" s="553"/>
      <c r="O413" s="553"/>
      <c r="P413" s="553"/>
      <c r="Q413" s="553"/>
      <c r="R413" s="553"/>
      <c r="S413" s="553"/>
      <c r="T413" s="553"/>
      <c r="U413" s="553"/>
      <c r="V413" s="553"/>
      <c r="W413" s="553"/>
      <c r="X413" s="553"/>
      <c r="Y413" s="553"/>
    </row>
    <row r="414" ht="15.75" customHeight="1">
      <c r="A414" s="123" t="s">
        <v>9236</v>
      </c>
      <c r="B414" s="558">
        <v>2705.0</v>
      </c>
      <c r="C414" s="553"/>
      <c r="D414" s="553"/>
      <c r="E414" s="553"/>
      <c r="F414" s="553"/>
      <c r="G414" s="553"/>
      <c r="H414" s="553"/>
      <c r="I414" s="553"/>
      <c r="J414" s="553"/>
      <c r="K414" s="553"/>
      <c r="L414" s="553"/>
      <c r="M414" s="553"/>
      <c r="N414" s="553"/>
      <c r="O414" s="553"/>
      <c r="P414" s="553"/>
      <c r="Q414" s="553"/>
      <c r="R414" s="553"/>
      <c r="S414" s="553"/>
      <c r="T414" s="553"/>
      <c r="U414" s="553"/>
      <c r="V414" s="553"/>
      <c r="W414" s="553"/>
      <c r="X414" s="553"/>
      <c r="Y414" s="553"/>
    </row>
    <row r="415" ht="15.75" customHeight="1">
      <c r="A415" s="123" t="s">
        <v>2398</v>
      </c>
      <c r="B415" s="558">
        <v>293.0</v>
      </c>
      <c r="C415" s="553"/>
      <c r="D415" s="553"/>
      <c r="E415" s="553"/>
      <c r="F415" s="553"/>
      <c r="G415" s="553"/>
      <c r="H415" s="553"/>
      <c r="I415" s="553"/>
      <c r="J415" s="553"/>
      <c r="K415" s="553"/>
      <c r="L415" s="553"/>
      <c r="M415" s="553"/>
      <c r="N415" s="553"/>
      <c r="O415" s="553"/>
      <c r="P415" s="553"/>
      <c r="Q415" s="553"/>
      <c r="R415" s="553"/>
      <c r="S415" s="553"/>
      <c r="T415" s="553"/>
      <c r="U415" s="553"/>
      <c r="V415" s="553"/>
      <c r="W415" s="553"/>
      <c r="X415" s="553"/>
      <c r="Y415" s="553"/>
    </row>
    <row r="416" ht="15.75" customHeight="1">
      <c r="A416" s="123" t="s">
        <v>2282</v>
      </c>
      <c r="B416" s="558">
        <v>19159.0</v>
      </c>
      <c r="C416" s="553"/>
      <c r="D416" s="553"/>
      <c r="E416" s="553"/>
      <c r="F416" s="553"/>
      <c r="G416" s="553"/>
      <c r="H416" s="553"/>
      <c r="I416" s="553"/>
      <c r="J416" s="553"/>
      <c r="K416" s="553"/>
      <c r="L416" s="553"/>
      <c r="M416" s="553"/>
      <c r="N416" s="553"/>
      <c r="O416" s="553"/>
      <c r="P416" s="553"/>
      <c r="Q416" s="553"/>
      <c r="R416" s="553"/>
      <c r="S416" s="553"/>
      <c r="T416" s="553"/>
      <c r="U416" s="553"/>
      <c r="V416" s="553"/>
      <c r="W416" s="553"/>
      <c r="X416" s="553"/>
      <c r="Y416" s="553"/>
    </row>
    <row r="417" ht="15.75" customHeight="1">
      <c r="A417" s="123" t="s">
        <v>1063</v>
      </c>
      <c r="B417" s="558">
        <v>709.0</v>
      </c>
      <c r="C417" s="553"/>
      <c r="D417" s="553"/>
      <c r="E417" s="553"/>
      <c r="F417" s="553"/>
      <c r="G417" s="553"/>
      <c r="H417" s="553"/>
      <c r="I417" s="553"/>
      <c r="J417" s="553"/>
      <c r="K417" s="553"/>
      <c r="L417" s="553"/>
      <c r="M417" s="553"/>
      <c r="N417" s="553"/>
      <c r="O417" s="553"/>
      <c r="P417" s="553"/>
      <c r="Q417" s="553"/>
      <c r="R417" s="553"/>
      <c r="S417" s="553"/>
      <c r="T417" s="553"/>
      <c r="U417" s="553"/>
      <c r="V417" s="553"/>
      <c r="W417" s="553"/>
      <c r="X417" s="553"/>
      <c r="Y417" s="553"/>
    </row>
    <row r="418" ht="15.75" customHeight="1">
      <c r="A418" s="123" t="s">
        <v>3822</v>
      </c>
      <c r="B418" s="558">
        <v>728.0</v>
      </c>
      <c r="C418" s="553"/>
      <c r="D418" s="553"/>
      <c r="E418" s="553"/>
      <c r="F418" s="553"/>
      <c r="G418" s="553"/>
      <c r="H418" s="553"/>
      <c r="I418" s="553"/>
      <c r="J418" s="553"/>
      <c r="K418" s="553"/>
      <c r="L418" s="553"/>
      <c r="M418" s="553"/>
      <c r="N418" s="553"/>
      <c r="O418" s="553"/>
      <c r="P418" s="553"/>
      <c r="Q418" s="553"/>
      <c r="R418" s="553"/>
      <c r="S418" s="553"/>
      <c r="T418" s="553"/>
      <c r="U418" s="553"/>
      <c r="V418" s="553"/>
      <c r="W418" s="553"/>
      <c r="X418" s="553"/>
      <c r="Y418" s="553"/>
    </row>
    <row r="419" ht="15.75" customHeight="1">
      <c r="A419" s="123" t="s">
        <v>1859</v>
      </c>
      <c r="B419" s="558">
        <v>763.0</v>
      </c>
      <c r="C419" s="553"/>
      <c r="D419" s="553"/>
      <c r="E419" s="553"/>
      <c r="F419" s="553"/>
      <c r="G419" s="553"/>
      <c r="H419" s="553"/>
      <c r="I419" s="553"/>
      <c r="J419" s="553"/>
      <c r="K419" s="553"/>
      <c r="L419" s="553"/>
      <c r="M419" s="553"/>
      <c r="N419" s="553"/>
      <c r="O419" s="553"/>
      <c r="P419" s="553"/>
      <c r="Q419" s="553"/>
      <c r="R419" s="553"/>
      <c r="S419" s="553"/>
      <c r="T419" s="553"/>
      <c r="U419" s="553"/>
      <c r="V419" s="553"/>
      <c r="W419" s="553"/>
      <c r="X419" s="553"/>
      <c r="Y419" s="553"/>
    </row>
    <row r="420" ht="15.75" customHeight="1">
      <c r="A420" s="123" t="s">
        <v>417</v>
      </c>
      <c r="B420" s="558">
        <v>2759.0</v>
      </c>
      <c r="C420" s="553"/>
      <c r="D420" s="553"/>
      <c r="E420" s="553"/>
      <c r="F420" s="553"/>
      <c r="G420" s="553"/>
      <c r="H420" s="553"/>
      <c r="I420" s="553"/>
      <c r="J420" s="553"/>
      <c r="K420" s="553"/>
      <c r="L420" s="553"/>
      <c r="M420" s="553"/>
      <c r="N420" s="553"/>
      <c r="O420" s="553"/>
      <c r="P420" s="553"/>
      <c r="Q420" s="553"/>
      <c r="R420" s="553"/>
      <c r="S420" s="553"/>
      <c r="T420" s="553"/>
      <c r="U420" s="553"/>
      <c r="V420" s="553"/>
      <c r="W420" s="553"/>
      <c r="X420" s="553"/>
      <c r="Y420" s="553"/>
    </row>
    <row r="421" ht="15.75" customHeight="1">
      <c r="A421" s="563" t="s">
        <v>142</v>
      </c>
      <c r="B421" s="564">
        <f>SUM(B4:B420)</f>
        <v>898999</v>
      </c>
      <c r="C421" s="553"/>
      <c r="D421" s="553"/>
      <c r="E421" s="553"/>
      <c r="F421" s="553"/>
      <c r="G421" s="553"/>
      <c r="H421" s="553"/>
      <c r="I421" s="553"/>
      <c r="J421" s="553"/>
      <c r="K421" s="553"/>
      <c r="L421" s="553"/>
      <c r="M421" s="553"/>
      <c r="N421" s="553"/>
      <c r="O421" s="553"/>
      <c r="P421" s="553"/>
      <c r="Q421" s="553"/>
      <c r="R421" s="553"/>
      <c r="S421" s="553"/>
      <c r="T421" s="553"/>
      <c r="U421" s="553"/>
      <c r="V421" s="553"/>
      <c r="W421" s="553"/>
      <c r="X421" s="553"/>
      <c r="Y421" s="553"/>
    </row>
    <row r="422" ht="15.75" customHeight="1">
      <c r="A422" s="565"/>
      <c r="B422" s="566"/>
      <c r="C422" s="553"/>
      <c r="D422" s="553"/>
      <c r="E422" s="553"/>
      <c r="F422" s="553"/>
      <c r="G422" s="553"/>
      <c r="H422" s="553"/>
      <c r="I422" s="553"/>
      <c r="J422" s="553"/>
      <c r="K422" s="553"/>
      <c r="L422" s="553"/>
      <c r="M422" s="553"/>
      <c r="N422" s="553"/>
      <c r="O422" s="553"/>
      <c r="P422" s="553"/>
      <c r="Q422" s="553"/>
      <c r="R422" s="553"/>
      <c r="S422" s="553"/>
      <c r="T422" s="553"/>
      <c r="U422" s="553"/>
      <c r="V422" s="553"/>
      <c r="W422" s="553"/>
      <c r="X422" s="553"/>
      <c r="Y422" s="553"/>
    </row>
    <row r="423" ht="15.75" customHeight="1">
      <c r="A423" s="565"/>
      <c r="B423" s="566"/>
      <c r="C423" s="553"/>
      <c r="D423" s="553"/>
      <c r="E423" s="553"/>
      <c r="F423" s="553"/>
      <c r="G423" s="553"/>
      <c r="H423" s="553"/>
      <c r="I423" s="553"/>
      <c r="J423" s="553"/>
      <c r="K423" s="553"/>
      <c r="L423" s="553"/>
      <c r="M423" s="553"/>
      <c r="N423" s="553"/>
      <c r="O423" s="553"/>
      <c r="P423" s="553"/>
      <c r="Q423" s="553"/>
      <c r="R423" s="553"/>
      <c r="S423" s="553"/>
      <c r="T423" s="553"/>
      <c r="U423" s="553"/>
      <c r="V423" s="553"/>
      <c r="W423" s="553"/>
      <c r="X423" s="553"/>
      <c r="Y423" s="553"/>
    </row>
    <row r="424" ht="15.75" customHeight="1">
      <c r="A424" s="565"/>
      <c r="B424" s="566"/>
      <c r="C424" s="553"/>
      <c r="D424" s="553"/>
      <c r="E424" s="553"/>
      <c r="F424" s="553"/>
      <c r="G424" s="553"/>
      <c r="H424" s="553"/>
      <c r="I424" s="553"/>
      <c r="J424" s="553"/>
      <c r="K424" s="553"/>
      <c r="L424" s="553"/>
      <c r="M424" s="553"/>
      <c r="N424" s="553"/>
      <c r="O424" s="553"/>
      <c r="P424" s="553"/>
      <c r="Q424" s="553"/>
      <c r="R424" s="553"/>
      <c r="S424" s="553"/>
      <c r="T424" s="553"/>
      <c r="U424" s="553"/>
      <c r="V424" s="553"/>
      <c r="W424" s="553"/>
      <c r="X424" s="553"/>
      <c r="Y424" s="553"/>
    </row>
    <row r="425" ht="15.75" customHeight="1">
      <c r="A425" s="565"/>
      <c r="B425" s="566"/>
      <c r="C425" s="553"/>
      <c r="D425" s="553"/>
      <c r="E425" s="553"/>
      <c r="F425" s="553"/>
      <c r="G425" s="553"/>
      <c r="H425" s="553"/>
      <c r="I425" s="553"/>
      <c r="J425" s="553"/>
      <c r="K425" s="553"/>
      <c r="L425" s="553"/>
      <c r="M425" s="553"/>
      <c r="N425" s="553"/>
      <c r="O425" s="553"/>
      <c r="P425" s="553"/>
      <c r="Q425" s="553"/>
      <c r="R425" s="553"/>
      <c r="S425" s="553"/>
      <c r="T425" s="553"/>
      <c r="U425" s="553"/>
      <c r="V425" s="553"/>
      <c r="W425" s="553"/>
      <c r="X425" s="553"/>
      <c r="Y425" s="553"/>
    </row>
    <row r="426" ht="15.75" customHeight="1">
      <c r="A426" s="565"/>
      <c r="B426" s="566"/>
      <c r="C426" s="553"/>
      <c r="D426" s="553"/>
      <c r="E426" s="553"/>
      <c r="F426" s="553"/>
      <c r="G426" s="553"/>
      <c r="H426" s="553"/>
      <c r="I426" s="553"/>
      <c r="J426" s="553"/>
      <c r="K426" s="553"/>
      <c r="L426" s="553"/>
      <c r="M426" s="553"/>
      <c r="N426" s="553"/>
      <c r="O426" s="553"/>
      <c r="P426" s="553"/>
      <c r="Q426" s="553"/>
      <c r="R426" s="553"/>
      <c r="S426" s="553"/>
      <c r="T426" s="553"/>
      <c r="U426" s="553"/>
      <c r="V426" s="553"/>
      <c r="W426" s="553"/>
      <c r="X426" s="553"/>
      <c r="Y426" s="553"/>
    </row>
    <row r="427" ht="15.75" customHeight="1">
      <c r="A427" s="565"/>
      <c r="B427" s="566"/>
      <c r="C427" s="553"/>
      <c r="D427" s="553"/>
      <c r="E427" s="553"/>
      <c r="F427" s="553"/>
      <c r="G427" s="553"/>
      <c r="H427" s="553"/>
      <c r="I427" s="553"/>
      <c r="J427" s="553"/>
      <c r="K427" s="553"/>
      <c r="L427" s="553"/>
      <c r="M427" s="553"/>
      <c r="N427" s="553"/>
      <c r="O427" s="553"/>
      <c r="P427" s="553"/>
      <c r="Q427" s="553"/>
      <c r="R427" s="553"/>
      <c r="S427" s="553"/>
      <c r="T427" s="553"/>
      <c r="U427" s="553"/>
      <c r="V427" s="553"/>
      <c r="W427" s="553"/>
      <c r="X427" s="553"/>
      <c r="Y427" s="553"/>
    </row>
    <row r="428" ht="15.75" customHeight="1">
      <c r="A428" s="565"/>
      <c r="B428" s="566"/>
      <c r="C428" s="553"/>
      <c r="D428" s="553"/>
      <c r="E428" s="553"/>
      <c r="F428" s="553"/>
      <c r="G428" s="553"/>
      <c r="H428" s="553"/>
      <c r="I428" s="553"/>
      <c r="J428" s="553"/>
      <c r="K428" s="553"/>
      <c r="L428" s="553"/>
      <c r="M428" s="553"/>
      <c r="N428" s="553"/>
      <c r="O428" s="553"/>
      <c r="P428" s="553"/>
      <c r="Q428" s="553"/>
      <c r="R428" s="553"/>
      <c r="S428" s="553"/>
      <c r="T428" s="553"/>
      <c r="U428" s="553"/>
      <c r="V428" s="553"/>
      <c r="W428" s="553"/>
      <c r="X428" s="553"/>
      <c r="Y428" s="553"/>
    </row>
    <row r="429" ht="15.75" customHeight="1">
      <c r="A429" s="565"/>
      <c r="B429" s="566"/>
      <c r="C429" s="553"/>
      <c r="D429" s="553"/>
      <c r="E429" s="553"/>
      <c r="F429" s="553"/>
      <c r="G429" s="553"/>
      <c r="H429" s="553"/>
      <c r="I429" s="553"/>
      <c r="J429" s="553"/>
      <c r="K429" s="553"/>
      <c r="L429" s="553"/>
      <c r="M429" s="553"/>
      <c r="N429" s="553"/>
      <c r="O429" s="553"/>
      <c r="P429" s="553"/>
      <c r="Q429" s="553"/>
      <c r="R429" s="553"/>
      <c r="S429" s="553"/>
      <c r="T429" s="553"/>
      <c r="U429" s="553"/>
      <c r="V429" s="553"/>
      <c r="W429" s="553"/>
      <c r="X429" s="553"/>
      <c r="Y429" s="553"/>
    </row>
    <row r="430" ht="15.75" customHeight="1">
      <c r="A430" s="565"/>
      <c r="B430" s="566"/>
      <c r="C430" s="553"/>
      <c r="D430" s="553"/>
      <c r="E430" s="553"/>
      <c r="F430" s="553"/>
      <c r="G430" s="553"/>
      <c r="H430" s="553"/>
      <c r="I430" s="553"/>
      <c r="J430" s="553"/>
      <c r="K430" s="553"/>
      <c r="L430" s="553"/>
      <c r="M430" s="553"/>
      <c r="N430" s="553"/>
      <c r="O430" s="553"/>
      <c r="P430" s="553"/>
      <c r="Q430" s="553"/>
      <c r="R430" s="553"/>
      <c r="S430" s="553"/>
      <c r="T430" s="553"/>
      <c r="U430" s="553"/>
      <c r="V430" s="553"/>
      <c r="W430" s="553"/>
      <c r="X430" s="553"/>
      <c r="Y430" s="553"/>
    </row>
    <row r="431" ht="15.75" customHeight="1">
      <c r="A431" s="565"/>
      <c r="B431" s="566"/>
      <c r="C431" s="553"/>
      <c r="D431" s="553"/>
      <c r="E431" s="553"/>
      <c r="F431" s="553"/>
      <c r="G431" s="553"/>
      <c r="H431" s="553"/>
      <c r="I431" s="553"/>
      <c r="J431" s="553"/>
      <c r="K431" s="553"/>
      <c r="L431" s="553"/>
      <c r="M431" s="553"/>
      <c r="N431" s="553"/>
      <c r="O431" s="553"/>
      <c r="P431" s="553"/>
      <c r="Q431" s="553"/>
      <c r="R431" s="553"/>
      <c r="S431" s="553"/>
      <c r="T431" s="553"/>
      <c r="U431" s="553"/>
      <c r="V431" s="553"/>
      <c r="W431" s="553"/>
      <c r="X431" s="553"/>
      <c r="Y431" s="553"/>
    </row>
    <row r="432" ht="15.75" customHeight="1">
      <c r="A432" s="565"/>
      <c r="B432" s="566"/>
      <c r="C432" s="553"/>
      <c r="D432" s="553"/>
      <c r="E432" s="553"/>
      <c r="F432" s="553"/>
      <c r="G432" s="553"/>
      <c r="H432" s="553"/>
      <c r="I432" s="553"/>
      <c r="J432" s="553"/>
      <c r="K432" s="553"/>
      <c r="L432" s="553"/>
      <c r="M432" s="553"/>
      <c r="N432" s="553"/>
      <c r="O432" s="553"/>
      <c r="P432" s="553"/>
      <c r="Q432" s="553"/>
      <c r="R432" s="553"/>
      <c r="S432" s="553"/>
      <c r="T432" s="553"/>
      <c r="U432" s="553"/>
      <c r="V432" s="553"/>
      <c r="W432" s="553"/>
      <c r="X432" s="553"/>
      <c r="Y432" s="553"/>
    </row>
    <row r="433" ht="15.75" customHeight="1">
      <c r="A433" s="565"/>
      <c r="B433" s="566"/>
      <c r="C433" s="553"/>
      <c r="D433" s="553"/>
      <c r="E433" s="553"/>
      <c r="F433" s="553"/>
      <c r="G433" s="553"/>
      <c r="H433" s="553"/>
      <c r="I433" s="553"/>
      <c r="J433" s="553"/>
      <c r="K433" s="553"/>
      <c r="L433" s="553"/>
      <c r="M433" s="553"/>
      <c r="N433" s="553"/>
      <c r="O433" s="553"/>
      <c r="P433" s="553"/>
      <c r="Q433" s="553"/>
      <c r="R433" s="553"/>
      <c r="S433" s="553"/>
      <c r="T433" s="553"/>
      <c r="U433" s="553"/>
      <c r="V433" s="553"/>
      <c r="W433" s="553"/>
      <c r="X433" s="553"/>
      <c r="Y433" s="553"/>
    </row>
    <row r="434" ht="15.75" customHeight="1">
      <c r="A434" s="565"/>
      <c r="B434" s="566"/>
      <c r="C434" s="553"/>
      <c r="D434" s="553"/>
      <c r="E434" s="553"/>
      <c r="F434" s="553"/>
      <c r="G434" s="553"/>
      <c r="H434" s="553"/>
      <c r="I434" s="553"/>
      <c r="J434" s="553"/>
      <c r="K434" s="553"/>
      <c r="L434" s="553"/>
      <c r="M434" s="553"/>
      <c r="N434" s="553"/>
      <c r="O434" s="553"/>
      <c r="P434" s="553"/>
      <c r="Q434" s="553"/>
      <c r="R434" s="553"/>
      <c r="S434" s="553"/>
      <c r="T434" s="553"/>
      <c r="U434" s="553"/>
      <c r="V434" s="553"/>
      <c r="W434" s="553"/>
      <c r="X434" s="553"/>
      <c r="Y434" s="553"/>
    </row>
    <row r="435" ht="15.75" customHeight="1">
      <c r="A435" s="565"/>
      <c r="B435" s="566"/>
      <c r="C435" s="553"/>
      <c r="D435" s="553"/>
      <c r="E435" s="553"/>
      <c r="F435" s="553"/>
      <c r="G435" s="553"/>
      <c r="H435" s="553"/>
      <c r="I435" s="553"/>
      <c r="J435" s="553"/>
      <c r="K435" s="553"/>
      <c r="L435" s="553"/>
      <c r="M435" s="553"/>
      <c r="N435" s="553"/>
      <c r="O435" s="553"/>
      <c r="P435" s="553"/>
      <c r="Q435" s="553"/>
      <c r="R435" s="553"/>
      <c r="S435" s="553"/>
      <c r="T435" s="553"/>
      <c r="U435" s="553"/>
      <c r="V435" s="553"/>
      <c r="W435" s="553"/>
      <c r="X435" s="553"/>
      <c r="Y435" s="553"/>
    </row>
    <row r="436" ht="15.75" customHeight="1">
      <c r="A436" s="565"/>
      <c r="B436" s="566"/>
      <c r="C436" s="553"/>
      <c r="D436" s="553"/>
      <c r="E436" s="553"/>
      <c r="F436" s="553"/>
      <c r="G436" s="553"/>
      <c r="H436" s="553"/>
      <c r="I436" s="553"/>
      <c r="J436" s="553"/>
      <c r="K436" s="553"/>
      <c r="L436" s="553"/>
      <c r="M436" s="553"/>
      <c r="N436" s="553"/>
      <c r="O436" s="553"/>
      <c r="P436" s="553"/>
      <c r="Q436" s="553"/>
      <c r="R436" s="553"/>
      <c r="S436" s="553"/>
      <c r="T436" s="553"/>
      <c r="U436" s="553"/>
      <c r="V436" s="553"/>
      <c r="W436" s="553"/>
      <c r="X436" s="553"/>
      <c r="Y436" s="553"/>
    </row>
    <row r="437" ht="15.75" customHeight="1">
      <c r="A437" s="565"/>
      <c r="B437" s="566"/>
      <c r="C437" s="553"/>
      <c r="D437" s="553"/>
      <c r="E437" s="553"/>
      <c r="F437" s="553"/>
      <c r="G437" s="553"/>
      <c r="H437" s="553"/>
      <c r="I437" s="553"/>
      <c r="J437" s="553"/>
      <c r="K437" s="553"/>
      <c r="L437" s="553"/>
      <c r="M437" s="553"/>
      <c r="N437" s="553"/>
      <c r="O437" s="553"/>
      <c r="P437" s="553"/>
      <c r="Q437" s="553"/>
      <c r="R437" s="553"/>
      <c r="S437" s="553"/>
      <c r="T437" s="553"/>
      <c r="U437" s="553"/>
      <c r="V437" s="553"/>
      <c r="W437" s="553"/>
      <c r="X437" s="553"/>
      <c r="Y437" s="553"/>
    </row>
    <row r="438" ht="15.75" customHeight="1">
      <c r="A438" s="565"/>
      <c r="B438" s="566"/>
      <c r="C438" s="553"/>
      <c r="D438" s="553"/>
      <c r="E438" s="553"/>
      <c r="F438" s="553"/>
      <c r="G438" s="553"/>
      <c r="H438" s="553"/>
      <c r="I438" s="553"/>
      <c r="J438" s="553"/>
      <c r="K438" s="553"/>
      <c r="L438" s="553"/>
      <c r="M438" s="553"/>
      <c r="N438" s="553"/>
      <c r="O438" s="553"/>
      <c r="P438" s="553"/>
      <c r="Q438" s="553"/>
      <c r="R438" s="553"/>
      <c r="S438" s="553"/>
      <c r="T438" s="553"/>
      <c r="U438" s="553"/>
      <c r="V438" s="553"/>
      <c r="W438" s="553"/>
      <c r="X438" s="553"/>
      <c r="Y438" s="553"/>
    </row>
    <row r="439" ht="15.75" customHeight="1">
      <c r="A439" s="565"/>
      <c r="B439" s="566"/>
      <c r="C439" s="553"/>
      <c r="D439" s="553"/>
      <c r="E439" s="553"/>
      <c r="F439" s="553"/>
      <c r="G439" s="553"/>
      <c r="H439" s="553"/>
      <c r="I439" s="553"/>
      <c r="J439" s="553"/>
      <c r="K439" s="553"/>
      <c r="L439" s="553"/>
      <c r="M439" s="553"/>
      <c r="N439" s="553"/>
      <c r="O439" s="553"/>
      <c r="P439" s="553"/>
      <c r="Q439" s="553"/>
      <c r="R439" s="553"/>
      <c r="S439" s="553"/>
      <c r="T439" s="553"/>
      <c r="U439" s="553"/>
      <c r="V439" s="553"/>
      <c r="W439" s="553"/>
      <c r="X439" s="553"/>
      <c r="Y439" s="553"/>
    </row>
    <row r="440" ht="15.75" customHeight="1">
      <c r="A440" s="565"/>
      <c r="B440" s="566"/>
      <c r="C440" s="553"/>
      <c r="D440" s="553"/>
      <c r="E440" s="553"/>
      <c r="F440" s="553"/>
      <c r="G440" s="553"/>
      <c r="H440" s="553"/>
      <c r="I440" s="553"/>
      <c r="J440" s="553"/>
      <c r="K440" s="553"/>
      <c r="L440" s="553"/>
      <c r="M440" s="553"/>
      <c r="N440" s="553"/>
      <c r="O440" s="553"/>
      <c r="P440" s="553"/>
      <c r="Q440" s="553"/>
      <c r="R440" s="553"/>
      <c r="S440" s="553"/>
      <c r="T440" s="553"/>
      <c r="U440" s="553"/>
      <c r="V440" s="553"/>
      <c r="W440" s="553"/>
      <c r="X440" s="553"/>
      <c r="Y440" s="553"/>
    </row>
    <row r="441" ht="15.75" customHeight="1">
      <c r="A441" s="565"/>
      <c r="B441" s="566"/>
      <c r="C441" s="553"/>
      <c r="D441" s="553"/>
      <c r="E441" s="553"/>
      <c r="F441" s="553"/>
      <c r="G441" s="553"/>
      <c r="H441" s="553"/>
      <c r="I441" s="553"/>
      <c r="J441" s="553"/>
      <c r="K441" s="553"/>
      <c r="L441" s="553"/>
      <c r="M441" s="553"/>
      <c r="N441" s="553"/>
      <c r="O441" s="553"/>
      <c r="P441" s="553"/>
      <c r="Q441" s="553"/>
      <c r="R441" s="553"/>
      <c r="S441" s="553"/>
      <c r="T441" s="553"/>
      <c r="U441" s="553"/>
      <c r="V441" s="553"/>
      <c r="W441" s="553"/>
      <c r="X441" s="553"/>
      <c r="Y441" s="553"/>
    </row>
    <row r="442" ht="15.75" customHeight="1">
      <c r="A442" s="565"/>
      <c r="B442" s="566"/>
      <c r="C442" s="553"/>
      <c r="D442" s="553"/>
      <c r="E442" s="553"/>
      <c r="F442" s="553"/>
      <c r="G442" s="553"/>
      <c r="H442" s="553"/>
      <c r="I442" s="553"/>
      <c r="J442" s="553"/>
      <c r="K442" s="553"/>
      <c r="L442" s="553"/>
      <c r="M442" s="553"/>
      <c r="N442" s="553"/>
      <c r="O442" s="553"/>
      <c r="P442" s="553"/>
      <c r="Q442" s="553"/>
      <c r="R442" s="553"/>
      <c r="S442" s="553"/>
      <c r="T442" s="553"/>
      <c r="U442" s="553"/>
      <c r="V442" s="553"/>
      <c r="W442" s="553"/>
      <c r="X442" s="553"/>
      <c r="Y442" s="553"/>
    </row>
    <row r="443" ht="15.75" customHeight="1">
      <c r="A443" s="565"/>
      <c r="B443" s="566"/>
      <c r="C443" s="553"/>
      <c r="D443" s="553"/>
      <c r="E443" s="553"/>
      <c r="F443" s="553"/>
      <c r="G443" s="553"/>
      <c r="H443" s="553"/>
      <c r="I443" s="553"/>
      <c r="J443" s="553"/>
      <c r="K443" s="553"/>
      <c r="L443" s="553"/>
      <c r="M443" s="553"/>
      <c r="N443" s="553"/>
      <c r="O443" s="553"/>
      <c r="P443" s="553"/>
      <c r="Q443" s="553"/>
      <c r="R443" s="553"/>
      <c r="S443" s="553"/>
      <c r="T443" s="553"/>
      <c r="U443" s="553"/>
      <c r="V443" s="553"/>
      <c r="W443" s="553"/>
      <c r="X443" s="553"/>
      <c r="Y443" s="553"/>
    </row>
    <row r="444" ht="15.75" customHeight="1">
      <c r="A444" s="565"/>
      <c r="B444" s="566"/>
      <c r="C444" s="553"/>
      <c r="D444" s="553"/>
      <c r="E444" s="553"/>
      <c r="F444" s="553"/>
      <c r="G444" s="553"/>
      <c r="H444" s="553"/>
      <c r="I444" s="553"/>
      <c r="J444" s="553"/>
      <c r="K444" s="553"/>
      <c r="L444" s="553"/>
      <c r="M444" s="553"/>
      <c r="N444" s="553"/>
      <c r="O444" s="553"/>
      <c r="P444" s="553"/>
      <c r="Q444" s="553"/>
      <c r="R444" s="553"/>
      <c r="S444" s="553"/>
      <c r="T444" s="553"/>
      <c r="U444" s="553"/>
      <c r="V444" s="553"/>
      <c r="W444" s="553"/>
      <c r="X444" s="553"/>
      <c r="Y444" s="553"/>
    </row>
    <row r="445" ht="15.75" customHeight="1">
      <c r="A445" s="565"/>
      <c r="B445" s="566"/>
      <c r="C445" s="553"/>
      <c r="D445" s="553"/>
      <c r="E445" s="553"/>
      <c r="F445" s="553"/>
      <c r="G445" s="553"/>
      <c r="H445" s="553"/>
      <c r="I445" s="553"/>
      <c r="J445" s="553"/>
      <c r="K445" s="553"/>
      <c r="L445" s="553"/>
      <c r="M445" s="553"/>
      <c r="N445" s="553"/>
      <c r="O445" s="553"/>
      <c r="P445" s="553"/>
      <c r="Q445" s="553"/>
      <c r="R445" s="553"/>
      <c r="S445" s="553"/>
      <c r="T445" s="553"/>
      <c r="U445" s="553"/>
      <c r="V445" s="553"/>
      <c r="W445" s="553"/>
      <c r="X445" s="553"/>
      <c r="Y445" s="553"/>
    </row>
    <row r="446" ht="15.75" customHeight="1">
      <c r="A446" s="565"/>
      <c r="B446" s="566"/>
      <c r="C446" s="553"/>
      <c r="D446" s="553"/>
      <c r="E446" s="553"/>
      <c r="F446" s="553"/>
      <c r="G446" s="553"/>
      <c r="H446" s="553"/>
      <c r="I446" s="553"/>
      <c r="J446" s="553"/>
      <c r="K446" s="553"/>
      <c r="L446" s="553"/>
      <c r="M446" s="553"/>
      <c r="N446" s="553"/>
      <c r="O446" s="553"/>
      <c r="P446" s="553"/>
      <c r="Q446" s="553"/>
      <c r="R446" s="553"/>
      <c r="S446" s="553"/>
      <c r="T446" s="553"/>
      <c r="U446" s="553"/>
      <c r="V446" s="553"/>
      <c r="W446" s="553"/>
      <c r="X446" s="553"/>
      <c r="Y446" s="553"/>
    </row>
    <row r="447" ht="15.75" customHeight="1">
      <c r="A447" s="565"/>
      <c r="B447" s="566"/>
      <c r="C447" s="553"/>
      <c r="D447" s="553"/>
      <c r="E447" s="553"/>
      <c r="F447" s="553"/>
      <c r="G447" s="553"/>
      <c r="H447" s="553"/>
      <c r="I447" s="553"/>
      <c r="J447" s="553"/>
      <c r="K447" s="553"/>
      <c r="L447" s="553"/>
      <c r="M447" s="553"/>
      <c r="N447" s="553"/>
      <c r="O447" s="553"/>
      <c r="P447" s="553"/>
      <c r="Q447" s="553"/>
      <c r="R447" s="553"/>
      <c r="S447" s="553"/>
      <c r="T447" s="553"/>
      <c r="U447" s="553"/>
      <c r="V447" s="553"/>
      <c r="W447" s="553"/>
      <c r="X447" s="553"/>
      <c r="Y447" s="553"/>
    </row>
    <row r="448" ht="15.75" customHeight="1">
      <c r="A448" s="565"/>
      <c r="B448" s="566"/>
      <c r="C448" s="553"/>
      <c r="D448" s="553"/>
      <c r="E448" s="553"/>
      <c r="F448" s="553"/>
      <c r="G448" s="553"/>
      <c r="H448" s="553"/>
      <c r="I448" s="553"/>
      <c r="J448" s="553"/>
      <c r="K448" s="553"/>
      <c r="L448" s="553"/>
      <c r="M448" s="553"/>
      <c r="N448" s="553"/>
      <c r="O448" s="553"/>
      <c r="P448" s="553"/>
      <c r="Q448" s="553"/>
      <c r="R448" s="553"/>
      <c r="S448" s="553"/>
      <c r="T448" s="553"/>
      <c r="U448" s="553"/>
      <c r="V448" s="553"/>
      <c r="W448" s="553"/>
      <c r="X448" s="553"/>
      <c r="Y448" s="553"/>
    </row>
    <row r="449" ht="15.75" customHeight="1">
      <c r="A449" s="565"/>
      <c r="B449" s="566"/>
      <c r="C449" s="553"/>
      <c r="D449" s="553"/>
      <c r="E449" s="553"/>
      <c r="F449" s="553"/>
      <c r="G449" s="553"/>
      <c r="H449" s="553"/>
      <c r="I449" s="553"/>
      <c r="J449" s="553"/>
      <c r="K449" s="553"/>
      <c r="L449" s="553"/>
      <c r="M449" s="553"/>
      <c r="N449" s="553"/>
      <c r="O449" s="553"/>
      <c r="P449" s="553"/>
      <c r="Q449" s="553"/>
      <c r="R449" s="553"/>
      <c r="S449" s="553"/>
      <c r="T449" s="553"/>
      <c r="U449" s="553"/>
      <c r="V449" s="553"/>
      <c r="W449" s="553"/>
      <c r="X449" s="553"/>
      <c r="Y449" s="553"/>
    </row>
    <row r="450" ht="15.75" customHeight="1">
      <c r="A450" s="565"/>
      <c r="B450" s="566"/>
      <c r="C450" s="553"/>
      <c r="D450" s="553"/>
      <c r="E450" s="553"/>
      <c r="F450" s="553"/>
      <c r="G450" s="553"/>
      <c r="H450" s="553"/>
      <c r="I450" s="553"/>
      <c r="J450" s="553"/>
      <c r="K450" s="553"/>
      <c r="L450" s="553"/>
      <c r="M450" s="553"/>
      <c r="N450" s="553"/>
      <c r="O450" s="553"/>
      <c r="P450" s="553"/>
      <c r="Q450" s="553"/>
      <c r="R450" s="553"/>
      <c r="S450" s="553"/>
      <c r="T450" s="553"/>
      <c r="U450" s="553"/>
      <c r="V450" s="553"/>
      <c r="W450" s="553"/>
      <c r="X450" s="553"/>
      <c r="Y450" s="553"/>
    </row>
    <row r="451" ht="15.75" customHeight="1">
      <c r="A451" s="565"/>
      <c r="B451" s="566"/>
      <c r="C451" s="553"/>
      <c r="D451" s="553"/>
      <c r="E451" s="553"/>
      <c r="F451" s="553"/>
      <c r="G451" s="553"/>
      <c r="H451" s="553"/>
      <c r="I451" s="553"/>
      <c r="J451" s="553"/>
      <c r="K451" s="553"/>
      <c r="L451" s="553"/>
      <c r="M451" s="553"/>
      <c r="N451" s="553"/>
      <c r="O451" s="553"/>
      <c r="P451" s="553"/>
      <c r="Q451" s="553"/>
      <c r="R451" s="553"/>
      <c r="S451" s="553"/>
      <c r="T451" s="553"/>
      <c r="U451" s="553"/>
      <c r="V451" s="553"/>
      <c r="W451" s="553"/>
      <c r="X451" s="553"/>
      <c r="Y451" s="553"/>
    </row>
    <row r="452" ht="15.75" customHeight="1">
      <c r="A452" s="565"/>
      <c r="B452" s="566"/>
      <c r="C452" s="553"/>
      <c r="D452" s="553"/>
      <c r="E452" s="553"/>
      <c r="F452" s="553"/>
      <c r="G452" s="553"/>
      <c r="H452" s="553"/>
      <c r="I452" s="553"/>
      <c r="J452" s="553"/>
      <c r="K452" s="553"/>
      <c r="L452" s="553"/>
      <c r="M452" s="553"/>
      <c r="N452" s="553"/>
      <c r="O452" s="553"/>
      <c r="P452" s="553"/>
      <c r="Q452" s="553"/>
      <c r="R452" s="553"/>
      <c r="S452" s="553"/>
      <c r="T452" s="553"/>
      <c r="U452" s="553"/>
      <c r="V452" s="553"/>
      <c r="W452" s="553"/>
      <c r="X452" s="553"/>
      <c r="Y452" s="553"/>
    </row>
    <row r="453" ht="15.75" customHeight="1">
      <c r="A453" s="565"/>
      <c r="B453" s="566"/>
      <c r="C453" s="553"/>
      <c r="D453" s="553"/>
      <c r="E453" s="553"/>
      <c r="F453" s="553"/>
      <c r="G453" s="553"/>
      <c r="H453" s="553"/>
      <c r="I453" s="553"/>
      <c r="J453" s="553"/>
      <c r="K453" s="553"/>
      <c r="L453" s="553"/>
      <c r="M453" s="553"/>
      <c r="N453" s="553"/>
      <c r="O453" s="553"/>
      <c r="P453" s="553"/>
      <c r="Q453" s="553"/>
      <c r="R453" s="553"/>
      <c r="S453" s="553"/>
      <c r="T453" s="553"/>
      <c r="U453" s="553"/>
      <c r="V453" s="553"/>
      <c r="W453" s="553"/>
      <c r="X453" s="553"/>
      <c r="Y453" s="553"/>
    </row>
    <row r="454" ht="15.75" customHeight="1">
      <c r="A454" s="565"/>
      <c r="B454" s="566"/>
      <c r="C454" s="553"/>
      <c r="D454" s="553"/>
      <c r="E454" s="553"/>
      <c r="F454" s="553"/>
      <c r="G454" s="553"/>
      <c r="H454" s="553"/>
      <c r="I454" s="553"/>
      <c r="J454" s="553"/>
      <c r="K454" s="553"/>
      <c r="L454" s="553"/>
      <c r="M454" s="553"/>
      <c r="N454" s="553"/>
      <c r="O454" s="553"/>
      <c r="P454" s="553"/>
      <c r="Q454" s="553"/>
      <c r="R454" s="553"/>
      <c r="S454" s="553"/>
      <c r="T454" s="553"/>
      <c r="U454" s="553"/>
      <c r="V454" s="553"/>
      <c r="W454" s="553"/>
      <c r="X454" s="553"/>
      <c r="Y454" s="553"/>
    </row>
    <row r="455" ht="15.75" customHeight="1">
      <c r="A455" s="565"/>
      <c r="B455" s="566"/>
      <c r="C455" s="553"/>
      <c r="D455" s="553"/>
      <c r="E455" s="553"/>
      <c r="F455" s="553"/>
      <c r="G455" s="553"/>
      <c r="H455" s="553"/>
      <c r="I455" s="553"/>
      <c r="J455" s="553"/>
      <c r="K455" s="553"/>
      <c r="L455" s="553"/>
      <c r="M455" s="553"/>
      <c r="N455" s="553"/>
      <c r="O455" s="553"/>
      <c r="P455" s="553"/>
      <c r="Q455" s="553"/>
      <c r="R455" s="553"/>
      <c r="S455" s="553"/>
      <c r="T455" s="553"/>
      <c r="U455" s="553"/>
      <c r="V455" s="553"/>
      <c r="W455" s="553"/>
      <c r="X455" s="553"/>
      <c r="Y455" s="553"/>
    </row>
    <row r="456" ht="15.75" customHeight="1">
      <c r="A456" s="565"/>
      <c r="B456" s="566"/>
      <c r="C456" s="553"/>
      <c r="D456" s="553"/>
      <c r="E456" s="553"/>
      <c r="F456" s="553"/>
      <c r="G456" s="553"/>
      <c r="H456" s="553"/>
      <c r="I456" s="553"/>
      <c r="J456" s="553"/>
      <c r="K456" s="553"/>
      <c r="L456" s="553"/>
      <c r="M456" s="553"/>
      <c r="N456" s="553"/>
      <c r="O456" s="553"/>
      <c r="P456" s="553"/>
      <c r="Q456" s="553"/>
      <c r="R456" s="553"/>
      <c r="S456" s="553"/>
      <c r="T456" s="553"/>
      <c r="U456" s="553"/>
      <c r="V456" s="553"/>
      <c r="W456" s="553"/>
      <c r="X456" s="553"/>
      <c r="Y456" s="553"/>
    </row>
    <row r="457" ht="15.75" customHeight="1">
      <c r="A457" s="565"/>
      <c r="B457" s="566"/>
      <c r="C457" s="553"/>
      <c r="D457" s="553"/>
      <c r="E457" s="553"/>
      <c r="F457" s="553"/>
      <c r="G457" s="553"/>
      <c r="H457" s="553"/>
      <c r="I457" s="553"/>
      <c r="J457" s="553"/>
      <c r="K457" s="553"/>
      <c r="L457" s="553"/>
      <c r="M457" s="553"/>
      <c r="N457" s="553"/>
      <c r="O457" s="553"/>
      <c r="P457" s="553"/>
      <c r="Q457" s="553"/>
      <c r="R457" s="553"/>
      <c r="S457" s="553"/>
      <c r="T457" s="553"/>
      <c r="U457" s="553"/>
      <c r="V457" s="553"/>
      <c r="W457" s="553"/>
      <c r="X457" s="553"/>
      <c r="Y457" s="553"/>
    </row>
    <row r="458" ht="15.75" customHeight="1">
      <c r="A458" s="565"/>
      <c r="B458" s="566"/>
      <c r="C458" s="553"/>
      <c r="D458" s="553"/>
      <c r="E458" s="553"/>
      <c r="F458" s="553"/>
      <c r="G458" s="553"/>
      <c r="H458" s="553"/>
      <c r="I458" s="553"/>
      <c r="J458" s="553"/>
      <c r="K458" s="553"/>
      <c r="L458" s="553"/>
      <c r="M458" s="553"/>
      <c r="N458" s="553"/>
      <c r="O458" s="553"/>
      <c r="P458" s="553"/>
      <c r="Q458" s="553"/>
      <c r="R458" s="553"/>
      <c r="S458" s="553"/>
      <c r="T458" s="553"/>
      <c r="U458" s="553"/>
      <c r="V458" s="553"/>
      <c r="W458" s="553"/>
      <c r="X458" s="553"/>
      <c r="Y458" s="553"/>
    </row>
    <row r="459" ht="15.75" customHeight="1">
      <c r="A459" s="565"/>
      <c r="B459" s="566"/>
      <c r="C459" s="553"/>
      <c r="D459" s="553"/>
      <c r="E459" s="553"/>
      <c r="F459" s="553"/>
      <c r="G459" s="553"/>
      <c r="H459" s="553"/>
      <c r="I459" s="553"/>
      <c r="J459" s="553"/>
      <c r="K459" s="553"/>
      <c r="L459" s="553"/>
      <c r="M459" s="553"/>
      <c r="N459" s="553"/>
      <c r="O459" s="553"/>
      <c r="P459" s="553"/>
      <c r="Q459" s="553"/>
      <c r="R459" s="553"/>
      <c r="S459" s="553"/>
      <c r="T459" s="553"/>
      <c r="U459" s="553"/>
      <c r="V459" s="553"/>
      <c r="W459" s="553"/>
      <c r="X459" s="553"/>
      <c r="Y459" s="553"/>
    </row>
    <row r="460" ht="15.75" customHeight="1">
      <c r="A460" s="565"/>
      <c r="B460" s="566"/>
      <c r="C460" s="553"/>
      <c r="D460" s="553"/>
      <c r="E460" s="553"/>
      <c r="F460" s="553"/>
      <c r="G460" s="553"/>
      <c r="H460" s="553"/>
      <c r="I460" s="553"/>
      <c r="J460" s="553"/>
      <c r="K460" s="553"/>
      <c r="L460" s="553"/>
      <c r="M460" s="553"/>
      <c r="N460" s="553"/>
      <c r="O460" s="553"/>
      <c r="P460" s="553"/>
      <c r="Q460" s="553"/>
      <c r="R460" s="553"/>
      <c r="S460" s="553"/>
      <c r="T460" s="553"/>
      <c r="U460" s="553"/>
      <c r="V460" s="553"/>
      <c r="W460" s="553"/>
      <c r="X460" s="553"/>
      <c r="Y460" s="553"/>
    </row>
    <row r="461" ht="15.75" customHeight="1">
      <c r="A461" s="565"/>
      <c r="B461" s="566"/>
      <c r="C461" s="553"/>
      <c r="D461" s="553"/>
      <c r="E461" s="553"/>
      <c r="F461" s="553"/>
      <c r="G461" s="553"/>
      <c r="H461" s="553"/>
      <c r="I461" s="553"/>
      <c r="J461" s="553"/>
      <c r="K461" s="553"/>
      <c r="L461" s="553"/>
      <c r="M461" s="553"/>
      <c r="N461" s="553"/>
      <c r="O461" s="553"/>
      <c r="P461" s="553"/>
      <c r="Q461" s="553"/>
      <c r="R461" s="553"/>
      <c r="S461" s="553"/>
      <c r="T461" s="553"/>
      <c r="U461" s="553"/>
      <c r="V461" s="553"/>
      <c r="W461" s="553"/>
      <c r="X461" s="553"/>
      <c r="Y461" s="553"/>
    </row>
    <row r="462" ht="15.75" customHeight="1">
      <c r="A462" s="565"/>
      <c r="B462" s="566"/>
      <c r="C462" s="553"/>
      <c r="D462" s="553"/>
      <c r="E462" s="553"/>
      <c r="F462" s="553"/>
      <c r="G462" s="553"/>
      <c r="H462" s="553"/>
      <c r="I462" s="553"/>
      <c r="J462" s="553"/>
      <c r="K462" s="553"/>
      <c r="L462" s="553"/>
      <c r="M462" s="553"/>
      <c r="N462" s="553"/>
      <c r="O462" s="553"/>
      <c r="P462" s="553"/>
      <c r="Q462" s="553"/>
      <c r="R462" s="553"/>
      <c r="S462" s="553"/>
      <c r="T462" s="553"/>
      <c r="U462" s="553"/>
      <c r="V462" s="553"/>
      <c r="W462" s="553"/>
      <c r="X462" s="553"/>
      <c r="Y462" s="553"/>
    </row>
    <row r="463" ht="15.75" customHeight="1">
      <c r="A463" s="565"/>
      <c r="B463" s="566"/>
      <c r="C463" s="553"/>
      <c r="D463" s="553"/>
      <c r="E463" s="553"/>
      <c r="F463" s="553"/>
      <c r="G463" s="553"/>
      <c r="H463" s="553"/>
      <c r="I463" s="553"/>
      <c r="J463" s="553"/>
      <c r="K463" s="553"/>
      <c r="L463" s="553"/>
      <c r="M463" s="553"/>
      <c r="N463" s="553"/>
      <c r="O463" s="553"/>
      <c r="P463" s="553"/>
      <c r="Q463" s="553"/>
      <c r="R463" s="553"/>
      <c r="S463" s="553"/>
      <c r="T463" s="553"/>
      <c r="U463" s="553"/>
      <c r="V463" s="553"/>
      <c r="W463" s="553"/>
      <c r="X463" s="553"/>
      <c r="Y463" s="553"/>
    </row>
    <row r="464" ht="15.75" customHeight="1">
      <c r="A464" s="565"/>
      <c r="B464" s="566"/>
      <c r="C464" s="553"/>
      <c r="D464" s="553"/>
      <c r="E464" s="553"/>
      <c r="F464" s="553"/>
      <c r="G464" s="553"/>
      <c r="H464" s="553"/>
      <c r="I464" s="553"/>
      <c r="J464" s="553"/>
      <c r="K464" s="553"/>
      <c r="L464" s="553"/>
      <c r="M464" s="553"/>
      <c r="N464" s="553"/>
      <c r="O464" s="553"/>
      <c r="P464" s="553"/>
      <c r="Q464" s="553"/>
      <c r="R464" s="553"/>
      <c r="S464" s="553"/>
      <c r="T464" s="553"/>
      <c r="U464" s="553"/>
      <c r="V464" s="553"/>
      <c r="W464" s="553"/>
      <c r="X464" s="553"/>
      <c r="Y464" s="553"/>
    </row>
    <row r="465" ht="15.75" customHeight="1">
      <c r="A465" s="565"/>
      <c r="B465" s="566"/>
      <c r="C465" s="553"/>
      <c r="D465" s="553"/>
      <c r="E465" s="553"/>
      <c r="F465" s="553"/>
      <c r="G465" s="553"/>
      <c r="H465" s="553"/>
      <c r="I465" s="553"/>
      <c r="J465" s="553"/>
      <c r="K465" s="553"/>
      <c r="L465" s="553"/>
      <c r="M465" s="553"/>
      <c r="N465" s="553"/>
      <c r="O465" s="553"/>
      <c r="P465" s="553"/>
      <c r="Q465" s="553"/>
      <c r="R465" s="553"/>
      <c r="S465" s="553"/>
      <c r="T465" s="553"/>
      <c r="U465" s="553"/>
      <c r="V465" s="553"/>
      <c r="W465" s="553"/>
      <c r="X465" s="553"/>
      <c r="Y465" s="553"/>
    </row>
    <row r="466" ht="15.75" customHeight="1">
      <c r="A466" s="565"/>
      <c r="B466" s="566"/>
      <c r="C466" s="553"/>
      <c r="D466" s="553"/>
      <c r="E466" s="553"/>
      <c r="F466" s="553"/>
      <c r="G466" s="553"/>
      <c r="H466" s="553"/>
      <c r="I466" s="553"/>
      <c r="J466" s="553"/>
      <c r="K466" s="553"/>
      <c r="L466" s="553"/>
      <c r="M466" s="553"/>
      <c r="N466" s="553"/>
      <c r="O466" s="553"/>
      <c r="P466" s="553"/>
      <c r="Q466" s="553"/>
      <c r="R466" s="553"/>
      <c r="S466" s="553"/>
      <c r="T466" s="553"/>
      <c r="U466" s="553"/>
      <c r="V466" s="553"/>
      <c r="W466" s="553"/>
      <c r="X466" s="553"/>
      <c r="Y466" s="553"/>
    </row>
    <row r="467" ht="15.75" customHeight="1">
      <c r="A467" s="565"/>
      <c r="B467" s="566"/>
      <c r="C467" s="553"/>
      <c r="D467" s="553"/>
      <c r="E467" s="553"/>
      <c r="F467" s="553"/>
      <c r="G467" s="553"/>
      <c r="H467" s="553"/>
      <c r="I467" s="553"/>
      <c r="J467" s="553"/>
      <c r="K467" s="553"/>
      <c r="L467" s="553"/>
      <c r="M467" s="553"/>
      <c r="N467" s="553"/>
      <c r="O467" s="553"/>
      <c r="P467" s="553"/>
      <c r="Q467" s="553"/>
      <c r="R467" s="553"/>
      <c r="S467" s="553"/>
      <c r="T467" s="553"/>
      <c r="U467" s="553"/>
      <c r="V467" s="553"/>
      <c r="W467" s="553"/>
      <c r="X467" s="553"/>
      <c r="Y467" s="553"/>
    </row>
    <row r="468" ht="15.75" customHeight="1">
      <c r="A468" s="565"/>
      <c r="B468" s="566"/>
      <c r="C468" s="553"/>
      <c r="D468" s="553"/>
      <c r="E468" s="553"/>
      <c r="F468" s="553"/>
      <c r="G468" s="553"/>
      <c r="H468" s="553"/>
      <c r="I468" s="553"/>
      <c r="J468" s="553"/>
      <c r="K468" s="553"/>
      <c r="L468" s="553"/>
      <c r="M468" s="553"/>
      <c r="N468" s="553"/>
      <c r="O468" s="553"/>
      <c r="P468" s="553"/>
      <c r="Q468" s="553"/>
      <c r="R468" s="553"/>
      <c r="S468" s="553"/>
      <c r="T468" s="553"/>
      <c r="U468" s="553"/>
      <c r="V468" s="553"/>
      <c r="W468" s="553"/>
      <c r="X468" s="553"/>
      <c r="Y468" s="553"/>
    </row>
    <row r="469" ht="15.75" customHeight="1">
      <c r="A469" s="565"/>
      <c r="B469" s="566"/>
      <c r="C469" s="553"/>
      <c r="D469" s="553"/>
      <c r="E469" s="553"/>
      <c r="F469" s="553"/>
      <c r="G469" s="553"/>
      <c r="H469" s="553"/>
      <c r="I469" s="553"/>
      <c r="J469" s="553"/>
      <c r="K469" s="553"/>
      <c r="L469" s="553"/>
      <c r="M469" s="553"/>
      <c r="N469" s="553"/>
      <c r="O469" s="553"/>
      <c r="P469" s="553"/>
      <c r="Q469" s="553"/>
      <c r="R469" s="553"/>
      <c r="S469" s="553"/>
      <c r="T469" s="553"/>
      <c r="U469" s="553"/>
      <c r="V469" s="553"/>
      <c r="W469" s="553"/>
      <c r="X469" s="553"/>
      <c r="Y469" s="553"/>
    </row>
    <row r="470" ht="15.75" customHeight="1">
      <c r="A470" s="565"/>
      <c r="B470" s="566"/>
      <c r="C470" s="553"/>
      <c r="D470" s="553"/>
      <c r="E470" s="553"/>
      <c r="F470" s="553"/>
      <c r="G470" s="553"/>
      <c r="H470" s="553"/>
      <c r="I470" s="553"/>
      <c r="J470" s="553"/>
      <c r="K470" s="553"/>
      <c r="L470" s="553"/>
      <c r="M470" s="553"/>
      <c r="N470" s="553"/>
      <c r="O470" s="553"/>
      <c r="P470" s="553"/>
      <c r="Q470" s="553"/>
      <c r="R470" s="553"/>
      <c r="S470" s="553"/>
      <c r="T470" s="553"/>
      <c r="U470" s="553"/>
      <c r="V470" s="553"/>
      <c r="W470" s="553"/>
      <c r="X470" s="553"/>
      <c r="Y470" s="553"/>
    </row>
    <row r="471" ht="15.75" customHeight="1">
      <c r="A471" s="565"/>
      <c r="B471" s="566"/>
      <c r="C471" s="553"/>
      <c r="D471" s="553"/>
      <c r="E471" s="553"/>
      <c r="F471" s="553"/>
      <c r="G471" s="553"/>
      <c r="H471" s="553"/>
      <c r="I471" s="553"/>
      <c r="J471" s="553"/>
      <c r="K471" s="553"/>
      <c r="L471" s="553"/>
      <c r="M471" s="553"/>
      <c r="N471" s="553"/>
      <c r="O471" s="553"/>
      <c r="P471" s="553"/>
      <c r="Q471" s="553"/>
      <c r="R471" s="553"/>
      <c r="S471" s="553"/>
      <c r="T471" s="553"/>
      <c r="U471" s="553"/>
      <c r="V471" s="553"/>
      <c r="W471" s="553"/>
      <c r="X471" s="553"/>
      <c r="Y471" s="553"/>
    </row>
    <row r="472" ht="15.75" customHeight="1">
      <c r="A472" s="565"/>
      <c r="B472" s="566"/>
      <c r="C472" s="553"/>
      <c r="D472" s="553"/>
      <c r="E472" s="553"/>
      <c r="F472" s="553"/>
      <c r="G472" s="553"/>
      <c r="H472" s="553"/>
      <c r="I472" s="553"/>
      <c r="J472" s="553"/>
      <c r="K472" s="553"/>
      <c r="L472" s="553"/>
      <c r="M472" s="553"/>
      <c r="N472" s="553"/>
      <c r="O472" s="553"/>
      <c r="P472" s="553"/>
      <c r="Q472" s="553"/>
      <c r="R472" s="553"/>
      <c r="S472" s="553"/>
      <c r="T472" s="553"/>
      <c r="U472" s="553"/>
      <c r="V472" s="553"/>
      <c r="W472" s="553"/>
      <c r="X472" s="553"/>
      <c r="Y472" s="553"/>
    </row>
    <row r="473" ht="15.75" customHeight="1">
      <c r="A473" s="565"/>
      <c r="B473" s="566"/>
      <c r="C473" s="553"/>
      <c r="D473" s="553"/>
      <c r="E473" s="553"/>
      <c r="F473" s="553"/>
      <c r="G473" s="553"/>
      <c r="H473" s="553"/>
      <c r="I473" s="553"/>
      <c r="J473" s="553"/>
      <c r="K473" s="553"/>
      <c r="L473" s="553"/>
      <c r="M473" s="553"/>
      <c r="N473" s="553"/>
      <c r="O473" s="553"/>
      <c r="P473" s="553"/>
      <c r="Q473" s="553"/>
      <c r="R473" s="553"/>
      <c r="S473" s="553"/>
      <c r="T473" s="553"/>
      <c r="U473" s="553"/>
      <c r="V473" s="553"/>
      <c r="W473" s="553"/>
      <c r="X473" s="553"/>
      <c r="Y473" s="553"/>
    </row>
    <row r="474" ht="15.75" customHeight="1">
      <c r="A474" s="565"/>
      <c r="B474" s="566"/>
      <c r="C474" s="553"/>
      <c r="D474" s="553"/>
      <c r="E474" s="553"/>
      <c r="F474" s="553"/>
      <c r="G474" s="553"/>
      <c r="H474" s="553"/>
      <c r="I474" s="553"/>
      <c r="J474" s="553"/>
      <c r="K474" s="553"/>
      <c r="L474" s="553"/>
      <c r="M474" s="553"/>
      <c r="N474" s="553"/>
      <c r="O474" s="553"/>
      <c r="P474" s="553"/>
      <c r="Q474" s="553"/>
      <c r="R474" s="553"/>
      <c r="S474" s="553"/>
      <c r="T474" s="553"/>
      <c r="U474" s="553"/>
      <c r="V474" s="553"/>
      <c r="W474" s="553"/>
      <c r="X474" s="553"/>
      <c r="Y474" s="553"/>
    </row>
    <row r="475" ht="15.75" customHeight="1">
      <c r="A475" s="565"/>
      <c r="B475" s="566"/>
      <c r="C475" s="553"/>
      <c r="D475" s="553"/>
      <c r="E475" s="553"/>
      <c r="F475" s="553"/>
      <c r="G475" s="553"/>
      <c r="H475" s="553"/>
      <c r="I475" s="553"/>
      <c r="J475" s="553"/>
      <c r="K475" s="553"/>
      <c r="L475" s="553"/>
      <c r="M475" s="553"/>
      <c r="N475" s="553"/>
      <c r="O475" s="553"/>
      <c r="P475" s="553"/>
      <c r="Q475" s="553"/>
      <c r="R475" s="553"/>
      <c r="S475" s="553"/>
      <c r="T475" s="553"/>
      <c r="U475" s="553"/>
      <c r="V475" s="553"/>
      <c r="W475" s="553"/>
      <c r="X475" s="553"/>
      <c r="Y475" s="553"/>
    </row>
    <row r="476" ht="15.75" customHeight="1">
      <c r="A476" s="565"/>
      <c r="B476" s="566"/>
      <c r="C476" s="553"/>
      <c r="D476" s="553"/>
      <c r="E476" s="553"/>
      <c r="F476" s="553"/>
      <c r="G476" s="553"/>
      <c r="H476" s="553"/>
      <c r="I476" s="553"/>
      <c r="J476" s="553"/>
      <c r="K476" s="553"/>
      <c r="L476" s="553"/>
      <c r="M476" s="553"/>
      <c r="N476" s="553"/>
      <c r="O476" s="553"/>
      <c r="P476" s="553"/>
      <c r="Q476" s="553"/>
      <c r="R476" s="553"/>
      <c r="S476" s="553"/>
      <c r="T476" s="553"/>
      <c r="U476" s="553"/>
      <c r="V476" s="553"/>
      <c r="W476" s="553"/>
      <c r="X476" s="553"/>
      <c r="Y476" s="553"/>
    </row>
    <row r="477" ht="15.75" customHeight="1">
      <c r="A477" s="565"/>
      <c r="B477" s="566"/>
      <c r="C477" s="553"/>
      <c r="D477" s="553"/>
      <c r="E477" s="553"/>
      <c r="F477" s="553"/>
      <c r="G477" s="553"/>
      <c r="H477" s="553"/>
      <c r="I477" s="553"/>
      <c r="J477" s="553"/>
      <c r="K477" s="553"/>
      <c r="L477" s="553"/>
      <c r="M477" s="553"/>
      <c r="N477" s="553"/>
      <c r="O477" s="553"/>
      <c r="P477" s="553"/>
      <c r="Q477" s="553"/>
      <c r="R477" s="553"/>
      <c r="S477" s="553"/>
      <c r="T477" s="553"/>
      <c r="U477" s="553"/>
      <c r="V477" s="553"/>
      <c r="W477" s="553"/>
      <c r="X477" s="553"/>
      <c r="Y477" s="553"/>
    </row>
    <row r="478" ht="15.75" customHeight="1">
      <c r="A478" s="565"/>
      <c r="B478" s="566"/>
      <c r="C478" s="553"/>
      <c r="D478" s="553"/>
      <c r="E478" s="553"/>
      <c r="F478" s="553"/>
      <c r="G478" s="553"/>
      <c r="H478" s="553"/>
      <c r="I478" s="553"/>
      <c r="J478" s="553"/>
      <c r="K478" s="553"/>
      <c r="L478" s="553"/>
      <c r="M478" s="553"/>
      <c r="N478" s="553"/>
      <c r="O478" s="553"/>
      <c r="P478" s="553"/>
      <c r="Q478" s="553"/>
      <c r="R478" s="553"/>
      <c r="S478" s="553"/>
      <c r="T478" s="553"/>
      <c r="U478" s="553"/>
      <c r="V478" s="553"/>
      <c r="W478" s="553"/>
      <c r="X478" s="553"/>
      <c r="Y478" s="553"/>
    </row>
    <row r="479" ht="15.75" customHeight="1">
      <c r="A479" s="565"/>
      <c r="B479" s="566"/>
      <c r="C479" s="553"/>
      <c r="D479" s="553"/>
      <c r="E479" s="553"/>
      <c r="F479" s="553"/>
      <c r="G479" s="553"/>
      <c r="H479" s="553"/>
      <c r="I479" s="553"/>
      <c r="J479" s="553"/>
      <c r="K479" s="553"/>
      <c r="L479" s="553"/>
      <c r="M479" s="553"/>
      <c r="N479" s="553"/>
      <c r="O479" s="553"/>
      <c r="P479" s="553"/>
      <c r="Q479" s="553"/>
      <c r="R479" s="553"/>
      <c r="S479" s="553"/>
      <c r="T479" s="553"/>
      <c r="U479" s="553"/>
      <c r="V479" s="553"/>
      <c r="W479" s="553"/>
      <c r="X479" s="553"/>
      <c r="Y479" s="553"/>
    </row>
    <row r="480" ht="15.75" customHeight="1">
      <c r="A480" s="565"/>
      <c r="B480" s="566"/>
      <c r="C480" s="553"/>
      <c r="D480" s="553"/>
      <c r="E480" s="553"/>
      <c r="F480" s="553"/>
      <c r="G480" s="553"/>
      <c r="H480" s="553"/>
      <c r="I480" s="553"/>
      <c r="J480" s="553"/>
      <c r="K480" s="553"/>
      <c r="L480" s="553"/>
      <c r="M480" s="553"/>
      <c r="N480" s="553"/>
      <c r="O480" s="553"/>
      <c r="P480" s="553"/>
      <c r="Q480" s="553"/>
      <c r="R480" s="553"/>
      <c r="S480" s="553"/>
      <c r="T480" s="553"/>
      <c r="U480" s="553"/>
      <c r="V480" s="553"/>
      <c r="W480" s="553"/>
      <c r="X480" s="553"/>
      <c r="Y480" s="553"/>
    </row>
    <row r="481" ht="15.75" customHeight="1">
      <c r="A481" s="565"/>
      <c r="B481" s="566"/>
      <c r="C481" s="553"/>
      <c r="D481" s="553"/>
      <c r="E481" s="553"/>
      <c r="F481" s="553"/>
      <c r="G481" s="553"/>
      <c r="H481" s="553"/>
      <c r="I481" s="553"/>
      <c r="J481" s="553"/>
      <c r="K481" s="553"/>
      <c r="L481" s="553"/>
      <c r="M481" s="553"/>
      <c r="N481" s="553"/>
      <c r="O481" s="553"/>
      <c r="P481" s="553"/>
      <c r="Q481" s="553"/>
      <c r="R481" s="553"/>
      <c r="S481" s="553"/>
      <c r="T481" s="553"/>
      <c r="U481" s="553"/>
      <c r="V481" s="553"/>
      <c r="W481" s="553"/>
      <c r="X481" s="553"/>
      <c r="Y481" s="553"/>
    </row>
    <row r="482" ht="15.75" customHeight="1">
      <c r="A482" s="565"/>
      <c r="B482" s="566"/>
      <c r="C482" s="553"/>
      <c r="D482" s="553"/>
      <c r="E482" s="553"/>
      <c r="F482" s="553"/>
      <c r="G482" s="553"/>
      <c r="H482" s="553"/>
      <c r="I482" s="553"/>
      <c r="J482" s="553"/>
      <c r="K482" s="553"/>
      <c r="L482" s="553"/>
      <c r="M482" s="553"/>
      <c r="N482" s="553"/>
      <c r="O482" s="553"/>
      <c r="P482" s="553"/>
      <c r="Q482" s="553"/>
      <c r="R482" s="553"/>
      <c r="S482" s="553"/>
      <c r="T482" s="553"/>
      <c r="U482" s="553"/>
      <c r="V482" s="553"/>
      <c r="W482" s="553"/>
      <c r="X482" s="553"/>
      <c r="Y482" s="553"/>
    </row>
    <row r="483" ht="15.75" customHeight="1">
      <c r="A483" s="565"/>
      <c r="B483" s="566"/>
      <c r="C483" s="553"/>
      <c r="D483" s="553"/>
      <c r="E483" s="553"/>
      <c r="F483" s="553"/>
      <c r="G483" s="553"/>
      <c r="H483" s="553"/>
      <c r="I483" s="553"/>
      <c r="J483" s="553"/>
      <c r="K483" s="553"/>
      <c r="L483" s="553"/>
      <c r="M483" s="553"/>
      <c r="N483" s="553"/>
      <c r="O483" s="553"/>
      <c r="P483" s="553"/>
      <c r="Q483" s="553"/>
      <c r="R483" s="553"/>
      <c r="S483" s="553"/>
      <c r="T483" s="553"/>
      <c r="U483" s="553"/>
      <c r="V483" s="553"/>
      <c r="W483" s="553"/>
      <c r="X483" s="553"/>
      <c r="Y483" s="553"/>
    </row>
    <row r="484" ht="15.75" customHeight="1">
      <c r="A484" s="565"/>
      <c r="B484" s="566"/>
      <c r="C484" s="553"/>
      <c r="D484" s="553"/>
      <c r="E484" s="553"/>
      <c r="F484" s="553"/>
      <c r="G484" s="553"/>
      <c r="H484" s="553"/>
      <c r="I484" s="553"/>
      <c r="J484" s="553"/>
      <c r="K484" s="553"/>
      <c r="L484" s="553"/>
      <c r="M484" s="553"/>
      <c r="N484" s="553"/>
      <c r="O484" s="553"/>
      <c r="P484" s="553"/>
      <c r="Q484" s="553"/>
      <c r="R484" s="553"/>
      <c r="S484" s="553"/>
      <c r="T484" s="553"/>
      <c r="U484" s="553"/>
      <c r="V484" s="553"/>
      <c r="W484" s="553"/>
      <c r="X484" s="553"/>
      <c r="Y484" s="553"/>
    </row>
    <row r="485" ht="15.75" customHeight="1">
      <c r="A485" s="565"/>
      <c r="B485" s="566"/>
      <c r="C485" s="553"/>
      <c r="D485" s="553"/>
      <c r="E485" s="553"/>
      <c r="F485" s="553"/>
      <c r="G485" s="553"/>
      <c r="H485" s="553"/>
      <c r="I485" s="553"/>
      <c r="J485" s="553"/>
      <c r="K485" s="553"/>
      <c r="L485" s="553"/>
      <c r="M485" s="553"/>
      <c r="N485" s="553"/>
      <c r="O485" s="553"/>
      <c r="P485" s="553"/>
      <c r="Q485" s="553"/>
      <c r="R485" s="553"/>
      <c r="S485" s="553"/>
      <c r="T485" s="553"/>
      <c r="U485" s="553"/>
      <c r="V485" s="553"/>
      <c r="W485" s="553"/>
      <c r="X485" s="553"/>
      <c r="Y485" s="553"/>
    </row>
    <row r="486" ht="15.75" customHeight="1">
      <c r="A486" s="565"/>
      <c r="B486" s="566"/>
      <c r="C486" s="553"/>
      <c r="D486" s="553"/>
      <c r="E486" s="553"/>
      <c r="F486" s="553"/>
      <c r="G486" s="553"/>
      <c r="H486" s="553"/>
      <c r="I486" s="553"/>
      <c r="J486" s="553"/>
      <c r="K486" s="553"/>
      <c r="L486" s="553"/>
      <c r="M486" s="553"/>
      <c r="N486" s="553"/>
      <c r="O486" s="553"/>
      <c r="P486" s="553"/>
      <c r="Q486" s="553"/>
      <c r="R486" s="553"/>
      <c r="S486" s="553"/>
      <c r="T486" s="553"/>
      <c r="U486" s="553"/>
      <c r="V486" s="553"/>
      <c r="W486" s="553"/>
      <c r="X486" s="553"/>
      <c r="Y486" s="553"/>
    </row>
    <row r="487" ht="15.75" customHeight="1">
      <c r="A487" s="565"/>
      <c r="B487" s="566"/>
      <c r="C487" s="553"/>
      <c r="D487" s="553"/>
      <c r="E487" s="553"/>
      <c r="F487" s="553"/>
      <c r="G487" s="553"/>
      <c r="H487" s="553"/>
      <c r="I487" s="553"/>
      <c r="J487" s="553"/>
      <c r="K487" s="553"/>
      <c r="L487" s="553"/>
      <c r="M487" s="553"/>
      <c r="N487" s="553"/>
      <c r="O487" s="553"/>
      <c r="P487" s="553"/>
      <c r="Q487" s="553"/>
      <c r="R487" s="553"/>
      <c r="S487" s="553"/>
      <c r="T487" s="553"/>
      <c r="U487" s="553"/>
      <c r="V487" s="553"/>
      <c r="W487" s="553"/>
      <c r="X487" s="553"/>
      <c r="Y487" s="553"/>
    </row>
    <row r="488" ht="15.75" customHeight="1">
      <c r="A488" s="565"/>
      <c r="B488" s="566"/>
      <c r="C488" s="553"/>
      <c r="D488" s="553"/>
      <c r="E488" s="553"/>
      <c r="F488" s="553"/>
      <c r="G488" s="553"/>
      <c r="H488" s="553"/>
      <c r="I488" s="553"/>
      <c r="J488" s="553"/>
      <c r="K488" s="553"/>
      <c r="L488" s="553"/>
      <c r="M488" s="553"/>
      <c r="N488" s="553"/>
      <c r="O488" s="553"/>
      <c r="P488" s="553"/>
      <c r="Q488" s="553"/>
      <c r="R488" s="553"/>
      <c r="S488" s="553"/>
      <c r="T488" s="553"/>
      <c r="U488" s="553"/>
      <c r="V488" s="553"/>
      <c r="W488" s="553"/>
      <c r="X488" s="553"/>
      <c r="Y488" s="553"/>
    </row>
    <row r="489" ht="15.75" customHeight="1">
      <c r="A489" s="565"/>
      <c r="B489" s="566"/>
      <c r="C489" s="553"/>
      <c r="D489" s="553"/>
      <c r="E489" s="553"/>
      <c r="F489" s="553"/>
      <c r="G489" s="553"/>
      <c r="H489" s="553"/>
      <c r="I489" s="553"/>
      <c r="J489" s="553"/>
      <c r="K489" s="553"/>
      <c r="L489" s="553"/>
      <c r="M489" s="553"/>
      <c r="N489" s="553"/>
      <c r="O489" s="553"/>
      <c r="P489" s="553"/>
      <c r="Q489" s="553"/>
      <c r="R489" s="553"/>
      <c r="S489" s="553"/>
      <c r="T489" s="553"/>
      <c r="U489" s="553"/>
      <c r="V489" s="553"/>
      <c r="W489" s="553"/>
      <c r="X489" s="553"/>
      <c r="Y489" s="553"/>
    </row>
    <row r="490" ht="15.75" customHeight="1">
      <c r="A490" s="565"/>
      <c r="B490" s="566"/>
      <c r="C490" s="553"/>
      <c r="D490" s="553"/>
      <c r="E490" s="553"/>
      <c r="F490" s="553"/>
      <c r="G490" s="553"/>
      <c r="H490" s="553"/>
      <c r="I490" s="553"/>
      <c r="J490" s="553"/>
      <c r="K490" s="553"/>
      <c r="L490" s="553"/>
      <c r="M490" s="553"/>
      <c r="N490" s="553"/>
      <c r="O490" s="553"/>
      <c r="P490" s="553"/>
      <c r="Q490" s="553"/>
      <c r="R490" s="553"/>
      <c r="S490" s="553"/>
      <c r="T490" s="553"/>
      <c r="U490" s="553"/>
      <c r="V490" s="553"/>
      <c r="W490" s="553"/>
      <c r="X490" s="553"/>
      <c r="Y490" s="553"/>
    </row>
    <row r="491" ht="15.75" customHeight="1">
      <c r="A491" s="565"/>
      <c r="B491" s="566"/>
      <c r="C491" s="553"/>
      <c r="D491" s="553"/>
      <c r="E491" s="553"/>
      <c r="F491" s="553"/>
      <c r="G491" s="553"/>
      <c r="H491" s="553"/>
      <c r="I491" s="553"/>
      <c r="J491" s="553"/>
      <c r="K491" s="553"/>
      <c r="L491" s="553"/>
      <c r="M491" s="553"/>
      <c r="N491" s="553"/>
      <c r="O491" s="553"/>
      <c r="P491" s="553"/>
      <c r="Q491" s="553"/>
      <c r="R491" s="553"/>
      <c r="S491" s="553"/>
      <c r="T491" s="553"/>
      <c r="U491" s="553"/>
      <c r="V491" s="553"/>
      <c r="W491" s="553"/>
      <c r="X491" s="553"/>
      <c r="Y491" s="553"/>
    </row>
    <row r="492" ht="15.75" customHeight="1">
      <c r="A492" s="565"/>
      <c r="B492" s="566"/>
      <c r="C492" s="553"/>
      <c r="D492" s="553"/>
      <c r="E492" s="553"/>
      <c r="F492" s="553"/>
      <c r="G492" s="553"/>
      <c r="H492" s="553"/>
      <c r="I492" s="553"/>
      <c r="J492" s="553"/>
      <c r="K492" s="553"/>
      <c r="L492" s="553"/>
      <c r="M492" s="553"/>
      <c r="N492" s="553"/>
      <c r="O492" s="553"/>
      <c r="P492" s="553"/>
      <c r="Q492" s="553"/>
      <c r="R492" s="553"/>
      <c r="S492" s="553"/>
      <c r="T492" s="553"/>
      <c r="U492" s="553"/>
      <c r="V492" s="553"/>
      <c r="W492" s="553"/>
      <c r="X492" s="553"/>
      <c r="Y492" s="553"/>
    </row>
    <row r="493" ht="15.75" customHeight="1">
      <c r="A493" s="565"/>
      <c r="B493" s="566"/>
      <c r="C493" s="553"/>
      <c r="D493" s="553"/>
      <c r="E493" s="553"/>
      <c r="F493" s="553"/>
      <c r="G493" s="553"/>
      <c r="H493" s="553"/>
      <c r="I493" s="553"/>
      <c r="J493" s="553"/>
      <c r="K493" s="553"/>
      <c r="L493" s="553"/>
      <c r="M493" s="553"/>
      <c r="N493" s="553"/>
      <c r="O493" s="553"/>
      <c r="P493" s="553"/>
      <c r="Q493" s="553"/>
      <c r="R493" s="553"/>
      <c r="S493" s="553"/>
      <c r="T493" s="553"/>
      <c r="U493" s="553"/>
      <c r="V493" s="553"/>
      <c r="W493" s="553"/>
      <c r="X493" s="553"/>
      <c r="Y493" s="553"/>
    </row>
    <row r="494" ht="15.75" customHeight="1">
      <c r="A494" s="565"/>
      <c r="B494" s="566"/>
      <c r="C494" s="553"/>
      <c r="D494" s="553"/>
      <c r="E494" s="553"/>
      <c r="F494" s="553"/>
      <c r="G494" s="553"/>
      <c r="H494" s="553"/>
      <c r="I494" s="553"/>
      <c r="J494" s="553"/>
      <c r="K494" s="553"/>
      <c r="L494" s="553"/>
      <c r="M494" s="553"/>
      <c r="N494" s="553"/>
      <c r="O494" s="553"/>
      <c r="P494" s="553"/>
      <c r="Q494" s="553"/>
      <c r="R494" s="553"/>
      <c r="S494" s="553"/>
      <c r="T494" s="553"/>
      <c r="U494" s="553"/>
      <c r="V494" s="553"/>
      <c r="W494" s="553"/>
      <c r="X494" s="553"/>
      <c r="Y494" s="553"/>
    </row>
    <row r="495" ht="15.75" customHeight="1">
      <c r="A495" s="565"/>
      <c r="B495" s="566"/>
      <c r="C495" s="553"/>
      <c r="D495" s="553"/>
      <c r="E495" s="553"/>
      <c r="F495" s="553"/>
      <c r="G495" s="553"/>
      <c r="H495" s="553"/>
      <c r="I495" s="553"/>
      <c r="J495" s="553"/>
      <c r="K495" s="553"/>
      <c r="L495" s="553"/>
      <c r="M495" s="553"/>
      <c r="N495" s="553"/>
      <c r="O495" s="553"/>
      <c r="P495" s="553"/>
      <c r="Q495" s="553"/>
      <c r="R495" s="553"/>
      <c r="S495" s="553"/>
      <c r="T495" s="553"/>
      <c r="U495" s="553"/>
      <c r="V495" s="553"/>
      <c r="W495" s="553"/>
      <c r="X495" s="553"/>
      <c r="Y495" s="553"/>
    </row>
    <row r="496" ht="15.75" customHeight="1">
      <c r="A496" s="565"/>
      <c r="B496" s="566"/>
      <c r="C496" s="553"/>
      <c r="D496" s="553"/>
      <c r="E496" s="553"/>
      <c r="F496" s="553"/>
      <c r="G496" s="553"/>
      <c r="H496" s="553"/>
      <c r="I496" s="553"/>
      <c r="J496" s="553"/>
      <c r="K496" s="553"/>
      <c r="L496" s="553"/>
      <c r="M496" s="553"/>
      <c r="N496" s="553"/>
      <c r="O496" s="553"/>
      <c r="P496" s="553"/>
      <c r="Q496" s="553"/>
      <c r="R496" s="553"/>
      <c r="S496" s="553"/>
      <c r="T496" s="553"/>
      <c r="U496" s="553"/>
      <c r="V496" s="553"/>
      <c r="W496" s="553"/>
      <c r="X496" s="553"/>
      <c r="Y496" s="553"/>
    </row>
    <row r="497" ht="15.75" customHeight="1">
      <c r="A497" s="565"/>
      <c r="B497" s="566"/>
      <c r="C497" s="553"/>
      <c r="D497" s="553"/>
      <c r="E497" s="553"/>
      <c r="F497" s="553"/>
      <c r="G497" s="553"/>
      <c r="H497" s="553"/>
      <c r="I497" s="553"/>
      <c r="J497" s="553"/>
      <c r="K497" s="553"/>
      <c r="L497" s="553"/>
      <c r="M497" s="553"/>
      <c r="N497" s="553"/>
      <c r="O497" s="553"/>
      <c r="P497" s="553"/>
      <c r="Q497" s="553"/>
      <c r="R497" s="553"/>
      <c r="S497" s="553"/>
      <c r="T497" s="553"/>
      <c r="U497" s="553"/>
      <c r="V497" s="553"/>
      <c r="W497" s="553"/>
      <c r="X497" s="553"/>
      <c r="Y497" s="553"/>
    </row>
    <row r="498" ht="15.75" customHeight="1">
      <c r="A498" s="565"/>
      <c r="B498" s="566"/>
      <c r="C498" s="553"/>
      <c r="D498" s="553"/>
      <c r="E498" s="553"/>
      <c r="F498" s="553"/>
      <c r="G498" s="553"/>
      <c r="H498" s="553"/>
      <c r="I498" s="553"/>
      <c r="J498" s="553"/>
      <c r="K498" s="553"/>
      <c r="L498" s="553"/>
      <c r="M498" s="553"/>
      <c r="N498" s="553"/>
      <c r="O498" s="553"/>
      <c r="P498" s="553"/>
      <c r="Q498" s="553"/>
      <c r="R498" s="553"/>
      <c r="S498" s="553"/>
      <c r="T498" s="553"/>
      <c r="U498" s="553"/>
      <c r="V498" s="553"/>
      <c r="W498" s="553"/>
      <c r="X498" s="553"/>
      <c r="Y498" s="553"/>
    </row>
    <row r="499" ht="15.75" customHeight="1">
      <c r="A499" s="565"/>
      <c r="B499" s="566"/>
      <c r="C499" s="553"/>
      <c r="D499" s="553"/>
      <c r="E499" s="553"/>
      <c r="F499" s="553"/>
      <c r="G499" s="553"/>
      <c r="H499" s="553"/>
      <c r="I499" s="553"/>
      <c r="J499" s="553"/>
      <c r="K499" s="553"/>
      <c r="L499" s="553"/>
      <c r="M499" s="553"/>
      <c r="N499" s="553"/>
      <c r="O499" s="553"/>
      <c r="P499" s="553"/>
      <c r="Q499" s="553"/>
      <c r="R499" s="553"/>
      <c r="S499" s="553"/>
      <c r="T499" s="553"/>
      <c r="U499" s="553"/>
      <c r="V499" s="553"/>
      <c r="W499" s="553"/>
      <c r="X499" s="553"/>
      <c r="Y499" s="553"/>
    </row>
    <row r="500" ht="15.75" customHeight="1">
      <c r="A500" s="565"/>
      <c r="B500" s="566"/>
      <c r="C500" s="553"/>
      <c r="D500" s="553"/>
      <c r="E500" s="553"/>
      <c r="F500" s="553"/>
      <c r="G500" s="553"/>
      <c r="H500" s="553"/>
      <c r="I500" s="553"/>
      <c r="J500" s="553"/>
      <c r="K500" s="553"/>
      <c r="L500" s="553"/>
      <c r="M500" s="553"/>
      <c r="N500" s="553"/>
      <c r="O500" s="553"/>
      <c r="P500" s="553"/>
      <c r="Q500" s="553"/>
      <c r="R500" s="553"/>
      <c r="S500" s="553"/>
      <c r="T500" s="553"/>
      <c r="U500" s="553"/>
      <c r="V500" s="553"/>
      <c r="W500" s="553"/>
      <c r="X500" s="553"/>
      <c r="Y500" s="553"/>
    </row>
    <row r="501" ht="15.75" customHeight="1">
      <c r="A501" s="565"/>
      <c r="B501" s="566"/>
      <c r="C501" s="553"/>
      <c r="D501" s="553"/>
      <c r="E501" s="553"/>
      <c r="F501" s="553"/>
      <c r="G501" s="553"/>
      <c r="H501" s="553"/>
      <c r="I501" s="553"/>
      <c r="J501" s="553"/>
      <c r="K501" s="553"/>
      <c r="L501" s="553"/>
      <c r="M501" s="553"/>
      <c r="N501" s="553"/>
      <c r="O501" s="553"/>
      <c r="P501" s="553"/>
      <c r="Q501" s="553"/>
      <c r="R501" s="553"/>
      <c r="S501" s="553"/>
      <c r="T501" s="553"/>
      <c r="U501" s="553"/>
      <c r="V501" s="553"/>
      <c r="W501" s="553"/>
      <c r="X501" s="553"/>
      <c r="Y501" s="553"/>
    </row>
    <row r="502" ht="15.75" customHeight="1">
      <c r="A502" s="565"/>
      <c r="B502" s="566"/>
      <c r="C502" s="553"/>
      <c r="D502" s="553"/>
      <c r="E502" s="553"/>
      <c r="F502" s="553"/>
      <c r="G502" s="553"/>
      <c r="H502" s="553"/>
      <c r="I502" s="553"/>
      <c r="J502" s="553"/>
      <c r="K502" s="553"/>
      <c r="L502" s="553"/>
      <c r="M502" s="553"/>
      <c r="N502" s="553"/>
      <c r="O502" s="553"/>
      <c r="P502" s="553"/>
      <c r="Q502" s="553"/>
      <c r="R502" s="553"/>
      <c r="S502" s="553"/>
      <c r="T502" s="553"/>
      <c r="U502" s="553"/>
      <c r="V502" s="553"/>
      <c r="W502" s="553"/>
      <c r="X502" s="553"/>
      <c r="Y502" s="553"/>
    </row>
    <row r="503" ht="15.75" customHeight="1">
      <c r="A503" s="565"/>
      <c r="B503" s="566"/>
      <c r="C503" s="553"/>
      <c r="D503" s="553"/>
      <c r="E503" s="553"/>
      <c r="F503" s="553"/>
      <c r="G503" s="553"/>
      <c r="H503" s="553"/>
      <c r="I503" s="553"/>
      <c r="J503" s="553"/>
      <c r="K503" s="553"/>
      <c r="L503" s="553"/>
      <c r="M503" s="553"/>
      <c r="N503" s="553"/>
      <c r="O503" s="553"/>
      <c r="P503" s="553"/>
      <c r="Q503" s="553"/>
      <c r="R503" s="553"/>
      <c r="S503" s="553"/>
      <c r="T503" s="553"/>
      <c r="U503" s="553"/>
      <c r="V503" s="553"/>
      <c r="W503" s="553"/>
      <c r="X503" s="553"/>
      <c r="Y503" s="553"/>
    </row>
    <row r="504" ht="15.75" customHeight="1">
      <c r="A504" s="565"/>
      <c r="B504" s="566"/>
      <c r="C504" s="553"/>
      <c r="D504" s="553"/>
      <c r="E504" s="553"/>
      <c r="F504" s="553"/>
      <c r="G504" s="553"/>
      <c r="H504" s="553"/>
      <c r="I504" s="553"/>
      <c r="J504" s="553"/>
      <c r="K504" s="553"/>
      <c r="L504" s="553"/>
      <c r="M504" s="553"/>
      <c r="N504" s="553"/>
      <c r="O504" s="553"/>
      <c r="P504" s="553"/>
      <c r="Q504" s="553"/>
      <c r="R504" s="553"/>
      <c r="S504" s="553"/>
      <c r="T504" s="553"/>
      <c r="U504" s="553"/>
      <c r="V504" s="553"/>
      <c r="W504" s="553"/>
      <c r="X504" s="553"/>
      <c r="Y504" s="553"/>
    </row>
    <row r="505" ht="15.75" customHeight="1">
      <c r="A505" s="565"/>
      <c r="B505" s="566"/>
      <c r="C505" s="553"/>
      <c r="D505" s="553"/>
      <c r="E505" s="553"/>
      <c r="F505" s="553"/>
      <c r="G505" s="553"/>
      <c r="H505" s="553"/>
      <c r="I505" s="553"/>
      <c r="J505" s="553"/>
      <c r="K505" s="553"/>
      <c r="L505" s="553"/>
      <c r="M505" s="553"/>
      <c r="N505" s="553"/>
      <c r="O505" s="553"/>
      <c r="P505" s="553"/>
      <c r="Q505" s="553"/>
      <c r="R505" s="553"/>
      <c r="S505" s="553"/>
      <c r="T505" s="553"/>
      <c r="U505" s="553"/>
      <c r="V505" s="553"/>
      <c r="W505" s="553"/>
      <c r="X505" s="553"/>
      <c r="Y505" s="553"/>
    </row>
    <row r="506" ht="15.75" customHeight="1">
      <c r="A506" s="565"/>
      <c r="B506" s="566"/>
      <c r="C506" s="553"/>
      <c r="D506" s="553"/>
      <c r="E506" s="553"/>
      <c r="F506" s="553"/>
      <c r="G506" s="553"/>
      <c r="H506" s="553"/>
      <c r="I506" s="553"/>
      <c r="J506" s="553"/>
      <c r="K506" s="553"/>
      <c r="L506" s="553"/>
      <c r="M506" s="553"/>
      <c r="N506" s="553"/>
      <c r="O506" s="553"/>
      <c r="P506" s="553"/>
      <c r="Q506" s="553"/>
      <c r="R506" s="553"/>
      <c r="S506" s="553"/>
      <c r="T506" s="553"/>
      <c r="U506" s="553"/>
      <c r="V506" s="553"/>
      <c r="W506" s="553"/>
      <c r="X506" s="553"/>
      <c r="Y506" s="553"/>
    </row>
    <row r="507" ht="15.75" customHeight="1">
      <c r="A507" s="565"/>
      <c r="B507" s="566"/>
      <c r="C507" s="553"/>
      <c r="D507" s="553"/>
      <c r="E507" s="553"/>
      <c r="F507" s="553"/>
      <c r="G507" s="553"/>
      <c r="H507" s="553"/>
      <c r="I507" s="553"/>
      <c r="J507" s="553"/>
      <c r="K507" s="553"/>
      <c r="L507" s="553"/>
      <c r="M507" s="553"/>
      <c r="N507" s="553"/>
      <c r="O507" s="553"/>
      <c r="P507" s="553"/>
      <c r="Q507" s="553"/>
      <c r="R507" s="553"/>
      <c r="S507" s="553"/>
      <c r="T507" s="553"/>
      <c r="U507" s="553"/>
      <c r="V507" s="553"/>
      <c r="W507" s="553"/>
      <c r="X507" s="553"/>
      <c r="Y507" s="553"/>
    </row>
    <row r="508" ht="15.75" customHeight="1">
      <c r="A508" s="565"/>
      <c r="B508" s="566"/>
      <c r="C508" s="553"/>
      <c r="D508" s="553"/>
      <c r="E508" s="553"/>
      <c r="F508" s="553"/>
      <c r="G508" s="553"/>
      <c r="H508" s="553"/>
      <c r="I508" s="553"/>
      <c r="J508" s="553"/>
      <c r="K508" s="553"/>
      <c r="L508" s="553"/>
      <c r="M508" s="553"/>
      <c r="N508" s="553"/>
      <c r="O508" s="553"/>
      <c r="P508" s="553"/>
      <c r="Q508" s="553"/>
      <c r="R508" s="553"/>
      <c r="S508" s="553"/>
      <c r="T508" s="553"/>
      <c r="U508" s="553"/>
      <c r="V508" s="553"/>
      <c r="W508" s="553"/>
      <c r="X508" s="553"/>
      <c r="Y508" s="553"/>
    </row>
    <row r="509" ht="15.75" customHeight="1">
      <c r="A509" s="565"/>
      <c r="B509" s="566"/>
      <c r="C509" s="553"/>
      <c r="D509" s="553"/>
      <c r="E509" s="553"/>
      <c r="F509" s="553"/>
      <c r="G509" s="553"/>
      <c r="H509" s="553"/>
      <c r="I509" s="553"/>
      <c r="J509" s="553"/>
      <c r="K509" s="553"/>
      <c r="L509" s="553"/>
      <c r="M509" s="553"/>
      <c r="N509" s="553"/>
      <c r="O509" s="553"/>
      <c r="P509" s="553"/>
      <c r="Q509" s="553"/>
      <c r="R509" s="553"/>
      <c r="S509" s="553"/>
      <c r="T509" s="553"/>
      <c r="U509" s="553"/>
      <c r="V509" s="553"/>
      <c r="W509" s="553"/>
      <c r="X509" s="553"/>
      <c r="Y509" s="553"/>
    </row>
    <row r="510" ht="15.75" customHeight="1">
      <c r="A510" s="565"/>
      <c r="B510" s="566"/>
      <c r="C510" s="553"/>
      <c r="D510" s="553"/>
      <c r="E510" s="553"/>
      <c r="F510" s="553"/>
      <c r="G510" s="553"/>
      <c r="H510" s="553"/>
      <c r="I510" s="553"/>
      <c r="J510" s="553"/>
      <c r="K510" s="553"/>
      <c r="L510" s="553"/>
      <c r="M510" s="553"/>
      <c r="N510" s="553"/>
      <c r="O510" s="553"/>
      <c r="P510" s="553"/>
      <c r="Q510" s="553"/>
      <c r="R510" s="553"/>
      <c r="S510" s="553"/>
      <c r="T510" s="553"/>
      <c r="U510" s="553"/>
      <c r="V510" s="553"/>
      <c r="W510" s="553"/>
      <c r="X510" s="553"/>
      <c r="Y510" s="553"/>
    </row>
    <row r="511" ht="15.75" customHeight="1">
      <c r="A511" s="565"/>
      <c r="B511" s="566"/>
      <c r="C511" s="553"/>
      <c r="D511" s="553"/>
      <c r="E511" s="553"/>
      <c r="F511" s="553"/>
      <c r="G511" s="553"/>
      <c r="H511" s="553"/>
      <c r="I511" s="553"/>
      <c r="J511" s="553"/>
      <c r="K511" s="553"/>
      <c r="L511" s="553"/>
      <c r="M511" s="553"/>
      <c r="N511" s="553"/>
      <c r="O511" s="553"/>
      <c r="P511" s="553"/>
      <c r="Q511" s="553"/>
      <c r="R511" s="553"/>
      <c r="S511" s="553"/>
      <c r="T511" s="553"/>
      <c r="U511" s="553"/>
      <c r="V511" s="553"/>
      <c r="W511" s="553"/>
      <c r="X511" s="553"/>
      <c r="Y511" s="553"/>
    </row>
    <row r="512" ht="15.75" customHeight="1">
      <c r="A512" s="565"/>
      <c r="B512" s="566"/>
      <c r="C512" s="553"/>
      <c r="D512" s="553"/>
      <c r="E512" s="553"/>
      <c r="F512" s="553"/>
      <c r="G512" s="553"/>
      <c r="H512" s="553"/>
      <c r="I512" s="553"/>
      <c r="J512" s="553"/>
      <c r="K512" s="553"/>
      <c r="L512" s="553"/>
      <c r="M512" s="553"/>
      <c r="N512" s="553"/>
      <c r="O512" s="553"/>
      <c r="P512" s="553"/>
      <c r="Q512" s="553"/>
      <c r="R512" s="553"/>
      <c r="S512" s="553"/>
      <c r="T512" s="553"/>
      <c r="U512" s="553"/>
      <c r="V512" s="553"/>
      <c r="W512" s="553"/>
      <c r="X512" s="553"/>
      <c r="Y512" s="553"/>
    </row>
    <row r="513" ht="15.75" customHeight="1">
      <c r="A513" s="565"/>
      <c r="B513" s="566"/>
      <c r="C513" s="553"/>
      <c r="D513" s="553"/>
      <c r="E513" s="553"/>
      <c r="F513" s="553"/>
      <c r="G513" s="553"/>
      <c r="H513" s="553"/>
      <c r="I513" s="553"/>
      <c r="J513" s="553"/>
      <c r="K513" s="553"/>
      <c r="L513" s="553"/>
      <c r="M513" s="553"/>
      <c r="N513" s="553"/>
      <c r="O513" s="553"/>
      <c r="P513" s="553"/>
      <c r="Q513" s="553"/>
      <c r="R513" s="553"/>
      <c r="S513" s="553"/>
      <c r="T513" s="553"/>
      <c r="U513" s="553"/>
      <c r="V513" s="553"/>
      <c r="W513" s="553"/>
      <c r="X513" s="553"/>
      <c r="Y513" s="553"/>
    </row>
    <row r="514" ht="15.75" customHeight="1">
      <c r="A514" s="565"/>
      <c r="B514" s="566"/>
      <c r="C514" s="553"/>
      <c r="D514" s="553"/>
      <c r="E514" s="553"/>
      <c r="F514" s="553"/>
      <c r="G514" s="553"/>
      <c r="H514" s="553"/>
      <c r="I514" s="553"/>
      <c r="J514" s="553"/>
      <c r="K514" s="553"/>
      <c r="L514" s="553"/>
      <c r="M514" s="553"/>
      <c r="N514" s="553"/>
      <c r="O514" s="553"/>
      <c r="P514" s="553"/>
      <c r="Q514" s="553"/>
      <c r="R514" s="553"/>
      <c r="S514" s="553"/>
      <c r="T514" s="553"/>
      <c r="U514" s="553"/>
      <c r="V514" s="553"/>
      <c r="W514" s="553"/>
      <c r="X514" s="553"/>
      <c r="Y514" s="553"/>
    </row>
    <row r="515" ht="15.75" customHeight="1">
      <c r="A515" s="565"/>
      <c r="B515" s="566"/>
      <c r="C515" s="553"/>
      <c r="D515" s="553"/>
      <c r="E515" s="553"/>
      <c r="F515" s="553"/>
      <c r="G515" s="553"/>
      <c r="H515" s="553"/>
      <c r="I515" s="553"/>
      <c r="J515" s="553"/>
      <c r="K515" s="553"/>
      <c r="L515" s="553"/>
      <c r="M515" s="553"/>
      <c r="N515" s="553"/>
      <c r="O515" s="553"/>
      <c r="P515" s="553"/>
      <c r="Q515" s="553"/>
      <c r="R515" s="553"/>
      <c r="S515" s="553"/>
      <c r="T515" s="553"/>
      <c r="U515" s="553"/>
      <c r="V515" s="553"/>
      <c r="W515" s="553"/>
      <c r="X515" s="553"/>
      <c r="Y515" s="553"/>
    </row>
    <row r="516" ht="15.75" customHeight="1">
      <c r="A516" s="565"/>
      <c r="B516" s="566"/>
      <c r="C516" s="553"/>
      <c r="D516" s="553"/>
      <c r="E516" s="553"/>
      <c r="F516" s="553"/>
      <c r="G516" s="553"/>
      <c r="H516" s="553"/>
      <c r="I516" s="553"/>
      <c r="J516" s="553"/>
      <c r="K516" s="553"/>
      <c r="L516" s="553"/>
      <c r="M516" s="553"/>
      <c r="N516" s="553"/>
      <c r="O516" s="553"/>
      <c r="P516" s="553"/>
      <c r="Q516" s="553"/>
      <c r="R516" s="553"/>
      <c r="S516" s="553"/>
      <c r="T516" s="553"/>
      <c r="U516" s="553"/>
      <c r="V516" s="553"/>
      <c r="W516" s="553"/>
      <c r="X516" s="553"/>
      <c r="Y516" s="553"/>
    </row>
    <row r="517" ht="15.75" customHeight="1">
      <c r="A517" s="565"/>
      <c r="B517" s="566"/>
      <c r="C517" s="553"/>
      <c r="D517" s="553"/>
      <c r="E517" s="553"/>
      <c r="F517" s="553"/>
      <c r="G517" s="553"/>
      <c r="H517" s="553"/>
      <c r="I517" s="553"/>
      <c r="J517" s="553"/>
      <c r="K517" s="553"/>
      <c r="L517" s="553"/>
      <c r="M517" s="553"/>
      <c r="N517" s="553"/>
      <c r="O517" s="553"/>
      <c r="P517" s="553"/>
      <c r="Q517" s="553"/>
      <c r="R517" s="553"/>
      <c r="S517" s="553"/>
      <c r="T517" s="553"/>
      <c r="U517" s="553"/>
      <c r="V517" s="553"/>
      <c r="W517" s="553"/>
      <c r="X517" s="553"/>
      <c r="Y517" s="553"/>
    </row>
    <row r="518" ht="15.75" customHeight="1">
      <c r="A518" s="565"/>
      <c r="B518" s="566"/>
      <c r="C518" s="553"/>
      <c r="D518" s="553"/>
      <c r="E518" s="553"/>
      <c r="F518" s="553"/>
      <c r="G518" s="553"/>
      <c r="H518" s="553"/>
      <c r="I518" s="553"/>
      <c r="J518" s="553"/>
      <c r="K518" s="553"/>
      <c r="L518" s="553"/>
      <c r="M518" s="553"/>
      <c r="N518" s="553"/>
      <c r="O518" s="553"/>
      <c r="P518" s="553"/>
      <c r="Q518" s="553"/>
      <c r="R518" s="553"/>
      <c r="S518" s="553"/>
      <c r="T518" s="553"/>
      <c r="U518" s="553"/>
      <c r="V518" s="553"/>
      <c r="W518" s="553"/>
      <c r="X518" s="553"/>
      <c r="Y518" s="553"/>
    </row>
    <row r="519" ht="15.75" customHeight="1">
      <c r="A519" s="565"/>
      <c r="B519" s="566"/>
      <c r="C519" s="553"/>
      <c r="D519" s="553"/>
      <c r="E519" s="553"/>
      <c r="F519" s="553"/>
      <c r="G519" s="553"/>
      <c r="H519" s="553"/>
      <c r="I519" s="553"/>
      <c r="J519" s="553"/>
      <c r="K519" s="553"/>
      <c r="L519" s="553"/>
      <c r="M519" s="553"/>
      <c r="N519" s="553"/>
      <c r="O519" s="553"/>
      <c r="P519" s="553"/>
      <c r="Q519" s="553"/>
      <c r="R519" s="553"/>
      <c r="S519" s="553"/>
      <c r="T519" s="553"/>
      <c r="U519" s="553"/>
      <c r="V519" s="553"/>
      <c r="W519" s="553"/>
      <c r="X519" s="553"/>
      <c r="Y519" s="553"/>
    </row>
    <row r="520" ht="15.75" customHeight="1">
      <c r="A520" s="565"/>
      <c r="B520" s="566"/>
      <c r="C520" s="553"/>
      <c r="D520" s="553"/>
      <c r="E520" s="553"/>
      <c r="F520" s="553"/>
      <c r="G520" s="553"/>
      <c r="H520" s="553"/>
      <c r="I520" s="553"/>
      <c r="J520" s="553"/>
      <c r="K520" s="553"/>
      <c r="L520" s="553"/>
      <c r="M520" s="553"/>
      <c r="N520" s="553"/>
      <c r="O520" s="553"/>
      <c r="P520" s="553"/>
      <c r="Q520" s="553"/>
      <c r="R520" s="553"/>
      <c r="S520" s="553"/>
      <c r="T520" s="553"/>
      <c r="U520" s="553"/>
      <c r="V520" s="553"/>
      <c r="W520" s="553"/>
      <c r="X520" s="553"/>
      <c r="Y520" s="553"/>
    </row>
    <row r="521" ht="15.75" customHeight="1">
      <c r="A521" s="565"/>
      <c r="B521" s="566"/>
      <c r="C521" s="553"/>
      <c r="D521" s="553"/>
      <c r="E521" s="553"/>
      <c r="F521" s="553"/>
      <c r="G521" s="553"/>
      <c r="H521" s="553"/>
      <c r="I521" s="553"/>
      <c r="J521" s="553"/>
      <c r="K521" s="553"/>
      <c r="L521" s="553"/>
      <c r="M521" s="553"/>
      <c r="N521" s="553"/>
      <c r="O521" s="553"/>
      <c r="P521" s="553"/>
      <c r="Q521" s="553"/>
      <c r="R521" s="553"/>
      <c r="S521" s="553"/>
      <c r="T521" s="553"/>
      <c r="U521" s="553"/>
      <c r="V521" s="553"/>
      <c r="W521" s="553"/>
      <c r="X521" s="553"/>
      <c r="Y521" s="553"/>
    </row>
    <row r="522" ht="15.75" customHeight="1">
      <c r="A522" s="565"/>
      <c r="B522" s="566"/>
      <c r="C522" s="553"/>
      <c r="D522" s="553"/>
      <c r="E522" s="553"/>
      <c r="F522" s="553"/>
      <c r="G522" s="553"/>
      <c r="H522" s="553"/>
      <c r="I522" s="553"/>
      <c r="J522" s="553"/>
      <c r="K522" s="553"/>
      <c r="L522" s="553"/>
      <c r="M522" s="553"/>
      <c r="N522" s="553"/>
      <c r="O522" s="553"/>
      <c r="P522" s="553"/>
      <c r="Q522" s="553"/>
      <c r="R522" s="553"/>
      <c r="S522" s="553"/>
      <c r="T522" s="553"/>
      <c r="U522" s="553"/>
      <c r="V522" s="553"/>
      <c r="W522" s="553"/>
      <c r="X522" s="553"/>
      <c r="Y522" s="553"/>
    </row>
    <row r="523" ht="15.75" customHeight="1">
      <c r="A523" s="565"/>
      <c r="B523" s="566"/>
      <c r="C523" s="553"/>
      <c r="D523" s="553"/>
      <c r="E523" s="553"/>
      <c r="F523" s="553"/>
      <c r="G523" s="553"/>
      <c r="H523" s="553"/>
      <c r="I523" s="553"/>
      <c r="J523" s="553"/>
      <c r="K523" s="553"/>
      <c r="L523" s="553"/>
      <c r="M523" s="553"/>
      <c r="N523" s="553"/>
      <c r="O523" s="553"/>
      <c r="P523" s="553"/>
      <c r="Q523" s="553"/>
      <c r="R523" s="553"/>
      <c r="S523" s="553"/>
      <c r="T523" s="553"/>
      <c r="U523" s="553"/>
      <c r="V523" s="553"/>
      <c r="W523" s="553"/>
      <c r="X523" s="553"/>
      <c r="Y523" s="553"/>
    </row>
    <row r="524" ht="15.75" customHeight="1">
      <c r="A524" s="565"/>
      <c r="B524" s="566"/>
      <c r="C524" s="553"/>
      <c r="D524" s="553"/>
      <c r="E524" s="553"/>
      <c r="F524" s="553"/>
      <c r="G524" s="553"/>
      <c r="H524" s="553"/>
      <c r="I524" s="553"/>
      <c r="J524" s="553"/>
      <c r="K524" s="553"/>
      <c r="L524" s="553"/>
      <c r="M524" s="553"/>
      <c r="N524" s="553"/>
      <c r="O524" s="553"/>
      <c r="P524" s="553"/>
      <c r="Q524" s="553"/>
      <c r="R524" s="553"/>
      <c r="S524" s="553"/>
      <c r="T524" s="553"/>
      <c r="U524" s="553"/>
      <c r="V524" s="553"/>
      <c r="W524" s="553"/>
      <c r="X524" s="553"/>
      <c r="Y524" s="553"/>
    </row>
    <row r="525" ht="15.75" customHeight="1">
      <c r="A525" s="565"/>
      <c r="B525" s="566"/>
      <c r="C525" s="553"/>
      <c r="D525" s="553"/>
      <c r="E525" s="553"/>
      <c r="F525" s="553"/>
      <c r="G525" s="553"/>
      <c r="H525" s="553"/>
      <c r="I525" s="553"/>
      <c r="J525" s="553"/>
      <c r="K525" s="553"/>
      <c r="L525" s="553"/>
      <c r="M525" s="553"/>
      <c r="N525" s="553"/>
      <c r="O525" s="553"/>
      <c r="P525" s="553"/>
      <c r="Q525" s="553"/>
      <c r="R525" s="553"/>
      <c r="S525" s="553"/>
      <c r="T525" s="553"/>
      <c r="U525" s="553"/>
      <c r="V525" s="553"/>
      <c r="W525" s="553"/>
      <c r="X525" s="553"/>
      <c r="Y525" s="553"/>
    </row>
    <row r="526" ht="15.75" customHeight="1">
      <c r="A526" s="565"/>
      <c r="B526" s="566"/>
      <c r="C526" s="553"/>
      <c r="D526" s="553"/>
      <c r="E526" s="553"/>
      <c r="F526" s="553"/>
      <c r="G526" s="553"/>
      <c r="H526" s="553"/>
      <c r="I526" s="553"/>
      <c r="J526" s="553"/>
      <c r="K526" s="553"/>
      <c r="L526" s="553"/>
      <c r="M526" s="553"/>
      <c r="N526" s="553"/>
      <c r="O526" s="553"/>
      <c r="P526" s="553"/>
      <c r="Q526" s="553"/>
      <c r="R526" s="553"/>
      <c r="S526" s="553"/>
      <c r="T526" s="553"/>
      <c r="U526" s="553"/>
      <c r="V526" s="553"/>
      <c r="W526" s="553"/>
      <c r="X526" s="553"/>
      <c r="Y526" s="553"/>
    </row>
    <row r="527" ht="15.75" customHeight="1">
      <c r="A527" s="565"/>
      <c r="B527" s="566"/>
      <c r="C527" s="553"/>
      <c r="D527" s="553"/>
      <c r="E527" s="553"/>
      <c r="F527" s="553"/>
      <c r="G527" s="553"/>
      <c r="H527" s="553"/>
      <c r="I527" s="553"/>
      <c r="J527" s="553"/>
      <c r="K527" s="553"/>
      <c r="L527" s="553"/>
      <c r="M527" s="553"/>
      <c r="N527" s="553"/>
      <c r="O527" s="553"/>
      <c r="P527" s="553"/>
      <c r="Q527" s="553"/>
      <c r="R527" s="553"/>
      <c r="S527" s="553"/>
      <c r="T527" s="553"/>
      <c r="U527" s="553"/>
      <c r="V527" s="553"/>
      <c r="W527" s="553"/>
      <c r="X527" s="553"/>
      <c r="Y527" s="553"/>
    </row>
    <row r="528" ht="15.75" customHeight="1">
      <c r="A528" s="565"/>
      <c r="B528" s="566"/>
      <c r="C528" s="553"/>
      <c r="D528" s="553"/>
      <c r="E528" s="553"/>
      <c r="F528" s="553"/>
      <c r="G528" s="553"/>
      <c r="H528" s="553"/>
      <c r="I528" s="553"/>
      <c r="J528" s="553"/>
      <c r="K528" s="553"/>
      <c r="L528" s="553"/>
      <c r="M528" s="553"/>
      <c r="N528" s="553"/>
      <c r="O528" s="553"/>
      <c r="P528" s="553"/>
      <c r="Q528" s="553"/>
      <c r="R528" s="553"/>
      <c r="S528" s="553"/>
      <c r="T528" s="553"/>
      <c r="U528" s="553"/>
      <c r="V528" s="553"/>
      <c r="W528" s="553"/>
      <c r="X528" s="553"/>
      <c r="Y528" s="553"/>
    </row>
    <row r="529" ht="15.75" customHeight="1">
      <c r="A529" s="565"/>
      <c r="B529" s="566"/>
      <c r="C529" s="553"/>
      <c r="D529" s="553"/>
      <c r="E529" s="553"/>
      <c r="F529" s="553"/>
      <c r="G529" s="553"/>
      <c r="H529" s="553"/>
      <c r="I529" s="553"/>
      <c r="J529" s="553"/>
      <c r="K529" s="553"/>
      <c r="L529" s="553"/>
      <c r="M529" s="553"/>
      <c r="N529" s="553"/>
      <c r="O529" s="553"/>
      <c r="P529" s="553"/>
      <c r="Q529" s="553"/>
      <c r="R529" s="553"/>
      <c r="S529" s="553"/>
      <c r="T529" s="553"/>
      <c r="U529" s="553"/>
      <c r="V529" s="553"/>
      <c r="W529" s="553"/>
      <c r="X529" s="553"/>
      <c r="Y529" s="553"/>
    </row>
    <row r="530" ht="15.75" customHeight="1">
      <c r="A530" s="565"/>
      <c r="B530" s="566"/>
      <c r="C530" s="553"/>
      <c r="D530" s="553"/>
      <c r="E530" s="553"/>
      <c r="F530" s="553"/>
      <c r="G530" s="553"/>
      <c r="H530" s="553"/>
      <c r="I530" s="553"/>
      <c r="J530" s="553"/>
      <c r="K530" s="553"/>
      <c r="L530" s="553"/>
      <c r="M530" s="553"/>
      <c r="N530" s="553"/>
      <c r="O530" s="553"/>
      <c r="P530" s="553"/>
      <c r="Q530" s="553"/>
      <c r="R530" s="553"/>
      <c r="S530" s="553"/>
      <c r="T530" s="553"/>
      <c r="U530" s="553"/>
      <c r="V530" s="553"/>
      <c r="W530" s="553"/>
      <c r="X530" s="553"/>
      <c r="Y530" s="553"/>
    </row>
    <row r="531" ht="15.75" customHeight="1">
      <c r="A531" s="565"/>
      <c r="B531" s="566"/>
      <c r="C531" s="553"/>
      <c r="D531" s="553"/>
      <c r="E531" s="553"/>
      <c r="F531" s="553"/>
      <c r="G531" s="553"/>
      <c r="H531" s="553"/>
      <c r="I531" s="553"/>
      <c r="J531" s="553"/>
      <c r="K531" s="553"/>
      <c r="L531" s="553"/>
      <c r="M531" s="553"/>
      <c r="N531" s="553"/>
      <c r="O531" s="553"/>
      <c r="P531" s="553"/>
      <c r="Q531" s="553"/>
      <c r="R531" s="553"/>
      <c r="S531" s="553"/>
      <c r="T531" s="553"/>
      <c r="U531" s="553"/>
      <c r="V531" s="553"/>
      <c r="W531" s="553"/>
      <c r="X531" s="553"/>
      <c r="Y531" s="553"/>
    </row>
    <row r="532" ht="15.75" customHeight="1">
      <c r="A532" s="565"/>
      <c r="B532" s="566"/>
      <c r="C532" s="553"/>
      <c r="D532" s="553"/>
      <c r="E532" s="553"/>
      <c r="F532" s="553"/>
      <c r="G532" s="553"/>
      <c r="H532" s="553"/>
      <c r="I532" s="553"/>
      <c r="J532" s="553"/>
      <c r="K532" s="553"/>
      <c r="L532" s="553"/>
      <c r="M532" s="553"/>
      <c r="N532" s="553"/>
      <c r="O532" s="553"/>
      <c r="P532" s="553"/>
      <c r="Q532" s="553"/>
      <c r="R532" s="553"/>
      <c r="S532" s="553"/>
      <c r="T532" s="553"/>
      <c r="U532" s="553"/>
      <c r="V532" s="553"/>
      <c r="W532" s="553"/>
      <c r="X532" s="553"/>
      <c r="Y532" s="553"/>
    </row>
    <row r="533" ht="15.75" customHeight="1">
      <c r="A533" s="565"/>
      <c r="B533" s="566"/>
      <c r="C533" s="553"/>
      <c r="D533" s="553"/>
      <c r="E533" s="553"/>
      <c r="F533" s="553"/>
      <c r="G533" s="553"/>
      <c r="H533" s="553"/>
      <c r="I533" s="553"/>
      <c r="J533" s="553"/>
      <c r="K533" s="553"/>
      <c r="L533" s="553"/>
      <c r="M533" s="553"/>
      <c r="N533" s="553"/>
      <c r="O533" s="553"/>
      <c r="P533" s="553"/>
      <c r="Q533" s="553"/>
      <c r="R533" s="553"/>
      <c r="S533" s="553"/>
      <c r="T533" s="553"/>
      <c r="U533" s="553"/>
      <c r="V533" s="553"/>
      <c r="W533" s="553"/>
      <c r="X533" s="553"/>
      <c r="Y533" s="553"/>
    </row>
    <row r="534" ht="15.75" customHeight="1">
      <c r="A534" s="565"/>
      <c r="B534" s="566"/>
      <c r="C534" s="553"/>
      <c r="D534" s="553"/>
      <c r="E534" s="553"/>
      <c r="F534" s="553"/>
      <c r="G534" s="553"/>
      <c r="H534" s="553"/>
      <c r="I534" s="553"/>
      <c r="J534" s="553"/>
      <c r="K534" s="553"/>
      <c r="L534" s="553"/>
      <c r="M534" s="553"/>
      <c r="N534" s="553"/>
      <c r="O534" s="553"/>
      <c r="P534" s="553"/>
      <c r="Q534" s="553"/>
      <c r="R534" s="553"/>
      <c r="S534" s="553"/>
      <c r="T534" s="553"/>
      <c r="U534" s="553"/>
      <c r="V534" s="553"/>
      <c r="W534" s="553"/>
      <c r="X534" s="553"/>
      <c r="Y534" s="553"/>
    </row>
    <row r="535" ht="15.75" customHeight="1">
      <c r="A535" s="565"/>
      <c r="B535" s="566"/>
      <c r="C535" s="553"/>
      <c r="D535" s="553"/>
      <c r="E535" s="553"/>
      <c r="F535" s="553"/>
      <c r="G535" s="553"/>
      <c r="H535" s="553"/>
      <c r="I535" s="553"/>
      <c r="J535" s="553"/>
      <c r="K535" s="553"/>
      <c r="L535" s="553"/>
      <c r="M535" s="553"/>
      <c r="N535" s="553"/>
      <c r="O535" s="553"/>
      <c r="P535" s="553"/>
      <c r="Q535" s="553"/>
      <c r="R535" s="553"/>
      <c r="S535" s="553"/>
      <c r="T535" s="553"/>
      <c r="U535" s="553"/>
      <c r="V535" s="553"/>
      <c r="W535" s="553"/>
      <c r="X535" s="553"/>
      <c r="Y535" s="553"/>
    </row>
    <row r="536" ht="15.75" customHeight="1">
      <c r="A536" s="565"/>
      <c r="B536" s="566"/>
      <c r="C536" s="553"/>
      <c r="D536" s="553"/>
      <c r="E536" s="553"/>
      <c r="F536" s="553"/>
      <c r="G536" s="553"/>
      <c r="H536" s="553"/>
      <c r="I536" s="553"/>
      <c r="J536" s="553"/>
      <c r="K536" s="553"/>
      <c r="L536" s="553"/>
      <c r="M536" s="553"/>
      <c r="N536" s="553"/>
      <c r="O536" s="553"/>
      <c r="P536" s="553"/>
      <c r="Q536" s="553"/>
      <c r="R536" s="553"/>
      <c r="S536" s="553"/>
      <c r="T536" s="553"/>
      <c r="U536" s="553"/>
      <c r="V536" s="553"/>
      <c r="W536" s="553"/>
      <c r="X536" s="553"/>
      <c r="Y536" s="553"/>
    </row>
    <row r="537" ht="15.75" customHeight="1">
      <c r="A537" s="565"/>
      <c r="B537" s="566"/>
      <c r="C537" s="553"/>
      <c r="D537" s="553"/>
      <c r="E537" s="553"/>
      <c r="F537" s="553"/>
      <c r="G537" s="553"/>
      <c r="H537" s="553"/>
      <c r="I537" s="553"/>
      <c r="J537" s="553"/>
      <c r="K537" s="553"/>
      <c r="L537" s="553"/>
      <c r="M537" s="553"/>
      <c r="N537" s="553"/>
      <c r="O537" s="553"/>
      <c r="P537" s="553"/>
      <c r="Q537" s="553"/>
      <c r="R537" s="553"/>
      <c r="S537" s="553"/>
      <c r="T537" s="553"/>
      <c r="U537" s="553"/>
      <c r="V537" s="553"/>
      <c r="W537" s="553"/>
      <c r="X537" s="553"/>
      <c r="Y537" s="553"/>
    </row>
    <row r="538" ht="15.75" customHeight="1">
      <c r="A538" s="565"/>
      <c r="B538" s="566"/>
      <c r="C538" s="553"/>
      <c r="D538" s="553"/>
      <c r="E538" s="553"/>
      <c r="F538" s="553"/>
      <c r="G538" s="553"/>
      <c r="H538" s="553"/>
      <c r="I538" s="553"/>
      <c r="J538" s="553"/>
      <c r="K538" s="553"/>
      <c r="L538" s="553"/>
      <c r="M538" s="553"/>
      <c r="N538" s="553"/>
      <c r="O538" s="553"/>
      <c r="P538" s="553"/>
      <c r="Q538" s="553"/>
      <c r="R538" s="553"/>
      <c r="S538" s="553"/>
      <c r="T538" s="553"/>
      <c r="U538" s="553"/>
      <c r="V538" s="553"/>
      <c r="W538" s="553"/>
      <c r="X538" s="553"/>
      <c r="Y538" s="553"/>
    </row>
    <row r="539" ht="15.75" customHeight="1">
      <c r="A539" s="565"/>
      <c r="B539" s="566"/>
      <c r="C539" s="553"/>
      <c r="D539" s="553"/>
      <c r="E539" s="553"/>
      <c r="F539" s="553"/>
      <c r="G539" s="553"/>
      <c r="H539" s="553"/>
      <c r="I539" s="553"/>
      <c r="J539" s="553"/>
      <c r="K539" s="553"/>
      <c r="L539" s="553"/>
      <c r="M539" s="553"/>
      <c r="N539" s="553"/>
      <c r="O539" s="553"/>
      <c r="P539" s="553"/>
      <c r="Q539" s="553"/>
      <c r="R539" s="553"/>
      <c r="S539" s="553"/>
      <c r="T539" s="553"/>
      <c r="U539" s="553"/>
      <c r="V539" s="553"/>
      <c r="W539" s="553"/>
      <c r="X539" s="553"/>
      <c r="Y539" s="553"/>
    </row>
    <row r="540" ht="15.75" customHeight="1">
      <c r="A540" s="565"/>
      <c r="B540" s="566"/>
      <c r="C540" s="553"/>
      <c r="D540" s="553"/>
      <c r="E540" s="553"/>
      <c r="F540" s="553"/>
      <c r="G540" s="553"/>
      <c r="H540" s="553"/>
      <c r="I540" s="553"/>
      <c r="J540" s="553"/>
      <c r="K540" s="553"/>
      <c r="L540" s="553"/>
      <c r="M540" s="553"/>
      <c r="N540" s="553"/>
      <c r="O540" s="553"/>
      <c r="P540" s="553"/>
      <c r="Q540" s="553"/>
      <c r="R540" s="553"/>
      <c r="S540" s="553"/>
      <c r="T540" s="553"/>
      <c r="U540" s="553"/>
      <c r="V540" s="553"/>
      <c r="W540" s="553"/>
      <c r="X540" s="553"/>
      <c r="Y540" s="553"/>
    </row>
    <row r="541" ht="15.75" customHeight="1">
      <c r="A541" s="565"/>
      <c r="B541" s="566"/>
      <c r="C541" s="553"/>
      <c r="D541" s="553"/>
      <c r="E541" s="553"/>
      <c r="F541" s="553"/>
      <c r="G541" s="553"/>
      <c r="H541" s="553"/>
      <c r="I541" s="553"/>
      <c r="J541" s="553"/>
      <c r="K541" s="553"/>
      <c r="L541" s="553"/>
      <c r="M541" s="553"/>
      <c r="N541" s="553"/>
      <c r="O541" s="553"/>
      <c r="P541" s="553"/>
      <c r="Q541" s="553"/>
      <c r="R541" s="553"/>
      <c r="S541" s="553"/>
      <c r="T541" s="553"/>
      <c r="U541" s="553"/>
      <c r="V541" s="553"/>
      <c r="W541" s="553"/>
      <c r="X541" s="553"/>
      <c r="Y541" s="553"/>
    </row>
    <row r="542" ht="15.75" customHeight="1">
      <c r="A542" s="565"/>
      <c r="B542" s="566"/>
      <c r="C542" s="553"/>
      <c r="D542" s="553"/>
      <c r="E542" s="553"/>
      <c r="F542" s="553"/>
      <c r="G542" s="553"/>
      <c r="H542" s="553"/>
      <c r="I542" s="553"/>
      <c r="J542" s="553"/>
      <c r="K542" s="553"/>
      <c r="L542" s="553"/>
      <c r="M542" s="553"/>
      <c r="N542" s="553"/>
      <c r="O542" s="553"/>
      <c r="P542" s="553"/>
      <c r="Q542" s="553"/>
      <c r="R542" s="553"/>
      <c r="S542" s="553"/>
      <c r="T542" s="553"/>
      <c r="U542" s="553"/>
      <c r="V542" s="553"/>
      <c r="W542" s="553"/>
      <c r="X542" s="553"/>
      <c r="Y542" s="553"/>
    </row>
    <row r="543" ht="15.75" customHeight="1">
      <c r="A543" s="565"/>
      <c r="B543" s="566"/>
      <c r="C543" s="553"/>
      <c r="D543" s="553"/>
      <c r="E543" s="553"/>
      <c r="F543" s="553"/>
      <c r="G543" s="553"/>
      <c r="H543" s="553"/>
      <c r="I543" s="553"/>
      <c r="J543" s="553"/>
      <c r="K543" s="553"/>
      <c r="L543" s="553"/>
      <c r="M543" s="553"/>
      <c r="N543" s="553"/>
      <c r="O543" s="553"/>
      <c r="P543" s="553"/>
      <c r="Q543" s="553"/>
      <c r="R543" s="553"/>
      <c r="S543" s="553"/>
      <c r="T543" s="553"/>
      <c r="U543" s="553"/>
      <c r="V543" s="553"/>
      <c r="W543" s="553"/>
      <c r="X543" s="553"/>
      <c r="Y543" s="553"/>
    </row>
    <row r="544" ht="15.75" customHeight="1">
      <c r="A544" s="565"/>
      <c r="B544" s="566"/>
      <c r="C544" s="553"/>
      <c r="D544" s="553"/>
      <c r="E544" s="553"/>
      <c r="F544" s="553"/>
      <c r="G544" s="553"/>
      <c r="H544" s="553"/>
      <c r="I544" s="553"/>
      <c r="J544" s="553"/>
      <c r="K544" s="553"/>
      <c r="L544" s="553"/>
      <c r="M544" s="553"/>
      <c r="N544" s="553"/>
      <c r="O544" s="553"/>
      <c r="P544" s="553"/>
      <c r="Q544" s="553"/>
      <c r="R544" s="553"/>
      <c r="S544" s="553"/>
      <c r="T544" s="553"/>
      <c r="U544" s="553"/>
      <c r="V544" s="553"/>
      <c r="W544" s="553"/>
      <c r="X544" s="553"/>
      <c r="Y544" s="553"/>
    </row>
    <row r="545" ht="15.75" customHeight="1">
      <c r="A545" s="565"/>
      <c r="B545" s="566"/>
      <c r="C545" s="553"/>
      <c r="D545" s="553"/>
      <c r="E545" s="553"/>
      <c r="F545" s="553"/>
      <c r="G545" s="553"/>
      <c r="H545" s="553"/>
      <c r="I545" s="553"/>
      <c r="J545" s="553"/>
      <c r="K545" s="553"/>
      <c r="L545" s="553"/>
      <c r="M545" s="553"/>
      <c r="N545" s="553"/>
      <c r="O545" s="553"/>
      <c r="P545" s="553"/>
      <c r="Q545" s="553"/>
      <c r="R545" s="553"/>
      <c r="S545" s="553"/>
      <c r="T545" s="553"/>
      <c r="U545" s="553"/>
      <c r="V545" s="553"/>
      <c r="W545" s="553"/>
      <c r="X545" s="553"/>
      <c r="Y545" s="553"/>
    </row>
    <row r="546" ht="15.75" customHeight="1">
      <c r="A546" s="565"/>
      <c r="B546" s="566"/>
      <c r="C546" s="553"/>
      <c r="D546" s="553"/>
      <c r="E546" s="553"/>
      <c r="F546" s="553"/>
      <c r="G546" s="553"/>
      <c r="H546" s="553"/>
      <c r="I546" s="553"/>
      <c r="J546" s="553"/>
      <c r="K546" s="553"/>
      <c r="L546" s="553"/>
      <c r="M546" s="553"/>
      <c r="N546" s="553"/>
      <c r="O546" s="553"/>
      <c r="P546" s="553"/>
      <c r="Q546" s="553"/>
      <c r="R546" s="553"/>
      <c r="S546" s="553"/>
      <c r="T546" s="553"/>
      <c r="U546" s="553"/>
      <c r="V546" s="553"/>
      <c r="W546" s="553"/>
      <c r="X546" s="553"/>
      <c r="Y546" s="553"/>
    </row>
    <row r="547" ht="15.75" customHeight="1">
      <c r="A547" s="565"/>
      <c r="B547" s="566"/>
      <c r="C547" s="553"/>
      <c r="D547" s="553"/>
      <c r="E547" s="553"/>
      <c r="F547" s="553"/>
      <c r="G547" s="553"/>
      <c r="H547" s="553"/>
      <c r="I547" s="553"/>
      <c r="J547" s="553"/>
      <c r="K547" s="553"/>
      <c r="L547" s="553"/>
      <c r="M547" s="553"/>
      <c r="N547" s="553"/>
      <c r="O547" s="553"/>
      <c r="P547" s="553"/>
      <c r="Q547" s="553"/>
      <c r="R547" s="553"/>
      <c r="S547" s="553"/>
      <c r="T547" s="553"/>
      <c r="U547" s="553"/>
      <c r="V547" s="553"/>
      <c r="W547" s="553"/>
      <c r="X547" s="553"/>
      <c r="Y547" s="553"/>
    </row>
    <row r="548" ht="15.75" customHeight="1">
      <c r="A548" s="565"/>
      <c r="B548" s="566"/>
      <c r="C548" s="553"/>
      <c r="D548" s="553"/>
      <c r="E548" s="553"/>
      <c r="F548" s="553"/>
      <c r="G548" s="553"/>
      <c r="H548" s="553"/>
      <c r="I548" s="553"/>
      <c r="J548" s="553"/>
      <c r="K548" s="553"/>
      <c r="L548" s="553"/>
      <c r="M548" s="553"/>
      <c r="N548" s="553"/>
      <c r="O548" s="553"/>
      <c r="P548" s="553"/>
      <c r="Q548" s="553"/>
      <c r="R548" s="553"/>
      <c r="S548" s="553"/>
      <c r="T548" s="553"/>
      <c r="U548" s="553"/>
      <c r="V548" s="553"/>
      <c r="W548" s="553"/>
      <c r="X548" s="553"/>
      <c r="Y548" s="553"/>
    </row>
    <row r="549" ht="15.75" customHeight="1">
      <c r="A549" s="565"/>
      <c r="B549" s="566"/>
      <c r="C549" s="553"/>
      <c r="D549" s="553"/>
      <c r="E549" s="553"/>
      <c r="F549" s="553"/>
      <c r="G549" s="553"/>
      <c r="H549" s="553"/>
      <c r="I549" s="553"/>
      <c r="J549" s="553"/>
      <c r="K549" s="553"/>
      <c r="L549" s="553"/>
      <c r="M549" s="553"/>
      <c r="N549" s="553"/>
      <c r="O549" s="553"/>
      <c r="P549" s="553"/>
      <c r="Q549" s="553"/>
      <c r="R549" s="553"/>
      <c r="S549" s="553"/>
      <c r="T549" s="553"/>
      <c r="U549" s="553"/>
      <c r="V549" s="553"/>
      <c r="W549" s="553"/>
      <c r="X549" s="553"/>
      <c r="Y549" s="553"/>
    </row>
    <row r="550" ht="15.75" customHeight="1">
      <c r="A550" s="565"/>
      <c r="B550" s="566"/>
      <c r="C550" s="553"/>
      <c r="D550" s="553"/>
      <c r="E550" s="553"/>
      <c r="F550" s="553"/>
      <c r="G550" s="553"/>
      <c r="H550" s="553"/>
      <c r="I550" s="553"/>
      <c r="J550" s="553"/>
      <c r="K550" s="553"/>
      <c r="L550" s="553"/>
      <c r="M550" s="553"/>
      <c r="N550" s="553"/>
      <c r="O550" s="553"/>
      <c r="P550" s="553"/>
      <c r="Q550" s="553"/>
      <c r="R550" s="553"/>
      <c r="S550" s="553"/>
      <c r="T550" s="553"/>
      <c r="U550" s="553"/>
      <c r="V550" s="553"/>
      <c r="W550" s="553"/>
      <c r="X550" s="553"/>
      <c r="Y550" s="553"/>
    </row>
    <row r="551" ht="15.75" customHeight="1">
      <c r="A551" s="565"/>
      <c r="B551" s="566"/>
      <c r="C551" s="553"/>
      <c r="D551" s="553"/>
      <c r="E551" s="553"/>
      <c r="F551" s="553"/>
      <c r="G551" s="553"/>
      <c r="H551" s="553"/>
      <c r="I551" s="553"/>
      <c r="J551" s="553"/>
      <c r="K551" s="553"/>
      <c r="L551" s="553"/>
      <c r="M551" s="553"/>
      <c r="N551" s="553"/>
      <c r="O551" s="553"/>
      <c r="P551" s="553"/>
      <c r="Q551" s="553"/>
      <c r="R551" s="553"/>
      <c r="S551" s="553"/>
      <c r="T551" s="553"/>
      <c r="U551" s="553"/>
      <c r="V551" s="553"/>
      <c r="W551" s="553"/>
      <c r="X551" s="553"/>
      <c r="Y551" s="553"/>
    </row>
    <row r="552" ht="15.75" customHeight="1">
      <c r="A552" s="565"/>
      <c r="B552" s="566"/>
      <c r="C552" s="553"/>
      <c r="D552" s="553"/>
      <c r="E552" s="553"/>
      <c r="F552" s="553"/>
      <c r="G552" s="553"/>
      <c r="H552" s="553"/>
      <c r="I552" s="553"/>
      <c r="J552" s="553"/>
      <c r="K552" s="553"/>
      <c r="L552" s="553"/>
      <c r="M552" s="553"/>
      <c r="N552" s="553"/>
      <c r="O552" s="553"/>
      <c r="P552" s="553"/>
      <c r="Q552" s="553"/>
      <c r="R552" s="553"/>
      <c r="S552" s="553"/>
      <c r="T552" s="553"/>
      <c r="U552" s="553"/>
      <c r="V552" s="553"/>
      <c r="W552" s="553"/>
      <c r="X552" s="553"/>
      <c r="Y552" s="553"/>
    </row>
    <row r="553" ht="15.75" customHeight="1">
      <c r="A553" s="565"/>
      <c r="B553" s="566"/>
      <c r="C553" s="553"/>
      <c r="D553" s="553"/>
      <c r="E553" s="553"/>
      <c r="F553" s="553"/>
      <c r="G553" s="553"/>
      <c r="H553" s="553"/>
      <c r="I553" s="553"/>
      <c r="J553" s="553"/>
      <c r="K553" s="553"/>
      <c r="L553" s="553"/>
      <c r="M553" s="553"/>
      <c r="N553" s="553"/>
      <c r="O553" s="553"/>
      <c r="P553" s="553"/>
      <c r="Q553" s="553"/>
      <c r="R553" s="553"/>
      <c r="S553" s="553"/>
      <c r="T553" s="553"/>
      <c r="U553" s="553"/>
      <c r="V553" s="553"/>
      <c r="W553" s="553"/>
      <c r="X553" s="553"/>
      <c r="Y553" s="553"/>
    </row>
    <row r="554" ht="15.75" customHeight="1">
      <c r="A554" s="565"/>
      <c r="B554" s="566"/>
      <c r="C554" s="553"/>
      <c r="D554" s="553"/>
      <c r="E554" s="553"/>
      <c r="F554" s="553"/>
      <c r="G554" s="553"/>
      <c r="H554" s="553"/>
      <c r="I554" s="553"/>
      <c r="J554" s="553"/>
      <c r="K554" s="553"/>
      <c r="L554" s="553"/>
      <c r="M554" s="553"/>
      <c r="N554" s="553"/>
      <c r="O554" s="553"/>
      <c r="P554" s="553"/>
      <c r="Q554" s="553"/>
      <c r="R554" s="553"/>
      <c r="S554" s="553"/>
      <c r="T554" s="553"/>
      <c r="U554" s="553"/>
      <c r="V554" s="553"/>
      <c r="W554" s="553"/>
      <c r="X554" s="553"/>
      <c r="Y554" s="553"/>
    </row>
    <row r="555" ht="15.75" customHeight="1">
      <c r="A555" s="565"/>
      <c r="B555" s="566"/>
      <c r="C555" s="553"/>
      <c r="D555" s="553"/>
      <c r="E555" s="553"/>
      <c r="F555" s="553"/>
      <c r="G555" s="553"/>
      <c r="H555" s="553"/>
      <c r="I555" s="553"/>
      <c r="J555" s="553"/>
      <c r="K555" s="553"/>
      <c r="L555" s="553"/>
      <c r="M555" s="553"/>
      <c r="N555" s="553"/>
      <c r="O555" s="553"/>
      <c r="P555" s="553"/>
      <c r="Q555" s="553"/>
      <c r="R555" s="553"/>
      <c r="S555" s="553"/>
      <c r="T555" s="553"/>
      <c r="U555" s="553"/>
      <c r="V555" s="553"/>
      <c r="W555" s="553"/>
      <c r="X555" s="553"/>
      <c r="Y555" s="553"/>
    </row>
    <row r="556" ht="15.75" customHeight="1">
      <c r="A556" s="565"/>
      <c r="B556" s="566"/>
      <c r="C556" s="553"/>
      <c r="D556" s="553"/>
      <c r="E556" s="553"/>
      <c r="F556" s="553"/>
      <c r="G556" s="553"/>
      <c r="H556" s="553"/>
      <c r="I556" s="553"/>
      <c r="J556" s="553"/>
      <c r="K556" s="553"/>
      <c r="L556" s="553"/>
      <c r="M556" s="553"/>
      <c r="N556" s="553"/>
      <c r="O556" s="553"/>
      <c r="P556" s="553"/>
      <c r="Q556" s="553"/>
      <c r="R556" s="553"/>
      <c r="S556" s="553"/>
      <c r="T556" s="553"/>
      <c r="U556" s="553"/>
      <c r="V556" s="553"/>
      <c r="W556" s="553"/>
      <c r="X556" s="553"/>
      <c r="Y556" s="553"/>
    </row>
    <row r="557" ht="15.75" customHeight="1">
      <c r="A557" s="565"/>
      <c r="B557" s="566"/>
      <c r="C557" s="553"/>
      <c r="D557" s="553"/>
      <c r="E557" s="553"/>
      <c r="F557" s="553"/>
      <c r="G557" s="553"/>
      <c r="H557" s="553"/>
      <c r="I557" s="553"/>
      <c r="J557" s="553"/>
      <c r="K557" s="553"/>
      <c r="L557" s="553"/>
      <c r="M557" s="553"/>
      <c r="N557" s="553"/>
      <c r="O557" s="553"/>
      <c r="P557" s="553"/>
      <c r="Q557" s="553"/>
      <c r="R557" s="553"/>
      <c r="S557" s="553"/>
      <c r="T557" s="553"/>
      <c r="U557" s="553"/>
      <c r="V557" s="553"/>
      <c r="W557" s="553"/>
      <c r="X557" s="553"/>
      <c r="Y557" s="553"/>
    </row>
    <row r="558" ht="15.75" customHeight="1">
      <c r="A558" s="565"/>
      <c r="B558" s="566"/>
      <c r="C558" s="553"/>
      <c r="D558" s="553"/>
      <c r="E558" s="553"/>
      <c r="F558" s="553"/>
      <c r="G558" s="553"/>
      <c r="H558" s="553"/>
      <c r="I558" s="553"/>
      <c r="J558" s="553"/>
      <c r="K558" s="553"/>
      <c r="L558" s="553"/>
      <c r="M558" s="553"/>
      <c r="N558" s="553"/>
      <c r="O558" s="553"/>
      <c r="P558" s="553"/>
      <c r="Q558" s="553"/>
      <c r="R558" s="553"/>
      <c r="S558" s="553"/>
      <c r="T558" s="553"/>
      <c r="U558" s="553"/>
      <c r="V558" s="553"/>
      <c r="W558" s="553"/>
      <c r="X558" s="553"/>
      <c r="Y558" s="553"/>
    </row>
    <row r="559" ht="15.75" customHeight="1">
      <c r="A559" s="565"/>
      <c r="B559" s="566"/>
      <c r="C559" s="553"/>
      <c r="D559" s="553"/>
      <c r="E559" s="553"/>
      <c r="F559" s="553"/>
      <c r="G559" s="553"/>
      <c r="H559" s="553"/>
      <c r="I559" s="553"/>
      <c r="J559" s="553"/>
      <c r="K559" s="553"/>
      <c r="L559" s="553"/>
      <c r="M559" s="553"/>
      <c r="N559" s="553"/>
      <c r="O559" s="553"/>
      <c r="P559" s="553"/>
      <c r="Q559" s="553"/>
      <c r="R559" s="553"/>
      <c r="S559" s="553"/>
      <c r="T559" s="553"/>
      <c r="U559" s="553"/>
      <c r="V559" s="553"/>
      <c r="W559" s="553"/>
      <c r="X559" s="553"/>
      <c r="Y559" s="553"/>
    </row>
    <row r="560" ht="15.75" customHeight="1">
      <c r="A560" s="565"/>
      <c r="B560" s="566"/>
      <c r="C560" s="553"/>
      <c r="D560" s="553"/>
      <c r="E560" s="553"/>
      <c r="F560" s="553"/>
      <c r="G560" s="553"/>
      <c r="H560" s="553"/>
      <c r="I560" s="553"/>
      <c r="J560" s="553"/>
      <c r="K560" s="553"/>
      <c r="L560" s="553"/>
      <c r="M560" s="553"/>
      <c r="N560" s="553"/>
      <c r="O560" s="553"/>
      <c r="P560" s="553"/>
      <c r="Q560" s="553"/>
      <c r="R560" s="553"/>
      <c r="S560" s="553"/>
      <c r="T560" s="553"/>
      <c r="U560" s="553"/>
      <c r="V560" s="553"/>
      <c r="W560" s="553"/>
      <c r="X560" s="553"/>
      <c r="Y560" s="553"/>
    </row>
    <row r="561" ht="15.75" customHeight="1">
      <c r="A561" s="565"/>
      <c r="B561" s="566"/>
      <c r="C561" s="553"/>
      <c r="D561" s="553"/>
      <c r="E561" s="553"/>
      <c r="F561" s="553"/>
      <c r="G561" s="553"/>
      <c r="H561" s="553"/>
      <c r="I561" s="553"/>
      <c r="J561" s="553"/>
      <c r="K561" s="553"/>
      <c r="L561" s="553"/>
      <c r="M561" s="553"/>
      <c r="N561" s="553"/>
      <c r="O561" s="553"/>
      <c r="P561" s="553"/>
      <c r="Q561" s="553"/>
      <c r="R561" s="553"/>
      <c r="S561" s="553"/>
      <c r="T561" s="553"/>
      <c r="U561" s="553"/>
      <c r="V561" s="553"/>
      <c r="W561" s="553"/>
      <c r="X561" s="553"/>
      <c r="Y561" s="553"/>
    </row>
    <row r="562" ht="15.75" customHeight="1">
      <c r="A562" s="565"/>
      <c r="B562" s="566"/>
      <c r="C562" s="553"/>
      <c r="D562" s="553"/>
      <c r="E562" s="553"/>
      <c r="F562" s="553"/>
      <c r="G562" s="553"/>
      <c r="H562" s="553"/>
      <c r="I562" s="553"/>
      <c r="J562" s="553"/>
      <c r="K562" s="553"/>
      <c r="L562" s="553"/>
      <c r="M562" s="553"/>
      <c r="N562" s="553"/>
      <c r="O562" s="553"/>
      <c r="P562" s="553"/>
      <c r="Q562" s="553"/>
      <c r="R562" s="553"/>
      <c r="S562" s="553"/>
      <c r="T562" s="553"/>
      <c r="U562" s="553"/>
      <c r="V562" s="553"/>
      <c r="W562" s="553"/>
      <c r="X562" s="553"/>
      <c r="Y562" s="553"/>
    </row>
    <row r="563" ht="15.75" customHeight="1">
      <c r="A563" s="565"/>
      <c r="B563" s="566"/>
      <c r="C563" s="553"/>
      <c r="D563" s="553"/>
      <c r="E563" s="553"/>
      <c r="F563" s="553"/>
      <c r="G563" s="553"/>
      <c r="H563" s="553"/>
      <c r="I563" s="553"/>
      <c r="J563" s="553"/>
      <c r="K563" s="553"/>
      <c r="L563" s="553"/>
      <c r="M563" s="553"/>
      <c r="N563" s="553"/>
      <c r="O563" s="553"/>
      <c r="P563" s="553"/>
      <c r="Q563" s="553"/>
      <c r="R563" s="553"/>
      <c r="S563" s="553"/>
      <c r="T563" s="553"/>
      <c r="U563" s="553"/>
      <c r="V563" s="553"/>
      <c r="W563" s="553"/>
      <c r="X563" s="553"/>
      <c r="Y563" s="553"/>
    </row>
    <row r="564" ht="15.75" customHeight="1">
      <c r="A564" s="565"/>
      <c r="B564" s="566"/>
      <c r="C564" s="553"/>
      <c r="D564" s="553"/>
      <c r="E564" s="553"/>
      <c r="F564" s="553"/>
      <c r="G564" s="553"/>
      <c r="H564" s="553"/>
      <c r="I564" s="553"/>
      <c r="J564" s="553"/>
      <c r="K564" s="553"/>
      <c r="L564" s="553"/>
      <c r="M564" s="553"/>
      <c r="N564" s="553"/>
      <c r="O564" s="553"/>
      <c r="P564" s="553"/>
      <c r="Q564" s="553"/>
      <c r="R564" s="553"/>
      <c r="S564" s="553"/>
      <c r="T564" s="553"/>
      <c r="U564" s="553"/>
      <c r="V564" s="553"/>
      <c r="W564" s="553"/>
      <c r="X564" s="553"/>
      <c r="Y564" s="553"/>
    </row>
    <row r="565" ht="15.75" customHeight="1">
      <c r="A565" s="565"/>
      <c r="B565" s="566"/>
      <c r="C565" s="553"/>
      <c r="D565" s="553"/>
      <c r="E565" s="553"/>
      <c r="F565" s="553"/>
      <c r="G565" s="553"/>
      <c r="H565" s="553"/>
      <c r="I565" s="553"/>
      <c r="J565" s="553"/>
      <c r="K565" s="553"/>
      <c r="L565" s="553"/>
      <c r="M565" s="553"/>
      <c r="N565" s="553"/>
      <c r="O565" s="553"/>
      <c r="P565" s="553"/>
      <c r="Q565" s="553"/>
      <c r="R565" s="553"/>
      <c r="S565" s="553"/>
      <c r="T565" s="553"/>
      <c r="U565" s="553"/>
      <c r="V565" s="553"/>
      <c r="W565" s="553"/>
      <c r="X565" s="553"/>
      <c r="Y565" s="553"/>
    </row>
    <row r="566" ht="15.75" customHeight="1">
      <c r="A566" s="565"/>
      <c r="B566" s="566"/>
      <c r="C566" s="553"/>
      <c r="D566" s="553"/>
      <c r="E566" s="553"/>
      <c r="F566" s="553"/>
      <c r="G566" s="553"/>
      <c r="H566" s="553"/>
      <c r="I566" s="553"/>
      <c r="J566" s="553"/>
      <c r="K566" s="553"/>
      <c r="L566" s="553"/>
      <c r="M566" s="553"/>
      <c r="N566" s="553"/>
      <c r="O566" s="553"/>
      <c r="P566" s="553"/>
      <c r="Q566" s="553"/>
      <c r="R566" s="553"/>
      <c r="S566" s="553"/>
      <c r="T566" s="553"/>
      <c r="U566" s="553"/>
      <c r="V566" s="553"/>
      <c r="W566" s="553"/>
      <c r="X566" s="553"/>
      <c r="Y566" s="553"/>
    </row>
    <row r="567" ht="15.75" customHeight="1">
      <c r="A567" s="565"/>
      <c r="B567" s="566"/>
      <c r="C567" s="553"/>
      <c r="D567" s="553"/>
      <c r="E567" s="553"/>
      <c r="F567" s="553"/>
      <c r="G567" s="553"/>
      <c r="H567" s="553"/>
      <c r="I567" s="553"/>
      <c r="J567" s="553"/>
      <c r="K567" s="553"/>
      <c r="L567" s="553"/>
      <c r="M567" s="553"/>
      <c r="N567" s="553"/>
      <c r="O567" s="553"/>
      <c r="P567" s="553"/>
      <c r="Q567" s="553"/>
      <c r="R567" s="553"/>
      <c r="S567" s="553"/>
      <c r="T567" s="553"/>
      <c r="U567" s="553"/>
      <c r="V567" s="553"/>
      <c r="W567" s="553"/>
      <c r="X567" s="553"/>
      <c r="Y567" s="553"/>
    </row>
    <row r="568" ht="15.75" customHeight="1">
      <c r="A568" s="565"/>
      <c r="B568" s="566"/>
      <c r="C568" s="553"/>
      <c r="D568" s="553"/>
      <c r="E568" s="553"/>
      <c r="F568" s="553"/>
      <c r="G568" s="553"/>
      <c r="H568" s="553"/>
      <c r="I568" s="553"/>
      <c r="J568" s="553"/>
      <c r="K568" s="553"/>
      <c r="L568" s="553"/>
      <c r="M568" s="553"/>
      <c r="N568" s="553"/>
      <c r="O568" s="553"/>
      <c r="P568" s="553"/>
      <c r="Q568" s="553"/>
      <c r="R568" s="553"/>
      <c r="S568" s="553"/>
      <c r="T568" s="553"/>
      <c r="U568" s="553"/>
      <c r="V568" s="553"/>
      <c r="W568" s="553"/>
      <c r="X568" s="553"/>
      <c r="Y568" s="553"/>
    </row>
    <row r="569" ht="15.75" customHeight="1">
      <c r="A569" s="565"/>
      <c r="B569" s="566"/>
      <c r="C569" s="553"/>
      <c r="D569" s="553"/>
      <c r="E569" s="553"/>
      <c r="F569" s="553"/>
      <c r="G569" s="553"/>
      <c r="H569" s="553"/>
      <c r="I569" s="553"/>
      <c r="J569" s="553"/>
      <c r="K569" s="553"/>
      <c r="L569" s="553"/>
      <c r="M569" s="553"/>
      <c r="N569" s="553"/>
      <c r="O569" s="553"/>
      <c r="P569" s="553"/>
      <c r="Q569" s="553"/>
      <c r="R569" s="553"/>
      <c r="S569" s="553"/>
      <c r="T569" s="553"/>
      <c r="U569" s="553"/>
      <c r="V569" s="553"/>
      <c r="W569" s="553"/>
      <c r="X569" s="553"/>
      <c r="Y569" s="553"/>
    </row>
    <row r="570" ht="15.75" customHeight="1">
      <c r="A570" s="565"/>
      <c r="B570" s="566"/>
      <c r="C570" s="553"/>
      <c r="D570" s="553"/>
      <c r="E570" s="553"/>
      <c r="F570" s="553"/>
      <c r="G570" s="553"/>
      <c r="H570" s="553"/>
      <c r="I570" s="553"/>
      <c r="J570" s="553"/>
      <c r="K570" s="553"/>
      <c r="L570" s="553"/>
      <c r="M570" s="553"/>
      <c r="N570" s="553"/>
      <c r="O570" s="553"/>
      <c r="P570" s="553"/>
      <c r="Q570" s="553"/>
      <c r="R570" s="553"/>
      <c r="S570" s="553"/>
      <c r="T570" s="553"/>
      <c r="U570" s="553"/>
      <c r="V570" s="553"/>
      <c r="W570" s="553"/>
      <c r="X570" s="553"/>
      <c r="Y570" s="553"/>
    </row>
    <row r="571" ht="15.75" customHeight="1">
      <c r="A571" s="565"/>
      <c r="B571" s="566"/>
      <c r="C571" s="553"/>
      <c r="D571" s="553"/>
      <c r="E571" s="553"/>
      <c r="F571" s="553"/>
      <c r="G571" s="553"/>
      <c r="H571" s="553"/>
      <c r="I571" s="553"/>
      <c r="J571" s="553"/>
      <c r="K571" s="553"/>
      <c r="L571" s="553"/>
      <c r="M571" s="553"/>
      <c r="N571" s="553"/>
      <c r="O571" s="553"/>
      <c r="P571" s="553"/>
      <c r="Q571" s="553"/>
      <c r="R571" s="553"/>
      <c r="S571" s="553"/>
      <c r="T571" s="553"/>
      <c r="U571" s="553"/>
      <c r="V571" s="553"/>
      <c r="W571" s="553"/>
      <c r="X571" s="553"/>
      <c r="Y571" s="553"/>
    </row>
    <row r="572" ht="15.75" customHeight="1">
      <c r="A572" s="565"/>
      <c r="B572" s="566"/>
      <c r="C572" s="553"/>
      <c r="D572" s="553"/>
      <c r="E572" s="553"/>
      <c r="F572" s="553"/>
      <c r="G572" s="553"/>
      <c r="H572" s="553"/>
      <c r="I572" s="553"/>
      <c r="J572" s="553"/>
      <c r="K572" s="553"/>
      <c r="L572" s="553"/>
      <c r="M572" s="553"/>
      <c r="N572" s="553"/>
      <c r="O572" s="553"/>
      <c r="P572" s="553"/>
      <c r="Q572" s="553"/>
      <c r="R572" s="553"/>
      <c r="S572" s="553"/>
      <c r="T572" s="553"/>
      <c r="U572" s="553"/>
      <c r="V572" s="553"/>
      <c r="W572" s="553"/>
      <c r="X572" s="553"/>
      <c r="Y572" s="553"/>
    </row>
    <row r="573" ht="15.75" customHeight="1">
      <c r="A573" s="565"/>
      <c r="B573" s="566"/>
      <c r="C573" s="553"/>
      <c r="D573" s="553"/>
      <c r="E573" s="553"/>
      <c r="F573" s="553"/>
      <c r="G573" s="553"/>
      <c r="H573" s="553"/>
      <c r="I573" s="553"/>
      <c r="J573" s="553"/>
      <c r="K573" s="553"/>
      <c r="L573" s="553"/>
      <c r="M573" s="553"/>
      <c r="N573" s="553"/>
      <c r="O573" s="553"/>
      <c r="P573" s="553"/>
      <c r="Q573" s="553"/>
      <c r="R573" s="553"/>
      <c r="S573" s="553"/>
      <c r="T573" s="553"/>
      <c r="U573" s="553"/>
      <c r="V573" s="553"/>
      <c r="W573" s="553"/>
      <c r="X573" s="553"/>
      <c r="Y573" s="553"/>
    </row>
    <row r="574" ht="15.75" customHeight="1">
      <c r="A574" s="565"/>
      <c r="B574" s="566"/>
      <c r="C574" s="553"/>
      <c r="D574" s="553"/>
      <c r="E574" s="553"/>
      <c r="F574" s="553"/>
      <c r="G574" s="553"/>
      <c r="H574" s="553"/>
      <c r="I574" s="553"/>
      <c r="J574" s="553"/>
      <c r="K574" s="553"/>
      <c r="L574" s="553"/>
      <c r="M574" s="553"/>
      <c r="N574" s="553"/>
      <c r="O574" s="553"/>
      <c r="P574" s="553"/>
      <c r="Q574" s="553"/>
      <c r="R574" s="553"/>
      <c r="S574" s="553"/>
      <c r="T574" s="553"/>
      <c r="U574" s="553"/>
      <c r="V574" s="553"/>
      <c r="W574" s="553"/>
      <c r="X574" s="553"/>
      <c r="Y574" s="553"/>
    </row>
    <row r="575" ht="15.75" customHeight="1">
      <c r="A575" s="565"/>
      <c r="B575" s="566"/>
      <c r="C575" s="553"/>
      <c r="D575" s="553"/>
      <c r="E575" s="553"/>
      <c r="F575" s="553"/>
      <c r="G575" s="553"/>
      <c r="H575" s="553"/>
      <c r="I575" s="553"/>
      <c r="J575" s="553"/>
      <c r="K575" s="553"/>
      <c r="L575" s="553"/>
      <c r="M575" s="553"/>
      <c r="N575" s="553"/>
      <c r="O575" s="553"/>
      <c r="P575" s="553"/>
      <c r="Q575" s="553"/>
      <c r="R575" s="553"/>
      <c r="S575" s="553"/>
      <c r="T575" s="553"/>
      <c r="U575" s="553"/>
      <c r="V575" s="553"/>
      <c r="W575" s="553"/>
      <c r="X575" s="553"/>
      <c r="Y575" s="553"/>
    </row>
    <row r="576" ht="15.75" customHeight="1">
      <c r="A576" s="565"/>
      <c r="B576" s="566"/>
      <c r="C576" s="553"/>
      <c r="D576" s="553"/>
      <c r="E576" s="553"/>
      <c r="F576" s="553"/>
      <c r="G576" s="553"/>
      <c r="H576" s="553"/>
      <c r="I576" s="553"/>
      <c r="J576" s="553"/>
      <c r="K576" s="553"/>
      <c r="L576" s="553"/>
      <c r="M576" s="553"/>
      <c r="N576" s="553"/>
      <c r="O576" s="553"/>
      <c r="P576" s="553"/>
      <c r="Q576" s="553"/>
      <c r="R576" s="553"/>
      <c r="S576" s="553"/>
      <c r="T576" s="553"/>
      <c r="U576" s="553"/>
      <c r="V576" s="553"/>
      <c r="W576" s="553"/>
      <c r="X576" s="553"/>
      <c r="Y576" s="553"/>
    </row>
    <row r="577" ht="15.75" customHeight="1">
      <c r="A577" s="565"/>
      <c r="B577" s="566"/>
      <c r="C577" s="553"/>
      <c r="D577" s="553"/>
      <c r="E577" s="553"/>
      <c r="F577" s="553"/>
      <c r="G577" s="553"/>
      <c r="H577" s="553"/>
      <c r="I577" s="553"/>
      <c r="J577" s="553"/>
      <c r="K577" s="553"/>
      <c r="L577" s="553"/>
      <c r="M577" s="553"/>
      <c r="N577" s="553"/>
      <c r="O577" s="553"/>
      <c r="P577" s="553"/>
      <c r="Q577" s="553"/>
      <c r="R577" s="553"/>
      <c r="S577" s="553"/>
      <c r="T577" s="553"/>
      <c r="U577" s="553"/>
      <c r="V577" s="553"/>
      <c r="W577" s="553"/>
      <c r="X577" s="553"/>
      <c r="Y577" s="553"/>
    </row>
    <row r="578" ht="15.75" customHeight="1">
      <c r="A578" s="565"/>
      <c r="B578" s="566"/>
      <c r="C578" s="553"/>
      <c r="D578" s="553"/>
      <c r="E578" s="553"/>
      <c r="F578" s="553"/>
      <c r="G578" s="553"/>
      <c r="H578" s="553"/>
      <c r="I578" s="553"/>
      <c r="J578" s="553"/>
      <c r="K578" s="553"/>
      <c r="L578" s="553"/>
      <c r="M578" s="553"/>
      <c r="N578" s="553"/>
      <c r="O578" s="553"/>
      <c r="P578" s="553"/>
      <c r="Q578" s="553"/>
      <c r="R578" s="553"/>
      <c r="S578" s="553"/>
      <c r="T578" s="553"/>
      <c r="U578" s="553"/>
      <c r="V578" s="553"/>
      <c r="W578" s="553"/>
      <c r="X578" s="553"/>
      <c r="Y578" s="553"/>
    </row>
    <row r="579" ht="15.75" customHeight="1">
      <c r="A579" s="565"/>
      <c r="B579" s="566"/>
      <c r="C579" s="553"/>
      <c r="D579" s="553"/>
      <c r="E579" s="553"/>
      <c r="F579" s="553"/>
      <c r="G579" s="553"/>
      <c r="H579" s="553"/>
      <c r="I579" s="553"/>
      <c r="J579" s="553"/>
      <c r="K579" s="553"/>
      <c r="L579" s="553"/>
      <c r="M579" s="553"/>
      <c r="N579" s="553"/>
      <c r="O579" s="553"/>
      <c r="P579" s="553"/>
      <c r="Q579" s="553"/>
      <c r="R579" s="553"/>
      <c r="S579" s="553"/>
      <c r="T579" s="553"/>
      <c r="U579" s="553"/>
      <c r="V579" s="553"/>
      <c r="W579" s="553"/>
      <c r="X579" s="553"/>
      <c r="Y579" s="553"/>
    </row>
    <row r="580" ht="15.75" customHeight="1">
      <c r="A580" s="565"/>
      <c r="B580" s="566"/>
      <c r="C580" s="553"/>
      <c r="D580" s="553"/>
      <c r="E580" s="553"/>
      <c r="F580" s="553"/>
      <c r="G580" s="553"/>
      <c r="H580" s="553"/>
      <c r="I580" s="553"/>
      <c r="J580" s="553"/>
      <c r="K580" s="553"/>
      <c r="L580" s="553"/>
      <c r="M580" s="553"/>
      <c r="N580" s="553"/>
      <c r="O580" s="553"/>
      <c r="P580" s="553"/>
      <c r="Q580" s="553"/>
      <c r="R580" s="553"/>
      <c r="S580" s="553"/>
      <c r="T580" s="553"/>
      <c r="U580" s="553"/>
      <c r="V580" s="553"/>
      <c r="W580" s="553"/>
      <c r="X580" s="553"/>
      <c r="Y580" s="553"/>
    </row>
    <row r="581" ht="15.75" customHeight="1">
      <c r="A581" s="565"/>
      <c r="B581" s="566"/>
      <c r="C581" s="553"/>
      <c r="D581" s="553"/>
      <c r="E581" s="553"/>
      <c r="F581" s="553"/>
      <c r="G581" s="553"/>
      <c r="H581" s="553"/>
      <c r="I581" s="553"/>
      <c r="J581" s="553"/>
      <c r="K581" s="553"/>
      <c r="L581" s="553"/>
      <c r="M581" s="553"/>
      <c r="N581" s="553"/>
      <c r="O581" s="553"/>
      <c r="P581" s="553"/>
      <c r="Q581" s="553"/>
      <c r="R581" s="553"/>
      <c r="S581" s="553"/>
      <c r="T581" s="553"/>
      <c r="U581" s="553"/>
      <c r="V581" s="553"/>
      <c r="W581" s="553"/>
      <c r="X581" s="553"/>
      <c r="Y581" s="553"/>
    </row>
    <row r="582" ht="15.75" customHeight="1">
      <c r="A582" s="565"/>
      <c r="B582" s="566"/>
      <c r="C582" s="553"/>
      <c r="D582" s="553"/>
      <c r="E582" s="553"/>
      <c r="F582" s="553"/>
      <c r="G582" s="553"/>
      <c r="H582" s="553"/>
      <c r="I582" s="553"/>
      <c r="J582" s="553"/>
      <c r="K582" s="553"/>
      <c r="L582" s="553"/>
      <c r="M582" s="553"/>
      <c r="N582" s="553"/>
      <c r="O582" s="553"/>
      <c r="P582" s="553"/>
      <c r="Q582" s="553"/>
      <c r="R582" s="553"/>
      <c r="S582" s="553"/>
      <c r="T582" s="553"/>
      <c r="U582" s="553"/>
      <c r="V582" s="553"/>
      <c r="W582" s="553"/>
      <c r="X582" s="553"/>
      <c r="Y582" s="553"/>
    </row>
    <row r="583" ht="15.75" customHeight="1">
      <c r="A583" s="565"/>
      <c r="B583" s="566"/>
      <c r="C583" s="553"/>
      <c r="D583" s="553"/>
      <c r="E583" s="553"/>
      <c r="F583" s="553"/>
      <c r="G583" s="553"/>
      <c r="H583" s="553"/>
      <c r="I583" s="553"/>
      <c r="J583" s="553"/>
      <c r="K583" s="553"/>
      <c r="L583" s="553"/>
      <c r="M583" s="553"/>
      <c r="N583" s="553"/>
      <c r="O583" s="553"/>
      <c r="P583" s="553"/>
      <c r="Q583" s="553"/>
      <c r="R583" s="553"/>
      <c r="S583" s="553"/>
      <c r="T583" s="553"/>
      <c r="U583" s="553"/>
      <c r="V583" s="553"/>
      <c r="W583" s="553"/>
      <c r="X583" s="553"/>
      <c r="Y583" s="553"/>
    </row>
    <row r="584" ht="15.75" customHeight="1">
      <c r="A584" s="565"/>
      <c r="B584" s="566"/>
      <c r="C584" s="553"/>
      <c r="D584" s="553"/>
      <c r="E584" s="553"/>
      <c r="F584" s="553"/>
      <c r="G584" s="553"/>
      <c r="H584" s="553"/>
      <c r="I584" s="553"/>
      <c r="J584" s="553"/>
      <c r="K584" s="553"/>
      <c r="L584" s="553"/>
      <c r="M584" s="553"/>
      <c r="N584" s="553"/>
      <c r="O584" s="553"/>
      <c r="P584" s="553"/>
      <c r="Q584" s="553"/>
      <c r="R584" s="553"/>
      <c r="S584" s="553"/>
      <c r="T584" s="553"/>
      <c r="U584" s="553"/>
      <c r="V584" s="553"/>
      <c r="W584" s="553"/>
      <c r="X584" s="553"/>
      <c r="Y584" s="553"/>
    </row>
    <row r="585" ht="15.75" customHeight="1">
      <c r="A585" s="565"/>
      <c r="B585" s="566"/>
      <c r="C585" s="553"/>
      <c r="D585" s="553"/>
      <c r="E585" s="553"/>
      <c r="F585" s="553"/>
      <c r="G585" s="553"/>
      <c r="H585" s="553"/>
      <c r="I585" s="553"/>
      <c r="J585" s="553"/>
      <c r="K585" s="553"/>
      <c r="L585" s="553"/>
      <c r="M585" s="553"/>
      <c r="N585" s="553"/>
      <c r="O585" s="553"/>
      <c r="P585" s="553"/>
      <c r="Q585" s="553"/>
      <c r="R585" s="553"/>
      <c r="S585" s="553"/>
      <c r="T585" s="553"/>
      <c r="U585" s="553"/>
      <c r="V585" s="553"/>
      <c r="W585" s="553"/>
      <c r="X585" s="553"/>
      <c r="Y585" s="553"/>
    </row>
    <row r="586" ht="15.75" customHeight="1">
      <c r="A586" s="565"/>
      <c r="B586" s="566"/>
      <c r="C586" s="553"/>
      <c r="D586" s="553"/>
      <c r="E586" s="553"/>
      <c r="F586" s="553"/>
      <c r="G586" s="553"/>
      <c r="H586" s="553"/>
      <c r="I586" s="553"/>
      <c r="J586" s="553"/>
      <c r="K586" s="553"/>
      <c r="L586" s="553"/>
      <c r="M586" s="553"/>
      <c r="N586" s="553"/>
      <c r="O586" s="553"/>
      <c r="P586" s="553"/>
      <c r="Q586" s="553"/>
      <c r="R586" s="553"/>
      <c r="S586" s="553"/>
      <c r="T586" s="553"/>
      <c r="U586" s="553"/>
      <c r="V586" s="553"/>
      <c r="W586" s="553"/>
      <c r="X586" s="553"/>
      <c r="Y586" s="553"/>
    </row>
    <row r="587" ht="15.75" customHeight="1">
      <c r="A587" s="565"/>
      <c r="B587" s="566"/>
      <c r="C587" s="553"/>
      <c r="D587" s="553"/>
      <c r="E587" s="553"/>
      <c r="F587" s="553"/>
      <c r="G587" s="553"/>
      <c r="H587" s="553"/>
      <c r="I587" s="553"/>
      <c r="J587" s="553"/>
      <c r="K587" s="553"/>
      <c r="L587" s="553"/>
      <c r="M587" s="553"/>
      <c r="N587" s="553"/>
      <c r="O587" s="553"/>
      <c r="P587" s="553"/>
      <c r="Q587" s="553"/>
      <c r="R587" s="553"/>
      <c r="S587" s="553"/>
      <c r="T587" s="553"/>
      <c r="U587" s="553"/>
      <c r="V587" s="553"/>
      <c r="W587" s="553"/>
      <c r="X587" s="553"/>
      <c r="Y587" s="553"/>
    </row>
    <row r="588" ht="15.75" customHeight="1">
      <c r="A588" s="565"/>
      <c r="B588" s="566"/>
      <c r="C588" s="553"/>
      <c r="D588" s="553"/>
      <c r="E588" s="553"/>
      <c r="F588" s="553"/>
      <c r="G588" s="553"/>
      <c r="H588" s="553"/>
      <c r="I588" s="553"/>
      <c r="J588" s="553"/>
      <c r="K588" s="553"/>
      <c r="L588" s="553"/>
      <c r="M588" s="553"/>
      <c r="N588" s="553"/>
      <c r="O588" s="553"/>
      <c r="P588" s="553"/>
      <c r="Q588" s="553"/>
      <c r="R588" s="553"/>
      <c r="S588" s="553"/>
      <c r="T588" s="553"/>
      <c r="U588" s="553"/>
      <c r="V588" s="553"/>
      <c r="W588" s="553"/>
      <c r="X588" s="553"/>
      <c r="Y588" s="553"/>
    </row>
    <row r="589" ht="15.75" customHeight="1">
      <c r="A589" s="565"/>
      <c r="B589" s="566"/>
      <c r="C589" s="553"/>
      <c r="D589" s="553"/>
      <c r="E589" s="553"/>
      <c r="F589" s="553"/>
      <c r="G589" s="553"/>
      <c r="H589" s="553"/>
      <c r="I589" s="553"/>
      <c r="J589" s="553"/>
      <c r="K589" s="553"/>
      <c r="L589" s="553"/>
      <c r="M589" s="553"/>
      <c r="N589" s="553"/>
      <c r="O589" s="553"/>
      <c r="P589" s="553"/>
      <c r="Q589" s="553"/>
      <c r="R589" s="553"/>
      <c r="S589" s="553"/>
      <c r="T589" s="553"/>
      <c r="U589" s="553"/>
      <c r="V589" s="553"/>
      <c r="W589" s="553"/>
      <c r="X589" s="553"/>
      <c r="Y589" s="553"/>
    </row>
    <row r="590" ht="15.75" customHeight="1">
      <c r="A590" s="565"/>
      <c r="B590" s="566"/>
      <c r="C590" s="553"/>
      <c r="D590" s="553"/>
      <c r="E590" s="553"/>
      <c r="F590" s="553"/>
      <c r="G590" s="553"/>
      <c r="H590" s="553"/>
      <c r="I590" s="553"/>
      <c r="J590" s="553"/>
      <c r="K590" s="553"/>
      <c r="L590" s="553"/>
      <c r="M590" s="553"/>
      <c r="N590" s="553"/>
      <c r="O590" s="553"/>
      <c r="P590" s="553"/>
      <c r="Q590" s="553"/>
      <c r="R590" s="553"/>
      <c r="S590" s="553"/>
      <c r="T590" s="553"/>
      <c r="U590" s="553"/>
      <c r="V590" s="553"/>
      <c r="W590" s="553"/>
      <c r="X590" s="553"/>
      <c r="Y590" s="553"/>
    </row>
    <row r="591" ht="15.75" customHeight="1">
      <c r="A591" s="565"/>
      <c r="B591" s="566"/>
      <c r="C591" s="553"/>
      <c r="D591" s="553"/>
      <c r="E591" s="553"/>
      <c r="F591" s="553"/>
      <c r="G591" s="553"/>
      <c r="H591" s="553"/>
      <c r="I591" s="553"/>
      <c r="J591" s="553"/>
      <c r="K591" s="553"/>
      <c r="L591" s="553"/>
      <c r="M591" s="553"/>
      <c r="N591" s="553"/>
      <c r="O591" s="553"/>
      <c r="P591" s="553"/>
      <c r="Q591" s="553"/>
      <c r="R591" s="553"/>
      <c r="S591" s="553"/>
      <c r="T591" s="553"/>
      <c r="U591" s="553"/>
      <c r="V591" s="553"/>
      <c r="W591" s="553"/>
      <c r="X591" s="553"/>
      <c r="Y591" s="553"/>
    </row>
    <row r="592" ht="15.75" customHeight="1">
      <c r="A592" s="565"/>
      <c r="B592" s="566"/>
      <c r="C592" s="553"/>
      <c r="D592" s="553"/>
      <c r="E592" s="553"/>
      <c r="F592" s="553"/>
      <c r="G592" s="553"/>
      <c r="H592" s="553"/>
      <c r="I592" s="553"/>
      <c r="J592" s="553"/>
      <c r="K592" s="553"/>
      <c r="L592" s="553"/>
      <c r="M592" s="553"/>
      <c r="N592" s="553"/>
      <c r="O592" s="553"/>
      <c r="P592" s="553"/>
      <c r="Q592" s="553"/>
      <c r="R592" s="553"/>
      <c r="S592" s="553"/>
      <c r="T592" s="553"/>
      <c r="U592" s="553"/>
      <c r="V592" s="553"/>
      <c r="W592" s="553"/>
      <c r="X592" s="553"/>
      <c r="Y592" s="553"/>
    </row>
    <row r="593" ht="15.75" customHeight="1">
      <c r="A593" s="565"/>
      <c r="B593" s="566"/>
      <c r="C593" s="553"/>
      <c r="D593" s="553"/>
      <c r="E593" s="553"/>
      <c r="F593" s="553"/>
      <c r="G593" s="553"/>
      <c r="H593" s="553"/>
      <c r="I593" s="553"/>
      <c r="J593" s="553"/>
      <c r="K593" s="553"/>
      <c r="L593" s="553"/>
      <c r="M593" s="553"/>
      <c r="N593" s="553"/>
      <c r="O593" s="553"/>
      <c r="P593" s="553"/>
      <c r="Q593" s="553"/>
      <c r="R593" s="553"/>
      <c r="S593" s="553"/>
      <c r="T593" s="553"/>
      <c r="U593" s="553"/>
      <c r="V593" s="553"/>
      <c r="W593" s="553"/>
      <c r="X593" s="553"/>
      <c r="Y593" s="553"/>
    </row>
    <row r="594" ht="15.75" customHeight="1">
      <c r="A594" s="565"/>
      <c r="B594" s="566"/>
      <c r="C594" s="553"/>
      <c r="D594" s="553"/>
      <c r="E594" s="553"/>
      <c r="F594" s="553"/>
      <c r="G594" s="553"/>
      <c r="H594" s="553"/>
      <c r="I594" s="553"/>
      <c r="J594" s="553"/>
      <c r="K594" s="553"/>
      <c r="L594" s="553"/>
      <c r="M594" s="553"/>
      <c r="N594" s="553"/>
      <c r="O594" s="553"/>
      <c r="P594" s="553"/>
      <c r="Q594" s="553"/>
      <c r="R594" s="553"/>
      <c r="S594" s="553"/>
      <c r="T594" s="553"/>
      <c r="U594" s="553"/>
      <c r="V594" s="553"/>
      <c r="W594" s="553"/>
      <c r="X594" s="553"/>
      <c r="Y594" s="553"/>
    </row>
    <row r="595" ht="15.75" customHeight="1">
      <c r="A595" s="565"/>
      <c r="B595" s="566"/>
      <c r="C595" s="553"/>
      <c r="D595" s="553"/>
      <c r="E595" s="553"/>
      <c r="F595" s="553"/>
      <c r="G595" s="553"/>
      <c r="H595" s="553"/>
      <c r="I595" s="553"/>
      <c r="J595" s="553"/>
      <c r="K595" s="553"/>
      <c r="L595" s="553"/>
      <c r="M595" s="553"/>
      <c r="N595" s="553"/>
      <c r="O595" s="553"/>
      <c r="P595" s="553"/>
      <c r="Q595" s="553"/>
      <c r="R595" s="553"/>
      <c r="S595" s="553"/>
      <c r="T595" s="553"/>
      <c r="U595" s="553"/>
      <c r="V595" s="553"/>
      <c r="W595" s="553"/>
      <c r="X595" s="553"/>
      <c r="Y595" s="553"/>
    </row>
    <row r="596" ht="15.75" customHeight="1">
      <c r="A596" s="565"/>
      <c r="B596" s="566"/>
      <c r="C596" s="553"/>
      <c r="D596" s="553"/>
      <c r="E596" s="553"/>
      <c r="F596" s="553"/>
      <c r="G596" s="553"/>
      <c r="H596" s="553"/>
      <c r="I596" s="553"/>
      <c r="J596" s="553"/>
      <c r="K596" s="553"/>
      <c r="L596" s="553"/>
      <c r="M596" s="553"/>
      <c r="N596" s="553"/>
      <c r="O596" s="553"/>
      <c r="P596" s="553"/>
      <c r="Q596" s="553"/>
      <c r="R596" s="553"/>
      <c r="S596" s="553"/>
      <c r="T596" s="553"/>
      <c r="U596" s="553"/>
      <c r="V596" s="553"/>
      <c r="W596" s="553"/>
      <c r="X596" s="553"/>
      <c r="Y596" s="553"/>
    </row>
    <row r="597" ht="15.75" customHeight="1">
      <c r="A597" s="565"/>
      <c r="B597" s="566"/>
      <c r="C597" s="553"/>
      <c r="D597" s="553"/>
      <c r="E597" s="553"/>
      <c r="F597" s="553"/>
      <c r="G597" s="553"/>
      <c r="H597" s="553"/>
      <c r="I597" s="553"/>
      <c r="J597" s="553"/>
      <c r="K597" s="553"/>
      <c r="L597" s="553"/>
      <c r="M597" s="553"/>
      <c r="N597" s="553"/>
      <c r="O597" s="553"/>
      <c r="P597" s="553"/>
      <c r="Q597" s="553"/>
      <c r="R597" s="553"/>
      <c r="S597" s="553"/>
      <c r="T597" s="553"/>
      <c r="U597" s="553"/>
      <c r="V597" s="553"/>
      <c r="W597" s="553"/>
      <c r="X597" s="553"/>
      <c r="Y597" s="553"/>
    </row>
    <row r="598" ht="15.75" customHeight="1">
      <c r="A598" s="565"/>
      <c r="B598" s="566"/>
      <c r="C598" s="553"/>
      <c r="D598" s="553"/>
      <c r="E598" s="553"/>
      <c r="F598" s="553"/>
      <c r="G598" s="553"/>
      <c r="H598" s="553"/>
      <c r="I598" s="553"/>
      <c r="J598" s="553"/>
      <c r="K598" s="553"/>
      <c r="L598" s="553"/>
      <c r="M598" s="553"/>
      <c r="N598" s="553"/>
      <c r="O598" s="553"/>
      <c r="P598" s="553"/>
      <c r="Q598" s="553"/>
      <c r="R598" s="553"/>
      <c r="S598" s="553"/>
      <c r="T598" s="553"/>
      <c r="U598" s="553"/>
      <c r="V598" s="553"/>
      <c r="W598" s="553"/>
      <c r="X598" s="553"/>
      <c r="Y598" s="553"/>
    </row>
    <row r="599" ht="15.75" customHeight="1">
      <c r="A599" s="565"/>
      <c r="B599" s="566"/>
      <c r="C599" s="553"/>
      <c r="D599" s="553"/>
      <c r="E599" s="553"/>
      <c r="F599" s="553"/>
      <c r="G599" s="553"/>
      <c r="H599" s="553"/>
      <c r="I599" s="553"/>
      <c r="J599" s="553"/>
      <c r="K599" s="553"/>
      <c r="L599" s="553"/>
      <c r="M599" s="553"/>
      <c r="N599" s="553"/>
      <c r="O599" s="553"/>
      <c r="P599" s="553"/>
      <c r="Q599" s="553"/>
      <c r="R599" s="553"/>
      <c r="S599" s="553"/>
      <c r="T599" s="553"/>
      <c r="U599" s="553"/>
      <c r="V599" s="553"/>
      <c r="W599" s="553"/>
      <c r="X599" s="553"/>
      <c r="Y599" s="553"/>
    </row>
    <row r="600" ht="15.75" customHeight="1">
      <c r="A600" s="565"/>
      <c r="B600" s="566"/>
      <c r="C600" s="553"/>
      <c r="D600" s="553"/>
      <c r="E600" s="553"/>
      <c r="F600" s="553"/>
      <c r="G600" s="553"/>
      <c r="H600" s="553"/>
      <c r="I600" s="553"/>
      <c r="J600" s="553"/>
      <c r="K600" s="553"/>
      <c r="L600" s="553"/>
      <c r="M600" s="553"/>
      <c r="N600" s="553"/>
      <c r="O600" s="553"/>
      <c r="P600" s="553"/>
      <c r="Q600" s="553"/>
      <c r="R600" s="553"/>
      <c r="S600" s="553"/>
      <c r="T600" s="553"/>
      <c r="U600" s="553"/>
      <c r="V600" s="553"/>
      <c r="W600" s="553"/>
      <c r="X600" s="553"/>
      <c r="Y600" s="553"/>
    </row>
    <row r="601" ht="15.75" customHeight="1">
      <c r="A601" s="565"/>
      <c r="B601" s="566"/>
      <c r="C601" s="553"/>
      <c r="D601" s="553"/>
      <c r="E601" s="553"/>
      <c r="F601" s="553"/>
      <c r="G601" s="553"/>
      <c r="H601" s="553"/>
      <c r="I601" s="553"/>
      <c r="J601" s="553"/>
      <c r="K601" s="553"/>
      <c r="L601" s="553"/>
      <c r="M601" s="553"/>
      <c r="N601" s="553"/>
      <c r="O601" s="553"/>
      <c r="P601" s="553"/>
      <c r="Q601" s="553"/>
      <c r="R601" s="553"/>
      <c r="S601" s="553"/>
      <c r="T601" s="553"/>
      <c r="U601" s="553"/>
      <c r="V601" s="553"/>
      <c r="W601" s="553"/>
      <c r="X601" s="553"/>
      <c r="Y601" s="553"/>
    </row>
    <row r="602" ht="15.75" customHeight="1">
      <c r="A602" s="565"/>
      <c r="B602" s="566"/>
      <c r="C602" s="553"/>
      <c r="D602" s="553"/>
      <c r="E602" s="553"/>
      <c r="F602" s="553"/>
      <c r="G602" s="553"/>
      <c r="H602" s="553"/>
      <c r="I602" s="553"/>
      <c r="J602" s="553"/>
      <c r="K602" s="553"/>
      <c r="L602" s="553"/>
      <c r="M602" s="553"/>
      <c r="N602" s="553"/>
      <c r="O602" s="553"/>
      <c r="P602" s="553"/>
      <c r="Q602" s="553"/>
      <c r="R602" s="553"/>
      <c r="S602" s="553"/>
      <c r="T602" s="553"/>
      <c r="U602" s="553"/>
      <c r="V602" s="553"/>
      <c r="W602" s="553"/>
      <c r="X602" s="553"/>
      <c r="Y602" s="553"/>
    </row>
    <row r="603" ht="15.75" customHeight="1">
      <c r="A603" s="565"/>
      <c r="B603" s="566"/>
      <c r="C603" s="553"/>
      <c r="D603" s="553"/>
      <c r="E603" s="553"/>
      <c r="F603" s="553"/>
      <c r="G603" s="553"/>
      <c r="H603" s="553"/>
      <c r="I603" s="553"/>
      <c r="J603" s="553"/>
      <c r="K603" s="553"/>
      <c r="L603" s="553"/>
      <c r="M603" s="553"/>
      <c r="N603" s="553"/>
      <c r="O603" s="553"/>
      <c r="P603" s="553"/>
      <c r="Q603" s="553"/>
      <c r="R603" s="553"/>
      <c r="S603" s="553"/>
      <c r="T603" s="553"/>
      <c r="U603" s="553"/>
      <c r="V603" s="553"/>
      <c r="W603" s="553"/>
      <c r="X603" s="553"/>
      <c r="Y603" s="553"/>
    </row>
    <row r="604" ht="15.75" customHeight="1">
      <c r="A604" s="565"/>
      <c r="B604" s="566"/>
      <c r="C604" s="553"/>
      <c r="D604" s="553"/>
      <c r="E604" s="553"/>
      <c r="F604" s="553"/>
      <c r="G604" s="553"/>
      <c r="H604" s="553"/>
      <c r="I604" s="553"/>
      <c r="J604" s="553"/>
      <c r="K604" s="553"/>
      <c r="L604" s="553"/>
      <c r="M604" s="553"/>
      <c r="N604" s="553"/>
      <c r="O604" s="553"/>
      <c r="P604" s="553"/>
      <c r="Q604" s="553"/>
      <c r="R604" s="553"/>
      <c r="S604" s="553"/>
      <c r="T604" s="553"/>
      <c r="U604" s="553"/>
      <c r="V604" s="553"/>
      <c r="W604" s="553"/>
      <c r="X604" s="553"/>
      <c r="Y604" s="553"/>
    </row>
    <row r="605" ht="15.75" customHeight="1">
      <c r="A605" s="565"/>
      <c r="B605" s="566"/>
      <c r="C605" s="553"/>
      <c r="D605" s="553"/>
      <c r="E605" s="553"/>
      <c r="F605" s="553"/>
      <c r="G605" s="553"/>
      <c r="H605" s="553"/>
      <c r="I605" s="553"/>
      <c r="J605" s="553"/>
      <c r="K605" s="553"/>
      <c r="L605" s="553"/>
      <c r="M605" s="553"/>
      <c r="N605" s="553"/>
      <c r="O605" s="553"/>
      <c r="P605" s="553"/>
      <c r="Q605" s="553"/>
      <c r="R605" s="553"/>
      <c r="S605" s="553"/>
      <c r="T605" s="553"/>
      <c r="U605" s="553"/>
      <c r="V605" s="553"/>
      <c r="W605" s="553"/>
      <c r="X605" s="553"/>
      <c r="Y605" s="553"/>
    </row>
    <row r="606" ht="15.75" customHeight="1">
      <c r="A606" s="565"/>
      <c r="B606" s="566"/>
      <c r="C606" s="553"/>
      <c r="D606" s="553"/>
      <c r="E606" s="553"/>
      <c r="F606" s="553"/>
      <c r="G606" s="553"/>
      <c r="H606" s="553"/>
      <c r="I606" s="553"/>
      <c r="J606" s="553"/>
      <c r="K606" s="553"/>
      <c r="L606" s="553"/>
      <c r="M606" s="553"/>
      <c r="N606" s="553"/>
      <c r="O606" s="553"/>
      <c r="P606" s="553"/>
      <c r="Q606" s="553"/>
      <c r="R606" s="553"/>
      <c r="S606" s="553"/>
      <c r="T606" s="553"/>
      <c r="U606" s="553"/>
      <c r="V606" s="553"/>
      <c r="W606" s="553"/>
      <c r="X606" s="553"/>
      <c r="Y606" s="553"/>
    </row>
    <row r="607" ht="15.75" customHeight="1">
      <c r="A607" s="565"/>
      <c r="B607" s="566"/>
      <c r="C607" s="553"/>
      <c r="D607" s="553"/>
      <c r="E607" s="553"/>
      <c r="F607" s="553"/>
      <c r="G607" s="553"/>
      <c r="H607" s="553"/>
      <c r="I607" s="553"/>
      <c r="J607" s="553"/>
      <c r="K607" s="553"/>
      <c r="L607" s="553"/>
      <c r="M607" s="553"/>
      <c r="N607" s="553"/>
      <c r="O607" s="553"/>
      <c r="P607" s="553"/>
      <c r="Q607" s="553"/>
      <c r="R607" s="553"/>
      <c r="S607" s="553"/>
      <c r="T607" s="553"/>
      <c r="U607" s="553"/>
      <c r="V607" s="553"/>
      <c r="W607" s="553"/>
      <c r="X607" s="553"/>
      <c r="Y607" s="553"/>
    </row>
    <row r="608" ht="15.75" customHeight="1">
      <c r="A608" s="565"/>
      <c r="B608" s="566"/>
      <c r="C608" s="553"/>
      <c r="D608" s="553"/>
      <c r="E608" s="553"/>
      <c r="F608" s="553"/>
      <c r="G608" s="553"/>
      <c r="H608" s="553"/>
      <c r="I608" s="553"/>
      <c r="J608" s="553"/>
      <c r="K608" s="553"/>
      <c r="L608" s="553"/>
      <c r="M608" s="553"/>
      <c r="N608" s="553"/>
      <c r="O608" s="553"/>
      <c r="P608" s="553"/>
      <c r="Q608" s="553"/>
      <c r="R608" s="553"/>
      <c r="S608" s="553"/>
      <c r="T608" s="553"/>
      <c r="U608" s="553"/>
      <c r="V608" s="553"/>
      <c r="W608" s="553"/>
      <c r="X608" s="553"/>
      <c r="Y608" s="553"/>
    </row>
    <row r="609" ht="15.75" customHeight="1">
      <c r="A609" s="565"/>
      <c r="B609" s="566"/>
      <c r="C609" s="553"/>
      <c r="D609" s="553"/>
      <c r="E609" s="553"/>
      <c r="F609" s="553"/>
      <c r="G609" s="553"/>
      <c r="H609" s="553"/>
      <c r="I609" s="553"/>
      <c r="J609" s="553"/>
      <c r="K609" s="553"/>
      <c r="L609" s="553"/>
      <c r="M609" s="553"/>
      <c r="N609" s="553"/>
      <c r="O609" s="553"/>
      <c r="P609" s="553"/>
      <c r="Q609" s="553"/>
      <c r="R609" s="553"/>
      <c r="S609" s="553"/>
      <c r="T609" s="553"/>
      <c r="U609" s="553"/>
      <c r="V609" s="553"/>
      <c r="W609" s="553"/>
      <c r="X609" s="553"/>
      <c r="Y609" s="553"/>
    </row>
    <row r="610" ht="15.75" customHeight="1">
      <c r="A610" s="565"/>
      <c r="B610" s="566"/>
      <c r="C610" s="553"/>
      <c r="D610" s="553"/>
      <c r="E610" s="553"/>
      <c r="F610" s="553"/>
      <c r="G610" s="553"/>
      <c r="H610" s="553"/>
      <c r="I610" s="553"/>
      <c r="J610" s="553"/>
      <c r="K610" s="553"/>
      <c r="L610" s="553"/>
      <c r="M610" s="553"/>
      <c r="N610" s="553"/>
      <c r="O610" s="553"/>
      <c r="P610" s="553"/>
      <c r="Q610" s="553"/>
      <c r="R610" s="553"/>
      <c r="S610" s="553"/>
      <c r="T610" s="553"/>
      <c r="U610" s="553"/>
      <c r="V610" s="553"/>
      <c r="W610" s="553"/>
      <c r="X610" s="553"/>
      <c r="Y610" s="553"/>
    </row>
    <row r="611" ht="15.75" customHeight="1">
      <c r="A611" s="565"/>
      <c r="B611" s="566"/>
      <c r="C611" s="553"/>
      <c r="D611" s="553"/>
      <c r="E611" s="553"/>
      <c r="F611" s="553"/>
      <c r="G611" s="553"/>
      <c r="H611" s="553"/>
      <c r="I611" s="553"/>
      <c r="J611" s="553"/>
      <c r="K611" s="553"/>
      <c r="L611" s="553"/>
      <c r="M611" s="553"/>
      <c r="N611" s="553"/>
      <c r="O611" s="553"/>
      <c r="P611" s="553"/>
      <c r="Q611" s="553"/>
      <c r="R611" s="553"/>
      <c r="S611" s="553"/>
      <c r="T611" s="553"/>
      <c r="U611" s="553"/>
      <c r="V611" s="553"/>
      <c r="W611" s="553"/>
      <c r="X611" s="553"/>
      <c r="Y611" s="553"/>
    </row>
    <row r="612" ht="15.75" customHeight="1">
      <c r="A612" s="565"/>
      <c r="B612" s="566"/>
      <c r="C612" s="553"/>
      <c r="D612" s="553"/>
      <c r="E612" s="553"/>
      <c r="F612" s="553"/>
      <c r="G612" s="553"/>
      <c r="H612" s="553"/>
      <c r="I612" s="553"/>
      <c r="J612" s="553"/>
      <c r="K612" s="553"/>
      <c r="L612" s="553"/>
      <c r="M612" s="553"/>
      <c r="N612" s="553"/>
      <c r="O612" s="553"/>
      <c r="P612" s="553"/>
      <c r="Q612" s="553"/>
      <c r="R612" s="553"/>
      <c r="S612" s="553"/>
      <c r="T612" s="553"/>
      <c r="U612" s="553"/>
      <c r="V612" s="553"/>
      <c r="W612" s="553"/>
      <c r="X612" s="553"/>
      <c r="Y612" s="553"/>
    </row>
    <row r="613" ht="15.75" customHeight="1">
      <c r="A613" s="565"/>
      <c r="B613" s="566"/>
      <c r="C613" s="553"/>
      <c r="D613" s="553"/>
      <c r="E613" s="553"/>
      <c r="F613" s="553"/>
      <c r="G613" s="553"/>
      <c r="H613" s="553"/>
      <c r="I613" s="553"/>
      <c r="J613" s="553"/>
      <c r="K613" s="553"/>
      <c r="L613" s="553"/>
      <c r="M613" s="553"/>
      <c r="N613" s="553"/>
      <c r="O613" s="553"/>
      <c r="P613" s="553"/>
      <c r="Q613" s="553"/>
      <c r="R613" s="553"/>
      <c r="S613" s="553"/>
      <c r="T613" s="553"/>
      <c r="U613" s="553"/>
      <c r="V613" s="553"/>
      <c r="W613" s="553"/>
      <c r="X613" s="553"/>
      <c r="Y613" s="553"/>
    </row>
    <row r="614" ht="15.75" customHeight="1">
      <c r="A614" s="565"/>
      <c r="B614" s="566"/>
      <c r="C614" s="553"/>
      <c r="D614" s="553"/>
      <c r="E614" s="553"/>
      <c r="F614" s="553"/>
      <c r="G614" s="553"/>
      <c r="H614" s="553"/>
      <c r="I614" s="553"/>
      <c r="J614" s="553"/>
      <c r="K614" s="553"/>
      <c r="L614" s="553"/>
      <c r="M614" s="553"/>
      <c r="N614" s="553"/>
      <c r="O614" s="553"/>
      <c r="P614" s="553"/>
      <c r="Q614" s="553"/>
      <c r="R614" s="553"/>
      <c r="S614" s="553"/>
      <c r="T614" s="553"/>
      <c r="U614" s="553"/>
      <c r="V614" s="553"/>
      <c r="W614" s="553"/>
      <c r="X614" s="553"/>
      <c r="Y614" s="553"/>
    </row>
    <row r="615" ht="15.75" customHeight="1">
      <c r="A615" s="565"/>
      <c r="B615" s="566"/>
      <c r="C615" s="553"/>
      <c r="D615" s="553"/>
      <c r="E615" s="553"/>
      <c r="F615" s="553"/>
      <c r="G615" s="553"/>
      <c r="H615" s="553"/>
      <c r="I615" s="553"/>
      <c r="J615" s="553"/>
      <c r="K615" s="553"/>
      <c r="L615" s="553"/>
      <c r="M615" s="553"/>
      <c r="N615" s="553"/>
      <c r="O615" s="553"/>
      <c r="P615" s="553"/>
      <c r="Q615" s="553"/>
      <c r="R615" s="553"/>
      <c r="S615" s="553"/>
      <c r="T615" s="553"/>
      <c r="U615" s="553"/>
      <c r="V615" s="553"/>
      <c r="W615" s="553"/>
      <c r="X615" s="553"/>
      <c r="Y615" s="553"/>
    </row>
    <row r="616" ht="15.75" customHeight="1">
      <c r="A616" s="565"/>
      <c r="B616" s="566"/>
      <c r="C616" s="553"/>
      <c r="D616" s="553"/>
      <c r="E616" s="553"/>
      <c r="F616" s="553"/>
      <c r="G616" s="553"/>
      <c r="H616" s="553"/>
      <c r="I616" s="553"/>
      <c r="J616" s="553"/>
      <c r="K616" s="553"/>
      <c r="L616" s="553"/>
      <c r="M616" s="553"/>
      <c r="N616" s="553"/>
      <c r="O616" s="553"/>
      <c r="P616" s="553"/>
      <c r="Q616" s="553"/>
      <c r="R616" s="553"/>
      <c r="S616" s="553"/>
      <c r="T616" s="553"/>
      <c r="U616" s="553"/>
      <c r="V616" s="553"/>
      <c r="W616" s="553"/>
      <c r="X616" s="553"/>
      <c r="Y616" s="553"/>
    </row>
    <row r="617" ht="15.75" customHeight="1">
      <c r="A617" s="565"/>
      <c r="B617" s="566"/>
      <c r="C617" s="553"/>
      <c r="D617" s="553"/>
      <c r="E617" s="553"/>
      <c r="F617" s="553"/>
      <c r="G617" s="553"/>
      <c r="H617" s="553"/>
      <c r="I617" s="553"/>
      <c r="J617" s="553"/>
      <c r="K617" s="553"/>
      <c r="L617" s="553"/>
      <c r="M617" s="553"/>
      <c r="N617" s="553"/>
      <c r="O617" s="553"/>
      <c r="P617" s="553"/>
      <c r="Q617" s="553"/>
      <c r="R617" s="553"/>
      <c r="S617" s="553"/>
      <c r="T617" s="553"/>
      <c r="U617" s="553"/>
      <c r="V617" s="553"/>
      <c r="W617" s="553"/>
      <c r="X617" s="553"/>
      <c r="Y617" s="553"/>
    </row>
    <row r="618" ht="15.75" customHeight="1">
      <c r="A618" s="565"/>
      <c r="B618" s="566"/>
      <c r="C618" s="553"/>
      <c r="D618" s="553"/>
      <c r="E618" s="553"/>
      <c r="F618" s="553"/>
      <c r="G618" s="553"/>
      <c r="H618" s="553"/>
      <c r="I618" s="553"/>
      <c r="J618" s="553"/>
      <c r="K618" s="553"/>
      <c r="L618" s="553"/>
      <c r="M618" s="553"/>
      <c r="N618" s="553"/>
      <c r="O618" s="553"/>
      <c r="P618" s="553"/>
      <c r="Q618" s="553"/>
      <c r="R618" s="553"/>
      <c r="S618" s="553"/>
      <c r="T618" s="553"/>
      <c r="U618" s="553"/>
      <c r="V618" s="553"/>
      <c r="W618" s="553"/>
      <c r="X618" s="553"/>
      <c r="Y618" s="553"/>
    </row>
    <row r="619" ht="15.75" customHeight="1">
      <c r="A619" s="565"/>
      <c r="B619" s="566"/>
      <c r="C619" s="553"/>
      <c r="D619" s="553"/>
      <c r="E619" s="553"/>
      <c r="F619" s="553"/>
      <c r="G619" s="553"/>
      <c r="H619" s="553"/>
      <c r="I619" s="553"/>
      <c r="J619" s="553"/>
      <c r="K619" s="553"/>
      <c r="L619" s="553"/>
      <c r="M619" s="553"/>
      <c r="N619" s="553"/>
      <c r="O619" s="553"/>
      <c r="P619" s="553"/>
      <c r="Q619" s="553"/>
      <c r="R619" s="553"/>
      <c r="S619" s="553"/>
      <c r="T619" s="553"/>
      <c r="U619" s="553"/>
      <c r="V619" s="553"/>
      <c r="W619" s="553"/>
      <c r="X619" s="553"/>
      <c r="Y619" s="553"/>
    </row>
    <row r="620" ht="15.75" customHeight="1">
      <c r="A620" s="565"/>
      <c r="B620" s="566"/>
      <c r="C620" s="553"/>
      <c r="D620" s="553"/>
      <c r="E620" s="553"/>
      <c r="F620" s="553"/>
      <c r="G620" s="553"/>
      <c r="H620" s="553"/>
      <c r="I620" s="553"/>
      <c r="J620" s="553"/>
      <c r="K620" s="553"/>
      <c r="L620" s="553"/>
      <c r="M620" s="553"/>
      <c r="N620" s="553"/>
      <c r="O620" s="553"/>
      <c r="P620" s="553"/>
      <c r="Q620" s="553"/>
      <c r="R620" s="553"/>
      <c r="S620" s="553"/>
      <c r="T620" s="553"/>
      <c r="U620" s="553"/>
      <c r="V620" s="553"/>
      <c r="W620" s="553"/>
      <c r="X620" s="553"/>
      <c r="Y620" s="553"/>
    </row>
    <row r="621" ht="15.75" customHeight="1">
      <c r="A621" s="565"/>
      <c r="B621" s="566"/>
      <c r="C621" s="553"/>
      <c r="D621" s="553"/>
      <c r="E621" s="553"/>
      <c r="F621" s="553"/>
      <c r="G621" s="553"/>
      <c r="H621" s="553"/>
      <c r="I621" s="553"/>
      <c r="J621" s="553"/>
      <c r="K621" s="553"/>
      <c r="L621" s="553"/>
      <c r="M621" s="553"/>
      <c r="N621" s="553"/>
      <c r="O621" s="553"/>
      <c r="P621" s="553"/>
      <c r="Q621" s="553"/>
      <c r="R621" s="553"/>
      <c r="S621" s="553"/>
      <c r="T621" s="553"/>
      <c r="U621" s="553"/>
      <c r="V621" s="553"/>
      <c r="W621" s="553"/>
      <c r="X621" s="553"/>
      <c r="Y621" s="553"/>
    </row>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E3:E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59.14"/>
    <col customWidth="1" min="3" max="13" width="8.0"/>
  </cols>
  <sheetData>
    <row r="1" ht="41.25" customHeight="1">
      <c r="A1" s="567"/>
      <c r="B1" s="568"/>
    </row>
    <row r="2" ht="15.0" customHeight="1">
      <c r="A2" s="569" t="s">
        <v>57</v>
      </c>
      <c r="B2" s="570" t="s">
        <v>10913</v>
      </c>
    </row>
    <row r="3" ht="15.0" customHeight="1">
      <c r="A3" s="571"/>
      <c r="B3" s="572"/>
    </row>
    <row r="4" ht="15.0" customHeight="1">
      <c r="A4" s="571"/>
      <c r="B4" s="573" t="s">
        <v>10914</v>
      </c>
    </row>
    <row r="5" ht="15.0" customHeight="1">
      <c r="A5" s="571"/>
      <c r="B5" s="574" t="s">
        <v>10915</v>
      </c>
    </row>
    <row r="6" ht="15.0" customHeight="1">
      <c r="A6" s="575"/>
      <c r="B6" s="574" t="s">
        <v>10916</v>
      </c>
    </row>
    <row r="7" ht="15.0" customHeight="1">
      <c r="A7" s="576" t="s">
        <v>76</v>
      </c>
      <c r="B7" s="577" t="s">
        <v>10921</v>
      </c>
    </row>
    <row r="8" ht="15.0" customHeight="1">
      <c r="A8" s="578"/>
      <c r="B8" s="574" t="s">
        <v>10922</v>
      </c>
    </row>
    <row r="9" ht="15.0" customHeight="1">
      <c r="A9" s="578"/>
      <c r="B9" s="579" t="s">
        <v>10923</v>
      </c>
    </row>
    <row r="10" ht="15.0" customHeight="1">
      <c r="A10" s="580"/>
      <c r="B10" s="577" t="s">
        <v>10925</v>
      </c>
    </row>
    <row r="11" ht="15.0" customHeight="1">
      <c r="A11" s="581" t="s">
        <v>61</v>
      </c>
      <c r="B11" s="573" t="s">
        <v>10931</v>
      </c>
    </row>
    <row r="12" ht="15.0" customHeight="1">
      <c r="A12" s="571"/>
      <c r="B12" s="574" t="s">
        <v>10932</v>
      </c>
    </row>
    <row r="13" ht="15.0" customHeight="1">
      <c r="A13" s="572"/>
      <c r="B13" s="582" t="s">
        <v>10933</v>
      </c>
    </row>
    <row r="14" ht="15.0" customHeight="1">
      <c r="A14" s="569" t="s">
        <v>78</v>
      </c>
      <c r="B14" s="577" t="s">
        <v>10934</v>
      </c>
    </row>
    <row r="15" ht="15.0" customHeight="1">
      <c r="A15" s="575"/>
      <c r="B15" s="582" t="s">
        <v>10935</v>
      </c>
    </row>
    <row r="16" ht="15.0" customHeight="1">
      <c r="A16" s="569" t="s">
        <v>64</v>
      </c>
      <c r="B16" s="577" t="s">
        <v>10937</v>
      </c>
    </row>
    <row r="17" ht="15.0" customHeight="1">
      <c r="A17" s="571"/>
      <c r="B17" s="574" t="s">
        <v>10938</v>
      </c>
    </row>
    <row r="18" ht="15.0" customHeight="1">
      <c r="A18" s="571"/>
      <c r="B18" s="574" t="s">
        <v>10939</v>
      </c>
    </row>
    <row r="19" ht="15.0" customHeight="1">
      <c r="A19" s="571"/>
      <c r="B19" s="583" t="s">
        <v>10940</v>
      </c>
    </row>
    <row r="20" ht="15.0" customHeight="1">
      <c r="A20" s="571"/>
      <c r="B20" s="584" t="s">
        <v>10941</v>
      </c>
    </row>
    <row r="21" ht="15.0" customHeight="1">
      <c r="A21" s="572"/>
      <c r="B21" s="585" t="s">
        <v>10942</v>
      </c>
      <c r="C21" s="586" t="s">
        <v>10944</v>
      </c>
    </row>
    <row r="22" ht="12.75" customHeight="1">
      <c r="A22" s="587"/>
      <c r="B22" s="588"/>
    </row>
    <row r="23" ht="12.75" customHeight="1">
      <c r="A23" s="587"/>
      <c r="B23" s="588"/>
    </row>
    <row r="24" ht="12.75" customHeight="1">
      <c r="A24" s="587"/>
      <c r="B24" s="588"/>
    </row>
    <row r="25" ht="12.75" customHeight="1">
      <c r="A25" s="587"/>
      <c r="B25" s="588"/>
    </row>
    <row r="26" ht="12.75" customHeight="1">
      <c r="A26" s="587"/>
      <c r="B26" s="588"/>
    </row>
    <row r="27" ht="12.75" customHeight="1">
      <c r="A27" s="587"/>
      <c r="B27" s="588"/>
    </row>
    <row r="28" ht="12.75" customHeight="1">
      <c r="A28" s="587"/>
      <c r="B28" s="588"/>
    </row>
    <row r="29" ht="12.75" customHeight="1">
      <c r="A29" s="587"/>
      <c r="B29" s="588"/>
    </row>
    <row r="30" ht="12.75" customHeight="1">
      <c r="A30" s="587"/>
      <c r="B30" s="588"/>
    </row>
    <row r="31" ht="12.75" customHeight="1">
      <c r="A31" s="587"/>
      <c r="B31" s="588"/>
    </row>
    <row r="32" ht="12.75" customHeight="1">
      <c r="A32" s="587"/>
      <c r="B32" s="588"/>
    </row>
    <row r="33" ht="12.75" customHeight="1">
      <c r="A33" s="587"/>
      <c r="B33" s="588"/>
    </row>
    <row r="34" ht="12.75" customHeight="1">
      <c r="A34" s="587"/>
      <c r="B34" s="588"/>
    </row>
    <row r="35" ht="12.75" customHeight="1">
      <c r="A35" s="587"/>
      <c r="B35" s="588"/>
    </row>
    <row r="36" ht="12.75" customHeight="1">
      <c r="A36" s="587"/>
      <c r="B36" s="588"/>
    </row>
    <row r="37" ht="12.75" customHeight="1">
      <c r="A37" s="587"/>
      <c r="B37" s="588"/>
    </row>
    <row r="38" ht="12.75" customHeight="1">
      <c r="A38" s="587"/>
      <c r="B38" s="588"/>
    </row>
    <row r="39" ht="12.75" customHeight="1">
      <c r="A39" s="587"/>
      <c r="B39" s="588"/>
    </row>
    <row r="40" ht="12.75" customHeight="1">
      <c r="A40" s="587"/>
      <c r="B40" s="588"/>
    </row>
    <row r="41" ht="12.75" customHeight="1">
      <c r="A41" s="587"/>
      <c r="B41" s="588"/>
    </row>
    <row r="42" ht="12.75" customHeight="1">
      <c r="A42" s="587"/>
      <c r="B42" s="588"/>
    </row>
    <row r="43" ht="12.75" customHeight="1">
      <c r="A43" s="587"/>
      <c r="B43" s="588"/>
    </row>
    <row r="44" ht="12.75" customHeight="1">
      <c r="A44" s="587"/>
      <c r="B44" s="588"/>
    </row>
    <row r="45" ht="12.75" customHeight="1">
      <c r="A45" s="587"/>
      <c r="B45" s="588"/>
    </row>
    <row r="46" ht="12.75" customHeight="1">
      <c r="A46" s="587"/>
      <c r="B46" s="588"/>
    </row>
    <row r="47" ht="12.75" customHeight="1">
      <c r="A47" s="587"/>
      <c r="B47" s="588"/>
    </row>
    <row r="48" ht="12.75" customHeight="1">
      <c r="A48" s="587"/>
      <c r="B48" s="588"/>
    </row>
    <row r="49" ht="12.75" customHeight="1">
      <c r="A49" s="587"/>
      <c r="B49" s="588"/>
    </row>
    <row r="50" ht="12.75" customHeight="1">
      <c r="A50" s="587"/>
      <c r="B50" s="588"/>
    </row>
    <row r="51" ht="12.75" customHeight="1">
      <c r="A51" s="587"/>
      <c r="B51" s="588"/>
    </row>
    <row r="52" ht="12.75" customHeight="1">
      <c r="A52" s="587"/>
      <c r="B52" s="588"/>
    </row>
    <row r="53" ht="12.75" customHeight="1">
      <c r="A53" s="587"/>
      <c r="B53" s="588"/>
    </row>
    <row r="54" ht="12.75" customHeight="1">
      <c r="A54" s="587"/>
      <c r="B54" s="588"/>
    </row>
    <row r="55" ht="12.75" customHeight="1">
      <c r="A55" s="587"/>
      <c r="B55" s="588"/>
    </row>
    <row r="56" ht="12.75" customHeight="1">
      <c r="A56" s="587"/>
      <c r="B56" s="588"/>
    </row>
    <row r="57" ht="12.75" customHeight="1">
      <c r="A57" s="587"/>
      <c r="B57" s="588"/>
    </row>
    <row r="58" ht="12.75" customHeight="1">
      <c r="A58" s="587"/>
      <c r="B58" s="588"/>
    </row>
    <row r="59" ht="12.75" customHeight="1">
      <c r="A59" s="587"/>
      <c r="B59" s="588"/>
    </row>
    <row r="60" ht="12.75" customHeight="1">
      <c r="A60" s="587"/>
      <c r="B60" s="588"/>
    </row>
    <row r="61" ht="12.75" customHeight="1">
      <c r="A61" s="587"/>
      <c r="B61" s="588"/>
    </row>
    <row r="62" ht="12.75" customHeight="1">
      <c r="A62" s="587"/>
      <c r="B62" s="588"/>
    </row>
    <row r="63" ht="12.75" customHeight="1">
      <c r="A63" s="587"/>
      <c r="B63" s="588"/>
    </row>
    <row r="64" ht="12.75" customHeight="1">
      <c r="A64" s="587"/>
      <c r="B64" s="588"/>
    </row>
    <row r="65" ht="12.75" customHeight="1">
      <c r="A65" s="587"/>
      <c r="B65" s="588"/>
    </row>
    <row r="66" ht="12.75" customHeight="1">
      <c r="A66" s="587"/>
      <c r="B66" s="588"/>
    </row>
    <row r="67" ht="12.75" customHeight="1">
      <c r="A67" s="587"/>
      <c r="B67" s="588"/>
    </row>
    <row r="68" ht="12.75" customHeight="1">
      <c r="A68" s="587"/>
      <c r="B68" s="588"/>
    </row>
    <row r="69" ht="12.75" customHeight="1">
      <c r="A69" s="587"/>
      <c r="B69" s="588"/>
    </row>
    <row r="70" ht="12.75" customHeight="1">
      <c r="A70" s="587"/>
      <c r="B70" s="588"/>
    </row>
    <row r="71" ht="12.75" customHeight="1">
      <c r="A71" s="587"/>
      <c r="B71" s="588"/>
    </row>
    <row r="72" ht="12.75" customHeight="1">
      <c r="A72" s="587"/>
      <c r="B72" s="588"/>
    </row>
    <row r="73" ht="12.75" customHeight="1">
      <c r="A73" s="587"/>
      <c r="B73" s="588"/>
    </row>
    <row r="74" ht="12.75" customHeight="1">
      <c r="A74" s="587"/>
      <c r="B74" s="588"/>
    </row>
    <row r="75" ht="12.75" customHeight="1">
      <c r="A75" s="587"/>
      <c r="B75" s="588"/>
    </row>
    <row r="76" ht="12.75" customHeight="1">
      <c r="A76" s="587"/>
      <c r="B76" s="588"/>
    </row>
    <row r="77" ht="12.75" customHeight="1">
      <c r="A77" s="587"/>
      <c r="B77" s="588"/>
    </row>
    <row r="78" ht="12.75" customHeight="1">
      <c r="A78" s="587"/>
      <c r="B78" s="588"/>
    </row>
    <row r="79" ht="12.75" customHeight="1">
      <c r="A79" s="587"/>
      <c r="B79" s="588"/>
    </row>
    <row r="80" ht="12.75" customHeight="1">
      <c r="A80" s="587"/>
      <c r="B80" s="588"/>
    </row>
    <row r="81" ht="12.75" customHeight="1">
      <c r="A81" s="587"/>
      <c r="B81" s="588"/>
    </row>
    <row r="82" ht="12.75" customHeight="1">
      <c r="A82" s="587"/>
      <c r="B82" s="588"/>
    </row>
    <row r="83" ht="12.75" customHeight="1">
      <c r="A83" s="587"/>
      <c r="B83" s="588"/>
    </row>
    <row r="84" ht="12.75" customHeight="1">
      <c r="A84" s="587"/>
      <c r="B84" s="588"/>
    </row>
    <row r="85" ht="12.75" customHeight="1">
      <c r="A85" s="587"/>
      <c r="B85" s="588"/>
    </row>
    <row r="86" ht="12.75" customHeight="1">
      <c r="A86" s="587"/>
      <c r="B86" s="588"/>
    </row>
    <row r="87" ht="12.75" customHeight="1">
      <c r="A87" s="587"/>
      <c r="B87" s="588"/>
    </row>
    <row r="88" ht="12.75" customHeight="1">
      <c r="A88" s="587"/>
      <c r="B88" s="588"/>
    </row>
    <row r="89" ht="12.75" customHeight="1">
      <c r="A89" s="587"/>
      <c r="B89" s="588"/>
    </row>
    <row r="90" ht="12.75" customHeight="1">
      <c r="A90" s="587"/>
      <c r="B90" s="588"/>
    </row>
    <row r="91" ht="12.75" customHeight="1">
      <c r="A91" s="587"/>
      <c r="B91" s="588"/>
    </row>
    <row r="92" ht="12.75" customHeight="1">
      <c r="A92" s="587"/>
      <c r="B92" s="588"/>
    </row>
    <row r="93" ht="12.75" customHeight="1">
      <c r="A93" s="587"/>
      <c r="B93" s="588"/>
    </row>
    <row r="94" ht="12.75" customHeight="1">
      <c r="A94" s="587"/>
      <c r="B94" s="588"/>
    </row>
    <row r="95" ht="12.75" customHeight="1">
      <c r="A95" s="587"/>
      <c r="B95" s="588"/>
    </row>
    <row r="96" ht="12.75" customHeight="1">
      <c r="A96" s="587"/>
      <c r="B96" s="588"/>
    </row>
    <row r="97" ht="12.75" customHeight="1">
      <c r="A97" s="587"/>
      <c r="B97" s="588"/>
    </row>
    <row r="98" ht="12.75" customHeight="1">
      <c r="A98" s="587"/>
      <c r="B98" s="588"/>
    </row>
    <row r="99" ht="25.5" customHeight="1">
      <c r="A99" s="587"/>
      <c r="B99" s="588"/>
    </row>
    <row r="100" ht="25.5" customHeight="1">
      <c r="A100" s="587"/>
      <c r="B100" s="588"/>
    </row>
    <row r="101" ht="25.5" customHeight="1">
      <c r="A101" s="587"/>
      <c r="B101" s="588"/>
    </row>
    <row r="102" ht="25.5" customHeight="1">
      <c r="A102" s="587"/>
      <c r="B102" s="588"/>
    </row>
    <row r="103" ht="25.5" customHeight="1">
      <c r="A103" s="587"/>
      <c r="B103" s="588"/>
    </row>
    <row r="104" ht="25.5" customHeight="1">
      <c r="A104" s="587"/>
      <c r="B104" s="588"/>
    </row>
    <row r="105" ht="25.5" customHeight="1">
      <c r="A105" s="587"/>
      <c r="B105" s="588"/>
    </row>
    <row r="106" ht="25.5" customHeight="1">
      <c r="A106" s="587"/>
      <c r="B106" s="588"/>
    </row>
    <row r="107" ht="25.5" customHeight="1">
      <c r="A107" s="587"/>
      <c r="B107" s="588"/>
    </row>
    <row r="108" ht="25.5" customHeight="1">
      <c r="A108" s="587"/>
      <c r="B108" s="588"/>
    </row>
    <row r="109" ht="25.5" customHeight="1">
      <c r="A109" s="587"/>
      <c r="B109" s="588"/>
    </row>
    <row r="110" ht="25.5" customHeight="1">
      <c r="A110" s="587"/>
      <c r="B110" s="588"/>
    </row>
    <row r="111" ht="25.5" customHeight="1">
      <c r="A111" s="587"/>
      <c r="B111" s="588"/>
    </row>
    <row r="112" ht="25.5" customHeight="1">
      <c r="A112" s="587"/>
      <c r="B112" s="588"/>
    </row>
    <row r="113" ht="25.5" customHeight="1">
      <c r="A113" s="587"/>
      <c r="B113" s="588"/>
    </row>
    <row r="114" ht="25.5" customHeight="1">
      <c r="A114" s="587"/>
      <c r="B114" s="588"/>
    </row>
    <row r="115" ht="25.5" customHeight="1">
      <c r="A115" s="587"/>
      <c r="B115" s="588"/>
    </row>
    <row r="116" ht="25.5" customHeight="1">
      <c r="A116" s="587"/>
      <c r="B116" s="588"/>
    </row>
    <row r="117" ht="25.5" customHeight="1">
      <c r="A117" s="587"/>
      <c r="B117" s="588"/>
    </row>
    <row r="118" ht="25.5" customHeight="1">
      <c r="A118" s="587"/>
      <c r="B118" s="588"/>
    </row>
    <row r="119" ht="25.5" customHeight="1">
      <c r="A119" s="587"/>
      <c r="B119" s="588"/>
    </row>
    <row r="120" ht="25.5" customHeight="1">
      <c r="A120" s="587"/>
      <c r="B120" s="588"/>
    </row>
    <row r="121" ht="25.5" customHeight="1">
      <c r="A121" s="587"/>
      <c r="B121" s="588"/>
    </row>
    <row r="122" ht="25.5" customHeight="1">
      <c r="A122" s="587"/>
      <c r="B122" s="588"/>
    </row>
    <row r="123" ht="25.5" customHeight="1">
      <c r="A123" s="587"/>
      <c r="B123" s="588"/>
    </row>
    <row r="124" ht="25.5" customHeight="1">
      <c r="A124" s="587"/>
      <c r="B124" s="588"/>
    </row>
    <row r="125" ht="25.5" customHeight="1">
      <c r="A125" s="587"/>
      <c r="B125" s="588"/>
    </row>
    <row r="126" ht="25.5" customHeight="1">
      <c r="A126" s="587"/>
      <c r="B126" s="588"/>
    </row>
    <row r="127" ht="25.5" customHeight="1">
      <c r="A127" s="587"/>
      <c r="B127" s="588"/>
    </row>
    <row r="128" ht="25.5" customHeight="1">
      <c r="A128" s="587"/>
      <c r="B128" s="588"/>
    </row>
    <row r="129" ht="25.5" customHeight="1">
      <c r="A129" s="587"/>
      <c r="B129" s="588"/>
    </row>
    <row r="130" ht="25.5" customHeight="1">
      <c r="A130" s="587"/>
      <c r="B130" s="588"/>
    </row>
    <row r="131" ht="25.5" customHeight="1">
      <c r="A131" s="587"/>
      <c r="B131" s="588"/>
    </row>
    <row r="132" ht="25.5" customHeight="1">
      <c r="A132" s="587"/>
      <c r="B132" s="588"/>
    </row>
    <row r="133" ht="25.5" customHeight="1">
      <c r="A133" s="587"/>
      <c r="B133" s="588"/>
    </row>
    <row r="134" ht="25.5" customHeight="1">
      <c r="A134" s="587"/>
      <c r="B134" s="588"/>
    </row>
    <row r="135" ht="25.5" customHeight="1">
      <c r="A135" s="587"/>
      <c r="B135" s="588"/>
    </row>
    <row r="136" ht="25.5" customHeight="1">
      <c r="A136" s="587"/>
      <c r="B136" s="588"/>
    </row>
    <row r="137" ht="25.5" customHeight="1">
      <c r="A137" s="587"/>
      <c r="B137" s="588"/>
    </row>
    <row r="138" ht="25.5" customHeight="1">
      <c r="A138" s="587"/>
      <c r="B138" s="588"/>
    </row>
    <row r="139" ht="25.5" customHeight="1">
      <c r="A139" s="587"/>
      <c r="B139" s="588"/>
    </row>
    <row r="140" ht="25.5" customHeight="1">
      <c r="A140" s="587"/>
      <c r="B140" s="588"/>
    </row>
    <row r="141" ht="25.5" customHeight="1">
      <c r="A141" s="587"/>
      <c r="B141" s="588"/>
    </row>
    <row r="142" ht="25.5" customHeight="1">
      <c r="A142" s="587"/>
      <c r="B142" s="588"/>
    </row>
    <row r="143" ht="25.5" customHeight="1">
      <c r="A143" s="587"/>
      <c r="B143" s="588"/>
    </row>
    <row r="144" ht="25.5" customHeight="1">
      <c r="A144" s="587"/>
      <c r="B144" s="588"/>
    </row>
    <row r="145" ht="25.5" customHeight="1">
      <c r="A145" s="587"/>
      <c r="B145" s="588"/>
    </row>
    <row r="146" ht="25.5" customHeight="1">
      <c r="A146" s="587"/>
      <c r="B146" s="588"/>
    </row>
    <row r="147" ht="25.5" customHeight="1">
      <c r="A147" s="587"/>
      <c r="B147" s="588"/>
    </row>
    <row r="148" ht="25.5" customHeight="1">
      <c r="A148" s="587"/>
      <c r="B148" s="588"/>
    </row>
    <row r="149" ht="25.5" customHeight="1">
      <c r="A149" s="587"/>
      <c r="B149" s="588"/>
    </row>
    <row r="150" ht="25.5" customHeight="1">
      <c r="A150" s="587"/>
      <c r="B150" s="588"/>
    </row>
    <row r="151" ht="25.5" customHeight="1">
      <c r="A151" s="587"/>
      <c r="B151" s="588"/>
    </row>
    <row r="152" ht="25.5" customHeight="1">
      <c r="A152" s="587"/>
      <c r="B152" s="588"/>
    </row>
    <row r="153" ht="25.5" customHeight="1">
      <c r="A153" s="587"/>
      <c r="B153" s="588"/>
    </row>
    <row r="154" ht="25.5" customHeight="1">
      <c r="A154" s="587"/>
      <c r="B154" s="588"/>
    </row>
    <row r="155" ht="25.5" customHeight="1">
      <c r="A155" s="587"/>
      <c r="B155" s="588"/>
    </row>
    <row r="156" ht="25.5" customHeight="1">
      <c r="A156" s="587"/>
      <c r="B156" s="588"/>
    </row>
    <row r="157" ht="25.5" customHeight="1">
      <c r="A157" s="587"/>
      <c r="B157" s="588"/>
    </row>
    <row r="158" ht="25.5" customHeight="1">
      <c r="A158" s="587"/>
      <c r="B158" s="588"/>
    </row>
    <row r="159" ht="25.5" customHeight="1">
      <c r="A159" s="587"/>
      <c r="B159" s="588"/>
    </row>
    <row r="160" ht="25.5" customHeight="1">
      <c r="A160" s="587"/>
      <c r="B160" s="588"/>
    </row>
    <row r="161" ht="25.5" customHeight="1">
      <c r="A161" s="587"/>
      <c r="B161" s="588"/>
    </row>
    <row r="162" ht="25.5" customHeight="1">
      <c r="A162" s="587"/>
      <c r="B162" s="588"/>
    </row>
    <row r="163" ht="25.5" customHeight="1">
      <c r="A163" s="587"/>
      <c r="B163" s="588"/>
    </row>
    <row r="164" ht="25.5" customHeight="1">
      <c r="A164" s="587"/>
      <c r="B164" s="588"/>
    </row>
    <row r="165" ht="25.5" customHeight="1">
      <c r="A165" s="587"/>
      <c r="B165" s="588"/>
    </row>
    <row r="166" ht="25.5" customHeight="1">
      <c r="A166" s="587"/>
      <c r="B166" s="588"/>
    </row>
    <row r="167" ht="25.5" customHeight="1">
      <c r="A167" s="587"/>
      <c r="B167" s="588"/>
    </row>
    <row r="168" ht="25.5" customHeight="1">
      <c r="A168" s="587"/>
      <c r="B168" s="588"/>
    </row>
    <row r="169" ht="25.5" customHeight="1">
      <c r="A169" s="587"/>
      <c r="B169" s="588"/>
    </row>
    <row r="170" ht="25.5" customHeight="1">
      <c r="A170" s="587"/>
      <c r="B170" s="588"/>
    </row>
    <row r="171" ht="25.5" customHeight="1">
      <c r="A171" s="587"/>
      <c r="B171" s="588"/>
    </row>
    <row r="172" ht="25.5" customHeight="1">
      <c r="A172" s="587"/>
      <c r="B172" s="588"/>
    </row>
    <row r="173" ht="25.5" customHeight="1">
      <c r="A173" s="587"/>
      <c r="B173" s="588"/>
    </row>
    <row r="174" ht="25.5" customHeight="1">
      <c r="A174" s="587"/>
      <c r="B174" s="588"/>
    </row>
    <row r="175" ht="25.5" customHeight="1">
      <c r="A175" s="587"/>
      <c r="B175" s="588"/>
    </row>
    <row r="176" ht="25.5" customHeight="1">
      <c r="A176" s="587"/>
      <c r="B176" s="588"/>
    </row>
    <row r="177" ht="25.5" customHeight="1">
      <c r="A177" s="587"/>
      <c r="B177" s="588"/>
    </row>
    <row r="178" ht="25.5" customHeight="1">
      <c r="A178" s="587"/>
      <c r="B178" s="588"/>
    </row>
    <row r="179" ht="25.5" customHeight="1">
      <c r="A179" s="587"/>
      <c r="B179" s="588"/>
    </row>
    <row r="180" ht="25.5" customHeight="1">
      <c r="A180" s="587"/>
      <c r="B180" s="588"/>
    </row>
    <row r="181" ht="25.5" customHeight="1">
      <c r="A181" s="587"/>
      <c r="B181" s="588"/>
    </row>
    <row r="182" ht="25.5" customHeight="1">
      <c r="A182" s="587"/>
      <c r="B182" s="588"/>
    </row>
    <row r="183" ht="25.5" customHeight="1">
      <c r="A183" s="587"/>
      <c r="B183" s="588"/>
    </row>
    <row r="184" ht="25.5" customHeight="1">
      <c r="A184" s="587"/>
      <c r="B184" s="588"/>
    </row>
    <row r="185" ht="25.5" customHeight="1">
      <c r="A185" s="587"/>
      <c r="B185" s="588"/>
    </row>
    <row r="186" ht="25.5" customHeight="1">
      <c r="A186" s="587"/>
      <c r="B186" s="588"/>
    </row>
    <row r="187" ht="25.5" customHeight="1">
      <c r="A187" s="587"/>
      <c r="B187" s="588"/>
    </row>
    <row r="188" ht="25.5" customHeight="1">
      <c r="A188" s="587"/>
      <c r="B188" s="588"/>
    </row>
    <row r="189" ht="25.5" customHeight="1">
      <c r="A189" s="587"/>
      <c r="B189" s="588"/>
    </row>
    <row r="190" ht="25.5" customHeight="1">
      <c r="A190" s="587"/>
      <c r="B190" s="588"/>
    </row>
    <row r="191" ht="25.5" customHeight="1">
      <c r="A191" s="587"/>
      <c r="B191" s="588"/>
    </row>
    <row r="192" ht="25.5" customHeight="1">
      <c r="A192" s="587"/>
      <c r="B192" s="588"/>
    </row>
    <row r="193" ht="25.5" customHeight="1">
      <c r="A193" s="587"/>
      <c r="B193" s="588"/>
    </row>
    <row r="194" ht="25.5" customHeight="1">
      <c r="A194" s="587"/>
      <c r="B194" s="588"/>
    </row>
    <row r="195" ht="25.5" customHeight="1">
      <c r="A195" s="587"/>
      <c r="B195" s="588"/>
    </row>
    <row r="196" ht="25.5" customHeight="1">
      <c r="A196" s="587"/>
      <c r="B196" s="588"/>
    </row>
    <row r="197" ht="25.5" customHeight="1">
      <c r="A197" s="587"/>
      <c r="B197" s="588"/>
    </row>
    <row r="198" ht="25.5" customHeight="1">
      <c r="A198" s="587"/>
      <c r="B198" s="588"/>
    </row>
    <row r="199" ht="25.5" customHeight="1">
      <c r="A199" s="587"/>
      <c r="B199" s="588"/>
    </row>
    <row r="200" ht="25.5" customHeight="1">
      <c r="A200" s="587"/>
      <c r="B200" s="588"/>
    </row>
    <row r="201" ht="25.5" customHeight="1">
      <c r="A201" s="587"/>
      <c r="B201" s="588"/>
    </row>
    <row r="202" ht="25.5" customHeight="1">
      <c r="A202" s="587"/>
      <c r="B202" s="588"/>
    </row>
    <row r="203" ht="25.5" customHeight="1">
      <c r="A203" s="587"/>
      <c r="B203" s="588"/>
    </row>
    <row r="204" ht="25.5" customHeight="1">
      <c r="A204" s="587"/>
      <c r="B204" s="588"/>
    </row>
    <row r="205" ht="25.5" customHeight="1">
      <c r="A205" s="587"/>
      <c r="B205" s="588"/>
    </row>
    <row r="206" ht="25.5" customHeight="1">
      <c r="A206" s="587"/>
      <c r="B206" s="588"/>
    </row>
    <row r="207" ht="25.5" customHeight="1">
      <c r="A207" s="587"/>
      <c r="B207" s="588"/>
    </row>
    <row r="208" ht="25.5" customHeight="1">
      <c r="A208" s="587"/>
      <c r="B208" s="588"/>
    </row>
    <row r="209" ht="25.5" customHeight="1">
      <c r="A209" s="587"/>
      <c r="B209" s="588"/>
    </row>
    <row r="210" ht="25.5" customHeight="1">
      <c r="A210" s="587"/>
      <c r="B210" s="588"/>
    </row>
    <row r="211" ht="25.5" customHeight="1">
      <c r="A211" s="587"/>
      <c r="B211" s="588"/>
    </row>
    <row r="212" ht="25.5" customHeight="1">
      <c r="A212" s="587"/>
      <c r="B212" s="588"/>
    </row>
    <row r="213" ht="25.5" customHeight="1">
      <c r="A213" s="587"/>
      <c r="B213" s="588"/>
    </row>
    <row r="214" ht="25.5" customHeight="1">
      <c r="A214" s="587"/>
      <c r="B214" s="588"/>
    </row>
    <row r="215" ht="25.5" customHeight="1">
      <c r="A215" s="587"/>
      <c r="B215" s="588"/>
    </row>
    <row r="216" ht="25.5" customHeight="1">
      <c r="A216" s="587"/>
      <c r="B216" s="588"/>
    </row>
    <row r="217" ht="25.5" customHeight="1">
      <c r="A217" s="587"/>
      <c r="B217" s="588"/>
    </row>
    <row r="218" ht="25.5" customHeight="1">
      <c r="A218" s="587"/>
      <c r="B218" s="588"/>
    </row>
    <row r="219" ht="25.5" customHeight="1">
      <c r="A219" s="587"/>
      <c r="B219" s="588"/>
    </row>
    <row r="220" ht="25.5" customHeight="1">
      <c r="A220" s="587"/>
      <c r="B220" s="588"/>
    </row>
    <row r="221" ht="25.5" customHeight="1">
      <c r="A221" s="587"/>
      <c r="B221" s="58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6"/>
    <mergeCell ref="B2:B3"/>
    <mergeCell ref="A11:A13"/>
    <mergeCell ref="A14:A15"/>
    <mergeCell ref="A16:A21"/>
    <mergeCell ref="C21:M21"/>
  </mergeCells>
  <printOptions/>
  <pageMargins bottom="0.75" footer="0.0" header="0.0" left="0.7" right="0.7" top="0.75"/>
  <pageSetup orientation="landscape"/>
  <drawing r:id="rId1"/>
</worksheet>
</file>